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tables/table1.xml" ContentType="application/vnd.openxmlformats-officedocument.spreadsheetml.table+xml"/>
  <Override PartName="/xl/worksheets/sheet3.xml" ContentType="application/vnd.openxmlformats-officedocument.spreadsheetml.worksheet+xml"/>
  <Override PartName="/xl/drawings/drawing1.xml" ContentType="application/vnd.openxmlformats-officedocument.drawing+xml"/>
  <Override PartName="/xl/worksheets/sheet4.xml" ContentType="application/vnd.openxmlformats-officedocument.spreadsheetml.worksheet+xml"/>
  <Override PartName="/xl/drawings/drawing2.xml" ContentType="application/vnd.openxmlformats-officedocument.drawing+xml"/>
  <Override PartName="/xl/comments/comment2.xml" ContentType="application/vnd.openxmlformats-officedocument.spreadsheetml.comments+xml"/>
  <Override PartName="/xl/worksheets/sheet5.xml" ContentType="application/vnd.openxmlformats-officedocument.spreadsheetml.worksheet+xml"/>
  <Override PartName="/xl/drawings/drawing3.xml" ContentType="application/vnd.openxmlformats-officedocument.drawing+xml"/>
  <Override PartName="/xl/comments/comment3.xml" ContentType="application/vnd.openxmlformats-officedocument.spreadsheetml.comments+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comments/comment4.xml" ContentType="application/vnd.openxmlformats-officedocument.spreadsheetml.comments+xml"/>
  <Override PartName="/xl/worksheets/sheet11.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icio" sheetId="1" state="visible" r:id="rId1"/>
    <sheet xmlns:r="http://schemas.openxmlformats.org/officeDocument/2006/relationships" name="Registro" sheetId="2" state="visible" r:id="rId2"/>
    <sheet xmlns:r="http://schemas.openxmlformats.org/officeDocument/2006/relationships" name="Dashboard" sheetId="3" state="visible" r:id="rId3"/>
    <sheet xmlns:r="http://schemas.openxmlformats.org/officeDocument/2006/relationships" name="Alimentación" sheetId="4" state="visible" r:id="rId4"/>
    <sheet xmlns:r="http://schemas.openxmlformats.org/officeDocument/2006/relationships" name="Gastos hormiga" sheetId="5" state="visible" r:id="rId5"/>
    <sheet xmlns:r="http://schemas.openxmlformats.org/officeDocument/2006/relationships" name="Recurrentes" sheetId="6" state="visible" r:id="rId6"/>
    <sheet xmlns:r="http://schemas.openxmlformats.org/officeDocument/2006/relationships" name="Presupuestos" sheetId="7" state="visible" r:id="rId7"/>
    <sheet xmlns:r="http://schemas.openxmlformats.org/officeDocument/2006/relationships" name="Cuentas" sheetId="8" state="visible" r:id="rId8"/>
    <sheet xmlns:r="http://schemas.openxmlformats.org/officeDocument/2006/relationships" name="Categorías" sheetId="9" state="visible" r:id="rId9"/>
    <sheet xmlns:r="http://schemas.openxmlformats.org/officeDocument/2006/relationships" name="Config" sheetId="10" state="visible" r:id="rId10"/>
    <sheet xmlns:r="http://schemas.openxmlformats.org/officeDocument/2006/relationships" name="Motor" sheetId="11" state="visible" r:id="rId11"/>
  </sheets>
  <definedNames>
    <definedName name="rFecha">'Registro'!$B$6:$B$5005</definedName>
    <definedName name="rTipo">'Registro'!$C$6:$C$5005</definedName>
    <definedName name="rCat">'Registro'!$D$6:$D$5005</definedName>
    <definedName name="rSub">'Registro'!$E$6:$E$5005</definedName>
    <definedName name="rDesc">'Registro'!$F$6:$F$5005</definedName>
    <definedName name="rMonto">'Registro'!$G$6:$G$5005</definedName>
    <definedName name="rMon">'Registro'!$H$6:$H$5005</definedName>
    <definedName name="rTasa">'Registro'!$I$6:$I$5005</definedName>
    <definedName name="rCta">'Registro'!$J$6:$J$5005</definedName>
    <definedName name="rDest">'Registro'!$K$6:$K$5005</definedName>
    <definedName name="rCom">'Registro'!$L$6:$L$5005</definedName>
    <definedName name="rClas">'Registro'!$M$6:$M$5005</definedName>
    <definedName name="rObs">'Registro'!$N$6:$N$5005</definedName>
    <definedName name="rEstado">'Registro'!$O$6:$O$5005</definedName>
    <definedName name="rTipoE">'Registro'!$P$6:$P$5005</definedName>
    <definedName name="rCtaE">'Registro'!$Q$6:$Q$5005</definedName>
    <definedName name="rTasaRef">'Registro'!$R$6:$R$5005</definedName>
    <definedName name="rDOP">'Registro'!$S$6:$S$5005</definedName>
    <definedName name="rUSD">'Registro'!$T$6:$T$5005</definedName>
    <definedName name="rGasto">'Registro'!$U$6:$U$5005</definedName>
    <definedName name="rIng">'Registro'!$V$6:$V$5005</definedName>
    <definedName name="rTrad">'Registro'!$W$6:$W$5005</definedName>
    <definedName name="rClasE">'Registro'!$X$6:$X$5005</definedName>
    <definedName name="rGrupo">'Registro'!$Y$6:$Y$5005</definedName>
    <definedName name="rDia">'Registro'!$Z$6:$Z$5005</definedName>
    <definedName name="rHorm">'Registro'!$AA$6:$AA$5005</definedName>
    <definedName name="rCtaSO">'Registro'!$AB$6:$AB$5005</definedName>
    <definedName name="rCtaSD">'Registro'!$AC$6:$AC$5005</definedName>
    <definedName name="rTCO">'Registro'!$AD$6:$AD$5005</definedName>
    <definedName name="rTCD">'Registro'!$AE$6:$AE$5005</definedName>
    <definedName name="rEfO">'Registro'!$AF$6:$AF$5005</definedName>
    <definedName name="rEfD">'Registro'!$AG$6:$AG$5005</definedName>
    <definedName name="rFlujo">'Registro'!$AH$6:$AH$5005</definedName>
    <definedName name="rComIdx">'Registro'!$AI$6:$AI$5005</definedName>
    <definedName name="catCat">'Categorías'!$B$6:$B$205</definedName>
    <definedName name="catSub">'Categorías'!$C$6:$C$205</definedName>
    <definedName name="catTipo">'Categorías'!$D$6:$D$205</definedName>
    <definedName name="catClasif">'Categorías'!$E$6:$E$205</definedName>
    <definedName name="catGrupo">'Categorías'!$F$6:$F$205</definedName>
    <definedName name="catComida">'Categorías'!$G$6:$G$205</definedName>
    <definedName name="catClave">'Categorías'!$P$6:$P$205</definedName>
    <definedName name="catIdx">'Categorías'!$Q$6:$Q$205</definedName>
    <definedName name="catFoodIdx">'Categorías'!$R$6:$R$205</definedName>
    <definedName name="catUList">'Categorías'!$L$6:$L$45</definedName>
    <definedName name="lstCat">OFFSET('Categorías'!$L$6,0,0,MAX(1,COUNTIF('Categorías'!$L$6:$L$45,"?*")),1)</definedName>
    <definedName name="ctaNombre">'Cuentas'!$B$7:$B$36</definedName>
    <definedName name="ctaTipo">'Cuentas'!$C$7:$C$36</definedName>
    <definedName name="ctaMoneda">'Cuentas'!$D$7:$D$36</definedName>
    <definedName name="ctaVinc">'Cuentas'!$E$7:$E$36</definedName>
    <definedName name="ctaIni">'Cuentas'!$F$7:$F$36</definedName>
    <definedName name="ctaFechaIni">'Cuentas'!$G$7:$G$36</definedName>
    <definedName name="ctaLiq">'Cuentas'!$I$7:$I$36</definedName>
    <definedName name="ctaMov">'Cuentas'!$J$7:$J$36</definedName>
    <definedName name="ctaSaldo">'Cuentas'!$K$7:$K$36</definedName>
    <definedName name="ctaSaldoDOP">'Cuentas'!$L$7:$L$36</definedName>
    <definedName name="lstCuentas">OFFSET('Cuentas'!$B$7,0,0,MAX(1,COUNTIF('Cuentas'!$B$7:$B$36,"?*")),1)</definedName>
    <definedName name="TasaUSD">'Config'!$C$5</definedName>
    <definedName name="CuentaPred">'Config'!$C$6</definedName>
    <definedName name="catAlim">'Config'!$C$7</definedName>
    <definedName name="catTrading">'Config'!$C$8</definedName>
    <definedName name="lstTipos">'Config'!$B$13:$B$19</definedName>
    <definedName name="lstMonedas">'Config'!$H$13:$H$14</definedName>
    <definedName name="tcTipo">'Config'!$J$13:$J$22</definedName>
    <definedName name="tcLiq">'Config'!$K$13:$K$22</definedName>
    <definedName name="lstTiposCta">'Config'!$J$13:$J$18</definedName>
    <definedName name="lstClasif">'Config'!$M$13:$M$14</definedName>
    <definedName name="frecNombre">'Config'!$O$13:$O$19</definedName>
    <definedName name="frecMeses">'Config'!$P$13:$P$19</definedName>
    <definedName name="frecDias">'Config'!$Q$13:$Q$19</definedName>
    <definedName name="frecFactor">'Config'!$R$13:$R$19</definedName>
    <definedName name="lstPeriodos">'Config'!$T$13:$T$22</definedName>
    <definedName name="lstGrupos">'Config'!$V$13:$V$15</definedName>
    <definedName name="gCP">'Config'!$V$13</definedName>
    <definedName name="gSI">'Config'!$V$14</definedName>
    <definedName name="gBS">'Config'!$V$15</definedName>
    <definedName name="lstComidas">'Config'!$X$13:$X$15</definedName>
    <definedName name="lstSiNo">'Config'!$Z$13:$Z$14</definedName>
    <definedName name="lstTipoCat">'Config'!$AB$13:$AB$14</definedName>
    <definedName name="lstMeses">'Config'!$AD$13:$AD$48</definedName>
    <definedName name="lstCatFiltro">OFFSET('Config'!$AF$13,0,0,COUNTIF('Config'!$AF$13:$AF$53,"?*"),1)</definedName>
    <definedName name="lstCtaFiltro">OFFSET('Config'!$AG$13,0,0,COUNTIF('Config'!$AG$13:$AG$43,"?*"),1)</definedName>
    <definedName name="totDisponible">'Cuentas'!$L$38</definedName>
    <definedName name="totDeudaTC">'Cuentas'!$L$39</definedName>
    <definedName name="totTrading">'Cuentas'!$L$40</definedName>
    <definedName name="nSaldosLiq">'Cuentas'!$O$38</definedName>
    <definedName name="nLiqTotal">'Cuentas'!$O$39</definedName>
    <definedName name="diaHoy">'Motor'!$C$6</definedName>
    <definedName name="minFecha">'Motor'!$C$7</definedName>
    <definedName name="maxFecha">'Motor'!$C$8</definedName>
    <definedName name="mesSel">'Motor'!$C$9</definedName>
    <definedName name="pK">'Motor'!$C$10</definedName>
    <definedName name="pIni">'Motor'!$C$11</definedName>
    <definedName name="pFin">'Motor'!$C$12</definedName>
    <definedName name="pDias">'Motor'!$C$13</definedName>
    <definedName name="pFinEff">'Motor'!$C$14</definedName>
    <definedName name="critCat">'Motor'!$C$15</definedName>
    <definedName name="critCta">'Motor'!$C$16</definedName>
    <definedName name="refMes">'Motor'!$C$17</definedName>
    <definedName name="refSem">'Motor'!$C$18</definedName>
    <definedName name="calIni">'Motor'!$C$19</definedName>
    <definedName name="semHoy">'Motor'!$C$20</definedName>
    <definedName name="mesHoy">'Motor'!$C$21</definedName>
    <definedName name="mesesDatos3">'Motor'!$C$22</definedName>
    <definedName name="pTexto">'Motor'!$C$23</definedName>
    <definedName name="lstComercios">OFFSET('Motor'!$S$7,0,0,MAX(1,COUNTIF('Motor'!$S$7:$S$306,"?*")),1)</definedName>
    <definedName name="fPeriodo">'Dashboard'!$B$5</definedName>
    <definedName name="fMes">'Dashboard'!$E$5</definedName>
    <definedName name="fDesde">'Dashboard'!$H$5</definedName>
    <definedName name="fHasta">'Dashboard'!$J$5</definedName>
    <definedName name="fCat">'Dashboard'!$L$5</definedName>
    <definedName name="fCta">'Dashboard'!$O$5</definedName>
    <definedName name="aliCasaN">'Alimentación'!$H$19</definedName>
    <definedName name="aliPctSuper">'Alimentación'!$H$20</definedName>
    <definedName name="aliCasaEst">'Alimentación'!$H$21</definedName>
    <definedName name="aliCostoFuera">'Alimentación'!$P$19</definedName>
    <definedName name="aliCostoCasa">'Alimentación'!$P$20</definedName>
    <definedName name="Umbral">'Gastos hormiga'!$I$4</definedName>
    <definedName name="recMensual">'Recurrentes'!$N$58</definedName>
    <definedName name="recProximos">'Recurrentes'!$Q$58</definedName>
    <definedName name="alertPct">'Presupuestos'!$H$8</definedName>
    <definedName name="limDiario">'Presupuestos'!$C$8</definedName>
    <definedName name="limSemanal">'Presupuestos'!$C$9</definedName>
    <definedName name="limMensual">'Presupuestos'!$C$10</definedName>
    <definedName name="budLimMes">'Presupuestos'!$C$14:$C$43</definedName>
    <definedName name="budLimSem">'Presupuestos'!$G$14:$G$43</definedName>
    <definedName name="budEstMes">'Presupuestos'!$F$14:$F$43</definedName>
    <definedName name="budEstSem">'Presupuestos'!$I$14:$I$43</definedName>
    <definedName name="budNivel">'Presupuestos'!$C$49</definedName>
    <definedName name="budTexto">'Presupuestos'!$C$50</definedName>
    <definedName name="objAvance">'Presupuestos'!$H$55:$H$64</definedName>
    <definedName name="_xlnm.Print_Area" localSheetId="5">'Recurrentes'!$A$1:$S$59</definedName>
    <definedName name="_xlnm.Print_Area" localSheetId="7">'Cuentas'!$A$1:$U$42</definedName>
  </definedNames>
  <calcPr calcId="124519" fullCalcOnLoad="1"/>
</workbook>
</file>

<file path=xl/styles.xml><?xml version="1.0" encoding="utf-8"?>
<styleSheet xmlns="http://schemas.openxmlformats.org/spreadsheetml/2006/main">
  <numFmts count="14">
    <numFmt numFmtId="164" formatCode="&quot;RD$ &quot;#,##0;[Red]-&quot;RD$ &quot;#,##0;&quot;–&quot;"/>
    <numFmt numFmtId="165" formatCode="0.000"/>
    <numFmt numFmtId="166" formatCode="#,##0.00;[Red]-#,##0.00;&quot;–&quot;"/>
    <numFmt numFmtId="167" formatCode="dd/mm/yyyy"/>
    <numFmt numFmtId="168" formatCode="#,##0;[Red]-#,##0;&quot;–&quot;"/>
    <numFmt numFmtId="169" formatCode="yyyy-mm-dd"/>
    <numFmt numFmtId="170" formatCode="mmm yyyy"/>
    <numFmt numFmtId="171" formatCode="0.0%;[Red]-0.0%;&quot;–&quot;"/>
    <numFmt numFmtId="172" formatCode="+0%;[Red]-0%;0%"/>
    <numFmt numFmtId="173" formatCode="0.0&quot; / semana&quot;"/>
    <numFmt numFmtId="174" formatCode="0%&quot; menos&quot;"/>
    <numFmt numFmtId="175" formatCode="0.0"/>
    <numFmt numFmtId="176" formatCode="0.0%"/>
    <numFmt numFmtId="177" formatCode="0.0&quot; / día&quot;"/>
  </numFmts>
  <fonts count="43">
    <font>
      <name val="Calibri"/>
      <family val="2"/>
      <color theme="1"/>
      <sz val="11"/>
      <scheme val="minor"/>
    </font>
    <font>
      <name val="Aptos"/>
      <b val="1"/>
      <color rgb="00FFFFFF"/>
      <sz val="18"/>
    </font>
    <font>
      <name val="Aptos"/>
      <color rgb="00CBD5E1"/>
      <sz val="9"/>
    </font>
    <font>
      <name val="Aptos"/>
      <b val="1"/>
      <color rgb="000F172A"/>
      <sz val="12"/>
    </font>
    <font>
      <name val="Aptos"/>
      <b val="1"/>
      <color rgb="000F172A"/>
      <sz val="10"/>
    </font>
    <font>
      <name val="Aptos"/>
      <b val="1"/>
      <color rgb="001E3A8A"/>
      <sz val="10"/>
    </font>
    <font>
      <name val="Aptos"/>
      <i val="1"/>
      <color rgb="0064748B"/>
      <sz val="9"/>
    </font>
    <font>
      <name val="Aptos"/>
      <color rgb="0064748B"/>
      <sz val="10"/>
    </font>
    <font>
      <name val="Aptos"/>
      <b val="1"/>
      <color rgb="00FFFFFF"/>
      <sz val="9"/>
    </font>
    <font>
      <name val="Aptos"/>
      <color rgb="00334155"/>
      <sz val="10"/>
    </font>
    <font>
      <name val="Aptos"/>
      <b val="1"/>
      <color rgb="00334155"/>
      <sz val="10"/>
    </font>
    <font>
      <name val="Aptos"/>
      <b val="1"/>
      <color rgb="00FFFFFF"/>
      <sz val="10"/>
    </font>
    <font>
      <name val="Aptos"/>
      <color rgb="0064748B"/>
      <sz val="9"/>
    </font>
    <font>
      <name val="Aptos"/>
      <b val="1"/>
      <color rgb="001E3A8A"/>
      <sz val="9"/>
    </font>
    <font>
      <name val="Aptos"/>
      <b val="1"/>
      <color rgb="0064748B"/>
      <sz val="9"/>
    </font>
    <font>
      <name val="Aptos"/>
      <color rgb="000F172A"/>
      <sz val="10"/>
    </font>
    <font>
      <name val="Aptos"/>
      <color rgb="001E3A8A"/>
      <sz val="10"/>
    </font>
    <font>
      <name val="Aptos"/>
      <b val="1"/>
      <color rgb="000F172A"/>
      <sz val="11"/>
    </font>
    <font>
      <name val="Aptos"/>
      <color rgb="00CBD5E1"/>
      <sz val="8"/>
    </font>
    <font>
      <name val="Aptos"/>
      <b val="1"/>
      <color rgb="000F172A"/>
      <sz val="9"/>
    </font>
    <font>
      <name val="Aptos"/>
      <b val="1"/>
      <color rgb="00B91C1C"/>
      <sz val="9"/>
    </font>
    <font>
      <name val="Aptos"/>
      <b val="1"/>
      <color rgb="006250D6"/>
      <sz val="9"/>
    </font>
    <font>
      <name val="Aptos"/>
      <b val="1"/>
      <color rgb="0015803D"/>
      <sz val="9"/>
    </font>
    <font>
      <name val="Aptos"/>
      <color rgb="00334155"/>
      <sz val="9"/>
    </font>
    <font>
      <name val="Aptos"/>
      <b val="1"/>
      <color rgb="0064748B"/>
      <sz val="8"/>
    </font>
    <font>
      <name val="Aptos"/>
      <b val="1"/>
      <color rgb="001E3A8A"/>
      <sz val="11"/>
    </font>
    <font>
      <name val="Aptos"/>
      <b val="1"/>
      <color rgb="000F172A"/>
      <sz val="20"/>
    </font>
    <font>
      <name val="Aptos"/>
      <color rgb="0064748B"/>
      <sz val="8"/>
    </font>
    <font>
      <name val="Aptos"/>
      <b val="1"/>
      <color rgb="000F172A"/>
      <sz val="16"/>
    </font>
    <font>
      <name val="Aptos"/>
      <b val="1"/>
      <color rgb="002A78D6"/>
      <sz val="10"/>
    </font>
    <font>
      <name val="Aptos"/>
      <i val="1"/>
      <color rgb="0064748B"/>
      <sz val="8"/>
    </font>
    <font>
      <name val="Aptos"/>
      <b val="1"/>
      <color rgb="00EB6834"/>
      <sz val="10"/>
    </font>
    <font>
      <name val="Aptos"/>
      <b val="1"/>
      <color rgb="006250D6"/>
      <sz val="10"/>
    </font>
    <font>
      <name val="Aptos"/>
      <color rgb="000F172A"/>
      <sz val="9"/>
    </font>
    <font>
      <name val="Aptos"/>
      <b val="1"/>
      <color rgb="00EB6834"/>
      <sz val="14"/>
    </font>
    <font>
      <name val="Aptos"/>
      <b val="1"/>
      <color rgb="0094A3B8"/>
      <sz val="9"/>
    </font>
    <font>
      <name val="Aptos"/>
      <b val="1"/>
      <color rgb="002A78D6"/>
      <sz val="9"/>
    </font>
    <font>
      <name val="Aptos"/>
      <b val="1"/>
      <color rgb="0015803D"/>
      <sz val="10"/>
    </font>
    <font>
      <name val="Aptos"/>
      <b val="1"/>
      <color rgb="0015803D"/>
      <sz val="11"/>
    </font>
    <font>
      <name val="Aptos"/>
      <b val="1"/>
      <color rgb="00B45309"/>
      <sz val="11"/>
    </font>
    <font>
      <name val="Aptos"/>
      <b val="1"/>
      <color rgb="0064748B"/>
      <sz val="10"/>
    </font>
    <font>
      <name val="Aptos"/>
      <color rgb="00334155"/>
      <sz val="11"/>
    </font>
    <font>
      <name val="Aptos"/>
      <b val="1"/>
      <color rgb="002A78D6"/>
      <sz val="9"/>
      <u val="single"/>
    </font>
  </fonts>
  <fills count="13">
    <fill>
      <patternFill/>
    </fill>
    <fill>
      <patternFill patternType="gray125"/>
    </fill>
    <fill>
      <patternFill patternType="solid">
        <fgColor rgb="000F172A"/>
        <bgColor rgb="000F172A"/>
      </patternFill>
    </fill>
    <fill>
      <patternFill patternType="solid">
        <fgColor rgb="00E8EEF6"/>
        <bgColor rgb="00E8EEF6"/>
      </patternFill>
    </fill>
    <fill>
      <patternFill patternType="solid">
        <fgColor rgb="00FFF8E7"/>
        <bgColor rgb="00FFF8E7"/>
      </patternFill>
    </fill>
    <fill>
      <patternFill patternType="solid">
        <fgColor rgb="00334155"/>
        <bgColor rgb="00334155"/>
      </patternFill>
    </fill>
    <fill>
      <patternFill patternType="solid">
        <fgColor rgb="00FFFFFF"/>
        <bgColor rgb="00FFFFFF"/>
      </patternFill>
    </fill>
    <fill>
      <patternFill patternType="solid">
        <fgColor rgb="00475569"/>
        <bgColor rgb="00475569"/>
      </patternFill>
    </fill>
    <fill>
      <patternFill patternType="solid">
        <fgColor rgb="00F8FAFC"/>
        <bgColor rgb="00F8FAFC"/>
      </patternFill>
    </fill>
    <fill>
      <patternFill patternType="solid">
        <fgColor rgb="00EEF2F7"/>
        <bgColor rgb="00EEF2F7"/>
      </patternFill>
    </fill>
    <fill>
      <patternFill patternType="solid">
        <fgColor rgb="002A78D6"/>
        <bgColor rgb="002A78D6"/>
      </patternFill>
    </fill>
    <fill>
      <patternFill patternType="solid">
        <fgColor rgb="0064748B"/>
        <bgColor rgb="0064748B"/>
      </patternFill>
    </fill>
    <fill>
      <patternFill patternType="solid">
        <fgColor rgb="00F1F5F9"/>
        <bgColor rgb="00F1F5F9"/>
      </patternFill>
    </fill>
  </fills>
  <borders count="78">
    <border>
      <left/>
      <right/>
      <top/>
      <bottom/>
      <diagonal/>
    </border>
    <border>
      <bottom style="medium">
        <color rgb="000F172A"/>
      </bottom>
    </border>
    <border>
      <left style="thin">
        <color rgb="00F2C46D"/>
      </left>
      <right style="thin">
        <color rgb="00F2C46D"/>
      </right>
      <top style="thin">
        <color rgb="00F2C46D"/>
      </top>
      <bottom style="thin">
        <color rgb="00F2C46D"/>
      </bottom>
    </border>
    <border>
      <left style="thin">
        <color rgb="00E2E8F0"/>
      </left>
      <right style="thin">
        <color rgb="00E2E8F0"/>
      </right>
      <top style="thin">
        <color rgb="00E2E8F0"/>
      </top>
      <bottom style="thin">
        <color rgb="00E2E8F0"/>
      </bottom>
    </border>
    <border>
      <left style="thin">
        <color rgb="00E2E8F0"/>
      </left>
      <right/>
      <top style="thin">
        <color rgb="00E2E8F0"/>
      </top>
      <bottom/>
    </border>
    <border>
      <left/>
      <right/>
      <top style="thin">
        <color rgb="00E2E8F0"/>
      </top>
      <bottom/>
    </border>
    <border>
      <left/>
      <right style="thin">
        <color rgb="00E2E8F0"/>
      </right>
      <top style="thin">
        <color rgb="00E2E8F0"/>
      </top>
      <bottom/>
    </border>
    <border>
      <left style="thin">
        <color rgb="00E2E8F0"/>
      </left>
      <right/>
      <top/>
      <bottom/>
    </border>
    <border>
      <left/>
      <right/>
      <top/>
      <bottom/>
    </border>
    <border>
      <left/>
      <right style="thin">
        <color rgb="00E2E8F0"/>
      </right>
      <top/>
      <bottom/>
    </border>
    <border>
      <left style="thin">
        <color rgb="00E2E8F0"/>
      </left>
      <right/>
      <top/>
      <bottom style="thin">
        <color rgb="00E2E8F0"/>
      </bottom>
    </border>
    <border>
      <left/>
      <right/>
      <top/>
      <bottom style="thin">
        <color rgb="00E2E8F0"/>
      </bottom>
    </border>
    <border>
      <left/>
      <right style="thin">
        <color rgb="00E2E8F0"/>
      </right>
      <top/>
      <bottom style="thin">
        <color rgb="00E2E8F0"/>
      </bottom>
    </border>
    <border>
      <left style="thick">
        <color rgb="001BAF7A"/>
      </left>
      <top style="thin">
        <color rgb="00E2E8F0"/>
      </top>
      <bottom/>
    </border>
    <border>
      <left style="thick">
        <color rgb="001BAF7A"/>
      </left>
      <top/>
      <bottom/>
    </border>
    <border>
      <left style="thick">
        <color rgb="001BAF7A"/>
      </left>
      <top/>
      <bottom style="thin">
        <color rgb="00E2E8F0"/>
      </bottom>
    </border>
    <border>
      <left style="thick">
        <color rgb="001BAF7A"/>
      </left>
      <right style="thin">
        <color rgb="00E2E8F0"/>
      </right>
      <top style="thin">
        <color rgb="00E2E8F0"/>
      </top>
      <bottom/>
    </border>
    <border>
      <left/>
      <right/>
      <top style="thin">
        <color rgb="00E2E8F0"/>
      </top>
      <bottom/>
      <diagonal/>
    </border>
    <border>
      <left/>
      <right style="thin">
        <color rgb="00E2E8F0"/>
      </right>
      <top style="thin">
        <color rgb="00E2E8F0"/>
      </top>
      <bottom/>
      <diagonal/>
    </border>
    <border>
      <left style="thick">
        <color rgb="001BAF7A"/>
      </left>
      <right style="thin">
        <color rgb="00E2E8F0"/>
      </right>
      <top/>
      <bottom/>
    </border>
    <border>
      <left style="thick">
        <color rgb="001BAF7A"/>
      </left>
      <right/>
      <top/>
      <bottom/>
      <diagonal/>
    </border>
    <border>
      <left/>
      <right style="thin">
        <color rgb="00E2E8F0"/>
      </right>
      <top/>
      <bottom/>
      <diagonal/>
    </border>
    <border>
      <left style="thick">
        <color rgb="001BAF7A"/>
      </left>
      <right style="thin">
        <color rgb="00E2E8F0"/>
      </right>
      <top/>
      <bottom style="thin">
        <color rgb="00E2E8F0"/>
      </bottom>
    </border>
    <border>
      <left/>
      <right/>
      <top/>
      <bottom style="thin">
        <color rgb="00E2E8F0"/>
      </bottom>
      <diagonal/>
    </border>
    <border>
      <left/>
      <right style="thin">
        <color rgb="00E2E8F0"/>
      </right>
      <top/>
      <bottom style="thin">
        <color rgb="00E2E8F0"/>
      </bottom>
      <diagonal/>
    </border>
    <border>
      <left style="thick">
        <color rgb="00EB6834"/>
      </left>
      <top style="thin">
        <color rgb="00E2E8F0"/>
      </top>
      <bottom/>
    </border>
    <border>
      <left style="thick">
        <color rgb="00EB6834"/>
      </left>
      <top/>
      <bottom/>
    </border>
    <border>
      <left style="thick">
        <color rgb="00EB6834"/>
      </left>
      <top/>
      <bottom style="thin">
        <color rgb="00E2E8F0"/>
      </bottom>
    </border>
    <border>
      <left style="thick">
        <color rgb="00EB6834"/>
      </left>
      <right style="thin">
        <color rgb="00E2E8F0"/>
      </right>
      <top style="thin">
        <color rgb="00E2E8F0"/>
      </top>
      <bottom/>
    </border>
    <border>
      <left style="thick">
        <color rgb="00EB6834"/>
      </left>
      <right style="thin">
        <color rgb="00E2E8F0"/>
      </right>
      <top/>
      <bottom/>
    </border>
    <border>
      <left style="thick">
        <color rgb="00EB6834"/>
      </left>
      <right/>
      <top/>
      <bottom/>
      <diagonal/>
    </border>
    <border>
      <left style="thick">
        <color rgb="00EB6834"/>
      </left>
      <right style="thin">
        <color rgb="00E2E8F0"/>
      </right>
      <top/>
      <bottom style="thin">
        <color rgb="00E2E8F0"/>
      </bottom>
    </border>
    <border>
      <left style="thick">
        <color rgb="002A78D6"/>
      </left>
      <top style="thin">
        <color rgb="00E2E8F0"/>
      </top>
      <bottom/>
    </border>
    <border>
      <left style="thick">
        <color rgb="002A78D6"/>
      </left>
      <top/>
      <bottom/>
    </border>
    <border>
      <left style="thick">
        <color rgb="002A78D6"/>
      </left>
      <top/>
      <bottom style="thin">
        <color rgb="00E2E8F0"/>
      </bottom>
    </border>
    <border>
      <left style="thick">
        <color rgb="002A78D6"/>
      </left>
      <right style="thin">
        <color rgb="00E2E8F0"/>
      </right>
      <top style="thin">
        <color rgb="00E2E8F0"/>
      </top>
      <bottom/>
    </border>
    <border>
      <left style="thick">
        <color rgb="002A78D6"/>
      </left>
      <right style="thin">
        <color rgb="00E2E8F0"/>
      </right>
      <top/>
      <bottom/>
    </border>
    <border>
      <left style="thick">
        <color rgb="002A78D6"/>
      </left>
      <right/>
      <top/>
      <bottom/>
      <diagonal/>
    </border>
    <border>
      <left style="thick">
        <color rgb="002A78D6"/>
      </left>
      <right style="thin">
        <color rgb="00E2E8F0"/>
      </right>
      <top/>
      <bottom style="thin">
        <color rgb="00E2E8F0"/>
      </bottom>
    </border>
    <border>
      <left style="thick">
        <color rgb="006250D6"/>
      </left>
      <top style="thin">
        <color rgb="00E2E8F0"/>
      </top>
      <bottom/>
    </border>
    <border>
      <left style="thick">
        <color rgb="006250D6"/>
      </left>
      <top/>
      <bottom/>
    </border>
    <border>
      <left style="thick">
        <color rgb="006250D6"/>
      </left>
      <top/>
      <bottom style="thin">
        <color rgb="00E2E8F0"/>
      </bottom>
    </border>
    <border>
      <left style="thick">
        <color rgb="006250D6"/>
      </left>
      <right style="thin">
        <color rgb="00E2E8F0"/>
      </right>
      <top style="thin">
        <color rgb="00E2E8F0"/>
      </top>
      <bottom/>
    </border>
    <border>
      <left style="thick">
        <color rgb="006250D6"/>
      </left>
      <right style="thin">
        <color rgb="00E2E8F0"/>
      </right>
      <top/>
      <bottom/>
    </border>
    <border>
      <left style="thick">
        <color rgb="006250D6"/>
      </left>
      <right/>
      <top/>
      <bottom/>
      <diagonal/>
    </border>
    <border>
      <left style="thick">
        <color rgb="006250D6"/>
      </left>
      <right style="thin">
        <color rgb="00E2E8F0"/>
      </right>
      <top/>
      <bottom style="thin">
        <color rgb="00E2E8F0"/>
      </bottom>
    </border>
    <border>
      <left style="thin">
        <color rgb="00E2E8F0"/>
      </left>
      <right style="thin">
        <color rgb="00E2E8F0"/>
      </right>
      <top style="thin">
        <color rgb="00E2E8F0"/>
      </top>
      <bottom/>
    </border>
    <border>
      <top style="thin">
        <color rgb="00E2E8F0"/>
      </top>
    </border>
    <border>
      <left style="thin">
        <color rgb="00E2E8F0"/>
      </left>
      <right style="thin">
        <color rgb="00E2E8F0"/>
      </right>
      <top/>
      <bottom style="thin">
        <color rgb="00E2E8F0"/>
      </bottom>
    </border>
    <border>
      <left style="thin">
        <color rgb="00E2E8F0"/>
      </left>
      <right/>
      <top style="thin">
        <color rgb="00E2E8F0"/>
      </top>
      <bottom style="thin">
        <color rgb="00E2E8F0"/>
      </bottom>
    </border>
    <border>
      <left/>
      <right/>
      <top style="thin">
        <color rgb="00E2E8F0"/>
      </top>
      <bottom style="thin">
        <color rgb="00E2E8F0"/>
      </bottom>
    </border>
    <border>
      <left/>
      <right style="thin">
        <color rgb="00E2E8F0"/>
      </right>
      <top style="thin">
        <color rgb="00E2E8F0"/>
      </top>
      <bottom style="thin">
        <color rgb="00E2E8F0"/>
      </bottom>
    </border>
    <border>
      <left style="thick">
        <color rgb="00EDA100"/>
      </left>
      <top style="thin">
        <color rgb="00E2E8F0"/>
      </top>
      <bottom/>
    </border>
    <border>
      <left style="thick">
        <color rgb="00EDA100"/>
      </left>
      <top/>
      <bottom/>
    </border>
    <border>
      <left style="thick">
        <color rgb="00EDA100"/>
      </left>
      <top/>
      <bottom style="thin">
        <color rgb="00E2E8F0"/>
      </bottom>
    </border>
    <border>
      <left style="thick">
        <color rgb="00EDA100"/>
      </left>
      <right style="thin">
        <color rgb="00E2E8F0"/>
      </right>
      <top style="thin">
        <color rgb="00E2E8F0"/>
      </top>
      <bottom/>
    </border>
    <border>
      <left style="thick">
        <color rgb="00EDA100"/>
      </left>
      <right style="thin">
        <color rgb="00E2E8F0"/>
      </right>
      <top/>
      <bottom/>
    </border>
    <border>
      <left style="thick">
        <color rgb="00EDA100"/>
      </left>
      <right/>
      <top/>
      <bottom/>
      <diagonal/>
    </border>
    <border>
      <left style="thick">
        <color rgb="00EDA100"/>
      </left>
      <right style="thin">
        <color rgb="00E2E8F0"/>
      </right>
      <top/>
      <bottom style="thin">
        <color rgb="00E2E8F0"/>
      </bottom>
    </border>
    <border>
      <left style="thin">
        <color rgb="00E2E8F0"/>
      </left>
      <right/>
      <top/>
      <bottom/>
      <diagonal/>
    </border>
    <border>
      <left style="thick">
        <color rgb="0015803D"/>
      </left>
      <top style="thin">
        <color rgb="00E2E8F0"/>
      </top>
      <bottom/>
    </border>
    <border>
      <left style="thick">
        <color rgb="0015803D"/>
      </left>
      <top/>
      <bottom/>
    </border>
    <border>
      <left style="thick">
        <color rgb="0015803D"/>
      </left>
      <top/>
      <bottom style="thin">
        <color rgb="00E2E8F0"/>
      </bottom>
    </border>
    <border>
      <left style="thick">
        <color rgb="0015803D"/>
      </left>
      <right style="thin">
        <color rgb="00E2E8F0"/>
      </right>
      <top style="thin">
        <color rgb="00E2E8F0"/>
      </top>
      <bottom/>
    </border>
    <border>
      <left style="thick">
        <color rgb="0015803D"/>
      </left>
      <right style="thin">
        <color rgb="00E2E8F0"/>
      </right>
      <top/>
      <bottom/>
    </border>
    <border>
      <left style="thick">
        <color rgb="0015803D"/>
      </left>
      <right/>
      <top/>
      <bottom/>
      <diagonal/>
    </border>
    <border>
      <left style="thick">
        <color rgb="0015803D"/>
      </left>
      <right style="thin">
        <color rgb="00E2E8F0"/>
      </right>
      <top/>
      <bottom style="thin">
        <color rgb="00E2E8F0"/>
      </bottom>
    </border>
    <border>
      <left style="thick">
        <color rgb="002A78D6"/>
      </left>
      <right/>
      <top/>
      <bottom style="thin">
        <color rgb="00E2E8F0"/>
      </bottom>
      <diagonal/>
    </border>
    <border>
      <left style="thick">
        <color rgb="00EB6834"/>
      </left>
      <right/>
      <top/>
      <bottom style="thin">
        <color rgb="00E2E8F0"/>
      </bottom>
      <diagonal/>
    </border>
    <border>
      <left style="thick">
        <color rgb="001BAF7A"/>
      </left>
      <right/>
      <top/>
      <bottom style="thin">
        <color rgb="00E2E8F0"/>
      </bottom>
      <diagonal/>
    </border>
    <border>
      <left style="thick">
        <color rgb="0064748B"/>
      </left>
      <top style="thin">
        <color rgb="00E2E8F0"/>
      </top>
      <bottom/>
    </border>
    <border>
      <left style="thick">
        <color rgb="0064748B"/>
      </left>
      <top/>
      <bottom/>
    </border>
    <border>
      <left style="thick">
        <color rgb="0064748B"/>
      </left>
      <top/>
      <bottom style="thin">
        <color rgb="00E2E8F0"/>
      </bottom>
    </border>
    <border>
      <left style="thick">
        <color rgb="0064748B"/>
      </left>
      <right style="thin">
        <color rgb="00E2E8F0"/>
      </right>
      <top style="thin">
        <color rgb="00E2E8F0"/>
      </top>
      <bottom/>
    </border>
    <border>
      <left style="thick">
        <color rgb="0064748B"/>
      </left>
      <right style="thin">
        <color rgb="00E2E8F0"/>
      </right>
      <top/>
      <bottom style="thin">
        <color rgb="00E2E8F0"/>
      </bottom>
    </border>
    <border>
      <left style="thick">
        <color rgb="0064748B"/>
      </left>
      <right/>
      <top/>
      <bottom/>
      <diagonal/>
    </border>
    <border>
      <left style="thick">
        <color rgb="0064748B"/>
      </left>
      <right/>
      <top/>
      <bottom style="thin">
        <color rgb="00E2E8F0"/>
      </bottom>
      <diagonal/>
    </border>
    <border>
      <bottom style="thin">
        <color rgb="00E2E8F0"/>
      </bottom>
    </border>
  </borders>
  <cellStyleXfs count="1">
    <xf numFmtId="0" fontId="0" fillId="0" borderId="0"/>
  </cellStyleXfs>
  <cellXfs count="248">
    <xf numFmtId="0" fontId="0" fillId="0" borderId="0" pivotButton="0" quotePrefix="0" xfId="0"/>
    <xf numFmtId="0" fontId="0" fillId="2" borderId="0" pivotButton="0" quotePrefix="0" xfId="0"/>
    <xf numFmtId="0" fontId="1" fillId="2" borderId="0" applyAlignment="1" pivotButton="0" quotePrefix="0" xfId="0">
      <alignment vertical="center"/>
    </xf>
    <xf numFmtId="0" fontId="2" fillId="2" borderId="0" applyAlignment="1" pivotButton="0" quotePrefix="0" xfId="0">
      <alignment horizontal="right" vertical="center"/>
    </xf>
    <xf numFmtId="0" fontId="0" fillId="3" borderId="0" pivotButton="0" quotePrefix="0" xfId="0"/>
    <xf numFmtId="0" fontId="19" fillId="3" borderId="0" applyAlignment="1" pivotButton="0" quotePrefix="0" xfId="0">
      <alignment horizontal="left" vertical="center"/>
    </xf>
    <xf numFmtId="0" fontId="42" fillId="3" borderId="0" applyAlignment="1" pivotButton="0" quotePrefix="0" xfId="0">
      <alignment horizontal="left" vertical="center"/>
    </xf>
    <xf numFmtId="0" fontId="0" fillId="12" borderId="0" pivotButton="0" quotePrefix="0" xfId="0"/>
    <xf numFmtId="0" fontId="41" fillId="12" borderId="0" applyAlignment="1" pivotButton="0" quotePrefix="0" xfId="0">
      <alignment horizontal="left" vertical="top" wrapText="1" indent="1"/>
    </xf>
    <xf numFmtId="0" fontId="3" fillId="12" borderId="1" applyAlignment="1" pivotButton="0" quotePrefix="0" xfId="0">
      <alignment vertical="bottom"/>
    </xf>
    <xf numFmtId="0" fontId="0" fillId="0" borderId="1" pivotButton="0" quotePrefix="0" xfId="0"/>
    <xf numFmtId="0" fontId="17" fillId="6" borderId="35" applyAlignment="1" pivotButton="0" quotePrefix="0" xfId="0">
      <alignment horizontal="left" vertical="bottom" indent="1"/>
    </xf>
    <xf numFmtId="0" fontId="0" fillId="0" borderId="17" pivotButton="0" quotePrefix="0" xfId="0"/>
    <xf numFmtId="0" fontId="0" fillId="0" borderId="18" pivotButton="0" quotePrefix="0" xfId="0"/>
    <xf numFmtId="0" fontId="17" fillId="6" borderId="28" applyAlignment="1" pivotButton="0" quotePrefix="0" xfId="0">
      <alignment horizontal="left" vertical="bottom" indent="1"/>
    </xf>
    <xf numFmtId="0" fontId="12" fillId="6" borderId="38" applyAlignment="1" pivotButton="0" quotePrefix="0" xfId="0">
      <alignment horizontal="left" vertical="top" wrapText="1" indent="1"/>
    </xf>
    <xf numFmtId="0" fontId="0" fillId="0" borderId="21" pivotButton="0" quotePrefix="0" xfId="0"/>
    <xf numFmtId="0" fontId="12" fillId="6" borderId="31" applyAlignment="1" pivotButton="0" quotePrefix="0" xfId="0">
      <alignment horizontal="left" vertical="top" wrapText="1" indent="1"/>
    </xf>
    <xf numFmtId="0" fontId="0" fillId="0" borderId="67" pivotButton="0" quotePrefix="0" xfId="0"/>
    <xf numFmtId="0" fontId="0" fillId="0" borderId="23" pivotButton="0" quotePrefix="0" xfId="0"/>
    <xf numFmtId="0" fontId="0" fillId="0" borderId="24" pivotButton="0" quotePrefix="0" xfId="0"/>
    <xf numFmtId="0" fontId="0" fillId="0" borderId="68" pivotButton="0" quotePrefix="0" xfId="0"/>
    <xf numFmtId="0" fontId="17" fillId="6" borderId="16" applyAlignment="1" pivotButton="0" quotePrefix="0" xfId="0">
      <alignment horizontal="left" vertical="bottom" indent="1"/>
    </xf>
    <xf numFmtId="0" fontId="17" fillId="6" borderId="73" applyAlignment="1" pivotButton="0" quotePrefix="0" xfId="0">
      <alignment horizontal="left" vertical="bottom" indent="1"/>
    </xf>
    <xf numFmtId="0" fontId="12" fillId="6" borderId="22" applyAlignment="1" pivotButton="0" quotePrefix="0" xfId="0">
      <alignment horizontal="left" vertical="top" wrapText="1" indent="1"/>
    </xf>
    <xf numFmtId="0" fontId="12" fillId="6" borderId="74" applyAlignment="1" pivotButton="0" quotePrefix="0" xfId="0">
      <alignment horizontal="left" vertical="top" wrapText="1" indent="1"/>
    </xf>
    <xf numFmtId="0" fontId="0" fillId="0" borderId="69" pivotButton="0" quotePrefix="0" xfId="0"/>
    <xf numFmtId="0" fontId="0" fillId="0" borderId="76" pivotButton="0" quotePrefix="0" xfId="0"/>
    <xf numFmtId="0" fontId="9" fillId="6" borderId="77" applyAlignment="1" pivotButton="0" quotePrefix="0" xfId="0">
      <alignment horizontal="left" vertical="center" indent="1"/>
    </xf>
    <xf numFmtId="168" fontId="4" fillId="6" borderId="0" applyAlignment="1" pivotButton="0" quotePrefix="0" xfId="0">
      <alignment horizontal="right" vertical="center" indent="1"/>
    </xf>
    <xf numFmtId="0" fontId="23" fillId="12" borderId="0" applyAlignment="1" pivotButton="0" quotePrefix="0" xfId="0">
      <alignment horizontal="left" vertical="center" wrapText="1" indent="1"/>
    </xf>
    <xf numFmtId="167" fontId="4" fillId="6" borderId="0" applyAlignment="1" pivotButton="0" quotePrefix="0" xfId="0">
      <alignment horizontal="right" vertical="center" indent="1"/>
    </xf>
    <xf numFmtId="176" fontId="4" fillId="6" borderId="0" applyAlignment="1" pivotButton="0" quotePrefix="0" xfId="0">
      <alignment horizontal="right" vertical="center" indent="1"/>
    </xf>
    <xf numFmtId="0" fontId="4" fillId="6" borderId="0" applyAlignment="1" pivotButton="0" quotePrefix="0" xfId="0">
      <alignment horizontal="right" vertical="center" indent="1"/>
    </xf>
    <xf numFmtId="2" fontId="4" fillId="6" borderId="0" applyAlignment="1" pivotButton="0" quotePrefix="0" xfId="0">
      <alignment horizontal="right" vertical="center" indent="1"/>
    </xf>
    <xf numFmtId="0" fontId="4" fillId="6" borderId="77" applyAlignment="1" pivotButton="0" quotePrefix="0" xfId="0">
      <alignment horizontal="left" vertical="center" wrapText="1" indent="1"/>
    </xf>
    <xf numFmtId="0" fontId="0" fillId="0" borderId="77" pivotButton="0" quotePrefix="0" xfId="0"/>
    <xf numFmtId="0" fontId="23" fillId="6" borderId="77" applyAlignment="1" pivotButton="0" quotePrefix="0" xfId="0">
      <alignment horizontal="left" vertical="center" wrapText="1" indent="1"/>
    </xf>
    <xf numFmtId="0" fontId="11" fillId="10" borderId="0" applyAlignment="1" pivotButton="0" quotePrefix="0" xfId="0">
      <alignment horizontal="center" vertical="center" wrapText="1"/>
    </xf>
    <xf numFmtId="0" fontId="6" fillId="0" borderId="0" applyAlignment="1" pivotButton="0" quotePrefix="0" xfId="0">
      <alignment horizontal="left" vertical="center" wrapText="1" indent="1"/>
    </xf>
    <xf numFmtId="0" fontId="19" fillId="0" borderId="0" applyAlignment="1" pivotButton="0" quotePrefix="0" xfId="0">
      <alignment horizontal="left" vertical="center" indent="1"/>
    </xf>
    <xf numFmtId="0" fontId="20" fillId="0" borderId="0" applyAlignment="1" pivotButton="0" quotePrefix="0" xfId="0">
      <alignment horizontal="left" vertical="center" indent="1"/>
    </xf>
    <xf numFmtId="0" fontId="21" fillId="0" borderId="0" applyAlignment="1" pivotButton="0" quotePrefix="0" xfId="0">
      <alignment horizontal="left" vertical="center" indent="1"/>
    </xf>
    <xf numFmtId="0" fontId="13" fillId="3" borderId="0" applyAlignment="1" pivotButton="0" quotePrefix="0" xfId="0">
      <alignment horizontal="left" vertical="center" indent="1"/>
    </xf>
    <xf numFmtId="0" fontId="14" fillId="9" borderId="0" applyAlignment="1" pivotButton="0" quotePrefix="0" xfId="0">
      <alignment horizontal="left" vertical="center" indent="1"/>
    </xf>
    <xf numFmtId="0" fontId="11" fillId="2" borderId="0" applyAlignment="1" pivotButton="0" quotePrefix="0" xfId="0">
      <alignment horizontal="center" vertical="center" wrapText="1"/>
    </xf>
    <xf numFmtId="0" fontId="11" fillId="11" borderId="0" applyAlignment="1" pivotButton="0" quotePrefix="0" xfId="0">
      <alignment horizontal="center" vertical="center" wrapText="1"/>
    </xf>
    <xf numFmtId="167" fontId="15" fillId="0" borderId="0" pivotButton="0" quotePrefix="0" xfId="0"/>
    <xf numFmtId="0" fontId="15" fillId="0" borderId="0" pivotButton="0" quotePrefix="0" xfId="0"/>
    <xf numFmtId="4" fontId="15" fillId="0" borderId="0" pivotButton="0" quotePrefix="0" xfId="0"/>
    <xf numFmtId="2" fontId="15" fillId="0" borderId="0" pivotButton="0" quotePrefix="0" xfId="0"/>
    <xf numFmtId="0" fontId="22" fillId="0" borderId="0" pivotButton="0" quotePrefix="0" xfId="0"/>
    <xf numFmtId="0" fontId="12" fillId="0" borderId="0" pivotButton="0" quotePrefix="0" xfId="0"/>
    <xf numFmtId="4" fontId="12" fillId="0" borderId="0" pivotButton="0" quotePrefix="0" xfId="0"/>
    <xf numFmtId="0" fontId="24" fillId="12" borderId="0" applyAlignment="1" pivotButton="0" quotePrefix="0" xfId="0">
      <alignment horizontal="left" vertical="bottom"/>
    </xf>
    <xf numFmtId="0" fontId="25" fillId="6" borderId="2" applyAlignment="1" pivotButton="0" quotePrefix="0" xfId="0">
      <alignment horizontal="center" vertical="center" wrapText="1"/>
    </xf>
    <xf numFmtId="0" fontId="0" fillId="6" borderId="2" pivotButton="0" quotePrefix="0" xfId="0"/>
    <xf numFmtId="167" fontId="25" fillId="6" borderId="2" applyAlignment="1" pivotButton="0" quotePrefix="0" xfId="0">
      <alignment horizontal="center" vertical="center" wrapText="1"/>
    </xf>
    <xf numFmtId="0" fontId="6" fillId="12" borderId="0" applyAlignment="1" pivotButton="0" quotePrefix="0" xfId="0">
      <alignment horizontal="left" vertical="center"/>
    </xf>
    <xf numFmtId="0" fontId="24" fillId="6" borderId="16" applyAlignment="1" pivotButton="0" quotePrefix="0" xfId="0">
      <alignment horizontal="left" vertical="bottom" indent="1"/>
    </xf>
    <xf numFmtId="0" fontId="24" fillId="6" borderId="28" applyAlignment="1" pivotButton="0" quotePrefix="0" xfId="0">
      <alignment horizontal="left" vertical="bottom" indent="1"/>
    </xf>
    <xf numFmtId="0" fontId="24" fillId="6" borderId="35" applyAlignment="1" pivotButton="0" quotePrefix="0" xfId="0">
      <alignment horizontal="left" vertical="bottom" indent="1"/>
    </xf>
    <xf numFmtId="0" fontId="24" fillId="6" borderId="42" applyAlignment="1" pivotButton="0" quotePrefix="0" xfId="0">
      <alignment horizontal="left" vertical="bottom" indent="1"/>
    </xf>
    <xf numFmtId="164" fontId="26" fillId="6" borderId="19" applyAlignment="1" pivotButton="0" quotePrefix="0" xfId="0">
      <alignment horizontal="left" vertical="center" indent="1"/>
    </xf>
    <xf numFmtId="164" fontId="26" fillId="6" borderId="29" applyAlignment="1" pivotButton="0" quotePrefix="0" xfId="0">
      <alignment horizontal="left" vertical="center" indent="1"/>
    </xf>
    <xf numFmtId="164" fontId="26" fillId="6" borderId="36" applyAlignment="1" pivotButton="0" quotePrefix="0" xfId="0">
      <alignment horizontal="left" vertical="center" indent="1"/>
    </xf>
    <xf numFmtId="164" fontId="26" fillId="6" borderId="43" applyAlignment="1" pivotButton="0" quotePrefix="0" xfId="0">
      <alignment horizontal="left" vertical="center" indent="1"/>
    </xf>
    <xf numFmtId="0" fontId="0" fillId="0" borderId="20" pivotButton="0" quotePrefix="0" xfId="0"/>
    <xf numFmtId="0" fontId="0" fillId="0" borderId="30" pivotButton="0" quotePrefix="0" xfId="0"/>
    <xf numFmtId="0" fontId="0" fillId="0" borderId="37" pivotButton="0" quotePrefix="0" xfId="0"/>
    <xf numFmtId="0" fontId="0" fillId="0" borderId="44" pivotButton="0" quotePrefix="0" xfId="0"/>
    <xf numFmtId="0" fontId="27" fillId="6" borderId="22" applyAlignment="1" pivotButton="0" quotePrefix="0" xfId="0">
      <alignment horizontal="left" vertical="top" wrapText="1" indent="1"/>
    </xf>
    <xf numFmtId="0" fontId="27" fillId="6" borderId="31" applyAlignment="1" pivotButton="0" quotePrefix="0" xfId="0">
      <alignment horizontal="left" vertical="top" wrapText="1" indent="1"/>
    </xf>
    <xf numFmtId="0" fontId="27" fillId="6" borderId="38" applyAlignment="1" pivotButton="0" quotePrefix="0" xfId="0">
      <alignment horizontal="left" vertical="top" wrapText="1" indent="1"/>
    </xf>
    <xf numFmtId="0" fontId="27" fillId="6" borderId="45" applyAlignment="1" pivotButton="0" quotePrefix="0" xfId="0">
      <alignment horizontal="left" vertical="top" wrapText="1" indent="1"/>
    </xf>
    <xf numFmtId="164" fontId="28" fillId="6" borderId="29" applyAlignment="1" pivotButton="0" quotePrefix="0" xfId="0">
      <alignment horizontal="left" vertical="center" indent="1"/>
    </xf>
    <xf numFmtId="164" fontId="28" fillId="6" borderId="36" applyAlignment="1" pivotButton="0" quotePrefix="0" xfId="0">
      <alignment horizontal="left" vertical="center" indent="1"/>
    </xf>
    <xf numFmtId="0" fontId="29" fillId="6" borderId="46" applyAlignment="1" pivotButton="0" quotePrefix="0" xfId="0">
      <alignment horizontal="left" vertical="center" indent="1"/>
    </xf>
    <xf numFmtId="0" fontId="31" fillId="6" borderId="46" applyAlignment="1" pivotButton="0" quotePrefix="0" xfId="0">
      <alignment horizontal="left" vertical="center" indent="1"/>
    </xf>
    <xf numFmtId="0" fontId="32" fillId="6" borderId="46" applyAlignment="1" pivotButton="0" quotePrefix="0" xfId="0">
      <alignment horizontal="left" vertical="center" indent="1"/>
    </xf>
    <xf numFmtId="0" fontId="23" fillId="6" borderId="7" applyAlignment="1" pivotButton="0" quotePrefix="0" xfId="0">
      <alignment horizontal="left" vertical="center" indent="1"/>
    </xf>
    <xf numFmtId="164" fontId="15" fillId="6" borderId="9" applyAlignment="1" pivotButton="0" quotePrefix="0" xfId="0">
      <alignment horizontal="right" vertical="center" indent="1"/>
    </xf>
    <xf numFmtId="0" fontId="19" fillId="6" borderId="47" applyAlignment="1" pivotButton="0" quotePrefix="0" xfId="0">
      <alignment horizontal="left" vertical="center" indent="1"/>
    </xf>
    <xf numFmtId="0" fontId="0" fillId="0" borderId="47" pivotButton="0" quotePrefix="0" xfId="0"/>
    <xf numFmtId="164" fontId="4" fillId="6" borderId="47" applyAlignment="1" pivotButton="0" quotePrefix="0" xfId="0">
      <alignment horizontal="right" vertical="center" indent="1"/>
    </xf>
    <xf numFmtId="0" fontId="0" fillId="6" borderId="7" pivotButton="0" quotePrefix="0" xfId="0"/>
    <xf numFmtId="0" fontId="0" fillId="6" borderId="8" pivotButton="0" quotePrefix="0" xfId="0"/>
    <xf numFmtId="0" fontId="0" fillId="6" borderId="9" pivotButton="0" quotePrefix="0" xfId="0"/>
    <xf numFmtId="0" fontId="30" fillId="6" borderId="48" applyAlignment="1" pivotButton="0" quotePrefix="0" xfId="0">
      <alignment horizontal="left" vertical="center" wrapText="1" indent="1"/>
    </xf>
    <xf numFmtId="0" fontId="4" fillId="6" borderId="49" applyAlignment="1" pivotButton="0" quotePrefix="0" xfId="0">
      <alignment horizontal="left" vertical="center" indent="1"/>
    </xf>
    <xf numFmtId="0" fontId="0" fillId="0" borderId="50" pivotButton="0" quotePrefix="0" xfId="0"/>
    <xf numFmtId="0" fontId="0" fillId="0" borderId="51" pivotButton="0" quotePrefix="0" xfId="0"/>
    <xf numFmtId="0" fontId="0" fillId="6" borderId="4" pivotButton="0" quotePrefix="0" xfId="0"/>
    <xf numFmtId="0" fontId="0" fillId="6" borderId="5" pivotButton="0" quotePrefix="0" xfId="0"/>
    <xf numFmtId="0" fontId="0" fillId="6" borderId="6" pivotButton="0" quotePrefix="0" xfId="0"/>
    <xf numFmtId="0" fontId="24" fillId="6" borderId="7" applyAlignment="1" pivotButton="0" quotePrefix="0" xfId="0">
      <alignment horizontal="left" vertical="center" indent="1"/>
    </xf>
    <xf numFmtId="0" fontId="24" fillId="6" borderId="8" applyAlignment="1" pivotButton="0" quotePrefix="0" xfId="0">
      <alignment horizontal="right" vertical="center" indent="1"/>
    </xf>
    <xf numFmtId="0" fontId="33" fillId="6" borderId="7" applyAlignment="1" pivotButton="0" quotePrefix="0" xfId="0">
      <alignment horizontal="left" vertical="center" indent="1"/>
    </xf>
    <xf numFmtId="168" fontId="19" fillId="6" borderId="8" applyAlignment="1" pivotButton="0" quotePrefix="0" xfId="0">
      <alignment horizontal="right" vertical="center" indent="1"/>
    </xf>
    <xf numFmtId="171" fontId="12" fillId="6" borderId="8" applyAlignment="1" pivotButton="0" quotePrefix="0" xfId="0">
      <alignment horizontal="right" vertical="center" indent="1"/>
    </xf>
    <xf numFmtId="0" fontId="6" fillId="6" borderId="7" applyAlignment="1" pivotButton="0" quotePrefix="0" xfId="0">
      <alignment vertical="center"/>
    </xf>
    <xf numFmtId="0" fontId="0" fillId="6" borderId="10" pivotButton="0" quotePrefix="0" xfId="0"/>
    <xf numFmtId="0" fontId="0" fillId="6" borderId="11" pivotButton="0" quotePrefix="0" xfId="0"/>
    <xf numFmtId="0" fontId="0" fillId="6" borderId="12" pivotButton="0" quotePrefix="0" xfId="0"/>
    <xf numFmtId="0" fontId="19" fillId="6" borderId="8" applyAlignment="1" pivotButton="0" quotePrefix="0" xfId="0">
      <alignment horizontal="left" vertical="center" indent="1"/>
    </xf>
    <xf numFmtId="0" fontId="34" fillId="6" borderId="8" applyAlignment="1" pivotButton="0" quotePrefix="0" xfId="0">
      <alignment horizontal="left" vertical="center" indent="1"/>
    </xf>
    <xf numFmtId="0" fontId="6" fillId="6" borderId="8" applyAlignment="1" pivotButton="0" quotePrefix="0" xfId="0">
      <alignment vertical="center"/>
    </xf>
    <xf numFmtId="0" fontId="24" fillId="6" borderId="4" applyAlignment="1" pivotButton="0" quotePrefix="0" xfId="0">
      <alignment horizontal="left" vertical="center" indent="1"/>
    </xf>
    <xf numFmtId="0" fontId="24" fillId="6" borderId="5" applyAlignment="1" pivotButton="0" quotePrefix="0" xfId="0">
      <alignment horizontal="right" vertical="center" indent="1"/>
    </xf>
    <xf numFmtId="0" fontId="24" fillId="6" borderId="6" applyAlignment="1" pivotButton="0" quotePrefix="0" xfId="0">
      <alignment horizontal="right" vertical="center" indent="1"/>
    </xf>
    <xf numFmtId="0" fontId="35" fillId="6" borderId="7" applyAlignment="1" pivotButton="0" quotePrefix="0" xfId="0">
      <alignment horizontal="center" vertical="center" wrapText="1"/>
    </xf>
    <xf numFmtId="0" fontId="33" fillId="6" borderId="8" applyAlignment="1" pivotButton="0" quotePrefix="0" xfId="0">
      <alignment horizontal="left" vertical="center" indent="1"/>
    </xf>
    <xf numFmtId="168" fontId="12" fillId="6" borderId="8" applyAlignment="1" pivotButton="0" quotePrefix="0" xfId="0">
      <alignment horizontal="right" vertical="center" indent="1"/>
    </xf>
    <xf numFmtId="171" fontId="12" fillId="6" borderId="9" applyAlignment="1" pivotButton="0" quotePrefix="0" xfId="0">
      <alignment horizontal="right" vertical="center" indent="1"/>
    </xf>
    <xf numFmtId="0" fontId="6" fillId="6" borderId="10" applyAlignment="1" pivotButton="0" quotePrefix="0" xfId="0">
      <alignment vertical="center"/>
    </xf>
    <xf numFmtId="0" fontId="19" fillId="6" borderId="7" applyAlignment="1" pivotButton="0" quotePrefix="0" xfId="0">
      <alignment horizontal="left" vertical="center" indent="1"/>
    </xf>
    <xf numFmtId="168" fontId="33" fillId="6" borderId="8" applyAlignment="1" pivotButton="0" quotePrefix="0" xfId="0">
      <alignment horizontal="right" vertical="center" indent="1"/>
    </xf>
    <xf numFmtId="172" fontId="12" fillId="6" borderId="8" applyAlignment="1" pivotButton="0" quotePrefix="0" xfId="0">
      <alignment horizontal="right" vertical="center" indent="1"/>
    </xf>
    <xf numFmtId="168" fontId="33" fillId="6" borderId="9" applyAlignment="1" pivotButton="0" quotePrefix="0" xfId="0">
      <alignment horizontal="right" vertical="center" indent="1"/>
    </xf>
    <xf numFmtId="0" fontId="4" fillId="12" borderId="0" applyAlignment="1" pivotButton="0" quotePrefix="0" xfId="0">
      <alignment horizontal="left" vertical="center" indent="1"/>
    </xf>
    <xf numFmtId="0" fontId="36" fillId="12" borderId="0" applyAlignment="1" pivotButton="0" quotePrefix="0" xfId="0">
      <alignment horizontal="left" vertical="center" indent="1"/>
    </xf>
    <xf numFmtId="0" fontId="24" fillId="6" borderId="55" applyAlignment="1" pivotButton="0" quotePrefix="0" xfId="0">
      <alignment horizontal="left" vertical="bottom" indent="1"/>
    </xf>
    <xf numFmtId="164" fontId="26" fillId="6" borderId="56" applyAlignment="1" pivotButton="0" quotePrefix="0" xfId="0">
      <alignment horizontal="left" vertical="center" indent="1"/>
    </xf>
    <xf numFmtId="9" fontId="26" fillId="6" borderId="29" applyAlignment="1" pivotButton="0" quotePrefix="0" xfId="0">
      <alignment horizontal="left" vertical="center" indent="1"/>
    </xf>
    <xf numFmtId="0" fontId="0" fillId="0" borderId="57" pivotButton="0" quotePrefix="0" xfId="0"/>
    <xf numFmtId="0" fontId="27" fillId="6" borderId="58" applyAlignment="1" pivotButton="0" quotePrefix="0" xfId="0">
      <alignment horizontal="left" vertical="top" wrapText="1" indent="1"/>
    </xf>
    <xf numFmtId="173" fontId="28" fillId="6" borderId="29" applyAlignment="1" pivotButton="0" quotePrefix="0" xfId="0">
      <alignment horizontal="left" vertical="center" indent="1"/>
    </xf>
    <xf numFmtId="0" fontId="24" fillId="6" borderId="8" applyAlignment="1" pivotButton="0" quotePrefix="0" xfId="0">
      <alignment horizontal="left" vertical="center" indent="1"/>
    </xf>
    <xf numFmtId="1" fontId="5" fillId="4" borderId="2" applyAlignment="1" pivotButton="0" quotePrefix="0" xfId="0">
      <alignment horizontal="center" vertical="center" wrapText="1"/>
    </xf>
    <xf numFmtId="0" fontId="0" fillId="4" borderId="2" pivotButton="0" quotePrefix="0" xfId="0"/>
    <xf numFmtId="164" fontId="17" fillId="6" borderId="9" applyAlignment="1" pivotButton="0" quotePrefix="0" xfId="0">
      <alignment horizontal="right" vertical="center" indent="1"/>
    </xf>
    <xf numFmtId="9" fontId="5" fillId="4" borderId="2" applyAlignment="1" pivotButton="0" quotePrefix="0" xfId="0">
      <alignment horizontal="center" vertical="center" wrapText="1"/>
    </xf>
    <xf numFmtId="166" fontId="5" fillId="4" borderId="2" applyAlignment="1" pivotButton="0" quotePrefix="0" xfId="0">
      <alignment horizontal="center" vertical="center" wrapText="1"/>
    </xf>
    <xf numFmtId="0" fontId="30" fillId="6" borderId="7" applyAlignment="1" pivotButton="0" quotePrefix="0" xfId="0">
      <alignment horizontal="left" vertical="top" wrapText="1" indent="1"/>
    </xf>
    <xf numFmtId="0" fontId="4" fillId="8" borderId="9" applyAlignment="1" pivotButton="0" quotePrefix="0" xfId="0">
      <alignment horizontal="left" vertical="top" wrapText="1" indent="1"/>
    </xf>
    <xf numFmtId="0" fontId="0" fillId="0" borderId="59" pivotButton="0" quotePrefix="0" xfId="0"/>
    <xf numFmtId="0" fontId="24" fillId="6" borderId="4" applyAlignment="1" pivotButton="0" quotePrefix="0" xfId="0">
      <alignment horizontal="center" vertical="center" wrapText="1"/>
    </xf>
    <xf numFmtId="0" fontId="24" fillId="6" borderId="5" applyAlignment="1" pivotButton="0" quotePrefix="0" xfId="0">
      <alignment horizontal="center" vertical="center" wrapText="1"/>
    </xf>
    <xf numFmtId="0" fontId="24" fillId="6" borderId="6" applyAlignment="1" pivotButton="0" quotePrefix="0" xfId="0">
      <alignment horizontal="center" vertical="center" wrapText="1"/>
    </xf>
    <xf numFmtId="174" fontId="5" fillId="4" borderId="2" applyAlignment="1" pivotButton="0" quotePrefix="0" xfId="0">
      <alignment horizontal="center" vertical="center" wrapText="1"/>
    </xf>
    <xf numFmtId="175" fontId="15" fillId="6" borderId="8" applyAlignment="1" pivotButton="0" quotePrefix="0" xfId="0">
      <alignment horizontal="center" vertical="center" wrapText="1"/>
    </xf>
    <xf numFmtId="164" fontId="15" fillId="6" borderId="8" applyAlignment="1" pivotButton="0" quotePrefix="0" xfId="0">
      <alignment horizontal="center" vertical="center" wrapText="1"/>
    </xf>
    <xf numFmtId="164" fontId="7" fillId="6" borderId="8" applyAlignment="1" pivotButton="0" quotePrefix="0" xfId="0">
      <alignment horizontal="center" vertical="center" wrapText="1"/>
    </xf>
    <xf numFmtId="164" fontId="4" fillId="6" borderId="8" applyAlignment="1" pivotButton="0" quotePrefix="0" xfId="0">
      <alignment horizontal="center" vertical="center" wrapText="1"/>
    </xf>
    <xf numFmtId="164" fontId="37" fillId="6" borderId="8" applyAlignment="1" pivotButton="0" quotePrefix="0" xfId="0">
      <alignment horizontal="center" vertical="center" wrapText="1"/>
    </xf>
    <xf numFmtId="164" fontId="38" fillId="6" borderId="8" applyAlignment="1" pivotButton="0" quotePrefix="0" xfId="0">
      <alignment horizontal="center" vertical="center" wrapText="1"/>
    </xf>
    <xf numFmtId="0" fontId="30" fillId="6" borderId="9" applyAlignment="1" pivotButton="0" quotePrefix="0" xfId="0">
      <alignment horizontal="center" vertical="center" wrapText="1"/>
    </xf>
    <xf numFmtId="175" fontId="15" fillId="6" borderId="11" applyAlignment="1" pivotButton="0" quotePrefix="0" xfId="0">
      <alignment horizontal="center" vertical="center" wrapText="1"/>
    </xf>
    <xf numFmtId="164" fontId="15" fillId="6" borderId="11" applyAlignment="1" pivotButton="0" quotePrefix="0" xfId="0">
      <alignment horizontal="center" vertical="center" wrapText="1"/>
    </xf>
    <xf numFmtId="164" fontId="7" fillId="6" borderId="11" applyAlignment="1" pivotButton="0" quotePrefix="0" xfId="0">
      <alignment horizontal="center" vertical="center" wrapText="1"/>
    </xf>
    <xf numFmtId="164" fontId="4" fillId="6" borderId="11" applyAlignment="1" pivotButton="0" quotePrefix="0" xfId="0">
      <alignment horizontal="center" vertical="center" wrapText="1"/>
    </xf>
    <xf numFmtId="164" fontId="37" fillId="6" borderId="11" applyAlignment="1" pivotButton="0" quotePrefix="0" xfId="0">
      <alignment horizontal="center" vertical="center" wrapText="1"/>
    </xf>
    <xf numFmtId="164" fontId="38" fillId="6" borderId="11" applyAlignment="1" pivotButton="0" quotePrefix="0" xfId="0">
      <alignment horizontal="center" vertical="center" wrapText="1"/>
    </xf>
    <xf numFmtId="0" fontId="30" fillId="6" borderId="12" applyAlignment="1" pivotButton="0" quotePrefix="0" xfId="0">
      <alignment horizontal="center" vertical="center" wrapText="1"/>
    </xf>
    <xf numFmtId="0" fontId="6" fillId="12" borderId="0" applyAlignment="1" pivotButton="0" quotePrefix="0" xfId="0">
      <alignment vertical="center"/>
    </xf>
    <xf numFmtId="0" fontId="0" fillId="0" borderId="5" pivotButton="0" quotePrefix="0" xfId="0"/>
    <xf numFmtId="0" fontId="0" fillId="0" borderId="8" pivotButton="0" quotePrefix="0" xfId="0"/>
    <xf numFmtId="0" fontId="12" fillId="6" borderId="8" applyAlignment="1" pivotButton="0" quotePrefix="0" xfId="0">
      <alignment horizontal="center" vertical="center" wrapText="1"/>
    </xf>
    <xf numFmtId="0" fontId="27" fillId="6" borderId="8" applyAlignment="1" pivotButton="0" quotePrefix="0" xfId="0">
      <alignment horizontal="left" vertical="center" shrinkToFit="1"/>
    </xf>
    <xf numFmtId="168" fontId="33" fillId="6" borderId="8" applyAlignment="1" pivotButton="0" quotePrefix="0" xfId="0">
      <alignment horizontal="center" vertical="center" wrapText="1"/>
    </xf>
    <xf numFmtId="175" fontId="12" fillId="6" borderId="9" applyAlignment="1" pivotButton="0" quotePrefix="0" xfId="0">
      <alignment horizontal="right" vertical="center" indent="1"/>
    </xf>
    <xf numFmtId="0" fontId="33" fillId="6" borderId="10" applyAlignment="1" pivotButton="0" quotePrefix="0" xfId="0">
      <alignment horizontal="left" vertical="center" indent="1"/>
    </xf>
    <xf numFmtId="0" fontId="0" fillId="0" borderId="11" pivotButton="0" quotePrefix="0" xfId="0"/>
    <xf numFmtId="0" fontId="12" fillId="6" borderId="11" applyAlignment="1" pivotButton="0" quotePrefix="0" xfId="0">
      <alignment horizontal="center" vertical="center" wrapText="1"/>
    </xf>
    <xf numFmtId="0" fontId="27" fillId="6" borderId="11" applyAlignment="1" pivotButton="0" quotePrefix="0" xfId="0">
      <alignment horizontal="left" vertical="center" shrinkToFit="1"/>
    </xf>
    <xf numFmtId="168" fontId="33" fillId="6" borderId="11" applyAlignment="1" pivotButton="0" quotePrefix="0" xfId="0">
      <alignment horizontal="center" vertical="center" wrapText="1"/>
    </xf>
    <xf numFmtId="168" fontId="19" fillId="6" borderId="11" applyAlignment="1" pivotButton="0" quotePrefix="0" xfId="0">
      <alignment horizontal="right" vertical="center" indent="1"/>
    </xf>
    <xf numFmtId="168" fontId="33" fillId="6" borderId="11" applyAlignment="1" pivotButton="0" quotePrefix="0" xfId="0">
      <alignment horizontal="right" vertical="center" indent="1"/>
    </xf>
    <xf numFmtId="171" fontId="12" fillId="6" borderId="11" applyAlignment="1" pivotButton="0" quotePrefix="0" xfId="0">
      <alignment horizontal="right" vertical="center" indent="1"/>
    </xf>
    <xf numFmtId="175" fontId="12" fillId="6" borderId="12" applyAlignment="1" pivotButton="0" quotePrefix="0" xfId="0">
      <alignment horizontal="right" vertical="center" indent="1"/>
    </xf>
    <xf numFmtId="167" fontId="19" fillId="6" borderId="8" applyAlignment="1" pivotButton="0" quotePrefix="0" xfId="0">
      <alignment horizontal="center" vertical="center" wrapText="1"/>
    </xf>
    <xf numFmtId="168" fontId="12" fillId="6" borderId="9" applyAlignment="1" pivotButton="0" quotePrefix="0" xfId="0">
      <alignment horizontal="right" vertical="center" indent="1"/>
    </xf>
    <xf numFmtId="164" fontId="5" fillId="4" borderId="2" applyAlignment="1" pivotButton="0" quotePrefix="0" xfId="0">
      <alignment horizontal="center" vertical="center" wrapText="1"/>
    </xf>
    <xf numFmtId="0" fontId="6" fillId="12" borderId="0" applyAlignment="1" pivotButton="0" quotePrefix="0" xfId="0">
      <alignment horizontal="right" vertical="center" indent="1"/>
    </xf>
    <xf numFmtId="168" fontId="26" fillId="6" borderId="29" applyAlignment="1" pivotButton="0" quotePrefix="0" xfId="0">
      <alignment horizontal="left" vertical="center" indent="1"/>
    </xf>
    <xf numFmtId="176" fontId="26" fillId="6" borderId="29" applyAlignment="1" pivotButton="0" quotePrefix="0" xfId="0">
      <alignment horizontal="left" vertical="center" indent="1"/>
    </xf>
    <xf numFmtId="177" fontId="26" fillId="6" borderId="29" applyAlignment="1" pivotButton="0" quotePrefix="0" xfId="0">
      <alignment horizontal="left" vertical="center" indent="1"/>
    </xf>
    <xf numFmtId="0" fontId="24" fillId="6" borderId="63" applyAlignment="1" pivotButton="0" quotePrefix="0" xfId="0">
      <alignment horizontal="left" vertical="bottom" indent="1"/>
    </xf>
    <xf numFmtId="164" fontId="28" fillId="6" borderId="64" applyAlignment="1" pivotButton="0" quotePrefix="0" xfId="0">
      <alignment horizontal="left" vertical="center" indent="1"/>
    </xf>
    <xf numFmtId="0" fontId="0" fillId="0" borderId="65" pivotButton="0" quotePrefix="0" xfId="0"/>
    <xf numFmtId="0" fontId="27" fillId="6" borderId="66" applyAlignment="1" pivotButton="0" quotePrefix="0" xfId="0">
      <alignment horizontal="left" vertical="top" wrapText="1" indent="1"/>
    </xf>
    <xf numFmtId="0" fontId="6" fillId="0" borderId="0" applyAlignment="1" pivotButton="0" quotePrefix="0" xfId="0">
      <alignment horizontal="left" vertical="top" wrapText="1" indent="1"/>
    </xf>
    <xf numFmtId="0" fontId="8" fillId="2" borderId="0" applyAlignment="1" pivotButton="0" quotePrefix="0" xfId="0">
      <alignment horizontal="center" vertical="center" wrapText="1"/>
    </xf>
    <xf numFmtId="0" fontId="8" fillId="7" borderId="0" applyAlignment="1" pivotButton="0" quotePrefix="0" xfId="0">
      <alignment horizontal="center" vertical="center" wrapText="1"/>
    </xf>
    <xf numFmtId="0" fontId="4" fillId="4" borderId="3" applyAlignment="1" pivotButton="0" quotePrefix="0" xfId="0">
      <alignment horizontal="left" vertical="center" indent="1"/>
    </xf>
    <xf numFmtId="0" fontId="15" fillId="4" borderId="3" applyAlignment="1" pivotButton="0" quotePrefix="0" xfId="0">
      <alignment horizontal="left" vertical="center" indent="1"/>
    </xf>
    <xf numFmtId="166" fontId="15" fillId="4" borderId="3" applyAlignment="1" pivotButton="0" quotePrefix="0" xfId="0">
      <alignment horizontal="center" vertical="center" wrapText="1"/>
    </xf>
    <xf numFmtId="0" fontId="15" fillId="4" borderId="3" applyAlignment="1" pivotButton="0" quotePrefix="0" xfId="0">
      <alignment horizontal="center" vertical="center" wrapText="1"/>
    </xf>
    <xf numFmtId="167" fontId="15" fillId="4" borderId="3" applyAlignment="1" pivotButton="0" quotePrefix="0" xfId="0">
      <alignment horizontal="center" vertical="center" wrapText="1"/>
    </xf>
    <xf numFmtId="0" fontId="12" fillId="4" borderId="3" applyAlignment="1" pivotButton="0" quotePrefix="0" xfId="0">
      <alignment horizontal="left" vertical="center" indent="1"/>
    </xf>
    <xf numFmtId="166" fontId="15" fillId="8" borderId="3" applyAlignment="1" pivotButton="0" quotePrefix="0" xfId="0">
      <alignment horizontal="right" vertical="center" indent="1"/>
    </xf>
    <xf numFmtId="166" fontId="4" fillId="8" borderId="3" applyAlignment="1" pivotButton="0" quotePrefix="0" xfId="0">
      <alignment horizontal="right" vertical="center" indent="1"/>
    </xf>
    <xf numFmtId="167" fontId="15" fillId="8" borderId="3" applyAlignment="1" pivotButton="0" quotePrefix="0" xfId="0">
      <alignment horizontal="center" vertical="center" wrapText="1"/>
    </xf>
    <xf numFmtId="1" fontId="15" fillId="8" borderId="3" applyAlignment="1" pivotButton="0" quotePrefix="0" xfId="0">
      <alignment horizontal="center" vertical="center" wrapText="1"/>
    </xf>
    <xf numFmtId="0" fontId="4" fillId="8" borderId="3" applyAlignment="1" pivotButton="0" quotePrefix="0" xfId="0">
      <alignment horizontal="center" vertical="center" wrapText="1"/>
    </xf>
    <xf numFmtId="0" fontId="15" fillId="8" borderId="3" applyAlignment="1" pivotButton="0" quotePrefix="0" xfId="0">
      <alignment horizontal="center" vertical="center" wrapText="1"/>
    </xf>
    <xf numFmtId="0" fontId="4" fillId="0" borderId="0" pivotButton="0" quotePrefix="0" xfId="0"/>
    <xf numFmtId="0" fontId="14" fillId="0" borderId="0" applyAlignment="1" pivotButton="0" quotePrefix="0" xfId="0">
      <alignment horizontal="right" vertical="center" indent="1"/>
    </xf>
    <xf numFmtId="166" fontId="17" fillId="0" borderId="0" applyAlignment="1" pivotButton="0" quotePrefix="0" xfId="0">
      <alignment horizontal="right" vertical="center" indent="1"/>
    </xf>
    <xf numFmtId="0" fontId="39" fillId="0" borderId="0" applyAlignment="1" pivotButton="0" quotePrefix="0" xfId="0">
      <alignment horizontal="center" vertical="center" wrapText="1"/>
    </xf>
    <xf numFmtId="166" fontId="17" fillId="0" borderId="0" applyAlignment="1" pivotButton="0" quotePrefix="0" xfId="0">
      <alignment horizontal="center" vertical="center" wrapText="1"/>
    </xf>
    <xf numFmtId="0" fontId="3" fillId="0" borderId="1" applyAlignment="1" pivotButton="0" quotePrefix="0" xfId="0">
      <alignment vertical="bottom"/>
    </xf>
    <xf numFmtId="0" fontId="4" fillId="6" borderId="3" applyAlignment="1" pivotButton="0" quotePrefix="0" xfId="0">
      <alignment horizontal="left" vertical="center" indent="1"/>
    </xf>
    <xf numFmtId="9" fontId="4" fillId="8" borderId="3" applyAlignment="1" pivotButton="0" quotePrefix="0" xfId="0">
      <alignment horizontal="center" vertical="center" wrapText="1"/>
    </xf>
    <xf numFmtId="0" fontId="40" fillId="8" borderId="3" applyAlignment="1" pivotButton="0" quotePrefix="0" xfId="0">
      <alignment horizontal="center" vertical="center" wrapText="1"/>
    </xf>
    <xf numFmtId="9" fontId="15" fillId="8" borderId="3" applyAlignment="1" pivotButton="0" quotePrefix="0" xfId="0">
      <alignment horizontal="center" vertical="center" wrapText="1"/>
    </xf>
    <xf numFmtId="0" fontId="14" fillId="0" borderId="0" pivotButton="0" quotePrefix="0" xfId="0"/>
    <xf numFmtId="0" fontId="19" fillId="0" borderId="0" pivotButton="0" quotePrefix="0" xfId="0"/>
    <xf numFmtId="0" fontId="33" fillId="0" borderId="0" pivotButton="0" quotePrefix="0" xfId="0"/>
    <xf numFmtId="167" fontId="5" fillId="4" borderId="2" applyAlignment="1" pivotButton="0" quotePrefix="0" xfId="0">
      <alignment horizontal="center" vertical="center" wrapText="1"/>
    </xf>
    <xf numFmtId="0" fontId="5" fillId="4" borderId="2" applyAlignment="1" pivotButton="0" quotePrefix="0" xfId="0">
      <alignment horizontal="center" vertical="center" wrapText="1"/>
    </xf>
    <xf numFmtId="0" fontId="4" fillId="0" borderId="0" applyAlignment="1" pivotButton="0" quotePrefix="0" xfId="0">
      <alignment horizontal="left" vertical="center" indent="1"/>
    </xf>
    <xf numFmtId="0" fontId="9" fillId="0" borderId="0" applyAlignment="1" pivotButton="0" quotePrefix="0" xfId="0">
      <alignment horizontal="left" vertical="center" indent="1"/>
    </xf>
    <xf numFmtId="166" fontId="4" fillId="0" borderId="0" applyAlignment="1" pivotButton="0" quotePrefix="0" xfId="0">
      <alignment horizontal="right" vertical="center" indent="1"/>
    </xf>
    <xf numFmtId="166" fontId="37" fillId="0" borderId="0" applyAlignment="1" pivotButton="0" quotePrefix="0" xfId="0">
      <alignment horizontal="right" vertical="center" indent="1"/>
    </xf>
    <xf numFmtId="166" fontId="5" fillId="4" borderId="3" applyAlignment="1" pivotButton="0" quotePrefix="0" xfId="0">
      <alignment horizontal="right" vertical="center" indent="1"/>
    </xf>
    <xf numFmtId="167" fontId="16" fillId="4" borderId="3" applyAlignment="1" pivotButton="0" quotePrefix="0" xfId="0">
      <alignment horizontal="center" vertical="center" wrapText="1"/>
    </xf>
    <xf numFmtId="0" fontId="9" fillId="8" borderId="3" applyAlignment="1" pivotButton="0" quotePrefix="0" xfId="0">
      <alignment horizontal="center" vertical="center" wrapText="1"/>
    </xf>
    <xf numFmtId="166" fontId="9" fillId="8" borderId="3" applyAlignment="1" pivotButton="0" quotePrefix="0" xfId="0">
      <alignment horizontal="right" vertical="center" indent="1"/>
    </xf>
    <xf numFmtId="168" fontId="9" fillId="8" borderId="3" applyAlignment="1" pivotButton="0" quotePrefix="0" xfId="0">
      <alignment horizontal="center" vertical="center" wrapText="1"/>
    </xf>
    <xf numFmtId="0" fontId="18" fillId="0" borderId="0" pivotButton="0" quotePrefix="0" xfId="0"/>
    <xf numFmtId="0" fontId="17" fillId="0" borderId="0" applyAlignment="1" pivotButton="0" quotePrefix="0" xfId="0">
      <alignment horizontal="right" vertical="center" indent="1"/>
    </xf>
    <xf numFmtId="0" fontId="11" fillId="2" borderId="0" applyAlignment="1" pivotButton="0" quotePrefix="0" xfId="0">
      <alignment horizontal="left" vertical="center" indent="1"/>
    </xf>
    <xf numFmtId="0" fontId="11" fillId="7" borderId="0" applyAlignment="1" pivotButton="0" quotePrefix="0" xfId="0">
      <alignment horizontal="left" vertical="center" indent="1"/>
    </xf>
    <xf numFmtId="0" fontId="11" fillId="7" borderId="0" applyAlignment="1" pivotButton="0" quotePrefix="0" xfId="0">
      <alignment horizontal="center" vertical="center" wrapText="1"/>
    </xf>
    <xf numFmtId="0" fontId="9" fillId="6" borderId="3" applyAlignment="1" pivotButton="0" quotePrefix="0" xfId="0">
      <alignment horizontal="left" vertical="center" indent="1"/>
    </xf>
    <xf numFmtId="0" fontId="9" fillId="6" borderId="3" applyAlignment="1" pivotButton="0" quotePrefix="0" xfId="0">
      <alignment horizontal="center" vertical="center" wrapText="1"/>
    </xf>
    <xf numFmtId="0" fontId="4" fillId="8" borderId="3" applyAlignment="1" pivotButton="0" quotePrefix="0" xfId="0">
      <alignment horizontal="left" vertical="center" indent="1"/>
    </xf>
    <xf numFmtId="0" fontId="12" fillId="8" borderId="3" applyAlignment="1" pivotButton="0" quotePrefix="0" xfId="0">
      <alignment horizontal="center" vertical="center" wrapText="1"/>
    </xf>
    <xf numFmtId="0" fontId="6" fillId="0" borderId="0" applyAlignment="1" pivotButton="0" quotePrefix="0" xfId="0">
      <alignment vertical="center"/>
    </xf>
    <xf numFmtId="2" fontId="5" fillId="4" borderId="2" applyAlignment="1" pivotButton="0" quotePrefix="0" xfId="0">
      <alignment horizontal="center" vertical="center" wrapText="1"/>
    </xf>
    <xf numFmtId="0" fontId="6" fillId="0" borderId="0" applyAlignment="1" pivotButton="0" quotePrefix="0" xfId="0">
      <alignment vertical="center" wrapText="1"/>
    </xf>
    <xf numFmtId="164" fontId="7" fillId="0" borderId="0" applyAlignment="1" pivotButton="0" quotePrefix="0" xfId="0">
      <alignment horizontal="center" vertical="center" wrapText="1"/>
    </xf>
    <xf numFmtId="0" fontId="8" fillId="5" borderId="0" applyAlignment="1" pivotButton="0" quotePrefix="0" xfId="0">
      <alignment horizontal="left" vertical="center" indent="1"/>
    </xf>
    <xf numFmtId="0" fontId="8" fillId="5" borderId="0" applyAlignment="1" pivotButton="0" quotePrefix="0" xfId="0">
      <alignment horizontal="center" vertical="center" wrapText="1"/>
    </xf>
    <xf numFmtId="0" fontId="4" fillId="6" borderId="3" applyAlignment="1" pivotButton="0" quotePrefix="0" xfId="0">
      <alignment horizontal="left" vertical="center" wrapText="1" indent="1"/>
    </xf>
    <xf numFmtId="0" fontId="9" fillId="6" borderId="3" applyAlignment="1" pivotButton="0" quotePrefix="0" xfId="0">
      <alignment horizontal="left" vertical="center" wrapText="1" indent="1"/>
    </xf>
    <xf numFmtId="165" fontId="9" fillId="6" borderId="3" applyAlignment="1" pivotButton="0" quotePrefix="0" xfId="0">
      <alignment horizontal="left" vertical="center" indent="1"/>
    </xf>
    <xf numFmtId="0" fontId="10" fillId="6" borderId="3" applyAlignment="1" pivotButton="0" quotePrefix="0" xfId="0">
      <alignment horizontal="left" vertical="center" indent="1"/>
    </xf>
    <xf numFmtId="0" fontId="6" fillId="0" borderId="0" pivotButton="0" quotePrefix="0" xfId="0"/>
    <xf numFmtId="0" fontId="4" fillId="0" borderId="1" applyAlignment="1" pivotButton="0" quotePrefix="0" xfId="0">
      <alignment vertical="bottom"/>
    </xf>
    <xf numFmtId="0" fontId="23" fillId="0" borderId="0" pivotButton="0" quotePrefix="0" xfId="0"/>
    <xf numFmtId="167" fontId="19" fillId="0" borderId="0" pivotButton="0" quotePrefix="0" xfId="0"/>
    <xf numFmtId="170" fontId="23" fillId="0" borderId="0" pivotButton="0" quotePrefix="0" xfId="0"/>
    <xf numFmtId="3" fontId="23" fillId="0" borderId="0" pivotButton="0" quotePrefix="0" xfId="0"/>
    <xf numFmtId="171" fontId="23" fillId="0" borderId="0" pivotButton="0" quotePrefix="0" xfId="0"/>
    <xf numFmtId="167" fontId="23" fillId="0" borderId="0" pivotButton="0" quotePrefix="0" xfId="0"/>
    <xf numFmtId="1" fontId="19" fillId="0" borderId="0" pivotButton="0" quotePrefix="0" xfId="0"/>
  </cellXfs>
  <cellStyles count="1">
    <cellStyle name="Normal" xfId="0" builtinId="0" hidden="0"/>
  </cellStyles>
  <dxfs count="12">
    <dxf>
      <font>
        <b val="1"/>
        <color rgb="00B91C1C"/>
      </font>
      <fill>
        <patternFill patternType="solid">
          <fgColor rgb="00FEE2E2"/>
          <bgColor rgb="00FEE2E2"/>
        </patternFill>
      </fill>
    </dxf>
    <dxf>
      <font>
        <b val="1"/>
        <color rgb="006250D6"/>
      </font>
      <fill>
        <patternFill patternType="solid">
          <fgColor rgb="00F3F0FF"/>
          <bgColor rgb="00F3F0FF"/>
        </patternFill>
      </fill>
    </dxf>
    <dxf>
      <fill>
        <patternFill patternType="solid">
          <fgColor rgb="00F3F0FF"/>
          <bgColor rgb="00F3F0FF"/>
        </patternFill>
      </fill>
    </dxf>
    <dxf>
      <font>
        <b val="1"/>
        <color rgb="0015803D"/>
      </font>
    </dxf>
    <dxf>
      <font>
        <i val="1"/>
        <color rgb="0064748B"/>
      </font>
    </dxf>
    <dxf>
      <font>
        <b val="1"/>
        <color rgb="006250D6"/>
      </font>
    </dxf>
    <dxf>
      <font>
        <b val="1"/>
        <color rgb="00B45309"/>
      </font>
      <fill>
        <patternFill patternType="solid">
          <fgColor rgb="00FEF3C7"/>
          <bgColor rgb="00FEF3C7"/>
        </patternFill>
      </fill>
    </dxf>
    <dxf>
      <font>
        <b val="1"/>
        <color rgb="0015803D"/>
      </font>
      <fill>
        <patternFill patternType="solid">
          <fgColor rgb="00DCFCE7"/>
          <bgColor rgb="00DCFCE7"/>
        </patternFill>
      </fill>
    </dxf>
    <dxf>
      <font>
        <b val="1"/>
        <color rgb="00B91C1C"/>
      </font>
    </dxf>
    <dxf>
      <font>
        <color rgb="0015803D"/>
      </font>
    </dxf>
    <dxf>
      <font>
        <i val="1"/>
        <color rgb="0094A3B8"/>
      </font>
    </dxf>
    <dxf>
      <fill>
        <patternFill patternType="solid">
          <fgColor rgb="00FEE2E2"/>
          <bgColor rgb="00FEE2E2"/>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charts/chart1.xml><?xml version="1.0" encoding="utf-8"?>
<chartSpace xmlns="http://schemas.openxmlformats.org/drawingml/2006/chart">
  <style val="2"/>
  <chart>
    <plotArea>
      <barChart>
        <barDir val="bar"/>
        <grouping val="clustered"/>
        <ser>
          <idx val="0"/>
          <order val="0"/>
          <spPr>
            <a:solidFill xmlns:a="http://schemas.openxmlformats.org/drawingml/2006/main">
              <a:srgbClr val="EB6834"/>
            </a:solidFill>
            <a:ln xmlns:a="http://schemas.openxmlformats.org/drawingml/2006/main">
              <a:solidFill>
                <a:srgbClr val="FFFFFF"/>
              </a:solidFill>
              <a:prstDash val="solid"/>
            </a:ln>
          </spPr>
          <dLbls>
            <numFmt formatCode="#,##0;-#,##0;&quot;&quot;"/>
            <txPr>
              <a:bodyPr xmlns:a="http://schemas.openxmlformats.org/drawingml/2006/main"/>
              <a:p xmlns:a="http://schemas.openxmlformats.org/drawingml/2006/main">
                <a:pPr>
                  <a:defRPr sz="800">
                    <a:solidFill>
                      <a:srgbClr val="334155"/>
                    </a:solidFill>
                    <a:latin typeface="Aptos"/>
                  </a:defRPr>
                </a:pPr>
                <a:r>
                  <a:t/>
                </a:r>
                <a:endParaRPr sz="800">
                  <a:solidFill>
                    <a:srgbClr val="334155"/>
                  </a:solidFill>
                  <a:latin typeface="Aptos"/>
                </a:endParaRPr>
              </a:p>
            </txPr>
            <dLblPos val="outEnd"/>
            <showLegendKey val="0"/>
            <showVal val="1"/>
            <showCatName val="0"/>
            <showSerName val="0"/>
          </dLbls>
          <cat>
            <numRef>
              <f>'Motor'!$BX$7:$BX$18</f>
            </numRef>
          </cat>
          <val>
            <numRef>
              <f>'Motor'!$BY$7:$BY$18</f>
            </numRef>
          </val>
        </ser>
        <gapWidth val="45"/>
        <axId val="10"/>
        <axId val="100"/>
      </barChart>
      <catAx>
        <axId val="10"/>
        <scaling>
          <orientation val="maxMin"/>
        </scaling>
        <delete val="0"/>
        <axPos val="l"/>
        <majorTickMark val="none"/>
        <minorTickMark val="none"/>
        <spPr>
          <a:ln xmlns:a="http://schemas.openxmlformats.org/drawingml/2006/main">
            <a:solidFill>
              <a:srgbClr val="E2E8F0"/>
            </a:solidFill>
            <a:prstDash val="solid"/>
          </a:ln>
        </spPr>
        <txPr>
          <a:bodyPr xmlns:a="http://schemas.openxmlformats.org/drawingml/2006/main"/>
          <a:p xmlns:a="http://schemas.openxmlformats.org/drawingml/2006/main">
            <a:pPr>
              <a:defRPr sz="900">
                <a:solidFill>
                  <a:srgbClr val="475569"/>
                </a:solidFill>
                <a:latin typeface="Aptos"/>
              </a:defRPr>
            </a:pPr>
            <a:r>
              <a:t/>
            </a:r>
            <a:endParaRPr sz="900">
              <a:solidFill>
                <a:srgbClr val="475569"/>
              </a:solidFill>
              <a:latin typeface="Aptos"/>
            </a:endParaRPr>
          </a:p>
        </txPr>
        <crossAx val="100"/>
        <lblOffset val="100"/>
      </catAx>
      <valAx>
        <axId val="100"/>
        <scaling>
          <orientation val="minMax"/>
        </scaling>
        <delete val="1"/>
        <axPos val="l"/>
        <majorTickMark val="none"/>
        <minorTickMark val="none"/>
        <spPr>
          <a:ln xmlns:a="http://schemas.openxmlformats.org/drawingml/2006/main">
            <a:noFill/>
            <a:prstDash val="solid"/>
          </a:ln>
        </spPr>
        <txPr>
          <a:bodyPr xmlns:a="http://schemas.openxmlformats.org/drawingml/2006/main"/>
          <a:p xmlns:a="http://schemas.openxmlformats.org/drawingml/2006/main">
            <a:pPr>
              <a:defRPr sz="900">
                <a:solidFill>
                  <a:srgbClr val="475569"/>
                </a:solidFill>
                <a:latin typeface="Aptos"/>
              </a:defRPr>
            </a:pPr>
            <a:r>
              <a:t/>
            </a:r>
            <a:endParaRPr sz="900">
              <a:solidFill>
                <a:srgbClr val="475569"/>
              </a:solidFill>
              <a:latin typeface="Aptos"/>
            </a:endParaRPr>
          </a:p>
        </txPr>
        <crossAx val="10"/>
      </valAx>
    </plotArea>
    <plotVisOnly val="1"/>
    <dispBlanksAs val="gap"/>
  </chart>
  <spPr>
    <a:ln xmlns:a="http://schemas.openxmlformats.org/drawingml/2006/main">
      <a:noFill/>
      <a:prstDash val="solid"/>
    </a:ln>
  </spPr>
</chartSpace>
</file>

<file path=xl/charts/chart2.xml><?xml version="1.0" encoding="utf-8"?>
<chartSpace xmlns="http://schemas.openxmlformats.org/drawingml/2006/chart">
  <style val="2"/>
  <chart>
    <plotArea>
      <barChart>
        <barDir val="col"/>
        <grouping val="clustered"/>
        <ser>
          <idx val="0"/>
          <order val="0"/>
          <tx>
            <strRef>
              <f>'Motor'!AM6</f>
            </strRef>
          </tx>
          <spPr>
            <a:solidFill xmlns:a="http://schemas.openxmlformats.org/drawingml/2006/main">
              <a:srgbClr val="2A78D6"/>
            </a:solidFill>
            <a:ln xmlns:a="http://schemas.openxmlformats.org/drawingml/2006/main">
              <a:solidFill>
                <a:srgbClr val="FFFFFF"/>
              </a:solidFill>
              <a:prstDash val="solid"/>
            </a:ln>
          </spPr>
          <cat>
            <numRef>
              <f>'Motor'!$AL$7:$AL$18</f>
            </numRef>
          </cat>
          <val>
            <numRef>
              <f>'Motor'!$AM$7:$AM$18</f>
            </numRef>
          </val>
        </ser>
        <ser>
          <idx val="1"/>
          <order val="1"/>
          <tx>
            <strRef>
              <f>'Motor'!AN6</f>
            </strRef>
          </tx>
          <spPr>
            <a:solidFill xmlns:a="http://schemas.openxmlformats.org/drawingml/2006/main">
              <a:srgbClr val="EB6834"/>
            </a:solidFill>
            <a:ln xmlns:a="http://schemas.openxmlformats.org/drawingml/2006/main">
              <a:solidFill>
                <a:srgbClr val="FFFFFF"/>
              </a:solidFill>
              <a:prstDash val="solid"/>
            </a:ln>
          </spPr>
          <cat>
            <numRef>
              <f>'Motor'!$AL$7:$AL$18</f>
            </numRef>
          </cat>
          <val>
            <numRef>
              <f>'Motor'!$AN$7:$AN$18</f>
            </numRef>
          </val>
        </ser>
        <gapWidth val="60"/>
        <overlap val="-10"/>
        <axId val="10"/>
        <axId val="100"/>
      </barChart>
      <catAx>
        <axId val="10"/>
        <scaling>
          <orientation val="minMax"/>
        </scaling>
        <delete val="0"/>
        <axPos val="l"/>
        <majorTickMark val="none"/>
        <minorTickMark val="none"/>
        <spPr>
          <a:ln xmlns:a="http://schemas.openxmlformats.org/drawingml/2006/main">
            <a:solidFill>
              <a:srgbClr val="E2E8F0"/>
            </a:solidFill>
            <a:prstDash val="solid"/>
          </a:ln>
        </spPr>
        <txPr>
          <a:bodyPr xmlns:a="http://schemas.openxmlformats.org/drawingml/2006/main"/>
          <a:p xmlns:a="http://schemas.openxmlformats.org/drawingml/2006/main">
            <a:pPr>
              <a:defRPr sz="900">
                <a:solidFill>
                  <a:srgbClr val="475569"/>
                </a:solidFill>
                <a:latin typeface="Aptos"/>
              </a:defRPr>
            </a:pPr>
            <a:r>
              <a:t/>
            </a:r>
            <a:endParaRPr sz="900">
              <a:solidFill>
                <a:srgbClr val="475569"/>
              </a:solidFill>
              <a:latin typeface="Aptos"/>
            </a:endParaRPr>
          </a:p>
        </txPr>
        <crossAx val="100"/>
        <lblOffset val="100"/>
      </catAx>
      <valAx>
        <axId val="100"/>
        <scaling>
          <orientation val="minMax"/>
        </scaling>
        <delete val="0"/>
        <axPos val="l"/>
        <majorGridlines>
          <spPr>
            <a:ln xmlns:a="http://schemas.openxmlformats.org/drawingml/2006/main">
              <a:solidFill>
                <a:srgbClr val="EEF2F7"/>
              </a:solidFill>
              <a:prstDash val="solid"/>
            </a:ln>
          </spPr>
        </majorGridlines>
        <numFmt formatCode="#,##0" sourceLinked="0"/>
        <majorTickMark val="none"/>
        <minorTickMark val="none"/>
        <spPr>
          <a:ln xmlns:a="http://schemas.openxmlformats.org/drawingml/2006/main">
            <a:noFill/>
            <a:prstDash val="solid"/>
          </a:ln>
        </spPr>
        <txPr>
          <a:bodyPr xmlns:a="http://schemas.openxmlformats.org/drawingml/2006/main"/>
          <a:p xmlns:a="http://schemas.openxmlformats.org/drawingml/2006/main">
            <a:pPr>
              <a:defRPr sz="900">
                <a:solidFill>
                  <a:srgbClr val="475569"/>
                </a:solidFill>
                <a:latin typeface="Aptos"/>
              </a:defRPr>
            </a:pPr>
            <a:r>
              <a:t/>
            </a:r>
            <a:endParaRPr sz="900">
              <a:solidFill>
                <a:srgbClr val="475569"/>
              </a:solidFill>
              <a:latin typeface="Aptos"/>
            </a:endParaRPr>
          </a:p>
        </txPr>
        <crossAx val="10"/>
      </valAx>
    </plotArea>
    <legend>
      <legendPos val="t"/>
      <txPr>
        <a:bodyPr xmlns:a="http://schemas.openxmlformats.org/drawingml/2006/main"/>
        <a:p xmlns:a="http://schemas.openxmlformats.org/drawingml/2006/main">
          <a:pPr>
            <a:defRPr sz="900">
              <a:solidFill>
                <a:srgbClr val="334155"/>
              </a:solidFill>
              <a:latin typeface="Aptos"/>
            </a:defRPr>
          </a:pPr>
          <a:r>
            <a:t/>
          </a:r>
          <a:endParaRPr sz="900">
            <a:solidFill>
              <a:srgbClr val="334155"/>
            </a:solidFill>
            <a:latin typeface="Aptos"/>
          </a:endParaRPr>
        </a:p>
      </txPr>
    </legend>
    <plotVisOnly val="1"/>
    <dispBlanksAs val="gap"/>
  </chart>
  <spPr>
    <a:ln xmlns:a="http://schemas.openxmlformats.org/drawingml/2006/main">
      <a:noFill/>
      <a:prstDash val="solid"/>
    </a:ln>
  </spPr>
</chartSpace>
</file>

<file path=xl/charts/chart3.xml><?xml version="1.0" encoding="utf-8"?>
<chartSpace xmlns="http://schemas.openxmlformats.org/drawingml/2006/chart">
  <style val="2"/>
  <chart>
    <plotArea>
      <lineChart>
        <grouping val="standard"/>
        <ser>
          <idx val="0"/>
          <order val="0"/>
          <tx>
            <strRef>
              <f>'Motor'!BB6</f>
            </strRef>
          </tx>
          <spPr>
            <a:ln xmlns:a="http://schemas.openxmlformats.org/drawingml/2006/main" w="28575">
              <a:solidFill>
                <a:srgbClr val="EB6834"/>
              </a:solidFill>
              <a:prstDash val="solid"/>
            </a:ln>
          </spPr>
          <marker>
            <symbol val="circle"/>
            <size val="6"/>
            <spPr>
              <a:solidFill xmlns:a="http://schemas.openxmlformats.org/drawingml/2006/main">
                <a:srgbClr val="EB6834"/>
              </a:solidFill>
              <a:ln xmlns:a="http://schemas.openxmlformats.org/drawingml/2006/main">
                <a:solidFill>
                  <a:srgbClr val="FFFFFF"/>
                </a:solidFill>
                <a:prstDash val="solid"/>
              </a:ln>
            </spPr>
          </marker>
          <cat>
            <numRef>
              <f>'Motor'!$BA$7:$BA$18</f>
            </numRef>
          </cat>
          <val>
            <numRef>
              <f>'Motor'!$BB$7:$BB$18</f>
            </numRef>
          </val>
          <smooth val="0"/>
        </ser>
        <axId val="10"/>
        <axId val="100"/>
      </lineChart>
      <catAx>
        <axId val="10"/>
        <scaling>
          <orientation val="minMax"/>
        </scaling>
        <delete val="0"/>
        <axPos val="l"/>
        <majorTickMark val="none"/>
        <minorTickMark val="none"/>
        <spPr>
          <a:ln xmlns:a="http://schemas.openxmlformats.org/drawingml/2006/main">
            <a:solidFill>
              <a:srgbClr val="E2E8F0"/>
            </a:solidFill>
            <a:prstDash val="solid"/>
          </a:ln>
        </spPr>
        <txPr>
          <a:bodyPr xmlns:a="http://schemas.openxmlformats.org/drawingml/2006/main"/>
          <a:p xmlns:a="http://schemas.openxmlformats.org/drawingml/2006/main">
            <a:pPr>
              <a:defRPr sz="900">
                <a:solidFill>
                  <a:srgbClr val="475569"/>
                </a:solidFill>
                <a:latin typeface="Aptos"/>
              </a:defRPr>
            </a:pPr>
            <a:r>
              <a:t/>
            </a:r>
            <a:endParaRPr sz="900">
              <a:solidFill>
                <a:srgbClr val="475569"/>
              </a:solidFill>
              <a:latin typeface="Aptos"/>
            </a:endParaRPr>
          </a:p>
        </txPr>
        <crossAx val="100"/>
        <lblOffset val="100"/>
      </catAx>
      <valAx>
        <axId val="100"/>
        <scaling>
          <orientation val="minMax"/>
        </scaling>
        <delete val="0"/>
        <axPos val="l"/>
        <majorGridlines>
          <spPr>
            <a:ln xmlns:a="http://schemas.openxmlformats.org/drawingml/2006/main">
              <a:solidFill>
                <a:srgbClr val="EEF2F7"/>
              </a:solidFill>
              <a:prstDash val="solid"/>
            </a:ln>
          </spPr>
        </majorGridlines>
        <numFmt formatCode="#,##0" sourceLinked="0"/>
        <majorTickMark val="none"/>
        <minorTickMark val="none"/>
        <spPr>
          <a:ln xmlns:a="http://schemas.openxmlformats.org/drawingml/2006/main">
            <a:noFill/>
            <a:prstDash val="solid"/>
          </a:ln>
        </spPr>
        <txPr>
          <a:bodyPr xmlns:a="http://schemas.openxmlformats.org/drawingml/2006/main"/>
          <a:p xmlns:a="http://schemas.openxmlformats.org/drawingml/2006/main">
            <a:pPr>
              <a:defRPr sz="900">
                <a:solidFill>
                  <a:srgbClr val="475569"/>
                </a:solidFill>
                <a:latin typeface="Aptos"/>
              </a:defRPr>
            </a:pPr>
            <a:r>
              <a:t/>
            </a:r>
            <a:endParaRPr sz="900">
              <a:solidFill>
                <a:srgbClr val="475569"/>
              </a:solidFill>
              <a:latin typeface="Aptos"/>
            </a:endParaRPr>
          </a:p>
        </txPr>
        <crossAx val="10"/>
      </valAx>
    </plotArea>
    <plotVisOnly val="1"/>
    <dispBlanksAs val="gap"/>
  </chart>
  <spPr>
    <a:ln xmlns:a="http://schemas.openxmlformats.org/drawingml/2006/main">
      <a:noFill/>
      <a:prstDash val="solid"/>
    </a:ln>
  </spPr>
</chartSpace>
</file>

<file path=xl/charts/chart4.xml><?xml version="1.0" encoding="utf-8"?>
<chartSpace xmlns="http://schemas.openxmlformats.org/drawingml/2006/chart">
  <style val="2"/>
  <chart>
    <plotArea>
      <barChart>
        <barDir val="bar"/>
        <grouping val="clustered"/>
        <ser>
          <idx val="0"/>
          <order val="0"/>
          <spPr>
            <a:solidFill xmlns:a="http://schemas.openxmlformats.org/drawingml/2006/main">
              <a:srgbClr val="2A78D6"/>
            </a:solidFill>
            <a:ln xmlns:a="http://schemas.openxmlformats.org/drawingml/2006/main">
              <a:solidFill>
                <a:srgbClr val="FFFFFF"/>
              </a:solidFill>
              <a:prstDash val="solid"/>
            </a:ln>
          </spPr>
          <dLbls>
            <numFmt formatCode="#,##0;-#,##0;&quot;&quot;"/>
            <txPr>
              <a:bodyPr xmlns:a="http://schemas.openxmlformats.org/drawingml/2006/main"/>
              <a:p xmlns:a="http://schemas.openxmlformats.org/drawingml/2006/main">
                <a:pPr>
                  <a:defRPr sz="800">
                    <a:solidFill>
                      <a:srgbClr val="334155"/>
                    </a:solidFill>
                    <a:latin typeface="Aptos"/>
                  </a:defRPr>
                </a:pPr>
                <a:r>
                  <a:t/>
                </a:r>
                <a:endParaRPr sz="800">
                  <a:solidFill>
                    <a:srgbClr val="334155"/>
                  </a:solidFill>
                  <a:latin typeface="Aptos"/>
                </a:endParaRPr>
              </a:p>
            </txPr>
            <dLblPos val="outEnd"/>
            <showLegendKey val="0"/>
            <showVal val="1"/>
            <showCatName val="0"/>
            <showSerName val="0"/>
          </dLbls>
          <cat>
            <numRef>
              <f>'Motor'!$CM$7:$CM$14</f>
            </numRef>
          </cat>
          <val>
            <numRef>
              <f>'Motor'!$CN$7:$CN$14</f>
            </numRef>
          </val>
        </ser>
        <gapWidth val="50"/>
        <axId val="10"/>
        <axId val="100"/>
      </barChart>
      <catAx>
        <axId val="10"/>
        <scaling>
          <orientation val="maxMin"/>
        </scaling>
        <delete val="0"/>
        <axPos val="l"/>
        <majorTickMark val="none"/>
        <minorTickMark val="none"/>
        <spPr>
          <a:ln xmlns:a="http://schemas.openxmlformats.org/drawingml/2006/main">
            <a:solidFill>
              <a:srgbClr val="E2E8F0"/>
            </a:solidFill>
            <a:prstDash val="solid"/>
          </a:ln>
        </spPr>
        <txPr>
          <a:bodyPr xmlns:a="http://schemas.openxmlformats.org/drawingml/2006/main"/>
          <a:p xmlns:a="http://schemas.openxmlformats.org/drawingml/2006/main">
            <a:pPr>
              <a:defRPr sz="900">
                <a:solidFill>
                  <a:srgbClr val="475569"/>
                </a:solidFill>
                <a:latin typeface="Aptos"/>
              </a:defRPr>
            </a:pPr>
            <a:r>
              <a:t/>
            </a:r>
            <a:endParaRPr sz="900">
              <a:solidFill>
                <a:srgbClr val="475569"/>
              </a:solidFill>
              <a:latin typeface="Aptos"/>
            </a:endParaRPr>
          </a:p>
        </txPr>
        <crossAx val="100"/>
        <lblOffset val="100"/>
      </catAx>
      <valAx>
        <axId val="100"/>
        <scaling>
          <orientation val="minMax"/>
        </scaling>
        <delete val="1"/>
        <axPos val="l"/>
        <majorTickMark val="none"/>
        <minorTickMark val="none"/>
        <spPr>
          <a:ln xmlns:a="http://schemas.openxmlformats.org/drawingml/2006/main">
            <a:noFill/>
            <a:prstDash val="solid"/>
          </a:ln>
        </spPr>
        <txPr>
          <a:bodyPr xmlns:a="http://schemas.openxmlformats.org/drawingml/2006/main"/>
          <a:p xmlns:a="http://schemas.openxmlformats.org/drawingml/2006/main">
            <a:pPr>
              <a:defRPr sz="900">
                <a:solidFill>
                  <a:srgbClr val="475569"/>
                </a:solidFill>
                <a:latin typeface="Aptos"/>
              </a:defRPr>
            </a:pPr>
            <a:r>
              <a:t/>
            </a:r>
            <a:endParaRPr sz="900">
              <a:solidFill>
                <a:srgbClr val="475569"/>
              </a:solidFill>
              <a:latin typeface="Aptos"/>
            </a:endParaRPr>
          </a:p>
        </txPr>
        <crossAx val="10"/>
      </valAx>
    </plotArea>
    <plotVisOnly val="1"/>
    <dispBlanksAs val="gap"/>
  </chart>
  <spPr>
    <a:ln xmlns:a="http://schemas.openxmlformats.org/drawingml/2006/main">
      <a:noFill/>
      <a:prstDash val="solid"/>
    </a:ln>
  </spPr>
</chartSpace>
</file>

<file path=xl/charts/chart5.xml><?xml version="1.0" encoding="utf-8"?>
<chartSpace xmlns="http://schemas.openxmlformats.org/drawingml/2006/chart">
  <chart>
    <plotArea>
      <doughnutChart>
        <varyColors val="1"/>
        <ser>
          <idx val="0"/>
          <order val="0"/>
          <spPr>
            <a:ln xmlns:a="http://schemas.openxmlformats.org/drawingml/2006/main">
              <a:prstDash val="solid"/>
            </a:ln>
          </spPr>
          <dPt>
            <idx val="0"/>
            <spPr>
              <a:solidFill xmlns:a="http://schemas.openxmlformats.org/drawingml/2006/main">
                <a:srgbClr val="2A78D6"/>
              </a:solidFill>
              <a:ln xmlns:a="http://schemas.openxmlformats.org/drawingml/2006/main">
                <a:solidFill>
                  <a:srgbClr val="FFFFFF"/>
                </a:solidFill>
                <a:prstDash val="solid"/>
              </a:ln>
            </spPr>
          </dPt>
          <dPt>
            <idx val="1"/>
            <spPr>
              <a:solidFill xmlns:a="http://schemas.openxmlformats.org/drawingml/2006/main">
                <a:srgbClr val="EB6834"/>
              </a:solidFill>
              <a:ln xmlns:a="http://schemas.openxmlformats.org/drawingml/2006/main">
                <a:solidFill>
                  <a:srgbClr val="FFFFFF"/>
                </a:solidFill>
                <a:prstDash val="solid"/>
              </a:ln>
            </spPr>
          </dPt>
          <dLbls>
            <txPr>
              <a:bodyPr xmlns:a="http://schemas.openxmlformats.org/drawingml/2006/main"/>
              <a:p xmlns:a="http://schemas.openxmlformats.org/drawingml/2006/main">
                <a:pPr>
                  <a:defRPr sz="900">
                    <a:solidFill>
                      <a:srgbClr val="FFFFFF"/>
                    </a:solidFill>
                    <a:latin typeface="Aptos"/>
                  </a:defRPr>
                </a:pPr>
                <a:r>
                  <a:t/>
                </a:r>
                <a:endParaRPr sz="900">
                  <a:solidFill>
                    <a:srgbClr val="FFFFFF"/>
                  </a:solidFill>
                  <a:latin typeface="Aptos"/>
                </a:endParaRPr>
              </a:p>
            </txPr>
            <showLegendKey val="0"/>
            <showVal val="0"/>
            <showCatName val="0"/>
            <showSerName val="0"/>
            <showPercent val="1"/>
          </dLbls>
          <cat>
            <numRef>
              <f>'Dashboard'!$O$68:$O$69</f>
            </numRef>
          </cat>
          <val>
            <numRef>
              <f>'Dashboard'!$P$68:$P$69</f>
            </numRef>
          </val>
        </ser>
        <firstSliceAng val="0"/>
        <holeSize val="62"/>
      </doughnutChart>
    </plotArea>
    <legend>
      <legendPos val="b"/>
      <txPr>
        <a:bodyPr xmlns:a="http://schemas.openxmlformats.org/drawingml/2006/main"/>
        <a:p xmlns:a="http://schemas.openxmlformats.org/drawingml/2006/main">
          <a:pPr>
            <a:defRPr sz="900">
              <a:solidFill>
                <a:srgbClr val="334155"/>
              </a:solidFill>
              <a:latin typeface="Aptos"/>
            </a:defRPr>
          </a:pPr>
          <a:r>
            <a:t/>
          </a:r>
          <a:endParaRPr sz="900">
            <a:solidFill>
              <a:srgbClr val="334155"/>
            </a:solidFill>
            <a:latin typeface="Aptos"/>
          </a:endParaRPr>
        </a:p>
      </txPr>
    </legend>
    <plotVisOnly val="1"/>
    <dispBlanksAs val="gap"/>
  </chart>
  <spPr>
    <a:ln xmlns:a="http://schemas.openxmlformats.org/drawingml/2006/main">
      <a:noFill/>
      <a:prstDash val="solid"/>
    </a:ln>
  </spPr>
</chartSpace>
</file>

<file path=xl/charts/chart6.xml><?xml version="1.0" encoding="utf-8"?>
<chartSpace xmlns="http://schemas.openxmlformats.org/drawingml/2006/chart">
  <style val="2"/>
  <chart>
    <plotArea>
      <barChart>
        <barDir val="col"/>
        <grouping val="clustered"/>
        <ser>
          <idx val="0"/>
          <order val="0"/>
          <tx>
            <strRef>
              <f>'Motor'!BT6</f>
            </strRef>
          </tx>
          <spPr>
            <a:solidFill xmlns:a="http://schemas.openxmlformats.org/drawingml/2006/main">
              <a:srgbClr val="EB6834"/>
            </a:solidFill>
            <a:ln xmlns:a="http://schemas.openxmlformats.org/drawingml/2006/main">
              <a:solidFill>
                <a:srgbClr val="FFFFFF"/>
              </a:solidFill>
              <a:prstDash val="solid"/>
            </a:ln>
          </spPr>
          <cat>
            <numRef>
              <f>'Motor'!$BO$7:$BO$13</f>
            </numRef>
          </cat>
          <val>
            <numRef>
              <f>'Motor'!$BT$7:$BT$13</f>
            </numRef>
          </val>
        </ser>
        <gapWidth val="50"/>
        <axId val="10"/>
        <axId val="100"/>
      </barChart>
      <catAx>
        <axId val="10"/>
        <scaling>
          <orientation val="minMax"/>
        </scaling>
        <delete val="0"/>
        <axPos val="l"/>
        <majorTickMark val="none"/>
        <minorTickMark val="none"/>
        <spPr>
          <a:ln xmlns:a="http://schemas.openxmlformats.org/drawingml/2006/main">
            <a:solidFill>
              <a:srgbClr val="E2E8F0"/>
            </a:solidFill>
            <a:prstDash val="solid"/>
          </a:ln>
        </spPr>
        <txPr>
          <a:bodyPr xmlns:a="http://schemas.openxmlformats.org/drawingml/2006/main"/>
          <a:p xmlns:a="http://schemas.openxmlformats.org/drawingml/2006/main">
            <a:pPr>
              <a:defRPr sz="900">
                <a:solidFill>
                  <a:srgbClr val="475569"/>
                </a:solidFill>
                <a:latin typeface="Aptos"/>
              </a:defRPr>
            </a:pPr>
            <a:r>
              <a:t/>
            </a:r>
            <a:endParaRPr sz="900">
              <a:solidFill>
                <a:srgbClr val="475569"/>
              </a:solidFill>
              <a:latin typeface="Aptos"/>
            </a:endParaRPr>
          </a:p>
        </txPr>
        <crossAx val="100"/>
        <lblOffset val="100"/>
      </catAx>
      <valAx>
        <axId val="100"/>
        <scaling>
          <orientation val="minMax"/>
        </scaling>
        <delete val="0"/>
        <axPos val="l"/>
        <majorGridlines>
          <spPr>
            <a:ln xmlns:a="http://schemas.openxmlformats.org/drawingml/2006/main">
              <a:solidFill>
                <a:srgbClr val="EEF2F7"/>
              </a:solidFill>
              <a:prstDash val="solid"/>
            </a:ln>
          </spPr>
        </majorGridlines>
        <numFmt formatCode="#,##0" sourceLinked="0"/>
        <majorTickMark val="none"/>
        <minorTickMark val="none"/>
        <spPr>
          <a:ln xmlns:a="http://schemas.openxmlformats.org/drawingml/2006/main">
            <a:noFill/>
            <a:prstDash val="solid"/>
          </a:ln>
        </spPr>
        <txPr>
          <a:bodyPr xmlns:a="http://schemas.openxmlformats.org/drawingml/2006/main"/>
          <a:p xmlns:a="http://schemas.openxmlformats.org/drawingml/2006/main">
            <a:pPr>
              <a:defRPr sz="900">
                <a:solidFill>
                  <a:srgbClr val="475569"/>
                </a:solidFill>
                <a:latin typeface="Aptos"/>
              </a:defRPr>
            </a:pPr>
            <a:r>
              <a:t/>
            </a:r>
            <a:endParaRPr sz="900">
              <a:solidFill>
                <a:srgbClr val="475569"/>
              </a:solidFill>
              <a:latin typeface="Aptos"/>
            </a:endParaRPr>
          </a:p>
        </txPr>
        <crossAx val="10"/>
      </valAx>
    </plotArea>
    <plotVisOnly val="1"/>
    <dispBlanksAs val="gap"/>
  </chart>
  <spPr>
    <a:ln xmlns:a="http://schemas.openxmlformats.org/drawingml/2006/main">
      <a:noFill/>
      <a:prstDash val="solid"/>
    </a:ln>
  </spPr>
</chartSpace>
</file>

<file path=xl/charts/chart7.xml><?xml version="1.0" encoding="utf-8"?>
<chartSpace xmlns="http://schemas.openxmlformats.org/drawingml/2006/chart">
  <style val="2"/>
  <chart>
    <plotArea>
      <barChart>
        <barDir val="col"/>
        <grouping val="clustered"/>
        <ser>
          <idx val="0"/>
          <order val="0"/>
          <tx>
            <strRef>
              <f>'Motor'!BC6</f>
            </strRef>
          </tx>
          <spPr>
            <a:solidFill xmlns:a="http://schemas.openxmlformats.org/drawingml/2006/main">
              <a:srgbClr val="EB6834"/>
            </a:solidFill>
            <a:ln xmlns:a="http://schemas.openxmlformats.org/drawingml/2006/main">
              <a:solidFill>
                <a:srgbClr val="FFFFFF"/>
              </a:solidFill>
              <a:prstDash val="solid"/>
            </a:ln>
          </spPr>
          <cat>
            <numRef>
              <f>'Motor'!$BA$7:$BA$18</f>
            </numRef>
          </cat>
          <val>
            <numRef>
              <f>'Motor'!$BC$7:$BC$18</f>
            </numRef>
          </val>
        </ser>
        <ser>
          <idx val="1"/>
          <order val="1"/>
          <tx>
            <strRef>
              <f>'Motor'!BD6</f>
            </strRef>
          </tx>
          <spPr>
            <a:solidFill xmlns:a="http://schemas.openxmlformats.org/drawingml/2006/main">
              <a:srgbClr val="2A78D6"/>
            </a:solidFill>
            <a:ln xmlns:a="http://schemas.openxmlformats.org/drawingml/2006/main">
              <a:solidFill>
                <a:srgbClr val="FFFFFF"/>
              </a:solidFill>
              <a:prstDash val="solid"/>
            </a:ln>
          </spPr>
          <cat>
            <numRef>
              <f>'Motor'!$BA$7:$BA$18</f>
            </numRef>
          </cat>
          <val>
            <numRef>
              <f>'Motor'!$BD$7:$BD$18</f>
            </numRef>
          </val>
        </ser>
        <gapWidth val="60"/>
        <axId val="10"/>
        <axId val="100"/>
      </barChart>
      <catAx>
        <axId val="10"/>
        <scaling>
          <orientation val="minMax"/>
        </scaling>
        <delete val="0"/>
        <axPos val="l"/>
        <majorTickMark val="none"/>
        <minorTickMark val="none"/>
        <spPr>
          <a:ln xmlns:a="http://schemas.openxmlformats.org/drawingml/2006/main">
            <a:solidFill>
              <a:srgbClr val="E2E8F0"/>
            </a:solidFill>
            <a:prstDash val="solid"/>
          </a:ln>
        </spPr>
        <txPr>
          <a:bodyPr xmlns:a="http://schemas.openxmlformats.org/drawingml/2006/main"/>
          <a:p xmlns:a="http://schemas.openxmlformats.org/drawingml/2006/main">
            <a:pPr>
              <a:defRPr sz="900">
                <a:solidFill>
                  <a:srgbClr val="475569"/>
                </a:solidFill>
                <a:latin typeface="Aptos"/>
              </a:defRPr>
            </a:pPr>
            <a:r>
              <a:t/>
            </a:r>
            <a:endParaRPr sz="900">
              <a:solidFill>
                <a:srgbClr val="475569"/>
              </a:solidFill>
              <a:latin typeface="Aptos"/>
            </a:endParaRPr>
          </a:p>
        </txPr>
        <crossAx val="100"/>
        <lblOffset val="100"/>
      </catAx>
      <valAx>
        <axId val="100"/>
        <scaling>
          <orientation val="minMax"/>
        </scaling>
        <delete val="0"/>
        <axPos val="l"/>
        <majorGridlines>
          <spPr>
            <a:ln xmlns:a="http://schemas.openxmlformats.org/drawingml/2006/main">
              <a:solidFill>
                <a:srgbClr val="EEF2F7"/>
              </a:solidFill>
              <a:prstDash val="solid"/>
            </a:ln>
          </spPr>
        </majorGridlines>
        <numFmt formatCode="#,##0" sourceLinked="0"/>
        <majorTickMark val="none"/>
        <minorTickMark val="none"/>
        <spPr>
          <a:ln xmlns:a="http://schemas.openxmlformats.org/drawingml/2006/main">
            <a:noFill/>
            <a:prstDash val="solid"/>
          </a:ln>
        </spPr>
        <txPr>
          <a:bodyPr xmlns:a="http://schemas.openxmlformats.org/drawingml/2006/main"/>
          <a:p xmlns:a="http://schemas.openxmlformats.org/drawingml/2006/main">
            <a:pPr>
              <a:defRPr sz="900">
                <a:solidFill>
                  <a:srgbClr val="475569"/>
                </a:solidFill>
                <a:latin typeface="Aptos"/>
              </a:defRPr>
            </a:pPr>
            <a:r>
              <a:t/>
            </a:r>
            <a:endParaRPr sz="900">
              <a:solidFill>
                <a:srgbClr val="475569"/>
              </a:solidFill>
              <a:latin typeface="Aptos"/>
            </a:endParaRPr>
          </a:p>
        </txPr>
        <crossAx val="10"/>
      </valAx>
    </plotArea>
    <legend>
      <legendPos val="t"/>
      <txPr>
        <a:bodyPr xmlns:a="http://schemas.openxmlformats.org/drawingml/2006/main"/>
        <a:p xmlns:a="http://schemas.openxmlformats.org/drawingml/2006/main">
          <a:pPr>
            <a:defRPr sz="900">
              <a:solidFill>
                <a:srgbClr val="334155"/>
              </a:solidFill>
              <a:latin typeface="Aptos"/>
            </a:defRPr>
          </a:pPr>
          <a:r>
            <a:t/>
          </a:r>
          <a:endParaRPr sz="900">
            <a:solidFill>
              <a:srgbClr val="334155"/>
            </a:solidFill>
            <a:latin typeface="Aptos"/>
          </a:endParaRPr>
        </a:p>
      </txPr>
    </legend>
    <plotVisOnly val="1"/>
    <dispBlanksAs val="gap"/>
  </chart>
  <spPr>
    <a:ln xmlns:a="http://schemas.openxmlformats.org/drawingml/2006/main">
      <a:noFill/>
      <a:prstDash val="solid"/>
    </a:ln>
  </spPr>
</chartSpace>
</file>

<file path=xl/charts/chart8.xml><?xml version="1.0" encoding="utf-8"?>
<chartSpace xmlns="http://schemas.openxmlformats.org/drawingml/2006/chart">
  <style val="2"/>
  <chart>
    <plotArea>
      <barChart>
        <barDir val="col"/>
        <grouping val="clustered"/>
        <ser>
          <idx val="0"/>
          <order val="0"/>
          <tx>
            <strRef>
              <f>'Motor'!AR6</f>
            </strRef>
          </tx>
          <spPr>
            <a:solidFill xmlns:a="http://schemas.openxmlformats.org/drawingml/2006/main">
              <a:srgbClr val="EB6834"/>
            </a:solidFill>
            <a:ln xmlns:a="http://schemas.openxmlformats.org/drawingml/2006/main">
              <a:solidFill>
                <a:srgbClr val="FFFFFF"/>
              </a:solidFill>
              <a:prstDash val="solid"/>
            </a:ln>
          </spPr>
          <cat>
            <numRef>
              <f>'Motor'!$AL$7:$AL$18</f>
            </numRef>
          </cat>
          <val>
            <numRef>
              <f>'Motor'!$AR$7:$AR$18</f>
            </numRef>
          </val>
        </ser>
        <ser>
          <idx val="1"/>
          <order val="1"/>
          <tx>
            <strRef>
              <f>'Motor'!AS6</f>
            </strRef>
          </tx>
          <spPr>
            <a:solidFill xmlns:a="http://schemas.openxmlformats.org/drawingml/2006/main">
              <a:srgbClr val="2A78D6"/>
            </a:solidFill>
            <a:ln xmlns:a="http://schemas.openxmlformats.org/drawingml/2006/main">
              <a:solidFill>
                <a:srgbClr val="FFFFFF"/>
              </a:solidFill>
              <a:prstDash val="solid"/>
            </a:ln>
          </spPr>
          <cat>
            <numRef>
              <f>'Motor'!$AL$7:$AL$18</f>
            </numRef>
          </cat>
          <val>
            <numRef>
              <f>'Motor'!$AS$7:$AS$18</f>
            </numRef>
          </val>
        </ser>
        <gapWidth val="60"/>
        <axId val="10"/>
        <axId val="100"/>
      </barChart>
      <catAx>
        <axId val="10"/>
        <scaling>
          <orientation val="minMax"/>
        </scaling>
        <delete val="0"/>
        <axPos val="l"/>
        <majorTickMark val="none"/>
        <minorTickMark val="none"/>
        <spPr>
          <a:ln xmlns:a="http://schemas.openxmlformats.org/drawingml/2006/main">
            <a:solidFill>
              <a:srgbClr val="E2E8F0"/>
            </a:solidFill>
            <a:prstDash val="solid"/>
          </a:ln>
        </spPr>
        <txPr>
          <a:bodyPr xmlns:a="http://schemas.openxmlformats.org/drawingml/2006/main"/>
          <a:p xmlns:a="http://schemas.openxmlformats.org/drawingml/2006/main">
            <a:pPr>
              <a:defRPr sz="900">
                <a:solidFill>
                  <a:srgbClr val="475569"/>
                </a:solidFill>
                <a:latin typeface="Aptos"/>
              </a:defRPr>
            </a:pPr>
            <a:r>
              <a:t/>
            </a:r>
            <a:endParaRPr sz="900">
              <a:solidFill>
                <a:srgbClr val="475569"/>
              </a:solidFill>
              <a:latin typeface="Aptos"/>
            </a:endParaRPr>
          </a:p>
        </txPr>
        <crossAx val="100"/>
        <lblOffset val="100"/>
      </catAx>
      <valAx>
        <axId val="100"/>
        <scaling>
          <orientation val="minMax"/>
        </scaling>
        <delete val="0"/>
        <axPos val="l"/>
        <majorGridlines>
          <spPr>
            <a:ln xmlns:a="http://schemas.openxmlformats.org/drawingml/2006/main">
              <a:solidFill>
                <a:srgbClr val="EEF2F7"/>
              </a:solidFill>
              <a:prstDash val="solid"/>
            </a:ln>
          </spPr>
        </majorGridlines>
        <numFmt formatCode="#,##0" sourceLinked="0"/>
        <majorTickMark val="none"/>
        <minorTickMark val="none"/>
        <spPr>
          <a:ln xmlns:a="http://schemas.openxmlformats.org/drawingml/2006/main">
            <a:noFill/>
            <a:prstDash val="solid"/>
          </a:ln>
        </spPr>
        <txPr>
          <a:bodyPr xmlns:a="http://schemas.openxmlformats.org/drawingml/2006/main"/>
          <a:p xmlns:a="http://schemas.openxmlformats.org/drawingml/2006/main">
            <a:pPr>
              <a:defRPr sz="900">
                <a:solidFill>
                  <a:srgbClr val="475569"/>
                </a:solidFill>
                <a:latin typeface="Aptos"/>
              </a:defRPr>
            </a:pPr>
            <a:r>
              <a:t/>
            </a:r>
            <a:endParaRPr sz="900">
              <a:solidFill>
                <a:srgbClr val="475569"/>
              </a:solidFill>
              <a:latin typeface="Aptos"/>
            </a:endParaRPr>
          </a:p>
        </txPr>
        <crossAx val="10"/>
      </valAx>
    </plotArea>
    <legend>
      <legendPos val="t"/>
      <txPr>
        <a:bodyPr xmlns:a="http://schemas.openxmlformats.org/drawingml/2006/main"/>
        <a:p xmlns:a="http://schemas.openxmlformats.org/drawingml/2006/main">
          <a:pPr>
            <a:defRPr sz="900">
              <a:solidFill>
                <a:srgbClr val="334155"/>
              </a:solidFill>
              <a:latin typeface="Aptos"/>
            </a:defRPr>
          </a:pPr>
          <a:r>
            <a:t/>
          </a:r>
          <a:endParaRPr sz="900">
            <a:solidFill>
              <a:srgbClr val="334155"/>
            </a:solidFill>
            <a:latin typeface="Aptos"/>
          </a:endParaRPr>
        </a:p>
      </txPr>
    </legend>
    <plotVisOnly val="1"/>
    <dispBlanksAs val="gap"/>
  </chart>
  <spPr>
    <a:ln xmlns:a="http://schemas.openxmlformats.org/drawingml/2006/main">
      <a:noFill/>
      <a:prstDash val="solid"/>
    </a:ln>
  </spPr>
</chartSpace>
</file>

<file path=xl/charts/chart9.xml><?xml version="1.0" encoding="utf-8"?>
<chartSpace xmlns="http://schemas.openxmlformats.org/drawingml/2006/chart">
  <style val="2"/>
  <chart>
    <plotArea>
      <barChart>
        <barDir val="col"/>
        <grouping val="clustered"/>
        <ser>
          <idx val="0"/>
          <order val="0"/>
          <tx>
            <strRef>
              <f>'Motor'!AU6</f>
            </strRef>
          </tx>
          <spPr>
            <a:solidFill xmlns:a="http://schemas.openxmlformats.org/drawingml/2006/main">
              <a:srgbClr val="EB6834"/>
            </a:solidFill>
            <a:ln xmlns:a="http://schemas.openxmlformats.org/drawingml/2006/main">
              <a:solidFill>
                <a:srgbClr val="FFFFFF"/>
              </a:solidFill>
              <a:prstDash val="solid"/>
            </a:ln>
          </spPr>
          <cat>
            <numRef>
              <f>'Motor'!$AL$7:$AL$18</f>
            </numRef>
          </cat>
          <val>
            <numRef>
              <f>'Motor'!$AU$7:$AU$18</f>
            </numRef>
          </val>
        </ser>
        <gapWidth val="60"/>
        <axId val="10"/>
        <axId val="100"/>
      </barChart>
      <catAx>
        <axId val="10"/>
        <scaling>
          <orientation val="minMax"/>
        </scaling>
        <delete val="0"/>
        <axPos val="l"/>
        <majorTickMark val="none"/>
        <minorTickMark val="none"/>
        <spPr>
          <a:ln xmlns:a="http://schemas.openxmlformats.org/drawingml/2006/main">
            <a:solidFill>
              <a:srgbClr val="E2E8F0"/>
            </a:solidFill>
            <a:prstDash val="solid"/>
          </a:ln>
        </spPr>
        <txPr>
          <a:bodyPr xmlns:a="http://schemas.openxmlformats.org/drawingml/2006/main"/>
          <a:p xmlns:a="http://schemas.openxmlformats.org/drawingml/2006/main">
            <a:pPr>
              <a:defRPr sz="900">
                <a:solidFill>
                  <a:srgbClr val="475569"/>
                </a:solidFill>
                <a:latin typeface="Aptos"/>
              </a:defRPr>
            </a:pPr>
            <a:r>
              <a:t/>
            </a:r>
            <a:endParaRPr sz="900">
              <a:solidFill>
                <a:srgbClr val="475569"/>
              </a:solidFill>
              <a:latin typeface="Aptos"/>
            </a:endParaRPr>
          </a:p>
        </txPr>
        <crossAx val="100"/>
        <lblOffset val="100"/>
      </catAx>
      <valAx>
        <axId val="100"/>
        <scaling>
          <orientation val="minMax"/>
        </scaling>
        <delete val="0"/>
        <axPos val="l"/>
        <majorGridlines>
          <spPr>
            <a:ln xmlns:a="http://schemas.openxmlformats.org/drawingml/2006/main">
              <a:solidFill>
                <a:srgbClr val="EEF2F7"/>
              </a:solidFill>
              <a:prstDash val="solid"/>
            </a:ln>
          </spPr>
        </majorGridlines>
        <numFmt formatCode="#,##0" sourceLinked="0"/>
        <majorTickMark val="none"/>
        <minorTickMark val="none"/>
        <spPr>
          <a:ln xmlns:a="http://schemas.openxmlformats.org/drawingml/2006/main">
            <a:noFill/>
            <a:prstDash val="solid"/>
          </a:ln>
        </spPr>
        <txPr>
          <a:bodyPr xmlns:a="http://schemas.openxmlformats.org/drawingml/2006/main"/>
          <a:p xmlns:a="http://schemas.openxmlformats.org/drawingml/2006/main">
            <a:pPr>
              <a:defRPr sz="900">
                <a:solidFill>
                  <a:srgbClr val="475569"/>
                </a:solidFill>
                <a:latin typeface="Aptos"/>
              </a:defRPr>
            </a:pPr>
            <a:r>
              <a:t/>
            </a:r>
            <a:endParaRPr sz="900">
              <a:solidFill>
                <a:srgbClr val="475569"/>
              </a:solidFill>
              <a:latin typeface="Aptos"/>
            </a:endParaRPr>
          </a:p>
        </txPr>
        <crossAx val="10"/>
      </valAx>
    </plotArea>
    <plotVisOnly val="1"/>
    <dispBlanksAs val="gap"/>
  </chart>
  <spPr>
    <a:ln xmlns:a="http://schemas.openxmlformats.org/drawingml/2006/main">
      <a:noFill/>
      <a:prstDash val="solid"/>
    </a:ln>
  </spPr>
</chartSpace>
</file>

<file path=xl/charts/chart10.xml><?xml version="1.0" encoding="utf-8"?>
<chartSpace xmlns="http://schemas.openxmlformats.org/drawingml/2006/chart">
  <style val="2"/>
  <chart>
    <plotArea>
      <lineChart>
        <grouping val="standard"/>
        <ser>
          <idx val="0"/>
          <order val="0"/>
          <tx>
            <strRef>
              <f>'Motor'!BE6</f>
            </strRef>
          </tx>
          <spPr>
            <a:ln xmlns:a="http://schemas.openxmlformats.org/drawingml/2006/main" w="28575">
              <a:solidFill>
                <a:srgbClr val="EB6834"/>
              </a:solidFill>
              <a:prstDash val="solid"/>
            </a:ln>
          </spPr>
          <marker>
            <symbol val="circle"/>
            <size val="6"/>
            <spPr>
              <a:solidFill xmlns:a="http://schemas.openxmlformats.org/drawingml/2006/main">
                <a:srgbClr val="EB6834"/>
              </a:solidFill>
              <a:ln xmlns:a="http://schemas.openxmlformats.org/drawingml/2006/main">
                <a:solidFill>
                  <a:srgbClr val="FFFFFF"/>
                </a:solidFill>
                <a:prstDash val="solid"/>
              </a:ln>
            </spPr>
          </marker>
          <cat>
            <numRef>
              <f>'Motor'!$BA$7:$BA$18</f>
            </numRef>
          </cat>
          <val>
            <numRef>
              <f>'Motor'!$BE$7:$BE$18</f>
            </numRef>
          </val>
          <smooth val="0"/>
        </ser>
        <axId val="10"/>
        <axId val="100"/>
      </lineChart>
      <catAx>
        <axId val="10"/>
        <scaling>
          <orientation val="minMax"/>
        </scaling>
        <delete val="0"/>
        <axPos val="l"/>
        <majorTickMark val="none"/>
        <minorTickMark val="none"/>
        <spPr>
          <a:ln xmlns:a="http://schemas.openxmlformats.org/drawingml/2006/main">
            <a:solidFill>
              <a:srgbClr val="E2E8F0"/>
            </a:solidFill>
            <a:prstDash val="solid"/>
          </a:ln>
        </spPr>
        <txPr>
          <a:bodyPr xmlns:a="http://schemas.openxmlformats.org/drawingml/2006/main"/>
          <a:p xmlns:a="http://schemas.openxmlformats.org/drawingml/2006/main">
            <a:pPr>
              <a:defRPr sz="900">
                <a:solidFill>
                  <a:srgbClr val="475569"/>
                </a:solidFill>
                <a:latin typeface="Aptos"/>
              </a:defRPr>
            </a:pPr>
            <a:r>
              <a:t/>
            </a:r>
            <a:endParaRPr sz="900">
              <a:solidFill>
                <a:srgbClr val="475569"/>
              </a:solidFill>
              <a:latin typeface="Aptos"/>
            </a:endParaRPr>
          </a:p>
        </txPr>
        <crossAx val="100"/>
        <lblOffset val="100"/>
      </catAx>
      <valAx>
        <axId val="100"/>
        <scaling>
          <orientation val="minMax"/>
        </scaling>
        <delete val="0"/>
        <axPos val="l"/>
        <majorGridlines>
          <spPr>
            <a:ln xmlns:a="http://schemas.openxmlformats.org/drawingml/2006/main">
              <a:solidFill>
                <a:srgbClr val="EEF2F7"/>
              </a:solidFill>
              <a:prstDash val="solid"/>
            </a:ln>
          </spPr>
        </majorGridlines>
        <numFmt formatCode="#,##0" sourceLinked="0"/>
        <majorTickMark val="none"/>
        <minorTickMark val="none"/>
        <spPr>
          <a:ln xmlns:a="http://schemas.openxmlformats.org/drawingml/2006/main">
            <a:noFill/>
            <a:prstDash val="solid"/>
          </a:ln>
        </spPr>
        <txPr>
          <a:bodyPr xmlns:a="http://schemas.openxmlformats.org/drawingml/2006/main"/>
          <a:p xmlns:a="http://schemas.openxmlformats.org/drawingml/2006/main">
            <a:pPr>
              <a:defRPr sz="900">
                <a:solidFill>
                  <a:srgbClr val="475569"/>
                </a:solidFill>
                <a:latin typeface="Aptos"/>
              </a:defRPr>
            </a:pPr>
            <a:r>
              <a:t/>
            </a:r>
            <a:endParaRPr sz="900">
              <a:solidFill>
                <a:srgbClr val="475569"/>
              </a:solidFill>
              <a:latin typeface="Aptos"/>
            </a:endParaRPr>
          </a:p>
        </txPr>
        <crossAx val="10"/>
      </valAx>
    </plotArea>
    <plotVisOnly val="1"/>
    <dispBlanksAs val="gap"/>
  </chart>
  <spPr>
    <a:ln xmlns:a="http://schemas.openxmlformats.org/drawingml/2006/main">
      <a:noFill/>
      <a:prstDash val="solid"/>
    </a:ln>
  </spPr>
</chartSpace>
</file>

<file path=xl/comments/comment1.xml><?xml version="1.0" encoding="utf-8"?>
<comments xmlns="http://schemas.openxmlformats.org/spreadsheetml/2006/main">
  <authors>
    <author>Sistema</author>
  </authors>
  <commentList>
    <comment ref="B5" authorId="0" shapeId="0">
      <text>
        <t>Fecha de la transacción (Ctrl+; = hoy). Las compras con tarjeta de crédito van en la fecha de CONSUMO.</t>
      </text>
    </comment>
    <comment ref="C5" authorId="0" shapeId="0">
      <text>
        <t>Vacío = Gasto. Transferencia / Pago tarjeta requieren Cuenta destino. Ver hoja Config para el detalle de cada tipo.</t>
      </text>
    </comment>
    <comment ref="E5" authorId="0" shapeId="0">
      <text>
        <t>La lista depende de la Categoría elegida.</t>
      </text>
    </comment>
    <comment ref="G5" authorId="0" shapeId="0">
      <text>
        <t>Siempre positivo, excepto Ajuste y Resultado trading (+ ganancia / − pérdida).</t>
      </text>
    </comment>
    <comment ref="H5" authorId="0" shapeId="0">
      <text>
        <t>Vacío = DOP.</t>
      </text>
    </comment>
    <comment ref="I5" authorId="0" shapeId="0">
      <text>
        <t>Opcional. Tasa real aplicada si el movimiento fue en USD (o entre cuentas de distinta moneda). Vacío = tasa de Config.</t>
      </text>
    </comment>
    <comment ref="J5" authorId="0" shapeId="0">
      <text>
        <t>Cuenta o método con el que pagaste / donde entró el dinero.</t>
      </text>
    </comment>
    <comment ref="K5" authorId="0" shapeId="0">
      <text>
        <t>Solo para Transferencia y Pago tarjeta.</t>
      </text>
    </comment>
    <comment ref="L5" authorId="0" shapeId="0">
      <text>
        <t>Opcional. La lista sugiere comercios ya usados; puedes escribir uno nuevo.</t>
      </text>
    </comment>
    <comment ref="M5" authorId="0" shapeId="0">
      <text>
        <t>Opcional: si queda vacío se usa la clasificación sugerida de la categoría.</t>
      </text>
    </comment>
  </commentList>
</comments>
</file>

<file path=xl/comments/comment2.xml><?xml version="1.0" encoding="utf-8"?>
<comments xmlns="http://schemas.openxmlformats.org/spreadsheetml/2006/main">
  <authors>
    <author>Sistema</author>
  </authors>
  <commentList>
    <comment ref="H20" authorId="0" shapeId="0">
      <text>
        <t>Supuesto inicial: 100 %. Ajústalo si en el súper también compras artículos que no son comida.</t>
      </text>
    </comment>
  </commentList>
</comments>
</file>

<file path=xl/comments/comment3.xml><?xml version="1.0" encoding="utf-8"?>
<comments xmlns="http://schemas.openxmlformats.org/spreadsheetml/2006/main">
  <authors>
    <author>Sistema</author>
  </authors>
  <commentList>
    <comment ref="I4" authorId="0" shapeId="0">
      <text>
        <t>Parámetro de análisis (no es un límite de gasto). Ajústalo a tu realidad.</t>
      </text>
    </comment>
  </commentList>
</comments>
</file>

<file path=xl/comments/comment4.xml><?xml version="1.0" encoding="utf-8"?>
<comments xmlns="http://schemas.openxmlformats.org/spreadsheetml/2006/main">
  <authors>
    <author>Sistema</author>
  </authors>
  <commentList>
    <comment ref="C5" authorId="0" shapeId="0">
      <text>
        <t>Tasa referencial de ejemplo, no oficial. Reemplázala por la tasa vigente.</t>
      </text>
    </comment>
  </commentList>
</comments>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 Type="http://schemas.openxmlformats.org/officeDocument/2006/relationships/chart" Target="/xl/charts/chart3.xml" Id="rId3"/><Relationship Type="http://schemas.openxmlformats.org/officeDocument/2006/relationships/chart" Target="/xl/charts/chart4.xml" Id="rId4"/><Relationship Type="http://schemas.openxmlformats.org/officeDocument/2006/relationships/chart" Target="/xl/charts/chart5.xml" Id="rId5"/></Relationships>
</file>

<file path=xl/drawings/_rels/drawing2.xml.rels><Relationships xmlns="http://schemas.openxmlformats.org/package/2006/relationships"><Relationship Type="http://schemas.openxmlformats.org/officeDocument/2006/relationships/chart" Target="/xl/charts/chart6.xml" Id="rId1"/><Relationship Type="http://schemas.openxmlformats.org/officeDocument/2006/relationships/chart" Target="/xl/charts/chart7.xml" Id="rId2"/><Relationship Type="http://schemas.openxmlformats.org/officeDocument/2006/relationships/chart" Target="/xl/charts/chart8.xml" Id="rId3"/></Relationships>
</file>

<file path=xl/drawings/_rels/drawing3.xml.rels><Relationships xmlns="http://schemas.openxmlformats.org/package/2006/relationships"><Relationship Type="http://schemas.openxmlformats.org/officeDocument/2006/relationships/chart" Target="/xl/charts/chart9.xml" Id="rId1"/><Relationship Type="http://schemas.openxmlformats.org/officeDocument/2006/relationships/chart" Target="/xl/charts/chart10.xml" Id="rId2"/></Relationships>
</file>

<file path=xl/drawings/drawing1.xml><?xml version="1.0" encoding="utf-8"?>
<wsDr xmlns="http://schemas.openxmlformats.org/drawingml/2006/spreadsheetDrawing">
  <oneCellAnchor>
    <from>
      <col>7</col>
      <colOff>0</colOff>
      <row>29</row>
      <rowOff>0</rowOff>
    </from>
    <ext cx="6660000" cy="2736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1</col>
      <colOff>0</colOff>
      <row>47</row>
      <rowOff>0</rowOff>
    </from>
    <ext cx="5688000" cy="2736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9</col>
      <colOff>0</colOff>
      <row>47</row>
      <rowOff>0</rowOff>
    </from>
    <ext cx="5688000" cy="2736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1</col>
      <colOff>0</colOff>
      <row>65</row>
      <rowOff>0</rowOff>
    </from>
    <ext cx="5688000" cy="2736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oneCellAnchor>
    <from>
      <col>9</col>
      <colOff>0</colOff>
      <row>65</row>
      <rowOff>0</rowOff>
    </from>
    <ext cx="3420000" cy="2736000"/>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oneCellAnchor>
</wsDr>
</file>

<file path=xl/drawings/drawing2.xml><?xml version="1.0" encoding="utf-8"?>
<wsDr xmlns="http://schemas.openxmlformats.org/drawingml/2006/spreadsheetDrawing">
  <oneCellAnchor>
    <from>
      <col>11</col>
      <colOff>0</colOff>
      <row>36</row>
      <rowOff>0</rowOff>
    </from>
    <ext cx="4176000" cy="2304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1</col>
      <colOff>0</colOff>
      <row>51</row>
      <rowOff>0</rowOff>
    </from>
    <ext cx="5688000" cy="2736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9</col>
      <colOff>0</colOff>
      <row>51</row>
      <rowOff>0</rowOff>
    </from>
    <ext cx="5688000" cy="2736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wsDr>
</file>

<file path=xl/drawings/drawing3.xml><?xml version="1.0" encoding="utf-8"?>
<wsDr xmlns="http://schemas.openxmlformats.org/drawingml/2006/spreadsheetDrawing">
  <oneCellAnchor>
    <from>
      <col>1</col>
      <colOff>0</colOff>
      <row>30</row>
      <rowOff>0</rowOff>
    </from>
    <ext cx="5688000" cy="2736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9</col>
      <colOff>0</colOff>
      <row>30</row>
      <rowOff>0</rowOff>
    </from>
    <ext cx="5688000" cy="2736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wsDr>
</file>

<file path=xl/tables/table1.xml><?xml version="1.0" encoding="utf-8"?>
<table xmlns="http://schemas.openxmlformats.org/spreadsheetml/2006/main" id="1" name="tblMovimientos" displayName="tblMovimientos" ref="B5:AI5005" headerRowCount="1">
  <autoFilter ref="B5:AI5005"/>
  <tableColumns count="34">
    <tableColumn id="2" name="Fecha"/>
    <tableColumn id="3" name="Tipo"/>
    <tableColumn id="4" name="Categoría"/>
    <tableColumn id="5" name="Subcategoría"/>
    <tableColumn id="6" name="Descripción"/>
    <tableColumn id="7" name="Monto"/>
    <tableColumn id="8" name="Moneda"/>
    <tableColumn id="9" name="Tasa USD"/>
    <tableColumn id="10" name="Cuenta / método"/>
    <tableColumn id="11" name="Cuenta destino"/>
    <tableColumn id="12" name="Comercio"/>
    <tableColumn id="13" name="Fijo/Variable"/>
    <tableColumn id="14" name="Observaciones"/>
    <tableColumn id="15" name="Estado"/>
    <tableColumn id="16" name="Tipo efectivo"/>
    <tableColumn id="17" name="Cuenta efectiva"/>
    <tableColumn id="18" name="Tasa aplicada"/>
    <tableColumn id="19" name="Monto DOP"/>
    <tableColumn id="20" name="Monto USD"/>
    <tableColumn id="21" name="Gasto real DOP"/>
    <tableColumn id="22" name="Ingreso DOP"/>
    <tableColumn id="23" name="Resultado trading DOP"/>
    <tableColumn id="24" name="Clasificación efectiva"/>
    <tableColumn id="25" name="Grupo alimentación"/>
    <tableColumn id="26" name="Día semana"/>
    <tableColumn id="27" name="Es hormiga"/>
    <tableColumn id="28" name="Cuenta saldo origen"/>
    <tableColumn id="29" name="Cuenta saldo destino"/>
    <tableColumn id="30" name="Tipo cta origen"/>
    <tableColumn id="31" name="Tipo cta destino"/>
    <tableColumn id="32" name="Efecto saldo origen"/>
    <tableColumn id="33" name="Efecto saldo destino"/>
    <tableColumn id="34" name="Flujo líquido DOP"/>
    <tableColumn id="35" name="Índice comercio"/>
  </tableColumns>
  <tableStyleInfo name="TableStyleLight1"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3.xml.rels><Relationships xmlns="http://schemas.openxmlformats.org/package/2006/relationships"><Relationship Type="http://schemas.openxmlformats.org/officeDocument/2006/relationships/drawing" Target="/xl/drawings/drawing1.xml" Id="rId1"/></Relationships>
</file>

<file path=xl/worksheets/_rels/sheet4.xml.rels><Relationships xmlns="http://schemas.openxmlformats.org/package/2006/relationships"><Relationship Type="http://schemas.openxmlformats.org/officeDocument/2006/relationships/drawing" Target="/xl/drawings/drawing2.xml" Id="rId1"/><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5.xml.rels><Relationships xmlns="http://schemas.openxmlformats.org/package/2006/relationships"><Relationship Type="http://schemas.openxmlformats.org/officeDocument/2006/relationships/drawing" Target="/xl/drawings/drawing3.xml" Id="rId1"/><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10.xml.rels><Relationships xmlns="http://schemas.openxmlformats.org/package/2006/relationships"><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sheet1.xml><?xml version="1.0" encoding="utf-8"?>
<worksheet xmlns="http://schemas.openxmlformats.org/spreadsheetml/2006/main">
  <sheetPr>
    <tabColor rgb="000F172A"/>
    <outlinePr summaryBelow="1" summaryRight="1"/>
    <pageSetUpPr fitToPage="1"/>
  </sheetPr>
  <dimension ref="A1:N75"/>
  <sheetViews>
    <sheetView showGridLines="0" zoomScale="100" workbookViewId="0">
      <selection activeCell="A1" sqref="A1"/>
    </sheetView>
  </sheetViews>
  <sheetFormatPr baseColWidth="8" defaultRowHeight="15"/>
  <cols>
    <col width="2"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 width="2" customWidth="1" min="14" max="14"/>
  </cols>
  <sheetData>
    <row r="1" ht="38" customHeight="1">
      <c r="A1" s="1" t="n"/>
      <c r="B1" s="2" t="inlineStr">
        <is>
          <t>Finanzas Personales</t>
        </is>
      </c>
      <c r="C1" s="1" t="n"/>
      <c r="D1" s="1" t="n"/>
      <c r="E1" s="1" t="n"/>
      <c r="F1" s="1" t="n"/>
      <c r="G1" s="1" t="n"/>
      <c r="H1" s="3" t="inlineStr">
        <is>
          <t>Excel 365 · sin macros · moneda base DOP</t>
        </is>
      </c>
    </row>
    <row r="2" ht="22" customHeight="1">
      <c r="A2" s="4" t="n"/>
      <c r="B2" s="5" t="inlineStr">
        <is>
          <t>● Inicio</t>
        </is>
      </c>
      <c r="C2" s="6" t="inlineStr">
        <is>
          <t>Registro</t>
        </is>
      </c>
      <c r="D2" s="6" t="inlineStr">
        <is>
          <t>Dashboard</t>
        </is>
      </c>
      <c r="E2" s="6" t="inlineStr">
        <is>
          <t>Alimentación</t>
        </is>
      </c>
      <c r="F2" s="6" t="inlineStr">
        <is>
          <t>Hormiga</t>
        </is>
      </c>
      <c r="G2" s="6" t="inlineStr">
        <is>
          <t>Recurrentes</t>
        </is>
      </c>
      <c r="H2" s="6" t="inlineStr">
        <is>
          <t>Presupuestos</t>
        </is>
      </c>
      <c r="I2" s="6" t="inlineStr">
        <is>
          <t>Cuentas</t>
        </is>
      </c>
      <c r="J2" s="6" t="inlineStr">
        <is>
          <t>Categorías</t>
        </is>
      </c>
      <c r="K2" s="6" t="inlineStr">
        <is>
          <t>Config</t>
        </is>
      </c>
      <c r="L2" s="4" t="n"/>
      <c r="M2" s="4" t="n"/>
      <c r="N2" s="4" t="n"/>
    </row>
    <row r="3">
      <c r="A3" s="7" t="n"/>
      <c r="B3" s="7" t="n"/>
      <c r="C3" s="7" t="n"/>
      <c r="D3" s="7" t="n"/>
      <c r="E3" s="7" t="n"/>
      <c r="F3" s="7" t="n"/>
      <c r="G3" s="7" t="n"/>
      <c r="H3" s="7" t="n"/>
      <c r="I3" s="7" t="n"/>
      <c r="J3" s="7" t="n"/>
      <c r="K3" s="7" t="n"/>
      <c r="L3" s="7" t="n"/>
      <c r="M3" s="7" t="n"/>
      <c r="N3" s="7" t="n"/>
    </row>
    <row r="4" ht="20" customHeight="1">
      <c r="A4" s="7" t="n"/>
      <c r="B4" s="8" t="inlineStr">
        <is>
          <t>Registra cada movimiento en segundos, entiende a dónde va tu dinero y, cuando tengas datos suficientes, define límites y metas. Todas las cifras se recalculan automáticamente al agregar filas en «Registro».</t>
        </is>
      </c>
      <c r="N4" s="7" t="n"/>
    </row>
    <row r="5" ht="20" customHeight="1">
      <c r="A5" s="7" t="n"/>
      <c r="N5" s="7" t="n"/>
    </row>
    <row r="6">
      <c r="A6" s="7" t="n"/>
      <c r="B6" s="7" t="n"/>
      <c r="C6" s="7" t="n"/>
      <c r="D6" s="7" t="n"/>
      <c r="E6" s="7" t="n"/>
      <c r="F6" s="7" t="n"/>
      <c r="G6" s="7" t="n"/>
      <c r="H6" s="7" t="n"/>
      <c r="I6" s="7" t="n"/>
      <c r="J6" s="7" t="n"/>
      <c r="K6" s="7" t="n"/>
      <c r="L6" s="7" t="n"/>
      <c r="M6" s="7" t="n"/>
      <c r="N6" s="7" t="n"/>
    </row>
    <row r="7" ht="24" customHeight="1">
      <c r="A7" s="7" t="n"/>
      <c r="B7" s="9" t="inlineStr">
        <is>
          <t>Ir a…</t>
        </is>
      </c>
      <c r="C7" s="10" t="n"/>
      <c r="D7" s="10" t="n"/>
      <c r="E7" s="10" t="n"/>
      <c r="F7" s="10" t="n"/>
      <c r="G7" s="10" t="n"/>
      <c r="H7" s="10" t="n"/>
      <c r="I7" s="10" t="n"/>
      <c r="J7" s="10" t="n"/>
      <c r="K7" s="10" t="n"/>
      <c r="L7" s="10" t="n"/>
      <c r="M7" s="10" t="n"/>
      <c r="N7" s="7" t="n"/>
    </row>
    <row r="8" ht="22" customHeight="1">
      <c r="A8" s="7" t="n"/>
      <c r="B8" s="11" t="inlineStr">
        <is>
          <t>Registrar movimientos  →</t>
        </is>
      </c>
      <c r="C8" s="12" t="n"/>
      <c r="D8" s="13" t="n"/>
      <c r="E8" s="11" t="inlineStr">
        <is>
          <t>Dashboard  →</t>
        </is>
      </c>
      <c r="F8" s="12" t="n"/>
      <c r="G8" s="13" t="n"/>
      <c r="H8" s="14" t="inlineStr">
        <is>
          <t>Alimentación  →</t>
        </is>
      </c>
      <c r="I8" s="12" t="n"/>
      <c r="J8" s="13" t="n"/>
      <c r="K8" s="14" t="inlineStr">
        <is>
          <t>Gastos hormiga  →</t>
        </is>
      </c>
      <c r="L8" s="12" t="n"/>
      <c r="M8" s="13" t="n"/>
      <c r="N8" s="7" t="n"/>
    </row>
    <row r="9" ht="18" customHeight="1">
      <c r="A9" s="7" t="n"/>
      <c r="B9" s="15" t="inlineStr">
        <is>
          <t>Una fila por transacción. Fecha + monto + categoría + cuenta.</t>
        </is>
      </c>
      <c r="D9" s="16" t="n"/>
      <c r="E9" s="15" t="inlineStr">
        <is>
          <t>KPIs, filtros, gráficos, top 10 y comparación mensual.</t>
        </is>
      </c>
      <c r="G9" s="16" t="n"/>
      <c r="H9" s="17" t="inlineStr">
        <is>
          <t>Comer fuera vs. cocinar, costos por comida y simulador.</t>
        </is>
      </c>
      <c r="J9" s="16" t="n"/>
      <c r="K9" s="17" t="inlineStr">
        <is>
          <t>Consumos pequeños y frecuentes y su peso real.</t>
        </is>
      </c>
      <c r="M9" s="16" t="n"/>
      <c r="N9" s="7" t="n"/>
    </row>
    <row r="10" ht="18" customHeight="1">
      <c r="A10" s="7" t="n"/>
      <c r="B10" s="18" t="n"/>
      <c r="C10" s="19" t="n"/>
      <c r="D10" s="20" t="n"/>
      <c r="E10" s="18" t="n"/>
      <c r="F10" s="19" t="n"/>
      <c r="G10" s="20" t="n"/>
      <c r="H10" s="21" t="n"/>
      <c r="I10" s="19" t="n"/>
      <c r="J10" s="20" t="n"/>
      <c r="K10" s="21" t="n"/>
      <c r="L10" s="19" t="n"/>
      <c r="M10" s="20" t="n"/>
      <c r="N10" s="7" t="n"/>
    </row>
    <row r="11">
      <c r="A11" s="7" t="n"/>
      <c r="B11" s="7" t="n"/>
      <c r="C11" s="7" t="n"/>
      <c r="D11" s="7" t="n"/>
      <c r="E11" s="7" t="n"/>
      <c r="F11" s="7" t="n"/>
      <c r="G11" s="7" t="n"/>
      <c r="H11" s="7" t="n"/>
      <c r="I11" s="7" t="n"/>
      <c r="J11" s="7" t="n"/>
      <c r="K11" s="7" t="n"/>
      <c r="L11" s="7" t="n"/>
      <c r="M11" s="7" t="n"/>
      <c r="N11" s="7" t="n"/>
    </row>
    <row r="12" ht="22" customHeight="1">
      <c r="A12" s="7" t="n"/>
      <c r="B12" s="14" t="inlineStr">
        <is>
          <t>Suscripciones  →</t>
        </is>
      </c>
      <c r="C12" s="12" t="n"/>
      <c r="D12" s="13" t="n"/>
      <c r="E12" s="22" t="inlineStr">
        <is>
          <t>Presupuestos y metas  →</t>
        </is>
      </c>
      <c r="F12" s="12" t="n"/>
      <c r="G12" s="13" t="n"/>
      <c r="H12" s="22" t="inlineStr">
        <is>
          <t>Cuentas  →</t>
        </is>
      </c>
      <c r="I12" s="12" t="n"/>
      <c r="J12" s="13" t="n"/>
      <c r="K12" s="23" t="inlineStr">
        <is>
          <t>Categorías  →</t>
        </is>
      </c>
      <c r="L12" s="12" t="n"/>
      <c r="M12" s="13" t="n"/>
      <c r="N12" s="7" t="n"/>
    </row>
    <row r="13" ht="18" customHeight="1">
      <c r="A13" s="7" t="n"/>
      <c r="B13" s="17" t="inlineStr">
        <is>
          <t>Agenda de cobros recurrentes y próximos vencimientos.</t>
        </is>
      </c>
      <c r="D13" s="16" t="n"/>
      <c r="E13" s="24" t="inlineStr">
        <is>
          <t>Etapa 2: límites, alertas, fondo de emergencia, boda, inversión.</t>
        </is>
      </c>
      <c r="G13" s="16" t="n"/>
      <c r="H13" s="24" t="inlineStr">
        <is>
          <t>Saldos iniciales, saldo actual, conciliación y deuda de tarjetas.</t>
        </is>
      </c>
      <c r="J13" s="16" t="n"/>
      <c r="K13" s="25" t="inlineStr">
        <is>
          <t>Edita, agrega o elimina categorías y subcategorías.</t>
        </is>
      </c>
      <c r="M13" s="16" t="n"/>
      <c r="N13" s="7" t="n"/>
    </row>
    <row r="14" ht="18" customHeight="1">
      <c r="A14" s="7" t="n"/>
      <c r="B14" s="21" t="n"/>
      <c r="C14" s="19" t="n"/>
      <c r="D14" s="20" t="n"/>
      <c r="E14" s="26" t="n"/>
      <c r="F14" s="19" t="n"/>
      <c r="G14" s="20" t="n"/>
      <c r="H14" s="26" t="n"/>
      <c r="I14" s="19" t="n"/>
      <c r="J14" s="20" t="n"/>
      <c r="K14" s="27" t="n"/>
      <c r="L14" s="19" t="n"/>
      <c r="M14" s="20" t="n"/>
      <c r="N14" s="7" t="n"/>
    </row>
    <row r="15">
      <c r="A15" s="7" t="n"/>
      <c r="B15" s="7" t="n"/>
      <c r="C15" s="7" t="n"/>
      <c r="D15" s="7" t="n"/>
      <c r="E15" s="7" t="n"/>
      <c r="F15" s="7" t="n"/>
      <c r="G15" s="7" t="n"/>
      <c r="H15" s="7" t="n"/>
      <c r="I15" s="7" t="n"/>
      <c r="J15" s="7" t="n"/>
      <c r="K15" s="7" t="n"/>
      <c r="L15" s="7" t="n"/>
      <c r="M15" s="7" t="n"/>
      <c r="N15" s="7" t="n"/>
    </row>
    <row r="16" ht="24" customHeight="1">
      <c r="A16" s="7" t="n"/>
      <c r="B16" s="9" t="inlineStr">
        <is>
          <t>Estado del sistema</t>
        </is>
      </c>
      <c r="C16" s="10" t="n"/>
      <c r="D16" s="10" t="n"/>
      <c r="E16" s="10" t="n"/>
      <c r="F16" s="10" t="n"/>
      <c r="G16" s="10" t="n"/>
      <c r="H16" s="7" t="n"/>
      <c r="I16" s="9" t="inlineStr">
        <is>
          <t>Primeros pasos</t>
        </is>
      </c>
      <c r="J16" s="10" t="n"/>
      <c r="K16" s="10" t="n"/>
      <c r="L16" s="10" t="n"/>
      <c r="M16" s="10" t="n"/>
      <c r="N16" s="7" t="n"/>
    </row>
    <row r="17" ht="20" customHeight="1">
      <c r="A17" s="7" t="n"/>
      <c r="B17" s="28" t="inlineStr">
        <is>
          <t>Movimientos registrados</t>
        </is>
      </c>
      <c r="F17" s="29">
        <f>COUNTIF(rTipoE,"?*")</f>
        <v/>
      </c>
      <c r="H17" s="7" t="n"/>
      <c r="I17" s="30" t="inlineStr">
        <is>
          <t>1. Explora el Dashboard con los datos DEMO (filas lilas del Registro).</t>
        </is>
      </c>
      <c r="N17" s="7" t="n"/>
    </row>
    <row r="18" ht="20" customHeight="1">
      <c r="A18" s="7" t="n"/>
      <c r="B18" s="28" t="inlineStr">
        <is>
          <t>Filas de DEMOSTRACIÓN</t>
        </is>
      </c>
      <c r="F18" s="29">
        <f>COUNTIF(rObs,"DEMOSTRACIÓN")</f>
        <v/>
      </c>
      <c r="H18" s="7" t="n"/>
      <c r="I18" s="30" t="inlineStr">
        <is>
          <t>2. Borra los DEMO (ver «Eliminar datos de demostración» abajo).</t>
        </is>
      </c>
      <c r="N18" s="7" t="n"/>
    </row>
    <row r="19" ht="20" customHeight="1">
      <c r="A19" s="7" t="n"/>
      <c r="B19" s="28" t="inlineStr">
        <is>
          <t>Filas con advertencias</t>
        </is>
      </c>
      <c r="F19" s="29">
        <f>COUNTIF(rEstado,"⚠*")</f>
        <v/>
      </c>
      <c r="H19" s="7" t="n"/>
      <c r="I19" s="30" t="inlineStr">
        <is>
          <t>3. En Cuentas, renombra tus cuentas/tarjetas y, si quieres saldos reales, escribe saldo inicial y su fecha.</t>
        </is>
      </c>
      <c r="N19" s="7" t="n"/>
    </row>
    <row r="20" ht="20" customHeight="1">
      <c r="A20" s="7" t="n"/>
      <c r="B20" s="28" t="inlineStr">
        <is>
          <t>Último movimiento</t>
        </is>
      </c>
      <c r="F20" s="31">
        <f>IF(COUNT(rFecha)=0,"—",MAX(rFecha))</f>
        <v/>
      </c>
      <c r="H20" s="7" t="n"/>
      <c r="I20" s="30" t="inlineStr">
        <is>
          <t>4. En Config, actualiza la tasa USD→DOP.</t>
        </is>
      </c>
      <c r="N20" s="7" t="n"/>
    </row>
    <row r="21" ht="20" customHeight="1">
      <c r="A21" s="7" t="n"/>
      <c r="B21" s="28" t="inlineStr">
        <is>
          <t>Capacidad usada del Registro</t>
        </is>
      </c>
      <c r="F21" s="32">
        <f>COUNTA(rFecha)/5000</f>
        <v/>
      </c>
      <c r="H21" s="7" t="n"/>
      <c r="I21" s="30" t="inlineStr">
        <is>
          <t>5. Ajusta Categorías a tu gusto (opcional).</t>
        </is>
      </c>
      <c r="N21" s="7" t="n"/>
    </row>
    <row r="22" ht="20" customHeight="1">
      <c r="A22" s="7" t="n"/>
      <c r="B22" s="28" t="inlineStr">
        <is>
          <t>Cuentas con saldo inicial</t>
        </is>
      </c>
      <c r="F22" s="33">
        <f>'Cuentas'!L41</f>
        <v/>
      </c>
      <c r="H22" s="7" t="n"/>
      <c r="I22" s="30" t="inlineStr">
        <is>
          <t>6. Registra cada gasto el mismo día: ~10 segundos por fila.</t>
        </is>
      </c>
      <c r="N22" s="7" t="n"/>
    </row>
    <row r="23" ht="20" customHeight="1">
      <c r="A23" s="7" t="n"/>
      <c r="B23" s="28" t="inlineStr">
        <is>
          <t>Tasa USD→DOP en uso</t>
        </is>
      </c>
      <c r="F23" s="34">
        <f>TasaUSD</f>
        <v/>
      </c>
      <c r="H23" s="7" t="n"/>
      <c r="I23" s="30" t="inlineStr">
        <is>
          <t>7. Tras 2–3 meses, revisa Alimentación y Hormiga y define límites en Presupuestos.</t>
        </is>
      </c>
      <c r="N23" s="7" t="n"/>
    </row>
    <row r="24" ht="20" customHeight="1">
      <c r="A24" s="7" t="n"/>
      <c r="B24" s="28" t="inlineStr">
        <is>
          <t>Suscripciones que vencen en ≤ 7 días</t>
        </is>
      </c>
      <c r="F24" s="29">
        <f>recProximos</f>
        <v/>
      </c>
      <c r="H24" s="7" t="n"/>
      <c r="I24" s="7" t="n"/>
      <c r="J24" s="7" t="n"/>
      <c r="K24" s="7" t="n"/>
      <c r="L24" s="7" t="n"/>
      <c r="M24" s="7" t="n"/>
      <c r="N24" s="7" t="n"/>
    </row>
    <row r="25">
      <c r="A25" s="7" t="n"/>
      <c r="B25" s="7" t="n"/>
      <c r="C25" s="7" t="n"/>
      <c r="D25" s="7" t="n"/>
      <c r="E25" s="7" t="n"/>
      <c r="F25" s="7" t="n"/>
      <c r="G25" s="7" t="n"/>
      <c r="H25" s="7" t="n"/>
      <c r="I25" s="7" t="n"/>
      <c r="J25" s="7" t="n"/>
      <c r="K25" s="7" t="n"/>
      <c r="L25" s="7" t="n"/>
      <c r="M25" s="7" t="n"/>
      <c r="N25" s="7" t="n"/>
    </row>
    <row r="26" ht="24" customHeight="1">
      <c r="A26" s="7" t="n"/>
      <c r="B26" s="9" t="inlineStr">
        <is>
          <t>Cómo registrar (reglas que evitan duplicar)</t>
        </is>
      </c>
      <c r="C26" s="10" t="n"/>
      <c r="D26" s="10" t="n"/>
      <c r="E26" s="10" t="n"/>
      <c r="F26" s="10" t="n"/>
      <c r="G26" s="10" t="n"/>
      <c r="H26" s="10" t="n"/>
      <c r="I26" s="10" t="n"/>
      <c r="J26" s="10" t="n"/>
      <c r="K26" s="10" t="n"/>
      <c r="L26" s="10" t="n"/>
      <c r="M26" s="10" t="n"/>
      <c r="N26" s="7" t="n"/>
    </row>
    <row r="27" ht="32" customHeight="1">
      <c r="A27" s="7" t="n"/>
      <c r="B27" s="35" t="inlineStr">
        <is>
          <t>Gasto cotidiano</t>
        </is>
      </c>
      <c r="C27" s="36" t="n"/>
      <c r="D27" s="36" t="n"/>
      <c r="E27" s="37" t="inlineStr">
        <is>
          <t>Fecha · (Tipo vacío = Gasto) · Categoría · Subcategoría · Monto · Cuenta. Comercio y descripción son opcionales.</t>
        </is>
      </c>
      <c r="F27" s="36" t="n"/>
      <c r="G27" s="36" t="n"/>
      <c r="H27" s="36" t="n"/>
      <c r="I27" s="36" t="n"/>
      <c r="J27" s="36" t="n"/>
      <c r="K27" s="36" t="n"/>
      <c r="L27" s="36" t="n"/>
      <c r="M27" s="36" t="n"/>
      <c r="N27" s="7" t="n"/>
    </row>
    <row r="28" ht="32" customHeight="1">
      <c r="A28" s="7" t="n"/>
      <c r="B28" s="35" t="inlineStr">
        <is>
          <t>Compra con tarjeta de crédito</t>
        </is>
      </c>
      <c r="C28" s="36" t="n"/>
      <c r="D28" s="36" t="n"/>
      <c r="E28" s="37" t="inlineStr">
        <is>
          <t>Regístrala como Gasto en la fecha de consumo, con Cuenta = la tarjeta. Así el gasto cuenta una sola vez y la deuda de la tarjeta crece.</t>
        </is>
      </c>
      <c r="F28" s="36" t="n"/>
      <c r="G28" s="36" t="n"/>
      <c r="H28" s="36" t="n"/>
      <c r="I28" s="36" t="n"/>
      <c r="J28" s="36" t="n"/>
      <c r="K28" s="36" t="n"/>
      <c r="L28" s="36" t="n"/>
      <c r="M28" s="36" t="n"/>
      <c r="N28" s="7" t="n"/>
    </row>
    <row r="29" ht="32" customHeight="1">
      <c r="A29" s="7" t="n"/>
      <c r="B29" s="35" t="inlineStr">
        <is>
          <t>Pago de la tarjeta</t>
        </is>
      </c>
      <c r="C29" s="36" t="n"/>
      <c r="D29" s="36" t="n"/>
      <c r="E29" s="37" t="inlineStr">
        <is>
          <t>Tipo «Pago tarjeta», Cuenta = banco que paga, Cuenta destino = la tarjeta. NO es gasto: solo reduce la deuda y sale dinero del banco.</t>
        </is>
      </c>
      <c r="F29" s="36" t="n"/>
      <c r="G29" s="36" t="n"/>
      <c r="H29" s="36" t="n"/>
      <c r="I29" s="36" t="n"/>
      <c r="J29" s="36" t="n"/>
      <c r="K29" s="36" t="n"/>
      <c r="L29" s="36" t="n"/>
      <c r="M29" s="36" t="n"/>
      <c r="N29" s="7" t="n"/>
    </row>
    <row r="30" ht="32" customHeight="1">
      <c r="A30" s="7" t="n"/>
      <c r="B30" s="35" t="inlineStr">
        <is>
          <t>Transferencias propias</t>
        </is>
      </c>
      <c r="C30" s="36" t="n"/>
      <c r="D30" s="36" t="n"/>
      <c r="E30" s="37" t="inlineStr">
        <is>
          <t>Tipo «Transferencia» (banco→efectivo, banco→billetera…). No suma ni a ingresos ni a gastos; solo mueve saldos.</t>
        </is>
      </c>
      <c r="F30" s="36" t="n"/>
      <c r="G30" s="36" t="n"/>
      <c r="H30" s="36" t="n"/>
      <c r="I30" s="36" t="n"/>
      <c r="J30" s="36" t="n"/>
      <c r="K30" s="36" t="n"/>
      <c r="L30" s="36" t="n"/>
      <c r="M30" s="36" t="n"/>
      <c r="N30" s="7" t="n"/>
    </row>
    <row r="31" ht="32" customHeight="1">
      <c r="A31" s="7" t="n"/>
      <c r="B31" s="35" t="inlineStr">
        <is>
          <t>Trading</t>
        </is>
      </c>
      <c r="C31" s="36" t="n"/>
      <c r="D31" s="36" t="n"/>
      <c r="E31" s="37" t="inlineStr">
        <is>
          <t>Depósito o retiro = Transferencia hacia/desde la cuenta de trading. Ganancia o pérdida realizada = «Resultado trading» (+/−). Evaluaciones, plataformas y comisiones = Gasto en la categoría de trading.</t>
        </is>
      </c>
      <c r="F31" s="36" t="n"/>
      <c r="G31" s="36" t="n"/>
      <c r="H31" s="36" t="n"/>
      <c r="I31" s="36" t="n"/>
      <c r="J31" s="36" t="n"/>
      <c r="K31" s="36" t="n"/>
      <c r="L31" s="36" t="n"/>
      <c r="M31" s="36" t="n"/>
      <c r="N31" s="7" t="n"/>
    </row>
    <row r="32" ht="32" customHeight="1">
      <c r="A32" s="7" t="n"/>
      <c r="B32" s="35" t="inlineStr">
        <is>
          <t>Reembolsos</t>
        </is>
      </c>
      <c r="C32" s="36" t="n"/>
      <c r="D32" s="36" t="n"/>
      <c r="E32" s="37" t="inlineStr">
        <is>
          <t>Si te devuelven dinero, usa «Reembolso» con la misma categoría del gasto original: el gasto neto se reduce.</t>
        </is>
      </c>
      <c r="F32" s="36" t="n"/>
      <c r="G32" s="36" t="n"/>
      <c r="H32" s="36" t="n"/>
      <c r="I32" s="36" t="n"/>
      <c r="J32" s="36" t="n"/>
      <c r="K32" s="36" t="n"/>
      <c r="L32" s="36" t="n"/>
      <c r="M32" s="36" t="n"/>
      <c r="N32" s="7" t="n"/>
    </row>
    <row r="33" ht="32" customHeight="1">
      <c r="A33" s="7" t="n"/>
      <c r="B33" s="35" t="inlineStr">
        <is>
          <t>Dólares</t>
        </is>
      </c>
      <c r="C33" s="36" t="n"/>
      <c r="D33" s="36" t="n"/>
      <c r="E33" s="37" t="inlineStr">
        <is>
          <t>Moneda USD. Si conoces la tasa real aplicada, escríbela en «Tasa USD»; si no, se usa la de Config. Todos los reportes salen en DOP.</t>
        </is>
      </c>
      <c r="F33" s="36" t="n"/>
      <c r="G33" s="36" t="n"/>
      <c r="H33" s="36" t="n"/>
      <c r="I33" s="36" t="n"/>
      <c r="J33" s="36" t="n"/>
      <c r="K33" s="36" t="n"/>
      <c r="L33" s="36" t="n"/>
      <c r="M33" s="36" t="n"/>
      <c r="N33" s="7" t="n"/>
    </row>
    <row r="34" ht="32" customHeight="1">
      <c r="A34" s="7" t="n"/>
      <c r="B34" s="35" t="inlineStr">
        <is>
          <t>Ajustes</t>
        </is>
      </c>
      <c r="C34" s="36" t="n"/>
      <c r="D34" s="36" t="n"/>
      <c r="E34" s="37" t="inlineStr">
        <is>
          <t>Si el saldo real no coincide con el calculado (Cuentas › Conciliación), registra un «Ajuste» por la diferencia.</t>
        </is>
      </c>
      <c r="F34" s="36" t="n"/>
      <c r="G34" s="36" t="n"/>
      <c r="H34" s="36" t="n"/>
      <c r="I34" s="36" t="n"/>
      <c r="J34" s="36" t="n"/>
      <c r="K34" s="36" t="n"/>
      <c r="L34" s="36" t="n"/>
      <c r="M34" s="36" t="n"/>
      <c r="N34" s="7" t="n"/>
    </row>
    <row r="35">
      <c r="A35" s="7" t="n"/>
      <c r="B35" s="7" t="n"/>
      <c r="C35" s="7" t="n"/>
      <c r="D35" s="7" t="n"/>
      <c r="E35" s="7" t="n"/>
      <c r="F35" s="7" t="n"/>
      <c r="G35" s="7" t="n"/>
      <c r="H35" s="7" t="n"/>
      <c r="I35" s="7" t="n"/>
      <c r="J35" s="7" t="n"/>
      <c r="K35" s="7" t="n"/>
      <c r="L35" s="7" t="n"/>
      <c r="M35" s="7" t="n"/>
      <c r="N35" s="7" t="n"/>
    </row>
    <row r="36" ht="24" customHeight="1">
      <c r="A36" s="7" t="n"/>
      <c r="B36" s="9" t="inlineStr">
        <is>
          <t>Eliminar datos de demostración</t>
        </is>
      </c>
      <c r="C36" s="10" t="n"/>
      <c r="D36" s="10" t="n"/>
      <c r="E36" s="10" t="n"/>
      <c r="F36" s="10" t="n"/>
      <c r="G36" s="10" t="n"/>
      <c r="H36" s="10" t="n"/>
      <c r="I36" s="10" t="n"/>
      <c r="J36" s="10" t="n"/>
      <c r="K36" s="10" t="n"/>
      <c r="L36" s="10" t="n"/>
      <c r="M36" s="10" t="n"/>
      <c r="N36" s="7" t="n"/>
    </row>
    <row r="37" ht="20" customHeight="1">
      <c r="A37" s="7" t="n"/>
      <c r="B37" s="30" t="inlineStr">
        <is>
          <t>•  Las filas DEMO están juntas al inicio del Registro (filas 6 a 194), marcadas «DEMOSTRACIÓN» en Observaciones y con fondo lila.</t>
        </is>
      </c>
      <c r="N37" s="7" t="n"/>
    </row>
    <row r="38" ht="20" customHeight="1">
      <c r="A38" s="7" t="n"/>
      <c r="B38" s="30" t="inlineStr">
        <is>
          <t>•  Opción rápida: en Registro selecciona B6:N194 y pulsa Suprimir. Las fórmulas automáticas (columnas O en adelante) no se tocan.</t>
        </is>
      </c>
      <c r="N38" s="7" t="n"/>
    </row>
    <row r="39" ht="20" customHeight="1">
      <c r="A39" s="7" t="n"/>
      <c r="B39" s="30" t="inlineStr">
        <is>
          <t>•  En Recurrentes, borra igual las filas marcadas «DEMOSTRACIÓN» (columnas B:L).</t>
        </is>
      </c>
      <c r="N39" s="7" t="n"/>
    </row>
    <row r="40" ht="20" customHeight="1">
      <c r="A40" s="7" t="n"/>
      <c r="B40" s="30" t="inlineStr">
        <is>
          <t>•  Las cuentas y categorías de ejemplo NO son datos personales: renómbralas o bórralas. No hay saldos ni límites precargados.</t>
        </is>
      </c>
      <c r="N40" s="7" t="n"/>
    </row>
    <row r="41" ht="20" customHeight="1">
      <c r="A41" s="7" t="n"/>
      <c r="B41" s="30" t="inlineStr">
        <is>
          <t>•  Cuando el estado de arriba muestre 0 filas DEMO, todo el sistema queda listo con tus datos.</t>
        </is>
      </c>
      <c r="N41" s="7" t="n"/>
    </row>
    <row r="42">
      <c r="A42" s="7" t="n"/>
      <c r="B42" s="7" t="n"/>
      <c r="C42" s="7" t="n"/>
      <c r="D42" s="7" t="n"/>
      <c r="E42" s="7" t="n"/>
      <c r="F42" s="7" t="n"/>
      <c r="G42" s="7" t="n"/>
      <c r="H42" s="7" t="n"/>
      <c r="I42" s="7" t="n"/>
      <c r="J42" s="7" t="n"/>
      <c r="K42" s="7" t="n"/>
      <c r="L42" s="7" t="n"/>
      <c r="M42" s="7" t="n"/>
      <c r="N42" s="7" t="n"/>
    </row>
    <row r="43" ht="24" customHeight="1">
      <c r="A43" s="7" t="n"/>
      <c r="B43" s="9" t="inlineStr">
        <is>
          <t>Buenas prácticas</t>
        </is>
      </c>
      <c r="C43" s="10" t="n"/>
      <c r="D43" s="10" t="n"/>
      <c r="E43" s="10" t="n"/>
      <c r="F43" s="10" t="n"/>
      <c r="G43" s="10" t="n"/>
      <c r="H43" s="10" t="n"/>
      <c r="I43" s="10" t="n"/>
      <c r="J43" s="10" t="n"/>
      <c r="K43" s="10" t="n"/>
      <c r="L43" s="10" t="n"/>
      <c r="M43" s="10" t="n"/>
      <c r="N43" s="7" t="n"/>
    </row>
    <row r="44" ht="20" customHeight="1">
      <c r="A44" s="7" t="n"/>
      <c r="B44" s="30" t="inlineStr">
        <is>
          <t>•  No insertes columnas dentro de la tabla del Registro ni escribas sobre las columnas grises: son el motor del sistema.</t>
        </is>
      </c>
      <c r="N44" s="7" t="n"/>
    </row>
    <row r="45" ht="20" customHeight="1">
      <c r="A45" s="7" t="n"/>
      <c r="B45" s="30" t="inlineStr">
        <is>
          <t>•  El Registro tiene capacidad para 5,000 filas. Si te acercas al límite, selecciona la última fila completa y arrastra el controlador de la tabla hacia abajo para ampliarla.</t>
        </is>
      </c>
      <c r="N45" s="7" t="n"/>
    </row>
    <row r="46" ht="20" customHeight="1">
      <c r="A46" s="7" t="n"/>
      <c r="B46" s="30" t="inlineStr">
        <is>
          <t>•  Puedes ordenar y filtrar la tabla (flechas del encabezado) sin romper nada. Filtra la columna Estado por «⚠» para corregir errores.</t>
        </is>
      </c>
      <c r="N46" s="7" t="n"/>
    </row>
    <row r="47" ht="20" customHeight="1">
      <c r="A47" s="7" t="n"/>
      <c r="B47" s="30" t="inlineStr">
        <is>
          <t>•  Celdas amarillas = editables. Celdas grises = cálculo automático. Filas lilas = demostración.</t>
        </is>
      </c>
      <c r="N47" s="7" t="n"/>
    </row>
    <row r="48" ht="20" customHeight="1">
      <c r="A48" s="7" t="n"/>
      <c r="B48" s="30" t="inlineStr">
        <is>
          <t>•  En el celular: abre el archivo con la app de Excel (OneDrive) y registra desde la hoja Registro.</t>
        </is>
      </c>
      <c r="N48" s="7" t="n"/>
    </row>
    <row r="49">
      <c r="A49" s="7" t="n"/>
      <c r="B49" s="7" t="n"/>
      <c r="C49" s="7" t="n"/>
      <c r="D49" s="7" t="n"/>
      <c r="E49" s="7" t="n"/>
      <c r="F49" s="7" t="n"/>
      <c r="G49" s="7" t="n"/>
      <c r="H49" s="7" t="n"/>
      <c r="I49" s="7" t="n"/>
      <c r="J49" s="7" t="n"/>
      <c r="K49" s="7" t="n"/>
      <c r="L49" s="7" t="n"/>
      <c r="M49" s="7" t="n"/>
      <c r="N49" s="7" t="n"/>
    </row>
    <row r="50">
      <c r="A50" s="7" t="n"/>
      <c r="B50" s="7" t="n"/>
      <c r="C50" s="7" t="n"/>
      <c r="D50" s="7" t="n"/>
      <c r="E50" s="7" t="n"/>
      <c r="F50" s="7" t="n"/>
      <c r="G50" s="7" t="n"/>
      <c r="H50" s="7" t="n"/>
      <c r="I50" s="7" t="n"/>
      <c r="J50" s="7" t="n"/>
      <c r="K50" s="7" t="n"/>
      <c r="L50" s="7" t="n"/>
      <c r="M50" s="7" t="n"/>
      <c r="N50" s="7" t="n"/>
    </row>
    <row r="51">
      <c r="A51" s="7" t="n"/>
      <c r="B51" s="7" t="n"/>
      <c r="C51" s="7" t="n"/>
      <c r="D51" s="7" t="n"/>
      <c r="E51" s="7" t="n"/>
      <c r="F51" s="7" t="n"/>
      <c r="G51" s="7" t="n"/>
      <c r="H51" s="7" t="n"/>
      <c r="I51" s="7" t="n"/>
      <c r="J51" s="7" t="n"/>
      <c r="K51" s="7" t="n"/>
      <c r="L51" s="7" t="n"/>
      <c r="M51" s="7" t="n"/>
      <c r="N51" s="7" t="n"/>
    </row>
    <row r="52">
      <c r="A52" s="7" t="n"/>
      <c r="B52" s="7" t="n"/>
      <c r="C52" s="7" t="n"/>
      <c r="D52" s="7" t="n"/>
      <c r="E52" s="7" t="n"/>
      <c r="F52" s="7" t="n"/>
      <c r="G52" s="7" t="n"/>
      <c r="H52" s="7" t="n"/>
      <c r="I52" s="7" t="n"/>
      <c r="J52" s="7" t="n"/>
      <c r="K52" s="7" t="n"/>
      <c r="L52" s="7" t="n"/>
      <c r="M52" s="7" t="n"/>
      <c r="N52" s="7" t="n"/>
    </row>
    <row r="53">
      <c r="A53" s="7" t="n"/>
      <c r="B53" s="7" t="n"/>
      <c r="C53" s="7" t="n"/>
      <c r="D53" s="7" t="n"/>
      <c r="E53" s="7" t="n"/>
      <c r="F53" s="7" t="n"/>
      <c r="G53" s="7" t="n"/>
      <c r="H53" s="7" t="n"/>
      <c r="I53" s="7" t="n"/>
      <c r="J53" s="7" t="n"/>
      <c r="K53" s="7" t="n"/>
      <c r="L53" s="7" t="n"/>
      <c r="M53" s="7" t="n"/>
      <c r="N53" s="7" t="n"/>
    </row>
    <row r="54">
      <c r="A54" s="7" t="n"/>
      <c r="B54" s="7" t="n"/>
      <c r="C54" s="7" t="n"/>
      <c r="D54" s="7" t="n"/>
      <c r="E54" s="7" t="n"/>
      <c r="F54" s="7" t="n"/>
      <c r="G54" s="7" t="n"/>
      <c r="H54" s="7" t="n"/>
      <c r="I54" s="7" t="n"/>
      <c r="J54" s="7" t="n"/>
      <c r="K54" s="7" t="n"/>
      <c r="L54" s="7" t="n"/>
      <c r="M54" s="7" t="n"/>
      <c r="N54" s="7" t="n"/>
    </row>
    <row r="55">
      <c r="A55" s="7" t="n"/>
      <c r="B55" s="7" t="n"/>
      <c r="C55" s="7" t="n"/>
      <c r="D55" s="7" t="n"/>
      <c r="E55" s="7" t="n"/>
      <c r="F55" s="7" t="n"/>
      <c r="G55" s="7" t="n"/>
      <c r="H55" s="7" t="n"/>
      <c r="I55" s="7" t="n"/>
      <c r="J55" s="7" t="n"/>
      <c r="K55" s="7" t="n"/>
      <c r="L55" s="7" t="n"/>
      <c r="M55" s="7" t="n"/>
      <c r="N55" s="7" t="n"/>
    </row>
    <row r="56">
      <c r="A56" s="7" t="n"/>
      <c r="B56" s="7" t="n"/>
      <c r="C56" s="7" t="n"/>
      <c r="D56" s="7" t="n"/>
      <c r="E56" s="7" t="n"/>
      <c r="F56" s="7" t="n"/>
      <c r="G56" s="7" t="n"/>
      <c r="H56" s="7" t="n"/>
      <c r="I56" s="7" t="n"/>
      <c r="J56" s="7" t="n"/>
      <c r="K56" s="7" t="n"/>
      <c r="L56" s="7" t="n"/>
      <c r="M56" s="7" t="n"/>
      <c r="N56" s="7" t="n"/>
    </row>
    <row r="57">
      <c r="A57" s="7" t="n"/>
      <c r="B57" s="7" t="n"/>
      <c r="C57" s="7" t="n"/>
      <c r="D57" s="7" t="n"/>
      <c r="E57" s="7" t="n"/>
      <c r="F57" s="7" t="n"/>
      <c r="G57" s="7" t="n"/>
      <c r="H57" s="7" t="n"/>
      <c r="I57" s="7" t="n"/>
      <c r="J57" s="7" t="n"/>
      <c r="K57" s="7" t="n"/>
      <c r="L57" s="7" t="n"/>
      <c r="M57" s="7" t="n"/>
      <c r="N57" s="7" t="n"/>
    </row>
    <row r="58">
      <c r="A58" s="7" t="n"/>
      <c r="B58" s="7" t="n"/>
      <c r="C58" s="7" t="n"/>
      <c r="D58" s="7" t="n"/>
      <c r="E58" s="7" t="n"/>
      <c r="F58" s="7" t="n"/>
      <c r="G58" s="7" t="n"/>
      <c r="H58" s="7" t="n"/>
      <c r="I58" s="7" t="n"/>
      <c r="J58" s="7" t="n"/>
      <c r="K58" s="7" t="n"/>
      <c r="L58" s="7" t="n"/>
      <c r="M58" s="7" t="n"/>
      <c r="N58" s="7" t="n"/>
    </row>
    <row r="59">
      <c r="A59" s="7" t="n"/>
      <c r="B59" s="7" t="n"/>
      <c r="C59" s="7" t="n"/>
      <c r="D59" s="7" t="n"/>
      <c r="E59" s="7" t="n"/>
      <c r="F59" s="7" t="n"/>
      <c r="G59" s="7" t="n"/>
      <c r="H59" s="7" t="n"/>
      <c r="I59" s="7" t="n"/>
      <c r="J59" s="7" t="n"/>
      <c r="K59" s="7" t="n"/>
      <c r="L59" s="7" t="n"/>
      <c r="M59" s="7" t="n"/>
      <c r="N59" s="7" t="n"/>
    </row>
    <row r="60">
      <c r="A60" s="7" t="n"/>
      <c r="B60" s="7" t="n"/>
      <c r="C60" s="7" t="n"/>
      <c r="D60" s="7" t="n"/>
      <c r="E60" s="7" t="n"/>
      <c r="F60" s="7" t="n"/>
      <c r="G60" s="7" t="n"/>
      <c r="H60" s="7" t="n"/>
      <c r="I60" s="7" t="n"/>
      <c r="J60" s="7" t="n"/>
      <c r="K60" s="7" t="n"/>
      <c r="L60" s="7" t="n"/>
      <c r="M60" s="7" t="n"/>
      <c r="N60" s="7" t="n"/>
    </row>
    <row r="61">
      <c r="A61" s="7" t="n"/>
      <c r="B61" s="7" t="n"/>
      <c r="C61" s="7" t="n"/>
      <c r="D61" s="7" t="n"/>
      <c r="E61" s="7" t="n"/>
      <c r="F61" s="7" t="n"/>
      <c r="G61" s="7" t="n"/>
      <c r="H61" s="7" t="n"/>
      <c r="I61" s="7" t="n"/>
      <c r="J61" s="7" t="n"/>
      <c r="K61" s="7" t="n"/>
      <c r="L61" s="7" t="n"/>
      <c r="M61" s="7" t="n"/>
      <c r="N61" s="7" t="n"/>
    </row>
    <row r="62">
      <c r="A62" s="7" t="n"/>
      <c r="B62" s="7" t="n"/>
      <c r="C62" s="7" t="n"/>
      <c r="D62" s="7" t="n"/>
      <c r="E62" s="7" t="n"/>
      <c r="F62" s="7" t="n"/>
      <c r="G62" s="7" t="n"/>
      <c r="H62" s="7" t="n"/>
      <c r="I62" s="7" t="n"/>
      <c r="J62" s="7" t="n"/>
      <c r="K62" s="7" t="n"/>
      <c r="L62" s="7" t="n"/>
      <c r="M62" s="7" t="n"/>
      <c r="N62" s="7" t="n"/>
    </row>
    <row r="63">
      <c r="A63" s="7" t="n"/>
      <c r="B63" s="7" t="n"/>
      <c r="C63" s="7" t="n"/>
      <c r="D63" s="7" t="n"/>
      <c r="E63" s="7" t="n"/>
      <c r="F63" s="7" t="n"/>
      <c r="G63" s="7" t="n"/>
      <c r="H63" s="7" t="n"/>
      <c r="I63" s="7" t="n"/>
      <c r="J63" s="7" t="n"/>
      <c r="K63" s="7" t="n"/>
      <c r="L63" s="7" t="n"/>
      <c r="M63" s="7" t="n"/>
      <c r="N63" s="7" t="n"/>
    </row>
    <row r="64">
      <c r="A64" s="7" t="n"/>
      <c r="B64" s="7" t="n"/>
      <c r="C64" s="7" t="n"/>
      <c r="D64" s="7" t="n"/>
      <c r="E64" s="7" t="n"/>
      <c r="F64" s="7" t="n"/>
      <c r="G64" s="7" t="n"/>
      <c r="H64" s="7" t="n"/>
      <c r="I64" s="7" t="n"/>
      <c r="J64" s="7" t="n"/>
      <c r="K64" s="7" t="n"/>
      <c r="L64" s="7" t="n"/>
      <c r="M64" s="7" t="n"/>
      <c r="N64" s="7" t="n"/>
    </row>
    <row r="65">
      <c r="A65" s="7" t="n"/>
      <c r="B65" s="7" t="n"/>
      <c r="C65" s="7" t="n"/>
      <c r="D65" s="7" t="n"/>
      <c r="E65" s="7" t="n"/>
      <c r="F65" s="7" t="n"/>
      <c r="G65" s="7" t="n"/>
      <c r="H65" s="7" t="n"/>
      <c r="I65" s="7" t="n"/>
      <c r="J65" s="7" t="n"/>
      <c r="K65" s="7" t="n"/>
      <c r="L65" s="7" t="n"/>
      <c r="M65" s="7" t="n"/>
      <c r="N65" s="7" t="n"/>
    </row>
    <row r="66">
      <c r="A66" s="7" t="n"/>
      <c r="B66" s="7" t="n"/>
      <c r="C66" s="7" t="n"/>
      <c r="D66" s="7" t="n"/>
      <c r="E66" s="7" t="n"/>
      <c r="F66" s="7" t="n"/>
      <c r="G66" s="7" t="n"/>
      <c r="H66" s="7" t="n"/>
      <c r="I66" s="7" t="n"/>
      <c r="J66" s="7" t="n"/>
      <c r="K66" s="7" t="n"/>
      <c r="L66" s="7" t="n"/>
      <c r="M66" s="7" t="n"/>
      <c r="N66" s="7" t="n"/>
    </row>
    <row r="67">
      <c r="A67" s="7" t="n"/>
      <c r="B67" s="7" t="n"/>
      <c r="C67" s="7" t="n"/>
      <c r="D67" s="7" t="n"/>
      <c r="E67" s="7" t="n"/>
      <c r="F67" s="7" t="n"/>
      <c r="G67" s="7" t="n"/>
      <c r="H67" s="7" t="n"/>
      <c r="I67" s="7" t="n"/>
      <c r="J67" s="7" t="n"/>
      <c r="K67" s="7" t="n"/>
      <c r="L67" s="7" t="n"/>
      <c r="M67" s="7" t="n"/>
      <c r="N67" s="7" t="n"/>
    </row>
    <row r="68">
      <c r="A68" s="7" t="n"/>
      <c r="B68" s="7" t="n"/>
      <c r="C68" s="7" t="n"/>
      <c r="D68" s="7" t="n"/>
      <c r="E68" s="7" t="n"/>
      <c r="F68" s="7" t="n"/>
      <c r="G68" s="7" t="n"/>
      <c r="H68" s="7" t="n"/>
      <c r="I68" s="7" t="n"/>
      <c r="J68" s="7" t="n"/>
      <c r="K68" s="7" t="n"/>
      <c r="L68" s="7" t="n"/>
      <c r="M68" s="7" t="n"/>
      <c r="N68" s="7" t="n"/>
    </row>
    <row r="69">
      <c r="A69" s="7" t="n"/>
      <c r="B69" s="7" t="n"/>
      <c r="C69" s="7" t="n"/>
      <c r="D69" s="7" t="n"/>
      <c r="E69" s="7" t="n"/>
      <c r="F69" s="7" t="n"/>
      <c r="G69" s="7" t="n"/>
      <c r="H69" s="7" t="n"/>
      <c r="I69" s="7" t="n"/>
      <c r="J69" s="7" t="n"/>
      <c r="K69" s="7" t="n"/>
      <c r="L69" s="7" t="n"/>
      <c r="M69" s="7" t="n"/>
      <c r="N69" s="7" t="n"/>
    </row>
    <row r="70">
      <c r="A70" s="7" t="n"/>
      <c r="B70" s="7" t="n"/>
      <c r="C70" s="7" t="n"/>
      <c r="D70" s="7" t="n"/>
      <c r="E70" s="7" t="n"/>
      <c r="F70" s="7" t="n"/>
      <c r="G70" s="7" t="n"/>
      <c r="H70" s="7" t="n"/>
      <c r="I70" s="7" t="n"/>
      <c r="J70" s="7" t="n"/>
      <c r="K70" s="7" t="n"/>
      <c r="L70" s="7" t="n"/>
      <c r="M70" s="7" t="n"/>
      <c r="N70" s="7" t="n"/>
    </row>
    <row r="71">
      <c r="A71" s="7" t="n"/>
      <c r="B71" s="7" t="n"/>
      <c r="C71" s="7" t="n"/>
      <c r="D71" s="7" t="n"/>
      <c r="E71" s="7" t="n"/>
      <c r="F71" s="7" t="n"/>
      <c r="G71" s="7" t="n"/>
      <c r="H71" s="7" t="n"/>
      <c r="I71" s="7" t="n"/>
      <c r="J71" s="7" t="n"/>
      <c r="K71" s="7" t="n"/>
      <c r="L71" s="7" t="n"/>
      <c r="M71" s="7" t="n"/>
      <c r="N71" s="7" t="n"/>
    </row>
    <row r="72">
      <c r="A72" s="7" t="n"/>
      <c r="B72" s="7" t="n"/>
      <c r="C72" s="7" t="n"/>
      <c r="D72" s="7" t="n"/>
      <c r="E72" s="7" t="n"/>
      <c r="F72" s="7" t="n"/>
      <c r="G72" s="7" t="n"/>
      <c r="H72" s="7" t="n"/>
      <c r="I72" s="7" t="n"/>
      <c r="J72" s="7" t="n"/>
      <c r="K72" s="7" t="n"/>
      <c r="L72" s="7" t="n"/>
      <c r="M72" s="7" t="n"/>
      <c r="N72" s="7" t="n"/>
    </row>
    <row r="73">
      <c r="A73" s="7" t="n"/>
      <c r="B73" s="7" t="n"/>
      <c r="C73" s="7" t="n"/>
      <c r="D73" s="7" t="n"/>
      <c r="E73" s="7" t="n"/>
      <c r="F73" s="7" t="n"/>
      <c r="G73" s="7" t="n"/>
      <c r="H73" s="7" t="n"/>
      <c r="I73" s="7" t="n"/>
      <c r="J73" s="7" t="n"/>
      <c r="K73" s="7" t="n"/>
      <c r="L73" s="7" t="n"/>
      <c r="M73" s="7" t="n"/>
      <c r="N73" s="7" t="n"/>
    </row>
    <row r="74">
      <c r="A74" s="7" t="n"/>
      <c r="B74" s="7" t="n"/>
      <c r="C74" s="7" t="n"/>
      <c r="D74" s="7" t="n"/>
      <c r="E74" s="7" t="n"/>
      <c r="F74" s="7" t="n"/>
      <c r="G74" s="7" t="n"/>
      <c r="H74" s="7" t="n"/>
      <c r="I74" s="7" t="n"/>
      <c r="J74" s="7" t="n"/>
      <c r="K74" s="7" t="n"/>
      <c r="L74" s="7" t="n"/>
      <c r="M74" s="7" t="n"/>
      <c r="N74" s="7" t="n"/>
    </row>
    <row r="75">
      <c r="A75" s="7" t="n"/>
      <c r="B75" s="7" t="n"/>
      <c r="C75" s="7" t="n"/>
      <c r="D75" s="7" t="n"/>
      <c r="E75" s="7" t="n"/>
      <c r="F75" s="7" t="n"/>
      <c r="G75" s="7" t="n"/>
      <c r="H75" s="7" t="n"/>
      <c r="I75" s="7" t="n"/>
      <c r="J75" s="7" t="n"/>
      <c r="K75" s="7" t="n"/>
      <c r="L75" s="7" t="n"/>
      <c r="M75" s="7" t="n"/>
      <c r="N75" s="7" t="n"/>
    </row>
  </sheetData>
  <mergeCells count="73">
    <mergeCell ref="E29:M29"/>
    <mergeCell ref="B48:M48"/>
    <mergeCell ref="E28:M28"/>
    <mergeCell ref="B8:D8"/>
    <mergeCell ref="F19:G19"/>
    <mergeCell ref="K9:M10"/>
    <mergeCell ref="B24:E24"/>
    <mergeCell ref="E31:M31"/>
    <mergeCell ref="B20:E20"/>
    <mergeCell ref="K12:M12"/>
    <mergeCell ref="B29:D29"/>
    <mergeCell ref="E34:M34"/>
    <mergeCell ref="B44:M44"/>
    <mergeCell ref="B4:M5"/>
    <mergeCell ref="B34:D34"/>
    <mergeCell ref="E30:M30"/>
    <mergeCell ref="B43:M43"/>
    <mergeCell ref="F21:G21"/>
    <mergeCell ref="K8:M8"/>
    <mergeCell ref="B28:D28"/>
    <mergeCell ref="B38:M38"/>
    <mergeCell ref="F24:G24"/>
    <mergeCell ref="E27:M27"/>
    <mergeCell ref="B37:M37"/>
    <mergeCell ref="I16:M16"/>
    <mergeCell ref="F20:G20"/>
    <mergeCell ref="F18:G18"/>
    <mergeCell ref="H9:J10"/>
    <mergeCell ref="I22:M22"/>
    <mergeCell ref="H12:J12"/>
    <mergeCell ref="B30:D30"/>
    <mergeCell ref="E13:G14"/>
    <mergeCell ref="B40:M40"/>
    <mergeCell ref="F17:G17"/>
    <mergeCell ref="H1:N1"/>
    <mergeCell ref="B22:E22"/>
    <mergeCell ref="I18:M18"/>
    <mergeCell ref="B33:D33"/>
    <mergeCell ref="E32:M32"/>
    <mergeCell ref="B18:E18"/>
    <mergeCell ref="I21:M21"/>
    <mergeCell ref="B32:D32"/>
    <mergeCell ref="B21:E21"/>
    <mergeCell ref="F23:G23"/>
    <mergeCell ref="H8:J8"/>
    <mergeCell ref="B36:M36"/>
    <mergeCell ref="B45:M45"/>
    <mergeCell ref="E12:G12"/>
    <mergeCell ref="F22:G22"/>
    <mergeCell ref="B13:D14"/>
    <mergeCell ref="E9:G10"/>
    <mergeCell ref="B26:M26"/>
    <mergeCell ref="I23:M23"/>
    <mergeCell ref="B41:M41"/>
    <mergeCell ref="I17:M17"/>
    <mergeCell ref="B16:G16"/>
    <mergeCell ref="B17:E17"/>
    <mergeCell ref="B23:E23"/>
    <mergeCell ref="B47:M47"/>
    <mergeCell ref="B7:M7"/>
    <mergeCell ref="E33:M33"/>
    <mergeCell ref="B31:D31"/>
    <mergeCell ref="I20:M20"/>
    <mergeCell ref="E8:G8"/>
    <mergeCell ref="H13:J14"/>
    <mergeCell ref="B46:M46"/>
    <mergeCell ref="B27:D27"/>
    <mergeCell ref="I19:M19"/>
    <mergeCell ref="B9:D10"/>
    <mergeCell ref="B19:E19"/>
    <mergeCell ref="B12:D12"/>
    <mergeCell ref="K13:M14"/>
    <mergeCell ref="B39:M39"/>
  </mergeCells>
  <conditionalFormatting sqref="F19">
    <cfRule type="cellIs" priority="1" operator="greaterThan" dxfId="0">
      <formula>0</formula>
    </cfRule>
  </conditionalFormatting>
  <conditionalFormatting sqref="F18">
    <cfRule type="cellIs" priority="2" operator="greaterThan" dxfId="1">
      <formula>0</formula>
    </cfRule>
  </conditionalFormatting>
  <hyperlinks>
    <hyperlink ref="B2" location="'Inicio'!A1" display="● Inicio"/>
    <hyperlink ref="C2" location="'Registro'!A1" display="Registro"/>
    <hyperlink ref="D2" location="'Dashboard'!A1" display="Dashboard"/>
    <hyperlink ref="E2" location="'Alimentación'!A1" display="Alimentación"/>
    <hyperlink ref="F2" location="'Gastos hormiga'!A1" display="Hormiga"/>
    <hyperlink ref="G2" location="'Recurrentes'!A1" display="Recurrentes"/>
    <hyperlink ref="H2" location="'Presupuestos'!A1" display="Presupuestos"/>
    <hyperlink ref="I2" location="'Cuentas'!A1" display="Cuentas"/>
    <hyperlink ref="J2" location="'Categorías'!A1" display="Categorías"/>
    <hyperlink ref="K2" location="'Config'!A1" display="Config"/>
    <hyperlink ref="B8" location="'Registro'!B6" display="Registrar movimientos  →"/>
    <hyperlink ref="E8" location="'Dashboard'!A3" display="Dashboard  →"/>
    <hyperlink ref="H8" location="'Alimentación'!A3" display="Alimentación  →"/>
    <hyperlink ref="K8" location="'Gastos hormiga'!A3" display="Gastos hormiga  →"/>
    <hyperlink ref="B12" location="'Recurrentes'!A6" display="Suscripciones  →"/>
    <hyperlink ref="E12" location="'Presupuestos'!A3" display="Presupuestos y metas  →"/>
    <hyperlink ref="H12" location="'Cuentas'!A6" display="Cuentas  →"/>
    <hyperlink ref="K12" location="'Categorías'!A5" display="Categorías  →"/>
  </hyperlinks>
  <printOptions horizontalCentered="1"/>
  <pageMargins left="0.3" right="0.3" top="1" bottom="1" header="0.5" footer="0.5"/>
  <pageSetup orientation="portrait" fitToHeight="0" fitToWidth="1"/>
</worksheet>
</file>

<file path=xl/worksheets/sheet2.xml><?xml version="1.0" encoding="utf-8"?>
<worksheet xmlns="http://schemas.openxmlformats.org/spreadsheetml/2006/main">
  <sheetPr>
    <tabColor rgb="002A78D6"/>
    <outlinePr summaryBelow="1" summaryRight="1"/>
    <pageSetUpPr/>
  </sheetPr>
  <dimension ref="A1:AI5005"/>
  <sheetViews>
    <sheetView showGridLines="0" zoomScale="90" workbookViewId="0">
      <pane xSplit="2" ySplit="5" topLeftCell="C6" activePane="bottomRight" state="frozen"/>
      <selection pane="topRight"/>
      <selection pane="bottomLeft"/>
      <selection pane="bottomRight" activeCell="A1" sqref="A1"/>
    </sheetView>
  </sheetViews>
  <sheetFormatPr baseColWidth="8" defaultRowHeight="15"/>
  <cols>
    <col width="2" customWidth="1" min="1" max="1"/>
    <col width="11.5" customWidth="1" min="2" max="2"/>
    <col width="15" customWidth="1" min="3" max="3"/>
    <col width="24" customWidth="1" min="4" max="4"/>
    <col width="28" customWidth="1" min="5" max="5"/>
    <col width="34" customWidth="1" min="6" max="6"/>
    <col width="13" customWidth="1" min="7" max="7"/>
    <col width="8" customWidth="1" min="8" max="8"/>
    <col width="9" customWidth="1" min="9" max="9"/>
    <col width="19" customWidth="1" min="10" max="10"/>
    <col width="19" customWidth="1" min="11" max="11"/>
    <col width="22" customWidth="1" min="12" max="12"/>
    <col width="11" customWidth="1" min="13" max="13"/>
    <col width="17" customWidth="1" min="14" max="14"/>
    <col width="30" customWidth="1" min="15" max="15"/>
    <col hidden="1" outlineLevel="1" width="14" customWidth="1" min="16" max="35"/>
  </cols>
  <sheetData>
    <row r="1" ht="38" customHeight="1">
      <c r="A1" s="1" t="n"/>
      <c r="B1" s="2" t="inlineStr">
        <is>
          <t>Registro de movimientos</t>
        </is>
      </c>
      <c r="C1" s="1" t="n"/>
      <c r="D1" s="1" t="n"/>
      <c r="E1" s="1" t="n"/>
      <c r="F1" s="1" t="n"/>
      <c r="G1" s="1" t="n"/>
      <c r="H1" s="1" t="n"/>
      <c r="I1" s="1" t="n"/>
      <c r="J1" s="1" t="n"/>
      <c r="K1" s="1" t="n"/>
      <c r="L1" s="1" t="n"/>
      <c r="M1" s="1" t="n"/>
      <c r="N1" s="1" t="n"/>
      <c r="O1" s="1" t="n"/>
      <c r="P1" s="1" t="n"/>
      <c r="Q1" s="1" t="n"/>
      <c r="R1" s="1" t="n"/>
      <c r="S1" s="1" t="n"/>
      <c r="T1" s="1" t="n"/>
      <c r="U1" s="1" t="n"/>
      <c r="V1" s="1" t="n"/>
      <c r="W1" s="1" t="n"/>
      <c r="X1" s="1" t="n"/>
      <c r="Y1" s="1" t="n"/>
      <c r="Z1" s="1" t="n"/>
      <c r="AA1" s="1" t="n"/>
      <c r="AB1" s="1" t="n"/>
      <c r="AC1" s="3" t="inlineStr">
        <is>
          <t>Una fila = una transacción</t>
        </is>
      </c>
    </row>
    <row r="2" ht="22" customHeight="1">
      <c r="A2" s="4" t="n"/>
      <c r="B2" s="6" t="inlineStr">
        <is>
          <t>Inicio</t>
        </is>
      </c>
      <c r="C2" s="5" t="inlineStr">
        <is>
          <t>● Registro</t>
        </is>
      </c>
      <c r="D2" s="6" t="inlineStr">
        <is>
          <t>Dashboard</t>
        </is>
      </c>
      <c r="E2" s="6" t="inlineStr">
        <is>
          <t>Alimentación</t>
        </is>
      </c>
      <c r="F2" s="6" t="inlineStr">
        <is>
          <t>Hormiga</t>
        </is>
      </c>
      <c r="G2" s="6" t="inlineStr">
        <is>
          <t>Recurrentes</t>
        </is>
      </c>
      <c r="H2" s="6" t="inlineStr">
        <is>
          <t>Presupuestos</t>
        </is>
      </c>
      <c r="I2" s="4" t="n"/>
      <c r="J2" s="6" t="inlineStr">
        <is>
          <t>Cuentas</t>
        </is>
      </c>
      <c r="K2" s="6" t="inlineStr">
        <is>
          <t>Categorías</t>
        </is>
      </c>
      <c r="L2" s="6" t="inlineStr">
        <is>
          <t>Config</t>
        </is>
      </c>
      <c r="M2" s="4" t="n"/>
      <c r="N2" s="4" t="n"/>
      <c r="O2" s="4" t="n"/>
      <c r="P2" s="4" t="n"/>
      <c r="Q2" s="4" t="n"/>
      <c r="R2" s="4" t="n"/>
      <c r="S2" s="4" t="n"/>
      <c r="T2" s="4" t="n"/>
      <c r="U2" s="4" t="n"/>
      <c r="V2" s="4" t="n"/>
      <c r="W2" s="4" t="n"/>
      <c r="X2" s="4" t="n"/>
      <c r="Y2" s="4" t="n"/>
      <c r="Z2" s="4" t="n"/>
      <c r="AA2" s="4" t="n"/>
      <c r="AB2" s="4" t="n"/>
      <c r="AC2" s="4" t="n"/>
      <c r="AD2" s="4" t="n"/>
      <c r="AE2" s="4" t="n"/>
      <c r="AF2" s="4" t="n"/>
      <c r="AG2" s="4" t="n"/>
      <c r="AH2" s="4" t="n"/>
      <c r="AI2" s="4" t="n"/>
    </row>
    <row r="3" ht="26" customHeight="1">
      <c r="B3" s="38">
        <f>HYPERLINK("#'Registro'!B"&amp;IFERROR(MATCH(TRUE,INDEX(rFecha="",0),0)+5,5005),"＋ Nuevo movimiento")</f>
        <v/>
      </c>
      <c r="D3" s="39" t="inlineStr">
        <is>
          <t>Atajos: Ctrl+; = fecha de hoy · Alt+↓ = abrir lista · Tab = siguiente campo · Solo Fecha y Monto son obligatorios: si dejas Tipo vacío se asume «Gasto».</t>
        </is>
      </c>
      <c r="J3" s="40">
        <f>"Movimientos: "&amp;COUNTIF(rTipoE,"?*")</f>
        <v/>
      </c>
      <c r="K3" s="41">
        <f>"Advertencias: "&amp;COUNTIF(rEstado,"⚠*")</f>
        <v/>
      </c>
      <c r="L3" s="42">
        <f>IF(COUNTIF(rObs,"DEMOSTRACIÓN")&gt;0,"Filas DEMO: "&amp;COUNTIF(rObs,"DEMOSTRACIÓN"),"")</f>
        <v/>
      </c>
    </row>
    <row r="4">
      <c r="B4" s="43" t="inlineStr">
        <is>
          <t>TUS DATOS · llena estas columnas</t>
        </is>
      </c>
      <c r="O4" s="44" t="inlineStr">
        <is>
          <t>CÁLCULOS AUTOMÁTICOS · no editar (pulsa «+» arriba de la columna P para ver el detalle)</t>
        </is>
      </c>
    </row>
    <row r="5" ht="30" customHeight="1">
      <c r="B5" s="45" t="inlineStr">
        <is>
          <t>Fecha</t>
        </is>
      </c>
      <c r="C5" s="45" t="inlineStr">
        <is>
          <t>Tipo</t>
        </is>
      </c>
      <c r="D5" s="45" t="inlineStr">
        <is>
          <t>Categoría</t>
        </is>
      </c>
      <c r="E5" s="45" t="inlineStr">
        <is>
          <t>Subcategoría</t>
        </is>
      </c>
      <c r="F5" s="45" t="inlineStr">
        <is>
          <t>Descripción</t>
        </is>
      </c>
      <c r="G5" s="45" t="inlineStr">
        <is>
          <t>Monto</t>
        </is>
      </c>
      <c r="H5" s="45" t="inlineStr">
        <is>
          <t>Moneda</t>
        </is>
      </c>
      <c r="I5" s="45" t="inlineStr">
        <is>
          <t>Tasa USD</t>
        </is>
      </c>
      <c r="J5" s="45" t="inlineStr">
        <is>
          <t>Cuenta / método</t>
        </is>
      </c>
      <c r="K5" s="45" t="inlineStr">
        <is>
          <t>Cuenta destino</t>
        </is>
      </c>
      <c r="L5" s="45" t="inlineStr">
        <is>
          <t>Comercio</t>
        </is>
      </c>
      <c r="M5" s="45" t="inlineStr">
        <is>
          <t>Fijo/Variable</t>
        </is>
      </c>
      <c r="N5" s="45" t="inlineStr">
        <is>
          <t>Observaciones</t>
        </is>
      </c>
      <c r="O5" s="46" t="inlineStr">
        <is>
          <t>Estado</t>
        </is>
      </c>
      <c r="P5" s="46" t="inlineStr">
        <is>
          <t>Tipo efectivo</t>
        </is>
      </c>
      <c r="Q5" s="46" t="inlineStr">
        <is>
          <t>Cuenta efectiva</t>
        </is>
      </c>
      <c r="R5" s="46" t="inlineStr">
        <is>
          <t>Tasa aplicada</t>
        </is>
      </c>
      <c r="S5" s="46" t="inlineStr">
        <is>
          <t>Monto DOP</t>
        </is>
      </c>
      <c r="T5" s="46" t="inlineStr">
        <is>
          <t>Monto USD</t>
        </is>
      </c>
      <c r="U5" s="46" t="inlineStr">
        <is>
          <t>Gasto real DOP</t>
        </is>
      </c>
      <c r="V5" s="46" t="inlineStr">
        <is>
          <t>Ingreso DOP</t>
        </is>
      </c>
      <c r="W5" s="46" t="inlineStr">
        <is>
          <t>Resultado trading DOP</t>
        </is>
      </c>
      <c r="X5" s="46" t="inlineStr">
        <is>
          <t>Clasificación efectiva</t>
        </is>
      </c>
      <c r="Y5" s="46" t="inlineStr">
        <is>
          <t>Grupo alimentación</t>
        </is>
      </c>
      <c r="Z5" s="46" t="inlineStr">
        <is>
          <t>Día semana</t>
        </is>
      </c>
      <c r="AA5" s="46" t="inlineStr">
        <is>
          <t>Es hormiga</t>
        </is>
      </c>
      <c r="AB5" s="46" t="inlineStr">
        <is>
          <t>Cuenta saldo origen</t>
        </is>
      </c>
      <c r="AC5" s="46" t="inlineStr">
        <is>
          <t>Cuenta saldo destino</t>
        </is>
      </c>
      <c r="AD5" s="46" t="inlineStr">
        <is>
          <t>Tipo cta origen</t>
        </is>
      </c>
      <c r="AE5" s="46" t="inlineStr">
        <is>
          <t>Tipo cta destino</t>
        </is>
      </c>
      <c r="AF5" s="46" t="inlineStr">
        <is>
          <t>Efecto saldo origen</t>
        </is>
      </c>
      <c r="AG5" s="46" t="inlineStr">
        <is>
          <t>Efecto saldo destino</t>
        </is>
      </c>
      <c r="AH5" s="46" t="inlineStr">
        <is>
          <t>Flujo líquido DOP</t>
        </is>
      </c>
      <c r="AI5" s="46" t="inlineStr">
        <is>
          <t>Índice comercio</t>
        </is>
      </c>
    </row>
    <row r="6">
      <c r="B6" s="47" t="n">
        <v>46235</v>
      </c>
      <c r="C6" s="48" t="inlineStr">
        <is>
          <t>Gasto</t>
        </is>
      </c>
      <c r="D6" s="48" t="inlineStr">
        <is>
          <t>Alimentación</t>
        </is>
      </c>
      <c r="E6" s="48" t="inlineStr">
        <is>
          <t>Cenas compradas</t>
        </is>
      </c>
      <c r="F6" s="48" t="inlineStr">
        <is>
          <t>DEMO · Cena comprada</t>
        </is>
      </c>
      <c r="G6" s="49" t="n">
        <v>600</v>
      </c>
      <c r="H6" s="48" t="inlineStr">
        <is>
          <t>DOP</t>
        </is>
      </c>
      <c r="I6" s="50" t="n"/>
      <c r="J6" s="48" t="inlineStr">
        <is>
          <t>Tarjeta de crédito</t>
        </is>
      </c>
      <c r="K6" s="48" t="n"/>
      <c r="L6" s="48" t="inlineStr">
        <is>
          <t>Pica pollo de la esquina</t>
        </is>
      </c>
      <c r="M6" s="48" t="n"/>
      <c r="N6" s="48" t="inlineStr">
        <is>
          <t>DEMOSTRACIÓN</t>
        </is>
      </c>
      <c r="O6" s="51">
        <f>IF(AND(B6="",G6="",C6="",D6="",J6=""),"",IF(B6="","⚠ Falta fecha",IF(G6="","⚠ Falta monto",IF(Q6="","⚠ Falta cuenta",IF(ISNA(MATCH(Q6,ctaNombre,0)),"⚠ Cuenta no registrada",IF(AND(OR(P6="Gasto",P6="Reembolso"),D6=""),"⚠ Falta categoría",IF(AND(D6&lt;&gt;"",E6&lt;&gt;"",ISNA(MATCH(D6&amp;"|"&amp;E6,catClave,0))),"⚠ Subcategoría no corresponde",IF(AND(OR(P6="Transferencia",P6="Pago tarjeta"),K6=""),"⚠ Falta cuenta destino",IF(AND(K6&lt;&gt;"",P6&lt;&gt;"Transferencia",P6&lt;&gt;"Pago tarjeta"),"⚠ Destino solo aplica a transferencias",IF(AND(K6&lt;&gt;"",K6=Q6),"⚠ Origen igual a destino",IF(AND(K6&lt;&gt;"",ISNA(MATCH(K6,ctaNombre,0))),"⚠ Destino no registrado",IF(AND(P6="Pago tarjeta",AE6&lt;&gt;"Tarjeta de crédito"),"⚠ El destino debe ser tarjeta de crédito",IF(AND(P6="Gasto",E6="Depósitos y retiros"),"⚠ Usa tipo Transferencia",IF(AND(P6="Resultado trading",AD6&lt;&gt;"Cuenta de trading"),"⚠ Usa una cuenta de trading",IF(AND(G6&lt;=0,P6&lt;&gt;"Ajuste",P6&lt;&gt;"Resultado trading"),"⚠ El monto debe ser positivo","✓")))))))))))))))</f>
        <v/>
      </c>
      <c r="P6" s="52">
        <f>IF(OR(B6="",G6=""),"",IF(C6="","Gasto",C6))</f>
        <v/>
      </c>
      <c r="Q6" s="52">
        <f>IF(P6="","",IF(J6&lt;&gt;"",J6,CuentaPred&amp;""))</f>
        <v/>
      </c>
      <c r="R6" s="52">
        <f>IF(P6="","",IF(ISNUMBER(I6),I6,TasaUSD))</f>
        <v/>
      </c>
      <c r="S6" s="53">
        <f>IF(P6="","",IF(H6="USD",G6*R6,G6))</f>
        <v/>
      </c>
      <c r="T6" s="53">
        <f>IF(P6="","",IF(H6="USD",G6,IF(R6&gt;0,G6/R6,0)))</f>
        <v/>
      </c>
      <c r="U6" s="53">
        <f>IF(P6="","",IF(P6="Gasto",S6,IF(P6="Reembolso",-S6,0)))</f>
        <v/>
      </c>
      <c r="V6" s="53">
        <f>IF(P6="","",IF(P6="Ingreso",S6,0))</f>
        <v/>
      </c>
      <c r="W6" s="53">
        <f>IF(P6="","",IF(P6="Resultado trading",S6,0))</f>
        <v/>
      </c>
      <c r="X6" s="52">
        <f>IF(OR(P6="Gasto",P6="Reembolso"),IF(M6&lt;&gt;"",M6,IFERROR(INDEX(catClasif,MATCH(D6&amp;"|"&amp;E6,catClave,0))&amp;"","Variable")),"")</f>
        <v/>
      </c>
      <c r="Y6" s="52">
        <f>IF(P6="","",IFERROR(INDEX(catGrupo,MATCH(D6&amp;"|"&amp;E6,catClave,0))&amp;"",""))</f>
        <v/>
      </c>
      <c r="Z6" s="52">
        <f>IF(P6="","",WEEKDAY(B6,2))</f>
        <v/>
      </c>
      <c r="AA6" s="52">
        <f>IF(P6="","",IF(AND(P6="Gasto",X6="Variable",D6&lt;&gt;catTrading,S6&gt;0,S6&lt;=Umbral),1,0))</f>
        <v/>
      </c>
      <c r="AB6" s="52">
        <f>IF(OR(P6="",Q6=""),"",IFERROR(IF(INDEX(ctaVinc,MATCH(Q6,ctaNombre,0))&amp;""&lt;&gt;"",INDEX(ctaVinc,MATCH(Q6,ctaNombre,0))&amp;"",Q6),Q6))</f>
        <v/>
      </c>
      <c r="AC6" s="52">
        <f>IF(OR(K6="",AND(P6&lt;&gt;"Transferencia",P6&lt;&gt;"Pago tarjeta")),"",IFERROR(IF(INDEX(ctaVinc,MATCH(K6,ctaNombre,0))&amp;""&lt;&gt;"",INDEX(ctaVinc,MATCH(K6,ctaNombre,0))&amp;"",K6),K6))</f>
        <v/>
      </c>
      <c r="AD6" s="52">
        <f>IF(AB6="","",IFERROR(INDEX(ctaTipo,MATCH(AB6,ctaNombre,0))&amp;"",""))</f>
        <v/>
      </c>
      <c r="AE6" s="52">
        <f>IF(AC6="","",IFERROR(INDEX(ctaTipo,MATCH(AC6,ctaNombre,0))&amp;"",""))</f>
        <v/>
      </c>
      <c r="AF6" s="53">
        <f>IF(OR(P6="",AB6=""),"",IF(OR(P6="Gasto",P6="Transferencia",P6="Pago tarjeta"),-1,1)*IF(IFERROR(INDEX(ctaMoneda,MATCH(AB6,ctaNombre,0))&amp;"","DOP")="USD",T6,S6))</f>
        <v/>
      </c>
      <c r="AG6" s="53">
        <f>IF(AC6="","",IF(IFERROR(INDEX(ctaMoneda,MATCH(AC6,ctaNombre,0))&amp;"","DOP")="USD",T6,S6))</f>
        <v/>
      </c>
      <c r="AH6" s="53">
        <f>IF(P6="","",IF(AND(AD6&lt;&gt;"",COUNTIFS(tcTipo,AD6,tcLiq,"Sí")&gt;0),IF(OR(P6="Gasto",P6="Transferencia",P6="Pago tarjeta"),-1,1)*S6,0)+IF(AND(AE6&lt;&gt;"",COUNTIFS(tcTipo,AE6,tcLiq,"Sí")&gt;0),S6,0))</f>
        <v/>
      </c>
      <c r="AI6" s="52">
        <f>IF(OR(L6="",P6=""),"",IF(COUNTIFS(L$6:L6,L6,P$6:P6,"?*")=1,MAX(AI$5:AI5)+1,""))</f>
        <v/>
      </c>
    </row>
    <row r="7">
      <c r="B7" s="47" t="n">
        <v>46235</v>
      </c>
      <c r="C7" s="48" t="inlineStr">
        <is>
          <t>Transferencia</t>
        </is>
      </c>
      <c r="D7" s="48" t="n"/>
      <c r="E7" s="48" t="n"/>
      <c r="F7" s="48" t="inlineStr">
        <is>
          <t>DEMO · Retiro en cajero</t>
        </is>
      </c>
      <c r="G7" s="49" t="n">
        <v>5000</v>
      </c>
      <c r="H7" s="48" t="inlineStr">
        <is>
          <t>DOP</t>
        </is>
      </c>
      <c r="I7" s="50" t="n"/>
      <c r="J7" s="48" t="inlineStr">
        <is>
          <t>Banco principal</t>
        </is>
      </c>
      <c r="K7" s="48" t="inlineStr">
        <is>
          <t>Efectivo</t>
        </is>
      </c>
      <c r="L7" s="48" t="n"/>
      <c r="M7" s="48" t="n"/>
      <c r="N7" s="48" t="inlineStr">
        <is>
          <t>DEMOSTRACIÓN</t>
        </is>
      </c>
      <c r="O7" s="51">
        <f>IF(AND(B7="",G7="",C7="",D7="",J7=""),"",IF(B7="","⚠ Falta fecha",IF(G7="","⚠ Falta monto",IF(Q7="","⚠ Falta cuenta",IF(ISNA(MATCH(Q7,ctaNombre,0)),"⚠ Cuenta no registrada",IF(AND(OR(P7="Gasto",P7="Reembolso"),D7=""),"⚠ Falta categoría",IF(AND(D7&lt;&gt;"",E7&lt;&gt;"",ISNA(MATCH(D7&amp;"|"&amp;E7,catClave,0))),"⚠ Subcategoría no corresponde",IF(AND(OR(P7="Transferencia",P7="Pago tarjeta"),K7=""),"⚠ Falta cuenta destino",IF(AND(K7&lt;&gt;"",P7&lt;&gt;"Transferencia",P7&lt;&gt;"Pago tarjeta"),"⚠ Destino solo aplica a transferencias",IF(AND(K7&lt;&gt;"",K7=Q7),"⚠ Origen igual a destino",IF(AND(K7&lt;&gt;"",ISNA(MATCH(K7,ctaNombre,0))),"⚠ Destino no registrado",IF(AND(P7="Pago tarjeta",AE7&lt;&gt;"Tarjeta de crédito"),"⚠ El destino debe ser tarjeta de crédito",IF(AND(P7="Gasto",E7="Depósitos y retiros"),"⚠ Usa tipo Transferencia",IF(AND(P7="Resultado trading",AD7&lt;&gt;"Cuenta de trading"),"⚠ Usa una cuenta de trading",IF(AND(G7&lt;=0,P7&lt;&gt;"Ajuste",P7&lt;&gt;"Resultado trading"),"⚠ El monto debe ser positivo","✓")))))))))))))))</f>
        <v/>
      </c>
      <c r="P7" s="52">
        <f>IF(OR(B7="",G7=""),"",IF(C7="","Gasto",C7))</f>
        <v/>
      </c>
      <c r="Q7" s="52">
        <f>IF(P7="","",IF(J7&lt;&gt;"",J7,CuentaPred&amp;""))</f>
        <v/>
      </c>
      <c r="R7" s="52">
        <f>IF(P7="","",IF(ISNUMBER(I7),I7,TasaUSD))</f>
        <v/>
      </c>
      <c r="S7" s="53">
        <f>IF(P7="","",IF(H7="USD",G7*R7,G7))</f>
        <v/>
      </c>
      <c r="T7" s="53">
        <f>IF(P7="","",IF(H7="USD",G7,IF(R7&gt;0,G7/R7,0)))</f>
        <v/>
      </c>
      <c r="U7" s="53">
        <f>IF(P7="","",IF(P7="Gasto",S7,IF(P7="Reembolso",-S7,0)))</f>
        <v/>
      </c>
      <c r="V7" s="53">
        <f>IF(P7="","",IF(P7="Ingreso",S7,0))</f>
        <v/>
      </c>
      <c r="W7" s="53">
        <f>IF(P7="","",IF(P7="Resultado trading",S7,0))</f>
        <v/>
      </c>
      <c r="X7" s="52">
        <f>IF(OR(P7="Gasto",P7="Reembolso"),IF(M7&lt;&gt;"",M7,IFERROR(INDEX(catClasif,MATCH(D7&amp;"|"&amp;E7,catClave,0))&amp;"","Variable")),"")</f>
        <v/>
      </c>
      <c r="Y7" s="52">
        <f>IF(P7="","",IFERROR(INDEX(catGrupo,MATCH(D7&amp;"|"&amp;E7,catClave,0))&amp;"",""))</f>
        <v/>
      </c>
      <c r="Z7" s="52">
        <f>IF(P7="","",WEEKDAY(B7,2))</f>
        <v/>
      </c>
      <c r="AA7" s="52">
        <f>IF(P7="","",IF(AND(P7="Gasto",X7="Variable",D7&lt;&gt;catTrading,S7&gt;0,S7&lt;=Umbral),1,0))</f>
        <v/>
      </c>
      <c r="AB7" s="52">
        <f>IF(OR(P7="",Q7=""),"",IFERROR(IF(INDEX(ctaVinc,MATCH(Q7,ctaNombre,0))&amp;""&lt;&gt;"",INDEX(ctaVinc,MATCH(Q7,ctaNombre,0))&amp;"",Q7),Q7))</f>
        <v/>
      </c>
      <c r="AC7" s="52">
        <f>IF(OR(K7="",AND(P7&lt;&gt;"Transferencia",P7&lt;&gt;"Pago tarjeta")),"",IFERROR(IF(INDEX(ctaVinc,MATCH(K7,ctaNombre,0))&amp;""&lt;&gt;"",INDEX(ctaVinc,MATCH(K7,ctaNombre,0))&amp;"",K7),K7))</f>
        <v/>
      </c>
      <c r="AD7" s="52">
        <f>IF(AB7="","",IFERROR(INDEX(ctaTipo,MATCH(AB7,ctaNombre,0))&amp;"",""))</f>
        <v/>
      </c>
      <c r="AE7" s="52">
        <f>IF(AC7="","",IFERROR(INDEX(ctaTipo,MATCH(AC7,ctaNombre,0))&amp;"",""))</f>
        <v/>
      </c>
      <c r="AF7" s="53">
        <f>IF(OR(P7="",AB7=""),"",IF(OR(P7="Gasto",P7="Transferencia",P7="Pago tarjeta"),-1,1)*IF(IFERROR(INDEX(ctaMoneda,MATCH(AB7,ctaNombre,0))&amp;"","DOP")="USD",T7,S7))</f>
        <v/>
      </c>
      <c r="AG7" s="53">
        <f>IF(AC7="","",IF(IFERROR(INDEX(ctaMoneda,MATCH(AC7,ctaNombre,0))&amp;"","DOP")="USD",T7,S7))</f>
        <v/>
      </c>
      <c r="AH7" s="53">
        <f>IF(P7="","",IF(AND(AD7&lt;&gt;"",COUNTIFS(tcTipo,AD7,tcLiq,"Sí")&gt;0),IF(OR(P7="Gasto",P7="Transferencia",P7="Pago tarjeta"),-1,1)*S7,0)+IF(AND(AE7&lt;&gt;"",COUNTIFS(tcTipo,AE7,tcLiq,"Sí")&gt;0),S7,0))</f>
        <v/>
      </c>
      <c r="AI7" s="52">
        <f>IF(OR(L7="",P7=""),"",IF(COUNTIFS(L$6:L7,L7,P$6:P7,"?*")=1,MAX(AI$5:AI6)+1,""))</f>
        <v/>
      </c>
    </row>
    <row r="8">
      <c r="B8" s="47" t="n">
        <v>46236</v>
      </c>
      <c r="C8" s="48" t="inlineStr">
        <is>
          <t>Gasto</t>
        </is>
      </c>
      <c r="D8" s="48" t="inlineStr">
        <is>
          <t>Alimentación</t>
        </is>
      </c>
      <c r="E8" s="48" t="inlineStr">
        <is>
          <t>Supermercado</t>
        </is>
      </c>
      <c r="F8" s="48" t="inlineStr">
        <is>
          <t>DEMO · Compra de supermercado</t>
        </is>
      </c>
      <c r="G8" s="49" t="n">
        <v>5850</v>
      </c>
      <c r="H8" s="48" t="inlineStr">
        <is>
          <t>DOP</t>
        </is>
      </c>
      <c r="I8" s="50" t="n"/>
      <c r="J8" s="48" t="inlineStr">
        <is>
          <t>Tarjeta de crédito</t>
        </is>
      </c>
      <c r="K8" s="48" t="n"/>
      <c r="L8" s="48" t="inlineStr">
        <is>
          <t>Supermercado principal</t>
        </is>
      </c>
      <c r="M8" s="48" t="n"/>
      <c r="N8" s="48" t="inlineStr">
        <is>
          <t>DEMOSTRACIÓN</t>
        </is>
      </c>
      <c r="O8" s="51">
        <f>IF(AND(B8="",G8="",C8="",D8="",J8=""),"",IF(B8="","⚠ Falta fecha",IF(G8="","⚠ Falta monto",IF(Q8="","⚠ Falta cuenta",IF(ISNA(MATCH(Q8,ctaNombre,0)),"⚠ Cuenta no registrada",IF(AND(OR(P8="Gasto",P8="Reembolso"),D8=""),"⚠ Falta categoría",IF(AND(D8&lt;&gt;"",E8&lt;&gt;"",ISNA(MATCH(D8&amp;"|"&amp;E8,catClave,0))),"⚠ Subcategoría no corresponde",IF(AND(OR(P8="Transferencia",P8="Pago tarjeta"),K8=""),"⚠ Falta cuenta destino",IF(AND(K8&lt;&gt;"",P8&lt;&gt;"Transferencia",P8&lt;&gt;"Pago tarjeta"),"⚠ Destino solo aplica a transferencias",IF(AND(K8&lt;&gt;"",K8=Q8),"⚠ Origen igual a destino",IF(AND(K8&lt;&gt;"",ISNA(MATCH(K8,ctaNombre,0))),"⚠ Destino no registrado",IF(AND(P8="Pago tarjeta",AE8&lt;&gt;"Tarjeta de crédito"),"⚠ El destino debe ser tarjeta de crédito",IF(AND(P8="Gasto",E8="Depósitos y retiros"),"⚠ Usa tipo Transferencia",IF(AND(P8="Resultado trading",AD8&lt;&gt;"Cuenta de trading"),"⚠ Usa una cuenta de trading",IF(AND(G8&lt;=0,P8&lt;&gt;"Ajuste",P8&lt;&gt;"Resultado trading"),"⚠ El monto debe ser positivo","✓")))))))))))))))</f>
        <v/>
      </c>
      <c r="P8" s="52">
        <f>IF(OR(B8="",G8=""),"",IF(C8="","Gasto",C8))</f>
        <v/>
      </c>
      <c r="Q8" s="52">
        <f>IF(P8="","",IF(J8&lt;&gt;"",J8,CuentaPred&amp;""))</f>
        <v/>
      </c>
      <c r="R8" s="52">
        <f>IF(P8="","",IF(ISNUMBER(I8),I8,TasaUSD))</f>
        <v/>
      </c>
      <c r="S8" s="53">
        <f>IF(P8="","",IF(H8="USD",G8*R8,G8))</f>
        <v/>
      </c>
      <c r="T8" s="53">
        <f>IF(P8="","",IF(H8="USD",G8,IF(R8&gt;0,G8/R8,0)))</f>
        <v/>
      </c>
      <c r="U8" s="53">
        <f>IF(P8="","",IF(P8="Gasto",S8,IF(P8="Reembolso",-S8,0)))</f>
        <v/>
      </c>
      <c r="V8" s="53">
        <f>IF(P8="","",IF(P8="Ingreso",S8,0))</f>
        <v/>
      </c>
      <c r="W8" s="53">
        <f>IF(P8="","",IF(P8="Resultado trading",S8,0))</f>
        <v/>
      </c>
      <c r="X8" s="52">
        <f>IF(OR(P8="Gasto",P8="Reembolso"),IF(M8&lt;&gt;"",M8,IFERROR(INDEX(catClasif,MATCH(D8&amp;"|"&amp;E8,catClave,0))&amp;"","Variable")),"")</f>
        <v/>
      </c>
      <c r="Y8" s="52">
        <f>IF(P8="","",IFERROR(INDEX(catGrupo,MATCH(D8&amp;"|"&amp;E8,catClave,0))&amp;"",""))</f>
        <v/>
      </c>
      <c r="Z8" s="52">
        <f>IF(P8="","",WEEKDAY(B8,2))</f>
        <v/>
      </c>
      <c r="AA8" s="52">
        <f>IF(P8="","",IF(AND(P8="Gasto",X8="Variable",D8&lt;&gt;catTrading,S8&gt;0,S8&lt;=Umbral),1,0))</f>
        <v/>
      </c>
      <c r="AB8" s="52">
        <f>IF(OR(P8="",Q8=""),"",IFERROR(IF(INDEX(ctaVinc,MATCH(Q8,ctaNombre,0))&amp;""&lt;&gt;"",INDEX(ctaVinc,MATCH(Q8,ctaNombre,0))&amp;"",Q8),Q8))</f>
        <v/>
      </c>
      <c r="AC8" s="52">
        <f>IF(OR(K8="",AND(P8&lt;&gt;"Transferencia",P8&lt;&gt;"Pago tarjeta")),"",IFERROR(IF(INDEX(ctaVinc,MATCH(K8,ctaNombre,0))&amp;""&lt;&gt;"",INDEX(ctaVinc,MATCH(K8,ctaNombre,0))&amp;"",K8),K8))</f>
        <v/>
      </c>
      <c r="AD8" s="52">
        <f>IF(AB8="","",IFERROR(INDEX(ctaTipo,MATCH(AB8,ctaNombre,0))&amp;"",""))</f>
        <v/>
      </c>
      <c r="AE8" s="52">
        <f>IF(AC8="","",IFERROR(INDEX(ctaTipo,MATCH(AC8,ctaNombre,0))&amp;"",""))</f>
        <v/>
      </c>
      <c r="AF8" s="53">
        <f>IF(OR(P8="",AB8=""),"",IF(OR(P8="Gasto",P8="Transferencia",P8="Pago tarjeta"),-1,1)*IF(IFERROR(INDEX(ctaMoneda,MATCH(AB8,ctaNombre,0))&amp;"","DOP")="USD",T8,S8))</f>
        <v/>
      </c>
      <c r="AG8" s="53">
        <f>IF(AC8="","",IF(IFERROR(INDEX(ctaMoneda,MATCH(AC8,ctaNombre,0))&amp;"","DOP")="USD",T8,S8))</f>
        <v/>
      </c>
      <c r="AH8" s="53">
        <f>IF(P8="","",IF(AND(AD8&lt;&gt;"",COUNTIFS(tcTipo,AD8,tcLiq,"Sí")&gt;0),IF(OR(P8="Gasto",P8="Transferencia",P8="Pago tarjeta"),-1,1)*S8,0)+IF(AND(AE8&lt;&gt;"",COUNTIFS(tcTipo,AE8,tcLiq,"Sí")&gt;0),S8,0))</f>
        <v/>
      </c>
      <c r="AI8" s="52">
        <f>IF(OR(L8="",P8=""),"",IF(COUNTIFS(L$6:L8,L8,P$6:P8,"?*")=1,MAX(AI$5:AI7)+1,""))</f>
        <v/>
      </c>
    </row>
    <row r="9">
      <c r="B9" s="47" t="n">
        <v>46237</v>
      </c>
      <c r="C9" s="48" t="inlineStr">
        <is>
          <t>Gasto</t>
        </is>
      </c>
      <c r="D9" s="48" t="inlineStr">
        <is>
          <t>Transporte y vehículo</t>
        </is>
      </c>
      <c r="E9" s="48" t="inlineStr">
        <is>
          <t>Combustible</t>
        </is>
      </c>
      <c r="F9" s="48" t="inlineStr">
        <is>
          <t>DEMO · Combustible</t>
        </is>
      </c>
      <c r="G9" s="49" t="n">
        <v>2900</v>
      </c>
      <c r="H9" s="48" t="inlineStr">
        <is>
          <t>DOP</t>
        </is>
      </c>
      <c r="I9" s="50" t="n"/>
      <c r="J9" s="48" t="inlineStr">
        <is>
          <t>Tarjeta de crédito</t>
        </is>
      </c>
      <c r="K9" s="48" t="n"/>
      <c r="L9" s="48" t="inlineStr">
        <is>
          <t>Estación de combustible</t>
        </is>
      </c>
      <c r="M9" s="48" t="n"/>
      <c r="N9" s="48" t="inlineStr">
        <is>
          <t>DEMOSTRACIÓN</t>
        </is>
      </c>
      <c r="O9" s="51">
        <f>IF(AND(B9="",G9="",C9="",D9="",J9=""),"",IF(B9="","⚠ Falta fecha",IF(G9="","⚠ Falta monto",IF(Q9="","⚠ Falta cuenta",IF(ISNA(MATCH(Q9,ctaNombre,0)),"⚠ Cuenta no registrada",IF(AND(OR(P9="Gasto",P9="Reembolso"),D9=""),"⚠ Falta categoría",IF(AND(D9&lt;&gt;"",E9&lt;&gt;"",ISNA(MATCH(D9&amp;"|"&amp;E9,catClave,0))),"⚠ Subcategoría no corresponde",IF(AND(OR(P9="Transferencia",P9="Pago tarjeta"),K9=""),"⚠ Falta cuenta destino",IF(AND(K9&lt;&gt;"",P9&lt;&gt;"Transferencia",P9&lt;&gt;"Pago tarjeta"),"⚠ Destino solo aplica a transferencias",IF(AND(K9&lt;&gt;"",K9=Q9),"⚠ Origen igual a destino",IF(AND(K9&lt;&gt;"",ISNA(MATCH(K9,ctaNombre,0))),"⚠ Destino no registrado",IF(AND(P9="Pago tarjeta",AE9&lt;&gt;"Tarjeta de crédito"),"⚠ El destino debe ser tarjeta de crédito",IF(AND(P9="Gasto",E9="Depósitos y retiros"),"⚠ Usa tipo Transferencia",IF(AND(P9="Resultado trading",AD9&lt;&gt;"Cuenta de trading"),"⚠ Usa una cuenta de trading",IF(AND(G9&lt;=0,P9&lt;&gt;"Ajuste",P9&lt;&gt;"Resultado trading"),"⚠ El monto debe ser positivo","✓")))))))))))))))</f>
        <v/>
      </c>
      <c r="P9" s="52">
        <f>IF(OR(B9="",G9=""),"",IF(C9="","Gasto",C9))</f>
        <v/>
      </c>
      <c r="Q9" s="52">
        <f>IF(P9="","",IF(J9&lt;&gt;"",J9,CuentaPred&amp;""))</f>
        <v/>
      </c>
      <c r="R9" s="52">
        <f>IF(P9="","",IF(ISNUMBER(I9),I9,TasaUSD))</f>
        <v/>
      </c>
      <c r="S9" s="53">
        <f>IF(P9="","",IF(H9="USD",G9*R9,G9))</f>
        <v/>
      </c>
      <c r="T9" s="53">
        <f>IF(P9="","",IF(H9="USD",G9,IF(R9&gt;0,G9/R9,0)))</f>
        <v/>
      </c>
      <c r="U9" s="53">
        <f>IF(P9="","",IF(P9="Gasto",S9,IF(P9="Reembolso",-S9,0)))</f>
        <v/>
      </c>
      <c r="V9" s="53">
        <f>IF(P9="","",IF(P9="Ingreso",S9,0))</f>
        <v/>
      </c>
      <c r="W9" s="53">
        <f>IF(P9="","",IF(P9="Resultado trading",S9,0))</f>
        <v/>
      </c>
      <c r="X9" s="52">
        <f>IF(OR(P9="Gasto",P9="Reembolso"),IF(M9&lt;&gt;"",M9,IFERROR(INDEX(catClasif,MATCH(D9&amp;"|"&amp;E9,catClave,0))&amp;"","Variable")),"")</f>
        <v/>
      </c>
      <c r="Y9" s="52">
        <f>IF(P9="","",IFERROR(INDEX(catGrupo,MATCH(D9&amp;"|"&amp;E9,catClave,0))&amp;"",""))</f>
        <v/>
      </c>
      <c r="Z9" s="52">
        <f>IF(P9="","",WEEKDAY(B9,2))</f>
        <v/>
      </c>
      <c r="AA9" s="52">
        <f>IF(P9="","",IF(AND(P9="Gasto",X9="Variable",D9&lt;&gt;catTrading,S9&gt;0,S9&lt;=Umbral),1,0))</f>
        <v/>
      </c>
      <c r="AB9" s="52">
        <f>IF(OR(P9="",Q9=""),"",IFERROR(IF(INDEX(ctaVinc,MATCH(Q9,ctaNombre,0))&amp;""&lt;&gt;"",INDEX(ctaVinc,MATCH(Q9,ctaNombre,0))&amp;"",Q9),Q9))</f>
        <v/>
      </c>
      <c r="AC9" s="52">
        <f>IF(OR(K9="",AND(P9&lt;&gt;"Transferencia",P9&lt;&gt;"Pago tarjeta")),"",IFERROR(IF(INDEX(ctaVinc,MATCH(K9,ctaNombre,0))&amp;""&lt;&gt;"",INDEX(ctaVinc,MATCH(K9,ctaNombre,0))&amp;"",K9),K9))</f>
        <v/>
      </c>
      <c r="AD9" s="52">
        <f>IF(AB9="","",IFERROR(INDEX(ctaTipo,MATCH(AB9,ctaNombre,0))&amp;"",""))</f>
        <v/>
      </c>
      <c r="AE9" s="52">
        <f>IF(AC9="","",IFERROR(INDEX(ctaTipo,MATCH(AC9,ctaNombre,0))&amp;"",""))</f>
        <v/>
      </c>
      <c r="AF9" s="53">
        <f>IF(OR(P9="",AB9=""),"",IF(OR(P9="Gasto",P9="Transferencia",P9="Pago tarjeta"),-1,1)*IF(IFERROR(INDEX(ctaMoneda,MATCH(AB9,ctaNombre,0))&amp;"","DOP")="USD",T9,S9))</f>
        <v/>
      </c>
      <c r="AG9" s="53">
        <f>IF(AC9="","",IF(IFERROR(INDEX(ctaMoneda,MATCH(AC9,ctaNombre,0))&amp;"","DOP")="USD",T9,S9))</f>
        <v/>
      </c>
      <c r="AH9" s="53">
        <f>IF(P9="","",IF(AND(AD9&lt;&gt;"",COUNTIFS(tcTipo,AD9,tcLiq,"Sí")&gt;0),IF(OR(P9="Gasto",P9="Transferencia",P9="Pago tarjeta"),-1,1)*S9,0)+IF(AND(AE9&lt;&gt;"",COUNTIFS(tcTipo,AE9,tcLiq,"Sí")&gt;0),S9,0))</f>
        <v/>
      </c>
      <c r="AI9" s="52">
        <f>IF(OR(L9="",P9=""),"",IF(COUNTIFS(L$6:L9,L9,P$6:P9,"?*")=1,MAX(AI$5:AI8)+1,""))</f>
        <v/>
      </c>
    </row>
    <row r="10">
      <c r="B10" s="47" t="n">
        <v>46237</v>
      </c>
      <c r="C10" s="48" t="inlineStr">
        <is>
          <t>Gasto</t>
        </is>
      </c>
      <c r="D10" s="48" t="inlineStr">
        <is>
          <t>Tecnología y suscripciones</t>
        </is>
      </c>
      <c r="E10" s="48" t="inlineStr">
        <is>
          <t>Herramientas de inteligencia artificial</t>
        </is>
      </c>
      <c r="F10" s="48" t="inlineStr">
        <is>
          <t>DEMO · Suscripción herramienta IA</t>
        </is>
      </c>
      <c r="G10" s="49" t="n">
        <v>20</v>
      </c>
      <c r="H10" s="48" t="inlineStr">
        <is>
          <t>USD</t>
        </is>
      </c>
      <c r="I10" s="50" t="n"/>
      <c r="J10" s="48" t="inlineStr">
        <is>
          <t>Tarjeta de crédito</t>
        </is>
      </c>
      <c r="K10" s="48" t="n"/>
      <c r="L10" s="48" t="inlineStr">
        <is>
          <t>Herramienta IA</t>
        </is>
      </c>
      <c r="M10" s="48" t="n"/>
      <c r="N10" s="48" t="inlineStr">
        <is>
          <t>DEMOSTRACIÓN</t>
        </is>
      </c>
      <c r="O10" s="51">
        <f>IF(AND(B10="",G10="",C10="",D10="",J10=""),"",IF(B10="","⚠ Falta fecha",IF(G10="","⚠ Falta monto",IF(Q10="","⚠ Falta cuenta",IF(ISNA(MATCH(Q10,ctaNombre,0)),"⚠ Cuenta no registrada",IF(AND(OR(P10="Gasto",P10="Reembolso"),D10=""),"⚠ Falta categoría",IF(AND(D10&lt;&gt;"",E10&lt;&gt;"",ISNA(MATCH(D10&amp;"|"&amp;E10,catClave,0))),"⚠ Subcategoría no corresponde",IF(AND(OR(P10="Transferencia",P10="Pago tarjeta"),K10=""),"⚠ Falta cuenta destino",IF(AND(K10&lt;&gt;"",P10&lt;&gt;"Transferencia",P10&lt;&gt;"Pago tarjeta"),"⚠ Destino solo aplica a transferencias",IF(AND(K10&lt;&gt;"",K10=Q10),"⚠ Origen igual a destino",IF(AND(K10&lt;&gt;"",ISNA(MATCH(K10,ctaNombre,0))),"⚠ Destino no registrado",IF(AND(P10="Pago tarjeta",AE10&lt;&gt;"Tarjeta de crédito"),"⚠ El destino debe ser tarjeta de crédito",IF(AND(P10="Gasto",E10="Depósitos y retiros"),"⚠ Usa tipo Transferencia",IF(AND(P10="Resultado trading",AD10&lt;&gt;"Cuenta de trading"),"⚠ Usa una cuenta de trading",IF(AND(G10&lt;=0,P10&lt;&gt;"Ajuste",P10&lt;&gt;"Resultado trading"),"⚠ El monto debe ser positivo","✓")))))))))))))))</f>
        <v/>
      </c>
      <c r="P10" s="52">
        <f>IF(OR(B10="",G10=""),"",IF(C10="","Gasto",C10))</f>
        <v/>
      </c>
      <c r="Q10" s="52">
        <f>IF(P10="","",IF(J10&lt;&gt;"",J10,CuentaPred&amp;""))</f>
        <v/>
      </c>
      <c r="R10" s="52">
        <f>IF(P10="","",IF(ISNUMBER(I10),I10,TasaUSD))</f>
        <v/>
      </c>
      <c r="S10" s="53">
        <f>IF(P10="","",IF(H10="USD",G10*R10,G10))</f>
        <v/>
      </c>
      <c r="T10" s="53">
        <f>IF(P10="","",IF(H10="USD",G10,IF(R10&gt;0,G10/R10,0)))</f>
        <v/>
      </c>
      <c r="U10" s="53">
        <f>IF(P10="","",IF(P10="Gasto",S10,IF(P10="Reembolso",-S10,0)))</f>
        <v/>
      </c>
      <c r="V10" s="53">
        <f>IF(P10="","",IF(P10="Ingreso",S10,0))</f>
        <v/>
      </c>
      <c r="W10" s="53">
        <f>IF(P10="","",IF(P10="Resultado trading",S10,0))</f>
        <v/>
      </c>
      <c r="X10" s="52">
        <f>IF(OR(P10="Gasto",P10="Reembolso"),IF(M10&lt;&gt;"",M10,IFERROR(INDEX(catClasif,MATCH(D10&amp;"|"&amp;E10,catClave,0))&amp;"","Variable")),"")</f>
        <v/>
      </c>
      <c r="Y10" s="52">
        <f>IF(P10="","",IFERROR(INDEX(catGrupo,MATCH(D10&amp;"|"&amp;E10,catClave,0))&amp;"",""))</f>
        <v/>
      </c>
      <c r="Z10" s="52">
        <f>IF(P10="","",WEEKDAY(B10,2))</f>
        <v/>
      </c>
      <c r="AA10" s="52">
        <f>IF(P10="","",IF(AND(P10="Gasto",X10="Variable",D10&lt;&gt;catTrading,S10&gt;0,S10&lt;=Umbral),1,0))</f>
        <v/>
      </c>
      <c r="AB10" s="52">
        <f>IF(OR(P10="",Q10=""),"",IFERROR(IF(INDEX(ctaVinc,MATCH(Q10,ctaNombre,0))&amp;""&lt;&gt;"",INDEX(ctaVinc,MATCH(Q10,ctaNombre,0))&amp;"",Q10),Q10))</f>
        <v/>
      </c>
      <c r="AC10" s="52">
        <f>IF(OR(K10="",AND(P10&lt;&gt;"Transferencia",P10&lt;&gt;"Pago tarjeta")),"",IFERROR(IF(INDEX(ctaVinc,MATCH(K10,ctaNombre,0))&amp;""&lt;&gt;"",INDEX(ctaVinc,MATCH(K10,ctaNombre,0))&amp;"",K10),K10))</f>
        <v/>
      </c>
      <c r="AD10" s="52">
        <f>IF(AB10="","",IFERROR(INDEX(ctaTipo,MATCH(AB10,ctaNombre,0))&amp;"",""))</f>
        <v/>
      </c>
      <c r="AE10" s="52">
        <f>IF(AC10="","",IFERROR(INDEX(ctaTipo,MATCH(AC10,ctaNombre,0))&amp;"",""))</f>
        <v/>
      </c>
      <c r="AF10" s="53">
        <f>IF(OR(P10="",AB10=""),"",IF(OR(P10="Gasto",P10="Transferencia",P10="Pago tarjeta"),-1,1)*IF(IFERROR(INDEX(ctaMoneda,MATCH(AB10,ctaNombre,0))&amp;"","DOP")="USD",T10,S10))</f>
        <v/>
      </c>
      <c r="AG10" s="53">
        <f>IF(AC10="","",IF(IFERROR(INDEX(ctaMoneda,MATCH(AC10,ctaNombre,0))&amp;"","DOP")="USD",T10,S10))</f>
        <v/>
      </c>
      <c r="AH10" s="53">
        <f>IF(P10="","",IF(AND(AD10&lt;&gt;"",COUNTIFS(tcTipo,AD10,tcLiq,"Sí")&gt;0),IF(OR(P10="Gasto",P10="Transferencia",P10="Pago tarjeta"),-1,1)*S10,0)+IF(AND(AE10&lt;&gt;"",COUNTIFS(tcTipo,AE10,tcLiq,"Sí")&gt;0),S10,0))</f>
        <v/>
      </c>
      <c r="AI10" s="52">
        <f>IF(OR(L10="",P10=""),"",IF(COUNTIFS(L$6:L10,L10,P$6:P10,"?*")=1,MAX(AI$5:AI9)+1,""))</f>
        <v/>
      </c>
    </row>
    <row r="11">
      <c r="B11" s="47" t="n">
        <v>46238</v>
      </c>
      <c r="C11" s="48" t="inlineStr">
        <is>
          <t>Gasto</t>
        </is>
      </c>
      <c r="D11" s="48" t="inlineStr">
        <is>
          <t>Alimentación</t>
        </is>
      </c>
      <c r="E11" s="48" t="inlineStr">
        <is>
          <t>Almuerzos laborales</t>
        </is>
      </c>
      <c r="F11" s="48" t="inlineStr">
        <is>
          <t>DEMO · Almuerzo laboral</t>
        </is>
      </c>
      <c r="G11" s="49" t="n">
        <v>375</v>
      </c>
      <c r="H11" s="48" t="inlineStr">
        <is>
          <t>DOP</t>
        </is>
      </c>
      <c r="I11" s="50" t="n"/>
      <c r="J11" s="48" t="inlineStr">
        <is>
          <t>Tarjeta de débito</t>
        </is>
      </c>
      <c r="K11" s="48" t="n"/>
      <c r="L11" s="48" t="inlineStr">
        <is>
          <t>Comedor ejecutivo</t>
        </is>
      </c>
      <c r="M11" s="48" t="n"/>
      <c r="N11" s="48" t="inlineStr">
        <is>
          <t>DEMOSTRACIÓN</t>
        </is>
      </c>
      <c r="O11" s="51">
        <f>IF(AND(B11="",G11="",C11="",D11="",J11=""),"",IF(B11="","⚠ Falta fecha",IF(G11="","⚠ Falta monto",IF(Q11="","⚠ Falta cuenta",IF(ISNA(MATCH(Q11,ctaNombre,0)),"⚠ Cuenta no registrada",IF(AND(OR(P11="Gasto",P11="Reembolso"),D11=""),"⚠ Falta categoría",IF(AND(D11&lt;&gt;"",E11&lt;&gt;"",ISNA(MATCH(D11&amp;"|"&amp;E11,catClave,0))),"⚠ Subcategoría no corresponde",IF(AND(OR(P11="Transferencia",P11="Pago tarjeta"),K11=""),"⚠ Falta cuenta destino",IF(AND(K11&lt;&gt;"",P11&lt;&gt;"Transferencia",P11&lt;&gt;"Pago tarjeta"),"⚠ Destino solo aplica a transferencias",IF(AND(K11&lt;&gt;"",K11=Q11),"⚠ Origen igual a destino",IF(AND(K11&lt;&gt;"",ISNA(MATCH(K11,ctaNombre,0))),"⚠ Destino no registrado",IF(AND(P11="Pago tarjeta",AE11&lt;&gt;"Tarjeta de crédito"),"⚠ El destino debe ser tarjeta de crédito",IF(AND(P11="Gasto",E11="Depósitos y retiros"),"⚠ Usa tipo Transferencia",IF(AND(P11="Resultado trading",AD11&lt;&gt;"Cuenta de trading"),"⚠ Usa una cuenta de trading",IF(AND(G11&lt;=0,P11&lt;&gt;"Ajuste",P11&lt;&gt;"Resultado trading"),"⚠ El monto debe ser positivo","✓")))))))))))))))</f>
        <v/>
      </c>
      <c r="P11" s="52">
        <f>IF(OR(B11="",G11=""),"",IF(C11="","Gasto",C11))</f>
        <v/>
      </c>
      <c r="Q11" s="52">
        <f>IF(P11="","",IF(J11&lt;&gt;"",J11,CuentaPred&amp;""))</f>
        <v/>
      </c>
      <c r="R11" s="52">
        <f>IF(P11="","",IF(ISNUMBER(I11),I11,TasaUSD))</f>
        <v/>
      </c>
      <c r="S11" s="53">
        <f>IF(P11="","",IF(H11="USD",G11*R11,G11))</f>
        <v/>
      </c>
      <c r="T11" s="53">
        <f>IF(P11="","",IF(H11="USD",G11,IF(R11&gt;0,G11/R11,0)))</f>
        <v/>
      </c>
      <c r="U11" s="53">
        <f>IF(P11="","",IF(P11="Gasto",S11,IF(P11="Reembolso",-S11,0)))</f>
        <v/>
      </c>
      <c r="V11" s="53">
        <f>IF(P11="","",IF(P11="Ingreso",S11,0))</f>
        <v/>
      </c>
      <c r="W11" s="53">
        <f>IF(P11="","",IF(P11="Resultado trading",S11,0))</f>
        <v/>
      </c>
      <c r="X11" s="52">
        <f>IF(OR(P11="Gasto",P11="Reembolso"),IF(M11&lt;&gt;"",M11,IFERROR(INDEX(catClasif,MATCH(D11&amp;"|"&amp;E11,catClave,0))&amp;"","Variable")),"")</f>
        <v/>
      </c>
      <c r="Y11" s="52">
        <f>IF(P11="","",IFERROR(INDEX(catGrupo,MATCH(D11&amp;"|"&amp;E11,catClave,0))&amp;"",""))</f>
        <v/>
      </c>
      <c r="Z11" s="52">
        <f>IF(P11="","",WEEKDAY(B11,2))</f>
        <v/>
      </c>
      <c r="AA11" s="52">
        <f>IF(P11="","",IF(AND(P11="Gasto",X11="Variable",D11&lt;&gt;catTrading,S11&gt;0,S11&lt;=Umbral),1,0))</f>
        <v/>
      </c>
      <c r="AB11" s="52">
        <f>IF(OR(P11="",Q11=""),"",IFERROR(IF(INDEX(ctaVinc,MATCH(Q11,ctaNombre,0))&amp;""&lt;&gt;"",INDEX(ctaVinc,MATCH(Q11,ctaNombre,0))&amp;"",Q11),Q11))</f>
        <v/>
      </c>
      <c r="AC11" s="52">
        <f>IF(OR(K11="",AND(P11&lt;&gt;"Transferencia",P11&lt;&gt;"Pago tarjeta")),"",IFERROR(IF(INDEX(ctaVinc,MATCH(K11,ctaNombre,0))&amp;""&lt;&gt;"",INDEX(ctaVinc,MATCH(K11,ctaNombre,0))&amp;"",K11),K11))</f>
        <v/>
      </c>
      <c r="AD11" s="52">
        <f>IF(AB11="","",IFERROR(INDEX(ctaTipo,MATCH(AB11,ctaNombre,0))&amp;"",""))</f>
        <v/>
      </c>
      <c r="AE11" s="52">
        <f>IF(AC11="","",IFERROR(INDEX(ctaTipo,MATCH(AC11,ctaNombre,0))&amp;"",""))</f>
        <v/>
      </c>
      <c r="AF11" s="53">
        <f>IF(OR(P11="",AB11=""),"",IF(OR(P11="Gasto",P11="Transferencia",P11="Pago tarjeta"),-1,1)*IF(IFERROR(INDEX(ctaMoneda,MATCH(AB11,ctaNombre,0))&amp;"","DOP")="USD",T11,S11))</f>
        <v/>
      </c>
      <c r="AG11" s="53">
        <f>IF(AC11="","",IF(IFERROR(INDEX(ctaMoneda,MATCH(AC11,ctaNombre,0))&amp;"","DOP")="USD",T11,S11))</f>
        <v/>
      </c>
      <c r="AH11" s="53">
        <f>IF(P11="","",IF(AND(AD11&lt;&gt;"",COUNTIFS(tcTipo,AD11,tcLiq,"Sí")&gt;0),IF(OR(P11="Gasto",P11="Transferencia",P11="Pago tarjeta"),-1,1)*S11,0)+IF(AND(AE11&lt;&gt;"",COUNTIFS(tcTipo,AE11,tcLiq,"Sí")&gt;0),S11,0))</f>
        <v/>
      </c>
      <c r="AI11" s="52">
        <f>IF(OR(L11="",P11=""),"",IF(COUNTIFS(L$6:L11,L11,P$6:P11,"?*")=1,MAX(AI$5:AI10)+1,""))</f>
        <v/>
      </c>
    </row>
    <row r="12">
      <c r="B12" s="47" t="n">
        <v>46238</v>
      </c>
      <c r="C12" s="48" t="inlineStr">
        <is>
          <t>Gasto</t>
        </is>
      </c>
      <c r="D12" s="48" t="inlineStr">
        <is>
          <t>Alimentación</t>
        </is>
      </c>
      <c r="E12" s="48" t="inlineStr">
        <is>
          <t>Bebidas, snacks y otros consumos</t>
        </is>
      </c>
      <c r="F12" s="48" t="inlineStr">
        <is>
          <t>DEMO · Café</t>
        </is>
      </c>
      <c r="G12" s="49" t="n">
        <v>160</v>
      </c>
      <c r="H12" s="48" t="inlineStr">
        <is>
          <t>DOP</t>
        </is>
      </c>
      <c r="I12" s="50" t="n"/>
      <c r="J12" s="48" t="inlineStr">
        <is>
          <t>Efectivo</t>
        </is>
      </c>
      <c r="K12" s="48" t="n"/>
      <c r="L12" s="48" t="inlineStr">
        <is>
          <t>Colmado del barrio</t>
        </is>
      </c>
      <c r="M12" s="48" t="n"/>
      <c r="N12" s="48" t="inlineStr">
        <is>
          <t>DEMOSTRACIÓN</t>
        </is>
      </c>
      <c r="O12" s="51">
        <f>IF(AND(B12="",G12="",C12="",D12="",J12=""),"",IF(B12="","⚠ Falta fecha",IF(G12="","⚠ Falta monto",IF(Q12="","⚠ Falta cuenta",IF(ISNA(MATCH(Q12,ctaNombre,0)),"⚠ Cuenta no registrada",IF(AND(OR(P12="Gasto",P12="Reembolso"),D12=""),"⚠ Falta categoría",IF(AND(D12&lt;&gt;"",E12&lt;&gt;"",ISNA(MATCH(D12&amp;"|"&amp;E12,catClave,0))),"⚠ Subcategoría no corresponde",IF(AND(OR(P12="Transferencia",P12="Pago tarjeta"),K12=""),"⚠ Falta cuenta destino",IF(AND(K12&lt;&gt;"",P12&lt;&gt;"Transferencia",P12&lt;&gt;"Pago tarjeta"),"⚠ Destino solo aplica a transferencias",IF(AND(K12&lt;&gt;"",K12=Q12),"⚠ Origen igual a destino",IF(AND(K12&lt;&gt;"",ISNA(MATCH(K12,ctaNombre,0))),"⚠ Destino no registrado",IF(AND(P12="Pago tarjeta",AE12&lt;&gt;"Tarjeta de crédito"),"⚠ El destino debe ser tarjeta de crédito",IF(AND(P12="Gasto",E12="Depósitos y retiros"),"⚠ Usa tipo Transferencia",IF(AND(P12="Resultado trading",AD12&lt;&gt;"Cuenta de trading"),"⚠ Usa una cuenta de trading",IF(AND(G12&lt;=0,P12&lt;&gt;"Ajuste",P12&lt;&gt;"Resultado trading"),"⚠ El monto debe ser positivo","✓")))))))))))))))</f>
        <v/>
      </c>
      <c r="P12" s="52">
        <f>IF(OR(B12="",G12=""),"",IF(C12="","Gasto",C12))</f>
        <v/>
      </c>
      <c r="Q12" s="52">
        <f>IF(P12="","",IF(J12&lt;&gt;"",J12,CuentaPred&amp;""))</f>
        <v/>
      </c>
      <c r="R12" s="52">
        <f>IF(P12="","",IF(ISNUMBER(I12),I12,TasaUSD))</f>
        <v/>
      </c>
      <c r="S12" s="53">
        <f>IF(P12="","",IF(H12="USD",G12*R12,G12))</f>
        <v/>
      </c>
      <c r="T12" s="53">
        <f>IF(P12="","",IF(H12="USD",G12,IF(R12&gt;0,G12/R12,0)))</f>
        <v/>
      </c>
      <c r="U12" s="53">
        <f>IF(P12="","",IF(P12="Gasto",S12,IF(P12="Reembolso",-S12,0)))</f>
        <v/>
      </c>
      <c r="V12" s="53">
        <f>IF(P12="","",IF(P12="Ingreso",S12,0))</f>
        <v/>
      </c>
      <c r="W12" s="53">
        <f>IF(P12="","",IF(P12="Resultado trading",S12,0))</f>
        <v/>
      </c>
      <c r="X12" s="52">
        <f>IF(OR(P12="Gasto",P12="Reembolso"),IF(M12&lt;&gt;"",M12,IFERROR(INDEX(catClasif,MATCH(D12&amp;"|"&amp;E12,catClave,0))&amp;"","Variable")),"")</f>
        <v/>
      </c>
      <c r="Y12" s="52">
        <f>IF(P12="","",IFERROR(INDEX(catGrupo,MATCH(D12&amp;"|"&amp;E12,catClave,0))&amp;"",""))</f>
        <v/>
      </c>
      <c r="Z12" s="52">
        <f>IF(P12="","",WEEKDAY(B12,2))</f>
        <v/>
      </c>
      <c r="AA12" s="52">
        <f>IF(P12="","",IF(AND(P12="Gasto",X12="Variable",D12&lt;&gt;catTrading,S12&gt;0,S12&lt;=Umbral),1,0))</f>
        <v/>
      </c>
      <c r="AB12" s="52">
        <f>IF(OR(P12="",Q12=""),"",IFERROR(IF(INDEX(ctaVinc,MATCH(Q12,ctaNombre,0))&amp;""&lt;&gt;"",INDEX(ctaVinc,MATCH(Q12,ctaNombre,0))&amp;"",Q12),Q12))</f>
        <v/>
      </c>
      <c r="AC12" s="52">
        <f>IF(OR(K12="",AND(P12&lt;&gt;"Transferencia",P12&lt;&gt;"Pago tarjeta")),"",IFERROR(IF(INDEX(ctaVinc,MATCH(K12,ctaNombre,0))&amp;""&lt;&gt;"",INDEX(ctaVinc,MATCH(K12,ctaNombre,0))&amp;"",K12),K12))</f>
        <v/>
      </c>
      <c r="AD12" s="52">
        <f>IF(AB12="","",IFERROR(INDEX(ctaTipo,MATCH(AB12,ctaNombre,0))&amp;"",""))</f>
        <v/>
      </c>
      <c r="AE12" s="52">
        <f>IF(AC12="","",IFERROR(INDEX(ctaTipo,MATCH(AC12,ctaNombre,0))&amp;"",""))</f>
        <v/>
      </c>
      <c r="AF12" s="53">
        <f>IF(OR(P12="",AB12=""),"",IF(OR(P12="Gasto",P12="Transferencia",P12="Pago tarjeta"),-1,1)*IF(IFERROR(INDEX(ctaMoneda,MATCH(AB12,ctaNombre,0))&amp;"","DOP")="USD",T12,S12))</f>
        <v/>
      </c>
      <c r="AG12" s="53">
        <f>IF(AC12="","",IF(IFERROR(INDEX(ctaMoneda,MATCH(AC12,ctaNombre,0))&amp;"","DOP")="USD",T12,S12))</f>
        <v/>
      </c>
      <c r="AH12" s="53">
        <f>IF(P12="","",IF(AND(AD12&lt;&gt;"",COUNTIFS(tcTipo,AD12,tcLiq,"Sí")&gt;0),IF(OR(P12="Gasto",P12="Transferencia",P12="Pago tarjeta"),-1,1)*S12,0)+IF(AND(AE12&lt;&gt;"",COUNTIFS(tcTipo,AE12,tcLiq,"Sí")&gt;0),S12,0))</f>
        <v/>
      </c>
      <c r="AI12" s="52">
        <f>IF(OR(L12="",P12=""),"",IF(COUNTIFS(L$6:L12,L12,P$6:P12,"?*")=1,MAX(AI$5:AI11)+1,""))</f>
        <v/>
      </c>
    </row>
    <row r="13">
      <c r="B13" s="47" t="n">
        <v>46239</v>
      </c>
      <c r="C13" s="48" t="inlineStr">
        <is>
          <t>Gasto</t>
        </is>
      </c>
      <c r="D13" s="48" t="inlineStr">
        <is>
          <t>Alimentación</t>
        </is>
      </c>
      <c r="E13" s="48" t="inlineStr">
        <is>
          <t>Desayunos comprados</t>
        </is>
      </c>
      <c r="F13" s="48" t="inlineStr">
        <is>
          <t>DEMO · Desayuno en la oficina</t>
        </is>
      </c>
      <c r="G13" s="49" t="n">
        <v>290</v>
      </c>
      <c r="H13" s="48" t="inlineStr">
        <is>
          <t>DOP</t>
        </is>
      </c>
      <c r="I13" s="50" t="n"/>
      <c r="J13" s="48" t="inlineStr">
        <is>
          <t>Efectivo</t>
        </is>
      </c>
      <c r="K13" s="48" t="n"/>
      <c r="L13" s="48" t="inlineStr">
        <is>
          <t>Cafetería del trabajo</t>
        </is>
      </c>
      <c r="M13" s="48" t="n"/>
      <c r="N13" s="48" t="inlineStr">
        <is>
          <t>DEMOSTRACIÓN</t>
        </is>
      </c>
      <c r="O13" s="51">
        <f>IF(AND(B13="",G13="",C13="",D13="",J13=""),"",IF(B13="","⚠ Falta fecha",IF(G13="","⚠ Falta monto",IF(Q13="","⚠ Falta cuenta",IF(ISNA(MATCH(Q13,ctaNombre,0)),"⚠ Cuenta no registrada",IF(AND(OR(P13="Gasto",P13="Reembolso"),D13=""),"⚠ Falta categoría",IF(AND(D13&lt;&gt;"",E13&lt;&gt;"",ISNA(MATCH(D13&amp;"|"&amp;E13,catClave,0))),"⚠ Subcategoría no corresponde",IF(AND(OR(P13="Transferencia",P13="Pago tarjeta"),K13=""),"⚠ Falta cuenta destino",IF(AND(K13&lt;&gt;"",P13&lt;&gt;"Transferencia",P13&lt;&gt;"Pago tarjeta"),"⚠ Destino solo aplica a transferencias",IF(AND(K13&lt;&gt;"",K13=Q13),"⚠ Origen igual a destino",IF(AND(K13&lt;&gt;"",ISNA(MATCH(K13,ctaNombre,0))),"⚠ Destino no registrado",IF(AND(P13="Pago tarjeta",AE13&lt;&gt;"Tarjeta de crédito"),"⚠ El destino debe ser tarjeta de crédito",IF(AND(P13="Gasto",E13="Depósitos y retiros"),"⚠ Usa tipo Transferencia",IF(AND(P13="Resultado trading",AD13&lt;&gt;"Cuenta de trading"),"⚠ Usa una cuenta de trading",IF(AND(G13&lt;=0,P13&lt;&gt;"Ajuste",P13&lt;&gt;"Resultado trading"),"⚠ El monto debe ser positivo","✓")))))))))))))))</f>
        <v/>
      </c>
      <c r="P13" s="52">
        <f>IF(OR(B13="",G13=""),"",IF(C13="","Gasto",C13))</f>
        <v/>
      </c>
      <c r="Q13" s="52">
        <f>IF(P13="","",IF(J13&lt;&gt;"",J13,CuentaPred&amp;""))</f>
        <v/>
      </c>
      <c r="R13" s="52">
        <f>IF(P13="","",IF(ISNUMBER(I13),I13,TasaUSD))</f>
        <v/>
      </c>
      <c r="S13" s="53">
        <f>IF(P13="","",IF(H13="USD",G13*R13,G13))</f>
        <v/>
      </c>
      <c r="T13" s="53">
        <f>IF(P13="","",IF(H13="USD",G13,IF(R13&gt;0,G13/R13,0)))</f>
        <v/>
      </c>
      <c r="U13" s="53">
        <f>IF(P13="","",IF(P13="Gasto",S13,IF(P13="Reembolso",-S13,0)))</f>
        <v/>
      </c>
      <c r="V13" s="53">
        <f>IF(P13="","",IF(P13="Ingreso",S13,0))</f>
        <v/>
      </c>
      <c r="W13" s="53">
        <f>IF(P13="","",IF(P13="Resultado trading",S13,0))</f>
        <v/>
      </c>
      <c r="X13" s="52">
        <f>IF(OR(P13="Gasto",P13="Reembolso"),IF(M13&lt;&gt;"",M13,IFERROR(INDEX(catClasif,MATCH(D13&amp;"|"&amp;E13,catClave,0))&amp;"","Variable")),"")</f>
        <v/>
      </c>
      <c r="Y13" s="52">
        <f>IF(P13="","",IFERROR(INDEX(catGrupo,MATCH(D13&amp;"|"&amp;E13,catClave,0))&amp;"",""))</f>
        <v/>
      </c>
      <c r="Z13" s="52">
        <f>IF(P13="","",WEEKDAY(B13,2))</f>
        <v/>
      </c>
      <c r="AA13" s="52">
        <f>IF(P13="","",IF(AND(P13="Gasto",X13="Variable",D13&lt;&gt;catTrading,S13&gt;0,S13&lt;=Umbral),1,0))</f>
        <v/>
      </c>
      <c r="AB13" s="52">
        <f>IF(OR(P13="",Q13=""),"",IFERROR(IF(INDEX(ctaVinc,MATCH(Q13,ctaNombre,0))&amp;""&lt;&gt;"",INDEX(ctaVinc,MATCH(Q13,ctaNombre,0))&amp;"",Q13),Q13))</f>
        <v/>
      </c>
      <c r="AC13" s="52">
        <f>IF(OR(K13="",AND(P13&lt;&gt;"Transferencia",P13&lt;&gt;"Pago tarjeta")),"",IFERROR(IF(INDEX(ctaVinc,MATCH(K13,ctaNombre,0))&amp;""&lt;&gt;"",INDEX(ctaVinc,MATCH(K13,ctaNombre,0))&amp;"",K13),K13))</f>
        <v/>
      </c>
      <c r="AD13" s="52">
        <f>IF(AB13="","",IFERROR(INDEX(ctaTipo,MATCH(AB13,ctaNombre,0))&amp;"",""))</f>
        <v/>
      </c>
      <c r="AE13" s="52">
        <f>IF(AC13="","",IFERROR(INDEX(ctaTipo,MATCH(AC13,ctaNombre,0))&amp;"",""))</f>
        <v/>
      </c>
      <c r="AF13" s="53">
        <f>IF(OR(P13="",AB13=""),"",IF(OR(P13="Gasto",P13="Transferencia",P13="Pago tarjeta"),-1,1)*IF(IFERROR(INDEX(ctaMoneda,MATCH(AB13,ctaNombre,0))&amp;"","DOP")="USD",T13,S13))</f>
        <v/>
      </c>
      <c r="AG13" s="53">
        <f>IF(AC13="","",IF(IFERROR(INDEX(ctaMoneda,MATCH(AC13,ctaNombre,0))&amp;"","DOP")="USD",T13,S13))</f>
        <v/>
      </c>
      <c r="AH13" s="53">
        <f>IF(P13="","",IF(AND(AD13&lt;&gt;"",COUNTIFS(tcTipo,AD13,tcLiq,"Sí")&gt;0),IF(OR(P13="Gasto",P13="Transferencia",P13="Pago tarjeta"),-1,1)*S13,0)+IF(AND(AE13&lt;&gt;"",COUNTIFS(tcTipo,AE13,tcLiq,"Sí")&gt;0),S13,0))</f>
        <v/>
      </c>
      <c r="AI13" s="52">
        <f>IF(OR(L13="",P13=""),"",IF(COUNTIFS(L$6:L13,L13,P$6:P13,"?*")=1,MAX(AI$5:AI12)+1,""))</f>
        <v/>
      </c>
    </row>
    <row r="14">
      <c r="B14" s="47" t="n">
        <v>46239</v>
      </c>
      <c r="C14" s="48" t="inlineStr">
        <is>
          <t>Gasto</t>
        </is>
      </c>
      <c r="D14" s="48" t="inlineStr">
        <is>
          <t>Alimentación</t>
        </is>
      </c>
      <c r="E14" s="48" t="inlineStr">
        <is>
          <t>Cenas compradas</t>
        </is>
      </c>
      <c r="F14" s="48" t="inlineStr">
        <is>
          <t>DEMO · Cena comprada</t>
        </is>
      </c>
      <c r="G14" s="49" t="n">
        <v>525</v>
      </c>
      <c r="H14" s="48" t="inlineStr">
        <is>
          <t>DOP</t>
        </is>
      </c>
      <c r="I14" s="50" t="n"/>
      <c r="J14" s="48" t="inlineStr">
        <is>
          <t>Tarjeta de crédito</t>
        </is>
      </c>
      <c r="K14" s="48" t="n"/>
      <c r="L14" s="48" t="inlineStr">
        <is>
          <t>Pizzería del sector</t>
        </is>
      </c>
      <c r="M14" s="48" t="n"/>
      <c r="N14" s="48" t="inlineStr">
        <is>
          <t>DEMOSTRACIÓN</t>
        </is>
      </c>
      <c r="O14" s="51">
        <f>IF(AND(B14="",G14="",C14="",D14="",J14=""),"",IF(B14="","⚠ Falta fecha",IF(G14="","⚠ Falta monto",IF(Q14="","⚠ Falta cuenta",IF(ISNA(MATCH(Q14,ctaNombre,0)),"⚠ Cuenta no registrada",IF(AND(OR(P14="Gasto",P14="Reembolso"),D14=""),"⚠ Falta categoría",IF(AND(D14&lt;&gt;"",E14&lt;&gt;"",ISNA(MATCH(D14&amp;"|"&amp;E14,catClave,0))),"⚠ Subcategoría no corresponde",IF(AND(OR(P14="Transferencia",P14="Pago tarjeta"),K14=""),"⚠ Falta cuenta destino",IF(AND(K14&lt;&gt;"",P14&lt;&gt;"Transferencia",P14&lt;&gt;"Pago tarjeta"),"⚠ Destino solo aplica a transferencias",IF(AND(K14&lt;&gt;"",K14=Q14),"⚠ Origen igual a destino",IF(AND(K14&lt;&gt;"",ISNA(MATCH(K14,ctaNombre,0))),"⚠ Destino no registrado",IF(AND(P14="Pago tarjeta",AE14&lt;&gt;"Tarjeta de crédito"),"⚠ El destino debe ser tarjeta de crédito",IF(AND(P14="Gasto",E14="Depósitos y retiros"),"⚠ Usa tipo Transferencia",IF(AND(P14="Resultado trading",AD14&lt;&gt;"Cuenta de trading"),"⚠ Usa una cuenta de trading",IF(AND(G14&lt;=0,P14&lt;&gt;"Ajuste",P14&lt;&gt;"Resultado trading"),"⚠ El monto debe ser positivo","✓")))))))))))))))</f>
        <v/>
      </c>
      <c r="P14" s="52">
        <f>IF(OR(B14="",G14=""),"",IF(C14="","Gasto",C14))</f>
        <v/>
      </c>
      <c r="Q14" s="52">
        <f>IF(P14="","",IF(J14&lt;&gt;"",J14,CuentaPred&amp;""))</f>
        <v/>
      </c>
      <c r="R14" s="52">
        <f>IF(P14="","",IF(ISNUMBER(I14),I14,TasaUSD))</f>
        <v/>
      </c>
      <c r="S14" s="53">
        <f>IF(P14="","",IF(H14="USD",G14*R14,G14))</f>
        <v/>
      </c>
      <c r="T14" s="53">
        <f>IF(P14="","",IF(H14="USD",G14,IF(R14&gt;0,G14/R14,0)))</f>
        <v/>
      </c>
      <c r="U14" s="53">
        <f>IF(P14="","",IF(P14="Gasto",S14,IF(P14="Reembolso",-S14,0)))</f>
        <v/>
      </c>
      <c r="V14" s="53">
        <f>IF(P14="","",IF(P14="Ingreso",S14,0))</f>
        <v/>
      </c>
      <c r="W14" s="53">
        <f>IF(P14="","",IF(P14="Resultado trading",S14,0))</f>
        <v/>
      </c>
      <c r="X14" s="52">
        <f>IF(OR(P14="Gasto",P14="Reembolso"),IF(M14&lt;&gt;"",M14,IFERROR(INDEX(catClasif,MATCH(D14&amp;"|"&amp;E14,catClave,0))&amp;"","Variable")),"")</f>
        <v/>
      </c>
      <c r="Y14" s="52">
        <f>IF(P14="","",IFERROR(INDEX(catGrupo,MATCH(D14&amp;"|"&amp;E14,catClave,0))&amp;"",""))</f>
        <v/>
      </c>
      <c r="Z14" s="52">
        <f>IF(P14="","",WEEKDAY(B14,2))</f>
        <v/>
      </c>
      <c r="AA14" s="52">
        <f>IF(P14="","",IF(AND(P14="Gasto",X14="Variable",D14&lt;&gt;catTrading,S14&gt;0,S14&lt;=Umbral),1,0))</f>
        <v/>
      </c>
      <c r="AB14" s="52">
        <f>IF(OR(P14="",Q14=""),"",IFERROR(IF(INDEX(ctaVinc,MATCH(Q14,ctaNombre,0))&amp;""&lt;&gt;"",INDEX(ctaVinc,MATCH(Q14,ctaNombre,0))&amp;"",Q14),Q14))</f>
        <v/>
      </c>
      <c r="AC14" s="52">
        <f>IF(OR(K14="",AND(P14&lt;&gt;"Transferencia",P14&lt;&gt;"Pago tarjeta")),"",IFERROR(IF(INDEX(ctaVinc,MATCH(K14,ctaNombre,0))&amp;""&lt;&gt;"",INDEX(ctaVinc,MATCH(K14,ctaNombre,0))&amp;"",K14),K14))</f>
        <v/>
      </c>
      <c r="AD14" s="52">
        <f>IF(AB14="","",IFERROR(INDEX(ctaTipo,MATCH(AB14,ctaNombre,0))&amp;"",""))</f>
        <v/>
      </c>
      <c r="AE14" s="52">
        <f>IF(AC14="","",IFERROR(INDEX(ctaTipo,MATCH(AC14,ctaNombre,0))&amp;"",""))</f>
        <v/>
      </c>
      <c r="AF14" s="53">
        <f>IF(OR(P14="",AB14=""),"",IF(OR(P14="Gasto",P14="Transferencia",P14="Pago tarjeta"),-1,1)*IF(IFERROR(INDEX(ctaMoneda,MATCH(AB14,ctaNombre,0))&amp;"","DOP")="USD",T14,S14))</f>
        <v/>
      </c>
      <c r="AG14" s="53">
        <f>IF(AC14="","",IF(IFERROR(INDEX(ctaMoneda,MATCH(AC14,ctaNombre,0))&amp;"","DOP")="USD",T14,S14))</f>
        <v/>
      </c>
      <c r="AH14" s="53">
        <f>IF(P14="","",IF(AND(AD14&lt;&gt;"",COUNTIFS(tcTipo,AD14,tcLiq,"Sí")&gt;0),IF(OR(P14="Gasto",P14="Transferencia",P14="Pago tarjeta"),-1,1)*S14,0)+IF(AND(AE14&lt;&gt;"",COUNTIFS(tcTipo,AE14,tcLiq,"Sí")&gt;0),S14,0))</f>
        <v/>
      </c>
      <c r="AI14" s="52">
        <f>IF(OR(L14="",P14=""),"",IF(COUNTIFS(L$6:L14,L14,P$6:P14,"?*")=1,MAX(AI$5:AI13)+1,""))</f>
        <v/>
      </c>
    </row>
    <row r="15">
      <c r="B15" s="47" t="n">
        <v>46239</v>
      </c>
      <c r="C15" s="48" t="inlineStr">
        <is>
          <t>Gasto</t>
        </is>
      </c>
      <c r="D15" s="48" t="inlineStr">
        <is>
          <t>Hogar y servicios</t>
        </is>
      </c>
      <c r="E15" s="48" t="inlineStr">
        <is>
          <t>Internet</t>
        </is>
      </c>
      <c r="F15" s="48" t="inlineStr">
        <is>
          <t>DEMO · Internet del hogar</t>
        </is>
      </c>
      <c r="G15" s="49" t="n">
        <v>2050</v>
      </c>
      <c r="H15" s="48" t="inlineStr">
        <is>
          <t>DOP</t>
        </is>
      </c>
      <c r="I15" s="50" t="n"/>
      <c r="J15" s="48" t="inlineStr">
        <is>
          <t>Banco principal</t>
        </is>
      </c>
      <c r="K15" s="48" t="n"/>
      <c r="L15" s="48" t="inlineStr">
        <is>
          <t>Proveedor de internet</t>
        </is>
      </c>
      <c r="M15" s="48" t="n"/>
      <c r="N15" s="48" t="inlineStr">
        <is>
          <t>DEMOSTRACIÓN</t>
        </is>
      </c>
      <c r="O15" s="51">
        <f>IF(AND(B15="",G15="",C15="",D15="",J15=""),"",IF(B15="","⚠ Falta fecha",IF(G15="","⚠ Falta monto",IF(Q15="","⚠ Falta cuenta",IF(ISNA(MATCH(Q15,ctaNombre,0)),"⚠ Cuenta no registrada",IF(AND(OR(P15="Gasto",P15="Reembolso"),D15=""),"⚠ Falta categoría",IF(AND(D15&lt;&gt;"",E15&lt;&gt;"",ISNA(MATCH(D15&amp;"|"&amp;E15,catClave,0))),"⚠ Subcategoría no corresponde",IF(AND(OR(P15="Transferencia",P15="Pago tarjeta"),K15=""),"⚠ Falta cuenta destino",IF(AND(K15&lt;&gt;"",P15&lt;&gt;"Transferencia",P15&lt;&gt;"Pago tarjeta"),"⚠ Destino solo aplica a transferencias",IF(AND(K15&lt;&gt;"",K15=Q15),"⚠ Origen igual a destino",IF(AND(K15&lt;&gt;"",ISNA(MATCH(K15,ctaNombre,0))),"⚠ Destino no registrado",IF(AND(P15="Pago tarjeta",AE15&lt;&gt;"Tarjeta de crédito"),"⚠ El destino debe ser tarjeta de crédito",IF(AND(P15="Gasto",E15="Depósitos y retiros"),"⚠ Usa tipo Transferencia",IF(AND(P15="Resultado trading",AD15&lt;&gt;"Cuenta de trading"),"⚠ Usa una cuenta de trading",IF(AND(G15&lt;=0,P15&lt;&gt;"Ajuste",P15&lt;&gt;"Resultado trading"),"⚠ El monto debe ser positivo","✓")))))))))))))))</f>
        <v/>
      </c>
      <c r="P15" s="52">
        <f>IF(OR(B15="",G15=""),"",IF(C15="","Gasto",C15))</f>
        <v/>
      </c>
      <c r="Q15" s="52">
        <f>IF(P15="","",IF(J15&lt;&gt;"",J15,CuentaPred&amp;""))</f>
        <v/>
      </c>
      <c r="R15" s="52">
        <f>IF(P15="","",IF(ISNUMBER(I15),I15,TasaUSD))</f>
        <v/>
      </c>
      <c r="S15" s="53">
        <f>IF(P15="","",IF(H15="USD",G15*R15,G15))</f>
        <v/>
      </c>
      <c r="T15" s="53">
        <f>IF(P15="","",IF(H15="USD",G15,IF(R15&gt;0,G15/R15,0)))</f>
        <v/>
      </c>
      <c r="U15" s="53">
        <f>IF(P15="","",IF(P15="Gasto",S15,IF(P15="Reembolso",-S15,0)))</f>
        <v/>
      </c>
      <c r="V15" s="53">
        <f>IF(P15="","",IF(P15="Ingreso",S15,0))</f>
        <v/>
      </c>
      <c r="W15" s="53">
        <f>IF(P15="","",IF(P15="Resultado trading",S15,0))</f>
        <v/>
      </c>
      <c r="X15" s="52">
        <f>IF(OR(P15="Gasto",P15="Reembolso"),IF(M15&lt;&gt;"",M15,IFERROR(INDEX(catClasif,MATCH(D15&amp;"|"&amp;E15,catClave,0))&amp;"","Variable")),"")</f>
        <v/>
      </c>
      <c r="Y15" s="52">
        <f>IF(P15="","",IFERROR(INDEX(catGrupo,MATCH(D15&amp;"|"&amp;E15,catClave,0))&amp;"",""))</f>
        <v/>
      </c>
      <c r="Z15" s="52">
        <f>IF(P15="","",WEEKDAY(B15,2))</f>
        <v/>
      </c>
      <c r="AA15" s="52">
        <f>IF(P15="","",IF(AND(P15="Gasto",X15="Variable",D15&lt;&gt;catTrading,S15&gt;0,S15&lt;=Umbral),1,0))</f>
        <v/>
      </c>
      <c r="AB15" s="52">
        <f>IF(OR(P15="",Q15=""),"",IFERROR(IF(INDEX(ctaVinc,MATCH(Q15,ctaNombre,0))&amp;""&lt;&gt;"",INDEX(ctaVinc,MATCH(Q15,ctaNombre,0))&amp;"",Q15),Q15))</f>
        <v/>
      </c>
      <c r="AC15" s="52">
        <f>IF(OR(K15="",AND(P15&lt;&gt;"Transferencia",P15&lt;&gt;"Pago tarjeta")),"",IFERROR(IF(INDEX(ctaVinc,MATCH(K15,ctaNombre,0))&amp;""&lt;&gt;"",INDEX(ctaVinc,MATCH(K15,ctaNombre,0))&amp;"",K15),K15))</f>
        <v/>
      </c>
      <c r="AD15" s="52">
        <f>IF(AB15="","",IFERROR(INDEX(ctaTipo,MATCH(AB15,ctaNombre,0))&amp;"",""))</f>
        <v/>
      </c>
      <c r="AE15" s="52">
        <f>IF(AC15="","",IFERROR(INDEX(ctaTipo,MATCH(AC15,ctaNombre,0))&amp;"",""))</f>
        <v/>
      </c>
      <c r="AF15" s="53">
        <f>IF(OR(P15="",AB15=""),"",IF(OR(P15="Gasto",P15="Transferencia",P15="Pago tarjeta"),-1,1)*IF(IFERROR(INDEX(ctaMoneda,MATCH(AB15,ctaNombre,0))&amp;"","DOP")="USD",T15,S15))</f>
        <v/>
      </c>
      <c r="AG15" s="53">
        <f>IF(AC15="","",IF(IFERROR(INDEX(ctaMoneda,MATCH(AC15,ctaNombre,0))&amp;"","DOP")="USD",T15,S15))</f>
        <v/>
      </c>
      <c r="AH15" s="53">
        <f>IF(P15="","",IF(AND(AD15&lt;&gt;"",COUNTIFS(tcTipo,AD15,tcLiq,"Sí")&gt;0),IF(OR(P15="Gasto",P15="Transferencia",P15="Pago tarjeta"),-1,1)*S15,0)+IF(AND(AE15&lt;&gt;"",COUNTIFS(tcTipo,AE15,tcLiq,"Sí")&gt;0),S15,0))</f>
        <v/>
      </c>
      <c r="AI15" s="52">
        <f>IF(OR(L15="",P15=""),"",IF(COUNTIFS(L$6:L15,L15,P$6:P15,"?*")=1,MAX(AI$5:AI14)+1,""))</f>
        <v/>
      </c>
    </row>
    <row r="16">
      <c r="B16" s="47" t="n">
        <v>46240</v>
      </c>
      <c r="C16" s="48" t="inlineStr">
        <is>
          <t>Gasto</t>
        </is>
      </c>
      <c r="D16" s="48" t="inlineStr">
        <is>
          <t>Alimentación</t>
        </is>
      </c>
      <c r="E16" s="48" t="inlineStr">
        <is>
          <t>Desayunos comprados</t>
        </is>
      </c>
      <c r="F16" s="48" t="inlineStr">
        <is>
          <t>DEMO · Desayuno en la oficina</t>
        </is>
      </c>
      <c r="G16" s="49" t="n">
        <v>220</v>
      </c>
      <c r="H16" s="48" t="inlineStr">
        <is>
          <t>DOP</t>
        </is>
      </c>
      <c r="I16" s="50" t="n"/>
      <c r="J16" s="48" t="inlineStr">
        <is>
          <t>Efectivo</t>
        </is>
      </c>
      <c r="K16" s="48" t="n"/>
      <c r="L16" s="48" t="inlineStr">
        <is>
          <t>Cafetería del trabajo</t>
        </is>
      </c>
      <c r="M16" s="48" t="n"/>
      <c r="N16" s="48" t="inlineStr">
        <is>
          <t>DEMOSTRACIÓN</t>
        </is>
      </c>
      <c r="O16" s="51">
        <f>IF(AND(B16="",G16="",C16="",D16="",J16=""),"",IF(B16="","⚠ Falta fecha",IF(G16="","⚠ Falta monto",IF(Q16="","⚠ Falta cuenta",IF(ISNA(MATCH(Q16,ctaNombre,0)),"⚠ Cuenta no registrada",IF(AND(OR(P16="Gasto",P16="Reembolso"),D16=""),"⚠ Falta categoría",IF(AND(D16&lt;&gt;"",E16&lt;&gt;"",ISNA(MATCH(D16&amp;"|"&amp;E16,catClave,0))),"⚠ Subcategoría no corresponde",IF(AND(OR(P16="Transferencia",P16="Pago tarjeta"),K16=""),"⚠ Falta cuenta destino",IF(AND(K16&lt;&gt;"",P16&lt;&gt;"Transferencia",P16&lt;&gt;"Pago tarjeta"),"⚠ Destino solo aplica a transferencias",IF(AND(K16&lt;&gt;"",K16=Q16),"⚠ Origen igual a destino",IF(AND(K16&lt;&gt;"",ISNA(MATCH(K16,ctaNombre,0))),"⚠ Destino no registrado",IF(AND(P16="Pago tarjeta",AE16&lt;&gt;"Tarjeta de crédito"),"⚠ El destino debe ser tarjeta de crédito",IF(AND(P16="Gasto",E16="Depósitos y retiros"),"⚠ Usa tipo Transferencia",IF(AND(P16="Resultado trading",AD16&lt;&gt;"Cuenta de trading"),"⚠ Usa una cuenta de trading",IF(AND(G16&lt;=0,P16&lt;&gt;"Ajuste",P16&lt;&gt;"Resultado trading"),"⚠ El monto debe ser positivo","✓")))))))))))))))</f>
        <v/>
      </c>
      <c r="P16" s="52">
        <f>IF(OR(B16="",G16=""),"",IF(C16="","Gasto",C16))</f>
        <v/>
      </c>
      <c r="Q16" s="52">
        <f>IF(P16="","",IF(J16&lt;&gt;"",J16,CuentaPred&amp;""))</f>
        <v/>
      </c>
      <c r="R16" s="52">
        <f>IF(P16="","",IF(ISNUMBER(I16),I16,TasaUSD))</f>
        <v/>
      </c>
      <c r="S16" s="53">
        <f>IF(P16="","",IF(H16="USD",G16*R16,G16))</f>
        <v/>
      </c>
      <c r="T16" s="53">
        <f>IF(P16="","",IF(H16="USD",G16,IF(R16&gt;0,G16/R16,0)))</f>
        <v/>
      </c>
      <c r="U16" s="53">
        <f>IF(P16="","",IF(P16="Gasto",S16,IF(P16="Reembolso",-S16,0)))</f>
        <v/>
      </c>
      <c r="V16" s="53">
        <f>IF(P16="","",IF(P16="Ingreso",S16,0))</f>
        <v/>
      </c>
      <c r="W16" s="53">
        <f>IF(P16="","",IF(P16="Resultado trading",S16,0))</f>
        <v/>
      </c>
      <c r="X16" s="52">
        <f>IF(OR(P16="Gasto",P16="Reembolso"),IF(M16&lt;&gt;"",M16,IFERROR(INDEX(catClasif,MATCH(D16&amp;"|"&amp;E16,catClave,0))&amp;"","Variable")),"")</f>
        <v/>
      </c>
      <c r="Y16" s="52">
        <f>IF(P16="","",IFERROR(INDEX(catGrupo,MATCH(D16&amp;"|"&amp;E16,catClave,0))&amp;"",""))</f>
        <v/>
      </c>
      <c r="Z16" s="52">
        <f>IF(P16="","",WEEKDAY(B16,2))</f>
        <v/>
      </c>
      <c r="AA16" s="52">
        <f>IF(P16="","",IF(AND(P16="Gasto",X16="Variable",D16&lt;&gt;catTrading,S16&gt;0,S16&lt;=Umbral),1,0))</f>
        <v/>
      </c>
      <c r="AB16" s="52">
        <f>IF(OR(P16="",Q16=""),"",IFERROR(IF(INDEX(ctaVinc,MATCH(Q16,ctaNombre,0))&amp;""&lt;&gt;"",INDEX(ctaVinc,MATCH(Q16,ctaNombre,0))&amp;"",Q16),Q16))</f>
        <v/>
      </c>
      <c r="AC16" s="52">
        <f>IF(OR(K16="",AND(P16&lt;&gt;"Transferencia",P16&lt;&gt;"Pago tarjeta")),"",IFERROR(IF(INDEX(ctaVinc,MATCH(K16,ctaNombre,0))&amp;""&lt;&gt;"",INDEX(ctaVinc,MATCH(K16,ctaNombre,0))&amp;"",K16),K16))</f>
        <v/>
      </c>
      <c r="AD16" s="52">
        <f>IF(AB16="","",IFERROR(INDEX(ctaTipo,MATCH(AB16,ctaNombre,0))&amp;"",""))</f>
        <v/>
      </c>
      <c r="AE16" s="52">
        <f>IF(AC16="","",IFERROR(INDEX(ctaTipo,MATCH(AC16,ctaNombre,0))&amp;"",""))</f>
        <v/>
      </c>
      <c r="AF16" s="53">
        <f>IF(OR(P16="",AB16=""),"",IF(OR(P16="Gasto",P16="Transferencia",P16="Pago tarjeta"),-1,1)*IF(IFERROR(INDEX(ctaMoneda,MATCH(AB16,ctaNombre,0))&amp;"","DOP")="USD",T16,S16))</f>
        <v/>
      </c>
      <c r="AG16" s="53">
        <f>IF(AC16="","",IF(IFERROR(INDEX(ctaMoneda,MATCH(AC16,ctaNombre,0))&amp;"","DOP")="USD",T16,S16))</f>
        <v/>
      </c>
      <c r="AH16" s="53">
        <f>IF(P16="","",IF(AND(AD16&lt;&gt;"",COUNTIFS(tcTipo,AD16,tcLiq,"Sí")&gt;0),IF(OR(P16="Gasto",P16="Transferencia",P16="Pago tarjeta"),-1,1)*S16,0)+IF(AND(AE16&lt;&gt;"",COUNTIFS(tcTipo,AE16,tcLiq,"Sí")&gt;0),S16,0))</f>
        <v/>
      </c>
      <c r="AI16" s="52">
        <f>IF(OR(L16="",P16=""),"",IF(COUNTIFS(L$6:L16,L16,P$6:P16,"?*")=1,MAX(AI$5:AI15)+1,""))</f>
        <v/>
      </c>
    </row>
    <row r="17">
      <c r="B17" s="47" t="n">
        <v>46240</v>
      </c>
      <c r="C17" s="48" t="inlineStr">
        <is>
          <t>Gasto</t>
        </is>
      </c>
      <c r="D17" s="48" t="inlineStr">
        <is>
          <t>Alimentación</t>
        </is>
      </c>
      <c r="E17" s="48" t="inlineStr">
        <is>
          <t>Almuerzos laborales</t>
        </is>
      </c>
      <c r="F17" s="48" t="inlineStr">
        <is>
          <t>DEMO · Almuerzo laboral</t>
        </is>
      </c>
      <c r="G17" s="49" t="n">
        <v>475</v>
      </c>
      <c r="H17" s="48" t="inlineStr">
        <is>
          <t>DOP</t>
        </is>
      </c>
      <c r="I17" s="50" t="n"/>
      <c r="J17" s="48" t="inlineStr">
        <is>
          <t>Billetera digital</t>
        </is>
      </c>
      <c r="K17" s="48" t="n"/>
      <c r="L17" s="48" t="inlineStr">
        <is>
          <t>Comedor ejecutivo</t>
        </is>
      </c>
      <c r="M17" s="48" t="n"/>
      <c r="N17" s="48" t="inlineStr">
        <is>
          <t>DEMOSTRACIÓN</t>
        </is>
      </c>
      <c r="O17" s="51">
        <f>IF(AND(B17="",G17="",C17="",D17="",J17=""),"",IF(B17="","⚠ Falta fecha",IF(G17="","⚠ Falta monto",IF(Q17="","⚠ Falta cuenta",IF(ISNA(MATCH(Q17,ctaNombre,0)),"⚠ Cuenta no registrada",IF(AND(OR(P17="Gasto",P17="Reembolso"),D17=""),"⚠ Falta categoría",IF(AND(D17&lt;&gt;"",E17&lt;&gt;"",ISNA(MATCH(D17&amp;"|"&amp;E17,catClave,0))),"⚠ Subcategoría no corresponde",IF(AND(OR(P17="Transferencia",P17="Pago tarjeta"),K17=""),"⚠ Falta cuenta destino",IF(AND(K17&lt;&gt;"",P17&lt;&gt;"Transferencia",P17&lt;&gt;"Pago tarjeta"),"⚠ Destino solo aplica a transferencias",IF(AND(K17&lt;&gt;"",K17=Q17),"⚠ Origen igual a destino",IF(AND(K17&lt;&gt;"",ISNA(MATCH(K17,ctaNombre,0))),"⚠ Destino no registrado",IF(AND(P17="Pago tarjeta",AE17&lt;&gt;"Tarjeta de crédito"),"⚠ El destino debe ser tarjeta de crédito",IF(AND(P17="Gasto",E17="Depósitos y retiros"),"⚠ Usa tipo Transferencia",IF(AND(P17="Resultado trading",AD17&lt;&gt;"Cuenta de trading"),"⚠ Usa una cuenta de trading",IF(AND(G17&lt;=0,P17&lt;&gt;"Ajuste",P17&lt;&gt;"Resultado trading"),"⚠ El monto debe ser positivo","✓")))))))))))))))</f>
        <v/>
      </c>
      <c r="P17" s="52">
        <f>IF(OR(B17="",G17=""),"",IF(C17="","Gasto",C17))</f>
        <v/>
      </c>
      <c r="Q17" s="52">
        <f>IF(P17="","",IF(J17&lt;&gt;"",J17,CuentaPred&amp;""))</f>
        <v/>
      </c>
      <c r="R17" s="52">
        <f>IF(P17="","",IF(ISNUMBER(I17),I17,TasaUSD))</f>
        <v/>
      </c>
      <c r="S17" s="53">
        <f>IF(P17="","",IF(H17="USD",G17*R17,G17))</f>
        <v/>
      </c>
      <c r="T17" s="53">
        <f>IF(P17="","",IF(H17="USD",G17,IF(R17&gt;0,G17/R17,0)))</f>
        <v/>
      </c>
      <c r="U17" s="53">
        <f>IF(P17="","",IF(P17="Gasto",S17,IF(P17="Reembolso",-S17,0)))</f>
        <v/>
      </c>
      <c r="V17" s="53">
        <f>IF(P17="","",IF(P17="Ingreso",S17,0))</f>
        <v/>
      </c>
      <c r="W17" s="53">
        <f>IF(P17="","",IF(P17="Resultado trading",S17,0))</f>
        <v/>
      </c>
      <c r="X17" s="52">
        <f>IF(OR(P17="Gasto",P17="Reembolso"),IF(M17&lt;&gt;"",M17,IFERROR(INDEX(catClasif,MATCH(D17&amp;"|"&amp;E17,catClave,0))&amp;"","Variable")),"")</f>
        <v/>
      </c>
      <c r="Y17" s="52">
        <f>IF(P17="","",IFERROR(INDEX(catGrupo,MATCH(D17&amp;"|"&amp;E17,catClave,0))&amp;"",""))</f>
        <v/>
      </c>
      <c r="Z17" s="52">
        <f>IF(P17="","",WEEKDAY(B17,2))</f>
        <v/>
      </c>
      <c r="AA17" s="52">
        <f>IF(P17="","",IF(AND(P17="Gasto",X17="Variable",D17&lt;&gt;catTrading,S17&gt;0,S17&lt;=Umbral),1,0))</f>
        <v/>
      </c>
      <c r="AB17" s="52">
        <f>IF(OR(P17="",Q17=""),"",IFERROR(IF(INDEX(ctaVinc,MATCH(Q17,ctaNombre,0))&amp;""&lt;&gt;"",INDEX(ctaVinc,MATCH(Q17,ctaNombre,0))&amp;"",Q17),Q17))</f>
        <v/>
      </c>
      <c r="AC17" s="52">
        <f>IF(OR(K17="",AND(P17&lt;&gt;"Transferencia",P17&lt;&gt;"Pago tarjeta")),"",IFERROR(IF(INDEX(ctaVinc,MATCH(K17,ctaNombre,0))&amp;""&lt;&gt;"",INDEX(ctaVinc,MATCH(K17,ctaNombre,0))&amp;"",K17),K17))</f>
        <v/>
      </c>
      <c r="AD17" s="52">
        <f>IF(AB17="","",IFERROR(INDEX(ctaTipo,MATCH(AB17,ctaNombre,0))&amp;"",""))</f>
        <v/>
      </c>
      <c r="AE17" s="52">
        <f>IF(AC17="","",IFERROR(INDEX(ctaTipo,MATCH(AC17,ctaNombre,0))&amp;"",""))</f>
        <v/>
      </c>
      <c r="AF17" s="53">
        <f>IF(OR(P17="",AB17=""),"",IF(OR(P17="Gasto",P17="Transferencia",P17="Pago tarjeta"),-1,1)*IF(IFERROR(INDEX(ctaMoneda,MATCH(AB17,ctaNombre,0))&amp;"","DOP")="USD",T17,S17))</f>
        <v/>
      </c>
      <c r="AG17" s="53">
        <f>IF(AC17="","",IF(IFERROR(INDEX(ctaMoneda,MATCH(AC17,ctaNombre,0))&amp;"","DOP")="USD",T17,S17))</f>
        <v/>
      </c>
      <c r="AH17" s="53">
        <f>IF(P17="","",IF(AND(AD17&lt;&gt;"",COUNTIFS(tcTipo,AD17,tcLiq,"Sí")&gt;0),IF(OR(P17="Gasto",P17="Transferencia",P17="Pago tarjeta"),-1,1)*S17,0)+IF(AND(AE17&lt;&gt;"",COUNTIFS(tcTipo,AE17,tcLiq,"Sí")&gt;0),S17,0))</f>
        <v/>
      </c>
      <c r="AI17" s="52">
        <f>IF(OR(L17="",P17=""),"",IF(COUNTIFS(L$6:L17,L17,P$6:P17,"?*")=1,MAX(AI$5:AI16)+1,""))</f>
        <v/>
      </c>
    </row>
    <row r="18">
      <c r="B18" s="47" t="n">
        <v>46240</v>
      </c>
      <c r="C18" s="48" t="inlineStr">
        <is>
          <t>Gasto</t>
        </is>
      </c>
      <c r="D18" s="48" t="inlineStr">
        <is>
          <t>Transporte y vehículo</t>
        </is>
      </c>
      <c r="E18" s="48" t="inlineStr">
        <is>
          <t>Parqueos y peajes</t>
        </is>
      </c>
      <c r="F18" s="48" t="inlineStr">
        <is>
          <t>DEMO · Parqueo</t>
        </is>
      </c>
      <c r="G18" s="49" t="n">
        <v>100</v>
      </c>
      <c r="H18" s="48" t="inlineStr">
        <is>
          <t>DOP</t>
        </is>
      </c>
      <c r="I18" s="50" t="n"/>
      <c r="J18" s="48" t="inlineStr">
        <is>
          <t>Efectivo</t>
        </is>
      </c>
      <c r="K18" s="48" t="n"/>
      <c r="L18" s="48" t="inlineStr">
        <is>
          <t>Parqueo centro</t>
        </is>
      </c>
      <c r="M18" s="48" t="n"/>
      <c r="N18" s="48" t="inlineStr">
        <is>
          <t>DEMOSTRACIÓN</t>
        </is>
      </c>
      <c r="O18" s="51">
        <f>IF(AND(B18="",G18="",C18="",D18="",J18=""),"",IF(B18="","⚠ Falta fecha",IF(G18="","⚠ Falta monto",IF(Q18="","⚠ Falta cuenta",IF(ISNA(MATCH(Q18,ctaNombre,0)),"⚠ Cuenta no registrada",IF(AND(OR(P18="Gasto",P18="Reembolso"),D18=""),"⚠ Falta categoría",IF(AND(D18&lt;&gt;"",E18&lt;&gt;"",ISNA(MATCH(D18&amp;"|"&amp;E18,catClave,0))),"⚠ Subcategoría no corresponde",IF(AND(OR(P18="Transferencia",P18="Pago tarjeta"),K18=""),"⚠ Falta cuenta destino",IF(AND(K18&lt;&gt;"",P18&lt;&gt;"Transferencia",P18&lt;&gt;"Pago tarjeta"),"⚠ Destino solo aplica a transferencias",IF(AND(K18&lt;&gt;"",K18=Q18),"⚠ Origen igual a destino",IF(AND(K18&lt;&gt;"",ISNA(MATCH(K18,ctaNombre,0))),"⚠ Destino no registrado",IF(AND(P18="Pago tarjeta",AE18&lt;&gt;"Tarjeta de crédito"),"⚠ El destino debe ser tarjeta de crédito",IF(AND(P18="Gasto",E18="Depósitos y retiros"),"⚠ Usa tipo Transferencia",IF(AND(P18="Resultado trading",AD18&lt;&gt;"Cuenta de trading"),"⚠ Usa una cuenta de trading",IF(AND(G18&lt;=0,P18&lt;&gt;"Ajuste",P18&lt;&gt;"Resultado trading"),"⚠ El monto debe ser positivo","✓")))))))))))))))</f>
        <v/>
      </c>
      <c r="P18" s="52">
        <f>IF(OR(B18="",G18=""),"",IF(C18="","Gasto",C18))</f>
        <v/>
      </c>
      <c r="Q18" s="52">
        <f>IF(P18="","",IF(J18&lt;&gt;"",J18,CuentaPred&amp;""))</f>
        <v/>
      </c>
      <c r="R18" s="52">
        <f>IF(P18="","",IF(ISNUMBER(I18),I18,TasaUSD))</f>
        <v/>
      </c>
      <c r="S18" s="53">
        <f>IF(P18="","",IF(H18="USD",G18*R18,G18))</f>
        <v/>
      </c>
      <c r="T18" s="53">
        <f>IF(P18="","",IF(H18="USD",G18,IF(R18&gt;0,G18/R18,0)))</f>
        <v/>
      </c>
      <c r="U18" s="53">
        <f>IF(P18="","",IF(P18="Gasto",S18,IF(P18="Reembolso",-S18,0)))</f>
        <v/>
      </c>
      <c r="V18" s="53">
        <f>IF(P18="","",IF(P18="Ingreso",S18,0))</f>
        <v/>
      </c>
      <c r="W18" s="53">
        <f>IF(P18="","",IF(P18="Resultado trading",S18,0))</f>
        <v/>
      </c>
      <c r="X18" s="52">
        <f>IF(OR(P18="Gasto",P18="Reembolso"),IF(M18&lt;&gt;"",M18,IFERROR(INDEX(catClasif,MATCH(D18&amp;"|"&amp;E18,catClave,0))&amp;"","Variable")),"")</f>
        <v/>
      </c>
      <c r="Y18" s="52">
        <f>IF(P18="","",IFERROR(INDEX(catGrupo,MATCH(D18&amp;"|"&amp;E18,catClave,0))&amp;"",""))</f>
        <v/>
      </c>
      <c r="Z18" s="52">
        <f>IF(P18="","",WEEKDAY(B18,2))</f>
        <v/>
      </c>
      <c r="AA18" s="52">
        <f>IF(P18="","",IF(AND(P18="Gasto",X18="Variable",D18&lt;&gt;catTrading,S18&gt;0,S18&lt;=Umbral),1,0))</f>
        <v/>
      </c>
      <c r="AB18" s="52">
        <f>IF(OR(P18="",Q18=""),"",IFERROR(IF(INDEX(ctaVinc,MATCH(Q18,ctaNombre,0))&amp;""&lt;&gt;"",INDEX(ctaVinc,MATCH(Q18,ctaNombre,0))&amp;"",Q18),Q18))</f>
        <v/>
      </c>
      <c r="AC18" s="52">
        <f>IF(OR(K18="",AND(P18&lt;&gt;"Transferencia",P18&lt;&gt;"Pago tarjeta")),"",IFERROR(IF(INDEX(ctaVinc,MATCH(K18,ctaNombre,0))&amp;""&lt;&gt;"",INDEX(ctaVinc,MATCH(K18,ctaNombre,0))&amp;"",K18),K18))</f>
        <v/>
      </c>
      <c r="AD18" s="52">
        <f>IF(AB18="","",IFERROR(INDEX(ctaTipo,MATCH(AB18,ctaNombre,0))&amp;"",""))</f>
        <v/>
      </c>
      <c r="AE18" s="52">
        <f>IF(AC18="","",IFERROR(INDEX(ctaTipo,MATCH(AC18,ctaNombre,0))&amp;"",""))</f>
        <v/>
      </c>
      <c r="AF18" s="53">
        <f>IF(OR(P18="",AB18=""),"",IF(OR(P18="Gasto",P18="Transferencia",P18="Pago tarjeta"),-1,1)*IF(IFERROR(INDEX(ctaMoneda,MATCH(AB18,ctaNombre,0))&amp;"","DOP")="USD",T18,S18))</f>
        <v/>
      </c>
      <c r="AG18" s="53">
        <f>IF(AC18="","",IF(IFERROR(INDEX(ctaMoneda,MATCH(AC18,ctaNombre,0))&amp;"","DOP")="USD",T18,S18))</f>
        <v/>
      </c>
      <c r="AH18" s="53">
        <f>IF(P18="","",IF(AND(AD18&lt;&gt;"",COUNTIFS(tcTipo,AD18,tcLiq,"Sí")&gt;0),IF(OR(P18="Gasto",P18="Transferencia",P18="Pago tarjeta"),-1,1)*S18,0)+IF(AND(AE18&lt;&gt;"",COUNTIFS(tcTipo,AE18,tcLiq,"Sí")&gt;0),S18,0))</f>
        <v/>
      </c>
      <c r="AI18" s="52">
        <f>IF(OR(L18="",P18=""),"",IF(COUNTIFS(L$6:L18,L18,P$6:P18,"?*")=1,MAX(AI$5:AI17)+1,""))</f>
        <v/>
      </c>
    </row>
    <row r="19">
      <c r="B19" s="47" t="n">
        <v>46240</v>
      </c>
      <c r="C19" s="48" t="inlineStr">
        <is>
          <t>Transferencia</t>
        </is>
      </c>
      <c r="D19" s="48" t="inlineStr">
        <is>
          <t>Trading y actividades financieras</t>
        </is>
      </c>
      <c r="E19" s="48" t="inlineStr">
        <is>
          <t>Depósitos y retiros</t>
        </is>
      </c>
      <c r="F19" s="48" t="inlineStr">
        <is>
          <t>DEMO · Depósito a cuenta de trading</t>
        </is>
      </c>
      <c r="G19" s="49" t="n">
        <v>15750</v>
      </c>
      <c r="H19" s="48" t="inlineStr">
        <is>
          <t>DOP</t>
        </is>
      </c>
      <c r="I19" s="50" t="n">
        <v>63</v>
      </c>
      <c r="J19" s="48" t="inlineStr">
        <is>
          <t>Banco principal</t>
        </is>
      </c>
      <c r="K19" s="48" t="inlineStr">
        <is>
          <t>Cuenta de trading</t>
        </is>
      </c>
      <c r="L19" s="48" t="n"/>
      <c r="M19" s="48" t="n"/>
      <c r="N19" s="48" t="inlineStr">
        <is>
          <t>DEMOSTRACIÓN</t>
        </is>
      </c>
      <c r="O19" s="51">
        <f>IF(AND(B19="",G19="",C19="",D19="",J19=""),"",IF(B19="","⚠ Falta fecha",IF(G19="","⚠ Falta monto",IF(Q19="","⚠ Falta cuenta",IF(ISNA(MATCH(Q19,ctaNombre,0)),"⚠ Cuenta no registrada",IF(AND(OR(P19="Gasto",P19="Reembolso"),D19=""),"⚠ Falta categoría",IF(AND(D19&lt;&gt;"",E19&lt;&gt;"",ISNA(MATCH(D19&amp;"|"&amp;E19,catClave,0))),"⚠ Subcategoría no corresponde",IF(AND(OR(P19="Transferencia",P19="Pago tarjeta"),K19=""),"⚠ Falta cuenta destino",IF(AND(K19&lt;&gt;"",P19&lt;&gt;"Transferencia",P19&lt;&gt;"Pago tarjeta"),"⚠ Destino solo aplica a transferencias",IF(AND(K19&lt;&gt;"",K19=Q19),"⚠ Origen igual a destino",IF(AND(K19&lt;&gt;"",ISNA(MATCH(K19,ctaNombre,0))),"⚠ Destino no registrado",IF(AND(P19="Pago tarjeta",AE19&lt;&gt;"Tarjeta de crédito"),"⚠ El destino debe ser tarjeta de crédito",IF(AND(P19="Gasto",E19="Depósitos y retiros"),"⚠ Usa tipo Transferencia",IF(AND(P19="Resultado trading",AD19&lt;&gt;"Cuenta de trading"),"⚠ Usa una cuenta de trading",IF(AND(G19&lt;=0,P19&lt;&gt;"Ajuste",P19&lt;&gt;"Resultado trading"),"⚠ El monto debe ser positivo","✓")))))))))))))))</f>
        <v/>
      </c>
      <c r="P19" s="52">
        <f>IF(OR(B19="",G19=""),"",IF(C19="","Gasto",C19))</f>
        <v/>
      </c>
      <c r="Q19" s="52">
        <f>IF(P19="","",IF(J19&lt;&gt;"",J19,CuentaPred&amp;""))</f>
        <v/>
      </c>
      <c r="R19" s="52">
        <f>IF(P19="","",IF(ISNUMBER(I19),I19,TasaUSD))</f>
        <v/>
      </c>
      <c r="S19" s="53">
        <f>IF(P19="","",IF(H19="USD",G19*R19,G19))</f>
        <v/>
      </c>
      <c r="T19" s="53">
        <f>IF(P19="","",IF(H19="USD",G19,IF(R19&gt;0,G19/R19,0)))</f>
        <v/>
      </c>
      <c r="U19" s="53">
        <f>IF(P19="","",IF(P19="Gasto",S19,IF(P19="Reembolso",-S19,0)))</f>
        <v/>
      </c>
      <c r="V19" s="53">
        <f>IF(P19="","",IF(P19="Ingreso",S19,0))</f>
        <v/>
      </c>
      <c r="W19" s="53">
        <f>IF(P19="","",IF(P19="Resultado trading",S19,0))</f>
        <v/>
      </c>
      <c r="X19" s="52">
        <f>IF(OR(P19="Gasto",P19="Reembolso"),IF(M19&lt;&gt;"",M19,IFERROR(INDEX(catClasif,MATCH(D19&amp;"|"&amp;E19,catClave,0))&amp;"","Variable")),"")</f>
        <v/>
      </c>
      <c r="Y19" s="52">
        <f>IF(P19="","",IFERROR(INDEX(catGrupo,MATCH(D19&amp;"|"&amp;E19,catClave,0))&amp;"",""))</f>
        <v/>
      </c>
      <c r="Z19" s="52">
        <f>IF(P19="","",WEEKDAY(B19,2))</f>
        <v/>
      </c>
      <c r="AA19" s="52">
        <f>IF(P19="","",IF(AND(P19="Gasto",X19="Variable",D19&lt;&gt;catTrading,S19&gt;0,S19&lt;=Umbral),1,0))</f>
        <v/>
      </c>
      <c r="AB19" s="52">
        <f>IF(OR(P19="",Q19=""),"",IFERROR(IF(INDEX(ctaVinc,MATCH(Q19,ctaNombre,0))&amp;""&lt;&gt;"",INDEX(ctaVinc,MATCH(Q19,ctaNombre,0))&amp;"",Q19),Q19))</f>
        <v/>
      </c>
      <c r="AC19" s="52">
        <f>IF(OR(K19="",AND(P19&lt;&gt;"Transferencia",P19&lt;&gt;"Pago tarjeta")),"",IFERROR(IF(INDEX(ctaVinc,MATCH(K19,ctaNombre,0))&amp;""&lt;&gt;"",INDEX(ctaVinc,MATCH(K19,ctaNombre,0))&amp;"",K19),K19))</f>
        <v/>
      </c>
      <c r="AD19" s="52">
        <f>IF(AB19="","",IFERROR(INDEX(ctaTipo,MATCH(AB19,ctaNombre,0))&amp;"",""))</f>
        <v/>
      </c>
      <c r="AE19" s="52">
        <f>IF(AC19="","",IFERROR(INDEX(ctaTipo,MATCH(AC19,ctaNombre,0))&amp;"",""))</f>
        <v/>
      </c>
      <c r="AF19" s="53">
        <f>IF(OR(P19="",AB19=""),"",IF(OR(P19="Gasto",P19="Transferencia",P19="Pago tarjeta"),-1,1)*IF(IFERROR(INDEX(ctaMoneda,MATCH(AB19,ctaNombre,0))&amp;"","DOP")="USD",T19,S19))</f>
        <v/>
      </c>
      <c r="AG19" s="53">
        <f>IF(AC19="","",IF(IFERROR(INDEX(ctaMoneda,MATCH(AC19,ctaNombre,0))&amp;"","DOP")="USD",T19,S19))</f>
        <v/>
      </c>
      <c r="AH19" s="53">
        <f>IF(P19="","",IF(AND(AD19&lt;&gt;"",COUNTIFS(tcTipo,AD19,tcLiq,"Sí")&gt;0),IF(OR(P19="Gasto",P19="Transferencia",P19="Pago tarjeta"),-1,1)*S19,0)+IF(AND(AE19&lt;&gt;"",COUNTIFS(tcTipo,AE19,tcLiq,"Sí")&gt;0),S19,0))</f>
        <v/>
      </c>
      <c r="AI19" s="52">
        <f>IF(OR(L19="",P19=""),"",IF(COUNTIFS(L$6:L19,L19,P$6:P19,"?*")=1,MAX(AI$5:AI18)+1,""))</f>
        <v/>
      </c>
    </row>
    <row r="20">
      <c r="B20" s="47" t="n">
        <v>46241</v>
      </c>
      <c r="C20" s="48" t="inlineStr">
        <is>
          <t>Gasto</t>
        </is>
      </c>
      <c r="D20" s="48" t="inlineStr">
        <is>
          <t>Alimentación</t>
        </is>
      </c>
      <c r="E20" s="48" t="inlineStr">
        <is>
          <t>Almuerzos laborales</t>
        </is>
      </c>
      <c r="F20" s="48" t="inlineStr">
        <is>
          <t>DEMO · Almuerzo laboral</t>
        </is>
      </c>
      <c r="G20" s="49" t="n">
        <v>575</v>
      </c>
      <c r="H20" s="48" t="inlineStr">
        <is>
          <t>DOP</t>
        </is>
      </c>
      <c r="I20" s="50" t="n"/>
      <c r="J20" s="48" t="inlineStr">
        <is>
          <t>Billetera digital</t>
        </is>
      </c>
      <c r="K20" s="48" t="n"/>
      <c r="L20" s="48" t="inlineStr">
        <is>
          <t>Comedor ejecutivo</t>
        </is>
      </c>
      <c r="M20" s="48" t="n"/>
      <c r="N20" s="48" t="inlineStr">
        <is>
          <t>DEMOSTRACIÓN</t>
        </is>
      </c>
      <c r="O20" s="51">
        <f>IF(AND(B20="",G20="",C20="",D20="",J20=""),"",IF(B20="","⚠ Falta fecha",IF(G20="","⚠ Falta monto",IF(Q20="","⚠ Falta cuenta",IF(ISNA(MATCH(Q20,ctaNombre,0)),"⚠ Cuenta no registrada",IF(AND(OR(P20="Gasto",P20="Reembolso"),D20=""),"⚠ Falta categoría",IF(AND(D20&lt;&gt;"",E20&lt;&gt;"",ISNA(MATCH(D20&amp;"|"&amp;E20,catClave,0))),"⚠ Subcategoría no corresponde",IF(AND(OR(P20="Transferencia",P20="Pago tarjeta"),K20=""),"⚠ Falta cuenta destino",IF(AND(K20&lt;&gt;"",P20&lt;&gt;"Transferencia",P20&lt;&gt;"Pago tarjeta"),"⚠ Destino solo aplica a transferencias",IF(AND(K20&lt;&gt;"",K20=Q20),"⚠ Origen igual a destino",IF(AND(K20&lt;&gt;"",ISNA(MATCH(K20,ctaNombre,0))),"⚠ Destino no registrado",IF(AND(P20="Pago tarjeta",AE20&lt;&gt;"Tarjeta de crédito"),"⚠ El destino debe ser tarjeta de crédito",IF(AND(P20="Gasto",E20="Depósitos y retiros"),"⚠ Usa tipo Transferencia",IF(AND(P20="Resultado trading",AD20&lt;&gt;"Cuenta de trading"),"⚠ Usa una cuenta de trading",IF(AND(G20&lt;=0,P20&lt;&gt;"Ajuste",P20&lt;&gt;"Resultado trading"),"⚠ El monto debe ser positivo","✓")))))))))))))))</f>
        <v/>
      </c>
      <c r="P20" s="52">
        <f>IF(OR(B20="",G20=""),"",IF(C20="","Gasto",C20))</f>
        <v/>
      </c>
      <c r="Q20" s="52">
        <f>IF(P20="","",IF(J20&lt;&gt;"",J20,CuentaPred&amp;""))</f>
        <v/>
      </c>
      <c r="R20" s="52">
        <f>IF(P20="","",IF(ISNUMBER(I20),I20,TasaUSD))</f>
        <v/>
      </c>
      <c r="S20" s="53">
        <f>IF(P20="","",IF(H20="USD",G20*R20,G20))</f>
        <v/>
      </c>
      <c r="T20" s="53">
        <f>IF(P20="","",IF(H20="USD",G20,IF(R20&gt;0,G20/R20,0)))</f>
        <v/>
      </c>
      <c r="U20" s="53">
        <f>IF(P20="","",IF(P20="Gasto",S20,IF(P20="Reembolso",-S20,0)))</f>
        <v/>
      </c>
      <c r="V20" s="53">
        <f>IF(P20="","",IF(P20="Ingreso",S20,0))</f>
        <v/>
      </c>
      <c r="W20" s="53">
        <f>IF(P20="","",IF(P20="Resultado trading",S20,0))</f>
        <v/>
      </c>
      <c r="X20" s="52">
        <f>IF(OR(P20="Gasto",P20="Reembolso"),IF(M20&lt;&gt;"",M20,IFERROR(INDEX(catClasif,MATCH(D20&amp;"|"&amp;E20,catClave,0))&amp;"","Variable")),"")</f>
        <v/>
      </c>
      <c r="Y20" s="52">
        <f>IF(P20="","",IFERROR(INDEX(catGrupo,MATCH(D20&amp;"|"&amp;E20,catClave,0))&amp;"",""))</f>
        <v/>
      </c>
      <c r="Z20" s="52">
        <f>IF(P20="","",WEEKDAY(B20,2))</f>
        <v/>
      </c>
      <c r="AA20" s="52">
        <f>IF(P20="","",IF(AND(P20="Gasto",X20="Variable",D20&lt;&gt;catTrading,S20&gt;0,S20&lt;=Umbral),1,0))</f>
        <v/>
      </c>
      <c r="AB20" s="52">
        <f>IF(OR(P20="",Q20=""),"",IFERROR(IF(INDEX(ctaVinc,MATCH(Q20,ctaNombre,0))&amp;""&lt;&gt;"",INDEX(ctaVinc,MATCH(Q20,ctaNombre,0))&amp;"",Q20),Q20))</f>
        <v/>
      </c>
      <c r="AC20" s="52">
        <f>IF(OR(K20="",AND(P20&lt;&gt;"Transferencia",P20&lt;&gt;"Pago tarjeta")),"",IFERROR(IF(INDEX(ctaVinc,MATCH(K20,ctaNombre,0))&amp;""&lt;&gt;"",INDEX(ctaVinc,MATCH(K20,ctaNombre,0))&amp;"",K20),K20))</f>
        <v/>
      </c>
      <c r="AD20" s="52">
        <f>IF(AB20="","",IFERROR(INDEX(ctaTipo,MATCH(AB20,ctaNombre,0))&amp;"",""))</f>
        <v/>
      </c>
      <c r="AE20" s="52">
        <f>IF(AC20="","",IFERROR(INDEX(ctaTipo,MATCH(AC20,ctaNombre,0))&amp;"",""))</f>
        <v/>
      </c>
      <c r="AF20" s="53">
        <f>IF(OR(P20="",AB20=""),"",IF(OR(P20="Gasto",P20="Transferencia",P20="Pago tarjeta"),-1,1)*IF(IFERROR(INDEX(ctaMoneda,MATCH(AB20,ctaNombre,0))&amp;"","DOP")="USD",T20,S20))</f>
        <v/>
      </c>
      <c r="AG20" s="53">
        <f>IF(AC20="","",IF(IFERROR(INDEX(ctaMoneda,MATCH(AC20,ctaNombre,0))&amp;"","DOP")="USD",T20,S20))</f>
        <v/>
      </c>
      <c r="AH20" s="53">
        <f>IF(P20="","",IF(AND(AD20&lt;&gt;"",COUNTIFS(tcTipo,AD20,tcLiq,"Sí")&gt;0),IF(OR(P20="Gasto",P20="Transferencia",P20="Pago tarjeta"),-1,1)*S20,0)+IF(AND(AE20&lt;&gt;"",COUNTIFS(tcTipo,AE20,tcLiq,"Sí")&gt;0),S20,0))</f>
        <v/>
      </c>
      <c r="AI20" s="52">
        <f>IF(OR(L20="",P20=""),"",IF(COUNTIFS(L$6:L20,L20,P$6:P20,"?*")=1,MAX(AI$5:AI19)+1,""))</f>
        <v/>
      </c>
    </row>
    <row r="21">
      <c r="B21" s="47" t="n">
        <v>46241</v>
      </c>
      <c r="C21" s="48" t="inlineStr">
        <is>
          <t>Gasto</t>
        </is>
      </c>
      <c r="D21" s="48" t="inlineStr">
        <is>
          <t>Alimentación</t>
        </is>
      </c>
      <c r="E21" s="48" t="inlineStr">
        <is>
          <t>Bebidas, snacks y otros consumos</t>
        </is>
      </c>
      <c r="F21" s="48" t="inlineStr">
        <is>
          <t>DEMO · Jugo y galletas</t>
        </is>
      </c>
      <c r="G21" s="49" t="n">
        <v>130</v>
      </c>
      <c r="H21" s="48" t="inlineStr">
        <is>
          <t>DOP</t>
        </is>
      </c>
      <c r="I21" s="50" t="n"/>
      <c r="J21" s="48" t="inlineStr">
        <is>
          <t>Billetera digital</t>
        </is>
      </c>
      <c r="K21" s="48" t="n"/>
      <c r="L21" s="48" t="inlineStr">
        <is>
          <t>Colmado del barrio</t>
        </is>
      </c>
      <c r="M21" s="48" t="n"/>
      <c r="N21" s="48" t="inlineStr">
        <is>
          <t>DEMOSTRACIÓN</t>
        </is>
      </c>
      <c r="O21" s="51">
        <f>IF(AND(B21="",G21="",C21="",D21="",J21=""),"",IF(B21="","⚠ Falta fecha",IF(G21="","⚠ Falta monto",IF(Q21="","⚠ Falta cuenta",IF(ISNA(MATCH(Q21,ctaNombre,0)),"⚠ Cuenta no registrada",IF(AND(OR(P21="Gasto",P21="Reembolso"),D21=""),"⚠ Falta categoría",IF(AND(D21&lt;&gt;"",E21&lt;&gt;"",ISNA(MATCH(D21&amp;"|"&amp;E21,catClave,0))),"⚠ Subcategoría no corresponde",IF(AND(OR(P21="Transferencia",P21="Pago tarjeta"),K21=""),"⚠ Falta cuenta destino",IF(AND(K21&lt;&gt;"",P21&lt;&gt;"Transferencia",P21&lt;&gt;"Pago tarjeta"),"⚠ Destino solo aplica a transferencias",IF(AND(K21&lt;&gt;"",K21=Q21),"⚠ Origen igual a destino",IF(AND(K21&lt;&gt;"",ISNA(MATCH(K21,ctaNombre,0))),"⚠ Destino no registrado",IF(AND(P21="Pago tarjeta",AE21&lt;&gt;"Tarjeta de crédito"),"⚠ El destino debe ser tarjeta de crédito",IF(AND(P21="Gasto",E21="Depósitos y retiros"),"⚠ Usa tipo Transferencia",IF(AND(P21="Resultado trading",AD21&lt;&gt;"Cuenta de trading"),"⚠ Usa una cuenta de trading",IF(AND(G21&lt;=0,P21&lt;&gt;"Ajuste",P21&lt;&gt;"Resultado trading"),"⚠ El monto debe ser positivo","✓")))))))))))))))</f>
        <v/>
      </c>
      <c r="P21" s="52">
        <f>IF(OR(B21="",G21=""),"",IF(C21="","Gasto",C21))</f>
        <v/>
      </c>
      <c r="Q21" s="52">
        <f>IF(P21="","",IF(J21&lt;&gt;"",J21,CuentaPred&amp;""))</f>
        <v/>
      </c>
      <c r="R21" s="52">
        <f>IF(P21="","",IF(ISNUMBER(I21),I21,TasaUSD))</f>
        <v/>
      </c>
      <c r="S21" s="53">
        <f>IF(P21="","",IF(H21="USD",G21*R21,G21))</f>
        <v/>
      </c>
      <c r="T21" s="53">
        <f>IF(P21="","",IF(H21="USD",G21,IF(R21&gt;0,G21/R21,0)))</f>
        <v/>
      </c>
      <c r="U21" s="53">
        <f>IF(P21="","",IF(P21="Gasto",S21,IF(P21="Reembolso",-S21,0)))</f>
        <v/>
      </c>
      <c r="V21" s="53">
        <f>IF(P21="","",IF(P21="Ingreso",S21,0))</f>
        <v/>
      </c>
      <c r="W21" s="53">
        <f>IF(P21="","",IF(P21="Resultado trading",S21,0))</f>
        <v/>
      </c>
      <c r="X21" s="52">
        <f>IF(OR(P21="Gasto",P21="Reembolso"),IF(M21&lt;&gt;"",M21,IFERROR(INDEX(catClasif,MATCH(D21&amp;"|"&amp;E21,catClave,0))&amp;"","Variable")),"")</f>
        <v/>
      </c>
      <c r="Y21" s="52">
        <f>IF(P21="","",IFERROR(INDEX(catGrupo,MATCH(D21&amp;"|"&amp;E21,catClave,0))&amp;"",""))</f>
        <v/>
      </c>
      <c r="Z21" s="52">
        <f>IF(P21="","",WEEKDAY(B21,2))</f>
        <v/>
      </c>
      <c r="AA21" s="52">
        <f>IF(P21="","",IF(AND(P21="Gasto",X21="Variable",D21&lt;&gt;catTrading,S21&gt;0,S21&lt;=Umbral),1,0))</f>
        <v/>
      </c>
      <c r="AB21" s="52">
        <f>IF(OR(P21="",Q21=""),"",IFERROR(IF(INDEX(ctaVinc,MATCH(Q21,ctaNombre,0))&amp;""&lt;&gt;"",INDEX(ctaVinc,MATCH(Q21,ctaNombre,0))&amp;"",Q21),Q21))</f>
        <v/>
      </c>
      <c r="AC21" s="52">
        <f>IF(OR(K21="",AND(P21&lt;&gt;"Transferencia",P21&lt;&gt;"Pago tarjeta")),"",IFERROR(IF(INDEX(ctaVinc,MATCH(K21,ctaNombre,0))&amp;""&lt;&gt;"",INDEX(ctaVinc,MATCH(K21,ctaNombre,0))&amp;"",K21),K21))</f>
        <v/>
      </c>
      <c r="AD21" s="52">
        <f>IF(AB21="","",IFERROR(INDEX(ctaTipo,MATCH(AB21,ctaNombre,0))&amp;"",""))</f>
        <v/>
      </c>
      <c r="AE21" s="52">
        <f>IF(AC21="","",IFERROR(INDEX(ctaTipo,MATCH(AC21,ctaNombre,0))&amp;"",""))</f>
        <v/>
      </c>
      <c r="AF21" s="53">
        <f>IF(OR(P21="",AB21=""),"",IF(OR(P21="Gasto",P21="Transferencia",P21="Pago tarjeta"),-1,1)*IF(IFERROR(INDEX(ctaMoneda,MATCH(AB21,ctaNombre,0))&amp;"","DOP")="USD",T21,S21))</f>
        <v/>
      </c>
      <c r="AG21" s="53">
        <f>IF(AC21="","",IF(IFERROR(INDEX(ctaMoneda,MATCH(AC21,ctaNombre,0))&amp;"","DOP")="USD",T21,S21))</f>
        <v/>
      </c>
      <c r="AH21" s="53">
        <f>IF(P21="","",IF(AND(AD21&lt;&gt;"",COUNTIFS(tcTipo,AD21,tcLiq,"Sí")&gt;0),IF(OR(P21="Gasto",P21="Transferencia",P21="Pago tarjeta"),-1,1)*S21,0)+IF(AND(AE21&lt;&gt;"",COUNTIFS(tcTipo,AE21,tcLiq,"Sí")&gt;0),S21,0))</f>
        <v/>
      </c>
      <c r="AI21" s="52">
        <f>IF(OR(L21="",P21=""),"",IF(COUNTIFS(L$6:L21,L21,P$6:P21,"?*")=1,MAX(AI$5:AI20)+1,""))</f>
        <v/>
      </c>
    </row>
    <row r="22">
      <c r="B22" s="47" t="n">
        <v>46241</v>
      </c>
      <c r="C22" s="48" t="inlineStr">
        <is>
          <t>Gasto</t>
        </is>
      </c>
      <c r="D22" s="48" t="inlineStr">
        <is>
          <t>Trading y actividades financieras</t>
        </is>
      </c>
      <c r="E22" s="48" t="inlineStr">
        <is>
          <t>Evaluaciones y cuentas de trading</t>
        </is>
      </c>
      <c r="F22" s="48" t="inlineStr">
        <is>
          <t>DEMO · Evaluación de cuenta fondeada</t>
        </is>
      </c>
      <c r="G22" s="49" t="n">
        <v>150</v>
      </c>
      <c r="H22" s="48" t="inlineStr">
        <is>
          <t>USD</t>
        </is>
      </c>
      <c r="I22" s="50" t="n"/>
      <c r="J22" s="48" t="inlineStr">
        <is>
          <t>Tarjeta de crédito</t>
        </is>
      </c>
      <c r="K22" s="48" t="n"/>
      <c r="L22" s="48" t="inlineStr">
        <is>
          <t>Firma de evaluación</t>
        </is>
      </c>
      <c r="M22" s="48" t="n"/>
      <c r="N22" s="48" t="inlineStr">
        <is>
          <t>DEMOSTRACIÓN</t>
        </is>
      </c>
      <c r="O22" s="51">
        <f>IF(AND(B22="",G22="",C22="",D22="",J22=""),"",IF(B22="","⚠ Falta fecha",IF(G22="","⚠ Falta monto",IF(Q22="","⚠ Falta cuenta",IF(ISNA(MATCH(Q22,ctaNombre,0)),"⚠ Cuenta no registrada",IF(AND(OR(P22="Gasto",P22="Reembolso"),D22=""),"⚠ Falta categoría",IF(AND(D22&lt;&gt;"",E22&lt;&gt;"",ISNA(MATCH(D22&amp;"|"&amp;E22,catClave,0))),"⚠ Subcategoría no corresponde",IF(AND(OR(P22="Transferencia",P22="Pago tarjeta"),K22=""),"⚠ Falta cuenta destino",IF(AND(K22&lt;&gt;"",P22&lt;&gt;"Transferencia",P22&lt;&gt;"Pago tarjeta"),"⚠ Destino solo aplica a transferencias",IF(AND(K22&lt;&gt;"",K22=Q22),"⚠ Origen igual a destino",IF(AND(K22&lt;&gt;"",ISNA(MATCH(K22,ctaNombre,0))),"⚠ Destino no registrado",IF(AND(P22="Pago tarjeta",AE22&lt;&gt;"Tarjeta de crédito"),"⚠ El destino debe ser tarjeta de crédito",IF(AND(P22="Gasto",E22="Depósitos y retiros"),"⚠ Usa tipo Transferencia",IF(AND(P22="Resultado trading",AD22&lt;&gt;"Cuenta de trading"),"⚠ Usa una cuenta de trading",IF(AND(G22&lt;=0,P22&lt;&gt;"Ajuste",P22&lt;&gt;"Resultado trading"),"⚠ El monto debe ser positivo","✓")))))))))))))))</f>
        <v/>
      </c>
      <c r="P22" s="52">
        <f>IF(OR(B22="",G22=""),"",IF(C22="","Gasto",C22))</f>
        <v/>
      </c>
      <c r="Q22" s="52">
        <f>IF(P22="","",IF(J22&lt;&gt;"",J22,CuentaPred&amp;""))</f>
        <v/>
      </c>
      <c r="R22" s="52">
        <f>IF(P22="","",IF(ISNUMBER(I22),I22,TasaUSD))</f>
        <v/>
      </c>
      <c r="S22" s="53">
        <f>IF(P22="","",IF(H22="USD",G22*R22,G22))</f>
        <v/>
      </c>
      <c r="T22" s="53">
        <f>IF(P22="","",IF(H22="USD",G22,IF(R22&gt;0,G22/R22,0)))</f>
        <v/>
      </c>
      <c r="U22" s="53">
        <f>IF(P22="","",IF(P22="Gasto",S22,IF(P22="Reembolso",-S22,0)))</f>
        <v/>
      </c>
      <c r="V22" s="53">
        <f>IF(P22="","",IF(P22="Ingreso",S22,0))</f>
        <v/>
      </c>
      <c r="W22" s="53">
        <f>IF(P22="","",IF(P22="Resultado trading",S22,0))</f>
        <v/>
      </c>
      <c r="X22" s="52">
        <f>IF(OR(P22="Gasto",P22="Reembolso"),IF(M22&lt;&gt;"",M22,IFERROR(INDEX(catClasif,MATCH(D22&amp;"|"&amp;E22,catClave,0))&amp;"","Variable")),"")</f>
        <v/>
      </c>
      <c r="Y22" s="52">
        <f>IF(P22="","",IFERROR(INDEX(catGrupo,MATCH(D22&amp;"|"&amp;E22,catClave,0))&amp;"",""))</f>
        <v/>
      </c>
      <c r="Z22" s="52">
        <f>IF(P22="","",WEEKDAY(B22,2))</f>
        <v/>
      </c>
      <c r="AA22" s="52">
        <f>IF(P22="","",IF(AND(P22="Gasto",X22="Variable",D22&lt;&gt;catTrading,S22&gt;0,S22&lt;=Umbral),1,0))</f>
        <v/>
      </c>
      <c r="AB22" s="52">
        <f>IF(OR(P22="",Q22=""),"",IFERROR(IF(INDEX(ctaVinc,MATCH(Q22,ctaNombre,0))&amp;""&lt;&gt;"",INDEX(ctaVinc,MATCH(Q22,ctaNombre,0))&amp;"",Q22),Q22))</f>
        <v/>
      </c>
      <c r="AC22" s="52">
        <f>IF(OR(K22="",AND(P22&lt;&gt;"Transferencia",P22&lt;&gt;"Pago tarjeta")),"",IFERROR(IF(INDEX(ctaVinc,MATCH(K22,ctaNombre,0))&amp;""&lt;&gt;"",INDEX(ctaVinc,MATCH(K22,ctaNombre,0))&amp;"",K22),K22))</f>
        <v/>
      </c>
      <c r="AD22" s="52">
        <f>IF(AB22="","",IFERROR(INDEX(ctaTipo,MATCH(AB22,ctaNombre,0))&amp;"",""))</f>
        <v/>
      </c>
      <c r="AE22" s="52">
        <f>IF(AC22="","",IFERROR(INDEX(ctaTipo,MATCH(AC22,ctaNombre,0))&amp;"",""))</f>
        <v/>
      </c>
      <c r="AF22" s="53">
        <f>IF(OR(P22="",AB22=""),"",IF(OR(P22="Gasto",P22="Transferencia",P22="Pago tarjeta"),-1,1)*IF(IFERROR(INDEX(ctaMoneda,MATCH(AB22,ctaNombre,0))&amp;"","DOP")="USD",T22,S22))</f>
        <v/>
      </c>
      <c r="AG22" s="53">
        <f>IF(AC22="","",IF(IFERROR(INDEX(ctaMoneda,MATCH(AC22,ctaNombre,0))&amp;"","DOP")="USD",T22,S22))</f>
        <v/>
      </c>
      <c r="AH22" s="53">
        <f>IF(P22="","",IF(AND(AD22&lt;&gt;"",COUNTIFS(tcTipo,AD22,tcLiq,"Sí")&gt;0),IF(OR(P22="Gasto",P22="Transferencia",P22="Pago tarjeta"),-1,1)*S22,0)+IF(AND(AE22&lt;&gt;"",COUNTIFS(tcTipo,AE22,tcLiq,"Sí")&gt;0),S22,0))</f>
        <v/>
      </c>
      <c r="AI22" s="52">
        <f>IF(OR(L22="",P22=""),"",IF(COUNTIFS(L$6:L22,L22,P$6:P22,"?*")=1,MAX(AI$5:AI21)+1,""))</f>
        <v/>
      </c>
    </row>
    <row r="23">
      <c r="B23" s="47" t="n">
        <v>46242</v>
      </c>
      <c r="C23" s="48" t="inlineStr">
        <is>
          <t>Gasto</t>
        </is>
      </c>
      <c r="D23" s="48" t="inlineStr">
        <is>
          <t>Alimentación</t>
        </is>
      </c>
      <c r="E23" s="48" t="inlineStr">
        <is>
          <t>Restaurantes</t>
        </is>
      </c>
      <c r="F23" s="48" t="inlineStr">
        <is>
          <t>DEMO · Almuerzo de fin de semana</t>
        </is>
      </c>
      <c r="G23" s="49" t="n">
        <v>2200</v>
      </c>
      <c r="H23" s="48" t="inlineStr">
        <is>
          <t>DOP</t>
        </is>
      </c>
      <c r="I23" s="50" t="n"/>
      <c r="J23" s="48" t="inlineStr">
        <is>
          <t>Tarjeta de crédito</t>
        </is>
      </c>
      <c r="K23" s="48" t="n"/>
      <c r="L23" s="48" t="inlineStr">
        <is>
          <t>Restaurante del malecón</t>
        </is>
      </c>
      <c r="M23" s="48" t="n"/>
      <c r="N23" s="48" t="inlineStr">
        <is>
          <t>DEMOSTRACIÓN</t>
        </is>
      </c>
      <c r="O23" s="51">
        <f>IF(AND(B23="",G23="",C23="",D23="",J23=""),"",IF(B23="","⚠ Falta fecha",IF(G23="","⚠ Falta monto",IF(Q23="","⚠ Falta cuenta",IF(ISNA(MATCH(Q23,ctaNombre,0)),"⚠ Cuenta no registrada",IF(AND(OR(P23="Gasto",P23="Reembolso"),D23=""),"⚠ Falta categoría",IF(AND(D23&lt;&gt;"",E23&lt;&gt;"",ISNA(MATCH(D23&amp;"|"&amp;E23,catClave,0))),"⚠ Subcategoría no corresponde",IF(AND(OR(P23="Transferencia",P23="Pago tarjeta"),K23=""),"⚠ Falta cuenta destino",IF(AND(K23&lt;&gt;"",P23&lt;&gt;"Transferencia",P23&lt;&gt;"Pago tarjeta"),"⚠ Destino solo aplica a transferencias",IF(AND(K23&lt;&gt;"",K23=Q23),"⚠ Origen igual a destino",IF(AND(K23&lt;&gt;"",ISNA(MATCH(K23,ctaNombre,0))),"⚠ Destino no registrado",IF(AND(P23="Pago tarjeta",AE23&lt;&gt;"Tarjeta de crédito"),"⚠ El destino debe ser tarjeta de crédito",IF(AND(P23="Gasto",E23="Depósitos y retiros"),"⚠ Usa tipo Transferencia",IF(AND(P23="Resultado trading",AD23&lt;&gt;"Cuenta de trading"),"⚠ Usa una cuenta de trading",IF(AND(G23&lt;=0,P23&lt;&gt;"Ajuste",P23&lt;&gt;"Resultado trading"),"⚠ El monto debe ser positivo","✓")))))))))))))))</f>
        <v/>
      </c>
      <c r="P23" s="52">
        <f>IF(OR(B23="",G23=""),"",IF(C23="","Gasto",C23))</f>
        <v/>
      </c>
      <c r="Q23" s="52">
        <f>IF(P23="","",IF(J23&lt;&gt;"",J23,CuentaPred&amp;""))</f>
        <v/>
      </c>
      <c r="R23" s="52">
        <f>IF(P23="","",IF(ISNUMBER(I23),I23,TasaUSD))</f>
        <v/>
      </c>
      <c r="S23" s="53">
        <f>IF(P23="","",IF(H23="USD",G23*R23,G23))</f>
        <v/>
      </c>
      <c r="T23" s="53">
        <f>IF(P23="","",IF(H23="USD",G23,IF(R23&gt;0,G23/R23,0)))</f>
        <v/>
      </c>
      <c r="U23" s="53">
        <f>IF(P23="","",IF(P23="Gasto",S23,IF(P23="Reembolso",-S23,0)))</f>
        <v/>
      </c>
      <c r="V23" s="53">
        <f>IF(P23="","",IF(P23="Ingreso",S23,0))</f>
        <v/>
      </c>
      <c r="W23" s="53">
        <f>IF(P23="","",IF(P23="Resultado trading",S23,0))</f>
        <v/>
      </c>
      <c r="X23" s="52">
        <f>IF(OR(P23="Gasto",P23="Reembolso"),IF(M23&lt;&gt;"",M23,IFERROR(INDEX(catClasif,MATCH(D23&amp;"|"&amp;E23,catClave,0))&amp;"","Variable")),"")</f>
        <v/>
      </c>
      <c r="Y23" s="52">
        <f>IF(P23="","",IFERROR(INDEX(catGrupo,MATCH(D23&amp;"|"&amp;E23,catClave,0))&amp;"",""))</f>
        <v/>
      </c>
      <c r="Z23" s="52">
        <f>IF(P23="","",WEEKDAY(B23,2))</f>
        <v/>
      </c>
      <c r="AA23" s="52">
        <f>IF(P23="","",IF(AND(P23="Gasto",X23="Variable",D23&lt;&gt;catTrading,S23&gt;0,S23&lt;=Umbral),1,0))</f>
        <v/>
      </c>
      <c r="AB23" s="52">
        <f>IF(OR(P23="",Q23=""),"",IFERROR(IF(INDEX(ctaVinc,MATCH(Q23,ctaNombre,0))&amp;""&lt;&gt;"",INDEX(ctaVinc,MATCH(Q23,ctaNombre,0))&amp;"",Q23),Q23))</f>
        <v/>
      </c>
      <c r="AC23" s="52">
        <f>IF(OR(K23="",AND(P23&lt;&gt;"Transferencia",P23&lt;&gt;"Pago tarjeta")),"",IFERROR(IF(INDEX(ctaVinc,MATCH(K23,ctaNombre,0))&amp;""&lt;&gt;"",INDEX(ctaVinc,MATCH(K23,ctaNombre,0))&amp;"",K23),K23))</f>
        <v/>
      </c>
      <c r="AD23" s="52">
        <f>IF(AB23="","",IFERROR(INDEX(ctaTipo,MATCH(AB23,ctaNombre,0))&amp;"",""))</f>
        <v/>
      </c>
      <c r="AE23" s="52">
        <f>IF(AC23="","",IFERROR(INDEX(ctaTipo,MATCH(AC23,ctaNombre,0))&amp;"",""))</f>
        <v/>
      </c>
      <c r="AF23" s="53">
        <f>IF(OR(P23="",AB23=""),"",IF(OR(P23="Gasto",P23="Transferencia",P23="Pago tarjeta"),-1,1)*IF(IFERROR(INDEX(ctaMoneda,MATCH(AB23,ctaNombre,0))&amp;"","DOP")="USD",T23,S23))</f>
        <v/>
      </c>
      <c r="AG23" s="53">
        <f>IF(AC23="","",IF(IFERROR(INDEX(ctaMoneda,MATCH(AC23,ctaNombre,0))&amp;"","DOP")="USD",T23,S23))</f>
        <v/>
      </c>
      <c r="AH23" s="53">
        <f>IF(P23="","",IF(AND(AD23&lt;&gt;"",COUNTIFS(tcTipo,AD23,tcLiq,"Sí")&gt;0),IF(OR(P23="Gasto",P23="Transferencia",P23="Pago tarjeta"),-1,1)*S23,0)+IF(AND(AE23&lt;&gt;"",COUNTIFS(tcTipo,AE23,tcLiq,"Sí")&gt;0),S23,0))</f>
        <v/>
      </c>
      <c r="AI23" s="52">
        <f>IF(OR(L23="",P23=""),"",IF(COUNTIFS(L$6:L23,L23,P$6:P23,"?*")=1,MAX(AI$5:AI22)+1,""))</f>
        <v/>
      </c>
    </row>
    <row r="24">
      <c r="B24" s="47" t="n">
        <v>46242</v>
      </c>
      <c r="C24" s="48" t="inlineStr">
        <is>
          <t>Gasto</t>
        </is>
      </c>
      <c r="D24" s="48" t="inlineStr">
        <is>
          <t>Salud</t>
        </is>
      </c>
      <c r="E24" s="48" t="inlineStr">
        <is>
          <t>Gimnasio y bienestar</t>
        </is>
      </c>
      <c r="F24" s="48" t="inlineStr">
        <is>
          <t>DEMO · Mensualidad gimnasio</t>
        </is>
      </c>
      <c r="G24" s="49" t="n">
        <v>2500</v>
      </c>
      <c r="H24" s="48" t="inlineStr">
        <is>
          <t>DOP</t>
        </is>
      </c>
      <c r="I24" s="50" t="n"/>
      <c r="J24" s="48" t="inlineStr">
        <is>
          <t>Tarjeta de crédito</t>
        </is>
      </c>
      <c r="K24" s="48" t="n"/>
      <c r="L24" s="48" t="inlineStr">
        <is>
          <t>Gimnasio</t>
        </is>
      </c>
      <c r="M24" s="48" t="n"/>
      <c r="N24" s="48" t="inlineStr">
        <is>
          <t>DEMOSTRACIÓN</t>
        </is>
      </c>
      <c r="O24" s="51">
        <f>IF(AND(B24="",G24="",C24="",D24="",J24=""),"",IF(B24="","⚠ Falta fecha",IF(G24="","⚠ Falta monto",IF(Q24="","⚠ Falta cuenta",IF(ISNA(MATCH(Q24,ctaNombre,0)),"⚠ Cuenta no registrada",IF(AND(OR(P24="Gasto",P24="Reembolso"),D24=""),"⚠ Falta categoría",IF(AND(D24&lt;&gt;"",E24&lt;&gt;"",ISNA(MATCH(D24&amp;"|"&amp;E24,catClave,0))),"⚠ Subcategoría no corresponde",IF(AND(OR(P24="Transferencia",P24="Pago tarjeta"),K24=""),"⚠ Falta cuenta destino",IF(AND(K24&lt;&gt;"",P24&lt;&gt;"Transferencia",P24&lt;&gt;"Pago tarjeta"),"⚠ Destino solo aplica a transferencias",IF(AND(K24&lt;&gt;"",K24=Q24),"⚠ Origen igual a destino",IF(AND(K24&lt;&gt;"",ISNA(MATCH(K24,ctaNombre,0))),"⚠ Destino no registrado",IF(AND(P24="Pago tarjeta",AE24&lt;&gt;"Tarjeta de crédito"),"⚠ El destino debe ser tarjeta de crédito",IF(AND(P24="Gasto",E24="Depósitos y retiros"),"⚠ Usa tipo Transferencia",IF(AND(P24="Resultado trading",AD24&lt;&gt;"Cuenta de trading"),"⚠ Usa una cuenta de trading",IF(AND(G24&lt;=0,P24&lt;&gt;"Ajuste",P24&lt;&gt;"Resultado trading"),"⚠ El monto debe ser positivo","✓")))))))))))))))</f>
        <v/>
      </c>
      <c r="P24" s="52">
        <f>IF(OR(B24="",G24=""),"",IF(C24="","Gasto",C24))</f>
        <v/>
      </c>
      <c r="Q24" s="52">
        <f>IF(P24="","",IF(J24&lt;&gt;"",J24,CuentaPred&amp;""))</f>
        <v/>
      </c>
      <c r="R24" s="52">
        <f>IF(P24="","",IF(ISNUMBER(I24),I24,TasaUSD))</f>
        <v/>
      </c>
      <c r="S24" s="53">
        <f>IF(P24="","",IF(H24="USD",G24*R24,G24))</f>
        <v/>
      </c>
      <c r="T24" s="53">
        <f>IF(P24="","",IF(H24="USD",G24,IF(R24&gt;0,G24/R24,0)))</f>
        <v/>
      </c>
      <c r="U24" s="53">
        <f>IF(P24="","",IF(P24="Gasto",S24,IF(P24="Reembolso",-S24,0)))</f>
        <v/>
      </c>
      <c r="V24" s="53">
        <f>IF(P24="","",IF(P24="Ingreso",S24,0))</f>
        <v/>
      </c>
      <c r="W24" s="53">
        <f>IF(P24="","",IF(P24="Resultado trading",S24,0))</f>
        <v/>
      </c>
      <c r="X24" s="52">
        <f>IF(OR(P24="Gasto",P24="Reembolso"),IF(M24&lt;&gt;"",M24,IFERROR(INDEX(catClasif,MATCH(D24&amp;"|"&amp;E24,catClave,0))&amp;"","Variable")),"")</f>
        <v/>
      </c>
      <c r="Y24" s="52">
        <f>IF(P24="","",IFERROR(INDEX(catGrupo,MATCH(D24&amp;"|"&amp;E24,catClave,0))&amp;"",""))</f>
        <v/>
      </c>
      <c r="Z24" s="52">
        <f>IF(P24="","",WEEKDAY(B24,2))</f>
        <v/>
      </c>
      <c r="AA24" s="52">
        <f>IF(P24="","",IF(AND(P24="Gasto",X24="Variable",D24&lt;&gt;catTrading,S24&gt;0,S24&lt;=Umbral),1,0))</f>
        <v/>
      </c>
      <c r="AB24" s="52">
        <f>IF(OR(P24="",Q24=""),"",IFERROR(IF(INDEX(ctaVinc,MATCH(Q24,ctaNombre,0))&amp;""&lt;&gt;"",INDEX(ctaVinc,MATCH(Q24,ctaNombre,0))&amp;"",Q24),Q24))</f>
        <v/>
      </c>
      <c r="AC24" s="52">
        <f>IF(OR(K24="",AND(P24&lt;&gt;"Transferencia",P24&lt;&gt;"Pago tarjeta")),"",IFERROR(IF(INDEX(ctaVinc,MATCH(K24,ctaNombre,0))&amp;""&lt;&gt;"",INDEX(ctaVinc,MATCH(K24,ctaNombre,0))&amp;"",K24),K24))</f>
        <v/>
      </c>
      <c r="AD24" s="52">
        <f>IF(AB24="","",IFERROR(INDEX(ctaTipo,MATCH(AB24,ctaNombre,0))&amp;"",""))</f>
        <v/>
      </c>
      <c r="AE24" s="52">
        <f>IF(AC24="","",IFERROR(INDEX(ctaTipo,MATCH(AC24,ctaNombre,0))&amp;"",""))</f>
        <v/>
      </c>
      <c r="AF24" s="53">
        <f>IF(OR(P24="",AB24=""),"",IF(OR(P24="Gasto",P24="Transferencia",P24="Pago tarjeta"),-1,1)*IF(IFERROR(INDEX(ctaMoneda,MATCH(AB24,ctaNombre,0))&amp;"","DOP")="USD",T24,S24))</f>
        <v/>
      </c>
      <c r="AG24" s="53">
        <f>IF(AC24="","",IF(IFERROR(INDEX(ctaMoneda,MATCH(AC24,ctaNombre,0))&amp;"","DOP")="USD",T24,S24))</f>
        <v/>
      </c>
      <c r="AH24" s="53">
        <f>IF(P24="","",IF(AND(AD24&lt;&gt;"",COUNTIFS(tcTipo,AD24,tcLiq,"Sí")&gt;0),IF(OR(P24="Gasto",P24="Transferencia",P24="Pago tarjeta"),-1,1)*S24,0)+IF(AND(AE24&lt;&gt;"",COUNTIFS(tcTipo,AE24,tcLiq,"Sí")&gt;0),S24,0))</f>
        <v/>
      </c>
      <c r="AI24" s="52">
        <f>IF(OR(L24="",P24=""),"",IF(COUNTIFS(L$6:L24,L24,P$6:P24,"?*")=1,MAX(AI$5:AI23)+1,""))</f>
        <v/>
      </c>
    </row>
    <row r="25">
      <c r="B25" s="47" t="n">
        <v>46244</v>
      </c>
      <c r="C25" s="48" t="inlineStr">
        <is>
          <t>Gasto</t>
        </is>
      </c>
      <c r="D25" s="48" t="inlineStr">
        <is>
          <t>Alimentación</t>
        </is>
      </c>
      <c r="E25" s="48" t="inlineStr">
        <is>
          <t>Almuerzos laborales</t>
        </is>
      </c>
      <c r="F25" s="48" t="inlineStr">
        <is>
          <t>DEMO · Almuerzo laboral</t>
        </is>
      </c>
      <c r="G25" s="49" t="n">
        <v>575</v>
      </c>
      <c r="H25" s="48" t="inlineStr">
        <is>
          <t>DOP</t>
        </is>
      </c>
      <c r="I25" s="50" t="n"/>
      <c r="J25" s="48" t="inlineStr">
        <is>
          <t>Billetera digital</t>
        </is>
      </c>
      <c r="K25" s="48" t="n"/>
      <c r="L25" s="48" t="inlineStr">
        <is>
          <t>Comedor ejecutivo</t>
        </is>
      </c>
      <c r="M25" s="48" t="n"/>
      <c r="N25" s="48" t="inlineStr">
        <is>
          <t>DEMOSTRACIÓN</t>
        </is>
      </c>
      <c r="O25" s="51">
        <f>IF(AND(B25="",G25="",C25="",D25="",J25=""),"",IF(B25="","⚠ Falta fecha",IF(G25="","⚠ Falta monto",IF(Q25="","⚠ Falta cuenta",IF(ISNA(MATCH(Q25,ctaNombre,0)),"⚠ Cuenta no registrada",IF(AND(OR(P25="Gasto",P25="Reembolso"),D25=""),"⚠ Falta categoría",IF(AND(D25&lt;&gt;"",E25&lt;&gt;"",ISNA(MATCH(D25&amp;"|"&amp;E25,catClave,0))),"⚠ Subcategoría no corresponde",IF(AND(OR(P25="Transferencia",P25="Pago tarjeta"),K25=""),"⚠ Falta cuenta destino",IF(AND(K25&lt;&gt;"",P25&lt;&gt;"Transferencia",P25&lt;&gt;"Pago tarjeta"),"⚠ Destino solo aplica a transferencias",IF(AND(K25&lt;&gt;"",K25=Q25),"⚠ Origen igual a destino",IF(AND(K25&lt;&gt;"",ISNA(MATCH(K25,ctaNombre,0))),"⚠ Destino no registrado",IF(AND(P25="Pago tarjeta",AE25&lt;&gt;"Tarjeta de crédito"),"⚠ El destino debe ser tarjeta de crédito",IF(AND(P25="Gasto",E25="Depósitos y retiros"),"⚠ Usa tipo Transferencia",IF(AND(P25="Resultado trading",AD25&lt;&gt;"Cuenta de trading"),"⚠ Usa una cuenta de trading",IF(AND(G25&lt;=0,P25&lt;&gt;"Ajuste",P25&lt;&gt;"Resultado trading"),"⚠ El monto debe ser positivo","✓")))))))))))))))</f>
        <v/>
      </c>
      <c r="P25" s="52">
        <f>IF(OR(B25="",G25=""),"",IF(C25="","Gasto",C25))</f>
        <v/>
      </c>
      <c r="Q25" s="52">
        <f>IF(P25="","",IF(J25&lt;&gt;"",J25,CuentaPred&amp;""))</f>
        <v/>
      </c>
      <c r="R25" s="52">
        <f>IF(P25="","",IF(ISNUMBER(I25),I25,TasaUSD))</f>
        <v/>
      </c>
      <c r="S25" s="53">
        <f>IF(P25="","",IF(H25="USD",G25*R25,G25))</f>
        <v/>
      </c>
      <c r="T25" s="53">
        <f>IF(P25="","",IF(H25="USD",G25,IF(R25&gt;0,G25/R25,0)))</f>
        <v/>
      </c>
      <c r="U25" s="53">
        <f>IF(P25="","",IF(P25="Gasto",S25,IF(P25="Reembolso",-S25,0)))</f>
        <v/>
      </c>
      <c r="V25" s="53">
        <f>IF(P25="","",IF(P25="Ingreso",S25,0))</f>
        <v/>
      </c>
      <c r="W25" s="53">
        <f>IF(P25="","",IF(P25="Resultado trading",S25,0))</f>
        <v/>
      </c>
      <c r="X25" s="52">
        <f>IF(OR(P25="Gasto",P25="Reembolso"),IF(M25&lt;&gt;"",M25,IFERROR(INDEX(catClasif,MATCH(D25&amp;"|"&amp;E25,catClave,0))&amp;"","Variable")),"")</f>
        <v/>
      </c>
      <c r="Y25" s="52">
        <f>IF(P25="","",IFERROR(INDEX(catGrupo,MATCH(D25&amp;"|"&amp;E25,catClave,0))&amp;"",""))</f>
        <v/>
      </c>
      <c r="Z25" s="52">
        <f>IF(P25="","",WEEKDAY(B25,2))</f>
        <v/>
      </c>
      <c r="AA25" s="52">
        <f>IF(P25="","",IF(AND(P25="Gasto",X25="Variable",D25&lt;&gt;catTrading,S25&gt;0,S25&lt;=Umbral),1,0))</f>
        <v/>
      </c>
      <c r="AB25" s="52">
        <f>IF(OR(P25="",Q25=""),"",IFERROR(IF(INDEX(ctaVinc,MATCH(Q25,ctaNombre,0))&amp;""&lt;&gt;"",INDEX(ctaVinc,MATCH(Q25,ctaNombre,0))&amp;"",Q25),Q25))</f>
        <v/>
      </c>
      <c r="AC25" s="52">
        <f>IF(OR(K25="",AND(P25&lt;&gt;"Transferencia",P25&lt;&gt;"Pago tarjeta")),"",IFERROR(IF(INDEX(ctaVinc,MATCH(K25,ctaNombre,0))&amp;""&lt;&gt;"",INDEX(ctaVinc,MATCH(K25,ctaNombre,0))&amp;"",K25),K25))</f>
        <v/>
      </c>
      <c r="AD25" s="52">
        <f>IF(AB25="","",IFERROR(INDEX(ctaTipo,MATCH(AB25,ctaNombre,0))&amp;"",""))</f>
        <v/>
      </c>
      <c r="AE25" s="52">
        <f>IF(AC25="","",IFERROR(INDEX(ctaTipo,MATCH(AC25,ctaNombre,0))&amp;"",""))</f>
        <v/>
      </c>
      <c r="AF25" s="53">
        <f>IF(OR(P25="",AB25=""),"",IF(OR(P25="Gasto",P25="Transferencia",P25="Pago tarjeta"),-1,1)*IF(IFERROR(INDEX(ctaMoneda,MATCH(AB25,ctaNombre,0))&amp;"","DOP")="USD",T25,S25))</f>
        <v/>
      </c>
      <c r="AG25" s="53">
        <f>IF(AC25="","",IF(IFERROR(INDEX(ctaMoneda,MATCH(AC25,ctaNombre,0))&amp;"","DOP")="USD",T25,S25))</f>
        <v/>
      </c>
      <c r="AH25" s="53">
        <f>IF(P25="","",IF(AND(AD25&lt;&gt;"",COUNTIFS(tcTipo,AD25,tcLiq,"Sí")&gt;0),IF(OR(P25="Gasto",P25="Transferencia",P25="Pago tarjeta"),-1,1)*S25,0)+IF(AND(AE25&lt;&gt;"",COUNTIFS(tcTipo,AE25,tcLiq,"Sí")&gt;0),S25,0))</f>
        <v/>
      </c>
      <c r="AI25" s="52">
        <f>IF(OR(L25="",P25=""),"",IF(COUNTIFS(L$6:L25,L25,P$6:P25,"?*")=1,MAX(AI$5:AI24)+1,""))</f>
        <v/>
      </c>
    </row>
    <row r="26">
      <c r="B26" s="47" t="n">
        <v>46244</v>
      </c>
      <c r="C26" s="48" t="inlineStr">
        <is>
          <t>Gasto</t>
        </is>
      </c>
      <c r="D26" s="48" t="inlineStr">
        <is>
          <t>Transporte y vehículo</t>
        </is>
      </c>
      <c r="E26" s="48" t="inlineStr">
        <is>
          <t>Combustible</t>
        </is>
      </c>
      <c r="F26" s="48" t="inlineStr">
        <is>
          <t>DEMO · Combustible</t>
        </is>
      </c>
      <c r="G26" s="49" t="n">
        <v>2350</v>
      </c>
      <c r="H26" s="48" t="inlineStr">
        <is>
          <t>DOP</t>
        </is>
      </c>
      <c r="I26" s="50" t="n"/>
      <c r="J26" s="48" t="inlineStr">
        <is>
          <t>Tarjeta de crédito</t>
        </is>
      </c>
      <c r="K26" s="48" t="n"/>
      <c r="L26" s="48" t="inlineStr">
        <is>
          <t>Estación de combustible</t>
        </is>
      </c>
      <c r="M26" s="48" t="n"/>
      <c r="N26" s="48" t="inlineStr">
        <is>
          <t>DEMOSTRACIÓN</t>
        </is>
      </c>
      <c r="O26" s="51">
        <f>IF(AND(B26="",G26="",C26="",D26="",J26=""),"",IF(B26="","⚠ Falta fecha",IF(G26="","⚠ Falta monto",IF(Q26="","⚠ Falta cuenta",IF(ISNA(MATCH(Q26,ctaNombre,0)),"⚠ Cuenta no registrada",IF(AND(OR(P26="Gasto",P26="Reembolso"),D26=""),"⚠ Falta categoría",IF(AND(D26&lt;&gt;"",E26&lt;&gt;"",ISNA(MATCH(D26&amp;"|"&amp;E26,catClave,0))),"⚠ Subcategoría no corresponde",IF(AND(OR(P26="Transferencia",P26="Pago tarjeta"),K26=""),"⚠ Falta cuenta destino",IF(AND(K26&lt;&gt;"",P26&lt;&gt;"Transferencia",P26&lt;&gt;"Pago tarjeta"),"⚠ Destino solo aplica a transferencias",IF(AND(K26&lt;&gt;"",K26=Q26),"⚠ Origen igual a destino",IF(AND(K26&lt;&gt;"",ISNA(MATCH(K26,ctaNombre,0))),"⚠ Destino no registrado",IF(AND(P26="Pago tarjeta",AE26&lt;&gt;"Tarjeta de crédito"),"⚠ El destino debe ser tarjeta de crédito",IF(AND(P26="Gasto",E26="Depósitos y retiros"),"⚠ Usa tipo Transferencia",IF(AND(P26="Resultado trading",AD26&lt;&gt;"Cuenta de trading"),"⚠ Usa una cuenta de trading",IF(AND(G26&lt;=0,P26&lt;&gt;"Ajuste",P26&lt;&gt;"Resultado trading"),"⚠ El monto debe ser positivo","✓")))))))))))))))</f>
        <v/>
      </c>
      <c r="P26" s="52">
        <f>IF(OR(B26="",G26=""),"",IF(C26="","Gasto",C26))</f>
        <v/>
      </c>
      <c r="Q26" s="52">
        <f>IF(P26="","",IF(J26&lt;&gt;"",J26,CuentaPred&amp;""))</f>
        <v/>
      </c>
      <c r="R26" s="52">
        <f>IF(P26="","",IF(ISNUMBER(I26),I26,TasaUSD))</f>
        <v/>
      </c>
      <c r="S26" s="53">
        <f>IF(P26="","",IF(H26="USD",G26*R26,G26))</f>
        <v/>
      </c>
      <c r="T26" s="53">
        <f>IF(P26="","",IF(H26="USD",G26,IF(R26&gt;0,G26/R26,0)))</f>
        <v/>
      </c>
      <c r="U26" s="53">
        <f>IF(P26="","",IF(P26="Gasto",S26,IF(P26="Reembolso",-S26,0)))</f>
        <v/>
      </c>
      <c r="V26" s="53">
        <f>IF(P26="","",IF(P26="Ingreso",S26,0))</f>
        <v/>
      </c>
      <c r="W26" s="53">
        <f>IF(P26="","",IF(P26="Resultado trading",S26,0))</f>
        <v/>
      </c>
      <c r="X26" s="52">
        <f>IF(OR(P26="Gasto",P26="Reembolso"),IF(M26&lt;&gt;"",M26,IFERROR(INDEX(catClasif,MATCH(D26&amp;"|"&amp;E26,catClave,0))&amp;"","Variable")),"")</f>
        <v/>
      </c>
      <c r="Y26" s="52">
        <f>IF(P26="","",IFERROR(INDEX(catGrupo,MATCH(D26&amp;"|"&amp;E26,catClave,0))&amp;"",""))</f>
        <v/>
      </c>
      <c r="Z26" s="52">
        <f>IF(P26="","",WEEKDAY(B26,2))</f>
        <v/>
      </c>
      <c r="AA26" s="52">
        <f>IF(P26="","",IF(AND(P26="Gasto",X26="Variable",D26&lt;&gt;catTrading,S26&gt;0,S26&lt;=Umbral),1,0))</f>
        <v/>
      </c>
      <c r="AB26" s="52">
        <f>IF(OR(P26="",Q26=""),"",IFERROR(IF(INDEX(ctaVinc,MATCH(Q26,ctaNombre,0))&amp;""&lt;&gt;"",INDEX(ctaVinc,MATCH(Q26,ctaNombre,0))&amp;"",Q26),Q26))</f>
        <v/>
      </c>
      <c r="AC26" s="52">
        <f>IF(OR(K26="",AND(P26&lt;&gt;"Transferencia",P26&lt;&gt;"Pago tarjeta")),"",IFERROR(IF(INDEX(ctaVinc,MATCH(K26,ctaNombre,0))&amp;""&lt;&gt;"",INDEX(ctaVinc,MATCH(K26,ctaNombre,0))&amp;"",K26),K26))</f>
        <v/>
      </c>
      <c r="AD26" s="52">
        <f>IF(AB26="","",IFERROR(INDEX(ctaTipo,MATCH(AB26,ctaNombre,0))&amp;"",""))</f>
        <v/>
      </c>
      <c r="AE26" s="52">
        <f>IF(AC26="","",IFERROR(INDEX(ctaTipo,MATCH(AC26,ctaNombre,0))&amp;"",""))</f>
        <v/>
      </c>
      <c r="AF26" s="53">
        <f>IF(OR(P26="",AB26=""),"",IF(OR(P26="Gasto",P26="Transferencia",P26="Pago tarjeta"),-1,1)*IF(IFERROR(INDEX(ctaMoneda,MATCH(AB26,ctaNombre,0))&amp;"","DOP")="USD",T26,S26))</f>
        <v/>
      </c>
      <c r="AG26" s="53">
        <f>IF(AC26="","",IF(IFERROR(INDEX(ctaMoneda,MATCH(AC26,ctaNombre,0))&amp;"","DOP")="USD",T26,S26))</f>
        <v/>
      </c>
      <c r="AH26" s="53">
        <f>IF(P26="","",IF(AND(AD26&lt;&gt;"",COUNTIFS(tcTipo,AD26,tcLiq,"Sí")&gt;0),IF(OR(P26="Gasto",P26="Transferencia",P26="Pago tarjeta"),-1,1)*S26,0)+IF(AND(AE26&lt;&gt;"",COUNTIFS(tcTipo,AE26,tcLiq,"Sí")&gt;0),S26,0))</f>
        <v/>
      </c>
      <c r="AI26" s="52">
        <f>IF(OR(L26="",P26=""),"",IF(COUNTIFS(L$6:L26,L26,P$6:P26,"?*")=1,MAX(AI$5:AI25)+1,""))</f>
        <v/>
      </c>
    </row>
    <row r="27">
      <c r="B27" s="47" t="n">
        <v>46244</v>
      </c>
      <c r="C27" s="48" t="inlineStr">
        <is>
          <t>Gasto</t>
        </is>
      </c>
      <c r="D27" s="48" t="inlineStr">
        <is>
          <t>Pareja y actividades sociales</t>
        </is>
      </c>
      <c r="E27" s="48" t="inlineStr">
        <is>
          <t>Salidas y citas</t>
        </is>
      </c>
      <c r="F27" s="48" t="inlineStr">
        <is>
          <t>DEMO · Salida con pareja</t>
        </is>
      </c>
      <c r="G27" s="49" t="n">
        <v>1900</v>
      </c>
      <c r="H27" s="48" t="inlineStr">
        <is>
          <t>DOP</t>
        </is>
      </c>
      <c r="I27" s="50" t="n"/>
      <c r="J27" s="48" t="inlineStr">
        <is>
          <t>Tarjeta de crédito</t>
        </is>
      </c>
      <c r="K27" s="48" t="n"/>
      <c r="L27" s="48" t="inlineStr">
        <is>
          <t>Cine y cena</t>
        </is>
      </c>
      <c r="M27" s="48" t="n"/>
      <c r="N27" s="48" t="inlineStr">
        <is>
          <t>DEMOSTRACIÓN</t>
        </is>
      </c>
      <c r="O27" s="51">
        <f>IF(AND(B27="",G27="",C27="",D27="",J27=""),"",IF(B27="","⚠ Falta fecha",IF(G27="","⚠ Falta monto",IF(Q27="","⚠ Falta cuenta",IF(ISNA(MATCH(Q27,ctaNombre,0)),"⚠ Cuenta no registrada",IF(AND(OR(P27="Gasto",P27="Reembolso"),D27=""),"⚠ Falta categoría",IF(AND(D27&lt;&gt;"",E27&lt;&gt;"",ISNA(MATCH(D27&amp;"|"&amp;E27,catClave,0))),"⚠ Subcategoría no corresponde",IF(AND(OR(P27="Transferencia",P27="Pago tarjeta"),K27=""),"⚠ Falta cuenta destino",IF(AND(K27&lt;&gt;"",P27&lt;&gt;"Transferencia",P27&lt;&gt;"Pago tarjeta"),"⚠ Destino solo aplica a transferencias",IF(AND(K27&lt;&gt;"",K27=Q27),"⚠ Origen igual a destino",IF(AND(K27&lt;&gt;"",ISNA(MATCH(K27,ctaNombre,0))),"⚠ Destino no registrado",IF(AND(P27="Pago tarjeta",AE27&lt;&gt;"Tarjeta de crédito"),"⚠ El destino debe ser tarjeta de crédito",IF(AND(P27="Gasto",E27="Depósitos y retiros"),"⚠ Usa tipo Transferencia",IF(AND(P27="Resultado trading",AD27&lt;&gt;"Cuenta de trading"),"⚠ Usa una cuenta de trading",IF(AND(G27&lt;=0,P27&lt;&gt;"Ajuste",P27&lt;&gt;"Resultado trading"),"⚠ El monto debe ser positivo","✓")))))))))))))))</f>
        <v/>
      </c>
      <c r="P27" s="52">
        <f>IF(OR(B27="",G27=""),"",IF(C27="","Gasto",C27))</f>
        <v/>
      </c>
      <c r="Q27" s="52">
        <f>IF(P27="","",IF(J27&lt;&gt;"",J27,CuentaPred&amp;""))</f>
        <v/>
      </c>
      <c r="R27" s="52">
        <f>IF(P27="","",IF(ISNUMBER(I27),I27,TasaUSD))</f>
        <v/>
      </c>
      <c r="S27" s="53">
        <f>IF(P27="","",IF(H27="USD",G27*R27,G27))</f>
        <v/>
      </c>
      <c r="T27" s="53">
        <f>IF(P27="","",IF(H27="USD",G27,IF(R27&gt;0,G27/R27,0)))</f>
        <v/>
      </c>
      <c r="U27" s="53">
        <f>IF(P27="","",IF(P27="Gasto",S27,IF(P27="Reembolso",-S27,0)))</f>
        <v/>
      </c>
      <c r="V27" s="53">
        <f>IF(P27="","",IF(P27="Ingreso",S27,0))</f>
        <v/>
      </c>
      <c r="W27" s="53">
        <f>IF(P27="","",IF(P27="Resultado trading",S27,0))</f>
        <v/>
      </c>
      <c r="X27" s="52">
        <f>IF(OR(P27="Gasto",P27="Reembolso"),IF(M27&lt;&gt;"",M27,IFERROR(INDEX(catClasif,MATCH(D27&amp;"|"&amp;E27,catClave,0))&amp;"","Variable")),"")</f>
        <v/>
      </c>
      <c r="Y27" s="52">
        <f>IF(P27="","",IFERROR(INDEX(catGrupo,MATCH(D27&amp;"|"&amp;E27,catClave,0))&amp;"",""))</f>
        <v/>
      </c>
      <c r="Z27" s="52">
        <f>IF(P27="","",WEEKDAY(B27,2))</f>
        <v/>
      </c>
      <c r="AA27" s="52">
        <f>IF(P27="","",IF(AND(P27="Gasto",X27="Variable",D27&lt;&gt;catTrading,S27&gt;0,S27&lt;=Umbral),1,0))</f>
        <v/>
      </c>
      <c r="AB27" s="52">
        <f>IF(OR(P27="",Q27=""),"",IFERROR(IF(INDEX(ctaVinc,MATCH(Q27,ctaNombre,0))&amp;""&lt;&gt;"",INDEX(ctaVinc,MATCH(Q27,ctaNombre,0))&amp;"",Q27),Q27))</f>
        <v/>
      </c>
      <c r="AC27" s="52">
        <f>IF(OR(K27="",AND(P27&lt;&gt;"Transferencia",P27&lt;&gt;"Pago tarjeta")),"",IFERROR(IF(INDEX(ctaVinc,MATCH(K27,ctaNombre,0))&amp;""&lt;&gt;"",INDEX(ctaVinc,MATCH(K27,ctaNombre,0))&amp;"",K27),K27))</f>
        <v/>
      </c>
      <c r="AD27" s="52">
        <f>IF(AB27="","",IFERROR(INDEX(ctaTipo,MATCH(AB27,ctaNombre,0))&amp;"",""))</f>
        <v/>
      </c>
      <c r="AE27" s="52">
        <f>IF(AC27="","",IFERROR(INDEX(ctaTipo,MATCH(AC27,ctaNombre,0))&amp;"",""))</f>
        <v/>
      </c>
      <c r="AF27" s="53">
        <f>IF(OR(P27="",AB27=""),"",IF(OR(P27="Gasto",P27="Transferencia",P27="Pago tarjeta"),-1,1)*IF(IFERROR(INDEX(ctaMoneda,MATCH(AB27,ctaNombre,0))&amp;"","DOP")="USD",T27,S27))</f>
        <v/>
      </c>
      <c r="AG27" s="53">
        <f>IF(AC27="","",IF(IFERROR(INDEX(ctaMoneda,MATCH(AC27,ctaNombre,0))&amp;"","DOP")="USD",T27,S27))</f>
        <v/>
      </c>
      <c r="AH27" s="53">
        <f>IF(P27="","",IF(AND(AD27&lt;&gt;"",COUNTIFS(tcTipo,AD27,tcLiq,"Sí")&gt;0),IF(OR(P27="Gasto",P27="Transferencia",P27="Pago tarjeta"),-1,1)*S27,0)+IF(AND(AE27&lt;&gt;"",COUNTIFS(tcTipo,AE27,tcLiq,"Sí")&gt;0),S27,0))</f>
        <v/>
      </c>
      <c r="AI27" s="52">
        <f>IF(OR(L27="",P27=""),"",IF(COUNTIFS(L$6:L27,L27,P$6:P27,"?*")=1,MAX(AI$5:AI26)+1,""))</f>
        <v/>
      </c>
    </row>
    <row r="28">
      <c r="B28" s="47" t="n">
        <v>46245</v>
      </c>
      <c r="C28" s="48" t="inlineStr">
        <is>
          <t>Gasto</t>
        </is>
      </c>
      <c r="D28" s="48" t="inlineStr">
        <is>
          <t>Alimentación</t>
        </is>
      </c>
      <c r="E28" s="48" t="inlineStr">
        <is>
          <t>Almuerzos laborales</t>
        </is>
      </c>
      <c r="F28" s="48" t="inlineStr">
        <is>
          <t>DEMO · Almuerzo laboral</t>
        </is>
      </c>
      <c r="G28" s="49" t="n">
        <v>525</v>
      </c>
      <c r="H28" s="48" t="inlineStr">
        <is>
          <t>DOP</t>
        </is>
      </c>
      <c r="I28" s="50" t="n"/>
      <c r="J28" s="48" t="inlineStr">
        <is>
          <t>Tarjeta de débito</t>
        </is>
      </c>
      <c r="K28" s="48" t="n"/>
      <c r="L28" s="48" t="inlineStr">
        <is>
          <t>Comedor ejecutivo</t>
        </is>
      </c>
      <c r="M28" s="48" t="n"/>
      <c r="N28" s="48" t="inlineStr">
        <is>
          <t>DEMOSTRACIÓN</t>
        </is>
      </c>
      <c r="O28" s="51">
        <f>IF(AND(B28="",G28="",C28="",D28="",J28=""),"",IF(B28="","⚠ Falta fecha",IF(G28="","⚠ Falta monto",IF(Q28="","⚠ Falta cuenta",IF(ISNA(MATCH(Q28,ctaNombre,0)),"⚠ Cuenta no registrada",IF(AND(OR(P28="Gasto",P28="Reembolso"),D28=""),"⚠ Falta categoría",IF(AND(D28&lt;&gt;"",E28&lt;&gt;"",ISNA(MATCH(D28&amp;"|"&amp;E28,catClave,0))),"⚠ Subcategoría no corresponde",IF(AND(OR(P28="Transferencia",P28="Pago tarjeta"),K28=""),"⚠ Falta cuenta destino",IF(AND(K28&lt;&gt;"",P28&lt;&gt;"Transferencia",P28&lt;&gt;"Pago tarjeta"),"⚠ Destino solo aplica a transferencias",IF(AND(K28&lt;&gt;"",K28=Q28),"⚠ Origen igual a destino",IF(AND(K28&lt;&gt;"",ISNA(MATCH(K28,ctaNombre,0))),"⚠ Destino no registrado",IF(AND(P28="Pago tarjeta",AE28&lt;&gt;"Tarjeta de crédito"),"⚠ El destino debe ser tarjeta de crédito",IF(AND(P28="Gasto",E28="Depósitos y retiros"),"⚠ Usa tipo Transferencia",IF(AND(P28="Resultado trading",AD28&lt;&gt;"Cuenta de trading"),"⚠ Usa una cuenta de trading",IF(AND(G28&lt;=0,P28&lt;&gt;"Ajuste",P28&lt;&gt;"Resultado trading"),"⚠ El monto debe ser positivo","✓")))))))))))))))</f>
        <v/>
      </c>
      <c r="P28" s="52">
        <f>IF(OR(B28="",G28=""),"",IF(C28="","Gasto",C28))</f>
        <v/>
      </c>
      <c r="Q28" s="52">
        <f>IF(P28="","",IF(J28&lt;&gt;"",J28,CuentaPred&amp;""))</f>
        <v/>
      </c>
      <c r="R28" s="52">
        <f>IF(P28="","",IF(ISNUMBER(I28),I28,TasaUSD))</f>
        <v/>
      </c>
      <c r="S28" s="53">
        <f>IF(P28="","",IF(H28="USD",G28*R28,G28))</f>
        <v/>
      </c>
      <c r="T28" s="53">
        <f>IF(P28="","",IF(H28="USD",G28,IF(R28&gt;0,G28/R28,0)))</f>
        <v/>
      </c>
      <c r="U28" s="53">
        <f>IF(P28="","",IF(P28="Gasto",S28,IF(P28="Reembolso",-S28,0)))</f>
        <v/>
      </c>
      <c r="V28" s="53">
        <f>IF(P28="","",IF(P28="Ingreso",S28,0))</f>
        <v/>
      </c>
      <c r="W28" s="53">
        <f>IF(P28="","",IF(P28="Resultado trading",S28,0))</f>
        <v/>
      </c>
      <c r="X28" s="52">
        <f>IF(OR(P28="Gasto",P28="Reembolso"),IF(M28&lt;&gt;"",M28,IFERROR(INDEX(catClasif,MATCH(D28&amp;"|"&amp;E28,catClave,0))&amp;"","Variable")),"")</f>
        <v/>
      </c>
      <c r="Y28" s="52">
        <f>IF(P28="","",IFERROR(INDEX(catGrupo,MATCH(D28&amp;"|"&amp;E28,catClave,0))&amp;"",""))</f>
        <v/>
      </c>
      <c r="Z28" s="52">
        <f>IF(P28="","",WEEKDAY(B28,2))</f>
        <v/>
      </c>
      <c r="AA28" s="52">
        <f>IF(P28="","",IF(AND(P28="Gasto",X28="Variable",D28&lt;&gt;catTrading,S28&gt;0,S28&lt;=Umbral),1,0))</f>
        <v/>
      </c>
      <c r="AB28" s="52">
        <f>IF(OR(P28="",Q28=""),"",IFERROR(IF(INDEX(ctaVinc,MATCH(Q28,ctaNombre,0))&amp;""&lt;&gt;"",INDEX(ctaVinc,MATCH(Q28,ctaNombre,0))&amp;"",Q28),Q28))</f>
        <v/>
      </c>
      <c r="AC28" s="52">
        <f>IF(OR(K28="",AND(P28&lt;&gt;"Transferencia",P28&lt;&gt;"Pago tarjeta")),"",IFERROR(IF(INDEX(ctaVinc,MATCH(K28,ctaNombre,0))&amp;""&lt;&gt;"",INDEX(ctaVinc,MATCH(K28,ctaNombre,0))&amp;"",K28),K28))</f>
        <v/>
      </c>
      <c r="AD28" s="52">
        <f>IF(AB28="","",IFERROR(INDEX(ctaTipo,MATCH(AB28,ctaNombre,0))&amp;"",""))</f>
        <v/>
      </c>
      <c r="AE28" s="52">
        <f>IF(AC28="","",IFERROR(INDEX(ctaTipo,MATCH(AC28,ctaNombre,0))&amp;"",""))</f>
        <v/>
      </c>
      <c r="AF28" s="53">
        <f>IF(OR(P28="",AB28=""),"",IF(OR(P28="Gasto",P28="Transferencia",P28="Pago tarjeta"),-1,1)*IF(IFERROR(INDEX(ctaMoneda,MATCH(AB28,ctaNombre,0))&amp;"","DOP")="USD",T28,S28))</f>
        <v/>
      </c>
      <c r="AG28" s="53">
        <f>IF(AC28="","",IF(IFERROR(INDEX(ctaMoneda,MATCH(AC28,ctaNombre,0))&amp;"","DOP")="USD",T28,S28))</f>
        <v/>
      </c>
      <c r="AH28" s="53">
        <f>IF(P28="","",IF(AND(AD28&lt;&gt;"",COUNTIFS(tcTipo,AD28,tcLiq,"Sí")&gt;0),IF(OR(P28="Gasto",P28="Transferencia",P28="Pago tarjeta"),-1,1)*S28,0)+IF(AND(AE28&lt;&gt;"",COUNTIFS(tcTipo,AE28,tcLiq,"Sí")&gt;0),S28,0))</f>
        <v/>
      </c>
      <c r="AI28" s="52">
        <f>IF(OR(L28="",P28=""),"",IF(COUNTIFS(L$6:L28,L28,P$6:P28,"?*")=1,MAX(AI$5:AI27)+1,""))</f>
        <v/>
      </c>
    </row>
    <row r="29">
      <c r="B29" s="47" t="n">
        <v>46246</v>
      </c>
      <c r="C29" s="48" t="inlineStr">
        <is>
          <t>Gasto</t>
        </is>
      </c>
      <c r="D29" s="48" t="inlineStr">
        <is>
          <t>Alimentación</t>
        </is>
      </c>
      <c r="E29" s="48" t="inlineStr">
        <is>
          <t>Almuerzos laborales</t>
        </is>
      </c>
      <c r="F29" s="48" t="inlineStr">
        <is>
          <t>DEMO · Almuerzo laboral</t>
        </is>
      </c>
      <c r="G29" s="49" t="n">
        <v>450</v>
      </c>
      <c r="H29" s="48" t="inlineStr">
        <is>
          <t>DOP</t>
        </is>
      </c>
      <c r="I29" s="50" t="n"/>
      <c r="J29" s="48" t="inlineStr">
        <is>
          <t>Tarjeta de débito</t>
        </is>
      </c>
      <c r="K29" s="48" t="n"/>
      <c r="L29" s="48" t="inlineStr">
        <is>
          <t>Comedor ejecutivo</t>
        </is>
      </c>
      <c r="M29" s="48" t="n"/>
      <c r="N29" s="48" t="inlineStr">
        <is>
          <t>DEMOSTRACIÓN</t>
        </is>
      </c>
      <c r="O29" s="51">
        <f>IF(AND(B29="",G29="",C29="",D29="",J29=""),"",IF(B29="","⚠ Falta fecha",IF(G29="","⚠ Falta monto",IF(Q29="","⚠ Falta cuenta",IF(ISNA(MATCH(Q29,ctaNombre,0)),"⚠ Cuenta no registrada",IF(AND(OR(P29="Gasto",P29="Reembolso"),D29=""),"⚠ Falta categoría",IF(AND(D29&lt;&gt;"",E29&lt;&gt;"",ISNA(MATCH(D29&amp;"|"&amp;E29,catClave,0))),"⚠ Subcategoría no corresponde",IF(AND(OR(P29="Transferencia",P29="Pago tarjeta"),K29=""),"⚠ Falta cuenta destino",IF(AND(K29&lt;&gt;"",P29&lt;&gt;"Transferencia",P29&lt;&gt;"Pago tarjeta"),"⚠ Destino solo aplica a transferencias",IF(AND(K29&lt;&gt;"",K29=Q29),"⚠ Origen igual a destino",IF(AND(K29&lt;&gt;"",ISNA(MATCH(K29,ctaNombre,0))),"⚠ Destino no registrado",IF(AND(P29="Pago tarjeta",AE29&lt;&gt;"Tarjeta de crédito"),"⚠ El destino debe ser tarjeta de crédito",IF(AND(P29="Gasto",E29="Depósitos y retiros"),"⚠ Usa tipo Transferencia",IF(AND(P29="Resultado trading",AD29&lt;&gt;"Cuenta de trading"),"⚠ Usa una cuenta de trading",IF(AND(G29&lt;=0,P29&lt;&gt;"Ajuste",P29&lt;&gt;"Resultado trading"),"⚠ El monto debe ser positivo","✓")))))))))))))))</f>
        <v/>
      </c>
      <c r="P29" s="52">
        <f>IF(OR(B29="",G29=""),"",IF(C29="","Gasto",C29))</f>
        <v/>
      </c>
      <c r="Q29" s="52">
        <f>IF(P29="","",IF(J29&lt;&gt;"",J29,CuentaPred&amp;""))</f>
        <v/>
      </c>
      <c r="R29" s="52">
        <f>IF(P29="","",IF(ISNUMBER(I29),I29,TasaUSD))</f>
        <v/>
      </c>
      <c r="S29" s="53">
        <f>IF(P29="","",IF(H29="USD",G29*R29,G29))</f>
        <v/>
      </c>
      <c r="T29" s="53">
        <f>IF(P29="","",IF(H29="USD",G29,IF(R29&gt;0,G29/R29,0)))</f>
        <v/>
      </c>
      <c r="U29" s="53">
        <f>IF(P29="","",IF(P29="Gasto",S29,IF(P29="Reembolso",-S29,0)))</f>
        <v/>
      </c>
      <c r="V29" s="53">
        <f>IF(P29="","",IF(P29="Ingreso",S29,0))</f>
        <v/>
      </c>
      <c r="W29" s="53">
        <f>IF(P29="","",IF(P29="Resultado trading",S29,0))</f>
        <v/>
      </c>
      <c r="X29" s="52">
        <f>IF(OR(P29="Gasto",P29="Reembolso"),IF(M29&lt;&gt;"",M29,IFERROR(INDEX(catClasif,MATCH(D29&amp;"|"&amp;E29,catClave,0))&amp;"","Variable")),"")</f>
        <v/>
      </c>
      <c r="Y29" s="52">
        <f>IF(P29="","",IFERROR(INDEX(catGrupo,MATCH(D29&amp;"|"&amp;E29,catClave,0))&amp;"",""))</f>
        <v/>
      </c>
      <c r="Z29" s="52">
        <f>IF(P29="","",WEEKDAY(B29,2))</f>
        <v/>
      </c>
      <c r="AA29" s="52">
        <f>IF(P29="","",IF(AND(P29="Gasto",X29="Variable",D29&lt;&gt;catTrading,S29&gt;0,S29&lt;=Umbral),1,0))</f>
        <v/>
      </c>
      <c r="AB29" s="52">
        <f>IF(OR(P29="",Q29=""),"",IFERROR(IF(INDEX(ctaVinc,MATCH(Q29,ctaNombre,0))&amp;""&lt;&gt;"",INDEX(ctaVinc,MATCH(Q29,ctaNombre,0))&amp;"",Q29),Q29))</f>
        <v/>
      </c>
      <c r="AC29" s="52">
        <f>IF(OR(K29="",AND(P29&lt;&gt;"Transferencia",P29&lt;&gt;"Pago tarjeta")),"",IFERROR(IF(INDEX(ctaVinc,MATCH(K29,ctaNombre,0))&amp;""&lt;&gt;"",INDEX(ctaVinc,MATCH(K29,ctaNombre,0))&amp;"",K29),K29))</f>
        <v/>
      </c>
      <c r="AD29" s="52">
        <f>IF(AB29="","",IFERROR(INDEX(ctaTipo,MATCH(AB29,ctaNombre,0))&amp;"",""))</f>
        <v/>
      </c>
      <c r="AE29" s="52">
        <f>IF(AC29="","",IFERROR(INDEX(ctaTipo,MATCH(AC29,ctaNombre,0))&amp;"",""))</f>
        <v/>
      </c>
      <c r="AF29" s="53">
        <f>IF(OR(P29="",AB29=""),"",IF(OR(P29="Gasto",P29="Transferencia",P29="Pago tarjeta"),-1,1)*IF(IFERROR(INDEX(ctaMoneda,MATCH(AB29,ctaNombre,0))&amp;"","DOP")="USD",T29,S29))</f>
        <v/>
      </c>
      <c r="AG29" s="53">
        <f>IF(AC29="","",IF(IFERROR(INDEX(ctaMoneda,MATCH(AC29,ctaNombre,0))&amp;"","DOP")="USD",T29,S29))</f>
        <v/>
      </c>
      <c r="AH29" s="53">
        <f>IF(P29="","",IF(AND(AD29&lt;&gt;"",COUNTIFS(tcTipo,AD29,tcLiq,"Sí")&gt;0),IF(OR(P29="Gasto",P29="Transferencia",P29="Pago tarjeta"),-1,1)*S29,0)+IF(AND(AE29&lt;&gt;"",COUNTIFS(tcTipo,AE29,tcLiq,"Sí")&gt;0),S29,0))</f>
        <v/>
      </c>
      <c r="AI29" s="52">
        <f>IF(OR(L29="",P29=""),"",IF(COUNTIFS(L$6:L29,L29,P$6:P29,"?*")=1,MAX(AI$5:AI28)+1,""))</f>
        <v/>
      </c>
    </row>
    <row r="30">
      <c r="B30" s="47" t="n">
        <v>46246</v>
      </c>
      <c r="C30" s="48" t="inlineStr">
        <is>
          <t>Gasto</t>
        </is>
      </c>
      <c r="D30" s="48" t="inlineStr">
        <is>
          <t>Alimentación</t>
        </is>
      </c>
      <c r="E30" s="48" t="inlineStr">
        <is>
          <t>Supermercado</t>
        </is>
      </c>
      <c r="F30" s="48" t="inlineStr">
        <is>
          <t>DEMO · Compra de supermercado</t>
        </is>
      </c>
      <c r="G30" s="49" t="n">
        <v>6250</v>
      </c>
      <c r="H30" s="48" t="inlineStr">
        <is>
          <t>DOP</t>
        </is>
      </c>
      <c r="I30" s="50" t="n"/>
      <c r="J30" s="48" t="inlineStr">
        <is>
          <t>Tarjeta de crédito</t>
        </is>
      </c>
      <c r="K30" s="48" t="n"/>
      <c r="L30" s="48" t="inlineStr">
        <is>
          <t>Supermercado principal</t>
        </is>
      </c>
      <c r="M30" s="48" t="n"/>
      <c r="N30" s="48" t="inlineStr">
        <is>
          <t>DEMOSTRACIÓN</t>
        </is>
      </c>
      <c r="O30" s="51">
        <f>IF(AND(B30="",G30="",C30="",D30="",J30=""),"",IF(B30="","⚠ Falta fecha",IF(G30="","⚠ Falta monto",IF(Q30="","⚠ Falta cuenta",IF(ISNA(MATCH(Q30,ctaNombre,0)),"⚠ Cuenta no registrada",IF(AND(OR(P30="Gasto",P30="Reembolso"),D30=""),"⚠ Falta categoría",IF(AND(D30&lt;&gt;"",E30&lt;&gt;"",ISNA(MATCH(D30&amp;"|"&amp;E30,catClave,0))),"⚠ Subcategoría no corresponde",IF(AND(OR(P30="Transferencia",P30="Pago tarjeta"),K30=""),"⚠ Falta cuenta destino",IF(AND(K30&lt;&gt;"",P30&lt;&gt;"Transferencia",P30&lt;&gt;"Pago tarjeta"),"⚠ Destino solo aplica a transferencias",IF(AND(K30&lt;&gt;"",K30=Q30),"⚠ Origen igual a destino",IF(AND(K30&lt;&gt;"",ISNA(MATCH(K30,ctaNombre,0))),"⚠ Destino no registrado",IF(AND(P30="Pago tarjeta",AE30&lt;&gt;"Tarjeta de crédito"),"⚠ El destino debe ser tarjeta de crédito",IF(AND(P30="Gasto",E30="Depósitos y retiros"),"⚠ Usa tipo Transferencia",IF(AND(P30="Resultado trading",AD30&lt;&gt;"Cuenta de trading"),"⚠ Usa una cuenta de trading",IF(AND(G30&lt;=0,P30&lt;&gt;"Ajuste",P30&lt;&gt;"Resultado trading"),"⚠ El monto debe ser positivo","✓")))))))))))))))</f>
        <v/>
      </c>
      <c r="P30" s="52">
        <f>IF(OR(B30="",G30=""),"",IF(C30="","Gasto",C30))</f>
        <v/>
      </c>
      <c r="Q30" s="52">
        <f>IF(P30="","",IF(J30&lt;&gt;"",J30,CuentaPred&amp;""))</f>
        <v/>
      </c>
      <c r="R30" s="52">
        <f>IF(P30="","",IF(ISNUMBER(I30),I30,TasaUSD))</f>
        <v/>
      </c>
      <c r="S30" s="53">
        <f>IF(P30="","",IF(H30="USD",G30*R30,G30))</f>
        <v/>
      </c>
      <c r="T30" s="53">
        <f>IF(P30="","",IF(H30="USD",G30,IF(R30&gt;0,G30/R30,0)))</f>
        <v/>
      </c>
      <c r="U30" s="53">
        <f>IF(P30="","",IF(P30="Gasto",S30,IF(P30="Reembolso",-S30,0)))</f>
        <v/>
      </c>
      <c r="V30" s="53">
        <f>IF(P30="","",IF(P30="Ingreso",S30,0))</f>
        <v/>
      </c>
      <c r="W30" s="53">
        <f>IF(P30="","",IF(P30="Resultado trading",S30,0))</f>
        <v/>
      </c>
      <c r="X30" s="52">
        <f>IF(OR(P30="Gasto",P30="Reembolso"),IF(M30&lt;&gt;"",M30,IFERROR(INDEX(catClasif,MATCH(D30&amp;"|"&amp;E30,catClave,0))&amp;"","Variable")),"")</f>
        <v/>
      </c>
      <c r="Y30" s="52">
        <f>IF(P30="","",IFERROR(INDEX(catGrupo,MATCH(D30&amp;"|"&amp;E30,catClave,0))&amp;"",""))</f>
        <v/>
      </c>
      <c r="Z30" s="52">
        <f>IF(P30="","",WEEKDAY(B30,2))</f>
        <v/>
      </c>
      <c r="AA30" s="52">
        <f>IF(P30="","",IF(AND(P30="Gasto",X30="Variable",D30&lt;&gt;catTrading,S30&gt;0,S30&lt;=Umbral),1,0))</f>
        <v/>
      </c>
      <c r="AB30" s="52">
        <f>IF(OR(P30="",Q30=""),"",IFERROR(IF(INDEX(ctaVinc,MATCH(Q30,ctaNombre,0))&amp;""&lt;&gt;"",INDEX(ctaVinc,MATCH(Q30,ctaNombre,0))&amp;"",Q30),Q30))</f>
        <v/>
      </c>
      <c r="AC30" s="52">
        <f>IF(OR(K30="",AND(P30&lt;&gt;"Transferencia",P30&lt;&gt;"Pago tarjeta")),"",IFERROR(IF(INDEX(ctaVinc,MATCH(K30,ctaNombre,0))&amp;""&lt;&gt;"",INDEX(ctaVinc,MATCH(K30,ctaNombre,0))&amp;"",K30),K30))</f>
        <v/>
      </c>
      <c r="AD30" s="52">
        <f>IF(AB30="","",IFERROR(INDEX(ctaTipo,MATCH(AB30,ctaNombre,0))&amp;"",""))</f>
        <v/>
      </c>
      <c r="AE30" s="52">
        <f>IF(AC30="","",IFERROR(INDEX(ctaTipo,MATCH(AC30,ctaNombre,0))&amp;"",""))</f>
        <v/>
      </c>
      <c r="AF30" s="53">
        <f>IF(OR(P30="",AB30=""),"",IF(OR(P30="Gasto",P30="Transferencia",P30="Pago tarjeta"),-1,1)*IF(IFERROR(INDEX(ctaMoneda,MATCH(AB30,ctaNombre,0))&amp;"","DOP")="USD",T30,S30))</f>
        <v/>
      </c>
      <c r="AG30" s="53">
        <f>IF(AC30="","",IF(IFERROR(INDEX(ctaMoneda,MATCH(AC30,ctaNombre,0))&amp;"","DOP")="USD",T30,S30))</f>
        <v/>
      </c>
      <c r="AH30" s="53">
        <f>IF(P30="","",IF(AND(AD30&lt;&gt;"",COUNTIFS(tcTipo,AD30,tcLiq,"Sí")&gt;0),IF(OR(P30="Gasto",P30="Transferencia",P30="Pago tarjeta"),-1,1)*S30,0)+IF(AND(AE30&lt;&gt;"",COUNTIFS(tcTipo,AE30,tcLiq,"Sí")&gt;0),S30,0))</f>
        <v/>
      </c>
      <c r="AI30" s="52">
        <f>IF(OR(L30="",P30=""),"",IF(COUNTIFS(L$6:L30,L30,P$6:P30,"?*")=1,MAX(AI$5:AI29)+1,""))</f>
        <v/>
      </c>
    </row>
    <row r="31">
      <c r="B31" s="47" t="n">
        <v>46246</v>
      </c>
      <c r="C31" s="48" t="inlineStr">
        <is>
          <t>Gasto</t>
        </is>
      </c>
      <c r="D31" s="48" t="inlineStr">
        <is>
          <t>Hogar y servicios</t>
        </is>
      </c>
      <c r="E31" s="48" t="inlineStr">
        <is>
          <t>Electricidad</t>
        </is>
      </c>
      <c r="F31" s="48" t="inlineStr">
        <is>
          <t>DEMO · Factura de luz</t>
        </is>
      </c>
      <c r="G31" s="49" t="n">
        <v>3170</v>
      </c>
      <c r="H31" s="48" t="inlineStr">
        <is>
          <t>DOP</t>
        </is>
      </c>
      <c r="I31" s="50" t="n"/>
      <c r="J31" s="48" t="inlineStr">
        <is>
          <t>Banco principal</t>
        </is>
      </c>
      <c r="K31" s="48" t="n"/>
      <c r="L31" s="48" t="inlineStr">
        <is>
          <t>Empresa eléctrica</t>
        </is>
      </c>
      <c r="M31" s="48" t="n"/>
      <c r="N31" s="48" t="inlineStr">
        <is>
          <t>DEMOSTRACIÓN</t>
        </is>
      </c>
      <c r="O31" s="51">
        <f>IF(AND(B31="",G31="",C31="",D31="",J31=""),"",IF(B31="","⚠ Falta fecha",IF(G31="","⚠ Falta monto",IF(Q31="","⚠ Falta cuenta",IF(ISNA(MATCH(Q31,ctaNombre,0)),"⚠ Cuenta no registrada",IF(AND(OR(P31="Gasto",P31="Reembolso"),D31=""),"⚠ Falta categoría",IF(AND(D31&lt;&gt;"",E31&lt;&gt;"",ISNA(MATCH(D31&amp;"|"&amp;E31,catClave,0))),"⚠ Subcategoría no corresponde",IF(AND(OR(P31="Transferencia",P31="Pago tarjeta"),K31=""),"⚠ Falta cuenta destino",IF(AND(K31&lt;&gt;"",P31&lt;&gt;"Transferencia",P31&lt;&gt;"Pago tarjeta"),"⚠ Destino solo aplica a transferencias",IF(AND(K31&lt;&gt;"",K31=Q31),"⚠ Origen igual a destino",IF(AND(K31&lt;&gt;"",ISNA(MATCH(K31,ctaNombre,0))),"⚠ Destino no registrado",IF(AND(P31="Pago tarjeta",AE31&lt;&gt;"Tarjeta de crédito"),"⚠ El destino debe ser tarjeta de crédito",IF(AND(P31="Gasto",E31="Depósitos y retiros"),"⚠ Usa tipo Transferencia",IF(AND(P31="Resultado trading",AD31&lt;&gt;"Cuenta de trading"),"⚠ Usa una cuenta de trading",IF(AND(G31&lt;=0,P31&lt;&gt;"Ajuste",P31&lt;&gt;"Resultado trading"),"⚠ El monto debe ser positivo","✓")))))))))))))))</f>
        <v/>
      </c>
      <c r="P31" s="52">
        <f>IF(OR(B31="",G31=""),"",IF(C31="","Gasto",C31))</f>
        <v/>
      </c>
      <c r="Q31" s="52">
        <f>IF(P31="","",IF(J31&lt;&gt;"",J31,CuentaPred&amp;""))</f>
        <v/>
      </c>
      <c r="R31" s="52">
        <f>IF(P31="","",IF(ISNUMBER(I31),I31,TasaUSD))</f>
        <v/>
      </c>
      <c r="S31" s="53">
        <f>IF(P31="","",IF(H31="USD",G31*R31,G31))</f>
        <v/>
      </c>
      <c r="T31" s="53">
        <f>IF(P31="","",IF(H31="USD",G31,IF(R31&gt;0,G31/R31,0)))</f>
        <v/>
      </c>
      <c r="U31" s="53">
        <f>IF(P31="","",IF(P31="Gasto",S31,IF(P31="Reembolso",-S31,0)))</f>
        <v/>
      </c>
      <c r="V31" s="53">
        <f>IF(P31="","",IF(P31="Ingreso",S31,0))</f>
        <v/>
      </c>
      <c r="W31" s="53">
        <f>IF(P31="","",IF(P31="Resultado trading",S31,0))</f>
        <v/>
      </c>
      <c r="X31" s="52">
        <f>IF(OR(P31="Gasto",P31="Reembolso"),IF(M31&lt;&gt;"",M31,IFERROR(INDEX(catClasif,MATCH(D31&amp;"|"&amp;E31,catClave,0))&amp;"","Variable")),"")</f>
        <v/>
      </c>
      <c r="Y31" s="52">
        <f>IF(P31="","",IFERROR(INDEX(catGrupo,MATCH(D31&amp;"|"&amp;E31,catClave,0))&amp;"",""))</f>
        <v/>
      </c>
      <c r="Z31" s="52">
        <f>IF(P31="","",WEEKDAY(B31,2))</f>
        <v/>
      </c>
      <c r="AA31" s="52">
        <f>IF(P31="","",IF(AND(P31="Gasto",X31="Variable",D31&lt;&gt;catTrading,S31&gt;0,S31&lt;=Umbral),1,0))</f>
        <v/>
      </c>
      <c r="AB31" s="52">
        <f>IF(OR(P31="",Q31=""),"",IFERROR(IF(INDEX(ctaVinc,MATCH(Q31,ctaNombre,0))&amp;""&lt;&gt;"",INDEX(ctaVinc,MATCH(Q31,ctaNombre,0))&amp;"",Q31),Q31))</f>
        <v/>
      </c>
      <c r="AC31" s="52">
        <f>IF(OR(K31="",AND(P31&lt;&gt;"Transferencia",P31&lt;&gt;"Pago tarjeta")),"",IFERROR(IF(INDEX(ctaVinc,MATCH(K31,ctaNombre,0))&amp;""&lt;&gt;"",INDEX(ctaVinc,MATCH(K31,ctaNombre,0))&amp;"",K31),K31))</f>
        <v/>
      </c>
      <c r="AD31" s="52">
        <f>IF(AB31="","",IFERROR(INDEX(ctaTipo,MATCH(AB31,ctaNombre,0))&amp;"",""))</f>
        <v/>
      </c>
      <c r="AE31" s="52">
        <f>IF(AC31="","",IFERROR(INDEX(ctaTipo,MATCH(AC31,ctaNombre,0))&amp;"",""))</f>
        <v/>
      </c>
      <c r="AF31" s="53">
        <f>IF(OR(P31="",AB31=""),"",IF(OR(P31="Gasto",P31="Transferencia",P31="Pago tarjeta"),-1,1)*IF(IFERROR(INDEX(ctaMoneda,MATCH(AB31,ctaNombre,0))&amp;"","DOP")="USD",T31,S31))</f>
        <v/>
      </c>
      <c r="AG31" s="53">
        <f>IF(AC31="","",IF(IFERROR(INDEX(ctaMoneda,MATCH(AC31,ctaNombre,0))&amp;"","DOP")="USD",T31,S31))</f>
        <v/>
      </c>
      <c r="AH31" s="53">
        <f>IF(P31="","",IF(AND(AD31&lt;&gt;"",COUNTIFS(tcTipo,AD31,tcLiq,"Sí")&gt;0),IF(OR(P31="Gasto",P31="Transferencia",P31="Pago tarjeta"),-1,1)*S31,0)+IF(AND(AE31&lt;&gt;"",COUNTIFS(tcTipo,AE31,tcLiq,"Sí")&gt;0),S31,0))</f>
        <v/>
      </c>
      <c r="AI31" s="52">
        <f>IF(OR(L31="",P31=""),"",IF(COUNTIFS(L$6:L31,L31,P$6:P31,"?*")=1,MAX(AI$5:AI30)+1,""))</f>
        <v/>
      </c>
    </row>
    <row r="32">
      <c r="B32" s="47" t="n">
        <v>46247</v>
      </c>
      <c r="C32" s="48" t="inlineStr">
        <is>
          <t>Gasto</t>
        </is>
      </c>
      <c r="D32" s="48" t="inlineStr">
        <is>
          <t>Alimentación</t>
        </is>
      </c>
      <c r="E32" s="48" t="inlineStr">
        <is>
          <t>Almuerzos laborales</t>
        </is>
      </c>
      <c r="F32" s="48" t="inlineStr">
        <is>
          <t>DEMO · Almuerzo laboral</t>
        </is>
      </c>
      <c r="G32" s="49" t="n">
        <v>425</v>
      </c>
      <c r="H32" s="48" t="inlineStr">
        <is>
          <t>DOP</t>
        </is>
      </c>
      <c r="I32" s="50" t="n"/>
      <c r="J32" s="48" t="inlineStr">
        <is>
          <t>Billetera digital</t>
        </is>
      </c>
      <c r="K32" s="48" t="n"/>
      <c r="L32" s="48" t="inlineStr">
        <is>
          <t>Comedor ejecutivo</t>
        </is>
      </c>
      <c r="M32" s="48" t="n"/>
      <c r="N32" s="48" t="inlineStr">
        <is>
          <t>DEMOSTRACIÓN</t>
        </is>
      </c>
      <c r="O32" s="51">
        <f>IF(AND(B32="",G32="",C32="",D32="",J32=""),"",IF(B32="","⚠ Falta fecha",IF(G32="","⚠ Falta monto",IF(Q32="","⚠ Falta cuenta",IF(ISNA(MATCH(Q32,ctaNombre,0)),"⚠ Cuenta no registrada",IF(AND(OR(P32="Gasto",P32="Reembolso"),D32=""),"⚠ Falta categoría",IF(AND(D32&lt;&gt;"",E32&lt;&gt;"",ISNA(MATCH(D32&amp;"|"&amp;E32,catClave,0))),"⚠ Subcategoría no corresponde",IF(AND(OR(P32="Transferencia",P32="Pago tarjeta"),K32=""),"⚠ Falta cuenta destino",IF(AND(K32&lt;&gt;"",P32&lt;&gt;"Transferencia",P32&lt;&gt;"Pago tarjeta"),"⚠ Destino solo aplica a transferencias",IF(AND(K32&lt;&gt;"",K32=Q32),"⚠ Origen igual a destino",IF(AND(K32&lt;&gt;"",ISNA(MATCH(K32,ctaNombre,0))),"⚠ Destino no registrado",IF(AND(P32="Pago tarjeta",AE32&lt;&gt;"Tarjeta de crédito"),"⚠ El destino debe ser tarjeta de crédito",IF(AND(P32="Gasto",E32="Depósitos y retiros"),"⚠ Usa tipo Transferencia",IF(AND(P32="Resultado trading",AD32&lt;&gt;"Cuenta de trading"),"⚠ Usa una cuenta de trading",IF(AND(G32&lt;=0,P32&lt;&gt;"Ajuste",P32&lt;&gt;"Resultado trading"),"⚠ El monto debe ser positivo","✓")))))))))))))))</f>
        <v/>
      </c>
      <c r="P32" s="52">
        <f>IF(OR(B32="",G32=""),"",IF(C32="","Gasto",C32))</f>
        <v/>
      </c>
      <c r="Q32" s="52">
        <f>IF(P32="","",IF(J32&lt;&gt;"",J32,CuentaPred&amp;""))</f>
        <v/>
      </c>
      <c r="R32" s="52">
        <f>IF(P32="","",IF(ISNUMBER(I32),I32,TasaUSD))</f>
        <v/>
      </c>
      <c r="S32" s="53">
        <f>IF(P32="","",IF(H32="USD",G32*R32,G32))</f>
        <v/>
      </c>
      <c r="T32" s="53">
        <f>IF(P32="","",IF(H32="USD",G32,IF(R32&gt;0,G32/R32,0)))</f>
        <v/>
      </c>
      <c r="U32" s="53">
        <f>IF(P32="","",IF(P32="Gasto",S32,IF(P32="Reembolso",-S32,0)))</f>
        <v/>
      </c>
      <c r="V32" s="53">
        <f>IF(P32="","",IF(P32="Ingreso",S32,0))</f>
        <v/>
      </c>
      <c r="W32" s="53">
        <f>IF(P32="","",IF(P32="Resultado trading",S32,0))</f>
        <v/>
      </c>
      <c r="X32" s="52">
        <f>IF(OR(P32="Gasto",P32="Reembolso"),IF(M32&lt;&gt;"",M32,IFERROR(INDEX(catClasif,MATCH(D32&amp;"|"&amp;E32,catClave,0))&amp;"","Variable")),"")</f>
        <v/>
      </c>
      <c r="Y32" s="52">
        <f>IF(P32="","",IFERROR(INDEX(catGrupo,MATCH(D32&amp;"|"&amp;E32,catClave,0))&amp;"",""))</f>
        <v/>
      </c>
      <c r="Z32" s="52">
        <f>IF(P32="","",WEEKDAY(B32,2))</f>
        <v/>
      </c>
      <c r="AA32" s="52">
        <f>IF(P32="","",IF(AND(P32="Gasto",X32="Variable",D32&lt;&gt;catTrading,S32&gt;0,S32&lt;=Umbral),1,0))</f>
        <v/>
      </c>
      <c r="AB32" s="52">
        <f>IF(OR(P32="",Q32=""),"",IFERROR(IF(INDEX(ctaVinc,MATCH(Q32,ctaNombre,0))&amp;""&lt;&gt;"",INDEX(ctaVinc,MATCH(Q32,ctaNombre,0))&amp;"",Q32),Q32))</f>
        <v/>
      </c>
      <c r="AC32" s="52">
        <f>IF(OR(K32="",AND(P32&lt;&gt;"Transferencia",P32&lt;&gt;"Pago tarjeta")),"",IFERROR(IF(INDEX(ctaVinc,MATCH(K32,ctaNombre,0))&amp;""&lt;&gt;"",INDEX(ctaVinc,MATCH(K32,ctaNombre,0))&amp;"",K32),K32))</f>
        <v/>
      </c>
      <c r="AD32" s="52">
        <f>IF(AB32="","",IFERROR(INDEX(ctaTipo,MATCH(AB32,ctaNombre,0))&amp;"",""))</f>
        <v/>
      </c>
      <c r="AE32" s="52">
        <f>IF(AC32="","",IFERROR(INDEX(ctaTipo,MATCH(AC32,ctaNombre,0))&amp;"",""))</f>
        <v/>
      </c>
      <c r="AF32" s="53">
        <f>IF(OR(P32="",AB32=""),"",IF(OR(P32="Gasto",P32="Transferencia",P32="Pago tarjeta"),-1,1)*IF(IFERROR(INDEX(ctaMoneda,MATCH(AB32,ctaNombre,0))&amp;"","DOP")="USD",T32,S32))</f>
        <v/>
      </c>
      <c r="AG32" s="53">
        <f>IF(AC32="","",IF(IFERROR(INDEX(ctaMoneda,MATCH(AC32,ctaNombre,0))&amp;"","DOP")="USD",T32,S32))</f>
        <v/>
      </c>
      <c r="AH32" s="53">
        <f>IF(P32="","",IF(AND(AD32&lt;&gt;"",COUNTIFS(tcTipo,AD32,tcLiq,"Sí")&gt;0),IF(OR(P32="Gasto",P32="Transferencia",P32="Pago tarjeta"),-1,1)*S32,0)+IF(AND(AE32&lt;&gt;"",COUNTIFS(tcTipo,AE32,tcLiq,"Sí")&gt;0),S32,0))</f>
        <v/>
      </c>
      <c r="AI32" s="52">
        <f>IF(OR(L32="",P32=""),"",IF(COUNTIFS(L$6:L32,L32,P$6:P32,"?*")=1,MAX(AI$5:AI31)+1,""))</f>
        <v/>
      </c>
    </row>
    <row r="33">
      <c r="B33" s="47" t="n">
        <v>46247</v>
      </c>
      <c r="C33" s="48" t="inlineStr">
        <is>
          <t>Gasto</t>
        </is>
      </c>
      <c r="D33" s="48" t="inlineStr">
        <is>
          <t>Transporte y vehículo</t>
        </is>
      </c>
      <c r="E33" s="48" t="inlineStr">
        <is>
          <t>Parqueos y peajes</t>
        </is>
      </c>
      <c r="F33" s="48" t="inlineStr">
        <is>
          <t>DEMO · Parqueo</t>
        </is>
      </c>
      <c r="G33" s="49" t="n">
        <v>50</v>
      </c>
      <c r="H33" s="48" t="inlineStr">
        <is>
          <t>DOP</t>
        </is>
      </c>
      <c r="I33" s="50" t="n"/>
      <c r="J33" s="48" t="inlineStr">
        <is>
          <t>Efectivo</t>
        </is>
      </c>
      <c r="K33" s="48" t="n"/>
      <c r="L33" s="48" t="inlineStr">
        <is>
          <t>Parqueo centro</t>
        </is>
      </c>
      <c r="M33" s="48" t="n"/>
      <c r="N33" s="48" t="inlineStr">
        <is>
          <t>DEMOSTRACIÓN</t>
        </is>
      </c>
      <c r="O33" s="51">
        <f>IF(AND(B33="",G33="",C33="",D33="",J33=""),"",IF(B33="","⚠ Falta fecha",IF(G33="","⚠ Falta monto",IF(Q33="","⚠ Falta cuenta",IF(ISNA(MATCH(Q33,ctaNombre,0)),"⚠ Cuenta no registrada",IF(AND(OR(P33="Gasto",P33="Reembolso"),D33=""),"⚠ Falta categoría",IF(AND(D33&lt;&gt;"",E33&lt;&gt;"",ISNA(MATCH(D33&amp;"|"&amp;E33,catClave,0))),"⚠ Subcategoría no corresponde",IF(AND(OR(P33="Transferencia",P33="Pago tarjeta"),K33=""),"⚠ Falta cuenta destino",IF(AND(K33&lt;&gt;"",P33&lt;&gt;"Transferencia",P33&lt;&gt;"Pago tarjeta"),"⚠ Destino solo aplica a transferencias",IF(AND(K33&lt;&gt;"",K33=Q33),"⚠ Origen igual a destino",IF(AND(K33&lt;&gt;"",ISNA(MATCH(K33,ctaNombre,0))),"⚠ Destino no registrado",IF(AND(P33="Pago tarjeta",AE33&lt;&gt;"Tarjeta de crédito"),"⚠ El destino debe ser tarjeta de crédito",IF(AND(P33="Gasto",E33="Depósitos y retiros"),"⚠ Usa tipo Transferencia",IF(AND(P33="Resultado trading",AD33&lt;&gt;"Cuenta de trading"),"⚠ Usa una cuenta de trading",IF(AND(G33&lt;=0,P33&lt;&gt;"Ajuste",P33&lt;&gt;"Resultado trading"),"⚠ El monto debe ser positivo","✓")))))))))))))))</f>
        <v/>
      </c>
      <c r="P33" s="52">
        <f>IF(OR(B33="",G33=""),"",IF(C33="","Gasto",C33))</f>
        <v/>
      </c>
      <c r="Q33" s="52">
        <f>IF(P33="","",IF(J33&lt;&gt;"",J33,CuentaPred&amp;""))</f>
        <v/>
      </c>
      <c r="R33" s="52">
        <f>IF(P33="","",IF(ISNUMBER(I33),I33,TasaUSD))</f>
        <v/>
      </c>
      <c r="S33" s="53">
        <f>IF(P33="","",IF(H33="USD",G33*R33,G33))</f>
        <v/>
      </c>
      <c r="T33" s="53">
        <f>IF(P33="","",IF(H33="USD",G33,IF(R33&gt;0,G33/R33,0)))</f>
        <v/>
      </c>
      <c r="U33" s="53">
        <f>IF(P33="","",IF(P33="Gasto",S33,IF(P33="Reembolso",-S33,0)))</f>
        <v/>
      </c>
      <c r="V33" s="53">
        <f>IF(P33="","",IF(P33="Ingreso",S33,0))</f>
        <v/>
      </c>
      <c r="W33" s="53">
        <f>IF(P33="","",IF(P33="Resultado trading",S33,0))</f>
        <v/>
      </c>
      <c r="X33" s="52">
        <f>IF(OR(P33="Gasto",P33="Reembolso"),IF(M33&lt;&gt;"",M33,IFERROR(INDEX(catClasif,MATCH(D33&amp;"|"&amp;E33,catClave,0))&amp;"","Variable")),"")</f>
        <v/>
      </c>
      <c r="Y33" s="52">
        <f>IF(P33="","",IFERROR(INDEX(catGrupo,MATCH(D33&amp;"|"&amp;E33,catClave,0))&amp;"",""))</f>
        <v/>
      </c>
      <c r="Z33" s="52">
        <f>IF(P33="","",WEEKDAY(B33,2))</f>
        <v/>
      </c>
      <c r="AA33" s="52">
        <f>IF(P33="","",IF(AND(P33="Gasto",X33="Variable",D33&lt;&gt;catTrading,S33&gt;0,S33&lt;=Umbral),1,0))</f>
        <v/>
      </c>
      <c r="AB33" s="52">
        <f>IF(OR(P33="",Q33=""),"",IFERROR(IF(INDEX(ctaVinc,MATCH(Q33,ctaNombre,0))&amp;""&lt;&gt;"",INDEX(ctaVinc,MATCH(Q33,ctaNombre,0))&amp;"",Q33),Q33))</f>
        <v/>
      </c>
      <c r="AC33" s="52">
        <f>IF(OR(K33="",AND(P33&lt;&gt;"Transferencia",P33&lt;&gt;"Pago tarjeta")),"",IFERROR(IF(INDEX(ctaVinc,MATCH(K33,ctaNombre,0))&amp;""&lt;&gt;"",INDEX(ctaVinc,MATCH(K33,ctaNombre,0))&amp;"",K33),K33))</f>
        <v/>
      </c>
      <c r="AD33" s="52">
        <f>IF(AB33="","",IFERROR(INDEX(ctaTipo,MATCH(AB33,ctaNombre,0))&amp;"",""))</f>
        <v/>
      </c>
      <c r="AE33" s="52">
        <f>IF(AC33="","",IFERROR(INDEX(ctaTipo,MATCH(AC33,ctaNombre,0))&amp;"",""))</f>
        <v/>
      </c>
      <c r="AF33" s="53">
        <f>IF(OR(P33="",AB33=""),"",IF(OR(P33="Gasto",P33="Transferencia",P33="Pago tarjeta"),-1,1)*IF(IFERROR(INDEX(ctaMoneda,MATCH(AB33,ctaNombre,0))&amp;"","DOP")="USD",T33,S33))</f>
        <v/>
      </c>
      <c r="AG33" s="53">
        <f>IF(AC33="","",IF(IFERROR(INDEX(ctaMoneda,MATCH(AC33,ctaNombre,0))&amp;"","DOP")="USD",T33,S33))</f>
        <v/>
      </c>
      <c r="AH33" s="53">
        <f>IF(P33="","",IF(AND(AD33&lt;&gt;"",COUNTIFS(tcTipo,AD33,tcLiq,"Sí")&gt;0),IF(OR(P33="Gasto",P33="Transferencia",P33="Pago tarjeta"),-1,1)*S33,0)+IF(AND(AE33&lt;&gt;"",COUNTIFS(tcTipo,AE33,tcLiq,"Sí")&gt;0),S33,0))</f>
        <v/>
      </c>
      <c r="AI33" s="52">
        <f>IF(OR(L33="",P33=""),"",IF(COUNTIFS(L$6:L33,L33,P$6:P33,"?*")=1,MAX(AI$5:AI32)+1,""))</f>
        <v/>
      </c>
    </row>
    <row r="34">
      <c r="B34" s="47" t="n">
        <v>46247</v>
      </c>
      <c r="C34" s="48" t="inlineStr">
        <is>
          <t>Gasto</t>
        </is>
      </c>
      <c r="D34" s="48" t="inlineStr">
        <is>
          <t>Hogar y servicios</t>
        </is>
      </c>
      <c r="E34" s="48" t="inlineStr">
        <is>
          <t>Agua</t>
        </is>
      </c>
      <c r="F34" s="48" t="inlineStr">
        <is>
          <t>DEMO · Factura de agua</t>
        </is>
      </c>
      <c r="G34" s="49" t="n">
        <v>450</v>
      </c>
      <c r="H34" s="48" t="inlineStr">
        <is>
          <t>DOP</t>
        </is>
      </c>
      <c r="I34" s="50" t="n"/>
      <c r="J34" s="48" t="inlineStr">
        <is>
          <t>Banco principal</t>
        </is>
      </c>
      <c r="K34" s="48" t="n"/>
      <c r="L34" s="48" t="inlineStr">
        <is>
          <t>Acueducto</t>
        </is>
      </c>
      <c r="M34" s="48" t="n"/>
      <c r="N34" s="48" t="inlineStr">
        <is>
          <t>DEMOSTRACIÓN</t>
        </is>
      </c>
      <c r="O34" s="51">
        <f>IF(AND(B34="",G34="",C34="",D34="",J34=""),"",IF(B34="","⚠ Falta fecha",IF(G34="","⚠ Falta monto",IF(Q34="","⚠ Falta cuenta",IF(ISNA(MATCH(Q34,ctaNombre,0)),"⚠ Cuenta no registrada",IF(AND(OR(P34="Gasto",P34="Reembolso"),D34=""),"⚠ Falta categoría",IF(AND(D34&lt;&gt;"",E34&lt;&gt;"",ISNA(MATCH(D34&amp;"|"&amp;E34,catClave,0))),"⚠ Subcategoría no corresponde",IF(AND(OR(P34="Transferencia",P34="Pago tarjeta"),K34=""),"⚠ Falta cuenta destino",IF(AND(K34&lt;&gt;"",P34&lt;&gt;"Transferencia",P34&lt;&gt;"Pago tarjeta"),"⚠ Destino solo aplica a transferencias",IF(AND(K34&lt;&gt;"",K34=Q34),"⚠ Origen igual a destino",IF(AND(K34&lt;&gt;"",ISNA(MATCH(K34,ctaNombre,0))),"⚠ Destino no registrado",IF(AND(P34="Pago tarjeta",AE34&lt;&gt;"Tarjeta de crédito"),"⚠ El destino debe ser tarjeta de crédito",IF(AND(P34="Gasto",E34="Depósitos y retiros"),"⚠ Usa tipo Transferencia",IF(AND(P34="Resultado trading",AD34&lt;&gt;"Cuenta de trading"),"⚠ Usa una cuenta de trading",IF(AND(G34&lt;=0,P34&lt;&gt;"Ajuste",P34&lt;&gt;"Resultado trading"),"⚠ El monto debe ser positivo","✓")))))))))))))))</f>
        <v/>
      </c>
      <c r="P34" s="52">
        <f>IF(OR(B34="",G34=""),"",IF(C34="","Gasto",C34))</f>
        <v/>
      </c>
      <c r="Q34" s="52">
        <f>IF(P34="","",IF(J34&lt;&gt;"",J34,CuentaPred&amp;""))</f>
        <v/>
      </c>
      <c r="R34" s="52">
        <f>IF(P34="","",IF(ISNUMBER(I34),I34,TasaUSD))</f>
        <v/>
      </c>
      <c r="S34" s="53">
        <f>IF(P34="","",IF(H34="USD",G34*R34,G34))</f>
        <v/>
      </c>
      <c r="T34" s="53">
        <f>IF(P34="","",IF(H34="USD",G34,IF(R34&gt;0,G34/R34,0)))</f>
        <v/>
      </c>
      <c r="U34" s="53">
        <f>IF(P34="","",IF(P34="Gasto",S34,IF(P34="Reembolso",-S34,0)))</f>
        <v/>
      </c>
      <c r="V34" s="53">
        <f>IF(P34="","",IF(P34="Ingreso",S34,0))</f>
        <v/>
      </c>
      <c r="W34" s="53">
        <f>IF(P34="","",IF(P34="Resultado trading",S34,0))</f>
        <v/>
      </c>
      <c r="X34" s="52">
        <f>IF(OR(P34="Gasto",P34="Reembolso"),IF(M34&lt;&gt;"",M34,IFERROR(INDEX(catClasif,MATCH(D34&amp;"|"&amp;E34,catClave,0))&amp;"","Variable")),"")</f>
        <v/>
      </c>
      <c r="Y34" s="52">
        <f>IF(P34="","",IFERROR(INDEX(catGrupo,MATCH(D34&amp;"|"&amp;E34,catClave,0))&amp;"",""))</f>
        <v/>
      </c>
      <c r="Z34" s="52">
        <f>IF(P34="","",WEEKDAY(B34,2))</f>
        <v/>
      </c>
      <c r="AA34" s="52">
        <f>IF(P34="","",IF(AND(P34="Gasto",X34="Variable",D34&lt;&gt;catTrading,S34&gt;0,S34&lt;=Umbral),1,0))</f>
        <v/>
      </c>
      <c r="AB34" s="52">
        <f>IF(OR(P34="",Q34=""),"",IFERROR(IF(INDEX(ctaVinc,MATCH(Q34,ctaNombre,0))&amp;""&lt;&gt;"",INDEX(ctaVinc,MATCH(Q34,ctaNombre,0))&amp;"",Q34),Q34))</f>
        <v/>
      </c>
      <c r="AC34" s="52">
        <f>IF(OR(K34="",AND(P34&lt;&gt;"Transferencia",P34&lt;&gt;"Pago tarjeta")),"",IFERROR(IF(INDEX(ctaVinc,MATCH(K34,ctaNombre,0))&amp;""&lt;&gt;"",INDEX(ctaVinc,MATCH(K34,ctaNombre,0))&amp;"",K34),K34))</f>
        <v/>
      </c>
      <c r="AD34" s="52">
        <f>IF(AB34="","",IFERROR(INDEX(ctaTipo,MATCH(AB34,ctaNombre,0))&amp;"",""))</f>
        <v/>
      </c>
      <c r="AE34" s="52">
        <f>IF(AC34="","",IFERROR(INDEX(ctaTipo,MATCH(AC34,ctaNombre,0))&amp;"",""))</f>
        <v/>
      </c>
      <c r="AF34" s="53">
        <f>IF(OR(P34="",AB34=""),"",IF(OR(P34="Gasto",P34="Transferencia",P34="Pago tarjeta"),-1,1)*IF(IFERROR(INDEX(ctaMoneda,MATCH(AB34,ctaNombre,0))&amp;"","DOP")="USD",T34,S34))</f>
        <v/>
      </c>
      <c r="AG34" s="53">
        <f>IF(AC34="","",IF(IFERROR(INDEX(ctaMoneda,MATCH(AC34,ctaNombre,0))&amp;"","DOP")="USD",T34,S34))</f>
        <v/>
      </c>
      <c r="AH34" s="53">
        <f>IF(P34="","",IF(AND(AD34&lt;&gt;"",COUNTIFS(tcTipo,AD34,tcLiq,"Sí")&gt;0),IF(OR(P34="Gasto",P34="Transferencia",P34="Pago tarjeta"),-1,1)*S34,0)+IF(AND(AE34&lt;&gt;"",COUNTIFS(tcTipo,AE34,tcLiq,"Sí")&gt;0),S34,0))</f>
        <v/>
      </c>
      <c r="AI34" s="52">
        <f>IF(OR(L34="",P34=""),"",IF(COUNTIFS(L$6:L34,L34,P$6:P34,"?*")=1,MAX(AI$5:AI33)+1,""))</f>
        <v/>
      </c>
    </row>
    <row r="35">
      <c r="B35" s="47" t="n">
        <v>46248</v>
      </c>
      <c r="C35" s="48" t="inlineStr">
        <is>
          <t>Gasto</t>
        </is>
      </c>
      <c r="D35" s="48" t="inlineStr">
        <is>
          <t>Alimentación</t>
        </is>
      </c>
      <c r="E35" s="48" t="inlineStr">
        <is>
          <t>Almuerzos laborales</t>
        </is>
      </c>
      <c r="F35" s="48" t="inlineStr">
        <is>
          <t>DEMO · Almuerzo laboral</t>
        </is>
      </c>
      <c r="G35" s="49" t="n">
        <v>550</v>
      </c>
      <c r="H35" s="48" t="inlineStr">
        <is>
          <t>DOP</t>
        </is>
      </c>
      <c r="I35" s="50" t="n"/>
      <c r="J35" s="48" t="inlineStr">
        <is>
          <t>Billetera digital</t>
        </is>
      </c>
      <c r="K35" s="48" t="n"/>
      <c r="L35" s="48" t="inlineStr">
        <is>
          <t>Comedor ejecutivo</t>
        </is>
      </c>
      <c r="M35" s="48" t="n"/>
      <c r="N35" s="48" t="inlineStr">
        <is>
          <t>DEMOSTRACIÓN</t>
        </is>
      </c>
      <c r="O35" s="51">
        <f>IF(AND(B35="",G35="",C35="",D35="",J35=""),"",IF(B35="","⚠ Falta fecha",IF(G35="","⚠ Falta monto",IF(Q35="","⚠ Falta cuenta",IF(ISNA(MATCH(Q35,ctaNombre,0)),"⚠ Cuenta no registrada",IF(AND(OR(P35="Gasto",P35="Reembolso"),D35=""),"⚠ Falta categoría",IF(AND(D35&lt;&gt;"",E35&lt;&gt;"",ISNA(MATCH(D35&amp;"|"&amp;E35,catClave,0))),"⚠ Subcategoría no corresponde",IF(AND(OR(P35="Transferencia",P35="Pago tarjeta"),K35=""),"⚠ Falta cuenta destino",IF(AND(K35&lt;&gt;"",P35&lt;&gt;"Transferencia",P35&lt;&gt;"Pago tarjeta"),"⚠ Destino solo aplica a transferencias",IF(AND(K35&lt;&gt;"",K35=Q35),"⚠ Origen igual a destino",IF(AND(K35&lt;&gt;"",ISNA(MATCH(K35,ctaNombre,0))),"⚠ Destino no registrado",IF(AND(P35="Pago tarjeta",AE35&lt;&gt;"Tarjeta de crédito"),"⚠ El destino debe ser tarjeta de crédito",IF(AND(P35="Gasto",E35="Depósitos y retiros"),"⚠ Usa tipo Transferencia",IF(AND(P35="Resultado trading",AD35&lt;&gt;"Cuenta de trading"),"⚠ Usa una cuenta de trading",IF(AND(G35&lt;=0,P35&lt;&gt;"Ajuste",P35&lt;&gt;"Resultado trading"),"⚠ El monto debe ser positivo","✓")))))))))))))))</f>
        <v/>
      </c>
      <c r="P35" s="52">
        <f>IF(OR(B35="",G35=""),"",IF(C35="","Gasto",C35))</f>
        <v/>
      </c>
      <c r="Q35" s="52">
        <f>IF(P35="","",IF(J35&lt;&gt;"",J35,CuentaPred&amp;""))</f>
        <v/>
      </c>
      <c r="R35" s="52">
        <f>IF(P35="","",IF(ISNUMBER(I35),I35,TasaUSD))</f>
        <v/>
      </c>
      <c r="S35" s="53">
        <f>IF(P35="","",IF(H35="USD",G35*R35,G35))</f>
        <v/>
      </c>
      <c r="T35" s="53">
        <f>IF(P35="","",IF(H35="USD",G35,IF(R35&gt;0,G35/R35,0)))</f>
        <v/>
      </c>
      <c r="U35" s="53">
        <f>IF(P35="","",IF(P35="Gasto",S35,IF(P35="Reembolso",-S35,0)))</f>
        <v/>
      </c>
      <c r="V35" s="53">
        <f>IF(P35="","",IF(P35="Ingreso",S35,0))</f>
        <v/>
      </c>
      <c r="W35" s="53">
        <f>IF(P35="","",IF(P35="Resultado trading",S35,0))</f>
        <v/>
      </c>
      <c r="X35" s="52">
        <f>IF(OR(P35="Gasto",P35="Reembolso"),IF(M35&lt;&gt;"",M35,IFERROR(INDEX(catClasif,MATCH(D35&amp;"|"&amp;E35,catClave,0))&amp;"","Variable")),"")</f>
        <v/>
      </c>
      <c r="Y35" s="52">
        <f>IF(P35="","",IFERROR(INDEX(catGrupo,MATCH(D35&amp;"|"&amp;E35,catClave,0))&amp;"",""))</f>
        <v/>
      </c>
      <c r="Z35" s="52">
        <f>IF(P35="","",WEEKDAY(B35,2))</f>
        <v/>
      </c>
      <c r="AA35" s="52">
        <f>IF(P35="","",IF(AND(P35="Gasto",X35="Variable",D35&lt;&gt;catTrading,S35&gt;0,S35&lt;=Umbral),1,0))</f>
        <v/>
      </c>
      <c r="AB35" s="52">
        <f>IF(OR(P35="",Q35=""),"",IFERROR(IF(INDEX(ctaVinc,MATCH(Q35,ctaNombre,0))&amp;""&lt;&gt;"",INDEX(ctaVinc,MATCH(Q35,ctaNombre,0))&amp;"",Q35),Q35))</f>
        <v/>
      </c>
      <c r="AC35" s="52">
        <f>IF(OR(K35="",AND(P35&lt;&gt;"Transferencia",P35&lt;&gt;"Pago tarjeta")),"",IFERROR(IF(INDEX(ctaVinc,MATCH(K35,ctaNombre,0))&amp;""&lt;&gt;"",INDEX(ctaVinc,MATCH(K35,ctaNombre,0))&amp;"",K35),K35))</f>
        <v/>
      </c>
      <c r="AD35" s="52">
        <f>IF(AB35="","",IFERROR(INDEX(ctaTipo,MATCH(AB35,ctaNombre,0))&amp;"",""))</f>
        <v/>
      </c>
      <c r="AE35" s="52">
        <f>IF(AC35="","",IFERROR(INDEX(ctaTipo,MATCH(AC35,ctaNombre,0))&amp;"",""))</f>
        <v/>
      </c>
      <c r="AF35" s="53">
        <f>IF(OR(P35="",AB35=""),"",IF(OR(P35="Gasto",P35="Transferencia",P35="Pago tarjeta"),-1,1)*IF(IFERROR(INDEX(ctaMoneda,MATCH(AB35,ctaNombre,0))&amp;"","DOP")="USD",T35,S35))</f>
        <v/>
      </c>
      <c r="AG35" s="53">
        <f>IF(AC35="","",IF(IFERROR(INDEX(ctaMoneda,MATCH(AC35,ctaNombre,0))&amp;"","DOP")="USD",T35,S35))</f>
        <v/>
      </c>
      <c r="AH35" s="53">
        <f>IF(P35="","",IF(AND(AD35&lt;&gt;"",COUNTIFS(tcTipo,AD35,tcLiq,"Sí")&gt;0),IF(OR(P35="Gasto",P35="Transferencia",P35="Pago tarjeta"),-1,1)*S35,0)+IF(AND(AE35&lt;&gt;"",COUNTIFS(tcTipo,AE35,tcLiq,"Sí")&gt;0),S35,0))</f>
        <v/>
      </c>
      <c r="AI35" s="52">
        <f>IF(OR(L35="",P35=""),"",IF(COUNTIFS(L$6:L35,L35,P$6:P35,"?*")=1,MAX(AI$5:AI34)+1,""))</f>
        <v/>
      </c>
    </row>
    <row r="36">
      <c r="B36" s="47" t="n">
        <v>46248</v>
      </c>
      <c r="C36" s="48" t="inlineStr">
        <is>
          <t>Gasto</t>
        </is>
      </c>
      <c r="D36" s="48" t="inlineStr">
        <is>
          <t>Alimentación</t>
        </is>
      </c>
      <c r="E36" s="48" t="inlineStr">
        <is>
          <t>Bebidas, snacks y otros consumos</t>
        </is>
      </c>
      <c r="F36" s="48" t="inlineStr">
        <is>
          <t>DEMO · Café</t>
        </is>
      </c>
      <c r="G36" s="49" t="n">
        <v>130</v>
      </c>
      <c r="H36" s="48" t="inlineStr">
        <is>
          <t>DOP</t>
        </is>
      </c>
      <c r="I36" s="50" t="n"/>
      <c r="J36" s="48" t="inlineStr">
        <is>
          <t>Billetera digital</t>
        </is>
      </c>
      <c r="K36" s="48" t="n"/>
      <c r="L36" s="48" t="inlineStr">
        <is>
          <t>Colmado del barrio</t>
        </is>
      </c>
      <c r="M36" s="48" t="n"/>
      <c r="N36" s="48" t="inlineStr">
        <is>
          <t>DEMOSTRACIÓN</t>
        </is>
      </c>
      <c r="O36" s="51">
        <f>IF(AND(B36="",G36="",C36="",D36="",J36=""),"",IF(B36="","⚠ Falta fecha",IF(G36="","⚠ Falta monto",IF(Q36="","⚠ Falta cuenta",IF(ISNA(MATCH(Q36,ctaNombre,0)),"⚠ Cuenta no registrada",IF(AND(OR(P36="Gasto",P36="Reembolso"),D36=""),"⚠ Falta categoría",IF(AND(D36&lt;&gt;"",E36&lt;&gt;"",ISNA(MATCH(D36&amp;"|"&amp;E36,catClave,0))),"⚠ Subcategoría no corresponde",IF(AND(OR(P36="Transferencia",P36="Pago tarjeta"),K36=""),"⚠ Falta cuenta destino",IF(AND(K36&lt;&gt;"",P36&lt;&gt;"Transferencia",P36&lt;&gt;"Pago tarjeta"),"⚠ Destino solo aplica a transferencias",IF(AND(K36&lt;&gt;"",K36=Q36),"⚠ Origen igual a destino",IF(AND(K36&lt;&gt;"",ISNA(MATCH(K36,ctaNombre,0))),"⚠ Destino no registrado",IF(AND(P36="Pago tarjeta",AE36&lt;&gt;"Tarjeta de crédito"),"⚠ El destino debe ser tarjeta de crédito",IF(AND(P36="Gasto",E36="Depósitos y retiros"),"⚠ Usa tipo Transferencia",IF(AND(P36="Resultado trading",AD36&lt;&gt;"Cuenta de trading"),"⚠ Usa una cuenta de trading",IF(AND(G36&lt;=0,P36&lt;&gt;"Ajuste",P36&lt;&gt;"Resultado trading"),"⚠ El monto debe ser positivo","✓")))))))))))))))</f>
        <v/>
      </c>
      <c r="P36" s="52">
        <f>IF(OR(B36="",G36=""),"",IF(C36="","Gasto",C36))</f>
        <v/>
      </c>
      <c r="Q36" s="52">
        <f>IF(P36="","",IF(J36&lt;&gt;"",J36,CuentaPred&amp;""))</f>
        <v/>
      </c>
      <c r="R36" s="52">
        <f>IF(P36="","",IF(ISNUMBER(I36),I36,TasaUSD))</f>
        <v/>
      </c>
      <c r="S36" s="53">
        <f>IF(P36="","",IF(H36="USD",G36*R36,G36))</f>
        <v/>
      </c>
      <c r="T36" s="53">
        <f>IF(P36="","",IF(H36="USD",G36,IF(R36&gt;0,G36/R36,0)))</f>
        <v/>
      </c>
      <c r="U36" s="53">
        <f>IF(P36="","",IF(P36="Gasto",S36,IF(P36="Reembolso",-S36,0)))</f>
        <v/>
      </c>
      <c r="V36" s="53">
        <f>IF(P36="","",IF(P36="Ingreso",S36,0))</f>
        <v/>
      </c>
      <c r="W36" s="53">
        <f>IF(P36="","",IF(P36="Resultado trading",S36,0))</f>
        <v/>
      </c>
      <c r="X36" s="52">
        <f>IF(OR(P36="Gasto",P36="Reembolso"),IF(M36&lt;&gt;"",M36,IFERROR(INDEX(catClasif,MATCH(D36&amp;"|"&amp;E36,catClave,0))&amp;"","Variable")),"")</f>
        <v/>
      </c>
      <c r="Y36" s="52">
        <f>IF(P36="","",IFERROR(INDEX(catGrupo,MATCH(D36&amp;"|"&amp;E36,catClave,0))&amp;"",""))</f>
        <v/>
      </c>
      <c r="Z36" s="52">
        <f>IF(P36="","",WEEKDAY(B36,2))</f>
        <v/>
      </c>
      <c r="AA36" s="52">
        <f>IF(P36="","",IF(AND(P36="Gasto",X36="Variable",D36&lt;&gt;catTrading,S36&gt;0,S36&lt;=Umbral),1,0))</f>
        <v/>
      </c>
      <c r="AB36" s="52">
        <f>IF(OR(P36="",Q36=""),"",IFERROR(IF(INDEX(ctaVinc,MATCH(Q36,ctaNombre,0))&amp;""&lt;&gt;"",INDEX(ctaVinc,MATCH(Q36,ctaNombre,0))&amp;"",Q36),Q36))</f>
        <v/>
      </c>
      <c r="AC36" s="52">
        <f>IF(OR(K36="",AND(P36&lt;&gt;"Transferencia",P36&lt;&gt;"Pago tarjeta")),"",IFERROR(IF(INDEX(ctaVinc,MATCH(K36,ctaNombre,0))&amp;""&lt;&gt;"",INDEX(ctaVinc,MATCH(K36,ctaNombre,0))&amp;"",K36),K36))</f>
        <v/>
      </c>
      <c r="AD36" s="52">
        <f>IF(AB36="","",IFERROR(INDEX(ctaTipo,MATCH(AB36,ctaNombre,0))&amp;"",""))</f>
        <v/>
      </c>
      <c r="AE36" s="52">
        <f>IF(AC36="","",IFERROR(INDEX(ctaTipo,MATCH(AC36,ctaNombre,0))&amp;"",""))</f>
        <v/>
      </c>
      <c r="AF36" s="53">
        <f>IF(OR(P36="",AB36=""),"",IF(OR(P36="Gasto",P36="Transferencia",P36="Pago tarjeta"),-1,1)*IF(IFERROR(INDEX(ctaMoneda,MATCH(AB36,ctaNombre,0))&amp;"","DOP")="USD",T36,S36))</f>
        <v/>
      </c>
      <c r="AG36" s="53">
        <f>IF(AC36="","",IF(IFERROR(INDEX(ctaMoneda,MATCH(AC36,ctaNombre,0))&amp;"","DOP")="USD",T36,S36))</f>
        <v/>
      </c>
      <c r="AH36" s="53">
        <f>IF(P36="","",IF(AND(AD36&lt;&gt;"",COUNTIFS(tcTipo,AD36,tcLiq,"Sí")&gt;0),IF(OR(P36="Gasto",P36="Transferencia",P36="Pago tarjeta"),-1,1)*S36,0)+IF(AND(AE36&lt;&gt;"",COUNTIFS(tcTipo,AE36,tcLiq,"Sí")&gt;0),S36,0))</f>
        <v/>
      </c>
      <c r="AI36" s="52">
        <f>IF(OR(L36="",P36=""),"",IF(COUNTIFS(L$6:L36,L36,P$6:P36,"?*")=1,MAX(AI$5:AI35)+1,""))</f>
        <v/>
      </c>
    </row>
    <row r="37">
      <c r="B37" s="47" t="n">
        <v>46248</v>
      </c>
      <c r="C37" s="48" t="inlineStr">
        <is>
          <t>Gasto</t>
        </is>
      </c>
      <c r="D37" s="48" t="inlineStr">
        <is>
          <t>Compras personales</t>
        </is>
      </c>
      <c r="E37" s="48" t="inlineStr">
        <is>
          <t>Ropa y calzado</t>
        </is>
      </c>
      <c r="F37" s="48" t="inlineStr">
        <is>
          <t>DEMO · Camisa y pantalón</t>
        </is>
      </c>
      <c r="G37" s="49" t="n">
        <v>3200</v>
      </c>
      <c r="H37" s="48" t="inlineStr">
        <is>
          <t>DOP</t>
        </is>
      </c>
      <c r="I37" s="50" t="n"/>
      <c r="J37" s="48" t="inlineStr">
        <is>
          <t>Tarjeta de crédito</t>
        </is>
      </c>
      <c r="K37" s="48" t="n"/>
      <c r="L37" s="48" t="inlineStr">
        <is>
          <t>Tienda de ropa</t>
        </is>
      </c>
      <c r="M37" s="48" t="n"/>
      <c r="N37" s="48" t="inlineStr">
        <is>
          <t>DEMOSTRACIÓN</t>
        </is>
      </c>
      <c r="O37" s="51">
        <f>IF(AND(B37="",G37="",C37="",D37="",J37=""),"",IF(B37="","⚠ Falta fecha",IF(G37="","⚠ Falta monto",IF(Q37="","⚠ Falta cuenta",IF(ISNA(MATCH(Q37,ctaNombre,0)),"⚠ Cuenta no registrada",IF(AND(OR(P37="Gasto",P37="Reembolso"),D37=""),"⚠ Falta categoría",IF(AND(D37&lt;&gt;"",E37&lt;&gt;"",ISNA(MATCH(D37&amp;"|"&amp;E37,catClave,0))),"⚠ Subcategoría no corresponde",IF(AND(OR(P37="Transferencia",P37="Pago tarjeta"),K37=""),"⚠ Falta cuenta destino",IF(AND(K37&lt;&gt;"",P37&lt;&gt;"Transferencia",P37&lt;&gt;"Pago tarjeta"),"⚠ Destino solo aplica a transferencias",IF(AND(K37&lt;&gt;"",K37=Q37),"⚠ Origen igual a destino",IF(AND(K37&lt;&gt;"",ISNA(MATCH(K37,ctaNombre,0))),"⚠ Destino no registrado",IF(AND(P37="Pago tarjeta",AE37&lt;&gt;"Tarjeta de crédito"),"⚠ El destino debe ser tarjeta de crédito",IF(AND(P37="Gasto",E37="Depósitos y retiros"),"⚠ Usa tipo Transferencia",IF(AND(P37="Resultado trading",AD37&lt;&gt;"Cuenta de trading"),"⚠ Usa una cuenta de trading",IF(AND(G37&lt;=0,P37&lt;&gt;"Ajuste",P37&lt;&gt;"Resultado trading"),"⚠ El monto debe ser positivo","✓")))))))))))))))</f>
        <v/>
      </c>
      <c r="P37" s="52">
        <f>IF(OR(B37="",G37=""),"",IF(C37="","Gasto",C37))</f>
        <v/>
      </c>
      <c r="Q37" s="52">
        <f>IF(P37="","",IF(J37&lt;&gt;"",J37,CuentaPred&amp;""))</f>
        <v/>
      </c>
      <c r="R37" s="52">
        <f>IF(P37="","",IF(ISNUMBER(I37),I37,TasaUSD))</f>
        <v/>
      </c>
      <c r="S37" s="53">
        <f>IF(P37="","",IF(H37="USD",G37*R37,G37))</f>
        <v/>
      </c>
      <c r="T37" s="53">
        <f>IF(P37="","",IF(H37="USD",G37,IF(R37&gt;0,G37/R37,0)))</f>
        <v/>
      </c>
      <c r="U37" s="53">
        <f>IF(P37="","",IF(P37="Gasto",S37,IF(P37="Reembolso",-S37,0)))</f>
        <v/>
      </c>
      <c r="V37" s="53">
        <f>IF(P37="","",IF(P37="Ingreso",S37,0))</f>
        <v/>
      </c>
      <c r="W37" s="53">
        <f>IF(P37="","",IF(P37="Resultado trading",S37,0))</f>
        <v/>
      </c>
      <c r="X37" s="52">
        <f>IF(OR(P37="Gasto",P37="Reembolso"),IF(M37&lt;&gt;"",M37,IFERROR(INDEX(catClasif,MATCH(D37&amp;"|"&amp;E37,catClave,0))&amp;"","Variable")),"")</f>
        <v/>
      </c>
      <c r="Y37" s="52">
        <f>IF(P37="","",IFERROR(INDEX(catGrupo,MATCH(D37&amp;"|"&amp;E37,catClave,0))&amp;"",""))</f>
        <v/>
      </c>
      <c r="Z37" s="52">
        <f>IF(P37="","",WEEKDAY(B37,2))</f>
        <v/>
      </c>
      <c r="AA37" s="52">
        <f>IF(P37="","",IF(AND(P37="Gasto",X37="Variable",D37&lt;&gt;catTrading,S37&gt;0,S37&lt;=Umbral),1,0))</f>
        <v/>
      </c>
      <c r="AB37" s="52">
        <f>IF(OR(P37="",Q37=""),"",IFERROR(IF(INDEX(ctaVinc,MATCH(Q37,ctaNombre,0))&amp;""&lt;&gt;"",INDEX(ctaVinc,MATCH(Q37,ctaNombre,0))&amp;"",Q37),Q37))</f>
        <v/>
      </c>
      <c r="AC37" s="52">
        <f>IF(OR(K37="",AND(P37&lt;&gt;"Transferencia",P37&lt;&gt;"Pago tarjeta")),"",IFERROR(IF(INDEX(ctaVinc,MATCH(K37,ctaNombre,0))&amp;""&lt;&gt;"",INDEX(ctaVinc,MATCH(K37,ctaNombre,0))&amp;"",K37),K37))</f>
        <v/>
      </c>
      <c r="AD37" s="52">
        <f>IF(AB37="","",IFERROR(INDEX(ctaTipo,MATCH(AB37,ctaNombre,0))&amp;"",""))</f>
        <v/>
      </c>
      <c r="AE37" s="52">
        <f>IF(AC37="","",IFERROR(INDEX(ctaTipo,MATCH(AC37,ctaNombre,0))&amp;"",""))</f>
        <v/>
      </c>
      <c r="AF37" s="53">
        <f>IF(OR(P37="",AB37=""),"",IF(OR(P37="Gasto",P37="Transferencia",P37="Pago tarjeta"),-1,1)*IF(IFERROR(INDEX(ctaMoneda,MATCH(AB37,ctaNombre,0))&amp;"","DOP")="USD",T37,S37))</f>
        <v/>
      </c>
      <c r="AG37" s="53">
        <f>IF(AC37="","",IF(IFERROR(INDEX(ctaMoneda,MATCH(AC37,ctaNombre,0))&amp;"","DOP")="USD",T37,S37))</f>
        <v/>
      </c>
      <c r="AH37" s="53">
        <f>IF(P37="","",IF(AND(AD37&lt;&gt;"",COUNTIFS(tcTipo,AD37,tcLiq,"Sí")&gt;0),IF(OR(P37="Gasto",P37="Transferencia",P37="Pago tarjeta"),-1,1)*S37,0)+IF(AND(AE37&lt;&gt;"",COUNTIFS(tcTipo,AE37,tcLiq,"Sí")&gt;0),S37,0))</f>
        <v/>
      </c>
      <c r="AI37" s="52">
        <f>IF(OR(L37="",P37=""),"",IF(COUNTIFS(L$6:L37,L37,P$6:P37,"?*")=1,MAX(AI$5:AI36)+1,""))</f>
        <v/>
      </c>
    </row>
    <row r="38">
      <c r="B38" s="47" t="n">
        <v>46249</v>
      </c>
      <c r="C38" s="48" t="inlineStr">
        <is>
          <t>Ingreso</t>
        </is>
      </c>
      <c r="D38" s="48" t="inlineStr">
        <is>
          <t>Ingresos</t>
        </is>
      </c>
      <c r="E38" s="48" t="inlineStr">
        <is>
          <t>Salario</t>
        </is>
      </c>
      <c r="F38" s="48" t="inlineStr">
        <is>
          <t>DEMO · Salario quincenal (ficticio)</t>
        </is>
      </c>
      <c r="G38" s="49" t="n">
        <v>55000</v>
      </c>
      <c r="H38" s="48" t="inlineStr">
        <is>
          <t>DOP</t>
        </is>
      </c>
      <c r="I38" s="50" t="n"/>
      <c r="J38" s="48" t="inlineStr">
        <is>
          <t>Banco principal</t>
        </is>
      </c>
      <c r="K38" s="48" t="n"/>
      <c r="L38" s="48" t="n"/>
      <c r="M38" s="48" t="n"/>
      <c r="N38" s="48" t="inlineStr">
        <is>
          <t>DEMOSTRACIÓN</t>
        </is>
      </c>
      <c r="O38" s="51">
        <f>IF(AND(B38="",G38="",C38="",D38="",J38=""),"",IF(B38="","⚠ Falta fecha",IF(G38="","⚠ Falta monto",IF(Q38="","⚠ Falta cuenta",IF(ISNA(MATCH(Q38,ctaNombre,0)),"⚠ Cuenta no registrada",IF(AND(OR(P38="Gasto",P38="Reembolso"),D38=""),"⚠ Falta categoría",IF(AND(D38&lt;&gt;"",E38&lt;&gt;"",ISNA(MATCH(D38&amp;"|"&amp;E38,catClave,0))),"⚠ Subcategoría no corresponde",IF(AND(OR(P38="Transferencia",P38="Pago tarjeta"),K38=""),"⚠ Falta cuenta destino",IF(AND(K38&lt;&gt;"",P38&lt;&gt;"Transferencia",P38&lt;&gt;"Pago tarjeta"),"⚠ Destino solo aplica a transferencias",IF(AND(K38&lt;&gt;"",K38=Q38),"⚠ Origen igual a destino",IF(AND(K38&lt;&gt;"",ISNA(MATCH(K38,ctaNombre,0))),"⚠ Destino no registrado",IF(AND(P38="Pago tarjeta",AE38&lt;&gt;"Tarjeta de crédito"),"⚠ El destino debe ser tarjeta de crédito",IF(AND(P38="Gasto",E38="Depósitos y retiros"),"⚠ Usa tipo Transferencia",IF(AND(P38="Resultado trading",AD38&lt;&gt;"Cuenta de trading"),"⚠ Usa una cuenta de trading",IF(AND(G38&lt;=0,P38&lt;&gt;"Ajuste",P38&lt;&gt;"Resultado trading"),"⚠ El monto debe ser positivo","✓")))))))))))))))</f>
        <v/>
      </c>
      <c r="P38" s="52">
        <f>IF(OR(B38="",G38=""),"",IF(C38="","Gasto",C38))</f>
        <v/>
      </c>
      <c r="Q38" s="52">
        <f>IF(P38="","",IF(J38&lt;&gt;"",J38,CuentaPred&amp;""))</f>
        <v/>
      </c>
      <c r="R38" s="52">
        <f>IF(P38="","",IF(ISNUMBER(I38),I38,TasaUSD))</f>
        <v/>
      </c>
      <c r="S38" s="53">
        <f>IF(P38="","",IF(H38="USD",G38*R38,G38))</f>
        <v/>
      </c>
      <c r="T38" s="53">
        <f>IF(P38="","",IF(H38="USD",G38,IF(R38&gt;0,G38/R38,0)))</f>
        <v/>
      </c>
      <c r="U38" s="53">
        <f>IF(P38="","",IF(P38="Gasto",S38,IF(P38="Reembolso",-S38,0)))</f>
        <v/>
      </c>
      <c r="V38" s="53">
        <f>IF(P38="","",IF(P38="Ingreso",S38,0))</f>
        <v/>
      </c>
      <c r="W38" s="53">
        <f>IF(P38="","",IF(P38="Resultado trading",S38,0))</f>
        <v/>
      </c>
      <c r="X38" s="52">
        <f>IF(OR(P38="Gasto",P38="Reembolso"),IF(M38&lt;&gt;"",M38,IFERROR(INDEX(catClasif,MATCH(D38&amp;"|"&amp;E38,catClave,0))&amp;"","Variable")),"")</f>
        <v/>
      </c>
      <c r="Y38" s="52">
        <f>IF(P38="","",IFERROR(INDEX(catGrupo,MATCH(D38&amp;"|"&amp;E38,catClave,0))&amp;"",""))</f>
        <v/>
      </c>
      <c r="Z38" s="52">
        <f>IF(P38="","",WEEKDAY(B38,2))</f>
        <v/>
      </c>
      <c r="AA38" s="52">
        <f>IF(P38="","",IF(AND(P38="Gasto",X38="Variable",D38&lt;&gt;catTrading,S38&gt;0,S38&lt;=Umbral),1,0))</f>
        <v/>
      </c>
      <c r="AB38" s="52">
        <f>IF(OR(P38="",Q38=""),"",IFERROR(IF(INDEX(ctaVinc,MATCH(Q38,ctaNombre,0))&amp;""&lt;&gt;"",INDEX(ctaVinc,MATCH(Q38,ctaNombre,0))&amp;"",Q38),Q38))</f>
        <v/>
      </c>
      <c r="AC38" s="52">
        <f>IF(OR(K38="",AND(P38&lt;&gt;"Transferencia",P38&lt;&gt;"Pago tarjeta")),"",IFERROR(IF(INDEX(ctaVinc,MATCH(K38,ctaNombre,0))&amp;""&lt;&gt;"",INDEX(ctaVinc,MATCH(K38,ctaNombre,0))&amp;"",K38),K38))</f>
        <v/>
      </c>
      <c r="AD38" s="52">
        <f>IF(AB38="","",IFERROR(INDEX(ctaTipo,MATCH(AB38,ctaNombre,0))&amp;"",""))</f>
        <v/>
      </c>
      <c r="AE38" s="52">
        <f>IF(AC38="","",IFERROR(INDEX(ctaTipo,MATCH(AC38,ctaNombre,0))&amp;"",""))</f>
        <v/>
      </c>
      <c r="AF38" s="53">
        <f>IF(OR(P38="",AB38=""),"",IF(OR(P38="Gasto",P38="Transferencia",P38="Pago tarjeta"),-1,1)*IF(IFERROR(INDEX(ctaMoneda,MATCH(AB38,ctaNombre,0))&amp;"","DOP")="USD",T38,S38))</f>
        <v/>
      </c>
      <c r="AG38" s="53">
        <f>IF(AC38="","",IF(IFERROR(INDEX(ctaMoneda,MATCH(AC38,ctaNombre,0))&amp;"","DOP")="USD",T38,S38))</f>
        <v/>
      </c>
      <c r="AH38" s="53">
        <f>IF(P38="","",IF(AND(AD38&lt;&gt;"",COUNTIFS(tcTipo,AD38,tcLiq,"Sí")&gt;0),IF(OR(P38="Gasto",P38="Transferencia",P38="Pago tarjeta"),-1,1)*S38,0)+IF(AND(AE38&lt;&gt;"",COUNTIFS(tcTipo,AE38,tcLiq,"Sí")&gt;0),S38,0))</f>
        <v/>
      </c>
      <c r="AI38" s="52">
        <f>IF(OR(L38="",P38=""),"",IF(COUNTIFS(L$6:L38,L38,P$6:P38,"?*")=1,MAX(AI$5:AI37)+1,""))</f>
        <v/>
      </c>
    </row>
    <row r="39">
      <c r="B39" s="47" t="n">
        <v>46250</v>
      </c>
      <c r="C39" s="48" t="inlineStr">
        <is>
          <t>Transferencia</t>
        </is>
      </c>
      <c r="D39" s="48" t="n"/>
      <c r="E39" s="48" t="n"/>
      <c r="F39" s="48" t="inlineStr">
        <is>
          <t>DEMO · Recarga de billetera digital</t>
        </is>
      </c>
      <c r="G39" s="49" t="n">
        <v>4000</v>
      </c>
      <c r="H39" s="48" t="inlineStr">
        <is>
          <t>DOP</t>
        </is>
      </c>
      <c r="I39" s="50" t="n"/>
      <c r="J39" s="48" t="inlineStr">
        <is>
          <t>Banco principal</t>
        </is>
      </c>
      <c r="K39" s="48" t="inlineStr">
        <is>
          <t>Billetera digital</t>
        </is>
      </c>
      <c r="L39" s="48" t="n"/>
      <c r="M39" s="48" t="n"/>
      <c r="N39" s="48" t="inlineStr">
        <is>
          <t>DEMOSTRACIÓN</t>
        </is>
      </c>
      <c r="O39" s="51">
        <f>IF(AND(B39="",G39="",C39="",D39="",J39=""),"",IF(B39="","⚠ Falta fecha",IF(G39="","⚠ Falta monto",IF(Q39="","⚠ Falta cuenta",IF(ISNA(MATCH(Q39,ctaNombre,0)),"⚠ Cuenta no registrada",IF(AND(OR(P39="Gasto",P39="Reembolso"),D39=""),"⚠ Falta categoría",IF(AND(D39&lt;&gt;"",E39&lt;&gt;"",ISNA(MATCH(D39&amp;"|"&amp;E39,catClave,0))),"⚠ Subcategoría no corresponde",IF(AND(OR(P39="Transferencia",P39="Pago tarjeta"),K39=""),"⚠ Falta cuenta destino",IF(AND(K39&lt;&gt;"",P39&lt;&gt;"Transferencia",P39&lt;&gt;"Pago tarjeta"),"⚠ Destino solo aplica a transferencias",IF(AND(K39&lt;&gt;"",K39=Q39),"⚠ Origen igual a destino",IF(AND(K39&lt;&gt;"",ISNA(MATCH(K39,ctaNombre,0))),"⚠ Destino no registrado",IF(AND(P39="Pago tarjeta",AE39&lt;&gt;"Tarjeta de crédito"),"⚠ El destino debe ser tarjeta de crédito",IF(AND(P39="Gasto",E39="Depósitos y retiros"),"⚠ Usa tipo Transferencia",IF(AND(P39="Resultado trading",AD39&lt;&gt;"Cuenta de trading"),"⚠ Usa una cuenta de trading",IF(AND(G39&lt;=0,P39&lt;&gt;"Ajuste",P39&lt;&gt;"Resultado trading"),"⚠ El monto debe ser positivo","✓")))))))))))))))</f>
        <v/>
      </c>
      <c r="P39" s="52">
        <f>IF(OR(B39="",G39=""),"",IF(C39="","Gasto",C39))</f>
        <v/>
      </c>
      <c r="Q39" s="52">
        <f>IF(P39="","",IF(J39&lt;&gt;"",J39,CuentaPred&amp;""))</f>
        <v/>
      </c>
      <c r="R39" s="52">
        <f>IF(P39="","",IF(ISNUMBER(I39),I39,TasaUSD))</f>
        <v/>
      </c>
      <c r="S39" s="53">
        <f>IF(P39="","",IF(H39="USD",G39*R39,G39))</f>
        <v/>
      </c>
      <c r="T39" s="53">
        <f>IF(P39="","",IF(H39="USD",G39,IF(R39&gt;0,G39/R39,0)))</f>
        <v/>
      </c>
      <c r="U39" s="53">
        <f>IF(P39="","",IF(P39="Gasto",S39,IF(P39="Reembolso",-S39,0)))</f>
        <v/>
      </c>
      <c r="V39" s="53">
        <f>IF(P39="","",IF(P39="Ingreso",S39,0))</f>
        <v/>
      </c>
      <c r="W39" s="53">
        <f>IF(P39="","",IF(P39="Resultado trading",S39,0))</f>
        <v/>
      </c>
      <c r="X39" s="52">
        <f>IF(OR(P39="Gasto",P39="Reembolso"),IF(M39&lt;&gt;"",M39,IFERROR(INDEX(catClasif,MATCH(D39&amp;"|"&amp;E39,catClave,0))&amp;"","Variable")),"")</f>
        <v/>
      </c>
      <c r="Y39" s="52">
        <f>IF(P39="","",IFERROR(INDEX(catGrupo,MATCH(D39&amp;"|"&amp;E39,catClave,0))&amp;"",""))</f>
        <v/>
      </c>
      <c r="Z39" s="52">
        <f>IF(P39="","",WEEKDAY(B39,2))</f>
        <v/>
      </c>
      <c r="AA39" s="52">
        <f>IF(P39="","",IF(AND(P39="Gasto",X39="Variable",D39&lt;&gt;catTrading,S39&gt;0,S39&lt;=Umbral),1,0))</f>
        <v/>
      </c>
      <c r="AB39" s="52">
        <f>IF(OR(P39="",Q39=""),"",IFERROR(IF(INDEX(ctaVinc,MATCH(Q39,ctaNombre,0))&amp;""&lt;&gt;"",INDEX(ctaVinc,MATCH(Q39,ctaNombre,0))&amp;"",Q39),Q39))</f>
        <v/>
      </c>
      <c r="AC39" s="52">
        <f>IF(OR(K39="",AND(P39&lt;&gt;"Transferencia",P39&lt;&gt;"Pago tarjeta")),"",IFERROR(IF(INDEX(ctaVinc,MATCH(K39,ctaNombre,0))&amp;""&lt;&gt;"",INDEX(ctaVinc,MATCH(K39,ctaNombre,0))&amp;"",K39),K39))</f>
        <v/>
      </c>
      <c r="AD39" s="52">
        <f>IF(AB39="","",IFERROR(INDEX(ctaTipo,MATCH(AB39,ctaNombre,0))&amp;"",""))</f>
        <v/>
      </c>
      <c r="AE39" s="52">
        <f>IF(AC39="","",IFERROR(INDEX(ctaTipo,MATCH(AC39,ctaNombre,0))&amp;"",""))</f>
        <v/>
      </c>
      <c r="AF39" s="53">
        <f>IF(OR(P39="",AB39=""),"",IF(OR(P39="Gasto",P39="Transferencia",P39="Pago tarjeta"),-1,1)*IF(IFERROR(INDEX(ctaMoneda,MATCH(AB39,ctaNombre,0))&amp;"","DOP")="USD",T39,S39))</f>
        <v/>
      </c>
      <c r="AG39" s="53">
        <f>IF(AC39="","",IF(IFERROR(INDEX(ctaMoneda,MATCH(AC39,ctaNombre,0))&amp;"","DOP")="USD",T39,S39))</f>
        <v/>
      </c>
      <c r="AH39" s="53">
        <f>IF(P39="","",IF(AND(AD39&lt;&gt;"",COUNTIFS(tcTipo,AD39,tcLiq,"Sí")&gt;0),IF(OR(P39="Gasto",P39="Transferencia",P39="Pago tarjeta"),-1,1)*S39,0)+IF(AND(AE39&lt;&gt;"",COUNTIFS(tcTipo,AE39,tcLiq,"Sí")&gt;0),S39,0))</f>
        <v/>
      </c>
      <c r="AI39" s="52">
        <f>IF(OR(L39="",P39=""),"",IF(COUNTIFS(L$6:L39,L39,P$6:P39,"?*")=1,MAX(AI$5:AI38)+1,""))</f>
        <v/>
      </c>
    </row>
    <row r="40">
      <c r="B40" s="47" t="n">
        <v>46250</v>
      </c>
      <c r="C40" s="48" t="inlineStr">
        <is>
          <t>Transferencia</t>
        </is>
      </c>
      <c r="D40" s="48" t="n"/>
      <c r="E40" s="48" t="n"/>
      <c r="F40" s="48" t="inlineStr">
        <is>
          <t>DEMO · Retiro en cajero</t>
        </is>
      </c>
      <c r="G40" s="49" t="n">
        <v>4000</v>
      </c>
      <c r="H40" s="48" t="inlineStr">
        <is>
          <t>DOP</t>
        </is>
      </c>
      <c r="I40" s="50" t="n"/>
      <c r="J40" s="48" t="inlineStr">
        <is>
          <t>Banco principal</t>
        </is>
      </c>
      <c r="K40" s="48" t="inlineStr">
        <is>
          <t>Efectivo</t>
        </is>
      </c>
      <c r="L40" s="48" t="n"/>
      <c r="M40" s="48" t="n"/>
      <c r="N40" s="48" t="inlineStr">
        <is>
          <t>DEMOSTRACIÓN</t>
        </is>
      </c>
      <c r="O40" s="51">
        <f>IF(AND(B40="",G40="",C40="",D40="",J40=""),"",IF(B40="","⚠ Falta fecha",IF(G40="","⚠ Falta monto",IF(Q40="","⚠ Falta cuenta",IF(ISNA(MATCH(Q40,ctaNombre,0)),"⚠ Cuenta no registrada",IF(AND(OR(P40="Gasto",P40="Reembolso"),D40=""),"⚠ Falta categoría",IF(AND(D40&lt;&gt;"",E40&lt;&gt;"",ISNA(MATCH(D40&amp;"|"&amp;E40,catClave,0))),"⚠ Subcategoría no corresponde",IF(AND(OR(P40="Transferencia",P40="Pago tarjeta"),K40=""),"⚠ Falta cuenta destino",IF(AND(K40&lt;&gt;"",P40&lt;&gt;"Transferencia",P40&lt;&gt;"Pago tarjeta"),"⚠ Destino solo aplica a transferencias",IF(AND(K40&lt;&gt;"",K40=Q40),"⚠ Origen igual a destino",IF(AND(K40&lt;&gt;"",ISNA(MATCH(K40,ctaNombre,0))),"⚠ Destino no registrado",IF(AND(P40="Pago tarjeta",AE40&lt;&gt;"Tarjeta de crédito"),"⚠ El destino debe ser tarjeta de crédito",IF(AND(P40="Gasto",E40="Depósitos y retiros"),"⚠ Usa tipo Transferencia",IF(AND(P40="Resultado trading",AD40&lt;&gt;"Cuenta de trading"),"⚠ Usa una cuenta de trading",IF(AND(G40&lt;=0,P40&lt;&gt;"Ajuste",P40&lt;&gt;"Resultado trading"),"⚠ El monto debe ser positivo","✓")))))))))))))))</f>
        <v/>
      </c>
      <c r="P40" s="52">
        <f>IF(OR(B40="",G40=""),"",IF(C40="","Gasto",C40))</f>
        <v/>
      </c>
      <c r="Q40" s="52">
        <f>IF(P40="","",IF(J40&lt;&gt;"",J40,CuentaPred&amp;""))</f>
        <v/>
      </c>
      <c r="R40" s="52">
        <f>IF(P40="","",IF(ISNUMBER(I40),I40,TasaUSD))</f>
        <v/>
      </c>
      <c r="S40" s="53">
        <f>IF(P40="","",IF(H40="USD",G40*R40,G40))</f>
        <v/>
      </c>
      <c r="T40" s="53">
        <f>IF(P40="","",IF(H40="USD",G40,IF(R40&gt;0,G40/R40,0)))</f>
        <v/>
      </c>
      <c r="U40" s="53">
        <f>IF(P40="","",IF(P40="Gasto",S40,IF(P40="Reembolso",-S40,0)))</f>
        <v/>
      </c>
      <c r="V40" s="53">
        <f>IF(P40="","",IF(P40="Ingreso",S40,0))</f>
        <v/>
      </c>
      <c r="W40" s="53">
        <f>IF(P40="","",IF(P40="Resultado trading",S40,0))</f>
        <v/>
      </c>
      <c r="X40" s="52">
        <f>IF(OR(P40="Gasto",P40="Reembolso"),IF(M40&lt;&gt;"",M40,IFERROR(INDEX(catClasif,MATCH(D40&amp;"|"&amp;E40,catClave,0))&amp;"","Variable")),"")</f>
        <v/>
      </c>
      <c r="Y40" s="52">
        <f>IF(P40="","",IFERROR(INDEX(catGrupo,MATCH(D40&amp;"|"&amp;E40,catClave,0))&amp;"",""))</f>
        <v/>
      </c>
      <c r="Z40" s="52">
        <f>IF(P40="","",WEEKDAY(B40,2))</f>
        <v/>
      </c>
      <c r="AA40" s="52">
        <f>IF(P40="","",IF(AND(P40="Gasto",X40="Variable",D40&lt;&gt;catTrading,S40&gt;0,S40&lt;=Umbral),1,0))</f>
        <v/>
      </c>
      <c r="AB40" s="52">
        <f>IF(OR(P40="",Q40=""),"",IFERROR(IF(INDEX(ctaVinc,MATCH(Q40,ctaNombre,0))&amp;""&lt;&gt;"",INDEX(ctaVinc,MATCH(Q40,ctaNombre,0))&amp;"",Q40),Q40))</f>
        <v/>
      </c>
      <c r="AC40" s="52">
        <f>IF(OR(K40="",AND(P40&lt;&gt;"Transferencia",P40&lt;&gt;"Pago tarjeta")),"",IFERROR(IF(INDEX(ctaVinc,MATCH(K40,ctaNombre,0))&amp;""&lt;&gt;"",INDEX(ctaVinc,MATCH(K40,ctaNombre,0))&amp;"",K40),K40))</f>
        <v/>
      </c>
      <c r="AD40" s="52">
        <f>IF(AB40="","",IFERROR(INDEX(ctaTipo,MATCH(AB40,ctaNombre,0))&amp;"",""))</f>
        <v/>
      </c>
      <c r="AE40" s="52">
        <f>IF(AC40="","",IFERROR(INDEX(ctaTipo,MATCH(AC40,ctaNombre,0))&amp;"",""))</f>
        <v/>
      </c>
      <c r="AF40" s="53">
        <f>IF(OR(P40="",AB40=""),"",IF(OR(P40="Gasto",P40="Transferencia",P40="Pago tarjeta"),-1,1)*IF(IFERROR(INDEX(ctaMoneda,MATCH(AB40,ctaNombre,0))&amp;"","DOP")="USD",T40,S40))</f>
        <v/>
      </c>
      <c r="AG40" s="53">
        <f>IF(AC40="","",IF(IFERROR(INDEX(ctaMoneda,MATCH(AC40,ctaNombre,0))&amp;"","DOP")="USD",T40,S40))</f>
        <v/>
      </c>
      <c r="AH40" s="53">
        <f>IF(P40="","",IF(AND(AD40&lt;&gt;"",COUNTIFS(tcTipo,AD40,tcLiq,"Sí")&gt;0),IF(OR(P40="Gasto",P40="Transferencia",P40="Pago tarjeta"),-1,1)*S40,0)+IF(AND(AE40&lt;&gt;"",COUNTIFS(tcTipo,AE40,tcLiq,"Sí")&gt;0),S40,0))</f>
        <v/>
      </c>
      <c r="AI40" s="52">
        <f>IF(OR(L40="",P40=""),"",IF(COUNTIFS(L$6:L40,L40,P$6:P40,"?*")=1,MAX(AI$5:AI39)+1,""))</f>
        <v/>
      </c>
    </row>
    <row r="41">
      <c r="B41" s="47" t="n">
        <v>46251</v>
      </c>
      <c r="C41" s="48" t="inlineStr">
        <is>
          <t>Gasto</t>
        </is>
      </c>
      <c r="D41" s="48" t="inlineStr">
        <is>
          <t>Alimentación</t>
        </is>
      </c>
      <c r="E41" s="48" t="inlineStr">
        <is>
          <t>Almuerzos laborales</t>
        </is>
      </c>
      <c r="F41" s="48" t="inlineStr">
        <is>
          <t>DEMO · Almuerzo laboral</t>
        </is>
      </c>
      <c r="G41" s="49" t="n">
        <v>375</v>
      </c>
      <c r="H41" s="48" t="inlineStr">
        <is>
          <t>DOP</t>
        </is>
      </c>
      <c r="I41" s="50" t="n"/>
      <c r="J41" s="48" t="inlineStr">
        <is>
          <t>Billetera digital</t>
        </is>
      </c>
      <c r="K41" s="48" t="n"/>
      <c r="L41" s="48" t="inlineStr">
        <is>
          <t>Comedor ejecutivo</t>
        </is>
      </c>
      <c r="M41" s="48" t="n"/>
      <c r="N41" s="48" t="inlineStr">
        <is>
          <t>DEMOSTRACIÓN</t>
        </is>
      </c>
      <c r="O41" s="51">
        <f>IF(AND(B41="",G41="",C41="",D41="",J41=""),"",IF(B41="","⚠ Falta fecha",IF(G41="","⚠ Falta monto",IF(Q41="","⚠ Falta cuenta",IF(ISNA(MATCH(Q41,ctaNombre,0)),"⚠ Cuenta no registrada",IF(AND(OR(P41="Gasto",P41="Reembolso"),D41=""),"⚠ Falta categoría",IF(AND(D41&lt;&gt;"",E41&lt;&gt;"",ISNA(MATCH(D41&amp;"|"&amp;E41,catClave,0))),"⚠ Subcategoría no corresponde",IF(AND(OR(P41="Transferencia",P41="Pago tarjeta"),K41=""),"⚠ Falta cuenta destino",IF(AND(K41&lt;&gt;"",P41&lt;&gt;"Transferencia",P41&lt;&gt;"Pago tarjeta"),"⚠ Destino solo aplica a transferencias",IF(AND(K41&lt;&gt;"",K41=Q41),"⚠ Origen igual a destino",IF(AND(K41&lt;&gt;"",ISNA(MATCH(K41,ctaNombre,0))),"⚠ Destino no registrado",IF(AND(P41="Pago tarjeta",AE41&lt;&gt;"Tarjeta de crédito"),"⚠ El destino debe ser tarjeta de crédito",IF(AND(P41="Gasto",E41="Depósitos y retiros"),"⚠ Usa tipo Transferencia",IF(AND(P41="Resultado trading",AD41&lt;&gt;"Cuenta de trading"),"⚠ Usa una cuenta de trading",IF(AND(G41&lt;=0,P41&lt;&gt;"Ajuste",P41&lt;&gt;"Resultado trading"),"⚠ El monto debe ser positivo","✓")))))))))))))))</f>
        <v/>
      </c>
      <c r="P41" s="52">
        <f>IF(OR(B41="",G41=""),"",IF(C41="","Gasto",C41))</f>
        <v/>
      </c>
      <c r="Q41" s="52">
        <f>IF(P41="","",IF(J41&lt;&gt;"",J41,CuentaPred&amp;""))</f>
        <v/>
      </c>
      <c r="R41" s="52">
        <f>IF(P41="","",IF(ISNUMBER(I41),I41,TasaUSD))</f>
        <v/>
      </c>
      <c r="S41" s="53">
        <f>IF(P41="","",IF(H41="USD",G41*R41,G41))</f>
        <v/>
      </c>
      <c r="T41" s="53">
        <f>IF(P41="","",IF(H41="USD",G41,IF(R41&gt;0,G41/R41,0)))</f>
        <v/>
      </c>
      <c r="U41" s="53">
        <f>IF(P41="","",IF(P41="Gasto",S41,IF(P41="Reembolso",-S41,0)))</f>
        <v/>
      </c>
      <c r="V41" s="53">
        <f>IF(P41="","",IF(P41="Ingreso",S41,0))</f>
        <v/>
      </c>
      <c r="W41" s="53">
        <f>IF(P41="","",IF(P41="Resultado trading",S41,0))</f>
        <v/>
      </c>
      <c r="X41" s="52">
        <f>IF(OR(P41="Gasto",P41="Reembolso"),IF(M41&lt;&gt;"",M41,IFERROR(INDEX(catClasif,MATCH(D41&amp;"|"&amp;E41,catClave,0))&amp;"","Variable")),"")</f>
        <v/>
      </c>
      <c r="Y41" s="52">
        <f>IF(P41="","",IFERROR(INDEX(catGrupo,MATCH(D41&amp;"|"&amp;E41,catClave,0))&amp;"",""))</f>
        <v/>
      </c>
      <c r="Z41" s="52">
        <f>IF(P41="","",WEEKDAY(B41,2))</f>
        <v/>
      </c>
      <c r="AA41" s="52">
        <f>IF(P41="","",IF(AND(P41="Gasto",X41="Variable",D41&lt;&gt;catTrading,S41&gt;0,S41&lt;=Umbral),1,0))</f>
        <v/>
      </c>
      <c r="AB41" s="52">
        <f>IF(OR(P41="",Q41=""),"",IFERROR(IF(INDEX(ctaVinc,MATCH(Q41,ctaNombre,0))&amp;""&lt;&gt;"",INDEX(ctaVinc,MATCH(Q41,ctaNombre,0))&amp;"",Q41),Q41))</f>
        <v/>
      </c>
      <c r="AC41" s="52">
        <f>IF(OR(K41="",AND(P41&lt;&gt;"Transferencia",P41&lt;&gt;"Pago tarjeta")),"",IFERROR(IF(INDEX(ctaVinc,MATCH(K41,ctaNombre,0))&amp;""&lt;&gt;"",INDEX(ctaVinc,MATCH(K41,ctaNombre,0))&amp;"",K41),K41))</f>
        <v/>
      </c>
      <c r="AD41" s="52">
        <f>IF(AB41="","",IFERROR(INDEX(ctaTipo,MATCH(AB41,ctaNombre,0))&amp;"",""))</f>
        <v/>
      </c>
      <c r="AE41" s="52">
        <f>IF(AC41="","",IFERROR(INDEX(ctaTipo,MATCH(AC41,ctaNombre,0))&amp;"",""))</f>
        <v/>
      </c>
      <c r="AF41" s="53">
        <f>IF(OR(P41="",AB41=""),"",IF(OR(P41="Gasto",P41="Transferencia",P41="Pago tarjeta"),-1,1)*IF(IFERROR(INDEX(ctaMoneda,MATCH(AB41,ctaNombre,0))&amp;"","DOP")="USD",T41,S41))</f>
        <v/>
      </c>
      <c r="AG41" s="53">
        <f>IF(AC41="","",IF(IFERROR(INDEX(ctaMoneda,MATCH(AC41,ctaNombre,0))&amp;"","DOP")="USD",T41,S41))</f>
        <v/>
      </c>
      <c r="AH41" s="53">
        <f>IF(P41="","",IF(AND(AD41&lt;&gt;"",COUNTIFS(tcTipo,AD41,tcLiq,"Sí")&gt;0),IF(OR(P41="Gasto",P41="Transferencia",P41="Pago tarjeta"),-1,1)*S41,0)+IF(AND(AE41&lt;&gt;"",COUNTIFS(tcTipo,AE41,tcLiq,"Sí")&gt;0),S41,0))</f>
        <v/>
      </c>
      <c r="AI41" s="52">
        <f>IF(OR(L41="",P41=""),"",IF(COUNTIFS(L$6:L41,L41,P$6:P41,"?*")=1,MAX(AI$5:AI40)+1,""))</f>
        <v/>
      </c>
    </row>
    <row r="42">
      <c r="B42" s="47" t="n">
        <v>46251</v>
      </c>
      <c r="C42" s="48" t="inlineStr">
        <is>
          <t>Gasto</t>
        </is>
      </c>
      <c r="D42" s="48" t="inlineStr">
        <is>
          <t>Transporte y vehículo</t>
        </is>
      </c>
      <c r="E42" s="48" t="inlineStr">
        <is>
          <t>Combustible</t>
        </is>
      </c>
      <c r="F42" s="48" t="inlineStr">
        <is>
          <t>DEMO · Combustible</t>
        </is>
      </c>
      <c r="G42" s="49" t="n">
        <v>2800</v>
      </c>
      <c r="H42" s="48" t="inlineStr">
        <is>
          <t>DOP</t>
        </is>
      </c>
      <c r="I42" s="50" t="n"/>
      <c r="J42" s="48" t="inlineStr">
        <is>
          <t>Tarjeta de crédito</t>
        </is>
      </c>
      <c r="K42" s="48" t="n"/>
      <c r="L42" s="48" t="inlineStr">
        <is>
          <t>Estación de combustible</t>
        </is>
      </c>
      <c r="M42" s="48" t="n"/>
      <c r="N42" s="48" t="inlineStr">
        <is>
          <t>DEMOSTRACIÓN</t>
        </is>
      </c>
      <c r="O42" s="51">
        <f>IF(AND(B42="",G42="",C42="",D42="",J42=""),"",IF(B42="","⚠ Falta fecha",IF(G42="","⚠ Falta monto",IF(Q42="","⚠ Falta cuenta",IF(ISNA(MATCH(Q42,ctaNombre,0)),"⚠ Cuenta no registrada",IF(AND(OR(P42="Gasto",P42="Reembolso"),D42=""),"⚠ Falta categoría",IF(AND(D42&lt;&gt;"",E42&lt;&gt;"",ISNA(MATCH(D42&amp;"|"&amp;E42,catClave,0))),"⚠ Subcategoría no corresponde",IF(AND(OR(P42="Transferencia",P42="Pago tarjeta"),K42=""),"⚠ Falta cuenta destino",IF(AND(K42&lt;&gt;"",P42&lt;&gt;"Transferencia",P42&lt;&gt;"Pago tarjeta"),"⚠ Destino solo aplica a transferencias",IF(AND(K42&lt;&gt;"",K42=Q42),"⚠ Origen igual a destino",IF(AND(K42&lt;&gt;"",ISNA(MATCH(K42,ctaNombre,0))),"⚠ Destino no registrado",IF(AND(P42="Pago tarjeta",AE42&lt;&gt;"Tarjeta de crédito"),"⚠ El destino debe ser tarjeta de crédito",IF(AND(P42="Gasto",E42="Depósitos y retiros"),"⚠ Usa tipo Transferencia",IF(AND(P42="Resultado trading",AD42&lt;&gt;"Cuenta de trading"),"⚠ Usa una cuenta de trading",IF(AND(G42&lt;=0,P42&lt;&gt;"Ajuste",P42&lt;&gt;"Resultado trading"),"⚠ El monto debe ser positivo","✓")))))))))))))))</f>
        <v/>
      </c>
      <c r="P42" s="52">
        <f>IF(OR(B42="",G42=""),"",IF(C42="","Gasto",C42))</f>
        <v/>
      </c>
      <c r="Q42" s="52">
        <f>IF(P42="","",IF(J42&lt;&gt;"",J42,CuentaPred&amp;""))</f>
        <v/>
      </c>
      <c r="R42" s="52">
        <f>IF(P42="","",IF(ISNUMBER(I42),I42,TasaUSD))</f>
        <v/>
      </c>
      <c r="S42" s="53">
        <f>IF(P42="","",IF(H42="USD",G42*R42,G42))</f>
        <v/>
      </c>
      <c r="T42" s="53">
        <f>IF(P42="","",IF(H42="USD",G42,IF(R42&gt;0,G42/R42,0)))</f>
        <v/>
      </c>
      <c r="U42" s="53">
        <f>IF(P42="","",IF(P42="Gasto",S42,IF(P42="Reembolso",-S42,0)))</f>
        <v/>
      </c>
      <c r="V42" s="53">
        <f>IF(P42="","",IF(P42="Ingreso",S42,0))</f>
        <v/>
      </c>
      <c r="W42" s="53">
        <f>IF(P42="","",IF(P42="Resultado trading",S42,0))</f>
        <v/>
      </c>
      <c r="X42" s="52">
        <f>IF(OR(P42="Gasto",P42="Reembolso"),IF(M42&lt;&gt;"",M42,IFERROR(INDEX(catClasif,MATCH(D42&amp;"|"&amp;E42,catClave,0))&amp;"","Variable")),"")</f>
        <v/>
      </c>
      <c r="Y42" s="52">
        <f>IF(P42="","",IFERROR(INDEX(catGrupo,MATCH(D42&amp;"|"&amp;E42,catClave,0))&amp;"",""))</f>
        <v/>
      </c>
      <c r="Z42" s="52">
        <f>IF(P42="","",WEEKDAY(B42,2))</f>
        <v/>
      </c>
      <c r="AA42" s="52">
        <f>IF(P42="","",IF(AND(P42="Gasto",X42="Variable",D42&lt;&gt;catTrading,S42&gt;0,S42&lt;=Umbral),1,0))</f>
        <v/>
      </c>
      <c r="AB42" s="52">
        <f>IF(OR(P42="",Q42=""),"",IFERROR(IF(INDEX(ctaVinc,MATCH(Q42,ctaNombre,0))&amp;""&lt;&gt;"",INDEX(ctaVinc,MATCH(Q42,ctaNombre,0))&amp;"",Q42),Q42))</f>
        <v/>
      </c>
      <c r="AC42" s="52">
        <f>IF(OR(K42="",AND(P42&lt;&gt;"Transferencia",P42&lt;&gt;"Pago tarjeta")),"",IFERROR(IF(INDEX(ctaVinc,MATCH(K42,ctaNombre,0))&amp;""&lt;&gt;"",INDEX(ctaVinc,MATCH(K42,ctaNombre,0))&amp;"",K42),K42))</f>
        <v/>
      </c>
      <c r="AD42" s="52">
        <f>IF(AB42="","",IFERROR(INDEX(ctaTipo,MATCH(AB42,ctaNombre,0))&amp;"",""))</f>
        <v/>
      </c>
      <c r="AE42" s="52">
        <f>IF(AC42="","",IFERROR(INDEX(ctaTipo,MATCH(AC42,ctaNombre,0))&amp;"",""))</f>
        <v/>
      </c>
      <c r="AF42" s="53">
        <f>IF(OR(P42="",AB42=""),"",IF(OR(P42="Gasto",P42="Transferencia",P42="Pago tarjeta"),-1,1)*IF(IFERROR(INDEX(ctaMoneda,MATCH(AB42,ctaNombre,0))&amp;"","DOP")="USD",T42,S42))</f>
        <v/>
      </c>
      <c r="AG42" s="53">
        <f>IF(AC42="","",IF(IFERROR(INDEX(ctaMoneda,MATCH(AC42,ctaNombre,0))&amp;"","DOP")="USD",T42,S42))</f>
        <v/>
      </c>
      <c r="AH42" s="53">
        <f>IF(P42="","",IF(AND(AD42&lt;&gt;"",COUNTIFS(tcTipo,AD42,tcLiq,"Sí")&gt;0),IF(OR(P42="Gasto",P42="Transferencia",P42="Pago tarjeta"),-1,1)*S42,0)+IF(AND(AE42&lt;&gt;"",COUNTIFS(tcTipo,AE42,tcLiq,"Sí")&gt;0),S42,0))</f>
        <v/>
      </c>
      <c r="AI42" s="52">
        <f>IF(OR(L42="",P42=""),"",IF(COUNTIFS(L$6:L42,L42,P$6:P42,"?*")=1,MAX(AI$5:AI41)+1,""))</f>
        <v/>
      </c>
    </row>
    <row r="43">
      <c r="B43" s="47" t="n">
        <v>46252</v>
      </c>
      <c r="C43" s="48" t="inlineStr">
        <is>
          <t>Gasto</t>
        </is>
      </c>
      <c r="D43" s="48" t="inlineStr">
        <is>
          <t>Alimentación</t>
        </is>
      </c>
      <c r="E43" s="48" t="inlineStr">
        <is>
          <t>Desayunos comprados</t>
        </is>
      </c>
      <c r="F43" s="48" t="inlineStr">
        <is>
          <t>DEMO · Desayuno en la oficina</t>
        </is>
      </c>
      <c r="G43" s="49" t="n">
        <v>230</v>
      </c>
      <c r="H43" s="48" t="inlineStr">
        <is>
          <t>DOP</t>
        </is>
      </c>
      <c r="I43" s="50" t="n"/>
      <c r="J43" s="48" t="inlineStr">
        <is>
          <t>Efectivo</t>
        </is>
      </c>
      <c r="K43" s="48" t="n"/>
      <c r="L43" s="48" t="inlineStr">
        <is>
          <t>Cafetería del trabajo</t>
        </is>
      </c>
      <c r="M43" s="48" t="n"/>
      <c r="N43" s="48" t="inlineStr">
        <is>
          <t>DEMOSTRACIÓN</t>
        </is>
      </c>
      <c r="O43" s="51">
        <f>IF(AND(B43="",G43="",C43="",D43="",J43=""),"",IF(B43="","⚠ Falta fecha",IF(G43="","⚠ Falta monto",IF(Q43="","⚠ Falta cuenta",IF(ISNA(MATCH(Q43,ctaNombre,0)),"⚠ Cuenta no registrada",IF(AND(OR(P43="Gasto",P43="Reembolso"),D43=""),"⚠ Falta categoría",IF(AND(D43&lt;&gt;"",E43&lt;&gt;"",ISNA(MATCH(D43&amp;"|"&amp;E43,catClave,0))),"⚠ Subcategoría no corresponde",IF(AND(OR(P43="Transferencia",P43="Pago tarjeta"),K43=""),"⚠ Falta cuenta destino",IF(AND(K43&lt;&gt;"",P43&lt;&gt;"Transferencia",P43&lt;&gt;"Pago tarjeta"),"⚠ Destino solo aplica a transferencias",IF(AND(K43&lt;&gt;"",K43=Q43),"⚠ Origen igual a destino",IF(AND(K43&lt;&gt;"",ISNA(MATCH(K43,ctaNombre,0))),"⚠ Destino no registrado",IF(AND(P43="Pago tarjeta",AE43&lt;&gt;"Tarjeta de crédito"),"⚠ El destino debe ser tarjeta de crédito",IF(AND(P43="Gasto",E43="Depósitos y retiros"),"⚠ Usa tipo Transferencia",IF(AND(P43="Resultado trading",AD43&lt;&gt;"Cuenta de trading"),"⚠ Usa una cuenta de trading",IF(AND(G43&lt;=0,P43&lt;&gt;"Ajuste",P43&lt;&gt;"Resultado trading"),"⚠ El monto debe ser positivo","✓")))))))))))))))</f>
        <v/>
      </c>
      <c r="P43" s="52">
        <f>IF(OR(B43="",G43=""),"",IF(C43="","Gasto",C43))</f>
        <v/>
      </c>
      <c r="Q43" s="52">
        <f>IF(P43="","",IF(J43&lt;&gt;"",J43,CuentaPred&amp;""))</f>
        <v/>
      </c>
      <c r="R43" s="52">
        <f>IF(P43="","",IF(ISNUMBER(I43),I43,TasaUSD))</f>
        <v/>
      </c>
      <c r="S43" s="53">
        <f>IF(P43="","",IF(H43="USD",G43*R43,G43))</f>
        <v/>
      </c>
      <c r="T43" s="53">
        <f>IF(P43="","",IF(H43="USD",G43,IF(R43&gt;0,G43/R43,0)))</f>
        <v/>
      </c>
      <c r="U43" s="53">
        <f>IF(P43="","",IF(P43="Gasto",S43,IF(P43="Reembolso",-S43,0)))</f>
        <v/>
      </c>
      <c r="V43" s="53">
        <f>IF(P43="","",IF(P43="Ingreso",S43,0))</f>
        <v/>
      </c>
      <c r="W43" s="53">
        <f>IF(P43="","",IF(P43="Resultado trading",S43,0))</f>
        <v/>
      </c>
      <c r="X43" s="52">
        <f>IF(OR(P43="Gasto",P43="Reembolso"),IF(M43&lt;&gt;"",M43,IFERROR(INDEX(catClasif,MATCH(D43&amp;"|"&amp;E43,catClave,0))&amp;"","Variable")),"")</f>
        <v/>
      </c>
      <c r="Y43" s="52">
        <f>IF(P43="","",IFERROR(INDEX(catGrupo,MATCH(D43&amp;"|"&amp;E43,catClave,0))&amp;"",""))</f>
        <v/>
      </c>
      <c r="Z43" s="52">
        <f>IF(P43="","",WEEKDAY(B43,2))</f>
        <v/>
      </c>
      <c r="AA43" s="52">
        <f>IF(P43="","",IF(AND(P43="Gasto",X43="Variable",D43&lt;&gt;catTrading,S43&gt;0,S43&lt;=Umbral),1,0))</f>
        <v/>
      </c>
      <c r="AB43" s="52">
        <f>IF(OR(P43="",Q43=""),"",IFERROR(IF(INDEX(ctaVinc,MATCH(Q43,ctaNombre,0))&amp;""&lt;&gt;"",INDEX(ctaVinc,MATCH(Q43,ctaNombre,0))&amp;"",Q43),Q43))</f>
        <v/>
      </c>
      <c r="AC43" s="52">
        <f>IF(OR(K43="",AND(P43&lt;&gt;"Transferencia",P43&lt;&gt;"Pago tarjeta")),"",IFERROR(IF(INDEX(ctaVinc,MATCH(K43,ctaNombre,0))&amp;""&lt;&gt;"",INDEX(ctaVinc,MATCH(K43,ctaNombre,0))&amp;"",K43),K43))</f>
        <v/>
      </c>
      <c r="AD43" s="52">
        <f>IF(AB43="","",IFERROR(INDEX(ctaTipo,MATCH(AB43,ctaNombre,0))&amp;"",""))</f>
        <v/>
      </c>
      <c r="AE43" s="52">
        <f>IF(AC43="","",IFERROR(INDEX(ctaTipo,MATCH(AC43,ctaNombre,0))&amp;"",""))</f>
        <v/>
      </c>
      <c r="AF43" s="53">
        <f>IF(OR(P43="",AB43=""),"",IF(OR(P43="Gasto",P43="Transferencia",P43="Pago tarjeta"),-1,1)*IF(IFERROR(INDEX(ctaMoneda,MATCH(AB43,ctaNombre,0))&amp;"","DOP")="USD",T43,S43))</f>
        <v/>
      </c>
      <c r="AG43" s="53">
        <f>IF(AC43="","",IF(IFERROR(INDEX(ctaMoneda,MATCH(AC43,ctaNombre,0))&amp;"","DOP")="USD",T43,S43))</f>
        <v/>
      </c>
      <c r="AH43" s="53">
        <f>IF(P43="","",IF(AND(AD43&lt;&gt;"",COUNTIFS(tcTipo,AD43,tcLiq,"Sí")&gt;0),IF(OR(P43="Gasto",P43="Transferencia",P43="Pago tarjeta"),-1,1)*S43,0)+IF(AND(AE43&lt;&gt;"",COUNTIFS(tcTipo,AE43,tcLiq,"Sí")&gt;0),S43,0))</f>
        <v/>
      </c>
      <c r="AI43" s="52">
        <f>IF(OR(L43="",P43=""),"",IF(COUNTIFS(L$6:L43,L43,P$6:P43,"?*")=1,MAX(AI$5:AI42)+1,""))</f>
        <v/>
      </c>
    </row>
    <row r="44">
      <c r="B44" s="47" t="n">
        <v>46252</v>
      </c>
      <c r="C44" s="48" t="inlineStr">
        <is>
          <t>Gasto</t>
        </is>
      </c>
      <c r="D44" s="48" t="inlineStr">
        <is>
          <t>Transporte y vehículo</t>
        </is>
      </c>
      <c r="E44" s="48" t="inlineStr">
        <is>
          <t>Parqueos y peajes</t>
        </is>
      </c>
      <c r="F44" s="48" t="inlineStr">
        <is>
          <t>DEMO · Parqueo</t>
        </is>
      </c>
      <c r="G44" s="49" t="n">
        <v>75</v>
      </c>
      <c r="H44" s="48" t="inlineStr">
        <is>
          <t>DOP</t>
        </is>
      </c>
      <c r="I44" s="50" t="n"/>
      <c r="J44" s="48" t="inlineStr">
        <is>
          <t>Efectivo</t>
        </is>
      </c>
      <c r="K44" s="48" t="n"/>
      <c r="L44" s="48" t="inlineStr">
        <is>
          <t>Parqueo centro</t>
        </is>
      </c>
      <c r="M44" s="48" t="n"/>
      <c r="N44" s="48" t="inlineStr">
        <is>
          <t>DEMOSTRACIÓN</t>
        </is>
      </c>
      <c r="O44" s="51">
        <f>IF(AND(B44="",G44="",C44="",D44="",J44=""),"",IF(B44="","⚠ Falta fecha",IF(G44="","⚠ Falta monto",IF(Q44="","⚠ Falta cuenta",IF(ISNA(MATCH(Q44,ctaNombre,0)),"⚠ Cuenta no registrada",IF(AND(OR(P44="Gasto",P44="Reembolso"),D44=""),"⚠ Falta categoría",IF(AND(D44&lt;&gt;"",E44&lt;&gt;"",ISNA(MATCH(D44&amp;"|"&amp;E44,catClave,0))),"⚠ Subcategoría no corresponde",IF(AND(OR(P44="Transferencia",P44="Pago tarjeta"),K44=""),"⚠ Falta cuenta destino",IF(AND(K44&lt;&gt;"",P44&lt;&gt;"Transferencia",P44&lt;&gt;"Pago tarjeta"),"⚠ Destino solo aplica a transferencias",IF(AND(K44&lt;&gt;"",K44=Q44),"⚠ Origen igual a destino",IF(AND(K44&lt;&gt;"",ISNA(MATCH(K44,ctaNombre,0))),"⚠ Destino no registrado",IF(AND(P44="Pago tarjeta",AE44&lt;&gt;"Tarjeta de crédito"),"⚠ El destino debe ser tarjeta de crédito",IF(AND(P44="Gasto",E44="Depósitos y retiros"),"⚠ Usa tipo Transferencia",IF(AND(P44="Resultado trading",AD44&lt;&gt;"Cuenta de trading"),"⚠ Usa una cuenta de trading",IF(AND(G44&lt;=0,P44&lt;&gt;"Ajuste",P44&lt;&gt;"Resultado trading"),"⚠ El monto debe ser positivo","✓")))))))))))))))</f>
        <v/>
      </c>
      <c r="P44" s="52">
        <f>IF(OR(B44="",G44=""),"",IF(C44="","Gasto",C44))</f>
        <v/>
      </c>
      <c r="Q44" s="52">
        <f>IF(P44="","",IF(J44&lt;&gt;"",J44,CuentaPred&amp;""))</f>
        <v/>
      </c>
      <c r="R44" s="52">
        <f>IF(P44="","",IF(ISNUMBER(I44),I44,TasaUSD))</f>
        <v/>
      </c>
      <c r="S44" s="53">
        <f>IF(P44="","",IF(H44="USD",G44*R44,G44))</f>
        <v/>
      </c>
      <c r="T44" s="53">
        <f>IF(P44="","",IF(H44="USD",G44,IF(R44&gt;0,G44/R44,0)))</f>
        <v/>
      </c>
      <c r="U44" s="53">
        <f>IF(P44="","",IF(P44="Gasto",S44,IF(P44="Reembolso",-S44,0)))</f>
        <v/>
      </c>
      <c r="V44" s="53">
        <f>IF(P44="","",IF(P44="Ingreso",S44,0))</f>
        <v/>
      </c>
      <c r="W44" s="53">
        <f>IF(P44="","",IF(P44="Resultado trading",S44,0))</f>
        <v/>
      </c>
      <c r="X44" s="52">
        <f>IF(OR(P44="Gasto",P44="Reembolso"),IF(M44&lt;&gt;"",M44,IFERROR(INDEX(catClasif,MATCH(D44&amp;"|"&amp;E44,catClave,0))&amp;"","Variable")),"")</f>
        <v/>
      </c>
      <c r="Y44" s="52">
        <f>IF(P44="","",IFERROR(INDEX(catGrupo,MATCH(D44&amp;"|"&amp;E44,catClave,0))&amp;"",""))</f>
        <v/>
      </c>
      <c r="Z44" s="52">
        <f>IF(P44="","",WEEKDAY(B44,2))</f>
        <v/>
      </c>
      <c r="AA44" s="52">
        <f>IF(P44="","",IF(AND(P44="Gasto",X44="Variable",D44&lt;&gt;catTrading,S44&gt;0,S44&lt;=Umbral),1,0))</f>
        <v/>
      </c>
      <c r="AB44" s="52">
        <f>IF(OR(P44="",Q44=""),"",IFERROR(IF(INDEX(ctaVinc,MATCH(Q44,ctaNombre,0))&amp;""&lt;&gt;"",INDEX(ctaVinc,MATCH(Q44,ctaNombre,0))&amp;"",Q44),Q44))</f>
        <v/>
      </c>
      <c r="AC44" s="52">
        <f>IF(OR(K44="",AND(P44&lt;&gt;"Transferencia",P44&lt;&gt;"Pago tarjeta")),"",IFERROR(IF(INDEX(ctaVinc,MATCH(K44,ctaNombre,0))&amp;""&lt;&gt;"",INDEX(ctaVinc,MATCH(K44,ctaNombre,0))&amp;"",K44),K44))</f>
        <v/>
      </c>
      <c r="AD44" s="52">
        <f>IF(AB44="","",IFERROR(INDEX(ctaTipo,MATCH(AB44,ctaNombre,0))&amp;"",""))</f>
        <v/>
      </c>
      <c r="AE44" s="52">
        <f>IF(AC44="","",IFERROR(INDEX(ctaTipo,MATCH(AC44,ctaNombre,0))&amp;"",""))</f>
        <v/>
      </c>
      <c r="AF44" s="53">
        <f>IF(OR(P44="",AB44=""),"",IF(OR(P44="Gasto",P44="Transferencia",P44="Pago tarjeta"),-1,1)*IF(IFERROR(INDEX(ctaMoneda,MATCH(AB44,ctaNombre,0))&amp;"","DOP")="USD",T44,S44))</f>
        <v/>
      </c>
      <c r="AG44" s="53">
        <f>IF(AC44="","",IF(IFERROR(INDEX(ctaMoneda,MATCH(AC44,ctaNombre,0))&amp;"","DOP")="USD",T44,S44))</f>
        <v/>
      </c>
      <c r="AH44" s="53">
        <f>IF(P44="","",IF(AND(AD44&lt;&gt;"",COUNTIFS(tcTipo,AD44,tcLiq,"Sí")&gt;0),IF(OR(P44="Gasto",P44="Transferencia",P44="Pago tarjeta"),-1,1)*S44,0)+IF(AND(AE44&lt;&gt;"",COUNTIFS(tcTipo,AE44,tcLiq,"Sí")&gt;0),S44,0))</f>
        <v/>
      </c>
      <c r="AI44" s="52">
        <f>IF(OR(L44="",P44=""),"",IF(COUNTIFS(L$6:L44,L44,P$6:P44,"?*")=1,MAX(AI$5:AI43)+1,""))</f>
        <v/>
      </c>
    </row>
    <row r="45">
      <c r="B45" s="47" t="n">
        <v>46252</v>
      </c>
      <c r="C45" s="48" t="inlineStr">
        <is>
          <t>Gasto</t>
        </is>
      </c>
      <c r="D45" s="48" t="inlineStr">
        <is>
          <t>Tecnología y suscripciones</t>
        </is>
      </c>
      <c r="E45" s="48" t="inlineStr">
        <is>
          <t>Entretenimiento</t>
        </is>
      </c>
      <c r="F45" s="48" t="inlineStr">
        <is>
          <t>DEMO · Streaming de video</t>
        </is>
      </c>
      <c r="G45" s="49" t="n">
        <v>10.99</v>
      </c>
      <c r="H45" s="48" t="inlineStr">
        <is>
          <t>USD</t>
        </is>
      </c>
      <c r="I45" s="50" t="n"/>
      <c r="J45" s="48" t="inlineStr">
        <is>
          <t>Tarjeta de crédito</t>
        </is>
      </c>
      <c r="K45" s="48" t="n"/>
      <c r="L45" s="48" t="inlineStr">
        <is>
          <t>Streaming</t>
        </is>
      </c>
      <c r="M45" s="48" t="n"/>
      <c r="N45" s="48" t="inlineStr">
        <is>
          <t>DEMOSTRACIÓN</t>
        </is>
      </c>
      <c r="O45" s="51">
        <f>IF(AND(B45="",G45="",C45="",D45="",J45=""),"",IF(B45="","⚠ Falta fecha",IF(G45="","⚠ Falta monto",IF(Q45="","⚠ Falta cuenta",IF(ISNA(MATCH(Q45,ctaNombre,0)),"⚠ Cuenta no registrada",IF(AND(OR(P45="Gasto",P45="Reembolso"),D45=""),"⚠ Falta categoría",IF(AND(D45&lt;&gt;"",E45&lt;&gt;"",ISNA(MATCH(D45&amp;"|"&amp;E45,catClave,0))),"⚠ Subcategoría no corresponde",IF(AND(OR(P45="Transferencia",P45="Pago tarjeta"),K45=""),"⚠ Falta cuenta destino",IF(AND(K45&lt;&gt;"",P45&lt;&gt;"Transferencia",P45&lt;&gt;"Pago tarjeta"),"⚠ Destino solo aplica a transferencias",IF(AND(K45&lt;&gt;"",K45=Q45),"⚠ Origen igual a destino",IF(AND(K45&lt;&gt;"",ISNA(MATCH(K45,ctaNombre,0))),"⚠ Destino no registrado",IF(AND(P45="Pago tarjeta",AE45&lt;&gt;"Tarjeta de crédito"),"⚠ El destino debe ser tarjeta de crédito",IF(AND(P45="Gasto",E45="Depósitos y retiros"),"⚠ Usa tipo Transferencia",IF(AND(P45="Resultado trading",AD45&lt;&gt;"Cuenta de trading"),"⚠ Usa una cuenta de trading",IF(AND(G45&lt;=0,P45&lt;&gt;"Ajuste",P45&lt;&gt;"Resultado trading"),"⚠ El monto debe ser positivo","✓")))))))))))))))</f>
        <v/>
      </c>
      <c r="P45" s="52">
        <f>IF(OR(B45="",G45=""),"",IF(C45="","Gasto",C45))</f>
        <v/>
      </c>
      <c r="Q45" s="52">
        <f>IF(P45="","",IF(J45&lt;&gt;"",J45,CuentaPred&amp;""))</f>
        <v/>
      </c>
      <c r="R45" s="52">
        <f>IF(P45="","",IF(ISNUMBER(I45),I45,TasaUSD))</f>
        <v/>
      </c>
      <c r="S45" s="53">
        <f>IF(P45="","",IF(H45="USD",G45*R45,G45))</f>
        <v/>
      </c>
      <c r="T45" s="53">
        <f>IF(P45="","",IF(H45="USD",G45,IF(R45&gt;0,G45/R45,0)))</f>
        <v/>
      </c>
      <c r="U45" s="53">
        <f>IF(P45="","",IF(P45="Gasto",S45,IF(P45="Reembolso",-S45,0)))</f>
        <v/>
      </c>
      <c r="V45" s="53">
        <f>IF(P45="","",IF(P45="Ingreso",S45,0))</f>
        <v/>
      </c>
      <c r="W45" s="53">
        <f>IF(P45="","",IF(P45="Resultado trading",S45,0))</f>
        <v/>
      </c>
      <c r="X45" s="52">
        <f>IF(OR(P45="Gasto",P45="Reembolso"),IF(M45&lt;&gt;"",M45,IFERROR(INDEX(catClasif,MATCH(D45&amp;"|"&amp;E45,catClave,0))&amp;"","Variable")),"")</f>
        <v/>
      </c>
      <c r="Y45" s="52">
        <f>IF(P45="","",IFERROR(INDEX(catGrupo,MATCH(D45&amp;"|"&amp;E45,catClave,0))&amp;"",""))</f>
        <v/>
      </c>
      <c r="Z45" s="52">
        <f>IF(P45="","",WEEKDAY(B45,2))</f>
        <v/>
      </c>
      <c r="AA45" s="52">
        <f>IF(P45="","",IF(AND(P45="Gasto",X45="Variable",D45&lt;&gt;catTrading,S45&gt;0,S45&lt;=Umbral),1,0))</f>
        <v/>
      </c>
      <c r="AB45" s="52">
        <f>IF(OR(P45="",Q45=""),"",IFERROR(IF(INDEX(ctaVinc,MATCH(Q45,ctaNombre,0))&amp;""&lt;&gt;"",INDEX(ctaVinc,MATCH(Q45,ctaNombre,0))&amp;"",Q45),Q45))</f>
        <v/>
      </c>
      <c r="AC45" s="52">
        <f>IF(OR(K45="",AND(P45&lt;&gt;"Transferencia",P45&lt;&gt;"Pago tarjeta")),"",IFERROR(IF(INDEX(ctaVinc,MATCH(K45,ctaNombre,0))&amp;""&lt;&gt;"",INDEX(ctaVinc,MATCH(K45,ctaNombre,0))&amp;"",K45),K45))</f>
        <v/>
      </c>
      <c r="AD45" s="52">
        <f>IF(AB45="","",IFERROR(INDEX(ctaTipo,MATCH(AB45,ctaNombre,0))&amp;"",""))</f>
        <v/>
      </c>
      <c r="AE45" s="52">
        <f>IF(AC45="","",IFERROR(INDEX(ctaTipo,MATCH(AC45,ctaNombre,0))&amp;"",""))</f>
        <v/>
      </c>
      <c r="AF45" s="53">
        <f>IF(OR(P45="",AB45=""),"",IF(OR(P45="Gasto",P45="Transferencia",P45="Pago tarjeta"),-1,1)*IF(IFERROR(INDEX(ctaMoneda,MATCH(AB45,ctaNombre,0))&amp;"","DOP")="USD",T45,S45))</f>
        <v/>
      </c>
      <c r="AG45" s="53">
        <f>IF(AC45="","",IF(IFERROR(INDEX(ctaMoneda,MATCH(AC45,ctaNombre,0))&amp;"","DOP")="USD",T45,S45))</f>
        <v/>
      </c>
      <c r="AH45" s="53">
        <f>IF(P45="","",IF(AND(AD45&lt;&gt;"",COUNTIFS(tcTipo,AD45,tcLiq,"Sí")&gt;0),IF(OR(P45="Gasto",P45="Transferencia",P45="Pago tarjeta"),-1,1)*S45,0)+IF(AND(AE45&lt;&gt;"",COUNTIFS(tcTipo,AE45,tcLiq,"Sí")&gt;0),S45,0))</f>
        <v/>
      </c>
      <c r="AI45" s="52">
        <f>IF(OR(L45="",P45=""),"",IF(COUNTIFS(L$6:L45,L45,P$6:P45,"?*")=1,MAX(AI$5:AI44)+1,""))</f>
        <v/>
      </c>
    </row>
    <row r="46">
      <c r="B46" s="47" t="n">
        <v>46253</v>
      </c>
      <c r="C46" s="48" t="inlineStr">
        <is>
          <t>Gasto</t>
        </is>
      </c>
      <c r="D46" s="48" t="inlineStr">
        <is>
          <t>Alimentación</t>
        </is>
      </c>
      <c r="E46" s="48" t="inlineStr">
        <is>
          <t>Desayunos comprados</t>
        </is>
      </c>
      <c r="F46" s="48" t="inlineStr">
        <is>
          <t>DEMO · Desayuno en la oficina</t>
        </is>
      </c>
      <c r="G46" s="49" t="n">
        <v>240</v>
      </c>
      <c r="H46" s="48" t="inlineStr">
        <is>
          <t>DOP</t>
        </is>
      </c>
      <c r="I46" s="50" t="n"/>
      <c r="J46" s="48" t="inlineStr">
        <is>
          <t>Efectivo</t>
        </is>
      </c>
      <c r="K46" s="48" t="n"/>
      <c r="L46" s="48" t="inlineStr">
        <is>
          <t>Cafetería del trabajo</t>
        </is>
      </c>
      <c r="M46" s="48" t="n"/>
      <c r="N46" s="48" t="inlineStr">
        <is>
          <t>DEMOSTRACIÓN</t>
        </is>
      </c>
      <c r="O46" s="51">
        <f>IF(AND(B46="",G46="",C46="",D46="",J46=""),"",IF(B46="","⚠ Falta fecha",IF(G46="","⚠ Falta monto",IF(Q46="","⚠ Falta cuenta",IF(ISNA(MATCH(Q46,ctaNombre,0)),"⚠ Cuenta no registrada",IF(AND(OR(P46="Gasto",P46="Reembolso"),D46=""),"⚠ Falta categoría",IF(AND(D46&lt;&gt;"",E46&lt;&gt;"",ISNA(MATCH(D46&amp;"|"&amp;E46,catClave,0))),"⚠ Subcategoría no corresponde",IF(AND(OR(P46="Transferencia",P46="Pago tarjeta"),K46=""),"⚠ Falta cuenta destino",IF(AND(K46&lt;&gt;"",P46&lt;&gt;"Transferencia",P46&lt;&gt;"Pago tarjeta"),"⚠ Destino solo aplica a transferencias",IF(AND(K46&lt;&gt;"",K46=Q46),"⚠ Origen igual a destino",IF(AND(K46&lt;&gt;"",ISNA(MATCH(K46,ctaNombre,0))),"⚠ Destino no registrado",IF(AND(P46="Pago tarjeta",AE46&lt;&gt;"Tarjeta de crédito"),"⚠ El destino debe ser tarjeta de crédito",IF(AND(P46="Gasto",E46="Depósitos y retiros"),"⚠ Usa tipo Transferencia",IF(AND(P46="Resultado trading",AD46&lt;&gt;"Cuenta de trading"),"⚠ Usa una cuenta de trading",IF(AND(G46&lt;=0,P46&lt;&gt;"Ajuste",P46&lt;&gt;"Resultado trading"),"⚠ El monto debe ser positivo","✓")))))))))))))))</f>
        <v/>
      </c>
      <c r="P46" s="52">
        <f>IF(OR(B46="",G46=""),"",IF(C46="","Gasto",C46))</f>
        <v/>
      </c>
      <c r="Q46" s="52">
        <f>IF(P46="","",IF(J46&lt;&gt;"",J46,CuentaPred&amp;""))</f>
        <v/>
      </c>
      <c r="R46" s="52">
        <f>IF(P46="","",IF(ISNUMBER(I46),I46,TasaUSD))</f>
        <v/>
      </c>
      <c r="S46" s="53">
        <f>IF(P46="","",IF(H46="USD",G46*R46,G46))</f>
        <v/>
      </c>
      <c r="T46" s="53">
        <f>IF(P46="","",IF(H46="USD",G46,IF(R46&gt;0,G46/R46,0)))</f>
        <v/>
      </c>
      <c r="U46" s="53">
        <f>IF(P46="","",IF(P46="Gasto",S46,IF(P46="Reembolso",-S46,0)))</f>
        <v/>
      </c>
      <c r="V46" s="53">
        <f>IF(P46="","",IF(P46="Ingreso",S46,0))</f>
        <v/>
      </c>
      <c r="W46" s="53">
        <f>IF(P46="","",IF(P46="Resultado trading",S46,0))</f>
        <v/>
      </c>
      <c r="X46" s="52">
        <f>IF(OR(P46="Gasto",P46="Reembolso"),IF(M46&lt;&gt;"",M46,IFERROR(INDEX(catClasif,MATCH(D46&amp;"|"&amp;E46,catClave,0))&amp;"","Variable")),"")</f>
        <v/>
      </c>
      <c r="Y46" s="52">
        <f>IF(P46="","",IFERROR(INDEX(catGrupo,MATCH(D46&amp;"|"&amp;E46,catClave,0))&amp;"",""))</f>
        <v/>
      </c>
      <c r="Z46" s="52">
        <f>IF(P46="","",WEEKDAY(B46,2))</f>
        <v/>
      </c>
      <c r="AA46" s="52">
        <f>IF(P46="","",IF(AND(P46="Gasto",X46="Variable",D46&lt;&gt;catTrading,S46&gt;0,S46&lt;=Umbral),1,0))</f>
        <v/>
      </c>
      <c r="AB46" s="52">
        <f>IF(OR(P46="",Q46=""),"",IFERROR(IF(INDEX(ctaVinc,MATCH(Q46,ctaNombre,0))&amp;""&lt;&gt;"",INDEX(ctaVinc,MATCH(Q46,ctaNombre,0))&amp;"",Q46),Q46))</f>
        <v/>
      </c>
      <c r="AC46" s="52">
        <f>IF(OR(K46="",AND(P46&lt;&gt;"Transferencia",P46&lt;&gt;"Pago tarjeta")),"",IFERROR(IF(INDEX(ctaVinc,MATCH(K46,ctaNombre,0))&amp;""&lt;&gt;"",INDEX(ctaVinc,MATCH(K46,ctaNombre,0))&amp;"",K46),K46))</f>
        <v/>
      </c>
      <c r="AD46" s="52">
        <f>IF(AB46="","",IFERROR(INDEX(ctaTipo,MATCH(AB46,ctaNombre,0))&amp;"",""))</f>
        <v/>
      </c>
      <c r="AE46" s="52">
        <f>IF(AC46="","",IFERROR(INDEX(ctaTipo,MATCH(AC46,ctaNombre,0))&amp;"",""))</f>
        <v/>
      </c>
      <c r="AF46" s="53">
        <f>IF(OR(P46="",AB46=""),"",IF(OR(P46="Gasto",P46="Transferencia",P46="Pago tarjeta"),-1,1)*IF(IFERROR(INDEX(ctaMoneda,MATCH(AB46,ctaNombre,0))&amp;"","DOP")="USD",T46,S46))</f>
        <v/>
      </c>
      <c r="AG46" s="53">
        <f>IF(AC46="","",IF(IFERROR(INDEX(ctaMoneda,MATCH(AC46,ctaNombre,0))&amp;"","DOP")="USD",T46,S46))</f>
        <v/>
      </c>
      <c r="AH46" s="53">
        <f>IF(P46="","",IF(AND(AD46&lt;&gt;"",COUNTIFS(tcTipo,AD46,tcLiq,"Sí")&gt;0),IF(OR(P46="Gasto",P46="Transferencia",P46="Pago tarjeta"),-1,1)*S46,0)+IF(AND(AE46&lt;&gt;"",COUNTIFS(tcTipo,AE46,tcLiq,"Sí")&gt;0),S46,0))</f>
        <v/>
      </c>
      <c r="AI46" s="52">
        <f>IF(OR(L46="",P46=""),"",IF(COUNTIFS(L$6:L46,L46,P$6:P46,"?*")=1,MAX(AI$5:AI45)+1,""))</f>
        <v/>
      </c>
    </row>
    <row r="47">
      <c r="B47" s="47" t="n">
        <v>46253</v>
      </c>
      <c r="C47" s="48" t="inlineStr">
        <is>
          <t>Gasto</t>
        </is>
      </c>
      <c r="D47" s="48" t="inlineStr">
        <is>
          <t>Alimentación</t>
        </is>
      </c>
      <c r="E47" s="48" t="inlineStr">
        <is>
          <t>Almuerzos laborales</t>
        </is>
      </c>
      <c r="F47" s="48" t="inlineStr">
        <is>
          <t>DEMO · Almuerzo laboral</t>
        </is>
      </c>
      <c r="G47" s="49" t="n">
        <v>350</v>
      </c>
      <c r="H47" s="48" t="inlineStr">
        <is>
          <t>DOP</t>
        </is>
      </c>
      <c r="I47" s="50" t="n"/>
      <c r="J47" s="48" t="inlineStr">
        <is>
          <t>Tarjeta de débito</t>
        </is>
      </c>
      <c r="K47" s="48" t="n"/>
      <c r="L47" s="48" t="inlineStr">
        <is>
          <t>Comedor ejecutivo</t>
        </is>
      </c>
      <c r="M47" s="48" t="n"/>
      <c r="N47" s="48" t="inlineStr">
        <is>
          <t>DEMOSTRACIÓN</t>
        </is>
      </c>
      <c r="O47" s="51">
        <f>IF(AND(B47="",G47="",C47="",D47="",J47=""),"",IF(B47="","⚠ Falta fecha",IF(G47="","⚠ Falta monto",IF(Q47="","⚠ Falta cuenta",IF(ISNA(MATCH(Q47,ctaNombre,0)),"⚠ Cuenta no registrada",IF(AND(OR(P47="Gasto",P47="Reembolso"),D47=""),"⚠ Falta categoría",IF(AND(D47&lt;&gt;"",E47&lt;&gt;"",ISNA(MATCH(D47&amp;"|"&amp;E47,catClave,0))),"⚠ Subcategoría no corresponde",IF(AND(OR(P47="Transferencia",P47="Pago tarjeta"),K47=""),"⚠ Falta cuenta destino",IF(AND(K47&lt;&gt;"",P47&lt;&gt;"Transferencia",P47&lt;&gt;"Pago tarjeta"),"⚠ Destino solo aplica a transferencias",IF(AND(K47&lt;&gt;"",K47=Q47),"⚠ Origen igual a destino",IF(AND(K47&lt;&gt;"",ISNA(MATCH(K47,ctaNombre,0))),"⚠ Destino no registrado",IF(AND(P47="Pago tarjeta",AE47&lt;&gt;"Tarjeta de crédito"),"⚠ El destino debe ser tarjeta de crédito",IF(AND(P47="Gasto",E47="Depósitos y retiros"),"⚠ Usa tipo Transferencia",IF(AND(P47="Resultado trading",AD47&lt;&gt;"Cuenta de trading"),"⚠ Usa una cuenta de trading",IF(AND(G47&lt;=0,P47&lt;&gt;"Ajuste",P47&lt;&gt;"Resultado trading"),"⚠ El monto debe ser positivo","✓")))))))))))))))</f>
        <v/>
      </c>
      <c r="P47" s="52">
        <f>IF(OR(B47="",G47=""),"",IF(C47="","Gasto",C47))</f>
        <v/>
      </c>
      <c r="Q47" s="52">
        <f>IF(P47="","",IF(J47&lt;&gt;"",J47,CuentaPred&amp;""))</f>
        <v/>
      </c>
      <c r="R47" s="52">
        <f>IF(P47="","",IF(ISNUMBER(I47),I47,TasaUSD))</f>
        <v/>
      </c>
      <c r="S47" s="53">
        <f>IF(P47="","",IF(H47="USD",G47*R47,G47))</f>
        <v/>
      </c>
      <c r="T47" s="53">
        <f>IF(P47="","",IF(H47="USD",G47,IF(R47&gt;0,G47/R47,0)))</f>
        <v/>
      </c>
      <c r="U47" s="53">
        <f>IF(P47="","",IF(P47="Gasto",S47,IF(P47="Reembolso",-S47,0)))</f>
        <v/>
      </c>
      <c r="V47" s="53">
        <f>IF(P47="","",IF(P47="Ingreso",S47,0))</f>
        <v/>
      </c>
      <c r="W47" s="53">
        <f>IF(P47="","",IF(P47="Resultado trading",S47,0))</f>
        <v/>
      </c>
      <c r="X47" s="52">
        <f>IF(OR(P47="Gasto",P47="Reembolso"),IF(M47&lt;&gt;"",M47,IFERROR(INDEX(catClasif,MATCH(D47&amp;"|"&amp;E47,catClave,0))&amp;"","Variable")),"")</f>
        <v/>
      </c>
      <c r="Y47" s="52">
        <f>IF(P47="","",IFERROR(INDEX(catGrupo,MATCH(D47&amp;"|"&amp;E47,catClave,0))&amp;"",""))</f>
        <v/>
      </c>
      <c r="Z47" s="52">
        <f>IF(P47="","",WEEKDAY(B47,2))</f>
        <v/>
      </c>
      <c r="AA47" s="52">
        <f>IF(P47="","",IF(AND(P47="Gasto",X47="Variable",D47&lt;&gt;catTrading,S47&gt;0,S47&lt;=Umbral),1,0))</f>
        <v/>
      </c>
      <c r="AB47" s="52">
        <f>IF(OR(P47="",Q47=""),"",IFERROR(IF(INDEX(ctaVinc,MATCH(Q47,ctaNombre,0))&amp;""&lt;&gt;"",INDEX(ctaVinc,MATCH(Q47,ctaNombre,0))&amp;"",Q47),Q47))</f>
        <v/>
      </c>
      <c r="AC47" s="52">
        <f>IF(OR(K47="",AND(P47&lt;&gt;"Transferencia",P47&lt;&gt;"Pago tarjeta")),"",IFERROR(IF(INDEX(ctaVinc,MATCH(K47,ctaNombre,0))&amp;""&lt;&gt;"",INDEX(ctaVinc,MATCH(K47,ctaNombre,0))&amp;"",K47),K47))</f>
        <v/>
      </c>
      <c r="AD47" s="52">
        <f>IF(AB47="","",IFERROR(INDEX(ctaTipo,MATCH(AB47,ctaNombre,0))&amp;"",""))</f>
        <v/>
      </c>
      <c r="AE47" s="52">
        <f>IF(AC47="","",IFERROR(INDEX(ctaTipo,MATCH(AC47,ctaNombre,0))&amp;"",""))</f>
        <v/>
      </c>
      <c r="AF47" s="53">
        <f>IF(OR(P47="",AB47=""),"",IF(OR(P47="Gasto",P47="Transferencia",P47="Pago tarjeta"),-1,1)*IF(IFERROR(INDEX(ctaMoneda,MATCH(AB47,ctaNombre,0))&amp;"","DOP")="USD",T47,S47))</f>
        <v/>
      </c>
      <c r="AG47" s="53">
        <f>IF(AC47="","",IF(IFERROR(INDEX(ctaMoneda,MATCH(AC47,ctaNombre,0))&amp;"","DOP")="USD",T47,S47))</f>
        <v/>
      </c>
      <c r="AH47" s="53">
        <f>IF(P47="","",IF(AND(AD47&lt;&gt;"",COUNTIFS(tcTipo,AD47,tcLiq,"Sí")&gt;0),IF(OR(P47="Gasto",P47="Transferencia",P47="Pago tarjeta"),-1,1)*S47,0)+IF(AND(AE47&lt;&gt;"",COUNTIFS(tcTipo,AE47,tcLiq,"Sí")&gt;0),S47,0))</f>
        <v/>
      </c>
      <c r="AI47" s="52">
        <f>IF(OR(L47="",P47=""),"",IF(COUNTIFS(L$6:L47,L47,P$6:P47,"?*")=1,MAX(AI$5:AI46)+1,""))</f>
        <v/>
      </c>
    </row>
    <row r="48">
      <c r="B48" s="47" t="n">
        <v>46253</v>
      </c>
      <c r="C48" s="48" t="inlineStr">
        <is>
          <t>Gasto</t>
        </is>
      </c>
      <c r="D48" s="48" t="inlineStr">
        <is>
          <t>Alimentación</t>
        </is>
      </c>
      <c r="E48" s="48" t="inlineStr">
        <is>
          <t>Bebidas, snacks y otros consumos</t>
        </is>
      </c>
      <c r="F48" s="48" t="inlineStr">
        <is>
          <t>DEMO · Jugo y galletas</t>
        </is>
      </c>
      <c r="G48" s="49" t="n">
        <v>170</v>
      </c>
      <c r="H48" s="48" t="inlineStr">
        <is>
          <t>DOP</t>
        </is>
      </c>
      <c r="I48" s="50" t="n"/>
      <c r="J48" s="48" t="inlineStr">
        <is>
          <t>Efectivo</t>
        </is>
      </c>
      <c r="K48" s="48" t="n"/>
      <c r="L48" s="48" t="inlineStr">
        <is>
          <t>Cafetería del trabajo</t>
        </is>
      </c>
      <c r="M48" s="48" t="n"/>
      <c r="N48" s="48" t="inlineStr">
        <is>
          <t>DEMOSTRACIÓN</t>
        </is>
      </c>
      <c r="O48" s="51">
        <f>IF(AND(B48="",G48="",C48="",D48="",J48=""),"",IF(B48="","⚠ Falta fecha",IF(G48="","⚠ Falta monto",IF(Q48="","⚠ Falta cuenta",IF(ISNA(MATCH(Q48,ctaNombre,0)),"⚠ Cuenta no registrada",IF(AND(OR(P48="Gasto",P48="Reembolso"),D48=""),"⚠ Falta categoría",IF(AND(D48&lt;&gt;"",E48&lt;&gt;"",ISNA(MATCH(D48&amp;"|"&amp;E48,catClave,0))),"⚠ Subcategoría no corresponde",IF(AND(OR(P48="Transferencia",P48="Pago tarjeta"),K48=""),"⚠ Falta cuenta destino",IF(AND(K48&lt;&gt;"",P48&lt;&gt;"Transferencia",P48&lt;&gt;"Pago tarjeta"),"⚠ Destino solo aplica a transferencias",IF(AND(K48&lt;&gt;"",K48=Q48),"⚠ Origen igual a destino",IF(AND(K48&lt;&gt;"",ISNA(MATCH(K48,ctaNombre,0))),"⚠ Destino no registrado",IF(AND(P48="Pago tarjeta",AE48&lt;&gt;"Tarjeta de crédito"),"⚠ El destino debe ser tarjeta de crédito",IF(AND(P48="Gasto",E48="Depósitos y retiros"),"⚠ Usa tipo Transferencia",IF(AND(P48="Resultado trading",AD48&lt;&gt;"Cuenta de trading"),"⚠ Usa una cuenta de trading",IF(AND(G48&lt;=0,P48&lt;&gt;"Ajuste",P48&lt;&gt;"Resultado trading"),"⚠ El monto debe ser positivo","✓")))))))))))))))</f>
        <v/>
      </c>
      <c r="P48" s="52">
        <f>IF(OR(B48="",G48=""),"",IF(C48="","Gasto",C48))</f>
        <v/>
      </c>
      <c r="Q48" s="52">
        <f>IF(P48="","",IF(J48&lt;&gt;"",J48,CuentaPred&amp;""))</f>
        <v/>
      </c>
      <c r="R48" s="52">
        <f>IF(P48="","",IF(ISNUMBER(I48),I48,TasaUSD))</f>
        <v/>
      </c>
      <c r="S48" s="53">
        <f>IF(P48="","",IF(H48="USD",G48*R48,G48))</f>
        <v/>
      </c>
      <c r="T48" s="53">
        <f>IF(P48="","",IF(H48="USD",G48,IF(R48&gt;0,G48/R48,0)))</f>
        <v/>
      </c>
      <c r="U48" s="53">
        <f>IF(P48="","",IF(P48="Gasto",S48,IF(P48="Reembolso",-S48,0)))</f>
        <v/>
      </c>
      <c r="V48" s="53">
        <f>IF(P48="","",IF(P48="Ingreso",S48,0))</f>
        <v/>
      </c>
      <c r="W48" s="53">
        <f>IF(P48="","",IF(P48="Resultado trading",S48,0))</f>
        <v/>
      </c>
      <c r="X48" s="52">
        <f>IF(OR(P48="Gasto",P48="Reembolso"),IF(M48&lt;&gt;"",M48,IFERROR(INDEX(catClasif,MATCH(D48&amp;"|"&amp;E48,catClave,0))&amp;"","Variable")),"")</f>
        <v/>
      </c>
      <c r="Y48" s="52">
        <f>IF(P48="","",IFERROR(INDEX(catGrupo,MATCH(D48&amp;"|"&amp;E48,catClave,0))&amp;"",""))</f>
        <v/>
      </c>
      <c r="Z48" s="52">
        <f>IF(P48="","",WEEKDAY(B48,2))</f>
        <v/>
      </c>
      <c r="AA48" s="52">
        <f>IF(P48="","",IF(AND(P48="Gasto",X48="Variable",D48&lt;&gt;catTrading,S48&gt;0,S48&lt;=Umbral),1,0))</f>
        <v/>
      </c>
      <c r="AB48" s="52">
        <f>IF(OR(P48="",Q48=""),"",IFERROR(IF(INDEX(ctaVinc,MATCH(Q48,ctaNombre,0))&amp;""&lt;&gt;"",INDEX(ctaVinc,MATCH(Q48,ctaNombre,0))&amp;"",Q48),Q48))</f>
        <v/>
      </c>
      <c r="AC48" s="52">
        <f>IF(OR(K48="",AND(P48&lt;&gt;"Transferencia",P48&lt;&gt;"Pago tarjeta")),"",IFERROR(IF(INDEX(ctaVinc,MATCH(K48,ctaNombre,0))&amp;""&lt;&gt;"",INDEX(ctaVinc,MATCH(K48,ctaNombre,0))&amp;"",K48),K48))</f>
        <v/>
      </c>
      <c r="AD48" s="52">
        <f>IF(AB48="","",IFERROR(INDEX(ctaTipo,MATCH(AB48,ctaNombre,0))&amp;"",""))</f>
        <v/>
      </c>
      <c r="AE48" s="52">
        <f>IF(AC48="","",IFERROR(INDEX(ctaTipo,MATCH(AC48,ctaNombre,0))&amp;"",""))</f>
        <v/>
      </c>
      <c r="AF48" s="53">
        <f>IF(OR(P48="",AB48=""),"",IF(OR(P48="Gasto",P48="Transferencia",P48="Pago tarjeta"),-1,1)*IF(IFERROR(INDEX(ctaMoneda,MATCH(AB48,ctaNombre,0))&amp;"","DOP")="USD",T48,S48))</f>
        <v/>
      </c>
      <c r="AG48" s="53">
        <f>IF(AC48="","",IF(IFERROR(INDEX(ctaMoneda,MATCH(AC48,ctaNombre,0))&amp;"","DOP")="USD",T48,S48))</f>
        <v/>
      </c>
      <c r="AH48" s="53">
        <f>IF(P48="","",IF(AND(AD48&lt;&gt;"",COUNTIFS(tcTipo,AD48,tcLiq,"Sí")&gt;0),IF(OR(P48="Gasto",P48="Transferencia",P48="Pago tarjeta"),-1,1)*S48,0)+IF(AND(AE48&lt;&gt;"",COUNTIFS(tcTipo,AE48,tcLiq,"Sí")&gt;0),S48,0))</f>
        <v/>
      </c>
      <c r="AI48" s="52">
        <f>IF(OR(L48="",P48=""),"",IF(COUNTIFS(L$6:L48,L48,P$6:P48,"?*")=1,MAX(AI$5:AI47)+1,""))</f>
        <v/>
      </c>
    </row>
    <row r="49">
      <c r="B49" s="47" t="n">
        <v>46254</v>
      </c>
      <c r="C49" s="48" t="inlineStr">
        <is>
          <t>Resultado trading</t>
        </is>
      </c>
      <c r="D49" s="48" t="inlineStr">
        <is>
          <t>Trading y actividades financieras</t>
        </is>
      </c>
      <c r="E49" s="48" t="inlineStr">
        <is>
          <t>Ganancias y pérdidas realizadas</t>
        </is>
      </c>
      <c r="F49" s="48" t="inlineStr">
        <is>
          <t>DEMO · Pérdida realizada</t>
        </is>
      </c>
      <c r="G49" s="49" t="n">
        <v>-85</v>
      </c>
      <c r="H49" s="48" t="inlineStr">
        <is>
          <t>USD</t>
        </is>
      </c>
      <c r="I49" s="50" t="n"/>
      <c r="J49" s="48" t="inlineStr">
        <is>
          <t>Cuenta de trading</t>
        </is>
      </c>
      <c r="K49" s="48" t="n"/>
      <c r="L49" s="48" t="n"/>
      <c r="M49" s="48" t="n"/>
      <c r="N49" s="48" t="inlineStr">
        <is>
          <t>DEMOSTRACIÓN</t>
        </is>
      </c>
      <c r="O49" s="51">
        <f>IF(AND(B49="",G49="",C49="",D49="",J49=""),"",IF(B49="","⚠ Falta fecha",IF(G49="","⚠ Falta monto",IF(Q49="","⚠ Falta cuenta",IF(ISNA(MATCH(Q49,ctaNombre,0)),"⚠ Cuenta no registrada",IF(AND(OR(P49="Gasto",P49="Reembolso"),D49=""),"⚠ Falta categoría",IF(AND(D49&lt;&gt;"",E49&lt;&gt;"",ISNA(MATCH(D49&amp;"|"&amp;E49,catClave,0))),"⚠ Subcategoría no corresponde",IF(AND(OR(P49="Transferencia",P49="Pago tarjeta"),K49=""),"⚠ Falta cuenta destino",IF(AND(K49&lt;&gt;"",P49&lt;&gt;"Transferencia",P49&lt;&gt;"Pago tarjeta"),"⚠ Destino solo aplica a transferencias",IF(AND(K49&lt;&gt;"",K49=Q49),"⚠ Origen igual a destino",IF(AND(K49&lt;&gt;"",ISNA(MATCH(K49,ctaNombre,0))),"⚠ Destino no registrado",IF(AND(P49="Pago tarjeta",AE49&lt;&gt;"Tarjeta de crédito"),"⚠ El destino debe ser tarjeta de crédito",IF(AND(P49="Gasto",E49="Depósitos y retiros"),"⚠ Usa tipo Transferencia",IF(AND(P49="Resultado trading",AD49&lt;&gt;"Cuenta de trading"),"⚠ Usa una cuenta de trading",IF(AND(G49&lt;=0,P49&lt;&gt;"Ajuste",P49&lt;&gt;"Resultado trading"),"⚠ El monto debe ser positivo","✓")))))))))))))))</f>
        <v/>
      </c>
      <c r="P49" s="52">
        <f>IF(OR(B49="",G49=""),"",IF(C49="","Gasto",C49))</f>
        <v/>
      </c>
      <c r="Q49" s="52">
        <f>IF(P49="","",IF(J49&lt;&gt;"",J49,CuentaPred&amp;""))</f>
        <v/>
      </c>
      <c r="R49" s="52">
        <f>IF(P49="","",IF(ISNUMBER(I49),I49,TasaUSD))</f>
        <v/>
      </c>
      <c r="S49" s="53">
        <f>IF(P49="","",IF(H49="USD",G49*R49,G49))</f>
        <v/>
      </c>
      <c r="T49" s="53">
        <f>IF(P49="","",IF(H49="USD",G49,IF(R49&gt;0,G49/R49,0)))</f>
        <v/>
      </c>
      <c r="U49" s="53">
        <f>IF(P49="","",IF(P49="Gasto",S49,IF(P49="Reembolso",-S49,0)))</f>
        <v/>
      </c>
      <c r="V49" s="53">
        <f>IF(P49="","",IF(P49="Ingreso",S49,0))</f>
        <v/>
      </c>
      <c r="W49" s="53">
        <f>IF(P49="","",IF(P49="Resultado trading",S49,0))</f>
        <v/>
      </c>
      <c r="X49" s="52">
        <f>IF(OR(P49="Gasto",P49="Reembolso"),IF(M49&lt;&gt;"",M49,IFERROR(INDEX(catClasif,MATCH(D49&amp;"|"&amp;E49,catClave,0))&amp;"","Variable")),"")</f>
        <v/>
      </c>
      <c r="Y49" s="52">
        <f>IF(P49="","",IFERROR(INDEX(catGrupo,MATCH(D49&amp;"|"&amp;E49,catClave,0))&amp;"",""))</f>
        <v/>
      </c>
      <c r="Z49" s="52">
        <f>IF(P49="","",WEEKDAY(B49,2))</f>
        <v/>
      </c>
      <c r="AA49" s="52">
        <f>IF(P49="","",IF(AND(P49="Gasto",X49="Variable",D49&lt;&gt;catTrading,S49&gt;0,S49&lt;=Umbral),1,0))</f>
        <v/>
      </c>
      <c r="AB49" s="52">
        <f>IF(OR(P49="",Q49=""),"",IFERROR(IF(INDEX(ctaVinc,MATCH(Q49,ctaNombre,0))&amp;""&lt;&gt;"",INDEX(ctaVinc,MATCH(Q49,ctaNombre,0))&amp;"",Q49),Q49))</f>
        <v/>
      </c>
      <c r="AC49" s="52">
        <f>IF(OR(K49="",AND(P49&lt;&gt;"Transferencia",P49&lt;&gt;"Pago tarjeta")),"",IFERROR(IF(INDEX(ctaVinc,MATCH(K49,ctaNombre,0))&amp;""&lt;&gt;"",INDEX(ctaVinc,MATCH(K49,ctaNombre,0))&amp;"",K49),K49))</f>
        <v/>
      </c>
      <c r="AD49" s="52">
        <f>IF(AB49="","",IFERROR(INDEX(ctaTipo,MATCH(AB49,ctaNombre,0))&amp;"",""))</f>
        <v/>
      </c>
      <c r="AE49" s="52">
        <f>IF(AC49="","",IFERROR(INDEX(ctaTipo,MATCH(AC49,ctaNombre,0))&amp;"",""))</f>
        <v/>
      </c>
      <c r="AF49" s="53">
        <f>IF(OR(P49="",AB49=""),"",IF(OR(P49="Gasto",P49="Transferencia",P49="Pago tarjeta"),-1,1)*IF(IFERROR(INDEX(ctaMoneda,MATCH(AB49,ctaNombre,0))&amp;"","DOP")="USD",T49,S49))</f>
        <v/>
      </c>
      <c r="AG49" s="53">
        <f>IF(AC49="","",IF(IFERROR(INDEX(ctaMoneda,MATCH(AC49,ctaNombre,0))&amp;"","DOP")="USD",T49,S49))</f>
        <v/>
      </c>
      <c r="AH49" s="53">
        <f>IF(P49="","",IF(AND(AD49&lt;&gt;"",COUNTIFS(tcTipo,AD49,tcLiq,"Sí")&gt;0),IF(OR(P49="Gasto",P49="Transferencia",P49="Pago tarjeta"),-1,1)*S49,0)+IF(AND(AE49&lt;&gt;"",COUNTIFS(tcTipo,AE49,tcLiq,"Sí")&gt;0),S49,0))</f>
        <v/>
      </c>
      <c r="AI49" s="52">
        <f>IF(OR(L49="",P49=""),"",IF(COUNTIFS(L$6:L49,L49,P$6:P49,"?*")=1,MAX(AI$5:AI48)+1,""))</f>
        <v/>
      </c>
    </row>
    <row r="50">
      <c r="B50" s="47" t="n">
        <v>46254</v>
      </c>
      <c r="C50" s="48" t="inlineStr">
        <is>
          <t>Gasto</t>
        </is>
      </c>
      <c r="D50" s="48" t="inlineStr">
        <is>
          <t>Trading y actividades financieras</t>
        </is>
      </c>
      <c r="E50" s="48" t="inlineStr">
        <is>
          <t>Comisiones</t>
        </is>
      </c>
      <c r="F50" s="48" t="inlineStr">
        <is>
          <t>DEMO · Comisiones del broker</t>
        </is>
      </c>
      <c r="G50" s="49" t="n">
        <v>4.5</v>
      </c>
      <c r="H50" s="48" t="inlineStr">
        <is>
          <t>USD</t>
        </is>
      </c>
      <c r="I50" s="50" t="n"/>
      <c r="J50" s="48" t="inlineStr">
        <is>
          <t>Cuenta de trading</t>
        </is>
      </c>
      <c r="K50" s="48" t="n"/>
      <c r="L50" s="48" t="inlineStr">
        <is>
          <t>Broker</t>
        </is>
      </c>
      <c r="M50" s="48" t="n"/>
      <c r="N50" s="48" t="inlineStr">
        <is>
          <t>DEMOSTRACIÓN</t>
        </is>
      </c>
      <c r="O50" s="51">
        <f>IF(AND(B50="",G50="",C50="",D50="",J50=""),"",IF(B50="","⚠ Falta fecha",IF(G50="","⚠ Falta monto",IF(Q50="","⚠ Falta cuenta",IF(ISNA(MATCH(Q50,ctaNombre,0)),"⚠ Cuenta no registrada",IF(AND(OR(P50="Gasto",P50="Reembolso"),D50=""),"⚠ Falta categoría",IF(AND(D50&lt;&gt;"",E50&lt;&gt;"",ISNA(MATCH(D50&amp;"|"&amp;E50,catClave,0))),"⚠ Subcategoría no corresponde",IF(AND(OR(P50="Transferencia",P50="Pago tarjeta"),K50=""),"⚠ Falta cuenta destino",IF(AND(K50&lt;&gt;"",P50&lt;&gt;"Transferencia",P50&lt;&gt;"Pago tarjeta"),"⚠ Destino solo aplica a transferencias",IF(AND(K50&lt;&gt;"",K50=Q50),"⚠ Origen igual a destino",IF(AND(K50&lt;&gt;"",ISNA(MATCH(K50,ctaNombre,0))),"⚠ Destino no registrado",IF(AND(P50="Pago tarjeta",AE50&lt;&gt;"Tarjeta de crédito"),"⚠ El destino debe ser tarjeta de crédito",IF(AND(P50="Gasto",E50="Depósitos y retiros"),"⚠ Usa tipo Transferencia",IF(AND(P50="Resultado trading",AD50&lt;&gt;"Cuenta de trading"),"⚠ Usa una cuenta de trading",IF(AND(G50&lt;=0,P50&lt;&gt;"Ajuste",P50&lt;&gt;"Resultado trading"),"⚠ El monto debe ser positivo","✓")))))))))))))))</f>
        <v/>
      </c>
      <c r="P50" s="52">
        <f>IF(OR(B50="",G50=""),"",IF(C50="","Gasto",C50))</f>
        <v/>
      </c>
      <c r="Q50" s="52">
        <f>IF(P50="","",IF(J50&lt;&gt;"",J50,CuentaPred&amp;""))</f>
        <v/>
      </c>
      <c r="R50" s="52">
        <f>IF(P50="","",IF(ISNUMBER(I50),I50,TasaUSD))</f>
        <v/>
      </c>
      <c r="S50" s="53">
        <f>IF(P50="","",IF(H50="USD",G50*R50,G50))</f>
        <v/>
      </c>
      <c r="T50" s="53">
        <f>IF(P50="","",IF(H50="USD",G50,IF(R50&gt;0,G50/R50,0)))</f>
        <v/>
      </c>
      <c r="U50" s="53">
        <f>IF(P50="","",IF(P50="Gasto",S50,IF(P50="Reembolso",-S50,0)))</f>
        <v/>
      </c>
      <c r="V50" s="53">
        <f>IF(P50="","",IF(P50="Ingreso",S50,0))</f>
        <v/>
      </c>
      <c r="W50" s="53">
        <f>IF(P50="","",IF(P50="Resultado trading",S50,0))</f>
        <v/>
      </c>
      <c r="X50" s="52">
        <f>IF(OR(P50="Gasto",P50="Reembolso"),IF(M50&lt;&gt;"",M50,IFERROR(INDEX(catClasif,MATCH(D50&amp;"|"&amp;E50,catClave,0))&amp;"","Variable")),"")</f>
        <v/>
      </c>
      <c r="Y50" s="52">
        <f>IF(P50="","",IFERROR(INDEX(catGrupo,MATCH(D50&amp;"|"&amp;E50,catClave,0))&amp;"",""))</f>
        <v/>
      </c>
      <c r="Z50" s="52">
        <f>IF(P50="","",WEEKDAY(B50,2))</f>
        <v/>
      </c>
      <c r="AA50" s="52">
        <f>IF(P50="","",IF(AND(P50="Gasto",X50="Variable",D50&lt;&gt;catTrading,S50&gt;0,S50&lt;=Umbral),1,0))</f>
        <v/>
      </c>
      <c r="AB50" s="52">
        <f>IF(OR(P50="",Q50=""),"",IFERROR(IF(INDEX(ctaVinc,MATCH(Q50,ctaNombre,0))&amp;""&lt;&gt;"",INDEX(ctaVinc,MATCH(Q50,ctaNombre,0))&amp;"",Q50),Q50))</f>
        <v/>
      </c>
      <c r="AC50" s="52">
        <f>IF(OR(K50="",AND(P50&lt;&gt;"Transferencia",P50&lt;&gt;"Pago tarjeta")),"",IFERROR(IF(INDEX(ctaVinc,MATCH(K50,ctaNombre,0))&amp;""&lt;&gt;"",INDEX(ctaVinc,MATCH(K50,ctaNombre,0))&amp;"",K50),K50))</f>
        <v/>
      </c>
      <c r="AD50" s="52">
        <f>IF(AB50="","",IFERROR(INDEX(ctaTipo,MATCH(AB50,ctaNombre,0))&amp;"",""))</f>
        <v/>
      </c>
      <c r="AE50" s="52">
        <f>IF(AC50="","",IFERROR(INDEX(ctaTipo,MATCH(AC50,ctaNombre,0))&amp;"",""))</f>
        <v/>
      </c>
      <c r="AF50" s="53">
        <f>IF(OR(P50="",AB50=""),"",IF(OR(P50="Gasto",P50="Transferencia",P50="Pago tarjeta"),-1,1)*IF(IFERROR(INDEX(ctaMoneda,MATCH(AB50,ctaNombre,0))&amp;"","DOP")="USD",T50,S50))</f>
        <v/>
      </c>
      <c r="AG50" s="53">
        <f>IF(AC50="","",IF(IFERROR(INDEX(ctaMoneda,MATCH(AC50,ctaNombre,0))&amp;"","DOP")="USD",T50,S50))</f>
        <v/>
      </c>
      <c r="AH50" s="53">
        <f>IF(P50="","",IF(AND(AD50&lt;&gt;"",COUNTIFS(tcTipo,AD50,tcLiq,"Sí")&gt;0),IF(OR(P50="Gasto",P50="Transferencia",P50="Pago tarjeta"),-1,1)*S50,0)+IF(AND(AE50&lt;&gt;"",COUNTIFS(tcTipo,AE50,tcLiq,"Sí")&gt;0),S50,0))</f>
        <v/>
      </c>
      <c r="AI50" s="52">
        <f>IF(OR(L50="",P50=""),"",IF(COUNTIFS(L$6:L50,L50,P$6:P50,"?*")=1,MAX(AI$5:AI49)+1,""))</f>
        <v/>
      </c>
    </row>
    <row r="51">
      <c r="B51" s="47" t="n">
        <v>46255</v>
      </c>
      <c r="C51" s="48" t="inlineStr">
        <is>
          <t>Gasto</t>
        </is>
      </c>
      <c r="D51" s="48" t="inlineStr">
        <is>
          <t>Alimentación</t>
        </is>
      </c>
      <c r="E51" s="48" t="inlineStr">
        <is>
          <t>Desayunos comprados</t>
        </is>
      </c>
      <c r="F51" s="48" t="inlineStr">
        <is>
          <t>DEMO · Desayuno en la oficina</t>
        </is>
      </c>
      <c r="G51" s="49" t="n">
        <v>280</v>
      </c>
      <c r="H51" s="48" t="inlineStr">
        <is>
          <t>DOP</t>
        </is>
      </c>
      <c r="I51" s="50" t="n"/>
      <c r="J51" s="48" t="inlineStr">
        <is>
          <t>Efectivo</t>
        </is>
      </c>
      <c r="K51" s="48" t="n"/>
      <c r="L51" s="48" t="inlineStr">
        <is>
          <t>Cafetería del trabajo</t>
        </is>
      </c>
      <c r="M51" s="48" t="n"/>
      <c r="N51" s="48" t="inlineStr">
        <is>
          <t>DEMOSTRACIÓN</t>
        </is>
      </c>
      <c r="O51" s="51">
        <f>IF(AND(B51="",G51="",C51="",D51="",J51=""),"",IF(B51="","⚠ Falta fecha",IF(G51="","⚠ Falta monto",IF(Q51="","⚠ Falta cuenta",IF(ISNA(MATCH(Q51,ctaNombre,0)),"⚠ Cuenta no registrada",IF(AND(OR(P51="Gasto",P51="Reembolso"),D51=""),"⚠ Falta categoría",IF(AND(D51&lt;&gt;"",E51&lt;&gt;"",ISNA(MATCH(D51&amp;"|"&amp;E51,catClave,0))),"⚠ Subcategoría no corresponde",IF(AND(OR(P51="Transferencia",P51="Pago tarjeta"),K51=""),"⚠ Falta cuenta destino",IF(AND(K51&lt;&gt;"",P51&lt;&gt;"Transferencia",P51&lt;&gt;"Pago tarjeta"),"⚠ Destino solo aplica a transferencias",IF(AND(K51&lt;&gt;"",K51=Q51),"⚠ Origen igual a destino",IF(AND(K51&lt;&gt;"",ISNA(MATCH(K51,ctaNombre,0))),"⚠ Destino no registrado",IF(AND(P51="Pago tarjeta",AE51&lt;&gt;"Tarjeta de crédito"),"⚠ El destino debe ser tarjeta de crédito",IF(AND(P51="Gasto",E51="Depósitos y retiros"),"⚠ Usa tipo Transferencia",IF(AND(P51="Resultado trading",AD51&lt;&gt;"Cuenta de trading"),"⚠ Usa una cuenta de trading",IF(AND(G51&lt;=0,P51&lt;&gt;"Ajuste",P51&lt;&gt;"Resultado trading"),"⚠ El monto debe ser positivo","✓")))))))))))))))</f>
        <v/>
      </c>
      <c r="P51" s="52">
        <f>IF(OR(B51="",G51=""),"",IF(C51="","Gasto",C51))</f>
        <v/>
      </c>
      <c r="Q51" s="52">
        <f>IF(P51="","",IF(J51&lt;&gt;"",J51,CuentaPred&amp;""))</f>
        <v/>
      </c>
      <c r="R51" s="52">
        <f>IF(P51="","",IF(ISNUMBER(I51),I51,TasaUSD))</f>
        <v/>
      </c>
      <c r="S51" s="53">
        <f>IF(P51="","",IF(H51="USD",G51*R51,G51))</f>
        <v/>
      </c>
      <c r="T51" s="53">
        <f>IF(P51="","",IF(H51="USD",G51,IF(R51&gt;0,G51/R51,0)))</f>
        <v/>
      </c>
      <c r="U51" s="53">
        <f>IF(P51="","",IF(P51="Gasto",S51,IF(P51="Reembolso",-S51,0)))</f>
        <v/>
      </c>
      <c r="V51" s="53">
        <f>IF(P51="","",IF(P51="Ingreso",S51,0))</f>
        <v/>
      </c>
      <c r="W51" s="53">
        <f>IF(P51="","",IF(P51="Resultado trading",S51,0))</f>
        <v/>
      </c>
      <c r="X51" s="52">
        <f>IF(OR(P51="Gasto",P51="Reembolso"),IF(M51&lt;&gt;"",M51,IFERROR(INDEX(catClasif,MATCH(D51&amp;"|"&amp;E51,catClave,0))&amp;"","Variable")),"")</f>
        <v/>
      </c>
      <c r="Y51" s="52">
        <f>IF(P51="","",IFERROR(INDEX(catGrupo,MATCH(D51&amp;"|"&amp;E51,catClave,0))&amp;"",""))</f>
        <v/>
      </c>
      <c r="Z51" s="52">
        <f>IF(P51="","",WEEKDAY(B51,2))</f>
        <v/>
      </c>
      <c r="AA51" s="52">
        <f>IF(P51="","",IF(AND(P51="Gasto",X51="Variable",D51&lt;&gt;catTrading,S51&gt;0,S51&lt;=Umbral),1,0))</f>
        <v/>
      </c>
      <c r="AB51" s="52">
        <f>IF(OR(P51="",Q51=""),"",IFERROR(IF(INDEX(ctaVinc,MATCH(Q51,ctaNombre,0))&amp;""&lt;&gt;"",INDEX(ctaVinc,MATCH(Q51,ctaNombre,0))&amp;"",Q51),Q51))</f>
        <v/>
      </c>
      <c r="AC51" s="52">
        <f>IF(OR(K51="",AND(P51&lt;&gt;"Transferencia",P51&lt;&gt;"Pago tarjeta")),"",IFERROR(IF(INDEX(ctaVinc,MATCH(K51,ctaNombre,0))&amp;""&lt;&gt;"",INDEX(ctaVinc,MATCH(K51,ctaNombre,0))&amp;"",K51),K51))</f>
        <v/>
      </c>
      <c r="AD51" s="52">
        <f>IF(AB51="","",IFERROR(INDEX(ctaTipo,MATCH(AB51,ctaNombre,0))&amp;"",""))</f>
        <v/>
      </c>
      <c r="AE51" s="52">
        <f>IF(AC51="","",IFERROR(INDEX(ctaTipo,MATCH(AC51,ctaNombre,0))&amp;"",""))</f>
        <v/>
      </c>
      <c r="AF51" s="53">
        <f>IF(OR(P51="",AB51=""),"",IF(OR(P51="Gasto",P51="Transferencia",P51="Pago tarjeta"),-1,1)*IF(IFERROR(INDEX(ctaMoneda,MATCH(AB51,ctaNombre,0))&amp;"","DOP")="USD",T51,S51))</f>
        <v/>
      </c>
      <c r="AG51" s="53">
        <f>IF(AC51="","",IF(IFERROR(INDEX(ctaMoneda,MATCH(AC51,ctaNombre,0))&amp;"","DOP")="USD",T51,S51))</f>
        <v/>
      </c>
      <c r="AH51" s="53">
        <f>IF(P51="","",IF(AND(AD51&lt;&gt;"",COUNTIFS(tcTipo,AD51,tcLiq,"Sí")&gt;0),IF(OR(P51="Gasto",P51="Transferencia",P51="Pago tarjeta"),-1,1)*S51,0)+IF(AND(AE51&lt;&gt;"",COUNTIFS(tcTipo,AE51,tcLiq,"Sí")&gt;0),S51,0))</f>
        <v/>
      </c>
      <c r="AI51" s="52">
        <f>IF(OR(L51="",P51=""),"",IF(COUNTIFS(L$6:L51,L51,P$6:P51,"?*")=1,MAX(AI$5:AI50)+1,""))</f>
        <v/>
      </c>
    </row>
    <row r="52">
      <c r="B52" s="47" t="n">
        <v>46255</v>
      </c>
      <c r="C52" s="48" t="inlineStr">
        <is>
          <t>Gasto</t>
        </is>
      </c>
      <c r="D52" s="48" t="inlineStr">
        <is>
          <t>Alimentación</t>
        </is>
      </c>
      <c r="E52" s="48" t="inlineStr">
        <is>
          <t>Almuerzos laborales</t>
        </is>
      </c>
      <c r="F52" s="48" t="inlineStr">
        <is>
          <t>DEMO · Almuerzo laboral</t>
        </is>
      </c>
      <c r="G52" s="49" t="n">
        <v>400</v>
      </c>
      <c r="H52" s="48" t="inlineStr">
        <is>
          <t>DOP</t>
        </is>
      </c>
      <c r="I52" s="50" t="n"/>
      <c r="J52" s="48" t="inlineStr">
        <is>
          <t>Tarjeta de débito</t>
        </is>
      </c>
      <c r="K52" s="48" t="n"/>
      <c r="L52" s="48" t="inlineStr">
        <is>
          <t>Comedor ejecutivo</t>
        </is>
      </c>
      <c r="M52" s="48" t="n"/>
      <c r="N52" s="48" t="inlineStr">
        <is>
          <t>DEMOSTRACIÓN</t>
        </is>
      </c>
      <c r="O52" s="51">
        <f>IF(AND(B52="",G52="",C52="",D52="",J52=""),"",IF(B52="","⚠ Falta fecha",IF(G52="","⚠ Falta monto",IF(Q52="","⚠ Falta cuenta",IF(ISNA(MATCH(Q52,ctaNombre,0)),"⚠ Cuenta no registrada",IF(AND(OR(P52="Gasto",P52="Reembolso"),D52=""),"⚠ Falta categoría",IF(AND(D52&lt;&gt;"",E52&lt;&gt;"",ISNA(MATCH(D52&amp;"|"&amp;E52,catClave,0))),"⚠ Subcategoría no corresponde",IF(AND(OR(P52="Transferencia",P52="Pago tarjeta"),K52=""),"⚠ Falta cuenta destino",IF(AND(K52&lt;&gt;"",P52&lt;&gt;"Transferencia",P52&lt;&gt;"Pago tarjeta"),"⚠ Destino solo aplica a transferencias",IF(AND(K52&lt;&gt;"",K52=Q52),"⚠ Origen igual a destino",IF(AND(K52&lt;&gt;"",ISNA(MATCH(K52,ctaNombre,0))),"⚠ Destino no registrado",IF(AND(P52="Pago tarjeta",AE52&lt;&gt;"Tarjeta de crédito"),"⚠ El destino debe ser tarjeta de crédito",IF(AND(P52="Gasto",E52="Depósitos y retiros"),"⚠ Usa tipo Transferencia",IF(AND(P52="Resultado trading",AD52&lt;&gt;"Cuenta de trading"),"⚠ Usa una cuenta de trading",IF(AND(G52&lt;=0,P52&lt;&gt;"Ajuste",P52&lt;&gt;"Resultado trading"),"⚠ El monto debe ser positivo","✓")))))))))))))))</f>
        <v/>
      </c>
      <c r="P52" s="52">
        <f>IF(OR(B52="",G52=""),"",IF(C52="","Gasto",C52))</f>
        <v/>
      </c>
      <c r="Q52" s="52">
        <f>IF(P52="","",IF(J52&lt;&gt;"",J52,CuentaPred&amp;""))</f>
        <v/>
      </c>
      <c r="R52" s="52">
        <f>IF(P52="","",IF(ISNUMBER(I52),I52,TasaUSD))</f>
        <v/>
      </c>
      <c r="S52" s="53">
        <f>IF(P52="","",IF(H52="USD",G52*R52,G52))</f>
        <v/>
      </c>
      <c r="T52" s="53">
        <f>IF(P52="","",IF(H52="USD",G52,IF(R52&gt;0,G52/R52,0)))</f>
        <v/>
      </c>
      <c r="U52" s="53">
        <f>IF(P52="","",IF(P52="Gasto",S52,IF(P52="Reembolso",-S52,0)))</f>
        <v/>
      </c>
      <c r="V52" s="53">
        <f>IF(P52="","",IF(P52="Ingreso",S52,0))</f>
        <v/>
      </c>
      <c r="W52" s="53">
        <f>IF(P52="","",IF(P52="Resultado trading",S52,0))</f>
        <v/>
      </c>
      <c r="X52" s="52">
        <f>IF(OR(P52="Gasto",P52="Reembolso"),IF(M52&lt;&gt;"",M52,IFERROR(INDEX(catClasif,MATCH(D52&amp;"|"&amp;E52,catClave,0))&amp;"","Variable")),"")</f>
        <v/>
      </c>
      <c r="Y52" s="52">
        <f>IF(P52="","",IFERROR(INDEX(catGrupo,MATCH(D52&amp;"|"&amp;E52,catClave,0))&amp;"",""))</f>
        <v/>
      </c>
      <c r="Z52" s="52">
        <f>IF(P52="","",WEEKDAY(B52,2))</f>
        <v/>
      </c>
      <c r="AA52" s="52">
        <f>IF(P52="","",IF(AND(P52="Gasto",X52="Variable",D52&lt;&gt;catTrading,S52&gt;0,S52&lt;=Umbral),1,0))</f>
        <v/>
      </c>
      <c r="AB52" s="52">
        <f>IF(OR(P52="",Q52=""),"",IFERROR(IF(INDEX(ctaVinc,MATCH(Q52,ctaNombre,0))&amp;""&lt;&gt;"",INDEX(ctaVinc,MATCH(Q52,ctaNombre,0))&amp;"",Q52),Q52))</f>
        <v/>
      </c>
      <c r="AC52" s="52">
        <f>IF(OR(K52="",AND(P52&lt;&gt;"Transferencia",P52&lt;&gt;"Pago tarjeta")),"",IFERROR(IF(INDEX(ctaVinc,MATCH(K52,ctaNombre,0))&amp;""&lt;&gt;"",INDEX(ctaVinc,MATCH(K52,ctaNombre,0))&amp;"",K52),K52))</f>
        <v/>
      </c>
      <c r="AD52" s="52">
        <f>IF(AB52="","",IFERROR(INDEX(ctaTipo,MATCH(AB52,ctaNombre,0))&amp;"",""))</f>
        <v/>
      </c>
      <c r="AE52" s="52">
        <f>IF(AC52="","",IFERROR(INDEX(ctaTipo,MATCH(AC52,ctaNombre,0))&amp;"",""))</f>
        <v/>
      </c>
      <c r="AF52" s="53">
        <f>IF(OR(P52="",AB52=""),"",IF(OR(P52="Gasto",P52="Transferencia",P52="Pago tarjeta"),-1,1)*IF(IFERROR(INDEX(ctaMoneda,MATCH(AB52,ctaNombre,0))&amp;"","DOP")="USD",T52,S52))</f>
        <v/>
      </c>
      <c r="AG52" s="53">
        <f>IF(AC52="","",IF(IFERROR(INDEX(ctaMoneda,MATCH(AC52,ctaNombre,0))&amp;"","DOP")="USD",T52,S52))</f>
        <v/>
      </c>
      <c r="AH52" s="53">
        <f>IF(P52="","",IF(AND(AD52&lt;&gt;"",COUNTIFS(tcTipo,AD52,tcLiq,"Sí")&gt;0),IF(OR(P52="Gasto",P52="Transferencia",P52="Pago tarjeta"),-1,1)*S52,0)+IF(AND(AE52&lt;&gt;"",COUNTIFS(tcTipo,AE52,tcLiq,"Sí")&gt;0),S52,0))</f>
        <v/>
      </c>
      <c r="AI52" s="52">
        <f>IF(OR(L52="",P52=""),"",IF(COUNTIFS(L$6:L52,L52,P$6:P52,"?*")=1,MAX(AI$5:AI51)+1,""))</f>
        <v/>
      </c>
    </row>
    <row r="53">
      <c r="B53" s="47" t="n">
        <v>46255</v>
      </c>
      <c r="C53" s="48" t="inlineStr">
        <is>
          <t>Gasto</t>
        </is>
      </c>
      <c r="D53" s="48" t="inlineStr">
        <is>
          <t>Alimentación</t>
        </is>
      </c>
      <c r="E53" s="48" t="inlineStr">
        <is>
          <t>Bebidas, snacks y otros consumos</t>
        </is>
      </c>
      <c r="F53" s="48" t="inlineStr">
        <is>
          <t>DEMO · Jugo y galletas</t>
        </is>
      </c>
      <c r="G53" s="49" t="n">
        <v>110</v>
      </c>
      <c r="H53" s="48" t="inlineStr">
        <is>
          <t>DOP</t>
        </is>
      </c>
      <c r="I53" s="50" t="n"/>
      <c r="J53" s="48" t="inlineStr">
        <is>
          <t>Billetera digital</t>
        </is>
      </c>
      <c r="K53" s="48" t="n"/>
      <c r="L53" s="48" t="inlineStr">
        <is>
          <t>Cafetería del trabajo</t>
        </is>
      </c>
      <c r="M53" s="48" t="n"/>
      <c r="N53" s="48" t="inlineStr">
        <is>
          <t>DEMOSTRACIÓN</t>
        </is>
      </c>
      <c r="O53" s="51">
        <f>IF(AND(B53="",G53="",C53="",D53="",J53=""),"",IF(B53="","⚠ Falta fecha",IF(G53="","⚠ Falta monto",IF(Q53="","⚠ Falta cuenta",IF(ISNA(MATCH(Q53,ctaNombre,0)),"⚠ Cuenta no registrada",IF(AND(OR(P53="Gasto",P53="Reembolso"),D53=""),"⚠ Falta categoría",IF(AND(D53&lt;&gt;"",E53&lt;&gt;"",ISNA(MATCH(D53&amp;"|"&amp;E53,catClave,0))),"⚠ Subcategoría no corresponde",IF(AND(OR(P53="Transferencia",P53="Pago tarjeta"),K53=""),"⚠ Falta cuenta destino",IF(AND(K53&lt;&gt;"",P53&lt;&gt;"Transferencia",P53&lt;&gt;"Pago tarjeta"),"⚠ Destino solo aplica a transferencias",IF(AND(K53&lt;&gt;"",K53=Q53),"⚠ Origen igual a destino",IF(AND(K53&lt;&gt;"",ISNA(MATCH(K53,ctaNombre,0))),"⚠ Destino no registrado",IF(AND(P53="Pago tarjeta",AE53&lt;&gt;"Tarjeta de crédito"),"⚠ El destino debe ser tarjeta de crédito",IF(AND(P53="Gasto",E53="Depósitos y retiros"),"⚠ Usa tipo Transferencia",IF(AND(P53="Resultado trading",AD53&lt;&gt;"Cuenta de trading"),"⚠ Usa una cuenta de trading",IF(AND(G53&lt;=0,P53&lt;&gt;"Ajuste",P53&lt;&gt;"Resultado trading"),"⚠ El monto debe ser positivo","✓")))))))))))))))</f>
        <v/>
      </c>
      <c r="P53" s="52">
        <f>IF(OR(B53="",G53=""),"",IF(C53="","Gasto",C53))</f>
        <v/>
      </c>
      <c r="Q53" s="52">
        <f>IF(P53="","",IF(J53&lt;&gt;"",J53,CuentaPred&amp;""))</f>
        <v/>
      </c>
      <c r="R53" s="52">
        <f>IF(P53="","",IF(ISNUMBER(I53),I53,TasaUSD))</f>
        <v/>
      </c>
      <c r="S53" s="53">
        <f>IF(P53="","",IF(H53="USD",G53*R53,G53))</f>
        <v/>
      </c>
      <c r="T53" s="53">
        <f>IF(P53="","",IF(H53="USD",G53,IF(R53&gt;0,G53/R53,0)))</f>
        <v/>
      </c>
      <c r="U53" s="53">
        <f>IF(P53="","",IF(P53="Gasto",S53,IF(P53="Reembolso",-S53,0)))</f>
        <v/>
      </c>
      <c r="V53" s="53">
        <f>IF(P53="","",IF(P53="Ingreso",S53,0))</f>
        <v/>
      </c>
      <c r="W53" s="53">
        <f>IF(P53="","",IF(P53="Resultado trading",S53,0))</f>
        <v/>
      </c>
      <c r="X53" s="52">
        <f>IF(OR(P53="Gasto",P53="Reembolso"),IF(M53&lt;&gt;"",M53,IFERROR(INDEX(catClasif,MATCH(D53&amp;"|"&amp;E53,catClave,0))&amp;"","Variable")),"")</f>
        <v/>
      </c>
      <c r="Y53" s="52">
        <f>IF(P53="","",IFERROR(INDEX(catGrupo,MATCH(D53&amp;"|"&amp;E53,catClave,0))&amp;"",""))</f>
        <v/>
      </c>
      <c r="Z53" s="52">
        <f>IF(P53="","",WEEKDAY(B53,2))</f>
        <v/>
      </c>
      <c r="AA53" s="52">
        <f>IF(P53="","",IF(AND(P53="Gasto",X53="Variable",D53&lt;&gt;catTrading,S53&gt;0,S53&lt;=Umbral),1,0))</f>
        <v/>
      </c>
      <c r="AB53" s="52">
        <f>IF(OR(P53="",Q53=""),"",IFERROR(IF(INDEX(ctaVinc,MATCH(Q53,ctaNombre,0))&amp;""&lt;&gt;"",INDEX(ctaVinc,MATCH(Q53,ctaNombre,0))&amp;"",Q53),Q53))</f>
        <v/>
      </c>
      <c r="AC53" s="52">
        <f>IF(OR(K53="",AND(P53&lt;&gt;"Transferencia",P53&lt;&gt;"Pago tarjeta")),"",IFERROR(IF(INDEX(ctaVinc,MATCH(K53,ctaNombre,0))&amp;""&lt;&gt;"",INDEX(ctaVinc,MATCH(K53,ctaNombre,0))&amp;"",K53),K53))</f>
        <v/>
      </c>
      <c r="AD53" s="52">
        <f>IF(AB53="","",IFERROR(INDEX(ctaTipo,MATCH(AB53,ctaNombre,0))&amp;"",""))</f>
        <v/>
      </c>
      <c r="AE53" s="52">
        <f>IF(AC53="","",IFERROR(INDEX(ctaTipo,MATCH(AC53,ctaNombre,0))&amp;"",""))</f>
        <v/>
      </c>
      <c r="AF53" s="53">
        <f>IF(OR(P53="",AB53=""),"",IF(OR(P53="Gasto",P53="Transferencia",P53="Pago tarjeta"),-1,1)*IF(IFERROR(INDEX(ctaMoneda,MATCH(AB53,ctaNombre,0))&amp;"","DOP")="USD",T53,S53))</f>
        <v/>
      </c>
      <c r="AG53" s="53">
        <f>IF(AC53="","",IF(IFERROR(INDEX(ctaMoneda,MATCH(AC53,ctaNombre,0))&amp;"","DOP")="USD",T53,S53))</f>
        <v/>
      </c>
      <c r="AH53" s="53">
        <f>IF(P53="","",IF(AND(AD53&lt;&gt;"",COUNTIFS(tcTipo,AD53,tcLiq,"Sí")&gt;0),IF(OR(P53="Gasto",P53="Transferencia",P53="Pago tarjeta"),-1,1)*S53,0)+IF(AND(AE53&lt;&gt;"",COUNTIFS(tcTipo,AE53,tcLiq,"Sí")&gt;0),S53,0))</f>
        <v/>
      </c>
      <c r="AI53" s="52">
        <f>IF(OR(L53="",P53=""),"",IF(COUNTIFS(L$6:L53,L53,P$6:P53,"?*")=1,MAX(AI$5:AI52)+1,""))</f>
        <v/>
      </c>
    </row>
    <row r="54">
      <c r="B54" s="47" t="n">
        <v>46255</v>
      </c>
      <c r="C54" s="48" t="inlineStr">
        <is>
          <t>Gasto</t>
        </is>
      </c>
      <c r="D54" s="48" t="inlineStr">
        <is>
          <t>Alimentación</t>
        </is>
      </c>
      <c r="E54" s="48" t="inlineStr">
        <is>
          <t>Delivery</t>
        </is>
      </c>
      <c r="F54" s="48" t="inlineStr">
        <is>
          <t>DEMO · Pedido a domicilio</t>
        </is>
      </c>
      <c r="G54" s="49" t="n">
        <v>750</v>
      </c>
      <c r="H54" s="48" t="inlineStr">
        <is>
          <t>DOP</t>
        </is>
      </c>
      <c r="I54" s="50" t="n"/>
      <c r="J54" s="48" t="inlineStr">
        <is>
          <t>Tarjeta de crédito</t>
        </is>
      </c>
      <c r="K54" s="48" t="n"/>
      <c r="L54" s="48" t="inlineStr">
        <is>
          <t>App de delivery</t>
        </is>
      </c>
      <c r="M54" s="48" t="n"/>
      <c r="N54" s="48" t="inlineStr">
        <is>
          <t>DEMOSTRACIÓN</t>
        </is>
      </c>
      <c r="O54" s="51">
        <f>IF(AND(B54="",G54="",C54="",D54="",J54=""),"",IF(B54="","⚠ Falta fecha",IF(G54="","⚠ Falta monto",IF(Q54="","⚠ Falta cuenta",IF(ISNA(MATCH(Q54,ctaNombre,0)),"⚠ Cuenta no registrada",IF(AND(OR(P54="Gasto",P54="Reembolso"),D54=""),"⚠ Falta categoría",IF(AND(D54&lt;&gt;"",E54&lt;&gt;"",ISNA(MATCH(D54&amp;"|"&amp;E54,catClave,0))),"⚠ Subcategoría no corresponde",IF(AND(OR(P54="Transferencia",P54="Pago tarjeta"),K54=""),"⚠ Falta cuenta destino",IF(AND(K54&lt;&gt;"",P54&lt;&gt;"Transferencia",P54&lt;&gt;"Pago tarjeta"),"⚠ Destino solo aplica a transferencias",IF(AND(K54&lt;&gt;"",K54=Q54),"⚠ Origen igual a destino",IF(AND(K54&lt;&gt;"",ISNA(MATCH(K54,ctaNombre,0))),"⚠ Destino no registrado",IF(AND(P54="Pago tarjeta",AE54&lt;&gt;"Tarjeta de crédito"),"⚠ El destino debe ser tarjeta de crédito",IF(AND(P54="Gasto",E54="Depósitos y retiros"),"⚠ Usa tipo Transferencia",IF(AND(P54="Resultado trading",AD54&lt;&gt;"Cuenta de trading"),"⚠ Usa una cuenta de trading",IF(AND(G54&lt;=0,P54&lt;&gt;"Ajuste",P54&lt;&gt;"Resultado trading"),"⚠ El monto debe ser positivo","✓")))))))))))))))</f>
        <v/>
      </c>
      <c r="P54" s="52">
        <f>IF(OR(B54="",G54=""),"",IF(C54="","Gasto",C54))</f>
        <v/>
      </c>
      <c r="Q54" s="52">
        <f>IF(P54="","",IF(J54&lt;&gt;"",J54,CuentaPred&amp;""))</f>
        <v/>
      </c>
      <c r="R54" s="52">
        <f>IF(P54="","",IF(ISNUMBER(I54),I54,TasaUSD))</f>
        <v/>
      </c>
      <c r="S54" s="53">
        <f>IF(P54="","",IF(H54="USD",G54*R54,G54))</f>
        <v/>
      </c>
      <c r="T54" s="53">
        <f>IF(P54="","",IF(H54="USD",G54,IF(R54&gt;0,G54/R54,0)))</f>
        <v/>
      </c>
      <c r="U54" s="53">
        <f>IF(P54="","",IF(P54="Gasto",S54,IF(P54="Reembolso",-S54,0)))</f>
        <v/>
      </c>
      <c r="V54" s="53">
        <f>IF(P54="","",IF(P54="Ingreso",S54,0))</f>
        <v/>
      </c>
      <c r="W54" s="53">
        <f>IF(P54="","",IF(P54="Resultado trading",S54,0))</f>
        <v/>
      </c>
      <c r="X54" s="52">
        <f>IF(OR(P54="Gasto",P54="Reembolso"),IF(M54&lt;&gt;"",M54,IFERROR(INDEX(catClasif,MATCH(D54&amp;"|"&amp;E54,catClave,0))&amp;"","Variable")),"")</f>
        <v/>
      </c>
      <c r="Y54" s="52">
        <f>IF(P54="","",IFERROR(INDEX(catGrupo,MATCH(D54&amp;"|"&amp;E54,catClave,0))&amp;"",""))</f>
        <v/>
      </c>
      <c r="Z54" s="52">
        <f>IF(P54="","",WEEKDAY(B54,2))</f>
        <v/>
      </c>
      <c r="AA54" s="52">
        <f>IF(P54="","",IF(AND(P54="Gasto",X54="Variable",D54&lt;&gt;catTrading,S54&gt;0,S54&lt;=Umbral),1,0))</f>
        <v/>
      </c>
      <c r="AB54" s="52">
        <f>IF(OR(P54="",Q54=""),"",IFERROR(IF(INDEX(ctaVinc,MATCH(Q54,ctaNombre,0))&amp;""&lt;&gt;"",INDEX(ctaVinc,MATCH(Q54,ctaNombre,0))&amp;"",Q54),Q54))</f>
        <v/>
      </c>
      <c r="AC54" s="52">
        <f>IF(OR(K54="",AND(P54&lt;&gt;"Transferencia",P54&lt;&gt;"Pago tarjeta")),"",IFERROR(IF(INDEX(ctaVinc,MATCH(K54,ctaNombre,0))&amp;""&lt;&gt;"",INDEX(ctaVinc,MATCH(K54,ctaNombre,0))&amp;"",K54),K54))</f>
        <v/>
      </c>
      <c r="AD54" s="52">
        <f>IF(AB54="","",IFERROR(INDEX(ctaTipo,MATCH(AB54,ctaNombre,0))&amp;"",""))</f>
        <v/>
      </c>
      <c r="AE54" s="52">
        <f>IF(AC54="","",IFERROR(INDEX(ctaTipo,MATCH(AC54,ctaNombre,0))&amp;"",""))</f>
        <v/>
      </c>
      <c r="AF54" s="53">
        <f>IF(OR(P54="",AB54=""),"",IF(OR(P54="Gasto",P54="Transferencia",P54="Pago tarjeta"),-1,1)*IF(IFERROR(INDEX(ctaMoneda,MATCH(AB54,ctaNombre,0))&amp;"","DOP")="USD",T54,S54))</f>
        <v/>
      </c>
      <c r="AG54" s="53">
        <f>IF(AC54="","",IF(IFERROR(INDEX(ctaMoneda,MATCH(AC54,ctaNombre,0))&amp;"","DOP")="USD",T54,S54))</f>
        <v/>
      </c>
      <c r="AH54" s="53">
        <f>IF(P54="","",IF(AND(AD54&lt;&gt;"",COUNTIFS(tcTipo,AD54,tcLiq,"Sí")&gt;0),IF(OR(P54="Gasto",P54="Transferencia",P54="Pago tarjeta"),-1,1)*S54,0)+IF(AND(AE54&lt;&gt;"",COUNTIFS(tcTipo,AE54,tcLiq,"Sí")&gt;0),S54,0))</f>
        <v/>
      </c>
      <c r="AI54" s="52">
        <f>IF(OR(L54="",P54=""),"",IF(COUNTIFS(L$6:L54,L54,P$6:P54,"?*")=1,MAX(AI$5:AI53)+1,""))</f>
        <v/>
      </c>
    </row>
    <row r="55">
      <c r="B55" s="47" t="n">
        <v>46255</v>
      </c>
      <c r="C55" s="48" t="inlineStr">
        <is>
          <t>Gasto</t>
        </is>
      </c>
      <c r="D55" s="48" t="inlineStr">
        <is>
          <t>Trading y actividades financieras</t>
        </is>
      </c>
      <c r="E55" s="48" t="inlineStr">
        <is>
          <t>Plataformas y herramientas</t>
        </is>
      </c>
      <c r="F55" s="48" t="inlineStr">
        <is>
          <t>DEMO · Plataforma de gráficos</t>
        </is>
      </c>
      <c r="G55" s="49" t="n">
        <v>39</v>
      </c>
      <c r="H55" s="48" t="inlineStr">
        <is>
          <t>USD</t>
        </is>
      </c>
      <c r="I55" s="50" t="n"/>
      <c r="J55" s="48" t="inlineStr">
        <is>
          <t>Tarjeta de crédito</t>
        </is>
      </c>
      <c r="K55" s="48" t="n"/>
      <c r="L55" s="48" t="inlineStr">
        <is>
          <t>Plataforma de trading</t>
        </is>
      </c>
      <c r="M55" s="48" t="n"/>
      <c r="N55" s="48" t="inlineStr">
        <is>
          <t>DEMOSTRACIÓN</t>
        </is>
      </c>
      <c r="O55" s="51">
        <f>IF(AND(B55="",G55="",C55="",D55="",J55=""),"",IF(B55="","⚠ Falta fecha",IF(G55="","⚠ Falta monto",IF(Q55="","⚠ Falta cuenta",IF(ISNA(MATCH(Q55,ctaNombre,0)),"⚠ Cuenta no registrada",IF(AND(OR(P55="Gasto",P55="Reembolso"),D55=""),"⚠ Falta categoría",IF(AND(D55&lt;&gt;"",E55&lt;&gt;"",ISNA(MATCH(D55&amp;"|"&amp;E55,catClave,0))),"⚠ Subcategoría no corresponde",IF(AND(OR(P55="Transferencia",P55="Pago tarjeta"),K55=""),"⚠ Falta cuenta destino",IF(AND(K55&lt;&gt;"",P55&lt;&gt;"Transferencia",P55&lt;&gt;"Pago tarjeta"),"⚠ Destino solo aplica a transferencias",IF(AND(K55&lt;&gt;"",K55=Q55),"⚠ Origen igual a destino",IF(AND(K55&lt;&gt;"",ISNA(MATCH(K55,ctaNombre,0))),"⚠ Destino no registrado",IF(AND(P55="Pago tarjeta",AE55&lt;&gt;"Tarjeta de crédito"),"⚠ El destino debe ser tarjeta de crédito",IF(AND(P55="Gasto",E55="Depósitos y retiros"),"⚠ Usa tipo Transferencia",IF(AND(P55="Resultado trading",AD55&lt;&gt;"Cuenta de trading"),"⚠ Usa una cuenta de trading",IF(AND(G55&lt;=0,P55&lt;&gt;"Ajuste",P55&lt;&gt;"Resultado trading"),"⚠ El monto debe ser positivo","✓")))))))))))))))</f>
        <v/>
      </c>
      <c r="P55" s="52">
        <f>IF(OR(B55="",G55=""),"",IF(C55="","Gasto",C55))</f>
        <v/>
      </c>
      <c r="Q55" s="52">
        <f>IF(P55="","",IF(J55&lt;&gt;"",J55,CuentaPred&amp;""))</f>
        <v/>
      </c>
      <c r="R55" s="52">
        <f>IF(P55="","",IF(ISNUMBER(I55),I55,TasaUSD))</f>
        <v/>
      </c>
      <c r="S55" s="53">
        <f>IF(P55="","",IF(H55="USD",G55*R55,G55))</f>
        <v/>
      </c>
      <c r="T55" s="53">
        <f>IF(P55="","",IF(H55="USD",G55,IF(R55&gt;0,G55/R55,0)))</f>
        <v/>
      </c>
      <c r="U55" s="53">
        <f>IF(P55="","",IF(P55="Gasto",S55,IF(P55="Reembolso",-S55,0)))</f>
        <v/>
      </c>
      <c r="V55" s="53">
        <f>IF(P55="","",IF(P55="Ingreso",S55,0))</f>
        <v/>
      </c>
      <c r="W55" s="53">
        <f>IF(P55="","",IF(P55="Resultado trading",S55,0))</f>
        <v/>
      </c>
      <c r="X55" s="52">
        <f>IF(OR(P55="Gasto",P55="Reembolso"),IF(M55&lt;&gt;"",M55,IFERROR(INDEX(catClasif,MATCH(D55&amp;"|"&amp;E55,catClave,0))&amp;"","Variable")),"")</f>
        <v/>
      </c>
      <c r="Y55" s="52">
        <f>IF(P55="","",IFERROR(INDEX(catGrupo,MATCH(D55&amp;"|"&amp;E55,catClave,0))&amp;"",""))</f>
        <v/>
      </c>
      <c r="Z55" s="52">
        <f>IF(P55="","",WEEKDAY(B55,2))</f>
        <v/>
      </c>
      <c r="AA55" s="52">
        <f>IF(P55="","",IF(AND(P55="Gasto",X55="Variable",D55&lt;&gt;catTrading,S55&gt;0,S55&lt;=Umbral),1,0))</f>
        <v/>
      </c>
      <c r="AB55" s="52">
        <f>IF(OR(P55="",Q55=""),"",IFERROR(IF(INDEX(ctaVinc,MATCH(Q55,ctaNombre,0))&amp;""&lt;&gt;"",INDEX(ctaVinc,MATCH(Q55,ctaNombre,0))&amp;"",Q55),Q55))</f>
        <v/>
      </c>
      <c r="AC55" s="52">
        <f>IF(OR(K55="",AND(P55&lt;&gt;"Transferencia",P55&lt;&gt;"Pago tarjeta")),"",IFERROR(IF(INDEX(ctaVinc,MATCH(K55,ctaNombre,0))&amp;""&lt;&gt;"",INDEX(ctaVinc,MATCH(K55,ctaNombre,0))&amp;"",K55),K55))</f>
        <v/>
      </c>
      <c r="AD55" s="52">
        <f>IF(AB55="","",IFERROR(INDEX(ctaTipo,MATCH(AB55,ctaNombre,0))&amp;"",""))</f>
        <v/>
      </c>
      <c r="AE55" s="52">
        <f>IF(AC55="","",IFERROR(INDEX(ctaTipo,MATCH(AC55,ctaNombre,0))&amp;"",""))</f>
        <v/>
      </c>
      <c r="AF55" s="53">
        <f>IF(OR(P55="",AB55=""),"",IF(OR(P55="Gasto",P55="Transferencia",P55="Pago tarjeta"),-1,1)*IF(IFERROR(INDEX(ctaMoneda,MATCH(AB55,ctaNombre,0))&amp;"","DOP")="USD",T55,S55))</f>
        <v/>
      </c>
      <c r="AG55" s="53">
        <f>IF(AC55="","",IF(IFERROR(INDEX(ctaMoneda,MATCH(AC55,ctaNombre,0))&amp;"","DOP")="USD",T55,S55))</f>
        <v/>
      </c>
      <c r="AH55" s="53">
        <f>IF(P55="","",IF(AND(AD55&lt;&gt;"",COUNTIFS(tcTipo,AD55,tcLiq,"Sí")&gt;0),IF(OR(P55="Gasto",P55="Transferencia",P55="Pago tarjeta"),-1,1)*S55,0)+IF(AND(AE55&lt;&gt;"",COUNTIFS(tcTipo,AE55,tcLiq,"Sí")&gt;0),S55,0))</f>
        <v/>
      </c>
      <c r="AI55" s="52">
        <f>IF(OR(L55="",P55=""),"",IF(COUNTIFS(L$6:L55,L55,P$6:P55,"?*")=1,MAX(AI$5:AI54)+1,""))</f>
        <v/>
      </c>
    </row>
    <row r="56">
      <c r="B56" s="47" t="n">
        <v>46256</v>
      </c>
      <c r="C56" s="48" t="inlineStr">
        <is>
          <t>Gasto</t>
        </is>
      </c>
      <c r="D56" s="48" t="inlineStr">
        <is>
          <t>Alimentación</t>
        </is>
      </c>
      <c r="E56" s="48" t="inlineStr">
        <is>
          <t>Restaurantes</t>
        </is>
      </c>
      <c r="F56" s="48" t="inlineStr">
        <is>
          <t>DEMO · Almuerzo de fin de semana</t>
        </is>
      </c>
      <c r="G56" s="49" t="n">
        <v>2700</v>
      </c>
      <c r="H56" s="48" t="inlineStr">
        <is>
          <t>DOP</t>
        </is>
      </c>
      <c r="I56" s="50" t="n"/>
      <c r="J56" s="48" t="inlineStr">
        <is>
          <t>Tarjeta de crédito</t>
        </is>
      </c>
      <c r="K56" s="48" t="n"/>
      <c r="L56" s="48" t="inlineStr">
        <is>
          <t>Restaurante del malecón</t>
        </is>
      </c>
      <c r="M56" s="48" t="n"/>
      <c r="N56" s="48" t="inlineStr">
        <is>
          <t>DEMOSTRACIÓN</t>
        </is>
      </c>
      <c r="O56" s="51">
        <f>IF(AND(B56="",G56="",C56="",D56="",J56=""),"",IF(B56="","⚠ Falta fecha",IF(G56="","⚠ Falta monto",IF(Q56="","⚠ Falta cuenta",IF(ISNA(MATCH(Q56,ctaNombre,0)),"⚠ Cuenta no registrada",IF(AND(OR(P56="Gasto",P56="Reembolso"),D56=""),"⚠ Falta categoría",IF(AND(D56&lt;&gt;"",E56&lt;&gt;"",ISNA(MATCH(D56&amp;"|"&amp;E56,catClave,0))),"⚠ Subcategoría no corresponde",IF(AND(OR(P56="Transferencia",P56="Pago tarjeta"),K56=""),"⚠ Falta cuenta destino",IF(AND(K56&lt;&gt;"",P56&lt;&gt;"Transferencia",P56&lt;&gt;"Pago tarjeta"),"⚠ Destino solo aplica a transferencias",IF(AND(K56&lt;&gt;"",K56=Q56),"⚠ Origen igual a destino",IF(AND(K56&lt;&gt;"",ISNA(MATCH(K56,ctaNombre,0))),"⚠ Destino no registrado",IF(AND(P56="Pago tarjeta",AE56&lt;&gt;"Tarjeta de crédito"),"⚠ El destino debe ser tarjeta de crédito",IF(AND(P56="Gasto",E56="Depósitos y retiros"),"⚠ Usa tipo Transferencia",IF(AND(P56="Resultado trading",AD56&lt;&gt;"Cuenta de trading"),"⚠ Usa una cuenta de trading",IF(AND(G56&lt;=0,P56&lt;&gt;"Ajuste",P56&lt;&gt;"Resultado trading"),"⚠ El monto debe ser positivo","✓")))))))))))))))</f>
        <v/>
      </c>
      <c r="P56" s="52">
        <f>IF(OR(B56="",G56=""),"",IF(C56="","Gasto",C56))</f>
        <v/>
      </c>
      <c r="Q56" s="52">
        <f>IF(P56="","",IF(J56&lt;&gt;"",J56,CuentaPred&amp;""))</f>
        <v/>
      </c>
      <c r="R56" s="52">
        <f>IF(P56="","",IF(ISNUMBER(I56),I56,TasaUSD))</f>
        <v/>
      </c>
      <c r="S56" s="53">
        <f>IF(P56="","",IF(H56="USD",G56*R56,G56))</f>
        <v/>
      </c>
      <c r="T56" s="53">
        <f>IF(P56="","",IF(H56="USD",G56,IF(R56&gt;0,G56/R56,0)))</f>
        <v/>
      </c>
      <c r="U56" s="53">
        <f>IF(P56="","",IF(P56="Gasto",S56,IF(P56="Reembolso",-S56,0)))</f>
        <v/>
      </c>
      <c r="V56" s="53">
        <f>IF(P56="","",IF(P56="Ingreso",S56,0))</f>
        <v/>
      </c>
      <c r="W56" s="53">
        <f>IF(P56="","",IF(P56="Resultado trading",S56,0))</f>
        <v/>
      </c>
      <c r="X56" s="52">
        <f>IF(OR(P56="Gasto",P56="Reembolso"),IF(M56&lt;&gt;"",M56,IFERROR(INDEX(catClasif,MATCH(D56&amp;"|"&amp;E56,catClave,0))&amp;"","Variable")),"")</f>
        <v/>
      </c>
      <c r="Y56" s="52">
        <f>IF(P56="","",IFERROR(INDEX(catGrupo,MATCH(D56&amp;"|"&amp;E56,catClave,0))&amp;"",""))</f>
        <v/>
      </c>
      <c r="Z56" s="52">
        <f>IF(P56="","",WEEKDAY(B56,2))</f>
        <v/>
      </c>
      <c r="AA56" s="52">
        <f>IF(P56="","",IF(AND(P56="Gasto",X56="Variable",D56&lt;&gt;catTrading,S56&gt;0,S56&lt;=Umbral),1,0))</f>
        <v/>
      </c>
      <c r="AB56" s="52">
        <f>IF(OR(P56="",Q56=""),"",IFERROR(IF(INDEX(ctaVinc,MATCH(Q56,ctaNombre,0))&amp;""&lt;&gt;"",INDEX(ctaVinc,MATCH(Q56,ctaNombre,0))&amp;"",Q56),Q56))</f>
        <v/>
      </c>
      <c r="AC56" s="52">
        <f>IF(OR(K56="",AND(P56&lt;&gt;"Transferencia",P56&lt;&gt;"Pago tarjeta")),"",IFERROR(IF(INDEX(ctaVinc,MATCH(K56,ctaNombre,0))&amp;""&lt;&gt;"",INDEX(ctaVinc,MATCH(K56,ctaNombre,0))&amp;"",K56),K56))</f>
        <v/>
      </c>
      <c r="AD56" s="52">
        <f>IF(AB56="","",IFERROR(INDEX(ctaTipo,MATCH(AB56,ctaNombre,0))&amp;"",""))</f>
        <v/>
      </c>
      <c r="AE56" s="52">
        <f>IF(AC56="","",IFERROR(INDEX(ctaTipo,MATCH(AC56,ctaNombre,0))&amp;"",""))</f>
        <v/>
      </c>
      <c r="AF56" s="53">
        <f>IF(OR(P56="",AB56=""),"",IF(OR(P56="Gasto",P56="Transferencia",P56="Pago tarjeta"),-1,1)*IF(IFERROR(INDEX(ctaMoneda,MATCH(AB56,ctaNombre,0))&amp;"","DOP")="USD",T56,S56))</f>
        <v/>
      </c>
      <c r="AG56" s="53">
        <f>IF(AC56="","",IF(IFERROR(INDEX(ctaMoneda,MATCH(AC56,ctaNombre,0))&amp;"","DOP")="USD",T56,S56))</f>
        <v/>
      </c>
      <c r="AH56" s="53">
        <f>IF(P56="","",IF(AND(AD56&lt;&gt;"",COUNTIFS(tcTipo,AD56,tcLiq,"Sí")&gt;0),IF(OR(P56="Gasto",P56="Transferencia",P56="Pago tarjeta"),-1,1)*S56,0)+IF(AND(AE56&lt;&gt;"",COUNTIFS(tcTipo,AE56,tcLiq,"Sí")&gt;0),S56,0))</f>
        <v/>
      </c>
      <c r="AI56" s="52">
        <f>IF(OR(L56="",P56=""),"",IF(COUNTIFS(L$6:L56,L56,P$6:P56,"?*")=1,MAX(AI$5:AI55)+1,""))</f>
        <v/>
      </c>
    </row>
    <row r="57">
      <c r="B57" s="47" t="n">
        <v>46256</v>
      </c>
      <c r="C57" s="48" t="inlineStr">
        <is>
          <t>Gasto</t>
        </is>
      </c>
      <c r="D57" s="48" t="inlineStr">
        <is>
          <t>Alimentación</t>
        </is>
      </c>
      <c r="E57" s="48" t="inlineStr">
        <is>
          <t>Supermercado</t>
        </is>
      </c>
      <c r="F57" s="48" t="inlineStr">
        <is>
          <t>DEMO · Compra de supermercado</t>
        </is>
      </c>
      <c r="G57" s="49" t="n">
        <v>6400</v>
      </c>
      <c r="H57" s="48" t="inlineStr">
        <is>
          <t>DOP</t>
        </is>
      </c>
      <c r="I57" s="50" t="n"/>
      <c r="J57" s="48" t="inlineStr">
        <is>
          <t>Tarjeta de crédito</t>
        </is>
      </c>
      <c r="K57" s="48" t="n"/>
      <c r="L57" s="48" t="inlineStr">
        <is>
          <t>Supermercado principal</t>
        </is>
      </c>
      <c r="M57" s="48" t="n"/>
      <c r="N57" s="48" t="inlineStr">
        <is>
          <t>DEMOSTRACIÓN</t>
        </is>
      </c>
      <c r="O57" s="51">
        <f>IF(AND(B57="",G57="",C57="",D57="",J57=""),"",IF(B57="","⚠ Falta fecha",IF(G57="","⚠ Falta monto",IF(Q57="","⚠ Falta cuenta",IF(ISNA(MATCH(Q57,ctaNombre,0)),"⚠ Cuenta no registrada",IF(AND(OR(P57="Gasto",P57="Reembolso"),D57=""),"⚠ Falta categoría",IF(AND(D57&lt;&gt;"",E57&lt;&gt;"",ISNA(MATCH(D57&amp;"|"&amp;E57,catClave,0))),"⚠ Subcategoría no corresponde",IF(AND(OR(P57="Transferencia",P57="Pago tarjeta"),K57=""),"⚠ Falta cuenta destino",IF(AND(K57&lt;&gt;"",P57&lt;&gt;"Transferencia",P57&lt;&gt;"Pago tarjeta"),"⚠ Destino solo aplica a transferencias",IF(AND(K57&lt;&gt;"",K57=Q57),"⚠ Origen igual a destino",IF(AND(K57&lt;&gt;"",ISNA(MATCH(K57,ctaNombre,0))),"⚠ Destino no registrado",IF(AND(P57="Pago tarjeta",AE57&lt;&gt;"Tarjeta de crédito"),"⚠ El destino debe ser tarjeta de crédito",IF(AND(P57="Gasto",E57="Depósitos y retiros"),"⚠ Usa tipo Transferencia",IF(AND(P57="Resultado trading",AD57&lt;&gt;"Cuenta de trading"),"⚠ Usa una cuenta de trading",IF(AND(G57&lt;=0,P57&lt;&gt;"Ajuste",P57&lt;&gt;"Resultado trading"),"⚠ El monto debe ser positivo","✓")))))))))))))))</f>
        <v/>
      </c>
      <c r="P57" s="52">
        <f>IF(OR(B57="",G57=""),"",IF(C57="","Gasto",C57))</f>
        <v/>
      </c>
      <c r="Q57" s="52">
        <f>IF(P57="","",IF(J57&lt;&gt;"",J57,CuentaPred&amp;""))</f>
        <v/>
      </c>
      <c r="R57" s="52">
        <f>IF(P57="","",IF(ISNUMBER(I57),I57,TasaUSD))</f>
        <v/>
      </c>
      <c r="S57" s="53">
        <f>IF(P57="","",IF(H57="USD",G57*R57,G57))</f>
        <v/>
      </c>
      <c r="T57" s="53">
        <f>IF(P57="","",IF(H57="USD",G57,IF(R57&gt;0,G57/R57,0)))</f>
        <v/>
      </c>
      <c r="U57" s="53">
        <f>IF(P57="","",IF(P57="Gasto",S57,IF(P57="Reembolso",-S57,0)))</f>
        <v/>
      </c>
      <c r="V57" s="53">
        <f>IF(P57="","",IF(P57="Ingreso",S57,0))</f>
        <v/>
      </c>
      <c r="W57" s="53">
        <f>IF(P57="","",IF(P57="Resultado trading",S57,0))</f>
        <v/>
      </c>
      <c r="X57" s="52">
        <f>IF(OR(P57="Gasto",P57="Reembolso"),IF(M57&lt;&gt;"",M57,IFERROR(INDEX(catClasif,MATCH(D57&amp;"|"&amp;E57,catClave,0))&amp;"","Variable")),"")</f>
        <v/>
      </c>
      <c r="Y57" s="52">
        <f>IF(P57="","",IFERROR(INDEX(catGrupo,MATCH(D57&amp;"|"&amp;E57,catClave,0))&amp;"",""))</f>
        <v/>
      </c>
      <c r="Z57" s="52">
        <f>IF(P57="","",WEEKDAY(B57,2))</f>
        <v/>
      </c>
      <c r="AA57" s="52">
        <f>IF(P57="","",IF(AND(P57="Gasto",X57="Variable",D57&lt;&gt;catTrading,S57&gt;0,S57&lt;=Umbral),1,0))</f>
        <v/>
      </c>
      <c r="AB57" s="52">
        <f>IF(OR(P57="",Q57=""),"",IFERROR(IF(INDEX(ctaVinc,MATCH(Q57,ctaNombre,0))&amp;""&lt;&gt;"",INDEX(ctaVinc,MATCH(Q57,ctaNombre,0))&amp;"",Q57),Q57))</f>
        <v/>
      </c>
      <c r="AC57" s="52">
        <f>IF(OR(K57="",AND(P57&lt;&gt;"Transferencia",P57&lt;&gt;"Pago tarjeta")),"",IFERROR(IF(INDEX(ctaVinc,MATCH(K57,ctaNombre,0))&amp;""&lt;&gt;"",INDEX(ctaVinc,MATCH(K57,ctaNombre,0))&amp;"",K57),K57))</f>
        <v/>
      </c>
      <c r="AD57" s="52">
        <f>IF(AB57="","",IFERROR(INDEX(ctaTipo,MATCH(AB57,ctaNombre,0))&amp;"",""))</f>
        <v/>
      </c>
      <c r="AE57" s="52">
        <f>IF(AC57="","",IFERROR(INDEX(ctaTipo,MATCH(AC57,ctaNombre,0))&amp;"",""))</f>
        <v/>
      </c>
      <c r="AF57" s="53">
        <f>IF(OR(P57="",AB57=""),"",IF(OR(P57="Gasto",P57="Transferencia",P57="Pago tarjeta"),-1,1)*IF(IFERROR(INDEX(ctaMoneda,MATCH(AB57,ctaNombre,0))&amp;"","DOP")="USD",T57,S57))</f>
        <v/>
      </c>
      <c r="AG57" s="53">
        <f>IF(AC57="","",IF(IFERROR(INDEX(ctaMoneda,MATCH(AC57,ctaNombre,0))&amp;"","DOP")="USD",T57,S57))</f>
        <v/>
      </c>
      <c r="AH57" s="53">
        <f>IF(P57="","",IF(AND(AD57&lt;&gt;"",COUNTIFS(tcTipo,AD57,tcLiq,"Sí")&gt;0),IF(OR(P57="Gasto",P57="Transferencia",P57="Pago tarjeta"),-1,1)*S57,0)+IF(AND(AE57&lt;&gt;"",COUNTIFS(tcTipo,AE57,tcLiq,"Sí")&gt;0),S57,0))</f>
        <v/>
      </c>
      <c r="AI57" s="52">
        <f>IF(OR(L57="",P57=""),"",IF(COUNTIFS(L$6:L57,L57,P$6:P57,"?*")=1,MAX(AI$5:AI56)+1,""))</f>
        <v/>
      </c>
    </row>
    <row r="58">
      <c r="B58" s="47" t="n">
        <v>46258</v>
      </c>
      <c r="C58" s="48" t="inlineStr">
        <is>
          <t>Gasto</t>
        </is>
      </c>
      <c r="D58" s="48" t="inlineStr">
        <is>
          <t>Alimentación</t>
        </is>
      </c>
      <c r="E58" s="48" t="inlineStr">
        <is>
          <t>Almuerzos laborales</t>
        </is>
      </c>
      <c r="F58" s="48" t="inlineStr">
        <is>
          <t>DEMO · Almuerzo laboral</t>
        </is>
      </c>
      <c r="G58" s="49" t="n">
        <v>350</v>
      </c>
      <c r="H58" s="48" t="inlineStr">
        <is>
          <t>DOP</t>
        </is>
      </c>
      <c r="I58" s="50" t="n"/>
      <c r="J58" s="48" t="inlineStr">
        <is>
          <t>Tarjeta de débito</t>
        </is>
      </c>
      <c r="K58" s="48" t="n"/>
      <c r="L58" s="48" t="inlineStr">
        <is>
          <t>Comedor ejecutivo</t>
        </is>
      </c>
      <c r="M58" s="48" t="n"/>
      <c r="N58" s="48" t="inlineStr">
        <is>
          <t>DEMOSTRACIÓN</t>
        </is>
      </c>
      <c r="O58" s="51">
        <f>IF(AND(B58="",G58="",C58="",D58="",J58=""),"",IF(B58="","⚠ Falta fecha",IF(G58="","⚠ Falta monto",IF(Q58="","⚠ Falta cuenta",IF(ISNA(MATCH(Q58,ctaNombre,0)),"⚠ Cuenta no registrada",IF(AND(OR(P58="Gasto",P58="Reembolso"),D58=""),"⚠ Falta categoría",IF(AND(D58&lt;&gt;"",E58&lt;&gt;"",ISNA(MATCH(D58&amp;"|"&amp;E58,catClave,0))),"⚠ Subcategoría no corresponde",IF(AND(OR(P58="Transferencia",P58="Pago tarjeta"),K58=""),"⚠ Falta cuenta destino",IF(AND(K58&lt;&gt;"",P58&lt;&gt;"Transferencia",P58&lt;&gt;"Pago tarjeta"),"⚠ Destino solo aplica a transferencias",IF(AND(K58&lt;&gt;"",K58=Q58),"⚠ Origen igual a destino",IF(AND(K58&lt;&gt;"",ISNA(MATCH(K58,ctaNombre,0))),"⚠ Destino no registrado",IF(AND(P58="Pago tarjeta",AE58&lt;&gt;"Tarjeta de crédito"),"⚠ El destino debe ser tarjeta de crédito",IF(AND(P58="Gasto",E58="Depósitos y retiros"),"⚠ Usa tipo Transferencia",IF(AND(P58="Resultado trading",AD58&lt;&gt;"Cuenta de trading"),"⚠ Usa una cuenta de trading",IF(AND(G58&lt;=0,P58&lt;&gt;"Ajuste",P58&lt;&gt;"Resultado trading"),"⚠ El monto debe ser positivo","✓")))))))))))))))</f>
        <v/>
      </c>
      <c r="P58" s="52">
        <f>IF(OR(B58="",G58=""),"",IF(C58="","Gasto",C58))</f>
        <v/>
      </c>
      <c r="Q58" s="52">
        <f>IF(P58="","",IF(J58&lt;&gt;"",J58,CuentaPred&amp;""))</f>
        <v/>
      </c>
      <c r="R58" s="52">
        <f>IF(P58="","",IF(ISNUMBER(I58),I58,TasaUSD))</f>
        <v/>
      </c>
      <c r="S58" s="53">
        <f>IF(P58="","",IF(H58="USD",G58*R58,G58))</f>
        <v/>
      </c>
      <c r="T58" s="53">
        <f>IF(P58="","",IF(H58="USD",G58,IF(R58&gt;0,G58/R58,0)))</f>
        <v/>
      </c>
      <c r="U58" s="53">
        <f>IF(P58="","",IF(P58="Gasto",S58,IF(P58="Reembolso",-S58,0)))</f>
        <v/>
      </c>
      <c r="V58" s="53">
        <f>IF(P58="","",IF(P58="Ingreso",S58,0))</f>
        <v/>
      </c>
      <c r="W58" s="53">
        <f>IF(P58="","",IF(P58="Resultado trading",S58,0))</f>
        <v/>
      </c>
      <c r="X58" s="52">
        <f>IF(OR(P58="Gasto",P58="Reembolso"),IF(M58&lt;&gt;"",M58,IFERROR(INDEX(catClasif,MATCH(D58&amp;"|"&amp;E58,catClave,0))&amp;"","Variable")),"")</f>
        <v/>
      </c>
      <c r="Y58" s="52">
        <f>IF(P58="","",IFERROR(INDEX(catGrupo,MATCH(D58&amp;"|"&amp;E58,catClave,0))&amp;"",""))</f>
        <v/>
      </c>
      <c r="Z58" s="52">
        <f>IF(P58="","",WEEKDAY(B58,2))</f>
        <v/>
      </c>
      <c r="AA58" s="52">
        <f>IF(P58="","",IF(AND(P58="Gasto",X58="Variable",D58&lt;&gt;catTrading,S58&gt;0,S58&lt;=Umbral),1,0))</f>
        <v/>
      </c>
      <c r="AB58" s="52">
        <f>IF(OR(P58="",Q58=""),"",IFERROR(IF(INDEX(ctaVinc,MATCH(Q58,ctaNombre,0))&amp;""&lt;&gt;"",INDEX(ctaVinc,MATCH(Q58,ctaNombre,0))&amp;"",Q58),Q58))</f>
        <v/>
      </c>
      <c r="AC58" s="52">
        <f>IF(OR(K58="",AND(P58&lt;&gt;"Transferencia",P58&lt;&gt;"Pago tarjeta")),"",IFERROR(IF(INDEX(ctaVinc,MATCH(K58,ctaNombre,0))&amp;""&lt;&gt;"",INDEX(ctaVinc,MATCH(K58,ctaNombre,0))&amp;"",K58),K58))</f>
        <v/>
      </c>
      <c r="AD58" s="52">
        <f>IF(AB58="","",IFERROR(INDEX(ctaTipo,MATCH(AB58,ctaNombre,0))&amp;"",""))</f>
        <v/>
      </c>
      <c r="AE58" s="52">
        <f>IF(AC58="","",IFERROR(INDEX(ctaTipo,MATCH(AC58,ctaNombre,0))&amp;"",""))</f>
        <v/>
      </c>
      <c r="AF58" s="53">
        <f>IF(OR(P58="",AB58=""),"",IF(OR(P58="Gasto",P58="Transferencia",P58="Pago tarjeta"),-1,1)*IF(IFERROR(INDEX(ctaMoneda,MATCH(AB58,ctaNombre,0))&amp;"","DOP")="USD",T58,S58))</f>
        <v/>
      </c>
      <c r="AG58" s="53">
        <f>IF(AC58="","",IF(IFERROR(INDEX(ctaMoneda,MATCH(AC58,ctaNombre,0))&amp;"","DOP")="USD",T58,S58))</f>
        <v/>
      </c>
      <c r="AH58" s="53">
        <f>IF(P58="","",IF(AND(AD58&lt;&gt;"",COUNTIFS(tcTipo,AD58,tcLiq,"Sí")&gt;0),IF(OR(P58="Gasto",P58="Transferencia",P58="Pago tarjeta"),-1,1)*S58,0)+IF(AND(AE58&lt;&gt;"",COUNTIFS(tcTipo,AE58,tcLiq,"Sí")&gt;0),S58,0))</f>
        <v/>
      </c>
      <c r="AI58" s="52">
        <f>IF(OR(L58="",P58=""),"",IF(COUNTIFS(L$6:L58,L58,P$6:P58,"?*")=1,MAX(AI$5:AI57)+1,""))</f>
        <v/>
      </c>
    </row>
    <row r="59">
      <c r="B59" s="47" t="n">
        <v>46258</v>
      </c>
      <c r="C59" s="48" t="inlineStr">
        <is>
          <t>Gasto</t>
        </is>
      </c>
      <c r="D59" s="48" t="inlineStr">
        <is>
          <t>Alimentación</t>
        </is>
      </c>
      <c r="E59" s="48" t="inlineStr">
        <is>
          <t>Bebidas, snacks y otros consumos</t>
        </is>
      </c>
      <c r="F59" s="48" t="inlineStr">
        <is>
          <t>DEMO · Café</t>
        </is>
      </c>
      <c r="G59" s="49" t="n">
        <v>90</v>
      </c>
      <c r="H59" s="48" t="inlineStr">
        <is>
          <t>DOP</t>
        </is>
      </c>
      <c r="I59" s="50" t="n"/>
      <c r="J59" s="48" t="inlineStr">
        <is>
          <t>Billetera digital</t>
        </is>
      </c>
      <c r="K59" s="48" t="n"/>
      <c r="L59" s="48" t="inlineStr">
        <is>
          <t>Colmado del barrio</t>
        </is>
      </c>
      <c r="M59" s="48" t="n"/>
      <c r="N59" s="48" t="inlineStr">
        <is>
          <t>DEMOSTRACIÓN</t>
        </is>
      </c>
      <c r="O59" s="51">
        <f>IF(AND(B59="",G59="",C59="",D59="",J59=""),"",IF(B59="","⚠ Falta fecha",IF(G59="","⚠ Falta monto",IF(Q59="","⚠ Falta cuenta",IF(ISNA(MATCH(Q59,ctaNombre,0)),"⚠ Cuenta no registrada",IF(AND(OR(P59="Gasto",P59="Reembolso"),D59=""),"⚠ Falta categoría",IF(AND(D59&lt;&gt;"",E59&lt;&gt;"",ISNA(MATCH(D59&amp;"|"&amp;E59,catClave,0))),"⚠ Subcategoría no corresponde",IF(AND(OR(P59="Transferencia",P59="Pago tarjeta"),K59=""),"⚠ Falta cuenta destino",IF(AND(K59&lt;&gt;"",P59&lt;&gt;"Transferencia",P59&lt;&gt;"Pago tarjeta"),"⚠ Destino solo aplica a transferencias",IF(AND(K59&lt;&gt;"",K59=Q59),"⚠ Origen igual a destino",IF(AND(K59&lt;&gt;"",ISNA(MATCH(K59,ctaNombre,0))),"⚠ Destino no registrado",IF(AND(P59="Pago tarjeta",AE59&lt;&gt;"Tarjeta de crédito"),"⚠ El destino debe ser tarjeta de crédito",IF(AND(P59="Gasto",E59="Depósitos y retiros"),"⚠ Usa tipo Transferencia",IF(AND(P59="Resultado trading",AD59&lt;&gt;"Cuenta de trading"),"⚠ Usa una cuenta de trading",IF(AND(G59&lt;=0,P59&lt;&gt;"Ajuste",P59&lt;&gt;"Resultado trading"),"⚠ El monto debe ser positivo","✓")))))))))))))))</f>
        <v/>
      </c>
      <c r="P59" s="52">
        <f>IF(OR(B59="",G59=""),"",IF(C59="","Gasto",C59))</f>
        <v/>
      </c>
      <c r="Q59" s="52">
        <f>IF(P59="","",IF(J59&lt;&gt;"",J59,CuentaPred&amp;""))</f>
        <v/>
      </c>
      <c r="R59" s="52">
        <f>IF(P59="","",IF(ISNUMBER(I59),I59,TasaUSD))</f>
        <v/>
      </c>
      <c r="S59" s="53">
        <f>IF(P59="","",IF(H59="USD",G59*R59,G59))</f>
        <v/>
      </c>
      <c r="T59" s="53">
        <f>IF(P59="","",IF(H59="USD",G59,IF(R59&gt;0,G59/R59,0)))</f>
        <v/>
      </c>
      <c r="U59" s="53">
        <f>IF(P59="","",IF(P59="Gasto",S59,IF(P59="Reembolso",-S59,0)))</f>
        <v/>
      </c>
      <c r="V59" s="53">
        <f>IF(P59="","",IF(P59="Ingreso",S59,0))</f>
        <v/>
      </c>
      <c r="W59" s="53">
        <f>IF(P59="","",IF(P59="Resultado trading",S59,0))</f>
        <v/>
      </c>
      <c r="X59" s="52">
        <f>IF(OR(P59="Gasto",P59="Reembolso"),IF(M59&lt;&gt;"",M59,IFERROR(INDEX(catClasif,MATCH(D59&amp;"|"&amp;E59,catClave,0))&amp;"","Variable")),"")</f>
        <v/>
      </c>
      <c r="Y59" s="52">
        <f>IF(P59="","",IFERROR(INDEX(catGrupo,MATCH(D59&amp;"|"&amp;E59,catClave,0))&amp;"",""))</f>
        <v/>
      </c>
      <c r="Z59" s="52">
        <f>IF(P59="","",WEEKDAY(B59,2))</f>
        <v/>
      </c>
      <c r="AA59" s="52">
        <f>IF(P59="","",IF(AND(P59="Gasto",X59="Variable",D59&lt;&gt;catTrading,S59&gt;0,S59&lt;=Umbral),1,0))</f>
        <v/>
      </c>
      <c r="AB59" s="52">
        <f>IF(OR(P59="",Q59=""),"",IFERROR(IF(INDEX(ctaVinc,MATCH(Q59,ctaNombre,0))&amp;""&lt;&gt;"",INDEX(ctaVinc,MATCH(Q59,ctaNombre,0))&amp;"",Q59),Q59))</f>
        <v/>
      </c>
      <c r="AC59" s="52">
        <f>IF(OR(K59="",AND(P59&lt;&gt;"Transferencia",P59&lt;&gt;"Pago tarjeta")),"",IFERROR(IF(INDEX(ctaVinc,MATCH(K59,ctaNombre,0))&amp;""&lt;&gt;"",INDEX(ctaVinc,MATCH(K59,ctaNombre,0))&amp;"",K59),K59))</f>
        <v/>
      </c>
      <c r="AD59" s="52">
        <f>IF(AB59="","",IFERROR(INDEX(ctaTipo,MATCH(AB59,ctaNombre,0))&amp;"",""))</f>
        <v/>
      </c>
      <c r="AE59" s="52">
        <f>IF(AC59="","",IFERROR(INDEX(ctaTipo,MATCH(AC59,ctaNombre,0))&amp;"",""))</f>
        <v/>
      </c>
      <c r="AF59" s="53">
        <f>IF(OR(P59="",AB59=""),"",IF(OR(P59="Gasto",P59="Transferencia",P59="Pago tarjeta"),-1,1)*IF(IFERROR(INDEX(ctaMoneda,MATCH(AB59,ctaNombre,0))&amp;"","DOP")="USD",T59,S59))</f>
        <v/>
      </c>
      <c r="AG59" s="53">
        <f>IF(AC59="","",IF(IFERROR(INDEX(ctaMoneda,MATCH(AC59,ctaNombre,0))&amp;"","DOP")="USD",T59,S59))</f>
        <v/>
      </c>
      <c r="AH59" s="53">
        <f>IF(P59="","",IF(AND(AD59&lt;&gt;"",COUNTIFS(tcTipo,AD59,tcLiq,"Sí")&gt;0),IF(OR(P59="Gasto",P59="Transferencia",P59="Pago tarjeta"),-1,1)*S59,0)+IF(AND(AE59&lt;&gt;"",COUNTIFS(tcTipo,AE59,tcLiq,"Sí")&gt;0),S59,0))</f>
        <v/>
      </c>
      <c r="AI59" s="52">
        <f>IF(OR(L59="",P59=""),"",IF(COUNTIFS(L$6:L59,L59,P$6:P59,"?*")=1,MAX(AI$5:AI58)+1,""))</f>
        <v/>
      </c>
    </row>
    <row r="60">
      <c r="B60" s="47" t="n">
        <v>46258</v>
      </c>
      <c r="C60" s="48" t="inlineStr">
        <is>
          <t>Gasto</t>
        </is>
      </c>
      <c r="D60" s="48" t="inlineStr">
        <is>
          <t>Transporte y vehículo</t>
        </is>
      </c>
      <c r="E60" s="48" t="inlineStr">
        <is>
          <t>Combustible</t>
        </is>
      </c>
      <c r="F60" s="48" t="inlineStr">
        <is>
          <t>DEMO · Combustible</t>
        </is>
      </c>
      <c r="G60" s="49" t="n">
        <v>2000</v>
      </c>
      <c r="H60" s="48" t="inlineStr">
        <is>
          <t>DOP</t>
        </is>
      </c>
      <c r="I60" s="50" t="n"/>
      <c r="J60" s="48" t="inlineStr">
        <is>
          <t>Tarjeta de crédito</t>
        </is>
      </c>
      <c r="K60" s="48" t="n"/>
      <c r="L60" s="48" t="inlineStr">
        <is>
          <t>Estación de combustible</t>
        </is>
      </c>
      <c r="M60" s="48" t="n"/>
      <c r="N60" s="48" t="inlineStr">
        <is>
          <t>DEMOSTRACIÓN</t>
        </is>
      </c>
      <c r="O60" s="51">
        <f>IF(AND(B60="",G60="",C60="",D60="",J60=""),"",IF(B60="","⚠ Falta fecha",IF(G60="","⚠ Falta monto",IF(Q60="","⚠ Falta cuenta",IF(ISNA(MATCH(Q60,ctaNombre,0)),"⚠ Cuenta no registrada",IF(AND(OR(P60="Gasto",P60="Reembolso"),D60=""),"⚠ Falta categoría",IF(AND(D60&lt;&gt;"",E60&lt;&gt;"",ISNA(MATCH(D60&amp;"|"&amp;E60,catClave,0))),"⚠ Subcategoría no corresponde",IF(AND(OR(P60="Transferencia",P60="Pago tarjeta"),K60=""),"⚠ Falta cuenta destino",IF(AND(K60&lt;&gt;"",P60&lt;&gt;"Transferencia",P60&lt;&gt;"Pago tarjeta"),"⚠ Destino solo aplica a transferencias",IF(AND(K60&lt;&gt;"",K60=Q60),"⚠ Origen igual a destino",IF(AND(K60&lt;&gt;"",ISNA(MATCH(K60,ctaNombre,0))),"⚠ Destino no registrado",IF(AND(P60="Pago tarjeta",AE60&lt;&gt;"Tarjeta de crédito"),"⚠ El destino debe ser tarjeta de crédito",IF(AND(P60="Gasto",E60="Depósitos y retiros"),"⚠ Usa tipo Transferencia",IF(AND(P60="Resultado trading",AD60&lt;&gt;"Cuenta de trading"),"⚠ Usa una cuenta de trading",IF(AND(G60&lt;=0,P60&lt;&gt;"Ajuste",P60&lt;&gt;"Resultado trading"),"⚠ El monto debe ser positivo","✓")))))))))))))))</f>
        <v/>
      </c>
      <c r="P60" s="52">
        <f>IF(OR(B60="",G60=""),"",IF(C60="","Gasto",C60))</f>
        <v/>
      </c>
      <c r="Q60" s="52">
        <f>IF(P60="","",IF(J60&lt;&gt;"",J60,CuentaPred&amp;""))</f>
        <v/>
      </c>
      <c r="R60" s="52">
        <f>IF(P60="","",IF(ISNUMBER(I60),I60,TasaUSD))</f>
        <v/>
      </c>
      <c r="S60" s="53">
        <f>IF(P60="","",IF(H60="USD",G60*R60,G60))</f>
        <v/>
      </c>
      <c r="T60" s="53">
        <f>IF(P60="","",IF(H60="USD",G60,IF(R60&gt;0,G60/R60,0)))</f>
        <v/>
      </c>
      <c r="U60" s="53">
        <f>IF(P60="","",IF(P60="Gasto",S60,IF(P60="Reembolso",-S60,0)))</f>
        <v/>
      </c>
      <c r="V60" s="53">
        <f>IF(P60="","",IF(P60="Ingreso",S60,0))</f>
        <v/>
      </c>
      <c r="W60" s="53">
        <f>IF(P60="","",IF(P60="Resultado trading",S60,0))</f>
        <v/>
      </c>
      <c r="X60" s="52">
        <f>IF(OR(P60="Gasto",P60="Reembolso"),IF(M60&lt;&gt;"",M60,IFERROR(INDEX(catClasif,MATCH(D60&amp;"|"&amp;E60,catClave,0))&amp;"","Variable")),"")</f>
        <v/>
      </c>
      <c r="Y60" s="52">
        <f>IF(P60="","",IFERROR(INDEX(catGrupo,MATCH(D60&amp;"|"&amp;E60,catClave,0))&amp;"",""))</f>
        <v/>
      </c>
      <c r="Z60" s="52">
        <f>IF(P60="","",WEEKDAY(B60,2))</f>
        <v/>
      </c>
      <c r="AA60" s="52">
        <f>IF(P60="","",IF(AND(P60="Gasto",X60="Variable",D60&lt;&gt;catTrading,S60&gt;0,S60&lt;=Umbral),1,0))</f>
        <v/>
      </c>
      <c r="AB60" s="52">
        <f>IF(OR(P60="",Q60=""),"",IFERROR(IF(INDEX(ctaVinc,MATCH(Q60,ctaNombre,0))&amp;""&lt;&gt;"",INDEX(ctaVinc,MATCH(Q60,ctaNombre,0))&amp;"",Q60),Q60))</f>
        <v/>
      </c>
      <c r="AC60" s="52">
        <f>IF(OR(K60="",AND(P60&lt;&gt;"Transferencia",P60&lt;&gt;"Pago tarjeta")),"",IFERROR(IF(INDEX(ctaVinc,MATCH(K60,ctaNombre,0))&amp;""&lt;&gt;"",INDEX(ctaVinc,MATCH(K60,ctaNombre,0))&amp;"",K60),K60))</f>
        <v/>
      </c>
      <c r="AD60" s="52">
        <f>IF(AB60="","",IFERROR(INDEX(ctaTipo,MATCH(AB60,ctaNombre,0))&amp;"",""))</f>
        <v/>
      </c>
      <c r="AE60" s="52">
        <f>IF(AC60="","",IFERROR(INDEX(ctaTipo,MATCH(AC60,ctaNombre,0))&amp;"",""))</f>
        <v/>
      </c>
      <c r="AF60" s="53">
        <f>IF(OR(P60="",AB60=""),"",IF(OR(P60="Gasto",P60="Transferencia",P60="Pago tarjeta"),-1,1)*IF(IFERROR(INDEX(ctaMoneda,MATCH(AB60,ctaNombre,0))&amp;"","DOP")="USD",T60,S60))</f>
        <v/>
      </c>
      <c r="AG60" s="53">
        <f>IF(AC60="","",IF(IFERROR(INDEX(ctaMoneda,MATCH(AC60,ctaNombre,0))&amp;"","DOP")="USD",T60,S60))</f>
        <v/>
      </c>
      <c r="AH60" s="53">
        <f>IF(P60="","",IF(AND(AD60&lt;&gt;"",COUNTIFS(tcTipo,AD60,tcLiq,"Sí")&gt;0),IF(OR(P60="Gasto",P60="Transferencia",P60="Pago tarjeta"),-1,1)*S60,0)+IF(AND(AE60&lt;&gt;"",COUNTIFS(tcTipo,AE60,tcLiq,"Sí")&gt;0),S60,0))</f>
        <v/>
      </c>
      <c r="AI60" s="52">
        <f>IF(OR(L60="",P60=""),"",IF(COUNTIFS(L$6:L60,L60,P$6:P60,"?*")=1,MAX(AI$5:AI59)+1,""))</f>
        <v/>
      </c>
    </row>
    <row r="61">
      <c r="B61" s="47" t="n">
        <v>46259</v>
      </c>
      <c r="C61" s="48" t="inlineStr">
        <is>
          <t>Gasto</t>
        </is>
      </c>
      <c r="D61" s="48" t="inlineStr">
        <is>
          <t>Alimentación</t>
        </is>
      </c>
      <c r="E61" s="48" t="inlineStr">
        <is>
          <t>Desayunos comprados</t>
        </is>
      </c>
      <c r="F61" s="48" t="inlineStr">
        <is>
          <t>DEMO · Desayuno en la oficina</t>
        </is>
      </c>
      <c r="G61" s="49" t="n">
        <v>330</v>
      </c>
      <c r="H61" s="48" t="inlineStr">
        <is>
          <t>DOP</t>
        </is>
      </c>
      <c r="I61" s="50" t="n"/>
      <c r="J61" s="48" t="inlineStr">
        <is>
          <t>Efectivo</t>
        </is>
      </c>
      <c r="K61" s="48" t="n"/>
      <c r="L61" s="48" t="inlineStr">
        <is>
          <t>Cafetería del trabajo</t>
        </is>
      </c>
      <c r="M61" s="48" t="n"/>
      <c r="N61" s="48" t="inlineStr">
        <is>
          <t>DEMOSTRACIÓN</t>
        </is>
      </c>
      <c r="O61" s="51">
        <f>IF(AND(B61="",G61="",C61="",D61="",J61=""),"",IF(B61="","⚠ Falta fecha",IF(G61="","⚠ Falta monto",IF(Q61="","⚠ Falta cuenta",IF(ISNA(MATCH(Q61,ctaNombre,0)),"⚠ Cuenta no registrada",IF(AND(OR(P61="Gasto",P61="Reembolso"),D61=""),"⚠ Falta categoría",IF(AND(D61&lt;&gt;"",E61&lt;&gt;"",ISNA(MATCH(D61&amp;"|"&amp;E61,catClave,0))),"⚠ Subcategoría no corresponde",IF(AND(OR(P61="Transferencia",P61="Pago tarjeta"),K61=""),"⚠ Falta cuenta destino",IF(AND(K61&lt;&gt;"",P61&lt;&gt;"Transferencia",P61&lt;&gt;"Pago tarjeta"),"⚠ Destino solo aplica a transferencias",IF(AND(K61&lt;&gt;"",K61=Q61),"⚠ Origen igual a destino",IF(AND(K61&lt;&gt;"",ISNA(MATCH(K61,ctaNombre,0))),"⚠ Destino no registrado",IF(AND(P61="Pago tarjeta",AE61&lt;&gt;"Tarjeta de crédito"),"⚠ El destino debe ser tarjeta de crédito",IF(AND(P61="Gasto",E61="Depósitos y retiros"),"⚠ Usa tipo Transferencia",IF(AND(P61="Resultado trading",AD61&lt;&gt;"Cuenta de trading"),"⚠ Usa una cuenta de trading",IF(AND(G61&lt;=0,P61&lt;&gt;"Ajuste",P61&lt;&gt;"Resultado trading"),"⚠ El monto debe ser positivo","✓")))))))))))))))</f>
        <v/>
      </c>
      <c r="P61" s="52">
        <f>IF(OR(B61="",G61=""),"",IF(C61="","Gasto",C61))</f>
        <v/>
      </c>
      <c r="Q61" s="52">
        <f>IF(P61="","",IF(J61&lt;&gt;"",J61,CuentaPred&amp;""))</f>
        <v/>
      </c>
      <c r="R61" s="52">
        <f>IF(P61="","",IF(ISNUMBER(I61),I61,TasaUSD))</f>
        <v/>
      </c>
      <c r="S61" s="53">
        <f>IF(P61="","",IF(H61="USD",G61*R61,G61))</f>
        <v/>
      </c>
      <c r="T61" s="53">
        <f>IF(P61="","",IF(H61="USD",G61,IF(R61&gt;0,G61/R61,0)))</f>
        <v/>
      </c>
      <c r="U61" s="53">
        <f>IF(P61="","",IF(P61="Gasto",S61,IF(P61="Reembolso",-S61,0)))</f>
        <v/>
      </c>
      <c r="V61" s="53">
        <f>IF(P61="","",IF(P61="Ingreso",S61,0))</f>
        <v/>
      </c>
      <c r="W61" s="53">
        <f>IF(P61="","",IF(P61="Resultado trading",S61,0))</f>
        <v/>
      </c>
      <c r="X61" s="52">
        <f>IF(OR(P61="Gasto",P61="Reembolso"),IF(M61&lt;&gt;"",M61,IFERROR(INDEX(catClasif,MATCH(D61&amp;"|"&amp;E61,catClave,0))&amp;"","Variable")),"")</f>
        <v/>
      </c>
      <c r="Y61" s="52">
        <f>IF(P61="","",IFERROR(INDEX(catGrupo,MATCH(D61&amp;"|"&amp;E61,catClave,0))&amp;"",""))</f>
        <v/>
      </c>
      <c r="Z61" s="52">
        <f>IF(P61="","",WEEKDAY(B61,2))</f>
        <v/>
      </c>
      <c r="AA61" s="52">
        <f>IF(P61="","",IF(AND(P61="Gasto",X61="Variable",D61&lt;&gt;catTrading,S61&gt;0,S61&lt;=Umbral),1,0))</f>
        <v/>
      </c>
      <c r="AB61" s="52">
        <f>IF(OR(P61="",Q61=""),"",IFERROR(IF(INDEX(ctaVinc,MATCH(Q61,ctaNombre,0))&amp;""&lt;&gt;"",INDEX(ctaVinc,MATCH(Q61,ctaNombre,0))&amp;"",Q61),Q61))</f>
        <v/>
      </c>
      <c r="AC61" s="52">
        <f>IF(OR(K61="",AND(P61&lt;&gt;"Transferencia",P61&lt;&gt;"Pago tarjeta")),"",IFERROR(IF(INDEX(ctaVinc,MATCH(K61,ctaNombre,0))&amp;""&lt;&gt;"",INDEX(ctaVinc,MATCH(K61,ctaNombre,0))&amp;"",K61),K61))</f>
        <v/>
      </c>
      <c r="AD61" s="52">
        <f>IF(AB61="","",IFERROR(INDEX(ctaTipo,MATCH(AB61,ctaNombre,0))&amp;"",""))</f>
        <v/>
      </c>
      <c r="AE61" s="52">
        <f>IF(AC61="","",IFERROR(INDEX(ctaTipo,MATCH(AC61,ctaNombre,0))&amp;"",""))</f>
        <v/>
      </c>
      <c r="AF61" s="53">
        <f>IF(OR(P61="",AB61=""),"",IF(OR(P61="Gasto",P61="Transferencia",P61="Pago tarjeta"),-1,1)*IF(IFERROR(INDEX(ctaMoneda,MATCH(AB61,ctaNombre,0))&amp;"","DOP")="USD",T61,S61))</f>
        <v/>
      </c>
      <c r="AG61" s="53">
        <f>IF(AC61="","",IF(IFERROR(INDEX(ctaMoneda,MATCH(AC61,ctaNombre,0))&amp;"","DOP")="USD",T61,S61))</f>
        <v/>
      </c>
      <c r="AH61" s="53">
        <f>IF(P61="","",IF(AND(AD61&lt;&gt;"",COUNTIFS(tcTipo,AD61,tcLiq,"Sí")&gt;0),IF(OR(P61="Gasto",P61="Transferencia",P61="Pago tarjeta"),-1,1)*S61,0)+IF(AND(AE61&lt;&gt;"",COUNTIFS(tcTipo,AE61,tcLiq,"Sí")&gt;0),S61,0))</f>
        <v/>
      </c>
      <c r="AI61" s="52">
        <f>IF(OR(L61="",P61=""),"",IF(COUNTIFS(L$6:L61,L61,P$6:P61,"?*")=1,MAX(AI$5:AI60)+1,""))</f>
        <v/>
      </c>
    </row>
    <row r="62">
      <c r="B62" s="47" t="n">
        <v>46259</v>
      </c>
      <c r="C62" s="48" t="inlineStr">
        <is>
          <t>Gasto</t>
        </is>
      </c>
      <c r="D62" s="48" t="inlineStr">
        <is>
          <t>Alimentación</t>
        </is>
      </c>
      <c r="E62" s="48" t="inlineStr">
        <is>
          <t>Almuerzos laborales</t>
        </is>
      </c>
      <c r="F62" s="48" t="inlineStr">
        <is>
          <t>DEMO · Almuerzo laboral</t>
        </is>
      </c>
      <c r="G62" s="49" t="n">
        <v>525</v>
      </c>
      <c r="H62" s="48" t="inlineStr">
        <is>
          <t>DOP</t>
        </is>
      </c>
      <c r="I62" s="50" t="n"/>
      <c r="J62" s="48" t="inlineStr">
        <is>
          <t>Billetera digital</t>
        </is>
      </c>
      <c r="K62" s="48" t="n"/>
      <c r="L62" s="48" t="inlineStr">
        <is>
          <t>Comedor ejecutivo</t>
        </is>
      </c>
      <c r="M62" s="48" t="n"/>
      <c r="N62" s="48" t="inlineStr">
        <is>
          <t>DEMOSTRACIÓN</t>
        </is>
      </c>
      <c r="O62" s="51">
        <f>IF(AND(B62="",G62="",C62="",D62="",J62=""),"",IF(B62="","⚠ Falta fecha",IF(G62="","⚠ Falta monto",IF(Q62="","⚠ Falta cuenta",IF(ISNA(MATCH(Q62,ctaNombre,0)),"⚠ Cuenta no registrada",IF(AND(OR(P62="Gasto",P62="Reembolso"),D62=""),"⚠ Falta categoría",IF(AND(D62&lt;&gt;"",E62&lt;&gt;"",ISNA(MATCH(D62&amp;"|"&amp;E62,catClave,0))),"⚠ Subcategoría no corresponde",IF(AND(OR(P62="Transferencia",P62="Pago tarjeta"),K62=""),"⚠ Falta cuenta destino",IF(AND(K62&lt;&gt;"",P62&lt;&gt;"Transferencia",P62&lt;&gt;"Pago tarjeta"),"⚠ Destino solo aplica a transferencias",IF(AND(K62&lt;&gt;"",K62=Q62),"⚠ Origen igual a destino",IF(AND(K62&lt;&gt;"",ISNA(MATCH(K62,ctaNombre,0))),"⚠ Destino no registrado",IF(AND(P62="Pago tarjeta",AE62&lt;&gt;"Tarjeta de crédito"),"⚠ El destino debe ser tarjeta de crédito",IF(AND(P62="Gasto",E62="Depósitos y retiros"),"⚠ Usa tipo Transferencia",IF(AND(P62="Resultado trading",AD62&lt;&gt;"Cuenta de trading"),"⚠ Usa una cuenta de trading",IF(AND(G62&lt;=0,P62&lt;&gt;"Ajuste",P62&lt;&gt;"Resultado trading"),"⚠ El monto debe ser positivo","✓")))))))))))))))</f>
        <v/>
      </c>
      <c r="P62" s="52">
        <f>IF(OR(B62="",G62=""),"",IF(C62="","Gasto",C62))</f>
        <v/>
      </c>
      <c r="Q62" s="52">
        <f>IF(P62="","",IF(J62&lt;&gt;"",J62,CuentaPred&amp;""))</f>
        <v/>
      </c>
      <c r="R62" s="52">
        <f>IF(P62="","",IF(ISNUMBER(I62),I62,TasaUSD))</f>
        <v/>
      </c>
      <c r="S62" s="53">
        <f>IF(P62="","",IF(H62="USD",G62*R62,G62))</f>
        <v/>
      </c>
      <c r="T62" s="53">
        <f>IF(P62="","",IF(H62="USD",G62,IF(R62&gt;0,G62/R62,0)))</f>
        <v/>
      </c>
      <c r="U62" s="53">
        <f>IF(P62="","",IF(P62="Gasto",S62,IF(P62="Reembolso",-S62,0)))</f>
        <v/>
      </c>
      <c r="V62" s="53">
        <f>IF(P62="","",IF(P62="Ingreso",S62,0))</f>
        <v/>
      </c>
      <c r="W62" s="53">
        <f>IF(P62="","",IF(P62="Resultado trading",S62,0))</f>
        <v/>
      </c>
      <c r="X62" s="52">
        <f>IF(OR(P62="Gasto",P62="Reembolso"),IF(M62&lt;&gt;"",M62,IFERROR(INDEX(catClasif,MATCH(D62&amp;"|"&amp;E62,catClave,0))&amp;"","Variable")),"")</f>
        <v/>
      </c>
      <c r="Y62" s="52">
        <f>IF(P62="","",IFERROR(INDEX(catGrupo,MATCH(D62&amp;"|"&amp;E62,catClave,0))&amp;"",""))</f>
        <v/>
      </c>
      <c r="Z62" s="52">
        <f>IF(P62="","",WEEKDAY(B62,2))</f>
        <v/>
      </c>
      <c r="AA62" s="52">
        <f>IF(P62="","",IF(AND(P62="Gasto",X62="Variable",D62&lt;&gt;catTrading,S62&gt;0,S62&lt;=Umbral),1,0))</f>
        <v/>
      </c>
      <c r="AB62" s="52">
        <f>IF(OR(P62="",Q62=""),"",IFERROR(IF(INDEX(ctaVinc,MATCH(Q62,ctaNombre,0))&amp;""&lt;&gt;"",INDEX(ctaVinc,MATCH(Q62,ctaNombre,0))&amp;"",Q62),Q62))</f>
        <v/>
      </c>
      <c r="AC62" s="52">
        <f>IF(OR(K62="",AND(P62&lt;&gt;"Transferencia",P62&lt;&gt;"Pago tarjeta")),"",IFERROR(IF(INDEX(ctaVinc,MATCH(K62,ctaNombre,0))&amp;""&lt;&gt;"",INDEX(ctaVinc,MATCH(K62,ctaNombre,0))&amp;"",K62),K62))</f>
        <v/>
      </c>
      <c r="AD62" s="52">
        <f>IF(AB62="","",IFERROR(INDEX(ctaTipo,MATCH(AB62,ctaNombre,0))&amp;"",""))</f>
        <v/>
      </c>
      <c r="AE62" s="52">
        <f>IF(AC62="","",IFERROR(INDEX(ctaTipo,MATCH(AC62,ctaNombre,0))&amp;"",""))</f>
        <v/>
      </c>
      <c r="AF62" s="53">
        <f>IF(OR(P62="",AB62=""),"",IF(OR(P62="Gasto",P62="Transferencia",P62="Pago tarjeta"),-1,1)*IF(IFERROR(INDEX(ctaMoneda,MATCH(AB62,ctaNombre,0))&amp;"","DOP")="USD",T62,S62))</f>
        <v/>
      </c>
      <c r="AG62" s="53">
        <f>IF(AC62="","",IF(IFERROR(INDEX(ctaMoneda,MATCH(AC62,ctaNombre,0))&amp;"","DOP")="USD",T62,S62))</f>
        <v/>
      </c>
      <c r="AH62" s="53">
        <f>IF(P62="","",IF(AND(AD62&lt;&gt;"",COUNTIFS(tcTipo,AD62,tcLiq,"Sí")&gt;0),IF(OR(P62="Gasto",P62="Transferencia",P62="Pago tarjeta"),-1,1)*S62,0)+IF(AND(AE62&lt;&gt;"",COUNTIFS(tcTipo,AE62,tcLiq,"Sí")&gt;0),S62,0))</f>
        <v/>
      </c>
      <c r="AI62" s="52">
        <f>IF(OR(L62="",P62=""),"",IF(COUNTIFS(L$6:L62,L62,P$6:P62,"?*")=1,MAX(AI$5:AI61)+1,""))</f>
        <v/>
      </c>
    </row>
    <row r="63">
      <c r="B63" s="47" t="n">
        <v>46259</v>
      </c>
      <c r="C63" s="48" t="inlineStr">
        <is>
          <t>Pago tarjeta</t>
        </is>
      </c>
      <c r="D63" s="48" t="n"/>
      <c r="E63" s="48" t="n"/>
      <c r="F63" s="48" t="inlineStr">
        <is>
          <t>DEMO · Pago de tarjeta de crédito</t>
        </is>
      </c>
      <c r="G63" s="49" t="n">
        <v>30000</v>
      </c>
      <c r="H63" s="48" t="inlineStr">
        <is>
          <t>DOP</t>
        </is>
      </c>
      <c r="I63" s="50" t="n"/>
      <c r="J63" s="48" t="inlineStr">
        <is>
          <t>Banco principal</t>
        </is>
      </c>
      <c r="K63" s="48" t="inlineStr">
        <is>
          <t>Tarjeta de crédito</t>
        </is>
      </c>
      <c r="L63" s="48" t="n"/>
      <c r="M63" s="48" t="n"/>
      <c r="N63" s="48" t="inlineStr">
        <is>
          <t>DEMOSTRACIÓN</t>
        </is>
      </c>
      <c r="O63" s="51">
        <f>IF(AND(B63="",G63="",C63="",D63="",J63=""),"",IF(B63="","⚠ Falta fecha",IF(G63="","⚠ Falta monto",IF(Q63="","⚠ Falta cuenta",IF(ISNA(MATCH(Q63,ctaNombre,0)),"⚠ Cuenta no registrada",IF(AND(OR(P63="Gasto",P63="Reembolso"),D63=""),"⚠ Falta categoría",IF(AND(D63&lt;&gt;"",E63&lt;&gt;"",ISNA(MATCH(D63&amp;"|"&amp;E63,catClave,0))),"⚠ Subcategoría no corresponde",IF(AND(OR(P63="Transferencia",P63="Pago tarjeta"),K63=""),"⚠ Falta cuenta destino",IF(AND(K63&lt;&gt;"",P63&lt;&gt;"Transferencia",P63&lt;&gt;"Pago tarjeta"),"⚠ Destino solo aplica a transferencias",IF(AND(K63&lt;&gt;"",K63=Q63),"⚠ Origen igual a destino",IF(AND(K63&lt;&gt;"",ISNA(MATCH(K63,ctaNombre,0))),"⚠ Destino no registrado",IF(AND(P63="Pago tarjeta",AE63&lt;&gt;"Tarjeta de crédito"),"⚠ El destino debe ser tarjeta de crédito",IF(AND(P63="Gasto",E63="Depósitos y retiros"),"⚠ Usa tipo Transferencia",IF(AND(P63="Resultado trading",AD63&lt;&gt;"Cuenta de trading"),"⚠ Usa una cuenta de trading",IF(AND(G63&lt;=0,P63&lt;&gt;"Ajuste",P63&lt;&gt;"Resultado trading"),"⚠ El monto debe ser positivo","✓")))))))))))))))</f>
        <v/>
      </c>
      <c r="P63" s="52">
        <f>IF(OR(B63="",G63=""),"",IF(C63="","Gasto",C63))</f>
        <v/>
      </c>
      <c r="Q63" s="52">
        <f>IF(P63="","",IF(J63&lt;&gt;"",J63,CuentaPred&amp;""))</f>
        <v/>
      </c>
      <c r="R63" s="52">
        <f>IF(P63="","",IF(ISNUMBER(I63),I63,TasaUSD))</f>
        <v/>
      </c>
      <c r="S63" s="53">
        <f>IF(P63="","",IF(H63="USD",G63*R63,G63))</f>
        <v/>
      </c>
      <c r="T63" s="53">
        <f>IF(P63="","",IF(H63="USD",G63,IF(R63&gt;0,G63/R63,0)))</f>
        <v/>
      </c>
      <c r="U63" s="53">
        <f>IF(P63="","",IF(P63="Gasto",S63,IF(P63="Reembolso",-S63,0)))</f>
        <v/>
      </c>
      <c r="V63" s="53">
        <f>IF(P63="","",IF(P63="Ingreso",S63,0))</f>
        <v/>
      </c>
      <c r="W63" s="53">
        <f>IF(P63="","",IF(P63="Resultado trading",S63,0))</f>
        <v/>
      </c>
      <c r="X63" s="52">
        <f>IF(OR(P63="Gasto",P63="Reembolso"),IF(M63&lt;&gt;"",M63,IFERROR(INDEX(catClasif,MATCH(D63&amp;"|"&amp;E63,catClave,0))&amp;"","Variable")),"")</f>
        <v/>
      </c>
      <c r="Y63" s="52">
        <f>IF(P63="","",IFERROR(INDEX(catGrupo,MATCH(D63&amp;"|"&amp;E63,catClave,0))&amp;"",""))</f>
        <v/>
      </c>
      <c r="Z63" s="52">
        <f>IF(P63="","",WEEKDAY(B63,2))</f>
        <v/>
      </c>
      <c r="AA63" s="52">
        <f>IF(P63="","",IF(AND(P63="Gasto",X63="Variable",D63&lt;&gt;catTrading,S63&gt;0,S63&lt;=Umbral),1,0))</f>
        <v/>
      </c>
      <c r="AB63" s="52">
        <f>IF(OR(P63="",Q63=""),"",IFERROR(IF(INDEX(ctaVinc,MATCH(Q63,ctaNombre,0))&amp;""&lt;&gt;"",INDEX(ctaVinc,MATCH(Q63,ctaNombre,0))&amp;"",Q63),Q63))</f>
        <v/>
      </c>
      <c r="AC63" s="52">
        <f>IF(OR(K63="",AND(P63&lt;&gt;"Transferencia",P63&lt;&gt;"Pago tarjeta")),"",IFERROR(IF(INDEX(ctaVinc,MATCH(K63,ctaNombre,0))&amp;""&lt;&gt;"",INDEX(ctaVinc,MATCH(K63,ctaNombre,0))&amp;"",K63),K63))</f>
        <v/>
      </c>
      <c r="AD63" s="52">
        <f>IF(AB63="","",IFERROR(INDEX(ctaTipo,MATCH(AB63,ctaNombre,0))&amp;"",""))</f>
        <v/>
      </c>
      <c r="AE63" s="52">
        <f>IF(AC63="","",IFERROR(INDEX(ctaTipo,MATCH(AC63,ctaNombre,0))&amp;"",""))</f>
        <v/>
      </c>
      <c r="AF63" s="53">
        <f>IF(OR(P63="",AB63=""),"",IF(OR(P63="Gasto",P63="Transferencia",P63="Pago tarjeta"),-1,1)*IF(IFERROR(INDEX(ctaMoneda,MATCH(AB63,ctaNombre,0))&amp;"","DOP")="USD",T63,S63))</f>
        <v/>
      </c>
      <c r="AG63" s="53">
        <f>IF(AC63="","",IF(IFERROR(INDEX(ctaMoneda,MATCH(AC63,ctaNombre,0))&amp;"","DOP")="USD",T63,S63))</f>
        <v/>
      </c>
      <c r="AH63" s="53">
        <f>IF(P63="","",IF(AND(AD63&lt;&gt;"",COUNTIFS(tcTipo,AD63,tcLiq,"Sí")&gt;0),IF(OR(P63="Gasto",P63="Transferencia",P63="Pago tarjeta"),-1,1)*S63,0)+IF(AND(AE63&lt;&gt;"",COUNTIFS(tcTipo,AE63,tcLiq,"Sí")&gt;0),S63,0))</f>
        <v/>
      </c>
      <c r="AI63" s="52">
        <f>IF(OR(L63="",P63=""),"",IF(COUNTIFS(L$6:L63,L63,P$6:P63,"?*")=1,MAX(AI$5:AI62)+1,""))</f>
        <v/>
      </c>
    </row>
    <row r="64">
      <c r="B64" s="47" t="n">
        <v>46260</v>
      </c>
      <c r="C64" s="48" t="inlineStr">
        <is>
          <t>Gasto</t>
        </is>
      </c>
      <c r="D64" s="48" t="inlineStr">
        <is>
          <t>Alimentación</t>
        </is>
      </c>
      <c r="E64" s="48" t="inlineStr">
        <is>
          <t>Almuerzos laborales</t>
        </is>
      </c>
      <c r="F64" s="48" t="inlineStr">
        <is>
          <t>DEMO · Almuerzo laboral</t>
        </is>
      </c>
      <c r="G64" s="49" t="n">
        <v>575</v>
      </c>
      <c r="H64" s="48" t="inlineStr">
        <is>
          <t>DOP</t>
        </is>
      </c>
      <c r="I64" s="50" t="n"/>
      <c r="J64" s="48" t="inlineStr">
        <is>
          <t>Tarjeta de débito</t>
        </is>
      </c>
      <c r="K64" s="48" t="n"/>
      <c r="L64" s="48" t="inlineStr">
        <is>
          <t>Comedor ejecutivo</t>
        </is>
      </c>
      <c r="M64" s="48" t="n"/>
      <c r="N64" s="48" t="inlineStr">
        <is>
          <t>DEMOSTRACIÓN</t>
        </is>
      </c>
      <c r="O64" s="51">
        <f>IF(AND(B64="",G64="",C64="",D64="",J64=""),"",IF(B64="","⚠ Falta fecha",IF(G64="","⚠ Falta monto",IF(Q64="","⚠ Falta cuenta",IF(ISNA(MATCH(Q64,ctaNombre,0)),"⚠ Cuenta no registrada",IF(AND(OR(P64="Gasto",P64="Reembolso"),D64=""),"⚠ Falta categoría",IF(AND(D64&lt;&gt;"",E64&lt;&gt;"",ISNA(MATCH(D64&amp;"|"&amp;E64,catClave,0))),"⚠ Subcategoría no corresponde",IF(AND(OR(P64="Transferencia",P64="Pago tarjeta"),K64=""),"⚠ Falta cuenta destino",IF(AND(K64&lt;&gt;"",P64&lt;&gt;"Transferencia",P64&lt;&gt;"Pago tarjeta"),"⚠ Destino solo aplica a transferencias",IF(AND(K64&lt;&gt;"",K64=Q64),"⚠ Origen igual a destino",IF(AND(K64&lt;&gt;"",ISNA(MATCH(K64,ctaNombre,0))),"⚠ Destino no registrado",IF(AND(P64="Pago tarjeta",AE64&lt;&gt;"Tarjeta de crédito"),"⚠ El destino debe ser tarjeta de crédito",IF(AND(P64="Gasto",E64="Depósitos y retiros"),"⚠ Usa tipo Transferencia",IF(AND(P64="Resultado trading",AD64&lt;&gt;"Cuenta de trading"),"⚠ Usa una cuenta de trading",IF(AND(G64&lt;=0,P64&lt;&gt;"Ajuste",P64&lt;&gt;"Resultado trading"),"⚠ El monto debe ser positivo","✓")))))))))))))))</f>
        <v/>
      </c>
      <c r="P64" s="52">
        <f>IF(OR(B64="",G64=""),"",IF(C64="","Gasto",C64))</f>
        <v/>
      </c>
      <c r="Q64" s="52">
        <f>IF(P64="","",IF(J64&lt;&gt;"",J64,CuentaPred&amp;""))</f>
        <v/>
      </c>
      <c r="R64" s="52">
        <f>IF(P64="","",IF(ISNUMBER(I64),I64,TasaUSD))</f>
        <v/>
      </c>
      <c r="S64" s="53">
        <f>IF(P64="","",IF(H64="USD",G64*R64,G64))</f>
        <v/>
      </c>
      <c r="T64" s="53">
        <f>IF(P64="","",IF(H64="USD",G64,IF(R64&gt;0,G64/R64,0)))</f>
        <v/>
      </c>
      <c r="U64" s="53">
        <f>IF(P64="","",IF(P64="Gasto",S64,IF(P64="Reembolso",-S64,0)))</f>
        <v/>
      </c>
      <c r="V64" s="53">
        <f>IF(P64="","",IF(P64="Ingreso",S64,0))</f>
        <v/>
      </c>
      <c r="W64" s="53">
        <f>IF(P64="","",IF(P64="Resultado trading",S64,0))</f>
        <v/>
      </c>
      <c r="X64" s="52">
        <f>IF(OR(P64="Gasto",P64="Reembolso"),IF(M64&lt;&gt;"",M64,IFERROR(INDEX(catClasif,MATCH(D64&amp;"|"&amp;E64,catClave,0))&amp;"","Variable")),"")</f>
        <v/>
      </c>
      <c r="Y64" s="52">
        <f>IF(P64="","",IFERROR(INDEX(catGrupo,MATCH(D64&amp;"|"&amp;E64,catClave,0))&amp;"",""))</f>
        <v/>
      </c>
      <c r="Z64" s="52">
        <f>IF(P64="","",WEEKDAY(B64,2))</f>
        <v/>
      </c>
      <c r="AA64" s="52">
        <f>IF(P64="","",IF(AND(P64="Gasto",X64="Variable",D64&lt;&gt;catTrading,S64&gt;0,S64&lt;=Umbral),1,0))</f>
        <v/>
      </c>
      <c r="AB64" s="52">
        <f>IF(OR(P64="",Q64=""),"",IFERROR(IF(INDEX(ctaVinc,MATCH(Q64,ctaNombre,0))&amp;""&lt;&gt;"",INDEX(ctaVinc,MATCH(Q64,ctaNombre,0))&amp;"",Q64),Q64))</f>
        <v/>
      </c>
      <c r="AC64" s="52">
        <f>IF(OR(K64="",AND(P64&lt;&gt;"Transferencia",P64&lt;&gt;"Pago tarjeta")),"",IFERROR(IF(INDEX(ctaVinc,MATCH(K64,ctaNombre,0))&amp;""&lt;&gt;"",INDEX(ctaVinc,MATCH(K64,ctaNombre,0))&amp;"",K64),K64))</f>
        <v/>
      </c>
      <c r="AD64" s="52">
        <f>IF(AB64="","",IFERROR(INDEX(ctaTipo,MATCH(AB64,ctaNombre,0))&amp;"",""))</f>
        <v/>
      </c>
      <c r="AE64" s="52">
        <f>IF(AC64="","",IFERROR(INDEX(ctaTipo,MATCH(AC64,ctaNombre,0))&amp;"",""))</f>
        <v/>
      </c>
      <c r="AF64" s="53">
        <f>IF(OR(P64="",AB64=""),"",IF(OR(P64="Gasto",P64="Transferencia",P64="Pago tarjeta"),-1,1)*IF(IFERROR(INDEX(ctaMoneda,MATCH(AB64,ctaNombre,0))&amp;"","DOP")="USD",T64,S64))</f>
        <v/>
      </c>
      <c r="AG64" s="53">
        <f>IF(AC64="","",IF(IFERROR(INDEX(ctaMoneda,MATCH(AC64,ctaNombre,0))&amp;"","DOP")="USD",T64,S64))</f>
        <v/>
      </c>
      <c r="AH64" s="53">
        <f>IF(P64="","",IF(AND(AD64&lt;&gt;"",COUNTIFS(tcTipo,AD64,tcLiq,"Sí")&gt;0),IF(OR(P64="Gasto",P64="Transferencia",P64="Pago tarjeta"),-1,1)*S64,0)+IF(AND(AE64&lt;&gt;"",COUNTIFS(tcTipo,AE64,tcLiq,"Sí")&gt;0),S64,0))</f>
        <v/>
      </c>
      <c r="AI64" s="52">
        <f>IF(OR(L64="",P64=""),"",IF(COUNTIFS(L$6:L64,L64,P$6:P64,"?*")=1,MAX(AI$5:AI63)+1,""))</f>
        <v/>
      </c>
    </row>
    <row r="65">
      <c r="B65" s="47" t="n">
        <v>46260</v>
      </c>
      <c r="C65" s="48" t="inlineStr">
        <is>
          <t>Gasto</t>
        </is>
      </c>
      <c r="D65" s="48" t="inlineStr">
        <is>
          <t>Alimentación</t>
        </is>
      </c>
      <c r="E65" s="48" t="inlineStr">
        <is>
          <t>Bebidas, snacks y otros consumos</t>
        </is>
      </c>
      <c r="F65" s="48" t="inlineStr">
        <is>
          <t>DEMO · Jugo y galletas</t>
        </is>
      </c>
      <c r="G65" s="49" t="n">
        <v>140</v>
      </c>
      <c r="H65" s="48" t="inlineStr">
        <is>
          <t>DOP</t>
        </is>
      </c>
      <c r="I65" s="50" t="n"/>
      <c r="J65" s="48" t="inlineStr">
        <is>
          <t>Billetera digital</t>
        </is>
      </c>
      <c r="K65" s="48" t="n"/>
      <c r="L65" s="48" t="inlineStr">
        <is>
          <t>Cafetería del trabajo</t>
        </is>
      </c>
      <c r="M65" s="48" t="n"/>
      <c r="N65" s="48" t="inlineStr">
        <is>
          <t>DEMOSTRACIÓN</t>
        </is>
      </c>
      <c r="O65" s="51">
        <f>IF(AND(B65="",G65="",C65="",D65="",J65=""),"",IF(B65="","⚠ Falta fecha",IF(G65="","⚠ Falta monto",IF(Q65="","⚠ Falta cuenta",IF(ISNA(MATCH(Q65,ctaNombre,0)),"⚠ Cuenta no registrada",IF(AND(OR(P65="Gasto",P65="Reembolso"),D65=""),"⚠ Falta categoría",IF(AND(D65&lt;&gt;"",E65&lt;&gt;"",ISNA(MATCH(D65&amp;"|"&amp;E65,catClave,0))),"⚠ Subcategoría no corresponde",IF(AND(OR(P65="Transferencia",P65="Pago tarjeta"),K65=""),"⚠ Falta cuenta destino",IF(AND(K65&lt;&gt;"",P65&lt;&gt;"Transferencia",P65&lt;&gt;"Pago tarjeta"),"⚠ Destino solo aplica a transferencias",IF(AND(K65&lt;&gt;"",K65=Q65),"⚠ Origen igual a destino",IF(AND(K65&lt;&gt;"",ISNA(MATCH(K65,ctaNombre,0))),"⚠ Destino no registrado",IF(AND(P65="Pago tarjeta",AE65&lt;&gt;"Tarjeta de crédito"),"⚠ El destino debe ser tarjeta de crédito",IF(AND(P65="Gasto",E65="Depósitos y retiros"),"⚠ Usa tipo Transferencia",IF(AND(P65="Resultado trading",AD65&lt;&gt;"Cuenta de trading"),"⚠ Usa una cuenta de trading",IF(AND(G65&lt;=0,P65&lt;&gt;"Ajuste",P65&lt;&gt;"Resultado trading"),"⚠ El monto debe ser positivo","✓")))))))))))))))</f>
        <v/>
      </c>
      <c r="P65" s="52">
        <f>IF(OR(B65="",G65=""),"",IF(C65="","Gasto",C65))</f>
        <v/>
      </c>
      <c r="Q65" s="52">
        <f>IF(P65="","",IF(J65&lt;&gt;"",J65,CuentaPred&amp;""))</f>
        <v/>
      </c>
      <c r="R65" s="52">
        <f>IF(P65="","",IF(ISNUMBER(I65),I65,TasaUSD))</f>
        <v/>
      </c>
      <c r="S65" s="53">
        <f>IF(P65="","",IF(H65="USD",G65*R65,G65))</f>
        <v/>
      </c>
      <c r="T65" s="53">
        <f>IF(P65="","",IF(H65="USD",G65,IF(R65&gt;0,G65/R65,0)))</f>
        <v/>
      </c>
      <c r="U65" s="53">
        <f>IF(P65="","",IF(P65="Gasto",S65,IF(P65="Reembolso",-S65,0)))</f>
        <v/>
      </c>
      <c r="V65" s="53">
        <f>IF(P65="","",IF(P65="Ingreso",S65,0))</f>
        <v/>
      </c>
      <c r="W65" s="53">
        <f>IF(P65="","",IF(P65="Resultado trading",S65,0))</f>
        <v/>
      </c>
      <c r="X65" s="52">
        <f>IF(OR(P65="Gasto",P65="Reembolso"),IF(M65&lt;&gt;"",M65,IFERROR(INDEX(catClasif,MATCH(D65&amp;"|"&amp;E65,catClave,0))&amp;"","Variable")),"")</f>
        <v/>
      </c>
      <c r="Y65" s="52">
        <f>IF(P65="","",IFERROR(INDEX(catGrupo,MATCH(D65&amp;"|"&amp;E65,catClave,0))&amp;"",""))</f>
        <v/>
      </c>
      <c r="Z65" s="52">
        <f>IF(P65="","",WEEKDAY(B65,2))</f>
        <v/>
      </c>
      <c r="AA65" s="52">
        <f>IF(P65="","",IF(AND(P65="Gasto",X65="Variable",D65&lt;&gt;catTrading,S65&gt;0,S65&lt;=Umbral),1,0))</f>
        <v/>
      </c>
      <c r="AB65" s="52">
        <f>IF(OR(P65="",Q65=""),"",IFERROR(IF(INDEX(ctaVinc,MATCH(Q65,ctaNombre,0))&amp;""&lt;&gt;"",INDEX(ctaVinc,MATCH(Q65,ctaNombre,0))&amp;"",Q65),Q65))</f>
        <v/>
      </c>
      <c r="AC65" s="52">
        <f>IF(OR(K65="",AND(P65&lt;&gt;"Transferencia",P65&lt;&gt;"Pago tarjeta")),"",IFERROR(IF(INDEX(ctaVinc,MATCH(K65,ctaNombre,0))&amp;""&lt;&gt;"",INDEX(ctaVinc,MATCH(K65,ctaNombre,0))&amp;"",K65),K65))</f>
        <v/>
      </c>
      <c r="AD65" s="52">
        <f>IF(AB65="","",IFERROR(INDEX(ctaTipo,MATCH(AB65,ctaNombre,0))&amp;"",""))</f>
        <v/>
      </c>
      <c r="AE65" s="52">
        <f>IF(AC65="","",IFERROR(INDEX(ctaTipo,MATCH(AC65,ctaNombre,0))&amp;"",""))</f>
        <v/>
      </c>
      <c r="AF65" s="53">
        <f>IF(OR(P65="",AB65=""),"",IF(OR(P65="Gasto",P65="Transferencia",P65="Pago tarjeta"),-1,1)*IF(IFERROR(INDEX(ctaMoneda,MATCH(AB65,ctaNombre,0))&amp;"","DOP")="USD",T65,S65))</f>
        <v/>
      </c>
      <c r="AG65" s="53">
        <f>IF(AC65="","",IF(IFERROR(INDEX(ctaMoneda,MATCH(AC65,ctaNombre,0))&amp;"","DOP")="USD",T65,S65))</f>
        <v/>
      </c>
      <c r="AH65" s="53">
        <f>IF(P65="","",IF(AND(AD65&lt;&gt;"",COUNTIFS(tcTipo,AD65,tcLiq,"Sí")&gt;0),IF(OR(P65="Gasto",P65="Transferencia",P65="Pago tarjeta"),-1,1)*S65,0)+IF(AND(AE65&lt;&gt;"",COUNTIFS(tcTipo,AE65,tcLiq,"Sí")&gt;0),S65,0))</f>
        <v/>
      </c>
      <c r="AI65" s="52">
        <f>IF(OR(L65="",P65=""),"",IF(COUNTIFS(L$6:L65,L65,P$6:P65,"?*")=1,MAX(AI$5:AI64)+1,""))</f>
        <v/>
      </c>
    </row>
    <row r="66">
      <c r="B66" s="47" t="n">
        <v>46261</v>
      </c>
      <c r="C66" s="48" t="inlineStr">
        <is>
          <t>Gasto</t>
        </is>
      </c>
      <c r="D66" s="48" t="inlineStr">
        <is>
          <t>Alimentación</t>
        </is>
      </c>
      <c r="E66" s="48" t="inlineStr">
        <is>
          <t>Desayunos comprados</t>
        </is>
      </c>
      <c r="F66" s="48" t="inlineStr">
        <is>
          <t>DEMO · Desayuno en la oficina</t>
        </is>
      </c>
      <c r="G66" s="49" t="n">
        <v>300</v>
      </c>
      <c r="H66" s="48" t="inlineStr">
        <is>
          <t>DOP</t>
        </is>
      </c>
      <c r="I66" s="50" t="n"/>
      <c r="J66" s="48" t="inlineStr">
        <is>
          <t>Tarjeta de débito</t>
        </is>
      </c>
      <c r="K66" s="48" t="n"/>
      <c r="L66" s="48" t="inlineStr">
        <is>
          <t>Cafetería del trabajo</t>
        </is>
      </c>
      <c r="M66" s="48" t="n"/>
      <c r="N66" s="48" t="inlineStr">
        <is>
          <t>DEMOSTRACIÓN</t>
        </is>
      </c>
      <c r="O66" s="51">
        <f>IF(AND(B66="",G66="",C66="",D66="",J66=""),"",IF(B66="","⚠ Falta fecha",IF(G66="","⚠ Falta monto",IF(Q66="","⚠ Falta cuenta",IF(ISNA(MATCH(Q66,ctaNombre,0)),"⚠ Cuenta no registrada",IF(AND(OR(P66="Gasto",P66="Reembolso"),D66=""),"⚠ Falta categoría",IF(AND(D66&lt;&gt;"",E66&lt;&gt;"",ISNA(MATCH(D66&amp;"|"&amp;E66,catClave,0))),"⚠ Subcategoría no corresponde",IF(AND(OR(P66="Transferencia",P66="Pago tarjeta"),K66=""),"⚠ Falta cuenta destino",IF(AND(K66&lt;&gt;"",P66&lt;&gt;"Transferencia",P66&lt;&gt;"Pago tarjeta"),"⚠ Destino solo aplica a transferencias",IF(AND(K66&lt;&gt;"",K66=Q66),"⚠ Origen igual a destino",IF(AND(K66&lt;&gt;"",ISNA(MATCH(K66,ctaNombre,0))),"⚠ Destino no registrado",IF(AND(P66="Pago tarjeta",AE66&lt;&gt;"Tarjeta de crédito"),"⚠ El destino debe ser tarjeta de crédito",IF(AND(P66="Gasto",E66="Depósitos y retiros"),"⚠ Usa tipo Transferencia",IF(AND(P66="Resultado trading",AD66&lt;&gt;"Cuenta de trading"),"⚠ Usa una cuenta de trading",IF(AND(G66&lt;=0,P66&lt;&gt;"Ajuste",P66&lt;&gt;"Resultado trading"),"⚠ El monto debe ser positivo","✓")))))))))))))))</f>
        <v/>
      </c>
      <c r="P66" s="52">
        <f>IF(OR(B66="",G66=""),"",IF(C66="","Gasto",C66))</f>
        <v/>
      </c>
      <c r="Q66" s="52">
        <f>IF(P66="","",IF(J66&lt;&gt;"",J66,CuentaPred&amp;""))</f>
        <v/>
      </c>
      <c r="R66" s="52">
        <f>IF(P66="","",IF(ISNUMBER(I66),I66,TasaUSD))</f>
        <v/>
      </c>
      <c r="S66" s="53">
        <f>IF(P66="","",IF(H66="USD",G66*R66,G66))</f>
        <v/>
      </c>
      <c r="T66" s="53">
        <f>IF(P66="","",IF(H66="USD",G66,IF(R66&gt;0,G66/R66,0)))</f>
        <v/>
      </c>
      <c r="U66" s="53">
        <f>IF(P66="","",IF(P66="Gasto",S66,IF(P66="Reembolso",-S66,0)))</f>
        <v/>
      </c>
      <c r="V66" s="53">
        <f>IF(P66="","",IF(P66="Ingreso",S66,0))</f>
        <v/>
      </c>
      <c r="W66" s="53">
        <f>IF(P66="","",IF(P66="Resultado trading",S66,0))</f>
        <v/>
      </c>
      <c r="X66" s="52">
        <f>IF(OR(P66="Gasto",P66="Reembolso"),IF(M66&lt;&gt;"",M66,IFERROR(INDEX(catClasif,MATCH(D66&amp;"|"&amp;E66,catClave,0))&amp;"","Variable")),"")</f>
        <v/>
      </c>
      <c r="Y66" s="52">
        <f>IF(P66="","",IFERROR(INDEX(catGrupo,MATCH(D66&amp;"|"&amp;E66,catClave,0))&amp;"",""))</f>
        <v/>
      </c>
      <c r="Z66" s="52">
        <f>IF(P66="","",WEEKDAY(B66,2))</f>
        <v/>
      </c>
      <c r="AA66" s="52">
        <f>IF(P66="","",IF(AND(P66="Gasto",X66="Variable",D66&lt;&gt;catTrading,S66&gt;0,S66&lt;=Umbral),1,0))</f>
        <v/>
      </c>
      <c r="AB66" s="52">
        <f>IF(OR(P66="",Q66=""),"",IFERROR(IF(INDEX(ctaVinc,MATCH(Q66,ctaNombre,0))&amp;""&lt;&gt;"",INDEX(ctaVinc,MATCH(Q66,ctaNombre,0))&amp;"",Q66),Q66))</f>
        <v/>
      </c>
      <c r="AC66" s="52">
        <f>IF(OR(K66="",AND(P66&lt;&gt;"Transferencia",P66&lt;&gt;"Pago tarjeta")),"",IFERROR(IF(INDEX(ctaVinc,MATCH(K66,ctaNombre,0))&amp;""&lt;&gt;"",INDEX(ctaVinc,MATCH(K66,ctaNombre,0))&amp;"",K66),K66))</f>
        <v/>
      </c>
      <c r="AD66" s="52">
        <f>IF(AB66="","",IFERROR(INDEX(ctaTipo,MATCH(AB66,ctaNombre,0))&amp;"",""))</f>
        <v/>
      </c>
      <c r="AE66" s="52">
        <f>IF(AC66="","",IFERROR(INDEX(ctaTipo,MATCH(AC66,ctaNombre,0))&amp;"",""))</f>
        <v/>
      </c>
      <c r="AF66" s="53">
        <f>IF(OR(P66="",AB66=""),"",IF(OR(P66="Gasto",P66="Transferencia",P66="Pago tarjeta"),-1,1)*IF(IFERROR(INDEX(ctaMoneda,MATCH(AB66,ctaNombre,0))&amp;"","DOP")="USD",T66,S66))</f>
        <v/>
      </c>
      <c r="AG66" s="53">
        <f>IF(AC66="","",IF(IFERROR(INDEX(ctaMoneda,MATCH(AC66,ctaNombre,0))&amp;"","DOP")="USD",T66,S66))</f>
        <v/>
      </c>
      <c r="AH66" s="53">
        <f>IF(P66="","",IF(AND(AD66&lt;&gt;"",COUNTIFS(tcTipo,AD66,tcLiq,"Sí")&gt;0),IF(OR(P66="Gasto",P66="Transferencia",P66="Pago tarjeta"),-1,1)*S66,0)+IF(AND(AE66&lt;&gt;"",COUNTIFS(tcTipo,AE66,tcLiq,"Sí")&gt;0),S66,0))</f>
        <v/>
      </c>
      <c r="AI66" s="52">
        <f>IF(OR(L66="",P66=""),"",IF(COUNTIFS(L$6:L66,L66,P$6:P66,"?*")=1,MAX(AI$5:AI65)+1,""))</f>
        <v/>
      </c>
    </row>
    <row r="67">
      <c r="B67" s="47" t="n">
        <v>46261</v>
      </c>
      <c r="C67" s="48" t="inlineStr">
        <is>
          <t>Gasto</t>
        </is>
      </c>
      <c r="D67" s="48" t="inlineStr">
        <is>
          <t>Alimentación</t>
        </is>
      </c>
      <c r="E67" s="48" t="inlineStr">
        <is>
          <t>Almuerzos laborales</t>
        </is>
      </c>
      <c r="F67" s="48" t="inlineStr">
        <is>
          <t>DEMO · Almuerzo laboral</t>
        </is>
      </c>
      <c r="G67" s="49" t="n">
        <v>400</v>
      </c>
      <c r="H67" s="48" t="inlineStr">
        <is>
          <t>DOP</t>
        </is>
      </c>
      <c r="I67" s="50" t="n"/>
      <c r="J67" s="48" t="inlineStr">
        <is>
          <t>Tarjeta de débito</t>
        </is>
      </c>
      <c r="K67" s="48" t="n"/>
      <c r="L67" s="48" t="inlineStr">
        <is>
          <t>Comedor ejecutivo</t>
        </is>
      </c>
      <c r="M67" s="48" t="n"/>
      <c r="N67" s="48" t="inlineStr">
        <is>
          <t>DEMOSTRACIÓN</t>
        </is>
      </c>
      <c r="O67" s="51">
        <f>IF(AND(B67="",G67="",C67="",D67="",J67=""),"",IF(B67="","⚠ Falta fecha",IF(G67="","⚠ Falta monto",IF(Q67="","⚠ Falta cuenta",IF(ISNA(MATCH(Q67,ctaNombre,0)),"⚠ Cuenta no registrada",IF(AND(OR(P67="Gasto",P67="Reembolso"),D67=""),"⚠ Falta categoría",IF(AND(D67&lt;&gt;"",E67&lt;&gt;"",ISNA(MATCH(D67&amp;"|"&amp;E67,catClave,0))),"⚠ Subcategoría no corresponde",IF(AND(OR(P67="Transferencia",P67="Pago tarjeta"),K67=""),"⚠ Falta cuenta destino",IF(AND(K67&lt;&gt;"",P67&lt;&gt;"Transferencia",P67&lt;&gt;"Pago tarjeta"),"⚠ Destino solo aplica a transferencias",IF(AND(K67&lt;&gt;"",K67=Q67),"⚠ Origen igual a destino",IF(AND(K67&lt;&gt;"",ISNA(MATCH(K67,ctaNombre,0))),"⚠ Destino no registrado",IF(AND(P67="Pago tarjeta",AE67&lt;&gt;"Tarjeta de crédito"),"⚠ El destino debe ser tarjeta de crédito",IF(AND(P67="Gasto",E67="Depósitos y retiros"),"⚠ Usa tipo Transferencia",IF(AND(P67="Resultado trading",AD67&lt;&gt;"Cuenta de trading"),"⚠ Usa una cuenta de trading",IF(AND(G67&lt;=0,P67&lt;&gt;"Ajuste",P67&lt;&gt;"Resultado trading"),"⚠ El monto debe ser positivo","✓")))))))))))))))</f>
        <v/>
      </c>
      <c r="P67" s="52">
        <f>IF(OR(B67="",G67=""),"",IF(C67="","Gasto",C67))</f>
        <v/>
      </c>
      <c r="Q67" s="52">
        <f>IF(P67="","",IF(J67&lt;&gt;"",J67,CuentaPred&amp;""))</f>
        <v/>
      </c>
      <c r="R67" s="52">
        <f>IF(P67="","",IF(ISNUMBER(I67),I67,TasaUSD))</f>
        <v/>
      </c>
      <c r="S67" s="53">
        <f>IF(P67="","",IF(H67="USD",G67*R67,G67))</f>
        <v/>
      </c>
      <c r="T67" s="53">
        <f>IF(P67="","",IF(H67="USD",G67,IF(R67&gt;0,G67/R67,0)))</f>
        <v/>
      </c>
      <c r="U67" s="53">
        <f>IF(P67="","",IF(P67="Gasto",S67,IF(P67="Reembolso",-S67,0)))</f>
        <v/>
      </c>
      <c r="V67" s="53">
        <f>IF(P67="","",IF(P67="Ingreso",S67,0))</f>
        <v/>
      </c>
      <c r="W67" s="53">
        <f>IF(P67="","",IF(P67="Resultado trading",S67,0))</f>
        <v/>
      </c>
      <c r="X67" s="52">
        <f>IF(OR(P67="Gasto",P67="Reembolso"),IF(M67&lt;&gt;"",M67,IFERROR(INDEX(catClasif,MATCH(D67&amp;"|"&amp;E67,catClave,0))&amp;"","Variable")),"")</f>
        <v/>
      </c>
      <c r="Y67" s="52">
        <f>IF(P67="","",IFERROR(INDEX(catGrupo,MATCH(D67&amp;"|"&amp;E67,catClave,0))&amp;"",""))</f>
        <v/>
      </c>
      <c r="Z67" s="52">
        <f>IF(P67="","",WEEKDAY(B67,2))</f>
        <v/>
      </c>
      <c r="AA67" s="52">
        <f>IF(P67="","",IF(AND(P67="Gasto",X67="Variable",D67&lt;&gt;catTrading,S67&gt;0,S67&lt;=Umbral),1,0))</f>
        <v/>
      </c>
      <c r="AB67" s="52">
        <f>IF(OR(P67="",Q67=""),"",IFERROR(IF(INDEX(ctaVinc,MATCH(Q67,ctaNombre,0))&amp;""&lt;&gt;"",INDEX(ctaVinc,MATCH(Q67,ctaNombre,0))&amp;"",Q67),Q67))</f>
        <v/>
      </c>
      <c r="AC67" s="52">
        <f>IF(OR(K67="",AND(P67&lt;&gt;"Transferencia",P67&lt;&gt;"Pago tarjeta")),"",IFERROR(IF(INDEX(ctaVinc,MATCH(K67,ctaNombre,0))&amp;""&lt;&gt;"",INDEX(ctaVinc,MATCH(K67,ctaNombre,0))&amp;"",K67),K67))</f>
        <v/>
      </c>
      <c r="AD67" s="52">
        <f>IF(AB67="","",IFERROR(INDEX(ctaTipo,MATCH(AB67,ctaNombre,0))&amp;"",""))</f>
        <v/>
      </c>
      <c r="AE67" s="52">
        <f>IF(AC67="","",IFERROR(INDEX(ctaTipo,MATCH(AC67,ctaNombre,0))&amp;"",""))</f>
        <v/>
      </c>
      <c r="AF67" s="53">
        <f>IF(OR(P67="",AB67=""),"",IF(OR(P67="Gasto",P67="Transferencia",P67="Pago tarjeta"),-1,1)*IF(IFERROR(INDEX(ctaMoneda,MATCH(AB67,ctaNombre,0))&amp;"","DOP")="USD",T67,S67))</f>
        <v/>
      </c>
      <c r="AG67" s="53">
        <f>IF(AC67="","",IF(IFERROR(INDEX(ctaMoneda,MATCH(AC67,ctaNombre,0))&amp;"","DOP")="USD",T67,S67))</f>
        <v/>
      </c>
      <c r="AH67" s="53">
        <f>IF(P67="","",IF(AND(AD67&lt;&gt;"",COUNTIFS(tcTipo,AD67,tcLiq,"Sí")&gt;0),IF(OR(P67="Gasto",P67="Transferencia",P67="Pago tarjeta"),-1,1)*S67,0)+IF(AND(AE67&lt;&gt;"",COUNTIFS(tcTipo,AE67,tcLiq,"Sí")&gt;0),S67,0))</f>
        <v/>
      </c>
      <c r="AI67" s="52">
        <f>IF(OR(L67="",P67=""),"",IF(COUNTIFS(L$6:L67,L67,P$6:P67,"?*")=1,MAX(AI$5:AI66)+1,""))</f>
        <v/>
      </c>
    </row>
    <row r="68">
      <c r="B68" s="47" t="n">
        <v>46261</v>
      </c>
      <c r="C68" s="48" t="inlineStr">
        <is>
          <t>Gasto</t>
        </is>
      </c>
      <c r="D68" s="48" t="inlineStr">
        <is>
          <t>Alimentación</t>
        </is>
      </c>
      <c r="E68" s="48" t="inlineStr">
        <is>
          <t>Cenas compradas</t>
        </is>
      </c>
      <c r="F68" s="48" t="inlineStr">
        <is>
          <t>DEMO · Cena comprada</t>
        </is>
      </c>
      <c r="G68" s="49" t="n">
        <v>725</v>
      </c>
      <c r="H68" s="48" t="inlineStr">
        <is>
          <t>DOP</t>
        </is>
      </c>
      <c r="I68" s="50" t="n"/>
      <c r="J68" s="48" t="inlineStr">
        <is>
          <t>Tarjeta de crédito</t>
        </is>
      </c>
      <c r="K68" s="48" t="n"/>
      <c r="L68" s="48" t="inlineStr">
        <is>
          <t>Pizzería del sector</t>
        </is>
      </c>
      <c r="M68" s="48" t="n"/>
      <c r="N68" s="48" t="inlineStr">
        <is>
          <t>DEMOSTRACIÓN</t>
        </is>
      </c>
      <c r="O68" s="51">
        <f>IF(AND(B68="",G68="",C68="",D68="",J68=""),"",IF(B68="","⚠ Falta fecha",IF(G68="","⚠ Falta monto",IF(Q68="","⚠ Falta cuenta",IF(ISNA(MATCH(Q68,ctaNombre,0)),"⚠ Cuenta no registrada",IF(AND(OR(P68="Gasto",P68="Reembolso"),D68=""),"⚠ Falta categoría",IF(AND(D68&lt;&gt;"",E68&lt;&gt;"",ISNA(MATCH(D68&amp;"|"&amp;E68,catClave,0))),"⚠ Subcategoría no corresponde",IF(AND(OR(P68="Transferencia",P68="Pago tarjeta"),K68=""),"⚠ Falta cuenta destino",IF(AND(K68&lt;&gt;"",P68&lt;&gt;"Transferencia",P68&lt;&gt;"Pago tarjeta"),"⚠ Destino solo aplica a transferencias",IF(AND(K68&lt;&gt;"",K68=Q68),"⚠ Origen igual a destino",IF(AND(K68&lt;&gt;"",ISNA(MATCH(K68,ctaNombre,0))),"⚠ Destino no registrado",IF(AND(P68="Pago tarjeta",AE68&lt;&gt;"Tarjeta de crédito"),"⚠ El destino debe ser tarjeta de crédito",IF(AND(P68="Gasto",E68="Depósitos y retiros"),"⚠ Usa tipo Transferencia",IF(AND(P68="Resultado trading",AD68&lt;&gt;"Cuenta de trading"),"⚠ Usa una cuenta de trading",IF(AND(G68&lt;=0,P68&lt;&gt;"Ajuste",P68&lt;&gt;"Resultado trading"),"⚠ El monto debe ser positivo","✓")))))))))))))))</f>
        <v/>
      </c>
      <c r="P68" s="52">
        <f>IF(OR(B68="",G68=""),"",IF(C68="","Gasto",C68))</f>
        <v/>
      </c>
      <c r="Q68" s="52">
        <f>IF(P68="","",IF(J68&lt;&gt;"",J68,CuentaPred&amp;""))</f>
        <v/>
      </c>
      <c r="R68" s="52">
        <f>IF(P68="","",IF(ISNUMBER(I68),I68,TasaUSD))</f>
        <v/>
      </c>
      <c r="S68" s="53">
        <f>IF(P68="","",IF(H68="USD",G68*R68,G68))</f>
        <v/>
      </c>
      <c r="T68" s="53">
        <f>IF(P68="","",IF(H68="USD",G68,IF(R68&gt;0,G68/R68,0)))</f>
        <v/>
      </c>
      <c r="U68" s="53">
        <f>IF(P68="","",IF(P68="Gasto",S68,IF(P68="Reembolso",-S68,0)))</f>
        <v/>
      </c>
      <c r="V68" s="53">
        <f>IF(P68="","",IF(P68="Ingreso",S68,0))</f>
        <v/>
      </c>
      <c r="W68" s="53">
        <f>IF(P68="","",IF(P68="Resultado trading",S68,0))</f>
        <v/>
      </c>
      <c r="X68" s="52">
        <f>IF(OR(P68="Gasto",P68="Reembolso"),IF(M68&lt;&gt;"",M68,IFERROR(INDEX(catClasif,MATCH(D68&amp;"|"&amp;E68,catClave,0))&amp;"","Variable")),"")</f>
        <v/>
      </c>
      <c r="Y68" s="52">
        <f>IF(P68="","",IFERROR(INDEX(catGrupo,MATCH(D68&amp;"|"&amp;E68,catClave,0))&amp;"",""))</f>
        <v/>
      </c>
      <c r="Z68" s="52">
        <f>IF(P68="","",WEEKDAY(B68,2))</f>
        <v/>
      </c>
      <c r="AA68" s="52">
        <f>IF(P68="","",IF(AND(P68="Gasto",X68="Variable",D68&lt;&gt;catTrading,S68&gt;0,S68&lt;=Umbral),1,0))</f>
        <v/>
      </c>
      <c r="AB68" s="52">
        <f>IF(OR(P68="",Q68=""),"",IFERROR(IF(INDEX(ctaVinc,MATCH(Q68,ctaNombre,0))&amp;""&lt;&gt;"",INDEX(ctaVinc,MATCH(Q68,ctaNombre,0))&amp;"",Q68),Q68))</f>
        <v/>
      </c>
      <c r="AC68" s="52">
        <f>IF(OR(K68="",AND(P68&lt;&gt;"Transferencia",P68&lt;&gt;"Pago tarjeta")),"",IFERROR(IF(INDEX(ctaVinc,MATCH(K68,ctaNombre,0))&amp;""&lt;&gt;"",INDEX(ctaVinc,MATCH(K68,ctaNombre,0))&amp;"",K68),K68))</f>
        <v/>
      </c>
      <c r="AD68" s="52">
        <f>IF(AB68="","",IFERROR(INDEX(ctaTipo,MATCH(AB68,ctaNombre,0))&amp;"",""))</f>
        <v/>
      </c>
      <c r="AE68" s="52">
        <f>IF(AC68="","",IFERROR(INDEX(ctaTipo,MATCH(AC68,ctaNombre,0))&amp;"",""))</f>
        <v/>
      </c>
      <c r="AF68" s="53">
        <f>IF(OR(P68="",AB68=""),"",IF(OR(P68="Gasto",P68="Transferencia",P68="Pago tarjeta"),-1,1)*IF(IFERROR(INDEX(ctaMoneda,MATCH(AB68,ctaNombre,0))&amp;"","DOP")="USD",T68,S68))</f>
        <v/>
      </c>
      <c r="AG68" s="53">
        <f>IF(AC68="","",IF(IFERROR(INDEX(ctaMoneda,MATCH(AC68,ctaNombre,0))&amp;"","DOP")="USD",T68,S68))</f>
        <v/>
      </c>
      <c r="AH68" s="53">
        <f>IF(P68="","",IF(AND(AD68&lt;&gt;"",COUNTIFS(tcTipo,AD68,tcLiq,"Sí")&gt;0),IF(OR(P68="Gasto",P68="Transferencia",P68="Pago tarjeta"),-1,1)*S68,0)+IF(AND(AE68&lt;&gt;"",COUNTIFS(tcTipo,AE68,tcLiq,"Sí")&gt;0),S68,0))</f>
        <v/>
      </c>
      <c r="AI68" s="52">
        <f>IF(OR(L68="",P68=""),"",IF(COUNTIFS(L$6:L68,L68,P$6:P68,"?*")=1,MAX(AI$5:AI67)+1,""))</f>
        <v/>
      </c>
    </row>
    <row r="69">
      <c r="B69" s="47" t="n">
        <v>46261</v>
      </c>
      <c r="C69" s="48" t="inlineStr">
        <is>
          <t>Gasto</t>
        </is>
      </c>
      <c r="D69" s="48" t="inlineStr">
        <is>
          <t>Salud</t>
        </is>
      </c>
      <c r="E69" s="48" t="inlineStr">
        <is>
          <t>Medicamentos y farmacia</t>
        </is>
      </c>
      <c r="F69" s="48" t="inlineStr">
        <is>
          <t>DEMO · Farmacia</t>
        </is>
      </c>
      <c r="G69" s="49" t="n">
        <v>650</v>
      </c>
      <c r="H69" s="48" t="inlineStr">
        <is>
          <t>DOP</t>
        </is>
      </c>
      <c r="I69" s="50" t="n"/>
      <c r="J69" s="48" t="inlineStr">
        <is>
          <t>Tarjeta de débito</t>
        </is>
      </c>
      <c r="K69" s="48" t="n"/>
      <c r="L69" s="48" t="inlineStr">
        <is>
          <t>Farmacia</t>
        </is>
      </c>
      <c r="M69" s="48" t="n"/>
      <c r="N69" s="48" t="inlineStr">
        <is>
          <t>DEMOSTRACIÓN</t>
        </is>
      </c>
      <c r="O69" s="51">
        <f>IF(AND(B69="",G69="",C69="",D69="",J69=""),"",IF(B69="","⚠ Falta fecha",IF(G69="","⚠ Falta monto",IF(Q69="","⚠ Falta cuenta",IF(ISNA(MATCH(Q69,ctaNombre,0)),"⚠ Cuenta no registrada",IF(AND(OR(P69="Gasto",P69="Reembolso"),D69=""),"⚠ Falta categoría",IF(AND(D69&lt;&gt;"",E69&lt;&gt;"",ISNA(MATCH(D69&amp;"|"&amp;E69,catClave,0))),"⚠ Subcategoría no corresponde",IF(AND(OR(P69="Transferencia",P69="Pago tarjeta"),K69=""),"⚠ Falta cuenta destino",IF(AND(K69&lt;&gt;"",P69&lt;&gt;"Transferencia",P69&lt;&gt;"Pago tarjeta"),"⚠ Destino solo aplica a transferencias",IF(AND(K69&lt;&gt;"",K69=Q69),"⚠ Origen igual a destino",IF(AND(K69&lt;&gt;"",ISNA(MATCH(K69,ctaNombre,0))),"⚠ Destino no registrado",IF(AND(P69="Pago tarjeta",AE69&lt;&gt;"Tarjeta de crédito"),"⚠ El destino debe ser tarjeta de crédito",IF(AND(P69="Gasto",E69="Depósitos y retiros"),"⚠ Usa tipo Transferencia",IF(AND(P69="Resultado trading",AD69&lt;&gt;"Cuenta de trading"),"⚠ Usa una cuenta de trading",IF(AND(G69&lt;=0,P69&lt;&gt;"Ajuste",P69&lt;&gt;"Resultado trading"),"⚠ El monto debe ser positivo","✓")))))))))))))))</f>
        <v/>
      </c>
      <c r="P69" s="52">
        <f>IF(OR(B69="",G69=""),"",IF(C69="","Gasto",C69))</f>
        <v/>
      </c>
      <c r="Q69" s="52">
        <f>IF(P69="","",IF(J69&lt;&gt;"",J69,CuentaPred&amp;""))</f>
        <v/>
      </c>
      <c r="R69" s="52">
        <f>IF(P69="","",IF(ISNUMBER(I69),I69,TasaUSD))</f>
        <v/>
      </c>
      <c r="S69" s="53">
        <f>IF(P69="","",IF(H69="USD",G69*R69,G69))</f>
        <v/>
      </c>
      <c r="T69" s="53">
        <f>IF(P69="","",IF(H69="USD",G69,IF(R69&gt;0,G69/R69,0)))</f>
        <v/>
      </c>
      <c r="U69" s="53">
        <f>IF(P69="","",IF(P69="Gasto",S69,IF(P69="Reembolso",-S69,0)))</f>
        <v/>
      </c>
      <c r="V69" s="53">
        <f>IF(P69="","",IF(P69="Ingreso",S69,0))</f>
        <v/>
      </c>
      <c r="W69" s="53">
        <f>IF(P69="","",IF(P69="Resultado trading",S69,0))</f>
        <v/>
      </c>
      <c r="X69" s="52">
        <f>IF(OR(P69="Gasto",P69="Reembolso"),IF(M69&lt;&gt;"",M69,IFERROR(INDEX(catClasif,MATCH(D69&amp;"|"&amp;E69,catClave,0))&amp;"","Variable")),"")</f>
        <v/>
      </c>
      <c r="Y69" s="52">
        <f>IF(P69="","",IFERROR(INDEX(catGrupo,MATCH(D69&amp;"|"&amp;E69,catClave,0))&amp;"",""))</f>
        <v/>
      </c>
      <c r="Z69" s="52">
        <f>IF(P69="","",WEEKDAY(B69,2))</f>
        <v/>
      </c>
      <c r="AA69" s="52">
        <f>IF(P69="","",IF(AND(P69="Gasto",X69="Variable",D69&lt;&gt;catTrading,S69&gt;0,S69&lt;=Umbral),1,0))</f>
        <v/>
      </c>
      <c r="AB69" s="52">
        <f>IF(OR(P69="",Q69=""),"",IFERROR(IF(INDEX(ctaVinc,MATCH(Q69,ctaNombre,0))&amp;""&lt;&gt;"",INDEX(ctaVinc,MATCH(Q69,ctaNombre,0))&amp;"",Q69),Q69))</f>
        <v/>
      </c>
      <c r="AC69" s="52">
        <f>IF(OR(K69="",AND(P69&lt;&gt;"Transferencia",P69&lt;&gt;"Pago tarjeta")),"",IFERROR(IF(INDEX(ctaVinc,MATCH(K69,ctaNombre,0))&amp;""&lt;&gt;"",INDEX(ctaVinc,MATCH(K69,ctaNombre,0))&amp;"",K69),K69))</f>
        <v/>
      </c>
      <c r="AD69" s="52">
        <f>IF(AB69="","",IFERROR(INDEX(ctaTipo,MATCH(AB69,ctaNombre,0))&amp;"",""))</f>
        <v/>
      </c>
      <c r="AE69" s="52">
        <f>IF(AC69="","",IFERROR(INDEX(ctaTipo,MATCH(AC69,ctaNombre,0))&amp;"",""))</f>
        <v/>
      </c>
      <c r="AF69" s="53">
        <f>IF(OR(P69="",AB69=""),"",IF(OR(P69="Gasto",P69="Transferencia",P69="Pago tarjeta"),-1,1)*IF(IFERROR(INDEX(ctaMoneda,MATCH(AB69,ctaNombre,0))&amp;"","DOP")="USD",T69,S69))</f>
        <v/>
      </c>
      <c r="AG69" s="53">
        <f>IF(AC69="","",IF(IFERROR(INDEX(ctaMoneda,MATCH(AC69,ctaNombre,0))&amp;"","DOP")="USD",T69,S69))</f>
        <v/>
      </c>
      <c r="AH69" s="53">
        <f>IF(P69="","",IF(AND(AD69&lt;&gt;"",COUNTIFS(tcTipo,AD69,tcLiq,"Sí")&gt;0),IF(OR(P69="Gasto",P69="Transferencia",P69="Pago tarjeta"),-1,1)*S69,0)+IF(AND(AE69&lt;&gt;"",COUNTIFS(tcTipo,AE69,tcLiq,"Sí")&gt;0),S69,0))</f>
        <v/>
      </c>
      <c r="AI69" s="52">
        <f>IF(OR(L69="",P69=""),"",IF(COUNTIFS(L$6:L69,L69,P$6:P69,"?*")=1,MAX(AI$5:AI68)+1,""))</f>
        <v/>
      </c>
    </row>
    <row r="70">
      <c r="B70" s="47" t="n">
        <v>46262</v>
      </c>
      <c r="C70" s="48" t="inlineStr">
        <is>
          <t>Gasto</t>
        </is>
      </c>
      <c r="D70" s="48" t="inlineStr">
        <is>
          <t>Alimentación</t>
        </is>
      </c>
      <c r="E70" s="48" t="inlineStr">
        <is>
          <t>Bebidas, snacks y otros consumos</t>
        </is>
      </c>
      <c r="F70" s="48" t="inlineStr">
        <is>
          <t>DEMO · Jugo y galletas</t>
        </is>
      </c>
      <c r="G70" s="49" t="n">
        <v>120</v>
      </c>
      <c r="H70" s="48" t="inlineStr">
        <is>
          <t>DOP</t>
        </is>
      </c>
      <c r="I70" s="50" t="n"/>
      <c r="J70" s="48" t="inlineStr">
        <is>
          <t>Efectivo</t>
        </is>
      </c>
      <c r="K70" s="48" t="n"/>
      <c r="L70" s="48" t="inlineStr">
        <is>
          <t>Cafetería del trabajo</t>
        </is>
      </c>
      <c r="M70" s="48" t="n"/>
      <c r="N70" s="48" t="inlineStr">
        <is>
          <t>DEMOSTRACIÓN</t>
        </is>
      </c>
      <c r="O70" s="51">
        <f>IF(AND(B70="",G70="",C70="",D70="",J70=""),"",IF(B70="","⚠ Falta fecha",IF(G70="","⚠ Falta monto",IF(Q70="","⚠ Falta cuenta",IF(ISNA(MATCH(Q70,ctaNombre,0)),"⚠ Cuenta no registrada",IF(AND(OR(P70="Gasto",P70="Reembolso"),D70=""),"⚠ Falta categoría",IF(AND(D70&lt;&gt;"",E70&lt;&gt;"",ISNA(MATCH(D70&amp;"|"&amp;E70,catClave,0))),"⚠ Subcategoría no corresponde",IF(AND(OR(P70="Transferencia",P70="Pago tarjeta"),K70=""),"⚠ Falta cuenta destino",IF(AND(K70&lt;&gt;"",P70&lt;&gt;"Transferencia",P70&lt;&gt;"Pago tarjeta"),"⚠ Destino solo aplica a transferencias",IF(AND(K70&lt;&gt;"",K70=Q70),"⚠ Origen igual a destino",IF(AND(K70&lt;&gt;"",ISNA(MATCH(K70,ctaNombre,0))),"⚠ Destino no registrado",IF(AND(P70="Pago tarjeta",AE70&lt;&gt;"Tarjeta de crédito"),"⚠ El destino debe ser tarjeta de crédito",IF(AND(P70="Gasto",E70="Depósitos y retiros"),"⚠ Usa tipo Transferencia",IF(AND(P70="Resultado trading",AD70&lt;&gt;"Cuenta de trading"),"⚠ Usa una cuenta de trading",IF(AND(G70&lt;=0,P70&lt;&gt;"Ajuste",P70&lt;&gt;"Resultado trading"),"⚠ El monto debe ser positivo","✓")))))))))))))))</f>
        <v/>
      </c>
      <c r="P70" s="52">
        <f>IF(OR(B70="",G70=""),"",IF(C70="","Gasto",C70))</f>
        <v/>
      </c>
      <c r="Q70" s="52">
        <f>IF(P70="","",IF(J70&lt;&gt;"",J70,CuentaPred&amp;""))</f>
        <v/>
      </c>
      <c r="R70" s="52">
        <f>IF(P70="","",IF(ISNUMBER(I70),I70,TasaUSD))</f>
        <v/>
      </c>
      <c r="S70" s="53">
        <f>IF(P70="","",IF(H70="USD",G70*R70,G70))</f>
        <v/>
      </c>
      <c r="T70" s="53">
        <f>IF(P70="","",IF(H70="USD",G70,IF(R70&gt;0,G70/R70,0)))</f>
        <v/>
      </c>
      <c r="U70" s="53">
        <f>IF(P70="","",IF(P70="Gasto",S70,IF(P70="Reembolso",-S70,0)))</f>
        <v/>
      </c>
      <c r="V70" s="53">
        <f>IF(P70="","",IF(P70="Ingreso",S70,0))</f>
        <v/>
      </c>
      <c r="W70" s="53">
        <f>IF(P70="","",IF(P70="Resultado trading",S70,0))</f>
        <v/>
      </c>
      <c r="X70" s="52">
        <f>IF(OR(P70="Gasto",P70="Reembolso"),IF(M70&lt;&gt;"",M70,IFERROR(INDEX(catClasif,MATCH(D70&amp;"|"&amp;E70,catClave,0))&amp;"","Variable")),"")</f>
        <v/>
      </c>
      <c r="Y70" s="52">
        <f>IF(P70="","",IFERROR(INDEX(catGrupo,MATCH(D70&amp;"|"&amp;E70,catClave,0))&amp;"",""))</f>
        <v/>
      </c>
      <c r="Z70" s="52">
        <f>IF(P70="","",WEEKDAY(B70,2))</f>
        <v/>
      </c>
      <c r="AA70" s="52">
        <f>IF(P70="","",IF(AND(P70="Gasto",X70="Variable",D70&lt;&gt;catTrading,S70&gt;0,S70&lt;=Umbral),1,0))</f>
        <v/>
      </c>
      <c r="AB70" s="52">
        <f>IF(OR(P70="",Q70=""),"",IFERROR(IF(INDEX(ctaVinc,MATCH(Q70,ctaNombre,0))&amp;""&lt;&gt;"",INDEX(ctaVinc,MATCH(Q70,ctaNombre,0))&amp;"",Q70),Q70))</f>
        <v/>
      </c>
      <c r="AC70" s="52">
        <f>IF(OR(K70="",AND(P70&lt;&gt;"Transferencia",P70&lt;&gt;"Pago tarjeta")),"",IFERROR(IF(INDEX(ctaVinc,MATCH(K70,ctaNombre,0))&amp;""&lt;&gt;"",INDEX(ctaVinc,MATCH(K70,ctaNombre,0))&amp;"",K70),K70))</f>
        <v/>
      </c>
      <c r="AD70" s="52">
        <f>IF(AB70="","",IFERROR(INDEX(ctaTipo,MATCH(AB70,ctaNombre,0))&amp;"",""))</f>
        <v/>
      </c>
      <c r="AE70" s="52">
        <f>IF(AC70="","",IFERROR(INDEX(ctaTipo,MATCH(AC70,ctaNombre,0))&amp;"",""))</f>
        <v/>
      </c>
      <c r="AF70" s="53">
        <f>IF(OR(P70="",AB70=""),"",IF(OR(P70="Gasto",P70="Transferencia",P70="Pago tarjeta"),-1,1)*IF(IFERROR(INDEX(ctaMoneda,MATCH(AB70,ctaNombre,0))&amp;"","DOP")="USD",T70,S70))</f>
        <v/>
      </c>
      <c r="AG70" s="53">
        <f>IF(AC70="","",IF(IFERROR(INDEX(ctaMoneda,MATCH(AC70,ctaNombre,0))&amp;"","DOP")="USD",T70,S70))</f>
        <v/>
      </c>
      <c r="AH70" s="53">
        <f>IF(P70="","",IF(AND(AD70&lt;&gt;"",COUNTIFS(tcTipo,AD70,tcLiq,"Sí")&gt;0),IF(OR(P70="Gasto",P70="Transferencia",P70="Pago tarjeta"),-1,1)*S70,0)+IF(AND(AE70&lt;&gt;"",COUNTIFS(tcTipo,AE70,tcLiq,"Sí")&gt;0),S70,0))</f>
        <v/>
      </c>
      <c r="AI70" s="52">
        <f>IF(OR(L70="",P70=""),"",IF(COUNTIFS(L$6:L70,L70,P$6:P70,"?*")=1,MAX(AI$5:AI69)+1,""))</f>
        <v/>
      </c>
    </row>
    <row r="71">
      <c r="B71" s="47" t="n">
        <v>46262</v>
      </c>
      <c r="C71" s="48" t="inlineStr">
        <is>
          <t>Gasto</t>
        </is>
      </c>
      <c r="D71" s="48" t="inlineStr">
        <is>
          <t>Alimentación</t>
        </is>
      </c>
      <c r="E71" s="48" t="inlineStr">
        <is>
          <t>Delivery</t>
        </is>
      </c>
      <c r="F71" s="48" t="inlineStr">
        <is>
          <t>DEMO · Pedido a domicilio</t>
        </is>
      </c>
      <c r="G71" s="49" t="n">
        <v>850</v>
      </c>
      <c r="H71" s="48" t="inlineStr">
        <is>
          <t>DOP</t>
        </is>
      </c>
      <c r="I71" s="50" t="n"/>
      <c r="J71" s="48" t="inlineStr">
        <is>
          <t>Tarjeta de crédito</t>
        </is>
      </c>
      <c r="K71" s="48" t="n"/>
      <c r="L71" s="48" t="inlineStr">
        <is>
          <t>App de delivery</t>
        </is>
      </c>
      <c r="M71" s="48" t="n"/>
      <c r="N71" s="48" t="inlineStr">
        <is>
          <t>DEMOSTRACIÓN</t>
        </is>
      </c>
      <c r="O71" s="51">
        <f>IF(AND(B71="",G71="",C71="",D71="",J71=""),"",IF(B71="","⚠ Falta fecha",IF(G71="","⚠ Falta monto",IF(Q71="","⚠ Falta cuenta",IF(ISNA(MATCH(Q71,ctaNombre,0)),"⚠ Cuenta no registrada",IF(AND(OR(P71="Gasto",P71="Reembolso"),D71=""),"⚠ Falta categoría",IF(AND(D71&lt;&gt;"",E71&lt;&gt;"",ISNA(MATCH(D71&amp;"|"&amp;E71,catClave,0))),"⚠ Subcategoría no corresponde",IF(AND(OR(P71="Transferencia",P71="Pago tarjeta"),K71=""),"⚠ Falta cuenta destino",IF(AND(K71&lt;&gt;"",P71&lt;&gt;"Transferencia",P71&lt;&gt;"Pago tarjeta"),"⚠ Destino solo aplica a transferencias",IF(AND(K71&lt;&gt;"",K71=Q71),"⚠ Origen igual a destino",IF(AND(K71&lt;&gt;"",ISNA(MATCH(K71,ctaNombre,0))),"⚠ Destino no registrado",IF(AND(P71="Pago tarjeta",AE71&lt;&gt;"Tarjeta de crédito"),"⚠ El destino debe ser tarjeta de crédito",IF(AND(P71="Gasto",E71="Depósitos y retiros"),"⚠ Usa tipo Transferencia",IF(AND(P71="Resultado trading",AD71&lt;&gt;"Cuenta de trading"),"⚠ Usa una cuenta de trading",IF(AND(G71&lt;=0,P71&lt;&gt;"Ajuste",P71&lt;&gt;"Resultado trading"),"⚠ El monto debe ser positivo","✓")))))))))))))))</f>
        <v/>
      </c>
      <c r="P71" s="52">
        <f>IF(OR(B71="",G71=""),"",IF(C71="","Gasto",C71))</f>
        <v/>
      </c>
      <c r="Q71" s="52">
        <f>IF(P71="","",IF(J71&lt;&gt;"",J71,CuentaPred&amp;""))</f>
        <v/>
      </c>
      <c r="R71" s="52">
        <f>IF(P71="","",IF(ISNUMBER(I71),I71,TasaUSD))</f>
        <v/>
      </c>
      <c r="S71" s="53">
        <f>IF(P71="","",IF(H71="USD",G71*R71,G71))</f>
        <v/>
      </c>
      <c r="T71" s="53">
        <f>IF(P71="","",IF(H71="USD",G71,IF(R71&gt;0,G71/R71,0)))</f>
        <v/>
      </c>
      <c r="U71" s="53">
        <f>IF(P71="","",IF(P71="Gasto",S71,IF(P71="Reembolso",-S71,0)))</f>
        <v/>
      </c>
      <c r="V71" s="53">
        <f>IF(P71="","",IF(P71="Ingreso",S71,0))</f>
        <v/>
      </c>
      <c r="W71" s="53">
        <f>IF(P71="","",IF(P71="Resultado trading",S71,0))</f>
        <v/>
      </c>
      <c r="X71" s="52">
        <f>IF(OR(P71="Gasto",P71="Reembolso"),IF(M71&lt;&gt;"",M71,IFERROR(INDEX(catClasif,MATCH(D71&amp;"|"&amp;E71,catClave,0))&amp;"","Variable")),"")</f>
        <v/>
      </c>
      <c r="Y71" s="52">
        <f>IF(P71="","",IFERROR(INDEX(catGrupo,MATCH(D71&amp;"|"&amp;E71,catClave,0))&amp;"",""))</f>
        <v/>
      </c>
      <c r="Z71" s="52">
        <f>IF(P71="","",WEEKDAY(B71,2))</f>
        <v/>
      </c>
      <c r="AA71" s="52">
        <f>IF(P71="","",IF(AND(P71="Gasto",X71="Variable",D71&lt;&gt;catTrading,S71&gt;0,S71&lt;=Umbral),1,0))</f>
        <v/>
      </c>
      <c r="AB71" s="52">
        <f>IF(OR(P71="",Q71=""),"",IFERROR(IF(INDEX(ctaVinc,MATCH(Q71,ctaNombre,0))&amp;""&lt;&gt;"",INDEX(ctaVinc,MATCH(Q71,ctaNombre,0))&amp;"",Q71),Q71))</f>
        <v/>
      </c>
      <c r="AC71" s="52">
        <f>IF(OR(K71="",AND(P71&lt;&gt;"Transferencia",P71&lt;&gt;"Pago tarjeta")),"",IFERROR(IF(INDEX(ctaVinc,MATCH(K71,ctaNombre,0))&amp;""&lt;&gt;"",INDEX(ctaVinc,MATCH(K71,ctaNombre,0))&amp;"",K71),K71))</f>
        <v/>
      </c>
      <c r="AD71" s="52">
        <f>IF(AB71="","",IFERROR(INDEX(ctaTipo,MATCH(AB71,ctaNombre,0))&amp;"",""))</f>
        <v/>
      </c>
      <c r="AE71" s="52">
        <f>IF(AC71="","",IFERROR(INDEX(ctaTipo,MATCH(AC71,ctaNombre,0))&amp;"",""))</f>
        <v/>
      </c>
      <c r="AF71" s="53">
        <f>IF(OR(P71="",AB71=""),"",IF(OR(P71="Gasto",P71="Transferencia",P71="Pago tarjeta"),-1,1)*IF(IFERROR(INDEX(ctaMoneda,MATCH(AB71,ctaNombre,0))&amp;"","DOP")="USD",T71,S71))</f>
        <v/>
      </c>
      <c r="AG71" s="53">
        <f>IF(AC71="","",IF(IFERROR(INDEX(ctaMoneda,MATCH(AC71,ctaNombre,0))&amp;"","DOP")="USD",T71,S71))</f>
        <v/>
      </c>
      <c r="AH71" s="53">
        <f>IF(P71="","",IF(AND(AD71&lt;&gt;"",COUNTIFS(tcTipo,AD71,tcLiq,"Sí")&gt;0),IF(OR(P71="Gasto",P71="Transferencia",P71="Pago tarjeta"),-1,1)*S71,0)+IF(AND(AE71&lt;&gt;"",COUNTIFS(tcTipo,AE71,tcLiq,"Sí")&gt;0),S71,0))</f>
        <v/>
      </c>
      <c r="AI71" s="52">
        <f>IF(OR(L71="",P71=""),"",IF(COUNTIFS(L$6:L71,L71,P$6:P71,"?*")=1,MAX(AI$5:AI70)+1,""))</f>
        <v/>
      </c>
    </row>
    <row r="72">
      <c r="B72" s="47" t="n">
        <v>46264</v>
      </c>
      <c r="C72" s="48" t="inlineStr">
        <is>
          <t>Gasto</t>
        </is>
      </c>
      <c r="D72" s="48" t="inlineStr">
        <is>
          <t>Alimentación</t>
        </is>
      </c>
      <c r="E72" s="48" t="inlineStr">
        <is>
          <t>Ingredientes para cocinar</t>
        </is>
      </c>
      <c r="F72" s="48" t="inlineStr">
        <is>
          <t>DEMO · Vegetales, carne y víveres</t>
        </is>
      </c>
      <c r="G72" s="49" t="n">
        <v>575</v>
      </c>
      <c r="H72" s="48" t="inlineStr">
        <is>
          <t>DOP</t>
        </is>
      </c>
      <c r="I72" s="50" t="n"/>
      <c r="J72" s="48" t="inlineStr">
        <is>
          <t>Efectivo</t>
        </is>
      </c>
      <c r="K72" s="48" t="n"/>
      <c r="L72" s="48" t="inlineStr">
        <is>
          <t>Mercado del barrio</t>
        </is>
      </c>
      <c r="M72" s="48" t="n"/>
      <c r="N72" s="48" t="inlineStr">
        <is>
          <t>DEMOSTRACIÓN</t>
        </is>
      </c>
      <c r="O72" s="51">
        <f>IF(AND(B72="",G72="",C72="",D72="",J72=""),"",IF(B72="","⚠ Falta fecha",IF(G72="","⚠ Falta monto",IF(Q72="","⚠ Falta cuenta",IF(ISNA(MATCH(Q72,ctaNombre,0)),"⚠ Cuenta no registrada",IF(AND(OR(P72="Gasto",P72="Reembolso"),D72=""),"⚠ Falta categoría",IF(AND(D72&lt;&gt;"",E72&lt;&gt;"",ISNA(MATCH(D72&amp;"|"&amp;E72,catClave,0))),"⚠ Subcategoría no corresponde",IF(AND(OR(P72="Transferencia",P72="Pago tarjeta"),K72=""),"⚠ Falta cuenta destino",IF(AND(K72&lt;&gt;"",P72&lt;&gt;"Transferencia",P72&lt;&gt;"Pago tarjeta"),"⚠ Destino solo aplica a transferencias",IF(AND(K72&lt;&gt;"",K72=Q72),"⚠ Origen igual a destino",IF(AND(K72&lt;&gt;"",ISNA(MATCH(K72,ctaNombre,0))),"⚠ Destino no registrado",IF(AND(P72="Pago tarjeta",AE72&lt;&gt;"Tarjeta de crédito"),"⚠ El destino debe ser tarjeta de crédito",IF(AND(P72="Gasto",E72="Depósitos y retiros"),"⚠ Usa tipo Transferencia",IF(AND(P72="Resultado trading",AD72&lt;&gt;"Cuenta de trading"),"⚠ Usa una cuenta de trading",IF(AND(G72&lt;=0,P72&lt;&gt;"Ajuste",P72&lt;&gt;"Resultado trading"),"⚠ El monto debe ser positivo","✓")))))))))))))))</f>
        <v/>
      </c>
      <c r="P72" s="52">
        <f>IF(OR(B72="",G72=""),"",IF(C72="","Gasto",C72))</f>
        <v/>
      </c>
      <c r="Q72" s="52">
        <f>IF(P72="","",IF(J72&lt;&gt;"",J72,CuentaPred&amp;""))</f>
        <v/>
      </c>
      <c r="R72" s="52">
        <f>IF(P72="","",IF(ISNUMBER(I72),I72,TasaUSD))</f>
        <v/>
      </c>
      <c r="S72" s="53">
        <f>IF(P72="","",IF(H72="USD",G72*R72,G72))</f>
        <v/>
      </c>
      <c r="T72" s="53">
        <f>IF(P72="","",IF(H72="USD",G72,IF(R72&gt;0,G72/R72,0)))</f>
        <v/>
      </c>
      <c r="U72" s="53">
        <f>IF(P72="","",IF(P72="Gasto",S72,IF(P72="Reembolso",-S72,0)))</f>
        <v/>
      </c>
      <c r="V72" s="53">
        <f>IF(P72="","",IF(P72="Ingreso",S72,0))</f>
        <v/>
      </c>
      <c r="W72" s="53">
        <f>IF(P72="","",IF(P72="Resultado trading",S72,0))</f>
        <v/>
      </c>
      <c r="X72" s="52">
        <f>IF(OR(P72="Gasto",P72="Reembolso"),IF(M72&lt;&gt;"",M72,IFERROR(INDEX(catClasif,MATCH(D72&amp;"|"&amp;E72,catClave,0))&amp;"","Variable")),"")</f>
        <v/>
      </c>
      <c r="Y72" s="52">
        <f>IF(P72="","",IFERROR(INDEX(catGrupo,MATCH(D72&amp;"|"&amp;E72,catClave,0))&amp;"",""))</f>
        <v/>
      </c>
      <c r="Z72" s="52">
        <f>IF(P72="","",WEEKDAY(B72,2))</f>
        <v/>
      </c>
      <c r="AA72" s="52">
        <f>IF(P72="","",IF(AND(P72="Gasto",X72="Variable",D72&lt;&gt;catTrading,S72&gt;0,S72&lt;=Umbral),1,0))</f>
        <v/>
      </c>
      <c r="AB72" s="52">
        <f>IF(OR(P72="",Q72=""),"",IFERROR(IF(INDEX(ctaVinc,MATCH(Q72,ctaNombre,0))&amp;""&lt;&gt;"",INDEX(ctaVinc,MATCH(Q72,ctaNombre,0))&amp;"",Q72),Q72))</f>
        <v/>
      </c>
      <c r="AC72" s="52">
        <f>IF(OR(K72="",AND(P72&lt;&gt;"Transferencia",P72&lt;&gt;"Pago tarjeta")),"",IFERROR(IF(INDEX(ctaVinc,MATCH(K72,ctaNombre,0))&amp;""&lt;&gt;"",INDEX(ctaVinc,MATCH(K72,ctaNombre,0))&amp;"",K72),K72))</f>
        <v/>
      </c>
      <c r="AD72" s="52">
        <f>IF(AB72="","",IFERROR(INDEX(ctaTipo,MATCH(AB72,ctaNombre,0))&amp;"",""))</f>
        <v/>
      </c>
      <c r="AE72" s="52">
        <f>IF(AC72="","",IFERROR(INDEX(ctaTipo,MATCH(AC72,ctaNombre,0))&amp;"",""))</f>
        <v/>
      </c>
      <c r="AF72" s="53">
        <f>IF(OR(P72="",AB72=""),"",IF(OR(P72="Gasto",P72="Transferencia",P72="Pago tarjeta"),-1,1)*IF(IFERROR(INDEX(ctaMoneda,MATCH(AB72,ctaNombre,0))&amp;"","DOP")="USD",T72,S72))</f>
        <v/>
      </c>
      <c r="AG72" s="53">
        <f>IF(AC72="","",IF(IFERROR(INDEX(ctaMoneda,MATCH(AC72,ctaNombre,0))&amp;"","DOP")="USD",T72,S72))</f>
        <v/>
      </c>
      <c r="AH72" s="53">
        <f>IF(P72="","",IF(AND(AD72&lt;&gt;"",COUNTIFS(tcTipo,AD72,tcLiq,"Sí")&gt;0),IF(OR(P72="Gasto",P72="Transferencia",P72="Pago tarjeta"),-1,1)*S72,0)+IF(AND(AE72&lt;&gt;"",COUNTIFS(tcTipo,AE72,tcLiq,"Sí")&gt;0),S72,0))</f>
        <v/>
      </c>
      <c r="AI72" s="52">
        <f>IF(OR(L72="",P72=""),"",IF(COUNTIFS(L$6:L72,L72,P$6:P72,"?*")=1,MAX(AI$5:AI71)+1,""))</f>
        <v/>
      </c>
    </row>
    <row r="73">
      <c r="B73" s="47" t="n">
        <v>46264</v>
      </c>
      <c r="C73" s="48" t="inlineStr">
        <is>
          <t>Ingreso</t>
        </is>
      </c>
      <c r="D73" s="48" t="inlineStr">
        <is>
          <t>Ingresos</t>
        </is>
      </c>
      <c r="E73" s="48" t="inlineStr">
        <is>
          <t>Salario</t>
        </is>
      </c>
      <c r="F73" s="48" t="inlineStr">
        <is>
          <t>DEMO · Salario quincenal (ficticio)</t>
        </is>
      </c>
      <c r="G73" s="49" t="n">
        <v>55000</v>
      </c>
      <c r="H73" s="48" t="inlineStr">
        <is>
          <t>DOP</t>
        </is>
      </c>
      <c r="I73" s="50" t="n"/>
      <c r="J73" s="48" t="inlineStr">
        <is>
          <t>Banco principal</t>
        </is>
      </c>
      <c r="K73" s="48" t="n"/>
      <c r="L73" s="48" t="n"/>
      <c r="M73" s="48" t="n"/>
      <c r="N73" s="48" t="inlineStr">
        <is>
          <t>DEMOSTRACIÓN</t>
        </is>
      </c>
      <c r="O73" s="51">
        <f>IF(AND(B73="",G73="",C73="",D73="",J73=""),"",IF(B73="","⚠ Falta fecha",IF(G73="","⚠ Falta monto",IF(Q73="","⚠ Falta cuenta",IF(ISNA(MATCH(Q73,ctaNombre,0)),"⚠ Cuenta no registrada",IF(AND(OR(P73="Gasto",P73="Reembolso"),D73=""),"⚠ Falta categoría",IF(AND(D73&lt;&gt;"",E73&lt;&gt;"",ISNA(MATCH(D73&amp;"|"&amp;E73,catClave,0))),"⚠ Subcategoría no corresponde",IF(AND(OR(P73="Transferencia",P73="Pago tarjeta"),K73=""),"⚠ Falta cuenta destino",IF(AND(K73&lt;&gt;"",P73&lt;&gt;"Transferencia",P73&lt;&gt;"Pago tarjeta"),"⚠ Destino solo aplica a transferencias",IF(AND(K73&lt;&gt;"",K73=Q73),"⚠ Origen igual a destino",IF(AND(K73&lt;&gt;"",ISNA(MATCH(K73,ctaNombre,0))),"⚠ Destino no registrado",IF(AND(P73="Pago tarjeta",AE73&lt;&gt;"Tarjeta de crédito"),"⚠ El destino debe ser tarjeta de crédito",IF(AND(P73="Gasto",E73="Depósitos y retiros"),"⚠ Usa tipo Transferencia",IF(AND(P73="Resultado trading",AD73&lt;&gt;"Cuenta de trading"),"⚠ Usa una cuenta de trading",IF(AND(G73&lt;=0,P73&lt;&gt;"Ajuste",P73&lt;&gt;"Resultado trading"),"⚠ El monto debe ser positivo","✓")))))))))))))))</f>
        <v/>
      </c>
      <c r="P73" s="52">
        <f>IF(OR(B73="",G73=""),"",IF(C73="","Gasto",C73))</f>
        <v/>
      </c>
      <c r="Q73" s="52">
        <f>IF(P73="","",IF(J73&lt;&gt;"",J73,CuentaPred&amp;""))</f>
        <v/>
      </c>
      <c r="R73" s="52">
        <f>IF(P73="","",IF(ISNUMBER(I73),I73,TasaUSD))</f>
        <v/>
      </c>
      <c r="S73" s="53">
        <f>IF(P73="","",IF(H73="USD",G73*R73,G73))</f>
        <v/>
      </c>
      <c r="T73" s="53">
        <f>IF(P73="","",IF(H73="USD",G73,IF(R73&gt;0,G73/R73,0)))</f>
        <v/>
      </c>
      <c r="U73" s="53">
        <f>IF(P73="","",IF(P73="Gasto",S73,IF(P73="Reembolso",-S73,0)))</f>
        <v/>
      </c>
      <c r="V73" s="53">
        <f>IF(P73="","",IF(P73="Ingreso",S73,0))</f>
        <v/>
      </c>
      <c r="W73" s="53">
        <f>IF(P73="","",IF(P73="Resultado trading",S73,0))</f>
        <v/>
      </c>
      <c r="X73" s="52">
        <f>IF(OR(P73="Gasto",P73="Reembolso"),IF(M73&lt;&gt;"",M73,IFERROR(INDEX(catClasif,MATCH(D73&amp;"|"&amp;E73,catClave,0))&amp;"","Variable")),"")</f>
        <v/>
      </c>
      <c r="Y73" s="52">
        <f>IF(P73="","",IFERROR(INDEX(catGrupo,MATCH(D73&amp;"|"&amp;E73,catClave,0))&amp;"",""))</f>
        <v/>
      </c>
      <c r="Z73" s="52">
        <f>IF(P73="","",WEEKDAY(B73,2))</f>
        <v/>
      </c>
      <c r="AA73" s="52">
        <f>IF(P73="","",IF(AND(P73="Gasto",X73="Variable",D73&lt;&gt;catTrading,S73&gt;0,S73&lt;=Umbral),1,0))</f>
        <v/>
      </c>
      <c r="AB73" s="52">
        <f>IF(OR(P73="",Q73=""),"",IFERROR(IF(INDEX(ctaVinc,MATCH(Q73,ctaNombre,0))&amp;""&lt;&gt;"",INDEX(ctaVinc,MATCH(Q73,ctaNombre,0))&amp;"",Q73),Q73))</f>
        <v/>
      </c>
      <c r="AC73" s="52">
        <f>IF(OR(K73="",AND(P73&lt;&gt;"Transferencia",P73&lt;&gt;"Pago tarjeta")),"",IFERROR(IF(INDEX(ctaVinc,MATCH(K73,ctaNombre,0))&amp;""&lt;&gt;"",INDEX(ctaVinc,MATCH(K73,ctaNombre,0))&amp;"",K73),K73))</f>
        <v/>
      </c>
      <c r="AD73" s="52">
        <f>IF(AB73="","",IFERROR(INDEX(ctaTipo,MATCH(AB73,ctaNombre,0))&amp;"",""))</f>
        <v/>
      </c>
      <c r="AE73" s="52">
        <f>IF(AC73="","",IFERROR(INDEX(ctaTipo,MATCH(AC73,ctaNombre,0))&amp;"",""))</f>
        <v/>
      </c>
      <c r="AF73" s="53">
        <f>IF(OR(P73="",AB73=""),"",IF(OR(P73="Gasto",P73="Transferencia",P73="Pago tarjeta"),-1,1)*IF(IFERROR(INDEX(ctaMoneda,MATCH(AB73,ctaNombre,0))&amp;"","DOP")="USD",T73,S73))</f>
        <v/>
      </c>
      <c r="AG73" s="53">
        <f>IF(AC73="","",IF(IFERROR(INDEX(ctaMoneda,MATCH(AC73,ctaNombre,0))&amp;"","DOP")="USD",T73,S73))</f>
        <v/>
      </c>
      <c r="AH73" s="53">
        <f>IF(P73="","",IF(AND(AD73&lt;&gt;"",COUNTIFS(tcTipo,AD73,tcLiq,"Sí")&gt;0),IF(OR(P73="Gasto",P73="Transferencia",P73="Pago tarjeta"),-1,1)*S73,0)+IF(AND(AE73&lt;&gt;"",COUNTIFS(tcTipo,AE73,tcLiq,"Sí")&gt;0),S73,0))</f>
        <v/>
      </c>
      <c r="AI73" s="52">
        <f>IF(OR(L73="",P73=""),"",IF(COUNTIFS(L$6:L73,L73,P$6:P73,"?*")=1,MAX(AI$5:AI72)+1,""))</f>
        <v/>
      </c>
    </row>
    <row r="74">
      <c r="B74" s="47" t="n">
        <v>46265</v>
      </c>
      <c r="C74" s="48" t="inlineStr">
        <is>
          <t>Gasto</t>
        </is>
      </c>
      <c r="D74" s="48" t="inlineStr">
        <is>
          <t>Alimentación</t>
        </is>
      </c>
      <c r="E74" s="48" t="inlineStr">
        <is>
          <t>Desayunos comprados</t>
        </is>
      </c>
      <c r="F74" s="48" t="inlineStr">
        <is>
          <t>DEMO · Desayuno en la oficina</t>
        </is>
      </c>
      <c r="G74" s="49" t="n">
        <v>230</v>
      </c>
      <c r="H74" s="48" t="inlineStr">
        <is>
          <t>DOP</t>
        </is>
      </c>
      <c r="I74" s="50" t="n"/>
      <c r="J74" s="48" t="inlineStr">
        <is>
          <t>Efectivo</t>
        </is>
      </c>
      <c r="K74" s="48" t="n"/>
      <c r="L74" s="48" t="inlineStr">
        <is>
          <t>Cafetería del trabajo</t>
        </is>
      </c>
      <c r="M74" s="48" t="n"/>
      <c r="N74" s="48" t="inlineStr">
        <is>
          <t>DEMOSTRACIÓN</t>
        </is>
      </c>
      <c r="O74" s="51">
        <f>IF(AND(B74="",G74="",C74="",D74="",J74=""),"",IF(B74="","⚠ Falta fecha",IF(G74="","⚠ Falta monto",IF(Q74="","⚠ Falta cuenta",IF(ISNA(MATCH(Q74,ctaNombre,0)),"⚠ Cuenta no registrada",IF(AND(OR(P74="Gasto",P74="Reembolso"),D74=""),"⚠ Falta categoría",IF(AND(D74&lt;&gt;"",E74&lt;&gt;"",ISNA(MATCH(D74&amp;"|"&amp;E74,catClave,0))),"⚠ Subcategoría no corresponde",IF(AND(OR(P74="Transferencia",P74="Pago tarjeta"),K74=""),"⚠ Falta cuenta destino",IF(AND(K74&lt;&gt;"",P74&lt;&gt;"Transferencia",P74&lt;&gt;"Pago tarjeta"),"⚠ Destino solo aplica a transferencias",IF(AND(K74&lt;&gt;"",K74=Q74),"⚠ Origen igual a destino",IF(AND(K74&lt;&gt;"",ISNA(MATCH(K74,ctaNombre,0))),"⚠ Destino no registrado",IF(AND(P74="Pago tarjeta",AE74&lt;&gt;"Tarjeta de crédito"),"⚠ El destino debe ser tarjeta de crédito",IF(AND(P74="Gasto",E74="Depósitos y retiros"),"⚠ Usa tipo Transferencia",IF(AND(P74="Resultado trading",AD74&lt;&gt;"Cuenta de trading"),"⚠ Usa una cuenta de trading",IF(AND(G74&lt;=0,P74&lt;&gt;"Ajuste",P74&lt;&gt;"Resultado trading"),"⚠ El monto debe ser positivo","✓")))))))))))))))</f>
        <v/>
      </c>
      <c r="P74" s="52">
        <f>IF(OR(B74="",G74=""),"",IF(C74="","Gasto",C74))</f>
        <v/>
      </c>
      <c r="Q74" s="52">
        <f>IF(P74="","",IF(J74&lt;&gt;"",J74,CuentaPred&amp;""))</f>
        <v/>
      </c>
      <c r="R74" s="52">
        <f>IF(P74="","",IF(ISNUMBER(I74),I74,TasaUSD))</f>
        <v/>
      </c>
      <c r="S74" s="53">
        <f>IF(P74="","",IF(H74="USD",G74*R74,G74))</f>
        <v/>
      </c>
      <c r="T74" s="53">
        <f>IF(P74="","",IF(H74="USD",G74,IF(R74&gt;0,G74/R74,0)))</f>
        <v/>
      </c>
      <c r="U74" s="53">
        <f>IF(P74="","",IF(P74="Gasto",S74,IF(P74="Reembolso",-S74,0)))</f>
        <v/>
      </c>
      <c r="V74" s="53">
        <f>IF(P74="","",IF(P74="Ingreso",S74,0))</f>
        <v/>
      </c>
      <c r="W74" s="53">
        <f>IF(P74="","",IF(P74="Resultado trading",S74,0))</f>
        <v/>
      </c>
      <c r="X74" s="52">
        <f>IF(OR(P74="Gasto",P74="Reembolso"),IF(M74&lt;&gt;"",M74,IFERROR(INDEX(catClasif,MATCH(D74&amp;"|"&amp;E74,catClave,0))&amp;"","Variable")),"")</f>
        <v/>
      </c>
      <c r="Y74" s="52">
        <f>IF(P74="","",IFERROR(INDEX(catGrupo,MATCH(D74&amp;"|"&amp;E74,catClave,0))&amp;"",""))</f>
        <v/>
      </c>
      <c r="Z74" s="52">
        <f>IF(P74="","",WEEKDAY(B74,2))</f>
        <v/>
      </c>
      <c r="AA74" s="52">
        <f>IF(P74="","",IF(AND(P74="Gasto",X74="Variable",D74&lt;&gt;catTrading,S74&gt;0,S74&lt;=Umbral),1,0))</f>
        <v/>
      </c>
      <c r="AB74" s="52">
        <f>IF(OR(P74="",Q74=""),"",IFERROR(IF(INDEX(ctaVinc,MATCH(Q74,ctaNombre,0))&amp;""&lt;&gt;"",INDEX(ctaVinc,MATCH(Q74,ctaNombre,0))&amp;"",Q74),Q74))</f>
        <v/>
      </c>
      <c r="AC74" s="52">
        <f>IF(OR(K74="",AND(P74&lt;&gt;"Transferencia",P74&lt;&gt;"Pago tarjeta")),"",IFERROR(IF(INDEX(ctaVinc,MATCH(K74,ctaNombre,0))&amp;""&lt;&gt;"",INDEX(ctaVinc,MATCH(K74,ctaNombre,0))&amp;"",K74),K74))</f>
        <v/>
      </c>
      <c r="AD74" s="52">
        <f>IF(AB74="","",IFERROR(INDEX(ctaTipo,MATCH(AB74,ctaNombre,0))&amp;"",""))</f>
        <v/>
      </c>
      <c r="AE74" s="52">
        <f>IF(AC74="","",IFERROR(INDEX(ctaTipo,MATCH(AC74,ctaNombre,0))&amp;"",""))</f>
        <v/>
      </c>
      <c r="AF74" s="53">
        <f>IF(OR(P74="",AB74=""),"",IF(OR(P74="Gasto",P74="Transferencia",P74="Pago tarjeta"),-1,1)*IF(IFERROR(INDEX(ctaMoneda,MATCH(AB74,ctaNombre,0))&amp;"","DOP")="USD",T74,S74))</f>
        <v/>
      </c>
      <c r="AG74" s="53">
        <f>IF(AC74="","",IF(IFERROR(INDEX(ctaMoneda,MATCH(AC74,ctaNombre,0))&amp;"","DOP")="USD",T74,S74))</f>
        <v/>
      </c>
      <c r="AH74" s="53">
        <f>IF(P74="","",IF(AND(AD74&lt;&gt;"",COUNTIFS(tcTipo,AD74,tcLiq,"Sí")&gt;0),IF(OR(P74="Gasto",P74="Transferencia",P74="Pago tarjeta"),-1,1)*S74,0)+IF(AND(AE74&lt;&gt;"",COUNTIFS(tcTipo,AE74,tcLiq,"Sí")&gt;0),S74,0))</f>
        <v/>
      </c>
      <c r="AI74" s="52">
        <f>IF(OR(L74="",P74=""),"",IF(COUNTIFS(L$6:L74,L74,P$6:P74,"?*")=1,MAX(AI$5:AI73)+1,""))</f>
        <v/>
      </c>
    </row>
    <row r="75">
      <c r="B75" s="47" t="n">
        <v>46265</v>
      </c>
      <c r="C75" s="48" t="inlineStr">
        <is>
          <t>Gasto</t>
        </is>
      </c>
      <c r="D75" s="48" t="inlineStr">
        <is>
          <t>Alimentación</t>
        </is>
      </c>
      <c r="E75" s="48" t="inlineStr">
        <is>
          <t>Almuerzos laborales</t>
        </is>
      </c>
      <c r="F75" s="48" t="inlineStr">
        <is>
          <t>DEMO · Almuerzo laboral</t>
        </is>
      </c>
      <c r="G75" s="49" t="n">
        <v>500</v>
      </c>
      <c r="H75" s="48" t="inlineStr">
        <is>
          <t>DOP</t>
        </is>
      </c>
      <c r="I75" s="50" t="n"/>
      <c r="J75" s="48" t="inlineStr">
        <is>
          <t>Billetera digital</t>
        </is>
      </c>
      <c r="K75" s="48" t="n"/>
      <c r="L75" s="48" t="inlineStr">
        <is>
          <t>Comedor ejecutivo</t>
        </is>
      </c>
      <c r="M75" s="48" t="n"/>
      <c r="N75" s="48" t="inlineStr">
        <is>
          <t>DEMOSTRACIÓN</t>
        </is>
      </c>
      <c r="O75" s="51">
        <f>IF(AND(B75="",G75="",C75="",D75="",J75=""),"",IF(B75="","⚠ Falta fecha",IF(G75="","⚠ Falta monto",IF(Q75="","⚠ Falta cuenta",IF(ISNA(MATCH(Q75,ctaNombre,0)),"⚠ Cuenta no registrada",IF(AND(OR(P75="Gasto",P75="Reembolso"),D75=""),"⚠ Falta categoría",IF(AND(D75&lt;&gt;"",E75&lt;&gt;"",ISNA(MATCH(D75&amp;"|"&amp;E75,catClave,0))),"⚠ Subcategoría no corresponde",IF(AND(OR(P75="Transferencia",P75="Pago tarjeta"),K75=""),"⚠ Falta cuenta destino",IF(AND(K75&lt;&gt;"",P75&lt;&gt;"Transferencia",P75&lt;&gt;"Pago tarjeta"),"⚠ Destino solo aplica a transferencias",IF(AND(K75&lt;&gt;"",K75=Q75),"⚠ Origen igual a destino",IF(AND(K75&lt;&gt;"",ISNA(MATCH(K75,ctaNombre,0))),"⚠ Destino no registrado",IF(AND(P75="Pago tarjeta",AE75&lt;&gt;"Tarjeta de crédito"),"⚠ El destino debe ser tarjeta de crédito",IF(AND(P75="Gasto",E75="Depósitos y retiros"),"⚠ Usa tipo Transferencia",IF(AND(P75="Resultado trading",AD75&lt;&gt;"Cuenta de trading"),"⚠ Usa una cuenta de trading",IF(AND(G75&lt;=0,P75&lt;&gt;"Ajuste",P75&lt;&gt;"Resultado trading"),"⚠ El monto debe ser positivo","✓")))))))))))))))</f>
        <v/>
      </c>
      <c r="P75" s="52">
        <f>IF(OR(B75="",G75=""),"",IF(C75="","Gasto",C75))</f>
        <v/>
      </c>
      <c r="Q75" s="52">
        <f>IF(P75="","",IF(J75&lt;&gt;"",J75,CuentaPred&amp;""))</f>
        <v/>
      </c>
      <c r="R75" s="52">
        <f>IF(P75="","",IF(ISNUMBER(I75),I75,TasaUSD))</f>
        <v/>
      </c>
      <c r="S75" s="53">
        <f>IF(P75="","",IF(H75="USD",G75*R75,G75))</f>
        <v/>
      </c>
      <c r="T75" s="53">
        <f>IF(P75="","",IF(H75="USD",G75,IF(R75&gt;0,G75/R75,0)))</f>
        <v/>
      </c>
      <c r="U75" s="53">
        <f>IF(P75="","",IF(P75="Gasto",S75,IF(P75="Reembolso",-S75,0)))</f>
        <v/>
      </c>
      <c r="V75" s="53">
        <f>IF(P75="","",IF(P75="Ingreso",S75,0))</f>
        <v/>
      </c>
      <c r="W75" s="53">
        <f>IF(P75="","",IF(P75="Resultado trading",S75,0))</f>
        <v/>
      </c>
      <c r="X75" s="52">
        <f>IF(OR(P75="Gasto",P75="Reembolso"),IF(M75&lt;&gt;"",M75,IFERROR(INDEX(catClasif,MATCH(D75&amp;"|"&amp;E75,catClave,0))&amp;"","Variable")),"")</f>
        <v/>
      </c>
      <c r="Y75" s="52">
        <f>IF(P75="","",IFERROR(INDEX(catGrupo,MATCH(D75&amp;"|"&amp;E75,catClave,0))&amp;"",""))</f>
        <v/>
      </c>
      <c r="Z75" s="52">
        <f>IF(P75="","",WEEKDAY(B75,2))</f>
        <v/>
      </c>
      <c r="AA75" s="52">
        <f>IF(P75="","",IF(AND(P75="Gasto",X75="Variable",D75&lt;&gt;catTrading,S75&gt;0,S75&lt;=Umbral),1,0))</f>
        <v/>
      </c>
      <c r="AB75" s="52">
        <f>IF(OR(P75="",Q75=""),"",IFERROR(IF(INDEX(ctaVinc,MATCH(Q75,ctaNombre,0))&amp;""&lt;&gt;"",INDEX(ctaVinc,MATCH(Q75,ctaNombre,0))&amp;"",Q75),Q75))</f>
        <v/>
      </c>
      <c r="AC75" s="52">
        <f>IF(OR(K75="",AND(P75&lt;&gt;"Transferencia",P75&lt;&gt;"Pago tarjeta")),"",IFERROR(IF(INDEX(ctaVinc,MATCH(K75,ctaNombre,0))&amp;""&lt;&gt;"",INDEX(ctaVinc,MATCH(K75,ctaNombre,0))&amp;"",K75),K75))</f>
        <v/>
      </c>
      <c r="AD75" s="52">
        <f>IF(AB75="","",IFERROR(INDEX(ctaTipo,MATCH(AB75,ctaNombre,0))&amp;"",""))</f>
        <v/>
      </c>
      <c r="AE75" s="52">
        <f>IF(AC75="","",IFERROR(INDEX(ctaTipo,MATCH(AC75,ctaNombre,0))&amp;"",""))</f>
        <v/>
      </c>
      <c r="AF75" s="53">
        <f>IF(OR(P75="",AB75=""),"",IF(OR(P75="Gasto",P75="Transferencia",P75="Pago tarjeta"),-1,1)*IF(IFERROR(INDEX(ctaMoneda,MATCH(AB75,ctaNombre,0))&amp;"","DOP")="USD",T75,S75))</f>
        <v/>
      </c>
      <c r="AG75" s="53">
        <f>IF(AC75="","",IF(IFERROR(INDEX(ctaMoneda,MATCH(AC75,ctaNombre,0))&amp;"","DOP")="USD",T75,S75))</f>
        <v/>
      </c>
      <c r="AH75" s="53">
        <f>IF(P75="","",IF(AND(AD75&lt;&gt;"",COUNTIFS(tcTipo,AD75,tcLiq,"Sí")&gt;0),IF(OR(P75="Gasto",P75="Transferencia",P75="Pago tarjeta"),-1,1)*S75,0)+IF(AND(AE75&lt;&gt;"",COUNTIFS(tcTipo,AE75,tcLiq,"Sí")&gt;0),S75,0))</f>
        <v/>
      </c>
      <c r="AI75" s="52">
        <f>IF(OR(L75="",P75=""),"",IF(COUNTIFS(L$6:L75,L75,P$6:P75,"?*")=1,MAX(AI$5:AI74)+1,""))</f>
        <v/>
      </c>
    </row>
    <row r="76">
      <c r="B76" s="47" t="n">
        <v>46265</v>
      </c>
      <c r="C76" s="48" t="inlineStr">
        <is>
          <t>Gasto</t>
        </is>
      </c>
      <c r="D76" s="48" t="inlineStr">
        <is>
          <t>Transporte y vehículo</t>
        </is>
      </c>
      <c r="E76" s="48" t="inlineStr">
        <is>
          <t>Combustible</t>
        </is>
      </c>
      <c r="F76" s="48" t="inlineStr">
        <is>
          <t>DEMO · Combustible</t>
        </is>
      </c>
      <c r="G76" s="49" t="n">
        <v>2750</v>
      </c>
      <c r="H76" s="48" t="inlineStr">
        <is>
          <t>DOP</t>
        </is>
      </c>
      <c r="I76" s="50" t="n"/>
      <c r="J76" s="48" t="inlineStr">
        <is>
          <t>Tarjeta de crédito</t>
        </is>
      </c>
      <c r="K76" s="48" t="n"/>
      <c r="L76" s="48" t="inlineStr">
        <is>
          <t>Estación de combustible</t>
        </is>
      </c>
      <c r="M76" s="48" t="n"/>
      <c r="N76" s="48" t="inlineStr">
        <is>
          <t>DEMOSTRACIÓN</t>
        </is>
      </c>
      <c r="O76" s="51">
        <f>IF(AND(B76="",G76="",C76="",D76="",J76=""),"",IF(B76="","⚠ Falta fecha",IF(G76="","⚠ Falta monto",IF(Q76="","⚠ Falta cuenta",IF(ISNA(MATCH(Q76,ctaNombre,0)),"⚠ Cuenta no registrada",IF(AND(OR(P76="Gasto",P76="Reembolso"),D76=""),"⚠ Falta categoría",IF(AND(D76&lt;&gt;"",E76&lt;&gt;"",ISNA(MATCH(D76&amp;"|"&amp;E76,catClave,0))),"⚠ Subcategoría no corresponde",IF(AND(OR(P76="Transferencia",P76="Pago tarjeta"),K76=""),"⚠ Falta cuenta destino",IF(AND(K76&lt;&gt;"",P76&lt;&gt;"Transferencia",P76&lt;&gt;"Pago tarjeta"),"⚠ Destino solo aplica a transferencias",IF(AND(K76&lt;&gt;"",K76=Q76),"⚠ Origen igual a destino",IF(AND(K76&lt;&gt;"",ISNA(MATCH(K76,ctaNombre,0))),"⚠ Destino no registrado",IF(AND(P76="Pago tarjeta",AE76&lt;&gt;"Tarjeta de crédito"),"⚠ El destino debe ser tarjeta de crédito",IF(AND(P76="Gasto",E76="Depósitos y retiros"),"⚠ Usa tipo Transferencia",IF(AND(P76="Resultado trading",AD76&lt;&gt;"Cuenta de trading"),"⚠ Usa una cuenta de trading",IF(AND(G76&lt;=0,P76&lt;&gt;"Ajuste",P76&lt;&gt;"Resultado trading"),"⚠ El monto debe ser positivo","✓")))))))))))))))</f>
        <v/>
      </c>
      <c r="P76" s="52">
        <f>IF(OR(B76="",G76=""),"",IF(C76="","Gasto",C76))</f>
        <v/>
      </c>
      <c r="Q76" s="52">
        <f>IF(P76="","",IF(J76&lt;&gt;"",J76,CuentaPred&amp;""))</f>
        <v/>
      </c>
      <c r="R76" s="52">
        <f>IF(P76="","",IF(ISNUMBER(I76),I76,TasaUSD))</f>
        <v/>
      </c>
      <c r="S76" s="53">
        <f>IF(P76="","",IF(H76="USD",G76*R76,G76))</f>
        <v/>
      </c>
      <c r="T76" s="53">
        <f>IF(P76="","",IF(H76="USD",G76,IF(R76&gt;0,G76/R76,0)))</f>
        <v/>
      </c>
      <c r="U76" s="53">
        <f>IF(P76="","",IF(P76="Gasto",S76,IF(P76="Reembolso",-S76,0)))</f>
        <v/>
      </c>
      <c r="V76" s="53">
        <f>IF(P76="","",IF(P76="Ingreso",S76,0))</f>
        <v/>
      </c>
      <c r="W76" s="53">
        <f>IF(P76="","",IF(P76="Resultado trading",S76,0))</f>
        <v/>
      </c>
      <c r="X76" s="52">
        <f>IF(OR(P76="Gasto",P76="Reembolso"),IF(M76&lt;&gt;"",M76,IFERROR(INDEX(catClasif,MATCH(D76&amp;"|"&amp;E76,catClave,0))&amp;"","Variable")),"")</f>
        <v/>
      </c>
      <c r="Y76" s="52">
        <f>IF(P76="","",IFERROR(INDEX(catGrupo,MATCH(D76&amp;"|"&amp;E76,catClave,0))&amp;"",""))</f>
        <v/>
      </c>
      <c r="Z76" s="52">
        <f>IF(P76="","",WEEKDAY(B76,2))</f>
        <v/>
      </c>
      <c r="AA76" s="52">
        <f>IF(P76="","",IF(AND(P76="Gasto",X76="Variable",D76&lt;&gt;catTrading,S76&gt;0,S76&lt;=Umbral),1,0))</f>
        <v/>
      </c>
      <c r="AB76" s="52">
        <f>IF(OR(P76="",Q76=""),"",IFERROR(IF(INDEX(ctaVinc,MATCH(Q76,ctaNombre,0))&amp;""&lt;&gt;"",INDEX(ctaVinc,MATCH(Q76,ctaNombre,0))&amp;"",Q76),Q76))</f>
        <v/>
      </c>
      <c r="AC76" s="52">
        <f>IF(OR(K76="",AND(P76&lt;&gt;"Transferencia",P76&lt;&gt;"Pago tarjeta")),"",IFERROR(IF(INDEX(ctaVinc,MATCH(K76,ctaNombre,0))&amp;""&lt;&gt;"",INDEX(ctaVinc,MATCH(K76,ctaNombre,0))&amp;"",K76),K76))</f>
        <v/>
      </c>
      <c r="AD76" s="52">
        <f>IF(AB76="","",IFERROR(INDEX(ctaTipo,MATCH(AB76,ctaNombre,0))&amp;"",""))</f>
        <v/>
      </c>
      <c r="AE76" s="52">
        <f>IF(AC76="","",IFERROR(INDEX(ctaTipo,MATCH(AC76,ctaNombre,0))&amp;"",""))</f>
        <v/>
      </c>
      <c r="AF76" s="53">
        <f>IF(OR(P76="",AB76=""),"",IF(OR(P76="Gasto",P76="Transferencia",P76="Pago tarjeta"),-1,1)*IF(IFERROR(INDEX(ctaMoneda,MATCH(AB76,ctaNombre,0))&amp;"","DOP")="USD",T76,S76))</f>
        <v/>
      </c>
      <c r="AG76" s="53">
        <f>IF(AC76="","",IF(IFERROR(INDEX(ctaMoneda,MATCH(AC76,ctaNombre,0))&amp;"","DOP")="USD",T76,S76))</f>
        <v/>
      </c>
      <c r="AH76" s="53">
        <f>IF(P76="","",IF(AND(AD76&lt;&gt;"",COUNTIFS(tcTipo,AD76,tcLiq,"Sí")&gt;0),IF(OR(P76="Gasto",P76="Transferencia",P76="Pago tarjeta"),-1,1)*S76,0)+IF(AND(AE76&lt;&gt;"",COUNTIFS(tcTipo,AE76,tcLiq,"Sí")&gt;0),S76,0))</f>
        <v/>
      </c>
      <c r="AI76" s="52">
        <f>IF(OR(L76="",P76=""),"",IF(COUNTIFS(L$6:L76,L76,P$6:P76,"?*")=1,MAX(AI$5:AI75)+1,""))</f>
        <v/>
      </c>
    </row>
    <row r="77">
      <c r="B77" s="47" t="n">
        <v>46266</v>
      </c>
      <c r="C77" s="48" t="inlineStr">
        <is>
          <t>Gasto</t>
        </is>
      </c>
      <c r="D77" s="48" t="inlineStr">
        <is>
          <t>Alimentación</t>
        </is>
      </c>
      <c r="E77" s="48" t="inlineStr">
        <is>
          <t>Almuerzos laborales</t>
        </is>
      </c>
      <c r="F77" s="48" t="inlineStr">
        <is>
          <t>DEMO · Almuerzo laboral</t>
        </is>
      </c>
      <c r="G77" s="49" t="n">
        <v>550</v>
      </c>
      <c r="H77" s="48" t="inlineStr">
        <is>
          <t>DOP</t>
        </is>
      </c>
      <c r="I77" s="50" t="n"/>
      <c r="J77" s="48" t="inlineStr">
        <is>
          <t>Billetera digital</t>
        </is>
      </c>
      <c r="K77" s="48" t="n"/>
      <c r="L77" s="48" t="inlineStr">
        <is>
          <t>Comedor ejecutivo</t>
        </is>
      </c>
      <c r="M77" s="48" t="n"/>
      <c r="N77" s="48" t="inlineStr">
        <is>
          <t>DEMOSTRACIÓN</t>
        </is>
      </c>
      <c r="O77" s="51">
        <f>IF(AND(B77="",G77="",C77="",D77="",J77=""),"",IF(B77="","⚠ Falta fecha",IF(G77="","⚠ Falta monto",IF(Q77="","⚠ Falta cuenta",IF(ISNA(MATCH(Q77,ctaNombre,0)),"⚠ Cuenta no registrada",IF(AND(OR(P77="Gasto",P77="Reembolso"),D77=""),"⚠ Falta categoría",IF(AND(D77&lt;&gt;"",E77&lt;&gt;"",ISNA(MATCH(D77&amp;"|"&amp;E77,catClave,0))),"⚠ Subcategoría no corresponde",IF(AND(OR(P77="Transferencia",P77="Pago tarjeta"),K77=""),"⚠ Falta cuenta destino",IF(AND(K77&lt;&gt;"",P77&lt;&gt;"Transferencia",P77&lt;&gt;"Pago tarjeta"),"⚠ Destino solo aplica a transferencias",IF(AND(K77&lt;&gt;"",K77=Q77),"⚠ Origen igual a destino",IF(AND(K77&lt;&gt;"",ISNA(MATCH(K77,ctaNombre,0))),"⚠ Destino no registrado",IF(AND(P77="Pago tarjeta",AE77&lt;&gt;"Tarjeta de crédito"),"⚠ El destino debe ser tarjeta de crédito",IF(AND(P77="Gasto",E77="Depósitos y retiros"),"⚠ Usa tipo Transferencia",IF(AND(P77="Resultado trading",AD77&lt;&gt;"Cuenta de trading"),"⚠ Usa una cuenta de trading",IF(AND(G77&lt;=0,P77&lt;&gt;"Ajuste",P77&lt;&gt;"Resultado trading"),"⚠ El monto debe ser positivo","✓")))))))))))))))</f>
        <v/>
      </c>
      <c r="P77" s="52">
        <f>IF(OR(B77="",G77=""),"",IF(C77="","Gasto",C77))</f>
        <v/>
      </c>
      <c r="Q77" s="52">
        <f>IF(P77="","",IF(J77&lt;&gt;"",J77,CuentaPred&amp;""))</f>
        <v/>
      </c>
      <c r="R77" s="52">
        <f>IF(P77="","",IF(ISNUMBER(I77),I77,TasaUSD))</f>
        <v/>
      </c>
      <c r="S77" s="53">
        <f>IF(P77="","",IF(H77="USD",G77*R77,G77))</f>
        <v/>
      </c>
      <c r="T77" s="53">
        <f>IF(P77="","",IF(H77="USD",G77,IF(R77&gt;0,G77/R77,0)))</f>
        <v/>
      </c>
      <c r="U77" s="53">
        <f>IF(P77="","",IF(P77="Gasto",S77,IF(P77="Reembolso",-S77,0)))</f>
        <v/>
      </c>
      <c r="V77" s="53">
        <f>IF(P77="","",IF(P77="Ingreso",S77,0))</f>
        <v/>
      </c>
      <c r="W77" s="53">
        <f>IF(P77="","",IF(P77="Resultado trading",S77,0))</f>
        <v/>
      </c>
      <c r="X77" s="52">
        <f>IF(OR(P77="Gasto",P77="Reembolso"),IF(M77&lt;&gt;"",M77,IFERROR(INDEX(catClasif,MATCH(D77&amp;"|"&amp;E77,catClave,0))&amp;"","Variable")),"")</f>
        <v/>
      </c>
      <c r="Y77" s="52">
        <f>IF(P77="","",IFERROR(INDEX(catGrupo,MATCH(D77&amp;"|"&amp;E77,catClave,0))&amp;"",""))</f>
        <v/>
      </c>
      <c r="Z77" s="52">
        <f>IF(P77="","",WEEKDAY(B77,2))</f>
        <v/>
      </c>
      <c r="AA77" s="52">
        <f>IF(P77="","",IF(AND(P77="Gasto",X77="Variable",D77&lt;&gt;catTrading,S77&gt;0,S77&lt;=Umbral),1,0))</f>
        <v/>
      </c>
      <c r="AB77" s="52">
        <f>IF(OR(P77="",Q77=""),"",IFERROR(IF(INDEX(ctaVinc,MATCH(Q77,ctaNombre,0))&amp;""&lt;&gt;"",INDEX(ctaVinc,MATCH(Q77,ctaNombre,0))&amp;"",Q77),Q77))</f>
        <v/>
      </c>
      <c r="AC77" s="52">
        <f>IF(OR(K77="",AND(P77&lt;&gt;"Transferencia",P77&lt;&gt;"Pago tarjeta")),"",IFERROR(IF(INDEX(ctaVinc,MATCH(K77,ctaNombre,0))&amp;""&lt;&gt;"",INDEX(ctaVinc,MATCH(K77,ctaNombre,0))&amp;"",K77),K77))</f>
        <v/>
      </c>
      <c r="AD77" s="52">
        <f>IF(AB77="","",IFERROR(INDEX(ctaTipo,MATCH(AB77,ctaNombre,0))&amp;"",""))</f>
        <v/>
      </c>
      <c r="AE77" s="52">
        <f>IF(AC77="","",IFERROR(INDEX(ctaTipo,MATCH(AC77,ctaNombre,0))&amp;"",""))</f>
        <v/>
      </c>
      <c r="AF77" s="53">
        <f>IF(OR(P77="",AB77=""),"",IF(OR(P77="Gasto",P77="Transferencia",P77="Pago tarjeta"),-1,1)*IF(IFERROR(INDEX(ctaMoneda,MATCH(AB77,ctaNombre,0))&amp;"","DOP")="USD",T77,S77))</f>
        <v/>
      </c>
      <c r="AG77" s="53">
        <f>IF(AC77="","",IF(IFERROR(INDEX(ctaMoneda,MATCH(AC77,ctaNombre,0))&amp;"","DOP")="USD",T77,S77))</f>
        <v/>
      </c>
      <c r="AH77" s="53">
        <f>IF(P77="","",IF(AND(AD77&lt;&gt;"",COUNTIFS(tcTipo,AD77,tcLiq,"Sí")&gt;0),IF(OR(P77="Gasto",P77="Transferencia",P77="Pago tarjeta"),-1,1)*S77,0)+IF(AND(AE77&lt;&gt;"",COUNTIFS(tcTipo,AE77,tcLiq,"Sí")&gt;0),S77,0))</f>
        <v/>
      </c>
      <c r="AI77" s="52">
        <f>IF(OR(L77="",P77=""),"",IF(COUNTIFS(L$6:L77,L77,P$6:P77,"?*")=1,MAX(AI$5:AI76)+1,""))</f>
        <v/>
      </c>
    </row>
    <row r="78">
      <c r="B78" s="47" t="n">
        <v>46266</v>
      </c>
      <c r="C78" s="48" t="inlineStr">
        <is>
          <t>Transferencia</t>
        </is>
      </c>
      <c r="D78" s="48" t="n"/>
      <c r="E78" s="48" t="n"/>
      <c r="F78" s="48" t="inlineStr">
        <is>
          <t>DEMO · Retiro en cajero</t>
        </is>
      </c>
      <c r="G78" s="49" t="n">
        <v>5000</v>
      </c>
      <c r="H78" s="48" t="inlineStr">
        <is>
          <t>DOP</t>
        </is>
      </c>
      <c r="I78" s="50" t="n"/>
      <c r="J78" s="48" t="inlineStr">
        <is>
          <t>Banco principal</t>
        </is>
      </c>
      <c r="K78" s="48" t="inlineStr">
        <is>
          <t>Efectivo</t>
        </is>
      </c>
      <c r="L78" s="48" t="n"/>
      <c r="M78" s="48" t="n"/>
      <c r="N78" s="48" t="inlineStr">
        <is>
          <t>DEMOSTRACIÓN</t>
        </is>
      </c>
      <c r="O78" s="51">
        <f>IF(AND(B78="",G78="",C78="",D78="",J78=""),"",IF(B78="","⚠ Falta fecha",IF(G78="","⚠ Falta monto",IF(Q78="","⚠ Falta cuenta",IF(ISNA(MATCH(Q78,ctaNombre,0)),"⚠ Cuenta no registrada",IF(AND(OR(P78="Gasto",P78="Reembolso"),D78=""),"⚠ Falta categoría",IF(AND(D78&lt;&gt;"",E78&lt;&gt;"",ISNA(MATCH(D78&amp;"|"&amp;E78,catClave,0))),"⚠ Subcategoría no corresponde",IF(AND(OR(P78="Transferencia",P78="Pago tarjeta"),K78=""),"⚠ Falta cuenta destino",IF(AND(K78&lt;&gt;"",P78&lt;&gt;"Transferencia",P78&lt;&gt;"Pago tarjeta"),"⚠ Destino solo aplica a transferencias",IF(AND(K78&lt;&gt;"",K78=Q78),"⚠ Origen igual a destino",IF(AND(K78&lt;&gt;"",ISNA(MATCH(K78,ctaNombre,0))),"⚠ Destino no registrado",IF(AND(P78="Pago tarjeta",AE78&lt;&gt;"Tarjeta de crédito"),"⚠ El destino debe ser tarjeta de crédito",IF(AND(P78="Gasto",E78="Depósitos y retiros"),"⚠ Usa tipo Transferencia",IF(AND(P78="Resultado trading",AD78&lt;&gt;"Cuenta de trading"),"⚠ Usa una cuenta de trading",IF(AND(G78&lt;=0,P78&lt;&gt;"Ajuste",P78&lt;&gt;"Resultado trading"),"⚠ El monto debe ser positivo","✓")))))))))))))))</f>
        <v/>
      </c>
      <c r="P78" s="52">
        <f>IF(OR(B78="",G78=""),"",IF(C78="","Gasto",C78))</f>
        <v/>
      </c>
      <c r="Q78" s="52">
        <f>IF(P78="","",IF(J78&lt;&gt;"",J78,CuentaPred&amp;""))</f>
        <v/>
      </c>
      <c r="R78" s="52">
        <f>IF(P78="","",IF(ISNUMBER(I78),I78,TasaUSD))</f>
        <v/>
      </c>
      <c r="S78" s="53">
        <f>IF(P78="","",IF(H78="USD",G78*R78,G78))</f>
        <v/>
      </c>
      <c r="T78" s="53">
        <f>IF(P78="","",IF(H78="USD",G78,IF(R78&gt;0,G78/R78,0)))</f>
        <v/>
      </c>
      <c r="U78" s="53">
        <f>IF(P78="","",IF(P78="Gasto",S78,IF(P78="Reembolso",-S78,0)))</f>
        <v/>
      </c>
      <c r="V78" s="53">
        <f>IF(P78="","",IF(P78="Ingreso",S78,0))</f>
        <v/>
      </c>
      <c r="W78" s="53">
        <f>IF(P78="","",IF(P78="Resultado trading",S78,0))</f>
        <v/>
      </c>
      <c r="X78" s="52">
        <f>IF(OR(P78="Gasto",P78="Reembolso"),IF(M78&lt;&gt;"",M78,IFERROR(INDEX(catClasif,MATCH(D78&amp;"|"&amp;E78,catClave,0))&amp;"","Variable")),"")</f>
        <v/>
      </c>
      <c r="Y78" s="52">
        <f>IF(P78="","",IFERROR(INDEX(catGrupo,MATCH(D78&amp;"|"&amp;E78,catClave,0))&amp;"",""))</f>
        <v/>
      </c>
      <c r="Z78" s="52">
        <f>IF(P78="","",WEEKDAY(B78,2))</f>
        <v/>
      </c>
      <c r="AA78" s="52">
        <f>IF(P78="","",IF(AND(P78="Gasto",X78="Variable",D78&lt;&gt;catTrading,S78&gt;0,S78&lt;=Umbral),1,0))</f>
        <v/>
      </c>
      <c r="AB78" s="52">
        <f>IF(OR(P78="",Q78=""),"",IFERROR(IF(INDEX(ctaVinc,MATCH(Q78,ctaNombre,0))&amp;""&lt;&gt;"",INDEX(ctaVinc,MATCH(Q78,ctaNombre,0))&amp;"",Q78),Q78))</f>
        <v/>
      </c>
      <c r="AC78" s="52">
        <f>IF(OR(K78="",AND(P78&lt;&gt;"Transferencia",P78&lt;&gt;"Pago tarjeta")),"",IFERROR(IF(INDEX(ctaVinc,MATCH(K78,ctaNombre,0))&amp;""&lt;&gt;"",INDEX(ctaVinc,MATCH(K78,ctaNombre,0))&amp;"",K78),K78))</f>
        <v/>
      </c>
      <c r="AD78" s="52">
        <f>IF(AB78="","",IFERROR(INDEX(ctaTipo,MATCH(AB78,ctaNombre,0))&amp;"",""))</f>
        <v/>
      </c>
      <c r="AE78" s="52">
        <f>IF(AC78="","",IFERROR(INDEX(ctaTipo,MATCH(AC78,ctaNombre,0))&amp;"",""))</f>
        <v/>
      </c>
      <c r="AF78" s="53">
        <f>IF(OR(P78="",AB78=""),"",IF(OR(P78="Gasto",P78="Transferencia",P78="Pago tarjeta"),-1,1)*IF(IFERROR(INDEX(ctaMoneda,MATCH(AB78,ctaNombre,0))&amp;"","DOP")="USD",T78,S78))</f>
        <v/>
      </c>
      <c r="AG78" s="53">
        <f>IF(AC78="","",IF(IFERROR(INDEX(ctaMoneda,MATCH(AC78,ctaNombre,0))&amp;"","DOP")="USD",T78,S78))</f>
        <v/>
      </c>
      <c r="AH78" s="53">
        <f>IF(P78="","",IF(AND(AD78&lt;&gt;"",COUNTIFS(tcTipo,AD78,tcLiq,"Sí")&gt;0),IF(OR(P78="Gasto",P78="Transferencia",P78="Pago tarjeta"),-1,1)*S78,0)+IF(AND(AE78&lt;&gt;"",COUNTIFS(tcTipo,AE78,tcLiq,"Sí")&gt;0),S78,0))</f>
        <v/>
      </c>
      <c r="AI78" s="52">
        <f>IF(OR(L78="",P78=""),"",IF(COUNTIFS(L$6:L78,L78,P$6:P78,"?*")=1,MAX(AI$5:AI77)+1,""))</f>
        <v/>
      </c>
    </row>
    <row r="79">
      <c r="B79" s="47" t="n">
        <v>46267</v>
      </c>
      <c r="C79" s="48" t="inlineStr">
        <is>
          <t>Gasto</t>
        </is>
      </c>
      <c r="D79" s="48" t="inlineStr">
        <is>
          <t>Alimentación</t>
        </is>
      </c>
      <c r="E79" s="48" t="inlineStr">
        <is>
          <t>Supermercado</t>
        </is>
      </c>
      <c r="F79" s="48" t="inlineStr">
        <is>
          <t>DEMO · Compra de supermercado</t>
        </is>
      </c>
      <c r="G79" s="49" t="n">
        <v>4350</v>
      </c>
      <c r="H79" s="48" t="inlineStr">
        <is>
          <t>DOP</t>
        </is>
      </c>
      <c r="I79" s="50" t="n"/>
      <c r="J79" s="48" t="inlineStr">
        <is>
          <t>Tarjeta de crédito</t>
        </is>
      </c>
      <c r="K79" s="48" t="n"/>
      <c r="L79" s="48" t="inlineStr">
        <is>
          <t>Supermercado principal</t>
        </is>
      </c>
      <c r="M79" s="48" t="n"/>
      <c r="N79" s="48" t="inlineStr">
        <is>
          <t>DEMOSTRACIÓN</t>
        </is>
      </c>
      <c r="O79" s="51">
        <f>IF(AND(B79="",G79="",C79="",D79="",J79=""),"",IF(B79="","⚠ Falta fecha",IF(G79="","⚠ Falta monto",IF(Q79="","⚠ Falta cuenta",IF(ISNA(MATCH(Q79,ctaNombre,0)),"⚠ Cuenta no registrada",IF(AND(OR(P79="Gasto",P79="Reembolso"),D79=""),"⚠ Falta categoría",IF(AND(D79&lt;&gt;"",E79&lt;&gt;"",ISNA(MATCH(D79&amp;"|"&amp;E79,catClave,0))),"⚠ Subcategoría no corresponde",IF(AND(OR(P79="Transferencia",P79="Pago tarjeta"),K79=""),"⚠ Falta cuenta destino",IF(AND(K79&lt;&gt;"",P79&lt;&gt;"Transferencia",P79&lt;&gt;"Pago tarjeta"),"⚠ Destino solo aplica a transferencias",IF(AND(K79&lt;&gt;"",K79=Q79),"⚠ Origen igual a destino",IF(AND(K79&lt;&gt;"",ISNA(MATCH(K79,ctaNombre,0))),"⚠ Destino no registrado",IF(AND(P79="Pago tarjeta",AE79&lt;&gt;"Tarjeta de crédito"),"⚠ El destino debe ser tarjeta de crédito",IF(AND(P79="Gasto",E79="Depósitos y retiros"),"⚠ Usa tipo Transferencia",IF(AND(P79="Resultado trading",AD79&lt;&gt;"Cuenta de trading"),"⚠ Usa una cuenta de trading",IF(AND(G79&lt;=0,P79&lt;&gt;"Ajuste",P79&lt;&gt;"Resultado trading"),"⚠ El monto debe ser positivo","✓")))))))))))))))</f>
        <v/>
      </c>
      <c r="P79" s="52">
        <f>IF(OR(B79="",G79=""),"",IF(C79="","Gasto",C79))</f>
        <v/>
      </c>
      <c r="Q79" s="52">
        <f>IF(P79="","",IF(J79&lt;&gt;"",J79,CuentaPred&amp;""))</f>
        <v/>
      </c>
      <c r="R79" s="52">
        <f>IF(P79="","",IF(ISNUMBER(I79),I79,TasaUSD))</f>
        <v/>
      </c>
      <c r="S79" s="53">
        <f>IF(P79="","",IF(H79="USD",G79*R79,G79))</f>
        <v/>
      </c>
      <c r="T79" s="53">
        <f>IF(P79="","",IF(H79="USD",G79,IF(R79&gt;0,G79/R79,0)))</f>
        <v/>
      </c>
      <c r="U79" s="53">
        <f>IF(P79="","",IF(P79="Gasto",S79,IF(P79="Reembolso",-S79,0)))</f>
        <v/>
      </c>
      <c r="V79" s="53">
        <f>IF(P79="","",IF(P79="Ingreso",S79,0))</f>
        <v/>
      </c>
      <c r="W79" s="53">
        <f>IF(P79="","",IF(P79="Resultado trading",S79,0))</f>
        <v/>
      </c>
      <c r="X79" s="52">
        <f>IF(OR(P79="Gasto",P79="Reembolso"),IF(M79&lt;&gt;"",M79,IFERROR(INDEX(catClasif,MATCH(D79&amp;"|"&amp;E79,catClave,0))&amp;"","Variable")),"")</f>
        <v/>
      </c>
      <c r="Y79" s="52">
        <f>IF(P79="","",IFERROR(INDEX(catGrupo,MATCH(D79&amp;"|"&amp;E79,catClave,0))&amp;"",""))</f>
        <v/>
      </c>
      <c r="Z79" s="52">
        <f>IF(P79="","",WEEKDAY(B79,2))</f>
        <v/>
      </c>
      <c r="AA79" s="52">
        <f>IF(P79="","",IF(AND(P79="Gasto",X79="Variable",D79&lt;&gt;catTrading,S79&gt;0,S79&lt;=Umbral),1,0))</f>
        <v/>
      </c>
      <c r="AB79" s="52">
        <f>IF(OR(P79="",Q79=""),"",IFERROR(IF(INDEX(ctaVinc,MATCH(Q79,ctaNombre,0))&amp;""&lt;&gt;"",INDEX(ctaVinc,MATCH(Q79,ctaNombre,0))&amp;"",Q79),Q79))</f>
        <v/>
      </c>
      <c r="AC79" s="52">
        <f>IF(OR(K79="",AND(P79&lt;&gt;"Transferencia",P79&lt;&gt;"Pago tarjeta")),"",IFERROR(IF(INDEX(ctaVinc,MATCH(K79,ctaNombre,0))&amp;""&lt;&gt;"",INDEX(ctaVinc,MATCH(K79,ctaNombre,0))&amp;"",K79),K79))</f>
        <v/>
      </c>
      <c r="AD79" s="52">
        <f>IF(AB79="","",IFERROR(INDEX(ctaTipo,MATCH(AB79,ctaNombre,0))&amp;"",""))</f>
        <v/>
      </c>
      <c r="AE79" s="52">
        <f>IF(AC79="","",IFERROR(INDEX(ctaTipo,MATCH(AC79,ctaNombre,0))&amp;"",""))</f>
        <v/>
      </c>
      <c r="AF79" s="53">
        <f>IF(OR(P79="",AB79=""),"",IF(OR(P79="Gasto",P79="Transferencia",P79="Pago tarjeta"),-1,1)*IF(IFERROR(INDEX(ctaMoneda,MATCH(AB79,ctaNombre,0))&amp;"","DOP")="USD",T79,S79))</f>
        <v/>
      </c>
      <c r="AG79" s="53">
        <f>IF(AC79="","",IF(IFERROR(INDEX(ctaMoneda,MATCH(AC79,ctaNombre,0))&amp;"","DOP")="USD",T79,S79))</f>
        <v/>
      </c>
      <c r="AH79" s="53">
        <f>IF(P79="","",IF(AND(AD79&lt;&gt;"",COUNTIFS(tcTipo,AD79,tcLiq,"Sí")&gt;0),IF(OR(P79="Gasto",P79="Transferencia",P79="Pago tarjeta"),-1,1)*S79,0)+IF(AND(AE79&lt;&gt;"",COUNTIFS(tcTipo,AE79,tcLiq,"Sí")&gt;0),S79,0))</f>
        <v/>
      </c>
      <c r="AI79" s="52">
        <f>IF(OR(L79="",P79=""),"",IF(COUNTIFS(L$6:L79,L79,P$6:P79,"?*")=1,MAX(AI$5:AI78)+1,""))</f>
        <v/>
      </c>
    </row>
    <row r="80">
      <c r="B80" s="47" t="n">
        <v>46267</v>
      </c>
      <c r="C80" s="48" t="inlineStr">
        <is>
          <t>Gasto</t>
        </is>
      </c>
      <c r="D80" s="48" t="inlineStr">
        <is>
          <t>Transporte y vehículo</t>
        </is>
      </c>
      <c r="E80" s="48" t="inlineStr">
        <is>
          <t>Mantenimiento</t>
        </is>
      </c>
      <c r="F80" s="48" t="inlineStr">
        <is>
          <t>DEMO · Cambio de aceite</t>
        </is>
      </c>
      <c r="G80" s="49" t="n">
        <v>3500</v>
      </c>
      <c r="H80" s="48" t="inlineStr">
        <is>
          <t>DOP</t>
        </is>
      </c>
      <c r="I80" s="50" t="n"/>
      <c r="J80" s="48" t="inlineStr">
        <is>
          <t>Tarjeta de crédito</t>
        </is>
      </c>
      <c r="K80" s="48" t="n"/>
      <c r="L80" s="48" t="inlineStr">
        <is>
          <t>Taller</t>
        </is>
      </c>
      <c r="M80" s="48" t="n"/>
      <c r="N80" s="48" t="inlineStr">
        <is>
          <t>DEMOSTRACIÓN</t>
        </is>
      </c>
      <c r="O80" s="51">
        <f>IF(AND(B80="",G80="",C80="",D80="",J80=""),"",IF(B80="","⚠ Falta fecha",IF(G80="","⚠ Falta monto",IF(Q80="","⚠ Falta cuenta",IF(ISNA(MATCH(Q80,ctaNombre,0)),"⚠ Cuenta no registrada",IF(AND(OR(P80="Gasto",P80="Reembolso"),D80=""),"⚠ Falta categoría",IF(AND(D80&lt;&gt;"",E80&lt;&gt;"",ISNA(MATCH(D80&amp;"|"&amp;E80,catClave,0))),"⚠ Subcategoría no corresponde",IF(AND(OR(P80="Transferencia",P80="Pago tarjeta"),K80=""),"⚠ Falta cuenta destino",IF(AND(K80&lt;&gt;"",P80&lt;&gt;"Transferencia",P80&lt;&gt;"Pago tarjeta"),"⚠ Destino solo aplica a transferencias",IF(AND(K80&lt;&gt;"",K80=Q80),"⚠ Origen igual a destino",IF(AND(K80&lt;&gt;"",ISNA(MATCH(K80,ctaNombre,0))),"⚠ Destino no registrado",IF(AND(P80="Pago tarjeta",AE80&lt;&gt;"Tarjeta de crédito"),"⚠ El destino debe ser tarjeta de crédito",IF(AND(P80="Gasto",E80="Depósitos y retiros"),"⚠ Usa tipo Transferencia",IF(AND(P80="Resultado trading",AD80&lt;&gt;"Cuenta de trading"),"⚠ Usa una cuenta de trading",IF(AND(G80&lt;=0,P80&lt;&gt;"Ajuste",P80&lt;&gt;"Resultado trading"),"⚠ El monto debe ser positivo","✓")))))))))))))))</f>
        <v/>
      </c>
      <c r="P80" s="52">
        <f>IF(OR(B80="",G80=""),"",IF(C80="","Gasto",C80))</f>
        <v/>
      </c>
      <c r="Q80" s="52">
        <f>IF(P80="","",IF(J80&lt;&gt;"",J80,CuentaPred&amp;""))</f>
        <v/>
      </c>
      <c r="R80" s="52">
        <f>IF(P80="","",IF(ISNUMBER(I80),I80,TasaUSD))</f>
        <v/>
      </c>
      <c r="S80" s="53">
        <f>IF(P80="","",IF(H80="USD",G80*R80,G80))</f>
        <v/>
      </c>
      <c r="T80" s="53">
        <f>IF(P80="","",IF(H80="USD",G80,IF(R80&gt;0,G80/R80,0)))</f>
        <v/>
      </c>
      <c r="U80" s="53">
        <f>IF(P80="","",IF(P80="Gasto",S80,IF(P80="Reembolso",-S80,0)))</f>
        <v/>
      </c>
      <c r="V80" s="53">
        <f>IF(P80="","",IF(P80="Ingreso",S80,0))</f>
        <v/>
      </c>
      <c r="W80" s="53">
        <f>IF(P80="","",IF(P80="Resultado trading",S80,0))</f>
        <v/>
      </c>
      <c r="X80" s="52">
        <f>IF(OR(P80="Gasto",P80="Reembolso"),IF(M80&lt;&gt;"",M80,IFERROR(INDEX(catClasif,MATCH(D80&amp;"|"&amp;E80,catClave,0))&amp;"","Variable")),"")</f>
        <v/>
      </c>
      <c r="Y80" s="52">
        <f>IF(P80="","",IFERROR(INDEX(catGrupo,MATCH(D80&amp;"|"&amp;E80,catClave,0))&amp;"",""))</f>
        <v/>
      </c>
      <c r="Z80" s="52">
        <f>IF(P80="","",WEEKDAY(B80,2))</f>
        <v/>
      </c>
      <c r="AA80" s="52">
        <f>IF(P80="","",IF(AND(P80="Gasto",X80="Variable",D80&lt;&gt;catTrading,S80&gt;0,S80&lt;=Umbral),1,0))</f>
        <v/>
      </c>
      <c r="AB80" s="52">
        <f>IF(OR(P80="",Q80=""),"",IFERROR(IF(INDEX(ctaVinc,MATCH(Q80,ctaNombre,0))&amp;""&lt;&gt;"",INDEX(ctaVinc,MATCH(Q80,ctaNombre,0))&amp;"",Q80),Q80))</f>
        <v/>
      </c>
      <c r="AC80" s="52">
        <f>IF(OR(K80="",AND(P80&lt;&gt;"Transferencia",P80&lt;&gt;"Pago tarjeta")),"",IFERROR(IF(INDEX(ctaVinc,MATCH(K80,ctaNombre,0))&amp;""&lt;&gt;"",INDEX(ctaVinc,MATCH(K80,ctaNombre,0))&amp;"",K80),K80))</f>
        <v/>
      </c>
      <c r="AD80" s="52">
        <f>IF(AB80="","",IFERROR(INDEX(ctaTipo,MATCH(AB80,ctaNombre,0))&amp;"",""))</f>
        <v/>
      </c>
      <c r="AE80" s="52">
        <f>IF(AC80="","",IFERROR(INDEX(ctaTipo,MATCH(AC80,ctaNombre,0))&amp;"",""))</f>
        <v/>
      </c>
      <c r="AF80" s="53">
        <f>IF(OR(P80="",AB80=""),"",IF(OR(P80="Gasto",P80="Transferencia",P80="Pago tarjeta"),-1,1)*IF(IFERROR(INDEX(ctaMoneda,MATCH(AB80,ctaNombre,0))&amp;"","DOP")="USD",T80,S80))</f>
        <v/>
      </c>
      <c r="AG80" s="53">
        <f>IF(AC80="","",IF(IFERROR(INDEX(ctaMoneda,MATCH(AC80,ctaNombre,0))&amp;"","DOP")="USD",T80,S80))</f>
        <v/>
      </c>
      <c r="AH80" s="53">
        <f>IF(P80="","",IF(AND(AD80&lt;&gt;"",COUNTIFS(tcTipo,AD80,tcLiq,"Sí")&gt;0),IF(OR(P80="Gasto",P80="Transferencia",P80="Pago tarjeta"),-1,1)*S80,0)+IF(AND(AE80&lt;&gt;"",COUNTIFS(tcTipo,AE80,tcLiq,"Sí")&gt;0),S80,0))</f>
        <v/>
      </c>
      <c r="AI80" s="52">
        <f>IF(OR(L80="",P80=""),"",IF(COUNTIFS(L$6:L80,L80,P$6:P80,"?*")=1,MAX(AI$5:AI79)+1,""))</f>
        <v/>
      </c>
    </row>
    <row r="81">
      <c r="B81" s="47" t="n">
        <v>46268</v>
      </c>
      <c r="C81" s="48" t="inlineStr">
        <is>
          <t>Gasto</t>
        </is>
      </c>
      <c r="D81" s="48" t="inlineStr">
        <is>
          <t>Alimentación</t>
        </is>
      </c>
      <c r="E81" s="48" t="inlineStr">
        <is>
          <t>Almuerzos laborales</t>
        </is>
      </c>
      <c r="F81" s="48" t="inlineStr">
        <is>
          <t>DEMO · Almuerzo laboral</t>
        </is>
      </c>
      <c r="G81" s="49" t="n">
        <v>400</v>
      </c>
      <c r="H81" s="48" t="inlineStr">
        <is>
          <t>DOP</t>
        </is>
      </c>
      <c r="I81" s="50" t="n"/>
      <c r="J81" s="48" t="inlineStr">
        <is>
          <t>Billetera digital</t>
        </is>
      </c>
      <c r="K81" s="48" t="n"/>
      <c r="L81" s="48" t="inlineStr">
        <is>
          <t>Comedor ejecutivo</t>
        </is>
      </c>
      <c r="M81" s="48" t="n"/>
      <c r="N81" s="48" t="inlineStr">
        <is>
          <t>DEMOSTRACIÓN</t>
        </is>
      </c>
      <c r="O81" s="51">
        <f>IF(AND(B81="",G81="",C81="",D81="",J81=""),"",IF(B81="","⚠ Falta fecha",IF(G81="","⚠ Falta monto",IF(Q81="","⚠ Falta cuenta",IF(ISNA(MATCH(Q81,ctaNombre,0)),"⚠ Cuenta no registrada",IF(AND(OR(P81="Gasto",P81="Reembolso"),D81=""),"⚠ Falta categoría",IF(AND(D81&lt;&gt;"",E81&lt;&gt;"",ISNA(MATCH(D81&amp;"|"&amp;E81,catClave,0))),"⚠ Subcategoría no corresponde",IF(AND(OR(P81="Transferencia",P81="Pago tarjeta"),K81=""),"⚠ Falta cuenta destino",IF(AND(K81&lt;&gt;"",P81&lt;&gt;"Transferencia",P81&lt;&gt;"Pago tarjeta"),"⚠ Destino solo aplica a transferencias",IF(AND(K81&lt;&gt;"",K81=Q81),"⚠ Origen igual a destino",IF(AND(K81&lt;&gt;"",ISNA(MATCH(K81,ctaNombre,0))),"⚠ Destino no registrado",IF(AND(P81="Pago tarjeta",AE81&lt;&gt;"Tarjeta de crédito"),"⚠ El destino debe ser tarjeta de crédito",IF(AND(P81="Gasto",E81="Depósitos y retiros"),"⚠ Usa tipo Transferencia",IF(AND(P81="Resultado trading",AD81&lt;&gt;"Cuenta de trading"),"⚠ Usa una cuenta de trading",IF(AND(G81&lt;=0,P81&lt;&gt;"Ajuste",P81&lt;&gt;"Resultado trading"),"⚠ El monto debe ser positivo","✓")))))))))))))))</f>
        <v/>
      </c>
      <c r="P81" s="52">
        <f>IF(OR(B81="",G81=""),"",IF(C81="","Gasto",C81))</f>
        <v/>
      </c>
      <c r="Q81" s="52">
        <f>IF(P81="","",IF(J81&lt;&gt;"",J81,CuentaPred&amp;""))</f>
        <v/>
      </c>
      <c r="R81" s="52">
        <f>IF(P81="","",IF(ISNUMBER(I81),I81,TasaUSD))</f>
        <v/>
      </c>
      <c r="S81" s="53">
        <f>IF(P81="","",IF(H81="USD",G81*R81,G81))</f>
        <v/>
      </c>
      <c r="T81" s="53">
        <f>IF(P81="","",IF(H81="USD",G81,IF(R81&gt;0,G81/R81,0)))</f>
        <v/>
      </c>
      <c r="U81" s="53">
        <f>IF(P81="","",IF(P81="Gasto",S81,IF(P81="Reembolso",-S81,0)))</f>
        <v/>
      </c>
      <c r="V81" s="53">
        <f>IF(P81="","",IF(P81="Ingreso",S81,0))</f>
        <v/>
      </c>
      <c r="W81" s="53">
        <f>IF(P81="","",IF(P81="Resultado trading",S81,0))</f>
        <v/>
      </c>
      <c r="X81" s="52">
        <f>IF(OR(P81="Gasto",P81="Reembolso"),IF(M81&lt;&gt;"",M81,IFERROR(INDEX(catClasif,MATCH(D81&amp;"|"&amp;E81,catClave,0))&amp;"","Variable")),"")</f>
        <v/>
      </c>
      <c r="Y81" s="52">
        <f>IF(P81="","",IFERROR(INDEX(catGrupo,MATCH(D81&amp;"|"&amp;E81,catClave,0))&amp;"",""))</f>
        <v/>
      </c>
      <c r="Z81" s="52">
        <f>IF(P81="","",WEEKDAY(B81,2))</f>
        <v/>
      </c>
      <c r="AA81" s="52">
        <f>IF(P81="","",IF(AND(P81="Gasto",X81="Variable",D81&lt;&gt;catTrading,S81&gt;0,S81&lt;=Umbral),1,0))</f>
        <v/>
      </c>
      <c r="AB81" s="52">
        <f>IF(OR(P81="",Q81=""),"",IFERROR(IF(INDEX(ctaVinc,MATCH(Q81,ctaNombre,0))&amp;""&lt;&gt;"",INDEX(ctaVinc,MATCH(Q81,ctaNombre,0))&amp;"",Q81),Q81))</f>
        <v/>
      </c>
      <c r="AC81" s="52">
        <f>IF(OR(K81="",AND(P81&lt;&gt;"Transferencia",P81&lt;&gt;"Pago tarjeta")),"",IFERROR(IF(INDEX(ctaVinc,MATCH(K81,ctaNombre,0))&amp;""&lt;&gt;"",INDEX(ctaVinc,MATCH(K81,ctaNombre,0))&amp;"",K81),K81))</f>
        <v/>
      </c>
      <c r="AD81" s="52">
        <f>IF(AB81="","",IFERROR(INDEX(ctaTipo,MATCH(AB81,ctaNombre,0))&amp;"",""))</f>
        <v/>
      </c>
      <c r="AE81" s="52">
        <f>IF(AC81="","",IFERROR(INDEX(ctaTipo,MATCH(AC81,ctaNombre,0))&amp;"",""))</f>
        <v/>
      </c>
      <c r="AF81" s="53">
        <f>IF(OR(P81="",AB81=""),"",IF(OR(P81="Gasto",P81="Transferencia",P81="Pago tarjeta"),-1,1)*IF(IFERROR(INDEX(ctaMoneda,MATCH(AB81,ctaNombre,0))&amp;"","DOP")="USD",T81,S81))</f>
        <v/>
      </c>
      <c r="AG81" s="53">
        <f>IF(AC81="","",IF(IFERROR(INDEX(ctaMoneda,MATCH(AC81,ctaNombre,0))&amp;"","DOP")="USD",T81,S81))</f>
        <v/>
      </c>
      <c r="AH81" s="53">
        <f>IF(P81="","",IF(AND(AD81&lt;&gt;"",COUNTIFS(tcTipo,AD81,tcLiq,"Sí")&gt;0),IF(OR(P81="Gasto",P81="Transferencia",P81="Pago tarjeta"),-1,1)*S81,0)+IF(AND(AE81&lt;&gt;"",COUNTIFS(tcTipo,AE81,tcLiq,"Sí")&gt;0),S81,0))</f>
        <v/>
      </c>
      <c r="AI81" s="52">
        <f>IF(OR(L81="",P81=""),"",IF(COUNTIFS(L$6:L81,L81,P$6:P81,"?*")=1,MAX(AI$5:AI80)+1,""))</f>
        <v/>
      </c>
    </row>
    <row r="82">
      <c r="B82" s="47" t="n">
        <v>46268</v>
      </c>
      <c r="C82" s="48" t="inlineStr">
        <is>
          <t>Gasto</t>
        </is>
      </c>
      <c r="D82" s="48" t="inlineStr">
        <is>
          <t>Tecnología y suscripciones</t>
        </is>
      </c>
      <c r="E82" s="48" t="inlineStr">
        <is>
          <t>Herramientas de inteligencia artificial</t>
        </is>
      </c>
      <c r="F82" s="48" t="inlineStr">
        <is>
          <t>DEMO · Suscripción herramienta IA</t>
        </is>
      </c>
      <c r="G82" s="49" t="n">
        <v>20</v>
      </c>
      <c r="H82" s="48" t="inlineStr">
        <is>
          <t>USD</t>
        </is>
      </c>
      <c r="I82" s="50" t="n"/>
      <c r="J82" s="48" t="inlineStr">
        <is>
          <t>Tarjeta de crédito</t>
        </is>
      </c>
      <c r="K82" s="48" t="n"/>
      <c r="L82" s="48" t="inlineStr">
        <is>
          <t>Herramienta IA</t>
        </is>
      </c>
      <c r="M82" s="48" t="n"/>
      <c r="N82" s="48" t="inlineStr">
        <is>
          <t>DEMOSTRACIÓN</t>
        </is>
      </c>
      <c r="O82" s="51">
        <f>IF(AND(B82="",G82="",C82="",D82="",J82=""),"",IF(B82="","⚠ Falta fecha",IF(G82="","⚠ Falta monto",IF(Q82="","⚠ Falta cuenta",IF(ISNA(MATCH(Q82,ctaNombre,0)),"⚠ Cuenta no registrada",IF(AND(OR(P82="Gasto",P82="Reembolso"),D82=""),"⚠ Falta categoría",IF(AND(D82&lt;&gt;"",E82&lt;&gt;"",ISNA(MATCH(D82&amp;"|"&amp;E82,catClave,0))),"⚠ Subcategoría no corresponde",IF(AND(OR(P82="Transferencia",P82="Pago tarjeta"),K82=""),"⚠ Falta cuenta destino",IF(AND(K82&lt;&gt;"",P82&lt;&gt;"Transferencia",P82&lt;&gt;"Pago tarjeta"),"⚠ Destino solo aplica a transferencias",IF(AND(K82&lt;&gt;"",K82=Q82),"⚠ Origen igual a destino",IF(AND(K82&lt;&gt;"",ISNA(MATCH(K82,ctaNombre,0))),"⚠ Destino no registrado",IF(AND(P82="Pago tarjeta",AE82&lt;&gt;"Tarjeta de crédito"),"⚠ El destino debe ser tarjeta de crédito",IF(AND(P82="Gasto",E82="Depósitos y retiros"),"⚠ Usa tipo Transferencia",IF(AND(P82="Resultado trading",AD82&lt;&gt;"Cuenta de trading"),"⚠ Usa una cuenta de trading",IF(AND(G82&lt;=0,P82&lt;&gt;"Ajuste",P82&lt;&gt;"Resultado trading"),"⚠ El monto debe ser positivo","✓")))))))))))))))</f>
        <v/>
      </c>
      <c r="P82" s="52">
        <f>IF(OR(B82="",G82=""),"",IF(C82="","Gasto",C82))</f>
        <v/>
      </c>
      <c r="Q82" s="52">
        <f>IF(P82="","",IF(J82&lt;&gt;"",J82,CuentaPred&amp;""))</f>
        <v/>
      </c>
      <c r="R82" s="52">
        <f>IF(P82="","",IF(ISNUMBER(I82),I82,TasaUSD))</f>
        <v/>
      </c>
      <c r="S82" s="53">
        <f>IF(P82="","",IF(H82="USD",G82*R82,G82))</f>
        <v/>
      </c>
      <c r="T82" s="53">
        <f>IF(P82="","",IF(H82="USD",G82,IF(R82&gt;0,G82/R82,0)))</f>
        <v/>
      </c>
      <c r="U82" s="53">
        <f>IF(P82="","",IF(P82="Gasto",S82,IF(P82="Reembolso",-S82,0)))</f>
        <v/>
      </c>
      <c r="V82" s="53">
        <f>IF(P82="","",IF(P82="Ingreso",S82,0))</f>
        <v/>
      </c>
      <c r="W82" s="53">
        <f>IF(P82="","",IF(P82="Resultado trading",S82,0))</f>
        <v/>
      </c>
      <c r="X82" s="52">
        <f>IF(OR(P82="Gasto",P82="Reembolso"),IF(M82&lt;&gt;"",M82,IFERROR(INDEX(catClasif,MATCH(D82&amp;"|"&amp;E82,catClave,0))&amp;"","Variable")),"")</f>
        <v/>
      </c>
      <c r="Y82" s="52">
        <f>IF(P82="","",IFERROR(INDEX(catGrupo,MATCH(D82&amp;"|"&amp;E82,catClave,0))&amp;"",""))</f>
        <v/>
      </c>
      <c r="Z82" s="52">
        <f>IF(P82="","",WEEKDAY(B82,2))</f>
        <v/>
      </c>
      <c r="AA82" s="52">
        <f>IF(P82="","",IF(AND(P82="Gasto",X82="Variable",D82&lt;&gt;catTrading,S82&gt;0,S82&lt;=Umbral),1,0))</f>
        <v/>
      </c>
      <c r="AB82" s="52">
        <f>IF(OR(P82="",Q82=""),"",IFERROR(IF(INDEX(ctaVinc,MATCH(Q82,ctaNombre,0))&amp;""&lt;&gt;"",INDEX(ctaVinc,MATCH(Q82,ctaNombre,0))&amp;"",Q82),Q82))</f>
        <v/>
      </c>
      <c r="AC82" s="52">
        <f>IF(OR(K82="",AND(P82&lt;&gt;"Transferencia",P82&lt;&gt;"Pago tarjeta")),"",IFERROR(IF(INDEX(ctaVinc,MATCH(K82,ctaNombre,0))&amp;""&lt;&gt;"",INDEX(ctaVinc,MATCH(K82,ctaNombre,0))&amp;"",K82),K82))</f>
        <v/>
      </c>
      <c r="AD82" s="52">
        <f>IF(AB82="","",IFERROR(INDEX(ctaTipo,MATCH(AB82,ctaNombre,0))&amp;"",""))</f>
        <v/>
      </c>
      <c r="AE82" s="52">
        <f>IF(AC82="","",IFERROR(INDEX(ctaTipo,MATCH(AC82,ctaNombre,0))&amp;"",""))</f>
        <v/>
      </c>
      <c r="AF82" s="53">
        <f>IF(OR(P82="",AB82=""),"",IF(OR(P82="Gasto",P82="Transferencia",P82="Pago tarjeta"),-1,1)*IF(IFERROR(INDEX(ctaMoneda,MATCH(AB82,ctaNombre,0))&amp;"","DOP")="USD",T82,S82))</f>
        <v/>
      </c>
      <c r="AG82" s="53">
        <f>IF(AC82="","",IF(IFERROR(INDEX(ctaMoneda,MATCH(AC82,ctaNombre,0))&amp;"","DOP")="USD",T82,S82))</f>
        <v/>
      </c>
      <c r="AH82" s="53">
        <f>IF(P82="","",IF(AND(AD82&lt;&gt;"",COUNTIFS(tcTipo,AD82,tcLiq,"Sí")&gt;0),IF(OR(P82="Gasto",P82="Transferencia",P82="Pago tarjeta"),-1,1)*S82,0)+IF(AND(AE82&lt;&gt;"",COUNTIFS(tcTipo,AE82,tcLiq,"Sí")&gt;0),S82,0))</f>
        <v/>
      </c>
      <c r="AI82" s="52">
        <f>IF(OR(L82="",P82=""),"",IF(COUNTIFS(L$6:L82,L82,P$6:P82,"?*")=1,MAX(AI$5:AI81)+1,""))</f>
        <v/>
      </c>
    </row>
    <row r="83">
      <c r="B83" s="47" t="n">
        <v>46269</v>
      </c>
      <c r="C83" s="48" t="inlineStr">
        <is>
          <t>Gasto</t>
        </is>
      </c>
      <c r="D83" s="48" t="inlineStr">
        <is>
          <t>Alimentación</t>
        </is>
      </c>
      <c r="E83" s="48" t="inlineStr">
        <is>
          <t>Desayunos comprados</t>
        </is>
      </c>
      <c r="F83" s="48" t="inlineStr">
        <is>
          <t>DEMO · Desayuno en la oficina</t>
        </is>
      </c>
      <c r="G83" s="49" t="n">
        <v>260</v>
      </c>
      <c r="H83" s="48" t="inlineStr">
        <is>
          <t>DOP</t>
        </is>
      </c>
      <c r="I83" s="50" t="n"/>
      <c r="J83" s="48" t="inlineStr">
        <is>
          <t>Tarjeta de débito</t>
        </is>
      </c>
      <c r="K83" s="48" t="n"/>
      <c r="L83" s="48" t="inlineStr">
        <is>
          <t>Cafetería del trabajo</t>
        </is>
      </c>
      <c r="M83" s="48" t="n"/>
      <c r="N83" s="48" t="inlineStr">
        <is>
          <t>DEMOSTRACIÓN</t>
        </is>
      </c>
      <c r="O83" s="51">
        <f>IF(AND(B83="",G83="",C83="",D83="",J83=""),"",IF(B83="","⚠ Falta fecha",IF(G83="","⚠ Falta monto",IF(Q83="","⚠ Falta cuenta",IF(ISNA(MATCH(Q83,ctaNombre,0)),"⚠ Cuenta no registrada",IF(AND(OR(P83="Gasto",P83="Reembolso"),D83=""),"⚠ Falta categoría",IF(AND(D83&lt;&gt;"",E83&lt;&gt;"",ISNA(MATCH(D83&amp;"|"&amp;E83,catClave,0))),"⚠ Subcategoría no corresponde",IF(AND(OR(P83="Transferencia",P83="Pago tarjeta"),K83=""),"⚠ Falta cuenta destino",IF(AND(K83&lt;&gt;"",P83&lt;&gt;"Transferencia",P83&lt;&gt;"Pago tarjeta"),"⚠ Destino solo aplica a transferencias",IF(AND(K83&lt;&gt;"",K83=Q83),"⚠ Origen igual a destino",IF(AND(K83&lt;&gt;"",ISNA(MATCH(K83,ctaNombre,0))),"⚠ Destino no registrado",IF(AND(P83="Pago tarjeta",AE83&lt;&gt;"Tarjeta de crédito"),"⚠ El destino debe ser tarjeta de crédito",IF(AND(P83="Gasto",E83="Depósitos y retiros"),"⚠ Usa tipo Transferencia",IF(AND(P83="Resultado trading",AD83&lt;&gt;"Cuenta de trading"),"⚠ Usa una cuenta de trading",IF(AND(G83&lt;=0,P83&lt;&gt;"Ajuste",P83&lt;&gt;"Resultado trading"),"⚠ El monto debe ser positivo","✓")))))))))))))))</f>
        <v/>
      </c>
      <c r="P83" s="52">
        <f>IF(OR(B83="",G83=""),"",IF(C83="","Gasto",C83))</f>
        <v/>
      </c>
      <c r="Q83" s="52">
        <f>IF(P83="","",IF(J83&lt;&gt;"",J83,CuentaPred&amp;""))</f>
        <v/>
      </c>
      <c r="R83" s="52">
        <f>IF(P83="","",IF(ISNUMBER(I83),I83,TasaUSD))</f>
        <v/>
      </c>
      <c r="S83" s="53">
        <f>IF(P83="","",IF(H83="USD",G83*R83,G83))</f>
        <v/>
      </c>
      <c r="T83" s="53">
        <f>IF(P83="","",IF(H83="USD",G83,IF(R83&gt;0,G83/R83,0)))</f>
        <v/>
      </c>
      <c r="U83" s="53">
        <f>IF(P83="","",IF(P83="Gasto",S83,IF(P83="Reembolso",-S83,0)))</f>
        <v/>
      </c>
      <c r="V83" s="53">
        <f>IF(P83="","",IF(P83="Ingreso",S83,0))</f>
        <v/>
      </c>
      <c r="W83" s="53">
        <f>IF(P83="","",IF(P83="Resultado trading",S83,0))</f>
        <v/>
      </c>
      <c r="X83" s="52">
        <f>IF(OR(P83="Gasto",P83="Reembolso"),IF(M83&lt;&gt;"",M83,IFERROR(INDEX(catClasif,MATCH(D83&amp;"|"&amp;E83,catClave,0))&amp;"","Variable")),"")</f>
        <v/>
      </c>
      <c r="Y83" s="52">
        <f>IF(P83="","",IFERROR(INDEX(catGrupo,MATCH(D83&amp;"|"&amp;E83,catClave,0))&amp;"",""))</f>
        <v/>
      </c>
      <c r="Z83" s="52">
        <f>IF(P83="","",WEEKDAY(B83,2))</f>
        <v/>
      </c>
      <c r="AA83" s="52">
        <f>IF(P83="","",IF(AND(P83="Gasto",X83="Variable",D83&lt;&gt;catTrading,S83&gt;0,S83&lt;=Umbral),1,0))</f>
        <v/>
      </c>
      <c r="AB83" s="52">
        <f>IF(OR(P83="",Q83=""),"",IFERROR(IF(INDEX(ctaVinc,MATCH(Q83,ctaNombre,0))&amp;""&lt;&gt;"",INDEX(ctaVinc,MATCH(Q83,ctaNombre,0))&amp;"",Q83),Q83))</f>
        <v/>
      </c>
      <c r="AC83" s="52">
        <f>IF(OR(K83="",AND(P83&lt;&gt;"Transferencia",P83&lt;&gt;"Pago tarjeta")),"",IFERROR(IF(INDEX(ctaVinc,MATCH(K83,ctaNombre,0))&amp;""&lt;&gt;"",INDEX(ctaVinc,MATCH(K83,ctaNombre,0))&amp;"",K83),K83))</f>
        <v/>
      </c>
      <c r="AD83" s="52">
        <f>IF(AB83="","",IFERROR(INDEX(ctaTipo,MATCH(AB83,ctaNombre,0))&amp;"",""))</f>
        <v/>
      </c>
      <c r="AE83" s="52">
        <f>IF(AC83="","",IFERROR(INDEX(ctaTipo,MATCH(AC83,ctaNombre,0))&amp;"",""))</f>
        <v/>
      </c>
      <c r="AF83" s="53">
        <f>IF(OR(P83="",AB83=""),"",IF(OR(P83="Gasto",P83="Transferencia",P83="Pago tarjeta"),-1,1)*IF(IFERROR(INDEX(ctaMoneda,MATCH(AB83,ctaNombre,0))&amp;"","DOP")="USD",T83,S83))</f>
        <v/>
      </c>
      <c r="AG83" s="53">
        <f>IF(AC83="","",IF(IFERROR(INDEX(ctaMoneda,MATCH(AC83,ctaNombre,0))&amp;"","DOP")="USD",T83,S83))</f>
        <v/>
      </c>
      <c r="AH83" s="53">
        <f>IF(P83="","",IF(AND(AD83&lt;&gt;"",COUNTIFS(tcTipo,AD83,tcLiq,"Sí")&gt;0),IF(OR(P83="Gasto",P83="Transferencia",P83="Pago tarjeta"),-1,1)*S83,0)+IF(AND(AE83&lt;&gt;"",COUNTIFS(tcTipo,AE83,tcLiq,"Sí")&gt;0),S83,0))</f>
        <v/>
      </c>
      <c r="AI83" s="52">
        <f>IF(OR(L83="",P83=""),"",IF(COUNTIFS(L$6:L83,L83,P$6:P83,"?*")=1,MAX(AI$5:AI82)+1,""))</f>
        <v/>
      </c>
    </row>
    <row r="84">
      <c r="B84" s="47" t="n">
        <v>46269</v>
      </c>
      <c r="C84" s="48" t="inlineStr">
        <is>
          <t>Gasto</t>
        </is>
      </c>
      <c r="D84" s="48" t="inlineStr">
        <is>
          <t>Alimentación</t>
        </is>
      </c>
      <c r="E84" s="48" t="inlineStr">
        <is>
          <t>Almuerzos laborales</t>
        </is>
      </c>
      <c r="F84" s="48" t="inlineStr">
        <is>
          <t>DEMO · Almuerzo laboral</t>
        </is>
      </c>
      <c r="G84" s="49" t="n">
        <v>575</v>
      </c>
      <c r="H84" s="48" t="inlineStr">
        <is>
          <t>DOP</t>
        </is>
      </c>
      <c r="I84" s="50" t="n"/>
      <c r="J84" s="48" t="inlineStr">
        <is>
          <t>Billetera digital</t>
        </is>
      </c>
      <c r="K84" s="48" t="n"/>
      <c r="L84" s="48" t="inlineStr">
        <is>
          <t>Comedor ejecutivo</t>
        </is>
      </c>
      <c r="M84" s="48" t="n"/>
      <c r="N84" s="48" t="inlineStr">
        <is>
          <t>DEMOSTRACIÓN</t>
        </is>
      </c>
      <c r="O84" s="51">
        <f>IF(AND(B84="",G84="",C84="",D84="",J84=""),"",IF(B84="","⚠ Falta fecha",IF(G84="","⚠ Falta monto",IF(Q84="","⚠ Falta cuenta",IF(ISNA(MATCH(Q84,ctaNombre,0)),"⚠ Cuenta no registrada",IF(AND(OR(P84="Gasto",P84="Reembolso"),D84=""),"⚠ Falta categoría",IF(AND(D84&lt;&gt;"",E84&lt;&gt;"",ISNA(MATCH(D84&amp;"|"&amp;E84,catClave,0))),"⚠ Subcategoría no corresponde",IF(AND(OR(P84="Transferencia",P84="Pago tarjeta"),K84=""),"⚠ Falta cuenta destino",IF(AND(K84&lt;&gt;"",P84&lt;&gt;"Transferencia",P84&lt;&gt;"Pago tarjeta"),"⚠ Destino solo aplica a transferencias",IF(AND(K84&lt;&gt;"",K84=Q84),"⚠ Origen igual a destino",IF(AND(K84&lt;&gt;"",ISNA(MATCH(K84,ctaNombre,0))),"⚠ Destino no registrado",IF(AND(P84="Pago tarjeta",AE84&lt;&gt;"Tarjeta de crédito"),"⚠ El destino debe ser tarjeta de crédito",IF(AND(P84="Gasto",E84="Depósitos y retiros"),"⚠ Usa tipo Transferencia",IF(AND(P84="Resultado trading",AD84&lt;&gt;"Cuenta de trading"),"⚠ Usa una cuenta de trading",IF(AND(G84&lt;=0,P84&lt;&gt;"Ajuste",P84&lt;&gt;"Resultado trading"),"⚠ El monto debe ser positivo","✓")))))))))))))))</f>
        <v/>
      </c>
      <c r="P84" s="52">
        <f>IF(OR(B84="",G84=""),"",IF(C84="","Gasto",C84))</f>
        <v/>
      </c>
      <c r="Q84" s="52">
        <f>IF(P84="","",IF(J84&lt;&gt;"",J84,CuentaPred&amp;""))</f>
        <v/>
      </c>
      <c r="R84" s="52">
        <f>IF(P84="","",IF(ISNUMBER(I84),I84,TasaUSD))</f>
        <v/>
      </c>
      <c r="S84" s="53">
        <f>IF(P84="","",IF(H84="USD",G84*R84,G84))</f>
        <v/>
      </c>
      <c r="T84" s="53">
        <f>IF(P84="","",IF(H84="USD",G84,IF(R84&gt;0,G84/R84,0)))</f>
        <v/>
      </c>
      <c r="U84" s="53">
        <f>IF(P84="","",IF(P84="Gasto",S84,IF(P84="Reembolso",-S84,0)))</f>
        <v/>
      </c>
      <c r="V84" s="53">
        <f>IF(P84="","",IF(P84="Ingreso",S84,0))</f>
        <v/>
      </c>
      <c r="W84" s="53">
        <f>IF(P84="","",IF(P84="Resultado trading",S84,0))</f>
        <v/>
      </c>
      <c r="X84" s="52">
        <f>IF(OR(P84="Gasto",P84="Reembolso"),IF(M84&lt;&gt;"",M84,IFERROR(INDEX(catClasif,MATCH(D84&amp;"|"&amp;E84,catClave,0))&amp;"","Variable")),"")</f>
        <v/>
      </c>
      <c r="Y84" s="52">
        <f>IF(P84="","",IFERROR(INDEX(catGrupo,MATCH(D84&amp;"|"&amp;E84,catClave,0))&amp;"",""))</f>
        <v/>
      </c>
      <c r="Z84" s="52">
        <f>IF(P84="","",WEEKDAY(B84,2))</f>
        <v/>
      </c>
      <c r="AA84" s="52">
        <f>IF(P84="","",IF(AND(P84="Gasto",X84="Variable",D84&lt;&gt;catTrading,S84&gt;0,S84&lt;=Umbral),1,0))</f>
        <v/>
      </c>
      <c r="AB84" s="52">
        <f>IF(OR(P84="",Q84=""),"",IFERROR(IF(INDEX(ctaVinc,MATCH(Q84,ctaNombre,0))&amp;""&lt;&gt;"",INDEX(ctaVinc,MATCH(Q84,ctaNombre,0))&amp;"",Q84),Q84))</f>
        <v/>
      </c>
      <c r="AC84" s="52">
        <f>IF(OR(K84="",AND(P84&lt;&gt;"Transferencia",P84&lt;&gt;"Pago tarjeta")),"",IFERROR(IF(INDEX(ctaVinc,MATCH(K84,ctaNombre,0))&amp;""&lt;&gt;"",INDEX(ctaVinc,MATCH(K84,ctaNombre,0))&amp;"",K84),K84))</f>
        <v/>
      </c>
      <c r="AD84" s="52">
        <f>IF(AB84="","",IFERROR(INDEX(ctaTipo,MATCH(AB84,ctaNombre,0))&amp;"",""))</f>
        <v/>
      </c>
      <c r="AE84" s="52">
        <f>IF(AC84="","",IFERROR(INDEX(ctaTipo,MATCH(AC84,ctaNombre,0))&amp;"",""))</f>
        <v/>
      </c>
      <c r="AF84" s="53">
        <f>IF(OR(P84="",AB84=""),"",IF(OR(P84="Gasto",P84="Transferencia",P84="Pago tarjeta"),-1,1)*IF(IFERROR(INDEX(ctaMoneda,MATCH(AB84,ctaNombre,0))&amp;"","DOP")="USD",T84,S84))</f>
        <v/>
      </c>
      <c r="AG84" s="53">
        <f>IF(AC84="","",IF(IFERROR(INDEX(ctaMoneda,MATCH(AC84,ctaNombre,0))&amp;"","DOP")="USD",T84,S84))</f>
        <v/>
      </c>
      <c r="AH84" s="53">
        <f>IF(P84="","",IF(AND(AD84&lt;&gt;"",COUNTIFS(tcTipo,AD84,tcLiq,"Sí")&gt;0),IF(OR(P84="Gasto",P84="Transferencia",P84="Pago tarjeta"),-1,1)*S84,0)+IF(AND(AE84&lt;&gt;"",COUNTIFS(tcTipo,AE84,tcLiq,"Sí")&gt;0),S84,0))</f>
        <v/>
      </c>
      <c r="AI84" s="52">
        <f>IF(OR(L84="",P84=""),"",IF(COUNTIFS(L$6:L84,L84,P$6:P84,"?*")=1,MAX(AI$5:AI83)+1,""))</f>
        <v/>
      </c>
    </row>
    <row r="85">
      <c r="B85" s="47" t="n">
        <v>46269</v>
      </c>
      <c r="C85" s="48" t="inlineStr">
        <is>
          <t>Gasto</t>
        </is>
      </c>
      <c r="D85" s="48" t="inlineStr">
        <is>
          <t>Alimentación</t>
        </is>
      </c>
      <c r="E85" s="48" t="inlineStr">
        <is>
          <t>Cenas compradas</t>
        </is>
      </c>
      <c r="F85" s="48" t="inlineStr">
        <is>
          <t>DEMO · Cena comprada</t>
        </is>
      </c>
      <c r="G85" s="49" t="n">
        <v>700</v>
      </c>
      <c r="H85" s="48" t="inlineStr">
        <is>
          <t>DOP</t>
        </is>
      </c>
      <c r="I85" s="50" t="n"/>
      <c r="J85" s="48" t="inlineStr">
        <is>
          <t>Billetera digital</t>
        </is>
      </c>
      <c r="K85" s="48" t="n"/>
      <c r="L85" s="48" t="inlineStr">
        <is>
          <t>Pica pollo de la esquina</t>
        </is>
      </c>
      <c r="M85" s="48" t="n"/>
      <c r="N85" s="48" t="inlineStr">
        <is>
          <t>DEMOSTRACIÓN</t>
        </is>
      </c>
      <c r="O85" s="51">
        <f>IF(AND(B85="",G85="",C85="",D85="",J85=""),"",IF(B85="","⚠ Falta fecha",IF(G85="","⚠ Falta monto",IF(Q85="","⚠ Falta cuenta",IF(ISNA(MATCH(Q85,ctaNombre,0)),"⚠ Cuenta no registrada",IF(AND(OR(P85="Gasto",P85="Reembolso"),D85=""),"⚠ Falta categoría",IF(AND(D85&lt;&gt;"",E85&lt;&gt;"",ISNA(MATCH(D85&amp;"|"&amp;E85,catClave,0))),"⚠ Subcategoría no corresponde",IF(AND(OR(P85="Transferencia",P85="Pago tarjeta"),K85=""),"⚠ Falta cuenta destino",IF(AND(K85&lt;&gt;"",P85&lt;&gt;"Transferencia",P85&lt;&gt;"Pago tarjeta"),"⚠ Destino solo aplica a transferencias",IF(AND(K85&lt;&gt;"",K85=Q85),"⚠ Origen igual a destino",IF(AND(K85&lt;&gt;"",ISNA(MATCH(K85,ctaNombre,0))),"⚠ Destino no registrado",IF(AND(P85="Pago tarjeta",AE85&lt;&gt;"Tarjeta de crédito"),"⚠ El destino debe ser tarjeta de crédito",IF(AND(P85="Gasto",E85="Depósitos y retiros"),"⚠ Usa tipo Transferencia",IF(AND(P85="Resultado trading",AD85&lt;&gt;"Cuenta de trading"),"⚠ Usa una cuenta de trading",IF(AND(G85&lt;=0,P85&lt;&gt;"Ajuste",P85&lt;&gt;"Resultado trading"),"⚠ El monto debe ser positivo","✓")))))))))))))))</f>
        <v/>
      </c>
      <c r="P85" s="52">
        <f>IF(OR(B85="",G85=""),"",IF(C85="","Gasto",C85))</f>
        <v/>
      </c>
      <c r="Q85" s="52">
        <f>IF(P85="","",IF(J85&lt;&gt;"",J85,CuentaPred&amp;""))</f>
        <v/>
      </c>
      <c r="R85" s="52">
        <f>IF(P85="","",IF(ISNUMBER(I85),I85,TasaUSD))</f>
        <v/>
      </c>
      <c r="S85" s="53">
        <f>IF(P85="","",IF(H85="USD",G85*R85,G85))</f>
        <v/>
      </c>
      <c r="T85" s="53">
        <f>IF(P85="","",IF(H85="USD",G85,IF(R85&gt;0,G85/R85,0)))</f>
        <v/>
      </c>
      <c r="U85" s="53">
        <f>IF(P85="","",IF(P85="Gasto",S85,IF(P85="Reembolso",-S85,0)))</f>
        <v/>
      </c>
      <c r="V85" s="53">
        <f>IF(P85="","",IF(P85="Ingreso",S85,0))</f>
        <v/>
      </c>
      <c r="W85" s="53">
        <f>IF(P85="","",IF(P85="Resultado trading",S85,0))</f>
        <v/>
      </c>
      <c r="X85" s="52">
        <f>IF(OR(P85="Gasto",P85="Reembolso"),IF(M85&lt;&gt;"",M85,IFERROR(INDEX(catClasif,MATCH(D85&amp;"|"&amp;E85,catClave,0))&amp;"","Variable")),"")</f>
        <v/>
      </c>
      <c r="Y85" s="52">
        <f>IF(P85="","",IFERROR(INDEX(catGrupo,MATCH(D85&amp;"|"&amp;E85,catClave,0))&amp;"",""))</f>
        <v/>
      </c>
      <c r="Z85" s="52">
        <f>IF(P85="","",WEEKDAY(B85,2))</f>
        <v/>
      </c>
      <c r="AA85" s="52">
        <f>IF(P85="","",IF(AND(P85="Gasto",X85="Variable",D85&lt;&gt;catTrading,S85&gt;0,S85&lt;=Umbral),1,0))</f>
        <v/>
      </c>
      <c r="AB85" s="52">
        <f>IF(OR(P85="",Q85=""),"",IFERROR(IF(INDEX(ctaVinc,MATCH(Q85,ctaNombre,0))&amp;""&lt;&gt;"",INDEX(ctaVinc,MATCH(Q85,ctaNombre,0))&amp;"",Q85),Q85))</f>
        <v/>
      </c>
      <c r="AC85" s="52">
        <f>IF(OR(K85="",AND(P85&lt;&gt;"Transferencia",P85&lt;&gt;"Pago tarjeta")),"",IFERROR(IF(INDEX(ctaVinc,MATCH(K85,ctaNombre,0))&amp;""&lt;&gt;"",INDEX(ctaVinc,MATCH(K85,ctaNombre,0))&amp;"",K85),K85))</f>
        <v/>
      </c>
      <c r="AD85" s="52">
        <f>IF(AB85="","",IFERROR(INDEX(ctaTipo,MATCH(AB85,ctaNombre,0))&amp;"",""))</f>
        <v/>
      </c>
      <c r="AE85" s="52">
        <f>IF(AC85="","",IFERROR(INDEX(ctaTipo,MATCH(AC85,ctaNombre,0))&amp;"",""))</f>
        <v/>
      </c>
      <c r="AF85" s="53">
        <f>IF(OR(P85="",AB85=""),"",IF(OR(P85="Gasto",P85="Transferencia",P85="Pago tarjeta"),-1,1)*IF(IFERROR(INDEX(ctaMoneda,MATCH(AB85,ctaNombre,0))&amp;"","DOP")="USD",T85,S85))</f>
        <v/>
      </c>
      <c r="AG85" s="53">
        <f>IF(AC85="","",IF(IFERROR(INDEX(ctaMoneda,MATCH(AC85,ctaNombre,0))&amp;"","DOP")="USD",T85,S85))</f>
        <v/>
      </c>
      <c r="AH85" s="53">
        <f>IF(P85="","",IF(AND(AD85&lt;&gt;"",COUNTIFS(tcTipo,AD85,tcLiq,"Sí")&gt;0),IF(OR(P85="Gasto",P85="Transferencia",P85="Pago tarjeta"),-1,1)*S85,0)+IF(AND(AE85&lt;&gt;"",COUNTIFS(tcTipo,AE85,tcLiq,"Sí")&gt;0),S85,0))</f>
        <v/>
      </c>
      <c r="AI85" s="52">
        <f>IF(OR(L85="",P85=""),"",IF(COUNTIFS(L$6:L85,L85,P$6:P85,"?*")=1,MAX(AI$5:AI84)+1,""))</f>
        <v/>
      </c>
    </row>
    <row r="86">
      <c r="B86" s="47" t="n">
        <v>46270</v>
      </c>
      <c r="C86" s="48" t="inlineStr">
        <is>
          <t>Gasto</t>
        </is>
      </c>
      <c r="D86" s="48" t="inlineStr">
        <is>
          <t>Alimentación</t>
        </is>
      </c>
      <c r="E86" s="48" t="inlineStr">
        <is>
          <t>Restaurantes</t>
        </is>
      </c>
      <c r="F86" s="48" t="inlineStr">
        <is>
          <t>DEMO · Almuerzo de fin de semana</t>
        </is>
      </c>
      <c r="G86" s="49" t="n">
        <v>1900</v>
      </c>
      <c r="H86" s="48" t="inlineStr">
        <is>
          <t>DOP</t>
        </is>
      </c>
      <c r="I86" s="50" t="n"/>
      <c r="J86" s="48" t="inlineStr">
        <is>
          <t>Tarjeta de crédito</t>
        </is>
      </c>
      <c r="K86" s="48" t="n"/>
      <c r="L86" s="48" t="inlineStr">
        <is>
          <t>Restaurante del malecón</t>
        </is>
      </c>
      <c r="M86" s="48" t="n"/>
      <c r="N86" s="48" t="inlineStr">
        <is>
          <t>DEMOSTRACIÓN</t>
        </is>
      </c>
      <c r="O86" s="51">
        <f>IF(AND(B86="",G86="",C86="",D86="",J86=""),"",IF(B86="","⚠ Falta fecha",IF(G86="","⚠ Falta monto",IF(Q86="","⚠ Falta cuenta",IF(ISNA(MATCH(Q86,ctaNombre,0)),"⚠ Cuenta no registrada",IF(AND(OR(P86="Gasto",P86="Reembolso"),D86=""),"⚠ Falta categoría",IF(AND(D86&lt;&gt;"",E86&lt;&gt;"",ISNA(MATCH(D86&amp;"|"&amp;E86,catClave,0))),"⚠ Subcategoría no corresponde",IF(AND(OR(P86="Transferencia",P86="Pago tarjeta"),K86=""),"⚠ Falta cuenta destino",IF(AND(K86&lt;&gt;"",P86&lt;&gt;"Transferencia",P86&lt;&gt;"Pago tarjeta"),"⚠ Destino solo aplica a transferencias",IF(AND(K86&lt;&gt;"",K86=Q86),"⚠ Origen igual a destino",IF(AND(K86&lt;&gt;"",ISNA(MATCH(K86,ctaNombre,0))),"⚠ Destino no registrado",IF(AND(P86="Pago tarjeta",AE86&lt;&gt;"Tarjeta de crédito"),"⚠ El destino debe ser tarjeta de crédito",IF(AND(P86="Gasto",E86="Depósitos y retiros"),"⚠ Usa tipo Transferencia",IF(AND(P86="Resultado trading",AD86&lt;&gt;"Cuenta de trading"),"⚠ Usa una cuenta de trading",IF(AND(G86&lt;=0,P86&lt;&gt;"Ajuste",P86&lt;&gt;"Resultado trading"),"⚠ El monto debe ser positivo","✓")))))))))))))))</f>
        <v/>
      </c>
      <c r="P86" s="52">
        <f>IF(OR(B86="",G86=""),"",IF(C86="","Gasto",C86))</f>
        <v/>
      </c>
      <c r="Q86" s="52">
        <f>IF(P86="","",IF(J86&lt;&gt;"",J86,CuentaPred&amp;""))</f>
        <v/>
      </c>
      <c r="R86" s="52">
        <f>IF(P86="","",IF(ISNUMBER(I86),I86,TasaUSD))</f>
        <v/>
      </c>
      <c r="S86" s="53">
        <f>IF(P86="","",IF(H86="USD",G86*R86,G86))</f>
        <v/>
      </c>
      <c r="T86" s="53">
        <f>IF(P86="","",IF(H86="USD",G86,IF(R86&gt;0,G86/R86,0)))</f>
        <v/>
      </c>
      <c r="U86" s="53">
        <f>IF(P86="","",IF(P86="Gasto",S86,IF(P86="Reembolso",-S86,0)))</f>
        <v/>
      </c>
      <c r="V86" s="53">
        <f>IF(P86="","",IF(P86="Ingreso",S86,0))</f>
        <v/>
      </c>
      <c r="W86" s="53">
        <f>IF(P86="","",IF(P86="Resultado trading",S86,0))</f>
        <v/>
      </c>
      <c r="X86" s="52">
        <f>IF(OR(P86="Gasto",P86="Reembolso"),IF(M86&lt;&gt;"",M86,IFERROR(INDEX(catClasif,MATCH(D86&amp;"|"&amp;E86,catClave,0))&amp;"","Variable")),"")</f>
        <v/>
      </c>
      <c r="Y86" s="52">
        <f>IF(P86="","",IFERROR(INDEX(catGrupo,MATCH(D86&amp;"|"&amp;E86,catClave,0))&amp;"",""))</f>
        <v/>
      </c>
      <c r="Z86" s="52">
        <f>IF(P86="","",WEEKDAY(B86,2))</f>
        <v/>
      </c>
      <c r="AA86" s="52">
        <f>IF(P86="","",IF(AND(P86="Gasto",X86="Variable",D86&lt;&gt;catTrading,S86&gt;0,S86&lt;=Umbral),1,0))</f>
        <v/>
      </c>
      <c r="AB86" s="52">
        <f>IF(OR(P86="",Q86=""),"",IFERROR(IF(INDEX(ctaVinc,MATCH(Q86,ctaNombre,0))&amp;""&lt;&gt;"",INDEX(ctaVinc,MATCH(Q86,ctaNombre,0))&amp;"",Q86),Q86))</f>
        <v/>
      </c>
      <c r="AC86" s="52">
        <f>IF(OR(K86="",AND(P86&lt;&gt;"Transferencia",P86&lt;&gt;"Pago tarjeta")),"",IFERROR(IF(INDEX(ctaVinc,MATCH(K86,ctaNombre,0))&amp;""&lt;&gt;"",INDEX(ctaVinc,MATCH(K86,ctaNombre,0))&amp;"",K86),K86))</f>
        <v/>
      </c>
      <c r="AD86" s="52">
        <f>IF(AB86="","",IFERROR(INDEX(ctaTipo,MATCH(AB86,ctaNombre,0))&amp;"",""))</f>
        <v/>
      </c>
      <c r="AE86" s="52">
        <f>IF(AC86="","",IFERROR(INDEX(ctaTipo,MATCH(AC86,ctaNombre,0))&amp;"",""))</f>
        <v/>
      </c>
      <c r="AF86" s="53">
        <f>IF(OR(P86="",AB86=""),"",IF(OR(P86="Gasto",P86="Transferencia",P86="Pago tarjeta"),-1,1)*IF(IFERROR(INDEX(ctaMoneda,MATCH(AB86,ctaNombre,0))&amp;"","DOP")="USD",T86,S86))</f>
        <v/>
      </c>
      <c r="AG86" s="53">
        <f>IF(AC86="","",IF(IFERROR(INDEX(ctaMoneda,MATCH(AC86,ctaNombre,0))&amp;"","DOP")="USD",T86,S86))</f>
        <v/>
      </c>
      <c r="AH86" s="53">
        <f>IF(P86="","",IF(AND(AD86&lt;&gt;"",COUNTIFS(tcTipo,AD86,tcLiq,"Sí")&gt;0),IF(OR(P86="Gasto",P86="Transferencia",P86="Pago tarjeta"),-1,1)*S86,0)+IF(AND(AE86&lt;&gt;"",COUNTIFS(tcTipo,AE86,tcLiq,"Sí")&gt;0),S86,0))</f>
        <v/>
      </c>
      <c r="AI86" s="52">
        <f>IF(OR(L86="",P86=""),"",IF(COUNTIFS(L$6:L86,L86,P$6:P86,"?*")=1,MAX(AI$5:AI85)+1,""))</f>
        <v/>
      </c>
    </row>
    <row r="87">
      <c r="B87" s="47" t="n">
        <v>46270</v>
      </c>
      <c r="C87" s="48" t="inlineStr">
        <is>
          <t>Gasto</t>
        </is>
      </c>
      <c r="D87" s="48" t="inlineStr">
        <is>
          <t>Hogar y servicios</t>
        </is>
      </c>
      <c r="E87" s="48" t="inlineStr">
        <is>
          <t>Internet</t>
        </is>
      </c>
      <c r="F87" s="48" t="inlineStr">
        <is>
          <t>DEMO · Internet del hogar</t>
        </is>
      </c>
      <c r="G87" s="49" t="n">
        <v>2050</v>
      </c>
      <c r="H87" s="48" t="inlineStr">
        <is>
          <t>DOP</t>
        </is>
      </c>
      <c r="I87" s="50" t="n"/>
      <c r="J87" s="48" t="inlineStr">
        <is>
          <t>Banco principal</t>
        </is>
      </c>
      <c r="K87" s="48" t="n"/>
      <c r="L87" s="48" t="inlineStr">
        <is>
          <t>Proveedor de internet</t>
        </is>
      </c>
      <c r="M87" s="48" t="n"/>
      <c r="N87" s="48" t="inlineStr">
        <is>
          <t>DEMOSTRACIÓN</t>
        </is>
      </c>
      <c r="O87" s="51">
        <f>IF(AND(B87="",G87="",C87="",D87="",J87=""),"",IF(B87="","⚠ Falta fecha",IF(G87="","⚠ Falta monto",IF(Q87="","⚠ Falta cuenta",IF(ISNA(MATCH(Q87,ctaNombre,0)),"⚠ Cuenta no registrada",IF(AND(OR(P87="Gasto",P87="Reembolso"),D87=""),"⚠ Falta categoría",IF(AND(D87&lt;&gt;"",E87&lt;&gt;"",ISNA(MATCH(D87&amp;"|"&amp;E87,catClave,0))),"⚠ Subcategoría no corresponde",IF(AND(OR(P87="Transferencia",P87="Pago tarjeta"),K87=""),"⚠ Falta cuenta destino",IF(AND(K87&lt;&gt;"",P87&lt;&gt;"Transferencia",P87&lt;&gt;"Pago tarjeta"),"⚠ Destino solo aplica a transferencias",IF(AND(K87&lt;&gt;"",K87=Q87),"⚠ Origen igual a destino",IF(AND(K87&lt;&gt;"",ISNA(MATCH(K87,ctaNombre,0))),"⚠ Destino no registrado",IF(AND(P87="Pago tarjeta",AE87&lt;&gt;"Tarjeta de crédito"),"⚠ El destino debe ser tarjeta de crédito",IF(AND(P87="Gasto",E87="Depósitos y retiros"),"⚠ Usa tipo Transferencia",IF(AND(P87="Resultado trading",AD87&lt;&gt;"Cuenta de trading"),"⚠ Usa una cuenta de trading",IF(AND(G87&lt;=0,P87&lt;&gt;"Ajuste",P87&lt;&gt;"Resultado trading"),"⚠ El monto debe ser positivo","✓")))))))))))))))</f>
        <v/>
      </c>
      <c r="P87" s="52">
        <f>IF(OR(B87="",G87=""),"",IF(C87="","Gasto",C87))</f>
        <v/>
      </c>
      <c r="Q87" s="52">
        <f>IF(P87="","",IF(J87&lt;&gt;"",J87,CuentaPred&amp;""))</f>
        <v/>
      </c>
      <c r="R87" s="52">
        <f>IF(P87="","",IF(ISNUMBER(I87),I87,TasaUSD))</f>
        <v/>
      </c>
      <c r="S87" s="53">
        <f>IF(P87="","",IF(H87="USD",G87*R87,G87))</f>
        <v/>
      </c>
      <c r="T87" s="53">
        <f>IF(P87="","",IF(H87="USD",G87,IF(R87&gt;0,G87/R87,0)))</f>
        <v/>
      </c>
      <c r="U87" s="53">
        <f>IF(P87="","",IF(P87="Gasto",S87,IF(P87="Reembolso",-S87,0)))</f>
        <v/>
      </c>
      <c r="V87" s="53">
        <f>IF(P87="","",IF(P87="Ingreso",S87,0))</f>
        <v/>
      </c>
      <c r="W87" s="53">
        <f>IF(P87="","",IF(P87="Resultado trading",S87,0))</f>
        <v/>
      </c>
      <c r="X87" s="52">
        <f>IF(OR(P87="Gasto",P87="Reembolso"),IF(M87&lt;&gt;"",M87,IFERROR(INDEX(catClasif,MATCH(D87&amp;"|"&amp;E87,catClave,0))&amp;"","Variable")),"")</f>
        <v/>
      </c>
      <c r="Y87" s="52">
        <f>IF(P87="","",IFERROR(INDEX(catGrupo,MATCH(D87&amp;"|"&amp;E87,catClave,0))&amp;"",""))</f>
        <v/>
      </c>
      <c r="Z87" s="52">
        <f>IF(P87="","",WEEKDAY(B87,2))</f>
        <v/>
      </c>
      <c r="AA87" s="52">
        <f>IF(P87="","",IF(AND(P87="Gasto",X87="Variable",D87&lt;&gt;catTrading,S87&gt;0,S87&lt;=Umbral),1,0))</f>
        <v/>
      </c>
      <c r="AB87" s="52">
        <f>IF(OR(P87="",Q87=""),"",IFERROR(IF(INDEX(ctaVinc,MATCH(Q87,ctaNombre,0))&amp;""&lt;&gt;"",INDEX(ctaVinc,MATCH(Q87,ctaNombre,0))&amp;"",Q87),Q87))</f>
        <v/>
      </c>
      <c r="AC87" s="52">
        <f>IF(OR(K87="",AND(P87&lt;&gt;"Transferencia",P87&lt;&gt;"Pago tarjeta")),"",IFERROR(IF(INDEX(ctaVinc,MATCH(K87,ctaNombre,0))&amp;""&lt;&gt;"",INDEX(ctaVinc,MATCH(K87,ctaNombre,0))&amp;"",K87),K87))</f>
        <v/>
      </c>
      <c r="AD87" s="52">
        <f>IF(AB87="","",IFERROR(INDEX(ctaTipo,MATCH(AB87,ctaNombre,0))&amp;"",""))</f>
        <v/>
      </c>
      <c r="AE87" s="52">
        <f>IF(AC87="","",IFERROR(INDEX(ctaTipo,MATCH(AC87,ctaNombre,0))&amp;"",""))</f>
        <v/>
      </c>
      <c r="AF87" s="53">
        <f>IF(OR(P87="",AB87=""),"",IF(OR(P87="Gasto",P87="Transferencia",P87="Pago tarjeta"),-1,1)*IF(IFERROR(INDEX(ctaMoneda,MATCH(AB87,ctaNombre,0))&amp;"","DOP")="USD",T87,S87))</f>
        <v/>
      </c>
      <c r="AG87" s="53">
        <f>IF(AC87="","",IF(IFERROR(INDEX(ctaMoneda,MATCH(AC87,ctaNombre,0))&amp;"","DOP")="USD",T87,S87))</f>
        <v/>
      </c>
      <c r="AH87" s="53">
        <f>IF(P87="","",IF(AND(AD87&lt;&gt;"",COUNTIFS(tcTipo,AD87,tcLiq,"Sí")&gt;0),IF(OR(P87="Gasto",P87="Transferencia",P87="Pago tarjeta"),-1,1)*S87,0)+IF(AND(AE87&lt;&gt;"",COUNTIFS(tcTipo,AE87,tcLiq,"Sí")&gt;0),S87,0))</f>
        <v/>
      </c>
      <c r="AI87" s="52">
        <f>IF(OR(L87="",P87=""),"",IF(COUNTIFS(L$6:L87,L87,P$6:P87,"?*")=1,MAX(AI$5:AI86)+1,""))</f>
        <v/>
      </c>
    </row>
    <row r="88">
      <c r="B88" s="47" t="n">
        <v>46272</v>
      </c>
      <c r="C88" s="48" t="inlineStr">
        <is>
          <t>Gasto</t>
        </is>
      </c>
      <c r="D88" s="48" t="inlineStr">
        <is>
          <t>Alimentación</t>
        </is>
      </c>
      <c r="E88" s="48" t="inlineStr">
        <is>
          <t>Desayunos comprados</t>
        </is>
      </c>
      <c r="F88" s="48" t="inlineStr">
        <is>
          <t>DEMO · Desayuno en la oficina</t>
        </is>
      </c>
      <c r="G88" s="49" t="n">
        <v>210</v>
      </c>
      <c r="H88" s="48" t="inlineStr">
        <is>
          <t>DOP</t>
        </is>
      </c>
      <c r="I88" s="50" t="n"/>
      <c r="J88" s="48" t="inlineStr">
        <is>
          <t>Efectivo</t>
        </is>
      </c>
      <c r="K88" s="48" t="n"/>
      <c r="L88" s="48" t="inlineStr">
        <is>
          <t>Cafetería del trabajo</t>
        </is>
      </c>
      <c r="M88" s="48" t="n"/>
      <c r="N88" s="48" t="inlineStr">
        <is>
          <t>DEMOSTRACIÓN</t>
        </is>
      </c>
      <c r="O88" s="51">
        <f>IF(AND(B88="",G88="",C88="",D88="",J88=""),"",IF(B88="","⚠ Falta fecha",IF(G88="","⚠ Falta monto",IF(Q88="","⚠ Falta cuenta",IF(ISNA(MATCH(Q88,ctaNombre,0)),"⚠ Cuenta no registrada",IF(AND(OR(P88="Gasto",P88="Reembolso"),D88=""),"⚠ Falta categoría",IF(AND(D88&lt;&gt;"",E88&lt;&gt;"",ISNA(MATCH(D88&amp;"|"&amp;E88,catClave,0))),"⚠ Subcategoría no corresponde",IF(AND(OR(P88="Transferencia",P88="Pago tarjeta"),K88=""),"⚠ Falta cuenta destino",IF(AND(K88&lt;&gt;"",P88&lt;&gt;"Transferencia",P88&lt;&gt;"Pago tarjeta"),"⚠ Destino solo aplica a transferencias",IF(AND(K88&lt;&gt;"",K88=Q88),"⚠ Origen igual a destino",IF(AND(K88&lt;&gt;"",ISNA(MATCH(K88,ctaNombre,0))),"⚠ Destino no registrado",IF(AND(P88="Pago tarjeta",AE88&lt;&gt;"Tarjeta de crédito"),"⚠ El destino debe ser tarjeta de crédito",IF(AND(P88="Gasto",E88="Depósitos y retiros"),"⚠ Usa tipo Transferencia",IF(AND(P88="Resultado trading",AD88&lt;&gt;"Cuenta de trading"),"⚠ Usa una cuenta de trading",IF(AND(G88&lt;=0,P88&lt;&gt;"Ajuste",P88&lt;&gt;"Resultado trading"),"⚠ El monto debe ser positivo","✓")))))))))))))))</f>
        <v/>
      </c>
      <c r="P88" s="52">
        <f>IF(OR(B88="",G88=""),"",IF(C88="","Gasto",C88))</f>
        <v/>
      </c>
      <c r="Q88" s="52">
        <f>IF(P88="","",IF(J88&lt;&gt;"",J88,CuentaPred&amp;""))</f>
        <v/>
      </c>
      <c r="R88" s="52">
        <f>IF(P88="","",IF(ISNUMBER(I88),I88,TasaUSD))</f>
        <v/>
      </c>
      <c r="S88" s="53">
        <f>IF(P88="","",IF(H88="USD",G88*R88,G88))</f>
        <v/>
      </c>
      <c r="T88" s="53">
        <f>IF(P88="","",IF(H88="USD",G88,IF(R88&gt;0,G88/R88,0)))</f>
        <v/>
      </c>
      <c r="U88" s="53">
        <f>IF(P88="","",IF(P88="Gasto",S88,IF(P88="Reembolso",-S88,0)))</f>
        <v/>
      </c>
      <c r="V88" s="53">
        <f>IF(P88="","",IF(P88="Ingreso",S88,0))</f>
        <v/>
      </c>
      <c r="W88" s="53">
        <f>IF(P88="","",IF(P88="Resultado trading",S88,0))</f>
        <v/>
      </c>
      <c r="X88" s="52">
        <f>IF(OR(P88="Gasto",P88="Reembolso"),IF(M88&lt;&gt;"",M88,IFERROR(INDEX(catClasif,MATCH(D88&amp;"|"&amp;E88,catClave,0))&amp;"","Variable")),"")</f>
        <v/>
      </c>
      <c r="Y88" s="52">
        <f>IF(P88="","",IFERROR(INDEX(catGrupo,MATCH(D88&amp;"|"&amp;E88,catClave,0))&amp;"",""))</f>
        <v/>
      </c>
      <c r="Z88" s="52">
        <f>IF(P88="","",WEEKDAY(B88,2))</f>
        <v/>
      </c>
      <c r="AA88" s="52">
        <f>IF(P88="","",IF(AND(P88="Gasto",X88="Variable",D88&lt;&gt;catTrading,S88&gt;0,S88&lt;=Umbral),1,0))</f>
        <v/>
      </c>
      <c r="AB88" s="52">
        <f>IF(OR(P88="",Q88=""),"",IFERROR(IF(INDEX(ctaVinc,MATCH(Q88,ctaNombre,0))&amp;""&lt;&gt;"",INDEX(ctaVinc,MATCH(Q88,ctaNombre,0))&amp;"",Q88),Q88))</f>
        <v/>
      </c>
      <c r="AC88" s="52">
        <f>IF(OR(K88="",AND(P88&lt;&gt;"Transferencia",P88&lt;&gt;"Pago tarjeta")),"",IFERROR(IF(INDEX(ctaVinc,MATCH(K88,ctaNombre,0))&amp;""&lt;&gt;"",INDEX(ctaVinc,MATCH(K88,ctaNombre,0))&amp;"",K88),K88))</f>
        <v/>
      </c>
      <c r="AD88" s="52">
        <f>IF(AB88="","",IFERROR(INDEX(ctaTipo,MATCH(AB88,ctaNombre,0))&amp;"",""))</f>
        <v/>
      </c>
      <c r="AE88" s="52">
        <f>IF(AC88="","",IFERROR(INDEX(ctaTipo,MATCH(AC88,ctaNombre,0))&amp;"",""))</f>
        <v/>
      </c>
      <c r="AF88" s="53">
        <f>IF(OR(P88="",AB88=""),"",IF(OR(P88="Gasto",P88="Transferencia",P88="Pago tarjeta"),-1,1)*IF(IFERROR(INDEX(ctaMoneda,MATCH(AB88,ctaNombre,0))&amp;"","DOP")="USD",T88,S88))</f>
        <v/>
      </c>
      <c r="AG88" s="53">
        <f>IF(AC88="","",IF(IFERROR(INDEX(ctaMoneda,MATCH(AC88,ctaNombre,0))&amp;"","DOP")="USD",T88,S88))</f>
        <v/>
      </c>
      <c r="AH88" s="53">
        <f>IF(P88="","",IF(AND(AD88&lt;&gt;"",COUNTIFS(tcTipo,AD88,tcLiq,"Sí")&gt;0),IF(OR(P88="Gasto",P88="Transferencia",P88="Pago tarjeta"),-1,1)*S88,0)+IF(AND(AE88&lt;&gt;"",COUNTIFS(tcTipo,AE88,tcLiq,"Sí")&gt;0),S88,0))</f>
        <v/>
      </c>
      <c r="AI88" s="52">
        <f>IF(OR(L88="",P88=""),"",IF(COUNTIFS(L$6:L88,L88,P$6:P88,"?*")=1,MAX(AI$5:AI87)+1,""))</f>
        <v/>
      </c>
    </row>
    <row r="89">
      <c r="B89" s="47" t="n">
        <v>46272</v>
      </c>
      <c r="C89" s="48" t="inlineStr">
        <is>
          <t>Gasto</t>
        </is>
      </c>
      <c r="D89" s="48" t="inlineStr">
        <is>
          <t>Alimentación</t>
        </is>
      </c>
      <c r="E89" s="48" t="inlineStr">
        <is>
          <t>Almuerzos laborales</t>
        </is>
      </c>
      <c r="F89" s="48" t="inlineStr">
        <is>
          <t>DEMO · Almuerzo laboral</t>
        </is>
      </c>
      <c r="G89" s="49" t="n">
        <v>375</v>
      </c>
      <c r="H89" s="48" t="inlineStr">
        <is>
          <t>DOP</t>
        </is>
      </c>
      <c r="I89" s="50" t="n"/>
      <c r="J89" s="48" t="inlineStr">
        <is>
          <t>Billetera digital</t>
        </is>
      </c>
      <c r="K89" s="48" t="n"/>
      <c r="L89" s="48" t="inlineStr">
        <is>
          <t>Comedor ejecutivo</t>
        </is>
      </c>
      <c r="M89" s="48" t="n"/>
      <c r="N89" s="48" t="inlineStr">
        <is>
          <t>DEMOSTRACIÓN</t>
        </is>
      </c>
      <c r="O89" s="51">
        <f>IF(AND(B89="",G89="",C89="",D89="",J89=""),"",IF(B89="","⚠ Falta fecha",IF(G89="","⚠ Falta monto",IF(Q89="","⚠ Falta cuenta",IF(ISNA(MATCH(Q89,ctaNombre,0)),"⚠ Cuenta no registrada",IF(AND(OR(P89="Gasto",P89="Reembolso"),D89=""),"⚠ Falta categoría",IF(AND(D89&lt;&gt;"",E89&lt;&gt;"",ISNA(MATCH(D89&amp;"|"&amp;E89,catClave,0))),"⚠ Subcategoría no corresponde",IF(AND(OR(P89="Transferencia",P89="Pago tarjeta"),K89=""),"⚠ Falta cuenta destino",IF(AND(K89&lt;&gt;"",P89&lt;&gt;"Transferencia",P89&lt;&gt;"Pago tarjeta"),"⚠ Destino solo aplica a transferencias",IF(AND(K89&lt;&gt;"",K89=Q89),"⚠ Origen igual a destino",IF(AND(K89&lt;&gt;"",ISNA(MATCH(K89,ctaNombre,0))),"⚠ Destino no registrado",IF(AND(P89="Pago tarjeta",AE89&lt;&gt;"Tarjeta de crédito"),"⚠ El destino debe ser tarjeta de crédito",IF(AND(P89="Gasto",E89="Depósitos y retiros"),"⚠ Usa tipo Transferencia",IF(AND(P89="Resultado trading",AD89&lt;&gt;"Cuenta de trading"),"⚠ Usa una cuenta de trading",IF(AND(G89&lt;=0,P89&lt;&gt;"Ajuste",P89&lt;&gt;"Resultado trading"),"⚠ El monto debe ser positivo","✓")))))))))))))))</f>
        <v/>
      </c>
      <c r="P89" s="52">
        <f>IF(OR(B89="",G89=""),"",IF(C89="","Gasto",C89))</f>
        <v/>
      </c>
      <c r="Q89" s="52">
        <f>IF(P89="","",IF(J89&lt;&gt;"",J89,CuentaPred&amp;""))</f>
        <v/>
      </c>
      <c r="R89" s="52">
        <f>IF(P89="","",IF(ISNUMBER(I89),I89,TasaUSD))</f>
        <v/>
      </c>
      <c r="S89" s="53">
        <f>IF(P89="","",IF(H89="USD",G89*R89,G89))</f>
        <v/>
      </c>
      <c r="T89" s="53">
        <f>IF(P89="","",IF(H89="USD",G89,IF(R89&gt;0,G89/R89,0)))</f>
        <v/>
      </c>
      <c r="U89" s="53">
        <f>IF(P89="","",IF(P89="Gasto",S89,IF(P89="Reembolso",-S89,0)))</f>
        <v/>
      </c>
      <c r="V89" s="53">
        <f>IF(P89="","",IF(P89="Ingreso",S89,0))</f>
        <v/>
      </c>
      <c r="W89" s="53">
        <f>IF(P89="","",IF(P89="Resultado trading",S89,0))</f>
        <v/>
      </c>
      <c r="X89" s="52">
        <f>IF(OR(P89="Gasto",P89="Reembolso"),IF(M89&lt;&gt;"",M89,IFERROR(INDEX(catClasif,MATCH(D89&amp;"|"&amp;E89,catClave,0))&amp;"","Variable")),"")</f>
        <v/>
      </c>
      <c r="Y89" s="52">
        <f>IF(P89="","",IFERROR(INDEX(catGrupo,MATCH(D89&amp;"|"&amp;E89,catClave,0))&amp;"",""))</f>
        <v/>
      </c>
      <c r="Z89" s="52">
        <f>IF(P89="","",WEEKDAY(B89,2))</f>
        <v/>
      </c>
      <c r="AA89" s="52">
        <f>IF(P89="","",IF(AND(P89="Gasto",X89="Variable",D89&lt;&gt;catTrading,S89&gt;0,S89&lt;=Umbral),1,0))</f>
        <v/>
      </c>
      <c r="AB89" s="52">
        <f>IF(OR(P89="",Q89=""),"",IFERROR(IF(INDEX(ctaVinc,MATCH(Q89,ctaNombre,0))&amp;""&lt;&gt;"",INDEX(ctaVinc,MATCH(Q89,ctaNombre,0))&amp;"",Q89),Q89))</f>
        <v/>
      </c>
      <c r="AC89" s="52">
        <f>IF(OR(K89="",AND(P89&lt;&gt;"Transferencia",P89&lt;&gt;"Pago tarjeta")),"",IFERROR(IF(INDEX(ctaVinc,MATCH(K89,ctaNombre,0))&amp;""&lt;&gt;"",INDEX(ctaVinc,MATCH(K89,ctaNombre,0))&amp;"",K89),K89))</f>
        <v/>
      </c>
      <c r="AD89" s="52">
        <f>IF(AB89="","",IFERROR(INDEX(ctaTipo,MATCH(AB89,ctaNombre,0))&amp;"",""))</f>
        <v/>
      </c>
      <c r="AE89" s="52">
        <f>IF(AC89="","",IFERROR(INDEX(ctaTipo,MATCH(AC89,ctaNombre,0))&amp;"",""))</f>
        <v/>
      </c>
      <c r="AF89" s="53">
        <f>IF(OR(P89="",AB89=""),"",IF(OR(P89="Gasto",P89="Transferencia",P89="Pago tarjeta"),-1,1)*IF(IFERROR(INDEX(ctaMoneda,MATCH(AB89,ctaNombre,0))&amp;"","DOP")="USD",T89,S89))</f>
        <v/>
      </c>
      <c r="AG89" s="53">
        <f>IF(AC89="","",IF(IFERROR(INDEX(ctaMoneda,MATCH(AC89,ctaNombre,0))&amp;"","DOP")="USD",T89,S89))</f>
        <v/>
      </c>
      <c r="AH89" s="53">
        <f>IF(P89="","",IF(AND(AD89&lt;&gt;"",COUNTIFS(tcTipo,AD89,tcLiq,"Sí")&gt;0),IF(OR(P89="Gasto",P89="Transferencia",P89="Pago tarjeta"),-1,1)*S89,0)+IF(AND(AE89&lt;&gt;"",COUNTIFS(tcTipo,AE89,tcLiq,"Sí")&gt;0),S89,0))</f>
        <v/>
      </c>
      <c r="AI89" s="52">
        <f>IF(OR(L89="",P89=""),"",IF(COUNTIFS(L$6:L89,L89,P$6:P89,"?*")=1,MAX(AI$5:AI88)+1,""))</f>
        <v/>
      </c>
    </row>
    <row r="90">
      <c r="B90" s="47" t="n">
        <v>46272</v>
      </c>
      <c r="C90" s="48" t="inlineStr">
        <is>
          <t>Gasto</t>
        </is>
      </c>
      <c r="D90" s="48" t="inlineStr">
        <is>
          <t>Transporte y vehículo</t>
        </is>
      </c>
      <c r="E90" s="48" t="inlineStr">
        <is>
          <t>Combustible</t>
        </is>
      </c>
      <c r="F90" s="48" t="inlineStr">
        <is>
          <t>DEMO · Combustible</t>
        </is>
      </c>
      <c r="G90" s="49" t="n">
        <v>2400</v>
      </c>
      <c r="H90" s="48" t="inlineStr">
        <is>
          <t>DOP</t>
        </is>
      </c>
      <c r="I90" s="50" t="n"/>
      <c r="J90" s="48" t="inlineStr">
        <is>
          <t>Tarjeta de crédito</t>
        </is>
      </c>
      <c r="K90" s="48" t="n"/>
      <c r="L90" s="48" t="inlineStr">
        <is>
          <t>Estación de combustible</t>
        </is>
      </c>
      <c r="M90" s="48" t="n"/>
      <c r="N90" s="48" t="inlineStr">
        <is>
          <t>DEMOSTRACIÓN</t>
        </is>
      </c>
      <c r="O90" s="51">
        <f>IF(AND(B90="",G90="",C90="",D90="",J90=""),"",IF(B90="","⚠ Falta fecha",IF(G90="","⚠ Falta monto",IF(Q90="","⚠ Falta cuenta",IF(ISNA(MATCH(Q90,ctaNombre,0)),"⚠ Cuenta no registrada",IF(AND(OR(P90="Gasto",P90="Reembolso"),D90=""),"⚠ Falta categoría",IF(AND(D90&lt;&gt;"",E90&lt;&gt;"",ISNA(MATCH(D90&amp;"|"&amp;E90,catClave,0))),"⚠ Subcategoría no corresponde",IF(AND(OR(P90="Transferencia",P90="Pago tarjeta"),K90=""),"⚠ Falta cuenta destino",IF(AND(K90&lt;&gt;"",P90&lt;&gt;"Transferencia",P90&lt;&gt;"Pago tarjeta"),"⚠ Destino solo aplica a transferencias",IF(AND(K90&lt;&gt;"",K90=Q90),"⚠ Origen igual a destino",IF(AND(K90&lt;&gt;"",ISNA(MATCH(K90,ctaNombre,0))),"⚠ Destino no registrado",IF(AND(P90="Pago tarjeta",AE90&lt;&gt;"Tarjeta de crédito"),"⚠ El destino debe ser tarjeta de crédito",IF(AND(P90="Gasto",E90="Depósitos y retiros"),"⚠ Usa tipo Transferencia",IF(AND(P90="Resultado trading",AD90&lt;&gt;"Cuenta de trading"),"⚠ Usa una cuenta de trading",IF(AND(G90&lt;=0,P90&lt;&gt;"Ajuste",P90&lt;&gt;"Resultado trading"),"⚠ El monto debe ser positivo","✓")))))))))))))))</f>
        <v/>
      </c>
      <c r="P90" s="52">
        <f>IF(OR(B90="",G90=""),"",IF(C90="","Gasto",C90))</f>
        <v/>
      </c>
      <c r="Q90" s="52">
        <f>IF(P90="","",IF(J90&lt;&gt;"",J90,CuentaPred&amp;""))</f>
        <v/>
      </c>
      <c r="R90" s="52">
        <f>IF(P90="","",IF(ISNUMBER(I90),I90,TasaUSD))</f>
        <v/>
      </c>
      <c r="S90" s="53">
        <f>IF(P90="","",IF(H90="USD",G90*R90,G90))</f>
        <v/>
      </c>
      <c r="T90" s="53">
        <f>IF(P90="","",IF(H90="USD",G90,IF(R90&gt;0,G90/R90,0)))</f>
        <v/>
      </c>
      <c r="U90" s="53">
        <f>IF(P90="","",IF(P90="Gasto",S90,IF(P90="Reembolso",-S90,0)))</f>
        <v/>
      </c>
      <c r="V90" s="53">
        <f>IF(P90="","",IF(P90="Ingreso",S90,0))</f>
        <v/>
      </c>
      <c r="W90" s="53">
        <f>IF(P90="","",IF(P90="Resultado trading",S90,0))</f>
        <v/>
      </c>
      <c r="X90" s="52">
        <f>IF(OR(P90="Gasto",P90="Reembolso"),IF(M90&lt;&gt;"",M90,IFERROR(INDEX(catClasif,MATCH(D90&amp;"|"&amp;E90,catClave,0))&amp;"","Variable")),"")</f>
        <v/>
      </c>
      <c r="Y90" s="52">
        <f>IF(P90="","",IFERROR(INDEX(catGrupo,MATCH(D90&amp;"|"&amp;E90,catClave,0))&amp;"",""))</f>
        <v/>
      </c>
      <c r="Z90" s="52">
        <f>IF(P90="","",WEEKDAY(B90,2))</f>
        <v/>
      </c>
      <c r="AA90" s="52">
        <f>IF(P90="","",IF(AND(P90="Gasto",X90="Variable",D90&lt;&gt;catTrading,S90&gt;0,S90&lt;=Umbral),1,0))</f>
        <v/>
      </c>
      <c r="AB90" s="52">
        <f>IF(OR(P90="",Q90=""),"",IFERROR(IF(INDEX(ctaVinc,MATCH(Q90,ctaNombre,0))&amp;""&lt;&gt;"",INDEX(ctaVinc,MATCH(Q90,ctaNombre,0))&amp;"",Q90),Q90))</f>
        <v/>
      </c>
      <c r="AC90" s="52">
        <f>IF(OR(K90="",AND(P90&lt;&gt;"Transferencia",P90&lt;&gt;"Pago tarjeta")),"",IFERROR(IF(INDEX(ctaVinc,MATCH(K90,ctaNombre,0))&amp;""&lt;&gt;"",INDEX(ctaVinc,MATCH(K90,ctaNombre,0))&amp;"",K90),K90))</f>
        <v/>
      </c>
      <c r="AD90" s="52">
        <f>IF(AB90="","",IFERROR(INDEX(ctaTipo,MATCH(AB90,ctaNombre,0))&amp;"",""))</f>
        <v/>
      </c>
      <c r="AE90" s="52">
        <f>IF(AC90="","",IFERROR(INDEX(ctaTipo,MATCH(AC90,ctaNombre,0))&amp;"",""))</f>
        <v/>
      </c>
      <c r="AF90" s="53">
        <f>IF(OR(P90="",AB90=""),"",IF(OR(P90="Gasto",P90="Transferencia",P90="Pago tarjeta"),-1,1)*IF(IFERROR(INDEX(ctaMoneda,MATCH(AB90,ctaNombre,0))&amp;"","DOP")="USD",T90,S90))</f>
        <v/>
      </c>
      <c r="AG90" s="53">
        <f>IF(AC90="","",IF(IFERROR(INDEX(ctaMoneda,MATCH(AC90,ctaNombre,0))&amp;"","DOP")="USD",T90,S90))</f>
        <v/>
      </c>
      <c r="AH90" s="53">
        <f>IF(P90="","",IF(AND(AD90&lt;&gt;"",COUNTIFS(tcTipo,AD90,tcLiq,"Sí")&gt;0),IF(OR(P90="Gasto",P90="Transferencia",P90="Pago tarjeta"),-1,1)*S90,0)+IF(AND(AE90&lt;&gt;"",COUNTIFS(tcTipo,AE90,tcLiq,"Sí")&gt;0),S90,0))</f>
        <v/>
      </c>
      <c r="AI90" s="52">
        <f>IF(OR(L90="",P90=""),"",IF(COUNTIFS(L$6:L90,L90,P$6:P90,"?*")=1,MAX(AI$5:AI89)+1,""))</f>
        <v/>
      </c>
    </row>
    <row r="91">
      <c r="B91" s="47" t="n">
        <v>46273</v>
      </c>
      <c r="C91" s="48" t="inlineStr">
        <is>
          <t>Gasto</t>
        </is>
      </c>
      <c r="D91" s="48" t="inlineStr">
        <is>
          <t>Alimentación</t>
        </is>
      </c>
      <c r="E91" s="48" t="inlineStr">
        <is>
          <t>Desayunos comprados</t>
        </is>
      </c>
      <c r="F91" s="48" t="inlineStr">
        <is>
          <t>DEMO · Desayuno en la oficina</t>
        </is>
      </c>
      <c r="G91" s="49" t="n">
        <v>310</v>
      </c>
      <c r="H91" s="48" t="inlineStr">
        <is>
          <t>DOP</t>
        </is>
      </c>
      <c r="I91" s="50" t="n"/>
      <c r="J91" s="48" t="inlineStr">
        <is>
          <t>Efectivo</t>
        </is>
      </c>
      <c r="K91" s="48" t="n"/>
      <c r="L91" s="48" t="inlineStr">
        <is>
          <t>Cafetería del trabajo</t>
        </is>
      </c>
      <c r="M91" s="48" t="n"/>
      <c r="N91" s="48" t="inlineStr">
        <is>
          <t>DEMOSTRACIÓN</t>
        </is>
      </c>
      <c r="O91" s="51">
        <f>IF(AND(B91="",G91="",C91="",D91="",J91=""),"",IF(B91="","⚠ Falta fecha",IF(G91="","⚠ Falta monto",IF(Q91="","⚠ Falta cuenta",IF(ISNA(MATCH(Q91,ctaNombre,0)),"⚠ Cuenta no registrada",IF(AND(OR(P91="Gasto",P91="Reembolso"),D91=""),"⚠ Falta categoría",IF(AND(D91&lt;&gt;"",E91&lt;&gt;"",ISNA(MATCH(D91&amp;"|"&amp;E91,catClave,0))),"⚠ Subcategoría no corresponde",IF(AND(OR(P91="Transferencia",P91="Pago tarjeta"),K91=""),"⚠ Falta cuenta destino",IF(AND(K91&lt;&gt;"",P91&lt;&gt;"Transferencia",P91&lt;&gt;"Pago tarjeta"),"⚠ Destino solo aplica a transferencias",IF(AND(K91&lt;&gt;"",K91=Q91),"⚠ Origen igual a destino",IF(AND(K91&lt;&gt;"",ISNA(MATCH(K91,ctaNombre,0))),"⚠ Destino no registrado",IF(AND(P91="Pago tarjeta",AE91&lt;&gt;"Tarjeta de crédito"),"⚠ El destino debe ser tarjeta de crédito",IF(AND(P91="Gasto",E91="Depósitos y retiros"),"⚠ Usa tipo Transferencia",IF(AND(P91="Resultado trading",AD91&lt;&gt;"Cuenta de trading"),"⚠ Usa una cuenta de trading",IF(AND(G91&lt;=0,P91&lt;&gt;"Ajuste",P91&lt;&gt;"Resultado trading"),"⚠ El monto debe ser positivo","✓")))))))))))))))</f>
        <v/>
      </c>
      <c r="P91" s="52">
        <f>IF(OR(B91="",G91=""),"",IF(C91="","Gasto",C91))</f>
        <v/>
      </c>
      <c r="Q91" s="52">
        <f>IF(P91="","",IF(J91&lt;&gt;"",J91,CuentaPred&amp;""))</f>
        <v/>
      </c>
      <c r="R91" s="52">
        <f>IF(P91="","",IF(ISNUMBER(I91),I91,TasaUSD))</f>
        <v/>
      </c>
      <c r="S91" s="53">
        <f>IF(P91="","",IF(H91="USD",G91*R91,G91))</f>
        <v/>
      </c>
      <c r="T91" s="53">
        <f>IF(P91="","",IF(H91="USD",G91,IF(R91&gt;0,G91/R91,0)))</f>
        <v/>
      </c>
      <c r="U91" s="53">
        <f>IF(P91="","",IF(P91="Gasto",S91,IF(P91="Reembolso",-S91,0)))</f>
        <v/>
      </c>
      <c r="V91" s="53">
        <f>IF(P91="","",IF(P91="Ingreso",S91,0))</f>
        <v/>
      </c>
      <c r="W91" s="53">
        <f>IF(P91="","",IF(P91="Resultado trading",S91,0))</f>
        <v/>
      </c>
      <c r="X91" s="52">
        <f>IF(OR(P91="Gasto",P91="Reembolso"),IF(M91&lt;&gt;"",M91,IFERROR(INDEX(catClasif,MATCH(D91&amp;"|"&amp;E91,catClave,0))&amp;"","Variable")),"")</f>
        <v/>
      </c>
      <c r="Y91" s="52">
        <f>IF(P91="","",IFERROR(INDEX(catGrupo,MATCH(D91&amp;"|"&amp;E91,catClave,0))&amp;"",""))</f>
        <v/>
      </c>
      <c r="Z91" s="52">
        <f>IF(P91="","",WEEKDAY(B91,2))</f>
        <v/>
      </c>
      <c r="AA91" s="52">
        <f>IF(P91="","",IF(AND(P91="Gasto",X91="Variable",D91&lt;&gt;catTrading,S91&gt;0,S91&lt;=Umbral),1,0))</f>
        <v/>
      </c>
      <c r="AB91" s="52">
        <f>IF(OR(P91="",Q91=""),"",IFERROR(IF(INDEX(ctaVinc,MATCH(Q91,ctaNombre,0))&amp;""&lt;&gt;"",INDEX(ctaVinc,MATCH(Q91,ctaNombre,0))&amp;"",Q91),Q91))</f>
        <v/>
      </c>
      <c r="AC91" s="52">
        <f>IF(OR(K91="",AND(P91&lt;&gt;"Transferencia",P91&lt;&gt;"Pago tarjeta")),"",IFERROR(IF(INDEX(ctaVinc,MATCH(K91,ctaNombre,0))&amp;""&lt;&gt;"",INDEX(ctaVinc,MATCH(K91,ctaNombre,0))&amp;"",K91),K91))</f>
        <v/>
      </c>
      <c r="AD91" s="52">
        <f>IF(AB91="","",IFERROR(INDEX(ctaTipo,MATCH(AB91,ctaNombre,0))&amp;"",""))</f>
        <v/>
      </c>
      <c r="AE91" s="52">
        <f>IF(AC91="","",IFERROR(INDEX(ctaTipo,MATCH(AC91,ctaNombre,0))&amp;"",""))</f>
        <v/>
      </c>
      <c r="AF91" s="53">
        <f>IF(OR(P91="",AB91=""),"",IF(OR(P91="Gasto",P91="Transferencia",P91="Pago tarjeta"),-1,1)*IF(IFERROR(INDEX(ctaMoneda,MATCH(AB91,ctaNombre,0))&amp;"","DOP")="USD",T91,S91))</f>
        <v/>
      </c>
      <c r="AG91" s="53">
        <f>IF(AC91="","",IF(IFERROR(INDEX(ctaMoneda,MATCH(AC91,ctaNombre,0))&amp;"","DOP")="USD",T91,S91))</f>
        <v/>
      </c>
      <c r="AH91" s="53">
        <f>IF(P91="","",IF(AND(AD91&lt;&gt;"",COUNTIFS(tcTipo,AD91,tcLiq,"Sí")&gt;0),IF(OR(P91="Gasto",P91="Transferencia",P91="Pago tarjeta"),-1,1)*S91,0)+IF(AND(AE91&lt;&gt;"",COUNTIFS(tcTipo,AE91,tcLiq,"Sí")&gt;0),S91,0))</f>
        <v/>
      </c>
      <c r="AI91" s="52">
        <f>IF(OR(L91="",P91=""),"",IF(COUNTIFS(L$6:L91,L91,P$6:P91,"?*")=1,MAX(AI$5:AI90)+1,""))</f>
        <v/>
      </c>
    </row>
    <row r="92">
      <c r="B92" s="47" t="n">
        <v>46273</v>
      </c>
      <c r="C92" s="48" t="inlineStr">
        <is>
          <t>Gasto</t>
        </is>
      </c>
      <c r="D92" s="48" t="inlineStr">
        <is>
          <t>Alimentación</t>
        </is>
      </c>
      <c r="E92" s="48" t="inlineStr">
        <is>
          <t>Almuerzos laborales</t>
        </is>
      </c>
      <c r="F92" s="48" t="inlineStr">
        <is>
          <t>DEMO · Almuerzo laboral</t>
        </is>
      </c>
      <c r="G92" s="49" t="n">
        <v>350</v>
      </c>
      <c r="H92" s="48" t="inlineStr">
        <is>
          <t>DOP</t>
        </is>
      </c>
      <c r="I92" s="50" t="n"/>
      <c r="J92" s="48" t="inlineStr">
        <is>
          <t>Tarjeta de débito</t>
        </is>
      </c>
      <c r="K92" s="48" t="n"/>
      <c r="L92" s="48" t="inlineStr">
        <is>
          <t>Comedor ejecutivo</t>
        </is>
      </c>
      <c r="M92" s="48" t="n"/>
      <c r="N92" s="48" t="inlineStr">
        <is>
          <t>DEMOSTRACIÓN</t>
        </is>
      </c>
      <c r="O92" s="51">
        <f>IF(AND(B92="",G92="",C92="",D92="",J92=""),"",IF(B92="","⚠ Falta fecha",IF(G92="","⚠ Falta monto",IF(Q92="","⚠ Falta cuenta",IF(ISNA(MATCH(Q92,ctaNombre,0)),"⚠ Cuenta no registrada",IF(AND(OR(P92="Gasto",P92="Reembolso"),D92=""),"⚠ Falta categoría",IF(AND(D92&lt;&gt;"",E92&lt;&gt;"",ISNA(MATCH(D92&amp;"|"&amp;E92,catClave,0))),"⚠ Subcategoría no corresponde",IF(AND(OR(P92="Transferencia",P92="Pago tarjeta"),K92=""),"⚠ Falta cuenta destino",IF(AND(K92&lt;&gt;"",P92&lt;&gt;"Transferencia",P92&lt;&gt;"Pago tarjeta"),"⚠ Destino solo aplica a transferencias",IF(AND(K92&lt;&gt;"",K92=Q92),"⚠ Origen igual a destino",IF(AND(K92&lt;&gt;"",ISNA(MATCH(K92,ctaNombre,0))),"⚠ Destino no registrado",IF(AND(P92="Pago tarjeta",AE92&lt;&gt;"Tarjeta de crédito"),"⚠ El destino debe ser tarjeta de crédito",IF(AND(P92="Gasto",E92="Depósitos y retiros"),"⚠ Usa tipo Transferencia",IF(AND(P92="Resultado trading",AD92&lt;&gt;"Cuenta de trading"),"⚠ Usa una cuenta de trading",IF(AND(G92&lt;=0,P92&lt;&gt;"Ajuste",P92&lt;&gt;"Resultado trading"),"⚠ El monto debe ser positivo","✓")))))))))))))))</f>
        <v/>
      </c>
      <c r="P92" s="52">
        <f>IF(OR(B92="",G92=""),"",IF(C92="","Gasto",C92))</f>
        <v/>
      </c>
      <c r="Q92" s="52">
        <f>IF(P92="","",IF(J92&lt;&gt;"",J92,CuentaPred&amp;""))</f>
        <v/>
      </c>
      <c r="R92" s="52">
        <f>IF(P92="","",IF(ISNUMBER(I92),I92,TasaUSD))</f>
        <v/>
      </c>
      <c r="S92" s="53">
        <f>IF(P92="","",IF(H92="USD",G92*R92,G92))</f>
        <v/>
      </c>
      <c r="T92" s="53">
        <f>IF(P92="","",IF(H92="USD",G92,IF(R92&gt;0,G92/R92,0)))</f>
        <v/>
      </c>
      <c r="U92" s="53">
        <f>IF(P92="","",IF(P92="Gasto",S92,IF(P92="Reembolso",-S92,0)))</f>
        <v/>
      </c>
      <c r="V92" s="53">
        <f>IF(P92="","",IF(P92="Ingreso",S92,0))</f>
        <v/>
      </c>
      <c r="W92" s="53">
        <f>IF(P92="","",IF(P92="Resultado trading",S92,0))</f>
        <v/>
      </c>
      <c r="X92" s="52">
        <f>IF(OR(P92="Gasto",P92="Reembolso"),IF(M92&lt;&gt;"",M92,IFERROR(INDEX(catClasif,MATCH(D92&amp;"|"&amp;E92,catClave,0))&amp;"","Variable")),"")</f>
        <v/>
      </c>
      <c r="Y92" s="52">
        <f>IF(P92="","",IFERROR(INDEX(catGrupo,MATCH(D92&amp;"|"&amp;E92,catClave,0))&amp;"",""))</f>
        <v/>
      </c>
      <c r="Z92" s="52">
        <f>IF(P92="","",WEEKDAY(B92,2))</f>
        <v/>
      </c>
      <c r="AA92" s="52">
        <f>IF(P92="","",IF(AND(P92="Gasto",X92="Variable",D92&lt;&gt;catTrading,S92&gt;0,S92&lt;=Umbral),1,0))</f>
        <v/>
      </c>
      <c r="AB92" s="52">
        <f>IF(OR(P92="",Q92=""),"",IFERROR(IF(INDEX(ctaVinc,MATCH(Q92,ctaNombre,0))&amp;""&lt;&gt;"",INDEX(ctaVinc,MATCH(Q92,ctaNombre,0))&amp;"",Q92),Q92))</f>
        <v/>
      </c>
      <c r="AC92" s="52">
        <f>IF(OR(K92="",AND(P92&lt;&gt;"Transferencia",P92&lt;&gt;"Pago tarjeta")),"",IFERROR(IF(INDEX(ctaVinc,MATCH(K92,ctaNombre,0))&amp;""&lt;&gt;"",INDEX(ctaVinc,MATCH(K92,ctaNombre,0))&amp;"",K92),K92))</f>
        <v/>
      </c>
      <c r="AD92" s="52">
        <f>IF(AB92="","",IFERROR(INDEX(ctaTipo,MATCH(AB92,ctaNombre,0))&amp;"",""))</f>
        <v/>
      </c>
      <c r="AE92" s="52">
        <f>IF(AC92="","",IFERROR(INDEX(ctaTipo,MATCH(AC92,ctaNombre,0))&amp;"",""))</f>
        <v/>
      </c>
      <c r="AF92" s="53">
        <f>IF(OR(P92="",AB92=""),"",IF(OR(P92="Gasto",P92="Transferencia",P92="Pago tarjeta"),-1,1)*IF(IFERROR(INDEX(ctaMoneda,MATCH(AB92,ctaNombre,0))&amp;"","DOP")="USD",T92,S92))</f>
        <v/>
      </c>
      <c r="AG92" s="53">
        <f>IF(AC92="","",IF(IFERROR(INDEX(ctaMoneda,MATCH(AC92,ctaNombre,0))&amp;"","DOP")="USD",T92,S92))</f>
        <v/>
      </c>
      <c r="AH92" s="53">
        <f>IF(P92="","",IF(AND(AD92&lt;&gt;"",COUNTIFS(tcTipo,AD92,tcLiq,"Sí")&gt;0),IF(OR(P92="Gasto",P92="Transferencia",P92="Pago tarjeta"),-1,1)*S92,0)+IF(AND(AE92&lt;&gt;"",COUNTIFS(tcTipo,AE92,tcLiq,"Sí")&gt;0),S92,0))</f>
        <v/>
      </c>
      <c r="AI92" s="52">
        <f>IF(OR(L92="",P92=""),"",IF(COUNTIFS(L$6:L92,L92,P$6:P92,"?*")=1,MAX(AI$5:AI91)+1,""))</f>
        <v/>
      </c>
    </row>
    <row r="93">
      <c r="B93" s="47" t="n">
        <v>46273</v>
      </c>
      <c r="C93" s="48" t="inlineStr">
        <is>
          <t>Gasto</t>
        </is>
      </c>
      <c r="D93" s="48" t="inlineStr">
        <is>
          <t>Alimentación</t>
        </is>
      </c>
      <c r="E93" s="48" t="inlineStr">
        <is>
          <t>Bebidas, snacks y otros consumos</t>
        </is>
      </c>
      <c r="F93" s="48" t="inlineStr">
        <is>
          <t>DEMO · Café</t>
        </is>
      </c>
      <c r="G93" s="49" t="n">
        <v>130</v>
      </c>
      <c r="H93" s="48" t="inlineStr">
        <is>
          <t>DOP</t>
        </is>
      </c>
      <c r="I93" s="50" t="n"/>
      <c r="J93" s="48" t="inlineStr">
        <is>
          <t>Efectivo</t>
        </is>
      </c>
      <c r="K93" s="48" t="n"/>
      <c r="L93" s="48" t="inlineStr">
        <is>
          <t>Cafetería del trabajo</t>
        </is>
      </c>
      <c r="M93" s="48" t="n"/>
      <c r="N93" s="48" t="inlineStr">
        <is>
          <t>DEMOSTRACIÓN</t>
        </is>
      </c>
      <c r="O93" s="51">
        <f>IF(AND(B93="",G93="",C93="",D93="",J93=""),"",IF(B93="","⚠ Falta fecha",IF(G93="","⚠ Falta monto",IF(Q93="","⚠ Falta cuenta",IF(ISNA(MATCH(Q93,ctaNombre,0)),"⚠ Cuenta no registrada",IF(AND(OR(P93="Gasto",P93="Reembolso"),D93=""),"⚠ Falta categoría",IF(AND(D93&lt;&gt;"",E93&lt;&gt;"",ISNA(MATCH(D93&amp;"|"&amp;E93,catClave,0))),"⚠ Subcategoría no corresponde",IF(AND(OR(P93="Transferencia",P93="Pago tarjeta"),K93=""),"⚠ Falta cuenta destino",IF(AND(K93&lt;&gt;"",P93&lt;&gt;"Transferencia",P93&lt;&gt;"Pago tarjeta"),"⚠ Destino solo aplica a transferencias",IF(AND(K93&lt;&gt;"",K93=Q93),"⚠ Origen igual a destino",IF(AND(K93&lt;&gt;"",ISNA(MATCH(K93,ctaNombre,0))),"⚠ Destino no registrado",IF(AND(P93="Pago tarjeta",AE93&lt;&gt;"Tarjeta de crédito"),"⚠ El destino debe ser tarjeta de crédito",IF(AND(P93="Gasto",E93="Depósitos y retiros"),"⚠ Usa tipo Transferencia",IF(AND(P93="Resultado trading",AD93&lt;&gt;"Cuenta de trading"),"⚠ Usa una cuenta de trading",IF(AND(G93&lt;=0,P93&lt;&gt;"Ajuste",P93&lt;&gt;"Resultado trading"),"⚠ El monto debe ser positivo","✓")))))))))))))))</f>
        <v/>
      </c>
      <c r="P93" s="52">
        <f>IF(OR(B93="",G93=""),"",IF(C93="","Gasto",C93))</f>
        <v/>
      </c>
      <c r="Q93" s="52">
        <f>IF(P93="","",IF(J93&lt;&gt;"",J93,CuentaPred&amp;""))</f>
        <v/>
      </c>
      <c r="R93" s="52">
        <f>IF(P93="","",IF(ISNUMBER(I93),I93,TasaUSD))</f>
        <v/>
      </c>
      <c r="S93" s="53">
        <f>IF(P93="","",IF(H93="USD",G93*R93,G93))</f>
        <v/>
      </c>
      <c r="T93" s="53">
        <f>IF(P93="","",IF(H93="USD",G93,IF(R93&gt;0,G93/R93,0)))</f>
        <v/>
      </c>
      <c r="U93" s="53">
        <f>IF(P93="","",IF(P93="Gasto",S93,IF(P93="Reembolso",-S93,0)))</f>
        <v/>
      </c>
      <c r="V93" s="53">
        <f>IF(P93="","",IF(P93="Ingreso",S93,0))</f>
        <v/>
      </c>
      <c r="W93" s="53">
        <f>IF(P93="","",IF(P93="Resultado trading",S93,0))</f>
        <v/>
      </c>
      <c r="X93" s="52">
        <f>IF(OR(P93="Gasto",P93="Reembolso"),IF(M93&lt;&gt;"",M93,IFERROR(INDEX(catClasif,MATCH(D93&amp;"|"&amp;E93,catClave,0))&amp;"","Variable")),"")</f>
        <v/>
      </c>
      <c r="Y93" s="52">
        <f>IF(P93="","",IFERROR(INDEX(catGrupo,MATCH(D93&amp;"|"&amp;E93,catClave,0))&amp;"",""))</f>
        <v/>
      </c>
      <c r="Z93" s="52">
        <f>IF(P93="","",WEEKDAY(B93,2))</f>
        <v/>
      </c>
      <c r="AA93" s="52">
        <f>IF(P93="","",IF(AND(P93="Gasto",X93="Variable",D93&lt;&gt;catTrading,S93&gt;0,S93&lt;=Umbral),1,0))</f>
        <v/>
      </c>
      <c r="AB93" s="52">
        <f>IF(OR(P93="",Q93=""),"",IFERROR(IF(INDEX(ctaVinc,MATCH(Q93,ctaNombre,0))&amp;""&lt;&gt;"",INDEX(ctaVinc,MATCH(Q93,ctaNombre,0))&amp;"",Q93),Q93))</f>
        <v/>
      </c>
      <c r="AC93" s="52">
        <f>IF(OR(K93="",AND(P93&lt;&gt;"Transferencia",P93&lt;&gt;"Pago tarjeta")),"",IFERROR(IF(INDEX(ctaVinc,MATCH(K93,ctaNombre,0))&amp;""&lt;&gt;"",INDEX(ctaVinc,MATCH(K93,ctaNombre,0))&amp;"",K93),K93))</f>
        <v/>
      </c>
      <c r="AD93" s="52">
        <f>IF(AB93="","",IFERROR(INDEX(ctaTipo,MATCH(AB93,ctaNombre,0))&amp;"",""))</f>
        <v/>
      </c>
      <c r="AE93" s="52">
        <f>IF(AC93="","",IFERROR(INDEX(ctaTipo,MATCH(AC93,ctaNombre,0))&amp;"",""))</f>
        <v/>
      </c>
      <c r="AF93" s="53">
        <f>IF(OR(P93="",AB93=""),"",IF(OR(P93="Gasto",P93="Transferencia",P93="Pago tarjeta"),-1,1)*IF(IFERROR(INDEX(ctaMoneda,MATCH(AB93,ctaNombre,0))&amp;"","DOP")="USD",T93,S93))</f>
        <v/>
      </c>
      <c r="AG93" s="53">
        <f>IF(AC93="","",IF(IFERROR(INDEX(ctaMoneda,MATCH(AC93,ctaNombre,0))&amp;"","DOP")="USD",T93,S93))</f>
        <v/>
      </c>
      <c r="AH93" s="53">
        <f>IF(P93="","",IF(AND(AD93&lt;&gt;"",COUNTIFS(tcTipo,AD93,tcLiq,"Sí")&gt;0),IF(OR(P93="Gasto",P93="Transferencia",P93="Pago tarjeta"),-1,1)*S93,0)+IF(AND(AE93&lt;&gt;"",COUNTIFS(tcTipo,AE93,tcLiq,"Sí")&gt;0),S93,0))</f>
        <v/>
      </c>
      <c r="AI93" s="52">
        <f>IF(OR(L93="",P93=""),"",IF(COUNTIFS(L$6:L93,L93,P$6:P93,"?*")=1,MAX(AI$5:AI92)+1,""))</f>
        <v/>
      </c>
    </row>
    <row r="94">
      <c r="B94" s="47" t="n">
        <v>46273</v>
      </c>
      <c r="C94" s="48" t="inlineStr">
        <is>
          <t>Gasto</t>
        </is>
      </c>
      <c r="D94" s="48" t="inlineStr">
        <is>
          <t>Salud</t>
        </is>
      </c>
      <c r="E94" s="48" t="inlineStr">
        <is>
          <t>Gimnasio y bienestar</t>
        </is>
      </c>
      <c r="F94" s="48" t="inlineStr">
        <is>
          <t>DEMO · Mensualidad gimnasio</t>
        </is>
      </c>
      <c r="G94" s="49" t="n">
        <v>2500</v>
      </c>
      <c r="H94" s="48" t="inlineStr">
        <is>
          <t>DOP</t>
        </is>
      </c>
      <c r="I94" s="50" t="n"/>
      <c r="J94" s="48" t="inlineStr">
        <is>
          <t>Tarjeta de crédito</t>
        </is>
      </c>
      <c r="K94" s="48" t="n"/>
      <c r="L94" s="48" t="inlineStr">
        <is>
          <t>Gimnasio</t>
        </is>
      </c>
      <c r="M94" s="48" t="n"/>
      <c r="N94" s="48" t="inlineStr">
        <is>
          <t>DEMOSTRACIÓN</t>
        </is>
      </c>
      <c r="O94" s="51">
        <f>IF(AND(B94="",G94="",C94="",D94="",J94=""),"",IF(B94="","⚠ Falta fecha",IF(G94="","⚠ Falta monto",IF(Q94="","⚠ Falta cuenta",IF(ISNA(MATCH(Q94,ctaNombre,0)),"⚠ Cuenta no registrada",IF(AND(OR(P94="Gasto",P94="Reembolso"),D94=""),"⚠ Falta categoría",IF(AND(D94&lt;&gt;"",E94&lt;&gt;"",ISNA(MATCH(D94&amp;"|"&amp;E94,catClave,0))),"⚠ Subcategoría no corresponde",IF(AND(OR(P94="Transferencia",P94="Pago tarjeta"),K94=""),"⚠ Falta cuenta destino",IF(AND(K94&lt;&gt;"",P94&lt;&gt;"Transferencia",P94&lt;&gt;"Pago tarjeta"),"⚠ Destino solo aplica a transferencias",IF(AND(K94&lt;&gt;"",K94=Q94),"⚠ Origen igual a destino",IF(AND(K94&lt;&gt;"",ISNA(MATCH(K94,ctaNombre,0))),"⚠ Destino no registrado",IF(AND(P94="Pago tarjeta",AE94&lt;&gt;"Tarjeta de crédito"),"⚠ El destino debe ser tarjeta de crédito",IF(AND(P94="Gasto",E94="Depósitos y retiros"),"⚠ Usa tipo Transferencia",IF(AND(P94="Resultado trading",AD94&lt;&gt;"Cuenta de trading"),"⚠ Usa una cuenta de trading",IF(AND(G94&lt;=0,P94&lt;&gt;"Ajuste",P94&lt;&gt;"Resultado trading"),"⚠ El monto debe ser positivo","✓")))))))))))))))</f>
        <v/>
      </c>
      <c r="P94" s="52">
        <f>IF(OR(B94="",G94=""),"",IF(C94="","Gasto",C94))</f>
        <v/>
      </c>
      <c r="Q94" s="52">
        <f>IF(P94="","",IF(J94&lt;&gt;"",J94,CuentaPred&amp;""))</f>
        <v/>
      </c>
      <c r="R94" s="52">
        <f>IF(P94="","",IF(ISNUMBER(I94),I94,TasaUSD))</f>
        <v/>
      </c>
      <c r="S94" s="53">
        <f>IF(P94="","",IF(H94="USD",G94*R94,G94))</f>
        <v/>
      </c>
      <c r="T94" s="53">
        <f>IF(P94="","",IF(H94="USD",G94,IF(R94&gt;0,G94/R94,0)))</f>
        <v/>
      </c>
      <c r="U94" s="53">
        <f>IF(P94="","",IF(P94="Gasto",S94,IF(P94="Reembolso",-S94,0)))</f>
        <v/>
      </c>
      <c r="V94" s="53">
        <f>IF(P94="","",IF(P94="Ingreso",S94,0))</f>
        <v/>
      </c>
      <c r="W94" s="53">
        <f>IF(P94="","",IF(P94="Resultado trading",S94,0))</f>
        <v/>
      </c>
      <c r="X94" s="52">
        <f>IF(OR(P94="Gasto",P94="Reembolso"),IF(M94&lt;&gt;"",M94,IFERROR(INDEX(catClasif,MATCH(D94&amp;"|"&amp;E94,catClave,0))&amp;"","Variable")),"")</f>
        <v/>
      </c>
      <c r="Y94" s="52">
        <f>IF(P94="","",IFERROR(INDEX(catGrupo,MATCH(D94&amp;"|"&amp;E94,catClave,0))&amp;"",""))</f>
        <v/>
      </c>
      <c r="Z94" s="52">
        <f>IF(P94="","",WEEKDAY(B94,2))</f>
        <v/>
      </c>
      <c r="AA94" s="52">
        <f>IF(P94="","",IF(AND(P94="Gasto",X94="Variable",D94&lt;&gt;catTrading,S94&gt;0,S94&lt;=Umbral),1,0))</f>
        <v/>
      </c>
      <c r="AB94" s="52">
        <f>IF(OR(P94="",Q94=""),"",IFERROR(IF(INDEX(ctaVinc,MATCH(Q94,ctaNombre,0))&amp;""&lt;&gt;"",INDEX(ctaVinc,MATCH(Q94,ctaNombre,0))&amp;"",Q94),Q94))</f>
        <v/>
      </c>
      <c r="AC94" s="52">
        <f>IF(OR(K94="",AND(P94&lt;&gt;"Transferencia",P94&lt;&gt;"Pago tarjeta")),"",IFERROR(IF(INDEX(ctaVinc,MATCH(K94,ctaNombre,0))&amp;""&lt;&gt;"",INDEX(ctaVinc,MATCH(K94,ctaNombre,0))&amp;"",K94),K94))</f>
        <v/>
      </c>
      <c r="AD94" s="52">
        <f>IF(AB94="","",IFERROR(INDEX(ctaTipo,MATCH(AB94,ctaNombre,0))&amp;"",""))</f>
        <v/>
      </c>
      <c r="AE94" s="52">
        <f>IF(AC94="","",IFERROR(INDEX(ctaTipo,MATCH(AC94,ctaNombre,0))&amp;"",""))</f>
        <v/>
      </c>
      <c r="AF94" s="53">
        <f>IF(OR(P94="",AB94=""),"",IF(OR(P94="Gasto",P94="Transferencia",P94="Pago tarjeta"),-1,1)*IF(IFERROR(INDEX(ctaMoneda,MATCH(AB94,ctaNombre,0))&amp;"","DOP")="USD",T94,S94))</f>
        <v/>
      </c>
      <c r="AG94" s="53">
        <f>IF(AC94="","",IF(IFERROR(INDEX(ctaMoneda,MATCH(AC94,ctaNombre,0))&amp;"","DOP")="USD",T94,S94))</f>
        <v/>
      </c>
      <c r="AH94" s="53">
        <f>IF(P94="","",IF(AND(AD94&lt;&gt;"",COUNTIFS(tcTipo,AD94,tcLiq,"Sí")&gt;0),IF(OR(P94="Gasto",P94="Transferencia",P94="Pago tarjeta"),-1,1)*S94,0)+IF(AND(AE94&lt;&gt;"",COUNTIFS(tcTipo,AE94,tcLiq,"Sí")&gt;0),S94,0))</f>
        <v/>
      </c>
      <c r="AI94" s="52">
        <f>IF(OR(L94="",P94=""),"",IF(COUNTIFS(L$6:L94,L94,P$6:P94,"?*")=1,MAX(AI$5:AI93)+1,""))</f>
        <v/>
      </c>
    </row>
    <row r="95">
      <c r="B95" s="47" t="n">
        <v>46274</v>
      </c>
      <c r="C95" s="48" t="inlineStr">
        <is>
          <t>Gasto</t>
        </is>
      </c>
      <c r="D95" s="48" t="inlineStr">
        <is>
          <t>Alimentación</t>
        </is>
      </c>
      <c r="E95" s="48" t="inlineStr">
        <is>
          <t>Almuerzos laborales</t>
        </is>
      </c>
      <c r="F95" s="48" t="inlineStr">
        <is>
          <t>DEMO · Almuerzo laboral</t>
        </is>
      </c>
      <c r="G95" s="49" t="n">
        <v>525</v>
      </c>
      <c r="H95" s="48" t="inlineStr">
        <is>
          <t>DOP</t>
        </is>
      </c>
      <c r="I95" s="50" t="n"/>
      <c r="J95" s="48" t="inlineStr">
        <is>
          <t>Tarjeta de débito</t>
        </is>
      </c>
      <c r="K95" s="48" t="n"/>
      <c r="L95" s="48" t="inlineStr">
        <is>
          <t>Comedor ejecutivo</t>
        </is>
      </c>
      <c r="M95" s="48" t="n"/>
      <c r="N95" s="48" t="inlineStr">
        <is>
          <t>DEMOSTRACIÓN</t>
        </is>
      </c>
      <c r="O95" s="51">
        <f>IF(AND(B95="",G95="",C95="",D95="",J95=""),"",IF(B95="","⚠ Falta fecha",IF(G95="","⚠ Falta monto",IF(Q95="","⚠ Falta cuenta",IF(ISNA(MATCH(Q95,ctaNombre,0)),"⚠ Cuenta no registrada",IF(AND(OR(P95="Gasto",P95="Reembolso"),D95=""),"⚠ Falta categoría",IF(AND(D95&lt;&gt;"",E95&lt;&gt;"",ISNA(MATCH(D95&amp;"|"&amp;E95,catClave,0))),"⚠ Subcategoría no corresponde",IF(AND(OR(P95="Transferencia",P95="Pago tarjeta"),K95=""),"⚠ Falta cuenta destino",IF(AND(K95&lt;&gt;"",P95&lt;&gt;"Transferencia",P95&lt;&gt;"Pago tarjeta"),"⚠ Destino solo aplica a transferencias",IF(AND(K95&lt;&gt;"",K95=Q95),"⚠ Origen igual a destino",IF(AND(K95&lt;&gt;"",ISNA(MATCH(K95,ctaNombre,0))),"⚠ Destino no registrado",IF(AND(P95="Pago tarjeta",AE95&lt;&gt;"Tarjeta de crédito"),"⚠ El destino debe ser tarjeta de crédito",IF(AND(P95="Gasto",E95="Depósitos y retiros"),"⚠ Usa tipo Transferencia",IF(AND(P95="Resultado trading",AD95&lt;&gt;"Cuenta de trading"),"⚠ Usa una cuenta de trading",IF(AND(G95&lt;=0,P95&lt;&gt;"Ajuste",P95&lt;&gt;"Resultado trading"),"⚠ El monto debe ser positivo","✓")))))))))))))))</f>
        <v/>
      </c>
      <c r="P95" s="52">
        <f>IF(OR(B95="",G95=""),"",IF(C95="","Gasto",C95))</f>
        <v/>
      </c>
      <c r="Q95" s="52">
        <f>IF(P95="","",IF(J95&lt;&gt;"",J95,CuentaPred&amp;""))</f>
        <v/>
      </c>
      <c r="R95" s="52">
        <f>IF(P95="","",IF(ISNUMBER(I95),I95,TasaUSD))</f>
        <v/>
      </c>
      <c r="S95" s="53">
        <f>IF(P95="","",IF(H95="USD",G95*R95,G95))</f>
        <v/>
      </c>
      <c r="T95" s="53">
        <f>IF(P95="","",IF(H95="USD",G95,IF(R95&gt;0,G95/R95,0)))</f>
        <v/>
      </c>
      <c r="U95" s="53">
        <f>IF(P95="","",IF(P95="Gasto",S95,IF(P95="Reembolso",-S95,0)))</f>
        <v/>
      </c>
      <c r="V95" s="53">
        <f>IF(P95="","",IF(P95="Ingreso",S95,0))</f>
        <v/>
      </c>
      <c r="W95" s="53">
        <f>IF(P95="","",IF(P95="Resultado trading",S95,0))</f>
        <v/>
      </c>
      <c r="X95" s="52">
        <f>IF(OR(P95="Gasto",P95="Reembolso"),IF(M95&lt;&gt;"",M95,IFERROR(INDEX(catClasif,MATCH(D95&amp;"|"&amp;E95,catClave,0))&amp;"","Variable")),"")</f>
        <v/>
      </c>
      <c r="Y95" s="52">
        <f>IF(P95="","",IFERROR(INDEX(catGrupo,MATCH(D95&amp;"|"&amp;E95,catClave,0))&amp;"",""))</f>
        <v/>
      </c>
      <c r="Z95" s="52">
        <f>IF(P95="","",WEEKDAY(B95,2))</f>
        <v/>
      </c>
      <c r="AA95" s="52">
        <f>IF(P95="","",IF(AND(P95="Gasto",X95="Variable",D95&lt;&gt;catTrading,S95&gt;0,S95&lt;=Umbral),1,0))</f>
        <v/>
      </c>
      <c r="AB95" s="52">
        <f>IF(OR(P95="",Q95=""),"",IFERROR(IF(INDEX(ctaVinc,MATCH(Q95,ctaNombre,0))&amp;""&lt;&gt;"",INDEX(ctaVinc,MATCH(Q95,ctaNombre,0))&amp;"",Q95),Q95))</f>
        <v/>
      </c>
      <c r="AC95" s="52">
        <f>IF(OR(K95="",AND(P95&lt;&gt;"Transferencia",P95&lt;&gt;"Pago tarjeta")),"",IFERROR(IF(INDEX(ctaVinc,MATCH(K95,ctaNombre,0))&amp;""&lt;&gt;"",INDEX(ctaVinc,MATCH(K95,ctaNombre,0))&amp;"",K95),K95))</f>
        <v/>
      </c>
      <c r="AD95" s="52">
        <f>IF(AB95="","",IFERROR(INDEX(ctaTipo,MATCH(AB95,ctaNombre,0))&amp;"",""))</f>
        <v/>
      </c>
      <c r="AE95" s="52">
        <f>IF(AC95="","",IFERROR(INDEX(ctaTipo,MATCH(AC95,ctaNombre,0))&amp;"",""))</f>
        <v/>
      </c>
      <c r="AF95" s="53">
        <f>IF(OR(P95="",AB95=""),"",IF(OR(P95="Gasto",P95="Transferencia",P95="Pago tarjeta"),-1,1)*IF(IFERROR(INDEX(ctaMoneda,MATCH(AB95,ctaNombre,0))&amp;"","DOP")="USD",T95,S95))</f>
        <v/>
      </c>
      <c r="AG95" s="53">
        <f>IF(AC95="","",IF(IFERROR(INDEX(ctaMoneda,MATCH(AC95,ctaNombre,0))&amp;"","DOP")="USD",T95,S95))</f>
        <v/>
      </c>
      <c r="AH95" s="53">
        <f>IF(P95="","",IF(AND(AD95&lt;&gt;"",COUNTIFS(tcTipo,AD95,tcLiq,"Sí")&gt;0),IF(OR(P95="Gasto",P95="Transferencia",P95="Pago tarjeta"),-1,1)*S95,0)+IF(AND(AE95&lt;&gt;"",COUNTIFS(tcTipo,AE95,tcLiq,"Sí")&gt;0),S95,0))</f>
        <v/>
      </c>
      <c r="AI95" s="52">
        <f>IF(OR(L95="",P95=""),"",IF(COUNTIFS(L$6:L95,L95,P$6:P95,"?*")=1,MAX(AI$5:AI94)+1,""))</f>
        <v/>
      </c>
    </row>
    <row r="96">
      <c r="B96" s="47" t="n">
        <v>46274</v>
      </c>
      <c r="C96" s="48" t="inlineStr">
        <is>
          <t>Gasto</t>
        </is>
      </c>
      <c r="D96" s="48" t="inlineStr">
        <is>
          <t>Tecnología y suscripciones</t>
        </is>
      </c>
      <c r="E96" s="48" t="inlineStr">
        <is>
          <t>Software</t>
        </is>
      </c>
      <c r="F96" s="48" t="inlineStr">
        <is>
          <t>DEMO · Licencia anual de software</t>
        </is>
      </c>
      <c r="G96" s="49" t="n">
        <v>99</v>
      </c>
      <c r="H96" s="48" t="inlineStr">
        <is>
          <t>USD</t>
        </is>
      </c>
      <c r="I96" s="50" t="n"/>
      <c r="J96" s="48" t="inlineStr">
        <is>
          <t>Tarjeta de crédito</t>
        </is>
      </c>
      <c r="K96" s="48" t="n"/>
      <c r="L96" s="48" t="inlineStr">
        <is>
          <t>Software anual</t>
        </is>
      </c>
      <c r="M96" s="48" t="n"/>
      <c r="N96" s="48" t="inlineStr">
        <is>
          <t>DEMOSTRACIÓN</t>
        </is>
      </c>
      <c r="O96" s="51">
        <f>IF(AND(B96="",G96="",C96="",D96="",J96=""),"",IF(B96="","⚠ Falta fecha",IF(G96="","⚠ Falta monto",IF(Q96="","⚠ Falta cuenta",IF(ISNA(MATCH(Q96,ctaNombre,0)),"⚠ Cuenta no registrada",IF(AND(OR(P96="Gasto",P96="Reembolso"),D96=""),"⚠ Falta categoría",IF(AND(D96&lt;&gt;"",E96&lt;&gt;"",ISNA(MATCH(D96&amp;"|"&amp;E96,catClave,0))),"⚠ Subcategoría no corresponde",IF(AND(OR(P96="Transferencia",P96="Pago tarjeta"),K96=""),"⚠ Falta cuenta destino",IF(AND(K96&lt;&gt;"",P96&lt;&gt;"Transferencia",P96&lt;&gt;"Pago tarjeta"),"⚠ Destino solo aplica a transferencias",IF(AND(K96&lt;&gt;"",K96=Q96),"⚠ Origen igual a destino",IF(AND(K96&lt;&gt;"",ISNA(MATCH(K96,ctaNombre,0))),"⚠ Destino no registrado",IF(AND(P96="Pago tarjeta",AE96&lt;&gt;"Tarjeta de crédito"),"⚠ El destino debe ser tarjeta de crédito",IF(AND(P96="Gasto",E96="Depósitos y retiros"),"⚠ Usa tipo Transferencia",IF(AND(P96="Resultado trading",AD96&lt;&gt;"Cuenta de trading"),"⚠ Usa una cuenta de trading",IF(AND(G96&lt;=0,P96&lt;&gt;"Ajuste",P96&lt;&gt;"Resultado trading"),"⚠ El monto debe ser positivo","✓")))))))))))))))</f>
        <v/>
      </c>
      <c r="P96" s="52">
        <f>IF(OR(B96="",G96=""),"",IF(C96="","Gasto",C96))</f>
        <v/>
      </c>
      <c r="Q96" s="52">
        <f>IF(P96="","",IF(J96&lt;&gt;"",J96,CuentaPred&amp;""))</f>
        <v/>
      </c>
      <c r="R96" s="52">
        <f>IF(P96="","",IF(ISNUMBER(I96),I96,TasaUSD))</f>
        <v/>
      </c>
      <c r="S96" s="53">
        <f>IF(P96="","",IF(H96="USD",G96*R96,G96))</f>
        <v/>
      </c>
      <c r="T96" s="53">
        <f>IF(P96="","",IF(H96="USD",G96,IF(R96&gt;0,G96/R96,0)))</f>
        <v/>
      </c>
      <c r="U96" s="53">
        <f>IF(P96="","",IF(P96="Gasto",S96,IF(P96="Reembolso",-S96,0)))</f>
        <v/>
      </c>
      <c r="V96" s="53">
        <f>IF(P96="","",IF(P96="Ingreso",S96,0))</f>
        <v/>
      </c>
      <c r="W96" s="53">
        <f>IF(P96="","",IF(P96="Resultado trading",S96,0))</f>
        <v/>
      </c>
      <c r="X96" s="52">
        <f>IF(OR(P96="Gasto",P96="Reembolso"),IF(M96&lt;&gt;"",M96,IFERROR(INDEX(catClasif,MATCH(D96&amp;"|"&amp;E96,catClave,0))&amp;"","Variable")),"")</f>
        <v/>
      </c>
      <c r="Y96" s="52">
        <f>IF(P96="","",IFERROR(INDEX(catGrupo,MATCH(D96&amp;"|"&amp;E96,catClave,0))&amp;"",""))</f>
        <v/>
      </c>
      <c r="Z96" s="52">
        <f>IF(P96="","",WEEKDAY(B96,2))</f>
        <v/>
      </c>
      <c r="AA96" s="52">
        <f>IF(P96="","",IF(AND(P96="Gasto",X96="Variable",D96&lt;&gt;catTrading,S96&gt;0,S96&lt;=Umbral),1,0))</f>
        <v/>
      </c>
      <c r="AB96" s="52">
        <f>IF(OR(P96="",Q96=""),"",IFERROR(IF(INDEX(ctaVinc,MATCH(Q96,ctaNombre,0))&amp;""&lt;&gt;"",INDEX(ctaVinc,MATCH(Q96,ctaNombre,0))&amp;"",Q96),Q96))</f>
        <v/>
      </c>
      <c r="AC96" s="52">
        <f>IF(OR(K96="",AND(P96&lt;&gt;"Transferencia",P96&lt;&gt;"Pago tarjeta")),"",IFERROR(IF(INDEX(ctaVinc,MATCH(K96,ctaNombre,0))&amp;""&lt;&gt;"",INDEX(ctaVinc,MATCH(K96,ctaNombre,0))&amp;"",K96),K96))</f>
        <v/>
      </c>
      <c r="AD96" s="52">
        <f>IF(AB96="","",IFERROR(INDEX(ctaTipo,MATCH(AB96,ctaNombre,0))&amp;"",""))</f>
        <v/>
      </c>
      <c r="AE96" s="52">
        <f>IF(AC96="","",IFERROR(INDEX(ctaTipo,MATCH(AC96,ctaNombre,0))&amp;"",""))</f>
        <v/>
      </c>
      <c r="AF96" s="53">
        <f>IF(OR(P96="",AB96=""),"",IF(OR(P96="Gasto",P96="Transferencia",P96="Pago tarjeta"),-1,1)*IF(IFERROR(INDEX(ctaMoneda,MATCH(AB96,ctaNombre,0))&amp;"","DOP")="USD",T96,S96))</f>
        <v/>
      </c>
      <c r="AG96" s="53">
        <f>IF(AC96="","",IF(IFERROR(INDEX(ctaMoneda,MATCH(AC96,ctaNombre,0))&amp;"","DOP")="USD",T96,S96))</f>
        <v/>
      </c>
      <c r="AH96" s="53">
        <f>IF(P96="","",IF(AND(AD96&lt;&gt;"",COUNTIFS(tcTipo,AD96,tcLiq,"Sí")&gt;0),IF(OR(P96="Gasto",P96="Transferencia",P96="Pago tarjeta"),-1,1)*S96,0)+IF(AND(AE96&lt;&gt;"",COUNTIFS(tcTipo,AE96,tcLiq,"Sí")&gt;0),S96,0))</f>
        <v/>
      </c>
      <c r="AI96" s="52">
        <f>IF(OR(L96="",P96=""),"",IF(COUNTIFS(L$6:L96,L96,P$6:P96,"?*")=1,MAX(AI$5:AI95)+1,""))</f>
        <v/>
      </c>
    </row>
    <row r="97">
      <c r="B97" s="47" t="n">
        <v>46275</v>
      </c>
      <c r="C97" s="48" t="inlineStr">
        <is>
          <t>Gasto</t>
        </is>
      </c>
      <c r="D97" s="48" t="inlineStr">
        <is>
          <t>Alimentación</t>
        </is>
      </c>
      <c r="E97" s="48" t="inlineStr">
        <is>
          <t>Desayunos comprados</t>
        </is>
      </c>
      <c r="F97" s="48" t="inlineStr">
        <is>
          <t>DEMO · Desayuno en la oficina</t>
        </is>
      </c>
      <c r="G97" s="49" t="n">
        <v>300</v>
      </c>
      <c r="H97" s="48" t="inlineStr">
        <is>
          <t>DOP</t>
        </is>
      </c>
      <c r="I97" s="50" t="n"/>
      <c r="J97" s="48" t="inlineStr">
        <is>
          <t>Efectivo</t>
        </is>
      </c>
      <c r="K97" s="48" t="n"/>
      <c r="L97" s="48" t="inlineStr">
        <is>
          <t>Cafetería del trabajo</t>
        </is>
      </c>
      <c r="M97" s="48" t="n"/>
      <c r="N97" s="48" t="inlineStr">
        <is>
          <t>DEMOSTRACIÓN</t>
        </is>
      </c>
      <c r="O97" s="51">
        <f>IF(AND(B97="",G97="",C97="",D97="",J97=""),"",IF(B97="","⚠ Falta fecha",IF(G97="","⚠ Falta monto",IF(Q97="","⚠ Falta cuenta",IF(ISNA(MATCH(Q97,ctaNombre,0)),"⚠ Cuenta no registrada",IF(AND(OR(P97="Gasto",P97="Reembolso"),D97=""),"⚠ Falta categoría",IF(AND(D97&lt;&gt;"",E97&lt;&gt;"",ISNA(MATCH(D97&amp;"|"&amp;E97,catClave,0))),"⚠ Subcategoría no corresponde",IF(AND(OR(P97="Transferencia",P97="Pago tarjeta"),K97=""),"⚠ Falta cuenta destino",IF(AND(K97&lt;&gt;"",P97&lt;&gt;"Transferencia",P97&lt;&gt;"Pago tarjeta"),"⚠ Destino solo aplica a transferencias",IF(AND(K97&lt;&gt;"",K97=Q97),"⚠ Origen igual a destino",IF(AND(K97&lt;&gt;"",ISNA(MATCH(K97,ctaNombre,0))),"⚠ Destino no registrado",IF(AND(P97="Pago tarjeta",AE97&lt;&gt;"Tarjeta de crédito"),"⚠ El destino debe ser tarjeta de crédito",IF(AND(P97="Gasto",E97="Depósitos y retiros"),"⚠ Usa tipo Transferencia",IF(AND(P97="Resultado trading",AD97&lt;&gt;"Cuenta de trading"),"⚠ Usa una cuenta de trading",IF(AND(G97&lt;=0,P97&lt;&gt;"Ajuste",P97&lt;&gt;"Resultado trading"),"⚠ El monto debe ser positivo","✓")))))))))))))))</f>
        <v/>
      </c>
      <c r="P97" s="52">
        <f>IF(OR(B97="",G97=""),"",IF(C97="","Gasto",C97))</f>
        <v/>
      </c>
      <c r="Q97" s="52">
        <f>IF(P97="","",IF(J97&lt;&gt;"",J97,CuentaPred&amp;""))</f>
        <v/>
      </c>
      <c r="R97" s="52">
        <f>IF(P97="","",IF(ISNUMBER(I97),I97,TasaUSD))</f>
        <v/>
      </c>
      <c r="S97" s="53">
        <f>IF(P97="","",IF(H97="USD",G97*R97,G97))</f>
        <v/>
      </c>
      <c r="T97" s="53">
        <f>IF(P97="","",IF(H97="USD",G97,IF(R97&gt;0,G97/R97,0)))</f>
        <v/>
      </c>
      <c r="U97" s="53">
        <f>IF(P97="","",IF(P97="Gasto",S97,IF(P97="Reembolso",-S97,0)))</f>
        <v/>
      </c>
      <c r="V97" s="53">
        <f>IF(P97="","",IF(P97="Ingreso",S97,0))</f>
        <v/>
      </c>
      <c r="W97" s="53">
        <f>IF(P97="","",IF(P97="Resultado trading",S97,0))</f>
        <v/>
      </c>
      <c r="X97" s="52">
        <f>IF(OR(P97="Gasto",P97="Reembolso"),IF(M97&lt;&gt;"",M97,IFERROR(INDEX(catClasif,MATCH(D97&amp;"|"&amp;E97,catClave,0))&amp;"","Variable")),"")</f>
        <v/>
      </c>
      <c r="Y97" s="52">
        <f>IF(P97="","",IFERROR(INDEX(catGrupo,MATCH(D97&amp;"|"&amp;E97,catClave,0))&amp;"",""))</f>
        <v/>
      </c>
      <c r="Z97" s="52">
        <f>IF(P97="","",WEEKDAY(B97,2))</f>
        <v/>
      </c>
      <c r="AA97" s="52">
        <f>IF(P97="","",IF(AND(P97="Gasto",X97="Variable",D97&lt;&gt;catTrading,S97&gt;0,S97&lt;=Umbral),1,0))</f>
        <v/>
      </c>
      <c r="AB97" s="52">
        <f>IF(OR(P97="",Q97=""),"",IFERROR(IF(INDEX(ctaVinc,MATCH(Q97,ctaNombre,0))&amp;""&lt;&gt;"",INDEX(ctaVinc,MATCH(Q97,ctaNombre,0))&amp;"",Q97),Q97))</f>
        <v/>
      </c>
      <c r="AC97" s="52">
        <f>IF(OR(K97="",AND(P97&lt;&gt;"Transferencia",P97&lt;&gt;"Pago tarjeta")),"",IFERROR(IF(INDEX(ctaVinc,MATCH(K97,ctaNombre,0))&amp;""&lt;&gt;"",INDEX(ctaVinc,MATCH(K97,ctaNombre,0))&amp;"",K97),K97))</f>
        <v/>
      </c>
      <c r="AD97" s="52">
        <f>IF(AB97="","",IFERROR(INDEX(ctaTipo,MATCH(AB97,ctaNombre,0))&amp;"",""))</f>
        <v/>
      </c>
      <c r="AE97" s="52">
        <f>IF(AC97="","",IFERROR(INDEX(ctaTipo,MATCH(AC97,ctaNombre,0))&amp;"",""))</f>
        <v/>
      </c>
      <c r="AF97" s="53">
        <f>IF(OR(P97="",AB97=""),"",IF(OR(P97="Gasto",P97="Transferencia",P97="Pago tarjeta"),-1,1)*IF(IFERROR(INDEX(ctaMoneda,MATCH(AB97,ctaNombre,0))&amp;"","DOP")="USD",T97,S97))</f>
        <v/>
      </c>
      <c r="AG97" s="53">
        <f>IF(AC97="","",IF(IFERROR(INDEX(ctaMoneda,MATCH(AC97,ctaNombre,0))&amp;"","DOP")="USD",T97,S97))</f>
        <v/>
      </c>
      <c r="AH97" s="53">
        <f>IF(P97="","",IF(AND(AD97&lt;&gt;"",COUNTIFS(tcTipo,AD97,tcLiq,"Sí")&gt;0),IF(OR(P97="Gasto",P97="Transferencia",P97="Pago tarjeta"),-1,1)*S97,0)+IF(AND(AE97&lt;&gt;"",COUNTIFS(tcTipo,AE97,tcLiq,"Sí")&gt;0),S97,0))</f>
        <v/>
      </c>
      <c r="AI97" s="52">
        <f>IF(OR(L97="",P97=""),"",IF(COUNTIFS(L$6:L97,L97,P$6:P97,"?*")=1,MAX(AI$5:AI96)+1,""))</f>
        <v/>
      </c>
    </row>
    <row r="98">
      <c r="B98" s="47" t="n">
        <v>46275</v>
      </c>
      <c r="C98" s="48" t="inlineStr">
        <is>
          <t>Gasto</t>
        </is>
      </c>
      <c r="D98" s="48" t="inlineStr">
        <is>
          <t>Alimentación</t>
        </is>
      </c>
      <c r="E98" s="48" t="inlineStr">
        <is>
          <t>Almuerzos laborales</t>
        </is>
      </c>
      <c r="F98" s="48" t="inlineStr">
        <is>
          <t>DEMO · Almuerzo laboral</t>
        </is>
      </c>
      <c r="G98" s="49" t="n">
        <v>575</v>
      </c>
      <c r="H98" s="48" t="inlineStr">
        <is>
          <t>DOP</t>
        </is>
      </c>
      <c r="I98" s="50" t="n"/>
      <c r="J98" s="48" t="inlineStr">
        <is>
          <t>Billetera digital</t>
        </is>
      </c>
      <c r="K98" s="48" t="n"/>
      <c r="L98" s="48" t="inlineStr">
        <is>
          <t>Comedor ejecutivo</t>
        </is>
      </c>
      <c r="M98" s="48" t="n"/>
      <c r="N98" s="48" t="inlineStr">
        <is>
          <t>DEMOSTRACIÓN</t>
        </is>
      </c>
      <c r="O98" s="51">
        <f>IF(AND(B98="",G98="",C98="",D98="",J98=""),"",IF(B98="","⚠ Falta fecha",IF(G98="","⚠ Falta monto",IF(Q98="","⚠ Falta cuenta",IF(ISNA(MATCH(Q98,ctaNombre,0)),"⚠ Cuenta no registrada",IF(AND(OR(P98="Gasto",P98="Reembolso"),D98=""),"⚠ Falta categoría",IF(AND(D98&lt;&gt;"",E98&lt;&gt;"",ISNA(MATCH(D98&amp;"|"&amp;E98,catClave,0))),"⚠ Subcategoría no corresponde",IF(AND(OR(P98="Transferencia",P98="Pago tarjeta"),K98=""),"⚠ Falta cuenta destino",IF(AND(K98&lt;&gt;"",P98&lt;&gt;"Transferencia",P98&lt;&gt;"Pago tarjeta"),"⚠ Destino solo aplica a transferencias",IF(AND(K98&lt;&gt;"",K98=Q98),"⚠ Origen igual a destino",IF(AND(K98&lt;&gt;"",ISNA(MATCH(K98,ctaNombre,0))),"⚠ Destino no registrado",IF(AND(P98="Pago tarjeta",AE98&lt;&gt;"Tarjeta de crédito"),"⚠ El destino debe ser tarjeta de crédito",IF(AND(P98="Gasto",E98="Depósitos y retiros"),"⚠ Usa tipo Transferencia",IF(AND(P98="Resultado trading",AD98&lt;&gt;"Cuenta de trading"),"⚠ Usa una cuenta de trading",IF(AND(G98&lt;=0,P98&lt;&gt;"Ajuste",P98&lt;&gt;"Resultado trading"),"⚠ El monto debe ser positivo","✓")))))))))))))))</f>
        <v/>
      </c>
      <c r="P98" s="52">
        <f>IF(OR(B98="",G98=""),"",IF(C98="","Gasto",C98))</f>
        <v/>
      </c>
      <c r="Q98" s="52">
        <f>IF(P98="","",IF(J98&lt;&gt;"",J98,CuentaPred&amp;""))</f>
        <v/>
      </c>
      <c r="R98" s="52">
        <f>IF(P98="","",IF(ISNUMBER(I98),I98,TasaUSD))</f>
        <v/>
      </c>
      <c r="S98" s="53">
        <f>IF(P98="","",IF(H98="USD",G98*R98,G98))</f>
        <v/>
      </c>
      <c r="T98" s="53">
        <f>IF(P98="","",IF(H98="USD",G98,IF(R98&gt;0,G98/R98,0)))</f>
        <v/>
      </c>
      <c r="U98" s="53">
        <f>IF(P98="","",IF(P98="Gasto",S98,IF(P98="Reembolso",-S98,0)))</f>
        <v/>
      </c>
      <c r="V98" s="53">
        <f>IF(P98="","",IF(P98="Ingreso",S98,0))</f>
        <v/>
      </c>
      <c r="W98" s="53">
        <f>IF(P98="","",IF(P98="Resultado trading",S98,0))</f>
        <v/>
      </c>
      <c r="X98" s="52">
        <f>IF(OR(P98="Gasto",P98="Reembolso"),IF(M98&lt;&gt;"",M98,IFERROR(INDEX(catClasif,MATCH(D98&amp;"|"&amp;E98,catClave,0))&amp;"","Variable")),"")</f>
        <v/>
      </c>
      <c r="Y98" s="52">
        <f>IF(P98="","",IFERROR(INDEX(catGrupo,MATCH(D98&amp;"|"&amp;E98,catClave,0))&amp;"",""))</f>
        <v/>
      </c>
      <c r="Z98" s="52">
        <f>IF(P98="","",WEEKDAY(B98,2))</f>
        <v/>
      </c>
      <c r="AA98" s="52">
        <f>IF(P98="","",IF(AND(P98="Gasto",X98="Variable",D98&lt;&gt;catTrading,S98&gt;0,S98&lt;=Umbral),1,0))</f>
        <v/>
      </c>
      <c r="AB98" s="52">
        <f>IF(OR(P98="",Q98=""),"",IFERROR(IF(INDEX(ctaVinc,MATCH(Q98,ctaNombre,0))&amp;""&lt;&gt;"",INDEX(ctaVinc,MATCH(Q98,ctaNombre,0))&amp;"",Q98),Q98))</f>
        <v/>
      </c>
      <c r="AC98" s="52">
        <f>IF(OR(K98="",AND(P98&lt;&gt;"Transferencia",P98&lt;&gt;"Pago tarjeta")),"",IFERROR(IF(INDEX(ctaVinc,MATCH(K98,ctaNombre,0))&amp;""&lt;&gt;"",INDEX(ctaVinc,MATCH(K98,ctaNombre,0))&amp;"",K98),K98))</f>
        <v/>
      </c>
      <c r="AD98" s="52">
        <f>IF(AB98="","",IFERROR(INDEX(ctaTipo,MATCH(AB98,ctaNombre,0))&amp;"",""))</f>
        <v/>
      </c>
      <c r="AE98" s="52">
        <f>IF(AC98="","",IFERROR(INDEX(ctaTipo,MATCH(AC98,ctaNombre,0))&amp;"",""))</f>
        <v/>
      </c>
      <c r="AF98" s="53">
        <f>IF(OR(P98="",AB98=""),"",IF(OR(P98="Gasto",P98="Transferencia",P98="Pago tarjeta"),-1,1)*IF(IFERROR(INDEX(ctaMoneda,MATCH(AB98,ctaNombre,0))&amp;"","DOP")="USD",T98,S98))</f>
        <v/>
      </c>
      <c r="AG98" s="53">
        <f>IF(AC98="","",IF(IFERROR(INDEX(ctaMoneda,MATCH(AC98,ctaNombre,0))&amp;"","DOP")="USD",T98,S98))</f>
        <v/>
      </c>
      <c r="AH98" s="53">
        <f>IF(P98="","",IF(AND(AD98&lt;&gt;"",COUNTIFS(tcTipo,AD98,tcLiq,"Sí")&gt;0),IF(OR(P98="Gasto",P98="Transferencia",P98="Pago tarjeta"),-1,1)*S98,0)+IF(AND(AE98&lt;&gt;"",COUNTIFS(tcTipo,AE98,tcLiq,"Sí")&gt;0),S98,0))</f>
        <v/>
      </c>
      <c r="AI98" s="52">
        <f>IF(OR(L98="",P98=""),"",IF(COUNTIFS(L$6:L98,L98,P$6:P98,"?*")=1,MAX(AI$5:AI97)+1,""))</f>
        <v/>
      </c>
    </row>
    <row r="99">
      <c r="B99" s="47" t="n">
        <v>46275</v>
      </c>
      <c r="C99" s="48" t="inlineStr">
        <is>
          <t>Gasto</t>
        </is>
      </c>
      <c r="D99" s="48" t="inlineStr">
        <is>
          <t>Alimentación</t>
        </is>
      </c>
      <c r="E99" s="48" t="inlineStr">
        <is>
          <t>Cenas compradas</t>
        </is>
      </c>
      <c r="F99" s="48" t="inlineStr">
        <is>
          <t>DEMO · Cena comprada</t>
        </is>
      </c>
      <c r="G99" s="49" t="n">
        <v>525</v>
      </c>
      <c r="H99" s="48" t="inlineStr">
        <is>
          <t>DOP</t>
        </is>
      </c>
      <c r="I99" s="50" t="n"/>
      <c r="J99" s="48" t="inlineStr">
        <is>
          <t>Billetera digital</t>
        </is>
      </c>
      <c r="K99" s="48" t="n"/>
      <c r="L99" s="48" t="inlineStr">
        <is>
          <t>Pizzería del sector</t>
        </is>
      </c>
      <c r="M99" s="48" t="n"/>
      <c r="N99" s="48" t="inlineStr">
        <is>
          <t>DEMOSTRACIÓN</t>
        </is>
      </c>
      <c r="O99" s="51">
        <f>IF(AND(B99="",G99="",C99="",D99="",J99=""),"",IF(B99="","⚠ Falta fecha",IF(G99="","⚠ Falta monto",IF(Q99="","⚠ Falta cuenta",IF(ISNA(MATCH(Q99,ctaNombre,0)),"⚠ Cuenta no registrada",IF(AND(OR(P99="Gasto",P99="Reembolso"),D99=""),"⚠ Falta categoría",IF(AND(D99&lt;&gt;"",E99&lt;&gt;"",ISNA(MATCH(D99&amp;"|"&amp;E99,catClave,0))),"⚠ Subcategoría no corresponde",IF(AND(OR(P99="Transferencia",P99="Pago tarjeta"),K99=""),"⚠ Falta cuenta destino",IF(AND(K99&lt;&gt;"",P99&lt;&gt;"Transferencia",P99&lt;&gt;"Pago tarjeta"),"⚠ Destino solo aplica a transferencias",IF(AND(K99&lt;&gt;"",K99=Q99),"⚠ Origen igual a destino",IF(AND(K99&lt;&gt;"",ISNA(MATCH(K99,ctaNombre,0))),"⚠ Destino no registrado",IF(AND(P99="Pago tarjeta",AE99&lt;&gt;"Tarjeta de crédito"),"⚠ El destino debe ser tarjeta de crédito",IF(AND(P99="Gasto",E99="Depósitos y retiros"),"⚠ Usa tipo Transferencia",IF(AND(P99="Resultado trading",AD99&lt;&gt;"Cuenta de trading"),"⚠ Usa una cuenta de trading",IF(AND(G99&lt;=0,P99&lt;&gt;"Ajuste",P99&lt;&gt;"Resultado trading"),"⚠ El monto debe ser positivo","✓")))))))))))))))</f>
        <v/>
      </c>
      <c r="P99" s="52">
        <f>IF(OR(B99="",G99=""),"",IF(C99="","Gasto",C99))</f>
        <v/>
      </c>
      <c r="Q99" s="52">
        <f>IF(P99="","",IF(J99&lt;&gt;"",J99,CuentaPred&amp;""))</f>
        <v/>
      </c>
      <c r="R99" s="52">
        <f>IF(P99="","",IF(ISNUMBER(I99),I99,TasaUSD))</f>
        <v/>
      </c>
      <c r="S99" s="53">
        <f>IF(P99="","",IF(H99="USD",G99*R99,G99))</f>
        <v/>
      </c>
      <c r="T99" s="53">
        <f>IF(P99="","",IF(H99="USD",G99,IF(R99&gt;0,G99/R99,0)))</f>
        <v/>
      </c>
      <c r="U99" s="53">
        <f>IF(P99="","",IF(P99="Gasto",S99,IF(P99="Reembolso",-S99,0)))</f>
        <v/>
      </c>
      <c r="V99" s="53">
        <f>IF(P99="","",IF(P99="Ingreso",S99,0))</f>
        <v/>
      </c>
      <c r="W99" s="53">
        <f>IF(P99="","",IF(P99="Resultado trading",S99,0))</f>
        <v/>
      </c>
      <c r="X99" s="52">
        <f>IF(OR(P99="Gasto",P99="Reembolso"),IF(M99&lt;&gt;"",M99,IFERROR(INDEX(catClasif,MATCH(D99&amp;"|"&amp;E99,catClave,0))&amp;"","Variable")),"")</f>
        <v/>
      </c>
      <c r="Y99" s="52">
        <f>IF(P99="","",IFERROR(INDEX(catGrupo,MATCH(D99&amp;"|"&amp;E99,catClave,0))&amp;"",""))</f>
        <v/>
      </c>
      <c r="Z99" s="52">
        <f>IF(P99="","",WEEKDAY(B99,2))</f>
        <v/>
      </c>
      <c r="AA99" s="52">
        <f>IF(P99="","",IF(AND(P99="Gasto",X99="Variable",D99&lt;&gt;catTrading,S99&gt;0,S99&lt;=Umbral),1,0))</f>
        <v/>
      </c>
      <c r="AB99" s="52">
        <f>IF(OR(P99="",Q99=""),"",IFERROR(IF(INDEX(ctaVinc,MATCH(Q99,ctaNombre,0))&amp;""&lt;&gt;"",INDEX(ctaVinc,MATCH(Q99,ctaNombre,0))&amp;"",Q99),Q99))</f>
        <v/>
      </c>
      <c r="AC99" s="52">
        <f>IF(OR(K99="",AND(P99&lt;&gt;"Transferencia",P99&lt;&gt;"Pago tarjeta")),"",IFERROR(IF(INDEX(ctaVinc,MATCH(K99,ctaNombre,0))&amp;""&lt;&gt;"",INDEX(ctaVinc,MATCH(K99,ctaNombre,0))&amp;"",K99),K99))</f>
        <v/>
      </c>
      <c r="AD99" s="52">
        <f>IF(AB99="","",IFERROR(INDEX(ctaTipo,MATCH(AB99,ctaNombre,0))&amp;"",""))</f>
        <v/>
      </c>
      <c r="AE99" s="52">
        <f>IF(AC99="","",IFERROR(INDEX(ctaTipo,MATCH(AC99,ctaNombre,0))&amp;"",""))</f>
        <v/>
      </c>
      <c r="AF99" s="53">
        <f>IF(OR(P99="",AB99=""),"",IF(OR(P99="Gasto",P99="Transferencia",P99="Pago tarjeta"),-1,1)*IF(IFERROR(INDEX(ctaMoneda,MATCH(AB99,ctaNombre,0))&amp;"","DOP")="USD",T99,S99))</f>
        <v/>
      </c>
      <c r="AG99" s="53">
        <f>IF(AC99="","",IF(IFERROR(INDEX(ctaMoneda,MATCH(AC99,ctaNombre,0))&amp;"","DOP")="USD",T99,S99))</f>
        <v/>
      </c>
      <c r="AH99" s="53">
        <f>IF(P99="","",IF(AND(AD99&lt;&gt;"",COUNTIFS(tcTipo,AD99,tcLiq,"Sí")&gt;0),IF(OR(P99="Gasto",P99="Transferencia",P99="Pago tarjeta"),-1,1)*S99,0)+IF(AND(AE99&lt;&gt;"",COUNTIFS(tcTipo,AE99,tcLiq,"Sí")&gt;0),S99,0))</f>
        <v/>
      </c>
      <c r="AI99" s="52">
        <f>IF(OR(L99="",P99=""),"",IF(COUNTIFS(L$6:L99,L99,P$6:P99,"?*")=1,MAX(AI$5:AI98)+1,""))</f>
        <v/>
      </c>
    </row>
    <row r="100">
      <c r="B100" s="47" t="n">
        <v>46275</v>
      </c>
      <c r="C100" s="48" t="inlineStr">
        <is>
          <t>Gasto</t>
        </is>
      </c>
      <c r="D100" s="48" t="inlineStr">
        <is>
          <t>Pareja y actividades sociales</t>
        </is>
      </c>
      <c r="E100" s="48" t="inlineStr">
        <is>
          <t>Salidas y citas</t>
        </is>
      </c>
      <c r="F100" s="48" t="inlineStr">
        <is>
          <t>DEMO · Salida con pareja</t>
        </is>
      </c>
      <c r="G100" s="49" t="n">
        <v>2600</v>
      </c>
      <c r="H100" s="48" t="inlineStr">
        <is>
          <t>DOP</t>
        </is>
      </c>
      <c r="I100" s="50" t="n"/>
      <c r="J100" s="48" t="inlineStr">
        <is>
          <t>Tarjeta de crédito</t>
        </is>
      </c>
      <c r="K100" s="48" t="n"/>
      <c r="L100" s="48" t="inlineStr">
        <is>
          <t>Cine y cena</t>
        </is>
      </c>
      <c r="M100" s="48" t="n"/>
      <c r="N100" s="48" t="inlineStr">
        <is>
          <t>DEMOSTRACIÓN</t>
        </is>
      </c>
      <c r="O100" s="51">
        <f>IF(AND(B100="",G100="",C100="",D100="",J100=""),"",IF(B100="","⚠ Falta fecha",IF(G100="","⚠ Falta monto",IF(Q100="","⚠ Falta cuenta",IF(ISNA(MATCH(Q100,ctaNombre,0)),"⚠ Cuenta no registrada",IF(AND(OR(P100="Gasto",P100="Reembolso"),D100=""),"⚠ Falta categoría",IF(AND(D100&lt;&gt;"",E100&lt;&gt;"",ISNA(MATCH(D100&amp;"|"&amp;E100,catClave,0))),"⚠ Subcategoría no corresponde",IF(AND(OR(P100="Transferencia",P100="Pago tarjeta"),K100=""),"⚠ Falta cuenta destino",IF(AND(K100&lt;&gt;"",P100&lt;&gt;"Transferencia",P100&lt;&gt;"Pago tarjeta"),"⚠ Destino solo aplica a transferencias",IF(AND(K100&lt;&gt;"",K100=Q100),"⚠ Origen igual a destino",IF(AND(K100&lt;&gt;"",ISNA(MATCH(K100,ctaNombre,0))),"⚠ Destino no registrado",IF(AND(P100="Pago tarjeta",AE100&lt;&gt;"Tarjeta de crédito"),"⚠ El destino debe ser tarjeta de crédito",IF(AND(P100="Gasto",E100="Depósitos y retiros"),"⚠ Usa tipo Transferencia",IF(AND(P100="Resultado trading",AD100&lt;&gt;"Cuenta de trading"),"⚠ Usa una cuenta de trading",IF(AND(G100&lt;=0,P100&lt;&gt;"Ajuste",P100&lt;&gt;"Resultado trading"),"⚠ El monto debe ser positivo","✓")))))))))))))))</f>
        <v/>
      </c>
      <c r="P100" s="52">
        <f>IF(OR(B100="",G100=""),"",IF(C100="","Gasto",C100))</f>
        <v/>
      </c>
      <c r="Q100" s="52">
        <f>IF(P100="","",IF(J100&lt;&gt;"",J100,CuentaPred&amp;""))</f>
        <v/>
      </c>
      <c r="R100" s="52">
        <f>IF(P100="","",IF(ISNUMBER(I100),I100,TasaUSD))</f>
        <v/>
      </c>
      <c r="S100" s="53">
        <f>IF(P100="","",IF(H100="USD",G100*R100,G100))</f>
        <v/>
      </c>
      <c r="T100" s="53">
        <f>IF(P100="","",IF(H100="USD",G100,IF(R100&gt;0,G100/R100,0)))</f>
        <v/>
      </c>
      <c r="U100" s="53">
        <f>IF(P100="","",IF(P100="Gasto",S100,IF(P100="Reembolso",-S100,0)))</f>
        <v/>
      </c>
      <c r="V100" s="53">
        <f>IF(P100="","",IF(P100="Ingreso",S100,0))</f>
        <v/>
      </c>
      <c r="W100" s="53">
        <f>IF(P100="","",IF(P100="Resultado trading",S100,0))</f>
        <v/>
      </c>
      <c r="X100" s="52">
        <f>IF(OR(P100="Gasto",P100="Reembolso"),IF(M100&lt;&gt;"",M100,IFERROR(INDEX(catClasif,MATCH(D100&amp;"|"&amp;E100,catClave,0))&amp;"","Variable")),"")</f>
        <v/>
      </c>
      <c r="Y100" s="52">
        <f>IF(P100="","",IFERROR(INDEX(catGrupo,MATCH(D100&amp;"|"&amp;E100,catClave,0))&amp;"",""))</f>
        <v/>
      </c>
      <c r="Z100" s="52">
        <f>IF(P100="","",WEEKDAY(B100,2))</f>
        <v/>
      </c>
      <c r="AA100" s="52">
        <f>IF(P100="","",IF(AND(P100="Gasto",X100="Variable",D100&lt;&gt;catTrading,S100&gt;0,S100&lt;=Umbral),1,0))</f>
        <v/>
      </c>
      <c r="AB100" s="52">
        <f>IF(OR(P100="",Q100=""),"",IFERROR(IF(INDEX(ctaVinc,MATCH(Q100,ctaNombre,0))&amp;""&lt;&gt;"",INDEX(ctaVinc,MATCH(Q100,ctaNombre,0))&amp;"",Q100),Q100))</f>
        <v/>
      </c>
      <c r="AC100" s="52">
        <f>IF(OR(K100="",AND(P100&lt;&gt;"Transferencia",P100&lt;&gt;"Pago tarjeta")),"",IFERROR(IF(INDEX(ctaVinc,MATCH(K100,ctaNombre,0))&amp;""&lt;&gt;"",INDEX(ctaVinc,MATCH(K100,ctaNombre,0))&amp;"",K100),K100))</f>
        <v/>
      </c>
      <c r="AD100" s="52">
        <f>IF(AB100="","",IFERROR(INDEX(ctaTipo,MATCH(AB100,ctaNombre,0))&amp;"",""))</f>
        <v/>
      </c>
      <c r="AE100" s="52">
        <f>IF(AC100="","",IFERROR(INDEX(ctaTipo,MATCH(AC100,ctaNombre,0))&amp;"",""))</f>
        <v/>
      </c>
      <c r="AF100" s="53">
        <f>IF(OR(P100="",AB100=""),"",IF(OR(P100="Gasto",P100="Transferencia",P100="Pago tarjeta"),-1,1)*IF(IFERROR(INDEX(ctaMoneda,MATCH(AB100,ctaNombre,0))&amp;"","DOP")="USD",T100,S100))</f>
        <v/>
      </c>
      <c r="AG100" s="53">
        <f>IF(AC100="","",IF(IFERROR(INDEX(ctaMoneda,MATCH(AC100,ctaNombre,0))&amp;"","DOP")="USD",T100,S100))</f>
        <v/>
      </c>
      <c r="AH100" s="53">
        <f>IF(P100="","",IF(AND(AD100&lt;&gt;"",COUNTIFS(tcTipo,AD100,tcLiq,"Sí")&gt;0),IF(OR(P100="Gasto",P100="Transferencia",P100="Pago tarjeta"),-1,1)*S100,0)+IF(AND(AE100&lt;&gt;"",COUNTIFS(tcTipo,AE100,tcLiq,"Sí")&gt;0),S100,0))</f>
        <v/>
      </c>
      <c r="AI100" s="52">
        <f>IF(OR(L100="",P100=""),"",IF(COUNTIFS(L$6:L100,L100,P$6:P100,"?*")=1,MAX(AI$5:AI99)+1,""))</f>
        <v/>
      </c>
    </row>
    <row r="101">
      <c r="B101" s="47" t="n">
        <v>46275</v>
      </c>
      <c r="C101" s="48" t="inlineStr">
        <is>
          <t>Resultado trading</t>
        </is>
      </c>
      <c r="D101" s="48" t="inlineStr">
        <is>
          <t>Trading y actividades financieras</t>
        </is>
      </c>
      <c r="E101" s="48" t="inlineStr">
        <is>
          <t>Ganancias y pérdidas realizadas</t>
        </is>
      </c>
      <c r="F101" s="48" t="inlineStr">
        <is>
          <t>DEMO · Ganancia realizada</t>
        </is>
      </c>
      <c r="G101" s="49" t="n">
        <v>140</v>
      </c>
      <c r="H101" s="48" t="inlineStr">
        <is>
          <t>USD</t>
        </is>
      </c>
      <c r="I101" s="50" t="n"/>
      <c r="J101" s="48" t="inlineStr">
        <is>
          <t>Cuenta de trading</t>
        </is>
      </c>
      <c r="K101" s="48" t="n"/>
      <c r="L101" s="48" t="n"/>
      <c r="M101" s="48" t="n"/>
      <c r="N101" s="48" t="inlineStr">
        <is>
          <t>DEMOSTRACIÓN</t>
        </is>
      </c>
      <c r="O101" s="51">
        <f>IF(AND(B101="",G101="",C101="",D101="",J101=""),"",IF(B101="","⚠ Falta fecha",IF(G101="","⚠ Falta monto",IF(Q101="","⚠ Falta cuenta",IF(ISNA(MATCH(Q101,ctaNombre,0)),"⚠ Cuenta no registrada",IF(AND(OR(P101="Gasto",P101="Reembolso"),D101=""),"⚠ Falta categoría",IF(AND(D101&lt;&gt;"",E101&lt;&gt;"",ISNA(MATCH(D101&amp;"|"&amp;E101,catClave,0))),"⚠ Subcategoría no corresponde",IF(AND(OR(P101="Transferencia",P101="Pago tarjeta"),K101=""),"⚠ Falta cuenta destino",IF(AND(K101&lt;&gt;"",P101&lt;&gt;"Transferencia",P101&lt;&gt;"Pago tarjeta"),"⚠ Destino solo aplica a transferencias",IF(AND(K101&lt;&gt;"",K101=Q101),"⚠ Origen igual a destino",IF(AND(K101&lt;&gt;"",ISNA(MATCH(K101,ctaNombre,0))),"⚠ Destino no registrado",IF(AND(P101="Pago tarjeta",AE101&lt;&gt;"Tarjeta de crédito"),"⚠ El destino debe ser tarjeta de crédito",IF(AND(P101="Gasto",E101="Depósitos y retiros"),"⚠ Usa tipo Transferencia",IF(AND(P101="Resultado trading",AD101&lt;&gt;"Cuenta de trading"),"⚠ Usa una cuenta de trading",IF(AND(G101&lt;=0,P101&lt;&gt;"Ajuste",P101&lt;&gt;"Resultado trading"),"⚠ El monto debe ser positivo","✓")))))))))))))))</f>
        <v/>
      </c>
      <c r="P101" s="52">
        <f>IF(OR(B101="",G101=""),"",IF(C101="","Gasto",C101))</f>
        <v/>
      </c>
      <c r="Q101" s="52">
        <f>IF(P101="","",IF(J101&lt;&gt;"",J101,CuentaPred&amp;""))</f>
        <v/>
      </c>
      <c r="R101" s="52">
        <f>IF(P101="","",IF(ISNUMBER(I101),I101,TasaUSD))</f>
        <v/>
      </c>
      <c r="S101" s="53">
        <f>IF(P101="","",IF(H101="USD",G101*R101,G101))</f>
        <v/>
      </c>
      <c r="T101" s="53">
        <f>IF(P101="","",IF(H101="USD",G101,IF(R101&gt;0,G101/R101,0)))</f>
        <v/>
      </c>
      <c r="U101" s="53">
        <f>IF(P101="","",IF(P101="Gasto",S101,IF(P101="Reembolso",-S101,0)))</f>
        <v/>
      </c>
      <c r="V101" s="53">
        <f>IF(P101="","",IF(P101="Ingreso",S101,0))</f>
        <v/>
      </c>
      <c r="W101" s="53">
        <f>IF(P101="","",IF(P101="Resultado trading",S101,0))</f>
        <v/>
      </c>
      <c r="X101" s="52">
        <f>IF(OR(P101="Gasto",P101="Reembolso"),IF(M101&lt;&gt;"",M101,IFERROR(INDEX(catClasif,MATCH(D101&amp;"|"&amp;E101,catClave,0))&amp;"","Variable")),"")</f>
        <v/>
      </c>
      <c r="Y101" s="52">
        <f>IF(P101="","",IFERROR(INDEX(catGrupo,MATCH(D101&amp;"|"&amp;E101,catClave,0))&amp;"",""))</f>
        <v/>
      </c>
      <c r="Z101" s="52">
        <f>IF(P101="","",WEEKDAY(B101,2))</f>
        <v/>
      </c>
      <c r="AA101" s="52">
        <f>IF(P101="","",IF(AND(P101="Gasto",X101="Variable",D101&lt;&gt;catTrading,S101&gt;0,S101&lt;=Umbral),1,0))</f>
        <v/>
      </c>
      <c r="AB101" s="52">
        <f>IF(OR(P101="",Q101=""),"",IFERROR(IF(INDEX(ctaVinc,MATCH(Q101,ctaNombre,0))&amp;""&lt;&gt;"",INDEX(ctaVinc,MATCH(Q101,ctaNombre,0))&amp;"",Q101),Q101))</f>
        <v/>
      </c>
      <c r="AC101" s="52">
        <f>IF(OR(K101="",AND(P101&lt;&gt;"Transferencia",P101&lt;&gt;"Pago tarjeta")),"",IFERROR(IF(INDEX(ctaVinc,MATCH(K101,ctaNombre,0))&amp;""&lt;&gt;"",INDEX(ctaVinc,MATCH(K101,ctaNombre,0))&amp;"",K101),K101))</f>
        <v/>
      </c>
      <c r="AD101" s="52">
        <f>IF(AB101="","",IFERROR(INDEX(ctaTipo,MATCH(AB101,ctaNombre,0))&amp;"",""))</f>
        <v/>
      </c>
      <c r="AE101" s="52">
        <f>IF(AC101="","",IFERROR(INDEX(ctaTipo,MATCH(AC101,ctaNombre,0))&amp;"",""))</f>
        <v/>
      </c>
      <c r="AF101" s="53">
        <f>IF(OR(P101="",AB101=""),"",IF(OR(P101="Gasto",P101="Transferencia",P101="Pago tarjeta"),-1,1)*IF(IFERROR(INDEX(ctaMoneda,MATCH(AB101,ctaNombre,0))&amp;"","DOP")="USD",T101,S101))</f>
        <v/>
      </c>
      <c r="AG101" s="53">
        <f>IF(AC101="","",IF(IFERROR(INDEX(ctaMoneda,MATCH(AC101,ctaNombre,0))&amp;"","DOP")="USD",T101,S101))</f>
        <v/>
      </c>
      <c r="AH101" s="53">
        <f>IF(P101="","",IF(AND(AD101&lt;&gt;"",COUNTIFS(tcTipo,AD101,tcLiq,"Sí")&gt;0),IF(OR(P101="Gasto",P101="Transferencia",P101="Pago tarjeta"),-1,1)*S101,0)+IF(AND(AE101&lt;&gt;"",COUNTIFS(tcTipo,AE101,tcLiq,"Sí")&gt;0),S101,0))</f>
        <v/>
      </c>
      <c r="AI101" s="52">
        <f>IF(OR(L101="",P101=""),"",IF(COUNTIFS(L$6:L101,L101,P$6:P101,"?*")=1,MAX(AI$5:AI100)+1,""))</f>
        <v/>
      </c>
    </row>
    <row r="102">
      <c r="B102" s="47" t="n">
        <v>46275</v>
      </c>
      <c r="C102" s="48" t="inlineStr">
        <is>
          <t>Gasto</t>
        </is>
      </c>
      <c r="D102" s="48" t="inlineStr">
        <is>
          <t>Trading y actividades financieras</t>
        </is>
      </c>
      <c r="E102" s="48" t="inlineStr">
        <is>
          <t>Comisiones</t>
        </is>
      </c>
      <c r="F102" s="48" t="inlineStr">
        <is>
          <t>DEMO · Comisiones del broker</t>
        </is>
      </c>
      <c r="G102" s="49" t="n">
        <v>6</v>
      </c>
      <c r="H102" s="48" t="inlineStr">
        <is>
          <t>USD</t>
        </is>
      </c>
      <c r="I102" s="50" t="n"/>
      <c r="J102" s="48" t="inlineStr">
        <is>
          <t>Cuenta de trading</t>
        </is>
      </c>
      <c r="K102" s="48" t="n"/>
      <c r="L102" s="48" t="inlineStr">
        <is>
          <t>Broker</t>
        </is>
      </c>
      <c r="M102" s="48" t="n"/>
      <c r="N102" s="48" t="inlineStr">
        <is>
          <t>DEMOSTRACIÓN</t>
        </is>
      </c>
      <c r="O102" s="51">
        <f>IF(AND(B102="",G102="",C102="",D102="",J102=""),"",IF(B102="","⚠ Falta fecha",IF(G102="","⚠ Falta monto",IF(Q102="","⚠ Falta cuenta",IF(ISNA(MATCH(Q102,ctaNombre,0)),"⚠ Cuenta no registrada",IF(AND(OR(P102="Gasto",P102="Reembolso"),D102=""),"⚠ Falta categoría",IF(AND(D102&lt;&gt;"",E102&lt;&gt;"",ISNA(MATCH(D102&amp;"|"&amp;E102,catClave,0))),"⚠ Subcategoría no corresponde",IF(AND(OR(P102="Transferencia",P102="Pago tarjeta"),K102=""),"⚠ Falta cuenta destino",IF(AND(K102&lt;&gt;"",P102&lt;&gt;"Transferencia",P102&lt;&gt;"Pago tarjeta"),"⚠ Destino solo aplica a transferencias",IF(AND(K102&lt;&gt;"",K102=Q102),"⚠ Origen igual a destino",IF(AND(K102&lt;&gt;"",ISNA(MATCH(K102,ctaNombre,0))),"⚠ Destino no registrado",IF(AND(P102="Pago tarjeta",AE102&lt;&gt;"Tarjeta de crédito"),"⚠ El destino debe ser tarjeta de crédito",IF(AND(P102="Gasto",E102="Depósitos y retiros"),"⚠ Usa tipo Transferencia",IF(AND(P102="Resultado trading",AD102&lt;&gt;"Cuenta de trading"),"⚠ Usa una cuenta de trading",IF(AND(G102&lt;=0,P102&lt;&gt;"Ajuste",P102&lt;&gt;"Resultado trading"),"⚠ El monto debe ser positivo","✓")))))))))))))))</f>
        <v/>
      </c>
      <c r="P102" s="52">
        <f>IF(OR(B102="",G102=""),"",IF(C102="","Gasto",C102))</f>
        <v/>
      </c>
      <c r="Q102" s="52">
        <f>IF(P102="","",IF(J102&lt;&gt;"",J102,CuentaPred&amp;""))</f>
        <v/>
      </c>
      <c r="R102" s="52">
        <f>IF(P102="","",IF(ISNUMBER(I102),I102,TasaUSD))</f>
        <v/>
      </c>
      <c r="S102" s="53">
        <f>IF(P102="","",IF(H102="USD",G102*R102,G102))</f>
        <v/>
      </c>
      <c r="T102" s="53">
        <f>IF(P102="","",IF(H102="USD",G102,IF(R102&gt;0,G102/R102,0)))</f>
        <v/>
      </c>
      <c r="U102" s="53">
        <f>IF(P102="","",IF(P102="Gasto",S102,IF(P102="Reembolso",-S102,0)))</f>
        <v/>
      </c>
      <c r="V102" s="53">
        <f>IF(P102="","",IF(P102="Ingreso",S102,0))</f>
        <v/>
      </c>
      <c r="W102" s="53">
        <f>IF(P102="","",IF(P102="Resultado trading",S102,0))</f>
        <v/>
      </c>
      <c r="X102" s="52">
        <f>IF(OR(P102="Gasto",P102="Reembolso"),IF(M102&lt;&gt;"",M102,IFERROR(INDEX(catClasif,MATCH(D102&amp;"|"&amp;E102,catClave,0))&amp;"","Variable")),"")</f>
        <v/>
      </c>
      <c r="Y102" s="52">
        <f>IF(P102="","",IFERROR(INDEX(catGrupo,MATCH(D102&amp;"|"&amp;E102,catClave,0))&amp;"",""))</f>
        <v/>
      </c>
      <c r="Z102" s="52">
        <f>IF(P102="","",WEEKDAY(B102,2))</f>
        <v/>
      </c>
      <c r="AA102" s="52">
        <f>IF(P102="","",IF(AND(P102="Gasto",X102="Variable",D102&lt;&gt;catTrading,S102&gt;0,S102&lt;=Umbral),1,0))</f>
        <v/>
      </c>
      <c r="AB102" s="52">
        <f>IF(OR(P102="",Q102=""),"",IFERROR(IF(INDEX(ctaVinc,MATCH(Q102,ctaNombre,0))&amp;""&lt;&gt;"",INDEX(ctaVinc,MATCH(Q102,ctaNombre,0))&amp;"",Q102),Q102))</f>
        <v/>
      </c>
      <c r="AC102" s="52">
        <f>IF(OR(K102="",AND(P102&lt;&gt;"Transferencia",P102&lt;&gt;"Pago tarjeta")),"",IFERROR(IF(INDEX(ctaVinc,MATCH(K102,ctaNombre,0))&amp;""&lt;&gt;"",INDEX(ctaVinc,MATCH(K102,ctaNombre,0))&amp;"",K102),K102))</f>
        <v/>
      </c>
      <c r="AD102" s="52">
        <f>IF(AB102="","",IFERROR(INDEX(ctaTipo,MATCH(AB102,ctaNombre,0))&amp;"",""))</f>
        <v/>
      </c>
      <c r="AE102" s="52">
        <f>IF(AC102="","",IFERROR(INDEX(ctaTipo,MATCH(AC102,ctaNombre,0))&amp;"",""))</f>
        <v/>
      </c>
      <c r="AF102" s="53">
        <f>IF(OR(P102="",AB102=""),"",IF(OR(P102="Gasto",P102="Transferencia",P102="Pago tarjeta"),-1,1)*IF(IFERROR(INDEX(ctaMoneda,MATCH(AB102,ctaNombre,0))&amp;"","DOP")="USD",T102,S102))</f>
        <v/>
      </c>
      <c r="AG102" s="53">
        <f>IF(AC102="","",IF(IFERROR(INDEX(ctaMoneda,MATCH(AC102,ctaNombre,0))&amp;"","DOP")="USD",T102,S102))</f>
        <v/>
      </c>
      <c r="AH102" s="53">
        <f>IF(P102="","",IF(AND(AD102&lt;&gt;"",COUNTIFS(tcTipo,AD102,tcLiq,"Sí")&gt;0),IF(OR(P102="Gasto",P102="Transferencia",P102="Pago tarjeta"),-1,1)*S102,0)+IF(AND(AE102&lt;&gt;"",COUNTIFS(tcTipo,AE102,tcLiq,"Sí")&gt;0),S102,0))</f>
        <v/>
      </c>
      <c r="AI102" s="52">
        <f>IF(OR(L102="",P102=""),"",IF(COUNTIFS(L$6:L102,L102,P$6:P102,"?*")=1,MAX(AI$5:AI101)+1,""))</f>
        <v/>
      </c>
    </row>
    <row r="103">
      <c r="B103" s="47" t="n">
        <v>46276</v>
      </c>
      <c r="C103" s="48" t="inlineStr">
        <is>
          <t>Gasto</t>
        </is>
      </c>
      <c r="D103" s="48" t="inlineStr">
        <is>
          <t>Alimentación</t>
        </is>
      </c>
      <c r="E103" s="48" t="inlineStr">
        <is>
          <t>Desayunos comprados</t>
        </is>
      </c>
      <c r="F103" s="48" t="inlineStr">
        <is>
          <t>DEMO · Desayuno en la oficina</t>
        </is>
      </c>
      <c r="G103" s="49" t="n">
        <v>290</v>
      </c>
      <c r="H103" s="48" t="inlineStr">
        <is>
          <t>DOP</t>
        </is>
      </c>
      <c r="I103" s="50" t="n"/>
      <c r="J103" s="48" t="inlineStr">
        <is>
          <t>Tarjeta de débito</t>
        </is>
      </c>
      <c r="K103" s="48" t="n"/>
      <c r="L103" s="48" t="inlineStr">
        <is>
          <t>Cafetería del trabajo</t>
        </is>
      </c>
      <c r="M103" s="48" t="n"/>
      <c r="N103" s="48" t="inlineStr">
        <is>
          <t>DEMOSTRACIÓN</t>
        </is>
      </c>
      <c r="O103" s="51">
        <f>IF(AND(B103="",G103="",C103="",D103="",J103=""),"",IF(B103="","⚠ Falta fecha",IF(G103="","⚠ Falta monto",IF(Q103="","⚠ Falta cuenta",IF(ISNA(MATCH(Q103,ctaNombre,0)),"⚠ Cuenta no registrada",IF(AND(OR(P103="Gasto",P103="Reembolso"),D103=""),"⚠ Falta categoría",IF(AND(D103&lt;&gt;"",E103&lt;&gt;"",ISNA(MATCH(D103&amp;"|"&amp;E103,catClave,0))),"⚠ Subcategoría no corresponde",IF(AND(OR(P103="Transferencia",P103="Pago tarjeta"),K103=""),"⚠ Falta cuenta destino",IF(AND(K103&lt;&gt;"",P103&lt;&gt;"Transferencia",P103&lt;&gt;"Pago tarjeta"),"⚠ Destino solo aplica a transferencias",IF(AND(K103&lt;&gt;"",K103=Q103),"⚠ Origen igual a destino",IF(AND(K103&lt;&gt;"",ISNA(MATCH(K103,ctaNombre,0))),"⚠ Destino no registrado",IF(AND(P103="Pago tarjeta",AE103&lt;&gt;"Tarjeta de crédito"),"⚠ El destino debe ser tarjeta de crédito",IF(AND(P103="Gasto",E103="Depósitos y retiros"),"⚠ Usa tipo Transferencia",IF(AND(P103="Resultado trading",AD103&lt;&gt;"Cuenta de trading"),"⚠ Usa una cuenta de trading",IF(AND(G103&lt;=0,P103&lt;&gt;"Ajuste",P103&lt;&gt;"Resultado trading"),"⚠ El monto debe ser positivo","✓")))))))))))))))</f>
        <v/>
      </c>
      <c r="P103" s="52">
        <f>IF(OR(B103="",G103=""),"",IF(C103="","Gasto",C103))</f>
        <v/>
      </c>
      <c r="Q103" s="52">
        <f>IF(P103="","",IF(J103&lt;&gt;"",J103,CuentaPred&amp;""))</f>
        <v/>
      </c>
      <c r="R103" s="52">
        <f>IF(P103="","",IF(ISNUMBER(I103),I103,TasaUSD))</f>
        <v/>
      </c>
      <c r="S103" s="53">
        <f>IF(P103="","",IF(H103="USD",G103*R103,G103))</f>
        <v/>
      </c>
      <c r="T103" s="53">
        <f>IF(P103="","",IF(H103="USD",G103,IF(R103&gt;0,G103/R103,0)))</f>
        <v/>
      </c>
      <c r="U103" s="53">
        <f>IF(P103="","",IF(P103="Gasto",S103,IF(P103="Reembolso",-S103,0)))</f>
        <v/>
      </c>
      <c r="V103" s="53">
        <f>IF(P103="","",IF(P103="Ingreso",S103,0))</f>
        <v/>
      </c>
      <c r="W103" s="53">
        <f>IF(P103="","",IF(P103="Resultado trading",S103,0))</f>
        <v/>
      </c>
      <c r="X103" s="52">
        <f>IF(OR(P103="Gasto",P103="Reembolso"),IF(M103&lt;&gt;"",M103,IFERROR(INDEX(catClasif,MATCH(D103&amp;"|"&amp;E103,catClave,0))&amp;"","Variable")),"")</f>
        <v/>
      </c>
      <c r="Y103" s="52">
        <f>IF(P103="","",IFERROR(INDEX(catGrupo,MATCH(D103&amp;"|"&amp;E103,catClave,0))&amp;"",""))</f>
        <v/>
      </c>
      <c r="Z103" s="52">
        <f>IF(P103="","",WEEKDAY(B103,2))</f>
        <v/>
      </c>
      <c r="AA103" s="52">
        <f>IF(P103="","",IF(AND(P103="Gasto",X103="Variable",D103&lt;&gt;catTrading,S103&gt;0,S103&lt;=Umbral),1,0))</f>
        <v/>
      </c>
      <c r="AB103" s="52">
        <f>IF(OR(P103="",Q103=""),"",IFERROR(IF(INDEX(ctaVinc,MATCH(Q103,ctaNombre,0))&amp;""&lt;&gt;"",INDEX(ctaVinc,MATCH(Q103,ctaNombre,0))&amp;"",Q103),Q103))</f>
        <v/>
      </c>
      <c r="AC103" s="52">
        <f>IF(OR(K103="",AND(P103&lt;&gt;"Transferencia",P103&lt;&gt;"Pago tarjeta")),"",IFERROR(IF(INDEX(ctaVinc,MATCH(K103,ctaNombre,0))&amp;""&lt;&gt;"",INDEX(ctaVinc,MATCH(K103,ctaNombre,0))&amp;"",K103),K103))</f>
        <v/>
      </c>
      <c r="AD103" s="52">
        <f>IF(AB103="","",IFERROR(INDEX(ctaTipo,MATCH(AB103,ctaNombre,0))&amp;"",""))</f>
        <v/>
      </c>
      <c r="AE103" s="52">
        <f>IF(AC103="","",IFERROR(INDEX(ctaTipo,MATCH(AC103,ctaNombre,0))&amp;"",""))</f>
        <v/>
      </c>
      <c r="AF103" s="53">
        <f>IF(OR(P103="",AB103=""),"",IF(OR(P103="Gasto",P103="Transferencia",P103="Pago tarjeta"),-1,1)*IF(IFERROR(INDEX(ctaMoneda,MATCH(AB103,ctaNombre,0))&amp;"","DOP")="USD",T103,S103))</f>
        <v/>
      </c>
      <c r="AG103" s="53">
        <f>IF(AC103="","",IF(IFERROR(INDEX(ctaMoneda,MATCH(AC103,ctaNombre,0))&amp;"","DOP")="USD",T103,S103))</f>
        <v/>
      </c>
      <c r="AH103" s="53">
        <f>IF(P103="","",IF(AND(AD103&lt;&gt;"",COUNTIFS(tcTipo,AD103,tcLiq,"Sí")&gt;0),IF(OR(P103="Gasto",P103="Transferencia",P103="Pago tarjeta"),-1,1)*S103,0)+IF(AND(AE103&lt;&gt;"",COUNTIFS(tcTipo,AE103,tcLiq,"Sí")&gt;0),S103,0))</f>
        <v/>
      </c>
      <c r="AI103" s="52">
        <f>IF(OR(L103="",P103=""),"",IF(COUNTIFS(L$6:L103,L103,P$6:P103,"?*")=1,MAX(AI$5:AI102)+1,""))</f>
        <v/>
      </c>
    </row>
    <row r="104">
      <c r="B104" s="47" t="n">
        <v>46276</v>
      </c>
      <c r="C104" s="48" t="inlineStr">
        <is>
          <t>Gasto</t>
        </is>
      </c>
      <c r="D104" s="48" t="inlineStr">
        <is>
          <t>Alimentación</t>
        </is>
      </c>
      <c r="E104" s="48" t="inlineStr">
        <is>
          <t>Cenas compradas</t>
        </is>
      </c>
      <c r="F104" s="48" t="inlineStr">
        <is>
          <t>DEMO · Cena comprada</t>
        </is>
      </c>
      <c r="G104" s="49" t="n">
        <v>675</v>
      </c>
      <c r="H104" s="48" t="inlineStr">
        <is>
          <t>DOP</t>
        </is>
      </c>
      <c r="I104" s="50" t="n"/>
      <c r="J104" s="48" t="inlineStr">
        <is>
          <t>Billetera digital</t>
        </is>
      </c>
      <c r="K104" s="48" t="n"/>
      <c r="L104" s="48" t="inlineStr">
        <is>
          <t>Pizzería del sector</t>
        </is>
      </c>
      <c r="M104" s="48" t="n"/>
      <c r="N104" s="48" t="inlineStr">
        <is>
          <t>DEMOSTRACIÓN</t>
        </is>
      </c>
      <c r="O104" s="51">
        <f>IF(AND(B104="",G104="",C104="",D104="",J104=""),"",IF(B104="","⚠ Falta fecha",IF(G104="","⚠ Falta monto",IF(Q104="","⚠ Falta cuenta",IF(ISNA(MATCH(Q104,ctaNombre,0)),"⚠ Cuenta no registrada",IF(AND(OR(P104="Gasto",P104="Reembolso"),D104=""),"⚠ Falta categoría",IF(AND(D104&lt;&gt;"",E104&lt;&gt;"",ISNA(MATCH(D104&amp;"|"&amp;E104,catClave,0))),"⚠ Subcategoría no corresponde",IF(AND(OR(P104="Transferencia",P104="Pago tarjeta"),K104=""),"⚠ Falta cuenta destino",IF(AND(K104&lt;&gt;"",P104&lt;&gt;"Transferencia",P104&lt;&gt;"Pago tarjeta"),"⚠ Destino solo aplica a transferencias",IF(AND(K104&lt;&gt;"",K104=Q104),"⚠ Origen igual a destino",IF(AND(K104&lt;&gt;"",ISNA(MATCH(K104,ctaNombre,0))),"⚠ Destino no registrado",IF(AND(P104="Pago tarjeta",AE104&lt;&gt;"Tarjeta de crédito"),"⚠ El destino debe ser tarjeta de crédito",IF(AND(P104="Gasto",E104="Depósitos y retiros"),"⚠ Usa tipo Transferencia",IF(AND(P104="Resultado trading",AD104&lt;&gt;"Cuenta de trading"),"⚠ Usa una cuenta de trading",IF(AND(G104&lt;=0,P104&lt;&gt;"Ajuste",P104&lt;&gt;"Resultado trading"),"⚠ El monto debe ser positivo","✓")))))))))))))))</f>
        <v/>
      </c>
      <c r="P104" s="52">
        <f>IF(OR(B104="",G104=""),"",IF(C104="","Gasto",C104))</f>
        <v/>
      </c>
      <c r="Q104" s="52">
        <f>IF(P104="","",IF(J104&lt;&gt;"",J104,CuentaPred&amp;""))</f>
        <v/>
      </c>
      <c r="R104" s="52">
        <f>IF(P104="","",IF(ISNUMBER(I104),I104,TasaUSD))</f>
        <v/>
      </c>
      <c r="S104" s="53">
        <f>IF(P104="","",IF(H104="USD",G104*R104,G104))</f>
        <v/>
      </c>
      <c r="T104" s="53">
        <f>IF(P104="","",IF(H104="USD",G104,IF(R104&gt;0,G104/R104,0)))</f>
        <v/>
      </c>
      <c r="U104" s="53">
        <f>IF(P104="","",IF(P104="Gasto",S104,IF(P104="Reembolso",-S104,0)))</f>
        <v/>
      </c>
      <c r="V104" s="53">
        <f>IF(P104="","",IF(P104="Ingreso",S104,0))</f>
        <v/>
      </c>
      <c r="W104" s="53">
        <f>IF(P104="","",IF(P104="Resultado trading",S104,0))</f>
        <v/>
      </c>
      <c r="X104" s="52">
        <f>IF(OR(P104="Gasto",P104="Reembolso"),IF(M104&lt;&gt;"",M104,IFERROR(INDEX(catClasif,MATCH(D104&amp;"|"&amp;E104,catClave,0))&amp;"","Variable")),"")</f>
        <v/>
      </c>
      <c r="Y104" s="52">
        <f>IF(P104="","",IFERROR(INDEX(catGrupo,MATCH(D104&amp;"|"&amp;E104,catClave,0))&amp;"",""))</f>
        <v/>
      </c>
      <c r="Z104" s="52">
        <f>IF(P104="","",WEEKDAY(B104,2))</f>
        <v/>
      </c>
      <c r="AA104" s="52">
        <f>IF(P104="","",IF(AND(P104="Gasto",X104="Variable",D104&lt;&gt;catTrading,S104&gt;0,S104&lt;=Umbral),1,0))</f>
        <v/>
      </c>
      <c r="AB104" s="52">
        <f>IF(OR(P104="",Q104=""),"",IFERROR(IF(INDEX(ctaVinc,MATCH(Q104,ctaNombre,0))&amp;""&lt;&gt;"",INDEX(ctaVinc,MATCH(Q104,ctaNombre,0))&amp;"",Q104),Q104))</f>
        <v/>
      </c>
      <c r="AC104" s="52">
        <f>IF(OR(K104="",AND(P104&lt;&gt;"Transferencia",P104&lt;&gt;"Pago tarjeta")),"",IFERROR(IF(INDEX(ctaVinc,MATCH(K104,ctaNombre,0))&amp;""&lt;&gt;"",INDEX(ctaVinc,MATCH(K104,ctaNombre,0))&amp;"",K104),K104))</f>
        <v/>
      </c>
      <c r="AD104" s="52">
        <f>IF(AB104="","",IFERROR(INDEX(ctaTipo,MATCH(AB104,ctaNombre,0))&amp;"",""))</f>
        <v/>
      </c>
      <c r="AE104" s="52">
        <f>IF(AC104="","",IFERROR(INDEX(ctaTipo,MATCH(AC104,ctaNombre,0))&amp;"",""))</f>
        <v/>
      </c>
      <c r="AF104" s="53">
        <f>IF(OR(P104="",AB104=""),"",IF(OR(P104="Gasto",P104="Transferencia",P104="Pago tarjeta"),-1,1)*IF(IFERROR(INDEX(ctaMoneda,MATCH(AB104,ctaNombre,0))&amp;"","DOP")="USD",T104,S104))</f>
        <v/>
      </c>
      <c r="AG104" s="53">
        <f>IF(AC104="","",IF(IFERROR(INDEX(ctaMoneda,MATCH(AC104,ctaNombre,0))&amp;"","DOP")="USD",T104,S104))</f>
        <v/>
      </c>
      <c r="AH104" s="53">
        <f>IF(P104="","",IF(AND(AD104&lt;&gt;"",COUNTIFS(tcTipo,AD104,tcLiq,"Sí")&gt;0),IF(OR(P104="Gasto",P104="Transferencia",P104="Pago tarjeta"),-1,1)*S104,0)+IF(AND(AE104&lt;&gt;"",COUNTIFS(tcTipo,AE104,tcLiq,"Sí")&gt;0),S104,0))</f>
        <v/>
      </c>
      <c r="AI104" s="52">
        <f>IF(OR(L104="",P104=""),"",IF(COUNTIFS(L$6:L104,L104,P$6:P104,"?*")=1,MAX(AI$5:AI103)+1,""))</f>
        <v/>
      </c>
    </row>
    <row r="105">
      <c r="B105" s="47" t="n">
        <v>46277</v>
      </c>
      <c r="C105" s="48" t="inlineStr">
        <is>
          <t>Gasto</t>
        </is>
      </c>
      <c r="D105" s="48" t="inlineStr">
        <is>
          <t>Alimentación</t>
        </is>
      </c>
      <c r="E105" s="48" t="inlineStr">
        <is>
          <t>Supermercado</t>
        </is>
      </c>
      <c r="F105" s="48" t="inlineStr">
        <is>
          <t>DEMO · Compra de supermercado</t>
        </is>
      </c>
      <c r="G105" s="49" t="n">
        <v>3950</v>
      </c>
      <c r="H105" s="48" t="inlineStr">
        <is>
          <t>DOP</t>
        </is>
      </c>
      <c r="I105" s="50" t="n"/>
      <c r="J105" s="48" t="inlineStr">
        <is>
          <t>Tarjeta de crédito</t>
        </is>
      </c>
      <c r="K105" s="48" t="n"/>
      <c r="L105" s="48" t="inlineStr">
        <is>
          <t>Supermercado principal</t>
        </is>
      </c>
      <c r="M105" s="48" t="n"/>
      <c r="N105" s="48" t="inlineStr">
        <is>
          <t>DEMOSTRACIÓN</t>
        </is>
      </c>
      <c r="O105" s="51">
        <f>IF(AND(B105="",G105="",C105="",D105="",J105=""),"",IF(B105="","⚠ Falta fecha",IF(G105="","⚠ Falta monto",IF(Q105="","⚠ Falta cuenta",IF(ISNA(MATCH(Q105,ctaNombre,0)),"⚠ Cuenta no registrada",IF(AND(OR(P105="Gasto",P105="Reembolso"),D105=""),"⚠ Falta categoría",IF(AND(D105&lt;&gt;"",E105&lt;&gt;"",ISNA(MATCH(D105&amp;"|"&amp;E105,catClave,0))),"⚠ Subcategoría no corresponde",IF(AND(OR(P105="Transferencia",P105="Pago tarjeta"),K105=""),"⚠ Falta cuenta destino",IF(AND(K105&lt;&gt;"",P105&lt;&gt;"Transferencia",P105&lt;&gt;"Pago tarjeta"),"⚠ Destino solo aplica a transferencias",IF(AND(K105&lt;&gt;"",K105=Q105),"⚠ Origen igual a destino",IF(AND(K105&lt;&gt;"",ISNA(MATCH(K105,ctaNombre,0))),"⚠ Destino no registrado",IF(AND(P105="Pago tarjeta",AE105&lt;&gt;"Tarjeta de crédito"),"⚠ El destino debe ser tarjeta de crédito",IF(AND(P105="Gasto",E105="Depósitos y retiros"),"⚠ Usa tipo Transferencia",IF(AND(P105="Resultado trading",AD105&lt;&gt;"Cuenta de trading"),"⚠ Usa una cuenta de trading",IF(AND(G105&lt;=0,P105&lt;&gt;"Ajuste",P105&lt;&gt;"Resultado trading"),"⚠ El monto debe ser positivo","✓")))))))))))))))</f>
        <v/>
      </c>
      <c r="P105" s="52">
        <f>IF(OR(B105="",G105=""),"",IF(C105="","Gasto",C105))</f>
        <v/>
      </c>
      <c r="Q105" s="52">
        <f>IF(P105="","",IF(J105&lt;&gt;"",J105,CuentaPred&amp;""))</f>
        <v/>
      </c>
      <c r="R105" s="52">
        <f>IF(P105="","",IF(ISNUMBER(I105),I105,TasaUSD))</f>
        <v/>
      </c>
      <c r="S105" s="53">
        <f>IF(P105="","",IF(H105="USD",G105*R105,G105))</f>
        <v/>
      </c>
      <c r="T105" s="53">
        <f>IF(P105="","",IF(H105="USD",G105,IF(R105&gt;0,G105/R105,0)))</f>
        <v/>
      </c>
      <c r="U105" s="53">
        <f>IF(P105="","",IF(P105="Gasto",S105,IF(P105="Reembolso",-S105,0)))</f>
        <v/>
      </c>
      <c r="V105" s="53">
        <f>IF(P105="","",IF(P105="Ingreso",S105,0))</f>
        <v/>
      </c>
      <c r="W105" s="53">
        <f>IF(P105="","",IF(P105="Resultado trading",S105,0))</f>
        <v/>
      </c>
      <c r="X105" s="52">
        <f>IF(OR(P105="Gasto",P105="Reembolso"),IF(M105&lt;&gt;"",M105,IFERROR(INDEX(catClasif,MATCH(D105&amp;"|"&amp;E105,catClave,0))&amp;"","Variable")),"")</f>
        <v/>
      </c>
      <c r="Y105" s="52">
        <f>IF(P105="","",IFERROR(INDEX(catGrupo,MATCH(D105&amp;"|"&amp;E105,catClave,0))&amp;"",""))</f>
        <v/>
      </c>
      <c r="Z105" s="52">
        <f>IF(P105="","",WEEKDAY(B105,2))</f>
        <v/>
      </c>
      <c r="AA105" s="52">
        <f>IF(P105="","",IF(AND(P105="Gasto",X105="Variable",D105&lt;&gt;catTrading,S105&gt;0,S105&lt;=Umbral),1,0))</f>
        <v/>
      </c>
      <c r="AB105" s="52">
        <f>IF(OR(P105="",Q105=""),"",IFERROR(IF(INDEX(ctaVinc,MATCH(Q105,ctaNombre,0))&amp;""&lt;&gt;"",INDEX(ctaVinc,MATCH(Q105,ctaNombre,0))&amp;"",Q105),Q105))</f>
        <v/>
      </c>
      <c r="AC105" s="52">
        <f>IF(OR(K105="",AND(P105&lt;&gt;"Transferencia",P105&lt;&gt;"Pago tarjeta")),"",IFERROR(IF(INDEX(ctaVinc,MATCH(K105,ctaNombre,0))&amp;""&lt;&gt;"",INDEX(ctaVinc,MATCH(K105,ctaNombre,0))&amp;"",K105),K105))</f>
        <v/>
      </c>
      <c r="AD105" s="52">
        <f>IF(AB105="","",IFERROR(INDEX(ctaTipo,MATCH(AB105,ctaNombre,0))&amp;"",""))</f>
        <v/>
      </c>
      <c r="AE105" s="52">
        <f>IF(AC105="","",IFERROR(INDEX(ctaTipo,MATCH(AC105,ctaNombre,0))&amp;"",""))</f>
        <v/>
      </c>
      <c r="AF105" s="53">
        <f>IF(OR(P105="",AB105=""),"",IF(OR(P105="Gasto",P105="Transferencia",P105="Pago tarjeta"),-1,1)*IF(IFERROR(INDEX(ctaMoneda,MATCH(AB105,ctaNombre,0))&amp;"","DOP")="USD",T105,S105))</f>
        <v/>
      </c>
      <c r="AG105" s="53">
        <f>IF(AC105="","",IF(IFERROR(INDEX(ctaMoneda,MATCH(AC105,ctaNombre,0))&amp;"","DOP")="USD",T105,S105))</f>
        <v/>
      </c>
      <c r="AH105" s="53">
        <f>IF(P105="","",IF(AND(AD105&lt;&gt;"",COUNTIFS(tcTipo,AD105,tcLiq,"Sí")&gt;0),IF(OR(P105="Gasto",P105="Transferencia",P105="Pago tarjeta"),-1,1)*S105,0)+IF(AND(AE105&lt;&gt;"",COUNTIFS(tcTipo,AE105,tcLiq,"Sí")&gt;0),S105,0))</f>
        <v/>
      </c>
      <c r="AI105" s="52">
        <f>IF(OR(L105="",P105=""),"",IF(COUNTIFS(L$6:L105,L105,P$6:P105,"?*")=1,MAX(AI$5:AI104)+1,""))</f>
        <v/>
      </c>
    </row>
    <row r="106">
      <c r="B106" s="47" t="n">
        <v>46277</v>
      </c>
      <c r="C106" s="48" t="inlineStr">
        <is>
          <t>Gasto</t>
        </is>
      </c>
      <c r="D106" s="48" t="inlineStr">
        <is>
          <t>Hogar y servicios</t>
        </is>
      </c>
      <c r="E106" s="48" t="inlineStr">
        <is>
          <t>Electricidad</t>
        </is>
      </c>
      <c r="F106" s="48" t="inlineStr">
        <is>
          <t>DEMO · Factura de luz</t>
        </is>
      </c>
      <c r="G106" s="49" t="n">
        <v>2940</v>
      </c>
      <c r="H106" s="48" t="inlineStr">
        <is>
          <t>DOP</t>
        </is>
      </c>
      <c r="I106" s="50" t="n"/>
      <c r="J106" s="48" t="inlineStr">
        <is>
          <t>Banco principal</t>
        </is>
      </c>
      <c r="K106" s="48" t="n"/>
      <c r="L106" s="48" t="inlineStr">
        <is>
          <t>Empresa eléctrica</t>
        </is>
      </c>
      <c r="M106" s="48" t="n"/>
      <c r="N106" s="48" t="inlineStr">
        <is>
          <t>DEMOSTRACIÓN</t>
        </is>
      </c>
      <c r="O106" s="51">
        <f>IF(AND(B106="",G106="",C106="",D106="",J106=""),"",IF(B106="","⚠ Falta fecha",IF(G106="","⚠ Falta monto",IF(Q106="","⚠ Falta cuenta",IF(ISNA(MATCH(Q106,ctaNombre,0)),"⚠ Cuenta no registrada",IF(AND(OR(P106="Gasto",P106="Reembolso"),D106=""),"⚠ Falta categoría",IF(AND(D106&lt;&gt;"",E106&lt;&gt;"",ISNA(MATCH(D106&amp;"|"&amp;E106,catClave,0))),"⚠ Subcategoría no corresponde",IF(AND(OR(P106="Transferencia",P106="Pago tarjeta"),K106=""),"⚠ Falta cuenta destino",IF(AND(K106&lt;&gt;"",P106&lt;&gt;"Transferencia",P106&lt;&gt;"Pago tarjeta"),"⚠ Destino solo aplica a transferencias",IF(AND(K106&lt;&gt;"",K106=Q106),"⚠ Origen igual a destino",IF(AND(K106&lt;&gt;"",ISNA(MATCH(K106,ctaNombre,0))),"⚠ Destino no registrado",IF(AND(P106="Pago tarjeta",AE106&lt;&gt;"Tarjeta de crédito"),"⚠ El destino debe ser tarjeta de crédito",IF(AND(P106="Gasto",E106="Depósitos y retiros"),"⚠ Usa tipo Transferencia",IF(AND(P106="Resultado trading",AD106&lt;&gt;"Cuenta de trading"),"⚠ Usa una cuenta de trading",IF(AND(G106&lt;=0,P106&lt;&gt;"Ajuste",P106&lt;&gt;"Resultado trading"),"⚠ El monto debe ser positivo","✓")))))))))))))))</f>
        <v/>
      </c>
      <c r="P106" s="52">
        <f>IF(OR(B106="",G106=""),"",IF(C106="","Gasto",C106))</f>
        <v/>
      </c>
      <c r="Q106" s="52">
        <f>IF(P106="","",IF(J106&lt;&gt;"",J106,CuentaPred&amp;""))</f>
        <v/>
      </c>
      <c r="R106" s="52">
        <f>IF(P106="","",IF(ISNUMBER(I106),I106,TasaUSD))</f>
        <v/>
      </c>
      <c r="S106" s="53">
        <f>IF(P106="","",IF(H106="USD",G106*R106,G106))</f>
        <v/>
      </c>
      <c r="T106" s="53">
        <f>IF(P106="","",IF(H106="USD",G106,IF(R106&gt;0,G106/R106,0)))</f>
        <v/>
      </c>
      <c r="U106" s="53">
        <f>IF(P106="","",IF(P106="Gasto",S106,IF(P106="Reembolso",-S106,0)))</f>
        <v/>
      </c>
      <c r="V106" s="53">
        <f>IF(P106="","",IF(P106="Ingreso",S106,0))</f>
        <v/>
      </c>
      <c r="W106" s="53">
        <f>IF(P106="","",IF(P106="Resultado trading",S106,0))</f>
        <v/>
      </c>
      <c r="X106" s="52">
        <f>IF(OR(P106="Gasto",P106="Reembolso"),IF(M106&lt;&gt;"",M106,IFERROR(INDEX(catClasif,MATCH(D106&amp;"|"&amp;E106,catClave,0))&amp;"","Variable")),"")</f>
        <v/>
      </c>
      <c r="Y106" s="52">
        <f>IF(P106="","",IFERROR(INDEX(catGrupo,MATCH(D106&amp;"|"&amp;E106,catClave,0))&amp;"",""))</f>
        <v/>
      </c>
      <c r="Z106" s="52">
        <f>IF(P106="","",WEEKDAY(B106,2))</f>
        <v/>
      </c>
      <c r="AA106" s="52">
        <f>IF(P106="","",IF(AND(P106="Gasto",X106="Variable",D106&lt;&gt;catTrading,S106&gt;0,S106&lt;=Umbral),1,0))</f>
        <v/>
      </c>
      <c r="AB106" s="52">
        <f>IF(OR(P106="",Q106=""),"",IFERROR(IF(INDEX(ctaVinc,MATCH(Q106,ctaNombre,0))&amp;""&lt;&gt;"",INDEX(ctaVinc,MATCH(Q106,ctaNombre,0))&amp;"",Q106),Q106))</f>
        <v/>
      </c>
      <c r="AC106" s="52">
        <f>IF(OR(K106="",AND(P106&lt;&gt;"Transferencia",P106&lt;&gt;"Pago tarjeta")),"",IFERROR(IF(INDEX(ctaVinc,MATCH(K106,ctaNombre,0))&amp;""&lt;&gt;"",INDEX(ctaVinc,MATCH(K106,ctaNombre,0))&amp;"",K106),K106))</f>
        <v/>
      </c>
      <c r="AD106" s="52">
        <f>IF(AB106="","",IFERROR(INDEX(ctaTipo,MATCH(AB106,ctaNombre,0))&amp;"",""))</f>
        <v/>
      </c>
      <c r="AE106" s="52">
        <f>IF(AC106="","",IFERROR(INDEX(ctaTipo,MATCH(AC106,ctaNombre,0))&amp;"",""))</f>
        <v/>
      </c>
      <c r="AF106" s="53">
        <f>IF(OR(P106="",AB106=""),"",IF(OR(P106="Gasto",P106="Transferencia",P106="Pago tarjeta"),-1,1)*IF(IFERROR(INDEX(ctaMoneda,MATCH(AB106,ctaNombre,0))&amp;"","DOP")="USD",T106,S106))</f>
        <v/>
      </c>
      <c r="AG106" s="53">
        <f>IF(AC106="","",IF(IFERROR(INDEX(ctaMoneda,MATCH(AC106,ctaNombre,0))&amp;"","DOP")="USD",T106,S106))</f>
        <v/>
      </c>
      <c r="AH106" s="53">
        <f>IF(P106="","",IF(AND(AD106&lt;&gt;"",COUNTIFS(tcTipo,AD106,tcLiq,"Sí")&gt;0),IF(OR(P106="Gasto",P106="Transferencia",P106="Pago tarjeta"),-1,1)*S106,0)+IF(AND(AE106&lt;&gt;"",COUNTIFS(tcTipo,AE106,tcLiq,"Sí")&gt;0),S106,0))</f>
        <v/>
      </c>
      <c r="AI106" s="52">
        <f>IF(OR(L106="",P106=""),"",IF(COUNTIFS(L$6:L106,L106,P$6:P106,"?*")=1,MAX(AI$5:AI105)+1,""))</f>
        <v/>
      </c>
    </row>
    <row r="107">
      <c r="B107" s="47" t="n">
        <v>46277</v>
      </c>
      <c r="C107" s="48" t="inlineStr">
        <is>
          <t>Gasto</t>
        </is>
      </c>
      <c r="D107" s="48" t="inlineStr">
        <is>
          <t>Alimentación</t>
        </is>
      </c>
      <c r="E107" s="48" t="inlineStr">
        <is>
          <t>Restaurantes</t>
        </is>
      </c>
      <c r="F107" s="48" t="inlineStr">
        <is>
          <t>DEMO · Cena de cumpleaños (pagué todo)</t>
        </is>
      </c>
      <c r="G107" s="49" t="n">
        <v>4200</v>
      </c>
      <c r="H107" s="48" t="inlineStr">
        <is>
          <t>DOP</t>
        </is>
      </c>
      <c r="I107" s="50" t="n"/>
      <c r="J107" s="48" t="inlineStr">
        <is>
          <t>Tarjeta de crédito</t>
        </is>
      </c>
      <c r="K107" s="48" t="n"/>
      <c r="L107" s="48" t="inlineStr">
        <is>
          <t>Restaurante del malecón</t>
        </is>
      </c>
      <c r="M107" s="48" t="n"/>
      <c r="N107" s="48" t="inlineStr">
        <is>
          <t>DEMOSTRACIÓN</t>
        </is>
      </c>
      <c r="O107" s="51">
        <f>IF(AND(B107="",G107="",C107="",D107="",J107=""),"",IF(B107="","⚠ Falta fecha",IF(G107="","⚠ Falta monto",IF(Q107="","⚠ Falta cuenta",IF(ISNA(MATCH(Q107,ctaNombre,0)),"⚠ Cuenta no registrada",IF(AND(OR(P107="Gasto",P107="Reembolso"),D107=""),"⚠ Falta categoría",IF(AND(D107&lt;&gt;"",E107&lt;&gt;"",ISNA(MATCH(D107&amp;"|"&amp;E107,catClave,0))),"⚠ Subcategoría no corresponde",IF(AND(OR(P107="Transferencia",P107="Pago tarjeta"),K107=""),"⚠ Falta cuenta destino",IF(AND(K107&lt;&gt;"",P107&lt;&gt;"Transferencia",P107&lt;&gt;"Pago tarjeta"),"⚠ Destino solo aplica a transferencias",IF(AND(K107&lt;&gt;"",K107=Q107),"⚠ Origen igual a destino",IF(AND(K107&lt;&gt;"",ISNA(MATCH(K107,ctaNombre,0))),"⚠ Destino no registrado",IF(AND(P107="Pago tarjeta",AE107&lt;&gt;"Tarjeta de crédito"),"⚠ El destino debe ser tarjeta de crédito",IF(AND(P107="Gasto",E107="Depósitos y retiros"),"⚠ Usa tipo Transferencia",IF(AND(P107="Resultado trading",AD107&lt;&gt;"Cuenta de trading"),"⚠ Usa una cuenta de trading",IF(AND(G107&lt;=0,P107&lt;&gt;"Ajuste",P107&lt;&gt;"Resultado trading"),"⚠ El monto debe ser positivo","✓")))))))))))))))</f>
        <v/>
      </c>
      <c r="P107" s="52">
        <f>IF(OR(B107="",G107=""),"",IF(C107="","Gasto",C107))</f>
        <v/>
      </c>
      <c r="Q107" s="52">
        <f>IF(P107="","",IF(J107&lt;&gt;"",J107,CuentaPred&amp;""))</f>
        <v/>
      </c>
      <c r="R107" s="52">
        <f>IF(P107="","",IF(ISNUMBER(I107),I107,TasaUSD))</f>
        <v/>
      </c>
      <c r="S107" s="53">
        <f>IF(P107="","",IF(H107="USD",G107*R107,G107))</f>
        <v/>
      </c>
      <c r="T107" s="53">
        <f>IF(P107="","",IF(H107="USD",G107,IF(R107&gt;0,G107/R107,0)))</f>
        <v/>
      </c>
      <c r="U107" s="53">
        <f>IF(P107="","",IF(P107="Gasto",S107,IF(P107="Reembolso",-S107,0)))</f>
        <v/>
      </c>
      <c r="V107" s="53">
        <f>IF(P107="","",IF(P107="Ingreso",S107,0))</f>
        <v/>
      </c>
      <c r="W107" s="53">
        <f>IF(P107="","",IF(P107="Resultado trading",S107,0))</f>
        <v/>
      </c>
      <c r="X107" s="52">
        <f>IF(OR(P107="Gasto",P107="Reembolso"),IF(M107&lt;&gt;"",M107,IFERROR(INDEX(catClasif,MATCH(D107&amp;"|"&amp;E107,catClave,0))&amp;"","Variable")),"")</f>
        <v/>
      </c>
      <c r="Y107" s="52">
        <f>IF(P107="","",IFERROR(INDEX(catGrupo,MATCH(D107&amp;"|"&amp;E107,catClave,0))&amp;"",""))</f>
        <v/>
      </c>
      <c r="Z107" s="52">
        <f>IF(P107="","",WEEKDAY(B107,2))</f>
        <v/>
      </c>
      <c r="AA107" s="52">
        <f>IF(P107="","",IF(AND(P107="Gasto",X107="Variable",D107&lt;&gt;catTrading,S107&gt;0,S107&lt;=Umbral),1,0))</f>
        <v/>
      </c>
      <c r="AB107" s="52">
        <f>IF(OR(P107="",Q107=""),"",IFERROR(IF(INDEX(ctaVinc,MATCH(Q107,ctaNombre,0))&amp;""&lt;&gt;"",INDEX(ctaVinc,MATCH(Q107,ctaNombre,0))&amp;"",Q107),Q107))</f>
        <v/>
      </c>
      <c r="AC107" s="52">
        <f>IF(OR(K107="",AND(P107&lt;&gt;"Transferencia",P107&lt;&gt;"Pago tarjeta")),"",IFERROR(IF(INDEX(ctaVinc,MATCH(K107,ctaNombre,0))&amp;""&lt;&gt;"",INDEX(ctaVinc,MATCH(K107,ctaNombre,0))&amp;"",K107),K107))</f>
        <v/>
      </c>
      <c r="AD107" s="52">
        <f>IF(AB107="","",IFERROR(INDEX(ctaTipo,MATCH(AB107,ctaNombre,0))&amp;"",""))</f>
        <v/>
      </c>
      <c r="AE107" s="52">
        <f>IF(AC107="","",IFERROR(INDEX(ctaTipo,MATCH(AC107,ctaNombre,0))&amp;"",""))</f>
        <v/>
      </c>
      <c r="AF107" s="53">
        <f>IF(OR(P107="",AB107=""),"",IF(OR(P107="Gasto",P107="Transferencia",P107="Pago tarjeta"),-1,1)*IF(IFERROR(INDEX(ctaMoneda,MATCH(AB107,ctaNombre,0))&amp;"","DOP")="USD",T107,S107))</f>
        <v/>
      </c>
      <c r="AG107" s="53">
        <f>IF(AC107="","",IF(IFERROR(INDEX(ctaMoneda,MATCH(AC107,ctaNombre,0))&amp;"","DOP")="USD",T107,S107))</f>
        <v/>
      </c>
      <c r="AH107" s="53">
        <f>IF(P107="","",IF(AND(AD107&lt;&gt;"",COUNTIFS(tcTipo,AD107,tcLiq,"Sí")&gt;0),IF(OR(P107="Gasto",P107="Transferencia",P107="Pago tarjeta"),-1,1)*S107,0)+IF(AND(AE107&lt;&gt;"",COUNTIFS(tcTipo,AE107,tcLiq,"Sí")&gt;0),S107,0))</f>
        <v/>
      </c>
      <c r="AI107" s="52">
        <f>IF(OR(L107="",P107=""),"",IF(COUNTIFS(L$6:L107,L107,P$6:P107,"?*")=1,MAX(AI$5:AI106)+1,""))</f>
        <v/>
      </c>
    </row>
    <row r="108">
      <c r="B108" s="47" t="n">
        <v>46278</v>
      </c>
      <c r="C108" s="48" t="inlineStr">
        <is>
          <t>Gasto</t>
        </is>
      </c>
      <c r="D108" s="48" t="inlineStr">
        <is>
          <t>Alimentación</t>
        </is>
      </c>
      <c r="E108" s="48" t="inlineStr">
        <is>
          <t>Ingredientes para cocinar</t>
        </is>
      </c>
      <c r="F108" s="48" t="inlineStr">
        <is>
          <t>DEMO · Vegetales, carne y víveres</t>
        </is>
      </c>
      <c r="G108" s="49" t="n">
        <v>800</v>
      </c>
      <c r="H108" s="48" t="inlineStr">
        <is>
          <t>DOP</t>
        </is>
      </c>
      <c r="I108" s="50" t="n"/>
      <c r="J108" s="48" t="inlineStr">
        <is>
          <t>Efectivo</t>
        </is>
      </c>
      <c r="K108" s="48" t="n"/>
      <c r="L108" s="48" t="inlineStr">
        <is>
          <t>Mercado del barrio</t>
        </is>
      </c>
      <c r="M108" s="48" t="n"/>
      <c r="N108" s="48" t="inlineStr">
        <is>
          <t>DEMOSTRACIÓN</t>
        </is>
      </c>
      <c r="O108" s="51">
        <f>IF(AND(B108="",G108="",C108="",D108="",J108=""),"",IF(B108="","⚠ Falta fecha",IF(G108="","⚠ Falta monto",IF(Q108="","⚠ Falta cuenta",IF(ISNA(MATCH(Q108,ctaNombre,0)),"⚠ Cuenta no registrada",IF(AND(OR(P108="Gasto",P108="Reembolso"),D108=""),"⚠ Falta categoría",IF(AND(D108&lt;&gt;"",E108&lt;&gt;"",ISNA(MATCH(D108&amp;"|"&amp;E108,catClave,0))),"⚠ Subcategoría no corresponde",IF(AND(OR(P108="Transferencia",P108="Pago tarjeta"),K108=""),"⚠ Falta cuenta destino",IF(AND(K108&lt;&gt;"",P108&lt;&gt;"Transferencia",P108&lt;&gt;"Pago tarjeta"),"⚠ Destino solo aplica a transferencias",IF(AND(K108&lt;&gt;"",K108=Q108),"⚠ Origen igual a destino",IF(AND(K108&lt;&gt;"",ISNA(MATCH(K108,ctaNombre,0))),"⚠ Destino no registrado",IF(AND(P108="Pago tarjeta",AE108&lt;&gt;"Tarjeta de crédito"),"⚠ El destino debe ser tarjeta de crédito",IF(AND(P108="Gasto",E108="Depósitos y retiros"),"⚠ Usa tipo Transferencia",IF(AND(P108="Resultado trading",AD108&lt;&gt;"Cuenta de trading"),"⚠ Usa una cuenta de trading",IF(AND(G108&lt;=0,P108&lt;&gt;"Ajuste",P108&lt;&gt;"Resultado trading"),"⚠ El monto debe ser positivo","✓")))))))))))))))</f>
        <v/>
      </c>
      <c r="P108" s="52">
        <f>IF(OR(B108="",G108=""),"",IF(C108="","Gasto",C108))</f>
        <v/>
      </c>
      <c r="Q108" s="52">
        <f>IF(P108="","",IF(J108&lt;&gt;"",J108,CuentaPred&amp;""))</f>
        <v/>
      </c>
      <c r="R108" s="52">
        <f>IF(P108="","",IF(ISNUMBER(I108),I108,TasaUSD))</f>
        <v/>
      </c>
      <c r="S108" s="53">
        <f>IF(P108="","",IF(H108="USD",G108*R108,G108))</f>
        <v/>
      </c>
      <c r="T108" s="53">
        <f>IF(P108="","",IF(H108="USD",G108,IF(R108&gt;0,G108/R108,0)))</f>
        <v/>
      </c>
      <c r="U108" s="53">
        <f>IF(P108="","",IF(P108="Gasto",S108,IF(P108="Reembolso",-S108,0)))</f>
        <v/>
      </c>
      <c r="V108" s="53">
        <f>IF(P108="","",IF(P108="Ingreso",S108,0))</f>
        <v/>
      </c>
      <c r="W108" s="53">
        <f>IF(P108="","",IF(P108="Resultado trading",S108,0))</f>
        <v/>
      </c>
      <c r="X108" s="52">
        <f>IF(OR(P108="Gasto",P108="Reembolso"),IF(M108&lt;&gt;"",M108,IFERROR(INDEX(catClasif,MATCH(D108&amp;"|"&amp;E108,catClave,0))&amp;"","Variable")),"")</f>
        <v/>
      </c>
      <c r="Y108" s="52">
        <f>IF(P108="","",IFERROR(INDEX(catGrupo,MATCH(D108&amp;"|"&amp;E108,catClave,0))&amp;"",""))</f>
        <v/>
      </c>
      <c r="Z108" s="52">
        <f>IF(P108="","",WEEKDAY(B108,2))</f>
        <v/>
      </c>
      <c r="AA108" s="52">
        <f>IF(P108="","",IF(AND(P108="Gasto",X108="Variable",D108&lt;&gt;catTrading,S108&gt;0,S108&lt;=Umbral),1,0))</f>
        <v/>
      </c>
      <c r="AB108" s="52">
        <f>IF(OR(P108="",Q108=""),"",IFERROR(IF(INDEX(ctaVinc,MATCH(Q108,ctaNombre,0))&amp;""&lt;&gt;"",INDEX(ctaVinc,MATCH(Q108,ctaNombre,0))&amp;"",Q108),Q108))</f>
        <v/>
      </c>
      <c r="AC108" s="52">
        <f>IF(OR(K108="",AND(P108&lt;&gt;"Transferencia",P108&lt;&gt;"Pago tarjeta")),"",IFERROR(IF(INDEX(ctaVinc,MATCH(K108,ctaNombre,0))&amp;""&lt;&gt;"",INDEX(ctaVinc,MATCH(K108,ctaNombre,0))&amp;"",K108),K108))</f>
        <v/>
      </c>
      <c r="AD108" s="52">
        <f>IF(AB108="","",IFERROR(INDEX(ctaTipo,MATCH(AB108,ctaNombre,0))&amp;"",""))</f>
        <v/>
      </c>
      <c r="AE108" s="52">
        <f>IF(AC108="","",IFERROR(INDEX(ctaTipo,MATCH(AC108,ctaNombre,0))&amp;"",""))</f>
        <v/>
      </c>
      <c r="AF108" s="53">
        <f>IF(OR(P108="",AB108=""),"",IF(OR(P108="Gasto",P108="Transferencia",P108="Pago tarjeta"),-1,1)*IF(IFERROR(INDEX(ctaMoneda,MATCH(AB108,ctaNombre,0))&amp;"","DOP")="USD",T108,S108))</f>
        <v/>
      </c>
      <c r="AG108" s="53">
        <f>IF(AC108="","",IF(IFERROR(INDEX(ctaMoneda,MATCH(AC108,ctaNombre,0))&amp;"","DOP")="USD",T108,S108))</f>
        <v/>
      </c>
      <c r="AH108" s="53">
        <f>IF(P108="","",IF(AND(AD108&lt;&gt;"",COUNTIFS(tcTipo,AD108,tcLiq,"Sí")&gt;0),IF(OR(P108="Gasto",P108="Transferencia",P108="Pago tarjeta"),-1,1)*S108,0)+IF(AND(AE108&lt;&gt;"",COUNTIFS(tcTipo,AE108,tcLiq,"Sí")&gt;0),S108,0))</f>
        <v/>
      </c>
      <c r="AI108" s="52">
        <f>IF(OR(L108="",P108=""),"",IF(COUNTIFS(L$6:L108,L108,P$6:P108,"?*")=1,MAX(AI$5:AI107)+1,""))</f>
        <v/>
      </c>
    </row>
    <row r="109">
      <c r="B109" s="47" t="n">
        <v>46278</v>
      </c>
      <c r="C109" s="48" t="inlineStr">
        <is>
          <t>Gasto</t>
        </is>
      </c>
      <c r="D109" s="48" t="inlineStr">
        <is>
          <t>Hogar y servicios</t>
        </is>
      </c>
      <c r="E109" s="48" t="inlineStr">
        <is>
          <t>Agua</t>
        </is>
      </c>
      <c r="F109" s="48" t="inlineStr">
        <is>
          <t>DEMO · Factura de agua</t>
        </is>
      </c>
      <c r="G109" s="49" t="n">
        <v>450</v>
      </c>
      <c r="H109" s="48" t="inlineStr">
        <is>
          <t>DOP</t>
        </is>
      </c>
      <c r="I109" s="50" t="n"/>
      <c r="J109" s="48" t="inlineStr">
        <is>
          <t>Banco principal</t>
        </is>
      </c>
      <c r="K109" s="48" t="n"/>
      <c r="L109" s="48" t="inlineStr">
        <is>
          <t>Acueducto</t>
        </is>
      </c>
      <c r="M109" s="48" t="n"/>
      <c r="N109" s="48" t="inlineStr">
        <is>
          <t>DEMOSTRACIÓN</t>
        </is>
      </c>
      <c r="O109" s="51">
        <f>IF(AND(B109="",G109="",C109="",D109="",J109=""),"",IF(B109="","⚠ Falta fecha",IF(G109="","⚠ Falta monto",IF(Q109="","⚠ Falta cuenta",IF(ISNA(MATCH(Q109,ctaNombre,0)),"⚠ Cuenta no registrada",IF(AND(OR(P109="Gasto",P109="Reembolso"),D109=""),"⚠ Falta categoría",IF(AND(D109&lt;&gt;"",E109&lt;&gt;"",ISNA(MATCH(D109&amp;"|"&amp;E109,catClave,0))),"⚠ Subcategoría no corresponde",IF(AND(OR(P109="Transferencia",P109="Pago tarjeta"),K109=""),"⚠ Falta cuenta destino",IF(AND(K109&lt;&gt;"",P109&lt;&gt;"Transferencia",P109&lt;&gt;"Pago tarjeta"),"⚠ Destino solo aplica a transferencias",IF(AND(K109&lt;&gt;"",K109=Q109),"⚠ Origen igual a destino",IF(AND(K109&lt;&gt;"",ISNA(MATCH(K109,ctaNombre,0))),"⚠ Destino no registrado",IF(AND(P109="Pago tarjeta",AE109&lt;&gt;"Tarjeta de crédito"),"⚠ El destino debe ser tarjeta de crédito",IF(AND(P109="Gasto",E109="Depósitos y retiros"),"⚠ Usa tipo Transferencia",IF(AND(P109="Resultado trading",AD109&lt;&gt;"Cuenta de trading"),"⚠ Usa una cuenta de trading",IF(AND(G109&lt;=0,P109&lt;&gt;"Ajuste",P109&lt;&gt;"Resultado trading"),"⚠ El monto debe ser positivo","✓")))))))))))))))</f>
        <v/>
      </c>
      <c r="P109" s="52">
        <f>IF(OR(B109="",G109=""),"",IF(C109="","Gasto",C109))</f>
        <v/>
      </c>
      <c r="Q109" s="52">
        <f>IF(P109="","",IF(J109&lt;&gt;"",J109,CuentaPred&amp;""))</f>
        <v/>
      </c>
      <c r="R109" s="52">
        <f>IF(P109="","",IF(ISNUMBER(I109),I109,TasaUSD))</f>
        <v/>
      </c>
      <c r="S109" s="53">
        <f>IF(P109="","",IF(H109="USD",G109*R109,G109))</f>
        <v/>
      </c>
      <c r="T109" s="53">
        <f>IF(P109="","",IF(H109="USD",G109,IF(R109&gt;0,G109/R109,0)))</f>
        <v/>
      </c>
      <c r="U109" s="53">
        <f>IF(P109="","",IF(P109="Gasto",S109,IF(P109="Reembolso",-S109,0)))</f>
        <v/>
      </c>
      <c r="V109" s="53">
        <f>IF(P109="","",IF(P109="Ingreso",S109,0))</f>
        <v/>
      </c>
      <c r="W109" s="53">
        <f>IF(P109="","",IF(P109="Resultado trading",S109,0))</f>
        <v/>
      </c>
      <c r="X109" s="52">
        <f>IF(OR(P109="Gasto",P109="Reembolso"),IF(M109&lt;&gt;"",M109,IFERROR(INDEX(catClasif,MATCH(D109&amp;"|"&amp;E109,catClave,0))&amp;"","Variable")),"")</f>
        <v/>
      </c>
      <c r="Y109" s="52">
        <f>IF(P109="","",IFERROR(INDEX(catGrupo,MATCH(D109&amp;"|"&amp;E109,catClave,0))&amp;"",""))</f>
        <v/>
      </c>
      <c r="Z109" s="52">
        <f>IF(P109="","",WEEKDAY(B109,2))</f>
        <v/>
      </c>
      <c r="AA109" s="52">
        <f>IF(P109="","",IF(AND(P109="Gasto",X109="Variable",D109&lt;&gt;catTrading,S109&gt;0,S109&lt;=Umbral),1,0))</f>
        <v/>
      </c>
      <c r="AB109" s="52">
        <f>IF(OR(P109="",Q109=""),"",IFERROR(IF(INDEX(ctaVinc,MATCH(Q109,ctaNombre,0))&amp;""&lt;&gt;"",INDEX(ctaVinc,MATCH(Q109,ctaNombre,0))&amp;"",Q109),Q109))</f>
        <v/>
      </c>
      <c r="AC109" s="52">
        <f>IF(OR(K109="",AND(P109&lt;&gt;"Transferencia",P109&lt;&gt;"Pago tarjeta")),"",IFERROR(IF(INDEX(ctaVinc,MATCH(K109,ctaNombre,0))&amp;""&lt;&gt;"",INDEX(ctaVinc,MATCH(K109,ctaNombre,0))&amp;"",K109),K109))</f>
        <v/>
      </c>
      <c r="AD109" s="52">
        <f>IF(AB109="","",IFERROR(INDEX(ctaTipo,MATCH(AB109,ctaNombre,0))&amp;"",""))</f>
        <v/>
      </c>
      <c r="AE109" s="52">
        <f>IF(AC109="","",IFERROR(INDEX(ctaTipo,MATCH(AC109,ctaNombre,0))&amp;"",""))</f>
        <v/>
      </c>
      <c r="AF109" s="53">
        <f>IF(OR(P109="",AB109=""),"",IF(OR(P109="Gasto",P109="Transferencia",P109="Pago tarjeta"),-1,1)*IF(IFERROR(INDEX(ctaMoneda,MATCH(AB109,ctaNombre,0))&amp;"","DOP")="USD",T109,S109))</f>
        <v/>
      </c>
      <c r="AG109" s="53">
        <f>IF(AC109="","",IF(IFERROR(INDEX(ctaMoneda,MATCH(AC109,ctaNombre,0))&amp;"","DOP")="USD",T109,S109))</f>
        <v/>
      </c>
      <c r="AH109" s="53">
        <f>IF(P109="","",IF(AND(AD109&lt;&gt;"",COUNTIFS(tcTipo,AD109,tcLiq,"Sí")&gt;0),IF(OR(P109="Gasto",P109="Transferencia",P109="Pago tarjeta"),-1,1)*S109,0)+IF(AND(AE109&lt;&gt;"",COUNTIFS(tcTipo,AE109,tcLiq,"Sí")&gt;0),S109,0))</f>
        <v/>
      </c>
      <c r="AI109" s="52">
        <f>IF(OR(L109="",P109=""),"",IF(COUNTIFS(L$6:L109,L109,P$6:P109,"?*")=1,MAX(AI$5:AI108)+1,""))</f>
        <v/>
      </c>
    </row>
    <row r="110">
      <c r="B110" s="47" t="n">
        <v>46279</v>
      </c>
      <c r="C110" s="48" t="inlineStr">
        <is>
          <t>Gasto</t>
        </is>
      </c>
      <c r="D110" s="48" t="inlineStr">
        <is>
          <t>Alimentación</t>
        </is>
      </c>
      <c r="E110" s="48" t="inlineStr">
        <is>
          <t>Almuerzos laborales</t>
        </is>
      </c>
      <c r="F110" s="48" t="inlineStr">
        <is>
          <t>DEMO · Almuerzo laboral</t>
        </is>
      </c>
      <c r="G110" s="49" t="n">
        <v>475</v>
      </c>
      <c r="H110" s="48" t="inlineStr">
        <is>
          <t>DOP</t>
        </is>
      </c>
      <c r="I110" s="50" t="n"/>
      <c r="J110" s="48" t="inlineStr">
        <is>
          <t>Tarjeta de débito</t>
        </is>
      </c>
      <c r="K110" s="48" t="n"/>
      <c r="L110" s="48" t="inlineStr">
        <is>
          <t>Comedor ejecutivo</t>
        </is>
      </c>
      <c r="M110" s="48" t="n"/>
      <c r="N110" s="48" t="inlineStr">
        <is>
          <t>DEMOSTRACIÓN</t>
        </is>
      </c>
      <c r="O110" s="51">
        <f>IF(AND(B110="",G110="",C110="",D110="",J110=""),"",IF(B110="","⚠ Falta fecha",IF(G110="","⚠ Falta monto",IF(Q110="","⚠ Falta cuenta",IF(ISNA(MATCH(Q110,ctaNombre,0)),"⚠ Cuenta no registrada",IF(AND(OR(P110="Gasto",P110="Reembolso"),D110=""),"⚠ Falta categoría",IF(AND(D110&lt;&gt;"",E110&lt;&gt;"",ISNA(MATCH(D110&amp;"|"&amp;E110,catClave,0))),"⚠ Subcategoría no corresponde",IF(AND(OR(P110="Transferencia",P110="Pago tarjeta"),K110=""),"⚠ Falta cuenta destino",IF(AND(K110&lt;&gt;"",P110&lt;&gt;"Transferencia",P110&lt;&gt;"Pago tarjeta"),"⚠ Destino solo aplica a transferencias",IF(AND(K110&lt;&gt;"",K110=Q110),"⚠ Origen igual a destino",IF(AND(K110&lt;&gt;"",ISNA(MATCH(K110,ctaNombre,0))),"⚠ Destino no registrado",IF(AND(P110="Pago tarjeta",AE110&lt;&gt;"Tarjeta de crédito"),"⚠ El destino debe ser tarjeta de crédito",IF(AND(P110="Gasto",E110="Depósitos y retiros"),"⚠ Usa tipo Transferencia",IF(AND(P110="Resultado trading",AD110&lt;&gt;"Cuenta de trading"),"⚠ Usa una cuenta de trading",IF(AND(G110&lt;=0,P110&lt;&gt;"Ajuste",P110&lt;&gt;"Resultado trading"),"⚠ El monto debe ser positivo","✓")))))))))))))))</f>
        <v/>
      </c>
      <c r="P110" s="52">
        <f>IF(OR(B110="",G110=""),"",IF(C110="","Gasto",C110))</f>
        <v/>
      </c>
      <c r="Q110" s="52">
        <f>IF(P110="","",IF(J110&lt;&gt;"",J110,CuentaPred&amp;""))</f>
        <v/>
      </c>
      <c r="R110" s="52">
        <f>IF(P110="","",IF(ISNUMBER(I110),I110,TasaUSD))</f>
        <v/>
      </c>
      <c r="S110" s="53">
        <f>IF(P110="","",IF(H110="USD",G110*R110,G110))</f>
        <v/>
      </c>
      <c r="T110" s="53">
        <f>IF(P110="","",IF(H110="USD",G110,IF(R110&gt;0,G110/R110,0)))</f>
        <v/>
      </c>
      <c r="U110" s="53">
        <f>IF(P110="","",IF(P110="Gasto",S110,IF(P110="Reembolso",-S110,0)))</f>
        <v/>
      </c>
      <c r="V110" s="53">
        <f>IF(P110="","",IF(P110="Ingreso",S110,0))</f>
        <v/>
      </c>
      <c r="W110" s="53">
        <f>IF(P110="","",IF(P110="Resultado trading",S110,0))</f>
        <v/>
      </c>
      <c r="X110" s="52">
        <f>IF(OR(P110="Gasto",P110="Reembolso"),IF(M110&lt;&gt;"",M110,IFERROR(INDEX(catClasif,MATCH(D110&amp;"|"&amp;E110,catClave,0))&amp;"","Variable")),"")</f>
        <v/>
      </c>
      <c r="Y110" s="52">
        <f>IF(P110="","",IFERROR(INDEX(catGrupo,MATCH(D110&amp;"|"&amp;E110,catClave,0))&amp;"",""))</f>
        <v/>
      </c>
      <c r="Z110" s="52">
        <f>IF(P110="","",WEEKDAY(B110,2))</f>
        <v/>
      </c>
      <c r="AA110" s="52">
        <f>IF(P110="","",IF(AND(P110="Gasto",X110="Variable",D110&lt;&gt;catTrading,S110&gt;0,S110&lt;=Umbral),1,0))</f>
        <v/>
      </c>
      <c r="AB110" s="52">
        <f>IF(OR(P110="",Q110=""),"",IFERROR(IF(INDEX(ctaVinc,MATCH(Q110,ctaNombre,0))&amp;""&lt;&gt;"",INDEX(ctaVinc,MATCH(Q110,ctaNombre,0))&amp;"",Q110),Q110))</f>
        <v/>
      </c>
      <c r="AC110" s="52">
        <f>IF(OR(K110="",AND(P110&lt;&gt;"Transferencia",P110&lt;&gt;"Pago tarjeta")),"",IFERROR(IF(INDEX(ctaVinc,MATCH(K110,ctaNombre,0))&amp;""&lt;&gt;"",INDEX(ctaVinc,MATCH(K110,ctaNombre,0))&amp;"",K110),K110))</f>
        <v/>
      </c>
      <c r="AD110" s="52">
        <f>IF(AB110="","",IFERROR(INDEX(ctaTipo,MATCH(AB110,ctaNombre,0))&amp;"",""))</f>
        <v/>
      </c>
      <c r="AE110" s="52">
        <f>IF(AC110="","",IFERROR(INDEX(ctaTipo,MATCH(AC110,ctaNombre,0))&amp;"",""))</f>
        <v/>
      </c>
      <c r="AF110" s="53">
        <f>IF(OR(P110="",AB110=""),"",IF(OR(P110="Gasto",P110="Transferencia",P110="Pago tarjeta"),-1,1)*IF(IFERROR(INDEX(ctaMoneda,MATCH(AB110,ctaNombre,0))&amp;"","DOP")="USD",T110,S110))</f>
        <v/>
      </c>
      <c r="AG110" s="53">
        <f>IF(AC110="","",IF(IFERROR(INDEX(ctaMoneda,MATCH(AC110,ctaNombre,0))&amp;"","DOP")="USD",T110,S110))</f>
        <v/>
      </c>
      <c r="AH110" s="53">
        <f>IF(P110="","",IF(AND(AD110&lt;&gt;"",COUNTIFS(tcTipo,AD110,tcLiq,"Sí")&gt;0),IF(OR(P110="Gasto",P110="Transferencia",P110="Pago tarjeta"),-1,1)*S110,0)+IF(AND(AE110&lt;&gt;"",COUNTIFS(tcTipo,AE110,tcLiq,"Sí")&gt;0),S110,0))</f>
        <v/>
      </c>
      <c r="AI110" s="52">
        <f>IF(OR(L110="",P110=""),"",IF(COUNTIFS(L$6:L110,L110,P$6:P110,"?*")=1,MAX(AI$5:AI109)+1,""))</f>
        <v/>
      </c>
    </row>
    <row r="111">
      <c r="B111" s="47" t="n">
        <v>46279</v>
      </c>
      <c r="C111" s="48" t="inlineStr">
        <is>
          <t>Gasto</t>
        </is>
      </c>
      <c r="D111" s="48" t="inlineStr">
        <is>
          <t>Transporte y vehículo</t>
        </is>
      </c>
      <c r="E111" s="48" t="inlineStr">
        <is>
          <t>Combustible</t>
        </is>
      </c>
      <c r="F111" s="48" t="inlineStr">
        <is>
          <t>DEMO · Combustible</t>
        </is>
      </c>
      <c r="G111" s="49" t="n">
        <v>2150</v>
      </c>
      <c r="H111" s="48" t="inlineStr">
        <is>
          <t>DOP</t>
        </is>
      </c>
      <c r="I111" s="50" t="n"/>
      <c r="J111" s="48" t="inlineStr">
        <is>
          <t>Tarjeta de crédito</t>
        </is>
      </c>
      <c r="K111" s="48" t="n"/>
      <c r="L111" s="48" t="inlineStr">
        <is>
          <t>Estación de combustible</t>
        </is>
      </c>
      <c r="M111" s="48" t="n"/>
      <c r="N111" s="48" t="inlineStr">
        <is>
          <t>DEMOSTRACIÓN</t>
        </is>
      </c>
      <c r="O111" s="51">
        <f>IF(AND(B111="",G111="",C111="",D111="",J111=""),"",IF(B111="","⚠ Falta fecha",IF(G111="","⚠ Falta monto",IF(Q111="","⚠ Falta cuenta",IF(ISNA(MATCH(Q111,ctaNombre,0)),"⚠ Cuenta no registrada",IF(AND(OR(P111="Gasto",P111="Reembolso"),D111=""),"⚠ Falta categoría",IF(AND(D111&lt;&gt;"",E111&lt;&gt;"",ISNA(MATCH(D111&amp;"|"&amp;E111,catClave,0))),"⚠ Subcategoría no corresponde",IF(AND(OR(P111="Transferencia",P111="Pago tarjeta"),K111=""),"⚠ Falta cuenta destino",IF(AND(K111&lt;&gt;"",P111&lt;&gt;"Transferencia",P111&lt;&gt;"Pago tarjeta"),"⚠ Destino solo aplica a transferencias",IF(AND(K111&lt;&gt;"",K111=Q111),"⚠ Origen igual a destino",IF(AND(K111&lt;&gt;"",ISNA(MATCH(K111,ctaNombre,0))),"⚠ Destino no registrado",IF(AND(P111="Pago tarjeta",AE111&lt;&gt;"Tarjeta de crédito"),"⚠ El destino debe ser tarjeta de crédito",IF(AND(P111="Gasto",E111="Depósitos y retiros"),"⚠ Usa tipo Transferencia",IF(AND(P111="Resultado trading",AD111&lt;&gt;"Cuenta de trading"),"⚠ Usa una cuenta de trading",IF(AND(G111&lt;=0,P111&lt;&gt;"Ajuste",P111&lt;&gt;"Resultado trading"),"⚠ El monto debe ser positivo","✓")))))))))))))))</f>
        <v/>
      </c>
      <c r="P111" s="52">
        <f>IF(OR(B111="",G111=""),"",IF(C111="","Gasto",C111))</f>
        <v/>
      </c>
      <c r="Q111" s="52">
        <f>IF(P111="","",IF(J111&lt;&gt;"",J111,CuentaPred&amp;""))</f>
        <v/>
      </c>
      <c r="R111" s="52">
        <f>IF(P111="","",IF(ISNUMBER(I111),I111,TasaUSD))</f>
        <v/>
      </c>
      <c r="S111" s="53">
        <f>IF(P111="","",IF(H111="USD",G111*R111,G111))</f>
        <v/>
      </c>
      <c r="T111" s="53">
        <f>IF(P111="","",IF(H111="USD",G111,IF(R111&gt;0,G111/R111,0)))</f>
        <v/>
      </c>
      <c r="U111" s="53">
        <f>IF(P111="","",IF(P111="Gasto",S111,IF(P111="Reembolso",-S111,0)))</f>
        <v/>
      </c>
      <c r="V111" s="53">
        <f>IF(P111="","",IF(P111="Ingreso",S111,0))</f>
        <v/>
      </c>
      <c r="W111" s="53">
        <f>IF(P111="","",IF(P111="Resultado trading",S111,0))</f>
        <v/>
      </c>
      <c r="X111" s="52">
        <f>IF(OR(P111="Gasto",P111="Reembolso"),IF(M111&lt;&gt;"",M111,IFERROR(INDEX(catClasif,MATCH(D111&amp;"|"&amp;E111,catClave,0))&amp;"","Variable")),"")</f>
        <v/>
      </c>
      <c r="Y111" s="52">
        <f>IF(P111="","",IFERROR(INDEX(catGrupo,MATCH(D111&amp;"|"&amp;E111,catClave,0))&amp;"",""))</f>
        <v/>
      </c>
      <c r="Z111" s="52">
        <f>IF(P111="","",WEEKDAY(B111,2))</f>
        <v/>
      </c>
      <c r="AA111" s="52">
        <f>IF(P111="","",IF(AND(P111="Gasto",X111="Variable",D111&lt;&gt;catTrading,S111&gt;0,S111&lt;=Umbral),1,0))</f>
        <v/>
      </c>
      <c r="AB111" s="52">
        <f>IF(OR(P111="",Q111=""),"",IFERROR(IF(INDEX(ctaVinc,MATCH(Q111,ctaNombre,0))&amp;""&lt;&gt;"",INDEX(ctaVinc,MATCH(Q111,ctaNombre,0))&amp;"",Q111),Q111))</f>
        <v/>
      </c>
      <c r="AC111" s="52">
        <f>IF(OR(K111="",AND(P111&lt;&gt;"Transferencia",P111&lt;&gt;"Pago tarjeta")),"",IFERROR(IF(INDEX(ctaVinc,MATCH(K111,ctaNombre,0))&amp;""&lt;&gt;"",INDEX(ctaVinc,MATCH(K111,ctaNombre,0))&amp;"",K111),K111))</f>
        <v/>
      </c>
      <c r="AD111" s="52">
        <f>IF(AB111="","",IFERROR(INDEX(ctaTipo,MATCH(AB111,ctaNombre,0))&amp;"",""))</f>
        <v/>
      </c>
      <c r="AE111" s="52">
        <f>IF(AC111="","",IFERROR(INDEX(ctaTipo,MATCH(AC111,ctaNombre,0))&amp;"",""))</f>
        <v/>
      </c>
      <c r="AF111" s="53">
        <f>IF(OR(P111="",AB111=""),"",IF(OR(P111="Gasto",P111="Transferencia",P111="Pago tarjeta"),-1,1)*IF(IFERROR(INDEX(ctaMoneda,MATCH(AB111,ctaNombre,0))&amp;"","DOP")="USD",T111,S111))</f>
        <v/>
      </c>
      <c r="AG111" s="53">
        <f>IF(AC111="","",IF(IFERROR(INDEX(ctaMoneda,MATCH(AC111,ctaNombre,0))&amp;"","DOP")="USD",T111,S111))</f>
        <v/>
      </c>
      <c r="AH111" s="53">
        <f>IF(P111="","",IF(AND(AD111&lt;&gt;"",COUNTIFS(tcTipo,AD111,tcLiq,"Sí")&gt;0),IF(OR(P111="Gasto",P111="Transferencia",P111="Pago tarjeta"),-1,1)*S111,0)+IF(AND(AE111&lt;&gt;"",COUNTIFS(tcTipo,AE111,tcLiq,"Sí")&gt;0),S111,0))</f>
        <v/>
      </c>
      <c r="AI111" s="52">
        <f>IF(OR(L111="",P111=""),"",IF(COUNTIFS(L$6:L111,L111,P$6:P111,"?*")=1,MAX(AI$5:AI110)+1,""))</f>
        <v/>
      </c>
    </row>
    <row r="112">
      <c r="B112" s="47" t="n">
        <v>46279</v>
      </c>
      <c r="C112" s="48" t="inlineStr">
        <is>
          <t>Reembolso</t>
        </is>
      </c>
      <c r="D112" s="48" t="inlineStr">
        <is>
          <t>Alimentación</t>
        </is>
      </c>
      <c r="E112" s="48" t="inlineStr">
        <is>
          <t>Restaurantes</t>
        </is>
      </c>
      <c r="F112" s="48" t="inlineStr">
        <is>
          <t>DEMO · Amigo devolvió su parte de la cena</t>
        </is>
      </c>
      <c r="G112" s="49" t="n">
        <v>1400</v>
      </c>
      <c r="H112" s="48" t="inlineStr">
        <is>
          <t>DOP</t>
        </is>
      </c>
      <c r="I112" s="50" t="n"/>
      <c r="J112" s="48" t="inlineStr">
        <is>
          <t>Billetera digital</t>
        </is>
      </c>
      <c r="K112" s="48" t="n"/>
      <c r="L112" s="48" t="n"/>
      <c r="M112" s="48" t="n"/>
      <c r="N112" s="48" t="inlineStr">
        <is>
          <t>DEMOSTRACIÓN</t>
        </is>
      </c>
      <c r="O112" s="51">
        <f>IF(AND(B112="",G112="",C112="",D112="",J112=""),"",IF(B112="","⚠ Falta fecha",IF(G112="","⚠ Falta monto",IF(Q112="","⚠ Falta cuenta",IF(ISNA(MATCH(Q112,ctaNombre,0)),"⚠ Cuenta no registrada",IF(AND(OR(P112="Gasto",P112="Reembolso"),D112=""),"⚠ Falta categoría",IF(AND(D112&lt;&gt;"",E112&lt;&gt;"",ISNA(MATCH(D112&amp;"|"&amp;E112,catClave,0))),"⚠ Subcategoría no corresponde",IF(AND(OR(P112="Transferencia",P112="Pago tarjeta"),K112=""),"⚠ Falta cuenta destino",IF(AND(K112&lt;&gt;"",P112&lt;&gt;"Transferencia",P112&lt;&gt;"Pago tarjeta"),"⚠ Destino solo aplica a transferencias",IF(AND(K112&lt;&gt;"",K112=Q112),"⚠ Origen igual a destino",IF(AND(K112&lt;&gt;"",ISNA(MATCH(K112,ctaNombre,0))),"⚠ Destino no registrado",IF(AND(P112="Pago tarjeta",AE112&lt;&gt;"Tarjeta de crédito"),"⚠ El destino debe ser tarjeta de crédito",IF(AND(P112="Gasto",E112="Depósitos y retiros"),"⚠ Usa tipo Transferencia",IF(AND(P112="Resultado trading",AD112&lt;&gt;"Cuenta de trading"),"⚠ Usa una cuenta de trading",IF(AND(G112&lt;=0,P112&lt;&gt;"Ajuste",P112&lt;&gt;"Resultado trading"),"⚠ El monto debe ser positivo","✓")))))))))))))))</f>
        <v/>
      </c>
      <c r="P112" s="52">
        <f>IF(OR(B112="",G112=""),"",IF(C112="","Gasto",C112))</f>
        <v/>
      </c>
      <c r="Q112" s="52">
        <f>IF(P112="","",IF(J112&lt;&gt;"",J112,CuentaPred&amp;""))</f>
        <v/>
      </c>
      <c r="R112" s="52">
        <f>IF(P112="","",IF(ISNUMBER(I112),I112,TasaUSD))</f>
        <v/>
      </c>
      <c r="S112" s="53">
        <f>IF(P112="","",IF(H112="USD",G112*R112,G112))</f>
        <v/>
      </c>
      <c r="T112" s="53">
        <f>IF(P112="","",IF(H112="USD",G112,IF(R112&gt;0,G112/R112,0)))</f>
        <v/>
      </c>
      <c r="U112" s="53">
        <f>IF(P112="","",IF(P112="Gasto",S112,IF(P112="Reembolso",-S112,0)))</f>
        <v/>
      </c>
      <c r="V112" s="53">
        <f>IF(P112="","",IF(P112="Ingreso",S112,0))</f>
        <v/>
      </c>
      <c r="W112" s="53">
        <f>IF(P112="","",IF(P112="Resultado trading",S112,0))</f>
        <v/>
      </c>
      <c r="X112" s="52">
        <f>IF(OR(P112="Gasto",P112="Reembolso"),IF(M112&lt;&gt;"",M112,IFERROR(INDEX(catClasif,MATCH(D112&amp;"|"&amp;E112,catClave,0))&amp;"","Variable")),"")</f>
        <v/>
      </c>
      <c r="Y112" s="52">
        <f>IF(P112="","",IFERROR(INDEX(catGrupo,MATCH(D112&amp;"|"&amp;E112,catClave,0))&amp;"",""))</f>
        <v/>
      </c>
      <c r="Z112" s="52">
        <f>IF(P112="","",WEEKDAY(B112,2))</f>
        <v/>
      </c>
      <c r="AA112" s="52">
        <f>IF(P112="","",IF(AND(P112="Gasto",X112="Variable",D112&lt;&gt;catTrading,S112&gt;0,S112&lt;=Umbral),1,0))</f>
        <v/>
      </c>
      <c r="AB112" s="52">
        <f>IF(OR(P112="",Q112=""),"",IFERROR(IF(INDEX(ctaVinc,MATCH(Q112,ctaNombre,0))&amp;""&lt;&gt;"",INDEX(ctaVinc,MATCH(Q112,ctaNombre,0))&amp;"",Q112),Q112))</f>
        <v/>
      </c>
      <c r="AC112" s="52">
        <f>IF(OR(K112="",AND(P112&lt;&gt;"Transferencia",P112&lt;&gt;"Pago tarjeta")),"",IFERROR(IF(INDEX(ctaVinc,MATCH(K112,ctaNombre,0))&amp;""&lt;&gt;"",INDEX(ctaVinc,MATCH(K112,ctaNombre,0))&amp;"",K112),K112))</f>
        <v/>
      </c>
      <c r="AD112" s="52">
        <f>IF(AB112="","",IFERROR(INDEX(ctaTipo,MATCH(AB112,ctaNombre,0))&amp;"",""))</f>
        <v/>
      </c>
      <c r="AE112" s="52">
        <f>IF(AC112="","",IFERROR(INDEX(ctaTipo,MATCH(AC112,ctaNombre,0))&amp;"",""))</f>
        <v/>
      </c>
      <c r="AF112" s="53">
        <f>IF(OR(P112="",AB112=""),"",IF(OR(P112="Gasto",P112="Transferencia",P112="Pago tarjeta"),-1,1)*IF(IFERROR(INDEX(ctaMoneda,MATCH(AB112,ctaNombre,0))&amp;"","DOP")="USD",T112,S112))</f>
        <v/>
      </c>
      <c r="AG112" s="53">
        <f>IF(AC112="","",IF(IFERROR(INDEX(ctaMoneda,MATCH(AC112,ctaNombre,0))&amp;"","DOP")="USD",T112,S112))</f>
        <v/>
      </c>
      <c r="AH112" s="53">
        <f>IF(P112="","",IF(AND(AD112&lt;&gt;"",COUNTIFS(tcTipo,AD112,tcLiq,"Sí")&gt;0),IF(OR(P112="Gasto",P112="Transferencia",P112="Pago tarjeta"),-1,1)*S112,0)+IF(AND(AE112&lt;&gt;"",COUNTIFS(tcTipo,AE112,tcLiq,"Sí")&gt;0),S112,0))</f>
        <v/>
      </c>
      <c r="AI112" s="52">
        <f>IF(OR(L112="",P112=""),"",IF(COUNTIFS(L$6:L112,L112,P$6:P112,"?*")=1,MAX(AI$5:AI111)+1,""))</f>
        <v/>
      </c>
    </row>
    <row r="113">
      <c r="B113" s="47" t="n">
        <v>46280</v>
      </c>
      <c r="C113" s="48" t="inlineStr">
        <is>
          <t>Gasto</t>
        </is>
      </c>
      <c r="D113" s="48" t="inlineStr">
        <is>
          <t>Alimentación</t>
        </is>
      </c>
      <c r="E113" s="48" t="inlineStr">
        <is>
          <t>Desayunos comprados</t>
        </is>
      </c>
      <c r="F113" s="48" t="inlineStr">
        <is>
          <t>DEMO · Desayuno en la oficina</t>
        </is>
      </c>
      <c r="G113" s="49" t="n">
        <v>210</v>
      </c>
      <c r="H113" s="48" t="inlineStr">
        <is>
          <t>DOP</t>
        </is>
      </c>
      <c r="I113" s="50" t="n"/>
      <c r="J113" s="48" t="inlineStr">
        <is>
          <t>Tarjeta de débito</t>
        </is>
      </c>
      <c r="K113" s="48" t="n"/>
      <c r="L113" s="48" t="inlineStr">
        <is>
          <t>Cafetería del trabajo</t>
        </is>
      </c>
      <c r="M113" s="48" t="n"/>
      <c r="N113" s="48" t="inlineStr">
        <is>
          <t>DEMOSTRACIÓN</t>
        </is>
      </c>
      <c r="O113" s="51">
        <f>IF(AND(B113="",G113="",C113="",D113="",J113=""),"",IF(B113="","⚠ Falta fecha",IF(G113="","⚠ Falta monto",IF(Q113="","⚠ Falta cuenta",IF(ISNA(MATCH(Q113,ctaNombre,0)),"⚠ Cuenta no registrada",IF(AND(OR(P113="Gasto",P113="Reembolso"),D113=""),"⚠ Falta categoría",IF(AND(D113&lt;&gt;"",E113&lt;&gt;"",ISNA(MATCH(D113&amp;"|"&amp;E113,catClave,0))),"⚠ Subcategoría no corresponde",IF(AND(OR(P113="Transferencia",P113="Pago tarjeta"),K113=""),"⚠ Falta cuenta destino",IF(AND(K113&lt;&gt;"",P113&lt;&gt;"Transferencia",P113&lt;&gt;"Pago tarjeta"),"⚠ Destino solo aplica a transferencias",IF(AND(K113&lt;&gt;"",K113=Q113),"⚠ Origen igual a destino",IF(AND(K113&lt;&gt;"",ISNA(MATCH(K113,ctaNombre,0))),"⚠ Destino no registrado",IF(AND(P113="Pago tarjeta",AE113&lt;&gt;"Tarjeta de crédito"),"⚠ El destino debe ser tarjeta de crédito",IF(AND(P113="Gasto",E113="Depósitos y retiros"),"⚠ Usa tipo Transferencia",IF(AND(P113="Resultado trading",AD113&lt;&gt;"Cuenta de trading"),"⚠ Usa una cuenta de trading",IF(AND(G113&lt;=0,P113&lt;&gt;"Ajuste",P113&lt;&gt;"Resultado trading"),"⚠ El monto debe ser positivo","✓")))))))))))))))</f>
        <v/>
      </c>
      <c r="P113" s="52">
        <f>IF(OR(B113="",G113=""),"",IF(C113="","Gasto",C113))</f>
        <v/>
      </c>
      <c r="Q113" s="52">
        <f>IF(P113="","",IF(J113&lt;&gt;"",J113,CuentaPred&amp;""))</f>
        <v/>
      </c>
      <c r="R113" s="52">
        <f>IF(P113="","",IF(ISNUMBER(I113),I113,TasaUSD))</f>
        <v/>
      </c>
      <c r="S113" s="53">
        <f>IF(P113="","",IF(H113="USD",G113*R113,G113))</f>
        <v/>
      </c>
      <c r="T113" s="53">
        <f>IF(P113="","",IF(H113="USD",G113,IF(R113&gt;0,G113/R113,0)))</f>
        <v/>
      </c>
      <c r="U113" s="53">
        <f>IF(P113="","",IF(P113="Gasto",S113,IF(P113="Reembolso",-S113,0)))</f>
        <v/>
      </c>
      <c r="V113" s="53">
        <f>IF(P113="","",IF(P113="Ingreso",S113,0))</f>
        <v/>
      </c>
      <c r="W113" s="53">
        <f>IF(P113="","",IF(P113="Resultado trading",S113,0))</f>
        <v/>
      </c>
      <c r="X113" s="52">
        <f>IF(OR(P113="Gasto",P113="Reembolso"),IF(M113&lt;&gt;"",M113,IFERROR(INDEX(catClasif,MATCH(D113&amp;"|"&amp;E113,catClave,0))&amp;"","Variable")),"")</f>
        <v/>
      </c>
      <c r="Y113" s="52">
        <f>IF(P113="","",IFERROR(INDEX(catGrupo,MATCH(D113&amp;"|"&amp;E113,catClave,0))&amp;"",""))</f>
        <v/>
      </c>
      <c r="Z113" s="52">
        <f>IF(P113="","",WEEKDAY(B113,2))</f>
        <v/>
      </c>
      <c r="AA113" s="52">
        <f>IF(P113="","",IF(AND(P113="Gasto",X113="Variable",D113&lt;&gt;catTrading,S113&gt;0,S113&lt;=Umbral),1,0))</f>
        <v/>
      </c>
      <c r="AB113" s="52">
        <f>IF(OR(P113="",Q113=""),"",IFERROR(IF(INDEX(ctaVinc,MATCH(Q113,ctaNombre,0))&amp;""&lt;&gt;"",INDEX(ctaVinc,MATCH(Q113,ctaNombre,0))&amp;"",Q113),Q113))</f>
        <v/>
      </c>
      <c r="AC113" s="52">
        <f>IF(OR(K113="",AND(P113&lt;&gt;"Transferencia",P113&lt;&gt;"Pago tarjeta")),"",IFERROR(IF(INDEX(ctaVinc,MATCH(K113,ctaNombre,0))&amp;""&lt;&gt;"",INDEX(ctaVinc,MATCH(K113,ctaNombre,0))&amp;"",K113),K113))</f>
        <v/>
      </c>
      <c r="AD113" s="52">
        <f>IF(AB113="","",IFERROR(INDEX(ctaTipo,MATCH(AB113,ctaNombre,0))&amp;"",""))</f>
        <v/>
      </c>
      <c r="AE113" s="52">
        <f>IF(AC113="","",IFERROR(INDEX(ctaTipo,MATCH(AC113,ctaNombre,0))&amp;"",""))</f>
        <v/>
      </c>
      <c r="AF113" s="53">
        <f>IF(OR(P113="",AB113=""),"",IF(OR(P113="Gasto",P113="Transferencia",P113="Pago tarjeta"),-1,1)*IF(IFERROR(INDEX(ctaMoneda,MATCH(AB113,ctaNombre,0))&amp;"","DOP")="USD",T113,S113))</f>
        <v/>
      </c>
      <c r="AG113" s="53">
        <f>IF(AC113="","",IF(IFERROR(INDEX(ctaMoneda,MATCH(AC113,ctaNombre,0))&amp;"","DOP")="USD",T113,S113))</f>
        <v/>
      </c>
      <c r="AH113" s="53">
        <f>IF(P113="","",IF(AND(AD113&lt;&gt;"",COUNTIFS(tcTipo,AD113,tcLiq,"Sí")&gt;0),IF(OR(P113="Gasto",P113="Transferencia",P113="Pago tarjeta"),-1,1)*S113,0)+IF(AND(AE113&lt;&gt;"",COUNTIFS(tcTipo,AE113,tcLiq,"Sí")&gt;0),S113,0))</f>
        <v/>
      </c>
      <c r="AI113" s="52">
        <f>IF(OR(L113="",P113=""),"",IF(COUNTIFS(L$6:L113,L113,P$6:P113,"?*")=1,MAX(AI$5:AI112)+1,""))</f>
        <v/>
      </c>
    </row>
    <row r="114">
      <c r="B114" s="47" t="n">
        <v>46280</v>
      </c>
      <c r="C114" s="48" t="inlineStr">
        <is>
          <t>Gasto</t>
        </is>
      </c>
      <c r="D114" s="48" t="inlineStr">
        <is>
          <t>Alimentación</t>
        </is>
      </c>
      <c r="E114" s="48" t="inlineStr">
        <is>
          <t>Almuerzos laborales</t>
        </is>
      </c>
      <c r="F114" s="48" t="inlineStr">
        <is>
          <t>DEMO · Almuerzo laboral</t>
        </is>
      </c>
      <c r="G114" s="49" t="n">
        <v>550</v>
      </c>
      <c r="H114" s="48" t="inlineStr">
        <is>
          <t>DOP</t>
        </is>
      </c>
      <c r="I114" s="50" t="n"/>
      <c r="J114" s="48" t="inlineStr">
        <is>
          <t>Billetera digital</t>
        </is>
      </c>
      <c r="K114" s="48" t="n"/>
      <c r="L114" s="48" t="inlineStr">
        <is>
          <t>Comedor ejecutivo</t>
        </is>
      </c>
      <c r="M114" s="48" t="n"/>
      <c r="N114" s="48" t="inlineStr">
        <is>
          <t>DEMOSTRACIÓN</t>
        </is>
      </c>
      <c r="O114" s="51">
        <f>IF(AND(B114="",G114="",C114="",D114="",J114=""),"",IF(B114="","⚠ Falta fecha",IF(G114="","⚠ Falta monto",IF(Q114="","⚠ Falta cuenta",IF(ISNA(MATCH(Q114,ctaNombre,0)),"⚠ Cuenta no registrada",IF(AND(OR(P114="Gasto",P114="Reembolso"),D114=""),"⚠ Falta categoría",IF(AND(D114&lt;&gt;"",E114&lt;&gt;"",ISNA(MATCH(D114&amp;"|"&amp;E114,catClave,0))),"⚠ Subcategoría no corresponde",IF(AND(OR(P114="Transferencia",P114="Pago tarjeta"),K114=""),"⚠ Falta cuenta destino",IF(AND(K114&lt;&gt;"",P114&lt;&gt;"Transferencia",P114&lt;&gt;"Pago tarjeta"),"⚠ Destino solo aplica a transferencias",IF(AND(K114&lt;&gt;"",K114=Q114),"⚠ Origen igual a destino",IF(AND(K114&lt;&gt;"",ISNA(MATCH(K114,ctaNombre,0))),"⚠ Destino no registrado",IF(AND(P114="Pago tarjeta",AE114&lt;&gt;"Tarjeta de crédito"),"⚠ El destino debe ser tarjeta de crédito",IF(AND(P114="Gasto",E114="Depósitos y retiros"),"⚠ Usa tipo Transferencia",IF(AND(P114="Resultado trading",AD114&lt;&gt;"Cuenta de trading"),"⚠ Usa una cuenta de trading",IF(AND(G114&lt;=0,P114&lt;&gt;"Ajuste",P114&lt;&gt;"Resultado trading"),"⚠ El monto debe ser positivo","✓")))))))))))))))</f>
        <v/>
      </c>
      <c r="P114" s="52">
        <f>IF(OR(B114="",G114=""),"",IF(C114="","Gasto",C114))</f>
        <v/>
      </c>
      <c r="Q114" s="52">
        <f>IF(P114="","",IF(J114&lt;&gt;"",J114,CuentaPred&amp;""))</f>
        <v/>
      </c>
      <c r="R114" s="52">
        <f>IF(P114="","",IF(ISNUMBER(I114),I114,TasaUSD))</f>
        <v/>
      </c>
      <c r="S114" s="53">
        <f>IF(P114="","",IF(H114="USD",G114*R114,G114))</f>
        <v/>
      </c>
      <c r="T114" s="53">
        <f>IF(P114="","",IF(H114="USD",G114,IF(R114&gt;0,G114/R114,0)))</f>
        <v/>
      </c>
      <c r="U114" s="53">
        <f>IF(P114="","",IF(P114="Gasto",S114,IF(P114="Reembolso",-S114,0)))</f>
        <v/>
      </c>
      <c r="V114" s="53">
        <f>IF(P114="","",IF(P114="Ingreso",S114,0))</f>
        <v/>
      </c>
      <c r="W114" s="53">
        <f>IF(P114="","",IF(P114="Resultado trading",S114,0))</f>
        <v/>
      </c>
      <c r="X114" s="52">
        <f>IF(OR(P114="Gasto",P114="Reembolso"),IF(M114&lt;&gt;"",M114,IFERROR(INDEX(catClasif,MATCH(D114&amp;"|"&amp;E114,catClave,0))&amp;"","Variable")),"")</f>
        <v/>
      </c>
      <c r="Y114" s="52">
        <f>IF(P114="","",IFERROR(INDEX(catGrupo,MATCH(D114&amp;"|"&amp;E114,catClave,0))&amp;"",""))</f>
        <v/>
      </c>
      <c r="Z114" s="52">
        <f>IF(P114="","",WEEKDAY(B114,2))</f>
        <v/>
      </c>
      <c r="AA114" s="52">
        <f>IF(P114="","",IF(AND(P114="Gasto",X114="Variable",D114&lt;&gt;catTrading,S114&gt;0,S114&lt;=Umbral),1,0))</f>
        <v/>
      </c>
      <c r="AB114" s="52">
        <f>IF(OR(P114="",Q114=""),"",IFERROR(IF(INDEX(ctaVinc,MATCH(Q114,ctaNombre,0))&amp;""&lt;&gt;"",INDEX(ctaVinc,MATCH(Q114,ctaNombre,0))&amp;"",Q114),Q114))</f>
        <v/>
      </c>
      <c r="AC114" s="52">
        <f>IF(OR(K114="",AND(P114&lt;&gt;"Transferencia",P114&lt;&gt;"Pago tarjeta")),"",IFERROR(IF(INDEX(ctaVinc,MATCH(K114,ctaNombre,0))&amp;""&lt;&gt;"",INDEX(ctaVinc,MATCH(K114,ctaNombre,0))&amp;"",K114),K114))</f>
        <v/>
      </c>
      <c r="AD114" s="52">
        <f>IF(AB114="","",IFERROR(INDEX(ctaTipo,MATCH(AB114,ctaNombre,0))&amp;"",""))</f>
        <v/>
      </c>
      <c r="AE114" s="52">
        <f>IF(AC114="","",IFERROR(INDEX(ctaTipo,MATCH(AC114,ctaNombre,0))&amp;"",""))</f>
        <v/>
      </c>
      <c r="AF114" s="53">
        <f>IF(OR(P114="",AB114=""),"",IF(OR(P114="Gasto",P114="Transferencia",P114="Pago tarjeta"),-1,1)*IF(IFERROR(INDEX(ctaMoneda,MATCH(AB114,ctaNombre,0))&amp;"","DOP")="USD",T114,S114))</f>
        <v/>
      </c>
      <c r="AG114" s="53">
        <f>IF(AC114="","",IF(IFERROR(INDEX(ctaMoneda,MATCH(AC114,ctaNombre,0))&amp;"","DOP")="USD",T114,S114))</f>
        <v/>
      </c>
      <c r="AH114" s="53">
        <f>IF(P114="","",IF(AND(AD114&lt;&gt;"",COUNTIFS(tcTipo,AD114,tcLiq,"Sí")&gt;0),IF(OR(P114="Gasto",P114="Transferencia",P114="Pago tarjeta"),-1,1)*S114,0)+IF(AND(AE114&lt;&gt;"",COUNTIFS(tcTipo,AE114,tcLiq,"Sí")&gt;0),S114,0))</f>
        <v/>
      </c>
      <c r="AI114" s="52">
        <f>IF(OR(L114="",P114=""),"",IF(COUNTIFS(L$6:L114,L114,P$6:P114,"?*")=1,MAX(AI$5:AI113)+1,""))</f>
        <v/>
      </c>
    </row>
    <row r="115">
      <c r="B115" s="47" t="n">
        <v>46280</v>
      </c>
      <c r="C115" s="48" t="inlineStr">
        <is>
          <t>Ingreso</t>
        </is>
      </c>
      <c r="D115" s="48" t="inlineStr">
        <is>
          <t>Ingresos</t>
        </is>
      </c>
      <c r="E115" s="48" t="inlineStr">
        <is>
          <t>Salario</t>
        </is>
      </c>
      <c r="F115" s="48" t="inlineStr">
        <is>
          <t>DEMO · Salario quincenal (ficticio)</t>
        </is>
      </c>
      <c r="G115" s="49" t="n">
        <v>55000</v>
      </c>
      <c r="H115" s="48" t="inlineStr">
        <is>
          <t>DOP</t>
        </is>
      </c>
      <c r="I115" s="50" t="n"/>
      <c r="J115" s="48" t="inlineStr">
        <is>
          <t>Banco principal</t>
        </is>
      </c>
      <c r="K115" s="48" t="n"/>
      <c r="L115" s="48" t="n"/>
      <c r="M115" s="48" t="n"/>
      <c r="N115" s="48" t="inlineStr">
        <is>
          <t>DEMOSTRACIÓN</t>
        </is>
      </c>
      <c r="O115" s="51">
        <f>IF(AND(B115="",G115="",C115="",D115="",J115=""),"",IF(B115="","⚠ Falta fecha",IF(G115="","⚠ Falta monto",IF(Q115="","⚠ Falta cuenta",IF(ISNA(MATCH(Q115,ctaNombre,0)),"⚠ Cuenta no registrada",IF(AND(OR(P115="Gasto",P115="Reembolso"),D115=""),"⚠ Falta categoría",IF(AND(D115&lt;&gt;"",E115&lt;&gt;"",ISNA(MATCH(D115&amp;"|"&amp;E115,catClave,0))),"⚠ Subcategoría no corresponde",IF(AND(OR(P115="Transferencia",P115="Pago tarjeta"),K115=""),"⚠ Falta cuenta destino",IF(AND(K115&lt;&gt;"",P115&lt;&gt;"Transferencia",P115&lt;&gt;"Pago tarjeta"),"⚠ Destino solo aplica a transferencias",IF(AND(K115&lt;&gt;"",K115=Q115),"⚠ Origen igual a destino",IF(AND(K115&lt;&gt;"",ISNA(MATCH(K115,ctaNombre,0))),"⚠ Destino no registrado",IF(AND(P115="Pago tarjeta",AE115&lt;&gt;"Tarjeta de crédito"),"⚠ El destino debe ser tarjeta de crédito",IF(AND(P115="Gasto",E115="Depósitos y retiros"),"⚠ Usa tipo Transferencia",IF(AND(P115="Resultado trading",AD115&lt;&gt;"Cuenta de trading"),"⚠ Usa una cuenta de trading",IF(AND(G115&lt;=0,P115&lt;&gt;"Ajuste",P115&lt;&gt;"Resultado trading"),"⚠ El monto debe ser positivo","✓")))))))))))))))</f>
        <v/>
      </c>
      <c r="P115" s="52">
        <f>IF(OR(B115="",G115=""),"",IF(C115="","Gasto",C115))</f>
        <v/>
      </c>
      <c r="Q115" s="52">
        <f>IF(P115="","",IF(J115&lt;&gt;"",J115,CuentaPred&amp;""))</f>
        <v/>
      </c>
      <c r="R115" s="52">
        <f>IF(P115="","",IF(ISNUMBER(I115),I115,TasaUSD))</f>
        <v/>
      </c>
      <c r="S115" s="53">
        <f>IF(P115="","",IF(H115="USD",G115*R115,G115))</f>
        <v/>
      </c>
      <c r="T115" s="53">
        <f>IF(P115="","",IF(H115="USD",G115,IF(R115&gt;0,G115/R115,0)))</f>
        <v/>
      </c>
      <c r="U115" s="53">
        <f>IF(P115="","",IF(P115="Gasto",S115,IF(P115="Reembolso",-S115,0)))</f>
        <v/>
      </c>
      <c r="V115" s="53">
        <f>IF(P115="","",IF(P115="Ingreso",S115,0))</f>
        <v/>
      </c>
      <c r="W115" s="53">
        <f>IF(P115="","",IF(P115="Resultado trading",S115,0))</f>
        <v/>
      </c>
      <c r="X115" s="52">
        <f>IF(OR(P115="Gasto",P115="Reembolso"),IF(M115&lt;&gt;"",M115,IFERROR(INDEX(catClasif,MATCH(D115&amp;"|"&amp;E115,catClave,0))&amp;"","Variable")),"")</f>
        <v/>
      </c>
      <c r="Y115" s="52">
        <f>IF(P115="","",IFERROR(INDEX(catGrupo,MATCH(D115&amp;"|"&amp;E115,catClave,0))&amp;"",""))</f>
        <v/>
      </c>
      <c r="Z115" s="52">
        <f>IF(P115="","",WEEKDAY(B115,2))</f>
        <v/>
      </c>
      <c r="AA115" s="52">
        <f>IF(P115="","",IF(AND(P115="Gasto",X115="Variable",D115&lt;&gt;catTrading,S115&gt;0,S115&lt;=Umbral),1,0))</f>
        <v/>
      </c>
      <c r="AB115" s="52">
        <f>IF(OR(P115="",Q115=""),"",IFERROR(IF(INDEX(ctaVinc,MATCH(Q115,ctaNombre,0))&amp;""&lt;&gt;"",INDEX(ctaVinc,MATCH(Q115,ctaNombre,0))&amp;"",Q115),Q115))</f>
        <v/>
      </c>
      <c r="AC115" s="52">
        <f>IF(OR(K115="",AND(P115&lt;&gt;"Transferencia",P115&lt;&gt;"Pago tarjeta")),"",IFERROR(IF(INDEX(ctaVinc,MATCH(K115,ctaNombre,0))&amp;""&lt;&gt;"",INDEX(ctaVinc,MATCH(K115,ctaNombre,0))&amp;"",K115),K115))</f>
        <v/>
      </c>
      <c r="AD115" s="52">
        <f>IF(AB115="","",IFERROR(INDEX(ctaTipo,MATCH(AB115,ctaNombre,0))&amp;"",""))</f>
        <v/>
      </c>
      <c r="AE115" s="52">
        <f>IF(AC115="","",IFERROR(INDEX(ctaTipo,MATCH(AC115,ctaNombre,0))&amp;"",""))</f>
        <v/>
      </c>
      <c r="AF115" s="53">
        <f>IF(OR(P115="",AB115=""),"",IF(OR(P115="Gasto",P115="Transferencia",P115="Pago tarjeta"),-1,1)*IF(IFERROR(INDEX(ctaMoneda,MATCH(AB115,ctaNombre,0))&amp;"","DOP")="USD",T115,S115))</f>
        <v/>
      </c>
      <c r="AG115" s="53">
        <f>IF(AC115="","",IF(IFERROR(INDEX(ctaMoneda,MATCH(AC115,ctaNombre,0))&amp;"","DOP")="USD",T115,S115))</f>
        <v/>
      </c>
      <c r="AH115" s="53">
        <f>IF(P115="","",IF(AND(AD115&lt;&gt;"",COUNTIFS(tcTipo,AD115,tcLiq,"Sí")&gt;0),IF(OR(P115="Gasto",P115="Transferencia",P115="Pago tarjeta"),-1,1)*S115,0)+IF(AND(AE115&lt;&gt;"",COUNTIFS(tcTipo,AE115,tcLiq,"Sí")&gt;0),S115,0))</f>
        <v/>
      </c>
      <c r="AI115" s="52">
        <f>IF(OR(L115="",P115=""),"",IF(COUNTIFS(L$6:L115,L115,P$6:P115,"?*")=1,MAX(AI$5:AI114)+1,""))</f>
        <v/>
      </c>
    </row>
    <row r="116">
      <c r="B116" s="47" t="n">
        <v>46281</v>
      </c>
      <c r="C116" s="48" t="inlineStr">
        <is>
          <t>Gasto</t>
        </is>
      </c>
      <c r="D116" s="48" t="inlineStr">
        <is>
          <t>Alimentación</t>
        </is>
      </c>
      <c r="E116" s="48" t="inlineStr">
        <is>
          <t>Almuerzos laborales</t>
        </is>
      </c>
      <c r="F116" s="48" t="inlineStr">
        <is>
          <t>DEMO · Almuerzo laboral</t>
        </is>
      </c>
      <c r="G116" s="49" t="n">
        <v>500</v>
      </c>
      <c r="H116" s="48" t="inlineStr">
        <is>
          <t>DOP</t>
        </is>
      </c>
      <c r="I116" s="50" t="n"/>
      <c r="J116" s="48" t="inlineStr">
        <is>
          <t>Billetera digital</t>
        </is>
      </c>
      <c r="K116" s="48" t="n"/>
      <c r="L116" s="48" t="inlineStr">
        <is>
          <t>Comedor ejecutivo</t>
        </is>
      </c>
      <c r="M116" s="48" t="n"/>
      <c r="N116" s="48" t="inlineStr">
        <is>
          <t>DEMOSTRACIÓN</t>
        </is>
      </c>
      <c r="O116" s="51">
        <f>IF(AND(B116="",G116="",C116="",D116="",J116=""),"",IF(B116="","⚠ Falta fecha",IF(G116="","⚠ Falta monto",IF(Q116="","⚠ Falta cuenta",IF(ISNA(MATCH(Q116,ctaNombre,0)),"⚠ Cuenta no registrada",IF(AND(OR(P116="Gasto",P116="Reembolso"),D116=""),"⚠ Falta categoría",IF(AND(D116&lt;&gt;"",E116&lt;&gt;"",ISNA(MATCH(D116&amp;"|"&amp;E116,catClave,0))),"⚠ Subcategoría no corresponde",IF(AND(OR(P116="Transferencia",P116="Pago tarjeta"),K116=""),"⚠ Falta cuenta destino",IF(AND(K116&lt;&gt;"",P116&lt;&gt;"Transferencia",P116&lt;&gt;"Pago tarjeta"),"⚠ Destino solo aplica a transferencias",IF(AND(K116&lt;&gt;"",K116=Q116),"⚠ Origen igual a destino",IF(AND(K116&lt;&gt;"",ISNA(MATCH(K116,ctaNombre,0))),"⚠ Destino no registrado",IF(AND(P116="Pago tarjeta",AE116&lt;&gt;"Tarjeta de crédito"),"⚠ El destino debe ser tarjeta de crédito",IF(AND(P116="Gasto",E116="Depósitos y retiros"),"⚠ Usa tipo Transferencia",IF(AND(P116="Resultado trading",AD116&lt;&gt;"Cuenta de trading"),"⚠ Usa una cuenta de trading",IF(AND(G116&lt;=0,P116&lt;&gt;"Ajuste",P116&lt;&gt;"Resultado trading"),"⚠ El monto debe ser positivo","✓")))))))))))))))</f>
        <v/>
      </c>
      <c r="P116" s="52">
        <f>IF(OR(B116="",G116=""),"",IF(C116="","Gasto",C116))</f>
        <v/>
      </c>
      <c r="Q116" s="52">
        <f>IF(P116="","",IF(J116&lt;&gt;"",J116,CuentaPred&amp;""))</f>
        <v/>
      </c>
      <c r="R116" s="52">
        <f>IF(P116="","",IF(ISNUMBER(I116),I116,TasaUSD))</f>
        <v/>
      </c>
      <c r="S116" s="53">
        <f>IF(P116="","",IF(H116="USD",G116*R116,G116))</f>
        <v/>
      </c>
      <c r="T116" s="53">
        <f>IF(P116="","",IF(H116="USD",G116,IF(R116&gt;0,G116/R116,0)))</f>
        <v/>
      </c>
      <c r="U116" s="53">
        <f>IF(P116="","",IF(P116="Gasto",S116,IF(P116="Reembolso",-S116,0)))</f>
        <v/>
      </c>
      <c r="V116" s="53">
        <f>IF(P116="","",IF(P116="Ingreso",S116,0))</f>
        <v/>
      </c>
      <c r="W116" s="53">
        <f>IF(P116="","",IF(P116="Resultado trading",S116,0))</f>
        <v/>
      </c>
      <c r="X116" s="52">
        <f>IF(OR(P116="Gasto",P116="Reembolso"),IF(M116&lt;&gt;"",M116,IFERROR(INDEX(catClasif,MATCH(D116&amp;"|"&amp;E116,catClave,0))&amp;"","Variable")),"")</f>
        <v/>
      </c>
      <c r="Y116" s="52">
        <f>IF(P116="","",IFERROR(INDEX(catGrupo,MATCH(D116&amp;"|"&amp;E116,catClave,0))&amp;"",""))</f>
        <v/>
      </c>
      <c r="Z116" s="52">
        <f>IF(P116="","",WEEKDAY(B116,2))</f>
        <v/>
      </c>
      <c r="AA116" s="52">
        <f>IF(P116="","",IF(AND(P116="Gasto",X116="Variable",D116&lt;&gt;catTrading,S116&gt;0,S116&lt;=Umbral),1,0))</f>
        <v/>
      </c>
      <c r="AB116" s="52">
        <f>IF(OR(P116="",Q116=""),"",IFERROR(IF(INDEX(ctaVinc,MATCH(Q116,ctaNombre,0))&amp;""&lt;&gt;"",INDEX(ctaVinc,MATCH(Q116,ctaNombre,0))&amp;"",Q116),Q116))</f>
        <v/>
      </c>
      <c r="AC116" s="52">
        <f>IF(OR(K116="",AND(P116&lt;&gt;"Transferencia",P116&lt;&gt;"Pago tarjeta")),"",IFERROR(IF(INDEX(ctaVinc,MATCH(K116,ctaNombre,0))&amp;""&lt;&gt;"",INDEX(ctaVinc,MATCH(K116,ctaNombre,0))&amp;"",K116),K116))</f>
        <v/>
      </c>
      <c r="AD116" s="52">
        <f>IF(AB116="","",IFERROR(INDEX(ctaTipo,MATCH(AB116,ctaNombre,0))&amp;"",""))</f>
        <v/>
      </c>
      <c r="AE116" s="52">
        <f>IF(AC116="","",IFERROR(INDEX(ctaTipo,MATCH(AC116,ctaNombre,0))&amp;"",""))</f>
        <v/>
      </c>
      <c r="AF116" s="53">
        <f>IF(OR(P116="",AB116=""),"",IF(OR(P116="Gasto",P116="Transferencia",P116="Pago tarjeta"),-1,1)*IF(IFERROR(INDEX(ctaMoneda,MATCH(AB116,ctaNombre,0))&amp;"","DOP")="USD",T116,S116))</f>
        <v/>
      </c>
      <c r="AG116" s="53">
        <f>IF(AC116="","",IF(IFERROR(INDEX(ctaMoneda,MATCH(AC116,ctaNombre,0))&amp;"","DOP")="USD",T116,S116))</f>
        <v/>
      </c>
      <c r="AH116" s="53">
        <f>IF(P116="","",IF(AND(AD116&lt;&gt;"",COUNTIFS(tcTipo,AD116,tcLiq,"Sí")&gt;0),IF(OR(P116="Gasto",P116="Transferencia",P116="Pago tarjeta"),-1,1)*S116,0)+IF(AND(AE116&lt;&gt;"",COUNTIFS(tcTipo,AE116,tcLiq,"Sí")&gt;0),S116,0))</f>
        <v/>
      </c>
      <c r="AI116" s="52">
        <f>IF(OR(L116="",P116=""),"",IF(COUNTIFS(L$6:L116,L116,P$6:P116,"?*")=1,MAX(AI$5:AI115)+1,""))</f>
        <v/>
      </c>
    </row>
    <row r="117">
      <c r="B117" s="47" t="n">
        <v>46281</v>
      </c>
      <c r="C117" s="48" t="inlineStr">
        <is>
          <t>Gasto</t>
        </is>
      </c>
      <c r="D117" s="48" t="inlineStr">
        <is>
          <t>Alimentación</t>
        </is>
      </c>
      <c r="E117" s="48" t="inlineStr">
        <is>
          <t>Bebidas, snacks y otros consumos</t>
        </is>
      </c>
      <c r="F117" s="48" t="inlineStr">
        <is>
          <t>DEMO · Snack de la tarde</t>
        </is>
      </c>
      <c r="G117" s="49" t="n">
        <v>190</v>
      </c>
      <c r="H117" s="48" t="inlineStr">
        <is>
          <t>DOP</t>
        </is>
      </c>
      <c r="I117" s="50" t="n"/>
      <c r="J117" s="48" t="inlineStr">
        <is>
          <t>Efectivo</t>
        </is>
      </c>
      <c r="K117" s="48" t="n"/>
      <c r="L117" s="48" t="inlineStr">
        <is>
          <t>Cafetería del trabajo</t>
        </is>
      </c>
      <c r="M117" s="48" t="n"/>
      <c r="N117" s="48" t="inlineStr">
        <is>
          <t>DEMOSTRACIÓN</t>
        </is>
      </c>
      <c r="O117" s="51">
        <f>IF(AND(B117="",G117="",C117="",D117="",J117=""),"",IF(B117="","⚠ Falta fecha",IF(G117="","⚠ Falta monto",IF(Q117="","⚠ Falta cuenta",IF(ISNA(MATCH(Q117,ctaNombre,0)),"⚠ Cuenta no registrada",IF(AND(OR(P117="Gasto",P117="Reembolso"),D117=""),"⚠ Falta categoría",IF(AND(D117&lt;&gt;"",E117&lt;&gt;"",ISNA(MATCH(D117&amp;"|"&amp;E117,catClave,0))),"⚠ Subcategoría no corresponde",IF(AND(OR(P117="Transferencia",P117="Pago tarjeta"),K117=""),"⚠ Falta cuenta destino",IF(AND(K117&lt;&gt;"",P117&lt;&gt;"Transferencia",P117&lt;&gt;"Pago tarjeta"),"⚠ Destino solo aplica a transferencias",IF(AND(K117&lt;&gt;"",K117=Q117),"⚠ Origen igual a destino",IF(AND(K117&lt;&gt;"",ISNA(MATCH(K117,ctaNombre,0))),"⚠ Destino no registrado",IF(AND(P117="Pago tarjeta",AE117&lt;&gt;"Tarjeta de crédito"),"⚠ El destino debe ser tarjeta de crédito",IF(AND(P117="Gasto",E117="Depósitos y retiros"),"⚠ Usa tipo Transferencia",IF(AND(P117="Resultado trading",AD117&lt;&gt;"Cuenta de trading"),"⚠ Usa una cuenta de trading",IF(AND(G117&lt;=0,P117&lt;&gt;"Ajuste",P117&lt;&gt;"Resultado trading"),"⚠ El monto debe ser positivo","✓")))))))))))))))</f>
        <v/>
      </c>
      <c r="P117" s="52">
        <f>IF(OR(B117="",G117=""),"",IF(C117="","Gasto",C117))</f>
        <v/>
      </c>
      <c r="Q117" s="52">
        <f>IF(P117="","",IF(J117&lt;&gt;"",J117,CuentaPred&amp;""))</f>
        <v/>
      </c>
      <c r="R117" s="52">
        <f>IF(P117="","",IF(ISNUMBER(I117),I117,TasaUSD))</f>
        <v/>
      </c>
      <c r="S117" s="53">
        <f>IF(P117="","",IF(H117="USD",G117*R117,G117))</f>
        <v/>
      </c>
      <c r="T117" s="53">
        <f>IF(P117="","",IF(H117="USD",G117,IF(R117&gt;0,G117/R117,0)))</f>
        <v/>
      </c>
      <c r="U117" s="53">
        <f>IF(P117="","",IF(P117="Gasto",S117,IF(P117="Reembolso",-S117,0)))</f>
        <v/>
      </c>
      <c r="V117" s="53">
        <f>IF(P117="","",IF(P117="Ingreso",S117,0))</f>
        <v/>
      </c>
      <c r="W117" s="53">
        <f>IF(P117="","",IF(P117="Resultado trading",S117,0))</f>
        <v/>
      </c>
      <c r="X117" s="52">
        <f>IF(OR(P117="Gasto",P117="Reembolso"),IF(M117&lt;&gt;"",M117,IFERROR(INDEX(catClasif,MATCH(D117&amp;"|"&amp;E117,catClave,0))&amp;"","Variable")),"")</f>
        <v/>
      </c>
      <c r="Y117" s="52">
        <f>IF(P117="","",IFERROR(INDEX(catGrupo,MATCH(D117&amp;"|"&amp;E117,catClave,0))&amp;"",""))</f>
        <v/>
      </c>
      <c r="Z117" s="52">
        <f>IF(P117="","",WEEKDAY(B117,2))</f>
        <v/>
      </c>
      <c r="AA117" s="52">
        <f>IF(P117="","",IF(AND(P117="Gasto",X117="Variable",D117&lt;&gt;catTrading,S117&gt;0,S117&lt;=Umbral),1,0))</f>
        <v/>
      </c>
      <c r="AB117" s="52">
        <f>IF(OR(P117="",Q117=""),"",IFERROR(IF(INDEX(ctaVinc,MATCH(Q117,ctaNombre,0))&amp;""&lt;&gt;"",INDEX(ctaVinc,MATCH(Q117,ctaNombre,0))&amp;"",Q117),Q117))</f>
        <v/>
      </c>
      <c r="AC117" s="52">
        <f>IF(OR(K117="",AND(P117&lt;&gt;"Transferencia",P117&lt;&gt;"Pago tarjeta")),"",IFERROR(IF(INDEX(ctaVinc,MATCH(K117,ctaNombre,0))&amp;""&lt;&gt;"",INDEX(ctaVinc,MATCH(K117,ctaNombre,0))&amp;"",K117),K117))</f>
        <v/>
      </c>
      <c r="AD117" s="52">
        <f>IF(AB117="","",IFERROR(INDEX(ctaTipo,MATCH(AB117,ctaNombre,0))&amp;"",""))</f>
        <v/>
      </c>
      <c r="AE117" s="52">
        <f>IF(AC117="","",IFERROR(INDEX(ctaTipo,MATCH(AC117,ctaNombre,0))&amp;"",""))</f>
        <v/>
      </c>
      <c r="AF117" s="53">
        <f>IF(OR(P117="",AB117=""),"",IF(OR(P117="Gasto",P117="Transferencia",P117="Pago tarjeta"),-1,1)*IF(IFERROR(INDEX(ctaMoneda,MATCH(AB117,ctaNombre,0))&amp;"","DOP")="USD",T117,S117))</f>
        <v/>
      </c>
      <c r="AG117" s="53">
        <f>IF(AC117="","",IF(IFERROR(INDEX(ctaMoneda,MATCH(AC117,ctaNombre,0))&amp;"","DOP")="USD",T117,S117))</f>
        <v/>
      </c>
      <c r="AH117" s="53">
        <f>IF(P117="","",IF(AND(AD117&lt;&gt;"",COUNTIFS(tcTipo,AD117,tcLiq,"Sí")&gt;0),IF(OR(P117="Gasto",P117="Transferencia",P117="Pago tarjeta"),-1,1)*S117,0)+IF(AND(AE117&lt;&gt;"",COUNTIFS(tcTipo,AE117,tcLiq,"Sí")&gt;0),S117,0))</f>
        <v/>
      </c>
      <c r="AI117" s="52">
        <f>IF(OR(L117="",P117=""),"",IF(COUNTIFS(L$6:L117,L117,P$6:P117,"?*")=1,MAX(AI$5:AI116)+1,""))</f>
        <v/>
      </c>
    </row>
    <row r="118">
      <c r="B118" s="47" t="n">
        <v>46281</v>
      </c>
      <c r="C118" s="48" t="inlineStr">
        <is>
          <t>Transferencia</t>
        </is>
      </c>
      <c r="D118" s="48" t="n"/>
      <c r="E118" s="48" t="n"/>
      <c r="F118" s="48" t="inlineStr">
        <is>
          <t>DEMO · Recarga de billetera digital</t>
        </is>
      </c>
      <c r="G118" s="49" t="n">
        <v>4000</v>
      </c>
      <c r="H118" s="48" t="inlineStr">
        <is>
          <t>DOP</t>
        </is>
      </c>
      <c r="I118" s="50" t="n"/>
      <c r="J118" s="48" t="inlineStr">
        <is>
          <t>Banco principal</t>
        </is>
      </c>
      <c r="K118" s="48" t="inlineStr">
        <is>
          <t>Billetera digital</t>
        </is>
      </c>
      <c r="L118" s="48" t="n"/>
      <c r="M118" s="48" t="n"/>
      <c r="N118" s="48" t="inlineStr">
        <is>
          <t>DEMOSTRACIÓN</t>
        </is>
      </c>
      <c r="O118" s="51">
        <f>IF(AND(B118="",G118="",C118="",D118="",J118=""),"",IF(B118="","⚠ Falta fecha",IF(G118="","⚠ Falta monto",IF(Q118="","⚠ Falta cuenta",IF(ISNA(MATCH(Q118,ctaNombre,0)),"⚠ Cuenta no registrada",IF(AND(OR(P118="Gasto",P118="Reembolso"),D118=""),"⚠ Falta categoría",IF(AND(D118&lt;&gt;"",E118&lt;&gt;"",ISNA(MATCH(D118&amp;"|"&amp;E118,catClave,0))),"⚠ Subcategoría no corresponde",IF(AND(OR(P118="Transferencia",P118="Pago tarjeta"),K118=""),"⚠ Falta cuenta destino",IF(AND(K118&lt;&gt;"",P118&lt;&gt;"Transferencia",P118&lt;&gt;"Pago tarjeta"),"⚠ Destino solo aplica a transferencias",IF(AND(K118&lt;&gt;"",K118=Q118),"⚠ Origen igual a destino",IF(AND(K118&lt;&gt;"",ISNA(MATCH(K118,ctaNombre,0))),"⚠ Destino no registrado",IF(AND(P118="Pago tarjeta",AE118&lt;&gt;"Tarjeta de crédito"),"⚠ El destino debe ser tarjeta de crédito",IF(AND(P118="Gasto",E118="Depósitos y retiros"),"⚠ Usa tipo Transferencia",IF(AND(P118="Resultado trading",AD118&lt;&gt;"Cuenta de trading"),"⚠ Usa una cuenta de trading",IF(AND(G118&lt;=0,P118&lt;&gt;"Ajuste",P118&lt;&gt;"Resultado trading"),"⚠ El monto debe ser positivo","✓")))))))))))))))</f>
        <v/>
      </c>
      <c r="P118" s="52">
        <f>IF(OR(B118="",G118=""),"",IF(C118="","Gasto",C118))</f>
        <v/>
      </c>
      <c r="Q118" s="52">
        <f>IF(P118="","",IF(J118&lt;&gt;"",J118,CuentaPred&amp;""))</f>
        <v/>
      </c>
      <c r="R118" s="52">
        <f>IF(P118="","",IF(ISNUMBER(I118),I118,TasaUSD))</f>
        <v/>
      </c>
      <c r="S118" s="53">
        <f>IF(P118="","",IF(H118="USD",G118*R118,G118))</f>
        <v/>
      </c>
      <c r="T118" s="53">
        <f>IF(P118="","",IF(H118="USD",G118,IF(R118&gt;0,G118/R118,0)))</f>
        <v/>
      </c>
      <c r="U118" s="53">
        <f>IF(P118="","",IF(P118="Gasto",S118,IF(P118="Reembolso",-S118,0)))</f>
        <v/>
      </c>
      <c r="V118" s="53">
        <f>IF(P118="","",IF(P118="Ingreso",S118,0))</f>
        <v/>
      </c>
      <c r="W118" s="53">
        <f>IF(P118="","",IF(P118="Resultado trading",S118,0))</f>
        <v/>
      </c>
      <c r="X118" s="52">
        <f>IF(OR(P118="Gasto",P118="Reembolso"),IF(M118&lt;&gt;"",M118,IFERROR(INDEX(catClasif,MATCH(D118&amp;"|"&amp;E118,catClave,0))&amp;"","Variable")),"")</f>
        <v/>
      </c>
      <c r="Y118" s="52">
        <f>IF(P118="","",IFERROR(INDEX(catGrupo,MATCH(D118&amp;"|"&amp;E118,catClave,0))&amp;"",""))</f>
        <v/>
      </c>
      <c r="Z118" s="52">
        <f>IF(P118="","",WEEKDAY(B118,2))</f>
        <v/>
      </c>
      <c r="AA118" s="52">
        <f>IF(P118="","",IF(AND(P118="Gasto",X118="Variable",D118&lt;&gt;catTrading,S118&gt;0,S118&lt;=Umbral),1,0))</f>
        <v/>
      </c>
      <c r="AB118" s="52">
        <f>IF(OR(P118="",Q118=""),"",IFERROR(IF(INDEX(ctaVinc,MATCH(Q118,ctaNombre,0))&amp;""&lt;&gt;"",INDEX(ctaVinc,MATCH(Q118,ctaNombre,0))&amp;"",Q118),Q118))</f>
        <v/>
      </c>
      <c r="AC118" s="52">
        <f>IF(OR(K118="",AND(P118&lt;&gt;"Transferencia",P118&lt;&gt;"Pago tarjeta")),"",IFERROR(IF(INDEX(ctaVinc,MATCH(K118,ctaNombre,0))&amp;""&lt;&gt;"",INDEX(ctaVinc,MATCH(K118,ctaNombre,0))&amp;"",K118),K118))</f>
        <v/>
      </c>
      <c r="AD118" s="52">
        <f>IF(AB118="","",IFERROR(INDEX(ctaTipo,MATCH(AB118,ctaNombre,0))&amp;"",""))</f>
        <v/>
      </c>
      <c r="AE118" s="52">
        <f>IF(AC118="","",IFERROR(INDEX(ctaTipo,MATCH(AC118,ctaNombre,0))&amp;"",""))</f>
        <v/>
      </c>
      <c r="AF118" s="53">
        <f>IF(OR(P118="",AB118=""),"",IF(OR(P118="Gasto",P118="Transferencia",P118="Pago tarjeta"),-1,1)*IF(IFERROR(INDEX(ctaMoneda,MATCH(AB118,ctaNombre,0))&amp;"","DOP")="USD",T118,S118))</f>
        <v/>
      </c>
      <c r="AG118" s="53">
        <f>IF(AC118="","",IF(IFERROR(INDEX(ctaMoneda,MATCH(AC118,ctaNombre,0))&amp;"","DOP")="USD",T118,S118))</f>
        <v/>
      </c>
      <c r="AH118" s="53">
        <f>IF(P118="","",IF(AND(AD118&lt;&gt;"",COUNTIFS(tcTipo,AD118,tcLiq,"Sí")&gt;0),IF(OR(P118="Gasto",P118="Transferencia",P118="Pago tarjeta"),-1,1)*S118,0)+IF(AND(AE118&lt;&gt;"",COUNTIFS(tcTipo,AE118,tcLiq,"Sí")&gt;0),S118,0))</f>
        <v/>
      </c>
      <c r="AI118" s="52">
        <f>IF(OR(L118="",P118=""),"",IF(COUNTIFS(L$6:L118,L118,P$6:P118,"?*")=1,MAX(AI$5:AI117)+1,""))</f>
        <v/>
      </c>
    </row>
    <row r="119">
      <c r="B119" s="47" t="n">
        <v>46281</v>
      </c>
      <c r="C119" s="48" t="inlineStr">
        <is>
          <t>Transferencia</t>
        </is>
      </c>
      <c r="D119" s="48" t="n"/>
      <c r="E119" s="48" t="n"/>
      <c r="F119" s="48" t="inlineStr">
        <is>
          <t>DEMO · Retiro en cajero</t>
        </is>
      </c>
      <c r="G119" s="49" t="n">
        <v>4000</v>
      </c>
      <c r="H119" s="48" t="inlineStr">
        <is>
          <t>DOP</t>
        </is>
      </c>
      <c r="I119" s="50" t="n"/>
      <c r="J119" s="48" t="inlineStr">
        <is>
          <t>Banco principal</t>
        </is>
      </c>
      <c r="K119" s="48" t="inlineStr">
        <is>
          <t>Efectivo</t>
        </is>
      </c>
      <c r="L119" s="48" t="n"/>
      <c r="M119" s="48" t="n"/>
      <c r="N119" s="48" t="inlineStr">
        <is>
          <t>DEMOSTRACIÓN</t>
        </is>
      </c>
      <c r="O119" s="51">
        <f>IF(AND(B119="",G119="",C119="",D119="",J119=""),"",IF(B119="","⚠ Falta fecha",IF(G119="","⚠ Falta monto",IF(Q119="","⚠ Falta cuenta",IF(ISNA(MATCH(Q119,ctaNombre,0)),"⚠ Cuenta no registrada",IF(AND(OR(P119="Gasto",P119="Reembolso"),D119=""),"⚠ Falta categoría",IF(AND(D119&lt;&gt;"",E119&lt;&gt;"",ISNA(MATCH(D119&amp;"|"&amp;E119,catClave,0))),"⚠ Subcategoría no corresponde",IF(AND(OR(P119="Transferencia",P119="Pago tarjeta"),K119=""),"⚠ Falta cuenta destino",IF(AND(K119&lt;&gt;"",P119&lt;&gt;"Transferencia",P119&lt;&gt;"Pago tarjeta"),"⚠ Destino solo aplica a transferencias",IF(AND(K119&lt;&gt;"",K119=Q119),"⚠ Origen igual a destino",IF(AND(K119&lt;&gt;"",ISNA(MATCH(K119,ctaNombre,0))),"⚠ Destino no registrado",IF(AND(P119="Pago tarjeta",AE119&lt;&gt;"Tarjeta de crédito"),"⚠ El destino debe ser tarjeta de crédito",IF(AND(P119="Gasto",E119="Depósitos y retiros"),"⚠ Usa tipo Transferencia",IF(AND(P119="Resultado trading",AD119&lt;&gt;"Cuenta de trading"),"⚠ Usa una cuenta de trading",IF(AND(G119&lt;=0,P119&lt;&gt;"Ajuste",P119&lt;&gt;"Resultado trading"),"⚠ El monto debe ser positivo","✓")))))))))))))))</f>
        <v/>
      </c>
      <c r="P119" s="52">
        <f>IF(OR(B119="",G119=""),"",IF(C119="","Gasto",C119))</f>
        <v/>
      </c>
      <c r="Q119" s="52">
        <f>IF(P119="","",IF(J119&lt;&gt;"",J119,CuentaPred&amp;""))</f>
        <v/>
      </c>
      <c r="R119" s="52">
        <f>IF(P119="","",IF(ISNUMBER(I119),I119,TasaUSD))</f>
        <v/>
      </c>
      <c r="S119" s="53">
        <f>IF(P119="","",IF(H119="USD",G119*R119,G119))</f>
        <v/>
      </c>
      <c r="T119" s="53">
        <f>IF(P119="","",IF(H119="USD",G119,IF(R119&gt;0,G119/R119,0)))</f>
        <v/>
      </c>
      <c r="U119" s="53">
        <f>IF(P119="","",IF(P119="Gasto",S119,IF(P119="Reembolso",-S119,0)))</f>
        <v/>
      </c>
      <c r="V119" s="53">
        <f>IF(P119="","",IF(P119="Ingreso",S119,0))</f>
        <v/>
      </c>
      <c r="W119" s="53">
        <f>IF(P119="","",IF(P119="Resultado trading",S119,0))</f>
        <v/>
      </c>
      <c r="X119" s="52">
        <f>IF(OR(P119="Gasto",P119="Reembolso"),IF(M119&lt;&gt;"",M119,IFERROR(INDEX(catClasif,MATCH(D119&amp;"|"&amp;E119,catClave,0))&amp;"","Variable")),"")</f>
        <v/>
      </c>
      <c r="Y119" s="52">
        <f>IF(P119="","",IFERROR(INDEX(catGrupo,MATCH(D119&amp;"|"&amp;E119,catClave,0))&amp;"",""))</f>
        <v/>
      </c>
      <c r="Z119" s="52">
        <f>IF(P119="","",WEEKDAY(B119,2))</f>
        <v/>
      </c>
      <c r="AA119" s="52">
        <f>IF(P119="","",IF(AND(P119="Gasto",X119="Variable",D119&lt;&gt;catTrading,S119&gt;0,S119&lt;=Umbral),1,0))</f>
        <v/>
      </c>
      <c r="AB119" s="52">
        <f>IF(OR(P119="",Q119=""),"",IFERROR(IF(INDEX(ctaVinc,MATCH(Q119,ctaNombre,0))&amp;""&lt;&gt;"",INDEX(ctaVinc,MATCH(Q119,ctaNombre,0))&amp;"",Q119),Q119))</f>
        <v/>
      </c>
      <c r="AC119" s="52">
        <f>IF(OR(K119="",AND(P119&lt;&gt;"Transferencia",P119&lt;&gt;"Pago tarjeta")),"",IFERROR(IF(INDEX(ctaVinc,MATCH(K119,ctaNombre,0))&amp;""&lt;&gt;"",INDEX(ctaVinc,MATCH(K119,ctaNombre,0))&amp;"",K119),K119))</f>
        <v/>
      </c>
      <c r="AD119" s="52">
        <f>IF(AB119="","",IFERROR(INDEX(ctaTipo,MATCH(AB119,ctaNombre,0))&amp;"",""))</f>
        <v/>
      </c>
      <c r="AE119" s="52">
        <f>IF(AC119="","",IFERROR(INDEX(ctaTipo,MATCH(AC119,ctaNombre,0))&amp;"",""))</f>
        <v/>
      </c>
      <c r="AF119" s="53">
        <f>IF(OR(P119="",AB119=""),"",IF(OR(P119="Gasto",P119="Transferencia",P119="Pago tarjeta"),-1,1)*IF(IFERROR(INDEX(ctaMoneda,MATCH(AB119,ctaNombre,0))&amp;"","DOP")="USD",T119,S119))</f>
        <v/>
      </c>
      <c r="AG119" s="53">
        <f>IF(AC119="","",IF(IFERROR(INDEX(ctaMoneda,MATCH(AC119,ctaNombre,0))&amp;"","DOP")="USD",T119,S119))</f>
        <v/>
      </c>
      <c r="AH119" s="53">
        <f>IF(P119="","",IF(AND(AD119&lt;&gt;"",COUNTIFS(tcTipo,AD119,tcLiq,"Sí")&gt;0),IF(OR(P119="Gasto",P119="Transferencia",P119="Pago tarjeta"),-1,1)*S119,0)+IF(AND(AE119&lt;&gt;"",COUNTIFS(tcTipo,AE119,tcLiq,"Sí")&gt;0),S119,0))</f>
        <v/>
      </c>
      <c r="AI119" s="52">
        <f>IF(OR(L119="",P119=""),"",IF(COUNTIFS(L$6:L119,L119,P$6:P119,"?*")=1,MAX(AI$5:AI118)+1,""))</f>
        <v/>
      </c>
    </row>
    <row r="120">
      <c r="B120" s="47" t="n">
        <v>46282</v>
      </c>
      <c r="C120" s="48" t="inlineStr">
        <is>
          <t>Gasto</t>
        </is>
      </c>
      <c r="D120" s="48" t="inlineStr">
        <is>
          <t>Alimentación</t>
        </is>
      </c>
      <c r="E120" s="48" t="inlineStr">
        <is>
          <t>Desayunos comprados</t>
        </is>
      </c>
      <c r="F120" s="48" t="inlineStr">
        <is>
          <t>DEMO · Desayuno en la oficina</t>
        </is>
      </c>
      <c r="G120" s="49" t="n">
        <v>300</v>
      </c>
      <c r="H120" s="48" t="inlineStr">
        <is>
          <t>DOP</t>
        </is>
      </c>
      <c r="I120" s="50" t="n"/>
      <c r="J120" s="48" t="inlineStr">
        <is>
          <t>Efectivo</t>
        </is>
      </c>
      <c r="K120" s="48" t="n"/>
      <c r="L120" s="48" t="inlineStr">
        <is>
          <t>Cafetería del trabajo</t>
        </is>
      </c>
      <c r="M120" s="48" t="n"/>
      <c r="N120" s="48" t="inlineStr">
        <is>
          <t>DEMOSTRACIÓN</t>
        </is>
      </c>
      <c r="O120" s="51">
        <f>IF(AND(B120="",G120="",C120="",D120="",J120=""),"",IF(B120="","⚠ Falta fecha",IF(G120="","⚠ Falta monto",IF(Q120="","⚠ Falta cuenta",IF(ISNA(MATCH(Q120,ctaNombre,0)),"⚠ Cuenta no registrada",IF(AND(OR(P120="Gasto",P120="Reembolso"),D120=""),"⚠ Falta categoría",IF(AND(D120&lt;&gt;"",E120&lt;&gt;"",ISNA(MATCH(D120&amp;"|"&amp;E120,catClave,0))),"⚠ Subcategoría no corresponde",IF(AND(OR(P120="Transferencia",P120="Pago tarjeta"),K120=""),"⚠ Falta cuenta destino",IF(AND(K120&lt;&gt;"",P120&lt;&gt;"Transferencia",P120&lt;&gt;"Pago tarjeta"),"⚠ Destino solo aplica a transferencias",IF(AND(K120&lt;&gt;"",K120=Q120),"⚠ Origen igual a destino",IF(AND(K120&lt;&gt;"",ISNA(MATCH(K120,ctaNombre,0))),"⚠ Destino no registrado",IF(AND(P120="Pago tarjeta",AE120&lt;&gt;"Tarjeta de crédito"),"⚠ El destino debe ser tarjeta de crédito",IF(AND(P120="Gasto",E120="Depósitos y retiros"),"⚠ Usa tipo Transferencia",IF(AND(P120="Resultado trading",AD120&lt;&gt;"Cuenta de trading"),"⚠ Usa una cuenta de trading",IF(AND(G120&lt;=0,P120&lt;&gt;"Ajuste",P120&lt;&gt;"Resultado trading"),"⚠ El monto debe ser positivo","✓")))))))))))))))</f>
        <v/>
      </c>
      <c r="P120" s="52">
        <f>IF(OR(B120="",G120=""),"",IF(C120="","Gasto",C120))</f>
        <v/>
      </c>
      <c r="Q120" s="52">
        <f>IF(P120="","",IF(J120&lt;&gt;"",J120,CuentaPred&amp;""))</f>
        <v/>
      </c>
      <c r="R120" s="52">
        <f>IF(P120="","",IF(ISNUMBER(I120),I120,TasaUSD))</f>
        <v/>
      </c>
      <c r="S120" s="53">
        <f>IF(P120="","",IF(H120="USD",G120*R120,G120))</f>
        <v/>
      </c>
      <c r="T120" s="53">
        <f>IF(P120="","",IF(H120="USD",G120,IF(R120&gt;0,G120/R120,0)))</f>
        <v/>
      </c>
      <c r="U120" s="53">
        <f>IF(P120="","",IF(P120="Gasto",S120,IF(P120="Reembolso",-S120,0)))</f>
        <v/>
      </c>
      <c r="V120" s="53">
        <f>IF(P120="","",IF(P120="Ingreso",S120,0))</f>
        <v/>
      </c>
      <c r="W120" s="53">
        <f>IF(P120="","",IF(P120="Resultado trading",S120,0))</f>
        <v/>
      </c>
      <c r="X120" s="52">
        <f>IF(OR(P120="Gasto",P120="Reembolso"),IF(M120&lt;&gt;"",M120,IFERROR(INDEX(catClasif,MATCH(D120&amp;"|"&amp;E120,catClave,0))&amp;"","Variable")),"")</f>
        <v/>
      </c>
      <c r="Y120" s="52">
        <f>IF(P120="","",IFERROR(INDEX(catGrupo,MATCH(D120&amp;"|"&amp;E120,catClave,0))&amp;"",""))</f>
        <v/>
      </c>
      <c r="Z120" s="52">
        <f>IF(P120="","",WEEKDAY(B120,2))</f>
        <v/>
      </c>
      <c r="AA120" s="52">
        <f>IF(P120="","",IF(AND(P120="Gasto",X120="Variable",D120&lt;&gt;catTrading,S120&gt;0,S120&lt;=Umbral),1,0))</f>
        <v/>
      </c>
      <c r="AB120" s="52">
        <f>IF(OR(P120="",Q120=""),"",IFERROR(IF(INDEX(ctaVinc,MATCH(Q120,ctaNombre,0))&amp;""&lt;&gt;"",INDEX(ctaVinc,MATCH(Q120,ctaNombre,0))&amp;"",Q120),Q120))</f>
        <v/>
      </c>
      <c r="AC120" s="52">
        <f>IF(OR(K120="",AND(P120&lt;&gt;"Transferencia",P120&lt;&gt;"Pago tarjeta")),"",IFERROR(IF(INDEX(ctaVinc,MATCH(K120,ctaNombre,0))&amp;""&lt;&gt;"",INDEX(ctaVinc,MATCH(K120,ctaNombre,0))&amp;"",K120),K120))</f>
        <v/>
      </c>
      <c r="AD120" s="52">
        <f>IF(AB120="","",IFERROR(INDEX(ctaTipo,MATCH(AB120,ctaNombre,0))&amp;"",""))</f>
        <v/>
      </c>
      <c r="AE120" s="52">
        <f>IF(AC120="","",IFERROR(INDEX(ctaTipo,MATCH(AC120,ctaNombre,0))&amp;"",""))</f>
        <v/>
      </c>
      <c r="AF120" s="53">
        <f>IF(OR(P120="",AB120=""),"",IF(OR(P120="Gasto",P120="Transferencia",P120="Pago tarjeta"),-1,1)*IF(IFERROR(INDEX(ctaMoneda,MATCH(AB120,ctaNombre,0))&amp;"","DOP")="USD",T120,S120))</f>
        <v/>
      </c>
      <c r="AG120" s="53">
        <f>IF(AC120="","",IF(IFERROR(INDEX(ctaMoneda,MATCH(AC120,ctaNombre,0))&amp;"","DOP")="USD",T120,S120))</f>
        <v/>
      </c>
      <c r="AH120" s="53">
        <f>IF(P120="","",IF(AND(AD120&lt;&gt;"",COUNTIFS(tcTipo,AD120,tcLiq,"Sí")&gt;0),IF(OR(P120="Gasto",P120="Transferencia",P120="Pago tarjeta"),-1,1)*S120,0)+IF(AND(AE120&lt;&gt;"",COUNTIFS(tcTipo,AE120,tcLiq,"Sí")&gt;0),S120,0))</f>
        <v/>
      </c>
      <c r="AI120" s="52">
        <f>IF(OR(L120="",P120=""),"",IF(COUNTIFS(L$6:L120,L120,P$6:P120,"?*")=1,MAX(AI$5:AI119)+1,""))</f>
        <v/>
      </c>
    </row>
    <row r="121">
      <c r="B121" s="47" t="n">
        <v>46282</v>
      </c>
      <c r="C121" s="48" t="inlineStr">
        <is>
          <t>Gasto</t>
        </is>
      </c>
      <c r="D121" s="48" t="inlineStr">
        <is>
          <t>Alimentación</t>
        </is>
      </c>
      <c r="E121" s="48" t="inlineStr">
        <is>
          <t>Bebidas, snacks y otros consumos</t>
        </is>
      </c>
      <c r="F121" s="48" t="inlineStr">
        <is>
          <t>DEMO · Café</t>
        </is>
      </c>
      <c r="G121" s="49" t="n">
        <v>130</v>
      </c>
      <c r="H121" s="48" t="inlineStr">
        <is>
          <t>DOP</t>
        </is>
      </c>
      <c r="I121" s="50" t="n"/>
      <c r="J121" s="48" t="inlineStr">
        <is>
          <t>Billetera digital</t>
        </is>
      </c>
      <c r="K121" s="48" t="n"/>
      <c r="L121" s="48" t="inlineStr">
        <is>
          <t>Colmado del barrio</t>
        </is>
      </c>
      <c r="M121" s="48" t="n"/>
      <c r="N121" s="48" t="inlineStr">
        <is>
          <t>DEMOSTRACIÓN</t>
        </is>
      </c>
      <c r="O121" s="51">
        <f>IF(AND(B121="",G121="",C121="",D121="",J121=""),"",IF(B121="","⚠ Falta fecha",IF(G121="","⚠ Falta monto",IF(Q121="","⚠ Falta cuenta",IF(ISNA(MATCH(Q121,ctaNombre,0)),"⚠ Cuenta no registrada",IF(AND(OR(P121="Gasto",P121="Reembolso"),D121=""),"⚠ Falta categoría",IF(AND(D121&lt;&gt;"",E121&lt;&gt;"",ISNA(MATCH(D121&amp;"|"&amp;E121,catClave,0))),"⚠ Subcategoría no corresponde",IF(AND(OR(P121="Transferencia",P121="Pago tarjeta"),K121=""),"⚠ Falta cuenta destino",IF(AND(K121&lt;&gt;"",P121&lt;&gt;"Transferencia",P121&lt;&gt;"Pago tarjeta"),"⚠ Destino solo aplica a transferencias",IF(AND(K121&lt;&gt;"",K121=Q121),"⚠ Origen igual a destino",IF(AND(K121&lt;&gt;"",ISNA(MATCH(K121,ctaNombre,0))),"⚠ Destino no registrado",IF(AND(P121="Pago tarjeta",AE121&lt;&gt;"Tarjeta de crédito"),"⚠ El destino debe ser tarjeta de crédito",IF(AND(P121="Gasto",E121="Depósitos y retiros"),"⚠ Usa tipo Transferencia",IF(AND(P121="Resultado trading",AD121&lt;&gt;"Cuenta de trading"),"⚠ Usa una cuenta de trading",IF(AND(G121&lt;=0,P121&lt;&gt;"Ajuste",P121&lt;&gt;"Resultado trading"),"⚠ El monto debe ser positivo","✓")))))))))))))))</f>
        <v/>
      </c>
      <c r="P121" s="52">
        <f>IF(OR(B121="",G121=""),"",IF(C121="","Gasto",C121))</f>
        <v/>
      </c>
      <c r="Q121" s="52">
        <f>IF(P121="","",IF(J121&lt;&gt;"",J121,CuentaPred&amp;""))</f>
        <v/>
      </c>
      <c r="R121" s="52">
        <f>IF(P121="","",IF(ISNUMBER(I121),I121,TasaUSD))</f>
        <v/>
      </c>
      <c r="S121" s="53">
        <f>IF(P121="","",IF(H121="USD",G121*R121,G121))</f>
        <v/>
      </c>
      <c r="T121" s="53">
        <f>IF(P121="","",IF(H121="USD",G121,IF(R121&gt;0,G121/R121,0)))</f>
        <v/>
      </c>
      <c r="U121" s="53">
        <f>IF(P121="","",IF(P121="Gasto",S121,IF(P121="Reembolso",-S121,0)))</f>
        <v/>
      </c>
      <c r="V121" s="53">
        <f>IF(P121="","",IF(P121="Ingreso",S121,0))</f>
        <v/>
      </c>
      <c r="W121" s="53">
        <f>IF(P121="","",IF(P121="Resultado trading",S121,0))</f>
        <v/>
      </c>
      <c r="X121" s="52">
        <f>IF(OR(P121="Gasto",P121="Reembolso"),IF(M121&lt;&gt;"",M121,IFERROR(INDEX(catClasif,MATCH(D121&amp;"|"&amp;E121,catClave,0))&amp;"","Variable")),"")</f>
        <v/>
      </c>
      <c r="Y121" s="52">
        <f>IF(P121="","",IFERROR(INDEX(catGrupo,MATCH(D121&amp;"|"&amp;E121,catClave,0))&amp;"",""))</f>
        <v/>
      </c>
      <c r="Z121" s="52">
        <f>IF(P121="","",WEEKDAY(B121,2))</f>
        <v/>
      </c>
      <c r="AA121" s="52">
        <f>IF(P121="","",IF(AND(P121="Gasto",X121="Variable",D121&lt;&gt;catTrading,S121&gt;0,S121&lt;=Umbral),1,0))</f>
        <v/>
      </c>
      <c r="AB121" s="52">
        <f>IF(OR(P121="",Q121=""),"",IFERROR(IF(INDEX(ctaVinc,MATCH(Q121,ctaNombre,0))&amp;""&lt;&gt;"",INDEX(ctaVinc,MATCH(Q121,ctaNombre,0))&amp;"",Q121),Q121))</f>
        <v/>
      </c>
      <c r="AC121" s="52">
        <f>IF(OR(K121="",AND(P121&lt;&gt;"Transferencia",P121&lt;&gt;"Pago tarjeta")),"",IFERROR(IF(INDEX(ctaVinc,MATCH(K121,ctaNombre,0))&amp;""&lt;&gt;"",INDEX(ctaVinc,MATCH(K121,ctaNombre,0))&amp;"",K121),K121))</f>
        <v/>
      </c>
      <c r="AD121" s="52">
        <f>IF(AB121="","",IFERROR(INDEX(ctaTipo,MATCH(AB121,ctaNombre,0))&amp;"",""))</f>
        <v/>
      </c>
      <c r="AE121" s="52">
        <f>IF(AC121="","",IFERROR(INDEX(ctaTipo,MATCH(AC121,ctaNombre,0))&amp;"",""))</f>
        <v/>
      </c>
      <c r="AF121" s="53">
        <f>IF(OR(P121="",AB121=""),"",IF(OR(P121="Gasto",P121="Transferencia",P121="Pago tarjeta"),-1,1)*IF(IFERROR(INDEX(ctaMoneda,MATCH(AB121,ctaNombre,0))&amp;"","DOP")="USD",T121,S121))</f>
        <v/>
      </c>
      <c r="AG121" s="53">
        <f>IF(AC121="","",IF(IFERROR(INDEX(ctaMoneda,MATCH(AC121,ctaNombre,0))&amp;"","DOP")="USD",T121,S121))</f>
        <v/>
      </c>
      <c r="AH121" s="53">
        <f>IF(P121="","",IF(AND(AD121&lt;&gt;"",COUNTIFS(tcTipo,AD121,tcLiq,"Sí")&gt;0),IF(OR(P121="Gasto",P121="Transferencia",P121="Pago tarjeta"),-1,1)*S121,0)+IF(AND(AE121&lt;&gt;"",COUNTIFS(tcTipo,AE121,tcLiq,"Sí")&gt;0),S121,0))</f>
        <v/>
      </c>
      <c r="AI121" s="52">
        <f>IF(OR(L121="",P121=""),"",IF(COUNTIFS(L$6:L121,L121,P$6:P121,"?*")=1,MAX(AI$5:AI120)+1,""))</f>
        <v/>
      </c>
    </row>
    <row r="122">
      <c r="B122" s="47" t="n">
        <v>46282</v>
      </c>
      <c r="C122" s="48" t="inlineStr">
        <is>
          <t>Gasto</t>
        </is>
      </c>
      <c r="D122" s="48" t="inlineStr">
        <is>
          <t>Transporte y vehículo</t>
        </is>
      </c>
      <c r="E122" s="48" t="inlineStr">
        <is>
          <t>Parqueos y peajes</t>
        </is>
      </c>
      <c r="F122" s="48" t="inlineStr">
        <is>
          <t>DEMO · Parqueo</t>
        </is>
      </c>
      <c r="G122" s="49" t="n">
        <v>75</v>
      </c>
      <c r="H122" s="48" t="inlineStr">
        <is>
          <t>DOP</t>
        </is>
      </c>
      <c r="I122" s="50" t="n"/>
      <c r="J122" s="48" t="inlineStr">
        <is>
          <t>Efectivo</t>
        </is>
      </c>
      <c r="K122" s="48" t="n"/>
      <c r="L122" s="48" t="inlineStr">
        <is>
          <t>Parqueo centro</t>
        </is>
      </c>
      <c r="M122" s="48" t="n"/>
      <c r="N122" s="48" t="inlineStr">
        <is>
          <t>DEMOSTRACIÓN</t>
        </is>
      </c>
      <c r="O122" s="51">
        <f>IF(AND(B122="",G122="",C122="",D122="",J122=""),"",IF(B122="","⚠ Falta fecha",IF(G122="","⚠ Falta monto",IF(Q122="","⚠ Falta cuenta",IF(ISNA(MATCH(Q122,ctaNombre,0)),"⚠ Cuenta no registrada",IF(AND(OR(P122="Gasto",P122="Reembolso"),D122=""),"⚠ Falta categoría",IF(AND(D122&lt;&gt;"",E122&lt;&gt;"",ISNA(MATCH(D122&amp;"|"&amp;E122,catClave,0))),"⚠ Subcategoría no corresponde",IF(AND(OR(P122="Transferencia",P122="Pago tarjeta"),K122=""),"⚠ Falta cuenta destino",IF(AND(K122&lt;&gt;"",P122&lt;&gt;"Transferencia",P122&lt;&gt;"Pago tarjeta"),"⚠ Destino solo aplica a transferencias",IF(AND(K122&lt;&gt;"",K122=Q122),"⚠ Origen igual a destino",IF(AND(K122&lt;&gt;"",ISNA(MATCH(K122,ctaNombre,0))),"⚠ Destino no registrado",IF(AND(P122="Pago tarjeta",AE122&lt;&gt;"Tarjeta de crédito"),"⚠ El destino debe ser tarjeta de crédito",IF(AND(P122="Gasto",E122="Depósitos y retiros"),"⚠ Usa tipo Transferencia",IF(AND(P122="Resultado trading",AD122&lt;&gt;"Cuenta de trading"),"⚠ Usa una cuenta de trading",IF(AND(G122&lt;=0,P122&lt;&gt;"Ajuste",P122&lt;&gt;"Resultado trading"),"⚠ El monto debe ser positivo","✓")))))))))))))))</f>
        <v/>
      </c>
      <c r="P122" s="52">
        <f>IF(OR(B122="",G122=""),"",IF(C122="","Gasto",C122))</f>
        <v/>
      </c>
      <c r="Q122" s="52">
        <f>IF(P122="","",IF(J122&lt;&gt;"",J122,CuentaPred&amp;""))</f>
        <v/>
      </c>
      <c r="R122" s="52">
        <f>IF(P122="","",IF(ISNUMBER(I122),I122,TasaUSD))</f>
        <v/>
      </c>
      <c r="S122" s="53">
        <f>IF(P122="","",IF(H122="USD",G122*R122,G122))</f>
        <v/>
      </c>
      <c r="T122" s="53">
        <f>IF(P122="","",IF(H122="USD",G122,IF(R122&gt;0,G122/R122,0)))</f>
        <v/>
      </c>
      <c r="U122" s="53">
        <f>IF(P122="","",IF(P122="Gasto",S122,IF(P122="Reembolso",-S122,0)))</f>
        <v/>
      </c>
      <c r="V122" s="53">
        <f>IF(P122="","",IF(P122="Ingreso",S122,0))</f>
        <v/>
      </c>
      <c r="W122" s="53">
        <f>IF(P122="","",IF(P122="Resultado trading",S122,0))</f>
        <v/>
      </c>
      <c r="X122" s="52">
        <f>IF(OR(P122="Gasto",P122="Reembolso"),IF(M122&lt;&gt;"",M122,IFERROR(INDEX(catClasif,MATCH(D122&amp;"|"&amp;E122,catClave,0))&amp;"","Variable")),"")</f>
        <v/>
      </c>
      <c r="Y122" s="52">
        <f>IF(P122="","",IFERROR(INDEX(catGrupo,MATCH(D122&amp;"|"&amp;E122,catClave,0))&amp;"",""))</f>
        <v/>
      </c>
      <c r="Z122" s="52">
        <f>IF(P122="","",WEEKDAY(B122,2))</f>
        <v/>
      </c>
      <c r="AA122" s="52">
        <f>IF(P122="","",IF(AND(P122="Gasto",X122="Variable",D122&lt;&gt;catTrading,S122&gt;0,S122&lt;=Umbral),1,0))</f>
        <v/>
      </c>
      <c r="AB122" s="52">
        <f>IF(OR(P122="",Q122=""),"",IFERROR(IF(INDEX(ctaVinc,MATCH(Q122,ctaNombre,0))&amp;""&lt;&gt;"",INDEX(ctaVinc,MATCH(Q122,ctaNombre,0))&amp;"",Q122),Q122))</f>
        <v/>
      </c>
      <c r="AC122" s="52">
        <f>IF(OR(K122="",AND(P122&lt;&gt;"Transferencia",P122&lt;&gt;"Pago tarjeta")),"",IFERROR(IF(INDEX(ctaVinc,MATCH(K122,ctaNombre,0))&amp;""&lt;&gt;"",INDEX(ctaVinc,MATCH(K122,ctaNombre,0))&amp;"",K122),K122))</f>
        <v/>
      </c>
      <c r="AD122" s="52">
        <f>IF(AB122="","",IFERROR(INDEX(ctaTipo,MATCH(AB122,ctaNombre,0))&amp;"",""))</f>
        <v/>
      </c>
      <c r="AE122" s="52">
        <f>IF(AC122="","",IFERROR(INDEX(ctaTipo,MATCH(AC122,ctaNombre,0))&amp;"",""))</f>
        <v/>
      </c>
      <c r="AF122" s="53">
        <f>IF(OR(P122="",AB122=""),"",IF(OR(P122="Gasto",P122="Transferencia",P122="Pago tarjeta"),-1,1)*IF(IFERROR(INDEX(ctaMoneda,MATCH(AB122,ctaNombre,0))&amp;"","DOP")="USD",T122,S122))</f>
        <v/>
      </c>
      <c r="AG122" s="53">
        <f>IF(AC122="","",IF(IFERROR(INDEX(ctaMoneda,MATCH(AC122,ctaNombre,0))&amp;"","DOP")="USD",T122,S122))</f>
        <v/>
      </c>
      <c r="AH122" s="53">
        <f>IF(P122="","",IF(AND(AD122&lt;&gt;"",COUNTIFS(tcTipo,AD122,tcLiq,"Sí")&gt;0),IF(OR(P122="Gasto",P122="Transferencia",P122="Pago tarjeta"),-1,1)*S122,0)+IF(AND(AE122&lt;&gt;"",COUNTIFS(tcTipo,AE122,tcLiq,"Sí")&gt;0),S122,0))</f>
        <v/>
      </c>
      <c r="AI122" s="52">
        <f>IF(OR(L122="",P122=""),"",IF(COUNTIFS(L$6:L122,L122,P$6:P122,"?*")=1,MAX(AI$5:AI121)+1,""))</f>
        <v/>
      </c>
    </row>
    <row r="123">
      <c r="B123" s="47" t="n">
        <v>46282</v>
      </c>
      <c r="C123" s="48" t="inlineStr">
        <is>
          <t>Gasto</t>
        </is>
      </c>
      <c r="D123" s="48" t="inlineStr">
        <is>
          <t>Alimentación</t>
        </is>
      </c>
      <c r="E123" s="48" t="inlineStr">
        <is>
          <t>Cenas compradas</t>
        </is>
      </c>
      <c r="F123" s="48" t="inlineStr">
        <is>
          <t>DEMO · Cena comprada</t>
        </is>
      </c>
      <c r="G123" s="49" t="n">
        <v>650</v>
      </c>
      <c r="H123" s="48" t="inlineStr">
        <is>
          <t>DOP</t>
        </is>
      </c>
      <c r="I123" s="50" t="n"/>
      <c r="J123" s="48" t="inlineStr">
        <is>
          <t>Tarjeta de crédito</t>
        </is>
      </c>
      <c r="K123" s="48" t="n"/>
      <c r="L123" s="48" t="inlineStr">
        <is>
          <t>Pica pollo de la esquina</t>
        </is>
      </c>
      <c r="M123" s="48" t="n"/>
      <c r="N123" s="48" t="inlineStr">
        <is>
          <t>DEMOSTRACIÓN</t>
        </is>
      </c>
      <c r="O123" s="51">
        <f>IF(AND(B123="",G123="",C123="",D123="",J123=""),"",IF(B123="","⚠ Falta fecha",IF(G123="","⚠ Falta monto",IF(Q123="","⚠ Falta cuenta",IF(ISNA(MATCH(Q123,ctaNombre,0)),"⚠ Cuenta no registrada",IF(AND(OR(P123="Gasto",P123="Reembolso"),D123=""),"⚠ Falta categoría",IF(AND(D123&lt;&gt;"",E123&lt;&gt;"",ISNA(MATCH(D123&amp;"|"&amp;E123,catClave,0))),"⚠ Subcategoría no corresponde",IF(AND(OR(P123="Transferencia",P123="Pago tarjeta"),K123=""),"⚠ Falta cuenta destino",IF(AND(K123&lt;&gt;"",P123&lt;&gt;"Transferencia",P123&lt;&gt;"Pago tarjeta"),"⚠ Destino solo aplica a transferencias",IF(AND(K123&lt;&gt;"",K123=Q123),"⚠ Origen igual a destino",IF(AND(K123&lt;&gt;"",ISNA(MATCH(K123,ctaNombre,0))),"⚠ Destino no registrado",IF(AND(P123="Pago tarjeta",AE123&lt;&gt;"Tarjeta de crédito"),"⚠ El destino debe ser tarjeta de crédito",IF(AND(P123="Gasto",E123="Depósitos y retiros"),"⚠ Usa tipo Transferencia",IF(AND(P123="Resultado trading",AD123&lt;&gt;"Cuenta de trading"),"⚠ Usa una cuenta de trading",IF(AND(G123&lt;=0,P123&lt;&gt;"Ajuste",P123&lt;&gt;"Resultado trading"),"⚠ El monto debe ser positivo","✓")))))))))))))))</f>
        <v/>
      </c>
      <c r="P123" s="52">
        <f>IF(OR(B123="",G123=""),"",IF(C123="","Gasto",C123))</f>
        <v/>
      </c>
      <c r="Q123" s="52">
        <f>IF(P123="","",IF(J123&lt;&gt;"",J123,CuentaPred&amp;""))</f>
        <v/>
      </c>
      <c r="R123" s="52">
        <f>IF(P123="","",IF(ISNUMBER(I123),I123,TasaUSD))</f>
        <v/>
      </c>
      <c r="S123" s="53">
        <f>IF(P123="","",IF(H123="USD",G123*R123,G123))</f>
        <v/>
      </c>
      <c r="T123" s="53">
        <f>IF(P123="","",IF(H123="USD",G123,IF(R123&gt;0,G123/R123,0)))</f>
        <v/>
      </c>
      <c r="U123" s="53">
        <f>IF(P123="","",IF(P123="Gasto",S123,IF(P123="Reembolso",-S123,0)))</f>
        <v/>
      </c>
      <c r="V123" s="53">
        <f>IF(P123="","",IF(P123="Ingreso",S123,0))</f>
        <v/>
      </c>
      <c r="W123" s="53">
        <f>IF(P123="","",IF(P123="Resultado trading",S123,0))</f>
        <v/>
      </c>
      <c r="X123" s="52">
        <f>IF(OR(P123="Gasto",P123="Reembolso"),IF(M123&lt;&gt;"",M123,IFERROR(INDEX(catClasif,MATCH(D123&amp;"|"&amp;E123,catClave,0))&amp;"","Variable")),"")</f>
        <v/>
      </c>
      <c r="Y123" s="52">
        <f>IF(P123="","",IFERROR(INDEX(catGrupo,MATCH(D123&amp;"|"&amp;E123,catClave,0))&amp;"",""))</f>
        <v/>
      </c>
      <c r="Z123" s="52">
        <f>IF(P123="","",WEEKDAY(B123,2))</f>
        <v/>
      </c>
      <c r="AA123" s="52">
        <f>IF(P123="","",IF(AND(P123="Gasto",X123="Variable",D123&lt;&gt;catTrading,S123&gt;0,S123&lt;=Umbral),1,0))</f>
        <v/>
      </c>
      <c r="AB123" s="52">
        <f>IF(OR(P123="",Q123=""),"",IFERROR(IF(INDEX(ctaVinc,MATCH(Q123,ctaNombre,0))&amp;""&lt;&gt;"",INDEX(ctaVinc,MATCH(Q123,ctaNombre,0))&amp;"",Q123),Q123))</f>
        <v/>
      </c>
      <c r="AC123" s="52">
        <f>IF(OR(K123="",AND(P123&lt;&gt;"Transferencia",P123&lt;&gt;"Pago tarjeta")),"",IFERROR(IF(INDEX(ctaVinc,MATCH(K123,ctaNombre,0))&amp;""&lt;&gt;"",INDEX(ctaVinc,MATCH(K123,ctaNombre,0))&amp;"",K123),K123))</f>
        <v/>
      </c>
      <c r="AD123" s="52">
        <f>IF(AB123="","",IFERROR(INDEX(ctaTipo,MATCH(AB123,ctaNombre,0))&amp;"",""))</f>
        <v/>
      </c>
      <c r="AE123" s="52">
        <f>IF(AC123="","",IFERROR(INDEX(ctaTipo,MATCH(AC123,ctaNombre,0))&amp;"",""))</f>
        <v/>
      </c>
      <c r="AF123" s="53">
        <f>IF(OR(P123="",AB123=""),"",IF(OR(P123="Gasto",P123="Transferencia",P123="Pago tarjeta"),-1,1)*IF(IFERROR(INDEX(ctaMoneda,MATCH(AB123,ctaNombre,0))&amp;"","DOP")="USD",T123,S123))</f>
        <v/>
      </c>
      <c r="AG123" s="53">
        <f>IF(AC123="","",IF(IFERROR(INDEX(ctaMoneda,MATCH(AC123,ctaNombre,0))&amp;"","DOP")="USD",T123,S123))</f>
        <v/>
      </c>
      <c r="AH123" s="53">
        <f>IF(P123="","",IF(AND(AD123&lt;&gt;"",COUNTIFS(tcTipo,AD123,tcLiq,"Sí")&gt;0),IF(OR(P123="Gasto",P123="Transferencia",P123="Pago tarjeta"),-1,1)*S123,0)+IF(AND(AE123&lt;&gt;"",COUNTIFS(tcTipo,AE123,tcLiq,"Sí")&gt;0),S123,0))</f>
        <v/>
      </c>
      <c r="AI123" s="52">
        <f>IF(OR(L123="",P123=""),"",IF(COUNTIFS(L$6:L123,L123,P$6:P123,"?*")=1,MAX(AI$5:AI122)+1,""))</f>
        <v/>
      </c>
    </row>
    <row r="124">
      <c r="B124" s="47" t="n">
        <v>46283</v>
      </c>
      <c r="C124" s="48" t="inlineStr">
        <is>
          <t>Gasto</t>
        </is>
      </c>
      <c r="D124" s="48" t="inlineStr">
        <is>
          <t>Alimentación</t>
        </is>
      </c>
      <c r="E124" s="48" t="inlineStr">
        <is>
          <t>Almuerzos laborales</t>
        </is>
      </c>
      <c r="F124" s="48" t="inlineStr">
        <is>
          <t>DEMO · Almuerzo laboral</t>
        </is>
      </c>
      <c r="G124" s="49" t="n">
        <v>550</v>
      </c>
      <c r="H124" s="48" t="inlineStr">
        <is>
          <t>DOP</t>
        </is>
      </c>
      <c r="I124" s="50" t="n"/>
      <c r="J124" s="48" t="inlineStr">
        <is>
          <t>Billetera digital</t>
        </is>
      </c>
      <c r="K124" s="48" t="n"/>
      <c r="L124" s="48" t="inlineStr">
        <is>
          <t>Comedor ejecutivo</t>
        </is>
      </c>
      <c r="M124" s="48" t="n"/>
      <c r="N124" s="48" t="inlineStr">
        <is>
          <t>DEMOSTRACIÓN</t>
        </is>
      </c>
      <c r="O124" s="51">
        <f>IF(AND(B124="",G124="",C124="",D124="",J124=""),"",IF(B124="","⚠ Falta fecha",IF(G124="","⚠ Falta monto",IF(Q124="","⚠ Falta cuenta",IF(ISNA(MATCH(Q124,ctaNombre,0)),"⚠ Cuenta no registrada",IF(AND(OR(P124="Gasto",P124="Reembolso"),D124=""),"⚠ Falta categoría",IF(AND(D124&lt;&gt;"",E124&lt;&gt;"",ISNA(MATCH(D124&amp;"|"&amp;E124,catClave,0))),"⚠ Subcategoría no corresponde",IF(AND(OR(P124="Transferencia",P124="Pago tarjeta"),K124=""),"⚠ Falta cuenta destino",IF(AND(K124&lt;&gt;"",P124&lt;&gt;"Transferencia",P124&lt;&gt;"Pago tarjeta"),"⚠ Destino solo aplica a transferencias",IF(AND(K124&lt;&gt;"",K124=Q124),"⚠ Origen igual a destino",IF(AND(K124&lt;&gt;"",ISNA(MATCH(K124,ctaNombre,0))),"⚠ Destino no registrado",IF(AND(P124="Pago tarjeta",AE124&lt;&gt;"Tarjeta de crédito"),"⚠ El destino debe ser tarjeta de crédito",IF(AND(P124="Gasto",E124="Depósitos y retiros"),"⚠ Usa tipo Transferencia",IF(AND(P124="Resultado trading",AD124&lt;&gt;"Cuenta de trading"),"⚠ Usa una cuenta de trading",IF(AND(G124&lt;=0,P124&lt;&gt;"Ajuste",P124&lt;&gt;"Resultado trading"),"⚠ El monto debe ser positivo","✓")))))))))))))))</f>
        <v/>
      </c>
      <c r="P124" s="52">
        <f>IF(OR(B124="",G124=""),"",IF(C124="","Gasto",C124))</f>
        <v/>
      </c>
      <c r="Q124" s="52">
        <f>IF(P124="","",IF(J124&lt;&gt;"",J124,CuentaPred&amp;""))</f>
        <v/>
      </c>
      <c r="R124" s="52">
        <f>IF(P124="","",IF(ISNUMBER(I124),I124,TasaUSD))</f>
        <v/>
      </c>
      <c r="S124" s="53">
        <f>IF(P124="","",IF(H124="USD",G124*R124,G124))</f>
        <v/>
      </c>
      <c r="T124" s="53">
        <f>IF(P124="","",IF(H124="USD",G124,IF(R124&gt;0,G124/R124,0)))</f>
        <v/>
      </c>
      <c r="U124" s="53">
        <f>IF(P124="","",IF(P124="Gasto",S124,IF(P124="Reembolso",-S124,0)))</f>
        <v/>
      </c>
      <c r="V124" s="53">
        <f>IF(P124="","",IF(P124="Ingreso",S124,0))</f>
        <v/>
      </c>
      <c r="W124" s="53">
        <f>IF(P124="","",IF(P124="Resultado trading",S124,0))</f>
        <v/>
      </c>
      <c r="X124" s="52">
        <f>IF(OR(P124="Gasto",P124="Reembolso"),IF(M124&lt;&gt;"",M124,IFERROR(INDEX(catClasif,MATCH(D124&amp;"|"&amp;E124,catClave,0))&amp;"","Variable")),"")</f>
        <v/>
      </c>
      <c r="Y124" s="52">
        <f>IF(P124="","",IFERROR(INDEX(catGrupo,MATCH(D124&amp;"|"&amp;E124,catClave,0))&amp;"",""))</f>
        <v/>
      </c>
      <c r="Z124" s="52">
        <f>IF(P124="","",WEEKDAY(B124,2))</f>
        <v/>
      </c>
      <c r="AA124" s="52">
        <f>IF(P124="","",IF(AND(P124="Gasto",X124="Variable",D124&lt;&gt;catTrading,S124&gt;0,S124&lt;=Umbral),1,0))</f>
        <v/>
      </c>
      <c r="AB124" s="52">
        <f>IF(OR(P124="",Q124=""),"",IFERROR(IF(INDEX(ctaVinc,MATCH(Q124,ctaNombre,0))&amp;""&lt;&gt;"",INDEX(ctaVinc,MATCH(Q124,ctaNombre,0))&amp;"",Q124),Q124))</f>
        <v/>
      </c>
      <c r="AC124" s="52">
        <f>IF(OR(K124="",AND(P124&lt;&gt;"Transferencia",P124&lt;&gt;"Pago tarjeta")),"",IFERROR(IF(INDEX(ctaVinc,MATCH(K124,ctaNombre,0))&amp;""&lt;&gt;"",INDEX(ctaVinc,MATCH(K124,ctaNombre,0))&amp;"",K124),K124))</f>
        <v/>
      </c>
      <c r="AD124" s="52">
        <f>IF(AB124="","",IFERROR(INDEX(ctaTipo,MATCH(AB124,ctaNombre,0))&amp;"",""))</f>
        <v/>
      </c>
      <c r="AE124" s="52">
        <f>IF(AC124="","",IFERROR(INDEX(ctaTipo,MATCH(AC124,ctaNombre,0))&amp;"",""))</f>
        <v/>
      </c>
      <c r="AF124" s="53">
        <f>IF(OR(P124="",AB124=""),"",IF(OR(P124="Gasto",P124="Transferencia",P124="Pago tarjeta"),-1,1)*IF(IFERROR(INDEX(ctaMoneda,MATCH(AB124,ctaNombre,0))&amp;"","DOP")="USD",T124,S124))</f>
        <v/>
      </c>
      <c r="AG124" s="53">
        <f>IF(AC124="","",IF(IFERROR(INDEX(ctaMoneda,MATCH(AC124,ctaNombre,0))&amp;"","DOP")="USD",T124,S124))</f>
        <v/>
      </c>
      <c r="AH124" s="53">
        <f>IF(P124="","",IF(AND(AD124&lt;&gt;"",COUNTIFS(tcTipo,AD124,tcLiq,"Sí")&gt;0),IF(OR(P124="Gasto",P124="Transferencia",P124="Pago tarjeta"),-1,1)*S124,0)+IF(AND(AE124&lt;&gt;"",COUNTIFS(tcTipo,AE124,tcLiq,"Sí")&gt;0),S124,0))</f>
        <v/>
      </c>
      <c r="AI124" s="52">
        <f>IF(OR(L124="",P124=""),"",IF(COUNTIFS(L$6:L124,L124,P$6:P124,"?*")=1,MAX(AI$5:AI123)+1,""))</f>
        <v/>
      </c>
    </row>
    <row r="125">
      <c r="B125" s="47" t="n">
        <v>46283</v>
      </c>
      <c r="C125" s="48" t="inlineStr">
        <is>
          <t>Gasto</t>
        </is>
      </c>
      <c r="D125" s="48" t="inlineStr">
        <is>
          <t>Alimentación</t>
        </is>
      </c>
      <c r="E125" s="48" t="inlineStr">
        <is>
          <t>Bebidas, snacks y otros consumos</t>
        </is>
      </c>
      <c r="F125" s="48" t="inlineStr">
        <is>
          <t>DEMO · Jugo y galletas</t>
        </is>
      </c>
      <c r="G125" s="49" t="n">
        <v>210</v>
      </c>
      <c r="H125" s="48" t="inlineStr">
        <is>
          <t>DOP</t>
        </is>
      </c>
      <c r="I125" s="50" t="n"/>
      <c r="J125" s="48" t="inlineStr">
        <is>
          <t>Billetera digital</t>
        </is>
      </c>
      <c r="K125" s="48" t="n"/>
      <c r="L125" s="48" t="inlineStr">
        <is>
          <t>Cafetería del trabajo</t>
        </is>
      </c>
      <c r="M125" s="48" t="n"/>
      <c r="N125" s="48" t="inlineStr">
        <is>
          <t>DEMOSTRACIÓN</t>
        </is>
      </c>
      <c r="O125" s="51">
        <f>IF(AND(B125="",G125="",C125="",D125="",J125=""),"",IF(B125="","⚠ Falta fecha",IF(G125="","⚠ Falta monto",IF(Q125="","⚠ Falta cuenta",IF(ISNA(MATCH(Q125,ctaNombre,0)),"⚠ Cuenta no registrada",IF(AND(OR(P125="Gasto",P125="Reembolso"),D125=""),"⚠ Falta categoría",IF(AND(D125&lt;&gt;"",E125&lt;&gt;"",ISNA(MATCH(D125&amp;"|"&amp;E125,catClave,0))),"⚠ Subcategoría no corresponde",IF(AND(OR(P125="Transferencia",P125="Pago tarjeta"),K125=""),"⚠ Falta cuenta destino",IF(AND(K125&lt;&gt;"",P125&lt;&gt;"Transferencia",P125&lt;&gt;"Pago tarjeta"),"⚠ Destino solo aplica a transferencias",IF(AND(K125&lt;&gt;"",K125=Q125),"⚠ Origen igual a destino",IF(AND(K125&lt;&gt;"",ISNA(MATCH(K125,ctaNombre,0))),"⚠ Destino no registrado",IF(AND(P125="Pago tarjeta",AE125&lt;&gt;"Tarjeta de crédito"),"⚠ El destino debe ser tarjeta de crédito",IF(AND(P125="Gasto",E125="Depósitos y retiros"),"⚠ Usa tipo Transferencia",IF(AND(P125="Resultado trading",AD125&lt;&gt;"Cuenta de trading"),"⚠ Usa una cuenta de trading",IF(AND(G125&lt;=0,P125&lt;&gt;"Ajuste",P125&lt;&gt;"Resultado trading"),"⚠ El monto debe ser positivo","✓")))))))))))))))</f>
        <v/>
      </c>
      <c r="P125" s="52">
        <f>IF(OR(B125="",G125=""),"",IF(C125="","Gasto",C125))</f>
        <v/>
      </c>
      <c r="Q125" s="52">
        <f>IF(P125="","",IF(J125&lt;&gt;"",J125,CuentaPred&amp;""))</f>
        <v/>
      </c>
      <c r="R125" s="52">
        <f>IF(P125="","",IF(ISNUMBER(I125),I125,TasaUSD))</f>
        <v/>
      </c>
      <c r="S125" s="53">
        <f>IF(P125="","",IF(H125="USD",G125*R125,G125))</f>
        <v/>
      </c>
      <c r="T125" s="53">
        <f>IF(P125="","",IF(H125="USD",G125,IF(R125&gt;0,G125/R125,0)))</f>
        <v/>
      </c>
      <c r="U125" s="53">
        <f>IF(P125="","",IF(P125="Gasto",S125,IF(P125="Reembolso",-S125,0)))</f>
        <v/>
      </c>
      <c r="V125" s="53">
        <f>IF(P125="","",IF(P125="Ingreso",S125,0))</f>
        <v/>
      </c>
      <c r="W125" s="53">
        <f>IF(P125="","",IF(P125="Resultado trading",S125,0))</f>
        <v/>
      </c>
      <c r="X125" s="52">
        <f>IF(OR(P125="Gasto",P125="Reembolso"),IF(M125&lt;&gt;"",M125,IFERROR(INDEX(catClasif,MATCH(D125&amp;"|"&amp;E125,catClave,0))&amp;"","Variable")),"")</f>
        <v/>
      </c>
      <c r="Y125" s="52">
        <f>IF(P125="","",IFERROR(INDEX(catGrupo,MATCH(D125&amp;"|"&amp;E125,catClave,0))&amp;"",""))</f>
        <v/>
      </c>
      <c r="Z125" s="52">
        <f>IF(P125="","",WEEKDAY(B125,2))</f>
        <v/>
      </c>
      <c r="AA125" s="52">
        <f>IF(P125="","",IF(AND(P125="Gasto",X125="Variable",D125&lt;&gt;catTrading,S125&gt;0,S125&lt;=Umbral),1,0))</f>
        <v/>
      </c>
      <c r="AB125" s="52">
        <f>IF(OR(P125="",Q125=""),"",IFERROR(IF(INDEX(ctaVinc,MATCH(Q125,ctaNombre,0))&amp;""&lt;&gt;"",INDEX(ctaVinc,MATCH(Q125,ctaNombre,0))&amp;"",Q125),Q125))</f>
        <v/>
      </c>
      <c r="AC125" s="52">
        <f>IF(OR(K125="",AND(P125&lt;&gt;"Transferencia",P125&lt;&gt;"Pago tarjeta")),"",IFERROR(IF(INDEX(ctaVinc,MATCH(K125,ctaNombre,0))&amp;""&lt;&gt;"",INDEX(ctaVinc,MATCH(K125,ctaNombre,0))&amp;"",K125),K125))</f>
        <v/>
      </c>
      <c r="AD125" s="52">
        <f>IF(AB125="","",IFERROR(INDEX(ctaTipo,MATCH(AB125,ctaNombre,0))&amp;"",""))</f>
        <v/>
      </c>
      <c r="AE125" s="52">
        <f>IF(AC125="","",IFERROR(INDEX(ctaTipo,MATCH(AC125,ctaNombre,0))&amp;"",""))</f>
        <v/>
      </c>
      <c r="AF125" s="53">
        <f>IF(OR(P125="",AB125=""),"",IF(OR(P125="Gasto",P125="Transferencia",P125="Pago tarjeta"),-1,1)*IF(IFERROR(INDEX(ctaMoneda,MATCH(AB125,ctaNombre,0))&amp;"","DOP")="USD",T125,S125))</f>
        <v/>
      </c>
      <c r="AG125" s="53">
        <f>IF(AC125="","",IF(IFERROR(INDEX(ctaMoneda,MATCH(AC125,ctaNombre,0))&amp;"","DOP")="USD",T125,S125))</f>
        <v/>
      </c>
      <c r="AH125" s="53">
        <f>IF(P125="","",IF(AND(AD125&lt;&gt;"",COUNTIFS(tcTipo,AD125,tcLiq,"Sí")&gt;0),IF(OR(P125="Gasto",P125="Transferencia",P125="Pago tarjeta"),-1,1)*S125,0)+IF(AND(AE125&lt;&gt;"",COUNTIFS(tcTipo,AE125,tcLiq,"Sí")&gt;0),S125,0))</f>
        <v/>
      </c>
      <c r="AI125" s="52">
        <f>IF(OR(L125="",P125=""),"",IF(COUNTIFS(L$6:L125,L125,P$6:P125,"?*")=1,MAX(AI$5:AI124)+1,""))</f>
        <v/>
      </c>
    </row>
    <row r="126">
      <c r="B126" s="47" t="n">
        <v>46283</v>
      </c>
      <c r="C126" s="48" t="inlineStr">
        <is>
          <t>Gasto</t>
        </is>
      </c>
      <c r="D126" s="48" t="inlineStr">
        <is>
          <t>Alimentación</t>
        </is>
      </c>
      <c r="E126" s="48" t="inlineStr">
        <is>
          <t>Delivery</t>
        </is>
      </c>
      <c r="F126" s="48" t="inlineStr">
        <is>
          <t>DEMO · Pedido a domicilio</t>
        </is>
      </c>
      <c r="G126" s="49" t="n">
        <v>800</v>
      </c>
      <c r="H126" s="48" t="inlineStr">
        <is>
          <t>DOP</t>
        </is>
      </c>
      <c r="I126" s="50" t="n"/>
      <c r="J126" s="48" t="inlineStr">
        <is>
          <t>Tarjeta de crédito</t>
        </is>
      </c>
      <c r="K126" s="48" t="n"/>
      <c r="L126" s="48" t="inlineStr">
        <is>
          <t>App de delivery</t>
        </is>
      </c>
      <c r="M126" s="48" t="n"/>
      <c r="N126" s="48" t="inlineStr">
        <is>
          <t>DEMOSTRACIÓN</t>
        </is>
      </c>
      <c r="O126" s="51">
        <f>IF(AND(B126="",G126="",C126="",D126="",J126=""),"",IF(B126="","⚠ Falta fecha",IF(G126="","⚠ Falta monto",IF(Q126="","⚠ Falta cuenta",IF(ISNA(MATCH(Q126,ctaNombre,0)),"⚠ Cuenta no registrada",IF(AND(OR(P126="Gasto",P126="Reembolso"),D126=""),"⚠ Falta categoría",IF(AND(D126&lt;&gt;"",E126&lt;&gt;"",ISNA(MATCH(D126&amp;"|"&amp;E126,catClave,0))),"⚠ Subcategoría no corresponde",IF(AND(OR(P126="Transferencia",P126="Pago tarjeta"),K126=""),"⚠ Falta cuenta destino",IF(AND(K126&lt;&gt;"",P126&lt;&gt;"Transferencia",P126&lt;&gt;"Pago tarjeta"),"⚠ Destino solo aplica a transferencias",IF(AND(K126&lt;&gt;"",K126=Q126),"⚠ Origen igual a destino",IF(AND(K126&lt;&gt;"",ISNA(MATCH(K126,ctaNombre,0))),"⚠ Destino no registrado",IF(AND(P126="Pago tarjeta",AE126&lt;&gt;"Tarjeta de crédito"),"⚠ El destino debe ser tarjeta de crédito",IF(AND(P126="Gasto",E126="Depósitos y retiros"),"⚠ Usa tipo Transferencia",IF(AND(P126="Resultado trading",AD126&lt;&gt;"Cuenta de trading"),"⚠ Usa una cuenta de trading",IF(AND(G126&lt;=0,P126&lt;&gt;"Ajuste",P126&lt;&gt;"Resultado trading"),"⚠ El monto debe ser positivo","✓")))))))))))))))</f>
        <v/>
      </c>
      <c r="P126" s="52">
        <f>IF(OR(B126="",G126=""),"",IF(C126="","Gasto",C126))</f>
        <v/>
      </c>
      <c r="Q126" s="52">
        <f>IF(P126="","",IF(J126&lt;&gt;"",J126,CuentaPred&amp;""))</f>
        <v/>
      </c>
      <c r="R126" s="52">
        <f>IF(P126="","",IF(ISNUMBER(I126),I126,TasaUSD))</f>
        <v/>
      </c>
      <c r="S126" s="53">
        <f>IF(P126="","",IF(H126="USD",G126*R126,G126))</f>
        <v/>
      </c>
      <c r="T126" s="53">
        <f>IF(P126="","",IF(H126="USD",G126,IF(R126&gt;0,G126/R126,0)))</f>
        <v/>
      </c>
      <c r="U126" s="53">
        <f>IF(P126="","",IF(P126="Gasto",S126,IF(P126="Reembolso",-S126,0)))</f>
        <v/>
      </c>
      <c r="V126" s="53">
        <f>IF(P126="","",IF(P126="Ingreso",S126,0))</f>
        <v/>
      </c>
      <c r="W126" s="53">
        <f>IF(P126="","",IF(P126="Resultado trading",S126,0))</f>
        <v/>
      </c>
      <c r="X126" s="52">
        <f>IF(OR(P126="Gasto",P126="Reembolso"),IF(M126&lt;&gt;"",M126,IFERROR(INDEX(catClasif,MATCH(D126&amp;"|"&amp;E126,catClave,0))&amp;"","Variable")),"")</f>
        <v/>
      </c>
      <c r="Y126" s="52">
        <f>IF(P126="","",IFERROR(INDEX(catGrupo,MATCH(D126&amp;"|"&amp;E126,catClave,0))&amp;"",""))</f>
        <v/>
      </c>
      <c r="Z126" s="52">
        <f>IF(P126="","",WEEKDAY(B126,2))</f>
        <v/>
      </c>
      <c r="AA126" s="52">
        <f>IF(P126="","",IF(AND(P126="Gasto",X126="Variable",D126&lt;&gt;catTrading,S126&gt;0,S126&lt;=Umbral),1,0))</f>
        <v/>
      </c>
      <c r="AB126" s="52">
        <f>IF(OR(P126="",Q126=""),"",IFERROR(IF(INDEX(ctaVinc,MATCH(Q126,ctaNombre,0))&amp;""&lt;&gt;"",INDEX(ctaVinc,MATCH(Q126,ctaNombre,0))&amp;"",Q126),Q126))</f>
        <v/>
      </c>
      <c r="AC126" s="52">
        <f>IF(OR(K126="",AND(P126&lt;&gt;"Transferencia",P126&lt;&gt;"Pago tarjeta")),"",IFERROR(IF(INDEX(ctaVinc,MATCH(K126,ctaNombre,0))&amp;""&lt;&gt;"",INDEX(ctaVinc,MATCH(K126,ctaNombre,0))&amp;"",K126),K126))</f>
        <v/>
      </c>
      <c r="AD126" s="52">
        <f>IF(AB126="","",IFERROR(INDEX(ctaTipo,MATCH(AB126,ctaNombre,0))&amp;"",""))</f>
        <v/>
      </c>
      <c r="AE126" s="52">
        <f>IF(AC126="","",IFERROR(INDEX(ctaTipo,MATCH(AC126,ctaNombre,0))&amp;"",""))</f>
        <v/>
      </c>
      <c r="AF126" s="53">
        <f>IF(OR(P126="",AB126=""),"",IF(OR(P126="Gasto",P126="Transferencia",P126="Pago tarjeta"),-1,1)*IF(IFERROR(INDEX(ctaMoneda,MATCH(AB126,ctaNombre,0))&amp;"","DOP")="USD",T126,S126))</f>
        <v/>
      </c>
      <c r="AG126" s="53">
        <f>IF(AC126="","",IF(IFERROR(INDEX(ctaMoneda,MATCH(AC126,ctaNombre,0))&amp;"","DOP")="USD",T126,S126))</f>
        <v/>
      </c>
      <c r="AH126" s="53">
        <f>IF(P126="","",IF(AND(AD126&lt;&gt;"",COUNTIFS(tcTipo,AD126,tcLiq,"Sí")&gt;0),IF(OR(P126="Gasto",P126="Transferencia",P126="Pago tarjeta"),-1,1)*S126,0)+IF(AND(AE126&lt;&gt;"",COUNTIFS(tcTipo,AE126,tcLiq,"Sí")&gt;0),S126,0))</f>
        <v/>
      </c>
      <c r="AI126" s="52">
        <f>IF(OR(L126="",P126=""),"",IF(COUNTIFS(L$6:L126,L126,P$6:P126,"?*")=1,MAX(AI$5:AI125)+1,""))</f>
        <v/>
      </c>
    </row>
    <row r="127">
      <c r="B127" s="47" t="n">
        <v>46283</v>
      </c>
      <c r="C127" s="48" t="inlineStr">
        <is>
          <t>Gasto</t>
        </is>
      </c>
      <c r="D127" s="48" t="inlineStr">
        <is>
          <t>Tecnología y suscripciones</t>
        </is>
      </c>
      <c r="E127" s="48" t="inlineStr">
        <is>
          <t>Entretenimiento</t>
        </is>
      </c>
      <c r="F127" s="48" t="inlineStr">
        <is>
          <t>DEMO · Streaming de video</t>
        </is>
      </c>
      <c r="G127" s="49" t="n">
        <v>10.99</v>
      </c>
      <c r="H127" s="48" t="inlineStr">
        <is>
          <t>USD</t>
        </is>
      </c>
      <c r="I127" s="50" t="n"/>
      <c r="J127" s="48" t="inlineStr">
        <is>
          <t>Tarjeta de crédito</t>
        </is>
      </c>
      <c r="K127" s="48" t="n"/>
      <c r="L127" s="48" t="inlineStr">
        <is>
          <t>Streaming</t>
        </is>
      </c>
      <c r="M127" s="48" t="n"/>
      <c r="N127" s="48" t="inlineStr">
        <is>
          <t>DEMOSTRACIÓN</t>
        </is>
      </c>
      <c r="O127" s="51">
        <f>IF(AND(B127="",G127="",C127="",D127="",J127=""),"",IF(B127="","⚠ Falta fecha",IF(G127="","⚠ Falta monto",IF(Q127="","⚠ Falta cuenta",IF(ISNA(MATCH(Q127,ctaNombre,0)),"⚠ Cuenta no registrada",IF(AND(OR(P127="Gasto",P127="Reembolso"),D127=""),"⚠ Falta categoría",IF(AND(D127&lt;&gt;"",E127&lt;&gt;"",ISNA(MATCH(D127&amp;"|"&amp;E127,catClave,0))),"⚠ Subcategoría no corresponde",IF(AND(OR(P127="Transferencia",P127="Pago tarjeta"),K127=""),"⚠ Falta cuenta destino",IF(AND(K127&lt;&gt;"",P127&lt;&gt;"Transferencia",P127&lt;&gt;"Pago tarjeta"),"⚠ Destino solo aplica a transferencias",IF(AND(K127&lt;&gt;"",K127=Q127),"⚠ Origen igual a destino",IF(AND(K127&lt;&gt;"",ISNA(MATCH(K127,ctaNombre,0))),"⚠ Destino no registrado",IF(AND(P127="Pago tarjeta",AE127&lt;&gt;"Tarjeta de crédito"),"⚠ El destino debe ser tarjeta de crédito",IF(AND(P127="Gasto",E127="Depósitos y retiros"),"⚠ Usa tipo Transferencia",IF(AND(P127="Resultado trading",AD127&lt;&gt;"Cuenta de trading"),"⚠ Usa una cuenta de trading",IF(AND(G127&lt;=0,P127&lt;&gt;"Ajuste",P127&lt;&gt;"Resultado trading"),"⚠ El monto debe ser positivo","✓")))))))))))))))</f>
        <v/>
      </c>
      <c r="P127" s="52">
        <f>IF(OR(B127="",G127=""),"",IF(C127="","Gasto",C127))</f>
        <v/>
      </c>
      <c r="Q127" s="52">
        <f>IF(P127="","",IF(J127&lt;&gt;"",J127,CuentaPred&amp;""))</f>
        <v/>
      </c>
      <c r="R127" s="52">
        <f>IF(P127="","",IF(ISNUMBER(I127),I127,TasaUSD))</f>
        <v/>
      </c>
      <c r="S127" s="53">
        <f>IF(P127="","",IF(H127="USD",G127*R127,G127))</f>
        <v/>
      </c>
      <c r="T127" s="53">
        <f>IF(P127="","",IF(H127="USD",G127,IF(R127&gt;0,G127/R127,0)))</f>
        <v/>
      </c>
      <c r="U127" s="53">
        <f>IF(P127="","",IF(P127="Gasto",S127,IF(P127="Reembolso",-S127,0)))</f>
        <v/>
      </c>
      <c r="V127" s="53">
        <f>IF(P127="","",IF(P127="Ingreso",S127,0))</f>
        <v/>
      </c>
      <c r="W127" s="53">
        <f>IF(P127="","",IF(P127="Resultado trading",S127,0))</f>
        <v/>
      </c>
      <c r="X127" s="52">
        <f>IF(OR(P127="Gasto",P127="Reembolso"),IF(M127&lt;&gt;"",M127,IFERROR(INDEX(catClasif,MATCH(D127&amp;"|"&amp;E127,catClave,0))&amp;"","Variable")),"")</f>
        <v/>
      </c>
      <c r="Y127" s="52">
        <f>IF(P127="","",IFERROR(INDEX(catGrupo,MATCH(D127&amp;"|"&amp;E127,catClave,0))&amp;"",""))</f>
        <v/>
      </c>
      <c r="Z127" s="52">
        <f>IF(P127="","",WEEKDAY(B127,2))</f>
        <v/>
      </c>
      <c r="AA127" s="52">
        <f>IF(P127="","",IF(AND(P127="Gasto",X127="Variable",D127&lt;&gt;catTrading,S127&gt;0,S127&lt;=Umbral),1,0))</f>
        <v/>
      </c>
      <c r="AB127" s="52">
        <f>IF(OR(P127="",Q127=""),"",IFERROR(IF(INDEX(ctaVinc,MATCH(Q127,ctaNombre,0))&amp;""&lt;&gt;"",INDEX(ctaVinc,MATCH(Q127,ctaNombre,0))&amp;"",Q127),Q127))</f>
        <v/>
      </c>
      <c r="AC127" s="52">
        <f>IF(OR(K127="",AND(P127&lt;&gt;"Transferencia",P127&lt;&gt;"Pago tarjeta")),"",IFERROR(IF(INDEX(ctaVinc,MATCH(K127,ctaNombre,0))&amp;""&lt;&gt;"",INDEX(ctaVinc,MATCH(K127,ctaNombre,0))&amp;"",K127),K127))</f>
        <v/>
      </c>
      <c r="AD127" s="52">
        <f>IF(AB127="","",IFERROR(INDEX(ctaTipo,MATCH(AB127,ctaNombre,0))&amp;"",""))</f>
        <v/>
      </c>
      <c r="AE127" s="52">
        <f>IF(AC127="","",IFERROR(INDEX(ctaTipo,MATCH(AC127,ctaNombre,0))&amp;"",""))</f>
        <v/>
      </c>
      <c r="AF127" s="53">
        <f>IF(OR(P127="",AB127=""),"",IF(OR(P127="Gasto",P127="Transferencia",P127="Pago tarjeta"),-1,1)*IF(IFERROR(INDEX(ctaMoneda,MATCH(AB127,ctaNombre,0))&amp;"","DOP")="USD",T127,S127))</f>
        <v/>
      </c>
      <c r="AG127" s="53">
        <f>IF(AC127="","",IF(IFERROR(INDEX(ctaMoneda,MATCH(AC127,ctaNombre,0))&amp;"","DOP")="USD",T127,S127))</f>
        <v/>
      </c>
      <c r="AH127" s="53">
        <f>IF(P127="","",IF(AND(AD127&lt;&gt;"",COUNTIFS(tcTipo,AD127,tcLiq,"Sí")&gt;0),IF(OR(P127="Gasto",P127="Transferencia",P127="Pago tarjeta"),-1,1)*S127,0)+IF(AND(AE127&lt;&gt;"",COUNTIFS(tcTipo,AE127,tcLiq,"Sí")&gt;0),S127,0))</f>
        <v/>
      </c>
      <c r="AI127" s="52">
        <f>IF(OR(L127="",P127=""),"",IF(COUNTIFS(L$6:L127,L127,P$6:P127,"?*")=1,MAX(AI$5:AI126)+1,""))</f>
        <v/>
      </c>
    </row>
    <row r="128">
      <c r="B128" s="47" t="n">
        <v>46284</v>
      </c>
      <c r="C128" s="48" t="inlineStr">
        <is>
          <t>Gasto</t>
        </is>
      </c>
      <c r="D128" s="48" t="inlineStr">
        <is>
          <t>Alimentación</t>
        </is>
      </c>
      <c r="E128" s="48" t="inlineStr">
        <is>
          <t>Restaurantes</t>
        </is>
      </c>
      <c r="F128" s="48" t="inlineStr">
        <is>
          <t>DEMO · Almuerzo de fin de semana</t>
        </is>
      </c>
      <c r="G128" s="49" t="n">
        <v>2500</v>
      </c>
      <c r="H128" s="48" t="inlineStr">
        <is>
          <t>DOP</t>
        </is>
      </c>
      <c r="I128" s="50" t="n"/>
      <c r="J128" s="48" t="inlineStr">
        <is>
          <t>Tarjeta de crédito</t>
        </is>
      </c>
      <c r="K128" s="48" t="n"/>
      <c r="L128" s="48" t="inlineStr">
        <is>
          <t>Restaurante del malecón</t>
        </is>
      </c>
      <c r="M128" s="48" t="n"/>
      <c r="N128" s="48" t="inlineStr">
        <is>
          <t>DEMOSTRACIÓN</t>
        </is>
      </c>
      <c r="O128" s="51">
        <f>IF(AND(B128="",G128="",C128="",D128="",J128=""),"",IF(B128="","⚠ Falta fecha",IF(G128="","⚠ Falta monto",IF(Q128="","⚠ Falta cuenta",IF(ISNA(MATCH(Q128,ctaNombre,0)),"⚠ Cuenta no registrada",IF(AND(OR(P128="Gasto",P128="Reembolso"),D128=""),"⚠ Falta categoría",IF(AND(D128&lt;&gt;"",E128&lt;&gt;"",ISNA(MATCH(D128&amp;"|"&amp;E128,catClave,0))),"⚠ Subcategoría no corresponde",IF(AND(OR(P128="Transferencia",P128="Pago tarjeta"),K128=""),"⚠ Falta cuenta destino",IF(AND(K128&lt;&gt;"",P128&lt;&gt;"Transferencia",P128&lt;&gt;"Pago tarjeta"),"⚠ Destino solo aplica a transferencias",IF(AND(K128&lt;&gt;"",K128=Q128),"⚠ Origen igual a destino",IF(AND(K128&lt;&gt;"",ISNA(MATCH(K128,ctaNombre,0))),"⚠ Destino no registrado",IF(AND(P128="Pago tarjeta",AE128&lt;&gt;"Tarjeta de crédito"),"⚠ El destino debe ser tarjeta de crédito",IF(AND(P128="Gasto",E128="Depósitos y retiros"),"⚠ Usa tipo Transferencia",IF(AND(P128="Resultado trading",AD128&lt;&gt;"Cuenta de trading"),"⚠ Usa una cuenta de trading",IF(AND(G128&lt;=0,P128&lt;&gt;"Ajuste",P128&lt;&gt;"Resultado trading"),"⚠ El monto debe ser positivo","✓")))))))))))))))</f>
        <v/>
      </c>
      <c r="P128" s="52">
        <f>IF(OR(B128="",G128=""),"",IF(C128="","Gasto",C128))</f>
        <v/>
      </c>
      <c r="Q128" s="52">
        <f>IF(P128="","",IF(J128&lt;&gt;"",J128,CuentaPred&amp;""))</f>
        <v/>
      </c>
      <c r="R128" s="52">
        <f>IF(P128="","",IF(ISNUMBER(I128),I128,TasaUSD))</f>
        <v/>
      </c>
      <c r="S128" s="53">
        <f>IF(P128="","",IF(H128="USD",G128*R128,G128))</f>
        <v/>
      </c>
      <c r="T128" s="53">
        <f>IF(P128="","",IF(H128="USD",G128,IF(R128&gt;0,G128/R128,0)))</f>
        <v/>
      </c>
      <c r="U128" s="53">
        <f>IF(P128="","",IF(P128="Gasto",S128,IF(P128="Reembolso",-S128,0)))</f>
        <v/>
      </c>
      <c r="V128" s="53">
        <f>IF(P128="","",IF(P128="Ingreso",S128,0))</f>
        <v/>
      </c>
      <c r="W128" s="53">
        <f>IF(P128="","",IF(P128="Resultado trading",S128,0))</f>
        <v/>
      </c>
      <c r="X128" s="52">
        <f>IF(OR(P128="Gasto",P128="Reembolso"),IF(M128&lt;&gt;"",M128,IFERROR(INDEX(catClasif,MATCH(D128&amp;"|"&amp;E128,catClave,0))&amp;"","Variable")),"")</f>
        <v/>
      </c>
      <c r="Y128" s="52">
        <f>IF(P128="","",IFERROR(INDEX(catGrupo,MATCH(D128&amp;"|"&amp;E128,catClave,0))&amp;"",""))</f>
        <v/>
      </c>
      <c r="Z128" s="52">
        <f>IF(P128="","",WEEKDAY(B128,2))</f>
        <v/>
      </c>
      <c r="AA128" s="52">
        <f>IF(P128="","",IF(AND(P128="Gasto",X128="Variable",D128&lt;&gt;catTrading,S128&gt;0,S128&lt;=Umbral),1,0))</f>
        <v/>
      </c>
      <c r="AB128" s="52">
        <f>IF(OR(P128="",Q128=""),"",IFERROR(IF(INDEX(ctaVinc,MATCH(Q128,ctaNombre,0))&amp;""&lt;&gt;"",INDEX(ctaVinc,MATCH(Q128,ctaNombre,0))&amp;"",Q128),Q128))</f>
        <v/>
      </c>
      <c r="AC128" s="52">
        <f>IF(OR(K128="",AND(P128&lt;&gt;"Transferencia",P128&lt;&gt;"Pago tarjeta")),"",IFERROR(IF(INDEX(ctaVinc,MATCH(K128,ctaNombre,0))&amp;""&lt;&gt;"",INDEX(ctaVinc,MATCH(K128,ctaNombre,0))&amp;"",K128),K128))</f>
        <v/>
      </c>
      <c r="AD128" s="52">
        <f>IF(AB128="","",IFERROR(INDEX(ctaTipo,MATCH(AB128,ctaNombre,0))&amp;"",""))</f>
        <v/>
      </c>
      <c r="AE128" s="52">
        <f>IF(AC128="","",IFERROR(INDEX(ctaTipo,MATCH(AC128,ctaNombre,0))&amp;"",""))</f>
        <v/>
      </c>
      <c r="AF128" s="53">
        <f>IF(OR(P128="",AB128=""),"",IF(OR(P128="Gasto",P128="Transferencia",P128="Pago tarjeta"),-1,1)*IF(IFERROR(INDEX(ctaMoneda,MATCH(AB128,ctaNombre,0))&amp;"","DOP")="USD",T128,S128))</f>
        <v/>
      </c>
      <c r="AG128" s="53">
        <f>IF(AC128="","",IF(IFERROR(INDEX(ctaMoneda,MATCH(AC128,ctaNombre,0))&amp;"","DOP")="USD",T128,S128))</f>
        <v/>
      </c>
      <c r="AH128" s="53">
        <f>IF(P128="","",IF(AND(AD128&lt;&gt;"",COUNTIFS(tcTipo,AD128,tcLiq,"Sí")&gt;0),IF(OR(P128="Gasto",P128="Transferencia",P128="Pago tarjeta"),-1,1)*S128,0)+IF(AND(AE128&lt;&gt;"",COUNTIFS(tcTipo,AE128,tcLiq,"Sí")&gt;0),S128,0))</f>
        <v/>
      </c>
      <c r="AI128" s="52">
        <f>IF(OR(L128="",P128=""),"",IF(COUNTIFS(L$6:L128,L128,P$6:P128,"?*")=1,MAX(AI$5:AI127)+1,""))</f>
        <v/>
      </c>
    </row>
    <row r="129">
      <c r="B129" s="47" t="n">
        <v>46285</v>
      </c>
      <c r="C129" s="48" t="inlineStr">
        <is>
          <t>Gasto</t>
        </is>
      </c>
      <c r="D129" s="48" t="inlineStr">
        <is>
          <t>Boda</t>
        </is>
      </c>
      <c r="E129" s="48" t="inlineStr">
        <is>
          <t>Proveedores</t>
        </is>
      </c>
      <c r="F129" s="48" t="inlineStr">
        <is>
          <t>DEMO · Abono a proveedor de la boda</t>
        </is>
      </c>
      <c r="G129" s="49" t="n">
        <v>15000</v>
      </c>
      <c r="H129" s="48" t="inlineStr">
        <is>
          <t>DOP</t>
        </is>
      </c>
      <c r="I129" s="50" t="n"/>
      <c r="J129" s="48" t="inlineStr">
        <is>
          <t>Banco principal</t>
        </is>
      </c>
      <c r="K129" s="48" t="n"/>
      <c r="L129" s="48" t="inlineStr">
        <is>
          <t>Proveedor boda</t>
        </is>
      </c>
      <c r="M129" s="48" t="n"/>
      <c r="N129" s="48" t="inlineStr">
        <is>
          <t>DEMOSTRACIÓN</t>
        </is>
      </c>
      <c r="O129" s="51">
        <f>IF(AND(B129="",G129="",C129="",D129="",J129=""),"",IF(B129="","⚠ Falta fecha",IF(G129="","⚠ Falta monto",IF(Q129="","⚠ Falta cuenta",IF(ISNA(MATCH(Q129,ctaNombre,0)),"⚠ Cuenta no registrada",IF(AND(OR(P129="Gasto",P129="Reembolso"),D129=""),"⚠ Falta categoría",IF(AND(D129&lt;&gt;"",E129&lt;&gt;"",ISNA(MATCH(D129&amp;"|"&amp;E129,catClave,0))),"⚠ Subcategoría no corresponde",IF(AND(OR(P129="Transferencia",P129="Pago tarjeta"),K129=""),"⚠ Falta cuenta destino",IF(AND(K129&lt;&gt;"",P129&lt;&gt;"Transferencia",P129&lt;&gt;"Pago tarjeta"),"⚠ Destino solo aplica a transferencias",IF(AND(K129&lt;&gt;"",K129=Q129),"⚠ Origen igual a destino",IF(AND(K129&lt;&gt;"",ISNA(MATCH(K129,ctaNombre,0))),"⚠ Destino no registrado",IF(AND(P129="Pago tarjeta",AE129&lt;&gt;"Tarjeta de crédito"),"⚠ El destino debe ser tarjeta de crédito",IF(AND(P129="Gasto",E129="Depósitos y retiros"),"⚠ Usa tipo Transferencia",IF(AND(P129="Resultado trading",AD129&lt;&gt;"Cuenta de trading"),"⚠ Usa una cuenta de trading",IF(AND(G129&lt;=0,P129&lt;&gt;"Ajuste",P129&lt;&gt;"Resultado trading"),"⚠ El monto debe ser positivo","✓")))))))))))))))</f>
        <v/>
      </c>
      <c r="P129" s="52">
        <f>IF(OR(B129="",G129=""),"",IF(C129="","Gasto",C129))</f>
        <v/>
      </c>
      <c r="Q129" s="52">
        <f>IF(P129="","",IF(J129&lt;&gt;"",J129,CuentaPred&amp;""))</f>
        <v/>
      </c>
      <c r="R129" s="52">
        <f>IF(P129="","",IF(ISNUMBER(I129),I129,TasaUSD))</f>
        <v/>
      </c>
      <c r="S129" s="53">
        <f>IF(P129="","",IF(H129="USD",G129*R129,G129))</f>
        <v/>
      </c>
      <c r="T129" s="53">
        <f>IF(P129="","",IF(H129="USD",G129,IF(R129&gt;0,G129/R129,0)))</f>
        <v/>
      </c>
      <c r="U129" s="53">
        <f>IF(P129="","",IF(P129="Gasto",S129,IF(P129="Reembolso",-S129,0)))</f>
        <v/>
      </c>
      <c r="V129" s="53">
        <f>IF(P129="","",IF(P129="Ingreso",S129,0))</f>
        <v/>
      </c>
      <c r="W129" s="53">
        <f>IF(P129="","",IF(P129="Resultado trading",S129,0))</f>
        <v/>
      </c>
      <c r="X129" s="52">
        <f>IF(OR(P129="Gasto",P129="Reembolso"),IF(M129&lt;&gt;"",M129,IFERROR(INDEX(catClasif,MATCH(D129&amp;"|"&amp;E129,catClave,0))&amp;"","Variable")),"")</f>
        <v/>
      </c>
      <c r="Y129" s="52">
        <f>IF(P129="","",IFERROR(INDEX(catGrupo,MATCH(D129&amp;"|"&amp;E129,catClave,0))&amp;"",""))</f>
        <v/>
      </c>
      <c r="Z129" s="52">
        <f>IF(P129="","",WEEKDAY(B129,2))</f>
        <v/>
      </c>
      <c r="AA129" s="52">
        <f>IF(P129="","",IF(AND(P129="Gasto",X129="Variable",D129&lt;&gt;catTrading,S129&gt;0,S129&lt;=Umbral),1,0))</f>
        <v/>
      </c>
      <c r="AB129" s="52">
        <f>IF(OR(P129="",Q129=""),"",IFERROR(IF(INDEX(ctaVinc,MATCH(Q129,ctaNombre,0))&amp;""&lt;&gt;"",INDEX(ctaVinc,MATCH(Q129,ctaNombre,0))&amp;"",Q129),Q129))</f>
        <v/>
      </c>
      <c r="AC129" s="52">
        <f>IF(OR(K129="",AND(P129&lt;&gt;"Transferencia",P129&lt;&gt;"Pago tarjeta")),"",IFERROR(IF(INDEX(ctaVinc,MATCH(K129,ctaNombre,0))&amp;""&lt;&gt;"",INDEX(ctaVinc,MATCH(K129,ctaNombre,0))&amp;"",K129),K129))</f>
        <v/>
      </c>
      <c r="AD129" s="52">
        <f>IF(AB129="","",IFERROR(INDEX(ctaTipo,MATCH(AB129,ctaNombre,0))&amp;"",""))</f>
        <v/>
      </c>
      <c r="AE129" s="52">
        <f>IF(AC129="","",IFERROR(INDEX(ctaTipo,MATCH(AC129,ctaNombre,0))&amp;"",""))</f>
        <v/>
      </c>
      <c r="AF129" s="53">
        <f>IF(OR(P129="",AB129=""),"",IF(OR(P129="Gasto",P129="Transferencia",P129="Pago tarjeta"),-1,1)*IF(IFERROR(INDEX(ctaMoneda,MATCH(AB129,ctaNombre,0))&amp;"","DOP")="USD",T129,S129))</f>
        <v/>
      </c>
      <c r="AG129" s="53">
        <f>IF(AC129="","",IF(IFERROR(INDEX(ctaMoneda,MATCH(AC129,ctaNombre,0))&amp;"","DOP")="USD",T129,S129))</f>
        <v/>
      </c>
      <c r="AH129" s="53">
        <f>IF(P129="","",IF(AND(AD129&lt;&gt;"",COUNTIFS(tcTipo,AD129,tcLiq,"Sí")&gt;0),IF(OR(P129="Gasto",P129="Transferencia",P129="Pago tarjeta"),-1,1)*S129,0)+IF(AND(AE129&lt;&gt;"",COUNTIFS(tcTipo,AE129,tcLiq,"Sí")&gt;0),S129,0))</f>
        <v/>
      </c>
      <c r="AI129" s="52">
        <f>IF(OR(L129="",P129=""),"",IF(COUNTIFS(L$6:L129,L129,P$6:P129,"?*")=1,MAX(AI$5:AI128)+1,""))</f>
        <v/>
      </c>
    </row>
    <row r="130">
      <c r="B130" s="47" t="n">
        <v>46286</v>
      </c>
      <c r="C130" s="48" t="inlineStr">
        <is>
          <t>Gasto</t>
        </is>
      </c>
      <c r="D130" s="48" t="inlineStr">
        <is>
          <t>Alimentación</t>
        </is>
      </c>
      <c r="E130" s="48" t="inlineStr">
        <is>
          <t>Bebidas, snacks y otros consumos</t>
        </is>
      </c>
      <c r="F130" s="48" t="inlineStr">
        <is>
          <t>DEMO · Snack de la tarde</t>
        </is>
      </c>
      <c r="G130" s="49" t="n">
        <v>210</v>
      </c>
      <c r="H130" s="48" t="inlineStr">
        <is>
          <t>DOP</t>
        </is>
      </c>
      <c r="I130" s="50" t="n"/>
      <c r="J130" s="48" t="inlineStr">
        <is>
          <t>Efectivo</t>
        </is>
      </c>
      <c r="K130" s="48" t="n"/>
      <c r="L130" s="48" t="inlineStr">
        <is>
          <t>Colmado del barrio</t>
        </is>
      </c>
      <c r="M130" s="48" t="n"/>
      <c r="N130" s="48" t="inlineStr">
        <is>
          <t>DEMOSTRACIÓN</t>
        </is>
      </c>
      <c r="O130" s="51">
        <f>IF(AND(B130="",G130="",C130="",D130="",J130=""),"",IF(B130="","⚠ Falta fecha",IF(G130="","⚠ Falta monto",IF(Q130="","⚠ Falta cuenta",IF(ISNA(MATCH(Q130,ctaNombre,0)),"⚠ Cuenta no registrada",IF(AND(OR(P130="Gasto",P130="Reembolso"),D130=""),"⚠ Falta categoría",IF(AND(D130&lt;&gt;"",E130&lt;&gt;"",ISNA(MATCH(D130&amp;"|"&amp;E130,catClave,0))),"⚠ Subcategoría no corresponde",IF(AND(OR(P130="Transferencia",P130="Pago tarjeta"),K130=""),"⚠ Falta cuenta destino",IF(AND(K130&lt;&gt;"",P130&lt;&gt;"Transferencia",P130&lt;&gt;"Pago tarjeta"),"⚠ Destino solo aplica a transferencias",IF(AND(K130&lt;&gt;"",K130=Q130),"⚠ Origen igual a destino",IF(AND(K130&lt;&gt;"",ISNA(MATCH(K130,ctaNombre,0))),"⚠ Destino no registrado",IF(AND(P130="Pago tarjeta",AE130&lt;&gt;"Tarjeta de crédito"),"⚠ El destino debe ser tarjeta de crédito",IF(AND(P130="Gasto",E130="Depósitos y retiros"),"⚠ Usa tipo Transferencia",IF(AND(P130="Resultado trading",AD130&lt;&gt;"Cuenta de trading"),"⚠ Usa una cuenta de trading",IF(AND(G130&lt;=0,P130&lt;&gt;"Ajuste",P130&lt;&gt;"Resultado trading"),"⚠ El monto debe ser positivo","✓")))))))))))))))</f>
        <v/>
      </c>
      <c r="P130" s="52">
        <f>IF(OR(B130="",G130=""),"",IF(C130="","Gasto",C130))</f>
        <v/>
      </c>
      <c r="Q130" s="52">
        <f>IF(P130="","",IF(J130&lt;&gt;"",J130,CuentaPred&amp;""))</f>
        <v/>
      </c>
      <c r="R130" s="52">
        <f>IF(P130="","",IF(ISNUMBER(I130),I130,TasaUSD))</f>
        <v/>
      </c>
      <c r="S130" s="53">
        <f>IF(P130="","",IF(H130="USD",G130*R130,G130))</f>
        <v/>
      </c>
      <c r="T130" s="53">
        <f>IF(P130="","",IF(H130="USD",G130,IF(R130&gt;0,G130/R130,0)))</f>
        <v/>
      </c>
      <c r="U130" s="53">
        <f>IF(P130="","",IF(P130="Gasto",S130,IF(P130="Reembolso",-S130,0)))</f>
        <v/>
      </c>
      <c r="V130" s="53">
        <f>IF(P130="","",IF(P130="Ingreso",S130,0))</f>
        <v/>
      </c>
      <c r="W130" s="53">
        <f>IF(P130="","",IF(P130="Resultado trading",S130,0))</f>
        <v/>
      </c>
      <c r="X130" s="52">
        <f>IF(OR(P130="Gasto",P130="Reembolso"),IF(M130&lt;&gt;"",M130,IFERROR(INDEX(catClasif,MATCH(D130&amp;"|"&amp;E130,catClave,0))&amp;"","Variable")),"")</f>
        <v/>
      </c>
      <c r="Y130" s="52">
        <f>IF(P130="","",IFERROR(INDEX(catGrupo,MATCH(D130&amp;"|"&amp;E130,catClave,0))&amp;"",""))</f>
        <v/>
      </c>
      <c r="Z130" s="52">
        <f>IF(P130="","",WEEKDAY(B130,2))</f>
        <v/>
      </c>
      <c r="AA130" s="52">
        <f>IF(P130="","",IF(AND(P130="Gasto",X130="Variable",D130&lt;&gt;catTrading,S130&gt;0,S130&lt;=Umbral),1,0))</f>
        <v/>
      </c>
      <c r="AB130" s="52">
        <f>IF(OR(P130="",Q130=""),"",IFERROR(IF(INDEX(ctaVinc,MATCH(Q130,ctaNombre,0))&amp;""&lt;&gt;"",INDEX(ctaVinc,MATCH(Q130,ctaNombre,0))&amp;"",Q130),Q130))</f>
        <v/>
      </c>
      <c r="AC130" s="52">
        <f>IF(OR(K130="",AND(P130&lt;&gt;"Transferencia",P130&lt;&gt;"Pago tarjeta")),"",IFERROR(IF(INDEX(ctaVinc,MATCH(K130,ctaNombre,0))&amp;""&lt;&gt;"",INDEX(ctaVinc,MATCH(K130,ctaNombre,0))&amp;"",K130),K130))</f>
        <v/>
      </c>
      <c r="AD130" s="52">
        <f>IF(AB130="","",IFERROR(INDEX(ctaTipo,MATCH(AB130,ctaNombre,0))&amp;"",""))</f>
        <v/>
      </c>
      <c r="AE130" s="52">
        <f>IF(AC130="","",IFERROR(INDEX(ctaTipo,MATCH(AC130,ctaNombre,0))&amp;"",""))</f>
        <v/>
      </c>
      <c r="AF130" s="53">
        <f>IF(OR(P130="",AB130=""),"",IF(OR(P130="Gasto",P130="Transferencia",P130="Pago tarjeta"),-1,1)*IF(IFERROR(INDEX(ctaMoneda,MATCH(AB130,ctaNombre,0))&amp;"","DOP")="USD",T130,S130))</f>
        <v/>
      </c>
      <c r="AG130" s="53">
        <f>IF(AC130="","",IF(IFERROR(INDEX(ctaMoneda,MATCH(AC130,ctaNombre,0))&amp;"","DOP")="USD",T130,S130))</f>
        <v/>
      </c>
      <c r="AH130" s="53">
        <f>IF(P130="","",IF(AND(AD130&lt;&gt;"",COUNTIFS(tcTipo,AD130,tcLiq,"Sí")&gt;0),IF(OR(P130="Gasto",P130="Transferencia",P130="Pago tarjeta"),-1,1)*S130,0)+IF(AND(AE130&lt;&gt;"",COUNTIFS(tcTipo,AE130,tcLiq,"Sí")&gt;0),S130,0))</f>
        <v/>
      </c>
      <c r="AI130" s="52">
        <f>IF(OR(L130="",P130=""),"",IF(COUNTIFS(L$6:L130,L130,P$6:P130,"?*")=1,MAX(AI$5:AI129)+1,""))</f>
        <v/>
      </c>
    </row>
    <row r="131">
      <c r="B131" s="47" t="n">
        <v>46286</v>
      </c>
      <c r="C131" s="48" t="inlineStr">
        <is>
          <t>Gasto</t>
        </is>
      </c>
      <c r="D131" s="48" t="inlineStr">
        <is>
          <t>Transporte y vehículo</t>
        </is>
      </c>
      <c r="E131" s="48" t="inlineStr">
        <is>
          <t>Combustible</t>
        </is>
      </c>
      <c r="F131" s="48" t="inlineStr">
        <is>
          <t>DEMO · Combustible</t>
        </is>
      </c>
      <c r="G131" s="49" t="n">
        <v>2300</v>
      </c>
      <c r="H131" s="48" t="inlineStr">
        <is>
          <t>DOP</t>
        </is>
      </c>
      <c r="I131" s="50" t="n"/>
      <c r="J131" s="48" t="inlineStr">
        <is>
          <t>Tarjeta de crédito</t>
        </is>
      </c>
      <c r="K131" s="48" t="n"/>
      <c r="L131" s="48" t="inlineStr">
        <is>
          <t>Estación de combustible</t>
        </is>
      </c>
      <c r="M131" s="48" t="n"/>
      <c r="N131" s="48" t="inlineStr">
        <is>
          <t>DEMOSTRACIÓN</t>
        </is>
      </c>
      <c r="O131" s="51">
        <f>IF(AND(B131="",G131="",C131="",D131="",J131=""),"",IF(B131="","⚠ Falta fecha",IF(G131="","⚠ Falta monto",IF(Q131="","⚠ Falta cuenta",IF(ISNA(MATCH(Q131,ctaNombre,0)),"⚠ Cuenta no registrada",IF(AND(OR(P131="Gasto",P131="Reembolso"),D131=""),"⚠ Falta categoría",IF(AND(D131&lt;&gt;"",E131&lt;&gt;"",ISNA(MATCH(D131&amp;"|"&amp;E131,catClave,0))),"⚠ Subcategoría no corresponde",IF(AND(OR(P131="Transferencia",P131="Pago tarjeta"),K131=""),"⚠ Falta cuenta destino",IF(AND(K131&lt;&gt;"",P131&lt;&gt;"Transferencia",P131&lt;&gt;"Pago tarjeta"),"⚠ Destino solo aplica a transferencias",IF(AND(K131&lt;&gt;"",K131=Q131),"⚠ Origen igual a destino",IF(AND(K131&lt;&gt;"",ISNA(MATCH(K131,ctaNombre,0))),"⚠ Destino no registrado",IF(AND(P131="Pago tarjeta",AE131&lt;&gt;"Tarjeta de crédito"),"⚠ El destino debe ser tarjeta de crédito",IF(AND(P131="Gasto",E131="Depósitos y retiros"),"⚠ Usa tipo Transferencia",IF(AND(P131="Resultado trading",AD131&lt;&gt;"Cuenta de trading"),"⚠ Usa una cuenta de trading",IF(AND(G131&lt;=0,P131&lt;&gt;"Ajuste",P131&lt;&gt;"Resultado trading"),"⚠ El monto debe ser positivo","✓")))))))))))))))</f>
        <v/>
      </c>
      <c r="P131" s="52">
        <f>IF(OR(B131="",G131=""),"",IF(C131="","Gasto",C131))</f>
        <v/>
      </c>
      <c r="Q131" s="52">
        <f>IF(P131="","",IF(J131&lt;&gt;"",J131,CuentaPred&amp;""))</f>
        <v/>
      </c>
      <c r="R131" s="52">
        <f>IF(P131="","",IF(ISNUMBER(I131),I131,TasaUSD))</f>
        <v/>
      </c>
      <c r="S131" s="53">
        <f>IF(P131="","",IF(H131="USD",G131*R131,G131))</f>
        <v/>
      </c>
      <c r="T131" s="53">
        <f>IF(P131="","",IF(H131="USD",G131,IF(R131&gt;0,G131/R131,0)))</f>
        <v/>
      </c>
      <c r="U131" s="53">
        <f>IF(P131="","",IF(P131="Gasto",S131,IF(P131="Reembolso",-S131,0)))</f>
        <v/>
      </c>
      <c r="V131" s="53">
        <f>IF(P131="","",IF(P131="Ingreso",S131,0))</f>
        <v/>
      </c>
      <c r="W131" s="53">
        <f>IF(P131="","",IF(P131="Resultado trading",S131,0))</f>
        <v/>
      </c>
      <c r="X131" s="52">
        <f>IF(OR(P131="Gasto",P131="Reembolso"),IF(M131&lt;&gt;"",M131,IFERROR(INDEX(catClasif,MATCH(D131&amp;"|"&amp;E131,catClave,0))&amp;"","Variable")),"")</f>
        <v/>
      </c>
      <c r="Y131" s="52">
        <f>IF(P131="","",IFERROR(INDEX(catGrupo,MATCH(D131&amp;"|"&amp;E131,catClave,0))&amp;"",""))</f>
        <v/>
      </c>
      <c r="Z131" s="52">
        <f>IF(P131="","",WEEKDAY(B131,2))</f>
        <v/>
      </c>
      <c r="AA131" s="52">
        <f>IF(P131="","",IF(AND(P131="Gasto",X131="Variable",D131&lt;&gt;catTrading,S131&gt;0,S131&lt;=Umbral),1,0))</f>
        <v/>
      </c>
      <c r="AB131" s="52">
        <f>IF(OR(P131="",Q131=""),"",IFERROR(IF(INDEX(ctaVinc,MATCH(Q131,ctaNombre,0))&amp;""&lt;&gt;"",INDEX(ctaVinc,MATCH(Q131,ctaNombre,0))&amp;"",Q131),Q131))</f>
        <v/>
      </c>
      <c r="AC131" s="52">
        <f>IF(OR(K131="",AND(P131&lt;&gt;"Transferencia",P131&lt;&gt;"Pago tarjeta")),"",IFERROR(IF(INDEX(ctaVinc,MATCH(K131,ctaNombre,0))&amp;""&lt;&gt;"",INDEX(ctaVinc,MATCH(K131,ctaNombre,0))&amp;"",K131),K131))</f>
        <v/>
      </c>
      <c r="AD131" s="52">
        <f>IF(AB131="","",IFERROR(INDEX(ctaTipo,MATCH(AB131,ctaNombre,0))&amp;"",""))</f>
        <v/>
      </c>
      <c r="AE131" s="52">
        <f>IF(AC131="","",IFERROR(INDEX(ctaTipo,MATCH(AC131,ctaNombre,0))&amp;"",""))</f>
        <v/>
      </c>
      <c r="AF131" s="53">
        <f>IF(OR(P131="",AB131=""),"",IF(OR(P131="Gasto",P131="Transferencia",P131="Pago tarjeta"),-1,1)*IF(IFERROR(INDEX(ctaMoneda,MATCH(AB131,ctaNombre,0))&amp;"","DOP")="USD",T131,S131))</f>
        <v/>
      </c>
      <c r="AG131" s="53">
        <f>IF(AC131="","",IF(IFERROR(INDEX(ctaMoneda,MATCH(AC131,ctaNombre,0))&amp;"","DOP")="USD",T131,S131))</f>
        <v/>
      </c>
      <c r="AH131" s="53">
        <f>IF(P131="","",IF(AND(AD131&lt;&gt;"",COUNTIFS(tcTipo,AD131,tcLiq,"Sí")&gt;0),IF(OR(P131="Gasto",P131="Transferencia",P131="Pago tarjeta"),-1,1)*S131,0)+IF(AND(AE131&lt;&gt;"",COUNTIFS(tcTipo,AE131,tcLiq,"Sí")&gt;0),S131,0))</f>
        <v/>
      </c>
      <c r="AI131" s="52">
        <f>IF(OR(L131="",P131=""),"",IF(COUNTIFS(L$6:L131,L131,P$6:P131,"?*")=1,MAX(AI$5:AI130)+1,""))</f>
        <v/>
      </c>
    </row>
    <row r="132">
      <c r="B132" s="47" t="n">
        <v>46286</v>
      </c>
      <c r="C132" s="48" t="inlineStr">
        <is>
          <t>Gasto</t>
        </is>
      </c>
      <c r="D132" s="48" t="inlineStr">
        <is>
          <t>Trading y actividades financieras</t>
        </is>
      </c>
      <c r="E132" s="48" t="inlineStr">
        <is>
          <t>Plataformas y herramientas</t>
        </is>
      </c>
      <c r="F132" s="48" t="inlineStr">
        <is>
          <t>DEMO · Plataforma de gráficos</t>
        </is>
      </c>
      <c r="G132" s="49" t="n">
        <v>39</v>
      </c>
      <c r="H132" s="48" t="inlineStr">
        <is>
          <t>USD</t>
        </is>
      </c>
      <c r="I132" s="50" t="n"/>
      <c r="J132" s="48" t="inlineStr">
        <is>
          <t>Tarjeta de crédito</t>
        </is>
      </c>
      <c r="K132" s="48" t="n"/>
      <c r="L132" s="48" t="inlineStr">
        <is>
          <t>Plataforma de trading</t>
        </is>
      </c>
      <c r="M132" s="48" t="n"/>
      <c r="N132" s="48" t="inlineStr">
        <is>
          <t>DEMOSTRACIÓN</t>
        </is>
      </c>
      <c r="O132" s="51">
        <f>IF(AND(B132="",G132="",C132="",D132="",J132=""),"",IF(B132="","⚠ Falta fecha",IF(G132="","⚠ Falta monto",IF(Q132="","⚠ Falta cuenta",IF(ISNA(MATCH(Q132,ctaNombre,0)),"⚠ Cuenta no registrada",IF(AND(OR(P132="Gasto",P132="Reembolso"),D132=""),"⚠ Falta categoría",IF(AND(D132&lt;&gt;"",E132&lt;&gt;"",ISNA(MATCH(D132&amp;"|"&amp;E132,catClave,0))),"⚠ Subcategoría no corresponde",IF(AND(OR(P132="Transferencia",P132="Pago tarjeta"),K132=""),"⚠ Falta cuenta destino",IF(AND(K132&lt;&gt;"",P132&lt;&gt;"Transferencia",P132&lt;&gt;"Pago tarjeta"),"⚠ Destino solo aplica a transferencias",IF(AND(K132&lt;&gt;"",K132=Q132),"⚠ Origen igual a destino",IF(AND(K132&lt;&gt;"",ISNA(MATCH(K132,ctaNombre,0))),"⚠ Destino no registrado",IF(AND(P132="Pago tarjeta",AE132&lt;&gt;"Tarjeta de crédito"),"⚠ El destino debe ser tarjeta de crédito",IF(AND(P132="Gasto",E132="Depósitos y retiros"),"⚠ Usa tipo Transferencia",IF(AND(P132="Resultado trading",AD132&lt;&gt;"Cuenta de trading"),"⚠ Usa una cuenta de trading",IF(AND(G132&lt;=0,P132&lt;&gt;"Ajuste",P132&lt;&gt;"Resultado trading"),"⚠ El monto debe ser positivo","✓")))))))))))))))</f>
        <v/>
      </c>
      <c r="P132" s="52">
        <f>IF(OR(B132="",G132=""),"",IF(C132="","Gasto",C132))</f>
        <v/>
      </c>
      <c r="Q132" s="52">
        <f>IF(P132="","",IF(J132&lt;&gt;"",J132,CuentaPred&amp;""))</f>
        <v/>
      </c>
      <c r="R132" s="52">
        <f>IF(P132="","",IF(ISNUMBER(I132),I132,TasaUSD))</f>
        <v/>
      </c>
      <c r="S132" s="53">
        <f>IF(P132="","",IF(H132="USD",G132*R132,G132))</f>
        <v/>
      </c>
      <c r="T132" s="53">
        <f>IF(P132="","",IF(H132="USD",G132,IF(R132&gt;0,G132/R132,0)))</f>
        <v/>
      </c>
      <c r="U132" s="53">
        <f>IF(P132="","",IF(P132="Gasto",S132,IF(P132="Reembolso",-S132,0)))</f>
        <v/>
      </c>
      <c r="V132" s="53">
        <f>IF(P132="","",IF(P132="Ingreso",S132,0))</f>
        <v/>
      </c>
      <c r="W132" s="53">
        <f>IF(P132="","",IF(P132="Resultado trading",S132,0))</f>
        <v/>
      </c>
      <c r="X132" s="52">
        <f>IF(OR(P132="Gasto",P132="Reembolso"),IF(M132&lt;&gt;"",M132,IFERROR(INDEX(catClasif,MATCH(D132&amp;"|"&amp;E132,catClave,0))&amp;"","Variable")),"")</f>
        <v/>
      </c>
      <c r="Y132" s="52">
        <f>IF(P132="","",IFERROR(INDEX(catGrupo,MATCH(D132&amp;"|"&amp;E132,catClave,0))&amp;"",""))</f>
        <v/>
      </c>
      <c r="Z132" s="52">
        <f>IF(P132="","",WEEKDAY(B132,2))</f>
        <v/>
      </c>
      <c r="AA132" s="52">
        <f>IF(P132="","",IF(AND(P132="Gasto",X132="Variable",D132&lt;&gt;catTrading,S132&gt;0,S132&lt;=Umbral),1,0))</f>
        <v/>
      </c>
      <c r="AB132" s="52">
        <f>IF(OR(P132="",Q132=""),"",IFERROR(IF(INDEX(ctaVinc,MATCH(Q132,ctaNombre,0))&amp;""&lt;&gt;"",INDEX(ctaVinc,MATCH(Q132,ctaNombre,0))&amp;"",Q132),Q132))</f>
        <v/>
      </c>
      <c r="AC132" s="52">
        <f>IF(OR(K132="",AND(P132&lt;&gt;"Transferencia",P132&lt;&gt;"Pago tarjeta")),"",IFERROR(IF(INDEX(ctaVinc,MATCH(K132,ctaNombre,0))&amp;""&lt;&gt;"",INDEX(ctaVinc,MATCH(K132,ctaNombre,0))&amp;"",K132),K132))</f>
        <v/>
      </c>
      <c r="AD132" s="52">
        <f>IF(AB132="","",IFERROR(INDEX(ctaTipo,MATCH(AB132,ctaNombre,0))&amp;"",""))</f>
        <v/>
      </c>
      <c r="AE132" s="52">
        <f>IF(AC132="","",IFERROR(INDEX(ctaTipo,MATCH(AC132,ctaNombre,0))&amp;"",""))</f>
        <v/>
      </c>
      <c r="AF132" s="53">
        <f>IF(OR(P132="",AB132=""),"",IF(OR(P132="Gasto",P132="Transferencia",P132="Pago tarjeta"),-1,1)*IF(IFERROR(INDEX(ctaMoneda,MATCH(AB132,ctaNombre,0))&amp;"","DOP")="USD",T132,S132))</f>
        <v/>
      </c>
      <c r="AG132" s="53">
        <f>IF(AC132="","",IF(IFERROR(INDEX(ctaMoneda,MATCH(AC132,ctaNombre,0))&amp;"","DOP")="USD",T132,S132))</f>
        <v/>
      </c>
      <c r="AH132" s="53">
        <f>IF(P132="","",IF(AND(AD132&lt;&gt;"",COUNTIFS(tcTipo,AD132,tcLiq,"Sí")&gt;0),IF(OR(P132="Gasto",P132="Transferencia",P132="Pago tarjeta"),-1,1)*S132,0)+IF(AND(AE132&lt;&gt;"",COUNTIFS(tcTipo,AE132,tcLiq,"Sí")&gt;0),S132,0))</f>
        <v/>
      </c>
      <c r="AI132" s="52">
        <f>IF(OR(L132="",P132=""),"",IF(COUNTIFS(L$6:L132,L132,P$6:P132,"?*")=1,MAX(AI$5:AI131)+1,""))</f>
        <v/>
      </c>
    </row>
    <row r="133">
      <c r="B133" s="47" t="n">
        <v>46287</v>
      </c>
      <c r="C133" s="48" t="inlineStr">
        <is>
          <t>Gasto</t>
        </is>
      </c>
      <c r="D133" s="48" t="inlineStr">
        <is>
          <t>Alimentación</t>
        </is>
      </c>
      <c r="E133" s="48" t="inlineStr">
        <is>
          <t>Desayunos comprados</t>
        </is>
      </c>
      <c r="F133" s="48" t="inlineStr">
        <is>
          <t>DEMO · Desayuno en la oficina</t>
        </is>
      </c>
      <c r="G133" s="49" t="n">
        <v>320</v>
      </c>
      <c r="H133" s="48" t="inlineStr">
        <is>
          <t>DOP</t>
        </is>
      </c>
      <c r="I133" s="50" t="n"/>
      <c r="J133" s="48" t="inlineStr">
        <is>
          <t>Efectivo</t>
        </is>
      </c>
      <c r="K133" s="48" t="n"/>
      <c r="L133" s="48" t="inlineStr">
        <is>
          <t>Cafetería del trabajo</t>
        </is>
      </c>
      <c r="M133" s="48" t="n"/>
      <c r="N133" s="48" t="inlineStr">
        <is>
          <t>DEMOSTRACIÓN</t>
        </is>
      </c>
      <c r="O133" s="51">
        <f>IF(AND(B133="",G133="",C133="",D133="",J133=""),"",IF(B133="","⚠ Falta fecha",IF(G133="","⚠ Falta monto",IF(Q133="","⚠ Falta cuenta",IF(ISNA(MATCH(Q133,ctaNombre,0)),"⚠ Cuenta no registrada",IF(AND(OR(P133="Gasto",P133="Reembolso"),D133=""),"⚠ Falta categoría",IF(AND(D133&lt;&gt;"",E133&lt;&gt;"",ISNA(MATCH(D133&amp;"|"&amp;E133,catClave,0))),"⚠ Subcategoría no corresponde",IF(AND(OR(P133="Transferencia",P133="Pago tarjeta"),K133=""),"⚠ Falta cuenta destino",IF(AND(K133&lt;&gt;"",P133&lt;&gt;"Transferencia",P133&lt;&gt;"Pago tarjeta"),"⚠ Destino solo aplica a transferencias",IF(AND(K133&lt;&gt;"",K133=Q133),"⚠ Origen igual a destino",IF(AND(K133&lt;&gt;"",ISNA(MATCH(K133,ctaNombre,0))),"⚠ Destino no registrado",IF(AND(P133="Pago tarjeta",AE133&lt;&gt;"Tarjeta de crédito"),"⚠ El destino debe ser tarjeta de crédito",IF(AND(P133="Gasto",E133="Depósitos y retiros"),"⚠ Usa tipo Transferencia",IF(AND(P133="Resultado trading",AD133&lt;&gt;"Cuenta de trading"),"⚠ Usa una cuenta de trading",IF(AND(G133&lt;=0,P133&lt;&gt;"Ajuste",P133&lt;&gt;"Resultado trading"),"⚠ El monto debe ser positivo","✓")))))))))))))))</f>
        <v/>
      </c>
      <c r="P133" s="52">
        <f>IF(OR(B133="",G133=""),"",IF(C133="","Gasto",C133))</f>
        <v/>
      </c>
      <c r="Q133" s="52">
        <f>IF(P133="","",IF(J133&lt;&gt;"",J133,CuentaPred&amp;""))</f>
        <v/>
      </c>
      <c r="R133" s="52">
        <f>IF(P133="","",IF(ISNUMBER(I133),I133,TasaUSD))</f>
        <v/>
      </c>
      <c r="S133" s="53">
        <f>IF(P133="","",IF(H133="USD",G133*R133,G133))</f>
        <v/>
      </c>
      <c r="T133" s="53">
        <f>IF(P133="","",IF(H133="USD",G133,IF(R133&gt;0,G133/R133,0)))</f>
        <v/>
      </c>
      <c r="U133" s="53">
        <f>IF(P133="","",IF(P133="Gasto",S133,IF(P133="Reembolso",-S133,0)))</f>
        <v/>
      </c>
      <c r="V133" s="53">
        <f>IF(P133="","",IF(P133="Ingreso",S133,0))</f>
        <v/>
      </c>
      <c r="W133" s="53">
        <f>IF(P133="","",IF(P133="Resultado trading",S133,0))</f>
        <v/>
      </c>
      <c r="X133" s="52">
        <f>IF(OR(P133="Gasto",P133="Reembolso"),IF(M133&lt;&gt;"",M133,IFERROR(INDEX(catClasif,MATCH(D133&amp;"|"&amp;E133,catClave,0))&amp;"","Variable")),"")</f>
        <v/>
      </c>
      <c r="Y133" s="52">
        <f>IF(P133="","",IFERROR(INDEX(catGrupo,MATCH(D133&amp;"|"&amp;E133,catClave,0))&amp;"",""))</f>
        <v/>
      </c>
      <c r="Z133" s="52">
        <f>IF(P133="","",WEEKDAY(B133,2))</f>
        <v/>
      </c>
      <c r="AA133" s="52">
        <f>IF(P133="","",IF(AND(P133="Gasto",X133="Variable",D133&lt;&gt;catTrading,S133&gt;0,S133&lt;=Umbral),1,0))</f>
        <v/>
      </c>
      <c r="AB133" s="52">
        <f>IF(OR(P133="",Q133=""),"",IFERROR(IF(INDEX(ctaVinc,MATCH(Q133,ctaNombre,0))&amp;""&lt;&gt;"",INDEX(ctaVinc,MATCH(Q133,ctaNombre,0))&amp;"",Q133),Q133))</f>
        <v/>
      </c>
      <c r="AC133" s="52">
        <f>IF(OR(K133="",AND(P133&lt;&gt;"Transferencia",P133&lt;&gt;"Pago tarjeta")),"",IFERROR(IF(INDEX(ctaVinc,MATCH(K133,ctaNombre,0))&amp;""&lt;&gt;"",INDEX(ctaVinc,MATCH(K133,ctaNombre,0))&amp;"",K133),K133))</f>
        <v/>
      </c>
      <c r="AD133" s="52">
        <f>IF(AB133="","",IFERROR(INDEX(ctaTipo,MATCH(AB133,ctaNombre,0))&amp;"",""))</f>
        <v/>
      </c>
      <c r="AE133" s="52">
        <f>IF(AC133="","",IFERROR(INDEX(ctaTipo,MATCH(AC133,ctaNombre,0))&amp;"",""))</f>
        <v/>
      </c>
      <c r="AF133" s="53">
        <f>IF(OR(P133="",AB133=""),"",IF(OR(P133="Gasto",P133="Transferencia",P133="Pago tarjeta"),-1,1)*IF(IFERROR(INDEX(ctaMoneda,MATCH(AB133,ctaNombre,0))&amp;"","DOP")="USD",T133,S133))</f>
        <v/>
      </c>
      <c r="AG133" s="53">
        <f>IF(AC133="","",IF(IFERROR(INDEX(ctaMoneda,MATCH(AC133,ctaNombre,0))&amp;"","DOP")="USD",T133,S133))</f>
        <v/>
      </c>
      <c r="AH133" s="53">
        <f>IF(P133="","",IF(AND(AD133&lt;&gt;"",COUNTIFS(tcTipo,AD133,tcLiq,"Sí")&gt;0),IF(OR(P133="Gasto",P133="Transferencia",P133="Pago tarjeta"),-1,1)*S133,0)+IF(AND(AE133&lt;&gt;"",COUNTIFS(tcTipo,AE133,tcLiq,"Sí")&gt;0),S133,0))</f>
        <v/>
      </c>
      <c r="AI133" s="52">
        <f>IF(OR(L133="",P133=""),"",IF(COUNTIFS(L$6:L133,L133,P$6:P133,"?*")=1,MAX(AI$5:AI132)+1,""))</f>
        <v/>
      </c>
    </row>
    <row r="134">
      <c r="B134" s="47" t="n">
        <v>46287</v>
      </c>
      <c r="C134" s="48" t="inlineStr">
        <is>
          <t>Gasto</t>
        </is>
      </c>
      <c r="D134" s="48" t="inlineStr">
        <is>
          <t>Alimentación</t>
        </is>
      </c>
      <c r="E134" s="48" t="inlineStr">
        <is>
          <t>Almuerzos laborales</t>
        </is>
      </c>
      <c r="F134" s="48" t="inlineStr">
        <is>
          <t>DEMO · Almuerzo laboral</t>
        </is>
      </c>
      <c r="G134" s="49" t="n">
        <v>525</v>
      </c>
      <c r="H134" s="48" t="inlineStr">
        <is>
          <t>DOP</t>
        </is>
      </c>
      <c r="I134" s="50" t="n"/>
      <c r="J134" s="48" t="inlineStr">
        <is>
          <t>Tarjeta de débito</t>
        </is>
      </c>
      <c r="K134" s="48" t="n"/>
      <c r="L134" s="48" t="inlineStr">
        <is>
          <t>Comedor ejecutivo</t>
        </is>
      </c>
      <c r="M134" s="48" t="n"/>
      <c r="N134" s="48" t="inlineStr">
        <is>
          <t>DEMOSTRACIÓN</t>
        </is>
      </c>
      <c r="O134" s="51">
        <f>IF(AND(B134="",G134="",C134="",D134="",J134=""),"",IF(B134="","⚠ Falta fecha",IF(G134="","⚠ Falta monto",IF(Q134="","⚠ Falta cuenta",IF(ISNA(MATCH(Q134,ctaNombre,0)),"⚠ Cuenta no registrada",IF(AND(OR(P134="Gasto",P134="Reembolso"),D134=""),"⚠ Falta categoría",IF(AND(D134&lt;&gt;"",E134&lt;&gt;"",ISNA(MATCH(D134&amp;"|"&amp;E134,catClave,0))),"⚠ Subcategoría no corresponde",IF(AND(OR(P134="Transferencia",P134="Pago tarjeta"),K134=""),"⚠ Falta cuenta destino",IF(AND(K134&lt;&gt;"",P134&lt;&gt;"Transferencia",P134&lt;&gt;"Pago tarjeta"),"⚠ Destino solo aplica a transferencias",IF(AND(K134&lt;&gt;"",K134=Q134),"⚠ Origen igual a destino",IF(AND(K134&lt;&gt;"",ISNA(MATCH(K134,ctaNombre,0))),"⚠ Destino no registrado",IF(AND(P134="Pago tarjeta",AE134&lt;&gt;"Tarjeta de crédito"),"⚠ El destino debe ser tarjeta de crédito",IF(AND(P134="Gasto",E134="Depósitos y retiros"),"⚠ Usa tipo Transferencia",IF(AND(P134="Resultado trading",AD134&lt;&gt;"Cuenta de trading"),"⚠ Usa una cuenta de trading",IF(AND(G134&lt;=0,P134&lt;&gt;"Ajuste",P134&lt;&gt;"Resultado trading"),"⚠ El monto debe ser positivo","✓")))))))))))))))</f>
        <v/>
      </c>
      <c r="P134" s="52">
        <f>IF(OR(B134="",G134=""),"",IF(C134="","Gasto",C134))</f>
        <v/>
      </c>
      <c r="Q134" s="52">
        <f>IF(P134="","",IF(J134&lt;&gt;"",J134,CuentaPred&amp;""))</f>
        <v/>
      </c>
      <c r="R134" s="52">
        <f>IF(P134="","",IF(ISNUMBER(I134),I134,TasaUSD))</f>
        <v/>
      </c>
      <c r="S134" s="53">
        <f>IF(P134="","",IF(H134="USD",G134*R134,G134))</f>
        <v/>
      </c>
      <c r="T134" s="53">
        <f>IF(P134="","",IF(H134="USD",G134,IF(R134&gt;0,G134/R134,0)))</f>
        <v/>
      </c>
      <c r="U134" s="53">
        <f>IF(P134="","",IF(P134="Gasto",S134,IF(P134="Reembolso",-S134,0)))</f>
        <v/>
      </c>
      <c r="V134" s="53">
        <f>IF(P134="","",IF(P134="Ingreso",S134,0))</f>
        <v/>
      </c>
      <c r="W134" s="53">
        <f>IF(P134="","",IF(P134="Resultado trading",S134,0))</f>
        <v/>
      </c>
      <c r="X134" s="52">
        <f>IF(OR(P134="Gasto",P134="Reembolso"),IF(M134&lt;&gt;"",M134,IFERROR(INDEX(catClasif,MATCH(D134&amp;"|"&amp;E134,catClave,0))&amp;"","Variable")),"")</f>
        <v/>
      </c>
      <c r="Y134" s="52">
        <f>IF(P134="","",IFERROR(INDEX(catGrupo,MATCH(D134&amp;"|"&amp;E134,catClave,0))&amp;"",""))</f>
        <v/>
      </c>
      <c r="Z134" s="52">
        <f>IF(P134="","",WEEKDAY(B134,2))</f>
        <v/>
      </c>
      <c r="AA134" s="52">
        <f>IF(P134="","",IF(AND(P134="Gasto",X134="Variable",D134&lt;&gt;catTrading,S134&gt;0,S134&lt;=Umbral),1,0))</f>
        <v/>
      </c>
      <c r="AB134" s="52">
        <f>IF(OR(P134="",Q134=""),"",IFERROR(IF(INDEX(ctaVinc,MATCH(Q134,ctaNombre,0))&amp;""&lt;&gt;"",INDEX(ctaVinc,MATCH(Q134,ctaNombre,0))&amp;"",Q134),Q134))</f>
        <v/>
      </c>
      <c r="AC134" s="52">
        <f>IF(OR(K134="",AND(P134&lt;&gt;"Transferencia",P134&lt;&gt;"Pago tarjeta")),"",IFERROR(IF(INDEX(ctaVinc,MATCH(K134,ctaNombre,0))&amp;""&lt;&gt;"",INDEX(ctaVinc,MATCH(K134,ctaNombre,0))&amp;"",K134),K134))</f>
        <v/>
      </c>
      <c r="AD134" s="52">
        <f>IF(AB134="","",IFERROR(INDEX(ctaTipo,MATCH(AB134,ctaNombre,0))&amp;"",""))</f>
        <v/>
      </c>
      <c r="AE134" s="52">
        <f>IF(AC134="","",IFERROR(INDEX(ctaTipo,MATCH(AC134,ctaNombre,0))&amp;"",""))</f>
        <v/>
      </c>
      <c r="AF134" s="53">
        <f>IF(OR(P134="",AB134=""),"",IF(OR(P134="Gasto",P134="Transferencia",P134="Pago tarjeta"),-1,1)*IF(IFERROR(INDEX(ctaMoneda,MATCH(AB134,ctaNombre,0))&amp;"","DOP")="USD",T134,S134))</f>
        <v/>
      </c>
      <c r="AG134" s="53">
        <f>IF(AC134="","",IF(IFERROR(INDEX(ctaMoneda,MATCH(AC134,ctaNombre,0))&amp;"","DOP")="USD",T134,S134))</f>
        <v/>
      </c>
      <c r="AH134" s="53">
        <f>IF(P134="","",IF(AND(AD134&lt;&gt;"",COUNTIFS(tcTipo,AD134,tcLiq,"Sí")&gt;0),IF(OR(P134="Gasto",P134="Transferencia",P134="Pago tarjeta"),-1,1)*S134,0)+IF(AND(AE134&lt;&gt;"",COUNTIFS(tcTipo,AE134,tcLiq,"Sí")&gt;0),S134,0))</f>
        <v/>
      </c>
      <c r="AI134" s="52">
        <f>IF(OR(L134="",P134=""),"",IF(COUNTIFS(L$6:L134,L134,P$6:P134,"?*")=1,MAX(AI$5:AI133)+1,""))</f>
        <v/>
      </c>
    </row>
    <row r="135">
      <c r="B135" s="47" t="n">
        <v>46287</v>
      </c>
      <c r="C135" s="48" t="inlineStr">
        <is>
          <t>Gasto</t>
        </is>
      </c>
      <c r="D135" s="48" t="inlineStr">
        <is>
          <t>Transporte y vehículo</t>
        </is>
      </c>
      <c r="E135" s="48" t="inlineStr">
        <is>
          <t>Parqueos y peajes</t>
        </is>
      </c>
      <c r="F135" s="48" t="inlineStr">
        <is>
          <t>DEMO · Parqueo</t>
        </is>
      </c>
      <c r="G135" s="49" t="n">
        <v>100</v>
      </c>
      <c r="H135" s="48" t="inlineStr">
        <is>
          <t>DOP</t>
        </is>
      </c>
      <c r="I135" s="50" t="n"/>
      <c r="J135" s="48" t="inlineStr">
        <is>
          <t>Efectivo</t>
        </is>
      </c>
      <c r="K135" s="48" t="n"/>
      <c r="L135" s="48" t="inlineStr">
        <is>
          <t>Parqueo centro</t>
        </is>
      </c>
      <c r="M135" s="48" t="n"/>
      <c r="N135" s="48" t="inlineStr">
        <is>
          <t>DEMOSTRACIÓN</t>
        </is>
      </c>
      <c r="O135" s="51">
        <f>IF(AND(B135="",G135="",C135="",D135="",J135=""),"",IF(B135="","⚠ Falta fecha",IF(G135="","⚠ Falta monto",IF(Q135="","⚠ Falta cuenta",IF(ISNA(MATCH(Q135,ctaNombre,0)),"⚠ Cuenta no registrada",IF(AND(OR(P135="Gasto",P135="Reembolso"),D135=""),"⚠ Falta categoría",IF(AND(D135&lt;&gt;"",E135&lt;&gt;"",ISNA(MATCH(D135&amp;"|"&amp;E135,catClave,0))),"⚠ Subcategoría no corresponde",IF(AND(OR(P135="Transferencia",P135="Pago tarjeta"),K135=""),"⚠ Falta cuenta destino",IF(AND(K135&lt;&gt;"",P135&lt;&gt;"Transferencia",P135&lt;&gt;"Pago tarjeta"),"⚠ Destino solo aplica a transferencias",IF(AND(K135&lt;&gt;"",K135=Q135),"⚠ Origen igual a destino",IF(AND(K135&lt;&gt;"",ISNA(MATCH(K135,ctaNombre,0))),"⚠ Destino no registrado",IF(AND(P135="Pago tarjeta",AE135&lt;&gt;"Tarjeta de crédito"),"⚠ El destino debe ser tarjeta de crédito",IF(AND(P135="Gasto",E135="Depósitos y retiros"),"⚠ Usa tipo Transferencia",IF(AND(P135="Resultado trading",AD135&lt;&gt;"Cuenta de trading"),"⚠ Usa una cuenta de trading",IF(AND(G135&lt;=0,P135&lt;&gt;"Ajuste",P135&lt;&gt;"Resultado trading"),"⚠ El monto debe ser positivo","✓")))))))))))))))</f>
        <v/>
      </c>
      <c r="P135" s="52">
        <f>IF(OR(B135="",G135=""),"",IF(C135="","Gasto",C135))</f>
        <v/>
      </c>
      <c r="Q135" s="52">
        <f>IF(P135="","",IF(J135&lt;&gt;"",J135,CuentaPred&amp;""))</f>
        <v/>
      </c>
      <c r="R135" s="52">
        <f>IF(P135="","",IF(ISNUMBER(I135),I135,TasaUSD))</f>
        <v/>
      </c>
      <c r="S135" s="53">
        <f>IF(P135="","",IF(H135="USD",G135*R135,G135))</f>
        <v/>
      </c>
      <c r="T135" s="53">
        <f>IF(P135="","",IF(H135="USD",G135,IF(R135&gt;0,G135/R135,0)))</f>
        <v/>
      </c>
      <c r="U135" s="53">
        <f>IF(P135="","",IF(P135="Gasto",S135,IF(P135="Reembolso",-S135,0)))</f>
        <v/>
      </c>
      <c r="V135" s="53">
        <f>IF(P135="","",IF(P135="Ingreso",S135,0))</f>
        <v/>
      </c>
      <c r="W135" s="53">
        <f>IF(P135="","",IF(P135="Resultado trading",S135,0))</f>
        <v/>
      </c>
      <c r="X135" s="52">
        <f>IF(OR(P135="Gasto",P135="Reembolso"),IF(M135&lt;&gt;"",M135,IFERROR(INDEX(catClasif,MATCH(D135&amp;"|"&amp;E135,catClave,0))&amp;"","Variable")),"")</f>
        <v/>
      </c>
      <c r="Y135" s="52">
        <f>IF(P135="","",IFERROR(INDEX(catGrupo,MATCH(D135&amp;"|"&amp;E135,catClave,0))&amp;"",""))</f>
        <v/>
      </c>
      <c r="Z135" s="52">
        <f>IF(P135="","",WEEKDAY(B135,2))</f>
        <v/>
      </c>
      <c r="AA135" s="52">
        <f>IF(P135="","",IF(AND(P135="Gasto",X135="Variable",D135&lt;&gt;catTrading,S135&gt;0,S135&lt;=Umbral),1,0))</f>
        <v/>
      </c>
      <c r="AB135" s="52">
        <f>IF(OR(P135="",Q135=""),"",IFERROR(IF(INDEX(ctaVinc,MATCH(Q135,ctaNombre,0))&amp;""&lt;&gt;"",INDEX(ctaVinc,MATCH(Q135,ctaNombre,0))&amp;"",Q135),Q135))</f>
        <v/>
      </c>
      <c r="AC135" s="52">
        <f>IF(OR(K135="",AND(P135&lt;&gt;"Transferencia",P135&lt;&gt;"Pago tarjeta")),"",IFERROR(IF(INDEX(ctaVinc,MATCH(K135,ctaNombre,0))&amp;""&lt;&gt;"",INDEX(ctaVinc,MATCH(K135,ctaNombre,0))&amp;"",K135),K135))</f>
        <v/>
      </c>
      <c r="AD135" s="52">
        <f>IF(AB135="","",IFERROR(INDEX(ctaTipo,MATCH(AB135,ctaNombre,0))&amp;"",""))</f>
        <v/>
      </c>
      <c r="AE135" s="52">
        <f>IF(AC135="","",IFERROR(INDEX(ctaTipo,MATCH(AC135,ctaNombre,0))&amp;"",""))</f>
        <v/>
      </c>
      <c r="AF135" s="53">
        <f>IF(OR(P135="",AB135=""),"",IF(OR(P135="Gasto",P135="Transferencia",P135="Pago tarjeta"),-1,1)*IF(IFERROR(INDEX(ctaMoneda,MATCH(AB135,ctaNombre,0))&amp;"","DOP")="USD",T135,S135))</f>
        <v/>
      </c>
      <c r="AG135" s="53">
        <f>IF(AC135="","",IF(IFERROR(INDEX(ctaMoneda,MATCH(AC135,ctaNombre,0))&amp;"","DOP")="USD",T135,S135))</f>
        <v/>
      </c>
      <c r="AH135" s="53">
        <f>IF(P135="","",IF(AND(AD135&lt;&gt;"",COUNTIFS(tcTipo,AD135,tcLiq,"Sí")&gt;0),IF(OR(P135="Gasto",P135="Transferencia",P135="Pago tarjeta"),-1,1)*S135,0)+IF(AND(AE135&lt;&gt;"",COUNTIFS(tcTipo,AE135,tcLiq,"Sí")&gt;0),S135,0))</f>
        <v/>
      </c>
      <c r="AI135" s="52">
        <f>IF(OR(L135="",P135=""),"",IF(COUNTIFS(L$6:L135,L135,P$6:P135,"?*")=1,MAX(AI$5:AI134)+1,""))</f>
        <v/>
      </c>
    </row>
    <row r="136">
      <c r="B136" s="47" t="n">
        <v>46287</v>
      </c>
      <c r="C136" s="48" t="inlineStr">
        <is>
          <t>Gasto</t>
        </is>
      </c>
      <c r="D136" s="48" t="inlineStr">
        <is>
          <t>Alimentación</t>
        </is>
      </c>
      <c r="E136" s="48" t="inlineStr">
        <is>
          <t>Supermercado</t>
        </is>
      </c>
      <c r="F136" s="48" t="inlineStr">
        <is>
          <t>DEMO · Compra de supermercado</t>
        </is>
      </c>
      <c r="G136" s="49" t="n">
        <v>6300</v>
      </c>
      <c r="H136" s="48" t="inlineStr">
        <is>
          <t>DOP</t>
        </is>
      </c>
      <c r="I136" s="50" t="n"/>
      <c r="J136" s="48" t="inlineStr">
        <is>
          <t>Tarjeta de crédito</t>
        </is>
      </c>
      <c r="K136" s="48" t="n"/>
      <c r="L136" s="48" t="inlineStr">
        <is>
          <t>Supermercado principal</t>
        </is>
      </c>
      <c r="M136" s="48" t="n"/>
      <c r="N136" s="48" t="inlineStr">
        <is>
          <t>DEMOSTRACIÓN</t>
        </is>
      </c>
      <c r="O136" s="51">
        <f>IF(AND(B136="",G136="",C136="",D136="",J136=""),"",IF(B136="","⚠ Falta fecha",IF(G136="","⚠ Falta monto",IF(Q136="","⚠ Falta cuenta",IF(ISNA(MATCH(Q136,ctaNombre,0)),"⚠ Cuenta no registrada",IF(AND(OR(P136="Gasto",P136="Reembolso"),D136=""),"⚠ Falta categoría",IF(AND(D136&lt;&gt;"",E136&lt;&gt;"",ISNA(MATCH(D136&amp;"|"&amp;E136,catClave,0))),"⚠ Subcategoría no corresponde",IF(AND(OR(P136="Transferencia",P136="Pago tarjeta"),K136=""),"⚠ Falta cuenta destino",IF(AND(K136&lt;&gt;"",P136&lt;&gt;"Transferencia",P136&lt;&gt;"Pago tarjeta"),"⚠ Destino solo aplica a transferencias",IF(AND(K136&lt;&gt;"",K136=Q136),"⚠ Origen igual a destino",IF(AND(K136&lt;&gt;"",ISNA(MATCH(K136,ctaNombre,0))),"⚠ Destino no registrado",IF(AND(P136="Pago tarjeta",AE136&lt;&gt;"Tarjeta de crédito"),"⚠ El destino debe ser tarjeta de crédito",IF(AND(P136="Gasto",E136="Depósitos y retiros"),"⚠ Usa tipo Transferencia",IF(AND(P136="Resultado trading",AD136&lt;&gt;"Cuenta de trading"),"⚠ Usa una cuenta de trading",IF(AND(G136&lt;=0,P136&lt;&gt;"Ajuste",P136&lt;&gt;"Resultado trading"),"⚠ El monto debe ser positivo","✓")))))))))))))))</f>
        <v/>
      </c>
      <c r="P136" s="52">
        <f>IF(OR(B136="",G136=""),"",IF(C136="","Gasto",C136))</f>
        <v/>
      </c>
      <c r="Q136" s="52">
        <f>IF(P136="","",IF(J136&lt;&gt;"",J136,CuentaPred&amp;""))</f>
        <v/>
      </c>
      <c r="R136" s="52">
        <f>IF(P136="","",IF(ISNUMBER(I136),I136,TasaUSD))</f>
        <v/>
      </c>
      <c r="S136" s="53">
        <f>IF(P136="","",IF(H136="USD",G136*R136,G136))</f>
        <v/>
      </c>
      <c r="T136" s="53">
        <f>IF(P136="","",IF(H136="USD",G136,IF(R136&gt;0,G136/R136,0)))</f>
        <v/>
      </c>
      <c r="U136" s="53">
        <f>IF(P136="","",IF(P136="Gasto",S136,IF(P136="Reembolso",-S136,0)))</f>
        <v/>
      </c>
      <c r="V136" s="53">
        <f>IF(P136="","",IF(P136="Ingreso",S136,0))</f>
        <v/>
      </c>
      <c r="W136" s="53">
        <f>IF(P136="","",IF(P136="Resultado trading",S136,0))</f>
        <v/>
      </c>
      <c r="X136" s="52">
        <f>IF(OR(P136="Gasto",P136="Reembolso"),IF(M136&lt;&gt;"",M136,IFERROR(INDEX(catClasif,MATCH(D136&amp;"|"&amp;E136,catClave,0))&amp;"","Variable")),"")</f>
        <v/>
      </c>
      <c r="Y136" s="52">
        <f>IF(P136="","",IFERROR(INDEX(catGrupo,MATCH(D136&amp;"|"&amp;E136,catClave,0))&amp;"",""))</f>
        <v/>
      </c>
      <c r="Z136" s="52">
        <f>IF(P136="","",WEEKDAY(B136,2))</f>
        <v/>
      </c>
      <c r="AA136" s="52">
        <f>IF(P136="","",IF(AND(P136="Gasto",X136="Variable",D136&lt;&gt;catTrading,S136&gt;0,S136&lt;=Umbral),1,0))</f>
        <v/>
      </c>
      <c r="AB136" s="52">
        <f>IF(OR(P136="",Q136=""),"",IFERROR(IF(INDEX(ctaVinc,MATCH(Q136,ctaNombre,0))&amp;""&lt;&gt;"",INDEX(ctaVinc,MATCH(Q136,ctaNombre,0))&amp;"",Q136),Q136))</f>
        <v/>
      </c>
      <c r="AC136" s="52">
        <f>IF(OR(K136="",AND(P136&lt;&gt;"Transferencia",P136&lt;&gt;"Pago tarjeta")),"",IFERROR(IF(INDEX(ctaVinc,MATCH(K136,ctaNombre,0))&amp;""&lt;&gt;"",INDEX(ctaVinc,MATCH(K136,ctaNombre,0))&amp;"",K136),K136))</f>
        <v/>
      </c>
      <c r="AD136" s="52">
        <f>IF(AB136="","",IFERROR(INDEX(ctaTipo,MATCH(AB136,ctaNombre,0))&amp;"",""))</f>
        <v/>
      </c>
      <c r="AE136" s="52">
        <f>IF(AC136="","",IFERROR(INDEX(ctaTipo,MATCH(AC136,ctaNombre,0))&amp;"",""))</f>
        <v/>
      </c>
      <c r="AF136" s="53">
        <f>IF(OR(P136="",AB136=""),"",IF(OR(P136="Gasto",P136="Transferencia",P136="Pago tarjeta"),-1,1)*IF(IFERROR(INDEX(ctaMoneda,MATCH(AB136,ctaNombre,0))&amp;"","DOP")="USD",T136,S136))</f>
        <v/>
      </c>
      <c r="AG136" s="53">
        <f>IF(AC136="","",IF(IFERROR(INDEX(ctaMoneda,MATCH(AC136,ctaNombre,0))&amp;"","DOP")="USD",T136,S136))</f>
        <v/>
      </c>
      <c r="AH136" s="53">
        <f>IF(P136="","",IF(AND(AD136&lt;&gt;"",COUNTIFS(tcTipo,AD136,tcLiq,"Sí")&gt;0),IF(OR(P136="Gasto",P136="Transferencia",P136="Pago tarjeta"),-1,1)*S136,0)+IF(AND(AE136&lt;&gt;"",COUNTIFS(tcTipo,AE136,tcLiq,"Sí")&gt;0),S136,0))</f>
        <v/>
      </c>
      <c r="AI136" s="52">
        <f>IF(OR(L136="",P136=""),"",IF(COUNTIFS(L$6:L136,L136,P$6:P136,"?*")=1,MAX(AI$5:AI135)+1,""))</f>
        <v/>
      </c>
    </row>
    <row r="137">
      <c r="B137" s="47" t="n">
        <v>46289</v>
      </c>
      <c r="C137" s="48" t="inlineStr">
        <is>
          <t>Gasto</t>
        </is>
      </c>
      <c r="D137" s="48" t="inlineStr">
        <is>
          <t>Transporte y vehículo</t>
        </is>
      </c>
      <c r="E137" s="48" t="inlineStr">
        <is>
          <t>Parqueos y peajes</t>
        </is>
      </c>
      <c r="F137" s="48" t="inlineStr">
        <is>
          <t>DEMO · Parqueo</t>
        </is>
      </c>
      <c r="G137" s="49" t="n">
        <v>75</v>
      </c>
      <c r="H137" s="48" t="inlineStr">
        <is>
          <t>DOP</t>
        </is>
      </c>
      <c r="I137" s="50" t="n"/>
      <c r="J137" s="48" t="inlineStr">
        <is>
          <t>Efectivo</t>
        </is>
      </c>
      <c r="K137" s="48" t="n"/>
      <c r="L137" s="48" t="inlineStr">
        <is>
          <t>Parqueo centro</t>
        </is>
      </c>
      <c r="M137" s="48" t="n"/>
      <c r="N137" s="48" t="inlineStr">
        <is>
          <t>DEMOSTRACIÓN</t>
        </is>
      </c>
      <c r="O137" s="51">
        <f>IF(AND(B137="",G137="",C137="",D137="",J137=""),"",IF(B137="","⚠ Falta fecha",IF(G137="","⚠ Falta monto",IF(Q137="","⚠ Falta cuenta",IF(ISNA(MATCH(Q137,ctaNombre,0)),"⚠ Cuenta no registrada",IF(AND(OR(P137="Gasto",P137="Reembolso"),D137=""),"⚠ Falta categoría",IF(AND(D137&lt;&gt;"",E137&lt;&gt;"",ISNA(MATCH(D137&amp;"|"&amp;E137,catClave,0))),"⚠ Subcategoría no corresponde",IF(AND(OR(P137="Transferencia",P137="Pago tarjeta"),K137=""),"⚠ Falta cuenta destino",IF(AND(K137&lt;&gt;"",P137&lt;&gt;"Transferencia",P137&lt;&gt;"Pago tarjeta"),"⚠ Destino solo aplica a transferencias",IF(AND(K137&lt;&gt;"",K137=Q137),"⚠ Origen igual a destino",IF(AND(K137&lt;&gt;"",ISNA(MATCH(K137,ctaNombre,0))),"⚠ Destino no registrado",IF(AND(P137="Pago tarjeta",AE137&lt;&gt;"Tarjeta de crédito"),"⚠ El destino debe ser tarjeta de crédito",IF(AND(P137="Gasto",E137="Depósitos y retiros"),"⚠ Usa tipo Transferencia",IF(AND(P137="Resultado trading",AD137&lt;&gt;"Cuenta de trading"),"⚠ Usa una cuenta de trading",IF(AND(G137&lt;=0,P137&lt;&gt;"Ajuste",P137&lt;&gt;"Resultado trading"),"⚠ El monto debe ser positivo","✓")))))))))))))))</f>
        <v/>
      </c>
      <c r="P137" s="52">
        <f>IF(OR(B137="",G137=""),"",IF(C137="","Gasto",C137))</f>
        <v/>
      </c>
      <c r="Q137" s="52">
        <f>IF(P137="","",IF(J137&lt;&gt;"",J137,CuentaPred&amp;""))</f>
        <v/>
      </c>
      <c r="R137" s="52">
        <f>IF(P137="","",IF(ISNUMBER(I137),I137,TasaUSD))</f>
        <v/>
      </c>
      <c r="S137" s="53">
        <f>IF(P137="","",IF(H137="USD",G137*R137,G137))</f>
        <v/>
      </c>
      <c r="T137" s="53">
        <f>IF(P137="","",IF(H137="USD",G137,IF(R137&gt;0,G137/R137,0)))</f>
        <v/>
      </c>
      <c r="U137" s="53">
        <f>IF(P137="","",IF(P137="Gasto",S137,IF(P137="Reembolso",-S137,0)))</f>
        <v/>
      </c>
      <c r="V137" s="53">
        <f>IF(P137="","",IF(P137="Ingreso",S137,0))</f>
        <v/>
      </c>
      <c r="W137" s="53">
        <f>IF(P137="","",IF(P137="Resultado trading",S137,0))</f>
        <v/>
      </c>
      <c r="X137" s="52">
        <f>IF(OR(P137="Gasto",P137="Reembolso"),IF(M137&lt;&gt;"",M137,IFERROR(INDEX(catClasif,MATCH(D137&amp;"|"&amp;E137,catClave,0))&amp;"","Variable")),"")</f>
        <v/>
      </c>
      <c r="Y137" s="52">
        <f>IF(P137="","",IFERROR(INDEX(catGrupo,MATCH(D137&amp;"|"&amp;E137,catClave,0))&amp;"",""))</f>
        <v/>
      </c>
      <c r="Z137" s="52">
        <f>IF(P137="","",WEEKDAY(B137,2))</f>
        <v/>
      </c>
      <c r="AA137" s="52">
        <f>IF(P137="","",IF(AND(P137="Gasto",X137="Variable",D137&lt;&gt;catTrading,S137&gt;0,S137&lt;=Umbral),1,0))</f>
        <v/>
      </c>
      <c r="AB137" s="52">
        <f>IF(OR(P137="",Q137=""),"",IFERROR(IF(INDEX(ctaVinc,MATCH(Q137,ctaNombre,0))&amp;""&lt;&gt;"",INDEX(ctaVinc,MATCH(Q137,ctaNombre,0))&amp;"",Q137),Q137))</f>
        <v/>
      </c>
      <c r="AC137" s="52">
        <f>IF(OR(K137="",AND(P137&lt;&gt;"Transferencia",P137&lt;&gt;"Pago tarjeta")),"",IFERROR(IF(INDEX(ctaVinc,MATCH(K137,ctaNombre,0))&amp;""&lt;&gt;"",INDEX(ctaVinc,MATCH(K137,ctaNombre,0))&amp;"",K137),K137))</f>
        <v/>
      </c>
      <c r="AD137" s="52">
        <f>IF(AB137="","",IFERROR(INDEX(ctaTipo,MATCH(AB137,ctaNombre,0))&amp;"",""))</f>
        <v/>
      </c>
      <c r="AE137" s="52">
        <f>IF(AC137="","",IFERROR(INDEX(ctaTipo,MATCH(AC137,ctaNombre,0))&amp;"",""))</f>
        <v/>
      </c>
      <c r="AF137" s="53">
        <f>IF(OR(P137="",AB137=""),"",IF(OR(P137="Gasto",P137="Transferencia",P137="Pago tarjeta"),-1,1)*IF(IFERROR(INDEX(ctaMoneda,MATCH(AB137,ctaNombre,0))&amp;"","DOP")="USD",T137,S137))</f>
        <v/>
      </c>
      <c r="AG137" s="53">
        <f>IF(AC137="","",IF(IFERROR(INDEX(ctaMoneda,MATCH(AC137,ctaNombre,0))&amp;"","DOP")="USD",T137,S137))</f>
        <v/>
      </c>
      <c r="AH137" s="53">
        <f>IF(P137="","",IF(AND(AD137&lt;&gt;"",COUNTIFS(tcTipo,AD137,tcLiq,"Sí")&gt;0),IF(OR(P137="Gasto",P137="Transferencia",P137="Pago tarjeta"),-1,1)*S137,0)+IF(AND(AE137&lt;&gt;"",COUNTIFS(tcTipo,AE137,tcLiq,"Sí")&gt;0),S137,0))</f>
        <v/>
      </c>
      <c r="AI137" s="52">
        <f>IF(OR(L137="",P137=""),"",IF(COUNTIFS(L$6:L137,L137,P$6:P137,"?*")=1,MAX(AI$5:AI136)+1,""))</f>
        <v/>
      </c>
    </row>
    <row r="138">
      <c r="B138" s="47" t="n">
        <v>46289</v>
      </c>
      <c r="C138" s="48" t="inlineStr">
        <is>
          <t>Gasto</t>
        </is>
      </c>
      <c r="D138" s="48" t="inlineStr">
        <is>
          <t>Regalos</t>
        </is>
      </c>
      <c r="E138" s="48" t="inlineStr">
        <is>
          <t>Regalos</t>
        </is>
      </c>
      <c r="F138" s="48" t="inlineStr">
        <is>
          <t>DEMO · Regalo de cumpleaños</t>
        </is>
      </c>
      <c r="G138" s="49" t="n">
        <v>2000</v>
      </c>
      <c r="H138" s="48" t="inlineStr">
        <is>
          <t>DOP</t>
        </is>
      </c>
      <c r="I138" s="50" t="n"/>
      <c r="J138" s="48" t="inlineStr">
        <is>
          <t>Tarjeta de crédito</t>
        </is>
      </c>
      <c r="K138" s="48" t="n"/>
      <c r="L138" s="48" t="inlineStr">
        <is>
          <t>Tienda de regalos</t>
        </is>
      </c>
      <c r="M138" s="48" t="n"/>
      <c r="N138" s="48" t="inlineStr">
        <is>
          <t>DEMOSTRACIÓN</t>
        </is>
      </c>
      <c r="O138" s="51">
        <f>IF(AND(B138="",G138="",C138="",D138="",J138=""),"",IF(B138="","⚠ Falta fecha",IF(G138="","⚠ Falta monto",IF(Q138="","⚠ Falta cuenta",IF(ISNA(MATCH(Q138,ctaNombre,0)),"⚠ Cuenta no registrada",IF(AND(OR(P138="Gasto",P138="Reembolso"),D138=""),"⚠ Falta categoría",IF(AND(D138&lt;&gt;"",E138&lt;&gt;"",ISNA(MATCH(D138&amp;"|"&amp;E138,catClave,0))),"⚠ Subcategoría no corresponde",IF(AND(OR(P138="Transferencia",P138="Pago tarjeta"),K138=""),"⚠ Falta cuenta destino",IF(AND(K138&lt;&gt;"",P138&lt;&gt;"Transferencia",P138&lt;&gt;"Pago tarjeta"),"⚠ Destino solo aplica a transferencias",IF(AND(K138&lt;&gt;"",K138=Q138),"⚠ Origen igual a destino",IF(AND(K138&lt;&gt;"",ISNA(MATCH(K138,ctaNombre,0))),"⚠ Destino no registrado",IF(AND(P138="Pago tarjeta",AE138&lt;&gt;"Tarjeta de crédito"),"⚠ El destino debe ser tarjeta de crédito",IF(AND(P138="Gasto",E138="Depósitos y retiros"),"⚠ Usa tipo Transferencia",IF(AND(P138="Resultado trading",AD138&lt;&gt;"Cuenta de trading"),"⚠ Usa una cuenta de trading",IF(AND(G138&lt;=0,P138&lt;&gt;"Ajuste",P138&lt;&gt;"Resultado trading"),"⚠ El monto debe ser positivo","✓")))))))))))))))</f>
        <v/>
      </c>
      <c r="P138" s="52">
        <f>IF(OR(B138="",G138=""),"",IF(C138="","Gasto",C138))</f>
        <v/>
      </c>
      <c r="Q138" s="52">
        <f>IF(P138="","",IF(J138&lt;&gt;"",J138,CuentaPred&amp;""))</f>
        <v/>
      </c>
      <c r="R138" s="52">
        <f>IF(P138="","",IF(ISNUMBER(I138),I138,TasaUSD))</f>
        <v/>
      </c>
      <c r="S138" s="53">
        <f>IF(P138="","",IF(H138="USD",G138*R138,G138))</f>
        <v/>
      </c>
      <c r="T138" s="53">
        <f>IF(P138="","",IF(H138="USD",G138,IF(R138&gt;0,G138/R138,0)))</f>
        <v/>
      </c>
      <c r="U138" s="53">
        <f>IF(P138="","",IF(P138="Gasto",S138,IF(P138="Reembolso",-S138,0)))</f>
        <v/>
      </c>
      <c r="V138" s="53">
        <f>IF(P138="","",IF(P138="Ingreso",S138,0))</f>
        <v/>
      </c>
      <c r="W138" s="53">
        <f>IF(P138="","",IF(P138="Resultado trading",S138,0))</f>
        <v/>
      </c>
      <c r="X138" s="52">
        <f>IF(OR(P138="Gasto",P138="Reembolso"),IF(M138&lt;&gt;"",M138,IFERROR(INDEX(catClasif,MATCH(D138&amp;"|"&amp;E138,catClave,0))&amp;"","Variable")),"")</f>
        <v/>
      </c>
      <c r="Y138" s="52">
        <f>IF(P138="","",IFERROR(INDEX(catGrupo,MATCH(D138&amp;"|"&amp;E138,catClave,0))&amp;"",""))</f>
        <v/>
      </c>
      <c r="Z138" s="52">
        <f>IF(P138="","",WEEKDAY(B138,2))</f>
        <v/>
      </c>
      <c r="AA138" s="52">
        <f>IF(P138="","",IF(AND(P138="Gasto",X138="Variable",D138&lt;&gt;catTrading,S138&gt;0,S138&lt;=Umbral),1,0))</f>
        <v/>
      </c>
      <c r="AB138" s="52">
        <f>IF(OR(P138="",Q138=""),"",IFERROR(IF(INDEX(ctaVinc,MATCH(Q138,ctaNombre,0))&amp;""&lt;&gt;"",INDEX(ctaVinc,MATCH(Q138,ctaNombre,0))&amp;"",Q138),Q138))</f>
        <v/>
      </c>
      <c r="AC138" s="52">
        <f>IF(OR(K138="",AND(P138&lt;&gt;"Transferencia",P138&lt;&gt;"Pago tarjeta")),"",IFERROR(IF(INDEX(ctaVinc,MATCH(K138,ctaNombre,0))&amp;""&lt;&gt;"",INDEX(ctaVinc,MATCH(K138,ctaNombre,0))&amp;"",K138),K138))</f>
        <v/>
      </c>
      <c r="AD138" s="52">
        <f>IF(AB138="","",IFERROR(INDEX(ctaTipo,MATCH(AB138,ctaNombre,0))&amp;"",""))</f>
        <v/>
      </c>
      <c r="AE138" s="52">
        <f>IF(AC138="","",IFERROR(INDEX(ctaTipo,MATCH(AC138,ctaNombre,0))&amp;"",""))</f>
        <v/>
      </c>
      <c r="AF138" s="53">
        <f>IF(OR(P138="",AB138=""),"",IF(OR(P138="Gasto",P138="Transferencia",P138="Pago tarjeta"),-1,1)*IF(IFERROR(INDEX(ctaMoneda,MATCH(AB138,ctaNombre,0))&amp;"","DOP")="USD",T138,S138))</f>
        <v/>
      </c>
      <c r="AG138" s="53">
        <f>IF(AC138="","",IF(IFERROR(INDEX(ctaMoneda,MATCH(AC138,ctaNombre,0))&amp;"","DOP")="USD",T138,S138))</f>
        <v/>
      </c>
      <c r="AH138" s="53">
        <f>IF(P138="","",IF(AND(AD138&lt;&gt;"",COUNTIFS(tcTipo,AD138,tcLiq,"Sí")&gt;0),IF(OR(P138="Gasto",P138="Transferencia",P138="Pago tarjeta"),-1,1)*S138,0)+IF(AND(AE138&lt;&gt;"",COUNTIFS(tcTipo,AE138,tcLiq,"Sí")&gt;0),S138,0))</f>
        <v/>
      </c>
      <c r="AI138" s="52">
        <f>IF(OR(L138="",P138=""),"",IF(COUNTIFS(L$6:L138,L138,P$6:P138,"?*")=1,MAX(AI$5:AI137)+1,""))</f>
        <v/>
      </c>
    </row>
    <row r="139">
      <c r="B139" s="47" t="n">
        <v>46290</v>
      </c>
      <c r="C139" s="48" t="inlineStr">
        <is>
          <t>Gasto</t>
        </is>
      </c>
      <c r="D139" s="48" t="inlineStr">
        <is>
          <t>Alimentación</t>
        </is>
      </c>
      <c r="E139" s="48" t="inlineStr">
        <is>
          <t>Desayunos comprados</t>
        </is>
      </c>
      <c r="F139" s="48" t="inlineStr">
        <is>
          <t>DEMO · Desayuno en la oficina</t>
        </is>
      </c>
      <c r="G139" s="49" t="n">
        <v>210</v>
      </c>
      <c r="H139" s="48" t="inlineStr">
        <is>
          <t>DOP</t>
        </is>
      </c>
      <c r="I139" s="50" t="n"/>
      <c r="J139" s="48" t="inlineStr">
        <is>
          <t>Tarjeta de débito</t>
        </is>
      </c>
      <c r="K139" s="48" t="n"/>
      <c r="L139" s="48" t="inlineStr">
        <is>
          <t>Cafetería del trabajo</t>
        </is>
      </c>
      <c r="M139" s="48" t="n"/>
      <c r="N139" s="48" t="inlineStr">
        <is>
          <t>DEMOSTRACIÓN</t>
        </is>
      </c>
      <c r="O139" s="51">
        <f>IF(AND(B139="",G139="",C139="",D139="",J139=""),"",IF(B139="","⚠ Falta fecha",IF(G139="","⚠ Falta monto",IF(Q139="","⚠ Falta cuenta",IF(ISNA(MATCH(Q139,ctaNombre,0)),"⚠ Cuenta no registrada",IF(AND(OR(P139="Gasto",P139="Reembolso"),D139=""),"⚠ Falta categoría",IF(AND(D139&lt;&gt;"",E139&lt;&gt;"",ISNA(MATCH(D139&amp;"|"&amp;E139,catClave,0))),"⚠ Subcategoría no corresponde",IF(AND(OR(P139="Transferencia",P139="Pago tarjeta"),K139=""),"⚠ Falta cuenta destino",IF(AND(K139&lt;&gt;"",P139&lt;&gt;"Transferencia",P139&lt;&gt;"Pago tarjeta"),"⚠ Destino solo aplica a transferencias",IF(AND(K139&lt;&gt;"",K139=Q139),"⚠ Origen igual a destino",IF(AND(K139&lt;&gt;"",ISNA(MATCH(K139,ctaNombre,0))),"⚠ Destino no registrado",IF(AND(P139="Pago tarjeta",AE139&lt;&gt;"Tarjeta de crédito"),"⚠ El destino debe ser tarjeta de crédito",IF(AND(P139="Gasto",E139="Depósitos y retiros"),"⚠ Usa tipo Transferencia",IF(AND(P139="Resultado trading",AD139&lt;&gt;"Cuenta de trading"),"⚠ Usa una cuenta de trading",IF(AND(G139&lt;=0,P139&lt;&gt;"Ajuste",P139&lt;&gt;"Resultado trading"),"⚠ El monto debe ser positivo","✓")))))))))))))))</f>
        <v/>
      </c>
      <c r="P139" s="52">
        <f>IF(OR(B139="",G139=""),"",IF(C139="","Gasto",C139))</f>
        <v/>
      </c>
      <c r="Q139" s="52">
        <f>IF(P139="","",IF(J139&lt;&gt;"",J139,CuentaPred&amp;""))</f>
        <v/>
      </c>
      <c r="R139" s="52">
        <f>IF(P139="","",IF(ISNUMBER(I139),I139,TasaUSD))</f>
        <v/>
      </c>
      <c r="S139" s="53">
        <f>IF(P139="","",IF(H139="USD",G139*R139,G139))</f>
        <v/>
      </c>
      <c r="T139" s="53">
        <f>IF(P139="","",IF(H139="USD",G139,IF(R139&gt;0,G139/R139,0)))</f>
        <v/>
      </c>
      <c r="U139" s="53">
        <f>IF(P139="","",IF(P139="Gasto",S139,IF(P139="Reembolso",-S139,0)))</f>
        <v/>
      </c>
      <c r="V139" s="53">
        <f>IF(P139="","",IF(P139="Ingreso",S139,0))</f>
        <v/>
      </c>
      <c r="W139" s="53">
        <f>IF(P139="","",IF(P139="Resultado trading",S139,0))</f>
        <v/>
      </c>
      <c r="X139" s="52">
        <f>IF(OR(P139="Gasto",P139="Reembolso"),IF(M139&lt;&gt;"",M139,IFERROR(INDEX(catClasif,MATCH(D139&amp;"|"&amp;E139,catClave,0))&amp;"","Variable")),"")</f>
        <v/>
      </c>
      <c r="Y139" s="52">
        <f>IF(P139="","",IFERROR(INDEX(catGrupo,MATCH(D139&amp;"|"&amp;E139,catClave,0))&amp;"",""))</f>
        <v/>
      </c>
      <c r="Z139" s="52">
        <f>IF(P139="","",WEEKDAY(B139,2))</f>
        <v/>
      </c>
      <c r="AA139" s="52">
        <f>IF(P139="","",IF(AND(P139="Gasto",X139="Variable",D139&lt;&gt;catTrading,S139&gt;0,S139&lt;=Umbral),1,0))</f>
        <v/>
      </c>
      <c r="AB139" s="52">
        <f>IF(OR(P139="",Q139=""),"",IFERROR(IF(INDEX(ctaVinc,MATCH(Q139,ctaNombre,0))&amp;""&lt;&gt;"",INDEX(ctaVinc,MATCH(Q139,ctaNombre,0))&amp;"",Q139),Q139))</f>
        <v/>
      </c>
      <c r="AC139" s="52">
        <f>IF(OR(K139="",AND(P139&lt;&gt;"Transferencia",P139&lt;&gt;"Pago tarjeta")),"",IFERROR(IF(INDEX(ctaVinc,MATCH(K139,ctaNombre,0))&amp;""&lt;&gt;"",INDEX(ctaVinc,MATCH(K139,ctaNombre,0))&amp;"",K139),K139))</f>
        <v/>
      </c>
      <c r="AD139" s="52">
        <f>IF(AB139="","",IFERROR(INDEX(ctaTipo,MATCH(AB139,ctaNombre,0))&amp;"",""))</f>
        <v/>
      </c>
      <c r="AE139" s="52">
        <f>IF(AC139="","",IFERROR(INDEX(ctaTipo,MATCH(AC139,ctaNombre,0))&amp;"",""))</f>
        <v/>
      </c>
      <c r="AF139" s="53">
        <f>IF(OR(P139="",AB139=""),"",IF(OR(P139="Gasto",P139="Transferencia",P139="Pago tarjeta"),-1,1)*IF(IFERROR(INDEX(ctaMoneda,MATCH(AB139,ctaNombre,0))&amp;"","DOP")="USD",T139,S139))</f>
        <v/>
      </c>
      <c r="AG139" s="53">
        <f>IF(AC139="","",IF(IFERROR(INDEX(ctaMoneda,MATCH(AC139,ctaNombre,0))&amp;"","DOP")="USD",T139,S139))</f>
        <v/>
      </c>
      <c r="AH139" s="53">
        <f>IF(P139="","",IF(AND(AD139&lt;&gt;"",COUNTIFS(tcTipo,AD139,tcLiq,"Sí")&gt;0),IF(OR(P139="Gasto",P139="Transferencia",P139="Pago tarjeta"),-1,1)*S139,0)+IF(AND(AE139&lt;&gt;"",COUNTIFS(tcTipo,AE139,tcLiq,"Sí")&gt;0),S139,0))</f>
        <v/>
      </c>
      <c r="AI139" s="52">
        <f>IF(OR(L139="",P139=""),"",IF(COUNTIFS(L$6:L139,L139,P$6:P139,"?*")=1,MAX(AI$5:AI138)+1,""))</f>
        <v/>
      </c>
    </row>
    <row r="140">
      <c r="B140" s="47" t="n">
        <v>46290</v>
      </c>
      <c r="C140" s="48" t="inlineStr">
        <is>
          <t>Gasto</t>
        </is>
      </c>
      <c r="D140" s="48" t="inlineStr">
        <is>
          <t>Alimentación</t>
        </is>
      </c>
      <c r="E140" s="48" t="inlineStr">
        <is>
          <t>Almuerzos laborales</t>
        </is>
      </c>
      <c r="F140" s="48" t="inlineStr">
        <is>
          <t>DEMO · Almuerzo laboral</t>
        </is>
      </c>
      <c r="G140" s="49" t="n">
        <v>575</v>
      </c>
      <c r="H140" s="48" t="inlineStr">
        <is>
          <t>DOP</t>
        </is>
      </c>
      <c r="I140" s="50" t="n"/>
      <c r="J140" s="48" t="inlineStr">
        <is>
          <t>Billetera digital</t>
        </is>
      </c>
      <c r="K140" s="48" t="n"/>
      <c r="L140" s="48" t="inlineStr">
        <is>
          <t>Comedor ejecutivo</t>
        </is>
      </c>
      <c r="M140" s="48" t="n"/>
      <c r="N140" s="48" t="inlineStr">
        <is>
          <t>DEMOSTRACIÓN</t>
        </is>
      </c>
      <c r="O140" s="51">
        <f>IF(AND(B140="",G140="",C140="",D140="",J140=""),"",IF(B140="","⚠ Falta fecha",IF(G140="","⚠ Falta monto",IF(Q140="","⚠ Falta cuenta",IF(ISNA(MATCH(Q140,ctaNombre,0)),"⚠ Cuenta no registrada",IF(AND(OR(P140="Gasto",P140="Reembolso"),D140=""),"⚠ Falta categoría",IF(AND(D140&lt;&gt;"",E140&lt;&gt;"",ISNA(MATCH(D140&amp;"|"&amp;E140,catClave,0))),"⚠ Subcategoría no corresponde",IF(AND(OR(P140="Transferencia",P140="Pago tarjeta"),K140=""),"⚠ Falta cuenta destino",IF(AND(K140&lt;&gt;"",P140&lt;&gt;"Transferencia",P140&lt;&gt;"Pago tarjeta"),"⚠ Destino solo aplica a transferencias",IF(AND(K140&lt;&gt;"",K140=Q140),"⚠ Origen igual a destino",IF(AND(K140&lt;&gt;"",ISNA(MATCH(K140,ctaNombre,0))),"⚠ Destino no registrado",IF(AND(P140="Pago tarjeta",AE140&lt;&gt;"Tarjeta de crédito"),"⚠ El destino debe ser tarjeta de crédito",IF(AND(P140="Gasto",E140="Depósitos y retiros"),"⚠ Usa tipo Transferencia",IF(AND(P140="Resultado trading",AD140&lt;&gt;"Cuenta de trading"),"⚠ Usa una cuenta de trading",IF(AND(G140&lt;=0,P140&lt;&gt;"Ajuste",P140&lt;&gt;"Resultado trading"),"⚠ El monto debe ser positivo","✓")))))))))))))))</f>
        <v/>
      </c>
      <c r="P140" s="52">
        <f>IF(OR(B140="",G140=""),"",IF(C140="","Gasto",C140))</f>
        <v/>
      </c>
      <c r="Q140" s="52">
        <f>IF(P140="","",IF(J140&lt;&gt;"",J140,CuentaPred&amp;""))</f>
        <v/>
      </c>
      <c r="R140" s="52">
        <f>IF(P140="","",IF(ISNUMBER(I140),I140,TasaUSD))</f>
        <v/>
      </c>
      <c r="S140" s="53">
        <f>IF(P140="","",IF(H140="USD",G140*R140,G140))</f>
        <v/>
      </c>
      <c r="T140" s="53">
        <f>IF(P140="","",IF(H140="USD",G140,IF(R140&gt;0,G140/R140,0)))</f>
        <v/>
      </c>
      <c r="U140" s="53">
        <f>IF(P140="","",IF(P140="Gasto",S140,IF(P140="Reembolso",-S140,0)))</f>
        <v/>
      </c>
      <c r="V140" s="53">
        <f>IF(P140="","",IF(P140="Ingreso",S140,0))</f>
        <v/>
      </c>
      <c r="W140" s="53">
        <f>IF(P140="","",IF(P140="Resultado trading",S140,0))</f>
        <v/>
      </c>
      <c r="X140" s="52">
        <f>IF(OR(P140="Gasto",P140="Reembolso"),IF(M140&lt;&gt;"",M140,IFERROR(INDEX(catClasif,MATCH(D140&amp;"|"&amp;E140,catClave,0))&amp;"","Variable")),"")</f>
        <v/>
      </c>
      <c r="Y140" s="52">
        <f>IF(P140="","",IFERROR(INDEX(catGrupo,MATCH(D140&amp;"|"&amp;E140,catClave,0))&amp;"",""))</f>
        <v/>
      </c>
      <c r="Z140" s="52">
        <f>IF(P140="","",WEEKDAY(B140,2))</f>
        <v/>
      </c>
      <c r="AA140" s="52">
        <f>IF(P140="","",IF(AND(P140="Gasto",X140="Variable",D140&lt;&gt;catTrading,S140&gt;0,S140&lt;=Umbral),1,0))</f>
        <v/>
      </c>
      <c r="AB140" s="52">
        <f>IF(OR(P140="",Q140=""),"",IFERROR(IF(INDEX(ctaVinc,MATCH(Q140,ctaNombre,0))&amp;""&lt;&gt;"",INDEX(ctaVinc,MATCH(Q140,ctaNombre,0))&amp;"",Q140),Q140))</f>
        <v/>
      </c>
      <c r="AC140" s="52">
        <f>IF(OR(K140="",AND(P140&lt;&gt;"Transferencia",P140&lt;&gt;"Pago tarjeta")),"",IFERROR(IF(INDEX(ctaVinc,MATCH(K140,ctaNombre,0))&amp;""&lt;&gt;"",INDEX(ctaVinc,MATCH(K140,ctaNombre,0))&amp;"",K140),K140))</f>
        <v/>
      </c>
      <c r="AD140" s="52">
        <f>IF(AB140="","",IFERROR(INDEX(ctaTipo,MATCH(AB140,ctaNombre,0))&amp;"",""))</f>
        <v/>
      </c>
      <c r="AE140" s="52">
        <f>IF(AC140="","",IFERROR(INDEX(ctaTipo,MATCH(AC140,ctaNombre,0))&amp;"",""))</f>
        <v/>
      </c>
      <c r="AF140" s="53">
        <f>IF(OR(P140="",AB140=""),"",IF(OR(P140="Gasto",P140="Transferencia",P140="Pago tarjeta"),-1,1)*IF(IFERROR(INDEX(ctaMoneda,MATCH(AB140,ctaNombre,0))&amp;"","DOP")="USD",T140,S140))</f>
        <v/>
      </c>
      <c r="AG140" s="53">
        <f>IF(AC140="","",IF(IFERROR(INDEX(ctaMoneda,MATCH(AC140,ctaNombre,0))&amp;"","DOP")="USD",T140,S140))</f>
        <v/>
      </c>
      <c r="AH140" s="53">
        <f>IF(P140="","",IF(AND(AD140&lt;&gt;"",COUNTIFS(tcTipo,AD140,tcLiq,"Sí")&gt;0),IF(OR(P140="Gasto",P140="Transferencia",P140="Pago tarjeta"),-1,1)*S140,0)+IF(AND(AE140&lt;&gt;"",COUNTIFS(tcTipo,AE140,tcLiq,"Sí")&gt;0),S140,0))</f>
        <v/>
      </c>
      <c r="AI140" s="52">
        <f>IF(OR(L140="",P140=""),"",IF(COUNTIFS(L$6:L140,L140,P$6:P140,"?*")=1,MAX(AI$5:AI139)+1,""))</f>
        <v/>
      </c>
    </row>
    <row r="141">
      <c r="B141" s="47" t="n">
        <v>46290</v>
      </c>
      <c r="C141" s="48" t="inlineStr">
        <is>
          <t>Gasto</t>
        </is>
      </c>
      <c r="D141" s="48" t="inlineStr">
        <is>
          <t>Alimentación</t>
        </is>
      </c>
      <c r="E141" s="48" t="inlineStr">
        <is>
          <t>Delivery</t>
        </is>
      </c>
      <c r="F141" s="48" t="inlineStr">
        <is>
          <t>DEMO · Pedido a domicilio</t>
        </is>
      </c>
      <c r="G141" s="49" t="n">
        <v>1050</v>
      </c>
      <c r="H141" s="48" t="inlineStr">
        <is>
          <t>DOP</t>
        </is>
      </c>
      <c r="I141" s="50" t="n"/>
      <c r="J141" s="48" t="inlineStr">
        <is>
          <t>Tarjeta de crédito</t>
        </is>
      </c>
      <c r="K141" s="48" t="n"/>
      <c r="L141" s="48" t="inlineStr">
        <is>
          <t>App de delivery</t>
        </is>
      </c>
      <c r="M141" s="48" t="n"/>
      <c r="N141" s="48" t="inlineStr">
        <is>
          <t>DEMOSTRACIÓN</t>
        </is>
      </c>
      <c r="O141" s="51">
        <f>IF(AND(B141="",G141="",C141="",D141="",J141=""),"",IF(B141="","⚠ Falta fecha",IF(G141="","⚠ Falta monto",IF(Q141="","⚠ Falta cuenta",IF(ISNA(MATCH(Q141,ctaNombre,0)),"⚠ Cuenta no registrada",IF(AND(OR(P141="Gasto",P141="Reembolso"),D141=""),"⚠ Falta categoría",IF(AND(D141&lt;&gt;"",E141&lt;&gt;"",ISNA(MATCH(D141&amp;"|"&amp;E141,catClave,0))),"⚠ Subcategoría no corresponde",IF(AND(OR(P141="Transferencia",P141="Pago tarjeta"),K141=""),"⚠ Falta cuenta destino",IF(AND(K141&lt;&gt;"",P141&lt;&gt;"Transferencia",P141&lt;&gt;"Pago tarjeta"),"⚠ Destino solo aplica a transferencias",IF(AND(K141&lt;&gt;"",K141=Q141),"⚠ Origen igual a destino",IF(AND(K141&lt;&gt;"",ISNA(MATCH(K141,ctaNombre,0))),"⚠ Destino no registrado",IF(AND(P141="Pago tarjeta",AE141&lt;&gt;"Tarjeta de crédito"),"⚠ El destino debe ser tarjeta de crédito",IF(AND(P141="Gasto",E141="Depósitos y retiros"),"⚠ Usa tipo Transferencia",IF(AND(P141="Resultado trading",AD141&lt;&gt;"Cuenta de trading"),"⚠ Usa una cuenta de trading",IF(AND(G141&lt;=0,P141&lt;&gt;"Ajuste",P141&lt;&gt;"Resultado trading"),"⚠ El monto debe ser positivo","✓")))))))))))))))</f>
        <v/>
      </c>
      <c r="P141" s="52">
        <f>IF(OR(B141="",G141=""),"",IF(C141="","Gasto",C141))</f>
        <v/>
      </c>
      <c r="Q141" s="52">
        <f>IF(P141="","",IF(J141&lt;&gt;"",J141,CuentaPred&amp;""))</f>
        <v/>
      </c>
      <c r="R141" s="52">
        <f>IF(P141="","",IF(ISNUMBER(I141),I141,TasaUSD))</f>
        <v/>
      </c>
      <c r="S141" s="53">
        <f>IF(P141="","",IF(H141="USD",G141*R141,G141))</f>
        <v/>
      </c>
      <c r="T141" s="53">
        <f>IF(P141="","",IF(H141="USD",G141,IF(R141&gt;0,G141/R141,0)))</f>
        <v/>
      </c>
      <c r="U141" s="53">
        <f>IF(P141="","",IF(P141="Gasto",S141,IF(P141="Reembolso",-S141,0)))</f>
        <v/>
      </c>
      <c r="V141" s="53">
        <f>IF(P141="","",IF(P141="Ingreso",S141,0))</f>
        <v/>
      </c>
      <c r="W141" s="53">
        <f>IF(P141="","",IF(P141="Resultado trading",S141,0))</f>
        <v/>
      </c>
      <c r="X141" s="52">
        <f>IF(OR(P141="Gasto",P141="Reembolso"),IF(M141&lt;&gt;"",M141,IFERROR(INDEX(catClasif,MATCH(D141&amp;"|"&amp;E141,catClave,0))&amp;"","Variable")),"")</f>
        <v/>
      </c>
      <c r="Y141" s="52">
        <f>IF(P141="","",IFERROR(INDEX(catGrupo,MATCH(D141&amp;"|"&amp;E141,catClave,0))&amp;"",""))</f>
        <v/>
      </c>
      <c r="Z141" s="52">
        <f>IF(P141="","",WEEKDAY(B141,2))</f>
        <v/>
      </c>
      <c r="AA141" s="52">
        <f>IF(P141="","",IF(AND(P141="Gasto",X141="Variable",D141&lt;&gt;catTrading,S141&gt;0,S141&lt;=Umbral),1,0))</f>
        <v/>
      </c>
      <c r="AB141" s="52">
        <f>IF(OR(P141="",Q141=""),"",IFERROR(IF(INDEX(ctaVinc,MATCH(Q141,ctaNombre,0))&amp;""&lt;&gt;"",INDEX(ctaVinc,MATCH(Q141,ctaNombre,0))&amp;"",Q141),Q141))</f>
        <v/>
      </c>
      <c r="AC141" s="52">
        <f>IF(OR(K141="",AND(P141&lt;&gt;"Transferencia",P141&lt;&gt;"Pago tarjeta")),"",IFERROR(IF(INDEX(ctaVinc,MATCH(K141,ctaNombre,0))&amp;""&lt;&gt;"",INDEX(ctaVinc,MATCH(K141,ctaNombre,0))&amp;"",K141),K141))</f>
        <v/>
      </c>
      <c r="AD141" s="52">
        <f>IF(AB141="","",IFERROR(INDEX(ctaTipo,MATCH(AB141,ctaNombre,0))&amp;"",""))</f>
        <v/>
      </c>
      <c r="AE141" s="52">
        <f>IF(AC141="","",IFERROR(INDEX(ctaTipo,MATCH(AC141,ctaNombre,0))&amp;"",""))</f>
        <v/>
      </c>
      <c r="AF141" s="53">
        <f>IF(OR(P141="",AB141=""),"",IF(OR(P141="Gasto",P141="Transferencia",P141="Pago tarjeta"),-1,1)*IF(IFERROR(INDEX(ctaMoneda,MATCH(AB141,ctaNombre,0))&amp;"","DOP")="USD",T141,S141))</f>
        <v/>
      </c>
      <c r="AG141" s="53">
        <f>IF(AC141="","",IF(IFERROR(INDEX(ctaMoneda,MATCH(AC141,ctaNombre,0))&amp;"","DOP")="USD",T141,S141))</f>
        <v/>
      </c>
      <c r="AH141" s="53">
        <f>IF(P141="","",IF(AND(AD141&lt;&gt;"",COUNTIFS(tcTipo,AD141,tcLiq,"Sí")&gt;0),IF(OR(P141="Gasto",P141="Transferencia",P141="Pago tarjeta"),-1,1)*S141,0)+IF(AND(AE141&lt;&gt;"",COUNTIFS(tcTipo,AE141,tcLiq,"Sí")&gt;0),S141,0))</f>
        <v/>
      </c>
      <c r="AI141" s="52">
        <f>IF(OR(L141="",P141=""),"",IF(COUNTIFS(L$6:L141,L141,P$6:P141,"?*")=1,MAX(AI$5:AI140)+1,""))</f>
        <v/>
      </c>
    </row>
    <row r="142">
      <c r="B142" s="47" t="n">
        <v>46290</v>
      </c>
      <c r="C142" s="48" t="inlineStr">
        <is>
          <t>Pago tarjeta</t>
        </is>
      </c>
      <c r="D142" s="48" t="n"/>
      <c r="E142" s="48" t="n"/>
      <c r="F142" s="48" t="inlineStr">
        <is>
          <t>DEMO · Pago de tarjeta de crédito</t>
        </is>
      </c>
      <c r="G142" s="49" t="n">
        <v>30000</v>
      </c>
      <c r="H142" s="48" t="inlineStr">
        <is>
          <t>DOP</t>
        </is>
      </c>
      <c r="I142" s="50" t="n"/>
      <c r="J142" s="48" t="inlineStr">
        <is>
          <t>Banco principal</t>
        </is>
      </c>
      <c r="K142" s="48" t="inlineStr">
        <is>
          <t>Tarjeta de crédito</t>
        </is>
      </c>
      <c r="L142" s="48" t="n"/>
      <c r="M142" s="48" t="n"/>
      <c r="N142" s="48" t="inlineStr">
        <is>
          <t>DEMOSTRACIÓN</t>
        </is>
      </c>
      <c r="O142" s="51">
        <f>IF(AND(B142="",G142="",C142="",D142="",J142=""),"",IF(B142="","⚠ Falta fecha",IF(G142="","⚠ Falta monto",IF(Q142="","⚠ Falta cuenta",IF(ISNA(MATCH(Q142,ctaNombre,0)),"⚠ Cuenta no registrada",IF(AND(OR(P142="Gasto",P142="Reembolso"),D142=""),"⚠ Falta categoría",IF(AND(D142&lt;&gt;"",E142&lt;&gt;"",ISNA(MATCH(D142&amp;"|"&amp;E142,catClave,0))),"⚠ Subcategoría no corresponde",IF(AND(OR(P142="Transferencia",P142="Pago tarjeta"),K142=""),"⚠ Falta cuenta destino",IF(AND(K142&lt;&gt;"",P142&lt;&gt;"Transferencia",P142&lt;&gt;"Pago tarjeta"),"⚠ Destino solo aplica a transferencias",IF(AND(K142&lt;&gt;"",K142=Q142),"⚠ Origen igual a destino",IF(AND(K142&lt;&gt;"",ISNA(MATCH(K142,ctaNombre,0))),"⚠ Destino no registrado",IF(AND(P142="Pago tarjeta",AE142&lt;&gt;"Tarjeta de crédito"),"⚠ El destino debe ser tarjeta de crédito",IF(AND(P142="Gasto",E142="Depósitos y retiros"),"⚠ Usa tipo Transferencia",IF(AND(P142="Resultado trading",AD142&lt;&gt;"Cuenta de trading"),"⚠ Usa una cuenta de trading",IF(AND(G142&lt;=0,P142&lt;&gt;"Ajuste",P142&lt;&gt;"Resultado trading"),"⚠ El monto debe ser positivo","✓")))))))))))))))</f>
        <v/>
      </c>
      <c r="P142" s="52">
        <f>IF(OR(B142="",G142=""),"",IF(C142="","Gasto",C142))</f>
        <v/>
      </c>
      <c r="Q142" s="52">
        <f>IF(P142="","",IF(J142&lt;&gt;"",J142,CuentaPred&amp;""))</f>
        <v/>
      </c>
      <c r="R142" s="52">
        <f>IF(P142="","",IF(ISNUMBER(I142),I142,TasaUSD))</f>
        <v/>
      </c>
      <c r="S142" s="53">
        <f>IF(P142="","",IF(H142="USD",G142*R142,G142))</f>
        <v/>
      </c>
      <c r="T142" s="53">
        <f>IF(P142="","",IF(H142="USD",G142,IF(R142&gt;0,G142/R142,0)))</f>
        <v/>
      </c>
      <c r="U142" s="53">
        <f>IF(P142="","",IF(P142="Gasto",S142,IF(P142="Reembolso",-S142,0)))</f>
        <v/>
      </c>
      <c r="V142" s="53">
        <f>IF(P142="","",IF(P142="Ingreso",S142,0))</f>
        <v/>
      </c>
      <c r="W142" s="53">
        <f>IF(P142="","",IF(P142="Resultado trading",S142,0))</f>
        <v/>
      </c>
      <c r="X142" s="52">
        <f>IF(OR(P142="Gasto",P142="Reembolso"),IF(M142&lt;&gt;"",M142,IFERROR(INDEX(catClasif,MATCH(D142&amp;"|"&amp;E142,catClave,0))&amp;"","Variable")),"")</f>
        <v/>
      </c>
      <c r="Y142" s="52">
        <f>IF(P142="","",IFERROR(INDEX(catGrupo,MATCH(D142&amp;"|"&amp;E142,catClave,0))&amp;"",""))</f>
        <v/>
      </c>
      <c r="Z142" s="52">
        <f>IF(P142="","",WEEKDAY(B142,2))</f>
        <v/>
      </c>
      <c r="AA142" s="52">
        <f>IF(P142="","",IF(AND(P142="Gasto",X142="Variable",D142&lt;&gt;catTrading,S142&gt;0,S142&lt;=Umbral),1,0))</f>
        <v/>
      </c>
      <c r="AB142" s="52">
        <f>IF(OR(P142="",Q142=""),"",IFERROR(IF(INDEX(ctaVinc,MATCH(Q142,ctaNombre,0))&amp;""&lt;&gt;"",INDEX(ctaVinc,MATCH(Q142,ctaNombre,0))&amp;"",Q142),Q142))</f>
        <v/>
      </c>
      <c r="AC142" s="52">
        <f>IF(OR(K142="",AND(P142&lt;&gt;"Transferencia",P142&lt;&gt;"Pago tarjeta")),"",IFERROR(IF(INDEX(ctaVinc,MATCH(K142,ctaNombre,0))&amp;""&lt;&gt;"",INDEX(ctaVinc,MATCH(K142,ctaNombre,0))&amp;"",K142),K142))</f>
        <v/>
      </c>
      <c r="AD142" s="52">
        <f>IF(AB142="","",IFERROR(INDEX(ctaTipo,MATCH(AB142,ctaNombre,0))&amp;"",""))</f>
        <v/>
      </c>
      <c r="AE142" s="52">
        <f>IF(AC142="","",IFERROR(INDEX(ctaTipo,MATCH(AC142,ctaNombre,0))&amp;"",""))</f>
        <v/>
      </c>
      <c r="AF142" s="53">
        <f>IF(OR(P142="",AB142=""),"",IF(OR(P142="Gasto",P142="Transferencia",P142="Pago tarjeta"),-1,1)*IF(IFERROR(INDEX(ctaMoneda,MATCH(AB142,ctaNombre,0))&amp;"","DOP")="USD",T142,S142))</f>
        <v/>
      </c>
      <c r="AG142" s="53">
        <f>IF(AC142="","",IF(IFERROR(INDEX(ctaMoneda,MATCH(AC142,ctaNombre,0))&amp;"","DOP")="USD",T142,S142))</f>
        <v/>
      </c>
      <c r="AH142" s="53">
        <f>IF(P142="","",IF(AND(AD142&lt;&gt;"",COUNTIFS(tcTipo,AD142,tcLiq,"Sí")&gt;0),IF(OR(P142="Gasto",P142="Transferencia",P142="Pago tarjeta"),-1,1)*S142,0)+IF(AND(AE142&lt;&gt;"",COUNTIFS(tcTipo,AE142,tcLiq,"Sí")&gt;0),S142,0))</f>
        <v/>
      </c>
      <c r="AI142" s="52">
        <f>IF(OR(L142="",P142=""),"",IF(COUNTIFS(L$6:L142,L142,P$6:P142,"?*")=1,MAX(AI$5:AI141)+1,""))</f>
        <v/>
      </c>
    </row>
    <row r="143">
      <c r="B143" s="47" t="n">
        <v>46291</v>
      </c>
      <c r="C143" s="48" t="inlineStr">
        <is>
          <t>Ingreso</t>
        </is>
      </c>
      <c r="D143" s="48" t="inlineStr">
        <is>
          <t>Ingresos</t>
        </is>
      </c>
      <c r="E143" s="48" t="inlineStr">
        <is>
          <t>Ingresos extra</t>
        </is>
      </c>
      <c r="F143" s="48" t="inlineStr">
        <is>
          <t>DEMO · Trabajo independiente (ficticio)</t>
        </is>
      </c>
      <c r="G143" s="49" t="n">
        <v>8000</v>
      </c>
      <c r="H143" s="48" t="inlineStr">
        <is>
          <t>DOP</t>
        </is>
      </c>
      <c r="I143" s="50" t="n"/>
      <c r="J143" s="48" t="inlineStr">
        <is>
          <t>Billetera digital</t>
        </is>
      </c>
      <c r="K143" s="48" t="n"/>
      <c r="L143" s="48" t="n"/>
      <c r="M143" s="48" t="n"/>
      <c r="N143" s="48" t="inlineStr">
        <is>
          <t>DEMOSTRACIÓN</t>
        </is>
      </c>
      <c r="O143" s="51">
        <f>IF(AND(B143="",G143="",C143="",D143="",J143=""),"",IF(B143="","⚠ Falta fecha",IF(G143="","⚠ Falta monto",IF(Q143="","⚠ Falta cuenta",IF(ISNA(MATCH(Q143,ctaNombre,0)),"⚠ Cuenta no registrada",IF(AND(OR(P143="Gasto",P143="Reembolso"),D143=""),"⚠ Falta categoría",IF(AND(D143&lt;&gt;"",E143&lt;&gt;"",ISNA(MATCH(D143&amp;"|"&amp;E143,catClave,0))),"⚠ Subcategoría no corresponde",IF(AND(OR(P143="Transferencia",P143="Pago tarjeta"),K143=""),"⚠ Falta cuenta destino",IF(AND(K143&lt;&gt;"",P143&lt;&gt;"Transferencia",P143&lt;&gt;"Pago tarjeta"),"⚠ Destino solo aplica a transferencias",IF(AND(K143&lt;&gt;"",K143=Q143),"⚠ Origen igual a destino",IF(AND(K143&lt;&gt;"",ISNA(MATCH(K143,ctaNombre,0))),"⚠ Destino no registrado",IF(AND(P143="Pago tarjeta",AE143&lt;&gt;"Tarjeta de crédito"),"⚠ El destino debe ser tarjeta de crédito",IF(AND(P143="Gasto",E143="Depósitos y retiros"),"⚠ Usa tipo Transferencia",IF(AND(P143="Resultado trading",AD143&lt;&gt;"Cuenta de trading"),"⚠ Usa una cuenta de trading",IF(AND(G143&lt;=0,P143&lt;&gt;"Ajuste",P143&lt;&gt;"Resultado trading"),"⚠ El monto debe ser positivo","✓")))))))))))))))</f>
        <v/>
      </c>
      <c r="P143" s="52">
        <f>IF(OR(B143="",G143=""),"",IF(C143="","Gasto",C143))</f>
        <v/>
      </c>
      <c r="Q143" s="52">
        <f>IF(P143="","",IF(J143&lt;&gt;"",J143,CuentaPred&amp;""))</f>
        <v/>
      </c>
      <c r="R143" s="52">
        <f>IF(P143="","",IF(ISNUMBER(I143),I143,TasaUSD))</f>
        <v/>
      </c>
      <c r="S143" s="53">
        <f>IF(P143="","",IF(H143="USD",G143*R143,G143))</f>
        <v/>
      </c>
      <c r="T143" s="53">
        <f>IF(P143="","",IF(H143="USD",G143,IF(R143&gt;0,G143/R143,0)))</f>
        <v/>
      </c>
      <c r="U143" s="53">
        <f>IF(P143="","",IF(P143="Gasto",S143,IF(P143="Reembolso",-S143,0)))</f>
        <v/>
      </c>
      <c r="V143" s="53">
        <f>IF(P143="","",IF(P143="Ingreso",S143,0))</f>
        <v/>
      </c>
      <c r="W143" s="53">
        <f>IF(P143="","",IF(P143="Resultado trading",S143,0))</f>
        <v/>
      </c>
      <c r="X143" s="52">
        <f>IF(OR(P143="Gasto",P143="Reembolso"),IF(M143&lt;&gt;"",M143,IFERROR(INDEX(catClasif,MATCH(D143&amp;"|"&amp;E143,catClave,0))&amp;"","Variable")),"")</f>
        <v/>
      </c>
      <c r="Y143" s="52">
        <f>IF(P143="","",IFERROR(INDEX(catGrupo,MATCH(D143&amp;"|"&amp;E143,catClave,0))&amp;"",""))</f>
        <v/>
      </c>
      <c r="Z143" s="52">
        <f>IF(P143="","",WEEKDAY(B143,2))</f>
        <v/>
      </c>
      <c r="AA143" s="52">
        <f>IF(P143="","",IF(AND(P143="Gasto",X143="Variable",D143&lt;&gt;catTrading,S143&gt;0,S143&lt;=Umbral),1,0))</f>
        <v/>
      </c>
      <c r="AB143" s="52">
        <f>IF(OR(P143="",Q143=""),"",IFERROR(IF(INDEX(ctaVinc,MATCH(Q143,ctaNombre,0))&amp;""&lt;&gt;"",INDEX(ctaVinc,MATCH(Q143,ctaNombre,0))&amp;"",Q143),Q143))</f>
        <v/>
      </c>
      <c r="AC143" s="52">
        <f>IF(OR(K143="",AND(P143&lt;&gt;"Transferencia",P143&lt;&gt;"Pago tarjeta")),"",IFERROR(IF(INDEX(ctaVinc,MATCH(K143,ctaNombre,0))&amp;""&lt;&gt;"",INDEX(ctaVinc,MATCH(K143,ctaNombre,0))&amp;"",K143),K143))</f>
        <v/>
      </c>
      <c r="AD143" s="52">
        <f>IF(AB143="","",IFERROR(INDEX(ctaTipo,MATCH(AB143,ctaNombre,0))&amp;"",""))</f>
        <v/>
      </c>
      <c r="AE143" s="52">
        <f>IF(AC143="","",IFERROR(INDEX(ctaTipo,MATCH(AC143,ctaNombre,0))&amp;"",""))</f>
        <v/>
      </c>
      <c r="AF143" s="53">
        <f>IF(OR(P143="",AB143=""),"",IF(OR(P143="Gasto",P143="Transferencia",P143="Pago tarjeta"),-1,1)*IF(IFERROR(INDEX(ctaMoneda,MATCH(AB143,ctaNombre,0))&amp;"","DOP")="USD",T143,S143))</f>
        <v/>
      </c>
      <c r="AG143" s="53">
        <f>IF(AC143="","",IF(IFERROR(INDEX(ctaMoneda,MATCH(AC143,ctaNombre,0))&amp;"","DOP")="USD",T143,S143))</f>
        <v/>
      </c>
      <c r="AH143" s="53">
        <f>IF(P143="","",IF(AND(AD143&lt;&gt;"",COUNTIFS(tcTipo,AD143,tcLiq,"Sí")&gt;0),IF(OR(P143="Gasto",P143="Transferencia",P143="Pago tarjeta"),-1,1)*S143,0)+IF(AND(AE143&lt;&gt;"",COUNTIFS(tcTipo,AE143,tcLiq,"Sí")&gt;0),S143,0))</f>
        <v/>
      </c>
      <c r="AI143" s="52">
        <f>IF(OR(L143="",P143=""),"",IF(COUNTIFS(L$6:L143,L143,P$6:P143,"?*")=1,MAX(AI$5:AI142)+1,""))</f>
        <v/>
      </c>
    </row>
    <row r="144">
      <c r="B144" s="47" t="n">
        <v>46293</v>
      </c>
      <c r="C144" s="48" t="inlineStr">
        <is>
          <t>Gasto</t>
        </is>
      </c>
      <c r="D144" s="48" t="inlineStr">
        <is>
          <t>Alimentación</t>
        </is>
      </c>
      <c r="E144" s="48" t="inlineStr">
        <is>
          <t>Desayunos comprados</t>
        </is>
      </c>
      <c r="F144" s="48" t="inlineStr">
        <is>
          <t>DEMO · Desayuno en la oficina</t>
        </is>
      </c>
      <c r="G144" s="49" t="n">
        <v>220</v>
      </c>
      <c r="H144" s="48" t="inlineStr">
        <is>
          <t>DOP</t>
        </is>
      </c>
      <c r="I144" s="50" t="n"/>
      <c r="J144" s="48" t="inlineStr">
        <is>
          <t>Efectivo</t>
        </is>
      </c>
      <c r="K144" s="48" t="n"/>
      <c r="L144" s="48" t="inlineStr">
        <is>
          <t>Cafetería del trabajo</t>
        </is>
      </c>
      <c r="M144" s="48" t="n"/>
      <c r="N144" s="48" t="inlineStr">
        <is>
          <t>DEMOSTRACIÓN</t>
        </is>
      </c>
      <c r="O144" s="51">
        <f>IF(AND(B144="",G144="",C144="",D144="",J144=""),"",IF(B144="","⚠ Falta fecha",IF(G144="","⚠ Falta monto",IF(Q144="","⚠ Falta cuenta",IF(ISNA(MATCH(Q144,ctaNombre,0)),"⚠ Cuenta no registrada",IF(AND(OR(P144="Gasto",P144="Reembolso"),D144=""),"⚠ Falta categoría",IF(AND(D144&lt;&gt;"",E144&lt;&gt;"",ISNA(MATCH(D144&amp;"|"&amp;E144,catClave,0))),"⚠ Subcategoría no corresponde",IF(AND(OR(P144="Transferencia",P144="Pago tarjeta"),K144=""),"⚠ Falta cuenta destino",IF(AND(K144&lt;&gt;"",P144&lt;&gt;"Transferencia",P144&lt;&gt;"Pago tarjeta"),"⚠ Destino solo aplica a transferencias",IF(AND(K144&lt;&gt;"",K144=Q144),"⚠ Origen igual a destino",IF(AND(K144&lt;&gt;"",ISNA(MATCH(K144,ctaNombre,0))),"⚠ Destino no registrado",IF(AND(P144="Pago tarjeta",AE144&lt;&gt;"Tarjeta de crédito"),"⚠ El destino debe ser tarjeta de crédito",IF(AND(P144="Gasto",E144="Depósitos y retiros"),"⚠ Usa tipo Transferencia",IF(AND(P144="Resultado trading",AD144&lt;&gt;"Cuenta de trading"),"⚠ Usa una cuenta de trading",IF(AND(G144&lt;=0,P144&lt;&gt;"Ajuste",P144&lt;&gt;"Resultado trading"),"⚠ El monto debe ser positivo","✓")))))))))))))))</f>
        <v/>
      </c>
      <c r="P144" s="52">
        <f>IF(OR(B144="",G144=""),"",IF(C144="","Gasto",C144))</f>
        <v/>
      </c>
      <c r="Q144" s="52">
        <f>IF(P144="","",IF(J144&lt;&gt;"",J144,CuentaPred&amp;""))</f>
        <v/>
      </c>
      <c r="R144" s="52">
        <f>IF(P144="","",IF(ISNUMBER(I144),I144,TasaUSD))</f>
        <v/>
      </c>
      <c r="S144" s="53">
        <f>IF(P144="","",IF(H144="USD",G144*R144,G144))</f>
        <v/>
      </c>
      <c r="T144" s="53">
        <f>IF(P144="","",IF(H144="USD",G144,IF(R144&gt;0,G144/R144,0)))</f>
        <v/>
      </c>
      <c r="U144" s="53">
        <f>IF(P144="","",IF(P144="Gasto",S144,IF(P144="Reembolso",-S144,0)))</f>
        <v/>
      </c>
      <c r="V144" s="53">
        <f>IF(P144="","",IF(P144="Ingreso",S144,0))</f>
        <v/>
      </c>
      <c r="W144" s="53">
        <f>IF(P144="","",IF(P144="Resultado trading",S144,0))</f>
        <v/>
      </c>
      <c r="X144" s="52">
        <f>IF(OR(P144="Gasto",P144="Reembolso"),IF(M144&lt;&gt;"",M144,IFERROR(INDEX(catClasif,MATCH(D144&amp;"|"&amp;E144,catClave,0))&amp;"","Variable")),"")</f>
        <v/>
      </c>
      <c r="Y144" s="52">
        <f>IF(P144="","",IFERROR(INDEX(catGrupo,MATCH(D144&amp;"|"&amp;E144,catClave,0))&amp;"",""))</f>
        <v/>
      </c>
      <c r="Z144" s="52">
        <f>IF(P144="","",WEEKDAY(B144,2))</f>
        <v/>
      </c>
      <c r="AA144" s="52">
        <f>IF(P144="","",IF(AND(P144="Gasto",X144="Variable",D144&lt;&gt;catTrading,S144&gt;0,S144&lt;=Umbral),1,0))</f>
        <v/>
      </c>
      <c r="AB144" s="52">
        <f>IF(OR(P144="",Q144=""),"",IFERROR(IF(INDEX(ctaVinc,MATCH(Q144,ctaNombre,0))&amp;""&lt;&gt;"",INDEX(ctaVinc,MATCH(Q144,ctaNombre,0))&amp;"",Q144),Q144))</f>
        <v/>
      </c>
      <c r="AC144" s="52">
        <f>IF(OR(K144="",AND(P144&lt;&gt;"Transferencia",P144&lt;&gt;"Pago tarjeta")),"",IFERROR(IF(INDEX(ctaVinc,MATCH(K144,ctaNombre,0))&amp;""&lt;&gt;"",INDEX(ctaVinc,MATCH(K144,ctaNombre,0))&amp;"",K144),K144))</f>
        <v/>
      </c>
      <c r="AD144" s="52">
        <f>IF(AB144="","",IFERROR(INDEX(ctaTipo,MATCH(AB144,ctaNombre,0))&amp;"",""))</f>
        <v/>
      </c>
      <c r="AE144" s="52">
        <f>IF(AC144="","",IFERROR(INDEX(ctaTipo,MATCH(AC144,ctaNombre,0))&amp;"",""))</f>
        <v/>
      </c>
      <c r="AF144" s="53">
        <f>IF(OR(P144="",AB144=""),"",IF(OR(P144="Gasto",P144="Transferencia",P144="Pago tarjeta"),-1,1)*IF(IFERROR(INDEX(ctaMoneda,MATCH(AB144,ctaNombre,0))&amp;"","DOP")="USD",T144,S144))</f>
        <v/>
      </c>
      <c r="AG144" s="53">
        <f>IF(AC144="","",IF(IFERROR(INDEX(ctaMoneda,MATCH(AC144,ctaNombre,0))&amp;"","DOP")="USD",T144,S144))</f>
        <v/>
      </c>
      <c r="AH144" s="53">
        <f>IF(P144="","",IF(AND(AD144&lt;&gt;"",COUNTIFS(tcTipo,AD144,tcLiq,"Sí")&gt;0),IF(OR(P144="Gasto",P144="Transferencia",P144="Pago tarjeta"),-1,1)*S144,0)+IF(AND(AE144&lt;&gt;"",COUNTIFS(tcTipo,AE144,tcLiq,"Sí")&gt;0),S144,0))</f>
        <v/>
      </c>
      <c r="AI144" s="52">
        <f>IF(OR(L144="",P144=""),"",IF(COUNTIFS(L$6:L144,L144,P$6:P144,"?*")=1,MAX(AI$5:AI143)+1,""))</f>
        <v/>
      </c>
    </row>
    <row r="145">
      <c r="B145" s="47" t="n">
        <v>46293</v>
      </c>
      <c r="C145" s="48" t="inlineStr">
        <is>
          <t>Gasto</t>
        </is>
      </c>
      <c r="D145" s="48" t="inlineStr">
        <is>
          <t>Alimentación</t>
        </is>
      </c>
      <c r="E145" s="48" t="inlineStr">
        <is>
          <t>Almuerzos laborales</t>
        </is>
      </c>
      <c r="F145" s="48" t="inlineStr">
        <is>
          <t>DEMO · Almuerzo laboral</t>
        </is>
      </c>
      <c r="G145" s="49" t="n">
        <v>450</v>
      </c>
      <c r="H145" s="48" t="inlineStr">
        <is>
          <t>DOP</t>
        </is>
      </c>
      <c r="I145" s="50" t="n"/>
      <c r="J145" s="48" t="inlineStr">
        <is>
          <t>Billetera digital</t>
        </is>
      </c>
      <c r="K145" s="48" t="n"/>
      <c r="L145" s="48" t="inlineStr">
        <is>
          <t>Comedor ejecutivo</t>
        </is>
      </c>
      <c r="M145" s="48" t="n"/>
      <c r="N145" s="48" t="inlineStr">
        <is>
          <t>DEMOSTRACIÓN</t>
        </is>
      </c>
      <c r="O145" s="51">
        <f>IF(AND(B145="",G145="",C145="",D145="",J145=""),"",IF(B145="","⚠ Falta fecha",IF(G145="","⚠ Falta monto",IF(Q145="","⚠ Falta cuenta",IF(ISNA(MATCH(Q145,ctaNombre,0)),"⚠ Cuenta no registrada",IF(AND(OR(P145="Gasto",P145="Reembolso"),D145=""),"⚠ Falta categoría",IF(AND(D145&lt;&gt;"",E145&lt;&gt;"",ISNA(MATCH(D145&amp;"|"&amp;E145,catClave,0))),"⚠ Subcategoría no corresponde",IF(AND(OR(P145="Transferencia",P145="Pago tarjeta"),K145=""),"⚠ Falta cuenta destino",IF(AND(K145&lt;&gt;"",P145&lt;&gt;"Transferencia",P145&lt;&gt;"Pago tarjeta"),"⚠ Destino solo aplica a transferencias",IF(AND(K145&lt;&gt;"",K145=Q145),"⚠ Origen igual a destino",IF(AND(K145&lt;&gt;"",ISNA(MATCH(K145,ctaNombre,0))),"⚠ Destino no registrado",IF(AND(P145="Pago tarjeta",AE145&lt;&gt;"Tarjeta de crédito"),"⚠ El destino debe ser tarjeta de crédito",IF(AND(P145="Gasto",E145="Depósitos y retiros"),"⚠ Usa tipo Transferencia",IF(AND(P145="Resultado trading",AD145&lt;&gt;"Cuenta de trading"),"⚠ Usa una cuenta de trading",IF(AND(G145&lt;=0,P145&lt;&gt;"Ajuste",P145&lt;&gt;"Resultado trading"),"⚠ El monto debe ser positivo","✓")))))))))))))))</f>
        <v/>
      </c>
      <c r="P145" s="52">
        <f>IF(OR(B145="",G145=""),"",IF(C145="","Gasto",C145))</f>
        <v/>
      </c>
      <c r="Q145" s="52">
        <f>IF(P145="","",IF(J145&lt;&gt;"",J145,CuentaPred&amp;""))</f>
        <v/>
      </c>
      <c r="R145" s="52">
        <f>IF(P145="","",IF(ISNUMBER(I145),I145,TasaUSD))</f>
        <v/>
      </c>
      <c r="S145" s="53">
        <f>IF(P145="","",IF(H145="USD",G145*R145,G145))</f>
        <v/>
      </c>
      <c r="T145" s="53">
        <f>IF(P145="","",IF(H145="USD",G145,IF(R145&gt;0,G145/R145,0)))</f>
        <v/>
      </c>
      <c r="U145" s="53">
        <f>IF(P145="","",IF(P145="Gasto",S145,IF(P145="Reembolso",-S145,0)))</f>
        <v/>
      </c>
      <c r="V145" s="53">
        <f>IF(P145="","",IF(P145="Ingreso",S145,0))</f>
        <v/>
      </c>
      <c r="W145" s="53">
        <f>IF(P145="","",IF(P145="Resultado trading",S145,0))</f>
        <v/>
      </c>
      <c r="X145" s="52">
        <f>IF(OR(P145="Gasto",P145="Reembolso"),IF(M145&lt;&gt;"",M145,IFERROR(INDEX(catClasif,MATCH(D145&amp;"|"&amp;E145,catClave,0))&amp;"","Variable")),"")</f>
        <v/>
      </c>
      <c r="Y145" s="52">
        <f>IF(P145="","",IFERROR(INDEX(catGrupo,MATCH(D145&amp;"|"&amp;E145,catClave,0))&amp;"",""))</f>
        <v/>
      </c>
      <c r="Z145" s="52">
        <f>IF(P145="","",WEEKDAY(B145,2))</f>
        <v/>
      </c>
      <c r="AA145" s="52">
        <f>IF(P145="","",IF(AND(P145="Gasto",X145="Variable",D145&lt;&gt;catTrading,S145&gt;0,S145&lt;=Umbral),1,0))</f>
        <v/>
      </c>
      <c r="AB145" s="52">
        <f>IF(OR(P145="",Q145=""),"",IFERROR(IF(INDEX(ctaVinc,MATCH(Q145,ctaNombre,0))&amp;""&lt;&gt;"",INDEX(ctaVinc,MATCH(Q145,ctaNombre,0))&amp;"",Q145),Q145))</f>
        <v/>
      </c>
      <c r="AC145" s="52">
        <f>IF(OR(K145="",AND(P145&lt;&gt;"Transferencia",P145&lt;&gt;"Pago tarjeta")),"",IFERROR(IF(INDEX(ctaVinc,MATCH(K145,ctaNombre,0))&amp;""&lt;&gt;"",INDEX(ctaVinc,MATCH(K145,ctaNombre,0))&amp;"",K145),K145))</f>
        <v/>
      </c>
      <c r="AD145" s="52">
        <f>IF(AB145="","",IFERROR(INDEX(ctaTipo,MATCH(AB145,ctaNombre,0))&amp;"",""))</f>
        <v/>
      </c>
      <c r="AE145" s="52">
        <f>IF(AC145="","",IFERROR(INDEX(ctaTipo,MATCH(AC145,ctaNombre,0))&amp;"",""))</f>
        <v/>
      </c>
      <c r="AF145" s="53">
        <f>IF(OR(P145="",AB145=""),"",IF(OR(P145="Gasto",P145="Transferencia",P145="Pago tarjeta"),-1,1)*IF(IFERROR(INDEX(ctaMoneda,MATCH(AB145,ctaNombre,0))&amp;"","DOP")="USD",T145,S145))</f>
        <v/>
      </c>
      <c r="AG145" s="53">
        <f>IF(AC145="","",IF(IFERROR(INDEX(ctaMoneda,MATCH(AC145,ctaNombre,0))&amp;"","DOP")="USD",T145,S145))</f>
        <v/>
      </c>
      <c r="AH145" s="53">
        <f>IF(P145="","",IF(AND(AD145&lt;&gt;"",COUNTIFS(tcTipo,AD145,tcLiq,"Sí")&gt;0),IF(OR(P145="Gasto",P145="Transferencia",P145="Pago tarjeta"),-1,1)*S145,0)+IF(AND(AE145&lt;&gt;"",COUNTIFS(tcTipo,AE145,tcLiq,"Sí")&gt;0),S145,0))</f>
        <v/>
      </c>
      <c r="AI145" s="52">
        <f>IF(OR(L145="",P145=""),"",IF(COUNTIFS(L$6:L145,L145,P$6:P145,"?*")=1,MAX(AI$5:AI144)+1,""))</f>
        <v/>
      </c>
    </row>
    <row r="146">
      <c r="B146" s="47" t="n">
        <v>46293</v>
      </c>
      <c r="C146" s="48" t="inlineStr">
        <is>
          <t>Gasto</t>
        </is>
      </c>
      <c r="D146" s="48" t="inlineStr">
        <is>
          <t>Alimentación</t>
        </is>
      </c>
      <c r="E146" s="48" t="inlineStr">
        <is>
          <t>Bebidas, snacks y otros consumos</t>
        </is>
      </c>
      <c r="F146" s="48" t="inlineStr">
        <is>
          <t>DEMO · Jugo y galletas</t>
        </is>
      </c>
      <c r="G146" s="49" t="n">
        <v>190</v>
      </c>
      <c r="H146" s="48" t="inlineStr">
        <is>
          <t>DOP</t>
        </is>
      </c>
      <c r="I146" s="50" t="n"/>
      <c r="J146" s="48" t="inlineStr">
        <is>
          <t>Efectivo</t>
        </is>
      </c>
      <c r="K146" s="48" t="n"/>
      <c r="L146" s="48" t="inlineStr">
        <is>
          <t>Cafetería del trabajo</t>
        </is>
      </c>
      <c r="M146" s="48" t="n"/>
      <c r="N146" s="48" t="inlineStr">
        <is>
          <t>DEMOSTRACIÓN</t>
        </is>
      </c>
      <c r="O146" s="51">
        <f>IF(AND(B146="",G146="",C146="",D146="",J146=""),"",IF(B146="","⚠ Falta fecha",IF(G146="","⚠ Falta monto",IF(Q146="","⚠ Falta cuenta",IF(ISNA(MATCH(Q146,ctaNombre,0)),"⚠ Cuenta no registrada",IF(AND(OR(P146="Gasto",P146="Reembolso"),D146=""),"⚠ Falta categoría",IF(AND(D146&lt;&gt;"",E146&lt;&gt;"",ISNA(MATCH(D146&amp;"|"&amp;E146,catClave,0))),"⚠ Subcategoría no corresponde",IF(AND(OR(P146="Transferencia",P146="Pago tarjeta"),K146=""),"⚠ Falta cuenta destino",IF(AND(K146&lt;&gt;"",P146&lt;&gt;"Transferencia",P146&lt;&gt;"Pago tarjeta"),"⚠ Destino solo aplica a transferencias",IF(AND(K146&lt;&gt;"",K146=Q146),"⚠ Origen igual a destino",IF(AND(K146&lt;&gt;"",ISNA(MATCH(K146,ctaNombre,0))),"⚠ Destino no registrado",IF(AND(P146="Pago tarjeta",AE146&lt;&gt;"Tarjeta de crédito"),"⚠ El destino debe ser tarjeta de crédito",IF(AND(P146="Gasto",E146="Depósitos y retiros"),"⚠ Usa tipo Transferencia",IF(AND(P146="Resultado trading",AD146&lt;&gt;"Cuenta de trading"),"⚠ Usa una cuenta de trading",IF(AND(G146&lt;=0,P146&lt;&gt;"Ajuste",P146&lt;&gt;"Resultado trading"),"⚠ El monto debe ser positivo","✓")))))))))))))))</f>
        <v/>
      </c>
      <c r="P146" s="52">
        <f>IF(OR(B146="",G146=""),"",IF(C146="","Gasto",C146))</f>
        <v/>
      </c>
      <c r="Q146" s="52">
        <f>IF(P146="","",IF(J146&lt;&gt;"",J146,CuentaPred&amp;""))</f>
        <v/>
      </c>
      <c r="R146" s="52">
        <f>IF(P146="","",IF(ISNUMBER(I146),I146,TasaUSD))</f>
        <v/>
      </c>
      <c r="S146" s="53">
        <f>IF(P146="","",IF(H146="USD",G146*R146,G146))</f>
        <v/>
      </c>
      <c r="T146" s="53">
        <f>IF(P146="","",IF(H146="USD",G146,IF(R146&gt;0,G146/R146,0)))</f>
        <v/>
      </c>
      <c r="U146" s="53">
        <f>IF(P146="","",IF(P146="Gasto",S146,IF(P146="Reembolso",-S146,0)))</f>
        <v/>
      </c>
      <c r="V146" s="53">
        <f>IF(P146="","",IF(P146="Ingreso",S146,0))</f>
        <v/>
      </c>
      <c r="W146" s="53">
        <f>IF(P146="","",IF(P146="Resultado trading",S146,0))</f>
        <v/>
      </c>
      <c r="X146" s="52">
        <f>IF(OR(P146="Gasto",P146="Reembolso"),IF(M146&lt;&gt;"",M146,IFERROR(INDEX(catClasif,MATCH(D146&amp;"|"&amp;E146,catClave,0))&amp;"","Variable")),"")</f>
        <v/>
      </c>
      <c r="Y146" s="52">
        <f>IF(P146="","",IFERROR(INDEX(catGrupo,MATCH(D146&amp;"|"&amp;E146,catClave,0))&amp;"",""))</f>
        <v/>
      </c>
      <c r="Z146" s="52">
        <f>IF(P146="","",WEEKDAY(B146,2))</f>
        <v/>
      </c>
      <c r="AA146" s="52">
        <f>IF(P146="","",IF(AND(P146="Gasto",X146="Variable",D146&lt;&gt;catTrading,S146&gt;0,S146&lt;=Umbral),1,0))</f>
        <v/>
      </c>
      <c r="AB146" s="52">
        <f>IF(OR(P146="",Q146=""),"",IFERROR(IF(INDEX(ctaVinc,MATCH(Q146,ctaNombre,0))&amp;""&lt;&gt;"",INDEX(ctaVinc,MATCH(Q146,ctaNombre,0))&amp;"",Q146),Q146))</f>
        <v/>
      </c>
      <c r="AC146" s="52">
        <f>IF(OR(K146="",AND(P146&lt;&gt;"Transferencia",P146&lt;&gt;"Pago tarjeta")),"",IFERROR(IF(INDEX(ctaVinc,MATCH(K146,ctaNombre,0))&amp;""&lt;&gt;"",INDEX(ctaVinc,MATCH(K146,ctaNombre,0))&amp;"",K146),K146))</f>
        <v/>
      </c>
      <c r="AD146" s="52">
        <f>IF(AB146="","",IFERROR(INDEX(ctaTipo,MATCH(AB146,ctaNombre,0))&amp;"",""))</f>
        <v/>
      </c>
      <c r="AE146" s="52">
        <f>IF(AC146="","",IFERROR(INDEX(ctaTipo,MATCH(AC146,ctaNombre,0))&amp;"",""))</f>
        <v/>
      </c>
      <c r="AF146" s="53">
        <f>IF(OR(P146="",AB146=""),"",IF(OR(P146="Gasto",P146="Transferencia",P146="Pago tarjeta"),-1,1)*IF(IFERROR(INDEX(ctaMoneda,MATCH(AB146,ctaNombre,0))&amp;"","DOP")="USD",T146,S146))</f>
        <v/>
      </c>
      <c r="AG146" s="53">
        <f>IF(AC146="","",IF(IFERROR(INDEX(ctaMoneda,MATCH(AC146,ctaNombre,0))&amp;"","DOP")="USD",T146,S146))</f>
        <v/>
      </c>
      <c r="AH146" s="53">
        <f>IF(P146="","",IF(AND(AD146&lt;&gt;"",COUNTIFS(tcTipo,AD146,tcLiq,"Sí")&gt;0),IF(OR(P146="Gasto",P146="Transferencia",P146="Pago tarjeta"),-1,1)*S146,0)+IF(AND(AE146&lt;&gt;"",COUNTIFS(tcTipo,AE146,tcLiq,"Sí")&gt;0),S146,0))</f>
        <v/>
      </c>
      <c r="AI146" s="52">
        <f>IF(OR(L146="",P146=""),"",IF(COUNTIFS(L$6:L146,L146,P$6:P146,"?*")=1,MAX(AI$5:AI145)+1,""))</f>
        <v/>
      </c>
    </row>
    <row r="147">
      <c r="B147" s="47" t="n">
        <v>46293</v>
      </c>
      <c r="C147" s="48" t="inlineStr">
        <is>
          <t>Gasto</t>
        </is>
      </c>
      <c r="D147" s="48" t="inlineStr">
        <is>
          <t>Transporte y vehículo</t>
        </is>
      </c>
      <c r="E147" s="48" t="inlineStr">
        <is>
          <t>Combustible</t>
        </is>
      </c>
      <c r="F147" s="48" t="inlineStr">
        <is>
          <t>DEMO · Combustible</t>
        </is>
      </c>
      <c r="G147" s="49" t="n">
        <v>2450</v>
      </c>
      <c r="H147" s="48" t="inlineStr">
        <is>
          <t>DOP</t>
        </is>
      </c>
      <c r="I147" s="50" t="n"/>
      <c r="J147" s="48" t="inlineStr">
        <is>
          <t>Tarjeta de crédito</t>
        </is>
      </c>
      <c r="K147" s="48" t="n"/>
      <c r="L147" s="48" t="inlineStr">
        <is>
          <t>Estación de combustible</t>
        </is>
      </c>
      <c r="M147" s="48" t="n"/>
      <c r="N147" s="48" t="inlineStr">
        <is>
          <t>DEMOSTRACIÓN</t>
        </is>
      </c>
      <c r="O147" s="51">
        <f>IF(AND(B147="",G147="",C147="",D147="",J147=""),"",IF(B147="","⚠ Falta fecha",IF(G147="","⚠ Falta monto",IF(Q147="","⚠ Falta cuenta",IF(ISNA(MATCH(Q147,ctaNombre,0)),"⚠ Cuenta no registrada",IF(AND(OR(P147="Gasto",P147="Reembolso"),D147=""),"⚠ Falta categoría",IF(AND(D147&lt;&gt;"",E147&lt;&gt;"",ISNA(MATCH(D147&amp;"|"&amp;E147,catClave,0))),"⚠ Subcategoría no corresponde",IF(AND(OR(P147="Transferencia",P147="Pago tarjeta"),K147=""),"⚠ Falta cuenta destino",IF(AND(K147&lt;&gt;"",P147&lt;&gt;"Transferencia",P147&lt;&gt;"Pago tarjeta"),"⚠ Destino solo aplica a transferencias",IF(AND(K147&lt;&gt;"",K147=Q147),"⚠ Origen igual a destino",IF(AND(K147&lt;&gt;"",ISNA(MATCH(K147,ctaNombre,0))),"⚠ Destino no registrado",IF(AND(P147="Pago tarjeta",AE147&lt;&gt;"Tarjeta de crédito"),"⚠ El destino debe ser tarjeta de crédito",IF(AND(P147="Gasto",E147="Depósitos y retiros"),"⚠ Usa tipo Transferencia",IF(AND(P147="Resultado trading",AD147&lt;&gt;"Cuenta de trading"),"⚠ Usa una cuenta de trading",IF(AND(G147&lt;=0,P147&lt;&gt;"Ajuste",P147&lt;&gt;"Resultado trading"),"⚠ El monto debe ser positivo","✓")))))))))))))))</f>
        <v/>
      </c>
      <c r="P147" s="52">
        <f>IF(OR(B147="",G147=""),"",IF(C147="","Gasto",C147))</f>
        <v/>
      </c>
      <c r="Q147" s="52">
        <f>IF(P147="","",IF(J147&lt;&gt;"",J147,CuentaPred&amp;""))</f>
        <v/>
      </c>
      <c r="R147" s="52">
        <f>IF(P147="","",IF(ISNUMBER(I147),I147,TasaUSD))</f>
        <v/>
      </c>
      <c r="S147" s="53">
        <f>IF(P147="","",IF(H147="USD",G147*R147,G147))</f>
        <v/>
      </c>
      <c r="T147" s="53">
        <f>IF(P147="","",IF(H147="USD",G147,IF(R147&gt;0,G147/R147,0)))</f>
        <v/>
      </c>
      <c r="U147" s="53">
        <f>IF(P147="","",IF(P147="Gasto",S147,IF(P147="Reembolso",-S147,0)))</f>
        <v/>
      </c>
      <c r="V147" s="53">
        <f>IF(P147="","",IF(P147="Ingreso",S147,0))</f>
        <v/>
      </c>
      <c r="W147" s="53">
        <f>IF(P147="","",IF(P147="Resultado trading",S147,0))</f>
        <v/>
      </c>
      <c r="X147" s="52">
        <f>IF(OR(P147="Gasto",P147="Reembolso"),IF(M147&lt;&gt;"",M147,IFERROR(INDEX(catClasif,MATCH(D147&amp;"|"&amp;E147,catClave,0))&amp;"","Variable")),"")</f>
        <v/>
      </c>
      <c r="Y147" s="52">
        <f>IF(P147="","",IFERROR(INDEX(catGrupo,MATCH(D147&amp;"|"&amp;E147,catClave,0))&amp;"",""))</f>
        <v/>
      </c>
      <c r="Z147" s="52">
        <f>IF(P147="","",WEEKDAY(B147,2))</f>
        <v/>
      </c>
      <c r="AA147" s="52">
        <f>IF(P147="","",IF(AND(P147="Gasto",X147="Variable",D147&lt;&gt;catTrading,S147&gt;0,S147&lt;=Umbral),1,0))</f>
        <v/>
      </c>
      <c r="AB147" s="52">
        <f>IF(OR(P147="",Q147=""),"",IFERROR(IF(INDEX(ctaVinc,MATCH(Q147,ctaNombre,0))&amp;""&lt;&gt;"",INDEX(ctaVinc,MATCH(Q147,ctaNombre,0))&amp;"",Q147),Q147))</f>
        <v/>
      </c>
      <c r="AC147" s="52">
        <f>IF(OR(K147="",AND(P147&lt;&gt;"Transferencia",P147&lt;&gt;"Pago tarjeta")),"",IFERROR(IF(INDEX(ctaVinc,MATCH(K147,ctaNombre,0))&amp;""&lt;&gt;"",INDEX(ctaVinc,MATCH(K147,ctaNombre,0))&amp;"",K147),K147))</f>
        <v/>
      </c>
      <c r="AD147" s="52">
        <f>IF(AB147="","",IFERROR(INDEX(ctaTipo,MATCH(AB147,ctaNombre,0))&amp;"",""))</f>
        <v/>
      </c>
      <c r="AE147" s="52">
        <f>IF(AC147="","",IFERROR(INDEX(ctaTipo,MATCH(AC147,ctaNombre,0))&amp;"",""))</f>
        <v/>
      </c>
      <c r="AF147" s="53">
        <f>IF(OR(P147="",AB147=""),"",IF(OR(P147="Gasto",P147="Transferencia",P147="Pago tarjeta"),-1,1)*IF(IFERROR(INDEX(ctaMoneda,MATCH(AB147,ctaNombre,0))&amp;"","DOP")="USD",T147,S147))</f>
        <v/>
      </c>
      <c r="AG147" s="53">
        <f>IF(AC147="","",IF(IFERROR(INDEX(ctaMoneda,MATCH(AC147,ctaNombre,0))&amp;"","DOP")="USD",T147,S147))</f>
        <v/>
      </c>
      <c r="AH147" s="53">
        <f>IF(P147="","",IF(AND(AD147&lt;&gt;"",COUNTIFS(tcTipo,AD147,tcLiq,"Sí")&gt;0),IF(OR(P147="Gasto",P147="Transferencia",P147="Pago tarjeta"),-1,1)*S147,0)+IF(AND(AE147&lt;&gt;"",COUNTIFS(tcTipo,AE147,tcLiq,"Sí")&gt;0),S147,0))</f>
        <v/>
      </c>
      <c r="AI147" s="52">
        <f>IF(OR(L147="",P147=""),"",IF(COUNTIFS(L$6:L147,L147,P$6:P147,"?*")=1,MAX(AI$5:AI146)+1,""))</f>
        <v/>
      </c>
    </row>
    <row r="148">
      <c r="B148" s="47" t="n">
        <v>46293</v>
      </c>
      <c r="C148" s="48" t="inlineStr">
        <is>
          <t>Resultado trading</t>
        </is>
      </c>
      <c r="D148" s="48" t="inlineStr">
        <is>
          <t>Trading y actividades financieras</t>
        </is>
      </c>
      <c r="E148" s="48" t="inlineStr">
        <is>
          <t>Ganancias y pérdidas realizadas</t>
        </is>
      </c>
      <c r="F148" s="48" t="inlineStr">
        <is>
          <t>DEMO · Pérdida realizada</t>
        </is>
      </c>
      <c r="G148" s="49" t="n">
        <v>-60</v>
      </c>
      <c r="H148" s="48" t="inlineStr">
        <is>
          <t>USD</t>
        </is>
      </c>
      <c r="I148" s="50" t="n"/>
      <c r="J148" s="48" t="inlineStr">
        <is>
          <t>Cuenta de trading</t>
        </is>
      </c>
      <c r="K148" s="48" t="n"/>
      <c r="L148" s="48" t="n"/>
      <c r="M148" s="48" t="n"/>
      <c r="N148" s="48" t="inlineStr">
        <is>
          <t>DEMOSTRACIÓN</t>
        </is>
      </c>
      <c r="O148" s="51">
        <f>IF(AND(B148="",G148="",C148="",D148="",J148=""),"",IF(B148="","⚠ Falta fecha",IF(G148="","⚠ Falta monto",IF(Q148="","⚠ Falta cuenta",IF(ISNA(MATCH(Q148,ctaNombre,0)),"⚠ Cuenta no registrada",IF(AND(OR(P148="Gasto",P148="Reembolso"),D148=""),"⚠ Falta categoría",IF(AND(D148&lt;&gt;"",E148&lt;&gt;"",ISNA(MATCH(D148&amp;"|"&amp;E148,catClave,0))),"⚠ Subcategoría no corresponde",IF(AND(OR(P148="Transferencia",P148="Pago tarjeta"),K148=""),"⚠ Falta cuenta destino",IF(AND(K148&lt;&gt;"",P148&lt;&gt;"Transferencia",P148&lt;&gt;"Pago tarjeta"),"⚠ Destino solo aplica a transferencias",IF(AND(K148&lt;&gt;"",K148=Q148),"⚠ Origen igual a destino",IF(AND(K148&lt;&gt;"",ISNA(MATCH(K148,ctaNombre,0))),"⚠ Destino no registrado",IF(AND(P148="Pago tarjeta",AE148&lt;&gt;"Tarjeta de crédito"),"⚠ El destino debe ser tarjeta de crédito",IF(AND(P148="Gasto",E148="Depósitos y retiros"),"⚠ Usa tipo Transferencia",IF(AND(P148="Resultado trading",AD148&lt;&gt;"Cuenta de trading"),"⚠ Usa una cuenta de trading",IF(AND(G148&lt;=0,P148&lt;&gt;"Ajuste",P148&lt;&gt;"Resultado trading"),"⚠ El monto debe ser positivo","✓")))))))))))))))</f>
        <v/>
      </c>
      <c r="P148" s="52">
        <f>IF(OR(B148="",G148=""),"",IF(C148="","Gasto",C148))</f>
        <v/>
      </c>
      <c r="Q148" s="52">
        <f>IF(P148="","",IF(J148&lt;&gt;"",J148,CuentaPred&amp;""))</f>
        <v/>
      </c>
      <c r="R148" s="52">
        <f>IF(P148="","",IF(ISNUMBER(I148),I148,TasaUSD))</f>
        <v/>
      </c>
      <c r="S148" s="53">
        <f>IF(P148="","",IF(H148="USD",G148*R148,G148))</f>
        <v/>
      </c>
      <c r="T148" s="53">
        <f>IF(P148="","",IF(H148="USD",G148,IF(R148&gt;0,G148/R148,0)))</f>
        <v/>
      </c>
      <c r="U148" s="53">
        <f>IF(P148="","",IF(P148="Gasto",S148,IF(P148="Reembolso",-S148,0)))</f>
        <v/>
      </c>
      <c r="V148" s="53">
        <f>IF(P148="","",IF(P148="Ingreso",S148,0))</f>
        <v/>
      </c>
      <c r="W148" s="53">
        <f>IF(P148="","",IF(P148="Resultado trading",S148,0))</f>
        <v/>
      </c>
      <c r="X148" s="52">
        <f>IF(OR(P148="Gasto",P148="Reembolso"),IF(M148&lt;&gt;"",M148,IFERROR(INDEX(catClasif,MATCH(D148&amp;"|"&amp;E148,catClave,0))&amp;"","Variable")),"")</f>
        <v/>
      </c>
      <c r="Y148" s="52">
        <f>IF(P148="","",IFERROR(INDEX(catGrupo,MATCH(D148&amp;"|"&amp;E148,catClave,0))&amp;"",""))</f>
        <v/>
      </c>
      <c r="Z148" s="52">
        <f>IF(P148="","",WEEKDAY(B148,2))</f>
        <v/>
      </c>
      <c r="AA148" s="52">
        <f>IF(P148="","",IF(AND(P148="Gasto",X148="Variable",D148&lt;&gt;catTrading,S148&gt;0,S148&lt;=Umbral),1,0))</f>
        <v/>
      </c>
      <c r="AB148" s="52">
        <f>IF(OR(P148="",Q148=""),"",IFERROR(IF(INDEX(ctaVinc,MATCH(Q148,ctaNombre,0))&amp;""&lt;&gt;"",INDEX(ctaVinc,MATCH(Q148,ctaNombre,0))&amp;"",Q148),Q148))</f>
        <v/>
      </c>
      <c r="AC148" s="52">
        <f>IF(OR(K148="",AND(P148&lt;&gt;"Transferencia",P148&lt;&gt;"Pago tarjeta")),"",IFERROR(IF(INDEX(ctaVinc,MATCH(K148,ctaNombre,0))&amp;""&lt;&gt;"",INDEX(ctaVinc,MATCH(K148,ctaNombre,0))&amp;"",K148),K148))</f>
        <v/>
      </c>
      <c r="AD148" s="52">
        <f>IF(AB148="","",IFERROR(INDEX(ctaTipo,MATCH(AB148,ctaNombre,0))&amp;"",""))</f>
        <v/>
      </c>
      <c r="AE148" s="52">
        <f>IF(AC148="","",IFERROR(INDEX(ctaTipo,MATCH(AC148,ctaNombre,0))&amp;"",""))</f>
        <v/>
      </c>
      <c r="AF148" s="53">
        <f>IF(OR(P148="",AB148=""),"",IF(OR(P148="Gasto",P148="Transferencia",P148="Pago tarjeta"),-1,1)*IF(IFERROR(INDEX(ctaMoneda,MATCH(AB148,ctaNombre,0))&amp;"","DOP")="USD",T148,S148))</f>
        <v/>
      </c>
      <c r="AG148" s="53">
        <f>IF(AC148="","",IF(IFERROR(INDEX(ctaMoneda,MATCH(AC148,ctaNombre,0))&amp;"","DOP")="USD",T148,S148))</f>
        <v/>
      </c>
      <c r="AH148" s="53">
        <f>IF(P148="","",IF(AND(AD148&lt;&gt;"",COUNTIFS(tcTipo,AD148,tcLiq,"Sí")&gt;0),IF(OR(P148="Gasto",P148="Transferencia",P148="Pago tarjeta"),-1,1)*S148,0)+IF(AND(AE148&lt;&gt;"",COUNTIFS(tcTipo,AE148,tcLiq,"Sí")&gt;0),S148,0))</f>
        <v/>
      </c>
      <c r="AI148" s="52">
        <f>IF(OR(L148="",P148=""),"",IF(COUNTIFS(L$6:L148,L148,P$6:P148,"?*")=1,MAX(AI$5:AI147)+1,""))</f>
        <v/>
      </c>
    </row>
    <row r="149">
      <c r="B149" s="47" t="n">
        <v>46294</v>
      </c>
      <c r="C149" s="48" t="inlineStr">
        <is>
          <t>Gasto</t>
        </is>
      </c>
      <c r="D149" s="48" t="inlineStr">
        <is>
          <t>Alimentación</t>
        </is>
      </c>
      <c r="E149" s="48" t="inlineStr">
        <is>
          <t>Almuerzos laborales</t>
        </is>
      </c>
      <c r="F149" s="48" t="inlineStr">
        <is>
          <t>DEMO · Almuerzo laboral</t>
        </is>
      </c>
      <c r="G149" s="49" t="n">
        <v>500</v>
      </c>
      <c r="H149" s="48" t="inlineStr">
        <is>
          <t>DOP</t>
        </is>
      </c>
      <c r="I149" s="50" t="n"/>
      <c r="J149" s="48" t="inlineStr">
        <is>
          <t>Tarjeta de débito</t>
        </is>
      </c>
      <c r="K149" s="48" t="n"/>
      <c r="L149" s="48" t="inlineStr">
        <is>
          <t>Comedor ejecutivo</t>
        </is>
      </c>
      <c r="M149" s="48" t="n"/>
      <c r="N149" s="48" t="inlineStr">
        <is>
          <t>DEMOSTRACIÓN</t>
        </is>
      </c>
      <c r="O149" s="51">
        <f>IF(AND(B149="",G149="",C149="",D149="",J149=""),"",IF(B149="","⚠ Falta fecha",IF(G149="","⚠ Falta monto",IF(Q149="","⚠ Falta cuenta",IF(ISNA(MATCH(Q149,ctaNombre,0)),"⚠ Cuenta no registrada",IF(AND(OR(P149="Gasto",P149="Reembolso"),D149=""),"⚠ Falta categoría",IF(AND(D149&lt;&gt;"",E149&lt;&gt;"",ISNA(MATCH(D149&amp;"|"&amp;E149,catClave,0))),"⚠ Subcategoría no corresponde",IF(AND(OR(P149="Transferencia",P149="Pago tarjeta"),K149=""),"⚠ Falta cuenta destino",IF(AND(K149&lt;&gt;"",P149&lt;&gt;"Transferencia",P149&lt;&gt;"Pago tarjeta"),"⚠ Destino solo aplica a transferencias",IF(AND(K149&lt;&gt;"",K149=Q149),"⚠ Origen igual a destino",IF(AND(K149&lt;&gt;"",ISNA(MATCH(K149,ctaNombre,0))),"⚠ Destino no registrado",IF(AND(P149="Pago tarjeta",AE149&lt;&gt;"Tarjeta de crédito"),"⚠ El destino debe ser tarjeta de crédito",IF(AND(P149="Gasto",E149="Depósitos y retiros"),"⚠ Usa tipo Transferencia",IF(AND(P149="Resultado trading",AD149&lt;&gt;"Cuenta de trading"),"⚠ Usa una cuenta de trading",IF(AND(G149&lt;=0,P149&lt;&gt;"Ajuste",P149&lt;&gt;"Resultado trading"),"⚠ El monto debe ser positivo","✓")))))))))))))))</f>
        <v/>
      </c>
      <c r="P149" s="52">
        <f>IF(OR(B149="",G149=""),"",IF(C149="","Gasto",C149))</f>
        <v/>
      </c>
      <c r="Q149" s="52">
        <f>IF(P149="","",IF(J149&lt;&gt;"",J149,CuentaPred&amp;""))</f>
        <v/>
      </c>
      <c r="R149" s="52">
        <f>IF(P149="","",IF(ISNUMBER(I149),I149,TasaUSD))</f>
        <v/>
      </c>
      <c r="S149" s="53">
        <f>IF(P149="","",IF(H149="USD",G149*R149,G149))</f>
        <v/>
      </c>
      <c r="T149" s="53">
        <f>IF(P149="","",IF(H149="USD",G149,IF(R149&gt;0,G149/R149,0)))</f>
        <v/>
      </c>
      <c r="U149" s="53">
        <f>IF(P149="","",IF(P149="Gasto",S149,IF(P149="Reembolso",-S149,0)))</f>
        <v/>
      </c>
      <c r="V149" s="53">
        <f>IF(P149="","",IF(P149="Ingreso",S149,0))</f>
        <v/>
      </c>
      <c r="W149" s="53">
        <f>IF(P149="","",IF(P149="Resultado trading",S149,0))</f>
        <v/>
      </c>
      <c r="X149" s="52">
        <f>IF(OR(P149="Gasto",P149="Reembolso"),IF(M149&lt;&gt;"",M149,IFERROR(INDEX(catClasif,MATCH(D149&amp;"|"&amp;E149,catClave,0))&amp;"","Variable")),"")</f>
        <v/>
      </c>
      <c r="Y149" s="52">
        <f>IF(P149="","",IFERROR(INDEX(catGrupo,MATCH(D149&amp;"|"&amp;E149,catClave,0))&amp;"",""))</f>
        <v/>
      </c>
      <c r="Z149" s="52">
        <f>IF(P149="","",WEEKDAY(B149,2))</f>
        <v/>
      </c>
      <c r="AA149" s="52">
        <f>IF(P149="","",IF(AND(P149="Gasto",X149="Variable",D149&lt;&gt;catTrading,S149&gt;0,S149&lt;=Umbral),1,0))</f>
        <v/>
      </c>
      <c r="AB149" s="52">
        <f>IF(OR(P149="",Q149=""),"",IFERROR(IF(INDEX(ctaVinc,MATCH(Q149,ctaNombre,0))&amp;""&lt;&gt;"",INDEX(ctaVinc,MATCH(Q149,ctaNombre,0))&amp;"",Q149),Q149))</f>
        <v/>
      </c>
      <c r="AC149" s="52">
        <f>IF(OR(K149="",AND(P149&lt;&gt;"Transferencia",P149&lt;&gt;"Pago tarjeta")),"",IFERROR(IF(INDEX(ctaVinc,MATCH(K149,ctaNombre,0))&amp;""&lt;&gt;"",INDEX(ctaVinc,MATCH(K149,ctaNombre,0))&amp;"",K149),K149))</f>
        <v/>
      </c>
      <c r="AD149" s="52">
        <f>IF(AB149="","",IFERROR(INDEX(ctaTipo,MATCH(AB149,ctaNombre,0))&amp;"",""))</f>
        <v/>
      </c>
      <c r="AE149" s="52">
        <f>IF(AC149="","",IFERROR(INDEX(ctaTipo,MATCH(AC149,ctaNombre,0))&amp;"",""))</f>
        <v/>
      </c>
      <c r="AF149" s="53">
        <f>IF(OR(P149="",AB149=""),"",IF(OR(P149="Gasto",P149="Transferencia",P149="Pago tarjeta"),-1,1)*IF(IFERROR(INDEX(ctaMoneda,MATCH(AB149,ctaNombre,0))&amp;"","DOP")="USD",T149,S149))</f>
        <v/>
      </c>
      <c r="AG149" s="53">
        <f>IF(AC149="","",IF(IFERROR(INDEX(ctaMoneda,MATCH(AC149,ctaNombre,0))&amp;"","DOP")="USD",T149,S149))</f>
        <v/>
      </c>
      <c r="AH149" s="53">
        <f>IF(P149="","",IF(AND(AD149&lt;&gt;"",COUNTIFS(tcTipo,AD149,tcLiq,"Sí")&gt;0),IF(OR(P149="Gasto",P149="Transferencia",P149="Pago tarjeta"),-1,1)*S149,0)+IF(AND(AE149&lt;&gt;"",COUNTIFS(tcTipo,AE149,tcLiq,"Sí")&gt;0),S149,0))</f>
        <v/>
      </c>
      <c r="AI149" s="52">
        <f>IF(OR(L149="",P149=""),"",IF(COUNTIFS(L$6:L149,L149,P$6:P149,"?*")=1,MAX(AI$5:AI148)+1,""))</f>
        <v/>
      </c>
    </row>
    <row r="150">
      <c r="B150" s="47" t="n">
        <v>46295</v>
      </c>
      <c r="C150" s="48" t="inlineStr">
        <is>
          <t>Gasto</t>
        </is>
      </c>
      <c r="D150" s="48" t="inlineStr">
        <is>
          <t>Alimentación</t>
        </is>
      </c>
      <c r="E150" s="48" t="inlineStr">
        <is>
          <t>Bebidas, snacks y otros consumos</t>
        </is>
      </c>
      <c r="F150" s="48" t="inlineStr">
        <is>
          <t>DEMO · Jugo y galletas</t>
        </is>
      </c>
      <c r="G150" s="49" t="n">
        <v>110</v>
      </c>
      <c r="H150" s="48" t="inlineStr">
        <is>
          <t>DOP</t>
        </is>
      </c>
      <c r="I150" s="50" t="n"/>
      <c r="J150" s="48" t="inlineStr">
        <is>
          <t>Efectivo</t>
        </is>
      </c>
      <c r="K150" s="48" t="n"/>
      <c r="L150" s="48" t="inlineStr">
        <is>
          <t>Cafetería del trabajo</t>
        </is>
      </c>
      <c r="M150" s="48" t="n"/>
      <c r="N150" s="48" t="inlineStr">
        <is>
          <t>DEMOSTRACIÓN</t>
        </is>
      </c>
      <c r="O150" s="51">
        <f>IF(AND(B150="",G150="",C150="",D150="",J150=""),"",IF(B150="","⚠ Falta fecha",IF(G150="","⚠ Falta monto",IF(Q150="","⚠ Falta cuenta",IF(ISNA(MATCH(Q150,ctaNombre,0)),"⚠ Cuenta no registrada",IF(AND(OR(P150="Gasto",P150="Reembolso"),D150=""),"⚠ Falta categoría",IF(AND(D150&lt;&gt;"",E150&lt;&gt;"",ISNA(MATCH(D150&amp;"|"&amp;E150,catClave,0))),"⚠ Subcategoría no corresponde",IF(AND(OR(P150="Transferencia",P150="Pago tarjeta"),K150=""),"⚠ Falta cuenta destino",IF(AND(K150&lt;&gt;"",P150&lt;&gt;"Transferencia",P150&lt;&gt;"Pago tarjeta"),"⚠ Destino solo aplica a transferencias",IF(AND(K150&lt;&gt;"",K150=Q150),"⚠ Origen igual a destino",IF(AND(K150&lt;&gt;"",ISNA(MATCH(K150,ctaNombre,0))),"⚠ Destino no registrado",IF(AND(P150="Pago tarjeta",AE150&lt;&gt;"Tarjeta de crédito"),"⚠ El destino debe ser tarjeta de crédito",IF(AND(P150="Gasto",E150="Depósitos y retiros"),"⚠ Usa tipo Transferencia",IF(AND(P150="Resultado trading",AD150&lt;&gt;"Cuenta de trading"),"⚠ Usa una cuenta de trading",IF(AND(G150&lt;=0,P150&lt;&gt;"Ajuste",P150&lt;&gt;"Resultado trading"),"⚠ El monto debe ser positivo","✓")))))))))))))))</f>
        <v/>
      </c>
      <c r="P150" s="52">
        <f>IF(OR(B150="",G150=""),"",IF(C150="","Gasto",C150))</f>
        <v/>
      </c>
      <c r="Q150" s="52">
        <f>IF(P150="","",IF(J150&lt;&gt;"",J150,CuentaPred&amp;""))</f>
        <v/>
      </c>
      <c r="R150" s="52">
        <f>IF(P150="","",IF(ISNUMBER(I150),I150,TasaUSD))</f>
        <v/>
      </c>
      <c r="S150" s="53">
        <f>IF(P150="","",IF(H150="USD",G150*R150,G150))</f>
        <v/>
      </c>
      <c r="T150" s="53">
        <f>IF(P150="","",IF(H150="USD",G150,IF(R150&gt;0,G150/R150,0)))</f>
        <v/>
      </c>
      <c r="U150" s="53">
        <f>IF(P150="","",IF(P150="Gasto",S150,IF(P150="Reembolso",-S150,0)))</f>
        <v/>
      </c>
      <c r="V150" s="53">
        <f>IF(P150="","",IF(P150="Ingreso",S150,0))</f>
        <v/>
      </c>
      <c r="W150" s="53">
        <f>IF(P150="","",IF(P150="Resultado trading",S150,0))</f>
        <v/>
      </c>
      <c r="X150" s="52">
        <f>IF(OR(P150="Gasto",P150="Reembolso"),IF(M150&lt;&gt;"",M150,IFERROR(INDEX(catClasif,MATCH(D150&amp;"|"&amp;E150,catClave,0))&amp;"","Variable")),"")</f>
        <v/>
      </c>
      <c r="Y150" s="52">
        <f>IF(P150="","",IFERROR(INDEX(catGrupo,MATCH(D150&amp;"|"&amp;E150,catClave,0))&amp;"",""))</f>
        <v/>
      </c>
      <c r="Z150" s="52">
        <f>IF(P150="","",WEEKDAY(B150,2))</f>
        <v/>
      </c>
      <c r="AA150" s="52">
        <f>IF(P150="","",IF(AND(P150="Gasto",X150="Variable",D150&lt;&gt;catTrading,S150&gt;0,S150&lt;=Umbral),1,0))</f>
        <v/>
      </c>
      <c r="AB150" s="52">
        <f>IF(OR(P150="",Q150=""),"",IFERROR(IF(INDEX(ctaVinc,MATCH(Q150,ctaNombre,0))&amp;""&lt;&gt;"",INDEX(ctaVinc,MATCH(Q150,ctaNombre,0))&amp;"",Q150),Q150))</f>
        <v/>
      </c>
      <c r="AC150" s="52">
        <f>IF(OR(K150="",AND(P150&lt;&gt;"Transferencia",P150&lt;&gt;"Pago tarjeta")),"",IFERROR(IF(INDEX(ctaVinc,MATCH(K150,ctaNombre,0))&amp;""&lt;&gt;"",INDEX(ctaVinc,MATCH(K150,ctaNombre,0))&amp;"",K150),K150))</f>
        <v/>
      </c>
      <c r="AD150" s="52">
        <f>IF(AB150="","",IFERROR(INDEX(ctaTipo,MATCH(AB150,ctaNombre,0))&amp;"",""))</f>
        <v/>
      </c>
      <c r="AE150" s="52">
        <f>IF(AC150="","",IFERROR(INDEX(ctaTipo,MATCH(AC150,ctaNombre,0))&amp;"",""))</f>
        <v/>
      </c>
      <c r="AF150" s="53">
        <f>IF(OR(P150="",AB150=""),"",IF(OR(P150="Gasto",P150="Transferencia",P150="Pago tarjeta"),-1,1)*IF(IFERROR(INDEX(ctaMoneda,MATCH(AB150,ctaNombre,0))&amp;"","DOP")="USD",T150,S150))</f>
        <v/>
      </c>
      <c r="AG150" s="53">
        <f>IF(AC150="","",IF(IFERROR(INDEX(ctaMoneda,MATCH(AC150,ctaNombre,0))&amp;"","DOP")="USD",T150,S150))</f>
        <v/>
      </c>
      <c r="AH150" s="53">
        <f>IF(P150="","",IF(AND(AD150&lt;&gt;"",COUNTIFS(tcTipo,AD150,tcLiq,"Sí")&gt;0),IF(OR(P150="Gasto",P150="Transferencia",P150="Pago tarjeta"),-1,1)*S150,0)+IF(AND(AE150&lt;&gt;"",COUNTIFS(tcTipo,AE150,tcLiq,"Sí")&gt;0),S150,0))</f>
        <v/>
      </c>
      <c r="AI150" s="52">
        <f>IF(OR(L150="",P150=""),"",IF(COUNTIFS(L$6:L150,L150,P$6:P150,"?*")=1,MAX(AI$5:AI149)+1,""))</f>
        <v/>
      </c>
    </row>
    <row r="151">
      <c r="B151" s="47" t="n">
        <v>46295</v>
      </c>
      <c r="C151" s="48" t="inlineStr">
        <is>
          <t>Ingreso</t>
        </is>
      </c>
      <c r="D151" s="48" t="inlineStr">
        <is>
          <t>Ingresos</t>
        </is>
      </c>
      <c r="E151" s="48" t="inlineStr">
        <is>
          <t>Salario</t>
        </is>
      </c>
      <c r="F151" s="48" t="inlineStr">
        <is>
          <t>DEMO · Salario quincenal (ficticio)</t>
        </is>
      </c>
      <c r="G151" s="49" t="n">
        <v>55000</v>
      </c>
      <c r="H151" s="48" t="inlineStr">
        <is>
          <t>DOP</t>
        </is>
      </c>
      <c r="I151" s="50" t="n"/>
      <c r="J151" s="48" t="inlineStr">
        <is>
          <t>Banco principal</t>
        </is>
      </c>
      <c r="K151" s="48" t="n"/>
      <c r="L151" s="48" t="n"/>
      <c r="M151" s="48" t="n"/>
      <c r="N151" s="48" t="inlineStr">
        <is>
          <t>DEMOSTRACIÓN</t>
        </is>
      </c>
      <c r="O151" s="51">
        <f>IF(AND(B151="",G151="",C151="",D151="",J151=""),"",IF(B151="","⚠ Falta fecha",IF(G151="","⚠ Falta monto",IF(Q151="","⚠ Falta cuenta",IF(ISNA(MATCH(Q151,ctaNombre,0)),"⚠ Cuenta no registrada",IF(AND(OR(P151="Gasto",P151="Reembolso"),D151=""),"⚠ Falta categoría",IF(AND(D151&lt;&gt;"",E151&lt;&gt;"",ISNA(MATCH(D151&amp;"|"&amp;E151,catClave,0))),"⚠ Subcategoría no corresponde",IF(AND(OR(P151="Transferencia",P151="Pago tarjeta"),K151=""),"⚠ Falta cuenta destino",IF(AND(K151&lt;&gt;"",P151&lt;&gt;"Transferencia",P151&lt;&gt;"Pago tarjeta"),"⚠ Destino solo aplica a transferencias",IF(AND(K151&lt;&gt;"",K151=Q151),"⚠ Origen igual a destino",IF(AND(K151&lt;&gt;"",ISNA(MATCH(K151,ctaNombre,0))),"⚠ Destino no registrado",IF(AND(P151="Pago tarjeta",AE151&lt;&gt;"Tarjeta de crédito"),"⚠ El destino debe ser tarjeta de crédito",IF(AND(P151="Gasto",E151="Depósitos y retiros"),"⚠ Usa tipo Transferencia",IF(AND(P151="Resultado trading",AD151&lt;&gt;"Cuenta de trading"),"⚠ Usa una cuenta de trading",IF(AND(G151&lt;=0,P151&lt;&gt;"Ajuste",P151&lt;&gt;"Resultado trading"),"⚠ El monto debe ser positivo","✓")))))))))))))))</f>
        <v/>
      </c>
      <c r="P151" s="52">
        <f>IF(OR(B151="",G151=""),"",IF(C151="","Gasto",C151))</f>
        <v/>
      </c>
      <c r="Q151" s="52">
        <f>IF(P151="","",IF(J151&lt;&gt;"",J151,CuentaPred&amp;""))</f>
        <v/>
      </c>
      <c r="R151" s="52">
        <f>IF(P151="","",IF(ISNUMBER(I151),I151,TasaUSD))</f>
        <v/>
      </c>
      <c r="S151" s="53">
        <f>IF(P151="","",IF(H151="USD",G151*R151,G151))</f>
        <v/>
      </c>
      <c r="T151" s="53">
        <f>IF(P151="","",IF(H151="USD",G151,IF(R151&gt;0,G151/R151,0)))</f>
        <v/>
      </c>
      <c r="U151" s="53">
        <f>IF(P151="","",IF(P151="Gasto",S151,IF(P151="Reembolso",-S151,0)))</f>
        <v/>
      </c>
      <c r="V151" s="53">
        <f>IF(P151="","",IF(P151="Ingreso",S151,0))</f>
        <v/>
      </c>
      <c r="W151" s="53">
        <f>IF(P151="","",IF(P151="Resultado trading",S151,0))</f>
        <v/>
      </c>
      <c r="X151" s="52">
        <f>IF(OR(P151="Gasto",P151="Reembolso"),IF(M151&lt;&gt;"",M151,IFERROR(INDEX(catClasif,MATCH(D151&amp;"|"&amp;E151,catClave,0))&amp;"","Variable")),"")</f>
        <v/>
      </c>
      <c r="Y151" s="52">
        <f>IF(P151="","",IFERROR(INDEX(catGrupo,MATCH(D151&amp;"|"&amp;E151,catClave,0))&amp;"",""))</f>
        <v/>
      </c>
      <c r="Z151" s="52">
        <f>IF(P151="","",WEEKDAY(B151,2))</f>
        <v/>
      </c>
      <c r="AA151" s="52">
        <f>IF(P151="","",IF(AND(P151="Gasto",X151="Variable",D151&lt;&gt;catTrading,S151&gt;0,S151&lt;=Umbral),1,0))</f>
        <v/>
      </c>
      <c r="AB151" s="52">
        <f>IF(OR(P151="",Q151=""),"",IFERROR(IF(INDEX(ctaVinc,MATCH(Q151,ctaNombre,0))&amp;""&lt;&gt;"",INDEX(ctaVinc,MATCH(Q151,ctaNombre,0))&amp;"",Q151),Q151))</f>
        <v/>
      </c>
      <c r="AC151" s="52">
        <f>IF(OR(K151="",AND(P151&lt;&gt;"Transferencia",P151&lt;&gt;"Pago tarjeta")),"",IFERROR(IF(INDEX(ctaVinc,MATCH(K151,ctaNombre,0))&amp;""&lt;&gt;"",INDEX(ctaVinc,MATCH(K151,ctaNombre,0))&amp;"",K151),K151))</f>
        <v/>
      </c>
      <c r="AD151" s="52">
        <f>IF(AB151="","",IFERROR(INDEX(ctaTipo,MATCH(AB151,ctaNombre,0))&amp;"",""))</f>
        <v/>
      </c>
      <c r="AE151" s="52">
        <f>IF(AC151="","",IFERROR(INDEX(ctaTipo,MATCH(AC151,ctaNombre,0))&amp;"",""))</f>
        <v/>
      </c>
      <c r="AF151" s="53">
        <f>IF(OR(P151="",AB151=""),"",IF(OR(P151="Gasto",P151="Transferencia",P151="Pago tarjeta"),-1,1)*IF(IFERROR(INDEX(ctaMoneda,MATCH(AB151,ctaNombre,0))&amp;"","DOP")="USD",T151,S151))</f>
        <v/>
      </c>
      <c r="AG151" s="53">
        <f>IF(AC151="","",IF(IFERROR(INDEX(ctaMoneda,MATCH(AC151,ctaNombre,0))&amp;"","DOP")="USD",T151,S151))</f>
        <v/>
      </c>
      <c r="AH151" s="53">
        <f>IF(P151="","",IF(AND(AD151&lt;&gt;"",COUNTIFS(tcTipo,AD151,tcLiq,"Sí")&gt;0),IF(OR(P151="Gasto",P151="Transferencia",P151="Pago tarjeta"),-1,1)*S151,0)+IF(AND(AE151&lt;&gt;"",COUNTIFS(tcTipo,AE151,tcLiq,"Sí")&gt;0),S151,0))</f>
        <v/>
      </c>
      <c r="AI151" s="52">
        <f>IF(OR(L151="",P151=""),"",IF(COUNTIFS(L$6:L151,L151,P$6:P151,"?*")=1,MAX(AI$5:AI150)+1,""))</f>
        <v/>
      </c>
    </row>
    <row r="152">
      <c r="B152" s="47" t="n">
        <v>46296</v>
      </c>
      <c r="C152" s="48" t="inlineStr">
        <is>
          <t>Gasto</t>
        </is>
      </c>
      <c r="D152" s="48" t="inlineStr">
        <is>
          <t>Alimentación</t>
        </is>
      </c>
      <c r="E152" s="48" t="inlineStr">
        <is>
          <t>Desayunos comprados</t>
        </is>
      </c>
      <c r="F152" s="48" t="inlineStr">
        <is>
          <t>DEMO · Desayuno en la oficina</t>
        </is>
      </c>
      <c r="G152" s="49" t="n">
        <v>180</v>
      </c>
      <c r="H152" s="48" t="inlineStr">
        <is>
          <t>DOP</t>
        </is>
      </c>
      <c r="I152" s="50" t="n"/>
      <c r="J152" s="48" t="inlineStr">
        <is>
          <t>Tarjeta de débito</t>
        </is>
      </c>
      <c r="K152" s="48" t="n"/>
      <c r="L152" s="48" t="inlineStr">
        <is>
          <t>Cafetería del trabajo</t>
        </is>
      </c>
      <c r="M152" s="48" t="n"/>
      <c r="N152" s="48" t="inlineStr">
        <is>
          <t>DEMOSTRACIÓN</t>
        </is>
      </c>
      <c r="O152" s="51">
        <f>IF(AND(B152="",G152="",C152="",D152="",J152=""),"",IF(B152="","⚠ Falta fecha",IF(G152="","⚠ Falta monto",IF(Q152="","⚠ Falta cuenta",IF(ISNA(MATCH(Q152,ctaNombre,0)),"⚠ Cuenta no registrada",IF(AND(OR(P152="Gasto",P152="Reembolso"),D152=""),"⚠ Falta categoría",IF(AND(D152&lt;&gt;"",E152&lt;&gt;"",ISNA(MATCH(D152&amp;"|"&amp;E152,catClave,0))),"⚠ Subcategoría no corresponde",IF(AND(OR(P152="Transferencia",P152="Pago tarjeta"),K152=""),"⚠ Falta cuenta destino",IF(AND(K152&lt;&gt;"",P152&lt;&gt;"Transferencia",P152&lt;&gt;"Pago tarjeta"),"⚠ Destino solo aplica a transferencias",IF(AND(K152&lt;&gt;"",K152=Q152),"⚠ Origen igual a destino",IF(AND(K152&lt;&gt;"",ISNA(MATCH(K152,ctaNombre,0))),"⚠ Destino no registrado",IF(AND(P152="Pago tarjeta",AE152&lt;&gt;"Tarjeta de crédito"),"⚠ El destino debe ser tarjeta de crédito",IF(AND(P152="Gasto",E152="Depósitos y retiros"),"⚠ Usa tipo Transferencia",IF(AND(P152="Resultado trading",AD152&lt;&gt;"Cuenta de trading"),"⚠ Usa una cuenta de trading",IF(AND(G152&lt;=0,P152&lt;&gt;"Ajuste",P152&lt;&gt;"Resultado trading"),"⚠ El monto debe ser positivo","✓")))))))))))))))</f>
        <v/>
      </c>
      <c r="P152" s="52">
        <f>IF(OR(B152="",G152=""),"",IF(C152="","Gasto",C152))</f>
        <v/>
      </c>
      <c r="Q152" s="52">
        <f>IF(P152="","",IF(J152&lt;&gt;"",J152,CuentaPred&amp;""))</f>
        <v/>
      </c>
      <c r="R152" s="52">
        <f>IF(P152="","",IF(ISNUMBER(I152),I152,TasaUSD))</f>
        <v/>
      </c>
      <c r="S152" s="53">
        <f>IF(P152="","",IF(H152="USD",G152*R152,G152))</f>
        <v/>
      </c>
      <c r="T152" s="53">
        <f>IF(P152="","",IF(H152="USD",G152,IF(R152&gt;0,G152/R152,0)))</f>
        <v/>
      </c>
      <c r="U152" s="53">
        <f>IF(P152="","",IF(P152="Gasto",S152,IF(P152="Reembolso",-S152,0)))</f>
        <v/>
      </c>
      <c r="V152" s="53">
        <f>IF(P152="","",IF(P152="Ingreso",S152,0))</f>
        <v/>
      </c>
      <c r="W152" s="53">
        <f>IF(P152="","",IF(P152="Resultado trading",S152,0))</f>
        <v/>
      </c>
      <c r="X152" s="52">
        <f>IF(OR(P152="Gasto",P152="Reembolso"),IF(M152&lt;&gt;"",M152,IFERROR(INDEX(catClasif,MATCH(D152&amp;"|"&amp;E152,catClave,0))&amp;"","Variable")),"")</f>
        <v/>
      </c>
      <c r="Y152" s="52">
        <f>IF(P152="","",IFERROR(INDEX(catGrupo,MATCH(D152&amp;"|"&amp;E152,catClave,0))&amp;"",""))</f>
        <v/>
      </c>
      <c r="Z152" s="52">
        <f>IF(P152="","",WEEKDAY(B152,2))</f>
        <v/>
      </c>
      <c r="AA152" s="52">
        <f>IF(P152="","",IF(AND(P152="Gasto",X152="Variable",D152&lt;&gt;catTrading,S152&gt;0,S152&lt;=Umbral),1,0))</f>
        <v/>
      </c>
      <c r="AB152" s="52">
        <f>IF(OR(P152="",Q152=""),"",IFERROR(IF(INDEX(ctaVinc,MATCH(Q152,ctaNombre,0))&amp;""&lt;&gt;"",INDEX(ctaVinc,MATCH(Q152,ctaNombre,0))&amp;"",Q152),Q152))</f>
        <v/>
      </c>
      <c r="AC152" s="52">
        <f>IF(OR(K152="",AND(P152&lt;&gt;"Transferencia",P152&lt;&gt;"Pago tarjeta")),"",IFERROR(IF(INDEX(ctaVinc,MATCH(K152,ctaNombre,0))&amp;""&lt;&gt;"",INDEX(ctaVinc,MATCH(K152,ctaNombre,0))&amp;"",K152),K152))</f>
        <v/>
      </c>
      <c r="AD152" s="52">
        <f>IF(AB152="","",IFERROR(INDEX(ctaTipo,MATCH(AB152,ctaNombre,0))&amp;"",""))</f>
        <v/>
      </c>
      <c r="AE152" s="52">
        <f>IF(AC152="","",IFERROR(INDEX(ctaTipo,MATCH(AC152,ctaNombre,0))&amp;"",""))</f>
        <v/>
      </c>
      <c r="AF152" s="53">
        <f>IF(OR(P152="",AB152=""),"",IF(OR(P152="Gasto",P152="Transferencia",P152="Pago tarjeta"),-1,1)*IF(IFERROR(INDEX(ctaMoneda,MATCH(AB152,ctaNombre,0))&amp;"","DOP")="USD",T152,S152))</f>
        <v/>
      </c>
      <c r="AG152" s="53">
        <f>IF(AC152="","",IF(IFERROR(INDEX(ctaMoneda,MATCH(AC152,ctaNombre,0))&amp;"","DOP")="USD",T152,S152))</f>
        <v/>
      </c>
      <c r="AH152" s="53">
        <f>IF(P152="","",IF(AND(AD152&lt;&gt;"",COUNTIFS(tcTipo,AD152,tcLiq,"Sí")&gt;0),IF(OR(P152="Gasto",P152="Transferencia",P152="Pago tarjeta"),-1,1)*S152,0)+IF(AND(AE152&lt;&gt;"",COUNTIFS(tcTipo,AE152,tcLiq,"Sí")&gt;0),S152,0))</f>
        <v/>
      </c>
      <c r="AI152" s="52">
        <f>IF(OR(L152="",P152=""),"",IF(COUNTIFS(L$6:L152,L152,P$6:P152,"?*")=1,MAX(AI$5:AI151)+1,""))</f>
        <v/>
      </c>
    </row>
    <row r="153">
      <c r="B153" s="47" t="n">
        <v>46296</v>
      </c>
      <c r="C153" s="48" t="inlineStr">
        <is>
          <t>Gasto</t>
        </is>
      </c>
      <c r="D153" s="48" t="inlineStr">
        <is>
          <t>Alimentación</t>
        </is>
      </c>
      <c r="E153" s="48" t="inlineStr">
        <is>
          <t>Almuerzos laborales</t>
        </is>
      </c>
      <c r="F153" s="48" t="inlineStr">
        <is>
          <t>DEMO · Almuerzo laboral</t>
        </is>
      </c>
      <c r="G153" s="49" t="n">
        <v>350</v>
      </c>
      <c r="H153" s="48" t="inlineStr">
        <is>
          <t>DOP</t>
        </is>
      </c>
      <c r="I153" s="50" t="n"/>
      <c r="J153" s="48" t="inlineStr">
        <is>
          <t>Billetera digital</t>
        </is>
      </c>
      <c r="K153" s="48" t="n"/>
      <c r="L153" s="48" t="inlineStr">
        <is>
          <t>Comedor ejecutivo</t>
        </is>
      </c>
      <c r="M153" s="48" t="n"/>
      <c r="N153" s="48" t="inlineStr">
        <is>
          <t>DEMOSTRACIÓN</t>
        </is>
      </c>
      <c r="O153" s="51">
        <f>IF(AND(B153="",G153="",C153="",D153="",J153=""),"",IF(B153="","⚠ Falta fecha",IF(G153="","⚠ Falta monto",IF(Q153="","⚠ Falta cuenta",IF(ISNA(MATCH(Q153,ctaNombre,0)),"⚠ Cuenta no registrada",IF(AND(OR(P153="Gasto",P153="Reembolso"),D153=""),"⚠ Falta categoría",IF(AND(D153&lt;&gt;"",E153&lt;&gt;"",ISNA(MATCH(D153&amp;"|"&amp;E153,catClave,0))),"⚠ Subcategoría no corresponde",IF(AND(OR(P153="Transferencia",P153="Pago tarjeta"),K153=""),"⚠ Falta cuenta destino",IF(AND(K153&lt;&gt;"",P153&lt;&gt;"Transferencia",P153&lt;&gt;"Pago tarjeta"),"⚠ Destino solo aplica a transferencias",IF(AND(K153&lt;&gt;"",K153=Q153),"⚠ Origen igual a destino",IF(AND(K153&lt;&gt;"",ISNA(MATCH(K153,ctaNombre,0))),"⚠ Destino no registrado",IF(AND(P153="Pago tarjeta",AE153&lt;&gt;"Tarjeta de crédito"),"⚠ El destino debe ser tarjeta de crédito",IF(AND(P153="Gasto",E153="Depósitos y retiros"),"⚠ Usa tipo Transferencia",IF(AND(P153="Resultado trading",AD153&lt;&gt;"Cuenta de trading"),"⚠ Usa una cuenta de trading",IF(AND(G153&lt;=0,P153&lt;&gt;"Ajuste",P153&lt;&gt;"Resultado trading"),"⚠ El monto debe ser positivo","✓")))))))))))))))</f>
        <v/>
      </c>
      <c r="P153" s="52">
        <f>IF(OR(B153="",G153=""),"",IF(C153="","Gasto",C153))</f>
        <v/>
      </c>
      <c r="Q153" s="52">
        <f>IF(P153="","",IF(J153&lt;&gt;"",J153,CuentaPred&amp;""))</f>
        <v/>
      </c>
      <c r="R153" s="52">
        <f>IF(P153="","",IF(ISNUMBER(I153),I153,TasaUSD))</f>
        <v/>
      </c>
      <c r="S153" s="53">
        <f>IF(P153="","",IF(H153="USD",G153*R153,G153))</f>
        <v/>
      </c>
      <c r="T153" s="53">
        <f>IF(P153="","",IF(H153="USD",G153,IF(R153&gt;0,G153/R153,0)))</f>
        <v/>
      </c>
      <c r="U153" s="53">
        <f>IF(P153="","",IF(P153="Gasto",S153,IF(P153="Reembolso",-S153,0)))</f>
        <v/>
      </c>
      <c r="V153" s="53">
        <f>IF(P153="","",IF(P153="Ingreso",S153,0))</f>
        <v/>
      </c>
      <c r="W153" s="53">
        <f>IF(P153="","",IF(P153="Resultado trading",S153,0))</f>
        <v/>
      </c>
      <c r="X153" s="52">
        <f>IF(OR(P153="Gasto",P153="Reembolso"),IF(M153&lt;&gt;"",M153,IFERROR(INDEX(catClasif,MATCH(D153&amp;"|"&amp;E153,catClave,0))&amp;"","Variable")),"")</f>
        <v/>
      </c>
      <c r="Y153" s="52">
        <f>IF(P153="","",IFERROR(INDEX(catGrupo,MATCH(D153&amp;"|"&amp;E153,catClave,0))&amp;"",""))</f>
        <v/>
      </c>
      <c r="Z153" s="52">
        <f>IF(P153="","",WEEKDAY(B153,2))</f>
        <v/>
      </c>
      <c r="AA153" s="52">
        <f>IF(P153="","",IF(AND(P153="Gasto",X153="Variable",D153&lt;&gt;catTrading,S153&gt;0,S153&lt;=Umbral),1,0))</f>
        <v/>
      </c>
      <c r="AB153" s="52">
        <f>IF(OR(P153="",Q153=""),"",IFERROR(IF(INDEX(ctaVinc,MATCH(Q153,ctaNombre,0))&amp;""&lt;&gt;"",INDEX(ctaVinc,MATCH(Q153,ctaNombre,0))&amp;"",Q153),Q153))</f>
        <v/>
      </c>
      <c r="AC153" s="52">
        <f>IF(OR(K153="",AND(P153&lt;&gt;"Transferencia",P153&lt;&gt;"Pago tarjeta")),"",IFERROR(IF(INDEX(ctaVinc,MATCH(K153,ctaNombre,0))&amp;""&lt;&gt;"",INDEX(ctaVinc,MATCH(K153,ctaNombre,0))&amp;"",K153),K153))</f>
        <v/>
      </c>
      <c r="AD153" s="52">
        <f>IF(AB153="","",IFERROR(INDEX(ctaTipo,MATCH(AB153,ctaNombre,0))&amp;"",""))</f>
        <v/>
      </c>
      <c r="AE153" s="52">
        <f>IF(AC153="","",IFERROR(INDEX(ctaTipo,MATCH(AC153,ctaNombre,0))&amp;"",""))</f>
        <v/>
      </c>
      <c r="AF153" s="53">
        <f>IF(OR(P153="",AB153=""),"",IF(OR(P153="Gasto",P153="Transferencia",P153="Pago tarjeta"),-1,1)*IF(IFERROR(INDEX(ctaMoneda,MATCH(AB153,ctaNombre,0))&amp;"","DOP")="USD",T153,S153))</f>
        <v/>
      </c>
      <c r="AG153" s="53">
        <f>IF(AC153="","",IF(IFERROR(INDEX(ctaMoneda,MATCH(AC153,ctaNombre,0))&amp;"","DOP")="USD",T153,S153))</f>
        <v/>
      </c>
      <c r="AH153" s="53">
        <f>IF(P153="","",IF(AND(AD153&lt;&gt;"",COUNTIFS(tcTipo,AD153,tcLiq,"Sí")&gt;0),IF(OR(P153="Gasto",P153="Transferencia",P153="Pago tarjeta"),-1,1)*S153,0)+IF(AND(AE153&lt;&gt;"",COUNTIFS(tcTipo,AE153,tcLiq,"Sí")&gt;0),S153,0))</f>
        <v/>
      </c>
      <c r="AI153" s="52">
        <f>IF(OR(L153="",P153=""),"",IF(COUNTIFS(L$6:L153,L153,P$6:P153,"?*")=1,MAX(AI$5:AI152)+1,""))</f>
        <v/>
      </c>
    </row>
    <row r="154">
      <c r="B154" s="47" t="n">
        <v>46296</v>
      </c>
      <c r="C154" s="48" t="inlineStr">
        <is>
          <t>Gasto</t>
        </is>
      </c>
      <c r="D154" s="48" t="inlineStr">
        <is>
          <t>Alimentación</t>
        </is>
      </c>
      <c r="E154" s="48" t="inlineStr">
        <is>
          <t>Bebidas, snacks y otros consumos</t>
        </is>
      </c>
      <c r="F154" s="48" t="inlineStr">
        <is>
          <t>DEMO · Snack de la tarde</t>
        </is>
      </c>
      <c r="G154" s="49" t="n">
        <v>120</v>
      </c>
      <c r="H154" s="48" t="inlineStr">
        <is>
          <t>DOP</t>
        </is>
      </c>
      <c r="I154" s="50" t="n"/>
      <c r="J154" s="48" t="inlineStr">
        <is>
          <t>Efectivo</t>
        </is>
      </c>
      <c r="K154" s="48" t="n"/>
      <c r="L154" s="48" t="inlineStr">
        <is>
          <t>Cafetería del trabajo</t>
        </is>
      </c>
      <c r="M154" s="48" t="n"/>
      <c r="N154" s="48" t="inlineStr">
        <is>
          <t>DEMOSTRACIÓN</t>
        </is>
      </c>
      <c r="O154" s="51">
        <f>IF(AND(B154="",G154="",C154="",D154="",J154=""),"",IF(B154="","⚠ Falta fecha",IF(G154="","⚠ Falta monto",IF(Q154="","⚠ Falta cuenta",IF(ISNA(MATCH(Q154,ctaNombre,0)),"⚠ Cuenta no registrada",IF(AND(OR(P154="Gasto",P154="Reembolso"),D154=""),"⚠ Falta categoría",IF(AND(D154&lt;&gt;"",E154&lt;&gt;"",ISNA(MATCH(D154&amp;"|"&amp;E154,catClave,0))),"⚠ Subcategoría no corresponde",IF(AND(OR(P154="Transferencia",P154="Pago tarjeta"),K154=""),"⚠ Falta cuenta destino",IF(AND(K154&lt;&gt;"",P154&lt;&gt;"Transferencia",P154&lt;&gt;"Pago tarjeta"),"⚠ Destino solo aplica a transferencias",IF(AND(K154&lt;&gt;"",K154=Q154),"⚠ Origen igual a destino",IF(AND(K154&lt;&gt;"",ISNA(MATCH(K154,ctaNombre,0))),"⚠ Destino no registrado",IF(AND(P154="Pago tarjeta",AE154&lt;&gt;"Tarjeta de crédito"),"⚠ El destino debe ser tarjeta de crédito",IF(AND(P154="Gasto",E154="Depósitos y retiros"),"⚠ Usa tipo Transferencia",IF(AND(P154="Resultado trading",AD154&lt;&gt;"Cuenta de trading"),"⚠ Usa una cuenta de trading",IF(AND(G154&lt;=0,P154&lt;&gt;"Ajuste",P154&lt;&gt;"Resultado trading"),"⚠ El monto debe ser positivo","✓")))))))))))))))</f>
        <v/>
      </c>
      <c r="P154" s="52">
        <f>IF(OR(B154="",G154=""),"",IF(C154="","Gasto",C154))</f>
        <v/>
      </c>
      <c r="Q154" s="52">
        <f>IF(P154="","",IF(J154&lt;&gt;"",J154,CuentaPred&amp;""))</f>
        <v/>
      </c>
      <c r="R154" s="52">
        <f>IF(P154="","",IF(ISNUMBER(I154),I154,TasaUSD))</f>
        <v/>
      </c>
      <c r="S154" s="53">
        <f>IF(P154="","",IF(H154="USD",G154*R154,G154))</f>
        <v/>
      </c>
      <c r="T154" s="53">
        <f>IF(P154="","",IF(H154="USD",G154,IF(R154&gt;0,G154/R154,0)))</f>
        <v/>
      </c>
      <c r="U154" s="53">
        <f>IF(P154="","",IF(P154="Gasto",S154,IF(P154="Reembolso",-S154,0)))</f>
        <v/>
      </c>
      <c r="V154" s="53">
        <f>IF(P154="","",IF(P154="Ingreso",S154,0))</f>
        <v/>
      </c>
      <c r="W154" s="53">
        <f>IF(P154="","",IF(P154="Resultado trading",S154,0))</f>
        <v/>
      </c>
      <c r="X154" s="52">
        <f>IF(OR(P154="Gasto",P154="Reembolso"),IF(M154&lt;&gt;"",M154,IFERROR(INDEX(catClasif,MATCH(D154&amp;"|"&amp;E154,catClave,0))&amp;"","Variable")),"")</f>
        <v/>
      </c>
      <c r="Y154" s="52">
        <f>IF(P154="","",IFERROR(INDEX(catGrupo,MATCH(D154&amp;"|"&amp;E154,catClave,0))&amp;"",""))</f>
        <v/>
      </c>
      <c r="Z154" s="52">
        <f>IF(P154="","",WEEKDAY(B154,2))</f>
        <v/>
      </c>
      <c r="AA154" s="52">
        <f>IF(P154="","",IF(AND(P154="Gasto",X154="Variable",D154&lt;&gt;catTrading,S154&gt;0,S154&lt;=Umbral),1,0))</f>
        <v/>
      </c>
      <c r="AB154" s="52">
        <f>IF(OR(P154="",Q154=""),"",IFERROR(IF(INDEX(ctaVinc,MATCH(Q154,ctaNombre,0))&amp;""&lt;&gt;"",INDEX(ctaVinc,MATCH(Q154,ctaNombre,0))&amp;"",Q154),Q154))</f>
        <v/>
      </c>
      <c r="AC154" s="52">
        <f>IF(OR(K154="",AND(P154&lt;&gt;"Transferencia",P154&lt;&gt;"Pago tarjeta")),"",IFERROR(IF(INDEX(ctaVinc,MATCH(K154,ctaNombre,0))&amp;""&lt;&gt;"",INDEX(ctaVinc,MATCH(K154,ctaNombre,0))&amp;"",K154),K154))</f>
        <v/>
      </c>
      <c r="AD154" s="52">
        <f>IF(AB154="","",IFERROR(INDEX(ctaTipo,MATCH(AB154,ctaNombre,0))&amp;"",""))</f>
        <v/>
      </c>
      <c r="AE154" s="52">
        <f>IF(AC154="","",IFERROR(INDEX(ctaTipo,MATCH(AC154,ctaNombre,0))&amp;"",""))</f>
        <v/>
      </c>
      <c r="AF154" s="53">
        <f>IF(OR(P154="",AB154=""),"",IF(OR(P154="Gasto",P154="Transferencia",P154="Pago tarjeta"),-1,1)*IF(IFERROR(INDEX(ctaMoneda,MATCH(AB154,ctaNombre,0))&amp;"","DOP")="USD",T154,S154))</f>
        <v/>
      </c>
      <c r="AG154" s="53">
        <f>IF(AC154="","",IF(IFERROR(INDEX(ctaMoneda,MATCH(AC154,ctaNombre,0))&amp;"","DOP")="USD",T154,S154))</f>
        <v/>
      </c>
      <c r="AH154" s="53">
        <f>IF(P154="","",IF(AND(AD154&lt;&gt;"",COUNTIFS(tcTipo,AD154,tcLiq,"Sí")&gt;0),IF(OR(P154="Gasto",P154="Transferencia",P154="Pago tarjeta"),-1,1)*S154,0)+IF(AND(AE154&lt;&gt;"",COUNTIFS(tcTipo,AE154,tcLiq,"Sí")&gt;0),S154,0))</f>
        <v/>
      </c>
      <c r="AI154" s="52">
        <f>IF(OR(L154="",P154=""),"",IF(COUNTIFS(L$6:L154,L154,P$6:P154,"?*")=1,MAX(AI$5:AI153)+1,""))</f>
        <v/>
      </c>
    </row>
    <row r="155">
      <c r="B155" s="47" t="n">
        <v>46296</v>
      </c>
      <c r="C155" s="48" t="inlineStr">
        <is>
          <t>Gasto</t>
        </is>
      </c>
      <c r="D155" s="48" t="inlineStr">
        <is>
          <t>Transporte y vehículo</t>
        </is>
      </c>
      <c r="E155" s="48" t="inlineStr">
        <is>
          <t>Parqueos y peajes</t>
        </is>
      </c>
      <c r="F155" s="48" t="inlineStr">
        <is>
          <t>DEMO · Parqueo</t>
        </is>
      </c>
      <c r="G155" s="49" t="n">
        <v>75</v>
      </c>
      <c r="H155" s="48" t="inlineStr">
        <is>
          <t>DOP</t>
        </is>
      </c>
      <c r="I155" s="50" t="n"/>
      <c r="J155" s="48" t="inlineStr">
        <is>
          <t>Efectivo</t>
        </is>
      </c>
      <c r="K155" s="48" t="n"/>
      <c r="L155" s="48" t="inlineStr">
        <is>
          <t>Parqueo centro</t>
        </is>
      </c>
      <c r="M155" s="48" t="n"/>
      <c r="N155" s="48" t="inlineStr">
        <is>
          <t>DEMOSTRACIÓN</t>
        </is>
      </c>
      <c r="O155" s="51">
        <f>IF(AND(B155="",G155="",C155="",D155="",J155=""),"",IF(B155="","⚠ Falta fecha",IF(G155="","⚠ Falta monto",IF(Q155="","⚠ Falta cuenta",IF(ISNA(MATCH(Q155,ctaNombre,0)),"⚠ Cuenta no registrada",IF(AND(OR(P155="Gasto",P155="Reembolso"),D155=""),"⚠ Falta categoría",IF(AND(D155&lt;&gt;"",E155&lt;&gt;"",ISNA(MATCH(D155&amp;"|"&amp;E155,catClave,0))),"⚠ Subcategoría no corresponde",IF(AND(OR(P155="Transferencia",P155="Pago tarjeta"),K155=""),"⚠ Falta cuenta destino",IF(AND(K155&lt;&gt;"",P155&lt;&gt;"Transferencia",P155&lt;&gt;"Pago tarjeta"),"⚠ Destino solo aplica a transferencias",IF(AND(K155&lt;&gt;"",K155=Q155),"⚠ Origen igual a destino",IF(AND(K155&lt;&gt;"",ISNA(MATCH(K155,ctaNombre,0))),"⚠ Destino no registrado",IF(AND(P155="Pago tarjeta",AE155&lt;&gt;"Tarjeta de crédito"),"⚠ El destino debe ser tarjeta de crédito",IF(AND(P155="Gasto",E155="Depósitos y retiros"),"⚠ Usa tipo Transferencia",IF(AND(P155="Resultado trading",AD155&lt;&gt;"Cuenta de trading"),"⚠ Usa una cuenta de trading",IF(AND(G155&lt;=0,P155&lt;&gt;"Ajuste",P155&lt;&gt;"Resultado trading"),"⚠ El monto debe ser positivo","✓")))))))))))))))</f>
        <v/>
      </c>
      <c r="P155" s="52">
        <f>IF(OR(B155="",G155=""),"",IF(C155="","Gasto",C155))</f>
        <v/>
      </c>
      <c r="Q155" s="52">
        <f>IF(P155="","",IF(J155&lt;&gt;"",J155,CuentaPred&amp;""))</f>
        <v/>
      </c>
      <c r="R155" s="52">
        <f>IF(P155="","",IF(ISNUMBER(I155),I155,TasaUSD))</f>
        <v/>
      </c>
      <c r="S155" s="53">
        <f>IF(P155="","",IF(H155="USD",G155*R155,G155))</f>
        <v/>
      </c>
      <c r="T155" s="53">
        <f>IF(P155="","",IF(H155="USD",G155,IF(R155&gt;0,G155/R155,0)))</f>
        <v/>
      </c>
      <c r="U155" s="53">
        <f>IF(P155="","",IF(P155="Gasto",S155,IF(P155="Reembolso",-S155,0)))</f>
        <v/>
      </c>
      <c r="V155" s="53">
        <f>IF(P155="","",IF(P155="Ingreso",S155,0))</f>
        <v/>
      </c>
      <c r="W155" s="53">
        <f>IF(P155="","",IF(P155="Resultado trading",S155,0))</f>
        <v/>
      </c>
      <c r="X155" s="52">
        <f>IF(OR(P155="Gasto",P155="Reembolso"),IF(M155&lt;&gt;"",M155,IFERROR(INDEX(catClasif,MATCH(D155&amp;"|"&amp;E155,catClave,0))&amp;"","Variable")),"")</f>
        <v/>
      </c>
      <c r="Y155" s="52">
        <f>IF(P155="","",IFERROR(INDEX(catGrupo,MATCH(D155&amp;"|"&amp;E155,catClave,0))&amp;"",""))</f>
        <v/>
      </c>
      <c r="Z155" s="52">
        <f>IF(P155="","",WEEKDAY(B155,2))</f>
        <v/>
      </c>
      <c r="AA155" s="52">
        <f>IF(P155="","",IF(AND(P155="Gasto",X155="Variable",D155&lt;&gt;catTrading,S155&gt;0,S155&lt;=Umbral),1,0))</f>
        <v/>
      </c>
      <c r="AB155" s="52">
        <f>IF(OR(P155="",Q155=""),"",IFERROR(IF(INDEX(ctaVinc,MATCH(Q155,ctaNombre,0))&amp;""&lt;&gt;"",INDEX(ctaVinc,MATCH(Q155,ctaNombre,0))&amp;"",Q155),Q155))</f>
        <v/>
      </c>
      <c r="AC155" s="52">
        <f>IF(OR(K155="",AND(P155&lt;&gt;"Transferencia",P155&lt;&gt;"Pago tarjeta")),"",IFERROR(IF(INDEX(ctaVinc,MATCH(K155,ctaNombre,0))&amp;""&lt;&gt;"",INDEX(ctaVinc,MATCH(K155,ctaNombre,0))&amp;"",K155),K155))</f>
        <v/>
      </c>
      <c r="AD155" s="52">
        <f>IF(AB155="","",IFERROR(INDEX(ctaTipo,MATCH(AB155,ctaNombre,0))&amp;"",""))</f>
        <v/>
      </c>
      <c r="AE155" s="52">
        <f>IF(AC155="","",IFERROR(INDEX(ctaTipo,MATCH(AC155,ctaNombre,0))&amp;"",""))</f>
        <v/>
      </c>
      <c r="AF155" s="53">
        <f>IF(OR(P155="",AB155=""),"",IF(OR(P155="Gasto",P155="Transferencia",P155="Pago tarjeta"),-1,1)*IF(IFERROR(INDEX(ctaMoneda,MATCH(AB155,ctaNombre,0))&amp;"","DOP")="USD",T155,S155))</f>
        <v/>
      </c>
      <c r="AG155" s="53">
        <f>IF(AC155="","",IF(IFERROR(INDEX(ctaMoneda,MATCH(AC155,ctaNombre,0))&amp;"","DOP")="USD",T155,S155))</f>
        <v/>
      </c>
      <c r="AH155" s="53">
        <f>IF(P155="","",IF(AND(AD155&lt;&gt;"",COUNTIFS(tcTipo,AD155,tcLiq,"Sí")&gt;0),IF(OR(P155="Gasto",P155="Transferencia",P155="Pago tarjeta"),-1,1)*S155,0)+IF(AND(AE155&lt;&gt;"",COUNTIFS(tcTipo,AE155,tcLiq,"Sí")&gt;0),S155,0))</f>
        <v/>
      </c>
      <c r="AI155" s="52">
        <f>IF(OR(L155="",P155=""),"",IF(COUNTIFS(L$6:L155,L155,P$6:P155,"?*")=1,MAX(AI$5:AI154)+1,""))</f>
        <v/>
      </c>
    </row>
    <row r="156">
      <c r="B156" s="47" t="n">
        <v>46296</v>
      </c>
      <c r="C156" s="48" t="inlineStr">
        <is>
          <t>Transferencia</t>
        </is>
      </c>
      <c r="D156" s="48" t="n"/>
      <c r="E156" s="48" t="n"/>
      <c r="F156" s="48" t="inlineStr">
        <is>
          <t>DEMO · Retiro en cajero</t>
        </is>
      </c>
      <c r="G156" s="49" t="n">
        <v>5000</v>
      </c>
      <c r="H156" s="48" t="inlineStr">
        <is>
          <t>DOP</t>
        </is>
      </c>
      <c r="I156" s="50" t="n"/>
      <c r="J156" s="48" t="inlineStr">
        <is>
          <t>Banco principal</t>
        </is>
      </c>
      <c r="K156" s="48" t="inlineStr">
        <is>
          <t>Efectivo</t>
        </is>
      </c>
      <c r="L156" s="48" t="n"/>
      <c r="M156" s="48" t="n"/>
      <c r="N156" s="48" t="inlineStr">
        <is>
          <t>DEMOSTRACIÓN</t>
        </is>
      </c>
      <c r="O156" s="51">
        <f>IF(AND(B156="",G156="",C156="",D156="",J156=""),"",IF(B156="","⚠ Falta fecha",IF(G156="","⚠ Falta monto",IF(Q156="","⚠ Falta cuenta",IF(ISNA(MATCH(Q156,ctaNombre,0)),"⚠ Cuenta no registrada",IF(AND(OR(P156="Gasto",P156="Reembolso"),D156=""),"⚠ Falta categoría",IF(AND(D156&lt;&gt;"",E156&lt;&gt;"",ISNA(MATCH(D156&amp;"|"&amp;E156,catClave,0))),"⚠ Subcategoría no corresponde",IF(AND(OR(P156="Transferencia",P156="Pago tarjeta"),K156=""),"⚠ Falta cuenta destino",IF(AND(K156&lt;&gt;"",P156&lt;&gt;"Transferencia",P156&lt;&gt;"Pago tarjeta"),"⚠ Destino solo aplica a transferencias",IF(AND(K156&lt;&gt;"",K156=Q156),"⚠ Origen igual a destino",IF(AND(K156&lt;&gt;"",ISNA(MATCH(K156,ctaNombre,0))),"⚠ Destino no registrado",IF(AND(P156="Pago tarjeta",AE156&lt;&gt;"Tarjeta de crédito"),"⚠ El destino debe ser tarjeta de crédito",IF(AND(P156="Gasto",E156="Depósitos y retiros"),"⚠ Usa tipo Transferencia",IF(AND(P156="Resultado trading",AD156&lt;&gt;"Cuenta de trading"),"⚠ Usa una cuenta de trading",IF(AND(G156&lt;=0,P156&lt;&gt;"Ajuste",P156&lt;&gt;"Resultado trading"),"⚠ El monto debe ser positivo","✓")))))))))))))))</f>
        <v/>
      </c>
      <c r="P156" s="52">
        <f>IF(OR(B156="",G156=""),"",IF(C156="","Gasto",C156))</f>
        <v/>
      </c>
      <c r="Q156" s="52">
        <f>IF(P156="","",IF(J156&lt;&gt;"",J156,CuentaPred&amp;""))</f>
        <v/>
      </c>
      <c r="R156" s="52">
        <f>IF(P156="","",IF(ISNUMBER(I156),I156,TasaUSD))</f>
        <v/>
      </c>
      <c r="S156" s="53">
        <f>IF(P156="","",IF(H156="USD",G156*R156,G156))</f>
        <v/>
      </c>
      <c r="T156" s="53">
        <f>IF(P156="","",IF(H156="USD",G156,IF(R156&gt;0,G156/R156,0)))</f>
        <v/>
      </c>
      <c r="U156" s="53">
        <f>IF(P156="","",IF(P156="Gasto",S156,IF(P156="Reembolso",-S156,0)))</f>
        <v/>
      </c>
      <c r="V156" s="53">
        <f>IF(P156="","",IF(P156="Ingreso",S156,0))</f>
        <v/>
      </c>
      <c r="W156" s="53">
        <f>IF(P156="","",IF(P156="Resultado trading",S156,0))</f>
        <v/>
      </c>
      <c r="X156" s="52">
        <f>IF(OR(P156="Gasto",P156="Reembolso"),IF(M156&lt;&gt;"",M156,IFERROR(INDEX(catClasif,MATCH(D156&amp;"|"&amp;E156,catClave,0))&amp;"","Variable")),"")</f>
        <v/>
      </c>
      <c r="Y156" s="52">
        <f>IF(P156="","",IFERROR(INDEX(catGrupo,MATCH(D156&amp;"|"&amp;E156,catClave,0))&amp;"",""))</f>
        <v/>
      </c>
      <c r="Z156" s="52">
        <f>IF(P156="","",WEEKDAY(B156,2))</f>
        <v/>
      </c>
      <c r="AA156" s="52">
        <f>IF(P156="","",IF(AND(P156="Gasto",X156="Variable",D156&lt;&gt;catTrading,S156&gt;0,S156&lt;=Umbral),1,0))</f>
        <v/>
      </c>
      <c r="AB156" s="52">
        <f>IF(OR(P156="",Q156=""),"",IFERROR(IF(INDEX(ctaVinc,MATCH(Q156,ctaNombre,0))&amp;""&lt;&gt;"",INDEX(ctaVinc,MATCH(Q156,ctaNombre,0))&amp;"",Q156),Q156))</f>
        <v/>
      </c>
      <c r="AC156" s="52">
        <f>IF(OR(K156="",AND(P156&lt;&gt;"Transferencia",P156&lt;&gt;"Pago tarjeta")),"",IFERROR(IF(INDEX(ctaVinc,MATCH(K156,ctaNombre,0))&amp;""&lt;&gt;"",INDEX(ctaVinc,MATCH(K156,ctaNombre,0))&amp;"",K156),K156))</f>
        <v/>
      </c>
      <c r="AD156" s="52">
        <f>IF(AB156="","",IFERROR(INDEX(ctaTipo,MATCH(AB156,ctaNombre,0))&amp;"",""))</f>
        <v/>
      </c>
      <c r="AE156" s="52">
        <f>IF(AC156="","",IFERROR(INDEX(ctaTipo,MATCH(AC156,ctaNombre,0))&amp;"",""))</f>
        <v/>
      </c>
      <c r="AF156" s="53">
        <f>IF(OR(P156="",AB156=""),"",IF(OR(P156="Gasto",P156="Transferencia",P156="Pago tarjeta"),-1,1)*IF(IFERROR(INDEX(ctaMoneda,MATCH(AB156,ctaNombre,0))&amp;"","DOP")="USD",T156,S156))</f>
        <v/>
      </c>
      <c r="AG156" s="53">
        <f>IF(AC156="","",IF(IFERROR(INDEX(ctaMoneda,MATCH(AC156,ctaNombre,0))&amp;"","DOP")="USD",T156,S156))</f>
        <v/>
      </c>
      <c r="AH156" s="53">
        <f>IF(P156="","",IF(AND(AD156&lt;&gt;"",COUNTIFS(tcTipo,AD156,tcLiq,"Sí")&gt;0),IF(OR(P156="Gasto",P156="Transferencia",P156="Pago tarjeta"),-1,1)*S156,0)+IF(AND(AE156&lt;&gt;"",COUNTIFS(tcTipo,AE156,tcLiq,"Sí")&gt;0),S156,0))</f>
        <v/>
      </c>
      <c r="AI156" s="52">
        <f>IF(OR(L156="",P156=""),"",IF(COUNTIFS(L$6:L156,L156,P$6:P156,"?*")=1,MAX(AI$5:AI155)+1,""))</f>
        <v/>
      </c>
    </row>
    <row r="157">
      <c r="B157" s="47" t="n">
        <v>46296</v>
      </c>
      <c r="C157" s="48" t="inlineStr">
        <is>
          <t>Ajuste</t>
        </is>
      </c>
      <c r="D157" s="48" t="n"/>
      <c r="E157" s="48" t="n"/>
      <c r="F157" s="48" t="inlineStr">
        <is>
          <t>DEMO · Diferencia al contar el efectivo</t>
        </is>
      </c>
      <c r="G157" s="49" t="n">
        <v>-150</v>
      </c>
      <c r="H157" s="48" t="inlineStr">
        <is>
          <t>DOP</t>
        </is>
      </c>
      <c r="I157" s="50" t="n"/>
      <c r="J157" s="48" t="inlineStr">
        <is>
          <t>Efectivo</t>
        </is>
      </c>
      <c r="K157" s="48" t="n"/>
      <c r="L157" s="48" t="n"/>
      <c r="M157" s="48" t="n"/>
      <c r="N157" s="48" t="inlineStr">
        <is>
          <t>DEMOSTRACIÓN</t>
        </is>
      </c>
      <c r="O157" s="51">
        <f>IF(AND(B157="",G157="",C157="",D157="",J157=""),"",IF(B157="","⚠ Falta fecha",IF(G157="","⚠ Falta monto",IF(Q157="","⚠ Falta cuenta",IF(ISNA(MATCH(Q157,ctaNombre,0)),"⚠ Cuenta no registrada",IF(AND(OR(P157="Gasto",P157="Reembolso"),D157=""),"⚠ Falta categoría",IF(AND(D157&lt;&gt;"",E157&lt;&gt;"",ISNA(MATCH(D157&amp;"|"&amp;E157,catClave,0))),"⚠ Subcategoría no corresponde",IF(AND(OR(P157="Transferencia",P157="Pago tarjeta"),K157=""),"⚠ Falta cuenta destino",IF(AND(K157&lt;&gt;"",P157&lt;&gt;"Transferencia",P157&lt;&gt;"Pago tarjeta"),"⚠ Destino solo aplica a transferencias",IF(AND(K157&lt;&gt;"",K157=Q157),"⚠ Origen igual a destino",IF(AND(K157&lt;&gt;"",ISNA(MATCH(K157,ctaNombre,0))),"⚠ Destino no registrado",IF(AND(P157="Pago tarjeta",AE157&lt;&gt;"Tarjeta de crédito"),"⚠ El destino debe ser tarjeta de crédito",IF(AND(P157="Gasto",E157="Depósitos y retiros"),"⚠ Usa tipo Transferencia",IF(AND(P157="Resultado trading",AD157&lt;&gt;"Cuenta de trading"),"⚠ Usa una cuenta de trading",IF(AND(G157&lt;=0,P157&lt;&gt;"Ajuste",P157&lt;&gt;"Resultado trading"),"⚠ El monto debe ser positivo","✓")))))))))))))))</f>
        <v/>
      </c>
      <c r="P157" s="52">
        <f>IF(OR(B157="",G157=""),"",IF(C157="","Gasto",C157))</f>
        <v/>
      </c>
      <c r="Q157" s="52">
        <f>IF(P157="","",IF(J157&lt;&gt;"",J157,CuentaPred&amp;""))</f>
        <v/>
      </c>
      <c r="R157" s="52">
        <f>IF(P157="","",IF(ISNUMBER(I157),I157,TasaUSD))</f>
        <v/>
      </c>
      <c r="S157" s="53">
        <f>IF(P157="","",IF(H157="USD",G157*R157,G157))</f>
        <v/>
      </c>
      <c r="T157" s="53">
        <f>IF(P157="","",IF(H157="USD",G157,IF(R157&gt;0,G157/R157,0)))</f>
        <v/>
      </c>
      <c r="U157" s="53">
        <f>IF(P157="","",IF(P157="Gasto",S157,IF(P157="Reembolso",-S157,0)))</f>
        <v/>
      </c>
      <c r="V157" s="53">
        <f>IF(P157="","",IF(P157="Ingreso",S157,0))</f>
        <v/>
      </c>
      <c r="W157" s="53">
        <f>IF(P157="","",IF(P157="Resultado trading",S157,0))</f>
        <v/>
      </c>
      <c r="X157" s="52">
        <f>IF(OR(P157="Gasto",P157="Reembolso"),IF(M157&lt;&gt;"",M157,IFERROR(INDEX(catClasif,MATCH(D157&amp;"|"&amp;E157,catClave,0))&amp;"","Variable")),"")</f>
        <v/>
      </c>
      <c r="Y157" s="52">
        <f>IF(P157="","",IFERROR(INDEX(catGrupo,MATCH(D157&amp;"|"&amp;E157,catClave,0))&amp;"",""))</f>
        <v/>
      </c>
      <c r="Z157" s="52">
        <f>IF(P157="","",WEEKDAY(B157,2))</f>
        <v/>
      </c>
      <c r="AA157" s="52">
        <f>IF(P157="","",IF(AND(P157="Gasto",X157="Variable",D157&lt;&gt;catTrading,S157&gt;0,S157&lt;=Umbral),1,0))</f>
        <v/>
      </c>
      <c r="AB157" s="52">
        <f>IF(OR(P157="",Q157=""),"",IFERROR(IF(INDEX(ctaVinc,MATCH(Q157,ctaNombre,0))&amp;""&lt;&gt;"",INDEX(ctaVinc,MATCH(Q157,ctaNombre,0))&amp;"",Q157),Q157))</f>
        <v/>
      </c>
      <c r="AC157" s="52">
        <f>IF(OR(K157="",AND(P157&lt;&gt;"Transferencia",P157&lt;&gt;"Pago tarjeta")),"",IFERROR(IF(INDEX(ctaVinc,MATCH(K157,ctaNombre,0))&amp;""&lt;&gt;"",INDEX(ctaVinc,MATCH(K157,ctaNombre,0))&amp;"",K157),K157))</f>
        <v/>
      </c>
      <c r="AD157" s="52">
        <f>IF(AB157="","",IFERROR(INDEX(ctaTipo,MATCH(AB157,ctaNombre,0))&amp;"",""))</f>
        <v/>
      </c>
      <c r="AE157" s="52">
        <f>IF(AC157="","",IFERROR(INDEX(ctaTipo,MATCH(AC157,ctaNombre,0))&amp;"",""))</f>
        <v/>
      </c>
      <c r="AF157" s="53">
        <f>IF(OR(P157="",AB157=""),"",IF(OR(P157="Gasto",P157="Transferencia",P157="Pago tarjeta"),-1,1)*IF(IFERROR(INDEX(ctaMoneda,MATCH(AB157,ctaNombre,0))&amp;"","DOP")="USD",T157,S157))</f>
        <v/>
      </c>
      <c r="AG157" s="53">
        <f>IF(AC157="","",IF(IFERROR(INDEX(ctaMoneda,MATCH(AC157,ctaNombre,0))&amp;"","DOP")="USD",T157,S157))</f>
        <v/>
      </c>
      <c r="AH157" s="53">
        <f>IF(P157="","",IF(AND(AD157&lt;&gt;"",COUNTIFS(tcTipo,AD157,tcLiq,"Sí")&gt;0),IF(OR(P157="Gasto",P157="Transferencia",P157="Pago tarjeta"),-1,1)*S157,0)+IF(AND(AE157&lt;&gt;"",COUNTIFS(tcTipo,AE157,tcLiq,"Sí")&gt;0),S157,0))</f>
        <v/>
      </c>
      <c r="AI157" s="52">
        <f>IF(OR(L157="",P157=""),"",IF(COUNTIFS(L$6:L157,L157,P$6:P157,"?*")=1,MAX(AI$5:AI156)+1,""))</f>
        <v/>
      </c>
    </row>
    <row r="158">
      <c r="B158" s="47" t="n">
        <v>46297</v>
      </c>
      <c r="C158" s="48" t="inlineStr">
        <is>
          <t>Gasto</t>
        </is>
      </c>
      <c r="D158" s="48" t="inlineStr">
        <is>
          <t>Alimentación</t>
        </is>
      </c>
      <c r="E158" s="48" t="inlineStr">
        <is>
          <t>Bebidas, snacks y otros consumos</t>
        </is>
      </c>
      <c r="F158" s="48" t="inlineStr">
        <is>
          <t>DEMO · Jugo y galletas</t>
        </is>
      </c>
      <c r="G158" s="49" t="n">
        <v>130</v>
      </c>
      <c r="H158" s="48" t="inlineStr">
        <is>
          <t>DOP</t>
        </is>
      </c>
      <c r="I158" s="50" t="n"/>
      <c r="J158" s="48" t="inlineStr">
        <is>
          <t>Efectivo</t>
        </is>
      </c>
      <c r="K158" s="48" t="n"/>
      <c r="L158" s="48" t="inlineStr">
        <is>
          <t>Colmado del barrio</t>
        </is>
      </c>
      <c r="M158" s="48" t="n"/>
      <c r="N158" s="48" t="inlineStr">
        <is>
          <t>DEMOSTRACIÓN</t>
        </is>
      </c>
      <c r="O158" s="51">
        <f>IF(AND(B158="",G158="",C158="",D158="",J158=""),"",IF(B158="","⚠ Falta fecha",IF(G158="","⚠ Falta monto",IF(Q158="","⚠ Falta cuenta",IF(ISNA(MATCH(Q158,ctaNombre,0)),"⚠ Cuenta no registrada",IF(AND(OR(P158="Gasto",P158="Reembolso"),D158=""),"⚠ Falta categoría",IF(AND(D158&lt;&gt;"",E158&lt;&gt;"",ISNA(MATCH(D158&amp;"|"&amp;E158,catClave,0))),"⚠ Subcategoría no corresponde",IF(AND(OR(P158="Transferencia",P158="Pago tarjeta"),K158=""),"⚠ Falta cuenta destino",IF(AND(K158&lt;&gt;"",P158&lt;&gt;"Transferencia",P158&lt;&gt;"Pago tarjeta"),"⚠ Destino solo aplica a transferencias",IF(AND(K158&lt;&gt;"",K158=Q158),"⚠ Origen igual a destino",IF(AND(K158&lt;&gt;"",ISNA(MATCH(K158,ctaNombre,0))),"⚠ Destino no registrado",IF(AND(P158="Pago tarjeta",AE158&lt;&gt;"Tarjeta de crédito"),"⚠ El destino debe ser tarjeta de crédito",IF(AND(P158="Gasto",E158="Depósitos y retiros"),"⚠ Usa tipo Transferencia",IF(AND(P158="Resultado trading",AD158&lt;&gt;"Cuenta de trading"),"⚠ Usa una cuenta de trading",IF(AND(G158&lt;=0,P158&lt;&gt;"Ajuste",P158&lt;&gt;"Resultado trading"),"⚠ El monto debe ser positivo","✓")))))))))))))))</f>
        <v/>
      </c>
      <c r="P158" s="52">
        <f>IF(OR(B158="",G158=""),"",IF(C158="","Gasto",C158))</f>
        <v/>
      </c>
      <c r="Q158" s="52">
        <f>IF(P158="","",IF(J158&lt;&gt;"",J158,CuentaPred&amp;""))</f>
        <v/>
      </c>
      <c r="R158" s="52">
        <f>IF(P158="","",IF(ISNUMBER(I158),I158,TasaUSD))</f>
        <v/>
      </c>
      <c r="S158" s="53">
        <f>IF(P158="","",IF(H158="USD",G158*R158,G158))</f>
        <v/>
      </c>
      <c r="T158" s="53">
        <f>IF(P158="","",IF(H158="USD",G158,IF(R158&gt;0,G158/R158,0)))</f>
        <v/>
      </c>
      <c r="U158" s="53">
        <f>IF(P158="","",IF(P158="Gasto",S158,IF(P158="Reembolso",-S158,0)))</f>
        <v/>
      </c>
      <c r="V158" s="53">
        <f>IF(P158="","",IF(P158="Ingreso",S158,0))</f>
        <v/>
      </c>
      <c r="W158" s="53">
        <f>IF(P158="","",IF(P158="Resultado trading",S158,0))</f>
        <v/>
      </c>
      <c r="X158" s="52">
        <f>IF(OR(P158="Gasto",P158="Reembolso"),IF(M158&lt;&gt;"",M158,IFERROR(INDEX(catClasif,MATCH(D158&amp;"|"&amp;E158,catClave,0))&amp;"","Variable")),"")</f>
        <v/>
      </c>
      <c r="Y158" s="52">
        <f>IF(P158="","",IFERROR(INDEX(catGrupo,MATCH(D158&amp;"|"&amp;E158,catClave,0))&amp;"",""))</f>
        <v/>
      </c>
      <c r="Z158" s="52">
        <f>IF(P158="","",WEEKDAY(B158,2))</f>
        <v/>
      </c>
      <c r="AA158" s="52">
        <f>IF(P158="","",IF(AND(P158="Gasto",X158="Variable",D158&lt;&gt;catTrading,S158&gt;0,S158&lt;=Umbral),1,0))</f>
        <v/>
      </c>
      <c r="AB158" s="52">
        <f>IF(OR(P158="",Q158=""),"",IFERROR(IF(INDEX(ctaVinc,MATCH(Q158,ctaNombre,0))&amp;""&lt;&gt;"",INDEX(ctaVinc,MATCH(Q158,ctaNombre,0))&amp;"",Q158),Q158))</f>
        <v/>
      </c>
      <c r="AC158" s="52">
        <f>IF(OR(K158="",AND(P158&lt;&gt;"Transferencia",P158&lt;&gt;"Pago tarjeta")),"",IFERROR(IF(INDEX(ctaVinc,MATCH(K158,ctaNombre,0))&amp;""&lt;&gt;"",INDEX(ctaVinc,MATCH(K158,ctaNombre,0))&amp;"",K158),K158))</f>
        <v/>
      </c>
      <c r="AD158" s="52">
        <f>IF(AB158="","",IFERROR(INDEX(ctaTipo,MATCH(AB158,ctaNombre,0))&amp;"",""))</f>
        <v/>
      </c>
      <c r="AE158" s="52">
        <f>IF(AC158="","",IFERROR(INDEX(ctaTipo,MATCH(AC158,ctaNombre,0))&amp;"",""))</f>
        <v/>
      </c>
      <c r="AF158" s="53">
        <f>IF(OR(P158="",AB158=""),"",IF(OR(P158="Gasto",P158="Transferencia",P158="Pago tarjeta"),-1,1)*IF(IFERROR(INDEX(ctaMoneda,MATCH(AB158,ctaNombre,0))&amp;"","DOP")="USD",T158,S158))</f>
        <v/>
      </c>
      <c r="AG158" s="53">
        <f>IF(AC158="","",IF(IFERROR(INDEX(ctaMoneda,MATCH(AC158,ctaNombre,0))&amp;"","DOP")="USD",T158,S158))</f>
        <v/>
      </c>
      <c r="AH158" s="53">
        <f>IF(P158="","",IF(AND(AD158&lt;&gt;"",COUNTIFS(tcTipo,AD158,tcLiq,"Sí")&gt;0),IF(OR(P158="Gasto",P158="Transferencia",P158="Pago tarjeta"),-1,1)*S158,0)+IF(AND(AE158&lt;&gt;"",COUNTIFS(tcTipo,AE158,tcLiq,"Sí")&gt;0),S158,0))</f>
        <v/>
      </c>
      <c r="AI158" s="52">
        <f>IF(OR(L158="",P158=""),"",IF(COUNTIFS(L$6:L158,L158,P$6:P158,"?*")=1,MAX(AI$5:AI157)+1,""))</f>
        <v/>
      </c>
    </row>
    <row r="159">
      <c r="B159" s="47" t="n">
        <v>46297</v>
      </c>
      <c r="C159" s="48" t="inlineStr">
        <is>
          <t>Gasto</t>
        </is>
      </c>
      <c r="D159" s="48" t="inlineStr">
        <is>
          <t>Alimentación</t>
        </is>
      </c>
      <c r="E159" s="48" t="inlineStr">
        <is>
          <t>Delivery</t>
        </is>
      </c>
      <c r="F159" s="48" t="inlineStr">
        <is>
          <t>DEMO · Pedido a domicilio</t>
        </is>
      </c>
      <c r="G159" s="49" t="n">
        <v>1050</v>
      </c>
      <c r="H159" s="48" t="inlineStr">
        <is>
          <t>DOP</t>
        </is>
      </c>
      <c r="I159" s="50" t="n"/>
      <c r="J159" s="48" t="inlineStr">
        <is>
          <t>Tarjeta de crédito</t>
        </is>
      </c>
      <c r="K159" s="48" t="n"/>
      <c r="L159" s="48" t="inlineStr">
        <is>
          <t>App de delivery</t>
        </is>
      </c>
      <c r="M159" s="48" t="n"/>
      <c r="N159" s="48" t="inlineStr">
        <is>
          <t>DEMOSTRACIÓN</t>
        </is>
      </c>
      <c r="O159" s="51">
        <f>IF(AND(B159="",G159="",C159="",D159="",J159=""),"",IF(B159="","⚠ Falta fecha",IF(G159="","⚠ Falta monto",IF(Q159="","⚠ Falta cuenta",IF(ISNA(MATCH(Q159,ctaNombre,0)),"⚠ Cuenta no registrada",IF(AND(OR(P159="Gasto",P159="Reembolso"),D159=""),"⚠ Falta categoría",IF(AND(D159&lt;&gt;"",E159&lt;&gt;"",ISNA(MATCH(D159&amp;"|"&amp;E159,catClave,0))),"⚠ Subcategoría no corresponde",IF(AND(OR(P159="Transferencia",P159="Pago tarjeta"),K159=""),"⚠ Falta cuenta destino",IF(AND(K159&lt;&gt;"",P159&lt;&gt;"Transferencia",P159&lt;&gt;"Pago tarjeta"),"⚠ Destino solo aplica a transferencias",IF(AND(K159&lt;&gt;"",K159=Q159),"⚠ Origen igual a destino",IF(AND(K159&lt;&gt;"",ISNA(MATCH(K159,ctaNombre,0))),"⚠ Destino no registrado",IF(AND(P159="Pago tarjeta",AE159&lt;&gt;"Tarjeta de crédito"),"⚠ El destino debe ser tarjeta de crédito",IF(AND(P159="Gasto",E159="Depósitos y retiros"),"⚠ Usa tipo Transferencia",IF(AND(P159="Resultado trading",AD159&lt;&gt;"Cuenta de trading"),"⚠ Usa una cuenta de trading",IF(AND(G159&lt;=0,P159&lt;&gt;"Ajuste",P159&lt;&gt;"Resultado trading"),"⚠ El monto debe ser positivo","✓")))))))))))))))</f>
        <v/>
      </c>
      <c r="P159" s="52">
        <f>IF(OR(B159="",G159=""),"",IF(C159="","Gasto",C159))</f>
        <v/>
      </c>
      <c r="Q159" s="52">
        <f>IF(P159="","",IF(J159&lt;&gt;"",J159,CuentaPred&amp;""))</f>
        <v/>
      </c>
      <c r="R159" s="52">
        <f>IF(P159="","",IF(ISNUMBER(I159),I159,TasaUSD))</f>
        <v/>
      </c>
      <c r="S159" s="53">
        <f>IF(P159="","",IF(H159="USD",G159*R159,G159))</f>
        <v/>
      </c>
      <c r="T159" s="53">
        <f>IF(P159="","",IF(H159="USD",G159,IF(R159&gt;0,G159/R159,0)))</f>
        <v/>
      </c>
      <c r="U159" s="53">
        <f>IF(P159="","",IF(P159="Gasto",S159,IF(P159="Reembolso",-S159,0)))</f>
        <v/>
      </c>
      <c r="V159" s="53">
        <f>IF(P159="","",IF(P159="Ingreso",S159,0))</f>
        <v/>
      </c>
      <c r="W159" s="53">
        <f>IF(P159="","",IF(P159="Resultado trading",S159,0))</f>
        <v/>
      </c>
      <c r="X159" s="52">
        <f>IF(OR(P159="Gasto",P159="Reembolso"),IF(M159&lt;&gt;"",M159,IFERROR(INDEX(catClasif,MATCH(D159&amp;"|"&amp;E159,catClave,0))&amp;"","Variable")),"")</f>
        <v/>
      </c>
      <c r="Y159" s="52">
        <f>IF(P159="","",IFERROR(INDEX(catGrupo,MATCH(D159&amp;"|"&amp;E159,catClave,0))&amp;"",""))</f>
        <v/>
      </c>
      <c r="Z159" s="52">
        <f>IF(P159="","",WEEKDAY(B159,2))</f>
        <v/>
      </c>
      <c r="AA159" s="52">
        <f>IF(P159="","",IF(AND(P159="Gasto",X159="Variable",D159&lt;&gt;catTrading,S159&gt;0,S159&lt;=Umbral),1,0))</f>
        <v/>
      </c>
      <c r="AB159" s="52">
        <f>IF(OR(P159="",Q159=""),"",IFERROR(IF(INDEX(ctaVinc,MATCH(Q159,ctaNombre,0))&amp;""&lt;&gt;"",INDEX(ctaVinc,MATCH(Q159,ctaNombre,0))&amp;"",Q159),Q159))</f>
        <v/>
      </c>
      <c r="AC159" s="52">
        <f>IF(OR(K159="",AND(P159&lt;&gt;"Transferencia",P159&lt;&gt;"Pago tarjeta")),"",IFERROR(IF(INDEX(ctaVinc,MATCH(K159,ctaNombre,0))&amp;""&lt;&gt;"",INDEX(ctaVinc,MATCH(K159,ctaNombre,0))&amp;"",K159),K159))</f>
        <v/>
      </c>
      <c r="AD159" s="52">
        <f>IF(AB159="","",IFERROR(INDEX(ctaTipo,MATCH(AB159,ctaNombre,0))&amp;"",""))</f>
        <v/>
      </c>
      <c r="AE159" s="52">
        <f>IF(AC159="","",IFERROR(INDEX(ctaTipo,MATCH(AC159,ctaNombre,0))&amp;"",""))</f>
        <v/>
      </c>
      <c r="AF159" s="53">
        <f>IF(OR(P159="",AB159=""),"",IF(OR(P159="Gasto",P159="Transferencia",P159="Pago tarjeta"),-1,1)*IF(IFERROR(INDEX(ctaMoneda,MATCH(AB159,ctaNombre,0))&amp;"","DOP")="USD",T159,S159))</f>
        <v/>
      </c>
      <c r="AG159" s="53">
        <f>IF(AC159="","",IF(IFERROR(INDEX(ctaMoneda,MATCH(AC159,ctaNombre,0))&amp;"","DOP")="USD",T159,S159))</f>
        <v/>
      </c>
      <c r="AH159" s="53">
        <f>IF(P159="","",IF(AND(AD159&lt;&gt;"",COUNTIFS(tcTipo,AD159,tcLiq,"Sí")&gt;0),IF(OR(P159="Gasto",P159="Transferencia",P159="Pago tarjeta"),-1,1)*S159,0)+IF(AND(AE159&lt;&gt;"",COUNTIFS(tcTipo,AE159,tcLiq,"Sí")&gt;0),S159,0))</f>
        <v/>
      </c>
      <c r="AI159" s="52">
        <f>IF(OR(L159="",P159=""),"",IF(COUNTIFS(L$6:L159,L159,P$6:P159,"?*")=1,MAX(AI$5:AI158)+1,""))</f>
        <v/>
      </c>
    </row>
    <row r="160">
      <c r="B160" s="47" t="n">
        <v>46297</v>
      </c>
      <c r="C160" s="48" t="inlineStr">
        <is>
          <t>Gasto</t>
        </is>
      </c>
      <c r="D160" s="48" t="inlineStr">
        <is>
          <t>Alimentación</t>
        </is>
      </c>
      <c r="E160" s="48" t="inlineStr">
        <is>
          <t>Supermercado</t>
        </is>
      </c>
      <c r="F160" s="48" t="inlineStr">
        <is>
          <t>DEMO · Compra de supermercado</t>
        </is>
      </c>
      <c r="G160" s="49" t="n">
        <v>4750</v>
      </c>
      <c r="H160" s="48" t="inlineStr">
        <is>
          <t>DOP</t>
        </is>
      </c>
      <c r="I160" s="50" t="n"/>
      <c r="J160" s="48" t="inlineStr">
        <is>
          <t>Tarjeta de crédito</t>
        </is>
      </c>
      <c r="K160" s="48" t="n"/>
      <c r="L160" s="48" t="inlineStr">
        <is>
          <t>Supermercado principal</t>
        </is>
      </c>
      <c r="M160" s="48" t="n"/>
      <c r="N160" s="48" t="inlineStr">
        <is>
          <t>DEMOSTRACIÓN</t>
        </is>
      </c>
      <c r="O160" s="51">
        <f>IF(AND(B160="",G160="",C160="",D160="",J160=""),"",IF(B160="","⚠ Falta fecha",IF(G160="","⚠ Falta monto",IF(Q160="","⚠ Falta cuenta",IF(ISNA(MATCH(Q160,ctaNombre,0)),"⚠ Cuenta no registrada",IF(AND(OR(P160="Gasto",P160="Reembolso"),D160=""),"⚠ Falta categoría",IF(AND(D160&lt;&gt;"",E160&lt;&gt;"",ISNA(MATCH(D160&amp;"|"&amp;E160,catClave,0))),"⚠ Subcategoría no corresponde",IF(AND(OR(P160="Transferencia",P160="Pago tarjeta"),K160=""),"⚠ Falta cuenta destino",IF(AND(K160&lt;&gt;"",P160&lt;&gt;"Transferencia",P160&lt;&gt;"Pago tarjeta"),"⚠ Destino solo aplica a transferencias",IF(AND(K160&lt;&gt;"",K160=Q160),"⚠ Origen igual a destino",IF(AND(K160&lt;&gt;"",ISNA(MATCH(K160,ctaNombre,0))),"⚠ Destino no registrado",IF(AND(P160="Pago tarjeta",AE160&lt;&gt;"Tarjeta de crédito"),"⚠ El destino debe ser tarjeta de crédito",IF(AND(P160="Gasto",E160="Depósitos y retiros"),"⚠ Usa tipo Transferencia",IF(AND(P160="Resultado trading",AD160&lt;&gt;"Cuenta de trading"),"⚠ Usa una cuenta de trading",IF(AND(G160&lt;=0,P160&lt;&gt;"Ajuste",P160&lt;&gt;"Resultado trading"),"⚠ El monto debe ser positivo","✓")))))))))))))))</f>
        <v/>
      </c>
      <c r="P160" s="52">
        <f>IF(OR(B160="",G160=""),"",IF(C160="","Gasto",C160))</f>
        <v/>
      </c>
      <c r="Q160" s="52">
        <f>IF(P160="","",IF(J160&lt;&gt;"",J160,CuentaPred&amp;""))</f>
        <v/>
      </c>
      <c r="R160" s="52">
        <f>IF(P160="","",IF(ISNUMBER(I160),I160,TasaUSD))</f>
        <v/>
      </c>
      <c r="S160" s="53">
        <f>IF(P160="","",IF(H160="USD",G160*R160,G160))</f>
        <v/>
      </c>
      <c r="T160" s="53">
        <f>IF(P160="","",IF(H160="USD",G160,IF(R160&gt;0,G160/R160,0)))</f>
        <v/>
      </c>
      <c r="U160" s="53">
        <f>IF(P160="","",IF(P160="Gasto",S160,IF(P160="Reembolso",-S160,0)))</f>
        <v/>
      </c>
      <c r="V160" s="53">
        <f>IF(P160="","",IF(P160="Ingreso",S160,0))</f>
        <v/>
      </c>
      <c r="W160" s="53">
        <f>IF(P160="","",IF(P160="Resultado trading",S160,0))</f>
        <v/>
      </c>
      <c r="X160" s="52">
        <f>IF(OR(P160="Gasto",P160="Reembolso"),IF(M160&lt;&gt;"",M160,IFERROR(INDEX(catClasif,MATCH(D160&amp;"|"&amp;E160,catClave,0))&amp;"","Variable")),"")</f>
        <v/>
      </c>
      <c r="Y160" s="52">
        <f>IF(P160="","",IFERROR(INDEX(catGrupo,MATCH(D160&amp;"|"&amp;E160,catClave,0))&amp;"",""))</f>
        <v/>
      </c>
      <c r="Z160" s="52">
        <f>IF(P160="","",WEEKDAY(B160,2))</f>
        <v/>
      </c>
      <c r="AA160" s="52">
        <f>IF(P160="","",IF(AND(P160="Gasto",X160="Variable",D160&lt;&gt;catTrading,S160&gt;0,S160&lt;=Umbral),1,0))</f>
        <v/>
      </c>
      <c r="AB160" s="52">
        <f>IF(OR(P160="",Q160=""),"",IFERROR(IF(INDEX(ctaVinc,MATCH(Q160,ctaNombre,0))&amp;""&lt;&gt;"",INDEX(ctaVinc,MATCH(Q160,ctaNombre,0))&amp;"",Q160),Q160))</f>
        <v/>
      </c>
      <c r="AC160" s="52">
        <f>IF(OR(K160="",AND(P160&lt;&gt;"Transferencia",P160&lt;&gt;"Pago tarjeta")),"",IFERROR(IF(INDEX(ctaVinc,MATCH(K160,ctaNombre,0))&amp;""&lt;&gt;"",INDEX(ctaVinc,MATCH(K160,ctaNombre,0))&amp;"",K160),K160))</f>
        <v/>
      </c>
      <c r="AD160" s="52">
        <f>IF(AB160="","",IFERROR(INDEX(ctaTipo,MATCH(AB160,ctaNombre,0))&amp;"",""))</f>
        <v/>
      </c>
      <c r="AE160" s="52">
        <f>IF(AC160="","",IFERROR(INDEX(ctaTipo,MATCH(AC160,ctaNombre,0))&amp;"",""))</f>
        <v/>
      </c>
      <c r="AF160" s="53">
        <f>IF(OR(P160="",AB160=""),"",IF(OR(P160="Gasto",P160="Transferencia",P160="Pago tarjeta"),-1,1)*IF(IFERROR(INDEX(ctaMoneda,MATCH(AB160,ctaNombre,0))&amp;"","DOP")="USD",T160,S160))</f>
        <v/>
      </c>
      <c r="AG160" s="53">
        <f>IF(AC160="","",IF(IFERROR(INDEX(ctaMoneda,MATCH(AC160,ctaNombre,0))&amp;"","DOP")="USD",T160,S160))</f>
        <v/>
      </c>
      <c r="AH160" s="53">
        <f>IF(P160="","",IF(AND(AD160&lt;&gt;"",COUNTIFS(tcTipo,AD160,tcLiq,"Sí")&gt;0),IF(OR(P160="Gasto",P160="Transferencia",P160="Pago tarjeta"),-1,1)*S160,0)+IF(AND(AE160&lt;&gt;"",COUNTIFS(tcTipo,AE160,tcLiq,"Sí")&gt;0),S160,0))</f>
        <v/>
      </c>
      <c r="AI160" s="52">
        <f>IF(OR(L160="",P160=""),"",IF(COUNTIFS(L$6:L160,L160,P$6:P160,"?*")=1,MAX(AI$5:AI159)+1,""))</f>
        <v/>
      </c>
    </row>
    <row r="161">
      <c r="B161" s="47" t="n">
        <v>46298</v>
      </c>
      <c r="C161" s="48" t="inlineStr">
        <is>
          <t>Gasto</t>
        </is>
      </c>
      <c r="D161" s="48" t="inlineStr">
        <is>
          <t>Alimentación</t>
        </is>
      </c>
      <c r="E161" s="48" t="inlineStr">
        <is>
          <t>Restaurantes</t>
        </is>
      </c>
      <c r="F161" s="48" t="inlineStr">
        <is>
          <t>DEMO · Almuerzo de fin de semana</t>
        </is>
      </c>
      <c r="G161" s="49" t="n">
        <v>3200</v>
      </c>
      <c r="H161" s="48" t="inlineStr">
        <is>
          <t>DOP</t>
        </is>
      </c>
      <c r="I161" s="50" t="n"/>
      <c r="J161" s="48" t="inlineStr">
        <is>
          <t>Tarjeta de crédito</t>
        </is>
      </c>
      <c r="K161" s="48" t="n"/>
      <c r="L161" s="48" t="inlineStr">
        <is>
          <t>Restaurante del malecón</t>
        </is>
      </c>
      <c r="M161" s="48" t="n"/>
      <c r="N161" s="48" t="inlineStr">
        <is>
          <t>DEMOSTRACIÓN</t>
        </is>
      </c>
      <c r="O161" s="51">
        <f>IF(AND(B161="",G161="",C161="",D161="",J161=""),"",IF(B161="","⚠ Falta fecha",IF(G161="","⚠ Falta monto",IF(Q161="","⚠ Falta cuenta",IF(ISNA(MATCH(Q161,ctaNombre,0)),"⚠ Cuenta no registrada",IF(AND(OR(P161="Gasto",P161="Reembolso"),D161=""),"⚠ Falta categoría",IF(AND(D161&lt;&gt;"",E161&lt;&gt;"",ISNA(MATCH(D161&amp;"|"&amp;E161,catClave,0))),"⚠ Subcategoría no corresponde",IF(AND(OR(P161="Transferencia",P161="Pago tarjeta"),K161=""),"⚠ Falta cuenta destino",IF(AND(K161&lt;&gt;"",P161&lt;&gt;"Transferencia",P161&lt;&gt;"Pago tarjeta"),"⚠ Destino solo aplica a transferencias",IF(AND(K161&lt;&gt;"",K161=Q161),"⚠ Origen igual a destino",IF(AND(K161&lt;&gt;"",ISNA(MATCH(K161,ctaNombre,0))),"⚠ Destino no registrado",IF(AND(P161="Pago tarjeta",AE161&lt;&gt;"Tarjeta de crédito"),"⚠ El destino debe ser tarjeta de crédito",IF(AND(P161="Gasto",E161="Depósitos y retiros"),"⚠ Usa tipo Transferencia",IF(AND(P161="Resultado trading",AD161&lt;&gt;"Cuenta de trading"),"⚠ Usa una cuenta de trading",IF(AND(G161&lt;=0,P161&lt;&gt;"Ajuste",P161&lt;&gt;"Resultado trading"),"⚠ El monto debe ser positivo","✓")))))))))))))))</f>
        <v/>
      </c>
      <c r="P161" s="52">
        <f>IF(OR(B161="",G161=""),"",IF(C161="","Gasto",C161))</f>
        <v/>
      </c>
      <c r="Q161" s="52">
        <f>IF(P161="","",IF(J161&lt;&gt;"",J161,CuentaPred&amp;""))</f>
        <v/>
      </c>
      <c r="R161" s="52">
        <f>IF(P161="","",IF(ISNUMBER(I161),I161,TasaUSD))</f>
        <v/>
      </c>
      <c r="S161" s="53">
        <f>IF(P161="","",IF(H161="USD",G161*R161,G161))</f>
        <v/>
      </c>
      <c r="T161" s="53">
        <f>IF(P161="","",IF(H161="USD",G161,IF(R161&gt;0,G161/R161,0)))</f>
        <v/>
      </c>
      <c r="U161" s="53">
        <f>IF(P161="","",IF(P161="Gasto",S161,IF(P161="Reembolso",-S161,0)))</f>
        <v/>
      </c>
      <c r="V161" s="53">
        <f>IF(P161="","",IF(P161="Ingreso",S161,0))</f>
        <v/>
      </c>
      <c r="W161" s="53">
        <f>IF(P161="","",IF(P161="Resultado trading",S161,0))</f>
        <v/>
      </c>
      <c r="X161" s="52">
        <f>IF(OR(P161="Gasto",P161="Reembolso"),IF(M161&lt;&gt;"",M161,IFERROR(INDEX(catClasif,MATCH(D161&amp;"|"&amp;E161,catClave,0))&amp;"","Variable")),"")</f>
        <v/>
      </c>
      <c r="Y161" s="52">
        <f>IF(P161="","",IFERROR(INDEX(catGrupo,MATCH(D161&amp;"|"&amp;E161,catClave,0))&amp;"",""))</f>
        <v/>
      </c>
      <c r="Z161" s="52">
        <f>IF(P161="","",WEEKDAY(B161,2))</f>
        <v/>
      </c>
      <c r="AA161" s="52">
        <f>IF(P161="","",IF(AND(P161="Gasto",X161="Variable",D161&lt;&gt;catTrading,S161&gt;0,S161&lt;=Umbral),1,0))</f>
        <v/>
      </c>
      <c r="AB161" s="52">
        <f>IF(OR(P161="",Q161=""),"",IFERROR(IF(INDEX(ctaVinc,MATCH(Q161,ctaNombre,0))&amp;""&lt;&gt;"",INDEX(ctaVinc,MATCH(Q161,ctaNombre,0))&amp;"",Q161),Q161))</f>
        <v/>
      </c>
      <c r="AC161" s="52">
        <f>IF(OR(K161="",AND(P161&lt;&gt;"Transferencia",P161&lt;&gt;"Pago tarjeta")),"",IFERROR(IF(INDEX(ctaVinc,MATCH(K161,ctaNombre,0))&amp;""&lt;&gt;"",INDEX(ctaVinc,MATCH(K161,ctaNombre,0))&amp;"",K161),K161))</f>
        <v/>
      </c>
      <c r="AD161" s="52">
        <f>IF(AB161="","",IFERROR(INDEX(ctaTipo,MATCH(AB161,ctaNombre,0))&amp;"",""))</f>
        <v/>
      </c>
      <c r="AE161" s="52">
        <f>IF(AC161="","",IFERROR(INDEX(ctaTipo,MATCH(AC161,ctaNombre,0))&amp;"",""))</f>
        <v/>
      </c>
      <c r="AF161" s="53">
        <f>IF(OR(P161="",AB161=""),"",IF(OR(P161="Gasto",P161="Transferencia",P161="Pago tarjeta"),-1,1)*IF(IFERROR(INDEX(ctaMoneda,MATCH(AB161,ctaNombre,0))&amp;"","DOP")="USD",T161,S161))</f>
        <v/>
      </c>
      <c r="AG161" s="53">
        <f>IF(AC161="","",IF(IFERROR(INDEX(ctaMoneda,MATCH(AC161,ctaNombre,0))&amp;"","DOP")="USD",T161,S161))</f>
        <v/>
      </c>
      <c r="AH161" s="53">
        <f>IF(P161="","",IF(AND(AD161&lt;&gt;"",COUNTIFS(tcTipo,AD161,tcLiq,"Sí")&gt;0),IF(OR(P161="Gasto",P161="Transferencia",P161="Pago tarjeta"),-1,1)*S161,0)+IF(AND(AE161&lt;&gt;"",COUNTIFS(tcTipo,AE161,tcLiq,"Sí")&gt;0),S161,0))</f>
        <v/>
      </c>
      <c r="AI161" s="52">
        <f>IF(OR(L161="",P161=""),"",IF(COUNTIFS(L$6:L161,L161,P$6:P161,"?*")=1,MAX(AI$5:AI160)+1,""))</f>
        <v/>
      </c>
    </row>
    <row r="162">
      <c r="B162" s="47" t="n">
        <v>46298</v>
      </c>
      <c r="C162" s="48" t="inlineStr">
        <is>
          <t>Gasto</t>
        </is>
      </c>
      <c r="D162" s="48" t="inlineStr">
        <is>
          <t>Tecnología y suscripciones</t>
        </is>
      </c>
      <c r="E162" s="48" t="inlineStr">
        <is>
          <t>Herramientas de inteligencia artificial</t>
        </is>
      </c>
      <c r="F162" s="48" t="inlineStr">
        <is>
          <t>DEMO · Suscripción herramienta IA</t>
        </is>
      </c>
      <c r="G162" s="49" t="n">
        <v>20</v>
      </c>
      <c r="H162" s="48" t="inlineStr">
        <is>
          <t>USD</t>
        </is>
      </c>
      <c r="I162" s="50" t="n"/>
      <c r="J162" s="48" t="inlineStr">
        <is>
          <t>Tarjeta de crédito</t>
        </is>
      </c>
      <c r="K162" s="48" t="n"/>
      <c r="L162" s="48" t="inlineStr">
        <is>
          <t>Herramienta IA</t>
        </is>
      </c>
      <c r="M162" s="48" t="n"/>
      <c r="N162" s="48" t="inlineStr">
        <is>
          <t>DEMOSTRACIÓN</t>
        </is>
      </c>
      <c r="O162" s="51">
        <f>IF(AND(B162="",G162="",C162="",D162="",J162=""),"",IF(B162="","⚠ Falta fecha",IF(G162="","⚠ Falta monto",IF(Q162="","⚠ Falta cuenta",IF(ISNA(MATCH(Q162,ctaNombre,0)),"⚠ Cuenta no registrada",IF(AND(OR(P162="Gasto",P162="Reembolso"),D162=""),"⚠ Falta categoría",IF(AND(D162&lt;&gt;"",E162&lt;&gt;"",ISNA(MATCH(D162&amp;"|"&amp;E162,catClave,0))),"⚠ Subcategoría no corresponde",IF(AND(OR(P162="Transferencia",P162="Pago tarjeta"),K162=""),"⚠ Falta cuenta destino",IF(AND(K162&lt;&gt;"",P162&lt;&gt;"Transferencia",P162&lt;&gt;"Pago tarjeta"),"⚠ Destino solo aplica a transferencias",IF(AND(K162&lt;&gt;"",K162=Q162),"⚠ Origen igual a destino",IF(AND(K162&lt;&gt;"",ISNA(MATCH(K162,ctaNombre,0))),"⚠ Destino no registrado",IF(AND(P162="Pago tarjeta",AE162&lt;&gt;"Tarjeta de crédito"),"⚠ El destino debe ser tarjeta de crédito",IF(AND(P162="Gasto",E162="Depósitos y retiros"),"⚠ Usa tipo Transferencia",IF(AND(P162="Resultado trading",AD162&lt;&gt;"Cuenta de trading"),"⚠ Usa una cuenta de trading",IF(AND(G162&lt;=0,P162&lt;&gt;"Ajuste",P162&lt;&gt;"Resultado trading"),"⚠ El monto debe ser positivo","✓")))))))))))))))</f>
        <v/>
      </c>
      <c r="P162" s="52">
        <f>IF(OR(B162="",G162=""),"",IF(C162="","Gasto",C162))</f>
        <v/>
      </c>
      <c r="Q162" s="52">
        <f>IF(P162="","",IF(J162&lt;&gt;"",J162,CuentaPred&amp;""))</f>
        <v/>
      </c>
      <c r="R162" s="52">
        <f>IF(P162="","",IF(ISNUMBER(I162),I162,TasaUSD))</f>
        <v/>
      </c>
      <c r="S162" s="53">
        <f>IF(P162="","",IF(H162="USD",G162*R162,G162))</f>
        <v/>
      </c>
      <c r="T162" s="53">
        <f>IF(P162="","",IF(H162="USD",G162,IF(R162&gt;0,G162/R162,0)))</f>
        <v/>
      </c>
      <c r="U162" s="53">
        <f>IF(P162="","",IF(P162="Gasto",S162,IF(P162="Reembolso",-S162,0)))</f>
        <v/>
      </c>
      <c r="V162" s="53">
        <f>IF(P162="","",IF(P162="Ingreso",S162,0))</f>
        <v/>
      </c>
      <c r="W162" s="53">
        <f>IF(P162="","",IF(P162="Resultado trading",S162,0))</f>
        <v/>
      </c>
      <c r="X162" s="52">
        <f>IF(OR(P162="Gasto",P162="Reembolso"),IF(M162&lt;&gt;"",M162,IFERROR(INDEX(catClasif,MATCH(D162&amp;"|"&amp;E162,catClave,0))&amp;"","Variable")),"")</f>
        <v/>
      </c>
      <c r="Y162" s="52">
        <f>IF(P162="","",IFERROR(INDEX(catGrupo,MATCH(D162&amp;"|"&amp;E162,catClave,0))&amp;"",""))</f>
        <v/>
      </c>
      <c r="Z162" s="52">
        <f>IF(P162="","",WEEKDAY(B162,2))</f>
        <v/>
      </c>
      <c r="AA162" s="52">
        <f>IF(P162="","",IF(AND(P162="Gasto",X162="Variable",D162&lt;&gt;catTrading,S162&gt;0,S162&lt;=Umbral),1,0))</f>
        <v/>
      </c>
      <c r="AB162" s="52">
        <f>IF(OR(P162="",Q162=""),"",IFERROR(IF(INDEX(ctaVinc,MATCH(Q162,ctaNombre,0))&amp;""&lt;&gt;"",INDEX(ctaVinc,MATCH(Q162,ctaNombre,0))&amp;"",Q162),Q162))</f>
        <v/>
      </c>
      <c r="AC162" s="52">
        <f>IF(OR(K162="",AND(P162&lt;&gt;"Transferencia",P162&lt;&gt;"Pago tarjeta")),"",IFERROR(IF(INDEX(ctaVinc,MATCH(K162,ctaNombre,0))&amp;""&lt;&gt;"",INDEX(ctaVinc,MATCH(K162,ctaNombre,0))&amp;"",K162),K162))</f>
        <v/>
      </c>
      <c r="AD162" s="52">
        <f>IF(AB162="","",IFERROR(INDEX(ctaTipo,MATCH(AB162,ctaNombre,0))&amp;"",""))</f>
        <v/>
      </c>
      <c r="AE162" s="52">
        <f>IF(AC162="","",IFERROR(INDEX(ctaTipo,MATCH(AC162,ctaNombre,0))&amp;"",""))</f>
        <v/>
      </c>
      <c r="AF162" s="53">
        <f>IF(OR(P162="",AB162=""),"",IF(OR(P162="Gasto",P162="Transferencia",P162="Pago tarjeta"),-1,1)*IF(IFERROR(INDEX(ctaMoneda,MATCH(AB162,ctaNombre,0))&amp;"","DOP")="USD",T162,S162))</f>
        <v/>
      </c>
      <c r="AG162" s="53">
        <f>IF(AC162="","",IF(IFERROR(INDEX(ctaMoneda,MATCH(AC162,ctaNombre,0))&amp;"","DOP")="USD",T162,S162))</f>
        <v/>
      </c>
      <c r="AH162" s="53">
        <f>IF(P162="","",IF(AND(AD162&lt;&gt;"",COUNTIFS(tcTipo,AD162,tcLiq,"Sí")&gt;0),IF(OR(P162="Gasto",P162="Transferencia",P162="Pago tarjeta"),-1,1)*S162,0)+IF(AND(AE162&lt;&gt;"",COUNTIFS(tcTipo,AE162,tcLiq,"Sí")&gt;0),S162,0))</f>
        <v/>
      </c>
      <c r="AI162" s="52">
        <f>IF(OR(L162="",P162=""),"",IF(COUNTIFS(L$6:L162,L162,P$6:P162,"?*")=1,MAX(AI$5:AI161)+1,""))</f>
        <v/>
      </c>
    </row>
    <row r="163">
      <c r="B163" s="47" t="n">
        <v>46299</v>
      </c>
      <c r="C163" s="48" t="inlineStr">
        <is>
          <t>Gasto</t>
        </is>
      </c>
      <c r="D163" s="48" t="inlineStr">
        <is>
          <t>Alimentación</t>
        </is>
      </c>
      <c r="E163" s="48" t="inlineStr">
        <is>
          <t>Ingredientes para cocinar</t>
        </is>
      </c>
      <c r="F163" s="48" t="inlineStr">
        <is>
          <t>DEMO · Vegetales, carne y víveres</t>
        </is>
      </c>
      <c r="G163" s="49" t="n">
        <v>400</v>
      </c>
      <c r="H163" s="48" t="inlineStr">
        <is>
          <t>DOP</t>
        </is>
      </c>
      <c r="I163" s="50" t="n"/>
      <c r="J163" s="48" t="inlineStr">
        <is>
          <t>Efectivo</t>
        </is>
      </c>
      <c r="K163" s="48" t="n"/>
      <c r="L163" s="48" t="inlineStr">
        <is>
          <t>Mercado del barrio</t>
        </is>
      </c>
      <c r="M163" s="48" t="n"/>
      <c r="N163" s="48" t="inlineStr">
        <is>
          <t>DEMOSTRACIÓN</t>
        </is>
      </c>
      <c r="O163" s="51">
        <f>IF(AND(B163="",G163="",C163="",D163="",J163=""),"",IF(B163="","⚠ Falta fecha",IF(G163="","⚠ Falta monto",IF(Q163="","⚠ Falta cuenta",IF(ISNA(MATCH(Q163,ctaNombre,0)),"⚠ Cuenta no registrada",IF(AND(OR(P163="Gasto",P163="Reembolso"),D163=""),"⚠ Falta categoría",IF(AND(D163&lt;&gt;"",E163&lt;&gt;"",ISNA(MATCH(D163&amp;"|"&amp;E163,catClave,0))),"⚠ Subcategoría no corresponde",IF(AND(OR(P163="Transferencia",P163="Pago tarjeta"),K163=""),"⚠ Falta cuenta destino",IF(AND(K163&lt;&gt;"",P163&lt;&gt;"Transferencia",P163&lt;&gt;"Pago tarjeta"),"⚠ Destino solo aplica a transferencias",IF(AND(K163&lt;&gt;"",K163=Q163),"⚠ Origen igual a destino",IF(AND(K163&lt;&gt;"",ISNA(MATCH(K163,ctaNombre,0))),"⚠ Destino no registrado",IF(AND(P163="Pago tarjeta",AE163&lt;&gt;"Tarjeta de crédito"),"⚠ El destino debe ser tarjeta de crédito",IF(AND(P163="Gasto",E163="Depósitos y retiros"),"⚠ Usa tipo Transferencia",IF(AND(P163="Resultado trading",AD163&lt;&gt;"Cuenta de trading"),"⚠ Usa una cuenta de trading",IF(AND(G163&lt;=0,P163&lt;&gt;"Ajuste",P163&lt;&gt;"Resultado trading"),"⚠ El monto debe ser positivo","✓")))))))))))))))</f>
        <v/>
      </c>
      <c r="P163" s="52">
        <f>IF(OR(B163="",G163=""),"",IF(C163="","Gasto",C163))</f>
        <v/>
      </c>
      <c r="Q163" s="52">
        <f>IF(P163="","",IF(J163&lt;&gt;"",J163,CuentaPred&amp;""))</f>
        <v/>
      </c>
      <c r="R163" s="52">
        <f>IF(P163="","",IF(ISNUMBER(I163),I163,TasaUSD))</f>
        <v/>
      </c>
      <c r="S163" s="53">
        <f>IF(P163="","",IF(H163="USD",G163*R163,G163))</f>
        <v/>
      </c>
      <c r="T163" s="53">
        <f>IF(P163="","",IF(H163="USD",G163,IF(R163&gt;0,G163/R163,0)))</f>
        <v/>
      </c>
      <c r="U163" s="53">
        <f>IF(P163="","",IF(P163="Gasto",S163,IF(P163="Reembolso",-S163,0)))</f>
        <v/>
      </c>
      <c r="V163" s="53">
        <f>IF(P163="","",IF(P163="Ingreso",S163,0))</f>
        <v/>
      </c>
      <c r="W163" s="53">
        <f>IF(P163="","",IF(P163="Resultado trading",S163,0))</f>
        <v/>
      </c>
      <c r="X163" s="52">
        <f>IF(OR(P163="Gasto",P163="Reembolso"),IF(M163&lt;&gt;"",M163,IFERROR(INDEX(catClasif,MATCH(D163&amp;"|"&amp;E163,catClave,0))&amp;"","Variable")),"")</f>
        <v/>
      </c>
      <c r="Y163" s="52">
        <f>IF(P163="","",IFERROR(INDEX(catGrupo,MATCH(D163&amp;"|"&amp;E163,catClave,0))&amp;"",""))</f>
        <v/>
      </c>
      <c r="Z163" s="52">
        <f>IF(P163="","",WEEKDAY(B163,2))</f>
        <v/>
      </c>
      <c r="AA163" s="52">
        <f>IF(P163="","",IF(AND(P163="Gasto",X163="Variable",D163&lt;&gt;catTrading,S163&gt;0,S163&lt;=Umbral),1,0))</f>
        <v/>
      </c>
      <c r="AB163" s="52">
        <f>IF(OR(P163="",Q163=""),"",IFERROR(IF(INDEX(ctaVinc,MATCH(Q163,ctaNombre,0))&amp;""&lt;&gt;"",INDEX(ctaVinc,MATCH(Q163,ctaNombre,0))&amp;"",Q163),Q163))</f>
        <v/>
      </c>
      <c r="AC163" s="52">
        <f>IF(OR(K163="",AND(P163&lt;&gt;"Transferencia",P163&lt;&gt;"Pago tarjeta")),"",IFERROR(IF(INDEX(ctaVinc,MATCH(K163,ctaNombre,0))&amp;""&lt;&gt;"",INDEX(ctaVinc,MATCH(K163,ctaNombre,0))&amp;"",K163),K163))</f>
        <v/>
      </c>
      <c r="AD163" s="52">
        <f>IF(AB163="","",IFERROR(INDEX(ctaTipo,MATCH(AB163,ctaNombre,0))&amp;"",""))</f>
        <v/>
      </c>
      <c r="AE163" s="52">
        <f>IF(AC163="","",IFERROR(INDEX(ctaTipo,MATCH(AC163,ctaNombre,0))&amp;"",""))</f>
        <v/>
      </c>
      <c r="AF163" s="53">
        <f>IF(OR(P163="",AB163=""),"",IF(OR(P163="Gasto",P163="Transferencia",P163="Pago tarjeta"),-1,1)*IF(IFERROR(INDEX(ctaMoneda,MATCH(AB163,ctaNombre,0))&amp;"","DOP")="USD",T163,S163))</f>
        <v/>
      </c>
      <c r="AG163" s="53">
        <f>IF(AC163="","",IF(IFERROR(INDEX(ctaMoneda,MATCH(AC163,ctaNombre,0))&amp;"","DOP")="USD",T163,S163))</f>
        <v/>
      </c>
      <c r="AH163" s="53">
        <f>IF(P163="","",IF(AND(AD163&lt;&gt;"",COUNTIFS(tcTipo,AD163,tcLiq,"Sí")&gt;0),IF(OR(P163="Gasto",P163="Transferencia",P163="Pago tarjeta"),-1,1)*S163,0)+IF(AND(AE163&lt;&gt;"",COUNTIFS(tcTipo,AE163,tcLiq,"Sí")&gt;0),S163,0))</f>
        <v/>
      </c>
      <c r="AI163" s="52">
        <f>IF(OR(L163="",P163=""),"",IF(COUNTIFS(L$6:L163,L163,P$6:P163,"?*")=1,MAX(AI$5:AI162)+1,""))</f>
        <v/>
      </c>
    </row>
    <row r="164">
      <c r="B164" s="47" t="n">
        <v>46299</v>
      </c>
      <c r="C164" s="48" t="inlineStr">
        <is>
          <t>Gasto</t>
        </is>
      </c>
      <c r="D164" s="48" t="inlineStr">
        <is>
          <t>Imprevistos</t>
        </is>
      </c>
      <c r="E164" s="48" t="inlineStr">
        <is>
          <t>Emergencias</t>
        </is>
      </c>
      <c r="F164" s="48" t="inlineStr">
        <is>
          <t>DEMO · Reparación de celular</t>
        </is>
      </c>
      <c r="G164" s="49" t="n">
        <v>1800</v>
      </c>
      <c r="H164" s="48" t="inlineStr">
        <is>
          <t>DOP</t>
        </is>
      </c>
      <c r="I164" s="50" t="n"/>
      <c r="J164" s="48" t="inlineStr">
        <is>
          <t>Efectivo</t>
        </is>
      </c>
      <c r="K164" s="48" t="n"/>
      <c r="L164" s="48" t="inlineStr">
        <is>
          <t>Taller de celulares</t>
        </is>
      </c>
      <c r="M164" s="48" t="n"/>
      <c r="N164" s="48" t="inlineStr">
        <is>
          <t>DEMOSTRACIÓN</t>
        </is>
      </c>
      <c r="O164" s="51">
        <f>IF(AND(B164="",G164="",C164="",D164="",J164=""),"",IF(B164="","⚠ Falta fecha",IF(G164="","⚠ Falta monto",IF(Q164="","⚠ Falta cuenta",IF(ISNA(MATCH(Q164,ctaNombre,0)),"⚠ Cuenta no registrada",IF(AND(OR(P164="Gasto",P164="Reembolso"),D164=""),"⚠ Falta categoría",IF(AND(D164&lt;&gt;"",E164&lt;&gt;"",ISNA(MATCH(D164&amp;"|"&amp;E164,catClave,0))),"⚠ Subcategoría no corresponde",IF(AND(OR(P164="Transferencia",P164="Pago tarjeta"),K164=""),"⚠ Falta cuenta destino",IF(AND(K164&lt;&gt;"",P164&lt;&gt;"Transferencia",P164&lt;&gt;"Pago tarjeta"),"⚠ Destino solo aplica a transferencias",IF(AND(K164&lt;&gt;"",K164=Q164),"⚠ Origen igual a destino",IF(AND(K164&lt;&gt;"",ISNA(MATCH(K164,ctaNombre,0))),"⚠ Destino no registrado",IF(AND(P164="Pago tarjeta",AE164&lt;&gt;"Tarjeta de crédito"),"⚠ El destino debe ser tarjeta de crédito",IF(AND(P164="Gasto",E164="Depósitos y retiros"),"⚠ Usa tipo Transferencia",IF(AND(P164="Resultado trading",AD164&lt;&gt;"Cuenta de trading"),"⚠ Usa una cuenta de trading",IF(AND(G164&lt;=0,P164&lt;&gt;"Ajuste",P164&lt;&gt;"Resultado trading"),"⚠ El monto debe ser positivo","✓")))))))))))))))</f>
        <v/>
      </c>
      <c r="P164" s="52">
        <f>IF(OR(B164="",G164=""),"",IF(C164="","Gasto",C164))</f>
        <v/>
      </c>
      <c r="Q164" s="52">
        <f>IF(P164="","",IF(J164&lt;&gt;"",J164,CuentaPred&amp;""))</f>
        <v/>
      </c>
      <c r="R164" s="52">
        <f>IF(P164="","",IF(ISNUMBER(I164),I164,TasaUSD))</f>
        <v/>
      </c>
      <c r="S164" s="53">
        <f>IF(P164="","",IF(H164="USD",G164*R164,G164))</f>
        <v/>
      </c>
      <c r="T164" s="53">
        <f>IF(P164="","",IF(H164="USD",G164,IF(R164&gt;0,G164/R164,0)))</f>
        <v/>
      </c>
      <c r="U164" s="53">
        <f>IF(P164="","",IF(P164="Gasto",S164,IF(P164="Reembolso",-S164,0)))</f>
        <v/>
      </c>
      <c r="V164" s="53">
        <f>IF(P164="","",IF(P164="Ingreso",S164,0))</f>
        <v/>
      </c>
      <c r="W164" s="53">
        <f>IF(P164="","",IF(P164="Resultado trading",S164,0))</f>
        <v/>
      </c>
      <c r="X164" s="52">
        <f>IF(OR(P164="Gasto",P164="Reembolso"),IF(M164&lt;&gt;"",M164,IFERROR(INDEX(catClasif,MATCH(D164&amp;"|"&amp;E164,catClave,0))&amp;"","Variable")),"")</f>
        <v/>
      </c>
      <c r="Y164" s="52">
        <f>IF(P164="","",IFERROR(INDEX(catGrupo,MATCH(D164&amp;"|"&amp;E164,catClave,0))&amp;"",""))</f>
        <v/>
      </c>
      <c r="Z164" s="52">
        <f>IF(P164="","",WEEKDAY(B164,2))</f>
        <v/>
      </c>
      <c r="AA164" s="52">
        <f>IF(P164="","",IF(AND(P164="Gasto",X164="Variable",D164&lt;&gt;catTrading,S164&gt;0,S164&lt;=Umbral),1,0))</f>
        <v/>
      </c>
      <c r="AB164" s="52">
        <f>IF(OR(P164="",Q164=""),"",IFERROR(IF(INDEX(ctaVinc,MATCH(Q164,ctaNombre,0))&amp;""&lt;&gt;"",INDEX(ctaVinc,MATCH(Q164,ctaNombre,0))&amp;"",Q164),Q164))</f>
        <v/>
      </c>
      <c r="AC164" s="52">
        <f>IF(OR(K164="",AND(P164&lt;&gt;"Transferencia",P164&lt;&gt;"Pago tarjeta")),"",IFERROR(IF(INDEX(ctaVinc,MATCH(K164,ctaNombre,0))&amp;""&lt;&gt;"",INDEX(ctaVinc,MATCH(K164,ctaNombre,0))&amp;"",K164),K164))</f>
        <v/>
      </c>
      <c r="AD164" s="52">
        <f>IF(AB164="","",IFERROR(INDEX(ctaTipo,MATCH(AB164,ctaNombre,0))&amp;"",""))</f>
        <v/>
      </c>
      <c r="AE164" s="52">
        <f>IF(AC164="","",IFERROR(INDEX(ctaTipo,MATCH(AC164,ctaNombre,0))&amp;"",""))</f>
        <v/>
      </c>
      <c r="AF164" s="53">
        <f>IF(OR(P164="",AB164=""),"",IF(OR(P164="Gasto",P164="Transferencia",P164="Pago tarjeta"),-1,1)*IF(IFERROR(INDEX(ctaMoneda,MATCH(AB164,ctaNombre,0))&amp;"","DOP")="USD",T164,S164))</f>
        <v/>
      </c>
      <c r="AG164" s="53">
        <f>IF(AC164="","",IF(IFERROR(INDEX(ctaMoneda,MATCH(AC164,ctaNombre,0))&amp;"","DOP")="USD",T164,S164))</f>
        <v/>
      </c>
      <c r="AH164" s="53">
        <f>IF(P164="","",IF(AND(AD164&lt;&gt;"",COUNTIFS(tcTipo,AD164,tcLiq,"Sí")&gt;0),IF(OR(P164="Gasto",P164="Transferencia",P164="Pago tarjeta"),-1,1)*S164,0)+IF(AND(AE164&lt;&gt;"",COUNTIFS(tcTipo,AE164,tcLiq,"Sí")&gt;0),S164,0))</f>
        <v/>
      </c>
      <c r="AI164" s="52">
        <f>IF(OR(L164="",P164=""),"",IF(COUNTIFS(L$6:L164,L164,P$6:P164,"?*")=1,MAX(AI$5:AI163)+1,""))</f>
        <v/>
      </c>
    </row>
    <row r="165">
      <c r="B165" s="47" t="n">
        <v>46300</v>
      </c>
      <c r="C165" s="48" t="inlineStr">
        <is>
          <t>Gasto</t>
        </is>
      </c>
      <c r="D165" s="48" t="inlineStr">
        <is>
          <t>Alimentación</t>
        </is>
      </c>
      <c r="E165" s="48" t="inlineStr">
        <is>
          <t>Almuerzos laborales</t>
        </is>
      </c>
      <c r="F165" s="48" t="inlineStr">
        <is>
          <t>DEMO · Almuerzo laboral</t>
        </is>
      </c>
      <c r="G165" s="49" t="n">
        <v>525</v>
      </c>
      <c r="H165" s="48" t="inlineStr">
        <is>
          <t>DOP</t>
        </is>
      </c>
      <c r="I165" s="50" t="n"/>
      <c r="J165" s="48" t="inlineStr">
        <is>
          <t>Billetera digital</t>
        </is>
      </c>
      <c r="K165" s="48" t="n"/>
      <c r="L165" s="48" t="inlineStr">
        <is>
          <t>Comedor ejecutivo</t>
        </is>
      </c>
      <c r="M165" s="48" t="n"/>
      <c r="N165" s="48" t="inlineStr">
        <is>
          <t>DEMOSTRACIÓN</t>
        </is>
      </c>
      <c r="O165" s="51">
        <f>IF(AND(B165="",G165="",C165="",D165="",J165=""),"",IF(B165="","⚠ Falta fecha",IF(G165="","⚠ Falta monto",IF(Q165="","⚠ Falta cuenta",IF(ISNA(MATCH(Q165,ctaNombre,0)),"⚠ Cuenta no registrada",IF(AND(OR(P165="Gasto",P165="Reembolso"),D165=""),"⚠ Falta categoría",IF(AND(D165&lt;&gt;"",E165&lt;&gt;"",ISNA(MATCH(D165&amp;"|"&amp;E165,catClave,0))),"⚠ Subcategoría no corresponde",IF(AND(OR(P165="Transferencia",P165="Pago tarjeta"),K165=""),"⚠ Falta cuenta destino",IF(AND(K165&lt;&gt;"",P165&lt;&gt;"Transferencia",P165&lt;&gt;"Pago tarjeta"),"⚠ Destino solo aplica a transferencias",IF(AND(K165&lt;&gt;"",K165=Q165),"⚠ Origen igual a destino",IF(AND(K165&lt;&gt;"",ISNA(MATCH(K165,ctaNombre,0))),"⚠ Destino no registrado",IF(AND(P165="Pago tarjeta",AE165&lt;&gt;"Tarjeta de crédito"),"⚠ El destino debe ser tarjeta de crédito",IF(AND(P165="Gasto",E165="Depósitos y retiros"),"⚠ Usa tipo Transferencia",IF(AND(P165="Resultado trading",AD165&lt;&gt;"Cuenta de trading"),"⚠ Usa una cuenta de trading",IF(AND(G165&lt;=0,P165&lt;&gt;"Ajuste",P165&lt;&gt;"Resultado trading"),"⚠ El monto debe ser positivo","✓")))))))))))))))</f>
        <v/>
      </c>
      <c r="P165" s="52">
        <f>IF(OR(B165="",G165=""),"",IF(C165="","Gasto",C165))</f>
        <v/>
      </c>
      <c r="Q165" s="52">
        <f>IF(P165="","",IF(J165&lt;&gt;"",J165,CuentaPred&amp;""))</f>
        <v/>
      </c>
      <c r="R165" s="52">
        <f>IF(P165="","",IF(ISNUMBER(I165),I165,TasaUSD))</f>
        <v/>
      </c>
      <c r="S165" s="53">
        <f>IF(P165="","",IF(H165="USD",G165*R165,G165))</f>
        <v/>
      </c>
      <c r="T165" s="53">
        <f>IF(P165="","",IF(H165="USD",G165,IF(R165&gt;0,G165/R165,0)))</f>
        <v/>
      </c>
      <c r="U165" s="53">
        <f>IF(P165="","",IF(P165="Gasto",S165,IF(P165="Reembolso",-S165,0)))</f>
        <v/>
      </c>
      <c r="V165" s="53">
        <f>IF(P165="","",IF(P165="Ingreso",S165,0))</f>
        <v/>
      </c>
      <c r="W165" s="53">
        <f>IF(P165="","",IF(P165="Resultado trading",S165,0))</f>
        <v/>
      </c>
      <c r="X165" s="52">
        <f>IF(OR(P165="Gasto",P165="Reembolso"),IF(M165&lt;&gt;"",M165,IFERROR(INDEX(catClasif,MATCH(D165&amp;"|"&amp;E165,catClave,0))&amp;"","Variable")),"")</f>
        <v/>
      </c>
      <c r="Y165" s="52">
        <f>IF(P165="","",IFERROR(INDEX(catGrupo,MATCH(D165&amp;"|"&amp;E165,catClave,0))&amp;"",""))</f>
        <v/>
      </c>
      <c r="Z165" s="52">
        <f>IF(P165="","",WEEKDAY(B165,2))</f>
        <v/>
      </c>
      <c r="AA165" s="52">
        <f>IF(P165="","",IF(AND(P165="Gasto",X165="Variable",D165&lt;&gt;catTrading,S165&gt;0,S165&lt;=Umbral),1,0))</f>
        <v/>
      </c>
      <c r="AB165" s="52">
        <f>IF(OR(P165="",Q165=""),"",IFERROR(IF(INDEX(ctaVinc,MATCH(Q165,ctaNombre,0))&amp;""&lt;&gt;"",INDEX(ctaVinc,MATCH(Q165,ctaNombre,0))&amp;"",Q165),Q165))</f>
        <v/>
      </c>
      <c r="AC165" s="52">
        <f>IF(OR(K165="",AND(P165&lt;&gt;"Transferencia",P165&lt;&gt;"Pago tarjeta")),"",IFERROR(IF(INDEX(ctaVinc,MATCH(K165,ctaNombre,0))&amp;""&lt;&gt;"",INDEX(ctaVinc,MATCH(K165,ctaNombre,0))&amp;"",K165),K165))</f>
        <v/>
      </c>
      <c r="AD165" s="52">
        <f>IF(AB165="","",IFERROR(INDEX(ctaTipo,MATCH(AB165,ctaNombre,0))&amp;"",""))</f>
        <v/>
      </c>
      <c r="AE165" s="52">
        <f>IF(AC165="","",IFERROR(INDEX(ctaTipo,MATCH(AC165,ctaNombre,0))&amp;"",""))</f>
        <v/>
      </c>
      <c r="AF165" s="53">
        <f>IF(OR(P165="",AB165=""),"",IF(OR(P165="Gasto",P165="Transferencia",P165="Pago tarjeta"),-1,1)*IF(IFERROR(INDEX(ctaMoneda,MATCH(AB165,ctaNombre,0))&amp;"","DOP")="USD",T165,S165))</f>
        <v/>
      </c>
      <c r="AG165" s="53">
        <f>IF(AC165="","",IF(IFERROR(INDEX(ctaMoneda,MATCH(AC165,ctaNombre,0))&amp;"","DOP")="USD",T165,S165))</f>
        <v/>
      </c>
      <c r="AH165" s="53">
        <f>IF(P165="","",IF(AND(AD165&lt;&gt;"",COUNTIFS(tcTipo,AD165,tcLiq,"Sí")&gt;0),IF(OR(P165="Gasto",P165="Transferencia",P165="Pago tarjeta"),-1,1)*S165,0)+IF(AND(AE165&lt;&gt;"",COUNTIFS(tcTipo,AE165,tcLiq,"Sí")&gt;0),S165,0))</f>
        <v/>
      </c>
      <c r="AI165" s="52">
        <f>IF(OR(L165="",P165=""),"",IF(COUNTIFS(L$6:L165,L165,P$6:P165,"?*")=1,MAX(AI$5:AI164)+1,""))</f>
        <v/>
      </c>
    </row>
    <row r="166">
      <c r="B166" s="47" t="n">
        <v>46300</v>
      </c>
      <c r="C166" s="48" t="inlineStr">
        <is>
          <t>Gasto</t>
        </is>
      </c>
      <c r="D166" s="48" t="inlineStr">
        <is>
          <t>Alimentación</t>
        </is>
      </c>
      <c r="E166" s="48" t="inlineStr">
        <is>
          <t>Bebidas, snacks y otros consumos</t>
        </is>
      </c>
      <c r="F166" s="48" t="inlineStr">
        <is>
          <t>DEMO · Jugo y galletas</t>
        </is>
      </c>
      <c r="G166" s="49" t="n">
        <v>120</v>
      </c>
      <c r="H166" s="48" t="inlineStr">
        <is>
          <t>DOP</t>
        </is>
      </c>
      <c r="I166" s="50" t="n"/>
      <c r="J166" s="48" t="inlineStr">
        <is>
          <t>Efectivo</t>
        </is>
      </c>
      <c r="K166" s="48" t="n"/>
      <c r="L166" s="48" t="inlineStr">
        <is>
          <t>Colmado del barrio</t>
        </is>
      </c>
      <c r="M166" s="48" t="n"/>
      <c r="N166" s="48" t="inlineStr">
        <is>
          <t>DEMOSTRACIÓN</t>
        </is>
      </c>
      <c r="O166" s="51">
        <f>IF(AND(B166="",G166="",C166="",D166="",J166=""),"",IF(B166="","⚠ Falta fecha",IF(G166="","⚠ Falta monto",IF(Q166="","⚠ Falta cuenta",IF(ISNA(MATCH(Q166,ctaNombre,0)),"⚠ Cuenta no registrada",IF(AND(OR(P166="Gasto",P166="Reembolso"),D166=""),"⚠ Falta categoría",IF(AND(D166&lt;&gt;"",E166&lt;&gt;"",ISNA(MATCH(D166&amp;"|"&amp;E166,catClave,0))),"⚠ Subcategoría no corresponde",IF(AND(OR(P166="Transferencia",P166="Pago tarjeta"),K166=""),"⚠ Falta cuenta destino",IF(AND(K166&lt;&gt;"",P166&lt;&gt;"Transferencia",P166&lt;&gt;"Pago tarjeta"),"⚠ Destino solo aplica a transferencias",IF(AND(K166&lt;&gt;"",K166=Q166),"⚠ Origen igual a destino",IF(AND(K166&lt;&gt;"",ISNA(MATCH(K166,ctaNombre,0))),"⚠ Destino no registrado",IF(AND(P166="Pago tarjeta",AE166&lt;&gt;"Tarjeta de crédito"),"⚠ El destino debe ser tarjeta de crédito",IF(AND(P166="Gasto",E166="Depósitos y retiros"),"⚠ Usa tipo Transferencia",IF(AND(P166="Resultado trading",AD166&lt;&gt;"Cuenta de trading"),"⚠ Usa una cuenta de trading",IF(AND(G166&lt;=0,P166&lt;&gt;"Ajuste",P166&lt;&gt;"Resultado trading"),"⚠ El monto debe ser positivo","✓")))))))))))))))</f>
        <v/>
      </c>
      <c r="P166" s="52">
        <f>IF(OR(B166="",G166=""),"",IF(C166="","Gasto",C166))</f>
        <v/>
      </c>
      <c r="Q166" s="52">
        <f>IF(P166="","",IF(J166&lt;&gt;"",J166,CuentaPred&amp;""))</f>
        <v/>
      </c>
      <c r="R166" s="52">
        <f>IF(P166="","",IF(ISNUMBER(I166),I166,TasaUSD))</f>
        <v/>
      </c>
      <c r="S166" s="53">
        <f>IF(P166="","",IF(H166="USD",G166*R166,G166))</f>
        <v/>
      </c>
      <c r="T166" s="53">
        <f>IF(P166="","",IF(H166="USD",G166,IF(R166&gt;0,G166/R166,0)))</f>
        <v/>
      </c>
      <c r="U166" s="53">
        <f>IF(P166="","",IF(P166="Gasto",S166,IF(P166="Reembolso",-S166,0)))</f>
        <v/>
      </c>
      <c r="V166" s="53">
        <f>IF(P166="","",IF(P166="Ingreso",S166,0))</f>
        <v/>
      </c>
      <c r="W166" s="53">
        <f>IF(P166="","",IF(P166="Resultado trading",S166,0))</f>
        <v/>
      </c>
      <c r="X166" s="52">
        <f>IF(OR(P166="Gasto",P166="Reembolso"),IF(M166&lt;&gt;"",M166,IFERROR(INDEX(catClasif,MATCH(D166&amp;"|"&amp;E166,catClave,0))&amp;"","Variable")),"")</f>
        <v/>
      </c>
      <c r="Y166" s="52">
        <f>IF(P166="","",IFERROR(INDEX(catGrupo,MATCH(D166&amp;"|"&amp;E166,catClave,0))&amp;"",""))</f>
        <v/>
      </c>
      <c r="Z166" s="52">
        <f>IF(P166="","",WEEKDAY(B166,2))</f>
        <v/>
      </c>
      <c r="AA166" s="52">
        <f>IF(P166="","",IF(AND(P166="Gasto",X166="Variable",D166&lt;&gt;catTrading,S166&gt;0,S166&lt;=Umbral),1,0))</f>
        <v/>
      </c>
      <c r="AB166" s="52">
        <f>IF(OR(P166="",Q166=""),"",IFERROR(IF(INDEX(ctaVinc,MATCH(Q166,ctaNombre,0))&amp;""&lt;&gt;"",INDEX(ctaVinc,MATCH(Q166,ctaNombre,0))&amp;"",Q166),Q166))</f>
        <v/>
      </c>
      <c r="AC166" s="52">
        <f>IF(OR(K166="",AND(P166&lt;&gt;"Transferencia",P166&lt;&gt;"Pago tarjeta")),"",IFERROR(IF(INDEX(ctaVinc,MATCH(K166,ctaNombre,0))&amp;""&lt;&gt;"",INDEX(ctaVinc,MATCH(K166,ctaNombre,0))&amp;"",K166),K166))</f>
        <v/>
      </c>
      <c r="AD166" s="52">
        <f>IF(AB166="","",IFERROR(INDEX(ctaTipo,MATCH(AB166,ctaNombre,0))&amp;"",""))</f>
        <v/>
      </c>
      <c r="AE166" s="52">
        <f>IF(AC166="","",IFERROR(INDEX(ctaTipo,MATCH(AC166,ctaNombre,0))&amp;"",""))</f>
        <v/>
      </c>
      <c r="AF166" s="53">
        <f>IF(OR(P166="",AB166=""),"",IF(OR(P166="Gasto",P166="Transferencia",P166="Pago tarjeta"),-1,1)*IF(IFERROR(INDEX(ctaMoneda,MATCH(AB166,ctaNombre,0))&amp;"","DOP")="USD",T166,S166))</f>
        <v/>
      </c>
      <c r="AG166" s="53">
        <f>IF(AC166="","",IF(IFERROR(INDEX(ctaMoneda,MATCH(AC166,ctaNombre,0))&amp;"","DOP")="USD",T166,S166))</f>
        <v/>
      </c>
      <c r="AH166" s="53">
        <f>IF(P166="","",IF(AND(AD166&lt;&gt;"",COUNTIFS(tcTipo,AD166,tcLiq,"Sí")&gt;0),IF(OR(P166="Gasto",P166="Transferencia",P166="Pago tarjeta"),-1,1)*S166,0)+IF(AND(AE166&lt;&gt;"",COUNTIFS(tcTipo,AE166,tcLiq,"Sí")&gt;0),S166,0))</f>
        <v/>
      </c>
      <c r="AI166" s="52">
        <f>IF(OR(L166="",P166=""),"",IF(COUNTIFS(L$6:L166,L166,P$6:P166,"?*")=1,MAX(AI$5:AI165)+1,""))</f>
        <v/>
      </c>
    </row>
    <row r="167">
      <c r="B167" s="47" t="n">
        <v>46300</v>
      </c>
      <c r="C167" s="48" t="inlineStr">
        <is>
          <t>Gasto</t>
        </is>
      </c>
      <c r="D167" s="48" t="inlineStr">
        <is>
          <t>Transporte y vehículo</t>
        </is>
      </c>
      <c r="E167" s="48" t="inlineStr">
        <is>
          <t>Combustible</t>
        </is>
      </c>
      <c r="F167" s="48" t="inlineStr">
        <is>
          <t>DEMO · Combustible</t>
        </is>
      </c>
      <c r="G167" s="49" t="n">
        <v>2850</v>
      </c>
      <c r="H167" s="48" t="inlineStr">
        <is>
          <t>DOP</t>
        </is>
      </c>
      <c r="I167" s="50" t="n"/>
      <c r="J167" s="48" t="inlineStr">
        <is>
          <t>Tarjeta de crédito</t>
        </is>
      </c>
      <c r="K167" s="48" t="n"/>
      <c r="L167" s="48" t="inlineStr">
        <is>
          <t>Estación de combustible</t>
        </is>
      </c>
      <c r="M167" s="48" t="n"/>
      <c r="N167" s="48" t="inlineStr">
        <is>
          <t>DEMOSTRACIÓN</t>
        </is>
      </c>
      <c r="O167" s="51">
        <f>IF(AND(B167="",G167="",C167="",D167="",J167=""),"",IF(B167="","⚠ Falta fecha",IF(G167="","⚠ Falta monto",IF(Q167="","⚠ Falta cuenta",IF(ISNA(MATCH(Q167,ctaNombre,0)),"⚠ Cuenta no registrada",IF(AND(OR(P167="Gasto",P167="Reembolso"),D167=""),"⚠ Falta categoría",IF(AND(D167&lt;&gt;"",E167&lt;&gt;"",ISNA(MATCH(D167&amp;"|"&amp;E167,catClave,0))),"⚠ Subcategoría no corresponde",IF(AND(OR(P167="Transferencia",P167="Pago tarjeta"),K167=""),"⚠ Falta cuenta destino",IF(AND(K167&lt;&gt;"",P167&lt;&gt;"Transferencia",P167&lt;&gt;"Pago tarjeta"),"⚠ Destino solo aplica a transferencias",IF(AND(K167&lt;&gt;"",K167=Q167),"⚠ Origen igual a destino",IF(AND(K167&lt;&gt;"",ISNA(MATCH(K167,ctaNombre,0))),"⚠ Destino no registrado",IF(AND(P167="Pago tarjeta",AE167&lt;&gt;"Tarjeta de crédito"),"⚠ El destino debe ser tarjeta de crédito",IF(AND(P167="Gasto",E167="Depósitos y retiros"),"⚠ Usa tipo Transferencia",IF(AND(P167="Resultado trading",AD167&lt;&gt;"Cuenta de trading"),"⚠ Usa una cuenta de trading",IF(AND(G167&lt;=0,P167&lt;&gt;"Ajuste",P167&lt;&gt;"Resultado trading"),"⚠ El monto debe ser positivo","✓")))))))))))))))</f>
        <v/>
      </c>
      <c r="P167" s="52">
        <f>IF(OR(B167="",G167=""),"",IF(C167="","Gasto",C167))</f>
        <v/>
      </c>
      <c r="Q167" s="52">
        <f>IF(P167="","",IF(J167&lt;&gt;"",J167,CuentaPred&amp;""))</f>
        <v/>
      </c>
      <c r="R167" s="52">
        <f>IF(P167="","",IF(ISNUMBER(I167),I167,TasaUSD))</f>
        <v/>
      </c>
      <c r="S167" s="53">
        <f>IF(P167="","",IF(H167="USD",G167*R167,G167))</f>
        <v/>
      </c>
      <c r="T167" s="53">
        <f>IF(P167="","",IF(H167="USD",G167,IF(R167&gt;0,G167/R167,0)))</f>
        <v/>
      </c>
      <c r="U167" s="53">
        <f>IF(P167="","",IF(P167="Gasto",S167,IF(P167="Reembolso",-S167,0)))</f>
        <v/>
      </c>
      <c r="V167" s="53">
        <f>IF(P167="","",IF(P167="Ingreso",S167,0))</f>
        <v/>
      </c>
      <c r="W167" s="53">
        <f>IF(P167="","",IF(P167="Resultado trading",S167,0))</f>
        <v/>
      </c>
      <c r="X167" s="52">
        <f>IF(OR(P167="Gasto",P167="Reembolso"),IF(M167&lt;&gt;"",M167,IFERROR(INDEX(catClasif,MATCH(D167&amp;"|"&amp;E167,catClave,0))&amp;"","Variable")),"")</f>
        <v/>
      </c>
      <c r="Y167" s="52">
        <f>IF(P167="","",IFERROR(INDEX(catGrupo,MATCH(D167&amp;"|"&amp;E167,catClave,0))&amp;"",""))</f>
        <v/>
      </c>
      <c r="Z167" s="52">
        <f>IF(P167="","",WEEKDAY(B167,2))</f>
        <v/>
      </c>
      <c r="AA167" s="52">
        <f>IF(P167="","",IF(AND(P167="Gasto",X167="Variable",D167&lt;&gt;catTrading,S167&gt;0,S167&lt;=Umbral),1,0))</f>
        <v/>
      </c>
      <c r="AB167" s="52">
        <f>IF(OR(P167="",Q167=""),"",IFERROR(IF(INDEX(ctaVinc,MATCH(Q167,ctaNombre,0))&amp;""&lt;&gt;"",INDEX(ctaVinc,MATCH(Q167,ctaNombre,0))&amp;"",Q167),Q167))</f>
        <v/>
      </c>
      <c r="AC167" s="52">
        <f>IF(OR(K167="",AND(P167&lt;&gt;"Transferencia",P167&lt;&gt;"Pago tarjeta")),"",IFERROR(IF(INDEX(ctaVinc,MATCH(K167,ctaNombre,0))&amp;""&lt;&gt;"",INDEX(ctaVinc,MATCH(K167,ctaNombre,0))&amp;"",K167),K167))</f>
        <v/>
      </c>
      <c r="AD167" s="52">
        <f>IF(AB167="","",IFERROR(INDEX(ctaTipo,MATCH(AB167,ctaNombre,0))&amp;"",""))</f>
        <v/>
      </c>
      <c r="AE167" s="52">
        <f>IF(AC167="","",IFERROR(INDEX(ctaTipo,MATCH(AC167,ctaNombre,0))&amp;"",""))</f>
        <v/>
      </c>
      <c r="AF167" s="53">
        <f>IF(OR(P167="",AB167=""),"",IF(OR(P167="Gasto",P167="Transferencia",P167="Pago tarjeta"),-1,1)*IF(IFERROR(INDEX(ctaMoneda,MATCH(AB167,ctaNombre,0))&amp;"","DOP")="USD",T167,S167))</f>
        <v/>
      </c>
      <c r="AG167" s="53">
        <f>IF(AC167="","",IF(IFERROR(INDEX(ctaMoneda,MATCH(AC167,ctaNombre,0))&amp;"","DOP")="USD",T167,S167))</f>
        <v/>
      </c>
      <c r="AH167" s="53">
        <f>IF(P167="","",IF(AND(AD167&lt;&gt;"",COUNTIFS(tcTipo,AD167,tcLiq,"Sí")&gt;0),IF(OR(P167="Gasto",P167="Transferencia",P167="Pago tarjeta"),-1,1)*S167,0)+IF(AND(AE167&lt;&gt;"",COUNTIFS(tcTipo,AE167,tcLiq,"Sí")&gt;0),S167,0))</f>
        <v/>
      </c>
      <c r="AI167" s="52">
        <f>IF(OR(L167="",P167=""),"",IF(COUNTIFS(L$6:L167,L167,P$6:P167,"?*")=1,MAX(AI$5:AI166)+1,""))</f>
        <v/>
      </c>
    </row>
    <row r="168">
      <c r="B168" s="47" t="n">
        <v>46300</v>
      </c>
      <c r="C168" s="48" t="inlineStr">
        <is>
          <t>Gasto</t>
        </is>
      </c>
      <c r="D168" s="48" t="inlineStr">
        <is>
          <t>Hogar y servicios</t>
        </is>
      </c>
      <c r="E168" s="48" t="inlineStr">
        <is>
          <t>Internet</t>
        </is>
      </c>
      <c r="F168" s="48" t="inlineStr">
        <is>
          <t>DEMO · Internet del hogar</t>
        </is>
      </c>
      <c r="G168" s="49" t="n">
        <v>2050</v>
      </c>
      <c r="H168" s="48" t="inlineStr">
        <is>
          <t>DOP</t>
        </is>
      </c>
      <c r="I168" s="50" t="n"/>
      <c r="J168" s="48" t="inlineStr">
        <is>
          <t>Banco principal</t>
        </is>
      </c>
      <c r="K168" s="48" t="n"/>
      <c r="L168" s="48" t="inlineStr">
        <is>
          <t>Proveedor de internet</t>
        </is>
      </c>
      <c r="M168" s="48" t="n"/>
      <c r="N168" s="48" t="inlineStr">
        <is>
          <t>DEMOSTRACIÓN</t>
        </is>
      </c>
      <c r="O168" s="51">
        <f>IF(AND(B168="",G168="",C168="",D168="",J168=""),"",IF(B168="","⚠ Falta fecha",IF(G168="","⚠ Falta monto",IF(Q168="","⚠ Falta cuenta",IF(ISNA(MATCH(Q168,ctaNombre,0)),"⚠ Cuenta no registrada",IF(AND(OR(P168="Gasto",P168="Reembolso"),D168=""),"⚠ Falta categoría",IF(AND(D168&lt;&gt;"",E168&lt;&gt;"",ISNA(MATCH(D168&amp;"|"&amp;E168,catClave,0))),"⚠ Subcategoría no corresponde",IF(AND(OR(P168="Transferencia",P168="Pago tarjeta"),K168=""),"⚠ Falta cuenta destino",IF(AND(K168&lt;&gt;"",P168&lt;&gt;"Transferencia",P168&lt;&gt;"Pago tarjeta"),"⚠ Destino solo aplica a transferencias",IF(AND(K168&lt;&gt;"",K168=Q168),"⚠ Origen igual a destino",IF(AND(K168&lt;&gt;"",ISNA(MATCH(K168,ctaNombre,0))),"⚠ Destino no registrado",IF(AND(P168="Pago tarjeta",AE168&lt;&gt;"Tarjeta de crédito"),"⚠ El destino debe ser tarjeta de crédito",IF(AND(P168="Gasto",E168="Depósitos y retiros"),"⚠ Usa tipo Transferencia",IF(AND(P168="Resultado trading",AD168&lt;&gt;"Cuenta de trading"),"⚠ Usa una cuenta de trading",IF(AND(G168&lt;=0,P168&lt;&gt;"Ajuste",P168&lt;&gt;"Resultado trading"),"⚠ El monto debe ser positivo","✓")))))))))))))))</f>
        <v/>
      </c>
      <c r="P168" s="52">
        <f>IF(OR(B168="",G168=""),"",IF(C168="","Gasto",C168))</f>
        <v/>
      </c>
      <c r="Q168" s="52">
        <f>IF(P168="","",IF(J168&lt;&gt;"",J168,CuentaPred&amp;""))</f>
        <v/>
      </c>
      <c r="R168" s="52">
        <f>IF(P168="","",IF(ISNUMBER(I168),I168,TasaUSD))</f>
        <v/>
      </c>
      <c r="S168" s="53">
        <f>IF(P168="","",IF(H168="USD",G168*R168,G168))</f>
        <v/>
      </c>
      <c r="T168" s="53">
        <f>IF(P168="","",IF(H168="USD",G168,IF(R168&gt;0,G168/R168,0)))</f>
        <v/>
      </c>
      <c r="U168" s="53">
        <f>IF(P168="","",IF(P168="Gasto",S168,IF(P168="Reembolso",-S168,0)))</f>
        <v/>
      </c>
      <c r="V168" s="53">
        <f>IF(P168="","",IF(P168="Ingreso",S168,0))</f>
        <v/>
      </c>
      <c r="W168" s="53">
        <f>IF(P168="","",IF(P168="Resultado trading",S168,0))</f>
        <v/>
      </c>
      <c r="X168" s="52">
        <f>IF(OR(P168="Gasto",P168="Reembolso"),IF(M168&lt;&gt;"",M168,IFERROR(INDEX(catClasif,MATCH(D168&amp;"|"&amp;E168,catClave,0))&amp;"","Variable")),"")</f>
        <v/>
      </c>
      <c r="Y168" s="52">
        <f>IF(P168="","",IFERROR(INDEX(catGrupo,MATCH(D168&amp;"|"&amp;E168,catClave,0))&amp;"",""))</f>
        <v/>
      </c>
      <c r="Z168" s="52">
        <f>IF(P168="","",WEEKDAY(B168,2))</f>
        <v/>
      </c>
      <c r="AA168" s="52">
        <f>IF(P168="","",IF(AND(P168="Gasto",X168="Variable",D168&lt;&gt;catTrading,S168&gt;0,S168&lt;=Umbral),1,0))</f>
        <v/>
      </c>
      <c r="AB168" s="52">
        <f>IF(OR(P168="",Q168=""),"",IFERROR(IF(INDEX(ctaVinc,MATCH(Q168,ctaNombre,0))&amp;""&lt;&gt;"",INDEX(ctaVinc,MATCH(Q168,ctaNombre,0))&amp;"",Q168),Q168))</f>
        <v/>
      </c>
      <c r="AC168" s="52">
        <f>IF(OR(K168="",AND(P168&lt;&gt;"Transferencia",P168&lt;&gt;"Pago tarjeta")),"",IFERROR(IF(INDEX(ctaVinc,MATCH(K168,ctaNombre,0))&amp;""&lt;&gt;"",INDEX(ctaVinc,MATCH(K168,ctaNombre,0))&amp;"",K168),K168))</f>
        <v/>
      </c>
      <c r="AD168" s="52">
        <f>IF(AB168="","",IFERROR(INDEX(ctaTipo,MATCH(AB168,ctaNombre,0))&amp;"",""))</f>
        <v/>
      </c>
      <c r="AE168" s="52">
        <f>IF(AC168="","",IFERROR(INDEX(ctaTipo,MATCH(AC168,ctaNombre,0))&amp;"",""))</f>
        <v/>
      </c>
      <c r="AF168" s="53">
        <f>IF(OR(P168="",AB168=""),"",IF(OR(P168="Gasto",P168="Transferencia",P168="Pago tarjeta"),-1,1)*IF(IFERROR(INDEX(ctaMoneda,MATCH(AB168,ctaNombre,0))&amp;"","DOP")="USD",T168,S168))</f>
        <v/>
      </c>
      <c r="AG168" s="53">
        <f>IF(AC168="","",IF(IFERROR(INDEX(ctaMoneda,MATCH(AC168,ctaNombre,0))&amp;"","DOP")="USD",T168,S168))</f>
        <v/>
      </c>
      <c r="AH168" s="53">
        <f>IF(P168="","",IF(AND(AD168&lt;&gt;"",COUNTIFS(tcTipo,AD168,tcLiq,"Sí")&gt;0),IF(OR(P168="Gasto",P168="Transferencia",P168="Pago tarjeta"),-1,1)*S168,0)+IF(AND(AE168&lt;&gt;"",COUNTIFS(tcTipo,AE168,tcLiq,"Sí")&gt;0),S168,0))</f>
        <v/>
      </c>
      <c r="AI168" s="52">
        <f>IF(OR(L168="",P168=""),"",IF(COUNTIFS(L$6:L168,L168,P$6:P168,"?*")=1,MAX(AI$5:AI167)+1,""))</f>
        <v/>
      </c>
    </row>
    <row r="169">
      <c r="B169" s="47" t="n">
        <v>46301</v>
      </c>
      <c r="C169" s="48" t="inlineStr">
        <is>
          <t>Gasto</t>
        </is>
      </c>
      <c r="D169" s="48" t="inlineStr">
        <is>
          <t>Alimentación</t>
        </is>
      </c>
      <c r="E169" s="48" t="inlineStr">
        <is>
          <t>Desayunos comprados</t>
        </is>
      </c>
      <c r="F169" s="48" t="inlineStr">
        <is>
          <t>DEMO · Desayuno en la oficina</t>
        </is>
      </c>
      <c r="G169" s="49" t="n">
        <v>330</v>
      </c>
      <c r="H169" s="48" t="inlineStr">
        <is>
          <t>DOP</t>
        </is>
      </c>
      <c r="I169" s="50" t="n"/>
      <c r="J169" s="48" t="inlineStr">
        <is>
          <t>Efectivo</t>
        </is>
      </c>
      <c r="K169" s="48" t="n"/>
      <c r="L169" s="48" t="inlineStr">
        <is>
          <t>Cafetería del trabajo</t>
        </is>
      </c>
      <c r="M169" s="48" t="n"/>
      <c r="N169" s="48" t="inlineStr">
        <is>
          <t>DEMOSTRACIÓN</t>
        </is>
      </c>
      <c r="O169" s="51">
        <f>IF(AND(B169="",G169="",C169="",D169="",J169=""),"",IF(B169="","⚠ Falta fecha",IF(G169="","⚠ Falta monto",IF(Q169="","⚠ Falta cuenta",IF(ISNA(MATCH(Q169,ctaNombre,0)),"⚠ Cuenta no registrada",IF(AND(OR(P169="Gasto",P169="Reembolso"),D169=""),"⚠ Falta categoría",IF(AND(D169&lt;&gt;"",E169&lt;&gt;"",ISNA(MATCH(D169&amp;"|"&amp;E169,catClave,0))),"⚠ Subcategoría no corresponde",IF(AND(OR(P169="Transferencia",P169="Pago tarjeta"),K169=""),"⚠ Falta cuenta destino",IF(AND(K169&lt;&gt;"",P169&lt;&gt;"Transferencia",P169&lt;&gt;"Pago tarjeta"),"⚠ Destino solo aplica a transferencias",IF(AND(K169&lt;&gt;"",K169=Q169),"⚠ Origen igual a destino",IF(AND(K169&lt;&gt;"",ISNA(MATCH(K169,ctaNombre,0))),"⚠ Destino no registrado",IF(AND(P169="Pago tarjeta",AE169&lt;&gt;"Tarjeta de crédito"),"⚠ El destino debe ser tarjeta de crédito",IF(AND(P169="Gasto",E169="Depósitos y retiros"),"⚠ Usa tipo Transferencia",IF(AND(P169="Resultado trading",AD169&lt;&gt;"Cuenta de trading"),"⚠ Usa una cuenta de trading",IF(AND(G169&lt;=0,P169&lt;&gt;"Ajuste",P169&lt;&gt;"Resultado trading"),"⚠ El monto debe ser positivo","✓")))))))))))))))</f>
        <v/>
      </c>
      <c r="P169" s="52">
        <f>IF(OR(B169="",G169=""),"",IF(C169="","Gasto",C169))</f>
        <v/>
      </c>
      <c r="Q169" s="52">
        <f>IF(P169="","",IF(J169&lt;&gt;"",J169,CuentaPred&amp;""))</f>
        <v/>
      </c>
      <c r="R169" s="52">
        <f>IF(P169="","",IF(ISNUMBER(I169),I169,TasaUSD))</f>
        <v/>
      </c>
      <c r="S169" s="53">
        <f>IF(P169="","",IF(H169="USD",G169*R169,G169))</f>
        <v/>
      </c>
      <c r="T169" s="53">
        <f>IF(P169="","",IF(H169="USD",G169,IF(R169&gt;0,G169/R169,0)))</f>
        <v/>
      </c>
      <c r="U169" s="53">
        <f>IF(P169="","",IF(P169="Gasto",S169,IF(P169="Reembolso",-S169,0)))</f>
        <v/>
      </c>
      <c r="V169" s="53">
        <f>IF(P169="","",IF(P169="Ingreso",S169,0))</f>
        <v/>
      </c>
      <c r="W169" s="53">
        <f>IF(P169="","",IF(P169="Resultado trading",S169,0))</f>
        <v/>
      </c>
      <c r="X169" s="52">
        <f>IF(OR(P169="Gasto",P169="Reembolso"),IF(M169&lt;&gt;"",M169,IFERROR(INDEX(catClasif,MATCH(D169&amp;"|"&amp;E169,catClave,0))&amp;"","Variable")),"")</f>
        <v/>
      </c>
      <c r="Y169" s="52">
        <f>IF(P169="","",IFERROR(INDEX(catGrupo,MATCH(D169&amp;"|"&amp;E169,catClave,0))&amp;"",""))</f>
        <v/>
      </c>
      <c r="Z169" s="52">
        <f>IF(P169="","",WEEKDAY(B169,2))</f>
        <v/>
      </c>
      <c r="AA169" s="52">
        <f>IF(P169="","",IF(AND(P169="Gasto",X169="Variable",D169&lt;&gt;catTrading,S169&gt;0,S169&lt;=Umbral),1,0))</f>
        <v/>
      </c>
      <c r="AB169" s="52">
        <f>IF(OR(P169="",Q169=""),"",IFERROR(IF(INDEX(ctaVinc,MATCH(Q169,ctaNombre,0))&amp;""&lt;&gt;"",INDEX(ctaVinc,MATCH(Q169,ctaNombre,0))&amp;"",Q169),Q169))</f>
        <v/>
      </c>
      <c r="AC169" s="52">
        <f>IF(OR(K169="",AND(P169&lt;&gt;"Transferencia",P169&lt;&gt;"Pago tarjeta")),"",IFERROR(IF(INDEX(ctaVinc,MATCH(K169,ctaNombre,0))&amp;""&lt;&gt;"",INDEX(ctaVinc,MATCH(K169,ctaNombre,0))&amp;"",K169),K169))</f>
        <v/>
      </c>
      <c r="AD169" s="52">
        <f>IF(AB169="","",IFERROR(INDEX(ctaTipo,MATCH(AB169,ctaNombre,0))&amp;"",""))</f>
        <v/>
      </c>
      <c r="AE169" s="52">
        <f>IF(AC169="","",IFERROR(INDEX(ctaTipo,MATCH(AC169,ctaNombre,0))&amp;"",""))</f>
        <v/>
      </c>
      <c r="AF169" s="53">
        <f>IF(OR(P169="",AB169=""),"",IF(OR(P169="Gasto",P169="Transferencia",P169="Pago tarjeta"),-1,1)*IF(IFERROR(INDEX(ctaMoneda,MATCH(AB169,ctaNombre,0))&amp;"","DOP")="USD",T169,S169))</f>
        <v/>
      </c>
      <c r="AG169" s="53">
        <f>IF(AC169="","",IF(IFERROR(INDEX(ctaMoneda,MATCH(AC169,ctaNombre,0))&amp;"","DOP")="USD",T169,S169))</f>
        <v/>
      </c>
      <c r="AH169" s="53">
        <f>IF(P169="","",IF(AND(AD169&lt;&gt;"",COUNTIFS(tcTipo,AD169,tcLiq,"Sí")&gt;0),IF(OR(P169="Gasto",P169="Transferencia",P169="Pago tarjeta"),-1,1)*S169,0)+IF(AND(AE169&lt;&gt;"",COUNTIFS(tcTipo,AE169,tcLiq,"Sí")&gt;0),S169,0))</f>
        <v/>
      </c>
      <c r="AI169" s="52">
        <f>IF(OR(L169="",P169=""),"",IF(COUNTIFS(L$6:L169,L169,P$6:P169,"?*")=1,MAX(AI$5:AI168)+1,""))</f>
        <v/>
      </c>
    </row>
    <row r="170">
      <c r="B170" s="47" t="n">
        <v>46301</v>
      </c>
      <c r="C170" s="48" t="inlineStr">
        <is>
          <t>Gasto</t>
        </is>
      </c>
      <c r="D170" s="48" t="inlineStr">
        <is>
          <t>Alimentación</t>
        </is>
      </c>
      <c r="E170" s="48" t="inlineStr">
        <is>
          <t>Almuerzos laborales</t>
        </is>
      </c>
      <c r="F170" s="48" t="inlineStr">
        <is>
          <t>DEMO · Almuerzo laboral</t>
        </is>
      </c>
      <c r="G170" s="49" t="n">
        <v>425</v>
      </c>
      <c r="H170" s="48" t="inlineStr">
        <is>
          <t>DOP</t>
        </is>
      </c>
      <c r="I170" s="50" t="n"/>
      <c r="J170" s="48" t="inlineStr">
        <is>
          <t>Billetera digital</t>
        </is>
      </c>
      <c r="K170" s="48" t="n"/>
      <c r="L170" s="48" t="inlineStr">
        <is>
          <t>Comedor ejecutivo</t>
        </is>
      </c>
      <c r="M170" s="48" t="n"/>
      <c r="N170" s="48" t="inlineStr">
        <is>
          <t>DEMOSTRACIÓN</t>
        </is>
      </c>
      <c r="O170" s="51">
        <f>IF(AND(B170="",G170="",C170="",D170="",J170=""),"",IF(B170="","⚠ Falta fecha",IF(G170="","⚠ Falta monto",IF(Q170="","⚠ Falta cuenta",IF(ISNA(MATCH(Q170,ctaNombre,0)),"⚠ Cuenta no registrada",IF(AND(OR(P170="Gasto",P170="Reembolso"),D170=""),"⚠ Falta categoría",IF(AND(D170&lt;&gt;"",E170&lt;&gt;"",ISNA(MATCH(D170&amp;"|"&amp;E170,catClave,0))),"⚠ Subcategoría no corresponde",IF(AND(OR(P170="Transferencia",P170="Pago tarjeta"),K170=""),"⚠ Falta cuenta destino",IF(AND(K170&lt;&gt;"",P170&lt;&gt;"Transferencia",P170&lt;&gt;"Pago tarjeta"),"⚠ Destino solo aplica a transferencias",IF(AND(K170&lt;&gt;"",K170=Q170),"⚠ Origen igual a destino",IF(AND(K170&lt;&gt;"",ISNA(MATCH(K170,ctaNombre,0))),"⚠ Destino no registrado",IF(AND(P170="Pago tarjeta",AE170&lt;&gt;"Tarjeta de crédito"),"⚠ El destino debe ser tarjeta de crédito",IF(AND(P170="Gasto",E170="Depósitos y retiros"),"⚠ Usa tipo Transferencia",IF(AND(P170="Resultado trading",AD170&lt;&gt;"Cuenta de trading"),"⚠ Usa una cuenta de trading",IF(AND(G170&lt;=0,P170&lt;&gt;"Ajuste",P170&lt;&gt;"Resultado trading"),"⚠ El monto debe ser positivo","✓")))))))))))))))</f>
        <v/>
      </c>
      <c r="P170" s="52">
        <f>IF(OR(B170="",G170=""),"",IF(C170="","Gasto",C170))</f>
        <v/>
      </c>
      <c r="Q170" s="52">
        <f>IF(P170="","",IF(J170&lt;&gt;"",J170,CuentaPred&amp;""))</f>
        <v/>
      </c>
      <c r="R170" s="52">
        <f>IF(P170="","",IF(ISNUMBER(I170),I170,TasaUSD))</f>
        <v/>
      </c>
      <c r="S170" s="53">
        <f>IF(P170="","",IF(H170="USD",G170*R170,G170))</f>
        <v/>
      </c>
      <c r="T170" s="53">
        <f>IF(P170="","",IF(H170="USD",G170,IF(R170&gt;0,G170/R170,0)))</f>
        <v/>
      </c>
      <c r="U170" s="53">
        <f>IF(P170="","",IF(P170="Gasto",S170,IF(P170="Reembolso",-S170,0)))</f>
        <v/>
      </c>
      <c r="V170" s="53">
        <f>IF(P170="","",IF(P170="Ingreso",S170,0))</f>
        <v/>
      </c>
      <c r="W170" s="53">
        <f>IF(P170="","",IF(P170="Resultado trading",S170,0))</f>
        <v/>
      </c>
      <c r="X170" s="52">
        <f>IF(OR(P170="Gasto",P170="Reembolso"),IF(M170&lt;&gt;"",M170,IFERROR(INDEX(catClasif,MATCH(D170&amp;"|"&amp;E170,catClave,0))&amp;"","Variable")),"")</f>
        <v/>
      </c>
      <c r="Y170" s="52">
        <f>IF(P170="","",IFERROR(INDEX(catGrupo,MATCH(D170&amp;"|"&amp;E170,catClave,0))&amp;"",""))</f>
        <v/>
      </c>
      <c r="Z170" s="52">
        <f>IF(P170="","",WEEKDAY(B170,2))</f>
        <v/>
      </c>
      <c r="AA170" s="52">
        <f>IF(P170="","",IF(AND(P170="Gasto",X170="Variable",D170&lt;&gt;catTrading,S170&gt;0,S170&lt;=Umbral),1,0))</f>
        <v/>
      </c>
      <c r="AB170" s="52">
        <f>IF(OR(P170="",Q170=""),"",IFERROR(IF(INDEX(ctaVinc,MATCH(Q170,ctaNombre,0))&amp;""&lt;&gt;"",INDEX(ctaVinc,MATCH(Q170,ctaNombre,0))&amp;"",Q170),Q170))</f>
        <v/>
      </c>
      <c r="AC170" s="52">
        <f>IF(OR(K170="",AND(P170&lt;&gt;"Transferencia",P170&lt;&gt;"Pago tarjeta")),"",IFERROR(IF(INDEX(ctaVinc,MATCH(K170,ctaNombre,0))&amp;""&lt;&gt;"",INDEX(ctaVinc,MATCH(K170,ctaNombre,0))&amp;"",K170),K170))</f>
        <v/>
      </c>
      <c r="AD170" s="52">
        <f>IF(AB170="","",IFERROR(INDEX(ctaTipo,MATCH(AB170,ctaNombre,0))&amp;"",""))</f>
        <v/>
      </c>
      <c r="AE170" s="52">
        <f>IF(AC170="","",IFERROR(INDEX(ctaTipo,MATCH(AC170,ctaNombre,0))&amp;"",""))</f>
        <v/>
      </c>
      <c r="AF170" s="53">
        <f>IF(OR(P170="",AB170=""),"",IF(OR(P170="Gasto",P170="Transferencia",P170="Pago tarjeta"),-1,1)*IF(IFERROR(INDEX(ctaMoneda,MATCH(AB170,ctaNombre,0))&amp;"","DOP")="USD",T170,S170))</f>
        <v/>
      </c>
      <c r="AG170" s="53">
        <f>IF(AC170="","",IF(IFERROR(INDEX(ctaMoneda,MATCH(AC170,ctaNombre,0))&amp;"","DOP")="USD",T170,S170))</f>
        <v/>
      </c>
      <c r="AH170" s="53">
        <f>IF(P170="","",IF(AND(AD170&lt;&gt;"",COUNTIFS(tcTipo,AD170,tcLiq,"Sí")&gt;0),IF(OR(P170="Gasto",P170="Transferencia",P170="Pago tarjeta"),-1,1)*S170,0)+IF(AND(AE170&lt;&gt;"",COUNTIFS(tcTipo,AE170,tcLiq,"Sí")&gt;0),S170,0))</f>
        <v/>
      </c>
      <c r="AI170" s="52">
        <f>IF(OR(L170="",P170=""),"",IF(COUNTIFS(L$6:L170,L170,P$6:P170,"?*")=1,MAX(AI$5:AI169)+1,""))</f>
        <v/>
      </c>
    </row>
    <row r="171">
      <c r="B171" s="47" t="n">
        <v>46301</v>
      </c>
      <c r="C171" s="48" t="inlineStr">
        <is>
          <t>Gasto</t>
        </is>
      </c>
      <c r="D171" s="48" t="inlineStr">
        <is>
          <t>Alimentación</t>
        </is>
      </c>
      <c r="E171" s="48" t="inlineStr">
        <is>
          <t>Bebidas, snacks y otros consumos</t>
        </is>
      </c>
      <c r="F171" s="48" t="inlineStr">
        <is>
          <t>DEMO · Jugo y galletas</t>
        </is>
      </c>
      <c r="G171" s="49" t="n">
        <v>140</v>
      </c>
      <c r="H171" s="48" t="inlineStr">
        <is>
          <t>DOP</t>
        </is>
      </c>
      <c r="I171" s="50" t="n"/>
      <c r="J171" s="48" t="inlineStr">
        <is>
          <t>Billetera digital</t>
        </is>
      </c>
      <c r="K171" s="48" t="n"/>
      <c r="L171" s="48" t="inlineStr">
        <is>
          <t>Colmado del barrio</t>
        </is>
      </c>
      <c r="M171" s="48" t="n"/>
      <c r="N171" s="48" t="inlineStr">
        <is>
          <t>DEMOSTRACIÓN</t>
        </is>
      </c>
      <c r="O171" s="51">
        <f>IF(AND(B171="",G171="",C171="",D171="",J171=""),"",IF(B171="","⚠ Falta fecha",IF(G171="","⚠ Falta monto",IF(Q171="","⚠ Falta cuenta",IF(ISNA(MATCH(Q171,ctaNombre,0)),"⚠ Cuenta no registrada",IF(AND(OR(P171="Gasto",P171="Reembolso"),D171=""),"⚠ Falta categoría",IF(AND(D171&lt;&gt;"",E171&lt;&gt;"",ISNA(MATCH(D171&amp;"|"&amp;E171,catClave,0))),"⚠ Subcategoría no corresponde",IF(AND(OR(P171="Transferencia",P171="Pago tarjeta"),K171=""),"⚠ Falta cuenta destino",IF(AND(K171&lt;&gt;"",P171&lt;&gt;"Transferencia",P171&lt;&gt;"Pago tarjeta"),"⚠ Destino solo aplica a transferencias",IF(AND(K171&lt;&gt;"",K171=Q171),"⚠ Origen igual a destino",IF(AND(K171&lt;&gt;"",ISNA(MATCH(K171,ctaNombre,0))),"⚠ Destino no registrado",IF(AND(P171="Pago tarjeta",AE171&lt;&gt;"Tarjeta de crédito"),"⚠ El destino debe ser tarjeta de crédito",IF(AND(P171="Gasto",E171="Depósitos y retiros"),"⚠ Usa tipo Transferencia",IF(AND(P171="Resultado trading",AD171&lt;&gt;"Cuenta de trading"),"⚠ Usa una cuenta de trading",IF(AND(G171&lt;=0,P171&lt;&gt;"Ajuste",P171&lt;&gt;"Resultado trading"),"⚠ El monto debe ser positivo","✓")))))))))))))))</f>
        <v/>
      </c>
      <c r="P171" s="52">
        <f>IF(OR(B171="",G171=""),"",IF(C171="","Gasto",C171))</f>
        <v/>
      </c>
      <c r="Q171" s="52">
        <f>IF(P171="","",IF(J171&lt;&gt;"",J171,CuentaPred&amp;""))</f>
        <v/>
      </c>
      <c r="R171" s="52">
        <f>IF(P171="","",IF(ISNUMBER(I171),I171,TasaUSD))</f>
        <v/>
      </c>
      <c r="S171" s="53">
        <f>IF(P171="","",IF(H171="USD",G171*R171,G171))</f>
        <v/>
      </c>
      <c r="T171" s="53">
        <f>IF(P171="","",IF(H171="USD",G171,IF(R171&gt;0,G171/R171,0)))</f>
        <v/>
      </c>
      <c r="U171" s="53">
        <f>IF(P171="","",IF(P171="Gasto",S171,IF(P171="Reembolso",-S171,0)))</f>
        <v/>
      </c>
      <c r="V171" s="53">
        <f>IF(P171="","",IF(P171="Ingreso",S171,0))</f>
        <v/>
      </c>
      <c r="W171" s="53">
        <f>IF(P171="","",IF(P171="Resultado trading",S171,0))</f>
        <v/>
      </c>
      <c r="X171" s="52">
        <f>IF(OR(P171="Gasto",P171="Reembolso"),IF(M171&lt;&gt;"",M171,IFERROR(INDEX(catClasif,MATCH(D171&amp;"|"&amp;E171,catClave,0))&amp;"","Variable")),"")</f>
        <v/>
      </c>
      <c r="Y171" s="52">
        <f>IF(P171="","",IFERROR(INDEX(catGrupo,MATCH(D171&amp;"|"&amp;E171,catClave,0))&amp;"",""))</f>
        <v/>
      </c>
      <c r="Z171" s="52">
        <f>IF(P171="","",WEEKDAY(B171,2))</f>
        <v/>
      </c>
      <c r="AA171" s="52">
        <f>IF(P171="","",IF(AND(P171="Gasto",X171="Variable",D171&lt;&gt;catTrading,S171&gt;0,S171&lt;=Umbral),1,0))</f>
        <v/>
      </c>
      <c r="AB171" s="52">
        <f>IF(OR(P171="",Q171=""),"",IFERROR(IF(INDEX(ctaVinc,MATCH(Q171,ctaNombre,0))&amp;""&lt;&gt;"",INDEX(ctaVinc,MATCH(Q171,ctaNombre,0))&amp;"",Q171),Q171))</f>
        <v/>
      </c>
      <c r="AC171" s="52">
        <f>IF(OR(K171="",AND(P171&lt;&gt;"Transferencia",P171&lt;&gt;"Pago tarjeta")),"",IFERROR(IF(INDEX(ctaVinc,MATCH(K171,ctaNombre,0))&amp;""&lt;&gt;"",INDEX(ctaVinc,MATCH(K171,ctaNombre,0))&amp;"",K171),K171))</f>
        <v/>
      </c>
      <c r="AD171" s="52">
        <f>IF(AB171="","",IFERROR(INDEX(ctaTipo,MATCH(AB171,ctaNombre,0))&amp;"",""))</f>
        <v/>
      </c>
      <c r="AE171" s="52">
        <f>IF(AC171="","",IFERROR(INDEX(ctaTipo,MATCH(AC171,ctaNombre,0))&amp;"",""))</f>
        <v/>
      </c>
      <c r="AF171" s="53">
        <f>IF(OR(P171="",AB171=""),"",IF(OR(P171="Gasto",P171="Transferencia",P171="Pago tarjeta"),-1,1)*IF(IFERROR(INDEX(ctaMoneda,MATCH(AB171,ctaNombre,0))&amp;"","DOP")="USD",T171,S171))</f>
        <v/>
      </c>
      <c r="AG171" s="53">
        <f>IF(AC171="","",IF(IFERROR(INDEX(ctaMoneda,MATCH(AC171,ctaNombre,0))&amp;"","DOP")="USD",T171,S171))</f>
        <v/>
      </c>
      <c r="AH171" s="53">
        <f>IF(P171="","",IF(AND(AD171&lt;&gt;"",COUNTIFS(tcTipo,AD171,tcLiq,"Sí")&gt;0),IF(OR(P171="Gasto",P171="Transferencia",P171="Pago tarjeta"),-1,1)*S171,0)+IF(AND(AE171&lt;&gt;"",COUNTIFS(tcTipo,AE171,tcLiq,"Sí")&gt;0),S171,0))</f>
        <v/>
      </c>
      <c r="AI171" s="52">
        <f>IF(OR(L171="",P171=""),"",IF(COUNTIFS(L$6:L171,L171,P$6:P171,"?*")=1,MAX(AI$5:AI170)+1,""))</f>
        <v/>
      </c>
    </row>
    <row r="172">
      <c r="B172" s="47" t="n">
        <v>46301</v>
      </c>
      <c r="C172" s="48" t="inlineStr">
        <is>
          <t>Gasto</t>
        </is>
      </c>
      <c r="D172" s="48" t="inlineStr">
        <is>
          <t>Educación</t>
        </is>
      </c>
      <c r="E172" s="48" t="inlineStr">
        <is>
          <t>Cursos y certificaciones</t>
        </is>
      </c>
      <c r="F172" s="48" t="inlineStr">
        <is>
          <t>DEMO · Curso en línea</t>
        </is>
      </c>
      <c r="G172" s="49" t="n">
        <v>15</v>
      </c>
      <c r="H172" s="48" t="inlineStr">
        <is>
          <t>USD</t>
        </is>
      </c>
      <c r="I172" s="50" t="n"/>
      <c r="J172" s="48" t="inlineStr">
        <is>
          <t>Tarjeta de crédito</t>
        </is>
      </c>
      <c r="K172" s="48" t="n"/>
      <c r="L172" s="48" t="inlineStr">
        <is>
          <t>Plataforma de cursos</t>
        </is>
      </c>
      <c r="M172" s="48" t="n"/>
      <c r="N172" s="48" t="inlineStr">
        <is>
          <t>DEMOSTRACIÓN</t>
        </is>
      </c>
      <c r="O172" s="51">
        <f>IF(AND(B172="",G172="",C172="",D172="",J172=""),"",IF(B172="","⚠ Falta fecha",IF(G172="","⚠ Falta monto",IF(Q172="","⚠ Falta cuenta",IF(ISNA(MATCH(Q172,ctaNombre,0)),"⚠ Cuenta no registrada",IF(AND(OR(P172="Gasto",P172="Reembolso"),D172=""),"⚠ Falta categoría",IF(AND(D172&lt;&gt;"",E172&lt;&gt;"",ISNA(MATCH(D172&amp;"|"&amp;E172,catClave,0))),"⚠ Subcategoría no corresponde",IF(AND(OR(P172="Transferencia",P172="Pago tarjeta"),K172=""),"⚠ Falta cuenta destino",IF(AND(K172&lt;&gt;"",P172&lt;&gt;"Transferencia",P172&lt;&gt;"Pago tarjeta"),"⚠ Destino solo aplica a transferencias",IF(AND(K172&lt;&gt;"",K172=Q172),"⚠ Origen igual a destino",IF(AND(K172&lt;&gt;"",ISNA(MATCH(K172,ctaNombre,0))),"⚠ Destino no registrado",IF(AND(P172="Pago tarjeta",AE172&lt;&gt;"Tarjeta de crédito"),"⚠ El destino debe ser tarjeta de crédito",IF(AND(P172="Gasto",E172="Depósitos y retiros"),"⚠ Usa tipo Transferencia",IF(AND(P172="Resultado trading",AD172&lt;&gt;"Cuenta de trading"),"⚠ Usa una cuenta de trading",IF(AND(G172&lt;=0,P172&lt;&gt;"Ajuste",P172&lt;&gt;"Resultado trading"),"⚠ El monto debe ser positivo","✓")))))))))))))))</f>
        <v/>
      </c>
      <c r="P172" s="52">
        <f>IF(OR(B172="",G172=""),"",IF(C172="","Gasto",C172))</f>
        <v/>
      </c>
      <c r="Q172" s="52">
        <f>IF(P172="","",IF(J172&lt;&gt;"",J172,CuentaPred&amp;""))</f>
        <v/>
      </c>
      <c r="R172" s="52">
        <f>IF(P172="","",IF(ISNUMBER(I172),I172,TasaUSD))</f>
        <v/>
      </c>
      <c r="S172" s="53">
        <f>IF(P172="","",IF(H172="USD",G172*R172,G172))</f>
        <v/>
      </c>
      <c r="T172" s="53">
        <f>IF(P172="","",IF(H172="USD",G172,IF(R172&gt;0,G172/R172,0)))</f>
        <v/>
      </c>
      <c r="U172" s="53">
        <f>IF(P172="","",IF(P172="Gasto",S172,IF(P172="Reembolso",-S172,0)))</f>
        <v/>
      </c>
      <c r="V172" s="53">
        <f>IF(P172="","",IF(P172="Ingreso",S172,0))</f>
        <v/>
      </c>
      <c r="W172" s="53">
        <f>IF(P172="","",IF(P172="Resultado trading",S172,0))</f>
        <v/>
      </c>
      <c r="X172" s="52">
        <f>IF(OR(P172="Gasto",P172="Reembolso"),IF(M172&lt;&gt;"",M172,IFERROR(INDEX(catClasif,MATCH(D172&amp;"|"&amp;E172,catClave,0))&amp;"","Variable")),"")</f>
        <v/>
      </c>
      <c r="Y172" s="52">
        <f>IF(P172="","",IFERROR(INDEX(catGrupo,MATCH(D172&amp;"|"&amp;E172,catClave,0))&amp;"",""))</f>
        <v/>
      </c>
      <c r="Z172" s="52">
        <f>IF(P172="","",WEEKDAY(B172,2))</f>
        <v/>
      </c>
      <c r="AA172" s="52">
        <f>IF(P172="","",IF(AND(P172="Gasto",X172="Variable",D172&lt;&gt;catTrading,S172&gt;0,S172&lt;=Umbral),1,0))</f>
        <v/>
      </c>
      <c r="AB172" s="52">
        <f>IF(OR(P172="",Q172=""),"",IFERROR(IF(INDEX(ctaVinc,MATCH(Q172,ctaNombre,0))&amp;""&lt;&gt;"",INDEX(ctaVinc,MATCH(Q172,ctaNombre,0))&amp;"",Q172),Q172))</f>
        <v/>
      </c>
      <c r="AC172" s="52">
        <f>IF(OR(K172="",AND(P172&lt;&gt;"Transferencia",P172&lt;&gt;"Pago tarjeta")),"",IFERROR(IF(INDEX(ctaVinc,MATCH(K172,ctaNombre,0))&amp;""&lt;&gt;"",INDEX(ctaVinc,MATCH(K172,ctaNombre,0))&amp;"",K172),K172))</f>
        <v/>
      </c>
      <c r="AD172" s="52">
        <f>IF(AB172="","",IFERROR(INDEX(ctaTipo,MATCH(AB172,ctaNombre,0))&amp;"",""))</f>
        <v/>
      </c>
      <c r="AE172" s="52">
        <f>IF(AC172="","",IFERROR(INDEX(ctaTipo,MATCH(AC172,ctaNombre,0))&amp;"",""))</f>
        <v/>
      </c>
      <c r="AF172" s="53">
        <f>IF(OR(P172="",AB172=""),"",IF(OR(P172="Gasto",P172="Transferencia",P172="Pago tarjeta"),-1,1)*IF(IFERROR(INDEX(ctaMoneda,MATCH(AB172,ctaNombre,0))&amp;"","DOP")="USD",T172,S172))</f>
        <v/>
      </c>
      <c r="AG172" s="53">
        <f>IF(AC172="","",IF(IFERROR(INDEX(ctaMoneda,MATCH(AC172,ctaNombre,0))&amp;"","DOP")="USD",T172,S172))</f>
        <v/>
      </c>
      <c r="AH172" s="53">
        <f>IF(P172="","",IF(AND(AD172&lt;&gt;"",COUNTIFS(tcTipo,AD172,tcLiq,"Sí")&gt;0),IF(OR(P172="Gasto",P172="Transferencia",P172="Pago tarjeta"),-1,1)*S172,0)+IF(AND(AE172&lt;&gt;"",COUNTIFS(tcTipo,AE172,tcLiq,"Sí")&gt;0),S172,0))</f>
        <v/>
      </c>
      <c r="AI172" s="52">
        <f>IF(OR(L172="",P172=""),"",IF(COUNTIFS(L$6:L172,L172,P$6:P172,"?*")=1,MAX(AI$5:AI171)+1,""))</f>
        <v/>
      </c>
    </row>
    <row r="173">
      <c r="B173" s="47" t="n">
        <v>46302</v>
      </c>
      <c r="C173" s="48" t="inlineStr">
        <is>
          <t>Gasto</t>
        </is>
      </c>
      <c r="D173" s="48" t="inlineStr">
        <is>
          <t>Alimentación</t>
        </is>
      </c>
      <c r="E173" s="48" t="inlineStr">
        <is>
          <t>Desayunos comprados</t>
        </is>
      </c>
      <c r="F173" s="48" t="inlineStr">
        <is>
          <t>DEMO · Desayuno en la oficina</t>
        </is>
      </c>
      <c r="G173" s="49" t="n">
        <v>320</v>
      </c>
      <c r="H173" s="48" t="inlineStr">
        <is>
          <t>DOP</t>
        </is>
      </c>
      <c r="I173" s="50" t="n"/>
      <c r="J173" s="48" t="inlineStr">
        <is>
          <t>Tarjeta de débito</t>
        </is>
      </c>
      <c r="K173" s="48" t="n"/>
      <c r="L173" s="48" t="inlineStr">
        <is>
          <t>Cafetería del trabajo</t>
        </is>
      </c>
      <c r="M173" s="48" t="n"/>
      <c r="N173" s="48" t="inlineStr">
        <is>
          <t>DEMOSTRACIÓN</t>
        </is>
      </c>
      <c r="O173" s="51">
        <f>IF(AND(B173="",G173="",C173="",D173="",J173=""),"",IF(B173="","⚠ Falta fecha",IF(G173="","⚠ Falta monto",IF(Q173="","⚠ Falta cuenta",IF(ISNA(MATCH(Q173,ctaNombre,0)),"⚠ Cuenta no registrada",IF(AND(OR(P173="Gasto",P173="Reembolso"),D173=""),"⚠ Falta categoría",IF(AND(D173&lt;&gt;"",E173&lt;&gt;"",ISNA(MATCH(D173&amp;"|"&amp;E173,catClave,0))),"⚠ Subcategoría no corresponde",IF(AND(OR(P173="Transferencia",P173="Pago tarjeta"),K173=""),"⚠ Falta cuenta destino",IF(AND(K173&lt;&gt;"",P173&lt;&gt;"Transferencia",P173&lt;&gt;"Pago tarjeta"),"⚠ Destino solo aplica a transferencias",IF(AND(K173&lt;&gt;"",K173=Q173),"⚠ Origen igual a destino",IF(AND(K173&lt;&gt;"",ISNA(MATCH(K173,ctaNombre,0))),"⚠ Destino no registrado",IF(AND(P173="Pago tarjeta",AE173&lt;&gt;"Tarjeta de crédito"),"⚠ El destino debe ser tarjeta de crédito",IF(AND(P173="Gasto",E173="Depósitos y retiros"),"⚠ Usa tipo Transferencia",IF(AND(P173="Resultado trading",AD173&lt;&gt;"Cuenta de trading"),"⚠ Usa una cuenta de trading",IF(AND(G173&lt;=0,P173&lt;&gt;"Ajuste",P173&lt;&gt;"Resultado trading"),"⚠ El monto debe ser positivo","✓")))))))))))))))</f>
        <v/>
      </c>
      <c r="P173" s="52">
        <f>IF(OR(B173="",G173=""),"",IF(C173="","Gasto",C173))</f>
        <v/>
      </c>
      <c r="Q173" s="52">
        <f>IF(P173="","",IF(J173&lt;&gt;"",J173,CuentaPred&amp;""))</f>
        <v/>
      </c>
      <c r="R173" s="52">
        <f>IF(P173="","",IF(ISNUMBER(I173),I173,TasaUSD))</f>
        <v/>
      </c>
      <c r="S173" s="53">
        <f>IF(P173="","",IF(H173="USD",G173*R173,G173))</f>
        <v/>
      </c>
      <c r="T173" s="53">
        <f>IF(P173="","",IF(H173="USD",G173,IF(R173&gt;0,G173/R173,0)))</f>
        <v/>
      </c>
      <c r="U173" s="53">
        <f>IF(P173="","",IF(P173="Gasto",S173,IF(P173="Reembolso",-S173,0)))</f>
        <v/>
      </c>
      <c r="V173" s="53">
        <f>IF(P173="","",IF(P173="Ingreso",S173,0))</f>
        <v/>
      </c>
      <c r="W173" s="53">
        <f>IF(P173="","",IF(P173="Resultado trading",S173,0))</f>
        <v/>
      </c>
      <c r="X173" s="52">
        <f>IF(OR(P173="Gasto",P173="Reembolso"),IF(M173&lt;&gt;"",M173,IFERROR(INDEX(catClasif,MATCH(D173&amp;"|"&amp;E173,catClave,0))&amp;"","Variable")),"")</f>
        <v/>
      </c>
      <c r="Y173" s="52">
        <f>IF(P173="","",IFERROR(INDEX(catGrupo,MATCH(D173&amp;"|"&amp;E173,catClave,0))&amp;"",""))</f>
        <v/>
      </c>
      <c r="Z173" s="52">
        <f>IF(P173="","",WEEKDAY(B173,2))</f>
        <v/>
      </c>
      <c r="AA173" s="52">
        <f>IF(P173="","",IF(AND(P173="Gasto",X173="Variable",D173&lt;&gt;catTrading,S173&gt;0,S173&lt;=Umbral),1,0))</f>
        <v/>
      </c>
      <c r="AB173" s="52">
        <f>IF(OR(P173="",Q173=""),"",IFERROR(IF(INDEX(ctaVinc,MATCH(Q173,ctaNombre,0))&amp;""&lt;&gt;"",INDEX(ctaVinc,MATCH(Q173,ctaNombre,0))&amp;"",Q173),Q173))</f>
        <v/>
      </c>
      <c r="AC173" s="52">
        <f>IF(OR(K173="",AND(P173&lt;&gt;"Transferencia",P173&lt;&gt;"Pago tarjeta")),"",IFERROR(IF(INDEX(ctaVinc,MATCH(K173,ctaNombre,0))&amp;""&lt;&gt;"",INDEX(ctaVinc,MATCH(K173,ctaNombre,0))&amp;"",K173),K173))</f>
        <v/>
      </c>
      <c r="AD173" s="52">
        <f>IF(AB173="","",IFERROR(INDEX(ctaTipo,MATCH(AB173,ctaNombre,0))&amp;"",""))</f>
        <v/>
      </c>
      <c r="AE173" s="52">
        <f>IF(AC173="","",IFERROR(INDEX(ctaTipo,MATCH(AC173,ctaNombre,0))&amp;"",""))</f>
        <v/>
      </c>
      <c r="AF173" s="53">
        <f>IF(OR(P173="",AB173=""),"",IF(OR(P173="Gasto",P173="Transferencia",P173="Pago tarjeta"),-1,1)*IF(IFERROR(INDEX(ctaMoneda,MATCH(AB173,ctaNombre,0))&amp;"","DOP")="USD",T173,S173))</f>
        <v/>
      </c>
      <c r="AG173" s="53">
        <f>IF(AC173="","",IF(IFERROR(INDEX(ctaMoneda,MATCH(AC173,ctaNombre,0))&amp;"","DOP")="USD",T173,S173))</f>
        <v/>
      </c>
      <c r="AH173" s="53">
        <f>IF(P173="","",IF(AND(AD173&lt;&gt;"",COUNTIFS(tcTipo,AD173,tcLiq,"Sí")&gt;0),IF(OR(P173="Gasto",P173="Transferencia",P173="Pago tarjeta"),-1,1)*S173,0)+IF(AND(AE173&lt;&gt;"",COUNTIFS(tcTipo,AE173,tcLiq,"Sí")&gt;0),S173,0))</f>
        <v/>
      </c>
      <c r="AI173" s="52">
        <f>IF(OR(L173="",P173=""),"",IF(COUNTIFS(L$6:L173,L173,P$6:P173,"?*")=1,MAX(AI$5:AI172)+1,""))</f>
        <v/>
      </c>
    </row>
    <row r="174">
      <c r="B174" s="47" t="n">
        <v>46302</v>
      </c>
      <c r="C174" s="48" t="inlineStr">
        <is>
          <t>Gasto</t>
        </is>
      </c>
      <c r="D174" s="48" t="inlineStr">
        <is>
          <t>Alimentación</t>
        </is>
      </c>
      <c r="E174" s="48" t="inlineStr">
        <is>
          <t>Almuerzos laborales</t>
        </is>
      </c>
      <c r="F174" s="48" t="inlineStr">
        <is>
          <t>DEMO · Almuerzo laboral</t>
        </is>
      </c>
      <c r="G174" s="49" t="n">
        <v>475</v>
      </c>
      <c r="H174" s="48" t="inlineStr">
        <is>
          <t>DOP</t>
        </is>
      </c>
      <c r="I174" s="50" t="n"/>
      <c r="J174" s="48" t="inlineStr">
        <is>
          <t>Tarjeta de débito</t>
        </is>
      </c>
      <c r="K174" s="48" t="n"/>
      <c r="L174" s="48" t="inlineStr">
        <is>
          <t>Comedor ejecutivo</t>
        </is>
      </c>
      <c r="M174" s="48" t="n"/>
      <c r="N174" s="48" t="inlineStr">
        <is>
          <t>DEMOSTRACIÓN</t>
        </is>
      </c>
      <c r="O174" s="51">
        <f>IF(AND(B174="",G174="",C174="",D174="",J174=""),"",IF(B174="","⚠ Falta fecha",IF(G174="","⚠ Falta monto",IF(Q174="","⚠ Falta cuenta",IF(ISNA(MATCH(Q174,ctaNombre,0)),"⚠ Cuenta no registrada",IF(AND(OR(P174="Gasto",P174="Reembolso"),D174=""),"⚠ Falta categoría",IF(AND(D174&lt;&gt;"",E174&lt;&gt;"",ISNA(MATCH(D174&amp;"|"&amp;E174,catClave,0))),"⚠ Subcategoría no corresponde",IF(AND(OR(P174="Transferencia",P174="Pago tarjeta"),K174=""),"⚠ Falta cuenta destino",IF(AND(K174&lt;&gt;"",P174&lt;&gt;"Transferencia",P174&lt;&gt;"Pago tarjeta"),"⚠ Destino solo aplica a transferencias",IF(AND(K174&lt;&gt;"",K174=Q174),"⚠ Origen igual a destino",IF(AND(K174&lt;&gt;"",ISNA(MATCH(K174,ctaNombre,0))),"⚠ Destino no registrado",IF(AND(P174="Pago tarjeta",AE174&lt;&gt;"Tarjeta de crédito"),"⚠ El destino debe ser tarjeta de crédito",IF(AND(P174="Gasto",E174="Depósitos y retiros"),"⚠ Usa tipo Transferencia",IF(AND(P174="Resultado trading",AD174&lt;&gt;"Cuenta de trading"),"⚠ Usa una cuenta de trading",IF(AND(G174&lt;=0,P174&lt;&gt;"Ajuste",P174&lt;&gt;"Resultado trading"),"⚠ El monto debe ser positivo","✓")))))))))))))))</f>
        <v/>
      </c>
      <c r="P174" s="52">
        <f>IF(OR(B174="",G174=""),"",IF(C174="","Gasto",C174))</f>
        <v/>
      </c>
      <c r="Q174" s="52">
        <f>IF(P174="","",IF(J174&lt;&gt;"",J174,CuentaPred&amp;""))</f>
        <v/>
      </c>
      <c r="R174" s="52">
        <f>IF(P174="","",IF(ISNUMBER(I174),I174,TasaUSD))</f>
        <v/>
      </c>
      <c r="S174" s="53">
        <f>IF(P174="","",IF(H174="USD",G174*R174,G174))</f>
        <v/>
      </c>
      <c r="T174" s="53">
        <f>IF(P174="","",IF(H174="USD",G174,IF(R174&gt;0,G174/R174,0)))</f>
        <v/>
      </c>
      <c r="U174" s="53">
        <f>IF(P174="","",IF(P174="Gasto",S174,IF(P174="Reembolso",-S174,0)))</f>
        <v/>
      </c>
      <c r="V174" s="53">
        <f>IF(P174="","",IF(P174="Ingreso",S174,0))</f>
        <v/>
      </c>
      <c r="W174" s="53">
        <f>IF(P174="","",IF(P174="Resultado trading",S174,0))</f>
        <v/>
      </c>
      <c r="X174" s="52">
        <f>IF(OR(P174="Gasto",P174="Reembolso"),IF(M174&lt;&gt;"",M174,IFERROR(INDEX(catClasif,MATCH(D174&amp;"|"&amp;E174,catClave,0))&amp;"","Variable")),"")</f>
        <v/>
      </c>
      <c r="Y174" s="52">
        <f>IF(P174="","",IFERROR(INDEX(catGrupo,MATCH(D174&amp;"|"&amp;E174,catClave,0))&amp;"",""))</f>
        <v/>
      </c>
      <c r="Z174" s="52">
        <f>IF(P174="","",WEEKDAY(B174,2))</f>
        <v/>
      </c>
      <c r="AA174" s="52">
        <f>IF(P174="","",IF(AND(P174="Gasto",X174="Variable",D174&lt;&gt;catTrading,S174&gt;0,S174&lt;=Umbral),1,0))</f>
        <v/>
      </c>
      <c r="AB174" s="52">
        <f>IF(OR(P174="",Q174=""),"",IFERROR(IF(INDEX(ctaVinc,MATCH(Q174,ctaNombre,0))&amp;""&lt;&gt;"",INDEX(ctaVinc,MATCH(Q174,ctaNombre,0))&amp;"",Q174),Q174))</f>
        <v/>
      </c>
      <c r="AC174" s="52">
        <f>IF(OR(K174="",AND(P174&lt;&gt;"Transferencia",P174&lt;&gt;"Pago tarjeta")),"",IFERROR(IF(INDEX(ctaVinc,MATCH(K174,ctaNombre,0))&amp;""&lt;&gt;"",INDEX(ctaVinc,MATCH(K174,ctaNombre,0))&amp;"",K174),K174))</f>
        <v/>
      </c>
      <c r="AD174" s="52">
        <f>IF(AB174="","",IFERROR(INDEX(ctaTipo,MATCH(AB174,ctaNombre,0))&amp;"",""))</f>
        <v/>
      </c>
      <c r="AE174" s="52">
        <f>IF(AC174="","",IFERROR(INDEX(ctaTipo,MATCH(AC174,ctaNombre,0))&amp;"",""))</f>
        <v/>
      </c>
      <c r="AF174" s="53">
        <f>IF(OR(P174="",AB174=""),"",IF(OR(P174="Gasto",P174="Transferencia",P174="Pago tarjeta"),-1,1)*IF(IFERROR(INDEX(ctaMoneda,MATCH(AB174,ctaNombre,0))&amp;"","DOP")="USD",T174,S174))</f>
        <v/>
      </c>
      <c r="AG174" s="53">
        <f>IF(AC174="","",IF(IFERROR(INDEX(ctaMoneda,MATCH(AC174,ctaNombre,0))&amp;"","DOP")="USD",T174,S174))</f>
        <v/>
      </c>
      <c r="AH174" s="53">
        <f>IF(P174="","",IF(AND(AD174&lt;&gt;"",COUNTIFS(tcTipo,AD174,tcLiq,"Sí")&gt;0),IF(OR(P174="Gasto",P174="Transferencia",P174="Pago tarjeta"),-1,1)*S174,0)+IF(AND(AE174&lt;&gt;"",COUNTIFS(tcTipo,AE174,tcLiq,"Sí")&gt;0),S174,0))</f>
        <v/>
      </c>
      <c r="AI174" s="52">
        <f>IF(OR(L174="",P174=""),"",IF(COUNTIFS(L$6:L174,L174,P$6:P174,"?*")=1,MAX(AI$5:AI173)+1,""))</f>
        <v/>
      </c>
    </row>
    <row r="175">
      <c r="B175" s="47" t="n">
        <v>46302</v>
      </c>
      <c r="C175" s="48" t="inlineStr">
        <is>
          <t>Gasto</t>
        </is>
      </c>
      <c r="D175" s="48" t="inlineStr">
        <is>
          <t>Alimentación</t>
        </is>
      </c>
      <c r="E175" s="48" t="inlineStr">
        <is>
          <t>Bebidas, snacks y otros consumos</t>
        </is>
      </c>
      <c r="F175" s="48" t="inlineStr">
        <is>
          <t>DEMO · Snack de la tarde</t>
        </is>
      </c>
      <c r="G175" s="49" t="n">
        <v>130</v>
      </c>
      <c r="H175" s="48" t="inlineStr">
        <is>
          <t>DOP</t>
        </is>
      </c>
      <c r="I175" s="50" t="n"/>
      <c r="J175" s="48" t="inlineStr">
        <is>
          <t>Efectivo</t>
        </is>
      </c>
      <c r="K175" s="48" t="n"/>
      <c r="L175" s="48" t="inlineStr">
        <is>
          <t>Colmado del barrio</t>
        </is>
      </c>
      <c r="M175" s="48" t="n"/>
      <c r="N175" s="48" t="inlineStr">
        <is>
          <t>DEMOSTRACIÓN</t>
        </is>
      </c>
      <c r="O175" s="51">
        <f>IF(AND(B175="",G175="",C175="",D175="",J175=""),"",IF(B175="","⚠ Falta fecha",IF(G175="","⚠ Falta monto",IF(Q175="","⚠ Falta cuenta",IF(ISNA(MATCH(Q175,ctaNombre,0)),"⚠ Cuenta no registrada",IF(AND(OR(P175="Gasto",P175="Reembolso"),D175=""),"⚠ Falta categoría",IF(AND(D175&lt;&gt;"",E175&lt;&gt;"",ISNA(MATCH(D175&amp;"|"&amp;E175,catClave,0))),"⚠ Subcategoría no corresponde",IF(AND(OR(P175="Transferencia",P175="Pago tarjeta"),K175=""),"⚠ Falta cuenta destino",IF(AND(K175&lt;&gt;"",P175&lt;&gt;"Transferencia",P175&lt;&gt;"Pago tarjeta"),"⚠ Destino solo aplica a transferencias",IF(AND(K175&lt;&gt;"",K175=Q175),"⚠ Origen igual a destino",IF(AND(K175&lt;&gt;"",ISNA(MATCH(K175,ctaNombre,0))),"⚠ Destino no registrado",IF(AND(P175="Pago tarjeta",AE175&lt;&gt;"Tarjeta de crédito"),"⚠ El destino debe ser tarjeta de crédito",IF(AND(P175="Gasto",E175="Depósitos y retiros"),"⚠ Usa tipo Transferencia",IF(AND(P175="Resultado trading",AD175&lt;&gt;"Cuenta de trading"),"⚠ Usa una cuenta de trading",IF(AND(G175&lt;=0,P175&lt;&gt;"Ajuste",P175&lt;&gt;"Resultado trading"),"⚠ El monto debe ser positivo","✓")))))))))))))))</f>
        <v/>
      </c>
      <c r="P175" s="52">
        <f>IF(OR(B175="",G175=""),"",IF(C175="","Gasto",C175))</f>
        <v/>
      </c>
      <c r="Q175" s="52">
        <f>IF(P175="","",IF(J175&lt;&gt;"",J175,CuentaPred&amp;""))</f>
        <v/>
      </c>
      <c r="R175" s="52">
        <f>IF(P175="","",IF(ISNUMBER(I175),I175,TasaUSD))</f>
        <v/>
      </c>
      <c r="S175" s="53">
        <f>IF(P175="","",IF(H175="USD",G175*R175,G175))</f>
        <v/>
      </c>
      <c r="T175" s="53">
        <f>IF(P175="","",IF(H175="USD",G175,IF(R175&gt;0,G175/R175,0)))</f>
        <v/>
      </c>
      <c r="U175" s="53">
        <f>IF(P175="","",IF(P175="Gasto",S175,IF(P175="Reembolso",-S175,0)))</f>
        <v/>
      </c>
      <c r="V175" s="53">
        <f>IF(P175="","",IF(P175="Ingreso",S175,0))</f>
        <v/>
      </c>
      <c r="W175" s="53">
        <f>IF(P175="","",IF(P175="Resultado trading",S175,0))</f>
        <v/>
      </c>
      <c r="X175" s="52">
        <f>IF(OR(P175="Gasto",P175="Reembolso"),IF(M175&lt;&gt;"",M175,IFERROR(INDEX(catClasif,MATCH(D175&amp;"|"&amp;E175,catClave,0))&amp;"","Variable")),"")</f>
        <v/>
      </c>
      <c r="Y175" s="52">
        <f>IF(P175="","",IFERROR(INDEX(catGrupo,MATCH(D175&amp;"|"&amp;E175,catClave,0))&amp;"",""))</f>
        <v/>
      </c>
      <c r="Z175" s="52">
        <f>IF(P175="","",WEEKDAY(B175,2))</f>
        <v/>
      </c>
      <c r="AA175" s="52">
        <f>IF(P175="","",IF(AND(P175="Gasto",X175="Variable",D175&lt;&gt;catTrading,S175&gt;0,S175&lt;=Umbral),1,0))</f>
        <v/>
      </c>
      <c r="AB175" s="52">
        <f>IF(OR(P175="",Q175=""),"",IFERROR(IF(INDEX(ctaVinc,MATCH(Q175,ctaNombre,0))&amp;""&lt;&gt;"",INDEX(ctaVinc,MATCH(Q175,ctaNombre,0))&amp;"",Q175),Q175))</f>
        <v/>
      </c>
      <c r="AC175" s="52">
        <f>IF(OR(K175="",AND(P175&lt;&gt;"Transferencia",P175&lt;&gt;"Pago tarjeta")),"",IFERROR(IF(INDEX(ctaVinc,MATCH(K175,ctaNombre,0))&amp;""&lt;&gt;"",INDEX(ctaVinc,MATCH(K175,ctaNombre,0))&amp;"",K175),K175))</f>
        <v/>
      </c>
      <c r="AD175" s="52">
        <f>IF(AB175="","",IFERROR(INDEX(ctaTipo,MATCH(AB175,ctaNombre,0))&amp;"",""))</f>
        <v/>
      </c>
      <c r="AE175" s="52">
        <f>IF(AC175="","",IFERROR(INDEX(ctaTipo,MATCH(AC175,ctaNombre,0))&amp;"",""))</f>
        <v/>
      </c>
      <c r="AF175" s="53">
        <f>IF(OR(P175="",AB175=""),"",IF(OR(P175="Gasto",P175="Transferencia",P175="Pago tarjeta"),-1,1)*IF(IFERROR(INDEX(ctaMoneda,MATCH(AB175,ctaNombre,0))&amp;"","DOP")="USD",T175,S175))</f>
        <v/>
      </c>
      <c r="AG175" s="53">
        <f>IF(AC175="","",IF(IFERROR(INDEX(ctaMoneda,MATCH(AC175,ctaNombre,0))&amp;"","DOP")="USD",T175,S175))</f>
        <v/>
      </c>
      <c r="AH175" s="53">
        <f>IF(P175="","",IF(AND(AD175&lt;&gt;"",COUNTIFS(tcTipo,AD175,tcLiq,"Sí")&gt;0),IF(OR(P175="Gasto",P175="Transferencia",P175="Pago tarjeta"),-1,1)*S175,0)+IF(AND(AE175&lt;&gt;"",COUNTIFS(tcTipo,AE175,tcLiq,"Sí")&gt;0),S175,0))</f>
        <v/>
      </c>
      <c r="AI175" s="52">
        <f>IF(OR(L175="",P175=""),"",IF(COUNTIFS(L$6:L175,L175,P$6:P175,"?*")=1,MAX(AI$5:AI174)+1,""))</f>
        <v/>
      </c>
    </row>
    <row r="176">
      <c r="B176" s="47" t="n">
        <v>46302</v>
      </c>
      <c r="C176" s="48" t="inlineStr">
        <is>
          <t>Gasto</t>
        </is>
      </c>
      <c r="D176" s="48" t="inlineStr">
        <is>
          <t>Compras personales</t>
        </is>
      </c>
      <c r="E176" s="48" t="inlineStr">
        <is>
          <t>Cuidado personal</t>
        </is>
      </c>
      <c r="F176" s="48" t="inlineStr">
        <is>
          <t>DEMO · Barbería y productos</t>
        </is>
      </c>
      <c r="G176" s="49" t="n">
        <v>850</v>
      </c>
      <c r="H176" s="48" t="inlineStr">
        <is>
          <t>DOP</t>
        </is>
      </c>
      <c r="I176" s="50" t="n"/>
      <c r="J176" s="48" t="inlineStr">
        <is>
          <t>Efectivo</t>
        </is>
      </c>
      <c r="K176" s="48" t="n"/>
      <c r="L176" s="48" t="inlineStr">
        <is>
          <t>Barbería</t>
        </is>
      </c>
      <c r="M176" s="48" t="n"/>
      <c r="N176" s="48" t="inlineStr">
        <is>
          <t>DEMOSTRACIÓN</t>
        </is>
      </c>
      <c r="O176" s="51">
        <f>IF(AND(B176="",G176="",C176="",D176="",J176=""),"",IF(B176="","⚠ Falta fecha",IF(G176="","⚠ Falta monto",IF(Q176="","⚠ Falta cuenta",IF(ISNA(MATCH(Q176,ctaNombre,0)),"⚠ Cuenta no registrada",IF(AND(OR(P176="Gasto",P176="Reembolso"),D176=""),"⚠ Falta categoría",IF(AND(D176&lt;&gt;"",E176&lt;&gt;"",ISNA(MATCH(D176&amp;"|"&amp;E176,catClave,0))),"⚠ Subcategoría no corresponde",IF(AND(OR(P176="Transferencia",P176="Pago tarjeta"),K176=""),"⚠ Falta cuenta destino",IF(AND(K176&lt;&gt;"",P176&lt;&gt;"Transferencia",P176&lt;&gt;"Pago tarjeta"),"⚠ Destino solo aplica a transferencias",IF(AND(K176&lt;&gt;"",K176=Q176),"⚠ Origen igual a destino",IF(AND(K176&lt;&gt;"",ISNA(MATCH(K176,ctaNombre,0))),"⚠ Destino no registrado",IF(AND(P176="Pago tarjeta",AE176&lt;&gt;"Tarjeta de crédito"),"⚠ El destino debe ser tarjeta de crédito",IF(AND(P176="Gasto",E176="Depósitos y retiros"),"⚠ Usa tipo Transferencia",IF(AND(P176="Resultado trading",AD176&lt;&gt;"Cuenta de trading"),"⚠ Usa una cuenta de trading",IF(AND(G176&lt;=0,P176&lt;&gt;"Ajuste",P176&lt;&gt;"Resultado trading"),"⚠ El monto debe ser positivo","✓")))))))))))))))</f>
        <v/>
      </c>
      <c r="P176" s="52">
        <f>IF(OR(B176="",G176=""),"",IF(C176="","Gasto",C176))</f>
        <v/>
      </c>
      <c r="Q176" s="52">
        <f>IF(P176="","",IF(J176&lt;&gt;"",J176,CuentaPred&amp;""))</f>
        <v/>
      </c>
      <c r="R176" s="52">
        <f>IF(P176="","",IF(ISNUMBER(I176),I176,TasaUSD))</f>
        <v/>
      </c>
      <c r="S176" s="53">
        <f>IF(P176="","",IF(H176="USD",G176*R176,G176))</f>
        <v/>
      </c>
      <c r="T176" s="53">
        <f>IF(P176="","",IF(H176="USD",G176,IF(R176&gt;0,G176/R176,0)))</f>
        <v/>
      </c>
      <c r="U176" s="53">
        <f>IF(P176="","",IF(P176="Gasto",S176,IF(P176="Reembolso",-S176,0)))</f>
        <v/>
      </c>
      <c r="V176" s="53">
        <f>IF(P176="","",IF(P176="Ingreso",S176,0))</f>
        <v/>
      </c>
      <c r="W176" s="53">
        <f>IF(P176="","",IF(P176="Resultado trading",S176,0))</f>
        <v/>
      </c>
      <c r="X176" s="52">
        <f>IF(OR(P176="Gasto",P176="Reembolso"),IF(M176&lt;&gt;"",M176,IFERROR(INDEX(catClasif,MATCH(D176&amp;"|"&amp;E176,catClave,0))&amp;"","Variable")),"")</f>
        <v/>
      </c>
      <c r="Y176" s="52">
        <f>IF(P176="","",IFERROR(INDEX(catGrupo,MATCH(D176&amp;"|"&amp;E176,catClave,0))&amp;"",""))</f>
        <v/>
      </c>
      <c r="Z176" s="52">
        <f>IF(P176="","",WEEKDAY(B176,2))</f>
        <v/>
      </c>
      <c r="AA176" s="52">
        <f>IF(P176="","",IF(AND(P176="Gasto",X176="Variable",D176&lt;&gt;catTrading,S176&gt;0,S176&lt;=Umbral),1,0))</f>
        <v/>
      </c>
      <c r="AB176" s="52">
        <f>IF(OR(P176="",Q176=""),"",IFERROR(IF(INDEX(ctaVinc,MATCH(Q176,ctaNombre,0))&amp;""&lt;&gt;"",INDEX(ctaVinc,MATCH(Q176,ctaNombre,0))&amp;"",Q176),Q176))</f>
        <v/>
      </c>
      <c r="AC176" s="52">
        <f>IF(OR(K176="",AND(P176&lt;&gt;"Transferencia",P176&lt;&gt;"Pago tarjeta")),"",IFERROR(IF(INDEX(ctaVinc,MATCH(K176,ctaNombre,0))&amp;""&lt;&gt;"",INDEX(ctaVinc,MATCH(K176,ctaNombre,0))&amp;"",K176),K176))</f>
        <v/>
      </c>
      <c r="AD176" s="52">
        <f>IF(AB176="","",IFERROR(INDEX(ctaTipo,MATCH(AB176,ctaNombre,0))&amp;"",""))</f>
        <v/>
      </c>
      <c r="AE176" s="52">
        <f>IF(AC176="","",IFERROR(INDEX(ctaTipo,MATCH(AC176,ctaNombre,0))&amp;"",""))</f>
        <v/>
      </c>
      <c r="AF176" s="53">
        <f>IF(OR(P176="",AB176=""),"",IF(OR(P176="Gasto",P176="Transferencia",P176="Pago tarjeta"),-1,1)*IF(IFERROR(INDEX(ctaMoneda,MATCH(AB176,ctaNombre,0))&amp;"","DOP")="USD",T176,S176))</f>
        <v/>
      </c>
      <c r="AG176" s="53">
        <f>IF(AC176="","",IF(IFERROR(INDEX(ctaMoneda,MATCH(AC176,ctaNombre,0))&amp;"","DOP")="USD",T176,S176))</f>
        <v/>
      </c>
      <c r="AH176" s="53">
        <f>IF(P176="","",IF(AND(AD176&lt;&gt;"",COUNTIFS(tcTipo,AD176,tcLiq,"Sí")&gt;0),IF(OR(P176="Gasto",P176="Transferencia",P176="Pago tarjeta"),-1,1)*S176,0)+IF(AND(AE176&lt;&gt;"",COUNTIFS(tcTipo,AE176,tcLiq,"Sí")&gt;0),S176,0))</f>
        <v/>
      </c>
      <c r="AI176" s="52">
        <f>IF(OR(L176="",P176=""),"",IF(COUNTIFS(L$6:L176,L176,P$6:P176,"?*")=1,MAX(AI$5:AI175)+1,""))</f>
        <v/>
      </c>
    </row>
    <row r="177">
      <c r="B177" s="47" t="n">
        <v>46303</v>
      </c>
      <c r="C177" s="48" t="inlineStr">
        <is>
          <t>Gasto</t>
        </is>
      </c>
      <c r="D177" s="48" t="inlineStr">
        <is>
          <t>Alimentación</t>
        </is>
      </c>
      <c r="E177" s="48" t="inlineStr">
        <is>
          <t>Almuerzos laborales</t>
        </is>
      </c>
      <c r="F177" s="48" t="inlineStr">
        <is>
          <t>DEMO · Almuerzo laboral</t>
        </is>
      </c>
      <c r="G177" s="49" t="n">
        <v>375</v>
      </c>
      <c r="H177" s="48" t="inlineStr">
        <is>
          <t>DOP</t>
        </is>
      </c>
      <c r="I177" s="50" t="n"/>
      <c r="J177" s="48" t="inlineStr">
        <is>
          <t>Billetera digital</t>
        </is>
      </c>
      <c r="K177" s="48" t="n"/>
      <c r="L177" s="48" t="inlineStr">
        <is>
          <t>Comedor ejecutivo</t>
        </is>
      </c>
      <c r="M177" s="48" t="n"/>
      <c r="N177" s="48" t="inlineStr">
        <is>
          <t>DEMOSTRACIÓN</t>
        </is>
      </c>
      <c r="O177" s="51">
        <f>IF(AND(B177="",G177="",C177="",D177="",J177=""),"",IF(B177="","⚠ Falta fecha",IF(G177="","⚠ Falta monto",IF(Q177="","⚠ Falta cuenta",IF(ISNA(MATCH(Q177,ctaNombre,0)),"⚠ Cuenta no registrada",IF(AND(OR(P177="Gasto",P177="Reembolso"),D177=""),"⚠ Falta categoría",IF(AND(D177&lt;&gt;"",E177&lt;&gt;"",ISNA(MATCH(D177&amp;"|"&amp;E177,catClave,0))),"⚠ Subcategoría no corresponde",IF(AND(OR(P177="Transferencia",P177="Pago tarjeta"),K177=""),"⚠ Falta cuenta destino",IF(AND(K177&lt;&gt;"",P177&lt;&gt;"Transferencia",P177&lt;&gt;"Pago tarjeta"),"⚠ Destino solo aplica a transferencias",IF(AND(K177&lt;&gt;"",K177=Q177),"⚠ Origen igual a destino",IF(AND(K177&lt;&gt;"",ISNA(MATCH(K177,ctaNombre,0))),"⚠ Destino no registrado",IF(AND(P177="Pago tarjeta",AE177&lt;&gt;"Tarjeta de crédito"),"⚠ El destino debe ser tarjeta de crédito",IF(AND(P177="Gasto",E177="Depósitos y retiros"),"⚠ Usa tipo Transferencia",IF(AND(P177="Resultado trading",AD177&lt;&gt;"Cuenta de trading"),"⚠ Usa una cuenta de trading",IF(AND(G177&lt;=0,P177&lt;&gt;"Ajuste",P177&lt;&gt;"Resultado trading"),"⚠ El monto debe ser positivo","✓")))))))))))))))</f>
        <v/>
      </c>
      <c r="P177" s="52">
        <f>IF(OR(B177="",G177=""),"",IF(C177="","Gasto",C177))</f>
        <v/>
      </c>
      <c r="Q177" s="52">
        <f>IF(P177="","",IF(J177&lt;&gt;"",J177,CuentaPred&amp;""))</f>
        <v/>
      </c>
      <c r="R177" s="52">
        <f>IF(P177="","",IF(ISNUMBER(I177),I177,TasaUSD))</f>
        <v/>
      </c>
      <c r="S177" s="53">
        <f>IF(P177="","",IF(H177="USD",G177*R177,G177))</f>
        <v/>
      </c>
      <c r="T177" s="53">
        <f>IF(P177="","",IF(H177="USD",G177,IF(R177&gt;0,G177/R177,0)))</f>
        <v/>
      </c>
      <c r="U177" s="53">
        <f>IF(P177="","",IF(P177="Gasto",S177,IF(P177="Reembolso",-S177,0)))</f>
        <v/>
      </c>
      <c r="V177" s="53">
        <f>IF(P177="","",IF(P177="Ingreso",S177,0))</f>
        <v/>
      </c>
      <c r="W177" s="53">
        <f>IF(P177="","",IF(P177="Resultado trading",S177,0))</f>
        <v/>
      </c>
      <c r="X177" s="52">
        <f>IF(OR(P177="Gasto",P177="Reembolso"),IF(M177&lt;&gt;"",M177,IFERROR(INDEX(catClasif,MATCH(D177&amp;"|"&amp;E177,catClave,0))&amp;"","Variable")),"")</f>
        <v/>
      </c>
      <c r="Y177" s="52">
        <f>IF(P177="","",IFERROR(INDEX(catGrupo,MATCH(D177&amp;"|"&amp;E177,catClave,0))&amp;"",""))</f>
        <v/>
      </c>
      <c r="Z177" s="52">
        <f>IF(P177="","",WEEKDAY(B177,2))</f>
        <v/>
      </c>
      <c r="AA177" s="52">
        <f>IF(P177="","",IF(AND(P177="Gasto",X177="Variable",D177&lt;&gt;catTrading,S177&gt;0,S177&lt;=Umbral),1,0))</f>
        <v/>
      </c>
      <c r="AB177" s="52">
        <f>IF(OR(P177="",Q177=""),"",IFERROR(IF(INDEX(ctaVinc,MATCH(Q177,ctaNombre,0))&amp;""&lt;&gt;"",INDEX(ctaVinc,MATCH(Q177,ctaNombre,0))&amp;"",Q177),Q177))</f>
        <v/>
      </c>
      <c r="AC177" s="52">
        <f>IF(OR(K177="",AND(P177&lt;&gt;"Transferencia",P177&lt;&gt;"Pago tarjeta")),"",IFERROR(IF(INDEX(ctaVinc,MATCH(K177,ctaNombre,0))&amp;""&lt;&gt;"",INDEX(ctaVinc,MATCH(K177,ctaNombre,0))&amp;"",K177),K177))</f>
        <v/>
      </c>
      <c r="AD177" s="52">
        <f>IF(AB177="","",IFERROR(INDEX(ctaTipo,MATCH(AB177,ctaNombre,0))&amp;"",""))</f>
        <v/>
      </c>
      <c r="AE177" s="52">
        <f>IF(AC177="","",IFERROR(INDEX(ctaTipo,MATCH(AC177,ctaNombre,0))&amp;"",""))</f>
        <v/>
      </c>
      <c r="AF177" s="53">
        <f>IF(OR(P177="",AB177=""),"",IF(OR(P177="Gasto",P177="Transferencia",P177="Pago tarjeta"),-1,1)*IF(IFERROR(INDEX(ctaMoneda,MATCH(AB177,ctaNombre,0))&amp;"","DOP")="USD",T177,S177))</f>
        <v/>
      </c>
      <c r="AG177" s="53">
        <f>IF(AC177="","",IF(IFERROR(INDEX(ctaMoneda,MATCH(AC177,ctaNombre,0))&amp;"","DOP")="USD",T177,S177))</f>
        <v/>
      </c>
      <c r="AH177" s="53">
        <f>IF(P177="","",IF(AND(AD177&lt;&gt;"",COUNTIFS(tcTipo,AD177,tcLiq,"Sí")&gt;0),IF(OR(P177="Gasto",P177="Transferencia",P177="Pago tarjeta"),-1,1)*S177,0)+IF(AND(AE177&lt;&gt;"",COUNTIFS(tcTipo,AE177,tcLiq,"Sí")&gt;0),S177,0))</f>
        <v/>
      </c>
      <c r="AI177" s="52">
        <f>IF(OR(L177="",P177=""),"",IF(COUNTIFS(L$6:L177,L177,P$6:P177,"?*")=1,MAX(AI$5:AI176)+1,""))</f>
        <v/>
      </c>
    </row>
    <row r="178">
      <c r="B178" s="47" t="n">
        <v>46303</v>
      </c>
      <c r="C178" s="48" t="inlineStr">
        <is>
          <t>Gasto</t>
        </is>
      </c>
      <c r="D178" s="48" t="inlineStr">
        <is>
          <t>Alimentación</t>
        </is>
      </c>
      <c r="E178" s="48" t="inlineStr">
        <is>
          <t>Bebidas, snacks y otros consumos</t>
        </is>
      </c>
      <c r="F178" s="48" t="inlineStr">
        <is>
          <t>DEMO · Snack de la tarde</t>
        </is>
      </c>
      <c r="G178" s="49" t="n">
        <v>190</v>
      </c>
      <c r="H178" s="48" t="inlineStr">
        <is>
          <t>DOP</t>
        </is>
      </c>
      <c r="I178" s="50" t="n"/>
      <c r="J178" s="48" t="inlineStr">
        <is>
          <t>Billetera digital</t>
        </is>
      </c>
      <c r="K178" s="48" t="n"/>
      <c r="L178" s="48" t="inlineStr">
        <is>
          <t>Colmado del barrio</t>
        </is>
      </c>
      <c r="M178" s="48" t="n"/>
      <c r="N178" s="48" t="inlineStr">
        <is>
          <t>DEMOSTRACIÓN</t>
        </is>
      </c>
      <c r="O178" s="51">
        <f>IF(AND(B178="",G178="",C178="",D178="",J178=""),"",IF(B178="","⚠ Falta fecha",IF(G178="","⚠ Falta monto",IF(Q178="","⚠ Falta cuenta",IF(ISNA(MATCH(Q178,ctaNombre,0)),"⚠ Cuenta no registrada",IF(AND(OR(P178="Gasto",P178="Reembolso"),D178=""),"⚠ Falta categoría",IF(AND(D178&lt;&gt;"",E178&lt;&gt;"",ISNA(MATCH(D178&amp;"|"&amp;E178,catClave,0))),"⚠ Subcategoría no corresponde",IF(AND(OR(P178="Transferencia",P178="Pago tarjeta"),K178=""),"⚠ Falta cuenta destino",IF(AND(K178&lt;&gt;"",P178&lt;&gt;"Transferencia",P178&lt;&gt;"Pago tarjeta"),"⚠ Destino solo aplica a transferencias",IF(AND(K178&lt;&gt;"",K178=Q178),"⚠ Origen igual a destino",IF(AND(K178&lt;&gt;"",ISNA(MATCH(K178,ctaNombre,0))),"⚠ Destino no registrado",IF(AND(P178="Pago tarjeta",AE178&lt;&gt;"Tarjeta de crédito"),"⚠ El destino debe ser tarjeta de crédito",IF(AND(P178="Gasto",E178="Depósitos y retiros"),"⚠ Usa tipo Transferencia",IF(AND(P178="Resultado trading",AD178&lt;&gt;"Cuenta de trading"),"⚠ Usa una cuenta de trading",IF(AND(G178&lt;=0,P178&lt;&gt;"Ajuste",P178&lt;&gt;"Resultado trading"),"⚠ El monto debe ser positivo","✓")))))))))))))))</f>
        <v/>
      </c>
      <c r="P178" s="52">
        <f>IF(OR(B178="",G178=""),"",IF(C178="","Gasto",C178))</f>
        <v/>
      </c>
      <c r="Q178" s="52">
        <f>IF(P178="","",IF(J178&lt;&gt;"",J178,CuentaPred&amp;""))</f>
        <v/>
      </c>
      <c r="R178" s="52">
        <f>IF(P178="","",IF(ISNUMBER(I178),I178,TasaUSD))</f>
        <v/>
      </c>
      <c r="S178" s="53">
        <f>IF(P178="","",IF(H178="USD",G178*R178,G178))</f>
        <v/>
      </c>
      <c r="T178" s="53">
        <f>IF(P178="","",IF(H178="USD",G178,IF(R178&gt;0,G178/R178,0)))</f>
        <v/>
      </c>
      <c r="U178" s="53">
        <f>IF(P178="","",IF(P178="Gasto",S178,IF(P178="Reembolso",-S178,0)))</f>
        <v/>
      </c>
      <c r="V178" s="53">
        <f>IF(P178="","",IF(P178="Ingreso",S178,0))</f>
        <v/>
      </c>
      <c r="W178" s="53">
        <f>IF(P178="","",IF(P178="Resultado trading",S178,0))</f>
        <v/>
      </c>
      <c r="X178" s="52">
        <f>IF(OR(P178="Gasto",P178="Reembolso"),IF(M178&lt;&gt;"",M178,IFERROR(INDEX(catClasif,MATCH(D178&amp;"|"&amp;E178,catClave,0))&amp;"","Variable")),"")</f>
        <v/>
      </c>
      <c r="Y178" s="52">
        <f>IF(P178="","",IFERROR(INDEX(catGrupo,MATCH(D178&amp;"|"&amp;E178,catClave,0))&amp;"",""))</f>
        <v/>
      </c>
      <c r="Z178" s="52">
        <f>IF(P178="","",WEEKDAY(B178,2))</f>
        <v/>
      </c>
      <c r="AA178" s="52">
        <f>IF(P178="","",IF(AND(P178="Gasto",X178="Variable",D178&lt;&gt;catTrading,S178&gt;0,S178&lt;=Umbral),1,0))</f>
        <v/>
      </c>
      <c r="AB178" s="52">
        <f>IF(OR(P178="",Q178=""),"",IFERROR(IF(INDEX(ctaVinc,MATCH(Q178,ctaNombre,0))&amp;""&lt;&gt;"",INDEX(ctaVinc,MATCH(Q178,ctaNombre,0))&amp;"",Q178),Q178))</f>
        <v/>
      </c>
      <c r="AC178" s="52">
        <f>IF(OR(K178="",AND(P178&lt;&gt;"Transferencia",P178&lt;&gt;"Pago tarjeta")),"",IFERROR(IF(INDEX(ctaVinc,MATCH(K178,ctaNombre,0))&amp;""&lt;&gt;"",INDEX(ctaVinc,MATCH(K178,ctaNombre,0))&amp;"",K178),K178))</f>
        <v/>
      </c>
      <c r="AD178" s="52">
        <f>IF(AB178="","",IFERROR(INDEX(ctaTipo,MATCH(AB178,ctaNombre,0))&amp;"",""))</f>
        <v/>
      </c>
      <c r="AE178" s="52">
        <f>IF(AC178="","",IFERROR(INDEX(ctaTipo,MATCH(AC178,ctaNombre,0))&amp;"",""))</f>
        <v/>
      </c>
      <c r="AF178" s="53">
        <f>IF(OR(P178="",AB178=""),"",IF(OR(P178="Gasto",P178="Transferencia",P178="Pago tarjeta"),-1,1)*IF(IFERROR(INDEX(ctaMoneda,MATCH(AB178,ctaNombre,0))&amp;"","DOP")="USD",T178,S178))</f>
        <v/>
      </c>
      <c r="AG178" s="53">
        <f>IF(AC178="","",IF(IFERROR(INDEX(ctaMoneda,MATCH(AC178,ctaNombre,0))&amp;"","DOP")="USD",T178,S178))</f>
        <v/>
      </c>
      <c r="AH178" s="53">
        <f>IF(P178="","",IF(AND(AD178&lt;&gt;"",COUNTIFS(tcTipo,AD178,tcLiq,"Sí")&gt;0),IF(OR(P178="Gasto",P178="Transferencia",P178="Pago tarjeta"),-1,1)*S178,0)+IF(AND(AE178&lt;&gt;"",COUNTIFS(tcTipo,AE178,tcLiq,"Sí")&gt;0),S178,0))</f>
        <v/>
      </c>
      <c r="AI178" s="52">
        <f>IF(OR(L178="",P178=""),"",IF(COUNTIFS(L$6:L178,L178,P$6:P178,"?*")=1,MAX(AI$5:AI177)+1,""))</f>
        <v/>
      </c>
    </row>
    <row r="179">
      <c r="B179" s="47" t="n">
        <v>46303</v>
      </c>
      <c r="C179" s="48" t="inlineStr">
        <is>
          <t>Gasto</t>
        </is>
      </c>
      <c r="D179" s="48" t="inlineStr">
        <is>
          <t>Transporte y vehículo</t>
        </is>
      </c>
      <c r="E179" s="48" t="inlineStr">
        <is>
          <t>Parqueos y peajes</t>
        </is>
      </c>
      <c r="F179" s="48" t="inlineStr">
        <is>
          <t>DEMO · Parqueo</t>
        </is>
      </c>
      <c r="G179" s="49" t="n">
        <v>100</v>
      </c>
      <c r="H179" s="48" t="inlineStr">
        <is>
          <t>DOP</t>
        </is>
      </c>
      <c r="I179" s="50" t="n"/>
      <c r="J179" s="48" t="inlineStr">
        <is>
          <t>Efectivo</t>
        </is>
      </c>
      <c r="K179" s="48" t="n"/>
      <c r="L179" s="48" t="inlineStr">
        <is>
          <t>Parqueo centro</t>
        </is>
      </c>
      <c r="M179" s="48" t="n"/>
      <c r="N179" s="48" t="inlineStr">
        <is>
          <t>DEMOSTRACIÓN</t>
        </is>
      </c>
      <c r="O179" s="51">
        <f>IF(AND(B179="",G179="",C179="",D179="",J179=""),"",IF(B179="","⚠ Falta fecha",IF(G179="","⚠ Falta monto",IF(Q179="","⚠ Falta cuenta",IF(ISNA(MATCH(Q179,ctaNombre,0)),"⚠ Cuenta no registrada",IF(AND(OR(P179="Gasto",P179="Reembolso"),D179=""),"⚠ Falta categoría",IF(AND(D179&lt;&gt;"",E179&lt;&gt;"",ISNA(MATCH(D179&amp;"|"&amp;E179,catClave,0))),"⚠ Subcategoría no corresponde",IF(AND(OR(P179="Transferencia",P179="Pago tarjeta"),K179=""),"⚠ Falta cuenta destino",IF(AND(K179&lt;&gt;"",P179&lt;&gt;"Transferencia",P179&lt;&gt;"Pago tarjeta"),"⚠ Destino solo aplica a transferencias",IF(AND(K179&lt;&gt;"",K179=Q179),"⚠ Origen igual a destino",IF(AND(K179&lt;&gt;"",ISNA(MATCH(K179,ctaNombre,0))),"⚠ Destino no registrado",IF(AND(P179="Pago tarjeta",AE179&lt;&gt;"Tarjeta de crédito"),"⚠ El destino debe ser tarjeta de crédito",IF(AND(P179="Gasto",E179="Depósitos y retiros"),"⚠ Usa tipo Transferencia",IF(AND(P179="Resultado trading",AD179&lt;&gt;"Cuenta de trading"),"⚠ Usa una cuenta de trading",IF(AND(G179&lt;=0,P179&lt;&gt;"Ajuste",P179&lt;&gt;"Resultado trading"),"⚠ El monto debe ser positivo","✓")))))))))))))))</f>
        <v/>
      </c>
      <c r="P179" s="52">
        <f>IF(OR(B179="",G179=""),"",IF(C179="","Gasto",C179))</f>
        <v/>
      </c>
      <c r="Q179" s="52">
        <f>IF(P179="","",IF(J179&lt;&gt;"",J179,CuentaPred&amp;""))</f>
        <v/>
      </c>
      <c r="R179" s="52">
        <f>IF(P179="","",IF(ISNUMBER(I179),I179,TasaUSD))</f>
        <v/>
      </c>
      <c r="S179" s="53">
        <f>IF(P179="","",IF(H179="USD",G179*R179,G179))</f>
        <v/>
      </c>
      <c r="T179" s="53">
        <f>IF(P179="","",IF(H179="USD",G179,IF(R179&gt;0,G179/R179,0)))</f>
        <v/>
      </c>
      <c r="U179" s="53">
        <f>IF(P179="","",IF(P179="Gasto",S179,IF(P179="Reembolso",-S179,0)))</f>
        <v/>
      </c>
      <c r="V179" s="53">
        <f>IF(P179="","",IF(P179="Ingreso",S179,0))</f>
        <v/>
      </c>
      <c r="W179" s="53">
        <f>IF(P179="","",IF(P179="Resultado trading",S179,0))</f>
        <v/>
      </c>
      <c r="X179" s="52">
        <f>IF(OR(P179="Gasto",P179="Reembolso"),IF(M179&lt;&gt;"",M179,IFERROR(INDEX(catClasif,MATCH(D179&amp;"|"&amp;E179,catClave,0))&amp;"","Variable")),"")</f>
        <v/>
      </c>
      <c r="Y179" s="52">
        <f>IF(P179="","",IFERROR(INDEX(catGrupo,MATCH(D179&amp;"|"&amp;E179,catClave,0))&amp;"",""))</f>
        <v/>
      </c>
      <c r="Z179" s="52">
        <f>IF(P179="","",WEEKDAY(B179,2))</f>
        <v/>
      </c>
      <c r="AA179" s="52">
        <f>IF(P179="","",IF(AND(P179="Gasto",X179="Variable",D179&lt;&gt;catTrading,S179&gt;0,S179&lt;=Umbral),1,0))</f>
        <v/>
      </c>
      <c r="AB179" s="52">
        <f>IF(OR(P179="",Q179=""),"",IFERROR(IF(INDEX(ctaVinc,MATCH(Q179,ctaNombre,0))&amp;""&lt;&gt;"",INDEX(ctaVinc,MATCH(Q179,ctaNombre,0))&amp;"",Q179),Q179))</f>
        <v/>
      </c>
      <c r="AC179" s="52">
        <f>IF(OR(K179="",AND(P179&lt;&gt;"Transferencia",P179&lt;&gt;"Pago tarjeta")),"",IFERROR(IF(INDEX(ctaVinc,MATCH(K179,ctaNombre,0))&amp;""&lt;&gt;"",INDEX(ctaVinc,MATCH(K179,ctaNombre,0))&amp;"",K179),K179))</f>
        <v/>
      </c>
      <c r="AD179" s="52">
        <f>IF(AB179="","",IFERROR(INDEX(ctaTipo,MATCH(AB179,ctaNombre,0))&amp;"",""))</f>
        <v/>
      </c>
      <c r="AE179" s="52">
        <f>IF(AC179="","",IFERROR(INDEX(ctaTipo,MATCH(AC179,ctaNombre,0))&amp;"",""))</f>
        <v/>
      </c>
      <c r="AF179" s="53">
        <f>IF(OR(P179="",AB179=""),"",IF(OR(P179="Gasto",P179="Transferencia",P179="Pago tarjeta"),-1,1)*IF(IFERROR(INDEX(ctaMoneda,MATCH(AB179,ctaNombre,0))&amp;"","DOP")="USD",T179,S179))</f>
        <v/>
      </c>
      <c r="AG179" s="53">
        <f>IF(AC179="","",IF(IFERROR(INDEX(ctaMoneda,MATCH(AC179,ctaNombre,0))&amp;"","DOP")="USD",T179,S179))</f>
        <v/>
      </c>
      <c r="AH179" s="53">
        <f>IF(P179="","",IF(AND(AD179&lt;&gt;"",COUNTIFS(tcTipo,AD179,tcLiq,"Sí")&gt;0),IF(OR(P179="Gasto",P179="Transferencia",P179="Pago tarjeta"),-1,1)*S179,0)+IF(AND(AE179&lt;&gt;"",COUNTIFS(tcTipo,AE179,tcLiq,"Sí")&gt;0),S179,0))</f>
        <v/>
      </c>
      <c r="AI179" s="52">
        <f>IF(OR(L179="",P179=""),"",IF(COUNTIFS(L$6:L179,L179,P$6:P179,"?*")=1,MAX(AI$5:AI178)+1,""))</f>
        <v/>
      </c>
    </row>
    <row r="180">
      <c r="B180" s="47" t="n">
        <v>46303</v>
      </c>
      <c r="C180" s="48" t="inlineStr">
        <is>
          <t>Gasto</t>
        </is>
      </c>
      <c r="D180" s="48" t="inlineStr">
        <is>
          <t>Salud</t>
        </is>
      </c>
      <c r="E180" s="48" t="inlineStr">
        <is>
          <t>Gimnasio y bienestar</t>
        </is>
      </c>
      <c r="F180" s="48" t="inlineStr">
        <is>
          <t>DEMO · Mensualidad gimnasio</t>
        </is>
      </c>
      <c r="G180" s="49" t="n">
        <v>2500</v>
      </c>
      <c r="H180" s="48" t="inlineStr">
        <is>
          <t>DOP</t>
        </is>
      </c>
      <c r="I180" s="50" t="n"/>
      <c r="J180" s="48" t="inlineStr">
        <is>
          <t>Tarjeta de crédito</t>
        </is>
      </c>
      <c r="K180" s="48" t="n"/>
      <c r="L180" s="48" t="inlineStr">
        <is>
          <t>Gimnasio</t>
        </is>
      </c>
      <c r="M180" s="48" t="n"/>
      <c r="N180" s="48" t="inlineStr">
        <is>
          <t>DEMOSTRACIÓN</t>
        </is>
      </c>
      <c r="O180" s="51">
        <f>IF(AND(B180="",G180="",C180="",D180="",J180=""),"",IF(B180="","⚠ Falta fecha",IF(G180="","⚠ Falta monto",IF(Q180="","⚠ Falta cuenta",IF(ISNA(MATCH(Q180,ctaNombre,0)),"⚠ Cuenta no registrada",IF(AND(OR(P180="Gasto",P180="Reembolso"),D180=""),"⚠ Falta categoría",IF(AND(D180&lt;&gt;"",E180&lt;&gt;"",ISNA(MATCH(D180&amp;"|"&amp;E180,catClave,0))),"⚠ Subcategoría no corresponde",IF(AND(OR(P180="Transferencia",P180="Pago tarjeta"),K180=""),"⚠ Falta cuenta destino",IF(AND(K180&lt;&gt;"",P180&lt;&gt;"Transferencia",P180&lt;&gt;"Pago tarjeta"),"⚠ Destino solo aplica a transferencias",IF(AND(K180&lt;&gt;"",K180=Q180),"⚠ Origen igual a destino",IF(AND(K180&lt;&gt;"",ISNA(MATCH(K180,ctaNombre,0))),"⚠ Destino no registrado",IF(AND(P180="Pago tarjeta",AE180&lt;&gt;"Tarjeta de crédito"),"⚠ El destino debe ser tarjeta de crédito",IF(AND(P180="Gasto",E180="Depósitos y retiros"),"⚠ Usa tipo Transferencia",IF(AND(P180="Resultado trading",AD180&lt;&gt;"Cuenta de trading"),"⚠ Usa una cuenta de trading",IF(AND(G180&lt;=0,P180&lt;&gt;"Ajuste",P180&lt;&gt;"Resultado trading"),"⚠ El monto debe ser positivo","✓")))))))))))))))</f>
        <v/>
      </c>
      <c r="P180" s="52">
        <f>IF(OR(B180="",G180=""),"",IF(C180="","Gasto",C180))</f>
        <v/>
      </c>
      <c r="Q180" s="52">
        <f>IF(P180="","",IF(J180&lt;&gt;"",J180,CuentaPred&amp;""))</f>
        <v/>
      </c>
      <c r="R180" s="52">
        <f>IF(P180="","",IF(ISNUMBER(I180),I180,TasaUSD))</f>
        <v/>
      </c>
      <c r="S180" s="53">
        <f>IF(P180="","",IF(H180="USD",G180*R180,G180))</f>
        <v/>
      </c>
      <c r="T180" s="53">
        <f>IF(P180="","",IF(H180="USD",G180,IF(R180&gt;0,G180/R180,0)))</f>
        <v/>
      </c>
      <c r="U180" s="53">
        <f>IF(P180="","",IF(P180="Gasto",S180,IF(P180="Reembolso",-S180,0)))</f>
        <v/>
      </c>
      <c r="V180" s="53">
        <f>IF(P180="","",IF(P180="Ingreso",S180,0))</f>
        <v/>
      </c>
      <c r="W180" s="53">
        <f>IF(P180="","",IF(P180="Resultado trading",S180,0))</f>
        <v/>
      </c>
      <c r="X180" s="52">
        <f>IF(OR(P180="Gasto",P180="Reembolso"),IF(M180&lt;&gt;"",M180,IFERROR(INDEX(catClasif,MATCH(D180&amp;"|"&amp;E180,catClave,0))&amp;"","Variable")),"")</f>
        <v/>
      </c>
      <c r="Y180" s="52">
        <f>IF(P180="","",IFERROR(INDEX(catGrupo,MATCH(D180&amp;"|"&amp;E180,catClave,0))&amp;"",""))</f>
        <v/>
      </c>
      <c r="Z180" s="52">
        <f>IF(P180="","",WEEKDAY(B180,2))</f>
        <v/>
      </c>
      <c r="AA180" s="52">
        <f>IF(P180="","",IF(AND(P180="Gasto",X180="Variable",D180&lt;&gt;catTrading,S180&gt;0,S180&lt;=Umbral),1,0))</f>
        <v/>
      </c>
      <c r="AB180" s="52">
        <f>IF(OR(P180="",Q180=""),"",IFERROR(IF(INDEX(ctaVinc,MATCH(Q180,ctaNombre,0))&amp;""&lt;&gt;"",INDEX(ctaVinc,MATCH(Q180,ctaNombre,0))&amp;"",Q180),Q180))</f>
        <v/>
      </c>
      <c r="AC180" s="52">
        <f>IF(OR(K180="",AND(P180&lt;&gt;"Transferencia",P180&lt;&gt;"Pago tarjeta")),"",IFERROR(IF(INDEX(ctaVinc,MATCH(K180,ctaNombre,0))&amp;""&lt;&gt;"",INDEX(ctaVinc,MATCH(K180,ctaNombre,0))&amp;"",K180),K180))</f>
        <v/>
      </c>
      <c r="AD180" s="52">
        <f>IF(AB180="","",IFERROR(INDEX(ctaTipo,MATCH(AB180,ctaNombre,0))&amp;"",""))</f>
        <v/>
      </c>
      <c r="AE180" s="52">
        <f>IF(AC180="","",IFERROR(INDEX(ctaTipo,MATCH(AC180,ctaNombre,0))&amp;"",""))</f>
        <v/>
      </c>
      <c r="AF180" s="53">
        <f>IF(OR(P180="",AB180=""),"",IF(OR(P180="Gasto",P180="Transferencia",P180="Pago tarjeta"),-1,1)*IF(IFERROR(INDEX(ctaMoneda,MATCH(AB180,ctaNombre,0))&amp;"","DOP")="USD",T180,S180))</f>
        <v/>
      </c>
      <c r="AG180" s="53">
        <f>IF(AC180="","",IF(IFERROR(INDEX(ctaMoneda,MATCH(AC180,ctaNombre,0))&amp;"","DOP")="USD",T180,S180))</f>
        <v/>
      </c>
      <c r="AH180" s="53">
        <f>IF(P180="","",IF(AND(AD180&lt;&gt;"",COUNTIFS(tcTipo,AD180,tcLiq,"Sí")&gt;0),IF(OR(P180="Gasto",P180="Transferencia",P180="Pago tarjeta"),-1,1)*S180,0)+IF(AND(AE180&lt;&gt;"",COUNTIFS(tcTipo,AE180,tcLiq,"Sí")&gt;0),S180,0))</f>
        <v/>
      </c>
      <c r="AI180" s="52">
        <f>IF(OR(L180="",P180=""),"",IF(COUNTIFS(L$6:L180,L180,P$6:P180,"?*")=1,MAX(AI$5:AI179)+1,""))</f>
        <v/>
      </c>
    </row>
    <row r="181">
      <c r="B181" s="47" t="n">
        <v>46303</v>
      </c>
      <c r="C181" s="48" t="inlineStr">
        <is>
          <t>Resultado trading</t>
        </is>
      </c>
      <c r="D181" s="48" t="inlineStr">
        <is>
          <t>Trading y actividades financieras</t>
        </is>
      </c>
      <c r="E181" s="48" t="inlineStr">
        <is>
          <t>Ganancias y pérdidas realizadas</t>
        </is>
      </c>
      <c r="F181" s="48" t="inlineStr">
        <is>
          <t>DEMO · Ganancia realizada</t>
        </is>
      </c>
      <c r="G181" s="49" t="n">
        <v>95</v>
      </c>
      <c r="H181" s="48" t="inlineStr">
        <is>
          <t>USD</t>
        </is>
      </c>
      <c r="I181" s="50" t="n"/>
      <c r="J181" s="48" t="inlineStr">
        <is>
          <t>Cuenta de trading</t>
        </is>
      </c>
      <c r="K181" s="48" t="n"/>
      <c r="L181" s="48" t="n"/>
      <c r="M181" s="48" t="n"/>
      <c r="N181" s="48" t="inlineStr">
        <is>
          <t>DEMOSTRACIÓN</t>
        </is>
      </c>
      <c r="O181" s="51">
        <f>IF(AND(B181="",G181="",C181="",D181="",J181=""),"",IF(B181="","⚠ Falta fecha",IF(G181="","⚠ Falta monto",IF(Q181="","⚠ Falta cuenta",IF(ISNA(MATCH(Q181,ctaNombre,0)),"⚠ Cuenta no registrada",IF(AND(OR(P181="Gasto",P181="Reembolso"),D181=""),"⚠ Falta categoría",IF(AND(D181&lt;&gt;"",E181&lt;&gt;"",ISNA(MATCH(D181&amp;"|"&amp;E181,catClave,0))),"⚠ Subcategoría no corresponde",IF(AND(OR(P181="Transferencia",P181="Pago tarjeta"),K181=""),"⚠ Falta cuenta destino",IF(AND(K181&lt;&gt;"",P181&lt;&gt;"Transferencia",P181&lt;&gt;"Pago tarjeta"),"⚠ Destino solo aplica a transferencias",IF(AND(K181&lt;&gt;"",K181=Q181),"⚠ Origen igual a destino",IF(AND(K181&lt;&gt;"",ISNA(MATCH(K181,ctaNombre,0))),"⚠ Destino no registrado",IF(AND(P181="Pago tarjeta",AE181&lt;&gt;"Tarjeta de crédito"),"⚠ El destino debe ser tarjeta de crédito",IF(AND(P181="Gasto",E181="Depósitos y retiros"),"⚠ Usa tipo Transferencia",IF(AND(P181="Resultado trading",AD181&lt;&gt;"Cuenta de trading"),"⚠ Usa una cuenta de trading",IF(AND(G181&lt;=0,P181&lt;&gt;"Ajuste",P181&lt;&gt;"Resultado trading"),"⚠ El monto debe ser positivo","✓")))))))))))))))</f>
        <v/>
      </c>
      <c r="P181" s="52">
        <f>IF(OR(B181="",G181=""),"",IF(C181="","Gasto",C181))</f>
        <v/>
      </c>
      <c r="Q181" s="52">
        <f>IF(P181="","",IF(J181&lt;&gt;"",J181,CuentaPred&amp;""))</f>
        <v/>
      </c>
      <c r="R181" s="52">
        <f>IF(P181="","",IF(ISNUMBER(I181),I181,TasaUSD))</f>
        <v/>
      </c>
      <c r="S181" s="53">
        <f>IF(P181="","",IF(H181="USD",G181*R181,G181))</f>
        <v/>
      </c>
      <c r="T181" s="53">
        <f>IF(P181="","",IF(H181="USD",G181,IF(R181&gt;0,G181/R181,0)))</f>
        <v/>
      </c>
      <c r="U181" s="53">
        <f>IF(P181="","",IF(P181="Gasto",S181,IF(P181="Reembolso",-S181,0)))</f>
        <v/>
      </c>
      <c r="V181" s="53">
        <f>IF(P181="","",IF(P181="Ingreso",S181,0))</f>
        <v/>
      </c>
      <c r="W181" s="53">
        <f>IF(P181="","",IF(P181="Resultado trading",S181,0))</f>
        <v/>
      </c>
      <c r="X181" s="52">
        <f>IF(OR(P181="Gasto",P181="Reembolso"),IF(M181&lt;&gt;"",M181,IFERROR(INDEX(catClasif,MATCH(D181&amp;"|"&amp;E181,catClave,0))&amp;"","Variable")),"")</f>
        <v/>
      </c>
      <c r="Y181" s="52">
        <f>IF(P181="","",IFERROR(INDEX(catGrupo,MATCH(D181&amp;"|"&amp;E181,catClave,0))&amp;"",""))</f>
        <v/>
      </c>
      <c r="Z181" s="52">
        <f>IF(P181="","",WEEKDAY(B181,2))</f>
        <v/>
      </c>
      <c r="AA181" s="52">
        <f>IF(P181="","",IF(AND(P181="Gasto",X181="Variable",D181&lt;&gt;catTrading,S181&gt;0,S181&lt;=Umbral),1,0))</f>
        <v/>
      </c>
      <c r="AB181" s="52">
        <f>IF(OR(P181="",Q181=""),"",IFERROR(IF(INDEX(ctaVinc,MATCH(Q181,ctaNombre,0))&amp;""&lt;&gt;"",INDEX(ctaVinc,MATCH(Q181,ctaNombre,0))&amp;"",Q181),Q181))</f>
        <v/>
      </c>
      <c r="AC181" s="52">
        <f>IF(OR(K181="",AND(P181&lt;&gt;"Transferencia",P181&lt;&gt;"Pago tarjeta")),"",IFERROR(IF(INDEX(ctaVinc,MATCH(K181,ctaNombre,0))&amp;""&lt;&gt;"",INDEX(ctaVinc,MATCH(K181,ctaNombre,0))&amp;"",K181),K181))</f>
        <v/>
      </c>
      <c r="AD181" s="52">
        <f>IF(AB181="","",IFERROR(INDEX(ctaTipo,MATCH(AB181,ctaNombre,0))&amp;"",""))</f>
        <v/>
      </c>
      <c r="AE181" s="52">
        <f>IF(AC181="","",IFERROR(INDEX(ctaTipo,MATCH(AC181,ctaNombre,0))&amp;"",""))</f>
        <v/>
      </c>
      <c r="AF181" s="53">
        <f>IF(OR(P181="",AB181=""),"",IF(OR(P181="Gasto",P181="Transferencia",P181="Pago tarjeta"),-1,1)*IF(IFERROR(INDEX(ctaMoneda,MATCH(AB181,ctaNombre,0))&amp;"","DOP")="USD",T181,S181))</f>
        <v/>
      </c>
      <c r="AG181" s="53">
        <f>IF(AC181="","",IF(IFERROR(INDEX(ctaMoneda,MATCH(AC181,ctaNombre,0))&amp;"","DOP")="USD",T181,S181))</f>
        <v/>
      </c>
      <c r="AH181" s="53">
        <f>IF(P181="","",IF(AND(AD181&lt;&gt;"",COUNTIFS(tcTipo,AD181,tcLiq,"Sí")&gt;0),IF(OR(P181="Gasto",P181="Transferencia",P181="Pago tarjeta"),-1,1)*S181,0)+IF(AND(AE181&lt;&gt;"",COUNTIFS(tcTipo,AE181,tcLiq,"Sí")&gt;0),S181,0))</f>
        <v/>
      </c>
      <c r="AI181" s="52">
        <f>IF(OR(L181="",P181=""),"",IF(COUNTIFS(L$6:L181,L181,P$6:P181,"?*")=1,MAX(AI$5:AI180)+1,""))</f>
        <v/>
      </c>
    </row>
    <row r="182">
      <c r="B182" s="47" t="n">
        <v>46304</v>
      </c>
      <c r="C182" s="48" t="inlineStr">
        <is>
          <t>Gasto</t>
        </is>
      </c>
      <c r="D182" s="48" t="inlineStr">
        <is>
          <t>Alimentación</t>
        </is>
      </c>
      <c r="E182" s="48" t="inlineStr">
        <is>
          <t>Almuerzos laborales</t>
        </is>
      </c>
      <c r="F182" s="48" t="inlineStr">
        <is>
          <t>DEMO · Almuerzo laboral</t>
        </is>
      </c>
      <c r="G182" s="49" t="n">
        <v>525</v>
      </c>
      <c r="H182" s="48" t="inlineStr">
        <is>
          <t>DOP</t>
        </is>
      </c>
      <c r="I182" s="50" t="n"/>
      <c r="J182" s="48" t="inlineStr">
        <is>
          <t>Tarjeta de débito</t>
        </is>
      </c>
      <c r="K182" s="48" t="n"/>
      <c r="L182" s="48" t="inlineStr">
        <is>
          <t>Comedor ejecutivo</t>
        </is>
      </c>
      <c r="M182" s="48" t="n"/>
      <c r="N182" s="48" t="inlineStr">
        <is>
          <t>DEMOSTRACIÓN</t>
        </is>
      </c>
      <c r="O182" s="51">
        <f>IF(AND(B182="",G182="",C182="",D182="",J182=""),"",IF(B182="","⚠ Falta fecha",IF(G182="","⚠ Falta monto",IF(Q182="","⚠ Falta cuenta",IF(ISNA(MATCH(Q182,ctaNombre,0)),"⚠ Cuenta no registrada",IF(AND(OR(P182="Gasto",P182="Reembolso"),D182=""),"⚠ Falta categoría",IF(AND(D182&lt;&gt;"",E182&lt;&gt;"",ISNA(MATCH(D182&amp;"|"&amp;E182,catClave,0))),"⚠ Subcategoría no corresponde",IF(AND(OR(P182="Transferencia",P182="Pago tarjeta"),K182=""),"⚠ Falta cuenta destino",IF(AND(K182&lt;&gt;"",P182&lt;&gt;"Transferencia",P182&lt;&gt;"Pago tarjeta"),"⚠ Destino solo aplica a transferencias",IF(AND(K182&lt;&gt;"",K182=Q182),"⚠ Origen igual a destino",IF(AND(K182&lt;&gt;"",ISNA(MATCH(K182,ctaNombre,0))),"⚠ Destino no registrado",IF(AND(P182="Pago tarjeta",AE182&lt;&gt;"Tarjeta de crédito"),"⚠ El destino debe ser tarjeta de crédito",IF(AND(P182="Gasto",E182="Depósitos y retiros"),"⚠ Usa tipo Transferencia",IF(AND(P182="Resultado trading",AD182&lt;&gt;"Cuenta de trading"),"⚠ Usa una cuenta de trading",IF(AND(G182&lt;=0,P182&lt;&gt;"Ajuste",P182&lt;&gt;"Resultado trading"),"⚠ El monto debe ser positivo","✓")))))))))))))))</f>
        <v/>
      </c>
      <c r="P182" s="52">
        <f>IF(OR(B182="",G182=""),"",IF(C182="","Gasto",C182))</f>
        <v/>
      </c>
      <c r="Q182" s="52">
        <f>IF(P182="","",IF(J182&lt;&gt;"",J182,CuentaPred&amp;""))</f>
        <v/>
      </c>
      <c r="R182" s="52">
        <f>IF(P182="","",IF(ISNUMBER(I182),I182,TasaUSD))</f>
        <v/>
      </c>
      <c r="S182" s="53">
        <f>IF(P182="","",IF(H182="USD",G182*R182,G182))</f>
        <v/>
      </c>
      <c r="T182" s="53">
        <f>IF(P182="","",IF(H182="USD",G182,IF(R182&gt;0,G182/R182,0)))</f>
        <v/>
      </c>
      <c r="U182" s="53">
        <f>IF(P182="","",IF(P182="Gasto",S182,IF(P182="Reembolso",-S182,0)))</f>
        <v/>
      </c>
      <c r="V182" s="53">
        <f>IF(P182="","",IF(P182="Ingreso",S182,0))</f>
        <v/>
      </c>
      <c r="W182" s="53">
        <f>IF(P182="","",IF(P182="Resultado trading",S182,0))</f>
        <v/>
      </c>
      <c r="X182" s="52">
        <f>IF(OR(P182="Gasto",P182="Reembolso"),IF(M182&lt;&gt;"",M182,IFERROR(INDEX(catClasif,MATCH(D182&amp;"|"&amp;E182,catClave,0))&amp;"","Variable")),"")</f>
        <v/>
      </c>
      <c r="Y182" s="52">
        <f>IF(P182="","",IFERROR(INDEX(catGrupo,MATCH(D182&amp;"|"&amp;E182,catClave,0))&amp;"",""))</f>
        <v/>
      </c>
      <c r="Z182" s="52">
        <f>IF(P182="","",WEEKDAY(B182,2))</f>
        <v/>
      </c>
      <c r="AA182" s="52">
        <f>IF(P182="","",IF(AND(P182="Gasto",X182="Variable",D182&lt;&gt;catTrading,S182&gt;0,S182&lt;=Umbral),1,0))</f>
        <v/>
      </c>
      <c r="AB182" s="52">
        <f>IF(OR(P182="",Q182=""),"",IFERROR(IF(INDEX(ctaVinc,MATCH(Q182,ctaNombre,0))&amp;""&lt;&gt;"",INDEX(ctaVinc,MATCH(Q182,ctaNombre,0))&amp;"",Q182),Q182))</f>
        <v/>
      </c>
      <c r="AC182" s="52">
        <f>IF(OR(K182="",AND(P182&lt;&gt;"Transferencia",P182&lt;&gt;"Pago tarjeta")),"",IFERROR(IF(INDEX(ctaVinc,MATCH(K182,ctaNombre,0))&amp;""&lt;&gt;"",INDEX(ctaVinc,MATCH(K182,ctaNombre,0))&amp;"",K182),K182))</f>
        <v/>
      </c>
      <c r="AD182" s="52">
        <f>IF(AB182="","",IFERROR(INDEX(ctaTipo,MATCH(AB182,ctaNombre,0))&amp;"",""))</f>
        <v/>
      </c>
      <c r="AE182" s="52">
        <f>IF(AC182="","",IFERROR(INDEX(ctaTipo,MATCH(AC182,ctaNombre,0))&amp;"",""))</f>
        <v/>
      </c>
      <c r="AF182" s="53">
        <f>IF(OR(P182="",AB182=""),"",IF(OR(P182="Gasto",P182="Transferencia",P182="Pago tarjeta"),-1,1)*IF(IFERROR(INDEX(ctaMoneda,MATCH(AB182,ctaNombre,0))&amp;"","DOP")="USD",T182,S182))</f>
        <v/>
      </c>
      <c r="AG182" s="53">
        <f>IF(AC182="","",IF(IFERROR(INDEX(ctaMoneda,MATCH(AC182,ctaNombre,0))&amp;"","DOP")="USD",T182,S182))</f>
        <v/>
      </c>
      <c r="AH182" s="53">
        <f>IF(P182="","",IF(AND(AD182&lt;&gt;"",COUNTIFS(tcTipo,AD182,tcLiq,"Sí")&gt;0),IF(OR(P182="Gasto",P182="Transferencia",P182="Pago tarjeta"),-1,1)*S182,0)+IF(AND(AE182&lt;&gt;"",COUNTIFS(tcTipo,AE182,tcLiq,"Sí")&gt;0),S182,0))</f>
        <v/>
      </c>
      <c r="AI182" s="52">
        <f>IF(OR(L182="",P182=""),"",IF(COUNTIFS(L$6:L182,L182,P$6:P182,"?*")=1,MAX(AI$5:AI181)+1,""))</f>
        <v/>
      </c>
    </row>
    <row r="183">
      <c r="B183" s="47" t="n">
        <v>46304</v>
      </c>
      <c r="C183" s="48" t="inlineStr">
        <is>
          <t>Gasto</t>
        </is>
      </c>
      <c r="D183" s="48" t="inlineStr">
        <is>
          <t>Alimentación</t>
        </is>
      </c>
      <c r="E183" s="48" t="inlineStr">
        <is>
          <t>Delivery</t>
        </is>
      </c>
      <c r="F183" s="48" t="inlineStr">
        <is>
          <t>DEMO · Pedido a domicilio</t>
        </is>
      </c>
      <c r="G183" s="49" t="n">
        <v>1050</v>
      </c>
      <c r="H183" s="48" t="inlineStr">
        <is>
          <t>DOP</t>
        </is>
      </c>
      <c r="I183" s="50" t="n"/>
      <c r="J183" s="48" t="inlineStr">
        <is>
          <t>Tarjeta de crédito</t>
        </is>
      </c>
      <c r="K183" s="48" t="n"/>
      <c r="L183" s="48" t="inlineStr">
        <is>
          <t>App de delivery</t>
        </is>
      </c>
      <c r="M183" s="48" t="n"/>
      <c r="N183" s="48" t="inlineStr">
        <is>
          <t>DEMOSTRACIÓN</t>
        </is>
      </c>
      <c r="O183" s="51">
        <f>IF(AND(B183="",G183="",C183="",D183="",J183=""),"",IF(B183="","⚠ Falta fecha",IF(G183="","⚠ Falta monto",IF(Q183="","⚠ Falta cuenta",IF(ISNA(MATCH(Q183,ctaNombre,0)),"⚠ Cuenta no registrada",IF(AND(OR(P183="Gasto",P183="Reembolso"),D183=""),"⚠ Falta categoría",IF(AND(D183&lt;&gt;"",E183&lt;&gt;"",ISNA(MATCH(D183&amp;"|"&amp;E183,catClave,0))),"⚠ Subcategoría no corresponde",IF(AND(OR(P183="Transferencia",P183="Pago tarjeta"),K183=""),"⚠ Falta cuenta destino",IF(AND(K183&lt;&gt;"",P183&lt;&gt;"Transferencia",P183&lt;&gt;"Pago tarjeta"),"⚠ Destino solo aplica a transferencias",IF(AND(K183&lt;&gt;"",K183=Q183),"⚠ Origen igual a destino",IF(AND(K183&lt;&gt;"",ISNA(MATCH(K183,ctaNombre,0))),"⚠ Destino no registrado",IF(AND(P183="Pago tarjeta",AE183&lt;&gt;"Tarjeta de crédito"),"⚠ El destino debe ser tarjeta de crédito",IF(AND(P183="Gasto",E183="Depósitos y retiros"),"⚠ Usa tipo Transferencia",IF(AND(P183="Resultado trading",AD183&lt;&gt;"Cuenta de trading"),"⚠ Usa una cuenta de trading",IF(AND(G183&lt;=0,P183&lt;&gt;"Ajuste",P183&lt;&gt;"Resultado trading"),"⚠ El monto debe ser positivo","✓")))))))))))))))</f>
        <v/>
      </c>
      <c r="P183" s="52">
        <f>IF(OR(B183="",G183=""),"",IF(C183="","Gasto",C183))</f>
        <v/>
      </c>
      <c r="Q183" s="52">
        <f>IF(P183="","",IF(J183&lt;&gt;"",J183,CuentaPred&amp;""))</f>
        <v/>
      </c>
      <c r="R183" s="52">
        <f>IF(P183="","",IF(ISNUMBER(I183),I183,TasaUSD))</f>
        <v/>
      </c>
      <c r="S183" s="53">
        <f>IF(P183="","",IF(H183="USD",G183*R183,G183))</f>
        <v/>
      </c>
      <c r="T183" s="53">
        <f>IF(P183="","",IF(H183="USD",G183,IF(R183&gt;0,G183/R183,0)))</f>
        <v/>
      </c>
      <c r="U183" s="53">
        <f>IF(P183="","",IF(P183="Gasto",S183,IF(P183="Reembolso",-S183,0)))</f>
        <v/>
      </c>
      <c r="V183" s="53">
        <f>IF(P183="","",IF(P183="Ingreso",S183,0))</f>
        <v/>
      </c>
      <c r="W183" s="53">
        <f>IF(P183="","",IF(P183="Resultado trading",S183,0))</f>
        <v/>
      </c>
      <c r="X183" s="52">
        <f>IF(OR(P183="Gasto",P183="Reembolso"),IF(M183&lt;&gt;"",M183,IFERROR(INDEX(catClasif,MATCH(D183&amp;"|"&amp;E183,catClave,0))&amp;"","Variable")),"")</f>
        <v/>
      </c>
      <c r="Y183" s="52">
        <f>IF(P183="","",IFERROR(INDEX(catGrupo,MATCH(D183&amp;"|"&amp;E183,catClave,0))&amp;"",""))</f>
        <v/>
      </c>
      <c r="Z183" s="52">
        <f>IF(P183="","",WEEKDAY(B183,2))</f>
        <v/>
      </c>
      <c r="AA183" s="52">
        <f>IF(P183="","",IF(AND(P183="Gasto",X183="Variable",D183&lt;&gt;catTrading,S183&gt;0,S183&lt;=Umbral),1,0))</f>
        <v/>
      </c>
      <c r="AB183" s="52">
        <f>IF(OR(P183="",Q183=""),"",IFERROR(IF(INDEX(ctaVinc,MATCH(Q183,ctaNombre,0))&amp;""&lt;&gt;"",INDEX(ctaVinc,MATCH(Q183,ctaNombre,0))&amp;"",Q183),Q183))</f>
        <v/>
      </c>
      <c r="AC183" s="52">
        <f>IF(OR(K183="",AND(P183&lt;&gt;"Transferencia",P183&lt;&gt;"Pago tarjeta")),"",IFERROR(IF(INDEX(ctaVinc,MATCH(K183,ctaNombre,0))&amp;""&lt;&gt;"",INDEX(ctaVinc,MATCH(K183,ctaNombre,0))&amp;"",K183),K183))</f>
        <v/>
      </c>
      <c r="AD183" s="52">
        <f>IF(AB183="","",IFERROR(INDEX(ctaTipo,MATCH(AB183,ctaNombre,0))&amp;"",""))</f>
        <v/>
      </c>
      <c r="AE183" s="52">
        <f>IF(AC183="","",IFERROR(INDEX(ctaTipo,MATCH(AC183,ctaNombre,0))&amp;"",""))</f>
        <v/>
      </c>
      <c r="AF183" s="53">
        <f>IF(OR(P183="",AB183=""),"",IF(OR(P183="Gasto",P183="Transferencia",P183="Pago tarjeta"),-1,1)*IF(IFERROR(INDEX(ctaMoneda,MATCH(AB183,ctaNombre,0))&amp;"","DOP")="USD",T183,S183))</f>
        <v/>
      </c>
      <c r="AG183" s="53">
        <f>IF(AC183="","",IF(IFERROR(INDEX(ctaMoneda,MATCH(AC183,ctaNombre,0))&amp;"","DOP")="USD",T183,S183))</f>
        <v/>
      </c>
      <c r="AH183" s="53">
        <f>IF(P183="","",IF(AND(AD183&lt;&gt;"",COUNTIFS(tcTipo,AD183,tcLiq,"Sí")&gt;0),IF(OR(P183="Gasto",P183="Transferencia",P183="Pago tarjeta"),-1,1)*S183,0)+IF(AND(AE183&lt;&gt;"",COUNTIFS(tcTipo,AE183,tcLiq,"Sí")&gt;0),S183,0))</f>
        <v/>
      </c>
      <c r="AI183" s="52">
        <f>IF(OR(L183="",P183=""),"",IF(COUNTIFS(L$6:L183,L183,P$6:P183,"?*")=1,MAX(AI$5:AI182)+1,""))</f>
        <v/>
      </c>
    </row>
    <row r="184">
      <c r="B184" s="47" t="n">
        <v>46304</v>
      </c>
      <c r="C184" s="48" t="inlineStr">
        <is>
          <t>Transferencia</t>
        </is>
      </c>
      <c r="D184" s="48" t="inlineStr">
        <is>
          <t>Trading y actividades financieras</t>
        </is>
      </c>
      <c r="E184" s="48" t="inlineStr">
        <is>
          <t>Depósitos y retiros</t>
        </is>
      </c>
      <c r="F184" s="48" t="inlineStr">
        <is>
          <t>DEMO · Retiro desde cuenta de trading</t>
        </is>
      </c>
      <c r="G184" s="49" t="n">
        <v>100</v>
      </c>
      <c r="H184" s="48" t="inlineStr">
        <is>
          <t>USD</t>
        </is>
      </c>
      <c r="I184" s="50" t="n">
        <v>63.2</v>
      </c>
      <c r="J184" s="48" t="inlineStr">
        <is>
          <t>Cuenta de trading</t>
        </is>
      </c>
      <c r="K184" s="48" t="inlineStr">
        <is>
          <t>Banco principal</t>
        </is>
      </c>
      <c r="L184" s="48" t="n"/>
      <c r="M184" s="48" t="n"/>
      <c r="N184" s="48" t="inlineStr">
        <is>
          <t>DEMOSTRACIÓN</t>
        </is>
      </c>
      <c r="O184" s="51">
        <f>IF(AND(B184="",G184="",C184="",D184="",J184=""),"",IF(B184="","⚠ Falta fecha",IF(G184="","⚠ Falta monto",IF(Q184="","⚠ Falta cuenta",IF(ISNA(MATCH(Q184,ctaNombre,0)),"⚠ Cuenta no registrada",IF(AND(OR(P184="Gasto",P184="Reembolso"),D184=""),"⚠ Falta categoría",IF(AND(D184&lt;&gt;"",E184&lt;&gt;"",ISNA(MATCH(D184&amp;"|"&amp;E184,catClave,0))),"⚠ Subcategoría no corresponde",IF(AND(OR(P184="Transferencia",P184="Pago tarjeta"),K184=""),"⚠ Falta cuenta destino",IF(AND(K184&lt;&gt;"",P184&lt;&gt;"Transferencia",P184&lt;&gt;"Pago tarjeta"),"⚠ Destino solo aplica a transferencias",IF(AND(K184&lt;&gt;"",K184=Q184),"⚠ Origen igual a destino",IF(AND(K184&lt;&gt;"",ISNA(MATCH(K184,ctaNombre,0))),"⚠ Destino no registrado",IF(AND(P184="Pago tarjeta",AE184&lt;&gt;"Tarjeta de crédito"),"⚠ El destino debe ser tarjeta de crédito",IF(AND(P184="Gasto",E184="Depósitos y retiros"),"⚠ Usa tipo Transferencia",IF(AND(P184="Resultado trading",AD184&lt;&gt;"Cuenta de trading"),"⚠ Usa una cuenta de trading",IF(AND(G184&lt;=0,P184&lt;&gt;"Ajuste",P184&lt;&gt;"Resultado trading"),"⚠ El monto debe ser positivo","✓")))))))))))))))</f>
        <v/>
      </c>
      <c r="P184" s="52">
        <f>IF(OR(B184="",G184=""),"",IF(C184="","Gasto",C184))</f>
        <v/>
      </c>
      <c r="Q184" s="52">
        <f>IF(P184="","",IF(J184&lt;&gt;"",J184,CuentaPred&amp;""))</f>
        <v/>
      </c>
      <c r="R184" s="52">
        <f>IF(P184="","",IF(ISNUMBER(I184),I184,TasaUSD))</f>
        <v/>
      </c>
      <c r="S184" s="53">
        <f>IF(P184="","",IF(H184="USD",G184*R184,G184))</f>
        <v/>
      </c>
      <c r="T184" s="53">
        <f>IF(P184="","",IF(H184="USD",G184,IF(R184&gt;0,G184/R184,0)))</f>
        <v/>
      </c>
      <c r="U184" s="53">
        <f>IF(P184="","",IF(P184="Gasto",S184,IF(P184="Reembolso",-S184,0)))</f>
        <v/>
      </c>
      <c r="V184" s="53">
        <f>IF(P184="","",IF(P184="Ingreso",S184,0))</f>
        <v/>
      </c>
      <c r="W184" s="53">
        <f>IF(P184="","",IF(P184="Resultado trading",S184,0))</f>
        <v/>
      </c>
      <c r="X184" s="52">
        <f>IF(OR(P184="Gasto",P184="Reembolso"),IF(M184&lt;&gt;"",M184,IFERROR(INDEX(catClasif,MATCH(D184&amp;"|"&amp;E184,catClave,0))&amp;"","Variable")),"")</f>
        <v/>
      </c>
      <c r="Y184" s="52">
        <f>IF(P184="","",IFERROR(INDEX(catGrupo,MATCH(D184&amp;"|"&amp;E184,catClave,0))&amp;"",""))</f>
        <v/>
      </c>
      <c r="Z184" s="52">
        <f>IF(P184="","",WEEKDAY(B184,2))</f>
        <v/>
      </c>
      <c r="AA184" s="52">
        <f>IF(P184="","",IF(AND(P184="Gasto",X184="Variable",D184&lt;&gt;catTrading,S184&gt;0,S184&lt;=Umbral),1,0))</f>
        <v/>
      </c>
      <c r="AB184" s="52">
        <f>IF(OR(P184="",Q184=""),"",IFERROR(IF(INDEX(ctaVinc,MATCH(Q184,ctaNombre,0))&amp;""&lt;&gt;"",INDEX(ctaVinc,MATCH(Q184,ctaNombre,0))&amp;"",Q184),Q184))</f>
        <v/>
      </c>
      <c r="AC184" s="52">
        <f>IF(OR(K184="",AND(P184&lt;&gt;"Transferencia",P184&lt;&gt;"Pago tarjeta")),"",IFERROR(IF(INDEX(ctaVinc,MATCH(K184,ctaNombre,0))&amp;""&lt;&gt;"",INDEX(ctaVinc,MATCH(K184,ctaNombre,0))&amp;"",K184),K184))</f>
        <v/>
      </c>
      <c r="AD184" s="52">
        <f>IF(AB184="","",IFERROR(INDEX(ctaTipo,MATCH(AB184,ctaNombre,0))&amp;"",""))</f>
        <v/>
      </c>
      <c r="AE184" s="52">
        <f>IF(AC184="","",IFERROR(INDEX(ctaTipo,MATCH(AC184,ctaNombre,0))&amp;"",""))</f>
        <v/>
      </c>
      <c r="AF184" s="53">
        <f>IF(OR(P184="",AB184=""),"",IF(OR(P184="Gasto",P184="Transferencia",P184="Pago tarjeta"),-1,1)*IF(IFERROR(INDEX(ctaMoneda,MATCH(AB184,ctaNombre,0))&amp;"","DOP")="USD",T184,S184))</f>
        <v/>
      </c>
      <c r="AG184" s="53">
        <f>IF(AC184="","",IF(IFERROR(INDEX(ctaMoneda,MATCH(AC184,ctaNombre,0))&amp;"","DOP")="USD",T184,S184))</f>
        <v/>
      </c>
      <c r="AH184" s="53">
        <f>IF(P184="","",IF(AND(AD184&lt;&gt;"",COUNTIFS(tcTipo,AD184,tcLiq,"Sí")&gt;0),IF(OR(P184="Gasto",P184="Transferencia",P184="Pago tarjeta"),-1,1)*S184,0)+IF(AND(AE184&lt;&gt;"",COUNTIFS(tcTipo,AE184,tcLiq,"Sí")&gt;0),S184,0))</f>
        <v/>
      </c>
      <c r="AI184" s="52">
        <f>IF(OR(L184="",P184=""),"",IF(COUNTIFS(L$6:L184,L184,P$6:P184,"?*")=1,MAX(AI$5:AI183)+1,""))</f>
        <v/>
      </c>
    </row>
    <row r="185">
      <c r="B185" s="47" t="n">
        <v>46305</v>
      </c>
      <c r="C185" s="48" t="inlineStr">
        <is>
          <t>Transferencia</t>
        </is>
      </c>
      <c r="D185" s="48" t="n"/>
      <c r="E185" s="48" t="n"/>
      <c r="F185" s="48" t="inlineStr">
        <is>
          <t>DEMO · Retiro en cajero</t>
        </is>
      </c>
      <c r="G185" s="49" t="n">
        <v>4000</v>
      </c>
      <c r="H185" s="48" t="inlineStr">
        <is>
          <t>DOP</t>
        </is>
      </c>
      <c r="I185" s="50" t="n"/>
      <c r="J185" s="48" t="inlineStr">
        <is>
          <t>Banco principal</t>
        </is>
      </c>
      <c r="K185" s="48" t="inlineStr">
        <is>
          <t>Efectivo</t>
        </is>
      </c>
      <c r="L185" s="48" t="n"/>
      <c r="M185" s="48" t="n"/>
      <c r="N185" s="48" t="inlineStr">
        <is>
          <t>DEMOSTRACIÓN</t>
        </is>
      </c>
      <c r="O185" s="51">
        <f>IF(AND(B185="",G185="",C185="",D185="",J185=""),"",IF(B185="","⚠ Falta fecha",IF(G185="","⚠ Falta monto",IF(Q185="","⚠ Falta cuenta",IF(ISNA(MATCH(Q185,ctaNombre,0)),"⚠ Cuenta no registrada",IF(AND(OR(P185="Gasto",P185="Reembolso"),D185=""),"⚠ Falta categoría",IF(AND(D185&lt;&gt;"",E185&lt;&gt;"",ISNA(MATCH(D185&amp;"|"&amp;E185,catClave,0))),"⚠ Subcategoría no corresponde",IF(AND(OR(P185="Transferencia",P185="Pago tarjeta"),K185=""),"⚠ Falta cuenta destino",IF(AND(K185&lt;&gt;"",P185&lt;&gt;"Transferencia",P185&lt;&gt;"Pago tarjeta"),"⚠ Destino solo aplica a transferencias",IF(AND(K185&lt;&gt;"",K185=Q185),"⚠ Origen igual a destino",IF(AND(K185&lt;&gt;"",ISNA(MATCH(K185,ctaNombre,0))),"⚠ Destino no registrado",IF(AND(P185="Pago tarjeta",AE185&lt;&gt;"Tarjeta de crédito"),"⚠ El destino debe ser tarjeta de crédito",IF(AND(P185="Gasto",E185="Depósitos y retiros"),"⚠ Usa tipo Transferencia",IF(AND(P185="Resultado trading",AD185&lt;&gt;"Cuenta de trading"),"⚠ Usa una cuenta de trading",IF(AND(G185&lt;=0,P185&lt;&gt;"Ajuste",P185&lt;&gt;"Resultado trading"),"⚠ El monto debe ser positivo","✓")))))))))))))))</f>
        <v/>
      </c>
      <c r="P185" s="52">
        <f>IF(OR(B185="",G185=""),"",IF(C185="","Gasto",C185))</f>
        <v/>
      </c>
      <c r="Q185" s="52">
        <f>IF(P185="","",IF(J185&lt;&gt;"",J185,CuentaPred&amp;""))</f>
        <v/>
      </c>
      <c r="R185" s="52">
        <f>IF(P185="","",IF(ISNUMBER(I185),I185,TasaUSD))</f>
        <v/>
      </c>
      <c r="S185" s="53">
        <f>IF(P185="","",IF(H185="USD",G185*R185,G185))</f>
        <v/>
      </c>
      <c r="T185" s="53">
        <f>IF(P185="","",IF(H185="USD",G185,IF(R185&gt;0,G185/R185,0)))</f>
        <v/>
      </c>
      <c r="U185" s="53">
        <f>IF(P185="","",IF(P185="Gasto",S185,IF(P185="Reembolso",-S185,0)))</f>
        <v/>
      </c>
      <c r="V185" s="53">
        <f>IF(P185="","",IF(P185="Ingreso",S185,0))</f>
        <v/>
      </c>
      <c r="W185" s="53">
        <f>IF(P185="","",IF(P185="Resultado trading",S185,0))</f>
        <v/>
      </c>
      <c r="X185" s="52">
        <f>IF(OR(P185="Gasto",P185="Reembolso"),IF(M185&lt;&gt;"",M185,IFERROR(INDEX(catClasif,MATCH(D185&amp;"|"&amp;E185,catClave,0))&amp;"","Variable")),"")</f>
        <v/>
      </c>
      <c r="Y185" s="52">
        <f>IF(P185="","",IFERROR(INDEX(catGrupo,MATCH(D185&amp;"|"&amp;E185,catClave,0))&amp;"",""))</f>
        <v/>
      </c>
      <c r="Z185" s="52">
        <f>IF(P185="","",WEEKDAY(B185,2))</f>
        <v/>
      </c>
      <c r="AA185" s="52">
        <f>IF(P185="","",IF(AND(P185="Gasto",X185="Variable",D185&lt;&gt;catTrading,S185&gt;0,S185&lt;=Umbral),1,0))</f>
        <v/>
      </c>
      <c r="AB185" s="52">
        <f>IF(OR(P185="",Q185=""),"",IFERROR(IF(INDEX(ctaVinc,MATCH(Q185,ctaNombre,0))&amp;""&lt;&gt;"",INDEX(ctaVinc,MATCH(Q185,ctaNombre,0))&amp;"",Q185),Q185))</f>
        <v/>
      </c>
      <c r="AC185" s="52">
        <f>IF(OR(K185="",AND(P185&lt;&gt;"Transferencia",P185&lt;&gt;"Pago tarjeta")),"",IFERROR(IF(INDEX(ctaVinc,MATCH(K185,ctaNombre,0))&amp;""&lt;&gt;"",INDEX(ctaVinc,MATCH(K185,ctaNombre,0))&amp;"",K185),K185))</f>
        <v/>
      </c>
      <c r="AD185" s="52">
        <f>IF(AB185="","",IFERROR(INDEX(ctaTipo,MATCH(AB185,ctaNombre,0))&amp;"",""))</f>
        <v/>
      </c>
      <c r="AE185" s="52">
        <f>IF(AC185="","",IFERROR(INDEX(ctaTipo,MATCH(AC185,ctaNombre,0))&amp;"",""))</f>
        <v/>
      </c>
      <c r="AF185" s="53">
        <f>IF(OR(P185="",AB185=""),"",IF(OR(P185="Gasto",P185="Transferencia",P185="Pago tarjeta"),-1,1)*IF(IFERROR(INDEX(ctaMoneda,MATCH(AB185,ctaNombre,0))&amp;"","DOP")="USD",T185,S185))</f>
        <v/>
      </c>
      <c r="AG185" s="53">
        <f>IF(AC185="","",IF(IFERROR(INDEX(ctaMoneda,MATCH(AC185,ctaNombre,0))&amp;"","DOP")="USD",T185,S185))</f>
        <v/>
      </c>
      <c r="AH185" s="53">
        <f>IF(P185="","",IF(AND(AD185&lt;&gt;"",COUNTIFS(tcTipo,AD185,tcLiq,"Sí")&gt;0),IF(OR(P185="Gasto",P185="Transferencia",P185="Pago tarjeta"),-1,1)*S185,0)+IF(AND(AE185&lt;&gt;"",COUNTIFS(tcTipo,AE185,tcLiq,"Sí")&gt;0),S185,0))</f>
        <v/>
      </c>
      <c r="AI185" s="52">
        <f>IF(OR(L185="",P185=""),"",IF(COUNTIFS(L$6:L185,L185,P$6:P185,"?*")=1,MAX(AI$5:AI184)+1,""))</f>
        <v/>
      </c>
    </row>
    <row r="186">
      <c r="B186" s="47" t="n">
        <v>46305</v>
      </c>
      <c r="C186" s="48" t="inlineStr">
        <is>
          <t>Gasto</t>
        </is>
      </c>
      <c r="D186" s="48" t="inlineStr">
        <is>
          <t>Pareja y actividades sociales</t>
        </is>
      </c>
      <c r="E186" s="48" t="inlineStr">
        <is>
          <t>Salidas y citas</t>
        </is>
      </c>
      <c r="F186" s="48" t="inlineStr">
        <is>
          <t>DEMO · Salida con pareja</t>
        </is>
      </c>
      <c r="G186" s="49" t="n">
        <v>1900</v>
      </c>
      <c r="H186" s="48" t="inlineStr">
        <is>
          <t>DOP</t>
        </is>
      </c>
      <c r="I186" s="50" t="n"/>
      <c r="J186" s="48" t="inlineStr">
        <is>
          <t>Tarjeta de crédito</t>
        </is>
      </c>
      <c r="K186" s="48" t="n"/>
      <c r="L186" s="48" t="inlineStr">
        <is>
          <t>Cine y cena</t>
        </is>
      </c>
      <c r="M186" s="48" t="n"/>
      <c r="N186" s="48" t="inlineStr">
        <is>
          <t>DEMOSTRACIÓN</t>
        </is>
      </c>
      <c r="O186" s="51">
        <f>IF(AND(B186="",G186="",C186="",D186="",J186=""),"",IF(B186="","⚠ Falta fecha",IF(G186="","⚠ Falta monto",IF(Q186="","⚠ Falta cuenta",IF(ISNA(MATCH(Q186,ctaNombre,0)),"⚠ Cuenta no registrada",IF(AND(OR(P186="Gasto",P186="Reembolso"),D186=""),"⚠ Falta categoría",IF(AND(D186&lt;&gt;"",E186&lt;&gt;"",ISNA(MATCH(D186&amp;"|"&amp;E186,catClave,0))),"⚠ Subcategoría no corresponde",IF(AND(OR(P186="Transferencia",P186="Pago tarjeta"),K186=""),"⚠ Falta cuenta destino",IF(AND(K186&lt;&gt;"",P186&lt;&gt;"Transferencia",P186&lt;&gt;"Pago tarjeta"),"⚠ Destino solo aplica a transferencias",IF(AND(K186&lt;&gt;"",K186=Q186),"⚠ Origen igual a destino",IF(AND(K186&lt;&gt;"",ISNA(MATCH(K186,ctaNombre,0))),"⚠ Destino no registrado",IF(AND(P186="Pago tarjeta",AE186&lt;&gt;"Tarjeta de crédito"),"⚠ El destino debe ser tarjeta de crédito",IF(AND(P186="Gasto",E186="Depósitos y retiros"),"⚠ Usa tipo Transferencia",IF(AND(P186="Resultado trading",AD186&lt;&gt;"Cuenta de trading"),"⚠ Usa una cuenta de trading",IF(AND(G186&lt;=0,P186&lt;&gt;"Ajuste",P186&lt;&gt;"Resultado trading"),"⚠ El monto debe ser positivo","✓")))))))))))))))</f>
        <v/>
      </c>
      <c r="P186" s="52">
        <f>IF(OR(B186="",G186=""),"",IF(C186="","Gasto",C186))</f>
        <v/>
      </c>
      <c r="Q186" s="52">
        <f>IF(P186="","",IF(J186&lt;&gt;"",J186,CuentaPred&amp;""))</f>
        <v/>
      </c>
      <c r="R186" s="52">
        <f>IF(P186="","",IF(ISNUMBER(I186),I186,TasaUSD))</f>
        <v/>
      </c>
      <c r="S186" s="53">
        <f>IF(P186="","",IF(H186="USD",G186*R186,G186))</f>
        <v/>
      </c>
      <c r="T186" s="53">
        <f>IF(P186="","",IF(H186="USD",G186,IF(R186&gt;0,G186/R186,0)))</f>
        <v/>
      </c>
      <c r="U186" s="53">
        <f>IF(P186="","",IF(P186="Gasto",S186,IF(P186="Reembolso",-S186,0)))</f>
        <v/>
      </c>
      <c r="V186" s="53">
        <f>IF(P186="","",IF(P186="Ingreso",S186,0))</f>
        <v/>
      </c>
      <c r="W186" s="53">
        <f>IF(P186="","",IF(P186="Resultado trading",S186,0))</f>
        <v/>
      </c>
      <c r="X186" s="52">
        <f>IF(OR(P186="Gasto",P186="Reembolso"),IF(M186&lt;&gt;"",M186,IFERROR(INDEX(catClasif,MATCH(D186&amp;"|"&amp;E186,catClave,0))&amp;"","Variable")),"")</f>
        <v/>
      </c>
      <c r="Y186" s="52">
        <f>IF(P186="","",IFERROR(INDEX(catGrupo,MATCH(D186&amp;"|"&amp;E186,catClave,0))&amp;"",""))</f>
        <v/>
      </c>
      <c r="Z186" s="52">
        <f>IF(P186="","",WEEKDAY(B186,2))</f>
        <v/>
      </c>
      <c r="AA186" s="52">
        <f>IF(P186="","",IF(AND(P186="Gasto",X186="Variable",D186&lt;&gt;catTrading,S186&gt;0,S186&lt;=Umbral),1,0))</f>
        <v/>
      </c>
      <c r="AB186" s="52">
        <f>IF(OR(P186="",Q186=""),"",IFERROR(IF(INDEX(ctaVinc,MATCH(Q186,ctaNombre,0))&amp;""&lt;&gt;"",INDEX(ctaVinc,MATCH(Q186,ctaNombre,0))&amp;"",Q186),Q186))</f>
        <v/>
      </c>
      <c r="AC186" s="52">
        <f>IF(OR(K186="",AND(P186&lt;&gt;"Transferencia",P186&lt;&gt;"Pago tarjeta")),"",IFERROR(IF(INDEX(ctaVinc,MATCH(K186,ctaNombre,0))&amp;""&lt;&gt;"",INDEX(ctaVinc,MATCH(K186,ctaNombre,0))&amp;"",K186),K186))</f>
        <v/>
      </c>
      <c r="AD186" s="52">
        <f>IF(AB186="","",IFERROR(INDEX(ctaTipo,MATCH(AB186,ctaNombre,0))&amp;"",""))</f>
        <v/>
      </c>
      <c r="AE186" s="52">
        <f>IF(AC186="","",IFERROR(INDEX(ctaTipo,MATCH(AC186,ctaNombre,0))&amp;"",""))</f>
        <v/>
      </c>
      <c r="AF186" s="53">
        <f>IF(OR(P186="",AB186=""),"",IF(OR(P186="Gasto",P186="Transferencia",P186="Pago tarjeta"),-1,1)*IF(IFERROR(INDEX(ctaMoneda,MATCH(AB186,ctaNombre,0))&amp;"","DOP")="USD",T186,S186))</f>
        <v/>
      </c>
      <c r="AG186" s="53">
        <f>IF(AC186="","",IF(IFERROR(INDEX(ctaMoneda,MATCH(AC186,ctaNombre,0))&amp;"","DOP")="USD",T186,S186))</f>
        <v/>
      </c>
      <c r="AH186" s="53">
        <f>IF(P186="","",IF(AND(AD186&lt;&gt;"",COUNTIFS(tcTipo,AD186,tcLiq,"Sí")&gt;0),IF(OR(P186="Gasto",P186="Transferencia",P186="Pago tarjeta"),-1,1)*S186,0)+IF(AND(AE186&lt;&gt;"",COUNTIFS(tcTipo,AE186,tcLiq,"Sí")&gt;0),S186,0))</f>
        <v/>
      </c>
      <c r="AI186" s="52">
        <f>IF(OR(L186="",P186=""),"",IF(COUNTIFS(L$6:L186,L186,P$6:P186,"?*")=1,MAX(AI$5:AI185)+1,""))</f>
        <v/>
      </c>
    </row>
    <row r="187">
      <c r="B187" s="47" t="n">
        <v>46306</v>
      </c>
      <c r="C187" s="48" t="inlineStr">
        <is>
          <t>Gasto</t>
        </is>
      </c>
      <c r="D187" s="48" t="inlineStr">
        <is>
          <t>Alimentación</t>
        </is>
      </c>
      <c r="E187" s="48" t="inlineStr">
        <is>
          <t>Ingredientes para cocinar</t>
        </is>
      </c>
      <c r="F187" s="48" t="inlineStr">
        <is>
          <t>DEMO · Vegetales, carne y víveres</t>
        </is>
      </c>
      <c r="G187" s="49" t="n">
        <v>375</v>
      </c>
      <c r="H187" s="48" t="inlineStr">
        <is>
          <t>DOP</t>
        </is>
      </c>
      <c r="I187" s="50" t="n"/>
      <c r="J187" s="48" t="inlineStr">
        <is>
          <t>Efectivo</t>
        </is>
      </c>
      <c r="K187" s="48" t="n"/>
      <c r="L187" s="48" t="inlineStr">
        <is>
          <t>Mercado del barrio</t>
        </is>
      </c>
      <c r="M187" s="48" t="n"/>
      <c r="N187" s="48" t="inlineStr">
        <is>
          <t>DEMOSTRACIÓN</t>
        </is>
      </c>
      <c r="O187" s="51">
        <f>IF(AND(B187="",G187="",C187="",D187="",J187=""),"",IF(B187="","⚠ Falta fecha",IF(G187="","⚠ Falta monto",IF(Q187="","⚠ Falta cuenta",IF(ISNA(MATCH(Q187,ctaNombre,0)),"⚠ Cuenta no registrada",IF(AND(OR(P187="Gasto",P187="Reembolso"),D187=""),"⚠ Falta categoría",IF(AND(D187&lt;&gt;"",E187&lt;&gt;"",ISNA(MATCH(D187&amp;"|"&amp;E187,catClave,0))),"⚠ Subcategoría no corresponde",IF(AND(OR(P187="Transferencia",P187="Pago tarjeta"),K187=""),"⚠ Falta cuenta destino",IF(AND(K187&lt;&gt;"",P187&lt;&gt;"Transferencia",P187&lt;&gt;"Pago tarjeta"),"⚠ Destino solo aplica a transferencias",IF(AND(K187&lt;&gt;"",K187=Q187),"⚠ Origen igual a destino",IF(AND(K187&lt;&gt;"",ISNA(MATCH(K187,ctaNombre,0))),"⚠ Destino no registrado",IF(AND(P187="Pago tarjeta",AE187&lt;&gt;"Tarjeta de crédito"),"⚠ El destino debe ser tarjeta de crédito",IF(AND(P187="Gasto",E187="Depósitos y retiros"),"⚠ Usa tipo Transferencia",IF(AND(P187="Resultado trading",AD187&lt;&gt;"Cuenta de trading"),"⚠ Usa una cuenta de trading",IF(AND(G187&lt;=0,P187&lt;&gt;"Ajuste",P187&lt;&gt;"Resultado trading"),"⚠ El monto debe ser positivo","✓")))))))))))))))</f>
        <v/>
      </c>
      <c r="P187" s="52">
        <f>IF(OR(B187="",G187=""),"",IF(C187="","Gasto",C187))</f>
        <v/>
      </c>
      <c r="Q187" s="52">
        <f>IF(P187="","",IF(J187&lt;&gt;"",J187,CuentaPred&amp;""))</f>
        <v/>
      </c>
      <c r="R187" s="52">
        <f>IF(P187="","",IF(ISNUMBER(I187),I187,TasaUSD))</f>
        <v/>
      </c>
      <c r="S187" s="53">
        <f>IF(P187="","",IF(H187="USD",G187*R187,G187))</f>
        <v/>
      </c>
      <c r="T187" s="53">
        <f>IF(P187="","",IF(H187="USD",G187,IF(R187&gt;0,G187/R187,0)))</f>
        <v/>
      </c>
      <c r="U187" s="53">
        <f>IF(P187="","",IF(P187="Gasto",S187,IF(P187="Reembolso",-S187,0)))</f>
        <v/>
      </c>
      <c r="V187" s="53">
        <f>IF(P187="","",IF(P187="Ingreso",S187,0))</f>
        <v/>
      </c>
      <c r="W187" s="53">
        <f>IF(P187="","",IF(P187="Resultado trading",S187,0))</f>
        <v/>
      </c>
      <c r="X187" s="52">
        <f>IF(OR(P187="Gasto",P187="Reembolso"),IF(M187&lt;&gt;"",M187,IFERROR(INDEX(catClasif,MATCH(D187&amp;"|"&amp;E187,catClave,0))&amp;"","Variable")),"")</f>
        <v/>
      </c>
      <c r="Y187" s="52">
        <f>IF(P187="","",IFERROR(INDEX(catGrupo,MATCH(D187&amp;"|"&amp;E187,catClave,0))&amp;"",""))</f>
        <v/>
      </c>
      <c r="Z187" s="52">
        <f>IF(P187="","",WEEKDAY(B187,2))</f>
        <v/>
      </c>
      <c r="AA187" s="52">
        <f>IF(P187="","",IF(AND(P187="Gasto",X187="Variable",D187&lt;&gt;catTrading,S187&gt;0,S187&lt;=Umbral),1,0))</f>
        <v/>
      </c>
      <c r="AB187" s="52">
        <f>IF(OR(P187="",Q187=""),"",IFERROR(IF(INDEX(ctaVinc,MATCH(Q187,ctaNombre,0))&amp;""&lt;&gt;"",INDEX(ctaVinc,MATCH(Q187,ctaNombre,0))&amp;"",Q187),Q187))</f>
        <v/>
      </c>
      <c r="AC187" s="52">
        <f>IF(OR(K187="",AND(P187&lt;&gt;"Transferencia",P187&lt;&gt;"Pago tarjeta")),"",IFERROR(IF(INDEX(ctaVinc,MATCH(K187,ctaNombre,0))&amp;""&lt;&gt;"",INDEX(ctaVinc,MATCH(K187,ctaNombre,0))&amp;"",K187),K187))</f>
        <v/>
      </c>
      <c r="AD187" s="52">
        <f>IF(AB187="","",IFERROR(INDEX(ctaTipo,MATCH(AB187,ctaNombre,0))&amp;"",""))</f>
        <v/>
      </c>
      <c r="AE187" s="52">
        <f>IF(AC187="","",IFERROR(INDEX(ctaTipo,MATCH(AC187,ctaNombre,0))&amp;"",""))</f>
        <v/>
      </c>
      <c r="AF187" s="53">
        <f>IF(OR(P187="",AB187=""),"",IF(OR(P187="Gasto",P187="Transferencia",P187="Pago tarjeta"),-1,1)*IF(IFERROR(INDEX(ctaMoneda,MATCH(AB187,ctaNombre,0))&amp;"","DOP")="USD",T187,S187))</f>
        <v/>
      </c>
      <c r="AG187" s="53">
        <f>IF(AC187="","",IF(IFERROR(INDEX(ctaMoneda,MATCH(AC187,ctaNombre,0))&amp;"","DOP")="USD",T187,S187))</f>
        <v/>
      </c>
      <c r="AH187" s="53">
        <f>IF(P187="","",IF(AND(AD187&lt;&gt;"",COUNTIFS(tcTipo,AD187,tcLiq,"Sí")&gt;0),IF(OR(P187="Gasto",P187="Transferencia",P187="Pago tarjeta"),-1,1)*S187,0)+IF(AND(AE187&lt;&gt;"",COUNTIFS(tcTipo,AE187,tcLiq,"Sí")&gt;0),S187,0))</f>
        <v/>
      </c>
      <c r="AI187" s="52">
        <f>IF(OR(L187="",P187=""),"",IF(COUNTIFS(L$6:L187,L187,P$6:P187,"?*")=1,MAX(AI$5:AI186)+1,""))</f>
        <v/>
      </c>
    </row>
    <row r="188">
      <c r="B188" s="47" t="n">
        <v>46307</v>
      </c>
      <c r="C188" s="48" t="inlineStr">
        <is>
          <t>Gasto</t>
        </is>
      </c>
      <c r="D188" s="48" t="inlineStr">
        <is>
          <t>Alimentación</t>
        </is>
      </c>
      <c r="E188" s="48" t="inlineStr">
        <is>
          <t>Bebidas, snacks y otros consumos</t>
        </is>
      </c>
      <c r="F188" s="48" t="inlineStr">
        <is>
          <t>DEMO · Jugo y galletas</t>
        </is>
      </c>
      <c r="G188" s="49" t="n">
        <v>200</v>
      </c>
      <c r="H188" s="48" t="inlineStr">
        <is>
          <t>DOP</t>
        </is>
      </c>
      <c r="I188" s="50" t="n"/>
      <c r="J188" s="48" t="inlineStr">
        <is>
          <t>Billetera digital</t>
        </is>
      </c>
      <c r="K188" s="48" t="n"/>
      <c r="L188" s="48" t="inlineStr">
        <is>
          <t>Cafetería del trabajo</t>
        </is>
      </c>
      <c r="M188" s="48" t="n"/>
      <c r="N188" s="48" t="inlineStr">
        <is>
          <t>DEMOSTRACIÓN</t>
        </is>
      </c>
      <c r="O188" s="51">
        <f>IF(AND(B188="",G188="",C188="",D188="",J188=""),"",IF(B188="","⚠ Falta fecha",IF(G188="","⚠ Falta monto",IF(Q188="","⚠ Falta cuenta",IF(ISNA(MATCH(Q188,ctaNombre,0)),"⚠ Cuenta no registrada",IF(AND(OR(P188="Gasto",P188="Reembolso"),D188=""),"⚠ Falta categoría",IF(AND(D188&lt;&gt;"",E188&lt;&gt;"",ISNA(MATCH(D188&amp;"|"&amp;E188,catClave,0))),"⚠ Subcategoría no corresponde",IF(AND(OR(P188="Transferencia",P188="Pago tarjeta"),K188=""),"⚠ Falta cuenta destino",IF(AND(K188&lt;&gt;"",P188&lt;&gt;"Transferencia",P188&lt;&gt;"Pago tarjeta"),"⚠ Destino solo aplica a transferencias",IF(AND(K188&lt;&gt;"",K188=Q188),"⚠ Origen igual a destino",IF(AND(K188&lt;&gt;"",ISNA(MATCH(K188,ctaNombre,0))),"⚠ Destino no registrado",IF(AND(P188="Pago tarjeta",AE188&lt;&gt;"Tarjeta de crédito"),"⚠ El destino debe ser tarjeta de crédito",IF(AND(P188="Gasto",E188="Depósitos y retiros"),"⚠ Usa tipo Transferencia",IF(AND(P188="Resultado trading",AD188&lt;&gt;"Cuenta de trading"),"⚠ Usa una cuenta de trading",IF(AND(G188&lt;=0,P188&lt;&gt;"Ajuste",P188&lt;&gt;"Resultado trading"),"⚠ El monto debe ser positivo","✓")))))))))))))))</f>
        <v/>
      </c>
      <c r="P188" s="52">
        <f>IF(OR(B188="",G188=""),"",IF(C188="","Gasto",C188))</f>
        <v/>
      </c>
      <c r="Q188" s="52">
        <f>IF(P188="","",IF(J188&lt;&gt;"",J188,CuentaPred&amp;""))</f>
        <v/>
      </c>
      <c r="R188" s="52">
        <f>IF(P188="","",IF(ISNUMBER(I188),I188,TasaUSD))</f>
        <v/>
      </c>
      <c r="S188" s="53">
        <f>IF(P188="","",IF(H188="USD",G188*R188,G188))</f>
        <v/>
      </c>
      <c r="T188" s="53">
        <f>IF(P188="","",IF(H188="USD",G188,IF(R188&gt;0,G188/R188,0)))</f>
        <v/>
      </c>
      <c r="U188" s="53">
        <f>IF(P188="","",IF(P188="Gasto",S188,IF(P188="Reembolso",-S188,0)))</f>
        <v/>
      </c>
      <c r="V188" s="53">
        <f>IF(P188="","",IF(P188="Ingreso",S188,0))</f>
        <v/>
      </c>
      <c r="W188" s="53">
        <f>IF(P188="","",IF(P188="Resultado trading",S188,0))</f>
        <v/>
      </c>
      <c r="X188" s="52">
        <f>IF(OR(P188="Gasto",P188="Reembolso"),IF(M188&lt;&gt;"",M188,IFERROR(INDEX(catClasif,MATCH(D188&amp;"|"&amp;E188,catClave,0))&amp;"","Variable")),"")</f>
        <v/>
      </c>
      <c r="Y188" s="52">
        <f>IF(P188="","",IFERROR(INDEX(catGrupo,MATCH(D188&amp;"|"&amp;E188,catClave,0))&amp;"",""))</f>
        <v/>
      </c>
      <c r="Z188" s="52">
        <f>IF(P188="","",WEEKDAY(B188,2))</f>
        <v/>
      </c>
      <c r="AA188" s="52">
        <f>IF(P188="","",IF(AND(P188="Gasto",X188="Variable",D188&lt;&gt;catTrading,S188&gt;0,S188&lt;=Umbral),1,0))</f>
        <v/>
      </c>
      <c r="AB188" s="52">
        <f>IF(OR(P188="",Q188=""),"",IFERROR(IF(INDEX(ctaVinc,MATCH(Q188,ctaNombre,0))&amp;""&lt;&gt;"",INDEX(ctaVinc,MATCH(Q188,ctaNombre,0))&amp;"",Q188),Q188))</f>
        <v/>
      </c>
      <c r="AC188" s="52">
        <f>IF(OR(K188="",AND(P188&lt;&gt;"Transferencia",P188&lt;&gt;"Pago tarjeta")),"",IFERROR(IF(INDEX(ctaVinc,MATCH(K188,ctaNombre,0))&amp;""&lt;&gt;"",INDEX(ctaVinc,MATCH(K188,ctaNombre,0))&amp;"",K188),K188))</f>
        <v/>
      </c>
      <c r="AD188" s="52">
        <f>IF(AB188="","",IFERROR(INDEX(ctaTipo,MATCH(AB188,ctaNombre,0))&amp;"",""))</f>
        <v/>
      </c>
      <c r="AE188" s="52">
        <f>IF(AC188="","",IFERROR(INDEX(ctaTipo,MATCH(AC188,ctaNombre,0))&amp;"",""))</f>
        <v/>
      </c>
      <c r="AF188" s="53">
        <f>IF(OR(P188="",AB188=""),"",IF(OR(P188="Gasto",P188="Transferencia",P188="Pago tarjeta"),-1,1)*IF(IFERROR(INDEX(ctaMoneda,MATCH(AB188,ctaNombre,0))&amp;"","DOP")="USD",T188,S188))</f>
        <v/>
      </c>
      <c r="AG188" s="53">
        <f>IF(AC188="","",IF(IFERROR(INDEX(ctaMoneda,MATCH(AC188,ctaNombre,0))&amp;"","DOP")="USD",T188,S188))</f>
        <v/>
      </c>
      <c r="AH188" s="53">
        <f>IF(P188="","",IF(AND(AD188&lt;&gt;"",COUNTIFS(tcTipo,AD188,tcLiq,"Sí")&gt;0),IF(OR(P188="Gasto",P188="Transferencia",P188="Pago tarjeta"),-1,1)*S188,0)+IF(AND(AE188&lt;&gt;"",COUNTIFS(tcTipo,AE188,tcLiq,"Sí")&gt;0),S188,0))</f>
        <v/>
      </c>
      <c r="AI188" s="52">
        <f>IF(OR(L188="",P188=""),"",IF(COUNTIFS(L$6:L188,L188,P$6:P188,"?*")=1,MAX(AI$5:AI187)+1,""))</f>
        <v/>
      </c>
    </row>
    <row r="189">
      <c r="B189" s="47" t="n">
        <v>46307</v>
      </c>
      <c r="C189" s="48" t="inlineStr">
        <is>
          <t>Gasto</t>
        </is>
      </c>
      <c r="D189" s="48" t="inlineStr">
        <is>
          <t>Alimentación</t>
        </is>
      </c>
      <c r="E189" s="48" t="inlineStr">
        <is>
          <t>Supermercado</t>
        </is>
      </c>
      <c r="F189" s="48" t="inlineStr">
        <is>
          <t>DEMO · Compra de supermercado</t>
        </is>
      </c>
      <c r="G189" s="49" t="n">
        <v>5850</v>
      </c>
      <c r="H189" s="48" t="inlineStr">
        <is>
          <t>DOP</t>
        </is>
      </c>
      <c r="I189" s="50" t="n"/>
      <c r="J189" s="48" t="inlineStr">
        <is>
          <t>Tarjeta de crédito</t>
        </is>
      </c>
      <c r="K189" s="48" t="n"/>
      <c r="L189" s="48" t="inlineStr">
        <is>
          <t>Supermercado principal</t>
        </is>
      </c>
      <c r="M189" s="48" t="n"/>
      <c r="N189" s="48" t="inlineStr">
        <is>
          <t>DEMOSTRACIÓN</t>
        </is>
      </c>
      <c r="O189" s="51">
        <f>IF(AND(B189="",G189="",C189="",D189="",J189=""),"",IF(B189="","⚠ Falta fecha",IF(G189="","⚠ Falta monto",IF(Q189="","⚠ Falta cuenta",IF(ISNA(MATCH(Q189,ctaNombre,0)),"⚠ Cuenta no registrada",IF(AND(OR(P189="Gasto",P189="Reembolso"),D189=""),"⚠ Falta categoría",IF(AND(D189&lt;&gt;"",E189&lt;&gt;"",ISNA(MATCH(D189&amp;"|"&amp;E189,catClave,0))),"⚠ Subcategoría no corresponde",IF(AND(OR(P189="Transferencia",P189="Pago tarjeta"),K189=""),"⚠ Falta cuenta destino",IF(AND(K189&lt;&gt;"",P189&lt;&gt;"Transferencia",P189&lt;&gt;"Pago tarjeta"),"⚠ Destino solo aplica a transferencias",IF(AND(K189&lt;&gt;"",K189=Q189),"⚠ Origen igual a destino",IF(AND(K189&lt;&gt;"",ISNA(MATCH(K189,ctaNombre,0))),"⚠ Destino no registrado",IF(AND(P189="Pago tarjeta",AE189&lt;&gt;"Tarjeta de crédito"),"⚠ El destino debe ser tarjeta de crédito",IF(AND(P189="Gasto",E189="Depósitos y retiros"),"⚠ Usa tipo Transferencia",IF(AND(P189="Resultado trading",AD189&lt;&gt;"Cuenta de trading"),"⚠ Usa una cuenta de trading",IF(AND(G189&lt;=0,P189&lt;&gt;"Ajuste",P189&lt;&gt;"Resultado trading"),"⚠ El monto debe ser positivo","✓")))))))))))))))</f>
        <v/>
      </c>
      <c r="P189" s="52">
        <f>IF(OR(B189="",G189=""),"",IF(C189="","Gasto",C189))</f>
        <v/>
      </c>
      <c r="Q189" s="52">
        <f>IF(P189="","",IF(J189&lt;&gt;"",J189,CuentaPred&amp;""))</f>
        <v/>
      </c>
      <c r="R189" s="52">
        <f>IF(P189="","",IF(ISNUMBER(I189),I189,TasaUSD))</f>
        <v/>
      </c>
      <c r="S189" s="53">
        <f>IF(P189="","",IF(H189="USD",G189*R189,G189))</f>
        <v/>
      </c>
      <c r="T189" s="53">
        <f>IF(P189="","",IF(H189="USD",G189,IF(R189&gt;0,G189/R189,0)))</f>
        <v/>
      </c>
      <c r="U189" s="53">
        <f>IF(P189="","",IF(P189="Gasto",S189,IF(P189="Reembolso",-S189,0)))</f>
        <v/>
      </c>
      <c r="V189" s="53">
        <f>IF(P189="","",IF(P189="Ingreso",S189,0))</f>
        <v/>
      </c>
      <c r="W189" s="53">
        <f>IF(P189="","",IF(P189="Resultado trading",S189,0))</f>
        <v/>
      </c>
      <c r="X189" s="52">
        <f>IF(OR(P189="Gasto",P189="Reembolso"),IF(M189&lt;&gt;"",M189,IFERROR(INDEX(catClasif,MATCH(D189&amp;"|"&amp;E189,catClave,0))&amp;"","Variable")),"")</f>
        <v/>
      </c>
      <c r="Y189" s="52">
        <f>IF(P189="","",IFERROR(INDEX(catGrupo,MATCH(D189&amp;"|"&amp;E189,catClave,0))&amp;"",""))</f>
        <v/>
      </c>
      <c r="Z189" s="52">
        <f>IF(P189="","",WEEKDAY(B189,2))</f>
        <v/>
      </c>
      <c r="AA189" s="52">
        <f>IF(P189="","",IF(AND(P189="Gasto",X189="Variable",D189&lt;&gt;catTrading,S189&gt;0,S189&lt;=Umbral),1,0))</f>
        <v/>
      </c>
      <c r="AB189" s="52">
        <f>IF(OR(P189="",Q189=""),"",IFERROR(IF(INDEX(ctaVinc,MATCH(Q189,ctaNombre,0))&amp;""&lt;&gt;"",INDEX(ctaVinc,MATCH(Q189,ctaNombre,0))&amp;"",Q189),Q189))</f>
        <v/>
      </c>
      <c r="AC189" s="52">
        <f>IF(OR(K189="",AND(P189&lt;&gt;"Transferencia",P189&lt;&gt;"Pago tarjeta")),"",IFERROR(IF(INDEX(ctaVinc,MATCH(K189,ctaNombre,0))&amp;""&lt;&gt;"",INDEX(ctaVinc,MATCH(K189,ctaNombre,0))&amp;"",K189),K189))</f>
        <v/>
      </c>
      <c r="AD189" s="52">
        <f>IF(AB189="","",IFERROR(INDEX(ctaTipo,MATCH(AB189,ctaNombre,0))&amp;"",""))</f>
        <v/>
      </c>
      <c r="AE189" s="52">
        <f>IF(AC189="","",IFERROR(INDEX(ctaTipo,MATCH(AC189,ctaNombre,0))&amp;"",""))</f>
        <v/>
      </c>
      <c r="AF189" s="53">
        <f>IF(OR(P189="",AB189=""),"",IF(OR(P189="Gasto",P189="Transferencia",P189="Pago tarjeta"),-1,1)*IF(IFERROR(INDEX(ctaMoneda,MATCH(AB189,ctaNombre,0))&amp;"","DOP")="USD",T189,S189))</f>
        <v/>
      </c>
      <c r="AG189" s="53">
        <f>IF(AC189="","",IF(IFERROR(INDEX(ctaMoneda,MATCH(AC189,ctaNombre,0))&amp;"","DOP")="USD",T189,S189))</f>
        <v/>
      </c>
      <c r="AH189" s="53">
        <f>IF(P189="","",IF(AND(AD189&lt;&gt;"",COUNTIFS(tcTipo,AD189,tcLiq,"Sí")&gt;0),IF(OR(P189="Gasto",P189="Transferencia",P189="Pago tarjeta"),-1,1)*S189,0)+IF(AND(AE189&lt;&gt;"",COUNTIFS(tcTipo,AE189,tcLiq,"Sí")&gt;0),S189,0))</f>
        <v/>
      </c>
      <c r="AI189" s="52">
        <f>IF(OR(L189="",P189=""),"",IF(COUNTIFS(L$6:L189,L189,P$6:P189,"?*")=1,MAX(AI$5:AI188)+1,""))</f>
        <v/>
      </c>
    </row>
    <row r="190">
      <c r="B190" s="47" t="n">
        <v>46307</v>
      </c>
      <c r="C190" s="48" t="inlineStr">
        <is>
          <t>Gasto</t>
        </is>
      </c>
      <c r="D190" s="48" t="inlineStr">
        <is>
          <t>Transporte y vehículo</t>
        </is>
      </c>
      <c r="E190" s="48" t="inlineStr">
        <is>
          <t>Combustible</t>
        </is>
      </c>
      <c r="F190" s="48" t="inlineStr">
        <is>
          <t>DEMO · Combustible</t>
        </is>
      </c>
      <c r="G190" s="49" t="n">
        <v>2750</v>
      </c>
      <c r="H190" s="48" t="inlineStr">
        <is>
          <t>DOP</t>
        </is>
      </c>
      <c r="I190" s="50" t="n"/>
      <c r="J190" s="48" t="inlineStr">
        <is>
          <t>Tarjeta de crédito</t>
        </is>
      </c>
      <c r="K190" s="48" t="n"/>
      <c r="L190" s="48" t="inlineStr">
        <is>
          <t>Estación de combustible</t>
        </is>
      </c>
      <c r="M190" s="48" t="n"/>
      <c r="N190" s="48" t="inlineStr">
        <is>
          <t>DEMOSTRACIÓN</t>
        </is>
      </c>
      <c r="O190" s="51">
        <f>IF(AND(B190="",G190="",C190="",D190="",J190=""),"",IF(B190="","⚠ Falta fecha",IF(G190="","⚠ Falta monto",IF(Q190="","⚠ Falta cuenta",IF(ISNA(MATCH(Q190,ctaNombre,0)),"⚠ Cuenta no registrada",IF(AND(OR(P190="Gasto",P190="Reembolso"),D190=""),"⚠ Falta categoría",IF(AND(D190&lt;&gt;"",E190&lt;&gt;"",ISNA(MATCH(D190&amp;"|"&amp;E190,catClave,0))),"⚠ Subcategoría no corresponde",IF(AND(OR(P190="Transferencia",P190="Pago tarjeta"),K190=""),"⚠ Falta cuenta destino",IF(AND(K190&lt;&gt;"",P190&lt;&gt;"Transferencia",P190&lt;&gt;"Pago tarjeta"),"⚠ Destino solo aplica a transferencias",IF(AND(K190&lt;&gt;"",K190=Q190),"⚠ Origen igual a destino",IF(AND(K190&lt;&gt;"",ISNA(MATCH(K190,ctaNombre,0))),"⚠ Destino no registrado",IF(AND(P190="Pago tarjeta",AE190&lt;&gt;"Tarjeta de crédito"),"⚠ El destino debe ser tarjeta de crédito",IF(AND(P190="Gasto",E190="Depósitos y retiros"),"⚠ Usa tipo Transferencia",IF(AND(P190="Resultado trading",AD190&lt;&gt;"Cuenta de trading"),"⚠ Usa una cuenta de trading",IF(AND(G190&lt;=0,P190&lt;&gt;"Ajuste",P190&lt;&gt;"Resultado trading"),"⚠ El monto debe ser positivo","✓")))))))))))))))</f>
        <v/>
      </c>
      <c r="P190" s="52">
        <f>IF(OR(B190="",G190=""),"",IF(C190="","Gasto",C190))</f>
        <v/>
      </c>
      <c r="Q190" s="52">
        <f>IF(P190="","",IF(J190&lt;&gt;"",J190,CuentaPred&amp;""))</f>
        <v/>
      </c>
      <c r="R190" s="52">
        <f>IF(P190="","",IF(ISNUMBER(I190),I190,TasaUSD))</f>
        <v/>
      </c>
      <c r="S190" s="53">
        <f>IF(P190="","",IF(H190="USD",G190*R190,G190))</f>
        <v/>
      </c>
      <c r="T190" s="53">
        <f>IF(P190="","",IF(H190="USD",G190,IF(R190&gt;0,G190/R190,0)))</f>
        <v/>
      </c>
      <c r="U190" s="53">
        <f>IF(P190="","",IF(P190="Gasto",S190,IF(P190="Reembolso",-S190,0)))</f>
        <v/>
      </c>
      <c r="V190" s="53">
        <f>IF(P190="","",IF(P190="Ingreso",S190,0))</f>
        <v/>
      </c>
      <c r="W190" s="53">
        <f>IF(P190="","",IF(P190="Resultado trading",S190,0))</f>
        <v/>
      </c>
      <c r="X190" s="52">
        <f>IF(OR(P190="Gasto",P190="Reembolso"),IF(M190&lt;&gt;"",M190,IFERROR(INDEX(catClasif,MATCH(D190&amp;"|"&amp;E190,catClave,0))&amp;"","Variable")),"")</f>
        <v/>
      </c>
      <c r="Y190" s="52">
        <f>IF(P190="","",IFERROR(INDEX(catGrupo,MATCH(D190&amp;"|"&amp;E190,catClave,0))&amp;"",""))</f>
        <v/>
      </c>
      <c r="Z190" s="52">
        <f>IF(P190="","",WEEKDAY(B190,2))</f>
        <v/>
      </c>
      <c r="AA190" s="52">
        <f>IF(P190="","",IF(AND(P190="Gasto",X190="Variable",D190&lt;&gt;catTrading,S190&gt;0,S190&lt;=Umbral),1,0))</f>
        <v/>
      </c>
      <c r="AB190" s="52">
        <f>IF(OR(P190="",Q190=""),"",IFERROR(IF(INDEX(ctaVinc,MATCH(Q190,ctaNombre,0))&amp;""&lt;&gt;"",INDEX(ctaVinc,MATCH(Q190,ctaNombre,0))&amp;"",Q190),Q190))</f>
        <v/>
      </c>
      <c r="AC190" s="52">
        <f>IF(OR(K190="",AND(P190&lt;&gt;"Transferencia",P190&lt;&gt;"Pago tarjeta")),"",IFERROR(IF(INDEX(ctaVinc,MATCH(K190,ctaNombre,0))&amp;""&lt;&gt;"",INDEX(ctaVinc,MATCH(K190,ctaNombre,0))&amp;"",K190),K190))</f>
        <v/>
      </c>
      <c r="AD190" s="52">
        <f>IF(AB190="","",IFERROR(INDEX(ctaTipo,MATCH(AB190,ctaNombre,0))&amp;"",""))</f>
        <v/>
      </c>
      <c r="AE190" s="52">
        <f>IF(AC190="","",IFERROR(INDEX(ctaTipo,MATCH(AC190,ctaNombre,0))&amp;"",""))</f>
        <v/>
      </c>
      <c r="AF190" s="53">
        <f>IF(OR(P190="",AB190=""),"",IF(OR(P190="Gasto",P190="Transferencia",P190="Pago tarjeta"),-1,1)*IF(IFERROR(INDEX(ctaMoneda,MATCH(AB190,ctaNombre,0))&amp;"","DOP")="USD",T190,S190))</f>
        <v/>
      </c>
      <c r="AG190" s="53">
        <f>IF(AC190="","",IF(IFERROR(INDEX(ctaMoneda,MATCH(AC190,ctaNombre,0))&amp;"","DOP")="USD",T190,S190))</f>
        <v/>
      </c>
      <c r="AH190" s="53">
        <f>IF(P190="","",IF(AND(AD190&lt;&gt;"",COUNTIFS(tcTipo,AD190,tcLiq,"Sí")&gt;0),IF(OR(P190="Gasto",P190="Transferencia",P190="Pago tarjeta"),-1,1)*S190,0)+IF(AND(AE190&lt;&gt;"",COUNTIFS(tcTipo,AE190,tcLiq,"Sí")&gt;0),S190,0))</f>
        <v/>
      </c>
      <c r="AI190" s="52">
        <f>IF(OR(L190="",P190=""),"",IF(COUNTIFS(L$6:L190,L190,P$6:P190,"?*")=1,MAX(AI$5:AI189)+1,""))</f>
        <v/>
      </c>
    </row>
    <row r="191">
      <c r="B191" s="47" t="n">
        <v>46307</v>
      </c>
      <c r="C191" s="48" t="inlineStr">
        <is>
          <t>Gasto</t>
        </is>
      </c>
      <c r="D191" s="48" t="inlineStr">
        <is>
          <t>Hogar y servicios</t>
        </is>
      </c>
      <c r="E191" s="48" t="inlineStr">
        <is>
          <t>Electricidad</t>
        </is>
      </c>
      <c r="F191" s="48" t="inlineStr">
        <is>
          <t>DEMO · Factura de luz</t>
        </is>
      </c>
      <c r="G191" s="49" t="n">
        <v>2710</v>
      </c>
      <c r="H191" s="48" t="inlineStr">
        <is>
          <t>DOP</t>
        </is>
      </c>
      <c r="I191" s="50" t="n"/>
      <c r="J191" s="48" t="inlineStr">
        <is>
          <t>Banco principal</t>
        </is>
      </c>
      <c r="K191" s="48" t="n"/>
      <c r="L191" s="48" t="inlineStr">
        <is>
          <t>Empresa eléctrica</t>
        </is>
      </c>
      <c r="M191" s="48" t="n"/>
      <c r="N191" s="48" t="inlineStr">
        <is>
          <t>DEMOSTRACIÓN</t>
        </is>
      </c>
      <c r="O191" s="51">
        <f>IF(AND(B191="",G191="",C191="",D191="",J191=""),"",IF(B191="","⚠ Falta fecha",IF(G191="","⚠ Falta monto",IF(Q191="","⚠ Falta cuenta",IF(ISNA(MATCH(Q191,ctaNombre,0)),"⚠ Cuenta no registrada",IF(AND(OR(P191="Gasto",P191="Reembolso"),D191=""),"⚠ Falta categoría",IF(AND(D191&lt;&gt;"",E191&lt;&gt;"",ISNA(MATCH(D191&amp;"|"&amp;E191,catClave,0))),"⚠ Subcategoría no corresponde",IF(AND(OR(P191="Transferencia",P191="Pago tarjeta"),K191=""),"⚠ Falta cuenta destino",IF(AND(K191&lt;&gt;"",P191&lt;&gt;"Transferencia",P191&lt;&gt;"Pago tarjeta"),"⚠ Destino solo aplica a transferencias",IF(AND(K191&lt;&gt;"",K191=Q191),"⚠ Origen igual a destino",IF(AND(K191&lt;&gt;"",ISNA(MATCH(K191,ctaNombre,0))),"⚠ Destino no registrado",IF(AND(P191="Pago tarjeta",AE191&lt;&gt;"Tarjeta de crédito"),"⚠ El destino debe ser tarjeta de crédito",IF(AND(P191="Gasto",E191="Depósitos y retiros"),"⚠ Usa tipo Transferencia",IF(AND(P191="Resultado trading",AD191&lt;&gt;"Cuenta de trading"),"⚠ Usa una cuenta de trading",IF(AND(G191&lt;=0,P191&lt;&gt;"Ajuste",P191&lt;&gt;"Resultado trading"),"⚠ El monto debe ser positivo","✓")))))))))))))))</f>
        <v/>
      </c>
      <c r="P191" s="52">
        <f>IF(OR(B191="",G191=""),"",IF(C191="","Gasto",C191))</f>
        <v/>
      </c>
      <c r="Q191" s="52">
        <f>IF(P191="","",IF(J191&lt;&gt;"",J191,CuentaPred&amp;""))</f>
        <v/>
      </c>
      <c r="R191" s="52">
        <f>IF(P191="","",IF(ISNUMBER(I191),I191,TasaUSD))</f>
        <v/>
      </c>
      <c r="S191" s="53">
        <f>IF(P191="","",IF(H191="USD",G191*R191,G191))</f>
        <v/>
      </c>
      <c r="T191" s="53">
        <f>IF(P191="","",IF(H191="USD",G191,IF(R191&gt;0,G191/R191,0)))</f>
        <v/>
      </c>
      <c r="U191" s="53">
        <f>IF(P191="","",IF(P191="Gasto",S191,IF(P191="Reembolso",-S191,0)))</f>
        <v/>
      </c>
      <c r="V191" s="53">
        <f>IF(P191="","",IF(P191="Ingreso",S191,0))</f>
        <v/>
      </c>
      <c r="W191" s="53">
        <f>IF(P191="","",IF(P191="Resultado trading",S191,0))</f>
        <v/>
      </c>
      <c r="X191" s="52">
        <f>IF(OR(P191="Gasto",P191="Reembolso"),IF(M191&lt;&gt;"",M191,IFERROR(INDEX(catClasif,MATCH(D191&amp;"|"&amp;E191,catClave,0))&amp;"","Variable")),"")</f>
        <v/>
      </c>
      <c r="Y191" s="52">
        <f>IF(P191="","",IFERROR(INDEX(catGrupo,MATCH(D191&amp;"|"&amp;E191,catClave,0))&amp;"",""))</f>
        <v/>
      </c>
      <c r="Z191" s="52">
        <f>IF(P191="","",WEEKDAY(B191,2))</f>
        <v/>
      </c>
      <c r="AA191" s="52">
        <f>IF(P191="","",IF(AND(P191="Gasto",X191="Variable",D191&lt;&gt;catTrading,S191&gt;0,S191&lt;=Umbral),1,0))</f>
        <v/>
      </c>
      <c r="AB191" s="52">
        <f>IF(OR(P191="",Q191=""),"",IFERROR(IF(INDEX(ctaVinc,MATCH(Q191,ctaNombre,0))&amp;""&lt;&gt;"",INDEX(ctaVinc,MATCH(Q191,ctaNombre,0))&amp;"",Q191),Q191))</f>
        <v/>
      </c>
      <c r="AC191" s="52">
        <f>IF(OR(K191="",AND(P191&lt;&gt;"Transferencia",P191&lt;&gt;"Pago tarjeta")),"",IFERROR(IF(INDEX(ctaVinc,MATCH(K191,ctaNombre,0))&amp;""&lt;&gt;"",INDEX(ctaVinc,MATCH(K191,ctaNombre,0))&amp;"",K191),K191))</f>
        <v/>
      </c>
      <c r="AD191" s="52">
        <f>IF(AB191="","",IFERROR(INDEX(ctaTipo,MATCH(AB191,ctaNombre,0))&amp;"",""))</f>
        <v/>
      </c>
      <c r="AE191" s="52">
        <f>IF(AC191="","",IFERROR(INDEX(ctaTipo,MATCH(AC191,ctaNombre,0))&amp;"",""))</f>
        <v/>
      </c>
      <c r="AF191" s="53">
        <f>IF(OR(P191="",AB191=""),"",IF(OR(P191="Gasto",P191="Transferencia",P191="Pago tarjeta"),-1,1)*IF(IFERROR(INDEX(ctaMoneda,MATCH(AB191,ctaNombre,0))&amp;"","DOP")="USD",T191,S191))</f>
        <v/>
      </c>
      <c r="AG191" s="53">
        <f>IF(AC191="","",IF(IFERROR(INDEX(ctaMoneda,MATCH(AC191,ctaNombre,0))&amp;"","DOP")="USD",T191,S191))</f>
        <v/>
      </c>
      <c r="AH191" s="53">
        <f>IF(P191="","",IF(AND(AD191&lt;&gt;"",COUNTIFS(tcTipo,AD191,tcLiq,"Sí")&gt;0),IF(OR(P191="Gasto",P191="Transferencia",P191="Pago tarjeta"),-1,1)*S191,0)+IF(AND(AE191&lt;&gt;"",COUNTIFS(tcTipo,AE191,tcLiq,"Sí")&gt;0),S191,0))</f>
        <v/>
      </c>
      <c r="AI191" s="52">
        <f>IF(OR(L191="",P191=""),"",IF(COUNTIFS(L$6:L191,L191,P$6:P191,"?*")=1,MAX(AI$5:AI190)+1,""))</f>
        <v/>
      </c>
    </row>
    <row r="192">
      <c r="B192" s="47" t="n">
        <v>46308</v>
      </c>
      <c r="C192" s="48" t="inlineStr">
        <is>
          <t>Gasto</t>
        </is>
      </c>
      <c r="D192" s="48" t="inlineStr">
        <is>
          <t>Alimentación</t>
        </is>
      </c>
      <c r="E192" s="48" t="inlineStr">
        <is>
          <t>Almuerzos laborales</t>
        </is>
      </c>
      <c r="F192" s="48" t="inlineStr">
        <is>
          <t>DEMO · Almuerzo laboral</t>
        </is>
      </c>
      <c r="G192" s="49" t="n">
        <v>350</v>
      </c>
      <c r="H192" s="48" t="inlineStr">
        <is>
          <t>DOP</t>
        </is>
      </c>
      <c r="I192" s="50" t="n"/>
      <c r="J192" s="48" t="inlineStr">
        <is>
          <t>Tarjeta de débito</t>
        </is>
      </c>
      <c r="K192" s="48" t="n"/>
      <c r="L192" s="48" t="inlineStr">
        <is>
          <t>Comedor ejecutivo</t>
        </is>
      </c>
      <c r="M192" s="48" t="n"/>
      <c r="N192" s="48" t="inlineStr">
        <is>
          <t>DEMOSTRACIÓN</t>
        </is>
      </c>
      <c r="O192" s="51">
        <f>IF(AND(B192="",G192="",C192="",D192="",J192=""),"",IF(B192="","⚠ Falta fecha",IF(G192="","⚠ Falta monto",IF(Q192="","⚠ Falta cuenta",IF(ISNA(MATCH(Q192,ctaNombre,0)),"⚠ Cuenta no registrada",IF(AND(OR(P192="Gasto",P192="Reembolso"),D192=""),"⚠ Falta categoría",IF(AND(D192&lt;&gt;"",E192&lt;&gt;"",ISNA(MATCH(D192&amp;"|"&amp;E192,catClave,0))),"⚠ Subcategoría no corresponde",IF(AND(OR(P192="Transferencia",P192="Pago tarjeta"),K192=""),"⚠ Falta cuenta destino",IF(AND(K192&lt;&gt;"",P192&lt;&gt;"Transferencia",P192&lt;&gt;"Pago tarjeta"),"⚠ Destino solo aplica a transferencias",IF(AND(K192&lt;&gt;"",K192=Q192),"⚠ Origen igual a destino",IF(AND(K192&lt;&gt;"",ISNA(MATCH(K192,ctaNombre,0))),"⚠ Destino no registrado",IF(AND(P192="Pago tarjeta",AE192&lt;&gt;"Tarjeta de crédito"),"⚠ El destino debe ser tarjeta de crédito",IF(AND(P192="Gasto",E192="Depósitos y retiros"),"⚠ Usa tipo Transferencia",IF(AND(P192="Resultado trading",AD192&lt;&gt;"Cuenta de trading"),"⚠ Usa una cuenta de trading",IF(AND(G192&lt;=0,P192&lt;&gt;"Ajuste",P192&lt;&gt;"Resultado trading"),"⚠ El monto debe ser positivo","✓")))))))))))))))</f>
        <v/>
      </c>
      <c r="P192" s="52">
        <f>IF(OR(B192="",G192=""),"",IF(C192="","Gasto",C192))</f>
        <v/>
      </c>
      <c r="Q192" s="52">
        <f>IF(P192="","",IF(J192&lt;&gt;"",J192,CuentaPred&amp;""))</f>
        <v/>
      </c>
      <c r="R192" s="52">
        <f>IF(P192="","",IF(ISNUMBER(I192),I192,TasaUSD))</f>
        <v/>
      </c>
      <c r="S192" s="53">
        <f>IF(P192="","",IF(H192="USD",G192*R192,G192))</f>
        <v/>
      </c>
      <c r="T192" s="53">
        <f>IF(P192="","",IF(H192="USD",G192,IF(R192&gt;0,G192/R192,0)))</f>
        <v/>
      </c>
      <c r="U192" s="53">
        <f>IF(P192="","",IF(P192="Gasto",S192,IF(P192="Reembolso",-S192,0)))</f>
        <v/>
      </c>
      <c r="V192" s="53">
        <f>IF(P192="","",IF(P192="Ingreso",S192,0))</f>
        <v/>
      </c>
      <c r="W192" s="53">
        <f>IF(P192="","",IF(P192="Resultado trading",S192,0))</f>
        <v/>
      </c>
      <c r="X192" s="52">
        <f>IF(OR(P192="Gasto",P192="Reembolso"),IF(M192&lt;&gt;"",M192,IFERROR(INDEX(catClasif,MATCH(D192&amp;"|"&amp;E192,catClave,0))&amp;"","Variable")),"")</f>
        <v/>
      </c>
      <c r="Y192" s="52">
        <f>IF(P192="","",IFERROR(INDEX(catGrupo,MATCH(D192&amp;"|"&amp;E192,catClave,0))&amp;"",""))</f>
        <v/>
      </c>
      <c r="Z192" s="52">
        <f>IF(P192="","",WEEKDAY(B192,2))</f>
        <v/>
      </c>
      <c r="AA192" s="52">
        <f>IF(P192="","",IF(AND(P192="Gasto",X192="Variable",D192&lt;&gt;catTrading,S192&gt;0,S192&lt;=Umbral),1,0))</f>
        <v/>
      </c>
      <c r="AB192" s="52">
        <f>IF(OR(P192="",Q192=""),"",IFERROR(IF(INDEX(ctaVinc,MATCH(Q192,ctaNombre,0))&amp;""&lt;&gt;"",INDEX(ctaVinc,MATCH(Q192,ctaNombre,0))&amp;"",Q192),Q192))</f>
        <v/>
      </c>
      <c r="AC192" s="52">
        <f>IF(OR(K192="",AND(P192&lt;&gt;"Transferencia",P192&lt;&gt;"Pago tarjeta")),"",IFERROR(IF(INDEX(ctaVinc,MATCH(K192,ctaNombre,0))&amp;""&lt;&gt;"",INDEX(ctaVinc,MATCH(K192,ctaNombre,0))&amp;"",K192),K192))</f>
        <v/>
      </c>
      <c r="AD192" s="52">
        <f>IF(AB192="","",IFERROR(INDEX(ctaTipo,MATCH(AB192,ctaNombre,0))&amp;"",""))</f>
        <v/>
      </c>
      <c r="AE192" s="52">
        <f>IF(AC192="","",IFERROR(INDEX(ctaTipo,MATCH(AC192,ctaNombre,0))&amp;"",""))</f>
        <v/>
      </c>
      <c r="AF192" s="53">
        <f>IF(OR(P192="",AB192=""),"",IF(OR(P192="Gasto",P192="Transferencia",P192="Pago tarjeta"),-1,1)*IF(IFERROR(INDEX(ctaMoneda,MATCH(AB192,ctaNombre,0))&amp;"","DOP")="USD",T192,S192))</f>
        <v/>
      </c>
      <c r="AG192" s="53">
        <f>IF(AC192="","",IF(IFERROR(INDEX(ctaMoneda,MATCH(AC192,ctaNombre,0))&amp;"","DOP")="USD",T192,S192))</f>
        <v/>
      </c>
      <c r="AH192" s="53">
        <f>IF(P192="","",IF(AND(AD192&lt;&gt;"",COUNTIFS(tcTipo,AD192,tcLiq,"Sí")&gt;0),IF(OR(P192="Gasto",P192="Transferencia",P192="Pago tarjeta"),-1,1)*S192,0)+IF(AND(AE192&lt;&gt;"",COUNTIFS(tcTipo,AE192,tcLiq,"Sí")&gt;0),S192,0))</f>
        <v/>
      </c>
      <c r="AI192" s="52">
        <f>IF(OR(L192="",P192=""),"",IF(COUNTIFS(L$6:L192,L192,P$6:P192,"?*")=1,MAX(AI$5:AI191)+1,""))</f>
        <v/>
      </c>
    </row>
    <row r="193">
      <c r="B193" s="47" t="n">
        <v>46308</v>
      </c>
      <c r="C193" s="48" t="inlineStr">
        <is>
          <t>Gasto</t>
        </is>
      </c>
      <c r="D193" s="48" t="inlineStr">
        <is>
          <t>Hogar y servicios</t>
        </is>
      </c>
      <c r="E193" s="48" t="inlineStr">
        <is>
          <t>Agua</t>
        </is>
      </c>
      <c r="F193" s="48" t="inlineStr">
        <is>
          <t>DEMO · Factura de agua</t>
        </is>
      </c>
      <c r="G193" s="49" t="n">
        <v>450</v>
      </c>
      <c r="H193" s="48" t="inlineStr">
        <is>
          <t>DOP</t>
        </is>
      </c>
      <c r="I193" s="50" t="n"/>
      <c r="J193" s="48" t="inlineStr">
        <is>
          <t>Banco principal</t>
        </is>
      </c>
      <c r="K193" s="48" t="n"/>
      <c r="L193" s="48" t="inlineStr">
        <is>
          <t>Acueducto</t>
        </is>
      </c>
      <c r="M193" s="48" t="n"/>
      <c r="N193" s="48" t="inlineStr">
        <is>
          <t>DEMOSTRACIÓN</t>
        </is>
      </c>
      <c r="O193" s="51">
        <f>IF(AND(B193="",G193="",C193="",D193="",J193=""),"",IF(B193="","⚠ Falta fecha",IF(G193="","⚠ Falta monto",IF(Q193="","⚠ Falta cuenta",IF(ISNA(MATCH(Q193,ctaNombre,0)),"⚠ Cuenta no registrada",IF(AND(OR(P193="Gasto",P193="Reembolso"),D193=""),"⚠ Falta categoría",IF(AND(D193&lt;&gt;"",E193&lt;&gt;"",ISNA(MATCH(D193&amp;"|"&amp;E193,catClave,0))),"⚠ Subcategoría no corresponde",IF(AND(OR(P193="Transferencia",P193="Pago tarjeta"),K193=""),"⚠ Falta cuenta destino",IF(AND(K193&lt;&gt;"",P193&lt;&gt;"Transferencia",P193&lt;&gt;"Pago tarjeta"),"⚠ Destino solo aplica a transferencias",IF(AND(K193&lt;&gt;"",K193=Q193),"⚠ Origen igual a destino",IF(AND(K193&lt;&gt;"",ISNA(MATCH(K193,ctaNombre,0))),"⚠ Destino no registrado",IF(AND(P193="Pago tarjeta",AE193&lt;&gt;"Tarjeta de crédito"),"⚠ El destino debe ser tarjeta de crédito",IF(AND(P193="Gasto",E193="Depósitos y retiros"),"⚠ Usa tipo Transferencia",IF(AND(P193="Resultado trading",AD193&lt;&gt;"Cuenta de trading"),"⚠ Usa una cuenta de trading",IF(AND(G193&lt;=0,P193&lt;&gt;"Ajuste",P193&lt;&gt;"Resultado trading"),"⚠ El monto debe ser positivo","✓")))))))))))))))</f>
        <v/>
      </c>
      <c r="P193" s="52">
        <f>IF(OR(B193="",G193=""),"",IF(C193="","Gasto",C193))</f>
        <v/>
      </c>
      <c r="Q193" s="52">
        <f>IF(P193="","",IF(J193&lt;&gt;"",J193,CuentaPred&amp;""))</f>
        <v/>
      </c>
      <c r="R193" s="52">
        <f>IF(P193="","",IF(ISNUMBER(I193),I193,TasaUSD))</f>
        <v/>
      </c>
      <c r="S193" s="53">
        <f>IF(P193="","",IF(H193="USD",G193*R193,G193))</f>
        <v/>
      </c>
      <c r="T193" s="53">
        <f>IF(P193="","",IF(H193="USD",G193,IF(R193&gt;0,G193/R193,0)))</f>
        <v/>
      </c>
      <c r="U193" s="53">
        <f>IF(P193="","",IF(P193="Gasto",S193,IF(P193="Reembolso",-S193,0)))</f>
        <v/>
      </c>
      <c r="V193" s="53">
        <f>IF(P193="","",IF(P193="Ingreso",S193,0))</f>
        <v/>
      </c>
      <c r="W193" s="53">
        <f>IF(P193="","",IF(P193="Resultado trading",S193,0))</f>
        <v/>
      </c>
      <c r="X193" s="52">
        <f>IF(OR(P193="Gasto",P193="Reembolso"),IF(M193&lt;&gt;"",M193,IFERROR(INDEX(catClasif,MATCH(D193&amp;"|"&amp;E193,catClave,0))&amp;"","Variable")),"")</f>
        <v/>
      </c>
      <c r="Y193" s="52">
        <f>IF(P193="","",IFERROR(INDEX(catGrupo,MATCH(D193&amp;"|"&amp;E193,catClave,0))&amp;"",""))</f>
        <v/>
      </c>
      <c r="Z193" s="52">
        <f>IF(P193="","",WEEKDAY(B193,2))</f>
        <v/>
      </c>
      <c r="AA193" s="52">
        <f>IF(P193="","",IF(AND(P193="Gasto",X193="Variable",D193&lt;&gt;catTrading,S193&gt;0,S193&lt;=Umbral),1,0))</f>
        <v/>
      </c>
      <c r="AB193" s="52">
        <f>IF(OR(P193="",Q193=""),"",IFERROR(IF(INDEX(ctaVinc,MATCH(Q193,ctaNombre,0))&amp;""&lt;&gt;"",INDEX(ctaVinc,MATCH(Q193,ctaNombre,0))&amp;"",Q193),Q193))</f>
        <v/>
      </c>
      <c r="AC193" s="52">
        <f>IF(OR(K193="",AND(P193&lt;&gt;"Transferencia",P193&lt;&gt;"Pago tarjeta")),"",IFERROR(IF(INDEX(ctaVinc,MATCH(K193,ctaNombre,0))&amp;""&lt;&gt;"",INDEX(ctaVinc,MATCH(K193,ctaNombre,0))&amp;"",K193),K193))</f>
        <v/>
      </c>
      <c r="AD193" s="52">
        <f>IF(AB193="","",IFERROR(INDEX(ctaTipo,MATCH(AB193,ctaNombre,0))&amp;"",""))</f>
        <v/>
      </c>
      <c r="AE193" s="52">
        <f>IF(AC193="","",IFERROR(INDEX(ctaTipo,MATCH(AC193,ctaNombre,0))&amp;"",""))</f>
        <v/>
      </c>
      <c r="AF193" s="53">
        <f>IF(OR(P193="",AB193=""),"",IF(OR(P193="Gasto",P193="Transferencia",P193="Pago tarjeta"),-1,1)*IF(IFERROR(INDEX(ctaMoneda,MATCH(AB193,ctaNombre,0))&amp;"","DOP")="USD",T193,S193))</f>
        <v/>
      </c>
      <c r="AG193" s="53">
        <f>IF(AC193="","",IF(IFERROR(INDEX(ctaMoneda,MATCH(AC193,ctaNombre,0))&amp;"","DOP")="USD",T193,S193))</f>
        <v/>
      </c>
      <c r="AH193" s="53">
        <f>IF(P193="","",IF(AND(AD193&lt;&gt;"",COUNTIFS(tcTipo,AD193,tcLiq,"Sí")&gt;0),IF(OR(P193="Gasto",P193="Transferencia",P193="Pago tarjeta"),-1,1)*S193,0)+IF(AND(AE193&lt;&gt;"",COUNTIFS(tcTipo,AE193,tcLiq,"Sí")&gt;0),S193,0))</f>
        <v/>
      </c>
      <c r="AI193" s="52">
        <f>IF(OR(L193="",P193=""),"",IF(COUNTIFS(L$6:L193,L193,P$6:P193,"?*")=1,MAX(AI$5:AI192)+1,""))</f>
        <v/>
      </c>
    </row>
    <row r="194">
      <c r="B194" s="47" t="n">
        <v>46309</v>
      </c>
      <c r="C194" s="48" t="inlineStr">
        <is>
          <t>Gasto</t>
        </is>
      </c>
      <c r="D194" s="48" t="inlineStr">
        <is>
          <t>Alimentación</t>
        </is>
      </c>
      <c r="E194" s="48" t="inlineStr">
        <is>
          <t>Almuerzos laborales</t>
        </is>
      </c>
      <c r="F194" s="48" t="inlineStr">
        <is>
          <t>DEMO · Almuerzo laboral</t>
        </is>
      </c>
      <c r="G194" s="49" t="n">
        <v>425</v>
      </c>
      <c r="H194" s="48" t="inlineStr">
        <is>
          <t>DOP</t>
        </is>
      </c>
      <c r="I194" s="50" t="n"/>
      <c r="J194" s="48" t="inlineStr">
        <is>
          <t>Billetera digital</t>
        </is>
      </c>
      <c r="K194" s="48" t="n"/>
      <c r="L194" s="48" t="inlineStr">
        <is>
          <t>Comedor ejecutivo</t>
        </is>
      </c>
      <c r="M194" s="48" t="n"/>
      <c r="N194" s="48" t="inlineStr">
        <is>
          <t>DEMOSTRACIÓN</t>
        </is>
      </c>
      <c r="O194" s="51">
        <f>IF(AND(B194="",G194="",C194="",D194="",J194=""),"",IF(B194="","⚠ Falta fecha",IF(G194="","⚠ Falta monto",IF(Q194="","⚠ Falta cuenta",IF(ISNA(MATCH(Q194,ctaNombre,0)),"⚠ Cuenta no registrada",IF(AND(OR(P194="Gasto",P194="Reembolso"),D194=""),"⚠ Falta categoría",IF(AND(D194&lt;&gt;"",E194&lt;&gt;"",ISNA(MATCH(D194&amp;"|"&amp;E194,catClave,0))),"⚠ Subcategoría no corresponde",IF(AND(OR(P194="Transferencia",P194="Pago tarjeta"),K194=""),"⚠ Falta cuenta destino",IF(AND(K194&lt;&gt;"",P194&lt;&gt;"Transferencia",P194&lt;&gt;"Pago tarjeta"),"⚠ Destino solo aplica a transferencias",IF(AND(K194&lt;&gt;"",K194=Q194),"⚠ Origen igual a destino",IF(AND(K194&lt;&gt;"",ISNA(MATCH(K194,ctaNombre,0))),"⚠ Destino no registrado",IF(AND(P194="Pago tarjeta",AE194&lt;&gt;"Tarjeta de crédito"),"⚠ El destino debe ser tarjeta de crédito",IF(AND(P194="Gasto",E194="Depósitos y retiros"),"⚠ Usa tipo Transferencia",IF(AND(P194="Resultado trading",AD194&lt;&gt;"Cuenta de trading"),"⚠ Usa una cuenta de trading",IF(AND(G194&lt;=0,P194&lt;&gt;"Ajuste",P194&lt;&gt;"Resultado trading"),"⚠ El monto debe ser positivo","✓")))))))))))))))</f>
        <v/>
      </c>
      <c r="P194" s="52">
        <f>IF(OR(B194="",G194=""),"",IF(C194="","Gasto",C194))</f>
        <v/>
      </c>
      <c r="Q194" s="52">
        <f>IF(P194="","",IF(J194&lt;&gt;"",J194,CuentaPred&amp;""))</f>
        <v/>
      </c>
      <c r="R194" s="52">
        <f>IF(P194="","",IF(ISNUMBER(I194),I194,TasaUSD))</f>
        <v/>
      </c>
      <c r="S194" s="53">
        <f>IF(P194="","",IF(H194="USD",G194*R194,G194))</f>
        <v/>
      </c>
      <c r="T194" s="53">
        <f>IF(P194="","",IF(H194="USD",G194,IF(R194&gt;0,G194/R194,0)))</f>
        <v/>
      </c>
      <c r="U194" s="53">
        <f>IF(P194="","",IF(P194="Gasto",S194,IF(P194="Reembolso",-S194,0)))</f>
        <v/>
      </c>
      <c r="V194" s="53">
        <f>IF(P194="","",IF(P194="Ingreso",S194,0))</f>
        <v/>
      </c>
      <c r="W194" s="53">
        <f>IF(P194="","",IF(P194="Resultado trading",S194,0))</f>
        <v/>
      </c>
      <c r="X194" s="52">
        <f>IF(OR(P194="Gasto",P194="Reembolso"),IF(M194&lt;&gt;"",M194,IFERROR(INDEX(catClasif,MATCH(D194&amp;"|"&amp;E194,catClave,0))&amp;"","Variable")),"")</f>
        <v/>
      </c>
      <c r="Y194" s="52">
        <f>IF(P194="","",IFERROR(INDEX(catGrupo,MATCH(D194&amp;"|"&amp;E194,catClave,0))&amp;"",""))</f>
        <v/>
      </c>
      <c r="Z194" s="52">
        <f>IF(P194="","",WEEKDAY(B194,2))</f>
        <v/>
      </c>
      <c r="AA194" s="52">
        <f>IF(P194="","",IF(AND(P194="Gasto",X194="Variable",D194&lt;&gt;catTrading,S194&gt;0,S194&lt;=Umbral),1,0))</f>
        <v/>
      </c>
      <c r="AB194" s="52">
        <f>IF(OR(P194="",Q194=""),"",IFERROR(IF(INDEX(ctaVinc,MATCH(Q194,ctaNombre,0))&amp;""&lt;&gt;"",INDEX(ctaVinc,MATCH(Q194,ctaNombre,0))&amp;"",Q194),Q194))</f>
        <v/>
      </c>
      <c r="AC194" s="52">
        <f>IF(OR(K194="",AND(P194&lt;&gt;"Transferencia",P194&lt;&gt;"Pago tarjeta")),"",IFERROR(IF(INDEX(ctaVinc,MATCH(K194,ctaNombre,0))&amp;""&lt;&gt;"",INDEX(ctaVinc,MATCH(K194,ctaNombre,0))&amp;"",K194),K194))</f>
        <v/>
      </c>
      <c r="AD194" s="52">
        <f>IF(AB194="","",IFERROR(INDEX(ctaTipo,MATCH(AB194,ctaNombre,0))&amp;"",""))</f>
        <v/>
      </c>
      <c r="AE194" s="52">
        <f>IF(AC194="","",IFERROR(INDEX(ctaTipo,MATCH(AC194,ctaNombre,0))&amp;"",""))</f>
        <v/>
      </c>
      <c r="AF194" s="53">
        <f>IF(OR(P194="",AB194=""),"",IF(OR(P194="Gasto",P194="Transferencia",P194="Pago tarjeta"),-1,1)*IF(IFERROR(INDEX(ctaMoneda,MATCH(AB194,ctaNombre,0))&amp;"","DOP")="USD",T194,S194))</f>
        <v/>
      </c>
      <c r="AG194" s="53">
        <f>IF(AC194="","",IF(IFERROR(INDEX(ctaMoneda,MATCH(AC194,ctaNombre,0))&amp;"","DOP")="USD",T194,S194))</f>
        <v/>
      </c>
      <c r="AH194" s="53">
        <f>IF(P194="","",IF(AND(AD194&lt;&gt;"",COUNTIFS(tcTipo,AD194,tcLiq,"Sí")&gt;0),IF(OR(P194="Gasto",P194="Transferencia",P194="Pago tarjeta"),-1,1)*S194,0)+IF(AND(AE194&lt;&gt;"",COUNTIFS(tcTipo,AE194,tcLiq,"Sí")&gt;0),S194,0))</f>
        <v/>
      </c>
      <c r="AI194" s="52">
        <f>IF(OR(L194="",P194=""),"",IF(COUNTIFS(L$6:L194,L194,P$6:P194,"?*")=1,MAX(AI$5:AI193)+1,""))</f>
        <v/>
      </c>
    </row>
    <row r="195">
      <c r="B195" s="47" t="n"/>
      <c r="C195" s="48" t="n"/>
      <c r="D195" s="48" t="n"/>
      <c r="E195" s="48" t="n"/>
      <c r="F195" s="48" t="n"/>
      <c r="G195" s="49" t="n"/>
      <c r="H195" s="48" t="n"/>
      <c r="I195" s="50" t="n"/>
      <c r="J195" s="48" t="n"/>
      <c r="K195" s="48" t="n"/>
      <c r="L195" s="48" t="n"/>
      <c r="M195" s="48" t="n"/>
      <c r="N195" s="48" t="n"/>
      <c r="O195" s="51">
        <f>IF(AND(B195="",G195="",C195="",D195="",J195=""),"",IF(B195="","⚠ Falta fecha",IF(G195="","⚠ Falta monto",IF(Q195="","⚠ Falta cuenta",IF(ISNA(MATCH(Q195,ctaNombre,0)),"⚠ Cuenta no registrada",IF(AND(OR(P195="Gasto",P195="Reembolso"),D195=""),"⚠ Falta categoría",IF(AND(D195&lt;&gt;"",E195&lt;&gt;"",ISNA(MATCH(D195&amp;"|"&amp;E195,catClave,0))),"⚠ Subcategoría no corresponde",IF(AND(OR(P195="Transferencia",P195="Pago tarjeta"),K195=""),"⚠ Falta cuenta destino",IF(AND(K195&lt;&gt;"",P195&lt;&gt;"Transferencia",P195&lt;&gt;"Pago tarjeta"),"⚠ Destino solo aplica a transferencias",IF(AND(K195&lt;&gt;"",K195=Q195),"⚠ Origen igual a destino",IF(AND(K195&lt;&gt;"",ISNA(MATCH(K195,ctaNombre,0))),"⚠ Destino no registrado",IF(AND(P195="Pago tarjeta",AE195&lt;&gt;"Tarjeta de crédito"),"⚠ El destino debe ser tarjeta de crédito",IF(AND(P195="Gasto",E195="Depósitos y retiros"),"⚠ Usa tipo Transferencia",IF(AND(P195="Resultado trading",AD195&lt;&gt;"Cuenta de trading"),"⚠ Usa una cuenta de trading",IF(AND(G195&lt;=0,P195&lt;&gt;"Ajuste",P195&lt;&gt;"Resultado trading"),"⚠ El monto debe ser positivo","✓")))))))))))))))</f>
        <v/>
      </c>
      <c r="P195" s="52">
        <f>IF(OR(B195="",G195=""),"",IF(C195="","Gasto",C195))</f>
        <v/>
      </c>
      <c r="Q195" s="52">
        <f>IF(P195="","",IF(J195&lt;&gt;"",J195,CuentaPred&amp;""))</f>
        <v/>
      </c>
      <c r="R195" s="52">
        <f>IF(P195="","",IF(ISNUMBER(I195),I195,TasaUSD))</f>
        <v/>
      </c>
      <c r="S195" s="53">
        <f>IF(P195="","",IF(H195="USD",G195*R195,G195))</f>
        <v/>
      </c>
      <c r="T195" s="53">
        <f>IF(P195="","",IF(H195="USD",G195,IF(R195&gt;0,G195/R195,0)))</f>
        <v/>
      </c>
      <c r="U195" s="53">
        <f>IF(P195="","",IF(P195="Gasto",S195,IF(P195="Reembolso",-S195,0)))</f>
        <v/>
      </c>
      <c r="V195" s="53">
        <f>IF(P195="","",IF(P195="Ingreso",S195,0))</f>
        <v/>
      </c>
      <c r="W195" s="53">
        <f>IF(P195="","",IF(P195="Resultado trading",S195,0))</f>
        <v/>
      </c>
      <c r="X195" s="52">
        <f>IF(OR(P195="Gasto",P195="Reembolso"),IF(M195&lt;&gt;"",M195,IFERROR(INDEX(catClasif,MATCH(D195&amp;"|"&amp;E195,catClave,0))&amp;"","Variable")),"")</f>
        <v/>
      </c>
      <c r="Y195" s="52">
        <f>IF(P195="","",IFERROR(INDEX(catGrupo,MATCH(D195&amp;"|"&amp;E195,catClave,0))&amp;"",""))</f>
        <v/>
      </c>
      <c r="Z195" s="52">
        <f>IF(P195="","",WEEKDAY(B195,2))</f>
        <v/>
      </c>
      <c r="AA195" s="52">
        <f>IF(P195="","",IF(AND(P195="Gasto",X195="Variable",D195&lt;&gt;catTrading,S195&gt;0,S195&lt;=Umbral),1,0))</f>
        <v/>
      </c>
      <c r="AB195" s="52">
        <f>IF(OR(P195="",Q195=""),"",IFERROR(IF(INDEX(ctaVinc,MATCH(Q195,ctaNombre,0))&amp;""&lt;&gt;"",INDEX(ctaVinc,MATCH(Q195,ctaNombre,0))&amp;"",Q195),Q195))</f>
        <v/>
      </c>
      <c r="AC195" s="52">
        <f>IF(OR(K195="",AND(P195&lt;&gt;"Transferencia",P195&lt;&gt;"Pago tarjeta")),"",IFERROR(IF(INDEX(ctaVinc,MATCH(K195,ctaNombre,0))&amp;""&lt;&gt;"",INDEX(ctaVinc,MATCH(K195,ctaNombre,0))&amp;"",K195),K195))</f>
        <v/>
      </c>
      <c r="AD195" s="52">
        <f>IF(AB195="","",IFERROR(INDEX(ctaTipo,MATCH(AB195,ctaNombre,0))&amp;"",""))</f>
        <v/>
      </c>
      <c r="AE195" s="52">
        <f>IF(AC195="","",IFERROR(INDEX(ctaTipo,MATCH(AC195,ctaNombre,0))&amp;"",""))</f>
        <v/>
      </c>
      <c r="AF195" s="53">
        <f>IF(OR(P195="",AB195=""),"",IF(OR(P195="Gasto",P195="Transferencia",P195="Pago tarjeta"),-1,1)*IF(IFERROR(INDEX(ctaMoneda,MATCH(AB195,ctaNombre,0))&amp;"","DOP")="USD",T195,S195))</f>
        <v/>
      </c>
      <c r="AG195" s="53">
        <f>IF(AC195="","",IF(IFERROR(INDEX(ctaMoneda,MATCH(AC195,ctaNombre,0))&amp;"","DOP")="USD",T195,S195))</f>
        <v/>
      </c>
      <c r="AH195" s="53">
        <f>IF(P195="","",IF(AND(AD195&lt;&gt;"",COUNTIFS(tcTipo,AD195,tcLiq,"Sí")&gt;0),IF(OR(P195="Gasto",P195="Transferencia",P195="Pago tarjeta"),-1,1)*S195,0)+IF(AND(AE195&lt;&gt;"",COUNTIFS(tcTipo,AE195,tcLiq,"Sí")&gt;0),S195,0))</f>
        <v/>
      </c>
      <c r="AI195" s="52">
        <f>IF(OR(L195="",P195=""),"",IF(COUNTIFS(L$6:L195,L195,P$6:P195,"?*")=1,MAX(AI$5:AI194)+1,""))</f>
        <v/>
      </c>
    </row>
    <row r="196">
      <c r="B196" s="47" t="n"/>
      <c r="C196" s="48" t="n"/>
      <c r="D196" s="48" t="n"/>
      <c r="E196" s="48" t="n"/>
      <c r="F196" s="48" t="n"/>
      <c r="G196" s="49" t="n"/>
      <c r="H196" s="48" t="n"/>
      <c r="I196" s="50" t="n"/>
      <c r="J196" s="48" t="n"/>
      <c r="K196" s="48" t="n"/>
      <c r="L196" s="48" t="n"/>
      <c r="M196" s="48" t="n"/>
      <c r="N196" s="48" t="n"/>
      <c r="O196" s="51">
        <f>IF(AND(B196="",G196="",C196="",D196="",J196=""),"",IF(B196="","⚠ Falta fecha",IF(G196="","⚠ Falta monto",IF(Q196="","⚠ Falta cuenta",IF(ISNA(MATCH(Q196,ctaNombre,0)),"⚠ Cuenta no registrada",IF(AND(OR(P196="Gasto",P196="Reembolso"),D196=""),"⚠ Falta categoría",IF(AND(D196&lt;&gt;"",E196&lt;&gt;"",ISNA(MATCH(D196&amp;"|"&amp;E196,catClave,0))),"⚠ Subcategoría no corresponde",IF(AND(OR(P196="Transferencia",P196="Pago tarjeta"),K196=""),"⚠ Falta cuenta destino",IF(AND(K196&lt;&gt;"",P196&lt;&gt;"Transferencia",P196&lt;&gt;"Pago tarjeta"),"⚠ Destino solo aplica a transferencias",IF(AND(K196&lt;&gt;"",K196=Q196),"⚠ Origen igual a destino",IF(AND(K196&lt;&gt;"",ISNA(MATCH(K196,ctaNombre,0))),"⚠ Destino no registrado",IF(AND(P196="Pago tarjeta",AE196&lt;&gt;"Tarjeta de crédito"),"⚠ El destino debe ser tarjeta de crédito",IF(AND(P196="Gasto",E196="Depósitos y retiros"),"⚠ Usa tipo Transferencia",IF(AND(P196="Resultado trading",AD196&lt;&gt;"Cuenta de trading"),"⚠ Usa una cuenta de trading",IF(AND(G196&lt;=0,P196&lt;&gt;"Ajuste",P196&lt;&gt;"Resultado trading"),"⚠ El monto debe ser positivo","✓")))))))))))))))</f>
        <v/>
      </c>
      <c r="P196" s="52">
        <f>IF(OR(B196="",G196=""),"",IF(C196="","Gasto",C196))</f>
        <v/>
      </c>
      <c r="Q196" s="52">
        <f>IF(P196="","",IF(J196&lt;&gt;"",J196,CuentaPred&amp;""))</f>
        <v/>
      </c>
      <c r="R196" s="52">
        <f>IF(P196="","",IF(ISNUMBER(I196),I196,TasaUSD))</f>
        <v/>
      </c>
      <c r="S196" s="53">
        <f>IF(P196="","",IF(H196="USD",G196*R196,G196))</f>
        <v/>
      </c>
      <c r="T196" s="53">
        <f>IF(P196="","",IF(H196="USD",G196,IF(R196&gt;0,G196/R196,0)))</f>
        <v/>
      </c>
      <c r="U196" s="53">
        <f>IF(P196="","",IF(P196="Gasto",S196,IF(P196="Reembolso",-S196,0)))</f>
        <v/>
      </c>
      <c r="V196" s="53">
        <f>IF(P196="","",IF(P196="Ingreso",S196,0))</f>
        <v/>
      </c>
      <c r="W196" s="53">
        <f>IF(P196="","",IF(P196="Resultado trading",S196,0))</f>
        <v/>
      </c>
      <c r="X196" s="52">
        <f>IF(OR(P196="Gasto",P196="Reembolso"),IF(M196&lt;&gt;"",M196,IFERROR(INDEX(catClasif,MATCH(D196&amp;"|"&amp;E196,catClave,0))&amp;"","Variable")),"")</f>
        <v/>
      </c>
      <c r="Y196" s="52">
        <f>IF(P196="","",IFERROR(INDEX(catGrupo,MATCH(D196&amp;"|"&amp;E196,catClave,0))&amp;"",""))</f>
        <v/>
      </c>
      <c r="Z196" s="52">
        <f>IF(P196="","",WEEKDAY(B196,2))</f>
        <v/>
      </c>
      <c r="AA196" s="52">
        <f>IF(P196="","",IF(AND(P196="Gasto",X196="Variable",D196&lt;&gt;catTrading,S196&gt;0,S196&lt;=Umbral),1,0))</f>
        <v/>
      </c>
      <c r="AB196" s="52">
        <f>IF(OR(P196="",Q196=""),"",IFERROR(IF(INDEX(ctaVinc,MATCH(Q196,ctaNombre,0))&amp;""&lt;&gt;"",INDEX(ctaVinc,MATCH(Q196,ctaNombre,0))&amp;"",Q196),Q196))</f>
        <v/>
      </c>
      <c r="AC196" s="52">
        <f>IF(OR(K196="",AND(P196&lt;&gt;"Transferencia",P196&lt;&gt;"Pago tarjeta")),"",IFERROR(IF(INDEX(ctaVinc,MATCH(K196,ctaNombre,0))&amp;""&lt;&gt;"",INDEX(ctaVinc,MATCH(K196,ctaNombre,0))&amp;"",K196),K196))</f>
        <v/>
      </c>
      <c r="AD196" s="52">
        <f>IF(AB196="","",IFERROR(INDEX(ctaTipo,MATCH(AB196,ctaNombre,0))&amp;"",""))</f>
        <v/>
      </c>
      <c r="AE196" s="52">
        <f>IF(AC196="","",IFERROR(INDEX(ctaTipo,MATCH(AC196,ctaNombre,0))&amp;"",""))</f>
        <v/>
      </c>
      <c r="AF196" s="53">
        <f>IF(OR(P196="",AB196=""),"",IF(OR(P196="Gasto",P196="Transferencia",P196="Pago tarjeta"),-1,1)*IF(IFERROR(INDEX(ctaMoneda,MATCH(AB196,ctaNombre,0))&amp;"","DOP")="USD",T196,S196))</f>
        <v/>
      </c>
      <c r="AG196" s="53">
        <f>IF(AC196="","",IF(IFERROR(INDEX(ctaMoneda,MATCH(AC196,ctaNombre,0))&amp;"","DOP")="USD",T196,S196))</f>
        <v/>
      </c>
      <c r="AH196" s="53">
        <f>IF(P196="","",IF(AND(AD196&lt;&gt;"",COUNTIFS(tcTipo,AD196,tcLiq,"Sí")&gt;0),IF(OR(P196="Gasto",P196="Transferencia",P196="Pago tarjeta"),-1,1)*S196,0)+IF(AND(AE196&lt;&gt;"",COUNTIFS(tcTipo,AE196,tcLiq,"Sí")&gt;0),S196,0))</f>
        <v/>
      </c>
      <c r="AI196" s="52">
        <f>IF(OR(L196="",P196=""),"",IF(COUNTIFS(L$6:L196,L196,P$6:P196,"?*")=1,MAX(AI$5:AI195)+1,""))</f>
        <v/>
      </c>
    </row>
    <row r="197">
      <c r="B197" s="47" t="n"/>
      <c r="C197" s="48" t="n"/>
      <c r="D197" s="48" t="n"/>
      <c r="E197" s="48" t="n"/>
      <c r="F197" s="48" t="n"/>
      <c r="G197" s="49" t="n"/>
      <c r="H197" s="48" t="n"/>
      <c r="I197" s="50" t="n"/>
      <c r="J197" s="48" t="n"/>
      <c r="K197" s="48" t="n"/>
      <c r="L197" s="48" t="n"/>
      <c r="M197" s="48" t="n"/>
      <c r="N197" s="48" t="n"/>
      <c r="O197" s="51">
        <f>IF(AND(B197="",G197="",C197="",D197="",J197=""),"",IF(B197="","⚠ Falta fecha",IF(G197="","⚠ Falta monto",IF(Q197="","⚠ Falta cuenta",IF(ISNA(MATCH(Q197,ctaNombre,0)),"⚠ Cuenta no registrada",IF(AND(OR(P197="Gasto",P197="Reembolso"),D197=""),"⚠ Falta categoría",IF(AND(D197&lt;&gt;"",E197&lt;&gt;"",ISNA(MATCH(D197&amp;"|"&amp;E197,catClave,0))),"⚠ Subcategoría no corresponde",IF(AND(OR(P197="Transferencia",P197="Pago tarjeta"),K197=""),"⚠ Falta cuenta destino",IF(AND(K197&lt;&gt;"",P197&lt;&gt;"Transferencia",P197&lt;&gt;"Pago tarjeta"),"⚠ Destino solo aplica a transferencias",IF(AND(K197&lt;&gt;"",K197=Q197),"⚠ Origen igual a destino",IF(AND(K197&lt;&gt;"",ISNA(MATCH(K197,ctaNombre,0))),"⚠ Destino no registrado",IF(AND(P197="Pago tarjeta",AE197&lt;&gt;"Tarjeta de crédito"),"⚠ El destino debe ser tarjeta de crédito",IF(AND(P197="Gasto",E197="Depósitos y retiros"),"⚠ Usa tipo Transferencia",IF(AND(P197="Resultado trading",AD197&lt;&gt;"Cuenta de trading"),"⚠ Usa una cuenta de trading",IF(AND(G197&lt;=0,P197&lt;&gt;"Ajuste",P197&lt;&gt;"Resultado trading"),"⚠ El monto debe ser positivo","✓")))))))))))))))</f>
        <v/>
      </c>
      <c r="P197" s="52">
        <f>IF(OR(B197="",G197=""),"",IF(C197="","Gasto",C197))</f>
        <v/>
      </c>
      <c r="Q197" s="52">
        <f>IF(P197="","",IF(J197&lt;&gt;"",J197,CuentaPred&amp;""))</f>
        <v/>
      </c>
      <c r="R197" s="52">
        <f>IF(P197="","",IF(ISNUMBER(I197),I197,TasaUSD))</f>
        <v/>
      </c>
      <c r="S197" s="53">
        <f>IF(P197="","",IF(H197="USD",G197*R197,G197))</f>
        <v/>
      </c>
      <c r="T197" s="53">
        <f>IF(P197="","",IF(H197="USD",G197,IF(R197&gt;0,G197/R197,0)))</f>
        <v/>
      </c>
      <c r="U197" s="53">
        <f>IF(P197="","",IF(P197="Gasto",S197,IF(P197="Reembolso",-S197,0)))</f>
        <v/>
      </c>
      <c r="V197" s="53">
        <f>IF(P197="","",IF(P197="Ingreso",S197,0))</f>
        <v/>
      </c>
      <c r="W197" s="53">
        <f>IF(P197="","",IF(P197="Resultado trading",S197,0))</f>
        <v/>
      </c>
      <c r="X197" s="52">
        <f>IF(OR(P197="Gasto",P197="Reembolso"),IF(M197&lt;&gt;"",M197,IFERROR(INDEX(catClasif,MATCH(D197&amp;"|"&amp;E197,catClave,0))&amp;"","Variable")),"")</f>
        <v/>
      </c>
      <c r="Y197" s="52">
        <f>IF(P197="","",IFERROR(INDEX(catGrupo,MATCH(D197&amp;"|"&amp;E197,catClave,0))&amp;"",""))</f>
        <v/>
      </c>
      <c r="Z197" s="52">
        <f>IF(P197="","",WEEKDAY(B197,2))</f>
        <v/>
      </c>
      <c r="AA197" s="52">
        <f>IF(P197="","",IF(AND(P197="Gasto",X197="Variable",D197&lt;&gt;catTrading,S197&gt;0,S197&lt;=Umbral),1,0))</f>
        <v/>
      </c>
      <c r="AB197" s="52">
        <f>IF(OR(P197="",Q197=""),"",IFERROR(IF(INDEX(ctaVinc,MATCH(Q197,ctaNombre,0))&amp;""&lt;&gt;"",INDEX(ctaVinc,MATCH(Q197,ctaNombre,0))&amp;"",Q197),Q197))</f>
        <v/>
      </c>
      <c r="AC197" s="52">
        <f>IF(OR(K197="",AND(P197&lt;&gt;"Transferencia",P197&lt;&gt;"Pago tarjeta")),"",IFERROR(IF(INDEX(ctaVinc,MATCH(K197,ctaNombre,0))&amp;""&lt;&gt;"",INDEX(ctaVinc,MATCH(K197,ctaNombre,0))&amp;"",K197),K197))</f>
        <v/>
      </c>
      <c r="AD197" s="52">
        <f>IF(AB197="","",IFERROR(INDEX(ctaTipo,MATCH(AB197,ctaNombre,0))&amp;"",""))</f>
        <v/>
      </c>
      <c r="AE197" s="52">
        <f>IF(AC197="","",IFERROR(INDEX(ctaTipo,MATCH(AC197,ctaNombre,0))&amp;"",""))</f>
        <v/>
      </c>
      <c r="AF197" s="53">
        <f>IF(OR(P197="",AB197=""),"",IF(OR(P197="Gasto",P197="Transferencia",P197="Pago tarjeta"),-1,1)*IF(IFERROR(INDEX(ctaMoneda,MATCH(AB197,ctaNombre,0))&amp;"","DOP")="USD",T197,S197))</f>
        <v/>
      </c>
      <c r="AG197" s="53">
        <f>IF(AC197="","",IF(IFERROR(INDEX(ctaMoneda,MATCH(AC197,ctaNombre,0))&amp;"","DOP")="USD",T197,S197))</f>
        <v/>
      </c>
      <c r="AH197" s="53">
        <f>IF(P197="","",IF(AND(AD197&lt;&gt;"",COUNTIFS(tcTipo,AD197,tcLiq,"Sí")&gt;0),IF(OR(P197="Gasto",P197="Transferencia",P197="Pago tarjeta"),-1,1)*S197,0)+IF(AND(AE197&lt;&gt;"",COUNTIFS(tcTipo,AE197,tcLiq,"Sí")&gt;0),S197,0))</f>
        <v/>
      </c>
      <c r="AI197" s="52">
        <f>IF(OR(L197="",P197=""),"",IF(COUNTIFS(L$6:L197,L197,P$6:P197,"?*")=1,MAX(AI$5:AI196)+1,""))</f>
        <v/>
      </c>
    </row>
    <row r="198">
      <c r="B198" s="47" t="n"/>
      <c r="C198" s="48" t="n"/>
      <c r="D198" s="48" t="n"/>
      <c r="E198" s="48" t="n"/>
      <c r="F198" s="48" t="n"/>
      <c r="G198" s="49" t="n"/>
      <c r="H198" s="48" t="n"/>
      <c r="I198" s="50" t="n"/>
      <c r="J198" s="48" t="n"/>
      <c r="K198" s="48" t="n"/>
      <c r="L198" s="48" t="n"/>
      <c r="M198" s="48" t="n"/>
      <c r="N198" s="48" t="n"/>
      <c r="O198" s="51">
        <f>IF(AND(B198="",G198="",C198="",D198="",J198=""),"",IF(B198="","⚠ Falta fecha",IF(G198="","⚠ Falta monto",IF(Q198="","⚠ Falta cuenta",IF(ISNA(MATCH(Q198,ctaNombre,0)),"⚠ Cuenta no registrada",IF(AND(OR(P198="Gasto",P198="Reembolso"),D198=""),"⚠ Falta categoría",IF(AND(D198&lt;&gt;"",E198&lt;&gt;"",ISNA(MATCH(D198&amp;"|"&amp;E198,catClave,0))),"⚠ Subcategoría no corresponde",IF(AND(OR(P198="Transferencia",P198="Pago tarjeta"),K198=""),"⚠ Falta cuenta destino",IF(AND(K198&lt;&gt;"",P198&lt;&gt;"Transferencia",P198&lt;&gt;"Pago tarjeta"),"⚠ Destino solo aplica a transferencias",IF(AND(K198&lt;&gt;"",K198=Q198),"⚠ Origen igual a destino",IF(AND(K198&lt;&gt;"",ISNA(MATCH(K198,ctaNombre,0))),"⚠ Destino no registrado",IF(AND(P198="Pago tarjeta",AE198&lt;&gt;"Tarjeta de crédito"),"⚠ El destino debe ser tarjeta de crédito",IF(AND(P198="Gasto",E198="Depósitos y retiros"),"⚠ Usa tipo Transferencia",IF(AND(P198="Resultado trading",AD198&lt;&gt;"Cuenta de trading"),"⚠ Usa una cuenta de trading",IF(AND(G198&lt;=0,P198&lt;&gt;"Ajuste",P198&lt;&gt;"Resultado trading"),"⚠ El monto debe ser positivo","✓")))))))))))))))</f>
        <v/>
      </c>
      <c r="P198" s="52">
        <f>IF(OR(B198="",G198=""),"",IF(C198="","Gasto",C198))</f>
        <v/>
      </c>
      <c r="Q198" s="52">
        <f>IF(P198="","",IF(J198&lt;&gt;"",J198,CuentaPred&amp;""))</f>
        <v/>
      </c>
      <c r="R198" s="52">
        <f>IF(P198="","",IF(ISNUMBER(I198),I198,TasaUSD))</f>
        <v/>
      </c>
      <c r="S198" s="53">
        <f>IF(P198="","",IF(H198="USD",G198*R198,G198))</f>
        <v/>
      </c>
      <c r="T198" s="53">
        <f>IF(P198="","",IF(H198="USD",G198,IF(R198&gt;0,G198/R198,0)))</f>
        <v/>
      </c>
      <c r="U198" s="53">
        <f>IF(P198="","",IF(P198="Gasto",S198,IF(P198="Reembolso",-S198,0)))</f>
        <v/>
      </c>
      <c r="V198" s="53">
        <f>IF(P198="","",IF(P198="Ingreso",S198,0))</f>
        <v/>
      </c>
      <c r="W198" s="53">
        <f>IF(P198="","",IF(P198="Resultado trading",S198,0))</f>
        <v/>
      </c>
      <c r="X198" s="52">
        <f>IF(OR(P198="Gasto",P198="Reembolso"),IF(M198&lt;&gt;"",M198,IFERROR(INDEX(catClasif,MATCH(D198&amp;"|"&amp;E198,catClave,0))&amp;"","Variable")),"")</f>
        <v/>
      </c>
      <c r="Y198" s="52">
        <f>IF(P198="","",IFERROR(INDEX(catGrupo,MATCH(D198&amp;"|"&amp;E198,catClave,0))&amp;"",""))</f>
        <v/>
      </c>
      <c r="Z198" s="52">
        <f>IF(P198="","",WEEKDAY(B198,2))</f>
        <v/>
      </c>
      <c r="AA198" s="52">
        <f>IF(P198="","",IF(AND(P198="Gasto",X198="Variable",D198&lt;&gt;catTrading,S198&gt;0,S198&lt;=Umbral),1,0))</f>
        <v/>
      </c>
      <c r="AB198" s="52">
        <f>IF(OR(P198="",Q198=""),"",IFERROR(IF(INDEX(ctaVinc,MATCH(Q198,ctaNombre,0))&amp;""&lt;&gt;"",INDEX(ctaVinc,MATCH(Q198,ctaNombre,0))&amp;"",Q198),Q198))</f>
        <v/>
      </c>
      <c r="AC198" s="52">
        <f>IF(OR(K198="",AND(P198&lt;&gt;"Transferencia",P198&lt;&gt;"Pago tarjeta")),"",IFERROR(IF(INDEX(ctaVinc,MATCH(K198,ctaNombre,0))&amp;""&lt;&gt;"",INDEX(ctaVinc,MATCH(K198,ctaNombre,0))&amp;"",K198),K198))</f>
        <v/>
      </c>
      <c r="AD198" s="52">
        <f>IF(AB198="","",IFERROR(INDEX(ctaTipo,MATCH(AB198,ctaNombre,0))&amp;"",""))</f>
        <v/>
      </c>
      <c r="AE198" s="52">
        <f>IF(AC198="","",IFERROR(INDEX(ctaTipo,MATCH(AC198,ctaNombre,0))&amp;"",""))</f>
        <v/>
      </c>
      <c r="AF198" s="53">
        <f>IF(OR(P198="",AB198=""),"",IF(OR(P198="Gasto",P198="Transferencia",P198="Pago tarjeta"),-1,1)*IF(IFERROR(INDEX(ctaMoneda,MATCH(AB198,ctaNombre,0))&amp;"","DOP")="USD",T198,S198))</f>
        <v/>
      </c>
      <c r="AG198" s="53">
        <f>IF(AC198="","",IF(IFERROR(INDEX(ctaMoneda,MATCH(AC198,ctaNombre,0))&amp;"","DOP")="USD",T198,S198))</f>
        <v/>
      </c>
      <c r="AH198" s="53">
        <f>IF(P198="","",IF(AND(AD198&lt;&gt;"",COUNTIFS(tcTipo,AD198,tcLiq,"Sí")&gt;0),IF(OR(P198="Gasto",P198="Transferencia",P198="Pago tarjeta"),-1,1)*S198,0)+IF(AND(AE198&lt;&gt;"",COUNTIFS(tcTipo,AE198,tcLiq,"Sí")&gt;0),S198,0))</f>
        <v/>
      </c>
      <c r="AI198" s="52">
        <f>IF(OR(L198="",P198=""),"",IF(COUNTIFS(L$6:L198,L198,P$6:P198,"?*")=1,MAX(AI$5:AI197)+1,""))</f>
        <v/>
      </c>
    </row>
    <row r="199">
      <c r="B199" s="47" t="n"/>
      <c r="C199" s="48" t="n"/>
      <c r="D199" s="48" t="n"/>
      <c r="E199" s="48" t="n"/>
      <c r="F199" s="48" t="n"/>
      <c r="G199" s="49" t="n"/>
      <c r="H199" s="48" t="n"/>
      <c r="I199" s="50" t="n"/>
      <c r="J199" s="48" t="n"/>
      <c r="K199" s="48" t="n"/>
      <c r="L199" s="48" t="n"/>
      <c r="M199" s="48" t="n"/>
      <c r="N199" s="48" t="n"/>
      <c r="O199" s="51">
        <f>IF(AND(B199="",G199="",C199="",D199="",J199=""),"",IF(B199="","⚠ Falta fecha",IF(G199="","⚠ Falta monto",IF(Q199="","⚠ Falta cuenta",IF(ISNA(MATCH(Q199,ctaNombre,0)),"⚠ Cuenta no registrada",IF(AND(OR(P199="Gasto",P199="Reembolso"),D199=""),"⚠ Falta categoría",IF(AND(D199&lt;&gt;"",E199&lt;&gt;"",ISNA(MATCH(D199&amp;"|"&amp;E199,catClave,0))),"⚠ Subcategoría no corresponde",IF(AND(OR(P199="Transferencia",P199="Pago tarjeta"),K199=""),"⚠ Falta cuenta destino",IF(AND(K199&lt;&gt;"",P199&lt;&gt;"Transferencia",P199&lt;&gt;"Pago tarjeta"),"⚠ Destino solo aplica a transferencias",IF(AND(K199&lt;&gt;"",K199=Q199),"⚠ Origen igual a destino",IF(AND(K199&lt;&gt;"",ISNA(MATCH(K199,ctaNombre,0))),"⚠ Destino no registrado",IF(AND(P199="Pago tarjeta",AE199&lt;&gt;"Tarjeta de crédito"),"⚠ El destino debe ser tarjeta de crédito",IF(AND(P199="Gasto",E199="Depósitos y retiros"),"⚠ Usa tipo Transferencia",IF(AND(P199="Resultado trading",AD199&lt;&gt;"Cuenta de trading"),"⚠ Usa una cuenta de trading",IF(AND(G199&lt;=0,P199&lt;&gt;"Ajuste",P199&lt;&gt;"Resultado trading"),"⚠ El monto debe ser positivo","✓")))))))))))))))</f>
        <v/>
      </c>
      <c r="P199" s="52">
        <f>IF(OR(B199="",G199=""),"",IF(C199="","Gasto",C199))</f>
        <v/>
      </c>
      <c r="Q199" s="52">
        <f>IF(P199="","",IF(J199&lt;&gt;"",J199,CuentaPred&amp;""))</f>
        <v/>
      </c>
      <c r="R199" s="52">
        <f>IF(P199="","",IF(ISNUMBER(I199),I199,TasaUSD))</f>
        <v/>
      </c>
      <c r="S199" s="53">
        <f>IF(P199="","",IF(H199="USD",G199*R199,G199))</f>
        <v/>
      </c>
      <c r="T199" s="53">
        <f>IF(P199="","",IF(H199="USD",G199,IF(R199&gt;0,G199/R199,0)))</f>
        <v/>
      </c>
      <c r="U199" s="53">
        <f>IF(P199="","",IF(P199="Gasto",S199,IF(P199="Reembolso",-S199,0)))</f>
        <v/>
      </c>
      <c r="V199" s="53">
        <f>IF(P199="","",IF(P199="Ingreso",S199,0))</f>
        <v/>
      </c>
      <c r="W199" s="53">
        <f>IF(P199="","",IF(P199="Resultado trading",S199,0))</f>
        <v/>
      </c>
      <c r="X199" s="52">
        <f>IF(OR(P199="Gasto",P199="Reembolso"),IF(M199&lt;&gt;"",M199,IFERROR(INDEX(catClasif,MATCH(D199&amp;"|"&amp;E199,catClave,0))&amp;"","Variable")),"")</f>
        <v/>
      </c>
      <c r="Y199" s="52">
        <f>IF(P199="","",IFERROR(INDEX(catGrupo,MATCH(D199&amp;"|"&amp;E199,catClave,0))&amp;"",""))</f>
        <v/>
      </c>
      <c r="Z199" s="52">
        <f>IF(P199="","",WEEKDAY(B199,2))</f>
        <v/>
      </c>
      <c r="AA199" s="52">
        <f>IF(P199="","",IF(AND(P199="Gasto",X199="Variable",D199&lt;&gt;catTrading,S199&gt;0,S199&lt;=Umbral),1,0))</f>
        <v/>
      </c>
      <c r="AB199" s="52">
        <f>IF(OR(P199="",Q199=""),"",IFERROR(IF(INDEX(ctaVinc,MATCH(Q199,ctaNombre,0))&amp;""&lt;&gt;"",INDEX(ctaVinc,MATCH(Q199,ctaNombre,0))&amp;"",Q199),Q199))</f>
        <v/>
      </c>
      <c r="AC199" s="52">
        <f>IF(OR(K199="",AND(P199&lt;&gt;"Transferencia",P199&lt;&gt;"Pago tarjeta")),"",IFERROR(IF(INDEX(ctaVinc,MATCH(K199,ctaNombre,0))&amp;""&lt;&gt;"",INDEX(ctaVinc,MATCH(K199,ctaNombre,0))&amp;"",K199),K199))</f>
        <v/>
      </c>
      <c r="AD199" s="52">
        <f>IF(AB199="","",IFERROR(INDEX(ctaTipo,MATCH(AB199,ctaNombre,0))&amp;"",""))</f>
        <v/>
      </c>
      <c r="AE199" s="52">
        <f>IF(AC199="","",IFERROR(INDEX(ctaTipo,MATCH(AC199,ctaNombre,0))&amp;"",""))</f>
        <v/>
      </c>
      <c r="AF199" s="53">
        <f>IF(OR(P199="",AB199=""),"",IF(OR(P199="Gasto",P199="Transferencia",P199="Pago tarjeta"),-1,1)*IF(IFERROR(INDEX(ctaMoneda,MATCH(AB199,ctaNombre,0))&amp;"","DOP")="USD",T199,S199))</f>
        <v/>
      </c>
      <c r="AG199" s="53">
        <f>IF(AC199="","",IF(IFERROR(INDEX(ctaMoneda,MATCH(AC199,ctaNombre,0))&amp;"","DOP")="USD",T199,S199))</f>
        <v/>
      </c>
      <c r="AH199" s="53">
        <f>IF(P199="","",IF(AND(AD199&lt;&gt;"",COUNTIFS(tcTipo,AD199,tcLiq,"Sí")&gt;0),IF(OR(P199="Gasto",P199="Transferencia",P199="Pago tarjeta"),-1,1)*S199,0)+IF(AND(AE199&lt;&gt;"",COUNTIFS(tcTipo,AE199,tcLiq,"Sí")&gt;0),S199,0))</f>
        <v/>
      </c>
      <c r="AI199" s="52">
        <f>IF(OR(L199="",P199=""),"",IF(COUNTIFS(L$6:L199,L199,P$6:P199,"?*")=1,MAX(AI$5:AI198)+1,""))</f>
        <v/>
      </c>
    </row>
    <row r="200">
      <c r="B200" s="47" t="n"/>
      <c r="C200" s="48" t="n"/>
      <c r="D200" s="48" t="n"/>
      <c r="E200" s="48" t="n"/>
      <c r="F200" s="48" t="n"/>
      <c r="G200" s="49" t="n"/>
      <c r="H200" s="48" t="n"/>
      <c r="I200" s="50" t="n"/>
      <c r="J200" s="48" t="n"/>
      <c r="K200" s="48" t="n"/>
      <c r="L200" s="48" t="n"/>
      <c r="M200" s="48" t="n"/>
      <c r="N200" s="48" t="n"/>
      <c r="O200" s="51">
        <f>IF(AND(B200="",G200="",C200="",D200="",J200=""),"",IF(B200="","⚠ Falta fecha",IF(G200="","⚠ Falta monto",IF(Q200="","⚠ Falta cuenta",IF(ISNA(MATCH(Q200,ctaNombre,0)),"⚠ Cuenta no registrada",IF(AND(OR(P200="Gasto",P200="Reembolso"),D200=""),"⚠ Falta categoría",IF(AND(D200&lt;&gt;"",E200&lt;&gt;"",ISNA(MATCH(D200&amp;"|"&amp;E200,catClave,0))),"⚠ Subcategoría no corresponde",IF(AND(OR(P200="Transferencia",P200="Pago tarjeta"),K200=""),"⚠ Falta cuenta destino",IF(AND(K200&lt;&gt;"",P200&lt;&gt;"Transferencia",P200&lt;&gt;"Pago tarjeta"),"⚠ Destino solo aplica a transferencias",IF(AND(K200&lt;&gt;"",K200=Q200),"⚠ Origen igual a destino",IF(AND(K200&lt;&gt;"",ISNA(MATCH(K200,ctaNombre,0))),"⚠ Destino no registrado",IF(AND(P200="Pago tarjeta",AE200&lt;&gt;"Tarjeta de crédito"),"⚠ El destino debe ser tarjeta de crédito",IF(AND(P200="Gasto",E200="Depósitos y retiros"),"⚠ Usa tipo Transferencia",IF(AND(P200="Resultado trading",AD200&lt;&gt;"Cuenta de trading"),"⚠ Usa una cuenta de trading",IF(AND(G200&lt;=0,P200&lt;&gt;"Ajuste",P200&lt;&gt;"Resultado trading"),"⚠ El monto debe ser positivo","✓")))))))))))))))</f>
        <v/>
      </c>
      <c r="P200" s="52">
        <f>IF(OR(B200="",G200=""),"",IF(C200="","Gasto",C200))</f>
        <v/>
      </c>
      <c r="Q200" s="52">
        <f>IF(P200="","",IF(J200&lt;&gt;"",J200,CuentaPred&amp;""))</f>
        <v/>
      </c>
      <c r="R200" s="52">
        <f>IF(P200="","",IF(ISNUMBER(I200),I200,TasaUSD))</f>
        <v/>
      </c>
      <c r="S200" s="53">
        <f>IF(P200="","",IF(H200="USD",G200*R200,G200))</f>
        <v/>
      </c>
      <c r="T200" s="53">
        <f>IF(P200="","",IF(H200="USD",G200,IF(R200&gt;0,G200/R200,0)))</f>
        <v/>
      </c>
      <c r="U200" s="53">
        <f>IF(P200="","",IF(P200="Gasto",S200,IF(P200="Reembolso",-S200,0)))</f>
        <v/>
      </c>
      <c r="V200" s="53">
        <f>IF(P200="","",IF(P200="Ingreso",S200,0))</f>
        <v/>
      </c>
      <c r="W200" s="53">
        <f>IF(P200="","",IF(P200="Resultado trading",S200,0))</f>
        <v/>
      </c>
      <c r="X200" s="52">
        <f>IF(OR(P200="Gasto",P200="Reembolso"),IF(M200&lt;&gt;"",M200,IFERROR(INDEX(catClasif,MATCH(D200&amp;"|"&amp;E200,catClave,0))&amp;"","Variable")),"")</f>
        <v/>
      </c>
      <c r="Y200" s="52">
        <f>IF(P200="","",IFERROR(INDEX(catGrupo,MATCH(D200&amp;"|"&amp;E200,catClave,0))&amp;"",""))</f>
        <v/>
      </c>
      <c r="Z200" s="52">
        <f>IF(P200="","",WEEKDAY(B200,2))</f>
        <v/>
      </c>
      <c r="AA200" s="52">
        <f>IF(P200="","",IF(AND(P200="Gasto",X200="Variable",D200&lt;&gt;catTrading,S200&gt;0,S200&lt;=Umbral),1,0))</f>
        <v/>
      </c>
      <c r="AB200" s="52">
        <f>IF(OR(P200="",Q200=""),"",IFERROR(IF(INDEX(ctaVinc,MATCH(Q200,ctaNombre,0))&amp;""&lt;&gt;"",INDEX(ctaVinc,MATCH(Q200,ctaNombre,0))&amp;"",Q200),Q200))</f>
        <v/>
      </c>
      <c r="AC200" s="52">
        <f>IF(OR(K200="",AND(P200&lt;&gt;"Transferencia",P200&lt;&gt;"Pago tarjeta")),"",IFERROR(IF(INDEX(ctaVinc,MATCH(K200,ctaNombre,0))&amp;""&lt;&gt;"",INDEX(ctaVinc,MATCH(K200,ctaNombre,0))&amp;"",K200),K200))</f>
        <v/>
      </c>
      <c r="AD200" s="52">
        <f>IF(AB200="","",IFERROR(INDEX(ctaTipo,MATCH(AB200,ctaNombre,0))&amp;"",""))</f>
        <v/>
      </c>
      <c r="AE200" s="52">
        <f>IF(AC200="","",IFERROR(INDEX(ctaTipo,MATCH(AC200,ctaNombre,0))&amp;"",""))</f>
        <v/>
      </c>
      <c r="AF200" s="53">
        <f>IF(OR(P200="",AB200=""),"",IF(OR(P200="Gasto",P200="Transferencia",P200="Pago tarjeta"),-1,1)*IF(IFERROR(INDEX(ctaMoneda,MATCH(AB200,ctaNombre,0))&amp;"","DOP")="USD",T200,S200))</f>
        <v/>
      </c>
      <c r="AG200" s="53">
        <f>IF(AC200="","",IF(IFERROR(INDEX(ctaMoneda,MATCH(AC200,ctaNombre,0))&amp;"","DOP")="USD",T200,S200))</f>
        <v/>
      </c>
      <c r="AH200" s="53">
        <f>IF(P200="","",IF(AND(AD200&lt;&gt;"",COUNTIFS(tcTipo,AD200,tcLiq,"Sí")&gt;0),IF(OR(P200="Gasto",P200="Transferencia",P200="Pago tarjeta"),-1,1)*S200,0)+IF(AND(AE200&lt;&gt;"",COUNTIFS(tcTipo,AE200,tcLiq,"Sí")&gt;0),S200,0))</f>
        <v/>
      </c>
      <c r="AI200" s="52">
        <f>IF(OR(L200="",P200=""),"",IF(COUNTIFS(L$6:L200,L200,P$6:P200,"?*")=1,MAX(AI$5:AI199)+1,""))</f>
        <v/>
      </c>
    </row>
    <row r="201">
      <c r="B201" s="47" t="n"/>
      <c r="C201" s="48" t="n"/>
      <c r="D201" s="48" t="n"/>
      <c r="E201" s="48" t="n"/>
      <c r="F201" s="48" t="n"/>
      <c r="G201" s="49" t="n"/>
      <c r="H201" s="48" t="n"/>
      <c r="I201" s="50" t="n"/>
      <c r="J201" s="48" t="n"/>
      <c r="K201" s="48" t="n"/>
      <c r="L201" s="48" t="n"/>
      <c r="M201" s="48" t="n"/>
      <c r="N201" s="48" t="n"/>
      <c r="O201" s="51">
        <f>IF(AND(B201="",G201="",C201="",D201="",J201=""),"",IF(B201="","⚠ Falta fecha",IF(G201="","⚠ Falta monto",IF(Q201="","⚠ Falta cuenta",IF(ISNA(MATCH(Q201,ctaNombre,0)),"⚠ Cuenta no registrada",IF(AND(OR(P201="Gasto",P201="Reembolso"),D201=""),"⚠ Falta categoría",IF(AND(D201&lt;&gt;"",E201&lt;&gt;"",ISNA(MATCH(D201&amp;"|"&amp;E201,catClave,0))),"⚠ Subcategoría no corresponde",IF(AND(OR(P201="Transferencia",P201="Pago tarjeta"),K201=""),"⚠ Falta cuenta destino",IF(AND(K201&lt;&gt;"",P201&lt;&gt;"Transferencia",P201&lt;&gt;"Pago tarjeta"),"⚠ Destino solo aplica a transferencias",IF(AND(K201&lt;&gt;"",K201=Q201),"⚠ Origen igual a destino",IF(AND(K201&lt;&gt;"",ISNA(MATCH(K201,ctaNombre,0))),"⚠ Destino no registrado",IF(AND(P201="Pago tarjeta",AE201&lt;&gt;"Tarjeta de crédito"),"⚠ El destino debe ser tarjeta de crédito",IF(AND(P201="Gasto",E201="Depósitos y retiros"),"⚠ Usa tipo Transferencia",IF(AND(P201="Resultado trading",AD201&lt;&gt;"Cuenta de trading"),"⚠ Usa una cuenta de trading",IF(AND(G201&lt;=0,P201&lt;&gt;"Ajuste",P201&lt;&gt;"Resultado trading"),"⚠ El monto debe ser positivo","✓")))))))))))))))</f>
        <v/>
      </c>
      <c r="P201" s="52">
        <f>IF(OR(B201="",G201=""),"",IF(C201="","Gasto",C201))</f>
        <v/>
      </c>
      <c r="Q201" s="52">
        <f>IF(P201="","",IF(J201&lt;&gt;"",J201,CuentaPred&amp;""))</f>
        <v/>
      </c>
      <c r="R201" s="52">
        <f>IF(P201="","",IF(ISNUMBER(I201),I201,TasaUSD))</f>
        <v/>
      </c>
      <c r="S201" s="53">
        <f>IF(P201="","",IF(H201="USD",G201*R201,G201))</f>
        <v/>
      </c>
      <c r="T201" s="53">
        <f>IF(P201="","",IF(H201="USD",G201,IF(R201&gt;0,G201/R201,0)))</f>
        <v/>
      </c>
      <c r="U201" s="53">
        <f>IF(P201="","",IF(P201="Gasto",S201,IF(P201="Reembolso",-S201,0)))</f>
        <v/>
      </c>
      <c r="V201" s="53">
        <f>IF(P201="","",IF(P201="Ingreso",S201,0))</f>
        <v/>
      </c>
      <c r="W201" s="53">
        <f>IF(P201="","",IF(P201="Resultado trading",S201,0))</f>
        <v/>
      </c>
      <c r="X201" s="52">
        <f>IF(OR(P201="Gasto",P201="Reembolso"),IF(M201&lt;&gt;"",M201,IFERROR(INDEX(catClasif,MATCH(D201&amp;"|"&amp;E201,catClave,0))&amp;"","Variable")),"")</f>
        <v/>
      </c>
      <c r="Y201" s="52">
        <f>IF(P201="","",IFERROR(INDEX(catGrupo,MATCH(D201&amp;"|"&amp;E201,catClave,0))&amp;"",""))</f>
        <v/>
      </c>
      <c r="Z201" s="52">
        <f>IF(P201="","",WEEKDAY(B201,2))</f>
        <v/>
      </c>
      <c r="AA201" s="52">
        <f>IF(P201="","",IF(AND(P201="Gasto",X201="Variable",D201&lt;&gt;catTrading,S201&gt;0,S201&lt;=Umbral),1,0))</f>
        <v/>
      </c>
      <c r="AB201" s="52">
        <f>IF(OR(P201="",Q201=""),"",IFERROR(IF(INDEX(ctaVinc,MATCH(Q201,ctaNombre,0))&amp;""&lt;&gt;"",INDEX(ctaVinc,MATCH(Q201,ctaNombre,0))&amp;"",Q201),Q201))</f>
        <v/>
      </c>
      <c r="AC201" s="52">
        <f>IF(OR(K201="",AND(P201&lt;&gt;"Transferencia",P201&lt;&gt;"Pago tarjeta")),"",IFERROR(IF(INDEX(ctaVinc,MATCH(K201,ctaNombre,0))&amp;""&lt;&gt;"",INDEX(ctaVinc,MATCH(K201,ctaNombre,0))&amp;"",K201),K201))</f>
        <v/>
      </c>
      <c r="AD201" s="52">
        <f>IF(AB201="","",IFERROR(INDEX(ctaTipo,MATCH(AB201,ctaNombre,0))&amp;"",""))</f>
        <v/>
      </c>
      <c r="AE201" s="52">
        <f>IF(AC201="","",IFERROR(INDEX(ctaTipo,MATCH(AC201,ctaNombre,0))&amp;"",""))</f>
        <v/>
      </c>
      <c r="AF201" s="53">
        <f>IF(OR(P201="",AB201=""),"",IF(OR(P201="Gasto",P201="Transferencia",P201="Pago tarjeta"),-1,1)*IF(IFERROR(INDEX(ctaMoneda,MATCH(AB201,ctaNombre,0))&amp;"","DOP")="USD",T201,S201))</f>
        <v/>
      </c>
      <c r="AG201" s="53">
        <f>IF(AC201="","",IF(IFERROR(INDEX(ctaMoneda,MATCH(AC201,ctaNombre,0))&amp;"","DOP")="USD",T201,S201))</f>
        <v/>
      </c>
      <c r="AH201" s="53">
        <f>IF(P201="","",IF(AND(AD201&lt;&gt;"",COUNTIFS(tcTipo,AD201,tcLiq,"Sí")&gt;0),IF(OR(P201="Gasto",P201="Transferencia",P201="Pago tarjeta"),-1,1)*S201,0)+IF(AND(AE201&lt;&gt;"",COUNTIFS(tcTipo,AE201,tcLiq,"Sí")&gt;0),S201,0))</f>
        <v/>
      </c>
      <c r="AI201" s="52">
        <f>IF(OR(L201="",P201=""),"",IF(COUNTIFS(L$6:L201,L201,P$6:P201,"?*")=1,MAX(AI$5:AI200)+1,""))</f>
        <v/>
      </c>
    </row>
    <row r="202">
      <c r="B202" s="47" t="n"/>
      <c r="C202" s="48" t="n"/>
      <c r="D202" s="48" t="n"/>
      <c r="E202" s="48" t="n"/>
      <c r="F202" s="48" t="n"/>
      <c r="G202" s="49" t="n"/>
      <c r="H202" s="48" t="n"/>
      <c r="I202" s="50" t="n"/>
      <c r="J202" s="48" t="n"/>
      <c r="K202" s="48" t="n"/>
      <c r="L202" s="48" t="n"/>
      <c r="M202" s="48" t="n"/>
      <c r="N202" s="48" t="n"/>
      <c r="O202" s="51">
        <f>IF(AND(B202="",G202="",C202="",D202="",J202=""),"",IF(B202="","⚠ Falta fecha",IF(G202="","⚠ Falta monto",IF(Q202="","⚠ Falta cuenta",IF(ISNA(MATCH(Q202,ctaNombre,0)),"⚠ Cuenta no registrada",IF(AND(OR(P202="Gasto",P202="Reembolso"),D202=""),"⚠ Falta categoría",IF(AND(D202&lt;&gt;"",E202&lt;&gt;"",ISNA(MATCH(D202&amp;"|"&amp;E202,catClave,0))),"⚠ Subcategoría no corresponde",IF(AND(OR(P202="Transferencia",P202="Pago tarjeta"),K202=""),"⚠ Falta cuenta destino",IF(AND(K202&lt;&gt;"",P202&lt;&gt;"Transferencia",P202&lt;&gt;"Pago tarjeta"),"⚠ Destino solo aplica a transferencias",IF(AND(K202&lt;&gt;"",K202=Q202),"⚠ Origen igual a destino",IF(AND(K202&lt;&gt;"",ISNA(MATCH(K202,ctaNombre,0))),"⚠ Destino no registrado",IF(AND(P202="Pago tarjeta",AE202&lt;&gt;"Tarjeta de crédito"),"⚠ El destino debe ser tarjeta de crédito",IF(AND(P202="Gasto",E202="Depósitos y retiros"),"⚠ Usa tipo Transferencia",IF(AND(P202="Resultado trading",AD202&lt;&gt;"Cuenta de trading"),"⚠ Usa una cuenta de trading",IF(AND(G202&lt;=0,P202&lt;&gt;"Ajuste",P202&lt;&gt;"Resultado trading"),"⚠ El monto debe ser positivo","✓")))))))))))))))</f>
        <v/>
      </c>
      <c r="P202" s="52">
        <f>IF(OR(B202="",G202=""),"",IF(C202="","Gasto",C202))</f>
        <v/>
      </c>
      <c r="Q202" s="52">
        <f>IF(P202="","",IF(J202&lt;&gt;"",J202,CuentaPred&amp;""))</f>
        <v/>
      </c>
      <c r="R202" s="52">
        <f>IF(P202="","",IF(ISNUMBER(I202),I202,TasaUSD))</f>
        <v/>
      </c>
      <c r="S202" s="53">
        <f>IF(P202="","",IF(H202="USD",G202*R202,G202))</f>
        <v/>
      </c>
      <c r="T202" s="53">
        <f>IF(P202="","",IF(H202="USD",G202,IF(R202&gt;0,G202/R202,0)))</f>
        <v/>
      </c>
      <c r="U202" s="53">
        <f>IF(P202="","",IF(P202="Gasto",S202,IF(P202="Reembolso",-S202,0)))</f>
        <v/>
      </c>
      <c r="V202" s="53">
        <f>IF(P202="","",IF(P202="Ingreso",S202,0))</f>
        <v/>
      </c>
      <c r="W202" s="53">
        <f>IF(P202="","",IF(P202="Resultado trading",S202,0))</f>
        <v/>
      </c>
      <c r="X202" s="52">
        <f>IF(OR(P202="Gasto",P202="Reembolso"),IF(M202&lt;&gt;"",M202,IFERROR(INDEX(catClasif,MATCH(D202&amp;"|"&amp;E202,catClave,0))&amp;"","Variable")),"")</f>
        <v/>
      </c>
      <c r="Y202" s="52">
        <f>IF(P202="","",IFERROR(INDEX(catGrupo,MATCH(D202&amp;"|"&amp;E202,catClave,0))&amp;"",""))</f>
        <v/>
      </c>
      <c r="Z202" s="52">
        <f>IF(P202="","",WEEKDAY(B202,2))</f>
        <v/>
      </c>
      <c r="AA202" s="52">
        <f>IF(P202="","",IF(AND(P202="Gasto",X202="Variable",D202&lt;&gt;catTrading,S202&gt;0,S202&lt;=Umbral),1,0))</f>
        <v/>
      </c>
      <c r="AB202" s="52">
        <f>IF(OR(P202="",Q202=""),"",IFERROR(IF(INDEX(ctaVinc,MATCH(Q202,ctaNombre,0))&amp;""&lt;&gt;"",INDEX(ctaVinc,MATCH(Q202,ctaNombre,0))&amp;"",Q202),Q202))</f>
        <v/>
      </c>
      <c r="AC202" s="52">
        <f>IF(OR(K202="",AND(P202&lt;&gt;"Transferencia",P202&lt;&gt;"Pago tarjeta")),"",IFERROR(IF(INDEX(ctaVinc,MATCH(K202,ctaNombre,0))&amp;""&lt;&gt;"",INDEX(ctaVinc,MATCH(K202,ctaNombre,0))&amp;"",K202),K202))</f>
        <v/>
      </c>
      <c r="AD202" s="52">
        <f>IF(AB202="","",IFERROR(INDEX(ctaTipo,MATCH(AB202,ctaNombre,0))&amp;"",""))</f>
        <v/>
      </c>
      <c r="AE202" s="52">
        <f>IF(AC202="","",IFERROR(INDEX(ctaTipo,MATCH(AC202,ctaNombre,0))&amp;"",""))</f>
        <v/>
      </c>
      <c r="AF202" s="53">
        <f>IF(OR(P202="",AB202=""),"",IF(OR(P202="Gasto",P202="Transferencia",P202="Pago tarjeta"),-1,1)*IF(IFERROR(INDEX(ctaMoneda,MATCH(AB202,ctaNombre,0))&amp;"","DOP")="USD",T202,S202))</f>
        <v/>
      </c>
      <c r="AG202" s="53">
        <f>IF(AC202="","",IF(IFERROR(INDEX(ctaMoneda,MATCH(AC202,ctaNombre,0))&amp;"","DOP")="USD",T202,S202))</f>
        <v/>
      </c>
      <c r="AH202" s="53">
        <f>IF(P202="","",IF(AND(AD202&lt;&gt;"",COUNTIFS(tcTipo,AD202,tcLiq,"Sí")&gt;0),IF(OR(P202="Gasto",P202="Transferencia",P202="Pago tarjeta"),-1,1)*S202,0)+IF(AND(AE202&lt;&gt;"",COUNTIFS(tcTipo,AE202,tcLiq,"Sí")&gt;0),S202,0))</f>
        <v/>
      </c>
      <c r="AI202" s="52">
        <f>IF(OR(L202="",P202=""),"",IF(COUNTIFS(L$6:L202,L202,P$6:P202,"?*")=1,MAX(AI$5:AI201)+1,""))</f>
        <v/>
      </c>
    </row>
    <row r="203">
      <c r="B203" s="47" t="n"/>
      <c r="C203" s="48" t="n"/>
      <c r="D203" s="48" t="n"/>
      <c r="E203" s="48" t="n"/>
      <c r="F203" s="48" t="n"/>
      <c r="G203" s="49" t="n"/>
      <c r="H203" s="48" t="n"/>
      <c r="I203" s="50" t="n"/>
      <c r="J203" s="48" t="n"/>
      <c r="K203" s="48" t="n"/>
      <c r="L203" s="48" t="n"/>
      <c r="M203" s="48" t="n"/>
      <c r="N203" s="48" t="n"/>
      <c r="O203" s="51">
        <f>IF(AND(B203="",G203="",C203="",D203="",J203=""),"",IF(B203="","⚠ Falta fecha",IF(G203="","⚠ Falta monto",IF(Q203="","⚠ Falta cuenta",IF(ISNA(MATCH(Q203,ctaNombre,0)),"⚠ Cuenta no registrada",IF(AND(OR(P203="Gasto",P203="Reembolso"),D203=""),"⚠ Falta categoría",IF(AND(D203&lt;&gt;"",E203&lt;&gt;"",ISNA(MATCH(D203&amp;"|"&amp;E203,catClave,0))),"⚠ Subcategoría no corresponde",IF(AND(OR(P203="Transferencia",P203="Pago tarjeta"),K203=""),"⚠ Falta cuenta destino",IF(AND(K203&lt;&gt;"",P203&lt;&gt;"Transferencia",P203&lt;&gt;"Pago tarjeta"),"⚠ Destino solo aplica a transferencias",IF(AND(K203&lt;&gt;"",K203=Q203),"⚠ Origen igual a destino",IF(AND(K203&lt;&gt;"",ISNA(MATCH(K203,ctaNombre,0))),"⚠ Destino no registrado",IF(AND(P203="Pago tarjeta",AE203&lt;&gt;"Tarjeta de crédito"),"⚠ El destino debe ser tarjeta de crédito",IF(AND(P203="Gasto",E203="Depósitos y retiros"),"⚠ Usa tipo Transferencia",IF(AND(P203="Resultado trading",AD203&lt;&gt;"Cuenta de trading"),"⚠ Usa una cuenta de trading",IF(AND(G203&lt;=0,P203&lt;&gt;"Ajuste",P203&lt;&gt;"Resultado trading"),"⚠ El monto debe ser positivo","✓")))))))))))))))</f>
        <v/>
      </c>
      <c r="P203" s="52">
        <f>IF(OR(B203="",G203=""),"",IF(C203="","Gasto",C203))</f>
        <v/>
      </c>
      <c r="Q203" s="52">
        <f>IF(P203="","",IF(J203&lt;&gt;"",J203,CuentaPred&amp;""))</f>
        <v/>
      </c>
      <c r="R203" s="52">
        <f>IF(P203="","",IF(ISNUMBER(I203),I203,TasaUSD))</f>
        <v/>
      </c>
      <c r="S203" s="53">
        <f>IF(P203="","",IF(H203="USD",G203*R203,G203))</f>
        <v/>
      </c>
      <c r="T203" s="53">
        <f>IF(P203="","",IF(H203="USD",G203,IF(R203&gt;0,G203/R203,0)))</f>
        <v/>
      </c>
      <c r="U203" s="53">
        <f>IF(P203="","",IF(P203="Gasto",S203,IF(P203="Reembolso",-S203,0)))</f>
        <v/>
      </c>
      <c r="V203" s="53">
        <f>IF(P203="","",IF(P203="Ingreso",S203,0))</f>
        <v/>
      </c>
      <c r="W203" s="53">
        <f>IF(P203="","",IF(P203="Resultado trading",S203,0))</f>
        <v/>
      </c>
      <c r="X203" s="52">
        <f>IF(OR(P203="Gasto",P203="Reembolso"),IF(M203&lt;&gt;"",M203,IFERROR(INDEX(catClasif,MATCH(D203&amp;"|"&amp;E203,catClave,0))&amp;"","Variable")),"")</f>
        <v/>
      </c>
      <c r="Y203" s="52">
        <f>IF(P203="","",IFERROR(INDEX(catGrupo,MATCH(D203&amp;"|"&amp;E203,catClave,0))&amp;"",""))</f>
        <v/>
      </c>
      <c r="Z203" s="52">
        <f>IF(P203="","",WEEKDAY(B203,2))</f>
        <v/>
      </c>
      <c r="AA203" s="52">
        <f>IF(P203="","",IF(AND(P203="Gasto",X203="Variable",D203&lt;&gt;catTrading,S203&gt;0,S203&lt;=Umbral),1,0))</f>
        <v/>
      </c>
      <c r="AB203" s="52">
        <f>IF(OR(P203="",Q203=""),"",IFERROR(IF(INDEX(ctaVinc,MATCH(Q203,ctaNombre,0))&amp;""&lt;&gt;"",INDEX(ctaVinc,MATCH(Q203,ctaNombre,0))&amp;"",Q203),Q203))</f>
        <v/>
      </c>
      <c r="AC203" s="52">
        <f>IF(OR(K203="",AND(P203&lt;&gt;"Transferencia",P203&lt;&gt;"Pago tarjeta")),"",IFERROR(IF(INDEX(ctaVinc,MATCH(K203,ctaNombre,0))&amp;""&lt;&gt;"",INDEX(ctaVinc,MATCH(K203,ctaNombre,0))&amp;"",K203),K203))</f>
        <v/>
      </c>
      <c r="AD203" s="52">
        <f>IF(AB203="","",IFERROR(INDEX(ctaTipo,MATCH(AB203,ctaNombre,0))&amp;"",""))</f>
        <v/>
      </c>
      <c r="AE203" s="52">
        <f>IF(AC203="","",IFERROR(INDEX(ctaTipo,MATCH(AC203,ctaNombre,0))&amp;"",""))</f>
        <v/>
      </c>
      <c r="AF203" s="53">
        <f>IF(OR(P203="",AB203=""),"",IF(OR(P203="Gasto",P203="Transferencia",P203="Pago tarjeta"),-1,1)*IF(IFERROR(INDEX(ctaMoneda,MATCH(AB203,ctaNombre,0))&amp;"","DOP")="USD",T203,S203))</f>
        <v/>
      </c>
      <c r="AG203" s="53">
        <f>IF(AC203="","",IF(IFERROR(INDEX(ctaMoneda,MATCH(AC203,ctaNombre,0))&amp;"","DOP")="USD",T203,S203))</f>
        <v/>
      </c>
      <c r="AH203" s="53">
        <f>IF(P203="","",IF(AND(AD203&lt;&gt;"",COUNTIFS(tcTipo,AD203,tcLiq,"Sí")&gt;0),IF(OR(P203="Gasto",P203="Transferencia",P203="Pago tarjeta"),-1,1)*S203,0)+IF(AND(AE203&lt;&gt;"",COUNTIFS(tcTipo,AE203,tcLiq,"Sí")&gt;0),S203,0))</f>
        <v/>
      </c>
      <c r="AI203" s="52">
        <f>IF(OR(L203="",P203=""),"",IF(COUNTIFS(L$6:L203,L203,P$6:P203,"?*")=1,MAX(AI$5:AI202)+1,""))</f>
        <v/>
      </c>
    </row>
    <row r="204">
      <c r="B204" s="47" t="n"/>
      <c r="C204" s="48" t="n"/>
      <c r="D204" s="48" t="n"/>
      <c r="E204" s="48" t="n"/>
      <c r="F204" s="48" t="n"/>
      <c r="G204" s="49" t="n"/>
      <c r="H204" s="48" t="n"/>
      <c r="I204" s="50" t="n"/>
      <c r="J204" s="48" t="n"/>
      <c r="K204" s="48" t="n"/>
      <c r="L204" s="48" t="n"/>
      <c r="M204" s="48" t="n"/>
      <c r="N204" s="48" t="n"/>
      <c r="O204" s="51">
        <f>IF(AND(B204="",G204="",C204="",D204="",J204=""),"",IF(B204="","⚠ Falta fecha",IF(G204="","⚠ Falta monto",IF(Q204="","⚠ Falta cuenta",IF(ISNA(MATCH(Q204,ctaNombre,0)),"⚠ Cuenta no registrada",IF(AND(OR(P204="Gasto",P204="Reembolso"),D204=""),"⚠ Falta categoría",IF(AND(D204&lt;&gt;"",E204&lt;&gt;"",ISNA(MATCH(D204&amp;"|"&amp;E204,catClave,0))),"⚠ Subcategoría no corresponde",IF(AND(OR(P204="Transferencia",P204="Pago tarjeta"),K204=""),"⚠ Falta cuenta destino",IF(AND(K204&lt;&gt;"",P204&lt;&gt;"Transferencia",P204&lt;&gt;"Pago tarjeta"),"⚠ Destino solo aplica a transferencias",IF(AND(K204&lt;&gt;"",K204=Q204),"⚠ Origen igual a destino",IF(AND(K204&lt;&gt;"",ISNA(MATCH(K204,ctaNombre,0))),"⚠ Destino no registrado",IF(AND(P204="Pago tarjeta",AE204&lt;&gt;"Tarjeta de crédito"),"⚠ El destino debe ser tarjeta de crédito",IF(AND(P204="Gasto",E204="Depósitos y retiros"),"⚠ Usa tipo Transferencia",IF(AND(P204="Resultado trading",AD204&lt;&gt;"Cuenta de trading"),"⚠ Usa una cuenta de trading",IF(AND(G204&lt;=0,P204&lt;&gt;"Ajuste",P204&lt;&gt;"Resultado trading"),"⚠ El monto debe ser positivo","✓")))))))))))))))</f>
        <v/>
      </c>
      <c r="P204" s="52">
        <f>IF(OR(B204="",G204=""),"",IF(C204="","Gasto",C204))</f>
        <v/>
      </c>
      <c r="Q204" s="52">
        <f>IF(P204="","",IF(J204&lt;&gt;"",J204,CuentaPred&amp;""))</f>
        <v/>
      </c>
      <c r="R204" s="52">
        <f>IF(P204="","",IF(ISNUMBER(I204),I204,TasaUSD))</f>
        <v/>
      </c>
      <c r="S204" s="53">
        <f>IF(P204="","",IF(H204="USD",G204*R204,G204))</f>
        <v/>
      </c>
      <c r="T204" s="53">
        <f>IF(P204="","",IF(H204="USD",G204,IF(R204&gt;0,G204/R204,0)))</f>
        <v/>
      </c>
      <c r="U204" s="53">
        <f>IF(P204="","",IF(P204="Gasto",S204,IF(P204="Reembolso",-S204,0)))</f>
        <v/>
      </c>
      <c r="V204" s="53">
        <f>IF(P204="","",IF(P204="Ingreso",S204,0))</f>
        <v/>
      </c>
      <c r="W204" s="53">
        <f>IF(P204="","",IF(P204="Resultado trading",S204,0))</f>
        <v/>
      </c>
      <c r="X204" s="52">
        <f>IF(OR(P204="Gasto",P204="Reembolso"),IF(M204&lt;&gt;"",M204,IFERROR(INDEX(catClasif,MATCH(D204&amp;"|"&amp;E204,catClave,0))&amp;"","Variable")),"")</f>
        <v/>
      </c>
      <c r="Y204" s="52">
        <f>IF(P204="","",IFERROR(INDEX(catGrupo,MATCH(D204&amp;"|"&amp;E204,catClave,0))&amp;"",""))</f>
        <v/>
      </c>
      <c r="Z204" s="52">
        <f>IF(P204="","",WEEKDAY(B204,2))</f>
        <v/>
      </c>
      <c r="AA204" s="52">
        <f>IF(P204="","",IF(AND(P204="Gasto",X204="Variable",D204&lt;&gt;catTrading,S204&gt;0,S204&lt;=Umbral),1,0))</f>
        <v/>
      </c>
      <c r="AB204" s="52">
        <f>IF(OR(P204="",Q204=""),"",IFERROR(IF(INDEX(ctaVinc,MATCH(Q204,ctaNombre,0))&amp;""&lt;&gt;"",INDEX(ctaVinc,MATCH(Q204,ctaNombre,0))&amp;"",Q204),Q204))</f>
        <v/>
      </c>
      <c r="AC204" s="52">
        <f>IF(OR(K204="",AND(P204&lt;&gt;"Transferencia",P204&lt;&gt;"Pago tarjeta")),"",IFERROR(IF(INDEX(ctaVinc,MATCH(K204,ctaNombre,0))&amp;""&lt;&gt;"",INDEX(ctaVinc,MATCH(K204,ctaNombre,0))&amp;"",K204),K204))</f>
        <v/>
      </c>
      <c r="AD204" s="52">
        <f>IF(AB204="","",IFERROR(INDEX(ctaTipo,MATCH(AB204,ctaNombre,0))&amp;"",""))</f>
        <v/>
      </c>
      <c r="AE204" s="52">
        <f>IF(AC204="","",IFERROR(INDEX(ctaTipo,MATCH(AC204,ctaNombre,0))&amp;"",""))</f>
        <v/>
      </c>
      <c r="AF204" s="53">
        <f>IF(OR(P204="",AB204=""),"",IF(OR(P204="Gasto",P204="Transferencia",P204="Pago tarjeta"),-1,1)*IF(IFERROR(INDEX(ctaMoneda,MATCH(AB204,ctaNombre,0))&amp;"","DOP")="USD",T204,S204))</f>
        <v/>
      </c>
      <c r="AG204" s="53">
        <f>IF(AC204="","",IF(IFERROR(INDEX(ctaMoneda,MATCH(AC204,ctaNombre,0))&amp;"","DOP")="USD",T204,S204))</f>
        <v/>
      </c>
      <c r="AH204" s="53">
        <f>IF(P204="","",IF(AND(AD204&lt;&gt;"",COUNTIFS(tcTipo,AD204,tcLiq,"Sí")&gt;0),IF(OR(P204="Gasto",P204="Transferencia",P204="Pago tarjeta"),-1,1)*S204,0)+IF(AND(AE204&lt;&gt;"",COUNTIFS(tcTipo,AE204,tcLiq,"Sí")&gt;0),S204,0))</f>
        <v/>
      </c>
      <c r="AI204" s="52">
        <f>IF(OR(L204="",P204=""),"",IF(COUNTIFS(L$6:L204,L204,P$6:P204,"?*")=1,MAX(AI$5:AI203)+1,""))</f>
        <v/>
      </c>
    </row>
    <row r="205">
      <c r="B205" s="47" t="n"/>
      <c r="C205" s="48" t="n"/>
      <c r="D205" s="48" t="n"/>
      <c r="E205" s="48" t="n"/>
      <c r="F205" s="48" t="n"/>
      <c r="G205" s="49" t="n"/>
      <c r="H205" s="48" t="n"/>
      <c r="I205" s="50" t="n"/>
      <c r="J205" s="48" t="n"/>
      <c r="K205" s="48" t="n"/>
      <c r="L205" s="48" t="n"/>
      <c r="M205" s="48" t="n"/>
      <c r="N205" s="48" t="n"/>
      <c r="O205" s="51">
        <f>IF(AND(B205="",G205="",C205="",D205="",J205=""),"",IF(B205="","⚠ Falta fecha",IF(G205="","⚠ Falta monto",IF(Q205="","⚠ Falta cuenta",IF(ISNA(MATCH(Q205,ctaNombre,0)),"⚠ Cuenta no registrada",IF(AND(OR(P205="Gasto",P205="Reembolso"),D205=""),"⚠ Falta categoría",IF(AND(D205&lt;&gt;"",E205&lt;&gt;"",ISNA(MATCH(D205&amp;"|"&amp;E205,catClave,0))),"⚠ Subcategoría no corresponde",IF(AND(OR(P205="Transferencia",P205="Pago tarjeta"),K205=""),"⚠ Falta cuenta destino",IF(AND(K205&lt;&gt;"",P205&lt;&gt;"Transferencia",P205&lt;&gt;"Pago tarjeta"),"⚠ Destino solo aplica a transferencias",IF(AND(K205&lt;&gt;"",K205=Q205),"⚠ Origen igual a destino",IF(AND(K205&lt;&gt;"",ISNA(MATCH(K205,ctaNombre,0))),"⚠ Destino no registrado",IF(AND(P205="Pago tarjeta",AE205&lt;&gt;"Tarjeta de crédito"),"⚠ El destino debe ser tarjeta de crédito",IF(AND(P205="Gasto",E205="Depósitos y retiros"),"⚠ Usa tipo Transferencia",IF(AND(P205="Resultado trading",AD205&lt;&gt;"Cuenta de trading"),"⚠ Usa una cuenta de trading",IF(AND(G205&lt;=0,P205&lt;&gt;"Ajuste",P205&lt;&gt;"Resultado trading"),"⚠ El monto debe ser positivo","✓")))))))))))))))</f>
        <v/>
      </c>
      <c r="P205" s="52">
        <f>IF(OR(B205="",G205=""),"",IF(C205="","Gasto",C205))</f>
        <v/>
      </c>
      <c r="Q205" s="52">
        <f>IF(P205="","",IF(J205&lt;&gt;"",J205,CuentaPred&amp;""))</f>
        <v/>
      </c>
      <c r="R205" s="52">
        <f>IF(P205="","",IF(ISNUMBER(I205),I205,TasaUSD))</f>
        <v/>
      </c>
      <c r="S205" s="53">
        <f>IF(P205="","",IF(H205="USD",G205*R205,G205))</f>
        <v/>
      </c>
      <c r="T205" s="53">
        <f>IF(P205="","",IF(H205="USD",G205,IF(R205&gt;0,G205/R205,0)))</f>
        <v/>
      </c>
      <c r="U205" s="53">
        <f>IF(P205="","",IF(P205="Gasto",S205,IF(P205="Reembolso",-S205,0)))</f>
        <v/>
      </c>
      <c r="V205" s="53">
        <f>IF(P205="","",IF(P205="Ingreso",S205,0))</f>
        <v/>
      </c>
      <c r="W205" s="53">
        <f>IF(P205="","",IF(P205="Resultado trading",S205,0))</f>
        <v/>
      </c>
      <c r="X205" s="52">
        <f>IF(OR(P205="Gasto",P205="Reembolso"),IF(M205&lt;&gt;"",M205,IFERROR(INDEX(catClasif,MATCH(D205&amp;"|"&amp;E205,catClave,0))&amp;"","Variable")),"")</f>
        <v/>
      </c>
      <c r="Y205" s="52">
        <f>IF(P205="","",IFERROR(INDEX(catGrupo,MATCH(D205&amp;"|"&amp;E205,catClave,0))&amp;"",""))</f>
        <v/>
      </c>
      <c r="Z205" s="52">
        <f>IF(P205="","",WEEKDAY(B205,2))</f>
        <v/>
      </c>
      <c r="AA205" s="52">
        <f>IF(P205="","",IF(AND(P205="Gasto",X205="Variable",D205&lt;&gt;catTrading,S205&gt;0,S205&lt;=Umbral),1,0))</f>
        <v/>
      </c>
      <c r="AB205" s="52">
        <f>IF(OR(P205="",Q205=""),"",IFERROR(IF(INDEX(ctaVinc,MATCH(Q205,ctaNombre,0))&amp;""&lt;&gt;"",INDEX(ctaVinc,MATCH(Q205,ctaNombre,0))&amp;"",Q205),Q205))</f>
        <v/>
      </c>
      <c r="AC205" s="52">
        <f>IF(OR(K205="",AND(P205&lt;&gt;"Transferencia",P205&lt;&gt;"Pago tarjeta")),"",IFERROR(IF(INDEX(ctaVinc,MATCH(K205,ctaNombre,0))&amp;""&lt;&gt;"",INDEX(ctaVinc,MATCH(K205,ctaNombre,0))&amp;"",K205),K205))</f>
        <v/>
      </c>
      <c r="AD205" s="52">
        <f>IF(AB205="","",IFERROR(INDEX(ctaTipo,MATCH(AB205,ctaNombre,0))&amp;"",""))</f>
        <v/>
      </c>
      <c r="AE205" s="52">
        <f>IF(AC205="","",IFERROR(INDEX(ctaTipo,MATCH(AC205,ctaNombre,0))&amp;"",""))</f>
        <v/>
      </c>
      <c r="AF205" s="53">
        <f>IF(OR(P205="",AB205=""),"",IF(OR(P205="Gasto",P205="Transferencia",P205="Pago tarjeta"),-1,1)*IF(IFERROR(INDEX(ctaMoneda,MATCH(AB205,ctaNombre,0))&amp;"","DOP")="USD",T205,S205))</f>
        <v/>
      </c>
      <c r="AG205" s="53">
        <f>IF(AC205="","",IF(IFERROR(INDEX(ctaMoneda,MATCH(AC205,ctaNombre,0))&amp;"","DOP")="USD",T205,S205))</f>
        <v/>
      </c>
      <c r="AH205" s="53">
        <f>IF(P205="","",IF(AND(AD205&lt;&gt;"",COUNTIFS(tcTipo,AD205,tcLiq,"Sí")&gt;0),IF(OR(P205="Gasto",P205="Transferencia",P205="Pago tarjeta"),-1,1)*S205,0)+IF(AND(AE205&lt;&gt;"",COUNTIFS(tcTipo,AE205,tcLiq,"Sí")&gt;0),S205,0))</f>
        <v/>
      </c>
      <c r="AI205" s="52">
        <f>IF(OR(L205="",P205=""),"",IF(COUNTIFS(L$6:L205,L205,P$6:P205,"?*")=1,MAX(AI$5:AI204)+1,""))</f>
        <v/>
      </c>
    </row>
    <row r="206">
      <c r="B206" s="47" t="n"/>
      <c r="C206" s="48" t="n"/>
      <c r="D206" s="48" t="n"/>
      <c r="E206" s="48" t="n"/>
      <c r="F206" s="48" t="n"/>
      <c r="G206" s="49" t="n"/>
      <c r="H206" s="48" t="n"/>
      <c r="I206" s="50" t="n"/>
      <c r="J206" s="48" t="n"/>
      <c r="K206" s="48" t="n"/>
      <c r="L206" s="48" t="n"/>
      <c r="M206" s="48" t="n"/>
      <c r="N206" s="48" t="n"/>
      <c r="O206" s="51">
        <f>IF(AND(B206="",G206="",C206="",D206="",J206=""),"",IF(B206="","⚠ Falta fecha",IF(G206="","⚠ Falta monto",IF(Q206="","⚠ Falta cuenta",IF(ISNA(MATCH(Q206,ctaNombre,0)),"⚠ Cuenta no registrada",IF(AND(OR(P206="Gasto",P206="Reembolso"),D206=""),"⚠ Falta categoría",IF(AND(D206&lt;&gt;"",E206&lt;&gt;"",ISNA(MATCH(D206&amp;"|"&amp;E206,catClave,0))),"⚠ Subcategoría no corresponde",IF(AND(OR(P206="Transferencia",P206="Pago tarjeta"),K206=""),"⚠ Falta cuenta destino",IF(AND(K206&lt;&gt;"",P206&lt;&gt;"Transferencia",P206&lt;&gt;"Pago tarjeta"),"⚠ Destino solo aplica a transferencias",IF(AND(K206&lt;&gt;"",K206=Q206),"⚠ Origen igual a destino",IF(AND(K206&lt;&gt;"",ISNA(MATCH(K206,ctaNombre,0))),"⚠ Destino no registrado",IF(AND(P206="Pago tarjeta",AE206&lt;&gt;"Tarjeta de crédito"),"⚠ El destino debe ser tarjeta de crédito",IF(AND(P206="Gasto",E206="Depósitos y retiros"),"⚠ Usa tipo Transferencia",IF(AND(P206="Resultado trading",AD206&lt;&gt;"Cuenta de trading"),"⚠ Usa una cuenta de trading",IF(AND(G206&lt;=0,P206&lt;&gt;"Ajuste",P206&lt;&gt;"Resultado trading"),"⚠ El monto debe ser positivo","✓")))))))))))))))</f>
        <v/>
      </c>
      <c r="P206" s="52">
        <f>IF(OR(B206="",G206=""),"",IF(C206="","Gasto",C206))</f>
        <v/>
      </c>
      <c r="Q206" s="52">
        <f>IF(P206="","",IF(J206&lt;&gt;"",J206,CuentaPred&amp;""))</f>
        <v/>
      </c>
      <c r="R206" s="52">
        <f>IF(P206="","",IF(ISNUMBER(I206),I206,TasaUSD))</f>
        <v/>
      </c>
      <c r="S206" s="53">
        <f>IF(P206="","",IF(H206="USD",G206*R206,G206))</f>
        <v/>
      </c>
      <c r="T206" s="53">
        <f>IF(P206="","",IF(H206="USD",G206,IF(R206&gt;0,G206/R206,0)))</f>
        <v/>
      </c>
      <c r="U206" s="53">
        <f>IF(P206="","",IF(P206="Gasto",S206,IF(P206="Reembolso",-S206,0)))</f>
        <v/>
      </c>
      <c r="V206" s="53">
        <f>IF(P206="","",IF(P206="Ingreso",S206,0))</f>
        <v/>
      </c>
      <c r="W206" s="53">
        <f>IF(P206="","",IF(P206="Resultado trading",S206,0))</f>
        <v/>
      </c>
      <c r="X206" s="52">
        <f>IF(OR(P206="Gasto",P206="Reembolso"),IF(M206&lt;&gt;"",M206,IFERROR(INDEX(catClasif,MATCH(D206&amp;"|"&amp;E206,catClave,0))&amp;"","Variable")),"")</f>
        <v/>
      </c>
      <c r="Y206" s="52">
        <f>IF(P206="","",IFERROR(INDEX(catGrupo,MATCH(D206&amp;"|"&amp;E206,catClave,0))&amp;"",""))</f>
        <v/>
      </c>
      <c r="Z206" s="52">
        <f>IF(P206="","",WEEKDAY(B206,2))</f>
        <v/>
      </c>
      <c r="AA206" s="52">
        <f>IF(P206="","",IF(AND(P206="Gasto",X206="Variable",D206&lt;&gt;catTrading,S206&gt;0,S206&lt;=Umbral),1,0))</f>
        <v/>
      </c>
      <c r="AB206" s="52">
        <f>IF(OR(P206="",Q206=""),"",IFERROR(IF(INDEX(ctaVinc,MATCH(Q206,ctaNombre,0))&amp;""&lt;&gt;"",INDEX(ctaVinc,MATCH(Q206,ctaNombre,0))&amp;"",Q206),Q206))</f>
        <v/>
      </c>
      <c r="AC206" s="52">
        <f>IF(OR(K206="",AND(P206&lt;&gt;"Transferencia",P206&lt;&gt;"Pago tarjeta")),"",IFERROR(IF(INDEX(ctaVinc,MATCH(K206,ctaNombre,0))&amp;""&lt;&gt;"",INDEX(ctaVinc,MATCH(K206,ctaNombre,0))&amp;"",K206),K206))</f>
        <v/>
      </c>
      <c r="AD206" s="52">
        <f>IF(AB206="","",IFERROR(INDEX(ctaTipo,MATCH(AB206,ctaNombre,0))&amp;"",""))</f>
        <v/>
      </c>
      <c r="AE206" s="52">
        <f>IF(AC206="","",IFERROR(INDEX(ctaTipo,MATCH(AC206,ctaNombre,0))&amp;"",""))</f>
        <v/>
      </c>
      <c r="AF206" s="53">
        <f>IF(OR(P206="",AB206=""),"",IF(OR(P206="Gasto",P206="Transferencia",P206="Pago tarjeta"),-1,1)*IF(IFERROR(INDEX(ctaMoneda,MATCH(AB206,ctaNombre,0))&amp;"","DOP")="USD",T206,S206))</f>
        <v/>
      </c>
      <c r="AG206" s="53">
        <f>IF(AC206="","",IF(IFERROR(INDEX(ctaMoneda,MATCH(AC206,ctaNombre,0))&amp;"","DOP")="USD",T206,S206))</f>
        <v/>
      </c>
      <c r="AH206" s="53">
        <f>IF(P206="","",IF(AND(AD206&lt;&gt;"",COUNTIFS(tcTipo,AD206,tcLiq,"Sí")&gt;0),IF(OR(P206="Gasto",P206="Transferencia",P206="Pago tarjeta"),-1,1)*S206,0)+IF(AND(AE206&lt;&gt;"",COUNTIFS(tcTipo,AE206,tcLiq,"Sí")&gt;0),S206,0))</f>
        <v/>
      </c>
      <c r="AI206" s="52">
        <f>IF(OR(L206="",P206=""),"",IF(COUNTIFS(L$6:L206,L206,P$6:P206,"?*")=1,MAX(AI$5:AI205)+1,""))</f>
        <v/>
      </c>
    </row>
    <row r="207">
      <c r="B207" s="47" t="n"/>
      <c r="C207" s="48" t="n"/>
      <c r="D207" s="48" t="n"/>
      <c r="E207" s="48" t="n"/>
      <c r="F207" s="48" t="n"/>
      <c r="G207" s="49" t="n"/>
      <c r="H207" s="48" t="n"/>
      <c r="I207" s="50" t="n"/>
      <c r="J207" s="48" t="n"/>
      <c r="K207" s="48" t="n"/>
      <c r="L207" s="48" t="n"/>
      <c r="M207" s="48" t="n"/>
      <c r="N207" s="48" t="n"/>
      <c r="O207" s="51">
        <f>IF(AND(B207="",G207="",C207="",D207="",J207=""),"",IF(B207="","⚠ Falta fecha",IF(G207="","⚠ Falta monto",IF(Q207="","⚠ Falta cuenta",IF(ISNA(MATCH(Q207,ctaNombre,0)),"⚠ Cuenta no registrada",IF(AND(OR(P207="Gasto",P207="Reembolso"),D207=""),"⚠ Falta categoría",IF(AND(D207&lt;&gt;"",E207&lt;&gt;"",ISNA(MATCH(D207&amp;"|"&amp;E207,catClave,0))),"⚠ Subcategoría no corresponde",IF(AND(OR(P207="Transferencia",P207="Pago tarjeta"),K207=""),"⚠ Falta cuenta destino",IF(AND(K207&lt;&gt;"",P207&lt;&gt;"Transferencia",P207&lt;&gt;"Pago tarjeta"),"⚠ Destino solo aplica a transferencias",IF(AND(K207&lt;&gt;"",K207=Q207),"⚠ Origen igual a destino",IF(AND(K207&lt;&gt;"",ISNA(MATCH(K207,ctaNombre,0))),"⚠ Destino no registrado",IF(AND(P207="Pago tarjeta",AE207&lt;&gt;"Tarjeta de crédito"),"⚠ El destino debe ser tarjeta de crédito",IF(AND(P207="Gasto",E207="Depósitos y retiros"),"⚠ Usa tipo Transferencia",IF(AND(P207="Resultado trading",AD207&lt;&gt;"Cuenta de trading"),"⚠ Usa una cuenta de trading",IF(AND(G207&lt;=0,P207&lt;&gt;"Ajuste",P207&lt;&gt;"Resultado trading"),"⚠ El monto debe ser positivo","✓")))))))))))))))</f>
        <v/>
      </c>
      <c r="P207" s="52">
        <f>IF(OR(B207="",G207=""),"",IF(C207="","Gasto",C207))</f>
        <v/>
      </c>
      <c r="Q207" s="52">
        <f>IF(P207="","",IF(J207&lt;&gt;"",J207,CuentaPred&amp;""))</f>
        <v/>
      </c>
      <c r="R207" s="52">
        <f>IF(P207="","",IF(ISNUMBER(I207),I207,TasaUSD))</f>
        <v/>
      </c>
      <c r="S207" s="53">
        <f>IF(P207="","",IF(H207="USD",G207*R207,G207))</f>
        <v/>
      </c>
      <c r="T207" s="53">
        <f>IF(P207="","",IF(H207="USD",G207,IF(R207&gt;0,G207/R207,0)))</f>
        <v/>
      </c>
      <c r="U207" s="53">
        <f>IF(P207="","",IF(P207="Gasto",S207,IF(P207="Reembolso",-S207,0)))</f>
        <v/>
      </c>
      <c r="V207" s="53">
        <f>IF(P207="","",IF(P207="Ingreso",S207,0))</f>
        <v/>
      </c>
      <c r="W207" s="53">
        <f>IF(P207="","",IF(P207="Resultado trading",S207,0))</f>
        <v/>
      </c>
      <c r="X207" s="52">
        <f>IF(OR(P207="Gasto",P207="Reembolso"),IF(M207&lt;&gt;"",M207,IFERROR(INDEX(catClasif,MATCH(D207&amp;"|"&amp;E207,catClave,0))&amp;"","Variable")),"")</f>
        <v/>
      </c>
      <c r="Y207" s="52">
        <f>IF(P207="","",IFERROR(INDEX(catGrupo,MATCH(D207&amp;"|"&amp;E207,catClave,0))&amp;"",""))</f>
        <v/>
      </c>
      <c r="Z207" s="52">
        <f>IF(P207="","",WEEKDAY(B207,2))</f>
        <v/>
      </c>
      <c r="AA207" s="52">
        <f>IF(P207="","",IF(AND(P207="Gasto",X207="Variable",D207&lt;&gt;catTrading,S207&gt;0,S207&lt;=Umbral),1,0))</f>
        <v/>
      </c>
      <c r="AB207" s="52">
        <f>IF(OR(P207="",Q207=""),"",IFERROR(IF(INDEX(ctaVinc,MATCH(Q207,ctaNombre,0))&amp;""&lt;&gt;"",INDEX(ctaVinc,MATCH(Q207,ctaNombre,0))&amp;"",Q207),Q207))</f>
        <v/>
      </c>
      <c r="AC207" s="52">
        <f>IF(OR(K207="",AND(P207&lt;&gt;"Transferencia",P207&lt;&gt;"Pago tarjeta")),"",IFERROR(IF(INDEX(ctaVinc,MATCH(K207,ctaNombre,0))&amp;""&lt;&gt;"",INDEX(ctaVinc,MATCH(K207,ctaNombre,0))&amp;"",K207),K207))</f>
        <v/>
      </c>
      <c r="AD207" s="52">
        <f>IF(AB207="","",IFERROR(INDEX(ctaTipo,MATCH(AB207,ctaNombre,0))&amp;"",""))</f>
        <v/>
      </c>
      <c r="AE207" s="52">
        <f>IF(AC207="","",IFERROR(INDEX(ctaTipo,MATCH(AC207,ctaNombre,0))&amp;"",""))</f>
        <v/>
      </c>
      <c r="AF207" s="53">
        <f>IF(OR(P207="",AB207=""),"",IF(OR(P207="Gasto",P207="Transferencia",P207="Pago tarjeta"),-1,1)*IF(IFERROR(INDEX(ctaMoneda,MATCH(AB207,ctaNombre,0))&amp;"","DOP")="USD",T207,S207))</f>
        <v/>
      </c>
      <c r="AG207" s="53">
        <f>IF(AC207="","",IF(IFERROR(INDEX(ctaMoneda,MATCH(AC207,ctaNombre,0))&amp;"","DOP")="USD",T207,S207))</f>
        <v/>
      </c>
      <c r="AH207" s="53">
        <f>IF(P207="","",IF(AND(AD207&lt;&gt;"",COUNTIFS(tcTipo,AD207,tcLiq,"Sí")&gt;0),IF(OR(P207="Gasto",P207="Transferencia",P207="Pago tarjeta"),-1,1)*S207,0)+IF(AND(AE207&lt;&gt;"",COUNTIFS(tcTipo,AE207,tcLiq,"Sí")&gt;0),S207,0))</f>
        <v/>
      </c>
      <c r="AI207" s="52">
        <f>IF(OR(L207="",P207=""),"",IF(COUNTIFS(L$6:L207,L207,P$6:P207,"?*")=1,MAX(AI$5:AI206)+1,""))</f>
        <v/>
      </c>
    </row>
    <row r="208">
      <c r="B208" s="47" t="n"/>
      <c r="C208" s="48" t="n"/>
      <c r="D208" s="48" t="n"/>
      <c r="E208" s="48" t="n"/>
      <c r="F208" s="48" t="n"/>
      <c r="G208" s="49" t="n"/>
      <c r="H208" s="48" t="n"/>
      <c r="I208" s="50" t="n"/>
      <c r="J208" s="48" t="n"/>
      <c r="K208" s="48" t="n"/>
      <c r="L208" s="48" t="n"/>
      <c r="M208" s="48" t="n"/>
      <c r="N208" s="48" t="n"/>
      <c r="O208" s="51">
        <f>IF(AND(B208="",G208="",C208="",D208="",J208=""),"",IF(B208="","⚠ Falta fecha",IF(G208="","⚠ Falta monto",IF(Q208="","⚠ Falta cuenta",IF(ISNA(MATCH(Q208,ctaNombre,0)),"⚠ Cuenta no registrada",IF(AND(OR(P208="Gasto",P208="Reembolso"),D208=""),"⚠ Falta categoría",IF(AND(D208&lt;&gt;"",E208&lt;&gt;"",ISNA(MATCH(D208&amp;"|"&amp;E208,catClave,0))),"⚠ Subcategoría no corresponde",IF(AND(OR(P208="Transferencia",P208="Pago tarjeta"),K208=""),"⚠ Falta cuenta destino",IF(AND(K208&lt;&gt;"",P208&lt;&gt;"Transferencia",P208&lt;&gt;"Pago tarjeta"),"⚠ Destino solo aplica a transferencias",IF(AND(K208&lt;&gt;"",K208=Q208),"⚠ Origen igual a destino",IF(AND(K208&lt;&gt;"",ISNA(MATCH(K208,ctaNombre,0))),"⚠ Destino no registrado",IF(AND(P208="Pago tarjeta",AE208&lt;&gt;"Tarjeta de crédito"),"⚠ El destino debe ser tarjeta de crédito",IF(AND(P208="Gasto",E208="Depósitos y retiros"),"⚠ Usa tipo Transferencia",IF(AND(P208="Resultado trading",AD208&lt;&gt;"Cuenta de trading"),"⚠ Usa una cuenta de trading",IF(AND(G208&lt;=0,P208&lt;&gt;"Ajuste",P208&lt;&gt;"Resultado trading"),"⚠ El monto debe ser positivo","✓")))))))))))))))</f>
        <v/>
      </c>
      <c r="P208" s="52">
        <f>IF(OR(B208="",G208=""),"",IF(C208="","Gasto",C208))</f>
        <v/>
      </c>
      <c r="Q208" s="52">
        <f>IF(P208="","",IF(J208&lt;&gt;"",J208,CuentaPred&amp;""))</f>
        <v/>
      </c>
      <c r="R208" s="52">
        <f>IF(P208="","",IF(ISNUMBER(I208),I208,TasaUSD))</f>
        <v/>
      </c>
      <c r="S208" s="53">
        <f>IF(P208="","",IF(H208="USD",G208*R208,G208))</f>
        <v/>
      </c>
      <c r="T208" s="53">
        <f>IF(P208="","",IF(H208="USD",G208,IF(R208&gt;0,G208/R208,0)))</f>
        <v/>
      </c>
      <c r="U208" s="53">
        <f>IF(P208="","",IF(P208="Gasto",S208,IF(P208="Reembolso",-S208,0)))</f>
        <v/>
      </c>
      <c r="V208" s="53">
        <f>IF(P208="","",IF(P208="Ingreso",S208,0))</f>
        <v/>
      </c>
      <c r="W208" s="53">
        <f>IF(P208="","",IF(P208="Resultado trading",S208,0))</f>
        <v/>
      </c>
      <c r="X208" s="52">
        <f>IF(OR(P208="Gasto",P208="Reembolso"),IF(M208&lt;&gt;"",M208,IFERROR(INDEX(catClasif,MATCH(D208&amp;"|"&amp;E208,catClave,0))&amp;"","Variable")),"")</f>
        <v/>
      </c>
      <c r="Y208" s="52">
        <f>IF(P208="","",IFERROR(INDEX(catGrupo,MATCH(D208&amp;"|"&amp;E208,catClave,0))&amp;"",""))</f>
        <v/>
      </c>
      <c r="Z208" s="52">
        <f>IF(P208="","",WEEKDAY(B208,2))</f>
        <v/>
      </c>
      <c r="AA208" s="52">
        <f>IF(P208="","",IF(AND(P208="Gasto",X208="Variable",D208&lt;&gt;catTrading,S208&gt;0,S208&lt;=Umbral),1,0))</f>
        <v/>
      </c>
      <c r="AB208" s="52">
        <f>IF(OR(P208="",Q208=""),"",IFERROR(IF(INDEX(ctaVinc,MATCH(Q208,ctaNombre,0))&amp;""&lt;&gt;"",INDEX(ctaVinc,MATCH(Q208,ctaNombre,0))&amp;"",Q208),Q208))</f>
        <v/>
      </c>
      <c r="AC208" s="52">
        <f>IF(OR(K208="",AND(P208&lt;&gt;"Transferencia",P208&lt;&gt;"Pago tarjeta")),"",IFERROR(IF(INDEX(ctaVinc,MATCH(K208,ctaNombre,0))&amp;""&lt;&gt;"",INDEX(ctaVinc,MATCH(K208,ctaNombre,0))&amp;"",K208),K208))</f>
        <v/>
      </c>
      <c r="AD208" s="52">
        <f>IF(AB208="","",IFERROR(INDEX(ctaTipo,MATCH(AB208,ctaNombre,0))&amp;"",""))</f>
        <v/>
      </c>
      <c r="AE208" s="52">
        <f>IF(AC208="","",IFERROR(INDEX(ctaTipo,MATCH(AC208,ctaNombre,0))&amp;"",""))</f>
        <v/>
      </c>
      <c r="AF208" s="53">
        <f>IF(OR(P208="",AB208=""),"",IF(OR(P208="Gasto",P208="Transferencia",P208="Pago tarjeta"),-1,1)*IF(IFERROR(INDEX(ctaMoneda,MATCH(AB208,ctaNombre,0))&amp;"","DOP")="USD",T208,S208))</f>
        <v/>
      </c>
      <c r="AG208" s="53">
        <f>IF(AC208="","",IF(IFERROR(INDEX(ctaMoneda,MATCH(AC208,ctaNombre,0))&amp;"","DOP")="USD",T208,S208))</f>
        <v/>
      </c>
      <c r="AH208" s="53">
        <f>IF(P208="","",IF(AND(AD208&lt;&gt;"",COUNTIFS(tcTipo,AD208,tcLiq,"Sí")&gt;0),IF(OR(P208="Gasto",P208="Transferencia",P208="Pago tarjeta"),-1,1)*S208,0)+IF(AND(AE208&lt;&gt;"",COUNTIFS(tcTipo,AE208,tcLiq,"Sí")&gt;0),S208,0))</f>
        <v/>
      </c>
      <c r="AI208" s="52">
        <f>IF(OR(L208="",P208=""),"",IF(COUNTIFS(L$6:L208,L208,P$6:P208,"?*")=1,MAX(AI$5:AI207)+1,""))</f>
        <v/>
      </c>
    </row>
    <row r="209">
      <c r="B209" s="47" t="n"/>
      <c r="C209" s="48" t="n"/>
      <c r="D209" s="48" t="n"/>
      <c r="E209" s="48" t="n"/>
      <c r="F209" s="48" t="n"/>
      <c r="G209" s="49" t="n"/>
      <c r="H209" s="48" t="n"/>
      <c r="I209" s="50" t="n"/>
      <c r="J209" s="48" t="n"/>
      <c r="K209" s="48" t="n"/>
      <c r="L209" s="48" t="n"/>
      <c r="M209" s="48" t="n"/>
      <c r="N209" s="48" t="n"/>
      <c r="O209" s="51">
        <f>IF(AND(B209="",G209="",C209="",D209="",J209=""),"",IF(B209="","⚠ Falta fecha",IF(G209="","⚠ Falta monto",IF(Q209="","⚠ Falta cuenta",IF(ISNA(MATCH(Q209,ctaNombre,0)),"⚠ Cuenta no registrada",IF(AND(OR(P209="Gasto",P209="Reembolso"),D209=""),"⚠ Falta categoría",IF(AND(D209&lt;&gt;"",E209&lt;&gt;"",ISNA(MATCH(D209&amp;"|"&amp;E209,catClave,0))),"⚠ Subcategoría no corresponde",IF(AND(OR(P209="Transferencia",P209="Pago tarjeta"),K209=""),"⚠ Falta cuenta destino",IF(AND(K209&lt;&gt;"",P209&lt;&gt;"Transferencia",P209&lt;&gt;"Pago tarjeta"),"⚠ Destino solo aplica a transferencias",IF(AND(K209&lt;&gt;"",K209=Q209),"⚠ Origen igual a destino",IF(AND(K209&lt;&gt;"",ISNA(MATCH(K209,ctaNombre,0))),"⚠ Destino no registrado",IF(AND(P209="Pago tarjeta",AE209&lt;&gt;"Tarjeta de crédito"),"⚠ El destino debe ser tarjeta de crédito",IF(AND(P209="Gasto",E209="Depósitos y retiros"),"⚠ Usa tipo Transferencia",IF(AND(P209="Resultado trading",AD209&lt;&gt;"Cuenta de trading"),"⚠ Usa una cuenta de trading",IF(AND(G209&lt;=0,P209&lt;&gt;"Ajuste",P209&lt;&gt;"Resultado trading"),"⚠ El monto debe ser positivo","✓")))))))))))))))</f>
        <v/>
      </c>
      <c r="P209" s="52">
        <f>IF(OR(B209="",G209=""),"",IF(C209="","Gasto",C209))</f>
        <v/>
      </c>
      <c r="Q209" s="52">
        <f>IF(P209="","",IF(J209&lt;&gt;"",J209,CuentaPred&amp;""))</f>
        <v/>
      </c>
      <c r="R209" s="52">
        <f>IF(P209="","",IF(ISNUMBER(I209),I209,TasaUSD))</f>
        <v/>
      </c>
      <c r="S209" s="53">
        <f>IF(P209="","",IF(H209="USD",G209*R209,G209))</f>
        <v/>
      </c>
      <c r="T209" s="53">
        <f>IF(P209="","",IF(H209="USD",G209,IF(R209&gt;0,G209/R209,0)))</f>
        <v/>
      </c>
      <c r="U209" s="53">
        <f>IF(P209="","",IF(P209="Gasto",S209,IF(P209="Reembolso",-S209,0)))</f>
        <v/>
      </c>
      <c r="V209" s="53">
        <f>IF(P209="","",IF(P209="Ingreso",S209,0))</f>
        <v/>
      </c>
      <c r="W209" s="53">
        <f>IF(P209="","",IF(P209="Resultado trading",S209,0))</f>
        <v/>
      </c>
      <c r="X209" s="52">
        <f>IF(OR(P209="Gasto",P209="Reembolso"),IF(M209&lt;&gt;"",M209,IFERROR(INDEX(catClasif,MATCH(D209&amp;"|"&amp;E209,catClave,0))&amp;"","Variable")),"")</f>
        <v/>
      </c>
      <c r="Y209" s="52">
        <f>IF(P209="","",IFERROR(INDEX(catGrupo,MATCH(D209&amp;"|"&amp;E209,catClave,0))&amp;"",""))</f>
        <v/>
      </c>
      <c r="Z209" s="52">
        <f>IF(P209="","",WEEKDAY(B209,2))</f>
        <v/>
      </c>
      <c r="AA209" s="52">
        <f>IF(P209="","",IF(AND(P209="Gasto",X209="Variable",D209&lt;&gt;catTrading,S209&gt;0,S209&lt;=Umbral),1,0))</f>
        <v/>
      </c>
      <c r="AB209" s="52">
        <f>IF(OR(P209="",Q209=""),"",IFERROR(IF(INDEX(ctaVinc,MATCH(Q209,ctaNombre,0))&amp;""&lt;&gt;"",INDEX(ctaVinc,MATCH(Q209,ctaNombre,0))&amp;"",Q209),Q209))</f>
        <v/>
      </c>
      <c r="AC209" s="52">
        <f>IF(OR(K209="",AND(P209&lt;&gt;"Transferencia",P209&lt;&gt;"Pago tarjeta")),"",IFERROR(IF(INDEX(ctaVinc,MATCH(K209,ctaNombre,0))&amp;""&lt;&gt;"",INDEX(ctaVinc,MATCH(K209,ctaNombre,0))&amp;"",K209),K209))</f>
        <v/>
      </c>
      <c r="AD209" s="52">
        <f>IF(AB209="","",IFERROR(INDEX(ctaTipo,MATCH(AB209,ctaNombre,0))&amp;"",""))</f>
        <v/>
      </c>
      <c r="AE209" s="52">
        <f>IF(AC209="","",IFERROR(INDEX(ctaTipo,MATCH(AC209,ctaNombre,0))&amp;"",""))</f>
        <v/>
      </c>
      <c r="AF209" s="53">
        <f>IF(OR(P209="",AB209=""),"",IF(OR(P209="Gasto",P209="Transferencia",P209="Pago tarjeta"),-1,1)*IF(IFERROR(INDEX(ctaMoneda,MATCH(AB209,ctaNombre,0))&amp;"","DOP")="USD",T209,S209))</f>
        <v/>
      </c>
      <c r="AG209" s="53">
        <f>IF(AC209="","",IF(IFERROR(INDEX(ctaMoneda,MATCH(AC209,ctaNombre,0))&amp;"","DOP")="USD",T209,S209))</f>
        <v/>
      </c>
      <c r="AH209" s="53">
        <f>IF(P209="","",IF(AND(AD209&lt;&gt;"",COUNTIFS(tcTipo,AD209,tcLiq,"Sí")&gt;0),IF(OR(P209="Gasto",P209="Transferencia",P209="Pago tarjeta"),-1,1)*S209,0)+IF(AND(AE209&lt;&gt;"",COUNTIFS(tcTipo,AE209,tcLiq,"Sí")&gt;0),S209,0))</f>
        <v/>
      </c>
      <c r="AI209" s="52">
        <f>IF(OR(L209="",P209=""),"",IF(COUNTIFS(L$6:L209,L209,P$6:P209,"?*")=1,MAX(AI$5:AI208)+1,""))</f>
        <v/>
      </c>
    </row>
    <row r="210">
      <c r="B210" s="47" t="n"/>
      <c r="C210" s="48" t="n"/>
      <c r="D210" s="48" t="n"/>
      <c r="E210" s="48" t="n"/>
      <c r="F210" s="48" t="n"/>
      <c r="G210" s="49" t="n"/>
      <c r="H210" s="48" t="n"/>
      <c r="I210" s="50" t="n"/>
      <c r="J210" s="48" t="n"/>
      <c r="K210" s="48" t="n"/>
      <c r="L210" s="48" t="n"/>
      <c r="M210" s="48" t="n"/>
      <c r="N210" s="48" t="n"/>
      <c r="O210" s="51">
        <f>IF(AND(B210="",G210="",C210="",D210="",J210=""),"",IF(B210="","⚠ Falta fecha",IF(G210="","⚠ Falta monto",IF(Q210="","⚠ Falta cuenta",IF(ISNA(MATCH(Q210,ctaNombre,0)),"⚠ Cuenta no registrada",IF(AND(OR(P210="Gasto",P210="Reembolso"),D210=""),"⚠ Falta categoría",IF(AND(D210&lt;&gt;"",E210&lt;&gt;"",ISNA(MATCH(D210&amp;"|"&amp;E210,catClave,0))),"⚠ Subcategoría no corresponde",IF(AND(OR(P210="Transferencia",P210="Pago tarjeta"),K210=""),"⚠ Falta cuenta destino",IF(AND(K210&lt;&gt;"",P210&lt;&gt;"Transferencia",P210&lt;&gt;"Pago tarjeta"),"⚠ Destino solo aplica a transferencias",IF(AND(K210&lt;&gt;"",K210=Q210),"⚠ Origen igual a destino",IF(AND(K210&lt;&gt;"",ISNA(MATCH(K210,ctaNombre,0))),"⚠ Destino no registrado",IF(AND(P210="Pago tarjeta",AE210&lt;&gt;"Tarjeta de crédito"),"⚠ El destino debe ser tarjeta de crédito",IF(AND(P210="Gasto",E210="Depósitos y retiros"),"⚠ Usa tipo Transferencia",IF(AND(P210="Resultado trading",AD210&lt;&gt;"Cuenta de trading"),"⚠ Usa una cuenta de trading",IF(AND(G210&lt;=0,P210&lt;&gt;"Ajuste",P210&lt;&gt;"Resultado trading"),"⚠ El monto debe ser positivo","✓")))))))))))))))</f>
        <v/>
      </c>
      <c r="P210" s="52">
        <f>IF(OR(B210="",G210=""),"",IF(C210="","Gasto",C210))</f>
        <v/>
      </c>
      <c r="Q210" s="52">
        <f>IF(P210="","",IF(J210&lt;&gt;"",J210,CuentaPred&amp;""))</f>
        <v/>
      </c>
      <c r="R210" s="52">
        <f>IF(P210="","",IF(ISNUMBER(I210),I210,TasaUSD))</f>
        <v/>
      </c>
      <c r="S210" s="53">
        <f>IF(P210="","",IF(H210="USD",G210*R210,G210))</f>
        <v/>
      </c>
      <c r="T210" s="53">
        <f>IF(P210="","",IF(H210="USD",G210,IF(R210&gt;0,G210/R210,0)))</f>
        <v/>
      </c>
      <c r="U210" s="53">
        <f>IF(P210="","",IF(P210="Gasto",S210,IF(P210="Reembolso",-S210,0)))</f>
        <v/>
      </c>
      <c r="V210" s="53">
        <f>IF(P210="","",IF(P210="Ingreso",S210,0))</f>
        <v/>
      </c>
      <c r="W210" s="53">
        <f>IF(P210="","",IF(P210="Resultado trading",S210,0))</f>
        <v/>
      </c>
      <c r="X210" s="52">
        <f>IF(OR(P210="Gasto",P210="Reembolso"),IF(M210&lt;&gt;"",M210,IFERROR(INDEX(catClasif,MATCH(D210&amp;"|"&amp;E210,catClave,0))&amp;"","Variable")),"")</f>
        <v/>
      </c>
      <c r="Y210" s="52">
        <f>IF(P210="","",IFERROR(INDEX(catGrupo,MATCH(D210&amp;"|"&amp;E210,catClave,0))&amp;"",""))</f>
        <v/>
      </c>
      <c r="Z210" s="52">
        <f>IF(P210="","",WEEKDAY(B210,2))</f>
        <v/>
      </c>
      <c r="AA210" s="52">
        <f>IF(P210="","",IF(AND(P210="Gasto",X210="Variable",D210&lt;&gt;catTrading,S210&gt;0,S210&lt;=Umbral),1,0))</f>
        <v/>
      </c>
      <c r="AB210" s="52">
        <f>IF(OR(P210="",Q210=""),"",IFERROR(IF(INDEX(ctaVinc,MATCH(Q210,ctaNombre,0))&amp;""&lt;&gt;"",INDEX(ctaVinc,MATCH(Q210,ctaNombre,0))&amp;"",Q210),Q210))</f>
        <v/>
      </c>
      <c r="AC210" s="52">
        <f>IF(OR(K210="",AND(P210&lt;&gt;"Transferencia",P210&lt;&gt;"Pago tarjeta")),"",IFERROR(IF(INDEX(ctaVinc,MATCH(K210,ctaNombre,0))&amp;""&lt;&gt;"",INDEX(ctaVinc,MATCH(K210,ctaNombre,0))&amp;"",K210),K210))</f>
        <v/>
      </c>
      <c r="AD210" s="52">
        <f>IF(AB210="","",IFERROR(INDEX(ctaTipo,MATCH(AB210,ctaNombre,0))&amp;"",""))</f>
        <v/>
      </c>
      <c r="AE210" s="52">
        <f>IF(AC210="","",IFERROR(INDEX(ctaTipo,MATCH(AC210,ctaNombre,0))&amp;"",""))</f>
        <v/>
      </c>
      <c r="AF210" s="53">
        <f>IF(OR(P210="",AB210=""),"",IF(OR(P210="Gasto",P210="Transferencia",P210="Pago tarjeta"),-1,1)*IF(IFERROR(INDEX(ctaMoneda,MATCH(AB210,ctaNombre,0))&amp;"","DOP")="USD",T210,S210))</f>
        <v/>
      </c>
      <c r="AG210" s="53">
        <f>IF(AC210="","",IF(IFERROR(INDEX(ctaMoneda,MATCH(AC210,ctaNombre,0))&amp;"","DOP")="USD",T210,S210))</f>
        <v/>
      </c>
      <c r="AH210" s="53">
        <f>IF(P210="","",IF(AND(AD210&lt;&gt;"",COUNTIFS(tcTipo,AD210,tcLiq,"Sí")&gt;0),IF(OR(P210="Gasto",P210="Transferencia",P210="Pago tarjeta"),-1,1)*S210,0)+IF(AND(AE210&lt;&gt;"",COUNTIFS(tcTipo,AE210,tcLiq,"Sí")&gt;0),S210,0))</f>
        <v/>
      </c>
      <c r="AI210" s="52">
        <f>IF(OR(L210="",P210=""),"",IF(COUNTIFS(L$6:L210,L210,P$6:P210,"?*")=1,MAX(AI$5:AI209)+1,""))</f>
        <v/>
      </c>
    </row>
    <row r="211">
      <c r="B211" s="47" t="n"/>
      <c r="C211" s="48" t="n"/>
      <c r="D211" s="48" t="n"/>
      <c r="E211" s="48" t="n"/>
      <c r="F211" s="48" t="n"/>
      <c r="G211" s="49" t="n"/>
      <c r="H211" s="48" t="n"/>
      <c r="I211" s="50" t="n"/>
      <c r="J211" s="48" t="n"/>
      <c r="K211" s="48" t="n"/>
      <c r="L211" s="48" t="n"/>
      <c r="M211" s="48" t="n"/>
      <c r="N211" s="48" t="n"/>
      <c r="O211" s="51">
        <f>IF(AND(B211="",G211="",C211="",D211="",J211=""),"",IF(B211="","⚠ Falta fecha",IF(G211="","⚠ Falta monto",IF(Q211="","⚠ Falta cuenta",IF(ISNA(MATCH(Q211,ctaNombre,0)),"⚠ Cuenta no registrada",IF(AND(OR(P211="Gasto",P211="Reembolso"),D211=""),"⚠ Falta categoría",IF(AND(D211&lt;&gt;"",E211&lt;&gt;"",ISNA(MATCH(D211&amp;"|"&amp;E211,catClave,0))),"⚠ Subcategoría no corresponde",IF(AND(OR(P211="Transferencia",P211="Pago tarjeta"),K211=""),"⚠ Falta cuenta destino",IF(AND(K211&lt;&gt;"",P211&lt;&gt;"Transferencia",P211&lt;&gt;"Pago tarjeta"),"⚠ Destino solo aplica a transferencias",IF(AND(K211&lt;&gt;"",K211=Q211),"⚠ Origen igual a destino",IF(AND(K211&lt;&gt;"",ISNA(MATCH(K211,ctaNombre,0))),"⚠ Destino no registrado",IF(AND(P211="Pago tarjeta",AE211&lt;&gt;"Tarjeta de crédito"),"⚠ El destino debe ser tarjeta de crédito",IF(AND(P211="Gasto",E211="Depósitos y retiros"),"⚠ Usa tipo Transferencia",IF(AND(P211="Resultado trading",AD211&lt;&gt;"Cuenta de trading"),"⚠ Usa una cuenta de trading",IF(AND(G211&lt;=0,P211&lt;&gt;"Ajuste",P211&lt;&gt;"Resultado trading"),"⚠ El monto debe ser positivo","✓")))))))))))))))</f>
        <v/>
      </c>
      <c r="P211" s="52">
        <f>IF(OR(B211="",G211=""),"",IF(C211="","Gasto",C211))</f>
        <v/>
      </c>
      <c r="Q211" s="52">
        <f>IF(P211="","",IF(J211&lt;&gt;"",J211,CuentaPred&amp;""))</f>
        <v/>
      </c>
      <c r="R211" s="52">
        <f>IF(P211="","",IF(ISNUMBER(I211),I211,TasaUSD))</f>
        <v/>
      </c>
      <c r="S211" s="53">
        <f>IF(P211="","",IF(H211="USD",G211*R211,G211))</f>
        <v/>
      </c>
      <c r="T211" s="53">
        <f>IF(P211="","",IF(H211="USD",G211,IF(R211&gt;0,G211/R211,0)))</f>
        <v/>
      </c>
      <c r="U211" s="53">
        <f>IF(P211="","",IF(P211="Gasto",S211,IF(P211="Reembolso",-S211,0)))</f>
        <v/>
      </c>
      <c r="V211" s="53">
        <f>IF(P211="","",IF(P211="Ingreso",S211,0))</f>
        <v/>
      </c>
      <c r="W211" s="53">
        <f>IF(P211="","",IF(P211="Resultado trading",S211,0))</f>
        <v/>
      </c>
      <c r="X211" s="52">
        <f>IF(OR(P211="Gasto",P211="Reembolso"),IF(M211&lt;&gt;"",M211,IFERROR(INDEX(catClasif,MATCH(D211&amp;"|"&amp;E211,catClave,0))&amp;"","Variable")),"")</f>
        <v/>
      </c>
      <c r="Y211" s="52">
        <f>IF(P211="","",IFERROR(INDEX(catGrupo,MATCH(D211&amp;"|"&amp;E211,catClave,0))&amp;"",""))</f>
        <v/>
      </c>
      <c r="Z211" s="52">
        <f>IF(P211="","",WEEKDAY(B211,2))</f>
        <v/>
      </c>
      <c r="AA211" s="52">
        <f>IF(P211="","",IF(AND(P211="Gasto",X211="Variable",D211&lt;&gt;catTrading,S211&gt;0,S211&lt;=Umbral),1,0))</f>
        <v/>
      </c>
      <c r="AB211" s="52">
        <f>IF(OR(P211="",Q211=""),"",IFERROR(IF(INDEX(ctaVinc,MATCH(Q211,ctaNombre,0))&amp;""&lt;&gt;"",INDEX(ctaVinc,MATCH(Q211,ctaNombre,0))&amp;"",Q211),Q211))</f>
        <v/>
      </c>
      <c r="AC211" s="52">
        <f>IF(OR(K211="",AND(P211&lt;&gt;"Transferencia",P211&lt;&gt;"Pago tarjeta")),"",IFERROR(IF(INDEX(ctaVinc,MATCH(K211,ctaNombre,0))&amp;""&lt;&gt;"",INDEX(ctaVinc,MATCH(K211,ctaNombre,0))&amp;"",K211),K211))</f>
        <v/>
      </c>
      <c r="AD211" s="52">
        <f>IF(AB211="","",IFERROR(INDEX(ctaTipo,MATCH(AB211,ctaNombre,0))&amp;"",""))</f>
        <v/>
      </c>
      <c r="AE211" s="52">
        <f>IF(AC211="","",IFERROR(INDEX(ctaTipo,MATCH(AC211,ctaNombre,0))&amp;"",""))</f>
        <v/>
      </c>
      <c r="AF211" s="53">
        <f>IF(OR(P211="",AB211=""),"",IF(OR(P211="Gasto",P211="Transferencia",P211="Pago tarjeta"),-1,1)*IF(IFERROR(INDEX(ctaMoneda,MATCH(AB211,ctaNombre,0))&amp;"","DOP")="USD",T211,S211))</f>
        <v/>
      </c>
      <c r="AG211" s="53">
        <f>IF(AC211="","",IF(IFERROR(INDEX(ctaMoneda,MATCH(AC211,ctaNombre,0))&amp;"","DOP")="USD",T211,S211))</f>
        <v/>
      </c>
      <c r="AH211" s="53">
        <f>IF(P211="","",IF(AND(AD211&lt;&gt;"",COUNTIFS(tcTipo,AD211,tcLiq,"Sí")&gt;0),IF(OR(P211="Gasto",P211="Transferencia",P211="Pago tarjeta"),-1,1)*S211,0)+IF(AND(AE211&lt;&gt;"",COUNTIFS(tcTipo,AE211,tcLiq,"Sí")&gt;0),S211,0))</f>
        <v/>
      </c>
      <c r="AI211" s="52">
        <f>IF(OR(L211="",P211=""),"",IF(COUNTIFS(L$6:L211,L211,P$6:P211,"?*")=1,MAX(AI$5:AI210)+1,""))</f>
        <v/>
      </c>
    </row>
    <row r="212">
      <c r="B212" s="47" t="n"/>
      <c r="C212" s="48" t="n"/>
      <c r="D212" s="48" t="n"/>
      <c r="E212" s="48" t="n"/>
      <c r="F212" s="48" t="n"/>
      <c r="G212" s="49" t="n"/>
      <c r="H212" s="48" t="n"/>
      <c r="I212" s="50" t="n"/>
      <c r="J212" s="48" t="n"/>
      <c r="K212" s="48" t="n"/>
      <c r="L212" s="48" t="n"/>
      <c r="M212" s="48" t="n"/>
      <c r="N212" s="48" t="n"/>
      <c r="O212" s="51">
        <f>IF(AND(B212="",G212="",C212="",D212="",J212=""),"",IF(B212="","⚠ Falta fecha",IF(G212="","⚠ Falta monto",IF(Q212="","⚠ Falta cuenta",IF(ISNA(MATCH(Q212,ctaNombre,0)),"⚠ Cuenta no registrada",IF(AND(OR(P212="Gasto",P212="Reembolso"),D212=""),"⚠ Falta categoría",IF(AND(D212&lt;&gt;"",E212&lt;&gt;"",ISNA(MATCH(D212&amp;"|"&amp;E212,catClave,0))),"⚠ Subcategoría no corresponde",IF(AND(OR(P212="Transferencia",P212="Pago tarjeta"),K212=""),"⚠ Falta cuenta destino",IF(AND(K212&lt;&gt;"",P212&lt;&gt;"Transferencia",P212&lt;&gt;"Pago tarjeta"),"⚠ Destino solo aplica a transferencias",IF(AND(K212&lt;&gt;"",K212=Q212),"⚠ Origen igual a destino",IF(AND(K212&lt;&gt;"",ISNA(MATCH(K212,ctaNombre,0))),"⚠ Destino no registrado",IF(AND(P212="Pago tarjeta",AE212&lt;&gt;"Tarjeta de crédito"),"⚠ El destino debe ser tarjeta de crédito",IF(AND(P212="Gasto",E212="Depósitos y retiros"),"⚠ Usa tipo Transferencia",IF(AND(P212="Resultado trading",AD212&lt;&gt;"Cuenta de trading"),"⚠ Usa una cuenta de trading",IF(AND(G212&lt;=0,P212&lt;&gt;"Ajuste",P212&lt;&gt;"Resultado trading"),"⚠ El monto debe ser positivo","✓")))))))))))))))</f>
        <v/>
      </c>
      <c r="P212" s="52">
        <f>IF(OR(B212="",G212=""),"",IF(C212="","Gasto",C212))</f>
        <v/>
      </c>
      <c r="Q212" s="52">
        <f>IF(P212="","",IF(J212&lt;&gt;"",J212,CuentaPred&amp;""))</f>
        <v/>
      </c>
      <c r="R212" s="52">
        <f>IF(P212="","",IF(ISNUMBER(I212),I212,TasaUSD))</f>
        <v/>
      </c>
      <c r="S212" s="53">
        <f>IF(P212="","",IF(H212="USD",G212*R212,G212))</f>
        <v/>
      </c>
      <c r="T212" s="53">
        <f>IF(P212="","",IF(H212="USD",G212,IF(R212&gt;0,G212/R212,0)))</f>
        <v/>
      </c>
      <c r="U212" s="53">
        <f>IF(P212="","",IF(P212="Gasto",S212,IF(P212="Reembolso",-S212,0)))</f>
        <v/>
      </c>
      <c r="V212" s="53">
        <f>IF(P212="","",IF(P212="Ingreso",S212,0))</f>
        <v/>
      </c>
      <c r="W212" s="53">
        <f>IF(P212="","",IF(P212="Resultado trading",S212,0))</f>
        <v/>
      </c>
      <c r="X212" s="52">
        <f>IF(OR(P212="Gasto",P212="Reembolso"),IF(M212&lt;&gt;"",M212,IFERROR(INDEX(catClasif,MATCH(D212&amp;"|"&amp;E212,catClave,0))&amp;"","Variable")),"")</f>
        <v/>
      </c>
      <c r="Y212" s="52">
        <f>IF(P212="","",IFERROR(INDEX(catGrupo,MATCH(D212&amp;"|"&amp;E212,catClave,0))&amp;"",""))</f>
        <v/>
      </c>
      <c r="Z212" s="52">
        <f>IF(P212="","",WEEKDAY(B212,2))</f>
        <v/>
      </c>
      <c r="AA212" s="52">
        <f>IF(P212="","",IF(AND(P212="Gasto",X212="Variable",D212&lt;&gt;catTrading,S212&gt;0,S212&lt;=Umbral),1,0))</f>
        <v/>
      </c>
      <c r="AB212" s="52">
        <f>IF(OR(P212="",Q212=""),"",IFERROR(IF(INDEX(ctaVinc,MATCH(Q212,ctaNombre,0))&amp;""&lt;&gt;"",INDEX(ctaVinc,MATCH(Q212,ctaNombre,0))&amp;"",Q212),Q212))</f>
        <v/>
      </c>
      <c r="AC212" s="52">
        <f>IF(OR(K212="",AND(P212&lt;&gt;"Transferencia",P212&lt;&gt;"Pago tarjeta")),"",IFERROR(IF(INDEX(ctaVinc,MATCH(K212,ctaNombre,0))&amp;""&lt;&gt;"",INDEX(ctaVinc,MATCH(K212,ctaNombre,0))&amp;"",K212),K212))</f>
        <v/>
      </c>
      <c r="AD212" s="52">
        <f>IF(AB212="","",IFERROR(INDEX(ctaTipo,MATCH(AB212,ctaNombre,0))&amp;"",""))</f>
        <v/>
      </c>
      <c r="AE212" s="52">
        <f>IF(AC212="","",IFERROR(INDEX(ctaTipo,MATCH(AC212,ctaNombre,0))&amp;"",""))</f>
        <v/>
      </c>
      <c r="AF212" s="53">
        <f>IF(OR(P212="",AB212=""),"",IF(OR(P212="Gasto",P212="Transferencia",P212="Pago tarjeta"),-1,1)*IF(IFERROR(INDEX(ctaMoneda,MATCH(AB212,ctaNombre,0))&amp;"","DOP")="USD",T212,S212))</f>
        <v/>
      </c>
      <c r="AG212" s="53">
        <f>IF(AC212="","",IF(IFERROR(INDEX(ctaMoneda,MATCH(AC212,ctaNombre,0))&amp;"","DOP")="USD",T212,S212))</f>
        <v/>
      </c>
      <c r="AH212" s="53">
        <f>IF(P212="","",IF(AND(AD212&lt;&gt;"",COUNTIFS(tcTipo,AD212,tcLiq,"Sí")&gt;0),IF(OR(P212="Gasto",P212="Transferencia",P212="Pago tarjeta"),-1,1)*S212,0)+IF(AND(AE212&lt;&gt;"",COUNTIFS(tcTipo,AE212,tcLiq,"Sí")&gt;0),S212,0))</f>
        <v/>
      </c>
      <c r="AI212" s="52">
        <f>IF(OR(L212="",P212=""),"",IF(COUNTIFS(L$6:L212,L212,P$6:P212,"?*")=1,MAX(AI$5:AI211)+1,""))</f>
        <v/>
      </c>
    </row>
    <row r="213">
      <c r="B213" s="47" t="n"/>
      <c r="C213" s="48" t="n"/>
      <c r="D213" s="48" t="n"/>
      <c r="E213" s="48" t="n"/>
      <c r="F213" s="48" t="n"/>
      <c r="G213" s="49" t="n"/>
      <c r="H213" s="48" t="n"/>
      <c r="I213" s="50" t="n"/>
      <c r="J213" s="48" t="n"/>
      <c r="K213" s="48" t="n"/>
      <c r="L213" s="48" t="n"/>
      <c r="M213" s="48" t="n"/>
      <c r="N213" s="48" t="n"/>
      <c r="O213" s="51">
        <f>IF(AND(B213="",G213="",C213="",D213="",J213=""),"",IF(B213="","⚠ Falta fecha",IF(G213="","⚠ Falta monto",IF(Q213="","⚠ Falta cuenta",IF(ISNA(MATCH(Q213,ctaNombre,0)),"⚠ Cuenta no registrada",IF(AND(OR(P213="Gasto",P213="Reembolso"),D213=""),"⚠ Falta categoría",IF(AND(D213&lt;&gt;"",E213&lt;&gt;"",ISNA(MATCH(D213&amp;"|"&amp;E213,catClave,0))),"⚠ Subcategoría no corresponde",IF(AND(OR(P213="Transferencia",P213="Pago tarjeta"),K213=""),"⚠ Falta cuenta destino",IF(AND(K213&lt;&gt;"",P213&lt;&gt;"Transferencia",P213&lt;&gt;"Pago tarjeta"),"⚠ Destino solo aplica a transferencias",IF(AND(K213&lt;&gt;"",K213=Q213),"⚠ Origen igual a destino",IF(AND(K213&lt;&gt;"",ISNA(MATCH(K213,ctaNombre,0))),"⚠ Destino no registrado",IF(AND(P213="Pago tarjeta",AE213&lt;&gt;"Tarjeta de crédito"),"⚠ El destino debe ser tarjeta de crédito",IF(AND(P213="Gasto",E213="Depósitos y retiros"),"⚠ Usa tipo Transferencia",IF(AND(P213="Resultado trading",AD213&lt;&gt;"Cuenta de trading"),"⚠ Usa una cuenta de trading",IF(AND(G213&lt;=0,P213&lt;&gt;"Ajuste",P213&lt;&gt;"Resultado trading"),"⚠ El monto debe ser positivo","✓")))))))))))))))</f>
        <v/>
      </c>
      <c r="P213" s="52">
        <f>IF(OR(B213="",G213=""),"",IF(C213="","Gasto",C213))</f>
        <v/>
      </c>
      <c r="Q213" s="52">
        <f>IF(P213="","",IF(J213&lt;&gt;"",J213,CuentaPred&amp;""))</f>
        <v/>
      </c>
      <c r="R213" s="52">
        <f>IF(P213="","",IF(ISNUMBER(I213),I213,TasaUSD))</f>
        <v/>
      </c>
      <c r="S213" s="53">
        <f>IF(P213="","",IF(H213="USD",G213*R213,G213))</f>
        <v/>
      </c>
      <c r="T213" s="53">
        <f>IF(P213="","",IF(H213="USD",G213,IF(R213&gt;0,G213/R213,0)))</f>
        <v/>
      </c>
      <c r="U213" s="53">
        <f>IF(P213="","",IF(P213="Gasto",S213,IF(P213="Reembolso",-S213,0)))</f>
        <v/>
      </c>
      <c r="V213" s="53">
        <f>IF(P213="","",IF(P213="Ingreso",S213,0))</f>
        <v/>
      </c>
      <c r="W213" s="53">
        <f>IF(P213="","",IF(P213="Resultado trading",S213,0))</f>
        <v/>
      </c>
      <c r="X213" s="52">
        <f>IF(OR(P213="Gasto",P213="Reembolso"),IF(M213&lt;&gt;"",M213,IFERROR(INDEX(catClasif,MATCH(D213&amp;"|"&amp;E213,catClave,0))&amp;"","Variable")),"")</f>
        <v/>
      </c>
      <c r="Y213" s="52">
        <f>IF(P213="","",IFERROR(INDEX(catGrupo,MATCH(D213&amp;"|"&amp;E213,catClave,0))&amp;"",""))</f>
        <v/>
      </c>
      <c r="Z213" s="52">
        <f>IF(P213="","",WEEKDAY(B213,2))</f>
        <v/>
      </c>
      <c r="AA213" s="52">
        <f>IF(P213="","",IF(AND(P213="Gasto",X213="Variable",D213&lt;&gt;catTrading,S213&gt;0,S213&lt;=Umbral),1,0))</f>
        <v/>
      </c>
      <c r="AB213" s="52">
        <f>IF(OR(P213="",Q213=""),"",IFERROR(IF(INDEX(ctaVinc,MATCH(Q213,ctaNombre,0))&amp;""&lt;&gt;"",INDEX(ctaVinc,MATCH(Q213,ctaNombre,0))&amp;"",Q213),Q213))</f>
        <v/>
      </c>
      <c r="AC213" s="52">
        <f>IF(OR(K213="",AND(P213&lt;&gt;"Transferencia",P213&lt;&gt;"Pago tarjeta")),"",IFERROR(IF(INDEX(ctaVinc,MATCH(K213,ctaNombre,0))&amp;""&lt;&gt;"",INDEX(ctaVinc,MATCH(K213,ctaNombre,0))&amp;"",K213),K213))</f>
        <v/>
      </c>
      <c r="AD213" s="52">
        <f>IF(AB213="","",IFERROR(INDEX(ctaTipo,MATCH(AB213,ctaNombre,0))&amp;"",""))</f>
        <v/>
      </c>
      <c r="AE213" s="52">
        <f>IF(AC213="","",IFERROR(INDEX(ctaTipo,MATCH(AC213,ctaNombre,0))&amp;"",""))</f>
        <v/>
      </c>
      <c r="AF213" s="53">
        <f>IF(OR(P213="",AB213=""),"",IF(OR(P213="Gasto",P213="Transferencia",P213="Pago tarjeta"),-1,1)*IF(IFERROR(INDEX(ctaMoneda,MATCH(AB213,ctaNombre,0))&amp;"","DOP")="USD",T213,S213))</f>
        <v/>
      </c>
      <c r="AG213" s="53">
        <f>IF(AC213="","",IF(IFERROR(INDEX(ctaMoneda,MATCH(AC213,ctaNombre,0))&amp;"","DOP")="USD",T213,S213))</f>
        <v/>
      </c>
      <c r="AH213" s="53">
        <f>IF(P213="","",IF(AND(AD213&lt;&gt;"",COUNTIFS(tcTipo,AD213,tcLiq,"Sí")&gt;0),IF(OR(P213="Gasto",P213="Transferencia",P213="Pago tarjeta"),-1,1)*S213,0)+IF(AND(AE213&lt;&gt;"",COUNTIFS(tcTipo,AE213,tcLiq,"Sí")&gt;0),S213,0))</f>
        <v/>
      </c>
      <c r="AI213" s="52">
        <f>IF(OR(L213="",P213=""),"",IF(COUNTIFS(L$6:L213,L213,P$6:P213,"?*")=1,MAX(AI$5:AI212)+1,""))</f>
        <v/>
      </c>
    </row>
    <row r="214">
      <c r="B214" s="47" t="n"/>
      <c r="C214" s="48" t="n"/>
      <c r="D214" s="48" t="n"/>
      <c r="E214" s="48" t="n"/>
      <c r="F214" s="48" t="n"/>
      <c r="G214" s="49" t="n"/>
      <c r="H214" s="48" t="n"/>
      <c r="I214" s="50" t="n"/>
      <c r="J214" s="48" t="n"/>
      <c r="K214" s="48" t="n"/>
      <c r="L214" s="48" t="n"/>
      <c r="M214" s="48" t="n"/>
      <c r="N214" s="48" t="n"/>
      <c r="O214" s="51">
        <f>IF(AND(B214="",G214="",C214="",D214="",J214=""),"",IF(B214="","⚠ Falta fecha",IF(G214="","⚠ Falta monto",IF(Q214="","⚠ Falta cuenta",IF(ISNA(MATCH(Q214,ctaNombre,0)),"⚠ Cuenta no registrada",IF(AND(OR(P214="Gasto",P214="Reembolso"),D214=""),"⚠ Falta categoría",IF(AND(D214&lt;&gt;"",E214&lt;&gt;"",ISNA(MATCH(D214&amp;"|"&amp;E214,catClave,0))),"⚠ Subcategoría no corresponde",IF(AND(OR(P214="Transferencia",P214="Pago tarjeta"),K214=""),"⚠ Falta cuenta destino",IF(AND(K214&lt;&gt;"",P214&lt;&gt;"Transferencia",P214&lt;&gt;"Pago tarjeta"),"⚠ Destino solo aplica a transferencias",IF(AND(K214&lt;&gt;"",K214=Q214),"⚠ Origen igual a destino",IF(AND(K214&lt;&gt;"",ISNA(MATCH(K214,ctaNombre,0))),"⚠ Destino no registrado",IF(AND(P214="Pago tarjeta",AE214&lt;&gt;"Tarjeta de crédito"),"⚠ El destino debe ser tarjeta de crédito",IF(AND(P214="Gasto",E214="Depósitos y retiros"),"⚠ Usa tipo Transferencia",IF(AND(P214="Resultado trading",AD214&lt;&gt;"Cuenta de trading"),"⚠ Usa una cuenta de trading",IF(AND(G214&lt;=0,P214&lt;&gt;"Ajuste",P214&lt;&gt;"Resultado trading"),"⚠ El monto debe ser positivo","✓")))))))))))))))</f>
        <v/>
      </c>
      <c r="P214" s="52">
        <f>IF(OR(B214="",G214=""),"",IF(C214="","Gasto",C214))</f>
        <v/>
      </c>
      <c r="Q214" s="52">
        <f>IF(P214="","",IF(J214&lt;&gt;"",J214,CuentaPred&amp;""))</f>
        <v/>
      </c>
      <c r="R214" s="52">
        <f>IF(P214="","",IF(ISNUMBER(I214),I214,TasaUSD))</f>
        <v/>
      </c>
      <c r="S214" s="53">
        <f>IF(P214="","",IF(H214="USD",G214*R214,G214))</f>
        <v/>
      </c>
      <c r="T214" s="53">
        <f>IF(P214="","",IF(H214="USD",G214,IF(R214&gt;0,G214/R214,0)))</f>
        <v/>
      </c>
      <c r="U214" s="53">
        <f>IF(P214="","",IF(P214="Gasto",S214,IF(P214="Reembolso",-S214,0)))</f>
        <v/>
      </c>
      <c r="V214" s="53">
        <f>IF(P214="","",IF(P214="Ingreso",S214,0))</f>
        <v/>
      </c>
      <c r="W214" s="53">
        <f>IF(P214="","",IF(P214="Resultado trading",S214,0))</f>
        <v/>
      </c>
      <c r="X214" s="52">
        <f>IF(OR(P214="Gasto",P214="Reembolso"),IF(M214&lt;&gt;"",M214,IFERROR(INDEX(catClasif,MATCH(D214&amp;"|"&amp;E214,catClave,0))&amp;"","Variable")),"")</f>
        <v/>
      </c>
      <c r="Y214" s="52">
        <f>IF(P214="","",IFERROR(INDEX(catGrupo,MATCH(D214&amp;"|"&amp;E214,catClave,0))&amp;"",""))</f>
        <v/>
      </c>
      <c r="Z214" s="52">
        <f>IF(P214="","",WEEKDAY(B214,2))</f>
        <v/>
      </c>
      <c r="AA214" s="52">
        <f>IF(P214="","",IF(AND(P214="Gasto",X214="Variable",D214&lt;&gt;catTrading,S214&gt;0,S214&lt;=Umbral),1,0))</f>
        <v/>
      </c>
      <c r="AB214" s="52">
        <f>IF(OR(P214="",Q214=""),"",IFERROR(IF(INDEX(ctaVinc,MATCH(Q214,ctaNombre,0))&amp;""&lt;&gt;"",INDEX(ctaVinc,MATCH(Q214,ctaNombre,0))&amp;"",Q214),Q214))</f>
        <v/>
      </c>
      <c r="AC214" s="52">
        <f>IF(OR(K214="",AND(P214&lt;&gt;"Transferencia",P214&lt;&gt;"Pago tarjeta")),"",IFERROR(IF(INDEX(ctaVinc,MATCH(K214,ctaNombre,0))&amp;""&lt;&gt;"",INDEX(ctaVinc,MATCH(K214,ctaNombre,0))&amp;"",K214),K214))</f>
        <v/>
      </c>
      <c r="AD214" s="52">
        <f>IF(AB214="","",IFERROR(INDEX(ctaTipo,MATCH(AB214,ctaNombre,0))&amp;"",""))</f>
        <v/>
      </c>
      <c r="AE214" s="52">
        <f>IF(AC214="","",IFERROR(INDEX(ctaTipo,MATCH(AC214,ctaNombre,0))&amp;"",""))</f>
        <v/>
      </c>
      <c r="AF214" s="53">
        <f>IF(OR(P214="",AB214=""),"",IF(OR(P214="Gasto",P214="Transferencia",P214="Pago tarjeta"),-1,1)*IF(IFERROR(INDEX(ctaMoneda,MATCH(AB214,ctaNombre,0))&amp;"","DOP")="USD",T214,S214))</f>
        <v/>
      </c>
      <c r="AG214" s="53">
        <f>IF(AC214="","",IF(IFERROR(INDEX(ctaMoneda,MATCH(AC214,ctaNombre,0))&amp;"","DOP")="USD",T214,S214))</f>
        <v/>
      </c>
      <c r="AH214" s="53">
        <f>IF(P214="","",IF(AND(AD214&lt;&gt;"",COUNTIFS(tcTipo,AD214,tcLiq,"Sí")&gt;0),IF(OR(P214="Gasto",P214="Transferencia",P214="Pago tarjeta"),-1,1)*S214,0)+IF(AND(AE214&lt;&gt;"",COUNTIFS(tcTipo,AE214,tcLiq,"Sí")&gt;0),S214,0))</f>
        <v/>
      </c>
      <c r="AI214" s="52">
        <f>IF(OR(L214="",P214=""),"",IF(COUNTIFS(L$6:L214,L214,P$6:P214,"?*")=1,MAX(AI$5:AI213)+1,""))</f>
        <v/>
      </c>
    </row>
    <row r="215">
      <c r="B215" s="47" t="n"/>
      <c r="C215" s="48" t="n"/>
      <c r="D215" s="48" t="n"/>
      <c r="E215" s="48" t="n"/>
      <c r="F215" s="48" t="n"/>
      <c r="G215" s="49" t="n"/>
      <c r="H215" s="48" t="n"/>
      <c r="I215" s="50" t="n"/>
      <c r="J215" s="48" t="n"/>
      <c r="K215" s="48" t="n"/>
      <c r="L215" s="48" t="n"/>
      <c r="M215" s="48" t="n"/>
      <c r="N215" s="48" t="n"/>
      <c r="O215" s="51">
        <f>IF(AND(B215="",G215="",C215="",D215="",J215=""),"",IF(B215="","⚠ Falta fecha",IF(G215="","⚠ Falta monto",IF(Q215="","⚠ Falta cuenta",IF(ISNA(MATCH(Q215,ctaNombre,0)),"⚠ Cuenta no registrada",IF(AND(OR(P215="Gasto",P215="Reembolso"),D215=""),"⚠ Falta categoría",IF(AND(D215&lt;&gt;"",E215&lt;&gt;"",ISNA(MATCH(D215&amp;"|"&amp;E215,catClave,0))),"⚠ Subcategoría no corresponde",IF(AND(OR(P215="Transferencia",P215="Pago tarjeta"),K215=""),"⚠ Falta cuenta destino",IF(AND(K215&lt;&gt;"",P215&lt;&gt;"Transferencia",P215&lt;&gt;"Pago tarjeta"),"⚠ Destino solo aplica a transferencias",IF(AND(K215&lt;&gt;"",K215=Q215),"⚠ Origen igual a destino",IF(AND(K215&lt;&gt;"",ISNA(MATCH(K215,ctaNombre,0))),"⚠ Destino no registrado",IF(AND(P215="Pago tarjeta",AE215&lt;&gt;"Tarjeta de crédito"),"⚠ El destino debe ser tarjeta de crédito",IF(AND(P215="Gasto",E215="Depósitos y retiros"),"⚠ Usa tipo Transferencia",IF(AND(P215="Resultado trading",AD215&lt;&gt;"Cuenta de trading"),"⚠ Usa una cuenta de trading",IF(AND(G215&lt;=0,P215&lt;&gt;"Ajuste",P215&lt;&gt;"Resultado trading"),"⚠ El monto debe ser positivo","✓")))))))))))))))</f>
        <v/>
      </c>
      <c r="P215" s="52">
        <f>IF(OR(B215="",G215=""),"",IF(C215="","Gasto",C215))</f>
        <v/>
      </c>
      <c r="Q215" s="52">
        <f>IF(P215="","",IF(J215&lt;&gt;"",J215,CuentaPred&amp;""))</f>
        <v/>
      </c>
      <c r="R215" s="52">
        <f>IF(P215="","",IF(ISNUMBER(I215),I215,TasaUSD))</f>
        <v/>
      </c>
      <c r="S215" s="53">
        <f>IF(P215="","",IF(H215="USD",G215*R215,G215))</f>
        <v/>
      </c>
      <c r="T215" s="53">
        <f>IF(P215="","",IF(H215="USD",G215,IF(R215&gt;0,G215/R215,0)))</f>
        <v/>
      </c>
      <c r="U215" s="53">
        <f>IF(P215="","",IF(P215="Gasto",S215,IF(P215="Reembolso",-S215,0)))</f>
        <v/>
      </c>
      <c r="V215" s="53">
        <f>IF(P215="","",IF(P215="Ingreso",S215,0))</f>
        <v/>
      </c>
      <c r="W215" s="53">
        <f>IF(P215="","",IF(P215="Resultado trading",S215,0))</f>
        <v/>
      </c>
      <c r="X215" s="52">
        <f>IF(OR(P215="Gasto",P215="Reembolso"),IF(M215&lt;&gt;"",M215,IFERROR(INDEX(catClasif,MATCH(D215&amp;"|"&amp;E215,catClave,0))&amp;"","Variable")),"")</f>
        <v/>
      </c>
      <c r="Y215" s="52">
        <f>IF(P215="","",IFERROR(INDEX(catGrupo,MATCH(D215&amp;"|"&amp;E215,catClave,0))&amp;"",""))</f>
        <v/>
      </c>
      <c r="Z215" s="52">
        <f>IF(P215="","",WEEKDAY(B215,2))</f>
        <v/>
      </c>
      <c r="AA215" s="52">
        <f>IF(P215="","",IF(AND(P215="Gasto",X215="Variable",D215&lt;&gt;catTrading,S215&gt;0,S215&lt;=Umbral),1,0))</f>
        <v/>
      </c>
      <c r="AB215" s="52">
        <f>IF(OR(P215="",Q215=""),"",IFERROR(IF(INDEX(ctaVinc,MATCH(Q215,ctaNombre,0))&amp;""&lt;&gt;"",INDEX(ctaVinc,MATCH(Q215,ctaNombre,0))&amp;"",Q215),Q215))</f>
        <v/>
      </c>
      <c r="AC215" s="52">
        <f>IF(OR(K215="",AND(P215&lt;&gt;"Transferencia",P215&lt;&gt;"Pago tarjeta")),"",IFERROR(IF(INDEX(ctaVinc,MATCH(K215,ctaNombre,0))&amp;""&lt;&gt;"",INDEX(ctaVinc,MATCH(K215,ctaNombre,0))&amp;"",K215),K215))</f>
        <v/>
      </c>
      <c r="AD215" s="52">
        <f>IF(AB215="","",IFERROR(INDEX(ctaTipo,MATCH(AB215,ctaNombre,0))&amp;"",""))</f>
        <v/>
      </c>
      <c r="AE215" s="52">
        <f>IF(AC215="","",IFERROR(INDEX(ctaTipo,MATCH(AC215,ctaNombre,0))&amp;"",""))</f>
        <v/>
      </c>
      <c r="AF215" s="53">
        <f>IF(OR(P215="",AB215=""),"",IF(OR(P215="Gasto",P215="Transferencia",P215="Pago tarjeta"),-1,1)*IF(IFERROR(INDEX(ctaMoneda,MATCH(AB215,ctaNombre,0))&amp;"","DOP")="USD",T215,S215))</f>
        <v/>
      </c>
      <c r="AG215" s="53">
        <f>IF(AC215="","",IF(IFERROR(INDEX(ctaMoneda,MATCH(AC215,ctaNombre,0))&amp;"","DOP")="USD",T215,S215))</f>
        <v/>
      </c>
      <c r="AH215" s="53">
        <f>IF(P215="","",IF(AND(AD215&lt;&gt;"",COUNTIFS(tcTipo,AD215,tcLiq,"Sí")&gt;0),IF(OR(P215="Gasto",P215="Transferencia",P215="Pago tarjeta"),-1,1)*S215,0)+IF(AND(AE215&lt;&gt;"",COUNTIFS(tcTipo,AE215,tcLiq,"Sí")&gt;0),S215,0))</f>
        <v/>
      </c>
      <c r="AI215" s="52">
        <f>IF(OR(L215="",P215=""),"",IF(COUNTIFS(L$6:L215,L215,P$6:P215,"?*")=1,MAX(AI$5:AI214)+1,""))</f>
        <v/>
      </c>
    </row>
    <row r="216">
      <c r="B216" s="47" t="n"/>
      <c r="C216" s="48" t="n"/>
      <c r="D216" s="48" t="n"/>
      <c r="E216" s="48" t="n"/>
      <c r="F216" s="48" t="n"/>
      <c r="G216" s="49" t="n"/>
      <c r="H216" s="48" t="n"/>
      <c r="I216" s="50" t="n"/>
      <c r="J216" s="48" t="n"/>
      <c r="K216" s="48" t="n"/>
      <c r="L216" s="48" t="n"/>
      <c r="M216" s="48" t="n"/>
      <c r="N216" s="48" t="n"/>
      <c r="O216" s="51">
        <f>IF(AND(B216="",G216="",C216="",D216="",J216=""),"",IF(B216="","⚠ Falta fecha",IF(G216="","⚠ Falta monto",IF(Q216="","⚠ Falta cuenta",IF(ISNA(MATCH(Q216,ctaNombre,0)),"⚠ Cuenta no registrada",IF(AND(OR(P216="Gasto",P216="Reembolso"),D216=""),"⚠ Falta categoría",IF(AND(D216&lt;&gt;"",E216&lt;&gt;"",ISNA(MATCH(D216&amp;"|"&amp;E216,catClave,0))),"⚠ Subcategoría no corresponde",IF(AND(OR(P216="Transferencia",P216="Pago tarjeta"),K216=""),"⚠ Falta cuenta destino",IF(AND(K216&lt;&gt;"",P216&lt;&gt;"Transferencia",P216&lt;&gt;"Pago tarjeta"),"⚠ Destino solo aplica a transferencias",IF(AND(K216&lt;&gt;"",K216=Q216),"⚠ Origen igual a destino",IF(AND(K216&lt;&gt;"",ISNA(MATCH(K216,ctaNombre,0))),"⚠ Destino no registrado",IF(AND(P216="Pago tarjeta",AE216&lt;&gt;"Tarjeta de crédito"),"⚠ El destino debe ser tarjeta de crédito",IF(AND(P216="Gasto",E216="Depósitos y retiros"),"⚠ Usa tipo Transferencia",IF(AND(P216="Resultado trading",AD216&lt;&gt;"Cuenta de trading"),"⚠ Usa una cuenta de trading",IF(AND(G216&lt;=0,P216&lt;&gt;"Ajuste",P216&lt;&gt;"Resultado trading"),"⚠ El monto debe ser positivo","✓")))))))))))))))</f>
        <v/>
      </c>
      <c r="P216" s="52">
        <f>IF(OR(B216="",G216=""),"",IF(C216="","Gasto",C216))</f>
        <v/>
      </c>
      <c r="Q216" s="52">
        <f>IF(P216="","",IF(J216&lt;&gt;"",J216,CuentaPred&amp;""))</f>
        <v/>
      </c>
      <c r="R216" s="52">
        <f>IF(P216="","",IF(ISNUMBER(I216),I216,TasaUSD))</f>
        <v/>
      </c>
      <c r="S216" s="53">
        <f>IF(P216="","",IF(H216="USD",G216*R216,G216))</f>
        <v/>
      </c>
      <c r="T216" s="53">
        <f>IF(P216="","",IF(H216="USD",G216,IF(R216&gt;0,G216/R216,0)))</f>
        <v/>
      </c>
      <c r="U216" s="53">
        <f>IF(P216="","",IF(P216="Gasto",S216,IF(P216="Reembolso",-S216,0)))</f>
        <v/>
      </c>
      <c r="V216" s="53">
        <f>IF(P216="","",IF(P216="Ingreso",S216,0))</f>
        <v/>
      </c>
      <c r="W216" s="53">
        <f>IF(P216="","",IF(P216="Resultado trading",S216,0))</f>
        <v/>
      </c>
      <c r="X216" s="52">
        <f>IF(OR(P216="Gasto",P216="Reembolso"),IF(M216&lt;&gt;"",M216,IFERROR(INDEX(catClasif,MATCH(D216&amp;"|"&amp;E216,catClave,0))&amp;"","Variable")),"")</f>
        <v/>
      </c>
      <c r="Y216" s="52">
        <f>IF(P216="","",IFERROR(INDEX(catGrupo,MATCH(D216&amp;"|"&amp;E216,catClave,0))&amp;"",""))</f>
        <v/>
      </c>
      <c r="Z216" s="52">
        <f>IF(P216="","",WEEKDAY(B216,2))</f>
        <v/>
      </c>
      <c r="AA216" s="52">
        <f>IF(P216="","",IF(AND(P216="Gasto",X216="Variable",D216&lt;&gt;catTrading,S216&gt;0,S216&lt;=Umbral),1,0))</f>
        <v/>
      </c>
      <c r="AB216" s="52">
        <f>IF(OR(P216="",Q216=""),"",IFERROR(IF(INDEX(ctaVinc,MATCH(Q216,ctaNombre,0))&amp;""&lt;&gt;"",INDEX(ctaVinc,MATCH(Q216,ctaNombre,0))&amp;"",Q216),Q216))</f>
        <v/>
      </c>
      <c r="AC216" s="52">
        <f>IF(OR(K216="",AND(P216&lt;&gt;"Transferencia",P216&lt;&gt;"Pago tarjeta")),"",IFERROR(IF(INDEX(ctaVinc,MATCH(K216,ctaNombre,0))&amp;""&lt;&gt;"",INDEX(ctaVinc,MATCH(K216,ctaNombre,0))&amp;"",K216),K216))</f>
        <v/>
      </c>
      <c r="AD216" s="52">
        <f>IF(AB216="","",IFERROR(INDEX(ctaTipo,MATCH(AB216,ctaNombre,0))&amp;"",""))</f>
        <v/>
      </c>
      <c r="AE216" s="52">
        <f>IF(AC216="","",IFERROR(INDEX(ctaTipo,MATCH(AC216,ctaNombre,0))&amp;"",""))</f>
        <v/>
      </c>
      <c r="AF216" s="53">
        <f>IF(OR(P216="",AB216=""),"",IF(OR(P216="Gasto",P216="Transferencia",P216="Pago tarjeta"),-1,1)*IF(IFERROR(INDEX(ctaMoneda,MATCH(AB216,ctaNombre,0))&amp;"","DOP")="USD",T216,S216))</f>
        <v/>
      </c>
      <c r="AG216" s="53">
        <f>IF(AC216="","",IF(IFERROR(INDEX(ctaMoneda,MATCH(AC216,ctaNombre,0))&amp;"","DOP")="USD",T216,S216))</f>
        <v/>
      </c>
      <c r="AH216" s="53">
        <f>IF(P216="","",IF(AND(AD216&lt;&gt;"",COUNTIFS(tcTipo,AD216,tcLiq,"Sí")&gt;0),IF(OR(P216="Gasto",P216="Transferencia",P216="Pago tarjeta"),-1,1)*S216,0)+IF(AND(AE216&lt;&gt;"",COUNTIFS(tcTipo,AE216,tcLiq,"Sí")&gt;0),S216,0))</f>
        <v/>
      </c>
      <c r="AI216" s="52">
        <f>IF(OR(L216="",P216=""),"",IF(COUNTIFS(L$6:L216,L216,P$6:P216,"?*")=1,MAX(AI$5:AI215)+1,""))</f>
        <v/>
      </c>
    </row>
    <row r="217">
      <c r="B217" s="47" t="n"/>
      <c r="C217" s="48" t="n"/>
      <c r="D217" s="48" t="n"/>
      <c r="E217" s="48" t="n"/>
      <c r="F217" s="48" t="n"/>
      <c r="G217" s="49" t="n"/>
      <c r="H217" s="48" t="n"/>
      <c r="I217" s="50" t="n"/>
      <c r="J217" s="48" t="n"/>
      <c r="K217" s="48" t="n"/>
      <c r="L217" s="48" t="n"/>
      <c r="M217" s="48" t="n"/>
      <c r="N217" s="48" t="n"/>
      <c r="O217" s="51">
        <f>IF(AND(B217="",G217="",C217="",D217="",J217=""),"",IF(B217="","⚠ Falta fecha",IF(G217="","⚠ Falta monto",IF(Q217="","⚠ Falta cuenta",IF(ISNA(MATCH(Q217,ctaNombre,0)),"⚠ Cuenta no registrada",IF(AND(OR(P217="Gasto",P217="Reembolso"),D217=""),"⚠ Falta categoría",IF(AND(D217&lt;&gt;"",E217&lt;&gt;"",ISNA(MATCH(D217&amp;"|"&amp;E217,catClave,0))),"⚠ Subcategoría no corresponde",IF(AND(OR(P217="Transferencia",P217="Pago tarjeta"),K217=""),"⚠ Falta cuenta destino",IF(AND(K217&lt;&gt;"",P217&lt;&gt;"Transferencia",P217&lt;&gt;"Pago tarjeta"),"⚠ Destino solo aplica a transferencias",IF(AND(K217&lt;&gt;"",K217=Q217),"⚠ Origen igual a destino",IF(AND(K217&lt;&gt;"",ISNA(MATCH(K217,ctaNombre,0))),"⚠ Destino no registrado",IF(AND(P217="Pago tarjeta",AE217&lt;&gt;"Tarjeta de crédito"),"⚠ El destino debe ser tarjeta de crédito",IF(AND(P217="Gasto",E217="Depósitos y retiros"),"⚠ Usa tipo Transferencia",IF(AND(P217="Resultado trading",AD217&lt;&gt;"Cuenta de trading"),"⚠ Usa una cuenta de trading",IF(AND(G217&lt;=0,P217&lt;&gt;"Ajuste",P217&lt;&gt;"Resultado trading"),"⚠ El monto debe ser positivo","✓")))))))))))))))</f>
        <v/>
      </c>
      <c r="P217" s="52">
        <f>IF(OR(B217="",G217=""),"",IF(C217="","Gasto",C217))</f>
        <v/>
      </c>
      <c r="Q217" s="52">
        <f>IF(P217="","",IF(J217&lt;&gt;"",J217,CuentaPred&amp;""))</f>
        <v/>
      </c>
      <c r="R217" s="52">
        <f>IF(P217="","",IF(ISNUMBER(I217),I217,TasaUSD))</f>
        <v/>
      </c>
      <c r="S217" s="53">
        <f>IF(P217="","",IF(H217="USD",G217*R217,G217))</f>
        <v/>
      </c>
      <c r="T217" s="53">
        <f>IF(P217="","",IF(H217="USD",G217,IF(R217&gt;0,G217/R217,0)))</f>
        <v/>
      </c>
      <c r="U217" s="53">
        <f>IF(P217="","",IF(P217="Gasto",S217,IF(P217="Reembolso",-S217,0)))</f>
        <v/>
      </c>
      <c r="V217" s="53">
        <f>IF(P217="","",IF(P217="Ingreso",S217,0))</f>
        <v/>
      </c>
      <c r="W217" s="53">
        <f>IF(P217="","",IF(P217="Resultado trading",S217,0))</f>
        <v/>
      </c>
      <c r="X217" s="52">
        <f>IF(OR(P217="Gasto",P217="Reembolso"),IF(M217&lt;&gt;"",M217,IFERROR(INDEX(catClasif,MATCH(D217&amp;"|"&amp;E217,catClave,0))&amp;"","Variable")),"")</f>
        <v/>
      </c>
      <c r="Y217" s="52">
        <f>IF(P217="","",IFERROR(INDEX(catGrupo,MATCH(D217&amp;"|"&amp;E217,catClave,0))&amp;"",""))</f>
        <v/>
      </c>
      <c r="Z217" s="52">
        <f>IF(P217="","",WEEKDAY(B217,2))</f>
        <v/>
      </c>
      <c r="AA217" s="52">
        <f>IF(P217="","",IF(AND(P217="Gasto",X217="Variable",D217&lt;&gt;catTrading,S217&gt;0,S217&lt;=Umbral),1,0))</f>
        <v/>
      </c>
      <c r="AB217" s="52">
        <f>IF(OR(P217="",Q217=""),"",IFERROR(IF(INDEX(ctaVinc,MATCH(Q217,ctaNombre,0))&amp;""&lt;&gt;"",INDEX(ctaVinc,MATCH(Q217,ctaNombre,0))&amp;"",Q217),Q217))</f>
        <v/>
      </c>
      <c r="AC217" s="52">
        <f>IF(OR(K217="",AND(P217&lt;&gt;"Transferencia",P217&lt;&gt;"Pago tarjeta")),"",IFERROR(IF(INDEX(ctaVinc,MATCH(K217,ctaNombre,0))&amp;""&lt;&gt;"",INDEX(ctaVinc,MATCH(K217,ctaNombre,0))&amp;"",K217),K217))</f>
        <v/>
      </c>
      <c r="AD217" s="52">
        <f>IF(AB217="","",IFERROR(INDEX(ctaTipo,MATCH(AB217,ctaNombre,0))&amp;"",""))</f>
        <v/>
      </c>
      <c r="AE217" s="52">
        <f>IF(AC217="","",IFERROR(INDEX(ctaTipo,MATCH(AC217,ctaNombre,0))&amp;"",""))</f>
        <v/>
      </c>
      <c r="AF217" s="53">
        <f>IF(OR(P217="",AB217=""),"",IF(OR(P217="Gasto",P217="Transferencia",P217="Pago tarjeta"),-1,1)*IF(IFERROR(INDEX(ctaMoneda,MATCH(AB217,ctaNombre,0))&amp;"","DOP")="USD",T217,S217))</f>
        <v/>
      </c>
      <c r="AG217" s="53">
        <f>IF(AC217="","",IF(IFERROR(INDEX(ctaMoneda,MATCH(AC217,ctaNombre,0))&amp;"","DOP")="USD",T217,S217))</f>
        <v/>
      </c>
      <c r="AH217" s="53">
        <f>IF(P217="","",IF(AND(AD217&lt;&gt;"",COUNTIFS(tcTipo,AD217,tcLiq,"Sí")&gt;0),IF(OR(P217="Gasto",P217="Transferencia",P217="Pago tarjeta"),-1,1)*S217,0)+IF(AND(AE217&lt;&gt;"",COUNTIFS(tcTipo,AE217,tcLiq,"Sí")&gt;0),S217,0))</f>
        <v/>
      </c>
      <c r="AI217" s="52">
        <f>IF(OR(L217="",P217=""),"",IF(COUNTIFS(L$6:L217,L217,P$6:P217,"?*")=1,MAX(AI$5:AI216)+1,""))</f>
        <v/>
      </c>
    </row>
    <row r="218">
      <c r="B218" s="47" t="n"/>
      <c r="C218" s="48" t="n"/>
      <c r="D218" s="48" t="n"/>
      <c r="E218" s="48" t="n"/>
      <c r="F218" s="48" t="n"/>
      <c r="G218" s="49" t="n"/>
      <c r="H218" s="48" t="n"/>
      <c r="I218" s="50" t="n"/>
      <c r="J218" s="48" t="n"/>
      <c r="K218" s="48" t="n"/>
      <c r="L218" s="48" t="n"/>
      <c r="M218" s="48" t="n"/>
      <c r="N218" s="48" t="n"/>
      <c r="O218" s="51">
        <f>IF(AND(B218="",G218="",C218="",D218="",J218=""),"",IF(B218="","⚠ Falta fecha",IF(G218="","⚠ Falta monto",IF(Q218="","⚠ Falta cuenta",IF(ISNA(MATCH(Q218,ctaNombre,0)),"⚠ Cuenta no registrada",IF(AND(OR(P218="Gasto",P218="Reembolso"),D218=""),"⚠ Falta categoría",IF(AND(D218&lt;&gt;"",E218&lt;&gt;"",ISNA(MATCH(D218&amp;"|"&amp;E218,catClave,0))),"⚠ Subcategoría no corresponde",IF(AND(OR(P218="Transferencia",P218="Pago tarjeta"),K218=""),"⚠ Falta cuenta destino",IF(AND(K218&lt;&gt;"",P218&lt;&gt;"Transferencia",P218&lt;&gt;"Pago tarjeta"),"⚠ Destino solo aplica a transferencias",IF(AND(K218&lt;&gt;"",K218=Q218),"⚠ Origen igual a destino",IF(AND(K218&lt;&gt;"",ISNA(MATCH(K218,ctaNombre,0))),"⚠ Destino no registrado",IF(AND(P218="Pago tarjeta",AE218&lt;&gt;"Tarjeta de crédito"),"⚠ El destino debe ser tarjeta de crédito",IF(AND(P218="Gasto",E218="Depósitos y retiros"),"⚠ Usa tipo Transferencia",IF(AND(P218="Resultado trading",AD218&lt;&gt;"Cuenta de trading"),"⚠ Usa una cuenta de trading",IF(AND(G218&lt;=0,P218&lt;&gt;"Ajuste",P218&lt;&gt;"Resultado trading"),"⚠ El monto debe ser positivo","✓")))))))))))))))</f>
        <v/>
      </c>
      <c r="P218" s="52">
        <f>IF(OR(B218="",G218=""),"",IF(C218="","Gasto",C218))</f>
        <v/>
      </c>
      <c r="Q218" s="52">
        <f>IF(P218="","",IF(J218&lt;&gt;"",J218,CuentaPred&amp;""))</f>
        <v/>
      </c>
      <c r="R218" s="52">
        <f>IF(P218="","",IF(ISNUMBER(I218),I218,TasaUSD))</f>
        <v/>
      </c>
      <c r="S218" s="53">
        <f>IF(P218="","",IF(H218="USD",G218*R218,G218))</f>
        <v/>
      </c>
      <c r="T218" s="53">
        <f>IF(P218="","",IF(H218="USD",G218,IF(R218&gt;0,G218/R218,0)))</f>
        <v/>
      </c>
      <c r="U218" s="53">
        <f>IF(P218="","",IF(P218="Gasto",S218,IF(P218="Reembolso",-S218,0)))</f>
        <v/>
      </c>
      <c r="V218" s="53">
        <f>IF(P218="","",IF(P218="Ingreso",S218,0))</f>
        <v/>
      </c>
      <c r="W218" s="53">
        <f>IF(P218="","",IF(P218="Resultado trading",S218,0))</f>
        <v/>
      </c>
      <c r="X218" s="52">
        <f>IF(OR(P218="Gasto",P218="Reembolso"),IF(M218&lt;&gt;"",M218,IFERROR(INDEX(catClasif,MATCH(D218&amp;"|"&amp;E218,catClave,0))&amp;"","Variable")),"")</f>
        <v/>
      </c>
      <c r="Y218" s="52">
        <f>IF(P218="","",IFERROR(INDEX(catGrupo,MATCH(D218&amp;"|"&amp;E218,catClave,0))&amp;"",""))</f>
        <v/>
      </c>
      <c r="Z218" s="52">
        <f>IF(P218="","",WEEKDAY(B218,2))</f>
        <v/>
      </c>
      <c r="AA218" s="52">
        <f>IF(P218="","",IF(AND(P218="Gasto",X218="Variable",D218&lt;&gt;catTrading,S218&gt;0,S218&lt;=Umbral),1,0))</f>
        <v/>
      </c>
      <c r="AB218" s="52">
        <f>IF(OR(P218="",Q218=""),"",IFERROR(IF(INDEX(ctaVinc,MATCH(Q218,ctaNombre,0))&amp;""&lt;&gt;"",INDEX(ctaVinc,MATCH(Q218,ctaNombre,0))&amp;"",Q218),Q218))</f>
        <v/>
      </c>
      <c r="AC218" s="52">
        <f>IF(OR(K218="",AND(P218&lt;&gt;"Transferencia",P218&lt;&gt;"Pago tarjeta")),"",IFERROR(IF(INDEX(ctaVinc,MATCH(K218,ctaNombre,0))&amp;""&lt;&gt;"",INDEX(ctaVinc,MATCH(K218,ctaNombre,0))&amp;"",K218),K218))</f>
        <v/>
      </c>
      <c r="AD218" s="52">
        <f>IF(AB218="","",IFERROR(INDEX(ctaTipo,MATCH(AB218,ctaNombre,0))&amp;"",""))</f>
        <v/>
      </c>
      <c r="AE218" s="52">
        <f>IF(AC218="","",IFERROR(INDEX(ctaTipo,MATCH(AC218,ctaNombre,0))&amp;"",""))</f>
        <v/>
      </c>
      <c r="AF218" s="53">
        <f>IF(OR(P218="",AB218=""),"",IF(OR(P218="Gasto",P218="Transferencia",P218="Pago tarjeta"),-1,1)*IF(IFERROR(INDEX(ctaMoneda,MATCH(AB218,ctaNombre,0))&amp;"","DOP")="USD",T218,S218))</f>
        <v/>
      </c>
      <c r="AG218" s="53">
        <f>IF(AC218="","",IF(IFERROR(INDEX(ctaMoneda,MATCH(AC218,ctaNombre,0))&amp;"","DOP")="USD",T218,S218))</f>
        <v/>
      </c>
      <c r="AH218" s="53">
        <f>IF(P218="","",IF(AND(AD218&lt;&gt;"",COUNTIFS(tcTipo,AD218,tcLiq,"Sí")&gt;0),IF(OR(P218="Gasto",P218="Transferencia",P218="Pago tarjeta"),-1,1)*S218,0)+IF(AND(AE218&lt;&gt;"",COUNTIFS(tcTipo,AE218,tcLiq,"Sí")&gt;0),S218,0))</f>
        <v/>
      </c>
      <c r="AI218" s="52">
        <f>IF(OR(L218="",P218=""),"",IF(COUNTIFS(L$6:L218,L218,P$6:P218,"?*")=1,MAX(AI$5:AI217)+1,""))</f>
        <v/>
      </c>
    </row>
    <row r="219">
      <c r="B219" s="47" t="n"/>
      <c r="C219" s="48" t="n"/>
      <c r="D219" s="48" t="n"/>
      <c r="E219" s="48" t="n"/>
      <c r="F219" s="48" t="n"/>
      <c r="G219" s="49" t="n"/>
      <c r="H219" s="48" t="n"/>
      <c r="I219" s="50" t="n"/>
      <c r="J219" s="48" t="n"/>
      <c r="K219" s="48" t="n"/>
      <c r="L219" s="48" t="n"/>
      <c r="M219" s="48" t="n"/>
      <c r="N219" s="48" t="n"/>
      <c r="O219" s="51">
        <f>IF(AND(B219="",G219="",C219="",D219="",J219=""),"",IF(B219="","⚠ Falta fecha",IF(G219="","⚠ Falta monto",IF(Q219="","⚠ Falta cuenta",IF(ISNA(MATCH(Q219,ctaNombre,0)),"⚠ Cuenta no registrada",IF(AND(OR(P219="Gasto",P219="Reembolso"),D219=""),"⚠ Falta categoría",IF(AND(D219&lt;&gt;"",E219&lt;&gt;"",ISNA(MATCH(D219&amp;"|"&amp;E219,catClave,0))),"⚠ Subcategoría no corresponde",IF(AND(OR(P219="Transferencia",P219="Pago tarjeta"),K219=""),"⚠ Falta cuenta destino",IF(AND(K219&lt;&gt;"",P219&lt;&gt;"Transferencia",P219&lt;&gt;"Pago tarjeta"),"⚠ Destino solo aplica a transferencias",IF(AND(K219&lt;&gt;"",K219=Q219),"⚠ Origen igual a destino",IF(AND(K219&lt;&gt;"",ISNA(MATCH(K219,ctaNombre,0))),"⚠ Destino no registrado",IF(AND(P219="Pago tarjeta",AE219&lt;&gt;"Tarjeta de crédito"),"⚠ El destino debe ser tarjeta de crédito",IF(AND(P219="Gasto",E219="Depósitos y retiros"),"⚠ Usa tipo Transferencia",IF(AND(P219="Resultado trading",AD219&lt;&gt;"Cuenta de trading"),"⚠ Usa una cuenta de trading",IF(AND(G219&lt;=0,P219&lt;&gt;"Ajuste",P219&lt;&gt;"Resultado trading"),"⚠ El monto debe ser positivo","✓")))))))))))))))</f>
        <v/>
      </c>
      <c r="P219" s="52">
        <f>IF(OR(B219="",G219=""),"",IF(C219="","Gasto",C219))</f>
        <v/>
      </c>
      <c r="Q219" s="52">
        <f>IF(P219="","",IF(J219&lt;&gt;"",J219,CuentaPred&amp;""))</f>
        <v/>
      </c>
      <c r="R219" s="52">
        <f>IF(P219="","",IF(ISNUMBER(I219),I219,TasaUSD))</f>
        <v/>
      </c>
      <c r="S219" s="53">
        <f>IF(P219="","",IF(H219="USD",G219*R219,G219))</f>
        <v/>
      </c>
      <c r="T219" s="53">
        <f>IF(P219="","",IF(H219="USD",G219,IF(R219&gt;0,G219/R219,0)))</f>
        <v/>
      </c>
      <c r="U219" s="53">
        <f>IF(P219="","",IF(P219="Gasto",S219,IF(P219="Reembolso",-S219,0)))</f>
        <v/>
      </c>
      <c r="V219" s="53">
        <f>IF(P219="","",IF(P219="Ingreso",S219,0))</f>
        <v/>
      </c>
      <c r="W219" s="53">
        <f>IF(P219="","",IF(P219="Resultado trading",S219,0))</f>
        <v/>
      </c>
      <c r="X219" s="52">
        <f>IF(OR(P219="Gasto",P219="Reembolso"),IF(M219&lt;&gt;"",M219,IFERROR(INDEX(catClasif,MATCH(D219&amp;"|"&amp;E219,catClave,0))&amp;"","Variable")),"")</f>
        <v/>
      </c>
      <c r="Y219" s="52">
        <f>IF(P219="","",IFERROR(INDEX(catGrupo,MATCH(D219&amp;"|"&amp;E219,catClave,0))&amp;"",""))</f>
        <v/>
      </c>
      <c r="Z219" s="52">
        <f>IF(P219="","",WEEKDAY(B219,2))</f>
        <v/>
      </c>
      <c r="AA219" s="52">
        <f>IF(P219="","",IF(AND(P219="Gasto",X219="Variable",D219&lt;&gt;catTrading,S219&gt;0,S219&lt;=Umbral),1,0))</f>
        <v/>
      </c>
      <c r="AB219" s="52">
        <f>IF(OR(P219="",Q219=""),"",IFERROR(IF(INDEX(ctaVinc,MATCH(Q219,ctaNombre,0))&amp;""&lt;&gt;"",INDEX(ctaVinc,MATCH(Q219,ctaNombre,0))&amp;"",Q219),Q219))</f>
        <v/>
      </c>
      <c r="AC219" s="52">
        <f>IF(OR(K219="",AND(P219&lt;&gt;"Transferencia",P219&lt;&gt;"Pago tarjeta")),"",IFERROR(IF(INDEX(ctaVinc,MATCH(K219,ctaNombre,0))&amp;""&lt;&gt;"",INDEX(ctaVinc,MATCH(K219,ctaNombre,0))&amp;"",K219),K219))</f>
        <v/>
      </c>
      <c r="AD219" s="52">
        <f>IF(AB219="","",IFERROR(INDEX(ctaTipo,MATCH(AB219,ctaNombre,0))&amp;"",""))</f>
        <v/>
      </c>
      <c r="AE219" s="52">
        <f>IF(AC219="","",IFERROR(INDEX(ctaTipo,MATCH(AC219,ctaNombre,0))&amp;"",""))</f>
        <v/>
      </c>
      <c r="AF219" s="53">
        <f>IF(OR(P219="",AB219=""),"",IF(OR(P219="Gasto",P219="Transferencia",P219="Pago tarjeta"),-1,1)*IF(IFERROR(INDEX(ctaMoneda,MATCH(AB219,ctaNombre,0))&amp;"","DOP")="USD",T219,S219))</f>
        <v/>
      </c>
      <c r="AG219" s="53">
        <f>IF(AC219="","",IF(IFERROR(INDEX(ctaMoneda,MATCH(AC219,ctaNombre,0))&amp;"","DOP")="USD",T219,S219))</f>
        <v/>
      </c>
      <c r="AH219" s="53">
        <f>IF(P219="","",IF(AND(AD219&lt;&gt;"",COUNTIFS(tcTipo,AD219,tcLiq,"Sí")&gt;0),IF(OR(P219="Gasto",P219="Transferencia",P219="Pago tarjeta"),-1,1)*S219,0)+IF(AND(AE219&lt;&gt;"",COUNTIFS(tcTipo,AE219,tcLiq,"Sí")&gt;0),S219,0))</f>
        <v/>
      </c>
      <c r="AI219" s="52">
        <f>IF(OR(L219="",P219=""),"",IF(COUNTIFS(L$6:L219,L219,P$6:P219,"?*")=1,MAX(AI$5:AI218)+1,""))</f>
        <v/>
      </c>
    </row>
    <row r="220">
      <c r="B220" s="47" t="n"/>
      <c r="C220" s="48" t="n"/>
      <c r="D220" s="48" t="n"/>
      <c r="E220" s="48" t="n"/>
      <c r="F220" s="48" t="n"/>
      <c r="G220" s="49" t="n"/>
      <c r="H220" s="48" t="n"/>
      <c r="I220" s="50" t="n"/>
      <c r="J220" s="48" t="n"/>
      <c r="K220" s="48" t="n"/>
      <c r="L220" s="48" t="n"/>
      <c r="M220" s="48" t="n"/>
      <c r="N220" s="48" t="n"/>
      <c r="O220" s="51">
        <f>IF(AND(B220="",G220="",C220="",D220="",J220=""),"",IF(B220="","⚠ Falta fecha",IF(G220="","⚠ Falta monto",IF(Q220="","⚠ Falta cuenta",IF(ISNA(MATCH(Q220,ctaNombre,0)),"⚠ Cuenta no registrada",IF(AND(OR(P220="Gasto",P220="Reembolso"),D220=""),"⚠ Falta categoría",IF(AND(D220&lt;&gt;"",E220&lt;&gt;"",ISNA(MATCH(D220&amp;"|"&amp;E220,catClave,0))),"⚠ Subcategoría no corresponde",IF(AND(OR(P220="Transferencia",P220="Pago tarjeta"),K220=""),"⚠ Falta cuenta destino",IF(AND(K220&lt;&gt;"",P220&lt;&gt;"Transferencia",P220&lt;&gt;"Pago tarjeta"),"⚠ Destino solo aplica a transferencias",IF(AND(K220&lt;&gt;"",K220=Q220),"⚠ Origen igual a destino",IF(AND(K220&lt;&gt;"",ISNA(MATCH(K220,ctaNombre,0))),"⚠ Destino no registrado",IF(AND(P220="Pago tarjeta",AE220&lt;&gt;"Tarjeta de crédito"),"⚠ El destino debe ser tarjeta de crédito",IF(AND(P220="Gasto",E220="Depósitos y retiros"),"⚠ Usa tipo Transferencia",IF(AND(P220="Resultado trading",AD220&lt;&gt;"Cuenta de trading"),"⚠ Usa una cuenta de trading",IF(AND(G220&lt;=0,P220&lt;&gt;"Ajuste",P220&lt;&gt;"Resultado trading"),"⚠ El monto debe ser positivo","✓")))))))))))))))</f>
        <v/>
      </c>
      <c r="P220" s="52">
        <f>IF(OR(B220="",G220=""),"",IF(C220="","Gasto",C220))</f>
        <v/>
      </c>
      <c r="Q220" s="52">
        <f>IF(P220="","",IF(J220&lt;&gt;"",J220,CuentaPred&amp;""))</f>
        <v/>
      </c>
      <c r="R220" s="52">
        <f>IF(P220="","",IF(ISNUMBER(I220),I220,TasaUSD))</f>
        <v/>
      </c>
      <c r="S220" s="53">
        <f>IF(P220="","",IF(H220="USD",G220*R220,G220))</f>
        <v/>
      </c>
      <c r="T220" s="53">
        <f>IF(P220="","",IF(H220="USD",G220,IF(R220&gt;0,G220/R220,0)))</f>
        <v/>
      </c>
      <c r="U220" s="53">
        <f>IF(P220="","",IF(P220="Gasto",S220,IF(P220="Reembolso",-S220,0)))</f>
        <v/>
      </c>
      <c r="V220" s="53">
        <f>IF(P220="","",IF(P220="Ingreso",S220,0))</f>
        <v/>
      </c>
      <c r="W220" s="53">
        <f>IF(P220="","",IF(P220="Resultado trading",S220,0))</f>
        <v/>
      </c>
      <c r="X220" s="52">
        <f>IF(OR(P220="Gasto",P220="Reembolso"),IF(M220&lt;&gt;"",M220,IFERROR(INDEX(catClasif,MATCH(D220&amp;"|"&amp;E220,catClave,0))&amp;"","Variable")),"")</f>
        <v/>
      </c>
      <c r="Y220" s="52">
        <f>IF(P220="","",IFERROR(INDEX(catGrupo,MATCH(D220&amp;"|"&amp;E220,catClave,0))&amp;"",""))</f>
        <v/>
      </c>
      <c r="Z220" s="52">
        <f>IF(P220="","",WEEKDAY(B220,2))</f>
        <v/>
      </c>
      <c r="AA220" s="52">
        <f>IF(P220="","",IF(AND(P220="Gasto",X220="Variable",D220&lt;&gt;catTrading,S220&gt;0,S220&lt;=Umbral),1,0))</f>
        <v/>
      </c>
      <c r="AB220" s="52">
        <f>IF(OR(P220="",Q220=""),"",IFERROR(IF(INDEX(ctaVinc,MATCH(Q220,ctaNombre,0))&amp;""&lt;&gt;"",INDEX(ctaVinc,MATCH(Q220,ctaNombre,0))&amp;"",Q220),Q220))</f>
        <v/>
      </c>
      <c r="AC220" s="52">
        <f>IF(OR(K220="",AND(P220&lt;&gt;"Transferencia",P220&lt;&gt;"Pago tarjeta")),"",IFERROR(IF(INDEX(ctaVinc,MATCH(K220,ctaNombre,0))&amp;""&lt;&gt;"",INDEX(ctaVinc,MATCH(K220,ctaNombre,0))&amp;"",K220),K220))</f>
        <v/>
      </c>
      <c r="AD220" s="52">
        <f>IF(AB220="","",IFERROR(INDEX(ctaTipo,MATCH(AB220,ctaNombre,0))&amp;"",""))</f>
        <v/>
      </c>
      <c r="AE220" s="52">
        <f>IF(AC220="","",IFERROR(INDEX(ctaTipo,MATCH(AC220,ctaNombre,0))&amp;"",""))</f>
        <v/>
      </c>
      <c r="AF220" s="53">
        <f>IF(OR(P220="",AB220=""),"",IF(OR(P220="Gasto",P220="Transferencia",P220="Pago tarjeta"),-1,1)*IF(IFERROR(INDEX(ctaMoneda,MATCH(AB220,ctaNombre,0))&amp;"","DOP")="USD",T220,S220))</f>
        <v/>
      </c>
      <c r="AG220" s="53">
        <f>IF(AC220="","",IF(IFERROR(INDEX(ctaMoneda,MATCH(AC220,ctaNombre,0))&amp;"","DOP")="USD",T220,S220))</f>
        <v/>
      </c>
      <c r="AH220" s="53">
        <f>IF(P220="","",IF(AND(AD220&lt;&gt;"",COUNTIFS(tcTipo,AD220,tcLiq,"Sí")&gt;0),IF(OR(P220="Gasto",P220="Transferencia",P220="Pago tarjeta"),-1,1)*S220,0)+IF(AND(AE220&lt;&gt;"",COUNTIFS(tcTipo,AE220,tcLiq,"Sí")&gt;0),S220,0))</f>
        <v/>
      </c>
      <c r="AI220" s="52">
        <f>IF(OR(L220="",P220=""),"",IF(COUNTIFS(L$6:L220,L220,P$6:P220,"?*")=1,MAX(AI$5:AI219)+1,""))</f>
        <v/>
      </c>
    </row>
    <row r="221">
      <c r="B221" s="47" t="n"/>
      <c r="C221" s="48" t="n"/>
      <c r="D221" s="48" t="n"/>
      <c r="E221" s="48" t="n"/>
      <c r="F221" s="48" t="n"/>
      <c r="G221" s="49" t="n"/>
      <c r="H221" s="48" t="n"/>
      <c r="I221" s="50" t="n"/>
      <c r="J221" s="48" t="n"/>
      <c r="K221" s="48" t="n"/>
      <c r="L221" s="48" t="n"/>
      <c r="M221" s="48" t="n"/>
      <c r="N221" s="48" t="n"/>
      <c r="O221" s="51">
        <f>IF(AND(B221="",G221="",C221="",D221="",J221=""),"",IF(B221="","⚠ Falta fecha",IF(G221="","⚠ Falta monto",IF(Q221="","⚠ Falta cuenta",IF(ISNA(MATCH(Q221,ctaNombre,0)),"⚠ Cuenta no registrada",IF(AND(OR(P221="Gasto",P221="Reembolso"),D221=""),"⚠ Falta categoría",IF(AND(D221&lt;&gt;"",E221&lt;&gt;"",ISNA(MATCH(D221&amp;"|"&amp;E221,catClave,0))),"⚠ Subcategoría no corresponde",IF(AND(OR(P221="Transferencia",P221="Pago tarjeta"),K221=""),"⚠ Falta cuenta destino",IF(AND(K221&lt;&gt;"",P221&lt;&gt;"Transferencia",P221&lt;&gt;"Pago tarjeta"),"⚠ Destino solo aplica a transferencias",IF(AND(K221&lt;&gt;"",K221=Q221),"⚠ Origen igual a destino",IF(AND(K221&lt;&gt;"",ISNA(MATCH(K221,ctaNombre,0))),"⚠ Destino no registrado",IF(AND(P221="Pago tarjeta",AE221&lt;&gt;"Tarjeta de crédito"),"⚠ El destino debe ser tarjeta de crédito",IF(AND(P221="Gasto",E221="Depósitos y retiros"),"⚠ Usa tipo Transferencia",IF(AND(P221="Resultado trading",AD221&lt;&gt;"Cuenta de trading"),"⚠ Usa una cuenta de trading",IF(AND(G221&lt;=0,P221&lt;&gt;"Ajuste",P221&lt;&gt;"Resultado trading"),"⚠ El monto debe ser positivo","✓")))))))))))))))</f>
        <v/>
      </c>
      <c r="P221" s="52">
        <f>IF(OR(B221="",G221=""),"",IF(C221="","Gasto",C221))</f>
        <v/>
      </c>
      <c r="Q221" s="52">
        <f>IF(P221="","",IF(J221&lt;&gt;"",J221,CuentaPred&amp;""))</f>
        <v/>
      </c>
      <c r="R221" s="52">
        <f>IF(P221="","",IF(ISNUMBER(I221),I221,TasaUSD))</f>
        <v/>
      </c>
      <c r="S221" s="53">
        <f>IF(P221="","",IF(H221="USD",G221*R221,G221))</f>
        <v/>
      </c>
      <c r="T221" s="53">
        <f>IF(P221="","",IF(H221="USD",G221,IF(R221&gt;0,G221/R221,0)))</f>
        <v/>
      </c>
      <c r="U221" s="53">
        <f>IF(P221="","",IF(P221="Gasto",S221,IF(P221="Reembolso",-S221,0)))</f>
        <v/>
      </c>
      <c r="V221" s="53">
        <f>IF(P221="","",IF(P221="Ingreso",S221,0))</f>
        <v/>
      </c>
      <c r="W221" s="53">
        <f>IF(P221="","",IF(P221="Resultado trading",S221,0))</f>
        <v/>
      </c>
      <c r="X221" s="52">
        <f>IF(OR(P221="Gasto",P221="Reembolso"),IF(M221&lt;&gt;"",M221,IFERROR(INDEX(catClasif,MATCH(D221&amp;"|"&amp;E221,catClave,0))&amp;"","Variable")),"")</f>
        <v/>
      </c>
      <c r="Y221" s="52">
        <f>IF(P221="","",IFERROR(INDEX(catGrupo,MATCH(D221&amp;"|"&amp;E221,catClave,0))&amp;"",""))</f>
        <v/>
      </c>
      <c r="Z221" s="52">
        <f>IF(P221="","",WEEKDAY(B221,2))</f>
        <v/>
      </c>
      <c r="AA221" s="52">
        <f>IF(P221="","",IF(AND(P221="Gasto",X221="Variable",D221&lt;&gt;catTrading,S221&gt;0,S221&lt;=Umbral),1,0))</f>
        <v/>
      </c>
      <c r="AB221" s="52">
        <f>IF(OR(P221="",Q221=""),"",IFERROR(IF(INDEX(ctaVinc,MATCH(Q221,ctaNombre,0))&amp;""&lt;&gt;"",INDEX(ctaVinc,MATCH(Q221,ctaNombre,0))&amp;"",Q221),Q221))</f>
        <v/>
      </c>
      <c r="AC221" s="52">
        <f>IF(OR(K221="",AND(P221&lt;&gt;"Transferencia",P221&lt;&gt;"Pago tarjeta")),"",IFERROR(IF(INDEX(ctaVinc,MATCH(K221,ctaNombre,0))&amp;""&lt;&gt;"",INDEX(ctaVinc,MATCH(K221,ctaNombre,0))&amp;"",K221),K221))</f>
        <v/>
      </c>
      <c r="AD221" s="52">
        <f>IF(AB221="","",IFERROR(INDEX(ctaTipo,MATCH(AB221,ctaNombre,0))&amp;"",""))</f>
        <v/>
      </c>
      <c r="AE221" s="52">
        <f>IF(AC221="","",IFERROR(INDEX(ctaTipo,MATCH(AC221,ctaNombre,0))&amp;"",""))</f>
        <v/>
      </c>
      <c r="AF221" s="53">
        <f>IF(OR(P221="",AB221=""),"",IF(OR(P221="Gasto",P221="Transferencia",P221="Pago tarjeta"),-1,1)*IF(IFERROR(INDEX(ctaMoneda,MATCH(AB221,ctaNombre,0))&amp;"","DOP")="USD",T221,S221))</f>
        <v/>
      </c>
      <c r="AG221" s="53">
        <f>IF(AC221="","",IF(IFERROR(INDEX(ctaMoneda,MATCH(AC221,ctaNombre,0))&amp;"","DOP")="USD",T221,S221))</f>
        <v/>
      </c>
      <c r="AH221" s="53">
        <f>IF(P221="","",IF(AND(AD221&lt;&gt;"",COUNTIFS(tcTipo,AD221,tcLiq,"Sí")&gt;0),IF(OR(P221="Gasto",P221="Transferencia",P221="Pago tarjeta"),-1,1)*S221,0)+IF(AND(AE221&lt;&gt;"",COUNTIFS(tcTipo,AE221,tcLiq,"Sí")&gt;0),S221,0))</f>
        <v/>
      </c>
      <c r="AI221" s="52">
        <f>IF(OR(L221="",P221=""),"",IF(COUNTIFS(L$6:L221,L221,P$6:P221,"?*")=1,MAX(AI$5:AI220)+1,""))</f>
        <v/>
      </c>
    </row>
    <row r="222">
      <c r="B222" s="47" t="n"/>
      <c r="C222" s="48" t="n"/>
      <c r="D222" s="48" t="n"/>
      <c r="E222" s="48" t="n"/>
      <c r="F222" s="48" t="n"/>
      <c r="G222" s="49" t="n"/>
      <c r="H222" s="48" t="n"/>
      <c r="I222" s="50" t="n"/>
      <c r="J222" s="48" t="n"/>
      <c r="K222" s="48" t="n"/>
      <c r="L222" s="48" t="n"/>
      <c r="M222" s="48" t="n"/>
      <c r="N222" s="48" t="n"/>
      <c r="O222" s="51">
        <f>IF(AND(B222="",G222="",C222="",D222="",J222=""),"",IF(B222="","⚠ Falta fecha",IF(G222="","⚠ Falta monto",IF(Q222="","⚠ Falta cuenta",IF(ISNA(MATCH(Q222,ctaNombre,0)),"⚠ Cuenta no registrada",IF(AND(OR(P222="Gasto",P222="Reembolso"),D222=""),"⚠ Falta categoría",IF(AND(D222&lt;&gt;"",E222&lt;&gt;"",ISNA(MATCH(D222&amp;"|"&amp;E222,catClave,0))),"⚠ Subcategoría no corresponde",IF(AND(OR(P222="Transferencia",P222="Pago tarjeta"),K222=""),"⚠ Falta cuenta destino",IF(AND(K222&lt;&gt;"",P222&lt;&gt;"Transferencia",P222&lt;&gt;"Pago tarjeta"),"⚠ Destino solo aplica a transferencias",IF(AND(K222&lt;&gt;"",K222=Q222),"⚠ Origen igual a destino",IF(AND(K222&lt;&gt;"",ISNA(MATCH(K222,ctaNombre,0))),"⚠ Destino no registrado",IF(AND(P222="Pago tarjeta",AE222&lt;&gt;"Tarjeta de crédito"),"⚠ El destino debe ser tarjeta de crédito",IF(AND(P222="Gasto",E222="Depósitos y retiros"),"⚠ Usa tipo Transferencia",IF(AND(P222="Resultado trading",AD222&lt;&gt;"Cuenta de trading"),"⚠ Usa una cuenta de trading",IF(AND(G222&lt;=0,P222&lt;&gt;"Ajuste",P222&lt;&gt;"Resultado trading"),"⚠ El monto debe ser positivo","✓")))))))))))))))</f>
        <v/>
      </c>
      <c r="P222" s="52">
        <f>IF(OR(B222="",G222=""),"",IF(C222="","Gasto",C222))</f>
        <v/>
      </c>
      <c r="Q222" s="52">
        <f>IF(P222="","",IF(J222&lt;&gt;"",J222,CuentaPred&amp;""))</f>
        <v/>
      </c>
      <c r="R222" s="52">
        <f>IF(P222="","",IF(ISNUMBER(I222),I222,TasaUSD))</f>
        <v/>
      </c>
      <c r="S222" s="53">
        <f>IF(P222="","",IF(H222="USD",G222*R222,G222))</f>
        <v/>
      </c>
      <c r="T222" s="53">
        <f>IF(P222="","",IF(H222="USD",G222,IF(R222&gt;0,G222/R222,0)))</f>
        <v/>
      </c>
      <c r="U222" s="53">
        <f>IF(P222="","",IF(P222="Gasto",S222,IF(P222="Reembolso",-S222,0)))</f>
        <v/>
      </c>
      <c r="V222" s="53">
        <f>IF(P222="","",IF(P222="Ingreso",S222,0))</f>
        <v/>
      </c>
      <c r="W222" s="53">
        <f>IF(P222="","",IF(P222="Resultado trading",S222,0))</f>
        <v/>
      </c>
      <c r="X222" s="52">
        <f>IF(OR(P222="Gasto",P222="Reembolso"),IF(M222&lt;&gt;"",M222,IFERROR(INDEX(catClasif,MATCH(D222&amp;"|"&amp;E222,catClave,0))&amp;"","Variable")),"")</f>
        <v/>
      </c>
      <c r="Y222" s="52">
        <f>IF(P222="","",IFERROR(INDEX(catGrupo,MATCH(D222&amp;"|"&amp;E222,catClave,0))&amp;"",""))</f>
        <v/>
      </c>
      <c r="Z222" s="52">
        <f>IF(P222="","",WEEKDAY(B222,2))</f>
        <v/>
      </c>
      <c r="AA222" s="52">
        <f>IF(P222="","",IF(AND(P222="Gasto",X222="Variable",D222&lt;&gt;catTrading,S222&gt;0,S222&lt;=Umbral),1,0))</f>
        <v/>
      </c>
      <c r="AB222" s="52">
        <f>IF(OR(P222="",Q222=""),"",IFERROR(IF(INDEX(ctaVinc,MATCH(Q222,ctaNombre,0))&amp;""&lt;&gt;"",INDEX(ctaVinc,MATCH(Q222,ctaNombre,0))&amp;"",Q222),Q222))</f>
        <v/>
      </c>
      <c r="AC222" s="52">
        <f>IF(OR(K222="",AND(P222&lt;&gt;"Transferencia",P222&lt;&gt;"Pago tarjeta")),"",IFERROR(IF(INDEX(ctaVinc,MATCH(K222,ctaNombre,0))&amp;""&lt;&gt;"",INDEX(ctaVinc,MATCH(K222,ctaNombre,0))&amp;"",K222),K222))</f>
        <v/>
      </c>
      <c r="AD222" s="52">
        <f>IF(AB222="","",IFERROR(INDEX(ctaTipo,MATCH(AB222,ctaNombre,0))&amp;"",""))</f>
        <v/>
      </c>
      <c r="AE222" s="52">
        <f>IF(AC222="","",IFERROR(INDEX(ctaTipo,MATCH(AC222,ctaNombre,0))&amp;"",""))</f>
        <v/>
      </c>
      <c r="AF222" s="53">
        <f>IF(OR(P222="",AB222=""),"",IF(OR(P222="Gasto",P222="Transferencia",P222="Pago tarjeta"),-1,1)*IF(IFERROR(INDEX(ctaMoneda,MATCH(AB222,ctaNombre,0))&amp;"","DOP")="USD",T222,S222))</f>
        <v/>
      </c>
      <c r="AG222" s="53">
        <f>IF(AC222="","",IF(IFERROR(INDEX(ctaMoneda,MATCH(AC222,ctaNombre,0))&amp;"","DOP")="USD",T222,S222))</f>
        <v/>
      </c>
      <c r="AH222" s="53">
        <f>IF(P222="","",IF(AND(AD222&lt;&gt;"",COUNTIFS(tcTipo,AD222,tcLiq,"Sí")&gt;0),IF(OR(P222="Gasto",P222="Transferencia",P222="Pago tarjeta"),-1,1)*S222,0)+IF(AND(AE222&lt;&gt;"",COUNTIFS(tcTipo,AE222,tcLiq,"Sí")&gt;0),S222,0))</f>
        <v/>
      </c>
      <c r="AI222" s="52">
        <f>IF(OR(L222="",P222=""),"",IF(COUNTIFS(L$6:L222,L222,P$6:P222,"?*")=1,MAX(AI$5:AI221)+1,""))</f>
        <v/>
      </c>
    </row>
    <row r="223">
      <c r="B223" s="47" t="n"/>
      <c r="C223" s="48" t="n"/>
      <c r="D223" s="48" t="n"/>
      <c r="E223" s="48" t="n"/>
      <c r="F223" s="48" t="n"/>
      <c r="G223" s="49" t="n"/>
      <c r="H223" s="48" t="n"/>
      <c r="I223" s="50" t="n"/>
      <c r="J223" s="48" t="n"/>
      <c r="K223" s="48" t="n"/>
      <c r="L223" s="48" t="n"/>
      <c r="M223" s="48" t="n"/>
      <c r="N223" s="48" t="n"/>
      <c r="O223" s="51">
        <f>IF(AND(B223="",G223="",C223="",D223="",J223=""),"",IF(B223="","⚠ Falta fecha",IF(G223="","⚠ Falta monto",IF(Q223="","⚠ Falta cuenta",IF(ISNA(MATCH(Q223,ctaNombre,0)),"⚠ Cuenta no registrada",IF(AND(OR(P223="Gasto",P223="Reembolso"),D223=""),"⚠ Falta categoría",IF(AND(D223&lt;&gt;"",E223&lt;&gt;"",ISNA(MATCH(D223&amp;"|"&amp;E223,catClave,0))),"⚠ Subcategoría no corresponde",IF(AND(OR(P223="Transferencia",P223="Pago tarjeta"),K223=""),"⚠ Falta cuenta destino",IF(AND(K223&lt;&gt;"",P223&lt;&gt;"Transferencia",P223&lt;&gt;"Pago tarjeta"),"⚠ Destino solo aplica a transferencias",IF(AND(K223&lt;&gt;"",K223=Q223),"⚠ Origen igual a destino",IF(AND(K223&lt;&gt;"",ISNA(MATCH(K223,ctaNombre,0))),"⚠ Destino no registrado",IF(AND(P223="Pago tarjeta",AE223&lt;&gt;"Tarjeta de crédito"),"⚠ El destino debe ser tarjeta de crédito",IF(AND(P223="Gasto",E223="Depósitos y retiros"),"⚠ Usa tipo Transferencia",IF(AND(P223="Resultado trading",AD223&lt;&gt;"Cuenta de trading"),"⚠ Usa una cuenta de trading",IF(AND(G223&lt;=0,P223&lt;&gt;"Ajuste",P223&lt;&gt;"Resultado trading"),"⚠ El monto debe ser positivo","✓")))))))))))))))</f>
        <v/>
      </c>
      <c r="P223" s="52">
        <f>IF(OR(B223="",G223=""),"",IF(C223="","Gasto",C223))</f>
        <v/>
      </c>
      <c r="Q223" s="52">
        <f>IF(P223="","",IF(J223&lt;&gt;"",J223,CuentaPred&amp;""))</f>
        <v/>
      </c>
      <c r="R223" s="52">
        <f>IF(P223="","",IF(ISNUMBER(I223),I223,TasaUSD))</f>
        <v/>
      </c>
      <c r="S223" s="53">
        <f>IF(P223="","",IF(H223="USD",G223*R223,G223))</f>
        <v/>
      </c>
      <c r="T223" s="53">
        <f>IF(P223="","",IF(H223="USD",G223,IF(R223&gt;0,G223/R223,0)))</f>
        <v/>
      </c>
      <c r="U223" s="53">
        <f>IF(P223="","",IF(P223="Gasto",S223,IF(P223="Reembolso",-S223,0)))</f>
        <v/>
      </c>
      <c r="V223" s="53">
        <f>IF(P223="","",IF(P223="Ingreso",S223,0))</f>
        <v/>
      </c>
      <c r="W223" s="53">
        <f>IF(P223="","",IF(P223="Resultado trading",S223,0))</f>
        <v/>
      </c>
      <c r="X223" s="52">
        <f>IF(OR(P223="Gasto",P223="Reembolso"),IF(M223&lt;&gt;"",M223,IFERROR(INDEX(catClasif,MATCH(D223&amp;"|"&amp;E223,catClave,0))&amp;"","Variable")),"")</f>
        <v/>
      </c>
      <c r="Y223" s="52">
        <f>IF(P223="","",IFERROR(INDEX(catGrupo,MATCH(D223&amp;"|"&amp;E223,catClave,0))&amp;"",""))</f>
        <v/>
      </c>
      <c r="Z223" s="52">
        <f>IF(P223="","",WEEKDAY(B223,2))</f>
        <v/>
      </c>
      <c r="AA223" s="52">
        <f>IF(P223="","",IF(AND(P223="Gasto",X223="Variable",D223&lt;&gt;catTrading,S223&gt;0,S223&lt;=Umbral),1,0))</f>
        <v/>
      </c>
      <c r="AB223" s="52">
        <f>IF(OR(P223="",Q223=""),"",IFERROR(IF(INDEX(ctaVinc,MATCH(Q223,ctaNombre,0))&amp;""&lt;&gt;"",INDEX(ctaVinc,MATCH(Q223,ctaNombre,0))&amp;"",Q223),Q223))</f>
        <v/>
      </c>
      <c r="AC223" s="52">
        <f>IF(OR(K223="",AND(P223&lt;&gt;"Transferencia",P223&lt;&gt;"Pago tarjeta")),"",IFERROR(IF(INDEX(ctaVinc,MATCH(K223,ctaNombre,0))&amp;""&lt;&gt;"",INDEX(ctaVinc,MATCH(K223,ctaNombre,0))&amp;"",K223),K223))</f>
        <v/>
      </c>
      <c r="AD223" s="52">
        <f>IF(AB223="","",IFERROR(INDEX(ctaTipo,MATCH(AB223,ctaNombre,0))&amp;"",""))</f>
        <v/>
      </c>
      <c r="AE223" s="52">
        <f>IF(AC223="","",IFERROR(INDEX(ctaTipo,MATCH(AC223,ctaNombre,0))&amp;"",""))</f>
        <v/>
      </c>
      <c r="AF223" s="53">
        <f>IF(OR(P223="",AB223=""),"",IF(OR(P223="Gasto",P223="Transferencia",P223="Pago tarjeta"),-1,1)*IF(IFERROR(INDEX(ctaMoneda,MATCH(AB223,ctaNombre,0))&amp;"","DOP")="USD",T223,S223))</f>
        <v/>
      </c>
      <c r="AG223" s="53">
        <f>IF(AC223="","",IF(IFERROR(INDEX(ctaMoneda,MATCH(AC223,ctaNombre,0))&amp;"","DOP")="USD",T223,S223))</f>
        <v/>
      </c>
      <c r="AH223" s="53">
        <f>IF(P223="","",IF(AND(AD223&lt;&gt;"",COUNTIFS(tcTipo,AD223,tcLiq,"Sí")&gt;0),IF(OR(P223="Gasto",P223="Transferencia",P223="Pago tarjeta"),-1,1)*S223,0)+IF(AND(AE223&lt;&gt;"",COUNTIFS(tcTipo,AE223,tcLiq,"Sí")&gt;0),S223,0))</f>
        <v/>
      </c>
      <c r="AI223" s="52">
        <f>IF(OR(L223="",P223=""),"",IF(COUNTIFS(L$6:L223,L223,P$6:P223,"?*")=1,MAX(AI$5:AI222)+1,""))</f>
        <v/>
      </c>
    </row>
    <row r="224">
      <c r="B224" s="47" t="n"/>
      <c r="C224" s="48" t="n"/>
      <c r="D224" s="48" t="n"/>
      <c r="E224" s="48" t="n"/>
      <c r="F224" s="48" t="n"/>
      <c r="G224" s="49" t="n"/>
      <c r="H224" s="48" t="n"/>
      <c r="I224" s="50" t="n"/>
      <c r="J224" s="48" t="n"/>
      <c r="K224" s="48" t="n"/>
      <c r="L224" s="48" t="n"/>
      <c r="M224" s="48" t="n"/>
      <c r="N224" s="48" t="n"/>
      <c r="O224" s="51">
        <f>IF(AND(B224="",G224="",C224="",D224="",J224=""),"",IF(B224="","⚠ Falta fecha",IF(G224="","⚠ Falta monto",IF(Q224="","⚠ Falta cuenta",IF(ISNA(MATCH(Q224,ctaNombre,0)),"⚠ Cuenta no registrada",IF(AND(OR(P224="Gasto",P224="Reembolso"),D224=""),"⚠ Falta categoría",IF(AND(D224&lt;&gt;"",E224&lt;&gt;"",ISNA(MATCH(D224&amp;"|"&amp;E224,catClave,0))),"⚠ Subcategoría no corresponde",IF(AND(OR(P224="Transferencia",P224="Pago tarjeta"),K224=""),"⚠ Falta cuenta destino",IF(AND(K224&lt;&gt;"",P224&lt;&gt;"Transferencia",P224&lt;&gt;"Pago tarjeta"),"⚠ Destino solo aplica a transferencias",IF(AND(K224&lt;&gt;"",K224=Q224),"⚠ Origen igual a destino",IF(AND(K224&lt;&gt;"",ISNA(MATCH(K224,ctaNombre,0))),"⚠ Destino no registrado",IF(AND(P224="Pago tarjeta",AE224&lt;&gt;"Tarjeta de crédito"),"⚠ El destino debe ser tarjeta de crédito",IF(AND(P224="Gasto",E224="Depósitos y retiros"),"⚠ Usa tipo Transferencia",IF(AND(P224="Resultado trading",AD224&lt;&gt;"Cuenta de trading"),"⚠ Usa una cuenta de trading",IF(AND(G224&lt;=0,P224&lt;&gt;"Ajuste",P224&lt;&gt;"Resultado trading"),"⚠ El monto debe ser positivo","✓")))))))))))))))</f>
        <v/>
      </c>
      <c r="P224" s="52">
        <f>IF(OR(B224="",G224=""),"",IF(C224="","Gasto",C224))</f>
        <v/>
      </c>
      <c r="Q224" s="52">
        <f>IF(P224="","",IF(J224&lt;&gt;"",J224,CuentaPred&amp;""))</f>
        <v/>
      </c>
      <c r="R224" s="52">
        <f>IF(P224="","",IF(ISNUMBER(I224),I224,TasaUSD))</f>
        <v/>
      </c>
      <c r="S224" s="53">
        <f>IF(P224="","",IF(H224="USD",G224*R224,G224))</f>
        <v/>
      </c>
      <c r="T224" s="53">
        <f>IF(P224="","",IF(H224="USD",G224,IF(R224&gt;0,G224/R224,0)))</f>
        <v/>
      </c>
      <c r="U224" s="53">
        <f>IF(P224="","",IF(P224="Gasto",S224,IF(P224="Reembolso",-S224,0)))</f>
        <v/>
      </c>
      <c r="V224" s="53">
        <f>IF(P224="","",IF(P224="Ingreso",S224,0))</f>
        <v/>
      </c>
      <c r="W224" s="53">
        <f>IF(P224="","",IF(P224="Resultado trading",S224,0))</f>
        <v/>
      </c>
      <c r="X224" s="52">
        <f>IF(OR(P224="Gasto",P224="Reembolso"),IF(M224&lt;&gt;"",M224,IFERROR(INDEX(catClasif,MATCH(D224&amp;"|"&amp;E224,catClave,0))&amp;"","Variable")),"")</f>
        <v/>
      </c>
      <c r="Y224" s="52">
        <f>IF(P224="","",IFERROR(INDEX(catGrupo,MATCH(D224&amp;"|"&amp;E224,catClave,0))&amp;"",""))</f>
        <v/>
      </c>
      <c r="Z224" s="52">
        <f>IF(P224="","",WEEKDAY(B224,2))</f>
        <v/>
      </c>
      <c r="AA224" s="52">
        <f>IF(P224="","",IF(AND(P224="Gasto",X224="Variable",D224&lt;&gt;catTrading,S224&gt;0,S224&lt;=Umbral),1,0))</f>
        <v/>
      </c>
      <c r="AB224" s="52">
        <f>IF(OR(P224="",Q224=""),"",IFERROR(IF(INDEX(ctaVinc,MATCH(Q224,ctaNombre,0))&amp;""&lt;&gt;"",INDEX(ctaVinc,MATCH(Q224,ctaNombre,0))&amp;"",Q224),Q224))</f>
        <v/>
      </c>
      <c r="AC224" s="52">
        <f>IF(OR(K224="",AND(P224&lt;&gt;"Transferencia",P224&lt;&gt;"Pago tarjeta")),"",IFERROR(IF(INDEX(ctaVinc,MATCH(K224,ctaNombre,0))&amp;""&lt;&gt;"",INDEX(ctaVinc,MATCH(K224,ctaNombre,0))&amp;"",K224),K224))</f>
        <v/>
      </c>
      <c r="AD224" s="52">
        <f>IF(AB224="","",IFERROR(INDEX(ctaTipo,MATCH(AB224,ctaNombre,0))&amp;"",""))</f>
        <v/>
      </c>
      <c r="AE224" s="52">
        <f>IF(AC224="","",IFERROR(INDEX(ctaTipo,MATCH(AC224,ctaNombre,0))&amp;"",""))</f>
        <v/>
      </c>
      <c r="AF224" s="53">
        <f>IF(OR(P224="",AB224=""),"",IF(OR(P224="Gasto",P224="Transferencia",P224="Pago tarjeta"),-1,1)*IF(IFERROR(INDEX(ctaMoneda,MATCH(AB224,ctaNombre,0))&amp;"","DOP")="USD",T224,S224))</f>
        <v/>
      </c>
      <c r="AG224" s="53">
        <f>IF(AC224="","",IF(IFERROR(INDEX(ctaMoneda,MATCH(AC224,ctaNombre,0))&amp;"","DOP")="USD",T224,S224))</f>
        <v/>
      </c>
      <c r="AH224" s="53">
        <f>IF(P224="","",IF(AND(AD224&lt;&gt;"",COUNTIFS(tcTipo,AD224,tcLiq,"Sí")&gt;0),IF(OR(P224="Gasto",P224="Transferencia",P224="Pago tarjeta"),-1,1)*S224,0)+IF(AND(AE224&lt;&gt;"",COUNTIFS(tcTipo,AE224,tcLiq,"Sí")&gt;0),S224,0))</f>
        <v/>
      </c>
      <c r="AI224" s="52">
        <f>IF(OR(L224="",P224=""),"",IF(COUNTIFS(L$6:L224,L224,P$6:P224,"?*")=1,MAX(AI$5:AI223)+1,""))</f>
        <v/>
      </c>
    </row>
    <row r="225">
      <c r="B225" s="47" t="n"/>
      <c r="C225" s="48" t="n"/>
      <c r="D225" s="48" t="n"/>
      <c r="E225" s="48" t="n"/>
      <c r="F225" s="48" t="n"/>
      <c r="G225" s="49" t="n"/>
      <c r="H225" s="48" t="n"/>
      <c r="I225" s="50" t="n"/>
      <c r="J225" s="48" t="n"/>
      <c r="K225" s="48" t="n"/>
      <c r="L225" s="48" t="n"/>
      <c r="M225" s="48" t="n"/>
      <c r="N225" s="48" t="n"/>
      <c r="O225" s="51">
        <f>IF(AND(B225="",G225="",C225="",D225="",J225=""),"",IF(B225="","⚠ Falta fecha",IF(G225="","⚠ Falta monto",IF(Q225="","⚠ Falta cuenta",IF(ISNA(MATCH(Q225,ctaNombre,0)),"⚠ Cuenta no registrada",IF(AND(OR(P225="Gasto",P225="Reembolso"),D225=""),"⚠ Falta categoría",IF(AND(D225&lt;&gt;"",E225&lt;&gt;"",ISNA(MATCH(D225&amp;"|"&amp;E225,catClave,0))),"⚠ Subcategoría no corresponde",IF(AND(OR(P225="Transferencia",P225="Pago tarjeta"),K225=""),"⚠ Falta cuenta destino",IF(AND(K225&lt;&gt;"",P225&lt;&gt;"Transferencia",P225&lt;&gt;"Pago tarjeta"),"⚠ Destino solo aplica a transferencias",IF(AND(K225&lt;&gt;"",K225=Q225),"⚠ Origen igual a destino",IF(AND(K225&lt;&gt;"",ISNA(MATCH(K225,ctaNombre,0))),"⚠ Destino no registrado",IF(AND(P225="Pago tarjeta",AE225&lt;&gt;"Tarjeta de crédito"),"⚠ El destino debe ser tarjeta de crédito",IF(AND(P225="Gasto",E225="Depósitos y retiros"),"⚠ Usa tipo Transferencia",IF(AND(P225="Resultado trading",AD225&lt;&gt;"Cuenta de trading"),"⚠ Usa una cuenta de trading",IF(AND(G225&lt;=0,P225&lt;&gt;"Ajuste",P225&lt;&gt;"Resultado trading"),"⚠ El monto debe ser positivo","✓")))))))))))))))</f>
        <v/>
      </c>
      <c r="P225" s="52">
        <f>IF(OR(B225="",G225=""),"",IF(C225="","Gasto",C225))</f>
        <v/>
      </c>
      <c r="Q225" s="52">
        <f>IF(P225="","",IF(J225&lt;&gt;"",J225,CuentaPred&amp;""))</f>
        <v/>
      </c>
      <c r="R225" s="52">
        <f>IF(P225="","",IF(ISNUMBER(I225),I225,TasaUSD))</f>
        <v/>
      </c>
      <c r="S225" s="53">
        <f>IF(P225="","",IF(H225="USD",G225*R225,G225))</f>
        <v/>
      </c>
      <c r="T225" s="53">
        <f>IF(P225="","",IF(H225="USD",G225,IF(R225&gt;0,G225/R225,0)))</f>
        <v/>
      </c>
      <c r="U225" s="53">
        <f>IF(P225="","",IF(P225="Gasto",S225,IF(P225="Reembolso",-S225,0)))</f>
        <v/>
      </c>
      <c r="V225" s="53">
        <f>IF(P225="","",IF(P225="Ingreso",S225,0))</f>
        <v/>
      </c>
      <c r="W225" s="53">
        <f>IF(P225="","",IF(P225="Resultado trading",S225,0))</f>
        <v/>
      </c>
      <c r="X225" s="52">
        <f>IF(OR(P225="Gasto",P225="Reembolso"),IF(M225&lt;&gt;"",M225,IFERROR(INDEX(catClasif,MATCH(D225&amp;"|"&amp;E225,catClave,0))&amp;"","Variable")),"")</f>
        <v/>
      </c>
      <c r="Y225" s="52">
        <f>IF(P225="","",IFERROR(INDEX(catGrupo,MATCH(D225&amp;"|"&amp;E225,catClave,0))&amp;"",""))</f>
        <v/>
      </c>
      <c r="Z225" s="52">
        <f>IF(P225="","",WEEKDAY(B225,2))</f>
        <v/>
      </c>
      <c r="AA225" s="52">
        <f>IF(P225="","",IF(AND(P225="Gasto",X225="Variable",D225&lt;&gt;catTrading,S225&gt;0,S225&lt;=Umbral),1,0))</f>
        <v/>
      </c>
      <c r="AB225" s="52">
        <f>IF(OR(P225="",Q225=""),"",IFERROR(IF(INDEX(ctaVinc,MATCH(Q225,ctaNombre,0))&amp;""&lt;&gt;"",INDEX(ctaVinc,MATCH(Q225,ctaNombre,0))&amp;"",Q225),Q225))</f>
        <v/>
      </c>
      <c r="AC225" s="52">
        <f>IF(OR(K225="",AND(P225&lt;&gt;"Transferencia",P225&lt;&gt;"Pago tarjeta")),"",IFERROR(IF(INDEX(ctaVinc,MATCH(K225,ctaNombre,0))&amp;""&lt;&gt;"",INDEX(ctaVinc,MATCH(K225,ctaNombre,0))&amp;"",K225),K225))</f>
        <v/>
      </c>
      <c r="AD225" s="52">
        <f>IF(AB225="","",IFERROR(INDEX(ctaTipo,MATCH(AB225,ctaNombre,0))&amp;"",""))</f>
        <v/>
      </c>
      <c r="AE225" s="52">
        <f>IF(AC225="","",IFERROR(INDEX(ctaTipo,MATCH(AC225,ctaNombre,0))&amp;"",""))</f>
        <v/>
      </c>
      <c r="AF225" s="53">
        <f>IF(OR(P225="",AB225=""),"",IF(OR(P225="Gasto",P225="Transferencia",P225="Pago tarjeta"),-1,1)*IF(IFERROR(INDEX(ctaMoneda,MATCH(AB225,ctaNombre,0))&amp;"","DOP")="USD",T225,S225))</f>
        <v/>
      </c>
      <c r="AG225" s="53">
        <f>IF(AC225="","",IF(IFERROR(INDEX(ctaMoneda,MATCH(AC225,ctaNombre,0))&amp;"","DOP")="USD",T225,S225))</f>
        <v/>
      </c>
      <c r="AH225" s="53">
        <f>IF(P225="","",IF(AND(AD225&lt;&gt;"",COUNTIFS(tcTipo,AD225,tcLiq,"Sí")&gt;0),IF(OR(P225="Gasto",P225="Transferencia",P225="Pago tarjeta"),-1,1)*S225,0)+IF(AND(AE225&lt;&gt;"",COUNTIFS(tcTipo,AE225,tcLiq,"Sí")&gt;0),S225,0))</f>
        <v/>
      </c>
      <c r="AI225" s="52">
        <f>IF(OR(L225="",P225=""),"",IF(COUNTIFS(L$6:L225,L225,P$6:P225,"?*")=1,MAX(AI$5:AI224)+1,""))</f>
        <v/>
      </c>
    </row>
    <row r="226">
      <c r="B226" s="47" t="n"/>
      <c r="C226" s="48" t="n"/>
      <c r="D226" s="48" t="n"/>
      <c r="E226" s="48" t="n"/>
      <c r="F226" s="48" t="n"/>
      <c r="G226" s="49" t="n"/>
      <c r="H226" s="48" t="n"/>
      <c r="I226" s="50" t="n"/>
      <c r="J226" s="48" t="n"/>
      <c r="K226" s="48" t="n"/>
      <c r="L226" s="48" t="n"/>
      <c r="M226" s="48" t="n"/>
      <c r="N226" s="48" t="n"/>
      <c r="O226" s="51">
        <f>IF(AND(B226="",G226="",C226="",D226="",J226=""),"",IF(B226="","⚠ Falta fecha",IF(G226="","⚠ Falta monto",IF(Q226="","⚠ Falta cuenta",IF(ISNA(MATCH(Q226,ctaNombre,0)),"⚠ Cuenta no registrada",IF(AND(OR(P226="Gasto",P226="Reembolso"),D226=""),"⚠ Falta categoría",IF(AND(D226&lt;&gt;"",E226&lt;&gt;"",ISNA(MATCH(D226&amp;"|"&amp;E226,catClave,0))),"⚠ Subcategoría no corresponde",IF(AND(OR(P226="Transferencia",P226="Pago tarjeta"),K226=""),"⚠ Falta cuenta destino",IF(AND(K226&lt;&gt;"",P226&lt;&gt;"Transferencia",P226&lt;&gt;"Pago tarjeta"),"⚠ Destino solo aplica a transferencias",IF(AND(K226&lt;&gt;"",K226=Q226),"⚠ Origen igual a destino",IF(AND(K226&lt;&gt;"",ISNA(MATCH(K226,ctaNombre,0))),"⚠ Destino no registrado",IF(AND(P226="Pago tarjeta",AE226&lt;&gt;"Tarjeta de crédito"),"⚠ El destino debe ser tarjeta de crédito",IF(AND(P226="Gasto",E226="Depósitos y retiros"),"⚠ Usa tipo Transferencia",IF(AND(P226="Resultado trading",AD226&lt;&gt;"Cuenta de trading"),"⚠ Usa una cuenta de trading",IF(AND(G226&lt;=0,P226&lt;&gt;"Ajuste",P226&lt;&gt;"Resultado trading"),"⚠ El monto debe ser positivo","✓")))))))))))))))</f>
        <v/>
      </c>
      <c r="P226" s="52">
        <f>IF(OR(B226="",G226=""),"",IF(C226="","Gasto",C226))</f>
        <v/>
      </c>
      <c r="Q226" s="52">
        <f>IF(P226="","",IF(J226&lt;&gt;"",J226,CuentaPred&amp;""))</f>
        <v/>
      </c>
      <c r="R226" s="52">
        <f>IF(P226="","",IF(ISNUMBER(I226),I226,TasaUSD))</f>
        <v/>
      </c>
      <c r="S226" s="53">
        <f>IF(P226="","",IF(H226="USD",G226*R226,G226))</f>
        <v/>
      </c>
      <c r="T226" s="53">
        <f>IF(P226="","",IF(H226="USD",G226,IF(R226&gt;0,G226/R226,0)))</f>
        <v/>
      </c>
      <c r="U226" s="53">
        <f>IF(P226="","",IF(P226="Gasto",S226,IF(P226="Reembolso",-S226,0)))</f>
        <v/>
      </c>
      <c r="V226" s="53">
        <f>IF(P226="","",IF(P226="Ingreso",S226,0))</f>
        <v/>
      </c>
      <c r="W226" s="53">
        <f>IF(P226="","",IF(P226="Resultado trading",S226,0))</f>
        <v/>
      </c>
      <c r="X226" s="52">
        <f>IF(OR(P226="Gasto",P226="Reembolso"),IF(M226&lt;&gt;"",M226,IFERROR(INDEX(catClasif,MATCH(D226&amp;"|"&amp;E226,catClave,0))&amp;"","Variable")),"")</f>
        <v/>
      </c>
      <c r="Y226" s="52">
        <f>IF(P226="","",IFERROR(INDEX(catGrupo,MATCH(D226&amp;"|"&amp;E226,catClave,0))&amp;"",""))</f>
        <v/>
      </c>
      <c r="Z226" s="52">
        <f>IF(P226="","",WEEKDAY(B226,2))</f>
        <v/>
      </c>
      <c r="AA226" s="52">
        <f>IF(P226="","",IF(AND(P226="Gasto",X226="Variable",D226&lt;&gt;catTrading,S226&gt;0,S226&lt;=Umbral),1,0))</f>
        <v/>
      </c>
      <c r="AB226" s="52">
        <f>IF(OR(P226="",Q226=""),"",IFERROR(IF(INDEX(ctaVinc,MATCH(Q226,ctaNombre,0))&amp;""&lt;&gt;"",INDEX(ctaVinc,MATCH(Q226,ctaNombre,0))&amp;"",Q226),Q226))</f>
        <v/>
      </c>
      <c r="AC226" s="52">
        <f>IF(OR(K226="",AND(P226&lt;&gt;"Transferencia",P226&lt;&gt;"Pago tarjeta")),"",IFERROR(IF(INDEX(ctaVinc,MATCH(K226,ctaNombre,0))&amp;""&lt;&gt;"",INDEX(ctaVinc,MATCH(K226,ctaNombre,0))&amp;"",K226),K226))</f>
        <v/>
      </c>
      <c r="AD226" s="52">
        <f>IF(AB226="","",IFERROR(INDEX(ctaTipo,MATCH(AB226,ctaNombre,0))&amp;"",""))</f>
        <v/>
      </c>
      <c r="AE226" s="52">
        <f>IF(AC226="","",IFERROR(INDEX(ctaTipo,MATCH(AC226,ctaNombre,0))&amp;"",""))</f>
        <v/>
      </c>
      <c r="AF226" s="53">
        <f>IF(OR(P226="",AB226=""),"",IF(OR(P226="Gasto",P226="Transferencia",P226="Pago tarjeta"),-1,1)*IF(IFERROR(INDEX(ctaMoneda,MATCH(AB226,ctaNombre,0))&amp;"","DOP")="USD",T226,S226))</f>
        <v/>
      </c>
      <c r="AG226" s="53">
        <f>IF(AC226="","",IF(IFERROR(INDEX(ctaMoneda,MATCH(AC226,ctaNombre,0))&amp;"","DOP")="USD",T226,S226))</f>
        <v/>
      </c>
      <c r="AH226" s="53">
        <f>IF(P226="","",IF(AND(AD226&lt;&gt;"",COUNTIFS(tcTipo,AD226,tcLiq,"Sí")&gt;0),IF(OR(P226="Gasto",P226="Transferencia",P226="Pago tarjeta"),-1,1)*S226,0)+IF(AND(AE226&lt;&gt;"",COUNTIFS(tcTipo,AE226,tcLiq,"Sí")&gt;0),S226,0))</f>
        <v/>
      </c>
      <c r="AI226" s="52">
        <f>IF(OR(L226="",P226=""),"",IF(COUNTIFS(L$6:L226,L226,P$6:P226,"?*")=1,MAX(AI$5:AI225)+1,""))</f>
        <v/>
      </c>
    </row>
    <row r="227">
      <c r="B227" s="47" t="n"/>
      <c r="C227" s="48" t="n"/>
      <c r="D227" s="48" t="n"/>
      <c r="E227" s="48" t="n"/>
      <c r="F227" s="48" t="n"/>
      <c r="G227" s="49" t="n"/>
      <c r="H227" s="48" t="n"/>
      <c r="I227" s="50" t="n"/>
      <c r="J227" s="48" t="n"/>
      <c r="K227" s="48" t="n"/>
      <c r="L227" s="48" t="n"/>
      <c r="M227" s="48" t="n"/>
      <c r="N227" s="48" t="n"/>
      <c r="O227" s="51">
        <f>IF(AND(B227="",G227="",C227="",D227="",J227=""),"",IF(B227="","⚠ Falta fecha",IF(G227="","⚠ Falta monto",IF(Q227="","⚠ Falta cuenta",IF(ISNA(MATCH(Q227,ctaNombre,0)),"⚠ Cuenta no registrada",IF(AND(OR(P227="Gasto",P227="Reembolso"),D227=""),"⚠ Falta categoría",IF(AND(D227&lt;&gt;"",E227&lt;&gt;"",ISNA(MATCH(D227&amp;"|"&amp;E227,catClave,0))),"⚠ Subcategoría no corresponde",IF(AND(OR(P227="Transferencia",P227="Pago tarjeta"),K227=""),"⚠ Falta cuenta destino",IF(AND(K227&lt;&gt;"",P227&lt;&gt;"Transferencia",P227&lt;&gt;"Pago tarjeta"),"⚠ Destino solo aplica a transferencias",IF(AND(K227&lt;&gt;"",K227=Q227),"⚠ Origen igual a destino",IF(AND(K227&lt;&gt;"",ISNA(MATCH(K227,ctaNombre,0))),"⚠ Destino no registrado",IF(AND(P227="Pago tarjeta",AE227&lt;&gt;"Tarjeta de crédito"),"⚠ El destino debe ser tarjeta de crédito",IF(AND(P227="Gasto",E227="Depósitos y retiros"),"⚠ Usa tipo Transferencia",IF(AND(P227="Resultado trading",AD227&lt;&gt;"Cuenta de trading"),"⚠ Usa una cuenta de trading",IF(AND(G227&lt;=0,P227&lt;&gt;"Ajuste",P227&lt;&gt;"Resultado trading"),"⚠ El monto debe ser positivo","✓")))))))))))))))</f>
        <v/>
      </c>
      <c r="P227" s="52">
        <f>IF(OR(B227="",G227=""),"",IF(C227="","Gasto",C227))</f>
        <v/>
      </c>
      <c r="Q227" s="52">
        <f>IF(P227="","",IF(J227&lt;&gt;"",J227,CuentaPred&amp;""))</f>
        <v/>
      </c>
      <c r="R227" s="52">
        <f>IF(P227="","",IF(ISNUMBER(I227),I227,TasaUSD))</f>
        <v/>
      </c>
      <c r="S227" s="53">
        <f>IF(P227="","",IF(H227="USD",G227*R227,G227))</f>
        <v/>
      </c>
      <c r="T227" s="53">
        <f>IF(P227="","",IF(H227="USD",G227,IF(R227&gt;0,G227/R227,0)))</f>
        <v/>
      </c>
      <c r="U227" s="53">
        <f>IF(P227="","",IF(P227="Gasto",S227,IF(P227="Reembolso",-S227,0)))</f>
        <v/>
      </c>
      <c r="V227" s="53">
        <f>IF(P227="","",IF(P227="Ingreso",S227,0))</f>
        <v/>
      </c>
      <c r="W227" s="53">
        <f>IF(P227="","",IF(P227="Resultado trading",S227,0))</f>
        <v/>
      </c>
      <c r="X227" s="52">
        <f>IF(OR(P227="Gasto",P227="Reembolso"),IF(M227&lt;&gt;"",M227,IFERROR(INDEX(catClasif,MATCH(D227&amp;"|"&amp;E227,catClave,0))&amp;"","Variable")),"")</f>
        <v/>
      </c>
      <c r="Y227" s="52">
        <f>IF(P227="","",IFERROR(INDEX(catGrupo,MATCH(D227&amp;"|"&amp;E227,catClave,0))&amp;"",""))</f>
        <v/>
      </c>
      <c r="Z227" s="52">
        <f>IF(P227="","",WEEKDAY(B227,2))</f>
        <v/>
      </c>
      <c r="AA227" s="52">
        <f>IF(P227="","",IF(AND(P227="Gasto",X227="Variable",D227&lt;&gt;catTrading,S227&gt;0,S227&lt;=Umbral),1,0))</f>
        <v/>
      </c>
      <c r="AB227" s="52">
        <f>IF(OR(P227="",Q227=""),"",IFERROR(IF(INDEX(ctaVinc,MATCH(Q227,ctaNombre,0))&amp;""&lt;&gt;"",INDEX(ctaVinc,MATCH(Q227,ctaNombre,0))&amp;"",Q227),Q227))</f>
        <v/>
      </c>
      <c r="AC227" s="52">
        <f>IF(OR(K227="",AND(P227&lt;&gt;"Transferencia",P227&lt;&gt;"Pago tarjeta")),"",IFERROR(IF(INDEX(ctaVinc,MATCH(K227,ctaNombre,0))&amp;""&lt;&gt;"",INDEX(ctaVinc,MATCH(K227,ctaNombre,0))&amp;"",K227),K227))</f>
        <v/>
      </c>
      <c r="AD227" s="52">
        <f>IF(AB227="","",IFERROR(INDEX(ctaTipo,MATCH(AB227,ctaNombre,0))&amp;"",""))</f>
        <v/>
      </c>
      <c r="AE227" s="52">
        <f>IF(AC227="","",IFERROR(INDEX(ctaTipo,MATCH(AC227,ctaNombre,0))&amp;"",""))</f>
        <v/>
      </c>
      <c r="AF227" s="53">
        <f>IF(OR(P227="",AB227=""),"",IF(OR(P227="Gasto",P227="Transferencia",P227="Pago tarjeta"),-1,1)*IF(IFERROR(INDEX(ctaMoneda,MATCH(AB227,ctaNombre,0))&amp;"","DOP")="USD",T227,S227))</f>
        <v/>
      </c>
      <c r="AG227" s="53">
        <f>IF(AC227="","",IF(IFERROR(INDEX(ctaMoneda,MATCH(AC227,ctaNombre,0))&amp;"","DOP")="USD",T227,S227))</f>
        <v/>
      </c>
      <c r="AH227" s="53">
        <f>IF(P227="","",IF(AND(AD227&lt;&gt;"",COUNTIFS(tcTipo,AD227,tcLiq,"Sí")&gt;0),IF(OR(P227="Gasto",P227="Transferencia",P227="Pago tarjeta"),-1,1)*S227,0)+IF(AND(AE227&lt;&gt;"",COUNTIFS(tcTipo,AE227,tcLiq,"Sí")&gt;0),S227,0))</f>
        <v/>
      </c>
      <c r="AI227" s="52">
        <f>IF(OR(L227="",P227=""),"",IF(COUNTIFS(L$6:L227,L227,P$6:P227,"?*")=1,MAX(AI$5:AI226)+1,""))</f>
        <v/>
      </c>
    </row>
    <row r="228">
      <c r="B228" s="47" t="n"/>
      <c r="C228" s="48" t="n"/>
      <c r="D228" s="48" t="n"/>
      <c r="E228" s="48" t="n"/>
      <c r="F228" s="48" t="n"/>
      <c r="G228" s="49" t="n"/>
      <c r="H228" s="48" t="n"/>
      <c r="I228" s="50" t="n"/>
      <c r="J228" s="48" t="n"/>
      <c r="K228" s="48" t="n"/>
      <c r="L228" s="48" t="n"/>
      <c r="M228" s="48" t="n"/>
      <c r="N228" s="48" t="n"/>
      <c r="O228" s="51">
        <f>IF(AND(B228="",G228="",C228="",D228="",J228=""),"",IF(B228="","⚠ Falta fecha",IF(G228="","⚠ Falta monto",IF(Q228="","⚠ Falta cuenta",IF(ISNA(MATCH(Q228,ctaNombre,0)),"⚠ Cuenta no registrada",IF(AND(OR(P228="Gasto",P228="Reembolso"),D228=""),"⚠ Falta categoría",IF(AND(D228&lt;&gt;"",E228&lt;&gt;"",ISNA(MATCH(D228&amp;"|"&amp;E228,catClave,0))),"⚠ Subcategoría no corresponde",IF(AND(OR(P228="Transferencia",P228="Pago tarjeta"),K228=""),"⚠ Falta cuenta destino",IF(AND(K228&lt;&gt;"",P228&lt;&gt;"Transferencia",P228&lt;&gt;"Pago tarjeta"),"⚠ Destino solo aplica a transferencias",IF(AND(K228&lt;&gt;"",K228=Q228),"⚠ Origen igual a destino",IF(AND(K228&lt;&gt;"",ISNA(MATCH(K228,ctaNombre,0))),"⚠ Destino no registrado",IF(AND(P228="Pago tarjeta",AE228&lt;&gt;"Tarjeta de crédito"),"⚠ El destino debe ser tarjeta de crédito",IF(AND(P228="Gasto",E228="Depósitos y retiros"),"⚠ Usa tipo Transferencia",IF(AND(P228="Resultado trading",AD228&lt;&gt;"Cuenta de trading"),"⚠ Usa una cuenta de trading",IF(AND(G228&lt;=0,P228&lt;&gt;"Ajuste",P228&lt;&gt;"Resultado trading"),"⚠ El monto debe ser positivo","✓")))))))))))))))</f>
        <v/>
      </c>
      <c r="P228" s="52">
        <f>IF(OR(B228="",G228=""),"",IF(C228="","Gasto",C228))</f>
        <v/>
      </c>
      <c r="Q228" s="52">
        <f>IF(P228="","",IF(J228&lt;&gt;"",J228,CuentaPred&amp;""))</f>
        <v/>
      </c>
      <c r="R228" s="52">
        <f>IF(P228="","",IF(ISNUMBER(I228),I228,TasaUSD))</f>
        <v/>
      </c>
      <c r="S228" s="53">
        <f>IF(P228="","",IF(H228="USD",G228*R228,G228))</f>
        <v/>
      </c>
      <c r="T228" s="53">
        <f>IF(P228="","",IF(H228="USD",G228,IF(R228&gt;0,G228/R228,0)))</f>
        <v/>
      </c>
      <c r="U228" s="53">
        <f>IF(P228="","",IF(P228="Gasto",S228,IF(P228="Reembolso",-S228,0)))</f>
        <v/>
      </c>
      <c r="V228" s="53">
        <f>IF(P228="","",IF(P228="Ingreso",S228,0))</f>
        <v/>
      </c>
      <c r="W228" s="53">
        <f>IF(P228="","",IF(P228="Resultado trading",S228,0))</f>
        <v/>
      </c>
      <c r="X228" s="52">
        <f>IF(OR(P228="Gasto",P228="Reembolso"),IF(M228&lt;&gt;"",M228,IFERROR(INDEX(catClasif,MATCH(D228&amp;"|"&amp;E228,catClave,0))&amp;"","Variable")),"")</f>
        <v/>
      </c>
      <c r="Y228" s="52">
        <f>IF(P228="","",IFERROR(INDEX(catGrupo,MATCH(D228&amp;"|"&amp;E228,catClave,0))&amp;"",""))</f>
        <v/>
      </c>
      <c r="Z228" s="52">
        <f>IF(P228="","",WEEKDAY(B228,2))</f>
        <v/>
      </c>
      <c r="AA228" s="52">
        <f>IF(P228="","",IF(AND(P228="Gasto",X228="Variable",D228&lt;&gt;catTrading,S228&gt;0,S228&lt;=Umbral),1,0))</f>
        <v/>
      </c>
      <c r="AB228" s="52">
        <f>IF(OR(P228="",Q228=""),"",IFERROR(IF(INDEX(ctaVinc,MATCH(Q228,ctaNombre,0))&amp;""&lt;&gt;"",INDEX(ctaVinc,MATCH(Q228,ctaNombre,0))&amp;"",Q228),Q228))</f>
        <v/>
      </c>
      <c r="AC228" s="52">
        <f>IF(OR(K228="",AND(P228&lt;&gt;"Transferencia",P228&lt;&gt;"Pago tarjeta")),"",IFERROR(IF(INDEX(ctaVinc,MATCH(K228,ctaNombre,0))&amp;""&lt;&gt;"",INDEX(ctaVinc,MATCH(K228,ctaNombre,0))&amp;"",K228),K228))</f>
        <v/>
      </c>
      <c r="AD228" s="52">
        <f>IF(AB228="","",IFERROR(INDEX(ctaTipo,MATCH(AB228,ctaNombre,0))&amp;"",""))</f>
        <v/>
      </c>
      <c r="AE228" s="52">
        <f>IF(AC228="","",IFERROR(INDEX(ctaTipo,MATCH(AC228,ctaNombre,0))&amp;"",""))</f>
        <v/>
      </c>
      <c r="AF228" s="53">
        <f>IF(OR(P228="",AB228=""),"",IF(OR(P228="Gasto",P228="Transferencia",P228="Pago tarjeta"),-1,1)*IF(IFERROR(INDEX(ctaMoneda,MATCH(AB228,ctaNombre,0))&amp;"","DOP")="USD",T228,S228))</f>
        <v/>
      </c>
      <c r="AG228" s="53">
        <f>IF(AC228="","",IF(IFERROR(INDEX(ctaMoneda,MATCH(AC228,ctaNombre,0))&amp;"","DOP")="USD",T228,S228))</f>
        <v/>
      </c>
      <c r="AH228" s="53">
        <f>IF(P228="","",IF(AND(AD228&lt;&gt;"",COUNTIFS(tcTipo,AD228,tcLiq,"Sí")&gt;0),IF(OR(P228="Gasto",P228="Transferencia",P228="Pago tarjeta"),-1,1)*S228,0)+IF(AND(AE228&lt;&gt;"",COUNTIFS(tcTipo,AE228,tcLiq,"Sí")&gt;0),S228,0))</f>
        <v/>
      </c>
      <c r="AI228" s="52">
        <f>IF(OR(L228="",P228=""),"",IF(COUNTIFS(L$6:L228,L228,P$6:P228,"?*")=1,MAX(AI$5:AI227)+1,""))</f>
        <v/>
      </c>
    </row>
    <row r="229">
      <c r="B229" s="47" t="n"/>
      <c r="C229" s="48" t="n"/>
      <c r="D229" s="48" t="n"/>
      <c r="E229" s="48" t="n"/>
      <c r="F229" s="48" t="n"/>
      <c r="G229" s="49" t="n"/>
      <c r="H229" s="48" t="n"/>
      <c r="I229" s="50" t="n"/>
      <c r="J229" s="48" t="n"/>
      <c r="K229" s="48" t="n"/>
      <c r="L229" s="48" t="n"/>
      <c r="M229" s="48" t="n"/>
      <c r="N229" s="48" t="n"/>
      <c r="O229" s="51">
        <f>IF(AND(B229="",G229="",C229="",D229="",J229=""),"",IF(B229="","⚠ Falta fecha",IF(G229="","⚠ Falta monto",IF(Q229="","⚠ Falta cuenta",IF(ISNA(MATCH(Q229,ctaNombre,0)),"⚠ Cuenta no registrada",IF(AND(OR(P229="Gasto",P229="Reembolso"),D229=""),"⚠ Falta categoría",IF(AND(D229&lt;&gt;"",E229&lt;&gt;"",ISNA(MATCH(D229&amp;"|"&amp;E229,catClave,0))),"⚠ Subcategoría no corresponde",IF(AND(OR(P229="Transferencia",P229="Pago tarjeta"),K229=""),"⚠ Falta cuenta destino",IF(AND(K229&lt;&gt;"",P229&lt;&gt;"Transferencia",P229&lt;&gt;"Pago tarjeta"),"⚠ Destino solo aplica a transferencias",IF(AND(K229&lt;&gt;"",K229=Q229),"⚠ Origen igual a destino",IF(AND(K229&lt;&gt;"",ISNA(MATCH(K229,ctaNombre,0))),"⚠ Destino no registrado",IF(AND(P229="Pago tarjeta",AE229&lt;&gt;"Tarjeta de crédito"),"⚠ El destino debe ser tarjeta de crédito",IF(AND(P229="Gasto",E229="Depósitos y retiros"),"⚠ Usa tipo Transferencia",IF(AND(P229="Resultado trading",AD229&lt;&gt;"Cuenta de trading"),"⚠ Usa una cuenta de trading",IF(AND(G229&lt;=0,P229&lt;&gt;"Ajuste",P229&lt;&gt;"Resultado trading"),"⚠ El monto debe ser positivo","✓")))))))))))))))</f>
        <v/>
      </c>
      <c r="P229" s="52">
        <f>IF(OR(B229="",G229=""),"",IF(C229="","Gasto",C229))</f>
        <v/>
      </c>
      <c r="Q229" s="52">
        <f>IF(P229="","",IF(J229&lt;&gt;"",J229,CuentaPred&amp;""))</f>
        <v/>
      </c>
      <c r="R229" s="52">
        <f>IF(P229="","",IF(ISNUMBER(I229),I229,TasaUSD))</f>
        <v/>
      </c>
      <c r="S229" s="53">
        <f>IF(P229="","",IF(H229="USD",G229*R229,G229))</f>
        <v/>
      </c>
      <c r="T229" s="53">
        <f>IF(P229="","",IF(H229="USD",G229,IF(R229&gt;0,G229/R229,0)))</f>
        <v/>
      </c>
      <c r="U229" s="53">
        <f>IF(P229="","",IF(P229="Gasto",S229,IF(P229="Reembolso",-S229,0)))</f>
        <v/>
      </c>
      <c r="V229" s="53">
        <f>IF(P229="","",IF(P229="Ingreso",S229,0))</f>
        <v/>
      </c>
      <c r="W229" s="53">
        <f>IF(P229="","",IF(P229="Resultado trading",S229,0))</f>
        <v/>
      </c>
      <c r="X229" s="52">
        <f>IF(OR(P229="Gasto",P229="Reembolso"),IF(M229&lt;&gt;"",M229,IFERROR(INDEX(catClasif,MATCH(D229&amp;"|"&amp;E229,catClave,0))&amp;"","Variable")),"")</f>
        <v/>
      </c>
      <c r="Y229" s="52">
        <f>IF(P229="","",IFERROR(INDEX(catGrupo,MATCH(D229&amp;"|"&amp;E229,catClave,0))&amp;"",""))</f>
        <v/>
      </c>
      <c r="Z229" s="52">
        <f>IF(P229="","",WEEKDAY(B229,2))</f>
        <v/>
      </c>
      <c r="AA229" s="52">
        <f>IF(P229="","",IF(AND(P229="Gasto",X229="Variable",D229&lt;&gt;catTrading,S229&gt;0,S229&lt;=Umbral),1,0))</f>
        <v/>
      </c>
      <c r="AB229" s="52">
        <f>IF(OR(P229="",Q229=""),"",IFERROR(IF(INDEX(ctaVinc,MATCH(Q229,ctaNombre,0))&amp;""&lt;&gt;"",INDEX(ctaVinc,MATCH(Q229,ctaNombre,0))&amp;"",Q229),Q229))</f>
        <v/>
      </c>
      <c r="AC229" s="52">
        <f>IF(OR(K229="",AND(P229&lt;&gt;"Transferencia",P229&lt;&gt;"Pago tarjeta")),"",IFERROR(IF(INDEX(ctaVinc,MATCH(K229,ctaNombre,0))&amp;""&lt;&gt;"",INDEX(ctaVinc,MATCH(K229,ctaNombre,0))&amp;"",K229),K229))</f>
        <v/>
      </c>
      <c r="AD229" s="52">
        <f>IF(AB229="","",IFERROR(INDEX(ctaTipo,MATCH(AB229,ctaNombre,0))&amp;"",""))</f>
        <v/>
      </c>
      <c r="AE229" s="52">
        <f>IF(AC229="","",IFERROR(INDEX(ctaTipo,MATCH(AC229,ctaNombre,0))&amp;"",""))</f>
        <v/>
      </c>
      <c r="AF229" s="53">
        <f>IF(OR(P229="",AB229=""),"",IF(OR(P229="Gasto",P229="Transferencia",P229="Pago tarjeta"),-1,1)*IF(IFERROR(INDEX(ctaMoneda,MATCH(AB229,ctaNombre,0))&amp;"","DOP")="USD",T229,S229))</f>
        <v/>
      </c>
      <c r="AG229" s="53">
        <f>IF(AC229="","",IF(IFERROR(INDEX(ctaMoneda,MATCH(AC229,ctaNombre,0))&amp;"","DOP")="USD",T229,S229))</f>
        <v/>
      </c>
      <c r="AH229" s="53">
        <f>IF(P229="","",IF(AND(AD229&lt;&gt;"",COUNTIFS(tcTipo,AD229,tcLiq,"Sí")&gt;0),IF(OR(P229="Gasto",P229="Transferencia",P229="Pago tarjeta"),-1,1)*S229,0)+IF(AND(AE229&lt;&gt;"",COUNTIFS(tcTipo,AE229,tcLiq,"Sí")&gt;0),S229,0))</f>
        <v/>
      </c>
      <c r="AI229" s="52">
        <f>IF(OR(L229="",P229=""),"",IF(COUNTIFS(L$6:L229,L229,P$6:P229,"?*")=1,MAX(AI$5:AI228)+1,""))</f>
        <v/>
      </c>
    </row>
    <row r="230">
      <c r="B230" s="47" t="n"/>
      <c r="C230" s="48" t="n"/>
      <c r="D230" s="48" t="n"/>
      <c r="E230" s="48" t="n"/>
      <c r="F230" s="48" t="n"/>
      <c r="G230" s="49" t="n"/>
      <c r="H230" s="48" t="n"/>
      <c r="I230" s="50" t="n"/>
      <c r="J230" s="48" t="n"/>
      <c r="K230" s="48" t="n"/>
      <c r="L230" s="48" t="n"/>
      <c r="M230" s="48" t="n"/>
      <c r="N230" s="48" t="n"/>
      <c r="O230" s="51">
        <f>IF(AND(B230="",G230="",C230="",D230="",J230=""),"",IF(B230="","⚠ Falta fecha",IF(G230="","⚠ Falta monto",IF(Q230="","⚠ Falta cuenta",IF(ISNA(MATCH(Q230,ctaNombre,0)),"⚠ Cuenta no registrada",IF(AND(OR(P230="Gasto",P230="Reembolso"),D230=""),"⚠ Falta categoría",IF(AND(D230&lt;&gt;"",E230&lt;&gt;"",ISNA(MATCH(D230&amp;"|"&amp;E230,catClave,0))),"⚠ Subcategoría no corresponde",IF(AND(OR(P230="Transferencia",P230="Pago tarjeta"),K230=""),"⚠ Falta cuenta destino",IF(AND(K230&lt;&gt;"",P230&lt;&gt;"Transferencia",P230&lt;&gt;"Pago tarjeta"),"⚠ Destino solo aplica a transferencias",IF(AND(K230&lt;&gt;"",K230=Q230),"⚠ Origen igual a destino",IF(AND(K230&lt;&gt;"",ISNA(MATCH(K230,ctaNombre,0))),"⚠ Destino no registrado",IF(AND(P230="Pago tarjeta",AE230&lt;&gt;"Tarjeta de crédito"),"⚠ El destino debe ser tarjeta de crédito",IF(AND(P230="Gasto",E230="Depósitos y retiros"),"⚠ Usa tipo Transferencia",IF(AND(P230="Resultado trading",AD230&lt;&gt;"Cuenta de trading"),"⚠ Usa una cuenta de trading",IF(AND(G230&lt;=0,P230&lt;&gt;"Ajuste",P230&lt;&gt;"Resultado trading"),"⚠ El monto debe ser positivo","✓")))))))))))))))</f>
        <v/>
      </c>
      <c r="P230" s="52">
        <f>IF(OR(B230="",G230=""),"",IF(C230="","Gasto",C230))</f>
        <v/>
      </c>
      <c r="Q230" s="52">
        <f>IF(P230="","",IF(J230&lt;&gt;"",J230,CuentaPred&amp;""))</f>
        <v/>
      </c>
      <c r="R230" s="52">
        <f>IF(P230="","",IF(ISNUMBER(I230),I230,TasaUSD))</f>
        <v/>
      </c>
      <c r="S230" s="53">
        <f>IF(P230="","",IF(H230="USD",G230*R230,G230))</f>
        <v/>
      </c>
      <c r="T230" s="53">
        <f>IF(P230="","",IF(H230="USD",G230,IF(R230&gt;0,G230/R230,0)))</f>
        <v/>
      </c>
      <c r="U230" s="53">
        <f>IF(P230="","",IF(P230="Gasto",S230,IF(P230="Reembolso",-S230,0)))</f>
        <v/>
      </c>
      <c r="V230" s="53">
        <f>IF(P230="","",IF(P230="Ingreso",S230,0))</f>
        <v/>
      </c>
      <c r="W230" s="53">
        <f>IF(P230="","",IF(P230="Resultado trading",S230,0))</f>
        <v/>
      </c>
      <c r="X230" s="52">
        <f>IF(OR(P230="Gasto",P230="Reembolso"),IF(M230&lt;&gt;"",M230,IFERROR(INDEX(catClasif,MATCH(D230&amp;"|"&amp;E230,catClave,0))&amp;"","Variable")),"")</f>
        <v/>
      </c>
      <c r="Y230" s="52">
        <f>IF(P230="","",IFERROR(INDEX(catGrupo,MATCH(D230&amp;"|"&amp;E230,catClave,0))&amp;"",""))</f>
        <v/>
      </c>
      <c r="Z230" s="52">
        <f>IF(P230="","",WEEKDAY(B230,2))</f>
        <v/>
      </c>
      <c r="AA230" s="52">
        <f>IF(P230="","",IF(AND(P230="Gasto",X230="Variable",D230&lt;&gt;catTrading,S230&gt;0,S230&lt;=Umbral),1,0))</f>
        <v/>
      </c>
      <c r="AB230" s="52">
        <f>IF(OR(P230="",Q230=""),"",IFERROR(IF(INDEX(ctaVinc,MATCH(Q230,ctaNombre,0))&amp;""&lt;&gt;"",INDEX(ctaVinc,MATCH(Q230,ctaNombre,0))&amp;"",Q230),Q230))</f>
        <v/>
      </c>
      <c r="AC230" s="52">
        <f>IF(OR(K230="",AND(P230&lt;&gt;"Transferencia",P230&lt;&gt;"Pago tarjeta")),"",IFERROR(IF(INDEX(ctaVinc,MATCH(K230,ctaNombre,0))&amp;""&lt;&gt;"",INDEX(ctaVinc,MATCH(K230,ctaNombre,0))&amp;"",K230),K230))</f>
        <v/>
      </c>
      <c r="AD230" s="52">
        <f>IF(AB230="","",IFERROR(INDEX(ctaTipo,MATCH(AB230,ctaNombre,0))&amp;"",""))</f>
        <v/>
      </c>
      <c r="AE230" s="52">
        <f>IF(AC230="","",IFERROR(INDEX(ctaTipo,MATCH(AC230,ctaNombre,0))&amp;"",""))</f>
        <v/>
      </c>
      <c r="AF230" s="53">
        <f>IF(OR(P230="",AB230=""),"",IF(OR(P230="Gasto",P230="Transferencia",P230="Pago tarjeta"),-1,1)*IF(IFERROR(INDEX(ctaMoneda,MATCH(AB230,ctaNombre,0))&amp;"","DOP")="USD",T230,S230))</f>
        <v/>
      </c>
      <c r="AG230" s="53">
        <f>IF(AC230="","",IF(IFERROR(INDEX(ctaMoneda,MATCH(AC230,ctaNombre,0))&amp;"","DOP")="USD",T230,S230))</f>
        <v/>
      </c>
      <c r="AH230" s="53">
        <f>IF(P230="","",IF(AND(AD230&lt;&gt;"",COUNTIFS(tcTipo,AD230,tcLiq,"Sí")&gt;0),IF(OR(P230="Gasto",P230="Transferencia",P230="Pago tarjeta"),-1,1)*S230,0)+IF(AND(AE230&lt;&gt;"",COUNTIFS(tcTipo,AE230,tcLiq,"Sí")&gt;0),S230,0))</f>
        <v/>
      </c>
      <c r="AI230" s="52">
        <f>IF(OR(L230="",P230=""),"",IF(COUNTIFS(L$6:L230,L230,P$6:P230,"?*")=1,MAX(AI$5:AI229)+1,""))</f>
        <v/>
      </c>
    </row>
    <row r="231">
      <c r="B231" s="47" t="n"/>
      <c r="C231" s="48" t="n"/>
      <c r="D231" s="48" t="n"/>
      <c r="E231" s="48" t="n"/>
      <c r="F231" s="48" t="n"/>
      <c r="G231" s="49" t="n"/>
      <c r="H231" s="48" t="n"/>
      <c r="I231" s="50" t="n"/>
      <c r="J231" s="48" t="n"/>
      <c r="K231" s="48" t="n"/>
      <c r="L231" s="48" t="n"/>
      <c r="M231" s="48" t="n"/>
      <c r="N231" s="48" t="n"/>
      <c r="O231" s="51">
        <f>IF(AND(B231="",G231="",C231="",D231="",J231=""),"",IF(B231="","⚠ Falta fecha",IF(G231="","⚠ Falta monto",IF(Q231="","⚠ Falta cuenta",IF(ISNA(MATCH(Q231,ctaNombre,0)),"⚠ Cuenta no registrada",IF(AND(OR(P231="Gasto",P231="Reembolso"),D231=""),"⚠ Falta categoría",IF(AND(D231&lt;&gt;"",E231&lt;&gt;"",ISNA(MATCH(D231&amp;"|"&amp;E231,catClave,0))),"⚠ Subcategoría no corresponde",IF(AND(OR(P231="Transferencia",P231="Pago tarjeta"),K231=""),"⚠ Falta cuenta destino",IF(AND(K231&lt;&gt;"",P231&lt;&gt;"Transferencia",P231&lt;&gt;"Pago tarjeta"),"⚠ Destino solo aplica a transferencias",IF(AND(K231&lt;&gt;"",K231=Q231),"⚠ Origen igual a destino",IF(AND(K231&lt;&gt;"",ISNA(MATCH(K231,ctaNombre,0))),"⚠ Destino no registrado",IF(AND(P231="Pago tarjeta",AE231&lt;&gt;"Tarjeta de crédito"),"⚠ El destino debe ser tarjeta de crédito",IF(AND(P231="Gasto",E231="Depósitos y retiros"),"⚠ Usa tipo Transferencia",IF(AND(P231="Resultado trading",AD231&lt;&gt;"Cuenta de trading"),"⚠ Usa una cuenta de trading",IF(AND(G231&lt;=0,P231&lt;&gt;"Ajuste",P231&lt;&gt;"Resultado trading"),"⚠ El monto debe ser positivo","✓")))))))))))))))</f>
        <v/>
      </c>
      <c r="P231" s="52">
        <f>IF(OR(B231="",G231=""),"",IF(C231="","Gasto",C231))</f>
        <v/>
      </c>
      <c r="Q231" s="52">
        <f>IF(P231="","",IF(J231&lt;&gt;"",J231,CuentaPred&amp;""))</f>
        <v/>
      </c>
      <c r="R231" s="52">
        <f>IF(P231="","",IF(ISNUMBER(I231),I231,TasaUSD))</f>
        <v/>
      </c>
      <c r="S231" s="53">
        <f>IF(P231="","",IF(H231="USD",G231*R231,G231))</f>
        <v/>
      </c>
      <c r="T231" s="53">
        <f>IF(P231="","",IF(H231="USD",G231,IF(R231&gt;0,G231/R231,0)))</f>
        <v/>
      </c>
      <c r="U231" s="53">
        <f>IF(P231="","",IF(P231="Gasto",S231,IF(P231="Reembolso",-S231,0)))</f>
        <v/>
      </c>
      <c r="V231" s="53">
        <f>IF(P231="","",IF(P231="Ingreso",S231,0))</f>
        <v/>
      </c>
      <c r="W231" s="53">
        <f>IF(P231="","",IF(P231="Resultado trading",S231,0))</f>
        <v/>
      </c>
      <c r="X231" s="52">
        <f>IF(OR(P231="Gasto",P231="Reembolso"),IF(M231&lt;&gt;"",M231,IFERROR(INDEX(catClasif,MATCH(D231&amp;"|"&amp;E231,catClave,0))&amp;"","Variable")),"")</f>
        <v/>
      </c>
      <c r="Y231" s="52">
        <f>IF(P231="","",IFERROR(INDEX(catGrupo,MATCH(D231&amp;"|"&amp;E231,catClave,0))&amp;"",""))</f>
        <v/>
      </c>
      <c r="Z231" s="52">
        <f>IF(P231="","",WEEKDAY(B231,2))</f>
        <v/>
      </c>
      <c r="AA231" s="52">
        <f>IF(P231="","",IF(AND(P231="Gasto",X231="Variable",D231&lt;&gt;catTrading,S231&gt;0,S231&lt;=Umbral),1,0))</f>
        <v/>
      </c>
      <c r="AB231" s="52">
        <f>IF(OR(P231="",Q231=""),"",IFERROR(IF(INDEX(ctaVinc,MATCH(Q231,ctaNombre,0))&amp;""&lt;&gt;"",INDEX(ctaVinc,MATCH(Q231,ctaNombre,0))&amp;"",Q231),Q231))</f>
        <v/>
      </c>
      <c r="AC231" s="52">
        <f>IF(OR(K231="",AND(P231&lt;&gt;"Transferencia",P231&lt;&gt;"Pago tarjeta")),"",IFERROR(IF(INDEX(ctaVinc,MATCH(K231,ctaNombre,0))&amp;""&lt;&gt;"",INDEX(ctaVinc,MATCH(K231,ctaNombre,0))&amp;"",K231),K231))</f>
        <v/>
      </c>
      <c r="AD231" s="52">
        <f>IF(AB231="","",IFERROR(INDEX(ctaTipo,MATCH(AB231,ctaNombre,0))&amp;"",""))</f>
        <v/>
      </c>
      <c r="AE231" s="52">
        <f>IF(AC231="","",IFERROR(INDEX(ctaTipo,MATCH(AC231,ctaNombre,0))&amp;"",""))</f>
        <v/>
      </c>
      <c r="AF231" s="53">
        <f>IF(OR(P231="",AB231=""),"",IF(OR(P231="Gasto",P231="Transferencia",P231="Pago tarjeta"),-1,1)*IF(IFERROR(INDEX(ctaMoneda,MATCH(AB231,ctaNombre,0))&amp;"","DOP")="USD",T231,S231))</f>
        <v/>
      </c>
      <c r="AG231" s="53">
        <f>IF(AC231="","",IF(IFERROR(INDEX(ctaMoneda,MATCH(AC231,ctaNombre,0))&amp;"","DOP")="USD",T231,S231))</f>
        <v/>
      </c>
      <c r="AH231" s="53">
        <f>IF(P231="","",IF(AND(AD231&lt;&gt;"",COUNTIFS(tcTipo,AD231,tcLiq,"Sí")&gt;0),IF(OR(P231="Gasto",P231="Transferencia",P231="Pago tarjeta"),-1,1)*S231,0)+IF(AND(AE231&lt;&gt;"",COUNTIFS(tcTipo,AE231,tcLiq,"Sí")&gt;0),S231,0))</f>
        <v/>
      </c>
      <c r="AI231" s="52">
        <f>IF(OR(L231="",P231=""),"",IF(COUNTIFS(L$6:L231,L231,P$6:P231,"?*")=1,MAX(AI$5:AI230)+1,""))</f>
        <v/>
      </c>
    </row>
    <row r="232">
      <c r="B232" s="47" t="n"/>
      <c r="C232" s="48" t="n"/>
      <c r="D232" s="48" t="n"/>
      <c r="E232" s="48" t="n"/>
      <c r="F232" s="48" t="n"/>
      <c r="G232" s="49" t="n"/>
      <c r="H232" s="48" t="n"/>
      <c r="I232" s="50" t="n"/>
      <c r="J232" s="48" t="n"/>
      <c r="K232" s="48" t="n"/>
      <c r="L232" s="48" t="n"/>
      <c r="M232" s="48" t="n"/>
      <c r="N232" s="48" t="n"/>
      <c r="O232" s="51">
        <f>IF(AND(B232="",G232="",C232="",D232="",J232=""),"",IF(B232="","⚠ Falta fecha",IF(G232="","⚠ Falta monto",IF(Q232="","⚠ Falta cuenta",IF(ISNA(MATCH(Q232,ctaNombre,0)),"⚠ Cuenta no registrada",IF(AND(OR(P232="Gasto",P232="Reembolso"),D232=""),"⚠ Falta categoría",IF(AND(D232&lt;&gt;"",E232&lt;&gt;"",ISNA(MATCH(D232&amp;"|"&amp;E232,catClave,0))),"⚠ Subcategoría no corresponde",IF(AND(OR(P232="Transferencia",P232="Pago tarjeta"),K232=""),"⚠ Falta cuenta destino",IF(AND(K232&lt;&gt;"",P232&lt;&gt;"Transferencia",P232&lt;&gt;"Pago tarjeta"),"⚠ Destino solo aplica a transferencias",IF(AND(K232&lt;&gt;"",K232=Q232),"⚠ Origen igual a destino",IF(AND(K232&lt;&gt;"",ISNA(MATCH(K232,ctaNombre,0))),"⚠ Destino no registrado",IF(AND(P232="Pago tarjeta",AE232&lt;&gt;"Tarjeta de crédito"),"⚠ El destino debe ser tarjeta de crédito",IF(AND(P232="Gasto",E232="Depósitos y retiros"),"⚠ Usa tipo Transferencia",IF(AND(P232="Resultado trading",AD232&lt;&gt;"Cuenta de trading"),"⚠ Usa una cuenta de trading",IF(AND(G232&lt;=0,P232&lt;&gt;"Ajuste",P232&lt;&gt;"Resultado trading"),"⚠ El monto debe ser positivo","✓")))))))))))))))</f>
        <v/>
      </c>
      <c r="P232" s="52">
        <f>IF(OR(B232="",G232=""),"",IF(C232="","Gasto",C232))</f>
        <v/>
      </c>
      <c r="Q232" s="52">
        <f>IF(P232="","",IF(J232&lt;&gt;"",J232,CuentaPred&amp;""))</f>
        <v/>
      </c>
      <c r="R232" s="52">
        <f>IF(P232="","",IF(ISNUMBER(I232),I232,TasaUSD))</f>
        <v/>
      </c>
      <c r="S232" s="53">
        <f>IF(P232="","",IF(H232="USD",G232*R232,G232))</f>
        <v/>
      </c>
      <c r="T232" s="53">
        <f>IF(P232="","",IF(H232="USD",G232,IF(R232&gt;0,G232/R232,0)))</f>
        <v/>
      </c>
      <c r="U232" s="53">
        <f>IF(P232="","",IF(P232="Gasto",S232,IF(P232="Reembolso",-S232,0)))</f>
        <v/>
      </c>
      <c r="V232" s="53">
        <f>IF(P232="","",IF(P232="Ingreso",S232,0))</f>
        <v/>
      </c>
      <c r="W232" s="53">
        <f>IF(P232="","",IF(P232="Resultado trading",S232,0))</f>
        <v/>
      </c>
      <c r="X232" s="52">
        <f>IF(OR(P232="Gasto",P232="Reembolso"),IF(M232&lt;&gt;"",M232,IFERROR(INDEX(catClasif,MATCH(D232&amp;"|"&amp;E232,catClave,0))&amp;"","Variable")),"")</f>
        <v/>
      </c>
      <c r="Y232" s="52">
        <f>IF(P232="","",IFERROR(INDEX(catGrupo,MATCH(D232&amp;"|"&amp;E232,catClave,0))&amp;"",""))</f>
        <v/>
      </c>
      <c r="Z232" s="52">
        <f>IF(P232="","",WEEKDAY(B232,2))</f>
        <v/>
      </c>
      <c r="AA232" s="52">
        <f>IF(P232="","",IF(AND(P232="Gasto",X232="Variable",D232&lt;&gt;catTrading,S232&gt;0,S232&lt;=Umbral),1,0))</f>
        <v/>
      </c>
      <c r="AB232" s="52">
        <f>IF(OR(P232="",Q232=""),"",IFERROR(IF(INDEX(ctaVinc,MATCH(Q232,ctaNombre,0))&amp;""&lt;&gt;"",INDEX(ctaVinc,MATCH(Q232,ctaNombre,0))&amp;"",Q232),Q232))</f>
        <v/>
      </c>
      <c r="AC232" s="52">
        <f>IF(OR(K232="",AND(P232&lt;&gt;"Transferencia",P232&lt;&gt;"Pago tarjeta")),"",IFERROR(IF(INDEX(ctaVinc,MATCH(K232,ctaNombre,0))&amp;""&lt;&gt;"",INDEX(ctaVinc,MATCH(K232,ctaNombre,0))&amp;"",K232),K232))</f>
        <v/>
      </c>
      <c r="AD232" s="52">
        <f>IF(AB232="","",IFERROR(INDEX(ctaTipo,MATCH(AB232,ctaNombre,0))&amp;"",""))</f>
        <v/>
      </c>
      <c r="AE232" s="52">
        <f>IF(AC232="","",IFERROR(INDEX(ctaTipo,MATCH(AC232,ctaNombre,0))&amp;"",""))</f>
        <v/>
      </c>
      <c r="AF232" s="53">
        <f>IF(OR(P232="",AB232=""),"",IF(OR(P232="Gasto",P232="Transferencia",P232="Pago tarjeta"),-1,1)*IF(IFERROR(INDEX(ctaMoneda,MATCH(AB232,ctaNombre,0))&amp;"","DOP")="USD",T232,S232))</f>
        <v/>
      </c>
      <c r="AG232" s="53">
        <f>IF(AC232="","",IF(IFERROR(INDEX(ctaMoneda,MATCH(AC232,ctaNombre,0))&amp;"","DOP")="USD",T232,S232))</f>
        <v/>
      </c>
      <c r="AH232" s="53">
        <f>IF(P232="","",IF(AND(AD232&lt;&gt;"",COUNTIFS(tcTipo,AD232,tcLiq,"Sí")&gt;0),IF(OR(P232="Gasto",P232="Transferencia",P232="Pago tarjeta"),-1,1)*S232,0)+IF(AND(AE232&lt;&gt;"",COUNTIFS(tcTipo,AE232,tcLiq,"Sí")&gt;0),S232,0))</f>
        <v/>
      </c>
      <c r="AI232" s="52">
        <f>IF(OR(L232="",P232=""),"",IF(COUNTIFS(L$6:L232,L232,P$6:P232,"?*")=1,MAX(AI$5:AI231)+1,""))</f>
        <v/>
      </c>
    </row>
    <row r="233">
      <c r="B233" s="47" t="n"/>
      <c r="C233" s="48" t="n"/>
      <c r="D233" s="48" t="n"/>
      <c r="E233" s="48" t="n"/>
      <c r="F233" s="48" t="n"/>
      <c r="G233" s="49" t="n"/>
      <c r="H233" s="48" t="n"/>
      <c r="I233" s="50" t="n"/>
      <c r="J233" s="48" t="n"/>
      <c r="K233" s="48" t="n"/>
      <c r="L233" s="48" t="n"/>
      <c r="M233" s="48" t="n"/>
      <c r="N233" s="48" t="n"/>
      <c r="O233" s="51">
        <f>IF(AND(B233="",G233="",C233="",D233="",J233=""),"",IF(B233="","⚠ Falta fecha",IF(G233="","⚠ Falta monto",IF(Q233="","⚠ Falta cuenta",IF(ISNA(MATCH(Q233,ctaNombre,0)),"⚠ Cuenta no registrada",IF(AND(OR(P233="Gasto",P233="Reembolso"),D233=""),"⚠ Falta categoría",IF(AND(D233&lt;&gt;"",E233&lt;&gt;"",ISNA(MATCH(D233&amp;"|"&amp;E233,catClave,0))),"⚠ Subcategoría no corresponde",IF(AND(OR(P233="Transferencia",P233="Pago tarjeta"),K233=""),"⚠ Falta cuenta destino",IF(AND(K233&lt;&gt;"",P233&lt;&gt;"Transferencia",P233&lt;&gt;"Pago tarjeta"),"⚠ Destino solo aplica a transferencias",IF(AND(K233&lt;&gt;"",K233=Q233),"⚠ Origen igual a destino",IF(AND(K233&lt;&gt;"",ISNA(MATCH(K233,ctaNombre,0))),"⚠ Destino no registrado",IF(AND(P233="Pago tarjeta",AE233&lt;&gt;"Tarjeta de crédito"),"⚠ El destino debe ser tarjeta de crédito",IF(AND(P233="Gasto",E233="Depósitos y retiros"),"⚠ Usa tipo Transferencia",IF(AND(P233="Resultado trading",AD233&lt;&gt;"Cuenta de trading"),"⚠ Usa una cuenta de trading",IF(AND(G233&lt;=0,P233&lt;&gt;"Ajuste",P233&lt;&gt;"Resultado trading"),"⚠ El monto debe ser positivo","✓")))))))))))))))</f>
        <v/>
      </c>
      <c r="P233" s="52">
        <f>IF(OR(B233="",G233=""),"",IF(C233="","Gasto",C233))</f>
        <v/>
      </c>
      <c r="Q233" s="52">
        <f>IF(P233="","",IF(J233&lt;&gt;"",J233,CuentaPred&amp;""))</f>
        <v/>
      </c>
      <c r="R233" s="52">
        <f>IF(P233="","",IF(ISNUMBER(I233),I233,TasaUSD))</f>
        <v/>
      </c>
      <c r="S233" s="53">
        <f>IF(P233="","",IF(H233="USD",G233*R233,G233))</f>
        <v/>
      </c>
      <c r="T233" s="53">
        <f>IF(P233="","",IF(H233="USD",G233,IF(R233&gt;0,G233/R233,0)))</f>
        <v/>
      </c>
      <c r="U233" s="53">
        <f>IF(P233="","",IF(P233="Gasto",S233,IF(P233="Reembolso",-S233,0)))</f>
        <v/>
      </c>
      <c r="V233" s="53">
        <f>IF(P233="","",IF(P233="Ingreso",S233,0))</f>
        <v/>
      </c>
      <c r="W233" s="53">
        <f>IF(P233="","",IF(P233="Resultado trading",S233,0))</f>
        <v/>
      </c>
      <c r="X233" s="52">
        <f>IF(OR(P233="Gasto",P233="Reembolso"),IF(M233&lt;&gt;"",M233,IFERROR(INDEX(catClasif,MATCH(D233&amp;"|"&amp;E233,catClave,0))&amp;"","Variable")),"")</f>
        <v/>
      </c>
      <c r="Y233" s="52">
        <f>IF(P233="","",IFERROR(INDEX(catGrupo,MATCH(D233&amp;"|"&amp;E233,catClave,0))&amp;"",""))</f>
        <v/>
      </c>
      <c r="Z233" s="52">
        <f>IF(P233="","",WEEKDAY(B233,2))</f>
        <v/>
      </c>
      <c r="AA233" s="52">
        <f>IF(P233="","",IF(AND(P233="Gasto",X233="Variable",D233&lt;&gt;catTrading,S233&gt;0,S233&lt;=Umbral),1,0))</f>
        <v/>
      </c>
      <c r="AB233" s="52">
        <f>IF(OR(P233="",Q233=""),"",IFERROR(IF(INDEX(ctaVinc,MATCH(Q233,ctaNombre,0))&amp;""&lt;&gt;"",INDEX(ctaVinc,MATCH(Q233,ctaNombre,0))&amp;"",Q233),Q233))</f>
        <v/>
      </c>
      <c r="AC233" s="52">
        <f>IF(OR(K233="",AND(P233&lt;&gt;"Transferencia",P233&lt;&gt;"Pago tarjeta")),"",IFERROR(IF(INDEX(ctaVinc,MATCH(K233,ctaNombre,0))&amp;""&lt;&gt;"",INDEX(ctaVinc,MATCH(K233,ctaNombre,0))&amp;"",K233),K233))</f>
        <v/>
      </c>
      <c r="AD233" s="52">
        <f>IF(AB233="","",IFERROR(INDEX(ctaTipo,MATCH(AB233,ctaNombre,0))&amp;"",""))</f>
        <v/>
      </c>
      <c r="AE233" s="52">
        <f>IF(AC233="","",IFERROR(INDEX(ctaTipo,MATCH(AC233,ctaNombre,0))&amp;"",""))</f>
        <v/>
      </c>
      <c r="AF233" s="53">
        <f>IF(OR(P233="",AB233=""),"",IF(OR(P233="Gasto",P233="Transferencia",P233="Pago tarjeta"),-1,1)*IF(IFERROR(INDEX(ctaMoneda,MATCH(AB233,ctaNombre,0))&amp;"","DOP")="USD",T233,S233))</f>
        <v/>
      </c>
      <c r="AG233" s="53">
        <f>IF(AC233="","",IF(IFERROR(INDEX(ctaMoneda,MATCH(AC233,ctaNombre,0))&amp;"","DOP")="USD",T233,S233))</f>
        <v/>
      </c>
      <c r="AH233" s="53">
        <f>IF(P233="","",IF(AND(AD233&lt;&gt;"",COUNTIFS(tcTipo,AD233,tcLiq,"Sí")&gt;0),IF(OR(P233="Gasto",P233="Transferencia",P233="Pago tarjeta"),-1,1)*S233,0)+IF(AND(AE233&lt;&gt;"",COUNTIFS(tcTipo,AE233,tcLiq,"Sí")&gt;0),S233,0))</f>
        <v/>
      </c>
      <c r="AI233" s="52">
        <f>IF(OR(L233="",P233=""),"",IF(COUNTIFS(L$6:L233,L233,P$6:P233,"?*")=1,MAX(AI$5:AI232)+1,""))</f>
        <v/>
      </c>
    </row>
    <row r="234">
      <c r="B234" s="47" t="n"/>
      <c r="C234" s="48" t="n"/>
      <c r="D234" s="48" t="n"/>
      <c r="E234" s="48" t="n"/>
      <c r="F234" s="48" t="n"/>
      <c r="G234" s="49" t="n"/>
      <c r="H234" s="48" t="n"/>
      <c r="I234" s="50" t="n"/>
      <c r="J234" s="48" t="n"/>
      <c r="K234" s="48" t="n"/>
      <c r="L234" s="48" t="n"/>
      <c r="M234" s="48" t="n"/>
      <c r="N234" s="48" t="n"/>
      <c r="O234" s="51">
        <f>IF(AND(B234="",G234="",C234="",D234="",J234=""),"",IF(B234="","⚠ Falta fecha",IF(G234="","⚠ Falta monto",IF(Q234="","⚠ Falta cuenta",IF(ISNA(MATCH(Q234,ctaNombre,0)),"⚠ Cuenta no registrada",IF(AND(OR(P234="Gasto",P234="Reembolso"),D234=""),"⚠ Falta categoría",IF(AND(D234&lt;&gt;"",E234&lt;&gt;"",ISNA(MATCH(D234&amp;"|"&amp;E234,catClave,0))),"⚠ Subcategoría no corresponde",IF(AND(OR(P234="Transferencia",P234="Pago tarjeta"),K234=""),"⚠ Falta cuenta destino",IF(AND(K234&lt;&gt;"",P234&lt;&gt;"Transferencia",P234&lt;&gt;"Pago tarjeta"),"⚠ Destino solo aplica a transferencias",IF(AND(K234&lt;&gt;"",K234=Q234),"⚠ Origen igual a destino",IF(AND(K234&lt;&gt;"",ISNA(MATCH(K234,ctaNombre,0))),"⚠ Destino no registrado",IF(AND(P234="Pago tarjeta",AE234&lt;&gt;"Tarjeta de crédito"),"⚠ El destino debe ser tarjeta de crédito",IF(AND(P234="Gasto",E234="Depósitos y retiros"),"⚠ Usa tipo Transferencia",IF(AND(P234="Resultado trading",AD234&lt;&gt;"Cuenta de trading"),"⚠ Usa una cuenta de trading",IF(AND(G234&lt;=0,P234&lt;&gt;"Ajuste",P234&lt;&gt;"Resultado trading"),"⚠ El monto debe ser positivo","✓")))))))))))))))</f>
        <v/>
      </c>
      <c r="P234" s="52">
        <f>IF(OR(B234="",G234=""),"",IF(C234="","Gasto",C234))</f>
        <v/>
      </c>
      <c r="Q234" s="52">
        <f>IF(P234="","",IF(J234&lt;&gt;"",J234,CuentaPred&amp;""))</f>
        <v/>
      </c>
      <c r="R234" s="52">
        <f>IF(P234="","",IF(ISNUMBER(I234),I234,TasaUSD))</f>
        <v/>
      </c>
      <c r="S234" s="53">
        <f>IF(P234="","",IF(H234="USD",G234*R234,G234))</f>
        <v/>
      </c>
      <c r="T234" s="53">
        <f>IF(P234="","",IF(H234="USD",G234,IF(R234&gt;0,G234/R234,0)))</f>
        <v/>
      </c>
      <c r="U234" s="53">
        <f>IF(P234="","",IF(P234="Gasto",S234,IF(P234="Reembolso",-S234,0)))</f>
        <v/>
      </c>
      <c r="V234" s="53">
        <f>IF(P234="","",IF(P234="Ingreso",S234,0))</f>
        <v/>
      </c>
      <c r="W234" s="53">
        <f>IF(P234="","",IF(P234="Resultado trading",S234,0))</f>
        <v/>
      </c>
      <c r="X234" s="52">
        <f>IF(OR(P234="Gasto",P234="Reembolso"),IF(M234&lt;&gt;"",M234,IFERROR(INDEX(catClasif,MATCH(D234&amp;"|"&amp;E234,catClave,0))&amp;"","Variable")),"")</f>
        <v/>
      </c>
      <c r="Y234" s="52">
        <f>IF(P234="","",IFERROR(INDEX(catGrupo,MATCH(D234&amp;"|"&amp;E234,catClave,0))&amp;"",""))</f>
        <v/>
      </c>
      <c r="Z234" s="52">
        <f>IF(P234="","",WEEKDAY(B234,2))</f>
        <v/>
      </c>
      <c r="AA234" s="52">
        <f>IF(P234="","",IF(AND(P234="Gasto",X234="Variable",D234&lt;&gt;catTrading,S234&gt;0,S234&lt;=Umbral),1,0))</f>
        <v/>
      </c>
      <c r="AB234" s="52">
        <f>IF(OR(P234="",Q234=""),"",IFERROR(IF(INDEX(ctaVinc,MATCH(Q234,ctaNombre,0))&amp;""&lt;&gt;"",INDEX(ctaVinc,MATCH(Q234,ctaNombre,0))&amp;"",Q234),Q234))</f>
        <v/>
      </c>
      <c r="AC234" s="52">
        <f>IF(OR(K234="",AND(P234&lt;&gt;"Transferencia",P234&lt;&gt;"Pago tarjeta")),"",IFERROR(IF(INDEX(ctaVinc,MATCH(K234,ctaNombre,0))&amp;""&lt;&gt;"",INDEX(ctaVinc,MATCH(K234,ctaNombre,0))&amp;"",K234),K234))</f>
        <v/>
      </c>
      <c r="AD234" s="52">
        <f>IF(AB234="","",IFERROR(INDEX(ctaTipo,MATCH(AB234,ctaNombre,0))&amp;"",""))</f>
        <v/>
      </c>
      <c r="AE234" s="52">
        <f>IF(AC234="","",IFERROR(INDEX(ctaTipo,MATCH(AC234,ctaNombre,0))&amp;"",""))</f>
        <v/>
      </c>
      <c r="AF234" s="53">
        <f>IF(OR(P234="",AB234=""),"",IF(OR(P234="Gasto",P234="Transferencia",P234="Pago tarjeta"),-1,1)*IF(IFERROR(INDEX(ctaMoneda,MATCH(AB234,ctaNombre,0))&amp;"","DOP")="USD",T234,S234))</f>
        <v/>
      </c>
      <c r="AG234" s="53">
        <f>IF(AC234="","",IF(IFERROR(INDEX(ctaMoneda,MATCH(AC234,ctaNombre,0))&amp;"","DOP")="USD",T234,S234))</f>
        <v/>
      </c>
      <c r="AH234" s="53">
        <f>IF(P234="","",IF(AND(AD234&lt;&gt;"",COUNTIFS(tcTipo,AD234,tcLiq,"Sí")&gt;0),IF(OR(P234="Gasto",P234="Transferencia",P234="Pago tarjeta"),-1,1)*S234,0)+IF(AND(AE234&lt;&gt;"",COUNTIFS(tcTipo,AE234,tcLiq,"Sí")&gt;0),S234,0))</f>
        <v/>
      </c>
      <c r="AI234" s="52">
        <f>IF(OR(L234="",P234=""),"",IF(COUNTIFS(L$6:L234,L234,P$6:P234,"?*")=1,MAX(AI$5:AI233)+1,""))</f>
        <v/>
      </c>
    </row>
    <row r="235">
      <c r="B235" s="47" t="n"/>
      <c r="C235" s="48" t="n"/>
      <c r="D235" s="48" t="n"/>
      <c r="E235" s="48" t="n"/>
      <c r="F235" s="48" t="n"/>
      <c r="G235" s="49" t="n"/>
      <c r="H235" s="48" t="n"/>
      <c r="I235" s="50" t="n"/>
      <c r="J235" s="48" t="n"/>
      <c r="K235" s="48" t="n"/>
      <c r="L235" s="48" t="n"/>
      <c r="M235" s="48" t="n"/>
      <c r="N235" s="48" t="n"/>
      <c r="O235" s="51">
        <f>IF(AND(B235="",G235="",C235="",D235="",J235=""),"",IF(B235="","⚠ Falta fecha",IF(G235="","⚠ Falta monto",IF(Q235="","⚠ Falta cuenta",IF(ISNA(MATCH(Q235,ctaNombre,0)),"⚠ Cuenta no registrada",IF(AND(OR(P235="Gasto",P235="Reembolso"),D235=""),"⚠ Falta categoría",IF(AND(D235&lt;&gt;"",E235&lt;&gt;"",ISNA(MATCH(D235&amp;"|"&amp;E235,catClave,0))),"⚠ Subcategoría no corresponde",IF(AND(OR(P235="Transferencia",P235="Pago tarjeta"),K235=""),"⚠ Falta cuenta destino",IF(AND(K235&lt;&gt;"",P235&lt;&gt;"Transferencia",P235&lt;&gt;"Pago tarjeta"),"⚠ Destino solo aplica a transferencias",IF(AND(K235&lt;&gt;"",K235=Q235),"⚠ Origen igual a destino",IF(AND(K235&lt;&gt;"",ISNA(MATCH(K235,ctaNombre,0))),"⚠ Destino no registrado",IF(AND(P235="Pago tarjeta",AE235&lt;&gt;"Tarjeta de crédito"),"⚠ El destino debe ser tarjeta de crédito",IF(AND(P235="Gasto",E235="Depósitos y retiros"),"⚠ Usa tipo Transferencia",IF(AND(P235="Resultado trading",AD235&lt;&gt;"Cuenta de trading"),"⚠ Usa una cuenta de trading",IF(AND(G235&lt;=0,P235&lt;&gt;"Ajuste",P235&lt;&gt;"Resultado trading"),"⚠ El monto debe ser positivo","✓")))))))))))))))</f>
        <v/>
      </c>
      <c r="P235" s="52">
        <f>IF(OR(B235="",G235=""),"",IF(C235="","Gasto",C235))</f>
        <v/>
      </c>
      <c r="Q235" s="52">
        <f>IF(P235="","",IF(J235&lt;&gt;"",J235,CuentaPred&amp;""))</f>
        <v/>
      </c>
      <c r="R235" s="52">
        <f>IF(P235="","",IF(ISNUMBER(I235),I235,TasaUSD))</f>
        <v/>
      </c>
      <c r="S235" s="53">
        <f>IF(P235="","",IF(H235="USD",G235*R235,G235))</f>
        <v/>
      </c>
      <c r="T235" s="53">
        <f>IF(P235="","",IF(H235="USD",G235,IF(R235&gt;0,G235/R235,0)))</f>
        <v/>
      </c>
      <c r="U235" s="53">
        <f>IF(P235="","",IF(P235="Gasto",S235,IF(P235="Reembolso",-S235,0)))</f>
        <v/>
      </c>
      <c r="V235" s="53">
        <f>IF(P235="","",IF(P235="Ingreso",S235,0))</f>
        <v/>
      </c>
      <c r="W235" s="53">
        <f>IF(P235="","",IF(P235="Resultado trading",S235,0))</f>
        <v/>
      </c>
      <c r="X235" s="52">
        <f>IF(OR(P235="Gasto",P235="Reembolso"),IF(M235&lt;&gt;"",M235,IFERROR(INDEX(catClasif,MATCH(D235&amp;"|"&amp;E235,catClave,0))&amp;"","Variable")),"")</f>
        <v/>
      </c>
      <c r="Y235" s="52">
        <f>IF(P235="","",IFERROR(INDEX(catGrupo,MATCH(D235&amp;"|"&amp;E235,catClave,0))&amp;"",""))</f>
        <v/>
      </c>
      <c r="Z235" s="52">
        <f>IF(P235="","",WEEKDAY(B235,2))</f>
        <v/>
      </c>
      <c r="AA235" s="52">
        <f>IF(P235="","",IF(AND(P235="Gasto",X235="Variable",D235&lt;&gt;catTrading,S235&gt;0,S235&lt;=Umbral),1,0))</f>
        <v/>
      </c>
      <c r="AB235" s="52">
        <f>IF(OR(P235="",Q235=""),"",IFERROR(IF(INDEX(ctaVinc,MATCH(Q235,ctaNombre,0))&amp;""&lt;&gt;"",INDEX(ctaVinc,MATCH(Q235,ctaNombre,0))&amp;"",Q235),Q235))</f>
        <v/>
      </c>
      <c r="AC235" s="52">
        <f>IF(OR(K235="",AND(P235&lt;&gt;"Transferencia",P235&lt;&gt;"Pago tarjeta")),"",IFERROR(IF(INDEX(ctaVinc,MATCH(K235,ctaNombre,0))&amp;""&lt;&gt;"",INDEX(ctaVinc,MATCH(K235,ctaNombre,0))&amp;"",K235),K235))</f>
        <v/>
      </c>
      <c r="AD235" s="52">
        <f>IF(AB235="","",IFERROR(INDEX(ctaTipo,MATCH(AB235,ctaNombre,0))&amp;"",""))</f>
        <v/>
      </c>
      <c r="AE235" s="52">
        <f>IF(AC235="","",IFERROR(INDEX(ctaTipo,MATCH(AC235,ctaNombre,0))&amp;"",""))</f>
        <v/>
      </c>
      <c r="AF235" s="53">
        <f>IF(OR(P235="",AB235=""),"",IF(OR(P235="Gasto",P235="Transferencia",P235="Pago tarjeta"),-1,1)*IF(IFERROR(INDEX(ctaMoneda,MATCH(AB235,ctaNombre,0))&amp;"","DOP")="USD",T235,S235))</f>
        <v/>
      </c>
      <c r="AG235" s="53">
        <f>IF(AC235="","",IF(IFERROR(INDEX(ctaMoneda,MATCH(AC235,ctaNombre,0))&amp;"","DOP")="USD",T235,S235))</f>
        <v/>
      </c>
      <c r="AH235" s="53">
        <f>IF(P235="","",IF(AND(AD235&lt;&gt;"",COUNTIFS(tcTipo,AD235,tcLiq,"Sí")&gt;0),IF(OR(P235="Gasto",P235="Transferencia",P235="Pago tarjeta"),-1,1)*S235,0)+IF(AND(AE235&lt;&gt;"",COUNTIFS(tcTipo,AE235,tcLiq,"Sí")&gt;0),S235,0))</f>
        <v/>
      </c>
      <c r="AI235" s="52">
        <f>IF(OR(L235="",P235=""),"",IF(COUNTIFS(L$6:L235,L235,P$6:P235,"?*")=1,MAX(AI$5:AI234)+1,""))</f>
        <v/>
      </c>
    </row>
    <row r="236">
      <c r="B236" s="47" t="n"/>
      <c r="C236" s="48" t="n"/>
      <c r="D236" s="48" t="n"/>
      <c r="E236" s="48" t="n"/>
      <c r="F236" s="48" t="n"/>
      <c r="G236" s="49" t="n"/>
      <c r="H236" s="48" t="n"/>
      <c r="I236" s="50" t="n"/>
      <c r="J236" s="48" t="n"/>
      <c r="K236" s="48" t="n"/>
      <c r="L236" s="48" t="n"/>
      <c r="M236" s="48" t="n"/>
      <c r="N236" s="48" t="n"/>
      <c r="O236" s="51">
        <f>IF(AND(B236="",G236="",C236="",D236="",J236=""),"",IF(B236="","⚠ Falta fecha",IF(G236="","⚠ Falta monto",IF(Q236="","⚠ Falta cuenta",IF(ISNA(MATCH(Q236,ctaNombre,0)),"⚠ Cuenta no registrada",IF(AND(OR(P236="Gasto",P236="Reembolso"),D236=""),"⚠ Falta categoría",IF(AND(D236&lt;&gt;"",E236&lt;&gt;"",ISNA(MATCH(D236&amp;"|"&amp;E236,catClave,0))),"⚠ Subcategoría no corresponde",IF(AND(OR(P236="Transferencia",P236="Pago tarjeta"),K236=""),"⚠ Falta cuenta destino",IF(AND(K236&lt;&gt;"",P236&lt;&gt;"Transferencia",P236&lt;&gt;"Pago tarjeta"),"⚠ Destino solo aplica a transferencias",IF(AND(K236&lt;&gt;"",K236=Q236),"⚠ Origen igual a destino",IF(AND(K236&lt;&gt;"",ISNA(MATCH(K236,ctaNombre,0))),"⚠ Destino no registrado",IF(AND(P236="Pago tarjeta",AE236&lt;&gt;"Tarjeta de crédito"),"⚠ El destino debe ser tarjeta de crédito",IF(AND(P236="Gasto",E236="Depósitos y retiros"),"⚠ Usa tipo Transferencia",IF(AND(P236="Resultado trading",AD236&lt;&gt;"Cuenta de trading"),"⚠ Usa una cuenta de trading",IF(AND(G236&lt;=0,P236&lt;&gt;"Ajuste",P236&lt;&gt;"Resultado trading"),"⚠ El monto debe ser positivo","✓")))))))))))))))</f>
        <v/>
      </c>
      <c r="P236" s="52">
        <f>IF(OR(B236="",G236=""),"",IF(C236="","Gasto",C236))</f>
        <v/>
      </c>
      <c r="Q236" s="52">
        <f>IF(P236="","",IF(J236&lt;&gt;"",J236,CuentaPred&amp;""))</f>
        <v/>
      </c>
      <c r="R236" s="52">
        <f>IF(P236="","",IF(ISNUMBER(I236),I236,TasaUSD))</f>
        <v/>
      </c>
      <c r="S236" s="53">
        <f>IF(P236="","",IF(H236="USD",G236*R236,G236))</f>
        <v/>
      </c>
      <c r="T236" s="53">
        <f>IF(P236="","",IF(H236="USD",G236,IF(R236&gt;0,G236/R236,0)))</f>
        <v/>
      </c>
      <c r="U236" s="53">
        <f>IF(P236="","",IF(P236="Gasto",S236,IF(P236="Reembolso",-S236,0)))</f>
        <v/>
      </c>
      <c r="V236" s="53">
        <f>IF(P236="","",IF(P236="Ingreso",S236,0))</f>
        <v/>
      </c>
      <c r="W236" s="53">
        <f>IF(P236="","",IF(P236="Resultado trading",S236,0))</f>
        <v/>
      </c>
      <c r="X236" s="52">
        <f>IF(OR(P236="Gasto",P236="Reembolso"),IF(M236&lt;&gt;"",M236,IFERROR(INDEX(catClasif,MATCH(D236&amp;"|"&amp;E236,catClave,0))&amp;"","Variable")),"")</f>
        <v/>
      </c>
      <c r="Y236" s="52">
        <f>IF(P236="","",IFERROR(INDEX(catGrupo,MATCH(D236&amp;"|"&amp;E236,catClave,0))&amp;"",""))</f>
        <v/>
      </c>
      <c r="Z236" s="52">
        <f>IF(P236="","",WEEKDAY(B236,2))</f>
        <v/>
      </c>
      <c r="AA236" s="52">
        <f>IF(P236="","",IF(AND(P236="Gasto",X236="Variable",D236&lt;&gt;catTrading,S236&gt;0,S236&lt;=Umbral),1,0))</f>
        <v/>
      </c>
      <c r="AB236" s="52">
        <f>IF(OR(P236="",Q236=""),"",IFERROR(IF(INDEX(ctaVinc,MATCH(Q236,ctaNombre,0))&amp;""&lt;&gt;"",INDEX(ctaVinc,MATCH(Q236,ctaNombre,0))&amp;"",Q236),Q236))</f>
        <v/>
      </c>
      <c r="AC236" s="52">
        <f>IF(OR(K236="",AND(P236&lt;&gt;"Transferencia",P236&lt;&gt;"Pago tarjeta")),"",IFERROR(IF(INDEX(ctaVinc,MATCH(K236,ctaNombre,0))&amp;""&lt;&gt;"",INDEX(ctaVinc,MATCH(K236,ctaNombre,0))&amp;"",K236),K236))</f>
        <v/>
      </c>
      <c r="AD236" s="52">
        <f>IF(AB236="","",IFERROR(INDEX(ctaTipo,MATCH(AB236,ctaNombre,0))&amp;"",""))</f>
        <v/>
      </c>
      <c r="AE236" s="52">
        <f>IF(AC236="","",IFERROR(INDEX(ctaTipo,MATCH(AC236,ctaNombre,0))&amp;"",""))</f>
        <v/>
      </c>
      <c r="AF236" s="53">
        <f>IF(OR(P236="",AB236=""),"",IF(OR(P236="Gasto",P236="Transferencia",P236="Pago tarjeta"),-1,1)*IF(IFERROR(INDEX(ctaMoneda,MATCH(AB236,ctaNombre,0))&amp;"","DOP")="USD",T236,S236))</f>
        <v/>
      </c>
      <c r="AG236" s="53">
        <f>IF(AC236="","",IF(IFERROR(INDEX(ctaMoneda,MATCH(AC236,ctaNombre,0))&amp;"","DOP")="USD",T236,S236))</f>
        <v/>
      </c>
      <c r="AH236" s="53">
        <f>IF(P236="","",IF(AND(AD236&lt;&gt;"",COUNTIFS(tcTipo,AD236,tcLiq,"Sí")&gt;0),IF(OR(P236="Gasto",P236="Transferencia",P236="Pago tarjeta"),-1,1)*S236,0)+IF(AND(AE236&lt;&gt;"",COUNTIFS(tcTipo,AE236,tcLiq,"Sí")&gt;0),S236,0))</f>
        <v/>
      </c>
      <c r="AI236" s="52">
        <f>IF(OR(L236="",P236=""),"",IF(COUNTIFS(L$6:L236,L236,P$6:P236,"?*")=1,MAX(AI$5:AI235)+1,""))</f>
        <v/>
      </c>
    </row>
    <row r="237">
      <c r="B237" s="47" t="n"/>
      <c r="C237" s="48" t="n"/>
      <c r="D237" s="48" t="n"/>
      <c r="E237" s="48" t="n"/>
      <c r="F237" s="48" t="n"/>
      <c r="G237" s="49" t="n"/>
      <c r="H237" s="48" t="n"/>
      <c r="I237" s="50" t="n"/>
      <c r="J237" s="48" t="n"/>
      <c r="K237" s="48" t="n"/>
      <c r="L237" s="48" t="n"/>
      <c r="M237" s="48" t="n"/>
      <c r="N237" s="48" t="n"/>
      <c r="O237" s="51">
        <f>IF(AND(B237="",G237="",C237="",D237="",J237=""),"",IF(B237="","⚠ Falta fecha",IF(G237="","⚠ Falta monto",IF(Q237="","⚠ Falta cuenta",IF(ISNA(MATCH(Q237,ctaNombre,0)),"⚠ Cuenta no registrada",IF(AND(OR(P237="Gasto",P237="Reembolso"),D237=""),"⚠ Falta categoría",IF(AND(D237&lt;&gt;"",E237&lt;&gt;"",ISNA(MATCH(D237&amp;"|"&amp;E237,catClave,0))),"⚠ Subcategoría no corresponde",IF(AND(OR(P237="Transferencia",P237="Pago tarjeta"),K237=""),"⚠ Falta cuenta destino",IF(AND(K237&lt;&gt;"",P237&lt;&gt;"Transferencia",P237&lt;&gt;"Pago tarjeta"),"⚠ Destino solo aplica a transferencias",IF(AND(K237&lt;&gt;"",K237=Q237),"⚠ Origen igual a destino",IF(AND(K237&lt;&gt;"",ISNA(MATCH(K237,ctaNombre,0))),"⚠ Destino no registrado",IF(AND(P237="Pago tarjeta",AE237&lt;&gt;"Tarjeta de crédito"),"⚠ El destino debe ser tarjeta de crédito",IF(AND(P237="Gasto",E237="Depósitos y retiros"),"⚠ Usa tipo Transferencia",IF(AND(P237="Resultado trading",AD237&lt;&gt;"Cuenta de trading"),"⚠ Usa una cuenta de trading",IF(AND(G237&lt;=0,P237&lt;&gt;"Ajuste",P237&lt;&gt;"Resultado trading"),"⚠ El monto debe ser positivo","✓")))))))))))))))</f>
        <v/>
      </c>
      <c r="P237" s="52">
        <f>IF(OR(B237="",G237=""),"",IF(C237="","Gasto",C237))</f>
        <v/>
      </c>
      <c r="Q237" s="52">
        <f>IF(P237="","",IF(J237&lt;&gt;"",J237,CuentaPred&amp;""))</f>
        <v/>
      </c>
      <c r="R237" s="52">
        <f>IF(P237="","",IF(ISNUMBER(I237),I237,TasaUSD))</f>
        <v/>
      </c>
      <c r="S237" s="53">
        <f>IF(P237="","",IF(H237="USD",G237*R237,G237))</f>
        <v/>
      </c>
      <c r="T237" s="53">
        <f>IF(P237="","",IF(H237="USD",G237,IF(R237&gt;0,G237/R237,0)))</f>
        <v/>
      </c>
      <c r="U237" s="53">
        <f>IF(P237="","",IF(P237="Gasto",S237,IF(P237="Reembolso",-S237,0)))</f>
        <v/>
      </c>
      <c r="V237" s="53">
        <f>IF(P237="","",IF(P237="Ingreso",S237,0))</f>
        <v/>
      </c>
      <c r="W237" s="53">
        <f>IF(P237="","",IF(P237="Resultado trading",S237,0))</f>
        <v/>
      </c>
      <c r="X237" s="52">
        <f>IF(OR(P237="Gasto",P237="Reembolso"),IF(M237&lt;&gt;"",M237,IFERROR(INDEX(catClasif,MATCH(D237&amp;"|"&amp;E237,catClave,0))&amp;"","Variable")),"")</f>
        <v/>
      </c>
      <c r="Y237" s="52">
        <f>IF(P237="","",IFERROR(INDEX(catGrupo,MATCH(D237&amp;"|"&amp;E237,catClave,0))&amp;"",""))</f>
        <v/>
      </c>
      <c r="Z237" s="52">
        <f>IF(P237="","",WEEKDAY(B237,2))</f>
        <v/>
      </c>
      <c r="AA237" s="52">
        <f>IF(P237="","",IF(AND(P237="Gasto",X237="Variable",D237&lt;&gt;catTrading,S237&gt;0,S237&lt;=Umbral),1,0))</f>
        <v/>
      </c>
      <c r="AB237" s="52">
        <f>IF(OR(P237="",Q237=""),"",IFERROR(IF(INDEX(ctaVinc,MATCH(Q237,ctaNombre,0))&amp;""&lt;&gt;"",INDEX(ctaVinc,MATCH(Q237,ctaNombre,0))&amp;"",Q237),Q237))</f>
        <v/>
      </c>
      <c r="AC237" s="52">
        <f>IF(OR(K237="",AND(P237&lt;&gt;"Transferencia",P237&lt;&gt;"Pago tarjeta")),"",IFERROR(IF(INDEX(ctaVinc,MATCH(K237,ctaNombre,0))&amp;""&lt;&gt;"",INDEX(ctaVinc,MATCH(K237,ctaNombre,0))&amp;"",K237),K237))</f>
        <v/>
      </c>
      <c r="AD237" s="52">
        <f>IF(AB237="","",IFERROR(INDEX(ctaTipo,MATCH(AB237,ctaNombre,0))&amp;"",""))</f>
        <v/>
      </c>
      <c r="AE237" s="52">
        <f>IF(AC237="","",IFERROR(INDEX(ctaTipo,MATCH(AC237,ctaNombre,0))&amp;"",""))</f>
        <v/>
      </c>
      <c r="AF237" s="53">
        <f>IF(OR(P237="",AB237=""),"",IF(OR(P237="Gasto",P237="Transferencia",P237="Pago tarjeta"),-1,1)*IF(IFERROR(INDEX(ctaMoneda,MATCH(AB237,ctaNombre,0))&amp;"","DOP")="USD",T237,S237))</f>
        <v/>
      </c>
      <c r="AG237" s="53">
        <f>IF(AC237="","",IF(IFERROR(INDEX(ctaMoneda,MATCH(AC237,ctaNombre,0))&amp;"","DOP")="USD",T237,S237))</f>
        <v/>
      </c>
      <c r="AH237" s="53">
        <f>IF(P237="","",IF(AND(AD237&lt;&gt;"",COUNTIFS(tcTipo,AD237,tcLiq,"Sí")&gt;0),IF(OR(P237="Gasto",P237="Transferencia",P237="Pago tarjeta"),-1,1)*S237,0)+IF(AND(AE237&lt;&gt;"",COUNTIFS(tcTipo,AE237,tcLiq,"Sí")&gt;0),S237,0))</f>
        <v/>
      </c>
      <c r="AI237" s="52">
        <f>IF(OR(L237="",P237=""),"",IF(COUNTIFS(L$6:L237,L237,P$6:P237,"?*")=1,MAX(AI$5:AI236)+1,""))</f>
        <v/>
      </c>
    </row>
    <row r="238">
      <c r="B238" s="47" t="n"/>
      <c r="C238" s="48" t="n"/>
      <c r="D238" s="48" t="n"/>
      <c r="E238" s="48" t="n"/>
      <c r="F238" s="48" t="n"/>
      <c r="G238" s="49" t="n"/>
      <c r="H238" s="48" t="n"/>
      <c r="I238" s="50" t="n"/>
      <c r="J238" s="48" t="n"/>
      <c r="K238" s="48" t="n"/>
      <c r="L238" s="48" t="n"/>
      <c r="M238" s="48" t="n"/>
      <c r="N238" s="48" t="n"/>
      <c r="O238" s="51">
        <f>IF(AND(B238="",G238="",C238="",D238="",J238=""),"",IF(B238="","⚠ Falta fecha",IF(G238="","⚠ Falta monto",IF(Q238="","⚠ Falta cuenta",IF(ISNA(MATCH(Q238,ctaNombre,0)),"⚠ Cuenta no registrada",IF(AND(OR(P238="Gasto",P238="Reembolso"),D238=""),"⚠ Falta categoría",IF(AND(D238&lt;&gt;"",E238&lt;&gt;"",ISNA(MATCH(D238&amp;"|"&amp;E238,catClave,0))),"⚠ Subcategoría no corresponde",IF(AND(OR(P238="Transferencia",P238="Pago tarjeta"),K238=""),"⚠ Falta cuenta destino",IF(AND(K238&lt;&gt;"",P238&lt;&gt;"Transferencia",P238&lt;&gt;"Pago tarjeta"),"⚠ Destino solo aplica a transferencias",IF(AND(K238&lt;&gt;"",K238=Q238),"⚠ Origen igual a destino",IF(AND(K238&lt;&gt;"",ISNA(MATCH(K238,ctaNombre,0))),"⚠ Destino no registrado",IF(AND(P238="Pago tarjeta",AE238&lt;&gt;"Tarjeta de crédito"),"⚠ El destino debe ser tarjeta de crédito",IF(AND(P238="Gasto",E238="Depósitos y retiros"),"⚠ Usa tipo Transferencia",IF(AND(P238="Resultado trading",AD238&lt;&gt;"Cuenta de trading"),"⚠ Usa una cuenta de trading",IF(AND(G238&lt;=0,P238&lt;&gt;"Ajuste",P238&lt;&gt;"Resultado trading"),"⚠ El monto debe ser positivo","✓")))))))))))))))</f>
        <v/>
      </c>
      <c r="P238" s="52">
        <f>IF(OR(B238="",G238=""),"",IF(C238="","Gasto",C238))</f>
        <v/>
      </c>
      <c r="Q238" s="52">
        <f>IF(P238="","",IF(J238&lt;&gt;"",J238,CuentaPred&amp;""))</f>
        <v/>
      </c>
      <c r="R238" s="52">
        <f>IF(P238="","",IF(ISNUMBER(I238),I238,TasaUSD))</f>
        <v/>
      </c>
      <c r="S238" s="53">
        <f>IF(P238="","",IF(H238="USD",G238*R238,G238))</f>
        <v/>
      </c>
      <c r="T238" s="53">
        <f>IF(P238="","",IF(H238="USD",G238,IF(R238&gt;0,G238/R238,0)))</f>
        <v/>
      </c>
      <c r="U238" s="53">
        <f>IF(P238="","",IF(P238="Gasto",S238,IF(P238="Reembolso",-S238,0)))</f>
        <v/>
      </c>
      <c r="V238" s="53">
        <f>IF(P238="","",IF(P238="Ingreso",S238,0))</f>
        <v/>
      </c>
      <c r="W238" s="53">
        <f>IF(P238="","",IF(P238="Resultado trading",S238,0))</f>
        <v/>
      </c>
      <c r="X238" s="52">
        <f>IF(OR(P238="Gasto",P238="Reembolso"),IF(M238&lt;&gt;"",M238,IFERROR(INDEX(catClasif,MATCH(D238&amp;"|"&amp;E238,catClave,0))&amp;"","Variable")),"")</f>
        <v/>
      </c>
      <c r="Y238" s="52">
        <f>IF(P238="","",IFERROR(INDEX(catGrupo,MATCH(D238&amp;"|"&amp;E238,catClave,0))&amp;"",""))</f>
        <v/>
      </c>
      <c r="Z238" s="52">
        <f>IF(P238="","",WEEKDAY(B238,2))</f>
        <v/>
      </c>
      <c r="AA238" s="52">
        <f>IF(P238="","",IF(AND(P238="Gasto",X238="Variable",D238&lt;&gt;catTrading,S238&gt;0,S238&lt;=Umbral),1,0))</f>
        <v/>
      </c>
      <c r="AB238" s="52">
        <f>IF(OR(P238="",Q238=""),"",IFERROR(IF(INDEX(ctaVinc,MATCH(Q238,ctaNombre,0))&amp;""&lt;&gt;"",INDEX(ctaVinc,MATCH(Q238,ctaNombre,0))&amp;"",Q238),Q238))</f>
        <v/>
      </c>
      <c r="AC238" s="52">
        <f>IF(OR(K238="",AND(P238&lt;&gt;"Transferencia",P238&lt;&gt;"Pago tarjeta")),"",IFERROR(IF(INDEX(ctaVinc,MATCH(K238,ctaNombre,0))&amp;""&lt;&gt;"",INDEX(ctaVinc,MATCH(K238,ctaNombre,0))&amp;"",K238),K238))</f>
        <v/>
      </c>
      <c r="AD238" s="52">
        <f>IF(AB238="","",IFERROR(INDEX(ctaTipo,MATCH(AB238,ctaNombre,0))&amp;"",""))</f>
        <v/>
      </c>
      <c r="AE238" s="52">
        <f>IF(AC238="","",IFERROR(INDEX(ctaTipo,MATCH(AC238,ctaNombre,0))&amp;"",""))</f>
        <v/>
      </c>
      <c r="AF238" s="53">
        <f>IF(OR(P238="",AB238=""),"",IF(OR(P238="Gasto",P238="Transferencia",P238="Pago tarjeta"),-1,1)*IF(IFERROR(INDEX(ctaMoneda,MATCH(AB238,ctaNombre,0))&amp;"","DOP")="USD",T238,S238))</f>
        <v/>
      </c>
      <c r="AG238" s="53">
        <f>IF(AC238="","",IF(IFERROR(INDEX(ctaMoneda,MATCH(AC238,ctaNombre,0))&amp;"","DOP")="USD",T238,S238))</f>
        <v/>
      </c>
      <c r="AH238" s="53">
        <f>IF(P238="","",IF(AND(AD238&lt;&gt;"",COUNTIFS(tcTipo,AD238,tcLiq,"Sí")&gt;0),IF(OR(P238="Gasto",P238="Transferencia",P238="Pago tarjeta"),-1,1)*S238,0)+IF(AND(AE238&lt;&gt;"",COUNTIFS(tcTipo,AE238,tcLiq,"Sí")&gt;0),S238,0))</f>
        <v/>
      </c>
      <c r="AI238" s="52">
        <f>IF(OR(L238="",P238=""),"",IF(COUNTIFS(L$6:L238,L238,P$6:P238,"?*")=1,MAX(AI$5:AI237)+1,""))</f>
        <v/>
      </c>
    </row>
    <row r="239">
      <c r="B239" s="47" t="n"/>
      <c r="C239" s="48" t="n"/>
      <c r="D239" s="48" t="n"/>
      <c r="E239" s="48" t="n"/>
      <c r="F239" s="48" t="n"/>
      <c r="G239" s="49" t="n"/>
      <c r="H239" s="48" t="n"/>
      <c r="I239" s="50" t="n"/>
      <c r="J239" s="48" t="n"/>
      <c r="K239" s="48" t="n"/>
      <c r="L239" s="48" t="n"/>
      <c r="M239" s="48" t="n"/>
      <c r="N239" s="48" t="n"/>
      <c r="O239" s="51">
        <f>IF(AND(B239="",G239="",C239="",D239="",J239=""),"",IF(B239="","⚠ Falta fecha",IF(G239="","⚠ Falta monto",IF(Q239="","⚠ Falta cuenta",IF(ISNA(MATCH(Q239,ctaNombre,0)),"⚠ Cuenta no registrada",IF(AND(OR(P239="Gasto",P239="Reembolso"),D239=""),"⚠ Falta categoría",IF(AND(D239&lt;&gt;"",E239&lt;&gt;"",ISNA(MATCH(D239&amp;"|"&amp;E239,catClave,0))),"⚠ Subcategoría no corresponde",IF(AND(OR(P239="Transferencia",P239="Pago tarjeta"),K239=""),"⚠ Falta cuenta destino",IF(AND(K239&lt;&gt;"",P239&lt;&gt;"Transferencia",P239&lt;&gt;"Pago tarjeta"),"⚠ Destino solo aplica a transferencias",IF(AND(K239&lt;&gt;"",K239=Q239),"⚠ Origen igual a destino",IF(AND(K239&lt;&gt;"",ISNA(MATCH(K239,ctaNombre,0))),"⚠ Destino no registrado",IF(AND(P239="Pago tarjeta",AE239&lt;&gt;"Tarjeta de crédito"),"⚠ El destino debe ser tarjeta de crédito",IF(AND(P239="Gasto",E239="Depósitos y retiros"),"⚠ Usa tipo Transferencia",IF(AND(P239="Resultado trading",AD239&lt;&gt;"Cuenta de trading"),"⚠ Usa una cuenta de trading",IF(AND(G239&lt;=0,P239&lt;&gt;"Ajuste",P239&lt;&gt;"Resultado trading"),"⚠ El monto debe ser positivo","✓")))))))))))))))</f>
        <v/>
      </c>
      <c r="P239" s="52">
        <f>IF(OR(B239="",G239=""),"",IF(C239="","Gasto",C239))</f>
        <v/>
      </c>
      <c r="Q239" s="52">
        <f>IF(P239="","",IF(J239&lt;&gt;"",J239,CuentaPred&amp;""))</f>
        <v/>
      </c>
      <c r="R239" s="52">
        <f>IF(P239="","",IF(ISNUMBER(I239),I239,TasaUSD))</f>
        <v/>
      </c>
      <c r="S239" s="53">
        <f>IF(P239="","",IF(H239="USD",G239*R239,G239))</f>
        <v/>
      </c>
      <c r="T239" s="53">
        <f>IF(P239="","",IF(H239="USD",G239,IF(R239&gt;0,G239/R239,0)))</f>
        <v/>
      </c>
      <c r="U239" s="53">
        <f>IF(P239="","",IF(P239="Gasto",S239,IF(P239="Reembolso",-S239,0)))</f>
        <v/>
      </c>
      <c r="V239" s="53">
        <f>IF(P239="","",IF(P239="Ingreso",S239,0))</f>
        <v/>
      </c>
      <c r="W239" s="53">
        <f>IF(P239="","",IF(P239="Resultado trading",S239,0))</f>
        <v/>
      </c>
      <c r="X239" s="52">
        <f>IF(OR(P239="Gasto",P239="Reembolso"),IF(M239&lt;&gt;"",M239,IFERROR(INDEX(catClasif,MATCH(D239&amp;"|"&amp;E239,catClave,0))&amp;"","Variable")),"")</f>
        <v/>
      </c>
      <c r="Y239" s="52">
        <f>IF(P239="","",IFERROR(INDEX(catGrupo,MATCH(D239&amp;"|"&amp;E239,catClave,0))&amp;"",""))</f>
        <v/>
      </c>
      <c r="Z239" s="52">
        <f>IF(P239="","",WEEKDAY(B239,2))</f>
        <v/>
      </c>
      <c r="AA239" s="52">
        <f>IF(P239="","",IF(AND(P239="Gasto",X239="Variable",D239&lt;&gt;catTrading,S239&gt;0,S239&lt;=Umbral),1,0))</f>
        <v/>
      </c>
      <c r="AB239" s="52">
        <f>IF(OR(P239="",Q239=""),"",IFERROR(IF(INDEX(ctaVinc,MATCH(Q239,ctaNombre,0))&amp;""&lt;&gt;"",INDEX(ctaVinc,MATCH(Q239,ctaNombre,0))&amp;"",Q239),Q239))</f>
        <v/>
      </c>
      <c r="AC239" s="52">
        <f>IF(OR(K239="",AND(P239&lt;&gt;"Transferencia",P239&lt;&gt;"Pago tarjeta")),"",IFERROR(IF(INDEX(ctaVinc,MATCH(K239,ctaNombre,0))&amp;""&lt;&gt;"",INDEX(ctaVinc,MATCH(K239,ctaNombre,0))&amp;"",K239),K239))</f>
        <v/>
      </c>
      <c r="AD239" s="52">
        <f>IF(AB239="","",IFERROR(INDEX(ctaTipo,MATCH(AB239,ctaNombre,0))&amp;"",""))</f>
        <v/>
      </c>
      <c r="AE239" s="52">
        <f>IF(AC239="","",IFERROR(INDEX(ctaTipo,MATCH(AC239,ctaNombre,0))&amp;"",""))</f>
        <v/>
      </c>
      <c r="AF239" s="53">
        <f>IF(OR(P239="",AB239=""),"",IF(OR(P239="Gasto",P239="Transferencia",P239="Pago tarjeta"),-1,1)*IF(IFERROR(INDEX(ctaMoneda,MATCH(AB239,ctaNombre,0))&amp;"","DOP")="USD",T239,S239))</f>
        <v/>
      </c>
      <c r="AG239" s="53">
        <f>IF(AC239="","",IF(IFERROR(INDEX(ctaMoneda,MATCH(AC239,ctaNombre,0))&amp;"","DOP")="USD",T239,S239))</f>
        <v/>
      </c>
      <c r="AH239" s="53">
        <f>IF(P239="","",IF(AND(AD239&lt;&gt;"",COUNTIFS(tcTipo,AD239,tcLiq,"Sí")&gt;0),IF(OR(P239="Gasto",P239="Transferencia",P239="Pago tarjeta"),-1,1)*S239,0)+IF(AND(AE239&lt;&gt;"",COUNTIFS(tcTipo,AE239,tcLiq,"Sí")&gt;0),S239,0))</f>
        <v/>
      </c>
      <c r="AI239" s="52">
        <f>IF(OR(L239="",P239=""),"",IF(COUNTIFS(L$6:L239,L239,P$6:P239,"?*")=1,MAX(AI$5:AI238)+1,""))</f>
        <v/>
      </c>
    </row>
    <row r="240">
      <c r="B240" s="47" t="n"/>
      <c r="C240" s="48" t="n"/>
      <c r="D240" s="48" t="n"/>
      <c r="E240" s="48" t="n"/>
      <c r="F240" s="48" t="n"/>
      <c r="G240" s="49" t="n"/>
      <c r="H240" s="48" t="n"/>
      <c r="I240" s="50" t="n"/>
      <c r="J240" s="48" t="n"/>
      <c r="K240" s="48" t="n"/>
      <c r="L240" s="48" t="n"/>
      <c r="M240" s="48" t="n"/>
      <c r="N240" s="48" t="n"/>
      <c r="O240" s="51">
        <f>IF(AND(B240="",G240="",C240="",D240="",J240=""),"",IF(B240="","⚠ Falta fecha",IF(G240="","⚠ Falta monto",IF(Q240="","⚠ Falta cuenta",IF(ISNA(MATCH(Q240,ctaNombre,0)),"⚠ Cuenta no registrada",IF(AND(OR(P240="Gasto",P240="Reembolso"),D240=""),"⚠ Falta categoría",IF(AND(D240&lt;&gt;"",E240&lt;&gt;"",ISNA(MATCH(D240&amp;"|"&amp;E240,catClave,0))),"⚠ Subcategoría no corresponde",IF(AND(OR(P240="Transferencia",P240="Pago tarjeta"),K240=""),"⚠ Falta cuenta destino",IF(AND(K240&lt;&gt;"",P240&lt;&gt;"Transferencia",P240&lt;&gt;"Pago tarjeta"),"⚠ Destino solo aplica a transferencias",IF(AND(K240&lt;&gt;"",K240=Q240),"⚠ Origen igual a destino",IF(AND(K240&lt;&gt;"",ISNA(MATCH(K240,ctaNombre,0))),"⚠ Destino no registrado",IF(AND(P240="Pago tarjeta",AE240&lt;&gt;"Tarjeta de crédito"),"⚠ El destino debe ser tarjeta de crédito",IF(AND(P240="Gasto",E240="Depósitos y retiros"),"⚠ Usa tipo Transferencia",IF(AND(P240="Resultado trading",AD240&lt;&gt;"Cuenta de trading"),"⚠ Usa una cuenta de trading",IF(AND(G240&lt;=0,P240&lt;&gt;"Ajuste",P240&lt;&gt;"Resultado trading"),"⚠ El monto debe ser positivo","✓")))))))))))))))</f>
        <v/>
      </c>
      <c r="P240" s="52">
        <f>IF(OR(B240="",G240=""),"",IF(C240="","Gasto",C240))</f>
        <v/>
      </c>
      <c r="Q240" s="52">
        <f>IF(P240="","",IF(J240&lt;&gt;"",J240,CuentaPred&amp;""))</f>
        <v/>
      </c>
      <c r="R240" s="52">
        <f>IF(P240="","",IF(ISNUMBER(I240),I240,TasaUSD))</f>
        <v/>
      </c>
      <c r="S240" s="53">
        <f>IF(P240="","",IF(H240="USD",G240*R240,G240))</f>
        <v/>
      </c>
      <c r="T240" s="53">
        <f>IF(P240="","",IF(H240="USD",G240,IF(R240&gt;0,G240/R240,0)))</f>
        <v/>
      </c>
      <c r="U240" s="53">
        <f>IF(P240="","",IF(P240="Gasto",S240,IF(P240="Reembolso",-S240,0)))</f>
        <v/>
      </c>
      <c r="V240" s="53">
        <f>IF(P240="","",IF(P240="Ingreso",S240,0))</f>
        <v/>
      </c>
      <c r="W240" s="53">
        <f>IF(P240="","",IF(P240="Resultado trading",S240,0))</f>
        <v/>
      </c>
      <c r="X240" s="52">
        <f>IF(OR(P240="Gasto",P240="Reembolso"),IF(M240&lt;&gt;"",M240,IFERROR(INDEX(catClasif,MATCH(D240&amp;"|"&amp;E240,catClave,0))&amp;"","Variable")),"")</f>
        <v/>
      </c>
      <c r="Y240" s="52">
        <f>IF(P240="","",IFERROR(INDEX(catGrupo,MATCH(D240&amp;"|"&amp;E240,catClave,0))&amp;"",""))</f>
        <v/>
      </c>
      <c r="Z240" s="52">
        <f>IF(P240="","",WEEKDAY(B240,2))</f>
        <v/>
      </c>
      <c r="AA240" s="52">
        <f>IF(P240="","",IF(AND(P240="Gasto",X240="Variable",D240&lt;&gt;catTrading,S240&gt;0,S240&lt;=Umbral),1,0))</f>
        <v/>
      </c>
      <c r="AB240" s="52">
        <f>IF(OR(P240="",Q240=""),"",IFERROR(IF(INDEX(ctaVinc,MATCH(Q240,ctaNombre,0))&amp;""&lt;&gt;"",INDEX(ctaVinc,MATCH(Q240,ctaNombre,0))&amp;"",Q240),Q240))</f>
        <v/>
      </c>
      <c r="AC240" s="52">
        <f>IF(OR(K240="",AND(P240&lt;&gt;"Transferencia",P240&lt;&gt;"Pago tarjeta")),"",IFERROR(IF(INDEX(ctaVinc,MATCH(K240,ctaNombre,0))&amp;""&lt;&gt;"",INDEX(ctaVinc,MATCH(K240,ctaNombre,0))&amp;"",K240),K240))</f>
        <v/>
      </c>
      <c r="AD240" s="52">
        <f>IF(AB240="","",IFERROR(INDEX(ctaTipo,MATCH(AB240,ctaNombre,0))&amp;"",""))</f>
        <v/>
      </c>
      <c r="AE240" s="52">
        <f>IF(AC240="","",IFERROR(INDEX(ctaTipo,MATCH(AC240,ctaNombre,0))&amp;"",""))</f>
        <v/>
      </c>
      <c r="AF240" s="53">
        <f>IF(OR(P240="",AB240=""),"",IF(OR(P240="Gasto",P240="Transferencia",P240="Pago tarjeta"),-1,1)*IF(IFERROR(INDEX(ctaMoneda,MATCH(AB240,ctaNombre,0))&amp;"","DOP")="USD",T240,S240))</f>
        <v/>
      </c>
      <c r="AG240" s="53">
        <f>IF(AC240="","",IF(IFERROR(INDEX(ctaMoneda,MATCH(AC240,ctaNombre,0))&amp;"","DOP")="USD",T240,S240))</f>
        <v/>
      </c>
      <c r="AH240" s="53">
        <f>IF(P240="","",IF(AND(AD240&lt;&gt;"",COUNTIFS(tcTipo,AD240,tcLiq,"Sí")&gt;0),IF(OR(P240="Gasto",P240="Transferencia",P240="Pago tarjeta"),-1,1)*S240,0)+IF(AND(AE240&lt;&gt;"",COUNTIFS(tcTipo,AE240,tcLiq,"Sí")&gt;0),S240,0))</f>
        <v/>
      </c>
      <c r="AI240" s="52">
        <f>IF(OR(L240="",P240=""),"",IF(COUNTIFS(L$6:L240,L240,P$6:P240,"?*")=1,MAX(AI$5:AI239)+1,""))</f>
        <v/>
      </c>
    </row>
    <row r="241">
      <c r="B241" s="47" t="n"/>
      <c r="C241" s="48" t="n"/>
      <c r="D241" s="48" t="n"/>
      <c r="E241" s="48" t="n"/>
      <c r="F241" s="48" t="n"/>
      <c r="G241" s="49" t="n"/>
      <c r="H241" s="48" t="n"/>
      <c r="I241" s="50" t="n"/>
      <c r="J241" s="48" t="n"/>
      <c r="K241" s="48" t="n"/>
      <c r="L241" s="48" t="n"/>
      <c r="M241" s="48" t="n"/>
      <c r="N241" s="48" t="n"/>
      <c r="O241" s="51">
        <f>IF(AND(B241="",G241="",C241="",D241="",J241=""),"",IF(B241="","⚠ Falta fecha",IF(G241="","⚠ Falta monto",IF(Q241="","⚠ Falta cuenta",IF(ISNA(MATCH(Q241,ctaNombre,0)),"⚠ Cuenta no registrada",IF(AND(OR(P241="Gasto",P241="Reembolso"),D241=""),"⚠ Falta categoría",IF(AND(D241&lt;&gt;"",E241&lt;&gt;"",ISNA(MATCH(D241&amp;"|"&amp;E241,catClave,0))),"⚠ Subcategoría no corresponde",IF(AND(OR(P241="Transferencia",P241="Pago tarjeta"),K241=""),"⚠ Falta cuenta destino",IF(AND(K241&lt;&gt;"",P241&lt;&gt;"Transferencia",P241&lt;&gt;"Pago tarjeta"),"⚠ Destino solo aplica a transferencias",IF(AND(K241&lt;&gt;"",K241=Q241),"⚠ Origen igual a destino",IF(AND(K241&lt;&gt;"",ISNA(MATCH(K241,ctaNombre,0))),"⚠ Destino no registrado",IF(AND(P241="Pago tarjeta",AE241&lt;&gt;"Tarjeta de crédito"),"⚠ El destino debe ser tarjeta de crédito",IF(AND(P241="Gasto",E241="Depósitos y retiros"),"⚠ Usa tipo Transferencia",IF(AND(P241="Resultado trading",AD241&lt;&gt;"Cuenta de trading"),"⚠ Usa una cuenta de trading",IF(AND(G241&lt;=0,P241&lt;&gt;"Ajuste",P241&lt;&gt;"Resultado trading"),"⚠ El monto debe ser positivo","✓")))))))))))))))</f>
        <v/>
      </c>
      <c r="P241" s="52">
        <f>IF(OR(B241="",G241=""),"",IF(C241="","Gasto",C241))</f>
        <v/>
      </c>
      <c r="Q241" s="52">
        <f>IF(P241="","",IF(J241&lt;&gt;"",J241,CuentaPred&amp;""))</f>
        <v/>
      </c>
      <c r="R241" s="52">
        <f>IF(P241="","",IF(ISNUMBER(I241),I241,TasaUSD))</f>
        <v/>
      </c>
      <c r="S241" s="53">
        <f>IF(P241="","",IF(H241="USD",G241*R241,G241))</f>
        <v/>
      </c>
      <c r="T241" s="53">
        <f>IF(P241="","",IF(H241="USD",G241,IF(R241&gt;0,G241/R241,0)))</f>
        <v/>
      </c>
      <c r="U241" s="53">
        <f>IF(P241="","",IF(P241="Gasto",S241,IF(P241="Reembolso",-S241,0)))</f>
        <v/>
      </c>
      <c r="V241" s="53">
        <f>IF(P241="","",IF(P241="Ingreso",S241,0))</f>
        <v/>
      </c>
      <c r="W241" s="53">
        <f>IF(P241="","",IF(P241="Resultado trading",S241,0))</f>
        <v/>
      </c>
      <c r="X241" s="52">
        <f>IF(OR(P241="Gasto",P241="Reembolso"),IF(M241&lt;&gt;"",M241,IFERROR(INDEX(catClasif,MATCH(D241&amp;"|"&amp;E241,catClave,0))&amp;"","Variable")),"")</f>
        <v/>
      </c>
      <c r="Y241" s="52">
        <f>IF(P241="","",IFERROR(INDEX(catGrupo,MATCH(D241&amp;"|"&amp;E241,catClave,0))&amp;"",""))</f>
        <v/>
      </c>
      <c r="Z241" s="52">
        <f>IF(P241="","",WEEKDAY(B241,2))</f>
        <v/>
      </c>
      <c r="AA241" s="52">
        <f>IF(P241="","",IF(AND(P241="Gasto",X241="Variable",D241&lt;&gt;catTrading,S241&gt;0,S241&lt;=Umbral),1,0))</f>
        <v/>
      </c>
      <c r="AB241" s="52">
        <f>IF(OR(P241="",Q241=""),"",IFERROR(IF(INDEX(ctaVinc,MATCH(Q241,ctaNombre,0))&amp;""&lt;&gt;"",INDEX(ctaVinc,MATCH(Q241,ctaNombre,0))&amp;"",Q241),Q241))</f>
        <v/>
      </c>
      <c r="AC241" s="52">
        <f>IF(OR(K241="",AND(P241&lt;&gt;"Transferencia",P241&lt;&gt;"Pago tarjeta")),"",IFERROR(IF(INDEX(ctaVinc,MATCH(K241,ctaNombre,0))&amp;""&lt;&gt;"",INDEX(ctaVinc,MATCH(K241,ctaNombre,0))&amp;"",K241),K241))</f>
        <v/>
      </c>
      <c r="AD241" s="52">
        <f>IF(AB241="","",IFERROR(INDEX(ctaTipo,MATCH(AB241,ctaNombre,0))&amp;"",""))</f>
        <v/>
      </c>
      <c r="AE241" s="52">
        <f>IF(AC241="","",IFERROR(INDEX(ctaTipo,MATCH(AC241,ctaNombre,0))&amp;"",""))</f>
        <v/>
      </c>
      <c r="AF241" s="53">
        <f>IF(OR(P241="",AB241=""),"",IF(OR(P241="Gasto",P241="Transferencia",P241="Pago tarjeta"),-1,1)*IF(IFERROR(INDEX(ctaMoneda,MATCH(AB241,ctaNombre,0))&amp;"","DOP")="USD",T241,S241))</f>
        <v/>
      </c>
      <c r="AG241" s="53">
        <f>IF(AC241="","",IF(IFERROR(INDEX(ctaMoneda,MATCH(AC241,ctaNombre,0))&amp;"","DOP")="USD",T241,S241))</f>
        <v/>
      </c>
      <c r="AH241" s="53">
        <f>IF(P241="","",IF(AND(AD241&lt;&gt;"",COUNTIFS(tcTipo,AD241,tcLiq,"Sí")&gt;0),IF(OR(P241="Gasto",P241="Transferencia",P241="Pago tarjeta"),-1,1)*S241,0)+IF(AND(AE241&lt;&gt;"",COUNTIFS(tcTipo,AE241,tcLiq,"Sí")&gt;0),S241,0))</f>
        <v/>
      </c>
      <c r="AI241" s="52">
        <f>IF(OR(L241="",P241=""),"",IF(COUNTIFS(L$6:L241,L241,P$6:P241,"?*")=1,MAX(AI$5:AI240)+1,""))</f>
        <v/>
      </c>
    </row>
    <row r="242">
      <c r="B242" s="47" t="n"/>
      <c r="C242" s="48" t="n"/>
      <c r="D242" s="48" t="n"/>
      <c r="E242" s="48" t="n"/>
      <c r="F242" s="48" t="n"/>
      <c r="G242" s="49" t="n"/>
      <c r="H242" s="48" t="n"/>
      <c r="I242" s="50" t="n"/>
      <c r="J242" s="48" t="n"/>
      <c r="K242" s="48" t="n"/>
      <c r="L242" s="48" t="n"/>
      <c r="M242" s="48" t="n"/>
      <c r="N242" s="48" t="n"/>
      <c r="O242" s="51">
        <f>IF(AND(B242="",G242="",C242="",D242="",J242=""),"",IF(B242="","⚠ Falta fecha",IF(G242="","⚠ Falta monto",IF(Q242="","⚠ Falta cuenta",IF(ISNA(MATCH(Q242,ctaNombre,0)),"⚠ Cuenta no registrada",IF(AND(OR(P242="Gasto",P242="Reembolso"),D242=""),"⚠ Falta categoría",IF(AND(D242&lt;&gt;"",E242&lt;&gt;"",ISNA(MATCH(D242&amp;"|"&amp;E242,catClave,0))),"⚠ Subcategoría no corresponde",IF(AND(OR(P242="Transferencia",P242="Pago tarjeta"),K242=""),"⚠ Falta cuenta destino",IF(AND(K242&lt;&gt;"",P242&lt;&gt;"Transferencia",P242&lt;&gt;"Pago tarjeta"),"⚠ Destino solo aplica a transferencias",IF(AND(K242&lt;&gt;"",K242=Q242),"⚠ Origen igual a destino",IF(AND(K242&lt;&gt;"",ISNA(MATCH(K242,ctaNombre,0))),"⚠ Destino no registrado",IF(AND(P242="Pago tarjeta",AE242&lt;&gt;"Tarjeta de crédito"),"⚠ El destino debe ser tarjeta de crédito",IF(AND(P242="Gasto",E242="Depósitos y retiros"),"⚠ Usa tipo Transferencia",IF(AND(P242="Resultado trading",AD242&lt;&gt;"Cuenta de trading"),"⚠ Usa una cuenta de trading",IF(AND(G242&lt;=0,P242&lt;&gt;"Ajuste",P242&lt;&gt;"Resultado trading"),"⚠ El monto debe ser positivo","✓")))))))))))))))</f>
        <v/>
      </c>
      <c r="P242" s="52">
        <f>IF(OR(B242="",G242=""),"",IF(C242="","Gasto",C242))</f>
        <v/>
      </c>
      <c r="Q242" s="52">
        <f>IF(P242="","",IF(J242&lt;&gt;"",J242,CuentaPred&amp;""))</f>
        <v/>
      </c>
      <c r="R242" s="52">
        <f>IF(P242="","",IF(ISNUMBER(I242),I242,TasaUSD))</f>
        <v/>
      </c>
      <c r="S242" s="53">
        <f>IF(P242="","",IF(H242="USD",G242*R242,G242))</f>
        <v/>
      </c>
      <c r="T242" s="53">
        <f>IF(P242="","",IF(H242="USD",G242,IF(R242&gt;0,G242/R242,0)))</f>
        <v/>
      </c>
      <c r="U242" s="53">
        <f>IF(P242="","",IF(P242="Gasto",S242,IF(P242="Reembolso",-S242,0)))</f>
        <v/>
      </c>
      <c r="V242" s="53">
        <f>IF(P242="","",IF(P242="Ingreso",S242,0))</f>
        <v/>
      </c>
      <c r="W242" s="53">
        <f>IF(P242="","",IF(P242="Resultado trading",S242,0))</f>
        <v/>
      </c>
      <c r="X242" s="52">
        <f>IF(OR(P242="Gasto",P242="Reembolso"),IF(M242&lt;&gt;"",M242,IFERROR(INDEX(catClasif,MATCH(D242&amp;"|"&amp;E242,catClave,0))&amp;"","Variable")),"")</f>
        <v/>
      </c>
      <c r="Y242" s="52">
        <f>IF(P242="","",IFERROR(INDEX(catGrupo,MATCH(D242&amp;"|"&amp;E242,catClave,0))&amp;"",""))</f>
        <v/>
      </c>
      <c r="Z242" s="52">
        <f>IF(P242="","",WEEKDAY(B242,2))</f>
        <v/>
      </c>
      <c r="AA242" s="52">
        <f>IF(P242="","",IF(AND(P242="Gasto",X242="Variable",D242&lt;&gt;catTrading,S242&gt;0,S242&lt;=Umbral),1,0))</f>
        <v/>
      </c>
      <c r="AB242" s="52">
        <f>IF(OR(P242="",Q242=""),"",IFERROR(IF(INDEX(ctaVinc,MATCH(Q242,ctaNombre,0))&amp;""&lt;&gt;"",INDEX(ctaVinc,MATCH(Q242,ctaNombre,0))&amp;"",Q242),Q242))</f>
        <v/>
      </c>
      <c r="AC242" s="52">
        <f>IF(OR(K242="",AND(P242&lt;&gt;"Transferencia",P242&lt;&gt;"Pago tarjeta")),"",IFERROR(IF(INDEX(ctaVinc,MATCH(K242,ctaNombre,0))&amp;""&lt;&gt;"",INDEX(ctaVinc,MATCH(K242,ctaNombre,0))&amp;"",K242),K242))</f>
        <v/>
      </c>
      <c r="AD242" s="52">
        <f>IF(AB242="","",IFERROR(INDEX(ctaTipo,MATCH(AB242,ctaNombre,0))&amp;"",""))</f>
        <v/>
      </c>
      <c r="AE242" s="52">
        <f>IF(AC242="","",IFERROR(INDEX(ctaTipo,MATCH(AC242,ctaNombre,0))&amp;"",""))</f>
        <v/>
      </c>
      <c r="AF242" s="53">
        <f>IF(OR(P242="",AB242=""),"",IF(OR(P242="Gasto",P242="Transferencia",P242="Pago tarjeta"),-1,1)*IF(IFERROR(INDEX(ctaMoneda,MATCH(AB242,ctaNombre,0))&amp;"","DOP")="USD",T242,S242))</f>
        <v/>
      </c>
      <c r="AG242" s="53">
        <f>IF(AC242="","",IF(IFERROR(INDEX(ctaMoneda,MATCH(AC242,ctaNombre,0))&amp;"","DOP")="USD",T242,S242))</f>
        <v/>
      </c>
      <c r="AH242" s="53">
        <f>IF(P242="","",IF(AND(AD242&lt;&gt;"",COUNTIFS(tcTipo,AD242,tcLiq,"Sí")&gt;0),IF(OR(P242="Gasto",P242="Transferencia",P242="Pago tarjeta"),-1,1)*S242,0)+IF(AND(AE242&lt;&gt;"",COUNTIFS(tcTipo,AE242,tcLiq,"Sí")&gt;0),S242,0))</f>
        <v/>
      </c>
      <c r="AI242" s="52">
        <f>IF(OR(L242="",P242=""),"",IF(COUNTIFS(L$6:L242,L242,P$6:P242,"?*")=1,MAX(AI$5:AI241)+1,""))</f>
        <v/>
      </c>
    </row>
    <row r="243">
      <c r="B243" s="47" t="n"/>
      <c r="C243" s="48" t="n"/>
      <c r="D243" s="48" t="n"/>
      <c r="E243" s="48" t="n"/>
      <c r="F243" s="48" t="n"/>
      <c r="G243" s="49" t="n"/>
      <c r="H243" s="48" t="n"/>
      <c r="I243" s="50" t="n"/>
      <c r="J243" s="48" t="n"/>
      <c r="K243" s="48" t="n"/>
      <c r="L243" s="48" t="n"/>
      <c r="M243" s="48" t="n"/>
      <c r="N243" s="48" t="n"/>
      <c r="O243" s="51">
        <f>IF(AND(B243="",G243="",C243="",D243="",J243=""),"",IF(B243="","⚠ Falta fecha",IF(G243="","⚠ Falta monto",IF(Q243="","⚠ Falta cuenta",IF(ISNA(MATCH(Q243,ctaNombre,0)),"⚠ Cuenta no registrada",IF(AND(OR(P243="Gasto",P243="Reembolso"),D243=""),"⚠ Falta categoría",IF(AND(D243&lt;&gt;"",E243&lt;&gt;"",ISNA(MATCH(D243&amp;"|"&amp;E243,catClave,0))),"⚠ Subcategoría no corresponde",IF(AND(OR(P243="Transferencia",P243="Pago tarjeta"),K243=""),"⚠ Falta cuenta destino",IF(AND(K243&lt;&gt;"",P243&lt;&gt;"Transferencia",P243&lt;&gt;"Pago tarjeta"),"⚠ Destino solo aplica a transferencias",IF(AND(K243&lt;&gt;"",K243=Q243),"⚠ Origen igual a destino",IF(AND(K243&lt;&gt;"",ISNA(MATCH(K243,ctaNombre,0))),"⚠ Destino no registrado",IF(AND(P243="Pago tarjeta",AE243&lt;&gt;"Tarjeta de crédito"),"⚠ El destino debe ser tarjeta de crédito",IF(AND(P243="Gasto",E243="Depósitos y retiros"),"⚠ Usa tipo Transferencia",IF(AND(P243="Resultado trading",AD243&lt;&gt;"Cuenta de trading"),"⚠ Usa una cuenta de trading",IF(AND(G243&lt;=0,P243&lt;&gt;"Ajuste",P243&lt;&gt;"Resultado trading"),"⚠ El monto debe ser positivo","✓")))))))))))))))</f>
        <v/>
      </c>
      <c r="P243" s="52">
        <f>IF(OR(B243="",G243=""),"",IF(C243="","Gasto",C243))</f>
        <v/>
      </c>
      <c r="Q243" s="52">
        <f>IF(P243="","",IF(J243&lt;&gt;"",J243,CuentaPred&amp;""))</f>
        <v/>
      </c>
      <c r="R243" s="52">
        <f>IF(P243="","",IF(ISNUMBER(I243),I243,TasaUSD))</f>
        <v/>
      </c>
      <c r="S243" s="53">
        <f>IF(P243="","",IF(H243="USD",G243*R243,G243))</f>
        <v/>
      </c>
      <c r="T243" s="53">
        <f>IF(P243="","",IF(H243="USD",G243,IF(R243&gt;0,G243/R243,0)))</f>
        <v/>
      </c>
      <c r="U243" s="53">
        <f>IF(P243="","",IF(P243="Gasto",S243,IF(P243="Reembolso",-S243,0)))</f>
        <v/>
      </c>
      <c r="V243" s="53">
        <f>IF(P243="","",IF(P243="Ingreso",S243,0))</f>
        <v/>
      </c>
      <c r="W243" s="53">
        <f>IF(P243="","",IF(P243="Resultado trading",S243,0))</f>
        <v/>
      </c>
      <c r="X243" s="52">
        <f>IF(OR(P243="Gasto",P243="Reembolso"),IF(M243&lt;&gt;"",M243,IFERROR(INDEX(catClasif,MATCH(D243&amp;"|"&amp;E243,catClave,0))&amp;"","Variable")),"")</f>
        <v/>
      </c>
      <c r="Y243" s="52">
        <f>IF(P243="","",IFERROR(INDEX(catGrupo,MATCH(D243&amp;"|"&amp;E243,catClave,0))&amp;"",""))</f>
        <v/>
      </c>
      <c r="Z243" s="52">
        <f>IF(P243="","",WEEKDAY(B243,2))</f>
        <v/>
      </c>
      <c r="AA243" s="52">
        <f>IF(P243="","",IF(AND(P243="Gasto",X243="Variable",D243&lt;&gt;catTrading,S243&gt;0,S243&lt;=Umbral),1,0))</f>
        <v/>
      </c>
      <c r="AB243" s="52">
        <f>IF(OR(P243="",Q243=""),"",IFERROR(IF(INDEX(ctaVinc,MATCH(Q243,ctaNombre,0))&amp;""&lt;&gt;"",INDEX(ctaVinc,MATCH(Q243,ctaNombre,0))&amp;"",Q243),Q243))</f>
        <v/>
      </c>
      <c r="AC243" s="52">
        <f>IF(OR(K243="",AND(P243&lt;&gt;"Transferencia",P243&lt;&gt;"Pago tarjeta")),"",IFERROR(IF(INDEX(ctaVinc,MATCH(K243,ctaNombre,0))&amp;""&lt;&gt;"",INDEX(ctaVinc,MATCH(K243,ctaNombre,0))&amp;"",K243),K243))</f>
        <v/>
      </c>
      <c r="AD243" s="52">
        <f>IF(AB243="","",IFERROR(INDEX(ctaTipo,MATCH(AB243,ctaNombre,0))&amp;"",""))</f>
        <v/>
      </c>
      <c r="AE243" s="52">
        <f>IF(AC243="","",IFERROR(INDEX(ctaTipo,MATCH(AC243,ctaNombre,0))&amp;"",""))</f>
        <v/>
      </c>
      <c r="AF243" s="53">
        <f>IF(OR(P243="",AB243=""),"",IF(OR(P243="Gasto",P243="Transferencia",P243="Pago tarjeta"),-1,1)*IF(IFERROR(INDEX(ctaMoneda,MATCH(AB243,ctaNombre,0))&amp;"","DOP")="USD",T243,S243))</f>
        <v/>
      </c>
      <c r="AG243" s="53">
        <f>IF(AC243="","",IF(IFERROR(INDEX(ctaMoneda,MATCH(AC243,ctaNombre,0))&amp;"","DOP")="USD",T243,S243))</f>
        <v/>
      </c>
      <c r="AH243" s="53">
        <f>IF(P243="","",IF(AND(AD243&lt;&gt;"",COUNTIFS(tcTipo,AD243,tcLiq,"Sí")&gt;0),IF(OR(P243="Gasto",P243="Transferencia",P243="Pago tarjeta"),-1,1)*S243,0)+IF(AND(AE243&lt;&gt;"",COUNTIFS(tcTipo,AE243,tcLiq,"Sí")&gt;0),S243,0))</f>
        <v/>
      </c>
      <c r="AI243" s="52">
        <f>IF(OR(L243="",P243=""),"",IF(COUNTIFS(L$6:L243,L243,P$6:P243,"?*")=1,MAX(AI$5:AI242)+1,""))</f>
        <v/>
      </c>
    </row>
    <row r="244">
      <c r="B244" s="47" t="n"/>
      <c r="C244" s="48" t="n"/>
      <c r="D244" s="48" t="n"/>
      <c r="E244" s="48" t="n"/>
      <c r="F244" s="48" t="n"/>
      <c r="G244" s="49" t="n"/>
      <c r="H244" s="48" t="n"/>
      <c r="I244" s="50" t="n"/>
      <c r="J244" s="48" t="n"/>
      <c r="K244" s="48" t="n"/>
      <c r="L244" s="48" t="n"/>
      <c r="M244" s="48" t="n"/>
      <c r="N244" s="48" t="n"/>
      <c r="O244" s="51">
        <f>IF(AND(B244="",G244="",C244="",D244="",J244=""),"",IF(B244="","⚠ Falta fecha",IF(G244="","⚠ Falta monto",IF(Q244="","⚠ Falta cuenta",IF(ISNA(MATCH(Q244,ctaNombre,0)),"⚠ Cuenta no registrada",IF(AND(OR(P244="Gasto",P244="Reembolso"),D244=""),"⚠ Falta categoría",IF(AND(D244&lt;&gt;"",E244&lt;&gt;"",ISNA(MATCH(D244&amp;"|"&amp;E244,catClave,0))),"⚠ Subcategoría no corresponde",IF(AND(OR(P244="Transferencia",P244="Pago tarjeta"),K244=""),"⚠ Falta cuenta destino",IF(AND(K244&lt;&gt;"",P244&lt;&gt;"Transferencia",P244&lt;&gt;"Pago tarjeta"),"⚠ Destino solo aplica a transferencias",IF(AND(K244&lt;&gt;"",K244=Q244),"⚠ Origen igual a destino",IF(AND(K244&lt;&gt;"",ISNA(MATCH(K244,ctaNombre,0))),"⚠ Destino no registrado",IF(AND(P244="Pago tarjeta",AE244&lt;&gt;"Tarjeta de crédito"),"⚠ El destino debe ser tarjeta de crédito",IF(AND(P244="Gasto",E244="Depósitos y retiros"),"⚠ Usa tipo Transferencia",IF(AND(P244="Resultado trading",AD244&lt;&gt;"Cuenta de trading"),"⚠ Usa una cuenta de trading",IF(AND(G244&lt;=0,P244&lt;&gt;"Ajuste",P244&lt;&gt;"Resultado trading"),"⚠ El monto debe ser positivo","✓")))))))))))))))</f>
        <v/>
      </c>
      <c r="P244" s="52">
        <f>IF(OR(B244="",G244=""),"",IF(C244="","Gasto",C244))</f>
        <v/>
      </c>
      <c r="Q244" s="52">
        <f>IF(P244="","",IF(J244&lt;&gt;"",J244,CuentaPred&amp;""))</f>
        <v/>
      </c>
      <c r="R244" s="52">
        <f>IF(P244="","",IF(ISNUMBER(I244),I244,TasaUSD))</f>
        <v/>
      </c>
      <c r="S244" s="53">
        <f>IF(P244="","",IF(H244="USD",G244*R244,G244))</f>
        <v/>
      </c>
      <c r="T244" s="53">
        <f>IF(P244="","",IF(H244="USD",G244,IF(R244&gt;0,G244/R244,0)))</f>
        <v/>
      </c>
      <c r="U244" s="53">
        <f>IF(P244="","",IF(P244="Gasto",S244,IF(P244="Reembolso",-S244,0)))</f>
        <v/>
      </c>
      <c r="V244" s="53">
        <f>IF(P244="","",IF(P244="Ingreso",S244,0))</f>
        <v/>
      </c>
      <c r="W244" s="53">
        <f>IF(P244="","",IF(P244="Resultado trading",S244,0))</f>
        <v/>
      </c>
      <c r="X244" s="52">
        <f>IF(OR(P244="Gasto",P244="Reembolso"),IF(M244&lt;&gt;"",M244,IFERROR(INDEX(catClasif,MATCH(D244&amp;"|"&amp;E244,catClave,0))&amp;"","Variable")),"")</f>
        <v/>
      </c>
      <c r="Y244" s="52">
        <f>IF(P244="","",IFERROR(INDEX(catGrupo,MATCH(D244&amp;"|"&amp;E244,catClave,0))&amp;"",""))</f>
        <v/>
      </c>
      <c r="Z244" s="52">
        <f>IF(P244="","",WEEKDAY(B244,2))</f>
        <v/>
      </c>
      <c r="AA244" s="52">
        <f>IF(P244="","",IF(AND(P244="Gasto",X244="Variable",D244&lt;&gt;catTrading,S244&gt;0,S244&lt;=Umbral),1,0))</f>
        <v/>
      </c>
      <c r="AB244" s="52">
        <f>IF(OR(P244="",Q244=""),"",IFERROR(IF(INDEX(ctaVinc,MATCH(Q244,ctaNombre,0))&amp;""&lt;&gt;"",INDEX(ctaVinc,MATCH(Q244,ctaNombre,0))&amp;"",Q244),Q244))</f>
        <v/>
      </c>
      <c r="AC244" s="52">
        <f>IF(OR(K244="",AND(P244&lt;&gt;"Transferencia",P244&lt;&gt;"Pago tarjeta")),"",IFERROR(IF(INDEX(ctaVinc,MATCH(K244,ctaNombre,0))&amp;""&lt;&gt;"",INDEX(ctaVinc,MATCH(K244,ctaNombre,0))&amp;"",K244),K244))</f>
        <v/>
      </c>
      <c r="AD244" s="52">
        <f>IF(AB244="","",IFERROR(INDEX(ctaTipo,MATCH(AB244,ctaNombre,0))&amp;"",""))</f>
        <v/>
      </c>
      <c r="AE244" s="52">
        <f>IF(AC244="","",IFERROR(INDEX(ctaTipo,MATCH(AC244,ctaNombre,0))&amp;"",""))</f>
        <v/>
      </c>
      <c r="AF244" s="53">
        <f>IF(OR(P244="",AB244=""),"",IF(OR(P244="Gasto",P244="Transferencia",P244="Pago tarjeta"),-1,1)*IF(IFERROR(INDEX(ctaMoneda,MATCH(AB244,ctaNombre,0))&amp;"","DOP")="USD",T244,S244))</f>
        <v/>
      </c>
      <c r="AG244" s="53">
        <f>IF(AC244="","",IF(IFERROR(INDEX(ctaMoneda,MATCH(AC244,ctaNombre,0))&amp;"","DOP")="USD",T244,S244))</f>
        <v/>
      </c>
      <c r="AH244" s="53">
        <f>IF(P244="","",IF(AND(AD244&lt;&gt;"",COUNTIFS(tcTipo,AD244,tcLiq,"Sí")&gt;0),IF(OR(P244="Gasto",P244="Transferencia",P244="Pago tarjeta"),-1,1)*S244,0)+IF(AND(AE244&lt;&gt;"",COUNTIFS(tcTipo,AE244,tcLiq,"Sí")&gt;0),S244,0))</f>
        <v/>
      </c>
      <c r="AI244" s="52">
        <f>IF(OR(L244="",P244=""),"",IF(COUNTIFS(L$6:L244,L244,P$6:P244,"?*")=1,MAX(AI$5:AI243)+1,""))</f>
        <v/>
      </c>
    </row>
    <row r="245">
      <c r="B245" s="47" t="n"/>
      <c r="C245" s="48" t="n"/>
      <c r="D245" s="48" t="n"/>
      <c r="E245" s="48" t="n"/>
      <c r="F245" s="48" t="n"/>
      <c r="G245" s="49" t="n"/>
      <c r="H245" s="48" t="n"/>
      <c r="I245" s="50" t="n"/>
      <c r="J245" s="48" t="n"/>
      <c r="K245" s="48" t="n"/>
      <c r="L245" s="48" t="n"/>
      <c r="M245" s="48" t="n"/>
      <c r="N245" s="48" t="n"/>
      <c r="O245" s="51">
        <f>IF(AND(B245="",G245="",C245="",D245="",J245=""),"",IF(B245="","⚠ Falta fecha",IF(G245="","⚠ Falta monto",IF(Q245="","⚠ Falta cuenta",IF(ISNA(MATCH(Q245,ctaNombre,0)),"⚠ Cuenta no registrada",IF(AND(OR(P245="Gasto",P245="Reembolso"),D245=""),"⚠ Falta categoría",IF(AND(D245&lt;&gt;"",E245&lt;&gt;"",ISNA(MATCH(D245&amp;"|"&amp;E245,catClave,0))),"⚠ Subcategoría no corresponde",IF(AND(OR(P245="Transferencia",P245="Pago tarjeta"),K245=""),"⚠ Falta cuenta destino",IF(AND(K245&lt;&gt;"",P245&lt;&gt;"Transferencia",P245&lt;&gt;"Pago tarjeta"),"⚠ Destino solo aplica a transferencias",IF(AND(K245&lt;&gt;"",K245=Q245),"⚠ Origen igual a destino",IF(AND(K245&lt;&gt;"",ISNA(MATCH(K245,ctaNombre,0))),"⚠ Destino no registrado",IF(AND(P245="Pago tarjeta",AE245&lt;&gt;"Tarjeta de crédito"),"⚠ El destino debe ser tarjeta de crédito",IF(AND(P245="Gasto",E245="Depósitos y retiros"),"⚠ Usa tipo Transferencia",IF(AND(P245="Resultado trading",AD245&lt;&gt;"Cuenta de trading"),"⚠ Usa una cuenta de trading",IF(AND(G245&lt;=0,P245&lt;&gt;"Ajuste",P245&lt;&gt;"Resultado trading"),"⚠ El monto debe ser positivo","✓")))))))))))))))</f>
        <v/>
      </c>
      <c r="P245" s="52">
        <f>IF(OR(B245="",G245=""),"",IF(C245="","Gasto",C245))</f>
        <v/>
      </c>
      <c r="Q245" s="52">
        <f>IF(P245="","",IF(J245&lt;&gt;"",J245,CuentaPred&amp;""))</f>
        <v/>
      </c>
      <c r="R245" s="52">
        <f>IF(P245="","",IF(ISNUMBER(I245),I245,TasaUSD))</f>
        <v/>
      </c>
      <c r="S245" s="53">
        <f>IF(P245="","",IF(H245="USD",G245*R245,G245))</f>
        <v/>
      </c>
      <c r="T245" s="53">
        <f>IF(P245="","",IF(H245="USD",G245,IF(R245&gt;0,G245/R245,0)))</f>
        <v/>
      </c>
      <c r="U245" s="53">
        <f>IF(P245="","",IF(P245="Gasto",S245,IF(P245="Reembolso",-S245,0)))</f>
        <v/>
      </c>
      <c r="V245" s="53">
        <f>IF(P245="","",IF(P245="Ingreso",S245,0))</f>
        <v/>
      </c>
      <c r="W245" s="53">
        <f>IF(P245="","",IF(P245="Resultado trading",S245,0))</f>
        <v/>
      </c>
      <c r="X245" s="52">
        <f>IF(OR(P245="Gasto",P245="Reembolso"),IF(M245&lt;&gt;"",M245,IFERROR(INDEX(catClasif,MATCH(D245&amp;"|"&amp;E245,catClave,0))&amp;"","Variable")),"")</f>
        <v/>
      </c>
      <c r="Y245" s="52">
        <f>IF(P245="","",IFERROR(INDEX(catGrupo,MATCH(D245&amp;"|"&amp;E245,catClave,0))&amp;"",""))</f>
        <v/>
      </c>
      <c r="Z245" s="52">
        <f>IF(P245="","",WEEKDAY(B245,2))</f>
        <v/>
      </c>
      <c r="AA245" s="52">
        <f>IF(P245="","",IF(AND(P245="Gasto",X245="Variable",D245&lt;&gt;catTrading,S245&gt;0,S245&lt;=Umbral),1,0))</f>
        <v/>
      </c>
      <c r="AB245" s="52">
        <f>IF(OR(P245="",Q245=""),"",IFERROR(IF(INDEX(ctaVinc,MATCH(Q245,ctaNombre,0))&amp;""&lt;&gt;"",INDEX(ctaVinc,MATCH(Q245,ctaNombre,0))&amp;"",Q245),Q245))</f>
        <v/>
      </c>
      <c r="AC245" s="52">
        <f>IF(OR(K245="",AND(P245&lt;&gt;"Transferencia",P245&lt;&gt;"Pago tarjeta")),"",IFERROR(IF(INDEX(ctaVinc,MATCH(K245,ctaNombre,0))&amp;""&lt;&gt;"",INDEX(ctaVinc,MATCH(K245,ctaNombre,0))&amp;"",K245),K245))</f>
        <v/>
      </c>
      <c r="AD245" s="52">
        <f>IF(AB245="","",IFERROR(INDEX(ctaTipo,MATCH(AB245,ctaNombre,0))&amp;"",""))</f>
        <v/>
      </c>
      <c r="AE245" s="52">
        <f>IF(AC245="","",IFERROR(INDEX(ctaTipo,MATCH(AC245,ctaNombre,0))&amp;"",""))</f>
        <v/>
      </c>
      <c r="AF245" s="53">
        <f>IF(OR(P245="",AB245=""),"",IF(OR(P245="Gasto",P245="Transferencia",P245="Pago tarjeta"),-1,1)*IF(IFERROR(INDEX(ctaMoneda,MATCH(AB245,ctaNombre,0))&amp;"","DOP")="USD",T245,S245))</f>
        <v/>
      </c>
      <c r="AG245" s="53">
        <f>IF(AC245="","",IF(IFERROR(INDEX(ctaMoneda,MATCH(AC245,ctaNombre,0))&amp;"","DOP")="USD",T245,S245))</f>
        <v/>
      </c>
      <c r="AH245" s="53">
        <f>IF(P245="","",IF(AND(AD245&lt;&gt;"",COUNTIFS(tcTipo,AD245,tcLiq,"Sí")&gt;0),IF(OR(P245="Gasto",P245="Transferencia",P245="Pago tarjeta"),-1,1)*S245,0)+IF(AND(AE245&lt;&gt;"",COUNTIFS(tcTipo,AE245,tcLiq,"Sí")&gt;0),S245,0))</f>
        <v/>
      </c>
      <c r="AI245" s="52">
        <f>IF(OR(L245="",P245=""),"",IF(COUNTIFS(L$6:L245,L245,P$6:P245,"?*")=1,MAX(AI$5:AI244)+1,""))</f>
        <v/>
      </c>
    </row>
    <row r="246">
      <c r="B246" s="47" t="n"/>
      <c r="C246" s="48" t="n"/>
      <c r="D246" s="48" t="n"/>
      <c r="E246" s="48" t="n"/>
      <c r="F246" s="48" t="n"/>
      <c r="G246" s="49" t="n"/>
      <c r="H246" s="48" t="n"/>
      <c r="I246" s="50" t="n"/>
      <c r="J246" s="48" t="n"/>
      <c r="K246" s="48" t="n"/>
      <c r="L246" s="48" t="n"/>
      <c r="M246" s="48" t="n"/>
      <c r="N246" s="48" t="n"/>
      <c r="O246" s="51">
        <f>IF(AND(B246="",G246="",C246="",D246="",J246=""),"",IF(B246="","⚠ Falta fecha",IF(G246="","⚠ Falta monto",IF(Q246="","⚠ Falta cuenta",IF(ISNA(MATCH(Q246,ctaNombre,0)),"⚠ Cuenta no registrada",IF(AND(OR(P246="Gasto",P246="Reembolso"),D246=""),"⚠ Falta categoría",IF(AND(D246&lt;&gt;"",E246&lt;&gt;"",ISNA(MATCH(D246&amp;"|"&amp;E246,catClave,0))),"⚠ Subcategoría no corresponde",IF(AND(OR(P246="Transferencia",P246="Pago tarjeta"),K246=""),"⚠ Falta cuenta destino",IF(AND(K246&lt;&gt;"",P246&lt;&gt;"Transferencia",P246&lt;&gt;"Pago tarjeta"),"⚠ Destino solo aplica a transferencias",IF(AND(K246&lt;&gt;"",K246=Q246),"⚠ Origen igual a destino",IF(AND(K246&lt;&gt;"",ISNA(MATCH(K246,ctaNombre,0))),"⚠ Destino no registrado",IF(AND(P246="Pago tarjeta",AE246&lt;&gt;"Tarjeta de crédito"),"⚠ El destino debe ser tarjeta de crédito",IF(AND(P246="Gasto",E246="Depósitos y retiros"),"⚠ Usa tipo Transferencia",IF(AND(P246="Resultado trading",AD246&lt;&gt;"Cuenta de trading"),"⚠ Usa una cuenta de trading",IF(AND(G246&lt;=0,P246&lt;&gt;"Ajuste",P246&lt;&gt;"Resultado trading"),"⚠ El monto debe ser positivo","✓")))))))))))))))</f>
        <v/>
      </c>
      <c r="P246" s="52">
        <f>IF(OR(B246="",G246=""),"",IF(C246="","Gasto",C246))</f>
        <v/>
      </c>
      <c r="Q246" s="52">
        <f>IF(P246="","",IF(J246&lt;&gt;"",J246,CuentaPred&amp;""))</f>
        <v/>
      </c>
      <c r="R246" s="52">
        <f>IF(P246="","",IF(ISNUMBER(I246),I246,TasaUSD))</f>
        <v/>
      </c>
      <c r="S246" s="53">
        <f>IF(P246="","",IF(H246="USD",G246*R246,G246))</f>
        <v/>
      </c>
      <c r="T246" s="53">
        <f>IF(P246="","",IF(H246="USD",G246,IF(R246&gt;0,G246/R246,0)))</f>
        <v/>
      </c>
      <c r="U246" s="53">
        <f>IF(P246="","",IF(P246="Gasto",S246,IF(P246="Reembolso",-S246,0)))</f>
        <v/>
      </c>
      <c r="V246" s="53">
        <f>IF(P246="","",IF(P246="Ingreso",S246,0))</f>
        <v/>
      </c>
      <c r="W246" s="53">
        <f>IF(P246="","",IF(P246="Resultado trading",S246,0))</f>
        <v/>
      </c>
      <c r="X246" s="52">
        <f>IF(OR(P246="Gasto",P246="Reembolso"),IF(M246&lt;&gt;"",M246,IFERROR(INDEX(catClasif,MATCH(D246&amp;"|"&amp;E246,catClave,0))&amp;"","Variable")),"")</f>
        <v/>
      </c>
      <c r="Y246" s="52">
        <f>IF(P246="","",IFERROR(INDEX(catGrupo,MATCH(D246&amp;"|"&amp;E246,catClave,0))&amp;"",""))</f>
        <v/>
      </c>
      <c r="Z246" s="52">
        <f>IF(P246="","",WEEKDAY(B246,2))</f>
        <v/>
      </c>
      <c r="AA246" s="52">
        <f>IF(P246="","",IF(AND(P246="Gasto",X246="Variable",D246&lt;&gt;catTrading,S246&gt;0,S246&lt;=Umbral),1,0))</f>
        <v/>
      </c>
      <c r="AB246" s="52">
        <f>IF(OR(P246="",Q246=""),"",IFERROR(IF(INDEX(ctaVinc,MATCH(Q246,ctaNombre,0))&amp;""&lt;&gt;"",INDEX(ctaVinc,MATCH(Q246,ctaNombre,0))&amp;"",Q246),Q246))</f>
        <v/>
      </c>
      <c r="AC246" s="52">
        <f>IF(OR(K246="",AND(P246&lt;&gt;"Transferencia",P246&lt;&gt;"Pago tarjeta")),"",IFERROR(IF(INDEX(ctaVinc,MATCH(K246,ctaNombre,0))&amp;""&lt;&gt;"",INDEX(ctaVinc,MATCH(K246,ctaNombre,0))&amp;"",K246),K246))</f>
        <v/>
      </c>
      <c r="AD246" s="52">
        <f>IF(AB246="","",IFERROR(INDEX(ctaTipo,MATCH(AB246,ctaNombre,0))&amp;"",""))</f>
        <v/>
      </c>
      <c r="AE246" s="52">
        <f>IF(AC246="","",IFERROR(INDEX(ctaTipo,MATCH(AC246,ctaNombre,0))&amp;"",""))</f>
        <v/>
      </c>
      <c r="AF246" s="53">
        <f>IF(OR(P246="",AB246=""),"",IF(OR(P246="Gasto",P246="Transferencia",P246="Pago tarjeta"),-1,1)*IF(IFERROR(INDEX(ctaMoneda,MATCH(AB246,ctaNombre,0))&amp;"","DOP")="USD",T246,S246))</f>
        <v/>
      </c>
      <c r="AG246" s="53">
        <f>IF(AC246="","",IF(IFERROR(INDEX(ctaMoneda,MATCH(AC246,ctaNombre,0))&amp;"","DOP")="USD",T246,S246))</f>
        <v/>
      </c>
      <c r="AH246" s="53">
        <f>IF(P246="","",IF(AND(AD246&lt;&gt;"",COUNTIFS(tcTipo,AD246,tcLiq,"Sí")&gt;0),IF(OR(P246="Gasto",P246="Transferencia",P246="Pago tarjeta"),-1,1)*S246,0)+IF(AND(AE246&lt;&gt;"",COUNTIFS(tcTipo,AE246,tcLiq,"Sí")&gt;0),S246,0))</f>
        <v/>
      </c>
      <c r="AI246" s="52">
        <f>IF(OR(L246="",P246=""),"",IF(COUNTIFS(L$6:L246,L246,P$6:P246,"?*")=1,MAX(AI$5:AI245)+1,""))</f>
        <v/>
      </c>
    </row>
    <row r="247">
      <c r="B247" s="47" t="n"/>
      <c r="C247" s="48" t="n"/>
      <c r="D247" s="48" t="n"/>
      <c r="E247" s="48" t="n"/>
      <c r="F247" s="48" t="n"/>
      <c r="G247" s="49" t="n"/>
      <c r="H247" s="48" t="n"/>
      <c r="I247" s="50" t="n"/>
      <c r="J247" s="48" t="n"/>
      <c r="K247" s="48" t="n"/>
      <c r="L247" s="48" t="n"/>
      <c r="M247" s="48" t="n"/>
      <c r="N247" s="48" t="n"/>
      <c r="O247" s="51">
        <f>IF(AND(B247="",G247="",C247="",D247="",J247=""),"",IF(B247="","⚠ Falta fecha",IF(G247="","⚠ Falta monto",IF(Q247="","⚠ Falta cuenta",IF(ISNA(MATCH(Q247,ctaNombre,0)),"⚠ Cuenta no registrada",IF(AND(OR(P247="Gasto",P247="Reembolso"),D247=""),"⚠ Falta categoría",IF(AND(D247&lt;&gt;"",E247&lt;&gt;"",ISNA(MATCH(D247&amp;"|"&amp;E247,catClave,0))),"⚠ Subcategoría no corresponde",IF(AND(OR(P247="Transferencia",P247="Pago tarjeta"),K247=""),"⚠ Falta cuenta destino",IF(AND(K247&lt;&gt;"",P247&lt;&gt;"Transferencia",P247&lt;&gt;"Pago tarjeta"),"⚠ Destino solo aplica a transferencias",IF(AND(K247&lt;&gt;"",K247=Q247),"⚠ Origen igual a destino",IF(AND(K247&lt;&gt;"",ISNA(MATCH(K247,ctaNombre,0))),"⚠ Destino no registrado",IF(AND(P247="Pago tarjeta",AE247&lt;&gt;"Tarjeta de crédito"),"⚠ El destino debe ser tarjeta de crédito",IF(AND(P247="Gasto",E247="Depósitos y retiros"),"⚠ Usa tipo Transferencia",IF(AND(P247="Resultado trading",AD247&lt;&gt;"Cuenta de trading"),"⚠ Usa una cuenta de trading",IF(AND(G247&lt;=0,P247&lt;&gt;"Ajuste",P247&lt;&gt;"Resultado trading"),"⚠ El monto debe ser positivo","✓")))))))))))))))</f>
        <v/>
      </c>
      <c r="P247" s="52">
        <f>IF(OR(B247="",G247=""),"",IF(C247="","Gasto",C247))</f>
        <v/>
      </c>
      <c r="Q247" s="52">
        <f>IF(P247="","",IF(J247&lt;&gt;"",J247,CuentaPred&amp;""))</f>
        <v/>
      </c>
      <c r="R247" s="52">
        <f>IF(P247="","",IF(ISNUMBER(I247),I247,TasaUSD))</f>
        <v/>
      </c>
      <c r="S247" s="53">
        <f>IF(P247="","",IF(H247="USD",G247*R247,G247))</f>
        <v/>
      </c>
      <c r="T247" s="53">
        <f>IF(P247="","",IF(H247="USD",G247,IF(R247&gt;0,G247/R247,0)))</f>
        <v/>
      </c>
      <c r="U247" s="53">
        <f>IF(P247="","",IF(P247="Gasto",S247,IF(P247="Reembolso",-S247,0)))</f>
        <v/>
      </c>
      <c r="V247" s="53">
        <f>IF(P247="","",IF(P247="Ingreso",S247,0))</f>
        <v/>
      </c>
      <c r="W247" s="53">
        <f>IF(P247="","",IF(P247="Resultado trading",S247,0))</f>
        <v/>
      </c>
      <c r="X247" s="52">
        <f>IF(OR(P247="Gasto",P247="Reembolso"),IF(M247&lt;&gt;"",M247,IFERROR(INDEX(catClasif,MATCH(D247&amp;"|"&amp;E247,catClave,0))&amp;"","Variable")),"")</f>
        <v/>
      </c>
      <c r="Y247" s="52">
        <f>IF(P247="","",IFERROR(INDEX(catGrupo,MATCH(D247&amp;"|"&amp;E247,catClave,0))&amp;"",""))</f>
        <v/>
      </c>
      <c r="Z247" s="52">
        <f>IF(P247="","",WEEKDAY(B247,2))</f>
        <v/>
      </c>
      <c r="AA247" s="52">
        <f>IF(P247="","",IF(AND(P247="Gasto",X247="Variable",D247&lt;&gt;catTrading,S247&gt;0,S247&lt;=Umbral),1,0))</f>
        <v/>
      </c>
      <c r="AB247" s="52">
        <f>IF(OR(P247="",Q247=""),"",IFERROR(IF(INDEX(ctaVinc,MATCH(Q247,ctaNombre,0))&amp;""&lt;&gt;"",INDEX(ctaVinc,MATCH(Q247,ctaNombre,0))&amp;"",Q247),Q247))</f>
        <v/>
      </c>
      <c r="AC247" s="52">
        <f>IF(OR(K247="",AND(P247&lt;&gt;"Transferencia",P247&lt;&gt;"Pago tarjeta")),"",IFERROR(IF(INDEX(ctaVinc,MATCH(K247,ctaNombre,0))&amp;""&lt;&gt;"",INDEX(ctaVinc,MATCH(K247,ctaNombre,0))&amp;"",K247),K247))</f>
        <v/>
      </c>
      <c r="AD247" s="52">
        <f>IF(AB247="","",IFERROR(INDEX(ctaTipo,MATCH(AB247,ctaNombre,0))&amp;"",""))</f>
        <v/>
      </c>
      <c r="AE247" s="52">
        <f>IF(AC247="","",IFERROR(INDEX(ctaTipo,MATCH(AC247,ctaNombre,0))&amp;"",""))</f>
        <v/>
      </c>
      <c r="AF247" s="53">
        <f>IF(OR(P247="",AB247=""),"",IF(OR(P247="Gasto",P247="Transferencia",P247="Pago tarjeta"),-1,1)*IF(IFERROR(INDEX(ctaMoneda,MATCH(AB247,ctaNombre,0))&amp;"","DOP")="USD",T247,S247))</f>
        <v/>
      </c>
      <c r="AG247" s="53">
        <f>IF(AC247="","",IF(IFERROR(INDEX(ctaMoneda,MATCH(AC247,ctaNombre,0))&amp;"","DOP")="USD",T247,S247))</f>
        <v/>
      </c>
      <c r="AH247" s="53">
        <f>IF(P247="","",IF(AND(AD247&lt;&gt;"",COUNTIFS(tcTipo,AD247,tcLiq,"Sí")&gt;0),IF(OR(P247="Gasto",P247="Transferencia",P247="Pago tarjeta"),-1,1)*S247,0)+IF(AND(AE247&lt;&gt;"",COUNTIFS(tcTipo,AE247,tcLiq,"Sí")&gt;0),S247,0))</f>
        <v/>
      </c>
      <c r="AI247" s="52">
        <f>IF(OR(L247="",P247=""),"",IF(COUNTIFS(L$6:L247,L247,P$6:P247,"?*")=1,MAX(AI$5:AI246)+1,""))</f>
        <v/>
      </c>
    </row>
    <row r="248">
      <c r="B248" s="47" t="n"/>
      <c r="C248" s="48" t="n"/>
      <c r="D248" s="48" t="n"/>
      <c r="E248" s="48" t="n"/>
      <c r="F248" s="48" t="n"/>
      <c r="G248" s="49" t="n"/>
      <c r="H248" s="48" t="n"/>
      <c r="I248" s="50" t="n"/>
      <c r="J248" s="48" t="n"/>
      <c r="K248" s="48" t="n"/>
      <c r="L248" s="48" t="n"/>
      <c r="M248" s="48" t="n"/>
      <c r="N248" s="48" t="n"/>
      <c r="O248" s="51">
        <f>IF(AND(B248="",G248="",C248="",D248="",J248=""),"",IF(B248="","⚠ Falta fecha",IF(G248="","⚠ Falta monto",IF(Q248="","⚠ Falta cuenta",IF(ISNA(MATCH(Q248,ctaNombre,0)),"⚠ Cuenta no registrada",IF(AND(OR(P248="Gasto",P248="Reembolso"),D248=""),"⚠ Falta categoría",IF(AND(D248&lt;&gt;"",E248&lt;&gt;"",ISNA(MATCH(D248&amp;"|"&amp;E248,catClave,0))),"⚠ Subcategoría no corresponde",IF(AND(OR(P248="Transferencia",P248="Pago tarjeta"),K248=""),"⚠ Falta cuenta destino",IF(AND(K248&lt;&gt;"",P248&lt;&gt;"Transferencia",P248&lt;&gt;"Pago tarjeta"),"⚠ Destino solo aplica a transferencias",IF(AND(K248&lt;&gt;"",K248=Q248),"⚠ Origen igual a destino",IF(AND(K248&lt;&gt;"",ISNA(MATCH(K248,ctaNombre,0))),"⚠ Destino no registrado",IF(AND(P248="Pago tarjeta",AE248&lt;&gt;"Tarjeta de crédito"),"⚠ El destino debe ser tarjeta de crédito",IF(AND(P248="Gasto",E248="Depósitos y retiros"),"⚠ Usa tipo Transferencia",IF(AND(P248="Resultado trading",AD248&lt;&gt;"Cuenta de trading"),"⚠ Usa una cuenta de trading",IF(AND(G248&lt;=0,P248&lt;&gt;"Ajuste",P248&lt;&gt;"Resultado trading"),"⚠ El monto debe ser positivo","✓")))))))))))))))</f>
        <v/>
      </c>
      <c r="P248" s="52">
        <f>IF(OR(B248="",G248=""),"",IF(C248="","Gasto",C248))</f>
        <v/>
      </c>
      <c r="Q248" s="52">
        <f>IF(P248="","",IF(J248&lt;&gt;"",J248,CuentaPred&amp;""))</f>
        <v/>
      </c>
      <c r="R248" s="52">
        <f>IF(P248="","",IF(ISNUMBER(I248),I248,TasaUSD))</f>
        <v/>
      </c>
      <c r="S248" s="53">
        <f>IF(P248="","",IF(H248="USD",G248*R248,G248))</f>
        <v/>
      </c>
      <c r="T248" s="53">
        <f>IF(P248="","",IF(H248="USD",G248,IF(R248&gt;0,G248/R248,0)))</f>
        <v/>
      </c>
      <c r="U248" s="53">
        <f>IF(P248="","",IF(P248="Gasto",S248,IF(P248="Reembolso",-S248,0)))</f>
        <v/>
      </c>
      <c r="V248" s="53">
        <f>IF(P248="","",IF(P248="Ingreso",S248,0))</f>
        <v/>
      </c>
      <c r="W248" s="53">
        <f>IF(P248="","",IF(P248="Resultado trading",S248,0))</f>
        <v/>
      </c>
      <c r="X248" s="52">
        <f>IF(OR(P248="Gasto",P248="Reembolso"),IF(M248&lt;&gt;"",M248,IFERROR(INDEX(catClasif,MATCH(D248&amp;"|"&amp;E248,catClave,0))&amp;"","Variable")),"")</f>
        <v/>
      </c>
      <c r="Y248" s="52">
        <f>IF(P248="","",IFERROR(INDEX(catGrupo,MATCH(D248&amp;"|"&amp;E248,catClave,0))&amp;"",""))</f>
        <v/>
      </c>
      <c r="Z248" s="52">
        <f>IF(P248="","",WEEKDAY(B248,2))</f>
        <v/>
      </c>
      <c r="AA248" s="52">
        <f>IF(P248="","",IF(AND(P248="Gasto",X248="Variable",D248&lt;&gt;catTrading,S248&gt;0,S248&lt;=Umbral),1,0))</f>
        <v/>
      </c>
      <c r="AB248" s="52">
        <f>IF(OR(P248="",Q248=""),"",IFERROR(IF(INDEX(ctaVinc,MATCH(Q248,ctaNombre,0))&amp;""&lt;&gt;"",INDEX(ctaVinc,MATCH(Q248,ctaNombre,0))&amp;"",Q248),Q248))</f>
        <v/>
      </c>
      <c r="AC248" s="52">
        <f>IF(OR(K248="",AND(P248&lt;&gt;"Transferencia",P248&lt;&gt;"Pago tarjeta")),"",IFERROR(IF(INDEX(ctaVinc,MATCH(K248,ctaNombre,0))&amp;""&lt;&gt;"",INDEX(ctaVinc,MATCH(K248,ctaNombre,0))&amp;"",K248),K248))</f>
        <v/>
      </c>
      <c r="AD248" s="52">
        <f>IF(AB248="","",IFERROR(INDEX(ctaTipo,MATCH(AB248,ctaNombre,0))&amp;"",""))</f>
        <v/>
      </c>
      <c r="AE248" s="52">
        <f>IF(AC248="","",IFERROR(INDEX(ctaTipo,MATCH(AC248,ctaNombre,0))&amp;"",""))</f>
        <v/>
      </c>
      <c r="AF248" s="53">
        <f>IF(OR(P248="",AB248=""),"",IF(OR(P248="Gasto",P248="Transferencia",P248="Pago tarjeta"),-1,1)*IF(IFERROR(INDEX(ctaMoneda,MATCH(AB248,ctaNombre,0))&amp;"","DOP")="USD",T248,S248))</f>
        <v/>
      </c>
      <c r="AG248" s="53">
        <f>IF(AC248="","",IF(IFERROR(INDEX(ctaMoneda,MATCH(AC248,ctaNombre,0))&amp;"","DOP")="USD",T248,S248))</f>
        <v/>
      </c>
      <c r="AH248" s="53">
        <f>IF(P248="","",IF(AND(AD248&lt;&gt;"",COUNTIFS(tcTipo,AD248,tcLiq,"Sí")&gt;0),IF(OR(P248="Gasto",P248="Transferencia",P248="Pago tarjeta"),-1,1)*S248,0)+IF(AND(AE248&lt;&gt;"",COUNTIFS(tcTipo,AE248,tcLiq,"Sí")&gt;0),S248,0))</f>
        <v/>
      </c>
      <c r="AI248" s="52">
        <f>IF(OR(L248="",P248=""),"",IF(COUNTIFS(L$6:L248,L248,P$6:P248,"?*")=1,MAX(AI$5:AI247)+1,""))</f>
        <v/>
      </c>
    </row>
    <row r="249">
      <c r="B249" s="47" t="n"/>
      <c r="C249" s="48" t="n"/>
      <c r="D249" s="48" t="n"/>
      <c r="E249" s="48" t="n"/>
      <c r="F249" s="48" t="n"/>
      <c r="G249" s="49" t="n"/>
      <c r="H249" s="48" t="n"/>
      <c r="I249" s="50" t="n"/>
      <c r="J249" s="48" t="n"/>
      <c r="K249" s="48" t="n"/>
      <c r="L249" s="48" t="n"/>
      <c r="M249" s="48" t="n"/>
      <c r="N249" s="48" t="n"/>
      <c r="O249" s="51">
        <f>IF(AND(B249="",G249="",C249="",D249="",J249=""),"",IF(B249="","⚠ Falta fecha",IF(G249="","⚠ Falta monto",IF(Q249="","⚠ Falta cuenta",IF(ISNA(MATCH(Q249,ctaNombre,0)),"⚠ Cuenta no registrada",IF(AND(OR(P249="Gasto",P249="Reembolso"),D249=""),"⚠ Falta categoría",IF(AND(D249&lt;&gt;"",E249&lt;&gt;"",ISNA(MATCH(D249&amp;"|"&amp;E249,catClave,0))),"⚠ Subcategoría no corresponde",IF(AND(OR(P249="Transferencia",P249="Pago tarjeta"),K249=""),"⚠ Falta cuenta destino",IF(AND(K249&lt;&gt;"",P249&lt;&gt;"Transferencia",P249&lt;&gt;"Pago tarjeta"),"⚠ Destino solo aplica a transferencias",IF(AND(K249&lt;&gt;"",K249=Q249),"⚠ Origen igual a destino",IF(AND(K249&lt;&gt;"",ISNA(MATCH(K249,ctaNombre,0))),"⚠ Destino no registrado",IF(AND(P249="Pago tarjeta",AE249&lt;&gt;"Tarjeta de crédito"),"⚠ El destino debe ser tarjeta de crédito",IF(AND(P249="Gasto",E249="Depósitos y retiros"),"⚠ Usa tipo Transferencia",IF(AND(P249="Resultado trading",AD249&lt;&gt;"Cuenta de trading"),"⚠ Usa una cuenta de trading",IF(AND(G249&lt;=0,P249&lt;&gt;"Ajuste",P249&lt;&gt;"Resultado trading"),"⚠ El monto debe ser positivo","✓")))))))))))))))</f>
        <v/>
      </c>
      <c r="P249" s="52">
        <f>IF(OR(B249="",G249=""),"",IF(C249="","Gasto",C249))</f>
        <v/>
      </c>
      <c r="Q249" s="52">
        <f>IF(P249="","",IF(J249&lt;&gt;"",J249,CuentaPred&amp;""))</f>
        <v/>
      </c>
      <c r="R249" s="52">
        <f>IF(P249="","",IF(ISNUMBER(I249),I249,TasaUSD))</f>
        <v/>
      </c>
      <c r="S249" s="53">
        <f>IF(P249="","",IF(H249="USD",G249*R249,G249))</f>
        <v/>
      </c>
      <c r="T249" s="53">
        <f>IF(P249="","",IF(H249="USD",G249,IF(R249&gt;0,G249/R249,0)))</f>
        <v/>
      </c>
      <c r="U249" s="53">
        <f>IF(P249="","",IF(P249="Gasto",S249,IF(P249="Reembolso",-S249,0)))</f>
        <v/>
      </c>
      <c r="V249" s="53">
        <f>IF(P249="","",IF(P249="Ingreso",S249,0))</f>
        <v/>
      </c>
      <c r="W249" s="53">
        <f>IF(P249="","",IF(P249="Resultado trading",S249,0))</f>
        <v/>
      </c>
      <c r="X249" s="52">
        <f>IF(OR(P249="Gasto",P249="Reembolso"),IF(M249&lt;&gt;"",M249,IFERROR(INDEX(catClasif,MATCH(D249&amp;"|"&amp;E249,catClave,0))&amp;"","Variable")),"")</f>
        <v/>
      </c>
      <c r="Y249" s="52">
        <f>IF(P249="","",IFERROR(INDEX(catGrupo,MATCH(D249&amp;"|"&amp;E249,catClave,0))&amp;"",""))</f>
        <v/>
      </c>
      <c r="Z249" s="52">
        <f>IF(P249="","",WEEKDAY(B249,2))</f>
        <v/>
      </c>
      <c r="AA249" s="52">
        <f>IF(P249="","",IF(AND(P249="Gasto",X249="Variable",D249&lt;&gt;catTrading,S249&gt;0,S249&lt;=Umbral),1,0))</f>
        <v/>
      </c>
      <c r="AB249" s="52">
        <f>IF(OR(P249="",Q249=""),"",IFERROR(IF(INDEX(ctaVinc,MATCH(Q249,ctaNombre,0))&amp;""&lt;&gt;"",INDEX(ctaVinc,MATCH(Q249,ctaNombre,0))&amp;"",Q249),Q249))</f>
        <v/>
      </c>
      <c r="AC249" s="52">
        <f>IF(OR(K249="",AND(P249&lt;&gt;"Transferencia",P249&lt;&gt;"Pago tarjeta")),"",IFERROR(IF(INDEX(ctaVinc,MATCH(K249,ctaNombre,0))&amp;""&lt;&gt;"",INDEX(ctaVinc,MATCH(K249,ctaNombre,0))&amp;"",K249),K249))</f>
        <v/>
      </c>
      <c r="AD249" s="52">
        <f>IF(AB249="","",IFERROR(INDEX(ctaTipo,MATCH(AB249,ctaNombre,0))&amp;"",""))</f>
        <v/>
      </c>
      <c r="AE249" s="52">
        <f>IF(AC249="","",IFERROR(INDEX(ctaTipo,MATCH(AC249,ctaNombre,0))&amp;"",""))</f>
        <v/>
      </c>
      <c r="AF249" s="53">
        <f>IF(OR(P249="",AB249=""),"",IF(OR(P249="Gasto",P249="Transferencia",P249="Pago tarjeta"),-1,1)*IF(IFERROR(INDEX(ctaMoneda,MATCH(AB249,ctaNombre,0))&amp;"","DOP")="USD",T249,S249))</f>
        <v/>
      </c>
      <c r="AG249" s="53">
        <f>IF(AC249="","",IF(IFERROR(INDEX(ctaMoneda,MATCH(AC249,ctaNombre,0))&amp;"","DOP")="USD",T249,S249))</f>
        <v/>
      </c>
      <c r="AH249" s="53">
        <f>IF(P249="","",IF(AND(AD249&lt;&gt;"",COUNTIFS(tcTipo,AD249,tcLiq,"Sí")&gt;0),IF(OR(P249="Gasto",P249="Transferencia",P249="Pago tarjeta"),-1,1)*S249,0)+IF(AND(AE249&lt;&gt;"",COUNTIFS(tcTipo,AE249,tcLiq,"Sí")&gt;0),S249,0))</f>
        <v/>
      </c>
      <c r="AI249" s="52">
        <f>IF(OR(L249="",P249=""),"",IF(COUNTIFS(L$6:L249,L249,P$6:P249,"?*")=1,MAX(AI$5:AI248)+1,""))</f>
        <v/>
      </c>
    </row>
    <row r="250">
      <c r="B250" s="47" t="n"/>
      <c r="C250" s="48" t="n"/>
      <c r="D250" s="48" t="n"/>
      <c r="E250" s="48" t="n"/>
      <c r="F250" s="48" t="n"/>
      <c r="G250" s="49" t="n"/>
      <c r="H250" s="48" t="n"/>
      <c r="I250" s="50" t="n"/>
      <c r="J250" s="48" t="n"/>
      <c r="K250" s="48" t="n"/>
      <c r="L250" s="48" t="n"/>
      <c r="M250" s="48" t="n"/>
      <c r="N250" s="48" t="n"/>
      <c r="O250" s="51">
        <f>IF(AND(B250="",G250="",C250="",D250="",J250=""),"",IF(B250="","⚠ Falta fecha",IF(G250="","⚠ Falta monto",IF(Q250="","⚠ Falta cuenta",IF(ISNA(MATCH(Q250,ctaNombre,0)),"⚠ Cuenta no registrada",IF(AND(OR(P250="Gasto",P250="Reembolso"),D250=""),"⚠ Falta categoría",IF(AND(D250&lt;&gt;"",E250&lt;&gt;"",ISNA(MATCH(D250&amp;"|"&amp;E250,catClave,0))),"⚠ Subcategoría no corresponde",IF(AND(OR(P250="Transferencia",P250="Pago tarjeta"),K250=""),"⚠ Falta cuenta destino",IF(AND(K250&lt;&gt;"",P250&lt;&gt;"Transferencia",P250&lt;&gt;"Pago tarjeta"),"⚠ Destino solo aplica a transferencias",IF(AND(K250&lt;&gt;"",K250=Q250),"⚠ Origen igual a destino",IF(AND(K250&lt;&gt;"",ISNA(MATCH(K250,ctaNombre,0))),"⚠ Destino no registrado",IF(AND(P250="Pago tarjeta",AE250&lt;&gt;"Tarjeta de crédito"),"⚠ El destino debe ser tarjeta de crédito",IF(AND(P250="Gasto",E250="Depósitos y retiros"),"⚠ Usa tipo Transferencia",IF(AND(P250="Resultado trading",AD250&lt;&gt;"Cuenta de trading"),"⚠ Usa una cuenta de trading",IF(AND(G250&lt;=0,P250&lt;&gt;"Ajuste",P250&lt;&gt;"Resultado trading"),"⚠ El monto debe ser positivo","✓")))))))))))))))</f>
        <v/>
      </c>
      <c r="P250" s="52">
        <f>IF(OR(B250="",G250=""),"",IF(C250="","Gasto",C250))</f>
        <v/>
      </c>
      <c r="Q250" s="52">
        <f>IF(P250="","",IF(J250&lt;&gt;"",J250,CuentaPred&amp;""))</f>
        <v/>
      </c>
      <c r="R250" s="52">
        <f>IF(P250="","",IF(ISNUMBER(I250),I250,TasaUSD))</f>
        <v/>
      </c>
      <c r="S250" s="53">
        <f>IF(P250="","",IF(H250="USD",G250*R250,G250))</f>
        <v/>
      </c>
      <c r="T250" s="53">
        <f>IF(P250="","",IF(H250="USD",G250,IF(R250&gt;0,G250/R250,0)))</f>
        <v/>
      </c>
      <c r="U250" s="53">
        <f>IF(P250="","",IF(P250="Gasto",S250,IF(P250="Reembolso",-S250,0)))</f>
        <v/>
      </c>
      <c r="V250" s="53">
        <f>IF(P250="","",IF(P250="Ingreso",S250,0))</f>
        <v/>
      </c>
      <c r="W250" s="53">
        <f>IF(P250="","",IF(P250="Resultado trading",S250,0))</f>
        <v/>
      </c>
      <c r="X250" s="52">
        <f>IF(OR(P250="Gasto",P250="Reembolso"),IF(M250&lt;&gt;"",M250,IFERROR(INDEX(catClasif,MATCH(D250&amp;"|"&amp;E250,catClave,0))&amp;"","Variable")),"")</f>
        <v/>
      </c>
      <c r="Y250" s="52">
        <f>IF(P250="","",IFERROR(INDEX(catGrupo,MATCH(D250&amp;"|"&amp;E250,catClave,0))&amp;"",""))</f>
        <v/>
      </c>
      <c r="Z250" s="52">
        <f>IF(P250="","",WEEKDAY(B250,2))</f>
        <v/>
      </c>
      <c r="AA250" s="52">
        <f>IF(P250="","",IF(AND(P250="Gasto",X250="Variable",D250&lt;&gt;catTrading,S250&gt;0,S250&lt;=Umbral),1,0))</f>
        <v/>
      </c>
      <c r="AB250" s="52">
        <f>IF(OR(P250="",Q250=""),"",IFERROR(IF(INDEX(ctaVinc,MATCH(Q250,ctaNombre,0))&amp;""&lt;&gt;"",INDEX(ctaVinc,MATCH(Q250,ctaNombre,0))&amp;"",Q250),Q250))</f>
        <v/>
      </c>
      <c r="AC250" s="52">
        <f>IF(OR(K250="",AND(P250&lt;&gt;"Transferencia",P250&lt;&gt;"Pago tarjeta")),"",IFERROR(IF(INDEX(ctaVinc,MATCH(K250,ctaNombre,0))&amp;""&lt;&gt;"",INDEX(ctaVinc,MATCH(K250,ctaNombre,0))&amp;"",K250),K250))</f>
        <v/>
      </c>
      <c r="AD250" s="52">
        <f>IF(AB250="","",IFERROR(INDEX(ctaTipo,MATCH(AB250,ctaNombre,0))&amp;"",""))</f>
        <v/>
      </c>
      <c r="AE250" s="52">
        <f>IF(AC250="","",IFERROR(INDEX(ctaTipo,MATCH(AC250,ctaNombre,0))&amp;"",""))</f>
        <v/>
      </c>
      <c r="AF250" s="53">
        <f>IF(OR(P250="",AB250=""),"",IF(OR(P250="Gasto",P250="Transferencia",P250="Pago tarjeta"),-1,1)*IF(IFERROR(INDEX(ctaMoneda,MATCH(AB250,ctaNombre,0))&amp;"","DOP")="USD",T250,S250))</f>
        <v/>
      </c>
      <c r="AG250" s="53">
        <f>IF(AC250="","",IF(IFERROR(INDEX(ctaMoneda,MATCH(AC250,ctaNombre,0))&amp;"","DOP")="USD",T250,S250))</f>
        <v/>
      </c>
      <c r="AH250" s="53">
        <f>IF(P250="","",IF(AND(AD250&lt;&gt;"",COUNTIFS(tcTipo,AD250,tcLiq,"Sí")&gt;0),IF(OR(P250="Gasto",P250="Transferencia",P250="Pago tarjeta"),-1,1)*S250,0)+IF(AND(AE250&lt;&gt;"",COUNTIFS(tcTipo,AE250,tcLiq,"Sí")&gt;0),S250,0))</f>
        <v/>
      </c>
      <c r="AI250" s="52">
        <f>IF(OR(L250="",P250=""),"",IF(COUNTIFS(L$6:L250,L250,P$6:P250,"?*")=1,MAX(AI$5:AI249)+1,""))</f>
        <v/>
      </c>
    </row>
    <row r="251">
      <c r="B251" s="47" t="n"/>
      <c r="C251" s="48" t="n"/>
      <c r="D251" s="48" t="n"/>
      <c r="E251" s="48" t="n"/>
      <c r="F251" s="48" t="n"/>
      <c r="G251" s="49" t="n"/>
      <c r="H251" s="48" t="n"/>
      <c r="I251" s="50" t="n"/>
      <c r="J251" s="48" t="n"/>
      <c r="K251" s="48" t="n"/>
      <c r="L251" s="48" t="n"/>
      <c r="M251" s="48" t="n"/>
      <c r="N251" s="48" t="n"/>
      <c r="O251" s="51">
        <f>IF(AND(B251="",G251="",C251="",D251="",J251=""),"",IF(B251="","⚠ Falta fecha",IF(G251="","⚠ Falta monto",IF(Q251="","⚠ Falta cuenta",IF(ISNA(MATCH(Q251,ctaNombre,0)),"⚠ Cuenta no registrada",IF(AND(OR(P251="Gasto",P251="Reembolso"),D251=""),"⚠ Falta categoría",IF(AND(D251&lt;&gt;"",E251&lt;&gt;"",ISNA(MATCH(D251&amp;"|"&amp;E251,catClave,0))),"⚠ Subcategoría no corresponde",IF(AND(OR(P251="Transferencia",P251="Pago tarjeta"),K251=""),"⚠ Falta cuenta destino",IF(AND(K251&lt;&gt;"",P251&lt;&gt;"Transferencia",P251&lt;&gt;"Pago tarjeta"),"⚠ Destino solo aplica a transferencias",IF(AND(K251&lt;&gt;"",K251=Q251),"⚠ Origen igual a destino",IF(AND(K251&lt;&gt;"",ISNA(MATCH(K251,ctaNombre,0))),"⚠ Destino no registrado",IF(AND(P251="Pago tarjeta",AE251&lt;&gt;"Tarjeta de crédito"),"⚠ El destino debe ser tarjeta de crédito",IF(AND(P251="Gasto",E251="Depósitos y retiros"),"⚠ Usa tipo Transferencia",IF(AND(P251="Resultado trading",AD251&lt;&gt;"Cuenta de trading"),"⚠ Usa una cuenta de trading",IF(AND(G251&lt;=0,P251&lt;&gt;"Ajuste",P251&lt;&gt;"Resultado trading"),"⚠ El monto debe ser positivo","✓")))))))))))))))</f>
        <v/>
      </c>
      <c r="P251" s="52">
        <f>IF(OR(B251="",G251=""),"",IF(C251="","Gasto",C251))</f>
        <v/>
      </c>
      <c r="Q251" s="52">
        <f>IF(P251="","",IF(J251&lt;&gt;"",J251,CuentaPred&amp;""))</f>
        <v/>
      </c>
      <c r="R251" s="52">
        <f>IF(P251="","",IF(ISNUMBER(I251),I251,TasaUSD))</f>
        <v/>
      </c>
      <c r="S251" s="53">
        <f>IF(P251="","",IF(H251="USD",G251*R251,G251))</f>
        <v/>
      </c>
      <c r="T251" s="53">
        <f>IF(P251="","",IF(H251="USD",G251,IF(R251&gt;0,G251/R251,0)))</f>
        <v/>
      </c>
      <c r="U251" s="53">
        <f>IF(P251="","",IF(P251="Gasto",S251,IF(P251="Reembolso",-S251,0)))</f>
        <v/>
      </c>
      <c r="V251" s="53">
        <f>IF(P251="","",IF(P251="Ingreso",S251,0))</f>
        <v/>
      </c>
      <c r="W251" s="53">
        <f>IF(P251="","",IF(P251="Resultado trading",S251,0))</f>
        <v/>
      </c>
      <c r="X251" s="52">
        <f>IF(OR(P251="Gasto",P251="Reembolso"),IF(M251&lt;&gt;"",M251,IFERROR(INDEX(catClasif,MATCH(D251&amp;"|"&amp;E251,catClave,0))&amp;"","Variable")),"")</f>
        <v/>
      </c>
      <c r="Y251" s="52">
        <f>IF(P251="","",IFERROR(INDEX(catGrupo,MATCH(D251&amp;"|"&amp;E251,catClave,0))&amp;"",""))</f>
        <v/>
      </c>
      <c r="Z251" s="52">
        <f>IF(P251="","",WEEKDAY(B251,2))</f>
        <v/>
      </c>
      <c r="AA251" s="52">
        <f>IF(P251="","",IF(AND(P251="Gasto",X251="Variable",D251&lt;&gt;catTrading,S251&gt;0,S251&lt;=Umbral),1,0))</f>
        <v/>
      </c>
      <c r="AB251" s="52">
        <f>IF(OR(P251="",Q251=""),"",IFERROR(IF(INDEX(ctaVinc,MATCH(Q251,ctaNombre,0))&amp;""&lt;&gt;"",INDEX(ctaVinc,MATCH(Q251,ctaNombre,0))&amp;"",Q251),Q251))</f>
        <v/>
      </c>
      <c r="AC251" s="52">
        <f>IF(OR(K251="",AND(P251&lt;&gt;"Transferencia",P251&lt;&gt;"Pago tarjeta")),"",IFERROR(IF(INDEX(ctaVinc,MATCH(K251,ctaNombre,0))&amp;""&lt;&gt;"",INDEX(ctaVinc,MATCH(K251,ctaNombre,0))&amp;"",K251),K251))</f>
        <v/>
      </c>
      <c r="AD251" s="52">
        <f>IF(AB251="","",IFERROR(INDEX(ctaTipo,MATCH(AB251,ctaNombre,0))&amp;"",""))</f>
        <v/>
      </c>
      <c r="AE251" s="52">
        <f>IF(AC251="","",IFERROR(INDEX(ctaTipo,MATCH(AC251,ctaNombre,0))&amp;"",""))</f>
        <v/>
      </c>
      <c r="AF251" s="53">
        <f>IF(OR(P251="",AB251=""),"",IF(OR(P251="Gasto",P251="Transferencia",P251="Pago tarjeta"),-1,1)*IF(IFERROR(INDEX(ctaMoneda,MATCH(AB251,ctaNombre,0))&amp;"","DOP")="USD",T251,S251))</f>
        <v/>
      </c>
      <c r="AG251" s="53">
        <f>IF(AC251="","",IF(IFERROR(INDEX(ctaMoneda,MATCH(AC251,ctaNombre,0))&amp;"","DOP")="USD",T251,S251))</f>
        <v/>
      </c>
      <c r="AH251" s="53">
        <f>IF(P251="","",IF(AND(AD251&lt;&gt;"",COUNTIFS(tcTipo,AD251,tcLiq,"Sí")&gt;0),IF(OR(P251="Gasto",P251="Transferencia",P251="Pago tarjeta"),-1,1)*S251,0)+IF(AND(AE251&lt;&gt;"",COUNTIFS(tcTipo,AE251,tcLiq,"Sí")&gt;0),S251,0))</f>
        <v/>
      </c>
      <c r="AI251" s="52">
        <f>IF(OR(L251="",P251=""),"",IF(COUNTIFS(L$6:L251,L251,P$6:P251,"?*")=1,MAX(AI$5:AI250)+1,""))</f>
        <v/>
      </c>
    </row>
    <row r="252">
      <c r="B252" s="47" t="n"/>
      <c r="C252" s="48" t="n"/>
      <c r="D252" s="48" t="n"/>
      <c r="E252" s="48" t="n"/>
      <c r="F252" s="48" t="n"/>
      <c r="G252" s="49" t="n"/>
      <c r="H252" s="48" t="n"/>
      <c r="I252" s="50" t="n"/>
      <c r="J252" s="48" t="n"/>
      <c r="K252" s="48" t="n"/>
      <c r="L252" s="48" t="n"/>
      <c r="M252" s="48" t="n"/>
      <c r="N252" s="48" t="n"/>
      <c r="O252" s="51">
        <f>IF(AND(B252="",G252="",C252="",D252="",J252=""),"",IF(B252="","⚠ Falta fecha",IF(G252="","⚠ Falta monto",IF(Q252="","⚠ Falta cuenta",IF(ISNA(MATCH(Q252,ctaNombre,0)),"⚠ Cuenta no registrada",IF(AND(OR(P252="Gasto",P252="Reembolso"),D252=""),"⚠ Falta categoría",IF(AND(D252&lt;&gt;"",E252&lt;&gt;"",ISNA(MATCH(D252&amp;"|"&amp;E252,catClave,0))),"⚠ Subcategoría no corresponde",IF(AND(OR(P252="Transferencia",P252="Pago tarjeta"),K252=""),"⚠ Falta cuenta destino",IF(AND(K252&lt;&gt;"",P252&lt;&gt;"Transferencia",P252&lt;&gt;"Pago tarjeta"),"⚠ Destino solo aplica a transferencias",IF(AND(K252&lt;&gt;"",K252=Q252),"⚠ Origen igual a destino",IF(AND(K252&lt;&gt;"",ISNA(MATCH(K252,ctaNombre,0))),"⚠ Destino no registrado",IF(AND(P252="Pago tarjeta",AE252&lt;&gt;"Tarjeta de crédito"),"⚠ El destino debe ser tarjeta de crédito",IF(AND(P252="Gasto",E252="Depósitos y retiros"),"⚠ Usa tipo Transferencia",IF(AND(P252="Resultado trading",AD252&lt;&gt;"Cuenta de trading"),"⚠ Usa una cuenta de trading",IF(AND(G252&lt;=0,P252&lt;&gt;"Ajuste",P252&lt;&gt;"Resultado trading"),"⚠ El monto debe ser positivo","✓")))))))))))))))</f>
        <v/>
      </c>
      <c r="P252" s="52">
        <f>IF(OR(B252="",G252=""),"",IF(C252="","Gasto",C252))</f>
        <v/>
      </c>
      <c r="Q252" s="52">
        <f>IF(P252="","",IF(J252&lt;&gt;"",J252,CuentaPred&amp;""))</f>
        <v/>
      </c>
      <c r="R252" s="52">
        <f>IF(P252="","",IF(ISNUMBER(I252),I252,TasaUSD))</f>
        <v/>
      </c>
      <c r="S252" s="53">
        <f>IF(P252="","",IF(H252="USD",G252*R252,G252))</f>
        <v/>
      </c>
      <c r="T252" s="53">
        <f>IF(P252="","",IF(H252="USD",G252,IF(R252&gt;0,G252/R252,0)))</f>
        <v/>
      </c>
      <c r="U252" s="53">
        <f>IF(P252="","",IF(P252="Gasto",S252,IF(P252="Reembolso",-S252,0)))</f>
        <v/>
      </c>
      <c r="V252" s="53">
        <f>IF(P252="","",IF(P252="Ingreso",S252,0))</f>
        <v/>
      </c>
      <c r="W252" s="53">
        <f>IF(P252="","",IF(P252="Resultado trading",S252,0))</f>
        <v/>
      </c>
      <c r="X252" s="52">
        <f>IF(OR(P252="Gasto",P252="Reembolso"),IF(M252&lt;&gt;"",M252,IFERROR(INDEX(catClasif,MATCH(D252&amp;"|"&amp;E252,catClave,0))&amp;"","Variable")),"")</f>
        <v/>
      </c>
      <c r="Y252" s="52">
        <f>IF(P252="","",IFERROR(INDEX(catGrupo,MATCH(D252&amp;"|"&amp;E252,catClave,0))&amp;"",""))</f>
        <v/>
      </c>
      <c r="Z252" s="52">
        <f>IF(P252="","",WEEKDAY(B252,2))</f>
        <v/>
      </c>
      <c r="AA252" s="52">
        <f>IF(P252="","",IF(AND(P252="Gasto",X252="Variable",D252&lt;&gt;catTrading,S252&gt;0,S252&lt;=Umbral),1,0))</f>
        <v/>
      </c>
      <c r="AB252" s="52">
        <f>IF(OR(P252="",Q252=""),"",IFERROR(IF(INDEX(ctaVinc,MATCH(Q252,ctaNombre,0))&amp;""&lt;&gt;"",INDEX(ctaVinc,MATCH(Q252,ctaNombre,0))&amp;"",Q252),Q252))</f>
        <v/>
      </c>
      <c r="AC252" s="52">
        <f>IF(OR(K252="",AND(P252&lt;&gt;"Transferencia",P252&lt;&gt;"Pago tarjeta")),"",IFERROR(IF(INDEX(ctaVinc,MATCH(K252,ctaNombre,0))&amp;""&lt;&gt;"",INDEX(ctaVinc,MATCH(K252,ctaNombre,0))&amp;"",K252),K252))</f>
        <v/>
      </c>
      <c r="AD252" s="52">
        <f>IF(AB252="","",IFERROR(INDEX(ctaTipo,MATCH(AB252,ctaNombre,0))&amp;"",""))</f>
        <v/>
      </c>
      <c r="AE252" s="52">
        <f>IF(AC252="","",IFERROR(INDEX(ctaTipo,MATCH(AC252,ctaNombre,0))&amp;"",""))</f>
        <v/>
      </c>
      <c r="AF252" s="53">
        <f>IF(OR(P252="",AB252=""),"",IF(OR(P252="Gasto",P252="Transferencia",P252="Pago tarjeta"),-1,1)*IF(IFERROR(INDEX(ctaMoneda,MATCH(AB252,ctaNombre,0))&amp;"","DOP")="USD",T252,S252))</f>
        <v/>
      </c>
      <c r="AG252" s="53">
        <f>IF(AC252="","",IF(IFERROR(INDEX(ctaMoneda,MATCH(AC252,ctaNombre,0))&amp;"","DOP")="USD",T252,S252))</f>
        <v/>
      </c>
      <c r="AH252" s="53">
        <f>IF(P252="","",IF(AND(AD252&lt;&gt;"",COUNTIFS(tcTipo,AD252,tcLiq,"Sí")&gt;0),IF(OR(P252="Gasto",P252="Transferencia",P252="Pago tarjeta"),-1,1)*S252,0)+IF(AND(AE252&lt;&gt;"",COUNTIFS(tcTipo,AE252,tcLiq,"Sí")&gt;0),S252,0))</f>
        <v/>
      </c>
      <c r="AI252" s="52">
        <f>IF(OR(L252="",P252=""),"",IF(COUNTIFS(L$6:L252,L252,P$6:P252,"?*")=1,MAX(AI$5:AI251)+1,""))</f>
        <v/>
      </c>
    </row>
    <row r="253">
      <c r="B253" s="47" t="n"/>
      <c r="C253" s="48" t="n"/>
      <c r="D253" s="48" t="n"/>
      <c r="E253" s="48" t="n"/>
      <c r="F253" s="48" t="n"/>
      <c r="G253" s="49" t="n"/>
      <c r="H253" s="48" t="n"/>
      <c r="I253" s="50" t="n"/>
      <c r="J253" s="48" t="n"/>
      <c r="K253" s="48" t="n"/>
      <c r="L253" s="48" t="n"/>
      <c r="M253" s="48" t="n"/>
      <c r="N253" s="48" t="n"/>
      <c r="O253" s="51">
        <f>IF(AND(B253="",G253="",C253="",D253="",J253=""),"",IF(B253="","⚠ Falta fecha",IF(G253="","⚠ Falta monto",IF(Q253="","⚠ Falta cuenta",IF(ISNA(MATCH(Q253,ctaNombre,0)),"⚠ Cuenta no registrada",IF(AND(OR(P253="Gasto",P253="Reembolso"),D253=""),"⚠ Falta categoría",IF(AND(D253&lt;&gt;"",E253&lt;&gt;"",ISNA(MATCH(D253&amp;"|"&amp;E253,catClave,0))),"⚠ Subcategoría no corresponde",IF(AND(OR(P253="Transferencia",P253="Pago tarjeta"),K253=""),"⚠ Falta cuenta destino",IF(AND(K253&lt;&gt;"",P253&lt;&gt;"Transferencia",P253&lt;&gt;"Pago tarjeta"),"⚠ Destino solo aplica a transferencias",IF(AND(K253&lt;&gt;"",K253=Q253),"⚠ Origen igual a destino",IF(AND(K253&lt;&gt;"",ISNA(MATCH(K253,ctaNombre,0))),"⚠ Destino no registrado",IF(AND(P253="Pago tarjeta",AE253&lt;&gt;"Tarjeta de crédito"),"⚠ El destino debe ser tarjeta de crédito",IF(AND(P253="Gasto",E253="Depósitos y retiros"),"⚠ Usa tipo Transferencia",IF(AND(P253="Resultado trading",AD253&lt;&gt;"Cuenta de trading"),"⚠ Usa una cuenta de trading",IF(AND(G253&lt;=0,P253&lt;&gt;"Ajuste",P253&lt;&gt;"Resultado trading"),"⚠ El monto debe ser positivo","✓")))))))))))))))</f>
        <v/>
      </c>
      <c r="P253" s="52">
        <f>IF(OR(B253="",G253=""),"",IF(C253="","Gasto",C253))</f>
        <v/>
      </c>
      <c r="Q253" s="52">
        <f>IF(P253="","",IF(J253&lt;&gt;"",J253,CuentaPred&amp;""))</f>
        <v/>
      </c>
      <c r="R253" s="52">
        <f>IF(P253="","",IF(ISNUMBER(I253),I253,TasaUSD))</f>
        <v/>
      </c>
      <c r="S253" s="53">
        <f>IF(P253="","",IF(H253="USD",G253*R253,G253))</f>
        <v/>
      </c>
      <c r="T253" s="53">
        <f>IF(P253="","",IF(H253="USD",G253,IF(R253&gt;0,G253/R253,0)))</f>
        <v/>
      </c>
      <c r="U253" s="53">
        <f>IF(P253="","",IF(P253="Gasto",S253,IF(P253="Reembolso",-S253,0)))</f>
        <v/>
      </c>
      <c r="V253" s="53">
        <f>IF(P253="","",IF(P253="Ingreso",S253,0))</f>
        <v/>
      </c>
      <c r="W253" s="53">
        <f>IF(P253="","",IF(P253="Resultado trading",S253,0))</f>
        <v/>
      </c>
      <c r="X253" s="52">
        <f>IF(OR(P253="Gasto",P253="Reembolso"),IF(M253&lt;&gt;"",M253,IFERROR(INDEX(catClasif,MATCH(D253&amp;"|"&amp;E253,catClave,0))&amp;"","Variable")),"")</f>
        <v/>
      </c>
      <c r="Y253" s="52">
        <f>IF(P253="","",IFERROR(INDEX(catGrupo,MATCH(D253&amp;"|"&amp;E253,catClave,0))&amp;"",""))</f>
        <v/>
      </c>
      <c r="Z253" s="52">
        <f>IF(P253="","",WEEKDAY(B253,2))</f>
        <v/>
      </c>
      <c r="AA253" s="52">
        <f>IF(P253="","",IF(AND(P253="Gasto",X253="Variable",D253&lt;&gt;catTrading,S253&gt;0,S253&lt;=Umbral),1,0))</f>
        <v/>
      </c>
      <c r="AB253" s="52">
        <f>IF(OR(P253="",Q253=""),"",IFERROR(IF(INDEX(ctaVinc,MATCH(Q253,ctaNombre,0))&amp;""&lt;&gt;"",INDEX(ctaVinc,MATCH(Q253,ctaNombre,0))&amp;"",Q253),Q253))</f>
        <v/>
      </c>
      <c r="AC253" s="52">
        <f>IF(OR(K253="",AND(P253&lt;&gt;"Transferencia",P253&lt;&gt;"Pago tarjeta")),"",IFERROR(IF(INDEX(ctaVinc,MATCH(K253,ctaNombre,0))&amp;""&lt;&gt;"",INDEX(ctaVinc,MATCH(K253,ctaNombre,0))&amp;"",K253),K253))</f>
        <v/>
      </c>
      <c r="AD253" s="52">
        <f>IF(AB253="","",IFERROR(INDEX(ctaTipo,MATCH(AB253,ctaNombre,0))&amp;"",""))</f>
        <v/>
      </c>
      <c r="AE253" s="52">
        <f>IF(AC253="","",IFERROR(INDEX(ctaTipo,MATCH(AC253,ctaNombre,0))&amp;"",""))</f>
        <v/>
      </c>
      <c r="AF253" s="53">
        <f>IF(OR(P253="",AB253=""),"",IF(OR(P253="Gasto",P253="Transferencia",P253="Pago tarjeta"),-1,1)*IF(IFERROR(INDEX(ctaMoneda,MATCH(AB253,ctaNombre,0))&amp;"","DOP")="USD",T253,S253))</f>
        <v/>
      </c>
      <c r="AG253" s="53">
        <f>IF(AC253="","",IF(IFERROR(INDEX(ctaMoneda,MATCH(AC253,ctaNombre,0))&amp;"","DOP")="USD",T253,S253))</f>
        <v/>
      </c>
      <c r="AH253" s="53">
        <f>IF(P253="","",IF(AND(AD253&lt;&gt;"",COUNTIFS(tcTipo,AD253,tcLiq,"Sí")&gt;0),IF(OR(P253="Gasto",P253="Transferencia",P253="Pago tarjeta"),-1,1)*S253,0)+IF(AND(AE253&lt;&gt;"",COUNTIFS(tcTipo,AE253,tcLiq,"Sí")&gt;0),S253,0))</f>
        <v/>
      </c>
      <c r="AI253" s="52">
        <f>IF(OR(L253="",P253=""),"",IF(COUNTIFS(L$6:L253,L253,P$6:P253,"?*")=1,MAX(AI$5:AI252)+1,""))</f>
        <v/>
      </c>
    </row>
    <row r="254">
      <c r="B254" s="47" t="n"/>
      <c r="C254" s="48" t="n"/>
      <c r="D254" s="48" t="n"/>
      <c r="E254" s="48" t="n"/>
      <c r="F254" s="48" t="n"/>
      <c r="G254" s="49" t="n"/>
      <c r="H254" s="48" t="n"/>
      <c r="I254" s="50" t="n"/>
      <c r="J254" s="48" t="n"/>
      <c r="K254" s="48" t="n"/>
      <c r="L254" s="48" t="n"/>
      <c r="M254" s="48" t="n"/>
      <c r="N254" s="48" t="n"/>
      <c r="O254" s="51">
        <f>IF(AND(B254="",G254="",C254="",D254="",J254=""),"",IF(B254="","⚠ Falta fecha",IF(G254="","⚠ Falta monto",IF(Q254="","⚠ Falta cuenta",IF(ISNA(MATCH(Q254,ctaNombre,0)),"⚠ Cuenta no registrada",IF(AND(OR(P254="Gasto",P254="Reembolso"),D254=""),"⚠ Falta categoría",IF(AND(D254&lt;&gt;"",E254&lt;&gt;"",ISNA(MATCH(D254&amp;"|"&amp;E254,catClave,0))),"⚠ Subcategoría no corresponde",IF(AND(OR(P254="Transferencia",P254="Pago tarjeta"),K254=""),"⚠ Falta cuenta destino",IF(AND(K254&lt;&gt;"",P254&lt;&gt;"Transferencia",P254&lt;&gt;"Pago tarjeta"),"⚠ Destino solo aplica a transferencias",IF(AND(K254&lt;&gt;"",K254=Q254),"⚠ Origen igual a destino",IF(AND(K254&lt;&gt;"",ISNA(MATCH(K254,ctaNombre,0))),"⚠ Destino no registrado",IF(AND(P254="Pago tarjeta",AE254&lt;&gt;"Tarjeta de crédito"),"⚠ El destino debe ser tarjeta de crédito",IF(AND(P254="Gasto",E254="Depósitos y retiros"),"⚠ Usa tipo Transferencia",IF(AND(P254="Resultado trading",AD254&lt;&gt;"Cuenta de trading"),"⚠ Usa una cuenta de trading",IF(AND(G254&lt;=0,P254&lt;&gt;"Ajuste",P254&lt;&gt;"Resultado trading"),"⚠ El monto debe ser positivo","✓")))))))))))))))</f>
        <v/>
      </c>
      <c r="P254" s="52">
        <f>IF(OR(B254="",G254=""),"",IF(C254="","Gasto",C254))</f>
        <v/>
      </c>
      <c r="Q254" s="52">
        <f>IF(P254="","",IF(J254&lt;&gt;"",J254,CuentaPred&amp;""))</f>
        <v/>
      </c>
      <c r="R254" s="52">
        <f>IF(P254="","",IF(ISNUMBER(I254),I254,TasaUSD))</f>
        <v/>
      </c>
      <c r="S254" s="53">
        <f>IF(P254="","",IF(H254="USD",G254*R254,G254))</f>
        <v/>
      </c>
      <c r="T254" s="53">
        <f>IF(P254="","",IF(H254="USD",G254,IF(R254&gt;0,G254/R254,0)))</f>
        <v/>
      </c>
      <c r="U254" s="53">
        <f>IF(P254="","",IF(P254="Gasto",S254,IF(P254="Reembolso",-S254,0)))</f>
        <v/>
      </c>
      <c r="V254" s="53">
        <f>IF(P254="","",IF(P254="Ingreso",S254,0))</f>
        <v/>
      </c>
      <c r="W254" s="53">
        <f>IF(P254="","",IF(P254="Resultado trading",S254,0))</f>
        <v/>
      </c>
      <c r="X254" s="52">
        <f>IF(OR(P254="Gasto",P254="Reembolso"),IF(M254&lt;&gt;"",M254,IFERROR(INDEX(catClasif,MATCH(D254&amp;"|"&amp;E254,catClave,0))&amp;"","Variable")),"")</f>
        <v/>
      </c>
      <c r="Y254" s="52">
        <f>IF(P254="","",IFERROR(INDEX(catGrupo,MATCH(D254&amp;"|"&amp;E254,catClave,0))&amp;"",""))</f>
        <v/>
      </c>
      <c r="Z254" s="52">
        <f>IF(P254="","",WEEKDAY(B254,2))</f>
        <v/>
      </c>
      <c r="AA254" s="52">
        <f>IF(P254="","",IF(AND(P254="Gasto",X254="Variable",D254&lt;&gt;catTrading,S254&gt;0,S254&lt;=Umbral),1,0))</f>
        <v/>
      </c>
      <c r="AB254" s="52">
        <f>IF(OR(P254="",Q254=""),"",IFERROR(IF(INDEX(ctaVinc,MATCH(Q254,ctaNombre,0))&amp;""&lt;&gt;"",INDEX(ctaVinc,MATCH(Q254,ctaNombre,0))&amp;"",Q254),Q254))</f>
        <v/>
      </c>
      <c r="AC254" s="52">
        <f>IF(OR(K254="",AND(P254&lt;&gt;"Transferencia",P254&lt;&gt;"Pago tarjeta")),"",IFERROR(IF(INDEX(ctaVinc,MATCH(K254,ctaNombre,0))&amp;""&lt;&gt;"",INDEX(ctaVinc,MATCH(K254,ctaNombre,0))&amp;"",K254),K254))</f>
        <v/>
      </c>
      <c r="AD254" s="52">
        <f>IF(AB254="","",IFERROR(INDEX(ctaTipo,MATCH(AB254,ctaNombre,0))&amp;"",""))</f>
        <v/>
      </c>
      <c r="AE254" s="52">
        <f>IF(AC254="","",IFERROR(INDEX(ctaTipo,MATCH(AC254,ctaNombre,0))&amp;"",""))</f>
        <v/>
      </c>
      <c r="AF254" s="53">
        <f>IF(OR(P254="",AB254=""),"",IF(OR(P254="Gasto",P254="Transferencia",P254="Pago tarjeta"),-1,1)*IF(IFERROR(INDEX(ctaMoneda,MATCH(AB254,ctaNombre,0))&amp;"","DOP")="USD",T254,S254))</f>
        <v/>
      </c>
      <c r="AG254" s="53">
        <f>IF(AC254="","",IF(IFERROR(INDEX(ctaMoneda,MATCH(AC254,ctaNombre,0))&amp;"","DOP")="USD",T254,S254))</f>
        <v/>
      </c>
      <c r="AH254" s="53">
        <f>IF(P254="","",IF(AND(AD254&lt;&gt;"",COUNTIFS(tcTipo,AD254,tcLiq,"Sí")&gt;0),IF(OR(P254="Gasto",P254="Transferencia",P254="Pago tarjeta"),-1,1)*S254,0)+IF(AND(AE254&lt;&gt;"",COUNTIFS(tcTipo,AE254,tcLiq,"Sí")&gt;0),S254,0))</f>
        <v/>
      </c>
      <c r="AI254" s="52">
        <f>IF(OR(L254="",P254=""),"",IF(COUNTIFS(L$6:L254,L254,P$6:P254,"?*")=1,MAX(AI$5:AI253)+1,""))</f>
        <v/>
      </c>
    </row>
    <row r="255">
      <c r="B255" s="47" t="n"/>
      <c r="C255" s="48" t="n"/>
      <c r="D255" s="48" t="n"/>
      <c r="E255" s="48" t="n"/>
      <c r="F255" s="48" t="n"/>
      <c r="G255" s="49" t="n"/>
      <c r="H255" s="48" t="n"/>
      <c r="I255" s="50" t="n"/>
      <c r="J255" s="48" t="n"/>
      <c r="K255" s="48" t="n"/>
      <c r="L255" s="48" t="n"/>
      <c r="M255" s="48" t="n"/>
      <c r="N255" s="48" t="n"/>
      <c r="O255" s="51">
        <f>IF(AND(B255="",G255="",C255="",D255="",J255=""),"",IF(B255="","⚠ Falta fecha",IF(G255="","⚠ Falta monto",IF(Q255="","⚠ Falta cuenta",IF(ISNA(MATCH(Q255,ctaNombre,0)),"⚠ Cuenta no registrada",IF(AND(OR(P255="Gasto",P255="Reembolso"),D255=""),"⚠ Falta categoría",IF(AND(D255&lt;&gt;"",E255&lt;&gt;"",ISNA(MATCH(D255&amp;"|"&amp;E255,catClave,0))),"⚠ Subcategoría no corresponde",IF(AND(OR(P255="Transferencia",P255="Pago tarjeta"),K255=""),"⚠ Falta cuenta destino",IF(AND(K255&lt;&gt;"",P255&lt;&gt;"Transferencia",P255&lt;&gt;"Pago tarjeta"),"⚠ Destino solo aplica a transferencias",IF(AND(K255&lt;&gt;"",K255=Q255),"⚠ Origen igual a destino",IF(AND(K255&lt;&gt;"",ISNA(MATCH(K255,ctaNombre,0))),"⚠ Destino no registrado",IF(AND(P255="Pago tarjeta",AE255&lt;&gt;"Tarjeta de crédito"),"⚠ El destino debe ser tarjeta de crédito",IF(AND(P255="Gasto",E255="Depósitos y retiros"),"⚠ Usa tipo Transferencia",IF(AND(P255="Resultado trading",AD255&lt;&gt;"Cuenta de trading"),"⚠ Usa una cuenta de trading",IF(AND(G255&lt;=0,P255&lt;&gt;"Ajuste",P255&lt;&gt;"Resultado trading"),"⚠ El monto debe ser positivo","✓")))))))))))))))</f>
        <v/>
      </c>
      <c r="P255" s="52">
        <f>IF(OR(B255="",G255=""),"",IF(C255="","Gasto",C255))</f>
        <v/>
      </c>
      <c r="Q255" s="52">
        <f>IF(P255="","",IF(J255&lt;&gt;"",J255,CuentaPred&amp;""))</f>
        <v/>
      </c>
      <c r="R255" s="52">
        <f>IF(P255="","",IF(ISNUMBER(I255),I255,TasaUSD))</f>
        <v/>
      </c>
      <c r="S255" s="53">
        <f>IF(P255="","",IF(H255="USD",G255*R255,G255))</f>
        <v/>
      </c>
      <c r="T255" s="53">
        <f>IF(P255="","",IF(H255="USD",G255,IF(R255&gt;0,G255/R255,0)))</f>
        <v/>
      </c>
      <c r="U255" s="53">
        <f>IF(P255="","",IF(P255="Gasto",S255,IF(P255="Reembolso",-S255,0)))</f>
        <v/>
      </c>
      <c r="V255" s="53">
        <f>IF(P255="","",IF(P255="Ingreso",S255,0))</f>
        <v/>
      </c>
      <c r="W255" s="53">
        <f>IF(P255="","",IF(P255="Resultado trading",S255,0))</f>
        <v/>
      </c>
      <c r="X255" s="52">
        <f>IF(OR(P255="Gasto",P255="Reembolso"),IF(M255&lt;&gt;"",M255,IFERROR(INDEX(catClasif,MATCH(D255&amp;"|"&amp;E255,catClave,0))&amp;"","Variable")),"")</f>
        <v/>
      </c>
      <c r="Y255" s="52">
        <f>IF(P255="","",IFERROR(INDEX(catGrupo,MATCH(D255&amp;"|"&amp;E255,catClave,0))&amp;"",""))</f>
        <v/>
      </c>
      <c r="Z255" s="52">
        <f>IF(P255="","",WEEKDAY(B255,2))</f>
        <v/>
      </c>
      <c r="AA255" s="52">
        <f>IF(P255="","",IF(AND(P255="Gasto",X255="Variable",D255&lt;&gt;catTrading,S255&gt;0,S255&lt;=Umbral),1,0))</f>
        <v/>
      </c>
      <c r="AB255" s="52">
        <f>IF(OR(P255="",Q255=""),"",IFERROR(IF(INDEX(ctaVinc,MATCH(Q255,ctaNombre,0))&amp;""&lt;&gt;"",INDEX(ctaVinc,MATCH(Q255,ctaNombre,0))&amp;"",Q255),Q255))</f>
        <v/>
      </c>
      <c r="AC255" s="52">
        <f>IF(OR(K255="",AND(P255&lt;&gt;"Transferencia",P255&lt;&gt;"Pago tarjeta")),"",IFERROR(IF(INDEX(ctaVinc,MATCH(K255,ctaNombre,0))&amp;""&lt;&gt;"",INDEX(ctaVinc,MATCH(K255,ctaNombre,0))&amp;"",K255),K255))</f>
        <v/>
      </c>
      <c r="AD255" s="52">
        <f>IF(AB255="","",IFERROR(INDEX(ctaTipo,MATCH(AB255,ctaNombre,0))&amp;"",""))</f>
        <v/>
      </c>
      <c r="AE255" s="52">
        <f>IF(AC255="","",IFERROR(INDEX(ctaTipo,MATCH(AC255,ctaNombre,0))&amp;"",""))</f>
        <v/>
      </c>
      <c r="AF255" s="53">
        <f>IF(OR(P255="",AB255=""),"",IF(OR(P255="Gasto",P255="Transferencia",P255="Pago tarjeta"),-1,1)*IF(IFERROR(INDEX(ctaMoneda,MATCH(AB255,ctaNombre,0))&amp;"","DOP")="USD",T255,S255))</f>
        <v/>
      </c>
      <c r="AG255" s="53">
        <f>IF(AC255="","",IF(IFERROR(INDEX(ctaMoneda,MATCH(AC255,ctaNombre,0))&amp;"","DOP")="USD",T255,S255))</f>
        <v/>
      </c>
      <c r="AH255" s="53">
        <f>IF(P255="","",IF(AND(AD255&lt;&gt;"",COUNTIFS(tcTipo,AD255,tcLiq,"Sí")&gt;0),IF(OR(P255="Gasto",P255="Transferencia",P255="Pago tarjeta"),-1,1)*S255,0)+IF(AND(AE255&lt;&gt;"",COUNTIFS(tcTipo,AE255,tcLiq,"Sí")&gt;0),S255,0))</f>
        <v/>
      </c>
      <c r="AI255" s="52">
        <f>IF(OR(L255="",P255=""),"",IF(COUNTIFS(L$6:L255,L255,P$6:P255,"?*")=1,MAX(AI$5:AI254)+1,""))</f>
        <v/>
      </c>
    </row>
    <row r="256">
      <c r="B256" s="47" t="n"/>
      <c r="C256" s="48" t="n"/>
      <c r="D256" s="48" t="n"/>
      <c r="E256" s="48" t="n"/>
      <c r="F256" s="48" t="n"/>
      <c r="G256" s="49" t="n"/>
      <c r="H256" s="48" t="n"/>
      <c r="I256" s="50" t="n"/>
      <c r="J256" s="48" t="n"/>
      <c r="K256" s="48" t="n"/>
      <c r="L256" s="48" t="n"/>
      <c r="M256" s="48" t="n"/>
      <c r="N256" s="48" t="n"/>
      <c r="O256" s="51">
        <f>IF(AND(B256="",G256="",C256="",D256="",J256=""),"",IF(B256="","⚠ Falta fecha",IF(G256="","⚠ Falta monto",IF(Q256="","⚠ Falta cuenta",IF(ISNA(MATCH(Q256,ctaNombre,0)),"⚠ Cuenta no registrada",IF(AND(OR(P256="Gasto",P256="Reembolso"),D256=""),"⚠ Falta categoría",IF(AND(D256&lt;&gt;"",E256&lt;&gt;"",ISNA(MATCH(D256&amp;"|"&amp;E256,catClave,0))),"⚠ Subcategoría no corresponde",IF(AND(OR(P256="Transferencia",P256="Pago tarjeta"),K256=""),"⚠ Falta cuenta destino",IF(AND(K256&lt;&gt;"",P256&lt;&gt;"Transferencia",P256&lt;&gt;"Pago tarjeta"),"⚠ Destino solo aplica a transferencias",IF(AND(K256&lt;&gt;"",K256=Q256),"⚠ Origen igual a destino",IF(AND(K256&lt;&gt;"",ISNA(MATCH(K256,ctaNombre,0))),"⚠ Destino no registrado",IF(AND(P256="Pago tarjeta",AE256&lt;&gt;"Tarjeta de crédito"),"⚠ El destino debe ser tarjeta de crédito",IF(AND(P256="Gasto",E256="Depósitos y retiros"),"⚠ Usa tipo Transferencia",IF(AND(P256="Resultado trading",AD256&lt;&gt;"Cuenta de trading"),"⚠ Usa una cuenta de trading",IF(AND(G256&lt;=0,P256&lt;&gt;"Ajuste",P256&lt;&gt;"Resultado trading"),"⚠ El monto debe ser positivo","✓")))))))))))))))</f>
        <v/>
      </c>
      <c r="P256" s="52">
        <f>IF(OR(B256="",G256=""),"",IF(C256="","Gasto",C256))</f>
        <v/>
      </c>
      <c r="Q256" s="52">
        <f>IF(P256="","",IF(J256&lt;&gt;"",J256,CuentaPred&amp;""))</f>
        <v/>
      </c>
      <c r="R256" s="52">
        <f>IF(P256="","",IF(ISNUMBER(I256),I256,TasaUSD))</f>
        <v/>
      </c>
      <c r="S256" s="53">
        <f>IF(P256="","",IF(H256="USD",G256*R256,G256))</f>
        <v/>
      </c>
      <c r="T256" s="53">
        <f>IF(P256="","",IF(H256="USD",G256,IF(R256&gt;0,G256/R256,0)))</f>
        <v/>
      </c>
      <c r="U256" s="53">
        <f>IF(P256="","",IF(P256="Gasto",S256,IF(P256="Reembolso",-S256,0)))</f>
        <v/>
      </c>
      <c r="V256" s="53">
        <f>IF(P256="","",IF(P256="Ingreso",S256,0))</f>
        <v/>
      </c>
      <c r="W256" s="53">
        <f>IF(P256="","",IF(P256="Resultado trading",S256,0))</f>
        <v/>
      </c>
      <c r="X256" s="52">
        <f>IF(OR(P256="Gasto",P256="Reembolso"),IF(M256&lt;&gt;"",M256,IFERROR(INDEX(catClasif,MATCH(D256&amp;"|"&amp;E256,catClave,0))&amp;"","Variable")),"")</f>
        <v/>
      </c>
      <c r="Y256" s="52">
        <f>IF(P256="","",IFERROR(INDEX(catGrupo,MATCH(D256&amp;"|"&amp;E256,catClave,0))&amp;"",""))</f>
        <v/>
      </c>
      <c r="Z256" s="52">
        <f>IF(P256="","",WEEKDAY(B256,2))</f>
        <v/>
      </c>
      <c r="AA256" s="52">
        <f>IF(P256="","",IF(AND(P256="Gasto",X256="Variable",D256&lt;&gt;catTrading,S256&gt;0,S256&lt;=Umbral),1,0))</f>
        <v/>
      </c>
      <c r="AB256" s="52">
        <f>IF(OR(P256="",Q256=""),"",IFERROR(IF(INDEX(ctaVinc,MATCH(Q256,ctaNombre,0))&amp;""&lt;&gt;"",INDEX(ctaVinc,MATCH(Q256,ctaNombre,0))&amp;"",Q256),Q256))</f>
        <v/>
      </c>
      <c r="AC256" s="52">
        <f>IF(OR(K256="",AND(P256&lt;&gt;"Transferencia",P256&lt;&gt;"Pago tarjeta")),"",IFERROR(IF(INDEX(ctaVinc,MATCH(K256,ctaNombre,0))&amp;""&lt;&gt;"",INDEX(ctaVinc,MATCH(K256,ctaNombre,0))&amp;"",K256),K256))</f>
        <v/>
      </c>
      <c r="AD256" s="52">
        <f>IF(AB256="","",IFERROR(INDEX(ctaTipo,MATCH(AB256,ctaNombre,0))&amp;"",""))</f>
        <v/>
      </c>
      <c r="AE256" s="52">
        <f>IF(AC256="","",IFERROR(INDEX(ctaTipo,MATCH(AC256,ctaNombre,0))&amp;"",""))</f>
        <v/>
      </c>
      <c r="AF256" s="53">
        <f>IF(OR(P256="",AB256=""),"",IF(OR(P256="Gasto",P256="Transferencia",P256="Pago tarjeta"),-1,1)*IF(IFERROR(INDEX(ctaMoneda,MATCH(AB256,ctaNombre,0))&amp;"","DOP")="USD",T256,S256))</f>
        <v/>
      </c>
      <c r="AG256" s="53">
        <f>IF(AC256="","",IF(IFERROR(INDEX(ctaMoneda,MATCH(AC256,ctaNombre,0))&amp;"","DOP")="USD",T256,S256))</f>
        <v/>
      </c>
      <c r="AH256" s="53">
        <f>IF(P256="","",IF(AND(AD256&lt;&gt;"",COUNTIFS(tcTipo,AD256,tcLiq,"Sí")&gt;0),IF(OR(P256="Gasto",P256="Transferencia",P256="Pago tarjeta"),-1,1)*S256,0)+IF(AND(AE256&lt;&gt;"",COUNTIFS(tcTipo,AE256,tcLiq,"Sí")&gt;0),S256,0))</f>
        <v/>
      </c>
      <c r="AI256" s="52">
        <f>IF(OR(L256="",P256=""),"",IF(COUNTIFS(L$6:L256,L256,P$6:P256,"?*")=1,MAX(AI$5:AI255)+1,""))</f>
        <v/>
      </c>
    </row>
    <row r="257">
      <c r="B257" s="47" t="n"/>
      <c r="C257" s="48" t="n"/>
      <c r="D257" s="48" t="n"/>
      <c r="E257" s="48" t="n"/>
      <c r="F257" s="48" t="n"/>
      <c r="G257" s="49" t="n"/>
      <c r="H257" s="48" t="n"/>
      <c r="I257" s="50" t="n"/>
      <c r="J257" s="48" t="n"/>
      <c r="K257" s="48" t="n"/>
      <c r="L257" s="48" t="n"/>
      <c r="M257" s="48" t="n"/>
      <c r="N257" s="48" t="n"/>
      <c r="O257" s="51">
        <f>IF(AND(B257="",G257="",C257="",D257="",J257=""),"",IF(B257="","⚠ Falta fecha",IF(G257="","⚠ Falta monto",IF(Q257="","⚠ Falta cuenta",IF(ISNA(MATCH(Q257,ctaNombre,0)),"⚠ Cuenta no registrada",IF(AND(OR(P257="Gasto",P257="Reembolso"),D257=""),"⚠ Falta categoría",IF(AND(D257&lt;&gt;"",E257&lt;&gt;"",ISNA(MATCH(D257&amp;"|"&amp;E257,catClave,0))),"⚠ Subcategoría no corresponde",IF(AND(OR(P257="Transferencia",P257="Pago tarjeta"),K257=""),"⚠ Falta cuenta destino",IF(AND(K257&lt;&gt;"",P257&lt;&gt;"Transferencia",P257&lt;&gt;"Pago tarjeta"),"⚠ Destino solo aplica a transferencias",IF(AND(K257&lt;&gt;"",K257=Q257),"⚠ Origen igual a destino",IF(AND(K257&lt;&gt;"",ISNA(MATCH(K257,ctaNombre,0))),"⚠ Destino no registrado",IF(AND(P257="Pago tarjeta",AE257&lt;&gt;"Tarjeta de crédito"),"⚠ El destino debe ser tarjeta de crédito",IF(AND(P257="Gasto",E257="Depósitos y retiros"),"⚠ Usa tipo Transferencia",IF(AND(P257="Resultado trading",AD257&lt;&gt;"Cuenta de trading"),"⚠ Usa una cuenta de trading",IF(AND(G257&lt;=0,P257&lt;&gt;"Ajuste",P257&lt;&gt;"Resultado trading"),"⚠ El monto debe ser positivo","✓")))))))))))))))</f>
        <v/>
      </c>
      <c r="P257" s="52">
        <f>IF(OR(B257="",G257=""),"",IF(C257="","Gasto",C257))</f>
        <v/>
      </c>
      <c r="Q257" s="52">
        <f>IF(P257="","",IF(J257&lt;&gt;"",J257,CuentaPred&amp;""))</f>
        <v/>
      </c>
      <c r="R257" s="52">
        <f>IF(P257="","",IF(ISNUMBER(I257),I257,TasaUSD))</f>
        <v/>
      </c>
      <c r="S257" s="53">
        <f>IF(P257="","",IF(H257="USD",G257*R257,G257))</f>
        <v/>
      </c>
      <c r="T257" s="53">
        <f>IF(P257="","",IF(H257="USD",G257,IF(R257&gt;0,G257/R257,0)))</f>
        <v/>
      </c>
      <c r="U257" s="53">
        <f>IF(P257="","",IF(P257="Gasto",S257,IF(P257="Reembolso",-S257,0)))</f>
        <v/>
      </c>
      <c r="V257" s="53">
        <f>IF(P257="","",IF(P257="Ingreso",S257,0))</f>
        <v/>
      </c>
      <c r="W257" s="53">
        <f>IF(P257="","",IF(P257="Resultado trading",S257,0))</f>
        <v/>
      </c>
      <c r="X257" s="52">
        <f>IF(OR(P257="Gasto",P257="Reembolso"),IF(M257&lt;&gt;"",M257,IFERROR(INDEX(catClasif,MATCH(D257&amp;"|"&amp;E257,catClave,0))&amp;"","Variable")),"")</f>
        <v/>
      </c>
      <c r="Y257" s="52">
        <f>IF(P257="","",IFERROR(INDEX(catGrupo,MATCH(D257&amp;"|"&amp;E257,catClave,0))&amp;"",""))</f>
        <v/>
      </c>
      <c r="Z257" s="52">
        <f>IF(P257="","",WEEKDAY(B257,2))</f>
        <v/>
      </c>
      <c r="AA257" s="52">
        <f>IF(P257="","",IF(AND(P257="Gasto",X257="Variable",D257&lt;&gt;catTrading,S257&gt;0,S257&lt;=Umbral),1,0))</f>
        <v/>
      </c>
      <c r="AB257" s="52">
        <f>IF(OR(P257="",Q257=""),"",IFERROR(IF(INDEX(ctaVinc,MATCH(Q257,ctaNombre,0))&amp;""&lt;&gt;"",INDEX(ctaVinc,MATCH(Q257,ctaNombre,0))&amp;"",Q257),Q257))</f>
        <v/>
      </c>
      <c r="AC257" s="52">
        <f>IF(OR(K257="",AND(P257&lt;&gt;"Transferencia",P257&lt;&gt;"Pago tarjeta")),"",IFERROR(IF(INDEX(ctaVinc,MATCH(K257,ctaNombre,0))&amp;""&lt;&gt;"",INDEX(ctaVinc,MATCH(K257,ctaNombre,0))&amp;"",K257),K257))</f>
        <v/>
      </c>
      <c r="AD257" s="52">
        <f>IF(AB257="","",IFERROR(INDEX(ctaTipo,MATCH(AB257,ctaNombre,0))&amp;"",""))</f>
        <v/>
      </c>
      <c r="AE257" s="52">
        <f>IF(AC257="","",IFERROR(INDEX(ctaTipo,MATCH(AC257,ctaNombre,0))&amp;"",""))</f>
        <v/>
      </c>
      <c r="AF257" s="53">
        <f>IF(OR(P257="",AB257=""),"",IF(OR(P257="Gasto",P257="Transferencia",P257="Pago tarjeta"),-1,1)*IF(IFERROR(INDEX(ctaMoneda,MATCH(AB257,ctaNombre,0))&amp;"","DOP")="USD",T257,S257))</f>
        <v/>
      </c>
      <c r="AG257" s="53">
        <f>IF(AC257="","",IF(IFERROR(INDEX(ctaMoneda,MATCH(AC257,ctaNombre,0))&amp;"","DOP")="USD",T257,S257))</f>
        <v/>
      </c>
      <c r="AH257" s="53">
        <f>IF(P257="","",IF(AND(AD257&lt;&gt;"",COUNTIFS(tcTipo,AD257,tcLiq,"Sí")&gt;0),IF(OR(P257="Gasto",P257="Transferencia",P257="Pago tarjeta"),-1,1)*S257,0)+IF(AND(AE257&lt;&gt;"",COUNTIFS(tcTipo,AE257,tcLiq,"Sí")&gt;0),S257,0))</f>
        <v/>
      </c>
      <c r="AI257" s="52">
        <f>IF(OR(L257="",P257=""),"",IF(COUNTIFS(L$6:L257,L257,P$6:P257,"?*")=1,MAX(AI$5:AI256)+1,""))</f>
        <v/>
      </c>
    </row>
    <row r="258">
      <c r="B258" s="47" t="n"/>
      <c r="C258" s="48" t="n"/>
      <c r="D258" s="48" t="n"/>
      <c r="E258" s="48" t="n"/>
      <c r="F258" s="48" t="n"/>
      <c r="G258" s="49" t="n"/>
      <c r="H258" s="48" t="n"/>
      <c r="I258" s="50" t="n"/>
      <c r="J258" s="48" t="n"/>
      <c r="K258" s="48" t="n"/>
      <c r="L258" s="48" t="n"/>
      <c r="M258" s="48" t="n"/>
      <c r="N258" s="48" t="n"/>
      <c r="O258" s="51">
        <f>IF(AND(B258="",G258="",C258="",D258="",J258=""),"",IF(B258="","⚠ Falta fecha",IF(G258="","⚠ Falta monto",IF(Q258="","⚠ Falta cuenta",IF(ISNA(MATCH(Q258,ctaNombre,0)),"⚠ Cuenta no registrada",IF(AND(OR(P258="Gasto",P258="Reembolso"),D258=""),"⚠ Falta categoría",IF(AND(D258&lt;&gt;"",E258&lt;&gt;"",ISNA(MATCH(D258&amp;"|"&amp;E258,catClave,0))),"⚠ Subcategoría no corresponde",IF(AND(OR(P258="Transferencia",P258="Pago tarjeta"),K258=""),"⚠ Falta cuenta destino",IF(AND(K258&lt;&gt;"",P258&lt;&gt;"Transferencia",P258&lt;&gt;"Pago tarjeta"),"⚠ Destino solo aplica a transferencias",IF(AND(K258&lt;&gt;"",K258=Q258),"⚠ Origen igual a destino",IF(AND(K258&lt;&gt;"",ISNA(MATCH(K258,ctaNombre,0))),"⚠ Destino no registrado",IF(AND(P258="Pago tarjeta",AE258&lt;&gt;"Tarjeta de crédito"),"⚠ El destino debe ser tarjeta de crédito",IF(AND(P258="Gasto",E258="Depósitos y retiros"),"⚠ Usa tipo Transferencia",IF(AND(P258="Resultado trading",AD258&lt;&gt;"Cuenta de trading"),"⚠ Usa una cuenta de trading",IF(AND(G258&lt;=0,P258&lt;&gt;"Ajuste",P258&lt;&gt;"Resultado trading"),"⚠ El monto debe ser positivo","✓")))))))))))))))</f>
        <v/>
      </c>
      <c r="P258" s="52">
        <f>IF(OR(B258="",G258=""),"",IF(C258="","Gasto",C258))</f>
        <v/>
      </c>
      <c r="Q258" s="52">
        <f>IF(P258="","",IF(J258&lt;&gt;"",J258,CuentaPred&amp;""))</f>
        <v/>
      </c>
      <c r="R258" s="52">
        <f>IF(P258="","",IF(ISNUMBER(I258),I258,TasaUSD))</f>
        <v/>
      </c>
      <c r="S258" s="53">
        <f>IF(P258="","",IF(H258="USD",G258*R258,G258))</f>
        <v/>
      </c>
      <c r="T258" s="53">
        <f>IF(P258="","",IF(H258="USD",G258,IF(R258&gt;0,G258/R258,0)))</f>
        <v/>
      </c>
      <c r="U258" s="53">
        <f>IF(P258="","",IF(P258="Gasto",S258,IF(P258="Reembolso",-S258,0)))</f>
        <v/>
      </c>
      <c r="V258" s="53">
        <f>IF(P258="","",IF(P258="Ingreso",S258,0))</f>
        <v/>
      </c>
      <c r="W258" s="53">
        <f>IF(P258="","",IF(P258="Resultado trading",S258,0))</f>
        <v/>
      </c>
      <c r="X258" s="52">
        <f>IF(OR(P258="Gasto",P258="Reembolso"),IF(M258&lt;&gt;"",M258,IFERROR(INDEX(catClasif,MATCH(D258&amp;"|"&amp;E258,catClave,0))&amp;"","Variable")),"")</f>
        <v/>
      </c>
      <c r="Y258" s="52">
        <f>IF(P258="","",IFERROR(INDEX(catGrupo,MATCH(D258&amp;"|"&amp;E258,catClave,0))&amp;"",""))</f>
        <v/>
      </c>
      <c r="Z258" s="52">
        <f>IF(P258="","",WEEKDAY(B258,2))</f>
        <v/>
      </c>
      <c r="AA258" s="52">
        <f>IF(P258="","",IF(AND(P258="Gasto",X258="Variable",D258&lt;&gt;catTrading,S258&gt;0,S258&lt;=Umbral),1,0))</f>
        <v/>
      </c>
      <c r="AB258" s="52">
        <f>IF(OR(P258="",Q258=""),"",IFERROR(IF(INDEX(ctaVinc,MATCH(Q258,ctaNombre,0))&amp;""&lt;&gt;"",INDEX(ctaVinc,MATCH(Q258,ctaNombre,0))&amp;"",Q258),Q258))</f>
        <v/>
      </c>
      <c r="AC258" s="52">
        <f>IF(OR(K258="",AND(P258&lt;&gt;"Transferencia",P258&lt;&gt;"Pago tarjeta")),"",IFERROR(IF(INDEX(ctaVinc,MATCH(K258,ctaNombre,0))&amp;""&lt;&gt;"",INDEX(ctaVinc,MATCH(K258,ctaNombre,0))&amp;"",K258),K258))</f>
        <v/>
      </c>
      <c r="AD258" s="52">
        <f>IF(AB258="","",IFERROR(INDEX(ctaTipo,MATCH(AB258,ctaNombre,0))&amp;"",""))</f>
        <v/>
      </c>
      <c r="AE258" s="52">
        <f>IF(AC258="","",IFERROR(INDEX(ctaTipo,MATCH(AC258,ctaNombre,0))&amp;"",""))</f>
        <v/>
      </c>
      <c r="AF258" s="53">
        <f>IF(OR(P258="",AB258=""),"",IF(OR(P258="Gasto",P258="Transferencia",P258="Pago tarjeta"),-1,1)*IF(IFERROR(INDEX(ctaMoneda,MATCH(AB258,ctaNombre,0))&amp;"","DOP")="USD",T258,S258))</f>
        <v/>
      </c>
      <c r="AG258" s="53">
        <f>IF(AC258="","",IF(IFERROR(INDEX(ctaMoneda,MATCH(AC258,ctaNombre,0))&amp;"","DOP")="USD",T258,S258))</f>
        <v/>
      </c>
      <c r="AH258" s="53">
        <f>IF(P258="","",IF(AND(AD258&lt;&gt;"",COUNTIFS(tcTipo,AD258,tcLiq,"Sí")&gt;0),IF(OR(P258="Gasto",P258="Transferencia",P258="Pago tarjeta"),-1,1)*S258,0)+IF(AND(AE258&lt;&gt;"",COUNTIFS(tcTipo,AE258,tcLiq,"Sí")&gt;0),S258,0))</f>
        <v/>
      </c>
      <c r="AI258" s="52">
        <f>IF(OR(L258="",P258=""),"",IF(COUNTIFS(L$6:L258,L258,P$6:P258,"?*")=1,MAX(AI$5:AI257)+1,""))</f>
        <v/>
      </c>
    </row>
    <row r="259">
      <c r="B259" s="47" t="n"/>
      <c r="C259" s="48" t="n"/>
      <c r="D259" s="48" t="n"/>
      <c r="E259" s="48" t="n"/>
      <c r="F259" s="48" t="n"/>
      <c r="G259" s="49" t="n"/>
      <c r="H259" s="48" t="n"/>
      <c r="I259" s="50" t="n"/>
      <c r="J259" s="48" t="n"/>
      <c r="K259" s="48" t="n"/>
      <c r="L259" s="48" t="n"/>
      <c r="M259" s="48" t="n"/>
      <c r="N259" s="48" t="n"/>
      <c r="O259" s="51">
        <f>IF(AND(B259="",G259="",C259="",D259="",J259=""),"",IF(B259="","⚠ Falta fecha",IF(G259="","⚠ Falta monto",IF(Q259="","⚠ Falta cuenta",IF(ISNA(MATCH(Q259,ctaNombre,0)),"⚠ Cuenta no registrada",IF(AND(OR(P259="Gasto",P259="Reembolso"),D259=""),"⚠ Falta categoría",IF(AND(D259&lt;&gt;"",E259&lt;&gt;"",ISNA(MATCH(D259&amp;"|"&amp;E259,catClave,0))),"⚠ Subcategoría no corresponde",IF(AND(OR(P259="Transferencia",P259="Pago tarjeta"),K259=""),"⚠ Falta cuenta destino",IF(AND(K259&lt;&gt;"",P259&lt;&gt;"Transferencia",P259&lt;&gt;"Pago tarjeta"),"⚠ Destino solo aplica a transferencias",IF(AND(K259&lt;&gt;"",K259=Q259),"⚠ Origen igual a destino",IF(AND(K259&lt;&gt;"",ISNA(MATCH(K259,ctaNombre,0))),"⚠ Destino no registrado",IF(AND(P259="Pago tarjeta",AE259&lt;&gt;"Tarjeta de crédito"),"⚠ El destino debe ser tarjeta de crédito",IF(AND(P259="Gasto",E259="Depósitos y retiros"),"⚠ Usa tipo Transferencia",IF(AND(P259="Resultado trading",AD259&lt;&gt;"Cuenta de trading"),"⚠ Usa una cuenta de trading",IF(AND(G259&lt;=0,P259&lt;&gt;"Ajuste",P259&lt;&gt;"Resultado trading"),"⚠ El monto debe ser positivo","✓")))))))))))))))</f>
        <v/>
      </c>
      <c r="P259" s="52">
        <f>IF(OR(B259="",G259=""),"",IF(C259="","Gasto",C259))</f>
        <v/>
      </c>
      <c r="Q259" s="52">
        <f>IF(P259="","",IF(J259&lt;&gt;"",J259,CuentaPred&amp;""))</f>
        <v/>
      </c>
      <c r="R259" s="52">
        <f>IF(P259="","",IF(ISNUMBER(I259),I259,TasaUSD))</f>
        <v/>
      </c>
      <c r="S259" s="53">
        <f>IF(P259="","",IF(H259="USD",G259*R259,G259))</f>
        <v/>
      </c>
      <c r="T259" s="53">
        <f>IF(P259="","",IF(H259="USD",G259,IF(R259&gt;0,G259/R259,0)))</f>
        <v/>
      </c>
      <c r="U259" s="53">
        <f>IF(P259="","",IF(P259="Gasto",S259,IF(P259="Reembolso",-S259,0)))</f>
        <v/>
      </c>
      <c r="V259" s="53">
        <f>IF(P259="","",IF(P259="Ingreso",S259,0))</f>
        <v/>
      </c>
      <c r="W259" s="53">
        <f>IF(P259="","",IF(P259="Resultado trading",S259,0))</f>
        <v/>
      </c>
      <c r="X259" s="52">
        <f>IF(OR(P259="Gasto",P259="Reembolso"),IF(M259&lt;&gt;"",M259,IFERROR(INDEX(catClasif,MATCH(D259&amp;"|"&amp;E259,catClave,0))&amp;"","Variable")),"")</f>
        <v/>
      </c>
      <c r="Y259" s="52">
        <f>IF(P259="","",IFERROR(INDEX(catGrupo,MATCH(D259&amp;"|"&amp;E259,catClave,0))&amp;"",""))</f>
        <v/>
      </c>
      <c r="Z259" s="52">
        <f>IF(P259="","",WEEKDAY(B259,2))</f>
        <v/>
      </c>
      <c r="AA259" s="52">
        <f>IF(P259="","",IF(AND(P259="Gasto",X259="Variable",D259&lt;&gt;catTrading,S259&gt;0,S259&lt;=Umbral),1,0))</f>
        <v/>
      </c>
      <c r="AB259" s="52">
        <f>IF(OR(P259="",Q259=""),"",IFERROR(IF(INDEX(ctaVinc,MATCH(Q259,ctaNombre,0))&amp;""&lt;&gt;"",INDEX(ctaVinc,MATCH(Q259,ctaNombre,0))&amp;"",Q259),Q259))</f>
        <v/>
      </c>
      <c r="AC259" s="52">
        <f>IF(OR(K259="",AND(P259&lt;&gt;"Transferencia",P259&lt;&gt;"Pago tarjeta")),"",IFERROR(IF(INDEX(ctaVinc,MATCH(K259,ctaNombre,0))&amp;""&lt;&gt;"",INDEX(ctaVinc,MATCH(K259,ctaNombre,0))&amp;"",K259),K259))</f>
        <v/>
      </c>
      <c r="AD259" s="52">
        <f>IF(AB259="","",IFERROR(INDEX(ctaTipo,MATCH(AB259,ctaNombre,0))&amp;"",""))</f>
        <v/>
      </c>
      <c r="AE259" s="52">
        <f>IF(AC259="","",IFERROR(INDEX(ctaTipo,MATCH(AC259,ctaNombre,0))&amp;"",""))</f>
        <v/>
      </c>
      <c r="AF259" s="53">
        <f>IF(OR(P259="",AB259=""),"",IF(OR(P259="Gasto",P259="Transferencia",P259="Pago tarjeta"),-1,1)*IF(IFERROR(INDEX(ctaMoneda,MATCH(AB259,ctaNombre,0))&amp;"","DOP")="USD",T259,S259))</f>
        <v/>
      </c>
      <c r="AG259" s="53">
        <f>IF(AC259="","",IF(IFERROR(INDEX(ctaMoneda,MATCH(AC259,ctaNombre,0))&amp;"","DOP")="USD",T259,S259))</f>
        <v/>
      </c>
      <c r="AH259" s="53">
        <f>IF(P259="","",IF(AND(AD259&lt;&gt;"",COUNTIFS(tcTipo,AD259,tcLiq,"Sí")&gt;0),IF(OR(P259="Gasto",P259="Transferencia",P259="Pago tarjeta"),-1,1)*S259,0)+IF(AND(AE259&lt;&gt;"",COUNTIFS(tcTipo,AE259,tcLiq,"Sí")&gt;0),S259,0))</f>
        <v/>
      </c>
      <c r="AI259" s="52">
        <f>IF(OR(L259="",P259=""),"",IF(COUNTIFS(L$6:L259,L259,P$6:P259,"?*")=1,MAX(AI$5:AI258)+1,""))</f>
        <v/>
      </c>
    </row>
    <row r="260">
      <c r="B260" s="47" t="n"/>
      <c r="C260" s="48" t="n"/>
      <c r="D260" s="48" t="n"/>
      <c r="E260" s="48" t="n"/>
      <c r="F260" s="48" t="n"/>
      <c r="G260" s="49" t="n"/>
      <c r="H260" s="48" t="n"/>
      <c r="I260" s="50" t="n"/>
      <c r="J260" s="48" t="n"/>
      <c r="K260" s="48" t="n"/>
      <c r="L260" s="48" t="n"/>
      <c r="M260" s="48" t="n"/>
      <c r="N260" s="48" t="n"/>
      <c r="O260" s="51">
        <f>IF(AND(B260="",G260="",C260="",D260="",J260=""),"",IF(B260="","⚠ Falta fecha",IF(G260="","⚠ Falta monto",IF(Q260="","⚠ Falta cuenta",IF(ISNA(MATCH(Q260,ctaNombre,0)),"⚠ Cuenta no registrada",IF(AND(OR(P260="Gasto",P260="Reembolso"),D260=""),"⚠ Falta categoría",IF(AND(D260&lt;&gt;"",E260&lt;&gt;"",ISNA(MATCH(D260&amp;"|"&amp;E260,catClave,0))),"⚠ Subcategoría no corresponde",IF(AND(OR(P260="Transferencia",P260="Pago tarjeta"),K260=""),"⚠ Falta cuenta destino",IF(AND(K260&lt;&gt;"",P260&lt;&gt;"Transferencia",P260&lt;&gt;"Pago tarjeta"),"⚠ Destino solo aplica a transferencias",IF(AND(K260&lt;&gt;"",K260=Q260),"⚠ Origen igual a destino",IF(AND(K260&lt;&gt;"",ISNA(MATCH(K260,ctaNombre,0))),"⚠ Destino no registrado",IF(AND(P260="Pago tarjeta",AE260&lt;&gt;"Tarjeta de crédito"),"⚠ El destino debe ser tarjeta de crédito",IF(AND(P260="Gasto",E260="Depósitos y retiros"),"⚠ Usa tipo Transferencia",IF(AND(P260="Resultado trading",AD260&lt;&gt;"Cuenta de trading"),"⚠ Usa una cuenta de trading",IF(AND(G260&lt;=0,P260&lt;&gt;"Ajuste",P260&lt;&gt;"Resultado trading"),"⚠ El monto debe ser positivo","✓")))))))))))))))</f>
        <v/>
      </c>
      <c r="P260" s="52">
        <f>IF(OR(B260="",G260=""),"",IF(C260="","Gasto",C260))</f>
        <v/>
      </c>
      <c r="Q260" s="52">
        <f>IF(P260="","",IF(J260&lt;&gt;"",J260,CuentaPred&amp;""))</f>
        <v/>
      </c>
      <c r="R260" s="52">
        <f>IF(P260="","",IF(ISNUMBER(I260),I260,TasaUSD))</f>
        <v/>
      </c>
      <c r="S260" s="53">
        <f>IF(P260="","",IF(H260="USD",G260*R260,G260))</f>
        <v/>
      </c>
      <c r="T260" s="53">
        <f>IF(P260="","",IF(H260="USD",G260,IF(R260&gt;0,G260/R260,0)))</f>
        <v/>
      </c>
      <c r="U260" s="53">
        <f>IF(P260="","",IF(P260="Gasto",S260,IF(P260="Reembolso",-S260,0)))</f>
        <v/>
      </c>
      <c r="V260" s="53">
        <f>IF(P260="","",IF(P260="Ingreso",S260,0))</f>
        <v/>
      </c>
      <c r="W260" s="53">
        <f>IF(P260="","",IF(P260="Resultado trading",S260,0))</f>
        <v/>
      </c>
      <c r="X260" s="52">
        <f>IF(OR(P260="Gasto",P260="Reembolso"),IF(M260&lt;&gt;"",M260,IFERROR(INDEX(catClasif,MATCH(D260&amp;"|"&amp;E260,catClave,0))&amp;"","Variable")),"")</f>
        <v/>
      </c>
      <c r="Y260" s="52">
        <f>IF(P260="","",IFERROR(INDEX(catGrupo,MATCH(D260&amp;"|"&amp;E260,catClave,0))&amp;"",""))</f>
        <v/>
      </c>
      <c r="Z260" s="52">
        <f>IF(P260="","",WEEKDAY(B260,2))</f>
        <v/>
      </c>
      <c r="AA260" s="52">
        <f>IF(P260="","",IF(AND(P260="Gasto",X260="Variable",D260&lt;&gt;catTrading,S260&gt;0,S260&lt;=Umbral),1,0))</f>
        <v/>
      </c>
      <c r="AB260" s="52">
        <f>IF(OR(P260="",Q260=""),"",IFERROR(IF(INDEX(ctaVinc,MATCH(Q260,ctaNombre,0))&amp;""&lt;&gt;"",INDEX(ctaVinc,MATCH(Q260,ctaNombre,0))&amp;"",Q260),Q260))</f>
        <v/>
      </c>
      <c r="AC260" s="52">
        <f>IF(OR(K260="",AND(P260&lt;&gt;"Transferencia",P260&lt;&gt;"Pago tarjeta")),"",IFERROR(IF(INDEX(ctaVinc,MATCH(K260,ctaNombre,0))&amp;""&lt;&gt;"",INDEX(ctaVinc,MATCH(K260,ctaNombre,0))&amp;"",K260),K260))</f>
        <v/>
      </c>
      <c r="AD260" s="52">
        <f>IF(AB260="","",IFERROR(INDEX(ctaTipo,MATCH(AB260,ctaNombre,0))&amp;"",""))</f>
        <v/>
      </c>
      <c r="AE260" s="52">
        <f>IF(AC260="","",IFERROR(INDEX(ctaTipo,MATCH(AC260,ctaNombre,0))&amp;"",""))</f>
        <v/>
      </c>
      <c r="AF260" s="53">
        <f>IF(OR(P260="",AB260=""),"",IF(OR(P260="Gasto",P260="Transferencia",P260="Pago tarjeta"),-1,1)*IF(IFERROR(INDEX(ctaMoneda,MATCH(AB260,ctaNombre,0))&amp;"","DOP")="USD",T260,S260))</f>
        <v/>
      </c>
      <c r="AG260" s="53">
        <f>IF(AC260="","",IF(IFERROR(INDEX(ctaMoneda,MATCH(AC260,ctaNombre,0))&amp;"","DOP")="USD",T260,S260))</f>
        <v/>
      </c>
      <c r="AH260" s="53">
        <f>IF(P260="","",IF(AND(AD260&lt;&gt;"",COUNTIFS(tcTipo,AD260,tcLiq,"Sí")&gt;0),IF(OR(P260="Gasto",P260="Transferencia",P260="Pago tarjeta"),-1,1)*S260,0)+IF(AND(AE260&lt;&gt;"",COUNTIFS(tcTipo,AE260,tcLiq,"Sí")&gt;0),S260,0))</f>
        <v/>
      </c>
      <c r="AI260" s="52">
        <f>IF(OR(L260="",P260=""),"",IF(COUNTIFS(L$6:L260,L260,P$6:P260,"?*")=1,MAX(AI$5:AI259)+1,""))</f>
        <v/>
      </c>
    </row>
    <row r="261">
      <c r="B261" s="47" t="n"/>
      <c r="C261" s="48" t="n"/>
      <c r="D261" s="48" t="n"/>
      <c r="E261" s="48" t="n"/>
      <c r="F261" s="48" t="n"/>
      <c r="G261" s="49" t="n"/>
      <c r="H261" s="48" t="n"/>
      <c r="I261" s="50" t="n"/>
      <c r="J261" s="48" t="n"/>
      <c r="K261" s="48" t="n"/>
      <c r="L261" s="48" t="n"/>
      <c r="M261" s="48" t="n"/>
      <c r="N261" s="48" t="n"/>
      <c r="O261" s="51">
        <f>IF(AND(B261="",G261="",C261="",D261="",J261=""),"",IF(B261="","⚠ Falta fecha",IF(G261="","⚠ Falta monto",IF(Q261="","⚠ Falta cuenta",IF(ISNA(MATCH(Q261,ctaNombre,0)),"⚠ Cuenta no registrada",IF(AND(OR(P261="Gasto",P261="Reembolso"),D261=""),"⚠ Falta categoría",IF(AND(D261&lt;&gt;"",E261&lt;&gt;"",ISNA(MATCH(D261&amp;"|"&amp;E261,catClave,0))),"⚠ Subcategoría no corresponde",IF(AND(OR(P261="Transferencia",P261="Pago tarjeta"),K261=""),"⚠ Falta cuenta destino",IF(AND(K261&lt;&gt;"",P261&lt;&gt;"Transferencia",P261&lt;&gt;"Pago tarjeta"),"⚠ Destino solo aplica a transferencias",IF(AND(K261&lt;&gt;"",K261=Q261),"⚠ Origen igual a destino",IF(AND(K261&lt;&gt;"",ISNA(MATCH(K261,ctaNombre,0))),"⚠ Destino no registrado",IF(AND(P261="Pago tarjeta",AE261&lt;&gt;"Tarjeta de crédito"),"⚠ El destino debe ser tarjeta de crédito",IF(AND(P261="Gasto",E261="Depósitos y retiros"),"⚠ Usa tipo Transferencia",IF(AND(P261="Resultado trading",AD261&lt;&gt;"Cuenta de trading"),"⚠ Usa una cuenta de trading",IF(AND(G261&lt;=0,P261&lt;&gt;"Ajuste",P261&lt;&gt;"Resultado trading"),"⚠ El monto debe ser positivo","✓")))))))))))))))</f>
        <v/>
      </c>
      <c r="P261" s="52">
        <f>IF(OR(B261="",G261=""),"",IF(C261="","Gasto",C261))</f>
        <v/>
      </c>
      <c r="Q261" s="52">
        <f>IF(P261="","",IF(J261&lt;&gt;"",J261,CuentaPred&amp;""))</f>
        <v/>
      </c>
      <c r="R261" s="52">
        <f>IF(P261="","",IF(ISNUMBER(I261),I261,TasaUSD))</f>
        <v/>
      </c>
      <c r="S261" s="53">
        <f>IF(P261="","",IF(H261="USD",G261*R261,G261))</f>
        <v/>
      </c>
      <c r="T261" s="53">
        <f>IF(P261="","",IF(H261="USD",G261,IF(R261&gt;0,G261/R261,0)))</f>
        <v/>
      </c>
      <c r="U261" s="53">
        <f>IF(P261="","",IF(P261="Gasto",S261,IF(P261="Reembolso",-S261,0)))</f>
        <v/>
      </c>
      <c r="V261" s="53">
        <f>IF(P261="","",IF(P261="Ingreso",S261,0))</f>
        <v/>
      </c>
      <c r="W261" s="53">
        <f>IF(P261="","",IF(P261="Resultado trading",S261,0))</f>
        <v/>
      </c>
      <c r="X261" s="52">
        <f>IF(OR(P261="Gasto",P261="Reembolso"),IF(M261&lt;&gt;"",M261,IFERROR(INDEX(catClasif,MATCH(D261&amp;"|"&amp;E261,catClave,0))&amp;"","Variable")),"")</f>
        <v/>
      </c>
      <c r="Y261" s="52">
        <f>IF(P261="","",IFERROR(INDEX(catGrupo,MATCH(D261&amp;"|"&amp;E261,catClave,0))&amp;"",""))</f>
        <v/>
      </c>
      <c r="Z261" s="52">
        <f>IF(P261="","",WEEKDAY(B261,2))</f>
        <v/>
      </c>
      <c r="AA261" s="52">
        <f>IF(P261="","",IF(AND(P261="Gasto",X261="Variable",D261&lt;&gt;catTrading,S261&gt;0,S261&lt;=Umbral),1,0))</f>
        <v/>
      </c>
      <c r="AB261" s="52">
        <f>IF(OR(P261="",Q261=""),"",IFERROR(IF(INDEX(ctaVinc,MATCH(Q261,ctaNombre,0))&amp;""&lt;&gt;"",INDEX(ctaVinc,MATCH(Q261,ctaNombre,0))&amp;"",Q261),Q261))</f>
        <v/>
      </c>
      <c r="AC261" s="52">
        <f>IF(OR(K261="",AND(P261&lt;&gt;"Transferencia",P261&lt;&gt;"Pago tarjeta")),"",IFERROR(IF(INDEX(ctaVinc,MATCH(K261,ctaNombre,0))&amp;""&lt;&gt;"",INDEX(ctaVinc,MATCH(K261,ctaNombre,0))&amp;"",K261),K261))</f>
        <v/>
      </c>
      <c r="AD261" s="52">
        <f>IF(AB261="","",IFERROR(INDEX(ctaTipo,MATCH(AB261,ctaNombre,0))&amp;"",""))</f>
        <v/>
      </c>
      <c r="AE261" s="52">
        <f>IF(AC261="","",IFERROR(INDEX(ctaTipo,MATCH(AC261,ctaNombre,0))&amp;"",""))</f>
        <v/>
      </c>
      <c r="AF261" s="53">
        <f>IF(OR(P261="",AB261=""),"",IF(OR(P261="Gasto",P261="Transferencia",P261="Pago tarjeta"),-1,1)*IF(IFERROR(INDEX(ctaMoneda,MATCH(AB261,ctaNombre,0))&amp;"","DOP")="USD",T261,S261))</f>
        <v/>
      </c>
      <c r="AG261" s="53">
        <f>IF(AC261="","",IF(IFERROR(INDEX(ctaMoneda,MATCH(AC261,ctaNombre,0))&amp;"","DOP")="USD",T261,S261))</f>
        <v/>
      </c>
      <c r="AH261" s="53">
        <f>IF(P261="","",IF(AND(AD261&lt;&gt;"",COUNTIFS(tcTipo,AD261,tcLiq,"Sí")&gt;0),IF(OR(P261="Gasto",P261="Transferencia",P261="Pago tarjeta"),-1,1)*S261,0)+IF(AND(AE261&lt;&gt;"",COUNTIFS(tcTipo,AE261,tcLiq,"Sí")&gt;0),S261,0))</f>
        <v/>
      </c>
      <c r="AI261" s="52">
        <f>IF(OR(L261="",P261=""),"",IF(COUNTIFS(L$6:L261,L261,P$6:P261,"?*")=1,MAX(AI$5:AI260)+1,""))</f>
        <v/>
      </c>
    </row>
    <row r="262">
      <c r="B262" s="47" t="n"/>
      <c r="C262" s="48" t="n"/>
      <c r="D262" s="48" t="n"/>
      <c r="E262" s="48" t="n"/>
      <c r="F262" s="48" t="n"/>
      <c r="G262" s="49" t="n"/>
      <c r="H262" s="48" t="n"/>
      <c r="I262" s="50" t="n"/>
      <c r="J262" s="48" t="n"/>
      <c r="K262" s="48" t="n"/>
      <c r="L262" s="48" t="n"/>
      <c r="M262" s="48" t="n"/>
      <c r="N262" s="48" t="n"/>
      <c r="O262" s="51">
        <f>IF(AND(B262="",G262="",C262="",D262="",J262=""),"",IF(B262="","⚠ Falta fecha",IF(G262="","⚠ Falta monto",IF(Q262="","⚠ Falta cuenta",IF(ISNA(MATCH(Q262,ctaNombre,0)),"⚠ Cuenta no registrada",IF(AND(OR(P262="Gasto",P262="Reembolso"),D262=""),"⚠ Falta categoría",IF(AND(D262&lt;&gt;"",E262&lt;&gt;"",ISNA(MATCH(D262&amp;"|"&amp;E262,catClave,0))),"⚠ Subcategoría no corresponde",IF(AND(OR(P262="Transferencia",P262="Pago tarjeta"),K262=""),"⚠ Falta cuenta destino",IF(AND(K262&lt;&gt;"",P262&lt;&gt;"Transferencia",P262&lt;&gt;"Pago tarjeta"),"⚠ Destino solo aplica a transferencias",IF(AND(K262&lt;&gt;"",K262=Q262),"⚠ Origen igual a destino",IF(AND(K262&lt;&gt;"",ISNA(MATCH(K262,ctaNombre,0))),"⚠ Destino no registrado",IF(AND(P262="Pago tarjeta",AE262&lt;&gt;"Tarjeta de crédito"),"⚠ El destino debe ser tarjeta de crédito",IF(AND(P262="Gasto",E262="Depósitos y retiros"),"⚠ Usa tipo Transferencia",IF(AND(P262="Resultado trading",AD262&lt;&gt;"Cuenta de trading"),"⚠ Usa una cuenta de trading",IF(AND(G262&lt;=0,P262&lt;&gt;"Ajuste",P262&lt;&gt;"Resultado trading"),"⚠ El monto debe ser positivo","✓")))))))))))))))</f>
        <v/>
      </c>
      <c r="P262" s="52">
        <f>IF(OR(B262="",G262=""),"",IF(C262="","Gasto",C262))</f>
        <v/>
      </c>
      <c r="Q262" s="52">
        <f>IF(P262="","",IF(J262&lt;&gt;"",J262,CuentaPred&amp;""))</f>
        <v/>
      </c>
      <c r="R262" s="52">
        <f>IF(P262="","",IF(ISNUMBER(I262),I262,TasaUSD))</f>
        <v/>
      </c>
      <c r="S262" s="53">
        <f>IF(P262="","",IF(H262="USD",G262*R262,G262))</f>
        <v/>
      </c>
      <c r="T262" s="53">
        <f>IF(P262="","",IF(H262="USD",G262,IF(R262&gt;0,G262/R262,0)))</f>
        <v/>
      </c>
      <c r="U262" s="53">
        <f>IF(P262="","",IF(P262="Gasto",S262,IF(P262="Reembolso",-S262,0)))</f>
        <v/>
      </c>
      <c r="V262" s="53">
        <f>IF(P262="","",IF(P262="Ingreso",S262,0))</f>
        <v/>
      </c>
      <c r="W262" s="53">
        <f>IF(P262="","",IF(P262="Resultado trading",S262,0))</f>
        <v/>
      </c>
      <c r="X262" s="52">
        <f>IF(OR(P262="Gasto",P262="Reembolso"),IF(M262&lt;&gt;"",M262,IFERROR(INDEX(catClasif,MATCH(D262&amp;"|"&amp;E262,catClave,0))&amp;"","Variable")),"")</f>
        <v/>
      </c>
      <c r="Y262" s="52">
        <f>IF(P262="","",IFERROR(INDEX(catGrupo,MATCH(D262&amp;"|"&amp;E262,catClave,0))&amp;"",""))</f>
        <v/>
      </c>
      <c r="Z262" s="52">
        <f>IF(P262="","",WEEKDAY(B262,2))</f>
        <v/>
      </c>
      <c r="AA262" s="52">
        <f>IF(P262="","",IF(AND(P262="Gasto",X262="Variable",D262&lt;&gt;catTrading,S262&gt;0,S262&lt;=Umbral),1,0))</f>
        <v/>
      </c>
      <c r="AB262" s="52">
        <f>IF(OR(P262="",Q262=""),"",IFERROR(IF(INDEX(ctaVinc,MATCH(Q262,ctaNombre,0))&amp;""&lt;&gt;"",INDEX(ctaVinc,MATCH(Q262,ctaNombre,0))&amp;"",Q262),Q262))</f>
        <v/>
      </c>
      <c r="AC262" s="52">
        <f>IF(OR(K262="",AND(P262&lt;&gt;"Transferencia",P262&lt;&gt;"Pago tarjeta")),"",IFERROR(IF(INDEX(ctaVinc,MATCH(K262,ctaNombre,0))&amp;""&lt;&gt;"",INDEX(ctaVinc,MATCH(K262,ctaNombre,0))&amp;"",K262),K262))</f>
        <v/>
      </c>
      <c r="AD262" s="52">
        <f>IF(AB262="","",IFERROR(INDEX(ctaTipo,MATCH(AB262,ctaNombre,0))&amp;"",""))</f>
        <v/>
      </c>
      <c r="AE262" s="52">
        <f>IF(AC262="","",IFERROR(INDEX(ctaTipo,MATCH(AC262,ctaNombre,0))&amp;"",""))</f>
        <v/>
      </c>
      <c r="AF262" s="53">
        <f>IF(OR(P262="",AB262=""),"",IF(OR(P262="Gasto",P262="Transferencia",P262="Pago tarjeta"),-1,1)*IF(IFERROR(INDEX(ctaMoneda,MATCH(AB262,ctaNombre,0))&amp;"","DOP")="USD",T262,S262))</f>
        <v/>
      </c>
      <c r="AG262" s="53">
        <f>IF(AC262="","",IF(IFERROR(INDEX(ctaMoneda,MATCH(AC262,ctaNombre,0))&amp;"","DOP")="USD",T262,S262))</f>
        <v/>
      </c>
      <c r="AH262" s="53">
        <f>IF(P262="","",IF(AND(AD262&lt;&gt;"",COUNTIFS(tcTipo,AD262,tcLiq,"Sí")&gt;0),IF(OR(P262="Gasto",P262="Transferencia",P262="Pago tarjeta"),-1,1)*S262,0)+IF(AND(AE262&lt;&gt;"",COUNTIFS(tcTipo,AE262,tcLiq,"Sí")&gt;0),S262,0))</f>
        <v/>
      </c>
      <c r="AI262" s="52">
        <f>IF(OR(L262="",P262=""),"",IF(COUNTIFS(L$6:L262,L262,P$6:P262,"?*")=1,MAX(AI$5:AI261)+1,""))</f>
        <v/>
      </c>
    </row>
    <row r="263">
      <c r="B263" s="47" t="n"/>
      <c r="C263" s="48" t="n"/>
      <c r="D263" s="48" t="n"/>
      <c r="E263" s="48" t="n"/>
      <c r="F263" s="48" t="n"/>
      <c r="G263" s="49" t="n"/>
      <c r="H263" s="48" t="n"/>
      <c r="I263" s="50" t="n"/>
      <c r="J263" s="48" t="n"/>
      <c r="K263" s="48" t="n"/>
      <c r="L263" s="48" t="n"/>
      <c r="M263" s="48" t="n"/>
      <c r="N263" s="48" t="n"/>
      <c r="O263" s="51">
        <f>IF(AND(B263="",G263="",C263="",D263="",J263=""),"",IF(B263="","⚠ Falta fecha",IF(G263="","⚠ Falta monto",IF(Q263="","⚠ Falta cuenta",IF(ISNA(MATCH(Q263,ctaNombre,0)),"⚠ Cuenta no registrada",IF(AND(OR(P263="Gasto",P263="Reembolso"),D263=""),"⚠ Falta categoría",IF(AND(D263&lt;&gt;"",E263&lt;&gt;"",ISNA(MATCH(D263&amp;"|"&amp;E263,catClave,0))),"⚠ Subcategoría no corresponde",IF(AND(OR(P263="Transferencia",P263="Pago tarjeta"),K263=""),"⚠ Falta cuenta destino",IF(AND(K263&lt;&gt;"",P263&lt;&gt;"Transferencia",P263&lt;&gt;"Pago tarjeta"),"⚠ Destino solo aplica a transferencias",IF(AND(K263&lt;&gt;"",K263=Q263),"⚠ Origen igual a destino",IF(AND(K263&lt;&gt;"",ISNA(MATCH(K263,ctaNombre,0))),"⚠ Destino no registrado",IF(AND(P263="Pago tarjeta",AE263&lt;&gt;"Tarjeta de crédito"),"⚠ El destino debe ser tarjeta de crédito",IF(AND(P263="Gasto",E263="Depósitos y retiros"),"⚠ Usa tipo Transferencia",IF(AND(P263="Resultado trading",AD263&lt;&gt;"Cuenta de trading"),"⚠ Usa una cuenta de trading",IF(AND(G263&lt;=0,P263&lt;&gt;"Ajuste",P263&lt;&gt;"Resultado trading"),"⚠ El monto debe ser positivo","✓")))))))))))))))</f>
        <v/>
      </c>
      <c r="P263" s="52">
        <f>IF(OR(B263="",G263=""),"",IF(C263="","Gasto",C263))</f>
        <v/>
      </c>
      <c r="Q263" s="52">
        <f>IF(P263="","",IF(J263&lt;&gt;"",J263,CuentaPred&amp;""))</f>
        <v/>
      </c>
      <c r="R263" s="52">
        <f>IF(P263="","",IF(ISNUMBER(I263),I263,TasaUSD))</f>
        <v/>
      </c>
      <c r="S263" s="53">
        <f>IF(P263="","",IF(H263="USD",G263*R263,G263))</f>
        <v/>
      </c>
      <c r="T263" s="53">
        <f>IF(P263="","",IF(H263="USD",G263,IF(R263&gt;0,G263/R263,0)))</f>
        <v/>
      </c>
      <c r="U263" s="53">
        <f>IF(P263="","",IF(P263="Gasto",S263,IF(P263="Reembolso",-S263,0)))</f>
        <v/>
      </c>
      <c r="V263" s="53">
        <f>IF(P263="","",IF(P263="Ingreso",S263,0))</f>
        <v/>
      </c>
      <c r="W263" s="53">
        <f>IF(P263="","",IF(P263="Resultado trading",S263,0))</f>
        <v/>
      </c>
      <c r="X263" s="52">
        <f>IF(OR(P263="Gasto",P263="Reembolso"),IF(M263&lt;&gt;"",M263,IFERROR(INDEX(catClasif,MATCH(D263&amp;"|"&amp;E263,catClave,0))&amp;"","Variable")),"")</f>
        <v/>
      </c>
      <c r="Y263" s="52">
        <f>IF(P263="","",IFERROR(INDEX(catGrupo,MATCH(D263&amp;"|"&amp;E263,catClave,0))&amp;"",""))</f>
        <v/>
      </c>
      <c r="Z263" s="52">
        <f>IF(P263="","",WEEKDAY(B263,2))</f>
        <v/>
      </c>
      <c r="AA263" s="52">
        <f>IF(P263="","",IF(AND(P263="Gasto",X263="Variable",D263&lt;&gt;catTrading,S263&gt;0,S263&lt;=Umbral),1,0))</f>
        <v/>
      </c>
      <c r="AB263" s="52">
        <f>IF(OR(P263="",Q263=""),"",IFERROR(IF(INDEX(ctaVinc,MATCH(Q263,ctaNombre,0))&amp;""&lt;&gt;"",INDEX(ctaVinc,MATCH(Q263,ctaNombre,0))&amp;"",Q263),Q263))</f>
        <v/>
      </c>
      <c r="AC263" s="52">
        <f>IF(OR(K263="",AND(P263&lt;&gt;"Transferencia",P263&lt;&gt;"Pago tarjeta")),"",IFERROR(IF(INDEX(ctaVinc,MATCH(K263,ctaNombre,0))&amp;""&lt;&gt;"",INDEX(ctaVinc,MATCH(K263,ctaNombre,0))&amp;"",K263),K263))</f>
        <v/>
      </c>
      <c r="AD263" s="52">
        <f>IF(AB263="","",IFERROR(INDEX(ctaTipo,MATCH(AB263,ctaNombre,0))&amp;"",""))</f>
        <v/>
      </c>
      <c r="AE263" s="52">
        <f>IF(AC263="","",IFERROR(INDEX(ctaTipo,MATCH(AC263,ctaNombre,0))&amp;"",""))</f>
        <v/>
      </c>
      <c r="AF263" s="53">
        <f>IF(OR(P263="",AB263=""),"",IF(OR(P263="Gasto",P263="Transferencia",P263="Pago tarjeta"),-1,1)*IF(IFERROR(INDEX(ctaMoneda,MATCH(AB263,ctaNombre,0))&amp;"","DOP")="USD",T263,S263))</f>
        <v/>
      </c>
      <c r="AG263" s="53">
        <f>IF(AC263="","",IF(IFERROR(INDEX(ctaMoneda,MATCH(AC263,ctaNombre,0))&amp;"","DOP")="USD",T263,S263))</f>
        <v/>
      </c>
      <c r="AH263" s="53">
        <f>IF(P263="","",IF(AND(AD263&lt;&gt;"",COUNTIFS(tcTipo,AD263,tcLiq,"Sí")&gt;0),IF(OR(P263="Gasto",P263="Transferencia",P263="Pago tarjeta"),-1,1)*S263,0)+IF(AND(AE263&lt;&gt;"",COUNTIFS(tcTipo,AE263,tcLiq,"Sí")&gt;0),S263,0))</f>
        <v/>
      </c>
      <c r="AI263" s="52">
        <f>IF(OR(L263="",P263=""),"",IF(COUNTIFS(L$6:L263,L263,P$6:P263,"?*")=1,MAX(AI$5:AI262)+1,""))</f>
        <v/>
      </c>
    </row>
    <row r="264">
      <c r="B264" s="47" t="n"/>
      <c r="C264" s="48" t="n"/>
      <c r="D264" s="48" t="n"/>
      <c r="E264" s="48" t="n"/>
      <c r="F264" s="48" t="n"/>
      <c r="G264" s="49" t="n"/>
      <c r="H264" s="48" t="n"/>
      <c r="I264" s="50" t="n"/>
      <c r="J264" s="48" t="n"/>
      <c r="K264" s="48" t="n"/>
      <c r="L264" s="48" t="n"/>
      <c r="M264" s="48" t="n"/>
      <c r="N264" s="48" t="n"/>
      <c r="O264" s="51">
        <f>IF(AND(B264="",G264="",C264="",D264="",J264=""),"",IF(B264="","⚠ Falta fecha",IF(G264="","⚠ Falta monto",IF(Q264="","⚠ Falta cuenta",IF(ISNA(MATCH(Q264,ctaNombre,0)),"⚠ Cuenta no registrada",IF(AND(OR(P264="Gasto",P264="Reembolso"),D264=""),"⚠ Falta categoría",IF(AND(D264&lt;&gt;"",E264&lt;&gt;"",ISNA(MATCH(D264&amp;"|"&amp;E264,catClave,0))),"⚠ Subcategoría no corresponde",IF(AND(OR(P264="Transferencia",P264="Pago tarjeta"),K264=""),"⚠ Falta cuenta destino",IF(AND(K264&lt;&gt;"",P264&lt;&gt;"Transferencia",P264&lt;&gt;"Pago tarjeta"),"⚠ Destino solo aplica a transferencias",IF(AND(K264&lt;&gt;"",K264=Q264),"⚠ Origen igual a destino",IF(AND(K264&lt;&gt;"",ISNA(MATCH(K264,ctaNombre,0))),"⚠ Destino no registrado",IF(AND(P264="Pago tarjeta",AE264&lt;&gt;"Tarjeta de crédito"),"⚠ El destino debe ser tarjeta de crédito",IF(AND(P264="Gasto",E264="Depósitos y retiros"),"⚠ Usa tipo Transferencia",IF(AND(P264="Resultado trading",AD264&lt;&gt;"Cuenta de trading"),"⚠ Usa una cuenta de trading",IF(AND(G264&lt;=0,P264&lt;&gt;"Ajuste",P264&lt;&gt;"Resultado trading"),"⚠ El monto debe ser positivo","✓")))))))))))))))</f>
        <v/>
      </c>
      <c r="P264" s="52">
        <f>IF(OR(B264="",G264=""),"",IF(C264="","Gasto",C264))</f>
        <v/>
      </c>
      <c r="Q264" s="52">
        <f>IF(P264="","",IF(J264&lt;&gt;"",J264,CuentaPred&amp;""))</f>
        <v/>
      </c>
      <c r="R264" s="52">
        <f>IF(P264="","",IF(ISNUMBER(I264),I264,TasaUSD))</f>
        <v/>
      </c>
      <c r="S264" s="53">
        <f>IF(P264="","",IF(H264="USD",G264*R264,G264))</f>
        <v/>
      </c>
      <c r="T264" s="53">
        <f>IF(P264="","",IF(H264="USD",G264,IF(R264&gt;0,G264/R264,0)))</f>
        <v/>
      </c>
      <c r="U264" s="53">
        <f>IF(P264="","",IF(P264="Gasto",S264,IF(P264="Reembolso",-S264,0)))</f>
        <v/>
      </c>
      <c r="V264" s="53">
        <f>IF(P264="","",IF(P264="Ingreso",S264,0))</f>
        <v/>
      </c>
      <c r="W264" s="53">
        <f>IF(P264="","",IF(P264="Resultado trading",S264,0))</f>
        <v/>
      </c>
      <c r="X264" s="52">
        <f>IF(OR(P264="Gasto",P264="Reembolso"),IF(M264&lt;&gt;"",M264,IFERROR(INDEX(catClasif,MATCH(D264&amp;"|"&amp;E264,catClave,0))&amp;"","Variable")),"")</f>
        <v/>
      </c>
      <c r="Y264" s="52">
        <f>IF(P264="","",IFERROR(INDEX(catGrupo,MATCH(D264&amp;"|"&amp;E264,catClave,0))&amp;"",""))</f>
        <v/>
      </c>
      <c r="Z264" s="52">
        <f>IF(P264="","",WEEKDAY(B264,2))</f>
        <v/>
      </c>
      <c r="AA264" s="52">
        <f>IF(P264="","",IF(AND(P264="Gasto",X264="Variable",D264&lt;&gt;catTrading,S264&gt;0,S264&lt;=Umbral),1,0))</f>
        <v/>
      </c>
      <c r="AB264" s="52">
        <f>IF(OR(P264="",Q264=""),"",IFERROR(IF(INDEX(ctaVinc,MATCH(Q264,ctaNombre,0))&amp;""&lt;&gt;"",INDEX(ctaVinc,MATCH(Q264,ctaNombre,0))&amp;"",Q264),Q264))</f>
        <v/>
      </c>
      <c r="AC264" s="52">
        <f>IF(OR(K264="",AND(P264&lt;&gt;"Transferencia",P264&lt;&gt;"Pago tarjeta")),"",IFERROR(IF(INDEX(ctaVinc,MATCH(K264,ctaNombre,0))&amp;""&lt;&gt;"",INDEX(ctaVinc,MATCH(K264,ctaNombre,0))&amp;"",K264),K264))</f>
        <v/>
      </c>
      <c r="AD264" s="52">
        <f>IF(AB264="","",IFERROR(INDEX(ctaTipo,MATCH(AB264,ctaNombre,0))&amp;"",""))</f>
        <v/>
      </c>
      <c r="AE264" s="52">
        <f>IF(AC264="","",IFERROR(INDEX(ctaTipo,MATCH(AC264,ctaNombre,0))&amp;"",""))</f>
        <v/>
      </c>
      <c r="AF264" s="53">
        <f>IF(OR(P264="",AB264=""),"",IF(OR(P264="Gasto",P264="Transferencia",P264="Pago tarjeta"),-1,1)*IF(IFERROR(INDEX(ctaMoneda,MATCH(AB264,ctaNombre,0))&amp;"","DOP")="USD",T264,S264))</f>
        <v/>
      </c>
      <c r="AG264" s="53">
        <f>IF(AC264="","",IF(IFERROR(INDEX(ctaMoneda,MATCH(AC264,ctaNombre,0))&amp;"","DOP")="USD",T264,S264))</f>
        <v/>
      </c>
      <c r="AH264" s="53">
        <f>IF(P264="","",IF(AND(AD264&lt;&gt;"",COUNTIFS(tcTipo,AD264,tcLiq,"Sí")&gt;0),IF(OR(P264="Gasto",P264="Transferencia",P264="Pago tarjeta"),-1,1)*S264,0)+IF(AND(AE264&lt;&gt;"",COUNTIFS(tcTipo,AE264,tcLiq,"Sí")&gt;0),S264,0))</f>
        <v/>
      </c>
      <c r="AI264" s="52">
        <f>IF(OR(L264="",P264=""),"",IF(COUNTIFS(L$6:L264,L264,P$6:P264,"?*")=1,MAX(AI$5:AI263)+1,""))</f>
        <v/>
      </c>
    </row>
    <row r="265">
      <c r="B265" s="47" t="n"/>
      <c r="C265" s="48" t="n"/>
      <c r="D265" s="48" t="n"/>
      <c r="E265" s="48" t="n"/>
      <c r="F265" s="48" t="n"/>
      <c r="G265" s="49" t="n"/>
      <c r="H265" s="48" t="n"/>
      <c r="I265" s="50" t="n"/>
      <c r="J265" s="48" t="n"/>
      <c r="K265" s="48" t="n"/>
      <c r="L265" s="48" t="n"/>
      <c r="M265" s="48" t="n"/>
      <c r="N265" s="48" t="n"/>
      <c r="O265" s="51">
        <f>IF(AND(B265="",G265="",C265="",D265="",J265=""),"",IF(B265="","⚠ Falta fecha",IF(G265="","⚠ Falta monto",IF(Q265="","⚠ Falta cuenta",IF(ISNA(MATCH(Q265,ctaNombre,0)),"⚠ Cuenta no registrada",IF(AND(OR(P265="Gasto",P265="Reembolso"),D265=""),"⚠ Falta categoría",IF(AND(D265&lt;&gt;"",E265&lt;&gt;"",ISNA(MATCH(D265&amp;"|"&amp;E265,catClave,0))),"⚠ Subcategoría no corresponde",IF(AND(OR(P265="Transferencia",P265="Pago tarjeta"),K265=""),"⚠ Falta cuenta destino",IF(AND(K265&lt;&gt;"",P265&lt;&gt;"Transferencia",P265&lt;&gt;"Pago tarjeta"),"⚠ Destino solo aplica a transferencias",IF(AND(K265&lt;&gt;"",K265=Q265),"⚠ Origen igual a destino",IF(AND(K265&lt;&gt;"",ISNA(MATCH(K265,ctaNombre,0))),"⚠ Destino no registrado",IF(AND(P265="Pago tarjeta",AE265&lt;&gt;"Tarjeta de crédito"),"⚠ El destino debe ser tarjeta de crédito",IF(AND(P265="Gasto",E265="Depósitos y retiros"),"⚠ Usa tipo Transferencia",IF(AND(P265="Resultado trading",AD265&lt;&gt;"Cuenta de trading"),"⚠ Usa una cuenta de trading",IF(AND(G265&lt;=0,P265&lt;&gt;"Ajuste",P265&lt;&gt;"Resultado trading"),"⚠ El monto debe ser positivo","✓")))))))))))))))</f>
        <v/>
      </c>
      <c r="P265" s="52">
        <f>IF(OR(B265="",G265=""),"",IF(C265="","Gasto",C265))</f>
        <v/>
      </c>
      <c r="Q265" s="52">
        <f>IF(P265="","",IF(J265&lt;&gt;"",J265,CuentaPred&amp;""))</f>
        <v/>
      </c>
      <c r="R265" s="52">
        <f>IF(P265="","",IF(ISNUMBER(I265),I265,TasaUSD))</f>
        <v/>
      </c>
      <c r="S265" s="53">
        <f>IF(P265="","",IF(H265="USD",G265*R265,G265))</f>
        <v/>
      </c>
      <c r="T265" s="53">
        <f>IF(P265="","",IF(H265="USD",G265,IF(R265&gt;0,G265/R265,0)))</f>
        <v/>
      </c>
      <c r="U265" s="53">
        <f>IF(P265="","",IF(P265="Gasto",S265,IF(P265="Reembolso",-S265,0)))</f>
        <v/>
      </c>
      <c r="V265" s="53">
        <f>IF(P265="","",IF(P265="Ingreso",S265,0))</f>
        <v/>
      </c>
      <c r="W265" s="53">
        <f>IF(P265="","",IF(P265="Resultado trading",S265,0))</f>
        <v/>
      </c>
      <c r="X265" s="52">
        <f>IF(OR(P265="Gasto",P265="Reembolso"),IF(M265&lt;&gt;"",M265,IFERROR(INDEX(catClasif,MATCH(D265&amp;"|"&amp;E265,catClave,0))&amp;"","Variable")),"")</f>
        <v/>
      </c>
      <c r="Y265" s="52">
        <f>IF(P265="","",IFERROR(INDEX(catGrupo,MATCH(D265&amp;"|"&amp;E265,catClave,0))&amp;"",""))</f>
        <v/>
      </c>
      <c r="Z265" s="52">
        <f>IF(P265="","",WEEKDAY(B265,2))</f>
        <v/>
      </c>
      <c r="AA265" s="52">
        <f>IF(P265="","",IF(AND(P265="Gasto",X265="Variable",D265&lt;&gt;catTrading,S265&gt;0,S265&lt;=Umbral),1,0))</f>
        <v/>
      </c>
      <c r="AB265" s="52">
        <f>IF(OR(P265="",Q265=""),"",IFERROR(IF(INDEX(ctaVinc,MATCH(Q265,ctaNombre,0))&amp;""&lt;&gt;"",INDEX(ctaVinc,MATCH(Q265,ctaNombre,0))&amp;"",Q265),Q265))</f>
        <v/>
      </c>
      <c r="AC265" s="52">
        <f>IF(OR(K265="",AND(P265&lt;&gt;"Transferencia",P265&lt;&gt;"Pago tarjeta")),"",IFERROR(IF(INDEX(ctaVinc,MATCH(K265,ctaNombre,0))&amp;""&lt;&gt;"",INDEX(ctaVinc,MATCH(K265,ctaNombre,0))&amp;"",K265),K265))</f>
        <v/>
      </c>
      <c r="AD265" s="52">
        <f>IF(AB265="","",IFERROR(INDEX(ctaTipo,MATCH(AB265,ctaNombre,0))&amp;"",""))</f>
        <v/>
      </c>
      <c r="AE265" s="52">
        <f>IF(AC265="","",IFERROR(INDEX(ctaTipo,MATCH(AC265,ctaNombre,0))&amp;"",""))</f>
        <v/>
      </c>
      <c r="AF265" s="53">
        <f>IF(OR(P265="",AB265=""),"",IF(OR(P265="Gasto",P265="Transferencia",P265="Pago tarjeta"),-1,1)*IF(IFERROR(INDEX(ctaMoneda,MATCH(AB265,ctaNombre,0))&amp;"","DOP")="USD",T265,S265))</f>
        <v/>
      </c>
      <c r="AG265" s="53">
        <f>IF(AC265="","",IF(IFERROR(INDEX(ctaMoneda,MATCH(AC265,ctaNombre,0))&amp;"","DOP")="USD",T265,S265))</f>
        <v/>
      </c>
      <c r="AH265" s="53">
        <f>IF(P265="","",IF(AND(AD265&lt;&gt;"",COUNTIFS(tcTipo,AD265,tcLiq,"Sí")&gt;0),IF(OR(P265="Gasto",P265="Transferencia",P265="Pago tarjeta"),-1,1)*S265,0)+IF(AND(AE265&lt;&gt;"",COUNTIFS(tcTipo,AE265,tcLiq,"Sí")&gt;0),S265,0))</f>
        <v/>
      </c>
      <c r="AI265" s="52">
        <f>IF(OR(L265="",P265=""),"",IF(COUNTIFS(L$6:L265,L265,P$6:P265,"?*")=1,MAX(AI$5:AI264)+1,""))</f>
        <v/>
      </c>
    </row>
    <row r="266">
      <c r="B266" s="47" t="n"/>
      <c r="C266" s="48" t="n"/>
      <c r="D266" s="48" t="n"/>
      <c r="E266" s="48" t="n"/>
      <c r="F266" s="48" t="n"/>
      <c r="G266" s="49" t="n"/>
      <c r="H266" s="48" t="n"/>
      <c r="I266" s="50" t="n"/>
      <c r="J266" s="48" t="n"/>
      <c r="K266" s="48" t="n"/>
      <c r="L266" s="48" t="n"/>
      <c r="M266" s="48" t="n"/>
      <c r="N266" s="48" t="n"/>
      <c r="O266" s="51">
        <f>IF(AND(B266="",G266="",C266="",D266="",J266=""),"",IF(B266="","⚠ Falta fecha",IF(G266="","⚠ Falta monto",IF(Q266="","⚠ Falta cuenta",IF(ISNA(MATCH(Q266,ctaNombre,0)),"⚠ Cuenta no registrada",IF(AND(OR(P266="Gasto",P266="Reembolso"),D266=""),"⚠ Falta categoría",IF(AND(D266&lt;&gt;"",E266&lt;&gt;"",ISNA(MATCH(D266&amp;"|"&amp;E266,catClave,0))),"⚠ Subcategoría no corresponde",IF(AND(OR(P266="Transferencia",P266="Pago tarjeta"),K266=""),"⚠ Falta cuenta destino",IF(AND(K266&lt;&gt;"",P266&lt;&gt;"Transferencia",P266&lt;&gt;"Pago tarjeta"),"⚠ Destino solo aplica a transferencias",IF(AND(K266&lt;&gt;"",K266=Q266),"⚠ Origen igual a destino",IF(AND(K266&lt;&gt;"",ISNA(MATCH(K266,ctaNombre,0))),"⚠ Destino no registrado",IF(AND(P266="Pago tarjeta",AE266&lt;&gt;"Tarjeta de crédito"),"⚠ El destino debe ser tarjeta de crédito",IF(AND(P266="Gasto",E266="Depósitos y retiros"),"⚠ Usa tipo Transferencia",IF(AND(P266="Resultado trading",AD266&lt;&gt;"Cuenta de trading"),"⚠ Usa una cuenta de trading",IF(AND(G266&lt;=0,P266&lt;&gt;"Ajuste",P266&lt;&gt;"Resultado trading"),"⚠ El monto debe ser positivo","✓")))))))))))))))</f>
        <v/>
      </c>
      <c r="P266" s="52">
        <f>IF(OR(B266="",G266=""),"",IF(C266="","Gasto",C266))</f>
        <v/>
      </c>
      <c r="Q266" s="52">
        <f>IF(P266="","",IF(J266&lt;&gt;"",J266,CuentaPred&amp;""))</f>
        <v/>
      </c>
      <c r="R266" s="52">
        <f>IF(P266="","",IF(ISNUMBER(I266),I266,TasaUSD))</f>
        <v/>
      </c>
      <c r="S266" s="53">
        <f>IF(P266="","",IF(H266="USD",G266*R266,G266))</f>
        <v/>
      </c>
      <c r="T266" s="53">
        <f>IF(P266="","",IF(H266="USD",G266,IF(R266&gt;0,G266/R266,0)))</f>
        <v/>
      </c>
      <c r="U266" s="53">
        <f>IF(P266="","",IF(P266="Gasto",S266,IF(P266="Reembolso",-S266,0)))</f>
        <v/>
      </c>
      <c r="V266" s="53">
        <f>IF(P266="","",IF(P266="Ingreso",S266,0))</f>
        <v/>
      </c>
      <c r="W266" s="53">
        <f>IF(P266="","",IF(P266="Resultado trading",S266,0))</f>
        <v/>
      </c>
      <c r="X266" s="52">
        <f>IF(OR(P266="Gasto",P266="Reembolso"),IF(M266&lt;&gt;"",M266,IFERROR(INDEX(catClasif,MATCH(D266&amp;"|"&amp;E266,catClave,0))&amp;"","Variable")),"")</f>
        <v/>
      </c>
      <c r="Y266" s="52">
        <f>IF(P266="","",IFERROR(INDEX(catGrupo,MATCH(D266&amp;"|"&amp;E266,catClave,0))&amp;"",""))</f>
        <v/>
      </c>
      <c r="Z266" s="52">
        <f>IF(P266="","",WEEKDAY(B266,2))</f>
        <v/>
      </c>
      <c r="AA266" s="52">
        <f>IF(P266="","",IF(AND(P266="Gasto",X266="Variable",D266&lt;&gt;catTrading,S266&gt;0,S266&lt;=Umbral),1,0))</f>
        <v/>
      </c>
      <c r="AB266" s="52">
        <f>IF(OR(P266="",Q266=""),"",IFERROR(IF(INDEX(ctaVinc,MATCH(Q266,ctaNombre,0))&amp;""&lt;&gt;"",INDEX(ctaVinc,MATCH(Q266,ctaNombre,0))&amp;"",Q266),Q266))</f>
        <v/>
      </c>
      <c r="AC266" s="52">
        <f>IF(OR(K266="",AND(P266&lt;&gt;"Transferencia",P266&lt;&gt;"Pago tarjeta")),"",IFERROR(IF(INDEX(ctaVinc,MATCH(K266,ctaNombre,0))&amp;""&lt;&gt;"",INDEX(ctaVinc,MATCH(K266,ctaNombre,0))&amp;"",K266),K266))</f>
        <v/>
      </c>
      <c r="AD266" s="52">
        <f>IF(AB266="","",IFERROR(INDEX(ctaTipo,MATCH(AB266,ctaNombre,0))&amp;"",""))</f>
        <v/>
      </c>
      <c r="AE266" s="52">
        <f>IF(AC266="","",IFERROR(INDEX(ctaTipo,MATCH(AC266,ctaNombre,0))&amp;"",""))</f>
        <v/>
      </c>
      <c r="AF266" s="53">
        <f>IF(OR(P266="",AB266=""),"",IF(OR(P266="Gasto",P266="Transferencia",P266="Pago tarjeta"),-1,1)*IF(IFERROR(INDEX(ctaMoneda,MATCH(AB266,ctaNombre,0))&amp;"","DOP")="USD",T266,S266))</f>
        <v/>
      </c>
      <c r="AG266" s="53">
        <f>IF(AC266="","",IF(IFERROR(INDEX(ctaMoneda,MATCH(AC266,ctaNombre,0))&amp;"","DOP")="USD",T266,S266))</f>
        <v/>
      </c>
      <c r="AH266" s="53">
        <f>IF(P266="","",IF(AND(AD266&lt;&gt;"",COUNTIFS(tcTipo,AD266,tcLiq,"Sí")&gt;0),IF(OR(P266="Gasto",P266="Transferencia",P266="Pago tarjeta"),-1,1)*S266,0)+IF(AND(AE266&lt;&gt;"",COUNTIFS(tcTipo,AE266,tcLiq,"Sí")&gt;0),S266,0))</f>
        <v/>
      </c>
      <c r="AI266" s="52">
        <f>IF(OR(L266="",P266=""),"",IF(COUNTIFS(L$6:L266,L266,P$6:P266,"?*")=1,MAX(AI$5:AI265)+1,""))</f>
        <v/>
      </c>
    </row>
    <row r="267">
      <c r="B267" s="47" t="n"/>
      <c r="C267" s="48" t="n"/>
      <c r="D267" s="48" t="n"/>
      <c r="E267" s="48" t="n"/>
      <c r="F267" s="48" t="n"/>
      <c r="G267" s="49" t="n"/>
      <c r="H267" s="48" t="n"/>
      <c r="I267" s="50" t="n"/>
      <c r="J267" s="48" t="n"/>
      <c r="K267" s="48" t="n"/>
      <c r="L267" s="48" t="n"/>
      <c r="M267" s="48" t="n"/>
      <c r="N267" s="48" t="n"/>
      <c r="O267" s="51">
        <f>IF(AND(B267="",G267="",C267="",D267="",J267=""),"",IF(B267="","⚠ Falta fecha",IF(G267="","⚠ Falta monto",IF(Q267="","⚠ Falta cuenta",IF(ISNA(MATCH(Q267,ctaNombre,0)),"⚠ Cuenta no registrada",IF(AND(OR(P267="Gasto",P267="Reembolso"),D267=""),"⚠ Falta categoría",IF(AND(D267&lt;&gt;"",E267&lt;&gt;"",ISNA(MATCH(D267&amp;"|"&amp;E267,catClave,0))),"⚠ Subcategoría no corresponde",IF(AND(OR(P267="Transferencia",P267="Pago tarjeta"),K267=""),"⚠ Falta cuenta destino",IF(AND(K267&lt;&gt;"",P267&lt;&gt;"Transferencia",P267&lt;&gt;"Pago tarjeta"),"⚠ Destino solo aplica a transferencias",IF(AND(K267&lt;&gt;"",K267=Q267),"⚠ Origen igual a destino",IF(AND(K267&lt;&gt;"",ISNA(MATCH(K267,ctaNombre,0))),"⚠ Destino no registrado",IF(AND(P267="Pago tarjeta",AE267&lt;&gt;"Tarjeta de crédito"),"⚠ El destino debe ser tarjeta de crédito",IF(AND(P267="Gasto",E267="Depósitos y retiros"),"⚠ Usa tipo Transferencia",IF(AND(P267="Resultado trading",AD267&lt;&gt;"Cuenta de trading"),"⚠ Usa una cuenta de trading",IF(AND(G267&lt;=0,P267&lt;&gt;"Ajuste",P267&lt;&gt;"Resultado trading"),"⚠ El monto debe ser positivo","✓")))))))))))))))</f>
        <v/>
      </c>
      <c r="P267" s="52">
        <f>IF(OR(B267="",G267=""),"",IF(C267="","Gasto",C267))</f>
        <v/>
      </c>
      <c r="Q267" s="52">
        <f>IF(P267="","",IF(J267&lt;&gt;"",J267,CuentaPred&amp;""))</f>
        <v/>
      </c>
      <c r="R267" s="52">
        <f>IF(P267="","",IF(ISNUMBER(I267),I267,TasaUSD))</f>
        <v/>
      </c>
      <c r="S267" s="53">
        <f>IF(P267="","",IF(H267="USD",G267*R267,G267))</f>
        <v/>
      </c>
      <c r="T267" s="53">
        <f>IF(P267="","",IF(H267="USD",G267,IF(R267&gt;0,G267/R267,0)))</f>
        <v/>
      </c>
      <c r="U267" s="53">
        <f>IF(P267="","",IF(P267="Gasto",S267,IF(P267="Reembolso",-S267,0)))</f>
        <v/>
      </c>
      <c r="V267" s="53">
        <f>IF(P267="","",IF(P267="Ingreso",S267,0))</f>
        <v/>
      </c>
      <c r="W267" s="53">
        <f>IF(P267="","",IF(P267="Resultado trading",S267,0))</f>
        <v/>
      </c>
      <c r="X267" s="52">
        <f>IF(OR(P267="Gasto",P267="Reembolso"),IF(M267&lt;&gt;"",M267,IFERROR(INDEX(catClasif,MATCH(D267&amp;"|"&amp;E267,catClave,0))&amp;"","Variable")),"")</f>
        <v/>
      </c>
      <c r="Y267" s="52">
        <f>IF(P267="","",IFERROR(INDEX(catGrupo,MATCH(D267&amp;"|"&amp;E267,catClave,0))&amp;"",""))</f>
        <v/>
      </c>
      <c r="Z267" s="52">
        <f>IF(P267="","",WEEKDAY(B267,2))</f>
        <v/>
      </c>
      <c r="AA267" s="52">
        <f>IF(P267="","",IF(AND(P267="Gasto",X267="Variable",D267&lt;&gt;catTrading,S267&gt;0,S267&lt;=Umbral),1,0))</f>
        <v/>
      </c>
      <c r="AB267" s="52">
        <f>IF(OR(P267="",Q267=""),"",IFERROR(IF(INDEX(ctaVinc,MATCH(Q267,ctaNombre,0))&amp;""&lt;&gt;"",INDEX(ctaVinc,MATCH(Q267,ctaNombre,0))&amp;"",Q267),Q267))</f>
        <v/>
      </c>
      <c r="AC267" s="52">
        <f>IF(OR(K267="",AND(P267&lt;&gt;"Transferencia",P267&lt;&gt;"Pago tarjeta")),"",IFERROR(IF(INDEX(ctaVinc,MATCH(K267,ctaNombre,0))&amp;""&lt;&gt;"",INDEX(ctaVinc,MATCH(K267,ctaNombre,0))&amp;"",K267),K267))</f>
        <v/>
      </c>
      <c r="AD267" s="52">
        <f>IF(AB267="","",IFERROR(INDEX(ctaTipo,MATCH(AB267,ctaNombre,0))&amp;"",""))</f>
        <v/>
      </c>
      <c r="AE267" s="52">
        <f>IF(AC267="","",IFERROR(INDEX(ctaTipo,MATCH(AC267,ctaNombre,0))&amp;"",""))</f>
        <v/>
      </c>
      <c r="AF267" s="53">
        <f>IF(OR(P267="",AB267=""),"",IF(OR(P267="Gasto",P267="Transferencia",P267="Pago tarjeta"),-1,1)*IF(IFERROR(INDEX(ctaMoneda,MATCH(AB267,ctaNombre,0))&amp;"","DOP")="USD",T267,S267))</f>
        <v/>
      </c>
      <c r="AG267" s="53">
        <f>IF(AC267="","",IF(IFERROR(INDEX(ctaMoneda,MATCH(AC267,ctaNombre,0))&amp;"","DOP")="USD",T267,S267))</f>
        <v/>
      </c>
      <c r="AH267" s="53">
        <f>IF(P267="","",IF(AND(AD267&lt;&gt;"",COUNTIFS(tcTipo,AD267,tcLiq,"Sí")&gt;0),IF(OR(P267="Gasto",P267="Transferencia",P267="Pago tarjeta"),-1,1)*S267,0)+IF(AND(AE267&lt;&gt;"",COUNTIFS(tcTipo,AE267,tcLiq,"Sí")&gt;0),S267,0))</f>
        <v/>
      </c>
      <c r="AI267" s="52">
        <f>IF(OR(L267="",P267=""),"",IF(COUNTIFS(L$6:L267,L267,P$6:P267,"?*")=1,MAX(AI$5:AI266)+1,""))</f>
        <v/>
      </c>
    </row>
    <row r="268">
      <c r="B268" s="47" t="n"/>
      <c r="C268" s="48" t="n"/>
      <c r="D268" s="48" t="n"/>
      <c r="E268" s="48" t="n"/>
      <c r="F268" s="48" t="n"/>
      <c r="G268" s="49" t="n"/>
      <c r="H268" s="48" t="n"/>
      <c r="I268" s="50" t="n"/>
      <c r="J268" s="48" t="n"/>
      <c r="K268" s="48" t="n"/>
      <c r="L268" s="48" t="n"/>
      <c r="M268" s="48" t="n"/>
      <c r="N268" s="48" t="n"/>
      <c r="O268" s="51">
        <f>IF(AND(B268="",G268="",C268="",D268="",J268=""),"",IF(B268="","⚠ Falta fecha",IF(G268="","⚠ Falta monto",IF(Q268="","⚠ Falta cuenta",IF(ISNA(MATCH(Q268,ctaNombre,0)),"⚠ Cuenta no registrada",IF(AND(OR(P268="Gasto",P268="Reembolso"),D268=""),"⚠ Falta categoría",IF(AND(D268&lt;&gt;"",E268&lt;&gt;"",ISNA(MATCH(D268&amp;"|"&amp;E268,catClave,0))),"⚠ Subcategoría no corresponde",IF(AND(OR(P268="Transferencia",P268="Pago tarjeta"),K268=""),"⚠ Falta cuenta destino",IF(AND(K268&lt;&gt;"",P268&lt;&gt;"Transferencia",P268&lt;&gt;"Pago tarjeta"),"⚠ Destino solo aplica a transferencias",IF(AND(K268&lt;&gt;"",K268=Q268),"⚠ Origen igual a destino",IF(AND(K268&lt;&gt;"",ISNA(MATCH(K268,ctaNombre,0))),"⚠ Destino no registrado",IF(AND(P268="Pago tarjeta",AE268&lt;&gt;"Tarjeta de crédito"),"⚠ El destino debe ser tarjeta de crédito",IF(AND(P268="Gasto",E268="Depósitos y retiros"),"⚠ Usa tipo Transferencia",IF(AND(P268="Resultado trading",AD268&lt;&gt;"Cuenta de trading"),"⚠ Usa una cuenta de trading",IF(AND(G268&lt;=0,P268&lt;&gt;"Ajuste",P268&lt;&gt;"Resultado trading"),"⚠ El monto debe ser positivo","✓")))))))))))))))</f>
        <v/>
      </c>
      <c r="P268" s="52">
        <f>IF(OR(B268="",G268=""),"",IF(C268="","Gasto",C268))</f>
        <v/>
      </c>
      <c r="Q268" s="52">
        <f>IF(P268="","",IF(J268&lt;&gt;"",J268,CuentaPred&amp;""))</f>
        <v/>
      </c>
      <c r="R268" s="52">
        <f>IF(P268="","",IF(ISNUMBER(I268),I268,TasaUSD))</f>
        <v/>
      </c>
      <c r="S268" s="53">
        <f>IF(P268="","",IF(H268="USD",G268*R268,G268))</f>
        <v/>
      </c>
      <c r="T268" s="53">
        <f>IF(P268="","",IF(H268="USD",G268,IF(R268&gt;0,G268/R268,0)))</f>
        <v/>
      </c>
      <c r="U268" s="53">
        <f>IF(P268="","",IF(P268="Gasto",S268,IF(P268="Reembolso",-S268,0)))</f>
        <v/>
      </c>
      <c r="V268" s="53">
        <f>IF(P268="","",IF(P268="Ingreso",S268,0))</f>
        <v/>
      </c>
      <c r="W268" s="53">
        <f>IF(P268="","",IF(P268="Resultado trading",S268,0))</f>
        <v/>
      </c>
      <c r="X268" s="52">
        <f>IF(OR(P268="Gasto",P268="Reembolso"),IF(M268&lt;&gt;"",M268,IFERROR(INDEX(catClasif,MATCH(D268&amp;"|"&amp;E268,catClave,0))&amp;"","Variable")),"")</f>
        <v/>
      </c>
      <c r="Y268" s="52">
        <f>IF(P268="","",IFERROR(INDEX(catGrupo,MATCH(D268&amp;"|"&amp;E268,catClave,0))&amp;"",""))</f>
        <v/>
      </c>
      <c r="Z268" s="52">
        <f>IF(P268="","",WEEKDAY(B268,2))</f>
        <v/>
      </c>
      <c r="AA268" s="52">
        <f>IF(P268="","",IF(AND(P268="Gasto",X268="Variable",D268&lt;&gt;catTrading,S268&gt;0,S268&lt;=Umbral),1,0))</f>
        <v/>
      </c>
      <c r="AB268" s="52">
        <f>IF(OR(P268="",Q268=""),"",IFERROR(IF(INDEX(ctaVinc,MATCH(Q268,ctaNombre,0))&amp;""&lt;&gt;"",INDEX(ctaVinc,MATCH(Q268,ctaNombre,0))&amp;"",Q268),Q268))</f>
        <v/>
      </c>
      <c r="AC268" s="52">
        <f>IF(OR(K268="",AND(P268&lt;&gt;"Transferencia",P268&lt;&gt;"Pago tarjeta")),"",IFERROR(IF(INDEX(ctaVinc,MATCH(K268,ctaNombre,0))&amp;""&lt;&gt;"",INDEX(ctaVinc,MATCH(K268,ctaNombre,0))&amp;"",K268),K268))</f>
        <v/>
      </c>
      <c r="AD268" s="52">
        <f>IF(AB268="","",IFERROR(INDEX(ctaTipo,MATCH(AB268,ctaNombre,0))&amp;"",""))</f>
        <v/>
      </c>
      <c r="AE268" s="52">
        <f>IF(AC268="","",IFERROR(INDEX(ctaTipo,MATCH(AC268,ctaNombre,0))&amp;"",""))</f>
        <v/>
      </c>
      <c r="AF268" s="53">
        <f>IF(OR(P268="",AB268=""),"",IF(OR(P268="Gasto",P268="Transferencia",P268="Pago tarjeta"),-1,1)*IF(IFERROR(INDEX(ctaMoneda,MATCH(AB268,ctaNombre,0))&amp;"","DOP")="USD",T268,S268))</f>
        <v/>
      </c>
      <c r="AG268" s="53">
        <f>IF(AC268="","",IF(IFERROR(INDEX(ctaMoneda,MATCH(AC268,ctaNombre,0))&amp;"","DOP")="USD",T268,S268))</f>
        <v/>
      </c>
      <c r="AH268" s="53">
        <f>IF(P268="","",IF(AND(AD268&lt;&gt;"",COUNTIFS(tcTipo,AD268,tcLiq,"Sí")&gt;0),IF(OR(P268="Gasto",P268="Transferencia",P268="Pago tarjeta"),-1,1)*S268,0)+IF(AND(AE268&lt;&gt;"",COUNTIFS(tcTipo,AE268,tcLiq,"Sí")&gt;0),S268,0))</f>
        <v/>
      </c>
      <c r="AI268" s="52">
        <f>IF(OR(L268="",P268=""),"",IF(COUNTIFS(L$6:L268,L268,P$6:P268,"?*")=1,MAX(AI$5:AI267)+1,""))</f>
        <v/>
      </c>
    </row>
    <row r="269">
      <c r="B269" s="47" t="n"/>
      <c r="C269" s="48" t="n"/>
      <c r="D269" s="48" t="n"/>
      <c r="E269" s="48" t="n"/>
      <c r="F269" s="48" t="n"/>
      <c r="G269" s="49" t="n"/>
      <c r="H269" s="48" t="n"/>
      <c r="I269" s="50" t="n"/>
      <c r="J269" s="48" t="n"/>
      <c r="K269" s="48" t="n"/>
      <c r="L269" s="48" t="n"/>
      <c r="M269" s="48" t="n"/>
      <c r="N269" s="48" t="n"/>
      <c r="O269" s="51">
        <f>IF(AND(B269="",G269="",C269="",D269="",J269=""),"",IF(B269="","⚠ Falta fecha",IF(G269="","⚠ Falta monto",IF(Q269="","⚠ Falta cuenta",IF(ISNA(MATCH(Q269,ctaNombre,0)),"⚠ Cuenta no registrada",IF(AND(OR(P269="Gasto",P269="Reembolso"),D269=""),"⚠ Falta categoría",IF(AND(D269&lt;&gt;"",E269&lt;&gt;"",ISNA(MATCH(D269&amp;"|"&amp;E269,catClave,0))),"⚠ Subcategoría no corresponde",IF(AND(OR(P269="Transferencia",P269="Pago tarjeta"),K269=""),"⚠ Falta cuenta destino",IF(AND(K269&lt;&gt;"",P269&lt;&gt;"Transferencia",P269&lt;&gt;"Pago tarjeta"),"⚠ Destino solo aplica a transferencias",IF(AND(K269&lt;&gt;"",K269=Q269),"⚠ Origen igual a destino",IF(AND(K269&lt;&gt;"",ISNA(MATCH(K269,ctaNombre,0))),"⚠ Destino no registrado",IF(AND(P269="Pago tarjeta",AE269&lt;&gt;"Tarjeta de crédito"),"⚠ El destino debe ser tarjeta de crédito",IF(AND(P269="Gasto",E269="Depósitos y retiros"),"⚠ Usa tipo Transferencia",IF(AND(P269="Resultado trading",AD269&lt;&gt;"Cuenta de trading"),"⚠ Usa una cuenta de trading",IF(AND(G269&lt;=0,P269&lt;&gt;"Ajuste",P269&lt;&gt;"Resultado trading"),"⚠ El monto debe ser positivo","✓")))))))))))))))</f>
        <v/>
      </c>
      <c r="P269" s="52">
        <f>IF(OR(B269="",G269=""),"",IF(C269="","Gasto",C269))</f>
        <v/>
      </c>
      <c r="Q269" s="52">
        <f>IF(P269="","",IF(J269&lt;&gt;"",J269,CuentaPred&amp;""))</f>
        <v/>
      </c>
      <c r="R269" s="52">
        <f>IF(P269="","",IF(ISNUMBER(I269),I269,TasaUSD))</f>
        <v/>
      </c>
      <c r="S269" s="53">
        <f>IF(P269="","",IF(H269="USD",G269*R269,G269))</f>
        <v/>
      </c>
      <c r="T269" s="53">
        <f>IF(P269="","",IF(H269="USD",G269,IF(R269&gt;0,G269/R269,0)))</f>
        <v/>
      </c>
      <c r="U269" s="53">
        <f>IF(P269="","",IF(P269="Gasto",S269,IF(P269="Reembolso",-S269,0)))</f>
        <v/>
      </c>
      <c r="V269" s="53">
        <f>IF(P269="","",IF(P269="Ingreso",S269,0))</f>
        <v/>
      </c>
      <c r="W269" s="53">
        <f>IF(P269="","",IF(P269="Resultado trading",S269,0))</f>
        <v/>
      </c>
      <c r="X269" s="52">
        <f>IF(OR(P269="Gasto",P269="Reembolso"),IF(M269&lt;&gt;"",M269,IFERROR(INDEX(catClasif,MATCH(D269&amp;"|"&amp;E269,catClave,0))&amp;"","Variable")),"")</f>
        <v/>
      </c>
      <c r="Y269" s="52">
        <f>IF(P269="","",IFERROR(INDEX(catGrupo,MATCH(D269&amp;"|"&amp;E269,catClave,0))&amp;"",""))</f>
        <v/>
      </c>
      <c r="Z269" s="52">
        <f>IF(P269="","",WEEKDAY(B269,2))</f>
        <v/>
      </c>
      <c r="AA269" s="52">
        <f>IF(P269="","",IF(AND(P269="Gasto",X269="Variable",D269&lt;&gt;catTrading,S269&gt;0,S269&lt;=Umbral),1,0))</f>
        <v/>
      </c>
      <c r="AB269" s="52">
        <f>IF(OR(P269="",Q269=""),"",IFERROR(IF(INDEX(ctaVinc,MATCH(Q269,ctaNombre,0))&amp;""&lt;&gt;"",INDEX(ctaVinc,MATCH(Q269,ctaNombre,0))&amp;"",Q269),Q269))</f>
        <v/>
      </c>
      <c r="AC269" s="52">
        <f>IF(OR(K269="",AND(P269&lt;&gt;"Transferencia",P269&lt;&gt;"Pago tarjeta")),"",IFERROR(IF(INDEX(ctaVinc,MATCH(K269,ctaNombre,0))&amp;""&lt;&gt;"",INDEX(ctaVinc,MATCH(K269,ctaNombre,0))&amp;"",K269),K269))</f>
        <v/>
      </c>
      <c r="AD269" s="52">
        <f>IF(AB269="","",IFERROR(INDEX(ctaTipo,MATCH(AB269,ctaNombre,0))&amp;"",""))</f>
        <v/>
      </c>
      <c r="AE269" s="52">
        <f>IF(AC269="","",IFERROR(INDEX(ctaTipo,MATCH(AC269,ctaNombre,0))&amp;"",""))</f>
        <v/>
      </c>
      <c r="AF269" s="53">
        <f>IF(OR(P269="",AB269=""),"",IF(OR(P269="Gasto",P269="Transferencia",P269="Pago tarjeta"),-1,1)*IF(IFERROR(INDEX(ctaMoneda,MATCH(AB269,ctaNombre,0))&amp;"","DOP")="USD",T269,S269))</f>
        <v/>
      </c>
      <c r="AG269" s="53">
        <f>IF(AC269="","",IF(IFERROR(INDEX(ctaMoneda,MATCH(AC269,ctaNombre,0))&amp;"","DOP")="USD",T269,S269))</f>
        <v/>
      </c>
      <c r="AH269" s="53">
        <f>IF(P269="","",IF(AND(AD269&lt;&gt;"",COUNTIFS(tcTipo,AD269,tcLiq,"Sí")&gt;0),IF(OR(P269="Gasto",P269="Transferencia",P269="Pago tarjeta"),-1,1)*S269,0)+IF(AND(AE269&lt;&gt;"",COUNTIFS(tcTipo,AE269,tcLiq,"Sí")&gt;0),S269,0))</f>
        <v/>
      </c>
      <c r="AI269" s="52">
        <f>IF(OR(L269="",P269=""),"",IF(COUNTIFS(L$6:L269,L269,P$6:P269,"?*")=1,MAX(AI$5:AI268)+1,""))</f>
        <v/>
      </c>
    </row>
    <row r="270">
      <c r="B270" s="47" t="n"/>
      <c r="C270" s="48" t="n"/>
      <c r="D270" s="48" t="n"/>
      <c r="E270" s="48" t="n"/>
      <c r="F270" s="48" t="n"/>
      <c r="G270" s="49" t="n"/>
      <c r="H270" s="48" t="n"/>
      <c r="I270" s="50" t="n"/>
      <c r="J270" s="48" t="n"/>
      <c r="K270" s="48" t="n"/>
      <c r="L270" s="48" t="n"/>
      <c r="M270" s="48" t="n"/>
      <c r="N270" s="48" t="n"/>
      <c r="O270" s="51">
        <f>IF(AND(B270="",G270="",C270="",D270="",J270=""),"",IF(B270="","⚠ Falta fecha",IF(G270="","⚠ Falta monto",IF(Q270="","⚠ Falta cuenta",IF(ISNA(MATCH(Q270,ctaNombre,0)),"⚠ Cuenta no registrada",IF(AND(OR(P270="Gasto",P270="Reembolso"),D270=""),"⚠ Falta categoría",IF(AND(D270&lt;&gt;"",E270&lt;&gt;"",ISNA(MATCH(D270&amp;"|"&amp;E270,catClave,0))),"⚠ Subcategoría no corresponde",IF(AND(OR(P270="Transferencia",P270="Pago tarjeta"),K270=""),"⚠ Falta cuenta destino",IF(AND(K270&lt;&gt;"",P270&lt;&gt;"Transferencia",P270&lt;&gt;"Pago tarjeta"),"⚠ Destino solo aplica a transferencias",IF(AND(K270&lt;&gt;"",K270=Q270),"⚠ Origen igual a destino",IF(AND(K270&lt;&gt;"",ISNA(MATCH(K270,ctaNombre,0))),"⚠ Destino no registrado",IF(AND(P270="Pago tarjeta",AE270&lt;&gt;"Tarjeta de crédito"),"⚠ El destino debe ser tarjeta de crédito",IF(AND(P270="Gasto",E270="Depósitos y retiros"),"⚠ Usa tipo Transferencia",IF(AND(P270="Resultado trading",AD270&lt;&gt;"Cuenta de trading"),"⚠ Usa una cuenta de trading",IF(AND(G270&lt;=0,P270&lt;&gt;"Ajuste",P270&lt;&gt;"Resultado trading"),"⚠ El monto debe ser positivo","✓")))))))))))))))</f>
        <v/>
      </c>
      <c r="P270" s="52">
        <f>IF(OR(B270="",G270=""),"",IF(C270="","Gasto",C270))</f>
        <v/>
      </c>
      <c r="Q270" s="52">
        <f>IF(P270="","",IF(J270&lt;&gt;"",J270,CuentaPred&amp;""))</f>
        <v/>
      </c>
      <c r="R270" s="52">
        <f>IF(P270="","",IF(ISNUMBER(I270),I270,TasaUSD))</f>
        <v/>
      </c>
      <c r="S270" s="53">
        <f>IF(P270="","",IF(H270="USD",G270*R270,G270))</f>
        <v/>
      </c>
      <c r="T270" s="53">
        <f>IF(P270="","",IF(H270="USD",G270,IF(R270&gt;0,G270/R270,0)))</f>
        <v/>
      </c>
      <c r="U270" s="53">
        <f>IF(P270="","",IF(P270="Gasto",S270,IF(P270="Reembolso",-S270,0)))</f>
        <v/>
      </c>
      <c r="V270" s="53">
        <f>IF(P270="","",IF(P270="Ingreso",S270,0))</f>
        <v/>
      </c>
      <c r="W270" s="53">
        <f>IF(P270="","",IF(P270="Resultado trading",S270,0))</f>
        <v/>
      </c>
      <c r="X270" s="52">
        <f>IF(OR(P270="Gasto",P270="Reembolso"),IF(M270&lt;&gt;"",M270,IFERROR(INDEX(catClasif,MATCH(D270&amp;"|"&amp;E270,catClave,0))&amp;"","Variable")),"")</f>
        <v/>
      </c>
      <c r="Y270" s="52">
        <f>IF(P270="","",IFERROR(INDEX(catGrupo,MATCH(D270&amp;"|"&amp;E270,catClave,0))&amp;"",""))</f>
        <v/>
      </c>
      <c r="Z270" s="52">
        <f>IF(P270="","",WEEKDAY(B270,2))</f>
        <v/>
      </c>
      <c r="AA270" s="52">
        <f>IF(P270="","",IF(AND(P270="Gasto",X270="Variable",D270&lt;&gt;catTrading,S270&gt;0,S270&lt;=Umbral),1,0))</f>
        <v/>
      </c>
      <c r="AB270" s="52">
        <f>IF(OR(P270="",Q270=""),"",IFERROR(IF(INDEX(ctaVinc,MATCH(Q270,ctaNombre,0))&amp;""&lt;&gt;"",INDEX(ctaVinc,MATCH(Q270,ctaNombre,0))&amp;"",Q270),Q270))</f>
        <v/>
      </c>
      <c r="AC270" s="52">
        <f>IF(OR(K270="",AND(P270&lt;&gt;"Transferencia",P270&lt;&gt;"Pago tarjeta")),"",IFERROR(IF(INDEX(ctaVinc,MATCH(K270,ctaNombre,0))&amp;""&lt;&gt;"",INDEX(ctaVinc,MATCH(K270,ctaNombre,0))&amp;"",K270),K270))</f>
        <v/>
      </c>
      <c r="AD270" s="52">
        <f>IF(AB270="","",IFERROR(INDEX(ctaTipo,MATCH(AB270,ctaNombre,0))&amp;"",""))</f>
        <v/>
      </c>
      <c r="AE270" s="52">
        <f>IF(AC270="","",IFERROR(INDEX(ctaTipo,MATCH(AC270,ctaNombre,0))&amp;"",""))</f>
        <v/>
      </c>
      <c r="AF270" s="53">
        <f>IF(OR(P270="",AB270=""),"",IF(OR(P270="Gasto",P270="Transferencia",P270="Pago tarjeta"),-1,1)*IF(IFERROR(INDEX(ctaMoneda,MATCH(AB270,ctaNombre,0))&amp;"","DOP")="USD",T270,S270))</f>
        <v/>
      </c>
      <c r="AG270" s="53">
        <f>IF(AC270="","",IF(IFERROR(INDEX(ctaMoneda,MATCH(AC270,ctaNombre,0))&amp;"","DOP")="USD",T270,S270))</f>
        <v/>
      </c>
      <c r="AH270" s="53">
        <f>IF(P270="","",IF(AND(AD270&lt;&gt;"",COUNTIFS(tcTipo,AD270,tcLiq,"Sí")&gt;0),IF(OR(P270="Gasto",P270="Transferencia",P270="Pago tarjeta"),-1,1)*S270,0)+IF(AND(AE270&lt;&gt;"",COUNTIFS(tcTipo,AE270,tcLiq,"Sí")&gt;0),S270,0))</f>
        <v/>
      </c>
      <c r="AI270" s="52">
        <f>IF(OR(L270="",P270=""),"",IF(COUNTIFS(L$6:L270,L270,P$6:P270,"?*")=1,MAX(AI$5:AI269)+1,""))</f>
        <v/>
      </c>
    </row>
    <row r="271">
      <c r="B271" s="47" t="n"/>
      <c r="C271" s="48" t="n"/>
      <c r="D271" s="48" t="n"/>
      <c r="E271" s="48" t="n"/>
      <c r="F271" s="48" t="n"/>
      <c r="G271" s="49" t="n"/>
      <c r="H271" s="48" t="n"/>
      <c r="I271" s="50" t="n"/>
      <c r="J271" s="48" t="n"/>
      <c r="K271" s="48" t="n"/>
      <c r="L271" s="48" t="n"/>
      <c r="M271" s="48" t="n"/>
      <c r="N271" s="48" t="n"/>
      <c r="O271" s="51">
        <f>IF(AND(B271="",G271="",C271="",D271="",J271=""),"",IF(B271="","⚠ Falta fecha",IF(G271="","⚠ Falta monto",IF(Q271="","⚠ Falta cuenta",IF(ISNA(MATCH(Q271,ctaNombre,0)),"⚠ Cuenta no registrada",IF(AND(OR(P271="Gasto",P271="Reembolso"),D271=""),"⚠ Falta categoría",IF(AND(D271&lt;&gt;"",E271&lt;&gt;"",ISNA(MATCH(D271&amp;"|"&amp;E271,catClave,0))),"⚠ Subcategoría no corresponde",IF(AND(OR(P271="Transferencia",P271="Pago tarjeta"),K271=""),"⚠ Falta cuenta destino",IF(AND(K271&lt;&gt;"",P271&lt;&gt;"Transferencia",P271&lt;&gt;"Pago tarjeta"),"⚠ Destino solo aplica a transferencias",IF(AND(K271&lt;&gt;"",K271=Q271),"⚠ Origen igual a destino",IF(AND(K271&lt;&gt;"",ISNA(MATCH(K271,ctaNombre,0))),"⚠ Destino no registrado",IF(AND(P271="Pago tarjeta",AE271&lt;&gt;"Tarjeta de crédito"),"⚠ El destino debe ser tarjeta de crédito",IF(AND(P271="Gasto",E271="Depósitos y retiros"),"⚠ Usa tipo Transferencia",IF(AND(P271="Resultado trading",AD271&lt;&gt;"Cuenta de trading"),"⚠ Usa una cuenta de trading",IF(AND(G271&lt;=0,P271&lt;&gt;"Ajuste",P271&lt;&gt;"Resultado trading"),"⚠ El monto debe ser positivo","✓")))))))))))))))</f>
        <v/>
      </c>
      <c r="P271" s="52">
        <f>IF(OR(B271="",G271=""),"",IF(C271="","Gasto",C271))</f>
        <v/>
      </c>
      <c r="Q271" s="52">
        <f>IF(P271="","",IF(J271&lt;&gt;"",J271,CuentaPred&amp;""))</f>
        <v/>
      </c>
      <c r="R271" s="52">
        <f>IF(P271="","",IF(ISNUMBER(I271),I271,TasaUSD))</f>
        <v/>
      </c>
      <c r="S271" s="53">
        <f>IF(P271="","",IF(H271="USD",G271*R271,G271))</f>
        <v/>
      </c>
      <c r="T271" s="53">
        <f>IF(P271="","",IF(H271="USD",G271,IF(R271&gt;0,G271/R271,0)))</f>
        <v/>
      </c>
      <c r="U271" s="53">
        <f>IF(P271="","",IF(P271="Gasto",S271,IF(P271="Reembolso",-S271,0)))</f>
        <v/>
      </c>
      <c r="V271" s="53">
        <f>IF(P271="","",IF(P271="Ingreso",S271,0))</f>
        <v/>
      </c>
      <c r="W271" s="53">
        <f>IF(P271="","",IF(P271="Resultado trading",S271,0))</f>
        <v/>
      </c>
      <c r="X271" s="52">
        <f>IF(OR(P271="Gasto",P271="Reembolso"),IF(M271&lt;&gt;"",M271,IFERROR(INDEX(catClasif,MATCH(D271&amp;"|"&amp;E271,catClave,0))&amp;"","Variable")),"")</f>
        <v/>
      </c>
      <c r="Y271" s="52">
        <f>IF(P271="","",IFERROR(INDEX(catGrupo,MATCH(D271&amp;"|"&amp;E271,catClave,0))&amp;"",""))</f>
        <v/>
      </c>
      <c r="Z271" s="52">
        <f>IF(P271="","",WEEKDAY(B271,2))</f>
        <v/>
      </c>
      <c r="AA271" s="52">
        <f>IF(P271="","",IF(AND(P271="Gasto",X271="Variable",D271&lt;&gt;catTrading,S271&gt;0,S271&lt;=Umbral),1,0))</f>
        <v/>
      </c>
      <c r="AB271" s="52">
        <f>IF(OR(P271="",Q271=""),"",IFERROR(IF(INDEX(ctaVinc,MATCH(Q271,ctaNombre,0))&amp;""&lt;&gt;"",INDEX(ctaVinc,MATCH(Q271,ctaNombre,0))&amp;"",Q271),Q271))</f>
        <v/>
      </c>
      <c r="AC271" s="52">
        <f>IF(OR(K271="",AND(P271&lt;&gt;"Transferencia",P271&lt;&gt;"Pago tarjeta")),"",IFERROR(IF(INDEX(ctaVinc,MATCH(K271,ctaNombre,0))&amp;""&lt;&gt;"",INDEX(ctaVinc,MATCH(K271,ctaNombre,0))&amp;"",K271),K271))</f>
        <v/>
      </c>
      <c r="AD271" s="52">
        <f>IF(AB271="","",IFERROR(INDEX(ctaTipo,MATCH(AB271,ctaNombre,0))&amp;"",""))</f>
        <v/>
      </c>
      <c r="AE271" s="52">
        <f>IF(AC271="","",IFERROR(INDEX(ctaTipo,MATCH(AC271,ctaNombre,0))&amp;"",""))</f>
        <v/>
      </c>
      <c r="AF271" s="53">
        <f>IF(OR(P271="",AB271=""),"",IF(OR(P271="Gasto",P271="Transferencia",P271="Pago tarjeta"),-1,1)*IF(IFERROR(INDEX(ctaMoneda,MATCH(AB271,ctaNombre,0))&amp;"","DOP")="USD",T271,S271))</f>
        <v/>
      </c>
      <c r="AG271" s="53">
        <f>IF(AC271="","",IF(IFERROR(INDEX(ctaMoneda,MATCH(AC271,ctaNombre,0))&amp;"","DOP")="USD",T271,S271))</f>
        <v/>
      </c>
      <c r="AH271" s="53">
        <f>IF(P271="","",IF(AND(AD271&lt;&gt;"",COUNTIFS(tcTipo,AD271,tcLiq,"Sí")&gt;0),IF(OR(P271="Gasto",P271="Transferencia",P271="Pago tarjeta"),-1,1)*S271,0)+IF(AND(AE271&lt;&gt;"",COUNTIFS(tcTipo,AE271,tcLiq,"Sí")&gt;0),S271,0))</f>
        <v/>
      </c>
      <c r="AI271" s="52">
        <f>IF(OR(L271="",P271=""),"",IF(COUNTIFS(L$6:L271,L271,P$6:P271,"?*")=1,MAX(AI$5:AI270)+1,""))</f>
        <v/>
      </c>
    </row>
    <row r="272">
      <c r="B272" s="47" t="n"/>
      <c r="C272" s="48" t="n"/>
      <c r="D272" s="48" t="n"/>
      <c r="E272" s="48" t="n"/>
      <c r="F272" s="48" t="n"/>
      <c r="G272" s="49" t="n"/>
      <c r="H272" s="48" t="n"/>
      <c r="I272" s="50" t="n"/>
      <c r="J272" s="48" t="n"/>
      <c r="K272" s="48" t="n"/>
      <c r="L272" s="48" t="n"/>
      <c r="M272" s="48" t="n"/>
      <c r="N272" s="48" t="n"/>
      <c r="O272" s="51">
        <f>IF(AND(B272="",G272="",C272="",D272="",J272=""),"",IF(B272="","⚠ Falta fecha",IF(G272="","⚠ Falta monto",IF(Q272="","⚠ Falta cuenta",IF(ISNA(MATCH(Q272,ctaNombre,0)),"⚠ Cuenta no registrada",IF(AND(OR(P272="Gasto",P272="Reembolso"),D272=""),"⚠ Falta categoría",IF(AND(D272&lt;&gt;"",E272&lt;&gt;"",ISNA(MATCH(D272&amp;"|"&amp;E272,catClave,0))),"⚠ Subcategoría no corresponde",IF(AND(OR(P272="Transferencia",P272="Pago tarjeta"),K272=""),"⚠ Falta cuenta destino",IF(AND(K272&lt;&gt;"",P272&lt;&gt;"Transferencia",P272&lt;&gt;"Pago tarjeta"),"⚠ Destino solo aplica a transferencias",IF(AND(K272&lt;&gt;"",K272=Q272),"⚠ Origen igual a destino",IF(AND(K272&lt;&gt;"",ISNA(MATCH(K272,ctaNombre,0))),"⚠ Destino no registrado",IF(AND(P272="Pago tarjeta",AE272&lt;&gt;"Tarjeta de crédito"),"⚠ El destino debe ser tarjeta de crédito",IF(AND(P272="Gasto",E272="Depósitos y retiros"),"⚠ Usa tipo Transferencia",IF(AND(P272="Resultado trading",AD272&lt;&gt;"Cuenta de trading"),"⚠ Usa una cuenta de trading",IF(AND(G272&lt;=0,P272&lt;&gt;"Ajuste",P272&lt;&gt;"Resultado trading"),"⚠ El monto debe ser positivo","✓")))))))))))))))</f>
        <v/>
      </c>
      <c r="P272" s="52">
        <f>IF(OR(B272="",G272=""),"",IF(C272="","Gasto",C272))</f>
        <v/>
      </c>
      <c r="Q272" s="52">
        <f>IF(P272="","",IF(J272&lt;&gt;"",J272,CuentaPred&amp;""))</f>
        <v/>
      </c>
      <c r="R272" s="52">
        <f>IF(P272="","",IF(ISNUMBER(I272),I272,TasaUSD))</f>
        <v/>
      </c>
      <c r="S272" s="53">
        <f>IF(P272="","",IF(H272="USD",G272*R272,G272))</f>
        <v/>
      </c>
      <c r="T272" s="53">
        <f>IF(P272="","",IF(H272="USD",G272,IF(R272&gt;0,G272/R272,0)))</f>
        <v/>
      </c>
      <c r="U272" s="53">
        <f>IF(P272="","",IF(P272="Gasto",S272,IF(P272="Reembolso",-S272,0)))</f>
        <v/>
      </c>
      <c r="V272" s="53">
        <f>IF(P272="","",IF(P272="Ingreso",S272,0))</f>
        <v/>
      </c>
      <c r="W272" s="53">
        <f>IF(P272="","",IF(P272="Resultado trading",S272,0))</f>
        <v/>
      </c>
      <c r="X272" s="52">
        <f>IF(OR(P272="Gasto",P272="Reembolso"),IF(M272&lt;&gt;"",M272,IFERROR(INDEX(catClasif,MATCH(D272&amp;"|"&amp;E272,catClave,0))&amp;"","Variable")),"")</f>
        <v/>
      </c>
      <c r="Y272" s="52">
        <f>IF(P272="","",IFERROR(INDEX(catGrupo,MATCH(D272&amp;"|"&amp;E272,catClave,0))&amp;"",""))</f>
        <v/>
      </c>
      <c r="Z272" s="52">
        <f>IF(P272="","",WEEKDAY(B272,2))</f>
        <v/>
      </c>
      <c r="AA272" s="52">
        <f>IF(P272="","",IF(AND(P272="Gasto",X272="Variable",D272&lt;&gt;catTrading,S272&gt;0,S272&lt;=Umbral),1,0))</f>
        <v/>
      </c>
      <c r="AB272" s="52">
        <f>IF(OR(P272="",Q272=""),"",IFERROR(IF(INDEX(ctaVinc,MATCH(Q272,ctaNombre,0))&amp;""&lt;&gt;"",INDEX(ctaVinc,MATCH(Q272,ctaNombre,0))&amp;"",Q272),Q272))</f>
        <v/>
      </c>
      <c r="AC272" s="52">
        <f>IF(OR(K272="",AND(P272&lt;&gt;"Transferencia",P272&lt;&gt;"Pago tarjeta")),"",IFERROR(IF(INDEX(ctaVinc,MATCH(K272,ctaNombre,0))&amp;""&lt;&gt;"",INDEX(ctaVinc,MATCH(K272,ctaNombre,0))&amp;"",K272),K272))</f>
        <v/>
      </c>
      <c r="AD272" s="52">
        <f>IF(AB272="","",IFERROR(INDEX(ctaTipo,MATCH(AB272,ctaNombre,0))&amp;"",""))</f>
        <v/>
      </c>
      <c r="AE272" s="52">
        <f>IF(AC272="","",IFERROR(INDEX(ctaTipo,MATCH(AC272,ctaNombre,0))&amp;"",""))</f>
        <v/>
      </c>
      <c r="AF272" s="53">
        <f>IF(OR(P272="",AB272=""),"",IF(OR(P272="Gasto",P272="Transferencia",P272="Pago tarjeta"),-1,1)*IF(IFERROR(INDEX(ctaMoneda,MATCH(AB272,ctaNombre,0))&amp;"","DOP")="USD",T272,S272))</f>
        <v/>
      </c>
      <c r="AG272" s="53">
        <f>IF(AC272="","",IF(IFERROR(INDEX(ctaMoneda,MATCH(AC272,ctaNombre,0))&amp;"","DOP")="USD",T272,S272))</f>
        <v/>
      </c>
      <c r="AH272" s="53">
        <f>IF(P272="","",IF(AND(AD272&lt;&gt;"",COUNTIFS(tcTipo,AD272,tcLiq,"Sí")&gt;0),IF(OR(P272="Gasto",P272="Transferencia",P272="Pago tarjeta"),-1,1)*S272,0)+IF(AND(AE272&lt;&gt;"",COUNTIFS(tcTipo,AE272,tcLiq,"Sí")&gt;0),S272,0))</f>
        <v/>
      </c>
      <c r="AI272" s="52">
        <f>IF(OR(L272="",P272=""),"",IF(COUNTIFS(L$6:L272,L272,P$6:P272,"?*")=1,MAX(AI$5:AI271)+1,""))</f>
        <v/>
      </c>
    </row>
    <row r="273">
      <c r="B273" s="47" t="n"/>
      <c r="C273" s="48" t="n"/>
      <c r="D273" s="48" t="n"/>
      <c r="E273" s="48" t="n"/>
      <c r="F273" s="48" t="n"/>
      <c r="G273" s="49" t="n"/>
      <c r="H273" s="48" t="n"/>
      <c r="I273" s="50" t="n"/>
      <c r="J273" s="48" t="n"/>
      <c r="K273" s="48" t="n"/>
      <c r="L273" s="48" t="n"/>
      <c r="M273" s="48" t="n"/>
      <c r="N273" s="48" t="n"/>
      <c r="O273" s="51">
        <f>IF(AND(B273="",G273="",C273="",D273="",J273=""),"",IF(B273="","⚠ Falta fecha",IF(G273="","⚠ Falta monto",IF(Q273="","⚠ Falta cuenta",IF(ISNA(MATCH(Q273,ctaNombre,0)),"⚠ Cuenta no registrada",IF(AND(OR(P273="Gasto",P273="Reembolso"),D273=""),"⚠ Falta categoría",IF(AND(D273&lt;&gt;"",E273&lt;&gt;"",ISNA(MATCH(D273&amp;"|"&amp;E273,catClave,0))),"⚠ Subcategoría no corresponde",IF(AND(OR(P273="Transferencia",P273="Pago tarjeta"),K273=""),"⚠ Falta cuenta destino",IF(AND(K273&lt;&gt;"",P273&lt;&gt;"Transferencia",P273&lt;&gt;"Pago tarjeta"),"⚠ Destino solo aplica a transferencias",IF(AND(K273&lt;&gt;"",K273=Q273),"⚠ Origen igual a destino",IF(AND(K273&lt;&gt;"",ISNA(MATCH(K273,ctaNombre,0))),"⚠ Destino no registrado",IF(AND(P273="Pago tarjeta",AE273&lt;&gt;"Tarjeta de crédito"),"⚠ El destino debe ser tarjeta de crédito",IF(AND(P273="Gasto",E273="Depósitos y retiros"),"⚠ Usa tipo Transferencia",IF(AND(P273="Resultado trading",AD273&lt;&gt;"Cuenta de trading"),"⚠ Usa una cuenta de trading",IF(AND(G273&lt;=0,P273&lt;&gt;"Ajuste",P273&lt;&gt;"Resultado trading"),"⚠ El monto debe ser positivo","✓")))))))))))))))</f>
        <v/>
      </c>
      <c r="P273" s="52">
        <f>IF(OR(B273="",G273=""),"",IF(C273="","Gasto",C273))</f>
        <v/>
      </c>
      <c r="Q273" s="52">
        <f>IF(P273="","",IF(J273&lt;&gt;"",J273,CuentaPred&amp;""))</f>
        <v/>
      </c>
      <c r="R273" s="52">
        <f>IF(P273="","",IF(ISNUMBER(I273),I273,TasaUSD))</f>
        <v/>
      </c>
      <c r="S273" s="53">
        <f>IF(P273="","",IF(H273="USD",G273*R273,G273))</f>
        <v/>
      </c>
      <c r="T273" s="53">
        <f>IF(P273="","",IF(H273="USD",G273,IF(R273&gt;0,G273/R273,0)))</f>
        <v/>
      </c>
      <c r="U273" s="53">
        <f>IF(P273="","",IF(P273="Gasto",S273,IF(P273="Reembolso",-S273,0)))</f>
        <v/>
      </c>
      <c r="V273" s="53">
        <f>IF(P273="","",IF(P273="Ingreso",S273,0))</f>
        <v/>
      </c>
      <c r="W273" s="53">
        <f>IF(P273="","",IF(P273="Resultado trading",S273,0))</f>
        <v/>
      </c>
      <c r="X273" s="52">
        <f>IF(OR(P273="Gasto",P273="Reembolso"),IF(M273&lt;&gt;"",M273,IFERROR(INDEX(catClasif,MATCH(D273&amp;"|"&amp;E273,catClave,0))&amp;"","Variable")),"")</f>
        <v/>
      </c>
      <c r="Y273" s="52">
        <f>IF(P273="","",IFERROR(INDEX(catGrupo,MATCH(D273&amp;"|"&amp;E273,catClave,0))&amp;"",""))</f>
        <v/>
      </c>
      <c r="Z273" s="52">
        <f>IF(P273="","",WEEKDAY(B273,2))</f>
        <v/>
      </c>
      <c r="AA273" s="52">
        <f>IF(P273="","",IF(AND(P273="Gasto",X273="Variable",D273&lt;&gt;catTrading,S273&gt;0,S273&lt;=Umbral),1,0))</f>
        <v/>
      </c>
      <c r="AB273" s="52">
        <f>IF(OR(P273="",Q273=""),"",IFERROR(IF(INDEX(ctaVinc,MATCH(Q273,ctaNombre,0))&amp;""&lt;&gt;"",INDEX(ctaVinc,MATCH(Q273,ctaNombre,0))&amp;"",Q273),Q273))</f>
        <v/>
      </c>
      <c r="AC273" s="52">
        <f>IF(OR(K273="",AND(P273&lt;&gt;"Transferencia",P273&lt;&gt;"Pago tarjeta")),"",IFERROR(IF(INDEX(ctaVinc,MATCH(K273,ctaNombre,0))&amp;""&lt;&gt;"",INDEX(ctaVinc,MATCH(K273,ctaNombre,0))&amp;"",K273),K273))</f>
        <v/>
      </c>
      <c r="AD273" s="52">
        <f>IF(AB273="","",IFERROR(INDEX(ctaTipo,MATCH(AB273,ctaNombre,0))&amp;"",""))</f>
        <v/>
      </c>
      <c r="AE273" s="52">
        <f>IF(AC273="","",IFERROR(INDEX(ctaTipo,MATCH(AC273,ctaNombre,0))&amp;"",""))</f>
        <v/>
      </c>
      <c r="AF273" s="53">
        <f>IF(OR(P273="",AB273=""),"",IF(OR(P273="Gasto",P273="Transferencia",P273="Pago tarjeta"),-1,1)*IF(IFERROR(INDEX(ctaMoneda,MATCH(AB273,ctaNombre,0))&amp;"","DOP")="USD",T273,S273))</f>
        <v/>
      </c>
      <c r="AG273" s="53">
        <f>IF(AC273="","",IF(IFERROR(INDEX(ctaMoneda,MATCH(AC273,ctaNombre,0))&amp;"","DOP")="USD",T273,S273))</f>
        <v/>
      </c>
      <c r="AH273" s="53">
        <f>IF(P273="","",IF(AND(AD273&lt;&gt;"",COUNTIFS(tcTipo,AD273,tcLiq,"Sí")&gt;0),IF(OR(P273="Gasto",P273="Transferencia",P273="Pago tarjeta"),-1,1)*S273,0)+IF(AND(AE273&lt;&gt;"",COUNTIFS(tcTipo,AE273,tcLiq,"Sí")&gt;0),S273,0))</f>
        <v/>
      </c>
      <c r="AI273" s="52">
        <f>IF(OR(L273="",P273=""),"",IF(COUNTIFS(L$6:L273,L273,P$6:P273,"?*")=1,MAX(AI$5:AI272)+1,""))</f>
        <v/>
      </c>
    </row>
    <row r="274">
      <c r="B274" s="47" t="n"/>
      <c r="C274" s="48" t="n"/>
      <c r="D274" s="48" t="n"/>
      <c r="E274" s="48" t="n"/>
      <c r="F274" s="48" t="n"/>
      <c r="G274" s="49" t="n"/>
      <c r="H274" s="48" t="n"/>
      <c r="I274" s="50" t="n"/>
      <c r="J274" s="48" t="n"/>
      <c r="K274" s="48" t="n"/>
      <c r="L274" s="48" t="n"/>
      <c r="M274" s="48" t="n"/>
      <c r="N274" s="48" t="n"/>
      <c r="O274" s="51">
        <f>IF(AND(B274="",G274="",C274="",D274="",J274=""),"",IF(B274="","⚠ Falta fecha",IF(G274="","⚠ Falta monto",IF(Q274="","⚠ Falta cuenta",IF(ISNA(MATCH(Q274,ctaNombre,0)),"⚠ Cuenta no registrada",IF(AND(OR(P274="Gasto",P274="Reembolso"),D274=""),"⚠ Falta categoría",IF(AND(D274&lt;&gt;"",E274&lt;&gt;"",ISNA(MATCH(D274&amp;"|"&amp;E274,catClave,0))),"⚠ Subcategoría no corresponde",IF(AND(OR(P274="Transferencia",P274="Pago tarjeta"),K274=""),"⚠ Falta cuenta destino",IF(AND(K274&lt;&gt;"",P274&lt;&gt;"Transferencia",P274&lt;&gt;"Pago tarjeta"),"⚠ Destino solo aplica a transferencias",IF(AND(K274&lt;&gt;"",K274=Q274),"⚠ Origen igual a destino",IF(AND(K274&lt;&gt;"",ISNA(MATCH(K274,ctaNombre,0))),"⚠ Destino no registrado",IF(AND(P274="Pago tarjeta",AE274&lt;&gt;"Tarjeta de crédito"),"⚠ El destino debe ser tarjeta de crédito",IF(AND(P274="Gasto",E274="Depósitos y retiros"),"⚠ Usa tipo Transferencia",IF(AND(P274="Resultado trading",AD274&lt;&gt;"Cuenta de trading"),"⚠ Usa una cuenta de trading",IF(AND(G274&lt;=0,P274&lt;&gt;"Ajuste",P274&lt;&gt;"Resultado trading"),"⚠ El monto debe ser positivo","✓")))))))))))))))</f>
        <v/>
      </c>
      <c r="P274" s="52">
        <f>IF(OR(B274="",G274=""),"",IF(C274="","Gasto",C274))</f>
        <v/>
      </c>
      <c r="Q274" s="52">
        <f>IF(P274="","",IF(J274&lt;&gt;"",J274,CuentaPred&amp;""))</f>
        <v/>
      </c>
      <c r="R274" s="52">
        <f>IF(P274="","",IF(ISNUMBER(I274),I274,TasaUSD))</f>
        <v/>
      </c>
      <c r="S274" s="53">
        <f>IF(P274="","",IF(H274="USD",G274*R274,G274))</f>
        <v/>
      </c>
      <c r="T274" s="53">
        <f>IF(P274="","",IF(H274="USD",G274,IF(R274&gt;0,G274/R274,0)))</f>
        <v/>
      </c>
      <c r="U274" s="53">
        <f>IF(P274="","",IF(P274="Gasto",S274,IF(P274="Reembolso",-S274,0)))</f>
        <v/>
      </c>
      <c r="V274" s="53">
        <f>IF(P274="","",IF(P274="Ingreso",S274,0))</f>
        <v/>
      </c>
      <c r="W274" s="53">
        <f>IF(P274="","",IF(P274="Resultado trading",S274,0))</f>
        <v/>
      </c>
      <c r="X274" s="52">
        <f>IF(OR(P274="Gasto",P274="Reembolso"),IF(M274&lt;&gt;"",M274,IFERROR(INDEX(catClasif,MATCH(D274&amp;"|"&amp;E274,catClave,0))&amp;"","Variable")),"")</f>
        <v/>
      </c>
      <c r="Y274" s="52">
        <f>IF(P274="","",IFERROR(INDEX(catGrupo,MATCH(D274&amp;"|"&amp;E274,catClave,0))&amp;"",""))</f>
        <v/>
      </c>
      <c r="Z274" s="52">
        <f>IF(P274="","",WEEKDAY(B274,2))</f>
        <v/>
      </c>
      <c r="AA274" s="52">
        <f>IF(P274="","",IF(AND(P274="Gasto",X274="Variable",D274&lt;&gt;catTrading,S274&gt;0,S274&lt;=Umbral),1,0))</f>
        <v/>
      </c>
      <c r="AB274" s="52">
        <f>IF(OR(P274="",Q274=""),"",IFERROR(IF(INDEX(ctaVinc,MATCH(Q274,ctaNombre,0))&amp;""&lt;&gt;"",INDEX(ctaVinc,MATCH(Q274,ctaNombre,0))&amp;"",Q274),Q274))</f>
        <v/>
      </c>
      <c r="AC274" s="52">
        <f>IF(OR(K274="",AND(P274&lt;&gt;"Transferencia",P274&lt;&gt;"Pago tarjeta")),"",IFERROR(IF(INDEX(ctaVinc,MATCH(K274,ctaNombre,0))&amp;""&lt;&gt;"",INDEX(ctaVinc,MATCH(K274,ctaNombre,0))&amp;"",K274),K274))</f>
        <v/>
      </c>
      <c r="AD274" s="52">
        <f>IF(AB274="","",IFERROR(INDEX(ctaTipo,MATCH(AB274,ctaNombre,0))&amp;"",""))</f>
        <v/>
      </c>
      <c r="AE274" s="52">
        <f>IF(AC274="","",IFERROR(INDEX(ctaTipo,MATCH(AC274,ctaNombre,0))&amp;"",""))</f>
        <v/>
      </c>
      <c r="AF274" s="53">
        <f>IF(OR(P274="",AB274=""),"",IF(OR(P274="Gasto",P274="Transferencia",P274="Pago tarjeta"),-1,1)*IF(IFERROR(INDEX(ctaMoneda,MATCH(AB274,ctaNombre,0))&amp;"","DOP")="USD",T274,S274))</f>
        <v/>
      </c>
      <c r="AG274" s="53">
        <f>IF(AC274="","",IF(IFERROR(INDEX(ctaMoneda,MATCH(AC274,ctaNombre,0))&amp;"","DOP")="USD",T274,S274))</f>
        <v/>
      </c>
      <c r="AH274" s="53">
        <f>IF(P274="","",IF(AND(AD274&lt;&gt;"",COUNTIFS(tcTipo,AD274,tcLiq,"Sí")&gt;0),IF(OR(P274="Gasto",P274="Transferencia",P274="Pago tarjeta"),-1,1)*S274,0)+IF(AND(AE274&lt;&gt;"",COUNTIFS(tcTipo,AE274,tcLiq,"Sí")&gt;0),S274,0))</f>
        <v/>
      </c>
      <c r="AI274" s="52">
        <f>IF(OR(L274="",P274=""),"",IF(COUNTIFS(L$6:L274,L274,P$6:P274,"?*")=1,MAX(AI$5:AI273)+1,""))</f>
        <v/>
      </c>
    </row>
    <row r="275">
      <c r="B275" s="47" t="n"/>
      <c r="C275" s="48" t="n"/>
      <c r="D275" s="48" t="n"/>
      <c r="E275" s="48" t="n"/>
      <c r="F275" s="48" t="n"/>
      <c r="G275" s="49" t="n"/>
      <c r="H275" s="48" t="n"/>
      <c r="I275" s="50" t="n"/>
      <c r="J275" s="48" t="n"/>
      <c r="K275" s="48" t="n"/>
      <c r="L275" s="48" t="n"/>
      <c r="M275" s="48" t="n"/>
      <c r="N275" s="48" t="n"/>
      <c r="O275" s="51">
        <f>IF(AND(B275="",G275="",C275="",D275="",J275=""),"",IF(B275="","⚠ Falta fecha",IF(G275="","⚠ Falta monto",IF(Q275="","⚠ Falta cuenta",IF(ISNA(MATCH(Q275,ctaNombre,0)),"⚠ Cuenta no registrada",IF(AND(OR(P275="Gasto",P275="Reembolso"),D275=""),"⚠ Falta categoría",IF(AND(D275&lt;&gt;"",E275&lt;&gt;"",ISNA(MATCH(D275&amp;"|"&amp;E275,catClave,0))),"⚠ Subcategoría no corresponde",IF(AND(OR(P275="Transferencia",P275="Pago tarjeta"),K275=""),"⚠ Falta cuenta destino",IF(AND(K275&lt;&gt;"",P275&lt;&gt;"Transferencia",P275&lt;&gt;"Pago tarjeta"),"⚠ Destino solo aplica a transferencias",IF(AND(K275&lt;&gt;"",K275=Q275),"⚠ Origen igual a destino",IF(AND(K275&lt;&gt;"",ISNA(MATCH(K275,ctaNombre,0))),"⚠ Destino no registrado",IF(AND(P275="Pago tarjeta",AE275&lt;&gt;"Tarjeta de crédito"),"⚠ El destino debe ser tarjeta de crédito",IF(AND(P275="Gasto",E275="Depósitos y retiros"),"⚠ Usa tipo Transferencia",IF(AND(P275="Resultado trading",AD275&lt;&gt;"Cuenta de trading"),"⚠ Usa una cuenta de trading",IF(AND(G275&lt;=0,P275&lt;&gt;"Ajuste",P275&lt;&gt;"Resultado trading"),"⚠ El monto debe ser positivo","✓")))))))))))))))</f>
        <v/>
      </c>
      <c r="P275" s="52">
        <f>IF(OR(B275="",G275=""),"",IF(C275="","Gasto",C275))</f>
        <v/>
      </c>
      <c r="Q275" s="52">
        <f>IF(P275="","",IF(J275&lt;&gt;"",J275,CuentaPred&amp;""))</f>
        <v/>
      </c>
      <c r="R275" s="52">
        <f>IF(P275="","",IF(ISNUMBER(I275),I275,TasaUSD))</f>
        <v/>
      </c>
      <c r="S275" s="53">
        <f>IF(P275="","",IF(H275="USD",G275*R275,G275))</f>
        <v/>
      </c>
      <c r="T275" s="53">
        <f>IF(P275="","",IF(H275="USD",G275,IF(R275&gt;0,G275/R275,0)))</f>
        <v/>
      </c>
      <c r="U275" s="53">
        <f>IF(P275="","",IF(P275="Gasto",S275,IF(P275="Reembolso",-S275,0)))</f>
        <v/>
      </c>
      <c r="V275" s="53">
        <f>IF(P275="","",IF(P275="Ingreso",S275,0))</f>
        <v/>
      </c>
      <c r="W275" s="53">
        <f>IF(P275="","",IF(P275="Resultado trading",S275,0))</f>
        <v/>
      </c>
      <c r="X275" s="52">
        <f>IF(OR(P275="Gasto",P275="Reembolso"),IF(M275&lt;&gt;"",M275,IFERROR(INDEX(catClasif,MATCH(D275&amp;"|"&amp;E275,catClave,0))&amp;"","Variable")),"")</f>
        <v/>
      </c>
      <c r="Y275" s="52">
        <f>IF(P275="","",IFERROR(INDEX(catGrupo,MATCH(D275&amp;"|"&amp;E275,catClave,0))&amp;"",""))</f>
        <v/>
      </c>
      <c r="Z275" s="52">
        <f>IF(P275="","",WEEKDAY(B275,2))</f>
        <v/>
      </c>
      <c r="AA275" s="52">
        <f>IF(P275="","",IF(AND(P275="Gasto",X275="Variable",D275&lt;&gt;catTrading,S275&gt;0,S275&lt;=Umbral),1,0))</f>
        <v/>
      </c>
      <c r="AB275" s="52">
        <f>IF(OR(P275="",Q275=""),"",IFERROR(IF(INDEX(ctaVinc,MATCH(Q275,ctaNombre,0))&amp;""&lt;&gt;"",INDEX(ctaVinc,MATCH(Q275,ctaNombre,0))&amp;"",Q275),Q275))</f>
        <v/>
      </c>
      <c r="AC275" s="52">
        <f>IF(OR(K275="",AND(P275&lt;&gt;"Transferencia",P275&lt;&gt;"Pago tarjeta")),"",IFERROR(IF(INDEX(ctaVinc,MATCH(K275,ctaNombre,0))&amp;""&lt;&gt;"",INDEX(ctaVinc,MATCH(K275,ctaNombre,0))&amp;"",K275),K275))</f>
        <v/>
      </c>
      <c r="AD275" s="52">
        <f>IF(AB275="","",IFERROR(INDEX(ctaTipo,MATCH(AB275,ctaNombre,0))&amp;"",""))</f>
        <v/>
      </c>
      <c r="AE275" s="52">
        <f>IF(AC275="","",IFERROR(INDEX(ctaTipo,MATCH(AC275,ctaNombre,0))&amp;"",""))</f>
        <v/>
      </c>
      <c r="AF275" s="53">
        <f>IF(OR(P275="",AB275=""),"",IF(OR(P275="Gasto",P275="Transferencia",P275="Pago tarjeta"),-1,1)*IF(IFERROR(INDEX(ctaMoneda,MATCH(AB275,ctaNombre,0))&amp;"","DOP")="USD",T275,S275))</f>
        <v/>
      </c>
      <c r="AG275" s="53">
        <f>IF(AC275="","",IF(IFERROR(INDEX(ctaMoneda,MATCH(AC275,ctaNombre,0))&amp;"","DOP")="USD",T275,S275))</f>
        <v/>
      </c>
      <c r="AH275" s="53">
        <f>IF(P275="","",IF(AND(AD275&lt;&gt;"",COUNTIFS(tcTipo,AD275,tcLiq,"Sí")&gt;0),IF(OR(P275="Gasto",P275="Transferencia",P275="Pago tarjeta"),-1,1)*S275,0)+IF(AND(AE275&lt;&gt;"",COUNTIFS(tcTipo,AE275,tcLiq,"Sí")&gt;0),S275,0))</f>
        <v/>
      </c>
      <c r="AI275" s="52">
        <f>IF(OR(L275="",P275=""),"",IF(COUNTIFS(L$6:L275,L275,P$6:P275,"?*")=1,MAX(AI$5:AI274)+1,""))</f>
        <v/>
      </c>
    </row>
    <row r="276">
      <c r="B276" s="47" t="n"/>
      <c r="C276" s="48" t="n"/>
      <c r="D276" s="48" t="n"/>
      <c r="E276" s="48" t="n"/>
      <c r="F276" s="48" t="n"/>
      <c r="G276" s="49" t="n"/>
      <c r="H276" s="48" t="n"/>
      <c r="I276" s="50" t="n"/>
      <c r="J276" s="48" t="n"/>
      <c r="K276" s="48" t="n"/>
      <c r="L276" s="48" t="n"/>
      <c r="M276" s="48" t="n"/>
      <c r="N276" s="48" t="n"/>
      <c r="O276" s="51">
        <f>IF(AND(B276="",G276="",C276="",D276="",J276=""),"",IF(B276="","⚠ Falta fecha",IF(G276="","⚠ Falta monto",IF(Q276="","⚠ Falta cuenta",IF(ISNA(MATCH(Q276,ctaNombre,0)),"⚠ Cuenta no registrada",IF(AND(OR(P276="Gasto",P276="Reembolso"),D276=""),"⚠ Falta categoría",IF(AND(D276&lt;&gt;"",E276&lt;&gt;"",ISNA(MATCH(D276&amp;"|"&amp;E276,catClave,0))),"⚠ Subcategoría no corresponde",IF(AND(OR(P276="Transferencia",P276="Pago tarjeta"),K276=""),"⚠ Falta cuenta destino",IF(AND(K276&lt;&gt;"",P276&lt;&gt;"Transferencia",P276&lt;&gt;"Pago tarjeta"),"⚠ Destino solo aplica a transferencias",IF(AND(K276&lt;&gt;"",K276=Q276),"⚠ Origen igual a destino",IF(AND(K276&lt;&gt;"",ISNA(MATCH(K276,ctaNombre,0))),"⚠ Destino no registrado",IF(AND(P276="Pago tarjeta",AE276&lt;&gt;"Tarjeta de crédito"),"⚠ El destino debe ser tarjeta de crédito",IF(AND(P276="Gasto",E276="Depósitos y retiros"),"⚠ Usa tipo Transferencia",IF(AND(P276="Resultado trading",AD276&lt;&gt;"Cuenta de trading"),"⚠ Usa una cuenta de trading",IF(AND(G276&lt;=0,P276&lt;&gt;"Ajuste",P276&lt;&gt;"Resultado trading"),"⚠ El monto debe ser positivo","✓")))))))))))))))</f>
        <v/>
      </c>
      <c r="P276" s="52">
        <f>IF(OR(B276="",G276=""),"",IF(C276="","Gasto",C276))</f>
        <v/>
      </c>
      <c r="Q276" s="52">
        <f>IF(P276="","",IF(J276&lt;&gt;"",J276,CuentaPred&amp;""))</f>
        <v/>
      </c>
      <c r="R276" s="52">
        <f>IF(P276="","",IF(ISNUMBER(I276),I276,TasaUSD))</f>
        <v/>
      </c>
      <c r="S276" s="53">
        <f>IF(P276="","",IF(H276="USD",G276*R276,G276))</f>
        <v/>
      </c>
      <c r="T276" s="53">
        <f>IF(P276="","",IF(H276="USD",G276,IF(R276&gt;0,G276/R276,0)))</f>
        <v/>
      </c>
      <c r="U276" s="53">
        <f>IF(P276="","",IF(P276="Gasto",S276,IF(P276="Reembolso",-S276,0)))</f>
        <v/>
      </c>
      <c r="V276" s="53">
        <f>IF(P276="","",IF(P276="Ingreso",S276,0))</f>
        <v/>
      </c>
      <c r="W276" s="53">
        <f>IF(P276="","",IF(P276="Resultado trading",S276,0))</f>
        <v/>
      </c>
      <c r="X276" s="52">
        <f>IF(OR(P276="Gasto",P276="Reembolso"),IF(M276&lt;&gt;"",M276,IFERROR(INDEX(catClasif,MATCH(D276&amp;"|"&amp;E276,catClave,0))&amp;"","Variable")),"")</f>
        <v/>
      </c>
      <c r="Y276" s="52">
        <f>IF(P276="","",IFERROR(INDEX(catGrupo,MATCH(D276&amp;"|"&amp;E276,catClave,0))&amp;"",""))</f>
        <v/>
      </c>
      <c r="Z276" s="52">
        <f>IF(P276="","",WEEKDAY(B276,2))</f>
        <v/>
      </c>
      <c r="AA276" s="52">
        <f>IF(P276="","",IF(AND(P276="Gasto",X276="Variable",D276&lt;&gt;catTrading,S276&gt;0,S276&lt;=Umbral),1,0))</f>
        <v/>
      </c>
      <c r="AB276" s="52">
        <f>IF(OR(P276="",Q276=""),"",IFERROR(IF(INDEX(ctaVinc,MATCH(Q276,ctaNombre,0))&amp;""&lt;&gt;"",INDEX(ctaVinc,MATCH(Q276,ctaNombre,0))&amp;"",Q276),Q276))</f>
        <v/>
      </c>
      <c r="AC276" s="52">
        <f>IF(OR(K276="",AND(P276&lt;&gt;"Transferencia",P276&lt;&gt;"Pago tarjeta")),"",IFERROR(IF(INDEX(ctaVinc,MATCH(K276,ctaNombre,0))&amp;""&lt;&gt;"",INDEX(ctaVinc,MATCH(K276,ctaNombre,0))&amp;"",K276),K276))</f>
        <v/>
      </c>
      <c r="AD276" s="52">
        <f>IF(AB276="","",IFERROR(INDEX(ctaTipo,MATCH(AB276,ctaNombre,0))&amp;"",""))</f>
        <v/>
      </c>
      <c r="AE276" s="52">
        <f>IF(AC276="","",IFERROR(INDEX(ctaTipo,MATCH(AC276,ctaNombre,0))&amp;"",""))</f>
        <v/>
      </c>
      <c r="AF276" s="53">
        <f>IF(OR(P276="",AB276=""),"",IF(OR(P276="Gasto",P276="Transferencia",P276="Pago tarjeta"),-1,1)*IF(IFERROR(INDEX(ctaMoneda,MATCH(AB276,ctaNombre,0))&amp;"","DOP")="USD",T276,S276))</f>
        <v/>
      </c>
      <c r="AG276" s="53">
        <f>IF(AC276="","",IF(IFERROR(INDEX(ctaMoneda,MATCH(AC276,ctaNombre,0))&amp;"","DOP")="USD",T276,S276))</f>
        <v/>
      </c>
      <c r="AH276" s="53">
        <f>IF(P276="","",IF(AND(AD276&lt;&gt;"",COUNTIFS(tcTipo,AD276,tcLiq,"Sí")&gt;0),IF(OR(P276="Gasto",P276="Transferencia",P276="Pago tarjeta"),-1,1)*S276,0)+IF(AND(AE276&lt;&gt;"",COUNTIFS(tcTipo,AE276,tcLiq,"Sí")&gt;0),S276,0))</f>
        <v/>
      </c>
      <c r="AI276" s="52">
        <f>IF(OR(L276="",P276=""),"",IF(COUNTIFS(L$6:L276,L276,P$6:P276,"?*")=1,MAX(AI$5:AI275)+1,""))</f>
        <v/>
      </c>
    </row>
    <row r="277">
      <c r="B277" s="47" t="n"/>
      <c r="C277" s="48" t="n"/>
      <c r="D277" s="48" t="n"/>
      <c r="E277" s="48" t="n"/>
      <c r="F277" s="48" t="n"/>
      <c r="G277" s="49" t="n"/>
      <c r="H277" s="48" t="n"/>
      <c r="I277" s="50" t="n"/>
      <c r="J277" s="48" t="n"/>
      <c r="K277" s="48" t="n"/>
      <c r="L277" s="48" t="n"/>
      <c r="M277" s="48" t="n"/>
      <c r="N277" s="48" t="n"/>
      <c r="O277" s="51">
        <f>IF(AND(B277="",G277="",C277="",D277="",J277=""),"",IF(B277="","⚠ Falta fecha",IF(G277="","⚠ Falta monto",IF(Q277="","⚠ Falta cuenta",IF(ISNA(MATCH(Q277,ctaNombre,0)),"⚠ Cuenta no registrada",IF(AND(OR(P277="Gasto",P277="Reembolso"),D277=""),"⚠ Falta categoría",IF(AND(D277&lt;&gt;"",E277&lt;&gt;"",ISNA(MATCH(D277&amp;"|"&amp;E277,catClave,0))),"⚠ Subcategoría no corresponde",IF(AND(OR(P277="Transferencia",P277="Pago tarjeta"),K277=""),"⚠ Falta cuenta destino",IF(AND(K277&lt;&gt;"",P277&lt;&gt;"Transferencia",P277&lt;&gt;"Pago tarjeta"),"⚠ Destino solo aplica a transferencias",IF(AND(K277&lt;&gt;"",K277=Q277),"⚠ Origen igual a destino",IF(AND(K277&lt;&gt;"",ISNA(MATCH(K277,ctaNombre,0))),"⚠ Destino no registrado",IF(AND(P277="Pago tarjeta",AE277&lt;&gt;"Tarjeta de crédito"),"⚠ El destino debe ser tarjeta de crédito",IF(AND(P277="Gasto",E277="Depósitos y retiros"),"⚠ Usa tipo Transferencia",IF(AND(P277="Resultado trading",AD277&lt;&gt;"Cuenta de trading"),"⚠ Usa una cuenta de trading",IF(AND(G277&lt;=0,P277&lt;&gt;"Ajuste",P277&lt;&gt;"Resultado trading"),"⚠ El monto debe ser positivo","✓")))))))))))))))</f>
        <v/>
      </c>
      <c r="P277" s="52">
        <f>IF(OR(B277="",G277=""),"",IF(C277="","Gasto",C277))</f>
        <v/>
      </c>
      <c r="Q277" s="52">
        <f>IF(P277="","",IF(J277&lt;&gt;"",J277,CuentaPred&amp;""))</f>
        <v/>
      </c>
      <c r="R277" s="52">
        <f>IF(P277="","",IF(ISNUMBER(I277),I277,TasaUSD))</f>
        <v/>
      </c>
      <c r="S277" s="53">
        <f>IF(P277="","",IF(H277="USD",G277*R277,G277))</f>
        <v/>
      </c>
      <c r="T277" s="53">
        <f>IF(P277="","",IF(H277="USD",G277,IF(R277&gt;0,G277/R277,0)))</f>
        <v/>
      </c>
      <c r="U277" s="53">
        <f>IF(P277="","",IF(P277="Gasto",S277,IF(P277="Reembolso",-S277,0)))</f>
        <v/>
      </c>
      <c r="V277" s="53">
        <f>IF(P277="","",IF(P277="Ingreso",S277,0))</f>
        <v/>
      </c>
      <c r="W277" s="53">
        <f>IF(P277="","",IF(P277="Resultado trading",S277,0))</f>
        <v/>
      </c>
      <c r="X277" s="52">
        <f>IF(OR(P277="Gasto",P277="Reembolso"),IF(M277&lt;&gt;"",M277,IFERROR(INDEX(catClasif,MATCH(D277&amp;"|"&amp;E277,catClave,0))&amp;"","Variable")),"")</f>
        <v/>
      </c>
      <c r="Y277" s="52">
        <f>IF(P277="","",IFERROR(INDEX(catGrupo,MATCH(D277&amp;"|"&amp;E277,catClave,0))&amp;"",""))</f>
        <v/>
      </c>
      <c r="Z277" s="52">
        <f>IF(P277="","",WEEKDAY(B277,2))</f>
        <v/>
      </c>
      <c r="AA277" s="52">
        <f>IF(P277="","",IF(AND(P277="Gasto",X277="Variable",D277&lt;&gt;catTrading,S277&gt;0,S277&lt;=Umbral),1,0))</f>
        <v/>
      </c>
      <c r="AB277" s="52">
        <f>IF(OR(P277="",Q277=""),"",IFERROR(IF(INDEX(ctaVinc,MATCH(Q277,ctaNombre,0))&amp;""&lt;&gt;"",INDEX(ctaVinc,MATCH(Q277,ctaNombre,0))&amp;"",Q277),Q277))</f>
        <v/>
      </c>
      <c r="AC277" s="52">
        <f>IF(OR(K277="",AND(P277&lt;&gt;"Transferencia",P277&lt;&gt;"Pago tarjeta")),"",IFERROR(IF(INDEX(ctaVinc,MATCH(K277,ctaNombre,0))&amp;""&lt;&gt;"",INDEX(ctaVinc,MATCH(K277,ctaNombre,0))&amp;"",K277),K277))</f>
        <v/>
      </c>
      <c r="AD277" s="52">
        <f>IF(AB277="","",IFERROR(INDEX(ctaTipo,MATCH(AB277,ctaNombre,0))&amp;"",""))</f>
        <v/>
      </c>
      <c r="AE277" s="52">
        <f>IF(AC277="","",IFERROR(INDEX(ctaTipo,MATCH(AC277,ctaNombre,0))&amp;"",""))</f>
        <v/>
      </c>
      <c r="AF277" s="53">
        <f>IF(OR(P277="",AB277=""),"",IF(OR(P277="Gasto",P277="Transferencia",P277="Pago tarjeta"),-1,1)*IF(IFERROR(INDEX(ctaMoneda,MATCH(AB277,ctaNombre,0))&amp;"","DOP")="USD",T277,S277))</f>
        <v/>
      </c>
      <c r="AG277" s="53">
        <f>IF(AC277="","",IF(IFERROR(INDEX(ctaMoneda,MATCH(AC277,ctaNombre,0))&amp;"","DOP")="USD",T277,S277))</f>
        <v/>
      </c>
      <c r="AH277" s="53">
        <f>IF(P277="","",IF(AND(AD277&lt;&gt;"",COUNTIFS(tcTipo,AD277,tcLiq,"Sí")&gt;0),IF(OR(P277="Gasto",P277="Transferencia",P277="Pago tarjeta"),-1,1)*S277,0)+IF(AND(AE277&lt;&gt;"",COUNTIFS(tcTipo,AE277,tcLiq,"Sí")&gt;0),S277,0))</f>
        <v/>
      </c>
      <c r="AI277" s="52">
        <f>IF(OR(L277="",P277=""),"",IF(COUNTIFS(L$6:L277,L277,P$6:P277,"?*")=1,MAX(AI$5:AI276)+1,""))</f>
        <v/>
      </c>
    </row>
    <row r="278">
      <c r="B278" s="47" t="n"/>
      <c r="C278" s="48" t="n"/>
      <c r="D278" s="48" t="n"/>
      <c r="E278" s="48" t="n"/>
      <c r="F278" s="48" t="n"/>
      <c r="G278" s="49" t="n"/>
      <c r="H278" s="48" t="n"/>
      <c r="I278" s="50" t="n"/>
      <c r="J278" s="48" t="n"/>
      <c r="K278" s="48" t="n"/>
      <c r="L278" s="48" t="n"/>
      <c r="M278" s="48" t="n"/>
      <c r="N278" s="48" t="n"/>
      <c r="O278" s="51">
        <f>IF(AND(B278="",G278="",C278="",D278="",J278=""),"",IF(B278="","⚠ Falta fecha",IF(G278="","⚠ Falta monto",IF(Q278="","⚠ Falta cuenta",IF(ISNA(MATCH(Q278,ctaNombre,0)),"⚠ Cuenta no registrada",IF(AND(OR(P278="Gasto",P278="Reembolso"),D278=""),"⚠ Falta categoría",IF(AND(D278&lt;&gt;"",E278&lt;&gt;"",ISNA(MATCH(D278&amp;"|"&amp;E278,catClave,0))),"⚠ Subcategoría no corresponde",IF(AND(OR(P278="Transferencia",P278="Pago tarjeta"),K278=""),"⚠ Falta cuenta destino",IF(AND(K278&lt;&gt;"",P278&lt;&gt;"Transferencia",P278&lt;&gt;"Pago tarjeta"),"⚠ Destino solo aplica a transferencias",IF(AND(K278&lt;&gt;"",K278=Q278),"⚠ Origen igual a destino",IF(AND(K278&lt;&gt;"",ISNA(MATCH(K278,ctaNombre,0))),"⚠ Destino no registrado",IF(AND(P278="Pago tarjeta",AE278&lt;&gt;"Tarjeta de crédito"),"⚠ El destino debe ser tarjeta de crédito",IF(AND(P278="Gasto",E278="Depósitos y retiros"),"⚠ Usa tipo Transferencia",IF(AND(P278="Resultado trading",AD278&lt;&gt;"Cuenta de trading"),"⚠ Usa una cuenta de trading",IF(AND(G278&lt;=0,P278&lt;&gt;"Ajuste",P278&lt;&gt;"Resultado trading"),"⚠ El monto debe ser positivo","✓")))))))))))))))</f>
        <v/>
      </c>
      <c r="P278" s="52">
        <f>IF(OR(B278="",G278=""),"",IF(C278="","Gasto",C278))</f>
        <v/>
      </c>
      <c r="Q278" s="52">
        <f>IF(P278="","",IF(J278&lt;&gt;"",J278,CuentaPred&amp;""))</f>
        <v/>
      </c>
      <c r="R278" s="52">
        <f>IF(P278="","",IF(ISNUMBER(I278),I278,TasaUSD))</f>
        <v/>
      </c>
      <c r="S278" s="53">
        <f>IF(P278="","",IF(H278="USD",G278*R278,G278))</f>
        <v/>
      </c>
      <c r="T278" s="53">
        <f>IF(P278="","",IF(H278="USD",G278,IF(R278&gt;0,G278/R278,0)))</f>
        <v/>
      </c>
      <c r="U278" s="53">
        <f>IF(P278="","",IF(P278="Gasto",S278,IF(P278="Reembolso",-S278,0)))</f>
        <v/>
      </c>
      <c r="V278" s="53">
        <f>IF(P278="","",IF(P278="Ingreso",S278,0))</f>
        <v/>
      </c>
      <c r="W278" s="53">
        <f>IF(P278="","",IF(P278="Resultado trading",S278,0))</f>
        <v/>
      </c>
      <c r="X278" s="52">
        <f>IF(OR(P278="Gasto",P278="Reembolso"),IF(M278&lt;&gt;"",M278,IFERROR(INDEX(catClasif,MATCH(D278&amp;"|"&amp;E278,catClave,0))&amp;"","Variable")),"")</f>
        <v/>
      </c>
      <c r="Y278" s="52">
        <f>IF(P278="","",IFERROR(INDEX(catGrupo,MATCH(D278&amp;"|"&amp;E278,catClave,0))&amp;"",""))</f>
        <v/>
      </c>
      <c r="Z278" s="52">
        <f>IF(P278="","",WEEKDAY(B278,2))</f>
        <v/>
      </c>
      <c r="AA278" s="52">
        <f>IF(P278="","",IF(AND(P278="Gasto",X278="Variable",D278&lt;&gt;catTrading,S278&gt;0,S278&lt;=Umbral),1,0))</f>
        <v/>
      </c>
      <c r="AB278" s="52">
        <f>IF(OR(P278="",Q278=""),"",IFERROR(IF(INDEX(ctaVinc,MATCH(Q278,ctaNombre,0))&amp;""&lt;&gt;"",INDEX(ctaVinc,MATCH(Q278,ctaNombre,0))&amp;"",Q278),Q278))</f>
        <v/>
      </c>
      <c r="AC278" s="52">
        <f>IF(OR(K278="",AND(P278&lt;&gt;"Transferencia",P278&lt;&gt;"Pago tarjeta")),"",IFERROR(IF(INDEX(ctaVinc,MATCH(K278,ctaNombre,0))&amp;""&lt;&gt;"",INDEX(ctaVinc,MATCH(K278,ctaNombre,0))&amp;"",K278),K278))</f>
        <v/>
      </c>
      <c r="AD278" s="52">
        <f>IF(AB278="","",IFERROR(INDEX(ctaTipo,MATCH(AB278,ctaNombre,0))&amp;"",""))</f>
        <v/>
      </c>
      <c r="AE278" s="52">
        <f>IF(AC278="","",IFERROR(INDEX(ctaTipo,MATCH(AC278,ctaNombre,0))&amp;"",""))</f>
        <v/>
      </c>
      <c r="AF278" s="53">
        <f>IF(OR(P278="",AB278=""),"",IF(OR(P278="Gasto",P278="Transferencia",P278="Pago tarjeta"),-1,1)*IF(IFERROR(INDEX(ctaMoneda,MATCH(AB278,ctaNombre,0))&amp;"","DOP")="USD",T278,S278))</f>
        <v/>
      </c>
      <c r="AG278" s="53">
        <f>IF(AC278="","",IF(IFERROR(INDEX(ctaMoneda,MATCH(AC278,ctaNombre,0))&amp;"","DOP")="USD",T278,S278))</f>
        <v/>
      </c>
      <c r="AH278" s="53">
        <f>IF(P278="","",IF(AND(AD278&lt;&gt;"",COUNTIFS(tcTipo,AD278,tcLiq,"Sí")&gt;0),IF(OR(P278="Gasto",P278="Transferencia",P278="Pago tarjeta"),-1,1)*S278,0)+IF(AND(AE278&lt;&gt;"",COUNTIFS(tcTipo,AE278,tcLiq,"Sí")&gt;0),S278,0))</f>
        <v/>
      </c>
      <c r="AI278" s="52">
        <f>IF(OR(L278="",P278=""),"",IF(COUNTIFS(L$6:L278,L278,P$6:P278,"?*")=1,MAX(AI$5:AI277)+1,""))</f>
        <v/>
      </c>
    </row>
    <row r="279">
      <c r="B279" s="47" t="n"/>
      <c r="C279" s="48" t="n"/>
      <c r="D279" s="48" t="n"/>
      <c r="E279" s="48" t="n"/>
      <c r="F279" s="48" t="n"/>
      <c r="G279" s="49" t="n"/>
      <c r="H279" s="48" t="n"/>
      <c r="I279" s="50" t="n"/>
      <c r="J279" s="48" t="n"/>
      <c r="K279" s="48" t="n"/>
      <c r="L279" s="48" t="n"/>
      <c r="M279" s="48" t="n"/>
      <c r="N279" s="48" t="n"/>
      <c r="O279" s="51">
        <f>IF(AND(B279="",G279="",C279="",D279="",J279=""),"",IF(B279="","⚠ Falta fecha",IF(G279="","⚠ Falta monto",IF(Q279="","⚠ Falta cuenta",IF(ISNA(MATCH(Q279,ctaNombre,0)),"⚠ Cuenta no registrada",IF(AND(OR(P279="Gasto",P279="Reembolso"),D279=""),"⚠ Falta categoría",IF(AND(D279&lt;&gt;"",E279&lt;&gt;"",ISNA(MATCH(D279&amp;"|"&amp;E279,catClave,0))),"⚠ Subcategoría no corresponde",IF(AND(OR(P279="Transferencia",P279="Pago tarjeta"),K279=""),"⚠ Falta cuenta destino",IF(AND(K279&lt;&gt;"",P279&lt;&gt;"Transferencia",P279&lt;&gt;"Pago tarjeta"),"⚠ Destino solo aplica a transferencias",IF(AND(K279&lt;&gt;"",K279=Q279),"⚠ Origen igual a destino",IF(AND(K279&lt;&gt;"",ISNA(MATCH(K279,ctaNombre,0))),"⚠ Destino no registrado",IF(AND(P279="Pago tarjeta",AE279&lt;&gt;"Tarjeta de crédito"),"⚠ El destino debe ser tarjeta de crédito",IF(AND(P279="Gasto",E279="Depósitos y retiros"),"⚠ Usa tipo Transferencia",IF(AND(P279="Resultado trading",AD279&lt;&gt;"Cuenta de trading"),"⚠ Usa una cuenta de trading",IF(AND(G279&lt;=0,P279&lt;&gt;"Ajuste",P279&lt;&gt;"Resultado trading"),"⚠ El monto debe ser positivo","✓")))))))))))))))</f>
        <v/>
      </c>
      <c r="P279" s="52">
        <f>IF(OR(B279="",G279=""),"",IF(C279="","Gasto",C279))</f>
        <v/>
      </c>
      <c r="Q279" s="52">
        <f>IF(P279="","",IF(J279&lt;&gt;"",J279,CuentaPred&amp;""))</f>
        <v/>
      </c>
      <c r="R279" s="52">
        <f>IF(P279="","",IF(ISNUMBER(I279),I279,TasaUSD))</f>
        <v/>
      </c>
      <c r="S279" s="53">
        <f>IF(P279="","",IF(H279="USD",G279*R279,G279))</f>
        <v/>
      </c>
      <c r="T279" s="53">
        <f>IF(P279="","",IF(H279="USD",G279,IF(R279&gt;0,G279/R279,0)))</f>
        <v/>
      </c>
      <c r="U279" s="53">
        <f>IF(P279="","",IF(P279="Gasto",S279,IF(P279="Reembolso",-S279,0)))</f>
        <v/>
      </c>
      <c r="V279" s="53">
        <f>IF(P279="","",IF(P279="Ingreso",S279,0))</f>
        <v/>
      </c>
      <c r="W279" s="53">
        <f>IF(P279="","",IF(P279="Resultado trading",S279,0))</f>
        <v/>
      </c>
      <c r="X279" s="52">
        <f>IF(OR(P279="Gasto",P279="Reembolso"),IF(M279&lt;&gt;"",M279,IFERROR(INDEX(catClasif,MATCH(D279&amp;"|"&amp;E279,catClave,0))&amp;"","Variable")),"")</f>
        <v/>
      </c>
      <c r="Y279" s="52">
        <f>IF(P279="","",IFERROR(INDEX(catGrupo,MATCH(D279&amp;"|"&amp;E279,catClave,0))&amp;"",""))</f>
        <v/>
      </c>
      <c r="Z279" s="52">
        <f>IF(P279="","",WEEKDAY(B279,2))</f>
        <v/>
      </c>
      <c r="AA279" s="52">
        <f>IF(P279="","",IF(AND(P279="Gasto",X279="Variable",D279&lt;&gt;catTrading,S279&gt;0,S279&lt;=Umbral),1,0))</f>
        <v/>
      </c>
      <c r="AB279" s="52">
        <f>IF(OR(P279="",Q279=""),"",IFERROR(IF(INDEX(ctaVinc,MATCH(Q279,ctaNombre,0))&amp;""&lt;&gt;"",INDEX(ctaVinc,MATCH(Q279,ctaNombre,0))&amp;"",Q279),Q279))</f>
        <v/>
      </c>
      <c r="AC279" s="52">
        <f>IF(OR(K279="",AND(P279&lt;&gt;"Transferencia",P279&lt;&gt;"Pago tarjeta")),"",IFERROR(IF(INDEX(ctaVinc,MATCH(K279,ctaNombre,0))&amp;""&lt;&gt;"",INDEX(ctaVinc,MATCH(K279,ctaNombre,0))&amp;"",K279),K279))</f>
        <v/>
      </c>
      <c r="AD279" s="52">
        <f>IF(AB279="","",IFERROR(INDEX(ctaTipo,MATCH(AB279,ctaNombre,0))&amp;"",""))</f>
        <v/>
      </c>
      <c r="AE279" s="52">
        <f>IF(AC279="","",IFERROR(INDEX(ctaTipo,MATCH(AC279,ctaNombre,0))&amp;"",""))</f>
        <v/>
      </c>
      <c r="AF279" s="53">
        <f>IF(OR(P279="",AB279=""),"",IF(OR(P279="Gasto",P279="Transferencia",P279="Pago tarjeta"),-1,1)*IF(IFERROR(INDEX(ctaMoneda,MATCH(AB279,ctaNombre,0))&amp;"","DOP")="USD",T279,S279))</f>
        <v/>
      </c>
      <c r="AG279" s="53">
        <f>IF(AC279="","",IF(IFERROR(INDEX(ctaMoneda,MATCH(AC279,ctaNombre,0))&amp;"","DOP")="USD",T279,S279))</f>
        <v/>
      </c>
      <c r="AH279" s="53">
        <f>IF(P279="","",IF(AND(AD279&lt;&gt;"",COUNTIFS(tcTipo,AD279,tcLiq,"Sí")&gt;0),IF(OR(P279="Gasto",P279="Transferencia",P279="Pago tarjeta"),-1,1)*S279,0)+IF(AND(AE279&lt;&gt;"",COUNTIFS(tcTipo,AE279,tcLiq,"Sí")&gt;0),S279,0))</f>
        <v/>
      </c>
      <c r="AI279" s="52">
        <f>IF(OR(L279="",P279=""),"",IF(COUNTIFS(L$6:L279,L279,P$6:P279,"?*")=1,MAX(AI$5:AI278)+1,""))</f>
        <v/>
      </c>
    </row>
    <row r="280">
      <c r="B280" s="47" t="n"/>
      <c r="C280" s="48" t="n"/>
      <c r="D280" s="48" t="n"/>
      <c r="E280" s="48" t="n"/>
      <c r="F280" s="48" t="n"/>
      <c r="G280" s="49" t="n"/>
      <c r="H280" s="48" t="n"/>
      <c r="I280" s="50" t="n"/>
      <c r="J280" s="48" t="n"/>
      <c r="K280" s="48" t="n"/>
      <c r="L280" s="48" t="n"/>
      <c r="M280" s="48" t="n"/>
      <c r="N280" s="48" t="n"/>
      <c r="O280" s="51">
        <f>IF(AND(B280="",G280="",C280="",D280="",J280=""),"",IF(B280="","⚠ Falta fecha",IF(G280="","⚠ Falta monto",IF(Q280="","⚠ Falta cuenta",IF(ISNA(MATCH(Q280,ctaNombre,0)),"⚠ Cuenta no registrada",IF(AND(OR(P280="Gasto",P280="Reembolso"),D280=""),"⚠ Falta categoría",IF(AND(D280&lt;&gt;"",E280&lt;&gt;"",ISNA(MATCH(D280&amp;"|"&amp;E280,catClave,0))),"⚠ Subcategoría no corresponde",IF(AND(OR(P280="Transferencia",P280="Pago tarjeta"),K280=""),"⚠ Falta cuenta destino",IF(AND(K280&lt;&gt;"",P280&lt;&gt;"Transferencia",P280&lt;&gt;"Pago tarjeta"),"⚠ Destino solo aplica a transferencias",IF(AND(K280&lt;&gt;"",K280=Q280),"⚠ Origen igual a destino",IF(AND(K280&lt;&gt;"",ISNA(MATCH(K280,ctaNombre,0))),"⚠ Destino no registrado",IF(AND(P280="Pago tarjeta",AE280&lt;&gt;"Tarjeta de crédito"),"⚠ El destino debe ser tarjeta de crédito",IF(AND(P280="Gasto",E280="Depósitos y retiros"),"⚠ Usa tipo Transferencia",IF(AND(P280="Resultado trading",AD280&lt;&gt;"Cuenta de trading"),"⚠ Usa una cuenta de trading",IF(AND(G280&lt;=0,P280&lt;&gt;"Ajuste",P280&lt;&gt;"Resultado trading"),"⚠ El monto debe ser positivo","✓")))))))))))))))</f>
        <v/>
      </c>
      <c r="P280" s="52">
        <f>IF(OR(B280="",G280=""),"",IF(C280="","Gasto",C280))</f>
        <v/>
      </c>
      <c r="Q280" s="52">
        <f>IF(P280="","",IF(J280&lt;&gt;"",J280,CuentaPred&amp;""))</f>
        <v/>
      </c>
      <c r="R280" s="52">
        <f>IF(P280="","",IF(ISNUMBER(I280),I280,TasaUSD))</f>
        <v/>
      </c>
      <c r="S280" s="53">
        <f>IF(P280="","",IF(H280="USD",G280*R280,G280))</f>
        <v/>
      </c>
      <c r="T280" s="53">
        <f>IF(P280="","",IF(H280="USD",G280,IF(R280&gt;0,G280/R280,0)))</f>
        <v/>
      </c>
      <c r="U280" s="53">
        <f>IF(P280="","",IF(P280="Gasto",S280,IF(P280="Reembolso",-S280,0)))</f>
        <v/>
      </c>
      <c r="V280" s="53">
        <f>IF(P280="","",IF(P280="Ingreso",S280,0))</f>
        <v/>
      </c>
      <c r="W280" s="53">
        <f>IF(P280="","",IF(P280="Resultado trading",S280,0))</f>
        <v/>
      </c>
      <c r="X280" s="52">
        <f>IF(OR(P280="Gasto",P280="Reembolso"),IF(M280&lt;&gt;"",M280,IFERROR(INDEX(catClasif,MATCH(D280&amp;"|"&amp;E280,catClave,0))&amp;"","Variable")),"")</f>
        <v/>
      </c>
      <c r="Y280" s="52">
        <f>IF(P280="","",IFERROR(INDEX(catGrupo,MATCH(D280&amp;"|"&amp;E280,catClave,0))&amp;"",""))</f>
        <v/>
      </c>
      <c r="Z280" s="52">
        <f>IF(P280="","",WEEKDAY(B280,2))</f>
        <v/>
      </c>
      <c r="AA280" s="52">
        <f>IF(P280="","",IF(AND(P280="Gasto",X280="Variable",D280&lt;&gt;catTrading,S280&gt;0,S280&lt;=Umbral),1,0))</f>
        <v/>
      </c>
      <c r="AB280" s="52">
        <f>IF(OR(P280="",Q280=""),"",IFERROR(IF(INDEX(ctaVinc,MATCH(Q280,ctaNombre,0))&amp;""&lt;&gt;"",INDEX(ctaVinc,MATCH(Q280,ctaNombre,0))&amp;"",Q280),Q280))</f>
        <v/>
      </c>
      <c r="AC280" s="52">
        <f>IF(OR(K280="",AND(P280&lt;&gt;"Transferencia",P280&lt;&gt;"Pago tarjeta")),"",IFERROR(IF(INDEX(ctaVinc,MATCH(K280,ctaNombre,0))&amp;""&lt;&gt;"",INDEX(ctaVinc,MATCH(K280,ctaNombre,0))&amp;"",K280),K280))</f>
        <v/>
      </c>
      <c r="AD280" s="52">
        <f>IF(AB280="","",IFERROR(INDEX(ctaTipo,MATCH(AB280,ctaNombre,0))&amp;"",""))</f>
        <v/>
      </c>
      <c r="AE280" s="52">
        <f>IF(AC280="","",IFERROR(INDEX(ctaTipo,MATCH(AC280,ctaNombre,0))&amp;"",""))</f>
        <v/>
      </c>
      <c r="AF280" s="53">
        <f>IF(OR(P280="",AB280=""),"",IF(OR(P280="Gasto",P280="Transferencia",P280="Pago tarjeta"),-1,1)*IF(IFERROR(INDEX(ctaMoneda,MATCH(AB280,ctaNombre,0))&amp;"","DOP")="USD",T280,S280))</f>
        <v/>
      </c>
      <c r="AG280" s="53">
        <f>IF(AC280="","",IF(IFERROR(INDEX(ctaMoneda,MATCH(AC280,ctaNombre,0))&amp;"","DOP")="USD",T280,S280))</f>
        <v/>
      </c>
      <c r="AH280" s="53">
        <f>IF(P280="","",IF(AND(AD280&lt;&gt;"",COUNTIFS(tcTipo,AD280,tcLiq,"Sí")&gt;0),IF(OR(P280="Gasto",P280="Transferencia",P280="Pago tarjeta"),-1,1)*S280,0)+IF(AND(AE280&lt;&gt;"",COUNTIFS(tcTipo,AE280,tcLiq,"Sí")&gt;0),S280,0))</f>
        <v/>
      </c>
      <c r="AI280" s="52">
        <f>IF(OR(L280="",P280=""),"",IF(COUNTIFS(L$6:L280,L280,P$6:P280,"?*")=1,MAX(AI$5:AI279)+1,""))</f>
        <v/>
      </c>
    </row>
    <row r="281">
      <c r="B281" s="47" t="n"/>
      <c r="C281" s="48" t="n"/>
      <c r="D281" s="48" t="n"/>
      <c r="E281" s="48" t="n"/>
      <c r="F281" s="48" t="n"/>
      <c r="G281" s="49" t="n"/>
      <c r="H281" s="48" t="n"/>
      <c r="I281" s="50" t="n"/>
      <c r="J281" s="48" t="n"/>
      <c r="K281" s="48" t="n"/>
      <c r="L281" s="48" t="n"/>
      <c r="M281" s="48" t="n"/>
      <c r="N281" s="48" t="n"/>
      <c r="O281" s="51">
        <f>IF(AND(B281="",G281="",C281="",D281="",J281=""),"",IF(B281="","⚠ Falta fecha",IF(G281="","⚠ Falta monto",IF(Q281="","⚠ Falta cuenta",IF(ISNA(MATCH(Q281,ctaNombre,0)),"⚠ Cuenta no registrada",IF(AND(OR(P281="Gasto",P281="Reembolso"),D281=""),"⚠ Falta categoría",IF(AND(D281&lt;&gt;"",E281&lt;&gt;"",ISNA(MATCH(D281&amp;"|"&amp;E281,catClave,0))),"⚠ Subcategoría no corresponde",IF(AND(OR(P281="Transferencia",P281="Pago tarjeta"),K281=""),"⚠ Falta cuenta destino",IF(AND(K281&lt;&gt;"",P281&lt;&gt;"Transferencia",P281&lt;&gt;"Pago tarjeta"),"⚠ Destino solo aplica a transferencias",IF(AND(K281&lt;&gt;"",K281=Q281),"⚠ Origen igual a destino",IF(AND(K281&lt;&gt;"",ISNA(MATCH(K281,ctaNombre,0))),"⚠ Destino no registrado",IF(AND(P281="Pago tarjeta",AE281&lt;&gt;"Tarjeta de crédito"),"⚠ El destino debe ser tarjeta de crédito",IF(AND(P281="Gasto",E281="Depósitos y retiros"),"⚠ Usa tipo Transferencia",IF(AND(P281="Resultado trading",AD281&lt;&gt;"Cuenta de trading"),"⚠ Usa una cuenta de trading",IF(AND(G281&lt;=0,P281&lt;&gt;"Ajuste",P281&lt;&gt;"Resultado trading"),"⚠ El monto debe ser positivo","✓")))))))))))))))</f>
        <v/>
      </c>
      <c r="P281" s="52">
        <f>IF(OR(B281="",G281=""),"",IF(C281="","Gasto",C281))</f>
        <v/>
      </c>
      <c r="Q281" s="52">
        <f>IF(P281="","",IF(J281&lt;&gt;"",J281,CuentaPred&amp;""))</f>
        <v/>
      </c>
      <c r="R281" s="52">
        <f>IF(P281="","",IF(ISNUMBER(I281),I281,TasaUSD))</f>
        <v/>
      </c>
      <c r="S281" s="53">
        <f>IF(P281="","",IF(H281="USD",G281*R281,G281))</f>
        <v/>
      </c>
      <c r="T281" s="53">
        <f>IF(P281="","",IF(H281="USD",G281,IF(R281&gt;0,G281/R281,0)))</f>
        <v/>
      </c>
      <c r="U281" s="53">
        <f>IF(P281="","",IF(P281="Gasto",S281,IF(P281="Reembolso",-S281,0)))</f>
        <v/>
      </c>
      <c r="V281" s="53">
        <f>IF(P281="","",IF(P281="Ingreso",S281,0))</f>
        <v/>
      </c>
      <c r="W281" s="53">
        <f>IF(P281="","",IF(P281="Resultado trading",S281,0))</f>
        <v/>
      </c>
      <c r="X281" s="52">
        <f>IF(OR(P281="Gasto",P281="Reembolso"),IF(M281&lt;&gt;"",M281,IFERROR(INDEX(catClasif,MATCH(D281&amp;"|"&amp;E281,catClave,0))&amp;"","Variable")),"")</f>
        <v/>
      </c>
      <c r="Y281" s="52">
        <f>IF(P281="","",IFERROR(INDEX(catGrupo,MATCH(D281&amp;"|"&amp;E281,catClave,0))&amp;"",""))</f>
        <v/>
      </c>
      <c r="Z281" s="52">
        <f>IF(P281="","",WEEKDAY(B281,2))</f>
        <v/>
      </c>
      <c r="AA281" s="52">
        <f>IF(P281="","",IF(AND(P281="Gasto",X281="Variable",D281&lt;&gt;catTrading,S281&gt;0,S281&lt;=Umbral),1,0))</f>
        <v/>
      </c>
      <c r="AB281" s="52">
        <f>IF(OR(P281="",Q281=""),"",IFERROR(IF(INDEX(ctaVinc,MATCH(Q281,ctaNombre,0))&amp;""&lt;&gt;"",INDEX(ctaVinc,MATCH(Q281,ctaNombre,0))&amp;"",Q281),Q281))</f>
        <v/>
      </c>
      <c r="AC281" s="52">
        <f>IF(OR(K281="",AND(P281&lt;&gt;"Transferencia",P281&lt;&gt;"Pago tarjeta")),"",IFERROR(IF(INDEX(ctaVinc,MATCH(K281,ctaNombre,0))&amp;""&lt;&gt;"",INDEX(ctaVinc,MATCH(K281,ctaNombre,0))&amp;"",K281),K281))</f>
        <v/>
      </c>
      <c r="AD281" s="52">
        <f>IF(AB281="","",IFERROR(INDEX(ctaTipo,MATCH(AB281,ctaNombre,0))&amp;"",""))</f>
        <v/>
      </c>
      <c r="AE281" s="52">
        <f>IF(AC281="","",IFERROR(INDEX(ctaTipo,MATCH(AC281,ctaNombre,0))&amp;"",""))</f>
        <v/>
      </c>
      <c r="AF281" s="53">
        <f>IF(OR(P281="",AB281=""),"",IF(OR(P281="Gasto",P281="Transferencia",P281="Pago tarjeta"),-1,1)*IF(IFERROR(INDEX(ctaMoneda,MATCH(AB281,ctaNombre,0))&amp;"","DOP")="USD",T281,S281))</f>
        <v/>
      </c>
      <c r="AG281" s="53">
        <f>IF(AC281="","",IF(IFERROR(INDEX(ctaMoneda,MATCH(AC281,ctaNombre,0))&amp;"","DOP")="USD",T281,S281))</f>
        <v/>
      </c>
      <c r="AH281" s="53">
        <f>IF(P281="","",IF(AND(AD281&lt;&gt;"",COUNTIFS(tcTipo,AD281,tcLiq,"Sí")&gt;0),IF(OR(P281="Gasto",P281="Transferencia",P281="Pago tarjeta"),-1,1)*S281,0)+IF(AND(AE281&lt;&gt;"",COUNTIFS(tcTipo,AE281,tcLiq,"Sí")&gt;0),S281,0))</f>
        <v/>
      </c>
      <c r="AI281" s="52">
        <f>IF(OR(L281="",P281=""),"",IF(COUNTIFS(L$6:L281,L281,P$6:P281,"?*")=1,MAX(AI$5:AI280)+1,""))</f>
        <v/>
      </c>
    </row>
    <row r="282">
      <c r="B282" s="47" t="n"/>
      <c r="C282" s="48" t="n"/>
      <c r="D282" s="48" t="n"/>
      <c r="E282" s="48" t="n"/>
      <c r="F282" s="48" t="n"/>
      <c r="G282" s="49" t="n"/>
      <c r="H282" s="48" t="n"/>
      <c r="I282" s="50" t="n"/>
      <c r="J282" s="48" t="n"/>
      <c r="K282" s="48" t="n"/>
      <c r="L282" s="48" t="n"/>
      <c r="M282" s="48" t="n"/>
      <c r="N282" s="48" t="n"/>
      <c r="O282" s="51">
        <f>IF(AND(B282="",G282="",C282="",D282="",J282=""),"",IF(B282="","⚠ Falta fecha",IF(G282="","⚠ Falta monto",IF(Q282="","⚠ Falta cuenta",IF(ISNA(MATCH(Q282,ctaNombre,0)),"⚠ Cuenta no registrada",IF(AND(OR(P282="Gasto",P282="Reembolso"),D282=""),"⚠ Falta categoría",IF(AND(D282&lt;&gt;"",E282&lt;&gt;"",ISNA(MATCH(D282&amp;"|"&amp;E282,catClave,0))),"⚠ Subcategoría no corresponde",IF(AND(OR(P282="Transferencia",P282="Pago tarjeta"),K282=""),"⚠ Falta cuenta destino",IF(AND(K282&lt;&gt;"",P282&lt;&gt;"Transferencia",P282&lt;&gt;"Pago tarjeta"),"⚠ Destino solo aplica a transferencias",IF(AND(K282&lt;&gt;"",K282=Q282),"⚠ Origen igual a destino",IF(AND(K282&lt;&gt;"",ISNA(MATCH(K282,ctaNombre,0))),"⚠ Destino no registrado",IF(AND(P282="Pago tarjeta",AE282&lt;&gt;"Tarjeta de crédito"),"⚠ El destino debe ser tarjeta de crédito",IF(AND(P282="Gasto",E282="Depósitos y retiros"),"⚠ Usa tipo Transferencia",IF(AND(P282="Resultado trading",AD282&lt;&gt;"Cuenta de trading"),"⚠ Usa una cuenta de trading",IF(AND(G282&lt;=0,P282&lt;&gt;"Ajuste",P282&lt;&gt;"Resultado trading"),"⚠ El monto debe ser positivo","✓")))))))))))))))</f>
        <v/>
      </c>
      <c r="P282" s="52">
        <f>IF(OR(B282="",G282=""),"",IF(C282="","Gasto",C282))</f>
        <v/>
      </c>
      <c r="Q282" s="52">
        <f>IF(P282="","",IF(J282&lt;&gt;"",J282,CuentaPred&amp;""))</f>
        <v/>
      </c>
      <c r="R282" s="52">
        <f>IF(P282="","",IF(ISNUMBER(I282),I282,TasaUSD))</f>
        <v/>
      </c>
      <c r="S282" s="53">
        <f>IF(P282="","",IF(H282="USD",G282*R282,G282))</f>
        <v/>
      </c>
      <c r="T282" s="53">
        <f>IF(P282="","",IF(H282="USD",G282,IF(R282&gt;0,G282/R282,0)))</f>
        <v/>
      </c>
      <c r="U282" s="53">
        <f>IF(P282="","",IF(P282="Gasto",S282,IF(P282="Reembolso",-S282,0)))</f>
        <v/>
      </c>
      <c r="V282" s="53">
        <f>IF(P282="","",IF(P282="Ingreso",S282,0))</f>
        <v/>
      </c>
      <c r="W282" s="53">
        <f>IF(P282="","",IF(P282="Resultado trading",S282,0))</f>
        <v/>
      </c>
      <c r="X282" s="52">
        <f>IF(OR(P282="Gasto",P282="Reembolso"),IF(M282&lt;&gt;"",M282,IFERROR(INDEX(catClasif,MATCH(D282&amp;"|"&amp;E282,catClave,0))&amp;"","Variable")),"")</f>
        <v/>
      </c>
      <c r="Y282" s="52">
        <f>IF(P282="","",IFERROR(INDEX(catGrupo,MATCH(D282&amp;"|"&amp;E282,catClave,0))&amp;"",""))</f>
        <v/>
      </c>
      <c r="Z282" s="52">
        <f>IF(P282="","",WEEKDAY(B282,2))</f>
        <v/>
      </c>
      <c r="AA282" s="52">
        <f>IF(P282="","",IF(AND(P282="Gasto",X282="Variable",D282&lt;&gt;catTrading,S282&gt;0,S282&lt;=Umbral),1,0))</f>
        <v/>
      </c>
      <c r="AB282" s="52">
        <f>IF(OR(P282="",Q282=""),"",IFERROR(IF(INDEX(ctaVinc,MATCH(Q282,ctaNombre,0))&amp;""&lt;&gt;"",INDEX(ctaVinc,MATCH(Q282,ctaNombre,0))&amp;"",Q282),Q282))</f>
        <v/>
      </c>
      <c r="AC282" s="52">
        <f>IF(OR(K282="",AND(P282&lt;&gt;"Transferencia",P282&lt;&gt;"Pago tarjeta")),"",IFERROR(IF(INDEX(ctaVinc,MATCH(K282,ctaNombre,0))&amp;""&lt;&gt;"",INDEX(ctaVinc,MATCH(K282,ctaNombre,0))&amp;"",K282),K282))</f>
        <v/>
      </c>
      <c r="AD282" s="52">
        <f>IF(AB282="","",IFERROR(INDEX(ctaTipo,MATCH(AB282,ctaNombre,0))&amp;"",""))</f>
        <v/>
      </c>
      <c r="AE282" s="52">
        <f>IF(AC282="","",IFERROR(INDEX(ctaTipo,MATCH(AC282,ctaNombre,0))&amp;"",""))</f>
        <v/>
      </c>
      <c r="AF282" s="53">
        <f>IF(OR(P282="",AB282=""),"",IF(OR(P282="Gasto",P282="Transferencia",P282="Pago tarjeta"),-1,1)*IF(IFERROR(INDEX(ctaMoneda,MATCH(AB282,ctaNombre,0))&amp;"","DOP")="USD",T282,S282))</f>
        <v/>
      </c>
      <c r="AG282" s="53">
        <f>IF(AC282="","",IF(IFERROR(INDEX(ctaMoneda,MATCH(AC282,ctaNombre,0))&amp;"","DOP")="USD",T282,S282))</f>
        <v/>
      </c>
      <c r="AH282" s="53">
        <f>IF(P282="","",IF(AND(AD282&lt;&gt;"",COUNTIFS(tcTipo,AD282,tcLiq,"Sí")&gt;0),IF(OR(P282="Gasto",P282="Transferencia",P282="Pago tarjeta"),-1,1)*S282,0)+IF(AND(AE282&lt;&gt;"",COUNTIFS(tcTipo,AE282,tcLiq,"Sí")&gt;0),S282,0))</f>
        <v/>
      </c>
      <c r="AI282" s="52">
        <f>IF(OR(L282="",P282=""),"",IF(COUNTIFS(L$6:L282,L282,P$6:P282,"?*")=1,MAX(AI$5:AI281)+1,""))</f>
        <v/>
      </c>
    </row>
    <row r="283">
      <c r="B283" s="47" t="n"/>
      <c r="C283" s="48" t="n"/>
      <c r="D283" s="48" t="n"/>
      <c r="E283" s="48" t="n"/>
      <c r="F283" s="48" t="n"/>
      <c r="G283" s="49" t="n"/>
      <c r="H283" s="48" t="n"/>
      <c r="I283" s="50" t="n"/>
      <c r="J283" s="48" t="n"/>
      <c r="K283" s="48" t="n"/>
      <c r="L283" s="48" t="n"/>
      <c r="M283" s="48" t="n"/>
      <c r="N283" s="48" t="n"/>
      <c r="O283" s="51">
        <f>IF(AND(B283="",G283="",C283="",D283="",J283=""),"",IF(B283="","⚠ Falta fecha",IF(G283="","⚠ Falta monto",IF(Q283="","⚠ Falta cuenta",IF(ISNA(MATCH(Q283,ctaNombre,0)),"⚠ Cuenta no registrada",IF(AND(OR(P283="Gasto",P283="Reembolso"),D283=""),"⚠ Falta categoría",IF(AND(D283&lt;&gt;"",E283&lt;&gt;"",ISNA(MATCH(D283&amp;"|"&amp;E283,catClave,0))),"⚠ Subcategoría no corresponde",IF(AND(OR(P283="Transferencia",P283="Pago tarjeta"),K283=""),"⚠ Falta cuenta destino",IF(AND(K283&lt;&gt;"",P283&lt;&gt;"Transferencia",P283&lt;&gt;"Pago tarjeta"),"⚠ Destino solo aplica a transferencias",IF(AND(K283&lt;&gt;"",K283=Q283),"⚠ Origen igual a destino",IF(AND(K283&lt;&gt;"",ISNA(MATCH(K283,ctaNombre,0))),"⚠ Destino no registrado",IF(AND(P283="Pago tarjeta",AE283&lt;&gt;"Tarjeta de crédito"),"⚠ El destino debe ser tarjeta de crédito",IF(AND(P283="Gasto",E283="Depósitos y retiros"),"⚠ Usa tipo Transferencia",IF(AND(P283="Resultado trading",AD283&lt;&gt;"Cuenta de trading"),"⚠ Usa una cuenta de trading",IF(AND(G283&lt;=0,P283&lt;&gt;"Ajuste",P283&lt;&gt;"Resultado trading"),"⚠ El monto debe ser positivo","✓")))))))))))))))</f>
        <v/>
      </c>
      <c r="P283" s="52">
        <f>IF(OR(B283="",G283=""),"",IF(C283="","Gasto",C283))</f>
        <v/>
      </c>
      <c r="Q283" s="52">
        <f>IF(P283="","",IF(J283&lt;&gt;"",J283,CuentaPred&amp;""))</f>
        <v/>
      </c>
      <c r="R283" s="52">
        <f>IF(P283="","",IF(ISNUMBER(I283),I283,TasaUSD))</f>
        <v/>
      </c>
      <c r="S283" s="53">
        <f>IF(P283="","",IF(H283="USD",G283*R283,G283))</f>
        <v/>
      </c>
      <c r="T283" s="53">
        <f>IF(P283="","",IF(H283="USD",G283,IF(R283&gt;0,G283/R283,0)))</f>
        <v/>
      </c>
      <c r="U283" s="53">
        <f>IF(P283="","",IF(P283="Gasto",S283,IF(P283="Reembolso",-S283,0)))</f>
        <v/>
      </c>
      <c r="V283" s="53">
        <f>IF(P283="","",IF(P283="Ingreso",S283,0))</f>
        <v/>
      </c>
      <c r="W283" s="53">
        <f>IF(P283="","",IF(P283="Resultado trading",S283,0))</f>
        <v/>
      </c>
      <c r="X283" s="52">
        <f>IF(OR(P283="Gasto",P283="Reembolso"),IF(M283&lt;&gt;"",M283,IFERROR(INDEX(catClasif,MATCH(D283&amp;"|"&amp;E283,catClave,0))&amp;"","Variable")),"")</f>
        <v/>
      </c>
      <c r="Y283" s="52">
        <f>IF(P283="","",IFERROR(INDEX(catGrupo,MATCH(D283&amp;"|"&amp;E283,catClave,0))&amp;"",""))</f>
        <v/>
      </c>
      <c r="Z283" s="52">
        <f>IF(P283="","",WEEKDAY(B283,2))</f>
        <v/>
      </c>
      <c r="AA283" s="52">
        <f>IF(P283="","",IF(AND(P283="Gasto",X283="Variable",D283&lt;&gt;catTrading,S283&gt;0,S283&lt;=Umbral),1,0))</f>
        <v/>
      </c>
      <c r="AB283" s="52">
        <f>IF(OR(P283="",Q283=""),"",IFERROR(IF(INDEX(ctaVinc,MATCH(Q283,ctaNombre,0))&amp;""&lt;&gt;"",INDEX(ctaVinc,MATCH(Q283,ctaNombre,0))&amp;"",Q283),Q283))</f>
        <v/>
      </c>
      <c r="AC283" s="52">
        <f>IF(OR(K283="",AND(P283&lt;&gt;"Transferencia",P283&lt;&gt;"Pago tarjeta")),"",IFERROR(IF(INDEX(ctaVinc,MATCH(K283,ctaNombre,0))&amp;""&lt;&gt;"",INDEX(ctaVinc,MATCH(K283,ctaNombre,0))&amp;"",K283),K283))</f>
        <v/>
      </c>
      <c r="AD283" s="52">
        <f>IF(AB283="","",IFERROR(INDEX(ctaTipo,MATCH(AB283,ctaNombre,0))&amp;"",""))</f>
        <v/>
      </c>
      <c r="AE283" s="52">
        <f>IF(AC283="","",IFERROR(INDEX(ctaTipo,MATCH(AC283,ctaNombre,0))&amp;"",""))</f>
        <v/>
      </c>
      <c r="AF283" s="53">
        <f>IF(OR(P283="",AB283=""),"",IF(OR(P283="Gasto",P283="Transferencia",P283="Pago tarjeta"),-1,1)*IF(IFERROR(INDEX(ctaMoneda,MATCH(AB283,ctaNombre,0))&amp;"","DOP")="USD",T283,S283))</f>
        <v/>
      </c>
      <c r="AG283" s="53">
        <f>IF(AC283="","",IF(IFERROR(INDEX(ctaMoneda,MATCH(AC283,ctaNombre,0))&amp;"","DOP")="USD",T283,S283))</f>
        <v/>
      </c>
      <c r="AH283" s="53">
        <f>IF(P283="","",IF(AND(AD283&lt;&gt;"",COUNTIFS(tcTipo,AD283,tcLiq,"Sí")&gt;0),IF(OR(P283="Gasto",P283="Transferencia",P283="Pago tarjeta"),-1,1)*S283,0)+IF(AND(AE283&lt;&gt;"",COUNTIFS(tcTipo,AE283,tcLiq,"Sí")&gt;0),S283,0))</f>
        <v/>
      </c>
      <c r="AI283" s="52">
        <f>IF(OR(L283="",P283=""),"",IF(COUNTIFS(L$6:L283,L283,P$6:P283,"?*")=1,MAX(AI$5:AI282)+1,""))</f>
        <v/>
      </c>
    </row>
    <row r="284">
      <c r="B284" s="47" t="n"/>
      <c r="C284" s="48" t="n"/>
      <c r="D284" s="48" t="n"/>
      <c r="E284" s="48" t="n"/>
      <c r="F284" s="48" t="n"/>
      <c r="G284" s="49" t="n"/>
      <c r="H284" s="48" t="n"/>
      <c r="I284" s="50" t="n"/>
      <c r="J284" s="48" t="n"/>
      <c r="K284" s="48" t="n"/>
      <c r="L284" s="48" t="n"/>
      <c r="M284" s="48" t="n"/>
      <c r="N284" s="48" t="n"/>
      <c r="O284" s="51">
        <f>IF(AND(B284="",G284="",C284="",D284="",J284=""),"",IF(B284="","⚠ Falta fecha",IF(G284="","⚠ Falta monto",IF(Q284="","⚠ Falta cuenta",IF(ISNA(MATCH(Q284,ctaNombre,0)),"⚠ Cuenta no registrada",IF(AND(OR(P284="Gasto",P284="Reembolso"),D284=""),"⚠ Falta categoría",IF(AND(D284&lt;&gt;"",E284&lt;&gt;"",ISNA(MATCH(D284&amp;"|"&amp;E284,catClave,0))),"⚠ Subcategoría no corresponde",IF(AND(OR(P284="Transferencia",P284="Pago tarjeta"),K284=""),"⚠ Falta cuenta destino",IF(AND(K284&lt;&gt;"",P284&lt;&gt;"Transferencia",P284&lt;&gt;"Pago tarjeta"),"⚠ Destino solo aplica a transferencias",IF(AND(K284&lt;&gt;"",K284=Q284),"⚠ Origen igual a destino",IF(AND(K284&lt;&gt;"",ISNA(MATCH(K284,ctaNombre,0))),"⚠ Destino no registrado",IF(AND(P284="Pago tarjeta",AE284&lt;&gt;"Tarjeta de crédito"),"⚠ El destino debe ser tarjeta de crédito",IF(AND(P284="Gasto",E284="Depósitos y retiros"),"⚠ Usa tipo Transferencia",IF(AND(P284="Resultado trading",AD284&lt;&gt;"Cuenta de trading"),"⚠ Usa una cuenta de trading",IF(AND(G284&lt;=0,P284&lt;&gt;"Ajuste",P284&lt;&gt;"Resultado trading"),"⚠ El monto debe ser positivo","✓")))))))))))))))</f>
        <v/>
      </c>
      <c r="P284" s="52">
        <f>IF(OR(B284="",G284=""),"",IF(C284="","Gasto",C284))</f>
        <v/>
      </c>
      <c r="Q284" s="52">
        <f>IF(P284="","",IF(J284&lt;&gt;"",J284,CuentaPred&amp;""))</f>
        <v/>
      </c>
      <c r="R284" s="52">
        <f>IF(P284="","",IF(ISNUMBER(I284),I284,TasaUSD))</f>
        <v/>
      </c>
      <c r="S284" s="53">
        <f>IF(P284="","",IF(H284="USD",G284*R284,G284))</f>
        <v/>
      </c>
      <c r="T284" s="53">
        <f>IF(P284="","",IF(H284="USD",G284,IF(R284&gt;0,G284/R284,0)))</f>
        <v/>
      </c>
      <c r="U284" s="53">
        <f>IF(P284="","",IF(P284="Gasto",S284,IF(P284="Reembolso",-S284,0)))</f>
        <v/>
      </c>
      <c r="V284" s="53">
        <f>IF(P284="","",IF(P284="Ingreso",S284,0))</f>
        <v/>
      </c>
      <c r="W284" s="53">
        <f>IF(P284="","",IF(P284="Resultado trading",S284,0))</f>
        <v/>
      </c>
      <c r="X284" s="52">
        <f>IF(OR(P284="Gasto",P284="Reembolso"),IF(M284&lt;&gt;"",M284,IFERROR(INDEX(catClasif,MATCH(D284&amp;"|"&amp;E284,catClave,0))&amp;"","Variable")),"")</f>
        <v/>
      </c>
      <c r="Y284" s="52">
        <f>IF(P284="","",IFERROR(INDEX(catGrupo,MATCH(D284&amp;"|"&amp;E284,catClave,0))&amp;"",""))</f>
        <v/>
      </c>
      <c r="Z284" s="52">
        <f>IF(P284="","",WEEKDAY(B284,2))</f>
        <v/>
      </c>
      <c r="AA284" s="52">
        <f>IF(P284="","",IF(AND(P284="Gasto",X284="Variable",D284&lt;&gt;catTrading,S284&gt;0,S284&lt;=Umbral),1,0))</f>
        <v/>
      </c>
      <c r="AB284" s="52">
        <f>IF(OR(P284="",Q284=""),"",IFERROR(IF(INDEX(ctaVinc,MATCH(Q284,ctaNombre,0))&amp;""&lt;&gt;"",INDEX(ctaVinc,MATCH(Q284,ctaNombre,0))&amp;"",Q284),Q284))</f>
        <v/>
      </c>
      <c r="AC284" s="52">
        <f>IF(OR(K284="",AND(P284&lt;&gt;"Transferencia",P284&lt;&gt;"Pago tarjeta")),"",IFERROR(IF(INDEX(ctaVinc,MATCH(K284,ctaNombre,0))&amp;""&lt;&gt;"",INDEX(ctaVinc,MATCH(K284,ctaNombre,0))&amp;"",K284),K284))</f>
        <v/>
      </c>
      <c r="AD284" s="52">
        <f>IF(AB284="","",IFERROR(INDEX(ctaTipo,MATCH(AB284,ctaNombre,0))&amp;"",""))</f>
        <v/>
      </c>
      <c r="AE284" s="52">
        <f>IF(AC284="","",IFERROR(INDEX(ctaTipo,MATCH(AC284,ctaNombre,0))&amp;"",""))</f>
        <v/>
      </c>
      <c r="AF284" s="53">
        <f>IF(OR(P284="",AB284=""),"",IF(OR(P284="Gasto",P284="Transferencia",P284="Pago tarjeta"),-1,1)*IF(IFERROR(INDEX(ctaMoneda,MATCH(AB284,ctaNombre,0))&amp;"","DOP")="USD",T284,S284))</f>
        <v/>
      </c>
      <c r="AG284" s="53">
        <f>IF(AC284="","",IF(IFERROR(INDEX(ctaMoneda,MATCH(AC284,ctaNombre,0))&amp;"","DOP")="USD",T284,S284))</f>
        <v/>
      </c>
      <c r="AH284" s="53">
        <f>IF(P284="","",IF(AND(AD284&lt;&gt;"",COUNTIFS(tcTipo,AD284,tcLiq,"Sí")&gt;0),IF(OR(P284="Gasto",P284="Transferencia",P284="Pago tarjeta"),-1,1)*S284,0)+IF(AND(AE284&lt;&gt;"",COUNTIFS(tcTipo,AE284,tcLiq,"Sí")&gt;0),S284,0))</f>
        <v/>
      </c>
      <c r="AI284" s="52">
        <f>IF(OR(L284="",P284=""),"",IF(COUNTIFS(L$6:L284,L284,P$6:P284,"?*")=1,MAX(AI$5:AI283)+1,""))</f>
        <v/>
      </c>
    </row>
    <row r="285">
      <c r="B285" s="47" t="n"/>
      <c r="C285" s="48" t="n"/>
      <c r="D285" s="48" t="n"/>
      <c r="E285" s="48" t="n"/>
      <c r="F285" s="48" t="n"/>
      <c r="G285" s="49" t="n"/>
      <c r="H285" s="48" t="n"/>
      <c r="I285" s="50" t="n"/>
      <c r="J285" s="48" t="n"/>
      <c r="K285" s="48" t="n"/>
      <c r="L285" s="48" t="n"/>
      <c r="M285" s="48" t="n"/>
      <c r="N285" s="48" t="n"/>
      <c r="O285" s="51">
        <f>IF(AND(B285="",G285="",C285="",D285="",J285=""),"",IF(B285="","⚠ Falta fecha",IF(G285="","⚠ Falta monto",IF(Q285="","⚠ Falta cuenta",IF(ISNA(MATCH(Q285,ctaNombre,0)),"⚠ Cuenta no registrada",IF(AND(OR(P285="Gasto",P285="Reembolso"),D285=""),"⚠ Falta categoría",IF(AND(D285&lt;&gt;"",E285&lt;&gt;"",ISNA(MATCH(D285&amp;"|"&amp;E285,catClave,0))),"⚠ Subcategoría no corresponde",IF(AND(OR(P285="Transferencia",P285="Pago tarjeta"),K285=""),"⚠ Falta cuenta destino",IF(AND(K285&lt;&gt;"",P285&lt;&gt;"Transferencia",P285&lt;&gt;"Pago tarjeta"),"⚠ Destino solo aplica a transferencias",IF(AND(K285&lt;&gt;"",K285=Q285),"⚠ Origen igual a destino",IF(AND(K285&lt;&gt;"",ISNA(MATCH(K285,ctaNombre,0))),"⚠ Destino no registrado",IF(AND(P285="Pago tarjeta",AE285&lt;&gt;"Tarjeta de crédito"),"⚠ El destino debe ser tarjeta de crédito",IF(AND(P285="Gasto",E285="Depósitos y retiros"),"⚠ Usa tipo Transferencia",IF(AND(P285="Resultado trading",AD285&lt;&gt;"Cuenta de trading"),"⚠ Usa una cuenta de trading",IF(AND(G285&lt;=0,P285&lt;&gt;"Ajuste",P285&lt;&gt;"Resultado trading"),"⚠ El monto debe ser positivo","✓")))))))))))))))</f>
        <v/>
      </c>
      <c r="P285" s="52">
        <f>IF(OR(B285="",G285=""),"",IF(C285="","Gasto",C285))</f>
        <v/>
      </c>
      <c r="Q285" s="52">
        <f>IF(P285="","",IF(J285&lt;&gt;"",J285,CuentaPred&amp;""))</f>
        <v/>
      </c>
      <c r="R285" s="52">
        <f>IF(P285="","",IF(ISNUMBER(I285),I285,TasaUSD))</f>
        <v/>
      </c>
      <c r="S285" s="53">
        <f>IF(P285="","",IF(H285="USD",G285*R285,G285))</f>
        <v/>
      </c>
      <c r="T285" s="53">
        <f>IF(P285="","",IF(H285="USD",G285,IF(R285&gt;0,G285/R285,0)))</f>
        <v/>
      </c>
      <c r="U285" s="53">
        <f>IF(P285="","",IF(P285="Gasto",S285,IF(P285="Reembolso",-S285,0)))</f>
        <v/>
      </c>
      <c r="V285" s="53">
        <f>IF(P285="","",IF(P285="Ingreso",S285,0))</f>
        <v/>
      </c>
      <c r="W285" s="53">
        <f>IF(P285="","",IF(P285="Resultado trading",S285,0))</f>
        <v/>
      </c>
      <c r="X285" s="52">
        <f>IF(OR(P285="Gasto",P285="Reembolso"),IF(M285&lt;&gt;"",M285,IFERROR(INDEX(catClasif,MATCH(D285&amp;"|"&amp;E285,catClave,0))&amp;"","Variable")),"")</f>
        <v/>
      </c>
      <c r="Y285" s="52">
        <f>IF(P285="","",IFERROR(INDEX(catGrupo,MATCH(D285&amp;"|"&amp;E285,catClave,0))&amp;"",""))</f>
        <v/>
      </c>
      <c r="Z285" s="52">
        <f>IF(P285="","",WEEKDAY(B285,2))</f>
        <v/>
      </c>
      <c r="AA285" s="52">
        <f>IF(P285="","",IF(AND(P285="Gasto",X285="Variable",D285&lt;&gt;catTrading,S285&gt;0,S285&lt;=Umbral),1,0))</f>
        <v/>
      </c>
      <c r="AB285" s="52">
        <f>IF(OR(P285="",Q285=""),"",IFERROR(IF(INDEX(ctaVinc,MATCH(Q285,ctaNombre,0))&amp;""&lt;&gt;"",INDEX(ctaVinc,MATCH(Q285,ctaNombre,0))&amp;"",Q285),Q285))</f>
        <v/>
      </c>
      <c r="AC285" s="52">
        <f>IF(OR(K285="",AND(P285&lt;&gt;"Transferencia",P285&lt;&gt;"Pago tarjeta")),"",IFERROR(IF(INDEX(ctaVinc,MATCH(K285,ctaNombre,0))&amp;""&lt;&gt;"",INDEX(ctaVinc,MATCH(K285,ctaNombre,0))&amp;"",K285),K285))</f>
        <v/>
      </c>
      <c r="AD285" s="52">
        <f>IF(AB285="","",IFERROR(INDEX(ctaTipo,MATCH(AB285,ctaNombre,0))&amp;"",""))</f>
        <v/>
      </c>
      <c r="AE285" s="52">
        <f>IF(AC285="","",IFERROR(INDEX(ctaTipo,MATCH(AC285,ctaNombre,0))&amp;"",""))</f>
        <v/>
      </c>
      <c r="AF285" s="53">
        <f>IF(OR(P285="",AB285=""),"",IF(OR(P285="Gasto",P285="Transferencia",P285="Pago tarjeta"),-1,1)*IF(IFERROR(INDEX(ctaMoneda,MATCH(AB285,ctaNombre,0))&amp;"","DOP")="USD",T285,S285))</f>
        <v/>
      </c>
      <c r="AG285" s="53">
        <f>IF(AC285="","",IF(IFERROR(INDEX(ctaMoneda,MATCH(AC285,ctaNombre,0))&amp;"","DOP")="USD",T285,S285))</f>
        <v/>
      </c>
      <c r="AH285" s="53">
        <f>IF(P285="","",IF(AND(AD285&lt;&gt;"",COUNTIFS(tcTipo,AD285,tcLiq,"Sí")&gt;0),IF(OR(P285="Gasto",P285="Transferencia",P285="Pago tarjeta"),-1,1)*S285,0)+IF(AND(AE285&lt;&gt;"",COUNTIFS(tcTipo,AE285,tcLiq,"Sí")&gt;0),S285,0))</f>
        <v/>
      </c>
      <c r="AI285" s="52">
        <f>IF(OR(L285="",P285=""),"",IF(COUNTIFS(L$6:L285,L285,P$6:P285,"?*")=1,MAX(AI$5:AI284)+1,""))</f>
        <v/>
      </c>
    </row>
    <row r="286">
      <c r="B286" s="47" t="n"/>
      <c r="C286" s="48" t="n"/>
      <c r="D286" s="48" t="n"/>
      <c r="E286" s="48" t="n"/>
      <c r="F286" s="48" t="n"/>
      <c r="G286" s="49" t="n"/>
      <c r="H286" s="48" t="n"/>
      <c r="I286" s="50" t="n"/>
      <c r="J286" s="48" t="n"/>
      <c r="K286" s="48" t="n"/>
      <c r="L286" s="48" t="n"/>
      <c r="M286" s="48" t="n"/>
      <c r="N286" s="48" t="n"/>
      <c r="O286" s="51">
        <f>IF(AND(B286="",G286="",C286="",D286="",J286=""),"",IF(B286="","⚠ Falta fecha",IF(G286="","⚠ Falta monto",IF(Q286="","⚠ Falta cuenta",IF(ISNA(MATCH(Q286,ctaNombre,0)),"⚠ Cuenta no registrada",IF(AND(OR(P286="Gasto",P286="Reembolso"),D286=""),"⚠ Falta categoría",IF(AND(D286&lt;&gt;"",E286&lt;&gt;"",ISNA(MATCH(D286&amp;"|"&amp;E286,catClave,0))),"⚠ Subcategoría no corresponde",IF(AND(OR(P286="Transferencia",P286="Pago tarjeta"),K286=""),"⚠ Falta cuenta destino",IF(AND(K286&lt;&gt;"",P286&lt;&gt;"Transferencia",P286&lt;&gt;"Pago tarjeta"),"⚠ Destino solo aplica a transferencias",IF(AND(K286&lt;&gt;"",K286=Q286),"⚠ Origen igual a destino",IF(AND(K286&lt;&gt;"",ISNA(MATCH(K286,ctaNombre,0))),"⚠ Destino no registrado",IF(AND(P286="Pago tarjeta",AE286&lt;&gt;"Tarjeta de crédito"),"⚠ El destino debe ser tarjeta de crédito",IF(AND(P286="Gasto",E286="Depósitos y retiros"),"⚠ Usa tipo Transferencia",IF(AND(P286="Resultado trading",AD286&lt;&gt;"Cuenta de trading"),"⚠ Usa una cuenta de trading",IF(AND(G286&lt;=0,P286&lt;&gt;"Ajuste",P286&lt;&gt;"Resultado trading"),"⚠ El monto debe ser positivo","✓")))))))))))))))</f>
        <v/>
      </c>
      <c r="P286" s="52">
        <f>IF(OR(B286="",G286=""),"",IF(C286="","Gasto",C286))</f>
        <v/>
      </c>
      <c r="Q286" s="52">
        <f>IF(P286="","",IF(J286&lt;&gt;"",J286,CuentaPred&amp;""))</f>
        <v/>
      </c>
      <c r="R286" s="52">
        <f>IF(P286="","",IF(ISNUMBER(I286),I286,TasaUSD))</f>
        <v/>
      </c>
      <c r="S286" s="53">
        <f>IF(P286="","",IF(H286="USD",G286*R286,G286))</f>
        <v/>
      </c>
      <c r="T286" s="53">
        <f>IF(P286="","",IF(H286="USD",G286,IF(R286&gt;0,G286/R286,0)))</f>
        <v/>
      </c>
      <c r="U286" s="53">
        <f>IF(P286="","",IF(P286="Gasto",S286,IF(P286="Reembolso",-S286,0)))</f>
        <v/>
      </c>
      <c r="V286" s="53">
        <f>IF(P286="","",IF(P286="Ingreso",S286,0))</f>
        <v/>
      </c>
      <c r="W286" s="53">
        <f>IF(P286="","",IF(P286="Resultado trading",S286,0))</f>
        <v/>
      </c>
      <c r="X286" s="52">
        <f>IF(OR(P286="Gasto",P286="Reembolso"),IF(M286&lt;&gt;"",M286,IFERROR(INDEX(catClasif,MATCH(D286&amp;"|"&amp;E286,catClave,0))&amp;"","Variable")),"")</f>
        <v/>
      </c>
      <c r="Y286" s="52">
        <f>IF(P286="","",IFERROR(INDEX(catGrupo,MATCH(D286&amp;"|"&amp;E286,catClave,0))&amp;"",""))</f>
        <v/>
      </c>
      <c r="Z286" s="52">
        <f>IF(P286="","",WEEKDAY(B286,2))</f>
        <v/>
      </c>
      <c r="AA286" s="52">
        <f>IF(P286="","",IF(AND(P286="Gasto",X286="Variable",D286&lt;&gt;catTrading,S286&gt;0,S286&lt;=Umbral),1,0))</f>
        <v/>
      </c>
      <c r="AB286" s="52">
        <f>IF(OR(P286="",Q286=""),"",IFERROR(IF(INDEX(ctaVinc,MATCH(Q286,ctaNombre,0))&amp;""&lt;&gt;"",INDEX(ctaVinc,MATCH(Q286,ctaNombre,0))&amp;"",Q286),Q286))</f>
        <v/>
      </c>
      <c r="AC286" s="52">
        <f>IF(OR(K286="",AND(P286&lt;&gt;"Transferencia",P286&lt;&gt;"Pago tarjeta")),"",IFERROR(IF(INDEX(ctaVinc,MATCH(K286,ctaNombre,0))&amp;""&lt;&gt;"",INDEX(ctaVinc,MATCH(K286,ctaNombre,0))&amp;"",K286),K286))</f>
        <v/>
      </c>
      <c r="AD286" s="52">
        <f>IF(AB286="","",IFERROR(INDEX(ctaTipo,MATCH(AB286,ctaNombre,0))&amp;"",""))</f>
        <v/>
      </c>
      <c r="AE286" s="52">
        <f>IF(AC286="","",IFERROR(INDEX(ctaTipo,MATCH(AC286,ctaNombre,0))&amp;"",""))</f>
        <v/>
      </c>
      <c r="AF286" s="53">
        <f>IF(OR(P286="",AB286=""),"",IF(OR(P286="Gasto",P286="Transferencia",P286="Pago tarjeta"),-1,1)*IF(IFERROR(INDEX(ctaMoneda,MATCH(AB286,ctaNombre,0))&amp;"","DOP")="USD",T286,S286))</f>
        <v/>
      </c>
      <c r="AG286" s="53">
        <f>IF(AC286="","",IF(IFERROR(INDEX(ctaMoneda,MATCH(AC286,ctaNombre,0))&amp;"","DOP")="USD",T286,S286))</f>
        <v/>
      </c>
      <c r="AH286" s="53">
        <f>IF(P286="","",IF(AND(AD286&lt;&gt;"",COUNTIFS(tcTipo,AD286,tcLiq,"Sí")&gt;0),IF(OR(P286="Gasto",P286="Transferencia",P286="Pago tarjeta"),-1,1)*S286,0)+IF(AND(AE286&lt;&gt;"",COUNTIFS(tcTipo,AE286,tcLiq,"Sí")&gt;0),S286,0))</f>
        <v/>
      </c>
      <c r="AI286" s="52">
        <f>IF(OR(L286="",P286=""),"",IF(COUNTIFS(L$6:L286,L286,P$6:P286,"?*")=1,MAX(AI$5:AI285)+1,""))</f>
        <v/>
      </c>
    </row>
    <row r="287">
      <c r="B287" s="47" t="n"/>
      <c r="C287" s="48" t="n"/>
      <c r="D287" s="48" t="n"/>
      <c r="E287" s="48" t="n"/>
      <c r="F287" s="48" t="n"/>
      <c r="G287" s="49" t="n"/>
      <c r="H287" s="48" t="n"/>
      <c r="I287" s="50" t="n"/>
      <c r="J287" s="48" t="n"/>
      <c r="K287" s="48" t="n"/>
      <c r="L287" s="48" t="n"/>
      <c r="M287" s="48" t="n"/>
      <c r="N287" s="48" t="n"/>
      <c r="O287" s="51">
        <f>IF(AND(B287="",G287="",C287="",D287="",J287=""),"",IF(B287="","⚠ Falta fecha",IF(G287="","⚠ Falta monto",IF(Q287="","⚠ Falta cuenta",IF(ISNA(MATCH(Q287,ctaNombre,0)),"⚠ Cuenta no registrada",IF(AND(OR(P287="Gasto",P287="Reembolso"),D287=""),"⚠ Falta categoría",IF(AND(D287&lt;&gt;"",E287&lt;&gt;"",ISNA(MATCH(D287&amp;"|"&amp;E287,catClave,0))),"⚠ Subcategoría no corresponde",IF(AND(OR(P287="Transferencia",P287="Pago tarjeta"),K287=""),"⚠ Falta cuenta destino",IF(AND(K287&lt;&gt;"",P287&lt;&gt;"Transferencia",P287&lt;&gt;"Pago tarjeta"),"⚠ Destino solo aplica a transferencias",IF(AND(K287&lt;&gt;"",K287=Q287),"⚠ Origen igual a destino",IF(AND(K287&lt;&gt;"",ISNA(MATCH(K287,ctaNombre,0))),"⚠ Destino no registrado",IF(AND(P287="Pago tarjeta",AE287&lt;&gt;"Tarjeta de crédito"),"⚠ El destino debe ser tarjeta de crédito",IF(AND(P287="Gasto",E287="Depósitos y retiros"),"⚠ Usa tipo Transferencia",IF(AND(P287="Resultado trading",AD287&lt;&gt;"Cuenta de trading"),"⚠ Usa una cuenta de trading",IF(AND(G287&lt;=0,P287&lt;&gt;"Ajuste",P287&lt;&gt;"Resultado trading"),"⚠ El monto debe ser positivo","✓")))))))))))))))</f>
        <v/>
      </c>
      <c r="P287" s="52">
        <f>IF(OR(B287="",G287=""),"",IF(C287="","Gasto",C287))</f>
        <v/>
      </c>
      <c r="Q287" s="52">
        <f>IF(P287="","",IF(J287&lt;&gt;"",J287,CuentaPred&amp;""))</f>
        <v/>
      </c>
      <c r="R287" s="52">
        <f>IF(P287="","",IF(ISNUMBER(I287),I287,TasaUSD))</f>
        <v/>
      </c>
      <c r="S287" s="53">
        <f>IF(P287="","",IF(H287="USD",G287*R287,G287))</f>
        <v/>
      </c>
      <c r="T287" s="53">
        <f>IF(P287="","",IF(H287="USD",G287,IF(R287&gt;0,G287/R287,0)))</f>
        <v/>
      </c>
      <c r="U287" s="53">
        <f>IF(P287="","",IF(P287="Gasto",S287,IF(P287="Reembolso",-S287,0)))</f>
        <v/>
      </c>
      <c r="V287" s="53">
        <f>IF(P287="","",IF(P287="Ingreso",S287,0))</f>
        <v/>
      </c>
      <c r="W287" s="53">
        <f>IF(P287="","",IF(P287="Resultado trading",S287,0))</f>
        <v/>
      </c>
      <c r="X287" s="52">
        <f>IF(OR(P287="Gasto",P287="Reembolso"),IF(M287&lt;&gt;"",M287,IFERROR(INDEX(catClasif,MATCH(D287&amp;"|"&amp;E287,catClave,0))&amp;"","Variable")),"")</f>
        <v/>
      </c>
      <c r="Y287" s="52">
        <f>IF(P287="","",IFERROR(INDEX(catGrupo,MATCH(D287&amp;"|"&amp;E287,catClave,0))&amp;"",""))</f>
        <v/>
      </c>
      <c r="Z287" s="52">
        <f>IF(P287="","",WEEKDAY(B287,2))</f>
        <v/>
      </c>
      <c r="AA287" s="52">
        <f>IF(P287="","",IF(AND(P287="Gasto",X287="Variable",D287&lt;&gt;catTrading,S287&gt;0,S287&lt;=Umbral),1,0))</f>
        <v/>
      </c>
      <c r="AB287" s="52">
        <f>IF(OR(P287="",Q287=""),"",IFERROR(IF(INDEX(ctaVinc,MATCH(Q287,ctaNombre,0))&amp;""&lt;&gt;"",INDEX(ctaVinc,MATCH(Q287,ctaNombre,0))&amp;"",Q287),Q287))</f>
        <v/>
      </c>
      <c r="AC287" s="52">
        <f>IF(OR(K287="",AND(P287&lt;&gt;"Transferencia",P287&lt;&gt;"Pago tarjeta")),"",IFERROR(IF(INDEX(ctaVinc,MATCH(K287,ctaNombre,0))&amp;""&lt;&gt;"",INDEX(ctaVinc,MATCH(K287,ctaNombre,0))&amp;"",K287),K287))</f>
        <v/>
      </c>
      <c r="AD287" s="52">
        <f>IF(AB287="","",IFERROR(INDEX(ctaTipo,MATCH(AB287,ctaNombre,0))&amp;"",""))</f>
        <v/>
      </c>
      <c r="AE287" s="52">
        <f>IF(AC287="","",IFERROR(INDEX(ctaTipo,MATCH(AC287,ctaNombre,0))&amp;"",""))</f>
        <v/>
      </c>
      <c r="AF287" s="53">
        <f>IF(OR(P287="",AB287=""),"",IF(OR(P287="Gasto",P287="Transferencia",P287="Pago tarjeta"),-1,1)*IF(IFERROR(INDEX(ctaMoneda,MATCH(AB287,ctaNombre,0))&amp;"","DOP")="USD",T287,S287))</f>
        <v/>
      </c>
      <c r="AG287" s="53">
        <f>IF(AC287="","",IF(IFERROR(INDEX(ctaMoneda,MATCH(AC287,ctaNombre,0))&amp;"","DOP")="USD",T287,S287))</f>
        <v/>
      </c>
      <c r="AH287" s="53">
        <f>IF(P287="","",IF(AND(AD287&lt;&gt;"",COUNTIFS(tcTipo,AD287,tcLiq,"Sí")&gt;0),IF(OR(P287="Gasto",P287="Transferencia",P287="Pago tarjeta"),-1,1)*S287,0)+IF(AND(AE287&lt;&gt;"",COUNTIFS(tcTipo,AE287,tcLiq,"Sí")&gt;0),S287,0))</f>
        <v/>
      </c>
      <c r="AI287" s="52">
        <f>IF(OR(L287="",P287=""),"",IF(COUNTIFS(L$6:L287,L287,P$6:P287,"?*")=1,MAX(AI$5:AI286)+1,""))</f>
        <v/>
      </c>
    </row>
    <row r="288">
      <c r="B288" s="47" t="n"/>
      <c r="C288" s="48" t="n"/>
      <c r="D288" s="48" t="n"/>
      <c r="E288" s="48" t="n"/>
      <c r="F288" s="48" t="n"/>
      <c r="G288" s="49" t="n"/>
      <c r="H288" s="48" t="n"/>
      <c r="I288" s="50" t="n"/>
      <c r="J288" s="48" t="n"/>
      <c r="K288" s="48" t="n"/>
      <c r="L288" s="48" t="n"/>
      <c r="M288" s="48" t="n"/>
      <c r="N288" s="48" t="n"/>
      <c r="O288" s="51">
        <f>IF(AND(B288="",G288="",C288="",D288="",J288=""),"",IF(B288="","⚠ Falta fecha",IF(G288="","⚠ Falta monto",IF(Q288="","⚠ Falta cuenta",IF(ISNA(MATCH(Q288,ctaNombre,0)),"⚠ Cuenta no registrada",IF(AND(OR(P288="Gasto",P288="Reembolso"),D288=""),"⚠ Falta categoría",IF(AND(D288&lt;&gt;"",E288&lt;&gt;"",ISNA(MATCH(D288&amp;"|"&amp;E288,catClave,0))),"⚠ Subcategoría no corresponde",IF(AND(OR(P288="Transferencia",P288="Pago tarjeta"),K288=""),"⚠ Falta cuenta destino",IF(AND(K288&lt;&gt;"",P288&lt;&gt;"Transferencia",P288&lt;&gt;"Pago tarjeta"),"⚠ Destino solo aplica a transferencias",IF(AND(K288&lt;&gt;"",K288=Q288),"⚠ Origen igual a destino",IF(AND(K288&lt;&gt;"",ISNA(MATCH(K288,ctaNombre,0))),"⚠ Destino no registrado",IF(AND(P288="Pago tarjeta",AE288&lt;&gt;"Tarjeta de crédito"),"⚠ El destino debe ser tarjeta de crédito",IF(AND(P288="Gasto",E288="Depósitos y retiros"),"⚠ Usa tipo Transferencia",IF(AND(P288="Resultado trading",AD288&lt;&gt;"Cuenta de trading"),"⚠ Usa una cuenta de trading",IF(AND(G288&lt;=0,P288&lt;&gt;"Ajuste",P288&lt;&gt;"Resultado trading"),"⚠ El monto debe ser positivo","✓")))))))))))))))</f>
        <v/>
      </c>
      <c r="P288" s="52">
        <f>IF(OR(B288="",G288=""),"",IF(C288="","Gasto",C288))</f>
        <v/>
      </c>
      <c r="Q288" s="52">
        <f>IF(P288="","",IF(J288&lt;&gt;"",J288,CuentaPred&amp;""))</f>
        <v/>
      </c>
      <c r="R288" s="52">
        <f>IF(P288="","",IF(ISNUMBER(I288),I288,TasaUSD))</f>
        <v/>
      </c>
      <c r="S288" s="53">
        <f>IF(P288="","",IF(H288="USD",G288*R288,G288))</f>
        <v/>
      </c>
      <c r="T288" s="53">
        <f>IF(P288="","",IF(H288="USD",G288,IF(R288&gt;0,G288/R288,0)))</f>
        <v/>
      </c>
      <c r="U288" s="53">
        <f>IF(P288="","",IF(P288="Gasto",S288,IF(P288="Reembolso",-S288,0)))</f>
        <v/>
      </c>
      <c r="V288" s="53">
        <f>IF(P288="","",IF(P288="Ingreso",S288,0))</f>
        <v/>
      </c>
      <c r="W288" s="53">
        <f>IF(P288="","",IF(P288="Resultado trading",S288,0))</f>
        <v/>
      </c>
      <c r="X288" s="52">
        <f>IF(OR(P288="Gasto",P288="Reembolso"),IF(M288&lt;&gt;"",M288,IFERROR(INDEX(catClasif,MATCH(D288&amp;"|"&amp;E288,catClave,0))&amp;"","Variable")),"")</f>
        <v/>
      </c>
      <c r="Y288" s="52">
        <f>IF(P288="","",IFERROR(INDEX(catGrupo,MATCH(D288&amp;"|"&amp;E288,catClave,0))&amp;"",""))</f>
        <v/>
      </c>
      <c r="Z288" s="52">
        <f>IF(P288="","",WEEKDAY(B288,2))</f>
        <v/>
      </c>
      <c r="AA288" s="52">
        <f>IF(P288="","",IF(AND(P288="Gasto",X288="Variable",D288&lt;&gt;catTrading,S288&gt;0,S288&lt;=Umbral),1,0))</f>
        <v/>
      </c>
      <c r="AB288" s="52">
        <f>IF(OR(P288="",Q288=""),"",IFERROR(IF(INDEX(ctaVinc,MATCH(Q288,ctaNombre,0))&amp;""&lt;&gt;"",INDEX(ctaVinc,MATCH(Q288,ctaNombre,0))&amp;"",Q288),Q288))</f>
        <v/>
      </c>
      <c r="AC288" s="52">
        <f>IF(OR(K288="",AND(P288&lt;&gt;"Transferencia",P288&lt;&gt;"Pago tarjeta")),"",IFERROR(IF(INDEX(ctaVinc,MATCH(K288,ctaNombre,0))&amp;""&lt;&gt;"",INDEX(ctaVinc,MATCH(K288,ctaNombre,0))&amp;"",K288),K288))</f>
        <v/>
      </c>
      <c r="AD288" s="52">
        <f>IF(AB288="","",IFERROR(INDEX(ctaTipo,MATCH(AB288,ctaNombre,0))&amp;"",""))</f>
        <v/>
      </c>
      <c r="AE288" s="52">
        <f>IF(AC288="","",IFERROR(INDEX(ctaTipo,MATCH(AC288,ctaNombre,0))&amp;"",""))</f>
        <v/>
      </c>
      <c r="AF288" s="53">
        <f>IF(OR(P288="",AB288=""),"",IF(OR(P288="Gasto",P288="Transferencia",P288="Pago tarjeta"),-1,1)*IF(IFERROR(INDEX(ctaMoneda,MATCH(AB288,ctaNombre,0))&amp;"","DOP")="USD",T288,S288))</f>
        <v/>
      </c>
      <c r="AG288" s="53">
        <f>IF(AC288="","",IF(IFERROR(INDEX(ctaMoneda,MATCH(AC288,ctaNombre,0))&amp;"","DOP")="USD",T288,S288))</f>
        <v/>
      </c>
      <c r="AH288" s="53">
        <f>IF(P288="","",IF(AND(AD288&lt;&gt;"",COUNTIFS(tcTipo,AD288,tcLiq,"Sí")&gt;0),IF(OR(P288="Gasto",P288="Transferencia",P288="Pago tarjeta"),-1,1)*S288,0)+IF(AND(AE288&lt;&gt;"",COUNTIFS(tcTipo,AE288,tcLiq,"Sí")&gt;0),S288,0))</f>
        <v/>
      </c>
      <c r="AI288" s="52">
        <f>IF(OR(L288="",P288=""),"",IF(COUNTIFS(L$6:L288,L288,P$6:P288,"?*")=1,MAX(AI$5:AI287)+1,""))</f>
        <v/>
      </c>
    </row>
    <row r="289">
      <c r="B289" s="47" t="n"/>
      <c r="C289" s="48" t="n"/>
      <c r="D289" s="48" t="n"/>
      <c r="E289" s="48" t="n"/>
      <c r="F289" s="48" t="n"/>
      <c r="G289" s="49" t="n"/>
      <c r="H289" s="48" t="n"/>
      <c r="I289" s="50" t="n"/>
      <c r="J289" s="48" t="n"/>
      <c r="K289" s="48" t="n"/>
      <c r="L289" s="48" t="n"/>
      <c r="M289" s="48" t="n"/>
      <c r="N289" s="48" t="n"/>
      <c r="O289" s="51">
        <f>IF(AND(B289="",G289="",C289="",D289="",J289=""),"",IF(B289="","⚠ Falta fecha",IF(G289="","⚠ Falta monto",IF(Q289="","⚠ Falta cuenta",IF(ISNA(MATCH(Q289,ctaNombre,0)),"⚠ Cuenta no registrada",IF(AND(OR(P289="Gasto",P289="Reembolso"),D289=""),"⚠ Falta categoría",IF(AND(D289&lt;&gt;"",E289&lt;&gt;"",ISNA(MATCH(D289&amp;"|"&amp;E289,catClave,0))),"⚠ Subcategoría no corresponde",IF(AND(OR(P289="Transferencia",P289="Pago tarjeta"),K289=""),"⚠ Falta cuenta destino",IF(AND(K289&lt;&gt;"",P289&lt;&gt;"Transferencia",P289&lt;&gt;"Pago tarjeta"),"⚠ Destino solo aplica a transferencias",IF(AND(K289&lt;&gt;"",K289=Q289),"⚠ Origen igual a destino",IF(AND(K289&lt;&gt;"",ISNA(MATCH(K289,ctaNombre,0))),"⚠ Destino no registrado",IF(AND(P289="Pago tarjeta",AE289&lt;&gt;"Tarjeta de crédito"),"⚠ El destino debe ser tarjeta de crédito",IF(AND(P289="Gasto",E289="Depósitos y retiros"),"⚠ Usa tipo Transferencia",IF(AND(P289="Resultado trading",AD289&lt;&gt;"Cuenta de trading"),"⚠ Usa una cuenta de trading",IF(AND(G289&lt;=0,P289&lt;&gt;"Ajuste",P289&lt;&gt;"Resultado trading"),"⚠ El monto debe ser positivo","✓")))))))))))))))</f>
        <v/>
      </c>
      <c r="P289" s="52">
        <f>IF(OR(B289="",G289=""),"",IF(C289="","Gasto",C289))</f>
        <v/>
      </c>
      <c r="Q289" s="52">
        <f>IF(P289="","",IF(J289&lt;&gt;"",J289,CuentaPred&amp;""))</f>
        <v/>
      </c>
      <c r="R289" s="52">
        <f>IF(P289="","",IF(ISNUMBER(I289),I289,TasaUSD))</f>
        <v/>
      </c>
      <c r="S289" s="53">
        <f>IF(P289="","",IF(H289="USD",G289*R289,G289))</f>
        <v/>
      </c>
      <c r="T289" s="53">
        <f>IF(P289="","",IF(H289="USD",G289,IF(R289&gt;0,G289/R289,0)))</f>
        <v/>
      </c>
      <c r="U289" s="53">
        <f>IF(P289="","",IF(P289="Gasto",S289,IF(P289="Reembolso",-S289,0)))</f>
        <v/>
      </c>
      <c r="V289" s="53">
        <f>IF(P289="","",IF(P289="Ingreso",S289,0))</f>
        <v/>
      </c>
      <c r="W289" s="53">
        <f>IF(P289="","",IF(P289="Resultado trading",S289,0))</f>
        <v/>
      </c>
      <c r="X289" s="52">
        <f>IF(OR(P289="Gasto",P289="Reembolso"),IF(M289&lt;&gt;"",M289,IFERROR(INDEX(catClasif,MATCH(D289&amp;"|"&amp;E289,catClave,0))&amp;"","Variable")),"")</f>
        <v/>
      </c>
      <c r="Y289" s="52">
        <f>IF(P289="","",IFERROR(INDEX(catGrupo,MATCH(D289&amp;"|"&amp;E289,catClave,0))&amp;"",""))</f>
        <v/>
      </c>
      <c r="Z289" s="52">
        <f>IF(P289="","",WEEKDAY(B289,2))</f>
        <v/>
      </c>
      <c r="AA289" s="52">
        <f>IF(P289="","",IF(AND(P289="Gasto",X289="Variable",D289&lt;&gt;catTrading,S289&gt;0,S289&lt;=Umbral),1,0))</f>
        <v/>
      </c>
      <c r="AB289" s="52">
        <f>IF(OR(P289="",Q289=""),"",IFERROR(IF(INDEX(ctaVinc,MATCH(Q289,ctaNombre,0))&amp;""&lt;&gt;"",INDEX(ctaVinc,MATCH(Q289,ctaNombre,0))&amp;"",Q289),Q289))</f>
        <v/>
      </c>
      <c r="AC289" s="52">
        <f>IF(OR(K289="",AND(P289&lt;&gt;"Transferencia",P289&lt;&gt;"Pago tarjeta")),"",IFERROR(IF(INDEX(ctaVinc,MATCH(K289,ctaNombre,0))&amp;""&lt;&gt;"",INDEX(ctaVinc,MATCH(K289,ctaNombre,0))&amp;"",K289),K289))</f>
        <v/>
      </c>
      <c r="AD289" s="52">
        <f>IF(AB289="","",IFERROR(INDEX(ctaTipo,MATCH(AB289,ctaNombre,0))&amp;"",""))</f>
        <v/>
      </c>
      <c r="AE289" s="52">
        <f>IF(AC289="","",IFERROR(INDEX(ctaTipo,MATCH(AC289,ctaNombre,0))&amp;"",""))</f>
        <v/>
      </c>
      <c r="AF289" s="53">
        <f>IF(OR(P289="",AB289=""),"",IF(OR(P289="Gasto",P289="Transferencia",P289="Pago tarjeta"),-1,1)*IF(IFERROR(INDEX(ctaMoneda,MATCH(AB289,ctaNombre,0))&amp;"","DOP")="USD",T289,S289))</f>
        <v/>
      </c>
      <c r="AG289" s="53">
        <f>IF(AC289="","",IF(IFERROR(INDEX(ctaMoneda,MATCH(AC289,ctaNombre,0))&amp;"","DOP")="USD",T289,S289))</f>
        <v/>
      </c>
      <c r="AH289" s="53">
        <f>IF(P289="","",IF(AND(AD289&lt;&gt;"",COUNTIFS(tcTipo,AD289,tcLiq,"Sí")&gt;0),IF(OR(P289="Gasto",P289="Transferencia",P289="Pago tarjeta"),-1,1)*S289,0)+IF(AND(AE289&lt;&gt;"",COUNTIFS(tcTipo,AE289,tcLiq,"Sí")&gt;0),S289,0))</f>
        <v/>
      </c>
      <c r="AI289" s="52">
        <f>IF(OR(L289="",P289=""),"",IF(COUNTIFS(L$6:L289,L289,P$6:P289,"?*")=1,MAX(AI$5:AI288)+1,""))</f>
        <v/>
      </c>
    </row>
    <row r="290">
      <c r="B290" s="47" t="n"/>
      <c r="C290" s="48" t="n"/>
      <c r="D290" s="48" t="n"/>
      <c r="E290" s="48" t="n"/>
      <c r="F290" s="48" t="n"/>
      <c r="G290" s="49" t="n"/>
      <c r="H290" s="48" t="n"/>
      <c r="I290" s="50" t="n"/>
      <c r="J290" s="48" t="n"/>
      <c r="K290" s="48" t="n"/>
      <c r="L290" s="48" t="n"/>
      <c r="M290" s="48" t="n"/>
      <c r="N290" s="48" t="n"/>
      <c r="O290" s="51">
        <f>IF(AND(B290="",G290="",C290="",D290="",J290=""),"",IF(B290="","⚠ Falta fecha",IF(G290="","⚠ Falta monto",IF(Q290="","⚠ Falta cuenta",IF(ISNA(MATCH(Q290,ctaNombre,0)),"⚠ Cuenta no registrada",IF(AND(OR(P290="Gasto",P290="Reembolso"),D290=""),"⚠ Falta categoría",IF(AND(D290&lt;&gt;"",E290&lt;&gt;"",ISNA(MATCH(D290&amp;"|"&amp;E290,catClave,0))),"⚠ Subcategoría no corresponde",IF(AND(OR(P290="Transferencia",P290="Pago tarjeta"),K290=""),"⚠ Falta cuenta destino",IF(AND(K290&lt;&gt;"",P290&lt;&gt;"Transferencia",P290&lt;&gt;"Pago tarjeta"),"⚠ Destino solo aplica a transferencias",IF(AND(K290&lt;&gt;"",K290=Q290),"⚠ Origen igual a destino",IF(AND(K290&lt;&gt;"",ISNA(MATCH(K290,ctaNombre,0))),"⚠ Destino no registrado",IF(AND(P290="Pago tarjeta",AE290&lt;&gt;"Tarjeta de crédito"),"⚠ El destino debe ser tarjeta de crédito",IF(AND(P290="Gasto",E290="Depósitos y retiros"),"⚠ Usa tipo Transferencia",IF(AND(P290="Resultado trading",AD290&lt;&gt;"Cuenta de trading"),"⚠ Usa una cuenta de trading",IF(AND(G290&lt;=0,P290&lt;&gt;"Ajuste",P290&lt;&gt;"Resultado trading"),"⚠ El monto debe ser positivo","✓")))))))))))))))</f>
        <v/>
      </c>
      <c r="P290" s="52">
        <f>IF(OR(B290="",G290=""),"",IF(C290="","Gasto",C290))</f>
        <v/>
      </c>
      <c r="Q290" s="52">
        <f>IF(P290="","",IF(J290&lt;&gt;"",J290,CuentaPred&amp;""))</f>
        <v/>
      </c>
      <c r="R290" s="52">
        <f>IF(P290="","",IF(ISNUMBER(I290),I290,TasaUSD))</f>
        <v/>
      </c>
      <c r="S290" s="53">
        <f>IF(P290="","",IF(H290="USD",G290*R290,G290))</f>
        <v/>
      </c>
      <c r="T290" s="53">
        <f>IF(P290="","",IF(H290="USD",G290,IF(R290&gt;0,G290/R290,0)))</f>
        <v/>
      </c>
      <c r="U290" s="53">
        <f>IF(P290="","",IF(P290="Gasto",S290,IF(P290="Reembolso",-S290,0)))</f>
        <v/>
      </c>
      <c r="V290" s="53">
        <f>IF(P290="","",IF(P290="Ingreso",S290,0))</f>
        <v/>
      </c>
      <c r="W290" s="53">
        <f>IF(P290="","",IF(P290="Resultado trading",S290,0))</f>
        <v/>
      </c>
      <c r="X290" s="52">
        <f>IF(OR(P290="Gasto",P290="Reembolso"),IF(M290&lt;&gt;"",M290,IFERROR(INDEX(catClasif,MATCH(D290&amp;"|"&amp;E290,catClave,0))&amp;"","Variable")),"")</f>
        <v/>
      </c>
      <c r="Y290" s="52">
        <f>IF(P290="","",IFERROR(INDEX(catGrupo,MATCH(D290&amp;"|"&amp;E290,catClave,0))&amp;"",""))</f>
        <v/>
      </c>
      <c r="Z290" s="52">
        <f>IF(P290="","",WEEKDAY(B290,2))</f>
        <v/>
      </c>
      <c r="AA290" s="52">
        <f>IF(P290="","",IF(AND(P290="Gasto",X290="Variable",D290&lt;&gt;catTrading,S290&gt;0,S290&lt;=Umbral),1,0))</f>
        <v/>
      </c>
      <c r="AB290" s="52">
        <f>IF(OR(P290="",Q290=""),"",IFERROR(IF(INDEX(ctaVinc,MATCH(Q290,ctaNombre,0))&amp;""&lt;&gt;"",INDEX(ctaVinc,MATCH(Q290,ctaNombre,0))&amp;"",Q290),Q290))</f>
        <v/>
      </c>
      <c r="AC290" s="52">
        <f>IF(OR(K290="",AND(P290&lt;&gt;"Transferencia",P290&lt;&gt;"Pago tarjeta")),"",IFERROR(IF(INDEX(ctaVinc,MATCH(K290,ctaNombre,0))&amp;""&lt;&gt;"",INDEX(ctaVinc,MATCH(K290,ctaNombre,0))&amp;"",K290),K290))</f>
        <v/>
      </c>
      <c r="AD290" s="52">
        <f>IF(AB290="","",IFERROR(INDEX(ctaTipo,MATCH(AB290,ctaNombre,0))&amp;"",""))</f>
        <v/>
      </c>
      <c r="AE290" s="52">
        <f>IF(AC290="","",IFERROR(INDEX(ctaTipo,MATCH(AC290,ctaNombre,0))&amp;"",""))</f>
        <v/>
      </c>
      <c r="AF290" s="53">
        <f>IF(OR(P290="",AB290=""),"",IF(OR(P290="Gasto",P290="Transferencia",P290="Pago tarjeta"),-1,1)*IF(IFERROR(INDEX(ctaMoneda,MATCH(AB290,ctaNombre,0))&amp;"","DOP")="USD",T290,S290))</f>
        <v/>
      </c>
      <c r="AG290" s="53">
        <f>IF(AC290="","",IF(IFERROR(INDEX(ctaMoneda,MATCH(AC290,ctaNombre,0))&amp;"","DOP")="USD",T290,S290))</f>
        <v/>
      </c>
      <c r="AH290" s="53">
        <f>IF(P290="","",IF(AND(AD290&lt;&gt;"",COUNTIFS(tcTipo,AD290,tcLiq,"Sí")&gt;0),IF(OR(P290="Gasto",P290="Transferencia",P290="Pago tarjeta"),-1,1)*S290,0)+IF(AND(AE290&lt;&gt;"",COUNTIFS(tcTipo,AE290,tcLiq,"Sí")&gt;0),S290,0))</f>
        <v/>
      </c>
      <c r="AI290" s="52">
        <f>IF(OR(L290="",P290=""),"",IF(COUNTIFS(L$6:L290,L290,P$6:P290,"?*")=1,MAX(AI$5:AI289)+1,""))</f>
        <v/>
      </c>
    </row>
    <row r="291">
      <c r="B291" s="47" t="n"/>
      <c r="C291" s="48" t="n"/>
      <c r="D291" s="48" t="n"/>
      <c r="E291" s="48" t="n"/>
      <c r="F291" s="48" t="n"/>
      <c r="G291" s="49" t="n"/>
      <c r="H291" s="48" t="n"/>
      <c r="I291" s="50" t="n"/>
      <c r="J291" s="48" t="n"/>
      <c r="K291" s="48" t="n"/>
      <c r="L291" s="48" t="n"/>
      <c r="M291" s="48" t="n"/>
      <c r="N291" s="48" t="n"/>
      <c r="O291" s="51">
        <f>IF(AND(B291="",G291="",C291="",D291="",J291=""),"",IF(B291="","⚠ Falta fecha",IF(G291="","⚠ Falta monto",IF(Q291="","⚠ Falta cuenta",IF(ISNA(MATCH(Q291,ctaNombre,0)),"⚠ Cuenta no registrada",IF(AND(OR(P291="Gasto",P291="Reembolso"),D291=""),"⚠ Falta categoría",IF(AND(D291&lt;&gt;"",E291&lt;&gt;"",ISNA(MATCH(D291&amp;"|"&amp;E291,catClave,0))),"⚠ Subcategoría no corresponde",IF(AND(OR(P291="Transferencia",P291="Pago tarjeta"),K291=""),"⚠ Falta cuenta destino",IF(AND(K291&lt;&gt;"",P291&lt;&gt;"Transferencia",P291&lt;&gt;"Pago tarjeta"),"⚠ Destino solo aplica a transferencias",IF(AND(K291&lt;&gt;"",K291=Q291),"⚠ Origen igual a destino",IF(AND(K291&lt;&gt;"",ISNA(MATCH(K291,ctaNombre,0))),"⚠ Destino no registrado",IF(AND(P291="Pago tarjeta",AE291&lt;&gt;"Tarjeta de crédito"),"⚠ El destino debe ser tarjeta de crédito",IF(AND(P291="Gasto",E291="Depósitos y retiros"),"⚠ Usa tipo Transferencia",IF(AND(P291="Resultado trading",AD291&lt;&gt;"Cuenta de trading"),"⚠ Usa una cuenta de trading",IF(AND(G291&lt;=0,P291&lt;&gt;"Ajuste",P291&lt;&gt;"Resultado trading"),"⚠ El monto debe ser positivo","✓")))))))))))))))</f>
        <v/>
      </c>
      <c r="P291" s="52">
        <f>IF(OR(B291="",G291=""),"",IF(C291="","Gasto",C291))</f>
        <v/>
      </c>
      <c r="Q291" s="52">
        <f>IF(P291="","",IF(J291&lt;&gt;"",J291,CuentaPred&amp;""))</f>
        <v/>
      </c>
      <c r="R291" s="52">
        <f>IF(P291="","",IF(ISNUMBER(I291),I291,TasaUSD))</f>
        <v/>
      </c>
      <c r="S291" s="53">
        <f>IF(P291="","",IF(H291="USD",G291*R291,G291))</f>
        <v/>
      </c>
      <c r="T291" s="53">
        <f>IF(P291="","",IF(H291="USD",G291,IF(R291&gt;0,G291/R291,0)))</f>
        <v/>
      </c>
      <c r="U291" s="53">
        <f>IF(P291="","",IF(P291="Gasto",S291,IF(P291="Reembolso",-S291,0)))</f>
        <v/>
      </c>
      <c r="V291" s="53">
        <f>IF(P291="","",IF(P291="Ingreso",S291,0))</f>
        <v/>
      </c>
      <c r="W291" s="53">
        <f>IF(P291="","",IF(P291="Resultado trading",S291,0))</f>
        <v/>
      </c>
      <c r="X291" s="52">
        <f>IF(OR(P291="Gasto",P291="Reembolso"),IF(M291&lt;&gt;"",M291,IFERROR(INDEX(catClasif,MATCH(D291&amp;"|"&amp;E291,catClave,0))&amp;"","Variable")),"")</f>
        <v/>
      </c>
      <c r="Y291" s="52">
        <f>IF(P291="","",IFERROR(INDEX(catGrupo,MATCH(D291&amp;"|"&amp;E291,catClave,0))&amp;"",""))</f>
        <v/>
      </c>
      <c r="Z291" s="52">
        <f>IF(P291="","",WEEKDAY(B291,2))</f>
        <v/>
      </c>
      <c r="AA291" s="52">
        <f>IF(P291="","",IF(AND(P291="Gasto",X291="Variable",D291&lt;&gt;catTrading,S291&gt;0,S291&lt;=Umbral),1,0))</f>
        <v/>
      </c>
      <c r="AB291" s="52">
        <f>IF(OR(P291="",Q291=""),"",IFERROR(IF(INDEX(ctaVinc,MATCH(Q291,ctaNombre,0))&amp;""&lt;&gt;"",INDEX(ctaVinc,MATCH(Q291,ctaNombre,0))&amp;"",Q291),Q291))</f>
        <v/>
      </c>
      <c r="AC291" s="52">
        <f>IF(OR(K291="",AND(P291&lt;&gt;"Transferencia",P291&lt;&gt;"Pago tarjeta")),"",IFERROR(IF(INDEX(ctaVinc,MATCH(K291,ctaNombre,0))&amp;""&lt;&gt;"",INDEX(ctaVinc,MATCH(K291,ctaNombre,0))&amp;"",K291),K291))</f>
        <v/>
      </c>
      <c r="AD291" s="52">
        <f>IF(AB291="","",IFERROR(INDEX(ctaTipo,MATCH(AB291,ctaNombre,0))&amp;"",""))</f>
        <v/>
      </c>
      <c r="AE291" s="52">
        <f>IF(AC291="","",IFERROR(INDEX(ctaTipo,MATCH(AC291,ctaNombre,0))&amp;"",""))</f>
        <v/>
      </c>
      <c r="AF291" s="53">
        <f>IF(OR(P291="",AB291=""),"",IF(OR(P291="Gasto",P291="Transferencia",P291="Pago tarjeta"),-1,1)*IF(IFERROR(INDEX(ctaMoneda,MATCH(AB291,ctaNombre,0))&amp;"","DOP")="USD",T291,S291))</f>
        <v/>
      </c>
      <c r="AG291" s="53">
        <f>IF(AC291="","",IF(IFERROR(INDEX(ctaMoneda,MATCH(AC291,ctaNombre,0))&amp;"","DOP")="USD",T291,S291))</f>
        <v/>
      </c>
      <c r="AH291" s="53">
        <f>IF(P291="","",IF(AND(AD291&lt;&gt;"",COUNTIFS(tcTipo,AD291,tcLiq,"Sí")&gt;0),IF(OR(P291="Gasto",P291="Transferencia",P291="Pago tarjeta"),-1,1)*S291,0)+IF(AND(AE291&lt;&gt;"",COUNTIFS(tcTipo,AE291,tcLiq,"Sí")&gt;0),S291,0))</f>
        <v/>
      </c>
      <c r="AI291" s="52">
        <f>IF(OR(L291="",P291=""),"",IF(COUNTIFS(L$6:L291,L291,P$6:P291,"?*")=1,MAX(AI$5:AI290)+1,""))</f>
        <v/>
      </c>
    </row>
    <row r="292">
      <c r="B292" s="47" t="n"/>
      <c r="C292" s="48" t="n"/>
      <c r="D292" s="48" t="n"/>
      <c r="E292" s="48" t="n"/>
      <c r="F292" s="48" t="n"/>
      <c r="G292" s="49" t="n"/>
      <c r="H292" s="48" t="n"/>
      <c r="I292" s="50" t="n"/>
      <c r="J292" s="48" t="n"/>
      <c r="K292" s="48" t="n"/>
      <c r="L292" s="48" t="n"/>
      <c r="M292" s="48" t="n"/>
      <c r="N292" s="48" t="n"/>
      <c r="O292" s="51">
        <f>IF(AND(B292="",G292="",C292="",D292="",J292=""),"",IF(B292="","⚠ Falta fecha",IF(G292="","⚠ Falta monto",IF(Q292="","⚠ Falta cuenta",IF(ISNA(MATCH(Q292,ctaNombre,0)),"⚠ Cuenta no registrada",IF(AND(OR(P292="Gasto",P292="Reembolso"),D292=""),"⚠ Falta categoría",IF(AND(D292&lt;&gt;"",E292&lt;&gt;"",ISNA(MATCH(D292&amp;"|"&amp;E292,catClave,0))),"⚠ Subcategoría no corresponde",IF(AND(OR(P292="Transferencia",P292="Pago tarjeta"),K292=""),"⚠ Falta cuenta destino",IF(AND(K292&lt;&gt;"",P292&lt;&gt;"Transferencia",P292&lt;&gt;"Pago tarjeta"),"⚠ Destino solo aplica a transferencias",IF(AND(K292&lt;&gt;"",K292=Q292),"⚠ Origen igual a destino",IF(AND(K292&lt;&gt;"",ISNA(MATCH(K292,ctaNombre,0))),"⚠ Destino no registrado",IF(AND(P292="Pago tarjeta",AE292&lt;&gt;"Tarjeta de crédito"),"⚠ El destino debe ser tarjeta de crédito",IF(AND(P292="Gasto",E292="Depósitos y retiros"),"⚠ Usa tipo Transferencia",IF(AND(P292="Resultado trading",AD292&lt;&gt;"Cuenta de trading"),"⚠ Usa una cuenta de trading",IF(AND(G292&lt;=0,P292&lt;&gt;"Ajuste",P292&lt;&gt;"Resultado trading"),"⚠ El monto debe ser positivo","✓")))))))))))))))</f>
        <v/>
      </c>
      <c r="P292" s="52">
        <f>IF(OR(B292="",G292=""),"",IF(C292="","Gasto",C292))</f>
        <v/>
      </c>
      <c r="Q292" s="52">
        <f>IF(P292="","",IF(J292&lt;&gt;"",J292,CuentaPred&amp;""))</f>
        <v/>
      </c>
      <c r="R292" s="52">
        <f>IF(P292="","",IF(ISNUMBER(I292),I292,TasaUSD))</f>
        <v/>
      </c>
      <c r="S292" s="53">
        <f>IF(P292="","",IF(H292="USD",G292*R292,G292))</f>
        <v/>
      </c>
      <c r="T292" s="53">
        <f>IF(P292="","",IF(H292="USD",G292,IF(R292&gt;0,G292/R292,0)))</f>
        <v/>
      </c>
      <c r="U292" s="53">
        <f>IF(P292="","",IF(P292="Gasto",S292,IF(P292="Reembolso",-S292,0)))</f>
        <v/>
      </c>
      <c r="V292" s="53">
        <f>IF(P292="","",IF(P292="Ingreso",S292,0))</f>
        <v/>
      </c>
      <c r="W292" s="53">
        <f>IF(P292="","",IF(P292="Resultado trading",S292,0))</f>
        <v/>
      </c>
      <c r="X292" s="52">
        <f>IF(OR(P292="Gasto",P292="Reembolso"),IF(M292&lt;&gt;"",M292,IFERROR(INDEX(catClasif,MATCH(D292&amp;"|"&amp;E292,catClave,0))&amp;"","Variable")),"")</f>
        <v/>
      </c>
      <c r="Y292" s="52">
        <f>IF(P292="","",IFERROR(INDEX(catGrupo,MATCH(D292&amp;"|"&amp;E292,catClave,0))&amp;"",""))</f>
        <v/>
      </c>
      <c r="Z292" s="52">
        <f>IF(P292="","",WEEKDAY(B292,2))</f>
        <v/>
      </c>
      <c r="AA292" s="52">
        <f>IF(P292="","",IF(AND(P292="Gasto",X292="Variable",D292&lt;&gt;catTrading,S292&gt;0,S292&lt;=Umbral),1,0))</f>
        <v/>
      </c>
      <c r="AB292" s="52">
        <f>IF(OR(P292="",Q292=""),"",IFERROR(IF(INDEX(ctaVinc,MATCH(Q292,ctaNombre,0))&amp;""&lt;&gt;"",INDEX(ctaVinc,MATCH(Q292,ctaNombre,0))&amp;"",Q292),Q292))</f>
        <v/>
      </c>
      <c r="AC292" s="52">
        <f>IF(OR(K292="",AND(P292&lt;&gt;"Transferencia",P292&lt;&gt;"Pago tarjeta")),"",IFERROR(IF(INDEX(ctaVinc,MATCH(K292,ctaNombre,0))&amp;""&lt;&gt;"",INDEX(ctaVinc,MATCH(K292,ctaNombre,0))&amp;"",K292),K292))</f>
        <v/>
      </c>
      <c r="AD292" s="52">
        <f>IF(AB292="","",IFERROR(INDEX(ctaTipo,MATCH(AB292,ctaNombre,0))&amp;"",""))</f>
        <v/>
      </c>
      <c r="AE292" s="52">
        <f>IF(AC292="","",IFERROR(INDEX(ctaTipo,MATCH(AC292,ctaNombre,0))&amp;"",""))</f>
        <v/>
      </c>
      <c r="AF292" s="53">
        <f>IF(OR(P292="",AB292=""),"",IF(OR(P292="Gasto",P292="Transferencia",P292="Pago tarjeta"),-1,1)*IF(IFERROR(INDEX(ctaMoneda,MATCH(AB292,ctaNombre,0))&amp;"","DOP")="USD",T292,S292))</f>
        <v/>
      </c>
      <c r="AG292" s="53">
        <f>IF(AC292="","",IF(IFERROR(INDEX(ctaMoneda,MATCH(AC292,ctaNombre,0))&amp;"","DOP")="USD",T292,S292))</f>
        <v/>
      </c>
      <c r="AH292" s="53">
        <f>IF(P292="","",IF(AND(AD292&lt;&gt;"",COUNTIFS(tcTipo,AD292,tcLiq,"Sí")&gt;0),IF(OR(P292="Gasto",P292="Transferencia",P292="Pago tarjeta"),-1,1)*S292,0)+IF(AND(AE292&lt;&gt;"",COUNTIFS(tcTipo,AE292,tcLiq,"Sí")&gt;0),S292,0))</f>
        <v/>
      </c>
      <c r="AI292" s="52">
        <f>IF(OR(L292="",P292=""),"",IF(COUNTIFS(L$6:L292,L292,P$6:P292,"?*")=1,MAX(AI$5:AI291)+1,""))</f>
        <v/>
      </c>
    </row>
    <row r="293">
      <c r="B293" s="47" t="n"/>
      <c r="C293" s="48" t="n"/>
      <c r="D293" s="48" t="n"/>
      <c r="E293" s="48" t="n"/>
      <c r="F293" s="48" t="n"/>
      <c r="G293" s="49" t="n"/>
      <c r="H293" s="48" t="n"/>
      <c r="I293" s="50" t="n"/>
      <c r="J293" s="48" t="n"/>
      <c r="K293" s="48" t="n"/>
      <c r="L293" s="48" t="n"/>
      <c r="M293" s="48" t="n"/>
      <c r="N293" s="48" t="n"/>
      <c r="O293" s="51">
        <f>IF(AND(B293="",G293="",C293="",D293="",J293=""),"",IF(B293="","⚠ Falta fecha",IF(G293="","⚠ Falta monto",IF(Q293="","⚠ Falta cuenta",IF(ISNA(MATCH(Q293,ctaNombre,0)),"⚠ Cuenta no registrada",IF(AND(OR(P293="Gasto",P293="Reembolso"),D293=""),"⚠ Falta categoría",IF(AND(D293&lt;&gt;"",E293&lt;&gt;"",ISNA(MATCH(D293&amp;"|"&amp;E293,catClave,0))),"⚠ Subcategoría no corresponde",IF(AND(OR(P293="Transferencia",P293="Pago tarjeta"),K293=""),"⚠ Falta cuenta destino",IF(AND(K293&lt;&gt;"",P293&lt;&gt;"Transferencia",P293&lt;&gt;"Pago tarjeta"),"⚠ Destino solo aplica a transferencias",IF(AND(K293&lt;&gt;"",K293=Q293),"⚠ Origen igual a destino",IF(AND(K293&lt;&gt;"",ISNA(MATCH(K293,ctaNombre,0))),"⚠ Destino no registrado",IF(AND(P293="Pago tarjeta",AE293&lt;&gt;"Tarjeta de crédito"),"⚠ El destino debe ser tarjeta de crédito",IF(AND(P293="Gasto",E293="Depósitos y retiros"),"⚠ Usa tipo Transferencia",IF(AND(P293="Resultado trading",AD293&lt;&gt;"Cuenta de trading"),"⚠ Usa una cuenta de trading",IF(AND(G293&lt;=0,P293&lt;&gt;"Ajuste",P293&lt;&gt;"Resultado trading"),"⚠ El monto debe ser positivo","✓")))))))))))))))</f>
        <v/>
      </c>
      <c r="P293" s="52">
        <f>IF(OR(B293="",G293=""),"",IF(C293="","Gasto",C293))</f>
        <v/>
      </c>
      <c r="Q293" s="52">
        <f>IF(P293="","",IF(J293&lt;&gt;"",J293,CuentaPred&amp;""))</f>
        <v/>
      </c>
      <c r="R293" s="52">
        <f>IF(P293="","",IF(ISNUMBER(I293),I293,TasaUSD))</f>
        <v/>
      </c>
      <c r="S293" s="53">
        <f>IF(P293="","",IF(H293="USD",G293*R293,G293))</f>
        <v/>
      </c>
      <c r="T293" s="53">
        <f>IF(P293="","",IF(H293="USD",G293,IF(R293&gt;0,G293/R293,0)))</f>
        <v/>
      </c>
      <c r="U293" s="53">
        <f>IF(P293="","",IF(P293="Gasto",S293,IF(P293="Reembolso",-S293,0)))</f>
        <v/>
      </c>
      <c r="V293" s="53">
        <f>IF(P293="","",IF(P293="Ingreso",S293,0))</f>
        <v/>
      </c>
      <c r="W293" s="53">
        <f>IF(P293="","",IF(P293="Resultado trading",S293,0))</f>
        <v/>
      </c>
      <c r="X293" s="52">
        <f>IF(OR(P293="Gasto",P293="Reembolso"),IF(M293&lt;&gt;"",M293,IFERROR(INDEX(catClasif,MATCH(D293&amp;"|"&amp;E293,catClave,0))&amp;"","Variable")),"")</f>
        <v/>
      </c>
      <c r="Y293" s="52">
        <f>IF(P293="","",IFERROR(INDEX(catGrupo,MATCH(D293&amp;"|"&amp;E293,catClave,0))&amp;"",""))</f>
        <v/>
      </c>
      <c r="Z293" s="52">
        <f>IF(P293="","",WEEKDAY(B293,2))</f>
        <v/>
      </c>
      <c r="AA293" s="52">
        <f>IF(P293="","",IF(AND(P293="Gasto",X293="Variable",D293&lt;&gt;catTrading,S293&gt;0,S293&lt;=Umbral),1,0))</f>
        <v/>
      </c>
      <c r="AB293" s="52">
        <f>IF(OR(P293="",Q293=""),"",IFERROR(IF(INDEX(ctaVinc,MATCH(Q293,ctaNombre,0))&amp;""&lt;&gt;"",INDEX(ctaVinc,MATCH(Q293,ctaNombre,0))&amp;"",Q293),Q293))</f>
        <v/>
      </c>
      <c r="AC293" s="52">
        <f>IF(OR(K293="",AND(P293&lt;&gt;"Transferencia",P293&lt;&gt;"Pago tarjeta")),"",IFERROR(IF(INDEX(ctaVinc,MATCH(K293,ctaNombre,0))&amp;""&lt;&gt;"",INDEX(ctaVinc,MATCH(K293,ctaNombre,0))&amp;"",K293),K293))</f>
        <v/>
      </c>
      <c r="AD293" s="52">
        <f>IF(AB293="","",IFERROR(INDEX(ctaTipo,MATCH(AB293,ctaNombre,0))&amp;"",""))</f>
        <v/>
      </c>
      <c r="AE293" s="52">
        <f>IF(AC293="","",IFERROR(INDEX(ctaTipo,MATCH(AC293,ctaNombre,0))&amp;"",""))</f>
        <v/>
      </c>
      <c r="AF293" s="53">
        <f>IF(OR(P293="",AB293=""),"",IF(OR(P293="Gasto",P293="Transferencia",P293="Pago tarjeta"),-1,1)*IF(IFERROR(INDEX(ctaMoneda,MATCH(AB293,ctaNombre,0))&amp;"","DOP")="USD",T293,S293))</f>
        <v/>
      </c>
      <c r="AG293" s="53">
        <f>IF(AC293="","",IF(IFERROR(INDEX(ctaMoneda,MATCH(AC293,ctaNombre,0))&amp;"","DOP")="USD",T293,S293))</f>
        <v/>
      </c>
      <c r="AH293" s="53">
        <f>IF(P293="","",IF(AND(AD293&lt;&gt;"",COUNTIFS(tcTipo,AD293,tcLiq,"Sí")&gt;0),IF(OR(P293="Gasto",P293="Transferencia",P293="Pago tarjeta"),-1,1)*S293,0)+IF(AND(AE293&lt;&gt;"",COUNTIFS(tcTipo,AE293,tcLiq,"Sí")&gt;0),S293,0))</f>
        <v/>
      </c>
      <c r="AI293" s="52">
        <f>IF(OR(L293="",P293=""),"",IF(COUNTIFS(L$6:L293,L293,P$6:P293,"?*")=1,MAX(AI$5:AI292)+1,""))</f>
        <v/>
      </c>
    </row>
    <row r="294">
      <c r="B294" s="47" t="n"/>
      <c r="C294" s="48" t="n"/>
      <c r="D294" s="48" t="n"/>
      <c r="E294" s="48" t="n"/>
      <c r="F294" s="48" t="n"/>
      <c r="G294" s="49" t="n"/>
      <c r="H294" s="48" t="n"/>
      <c r="I294" s="50" t="n"/>
      <c r="J294" s="48" t="n"/>
      <c r="K294" s="48" t="n"/>
      <c r="L294" s="48" t="n"/>
      <c r="M294" s="48" t="n"/>
      <c r="N294" s="48" t="n"/>
      <c r="O294" s="51">
        <f>IF(AND(B294="",G294="",C294="",D294="",J294=""),"",IF(B294="","⚠ Falta fecha",IF(G294="","⚠ Falta monto",IF(Q294="","⚠ Falta cuenta",IF(ISNA(MATCH(Q294,ctaNombre,0)),"⚠ Cuenta no registrada",IF(AND(OR(P294="Gasto",P294="Reembolso"),D294=""),"⚠ Falta categoría",IF(AND(D294&lt;&gt;"",E294&lt;&gt;"",ISNA(MATCH(D294&amp;"|"&amp;E294,catClave,0))),"⚠ Subcategoría no corresponde",IF(AND(OR(P294="Transferencia",P294="Pago tarjeta"),K294=""),"⚠ Falta cuenta destino",IF(AND(K294&lt;&gt;"",P294&lt;&gt;"Transferencia",P294&lt;&gt;"Pago tarjeta"),"⚠ Destino solo aplica a transferencias",IF(AND(K294&lt;&gt;"",K294=Q294),"⚠ Origen igual a destino",IF(AND(K294&lt;&gt;"",ISNA(MATCH(K294,ctaNombre,0))),"⚠ Destino no registrado",IF(AND(P294="Pago tarjeta",AE294&lt;&gt;"Tarjeta de crédito"),"⚠ El destino debe ser tarjeta de crédito",IF(AND(P294="Gasto",E294="Depósitos y retiros"),"⚠ Usa tipo Transferencia",IF(AND(P294="Resultado trading",AD294&lt;&gt;"Cuenta de trading"),"⚠ Usa una cuenta de trading",IF(AND(G294&lt;=0,P294&lt;&gt;"Ajuste",P294&lt;&gt;"Resultado trading"),"⚠ El monto debe ser positivo","✓")))))))))))))))</f>
        <v/>
      </c>
      <c r="P294" s="52">
        <f>IF(OR(B294="",G294=""),"",IF(C294="","Gasto",C294))</f>
        <v/>
      </c>
      <c r="Q294" s="52">
        <f>IF(P294="","",IF(J294&lt;&gt;"",J294,CuentaPred&amp;""))</f>
        <v/>
      </c>
      <c r="R294" s="52">
        <f>IF(P294="","",IF(ISNUMBER(I294),I294,TasaUSD))</f>
        <v/>
      </c>
      <c r="S294" s="53">
        <f>IF(P294="","",IF(H294="USD",G294*R294,G294))</f>
        <v/>
      </c>
      <c r="T294" s="53">
        <f>IF(P294="","",IF(H294="USD",G294,IF(R294&gt;0,G294/R294,0)))</f>
        <v/>
      </c>
      <c r="U294" s="53">
        <f>IF(P294="","",IF(P294="Gasto",S294,IF(P294="Reembolso",-S294,0)))</f>
        <v/>
      </c>
      <c r="V294" s="53">
        <f>IF(P294="","",IF(P294="Ingreso",S294,0))</f>
        <v/>
      </c>
      <c r="W294" s="53">
        <f>IF(P294="","",IF(P294="Resultado trading",S294,0))</f>
        <v/>
      </c>
      <c r="X294" s="52">
        <f>IF(OR(P294="Gasto",P294="Reembolso"),IF(M294&lt;&gt;"",M294,IFERROR(INDEX(catClasif,MATCH(D294&amp;"|"&amp;E294,catClave,0))&amp;"","Variable")),"")</f>
        <v/>
      </c>
      <c r="Y294" s="52">
        <f>IF(P294="","",IFERROR(INDEX(catGrupo,MATCH(D294&amp;"|"&amp;E294,catClave,0))&amp;"",""))</f>
        <v/>
      </c>
      <c r="Z294" s="52">
        <f>IF(P294="","",WEEKDAY(B294,2))</f>
        <v/>
      </c>
      <c r="AA294" s="52">
        <f>IF(P294="","",IF(AND(P294="Gasto",X294="Variable",D294&lt;&gt;catTrading,S294&gt;0,S294&lt;=Umbral),1,0))</f>
        <v/>
      </c>
      <c r="AB294" s="52">
        <f>IF(OR(P294="",Q294=""),"",IFERROR(IF(INDEX(ctaVinc,MATCH(Q294,ctaNombre,0))&amp;""&lt;&gt;"",INDEX(ctaVinc,MATCH(Q294,ctaNombre,0))&amp;"",Q294),Q294))</f>
        <v/>
      </c>
      <c r="AC294" s="52">
        <f>IF(OR(K294="",AND(P294&lt;&gt;"Transferencia",P294&lt;&gt;"Pago tarjeta")),"",IFERROR(IF(INDEX(ctaVinc,MATCH(K294,ctaNombre,0))&amp;""&lt;&gt;"",INDEX(ctaVinc,MATCH(K294,ctaNombre,0))&amp;"",K294),K294))</f>
        <v/>
      </c>
      <c r="AD294" s="52">
        <f>IF(AB294="","",IFERROR(INDEX(ctaTipo,MATCH(AB294,ctaNombre,0))&amp;"",""))</f>
        <v/>
      </c>
      <c r="AE294" s="52">
        <f>IF(AC294="","",IFERROR(INDEX(ctaTipo,MATCH(AC294,ctaNombre,0))&amp;"",""))</f>
        <v/>
      </c>
      <c r="AF294" s="53">
        <f>IF(OR(P294="",AB294=""),"",IF(OR(P294="Gasto",P294="Transferencia",P294="Pago tarjeta"),-1,1)*IF(IFERROR(INDEX(ctaMoneda,MATCH(AB294,ctaNombre,0))&amp;"","DOP")="USD",T294,S294))</f>
        <v/>
      </c>
      <c r="AG294" s="53">
        <f>IF(AC294="","",IF(IFERROR(INDEX(ctaMoneda,MATCH(AC294,ctaNombre,0))&amp;"","DOP")="USD",T294,S294))</f>
        <v/>
      </c>
      <c r="AH294" s="53">
        <f>IF(P294="","",IF(AND(AD294&lt;&gt;"",COUNTIFS(tcTipo,AD294,tcLiq,"Sí")&gt;0),IF(OR(P294="Gasto",P294="Transferencia",P294="Pago tarjeta"),-1,1)*S294,0)+IF(AND(AE294&lt;&gt;"",COUNTIFS(tcTipo,AE294,tcLiq,"Sí")&gt;0),S294,0))</f>
        <v/>
      </c>
      <c r="AI294" s="52">
        <f>IF(OR(L294="",P294=""),"",IF(COUNTIFS(L$6:L294,L294,P$6:P294,"?*")=1,MAX(AI$5:AI293)+1,""))</f>
        <v/>
      </c>
    </row>
    <row r="295">
      <c r="B295" s="47" t="n"/>
      <c r="C295" s="48" t="n"/>
      <c r="D295" s="48" t="n"/>
      <c r="E295" s="48" t="n"/>
      <c r="F295" s="48" t="n"/>
      <c r="G295" s="49" t="n"/>
      <c r="H295" s="48" t="n"/>
      <c r="I295" s="50" t="n"/>
      <c r="J295" s="48" t="n"/>
      <c r="K295" s="48" t="n"/>
      <c r="L295" s="48" t="n"/>
      <c r="M295" s="48" t="n"/>
      <c r="N295" s="48" t="n"/>
      <c r="O295" s="51">
        <f>IF(AND(B295="",G295="",C295="",D295="",J295=""),"",IF(B295="","⚠ Falta fecha",IF(G295="","⚠ Falta monto",IF(Q295="","⚠ Falta cuenta",IF(ISNA(MATCH(Q295,ctaNombre,0)),"⚠ Cuenta no registrada",IF(AND(OR(P295="Gasto",P295="Reembolso"),D295=""),"⚠ Falta categoría",IF(AND(D295&lt;&gt;"",E295&lt;&gt;"",ISNA(MATCH(D295&amp;"|"&amp;E295,catClave,0))),"⚠ Subcategoría no corresponde",IF(AND(OR(P295="Transferencia",P295="Pago tarjeta"),K295=""),"⚠ Falta cuenta destino",IF(AND(K295&lt;&gt;"",P295&lt;&gt;"Transferencia",P295&lt;&gt;"Pago tarjeta"),"⚠ Destino solo aplica a transferencias",IF(AND(K295&lt;&gt;"",K295=Q295),"⚠ Origen igual a destino",IF(AND(K295&lt;&gt;"",ISNA(MATCH(K295,ctaNombre,0))),"⚠ Destino no registrado",IF(AND(P295="Pago tarjeta",AE295&lt;&gt;"Tarjeta de crédito"),"⚠ El destino debe ser tarjeta de crédito",IF(AND(P295="Gasto",E295="Depósitos y retiros"),"⚠ Usa tipo Transferencia",IF(AND(P295="Resultado trading",AD295&lt;&gt;"Cuenta de trading"),"⚠ Usa una cuenta de trading",IF(AND(G295&lt;=0,P295&lt;&gt;"Ajuste",P295&lt;&gt;"Resultado trading"),"⚠ El monto debe ser positivo","✓")))))))))))))))</f>
        <v/>
      </c>
      <c r="P295" s="52">
        <f>IF(OR(B295="",G295=""),"",IF(C295="","Gasto",C295))</f>
        <v/>
      </c>
      <c r="Q295" s="52">
        <f>IF(P295="","",IF(J295&lt;&gt;"",J295,CuentaPred&amp;""))</f>
        <v/>
      </c>
      <c r="R295" s="52">
        <f>IF(P295="","",IF(ISNUMBER(I295),I295,TasaUSD))</f>
        <v/>
      </c>
      <c r="S295" s="53">
        <f>IF(P295="","",IF(H295="USD",G295*R295,G295))</f>
        <v/>
      </c>
      <c r="T295" s="53">
        <f>IF(P295="","",IF(H295="USD",G295,IF(R295&gt;0,G295/R295,0)))</f>
        <v/>
      </c>
      <c r="U295" s="53">
        <f>IF(P295="","",IF(P295="Gasto",S295,IF(P295="Reembolso",-S295,0)))</f>
        <v/>
      </c>
      <c r="V295" s="53">
        <f>IF(P295="","",IF(P295="Ingreso",S295,0))</f>
        <v/>
      </c>
      <c r="W295" s="53">
        <f>IF(P295="","",IF(P295="Resultado trading",S295,0))</f>
        <v/>
      </c>
      <c r="X295" s="52">
        <f>IF(OR(P295="Gasto",P295="Reembolso"),IF(M295&lt;&gt;"",M295,IFERROR(INDEX(catClasif,MATCH(D295&amp;"|"&amp;E295,catClave,0))&amp;"","Variable")),"")</f>
        <v/>
      </c>
      <c r="Y295" s="52">
        <f>IF(P295="","",IFERROR(INDEX(catGrupo,MATCH(D295&amp;"|"&amp;E295,catClave,0))&amp;"",""))</f>
        <v/>
      </c>
      <c r="Z295" s="52">
        <f>IF(P295="","",WEEKDAY(B295,2))</f>
        <v/>
      </c>
      <c r="AA295" s="52">
        <f>IF(P295="","",IF(AND(P295="Gasto",X295="Variable",D295&lt;&gt;catTrading,S295&gt;0,S295&lt;=Umbral),1,0))</f>
        <v/>
      </c>
      <c r="AB295" s="52">
        <f>IF(OR(P295="",Q295=""),"",IFERROR(IF(INDEX(ctaVinc,MATCH(Q295,ctaNombre,0))&amp;""&lt;&gt;"",INDEX(ctaVinc,MATCH(Q295,ctaNombre,0))&amp;"",Q295),Q295))</f>
        <v/>
      </c>
      <c r="AC295" s="52">
        <f>IF(OR(K295="",AND(P295&lt;&gt;"Transferencia",P295&lt;&gt;"Pago tarjeta")),"",IFERROR(IF(INDEX(ctaVinc,MATCH(K295,ctaNombre,0))&amp;""&lt;&gt;"",INDEX(ctaVinc,MATCH(K295,ctaNombre,0))&amp;"",K295),K295))</f>
        <v/>
      </c>
      <c r="AD295" s="52">
        <f>IF(AB295="","",IFERROR(INDEX(ctaTipo,MATCH(AB295,ctaNombre,0))&amp;"",""))</f>
        <v/>
      </c>
      <c r="AE295" s="52">
        <f>IF(AC295="","",IFERROR(INDEX(ctaTipo,MATCH(AC295,ctaNombre,0))&amp;"",""))</f>
        <v/>
      </c>
      <c r="AF295" s="53">
        <f>IF(OR(P295="",AB295=""),"",IF(OR(P295="Gasto",P295="Transferencia",P295="Pago tarjeta"),-1,1)*IF(IFERROR(INDEX(ctaMoneda,MATCH(AB295,ctaNombre,0))&amp;"","DOP")="USD",T295,S295))</f>
        <v/>
      </c>
      <c r="AG295" s="53">
        <f>IF(AC295="","",IF(IFERROR(INDEX(ctaMoneda,MATCH(AC295,ctaNombre,0))&amp;"","DOP")="USD",T295,S295))</f>
        <v/>
      </c>
      <c r="AH295" s="53">
        <f>IF(P295="","",IF(AND(AD295&lt;&gt;"",COUNTIFS(tcTipo,AD295,tcLiq,"Sí")&gt;0),IF(OR(P295="Gasto",P295="Transferencia",P295="Pago tarjeta"),-1,1)*S295,0)+IF(AND(AE295&lt;&gt;"",COUNTIFS(tcTipo,AE295,tcLiq,"Sí")&gt;0),S295,0))</f>
        <v/>
      </c>
      <c r="AI295" s="52">
        <f>IF(OR(L295="",P295=""),"",IF(COUNTIFS(L$6:L295,L295,P$6:P295,"?*")=1,MAX(AI$5:AI294)+1,""))</f>
        <v/>
      </c>
    </row>
    <row r="296">
      <c r="B296" s="47" t="n"/>
      <c r="C296" s="48" t="n"/>
      <c r="D296" s="48" t="n"/>
      <c r="E296" s="48" t="n"/>
      <c r="F296" s="48" t="n"/>
      <c r="G296" s="49" t="n"/>
      <c r="H296" s="48" t="n"/>
      <c r="I296" s="50" t="n"/>
      <c r="J296" s="48" t="n"/>
      <c r="K296" s="48" t="n"/>
      <c r="L296" s="48" t="n"/>
      <c r="M296" s="48" t="n"/>
      <c r="N296" s="48" t="n"/>
      <c r="O296" s="51">
        <f>IF(AND(B296="",G296="",C296="",D296="",J296=""),"",IF(B296="","⚠ Falta fecha",IF(G296="","⚠ Falta monto",IF(Q296="","⚠ Falta cuenta",IF(ISNA(MATCH(Q296,ctaNombre,0)),"⚠ Cuenta no registrada",IF(AND(OR(P296="Gasto",P296="Reembolso"),D296=""),"⚠ Falta categoría",IF(AND(D296&lt;&gt;"",E296&lt;&gt;"",ISNA(MATCH(D296&amp;"|"&amp;E296,catClave,0))),"⚠ Subcategoría no corresponde",IF(AND(OR(P296="Transferencia",P296="Pago tarjeta"),K296=""),"⚠ Falta cuenta destino",IF(AND(K296&lt;&gt;"",P296&lt;&gt;"Transferencia",P296&lt;&gt;"Pago tarjeta"),"⚠ Destino solo aplica a transferencias",IF(AND(K296&lt;&gt;"",K296=Q296),"⚠ Origen igual a destino",IF(AND(K296&lt;&gt;"",ISNA(MATCH(K296,ctaNombre,0))),"⚠ Destino no registrado",IF(AND(P296="Pago tarjeta",AE296&lt;&gt;"Tarjeta de crédito"),"⚠ El destino debe ser tarjeta de crédito",IF(AND(P296="Gasto",E296="Depósitos y retiros"),"⚠ Usa tipo Transferencia",IF(AND(P296="Resultado trading",AD296&lt;&gt;"Cuenta de trading"),"⚠ Usa una cuenta de trading",IF(AND(G296&lt;=0,P296&lt;&gt;"Ajuste",P296&lt;&gt;"Resultado trading"),"⚠ El monto debe ser positivo","✓")))))))))))))))</f>
        <v/>
      </c>
      <c r="P296" s="52">
        <f>IF(OR(B296="",G296=""),"",IF(C296="","Gasto",C296))</f>
        <v/>
      </c>
      <c r="Q296" s="52">
        <f>IF(P296="","",IF(J296&lt;&gt;"",J296,CuentaPred&amp;""))</f>
        <v/>
      </c>
      <c r="R296" s="52">
        <f>IF(P296="","",IF(ISNUMBER(I296),I296,TasaUSD))</f>
        <v/>
      </c>
      <c r="S296" s="53">
        <f>IF(P296="","",IF(H296="USD",G296*R296,G296))</f>
        <v/>
      </c>
      <c r="T296" s="53">
        <f>IF(P296="","",IF(H296="USD",G296,IF(R296&gt;0,G296/R296,0)))</f>
        <v/>
      </c>
      <c r="U296" s="53">
        <f>IF(P296="","",IF(P296="Gasto",S296,IF(P296="Reembolso",-S296,0)))</f>
        <v/>
      </c>
      <c r="V296" s="53">
        <f>IF(P296="","",IF(P296="Ingreso",S296,0))</f>
        <v/>
      </c>
      <c r="W296" s="53">
        <f>IF(P296="","",IF(P296="Resultado trading",S296,0))</f>
        <v/>
      </c>
      <c r="X296" s="52">
        <f>IF(OR(P296="Gasto",P296="Reembolso"),IF(M296&lt;&gt;"",M296,IFERROR(INDEX(catClasif,MATCH(D296&amp;"|"&amp;E296,catClave,0))&amp;"","Variable")),"")</f>
        <v/>
      </c>
      <c r="Y296" s="52">
        <f>IF(P296="","",IFERROR(INDEX(catGrupo,MATCH(D296&amp;"|"&amp;E296,catClave,0))&amp;"",""))</f>
        <v/>
      </c>
      <c r="Z296" s="52">
        <f>IF(P296="","",WEEKDAY(B296,2))</f>
        <v/>
      </c>
      <c r="AA296" s="52">
        <f>IF(P296="","",IF(AND(P296="Gasto",X296="Variable",D296&lt;&gt;catTrading,S296&gt;0,S296&lt;=Umbral),1,0))</f>
        <v/>
      </c>
      <c r="AB296" s="52">
        <f>IF(OR(P296="",Q296=""),"",IFERROR(IF(INDEX(ctaVinc,MATCH(Q296,ctaNombre,0))&amp;""&lt;&gt;"",INDEX(ctaVinc,MATCH(Q296,ctaNombre,0))&amp;"",Q296),Q296))</f>
        <v/>
      </c>
      <c r="AC296" s="52">
        <f>IF(OR(K296="",AND(P296&lt;&gt;"Transferencia",P296&lt;&gt;"Pago tarjeta")),"",IFERROR(IF(INDEX(ctaVinc,MATCH(K296,ctaNombre,0))&amp;""&lt;&gt;"",INDEX(ctaVinc,MATCH(K296,ctaNombre,0))&amp;"",K296),K296))</f>
        <v/>
      </c>
      <c r="AD296" s="52">
        <f>IF(AB296="","",IFERROR(INDEX(ctaTipo,MATCH(AB296,ctaNombre,0))&amp;"",""))</f>
        <v/>
      </c>
      <c r="AE296" s="52">
        <f>IF(AC296="","",IFERROR(INDEX(ctaTipo,MATCH(AC296,ctaNombre,0))&amp;"",""))</f>
        <v/>
      </c>
      <c r="AF296" s="53">
        <f>IF(OR(P296="",AB296=""),"",IF(OR(P296="Gasto",P296="Transferencia",P296="Pago tarjeta"),-1,1)*IF(IFERROR(INDEX(ctaMoneda,MATCH(AB296,ctaNombre,0))&amp;"","DOP")="USD",T296,S296))</f>
        <v/>
      </c>
      <c r="AG296" s="53">
        <f>IF(AC296="","",IF(IFERROR(INDEX(ctaMoneda,MATCH(AC296,ctaNombre,0))&amp;"","DOP")="USD",T296,S296))</f>
        <v/>
      </c>
      <c r="AH296" s="53">
        <f>IF(P296="","",IF(AND(AD296&lt;&gt;"",COUNTIFS(tcTipo,AD296,tcLiq,"Sí")&gt;0),IF(OR(P296="Gasto",P296="Transferencia",P296="Pago tarjeta"),-1,1)*S296,0)+IF(AND(AE296&lt;&gt;"",COUNTIFS(tcTipo,AE296,tcLiq,"Sí")&gt;0),S296,0))</f>
        <v/>
      </c>
      <c r="AI296" s="52">
        <f>IF(OR(L296="",P296=""),"",IF(COUNTIFS(L$6:L296,L296,P$6:P296,"?*")=1,MAX(AI$5:AI295)+1,""))</f>
        <v/>
      </c>
    </row>
    <row r="297">
      <c r="B297" s="47" t="n"/>
      <c r="C297" s="48" t="n"/>
      <c r="D297" s="48" t="n"/>
      <c r="E297" s="48" t="n"/>
      <c r="F297" s="48" t="n"/>
      <c r="G297" s="49" t="n"/>
      <c r="H297" s="48" t="n"/>
      <c r="I297" s="50" t="n"/>
      <c r="J297" s="48" t="n"/>
      <c r="K297" s="48" t="n"/>
      <c r="L297" s="48" t="n"/>
      <c r="M297" s="48" t="n"/>
      <c r="N297" s="48" t="n"/>
      <c r="O297" s="51">
        <f>IF(AND(B297="",G297="",C297="",D297="",J297=""),"",IF(B297="","⚠ Falta fecha",IF(G297="","⚠ Falta monto",IF(Q297="","⚠ Falta cuenta",IF(ISNA(MATCH(Q297,ctaNombre,0)),"⚠ Cuenta no registrada",IF(AND(OR(P297="Gasto",P297="Reembolso"),D297=""),"⚠ Falta categoría",IF(AND(D297&lt;&gt;"",E297&lt;&gt;"",ISNA(MATCH(D297&amp;"|"&amp;E297,catClave,0))),"⚠ Subcategoría no corresponde",IF(AND(OR(P297="Transferencia",P297="Pago tarjeta"),K297=""),"⚠ Falta cuenta destino",IF(AND(K297&lt;&gt;"",P297&lt;&gt;"Transferencia",P297&lt;&gt;"Pago tarjeta"),"⚠ Destino solo aplica a transferencias",IF(AND(K297&lt;&gt;"",K297=Q297),"⚠ Origen igual a destino",IF(AND(K297&lt;&gt;"",ISNA(MATCH(K297,ctaNombre,0))),"⚠ Destino no registrado",IF(AND(P297="Pago tarjeta",AE297&lt;&gt;"Tarjeta de crédito"),"⚠ El destino debe ser tarjeta de crédito",IF(AND(P297="Gasto",E297="Depósitos y retiros"),"⚠ Usa tipo Transferencia",IF(AND(P297="Resultado trading",AD297&lt;&gt;"Cuenta de trading"),"⚠ Usa una cuenta de trading",IF(AND(G297&lt;=0,P297&lt;&gt;"Ajuste",P297&lt;&gt;"Resultado trading"),"⚠ El monto debe ser positivo","✓")))))))))))))))</f>
        <v/>
      </c>
      <c r="P297" s="52">
        <f>IF(OR(B297="",G297=""),"",IF(C297="","Gasto",C297))</f>
        <v/>
      </c>
      <c r="Q297" s="52">
        <f>IF(P297="","",IF(J297&lt;&gt;"",J297,CuentaPred&amp;""))</f>
        <v/>
      </c>
      <c r="R297" s="52">
        <f>IF(P297="","",IF(ISNUMBER(I297),I297,TasaUSD))</f>
        <v/>
      </c>
      <c r="S297" s="53">
        <f>IF(P297="","",IF(H297="USD",G297*R297,G297))</f>
        <v/>
      </c>
      <c r="T297" s="53">
        <f>IF(P297="","",IF(H297="USD",G297,IF(R297&gt;0,G297/R297,0)))</f>
        <v/>
      </c>
      <c r="U297" s="53">
        <f>IF(P297="","",IF(P297="Gasto",S297,IF(P297="Reembolso",-S297,0)))</f>
        <v/>
      </c>
      <c r="V297" s="53">
        <f>IF(P297="","",IF(P297="Ingreso",S297,0))</f>
        <v/>
      </c>
      <c r="W297" s="53">
        <f>IF(P297="","",IF(P297="Resultado trading",S297,0))</f>
        <v/>
      </c>
      <c r="X297" s="52">
        <f>IF(OR(P297="Gasto",P297="Reembolso"),IF(M297&lt;&gt;"",M297,IFERROR(INDEX(catClasif,MATCH(D297&amp;"|"&amp;E297,catClave,0))&amp;"","Variable")),"")</f>
        <v/>
      </c>
      <c r="Y297" s="52">
        <f>IF(P297="","",IFERROR(INDEX(catGrupo,MATCH(D297&amp;"|"&amp;E297,catClave,0))&amp;"",""))</f>
        <v/>
      </c>
      <c r="Z297" s="52">
        <f>IF(P297="","",WEEKDAY(B297,2))</f>
        <v/>
      </c>
      <c r="AA297" s="52">
        <f>IF(P297="","",IF(AND(P297="Gasto",X297="Variable",D297&lt;&gt;catTrading,S297&gt;0,S297&lt;=Umbral),1,0))</f>
        <v/>
      </c>
      <c r="AB297" s="52">
        <f>IF(OR(P297="",Q297=""),"",IFERROR(IF(INDEX(ctaVinc,MATCH(Q297,ctaNombre,0))&amp;""&lt;&gt;"",INDEX(ctaVinc,MATCH(Q297,ctaNombre,0))&amp;"",Q297),Q297))</f>
        <v/>
      </c>
      <c r="AC297" s="52">
        <f>IF(OR(K297="",AND(P297&lt;&gt;"Transferencia",P297&lt;&gt;"Pago tarjeta")),"",IFERROR(IF(INDEX(ctaVinc,MATCH(K297,ctaNombre,0))&amp;""&lt;&gt;"",INDEX(ctaVinc,MATCH(K297,ctaNombre,0))&amp;"",K297),K297))</f>
        <v/>
      </c>
      <c r="AD297" s="52">
        <f>IF(AB297="","",IFERROR(INDEX(ctaTipo,MATCH(AB297,ctaNombre,0))&amp;"",""))</f>
        <v/>
      </c>
      <c r="AE297" s="52">
        <f>IF(AC297="","",IFERROR(INDEX(ctaTipo,MATCH(AC297,ctaNombre,0))&amp;"",""))</f>
        <v/>
      </c>
      <c r="AF297" s="53">
        <f>IF(OR(P297="",AB297=""),"",IF(OR(P297="Gasto",P297="Transferencia",P297="Pago tarjeta"),-1,1)*IF(IFERROR(INDEX(ctaMoneda,MATCH(AB297,ctaNombre,0))&amp;"","DOP")="USD",T297,S297))</f>
        <v/>
      </c>
      <c r="AG297" s="53">
        <f>IF(AC297="","",IF(IFERROR(INDEX(ctaMoneda,MATCH(AC297,ctaNombre,0))&amp;"","DOP")="USD",T297,S297))</f>
        <v/>
      </c>
      <c r="AH297" s="53">
        <f>IF(P297="","",IF(AND(AD297&lt;&gt;"",COUNTIFS(tcTipo,AD297,tcLiq,"Sí")&gt;0),IF(OR(P297="Gasto",P297="Transferencia",P297="Pago tarjeta"),-1,1)*S297,0)+IF(AND(AE297&lt;&gt;"",COUNTIFS(tcTipo,AE297,tcLiq,"Sí")&gt;0),S297,0))</f>
        <v/>
      </c>
      <c r="AI297" s="52">
        <f>IF(OR(L297="",P297=""),"",IF(COUNTIFS(L$6:L297,L297,P$6:P297,"?*")=1,MAX(AI$5:AI296)+1,""))</f>
        <v/>
      </c>
    </row>
    <row r="298">
      <c r="B298" s="47" t="n"/>
      <c r="C298" s="48" t="n"/>
      <c r="D298" s="48" t="n"/>
      <c r="E298" s="48" t="n"/>
      <c r="F298" s="48" t="n"/>
      <c r="G298" s="49" t="n"/>
      <c r="H298" s="48" t="n"/>
      <c r="I298" s="50" t="n"/>
      <c r="J298" s="48" t="n"/>
      <c r="K298" s="48" t="n"/>
      <c r="L298" s="48" t="n"/>
      <c r="M298" s="48" t="n"/>
      <c r="N298" s="48" t="n"/>
      <c r="O298" s="51">
        <f>IF(AND(B298="",G298="",C298="",D298="",J298=""),"",IF(B298="","⚠ Falta fecha",IF(G298="","⚠ Falta monto",IF(Q298="","⚠ Falta cuenta",IF(ISNA(MATCH(Q298,ctaNombre,0)),"⚠ Cuenta no registrada",IF(AND(OR(P298="Gasto",P298="Reembolso"),D298=""),"⚠ Falta categoría",IF(AND(D298&lt;&gt;"",E298&lt;&gt;"",ISNA(MATCH(D298&amp;"|"&amp;E298,catClave,0))),"⚠ Subcategoría no corresponde",IF(AND(OR(P298="Transferencia",P298="Pago tarjeta"),K298=""),"⚠ Falta cuenta destino",IF(AND(K298&lt;&gt;"",P298&lt;&gt;"Transferencia",P298&lt;&gt;"Pago tarjeta"),"⚠ Destino solo aplica a transferencias",IF(AND(K298&lt;&gt;"",K298=Q298),"⚠ Origen igual a destino",IF(AND(K298&lt;&gt;"",ISNA(MATCH(K298,ctaNombre,0))),"⚠ Destino no registrado",IF(AND(P298="Pago tarjeta",AE298&lt;&gt;"Tarjeta de crédito"),"⚠ El destino debe ser tarjeta de crédito",IF(AND(P298="Gasto",E298="Depósitos y retiros"),"⚠ Usa tipo Transferencia",IF(AND(P298="Resultado trading",AD298&lt;&gt;"Cuenta de trading"),"⚠ Usa una cuenta de trading",IF(AND(G298&lt;=0,P298&lt;&gt;"Ajuste",P298&lt;&gt;"Resultado trading"),"⚠ El monto debe ser positivo","✓")))))))))))))))</f>
        <v/>
      </c>
      <c r="P298" s="52">
        <f>IF(OR(B298="",G298=""),"",IF(C298="","Gasto",C298))</f>
        <v/>
      </c>
      <c r="Q298" s="52">
        <f>IF(P298="","",IF(J298&lt;&gt;"",J298,CuentaPred&amp;""))</f>
        <v/>
      </c>
      <c r="R298" s="52">
        <f>IF(P298="","",IF(ISNUMBER(I298),I298,TasaUSD))</f>
        <v/>
      </c>
      <c r="S298" s="53">
        <f>IF(P298="","",IF(H298="USD",G298*R298,G298))</f>
        <v/>
      </c>
      <c r="T298" s="53">
        <f>IF(P298="","",IF(H298="USD",G298,IF(R298&gt;0,G298/R298,0)))</f>
        <v/>
      </c>
      <c r="U298" s="53">
        <f>IF(P298="","",IF(P298="Gasto",S298,IF(P298="Reembolso",-S298,0)))</f>
        <v/>
      </c>
      <c r="V298" s="53">
        <f>IF(P298="","",IF(P298="Ingreso",S298,0))</f>
        <v/>
      </c>
      <c r="W298" s="53">
        <f>IF(P298="","",IF(P298="Resultado trading",S298,0))</f>
        <v/>
      </c>
      <c r="X298" s="52">
        <f>IF(OR(P298="Gasto",P298="Reembolso"),IF(M298&lt;&gt;"",M298,IFERROR(INDEX(catClasif,MATCH(D298&amp;"|"&amp;E298,catClave,0))&amp;"","Variable")),"")</f>
        <v/>
      </c>
      <c r="Y298" s="52">
        <f>IF(P298="","",IFERROR(INDEX(catGrupo,MATCH(D298&amp;"|"&amp;E298,catClave,0))&amp;"",""))</f>
        <v/>
      </c>
      <c r="Z298" s="52">
        <f>IF(P298="","",WEEKDAY(B298,2))</f>
        <v/>
      </c>
      <c r="AA298" s="52">
        <f>IF(P298="","",IF(AND(P298="Gasto",X298="Variable",D298&lt;&gt;catTrading,S298&gt;0,S298&lt;=Umbral),1,0))</f>
        <v/>
      </c>
      <c r="AB298" s="52">
        <f>IF(OR(P298="",Q298=""),"",IFERROR(IF(INDEX(ctaVinc,MATCH(Q298,ctaNombre,0))&amp;""&lt;&gt;"",INDEX(ctaVinc,MATCH(Q298,ctaNombre,0))&amp;"",Q298),Q298))</f>
        <v/>
      </c>
      <c r="AC298" s="52">
        <f>IF(OR(K298="",AND(P298&lt;&gt;"Transferencia",P298&lt;&gt;"Pago tarjeta")),"",IFERROR(IF(INDEX(ctaVinc,MATCH(K298,ctaNombre,0))&amp;""&lt;&gt;"",INDEX(ctaVinc,MATCH(K298,ctaNombre,0))&amp;"",K298),K298))</f>
        <v/>
      </c>
      <c r="AD298" s="52">
        <f>IF(AB298="","",IFERROR(INDEX(ctaTipo,MATCH(AB298,ctaNombre,0))&amp;"",""))</f>
        <v/>
      </c>
      <c r="AE298" s="52">
        <f>IF(AC298="","",IFERROR(INDEX(ctaTipo,MATCH(AC298,ctaNombre,0))&amp;"",""))</f>
        <v/>
      </c>
      <c r="AF298" s="53">
        <f>IF(OR(P298="",AB298=""),"",IF(OR(P298="Gasto",P298="Transferencia",P298="Pago tarjeta"),-1,1)*IF(IFERROR(INDEX(ctaMoneda,MATCH(AB298,ctaNombre,0))&amp;"","DOP")="USD",T298,S298))</f>
        <v/>
      </c>
      <c r="AG298" s="53">
        <f>IF(AC298="","",IF(IFERROR(INDEX(ctaMoneda,MATCH(AC298,ctaNombre,0))&amp;"","DOP")="USD",T298,S298))</f>
        <v/>
      </c>
      <c r="AH298" s="53">
        <f>IF(P298="","",IF(AND(AD298&lt;&gt;"",COUNTIFS(tcTipo,AD298,tcLiq,"Sí")&gt;0),IF(OR(P298="Gasto",P298="Transferencia",P298="Pago tarjeta"),-1,1)*S298,0)+IF(AND(AE298&lt;&gt;"",COUNTIFS(tcTipo,AE298,tcLiq,"Sí")&gt;0),S298,0))</f>
        <v/>
      </c>
      <c r="AI298" s="52">
        <f>IF(OR(L298="",P298=""),"",IF(COUNTIFS(L$6:L298,L298,P$6:P298,"?*")=1,MAX(AI$5:AI297)+1,""))</f>
        <v/>
      </c>
    </row>
    <row r="299">
      <c r="B299" s="47" t="n"/>
      <c r="C299" s="48" t="n"/>
      <c r="D299" s="48" t="n"/>
      <c r="E299" s="48" t="n"/>
      <c r="F299" s="48" t="n"/>
      <c r="G299" s="49" t="n"/>
      <c r="H299" s="48" t="n"/>
      <c r="I299" s="50" t="n"/>
      <c r="J299" s="48" t="n"/>
      <c r="K299" s="48" t="n"/>
      <c r="L299" s="48" t="n"/>
      <c r="M299" s="48" t="n"/>
      <c r="N299" s="48" t="n"/>
      <c r="O299" s="51">
        <f>IF(AND(B299="",G299="",C299="",D299="",J299=""),"",IF(B299="","⚠ Falta fecha",IF(G299="","⚠ Falta monto",IF(Q299="","⚠ Falta cuenta",IF(ISNA(MATCH(Q299,ctaNombre,0)),"⚠ Cuenta no registrada",IF(AND(OR(P299="Gasto",P299="Reembolso"),D299=""),"⚠ Falta categoría",IF(AND(D299&lt;&gt;"",E299&lt;&gt;"",ISNA(MATCH(D299&amp;"|"&amp;E299,catClave,0))),"⚠ Subcategoría no corresponde",IF(AND(OR(P299="Transferencia",P299="Pago tarjeta"),K299=""),"⚠ Falta cuenta destino",IF(AND(K299&lt;&gt;"",P299&lt;&gt;"Transferencia",P299&lt;&gt;"Pago tarjeta"),"⚠ Destino solo aplica a transferencias",IF(AND(K299&lt;&gt;"",K299=Q299),"⚠ Origen igual a destino",IF(AND(K299&lt;&gt;"",ISNA(MATCH(K299,ctaNombre,0))),"⚠ Destino no registrado",IF(AND(P299="Pago tarjeta",AE299&lt;&gt;"Tarjeta de crédito"),"⚠ El destino debe ser tarjeta de crédito",IF(AND(P299="Gasto",E299="Depósitos y retiros"),"⚠ Usa tipo Transferencia",IF(AND(P299="Resultado trading",AD299&lt;&gt;"Cuenta de trading"),"⚠ Usa una cuenta de trading",IF(AND(G299&lt;=0,P299&lt;&gt;"Ajuste",P299&lt;&gt;"Resultado trading"),"⚠ El monto debe ser positivo","✓")))))))))))))))</f>
        <v/>
      </c>
      <c r="P299" s="52">
        <f>IF(OR(B299="",G299=""),"",IF(C299="","Gasto",C299))</f>
        <v/>
      </c>
      <c r="Q299" s="52">
        <f>IF(P299="","",IF(J299&lt;&gt;"",J299,CuentaPred&amp;""))</f>
        <v/>
      </c>
      <c r="R299" s="52">
        <f>IF(P299="","",IF(ISNUMBER(I299),I299,TasaUSD))</f>
        <v/>
      </c>
      <c r="S299" s="53">
        <f>IF(P299="","",IF(H299="USD",G299*R299,G299))</f>
        <v/>
      </c>
      <c r="T299" s="53">
        <f>IF(P299="","",IF(H299="USD",G299,IF(R299&gt;0,G299/R299,0)))</f>
        <v/>
      </c>
      <c r="U299" s="53">
        <f>IF(P299="","",IF(P299="Gasto",S299,IF(P299="Reembolso",-S299,0)))</f>
        <v/>
      </c>
      <c r="V299" s="53">
        <f>IF(P299="","",IF(P299="Ingreso",S299,0))</f>
        <v/>
      </c>
      <c r="W299" s="53">
        <f>IF(P299="","",IF(P299="Resultado trading",S299,0))</f>
        <v/>
      </c>
      <c r="X299" s="52">
        <f>IF(OR(P299="Gasto",P299="Reembolso"),IF(M299&lt;&gt;"",M299,IFERROR(INDEX(catClasif,MATCH(D299&amp;"|"&amp;E299,catClave,0))&amp;"","Variable")),"")</f>
        <v/>
      </c>
      <c r="Y299" s="52">
        <f>IF(P299="","",IFERROR(INDEX(catGrupo,MATCH(D299&amp;"|"&amp;E299,catClave,0))&amp;"",""))</f>
        <v/>
      </c>
      <c r="Z299" s="52">
        <f>IF(P299="","",WEEKDAY(B299,2))</f>
        <v/>
      </c>
      <c r="AA299" s="52">
        <f>IF(P299="","",IF(AND(P299="Gasto",X299="Variable",D299&lt;&gt;catTrading,S299&gt;0,S299&lt;=Umbral),1,0))</f>
        <v/>
      </c>
      <c r="AB299" s="52">
        <f>IF(OR(P299="",Q299=""),"",IFERROR(IF(INDEX(ctaVinc,MATCH(Q299,ctaNombre,0))&amp;""&lt;&gt;"",INDEX(ctaVinc,MATCH(Q299,ctaNombre,0))&amp;"",Q299),Q299))</f>
        <v/>
      </c>
      <c r="AC299" s="52">
        <f>IF(OR(K299="",AND(P299&lt;&gt;"Transferencia",P299&lt;&gt;"Pago tarjeta")),"",IFERROR(IF(INDEX(ctaVinc,MATCH(K299,ctaNombre,0))&amp;""&lt;&gt;"",INDEX(ctaVinc,MATCH(K299,ctaNombre,0))&amp;"",K299),K299))</f>
        <v/>
      </c>
      <c r="AD299" s="52">
        <f>IF(AB299="","",IFERROR(INDEX(ctaTipo,MATCH(AB299,ctaNombre,0))&amp;"",""))</f>
        <v/>
      </c>
      <c r="AE299" s="52">
        <f>IF(AC299="","",IFERROR(INDEX(ctaTipo,MATCH(AC299,ctaNombre,0))&amp;"",""))</f>
        <v/>
      </c>
      <c r="AF299" s="53">
        <f>IF(OR(P299="",AB299=""),"",IF(OR(P299="Gasto",P299="Transferencia",P299="Pago tarjeta"),-1,1)*IF(IFERROR(INDEX(ctaMoneda,MATCH(AB299,ctaNombre,0))&amp;"","DOP")="USD",T299,S299))</f>
        <v/>
      </c>
      <c r="AG299" s="53">
        <f>IF(AC299="","",IF(IFERROR(INDEX(ctaMoneda,MATCH(AC299,ctaNombre,0))&amp;"","DOP")="USD",T299,S299))</f>
        <v/>
      </c>
      <c r="AH299" s="53">
        <f>IF(P299="","",IF(AND(AD299&lt;&gt;"",COUNTIFS(tcTipo,AD299,tcLiq,"Sí")&gt;0),IF(OR(P299="Gasto",P299="Transferencia",P299="Pago tarjeta"),-1,1)*S299,0)+IF(AND(AE299&lt;&gt;"",COUNTIFS(tcTipo,AE299,tcLiq,"Sí")&gt;0),S299,0))</f>
        <v/>
      </c>
      <c r="AI299" s="52">
        <f>IF(OR(L299="",P299=""),"",IF(COUNTIFS(L$6:L299,L299,P$6:P299,"?*")=1,MAX(AI$5:AI298)+1,""))</f>
        <v/>
      </c>
    </row>
    <row r="300">
      <c r="B300" s="47" t="n"/>
      <c r="C300" s="48" t="n"/>
      <c r="D300" s="48" t="n"/>
      <c r="E300" s="48" t="n"/>
      <c r="F300" s="48" t="n"/>
      <c r="G300" s="49" t="n"/>
      <c r="H300" s="48" t="n"/>
      <c r="I300" s="50" t="n"/>
      <c r="J300" s="48" t="n"/>
      <c r="K300" s="48" t="n"/>
      <c r="L300" s="48" t="n"/>
      <c r="M300" s="48" t="n"/>
      <c r="N300" s="48" t="n"/>
      <c r="O300" s="51">
        <f>IF(AND(B300="",G300="",C300="",D300="",J300=""),"",IF(B300="","⚠ Falta fecha",IF(G300="","⚠ Falta monto",IF(Q300="","⚠ Falta cuenta",IF(ISNA(MATCH(Q300,ctaNombre,0)),"⚠ Cuenta no registrada",IF(AND(OR(P300="Gasto",P300="Reembolso"),D300=""),"⚠ Falta categoría",IF(AND(D300&lt;&gt;"",E300&lt;&gt;"",ISNA(MATCH(D300&amp;"|"&amp;E300,catClave,0))),"⚠ Subcategoría no corresponde",IF(AND(OR(P300="Transferencia",P300="Pago tarjeta"),K300=""),"⚠ Falta cuenta destino",IF(AND(K300&lt;&gt;"",P300&lt;&gt;"Transferencia",P300&lt;&gt;"Pago tarjeta"),"⚠ Destino solo aplica a transferencias",IF(AND(K300&lt;&gt;"",K300=Q300),"⚠ Origen igual a destino",IF(AND(K300&lt;&gt;"",ISNA(MATCH(K300,ctaNombre,0))),"⚠ Destino no registrado",IF(AND(P300="Pago tarjeta",AE300&lt;&gt;"Tarjeta de crédito"),"⚠ El destino debe ser tarjeta de crédito",IF(AND(P300="Gasto",E300="Depósitos y retiros"),"⚠ Usa tipo Transferencia",IF(AND(P300="Resultado trading",AD300&lt;&gt;"Cuenta de trading"),"⚠ Usa una cuenta de trading",IF(AND(G300&lt;=0,P300&lt;&gt;"Ajuste",P300&lt;&gt;"Resultado trading"),"⚠ El monto debe ser positivo","✓")))))))))))))))</f>
        <v/>
      </c>
      <c r="P300" s="52">
        <f>IF(OR(B300="",G300=""),"",IF(C300="","Gasto",C300))</f>
        <v/>
      </c>
      <c r="Q300" s="52">
        <f>IF(P300="","",IF(J300&lt;&gt;"",J300,CuentaPred&amp;""))</f>
        <v/>
      </c>
      <c r="R300" s="52">
        <f>IF(P300="","",IF(ISNUMBER(I300),I300,TasaUSD))</f>
        <v/>
      </c>
      <c r="S300" s="53">
        <f>IF(P300="","",IF(H300="USD",G300*R300,G300))</f>
        <v/>
      </c>
      <c r="T300" s="53">
        <f>IF(P300="","",IF(H300="USD",G300,IF(R300&gt;0,G300/R300,0)))</f>
        <v/>
      </c>
      <c r="U300" s="53">
        <f>IF(P300="","",IF(P300="Gasto",S300,IF(P300="Reembolso",-S300,0)))</f>
        <v/>
      </c>
      <c r="V300" s="53">
        <f>IF(P300="","",IF(P300="Ingreso",S300,0))</f>
        <v/>
      </c>
      <c r="W300" s="53">
        <f>IF(P300="","",IF(P300="Resultado trading",S300,0))</f>
        <v/>
      </c>
      <c r="X300" s="52">
        <f>IF(OR(P300="Gasto",P300="Reembolso"),IF(M300&lt;&gt;"",M300,IFERROR(INDEX(catClasif,MATCH(D300&amp;"|"&amp;E300,catClave,0))&amp;"","Variable")),"")</f>
        <v/>
      </c>
      <c r="Y300" s="52">
        <f>IF(P300="","",IFERROR(INDEX(catGrupo,MATCH(D300&amp;"|"&amp;E300,catClave,0))&amp;"",""))</f>
        <v/>
      </c>
      <c r="Z300" s="52">
        <f>IF(P300="","",WEEKDAY(B300,2))</f>
        <v/>
      </c>
      <c r="AA300" s="52">
        <f>IF(P300="","",IF(AND(P300="Gasto",X300="Variable",D300&lt;&gt;catTrading,S300&gt;0,S300&lt;=Umbral),1,0))</f>
        <v/>
      </c>
      <c r="AB300" s="52">
        <f>IF(OR(P300="",Q300=""),"",IFERROR(IF(INDEX(ctaVinc,MATCH(Q300,ctaNombre,0))&amp;""&lt;&gt;"",INDEX(ctaVinc,MATCH(Q300,ctaNombre,0))&amp;"",Q300),Q300))</f>
        <v/>
      </c>
      <c r="AC300" s="52">
        <f>IF(OR(K300="",AND(P300&lt;&gt;"Transferencia",P300&lt;&gt;"Pago tarjeta")),"",IFERROR(IF(INDEX(ctaVinc,MATCH(K300,ctaNombre,0))&amp;""&lt;&gt;"",INDEX(ctaVinc,MATCH(K300,ctaNombre,0))&amp;"",K300),K300))</f>
        <v/>
      </c>
      <c r="AD300" s="52">
        <f>IF(AB300="","",IFERROR(INDEX(ctaTipo,MATCH(AB300,ctaNombre,0))&amp;"",""))</f>
        <v/>
      </c>
      <c r="AE300" s="52">
        <f>IF(AC300="","",IFERROR(INDEX(ctaTipo,MATCH(AC300,ctaNombre,0))&amp;"",""))</f>
        <v/>
      </c>
      <c r="AF300" s="53">
        <f>IF(OR(P300="",AB300=""),"",IF(OR(P300="Gasto",P300="Transferencia",P300="Pago tarjeta"),-1,1)*IF(IFERROR(INDEX(ctaMoneda,MATCH(AB300,ctaNombre,0))&amp;"","DOP")="USD",T300,S300))</f>
        <v/>
      </c>
      <c r="AG300" s="53">
        <f>IF(AC300="","",IF(IFERROR(INDEX(ctaMoneda,MATCH(AC300,ctaNombre,0))&amp;"","DOP")="USD",T300,S300))</f>
        <v/>
      </c>
      <c r="AH300" s="53">
        <f>IF(P300="","",IF(AND(AD300&lt;&gt;"",COUNTIFS(tcTipo,AD300,tcLiq,"Sí")&gt;0),IF(OR(P300="Gasto",P300="Transferencia",P300="Pago tarjeta"),-1,1)*S300,0)+IF(AND(AE300&lt;&gt;"",COUNTIFS(tcTipo,AE300,tcLiq,"Sí")&gt;0),S300,0))</f>
        <v/>
      </c>
      <c r="AI300" s="52">
        <f>IF(OR(L300="",P300=""),"",IF(COUNTIFS(L$6:L300,L300,P$6:P300,"?*")=1,MAX(AI$5:AI299)+1,""))</f>
        <v/>
      </c>
    </row>
    <row r="301">
      <c r="B301" s="47" t="n"/>
      <c r="C301" s="48" t="n"/>
      <c r="D301" s="48" t="n"/>
      <c r="E301" s="48" t="n"/>
      <c r="F301" s="48" t="n"/>
      <c r="G301" s="49" t="n"/>
      <c r="H301" s="48" t="n"/>
      <c r="I301" s="50" t="n"/>
      <c r="J301" s="48" t="n"/>
      <c r="K301" s="48" t="n"/>
      <c r="L301" s="48" t="n"/>
      <c r="M301" s="48" t="n"/>
      <c r="N301" s="48" t="n"/>
      <c r="O301" s="51">
        <f>IF(AND(B301="",G301="",C301="",D301="",J301=""),"",IF(B301="","⚠ Falta fecha",IF(G301="","⚠ Falta monto",IF(Q301="","⚠ Falta cuenta",IF(ISNA(MATCH(Q301,ctaNombre,0)),"⚠ Cuenta no registrada",IF(AND(OR(P301="Gasto",P301="Reembolso"),D301=""),"⚠ Falta categoría",IF(AND(D301&lt;&gt;"",E301&lt;&gt;"",ISNA(MATCH(D301&amp;"|"&amp;E301,catClave,0))),"⚠ Subcategoría no corresponde",IF(AND(OR(P301="Transferencia",P301="Pago tarjeta"),K301=""),"⚠ Falta cuenta destino",IF(AND(K301&lt;&gt;"",P301&lt;&gt;"Transferencia",P301&lt;&gt;"Pago tarjeta"),"⚠ Destino solo aplica a transferencias",IF(AND(K301&lt;&gt;"",K301=Q301),"⚠ Origen igual a destino",IF(AND(K301&lt;&gt;"",ISNA(MATCH(K301,ctaNombre,0))),"⚠ Destino no registrado",IF(AND(P301="Pago tarjeta",AE301&lt;&gt;"Tarjeta de crédito"),"⚠ El destino debe ser tarjeta de crédito",IF(AND(P301="Gasto",E301="Depósitos y retiros"),"⚠ Usa tipo Transferencia",IF(AND(P301="Resultado trading",AD301&lt;&gt;"Cuenta de trading"),"⚠ Usa una cuenta de trading",IF(AND(G301&lt;=0,P301&lt;&gt;"Ajuste",P301&lt;&gt;"Resultado trading"),"⚠ El monto debe ser positivo","✓")))))))))))))))</f>
        <v/>
      </c>
      <c r="P301" s="52">
        <f>IF(OR(B301="",G301=""),"",IF(C301="","Gasto",C301))</f>
        <v/>
      </c>
      <c r="Q301" s="52">
        <f>IF(P301="","",IF(J301&lt;&gt;"",J301,CuentaPred&amp;""))</f>
        <v/>
      </c>
      <c r="R301" s="52">
        <f>IF(P301="","",IF(ISNUMBER(I301),I301,TasaUSD))</f>
        <v/>
      </c>
      <c r="S301" s="53">
        <f>IF(P301="","",IF(H301="USD",G301*R301,G301))</f>
        <v/>
      </c>
      <c r="T301" s="53">
        <f>IF(P301="","",IF(H301="USD",G301,IF(R301&gt;0,G301/R301,0)))</f>
        <v/>
      </c>
      <c r="U301" s="53">
        <f>IF(P301="","",IF(P301="Gasto",S301,IF(P301="Reembolso",-S301,0)))</f>
        <v/>
      </c>
      <c r="V301" s="53">
        <f>IF(P301="","",IF(P301="Ingreso",S301,0))</f>
        <v/>
      </c>
      <c r="W301" s="53">
        <f>IF(P301="","",IF(P301="Resultado trading",S301,0))</f>
        <v/>
      </c>
      <c r="X301" s="52">
        <f>IF(OR(P301="Gasto",P301="Reembolso"),IF(M301&lt;&gt;"",M301,IFERROR(INDEX(catClasif,MATCH(D301&amp;"|"&amp;E301,catClave,0))&amp;"","Variable")),"")</f>
        <v/>
      </c>
      <c r="Y301" s="52">
        <f>IF(P301="","",IFERROR(INDEX(catGrupo,MATCH(D301&amp;"|"&amp;E301,catClave,0))&amp;"",""))</f>
        <v/>
      </c>
      <c r="Z301" s="52">
        <f>IF(P301="","",WEEKDAY(B301,2))</f>
        <v/>
      </c>
      <c r="AA301" s="52">
        <f>IF(P301="","",IF(AND(P301="Gasto",X301="Variable",D301&lt;&gt;catTrading,S301&gt;0,S301&lt;=Umbral),1,0))</f>
        <v/>
      </c>
      <c r="AB301" s="52">
        <f>IF(OR(P301="",Q301=""),"",IFERROR(IF(INDEX(ctaVinc,MATCH(Q301,ctaNombre,0))&amp;""&lt;&gt;"",INDEX(ctaVinc,MATCH(Q301,ctaNombre,0))&amp;"",Q301),Q301))</f>
        <v/>
      </c>
      <c r="AC301" s="52">
        <f>IF(OR(K301="",AND(P301&lt;&gt;"Transferencia",P301&lt;&gt;"Pago tarjeta")),"",IFERROR(IF(INDEX(ctaVinc,MATCH(K301,ctaNombre,0))&amp;""&lt;&gt;"",INDEX(ctaVinc,MATCH(K301,ctaNombre,0))&amp;"",K301),K301))</f>
        <v/>
      </c>
      <c r="AD301" s="52">
        <f>IF(AB301="","",IFERROR(INDEX(ctaTipo,MATCH(AB301,ctaNombre,0))&amp;"",""))</f>
        <v/>
      </c>
      <c r="AE301" s="52">
        <f>IF(AC301="","",IFERROR(INDEX(ctaTipo,MATCH(AC301,ctaNombre,0))&amp;"",""))</f>
        <v/>
      </c>
      <c r="AF301" s="53">
        <f>IF(OR(P301="",AB301=""),"",IF(OR(P301="Gasto",P301="Transferencia",P301="Pago tarjeta"),-1,1)*IF(IFERROR(INDEX(ctaMoneda,MATCH(AB301,ctaNombre,0))&amp;"","DOP")="USD",T301,S301))</f>
        <v/>
      </c>
      <c r="AG301" s="53">
        <f>IF(AC301="","",IF(IFERROR(INDEX(ctaMoneda,MATCH(AC301,ctaNombre,0))&amp;"","DOP")="USD",T301,S301))</f>
        <v/>
      </c>
      <c r="AH301" s="53">
        <f>IF(P301="","",IF(AND(AD301&lt;&gt;"",COUNTIFS(tcTipo,AD301,tcLiq,"Sí")&gt;0),IF(OR(P301="Gasto",P301="Transferencia",P301="Pago tarjeta"),-1,1)*S301,0)+IF(AND(AE301&lt;&gt;"",COUNTIFS(tcTipo,AE301,tcLiq,"Sí")&gt;0),S301,0))</f>
        <v/>
      </c>
      <c r="AI301" s="52">
        <f>IF(OR(L301="",P301=""),"",IF(COUNTIFS(L$6:L301,L301,P$6:P301,"?*")=1,MAX(AI$5:AI300)+1,""))</f>
        <v/>
      </c>
    </row>
    <row r="302">
      <c r="B302" s="47" t="n"/>
      <c r="C302" s="48" t="n"/>
      <c r="D302" s="48" t="n"/>
      <c r="E302" s="48" t="n"/>
      <c r="F302" s="48" t="n"/>
      <c r="G302" s="49" t="n"/>
      <c r="H302" s="48" t="n"/>
      <c r="I302" s="50" t="n"/>
      <c r="J302" s="48" t="n"/>
      <c r="K302" s="48" t="n"/>
      <c r="L302" s="48" t="n"/>
      <c r="M302" s="48" t="n"/>
      <c r="N302" s="48" t="n"/>
      <c r="O302" s="51">
        <f>IF(AND(B302="",G302="",C302="",D302="",J302=""),"",IF(B302="","⚠ Falta fecha",IF(G302="","⚠ Falta monto",IF(Q302="","⚠ Falta cuenta",IF(ISNA(MATCH(Q302,ctaNombre,0)),"⚠ Cuenta no registrada",IF(AND(OR(P302="Gasto",P302="Reembolso"),D302=""),"⚠ Falta categoría",IF(AND(D302&lt;&gt;"",E302&lt;&gt;"",ISNA(MATCH(D302&amp;"|"&amp;E302,catClave,0))),"⚠ Subcategoría no corresponde",IF(AND(OR(P302="Transferencia",P302="Pago tarjeta"),K302=""),"⚠ Falta cuenta destino",IF(AND(K302&lt;&gt;"",P302&lt;&gt;"Transferencia",P302&lt;&gt;"Pago tarjeta"),"⚠ Destino solo aplica a transferencias",IF(AND(K302&lt;&gt;"",K302=Q302),"⚠ Origen igual a destino",IF(AND(K302&lt;&gt;"",ISNA(MATCH(K302,ctaNombre,0))),"⚠ Destino no registrado",IF(AND(P302="Pago tarjeta",AE302&lt;&gt;"Tarjeta de crédito"),"⚠ El destino debe ser tarjeta de crédito",IF(AND(P302="Gasto",E302="Depósitos y retiros"),"⚠ Usa tipo Transferencia",IF(AND(P302="Resultado trading",AD302&lt;&gt;"Cuenta de trading"),"⚠ Usa una cuenta de trading",IF(AND(G302&lt;=0,P302&lt;&gt;"Ajuste",P302&lt;&gt;"Resultado trading"),"⚠ El monto debe ser positivo","✓")))))))))))))))</f>
        <v/>
      </c>
      <c r="P302" s="52">
        <f>IF(OR(B302="",G302=""),"",IF(C302="","Gasto",C302))</f>
        <v/>
      </c>
      <c r="Q302" s="52">
        <f>IF(P302="","",IF(J302&lt;&gt;"",J302,CuentaPred&amp;""))</f>
        <v/>
      </c>
      <c r="R302" s="52">
        <f>IF(P302="","",IF(ISNUMBER(I302),I302,TasaUSD))</f>
        <v/>
      </c>
      <c r="S302" s="53">
        <f>IF(P302="","",IF(H302="USD",G302*R302,G302))</f>
        <v/>
      </c>
      <c r="T302" s="53">
        <f>IF(P302="","",IF(H302="USD",G302,IF(R302&gt;0,G302/R302,0)))</f>
        <v/>
      </c>
      <c r="U302" s="53">
        <f>IF(P302="","",IF(P302="Gasto",S302,IF(P302="Reembolso",-S302,0)))</f>
        <v/>
      </c>
      <c r="V302" s="53">
        <f>IF(P302="","",IF(P302="Ingreso",S302,0))</f>
        <v/>
      </c>
      <c r="W302" s="53">
        <f>IF(P302="","",IF(P302="Resultado trading",S302,0))</f>
        <v/>
      </c>
      <c r="X302" s="52">
        <f>IF(OR(P302="Gasto",P302="Reembolso"),IF(M302&lt;&gt;"",M302,IFERROR(INDEX(catClasif,MATCH(D302&amp;"|"&amp;E302,catClave,0))&amp;"","Variable")),"")</f>
        <v/>
      </c>
      <c r="Y302" s="52">
        <f>IF(P302="","",IFERROR(INDEX(catGrupo,MATCH(D302&amp;"|"&amp;E302,catClave,0))&amp;"",""))</f>
        <v/>
      </c>
      <c r="Z302" s="52">
        <f>IF(P302="","",WEEKDAY(B302,2))</f>
        <v/>
      </c>
      <c r="AA302" s="52">
        <f>IF(P302="","",IF(AND(P302="Gasto",X302="Variable",D302&lt;&gt;catTrading,S302&gt;0,S302&lt;=Umbral),1,0))</f>
        <v/>
      </c>
      <c r="AB302" s="52">
        <f>IF(OR(P302="",Q302=""),"",IFERROR(IF(INDEX(ctaVinc,MATCH(Q302,ctaNombre,0))&amp;""&lt;&gt;"",INDEX(ctaVinc,MATCH(Q302,ctaNombre,0))&amp;"",Q302),Q302))</f>
        <v/>
      </c>
      <c r="AC302" s="52">
        <f>IF(OR(K302="",AND(P302&lt;&gt;"Transferencia",P302&lt;&gt;"Pago tarjeta")),"",IFERROR(IF(INDEX(ctaVinc,MATCH(K302,ctaNombre,0))&amp;""&lt;&gt;"",INDEX(ctaVinc,MATCH(K302,ctaNombre,0))&amp;"",K302),K302))</f>
        <v/>
      </c>
      <c r="AD302" s="52">
        <f>IF(AB302="","",IFERROR(INDEX(ctaTipo,MATCH(AB302,ctaNombre,0))&amp;"",""))</f>
        <v/>
      </c>
      <c r="AE302" s="52">
        <f>IF(AC302="","",IFERROR(INDEX(ctaTipo,MATCH(AC302,ctaNombre,0))&amp;"",""))</f>
        <v/>
      </c>
      <c r="AF302" s="53">
        <f>IF(OR(P302="",AB302=""),"",IF(OR(P302="Gasto",P302="Transferencia",P302="Pago tarjeta"),-1,1)*IF(IFERROR(INDEX(ctaMoneda,MATCH(AB302,ctaNombre,0))&amp;"","DOP")="USD",T302,S302))</f>
        <v/>
      </c>
      <c r="AG302" s="53">
        <f>IF(AC302="","",IF(IFERROR(INDEX(ctaMoneda,MATCH(AC302,ctaNombre,0))&amp;"","DOP")="USD",T302,S302))</f>
        <v/>
      </c>
      <c r="AH302" s="53">
        <f>IF(P302="","",IF(AND(AD302&lt;&gt;"",COUNTIFS(tcTipo,AD302,tcLiq,"Sí")&gt;0),IF(OR(P302="Gasto",P302="Transferencia",P302="Pago tarjeta"),-1,1)*S302,0)+IF(AND(AE302&lt;&gt;"",COUNTIFS(tcTipo,AE302,tcLiq,"Sí")&gt;0),S302,0))</f>
        <v/>
      </c>
      <c r="AI302" s="52">
        <f>IF(OR(L302="",P302=""),"",IF(COUNTIFS(L$6:L302,L302,P$6:P302,"?*")=1,MAX(AI$5:AI301)+1,""))</f>
        <v/>
      </c>
    </row>
    <row r="303">
      <c r="B303" s="47" t="n"/>
      <c r="C303" s="48" t="n"/>
      <c r="D303" s="48" t="n"/>
      <c r="E303" s="48" t="n"/>
      <c r="F303" s="48" t="n"/>
      <c r="G303" s="49" t="n"/>
      <c r="H303" s="48" t="n"/>
      <c r="I303" s="50" t="n"/>
      <c r="J303" s="48" t="n"/>
      <c r="K303" s="48" t="n"/>
      <c r="L303" s="48" t="n"/>
      <c r="M303" s="48" t="n"/>
      <c r="N303" s="48" t="n"/>
      <c r="O303" s="51">
        <f>IF(AND(B303="",G303="",C303="",D303="",J303=""),"",IF(B303="","⚠ Falta fecha",IF(G303="","⚠ Falta monto",IF(Q303="","⚠ Falta cuenta",IF(ISNA(MATCH(Q303,ctaNombre,0)),"⚠ Cuenta no registrada",IF(AND(OR(P303="Gasto",P303="Reembolso"),D303=""),"⚠ Falta categoría",IF(AND(D303&lt;&gt;"",E303&lt;&gt;"",ISNA(MATCH(D303&amp;"|"&amp;E303,catClave,0))),"⚠ Subcategoría no corresponde",IF(AND(OR(P303="Transferencia",P303="Pago tarjeta"),K303=""),"⚠ Falta cuenta destino",IF(AND(K303&lt;&gt;"",P303&lt;&gt;"Transferencia",P303&lt;&gt;"Pago tarjeta"),"⚠ Destino solo aplica a transferencias",IF(AND(K303&lt;&gt;"",K303=Q303),"⚠ Origen igual a destino",IF(AND(K303&lt;&gt;"",ISNA(MATCH(K303,ctaNombre,0))),"⚠ Destino no registrado",IF(AND(P303="Pago tarjeta",AE303&lt;&gt;"Tarjeta de crédito"),"⚠ El destino debe ser tarjeta de crédito",IF(AND(P303="Gasto",E303="Depósitos y retiros"),"⚠ Usa tipo Transferencia",IF(AND(P303="Resultado trading",AD303&lt;&gt;"Cuenta de trading"),"⚠ Usa una cuenta de trading",IF(AND(G303&lt;=0,P303&lt;&gt;"Ajuste",P303&lt;&gt;"Resultado trading"),"⚠ El monto debe ser positivo","✓")))))))))))))))</f>
        <v/>
      </c>
      <c r="P303" s="52">
        <f>IF(OR(B303="",G303=""),"",IF(C303="","Gasto",C303))</f>
        <v/>
      </c>
      <c r="Q303" s="52">
        <f>IF(P303="","",IF(J303&lt;&gt;"",J303,CuentaPred&amp;""))</f>
        <v/>
      </c>
      <c r="R303" s="52">
        <f>IF(P303="","",IF(ISNUMBER(I303),I303,TasaUSD))</f>
        <v/>
      </c>
      <c r="S303" s="53">
        <f>IF(P303="","",IF(H303="USD",G303*R303,G303))</f>
        <v/>
      </c>
      <c r="T303" s="53">
        <f>IF(P303="","",IF(H303="USD",G303,IF(R303&gt;0,G303/R303,0)))</f>
        <v/>
      </c>
      <c r="U303" s="53">
        <f>IF(P303="","",IF(P303="Gasto",S303,IF(P303="Reembolso",-S303,0)))</f>
        <v/>
      </c>
      <c r="V303" s="53">
        <f>IF(P303="","",IF(P303="Ingreso",S303,0))</f>
        <v/>
      </c>
      <c r="W303" s="53">
        <f>IF(P303="","",IF(P303="Resultado trading",S303,0))</f>
        <v/>
      </c>
      <c r="X303" s="52">
        <f>IF(OR(P303="Gasto",P303="Reembolso"),IF(M303&lt;&gt;"",M303,IFERROR(INDEX(catClasif,MATCH(D303&amp;"|"&amp;E303,catClave,0))&amp;"","Variable")),"")</f>
        <v/>
      </c>
      <c r="Y303" s="52">
        <f>IF(P303="","",IFERROR(INDEX(catGrupo,MATCH(D303&amp;"|"&amp;E303,catClave,0))&amp;"",""))</f>
        <v/>
      </c>
      <c r="Z303" s="52">
        <f>IF(P303="","",WEEKDAY(B303,2))</f>
        <v/>
      </c>
      <c r="AA303" s="52">
        <f>IF(P303="","",IF(AND(P303="Gasto",X303="Variable",D303&lt;&gt;catTrading,S303&gt;0,S303&lt;=Umbral),1,0))</f>
        <v/>
      </c>
      <c r="AB303" s="52">
        <f>IF(OR(P303="",Q303=""),"",IFERROR(IF(INDEX(ctaVinc,MATCH(Q303,ctaNombre,0))&amp;""&lt;&gt;"",INDEX(ctaVinc,MATCH(Q303,ctaNombre,0))&amp;"",Q303),Q303))</f>
        <v/>
      </c>
      <c r="AC303" s="52">
        <f>IF(OR(K303="",AND(P303&lt;&gt;"Transferencia",P303&lt;&gt;"Pago tarjeta")),"",IFERROR(IF(INDEX(ctaVinc,MATCH(K303,ctaNombre,0))&amp;""&lt;&gt;"",INDEX(ctaVinc,MATCH(K303,ctaNombre,0))&amp;"",K303),K303))</f>
        <v/>
      </c>
      <c r="AD303" s="52">
        <f>IF(AB303="","",IFERROR(INDEX(ctaTipo,MATCH(AB303,ctaNombre,0))&amp;"",""))</f>
        <v/>
      </c>
      <c r="AE303" s="52">
        <f>IF(AC303="","",IFERROR(INDEX(ctaTipo,MATCH(AC303,ctaNombre,0))&amp;"",""))</f>
        <v/>
      </c>
      <c r="AF303" s="53">
        <f>IF(OR(P303="",AB303=""),"",IF(OR(P303="Gasto",P303="Transferencia",P303="Pago tarjeta"),-1,1)*IF(IFERROR(INDEX(ctaMoneda,MATCH(AB303,ctaNombre,0))&amp;"","DOP")="USD",T303,S303))</f>
        <v/>
      </c>
      <c r="AG303" s="53">
        <f>IF(AC303="","",IF(IFERROR(INDEX(ctaMoneda,MATCH(AC303,ctaNombre,0))&amp;"","DOP")="USD",T303,S303))</f>
        <v/>
      </c>
      <c r="AH303" s="53">
        <f>IF(P303="","",IF(AND(AD303&lt;&gt;"",COUNTIFS(tcTipo,AD303,tcLiq,"Sí")&gt;0),IF(OR(P303="Gasto",P303="Transferencia",P303="Pago tarjeta"),-1,1)*S303,0)+IF(AND(AE303&lt;&gt;"",COUNTIFS(tcTipo,AE303,tcLiq,"Sí")&gt;0),S303,0))</f>
        <v/>
      </c>
      <c r="AI303" s="52">
        <f>IF(OR(L303="",P303=""),"",IF(COUNTIFS(L$6:L303,L303,P$6:P303,"?*")=1,MAX(AI$5:AI302)+1,""))</f>
        <v/>
      </c>
    </row>
    <row r="304">
      <c r="B304" s="47" t="n"/>
      <c r="C304" s="48" t="n"/>
      <c r="D304" s="48" t="n"/>
      <c r="E304" s="48" t="n"/>
      <c r="F304" s="48" t="n"/>
      <c r="G304" s="49" t="n"/>
      <c r="H304" s="48" t="n"/>
      <c r="I304" s="50" t="n"/>
      <c r="J304" s="48" t="n"/>
      <c r="K304" s="48" t="n"/>
      <c r="L304" s="48" t="n"/>
      <c r="M304" s="48" t="n"/>
      <c r="N304" s="48" t="n"/>
      <c r="O304" s="51">
        <f>IF(AND(B304="",G304="",C304="",D304="",J304=""),"",IF(B304="","⚠ Falta fecha",IF(G304="","⚠ Falta monto",IF(Q304="","⚠ Falta cuenta",IF(ISNA(MATCH(Q304,ctaNombre,0)),"⚠ Cuenta no registrada",IF(AND(OR(P304="Gasto",P304="Reembolso"),D304=""),"⚠ Falta categoría",IF(AND(D304&lt;&gt;"",E304&lt;&gt;"",ISNA(MATCH(D304&amp;"|"&amp;E304,catClave,0))),"⚠ Subcategoría no corresponde",IF(AND(OR(P304="Transferencia",P304="Pago tarjeta"),K304=""),"⚠ Falta cuenta destino",IF(AND(K304&lt;&gt;"",P304&lt;&gt;"Transferencia",P304&lt;&gt;"Pago tarjeta"),"⚠ Destino solo aplica a transferencias",IF(AND(K304&lt;&gt;"",K304=Q304),"⚠ Origen igual a destino",IF(AND(K304&lt;&gt;"",ISNA(MATCH(K304,ctaNombre,0))),"⚠ Destino no registrado",IF(AND(P304="Pago tarjeta",AE304&lt;&gt;"Tarjeta de crédito"),"⚠ El destino debe ser tarjeta de crédito",IF(AND(P304="Gasto",E304="Depósitos y retiros"),"⚠ Usa tipo Transferencia",IF(AND(P304="Resultado trading",AD304&lt;&gt;"Cuenta de trading"),"⚠ Usa una cuenta de trading",IF(AND(G304&lt;=0,P304&lt;&gt;"Ajuste",P304&lt;&gt;"Resultado trading"),"⚠ El monto debe ser positivo","✓")))))))))))))))</f>
        <v/>
      </c>
      <c r="P304" s="52">
        <f>IF(OR(B304="",G304=""),"",IF(C304="","Gasto",C304))</f>
        <v/>
      </c>
      <c r="Q304" s="52">
        <f>IF(P304="","",IF(J304&lt;&gt;"",J304,CuentaPred&amp;""))</f>
        <v/>
      </c>
      <c r="R304" s="52">
        <f>IF(P304="","",IF(ISNUMBER(I304),I304,TasaUSD))</f>
        <v/>
      </c>
      <c r="S304" s="53">
        <f>IF(P304="","",IF(H304="USD",G304*R304,G304))</f>
        <v/>
      </c>
      <c r="T304" s="53">
        <f>IF(P304="","",IF(H304="USD",G304,IF(R304&gt;0,G304/R304,0)))</f>
        <v/>
      </c>
      <c r="U304" s="53">
        <f>IF(P304="","",IF(P304="Gasto",S304,IF(P304="Reembolso",-S304,0)))</f>
        <v/>
      </c>
      <c r="V304" s="53">
        <f>IF(P304="","",IF(P304="Ingreso",S304,0))</f>
        <v/>
      </c>
      <c r="W304" s="53">
        <f>IF(P304="","",IF(P304="Resultado trading",S304,0))</f>
        <v/>
      </c>
      <c r="X304" s="52">
        <f>IF(OR(P304="Gasto",P304="Reembolso"),IF(M304&lt;&gt;"",M304,IFERROR(INDEX(catClasif,MATCH(D304&amp;"|"&amp;E304,catClave,0))&amp;"","Variable")),"")</f>
        <v/>
      </c>
      <c r="Y304" s="52">
        <f>IF(P304="","",IFERROR(INDEX(catGrupo,MATCH(D304&amp;"|"&amp;E304,catClave,0))&amp;"",""))</f>
        <v/>
      </c>
      <c r="Z304" s="52">
        <f>IF(P304="","",WEEKDAY(B304,2))</f>
        <v/>
      </c>
      <c r="AA304" s="52">
        <f>IF(P304="","",IF(AND(P304="Gasto",X304="Variable",D304&lt;&gt;catTrading,S304&gt;0,S304&lt;=Umbral),1,0))</f>
        <v/>
      </c>
      <c r="AB304" s="52">
        <f>IF(OR(P304="",Q304=""),"",IFERROR(IF(INDEX(ctaVinc,MATCH(Q304,ctaNombre,0))&amp;""&lt;&gt;"",INDEX(ctaVinc,MATCH(Q304,ctaNombre,0))&amp;"",Q304),Q304))</f>
        <v/>
      </c>
      <c r="AC304" s="52">
        <f>IF(OR(K304="",AND(P304&lt;&gt;"Transferencia",P304&lt;&gt;"Pago tarjeta")),"",IFERROR(IF(INDEX(ctaVinc,MATCH(K304,ctaNombre,0))&amp;""&lt;&gt;"",INDEX(ctaVinc,MATCH(K304,ctaNombre,0))&amp;"",K304),K304))</f>
        <v/>
      </c>
      <c r="AD304" s="52">
        <f>IF(AB304="","",IFERROR(INDEX(ctaTipo,MATCH(AB304,ctaNombre,0))&amp;"",""))</f>
        <v/>
      </c>
      <c r="AE304" s="52">
        <f>IF(AC304="","",IFERROR(INDEX(ctaTipo,MATCH(AC304,ctaNombre,0))&amp;"",""))</f>
        <v/>
      </c>
      <c r="AF304" s="53">
        <f>IF(OR(P304="",AB304=""),"",IF(OR(P304="Gasto",P304="Transferencia",P304="Pago tarjeta"),-1,1)*IF(IFERROR(INDEX(ctaMoneda,MATCH(AB304,ctaNombre,0))&amp;"","DOP")="USD",T304,S304))</f>
        <v/>
      </c>
      <c r="AG304" s="53">
        <f>IF(AC304="","",IF(IFERROR(INDEX(ctaMoneda,MATCH(AC304,ctaNombre,0))&amp;"","DOP")="USD",T304,S304))</f>
        <v/>
      </c>
      <c r="AH304" s="53">
        <f>IF(P304="","",IF(AND(AD304&lt;&gt;"",COUNTIFS(tcTipo,AD304,tcLiq,"Sí")&gt;0),IF(OR(P304="Gasto",P304="Transferencia",P304="Pago tarjeta"),-1,1)*S304,0)+IF(AND(AE304&lt;&gt;"",COUNTIFS(tcTipo,AE304,tcLiq,"Sí")&gt;0),S304,0))</f>
        <v/>
      </c>
      <c r="AI304" s="52">
        <f>IF(OR(L304="",P304=""),"",IF(COUNTIFS(L$6:L304,L304,P$6:P304,"?*")=1,MAX(AI$5:AI303)+1,""))</f>
        <v/>
      </c>
    </row>
    <row r="305">
      <c r="B305" s="47" t="n"/>
      <c r="C305" s="48" t="n"/>
      <c r="D305" s="48" t="n"/>
      <c r="E305" s="48" t="n"/>
      <c r="F305" s="48" t="n"/>
      <c r="G305" s="49" t="n"/>
      <c r="H305" s="48" t="n"/>
      <c r="I305" s="50" t="n"/>
      <c r="J305" s="48" t="n"/>
      <c r="K305" s="48" t="n"/>
      <c r="L305" s="48" t="n"/>
      <c r="M305" s="48" t="n"/>
      <c r="N305" s="48" t="n"/>
      <c r="O305" s="51">
        <f>IF(AND(B305="",G305="",C305="",D305="",J305=""),"",IF(B305="","⚠ Falta fecha",IF(G305="","⚠ Falta monto",IF(Q305="","⚠ Falta cuenta",IF(ISNA(MATCH(Q305,ctaNombre,0)),"⚠ Cuenta no registrada",IF(AND(OR(P305="Gasto",P305="Reembolso"),D305=""),"⚠ Falta categoría",IF(AND(D305&lt;&gt;"",E305&lt;&gt;"",ISNA(MATCH(D305&amp;"|"&amp;E305,catClave,0))),"⚠ Subcategoría no corresponde",IF(AND(OR(P305="Transferencia",P305="Pago tarjeta"),K305=""),"⚠ Falta cuenta destino",IF(AND(K305&lt;&gt;"",P305&lt;&gt;"Transferencia",P305&lt;&gt;"Pago tarjeta"),"⚠ Destino solo aplica a transferencias",IF(AND(K305&lt;&gt;"",K305=Q305),"⚠ Origen igual a destino",IF(AND(K305&lt;&gt;"",ISNA(MATCH(K305,ctaNombre,0))),"⚠ Destino no registrado",IF(AND(P305="Pago tarjeta",AE305&lt;&gt;"Tarjeta de crédito"),"⚠ El destino debe ser tarjeta de crédito",IF(AND(P305="Gasto",E305="Depósitos y retiros"),"⚠ Usa tipo Transferencia",IF(AND(P305="Resultado trading",AD305&lt;&gt;"Cuenta de trading"),"⚠ Usa una cuenta de trading",IF(AND(G305&lt;=0,P305&lt;&gt;"Ajuste",P305&lt;&gt;"Resultado trading"),"⚠ El monto debe ser positivo","✓")))))))))))))))</f>
        <v/>
      </c>
      <c r="P305" s="52">
        <f>IF(OR(B305="",G305=""),"",IF(C305="","Gasto",C305))</f>
        <v/>
      </c>
      <c r="Q305" s="52">
        <f>IF(P305="","",IF(J305&lt;&gt;"",J305,CuentaPred&amp;""))</f>
        <v/>
      </c>
      <c r="R305" s="52">
        <f>IF(P305="","",IF(ISNUMBER(I305),I305,TasaUSD))</f>
        <v/>
      </c>
      <c r="S305" s="53">
        <f>IF(P305="","",IF(H305="USD",G305*R305,G305))</f>
        <v/>
      </c>
      <c r="T305" s="53">
        <f>IF(P305="","",IF(H305="USD",G305,IF(R305&gt;0,G305/R305,0)))</f>
        <v/>
      </c>
      <c r="U305" s="53">
        <f>IF(P305="","",IF(P305="Gasto",S305,IF(P305="Reembolso",-S305,0)))</f>
        <v/>
      </c>
      <c r="V305" s="53">
        <f>IF(P305="","",IF(P305="Ingreso",S305,0))</f>
        <v/>
      </c>
      <c r="W305" s="53">
        <f>IF(P305="","",IF(P305="Resultado trading",S305,0))</f>
        <v/>
      </c>
      <c r="X305" s="52">
        <f>IF(OR(P305="Gasto",P305="Reembolso"),IF(M305&lt;&gt;"",M305,IFERROR(INDEX(catClasif,MATCH(D305&amp;"|"&amp;E305,catClave,0))&amp;"","Variable")),"")</f>
        <v/>
      </c>
      <c r="Y305" s="52">
        <f>IF(P305="","",IFERROR(INDEX(catGrupo,MATCH(D305&amp;"|"&amp;E305,catClave,0))&amp;"",""))</f>
        <v/>
      </c>
      <c r="Z305" s="52">
        <f>IF(P305="","",WEEKDAY(B305,2))</f>
        <v/>
      </c>
      <c r="AA305" s="52">
        <f>IF(P305="","",IF(AND(P305="Gasto",X305="Variable",D305&lt;&gt;catTrading,S305&gt;0,S305&lt;=Umbral),1,0))</f>
        <v/>
      </c>
      <c r="AB305" s="52">
        <f>IF(OR(P305="",Q305=""),"",IFERROR(IF(INDEX(ctaVinc,MATCH(Q305,ctaNombre,0))&amp;""&lt;&gt;"",INDEX(ctaVinc,MATCH(Q305,ctaNombre,0))&amp;"",Q305),Q305))</f>
        <v/>
      </c>
      <c r="AC305" s="52">
        <f>IF(OR(K305="",AND(P305&lt;&gt;"Transferencia",P305&lt;&gt;"Pago tarjeta")),"",IFERROR(IF(INDEX(ctaVinc,MATCH(K305,ctaNombre,0))&amp;""&lt;&gt;"",INDEX(ctaVinc,MATCH(K305,ctaNombre,0))&amp;"",K305),K305))</f>
        <v/>
      </c>
      <c r="AD305" s="52">
        <f>IF(AB305="","",IFERROR(INDEX(ctaTipo,MATCH(AB305,ctaNombre,0))&amp;"",""))</f>
        <v/>
      </c>
      <c r="AE305" s="52">
        <f>IF(AC305="","",IFERROR(INDEX(ctaTipo,MATCH(AC305,ctaNombre,0))&amp;"",""))</f>
        <v/>
      </c>
      <c r="AF305" s="53">
        <f>IF(OR(P305="",AB305=""),"",IF(OR(P305="Gasto",P305="Transferencia",P305="Pago tarjeta"),-1,1)*IF(IFERROR(INDEX(ctaMoneda,MATCH(AB305,ctaNombre,0))&amp;"","DOP")="USD",T305,S305))</f>
        <v/>
      </c>
      <c r="AG305" s="53">
        <f>IF(AC305="","",IF(IFERROR(INDEX(ctaMoneda,MATCH(AC305,ctaNombre,0))&amp;"","DOP")="USD",T305,S305))</f>
        <v/>
      </c>
      <c r="AH305" s="53">
        <f>IF(P305="","",IF(AND(AD305&lt;&gt;"",COUNTIFS(tcTipo,AD305,tcLiq,"Sí")&gt;0),IF(OR(P305="Gasto",P305="Transferencia",P305="Pago tarjeta"),-1,1)*S305,0)+IF(AND(AE305&lt;&gt;"",COUNTIFS(tcTipo,AE305,tcLiq,"Sí")&gt;0),S305,0))</f>
        <v/>
      </c>
      <c r="AI305" s="52">
        <f>IF(OR(L305="",P305=""),"",IF(COUNTIFS(L$6:L305,L305,P$6:P305,"?*")=1,MAX(AI$5:AI304)+1,""))</f>
        <v/>
      </c>
    </row>
    <row r="306">
      <c r="B306" s="47" t="n"/>
      <c r="C306" s="48" t="n"/>
      <c r="D306" s="48" t="n"/>
      <c r="E306" s="48" t="n"/>
      <c r="F306" s="48" t="n"/>
      <c r="G306" s="49" t="n"/>
      <c r="H306" s="48" t="n"/>
      <c r="I306" s="50" t="n"/>
      <c r="J306" s="48" t="n"/>
      <c r="K306" s="48" t="n"/>
      <c r="L306" s="48" t="n"/>
      <c r="M306" s="48" t="n"/>
      <c r="N306" s="48" t="n"/>
      <c r="O306" s="51">
        <f>IF(AND(B306="",G306="",C306="",D306="",J306=""),"",IF(B306="","⚠ Falta fecha",IF(G306="","⚠ Falta monto",IF(Q306="","⚠ Falta cuenta",IF(ISNA(MATCH(Q306,ctaNombre,0)),"⚠ Cuenta no registrada",IF(AND(OR(P306="Gasto",P306="Reembolso"),D306=""),"⚠ Falta categoría",IF(AND(D306&lt;&gt;"",E306&lt;&gt;"",ISNA(MATCH(D306&amp;"|"&amp;E306,catClave,0))),"⚠ Subcategoría no corresponde",IF(AND(OR(P306="Transferencia",P306="Pago tarjeta"),K306=""),"⚠ Falta cuenta destino",IF(AND(K306&lt;&gt;"",P306&lt;&gt;"Transferencia",P306&lt;&gt;"Pago tarjeta"),"⚠ Destino solo aplica a transferencias",IF(AND(K306&lt;&gt;"",K306=Q306),"⚠ Origen igual a destino",IF(AND(K306&lt;&gt;"",ISNA(MATCH(K306,ctaNombre,0))),"⚠ Destino no registrado",IF(AND(P306="Pago tarjeta",AE306&lt;&gt;"Tarjeta de crédito"),"⚠ El destino debe ser tarjeta de crédito",IF(AND(P306="Gasto",E306="Depósitos y retiros"),"⚠ Usa tipo Transferencia",IF(AND(P306="Resultado trading",AD306&lt;&gt;"Cuenta de trading"),"⚠ Usa una cuenta de trading",IF(AND(G306&lt;=0,P306&lt;&gt;"Ajuste",P306&lt;&gt;"Resultado trading"),"⚠ El monto debe ser positivo","✓")))))))))))))))</f>
        <v/>
      </c>
      <c r="P306" s="52">
        <f>IF(OR(B306="",G306=""),"",IF(C306="","Gasto",C306))</f>
        <v/>
      </c>
      <c r="Q306" s="52">
        <f>IF(P306="","",IF(J306&lt;&gt;"",J306,CuentaPred&amp;""))</f>
        <v/>
      </c>
      <c r="R306" s="52">
        <f>IF(P306="","",IF(ISNUMBER(I306),I306,TasaUSD))</f>
        <v/>
      </c>
      <c r="S306" s="53">
        <f>IF(P306="","",IF(H306="USD",G306*R306,G306))</f>
        <v/>
      </c>
      <c r="T306" s="53">
        <f>IF(P306="","",IF(H306="USD",G306,IF(R306&gt;0,G306/R306,0)))</f>
        <v/>
      </c>
      <c r="U306" s="53">
        <f>IF(P306="","",IF(P306="Gasto",S306,IF(P306="Reembolso",-S306,0)))</f>
        <v/>
      </c>
      <c r="V306" s="53">
        <f>IF(P306="","",IF(P306="Ingreso",S306,0))</f>
        <v/>
      </c>
      <c r="W306" s="53">
        <f>IF(P306="","",IF(P306="Resultado trading",S306,0))</f>
        <v/>
      </c>
      <c r="X306" s="52">
        <f>IF(OR(P306="Gasto",P306="Reembolso"),IF(M306&lt;&gt;"",M306,IFERROR(INDEX(catClasif,MATCH(D306&amp;"|"&amp;E306,catClave,0))&amp;"","Variable")),"")</f>
        <v/>
      </c>
      <c r="Y306" s="52">
        <f>IF(P306="","",IFERROR(INDEX(catGrupo,MATCH(D306&amp;"|"&amp;E306,catClave,0))&amp;"",""))</f>
        <v/>
      </c>
      <c r="Z306" s="52">
        <f>IF(P306="","",WEEKDAY(B306,2))</f>
        <v/>
      </c>
      <c r="AA306" s="52">
        <f>IF(P306="","",IF(AND(P306="Gasto",X306="Variable",D306&lt;&gt;catTrading,S306&gt;0,S306&lt;=Umbral),1,0))</f>
        <v/>
      </c>
      <c r="AB306" s="52">
        <f>IF(OR(P306="",Q306=""),"",IFERROR(IF(INDEX(ctaVinc,MATCH(Q306,ctaNombre,0))&amp;""&lt;&gt;"",INDEX(ctaVinc,MATCH(Q306,ctaNombre,0))&amp;"",Q306),Q306))</f>
        <v/>
      </c>
      <c r="AC306" s="52">
        <f>IF(OR(K306="",AND(P306&lt;&gt;"Transferencia",P306&lt;&gt;"Pago tarjeta")),"",IFERROR(IF(INDEX(ctaVinc,MATCH(K306,ctaNombre,0))&amp;""&lt;&gt;"",INDEX(ctaVinc,MATCH(K306,ctaNombre,0))&amp;"",K306),K306))</f>
        <v/>
      </c>
      <c r="AD306" s="52">
        <f>IF(AB306="","",IFERROR(INDEX(ctaTipo,MATCH(AB306,ctaNombre,0))&amp;"",""))</f>
        <v/>
      </c>
      <c r="AE306" s="52">
        <f>IF(AC306="","",IFERROR(INDEX(ctaTipo,MATCH(AC306,ctaNombre,0))&amp;"",""))</f>
        <v/>
      </c>
      <c r="AF306" s="53">
        <f>IF(OR(P306="",AB306=""),"",IF(OR(P306="Gasto",P306="Transferencia",P306="Pago tarjeta"),-1,1)*IF(IFERROR(INDEX(ctaMoneda,MATCH(AB306,ctaNombre,0))&amp;"","DOP")="USD",T306,S306))</f>
        <v/>
      </c>
      <c r="AG306" s="53">
        <f>IF(AC306="","",IF(IFERROR(INDEX(ctaMoneda,MATCH(AC306,ctaNombre,0))&amp;"","DOP")="USD",T306,S306))</f>
        <v/>
      </c>
      <c r="AH306" s="53">
        <f>IF(P306="","",IF(AND(AD306&lt;&gt;"",COUNTIFS(tcTipo,AD306,tcLiq,"Sí")&gt;0),IF(OR(P306="Gasto",P306="Transferencia",P306="Pago tarjeta"),-1,1)*S306,0)+IF(AND(AE306&lt;&gt;"",COUNTIFS(tcTipo,AE306,tcLiq,"Sí")&gt;0),S306,0))</f>
        <v/>
      </c>
      <c r="AI306" s="52">
        <f>IF(OR(L306="",P306=""),"",IF(COUNTIFS(L$6:L306,L306,P$6:P306,"?*")=1,MAX(AI$5:AI305)+1,""))</f>
        <v/>
      </c>
    </row>
    <row r="307">
      <c r="B307" s="47" t="n"/>
      <c r="C307" s="48" t="n"/>
      <c r="D307" s="48" t="n"/>
      <c r="E307" s="48" t="n"/>
      <c r="F307" s="48" t="n"/>
      <c r="G307" s="49" t="n"/>
      <c r="H307" s="48" t="n"/>
      <c r="I307" s="50" t="n"/>
      <c r="J307" s="48" t="n"/>
      <c r="K307" s="48" t="n"/>
      <c r="L307" s="48" t="n"/>
      <c r="M307" s="48" t="n"/>
      <c r="N307" s="48" t="n"/>
      <c r="O307" s="51">
        <f>IF(AND(B307="",G307="",C307="",D307="",J307=""),"",IF(B307="","⚠ Falta fecha",IF(G307="","⚠ Falta monto",IF(Q307="","⚠ Falta cuenta",IF(ISNA(MATCH(Q307,ctaNombre,0)),"⚠ Cuenta no registrada",IF(AND(OR(P307="Gasto",P307="Reembolso"),D307=""),"⚠ Falta categoría",IF(AND(D307&lt;&gt;"",E307&lt;&gt;"",ISNA(MATCH(D307&amp;"|"&amp;E307,catClave,0))),"⚠ Subcategoría no corresponde",IF(AND(OR(P307="Transferencia",P307="Pago tarjeta"),K307=""),"⚠ Falta cuenta destino",IF(AND(K307&lt;&gt;"",P307&lt;&gt;"Transferencia",P307&lt;&gt;"Pago tarjeta"),"⚠ Destino solo aplica a transferencias",IF(AND(K307&lt;&gt;"",K307=Q307),"⚠ Origen igual a destino",IF(AND(K307&lt;&gt;"",ISNA(MATCH(K307,ctaNombre,0))),"⚠ Destino no registrado",IF(AND(P307="Pago tarjeta",AE307&lt;&gt;"Tarjeta de crédito"),"⚠ El destino debe ser tarjeta de crédito",IF(AND(P307="Gasto",E307="Depósitos y retiros"),"⚠ Usa tipo Transferencia",IF(AND(P307="Resultado trading",AD307&lt;&gt;"Cuenta de trading"),"⚠ Usa una cuenta de trading",IF(AND(G307&lt;=0,P307&lt;&gt;"Ajuste",P307&lt;&gt;"Resultado trading"),"⚠ El monto debe ser positivo","✓")))))))))))))))</f>
        <v/>
      </c>
      <c r="P307" s="52">
        <f>IF(OR(B307="",G307=""),"",IF(C307="","Gasto",C307))</f>
        <v/>
      </c>
      <c r="Q307" s="52">
        <f>IF(P307="","",IF(J307&lt;&gt;"",J307,CuentaPred&amp;""))</f>
        <v/>
      </c>
      <c r="R307" s="52">
        <f>IF(P307="","",IF(ISNUMBER(I307),I307,TasaUSD))</f>
        <v/>
      </c>
      <c r="S307" s="53">
        <f>IF(P307="","",IF(H307="USD",G307*R307,G307))</f>
        <v/>
      </c>
      <c r="T307" s="53">
        <f>IF(P307="","",IF(H307="USD",G307,IF(R307&gt;0,G307/R307,0)))</f>
        <v/>
      </c>
      <c r="U307" s="53">
        <f>IF(P307="","",IF(P307="Gasto",S307,IF(P307="Reembolso",-S307,0)))</f>
        <v/>
      </c>
      <c r="V307" s="53">
        <f>IF(P307="","",IF(P307="Ingreso",S307,0))</f>
        <v/>
      </c>
      <c r="W307" s="53">
        <f>IF(P307="","",IF(P307="Resultado trading",S307,0))</f>
        <v/>
      </c>
      <c r="X307" s="52">
        <f>IF(OR(P307="Gasto",P307="Reembolso"),IF(M307&lt;&gt;"",M307,IFERROR(INDEX(catClasif,MATCH(D307&amp;"|"&amp;E307,catClave,0))&amp;"","Variable")),"")</f>
        <v/>
      </c>
      <c r="Y307" s="52">
        <f>IF(P307="","",IFERROR(INDEX(catGrupo,MATCH(D307&amp;"|"&amp;E307,catClave,0))&amp;"",""))</f>
        <v/>
      </c>
      <c r="Z307" s="52">
        <f>IF(P307="","",WEEKDAY(B307,2))</f>
        <v/>
      </c>
      <c r="AA307" s="52">
        <f>IF(P307="","",IF(AND(P307="Gasto",X307="Variable",D307&lt;&gt;catTrading,S307&gt;0,S307&lt;=Umbral),1,0))</f>
        <v/>
      </c>
      <c r="AB307" s="52">
        <f>IF(OR(P307="",Q307=""),"",IFERROR(IF(INDEX(ctaVinc,MATCH(Q307,ctaNombre,0))&amp;""&lt;&gt;"",INDEX(ctaVinc,MATCH(Q307,ctaNombre,0))&amp;"",Q307),Q307))</f>
        <v/>
      </c>
      <c r="AC307" s="52">
        <f>IF(OR(K307="",AND(P307&lt;&gt;"Transferencia",P307&lt;&gt;"Pago tarjeta")),"",IFERROR(IF(INDEX(ctaVinc,MATCH(K307,ctaNombre,0))&amp;""&lt;&gt;"",INDEX(ctaVinc,MATCH(K307,ctaNombre,0))&amp;"",K307),K307))</f>
        <v/>
      </c>
      <c r="AD307" s="52">
        <f>IF(AB307="","",IFERROR(INDEX(ctaTipo,MATCH(AB307,ctaNombre,0))&amp;"",""))</f>
        <v/>
      </c>
      <c r="AE307" s="52">
        <f>IF(AC307="","",IFERROR(INDEX(ctaTipo,MATCH(AC307,ctaNombre,0))&amp;"",""))</f>
        <v/>
      </c>
      <c r="AF307" s="53">
        <f>IF(OR(P307="",AB307=""),"",IF(OR(P307="Gasto",P307="Transferencia",P307="Pago tarjeta"),-1,1)*IF(IFERROR(INDEX(ctaMoneda,MATCH(AB307,ctaNombre,0))&amp;"","DOP")="USD",T307,S307))</f>
        <v/>
      </c>
      <c r="AG307" s="53">
        <f>IF(AC307="","",IF(IFERROR(INDEX(ctaMoneda,MATCH(AC307,ctaNombre,0))&amp;"","DOP")="USD",T307,S307))</f>
        <v/>
      </c>
      <c r="AH307" s="53">
        <f>IF(P307="","",IF(AND(AD307&lt;&gt;"",COUNTIFS(tcTipo,AD307,tcLiq,"Sí")&gt;0),IF(OR(P307="Gasto",P307="Transferencia",P307="Pago tarjeta"),-1,1)*S307,0)+IF(AND(AE307&lt;&gt;"",COUNTIFS(tcTipo,AE307,tcLiq,"Sí")&gt;0),S307,0))</f>
        <v/>
      </c>
      <c r="AI307" s="52">
        <f>IF(OR(L307="",P307=""),"",IF(COUNTIFS(L$6:L307,L307,P$6:P307,"?*")=1,MAX(AI$5:AI306)+1,""))</f>
        <v/>
      </c>
    </row>
    <row r="308">
      <c r="B308" s="47" t="n"/>
      <c r="C308" s="48" t="n"/>
      <c r="D308" s="48" t="n"/>
      <c r="E308" s="48" t="n"/>
      <c r="F308" s="48" t="n"/>
      <c r="G308" s="49" t="n"/>
      <c r="H308" s="48" t="n"/>
      <c r="I308" s="50" t="n"/>
      <c r="J308" s="48" t="n"/>
      <c r="K308" s="48" t="n"/>
      <c r="L308" s="48" t="n"/>
      <c r="M308" s="48" t="n"/>
      <c r="N308" s="48" t="n"/>
      <c r="O308" s="51">
        <f>IF(AND(B308="",G308="",C308="",D308="",J308=""),"",IF(B308="","⚠ Falta fecha",IF(G308="","⚠ Falta monto",IF(Q308="","⚠ Falta cuenta",IF(ISNA(MATCH(Q308,ctaNombre,0)),"⚠ Cuenta no registrada",IF(AND(OR(P308="Gasto",P308="Reembolso"),D308=""),"⚠ Falta categoría",IF(AND(D308&lt;&gt;"",E308&lt;&gt;"",ISNA(MATCH(D308&amp;"|"&amp;E308,catClave,0))),"⚠ Subcategoría no corresponde",IF(AND(OR(P308="Transferencia",P308="Pago tarjeta"),K308=""),"⚠ Falta cuenta destino",IF(AND(K308&lt;&gt;"",P308&lt;&gt;"Transferencia",P308&lt;&gt;"Pago tarjeta"),"⚠ Destino solo aplica a transferencias",IF(AND(K308&lt;&gt;"",K308=Q308),"⚠ Origen igual a destino",IF(AND(K308&lt;&gt;"",ISNA(MATCH(K308,ctaNombre,0))),"⚠ Destino no registrado",IF(AND(P308="Pago tarjeta",AE308&lt;&gt;"Tarjeta de crédito"),"⚠ El destino debe ser tarjeta de crédito",IF(AND(P308="Gasto",E308="Depósitos y retiros"),"⚠ Usa tipo Transferencia",IF(AND(P308="Resultado trading",AD308&lt;&gt;"Cuenta de trading"),"⚠ Usa una cuenta de trading",IF(AND(G308&lt;=0,P308&lt;&gt;"Ajuste",P308&lt;&gt;"Resultado trading"),"⚠ El monto debe ser positivo","✓")))))))))))))))</f>
        <v/>
      </c>
      <c r="P308" s="52">
        <f>IF(OR(B308="",G308=""),"",IF(C308="","Gasto",C308))</f>
        <v/>
      </c>
      <c r="Q308" s="52">
        <f>IF(P308="","",IF(J308&lt;&gt;"",J308,CuentaPred&amp;""))</f>
        <v/>
      </c>
      <c r="R308" s="52">
        <f>IF(P308="","",IF(ISNUMBER(I308),I308,TasaUSD))</f>
        <v/>
      </c>
      <c r="S308" s="53">
        <f>IF(P308="","",IF(H308="USD",G308*R308,G308))</f>
        <v/>
      </c>
      <c r="T308" s="53">
        <f>IF(P308="","",IF(H308="USD",G308,IF(R308&gt;0,G308/R308,0)))</f>
        <v/>
      </c>
      <c r="U308" s="53">
        <f>IF(P308="","",IF(P308="Gasto",S308,IF(P308="Reembolso",-S308,0)))</f>
        <v/>
      </c>
      <c r="V308" s="53">
        <f>IF(P308="","",IF(P308="Ingreso",S308,0))</f>
        <v/>
      </c>
      <c r="W308" s="53">
        <f>IF(P308="","",IF(P308="Resultado trading",S308,0))</f>
        <v/>
      </c>
      <c r="X308" s="52">
        <f>IF(OR(P308="Gasto",P308="Reembolso"),IF(M308&lt;&gt;"",M308,IFERROR(INDEX(catClasif,MATCH(D308&amp;"|"&amp;E308,catClave,0))&amp;"","Variable")),"")</f>
        <v/>
      </c>
      <c r="Y308" s="52">
        <f>IF(P308="","",IFERROR(INDEX(catGrupo,MATCH(D308&amp;"|"&amp;E308,catClave,0))&amp;"",""))</f>
        <v/>
      </c>
      <c r="Z308" s="52">
        <f>IF(P308="","",WEEKDAY(B308,2))</f>
        <v/>
      </c>
      <c r="AA308" s="52">
        <f>IF(P308="","",IF(AND(P308="Gasto",X308="Variable",D308&lt;&gt;catTrading,S308&gt;0,S308&lt;=Umbral),1,0))</f>
        <v/>
      </c>
      <c r="AB308" s="52">
        <f>IF(OR(P308="",Q308=""),"",IFERROR(IF(INDEX(ctaVinc,MATCH(Q308,ctaNombre,0))&amp;""&lt;&gt;"",INDEX(ctaVinc,MATCH(Q308,ctaNombre,0))&amp;"",Q308),Q308))</f>
        <v/>
      </c>
      <c r="AC308" s="52">
        <f>IF(OR(K308="",AND(P308&lt;&gt;"Transferencia",P308&lt;&gt;"Pago tarjeta")),"",IFERROR(IF(INDEX(ctaVinc,MATCH(K308,ctaNombre,0))&amp;""&lt;&gt;"",INDEX(ctaVinc,MATCH(K308,ctaNombre,0))&amp;"",K308),K308))</f>
        <v/>
      </c>
      <c r="AD308" s="52">
        <f>IF(AB308="","",IFERROR(INDEX(ctaTipo,MATCH(AB308,ctaNombre,0))&amp;"",""))</f>
        <v/>
      </c>
      <c r="AE308" s="52">
        <f>IF(AC308="","",IFERROR(INDEX(ctaTipo,MATCH(AC308,ctaNombre,0))&amp;"",""))</f>
        <v/>
      </c>
      <c r="AF308" s="53">
        <f>IF(OR(P308="",AB308=""),"",IF(OR(P308="Gasto",P308="Transferencia",P308="Pago tarjeta"),-1,1)*IF(IFERROR(INDEX(ctaMoneda,MATCH(AB308,ctaNombre,0))&amp;"","DOP")="USD",T308,S308))</f>
        <v/>
      </c>
      <c r="AG308" s="53">
        <f>IF(AC308="","",IF(IFERROR(INDEX(ctaMoneda,MATCH(AC308,ctaNombre,0))&amp;"","DOP")="USD",T308,S308))</f>
        <v/>
      </c>
      <c r="AH308" s="53">
        <f>IF(P308="","",IF(AND(AD308&lt;&gt;"",COUNTIFS(tcTipo,AD308,tcLiq,"Sí")&gt;0),IF(OR(P308="Gasto",P308="Transferencia",P308="Pago tarjeta"),-1,1)*S308,0)+IF(AND(AE308&lt;&gt;"",COUNTIFS(tcTipo,AE308,tcLiq,"Sí")&gt;0),S308,0))</f>
        <v/>
      </c>
      <c r="AI308" s="52">
        <f>IF(OR(L308="",P308=""),"",IF(COUNTIFS(L$6:L308,L308,P$6:P308,"?*")=1,MAX(AI$5:AI307)+1,""))</f>
        <v/>
      </c>
    </row>
    <row r="309">
      <c r="B309" s="47" t="n"/>
      <c r="C309" s="48" t="n"/>
      <c r="D309" s="48" t="n"/>
      <c r="E309" s="48" t="n"/>
      <c r="F309" s="48" t="n"/>
      <c r="G309" s="49" t="n"/>
      <c r="H309" s="48" t="n"/>
      <c r="I309" s="50" t="n"/>
      <c r="J309" s="48" t="n"/>
      <c r="K309" s="48" t="n"/>
      <c r="L309" s="48" t="n"/>
      <c r="M309" s="48" t="n"/>
      <c r="N309" s="48" t="n"/>
      <c r="O309" s="51">
        <f>IF(AND(B309="",G309="",C309="",D309="",J309=""),"",IF(B309="","⚠ Falta fecha",IF(G309="","⚠ Falta monto",IF(Q309="","⚠ Falta cuenta",IF(ISNA(MATCH(Q309,ctaNombre,0)),"⚠ Cuenta no registrada",IF(AND(OR(P309="Gasto",P309="Reembolso"),D309=""),"⚠ Falta categoría",IF(AND(D309&lt;&gt;"",E309&lt;&gt;"",ISNA(MATCH(D309&amp;"|"&amp;E309,catClave,0))),"⚠ Subcategoría no corresponde",IF(AND(OR(P309="Transferencia",P309="Pago tarjeta"),K309=""),"⚠ Falta cuenta destino",IF(AND(K309&lt;&gt;"",P309&lt;&gt;"Transferencia",P309&lt;&gt;"Pago tarjeta"),"⚠ Destino solo aplica a transferencias",IF(AND(K309&lt;&gt;"",K309=Q309),"⚠ Origen igual a destino",IF(AND(K309&lt;&gt;"",ISNA(MATCH(K309,ctaNombre,0))),"⚠ Destino no registrado",IF(AND(P309="Pago tarjeta",AE309&lt;&gt;"Tarjeta de crédito"),"⚠ El destino debe ser tarjeta de crédito",IF(AND(P309="Gasto",E309="Depósitos y retiros"),"⚠ Usa tipo Transferencia",IF(AND(P309="Resultado trading",AD309&lt;&gt;"Cuenta de trading"),"⚠ Usa una cuenta de trading",IF(AND(G309&lt;=0,P309&lt;&gt;"Ajuste",P309&lt;&gt;"Resultado trading"),"⚠ El monto debe ser positivo","✓")))))))))))))))</f>
        <v/>
      </c>
      <c r="P309" s="52">
        <f>IF(OR(B309="",G309=""),"",IF(C309="","Gasto",C309))</f>
        <v/>
      </c>
      <c r="Q309" s="52">
        <f>IF(P309="","",IF(J309&lt;&gt;"",J309,CuentaPred&amp;""))</f>
        <v/>
      </c>
      <c r="R309" s="52">
        <f>IF(P309="","",IF(ISNUMBER(I309),I309,TasaUSD))</f>
        <v/>
      </c>
      <c r="S309" s="53">
        <f>IF(P309="","",IF(H309="USD",G309*R309,G309))</f>
        <v/>
      </c>
      <c r="T309" s="53">
        <f>IF(P309="","",IF(H309="USD",G309,IF(R309&gt;0,G309/R309,0)))</f>
        <v/>
      </c>
      <c r="U309" s="53">
        <f>IF(P309="","",IF(P309="Gasto",S309,IF(P309="Reembolso",-S309,0)))</f>
        <v/>
      </c>
      <c r="V309" s="53">
        <f>IF(P309="","",IF(P309="Ingreso",S309,0))</f>
        <v/>
      </c>
      <c r="W309" s="53">
        <f>IF(P309="","",IF(P309="Resultado trading",S309,0))</f>
        <v/>
      </c>
      <c r="X309" s="52">
        <f>IF(OR(P309="Gasto",P309="Reembolso"),IF(M309&lt;&gt;"",M309,IFERROR(INDEX(catClasif,MATCH(D309&amp;"|"&amp;E309,catClave,0))&amp;"","Variable")),"")</f>
        <v/>
      </c>
      <c r="Y309" s="52">
        <f>IF(P309="","",IFERROR(INDEX(catGrupo,MATCH(D309&amp;"|"&amp;E309,catClave,0))&amp;"",""))</f>
        <v/>
      </c>
      <c r="Z309" s="52">
        <f>IF(P309="","",WEEKDAY(B309,2))</f>
        <v/>
      </c>
      <c r="AA309" s="52">
        <f>IF(P309="","",IF(AND(P309="Gasto",X309="Variable",D309&lt;&gt;catTrading,S309&gt;0,S309&lt;=Umbral),1,0))</f>
        <v/>
      </c>
      <c r="AB309" s="52">
        <f>IF(OR(P309="",Q309=""),"",IFERROR(IF(INDEX(ctaVinc,MATCH(Q309,ctaNombre,0))&amp;""&lt;&gt;"",INDEX(ctaVinc,MATCH(Q309,ctaNombre,0))&amp;"",Q309),Q309))</f>
        <v/>
      </c>
      <c r="AC309" s="52">
        <f>IF(OR(K309="",AND(P309&lt;&gt;"Transferencia",P309&lt;&gt;"Pago tarjeta")),"",IFERROR(IF(INDEX(ctaVinc,MATCH(K309,ctaNombre,0))&amp;""&lt;&gt;"",INDEX(ctaVinc,MATCH(K309,ctaNombre,0))&amp;"",K309),K309))</f>
        <v/>
      </c>
      <c r="AD309" s="52">
        <f>IF(AB309="","",IFERROR(INDEX(ctaTipo,MATCH(AB309,ctaNombre,0))&amp;"",""))</f>
        <v/>
      </c>
      <c r="AE309" s="52">
        <f>IF(AC309="","",IFERROR(INDEX(ctaTipo,MATCH(AC309,ctaNombre,0))&amp;"",""))</f>
        <v/>
      </c>
      <c r="AF309" s="53">
        <f>IF(OR(P309="",AB309=""),"",IF(OR(P309="Gasto",P309="Transferencia",P309="Pago tarjeta"),-1,1)*IF(IFERROR(INDEX(ctaMoneda,MATCH(AB309,ctaNombre,0))&amp;"","DOP")="USD",T309,S309))</f>
        <v/>
      </c>
      <c r="AG309" s="53">
        <f>IF(AC309="","",IF(IFERROR(INDEX(ctaMoneda,MATCH(AC309,ctaNombre,0))&amp;"","DOP")="USD",T309,S309))</f>
        <v/>
      </c>
      <c r="AH309" s="53">
        <f>IF(P309="","",IF(AND(AD309&lt;&gt;"",COUNTIFS(tcTipo,AD309,tcLiq,"Sí")&gt;0),IF(OR(P309="Gasto",P309="Transferencia",P309="Pago tarjeta"),-1,1)*S309,0)+IF(AND(AE309&lt;&gt;"",COUNTIFS(tcTipo,AE309,tcLiq,"Sí")&gt;0),S309,0))</f>
        <v/>
      </c>
      <c r="AI309" s="52">
        <f>IF(OR(L309="",P309=""),"",IF(COUNTIFS(L$6:L309,L309,P$6:P309,"?*")=1,MAX(AI$5:AI308)+1,""))</f>
        <v/>
      </c>
    </row>
    <row r="310">
      <c r="B310" s="47" t="n"/>
      <c r="C310" s="48" t="n"/>
      <c r="D310" s="48" t="n"/>
      <c r="E310" s="48" t="n"/>
      <c r="F310" s="48" t="n"/>
      <c r="G310" s="49" t="n"/>
      <c r="H310" s="48" t="n"/>
      <c r="I310" s="50" t="n"/>
      <c r="J310" s="48" t="n"/>
      <c r="K310" s="48" t="n"/>
      <c r="L310" s="48" t="n"/>
      <c r="M310" s="48" t="n"/>
      <c r="N310" s="48" t="n"/>
      <c r="O310" s="51">
        <f>IF(AND(B310="",G310="",C310="",D310="",J310=""),"",IF(B310="","⚠ Falta fecha",IF(G310="","⚠ Falta monto",IF(Q310="","⚠ Falta cuenta",IF(ISNA(MATCH(Q310,ctaNombre,0)),"⚠ Cuenta no registrada",IF(AND(OR(P310="Gasto",P310="Reembolso"),D310=""),"⚠ Falta categoría",IF(AND(D310&lt;&gt;"",E310&lt;&gt;"",ISNA(MATCH(D310&amp;"|"&amp;E310,catClave,0))),"⚠ Subcategoría no corresponde",IF(AND(OR(P310="Transferencia",P310="Pago tarjeta"),K310=""),"⚠ Falta cuenta destino",IF(AND(K310&lt;&gt;"",P310&lt;&gt;"Transferencia",P310&lt;&gt;"Pago tarjeta"),"⚠ Destino solo aplica a transferencias",IF(AND(K310&lt;&gt;"",K310=Q310),"⚠ Origen igual a destino",IF(AND(K310&lt;&gt;"",ISNA(MATCH(K310,ctaNombre,0))),"⚠ Destino no registrado",IF(AND(P310="Pago tarjeta",AE310&lt;&gt;"Tarjeta de crédito"),"⚠ El destino debe ser tarjeta de crédito",IF(AND(P310="Gasto",E310="Depósitos y retiros"),"⚠ Usa tipo Transferencia",IF(AND(P310="Resultado trading",AD310&lt;&gt;"Cuenta de trading"),"⚠ Usa una cuenta de trading",IF(AND(G310&lt;=0,P310&lt;&gt;"Ajuste",P310&lt;&gt;"Resultado trading"),"⚠ El monto debe ser positivo","✓")))))))))))))))</f>
        <v/>
      </c>
      <c r="P310" s="52">
        <f>IF(OR(B310="",G310=""),"",IF(C310="","Gasto",C310))</f>
        <v/>
      </c>
      <c r="Q310" s="52">
        <f>IF(P310="","",IF(J310&lt;&gt;"",J310,CuentaPred&amp;""))</f>
        <v/>
      </c>
      <c r="R310" s="52">
        <f>IF(P310="","",IF(ISNUMBER(I310),I310,TasaUSD))</f>
        <v/>
      </c>
      <c r="S310" s="53">
        <f>IF(P310="","",IF(H310="USD",G310*R310,G310))</f>
        <v/>
      </c>
      <c r="T310" s="53">
        <f>IF(P310="","",IF(H310="USD",G310,IF(R310&gt;0,G310/R310,0)))</f>
        <v/>
      </c>
      <c r="U310" s="53">
        <f>IF(P310="","",IF(P310="Gasto",S310,IF(P310="Reembolso",-S310,0)))</f>
        <v/>
      </c>
      <c r="V310" s="53">
        <f>IF(P310="","",IF(P310="Ingreso",S310,0))</f>
        <v/>
      </c>
      <c r="W310" s="53">
        <f>IF(P310="","",IF(P310="Resultado trading",S310,0))</f>
        <v/>
      </c>
      <c r="X310" s="52">
        <f>IF(OR(P310="Gasto",P310="Reembolso"),IF(M310&lt;&gt;"",M310,IFERROR(INDEX(catClasif,MATCH(D310&amp;"|"&amp;E310,catClave,0))&amp;"","Variable")),"")</f>
        <v/>
      </c>
      <c r="Y310" s="52">
        <f>IF(P310="","",IFERROR(INDEX(catGrupo,MATCH(D310&amp;"|"&amp;E310,catClave,0))&amp;"",""))</f>
        <v/>
      </c>
      <c r="Z310" s="52">
        <f>IF(P310="","",WEEKDAY(B310,2))</f>
        <v/>
      </c>
      <c r="AA310" s="52">
        <f>IF(P310="","",IF(AND(P310="Gasto",X310="Variable",D310&lt;&gt;catTrading,S310&gt;0,S310&lt;=Umbral),1,0))</f>
        <v/>
      </c>
      <c r="AB310" s="52">
        <f>IF(OR(P310="",Q310=""),"",IFERROR(IF(INDEX(ctaVinc,MATCH(Q310,ctaNombre,0))&amp;""&lt;&gt;"",INDEX(ctaVinc,MATCH(Q310,ctaNombre,0))&amp;"",Q310),Q310))</f>
        <v/>
      </c>
      <c r="AC310" s="52">
        <f>IF(OR(K310="",AND(P310&lt;&gt;"Transferencia",P310&lt;&gt;"Pago tarjeta")),"",IFERROR(IF(INDEX(ctaVinc,MATCH(K310,ctaNombre,0))&amp;""&lt;&gt;"",INDEX(ctaVinc,MATCH(K310,ctaNombre,0))&amp;"",K310),K310))</f>
        <v/>
      </c>
      <c r="AD310" s="52">
        <f>IF(AB310="","",IFERROR(INDEX(ctaTipo,MATCH(AB310,ctaNombre,0))&amp;"",""))</f>
        <v/>
      </c>
      <c r="AE310" s="52">
        <f>IF(AC310="","",IFERROR(INDEX(ctaTipo,MATCH(AC310,ctaNombre,0))&amp;"",""))</f>
        <v/>
      </c>
      <c r="AF310" s="53">
        <f>IF(OR(P310="",AB310=""),"",IF(OR(P310="Gasto",P310="Transferencia",P310="Pago tarjeta"),-1,1)*IF(IFERROR(INDEX(ctaMoneda,MATCH(AB310,ctaNombre,0))&amp;"","DOP")="USD",T310,S310))</f>
        <v/>
      </c>
      <c r="AG310" s="53">
        <f>IF(AC310="","",IF(IFERROR(INDEX(ctaMoneda,MATCH(AC310,ctaNombre,0))&amp;"","DOP")="USD",T310,S310))</f>
        <v/>
      </c>
      <c r="AH310" s="53">
        <f>IF(P310="","",IF(AND(AD310&lt;&gt;"",COUNTIFS(tcTipo,AD310,tcLiq,"Sí")&gt;0),IF(OR(P310="Gasto",P310="Transferencia",P310="Pago tarjeta"),-1,1)*S310,0)+IF(AND(AE310&lt;&gt;"",COUNTIFS(tcTipo,AE310,tcLiq,"Sí")&gt;0),S310,0))</f>
        <v/>
      </c>
      <c r="AI310" s="52">
        <f>IF(OR(L310="",P310=""),"",IF(COUNTIFS(L$6:L310,L310,P$6:P310,"?*")=1,MAX(AI$5:AI309)+1,""))</f>
        <v/>
      </c>
    </row>
    <row r="311">
      <c r="B311" s="47" t="n"/>
      <c r="C311" s="48" t="n"/>
      <c r="D311" s="48" t="n"/>
      <c r="E311" s="48" t="n"/>
      <c r="F311" s="48" t="n"/>
      <c r="G311" s="49" t="n"/>
      <c r="H311" s="48" t="n"/>
      <c r="I311" s="50" t="n"/>
      <c r="J311" s="48" t="n"/>
      <c r="K311" s="48" t="n"/>
      <c r="L311" s="48" t="n"/>
      <c r="M311" s="48" t="n"/>
      <c r="N311" s="48" t="n"/>
      <c r="O311" s="51">
        <f>IF(AND(B311="",G311="",C311="",D311="",J311=""),"",IF(B311="","⚠ Falta fecha",IF(G311="","⚠ Falta monto",IF(Q311="","⚠ Falta cuenta",IF(ISNA(MATCH(Q311,ctaNombre,0)),"⚠ Cuenta no registrada",IF(AND(OR(P311="Gasto",P311="Reembolso"),D311=""),"⚠ Falta categoría",IF(AND(D311&lt;&gt;"",E311&lt;&gt;"",ISNA(MATCH(D311&amp;"|"&amp;E311,catClave,0))),"⚠ Subcategoría no corresponde",IF(AND(OR(P311="Transferencia",P311="Pago tarjeta"),K311=""),"⚠ Falta cuenta destino",IF(AND(K311&lt;&gt;"",P311&lt;&gt;"Transferencia",P311&lt;&gt;"Pago tarjeta"),"⚠ Destino solo aplica a transferencias",IF(AND(K311&lt;&gt;"",K311=Q311),"⚠ Origen igual a destino",IF(AND(K311&lt;&gt;"",ISNA(MATCH(K311,ctaNombre,0))),"⚠ Destino no registrado",IF(AND(P311="Pago tarjeta",AE311&lt;&gt;"Tarjeta de crédito"),"⚠ El destino debe ser tarjeta de crédito",IF(AND(P311="Gasto",E311="Depósitos y retiros"),"⚠ Usa tipo Transferencia",IF(AND(P311="Resultado trading",AD311&lt;&gt;"Cuenta de trading"),"⚠ Usa una cuenta de trading",IF(AND(G311&lt;=0,P311&lt;&gt;"Ajuste",P311&lt;&gt;"Resultado trading"),"⚠ El monto debe ser positivo","✓")))))))))))))))</f>
        <v/>
      </c>
      <c r="P311" s="52">
        <f>IF(OR(B311="",G311=""),"",IF(C311="","Gasto",C311))</f>
        <v/>
      </c>
      <c r="Q311" s="52">
        <f>IF(P311="","",IF(J311&lt;&gt;"",J311,CuentaPred&amp;""))</f>
        <v/>
      </c>
      <c r="R311" s="52">
        <f>IF(P311="","",IF(ISNUMBER(I311),I311,TasaUSD))</f>
        <v/>
      </c>
      <c r="S311" s="53">
        <f>IF(P311="","",IF(H311="USD",G311*R311,G311))</f>
        <v/>
      </c>
      <c r="T311" s="53">
        <f>IF(P311="","",IF(H311="USD",G311,IF(R311&gt;0,G311/R311,0)))</f>
        <v/>
      </c>
      <c r="U311" s="53">
        <f>IF(P311="","",IF(P311="Gasto",S311,IF(P311="Reembolso",-S311,0)))</f>
        <v/>
      </c>
      <c r="V311" s="53">
        <f>IF(P311="","",IF(P311="Ingreso",S311,0))</f>
        <v/>
      </c>
      <c r="W311" s="53">
        <f>IF(P311="","",IF(P311="Resultado trading",S311,0))</f>
        <v/>
      </c>
      <c r="X311" s="52">
        <f>IF(OR(P311="Gasto",P311="Reembolso"),IF(M311&lt;&gt;"",M311,IFERROR(INDEX(catClasif,MATCH(D311&amp;"|"&amp;E311,catClave,0))&amp;"","Variable")),"")</f>
        <v/>
      </c>
      <c r="Y311" s="52">
        <f>IF(P311="","",IFERROR(INDEX(catGrupo,MATCH(D311&amp;"|"&amp;E311,catClave,0))&amp;"",""))</f>
        <v/>
      </c>
      <c r="Z311" s="52">
        <f>IF(P311="","",WEEKDAY(B311,2))</f>
        <v/>
      </c>
      <c r="AA311" s="52">
        <f>IF(P311="","",IF(AND(P311="Gasto",X311="Variable",D311&lt;&gt;catTrading,S311&gt;0,S311&lt;=Umbral),1,0))</f>
        <v/>
      </c>
      <c r="AB311" s="52">
        <f>IF(OR(P311="",Q311=""),"",IFERROR(IF(INDEX(ctaVinc,MATCH(Q311,ctaNombre,0))&amp;""&lt;&gt;"",INDEX(ctaVinc,MATCH(Q311,ctaNombre,0))&amp;"",Q311),Q311))</f>
        <v/>
      </c>
      <c r="AC311" s="52">
        <f>IF(OR(K311="",AND(P311&lt;&gt;"Transferencia",P311&lt;&gt;"Pago tarjeta")),"",IFERROR(IF(INDEX(ctaVinc,MATCH(K311,ctaNombre,0))&amp;""&lt;&gt;"",INDEX(ctaVinc,MATCH(K311,ctaNombre,0))&amp;"",K311),K311))</f>
        <v/>
      </c>
      <c r="AD311" s="52">
        <f>IF(AB311="","",IFERROR(INDEX(ctaTipo,MATCH(AB311,ctaNombre,0))&amp;"",""))</f>
        <v/>
      </c>
      <c r="AE311" s="52">
        <f>IF(AC311="","",IFERROR(INDEX(ctaTipo,MATCH(AC311,ctaNombre,0))&amp;"",""))</f>
        <v/>
      </c>
      <c r="AF311" s="53">
        <f>IF(OR(P311="",AB311=""),"",IF(OR(P311="Gasto",P311="Transferencia",P311="Pago tarjeta"),-1,1)*IF(IFERROR(INDEX(ctaMoneda,MATCH(AB311,ctaNombre,0))&amp;"","DOP")="USD",T311,S311))</f>
        <v/>
      </c>
      <c r="AG311" s="53">
        <f>IF(AC311="","",IF(IFERROR(INDEX(ctaMoneda,MATCH(AC311,ctaNombre,0))&amp;"","DOP")="USD",T311,S311))</f>
        <v/>
      </c>
      <c r="AH311" s="53">
        <f>IF(P311="","",IF(AND(AD311&lt;&gt;"",COUNTIFS(tcTipo,AD311,tcLiq,"Sí")&gt;0),IF(OR(P311="Gasto",P311="Transferencia",P311="Pago tarjeta"),-1,1)*S311,0)+IF(AND(AE311&lt;&gt;"",COUNTIFS(tcTipo,AE311,tcLiq,"Sí")&gt;0),S311,0))</f>
        <v/>
      </c>
      <c r="AI311" s="52">
        <f>IF(OR(L311="",P311=""),"",IF(COUNTIFS(L$6:L311,L311,P$6:P311,"?*")=1,MAX(AI$5:AI310)+1,""))</f>
        <v/>
      </c>
    </row>
    <row r="312">
      <c r="B312" s="47" t="n"/>
      <c r="C312" s="48" t="n"/>
      <c r="D312" s="48" t="n"/>
      <c r="E312" s="48" t="n"/>
      <c r="F312" s="48" t="n"/>
      <c r="G312" s="49" t="n"/>
      <c r="H312" s="48" t="n"/>
      <c r="I312" s="50" t="n"/>
      <c r="J312" s="48" t="n"/>
      <c r="K312" s="48" t="n"/>
      <c r="L312" s="48" t="n"/>
      <c r="M312" s="48" t="n"/>
      <c r="N312" s="48" t="n"/>
      <c r="O312" s="51">
        <f>IF(AND(B312="",G312="",C312="",D312="",J312=""),"",IF(B312="","⚠ Falta fecha",IF(G312="","⚠ Falta monto",IF(Q312="","⚠ Falta cuenta",IF(ISNA(MATCH(Q312,ctaNombre,0)),"⚠ Cuenta no registrada",IF(AND(OR(P312="Gasto",P312="Reembolso"),D312=""),"⚠ Falta categoría",IF(AND(D312&lt;&gt;"",E312&lt;&gt;"",ISNA(MATCH(D312&amp;"|"&amp;E312,catClave,0))),"⚠ Subcategoría no corresponde",IF(AND(OR(P312="Transferencia",P312="Pago tarjeta"),K312=""),"⚠ Falta cuenta destino",IF(AND(K312&lt;&gt;"",P312&lt;&gt;"Transferencia",P312&lt;&gt;"Pago tarjeta"),"⚠ Destino solo aplica a transferencias",IF(AND(K312&lt;&gt;"",K312=Q312),"⚠ Origen igual a destino",IF(AND(K312&lt;&gt;"",ISNA(MATCH(K312,ctaNombre,0))),"⚠ Destino no registrado",IF(AND(P312="Pago tarjeta",AE312&lt;&gt;"Tarjeta de crédito"),"⚠ El destino debe ser tarjeta de crédito",IF(AND(P312="Gasto",E312="Depósitos y retiros"),"⚠ Usa tipo Transferencia",IF(AND(P312="Resultado trading",AD312&lt;&gt;"Cuenta de trading"),"⚠ Usa una cuenta de trading",IF(AND(G312&lt;=0,P312&lt;&gt;"Ajuste",P312&lt;&gt;"Resultado trading"),"⚠ El monto debe ser positivo","✓")))))))))))))))</f>
        <v/>
      </c>
      <c r="P312" s="52">
        <f>IF(OR(B312="",G312=""),"",IF(C312="","Gasto",C312))</f>
        <v/>
      </c>
      <c r="Q312" s="52">
        <f>IF(P312="","",IF(J312&lt;&gt;"",J312,CuentaPred&amp;""))</f>
        <v/>
      </c>
      <c r="R312" s="52">
        <f>IF(P312="","",IF(ISNUMBER(I312),I312,TasaUSD))</f>
        <v/>
      </c>
      <c r="S312" s="53">
        <f>IF(P312="","",IF(H312="USD",G312*R312,G312))</f>
        <v/>
      </c>
      <c r="T312" s="53">
        <f>IF(P312="","",IF(H312="USD",G312,IF(R312&gt;0,G312/R312,0)))</f>
        <v/>
      </c>
      <c r="U312" s="53">
        <f>IF(P312="","",IF(P312="Gasto",S312,IF(P312="Reembolso",-S312,0)))</f>
        <v/>
      </c>
      <c r="V312" s="53">
        <f>IF(P312="","",IF(P312="Ingreso",S312,0))</f>
        <v/>
      </c>
      <c r="W312" s="53">
        <f>IF(P312="","",IF(P312="Resultado trading",S312,0))</f>
        <v/>
      </c>
      <c r="X312" s="52">
        <f>IF(OR(P312="Gasto",P312="Reembolso"),IF(M312&lt;&gt;"",M312,IFERROR(INDEX(catClasif,MATCH(D312&amp;"|"&amp;E312,catClave,0))&amp;"","Variable")),"")</f>
        <v/>
      </c>
      <c r="Y312" s="52">
        <f>IF(P312="","",IFERROR(INDEX(catGrupo,MATCH(D312&amp;"|"&amp;E312,catClave,0))&amp;"",""))</f>
        <v/>
      </c>
      <c r="Z312" s="52">
        <f>IF(P312="","",WEEKDAY(B312,2))</f>
        <v/>
      </c>
      <c r="AA312" s="52">
        <f>IF(P312="","",IF(AND(P312="Gasto",X312="Variable",D312&lt;&gt;catTrading,S312&gt;0,S312&lt;=Umbral),1,0))</f>
        <v/>
      </c>
      <c r="AB312" s="52">
        <f>IF(OR(P312="",Q312=""),"",IFERROR(IF(INDEX(ctaVinc,MATCH(Q312,ctaNombre,0))&amp;""&lt;&gt;"",INDEX(ctaVinc,MATCH(Q312,ctaNombre,0))&amp;"",Q312),Q312))</f>
        <v/>
      </c>
      <c r="AC312" s="52">
        <f>IF(OR(K312="",AND(P312&lt;&gt;"Transferencia",P312&lt;&gt;"Pago tarjeta")),"",IFERROR(IF(INDEX(ctaVinc,MATCH(K312,ctaNombre,0))&amp;""&lt;&gt;"",INDEX(ctaVinc,MATCH(K312,ctaNombre,0))&amp;"",K312),K312))</f>
        <v/>
      </c>
      <c r="AD312" s="52">
        <f>IF(AB312="","",IFERROR(INDEX(ctaTipo,MATCH(AB312,ctaNombre,0))&amp;"",""))</f>
        <v/>
      </c>
      <c r="AE312" s="52">
        <f>IF(AC312="","",IFERROR(INDEX(ctaTipo,MATCH(AC312,ctaNombre,0))&amp;"",""))</f>
        <v/>
      </c>
      <c r="AF312" s="53">
        <f>IF(OR(P312="",AB312=""),"",IF(OR(P312="Gasto",P312="Transferencia",P312="Pago tarjeta"),-1,1)*IF(IFERROR(INDEX(ctaMoneda,MATCH(AB312,ctaNombre,0))&amp;"","DOP")="USD",T312,S312))</f>
        <v/>
      </c>
      <c r="AG312" s="53">
        <f>IF(AC312="","",IF(IFERROR(INDEX(ctaMoneda,MATCH(AC312,ctaNombre,0))&amp;"","DOP")="USD",T312,S312))</f>
        <v/>
      </c>
      <c r="AH312" s="53">
        <f>IF(P312="","",IF(AND(AD312&lt;&gt;"",COUNTIFS(tcTipo,AD312,tcLiq,"Sí")&gt;0),IF(OR(P312="Gasto",P312="Transferencia",P312="Pago tarjeta"),-1,1)*S312,0)+IF(AND(AE312&lt;&gt;"",COUNTIFS(tcTipo,AE312,tcLiq,"Sí")&gt;0),S312,0))</f>
        <v/>
      </c>
      <c r="AI312" s="52">
        <f>IF(OR(L312="",P312=""),"",IF(COUNTIFS(L$6:L312,L312,P$6:P312,"?*")=1,MAX(AI$5:AI311)+1,""))</f>
        <v/>
      </c>
    </row>
    <row r="313">
      <c r="B313" s="47" t="n"/>
      <c r="C313" s="48" t="n"/>
      <c r="D313" s="48" t="n"/>
      <c r="E313" s="48" t="n"/>
      <c r="F313" s="48" t="n"/>
      <c r="G313" s="49" t="n"/>
      <c r="H313" s="48" t="n"/>
      <c r="I313" s="50" t="n"/>
      <c r="J313" s="48" t="n"/>
      <c r="K313" s="48" t="n"/>
      <c r="L313" s="48" t="n"/>
      <c r="M313" s="48" t="n"/>
      <c r="N313" s="48" t="n"/>
      <c r="O313" s="51">
        <f>IF(AND(B313="",G313="",C313="",D313="",J313=""),"",IF(B313="","⚠ Falta fecha",IF(G313="","⚠ Falta monto",IF(Q313="","⚠ Falta cuenta",IF(ISNA(MATCH(Q313,ctaNombre,0)),"⚠ Cuenta no registrada",IF(AND(OR(P313="Gasto",P313="Reembolso"),D313=""),"⚠ Falta categoría",IF(AND(D313&lt;&gt;"",E313&lt;&gt;"",ISNA(MATCH(D313&amp;"|"&amp;E313,catClave,0))),"⚠ Subcategoría no corresponde",IF(AND(OR(P313="Transferencia",P313="Pago tarjeta"),K313=""),"⚠ Falta cuenta destino",IF(AND(K313&lt;&gt;"",P313&lt;&gt;"Transferencia",P313&lt;&gt;"Pago tarjeta"),"⚠ Destino solo aplica a transferencias",IF(AND(K313&lt;&gt;"",K313=Q313),"⚠ Origen igual a destino",IF(AND(K313&lt;&gt;"",ISNA(MATCH(K313,ctaNombre,0))),"⚠ Destino no registrado",IF(AND(P313="Pago tarjeta",AE313&lt;&gt;"Tarjeta de crédito"),"⚠ El destino debe ser tarjeta de crédito",IF(AND(P313="Gasto",E313="Depósitos y retiros"),"⚠ Usa tipo Transferencia",IF(AND(P313="Resultado trading",AD313&lt;&gt;"Cuenta de trading"),"⚠ Usa una cuenta de trading",IF(AND(G313&lt;=0,P313&lt;&gt;"Ajuste",P313&lt;&gt;"Resultado trading"),"⚠ El monto debe ser positivo","✓")))))))))))))))</f>
        <v/>
      </c>
      <c r="P313" s="52">
        <f>IF(OR(B313="",G313=""),"",IF(C313="","Gasto",C313))</f>
        <v/>
      </c>
      <c r="Q313" s="52">
        <f>IF(P313="","",IF(J313&lt;&gt;"",J313,CuentaPred&amp;""))</f>
        <v/>
      </c>
      <c r="R313" s="52">
        <f>IF(P313="","",IF(ISNUMBER(I313),I313,TasaUSD))</f>
        <v/>
      </c>
      <c r="S313" s="53">
        <f>IF(P313="","",IF(H313="USD",G313*R313,G313))</f>
        <v/>
      </c>
      <c r="T313" s="53">
        <f>IF(P313="","",IF(H313="USD",G313,IF(R313&gt;0,G313/R313,0)))</f>
        <v/>
      </c>
      <c r="U313" s="53">
        <f>IF(P313="","",IF(P313="Gasto",S313,IF(P313="Reembolso",-S313,0)))</f>
        <v/>
      </c>
      <c r="V313" s="53">
        <f>IF(P313="","",IF(P313="Ingreso",S313,0))</f>
        <v/>
      </c>
      <c r="W313" s="53">
        <f>IF(P313="","",IF(P313="Resultado trading",S313,0))</f>
        <v/>
      </c>
      <c r="X313" s="52">
        <f>IF(OR(P313="Gasto",P313="Reembolso"),IF(M313&lt;&gt;"",M313,IFERROR(INDEX(catClasif,MATCH(D313&amp;"|"&amp;E313,catClave,0))&amp;"","Variable")),"")</f>
        <v/>
      </c>
      <c r="Y313" s="52">
        <f>IF(P313="","",IFERROR(INDEX(catGrupo,MATCH(D313&amp;"|"&amp;E313,catClave,0))&amp;"",""))</f>
        <v/>
      </c>
      <c r="Z313" s="52">
        <f>IF(P313="","",WEEKDAY(B313,2))</f>
        <v/>
      </c>
      <c r="AA313" s="52">
        <f>IF(P313="","",IF(AND(P313="Gasto",X313="Variable",D313&lt;&gt;catTrading,S313&gt;0,S313&lt;=Umbral),1,0))</f>
        <v/>
      </c>
      <c r="AB313" s="52">
        <f>IF(OR(P313="",Q313=""),"",IFERROR(IF(INDEX(ctaVinc,MATCH(Q313,ctaNombre,0))&amp;""&lt;&gt;"",INDEX(ctaVinc,MATCH(Q313,ctaNombre,0))&amp;"",Q313),Q313))</f>
        <v/>
      </c>
      <c r="AC313" s="52">
        <f>IF(OR(K313="",AND(P313&lt;&gt;"Transferencia",P313&lt;&gt;"Pago tarjeta")),"",IFERROR(IF(INDEX(ctaVinc,MATCH(K313,ctaNombre,0))&amp;""&lt;&gt;"",INDEX(ctaVinc,MATCH(K313,ctaNombre,0))&amp;"",K313),K313))</f>
        <v/>
      </c>
      <c r="AD313" s="52">
        <f>IF(AB313="","",IFERROR(INDEX(ctaTipo,MATCH(AB313,ctaNombre,0))&amp;"",""))</f>
        <v/>
      </c>
      <c r="AE313" s="52">
        <f>IF(AC313="","",IFERROR(INDEX(ctaTipo,MATCH(AC313,ctaNombre,0))&amp;"",""))</f>
        <v/>
      </c>
      <c r="AF313" s="53">
        <f>IF(OR(P313="",AB313=""),"",IF(OR(P313="Gasto",P313="Transferencia",P313="Pago tarjeta"),-1,1)*IF(IFERROR(INDEX(ctaMoneda,MATCH(AB313,ctaNombre,0))&amp;"","DOP")="USD",T313,S313))</f>
        <v/>
      </c>
      <c r="AG313" s="53">
        <f>IF(AC313="","",IF(IFERROR(INDEX(ctaMoneda,MATCH(AC313,ctaNombre,0))&amp;"","DOP")="USD",T313,S313))</f>
        <v/>
      </c>
      <c r="AH313" s="53">
        <f>IF(P313="","",IF(AND(AD313&lt;&gt;"",COUNTIFS(tcTipo,AD313,tcLiq,"Sí")&gt;0),IF(OR(P313="Gasto",P313="Transferencia",P313="Pago tarjeta"),-1,1)*S313,0)+IF(AND(AE313&lt;&gt;"",COUNTIFS(tcTipo,AE313,tcLiq,"Sí")&gt;0),S313,0))</f>
        <v/>
      </c>
      <c r="AI313" s="52">
        <f>IF(OR(L313="",P313=""),"",IF(COUNTIFS(L$6:L313,L313,P$6:P313,"?*")=1,MAX(AI$5:AI312)+1,""))</f>
        <v/>
      </c>
    </row>
    <row r="314">
      <c r="B314" s="47" t="n"/>
      <c r="C314" s="48" t="n"/>
      <c r="D314" s="48" t="n"/>
      <c r="E314" s="48" t="n"/>
      <c r="F314" s="48" t="n"/>
      <c r="G314" s="49" t="n"/>
      <c r="H314" s="48" t="n"/>
      <c r="I314" s="50" t="n"/>
      <c r="J314" s="48" t="n"/>
      <c r="K314" s="48" t="n"/>
      <c r="L314" s="48" t="n"/>
      <c r="M314" s="48" t="n"/>
      <c r="N314" s="48" t="n"/>
      <c r="O314" s="51">
        <f>IF(AND(B314="",G314="",C314="",D314="",J314=""),"",IF(B314="","⚠ Falta fecha",IF(G314="","⚠ Falta monto",IF(Q314="","⚠ Falta cuenta",IF(ISNA(MATCH(Q314,ctaNombre,0)),"⚠ Cuenta no registrada",IF(AND(OR(P314="Gasto",P314="Reembolso"),D314=""),"⚠ Falta categoría",IF(AND(D314&lt;&gt;"",E314&lt;&gt;"",ISNA(MATCH(D314&amp;"|"&amp;E314,catClave,0))),"⚠ Subcategoría no corresponde",IF(AND(OR(P314="Transferencia",P314="Pago tarjeta"),K314=""),"⚠ Falta cuenta destino",IF(AND(K314&lt;&gt;"",P314&lt;&gt;"Transferencia",P314&lt;&gt;"Pago tarjeta"),"⚠ Destino solo aplica a transferencias",IF(AND(K314&lt;&gt;"",K314=Q314),"⚠ Origen igual a destino",IF(AND(K314&lt;&gt;"",ISNA(MATCH(K314,ctaNombre,0))),"⚠ Destino no registrado",IF(AND(P314="Pago tarjeta",AE314&lt;&gt;"Tarjeta de crédito"),"⚠ El destino debe ser tarjeta de crédito",IF(AND(P314="Gasto",E314="Depósitos y retiros"),"⚠ Usa tipo Transferencia",IF(AND(P314="Resultado trading",AD314&lt;&gt;"Cuenta de trading"),"⚠ Usa una cuenta de trading",IF(AND(G314&lt;=0,P314&lt;&gt;"Ajuste",P314&lt;&gt;"Resultado trading"),"⚠ El monto debe ser positivo","✓")))))))))))))))</f>
        <v/>
      </c>
      <c r="P314" s="52">
        <f>IF(OR(B314="",G314=""),"",IF(C314="","Gasto",C314))</f>
        <v/>
      </c>
      <c r="Q314" s="52">
        <f>IF(P314="","",IF(J314&lt;&gt;"",J314,CuentaPred&amp;""))</f>
        <v/>
      </c>
      <c r="R314" s="52">
        <f>IF(P314="","",IF(ISNUMBER(I314),I314,TasaUSD))</f>
        <v/>
      </c>
      <c r="S314" s="53">
        <f>IF(P314="","",IF(H314="USD",G314*R314,G314))</f>
        <v/>
      </c>
      <c r="T314" s="53">
        <f>IF(P314="","",IF(H314="USD",G314,IF(R314&gt;0,G314/R314,0)))</f>
        <v/>
      </c>
      <c r="U314" s="53">
        <f>IF(P314="","",IF(P314="Gasto",S314,IF(P314="Reembolso",-S314,0)))</f>
        <v/>
      </c>
      <c r="V314" s="53">
        <f>IF(P314="","",IF(P314="Ingreso",S314,0))</f>
        <v/>
      </c>
      <c r="W314" s="53">
        <f>IF(P314="","",IF(P314="Resultado trading",S314,0))</f>
        <v/>
      </c>
      <c r="X314" s="52">
        <f>IF(OR(P314="Gasto",P314="Reembolso"),IF(M314&lt;&gt;"",M314,IFERROR(INDEX(catClasif,MATCH(D314&amp;"|"&amp;E314,catClave,0))&amp;"","Variable")),"")</f>
        <v/>
      </c>
      <c r="Y314" s="52">
        <f>IF(P314="","",IFERROR(INDEX(catGrupo,MATCH(D314&amp;"|"&amp;E314,catClave,0))&amp;"",""))</f>
        <v/>
      </c>
      <c r="Z314" s="52">
        <f>IF(P314="","",WEEKDAY(B314,2))</f>
        <v/>
      </c>
      <c r="AA314" s="52">
        <f>IF(P314="","",IF(AND(P314="Gasto",X314="Variable",D314&lt;&gt;catTrading,S314&gt;0,S314&lt;=Umbral),1,0))</f>
        <v/>
      </c>
      <c r="AB314" s="52">
        <f>IF(OR(P314="",Q314=""),"",IFERROR(IF(INDEX(ctaVinc,MATCH(Q314,ctaNombre,0))&amp;""&lt;&gt;"",INDEX(ctaVinc,MATCH(Q314,ctaNombre,0))&amp;"",Q314),Q314))</f>
        <v/>
      </c>
      <c r="AC314" s="52">
        <f>IF(OR(K314="",AND(P314&lt;&gt;"Transferencia",P314&lt;&gt;"Pago tarjeta")),"",IFERROR(IF(INDEX(ctaVinc,MATCH(K314,ctaNombre,0))&amp;""&lt;&gt;"",INDEX(ctaVinc,MATCH(K314,ctaNombre,0))&amp;"",K314),K314))</f>
        <v/>
      </c>
      <c r="AD314" s="52">
        <f>IF(AB314="","",IFERROR(INDEX(ctaTipo,MATCH(AB314,ctaNombre,0))&amp;"",""))</f>
        <v/>
      </c>
      <c r="AE314" s="52">
        <f>IF(AC314="","",IFERROR(INDEX(ctaTipo,MATCH(AC314,ctaNombre,0))&amp;"",""))</f>
        <v/>
      </c>
      <c r="AF314" s="53">
        <f>IF(OR(P314="",AB314=""),"",IF(OR(P314="Gasto",P314="Transferencia",P314="Pago tarjeta"),-1,1)*IF(IFERROR(INDEX(ctaMoneda,MATCH(AB314,ctaNombre,0))&amp;"","DOP")="USD",T314,S314))</f>
        <v/>
      </c>
      <c r="AG314" s="53">
        <f>IF(AC314="","",IF(IFERROR(INDEX(ctaMoneda,MATCH(AC314,ctaNombre,0))&amp;"","DOP")="USD",T314,S314))</f>
        <v/>
      </c>
      <c r="AH314" s="53">
        <f>IF(P314="","",IF(AND(AD314&lt;&gt;"",COUNTIFS(tcTipo,AD314,tcLiq,"Sí")&gt;0),IF(OR(P314="Gasto",P314="Transferencia",P314="Pago tarjeta"),-1,1)*S314,0)+IF(AND(AE314&lt;&gt;"",COUNTIFS(tcTipo,AE314,tcLiq,"Sí")&gt;0),S314,0))</f>
        <v/>
      </c>
      <c r="AI314" s="52">
        <f>IF(OR(L314="",P314=""),"",IF(COUNTIFS(L$6:L314,L314,P$6:P314,"?*")=1,MAX(AI$5:AI313)+1,""))</f>
        <v/>
      </c>
    </row>
    <row r="315">
      <c r="B315" s="47" t="n"/>
      <c r="C315" s="48" t="n"/>
      <c r="D315" s="48" t="n"/>
      <c r="E315" s="48" t="n"/>
      <c r="F315" s="48" t="n"/>
      <c r="G315" s="49" t="n"/>
      <c r="H315" s="48" t="n"/>
      <c r="I315" s="50" t="n"/>
      <c r="J315" s="48" t="n"/>
      <c r="K315" s="48" t="n"/>
      <c r="L315" s="48" t="n"/>
      <c r="M315" s="48" t="n"/>
      <c r="N315" s="48" t="n"/>
      <c r="O315" s="51">
        <f>IF(AND(B315="",G315="",C315="",D315="",J315=""),"",IF(B315="","⚠ Falta fecha",IF(G315="","⚠ Falta monto",IF(Q315="","⚠ Falta cuenta",IF(ISNA(MATCH(Q315,ctaNombre,0)),"⚠ Cuenta no registrada",IF(AND(OR(P315="Gasto",P315="Reembolso"),D315=""),"⚠ Falta categoría",IF(AND(D315&lt;&gt;"",E315&lt;&gt;"",ISNA(MATCH(D315&amp;"|"&amp;E315,catClave,0))),"⚠ Subcategoría no corresponde",IF(AND(OR(P315="Transferencia",P315="Pago tarjeta"),K315=""),"⚠ Falta cuenta destino",IF(AND(K315&lt;&gt;"",P315&lt;&gt;"Transferencia",P315&lt;&gt;"Pago tarjeta"),"⚠ Destino solo aplica a transferencias",IF(AND(K315&lt;&gt;"",K315=Q315),"⚠ Origen igual a destino",IF(AND(K315&lt;&gt;"",ISNA(MATCH(K315,ctaNombre,0))),"⚠ Destino no registrado",IF(AND(P315="Pago tarjeta",AE315&lt;&gt;"Tarjeta de crédito"),"⚠ El destino debe ser tarjeta de crédito",IF(AND(P315="Gasto",E315="Depósitos y retiros"),"⚠ Usa tipo Transferencia",IF(AND(P315="Resultado trading",AD315&lt;&gt;"Cuenta de trading"),"⚠ Usa una cuenta de trading",IF(AND(G315&lt;=0,P315&lt;&gt;"Ajuste",P315&lt;&gt;"Resultado trading"),"⚠ El monto debe ser positivo","✓")))))))))))))))</f>
        <v/>
      </c>
      <c r="P315" s="52">
        <f>IF(OR(B315="",G315=""),"",IF(C315="","Gasto",C315))</f>
        <v/>
      </c>
      <c r="Q315" s="52">
        <f>IF(P315="","",IF(J315&lt;&gt;"",J315,CuentaPred&amp;""))</f>
        <v/>
      </c>
      <c r="R315" s="52">
        <f>IF(P315="","",IF(ISNUMBER(I315),I315,TasaUSD))</f>
        <v/>
      </c>
      <c r="S315" s="53">
        <f>IF(P315="","",IF(H315="USD",G315*R315,G315))</f>
        <v/>
      </c>
      <c r="T315" s="53">
        <f>IF(P315="","",IF(H315="USD",G315,IF(R315&gt;0,G315/R315,0)))</f>
        <v/>
      </c>
      <c r="U315" s="53">
        <f>IF(P315="","",IF(P315="Gasto",S315,IF(P315="Reembolso",-S315,0)))</f>
        <v/>
      </c>
      <c r="V315" s="53">
        <f>IF(P315="","",IF(P315="Ingreso",S315,0))</f>
        <v/>
      </c>
      <c r="W315" s="53">
        <f>IF(P315="","",IF(P315="Resultado trading",S315,0))</f>
        <v/>
      </c>
      <c r="X315" s="52">
        <f>IF(OR(P315="Gasto",P315="Reembolso"),IF(M315&lt;&gt;"",M315,IFERROR(INDEX(catClasif,MATCH(D315&amp;"|"&amp;E315,catClave,0))&amp;"","Variable")),"")</f>
        <v/>
      </c>
      <c r="Y315" s="52">
        <f>IF(P315="","",IFERROR(INDEX(catGrupo,MATCH(D315&amp;"|"&amp;E315,catClave,0))&amp;"",""))</f>
        <v/>
      </c>
      <c r="Z315" s="52">
        <f>IF(P315="","",WEEKDAY(B315,2))</f>
        <v/>
      </c>
      <c r="AA315" s="52">
        <f>IF(P315="","",IF(AND(P315="Gasto",X315="Variable",D315&lt;&gt;catTrading,S315&gt;0,S315&lt;=Umbral),1,0))</f>
        <v/>
      </c>
      <c r="AB315" s="52">
        <f>IF(OR(P315="",Q315=""),"",IFERROR(IF(INDEX(ctaVinc,MATCH(Q315,ctaNombre,0))&amp;""&lt;&gt;"",INDEX(ctaVinc,MATCH(Q315,ctaNombre,0))&amp;"",Q315),Q315))</f>
        <v/>
      </c>
      <c r="AC315" s="52">
        <f>IF(OR(K315="",AND(P315&lt;&gt;"Transferencia",P315&lt;&gt;"Pago tarjeta")),"",IFERROR(IF(INDEX(ctaVinc,MATCH(K315,ctaNombre,0))&amp;""&lt;&gt;"",INDEX(ctaVinc,MATCH(K315,ctaNombre,0))&amp;"",K315),K315))</f>
        <v/>
      </c>
      <c r="AD315" s="52">
        <f>IF(AB315="","",IFERROR(INDEX(ctaTipo,MATCH(AB315,ctaNombre,0))&amp;"",""))</f>
        <v/>
      </c>
      <c r="AE315" s="52">
        <f>IF(AC315="","",IFERROR(INDEX(ctaTipo,MATCH(AC315,ctaNombre,0))&amp;"",""))</f>
        <v/>
      </c>
      <c r="AF315" s="53">
        <f>IF(OR(P315="",AB315=""),"",IF(OR(P315="Gasto",P315="Transferencia",P315="Pago tarjeta"),-1,1)*IF(IFERROR(INDEX(ctaMoneda,MATCH(AB315,ctaNombre,0))&amp;"","DOP")="USD",T315,S315))</f>
        <v/>
      </c>
      <c r="AG315" s="53">
        <f>IF(AC315="","",IF(IFERROR(INDEX(ctaMoneda,MATCH(AC315,ctaNombre,0))&amp;"","DOP")="USD",T315,S315))</f>
        <v/>
      </c>
      <c r="AH315" s="53">
        <f>IF(P315="","",IF(AND(AD315&lt;&gt;"",COUNTIFS(tcTipo,AD315,tcLiq,"Sí")&gt;0),IF(OR(P315="Gasto",P315="Transferencia",P315="Pago tarjeta"),-1,1)*S315,0)+IF(AND(AE315&lt;&gt;"",COUNTIFS(tcTipo,AE315,tcLiq,"Sí")&gt;0),S315,0))</f>
        <v/>
      </c>
      <c r="AI315" s="52">
        <f>IF(OR(L315="",P315=""),"",IF(COUNTIFS(L$6:L315,L315,P$6:P315,"?*")=1,MAX(AI$5:AI314)+1,""))</f>
        <v/>
      </c>
    </row>
    <row r="316">
      <c r="B316" s="47" t="n"/>
      <c r="C316" s="48" t="n"/>
      <c r="D316" s="48" t="n"/>
      <c r="E316" s="48" t="n"/>
      <c r="F316" s="48" t="n"/>
      <c r="G316" s="49" t="n"/>
      <c r="H316" s="48" t="n"/>
      <c r="I316" s="50" t="n"/>
      <c r="J316" s="48" t="n"/>
      <c r="K316" s="48" t="n"/>
      <c r="L316" s="48" t="n"/>
      <c r="M316" s="48" t="n"/>
      <c r="N316" s="48" t="n"/>
      <c r="O316" s="51">
        <f>IF(AND(B316="",G316="",C316="",D316="",J316=""),"",IF(B316="","⚠ Falta fecha",IF(G316="","⚠ Falta monto",IF(Q316="","⚠ Falta cuenta",IF(ISNA(MATCH(Q316,ctaNombre,0)),"⚠ Cuenta no registrada",IF(AND(OR(P316="Gasto",P316="Reembolso"),D316=""),"⚠ Falta categoría",IF(AND(D316&lt;&gt;"",E316&lt;&gt;"",ISNA(MATCH(D316&amp;"|"&amp;E316,catClave,0))),"⚠ Subcategoría no corresponde",IF(AND(OR(P316="Transferencia",P316="Pago tarjeta"),K316=""),"⚠ Falta cuenta destino",IF(AND(K316&lt;&gt;"",P316&lt;&gt;"Transferencia",P316&lt;&gt;"Pago tarjeta"),"⚠ Destino solo aplica a transferencias",IF(AND(K316&lt;&gt;"",K316=Q316),"⚠ Origen igual a destino",IF(AND(K316&lt;&gt;"",ISNA(MATCH(K316,ctaNombre,0))),"⚠ Destino no registrado",IF(AND(P316="Pago tarjeta",AE316&lt;&gt;"Tarjeta de crédito"),"⚠ El destino debe ser tarjeta de crédito",IF(AND(P316="Gasto",E316="Depósitos y retiros"),"⚠ Usa tipo Transferencia",IF(AND(P316="Resultado trading",AD316&lt;&gt;"Cuenta de trading"),"⚠ Usa una cuenta de trading",IF(AND(G316&lt;=0,P316&lt;&gt;"Ajuste",P316&lt;&gt;"Resultado trading"),"⚠ El monto debe ser positivo","✓")))))))))))))))</f>
        <v/>
      </c>
      <c r="P316" s="52">
        <f>IF(OR(B316="",G316=""),"",IF(C316="","Gasto",C316))</f>
        <v/>
      </c>
      <c r="Q316" s="52">
        <f>IF(P316="","",IF(J316&lt;&gt;"",J316,CuentaPred&amp;""))</f>
        <v/>
      </c>
      <c r="R316" s="52">
        <f>IF(P316="","",IF(ISNUMBER(I316),I316,TasaUSD))</f>
        <v/>
      </c>
      <c r="S316" s="53">
        <f>IF(P316="","",IF(H316="USD",G316*R316,G316))</f>
        <v/>
      </c>
      <c r="T316" s="53">
        <f>IF(P316="","",IF(H316="USD",G316,IF(R316&gt;0,G316/R316,0)))</f>
        <v/>
      </c>
      <c r="U316" s="53">
        <f>IF(P316="","",IF(P316="Gasto",S316,IF(P316="Reembolso",-S316,0)))</f>
        <v/>
      </c>
      <c r="V316" s="53">
        <f>IF(P316="","",IF(P316="Ingreso",S316,0))</f>
        <v/>
      </c>
      <c r="W316" s="53">
        <f>IF(P316="","",IF(P316="Resultado trading",S316,0))</f>
        <v/>
      </c>
      <c r="X316" s="52">
        <f>IF(OR(P316="Gasto",P316="Reembolso"),IF(M316&lt;&gt;"",M316,IFERROR(INDEX(catClasif,MATCH(D316&amp;"|"&amp;E316,catClave,0))&amp;"","Variable")),"")</f>
        <v/>
      </c>
      <c r="Y316" s="52">
        <f>IF(P316="","",IFERROR(INDEX(catGrupo,MATCH(D316&amp;"|"&amp;E316,catClave,0))&amp;"",""))</f>
        <v/>
      </c>
      <c r="Z316" s="52">
        <f>IF(P316="","",WEEKDAY(B316,2))</f>
        <v/>
      </c>
      <c r="AA316" s="52">
        <f>IF(P316="","",IF(AND(P316="Gasto",X316="Variable",D316&lt;&gt;catTrading,S316&gt;0,S316&lt;=Umbral),1,0))</f>
        <v/>
      </c>
      <c r="AB316" s="52">
        <f>IF(OR(P316="",Q316=""),"",IFERROR(IF(INDEX(ctaVinc,MATCH(Q316,ctaNombre,0))&amp;""&lt;&gt;"",INDEX(ctaVinc,MATCH(Q316,ctaNombre,0))&amp;"",Q316),Q316))</f>
        <v/>
      </c>
      <c r="AC316" s="52">
        <f>IF(OR(K316="",AND(P316&lt;&gt;"Transferencia",P316&lt;&gt;"Pago tarjeta")),"",IFERROR(IF(INDEX(ctaVinc,MATCH(K316,ctaNombre,0))&amp;""&lt;&gt;"",INDEX(ctaVinc,MATCH(K316,ctaNombre,0))&amp;"",K316),K316))</f>
        <v/>
      </c>
      <c r="AD316" s="52">
        <f>IF(AB316="","",IFERROR(INDEX(ctaTipo,MATCH(AB316,ctaNombre,0))&amp;"",""))</f>
        <v/>
      </c>
      <c r="AE316" s="52">
        <f>IF(AC316="","",IFERROR(INDEX(ctaTipo,MATCH(AC316,ctaNombre,0))&amp;"",""))</f>
        <v/>
      </c>
      <c r="AF316" s="53">
        <f>IF(OR(P316="",AB316=""),"",IF(OR(P316="Gasto",P316="Transferencia",P316="Pago tarjeta"),-1,1)*IF(IFERROR(INDEX(ctaMoneda,MATCH(AB316,ctaNombre,0))&amp;"","DOP")="USD",T316,S316))</f>
        <v/>
      </c>
      <c r="AG316" s="53">
        <f>IF(AC316="","",IF(IFERROR(INDEX(ctaMoneda,MATCH(AC316,ctaNombre,0))&amp;"","DOP")="USD",T316,S316))</f>
        <v/>
      </c>
      <c r="AH316" s="53">
        <f>IF(P316="","",IF(AND(AD316&lt;&gt;"",COUNTIFS(tcTipo,AD316,tcLiq,"Sí")&gt;0),IF(OR(P316="Gasto",P316="Transferencia",P316="Pago tarjeta"),-1,1)*S316,0)+IF(AND(AE316&lt;&gt;"",COUNTIFS(tcTipo,AE316,tcLiq,"Sí")&gt;0),S316,0))</f>
        <v/>
      </c>
      <c r="AI316" s="52">
        <f>IF(OR(L316="",P316=""),"",IF(COUNTIFS(L$6:L316,L316,P$6:P316,"?*")=1,MAX(AI$5:AI315)+1,""))</f>
        <v/>
      </c>
    </row>
    <row r="317">
      <c r="B317" s="47" t="n"/>
      <c r="C317" s="48" t="n"/>
      <c r="D317" s="48" t="n"/>
      <c r="E317" s="48" t="n"/>
      <c r="F317" s="48" t="n"/>
      <c r="G317" s="49" t="n"/>
      <c r="H317" s="48" t="n"/>
      <c r="I317" s="50" t="n"/>
      <c r="J317" s="48" t="n"/>
      <c r="K317" s="48" t="n"/>
      <c r="L317" s="48" t="n"/>
      <c r="M317" s="48" t="n"/>
      <c r="N317" s="48" t="n"/>
      <c r="O317" s="51">
        <f>IF(AND(B317="",G317="",C317="",D317="",J317=""),"",IF(B317="","⚠ Falta fecha",IF(G317="","⚠ Falta monto",IF(Q317="","⚠ Falta cuenta",IF(ISNA(MATCH(Q317,ctaNombre,0)),"⚠ Cuenta no registrada",IF(AND(OR(P317="Gasto",P317="Reembolso"),D317=""),"⚠ Falta categoría",IF(AND(D317&lt;&gt;"",E317&lt;&gt;"",ISNA(MATCH(D317&amp;"|"&amp;E317,catClave,0))),"⚠ Subcategoría no corresponde",IF(AND(OR(P317="Transferencia",P317="Pago tarjeta"),K317=""),"⚠ Falta cuenta destino",IF(AND(K317&lt;&gt;"",P317&lt;&gt;"Transferencia",P317&lt;&gt;"Pago tarjeta"),"⚠ Destino solo aplica a transferencias",IF(AND(K317&lt;&gt;"",K317=Q317),"⚠ Origen igual a destino",IF(AND(K317&lt;&gt;"",ISNA(MATCH(K317,ctaNombre,0))),"⚠ Destino no registrado",IF(AND(P317="Pago tarjeta",AE317&lt;&gt;"Tarjeta de crédito"),"⚠ El destino debe ser tarjeta de crédito",IF(AND(P317="Gasto",E317="Depósitos y retiros"),"⚠ Usa tipo Transferencia",IF(AND(P317="Resultado trading",AD317&lt;&gt;"Cuenta de trading"),"⚠ Usa una cuenta de trading",IF(AND(G317&lt;=0,P317&lt;&gt;"Ajuste",P317&lt;&gt;"Resultado trading"),"⚠ El monto debe ser positivo","✓")))))))))))))))</f>
        <v/>
      </c>
      <c r="P317" s="52">
        <f>IF(OR(B317="",G317=""),"",IF(C317="","Gasto",C317))</f>
        <v/>
      </c>
      <c r="Q317" s="52">
        <f>IF(P317="","",IF(J317&lt;&gt;"",J317,CuentaPred&amp;""))</f>
        <v/>
      </c>
      <c r="R317" s="52">
        <f>IF(P317="","",IF(ISNUMBER(I317),I317,TasaUSD))</f>
        <v/>
      </c>
      <c r="S317" s="53">
        <f>IF(P317="","",IF(H317="USD",G317*R317,G317))</f>
        <v/>
      </c>
      <c r="T317" s="53">
        <f>IF(P317="","",IF(H317="USD",G317,IF(R317&gt;0,G317/R317,0)))</f>
        <v/>
      </c>
      <c r="U317" s="53">
        <f>IF(P317="","",IF(P317="Gasto",S317,IF(P317="Reembolso",-S317,0)))</f>
        <v/>
      </c>
      <c r="V317" s="53">
        <f>IF(P317="","",IF(P317="Ingreso",S317,0))</f>
        <v/>
      </c>
      <c r="W317" s="53">
        <f>IF(P317="","",IF(P317="Resultado trading",S317,0))</f>
        <v/>
      </c>
      <c r="X317" s="52">
        <f>IF(OR(P317="Gasto",P317="Reembolso"),IF(M317&lt;&gt;"",M317,IFERROR(INDEX(catClasif,MATCH(D317&amp;"|"&amp;E317,catClave,0))&amp;"","Variable")),"")</f>
        <v/>
      </c>
      <c r="Y317" s="52">
        <f>IF(P317="","",IFERROR(INDEX(catGrupo,MATCH(D317&amp;"|"&amp;E317,catClave,0))&amp;"",""))</f>
        <v/>
      </c>
      <c r="Z317" s="52">
        <f>IF(P317="","",WEEKDAY(B317,2))</f>
        <v/>
      </c>
      <c r="AA317" s="52">
        <f>IF(P317="","",IF(AND(P317="Gasto",X317="Variable",D317&lt;&gt;catTrading,S317&gt;0,S317&lt;=Umbral),1,0))</f>
        <v/>
      </c>
      <c r="AB317" s="52">
        <f>IF(OR(P317="",Q317=""),"",IFERROR(IF(INDEX(ctaVinc,MATCH(Q317,ctaNombre,0))&amp;""&lt;&gt;"",INDEX(ctaVinc,MATCH(Q317,ctaNombre,0))&amp;"",Q317),Q317))</f>
        <v/>
      </c>
      <c r="AC317" s="52">
        <f>IF(OR(K317="",AND(P317&lt;&gt;"Transferencia",P317&lt;&gt;"Pago tarjeta")),"",IFERROR(IF(INDEX(ctaVinc,MATCH(K317,ctaNombre,0))&amp;""&lt;&gt;"",INDEX(ctaVinc,MATCH(K317,ctaNombre,0))&amp;"",K317),K317))</f>
        <v/>
      </c>
      <c r="AD317" s="52">
        <f>IF(AB317="","",IFERROR(INDEX(ctaTipo,MATCH(AB317,ctaNombre,0))&amp;"",""))</f>
        <v/>
      </c>
      <c r="AE317" s="52">
        <f>IF(AC317="","",IFERROR(INDEX(ctaTipo,MATCH(AC317,ctaNombre,0))&amp;"",""))</f>
        <v/>
      </c>
      <c r="AF317" s="53">
        <f>IF(OR(P317="",AB317=""),"",IF(OR(P317="Gasto",P317="Transferencia",P317="Pago tarjeta"),-1,1)*IF(IFERROR(INDEX(ctaMoneda,MATCH(AB317,ctaNombre,0))&amp;"","DOP")="USD",T317,S317))</f>
        <v/>
      </c>
      <c r="AG317" s="53">
        <f>IF(AC317="","",IF(IFERROR(INDEX(ctaMoneda,MATCH(AC317,ctaNombre,0))&amp;"","DOP")="USD",T317,S317))</f>
        <v/>
      </c>
      <c r="AH317" s="53">
        <f>IF(P317="","",IF(AND(AD317&lt;&gt;"",COUNTIFS(tcTipo,AD317,tcLiq,"Sí")&gt;0),IF(OR(P317="Gasto",P317="Transferencia",P317="Pago tarjeta"),-1,1)*S317,0)+IF(AND(AE317&lt;&gt;"",COUNTIFS(tcTipo,AE317,tcLiq,"Sí")&gt;0),S317,0))</f>
        <v/>
      </c>
      <c r="AI317" s="52">
        <f>IF(OR(L317="",P317=""),"",IF(COUNTIFS(L$6:L317,L317,P$6:P317,"?*")=1,MAX(AI$5:AI316)+1,""))</f>
        <v/>
      </c>
    </row>
    <row r="318">
      <c r="B318" s="47" t="n"/>
      <c r="C318" s="48" t="n"/>
      <c r="D318" s="48" t="n"/>
      <c r="E318" s="48" t="n"/>
      <c r="F318" s="48" t="n"/>
      <c r="G318" s="49" t="n"/>
      <c r="H318" s="48" t="n"/>
      <c r="I318" s="50" t="n"/>
      <c r="J318" s="48" t="n"/>
      <c r="K318" s="48" t="n"/>
      <c r="L318" s="48" t="n"/>
      <c r="M318" s="48" t="n"/>
      <c r="N318" s="48" t="n"/>
      <c r="O318" s="51">
        <f>IF(AND(B318="",G318="",C318="",D318="",J318=""),"",IF(B318="","⚠ Falta fecha",IF(G318="","⚠ Falta monto",IF(Q318="","⚠ Falta cuenta",IF(ISNA(MATCH(Q318,ctaNombre,0)),"⚠ Cuenta no registrada",IF(AND(OR(P318="Gasto",P318="Reembolso"),D318=""),"⚠ Falta categoría",IF(AND(D318&lt;&gt;"",E318&lt;&gt;"",ISNA(MATCH(D318&amp;"|"&amp;E318,catClave,0))),"⚠ Subcategoría no corresponde",IF(AND(OR(P318="Transferencia",P318="Pago tarjeta"),K318=""),"⚠ Falta cuenta destino",IF(AND(K318&lt;&gt;"",P318&lt;&gt;"Transferencia",P318&lt;&gt;"Pago tarjeta"),"⚠ Destino solo aplica a transferencias",IF(AND(K318&lt;&gt;"",K318=Q318),"⚠ Origen igual a destino",IF(AND(K318&lt;&gt;"",ISNA(MATCH(K318,ctaNombre,0))),"⚠ Destino no registrado",IF(AND(P318="Pago tarjeta",AE318&lt;&gt;"Tarjeta de crédito"),"⚠ El destino debe ser tarjeta de crédito",IF(AND(P318="Gasto",E318="Depósitos y retiros"),"⚠ Usa tipo Transferencia",IF(AND(P318="Resultado trading",AD318&lt;&gt;"Cuenta de trading"),"⚠ Usa una cuenta de trading",IF(AND(G318&lt;=0,P318&lt;&gt;"Ajuste",P318&lt;&gt;"Resultado trading"),"⚠ El monto debe ser positivo","✓")))))))))))))))</f>
        <v/>
      </c>
      <c r="P318" s="52">
        <f>IF(OR(B318="",G318=""),"",IF(C318="","Gasto",C318))</f>
        <v/>
      </c>
      <c r="Q318" s="52">
        <f>IF(P318="","",IF(J318&lt;&gt;"",J318,CuentaPred&amp;""))</f>
        <v/>
      </c>
      <c r="R318" s="52">
        <f>IF(P318="","",IF(ISNUMBER(I318),I318,TasaUSD))</f>
        <v/>
      </c>
      <c r="S318" s="53">
        <f>IF(P318="","",IF(H318="USD",G318*R318,G318))</f>
        <v/>
      </c>
      <c r="T318" s="53">
        <f>IF(P318="","",IF(H318="USD",G318,IF(R318&gt;0,G318/R318,0)))</f>
        <v/>
      </c>
      <c r="U318" s="53">
        <f>IF(P318="","",IF(P318="Gasto",S318,IF(P318="Reembolso",-S318,0)))</f>
        <v/>
      </c>
      <c r="V318" s="53">
        <f>IF(P318="","",IF(P318="Ingreso",S318,0))</f>
        <v/>
      </c>
      <c r="W318" s="53">
        <f>IF(P318="","",IF(P318="Resultado trading",S318,0))</f>
        <v/>
      </c>
      <c r="X318" s="52">
        <f>IF(OR(P318="Gasto",P318="Reembolso"),IF(M318&lt;&gt;"",M318,IFERROR(INDEX(catClasif,MATCH(D318&amp;"|"&amp;E318,catClave,0))&amp;"","Variable")),"")</f>
        <v/>
      </c>
      <c r="Y318" s="52">
        <f>IF(P318="","",IFERROR(INDEX(catGrupo,MATCH(D318&amp;"|"&amp;E318,catClave,0))&amp;"",""))</f>
        <v/>
      </c>
      <c r="Z318" s="52">
        <f>IF(P318="","",WEEKDAY(B318,2))</f>
        <v/>
      </c>
      <c r="AA318" s="52">
        <f>IF(P318="","",IF(AND(P318="Gasto",X318="Variable",D318&lt;&gt;catTrading,S318&gt;0,S318&lt;=Umbral),1,0))</f>
        <v/>
      </c>
      <c r="AB318" s="52">
        <f>IF(OR(P318="",Q318=""),"",IFERROR(IF(INDEX(ctaVinc,MATCH(Q318,ctaNombre,0))&amp;""&lt;&gt;"",INDEX(ctaVinc,MATCH(Q318,ctaNombre,0))&amp;"",Q318),Q318))</f>
        <v/>
      </c>
      <c r="AC318" s="52">
        <f>IF(OR(K318="",AND(P318&lt;&gt;"Transferencia",P318&lt;&gt;"Pago tarjeta")),"",IFERROR(IF(INDEX(ctaVinc,MATCH(K318,ctaNombre,0))&amp;""&lt;&gt;"",INDEX(ctaVinc,MATCH(K318,ctaNombre,0))&amp;"",K318),K318))</f>
        <v/>
      </c>
      <c r="AD318" s="52">
        <f>IF(AB318="","",IFERROR(INDEX(ctaTipo,MATCH(AB318,ctaNombre,0))&amp;"",""))</f>
        <v/>
      </c>
      <c r="AE318" s="52">
        <f>IF(AC318="","",IFERROR(INDEX(ctaTipo,MATCH(AC318,ctaNombre,0))&amp;"",""))</f>
        <v/>
      </c>
      <c r="AF318" s="53">
        <f>IF(OR(P318="",AB318=""),"",IF(OR(P318="Gasto",P318="Transferencia",P318="Pago tarjeta"),-1,1)*IF(IFERROR(INDEX(ctaMoneda,MATCH(AB318,ctaNombre,0))&amp;"","DOP")="USD",T318,S318))</f>
        <v/>
      </c>
      <c r="AG318" s="53">
        <f>IF(AC318="","",IF(IFERROR(INDEX(ctaMoneda,MATCH(AC318,ctaNombre,0))&amp;"","DOP")="USD",T318,S318))</f>
        <v/>
      </c>
      <c r="AH318" s="53">
        <f>IF(P318="","",IF(AND(AD318&lt;&gt;"",COUNTIFS(tcTipo,AD318,tcLiq,"Sí")&gt;0),IF(OR(P318="Gasto",P318="Transferencia",P318="Pago tarjeta"),-1,1)*S318,0)+IF(AND(AE318&lt;&gt;"",COUNTIFS(tcTipo,AE318,tcLiq,"Sí")&gt;0),S318,0))</f>
        <v/>
      </c>
      <c r="AI318" s="52">
        <f>IF(OR(L318="",P318=""),"",IF(COUNTIFS(L$6:L318,L318,P$6:P318,"?*")=1,MAX(AI$5:AI317)+1,""))</f>
        <v/>
      </c>
    </row>
    <row r="319">
      <c r="B319" s="47" t="n"/>
      <c r="C319" s="48" t="n"/>
      <c r="D319" s="48" t="n"/>
      <c r="E319" s="48" t="n"/>
      <c r="F319" s="48" t="n"/>
      <c r="G319" s="49" t="n"/>
      <c r="H319" s="48" t="n"/>
      <c r="I319" s="50" t="n"/>
      <c r="J319" s="48" t="n"/>
      <c r="K319" s="48" t="n"/>
      <c r="L319" s="48" t="n"/>
      <c r="M319" s="48" t="n"/>
      <c r="N319" s="48" t="n"/>
      <c r="O319" s="51">
        <f>IF(AND(B319="",G319="",C319="",D319="",J319=""),"",IF(B319="","⚠ Falta fecha",IF(G319="","⚠ Falta monto",IF(Q319="","⚠ Falta cuenta",IF(ISNA(MATCH(Q319,ctaNombre,0)),"⚠ Cuenta no registrada",IF(AND(OR(P319="Gasto",P319="Reembolso"),D319=""),"⚠ Falta categoría",IF(AND(D319&lt;&gt;"",E319&lt;&gt;"",ISNA(MATCH(D319&amp;"|"&amp;E319,catClave,0))),"⚠ Subcategoría no corresponde",IF(AND(OR(P319="Transferencia",P319="Pago tarjeta"),K319=""),"⚠ Falta cuenta destino",IF(AND(K319&lt;&gt;"",P319&lt;&gt;"Transferencia",P319&lt;&gt;"Pago tarjeta"),"⚠ Destino solo aplica a transferencias",IF(AND(K319&lt;&gt;"",K319=Q319),"⚠ Origen igual a destino",IF(AND(K319&lt;&gt;"",ISNA(MATCH(K319,ctaNombre,0))),"⚠ Destino no registrado",IF(AND(P319="Pago tarjeta",AE319&lt;&gt;"Tarjeta de crédito"),"⚠ El destino debe ser tarjeta de crédito",IF(AND(P319="Gasto",E319="Depósitos y retiros"),"⚠ Usa tipo Transferencia",IF(AND(P319="Resultado trading",AD319&lt;&gt;"Cuenta de trading"),"⚠ Usa una cuenta de trading",IF(AND(G319&lt;=0,P319&lt;&gt;"Ajuste",P319&lt;&gt;"Resultado trading"),"⚠ El monto debe ser positivo","✓")))))))))))))))</f>
        <v/>
      </c>
      <c r="P319" s="52">
        <f>IF(OR(B319="",G319=""),"",IF(C319="","Gasto",C319))</f>
        <v/>
      </c>
      <c r="Q319" s="52">
        <f>IF(P319="","",IF(J319&lt;&gt;"",J319,CuentaPred&amp;""))</f>
        <v/>
      </c>
      <c r="R319" s="52">
        <f>IF(P319="","",IF(ISNUMBER(I319),I319,TasaUSD))</f>
        <v/>
      </c>
      <c r="S319" s="53">
        <f>IF(P319="","",IF(H319="USD",G319*R319,G319))</f>
        <v/>
      </c>
      <c r="T319" s="53">
        <f>IF(P319="","",IF(H319="USD",G319,IF(R319&gt;0,G319/R319,0)))</f>
        <v/>
      </c>
      <c r="U319" s="53">
        <f>IF(P319="","",IF(P319="Gasto",S319,IF(P319="Reembolso",-S319,0)))</f>
        <v/>
      </c>
      <c r="V319" s="53">
        <f>IF(P319="","",IF(P319="Ingreso",S319,0))</f>
        <v/>
      </c>
      <c r="W319" s="53">
        <f>IF(P319="","",IF(P319="Resultado trading",S319,0))</f>
        <v/>
      </c>
      <c r="X319" s="52">
        <f>IF(OR(P319="Gasto",P319="Reembolso"),IF(M319&lt;&gt;"",M319,IFERROR(INDEX(catClasif,MATCH(D319&amp;"|"&amp;E319,catClave,0))&amp;"","Variable")),"")</f>
        <v/>
      </c>
      <c r="Y319" s="52">
        <f>IF(P319="","",IFERROR(INDEX(catGrupo,MATCH(D319&amp;"|"&amp;E319,catClave,0))&amp;"",""))</f>
        <v/>
      </c>
      <c r="Z319" s="52">
        <f>IF(P319="","",WEEKDAY(B319,2))</f>
        <v/>
      </c>
      <c r="AA319" s="52">
        <f>IF(P319="","",IF(AND(P319="Gasto",X319="Variable",D319&lt;&gt;catTrading,S319&gt;0,S319&lt;=Umbral),1,0))</f>
        <v/>
      </c>
      <c r="AB319" s="52">
        <f>IF(OR(P319="",Q319=""),"",IFERROR(IF(INDEX(ctaVinc,MATCH(Q319,ctaNombre,0))&amp;""&lt;&gt;"",INDEX(ctaVinc,MATCH(Q319,ctaNombre,0))&amp;"",Q319),Q319))</f>
        <v/>
      </c>
      <c r="AC319" s="52">
        <f>IF(OR(K319="",AND(P319&lt;&gt;"Transferencia",P319&lt;&gt;"Pago tarjeta")),"",IFERROR(IF(INDEX(ctaVinc,MATCH(K319,ctaNombre,0))&amp;""&lt;&gt;"",INDEX(ctaVinc,MATCH(K319,ctaNombre,0))&amp;"",K319),K319))</f>
        <v/>
      </c>
      <c r="AD319" s="52">
        <f>IF(AB319="","",IFERROR(INDEX(ctaTipo,MATCH(AB319,ctaNombre,0))&amp;"",""))</f>
        <v/>
      </c>
      <c r="AE319" s="52">
        <f>IF(AC319="","",IFERROR(INDEX(ctaTipo,MATCH(AC319,ctaNombre,0))&amp;"",""))</f>
        <v/>
      </c>
      <c r="AF319" s="53">
        <f>IF(OR(P319="",AB319=""),"",IF(OR(P319="Gasto",P319="Transferencia",P319="Pago tarjeta"),-1,1)*IF(IFERROR(INDEX(ctaMoneda,MATCH(AB319,ctaNombre,0))&amp;"","DOP")="USD",T319,S319))</f>
        <v/>
      </c>
      <c r="AG319" s="53">
        <f>IF(AC319="","",IF(IFERROR(INDEX(ctaMoneda,MATCH(AC319,ctaNombre,0))&amp;"","DOP")="USD",T319,S319))</f>
        <v/>
      </c>
      <c r="AH319" s="53">
        <f>IF(P319="","",IF(AND(AD319&lt;&gt;"",COUNTIFS(tcTipo,AD319,tcLiq,"Sí")&gt;0),IF(OR(P319="Gasto",P319="Transferencia",P319="Pago tarjeta"),-1,1)*S319,0)+IF(AND(AE319&lt;&gt;"",COUNTIFS(tcTipo,AE319,tcLiq,"Sí")&gt;0),S319,0))</f>
        <v/>
      </c>
      <c r="AI319" s="52">
        <f>IF(OR(L319="",P319=""),"",IF(COUNTIFS(L$6:L319,L319,P$6:P319,"?*")=1,MAX(AI$5:AI318)+1,""))</f>
        <v/>
      </c>
    </row>
    <row r="320">
      <c r="B320" s="47" t="n"/>
      <c r="C320" s="48" t="n"/>
      <c r="D320" s="48" t="n"/>
      <c r="E320" s="48" t="n"/>
      <c r="F320" s="48" t="n"/>
      <c r="G320" s="49" t="n"/>
      <c r="H320" s="48" t="n"/>
      <c r="I320" s="50" t="n"/>
      <c r="J320" s="48" t="n"/>
      <c r="K320" s="48" t="n"/>
      <c r="L320" s="48" t="n"/>
      <c r="M320" s="48" t="n"/>
      <c r="N320" s="48" t="n"/>
      <c r="O320" s="51">
        <f>IF(AND(B320="",G320="",C320="",D320="",J320=""),"",IF(B320="","⚠ Falta fecha",IF(G320="","⚠ Falta monto",IF(Q320="","⚠ Falta cuenta",IF(ISNA(MATCH(Q320,ctaNombre,0)),"⚠ Cuenta no registrada",IF(AND(OR(P320="Gasto",P320="Reembolso"),D320=""),"⚠ Falta categoría",IF(AND(D320&lt;&gt;"",E320&lt;&gt;"",ISNA(MATCH(D320&amp;"|"&amp;E320,catClave,0))),"⚠ Subcategoría no corresponde",IF(AND(OR(P320="Transferencia",P320="Pago tarjeta"),K320=""),"⚠ Falta cuenta destino",IF(AND(K320&lt;&gt;"",P320&lt;&gt;"Transferencia",P320&lt;&gt;"Pago tarjeta"),"⚠ Destino solo aplica a transferencias",IF(AND(K320&lt;&gt;"",K320=Q320),"⚠ Origen igual a destino",IF(AND(K320&lt;&gt;"",ISNA(MATCH(K320,ctaNombre,0))),"⚠ Destino no registrado",IF(AND(P320="Pago tarjeta",AE320&lt;&gt;"Tarjeta de crédito"),"⚠ El destino debe ser tarjeta de crédito",IF(AND(P320="Gasto",E320="Depósitos y retiros"),"⚠ Usa tipo Transferencia",IF(AND(P320="Resultado trading",AD320&lt;&gt;"Cuenta de trading"),"⚠ Usa una cuenta de trading",IF(AND(G320&lt;=0,P320&lt;&gt;"Ajuste",P320&lt;&gt;"Resultado trading"),"⚠ El monto debe ser positivo","✓")))))))))))))))</f>
        <v/>
      </c>
      <c r="P320" s="52">
        <f>IF(OR(B320="",G320=""),"",IF(C320="","Gasto",C320))</f>
        <v/>
      </c>
      <c r="Q320" s="52">
        <f>IF(P320="","",IF(J320&lt;&gt;"",J320,CuentaPred&amp;""))</f>
        <v/>
      </c>
      <c r="R320" s="52">
        <f>IF(P320="","",IF(ISNUMBER(I320),I320,TasaUSD))</f>
        <v/>
      </c>
      <c r="S320" s="53">
        <f>IF(P320="","",IF(H320="USD",G320*R320,G320))</f>
        <v/>
      </c>
      <c r="T320" s="53">
        <f>IF(P320="","",IF(H320="USD",G320,IF(R320&gt;0,G320/R320,0)))</f>
        <v/>
      </c>
      <c r="U320" s="53">
        <f>IF(P320="","",IF(P320="Gasto",S320,IF(P320="Reembolso",-S320,0)))</f>
        <v/>
      </c>
      <c r="V320" s="53">
        <f>IF(P320="","",IF(P320="Ingreso",S320,0))</f>
        <v/>
      </c>
      <c r="W320" s="53">
        <f>IF(P320="","",IF(P320="Resultado trading",S320,0))</f>
        <v/>
      </c>
      <c r="X320" s="52">
        <f>IF(OR(P320="Gasto",P320="Reembolso"),IF(M320&lt;&gt;"",M320,IFERROR(INDEX(catClasif,MATCH(D320&amp;"|"&amp;E320,catClave,0))&amp;"","Variable")),"")</f>
        <v/>
      </c>
      <c r="Y320" s="52">
        <f>IF(P320="","",IFERROR(INDEX(catGrupo,MATCH(D320&amp;"|"&amp;E320,catClave,0))&amp;"",""))</f>
        <v/>
      </c>
      <c r="Z320" s="52">
        <f>IF(P320="","",WEEKDAY(B320,2))</f>
        <v/>
      </c>
      <c r="AA320" s="52">
        <f>IF(P320="","",IF(AND(P320="Gasto",X320="Variable",D320&lt;&gt;catTrading,S320&gt;0,S320&lt;=Umbral),1,0))</f>
        <v/>
      </c>
      <c r="AB320" s="52">
        <f>IF(OR(P320="",Q320=""),"",IFERROR(IF(INDEX(ctaVinc,MATCH(Q320,ctaNombre,0))&amp;""&lt;&gt;"",INDEX(ctaVinc,MATCH(Q320,ctaNombre,0))&amp;"",Q320),Q320))</f>
        <v/>
      </c>
      <c r="AC320" s="52">
        <f>IF(OR(K320="",AND(P320&lt;&gt;"Transferencia",P320&lt;&gt;"Pago tarjeta")),"",IFERROR(IF(INDEX(ctaVinc,MATCH(K320,ctaNombre,0))&amp;""&lt;&gt;"",INDEX(ctaVinc,MATCH(K320,ctaNombre,0))&amp;"",K320),K320))</f>
        <v/>
      </c>
      <c r="AD320" s="52">
        <f>IF(AB320="","",IFERROR(INDEX(ctaTipo,MATCH(AB320,ctaNombre,0))&amp;"",""))</f>
        <v/>
      </c>
      <c r="AE320" s="52">
        <f>IF(AC320="","",IFERROR(INDEX(ctaTipo,MATCH(AC320,ctaNombre,0))&amp;"",""))</f>
        <v/>
      </c>
      <c r="AF320" s="53">
        <f>IF(OR(P320="",AB320=""),"",IF(OR(P320="Gasto",P320="Transferencia",P320="Pago tarjeta"),-1,1)*IF(IFERROR(INDEX(ctaMoneda,MATCH(AB320,ctaNombre,0))&amp;"","DOP")="USD",T320,S320))</f>
        <v/>
      </c>
      <c r="AG320" s="53">
        <f>IF(AC320="","",IF(IFERROR(INDEX(ctaMoneda,MATCH(AC320,ctaNombre,0))&amp;"","DOP")="USD",T320,S320))</f>
        <v/>
      </c>
      <c r="AH320" s="53">
        <f>IF(P320="","",IF(AND(AD320&lt;&gt;"",COUNTIFS(tcTipo,AD320,tcLiq,"Sí")&gt;0),IF(OR(P320="Gasto",P320="Transferencia",P320="Pago tarjeta"),-1,1)*S320,0)+IF(AND(AE320&lt;&gt;"",COUNTIFS(tcTipo,AE320,tcLiq,"Sí")&gt;0),S320,0))</f>
        <v/>
      </c>
      <c r="AI320" s="52">
        <f>IF(OR(L320="",P320=""),"",IF(COUNTIFS(L$6:L320,L320,P$6:P320,"?*")=1,MAX(AI$5:AI319)+1,""))</f>
        <v/>
      </c>
    </row>
    <row r="321">
      <c r="B321" s="47" t="n"/>
      <c r="C321" s="48" t="n"/>
      <c r="D321" s="48" t="n"/>
      <c r="E321" s="48" t="n"/>
      <c r="F321" s="48" t="n"/>
      <c r="G321" s="49" t="n"/>
      <c r="H321" s="48" t="n"/>
      <c r="I321" s="50" t="n"/>
      <c r="J321" s="48" t="n"/>
      <c r="K321" s="48" t="n"/>
      <c r="L321" s="48" t="n"/>
      <c r="M321" s="48" t="n"/>
      <c r="N321" s="48" t="n"/>
      <c r="O321" s="51">
        <f>IF(AND(B321="",G321="",C321="",D321="",J321=""),"",IF(B321="","⚠ Falta fecha",IF(G321="","⚠ Falta monto",IF(Q321="","⚠ Falta cuenta",IF(ISNA(MATCH(Q321,ctaNombre,0)),"⚠ Cuenta no registrada",IF(AND(OR(P321="Gasto",P321="Reembolso"),D321=""),"⚠ Falta categoría",IF(AND(D321&lt;&gt;"",E321&lt;&gt;"",ISNA(MATCH(D321&amp;"|"&amp;E321,catClave,0))),"⚠ Subcategoría no corresponde",IF(AND(OR(P321="Transferencia",P321="Pago tarjeta"),K321=""),"⚠ Falta cuenta destino",IF(AND(K321&lt;&gt;"",P321&lt;&gt;"Transferencia",P321&lt;&gt;"Pago tarjeta"),"⚠ Destino solo aplica a transferencias",IF(AND(K321&lt;&gt;"",K321=Q321),"⚠ Origen igual a destino",IF(AND(K321&lt;&gt;"",ISNA(MATCH(K321,ctaNombre,0))),"⚠ Destino no registrado",IF(AND(P321="Pago tarjeta",AE321&lt;&gt;"Tarjeta de crédito"),"⚠ El destino debe ser tarjeta de crédito",IF(AND(P321="Gasto",E321="Depósitos y retiros"),"⚠ Usa tipo Transferencia",IF(AND(P321="Resultado trading",AD321&lt;&gt;"Cuenta de trading"),"⚠ Usa una cuenta de trading",IF(AND(G321&lt;=0,P321&lt;&gt;"Ajuste",P321&lt;&gt;"Resultado trading"),"⚠ El monto debe ser positivo","✓")))))))))))))))</f>
        <v/>
      </c>
      <c r="P321" s="52">
        <f>IF(OR(B321="",G321=""),"",IF(C321="","Gasto",C321))</f>
        <v/>
      </c>
      <c r="Q321" s="52">
        <f>IF(P321="","",IF(J321&lt;&gt;"",J321,CuentaPred&amp;""))</f>
        <v/>
      </c>
      <c r="R321" s="52">
        <f>IF(P321="","",IF(ISNUMBER(I321),I321,TasaUSD))</f>
        <v/>
      </c>
      <c r="S321" s="53">
        <f>IF(P321="","",IF(H321="USD",G321*R321,G321))</f>
        <v/>
      </c>
      <c r="T321" s="53">
        <f>IF(P321="","",IF(H321="USD",G321,IF(R321&gt;0,G321/R321,0)))</f>
        <v/>
      </c>
      <c r="U321" s="53">
        <f>IF(P321="","",IF(P321="Gasto",S321,IF(P321="Reembolso",-S321,0)))</f>
        <v/>
      </c>
      <c r="V321" s="53">
        <f>IF(P321="","",IF(P321="Ingreso",S321,0))</f>
        <v/>
      </c>
      <c r="W321" s="53">
        <f>IF(P321="","",IF(P321="Resultado trading",S321,0))</f>
        <v/>
      </c>
      <c r="X321" s="52">
        <f>IF(OR(P321="Gasto",P321="Reembolso"),IF(M321&lt;&gt;"",M321,IFERROR(INDEX(catClasif,MATCH(D321&amp;"|"&amp;E321,catClave,0))&amp;"","Variable")),"")</f>
        <v/>
      </c>
      <c r="Y321" s="52">
        <f>IF(P321="","",IFERROR(INDEX(catGrupo,MATCH(D321&amp;"|"&amp;E321,catClave,0))&amp;"",""))</f>
        <v/>
      </c>
      <c r="Z321" s="52">
        <f>IF(P321="","",WEEKDAY(B321,2))</f>
        <v/>
      </c>
      <c r="AA321" s="52">
        <f>IF(P321="","",IF(AND(P321="Gasto",X321="Variable",D321&lt;&gt;catTrading,S321&gt;0,S321&lt;=Umbral),1,0))</f>
        <v/>
      </c>
      <c r="AB321" s="52">
        <f>IF(OR(P321="",Q321=""),"",IFERROR(IF(INDEX(ctaVinc,MATCH(Q321,ctaNombre,0))&amp;""&lt;&gt;"",INDEX(ctaVinc,MATCH(Q321,ctaNombre,0))&amp;"",Q321),Q321))</f>
        <v/>
      </c>
      <c r="AC321" s="52">
        <f>IF(OR(K321="",AND(P321&lt;&gt;"Transferencia",P321&lt;&gt;"Pago tarjeta")),"",IFERROR(IF(INDEX(ctaVinc,MATCH(K321,ctaNombre,0))&amp;""&lt;&gt;"",INDEX(ctaVinc,MATCH(K321,ctaNombre,0))&amp;"",K321),K321))</f>
        <v/>
      </c>
      <c r="AD321" s="52">
        <f>IF(AB321="","",IFERROR(INDEX(ctaTipo,MATCH(AB321,ctaNombre,0))&amp;"",""))</f>
        <v/>
      </c>
      <c r="AE321" s="52">
        <f>IF(AC321="","",IFERROR(INDEX(ctaTipo,MATCH(AC321,ctaNombre,0))&amp;"",""))</f>
        <v/>
      </c>
      <c r="AF321" s="53">
        <f>IF(OR(P321="",AB321=""),"",IF(OR(P321="Gasto",P321="Transferencia",P321="Pago tarjeta"),-1,1)*IF(IFERROR(INDEX(ctaMoneda,MATCH(AB321,ctaNombre,0))&amp;"","DOP")="USD",T321,S321))</f>
        <v/>
      </c>
      <c r="AG321" s="53">
        <f>IF(AC321="","",IF(IFERROR(INDEX(ctaMoneda,MATCH(AC321,ctaNombre,0))&amp;"","DOP")="USD",T321,S321))</f>
        <v/>
      </c>
      <c r="AH321" s="53">
        <f>IF(P321="","",IF(AND(AD321&lt;&gt;"",COUNTIFS(tcTipo,AD321,tcLiq,"Sí")&gt;0),IF(OR(P321="Gasto",P321="Transferencia",P321="Pago tarjeta"),-1,1)*S321,0)+IF(AND(AE321&lt;&gt;"",COUNTIFS(tcTipo,AE321,tcLiq,"Sí")&gt;0),S321,0))</f>
        <v/>
      </c>
      <c r="AI321" s="52">
        <f>IF(OR(L321="",P321=""),"",IF(COUNTIFS(L$6:L321,L321,P$6:P321,"?*")=1,MAX(AI$5:AI320)+1,""))</f>
        <v/>
      </c>
    </row>
    <row r="322">
      <c r="B322" s="47" t="n"/>
      <c r="C322" s="48" t="n"/>
      <c r="D322" s="48" t="n"/>
      <c r="E322" s="48" t="n"/>
      <c r="F322" s="48" t="n"/>
      <c r="G322" s="49" t="n"/>
      <c r="H322" s="48" t="n"/>
      <c r="I322" s="50" t="n"/>
      <c r="J322" s="48" t="n"/>
      <c r="K322" s="48" t="n"/>
      <c r="L322" s="48" t="n"/>
      <c r="M322" s="48" t="n"/>
      <c r="N322" s="48" t="n"/>
      <c r="O322" s="51">
        <f>IF(AND(B322="",G322="",C322="",D322="",J322=""),"",IF(B322="","⚠ Falta fecha",IF(G322="","⚠ Falta monto",IF(Q322="","⚠ Falta cuenta",IF(ISNA(MATCH(Q322,ctaNombre,0)),"⚠ Cuenta no registrada",IF(AND(OR(P322="Gasto",P322="Reembolso"),D322=""),"⚠ Falta categoría",IF(AND(D322&lt;&gt;"",E322&lt;&gt;"",ISNA(MATCH(D322&amp;"|"&amp;E322,catClave,0))),"⚠ Subcategoría no corresponde",IF(AND(OR(P322="Transferencia",P322="Pago tarjeta"),K322=""),"⚠ Falta cuenta destino",IF(AND(K322&lt;&gt;"",P322&lt;&gt;"Transferencia",P322&lt;&gt;"Pago tarjeta"),"⚠ Destino solo aplica a transferencias",IF(AND(K322&lt;&gt;"",K322=Q322),"⚠ Origen igual a destino",IF(AND(K322&lt;&gt;"",ISNA(MATCH(K322,ctaNombre,0))),"⚠ Destino no registrado",IF(AND(P322="Pago tarjeta",AE322&lt;&gt;"Tarjeta de crédito"),"⚠ El destino debe ser tarjeta de crédito",IF(AND(P322="Gasto",E322="Depósitos y retiros"),"⚠ Usa tipo Transferencia",IF(AND(P322="Resultado trading",AD322&lt;&gt;"Cuenta de trading"),"⚠ Usa una cuenta de trading",IF(AND(G322&lt;=0,P322&lt;&gt;"Ajuste",P322&lt;&gt;"Resultado trading"),"⚠ El monto debe ser positivo","✓")))))))))))))))</f>
        <v/>
      </c>
      <c r="P322" s="52">
        <f>IF(OR(B322="",G322=""),"",IF(C322="","Gasto",C322))</f>
        <v/>
      </c>
      <c r="Q322" s="52">
        <f>IF(P322="","",IF(J322&lt;&gt;"",J322,CuentaPred&amp;""))</f>
        <v/>
      </c>
      <c r="R322" s="52">
        <f>IF(P322="","",IF(ISNUMBER(I322),I322,TasaUSD))</f>
        <v/>
      </c>
      <c r="S322" s="53">
        <f>IF(P322="","",IF(H322="USD",G322*R322,G322))</f>
        <v/>
      </c>
      <c r="T322" s="53">
        <f>IF(P322="","",IF(H322="USD",G322,IF(R322&gt;0,G322/R322,0)))</f>
        <v/>
      </c>
      <c r="U322" s="53">
        <f>IF(P322="","",IF(P322="Gasto",S322,IF(P322="Reembolso",-S322,0)))</f>
        <v/>
      </c>
      <c r="V322" s="53">
        <f>IF(P322="","",IF(P322="Ingreso",S322,0))</f>
        <v/>
      </c>
      <c r="W322" s="53">
        <f>IF(P322="","",IF(P322="Resultado trading",S322,0))</f>
        <v/>
      </c>
      <c r="X322" s="52">
        <f>IF(OR(P322="Gasto",P322="Reembolso"),IF(M322&lt;&gt;"",M322,IFERROR(INDEX(catClasif,MATCH(D322&amp;"|"&amp;E322,catClave,0))&amp;"","Variable")),"")</f>
        <v/>
      </c>
      <c r="Y322" s="52">
        <f>IF(P322="","",IFERROR(INDEX(catGrupo,MATCH(D322&amp;"|"&amp;E322,catClave,0))&amp;"",""))</f>
        <v/>
      </c>
      <c r="Z322" s="52">
        <f>IF(P322="","",WEEKDAY(B322,2))</f>
        <v/>
      </c>
      <c r="AA322" s="52">
        <f>IF(P322="","",IF(AND(P322="Gasto",X322="Variable",D322&lt;&gt;catTrading,S322&gt;0,S322&lt;=Umbral),1,0))</f>
        <v/>
      </c>
      <c r="AB322" s="52">
        <f>IF(OR(P322="",Q322=""),"",IFERROR(IF(INDEX(ctaVinc,MATCH(Q322,ctaNombre,0))&amp;""&lt;&gt;"",INDEX(ctaVinc,MATCH(Q322,ctaNombre,0))&amp;"",Q322),Q322))</f>
        <v/>
      </c>
      <c r="AC322" s="52">
        <f>IF(OR(K322="",AND(P322&lt;&gt;"Transferencia",P322&lt;&gt;"Pago tarjeta")),"",IFERROR(IF(INDEX(ctaVinc,MATCH(K322,ctaNombre,0))&amp;""&lt;&gt;"",INDEX(ctaVinc,MATCH(K322,ctaNombre,0))&amp;"",K322),K322))</f>
        <v/>
      </c>
      <c r="AD322" s="52">
        <f>IF(AB322="","",IFERROR(INDEX(ctaTipo,MATCH(AB322,ctaNombre,0))&amp;"",""))</f>
        <v/>
      </c>
      <c r="AE322" s="52">
        <f>IF(AC322="","",IFERROR(INDEX(ctaTipo,MATCH(AC322,ctaNombre,0))&amp;"",""))</f>
        <v/>
      </c>
      <c r="AF322" s="53">
        <f>IF(OR(P322="",AB322=""),"",IF(OR(P322="Gasto",P322="Transferencia",P322="Pago tarjeta"),-1,1)*IF(IFERROR(INDEX(ctaMoneda,MATCH(AB322,ctaNombre,0))&amp;"","DOP")="USD",T322,S322))</f>
        <v/>
      </c>
      <c r="AG322" s="53">
        <f>IF(AC322="","",IF(IFERROR(INDEX(ctaMoneda,MATCH(AC322,ctaNombre,0))&amp;"","DOP")="USD",T322,S322))</f>
        <v/>
      </c>
      <c r="AH322" s="53">
        <f>IF(P322="","",IF(AND(AD322&lt;&gt;"",COUNTIFS(tcTipo,AD322,tcLiq,"Sí")&gt;0),IF(OR(P322="Gasto",P322="Transferencia",P322="Pago tarjeta"),-1,1)*S322,0)+IF(AND(AE322&lt;&gt;"",COUNTIFS(tcTipo,AE322,tcLiq,"Sí")&gt;0),S322,0))</f>
        <v/>
      </c>
      <c r="AI322" s="52">
        <f>IF(OR(L322="",P322=""),"",IF(COUNTIFS(L$6:L322,L322,P$6:P322,"?*")=1,MAX(AI$5:AI321)+1,""))</f>
        <v/>
      </c>
    </row>
    <row r="323">
      <c r="B323" s="47" t="n"/>
      <c r="C323" s="48" t="n"/>
      <c r="D323" s="48" t="n"/>
      <c r="E323" s="48" t="n"/>
      <c r="F323" s="48" t="n"/>
      <c r="G323" s="49" t="n"/>
      <c r="H323" s="48" t="n"/>
      <c r="I323" s="50" t="n"/>
      <c r="J323" s="48" t="n"/>
      <c r="K323" s="48" t="n"/>
      <c r="L323" s="48" t="n"/>
      <c r="M323" s="48" t="n"/>
      <c r="N323" s="48" t="n"/>
      <c r="O323" s="51">
        <f>IF(AND(B323="",G323="",C323="",D323="",J323=""),"",IF(B323="","⚠ Falta fecha",IF(G323="","⚠ Falta monto",IF(Q323="","⚠ Falta cuenta",IF(ISNA(MATCH(Q323,ctaNombre,0)),"⚠ Cuenta no registrada",IF(AND(OR(P323="Gasto",P323="Reembolso"),D323=""),"⚠ Falta categoría",IF(AND(D323&lt;&gt;"",E323&lt;&gt;"",ISNA(MATCH(D323&amp;"|"&amp;E323,catClave,0))),"⚠ Subcategoría no corresponde",IF(AND(OR(P323="Transferencia",P323="Pago tarjeta"),K323=""),"⚠ Falta cuenta destino",IF(AND(K323&lt;&gt;"",P323&lt;&gt;"Transferencia",P323&lt;&gt;"Pago tarjeta"),"⚠ Destino solo aplica a transferencias",IF(AND(K323&lt;&gt;"",K323=Q323),"⚠ Origen igual a destino",IF(AND(K323&lt;&gt;"",ISNA(MATCH(K323,ctaNombre,0))),"⚠ Destino no registrado",IF(AND(P323="Pago tarjeta",AE323&lt;&gt;"Tarjeta de crédito"),"⚠ El destino debe ser tarjeta de crédito",IF(AND(P323="Gasto",E323="Depósitos y retiros"),"⚠ Usa tipo Transferencia",IF(AND(P323="Resultado trading",AD323&lt;&gt;"Cuenta de trading"),"⚠ Usa una cuenta de trading",IF(AND(G323&lt;=0,P323&lt;&gt;"Ajuste",P323&lt;&gt;"Resultado trading"),"⚠ El monto debe ser positivo","✓")))))))))))))))</f>
        <v/>
      </c>
      <c r="P323" s="52">
        <f>IF(OR(B323="",G323=""),"",IF(C323="","Gasto",C323))</f>
        <v/>
      </c>
      <c r="Q323" s="52">
        <f>IF(P323="","",IF(J323&lt;&gt;"",J323,CuentaPred&amp;""))</f>
        <v/>
      </c>
      <c r="R323" s="52">
        <f>IF(P323="","",IF(ISNUMBER(I323),I323,TasaUSD))</f>
        <v/>
      </c>
      <c r="S323" s="53">
        <f>IF(P323="","",IF(H323="USD",G323*R323,G323))</f>
        <v/>
      </c>
      <c r="T323" s="53">
        <f>IF(P323="","",IF(H323="USD",G323,IF(R323&gt;0,G323/R323,0)))</f>
        <v/>
      </c>
      <c r="U323" s="53">
        <f>IF(P323="","",IF(P323="Gasto",S323,IF(P323="Reembolso",-S323,0)))</f>
        <v/>
      </c>
      <c r="V323" s="53">
        <f>IF(P323="","",IF(P323="Ingreso",S323,0))</f>
        <v/>
      </c>
      <c r="W323" s="53">
        <f>IF(P323="","",IF(P323="Resultado trading",S323,0))</f>
        <v/>
      </c>
      <c r="X323" s="52">
        <f>IF(OR(P323="Gasto",P323="Reembolso"),IF(M323&lt;&gt;"",M323,IFERROR(INDEX(catClasif,MATCH(D323&amp;"|"&amp;E323,catClave,0))&amp;"","Variable")),"")</f>
        <v/>
      </c>
      <c r="Y323" s="52">
        <f>IF(P323="","",IFERROR(INDEX(catGrupo,MATCH(D323&amp;"|"&amp;E323,catClave,0))&amp;"",""))</f>
        <v/>
      </c>
      <c r="Z323" s="52">
        <f>IF(P323="","",WEEKDAY(B323,2))</f>
        <v/>
      </c>
      <c r="AA323" s="52">
        <f>IF(P323="","",IF(AND(P323="Gasto",X323="Variable",D323&lt;&gt;catTrading,S323&gt;0,S323&lt;=Umbral),1,0))</f>
        <v/>
      </c>
      <c r="AB323" s="52">
        <f>IF(OR(P323="",Q323=""),"",IFERROR(IF(INDEX(ctaVinc,MATCH(Q323,ctaNombre,0))&amp;""&lt;&gt;"",INDEX(ctaVinc,MATCH(Q323,ctaNombre,0))&amp;"",Q323),Q323))</f>
        <v/>
      </c>
      <c r="AC323" s="52">
        <f>IF(OR(K323="",AND(P323&lt;&gt;"Transferencia",P323&lt;&gt;"Pago tarjeta")),"",IFERROR(IF(INDEX(ctaVinc,MATCH(K323,ctaNombre,0))&amp;""&lt;&gt;"",INDEX(ctaVinc,MATCH(K323,ctaNombre,0))&amp;"",K323),K323))</f>
        <v/>
      </c>
      <c r="AD323" s="52">
        <f>IF(AB323="","",IFERROR(INDEX(ctaTipo,MATCH(AB323,ctaNombre,0))&amp;"",""))</f>
        <v/>
      </c>
      <c r="AE323" s="52">
        <f>IF(AC323="","",IFERROR(INDEX(ctaTipo,MATCH(AC323,ctaNombre,0))&amp;"",""))</f>
        <v/>
      </c>
      <c r="AF323" s="53">
        <f>IF(OR(P323="",AB323=""),"",IF(OR(P323="Gasto",P323="Transferencia",P323="Pago tarjeta"),-1,1)*IF(IFERROR(INDEX(ctaMoneda,MATCH(AB323,ctaNombre,0))&amp;"","DOP")="USD",T323,S323))</f>
        <v/>
      </c>
      <c r="AG323" s="53">
        <f>IF(AC323="","",IF(IFERROR(INDEX(ctaMoneda,MATCH(AC323,ctaNombre,0))&amp;"","DOP")="USD",T323,S323))</f>
        <v/>
      </c>
      <c r="AH323" s="53">
        <f>IF(P323="","",IF(AND(AD323&lt;&gt;"",COUNTIFS(tcTipo,AD323,tcLiq,"Sí")&gt;0),IF(OR(P323="Gasto",P323="Transferencia",P323="Pago tarjeta"),-1,1)*S323,0)+IF(AND(AE323&lt;&gt;"",COUNTIFS(tcTipo,AE323,tcLiq,"Sí")&gt;0),S323,0))</f>
        <v/>
      </c>
      <c r="AI323" s="52">
        <f>IF(OR(L323="",P323=""),"",IF(COUNTIFS(L$6:L323,L323,P$6:P323,"?*")=1,MAX(AI$5:AI322)+1,""))</f>
        <v/>
      </c>
    </row>
    <row r="324">
      <c r="B324" s="47" t="n"/>
      <c r="C324" s="48" t="n"/>
      <c r="D324" s="48" t="n"/>
      <c r="E324" s="48" t="n"/>
      <c r="F324" s="48" t="n"/>
      <c r="G324" s="49" t="n"/>
      <c r="H324" s="48" t="n"/>
      <c r="I324" s="50" t="n"/>
      <c r="J324" s="48" t="n"/>
      <c r="K324" s="48" t="n"/>
      <c r="L324" s="48" t="n"/>
      <c r="M324" s="48" t="n"/>
      <c r="N324" s="48" t="n"/>
      <c r="O324" s="51">
        <f>IF(AND(B324="",G324="",C324="",D324="",J324=""),"",IF(B324="","⚠ Falta fecha",IF(G324="","⚠ Falta monto",IF(Q324="","⚠ Falta cuenta",IF(ISNA(MATCH(Q324,ctaNombre,0)),"⚠ Cuenta no registrada",IF(AND(OR(P324="Gasto",P324="Reembolso"),D324=""),"⚠ Falta categoría",IF(AND(D324&lt;&gt;"",E324&lt;&gt;"",ISNA(MATCH(D324&amp;"|"&amp;E324,catClave,0))),"⚠ Subcategoría no corresponde",IF(AND(OR(P324="Transferencia",P324="Pago tarjeta"),K324=""),"⚠ Falta cuenta destino",IF(AND(K324&lt;&gt;"",P324&lt;&gt;"Transferencia",P324&lt;&gt;"Pago tarjeta"),"⚠ Destino solo aplica a transferencias",IF(AND(K324&lt;&gt;"",K324=Q324),"⚠ Origen igual a destino",IF(AND(K324&lt;&gt;"",ISNA(MATCH(K324,ctaNombre,0))),"⚠ Destino no registrado",IF(AND(P324="Pago tarjeta",AE324&lt;&gt;"Tarjeta de crédito"),"⚠ El destino debe ser tarjeta de crédito",IF(AND(P324="Gasto",E324="Depósitos y retiros"),"⚠ Usa tipo Transferencia",IF(AND(P324="Resultado trading",AD324&lt;&gt;"Cuenta de trading"),"⚠ Usa una cuenta de trading",IF(AND(G324&lt;=0,P324&lt;&gt;"Ajuste",P324&lt;&gt;"Resultado trading"),"⚠ El monto debe ser positivo","✓")))))))))))))))</f>
        <v/>
      </c>
      <c r="P324" s="52">
        <f>IF(OR(B324="",G324=""),"",IF(C324="","Gasto",C324))</f>
        <v/>
      </c>
      <c r="Q324" s="52">
        <f>IF(P324="","",IF(J324&lt;&gt;"",J324,CuentaPred&amp;""))</f>
        <v/>
      </c>
      <c r="R324" s="52">
        <f>IF(P324="","",IF(ISNUMBER(I324),I324,TasaUSD))</f>
        <v/>
      </c>
      <c r="S324" s="53">
        <f>IF(P324="","",IF(H324="USD",G324*R324,G324))</f>
        <v/>
      </c>
      <c r="T324" s="53">
        <f>IF(P324="","",IF(H324="USD",G324,IF(R324&gt;0,G324/R324,0)))</f>
        <v/>
      </c>
      <c r="U324" s="53">
        <f>IF(P324="","",IF(P324="Gasto",S324,IF(P324="Reembolso",-S324,0)))</f>
        <v/>
      </c>
      <c r="V324" s="53">
        <f>IF(P324="","",IF(P324="Ingreso",S324,0))</f>
        <v/>
      </c>
      <c r="W324" s="53">
        <f>IF(P324="","",IF(P324="Resultado trading",S324,0))</f>
        <v/>
      </c>
      <c r="X324" s="52">
        <f>IF(OR(P324="Gasto",P324="Reembolso"),IF(M324&lt;&gt;"",M324,IFERROR(INDEX(catClasif,MATCH(D324&amp;"|"&amp;E324,catClave,0))&amp;"","Variable")),"")</f>
        <v/>
      </c>
      <c r="Y324" s="52">
        <f>IF(P324="","",IFERROR(INDEX(catGrupo,MATCH(D324&amp;"|"&amp;E324,catClave,0))&amp;"",""))</f>
        <v/>
      </c>
      <c r="Z324" s="52">
        <f>IF(P324="","",WEEKDAY(B324,2))</f>
        <v/>
      </c>
      <c r="AA324" s="52">
        <f>IF(P324="","",IF(AND(P324="Gasto",X324="Variable",D324&lt;&gt;catTrading,S324&gt;0,S324&lt;=Umbral),1,0))</f>
        <v/>
      </c>
      <c r="AB324" s="52">
        <f>IF(OR(P324="",Q324=""),"",IFERROR(IF(INDEX(ctaVinc,MATCH(Q324,ctaNombre,0))&amp;""&lt;&gt;"",INDEX(ctaVinc,MATCH(Q324,ctaNombre,0))&amp;"",Q324),Q324))</f>
        <v/>
      </c>
      <c r="AC324" s="52">
        <f>IF(OR(K324="",AND(P324&lt;&gt;"Transferencia",P324&lt;&gt;"Pago tarjeta")),"",IFERROR(IF(INDEX(ctaVinc,MATCH(K324,ctaNombre,0))&amp;""&lt;&gt;"",INDEX(ctaVinc,MATCH(K324,ctaNombre,0))&amp;"",K324),K324))</f>
        <v/>
      </c>
      <c r="AD324" s="52">
        <f>IF(AB324="","",IFERROR(INDEX(ctaTipo,MATCH(AB324,ctaNombre,0))&amp;"",""))</f>
        <v/>
      </c>
      <c r="AE324" s="52">
        <f>IF(AC324="","",IFERROR(INDEX(ctaTipo,MATCH(AC324,ctaNombre,0))&amp;"",""))</f>
        <v/>
      </c>
      <c r="AF324" s="53">
        <f>IF(OR(P324="",AB324=""),"",IF(OR(P324="Gasto",P324="Transferencia",P324="Pago tarjeta"),-1,1)*IF(IFERROR(INDEX(ctaMoneda,MATCH(AB324,ctaNombre,0))&amp;"","DOP")="USD",T324,S324))</f>
        <v/>
      </c>
      <c r="AG324" s="53">
        <f>IF(AC324="","",IF(IFERROR(INDEX(ctaMoneda,MATCH(AC324,ctaNombre,0))&amp;"","DOP")="USD",T324,S324))</f>
        <v/>
      </c>
      <c r="AH324" s="53">
        <f>IF(P324="","",IF(AND(AD324&lt;&gt;"",COUNTIFS(tcTipo,AD324,tcLiq,"Sí")&gt;0),IF(OR(P324="Gasto",P324="Transferencia",P324="Pago tarjeta"),-1,1)*S324,0)+IF(AND(AE324&lt;&gt;"",COUNTIFS(tcTipo,AE324,tcLiq,"Sí")&gt;0),S324,0))</f>
        <v/>
      </c>
      <c r="AI324" s="52">
        <f>IF(OR(L324="",P324=""),"",IF(COUNTIFS(L$6:L324,L324,P$6:P324,"?*")=1,MAX(AI$5:AI323)+1,""))</f>
        <v/>
      </c>
    </row>
    <row r="325">
      <c r="B325" s="47" t="n"/>
      <c r="C325" s="48" t="n"/>
      <c r="D325" s="48" t="n"/>
      <c r="E325" s="48" t="n"/>
      <c r="F325" s="48" t="n"/>
      <c r="G325" s="49" t="n"/>
      <c r="H325" s="48" t="n"/>
      <c r="I325" s="50" t="n"/>
      <c r="J325" s="48" t="n"/>
      <c r="K325" s="48" t="n"/>
      <c r="L325" s="48" t="n"/>
      <c r="M325" s="48" t="n"/>
      <c r="N325" s="48" t="n"/>
      <c r="O325" s="51">
        <f>IF(AND(B325="",G325="",C325="",D325="",J325=""),"",IF(B325="","⚠ Falta fecha",IF(G325="","⚠ Falta monto",IF(Q325="","⚠ Falta cuenta",IF(ISNA(MATCH(Q325,ctaNombre,0)),"⚠ Cuenta no registrada",IF(AND(OR(P325="Gasto",P325="Reembolso"),D325=""),"⚠ Falta categoría",IF(AND(D325&lt;&gt;"",E325&lt;&gt;"",ISNA(MATCH(D325&amp;"|"&amp;E325,catClave,0))),"⚠ Subcategoría no corresponde",IF(AND(OR(P325="Transferencia",P325="Pago tarjeta"),K325=""),"⚠ Falta cuenta destino",IF(AND(K325&lt;&gt;"",P325&lt;&gt;"Transferencia",P325&lt;&gt;"Pago tarjeta"),"⚠ Destino solo aplica a transferencias",IF(AND(K325&lt;&gt;"",K325=Q325),"⚠ Origen igual a destino",IF(AND(K325&lt;&gt;"",ISNA(MATCH(K325,ctaNombre,0))),"⚠ Destino no registrado",IF(AND(P325="Pago tarjeta",AE325&lt;&gt;"Tarjeta de crédito"),"⚠ El destino debe ser tarjeta de crédito",IF(AND(P325="Gasto",E325="Depósitos y retiros"),"⚠ Usa tipo Transferencia",IF(AND(P325="Resultado trading",AD325&lt;&gt;"Cuenta de trading"),"⚠ Usa una cuenta de trading",IF(AND(G325&lt;=0,P325&lt;&gt;"Ajuste",P325&lt;&gt;"Resultado trading"),"⚠ El monto debe ser positivo","✓")))))))))))))))</f>
        <v/>
      </c>
      <c r="P325" s="52">
        <f>IF(OR(B325="",G325=""),"",IF(C325="","Gasto",C325))</f>
        <v/>
      </c>
      <c r="Q325" s="52">
        <f>IF(P325="","",IF(J325&lt;&gt;"",J325,CuentaPred&amp;""))</f>
        <v/>
      </c>
      <c r="R325" s="52">
        <f>IF(P325="","",IF(ISNUMBER(I325),I325,TasaUSD))</f>
        <v/>
      </c>
      <c r="S325" s="53">
        <f>IF(P325="","",IF(H325="USD",G325*R325,G325))</f>
        <v/>
      </c>
      <c r="T325" s="53">
        <f>IF(P325="","",IF(H325="USD",G325,IF(R325&gt;0,G325/R325,0)))</f>
        <v/>
      </c>
      <c r="U325" s="53">
        <f>IF(P325="","",IF(P325="Gasto",S325,IF(P325="Reembolso",-S325,0)))</f>
        <v/>
      </c>
      <c r="V325" s="53">
        <f>IF(P325="","",IF(P325="Ingreso",S325,0))</f>
        <v/>
      </c>
      <c r="W325" s="53">
        <f>IF(P325="","",IF(P325="Resultado trading",S325,0))</f>
        <v/>
      </c>
      <c r="X325" s="52">
        <f>IF(OR(P325="Gasto",P325="Reembolso"),IF(M325&lt;&gt;"",M325,IFERROR(INDEX(catClasif,MATCH(D325&amp;"|"&amp;E325,catClave,0))&amp;"","Variable")),"")</f>
        <v/>
      </c>
      <c r="Y325" s="52">
        <f>IF(P325="","",IFERROR(INDEX(catGrupo,MATCH(D325&amp;"|"&amp;E325,catClave,0))&amp;"",""))</f>
        <v/>
      </c>
      <c r="Z325" s="52">
        <f>IF(P325="","",WEEKDAY(B325,2))</f>
        <v/>
      </c>
      <c r="AA325" s="52">
        <f>IF(P325="","",IF(AND(P325="Gasto",X325="Variable",D325&lt;&gt;catTrading,S325&gt;0,S325&lt;=Umbral),1,0))</f>
        <v/>
      </c>
      <c r="AB325" s="52">
        <f>IF(OR(P325="",Q325=""),"",IFERROR(IF(INDEX(ctaVinc,MATCH(Q325,ctaNombre,0))&amp;""&lt;&gt;"",INDEX(ctaVinc,MATCH(Q325,ctaNombre,0))&amp;"",Q325),Q325))</f>
        <v/>
      </c>
      <c r="AC325" s="52">
        <f>IF(OR(K325="",AND(P325&lt;&gt;"Transferencia",P325&lt;&gt;"Pago tarjeta")),"",IFERROR(IF(INDEX(ctaVinc,MATCH(K325,ctaNombre,0))&amp;""&lt;&gt;"",INDEX(ctaVinc,MATCH(K325,ctaNombre,0))&amp;"",K325),K325))</f>
        <v/>
      </c>
      <c r="AD325" s="52">
        <f>IF(AB325="","",IFERROR(INDEX(ctaTipo,MATCH(AB325,ctaNombre,0))&amp;"",""))</f>
        <v/>
      </c>
      <c r="AE325" s="52">
        <f>IF(AC325="","",IFERROR(INDEX(ctaTipo,MATCH(AC325,ctaNombre,0))&amp;"",""))</f>
        <v/>
      </c>
      <c r="AF325" s="53">
        <f>IF(OR(P325="",AB325=""),"",IF(OR(P325="Gasto",P325="Transferencia",P325="Pago tarjeta"),-1,1)*IF(IFERROR(INDEX(ctaMoneda,MATCH(AB325,ctaNombre,0))&amp;"","DOP")="USD",T325,S325))</f>
        <v/>
      </c>
      <c r="AG325" s="53">
        <f>IF(AC325="","",IF(IFERROR(INDEX(ctaMoneda,MATCH(AC325,ctaNombre,0))&amp;"","DOP")="USD",T325,S325))</f>
        <v/>
      </c>
      <c r="AH325" s="53">
        <f>IF(P325="","",IF(AND(AD325&lt;&gt;"",COUNTIFS(tcTipo,AD325,tcLiq,"Sí")&gt;0),IF(OR(P325="Gasto",P325="Transferencia",P325="Pago tarjeta"),-1,1)*S325,0)+IF(AND(AE325&lt;&gt;"",COUNTIFS(tcTipo,AE325,tcLiq,"Sí")&gt;0),S325,0))</f>
        <v/>
      </c>
      <c r="AI325" s="52">
        <f>IF(OR(L325="",P325=""),"",IF(COUNTIFS(L$6:L325,L325,P$6:P325,"?*")=1,MAX(AI$5:AI324)+1,""))</f>
        <v/>
      </c>
    </row>
    <row r="326">
      <c r="B326" s="47" t="n"/>
      <c r="C326" s="48" t="n"/>
      <c r="D326" s="48" t="n"/>
      <c r="E326" s="48" t="n"/>
      <c r="F326" s="48" t="n"/>
      <c r="G326" s="49" t="n"/>
      <c r="H326" s="48" t="n"/>
      <c r="I326" s="50" t="n"/>
      <c r="J326" s="48" t="n"/>
      <c r="K326" s="48" t="n"/>
      <c r="L326" s="48" t="n"/>
      <c r="M326" s="48" t="n"/>
      <c r="N326" s="48" t="n"/>
      <c r="O326" s="51">
        <f>IF(AND(B326="",G326="",C326="",D326="",J326=""),"",IF(B326="","⚠ Falta fecha",IF(G326="","⚠ Falta monto",IF(Q326="","⚠ Falta cuenta",IF(ISNA(MATCH(Q326,ctaNombre,0)),"⚠ Cuenta no registrada",IF(AND(OR(P326="Gasto",P326="Reembolso"),D326=""),"⚠ Falta categoría",IF(AND(D326&lt;&gt;"",E326&lt;&gt;"",ISNA(MATCH(D326&amp;"|"&amp;E326,catClave,0))),"⚠ Subcategoría no corresponde",IF(AND(OR(P326="Transferencia",P326="Pago tarjeta"),K326=""),"⚠ Falta cuenta destino",IF(AND(K326&lt;&gt;"",P326&lt;&gt;"Transferencia",P326&lt;&gt;"Pago tarjeta"),"⚠ Destino solo aplica a transferencias",IF(AND(K326&lt;&gt;"",K326=Q326),"⚠ Origen igual a destino",IF(AND(K326&lt;&gt;"",ISNA(MATCH(K326,ctaNombre,0))),"⚠ Destino no registrado",IF(AND(P326="Pago tarjeta",AE326&lt;&gt;"Tarjeta de crédito"),"⚠ El destino debe ser tarjeta de crédito",IF(AND(P326="Gasto",E326="Depósitos y retiros"),"⚠ Usa tipo Transferencia",IF(AND(P326="Resultado trading",AD326&lt;&gt;"Cuenta de trading"),"⚠ Usa una cuenta de trading",IF(AND(G326&lt;=0,P326&lt;&gt;"Ajuste",P326&lt;&gt;"Resultado trading"),"⚠ El monto debe ser positivo","✓")))))))))))))))</f>
        <v/>
      </c>
      <c r="P326" s="52">
        <f>IF(OR(B326="",G326=""),"",IF(C326="","Gasto",C326))</f>
        <v/>
      </c>
      <c r="Q326" s="52">
        <f>IF(P326="","",IF(J326&lt;&gt;"",J326,CuentaPred&amp;""))</f>
        <v/>
      </c>
      <c r="R326" s="52">
        <f>IF(P326="","",IF(ISNUMBER(I326),I326,TasaUSD))</f>
        <v/>
      </c>
      <c r="S326" s="53">
        <f>IF(P326="","",IF(H326="USD",G326*R326,G326))</f>
        <v/>
      </c>
      <c r="T326" s="53">
        <f>IF(P326="","",IF(H326="USD",G326,IF(R326&gt;0,G326/R326,0)))</f>
        <v/>
      </c>
      <c r="U326" s="53">
        <f>IF(P326="","",IF(P326="Gasto",S326,IF(P326="Reembolso",-S326,0)))</f>
        <v/>
      </c>
      <c r="V326" s="53">
        <f>IF(P326="","",IF(P326="Ingreso",S326,0))</f>
        <v/>
      </c>
      <c r="W326" s="53">
        <f>IF(P326="","",IF(P326="Resultado trading",S326,0))</f>
        <v/>
      </c>
      <c r="X326" s="52">
        <f>IF(OR(P326="Gasto",P326="Reembolso"),IF(M326&lt;&gt;"",M326,IFERROR(INDEX(catClasif,MATCH(D326&amp;"|"&amp;E326,catClave,0))&amp;"","Variable")),"")</f>
        <v/>
      </c>
      <c r="Y326" s="52">
        <f>IF(P326="","",IFERROR(INDEX(catGrupo,MATCH(D326&amp;"|"&amp;E326,catClave,0))&amp;"",""))</f>
        <v/>
      </c>
      <c r="Z326" s="52">
        <f>IF(P326="","",WEEKDAY(B326,2))</f>
        <v/>
      </c>
      <c r="AA326" s="52">
        <f>IF(P326="","",IF(AND(P326="Gasto",X326="Variable",D326&lt;&gt;catTrading,S326&gt;0,S326&lt;=Umbral),1,0))</f>
        <v/>
      </c>
      <c r="AB326" s="52">
        <f>IF(OR(P326="",Q326=""),"",IFERROR(IF(INDEX(ctaVinc,MATCH(Q326,ctaNombre,0))&amp;""&lt;&gt;"",INDEX(ctaVinc,MATCH(Q326,ctaNombre,0))&amp;"",Q326),Q326))</f>
        <v/>
      </c>
      <c r="AC326" s="52">
        <f>IF(OR(K326="",AND(P326&lt;&gt;"Transferencia",P326&lt;&gt;"Pago tarjeta")),"",IFERROR(IF(INDEX(ctaVinc,MATCH(K326,ctaNombre,0))&amp;""&lt;&gt;"",INDEX(ctaVinc,MATCH(K326,ctaNombre,0))&amp;"",K326),K326))</f>
        <v/>
      </c>
      <c r="AD326" s="52">
        <f>IF(AB326="","",IFERROR(INDEX(ctaTipo,MATCH(AB326,ctaNombre,0))&amp;"",""))</f>
        <v/>
      </c>
      <c r="AE326" s="52">
        <f>IF(AC326="","",IFERROR(INDEX(ctaTipo,MATCH(AC326,ctaNombre,0))&amp;"",""))</f>
        <v/>
      </c>
      <c r="AF326" s="53">
        <f>IF(OR(P326="",AB326=""),"",IF(OR(P326="Gasto",P326="Transferencia",P326="Pago tarjeta"),-1,1)*IF(IFERROR(INDEX(ctaMoneda,MATCH(AB326,ctaNombre,0))&amp;"","DOP")="USD",T326,S326))</f>
        <v/>
      </c>
      <c r="AG326" s="53">
        <f>IF(AC326="","",IF(IFERROR(INDEX(ctaMoneda,MATCH(AC326,ctaNombre,0))&amp;"","DOP")="USD",T326,S326))</f>
        <v/>
      </c>
      <c r="AH326" s="53">
        <f>IF(P326="","",IF(AND(AD326&lt;&gt;"",COUNTIFS(tcTipo,AD326,tcLiq,"Sí")&gt;0),IF(OR(P326="Gasto",P326="Transferencia",P326="Pago tarjeta"),-1,1)*S326,0)+IF(AND(AE326&lt;&gt;"",COUNTIFS(tcTipo,AE326,tcLiq,"Sí")&gt;0),S326,0))</f>
        <v/>
      </c>
      <c r="AI326" s="52">
        <f>IF(OR(L326="",P326=""),"",IF(COUNTIFS(L$6:L326,L326,P$6:P326,"?*")=1,MAX(AI$5:AI325)+1,""))</f>
        <v/>
      </c>
    </row>
    <row r="327">
      <c r="B327" s="47" t="n"/>
      <c r="C327" s="48" t="n"/>
      <c r="D327" s="48" t="n"/>
      <c r="E327" s="48" t="n"/>
      <c r="F327" s="48" t="n"/>
      <c r="G327" s="49" t="n"/>
      <c r="H327" s="48" t="n"/>
      <c r="I327" s="50" t="n"/>
      <c r="J327" s="48" t="n"/>
      <c r="K327" s="48" t="n"/>
      <c r="L327" s="48" t="n"/>
      <c r="M327" s="48" t="n"/>
      <c r="N327" s="48" t="n"/>
      <c r="O327" s="51">
        <f>IF(AND(B327="",G327="",C327="",D327="",J327=""),"",IF(B327="","⚠ Falta fecha",IF(G327="","⚠ Falta monto",IF(Q327="","⚠ Falta cuenta",IF(ISNA(MATCH(Q327,ctaNombre,0)),"⚠ Cuenta no registrada",IF(AND(OR(P327="Gasto",P327="Reembolso"),D327=""),"⚠ Falta categoría",IF(AND(D327&lt;&gt;"",E327&lt;&gt;"",ISNA(MATCH(D327&amp;"|"&amp;E327,catClave,0))),"⚠ Subcategoría no corresponde",IF(AND(OR(P327="Transferencia",P327="Pago tarjeta"),K327=""),"⚠ Falta cuenta destino",IF(AND(K327&lt;&gt;"",P327&lt;&gt;"Transferencia",P327&lt;&gt;"Pago tarjeta"),"⚠ Destino solo aplica a transferencias",IF(AND(K327&lt;&gt;"",K327=Q327),"⚠ Origen igual a destino",IF(AND(K327&lt;&gt;"",ISNA(MATCH(K327,ctaNombre,0))),"⚠ Destino no registrado",IF(AND(P327="Pago tarjeta",AE327&lt;&gt;"Tarjeta de crédito"),"⚠ El destino debe ser tarjeta de crédito",IF(AND(P327="Gasto",E327="Depósitos y retiros"),"⚠ Usa tipo Transferencia",IF(AND(P327="Resultado trading",AD327&lt;&gt;"Cuenta de trading"),"⚠ Usa una cuenta de trading",IF(AND(G327&lt;=0,P327&lt;&gt;"Ajuste",P327&lt;&gt;"Resultado trading"),"⚠ El monto debe ser positivo","✓")))))))))))))))</f>
        <v/>
      </c>
      <c r="P327" s="52">
        <f>IF(OR(B327="",G327=""),"",IF(C327="","Gasto",C327))</f>
        <v/>
      </c>
      <c r="Q327" s="52">
        <f>IF(P327="","",IF(J327&lt;&gt;"",J327,CuentaPred&amp;""))</f>
        <v/>
      </c>
      <c r="R327" s="52">
        <f>IF(P327="","",IF(ISNUMBER(I327),I327,TasaUSD))</f>
        <v/>
      </c>
      <c r="S327" s="53">
        <f>IF(P327="","",IF(H327="USD",G327*R327,G327))</f>
        <v/>
      </c>
      <c r="T327" s="53">
        <f>IF(P327="","",IF(H327="USD",G327,IF(R327&gt;0,G327/R327,0)))</f>
        <v/>
      </c>
      <c r="U327" s="53">
        <f>IF(P327="","",IF(P327="Gasto",S327,IF(P327="Reembolso",-S327,0)))</f>
        <v/>
      </c>
      <c r="V327" s="53">
        <f>IF(P327="","",IF(P327="Ingreso",S327,0))</f>
        <v/>
      </c>
      <c r="W327" s="53">
        <f>IF(P327="","",IF(P327="Resultado trading",S327,0))</f>
        <v/>
      </c>
      <c r="X327" s="52">
        <f>IF(OR(P327="Gasto",P327="Reembolso"),IF(M327&lt;&gt;"",M327,IFERROR(INDEX(catClasif,MATCH(D327&amp;"|"&amp;E327,catClave,0))&amp;"","Variable")),"")</f>
        <v/>
      </c>
      <c r="Y327" s="52">
        <f>IF(P327="","",IFERROR(INDEX(catGrupo,MATCH(D327&amp;"|"&amp;E327,catClave,0))&amp;"",""))</f>
        <v/>
      </c>
      <c r="Z327" s="52">
        <f>IF(P327="","",WEEKDAY(B327,2))</f>
        <v/>
      </c>
      <c r="AA327" s="52">
        <f>IF(P327="","",IF(AND(P327="Gasto",X327="Variable",D327&lt;&gt;catTrading,S327&gt;0,S327&lt;=Umbral),1,0))</f>
        <v/>
      </c>
      <c r="AB327" s="52">
        <f>IF(OR(P327="",Q327=""),"",IFERROR(IF(INDEX(ctaVinc,MATCH(Q327,ctaNombre,0))&amp;""&lt;&gt;"",INDEX(ctaVinc,MATCH(Q327,ctaNombre,0))&amp;"",Q327),Q327))</f>
        <v/>
      </c>
      <c r="AC327" s="52">
        <f>IF(OR(K327="",AND(P327&lt;&gt;"Transferencia",P327&lt;&gt;"Pago tarjeta")),"",IFERROR(IF(INDEX(ctaVinc,MATCH(K327,ctaNombre,0))&amp;""&lt;&gt;"",INDEX(ctaVinc,MATCH(K327,ctaNombre,0))&amp;"",K327),K327))</f>
        <v/>
      </c>
      <c r="AD327" s="52">
        <f>IF(AB327="","",IFERROR(INDEX(ctaTipo,MATCH(AB327,ctaNombre,0))&amp;"",""))</f>
        <v/>
      </c>
      <c r="AE327" s="52">
        <f>IF(AC327="","",IFERROR(INDEX(ctaTipo,MATCH(AC327,ctaNombre,0))&amp;"",""))</f>
        <v/>
      </c>
      <c r="AF327" s="53">
        <f>IF(OR(P327="",AB327=""),"",IF(OR(P327="Gasto",P327="Transferencia",P327="Pago tarjeta"),-1,1)*IF(IFERROR(INDEX(ctaMoneda,MATCH(AB327,ctaNombre,0))&amp;"","DOP")="USD",T327,S327))</f>
        <v/>
      </c>
      <c r="AG327" s="53">
        <f>IF(AC327="","",IF(IFERROR(INDEX(ctaMoneda,MATCH(AC327,ctaNombre,0))&amp;"","DOP")="USD",T327,S327))</f>
        <v/>
      </c>
      <c r="AH327" s="53">
        <f>IF(P327="","",IF(AND(AD327&lt;&gt;"",COUNTIFS(tcTipo,AD327,tcLiq,"Sí")&gt;0),IF(OR(P327="Gasto",P327="Transferencia",P327="Pago tarjeta"),-1,1)*S327,0)+IF(AND(AE327&lt;&gt;"",COUNTIFS(tcTipo,AE327,tcLiq,"Sí")&gt;0),S327,0))</f>
        <v/>
      </c>
      <c r="AI327" s="52">
        <f>IF(OR(L327="",P327=""),"",IF(COUNTIFS(L$6:L327,L327,P$6:P327,"?*")=1,MAX(AI$5:AI326)+1,""))</f>
        <v/>
      </c>
    </row>
    <row r="328">
      <c r="B328" s="47" t="n"/>
      <c r="C328" s="48" t="n"/>
      <c r="D328" s="48" t="n"/>
      <c r="E328" s="48" t="n"/>
      <c r="F328" s="48" t="n"/>
      <c r="G328" s="49" t="n"/>
      <c r="H328" s="48" t="n"/>
      <c r="I328" s="50" t="n"/>
      <c r="J328" s="48" t="n"/>
      <c r="K328" s="48" t="n"/>
      <c r="L328" s="48" t="n"/>
      <c r="M328" s="48" t="n"/>
      <c r="N328" s="48" t="n"/>
      <c r="O328" s="51">
        <f>IF(AND(B328="",G328="",C328="",D328="",J328=""),"",IF(B328="","⚠ Falta fecha",IF(G328="","⚠ Falta monto",IF(Q328="","⚠ Falta cuenta",IF(ISNA(MATCH(Q328,ctaNombre,0)),"⚠ Cuenta no registrada",IF(AND(OR(P328="Gasto",P328="Reembolso"),D328=""),"⚠ Falta categoría",IF(AND(D328&lt;&gt;"",E328&lt;&gt;"",ISNA(MATCH(D328&amp;"|"&amp;E328,catClave,0))),"⚠ Subcategoría no corresponde",IF(AND(OR(P328="Transferencia",P328="Pago tarjeta"),K328=""),"⚠ Falta cuenta destino",IF(AND(K328&lt;&gt;"",P328&lt;&gt;"Transferencia",P328&lt;&gt;"Pago tarjeta"),"⚠ Destino solo aplica a transferencias",IF(AND(K328&lt;&gt;"",K328=Q328),"⚠ Origen igual a destino",IF(AND(K328&lt;&gt;"",ISNA(MATCH(K328,ctaNombre,0))),"⚠ Destino no registrado",IF(AND(P328="Pago tarjeta",AE328&lt;&gt;"Tarjeta de crédito"),"⚠ El destino debe ser tarjeta de crédito",IF(AND(P328="Gasto",E328="Depósitos y retiros"),"⚠ Usa tipo Transferencia",IF(AND(P328="Resultado trading",AD328&lt;&gt;"Cuenta de trading"),"⚠ Usa una cuenta de trading",IF(AND(G328&lt;=0,P328&lt;&gt;"Ajuste",P328&lt;&gt;"Resultado trading"),"⚠ El monto debe ser positivo","✓")))))))))))))))</f>
        <v/>
      </c>
      <c r="P328" s="52">
        <f>IF(OR(B328="",G328=""),"",IF(C328="","Gasto",C328))</f>
        <v/>
      </c>
      <c r="Q328" s="52">
        <f>IF(P328="","",IF(J328&lt;&gt;"",J328,CuentaPred&amp;""))</f>
        <v/>
      </c>
      <c r="R328" s="52">
        <f>IF(P328="","",IF(ISNUMBER(I328),I328,TasaUSD))</f>
        <v/>
      </c>
      <c r="S328" s="53">
        <f>IF(P328="","",IF(H328="USD",G328*R328,G328))</f>
        <v/>
      </c>
      <c r="T328" s="53">
        <f>IF(P328="","",IF(H328="USD",G328,IF(R328&gt;0,G328/R328,0)))</f>
        <v/>
      </c>
      <c r="U328" s="53">
        <f>IF(P328="","",IF(P328="Gasto",S328,IF(P328="Reembolso",-S328,0)))</f>
        <v/>
      </c>
      <c r="V328" s="53">
        <f>IF(P328="","",IF(P328="Ingreso",S328,0))</f>
        <v/>
      </c>
      <c r="W328" s="53">
        <f>IF(P328="","",IF(P328="Resultado trading",S328,0))</f>
        <v/>
      </c>
      <c r="X328" s="52">
        <f>IF(OR(P328="Gasto",P328="Reembolso"),IF(M328&lt;&gt;"",M328,IFERROR(INDEX(catClasif,MATCH(D328&amp;"|"&amp;E328,catClave,0))&amp;"","Variable")),"")</f>
        <v/>
      </c>
      <c r="Y328" s="52">
        <f>IF(P328="","",IFERROR(INDEX(catGrupo,MATCH(D328&amp;"|"&amp;E328,catClave,0))&amp;"",""))</f>
        <v/>
      </c>
      <c r="Z328" s="52">
        <f>IF(P328="","",WEEKDAY(B328,2))</f>
        <v/>
      </c>
      <c r="AA328" s="52">
        <f>IF(P328="","",IF(AND(P328="Gasto",X328="Variable",D328&lt;&gt;catTrading,S328&gt;0,S328&lt;=Umbral),1,0))</f>
        <v/>
      </c>
      <c r="AB328" s="52">
        <f>IF(OR(P328="",Q328=""),"",IFERROR(IF(INDEX(ctaVinc,MATCH(Q328,ctaNombre,0))&amp;""&lt;&gt;"",INDEX(ctaVinc,MATCH(Q328,ctaNombre,0))&amp;"",Q328),Q328))</f>
        <v/>
      </c>
      <c r="AC328" s="52">
        <f>IF(OR(K328="",AND(P328&lt;&gt;"Transferencia",P328&lt;&gt;"Pago tarjeta")),"",IFERROR(IF(INDEX(ctaVinc,MATCH(K328,ctaNombre,0))&amp;""&lt;&gt;"",INDEX(ctaVinc,MATCH(K328,ctaNombre,0))&amp;"",K328),K328))</f>
        <v/>
      </c>
      <c r="AD328" s="52">
        <f>IF(AB328="","",IFERROR(INDEX(ctaTipo,MATCH(AB328,ctaNombre,0))&amp;"",""))</f>
        <v/>
      </c>
      <c r="AE328" s="52">
        <f>IF(AC328="","",IFERROR(INDEX(ctaTipo,MATCH(AC328,ctaNombre,0))&amp;"",""))</f>
        <v/>
      </c>
      <c r="AF328" s="53">
        <f>IF(OR(P328="",AB328=""),"",IF(OR(P328="Gasto",P328="Transferencia",P328="Pago tarjeta"),-1,1)*IF(IFERROR(INDEX(ctaMoneda,MATCH(AB328,ctaNombre,0))&amp;"","DOP")="USD",T328,S328))</f>
        <v/>
      </c>
      <c r="AG328" s="53">
        <f>IF(AC328="","",IF(IFERROR(INDEX(ctaMoneda,MATCH(AC328,ctaNombre,0))&amp;"","DOP")="USD",T328,S328))</f>
        <v/>
      </c>
      <c r="AH328" s="53">
        <f>IF(P328="","",IF(AND(AD328&lt;&gt;"",COUNTIFS(tcTipo,AD328,tcLiq,"Sí")&gt;0),IF(OR(P328="Gasto",P328="Transferencia",P328="Pago tarjeta"),-1,1)*S328,0)+IF(AND(AE328&lt;&gt;"",COUNTIFS(tcTipo,AE328,tcLiq,"Sí")&gt;0),S328,0))</f>
        <v/>
      </c>
      <c r="AI328" s="52">
        <f>IF(OR(L328="",P328=""),"",IF(COUNTIFS(L$6:L328,L328,P$6:P328,"?*")=1,MAX(AI$5:AI327)+1,""))</f>
        <v/>
      </c>
    </row>
    <row r="329">
      <c r="B329" s="47" t="n"/>
      <c r="C329" s="48" t="n"/>
      <c r="D329" s="48" t="n"/>
      <c r="E329" s="48" t="n"/>
      <c r="F329" s="48" t="n"/>
      <c r="G329" s="49" t="n"/>
      <c r="H329" s="48" t="n"/>
      <c r="I329" s="50" t="n"/>
      <c r="J329" s="48" t="n"/>
      <c r="K329" s="48" t="n"/>
      <c r="L329" s="48" t="n"/>
      <c r="M329" s="48" t="n"/>
      <c r="N329" s="48" t="n"/>
      <c r="O329" s="51">
        <f>IF(AND(B329="",G329="",C329="",D329="",J329=""),"",IF(B329="","⚠ Falta fecha",IF(G329="","⚠ Falta monto",IF(Q329="","⚠ Falta cuenta",IF(ISNA(MATCH(Q329,ctaNombre,0)),"⚠ Cuenta no registrada",IF(AND(OR(P329="Gasto",P329="Reembolso"),D329=""),"⚠ Falta categoría",IF(AND(D329&lt;&gt;"",E329&lt;&gt;"",ISNA(MATCH(D329&amp;"|"&amp;E329,catClave,0))),"⚠ Subcategoría no corresponde",IF(AND(OR(P329="Transferencia",P329="Pago tarjeta"),K329=""),"⚠ Falta cuenta destino",IF(AND(K329&lt;&gt;"",P329&lt;&gt;"Transferencia",P329&lt;&gt;"Pago tarjeta"),"⚠ Destino solo aplica a transferencias",IF(AND(K329&lt;&gt;"",K329=Q329),"⚠ Origen igual a destino",IF(AND(K329&lt;&gt;"",ISNA(MATCH(K329,ctaNombre,0))),"⚠ Destino no registrado",IF(AND(P329="Pago tarjeta",AE329&lt;&gt;"Tarjeta de crédito"),"⚠ El destino debe ser tarjeta de crédito",IF(AND(P329="Gasto",E329="Depósitos y retiros"),"⚠ Usa tipo Transferencia",IF(AND(P329="Resultado trading",AD329&lt;&gt;"Cuenta de trading"),"⚠ Usa una cuenta de trading",IF(AND(G329&lt;=0,P329&lt;&gt;"Ajuste",P329&lt;&gt;"Resultado trading"),"⚠ El monto debe ser positivo","✓")))))))))))))))</f>
        <v/>
      </c>
      <c r="P329" s="52">
        <f>IF(OR(B329="",G329=""),"",IF(C329="","Gasto",C329))</f>
        <v/>
      </c>
      <c r="Q329" s="52">
        <f>IF(P329="","",IF(J329&lt;&gt;"",J329,CuentaPred&amp;""))</f>
        <v/>
      </c>
      <c r="R329" s="52">
        <f>IF(P329="","",IF(ISNUMBER(I329),I329,TasaUSD))</f>
        <v/>
      </c>
      <c r="S329" s="53">
        <f>IF(P329="","",IF(H329="USD",G329*R329,G329))</f>
        <v/>
      </c>
      <c r="T329" s="53">
        <f>IF(P329="","",IF(H329="USD",G329,IF(R329&gt;0,G329/R329,0)))</f>
        <v/>
      </c>
      <c r="U329" s="53">
        <f>IF(P329="","",IF(P329="Gasto",S329,IF(P329="Reembolso",-S329,0)))</f>
        <v/>
      </c>
      <c r="V329" s="53">
        <f>IF(P329="","",IF(P329="Ingreso",S329,0))</f>
        <v/>
      </c>
      <c r="W329" s="53">
        <f>IF(P329="","",IF(P329="Resultado trading",S329,0))</f>
        <v/>
      </c>
      <c r="X329" s="52">
        <f>IF(OR(P329="Gasto",P329="Reembolso"),IF(M329&lt;&gt;"",M329,IFERROR(INDEX(catClasif,MATCH(D329&amp;"|"&amp;E329,catClave,0))&amp;"","Variable")),"")</f>
        <v/>
      </c>
      <c r="Y329" s="52">
        <f>IF(P329="","",IFERROR(INDEX(catGrupo,MATCH(D329&amp;"|"&amp;E329,catClave,0))&amp;"",""))</f>
        <v/>
      </c>
      <c r="Z329" s="52">
        <f>IF(P329="","",WEEKDAY(B329,2))</f>
        <v/>
      </c>
      <c r="AA329" s="52">
        <f>IF(P329="","",IF(AND(P329="Gasto",X329="Variable",D329&lt;&gt;catTrading,S329&gt;0,S329&lt;=Umbral),1,0))</f>
        <v/>
      </c>
      <c r="AB329" s="52">
        <f>IF(OR(P329="",Q329=""),"",IFERROR(IF(INDEX(ctaVinc,MATCH(Q329,ctaNombre,0))&amp;""&lt;&gt;"",INDEX(ctaVinc,MATCH(Q329,ctaNombre,0))&amp;"",Q329),Q329))</f>
        <v/>
      </c>
      <c r="AC329" s="52">
        <f>IF(OR(K329="",AND(P329&lt;&gt;"Transferencia",P329&lt;&gt;"Pago tarjeta")),"",IFERROR(IF(INDEX(ctaVinc,MATCH(K329,ctaNombre,0))&amp;""&lt;&gt;"",INDEX(ctaVinc,MATCH(K329,ctaNombre,0))&amp;"",K329),K329))</f>
        <v/>
      </c>
      <c r="AD329" s="52">
        <f>IF(AB329="","",IFERROR(INDEX(ctaTipo,MATCH(AB329,ctaNombre,0))&amp;"",""))</f>
        <v/>
      </c>
      <c r="AE329" s="52">
        <f>IF(AC329="","",IFERROR(INDEX(ctaTipo,MATCH(AC329,ctaNombre,0))&amp;"",""))</f>
        <v/>
      </c>
      <c r="AF329" s="53">
        <f>IF(OR(P329="",AB329=""),"",IF(OR(P329="Gasto",P329="Transferencia",P329="Pago tarjeta"),-1,1)*IF(IFERROR(INDEX(ctaMoneda,MATCH(AB329,ctaNombre,0))&amp;"","DOP")="USD",T329,S329))</f>
        <v/>
      </c>
      <c r="AG329" s="53">
        <f>IF(AC329="","",IF(IFERROR(INDEX(ctaMoneda,MATCH(AC329,ctaNombre,0))&amp;"","DOP")="USD",T329,S329))</f>
        <v/>
      </c>
      <c r="AH329" s="53">
        <f>IF(P329="","",IF(AND(AD329&lt;&gt;"",COUNTIFS(tcTipo,AD329,tcLiq,"Sí")&gt;0),IF(OR(P329="Gasto",P329="Transferencia",P329="Pago tarjeta"),-1,1)*S329,0)+IF(AND(AE329&lt;&gt;"",COUNTIFS(tcTipo,AE329,tcLiq,"Sí")&gt;0),S329,0))</f>
        <v/>
      </c>
      <c r="AI329" s="52">
        <f>IF(OR(L329="",P329=""),"",IF(COUNTIFS(L$6:L329,L329,P$6:P329,"?*")=1,MAX(AI$5:AI328)+1,""))</f>
        <v/>
      </c>
    </row>
    <row r="330">
      <c r="B330" s="47" t="n"/>
      <c r="C330" s="48" t="n"/>
      <c r="D330" s="48" t="n"/>
      <c r="E330" s="48" t="n"/>
      <c r="F330" s="48" t="n"/>
      <c r="G330" s="49" t="n"/>
      <c r="H330" s="48" t="n"/>
      <c r="I330" s="50" t="n"/>
      <c r="J330" s="48" t="n"/>
      <c r="K330" s="48" t="n"/>
      <c r="L330" s="48" t="n"/>
      <c r="M330" s="48" t="n"/>
      <c r="N330" s="48" t="n"/>
      <c r="O330" s="51">
        <f>IF(AND(B330="",G330="",C330="",D330="",J330=""),"",IF(B330="","⚠ Falta fecha",IF(G330="","⚠ Falta monto",IF(Q330="","⚠ Falta cuenta",IF(ISNA(MATCH(Q330,ctaNombre,0)),"⚠ Cuenta no registrada",IF(AND(OR(P330="Gasto",P330="Reembolso"),D330=""),"⚠ Falta categoría",IF(AND(D330&lt;&gt;"",E330&lt;&gt;"",ISNA(MATCH(D330&amp;"|"&amp;E330,catClave,0))),"⚠ Subcategoría no corresponde",IF(AND(OR(P330="Transferencia",P330="Pago tarjeta"),K330=""),"⚠ Falta cuenta destino",IF(AND(K330&lt;&gt;"",P330&lt;&gt;"Transferencia",P330&lt;&gt;"Pago tarjeta"),"⚠ Destino solo aplica a transferencias",IF(AND(K330&lt;&gt;"",K330=Q330),"⚠ Origen igual a destino",IF(AND(K330&lt;&gt;"",ISNA(MATCH(K330,ctaNombre,0))),"⚠ Destino no registrado",IF(AND(P330="Pago tarjeta",AE330&lt;&gt;"Tarjeta de crédito"),"⚠ El destino debe ser tarjeta de crédito",IF(AND(P330="Gasto",E330="Depósitos y retiros"),"⚠ Usa tipo Transferencia",IF(AND(P330="Resultado trading",AD330&lt;&gt;"Cuenta de trading"),"⚠ Usa una cuenta de trading",IF(AND(G330&lt;=0,P330&lt;&gt;"Ajuste",P330&lt;&gt;"Resultado trading"),"⚠ El monto debe ser positivo","✓")))))))))))))))</f>
        <v/>
      </c>
      <c r="P330" s="52">
        <f>IF(OR(B330="",G330=""),"",IF(C330="","Gasto",C330))</f>
        <v/>
      </c>
      <c r="Q330" s="52">
        <f>IF(P330="","",IF(J330&lt;&gt;"",J330,CuentaPred&amp;""))</f>
        <v/>
      </c>
      <c r="R330" s="52">
        <f>IF(P330="","",IF(ISNUMBER(I330),I330,TasaUSD))</f>
        <v/>
      </c>
      <c r="S330" s="53">
        <f>IF(P330="","",IF(H330="USD",G330*R330,G330))</f>
        <v/>
      </c>
      <c r="T330" s="53">
        <f>IF(P330="","",IF(H330="USD",G330,IF(R330&gt;0,G330/R330,0)))</f>
        <v/>
      </c>
      <c r="U330" s="53">
        <f>IF(P330="","",IF(P330="Gasto",S330,IF(P330="Reembolso",-S330,0)))</f>
        <v/>
      </c>
      <c r="V330" s="53">
        <f>IF(P330="","",IF(P330="Ingreso",S330,0))</f>
        <v/>
      </c>
      <c r="W330" s="53">
        <f>IF(P330="","",IF(P330="Resultado trading",S330,0))</f>
        <v/>
      </c>
      <c r="X330" s="52">
        <f>IF(OR(P330="Gasto",P330="Reembolso"),IF(M330&lt;&gt;"",M330,IFERROR(INDEX(catClasif,MATCH(D330&amp;"|"&amp;E330,catClave,0))&amp;"","Variable")),"")</f>
        <v/>
      </c>
      <c r="Y330" s="52">
        <f>IF(P330="","",IFERROR(INDEX(catGrupo,MATCH(D330&amp;"|"&amp;E330,catClave,0))&amp;"",""))</f>
        <v/>
      </c>
      <c r="Z330" s="52">
        <f>IF(P330="","",WEEKDAY(B330,2))</f>
        <v/>
      </c>
      <c r="AA330" s="52">
        <f>IF(P330="","",IF(AND(P330="Gasto",X330="Variable",D330&lt;&gt;catTrading,S330&gt;0,S330&lt;=Umbral),1,0))</f>
        <v/>
      </c>
      <c r="AB330" s="52">
        <f>IF(OR(P330="",Q330=""),"",IFERROR(IF(INDEX(ctaVinc,MATCH(Q330,ctaNombre,0))&amp;""&lt;&gt;"",INDEX(ctaVinc,MATCH(Q330,ctaNombre,0))&amp;"",Q330),Q330))</f>
        <v/>
      </c>
      <c r="AC330" s="52">
        <f>IF(OR(K330="",AND(P330&lt;&gt;"Transferencia",P330&lt;&gt;"Pago tarjeta")),"",IFERROR(IF(INDEX(ctaVinc,MATCH(K330,ctaNombre,0))&amp;""&lt;&gt;"",INDEX(ctaVinc,MATCH(K330,ctaNombre,0))&amp;"",K330),K330))</f>
        <v/>
      </c>
      <c r="AD330" s="52">
        <f>IF(AB330="","",IFERROR(INDEX(ctaTipo,MATCH(AB330,ctaNombre,0))&amp;"",""))</f>
        <v/>
      </c>
      <c r="AE330" s="52">
        <f>IF(AC330="","",IFERROR(INDEX(ctaTipo,MATCH(AC330,ctaNombre,0))&amp;"",""))</f>
        <v/>
      </c>
      <c r="AF330" s="53">
        <f>IF(OR(P330="",AB330=""),"",IF(OR(P330="Gasto",P330="Transferencia",P330="Pago tarjeta"),-1,1)*IF(IFERROR(INDEX(ctaMoneda,MATCH(AB330,ctaNombre,0))&amp;"","DOP")="USD",T330,S330))</f>
        <v/>
      </c>
      <c r="AG330" s="53">
        <f>IF(AC330="","",IF(IFERROR(INDEX(ctaMoneda,MATCH(AC330,ctaNombre,0))&amp;"","DOP")="USD",T330,S330))</f>
        <v/>
      </c>
      <c r="AH330" s="53">
        <f>IF(P330="","",IF(AND(AD330&lt;&gt;"",COUNTIFS(tcTipo,AD330,tcLiq,"Sí")&gt;0),IF(OR(P330="Gasto",P330="Transferencia",P330="Pago tarjeta"),-1,1)*S330,0)+IF(AND(AE330&lt;&gt;"",COUNTIFS(tcTipo,AE330,tcLiq,"Sí")&gt;0),S330,0))</f>
        <v/>
      </c>
      <c r="AI330" s="52">
        <f>IF(OR(L330="",P330=""),"",IF(COUNTIFS(L$6:L330,L330,P$6:P330,"?*")=1,MAX(AI$5:AI329)+1,""))</f>
        <v/>
      </c>
    </row>
    <row r="331">
      <c r="B331" s="47" t="n"/>
      <c r="C331" s="48" t="n"/>
      <c r="D331" s="48" t="n"/>
      <c r="E331" s="48" t="n"/>
      <c r="F331" s="48" t="n"/>
      <c r="G331" s="49" t="n"/>
      <c r="H331" s="48" t="n"/>
      <c r="I331" s="50" t="n"/>
      <c r="J331" s="48" t="n"/>
      <c r="K331" s="48" t="n"/>
      <c r="L331" s="48" t="n"/>
      <c r="M331" s="48" t="n"/>
      <c r="N331" s="48" t="n"/>
      <c r="O331" s="51">
        <f>IF(AND(B331="",G331="",C331="",D331="",J331=""),"",IF(B331="","⚠ Falta fecha",IF(G331="","⚠ Falta monto",IF(Q331="","⚠ Falta cuenta",IF(ISNA(MATCH(Q331,ctaNombre,0)),"⚠ Cuenta no registrada",IF(AND(OR(P331="Gasto",P331="Reembolso"),D331=""),"⚠ Falta categoría",IF(AND(D331&lt;&gt;"",E331&lt;&gt;"",ISNA(MATCH(D331&amp;"|"&amp;E331,catClave,0))),"⚠ Subcategoría no corresponde",IF(AND(OR(P331="Transferencia",P331="Pago tarjeta"),K331=""),"⚠ Falta cuenta destino",IF(AND(K331&lt;&gt;"",P331&lt;&gt;"Transferencia",P331&lt;&gt;"Pago tarjeta"),"⚠ Destino solo aplica a transferencias",IF(AND(K331&lt;&gt;"",K331=Q331),"⚠ Origen igual a destino",IF(AND(K331&lt;&gt;"",ISNA(MATCH(K331,ctaNombre,0))),"⚠ Destino no registrado",IF(AND(P331="Pago tarjeta",AE331&lt;&gt;"Tarjeta de crédito"),"⚠ El destino debe ser tarjeta de crédito",IF(AND(P331="Gasto",E331="Depósitos y retiros"),"⚠ Usa tipo Transferencia",IF(AND(P331="Resultado trading",AD331&lt;&gt;"Cuenta de trading"),"⚠ Usa una cuenta de trading",IF(AND(G331&lt;=0,P331&lt;&gt;"Ajuste",P331&lt;&gt;"Resultado trading"),"⚠ El monto debe ser positivo","✓")))))))))))))))</f>
        <v/>
      </c>
      <c r="P331" s="52">
        <f>IF(OR(B331="",G331=""),"",IF(C331="","Gasto",C331))</f>
        <v/>
      </c>
      <c r="Q331" s="52">
        <f>IF(P331="","",IF(J331&lt;&gt;"",J331,CuentaPred&amp;""))</f>
        <v/>
      </c>
      <c r="R331" s="52">
        <f>IF(P331="","",IF(ISNUMBER(I331),I331,TasaUSD))</f>
        <v/>
      </c>
      <c r="S331" s="53">
        <f>IF(P331="","",IF(H331="USD",G331*R331,G331))</f>
        <v/>
      </c>
      <c r="T331" s="53">
        <f>IF(P331="","",IF(H331="USD",G331,IF(R331&gt;0,G331/R331,0)))</f>
        <v/>
      </c>
      <c r="U331" s="53">
        <f>IF(P331="","",IF(P331="Gasto",S331,IF(P331="Reembolso",-S331,0)))</f>
        <v/>
      </c>
      <c r="V331" s="53">
        <f>IF(P331="","",IF(P331="Ingreso",S331,0))</f>
        <v/>
      </c>
      <c r="W331" s="53">
        <f>IF(P331="","",IF(P331="Resultado trading",S331,0))</f>
        <v/>
      </c>
      <c r="X331" s="52">
        <f>IF(OR(P331="Gasto",P331="Reembolso"),IF(M331&lt;&gt;"",M331,IFERROR(INDEX(catClasif,MATCH(D331&amp;"|"&amp;E331,catClave,0))&amp;"","Variable")),"")</f>
        <v/>
      </c>
      <c r="Y331" s="52">
        <f>IF(P331="","",IFERROR(INDEX(catGrupo,MATCH(D331&amp;"|"&amp;E331,catClave,0))&amp;"",""))</f>
        <v/>
      </c>
      <c r="Z331" s="52">
        <f>IF(P331="","",WEEKDAY(B331,2))</f>
        <v/>
      </c>
      <c r="AA331" s="52">
        <f>IF(P331="","",IF(AND(P331="Gasto",X331="Variable",D331&lt;&gt;catTrading,S331&gt;0,S331&lt;=Umbral),1,0))</f>
        <v/>
      </c>
      <c r="AB331" s="52">
        <f>IF(OR(P331="",Q331=""),"",IFERROR(IF(INDEX(ctaVinc,MATCH(Q331,ctaNombre,0))&amp;""&lt;&gt;"",INDEX(ctaVinc,MATCH(Q331,ctaNombre,0))&amp;"",Q331),Q331))</f>
        <v/>
      </c>
      <c r="AC331" s="52">
        <f>IF(OR(K331="",AND(P331&lt;&gt;"Transferencia",P331&lt;&gt;"Pago tarjeta")),"",IFERROR(IF(INDEX(ctaVinc,MATCH(K331,ctaNombre,0))&amp;""&lt;&gt;"",INDEX(ctaVinc,MATCH(K331,ctaNombre,0))&amp;"",K331),K331))</f>
        <v/>
      </c>
      <c r="AD331" s="52">
        <f>IF(AB331="","",IFERROR(INDEX(ctaTipo,MATCH(AB331,ctaNombre,0))&amp;"",""))</f>
        <v/>
      </c>
      <c r="AE331" s="52">
        <f>IF(AC331="","",IFERROR(INDEX(ctaTipo,MATCH(AC331,ctaNombre,0))&amp;"",""))</f>
        <v/>
      </c>
      <c r="AF331" s="53">
        <f>IF(OR(P331="",AB331=""),"",IF(OR(P331="Gasto",P331="Transferencia",P331="Pago tarjeta"),-1,1)*IF(IFERROR(INDEX(ctaMoneda,MATCH(AB331,ctaNombre,0))&amp;"","DOP")="USD",T331,S331))</f>
        <v/>
      </c>
      <c r="AG331" s="53">
        <f>IF(AC331="","",IF(IFERROR(INDEX(ctaMoneda,MATCH(AC331,ctaNombre,0))&amp;"","DOP")="USD",T331,S331))</f>
        <v/>
      </c>
      <c r="AH331" s="53">
        <f>IF(P331="","",IF(AND(AD331&lt;&gt;"",COUNTIFS(tcTipo,AD331,tcLiq,"Sí")&gt;0),IF(OR(P331="Gasto",P331="Transferencia",P331="Pago tarjeta"),-1,1)*S331,0)+IF(AND(AE331&lt;&gt;"",COUNTIFS(tcTipo,AE331,tcLiq,"Sí")&gt;0),S331,0))</f>
        <v/>
      </c>
      <c r="AI331" s="52">
        <f>IF(OR(L331="",P331=""),"",IF(COUNTIFS(L$6:L331,L331,P$6:P331,"?*")=1,MAX(AI$5:AI330)+1,""))</f>
        <v/>
      </c>
    </row>
    <row r="332">
      <c r="B332" s="47" t="n"/>
      <c r="C332" s="48" t="n"/>
      <c r="D332" s="48" t="n"/>
      <c r="E332" s="48" t="n"/>
      <c r="F332" s="48" t="n"/>
      <c r="G332" s="49" t="n"/>
      <c r="H332" s="48" t="n"/>
      <c r="I332" s="50" t="n"/>
      <c r="J332" s="48" t="n"/>
      <c r="K332" s="48" t="n"/>
      <c r="L332" s="48" t="n"/>
      <c r="M332" s="48" t="n"/>
      <c r="N332" s="48" t="n"/>
      <c r="O332" s="51">
        <f>IF(AND(B332="",G332="",C332="",D332="",J332=""),"",IF(B332="","⚠ Falta fecha",IF(G332="","⚠ Falta monto",IF(Q332="","⚠ Falta cuenta",IF(ISNA(MATCH(Q332,ctaNombre,0)),"⚠ Cuenta no registrada",IF(AND(OR(P332="Gasto",P332="Reembolso"),D332=""),"⚠ Falta categoría",IF(AND(D332&lt;&gt;"",E332&lt;&gt;"",ISNA(MATCH(D332&amp;"|"&amp;E332,catClave,0))),"⚠ Subcategoría no corresponde",IF(AND(OR(P332="Transferencia",P332="Pago tarjeta"),K332=""),"⚠ Falta cuenta destino",IF(AND(K332&lt;&gt;"",P332&lt;&gt;"Transferencia",P332&lt;&gt;"Pago tarjeta"),"⚠ Destino solo aplica a transferencias",IF(AND(K332&lt;&gt;"",K332=Q332),"⚠ Origen igual a destino",IF(AND(K332&lt;&gt;"",ISNA(MATCH(K332,ctaNombre,0))),"⚠ Destino no registrado",IF(AND(P332="Pago tarjeta",AE332&lt;&gt;"Tarjeta de crédito"),"⚠ El destino debe ser tarjeta de crédito",IF(AND(P332="Gasto",E332="Depósitos y retiros"),"⚠ Usa tipo Transferencia",IF(AND(P332="Resultado trading",AD332&lt;&gt;"Cuenta de trading"),"⚠ Usa una cuenta de trading",IF(AND(G332&lt;=0,P332&lt;&gt;"Ajuste",P332&lt;&gt;"Resultado trading"),"⚠ El monto debe ser positivo","✓")))))))))))))))</f>
        <v/>
      </c>
      <c r="P332" s="52">
        <f>IF(OR(B332="",G332=""),"",IF(C332="","Gasto",C332))</f>
        <v/>
      </c>
      <c r="Q332" s="52">
        <f>IF(P332="","",IF(J332&lt;&gt;"",J332,CuentaPred&amp;""))</f>
        <v/>
      </c>
      <c r="R332" s="52">
        <f>IF(P332="","",IF(ISNUMBER(I332),I332,TasaUSD))</f>
        <v/>
      </c>
      <c r="S332" s="53">
        <f>IF(P332="","",IF(H332="USD",G332*R332,G332))</f>
        <v/>
      </c>
      <c r="T332" s="53">
        <f>IF(P332="","",IF(H332="USD",G332,IF(R332&gt;0,G332/R332,0)))</f>
        <v/>
      </c>
      <c r="U332" s="53">
        <f>IF(P332="","",IF(P332="Gasto",S332,IF(P332="Reembolso",-S332,0)))</f>
        <v/>
      </c>
      <c r="V332" s="53">
        <f>IF(P332="","",IF(P332="Ingreso",S332,0))</f>
        <v/>
      </c>
      <c r="W332" s="53">
        <f>IF(P332="","",IF(P332="Resultado trading",S332,0))</f>
        <v/>
      </c>
      <c r="X332" s="52">
        <f>IF(OR(P332="Gasto",P332="Reembolso"),IF(M332&lt;&gt;"",M332,IFERROR(INDEX(catClasif,MATCH(D332&amp;"|"&amp;E332,catClave,0))&amp;"","Variable")),"")</f>
        <v/>
      </c>
      <c r="Y332" s="52">
        <f>IF(P332="","",IFERROR(INDEX(catGrupo,MATCH(D332&amp;"|"&amp;E332,catClave,0))&amp;"",""))</f>
        <v/>
      </c>
      <c r="Z332" s="52">
        <f>IF(P332="","",WEEKDAY(B332,2))</f>
        <v/>
      </c>
      <c r="AA332" s="52">
        <f>IF(P332="","",IF(AND(P332="Gasto",X332="Variable",D332&lt;&gt;catTrading,S332&gt;0,S332&lt;=Umbral),1,0))</f>
        <v/>
      </c>
      <c r="AB332" s="52">
        <f>IF(OR(P332="",Q332=""),"",IFERROR(IF(INDEX(ctaVinc,MATCH(Q332,ctaNombre,0))&amp;""&lt;&gt;"",INDEX(ctaVinc,MATCH(Q332,ctaNombre,0))&amp;"",Q332),Q332))</f>
        <v/>
      </c>
      <c r="AC332" s="52">
        <f>IF(OR(K332="",AND(P332&lt;&gt;"Transferencia",P332&lt;&gt;"Pago tarjeta")),"",IFERROR(IF(INDEX(ctaVinc,MATCH(K332,ctaNombre,0))&amp;""&lt;&gt;"",INDEX(ctaVinc,MATCH(K332,ctaNombre,0))&amp;"",K332),K332))</f>
        <v/>
      </c>
      <c r="AD332" s="52">
        <f>IF(AB332="","",IFERROR(INDEX(ctaTipo,MATCH(AB332,ctaNombre,0))&amp;"",""))</f>
        <v/>
      </c>
      <c r="AE332" s="52">
        <f>IF(AC332="","",IFERROR(INDEX(ctaTipo,MATCH(AC332,ctaNombre,0))&amp;"",""))</f>
        <v/>
      </c>
      <c r="AF332" s="53">
        <f>IF(OR(P332="",AB332=""),"",IF(OR(P332="Gasto",P332="Transferencia",P332="Pago tarjeta"),-1,1)*IF(IFERROR(INDEX(ctaMoneda,MATCH(AB332,ctaNombre,0))&amp;"","DOP")="USD",T332,S332))</f>
        <v/>
      </c>
      <c r="AG332" s="53">
        <f>IF(AC332="","",IF(IFERROR(INDEX(ctaMoneda,MATCH(AC332,ctaNombre,0))&amp;"","DOP")="USD",T332,S332))</f>
        <v/>
      </c>
      <c r="AH332" s="53">
        <f>IF(P332="","",IF(AND(AD332&lt;&gt;"",COUNTIFS(tcTipo,AD332,tcLiq,"Sí")&gt;0),IF(OR(P332="Gasto",P332="Transferencia",P332="Pago tarjeta"),-1,1)*S332,0)+IF(AND(AE332&lt;&gt;"",COUNTIFS(tcTipo,AE332,tcLiq,"Sí")&gt;0),S332,0))</f>
        <v/>
      </c>
      <c r="AI332" s="52">
        <f>IF(OR(L332="",P332=""),"",IF(COUNTIFS(L$6:L332,L332,P$6:P332,"?*")=1,MAX(AI$5:AI331)+1,""))</f>
        <v/>
      </c>
    </row>
    <row r="333">
      <c r="B333" s="47" t="n"/>
      <c r="C333" s="48" t="n"/>
      <c r="D333" s="48" t="n"/>
      <c r="E333" s="48" t="n"/>
      <c r="F333" s="48" t="n"/>
      <c r="G333" s="49" t="n"/>
      <c r="H333" s="48" t="n"/>
      <c r="I333" s="50" t="n"/>
      <c r="J333" s="48" t="n"/>
      <c r="K333" s="48" t="n"/>
      <c r="L333" s="48" t="n"/>
      <c r="M333" s="48" t="n"/>
      <c r="N333" s="48" t="n"/>
      <c r="O333" s="51">
        <f>IF(AND(B333="",G333="",C333="",D333="",J333=""),"",IF(B333="","⚠ Falta fecha",IF(G333="","⚠ Falta monto",IF(Q333="","⚠ Falta cuenta",IF(ISNA(MATCH(Q333,ctaNombre,0)),"⚠ Cuenta no registrada",IF(AND(OR(P333="Gasto",P333="Reembolso"),D333=""),"⚠ Falta categoría",IF(AND(D333&lt;&gt;"",E333&lt;&gt;"",ISNA(MATCH(D333&amp;"|"&amp;E333,catClave,0))),"⚠ Subcategoría no corresponde",IF(AND(OR(P333="Transferencia",P333="Pago tarjeta"),K333=""),"⚠ Falta cuenta destino",IF(AND(K333&lt;&gt;"",P333&lt;&gt;"Transferencia",P333&lt;&gt;"Pago tarjeta"),"⚠ Destino solo aplica a transferencias",IF(AND(K333&lt;&gt;"",K333=Q333),"⚠ Origen igual a destino",IF(AND(K333&lt;&gt;"",ISNA(MATCH(K333,ctaNombre,0))),"⚠ Destino no registrado",IF(AND(P333="Pago tarjeta",AE333&lt;&gt;"Tarjeta de crédito"),"⚠ El destino debe ser tarjeta de crédito",IF(AND(P333="Gasto",E333="Depósitos y retiros"),"⚠ Usa tipo Transferencia",IF(AND(P333="Resultado trading",AD333&lt;&gt;"Cuenta de trading"),"⚠ Usa una cuenta de trading",IF(AND(G333&lt;=0,P333&lt;&gt;"Ajuste",P333&lt;&gt;"Resultado trading"),"⚠ El monto debe ser positivo","✓")))))))))))))))</f>
        <v/>
      </c>
      <c r="P333" s="52">
        <f>IF(OR(B333="",G333=""),"",IF(C333="","Gasto",C333))</f>
        <v/>
      </c>
      <c r="Q333" s="52">
        <f>IF(P333="","",IF(J333&lt;&gt;"",J333,CuentaPred&amp;""))</f>
        <v/>
      </c>
      <c r="R333" s="52">
        <f>IF(P333="","",IF(ISNUMBER(I333),I333,TasaUSD))</f>
        <v/>
      </c>
      <c r="S333" s="53">
        <f>IF(P333="","",IF(H333="USD",G333*R333,G333))</f>
        <v/>
      </c>
      <c r="T333" s="53">
        <f>IF(P333="","",IF(H333="USD",G333,IF(R333&gt;0,G333/R333,0)))</f>
        <v/>
      </c>
      <c r="U333" s="53">
        <f>IF(P333="","",IF(P333="Gasto",S333,IF(P333="Reembolso",-S333,0)))</f>
        <v/>
      </c>
      <c r="V333" s="53">
        <f>IF(P333="","",IF(P333="Ingreso",S333,0))</f>
        <v/>
      </c>
      <c r="W333" s="53">
        <f>IF(P333="","",IF(P333="Resultado trading",S333,0))</f>
        <v/>
      </c>
      <c r="X333" s="52">
        <f>IF(OR(P333="Gasto",P333="Reembolso"),IF(M333&lt;&gt;"",M333,IFERROR(INDEX(catClasif,MATCH(D333&amp;"|"&amp;E333,catClave,0))&amp;"","Variable")),"")</f>
        <v/>
      </c>
      <c r="Y333" s="52">
        <f>IF(P333="","",IFERROR(INDEX(catGrupo,MATCH(D333&amp;"|"&amp;E333,catClave,0))&amp;"",""))</f>
        <v/>
      </c>
      <c r="Z333" s="52">
        <f>IF(P333="","",WEEKDAY(B333,2))</f>
        <v/>
      </c>
      <c r="AA333" s="52">
        <f>IF(P333="","",IF(AND(P333="Gasto",X333="Variable",D333&lt;&gt;catTrading,S333&gt;0,S333&lt;=Umbral),1,0))</f>
        <v/>
      </c>
      <c r="AB333" s="52">
        <f>IF(OR(P333="",Q333=""),"",IFERROR(IF(INDEX(ctaVinc,MATCH(Q333,ctaNombre,0))&amp;""&lt;&gt;"",INDEX(ctaVinc,MATCH(Q333,ctaNombre,0))&amp;"",Q333),Q333))</f>
        <v/>
      </c>
      <c r="AC333" s="52">
        <f>IF(OR(K333="",AND(P333&lt;&gt;"Transferencia",P333&lt;&gt;"Pago tarjeta")),"",IFERROR(IF(INDEX(ctaVinc,MATCH(K333,ctaNombre,0))&amp;""&lt;&gt;"",INDEX(ctaVinc,MATCH(K333,ctaNombre,0))&amp;"",K333),K333))</f>
        <v/>
      </c>
      <c r="AD333" s="52">
        <f>IF(AB333="","",IFERROR(INDEX(ctaTipo,MATCH(AB333,ctaNombre,0))&amp;"",""))</f>
        <v/>
      </c>
      <c r="AE333" s="52">
        <f>IF(AC333="","",IFERROR(INDEX(ctaTipo,MATCH(AC333,ctaNombre,0))&amp;"",""))</f>
        <v/>
      </c>
      <c r="AF333" s="53">
        <f>IF(OR(P333="",AB333=""),"",IF(OR(P333="Gasto",P333="Transferencia",P333="Pago tarjeta"),-1,1)*IF(IFERROR(INDEX(ctaMoneda,MATCH(AB333,ctaNombre,0))&amp;"","DOP")="USD",T333,S333))</f>
        <v/>
      </c>
      <c r="AG333" s="53">
        <f>IF(AC333="","",IF(IFERROR(INDEX(ctaMoneda,MATCH(AC333,ctaNombre,0))&amp;"","DOP")="USD",T333,S333))</f>
        <v/>
      </c>
      <c r="AH333" s="53">
        <f>IF(P333="","",IF(AND(AD333&lt;&gt;"",COUNTIFS(tcTipo,AD333,tcLiq,"Sí")&gt;0),IF(OR(P333="Gasto",P333="Transferencia",P333="Pago tarjeta"),-1,1)*S333,0)+IF(AND(AE333&lt;&gt;"",COUNTIFS(tcTipo,AE333,tcLiq,"Sí")&gt;0),S333,0))</f>
        <v/>
      </c>
      <c r="AI333" s="52">
        <f>IF(OR(L333="",P333=""),"",IF(COUNTIFS(L$6:L333,L333,P$6:P333,"?*")=1,MAX(AI$5:AI332)+1,""))</f>
        <v/>
      </c>
    </row>
    <row r="334">
      <c r="B334" s="47" t="n"/>
      <c r="C334" s="48" t="n"/>
      <c r="D334" s="48" t="n"/>
      <c r="E334" s="48" t="n"/>
      <c r="F334" s="48" t="n"/>
      <c r="G334" s="49" t="n"/>
      <c r="H334" s="48" t="n"/>
      <c r="I334" s="50" t="n"/>
      <c r="J334" s="48" t="n"/>
      <c r="K334" s="48" t="n"/>
      <c r="L334" s="48" t="n"/>
      <c r="M334" s="48" t="n"/>
      <c r="N334" s="48" t="n"/>
      <c r="O334" s="51">
        <f>IF(AND(B334="",G334="",C334="",D334="",J334=""),"",IF(B334="","⚠ Falta fecha",IF(G334="","⚠ Falta monto",IF(Q334="","⚠ Falta cuenta",IF(ISNA(MATCH(Q334,ctaNombre,0)),"⚠ Cuenta no registrada",IF(AND(OR(P334="Gasto",P334="Reembolso"),D334=""),"⚠ Falta categoría",IF(AND(D334&lt;&gt;"",E334&lt;&gt;"",ISNA(MATCH(D334&amp;"|"&amp;E334,catClave,0))),"⚠ Subcategoría no corresponde",IF(AND(OR(P334="Transferencia",P334="Pago tarjeta"),K334=""),"⚠ Falta cuenta destino",IF(AND(K334&lt;&gt;"",P334&lt;&gt;"Transferencia",P334&lt;&gt;"Pago tarjeta"),"⚠ Destino solo aplica a transferencias",IF(AND(K334&lt;&gt;"",K334=Q334),"⚠ Origen igual a destino",IF(AND(K334&lt;&gt;"",ISNA(MATCH(K334,ctaNombre,0))),"⚠ Destino no registrado",IF(AND(P334="Pago tarjeta",AE334&lt;&gt;"Tarjeta de crédito"),"⚠ El destino debe ser tarjeta de crédito",IF(AND(P334="Gasto",E334="Depósitos y retiros"),"⚠ Usa tipo Transferencia",IF(AND(P334="Resultado trading",AD334&lt;&gt;"Cuenta de trading"),"⚠ Usa una cuenta de trading",IF(AND(G334&lt;=0,P334&lt;&gt;"Ajuste",P334&lt;&gt;"Resultado trading"),"⚠ El monto debe ser positivo","✓")))))))))))))))</f>
        <v/>
      </c>
      <c r="P334" s="52">
        <f>IF(OR(B334="",G334=""),"",IF(C334="","Gasto",C334))</f>
        <v/>
      </c>
      <c r="Q334" s="52">
        <f>IF(P334="","",IF(J334&lt;&gt;"",J334,CuentaPred&amp;""))</f>
        <v/>
      </c>
      <c r="R334" s="52">
        <f>IF(P334="","",IF(ISNUMBER(I334),I334,TasaUSD))</f>
        <v/>
      </c>
      <c r="S334" s="53">
        <f>IF(P334="","",IF(H334="USD",G334*R334,G334))</f>
        <v/>
      </c>
      <c r="T334" s="53">
        <f>IF(P334="","",IF(H334="USD",G334,IF(R334&gt;0,G334/R334,0)))</f>
        <v/>
      </c>
      <c r="U334" s="53">
        <f>IF(P334="","",IF(P334="Gasto",S334,IF(P334="Reembolso",-S334,0)))</f>
        <v/>
      </c>
      <c r="V334" s="53">
        <f>IF(P334="","",IF(P334="Ingreso",S334,0))</f>
        <v/>
      </c>
      <c r="W334" s="53">
        <f>IF(P334="","",IF(P334="Resultado trading",S334,0))</f>
        <v/>
      </c>
      <c r="X334" s="52">
        <f>IF(OR(P334="Gasto",P334="Reembolso"),IF(M334&lt;&gt;"",M334,IFERROR(INDEX(catClasif,MATCH(D334&amp;"|"&amp;E334,catClave,0))&amp;"","Variable")),"")</f>
        <v/>
      </c>
      <c r="Y334" s="52">
        <f>IF(P334="","",IFERROR(INDEX(catGrupo,MATCH(D334&amp;"|"&amp;E334,catClave,0))&amp;"",""))</f>
        <v/>
      </c>
      <c r="Z334" s="52">
        <f>IF(P334="","",WEEKDAY(B334,2))</f>
        <v/>
      </c>
      <c r="AA334" s="52">
        <f>IF(P334="","",IF(AND(P334="Gasto",X334="Variable",D334&lt;&gt;catTrading,S334&gt;0,S334&lt;=Umbral),1,0))</f>
        <v/>
      </c>
      <c r="AB334" s="52">
        <f>IF(OR(P334="",Q334=""),"",IFERROR(IF(INDEX(ctaVinc,MATCH(Q334,ctaNombre,0))&amp;""&lt;&gt;"",INDEX(ctaVinc,MATCH(Q334,ctaNombre,0))&amp;"",Q334),Q334))</f>
        <v/>
      </c>
      <c r="AC334" s="52">
        <f>IF(OR(K334="",AND(P334&lt;&gt;"Transferencia",P334&lt;&gt;"Pago tarjeta")),"",IFERROR(IF(INDEX(ctaVinc,MATCH(K334,ctaNombre,0))&amp;""&lt;&gt;"",INDEX(ctaVinc,MATCH(K334,ctaNombre,0))&amp;"",K334),K334))</f>
        <v/>
      </c>
      <c r="AD334" s="52">
        <f>IF(AB334="","",IFERROR(INDEX(ctaTipo,MATCH(AB334,ctaNombre,0))&amp;"",""))</f>
        <v/>
      </c>
      <c r="AE334" s="52">
        <f>IF(AC334="","",IFERROR(INDEX(ctaTipo,MATCH(AC334,ctaNombre,0))&amp;"",""))</f>
        <v/>
      </c>
      <c r="AF334" s="53">
        <f>IF(OR(P334="",AB334=""),"",IF(OR(P334="Gasto",P334="Transferencia",P334="Pago tarjeta"),-1,1)*IF(IFERROR(INDEX(ctaMoneda,MATCH(AB334,ctaNombre,0))&amp;"","DOP")="USD",T334,S334))</f>
        <v/>
      </c>
      <c r="AG334" s="53">
        <f>IF(AC334="","",IF(IFERROR(INDEX(ctaMoneda,MATCH(AC334,ctaNombre,0))&amp;"","DOP")="USD",T334,S334))</f>
        <v/>
      </c>
      <c r="AH334" s="53">
        <f>IF(P334="","",IF(AND(AD334&lt;&gt;"",COUNTIFS(tcTipo,AD334,tcLiq,"Sí")&gt;0),IF(OR(P334="Gasto",P334="Transferencia",P334="Pago tarjeta"),-1,1)*S334,0)+IF(AND(AE334&lt;&gt;"",COUNTIFS(tcTipo,AE334,tcLiq,"Sí")&gt;0),S334,0))</f>
        <v/>
      </c>
      <c r="AI334" s="52">
        <f>IF(OR(L334="",P334=""),"",IF(COUNTIFS(L$6:L334,L334,P$6:P334,"?*")=1,MAX(AI$5:AI333)+1,""))</f>
        <v/>
      </c>
    </row>
    <row r="335">
      <c r="B335" s="47" t="n"/>
      <c r="C335" s="48" t="n"/>
      <c r="D335" s="48" t="n"/>
      <c r="E335" s="48" t="n"/>
      <c r="F335" s="48" t="n"/>
      <c r="G335" s="49" t="n"/>
      <c r="H335" s="48" t="n"/>
      <c r="I335" s="50" t="n"/>
      <c r="J335" s="48" t="n"/>
      <c r="K335" s="48" t="n"/>
      <c r="L335" s="48" t="n"/>
      <c r="M335" s="48" t="n"/>
      <c r="N335" s="48" t="n"/>
      <c r="O335" s="51">
        <f>IF(AND(B335="",G335="",C335="",D335="",J335=""),"",IF(B335="","⚠ Falta fecha",IF(G335="","⚠ Falta monto",IF(Q335="","⚠ Falta cuenta",IF(ISNA(MATCH(Q335,ctaNombre,0)),"⚠ Cuenta no registrada",IF(AND(OR(P335="Gasto",P335="Reembolso"),D335=""),"⚠ Falta categoría",IF(AND(D335&lt;&gt;"",E335&lt;&gt;"",ISNA(MATCH(D335&amp;"|"&amp;E335,catClave,0))),"⚠ Subcategoría no corresponde",IF(AND(OR(P335="Transferencia",P335="Pago tarjeta"),K335=""),"⚠ Falta cuenta destino",IF(AND(K335&lt;&gt;"",P335&lt;&gt;"Transferencia",P335&lt;&gt;"Pago tarjeta"),"⚠ Destino solo aplica a transferencias",IF(AND(K335&lt;&gt;"",K335=Q335),"⚠ Origen igual a destino",IF(AND(K335&lt;&gt;"",ISNA(MATCH(K335,ctaNombre,0))),"⚠ Destino no registrado",IF(AND(P335="Pago tarjeta",AE335&lt;&gt;"Tarjeta de crédito"),"⚠ El destino debe ser tarjeta de crédito",IF(AND(P335="Gasto",E335="Depósitos y retiros"),"⚠ Usa tipo Transferencia",IF(AND(P335="Resultado trading",AD335&lt;&gt;"Cuenta de trading"),"⚠ Usa una cuenta de trading",IF(AND(G335&lt;=0,P335&lt;&gt;"Ajuste",P335&lt;&gt;"Resultado trading"),"⚠ El monto debe ser positivo","✓")))))))))))))))</f>
        <v/>
      </c>
      <c r="P335" s="52">
        <f>IF(OR(B335="",G335=""),"",IF(C335="","Gasto",C335))</f>
        <v/>
      </c>
      <c r="Q335" s="52">
        <f>IF(P335="","",IF(J335&lt;&gt;"",J335,CuentaPred&amp;""))</f>
        <v/>
      </c>
      <c r="R335" s="52">
        <f>IF(P335="","",IF(ISNUMBER(I335),I335,TasaUSD))</f>
        <v/>
      </c>
      <c r="S335" s="53">
        <f>IF(P335="","",IF(H335="USD",G335*R335,G335))</f>
        <v/>
      </c>
      <c r="T335" s="53">
        <f>IF(P335="","",IF(H335="USD",G335,IF(R335&gt;0,G335/R335,0)))</f>
        <v/>
      </c>
      <c r="U335" s="53">
        <f>IF(P335="","",IF(P335="Gasto",S335,IF(P335="Reembolso",-S335,0)))</f>
        <v/>
      </c>
      <c r="V335" s="53">
        <f>IF(P335="","",IF(P335="Ingreso",S335,0))</f>
        <v/>
      </c>
      <c r="W335" s="53">
        <f>IF(P335="","",IF(P335="Resultado trading",S335,0))</f>
        <v/>
      </c>
      <c r="X335" s="52">
        <f>IF(OR(P335="Gasto",P335="Reembolso"),IF(M335&lt;&gt;"",M335,IFERROR(INDEX(catClasif,MATCH(D335&amp;"|"&amp;E335,catClave,0))&amp;"","Variable")),"")</f>
        <v/>
      </c>
      <c r="Y335" s="52">
        <f>IF(P335="","",IFERROR(INDEX(catGrupo,MATCH(D335&amp;"|"&amp;E335,catClave,0))&amp;"",""))</f>
        <v/>
      </c>
      <c r="Z335" s="52">
        <f>IF(P335="","",WEEKDAY(B335,2))</f>
        <v/>
      </c>
      <c r="AA335" s="52">
        <f>IF(P335="","",IF(AND(P335="Gasto",X335="Variable",D335&lt;&gt;catTrading,S335&gt;0,S335&lt;=Umbral),1,0))</f>
        <v/>
      </c>
      <c r="AB335" s="52">
        <f>IF(OR(P335="",Q335=""),"",IFERROR(IF(INDEX(ctaVinc,MATCH(Q335,ctaNombre,0))&amp;""&lt;&gt;"",INDEX(ctaVinc,MATCH(Q335,ctaNombre,0))&amp;"",Q335),Q335))</f>
        <v/>
      </c>
      <c r="AC335" s="52">
        <f>IF(OR(K335="",AND(P335&lt;&gt;"Transferencia",P335&lt;&gt;"Pago tarjeta")),"",IFERROR(IF(INDEX(ctaVinc,MATCH(K335,ctaNombre,0))&amp;""&lt;&gt;"",INDEX(ctaVinc,MATCH(K335,ctaNombre,0))&amp;"",K335),K335))</f>
        <v/>
      </c>
      <c r="AD335" s="52">
        <f>IF(AB335="","",IFERROR(INDEX(ctaTipo,MATCH(AB335,ctaNombre,0))&amp;"",""))</f>
        <v/>
      </c>
      <c r="AE335" s="52">
        <f>IF(AC335="","",IFERROR(INDEX(ctaTipo,MATCH(AC335,ctaNombre,0))&amp;"",""))</f>
        <v/>
      </c>
      <c r="AF335" s="53">
        <f>IF(OR(P335="",AB335=""),"",IF(OR(P335="Gasto",P335="Transferencia",P335="Pago tarjeta"),-1,1)*IF(IFERROR(INDEX(ctaMoneda,MATCH(AB335,ctaNombre,0))&amp;"","DOP")="USD",T335,S335))</f>
        <v/>
      </c>
      <c r="AG335" s="53">
        <f>IF(AC335="","",IF(IFERROR(INDEX(ctaMoneda,MATCH(AC335,ctaNombre,0))&amp;"","DOP")="USD",T335,S335))</f>
        <v/>
      </c>
      <c r="AH335" s="53">
        <f>IF(P335="","",IF(AND(AD335&lt;&gt;"",COUNTIFS(tcTipo,AD335,tcLiq,"Sí")&gt;0),IF(OR(P335="Gasto",P335="Transferencia",P335="Pago tarjeta"),-1,1)*S335,0)+IF(AND(AE335&lt;&gt;"",COUNTIFS(tcTipo,AE335,tcLiq,"Sí")&gt;0),S335,0))</f>
        <v/>
      </c>
      <c r="AI335" s="52">
        <f>IF(OR(L335="",P335=""),"",IF(COUNTIFS(L$6:L335,L335,P$6:P335,"?*")=1,MAX(AI$5:AI334)+1,""))</f>
        <v/>
      </c>
    </row>
    <row r="336">
      <c r="B336" s="47" t="n"/>
      <c r="C336" s="48" t="n"/>
      <c r="D336" s="48" t="n"/>
      <c r="E336" s="48" t="n"/>
      <c r="F336" s="48" t="n"/>
      <c r="G336" s="49" t="n"/>
      <c r="H336" s="48" t="n"/>
      <c r="I336" s="50" t="n"/>
      <c r="J336" s="48" t="n"/>
      <c r="K336" s="48" t="n"/>
      <c r="L336" s="48" t="n"/>
      <c r="M336" s="48" t="n"/>
      <c r="N336" s="48" t="n"/>
      <c r="O336" s="51">
        <f>IF(AND(B336="",G336="",C336="",D336="",J336=""),"",IF(B336="","⚠ Falta fecha",IF(G336="","⚠ Falta monto",IF(Q336="","⚠ Falta cuenta",IF(ISNA(MATCH(Q336,ctaNombre,0)),"⚠ Cuenta no registrada",IF(AND(OR(P336="Gasto",P336="Reembolso"),D336=""),"⚠ Falta categoría",IF(AND(D336&lt;&gt;"",E336&lt;&gt;"",ISNA(MATCH(D336&amp;"|"&amp;E336,catClave,0))),"⚠ Subcategoría no corresponde",IF(AND(OR(P336="Transferencia",P336="Pago tarjeta"),K336=""),"⚠ Falta cuenta destino",IF(AND(K336&lt;&gt;"",P336&lt;&gt;"Transferencia",P336&lt;&gt;"Pago tarjeta"),"⚠ Destino solo aplica a transferencias",IF(AND(K336&lt;&gt;"",K336=Q336),"⚠ Origen igual a destino",IF(AND(K336&lt;&gt;"",ISNA(MATCH(K336,ctaNombre,0))),"⚠ Destino no registrado",IF(AND(P336="Pago tarjeta",AE336&lt;&gt;"Tarjeta de crédito"),"⚠ El destino debe ser tarjeta de crédito",IF(AND(P336="Gasto",E336="Depósitos y retiros"),"⚠ Usa tipo Transferencia",IF(AND(P336="Resultado trading",AD336&lt;&gt;"Cuenta de trading"),"⚠ Usa una cuenta de trading",IF(AND(G336&lt;=0,P336&lt;&gt;"Ajuste",P336&lt;&gt;"Resultado trading"),"⚠ El monto debe ser positivo","✓")))))))))))))))</f>
        <v/>
      </c>
      <c r="P336" s="52">
        <f>IF(OR(B336="",G336=""),"",IF(C336="","Gasto",C336))</f>
        <v/>
      </c>
      <c r="Q336" s="52">
        <f>IF(P336="","",IF(J336&lt;&gt;"",J336,CuentaPred&amp;""))</f>
        <v/>
      </c>
      <c r="R336" s="52">
        <f>IF(P336="","",IF(ISNUMBER(I336),I336,TasaUSD))</f>
        <v/>
      </c>
      <c r="S336" s="53">
        <f>IF(P336="","",IF(H336="USD",G336*R336,G336))</f>
        <v/>
      </c>
      <c r="T336" s="53">
        <f>IF(P336="","",IF(H336="USD",G336,IF(R336&gt;0,G336/R336,0)))</f>
        <v/>
      </c>
      <c r="U336" s="53">
        <f>IF(P336="","",IF(P336="Gasto",S336,IF(P336="Reembolso",-S336,0)))</f>
        <v/>
      </c>
      <c r="V336" s="53">
        <f>IF(P336="","",IF(P336="Ingreso",S336,0))</f>
        <v/>
      </c>
      <c r="W336" s="53">
        <f>IF(P336="","",IF(P336="Resultado trading",S336,0))</f>
        <v/>
      </c>
      <c r="X336" s="52">
        <f>IF(OR(P336="Gasto",P336="Reembolso"),IF(M336&lt;&gt;"",M336,IFERROR(INDEX(catClasif,MATCH(D336&amp;"|"&amp;E336,catClave,0))&amp;"","Variable")),"")</f>
        <v/>
      </c>
      <c r="Y336" s="52">
        <f>IF(P336="","",IFERROR(INDEX(catGrupo,MATCH(D336&amp;"|"&amp;E336,catClave,0))&amp;"",""))</f>
        <v/>
      </c>
      <c r="Z336" s="52">
        <f>IF(P336="","",WEEKDAY(B336,2))</f>
        <v/>
      </c>
      <c r="AA336" s="52">
        <f>IF(P336="","",IF(AND(P336="Gasto",X336="Variable",D336&lt;&gt;catTrading,S336&gt;0,S336&lt;=Umbral),1,0))</f>
        <v/>
      </c>
      <c r="AB336" s="52">
        <f>IF(OR(P336="",Q336=""),"",IFERROR(IF(INDEX(ctaVinc,MATCH(Q336,ctaNombre,0))&amp;""&lt;&gt;"",INDEX(ctaVinc,MATCH(Q336,ctaNombre,0))&amp;"",Q336),Q336))</f>
        <v/>
      </c>
      <c r="AC336" s="52">
        <f>IF(OR(K336="",AND(P336&lt;&gt;"Transferencia",P336&lt;&gt;"Pago tarjeta")),"",IFERROR(IF(INDEX(ctaVinc,MATCH(K336,ctaNombre,0))&amp;""&lt;&gt;"",INDEX(ctaVinc,MATCH(K336,ctaNombre,0))&amp;"",K336),K336))</f>
        <v/>
      </c>
      <c r="AD336" s="52">
        <f>IF(AB336="","",IFERROR(INDEX(ctaTipo,MATCH(AB336,ctaNombre,0))&amp;"",""))</f>
        <v/>
      </c>
      <c r="AE336" s="52">
        <f>IF(AC336="","",IFERROR(INDEX(ctaTipo,MATCH(AC336,ctaNombre,0))&amp;"",""))</f>
        <v/>
      </c>
      <c r="AF336" s="53">
        <f>IF(OR(P336="",AB336=""),"",IF(OR(P336="Gasto",P336="Transferencia",P336="Pago tarjeta"),-1,1)*IF(IFERROR(INDEX(ctaMoneda,MATCH(AB336,ctaNombre,0))&amp;"","DOP")="USD",T336,S336))</f>
        <v/>
      </c>
      <c r="AG336" s="53">
        <f>IF(AC336="","",IF(IFERROR(INDEX(ctaMoneda,MATCH(AC336,ctaNombre,0))&amp;"","DOP")="USD",T336,S336))</f>
        <v/>
      </c>
      <c r="AH336" s="53">
        <f>IF(P336="","",IF(AND(AD336&lt;&gt;"",COUNTIFS(tcTipo,AD336,tcLiq,"Sí")&gt;0),IF(OR(P336="Gasto",P336="Transferencia",P336="Pago tarjeta"),-1,1)*S336,0)+IF(AND(AE336&lt;&gt;"",COUNTIFS(tcTipo,AE336,tcLiq,"Sí")&gt;0),S336,0))</f>
        <v/>
      </c>
      <c r="AI336" s="52">
        <f>IF(OR(L336="",P336=""),"",IF(COUNTIFS(L$6:L336,L336,P$6:P336,"?*")=1,MAX(AI$5:AI335)+1,""))</f>
        <v/>
      </c>
    </row>
    <row r="337">
      <c r="B337" s="47" t="n"/>
      <c r="C337" s="48" t="n"/>
      <c r="D337" s="48" t="n"/>
      <c r="E337" s="48" t="n"/>
      <c r="F337" s="48" t="n"/>
      <c r="G337" s="49" t="n"/>
      <c r="H337" s="48" t="n"/>
      <c r="I337" s="50" t="n"/>
      <c r="J337" s="48" t="n"/>
      <c r="K337" s="48" t="n"/>
      <c r="L337" s="48" t="n"/>
      <c r="M337" s="48" t="n"/>
      <c r="N337" s="48" t="n"/>
      <c r="O337" s="51">
        <f>IF(AND(B337="",G337="",C337="",D337="",J337=""),"",IF(B337="","⚠ Falta fecha",IF(G337="","⚠ Falta monto",IF(Q337="","⚠ Falta cuenta",IF(ISNA(MATCH(Q337,ctaNombre,0)),"⚠ Cuenta no registrada",IF(AND(OR(P337="Gasto",P337="Reembolso"),D337=""),"⚠ Falta categoría",IF(AND(D337&lt;&gt;"",E337&lt;&gt;"",ISNA(MATCH(D337&amp;"|"&amp;E337,catClave,0))),"⚠ Subcategoría no corresponde",IF(AND(OR(P337="Transferencia",P337="Pago tarjeta"),K337=""),"⚠ Falta cuenta destino",IF(AND(K337&lt;&gt;"",P337&lt;&gt;"Transferencia",P337&lt;&gt;"Pago tarjeta"),"⚠ Destino solo aplica a transferencias",IF(AND(K337&lt;&gt;"",K337=Q337),"⚠ Origen igual a destino",IF(AND(K337&lt;&gt;"",ISNA(MATCH(K337,ctaNombre,0))),"⚠ Destino no registrado",IF(AND(P337="Pago tarjeta",AE337&lt;&gt;"Tarjeta de crédito"),"⚠ El destino debe ser tarjeta de crédito",IF(AND(P337="Gasto",E337="Depósitos y retiros"),"⚠ Usa tipo Transferencia",IF(AND(P337="Resultado trading",AD337&lt;&gt;"Cuenta de trading"),"⚠ Usa una cuenta de trading",IF(AND(G337&lt;=0,P337&lt;&gt;"Ajuste",P337&lt;&gt;"Resultado trading"),"⚠ El monto debe ser positivo","✓")))))))))))))))</f>
        <v/>
      </c>
      <c r="P337" s="52">
        <f>IF(OR(B337="",G337=""),"",IF(C337="","Gasto",C337))</f>
        <v/>
      </c>
      <c r="Q337" s="52">
        <f>IF(P337="","",IF(J337&lt;&gt;"",J337,CuentaPred&amp;""))</f>
        <v/>
      </c>
      <c r="R337" s="52">
        <f>IF(P337="","",IF(ISNUMBER(I337),I337,TasaUSD))</f>
        <v/>
      </c>
      <c r="S337" s="53">
        <f>IF(P337="","",IF(H337="USD",G337*R337,G337))</f>
        <v/>
      </c>
      <c r="T337" s="53">
        <f>IF(P337="","",IF(H337="USD",G337,IF(R337&gt;0,G337/R337,0)))</f>
        <v/>
      </c>
      <c r="U337" s="53">
        <f>IF(P337="","",IF(P337="Gasto",S337,IF(P337="Reembolso",-S337,0)))</f>
        <v/>
      </c>
      <c r="V337" s="53">
        <f>IF(P337="","",IF(P337="Ingreso",S337,0))</f>
        <v/>
      </c>
      <c r="W337" s="53">
        <f>IF(P337="","",IF(P337="Resultado trading",S337,0))</f>
        <v/>
      </c>
      <c r="X337" s="52">
        <f>IF(OR(P337="Gasto",P337="Reembolso"),IF(M337&lt;&gt;"",M337,IFERROR(INDEX(catClasif,MATCH(D337&amp;"|"&amp;E337,catClave,0))&amp;"","Variable")),"")</f>
        <v/>
      </c>
      <c r="Y337" s="52">
        <f>IF(P337="","",IFERROR(INDEX(catGrupo,MATCH(D337&amp;"|"&amp;E337,catClave,0))&amp;"",""))</f>
        <v/>
      </c>
      <c r="Z337" s="52">
        <f>IF(P337="","",WEEKDAY(B337,2))</f>
        <v/>
      </c>
      <c r="AA337" s="52">
        <f>IF(P337="","",IF(AND(P337="Gasto",X337="Variable",D337&lt;&gt;catTrading,S337&gt;0,S337&lt;=Umbral),1,0))</f>
        <v/>
      </c>
      <c r="AB337" s="52">
        <f>IF(OR(P337="",Q337=""),"",IFERROR(IF(INDEX(ctaVinc,MATCH(Q337,ctaNombre,0))&amp;""&lt;&gt;"",INDEX(ctaVinc,MATCH(Q337,ctaNombre,0))&amp;"",Q337),Q337))</f>
        <v/>
      </c>
      <c r="AC337" s="52">
        <f>IF(OR(K337="",AND(P337&lt;&gt;"Transferencia",P337&lt;&gt;"Pago tarjeta")),"",IFERROR(IF(INDEX(ctaVinc,MATCH(K337,ctaNombre,0))&amp;""&lt;&gt;"",INDEX(ctaVinc,MATCH(K337,ctaNombre,0))&amp;"",K337),K337))</f>
        <v/>
      </c>
      <c r="AD337" s="52">
        <f>IF(AB337="","",IFERROR(INDEX(ctaTipo,MATCH(AB337,ctaNombre,0))&amp;"",""))</f>
        <v/>
      </c>
      <c r="AE337" s="52">
        <f>IF(AC337="","",IFERROR(INDEX(ctaTipo,MATCH(AC337,ctaNombre,0))&amp;"",""))</f>
        <v/>
      </c>
      <c r="AF337" s="53">
        <f>IF(OR(P337="",AB337=""),"",IF(OR(P337="Gasto",P337="Transferencia",P337="Pago tarjeta"),-1,1)*IF(IFERROR(INDEX(ctaMoneda,MATCH(AB337,ctaNombre,0))&amp;"","DOP")="USD",T337,S337))</f>
        <v/>
      </c>
      <c r="AG337" s="53">
        <f>IF(AC337="","",IF(IFERROR(INDEX(ctaMoneda,MATCH(AC337,ctaNombre,0))&amp;"","DOP")="USD",T337,S337))</f>
        <v/>
      </c>
      <c r="AH337" s="53">
        <f>IF(P337="","",IF(AND(AD337&lt;&gt;"",COUNTIFS(tcTipo,AD337,tcLiq,"Sí")&gt;0),IF(OR(P337="Gasto",P337="Transferencia",P337="Pago tarjeta"),-1,1)*S337,0)+IF(AND(AE337&lt;&gt;"",COUNTIFS(tcTipo,AE337,tcLiq,"Sí")&gt;0),S337,0))</f>
        <v/>
      </c>
      <c r="AI337" s="52">
        <f>IF(OR(L337="",P337=""),"",IF(COUNTIFS(L$6:L337,L337,P$6:P337,"?*")=1,MAX(AI$5:AI336)+1,""))</f>
        <v/>
      </c>
    </row>
    <row r="338">
      <c r="B338" s="47" t="n"/>
      <c r="C338" s="48" t="n"/>
      <c r="D338" s="48" t="n"/>
      <c r="E338" s="48" t="n"/>
      <c r="F338" s="48" t="n"/>
      <c r="G338" s="49" t="n"/>
      <c r="H338" s="48" t="n"/>
      <c r="I338" s="50" t="n"/>
      <c r="J338" s="48" t="n"/>
      <c r="K338" s="48" t="n"/>
      <c r="L338" s="48" t="n"/>
      <c r="M338" s="48" t="n"/>
      <c r="N338" s="48" t="n"/>
      <c r="O338" s="51">
        <f>IF(AND(B338="",G338="",C338="",D338="",J338=""),"",IF(B338="","⚠ Falta fecha",IF(G338="","⚠ Falta monto",IF(Q338="","⚠ Falta cuenta",IF(ISNA(MATCH(Q338,ctaNombre,0)),"⚠ Cuenta no registrada",IF(AND(OR(P338="Gasto",P338="Reembolso"),D338=""),"⚠ Falta categoría",IF(AND(D338&lt;&gt;"",E338&lt;&gt;"",ISNA(MATCH(D338&amp;"|"&amp;E338,catClave,0))),"⚠ Subcategoría no corresponde",IF(AND(OR(P338="Transferencia",P338="Pago tarjeta"),K338=""),"⚠ Falta cuenta destino",IF(AND(K338&lt;&gt;"",P338&lt;&gt;"Transferencia",P338&lt;&gt;"Pago tarjeta"),"⚠ Destino solo aplica a transferencias",IF(AND(K338&lt;&gt;"",K338=Q338),"⚠ Origen igual a destino",IF(AND(K338&lt;&gt;"",ISNA(MATCH(K338,ctaNombre,0))),"⚠ Destino no registrado",IF(AND(P338="Pago tarjeta",AE338&lt;&gt;"Tarjeta de crédito"),"⚠ El destino debe ser tarjeta de crédito",IF(AND(P338="Gasto",E338="Depósitos y retiros"),"⚠ Usa tipo Transferencia",IF(AND(P338="Resultado trading",AD338&lt;&gt;"Cuenta de trading"),"⚠ Usa una cuenta de trading",IF(AND(G338&lt;=0,P338&lt;&gt;"Ajuste",P338&lt;&gt;"Resultado trading"),"⚠ El monto debe ser positivo","✓")))))))))))))))</f>
        <v/>
      </c>
      <c r="P338" s="52">
        <f>IF(OR(B338="",G338=""),"",IF(C338="","Gasto",C338))</f>
        <v/>
      </c>
      <c r="Q338" s="52">
        <f>IF(P338="","",IF(J338&lt;&gt;"",J338,CuentaPred&amp;""))</f>
        <v/>
      </c>
      <c r="R338" s="52">
        <f>IF(P338="","",IF(ISNUMBER(I338),I338,TasaUSD))</f>
        <v/>
      </c>
      <c r="S338" s="53">
        <f>IF(P338="","",IF(H338="USD",G338*R338,G338))</f>
        <v/>
      </c>
      <c r="T338" s="53">
        <f>IF(P338="","",IF(H338="USD",G338,IF(R338&gt;0,G338/R338,0)))</f>
        <v/>
      </c>
      <c r="U338" s="53">
        <f>IF(P338="","",IF(P338="Gasto",S338,IF(P338="Reembolso",-S338,0)))</f>
        <v/>
      </c>
      <c r="V338" s="53">
        <f>IF(P338="","",IF(P338="Ingreso",S338,0))</f>
        <v/>
      </c>
      <c r="W338" s="53">
        <f>IF(P338="","",IF(P338="Resultado trading",S338,0))</f>
        <v/>
      </c>
      <c r="X338" s="52">
        <f>IF(OR(P338="Gasto",P338="Reembolso"),IF(M338&lt;&gt;"",M338,IFERROR(INDEX(catClasif,MATCH(D338&amp;"|"&amp;E338,catClave,0))&amp;"","Variable")),"")</f>
        <v/>
      </c>
      <c r="Y338" s="52">
        <f>IF(P338="","",IFERROR(INDEX(catGrupo,MATCH(D338&amp;"|"&amp;E338,catClave,0))&amp;"",""))</f>
        <v/>
      </c>
      <c r="Z338" s="52">
        <f>IF(P338="","",WEEKDAY(B338,2))</f>
        <v/>
      </c>
      <c r="AA338" s="52">
        <f>IF(P338="","",IF(AND(P338="Gasto",X338="Variable",D338&lt;&gt;catTrading,S338&gt;0,S338&lt;=Umbral),1,0))</f>
        <v/>
      </c>
      <c r="AB338" s="52">
        <f>IF(OR(P338="",Q338=""),"",IFERROR(IF(INDEX(ctaVinc,MATCH(Q338,ctaNombre,0))&amp;""&lt;&gt;"",INDEX(ctaVinc,MATCH(Q338,ctaNombre,0))&amp;"",Q338),Q338))</f>
        <v/>
      </c>
      <c r="AC338" s="52">
        <f>IF(OR(K338="",AND(P338&lt;&gt;"Transferencia",P338&lt;&gt;"Pago tarjeta")),"",IFERROR(IF(INDEX(ctaVinc,MATCH(K338,ctaNombre,0))&amp;""&lt;&gt;"",INDEX(ctaVinc,MATCH(K338,ctaNombre,0))&amp;"",K338),K338))</f>
        <v/>
      </c>
      <c r="AD338" s="52">
        <f>IF(AB338="","",IFERROR(INDEX(ctaTipo,MATCH(AB338,ctaNombre,0))&amp;"",""))</f>
        <v/>
      </c>
      <c r="AE338" s="52">
        <f>IF(AC338="","",IFERROR(INDEX(ctaTipo,MATCH(AC338,ctaNombre,0))&amp;"",""))</f>
        <v/>
      </c>
      <c r="AF338" s="53">
        <f>IF(OR(P338="",AB338=""),"",IF(OR(P338="Gasto",P338="Transferencia",P338="Pago tarjeta"),-1,1)*IF(IFERROR(INDEX(ctaMoneda,MATCH(AB338,ctaNombre,0))&amp;"","DOP")="USD",T338,S338))</f>
        <v/>
      </c>
      <c r="AG338" s="53">
        <f>IF(AC338="","",IF(IFERROR(INDEX(ctaMoneda,MATCH(AC338,ctaNombre,0))&amp;"","DOP")="USD",T338,S338))</f>
        <v/>
      </c>
      <c r="AH338" s="53">
        <f>IF(P338="","",IF(AND(AD338&lt;&gt;"",COUNTIFS(tcTipo,AD338,tcLiq,"Sí")&gt;0),IF(OR(P338="Gasto",P338="Transferencia",P338="Pago tarjeta"),-1,1)*S338,0)+IF(AND(AE338&lt;&gt;"",COUNTIFS(tcTipo,AE338,tcLiq,"Sí")&gt;0),S338,0))</f>
        <v/>
      </c>
      <c r="AI338" s="52">
        <f>IF(OR(L338="",P338=""),"",IF(COUNTIFS(L$6:L338,L338,P$6:P338,"?*")=1,MAX(AI$5:AI337)+1,""))</f>
        <v/>
      </c>
    </row>
    <row r="339">
      <c r="B339" s="47" t="n"/>
      <c r="C339" s="48" t="n"/>
      <c r="D339" s="48" t="n"/>
      <c r="E339" s="48" t="n"/>
      <c r="F339" s="48" t="n"/>
      <c r="G339" s="49" t="n"/>
      <c r="H339" s="48" t="n"/>
      <c r="I339" s="50" t="n"/>
      <c r="J339" s="48" t="n"/>
      <c r="K339" s="48" t="n"/>
      <c r="L339" s="48" t="n"/>
      <c r="M339" s="48" t="n"/>
      <c r="N339" s="48" t="n"/>
      <c r="O339" s="51">
        <f>IF(AND(B339="",G339="",C339="",D339="",J339=""),"",IF(B339="","⚠ Falta fecha",IF(G339="","⚠ Falta monto",IF(Q339="","⚠ Falta cuenta",IF(ISNA(MATCH(Q339,ctaNombre,0)),"⚠ Cuenta no registrada",IF(AND(OR(P339="Gasto",P339="Reembolso"),D339=""),"⚠ Falta categoría",IF(AND(D339&lt;&gt;"",E339&lt;&gt;"",ISNA(MATCH(D339&amp;"|"&amp;E339,catClave,0))),"⚠ Subcategoría no corresponde",IF(AND(OR(P339="Transferencia",P339="Pago tarjeta"),K339=""),"⚠ Falta cuenta destino",IF(AND(K339&lt;&gt;"",P339&lt;&gt;"Transferencia",P339&lt;&gt;"Pago tarjeta"),"⚠ Destino solo aplica a transferencias",IF(AND(K339&lt;&gt;"",K339=Q339),"⚠ Origen igual a destino",IF(AND(K339&lt;&gt;"",ISNA(MATCH(K339,ctaNombre,0))),"⚠ Destino no registrado",IF(AND(P339="Pago tarjeta",AE339&lt;&gt;"Tarjeta de crédito"),"⚠ El destino debe ser tarjeta de crédito",IF(AND(P339="Gasto",E339="Depósitos y retiros"),"⚠ Usa tipo Transferencia",IF(AND(P339="Resultado trading",AD339&lt;&gt;"Cuenta de trading"),"⚠ Usa una cuenta de trading",IF(AND(G339&lt;=0,P339&lt;&gt;"Ajuste",P339&lt;&gt;"Resultado trading"),"⚠ El monto debe ser positivo","✓")))))))))))))))</f>
        <v/>
      </c>
      <c r="P339" s="52">
        <f>IF(OR(B339="",G339=""),"",IF(C339="","Gasto",C339))</f>
        <v/>
      </c>
      <c r="Q339" s="52">
        <f>IF(P339="","",IF(J339&lt;&gt;"",J339,CuentaPred&amp;""))</f>
        <v/>
      </c>
      <c r="R339" s="52">
        <f>IF(P339="","",IF(ISNUMBER(I339),I339,TasaUSD))</f>
        <v/>
      </c>
      <c r="S339" s="53">
        <f>IF(P339="","",IF(H339="USD",G339*R339,G339))</f>
        <v/>
      </c>
      <c r="T339" s="53">
        <f>IF(P339="","",IF(H339="USD",G339,IF(R339&gt;0,G339/R339,0)))</f>
        <v/>
      </c>
      <c r="U339" s="53">
        <f>IF(P339="","",IF(P339="Gasto",S339,IF(P339="Reembolso",-S339,0)))</f>
        <v/>
      </c>
      <c r="V339" s="53">
        <f>IF(P339="","",IF(P339="Ingreso",S339,0))</f>
        <v/>
      </c>
      <c r="W339" s="53">
        <f>IF(P339="","",IF(P339="Resultado trading",S339,0))</f>
        <v/>
      </c>
      <c r="X339" s="52">
        <f>IF(OR(P339="Gasto",P339="Reembolso"),IF(M339&lt;&gt;"",M339,IFERROR(INDEX(catClasif,MATCH(D339&amp;"|"&amp;E339,catClave,0))&amp;"","Variable")),"")</f>
        <v/>
      </c>
      <c r="Y339" s="52">
        <f>IF(P339="","",IFERROR(INDEX(catGrupo,MATCH(D339&amp;"|"&amp;E339,catClave,0))&amp;"",""))</f>
        <v/>
      </c>
      <c r="Z339" s="52">
        <f>IF(P339="","",WEEKDAY(B339,2))</f>
        <v/>
      </c>
      <c r="AA339" s="52">
        <f>IF(P339="","",IF(AND(P339="Gasto",X339="Variable",D339&lt;&gt;catTrading,S339&gt;0,S339&lt;=Umbral),1,0))</f>
        <v/>
      </c>
      <c r="AB339" s="52">
        <f>IF(OR(P339="",Q339=""),"",IFERROR(IF(INDEX(ctaVinc,MATCH(Q339,ctaNombre,0))&amp;""&lt;&gt;"",INDEX(ctaVinc,MATCH(Q339,ctaNombre,0))&amp;"",Q339),Q339))</f>
        <v/>
      </c>
      <c r="AC339" s="52">
        <f>IF(OR(K339="",AND(P339&lt;&gt;"Transferencia",P339&lt;&gt;"Pago tarjeta")),"",IFERROR(IF(INDEX(ctaVinc,MATCH(K339,ctaNombre,0))&amp;""&lt;&gt;"",INDEX(ctaVinc,MATCH(K339,ctaNombre,0))&amp;"",K339),K339))</f>
        <v/>
      </c>
      <c r="AD339" s="52">
        <f>IF(AB339="","",IFERROR(INDEX(ctaTipo,MATCH(AB339,ctaNombre,0))&amp;"",""))</f>
        <v/>
      </c>
      <c r="AE339" s="52">
        <f>IF(AC339="","",IFERROR(INDEX(ctaTipo,MATCH(AC339,ctaNombre,0))&amp;"",""))</f>
        <v/>
      </c>
      <c r="AF339" s="53">
        <f>IF(OR(P339="",AB339=""),"",IF(OR(P339="Gasto",P339="Transferencia",P339="Pago tarjeta"),-1,1)*IF(IFERROR(INDEX(ctaMoneda,MATCH(AB339,ctaNombre,0))&amp;"","DOP")="USD",T339,S339))</f>
        <v/>
      </c>
      <c r="AG339" s="53">
        <f>IF(AC339="","",IF(IFERROR(INDEX(ctaMoneda,MATCH(AC339,ctaNombre,0))&amp;"","DOP")="USD",T339,S339))</f>
        <v/>
      </c>
      <c r="AH339" s="53">
        <f>IF(P339="","",IF(AND(AD339&lt;&gt;"",COUNTIFS(tcTipo,AD339,tcLiq,"Sí")&gt;0),IF(OR(P339="Gasto",P339="Transferencia",P339="Pago tarjeta"),-1,1)*S339,0)+IF(AND(AE339&lt;&gt;"",COUNTIFS(tcTipo,AE339,tcLiq,"Sí")&gt;0),S339,0))</f>
        <v/>
      </c>
      <c r="AI339" s="52">
        <f>IF(OR(L339="",P339=""),"",IF(COUNTIFS(L$6:L339,L339,P$6:P339,"?*")=1,MAX(AI$5:AI338)+1,""))</f>
        <v/>
      </c>
    </row>
    <row r="340">
      <c r="B340" s="47" t="n"/>
      <c r="C340" s="48" t="n"/>
      <c r="D340" s="48" t="n"/>
      <c r="E340" s="48" t="n"/>
      <c r="F340" s="48" t="n"/>
      <c r="G340" s="49" t="n"/>
      <c r="H340" s="48" t="n"/>
      <c r="I340" s="50" t="n"/>
      <c r="J340" s="48" t="n"/>
      <c r="K340" s="48" t="n"/>
      <c r="L340" s="48" t="n"/>
      <c r="M340" s="48" t="n"/>
      <c r="N340" s="48" t="n"/>
      <c r="O340" s="51">
        <f>IF(AND(B340="",G340="",C340="",D340="",J340=""),"",IF(B340="","⚠ Falta fecha",IF(G340="","⚠ Falta monto",IF(Q340="","⚠ Falta cuenta",IF(ISNA(MATCH(Q340,ctaNombre,0)),"⚠ Cuenta no registrada",IF(AND(OR(P340="Gasto",P340="Reembolso"),D340=""),"⚠ Falta categoría",IF(AND(D340&lt;&gt;"",E340&lt;&gt;"",ISNA(MATCH(D340&amp;"|"&amp;E340,catClave,0))),"⚠ Subcategoría no corresponde",IF(AND(OR(P340="Transferencia",P340="Pago tarjeta"),K340=""),"⚠ Falta cuenta destino",IF(AND(K340&lt;&gt;"",P340&lt;&gt;"Transferencia",P340&lt;&gt;"Pago tarjeta"),"⚠ Destino solo aplica a transferencias",IF(AND(K340&lt;&gt;"",K340=Q340),"⚠ Origen igual a destino",IF(AND(K340&lt;&gt;"",ISNA(MATCH(K340,ctaNombre,0))),"⚠ Destino no registrado",IF(AND(P340="Pago tarjeta",AE340&lt;&gt;"Tarjeta de crédito"),"⚠ El destino debe ser tarjeta de crédito",IF(AND(P340="Gasto",E340="Depósitos y retiros"),"⚠ Usa tipo Transferencia",IF(AND(P340="Resultado trading",AD340&lt;&gt;"Cuenta de trading"),"⚠ Usa una cuenta de trading",IF(AND(G340&lt;=0,P340&lt;&gt;"Ajuste",P340&lt;&gt;"Resultado trading"),"⚠ El monto debe ser positivo","✓")))))))))))))))</f>
        <v/>
      </c>
      <c r="P340" s="52">
        <f>IF(OR(B340="",G340=""),"",IF(C340="","Gasto",C340))</f>
        <v/>
      </c>
      <c r="Q340" s="52">
        <f>IF(P340="","",IF(J340&lt;&gt;"",J340,CuentaPred&amp;""))</f>
        <v/>
      </c>
      <c r="R340" s="52">
        <f>IF(P340="","",IF(ISNUMBER(I340),I340,TasaUSD))</f>
        <v/>
      </c>
      <c r="S340" s="53">
        <f>IF(P340="","",IF(H340="USD",G340*R340,G340))</f>
        <v/>
      </c>
      <c r="T340" s="53">
        <f>IF(P340="","",IF(H340="USD",G340,IF(R340&gt;0,G340/R340,0)))</f>
        <v/>
      </c>
      <c r="U340" s="53">
        <f>IF(P340="","",IF(P340="Gasto",S340,IF(P340="Reembolso",-S340,0)))</f>
        <v/>
      </c>
      <c r="V340" s="53">
        <f>IF(P340="","",IF(P340="Ingreso",S340,0))</f>
        <v/>
      </c>
      <c r="W340" s="53">
        <f>IF(P340="","",IF(P340="Resultado trading",S340,0))</f>
        <v/>
      </c>
      <c r="X340" s="52">
        <f>IF(OR(P340="Gasto",P340="Reembolso"),IF(M340&lt;&gt;"",M340,IFERROR(INDEX(catClasif,MATCH(D340&amp;"|"&amp;E340,catClave,0))&amp;"","Variable")),"")</f>
        <v/>
      </c>
      <c r="Y340" s="52">
        <f>IF(P340="","",IFERROR(INDEX(catGrupo,MATCH(D340&amp;"|"&amp;E340,catClave,0))&amp;"",""))</f>
        <v/>
      </c>
      <c r="Z340" s="52">
        <f>IF(P340="","",WEEKDAY(B340,2))</f>
        <v/>
      </c>
      <c r="AA340" s="52">
        <f>IF(P340="","",IF(AND(P340="Gasto",X340="Variable",D340&lt;&gt;catTrading,S340&gt;0,S340&lt;=Umbral),1,0))</f>
        <v/>
      </c>
      <c r="AB340" s="52">
        <f>IF(OR(P340="",Q340=""),"",IFERROR(IF(INDEX(ctaVinc,MATCH(Q340,ctaNombre,0))&amp;""&lt;&gt;"",INDEX(ctaVinc,MATCH(Q340,ctaNombre,0))&amp;"",Q340),Q340))</f>
        <v/>
      </c>
      <c r="AC340" s="52">
        <f>IF(OR(K340="",AND(P340&lt;&gt;"Transferencia",P340&lt;&gt;"Pago tarjeta")),"",IFERROR(IF(INDEX(ctaVinc,MATCH(K340,ctaNombre,0))&amp;""&lt;&gt;"",INDEX(ctaVinc,MATCH(K340,ctaNombre,0))&amp;"",K340),K340))</f>
        <v/>
      </c>
      <c r="AD340" s="52">
        <f>IF(AB340="","",IFERROR(INDEX(ctaTipo,MATCH(AB340,ctaNombre,0))&amp;"",""))</f>
        <v/>
      </c>
      <c r="AE340" s="52">
        <f>IF(AC340="","",IFERROR(INDEX(ctaTipo,MATCH(AC340,ctaNombre,0))&amp;"",""))</f>
        <v/>
      </c>
      <c r="AF340" s="53">
        <f>IF(OR(P340="",AB340=""),"",IF(OR(P340="Gasto",P340="Transferencia",P340="Pago tarjeta"),-1,1)*IF(IFERROR(INDEX(ctaMoneda,MATCH(AB340,ctaNombre,0))&amp;"","DOP")="USD",T340,S340))</f>
        <v/>
      </c>
      <c r="AG340" s="53">
        <f>IF(AC340="","",IF(IFERROR(INDEX(ctaMoneda,MATCH(AC340,ctaNombre,0))&amp;"","DOP")="USD",T340,S340))</f>
        <v/>
      </c>
      <c r="AH340" s="53">
        <f>IF(P340="","",IF(AND(AD340&lt;&gt;"",COUNTIFS(tcTipo,AD340,tcLiq,"Sí")&gt;0),IF(OR(P340="Gasto",P340="Transferencia",P340="Pago tarjeta"),-1,1)*S340,0)+IF(AND(AE340&lt;&gt;"",COUNTIFS(tcTipo,AE340,tcLiq,"Sí")&gt;0),S340,0))</f>
        <v/>
      </c>
      <c r="AI340" s="52">
        <f>IF(OR(L340="",P340=""),"",IF(COUNTIFS(L$6:L340,L340,P$6:P340,"?*")=1,MAX(AI$5:AI339)+1,""))</f>
        <v/>
      </c>
    </row>
    <row r="341">
      <c r="B341" s="47" t="n"/>
      <c r="C341" s="48" t="n"/>
      <c r="D341" s="48" t="n"/>
      <c r="E341" s="48" t="n"/>
      <c r="F341" s="48" t="n"/>
      <c r="G341" s="49" t="n"/>
      <c r="H341" s="48" t="n"/>
      <c r="I341" s="50" t="n"/>
      <c r="J341" s="48" t="n"/>
      <c r="K341" s="48" t="n"/>
      <c r="L341" s="48" t="n"/>
      <c r="M341" s="48" t="n"/>
      <c r="N341" s="48" t="n"/>
      <c r="O341" s="51">
        <f>IF(AND(B341="",G341="",C341="",D341="",J341=""),"",IF(B341="","⚠ Falta fecha",IF(G341="","⚠ Falta monto",IF(Q341="","⚠ Falta cuenta",IF(ISNA(MATCH(Q341,ctaNombre,0)),"⚠ Cuenta no registrada",IF(AND(OR(P341="Gasto",P341="Reembolso"),D341=""),"⚠ Falta categoría",IF(AND(D341&lt;&gt;"",E341&lt;&gt;"",ISNA(MATCH(D341&amp;"|"&amp;E341,catClave,0))),"⚠ Subcategoría no corresponde",IF(AND(OR(P341="Transferencia",P341="Pago tarjeta"),K341=""),"⚠ Falta cuenta destino",IF(AND(K341&lt;&gt;"",P341&lt;&gt;"Transferencia",P341&lt;&gt;"Pago tarjeta"),"⚠ Destino solo aplica a transferencias",IF(AND(K341&lt;&gt;"",K341=Q341),"⚠ Origen igual a destino",IF(AND(K341&lt;&gt;"",ISNA(MATCH(K341,ctaNombre,0))),"⚠ Destino no registrado",IF(AND(P341="Pago tarjeta",AE341&lt;&gt;"Tarjeta de crédito"),"⚠ El destino debe ser tarjeta de crédito",IF(AND(P341="Gasto",E341="Depósitos y retiros"),"⚠ Usa tipo Transferencia",IF(AND(P341="Resultado trading",AD341&lt;&gt;"Cuenta de trading"),"⚠ Usa una cuenta de trading",IF(AND(G341&lt;=0,P341&lt;&gt;"Ajuste",P341&lt;&gt;"Resultado trading"),"⚠ El monto debe ser positivo","✓")))))))))))))))</f>
        <v/>
      </c>
      <c r="P341" s="52">
        <f>IF(OR(B341="",G341=""),"",IF(C341="","Gasto",C341))</f>
        <v/>
      </c>
      <c r="Q341" s="52">
        <f>IF(P341="","",IF(J341&lt;&gt;"",J341,CuentaPred&amp;""))</f>
        <v/>
      </c>
      <c r="R341" s="52">
        <f>IF(P341="","",IF(ISNUMBER(I341),I341,TasaUSD))</f>
        <v/>
      </c>
      <c r="S341" s="53">
        <f>IF(P341="","",IF(H341="USD",G341*R341,G341))</f>
        <v/>
      </c>
      <c r="T341" s="53">
        <f>IF(P341="","",IF(H341="USD",G341,IF(R341&gt;0,G341/R341,0)))</f>
        <v/>
      </c>
      <c r="U341" s="53">
        <f>IF(P341="","",IF(P341="Gasto",S341,IF(P341="Reembolso",-S341,0)))</f>
        <v/>
      </c>
      <c r="V341" s="53">
        <f>IF(P341="","",IF(P341="Ingreso",S341,0))</f>
        <v/>
      </c>
      <c r="W341" s="53">
        <f>IF(P341="","",IF(P341="Resultado trading",S341,0))</f>
        <v/>
      </c>
      <c r="X341" s="52">
        <f>IF(OR(P341="Gasto",P341="Reembolso"),IF(M341&lt;&gt;"",M341,IFERROR(INDEX(catClasif,MATCH(D341&amp;"|"&amp;E341,catClave,0))&amp;"","Variable")),"")</f>
        <v/>
      </c>
      <c r="Y341" s="52">
        <f>IF(P341="","",IFERROR(INDEX(catGrupo,MATCH(D341&amp;"|"&amp;E341,catClave,0))&amp;"",""))</f>
        <v/>
      </c>
      <c r="Z341" s="52">
        <f>IF(P341="","",WEEKDAY(B341,2))</f>
        <v/>
      </c>
      <c r="AA341" s="52">
        <f>IF(P341="","",IF(AND(P341="Gasto",X341="Variable",D341&lt;&gt;catTrading,S341&gt;0,S341&lt;=Umbral),1,0))</f>
        <v/>
      </c>
      <c r="AB341" s="52">
        <f>IF(OR(P341="",Q341=""),"",IFERROR(IF(INDEX(ctaVinc,MATCH(Q341,ctaNombre,0))&amp;""&lt;&gt;"",INDEX(ctaVinc,MATCH(Q341,ctaNombre,0))&amp;"",Q341),Q341))</f>
        <v/>
      </c>
      <c r="AC341" s="52">
        <f>IF(OR(K341="",AND(P341&lt;&gt;"Transferencia",P341&lt;&gt;"Pago tarjeta")),"",IFERROR(IF(INDEX(ctaVinc,MATCH(K341,ctaNombre,0))&amp;""&lt;&gt;"",INDEX(ctaVinc,MATCH(K341,ctaNombre,0))&amp;"",K341),K341))</f>
        <v/>
      </c>
      <c r="AD341" s="52">
        <f>IF(AB341="","",IFERROR(INDEX(ctaTipo,MATCH(AB341,ctaNombre,0))&amp;"",""))</f>
        <v/>
      </c>
      <c r="AE341" s="52">
        <f>IF(AC341="","",IFERROR(INDEX(ctaTipo,MATCH(AC341,ctaNombre,0))&amp;"",""))</f>
        <v/>
      </c>
      <c r="AF341" s="53">
        <f>IF(OR(P341="",AB341=""),"",IF(OR(P341="Gasto",P341="Transferencia",P341="Pago tarjeta"),-1,1)*IF(IFERROR(INDEX(ctaMoneda,MATCH(AB341,ctaNombre,0))&amp;"","DOP")="USD",T341,S341))</f>
        <v/>
      </c>
      <c r="AG341" s="53">
        <f>IF(AC341="","",IF(IFERROR(INDEX(ctaMoneda,MATCH(AC341,ctaNombre,0))&amp;"","DOP")="USD",T341,S341))</f>
        <v/>
      </c>
      <c r="AH341" s="53">
        <f>IF(P341="","",IF(AND(AD341&lt;&gt;"",COUNTIFS(tcTipo,AD341,tcLiq,"Sí")&gt;0),IF(OR(P341="Gasto",P341="Transferencia",P341="Pago tarjeta"),-1,1)*S341,0)+IF(AND(AE341&lt;&gt;"",COUNTIFS(tcTipo,AE341,tcLiq,"Sí")&gt;0),S341,0))</f>
        <v/>
      </c>
      <c r="AI341" s="52">
        <f>IF(OR(L341="",P341=""),"",IF(COUNTIFS(L$6:L341,L341,P$6:P341,"?*")=1,MAX(AI$5:AI340)+1,""))</f>
        <v/>
      </c>
    </row>
    <row r="342">
      <c r="B342" s="47" t="n"/>
      <c r="C342" s="48" t="n"/>
      <c r="D342" s="48" t="n"/>
      <c r="E342" s="48" t="n"/>
      <c r="F342" s="48" t="n"/>
      <c r="G342" s="49" t="n"/>
      <c r="H342" s="48" t="n"/>
      <c r="I342" s="50" t="n"/>
      <c r="J342" s="48" t="n"/>
      <c r="K342" s="48" t="n"/>
      <c r="L342" s="48" t="n"/>
      <c r="M342" s="48" t="n"/>
      <c r="N342" s="48" t="n"/>
      <c r="O342" s="51">
        <f>IF(AND(B342="",G342="",C342="",D342="",J342=""),"",IF(B342="","⚠ Falta fecha",IF(G342="","⚠ Falta monto",IF(Q342="","⚠ Falta cuenta",IF(ISNA(MATCH(Q342,ctaNombre,0)),"⚠ Cuenta no registrada",IF(AND(OR(P342="Gasto",P342="Reembolso"),D342=""),"⚠ Falta categoría",IF(AND(D342&lt;&gt;"",E342&lt;&gt;"",ISNA(MATCH(D342&amp;"|"&amp;E342,catClave,0))),"⚠ Subcategoría no corresponde",IF(AND(OR(P342="Transferencia",P342="Pago tarjeta"),K342=""),"⚠ Falta cuenta destino",IF(AND(K342&lt;&gt;"",P342&lt;&gt;"Transferencia",P342&lt;&gt;"Pago tarjeta"),"⚠ Destino solo aplica a transferencias",IF(AND(K342&lt;&gt;"",K342=Q342),"⚠ Origen igual a destino",IF(AND(K342&lt;&gt;"",ISNA(MATCH(K342,ctaNombre,0))),"⚠ Destino no registrado",IF(AND(P342="Pago tarjeta",AE342&lt;&gt;"Tarjeta de crédito"),"⚠ El destino debe ser tarjeta de crédito",IF(AND(P342="Gasto",E342="Depósitos y retiros"),"⚠ Usa tipo Transferencia",IF(AND(P342="Resultado trading",AD342&lt;&gt;"Cuenta de trading"),"⚠ Usa una cuenta de trading",IF(AND(G342&lt;=0,P342&lt;&gt;"Ajuste",P342&lt;&gt;"Resultado trading"),"⚠ El monto debe ser positivo","✓")))))))))))))))</f>
        <v/>
      </c>
      <c r="P342" s="52">
        <f>IF(OR(B342="",G342=""),"",IF(C342="","Gasto",C342))</f>
        <v/>
      </c>
      <c r="Q342" s="52">
        <f>IF(P342="","",IF(J342&lt;&gt;"",J342,CuentaPred&amp;""))</f>
        <v/>
      </c>
      <c r="R342" s="52">
        <f>IF(P342="","",IF(ISNUMBER(I342),I342,TasaUSD))</f>
        <v/>
      </c>
      <c r="S342" s="53">
        <f>IF(P342="","",IF(H342="USD",G342*R342,G342))</f>
        <v/>
      </c>
      <c r="T342" s="53">
        <f>IF(P342="","",IF(H342="USD",G342,IF(R342&gt;0,G342/R342,0)))</f>
        <v/>
      </c>
      <c r="U342" s="53">
        <f>IF(P342="","",IF(P342="Gasto",S342,IF(P342="Reembolso",-S342,0)))</f>
        <v/>
      </c>
      <c r="V342" s="53">
        <f>IF(P342="","",IF(P342="Ingreso",S342,0))</f>
        <v/>
      </c>
      <c r="W342" s="53">
        <f>IF(P342="","",IF(P342="Resultado trading",S342,0))</f>
        <v/>
      </c>
      <c r="X342" s="52">
        <f>IF(OR(P342="Gasto",P342="Reembolso"),IF(M342&lt;&gt;"",M342,IFERROR(INDEX(catClasif,MATCH(D342&amp;"|"&amp;E342,catClave,0))&amp;"","Variable")),"")</f>
        <v/>
      </c>
      <c r="Y342" s="52">
        <f>IF(P342="","",IFERROR(INDEX(catGrupo,MATCH(D342&amp;"|"&amp;E342,catClave,0))&amp;"",""))</f>
        <v/>
      </c>
      <c r="Z342" s="52">
        <f>IF(P342="","",WEEKDAY(B342,2))</f>
        <v/>
      </c>
      <c r="AA342" s="52">
        <f>IF(P342="","",IF(AND(P342="Gasto",X342="Variable",D342&lt;&gt;catTrading,S342&gt;0,S342&lt;=Umbral),1,0))</f>
        <v/>
      </c>
      <c r="AB342" s="52">
        <f>IF(OR(P342="",Q342=""),"",IFERROR(IF(INDEX(ctaVinc,MATCH(Q342,ctaNombre,0))&amp;""&lt;&gt;"",INDEX(ctaVinc,MATCH(Q342,ctaNombre,0))&amp;"",Q342),Q342))</f>
        <v/>
      </c>
      <c r="AC342" s="52">
        <f>IF(OR(K342="",AND(P342&lt;&gt;"Transferencia",P342&lt;&gt;"Pago tarjeta")),"",IFERROR(IF(INDEX(ctaVinc,MATCH(K342,ctaNombre,0))&amp;""&lt;&gt;"",INDEX(ctaVinc,MATCH(K342,ctaNombre,0))&amp;"",K342),K342))</f>
        <v/>
      </c>
      <c r="AD342" s="52">
        <f>IF(AB342="","",IFERROR(INDEX(ctaTipo,MATCH(AB342,ctaNombre,0))&amp;"",""))</f>
        <v/>
      </c>
      <c r="AE342" s="52">
        <f>IF(AC342="","",IFERROR(INDEX(ctaTipo,MATCH(AC342,ctaNombre,0))&amp;"",""))</f>
        <v/>
      </c>
      <c r="AF342" s="53">
        <f>IF(OR(P342="",AB342=""),"",IF(OR(P342="Gasto",P342="Transferencia",P342="Pago tarjeta"),-1,1)*IF(IFERROR(INDEX(ctaMoneda,MATCH(AB342,ctaNombre,0))&amp;"","DOP")="USD",T342,S342))</f>
        <v/>
      </c>
      <c r="AG342" s="53">
        <f>IF(AC342="","",IF(IFERROR(INDEX(ctaMoneda,MATCH(AC342,ctaNombre,0))&amp;"","DOP")="USD",T342,S342))</f>
        <v/>
      </c>
      <c r="AH342" s="53">
        <f>IF(P342="","",IF(AND(AD342&lt;&gt;"",COUNTIFS(tcTipo,AD342,tcLiq,"Sí")&gt;0),IF(OR(P342="Gasto",P342="Transferencia",P342="Pago tarjeta"),-1,1)*S342,0)+IF(AND(AE342&lt;&gt;"",COUNTIFS(tcTipo,AE342,tcLiq,"Sí")&gt;0),S342,0))</f>
        <v/>
      </c>
      <c r="AI342" s="52">
        <f>IF(OR(L342="",P342=""),"",IF(COUNTIFS(L$6:L342,L342,P$6:P342,"?*")=1,MAX(AI$5:AI341)+1,""))</f>
        <v/>
      </c>
    </row>
    <row r="343">
      <c r="B343" s="47" t="n"/>
      <c r="C343" s="48" t="n"/>
      <c r="D343" s="48" t="n"/>
      <c r="E343" s="48" t="n"/>
      <c r="F343" s="48" t="n"/>
      <c r="G343" s="49" t="n"/>
      <c r="H343" s="48" t="n"/>
      <c r="I343" s="50" t="n"/>
      <c r="J343" s="48" t="n"/>
      <c r="K343" s="48" t="n"/>
      <c r="L343" s="48" t="n"/>
      <c r="M343" s="48" t="n"/>
      <c r="N343" s="48" t="n"/>
      <c r="O343" s="51">
        <f>IF(AND(B343="",G343="",C343="",D343="",J343=""),"",IF(B343="","⚠ Falta fecha",IF(G343="","⚠ Falta monto",IF(Q343="","⚠ Falta cuenta",IF(ISNA(MATCH(Q343,ctaNombre,0)),"⚠ Cuenta no registrada",IF(AND(OR(P343="Gasto",P343="Reembolso"),D343=""),"⚠ Falta categoría",IF(AND(D343&lt;&gt;"",E343&lt;&gt;"",ISNA(MATCH(D343&amp;"|"&amp;E343,catClave,0))),"⚠ Subcategoría no corresponde",IF(AND(OR(P343="Transferencia",P343="Pago tarjeta"),K343=""),"⚠ Falta cuenta destino",IF(AND(K343&lt;&gt;"",P343&lt;&gt;"Transferencia",P343&lt;&gt;"Pago tarjeta"),"⚠ Destino solo aplica a transferencias",IF(AND(K343&lt;&gt;"",K343=Q343),"⚠ Origen igual a destino",IF(AND(K343&lt;&gt;"",ISNA(MATCH(K343,ctaNombre,0))),"⚠ Destino no registrado",IF(AND(P343="Pago tarjeta",AE343&lt;&gt;"Tarjeta de crédito"),"⚠ El destino debe ser tarjeta de crédito",IF(AND(P343="Gasto",E343="Depósitos y retiros"),"⚠ Usa tipo Transferencia",IF(AND(P343="Resultado trading",AD343&lt;&gt;"Cuenta de trading"),"⚠ Usa una cuenta de trading",IF(AND(G343&lt;=0,P343&lt;&gt;"Ajuste",P343&lt;&gt;"Resultado trading"),"⚠ El monto debe ser positivo","✓")))))))))))))))</f>
        <v/>
      </c>
      <c r="P343" s="52">
        <f>IF(OR(B343="",G343=""),"",IF(C343="","Gasto",C343))</f>
        <v/>
      </c>
      <c r="Q343" s="52">
        <f>IF(P343="","",IF(J343&lt;&gt;"",J343,CuentaPred&amp;""))</f>
        <v/>
      </c>
      <c r="R343" s="52">
        <f>IF(P343="","",IF(ISNUMBER(I343),I343,TasaUSD))</f>
        <v/>
      </c>
      <c r="S343" s="53">
        <f>IF(P343="","",IF(H343="USD",G343*R343,G343))</f>
        <v/>
      </c>
      <c r="T343" s="53">
        <f>IF(P343="","",IF(H343="USD",G343,IF(R343&gt;0,G343/R343,0)))</f>
        <v/>
      </c>
      <c r="U343" s="53">
        <f>IF(P343="","",IF(P343="Gasto",S343,IF(P343="Reembolso",-S343,0)))</f>
        <v/>
      </c>
      <c r="V343" s="53">
        <f>IF(P343="","",IF(P343="Ingreso",S343,0))</f>
        <v/>
      </c>
      <c r="W343" s="53">
        <f>IF(P343="","",IF(P343="Resultado trading",S343,0))</f>
        <v/>
      </c>
      <c r="X343" s="52">
        <f>IF(OR(P343="Gasto",P343="Reembolso"),IF(M343&lt;&gt;"",M343,IFERROR(INDEX(catClasif,MATCH(D343&amp;"|"&amp;E343,catClave,0))&amp;"","Variable")),"")</f>
        <v/>
      </c>
      <c r="Y343" s="52">
        <f>IF(P343="","",IFERROR(INDEX(catGrupo,MATCH(D343&amp;"|"&amp;E343,catClave,0))&amp;"",""))</f>
        <v/>
      </c>
      <c r="Z343" s="52">
        <f>IF(P343="","",WEEKDAY(B343,2))</f>
        <v/>
      </c>
      <c r="AA343" s="52">
        <f>IF(P343="","",IF(AND(P343="Gasto",X343="Variable",D343&lt;&gt;catTrading,S343&gt;0,S343&lt;=Umbral),1,0))</f>
        <v/>
      </c>
      <c r="AB343" s="52">
        <f>IF(OR(P343="",Q343=""),"",IFERROR(IF(INDEX(ctaVinc,MATCH(Q343,ctaNombre,0))&amp;""&lt;&gt;"",INDEX(ctaVinc,MATCH(Q343,ctaNombre,0))&amp;"",Q343),Q343))</f>
        <v/>
      </c>
      <c r="AC343" s="52">
        <f>IF(OR(K343="",AND(P343&lt;&gt;"Transferencia",P343&lt;&gt;"Pago tarjeta")),"",IFERROR(IF(INDEX(ctaVinc,MATCH(K343,ctaNombre,0))&amp;""&lt;&gt;"",INDEX(ctaVinc,MATCH(K343,ctaNombre,0))&amp;"",K343),K343))</f>
        <v/>
      </c>
      <c r="AD343" s="52">
        <f>IF(AB343="","",IFERROR(INDEX(ctaTipo,MATCH(AB343,ctaNombre,0))&amp;"",""))</f>
        <v/>
      </c>
      <c r="AE343" s="52">
        <f>IF(AC343="","",IFERROR(INDEX(ctaTipo,MATCH(AC343,ctaNombre,0))&amp;"",""))</f>
        <v/>
      </c>
      <c r="AF343" s="53">
        <f>IF(OR(P343="",AB343=""),"",IF(OR(P343="Gasto",P343="Transferencia",P343="Pago tarjeta"),-1,1)*IF(IFERROR(INDEX(ctaMoneda,MATCH(AB343,ctaNombre,0))&amp;"","DOP")="USD",T343,S343))</f>
        <v/>
      </c>
      <c r="AG343" s="53">
        <f>IF(AC343="","",IF(IFERROR(INDEX(ctaMoneda,MATCH(AC343,ctaNombre,0))&amp;"","DOP")="USD",T343,S343))</f>
        <v/>
      </c>
      <c r="AH343" s="53">
        <f>IF(P343="","",IF(AND(AD343&lt;&gt;"",COUNTIFS(tcTipo,AD343,tcLiq,"Sí")&gt;0),IF(OR(P343="Gasto",P343="Transferencia",P343="Pago tarjeta"),-1,1)*S343,0)+IF(AND(AE343&lt;&gt;"",COUNTIFS(tcTipo,AE343,tcLiq,"Sí")&gt;0),S343,0))</f>
        <v/>
      </c>
      <c r="AI343" s="52">
        <f>IF(OR(L343="",P343=""),"",IF(COUNTIFS(L$6:L343,L343,P$6:P343,"?*")=1,MAX(AI$5:AI342)+1,""))</f>
        <v/>
      </c>
    </row>
    <row r="344">
      <c r="B344" s="47" t="n"/>
      <c r="C344" s="48" t="n"/>
      <c r="D344" s="48" t="n"/>
      <c r="E344" s="48" t="n"/>
      <c r="F344" s="48" t="n"/>
      <c r="G344" s="49" t="n"/>
      <c r="H344" s="48" t="n"/>
      <c r="I344" s="50" t="n"/>
      <c r="J344" s="48" t="n"/>
      <c r="K344" s="48" t="n"/>
      <c r="L344" s="48" t="n"/>
      <c r="M344" s="48" t="n"/>
      <c r="N344" s="48" t="n"/>
      <c r="O344" s="51">
        <f>IF(AND(B344="",G344="",C344="",D344="",J344=""),"",IF(B344="","⚠ Falta fecha",IF(G344="","⚠ Falta monto",IF(Q344="","⚠ Falta cuenta",IF(ISNA(MATCH(Q344,ctaNombre,0)),"⚠ Cuenta no registrada",IF(AND(OR(P344="Gasto",P344="Reembolso"),D344=""),"⚠ Falta categoría",IF(AND(D344&lt;&gt;"",E344&lt;&gt;"",ISNA(MATCH(D344&amp;"|"&amp;E344,catClave,0))),"⚠ Subcategoría no corresponde",IF(AND(OR(P344="Transferencia",P344="Pago tarjeta"),K344=""),"⚠ Falta cuenta destino",IF(AND(K344&lt;&gt;"",P344&lt;&gt;"Transferencia",P344&lt;&gt;"Pago tarjeta"),"⚠ Destino solo aplica a transferencias",IF(AND(K344&lt;&gt;"",K344=Q344),"⚠ Origen igual a destino",IF(AND(K344&lt;&gt;"",ISNA(MATCH(K344,ctaNombre,0))),"⚠ Destino no registrado",IF(AND(P344="Pago tarjeta",AE344&lt;&gt;"Tarjeta de crédito"),"⚠ El destino debe ser tarjeta de crédito",IF(AND(P344="Gasto",E344="Depósitos y retiros"),"⚠ Usa tipo Transferencia",IF(AND(P344="Resultado trading",AD344&lt;&gt;"Cuenta de trading"),"⚠ Usa una cuenta de trading",IF(AND(G344&lt;=0,P344&lt;&gt;"Ajuste",P344&lt;&gt;"Resultado trading"),"⚠ El monto debe ser positivo","✓")))))))))))))))</f>
        <v/>
      </c>
      <c r="P344" s="52">
        <f>IF(OR(B344="",G344=""),"",IF(C344="","Gasto",C344))</f>
        <v/>
      </c>
      <c r="Q344" s="52">
        <f>IF(P344="","",IF(J344&lt;&gt;"",J344,CuentaPred&amp;""))</f>
        <v/>
      </c>
      <c r="R344" s="52">
        <f>IF(P344="","",IF(ISNUMBER(I344),I344,TasaUSD))</f>
        <v/>
      </c>
      <c r="S344" s="53">
        <f>IF(P344="","",IF(H344="USD",G344*R344,G344))</f>
        <v/>
      </c>
      <c r="T344" s="53">
        <f>IF(P344="","",IF(H344="USD",G344,IF(R344&gt;0,G344/R344,0)))</f>
        <v/>
      </c>
      <c r="U344" s="53">
        <f>IF(P344="","",IF(P344="Gasto",S344,IF(P344="Reembolso",-S344,0)))</f>
        <v/>
      </c>
      <c r="V344" s="53">
        <f>IF(P344="","",IF(P344="Ingreso",S344,0))</f>
        <v/>
      </c>
      <c r="W344" s="53">
        <f>IF(P344="","",IF(P344="Resultado trading",S344,0))</f>
        <v/>
      </c>
      <c r="X344" s="52">
        <f>IF(OR(P344="Gasto",P344="Reembolso"),IF(M344&lt;&gt;"",M344,IFERROR(INDEX(catClasif,MATCH(D344&amp;"|"&amp;E344,catClave,0))&amp;"","Variable")),"")</f>
        <v/>
      </c>
      <c r="Y344" s="52">
        <f>IF(P344="","",IFERROR(INDEX(catGrupo,MATCH(D344&amp;"|"&amp;E344,catClave,0))&amp;"",""))</f>
        <v/>
      </c>
      <c r="Z344" s="52">
        <f>IF(P344="","",WEEKDAY(B344,2))</f>
        <v/>
      </c>
      <c r="AA344" s="52">
        <f>IF(P344="","",IF(AND(P344="Gasto",X344="Variable",D344&lt;&gt;catTrading,S344&gt;0,S344&lt;=Umbral),1,0))</f>
        <v/>
      </c>
      <c r="AB344" s="52">
        <f>IF(OR(P344="",Q344=""),"",IFERROR(IF(INDEX(ctaVinc,MATCH(Q344,ctaNombre,0))&amp;""&lt;&gt;"",INDEX(ctaVinc,MATCH(Q344,ctaNombre,0))&amp;"",Q344),Q344))</f>
        <v/>
      </c>
      <c r="AC344" s="52">
        <f>IF(OR(K344="",AND(P344&lt;&gt;"Transferencia",P344&lt;&gt;"Pago tarjeta")),"",IFERROR(IF(INDEX(ctaVinc,MATCH(K344,ctaNombre,0))&amp;""&lt;&gt;"",INDEX(ctaVinc,MATCH(K344,ctaNombre,0))&amp;"",K344),K344))</f>
        <v/>
      </c>
      <c r="AD344" s="52">
        <f>IF(AB344="","",IFERROR(INDEX(ctaTipo,MATCH(AB344,ctaNombre,0))&amp;"",""))</f>
        <v/>
      </c>
      <c r="AE344" s="52">
        <f>IF(AC344="","",IFERROR(INDEX(ctaTipo,MATCH(AC344,ctaNombre,0))&amp;"",""))</f>
        <v/>
      </c>
      <c r="AF344" s="53">
        <f>IF(OR(P344="",AB344=""),"",IF(OR(P344="Gasto",P344="Transferencia",P344="Pago tarjeta"),-1,1)*IF(IFERROR(INDEX(ctaMoneda,MATCH(AB344,ctaNombre,0))&amp;"","DOP")="USD",T344,S344))</f>
        <v/>
      </c>
      <c r="AG344" s="53">
        <f>IF(AC344="","",IF(IFERROR(INDEX(ctaMoneda,MATCH(AC344,ctaNombre,0))&amp;"","DOP")="USD",T344,S344))</f>
        <v/>
      </c>
      <c r="AH344" s="53">
        <f>IF(P344="","",IF(AND(AD344&lt;&gt;"",COUNTIFS(tcTipo,AD344,tcLiq,"Sí")&gt;0),IF(OR(P344="Gasto",P344="Transferencia",P344="Pago tarjeta"),-1,1)*S344,0)+IF(AND(AE344&lt;&gt;"",COUNTIFS(tcTipo,AE344,tcLiq,"Sí")&gt;0),S344,0))</f>
        <v/>
      </c>
      <c r="AI344" s="52">
        <f>IF(OR(L344="",P344=""),"",IF(COUNTIFS(L$6:L344,L344,P$6:P344,"?*")=1,MAX(AI$5:AI343)+1,""))</f>
        <v/>
      </c>
    </row>
    <row r="345">
      <c r="B345" s="47" t="n"/>
      <c r="C345" s="48" t="n"/>
      <c r="D345" s="48" t="n"/>
      <c r="E345" s="48" t="n"/>
      <c r="F345" s="48" t="n"/>
      <c r="G345" s="49" t="n"/>
      <c r="H345" s="48" t="n"/>
      <c r="I345" s="50" t="n"/>
      <c r="J345" s="48" t="n"/>
      <c r="K345" s="48" t="n"/>
      <c r="L345" s="48" t="n"/>
      <c r="M345" s="48" t="n"/>
      <c r="N345" s="48" t="n"/>
      <c r="O345" s="51">
        <f>IF(AND(B345="",G345="",C345="",D345="",J345=""),"",IF(B345="","⚠ Falta fecha",IF(G345="","⚠ Falta monto",IF(Q345="","⚠ Falta cuenta",IF(ISNA(MATCH(Q345,ctaNombre,0)),"⚠ Cuenta no registrada",IF(AND(OR(P345="Gasto",P345="Reembolso"),D345=""),"⚠ Falta categoría",IF(AND(D345&lt;&gt;"",E345&lt;&gt;"",ISNA(MATCH(D345&amp;"|"&amp;E345,catClave,0))),"⚠ Subcategoría no corresponde",IF(AND(OR(P345="Transferencia",P345="Pago tarjeta"),K345=""),"⚠ Falta cuenta destino",IF(AND(K345&lt;&gt;"",P345&lt;&gt;"Transferencia",P345&lt;&gt;"Pago tarjeta"),"⚠ Destino solo aplica a transferencias",IF(AND(K345&lt;&gt;"",K345=Q345),"⚠ Origen igual a destino",IF(AND(K345&lt;&gt;"",ISNA(MATCH(K345,ctaNombre,0))),"⚠ Destino no registrado",IF(AND(P345="Pago tarjeta",AE345&lt;&gt;"Tarjeta de crédito"),"⚠ El destino debe ser tarjeta de crédito",IF(AND(P345="Gasto",E345="Depósitos y retiros"),"⚠ Usa tipo Transferencia",IF(AND(P345="Resultado trading",AD345&lt;&gt;"Cuenta de trading"),"⚠ Usa una cuenta de trading",IF(AND(G345&lt;=0,P345&lt;&gt;"Ajuste",P345&lt;&gt;"Resultado trading"),"⚠ El monto debe ser positivo","✓")))))))))))))))</f>
        <v/>
      </c>
      <c r="P345" s="52">
        <f>IF(OR(B345="",G345=""),"",IF(C345="","Gasto",C345))</f>
        <v/>
      </c>
      <c r="Q345" s="52">
        <f>IF(P345="","",IF(J345&lt;&gt;"",J345,CuentaPred&amp;""))</f>
        <v/>
      </c>
      <c r="R345" s="52">
        <f>IF(P345="","",IF(ISNUMBER(I345),I345,TasaUSD))</f>
        <v/>
      </c>
      <c r="S345" s="53">
        <f>IF(P345="","",IF(H345="USD",G345*R345,G345))</f>
        <v/>
      </c>
      <c r="T345" s="53">
        <f>IF(P345="","",IF(H345="USD",G345,IF(R345&gt;0,G345/R345,0)))</f>
        <v/>
      </c>
      <c r="U345" s="53">
        <f>IF(P345="","",IF(P345="Gasto",S345,IF(P345="Reembolso",-S345,0)))</f>
        <v/>
      </c>
      <c r="V345" s="53">
        <f>IF(P345="","",IF(P345="Ingreso",S345,0))</f>
        <v/>
      </c>
      <c r="W345" s="53">
        <f>IF(P345="","",IF(P345="Resultado trading",S345,0))</f>
        <v/>
      </c>
      <c r="X345" s="52">
        <f>IF(OR(P345="Gasto",P345="Reembolso"),IF(M345&lt;&gt;"",M345,IFERROR(INDEX(catClasif,MATCH(D345&amp;"|"&amp;E345,catClave,0))&amp;"","Variable")),"")</f>
        <v/>
      </c>
      <c r="Y345" s="52">
        <f>IF(P345="","",IFERROR(INDEX(catGrupo,MATCH(D345&amp;"|"&amp;E345,catClave,0))&amp;"",""))</f>
        <v/>
      </c>
      <c r="Z345" s="52">
        <f>IF(P345="","",WEEKDAY(B345,2))</f>
        <v/>
      </c>
      <c r="AA345" s="52">
        <f>IF(P345="","",IF(AND(P345="Gasto",X345="Variable",D345&lt;&gt;catTrading,S345&gt;0,S345&lt;=Umbral),1,0))</f>
        <v/>
      </c>
      <c r="AB345" s="52">
        <f>IF(OR(P345="",Q345=""),"",IFERROR(IF(INDEX(ctaVinc,MATCH(Q345,ctaNombre,0))&amp;""&lt;&gt;"",INDEX(ctaVinc,MATCH(Q345,ctaNombre,0))&amp;"",Q345),Q345))</f>
        <v/>
      </c>
      <c r="AC345" s="52">
        <f>IF(OR(K345="",AND(P345&lt;&gt;"Transferencia",P345&lt;&gt;"Pago tarjeta")),"",IFERROR(IF(INDEX(ctaVinc,MATCH(K345,ctaNombre,0))&amp;""&lt;&gt;"",INDEX(ctaVinc,MATCH(K345,ctaNombre,0))&amp;"",K345),K345))</f>
        <v/>
      </c>
      <c r="AD345" s="52">
        <f>IF(AB345="","",IFERROR(INDEX(ctaTipo,MATCH(AB345,ctaNombre,0))&amp;"",""))</f>
        <v/>
      </c>
      <c r="AE345" s="52">
        <f>IF(AC345="","",IFERROR(INDEX(ctaTipo,MATCH(AC345,ctaNombre,0))&amp;"",""))</f>
        <v/>
      </c>
      <c r="AF345" s="53">
        <f>IF(OR(P345="",AB345=""),"",IF(OR(P345="Gasto",P345="Transferencia",P345="Pago tarjeta"),-1,1)*IF(IFERROR(INDEX(ctaMoneda,MATCH(AB345,ctaNombre,0))&amp;"","DOP")="USD",T345,S345))</f>
        <v/>
      </c>
      <c r="AG345" s="53">
        <f>IF(AC345="","",IF(IFERROR(INDEX(ctaMoneda,MATCH(AC345,ctaNombre,0))&amp;"","DOP")="USD",T345,S345))</f>
        <v/>
      </c>
      <c r="AH345" s="53">
        <f>IF(P345="","",IF(AND(AD345&lt;&gt;"",COUNTIFS(tcTipo,AD345,tcLiq,"Sí")&gt;0),IF(OR(P345="Gasto",P345="Transferencia",P345="Pago tarjeta"),-1,1)*S345,0)+IF(AND(AE345&lt;&gt;"",COUNTIFS(tcTipo,AE345,tcLiq,"Sí")&gt;0),S345,0))</f>
        <v/>
      </c>
      <c r="AI345" s="52">
        <f>IF(OR(L345="",P345=""),"",IF(COUNTIFS(L$6:L345,L345,P$6:P345,"?*")=1,MAX(AI$5:AI344)+1,""))</f>
        <v/>
      </c>
    </row>
    <row r="346">
      <c r="B346" s="47" t="n"/>
      <c r="C346" s="48" t="n"/>
      <c r="D346" s="48" t="n"/>
      <c r="E346" s="48" t="n"/>
      <c r="F346" s="48" t="n"/>
      <c r="G346" s="49" t="n"/>
      <c r="H346" s="48" t="n"/>
      <c r="I346" s="50" t="n"/>
      <c r="J346" s="48" t="n"/>
      <c r="K346" s="48" t="n"/>
      <c r="L346" s="48" t="n"/>
      <c r="M346" s="48" t="n"/>
      <c r="N346" s="48" t="n"/>
      <c r="O346" s="51">
        <f>IF(AND(B346="",G346="",C346="",D346="",J346=""),"",IF(B346="","⚠ Falta fecha",IF(G346="","⚠ Falta monto",IF(Q346="","⚠ Falta cuenta",IF(ISNA(MATCH(Q346,ctaNombre,0)),"⚠ Cuenta no registrada",IF(AND(OR(P346="Gasto",P346="Reembolso"),D346=""),"⚠ Falta categoría",IF(AND(D346&lt;&gt;"",E346&lt;&gt;"",ISNA(MATCH(D346&amp;"|"&amp;E346,catClave,0))),"⚠ Subcategoría no corresponde",IF(AND(OR(P346="Transferencia",P346="Pago tarjeta"),K346=""),"⚠ Falta cuenta destino",IF(AND(K346&lt;&gt;"",P346&lt;&gt;"Transferencia",P346&lt;&gt;"Pago tarjeta"),"⚠ Destino solo aplica a transferencias",IF(AND(K346&lt;&gt;"",K346=Q346),"⚠ Origen igual a destino",IF(AND(K346&lt;&gt;"",ISNA(MATCH(K346,ctaNombre,0))),"⚠ Destino no registrado",IF(AND(P346="Pago tarjeta",AE346&lt;&gt;"Tarjeta de crédito"),"⚠ El destino debe ser tarjeta de crédito",IF(AND(P346="Gasto",E346="Depósitos y retiros"),"⚠ Usa tipo Transferencia",IF(AND(P346="Resultado trading",AD346&lt;&gt;"Cuenta de trading"),"⚠ Usa una cuenta de trading",IF(AND(G346&lt;=0,P346&lt;&gt;"Ajuste",P346&lt;&gt;"Resultado trading"),"⚠ El monto debe ser positivo","✓")))))))))))))))</f>
        <v/>
      </c>
      <c r="P346" s="52">
        <f>IF(OR(B346="",G346=""),"",IF(C346="","Gasto",C346))</f>
        <v/>
      </c>
      <c r="Q346" s="52">
        <f>IF(P346="","",IF(J346&lt;&gt;"",J346,CuentaPred&amp;""))</f>
        <v/>
      </c>
      <c r="R346" s="52">
        <f>IF(P346="","",IF(ISNUMBER(I346),I346,TasaUSD))</f>
        <v/>
      </c>
      <c r="S346" s="53">
        <f>IF(P346="","",IF(H346="USD",G346*R346,G346))</f>
        <v/>
      </c>
      <c r="T346" s="53">
        <f>IF(P346="","",IF(H346="USD",G346,IF(R346&gt;0,G346/R346,0)))</f>
        <v/>
      </c>
      <c r="U346" s="53">
        <f>IF(P346="","",IF(P346="Gasto",S346,IF(P346="Reembolso",-S346,0)))</f>
        <v/>
      </c>
      <c r="V346" s="53">
        <f>IF(P346="","",IF(P346="Ingreso",S346,0))</f>
        <v/>
      </c>
      <c r="W346" s="53">
        <f>IF(P346="","",IF(P346="Resultado trading",S346,0))</f>
        <v/>
      </c>
      <c r="X346" s="52">
        <f>IF(OR(P346="Gasto",P346="Reembolso"),IF(M346&lt;&gt;"",M346,IFERROR(INDEX(catClasif,MATCH(D346&amp;"|"&amp;E346,catClave,0))&amp;"","Variable")),"")</f>
        <v/>
      </c>
      <c r="Y346" s="52">
        <f>IF(P346="","",IFERROR(INDEX(catGrupo,MATCH(D346&amp;"|"&amp;E346,catClave,0))&amp;"",""))</f>
        <v/>
      </c>
      <c r="Z346" s="52">
        <f>IF(P346="","",WEEKDAY(B346,2))</f>
        <v/>
      </c>
      <c r="AA346" s="52">
        <f>IF(P346="","",IF(AND(P346="Gasto",X346="Variable",D346&lt;&gt;catTrading,S346&gt;0,S346&lt;=Umbral),1,0))</f>
        <v/>
      </c>
      <c r="AB346" s="52">
        <f>IF(OR(P346="",Q346=""),"",IFERROR(IF(INDEX(ctaVinc,MATCH(Q346,ctaNombre,0))&amp;""&lt;&gt;"",INDEX(ctaVinc,MATCH(Q346,ctaNombre,0))&amp;"",Q346),Q346))</f>
        <v/>
      </c>
      <c r="AC346" s="52">
        <f>IF(OR(K346="",AND(P346&lt;&gt;"Transferencia",P346&lt;&gt;"Pago tarjeta")),"",IFERROR(IF(INDEX(ctaVinc,MATCH(K346,ctaNombre,0))&amp;""&lt;&gt;"",INDEX(ctaVinc,MATCH(K346,ctaNombre,0))&amp;"",K346),K346))</f>
        <v/>
      </c>
      <c r="AD346" s="52">
        <f>IF(AB346="","",IFERROR(INDEX(ctaTipo,MATCH(AB346,ctaNombre,0))&amp;"",""))</f>
        <v/>
      </c>
      <c r="AE346" s="52">
        <f>IF(AC346="","",IFERROR(INDEX(ctaTipo,MATCH(AC346,ctaNombre,0))&amp;"",""))</f>
        <v/>
      </c>
      <c r="AF346" s="53">
        <f>IF(OR(P346="",AB346=""),"",IF(OR(P346="Gasto",P346="Transferencia",P346="Pago tarjeta"),-1,1)*IF(IFERROR(INDEX(ctaMoneda,MATCH(AB346,ctaNombre,0))&amp;"","DOP")="USD",T346,S346))</f>
        <v/>
      </c>
      <c r="AG346" s="53">
        <f>IF(AC346="","",IF(IFERROR(INDEX(ctaMoneda,MATCH(AC346,ctaNombre,0))&amp;"","DOP")="USD",T346,S346))</f>
        <v/>
      </c>
      <c r="AH346" s="53">
        <f>IF(P346="","",IF(AND(AD346&lt;&gt;"",COUNTIFS(tcTipo,AD346,tcLiq,"Sí")&gt;0),IF(OR(P346="Gasto",P346="Transferencia",P346="Pago tarjeta"),-1,1)*S346,0)+IF(AND(AE346&lt;&gt;"",COUNTIFS(tcTipo,AE346,tcLiq,"Sí")&gt;0),S346,0))</f>
        <v/>
      </c>
      <c r="AI346" s="52">
        <f>IF(OR(L346="",P346=""),"",IF(COUNTIFS(L$6:L346,L346,P$6:P346,"?*")=1,MAX(AI$5:AI345)+1,""))</f>
        <v/>
      </c>
    </row>
    <row r="347">
      <c r="B347" s="47" t="n"/>
      <c r="C347" s="48" t="n"/>
      <c r="D347" s="48" t="n"/>
      <c r="E347" s="48" t="n"/>
      <c r="F347" s="48" t="n"/>
      <c r="G347" s="49" t="n"/>
      <c r="H347" s="48" t="n"/>
      <c r="I347" s="50" t="n"/>
      <c r="J347" s="48" t="n"/>
      <c r="K347" s="48" t="n"/>
      <c r="L347" s="48" t="n"/>
      <c r="M347" s="48" t="n"/>
      <c r="N347" s="48" t="n"/>
      <c r="O347" s="51">
        <f>IF(AND(B347="",G347="",C347="",D347="",J347=""),"",IF(B347="","⚠ Falta fecha",IF(G347="","⚠ Falta monto",IF(Q347="","⚠ Falta cuenta",IF(ISNA(MATCH(Q347,ctaNombre,0)),"⚠ Cuenta no registrada",IF(AND(OR(P347="Gasto",P347="Reembolso"),D347=""),"⚠ Falta categoría",IF(AND(D347&lt;&gt;"",E347&lt;&gt;"",ISNA(MATCH(D347&amp;"|"&amp;E347,catClave,0))),"⚠ Subcategoría no corresponde",IF(AND(OR(P347="Transferencia",P347="Pago tarjeta"),K347=""),"⚠ Falta cuenta destino",IF(AND(K347&lt;&gt;"",P347&lt;&gt;"Transferencia",P347&lt;&gt;"Pago tarjeta"),"⚠ Destino solo aplica a transferencias",IF(AND(K347&lt;&gt;"",K347=Q347),"⚠ Origen igual a destino",IF(AND(K347&lt;&gt;"",ISNA(MATCH(K347,ctaNombre,0))),"⚠ Destino no registrado",IF(AND(P347="Pago tarjeta",AE347&lt;&gt;"Tarjeta de crédito"),"⚠ El destino debe ser tarjeta de crédito",IF(AND(P347="Gasto",E347="Depósitos y retiros"),"⚠ Usa tipo Transferencia",IF(AND(P347="Resultado trading",AD347&lt;&gt;"Cuenta de trading"),"⚠ Usa una cuenta de trading",IF(AND(G347&lt;=0,P347&lt;&gt;"Ajuste",P347&lt;&gt;"Resultado trading"),"⚠ El monto debe ser positivo","✓")))))))))))))))</f>
        <v/>
      </c>
      <c r="P347" s="52">
        <f>IF(OR(B347="",G347=""),"",IF(C347="","Gasto",C347))</f>
        <v/>
      </c>
      <c r="Q347" s="52">
        <f>IF(P347="","",IF(J347&lt;&gt;"",J347,CuentaPred&amp;""))</f>
        <v/>
      </c>
      <c r="R347" s="52">
        <f>IF(P347="","",IF(ISNUMBER(I347),I347,TasaUSD))</f>
        <v/>
      </c>
      <c r="S347" s="53">
        <f>IF(P347="","",IF(H347="USD",G347*R347,G347))</f>
        <v/>
      </c>
      <c r="T347" s="53">
        <f>IF(P347="","",IF(H347="USD",G347,IF(R347&gt;0,G347/R347,0)))</f>
        <v/>
      </c>
      <c r="U347" s="53">
        <f>IF(P347="","",IF(P347="Gasto",S347,IF(P347="Reembolso",-S347,0)))</f>
        <v/>
      </c>
      <c r="V347" s="53">
        <f>IF(P347="","",IF(P347="Ingreso",S347,0))</f>
        <v/>
      </c>
      <c r="W347" s="53">
        <f>IF(P347="","",IF(P347="Resultado trading",S347,0))</f>
        <v/>
      </c>
      <c r="X347" s="52">
        <f>IF(OR(P347="Gasto",P347="Reembolso"),IF(M347&lt;&gt;"",M347,IFERROR(INDEX(catClasif,MATCH(D347&amp;"|"&amp;E347,catClave,0))&amp;"","Variable")),"")</f>
        <v/>
      </c>
      <c r="Y347" s="52">
        <f>IF(P347="","",IFERROR(INDEX(catGrupo,MATCH(D347&amp;"|"&amp;E347,catClave,0))&amp;"",""))</f>
        <v/>
      </c>
      <c r="Z347" s="52">
        <f>IF(P347="","",WEEKDAY(B347,2))</f>
        <v/>
      </c>
      <c r="AA347" s="52">
        <f>IF(P347="","",IF(AND(P347="Gasto",X347="Variable",D347&lt;&gt;catTrading,S347&gt;0,S347&lt;=Umbral),1,0))</f>
        <v/>
      </c>
      <c r="AB347" s="52">
        <f>IF(OR(P347="",Q347=""),"",IFERROR(IF(INDEX(ctaVinc,MATCH(Q347,ctaNombre,0))&amp;""&lt;&gt;"",INDEX(ctaVinc,MATCH(Q347,ctaNombre,0))&amp;"",Q347),Q347))</f>
        <v/>
      </c>
      <c r="AC347" s="52">
        <f>IF(OR(K347="",AND(P347&lt;&gt;"Transferencia",P347&lt;&gt;"Pago tarjeta")),"",IFERROR(IF(INDEX(ctaVinc,MATCH(K347,ctaNombre,0))&amp;""&lt;&gt;"",INDEX(ctaVinc,MATCH(K347,ctaNombre,0))&amp;"",K347),K347))</f>
        <v/>
      </c>
      <c r="AD347" s="52">
        <f>IF(AB347="","",IFERROR(INDEX(ctaTipo,MATCH(AB347,ctaNombre,0))&amp;"",""))</f>
        <v/>
      </c>
      <c r="AE347" s="52">
        <f>IF(AC347="","",IFERROR(INDEX(ctaTipo,MATCH(AC347,ctaNombre,0))&amp;"",""))</f>
        <v/>
      </c>
      <c r="AF347" s="53">
        <f>IF(OR(P347="",AB347=""),"",IF(OR(P347="Gasto",P347="Transferencia",P347="Pago tarjeta"),-1,1)*IF(IFERROR(INDEX(ctaMoneda,MATCH(AB347,ctaNombre,0))&amp;"","DOP")="USD",T347,S347))</f>
        <v/>
      </c>
      <c r="AG347" s="53">
        <f>IF(AC347="","",IF(IFERROR(INDEX(ctaMoneda,MATCH(AC347,ctaNombre,0))&amp;"","DOP")="USD",T347,S347))</f>
        <v/>
      </c>
      <c r="AH347" s="53">
        <f>IF(P347="","",IF(AND(AD347&lt;&gt;"",COUNTIFS(tcTipo,AD347,tcLiq,"Sí")&gt;0),IF(OR(P347="Gasto",P347="Transferencia",P347="Pago tarjeta"),-1,1)*S347,0)+IF(AND(AE347&lt;&gt;"",COUNTIFS(tcTipo,AE347,tcLiq,"Sí")&gt;0),S347,0))</f>
        <v/>
      </c>
      <c r="AI347" s="52">
        <f>IF(OR(L347="",P347=""),"",IF(COUNTIFS(L$6:L347,L347,P$6:P347,"?*")=1,MAX(AI$5:AI346)+1,""))</f>
        <v/>
      </c>
    </row>
    <row r="348">
      <c r="B348" s="47" t="n"/>
      <c r="C348" s="48" t="n"/>
      <c r="D348" s="48" t="n"/>
      <c r="E348" s="48" t="n"/>
      <c r="F348" s="48" t="n"/>
      <c r="G348" s="49" t="n"/>
      <c r="H348" s="48" t="n"/>
      <c r="I348" s="50" t="n"/>
      <c r="J348" s="48" t="n"/>
      <c r="K348" s="48" t="n"/>
      <c r="L348" s="48" t="n"/>
      <c r="M348" s="48" t="n"/>
      <c r="N348" s="48" t="n"/>
      <c r="O348" s="51">
        <f>IF(AND(B348="",G348="",C348="",D348="",J348=""),"",IF(B348="","⚠ Falta fecha",IF(G348="","⚠ Falta monto",IF(Q348="","⚠ Falta cuenta",IF(ISNA(MATCH(Q348,ctaNombre,0)),"⚠ Cuenta no registrada",IF(AND(OR(P348="Gasto",P348="Reembolso"),D348=""),"⚠ Falta categoría",IF(AND(D348&lt;&gt;"",E348&lt;&gt;"",ISNA(MATCH(D348&amp;"|"&amp;E348,catClave,0))),"⚠ Subcategoría no corresponde",IF(AND(OR(P348="Transferencia",P348="Pago tarjeta"),K348=""),"⚠ Falta cuenta destino",IF(AND(K348&lt;&gt;"",P348&lt;&gt;"Transferencia",P348&lt;&gt;"Pago tarjeta"),"⚠ Destino solo aplica a transferencias",IF(AND(K348&lt;&gt;"",K348=Q348),"⚠ Origen igual a destino",IF(AND(K348&lt;&gt;"",ISNA(MATCH(K348,ctaNombre,0))),"⚠ Destino no registrado",IF(AND(P348="Pago tarjeta",AE348&lt;&gt;"Tarjeta de crédito"),"⚠ El destino debe ser tarjeta de crédito",IF(AND(P348="Gasto",E348="Depósitos y retiros"),"⚠ Usa tipo Transferencia",IF(AND(P348="Resultado trading",AD348&lt;&gt;"Cuenta de trading"),"⚠ Usa una cuenta de trading",IF(AND(G348&lt;=0,P348&lt;&gt;"Ajuste",P348&lt;&gt;"Resultado trading"),"⚠ El monto debe ser positivo","✓")))))))))))))))</f>
        <v/>
      </c>
      <c r="P348" s="52">
        <f>IF(OR(B348="",G348=""),"",IF(C348="","Gasto",C348))</f>
        <v/>
      </c>
      <c r="Q348" s="52">
        <f>IF(P348="","",IF(J348&lt;&gt;"",J348,CuentaPred&amp;""))</f>
        <v/>
      </c>
      <c r="R348" s="52">
        <f>IF(P348="","",IF(ISNUMBER(I348),I348,TasaUSD))</f>
        <v/>
      </c>
      <c r="S348" s="53">
        <f>IF(P348="","",IF(H348="USD",G348*R348,G348))</f>
        <v/>
      </c>
      <c r="T348" s="53">
        <f>IF(P348="","",IF(H348="USD",G348,IF(R348&gt;0,G348/R348,0)))</f>
        <v/>
      </c>
      <c r="U348" s="53">
        <f>IF(P348="","",IF(P348="Gasto",S348,IF(P348="Reembolso",-S348,0)))</f>
        <v/>
      </c>
      <c r="V348" s="53">
        <f>IF(P348="","",IF(P348="Ingreso",S348,0))</f>
        <v/>
      </c>
      <c r="W348" s="53">
        <f>IF(P348="","",IF(P348="Resultado trading",S348,0))</f>
        <v/>
      </c>
      <c r="X348" s="52">
        <f>IF(OR(P348="Gasto",P348="Reembolso"),IF(M348&lt;&gt;"",M348,IFERROR(INDEX(catClasif,MATCH(D348&amp;"|"&amp;E348,catClave,0))&amp;"","Variable")),"")</f>
        <v/>
      </c>
      <c r="Y348" s="52">
        <f>IF(P348="","",IFERROR(INDEX(catGrupo,MATCH(D348&amp;"|"&amp;E348,catClave,0))&amp;"",""))</f>
        <v/>
      </c>
      <c r="Z348" s="52">
        <f>IF(P348="","",WEEKDAY(B348,2))</f>
        <v/>
      </c>
      <c r="AA348" s="52">
        <f>IF(P348="","",IF(AND(P348="Gasto",X348="Variable",D348&lt;&gt;catTrading,S348&gt;0,S348&lt;=Umbral),1,0))</f>
        <v/>
      </c>
      <c r="AB348" s="52">
        <f>IF(OR(P348="",Q348=""),"",IFERROR(IF(INDEX(ctaVinc,MATCH(Q348,ctaNombre,0))&amp;""&lt;&gt;"",INDEX(ctaVinc,MATCH(Q348,ctaNombre,0))&amp;"",Q348),Q348))</f>
        <v/>
      </c>
      <c r="AC348" s="52">
        <f>IF(OR(K348="",AND(P348&lt;&gt;"Transferencia",P348&lt;&gt;"Pago tarjeta")),"",IFERROR(IF(INDEX(ctaVinc,MATCH(K348,ctaNombre,0))&amp;""&lt;&gt;"",INDEX(ctaVinc,MATCH(K348,ctaNombre,0))&amp;"",K348),K348))</f>
        <v/>
      </c>
      <c r="AD348" s="52">
        <f>IF(AB348="","",IFERROR(INDEX(ctaTipo,MATCH(AB348,ctaNombre,0))&amp;"",""))</f>
        <v/>
      </c>
      <c r="AE348" s="52">
        <f>IF(AC348="","",IFERROR(INDEX(ctaTipo,MATCH(AC348,ctaNombre,0))&amp;"",""))</f>
        <v/>
      </c>
      <c r="AF348" s="53">
        <f>IF(OR(P348="",AB348=""),"",IF(OR(P348="Gasto",P348="Transferencia",P348="Pago tarjeta"),-1,1)*IF(IFERROR(INDEX(ctaMoneda,MATCH(AB348,ctaNombre,0))&amp;"","DOP")="USD",T348,S348))</f>
        <v/>
      </c>
      <c r="AG348" s="53">
        <f>IF(AC348="","",IF(IFERROR(INDEX(ctaMoneda,MATCH(AC348,ctaNombre,0))&amp;"","DOP")="USD",T348,S348))</f>
        <v/>
      </c>
      <c r="AH348" s="53">
        <f>IF(P348="","",IF(AND(AD348&lt;&gt;"",COUNTIFS(tcTipo,AD348,tcLiq,"Sí")&gt;0),IF(OR(P348="Gasto",P348="Transferencia",P348="Pago tarjeta"),-1,1)*S348,0)+IF(AND(AE348&lt;&gt;"",COUNTIFS(tcTipo,AE348,tcLiq,"Sí")&gt;0),S348,0))</f>
        <v/>
      </c>
      <c r="AI348" s="52">
        <f>IF(OR(L348="",P348=""),"",IF(COUNTIFS(L$6:L348,L348,P$6:P348,"?*")=1,MAX(AI$5:AI347)+1,""))</f>
        <v/>
      </c>
    </row>
    <row r="349">
      <c r="B349" s="47" t="n"/>
      <c r="C349" s="48" t="n"/>
      <c r="D349" s="48" t="n"/>
      <c r="E349" s="48" t="n"/>
      <c r="F349" s="48" t="n"/>
      <c r="G349" s="49" t="n"/>
      <c r="H349" s="48" t="n"/>
      <c r="I349" s="50" t="n"/>
      <c r="J349" s="48" t="n"/>
      <c r="K349" s="48" t="n"/>
      <c r="L349" s="48" t="n"/>
      <c r="M349" s="48" t="n"/>
      <c r="N349" s="48" t="n"/>
      <c r="O349" s="51">
        <f>IF(AND(B349="",G349="",C349="",D349="",J349=""),"",IF(B349="","⚠ Falta fecha",IF(G349="","⚠ Falta monto",IF(Q349="","⚠ Falta cuenta",IF(ISNA(MATCH(Q349,ctaNombre,0)),"⚠ Cuenta no registrada",IF(AND(OR(P349="Gasto",P349="Reembolso"),D349=""),"⚠ Falta categoría",IF(AND(D349&lt;&gt;"",E349&lt;&gt;"",ISNA(MATCH(D349&amp;"|"&amp;E349,catClave,0))),"⚠ Subcategoría no corresponde",IF(AND(OR(P349="Transferencia",P349="Pago tarjeta"),K349=""),"⚠ Falta cuenta destino",IF(AND(K349&lt;&gt;"",P349&lt;&gt;"Transferencia",P349&lt;&gt;"Pago tarjeta"),"⚠ Destino solo aplica a transferencias",IF(AND(K349&lt;&gt;"",K349=Q349),"⚠ Origen igual a destino",IF(AND(K349&lt;&gt;"",ISNA(MATCH(K349,ctaNombre,0))),"⚠ Destino no registrado",IF(AND(P349="Pago tarjeta",AE349&lt;&gt;"Tarjeta de crédito"),"⚠ El destino debe ser tarjeta de crédito",IF(AND(P349="Gasto",E349="Depósitos y retiros"),"⚠ Usa tipo Transferencia",IF(AND(P349="Resultado trading",AD349&lt;&gt;"Cuenta de trading"),"⚠ Usa una cuenta de trading",IF(AND(G349&lt;=0,P349&lt;&gt;"Ajuste",P349&lt;&gt;"Resultado trading"),"⚠ El monto debe ser positivo","✓")))))))))))))))</f>
        <v/>
      </c>
      <c r="P349" s="52">
        <f>IF(OR(B349="",G349=""),"",IF(C349="","Gasto",C349))</f>
        <v/>
      </c>
      <c r="Q349" s="52">
        <f>IF(P349="","",IF(J349&lt;&gt;"",J349,CuentaPred&amp;""))</f>
        <v/>
      </c>
      <c r="R349" s="52">
        <f>IF(P349="","",IF(ISNUMBER(I349),I349,TasaUSD))</f>
        <v/>
      </c>
      <c r="S349" s="53">
        <f>IF(P349="","",IF(H349="USD",G349*R349,G349))</f>
        <v/>
      </c>
      <c r="T349" s="53">
        <f>IF(P349="","",IF(H349="USD",G349,IF(R349&gt;0,G349/R349,0)))</f>
        <v/>
      </c>
      <c r="U349" s="53">
        <f>IF(P349="","",IF(P349="Gasto",S349,IF(P349="Reembolso",-S349,0)))</f>
        <v/>
      </c>
      <c r="V349" s="53">
        <f>IF(P349="","",IF(P349="Ingreso",S349,0))</f>
        <v/>
      </c>
      <c r="W349" s="53">
        <f>IF(P349="","",IF(P349="Resultado trading",S349,0))</f>
        <v/>
      </c>
      <c r="X349" s="52">
        <f>IF(OR(P349="Gasto",P349="Reembolso"),IF(M349&lt;&gt;"",M349,IFERROR(INDEX(catClasif,MATCH(D349&amp;"|"&amp;E349,catClave,0))&amp;"","Variable")),"")</f>
        <v/>
      </c>
      <c r="Y349" s="52">
        <f>IF(P349="","",IFERROR(INDEX(catGrupo,MATCH(D349&amp;"|"&amp;E349,catClave,0))&amp;"",""))</f>
        <v/>
      </c>
      <c r="Z349" s="52">
        <f>IF(P349="","",WEEKDAY(B349,2))</f>
        <v/>
      </c>
      <c r="AA349" s="52">
        <f>IF(P349="","",IF(AND(P349="Gasto",X349="Variable",D349&lt;&gt;catTrading,S349&gt;0,S349&lt;=Umbral),1,0))</f>
        <v/>
      </c>
      <c r="AB349" s="52">
        <f>IF(OR(P349="",Q349=""),"",IFERROR(IF(INDEX(ctaVinc,MATCH(Q349,ctaNombre,0))&amp;""&lt;&gt;"",INDEX(ctaVinc,MATCH(Q349,ctaNombre,0))&amp;"",Q349),Q349))</f>
        <v/>
      </c>
      <c r="AC349" s="52">
        <f>IF(OR(K349="",AND(P349&lt;&gt;"Transferencia",P349&lt;&gt;"Pago tarjeta")),"",IFERROR(IF(INDEX(ctaVinc,MATCH(K349,ctaNombre,0))&amp;""&lt;&gt;"",INDEX(ctaVinc,MATCH(K349,ctaNombre,0))&amp;"",K349),K349))</f>
        <v/>
      </c>
      <c r="AD349" s="52">
        <f>IF(AB349="","",IFERROR(INDEX(ctaTipo,MATCH(AB349,ctaNombre,0))&amp;"",""))</f>
        <v/>
      </c>
      <c r="AE349" s="52">
        <f>IF(AC349="","",IFERROR(INDEX(ctaTipo,MATCH(AC349,ctaNombre,0))&amp;"",""))</f>
        <v/>
      </c>
      <c r="AF349" s="53">
        <f>IF(OR(P349="",AB349=""),"",IF(OR(P349="Gasto",P349="Transferencia",P349="Pago tarjeta"),-1,1)*IF(IFERROR(INDEX(ctaMoneda,MATCH(AB349,ctaNombre,0))&amp;"","DOP")="USD",T349,S349))</f>
        <v/>
      </c>
      <c r="AG349" s="53">
        <f>IF(AC349="","",IF(IFERROR(INDEX(ctaMoneda,MATCH(AC349,ctaNombre,0))&amp;"","DOP")="USD",T349,S349))</f>
        <v/>
      </c>
      <c r="AH349" s="53">
        <f>IF(P349="","",IF(AND(AD349&lt;&gt;"",COUNTIFS(tcTipo,AD349,tcLiq,"Sí")&gt;0),IF(OR(P349="Gasto",P349="Transferencia",P349="Pago tarjeta"),-1,1)*S349,0)+IF(AND(AE349&lt;&gt;"",COUNTIFS(tcTipo,AE349,tcLiq,"Sí")&gt;0),S349,0))</f>
        <v/>
      </c>
      <c r="AI349" s="52">
        <f>IF(OR(L349="",P349=""),"",IF(COUNTIFS(L$6:L349,L349,P$6:P349,"?*")=1,MAX(AI$5:AI348)+1,""))</f>
        <v/>
      </c>
    </row>
    <row r="350">
      <c r="B350" s="47" t="n"/>
      <c r="C350" s="48" t="n"/>
      <c r="D350" s="48" t="n"/>
      <c r="E350" s="48" t="n"/>
      <c r="F350" s="48" t="n"/>
      <c r="G350" s="49" t="n"/>
      <c r="H350" s="48" t="n"/>
      <c r="I350" s="50" t="n"/>
      <c r="J350" s="48" t="n"/>
      <c r="K350" s="48" t="n"/>
      <c r="L350" s="48" t="n"/>
      <c r="M350" s="48" t="n"/>
      <c r="N350" s="48" t="n"/>
      <c r="O350" s="51">
        <f>IF(AND(B350="",G350="",C350="",D350="",J350=""),"",IF(B350="","⚠ Falta fecha",IF(G350="","⚠ Falta monto",IF(Q350="","⚠ Falta cuenta",IF(ISNA(MATCH(Q350,ctaNombre,0)),"⚠ Cuenta no registrada",IF(AND(OR(P350="Gasto",P350="Reembolso"),D350=""),"⚠ Falta categoría",IF(AND(D350&lt;&gt;"",E350&lt;&gt;"",ISNA(MATCH(D350&amp;"|"&amp;E350,catClave,0))),"⚠ Subcategoría no corresponde",IF(AND(OR(P350="Transferencia",P350="Pago tarjeta"),K350=""),"⚠ Falta cuenta destino",IF(AND(K350&lt;&gt;"",P350&lt;&gt;"Transferencia",P350&lt;&gt;"Pago tarjeta"),"⚠ Destino solo aplica a transferencias",IF(AND(K350&lt;&gt;"",K350=Q350),"⚠ Origen igual a destino",IF(AND(K350&lt;&gt;"",ISNA(MATCH(K350,ctaNombre,0))),"⚠ Destino no registrado",IF(AND(P350="Pago tarjeta",AE350&lt;&gt;"Tarjeta de crédito"),"⚠ El destino debe ser tarjeta de crédito",IF(AND(P350="Gasto",E350="Depósitos y retiros"),"⚠ Usa tipo Transferencia",IF(AND(P350="Resultado trading",AD350&lt;&gt;"Cuenta de trading"),"⚠ Usa una cuenta de trading",IF(AND(G350&lt;=0,P350&lt;&gt;"Ajuste",P350&lt;&gt;"Resultado trading"),"⚠ El monto debe ser positivo","✓")))))))))))))))</f>
        <v/>
      </c>
      <c r="P350" s="52">
        <f>IF(OR(B350="",G350=""),"",IF(C350="","Gasto",C350))</f>
        <v/>
      </c>
      <c r="Q350" s="52">
        <f>IF(P350="","",IF(J350&lt;&gt;"",J350,CuentaPred&amp;""))</f>
        <v/>
      </c>
      <c r="R350" s="52">
        <f>IF(P350="","",IF(ISNUMBER(I350),I350,TasaUSD))</f>
        <v/>
      </c>
      <c r="S350" s="53">
        <f>IF(P350="","",IF(H350="USD",G350*R350,G350))</f>
        <v/>
      </c>
      <c r="T350" s="53">
        <f>IF(P350="","",IF(H350="USD",G350,IF(R350&gt;0,G350/R350,0)))</f>
        <v/>
      </c>
      <c r="U350" s="53">
        <f>IF(P350="","",IF(P350="Gasto",S350,IF(P350="Reembolso",-S350,0)))</f>
        <v/>
      </c>
      <c r="V350" s="53">
        <f>IF(P350="","",IF(P350="Ingreso",S350,0))</f>
        <v/>
      </c>
      <c r="W350" s="53">
        <f>IF(P350="","",IF(P350="Resultado trading",S350,0))</f>
        <v/>
      </c>
      <c r="X350" s="52">
        <f>IF(OR(P350="Gasto",P350="Reembolso"),IF(M350&lt;&gt;"",M350,IFERROR(INDEX(catClasif,MATCH(D350&amp;"|"&amp;E350,catClave,0))&amp;"","Variable")),"")</f>
        <v/>
      </c>
      <c r="Y350" s="52">
        <f>IF(P350="","",IFERROR(INDEX(catGrupo,MATCH(D350&amp;"|"&amp;E350,catClave,0))&amp;"",""))</f>
        <v/>
      </c>
      <c r="Z350" s="52">
        <f>IF(P350="","",WEEKDAY(B350,2))</f>
        <v/>
      </c>
      <c r="AA350" s="52">
        <f>IF(P350="","",IF(AND(P350="Gasto",X350="Variable",D350&lt;&gt;catTrading,S350&gt;0,S350&lt;=Umbral),1,0))</f>
        <v/>
      </c>
      <c r="AB350" s="52">
        <f>IF(OR(P350="",Q350=""),"",IFERROR(IF(INDEX(ctaVinc,MATCH(Q350,ctaNombre,0))&amp;""&lt;&gt;"",INDEX(ctaVinc,MATCH(Q350,ctaNombre,0))&amp;"",Q350),Q350))</f>
        <v/>
      </c>
      <c r="AC350" s="52">
        <f>IF(OR(K350="",AND(P350&lt;&gt;"Transferencia",P350&lt;&gt;"Pago tarjeta")),"",IFERROR(IF(INDEX(ctaVinc,MATCH(K350,ctaNombre,0))&amp;""&lt;&gt;"",INDEX(ctaVinc,MATCH(K350,ctaNombre,0))&amp;"",K350),K350))</f>
        <v/>
      </c>
      <c r="AD350" s="52">
        <f>IF(AB350="","",IFERROR(INDEX(ctaTipo,MATCH(AB350,ctaNombre,0))&amp;"",""))</f>
        <v/>
      </c>
      <c r="AE350" s="52">
        <f>IF(AC350="","",IFERROR(INDEX(ctaTipo,MATCH(AC350,ctaNombre,0))&amp;"",""))</f>
        <v/>
      </c>
      <c r="AF350" s="53">
        <f>IF(OR(P350="",AB350=""),"",IF(OR(P350="Gasto",P350="Transferencia",P350="Pago tarjeta"),-1,1)*IF(IFERROR(INDEX(ctaMoneda,MATCH(AB350,ctaNombre,0))&amp;"","DOP")="USD",T350,S350))</f>
        <v/>
      </c>
      <c r="AG350" s="53">
        <f>IF(AC350="","",IF(IFERROR(INDEX(ctaMoneda,MATCH(AC350,ctaNombre,0))&amp;"","DOP")="USD",T350,S350))</f>
        <v/>
      </c>
      <c r="AH350" s="53">
        <f>IF(P350="","",IF(AND(AD350&lt;&gt;"",COUNTIFS(tcTipo,AD350,tcLiq,"Sí")&gt;0),IF(OR(P350="Gasto",P350="Transferencia",P350="Pago tarjeta"),-1,1)*S350,0)+IF(AND(AE350&lt;&gt;"",COUNTIFS(tcTipo,AE350,tcLiq,"Sí")&gt;0),S350,0))</f>
        <v/>
      </c>
      <c r="AI350" s="52">
        <f>IF(OR(L350="",P350=""),"",IF(COUNTIFS(L$6:L350,L350,P$6:P350,"?*")=1,MAX(AI$5:AI349)+1,""))</f>
        <v/>
      </c>
    </row>
    <row r="351">
      <c r="B351" s="47" t="n"/>
      <c r="C351" s="48" t="n"/>
      <c r="D351" s="48" t="n"/>
      <c r="E351" s="48" t="n"/>
      <c r="F351" s="48" t="n"/>
      <c r="G351" s="49" t="n"/>
      <c r="H351" s="48" t="n"/>
      <c r="I351" s="50" t="n"/>
      <c r="J351" s="48" t="n"/>
      <c r="K351" s="48" t="n"/>
      <c r="L351" s="48" t="n"/>
      <c r="M351" s="48" t="n"/>
      <c r="N351" s="48" t="n"/>
      <c r="O351" s="51">
        <f>IF(AND(B351="",G351="",C351="",D351="",J351=""),"",IF(B351="","⚠ Falta fecha",IF(G351="","⚠ Falta monto",IF(Q351="","⚠ Falta cuenta",IF(ISNA(MATCH(Q351,ctaNombre,0)),"⚠ Cuenta no registrada",IF(AND(OR(P351="Gasto",P351="Reembolso"),D351=""),"⚠ Falta categoría",IF(AND(D351&lt;&gt;"",E351&lt;&gt;"",ISNA(MATCH(D351&amp;"|"&amp;E351,catClave,0))),"⚠ Subcategoría no corresponde",IF(AND(OR(P351="Transferencia",P351="Pago tarjeta"),K351=""),"⚠ Falta cuenta destino",IF(AND(K351&lt;&gt;"",P351&lt;&gt;"Transferencia",P351&lt;&gt;"Pago tarjeta"),"⚠ Destino solo aplica a transferencias",IF(AND(K351&lt;&gt;"",K351=Q351),"⚠ Origen igual a destino",IF(AND(K351&lt;&gt;"",ISNA(MATCH(K351,ctaNombre,0))),"⚠ Destino no registrado",IF(AND(P351="Pago tarjeta",AE351&lt;&gt;"Tarjeta de crédito"),"⚠ El destino debe ser tarjeta de crédito",IF(AND(P351="Gasto",E351="Depósitos y retiros"),"⚠ Usa tipo Transferencia",IF(AND(P351="Resultado trading",AD351&lt;&gt;"Cuenta de trading"),"⚠ Usa una cuenta de trading",IF(AND(G351&lt;=0,P351&lt;&gt;"Ajuste",P351&lt;&gt;"Resultado trading"),"⚠ El monto debe ser positivo","✓")))))))))))))))</f>
        <v/>
      </c>
      <c r="P351" s="52">
        <f>IF(OR(B351="",G351=""),"",IF(C351="","Gasto",C351))</f>
        <v/>
      </c>
      <c r="Q351" s="52">
        <f>IF(P351="","",IF(J351&lt;&gt;"",J351,CuentaPred&amp;""))</f>
        <v/>
      </c>
      <c r="R351" s="52">
        <f>IF(P351="","",IF(ISNUMBER(I351),I351,TasaUSD))</f>
        <v/>
      </c>
      <c r="S351" s="53">
        <f>IF(P351="","",IF(H351="USD",G351*R351,G351))</f>
        <v/>
      </c>
      <c r="T351" s="53">
        <f>IF(P351="","",IF(H351="USD",G351,IF(R351&gt;0,G351/R351,0)))</f>
        <v/>
      </c>
      <c r="U351" s="53">
        <f>IF(P351="","",IF(P351="Gasto",S351,IF(P351="Reembolso",-S351,0)))</f>
        <v/>
      </c>
      <c r="V351" s="53">
        <f>IF(P351="","",IF(P351="Ingreso",S351,0))</f>
        <v/>
      </c>
      <c r="W351" s="53">
        <f>IF(P351="","",IF(P351="Resultado trading",S351,0))</f>
        <v/>
      </c>
      <c r="X351" s="52">
        <f>IF(OR(P351="Gasto",P351="Reembolso"),IF(M351&lt;&gt;"",M351,IFERROR(INDEX(catClasif,MATCH(D351&amp;"|"&amp;E351,catClave,0))&amp;"","Variable")),"")</f>
        <v/>
      </c>
      <c r="Y351" s="52">
        <f>IF(P351="","",IFERROR(INDEX(catGrupo,MATCH(D351&amp;"|"&amp;E351,catClave,0))&amp;"",""))</f>
        <v/>
      </c>
      <c r="Z351" s="52">
        <f>IF(P351="","",WEEKDAY(B351,2))</f>
        <v/>
      </c>
      <c r="AA351" s="52">
        <f>IF(P351="","",IF(AND(P351="Gasto",X351="Variable",D351&lt;&gt;catTrading,S351&gt;0,S351&lt;=Umbral),1,0))</f>
        <v/>
      </c>
      <c r="AB351" s="52">
        <f>IF(OR(P351="",Q351=""),"",IFERROR(IF(INDEX(ctaVinc,MATCH(Q351,ctaNombre,0))&amp;""&lt;&gt;"",INDEX(ctaVinc,MATCH(Q351,ctaNombre,0))&amp;"",Q351),Q351))</f>
        <v/>
      </c>
      <c r="AC351" s="52">
        <f>IF(OR(K351="",AND(P351&lt;&gt;"Transferencia",P351&lt;&gt;"Pago tarjeta")),"",IFERROR(IF(INDEX(ctaVinc,MATCH(K351,ctaNombre,0))&amp;""&lt;&gt;"",INDEX(ctaVinc,MATCH(K351,ctaNombre,0))&amp;"",K351),K351))</f>
        <v/>
      </c>
      <c r="AD351" s="52">
        <f>IF(AB351="","",IFERROR(INDEX(ctaTipo,MATCH(AB351,ctaNombre,0))&amp;"",""))</f>
        <v/>
      </c>
      <c r="AE351" s="52">
        <f>IF(AC351="","",IFERROR(INDEX(ctaTipo,MATCH(AC351,ctaNombre,0))&amp;"",""))</f>
        <v/>
      </c>
      <c r="AF351" s="53">
        <f>IF(OR(P351="",AB351=""),"",IF(OR(P351="Gasto",P351="Transferencia",P351="Pago tarjeta"),-1,1)*IF(IFERROR(INDEX(ctaMoneda,MATCH(AB351,ctaNombre,0))&amp;"","DOP")="USD",T351,S351))</f>
        <v/>
      </c>
      <c r="AG351" s="53">
        <f>IF(AC351="","",IF(IFERROR(INDEX(ctaMoneda,MATCH(AC351,ctaNombre,0))&amp;"","DOP")="USD",T351,S351))</f>
        <v/>
      </c>
      <c r="AH351" s="53">
        <f>IF(P351="","",IF(AND(AD351&lt;&gt;"",COUNTIFS(tcTipo,AD351,tcLiq,"Sí")&gt;0),IF(OR(P351="Gasto",P351="Transferencia",P351="Pago tarjeta"),-1,1)*S351,0)+IF(AND(AE351&lt;&gt;"",COUNTIFS(tcTipo,AE351,tcLiq,"Sí")&gt;0),S351,0))</f>
        <v/>
      </c>
      <c r="AI351" s="52">
        <f>IF(OR(L351="",P351=""),"",IF(COUNTIFS(L$6:L351,L351,P$6:P351,"?*")=1,MAX(AI$5:AI350)+1,""))</f>
        <v/>
      </c>
    </row>
    <row r="352">
      <c r="B352" s="47" t="n"/>
      <c r="C352" s="48" t="n"/>
      <c r="D352" s="48" t="n"/>
      <c r="E352" s="48" t="n"/>
      <c r="F352" s="48" t="n"/>
      <c r="G352" s="49" t="n"/>
      <c r="H352" s="48" t="n"/>
      <c r="I352" s="50" t="n"/>
      <c r="J352" s="48" t="n"/>
      <c r="K352" s="48" t="n"/>
      <c r="L352" s="48" t="n"/>
      <c r="M352" s="48" t="n"/>
      <c r="N352" s="48" t="n"/>
      <c r="O352" s="51">
        <f>IF(AND(B352="",G352="",C352="",D352="",J352=""),"",IF(B352="","⚠ Falta fecha",IF(G352="","⚠ Falta monto",IF(Q352="","⚠ Falta cuenta",IF(ISNA(MATCH(Q352,ctaNombre,0)),"⚠ Cuenta no registrada",IF(AND(OR(P352="Gasto",P352="Reembolso"),D352=""),"⚠ Falta categoría",IF(AND(D352&lt;&gt;"",E352&lt;&gt;"",ISNA(MATCH(D352&amp;"|"&amp;E352,catClave,0))),"⚠ Subcategoría no corresponde",IF(AND(OR(P352="Transferencia",P352="Pago tarjeta"),K352=""),"⚠ Falta cuenta destino",IF(AND(K352&lt;&gt;"",P352&lt;&gt;"Transferencia",P352&lt;&gt;"Pago tarjeta"),"⚠ Destino solo aplica a transferencias",IF(AND(K352&lt;&gt;"",K352=Q352),"⚠ Origen igual a destino",IF(AND(K352&lt;&gt;"",ISNA(MATCH(K352,ctaNombre,0))),"⚠ Destino no registrado",IF(AND(P352="Pago tarjeta",AE352&lt;&gt;"Tarjeta de crédito"),"⚠ El destino debe ser tarjeta de crédito",IF(AND(P352="Gasto",E352="Depósitos y retiros"),"⚠ Usa tipo Transferencia",IF(AND(P352="Resultado trading",AD352&lt;&gt;"Cuenta de trading"),"⚠ Usa una cuenta de trading",IF(AND(G352&lt;=0,P352&lt;&gt;"Ajuste",P352&lt;&gt;"Resultado trading"),"⚠ El monto debe ser positivo","✓")))))))))))))))</f>
        <v/>
      </c>
      <c r="P352" s="52">
        <f>IF(OR(B352="",G352=""),"",IF(C352="","Gasto",C352))</f>
        <v/>
      </c>
      <c r="Q352" s="52">
        <f>IF(P352="","",IF(J352&lt;&gt;"",J352,CuentaPred&amp;""))</f>
        <v/>
      </c>
      <c r="R352" s="52">
        <f>IF(P352="","",IF(ISNUMBER(I352),I352,TasaUSD))</f>
        <v/>
      </c>
      <c r="S352" s="53">
        <f>IF(P352="","",IF(H352="USD",G352*R352,G352))</f>
        <v/>
      </c>
      <c r="T352" s="53">
        <f>IF(P352="","",IF(H352="USD",G352,IF(R352&gt;0,G352/R352,0)))</f>
        <v/>
      </c>
      <c r="U352" s="53">
        <f>IF(P352="","",IF(P352="Gasto",S352,IF(P352="Reembolso",-S352,0)))</f>
        <v/>
      </c>
      <c r="V352" s="53">
        <f>IF(P352="","",IF(P352="Ingreso",S352,0))</f>
        <v/>
      </c>
      <c r="W352" s="53">
        <f>IF(P352="","",IF(P352="Resultado trading",S352,0))</f>
        <v/>
      </c>
      <c r="X352" s="52">
        <f>IF(OR(P352="Gasto",P352="Reembolso"),IF(M352&lt;&gt;"",M352,IFERROR(INDEX(catClasif,MATCH(D352&amp;"|"&amp;E352,catClave,0))&amp;"","Variable")),"")</f>
        <v/>
      </c>
      <c r="Y352" s="52">
        <f>IF(P352="","",IFERROR(INDEX(catGrupo,MATCH(D352&amp;"|"&amp;E352,catClave,0))&amp;"",""))</f>
        <v/>
      </c>
      <c r="Z352" s="52">
        <f>IF(P352="","",WEEKDAY(B352,2))</f>
        <v/>
      </c>
      <c r="AA352" s="52">
        <f>IF(P352="","",IF(AND(P352="Gasto",X352="Variable",D352&lt;&gt;catTrading,S352&gt;0,S352&lt;=Umbral),1,0))</f>
        <v/>
      </c>
      <c r="AB352" s="52">
        <f>IF(OR(P352="",Q352=""),"",IFERROR(IF(INDEX(ctaVinc,MATCH(Q352,ctaNombre,0))&amp;""&lt;&gt;"",INDEX(ctaVinc,MATCH(Q352,ctaNombre,0))&amp;"",Q352),Q352))</f>
        <v/>
      </c>
      <c r="AC352" s="52">
        <f>IF(OR(K352="",AND(P352&lt;&gt;"Transferencia",P352&lt;&gt;"Pago tarjeta")),"",IFERROR(IF(INDEX(ctaVinc,MATCH(K352,ctaNombre,0))&amp;""&lt;&gt;"",INDEX(ctaVinc,MATCH(K352,ctaNombre,0))&amp;"",K352),K352))</f>
        <v/>
      </c>
      <c r="AD352" s="52">
        <f>IF(AB352="","",IFERROR(INDEX(ctaTipo,MATCH(AB352,ctaNombre,0))&amp;"",""))</f>
        <v/>
      </c>
      <c r="AE352" s="52">
        <f>IF(AC352="","",IFERROR(INDEX(ctaTipo,MATCH(AC352,ctaNombre,0))&amp;"",""))</f>
        <v/>
      </c>
      <c r="AF352" s="53">
        <f>IF(OR(P352="",AB352=""),"",IF(OR(P352="Gasto",P352="Transferencia",P352="Pago tarjeta"),-1,1)*IF(IFERROR(INDEX(ctaMoneda,MATCH(AB352,ctaNombre,0))&amp;"","DOP")="USD",T352,S352))</f>
        <v/>
      </c>
      <c r="AG352" s="53">
        <f>IF(AC352="","",IF(IFERROR(INDEX(ctaMoneda,MATCH(AC352,ctaNombre,0))&amp;"","DOP")="USD",T352,S352))</f>
        <v/>
      </c>
      <c r="AH352" s="53">
        <f>IF(P352="","",IF(AND(AD352&lt;&gt;"",COUNTIFS(tcTipo,AD352,tcLiq,"Sí")&gt;0),IF(OR(P352="Gasto",P352="Transferencia",P352="Pago tarjeta"),-1,1)*S352,0)+IF(AND(AE352&lt;&gt;"",COUNTIFS(tcTipo,AE352,tcLiq,"Sí")&gt;0),S352,0))</f>
        <v/>
      </c>
      <c r="AI352" s="52">
        <f>IF(OR(L352="",P352=""),"",IF(COUNTIFS(L$6:L352,L352,P$6:P352,"?*")=1,MAX(AI$5:AI351)+1,""))</f>
        <v/>
      </c>
    </row>
    <row r="353">
      <c r="B353" s="47" t="n"/>
      <c r="C353" s="48" t="n"/>
      <c r="D353" s="48" t="n"/>
      <c r="E353" s="48" t="n"/>
      <c r="F353" s="48" t="n"/>
      <c r="G353" s="49" t="n"/>
      <c r="H353" s="48" t="n"/>
      <c r="I353" s="50" t="n"/>
      <c r="J353" s="48" t="n"/>
      <c r="K353" s="48" t="n"/>
      <c r="L353" s="48" t="n"/>
      <c r="M353" s="48" t="n"/>
      <c r="N353" s="48" t="n"/>
      <c r="O353" s="51">
        <f>IF(AND(B353="",G353="",C353="",D353="",J353=""),"",IF(B353="","⚠ Falta fecha",IF(G353="","⚠ Falta monto",IF(Q353="","⚠ Falta cuenta",IF(ISNA(MATCH(Q353,ctaNombre,0)),"⚠ Cuenta no registrada",IF(AND(OR(P353="Gasto",P353="Reembolso"),D353=""),"⚠ Falta categoría",IF(AND(D353&lt;&gt;"",E353&lt;&gt;"",ISNA(MATCH(D353&amp;"|"&amp;E353,catClave,0))),"⚠ Subcategoría no corresponde",IF(AND(OR(P353="Transferencia",P353="Pago tarjeta"),K353=""),"⚠ Falta cuenta destino",IF(AND(K353&lt;&gt;"",P353&lt;&gt;"Transferencia",P353&lt;&gt;"Pago tarjeta"),"⚠ Destino solo aplica a transferencias",IF(AND(K353&lt;&gt;"",K353=Q353),"⚠ Origen igual a destino",IF(AND(K353&lt;&gt;"",ISNA(MATCH(K353,ctaNombre,0))),"⚠ Destino no registrado",IF(AND(P353="Pago tarjeta",AE353&lt;&gt;"Tarjeta de crédito"),"⚠ El destino debe ser tarjeta de crédito",IF(AND(P353="Gasto",E353="Depósitos y retiros"),"⚠ Usa tipo Transferencia",IF(AND(P353="Resultado trading",AD353&lt;&gt;"Cuenta de trading"),"⚠ Usa una cuenta de trading",IF(AND(G353&lt;=0,P353&lt;&gt;"Ajuste",P353&lt;&gt;"Resultado trading"),"⚠ El monto debe ser positivo","✓")))))))))))))))</f>
        <v/>
      </c>
      <c r="P353" s="52">
        <f>IF(OR(B353="",G353=""),"",IF(C353="","Gasto",C353))</f>
        <v/>
      </c>
      <c r="Q353" s="52">
        <f>IF(P353="","",IF(J353&lt;&gt;"",J353,CuentaPred&amp;""))</f>
        <v/>
      </c>
      <c r="R353" s="52">
        <f>IF(P353="","",IF(ISNUMBER(I353),I353,TasaUSD))</f>
        <v/>
      </c>
      <c r="S353" s="53">
        <f>IF(P353="","",IF(H353="USD",G353*R353,G353))</f>
        <v/>
      </c>
      <c r="T353" s="53">
        <f>IF(P353="","",IF(H353="USD",G353,IF(R353&gt;0,G353/R353,0)))</f>
        <v/>
      </c>
      <c r="U353" s="53">
        <f>IF(P353="","",IF(P353="Gasto",S353,IF(P353="Reembolso",-S353,0)))</f>
        <v/>
      </c>
      <c r="V353" s="53">
        <f>IF(P353="","",IF(P353="Ingreso",S353,0))</f>
        <v/>
      </c>
      <c r="W353" s="53">
        <f>IF(P353="","",IF(P353="Resultado trading",S353,0))</f>
        <v/>
      </c>
      <c r="X353" s="52">
        <f>IF(OR(P353="Gasto",P353="Reembolso"),IF(M353&lt;&gt;"",M353,IFERROR(INDEX(catClasif,MATCH(D353&amp;"|"&amp;E353,catClave,0))&amp;"","Variable")),"")</f>
        <v/>
      </c>
      <c r="Y353" s="52">
        <f>IF(P353="","",IFERROR(INDEX(catGrupo,MATCH(D353&amp;"|"&amp;E353,catClave,0))&amp;"",""))</f>
        <v/>
      </c>
      <c r="Z353" s="52">
        <f>IF(P353="","",WEEKDAY(B353,2))</f>
        <v/>
      </c>
      <c r="AA353" s="52">
        <f>IF(P353="","",IF(AND(P353="Gasto",X353="Variable",D353&lt;&gt;catTrading,S353&gt;0,S353&lt;=Umbral),1,0))</f>
        <v/>
      </c>
      <c r="AB353" s="52">
        <f>IF(OR(P353="",Q353=""),"",IFERROR(IF(INDEX(ctaVinc,MATCH(Q353,ctaNombre,0))&amp;""&lt;&gt;"",INDEX(ctaVinc,MATCH(Q353,ctaNombre,0))&amp;"",Q353),Q353))</f>
        <v/>
      </c>
      <c r="AC353" s="52">
        <f>IF(OR(K353="",AND(P353&lt;&gt;"Transferencia",P353&lt;&gt;"Pago tarjeta")),"",IFERROR(IF(INDEX(ctaVinc,MATCH(K353,ctaNombre,0))&amp;""&lt;&gt;"",INDEX(ctaVinc,MATCH(K353,ctaNombre,0))&amp;"",K353),K353))</f>
        <v/>
      </c>
      <c r="AD353" s="52">
        <f>IF(AB353="","",IFERROR(INDEX(ctaTipo,MATCH(AB353,ctaNombre,0))&amp;"",""))</f>
        <v/>
      </c>
      <c r="AE353" s="52">
        <f>IF(AC353="","",IFERROR(INDEX(ctaTipo,MATCH(AC353,ctaNombre,0))&amp;"",""))</f>
        <v/>
      </c>
      <c r="AF353" s="53">
        <f>IF(OR(P353="",AB353=""),"",IF(OR(P353="Gasto",P353="Transferencia",P353="Pago tarjeta"),-1,1)*IF(IFERROR(INDEX(ctaMoneda,MATCH(AB353,ctaNombre,0))&amp;"","DOP")="USD",T353,S353))</f>
        <v/>
      </c>
      <c r="AG353" s="53">
        <f>IF(AC353="","",IF(IFERROR(INDEX(ctaMoneda,MATCH(AC353,ctaNombre,0))&amp;"","DOP")="USD",T353,S353))</f>
        <v/>
      </c>
      <c r="AH353" s="53">
        <f>IF(P353="","",IF(AND(AD353&lt;&gt;"",COUNTIFS(tcTipo,AD353,tcLiq,"Sí")&gt;0),IF(OR(P353="Gasto",P353="Transferencia",P353="Pago tarjeta"),-1,1)*S353,0)+IF(AND(AE353&lt;&gt;"",COUNTIFS(tcTipo,AE353,tcLiq,"Sí")&gt;0),S353,0))</f>
        <v/>
      </c>
      <c r="AI353" s="52">
        <f>IF(OR(L353="",P353=""),"",IF(COUNTIFS(L$6:L353,L353,P$6:P353,"?*")=1,MAX(AI$5:AI352)+1,""))</f>
        <v/>
      </c>
    </row>
    <row r="354">
      <c r="B354" s="47" t="n"/>
      <c r="C354" s="48" t="n"/>
      <c r="D354" s="48" t="n"/>
      <c r="E354" s="48" t="n"/>
      <c r="F354" s="48" t="n"/>
      <c r="G354" s="49" t="n"/>
      <c r="H354" s="48" t="n"/>
      <c r="I354" s="50" t="n"/>
      <c r="J354" s="48" t="n"/>
      <c r="K354" s="48" t="n"/>
      <c r="L354" s="48" t="n"/>
      <c r="M354" s="48" t="n"/>
      <c r="N354" s="48" t="n"/>
      <c r="O354" s="51">
        <f>IF(AND(B354="",G354="",C354="",D354="",J354=""),"",IF(B354="","⚠ Falta fecha",IF(G354="","⚠ Falta monto",IF(Q354="","⚠ Falta cuenta",IF(ISNA(MATCH(Q354,ctaNombre,0)),"⚠ Cuenta no registrada",IF(AND(OR(P354="Gasto",P354="Reembolso"),D354=""),"⚠ Falta categoría",IF(AND(D354&lt;&gt;"",E354&lt;&gt;"",ISNA(MATCH(D354&amp;"|"&amp;E354,catClave,0))),"⚠ Subcategoría no corresponde",IF(AND(OR(P354="Transferencia",P354="Pago tarjeta"),K354=""),"⚠ Falta cuenta destino",IF(AND(K354&lt;&gt;"",P354&lt;&gt;"Transferencia",P354&lt;&gt;"Pago tarjeta"),"⚠ Destino solo aplica a transferencias",IF(AND(K354&lt;&gt;"",K354=Q354),"⚠ Origen igual a destino",IF(AND(K354&lt;&gt;"",ISNA(MATCH(K354,ctaNombre,0))),"⚠ Destino no registrado",IF(AND(P354="Pago tarjeta",AE354&lt;&gt;"Tarjeta de crédito"),"⚠ El destino debe ser tarjeta de crédito",IF(AND(P354="Gasto",E354="Depósitos y retiros"),"⚠ Usa tipo Transferencia",IF(AND(P354="Resultado trading",AD354&lt;&gt;"Cuenta de trading"),"⚠ Usa una cuenta de trading",IF(AND(G354&lt;=0,P354&lt;&gt;"Ajuste",P354&lt;&gt;"Resultado trading"),"⚠ El monto debe ser positivo","✓")))))))))))))))</f>
        <v/>
      </c>
      <c r="P354" s="52">
        <f>IF(OR(B354="",G354=""),"",IF(C354="","Gasto",C354))</f>
        <v/>
      </c>
      <c r="Q354" s="52">
        <f>IF(P354="","",IF(J354&lt;&gt;"",J354,CuentaPred&amp;""))</f>
        <v/>
      </c>
      <c r="R354" s="52">
        <f>IF(P354="","",IF(ISNUMBER(I354),I354,TasaUSD))</f>
        <v/>
      </c>
      <c r="S354" s="53">
        <f>IF(P354="","",IF(H354="USD",G354*R354,G354))</f>
        <v/>
      </c>
      <c r="T354" s="53">
        <f>IF(P354="","",IF(H354="USD",G354,IF(R354&gt;0,G354/R354,0)))</f>
        <v/>
      </c>
      <c r="U354" s="53">
        <f>IF(P354="","",IF(P354="Gasto",S354,IF(P354="Reembolso",-S354,0)))</f>
        <v/>
      </c>
      <c r="V354" s="53">
        <f>IF(P354="","",IF(P354="Ingreso",S354,0))</f>
        <v/>
      </c>
      <c r="W354" s="53">
        <f>IF(P354="","",IF(P354="Resultado trading",S354,0))</f>
        <v/>
      </c>
      <c r="X354" s="52">
        <f>IF(OR(P354="Gasto",P354="Reembolso"),IF(M354&lt;&gt;"",M354,IFERROR(INDEX(catClasif,MATCH(D354&amp;"|"&amp;E354,catClave,0))&amp;"","Variable")),"")</f>
        <v/>
      </c>
      <c r="Y354" s="52">
        <f>IF(P354="","",IFERROR(INDEX(catGrupo,MATCH(D354&amp;"|"&amp;E354,catClave,0))&amp;"",""))</f>
        <v/>
      </c>
      <c r="Z354" s="52">
        <f>IF(P354="","",WEEKDAY(B354,2))</f>
        <v/>
      </c>
      <c r="AA354" s="52">
        <f>IF(P354="","",IF(AND(P354="Gasto",X354="Variable",D354&lt;&gt;catTrading,S354&gt;0,S354&lt;=Umbral),1,0))</f>
        <v/>
      </c>
      <c r="AB354" s="52">
        <f>IF(OR(P354="",Q354=""),"",IFERROR(IF(INDEX(ctaVinc,MATCH(Q354,ctaNombre,0))&amp;""&lt;&gt;"",INDEX(ctaVinc,MATCH(Q354,ctaNombre,0))&amp;"",Q354),Q354))</f>
        <v/>
      </c>
      <c r="AC354" s="52">
        <f>IF(OR(K354="",AND(P354&lt;&gt;"Transferencia",P354&lt;&gt;"Pago tarjeta")),"",IFERROR(IF(INDEX(ctaVinc,MATCH(K354,ctaNombre,0))&amp;""&lt;&gt;"",INDEX(ctaVinc,MATCH(K354,ctaNombre,0))&amp;"",K354),K354))</f>
        <v/>
      </c>
      <c r="AD354" s="52">
        <f>IF(AB354="","",IFERROR(INDEX(ctaTipo,MATCH(AB354,ctaNombre,0))&amp;"",""))</f>
        <v/>
      </c>
      <c r="AE354" s="52">
        <f>IF(AC354="","",IFERROR(INDEX(ctaTipo,MATCH(AC354,ctaNombre,0))&amp;"",""))</f>
        <v/>
      </c>
      <c r="AF354" s="53">
        <f>IF(OR(P354="",AB354=""),"",IF(OR(P354="Gasto",P354="Transferencia",P354="Pago tarjeta"),-1,1)*IF(IFERROR(INDEX(ctaMoneda,MATCH(AB354,ctaNombre,0))&amp;"","DOP")="USD",T354,S354))</f>
        <v/>
      </c>
      <c r="AG354" s="53">
        <f>IF(AC354="","",IF(IFERROR(INDEX(ctaMoneda,MATCH(AC354,ctaNombre,0))&amp;"","DOP")="USD",T354,S354))</f>
        <v/>
      </c>
      <c r="AH354" s="53">
        <f>IF(P354="","",IF(AND(AD354&lt;&gt;"",COUNTIFS(tcTipo,AD354,tcLiq,"Sí")&gt;0),IF(OR(P354="Gasto",P354="Transferencia",P354="Pago tarjeta"),-1,1)*S354,0)+IF(AND(AE354&lt;&gt;"",COUNTIFS(tcTipo,AE354,tcLiq,"Sí")&gt;0),S354,0))</f>
        <v/>
      </c>
      <c r="AI354" s="52">
        <f>IF(OR(L354="",P354=""),"",IF(COUNTIFS(L$6:L354,L354,P$6:P354,"?*")=1,MAX(AI$5:AI353)+1,""))</f>
        <v/>
      </c>
    </row>
    <row r="355">
      <c r="B355" s="47" t="n"/>
      <c r="C355" s="48" t="n"/>
      <c r="D355" s="48" t="n"/>
      <c r="E355" s="48" t="n"/>
      <c r="F355" s="48" t="n"/>
      <c r="G355" s="49" t="n"/>
      <c r="H355" s="48" t="n"/>
      <c r="I355" s="50" t="n"/>
      <c r="J355" s="48" t="n"/>
      <c r="K355" s="48" t="n"/>
      <c r="L355" s="48" t="n"/>
      <c r="M355" s="48" t="n"/>
      <c r="N355" s="48" t="n"/>
      <c r="O355" s="51">
        <f>IF(AND(B355="",G355="",C355="",D355="",J355=""),"",IF(B355="","⚠ Falta fecha",IF(G355="","⚠ Falta monto",IF(Q355="","⚠ Falta cuenta",IF(ISNA(MATCH(Q355,ctaNombre,0)),"⚠ Cuenta no registrada",IF(AND(OR(P355="Gasto",P355="Reembolso"),D355=""),"⚠ Falta categoría",IF(AND(D355&lt;&gt;"",E355&lt;&gt;"",ISNA(MATCH(D355&amp;"|"&amp;E355,catClave,0))),"⚠ Subcategoría no corresponde",IF(AND(OR(P355="Transferencia",P355="Pago tarjeta"),K355=""),"⚠ Falta cuenta destino",IF(AND(K355&lt;&gt;"",P355&lt;&gt;"Transferencia",P355&lt;&gt;"Pago tarjeta"),"⚠ Destino solo aplica a transferencias",IF(AND(K355&lt;&gt;"",K355=Q355),"⚠ Origen igual a destino",IF(AND(K355&lt;&gt;"",ISNA(MATCH(K355,ctaNombre,0))),"⚠ Destino no registrado",IF(AND(P355="Pago tarjeta",AE355&lt;&gt;"Tarjeta de crédito"),"⚠ El destino debe ser tarjeta de crédito",IF(AND(P355="Gasto",E355="Depósitos y retiros"),"⚠ Usa tipo Transferencia",IF(AND(P355="Resultado trading",AD355&lt;&gt;"Cuenta de trading"),"⚠ Usa una cuenta de trading",IF(AND(G355&lt;=0,P355&lt;&gt;"Ajuste",P355&lt;&gt;"Resultado trading"),"⚠ El monto debe ser positivo","✓")))))))))))))))</f>
        <v/>
      </c>
      <c r="P355" s="52">
        <f>IF(OR(B355="",G355=""),"",IF(C355="","Gasto",C355))</f>
        <v/>
      </c>
      <c r="Q355" s="52">
        <f>IF(P355="","",IF(J355&lt;&gt;"",J355,CuentaPred&amp;""))</f>
        <v/>
      </c>
      <c r="R355" s="52">
        <f>IF(P355="","",IF(ISNUMBER(I355),I355,TasaUSD))</f>
        <v/>
      </c>
      <c r="S355" s="53">
        <f>IF(P355="","",IF(H355="USD",G355*R355,G355))</f>
        <v/>
      </c>
      <c r="T355" s="53">
        <f>IF(P355="","",IF(H355="USD",G355,IF(R355&gt;0,G355/R355,0)))</f>
        <v/>
      </c>
      <c r="U355" s="53">
        <f>IF(P355="","",IF(P355="Gasto",S355,IF(P355="Reembolso",-S355,0)))</f>
        <v/>
      </c>
      <c r="V355" s="53">
        <f>IF(P355="","",IF(P355="Ingreso",S355,0))</f>
        <v/>
      </c>
      <c r="W355" s="53">
        <f>IF(P355="","",IF(P355="Resultado trading",S355,0))</f>
        <v/>
      </c>
      <c r="X355" s="52">
        <f>IF(OR(P355="Gasto",P355="Reembolso"),IF(M355&lt;&gt;"",M355,IFERROR(INDEX(catClasif,MATCH(D355&amp;"|"&amp;E355,catClave,0))&amp;"","Variable")),"")</f>
        <v/>
      </c>
      <c r="Y355" s="52">
        <f>IF(P355="","",IFERROR(INDEX(catGrupo,MATCH(D355&amp;"|"&amp;E355,catClave,0))&amp;"",""))</f>
        <v/>
      </c>
      <c r="Z355" s="52">
        <f>IF(P355="","",WEEKDAY(B355,2))</f>
        <v/>
      </c>
      <c r="AA355" s="52">
        <f>IF(P355="","",IF(AND(P355="Gasto",X355="Variable",D355&lt;&gt;catTrading,S355&gt;0,S355&lt;=Umbral),1,0))</f>
        <v/>
      </c>
      <c r="AB355" s="52">
        <f>IF(OR(P355="",Q355=""),"",IFERROR(IF(INDEX(ctaVinc,MATCH(Q355,ctaNombre,0))&amp;""&lt;&gt;"",INDEX(ctaVinc,MATCH(Q355,ctaNombre,0))&amp;"",Q355),Q355))</f>
        <v/>
      </c>
      <c r="AC355" s="52">
        <f>IF(OR(K355="",AND(P355&lt;&gt;"Transferencia",P355&lt;&gt;"Pago tarjeta")),"",IFERROR(IF(INDEX(ctaVinc,MATCH(K355,ctaNombre,0))&amp;""&lt;&gt;"",INDEX(ctaVinc,MATCH(K355,ctaNombre,0))&amp;"",K355),K355))</f>
        <v/>
      </c>
      <c r="AD355" s="52">
        <f>IF(AB355="","",IFERROR(INDEX(ctaTipo,MATCH(AB355,ctaNombre,0))&amp;"",""))</f>
        <v/>
      </c>
      <c r="AE355" s="52">
        <f>IF(AC355="","",IFERROR(INDEX(ctaTipo,MATCH(AC355,ctaNombre,0))&amp;"",""))</f>
        <v/>
      </c>
      <c r="AF355" s="53">
        <f>IF(OR(P355="",AB355=""),"",IF(OR(P355="Gasto",P355="Transferencia",P355="Pago tarjeta"),-1,1)*IF(IFERROR(INDEX(ctaMoneda,MATCH(AB355,ctaNombre,0))&amp;"","DOP")="USD",T355,S355))</f>
        <v/>
      </c>
      <c r="AG355" s="53">
        <f>IF(AC355="","",IF(IFERROR(INDEX(ctaMoneda,MATCH(AC355,ctaNombre,0))&amp;"","DOP")="USD",T355,S355))</f>
        <v/>
      </c>
      <c r="AH355" s="53">
        <f>IF(P355="","",IF(AND(AD355&lt;&gt;"",COUNTIFS(tcTipo,AD355,tcLiq,"Sí")&gt;0),IF(OR(P355="Gasto",P355="Transferencia",P355="Pago tarjeta"),-1,1)*S355,0)+IF(AND(AE355&lt;&gt;"",COUNTIFS(tcTipo,AE355,tcLiq,"Sí")&gt;0),S355,0))</f>
        <v/>
      </c>
      <c r="AI355" s="52">
        <f>IF(OR(L355="",P355=""),"",IF(COUNTIFS(L$6:L355,L355,P$6:P355,"?*")=1,MAX(AI$5:AI354)+1,""))</f>
        <v/>
      </c>
    </row>
    <row r="356">
      <c r="B356" s="47" t="n"/>
      <c r="C356" s="48" t="n"/>
      <c r="D356" s="48" t="n"/>
      <c r="E356" s="48" t="n"/>
      <c r="F356" s="48" t="n"/>
      <c r="G356" s="49" t="n"/>
      <c r="H356" s="48" t="n"/>
      <c r="I356" s="50" t="n"/>
      <c r="J356" s="48" t="n"/>
      <c r="K356" s="48" t="n"/>
      <c r="L356" s="48" t="n"/>
      <c r="M356" s="48" t="n"/>
      <c r="N356" s="48" t="n"/>
      <c r="O356" s="51">
        <f>IF(AND(B356="",G356="",C356="",D356="",J356=""),"",IF(B356="","⚠ Falta fecha",IF(G356="","⚠ Falta monto",IF(Q356="","⚠ Falta cuenta",IF(ISNA(MATCH(Q356,ctaNombre,0)),"⚠ Cuenta no registrada",IF(AND(OR(P356="Gasto",P356="Reembolso"),D356=""),"⚠ Falta categoría",IF(AND(D356&lt;&gt;"",E356&lt;&gt;"",ISNA(MATCH(D356&amp;"|"&amp;E356,catClave,0))),"⚠ Subcategoría no corresponde",IF(AND(OR(P356="Transferencia",P356="Pago tarjeta"),K356=""),"⚠ Falta cuenta destino",IF(AND(K356&lt;&gt;"",P356&lt;&gt;"Transferencia",P356&lt;&gt;"Pago tarjeta"),"⚠ Destino solo aplica a transferencias",IF(AND(K356&lt;&gt;"",K356=Q356),"⚠ Origen igual a destino",IF(AND(K356&lt;&gt;"",ISNA(MATCH(K356,ctaNombre,0))),"⚠ Destino no registrado",IF(AND(P356="Pago tarjeta",AE356&lt;&gt;"Tarjeta de crédito"),"⚠ El destino debe ser tarjeta de crédito",IF(AND(P356="Gasto",E356="Depósitos y retiros"),"⚠ Usa tipo Transferencia",IF(AND(P356="Resultado trading",AD356&lt;&gt;"Cuenta de trading"),"⚠ Usa una cuenta de trading",IF(AND(G356&lt;=0,P356&lt;&gt;"Ajuste",P356&lt;&gt;"Resultado trading"),"⚠ El monto debe ser positivo","✓")))))))))))))))</f>
        <v/>
      </c>
      <c r="P356" s="52">
        <f>IF(OR(B356="",G356=""),"",IF(C356="","Gasto",C356))</f>
        <v/>
      </c>
      <c r="Q356" s="52">
        <f>IF(P356="","",IF(J356&lt;&gt;"",J356,CuentaPred&amp;""))</f>
        <v/>
      </c>
      <c r="R356" s="52">
        <f>IF(P356="","",IF(ISNUMBER(I356),I356,TasaUSD))</f>
        <v/>
      </c>
      <c r="S356" s="53">
        <f>IF(P356="","",IF(H356="USD",G356*R356,G356))</f>
        <v/>
      </c>
      <c r="T356" s="53">
        <f>IF(P356="","",IF(H356="USD",G356,IF(R356&gt;0,G356/R356,0)))</f>
        <v/>
      </c>
      <c r="U356" s="53">
        <f>IF(P356="","",IF(P356="Gasto",S356,IF(P356="Reembolso",-S356,0)))</f>
        <v/>
      </c>
      <c r="V356" s="53">
        <f>IF(P356="","",IF(P356="Ingreso",S356,0))</f>
        <v/>
      </c>
      <c r="W356" s="53">
        <f>IF(P356="","",IF(P356="Resultado trading",S356,0))</f>
        <v/>
      </c>
      <c r="X356" s="52">
        <f>IF(OR(P356="Gasto",P356="Reembolso"),IF(M356&lt;&gt;"",M356,IFERROR(INDEX(catClasif,MATCH(D356&amp;"|"&amp;E356,catClave,0))&amp;"","Variable")),"")</f>
        <v/>
      </c>
      <c r="Y356" s="52">
        <f>IF(P356="","",IFERROR(INDEX(catGrupo,MATCH(D356&amp;"|"&amp;E356,catClave,0))&amp;"",""))</f>
        <v/>
      </c>
      <c r="Z356" s="52">
        <f>IF(P356="","",WEEKDAY(B356,2))</f>
        <v/>
      </c>
      <c r="AA356" s="52">
        <f>IF(P356="","",IF(AND(P356="Gasto",X356="Variable",D356&lt;&gt;catTrading,S356&gt;0,S356&lt;=Umbral),1,0))</f>
        <v/>
      </c>
      <c r="AB356" s="52">
        <f>IF(OR(P356="",Q356=""),"",IFERROR(IF(INDEX(ctaVinc,MATCH(Q356,ctaNombre,0))&amp;""&lt;&gt;"",INDEX(ctaVinc,MATCH(Q356,ctaNombre,0))&amp;"",Q356),Q356))</f>
        <v/>
      </c>
      <c r="AC356" s="52">
        <f>IF(OR(K356="",AND(P356&lt;&gt;"Transferencia",P356&lt;&gt;"Pago tarjeta")),"",IFERROR(IF(INDEX(ctaVinc,MATCH(K356,ctaNombre,0))&amp;""&lt;&gt;"",INDEX(ctaVinc,MATCH(K356,ctaNombre,0))&amp;"",K356),K356))</f>
        <v/>
      </c>
      <c r="AD356" s="52">
        <f>IF(AB356="","",IFERROR(INDEX(ctaTipo,MATCH(AB356,ctaNombre,0))&amp;"",""))</f>
        <v/>
      </c>
      <c r="AE356" s="52">
        <f>IF(AC356="","",IFERROR(INDEX(ctaTipo,MATCH(AC356,ctaNombre,0))&amp;"",""))</f>
        <v/>
      </c>
      <c r="AF356" s="53">
        <f>IF(OR(P356="",AB356=""),"",IF(OR(P356="Gasto",P356="Transferencia",P356="Pago tarjeta"),-1,1)*IF(IFERROR(INDEX(ctaMoneda,MATCH(AB356,ctaNombre,0))&amp;"","DOP")="USD",T356,S356))</f>
        <v/>
      </c>
      <c r="AG356" s="53">
        <f>IF(AC356="","",IF(IFERROR(INDEX(ctaMoneda,MATCH(AC356,ctaNombre,0))&amp;"","DOP")="USD",T356,S356))</f>
        <v/>
      </c>
      <c r="AH356" s="53">
        <f>IF(P356="","",IF(AND(AD356&lt;&gt;"",COUNTIFS(tcTipo,AD356,tcLiq,"Sí")&gt;0),IF(OR(P356="Gasto",P356="Transferencia",P356="Pago tarjeta"),-1,1)*S356,0)+IF(AND(AE356&lt;&gt;"",COUNTIFS(tcTipo,AE356,tcLiq,"Sí")&gt;0),S356,0))</f>
        <v/>
      </c>
      <c r="AI356" s="52">
        <f>IF(OR(L356="",P356=""),"",IF(COUNTIFS(L$6:L356,L356,P$6:P356,"?*")=1,MAX(AI$5:AI355)+1,""))</f>
        <v/>
      </c>
    </row>
    <row r="357">
      <c r="B357" s="47" t="n"/>
      <c r="C357" s="48" t="n"/>
      <c r="D357" s="48" t="n"/>
      <c r="E357" s="48" t="n"/>
      <c r="F357" s="48" t="n"/>
      <c r="G357" s="49" t="n"/>
      <c r="H357" s="48" t="n"/>
      <c r="I357" s="50" t="n"/>
      <c r="J357" s="48" t="n"/>
      <c r="K357" s="48" t="n"/>
      <c r="L357" s="48" t="n"/>
      <c r="M357" s="48" t="n"/>
      <c r="N357" s="48" t="n"/>
      <c r="O357" s="51">
        <f>IF(AND(B357="",G357="",C357="",D357="",J357=""),"",IF(B357="","⚠ Falta fecha",IF(G357="","⚠ Falta monto",IF(Q357="","⚠ Falta cuenta",IF(ISNA(MATCH(Q357,ctaNombre,0)),"⚠ Cuenta no registrada",IF(AND(OR(P357="Gasto",P357="Reembolso"),D357=""),"⚠ Falta categoría",IF(AND(D357&lt;&gt;"",E357&lt;&gt;"",ISNA(MATCH(D357&amp;"|"&amp;E357,catClave,0))),"⚠ Subcategoría no corresponde",IF(AND(OR(P357="Transferencia",P357="Pago tarjeta"),K357=""),"⚠ Falta cuenta destino",IF(AND(K357&lt;&gt;"",P357&lt;&gt;"Transferencia",P357&lt;&gt;"Pago tarjeta"),"⚠ Destino solo aplica a transferencias",IF(AND(K357&lt;&gt;"",K357=Q357),"⚠ Origen igual a destino",IF(AND(K357&lt;&gt;"",ISNA(MATCH(K357,ctaNombre,0))),"⚠ Destino no registrado",IF(AND(P357="Pago tarjeta",AE357&lt;&gt;"Tarjeta de crédito"),"⚠ El destino debe ser tarjeta de crédito",IF(AND(P357="Gasto",E357="Depósitos y retiros"),"⚠ Usa tipo Transferencia",IF(AND(P357="Resultado trading",AD357&lt;&gt;"Cuenta de trading"),"⚠ Usa una cuenta de trading",IF(AND(G357&lt;=0,P357&lt;&gt;"Ajuste",P357&lt;&gt;"Resultado trading"),"⚠ El monto debe ser positivo","✓")))))))))))))))</f>
        <v/>
      </c>
      <c r="P357" s="52">
        <f>IF(OR(B357="",G357=""),"",IF(C357="","Gasto",C357))</f>
        <v/>
      </c>
      <c r="Q357" s="52">
        <f>IF(P357="","",IF(J357&lt;&gt;"",J357,CuentaPred&amp;""))</f>
        <v/>
      </c>
      <c r="R357" s="52">
        <f>IF(P357="","",IF(ISNUMBER(I357),I357,TasaUSD))</f>
        <v/>
      </c>
      <c r="S357" s="53">
        <f>IF(P357="","",IF(H357="USD",G357*R357,G357))</f>
        <v/>
      </c>
      <c r="T357" s="53">
        <f>IF(P357="","",IF(H357="USD",G357,IF(R357&gt;0,G357/R357,0)))</f>
        <v/>
      </c>
      <c r="U357" s="53">
        <f>IF(P357="","",IF(P357="Gasto",S357,IF(P357="Reembolso",-S357,0)))</f>
        <v/>
      </c>
      <c r="V357" s="53">
        <f>IF(P357="","",IF(P357="Ingreso",S357,0))</f>
        <v/>
      </c>
      <c r="W357" s="53">
        <f>IF(P357="","",IF(P357="Resultado trading",S357,0))</f>
        <v/>
      </c>
      <c r="X357" s="52">
        <f>IF(OR(P357="Gasto",P357="Reembolso"),IF(M357&lt;&gt;"",M357,IFERROR(INDEX(catClasif,MATCH(D357&amp;"|"&amp;E357,catClave,0))&amp;"","Variable")),"")</f>
        <v/>
      </c>
      <c r="Y357" s="52">
        <f>IF(P357="","",IFERROR(INDEX(catGrupo,MATCH(D357&amp;"|"&amp;E357,catClave,0))&amp;"",""))</f>
        <v/>
      </c>
      <c r="Z357" s="52">
        <f>IF(P357="","",WEEKDAY(B357,2))</f>
        <v/>
      </c>
      <c r="AA357" s="52">
        <f>IF(P357="","",IF(AND(P357="Gasto",X357="Variable",D357&lt;&gt;catTrading,S357&gt;0,S357&lt;=Umbral),1,0))</f>
        <v/>
      </c>
      <c r="AB357" s="52">
        <f>IF(OR(P357="",Q357=""),"",IFERROR(IF(INDEX(ctaVinc,MATCH(Q357,ctaNombre,0))&amp;""&lt;&gt;"",INDEX(ctaVinc,MATCH(Q357,ctaNombre,0))&amp;"",Q357),Q357))</f>
        <v/>
      </c>
      <c r="AC357" s="52">
        <f>IF(OR(K357="",AND(P357&lt;&gt;"Transferencia",P357&lt;&gt;"Pago tarjeta")),"",IFERROR(IF(INDEX(ctaVinc,MATCH(K357,ctaNombre,0))&amp;""&lt;&gt;"",INDEX(ctaVinc,MATCH(K357,ctaNombre,0))&amp;"",K357),K357))</f>
        <v/>
      </c>
      <c r="AD357" s="52">
        <f>IF(AB357="","",IFERROR(INDEX(ctaTipo,MATCH(AB357,ctaNombre,0))&amp;"",""))</f>
        <v/>
      </c>
      <c r="AE357" s="52">
        <f>IF(AC357="","",IFERROR(INDEX(ctaTipo,MATCH(AC357,ctaNombre,0))&amp;"",""))</f>
        <v/>
      </c>
      <c r="AF357" s="53">
        <f>IF(OR(P357="",AB357=""),"",IF(OR(P357="Gasto",P357="Transferencia",P357="Pago tarjeta"),-1,1)*IF(IFERROR(INDEX(ctaMoneda,MATCH(AB357,ctaNombre,0))&amp;"","DOP")="USD",T357,S357))</f>
        <v/>
      </c>
      <c r="AG357" s="53">
        <f>IF(AC357="","",IF(IFERROR(INDEX(ctaMoneda,MATCH(AC357,ctaNombre,0))&amp;"","DOP")="USD",T357,S357))</f>
        <v/>
      </c>
      <c r="AH357" s="53">
        <f>IF(P357="","",IF(AND(AD357&lt;&gt;"",COUNTIFS(tcTipo,AD357,tcLiq,"Sí")&gt;0),IF(OR(P357="Gasto",P357="Transferencia",P357="Pago tarjeta"),-1,1)*S357,0)+IF(AND(AE357&lt;&gt;"",COUNTIFS(tcTipo,AE357,tcLiq,"Sí")&gt;0),S357,0))</f>
        <v/>
      </c>
      <c r="AI357" s="52">
        <f>IF(OR(L357="",P357=""),"",IF(COUNTIFS(L$6:L357,L357,P$6:P357,"?*")=1,MAX(AI$5:AI356)+1,""))</f>
        <v/>
      </c>
    </row>
    <row r="358">
      <c r="B358" s="47" t="n"/>
      <c r="C358" s="48" t="n"/>
      <c r="D358" s="48" t="n"/>
      <c r="E358" s="48" t="n"/>
      <c r="F358" s="48" t="n"/>
      <c r="G358" s="49" t="n"/>
      <c r="H358" s="48" t="n"/>
      <c r="I358" s="50" t="n"/>
      <c r="J358" s="48" t="n"/>
      <c r="K358" s="48" t="n"/>
      <c r="L358" s="48" t="n"/>
      <c r="M358" s="48" t="n"/>
      <c r="N358" s="48" t="n"/>
      <c r="O358" s="51">
        <f>IF(AND(B358="",G358="",C358="",D358="",J358=""),"",IF(B358="","⚠ Falta fecha",IF(G358="","⚠ Falta monto",IF(Q358="","⚠ Falta cuenta",IF(ISNA(MATCH(Q358,ctaNombre,0)),"⚠ Cuenta no registrada",IF(AND(OR(P358="Gasto",P358="Reembolso"),D358=""),"⚠ Falta categoría",IF(AND(D358&lt;&gt;"",E358&lt;&gt;"",ISNA(MATCH(D358&amp;"|"&amp;E358,catClave,0))),"⚠ Subcategoría no corresponde",IF(AND(OR(P358="Transferencia",P358="Pago tarjeta"),K358=""),"⚠ Falta cuenta destino",IF(AND(K358&lt;&gt;"",P358&lt;&gt;"Transferencia",P358&lt;&gt;"Pago tarjeta"),"⚠ Destino solo aplica a transferencias",IF(AND(K358&lt;&gt;"",K358=Q358),"⚠ Origen igual a destino",IF(AND(K358&lt;&gt;"",ISNA(MATCH(K358,ctaNombre,0))),"⚠ Destino no registrado",IF(AND(P358="Pago tarjeta",AE358&lt;&gt;"Tarjeta de crédito"),"⚠ El destino debe ser tarjeta de crédito",IF(AND(P358="Gasto",E358="Depósitos y retiros"),"⚠ Usa tipo Transferencia",IF(AND(P358="Resultado trading",AD358&lt;&gt;"Cuenta de trading"),"⚠ Usa una cuenta de trading",IF(AND(G358&lt;=0,P358&lt;&gt;"Ajuste",P358&lt;&gt;"Resultado trading"),"⚠ El monto debe ser positivo","✓")))))))))))))))</f>
        <v/>
      </c>
      <c r="P358" s="52">
        <f>IF(OR(B358="",G358=""),"",IF(C358="","Gasto",C358))</f>
        <v/>
      </c>
      <c r="Q358" s="52">
        <f>IF(P358="","",IF(J358&lt;&gt;"",J358,CuentaPred&amp;""))</f>
        <v/>
      </c>
      <c r="R358" s="52">
        <f>IF(P358="","",IF(ISNUMBER(I358),I358,TasaUSD))</f>
        <v/>
      </c>
      <c r="S358" s="53">
        <f>IF(P358="","",IF(H358="USD",G358*R358,G358))</f>
        <v/>
      </c>
      <c r="T358" s="53">
        <f>IF(P358="","",IF(H358="USD",G358,IF(R358&gt;0,G358/R358,0)))</f>
        <v/>
      </c>
      <c r="U358" s="53">
        <f>IF(P358="","",IF(P358="Gasto",S358,IF(P358="Reembolso",-S358,0)))</f>
        <v/>
      </c>
      <c r="V358" s="53">
        <f>IF(P358="","",IF(P358="Ingreso",S358,0))</f>
        <v/>
      </c>
      <c r="W358" s="53">
        <f>IF(P358="","",IF(P358="Resultado trading",S358,0))</f>
        <v/>
      </c>
      <c r="X358" s="52">
        <f>IF(OR(P358="Gasto",P358="Reembolso"),IF(M358&lt;&gt;"",M358,IFERROR(INDEX(catClasif,MATCH(D358&amp;"|"&amp;E358,catClave,0))&amp;"","Variable")),"")</f>
        <v/>
      </c>
      <c r="Y358" s="52">
        <f>IF(P358="","",IFERROR(INDEX(catGrupo,MATCH(D358&amp;"|"&amp;E358,catClave,0))&amp;"",""))</f>
        <v/>
      </c>
      <c r="Z358" s="52">
        <f>IF(P358="","",WEEKDAY(B358,2))</f>
        <v/>
      </c>
      <c r="AA358" s="52">
        <f>IF(P358="","",IF(AND(P358="Gasto",X358="Variable",D358&lt;&gt;catTrading,S358&gt;0,S358&lt;=Umbral),1,0))</f>
        <v/>
      </c>
      <c r="AB358" s="52">
        <f>IF(OR(P358="",Q358=""),"",IFERROR(IF(INDEX(ctaVinc,MATCH(Q358,ctaNombre,0))&amp;""&lt;&gt;"",INDEX(ctaVinc,MATCH(Q358,ctaNombre,0))&amp;"",Q358),Q358))</f>
        <v/>
      </c>
      <c r="AC358" s="52">
        <f>IF(OR(K358="",AND(P358&lt;&gt;"Transferencia",P358&lt;&gt;"Pago tarjeta")),"",IFERROR(IF(INDEX(ctaVinc,MATCH(K358,ctaNombre,0))&amp;""&lt;&gt;"",INDEX(ctaVinc,MATCH(K358,ctaNombre,0))&amp;"",K358),K358))</f>
        <v/>
      </c>
      <c r="AD358" s="52">
        <f>IF(AB358="","",IFERROR(INDEX(ctaTipo,MATCH(AB358,ctaNombre,0))&amp;"",""))</f>
        <v/>
      </c>
      <c r="AE358" s="52">
        <f>IF(AC358="","",IFERROR(INDEX(ctaTipo,MATCH(AC358,ctaNombre,0))&amp;"",""))</f>
        <v/>
      </c>
      <c r="AF358" s="53">
        <f>IF(OR(P358="",AB358=""),"",IF(OR(P358="Gasto",P358="Transferencia",P358="Pago tarjeta"),-1,1)*IF(IFERROR(INDEX(ctaMoneda,MATCH(AB358,ctaNombre,0))&amp;"","DOP")="USD",T358,S358))</f>
        <v/>
      </c>
      <c r="AG358" s="53">
        <f>IF(AC358="","",IF(IFERROR(INDEX(ctaMoneda,MATCH(AC358,ctaNombre,0))&amp;"","DOP")="USD",T358,S358))</f>
        <v/>
      </c>
      <c r="AH358" s="53">
        <f>IF(P358="","",IF(AND(AD358&lt;&gt;"",COUNTIFS(tcTipo,AD358,tcLiq,"Sí")&gt;0),IF(OR(P358="Gasto",P358="Transferencia",P358="Pago tarjeta"),-1,1)*S358,0)+IF(AND(AE358&lt;&gt;"",COUNTIFS(tcTipo,AE358,tcLiq,"Sí")&gt;0),S358,0))</f>
        <v/>
      </c>
      <c r="AI358" s="52">
        <f>IF(OR(L358="",P358=""),"",IF(COUNTIFS(L$6:L358,L358,P$6:P358,"?*")=1,MAX(AI$5:AI357)+1,""))</f>
        <v/>
      </c>
    </row>
    <row r="359">
      <c r="B359" s="47" t="n"/>
      <c r="C359" s="48" t="n"/>
      <c r="D359" s="48" t="n"/>
      <c r="E359" s="48" t="n"/>
      <c r="F359" s="48" t="n"/>
      <c r="G359" s="49" t="n"/>
      <c r="H359" s="48" t="n"/>
      <c r="I359" s="50" t="n"/>
      <c r="J359" s="48" t="n"/>
      <c r="K359" s="48" t="n"/>
      <c r="L359" s="48" t="n"/>
      <c r="M359" s="48" t="n"/>
      <c r="N359" s="48" t="n"/>
      <c r="O359" s="51">
        <f>IF(AND(B359="",G359="",C359="",D359="",J359=""),"",IF(B359="","⚠ Falta fecha",IF(G359="","⚠ Falta monto",IF(Q359="","⚠ Falta cuenta",IF(ISNA(MATCH(Q359,ctaNombre,0)),"⚠ Cuenta no registrada",IF(AND(OR(P359="Gasto",P359="Reembolso"),D359=""),"⚠ Falta categoría",IF(AND(D359&lt;&gt;"",E359&lt;&gt;"",ISNA(MATCH(D359&amp;"|"&amp;E359,catClave,0))),"⚠ Subcategoría no corresponde",IF(AND(OR(P359="Transferencia",P359="Pago tarjeta"),K359=""),"⚠ Falta cuenta destino",IF(AND(K359&lt;&gt;"",P359&lt;&gt;"Transferencia",P359&lt;&gt;"Pago tarjeta"),"⚠ Destino solo aplica a transferencias",IF(AND(K359&lt;&gt;"",K359=Q359),"⚠ Origen igual a destino",IF(AND(K359&lt;&gt;"",ISNA(MATCH(K359,ctaNombre,0))),"⚠ Destino no registrado",IF(AND(P359="Pago tarjeta",AE359&lt;&gt;"Tarjeta de crédito"),"⚠ El destino debe ser tarjeta de crédito",IF(AND(P359="Gasto",E359="Depósitos y retiros"),"⚠ Usa tipo Transferencia",IF(AND(P359="Resultado trading",AD359&lt;&gt;"Cuenta de trading"),"⚠ Usa una cuenta de trading",IF(AND(G359&lt;=0,P359&lt;&gt;"Ajuste",P359&lt;&gt;"Resultado trading"),"⚠ El monto debe ser positivo","✓")))))))))))))))</f>
        <v/>
      </c>
      <c r="P359" s="52">
        <f>IF(OR(B359="",G359=""),"",IF(C359="","Gasto",C359))</f>
        <v/>
      </c>
      <c r="Q359" s="52">
        <f>IF(P359="","",IF(J359&lt;&gt;"",J359,CuentaPred&amp;""))</f>
        <v/>
      </c>
      <c r="R359" s="52">
        <f>IF(P359="","",IF(ISNUMBER(I359),I359,TasaUSD))</f>
        <v/>
      </c>
      <c r="S359" s="53">
        <f>IF(P359="","",IF(H359="USD",G359*R359,G359))</f>
        <v/>
      </c>
      <c r="T359" s="53">
        <f>IF(P359="","",IF(H359="USD",G359,IF(R359&gt;0,G359/R359,0)))</f>
        <v/>
      </c>
      <c r="U359" s="53">
        <f>IF(P359="","",IF(P359="Gasto",S359,IF(P359="Reembolso",-S359,0)))</f>
        <v/>
      </c>
      <c r="V359" s="53">
        <f>IF(P359="","",IF(P359="Ingreso",S359,0))</f>
        <v/>
      </c>
      <c r="W359" s="53">
        <f>IF(P359="","",IF(P359="Resultado trading",S359,0))</f>
        <v/>
      </c>
      <c r="X359" s="52">
        <f>IF(OR(P359="Gasto",P359="Reembolso"),IF(M359&lt;&gt;"",M359,IFERROR(INDEX(catClasif,MATCH(D359&amp;"|"&amp;E359,catClave,0))&amp;"","Variable")),"")</f>
        <v/>
      </c>
      <c r="Y359" s="52">
        <f>IF(P359="","",IFERROR(INDEX(catGrupo,MATCH(D359&amp;"|"&amp;E359,catClave,0))&amp;"",""))</f>
        <v/>
      </c>
      <c r="Z359" s="52">
        <f>IF(P359="","",WEEKDAY(B359,2))</f>
        <v/>
      </c>
      <c r="AA359" s="52">
        <f>IF(P359="","",IF(AND(P359="Gasto",X359="Variable",D359&lt;&gt;catTrading,S359&gt;0,S359&lt;=Umbral),1,0))</f>
        <v/>
      </c>
      <c r="AB359" s="52">
        <f>IF(OR(P359="",Q359=""),"",IFERROR(IF(INDEX(ctaVinc,MATCH(Q359,ctaNombre,0))&amp;""&lt;&gt;"",INDEX(ctaVinc,MATCH(Q359,ctaNombre,0))&amp;"",Q359),Q359))</f>
        <v/>
      </c>
      <c r="AC359" s="52">
        <f>IF(OR(K359="",AND(P359&lt;&gt;"Transferencia",P359&lt;&gt;"Pago tarjeta")),"",IFERROR(IF(INDEX(ctaVinc,MATCH(K359,ctaNombre,0))&amp;""&lt;&gt;"",INDEX(ctaVinc,MATCH(K359,ctaNombre,0))&amp;"",K359),K359))</f>
        <v/>
      </c>
      <c r="AD359" s="52">
        <f>IF(AB359="","",IFERROR(INDEX(ctaTipo,MATCH(AB359,ctaNombre,0))&amp;"",""))</f>
        <v/>
      </c>
      <c r="AE359" s="52">
        <f>IF(AC359="","",IFERROR(INDEX(ctaTipo,MATCH(AC359,ctaNombre,0))&amp;"",""))</f>
        <v/>
      </c>
      <c r="AF359" s="53">
        <f>IF(OR(P359="",AB359=""),"",IF(OR(P359="Gasto",P359="Transferencia",P359="Pago tarjeta"),-1,1)*IF(IFERROR(INDEX(ctaMoneda,MATCH(AB359,ctaNombre,0))&amp;"","DOP")="USD",T359,S359))</f>
        <v/>
      </c>
      <c r="AG359" s="53">
        <f>IF(AC359="","",IF(IFERROR(INDEX(ctaMoneda,MATCH(AC359,ctaNombre,0))&amp;"","DOP")="USD",T359,S359))</f>
        <v/>
      </c>
      <c r="AH359" s="53">
        <f>IF(P359="","",IF(AND(AD359&lt;&gt;"",COUNTIFS(tcTipo,AD359,tcLiq,"Sí")&gt;0),IF(OR(P359="Gasto",P359="Transferencia",P359="Pago tarjeta"),-1,1)*S359,0)+IF(AND(AE359&lt;&gt;"",COUNTIFS(tcTipo,AE359,tcLiq,"Sí")&gt;0),S359,0))</f>
        <v/>
      </c>
      <c r="AI359" s="52">
        <f>IF(OR(L359="",P359=""),"",IF(COUNTIFS(L$6:L359,L359,P$6:P359,"?*")=1,MAX(AI$5:AI358)+1,""))</f>
        <v/>
      </c>
    </row>
    <row r="360">
      <c r="B360" s="47" t="n"/>
      <c r="C360" s="48" t="n"/>
      <c r="D360" s="48" t="n"/>
      <c r="E360" s="48" t="n"/>
      <c r="F360" s="48" t="n"/>
      <c r="G360" s="49" t="n"/>
      <c r="H360" s="48" t="n"/>
      <c r="I360" s="50" t="n"/>
      <c r="J360" s="48" t="n"/>
      <c r="K360" s="48" t="n"/>
      <c r="L360" s="48" t="n"/>
      <c r="M360" s="48" t="n"/>
      <c r="N360" s="48" t="n"/>
      <c r="O360" s="51">
        <f>IF(AND(B360="",G360="",C360="",D360="",J360=""),"",IF(B360="","⚠ Falta fecha",IF(G360="","⚠ Falta monto",IF(Q360="","⚠ Falta cuenta",IF(ISNA(MATCH(Q360,ctaNombre,0)),"⚠ Cuenta no registrada",IF(AND(OR(P360="Gasto",P360="Reembolso"),D360=""),"⚠ Falta categoría",IF(AND(D360&lt;&gt;"",E360&lt;&gt;"",ISNA(MATCH(D360&amp;"|"&amp;E360,catClave,0))),"⚠ Subcategoría no corresponde",IF(AND(OR(P360="Transferencia",P360="Pago tarjeta"),K360=""),"⚠ Falta cuenta destino",IF(AND(K360&lt;&gt;"",P360&lt;&gt;"Transferencia",P360&lt;&gt;"Pago tarjeta"),"⚠ Destino solo aplica a transferencias",IF(AND(K360&lt;&gt;"",K360=Q360),"⚠ Origen igual a destino",IF(AND(K360&lt;&gt;"",ISNA(MATCH(K360,ctaNombre,0))),"⚠ Destino no registrado",IF(AND(P360="Pago tarjeta",AE360&lt;&gt;"Tarjeta de crédito"),"⚠ El destino debe ser tarjeta de crédito",IF(AND(P360="Gasto",E360="Depósitos y retiros"),"⚠ Usa tipo Transferencia",IF(AND(P360="Resultado trading",AD360&lt;&gt;"Cuenta de trading"),"⚠ Usa una cuenta de trading",IF(AND(G360&lt;=0,P360&lt;&gt;"Ajuste",P360&lt;&gt;"Resultado trading"),"⚠ El monto debe ser positivo","✓")))))))))))))))</f>
        <v/>
      </c>
      <c r="P360" s="52">
        <f>IF(OR(B360="",G360=""),"",IF(C360="","Gasto",C360))</f>
        <v/>
      </c>
      <c r="Q360" s="52">
        <f>IF(P360="","",IF(J360&lt;&gt;"",J360,CuentaPred&amp;""))</f>
        <v/>
      </c>
      <c r="R360" s="52">
        <f>IF(P360="","",IF(ISNUMBER(I360),I360,TasaUSD))</f>
        <v/>
      </c>
      <c r="S360" s="53">
        <f>IF(P360="","",IF(H360="USD",G360*R360,G360))</f>
        <v/>
      </c>
      <c r="T360" s="53">
        <f>IF(P360="","",IF(H360="USD",G360,IF(R360&gt;0,G360/R360,0)))</f>
        <v/>
      </c>
      <c r="U360" s="53">
        <f>IF(P360="","",IF(P360="Gasto",S360,IF(P360="Reembolso",-S360,0)))</f>
        <v/>
      </c>
      <c r="V360" s="53">
        <f>IF(P360="","",IF(P360="Ingreso",S360,0))</f>
        <v/>
      </c>
      <c r="W360" s="53">
        <f>IF(P360="","",IF(P360="Resultado trading",S360,0))</f>
        <v/>
      </c>
      <c r="X360" s="52">
        <f>IF(OR(P360="Gasto",P360="Reembolso"),IF(M360&lt;&gt;"",M360,IFERROR(INDEX(catClasif,MATCH(D360&amp;"|"&amp;E360,catClave,0))&amp;"","Variable")),"")</f>
        <v/>
      </c>
      <c r="Y360" s="52">
        <f>IF(P360="","",IFERROR(INDEX(catGrupo,MATCH(D360&amp;"|"&amp;E360,catClave,0))&amp;"",""))</f>
        <v/>
      </c>
      <c r="Z360" s="52">
        <f>IF(P360="","",WEEKDAY(B360,2))</f>
        <v/>
      </c>
      <c r="AA360" s="52">
        <f>IF(P360="","",IF(AND(P360="Gasto",X360="Variable",D360&lt;&gt;catTrading,S360&gt;0,S360&lt;=Umbral),1,0))</f>
        <v/>
      </c>
      <c r="AB360" s="52">
        <f>IF(OR(P360="",Q360=""),"",IFERROR(IF(INDEX(ctaVinc,MATCH(Q360,ctaNombre,0))&amp;""&lt;&gt;"",INDEX(ctaVinc,MATCH(Q360,ctaNombre,0))&amp;"",Q360),Q360))</f>
        <v/>
      </c>
      <c r="AC360" s="52">
        <f>IF(OR(K360="",AND(P360&lt;&gt;"Transferencia",P360&lt;&gt;"Pago tarjeta")),"",IFERROR(IF(INDEX(ctaVinc,MATCH(K360,ctaNombre,0))&amp;""&lt;&gt;"",INDEX(ctaVinc,MATCH(K360,ctaNombre,0))&amp;"",K360),K360))</f>
        <v/>
      </c>
      <c r="AD360" s="52">
        <f>IF(AB360="","",IFERROR(INDEX(ctaTipo,MATCH(AB360,ctaNombre,0))&amp;"",""))</f>
        <v/>
      </c>
      <c r="AE360" s="52">
        <f>IF(AC360="","",IFERROR(INDEX(ctaTipo,MATCH(AC360,ctaNombre,0))&amp;"",""))</f>
        <v/>
      </c>
      <c r="AF360" s="53">
        <f>IF(OR(P360="",AB360=""),"",IF(OR(P360="Gasto",P360="Transferencia",P360="Pago tarjeta"),-1,1)*IF(IFERROR(INDEX(ctaMoneda,MATCH(AB360,ctaNombre,0))&amp;"","DOP")="USD",T360,S360))</f>
        <v/>
      </c>
      <c r="AG360" s="53">
        <f>IF(AC360="","",IF(IFERROR(INDEX(ctaMoneda,MATCH(AC360,ctaNombre,0))&amp;"","DOP")="USD",T360,S360))</f>
        <v/>
      </c>
      <c r="AH360" s="53">
        <f>IF(P360="","",IF(AND(AD360&lt;&gt;"",COUNTIFS(tcTipo,AD360,tcLiq,"Sí")&gt;0),IF(OR(P360="Gasto",P360="Transferencia",P360="Pago tarjeta"),-1,1)*S360,0)+IF(AND(AE360&lt;&gt;"",COUNTIFS(tcTipo,AE360,tcLiq,"Sí")&gt;0),S360,0))</f>
        <v/>
      </c>
      <c r="AI360" s="52">
        <f>IF(OR(L360="",P360=""),"",IF(COUNTIFS(L$6:L360,L360,P$6:P360,"?*")=1,MAX(AI$5:AI359)+1,""))</f>
        <v/>
      </c>
    </row>
    <row r="361">
      <c r="B361" s="47" t="n"/>
      <c r="C361" s="48" t="n"/>
      <c r="D361" s="48" t="n"/>
      <c r="E361" s="48" t="n"/>
      <c r="F361" s="48" t="n"/>
      <c r="G361" s="49" t="n"/>
      <c r="H361" s="48" t="n"/>
      <c r="I361" s="50" t="n"/>
      <c r="J361" s="48" t="n"/>
      <c r="K361" s="48" t="n"/>
      <c r="L361" s="48" t="n"/>
      <c r="M361" s="48" t="n"/>
      <c r="N361" s="48" t="n"/>
      <c r="O361" s="51">
        <f>IF(AND(B361="",G361="",C361="",D361="",J361=""),"",IF(B361="","⚠ Falta fecha",IF(G361="","⚠ Falta monto",IF(Q361="","⚠ Falta cuenta",IF(ISNA(MATCH(Q361,ctaNombre,0)),"⚠ Cuenta no registrada",IF(AND(OR(P361="Gasto",P361="Reembolso"),D361=""),"⚠ Falta categoría",IF(AND(D361&lt;&gt;"",E361&lt;&gt;"",ISNA(MATCH(D361&amp;"|"&amp;E361,catClave,0))),"⚠ Subcategoría no corresponde",IF(AND(OR(P361="Transferencia",P361="Pago tarjeta"),K361=""),"⚠ Falta cuenta destino",IF(AND(K361&lt;&gt;"",P361&lt;&gt;"Transferencia",P361&lt;&gt;"Pago tarjeta"),"⚠ Destino solo aplica a transferencias",IF(AND(K361&lt;&gt;"",K361=Q361),"⚠ Origen igual a destino",IF(AND(K361&lt;&gt;"",ISNA(MATCH(K361,ctaNombre,0))),"⚠ Destino no registrado",IF(AND(P361="Pago tarjeta",AE361&lt;&gt;"Tarjeta de crédito"),"⚠ El destino debe ser tarjeta de crédito",IF(AND(P361="Gasto",E361="Depósitos y retiros"),"⚠ Usa tipo Transferencia",IF(AND(P361="Resultado trading",AD361&lt;&gt;"Cuenta de trading"),"⚠ Usa una cuenta de trading",IF(AND(G361&lt;=0,P361&lt;&gt;"Ajuste",P361&lt;&gt;"Resultado trading"),"⚠ El monto debe ser positivo","✓")))))))))))))))</f>
        <v/>
      </c>
      <c r="P361" s="52">
        <f>IF(OR(B361="",G361=""),"",IF(C361="","Gasto",C361))</f>
        <v/>
      </c>
      <c r="Q361" s="52">
        <f>IF(P361="","",IF(J361&lt;&gt;"",J361,CuentaPred&amp;""))</f>
        <v/>
      </c>
      <c r="R361" s="52">
        <f>IF(P361="","",IF(ISNUMBER(I361),I361,TasaUSD))</f>
        <v/>
      </c>
      <c r="S361" s="53">
        <f>IF(P361="","",IF(H361="USD",G361*R361,G361))</f>
        <v/>
      </c>
      <c r="T361" s="53">
        <f>IF(P361="","",IF(H361="USD",G361,IF(R361&gt;0,G361/R361,0)))</f>
        <v/>
      </c>
      <c r="U361" s="53">
        <f>IF(P361="","",IF(P361="Gasto",S361,IF(P361="Reembolso",-S361,0)))</f>
        <v/>
      </c>
      <c r="V361" s="53">
        <f>IF(P361="","",IF(P361="Ingreso",S361,0))</f>
        <v/>
      </c>
      <c r="W361" s="53">
        <f>IF(P361="","",IF(P361="Resultado trading",S361,0))</f>
        <v/>
      </c>
      <c r="X361" s="52">
        <f>IF(OR(P361="Gasto",P361="Reembolso"),IF(M361&lt;&gt;"",M361,IFERROR(INDEX(catClasif,MATCH(D361&amp;"|"&amp;E361,catClave,0))&amp;"","Variable")),"")</f>
        <v/>
      </c>
      <c r="Y361" s="52">
        <f>IF(P361="","",IFERROR(INDEX(catGrupo,MATCH(D361&amp;"|"&amp;E361,catClave,0))&amp;"",""))</f>
        <v/>
      </c>
      <c r="Z361" s="52">
        <f>IF(P361="","",WEEKDAY(B361,2))</f>
        <v/>
      </c>
      <c r="AA361" s="52">
        <f>IF(P361="","",IF(AND(P361="Gasto",X361="Variable",D361&lt;&gt;catTrading,S361&gt;0,S361&lt;=Umbral),1,0))</f>
        <v/>
      </c>
      <c r="AB361" s="52">
        <f>IF(OR(P361="",Q361=""),"",IFERROR(IF(INDEX(ctaVinc,MATCH(Q361,ctaNombre,0))&amp;""&lt;&gt;"",INDEX(ctaVinc,MATCH(Q361,ctaNombre,0))&amp;"",Q361),Q361))</f>
        <v/>
      </c>
      <c r="AC361" s="52">
        <f>IF(OR(K361="",AND(P361&lt;&gt;"Transferencia",P361&lt;&gt;"Pago tarjeta")),"",IFERROR(IF(INDEX(ctaVinc,MATCH(K361,ctaNombre,0))&amp;""&lt;&gt;"",INDEX(ctaVinc,MATCH(K361,ctaNombre,0))&amp;"",K361),K361))</f>
        <v/>
      </c>
      <c r="AD361" s="52">
        <f>IF(AB361="","",IFERROR(INDEX(ctaTipo,MATCH(AB361,ctaNombre,0))&amp;"",""))</f>
        <v/>
      </c>
      <c r="AE361" s="52">
        <f>IF(AC361="","",IFERROR(INDEX(ctaTipo,MATCH(AC361,ctaNombre,0))&amp;"",""))</f>
        <v/>
      </c>
      <c r="AF361" s="53">
        <f>IF(OR(P361="",AB361=""),"",IF(OR(P361="Gasto",P361="Transferencia",P361="Pago tarjeta"),-1,1)*IF(IFERROR(INDEX(ctaMoneda,MATCH(AB361,ctaNombre,0))&amp;"","DOP")="USD",T361,S361))</f>
        <v/>
      </c>
      <c r="AG361" s="53">
        <f>IF(AC361="","",IF(IFERROR(INDEX(ctaMoneda,MATCH(AC361,ctaNombre,0))&amp;"","DOP")="USD",T361,S361))</f>
        <v/>
      </c>
      <c r="AH361" s="53">
        <f>IF(P361="","",IF(AND(AD361&lt;&gt;"",COUNTIFS(tcTipo,AD361,tcLiq,"Sí")&gt;0),IF(OR(P361="Gasto",P361="Transferencia",P361="Pago tarjeta"),-1,1)*S361,0)+IF(AND(AE361&lt;&gt;"",COUNTIFS(tcTipo,AE361,tcLiq,"Sí")&gt;0),S361,0))</f>
        <v/>
      </c>
      <c r="AI361" s="52">
        <f>IF(OR(L361="",P361=""),"",IF(COUNTIFS(L$6:L361,L361,P$6:P361,"?*")=1,MAX(AI$5:AI360)+1,""))</f>
        <v/>
      </c>
    </row>
    <row r="362">
      <c r="B362" s="47" t="n"/>
      <c r="C362" s="48" t="n"/>
      <c r="D362" s="48" t="n"/>
      <c r="E362" s="48" t="n"/>
      <c r="F362" s="48" t="n"/>
      <c r="G362" s="49" t="n"/>
      <c r="H362" s="48" t="n"/>
      <c r="I362" s="50" t="n"/>
      <c r="J362" s="48" t="n"/>
      <c r="K362" s="48" t="n"/>
      <c r="L362" s="48" t="n"/>
      <c r="M362" s="48" t="n"/>
      <c r="N362" s="48" t="n"/>
      <c r="O362" s="51">
        <f>IF(AND(B362="",G362="",C362="",D362="",J362=""),"",IF(B362="","⚠ Falta fecha",IF(G362="","⚠ Falta monto",IF(Q362="","⚠ Falta cuenta",IF(ISNA(MATCH(Q362,ctaNombre,0)),"⚠ Cuenta no registrada",IF(AND(OR(P362="Gasto",P362="Reembolso"),D362=""),"⚠ Falta categoría",IF(AND(D362&lt;&gt;"",E362&lt;&gt;"",ISNA(MATCH(D362&amp;"|"&amp;E362,catClave,0))),"⚠ Subcategoría no corresponde",IF(AND(OR(P362="Transferencia",P362="Pago tarjeta"),K362=""),"⚠ Falta cuenta destino",IF(AND(K362&lt;&gt;"",P362&lt;&gt;"Transferencia",P362&lt;&gt;"Pago tarjeta"),"⚠ Destino solo aplica a transferencias",IF(AND(K362&lt;&gt;"",K362=Q362),"⚠ Origen igual a destino",IF(AND(K362&lt;&gt;"",ISNA(MATCH(K362,ctaNombre,0))),"⚠ Destino no registrado",IF(AND(P362="Pago tarjeta",AE362&lt;&gt;"Tarjeta de crédito"),"⚠ El destino debe ser tarjeta de crédito",IF(AND(P362="Gasto",E362="Depósitos y retiros"),"⚠ Usa tipo Transferencia",IF(AND(P362="Resultado trading",AD362&lt;&gt;"Cuenta de trading"),"⚠ Usa una cuenta de trading",IF(AND(G362&lt;=0,P362&lt;&gt;"Ajuste",P362&lt;&gt;"Resultado trading"),"⚠ El monto debe ser positivo","✓")))))))))))))))</f>
        <v/>
      </c>
      <c r="P362" s="52">
        <f>IF(OR(B362="",G362=""),"",IF(C362="","Gasto",C362))</f>
        <v/>
      </c>
      <c r="Q362" s="52">
        <f>IF(P362="","",IF(J362&lt;&gt;"",J362,CuentaPred&amp;""))</f>
        <v/>
      </c>
      <c r="R362" s="52">
        <f>IF(P362="","",IF(ISNUMBER(I362),I362,TasaUSD))</f>
        <v/>
      </c>
      <c r="S362" s="53">
        <f>IF(P362="","",IF(H362="USD",G362*R362,G362))</f>
        <v/>
      </c>
      <c r="T362" s="53">
        <f>IF(P362="","",IF(H362="USD",G362,IF(R362&gt;0,G362/R362,0)))</f>
        <v/>
      </c>
      <c r="U362" s="53">
        <f>IF(P362="","",IF(P362="Gasto",S362,IF(P362="Reembolso",-S362,0)))</f>
        <v/>
      </c>
      <c r="V362" s="53">
        <f>IF(P362="","",IF(P362="Ingreso",S362,0))</f>
        <v/>
      </c>
      <c r="W362" s="53">
        <f>IF(P362="","",IF(P362="Resultado trading",S362,0))</f>
        <v/>
      </c>
      <c r="X362" s="52">
        <f>IF(OR(P362="Gasto",P362="Reembolso"),IF(M362&lt;&gt;"",M362,IFERROR(INDEX(catClasif,MATCH(D362&amp;"|"&amp;E362,catClave,0))&amp;"","Variable")),"")</f>
        <v/>
      </c>
      <c r="Y362" s="52">
        <f>IF(P362="","",IFERROR(INDEX(catGrupo,MATCH(D362&amp;"|"&amp;E362,catClave,0))&amp;"",""))</f>
        <v/>
      </c>
      <c r="Z362" s="52">
        <f>IF(P362="","",WEEKDAY(B362,2))</f>
        <v/>
      </c>
      <c r="AA362" s="52">
        <f>IF(P362="","",IF(AND(P362="Gasto",X362="Variable",D362&lt;&gt;catTrading,S362&gt;0,S362&lt;=Umbral),1,0))</f>
        <v/>
      </c>
      <c r="AB362" s="52">
        <f>IF(OR(P362="",Q362=""),"",IFERROR(IF(INDEX(ctaVinc,MATCH(Q362,ctaNombre,0))&amp;""&lt;&gt;"",INDEX(ctaVinc,MATCH(Q362,ctaNombre,0))&amp;"",Q362),Q362))</f>
        <v/>
      </c>
      <c r="AC362" s="52">
        <f>IF(OR(K362="",AND(P362&lt;&gt;"Transferencia",P362&lt;&gt;"Pago tarjeta")),"",IFERROR(IF(INDEX(ctaVinc,MATCH(K362,ctaNombre,0))&amp;""&lt;&gt;"",INDEX(ctaVinc,MATCH(K362,ctaNombre,0))&amp;"",K362),K362))</f>
        <v/>
      </c>
      <c r="AD362" s="52">
        <f>IF(AB362="","",IFERROR(INDEX(ctaTipo,MATCH(AB362,ctaNombre,0))&amp;"",""))</f>
        <v/>
      </c>
      <c r="AE362" s="52">
        <f>IF(AC362="","",IFERROR(INDEX(ctaTipo,MATCH(AC362,ctaNombre,0))&amp;"",""))</f>
        <v/>
      </c>
      <c r="AF362" s="53">
        <f>IF(OR(P362="",AB362=""),"",IF(OR(P362="Gasto",P362="Transferencia",P362="Pago tarjeta"),-1,1)*IF(IFERROR(INDEX(ctaMoneda,MATCH(AB362,ctaNombre,0))&amp;"","DOP")="USD",T362,S362))</f>
        <v/>
      </c>
      <c r="AG362" s="53">
        <f>IF(AC362="","",IF(IFERROR(INDEX(ctaMoneda,MATCH(AC362,ctaNombre,0))&amp;"","DOP")="USD",T362,S362))</f>
        <v/>
      </c>
      <c r="AH362" s="53">
        <f>IF(P362="","",IF(AND(AD362&lt;&gt;"",COUNTIFS(tcTipo,AD362,tcLiq,"Sí")&gt;0),IF(OR(P362="Gasto",P362="Transferencia",P362="Pago tarjeta"),-1,1)*S362,0)+IF(AND(AE362&lt;&gt;"",COUNTIFS(tcTipo,AE362,tcLiq,"Sí")&gt;0),S362,0))</f>
        <v/>
      </c>
      <c r="AI362" s="52">
        <f>IF(OR(L362="",P362=""),"",IF(COUNTIFS(L$6:L362,L362,P$6:P362,"?*")=1,MAX(AI$5:AI361)+1,""))</f>
        <v/>
      </c>
    </row>
    <row r="363">
      <c r="B363" s="47" t="n"/>
      <c r="C363" s="48" t="n"/>
      <c r="D363" s="48" t="n"/>
      <c r="E363" s="48" t="n"/>
      <c r="F363" s="48" t="n"/>
      <c r="G363" s="49" t="n"/>
      <c r="H363" s="48" t="n"/>
      <c r="I363" s="50" t="n"/>
      <c r="J363" s="48" t="n"/>
      <c r="K363" s="48" t="n"/>
      <c r="L363" s="48" t="n"/>
      <c r="M363" s="48" t="n"/>
      <c r="N363" s="48" t="n"/>
      <c r="O363" s="51">
        <f>IF(AND(B363="",G363="",C363="",D363="",J363=""),"",IF(B363="","⚠ Falta fecha",IF(G363="","⚠ Falta monto",IF(Q363="","⚠ Falta cuenta",IF(ISNA(MATCH(Q363,ctaNombre,0)),"⚠ Cuenta no registrada",IF(AND(OR(P363="Gasto",P363="Reembolso"),D363=""),"⚠ Falta categoría",IF(AND(D363&lt;&gt;"",E363&lt;&gt;"",ISNA(MATCH(D363&amp;"|"&amp;E363,catClave,0))),"⚠ Subcategoría no corresponde",IF(AND(OR(P363="Transferencia",P363="Pago tarjeta"),K363=""),"⚠ Falta cuenta destino",IF(AND(K363&lt;&gt;"",P363&lt;&gt;"Transferencia",P363&lt;&gt;"Pago tarjeta"),"⚠ Destino solo aplica a transferencias",IF(AND(K363&lt;&gt;"",K363=Q363),"⚠ Origen igual a destino",IF(AND(K363&lt;&gt;"",ISNA(MATCH(K363,ctaNombre,0))),"⚠ Destino no registrado",IF(AND(P363="Pago tarjeta",AE363&lt;&gt;"Tarjeta de crédito"),"⚠ El destino debe ser tarjeta de crédito",IF(AND(P363="Gasto",E363="Depósitos y retiros"),"⚠ Usa tipo Transferencia",IF(AND(P363="Resultado trading",AD363&lt;&gt;"Cuenta de trading"),"⚠ Usa una cuenta de trading",IF(AND(G363&lt;=0,P363&lt;&gt;"Ajuste",P363&lt;&gt;"Resultado trading"),"⚠ El monto debe ser positivo","✓")))))))))))))))</f>
        <v/>
      </c>
      <c r="P363" s="52">
        <f>IF(OR(B363="",G363=""),"",IF(C363="","Gasto",C363))</f>
        <v/>
      </c>
      <c r="Q363" s="52">
        <f>IF(P363="","",IF(J363&lt;&gt;"",J363,CuentaPred&amp;""))</f>
        <v/>
      </c>
      <c r="R363" s="52">
        <f>IF(P363="","",IF(ISNUMBER(I363),I363,TasaUSD))</f>
        <v/>
      </c>
      <c r="S363" s="53">
        <f>IF(P363="","",IF(H363="USD",G363*R363,G363))</f>
        <v/>
      </c>
      <c r="T363" s="53">
        <f>IF(P363="","",IF(H363="USD",G363,IF(R363&gt;0,G363/R363,0)))</f>
        <v/>
      </c>
      <c r="U363" s="53">
        <f>IF(P363="","",IF(P363="Gasto",S363,IF(P363="Reembolso",-S363,0)))</f>
        <v/>
      </c>
      <c r="V363" s="53">
        <f>IF(P363="","",IF(P363="Ingreso",S363,0))</f>
        <v/>
      </c>
      <c r="W363" s="53">
        <f>IF(P363="","",IF(P363="Resultado trading",S363,0))</f>
        <v/>
      </c>
      <c r="X363" s="52">
        <f>IF(OR(P363="Gasto",P363="Reembolso"),IF(M363&lt;&gt;"",M363,IFERROR(INDEX(catClasif,MATCH(D363&amp;"|"&amp;E363,catClave,0))&amp;"","Variable")),"")</f>
        <v/>
      </c>
      <c r="Y363" s="52">
        <f>IF(P363="","",IFERROR(INDEX(catGrupo,MATCH(D363&amp;"|"&amp;E363,catClave,0))&amp;"",""))</f>
        <v/>
      </c>
      <c r="Z363" s="52">
        <f>IF(P363="","",WEEKDAY(B363,2))</f>
        <v/>
      </c>
      <c r="AA363" s="52">
        <f>IF(P363="","",IF(AND(P363="Gasto",X363="Variable",D363&lt;&gt;catTrading,S363&gt;0,S363&lt;=Umbral),1,0))</f>
        <v/>
      </c>
      <c r="AB363" s="52">
        <f>IF(OR(P363="",Q363=""),"",IFERROR(IF(INDEX(ctaVinc,MATCH(Q363,ctaNombre,0))&amp;""&lt;&gt;"",INDEX(ctaVinc,MATCH(Q363,ctaNombre,0))&amp;"",Q363),Q363))</f>
        <v/>
      </c>
      <c r="AC363" s="52">
        <f>IF(OR(K363="",AND(P363&lt;&gt;"Transferencia",P363&lt;&gt;"Pago tarjeta")),"",IFERROR(IF(INDEX(ctaVinc,MATCH(K363,ctaNombre,0))&amp;""&lt;&gt;"",INDEX(ctaVinc,MATCH(K363,ctaNombre,0))&amp;"",K363),K363))</f>
        <v/>
      </c>
      <c r="AD363" s="52">
        <f>IF(AB363="","",IFERROR(INDEX(ctaTipo,MATCH(AB363,ctaNombre,0))&amp;"",""))</f>
        <v/>
      </c>
      <c r="AE363" s="52">
        <f>IF(AC363="","",IFERROR(INDEX(ctaTipo,MATCH(AC363,ctaNombre,0))&amp;"",""))</f>
        <v/>
      </c>
      <c r="AF363" s="53">
        <f>IF(OR(P363="",AB363=""),"",IF(OR(P363="Gasto",P363="Transferencia",P363="Pago tarjeta"),-1,1)*IF(IFERROR(INDEX(ctaMoneda,MATCH(AB363,ctaNombre,0))&amp;"","DOP")="USD",T363,S363))</f>
        <v/>
      </c>
      <c r="AG363" s="53">
        <f>IF(AC363="","",IF(IFERROR(INDEX(ctaMoneda,MATCH(AC363,ctaNombre,0))&amp;"","DOP")="USD",T363,S363))</f>
        <v/>
      </c>
      <c r="AH363" s="53">
        <f>IF(P363="","",IF(AND(AD363&lt;&gt;"",COUNTIFS(tcTipo,AD363,tcLiq,"Sí")&gt;0),IF(OR(P363="Gasto",P363="Transferencia",P363="Pago tarjeta"),-1,1)*S363,0)+IF(AND(AE363&lt;&gt;"",COUNTIFS(tcTipo,AE363,tcLiq,"Sí")&gt;0),S363,0))</f>
        <v/>
      </c>
      <c r="AI363" s="52">
        <f>IF(OR(L363="",P363=""),"",IF(COUNTIFS(L$6:L363,L363,P$6:P363,"?*")=1,MAX(AI$5:AI362)+1,""))</f>
        <v/>
      </c>
    </row>
    <row r="364">
      <c r="B364" s="47" t="n"/>
      <c r="C364" s="48" t="n"/>
      <c r="D364" s="48" t="n"/>
      <c r="E364" s="48" t="n"/>
      <c r="F364" s="48" t="n"/>
      <c r="G364" s="49" t="n"/>
      <c r="H364" s="48" t="n"/>
      <c r="I364" s="50" t="n"/>
      <c r="J364" s="48" t="n"/>
      <c r="K364" s="48" t="n"/>
      <c r="L364" s="48" t="n"/>
      <c r="M364" s="48" t="n"/>
      <c r="N364" s="48" t="n"/>
      <c r="O364" s="51">
        <f>IF(AND(B364="",G364="",C364="",D364="",J364=""),"",IF(B364="","⚠ Falta fecha",IF(G364="","⚠ Falta monto",IF(Q364="","⚠ Falta cuenta",IF(ISNA(MATCH(Q364,ctaNombre,0)),"⚠ Cuenta no registrada",IF(AND(OR(P364="Gasto",P364="Reembolso"),D364=""),"⚠ Falta categoría",IF(AND(D364&lt;&gt;"",E364&lt;&gt;"",ISNA(MATCH(D364&amp;"|"&amp;E364,catClave,0))),"⚠ Subcategoría no corresponde",IF(AND(OR(P364="Transferencia",P364="Pago tarjeta"),K364=""),"⚠ Falta cuenta destino",IF(AND(K364&lt;&gt;"",P364&lt;&gt;"Transferencia",P364&lt;&gt;"Pago tarjeta"),"⚠ Destino solo aplica a transferencias",IF(AND(K364&lt;&gt;"",K364=Q364),"⚠ Origen igual a destino",IF(AND(K364&lt;&gt;"",ISNA(MATCH(K364,ctaNombre,0))),"⚠ Destino no registrado",IF(AND(P364="Pago tarjeta",AE364&lt;&gt;"Tarjeta de crédito"),"⚠ El destino debe ser tarjeta de crédito",IF(AND(P364="Gasto",E364="Depósitos y retiros"),"⚠ Usa tipo Transferencia",IF(AND(P364="Resultado trading",AD364&lt;&gt;"Cuenta de trading"),"⚠ Usa una cuenta de trading",IF(AND(G364&lt;=0,P364&lt;&gt;"Ajuste",P364&lt;&gt;"Resultado trading"),"⚠ El monto debe ser positivo","✓")))))))))))))))</f>
        <v/>
      </c>
      <c r="P364" s="52">
        <f>IF(OR(B364="",G364=""),"",IF(C364="","Gasto",C364))</f>
        <v/>
      </c>
      <c r="Q364" s="52">
        <f>IF(P364="","",IF(J364&lt;&gt;"",J364,CuentaPred&amp;""))</f>
        <v/>
      </c>
      <c r="R364" s="52">
        <f>IF(P364="","",IF(ISNUMBER(I364),I364,TasaUSD))</f>
        <v/>
      </c>
      <c r="S364" s="53">
        <f>IF(P364="","",IF(H364="USD",G364*R364,G364))</f>
        <v/>
      </c>
      <c r="T364" s="53">
        <f>IF(P364="","",IF(H364="USD",G364,IF(R364&gt;0,G364/R364,0)))</f>
        <v/>
      </c>
      <c r="U364" s="53">
        <f>IF(P364="","",IF(P364="Gasto",S364,IF(P364="Reembolso",-S364,0)))</f>
        <v/>
      </c>
      <c r="V364" s="53">
        <f>IF(P364="","",IF(P364="Ingreso",S364,0))</f>
        <v/>
      </c>
      <c r="W364" s="53">
        <f>IF(P364="","",IF(P364="Resultado trading",S364,0))</f>
        <v/>
      </c>
      <c r="X364" s="52">
        <f>IF(OR(P364="Gasto",P364="Reembolso"),IF(M364&lt;&gt;"",M364,IFERROR(INDEX(catClasif,MATCH(D364&amp;"|"&amp;E364,catClave,0))&amp;"","Variable")),"")</f>
        <v/>
      </c>
      <c r="Y364" s="52">
        <f>IF(P364="","",IFERROR(INDEX(catGrupo,MATCH(D364&amp;"|"&amp;E364,catClave,0))&amp;"",""))</f>
        <v/>
      </c>
      <c r="Z364" s="52">
        <f>IF(P364="","",WEEKDAY(B364,2))</f>
        <v/>
      </c>
      <c r="AA364" s="52">
        <f>IF(P364="","",IF(AND(P364="Gasto",X364="Variable",D364&lt;&gt;catTrading,S364&gt;0,S364&lt;=Umbral),1,0))</f>
        <v/>
      </c>
      <c r="AB364" s="52">
        <f>IF(OR(P364="",Q364=""),"",IFERROR(IF(INDEX(ctaVinc,MATCH(Q364,ctaNombre,0))&amp;""&lt;&gt;"",INDEX(ctaVinc,MATCH(Q364,ctaNombre,0))&amp;"",Q364),Q364))</f>
        <v/>
      </c>
      <c r="AC364" s="52">
        <f>IF(OR(K364="",AND(P364&lt;&gt;"Transferencia",P364&lt;&gt;"Pago tarjeta")),"",IFERROR(IF(INDEX(ctaVinc,MATCH(K364,ctaNombre,0))&amp;""&lt;&gt;"",INDEX(ctaVinc,MATCH(K364,ctaNombre,0))&amp;"",K364),K364))</f>
        <v/>
      </c>
      <c r="AD364" s="52">
        <f>IF(AB364="","",IFERROR(INDEX(ctaTipo,MATCH(AB364,ctaNombre,0))&amp;"",""))</f>
        <v/>
      </c>
      <c r="AE364" s="52">
        <f>IF(AC364="","",IFERROR(INDEX(ctaTipo,MATCH(AC364,ctaNombre,0))&amp;"",""))</f>
        <v/>
      </c>
      <c r="AF364" s="53">
        <f>IF(OR(P364="",AB364=""),"",IF(OR(P364="Gasto",P364="Transferencia",P364="Pago tarjeta"),-1,1)*IF(IFERROR(INDEX(ctaMoneda,MATCH(AB364,ctaNombre,0))&amp;"","DOP")="USD",T364,S364))</f>
        <v/>
      </c>
      <c r="AG364" s="53">
        <f>IF(AC364="","",IF(IFERROR(INDEX(ctaMoneda,MATCH(AC364,ctaNombre,0))&amp;"","DOP")="USD",T364,S364))</f>
        <v/>
      </c>
      <c r="AH364" s="53">
        <f>IF(P364="","",IF(AND(AD364&lt;&gt;"",COUNTIFS(tcTipo,AD364,tcLiq,"Sí")&gt;0),IF(OR(P364="Gasto",P364="Transferencia",P364="Pago tarjeta"),-1,1)*S364,0)+IF(AND(AE364&lt;&gt;"",COUNTIFS(tcTipo,AE364,tcLiq,"Sí")&gt;0),S364,0))</f>
        <v/>
      </c>
      <c r="AI364" s="52">
        <f>IF(OR(L364="",P364=""),"",IF(COUNTIFS(L$6:L364,L364,P$6:P364,"?*")=1,MAX(AI$5:AI363)+1,""))</f>
        <v/>
      </c>
    </row>
    <row r="365">
      <c r="B365" s="47" t="n"/>
      <c r="C365" s="48" t="n"/>
      <c r="D365" s="48" t="n"/>
      <c r="E365" s="48" t="n"/>
      <c r="F365" s="48" t="n"/>
      <c r="G365" s="49" t="n"/>
      <c r="H365" s="48" t="n"/>
      <c r="I365" s="50" t="n"/>
      <c r="J365" s="48" t="n"/>
      <c r="K365" s="48" t="n"/>
      <c r="L365" s="48" t="n"/>
      <c r="M365" s="48" t="n"/>
      <c r="N365" s="48" t="n"/>
      <c r="O365" s="51">
        <f>IF(AND(B365="",G365="",C365="",D365="",J365=""),"",IF(B365="","⚠ Falta fecha",IF(G365="","⚠ Falta monto",IF(Q365="","⚠ Falta cuenta",IF(ISNA(MATCH(Q365,ctaNombre,0)),"⚠ Cuenta no registrada",IF(AND(OR(P365="Gasto",P365="Reembolso"),D365=""),"⚠ Falta categoría",IF(AND(D365&lt;&gt;"",E365&lt;&gt;"",ISNA(MATCH(D365&amp;"|"&amp;E365,catClave,0))),"⚠ Subcategoría no corresponde",IF(AND(OR(P365="Transferencia",P365="Pago tarjeta"),K365=""),"⚠ Falta cuenta destino",IF(AND(K365&lt;&gt;"",P365&lt;&gt;"Transferencia",P365&lt;&gt;"Pago tarjeta"),"⚠ Destino solo aplica a transferencias",IF(AND(K365&lt;&gt;"",K365=Q365),"⚠ Origen igual a destino",IF(AND(K365&lt;&gt;"",ISNA(MATCH(K365,ctaNombre,0))),"⚠ Destino no registrado",IF(AND(P365="Pago tarjeta",AE365&lt;&gt;"Tarjeta de crédito"),"⚠ El destino debe ser tarjeta de crédito",IF(AND(P365="Gasto",E365="Depósitos y retiros"),"⚠ Usa tipo Transferencia",IF(AND(P365="Resultado trading",AD365&lt;&gt;"Cuenta de trading"),"⚠ Usa una cuenta de trading",IF(AND(G365&lt;=0,P365&lt;&gt;"Ajuste",P365&lt;&gt;"Resultado trading"),"⚠ El monto debe ser positivo","✓")))))))))))))))</f>
        <v/>
      </c>
      <c r="P365" s="52">
        <f>IF(OR(B365="",G365=""),"",IF(C365="","Gasto",C365))</f>
        <v/>
      </c>
      <c r="Q365" s="52">
        <f>IF(P365="","",IF(J365&lt;&gt;"",J365,CuentaPred&amp;""))</f>
        <v/>
      </c>
      <c r="R365" s="52">
        <f>IF(P365="","",IF(ISNUMBER(I365),I365,TasaUSD))</f>
        <v/>
      </c>
      <c r="S365" s="53">
        <f>IF(P365="","",IF(H365="USD",G365*R365,G365))</f>
        <v/>
      </c>
      <c r="T365" s="53">
        <f>IF(P365="","",IF(H365="USD",G365,IF(R365&gt;0,G365/R365,0)))</f>
        <v/>
      </c>
      <c r="U365" s="53">
        <f>IF(P365="","",IF(P365="Gasto",S365,IF(P365="Reembolso",-S365,0)))</f>
        <v/>
      </c>
      <c r="V365" s="53">
        <f>IF(P365="","",IF(P365="Ingreso",S365,0))</f>
        <v/>
      </c>
      <c r="W365" s="53">
        <f>IF(P365="","",IF(P365="Resultado trading",S365,0))</f>
        <v/>
      </c>
      <c r="X365" s="52">
        <f>IF(OR(P365="Gasto",P365="Reembolso"),IF(M365&lt;&gt;"",M365,IFERROR(INDEX(catClasif,MATCH(D365&amp;"|"&amp;E365,catClave,0))&amp;"","Variable")),"")</f>
        <v/>
      </c>
      <c r="Y365" s="52">
        <f>IF(P365="","",IFERROR(INDEX(catGrupo,MATCH(D365&amp;"|"&amp;E365,catClave,0))&amp;"",""))</f>
        <v/>
      </c>
      <c r="Z365" s="52">
        <f>IF(P365="","",WEEKDAY(B365,2))</f>
        <v/>
      </c>
      <c r="AA365" s="52">
        <f>IF(P365="","",IF(AND(P365="Gasto",X365="Variable",D365&lt;&gt;catTrading,S365&gt;0,S365&lt;=Umbral),1,0))</f>
        <v/>
      </c>
      <c r="AB365" s="52">
        <f>IF(OR(P365="",Q365=""),"",IFERROR(IF(INDEX(ctaVinc,MATCH(Q365,ctaNombre,0))&amp;""&lt;&gt;"",INDEX(ctaVinc,MATCH(Q365,ctaNombre,0))&amp;"",Q365),Q365))</f>
        <v/>
      </c>
      <c r="AC365" s="52">
        <f>IF(OR(K365="",AND(P365&lt;&gt;"Transferencia",P365&lt;&gt;"Pago tarjeta")),"",IFERROR(IF(INDEX(ctaVinc,MATCH(K365,ctaNombre,0))&amp;""&lt;&gt;"",INDEX(ctaVinc,MATCH(K365,ctaNombre,0))&amp;"",K365),K365))</f>
        <v/>
      </c>
      <c r="AD365" s="52">
        <f>IF(AB365="","",IFERROR(INDEX(ctaTipo,MATCH(AB365,ctaNombre,0))&amp;"",""))</f>
        <v/>
      </c>
      <c r="AE365" s="52">
        <f>IF(AC365="","",IFERROR(INDEX(ctaTipo,MATCH(AC365,ctaNombre,0))&amp;"",""))</f>
        <v/>
      </c>
      <c r="AF365" s="53">
        <f>IF(OR(P365="",AB365=""),"",IF(OR(P365="Gasto",P365="Transferencia",P365="Pago tarjeta"),-1,1)*IF(IFERROR(INDEX(ctaMoneda,MATCH(AB365,ctaNombre,0))&amp;"","DOP")="USD",T365,S365))</f>
        <v/>
      </c>
      <c r="AG365" s="53">
        <f>IF(AC365="","",IF(IFERROR(INDEX(ctaMoneda,MATCH(AC365,ctaNombre,0))&amp;"","DOP")="USD",T365,S365))</f>
        <v/>
      </c>
      <c r="AH365" s="53">
        <f>IF(P365="","",IF(AND(AD365&lt;&gt;"",COUNTIFS(tcTipo,AD365,tcLiq,"Sí")&gt;0),IF(OR(P365="Gasto",P365="Transferencia",P365="Pago tarjeta"),-1,1)*S365,0)+IF(AND(AE365&lt;&gt;"",COUNTIFS(tcTipo,AE365,tcLiq,"Sí")&gt;0),S365,0))</f>
        <v/>
      </c>
      <c r="AI365" s="52">
        <f>IF(OR(L365="",P365=""),"",IF(COUNTIFS(L$6:L365,L365,P$6:P365,"?*")=1,MAX(AI$5:AI364)+1,""))</f>
        <v/>
      </c>
    </row>
    <row r="366">
      <c r="B366" s="47" t="n"/>
      <c r="C366" s="48" t="n"/>
      <c r="D366" s="48" t="n"/>
      <c r="E366" s="48" t="n"/>
      <c r="F366" s="48" t="n"/>
      <c r="G366" s="49" t="n"/>
      <c r="H366" s="48" t="n"/>
      <c r="I366" s="50" t="n"/>
      <c r="J366" s="48" t="n"/>
      <c r="K366" s="48" t="n"/>
      <c r="L366" s="48" t="n"/>
      <c r="M366" s="48" t="n"/>
      <c r="N366" s="48" t="n"/>
      <c r="O366" s="51">
        <f>IF(AND(B366="",G366="",C366="",D366="",J366=""),"",IF(B366="","⚠ Falta fecha",IF(G366="","⚠ Falta monto",IF(Q366="","⚠ Falta cuenta",IF(ISNA(MATCH(Q366,ctaNombre,0)),"⚠ Cuenta no registrada",IF(AND(OR(P366="Gasto",P366="Reembolso"),D366=""),"⚠ Falta categoría",IF(AND(D366&lt;&gt;"",E366&lt;&gt;"",ISNA(MATCH(D366&amp;"|"&amp;E366,catClave,0))),"⚠ Subcategoría no corresponde",IF(AND(OR(P366="Transferencia",P366="Pago tarjeta"),K366=""),"⚠ Falta cuenta destino",IF(AND(K366&lt;&gt;"",P366&lt;&gt;"Transferencia",P366&lt;&gt;"Pago tarjeta"),"⚠ Destino solo aplica a transferencias",IF(AND(K366&lt;&gt;"",K366=Q366),"⚠ Origen igual a destino",IF(AND(K366&lt;&gt;"",ISNA(MATCH(K366,ctaNombre,0))),"⚠ Destino no registrado",IF(AND(P366="Pago tarjeta",AE366&lt;&gt;"Tarjeta de crédito"),"⚠ El destino debe ser tarjeta de crédito",IF(AND(P366="Gasto",E366="Depósitos y retiros"),"⚠ Usa tipo Transferencia",IF(AND(P366="Resultado trading",AD366&lt;&gt;"Cuenta de trading"),"⚠ Usa una cuenta de trading",IF(AND(G366&lt;=0,P366&lt;&gt;"Ajuste",P366&lt;&gt;"Resultado trading"),"⚠ El monto debe ser positivo","✓")))))))))))))))</f>
        <v/>
      </c>
      <c r="P366" s="52">
        <f>IF(OR(B366="",G366=""),"",IF(C366="","Gasto",C366))</f>
        <v/>
      </c>
      <c r="Q366" s="52">
        <f>IF(P366="","",IF(J366&lt;&gt;"",J366,CuentaPred&amp;""))</f>
        <v/>
      </c>
      <c r="R366" s="52">
        <f>IF(P366="","",IF(ISNUMBER(I366),I366,TasaUSD))</f>
        <v/>
      </c>
      <c r="S366" s="53">
        <f>IF(P366="","",IF(H366="USD",G366*R366,G366))</f>
        <v/>
      </c>
      <c r="T366" s="53">
        <f>IF(P366="","",IF(H366="USD",G366,IF(R366&gt;0,G366/R366,0)))</f>
        <v/>
      </c>
      <c r="U366" s="53">
        <f>IF(P366="","",IF(P366="Gasto",S366,IF(P366="Reembolso",-S366,0)))</f>
        <v/>
      </c>
      <c r="V366" s="53">
        <f>IF(P366="","",IF(P366="Ingreso",S366,0))</f>
        <v/>
      </c>
      <c r="W366" s="53">
        <f>IF(P366="","",IF(P366="Resultado trading",S366,0))</f>
        <v/>
      </c>
      <c r="X366" s="52">
        <f>IF(OR(P366="Gasto",P366="Reembolso"),IF(M366&lt;&gt;"",M366,IFERROR(INDEX(catClasif,MATCH(D366&amp;"|"&amp;E366,catClave,0))&amp;"","Variable")),"")</f>
        <v/>
      </c>
      <c r="Y366" s="52">
        <f>IF(P366="","",IFERROR(INDEX(catGrupo,MATCH(D366&amp;"|"&amp;E366,catClave,0))&amp;"",""))</f>
        <v/>
      </c>
      <c r="Z366" s="52">
        <f>IF(P366="","",WEEKDAY(B366,2))</f>
        <v/>
      </c>
      <c r="AA366" s="52">
        <f>IF(P366="","",IF(AND(P366="Gasto",X366="Variable",D366&lt;&gt;catTrading,S366&gt;0,S366&lt;=Umbral),1,0))</f>
        <v/>
      </c>
      <c r="AB366" s="52">
        <f>IF(OR(P366="",Q366=""),"",IFERROR(IF(INDEX(ctaVinc,MATCH(Q366,ctaNombre,0))&amp;""&lt;&gt;"",INDEX(ctaVinc,MATCH(Q366,ctaNombre,0))&amp;"",Q366),Q366))</f>
        <v/>
      </c>
      <c r="AC366" s="52">
        <f>IF(OR(K366="",AND(P366&lt;&gt;"Transferencia",P366&lt;&gt;"Pago tarjeta")),"",IFERROR(IF(INDEX(ctaVinc,MATCH(K366,ctaNombre,0))&amp;""&lt;&gt;"",INDEX(ctaVinc,MATCH(K366,ctaNombre,0))&amp;"",K366),K366))</f>
        <v/>
      </c>
      <c r="AD366" s="52">
        <f>IF(AB366="","",IFERROR(INDEX(ctaTipo,MATCH(AB366,ctaNombre,0))&amp;"",""))</f>
        <v/>
      </c>
      <c r="AE366" s="52">
        <f>IF(AC366="","",IFERROR(INDEX(ctaTipo,MATCH(AC366,ctaNombre,0))&amp;"",""))</f>
        <v/>
      </c>
      <c r="AF366" s="53">
        <f>IF(OR(P366="",AB366=""),"",IF(OR(P366="Gasto",P366="Transferencia",P366="Pago tarjeta"),-1,1)*IF(IFERROR(INDEX(ctaMoneda,MATCH(AB366,ctaNombre,0))&amp;"","DOP")="USD",T366,S366))</f>
        <v/>
      </c>
      <c r="AG366" s="53">
        <f>IF(AC366="","",IF(IFERROR(INDEX(ctaMoneda,MATCH(AC366,ctaNombre,0))&amp;"","DOP")="USD",T366,S366))</f>
        <v/>
      </c>
      <c r="AH366" s="53">
        <f>IF(P366="","",IF(AND(AD366&lt;&gt;"",COUNTIFS(tcTipo,AD366,tcLiq,"Sí")&gt;0),IF(OR(P366="Gasto",P366="Transferencia",P366="Pago tarjeta"),-1,1)*S366,0)+IF(AND(AE366&lt;&gt;"",COUNTIFS(tcTipo,AE366,tcLiq,"Sí")&gt;0),S366,0))</f>
        <v/>
      </c>
      <c r="AI366" s="52">
        <f>IF(OR(L366="",P366=""),"",IF(COUNTIFS(L$6:L366,L366,P$6:P366,"?*")=1,MAX(AI$5:AI365)+1,""))</f>
        <v/>
      </c>
    </row>
    <row r="367">
      <c r="B367" s="47" t="n"/>
      <c r="C367" s="48" t="n"/>
      <c r="D367" s="48" t="n"/>
      <c r="E367" s="48" t="n"/>
      <c r="F367" s="48" t="n"/>
      <c r="G367" s="49" t="n"/>
      <c r="H367" s="48" t="n"/>
      <c r="I367" s="50" t="n"/>
      <c r="J367" s="48" t="n"/>
      <c r="K367" s="48" t="n"/>
      <c r="L367" s="48" t="n"/>
      <c r="M367" s="48" t="n"/>
      <c r="N367" s="48" t="n"/>
      <c r="O367" s="51">
        <f>IF(AND(B367="",G367="",C367="",D367="",J367=""),"",IF(B367="","⚠ Falta fecha",IF(G367="","⚠ Falta monto",IF(Q367="","⚠ Falta cuenta",IF(ISNA(MATCH(Q367,ctaNombre,0)),"⚠ Cuenta no registrada",IF(AND(OR(P367="Gasto",P367="Reembolso"),D367=""),"⚠ Falta categoría",IF(AND(D367&lt;&gt;"",E367&lt;&gt;"",ISNA(MATCH(D367&amp;"|"&amp;E367,catClave,0))),"⚠ Subcategoría no corresponde",IF(AND(OR(P367="Transferencia",P367="Pago tarjeta"),K367=""),"⚠ Falta cuenta destino",IF(AND(K367&lt;&gt;"",P367&lt;&gt;"Transferencia",P367&lt;&gt;"Pago tarjeta"),"⚠ Destino solo aplica a transferencias",IF(AND(K367&lt;&gt;"",K367=Q367),"⚠ Origen igual a destino",IF(AND(K367&lt;&gt;"",ISNA(MATCH(K367,ctaNombre,0))),"⚠ Destino no registrado",IF(AND(P367="Pago tarjeta",AE367&lt;&gt;"Tarjeta de crédito"),"⚠ El destino debe ser tarjeta de crédito",IF(AND(P367="Gasto",E367="Depósitos y retiros"),"⚠ Usa tipo Transferencia",IF(AND(P367="Resultado trading",AD367&lt;&gt;"Cuenta de trading"),"⚠ Usa una cuenta de trading",IF(AND(G367&lt;=0,P367&lt;&gt;"Ajuste",P367&lt;&gt;"Resultado trading"),"⚠ El monto debe ser positivo","✓")))))))))))))))</f>
        <v/>
      </c>
      <c r="P367" s="52">
        <f>IF(OR(B367="",G367=""),"",IF(C367="","Gasto",C367))</f>
        <v/>
      </c>
      <c r="Q367" s="52">
        <f>IF(P367="","",IF(J367&lt;&gt;"",J367,CuentaPred&amp;""))</f>
        <v/>
      </c>
      <c r="R367" s="52">
        <f>IF(P367="","",IF(ISNUMBER(I367),I367,TasaUSD))</f>
        <v/>
      </c>
      <c r="S367" s="53">
        <f>IF(P367="","",IF(H367="USD",G367*R367,G367))</f>
        <v/>
      </c>
      <c r="T367" s="53">
        <f>IF(P367="","",IF(H367="USD",G367,IF(R367&gt;0,G367/R367,0)))</f>
        <v/>
      </c>
      <c r="U367" s="53">
        <f>IF(P367="","",IF(P367="Gasto",S367,IF(P367="Reembolso",-S367,0)))</f>
        <v/>
      </c>
      <c r="V367" s="53">
        <f>IF(P367="","",IF(P367="Ingreso",S367,0))</f>
        <v/>
      </c>
      <c r="W367" s="53">
        <f>IF(P367="","",IF(P367="Resultado trading",S367,0))</f>
        <v/>
      </c>
      <c r="X367" s="52">
        <f>IF(OR(P367="Gasto",P367="Reembolso"),IF(M367&lt;&gt;"",M367,IFERROR(INDEX(catClasif,MATCH(D367&amp;"|"&amp;E367,catClave,0))&amp;"","Variable")),"")</f>
        <v/>
      </c>
      <c r="Y367" s="52">
        <f>IF(P367="","",IFERROR(INDEX(catGrupo,MATCH(D367&amp;"|"&amp;E367,catClave,0))&amp;"",""))</f>
        <v/>
      </c>
      <c r="Z367" s="52">
        <f>IF(P367="","",WEEKDAY(B367,2))</f>
        <v/>
      </c>
      <c r="AA367" s="52">
        <f>IF(P367="","",IF(AND(P367="Gasto",X367="Variable",D367&lt;&gt;catTrading,S367&gt;0,S367&lt;=Umbral),1,0))</f>
        <v/>
      </c>
      <c r="AB367" s="52">
        <f>IF(OR(P367="",Q367=""),"",IFERROR(IF(INDEX(ctaVinc,MATCH(Q367,ctaNombre,0))&amp;""&lt;&gt;"",INDEX(ctaVinc,MATCH(Q367,ctaNombre,0))&amp;"",Q367),Q367))</f>
        <v/>
      </c>
      <c r="AC367" s="52">
        <f>IF(OR(K367="",AND(P367&lt;&gt;"Transferencia",P367&lt;&gt;"Pago tarjeta")),"",IFERROR(IF(INDEX(ctaVinc,MATCH(K367,ctaNombre,0))&amp;""&lt;&gt;"",INDEX(ctaVinc,MATCH(K367,ctaNombre,0))&amp;"",K367),K367))</f>
        <v/>
      </c>
      <c r="AD367" s="52">
        <f>IF(AB367="","",IFERROR(INDEX(ctaTipo,MATCH(AB367,ctaNombre,0))&amp;"",""))</f>
        <v/>
      </c>
      <c r="AE367" s="52">
        <f>IF(AC367="","",IFERROR(INDEX(ctaTipo,MATCH(AC367,ctaNombre,0))&amp;"",""))</f>
        <v/>
      </c>
      <c r="AF367" s="53">
        <f>IF(OR(P367="",AB367=""),"",IF(OR(P367="Gasto",P367="Transferencia",P367="Pago tarjeta"),-1,1)*IF(IFERROR(INDEX(ctaMoneda,MATCH(AB367,ctaNombre,0))&amp;"","DOP")="USD",T367,S367))</f>
        <v/>
      </c>
      <c r="AG367" s="53">
        <f>IF(AC367="","",IF(IFERROR(INDEX(ctaMoneda,MATCH(AC367,ctaNombre,0))&amp;"","DOP")="USD",T367,S367))</f>
        <v/>
      </c>
      <c r="AH367" s="53">
        <f>IF(P367="","",IF(AND(AD367&lt;&gt;"",COUNTIFS(tcTipo,AD367,tcLiq,"Sí")&gt;0),IF(OR(P367="Gasto",P367="Transferencia",P367="Pago tarjeta"),-1,1)*S367,0)+IF(AND(AE367&lt;&gt;"",COUNTIFS(tcTipo,AE367,tcLiq,"Sí")&gt;0),S367,0))</f>
        <v/>
      </c>
      <c r="AI367" s="52">
        <f>IF(OR(L367="",P367=""),"",IF(COUNTIFS(L$6:L367,L367,P$6:P367,"?*")=1,MAX(AI$5:AI366)+1,""))</f>
        <v/>
      </c>
    </row>
    <row r="368">
      <c r="B368" s="47" t="n"/>
      <c r="C368" s="48" t="n"/>
      <c r="D368" s="48" t="n"/>
      <c r="E368" s="48" t="n"/>
      <c r="F368" s="48" t="n"/>
      <c r="G368" s="49" t="n"/>
      <c r="H368" s="48" t="n"/>
      <c r="I368" s="50" t="n"/>
      <c r="J368" s="48" t="n"/>
      <c r="K368" s="48" t="n"/>
      <c r="L368" s="48" t="n"/>
      <c r="M368" s="48" t="n"/>
      <c r="N368" s="48" t="n"/>
      <c r="O368" s="51">
        <f>IF(AND(B368="",G368="",C368="",D368="",J368=""),"",IF(B368="","⚠ Falta fecha",IF(G368="","⚠ Falta monto",IF(Q368="","⚠ Falta cuenta",IF(ISNA(MATCH(Q368,ctaNombre,0)),"⚠ Cuenta no registrada",IF(AND(OR(P368="Gasto",P368="Reembolso"),D368=""),"⚠ Falta categoría",IF(AND(D368&lt;&gt;"",E368&lt;&gt;"",ISNA(MATCH(D368&amp;"|"&amp;E368,catClave,0))),"⚠ Subcategoría no corresponde",IF(AND(OR(P368="Transferencia",P368="Pago tarjeta"),K368=""),"⚠ Falta cuenta destino",IF(AND(K368&lt;&gt;"",P368&lt;&gt;"Transferencia",P368&lt;&gt;"Pago tarjeta"),"⚠ Destino solo aplica a transferencias",IF(AND(K368&lt;&gt;"",K368=Q368),"⚠ Origen igual a destino",IF(AND(K368&lt;&gt;"",ISNA(MATCH(K368,ctaNombre,0))),"⚠ Destino no registrado",IF(AND(P368="Pago tarjeta",AE368&lt;&gt;"Tarjeta de crédito"),"⚠ El destino debe ser tarjeta de crédito",IF(AND(P368="Gasto",E368="Depósitos y retiros"),"⚠ Usa tipo Transferencia",IF(AND(P368="Resultado trading",AD368&lt;&gt;"Cuenta de trading"),"⚠ Usa una cuenta de trading",IF(AND(G368&lt;=0,P368&lt;&gt;"Ajuste",P368&lt;&gt;"Resultado trading"),"⚠ El monto debe ser positivo","✓")))))))))))))))</f>
        <v/>
      </c>
      <c r="P368" s="52">
        <f>IF(OR(B368="",G368=""),"",IF(C368="","Gasto",C368))</f>
        <v/>
      </c>
      <c r="Q368" s="52">
        <f>IF(P368="","",IF(J368&lt;&gt;"",J368,CuentaPred&amp;""))</f>
        <v/>
      </c>
      <c r="R368" s="52">
        <f>IF(P368="","",IF(ISNUMBER(I368),I368,TasaUSD))</f>
        <v/>
      </c>
      <c r="S368" s="53">
        <f>IF(P368="","",IF(H368="USD",G368*R368,G368))</f>
        <v/>
      </c>
      <c r="T368" s="53">
        <f>IF(P368="","",IF(H368="USD",G368,IF(R368&gt;0,G368/R368,0)))</f>
        <v/>
      </c>
      <c r="U368" s="53">
        <f>IF(P368="","",IF(P368="Gasto",S368,IF(P368="Reembolso",-S368,0)))</f>
        <v/>
      </c>
      <c r="V368" s="53">
        <f>IF(P368="","",IF(P368="Ingreso",S368,0))</f>
        <v/>
      </c>
      <c r="W368" s="53">
        <f>IF(P368="","",IF(P368="Resultado trading",S368,0))</f>
        <v/>
      </c>
      <c r="X368" s="52">
        <f>IF(OR(P368="Gasto",P368="Reembolso"),IF(M368&lt;&gt;"",M368,IFERROR(INDEX(catClasif,MATCH(D368&amp;"|"&amp;E368,catClave,0))&amp;"","Variable")),"")</f>
        <v/>
      </c>
      <c r="Y368" s="52">
        <f>IF(P368="","",IFERROR(INDEX(catGrupo,MATCH(D368&amp;"|"&amp;E368,catClave,0))&amp;"",""))</f>
        <v/>
      </c>
      <c r="Z368" s="52">
        <f>IF(P368="","",WEEKDAY(B368,2))</f>
        <v/>
      </c>
      <c r="AA368" s="52">
        <f>IF(P368="","",IF(AND(P368="Gasto",X368="Variable",D368&lt;&gt;catTrading,S368&gt;0,S368&lt;=Umbral),1,0))</f>
        <v/>
      </c>
      <c r="AB368" s="52">
        <f>IF(OR(P368="",Q368=""),"",IFERROR(IF(INDEX(ctaVinc,MATCH(Q368,ctaNombre,0))&amp;""&lt;&gt;"",INDEX(ctaVinc,MATCH(Q368,ctaNombre,0))&amp;"",Q368),Q368))</f>
        <v/>
      </c>
      <c r="AC368" s="52">
        <f>IF(OR(K368="",AND(P368&lt;&gt;"Transferencia",P368&lt;&gt;"Pago tarjeta")),"",IFERROR(IF(INDEX(ctaVinc,MATCH(K368,ctaNombre,0))&amp;""&lt;&gt;"",INDEX(ctaVinc,MATCH(K368,ctaNombre,0))&amp;"",K368),K368))</f>
        <v/>
      </c>
      <c r="AD368" s="52">
        <f>IF(AB368="","",IFERROR(INDEX(ctaTipo,MATCH(AB368,ctaNombre,0))&amp;"",""))</f>
        <v/>
      </c>
      <c r="AE368" s="52">
        <f>IF(AC368="","",IFERROR(INDEX(ctaTipo,MATCH(AC368,ctaNombre,0))&amp;"",""))</f>
        <v/>
      </c>
      <c r="AF368" s="53">
        <f>IF(OR(P368="",AB368=""),"",IF(OR(P368="Gasto",P368="Transferencia",P368="Pago tarjeta"),-1,1)*IF(IFERROR(INDEX(ctaMoneda,MATCH(AB368,ctaNombre,0))&amp;"","DOP")="USD",T368,S368))</f>
        <v/>
      </c>
      <c r="AG368" s="53">
        <f>IF(AC368="","",IF(IFERROR(INDEX(ctaMoneda,MATCH(AC368,ctaNombre,0))&amp;"","DOP")="USD",T368,S368))</f>
        <v/>
      </c>
      <c r="AH368" s="53">
        <f>IF(P368="","",IF(AND(AD368&lt;&gt;"",COUNTIFS(tcTipo,AD368,tcLiq,"Sí")&gt;0),IF(OR(P368="Gasto",P368="Transferencia",P368="Pago tarjeta"),-1,1)*S368,0)+IF(AND(AE368&lt;&gt;"",COUNTIFS(tcTipo,AE368,tcLiq,"Sí")&gt;0),S368,0))</f>
        <v/>
      </c>
      <c r="AI368" s="52">
        <f>IF(OR(L368="",P368=""),"",IF(COUNTIFS(L$6:L368,L368,P$6:P368,"?*")=1,MAX(AI$5:AI367)+1,""))</f>
        <v/>
      </c>
    </row>
    <row r="369">
      <c r="B369" s="47" t="n"/>
      <c r="C369" s="48" t="n"/>
      <c r="D369" s="48" t="n"/>
      <c r="E369" s="48" t="n"/>
      <c r="F369" s="48" t="n"/>
      <c r="G369" s="49" t="n"/>
      <c r="H369" s="48" t="n"/>
      <c r="I369" s="50" t="n"/>
      <c r="J369" s="48" t="n"/>
      <c r="K369" s="48" t="n"/>
      <c r="L369" s="48" t="n"/>
      <c r="M369" s="48" t="n"/>
      <c r="N369" s="48" t="n"/>
      <c r="O369" s="51">
        <f>IF(AND(B369="",G369="",C369="",D369="",J369=""),"",IF(B369="","⚠ Falta fecha",IF(G369="","⚠ Falta monto",IF(Q369="","⚠ Falta cuenta",IF(ISNA(MATCH(Q369,ctaNombre,0)),"⚠ Cuenta no registrada",IF(AND(OR(P369="Gasto",P369="Reembolso"),D369=""),"⚠ Falta categoría",IF(AND(D369&lt;&gt;"",E369&lt;&gt;"",ISNA(MATCH(D369&amp;"|"&amp;E369,catClave,0))),"⚠ Subcategoría no corresponde",IF(AND(OR(P369="Transferencia",P369="Pago tarjeta"),K369=""),"⚠ Falta cuenta destino",IF(AND(K369&lt;&gt;"",P369&lt;&gt;"Transferencia",P369&lt;&gt;"Pago tarjeta"),"⚠ Destino solo aplica a transferencias",IF(AND(K369&lt;&gt;"",K369=Q369),"⚠ Origen igual a destino",IF(AND(K369&lt;&gt;"",ISNA(MATCH(K369,ctaNombre,0))),"⚠ Destino no registrado",IF(AND(P369="Pago tarjeta",AE369&lt;&gt;"Tarjeta de crédito"),"⚠ El destino debe ser tarjeta de crédito",IF(AND(P369="Gasto",E369="Depósitos y retiros"),"⚠ Usa tipo Transferencia",IF(AND(P369="Resultado trading",AD369&lt;&gt;"Cuenta de trading"),"⚠ Usa una cuenta de trading",IF(AND(G369&lt;=0,P369&lt;&gt;"Ajuste",P369&lt;&gt;"Resultado trading"),"⚠ El monto debe ser positivo","✓")))))))))))))))</f>
        <v/>
      </c>
      <c r="P369" s="52">
        <f>IF(OR(B369="",G369=""),"",IF(C369="","Gasto",C369))</f>
        <v/>
      </c>
      <c r="Q369" s="52">
        <f>IF(P369="","",IF(J369&lt;&gt;"",J369,CuentaPred&amp;""))</f>
        <v/>
      </c>
      <c r="R369" s="52">
        <f>IF(P369="","",IF(ISNUMBER(I369),I369,TasaUSD))</f>
        <v/>
      </c>
      <c r="S369" s="53">
        <f>IF(P369="","",IF(H369="USD",G369*R369,G369))</f>
        <v/>
      </c>
      <c r="T369" s="53">
        <f>IF(P369="","",IF(H369="USD",G369,IF(R369&gt;0,G369/R369,0)))</f>
        <v/>
      </c>
      <c r="U369" s="53">
        <f>IF(P369="","",IF(P369="Gasto",S369,IF(P369="Reembolso",-S369,0)))</f>
        <v/>
      </c>
      <c r="V369" s="53">
        <f>IF(P369="","",IF(P369="Ingreso",S369,0))</f>
        <v/>
      </c>
      <c r="W369" s="53">
        <f>IF(P369="","",IF(P369="Resultado trading",S369,0))</f>
        <v/>
      </c>
      <c r="X369" s="52">
        <f>IF(OR(P369="Gasto",P369="Reembolso"),IF(M369&lt;&gt;"",M369,IFERROR(INDEX(catClasif,MATCH(D369&amp;"|"&amp;E369,catClave,0))&amp;"","Variable")),"")</f>
        <v/>
      </c>
      <c r="Y369" s="52">
        <f>IF(P369="","",IFERROR(INDEX(catGrupo,MATCH(D369&amp;"|"&amp;E369,catClave,0))&amp;"",""))</f>
        <v/>
      </c>
      <c r="Z369" s="52">
        <f>IF(P369="","",WEEKDAY(B369,2))</f>
        <v/>
      </c>
      <c r="AA369" s="52">
        <f>IF(P369="","",IF(AND(P369="Gasto",X369="Variable",D369&lt;&gt;catTrading,S369&gt;0,S369&lt;=Umbral),1,0))</f>
        <v/>
      </c>
      <c r="AB369" s="52">
        <f>IF(OR(P369="",Q369=""),"",IFERROR(IF(INDEX(ctaVinc,MATCH(Q369,ctaNombre,0))&amp;""&lt;&gt;"",INDEX(ctaVinc,MATCH(Q369,ctaNombre,0))&amp;"",Q369),Q369))</f>
        <v/>
      </c>
      <c r="AC369" s="52">
        <f>IF(OR(K369="",AND(P369&lt;&gt;"Transferencia",P369&lt;&gt;"Pago tarjeta")),"",IFERROR(IF(INDEX(ctaVinc,MATCH(K369,ctaNombre,0))&amp;""&lt;&gt;"",INDEX(ctaVinc,MATCH(K369,ctaNombre,0))&amp;"",K369),K369))</f>
        <v/>
      </c>
      <c r="AD369" s="52">
        <f>IF(AB369="","",IFERROR(INDEX(ctaTipo,MATCH(AB369,ctaNombre,0))&amp;"",""))</f>
        <v/>
      </c>
      <c r="AE369" s="52">
        <f>IF(AC369="","",IFERROR(INDEX(ctaTipo,MATCH(AC369,ctaNombre,0))&amp;"",""))</f>
        <v/>
      </c>
      <c r="AF369" s="53">
        <f>IF(OR(P369="",AB369=""),"",IF(OR(P369="Gasto",P369="Transferencia",P369="Pago tarjeta"),-1,1)*IF(IFERROR(INDEX(ctaMoneda,MATCH(AB369,ctaNombre,0))&amp;"","DOP")="USD",T369,S369))</f>
        <v/>
      </c>
      <c r="AG369" s="53">
        <f>IF(AC369="","",IF(IFERROR(INDEX(ctaMoneda,MATCH(AC369,ctaNombre,0))&amp;"","DOP")="USD",T369,S369))</f>
        <v/>
      </c>
      <c r="AH369" s="53">
        <f>IF(P369="","",IF(AND(AD369&lt;&gt;"",COUNTIFS(tcTipo,AD369,tcLiq,"Sí")&gt;0),IF(OR(P369="Gasto",P369="Transferencia",P369="Pago tarjeta"),-1,1)*S369,0)+IF(AND(AE369&lt;&gt;"",COUNTIFS(tcTipo,AE369,tcLiq,"Sí")&gt;0),S369,0))</f>
        <v/>
      </c>
      <c r="AI369" s="52">
        <f>IF(OR(L369="",P369=""),"",IF(COUNTIFS(L$6:L369,L369,P$6:P369,"?*")=1,MAX(AI$5:AI368)+1,""))</f>
        <v/>
      </c>
    </row>
    <row r="370">
      <c r="B370" s="47" t="n"/>
      <c r="C370" s="48" t="n"/>
      <c r="D370" s="48" t="n"/>
      <c r="E370" s="48" t="n"/>
      <c r="F370" s="48" t="n"/>
      <c r="G370" s="49" t="n"/>
      <c r="H370" s="48" t="n"/>
      <c r="I370" s="50" t="n"/>
      <c r="J370" s="48" t="n"/>
      <c r="K370" s="48" t="n"/>
      <c r="L370" s="48" t="n"/>
      <c r="M370" s="48" t="n"/>
      <c r="N370" s="48" t="n"/>
      <c r="O370" s="51">
        <f>IF(AND(B370="",G370="",C370="",D370="",J370=""),"",IF(B370="","⚠ Falta fecha",IF(G370="","⚠ Falta monto",IF(Q370="","⚠ Falta cuenta",IF(ISNA(MATCH(Q370,ctaNombre,0)),"⚠ Cuenta no registrada",IF(AND(OR(P370="Gasto",P370="Reembolso"),D370=""),"⚠ Falta categoría",IF(AND(D370&lt;&gt;"",E370&lt;&gt;"",ISNA(MATCH(D370&amp;"|"&amp;E370,catClave,0))),"⚠ Subcategoría no corresponde",IF(AND(OR(P370="Transferencia",P370="Pago tarjeta"),K370=""),"⚠ Falta cuenta destino",IF(AND(K370&lt;&gt;"",P370&lt;&gt;"Transferencia",P370&lt;&gt;"Pago tarjeta"),"⚠ Destino solo aplica a transferencias",IF(AND(K370&lt;&gt;"",K370=Q370),"⚠ Origen igual a destino",IF(AND(K370&lt;&gt;"",ISNA(MATCH(K370,ctaNombre,0))),"⚠ Destino no registrado",IF(AND(P370="Pago tarjeta",AE370&lt;&gt;"Tarjeta de crédito"),"⚠ El destino debe ser tarjeta de crédito",IF(AND(P370="Gasto",E370="Depósitos y retiros"),"⚠ Usa tipo Transferencia",IF(AND(P370="Resultado trading",AD370&lt;&gt;"Cuenta de trading"),"⚠ Usa una cuenta de trading",IF(AND(G370&lt;=0,P370&lt;&gt;"Ajuste",P370&lt;&gt;"Resultado trading"),"⚠ El monto debe ser positivo","✓")))))))))))))))</f>
        <v/>
      </c>
      <c r="P370" s="52">
        <f>IF(OR(B370="",G370=""),"",IF(C370="","Gasto",C370))</f>
        <v/>
      </c>
      <c r="Q370" s="52">
        <f>IF(P370="","",IF(J370&lt;&gt;"",J370,CuentaPred&amp;""))</f>
        <v/>
      </c>
      <c r="R370" s="52">
        <f>IF(P370="","",IF(ISNUMBER(I370),I370,TasaUSD))</f>
        <v/>
      </c>
      <c r="S370" s="53">
        <f>IF(P370="","",IF(H370="USD",G370*R370,G370))</f>
        <v/>
      </c>
      <c r="T370" s="53">
        <f>IF(P370="","",IF(H370="USD",G370,IF(R370&gt;0,G370/R370,0)))</f>
        <v/>
      </c>
      <c r="U370" s="53">
        <f>IF(P370="","",IF(P370="Gasto",S370,IF(P370="Reembolso",-S370,0)))</f>
        <v/>
      </c>
      <c r="V370" s="53">
        <f>IF(P370="","",IF(P370="Ingreso",S370,0))</f>
        <v/>
      </c>
      <c r="W370" s="53">
        <f>IF(P370="","",IF(P370="Resultado trading",S370,0))</f>
        <v/>
      </c>
      <c r="X370" s="52">
        <f>IF(OR(P370="Gasto",P370="Reembolso"),IF(M370&lt;&gt;"",M370,IFERROR(INDEX(catClasif,MATCH(D370&amp;"|"&amp;E370,catClave,0))&amp;"","Variable")),"")</f>
        <v/>
      </c>
      <c r="Y370" s="52">
        <f>IF(P370="","",IFERROR(INDEX(catGrupo,MATCH(D370&amp;"|"&amp;E370,catClave,0))&amp;"",""))</f>
        <v/>
      </c>
      <c r="Z370" s="52">
        <f>IF(P370="","",WEEKDAY(B370,2))</f>
        <v/>
      </c>
      <c r="AA370" s="52">
        <f>IF(P370="","",IF(AND(P370="Gasto",X370="Variable",D370&lt;&gt;catTrading,S370&gt;0,S370&lt;=Umbral),1,0))</f>
        <v/>
      </c>
      <c r="AB370" s="52">
        <f>IF(OR(P370="",Q370=""),"",IFERROR(IF(INDEX(ctaVinc,MATCH(Q370,ctaNombre,0))&amp;""&lt;&gt;"",INDEX(ctaVinc,MATCH(Q370,ctaNombre,0))&amp;"",Q370),Q370))</f>
        <v/>
      </c>
      <c r="AC370" s="52">
        <f>IF(OR(K370="",AND(P370&lt;&gt;"Transferencia",P370&lt;&gt;"Pago tarjeta")),"",IFERROR(IF(INDEX(ctaVinc,MATCH(K370,ctaNombre,0))&amp;""&lt;&gt;"",INDEX(ctaVinc,MATCH(K370,ctaNombre,0))&amp;"",K370),K370))</f>
        <v/>
      </c>
      <c r="AD370" s="52">
        <f>IF(AB370="","",IFERROR(INDEX(ctaTipo,MATCH(AB370,ctaNombre,0))&amp;"",""))</f>
        <v/>
      </c>
      <c r="AE370" s="52">
        <f>IF(AC370="","",IFERROR(INDEX(ctaTipo,MATCH(AC370,ctaNombre,0))&amp;"",""))</f>
        <v/>
      </c>
      <c r="AF370" s="53">
        <f>IF(OR(P370="",AB370=""),"",IF(OR(P370="Gasto",P370="Transferencia",P370="Pago tarjeta"),-1,1)*IF(IFERROR(INDEX(ctaMoneda,MATCH(AB370,ctaNombre,0))&amp;"","DOP")="USD",T370,S370))</f>
        <v/>
      </c>
      <c r="AG370" s="53">
        <f>IF(AC370="","",IF(IFERROR(INDEX(ctaMoneda,MATCH(AC370,ctaNombre,0))&amp;"","DOP")="USD",T370,S370))</f>
        <v/>
      </c>
      <c r="AH370" s="53">
        <f>IF(P370="","",IF(AND(AD370&lt;&gt;"",COUNTIFS(tcTipo,AD370,tcLiq,"Sí")&gt;0),IF(OR(P370="Gasto",P370="Transferencia",P370="Pago tarjeta"),-1,1)*S370,0)+IF(AND(AE370&lt;&gt;"",COUNTIFS(tcTipo,AE370,tcLiq,"Sí")&gt;0),S370,0))</f>
        <v/>
      </c>
      <c r="AI370" s="52">
        <f>IF(OR(L370="",P370=""),"",IF(COUNTIFS(L$6:L370,L370,P$6:P370,"?*")=1,MAX(AI$5:AI369)+1,""))</f>
        <v/>
      </c>
    </row>
    <row r="371">
      <c r="B371" s="47" t="n"/>
      <c r="C371" s="48" t="n"/>
      <c r="D371" s="48" t="n"/>
      <c r="E371" s="48" t="n"/>
      <c r="F371" s="48" t="n"/>
      <c r="G371" s="49" t="n"/>
      <c r="H371" s="48" t="n"/>
      <c r="I371" s="50" t="n"/>
      <c r="J371" s="48" t="n"/>
      <c r="K371" s="48" t="n"/>
      <c r="L371" s="48" t="n"/>
      <c r="M371" s="48" t="n"/>
      <c r="N371" s="48" t="n"/>
      <c r="O371" s="51">
        <f>IF(AND(B371="",G371="",C371="",D371="",J371=""),"",IF(B371="","⚠ Falta fecha",IF(G371="","⚠ Falta monto",IF(Q371="","⚠ Falta cuenta",IF(ISNA(MATCH(Q371,ctaNombre,0)),"⚠ Cuenta no registrada",IF(AND(OR(P371="Gasto",P371="Reembolso"),D371=""),"⚠ Falta categoría",IF(AND(D371&lt;&gt;"",E371&lt;&gt;"",ISNA(MATCH(D371&amp;"|"&amp;E371,catClave,0))),"⚠ Subcategoría no corresponde",IF(AND(OR(P371="Transferencia",P371="Pago tarjeta"),K371=""),"⚠ Falta cuenta destino",IF(AND(K371&lt;&gt;"",P371&lt;&gt;"Transferencia",P371&lt;&gt;"Pago tarjeta"),"⚠ Destino solo aplica a transferencias",IF(AND(K371&lt;&gt;"",K371=Q371),"⚠ Origen igual a destino",IF(AND(K371&lt;&gt;"",ISNA(MATCH(K371,ctaNombre,0))),"⚠ Destino no registrado",IF(AND(P371="Pago tarjeta",AE371&lt;&gt;"Tarjeta de crédito"),"⚠ El destino debe ser tarjeta de crédito",IF(AND(P371="Gasto",E371="Depósitos y retiros"),"⚠ Usa tipo Transferencia",IF(AND(P371="Resultado trading",AD371&lt;&gt;"Cuenta de trading"),"⚠ Usa una cuenta de trading",IF(AND(G371&lt;=0,P371&lt;&gt;"Ajuste",P371&lt;&gt;"Resultado trading"),"⚠ El monto debe ser positivo","✓")))))))))))))))</f>
        <v/>
      </c>
      <c r="P371" s="52">
        <f>IF(OR(B371="",G371=""),"",IF(C371="","Gasto",C371))</f>
        <v/>
      </c>
      <c r="Q371" s="52">
        <f>IF(P371="","",IF(J371&lt;&gt;"",J371,CuentaPred&amp;""))</f>
        <v/>
      </c>
      <c r="R371" s="52">
        <f>IF(P371="","",IF(ISNUMBER(I371),I371,TasaUSD))</f>
        <v/>
      </c>
      <c r="S371" s="53">
        <f>IF(P371="","",IF(H371="USD",G371*R371,G371))</f>
        <v/>
      </c>
      <c r="T371" s="53">
        <f>IF(P371="","",IF(H371="USD",G371,IF(R371&gt;0,G371/R371,0)))</f>
        <v/>
      </c>
      <c r="U371" s="53">
        <f>IF(P371="","",IF(P371="Gasto",S371,IF(P371="Reembolso",-S371,0)))</f>
        <v/>
      </c>
      <c r="V371" s="53">
        <f>IF(P371="","",IF(P371="Ingreso",S371,0))</f>
        <v/>
      </c>
      <c r="W371" s="53">
        <f>IF(P371="","",IF(P371="Resultado trading",S371,0))</f>
        <v/>
      </c>
      <c r="X371" s="52">
        <f>IF(OR(P371="Gasto",P371="Reembolso"),IF(M371&lt;&gt;"",M371,IFERROR(INDEX(catClasif,MATCH(D371&amp;"|"&amp;E371,catClave,0))&amp;"","Variable")),"")</f>
        <v/>
      </c>
      <c r="Y371" s="52">
        <f>IF(P371="","",IFERROR(INDEX(catGrupo,MATCH(D371&amp;"|"&amp;E371,catClave,0))&amp;"",""))</f>
        <v/>
      </c>
      <c r="Z371" s="52">
        <f>IF(P371="","",WEEKDAY(B371,2))</f>
        <v/>
      </c>
      <c r="AA371" s="52">
        <f>IF(P371="","",IF(AND(P371="Gasto",X371="Variable",D371&lt;&gt;catTrading,S371&gt;0,S371&lt;=Umbral),1,0))</f>
        <v/>
      </c>
      <c r="AB371" s="52">
        <f>IF(OR(P371="",Q371=""),"",IFERROR(IF(INDEX(ctaVinc,MATCH(Q371,ctaNombre,0))&amp;""&lt;&gt;"",INDEX(ctaVinc,MATCH(Q371,ctaNombre,0))&amp;"",Q371),Q371))</f>
        <v/>
      </c>
      <c r="AC371" s="52">
        <f>IF(OR(K371="",AND(P371&lt;&gt;"Transferencia",P371&lt;&gt;"Pago tarjeta")),"",IFERROR(IF(INDEX(ctaVinc,MATCH(K371,ctaNombre,0))&amp;""&lt;&gt;"",INDEX(ctaVinc,MATCH(K371,ctaNombre,0))&amp;"",K371),K371))</f>
        <v/>
      </c>
      <c r="AD371" s="52">
        <f>IF(AB371="","",IFERROR(INDEX(ctaTipo,MATCH(AB371,ctaNombre,0))&amp;"",""))</f>
        <v/>
      </c>
      <c r="AE371" s="52">
        <f>IF(AC371="","",IFERROR(INDEX(ctaTipo,MATCH(AC371,ctaNombre,0))&amp;"",""))</f>
        <v/>
      </c>
      <c r="AF371" s="53">
        <f>IF(OR(P371="",AB371=""),"",IF(OR(P371="Gasto",P371="Transferencia",P371="Pago tarjeta"),-1,1)*IF(IFERROR(INDEX(ctaMoneda,MATCH(AB371,ctaNombre,0))&amp;"","DOP")="USD",T371,S371))</f>
        <v/>
      </c>
      <c r="AG371" s="53">
        <f>IF(AC371="","",IF(IFERROR(INDEX(ctaMoneda,MATCH(AC371,ctaNombre,0))&amp;"","DOP")="USD",T371,S371))</f>
        <v/>
      </c>
      <c r="AH371" s="53">
        <f>IF(P371="","",IF(AND(AD371&lt;&gt;"",COUNTIFS(tcTipo,AD371,tcLiq,"Sí")&gt;0),IF(OR(P371="Gasto",P371="Transferencia",P371="Pago tarjeta"),-1,1)*S371,0)+IF(AND(AE371&lt;&gt;"",COUNTIFS(tcTipo,AE371,tcLiq,"Sí")&gt;0),S371,0))</f>
        <v/>
      </c>
      <c r="AI371" s="52">
        <f>IF(OR(L371="",P371=""),"",IF(COUNTIFS(L$6:L371,L371,P$6:P371,"?*")=1,MAX(AI$5:AI370)+1,""))</f>
        <v/>
      </c>
    </row>
    <row r="372">
      <c r="B372" s="47" t="n"/>
      <c r="C372" s="48" t="n"/>
      <c r="D372" s="48" t="n"/>
      <c r="E372" s="48" t="n"/>
      <c r="F372" s="48" t="n"/>
      <c r="G372" s="49" t="n"/>
      <c r="H372" s="48" t="n"/>
      <c r="I372" s="50" t="n"/>
      <c r="J372" s="48" t="n"/>
      <c r="K372" s="48" t="n"/>
      <c r="L372" s="48" t="n"/>
      <c r="M372" s="48" t="n"/>
      <c r="N372" s="48" t="n"/>
      <c r="O372" s="51">
        <f>IF(AND(B372="",G372="",C372="",D372="",J372=""),"",IF(B372="","⚠ Falta fecha",IF(G372="","⚠ Falta monto",IF(Q372="","⚠ Falta cuenta",IF(ISNA(MATCH(Q372,ctaNombre,0)),"⚠ Cuenta no registrada",IF(AND(OR(P372="Gasto",P372="Reembolso"),D372=""),"⚠ Falta categoría",IF(AND(D372&lt;&gt;"",E372&lt;&gt;"",ISNA(MATCH(D372&amp;"|"&amp;E372,catClave,0))),"⚠ Subcategoría no corresponde",IF(AND(OR(P372="Transferencia",P372="Pago tarjeta"),K372=""),"⚠ Falta cuenta destino",IF(AND(K372&lt;&gt;"",P372&lt;&gt;"Transferencia",P372&lt;&gt;"Pago tarjeta"),"⚠ Destino solo aplica a transferencias",IF(AND(K372&lt;&gt;"",K372=Q372),"⚠ Origen igual a destino",IF(AND(K372&lt;&gt;"",ISNA(MATCH(K372,ctaNombre,0))),"⚠ Destino no registrado",IF(AND(P372="Pago tarjeta",AE372&lt;&gt;"Tarjeta de crédito"),"⚠ El destino debe ser tarjeta de crédito",IF(AND(P372="Gasto",E372="Depósitos y retiros"),"⚠ Usa tipo Transferencia",IF(AND(P372="Resultado trading",AD372&lt;&gt;"Cuenta de trading"),"⚠ Usa una cuenta de trading",IF(AND(G372&lt;=0,P372&lt;&gt;"Ajuste",P372&lt;&gt;"Resultado trading"),"⚠ El monto debe ser positivo","✓")))))))))))))))</f>
        <v/>
      </c>
      <c r="P372" s="52">
        <f>IF(OR(B372="",G372=""),"",IF(C372="","Gasto",C372))</f>
        <v/>
      </c>
      <c r="Q372" s="52">
        <f>IF(P372="","",IF(J372&lt;&gt;"",J372,CuentaPred&amp;""))</f>
        <v/>
      </c>
      <c r="R372" s="52">
        <f>IF(P372="","",IF(ISNUMBER(I372),I372,TasaUSD))</f>
        <v/>
      </c>
      <c r="S372" s="53">
        <f>IF(P372="","",IF(H372="USD",G372*R372,G372))</f>
        <v/>
      </c>
      <c r="T372" s="53">
        <f>IF(P372="","",IF(H372="USD",G372,IF(R372&gt;0,G372/R372,0)))</f>
        <v/>
      </c>
      <c r="U372" s="53">
        <f>IF(P372="","",IF(P372="Gasto",S372,IF(P372="Reembolso",-S372,0)))</f>
        <v/>
      </c>
      <c r="V372" s="53">
        <f>IF(P372="","",IF(P372="Ingreso",S372,0))</f>
        <v/>
      </c>
      <c r="W372" s="53">
        <f>IF(P372="","",IF(P372="Resultado trading",S372,0))</f>
        <v/>
      </c>
      <c r="X372" s="52">
        <f>IF(OR(P372="Gasto",P372="Reembolso"),IF(M372&lt;&gt;"",M372,IFERROR(INDEX(catClasif,MATCH(D372&amp;"|"&amp;E372,catClave,0))&amp;"","Variable")),"")</f>
        <v/>
      </c>
      <c r="Y372" s="52">
        <f>IF(P372="","",IFERROR(INDEX(catGrupo,MATCH(D372&amp;"|"&amp;E372,catClave,0))&amp;"",""))</f>
        <v/>
      </c>
      <c r="Z372" s="52">
        <f>IF(P372="","",WEEKDAY(B372,2))</f>
        <v/>
      </c>
      <c r="AA372" s="52">
        <f>IF(P372="","",IF(AND(P372="Gasto",X372="Variable",D372&lt;&gt;catTrading,S372&gt;0,S372&lt;=Umbral),1,0))</f>
        <v/>
      </c>
      <c r="AB372" s="52">
        <f>IF(OR(P372="",Q372=""),"",IFERROR(IF(INDEX(ctaVinc,MATCH(Q372,ctaNombre,0))&amp;""&lt;&gt;"",INDEX(ctaVinc,MATCH(Q372,ctaNombre,0))&amp;"",Q372),Q372))</f>
        <v/>
      </c>
      <c r="AC372" s="52">
        <f>IF(OR(K372="",AND(P372&lt;&gt;"Transferencia",P372&lt;&gt;"Pago tarjeta")),"",IFERROR(IF(INDEX(ctaVinc,MATCH(K372,ctaNombre,0))&amp;""&lt;&gt;"",INDEX(ctaVinc,MATCH(K372,ctaNombre,0))&amp;"",K372),K372))</f>
        <v/>
      </c>
      <c r="AD372" s="52">
        <f>IF(AB372="","",IFERROR(INDEX(ctaTipo,MATCH(AB372,ctaNombre,0))&amp;"",""))</f>
        <v/>
      </c>
      <c r="AE372" s="52">
        <f>IF(AC372="","",IFERROR(INDEX(ctaTipo,MATCH(AC372,ctaNombre,0))&amp;"",""))</f>
        <v/>
      </c>
      <c r="AF372" s="53">
        <f>IF(OR(P372="",AB372=""),"",IF(OR(P372="Gasto",P372="Transferencia",P372="Pago tarjeta"),-1,1)*IF(IFERROR(INDEX(ctaMoneda,MATCH(AB372,ctaNombre,0))&amp;"","DOP")="USD",T372,S372))</f>
        <v/>
      </c>
      <c r="AG372" s="53">
        <f>IF(AC372="","",IF(IFERROR(INDEX(ctaMoneda,MATCH(AC372,ctaNombre,0))&amp;"","DOP")="USD",T372,S372))</f>
        <v/>
      </c>
      <c r="AH372" s="53">
        <f>IF(P372="","",IF(AND(AD372&lt;&gt;"",COUNTIFS(tcTipo,AD372,tcLiq,"Sí")&gt;0),IF(OR(P372="Gasto",P372="Transferencia",P372="Pago tarjeta"),-1,1)*S372,0)+IF(AND(AE372&lt;&gt;"",COUNTIFS(tcTipo,AE372,tcLiq,"Sí")&gt;0),S372,0))</f>
        <v/>
      </c>
      <c r="AI372" s="52">
        <f>IF(OR(L372="",P372=""),"",IF(COUNTIFS(L$6:L372,L372,P$6:P372,"?*")=1,MAX(AI$5:AI371)+1,""))</f>
        <v/>
      </c>
    </row>
    <row r="373">
      <c r="B373" s="47" t="n"/>
      <c r="C373" s="48" t="n"/>
      <c r="D373" s="48" t="n"/>
      <c r="E373" s="48" t="n"/>
      <c r="F373" s="48" t="n"/>
      <c r="G373" s="49" t="n"/>
      <c r="H373" s="48" t="n"/>
      <c r="I373" s="50" t="n"/>
      <c r="J373" s="48" t="n"/>
      <c r="K373" s="48" t="n"/>
      <c r="L373" s="48" t="n"/>
      <c r="M373" s="48" t="n"/>
      <c r="N373" s="48" t="n"/>
      <c r="O373" s="51">
        <f>IF(AND(B373="",G373="",C373="",D373="",J373=""),"",IF(B373="","⚠ Falta fecha",IF(G373="","⚠ Falta monto",IF(Q373="","⚠ Falta cuenta",IF(ISNA(MATCH(Q373,ctaNombre,0)),"⚠ Cuenta no registrada",IF(AND(OR(P373="Gasto",P373="Reembolso"),D373=""),"⚠ Falta categoría",IF(AND(D373&lt;&gt;"",E373&lt;&gt;"",ISNA(MATCH(D373&amp;"|"&amp;E373,catClave,0))),"⚠ Subcategoría no corresponde",IF(AND(OR(P373="Transferencia",P373="Pago tarjeta"),K373=""),"⚠ Falta cuenta destino",IF(AND(K373&lt;&gt;"",P373&lt;&gt;"Transferencia",P373&lt;&gt;"Pago tarjeta"),"⚠ Destino solo aplica a transferencias",IF(AND(K373&lt;&gt;"",K373=Q373),"⚠ Origen igual a destino",IF(AND(K373&lt;&gt;"",ISNA(MATCH(K373,ctaNombre,0))),"⚠ Destino no registrado",IF(AND(P373="Pago tarjeta",AE373&lt;&gt;"Tarjeta de crédito"),"⚠ El destino debe ser tarjeta de crédito",IF(AND(P373="Gasto",E373="Depósitos y retiros"),"⚠ Usa tipo Transferencia",IF(AND(P373="Resultado trading",AD373&lt;&gt;"Cuenta de trading"),"⚠ Usa una cuenta de trading",IF(AND(G373&lt;=0,P373&lt;&gt;"Ajuste",P373&lt;&gt;"Resultado trading"),"⚠ El monto debe ser positivo","✓")))))))))))))))</f>
        <v/>
      </c>
      <c r="P373" s="52">
        <f>IF(OR(B373="",G373=""),"",IF(C373="","Gasto",C373))</f>
        <v/>
      </c>
      <c r="Q373" s="52">
        <f>IF(P373="","",IF(J373&lt;&gt;"",J373,CuentaPred&amp;""))</f>
        <v/>
      </c>
      <c r="R373" s="52">
        <f>IF(P373="","",IF(ISNUMBER(I373),I373,TasaUSD))</f>
        <v/>
      </c>
      <c r="S373" s="53">
        <f>IF(P373="","",IF(H373="USD",G373*R373,G373))</f>
        <v/>
      </c>
      <c r="T373" s="53">
        <f>IF(P373="","",IF(H373="USD",G373,IF(R373&gt;0,G373/R373,0)))</f>
        <v/>
      </c>
      <c r="U373" s="53">
        <f>IF(P373="","",IF(P373="Gasto",S373,IF(P373="Reembolso",-S373,0)))</f>
        <v/>
      </c>
      <c r="V373" s="53">
        <f>IF(P373="","",IF(P373="Ingreso",S373,0))</f>
        <v/>
      </c>
      <c r="W373" s="53">
        <f>IF(P373="","",IF(P373="Resultado trading",S373,0))</f>
        <v/>
      </c>
      <c r="X373" s="52">
        <f>IF(OR(P373="Gasto",P373="Reembolso"),IF(M373&lt;&gt;"",M373,IFERROR(INDEX(catClasif,MATCH(D373&amp;"|"&amp;E373,catClave,0))&amp;"","Variable")),"")</f>
        <v/>
      </c>
      <c r="Y373" s="52">
        <f>IF(P373="","",IFERROR(INDEX(catGrupo,MATCH(D373&amp;"|"&amp;E373,catClave,0))&amp;"",""))</f>
        <v/>
      </c>
      <c r="Z373" s="52">
        <f>IF(P373="","",WEEKDAY(B373,2))</f>
        <v/>
      </c>
      <c r="AA373" s="52">
        <f>IF(P373="","",IF(AND(P373="Gasto",X373="Variable",D373&lt;&gt;catTrading,S373&gt;0,S373&lt;=Umbral),1,0))</f>
        <v/>
      </c>
      <c r="AB373" s="52">
        <f>IF(OR(P373="",Q373=""),"",IFERROR(IF(INDEX(ctaVinc,MATCH(Q373,ctaNombre,0))&amp;""&lt;&gt;"",INDEX(ctaVinc,MATCH(Q373,ctaNombre,0))&amp;"",Q373),Q373))</f>
        <v/>
      </c>
      <c r="AC373" s="52">
        <f>IF(OR(K373="",AND(P373&lt;&gt;"Transferencia",P373&lt;&gt;"Pago tarjeta")),"",IFERROR(IF(INDEX(ctaVinc,MATCH(K373,ctaNombre,0))&amp;""&lt;&gt;"",INDEX(ctaVinc,MATCH(K373,ctaNombre,0))&amp;"",K373),K373))</f>
        <v/>
      </c>
      <c r="AD373" s="52">
        <f>IF(AB373="","",IFERROR(INDEX(ctaTipo,MATCH(AB373,ctaNombre,0))&amp;"",""))</f>
        <v/>
      </c>
      <c r="AE373" s="52">
        <f>IF(AC373="","",IFERROR(INDEX(ctaTipo,MATCH(AC373,ctaNombre,0))&amp;"",""))</f>
        <v/>
      </c>
      <c r="AF373" s="53">
        <f>IF(OR(P373="",AB373=""),"",IF(OR(P373="Gasto",P373="Transferencia",P373="Pago tarjeta"),-1,1)*IF(IFERROR(INDEX(ctaMoneda,MATCH(AB373,ctaNombre,0))&amp;"","DOP")="USD",T373,S373))</f>
        <v/>
      </c>
      <c r="AG373" s="53">
        <f>IF(AC373="","",IF(IFERROR(INDEX(ctaMoneda,MATCH(AC373,ctaNombre,0))&amp;"","DOP")="USD",T373,S373))</f>
        <v/>
      </c>
      <c r="AH373" s="53">
        <f>IF(P373="","",IF(AND(AD373&lt;&gt;"",COUNTIFS(tcTipo,AD373,tcLiq,"Sí")&gt;0),IF(OR(P373="Gasto",P373="Transferencia",P373="Pago tarjeta"),-1,1)*S373,0)+IF(AND(AE373&lt;&gt;"",COUNTIFS(tcTipo,AE373,tcLiq,"Sí")&gt;0),S373,0))</f>
        <v/>
      </c>
      <c r="AI373" s="52">
        <f>IF(OR(L373="",P373=""),"",IF(COUNTIFS(L$6:L373,L373,P$6:P373,"?*")=1,MAX(AI$5:AI372)+1,""))</f>
        <v/>
      </c>
    </row>
    <row r="374">
      <c r="B374" s="47" t="n"/>
      <c r="C374" s="48" t="n"/>
      <c r="D374" s="48" t="n"/>
      <c r="E374" s="48" t="n"/>
      <c r="F374" s="48" t="n"/>
      <c r="G374" s="49" t="n"/>
      <c r="H374" s="48" t="n"/>
      <c r="I374" s="50" t="n"/>
      <c r="J374" s="48" t="n"/>
      <c r="K374" s="48" t="n"/>
      <c r="L374" s="48" t="n"/>
      <c r="M374" s="48" t="n"/>
      <c r="N374" s="48" t="n"/>
      <c r="O374" s="51">
        <f>IF(AND(B374="",G374="",C374="",D374="",J374=""),"",IF(B374="","⚠ Falta fecha",IF(G374="","⚠ Falta monto",IF(Q374="","⚠ Falta cuenta",IF(ISNA(MATCH(Q374,ctaNombre,0)),"⚠ Cuenta no registrada",IF(AND(OR(P374="Gasto",P374="Reembolso"),D374=""),"⚠ Falta categoría",IF(AND(D374&lt;&gt;"",E374&lt;&gt;"",ISNA(MATCH(D374&amp;"|"&amp;E374,catClave,0))),"⚠ Subcategoría no corresponde",IF(AND(OR(P374="Transferencia",P374="Pago tarjeta"),K374=""),"⚠ Falta cuenta destino",IF(AND(K374&lt;&gt;"",P374&lt;&gt;"Transferencia",P374&lt;&gt;"Pago tarjeta"),"⚠ Destino solo aplica a transferencias",IF(AND(K374&lt;&gt;"",K374=Q374),"⚠ Origen igual a destino",IF(AND(K374&lt;&gt;"",ISNA(MATCH(K374,ctaNombre,0))),"⚠ Destino no registrado",IF(AND(P374="Pago tarjeta",AE374&lt;&gt;"Tarjeta de crédito"),"⚠ El destino debe ser tarjeta de crédito",IF(AND(P374="Gasto",E374="Depósitos y retiros"),"⚠ Usa tipo Transferencia",IF(AND(P374="Resultado trading",AD374&lt;&gt;"Cuenta de trading"),"⚠ Usa una cuenta de trading",IF(AND(G374&lt;=0,P374&lt;&gt;"Ajuste",P374&lt;&gt;"Resultado trading"),"⚠ El monto debe ser positivo","✓")))))))))))))))</f>
        <v/>
      </c>
      <c r="P374" s="52">
        <f>IF(OR(B374="",G374=""),"",IF(C374="","Gasto",C374))</f>
        <v/>
      </c>
      <c r="Q374" s="52">
        <f>IF(P374="","",IF(J374&lt;&gt;"",J374,CuentaPred&amp;""))</f>
        <v/>
      </c>
      <c r="R374" s="52">
        <f>IF(P374="","",IF(ISNUMBER(I374),I374,TasaUSD))</f>
        <v/>
      </c>
      <c r="S374" s="53">
        <f>IF(P374="","",IF(H374="USD",G374*R374,G374))</f>
        <v/>
      </c>
      <c r="T374" s="53">
        <f>IF(P374="","",IF(H374="USD",G374,IF(R374&gt;0,G374/R374,0)))</f>
        <v/>
      </c>
      <c r="U374" s="53">
        <f>IF(P374="","",IF(P374="Gasto",S374,IF(P374="Reembolso",-S374,0)))</f>
        <v/>
      </c>
      <c r="V374" s="53">
        <f>IF(P374="","",IF(P374="Ingreso",S374,0))</f>
        <v/>
      </c>
      <c r="W374" s="53">
        <f>IF(P374="","",IF(P374="Resultado trading",S374,0))</f>
        <v/>
      </c>
      <c r="X374" s="52">
        <f>IF(OR(P374="Gasto",P374="Reembolso"),IF(M374&lt;&gt;"",M374,IFERROR(INDEX(catClasif,MATCH(D374&amp;"|"&amp;E374,catClave,0))&amp;"","Variable")),"")</f>
        <v/>
      </c>
      <c r="Y374" s="52">
        <f>IF(P374="","",IFERROR(INDEX(catGrupo,MATCH(D374&amp;"|"&amp;E374,catClave,0))&amp;"",""))</f>
        <v/>
      </c>
      <c r="Z374" s="52">
        <f>IF(P374="","",WEEKDAY(B374,2))</f>
        <v/>
      </c>
      <c r="AA374" s="52">
        <f>IF(P374="","",IF(AND(P374="Gasto",X374="Variable",D374&lt;&gt;catTrading,S374&gt;0,S374&lt;=Umbral),1,0))</f>
        <v/>
      </c>
      <c r="AB374" s="52">
        <f>IF(OR(P374="",Q374=""),"",IFERROR(IF(INDEX(ctaVinc,MATCH(Q374,ctaNombre,0))&amp;""&lt;&gt;"",INDEX(ctaVinc,MATCH(Q374,ctaNombre,0))&amp;"",Q374),Q374))</f>
        <v/>
      </c>
      <c r="AC374" s="52">
        <f>IF(OR(K374="",AND(P374&lt;&gt;"Transferencia",P374&lt;&gt;"Pago tarjeta")),"",IFERROR(IF(INDEX(ctaVinc,MATCH(K374,ctaNombre,0))&amp;""&lt;&gt;"",INDEX(ctaVinc,MATCH(K374,ctaNombre,0))&amp;"",K374),K374))</f>
        <v/>
      </c>
      <c r="AD374" s="52">
        <f>IF(AB374="","",IFERROR(INDEX(ctaTipo,MATCH(AB374,ctaNombre,0))&amp;"",""))</f>
        <v/>
      </c>
      <c r="AE374" s="52">
        <f>IF(AC374="","",IFERROR(INDEX(ctaTipo,MATCH(AC374,ctaNombre,0))&amp;"",""))</f>
        <v/>
      </c>
      <c r="AF374" s="53">
        <f>IF(OR(P374="",AB374=""),"",IF(OR(P374="Gasto",P374="Transferencia",P374="Pago tarjeta"),-1,1)*IF(IFERROR(INDEX(ctaMoneda,MATCH(AB374,ctaNombre,0))&amp;"","DOP")="USD",T374,S374))</f>
        <v/>
      </c>
      <c r="AG374" s="53">
        <f>IF(AC374="","",IF(IFERROR(INDEX(ctaMoneda,MATCH(AC374,ctaNombre,0))&amp;"","DOP")="USD",T374,S374))</f>
        <v/>
      </c>
      <c r="AH374" s="53">
        <f>IF(P374="","",IF(AND(AD374&lt;&gt;"",COUNTIFS(tcTipo,AD374,tcLiq,"Sí")&gt;0),IF(OR(P374="Gasto",P374="Transferencia",P374="Pago tarjeta"),-1,1)*S374,0)+IF(AND(AE374&lt;&gt;"",COUNTIFS(tcTipo,AE374,tcLiq,"Sí")&gt;0),S374,0))</f>
        <v/>
      </c>
      <c r="AI374" s="52">
        <f>IF(OR(L374="",P374=""),"",IF(COUNTIFS(L$6:L374,L374,P$6:P374,"?*")=1,MAX(AI$5:AI373)+1,""))</f>
        <v/>
      </c>
    </row>
    <row r="375">
      <c r="B375" s="47" t="n"/>
      <c r="C375" s="48" t="n"/>
      <c r="D375" s="48" t="n"/>
      <c r="E375" s="48" t="n"/>
      <c r="F375" s="48" t="n"/>
      <c r="G375" s="49" t="n"/>
      <c r="H375" s="48" t="n"/>
      <c r="I375" s="50" t="n"/>
      <c r="J375" s="48" t="n"/>
      <c r="K375" s="48" t="n"/>
      <c r="L375" s="48" t="n"/>
      <c r="M375" s="48" t="n"/>
      <c r="N375" s="48" t="n"/>
      <c r="O375" s="51">
        <f>IF(AND(B375="",G375="",C375="",D375="",J375=""),"",IF(B375="","⚠ Falta fecha",IF(G375="","⚠ Falta monto",IF(Q375="","⚠ Falta cuenta",IF(ISNA(MATCH(Q375,ctaNombre,0)),"⚠ Cuenta no registrada",IF(AND(OR(P375="Gasto",P375="Reembolso"),D375=""),"⚠ Falta categoría",IF(AND(D375&lt;&gt;"",E375&lt;&gt;"",ISNA(MATCH(D375&amp;"|"&amp;E375,catClave,0))),"⚠ Subcategoría no corresponde",IF(AND(OR(P375="Transferencia",P375="Pago tarjeta"),K375=""),"⚠ Falta cuenta destino",IF(AND(K375&lt;&gt;"",P375&lt;&gt;"Transferencia",P375&lt;&gt;"Pago tarjeta"),"⚠ Destino solo aplica a transferencias",IF(AND(K375&lt;&gt;"",K375=Q375),"⚠ Origen igual a destino",IF(AND(K375&lt;&gt;"",ISNA(MATCH(K375,ctaNombre,0))),"⚠ Destino no registrado",IF(AND(P375="Pago tarjeta",AE375&lt;&gt;"Tarjeta de crédito"),"⚠ El destino debe ser tarjeta de crédito",IF(AND(P375="Gasto",E375="Depósitos y retiros"),"⚠ Usa tipo Transferencia",IF(AND(P375="Resultado trading",AD375&lt;&gt;"Cuenta de trading"),"⚠ Usa una cuenta de trading",IF(AND(G375&lt;=0,P375&lt;&gt;"Ajuste",P375&lt;&gt;"Resultado trading"),"⚠ El monto debe ser positivo","✓")))))))))))))))</f>
        <v/>
      </c>
      <c r="P375" s="52">
        <f>IF(OR(B375="",G375=""),"",IF(C375="","Gasto",C375))</f>
        <v/>
      </c>
      <c r="Q375" s="52">
        <f>IF(P375="","",IF(J375&lt;&gt;"",J375,CuentaPred&amp;""))</f>
        <v/>
      </c>
      <c r="R375" s="52">
        <f>IF(P375="","",IF(ISNUMBER(I375),I375,TasaUSD))</f>
        <v/>
      </c>
      <c r="S375" s="53">
        <f>IF(P375="","",IF(H375="USD",G375*R375,G375))</f>
        <v/>
      </c>
      <c r="T375" s="53">
        <f>IF(P375="","",IF(H375="USD",G375,IF(R375&gt;0,G375/R375,0)))</f>
        <v/>
      </c>
      <c r="U375" s="53">
        <f>IF(P375="","",IF(P375="Gasto",S375,IF(P375="Reembolso",-S375,0)))</f>
        <v/>
      </c>
      <c r="V375" s="53">
        <f>IF(P375="","",IF(P375="Ingreso",S375,0))</f>
        <v/>
      </c>
      <c r="W375" s="53">
        <f>IF(P375="","",IF(P375="Resultado trading",S375,0))</f>
        <v/>
      </c>
      <c r="X375" s="52">
        <f>IF(OR(P375="Gasto",P375="Reembolso"),IF(M375&lt;&gt;"",M375,IFERROR(INDEX(catClasif,MATCH(D375&amp;"|"&amp;E375,catClave,0))&amp;"","Variable")),"")</f>
        <v/>
      </c>
      <c r="Y375" s="52">
        <f>IF(P375="","",IFERROR(INDEX(catGrupo,MATCH(D375&amp;"|"&amp;E375,catClave,0))&amp;"",""))</f>
        <v/>
      </c>
      <c r="Z375" s="52">
        <f>IF(P375="","",WEEKDAY(B375,2))</f>
        <v/>
      </c>
      <c r="AA375" s="52">
        <f>IF(P375="","",IF(AND(P375="Gasto",X375="Variable",D375&lt;&gt;catTrading,S375&gt;0,S375&lt;=Umbral),1,0))</f>
        <v/>
      </c>
      <c r="AB375" s="52">
        <f>IF(OR(P375="",Q375=""),"",IFERROR(IF(INDEX(ctaVinc,MATCH(Q375,ctaNombre,0))&amp;""&lt;&gt;"",INDEX(ctaVinc,MATCH(Q375,ctaNombre,0))&amp;"",Q375),Q375))</f>
        <v/>
      </c>
      <c r="AC375" s="52">
        <f>IF(OR(K375="",AND(P375&lt;&gt;"Transferencia",P375&lt;&gt;"Pago tarjeta")),"",IFERROR(IF(INDEX(ctaVinc,MATCH(K375,ctaNombre,0))&amp;""&lt;&gt;"",INDEX(ctaVinc,MATCH(K375,ctaNombre,0))&amp;"",K375),K375))</f>
        <v/>
      </c>
      <c r="AD375" s="52">
        <f>IF(AB375="","",IFERROR(INDEX(ctaTipo,MATCH(AB375,ctaNombre,0))&amp;"",""))</f>
        <v/>
      </c>
      <c r="AE375" s="52">
        <f>IF(AC375="","",IFERROR(INDEX(ctaTipo,MATCH(AC375,ctaNombre,0))&amp;"",""))</f>
        <v/>
      </c>
      <c r="AF375" s="53">
        <f>IF(OR(P375="",AB375=""),"",IF(OR(P375="Gasto",P375="Transferencia",P375="Pago tarjeta"),-1,1)*IF(IFERROR(INDEX(ctaMoneda,MATCH(AB375,ctaNombre,0))&amp;"","DOP")="USD",T375,S375))</f>
        <v/>
      </c>
      <c r="AG375" s="53">
        <f>IF(AC375="","",IF(IFERROR(INDEX(ctaMoneda,MATCH(AC375,ctaNombre,0))&amp;"","DOP")="USD",T375,S375))</f>
        <v/>
      </c>
      <c r="AH375" s="53">
        <f>IF(P375="","",IF(AND(AD375&lt;&gt;"",COUNTIFS(tcTipo,AD375,tcLiq,"Sí")&gt;0),IF(OR(P375="Gasto",P375="Transferencia",P375="Pago tarjeta"),-1,1)*S375,0)+IF(AND(AE375&lt;&gt;"",COUNTIFS(tcTipo,AE375,tcLiq,"Sí")&gt;0),S375,0))</f>
        <v/>
      </c>
      <c r="AI375" s="52">
        <f>IF(OR(L375="",P375=""),"",IF(COUNTIFS(L$6:L375,L375,P$6:P375,"?*")=1,MAX(AI$5:AI374)+1,""))</f>
        <v/>
      </c>
    </row>
    <row r="376">
      <c r="B376" s="47" t="n"/>
      <c r="C376" s="48" t="n"/>
      <c r="D376" s="48" t="n"/>
      <c r="E376" s="48" t="n"/>
      <c r="F376" s="48" t="n"/>
      <c r="G376" s="49" t="n"/>
      <c r="H376" s="48" t="n"/>
      <c r="I376" s="50" t="n"/>
      <c r="J376" s="48" t="n"/>
      <c r="K376" s="48" t="n"/>
      <c r="L376" s="48" t="n"/>
      <c r="M376" s="48" t="n"/>
      <c r="N376" s="48" t="n"/>
      <c r="O376" s="51">
        <f>IF(AND(B376="",G376="",C376="",D376="",J376=""),"",IF(B376="","⚠ Falta fecha",IF(G376="","⚠ Falta monto",IF(Q376="","⚠ Falta cuenta",IF(ISNA(MATCH(Q376,ctaNombre,0)),"⚠ Cuenta no registrada",IF(AND(OR(P376="Gasto",P376="Reembolso"),D376=""),"⚠ Falta categoría",IF(AND(D376&lt;&gt;"",E376&lt;&gt;"",ISNA(MATCH(D376&amp;"|"&amp;E376,catClave,0))),"⚠ Subcategoría no corresponde",IF(AND(OR(P376="Transferencia",P376="Pago tarjeta"),K376=""),"⚠ Falta cuenta destino",IF(AND(K376&lt;&gt;"",P376&lt;&gt;"Transferencia",P376&lt;&gt;"Pago tarjeta"),"⚠ Destino solo aplica a transferencias",IF(AND(K376&lt;&gt;"",K376=Q376),"⚠ Origen igual a destino",IF(AND(K376&lt;&gt;"",ISNA(MATCH(K376,ctaNombre,0))),"⚠ Destino no registrado",IF(AND(P376="Pago tarjeta",AE376&lt;&gt;"Tarjeta de crédito"),"⚠ El destino debe ser tarjeta de crédito",IF(AND(P376="Gasto",E376="Depósitos y retiros"),"⚠ Usa tipo Transferencia",IF(AND(P376="Resultado trading",AD376&lt;&gt;"Cuenta de trading"),"⚠ Usa una cuenta de trading",IF(AND(G376&lt;=0,P376&lt;&gt;"Ajuste",P376&lt;&gt;"Resultado trading"),"⚠ El monto debe ser positivo","✓")))))))))))))))</f>
        <v/>
      </c>
      <c r="P376" s="52">
        <f>IF(OR(B376="",G376=""),"",IF(C376="","Gasto",C376))</f>
        <v/>
      </c>
      <c r="Q376" s="52">
        <f>IF(P376="","",IF(J376&lt;&gt;"",J376,CuentaPred&amp;""))</f>
        <v/>
      </c>
      <c r="R376" s="52">
        <f>IF(P376="","",IF(ISNUMBER(I376),I376,TasaUSD))</f>
        <v/>
      </c>
      <c r="S376" s="53">
        <f>IF(P376="","",IF(H376="USD",G376*R376,G376))</f>
        <v/>
      </c>
      <c r="T376" s="53">
        <f>IF(P376="","",IF(H376="USD",G376,IF(R376&gt;0,G376/R376,0)))</f>
        <v/>
      </c>
      <c r="U376" s="53">
        <f>IF(P376="","",IF(P376="Gasto",S376,IF(P376="Reembolso",-S376,0)))</f>
        <v/>
      </c>
      <c r="V376" s="53">
        <f>IF(P376="","",IF(P376="Ingreso",S376,0))</f>
        <v/>
      </c>
      <c r="W376" s="53">
        <f>IF(P376="","",IF(P376="Resultado trading",S376,0))</f>
        <v/>
      </c>
      <c r="X376" s="52">
        <f>IF(OR(P376="Gasto",P376="Reembolso"),IF(M376&lt;&gt;"",M376,IFERROR(INDEX(catClasif,MATCH(D376&amp;"|"&amp;E376,catClave,0))&amp;"","Variable")),"")</f>
        <v/>
      </c>
      <c r="Y376" s="52">
        <f>IF(P376="","",IFERROR(INDEX(catGrupo,MATCH(D376&amp;"|"&amp;E376,catClave,0))&amp;"",""))</f>
        <v/>
      </c>
      <c r="Z376" s="52">
        <f>IF(P376="","",WEEKDAY(B376,2))</f>
        <v/>
      </c>
      <c r="AA376" s="52">
        <f>IF(P376="","",IF(AND(P376="Gasto",X376="Variable",D376&lt;&gt;catTrading,S376&gt;0,S376&lt;=Umbral),1,0))</f>
        <v/>
      </c>
      <c r="AB376" s="52">
        <f>IF(OR(P376="",Q376=""),"",IFERROR(IF(INDEX(ctaVinc,MATCH(Q376,ctaNombre,0))&amp;""&lt;&gt;"",INDEX(ctaVinc,MATCH(Q376,ctaNombre,0))&amp;"",Q376),Q376))</f>
        <v/>
      </c>
      <c r="AC376" s="52">
        <f>IF(OR(K376="",AND(P376&lt;&gt;"Transferencia",P376&lt;&gt;"Pago tarjeta")),"",IFERROR(IF(INDEX(ctaVinc,MATCH(K376,ctaNombre,0))&amp;""&lt;&gt;"",INDEX(ctaVinc,MATCH(K376,ctaNombre,0))&amp;"",K376),K376))</f>
        <v/>
      </c>
      <c r="AD376" s="52">
        <f>IF(AB376="","",IFERROR(INDEX(ctaTipo,MATCH(AB376,ctaNombre,0))&amp;"",""))</f>
        <v/>
      </c>
      <c r="AE376" s="52">
        <f>IF(AC376="","",IFERROR(INDEX(ctaTipo,MATCH(AC376,ctaNombre,0))&amp;"",""))</f>
        <v/>
      </c>
      <c r="AF376" s="53">
        <f>IF(OR(P376="",AB376=""),"",IF(OR(P376="Gasto",P376="Transferencia",P376="Pago tarjeta"),-1,1)*IF(IFERROR(INDEX(ctaMoneda,MATCH(AB376,ctaNombre,0))&amp;"","DOP")="USD",T376,S376))</f>
        <v/>
      </c>
      <c r="AG376" s="53">
        <f>IF(AC376="","",IF(IFERROR(INDEX(ctaMoneda,MATCH(AC376,ctaNombre,0))&amp;"","DOP")="USD",T376,S376))</f>
        <v/>
      </c>
      <c r="AH376" s="53">
        <f>IF(P376="","",IF(AND(AD376&lt;&gt;"",COUNTIFS(tcTipo,AD376,tcLiq,"Sí")&gt;0),IF(OR(P376="Gasto",P376="Transferencia",P376="Pago tarjeta"),-1,1)*S376,0)+IF(AND(AE376&lt;&gt;"",COUNTIFS(tcTipo,AE376,tcLiq,"Sí")&gt;0),S376,0))</f>
        <v/>
      </c>
      <c r="AI376" s="52">
        <f>IF(OR(L376="",P376=""),"",IF(COUNTIFS(L$6:L376,L376,P$6:P376,"?*")=1,MAX(AI$5:AI375)+1,""))</f>
        <v/>
      </c>
    </row>
    <row r="377">
      <c r="B377" s="47" t="n"/>
      <c r="C377" s="48" t="n"/>
      <c r="D377" s="48" t="n"/>
      <c r="E377" s="48" t="n"/>
      <c r="F377" s="48" t="n"/>
      <c r="G377" s="49" t="n"/>
      <c r="H377" s="48" t="n"/>
      <c r="I377" s="50" t="n"/>
      <c r="J377" s="48" t="n"/>
      <c r="K377" s="48" t="n"/>
      <c r="L377" s="48" t="n"/>
      <c r="M377" s="48" t="n"/>
      <c r="N377" s="48" t="n"/>
      <c r="O377" s="51">
        <f>IF(AND(B377="",G377="",C377="",D377="",J377=""),"",IF(B377="","⚠ Falta fecha",IF(G377="","⚠ Falta monto",IF(Q377="","⚠ Falta cuenta",IF(ISNA(MATCH(Q377,ctaNombre,0)),"⚠ Cuenta no registrada",IF(AND(OR(P377="Gasto",P377="Reembolso"),D377=""),"⚠ Falta categoría",IF(AND(D377&lt;&gt;"",E377&lt;&gt;"",ISNA(MATCH(D377&amp;"|"&amp;E377,catClave,0))),"⚠ Subcategoría no corresponde",IF(AND(OR(P377="Transferencia",P377="Pago tarjeta"),K377=""),"⚠ Falta cuenta destino",IF(AND(K377&lt;&gt;"",P377&lt;&gt;"Transferencia",P377&lt;&gt;"Pago tarjeta"),"⚠ Destino solo aplica a transferencias",IF(AND(K377&lt;&gt;"",K377=Q377),"⚠ Origen igual a destino",IF(AND(K377&lt;&gt;"",ISNA(MATCH(K377,ctaNombre,0))),"⚠ Destino no registrado",IF(AND(P377="Pago tarjeta",AE377&lt;&gt;"Tarjeta de crédito"),"⚠ El destino debe ser tarjeta de crédito",IF(AND(P377="Gasto",E377="Depósitos y retiros"),"⚠ Usa tipo Transferencia",IF(AND(P377="Resultado trading",AD377&lt;&gt;"Cuenta de trading"),"⚠ Usa una cuenta de trading",IF(AND(G377&lt;=0,P377&lt;&gt;"Ajuste",P377&lt;&gt;"Resultado trading"),"⚠ El monto debe ser positivo","✓")))))))))))))))</f>
        <v/>
      </c>
      <c r="P377" s="52">
        <f>IF(OR(B377="",G377=""),"",IF(C377="","Gasto",C377))</f>
        <v/>
      </c>
      <c r="Q377" s="52">
        <f>IF(P377="","",IF(J377&lt;&gt;"",J377,CuentaPred&amp;""))</f>
        <v/>
      </c>
      <c r="R377" s="52">
        <f>IF(P377="","",IF(ISNUMBER(I377),I377,TasaUSD))</f>
        <v/>
      </c>
      <c r="S377" s="53">
        <f>IF(P377="","",IF(H377="USD",G377*R377,G377))</f>
        <v/>
      </c>
      <c r="T377" s="53">
        <f>IF(P377="","",IF(H377="USD",G377,IF(R377&gt;0,G377/R377,0)))</f>
        <v/>
      </c>
      <c r="U377" s="53">
        <f>IF(P377="","",IF(P377="Gasto",S377,IF(P377="Reembolso",-S377,0)))</f>
        <v/>
      </c>
      <c r="V377" s="53">
        <f>IF(P377="","",IF(P377="Ingreso",S377,0))</f>
        <v/>
      </c>
      <c r="W377" s="53">
        <f>IF(P377="","",IF(P377="Resultado trading",S377,0))</f>
        <v/>
      </c>
      <c r="X377" s="52">
        <f>IF(OR(P377="Gasto",P377="Reembolso"),IF(M377&lt;&gt;"",M377,IFERROR(INDEX(catClasif,MATCH(D377&amp;"|"&amp;E377,catClave,0))&amp;"","Variable")),"")</f>
        <v/>
      </c>
      <c r="Y377" s="52">
        <f>IF(P377="","",IFERROR(INDEX(catGrupo,MATCH(D377&amp;"|"&amp;E377,catClave,0))&amp;"",""))</f>
        <v/>
      </c>
      <c r="Z377" s="52">
        <f>IF(P377="","",WEEKDAY(B377,2))</f>
        <v/>
      </c>
      <c r="AA377" s="52">
        <f>IF(P377="","",IF(AND(P377="Gasto",X377="Variable",D377&lt;&gt;catTrading,S377&gt;0,S377&lt;=Umbral),1,0))</f>
        <v/>
      </c>
      <c r="AB377" s="52">
        <f>IF(OR(P377="",Q377=""),"",IFERROR(IF(INDEX(ctaVinc,MATCH(Q377,ctaNombre,0))&amp;""&lt;&gt;"",INDEX(ctaVinc,MATCH(Q377,ctaNombre,0))&amp;"",Q377),Q377))</f>
        <v/>
      </c>
      <c r="AC377" s="52">
        <f>IF(OR(K377="",AND(P377&lt;&gt;"Transferencia",P377&lt;&gt;"Pago tarjeta")),"",IFERROR(IF(INDEX(ctaVinc,MATCH(K377,ctaNombre,0))&amp;""&lt;&gt;"",INDEX(ctaVinc,MATCH(K377,ctaNombre,0))&amp;"",K377),K377))</f>
        <v/>
      </c>
      <c r="AD377" s="52">
        <f>IF(AB377="","",IFERROR(INDEX(ctaTipo,MATCH(AB377,ctaNombre,0))&amp;"",""))</f>
        <v/>
      </c>
      <c r="AE377" s="52">
        <f>IF(AC377="","",IFERROR(INDEX(ctaTipo,MATCH(AC377,ctaNombre,0))&amp;"",""))</f>
        <v/>
      </c>
      <c r="AF377" s="53">
        <f>IF(OR(P377="",AB377=""),"",IF(OR(P377="Gasto",P377="Transferencia",P377="Pago tarjeta"),-1,1)*IF(IFERROR(INDEX(ctaMoneda,MATCH(AB377,ctaNombre,0))&amp;"","DOP")="USD",T377,S377))</f>
        <v/>
      </c>
      <c r="AG377" s="53">
        <f>IF(AC377="","",IF(IFERROR(INDEX(ctaMoneda,MATCH(AC377,ctaNombre,0))&amp;"","DOP")="USD",T377,S377))</f>
        <v/>
      </c>
      <c r="AH377" s="53">
        <f>IF(P377="","",IF(AND(AD377&lt;&gt;"",COUNTIFS(tcTipo,AD377,tcLiq,"Sí")&gt;0),IF(OR(P377="Gasto",P377="Transferencia",P377="Pago tarjeta"),-1,1)*S377,0)+IF(AND(AE377&lt;&gt;"",COUNTIFS(tcTipo,AE377,tcLiq,"Sí")&gt;0),S377,0))</f>
        <v/>
      </c>
      <c r="AI377" s="52">
        <f>IF(OR(L377="",P377=""),"",IF(COUNTIFS(L$6:L377,L377,P$6:P377,"?*")=1,MAX(AI$5:AI376)+1,""))</f>
        <v/>
      </c>
    </row>
    <row r="378">
      <c r="B378" s="47" t="n"/>
      <c r="C378" s="48" t="n"/>
      <c r="D378" s="48" t="n"/>
      <c r="E378" s="48" t="n"/>
      <c r="F378" s="48" t="n"/>
      <c r="G378" s="49" t="n"/>
      <c r="H378" s="48" t="n"/>
      <c r="I378" s="50" t="n"/>
      <c r="J378" s="48" t="n"/>
      <c r="K378" s="48" t="n"/>
      <c r="L378" s="48" t="n"/>
      <c r="M378" s="48" t="n"/>
      <c r="N378" s="48" t="n"/>
      <c r="O378" s="51">
        <f>IF(AND(B378="",G378="",C378="",D378="",J378=""),"",IF(B378="","⚠ Falta fecha",IF(G378="","⚠ Falta monto",IF(Q378="","⚠ Falta cuenta",IF(ISNA(MATCH(Q378,ctaNombre,0)),"⚠ Cuenta no registrada",IF(AND(OR(P378="Gasto",P378="Reembolso"),D378=""),"⚠ Falta categoría",IF(AND(D378&lt;&gt;"",E378&lt;&gt;"",ISNA(MATCH(D378&amp;"|"&amp;E378,catClave,0))),"⚠ Subcategoría no corresponde",IF(AND(OR(P378="Transferencia",P378="Pago tarjeta"),K378=""),"⚠ Falta cuenta destino",IF(AND(K378&lt;&gt;"",P378&lt;&gt;"Transferencia",P378&lt;&gt;"Pago tarjeta"),"⚠ Destino solo aplica a transferencias",IF(AND(K378&lt;&gt;"",K378=Q378),"⚠ Origen igual a destino",IF(AND(K378&lt;&gt;"",ISNA(MATCH(K378,ctaNombre,0))),"⚠ Destino no registrado",IF(AND(P378="Pago tarjeta",AE378&lt;&gt;"Tarjeta de crédito"),"⚠ El destino debe ser tarjeta de crédito",IF(AND(P378="Gasto",E378="Depósitos y retiros"),"⚠ Usa tipo Transferencia",IF(AND(P378="Resultado trading",AD378&lt;&gt;"Cuenta de trading"),"⚠ Usa una cuenta de trading",IF(AND(G378&lt;=0,P378&lt;&gt;"Ajuste",P378&lt;&gt;"Resultado trading"),"⚠ El monto debe ser positivo","✓")))))))))))))))</f>
        <v/>
      </c>
      <c r="P378" s="52">
        <f>IF(OR(B378="",G378=""),"",IF(C378="","Gasto",C378))</f>
        <v/>
      </c>
      <c r="Q378" s="52">
        <f>IF(P378="","",IF(J378&lt;&gt;"",J378,CuentaPred&amp;""))</f>
        <v/>
      </c>
      <c r="R378" s="52">
        <f>IF(P378="","",IF(ISNUMBER(I378),I378,TasaUSD))</f>
        <v/>
      </c>
      <c r="S378" s="53">
        <f>IF(P378="","",IF(H378="USD",G378*R378,G378))</f>
        <v/>
      </c>
      <c r="T378" s="53">
        <f>IF(P378="","",IF(H378="USD",G378,IF(R378&gt;0,G378/R378,0)))</f>
        <v/>
      </c>
      <c r="U378" s="53">
        <f>IF(P378="","",IF(P378="Gasto",S378,IF(P378="Reembolso",-S378,0)))</f>
        <v/>
      </c>
      <c r="V378" s="53">
        <f>IF(P378="","",IF(P378="Ingreso",S378,0))</f>
        <v/>
      </c>
      <c r="W378" s="53">
        <f>IF(P378="","",IF(P378="Resultado trading",S378,0))</f>
        <v/>
      </c>
      <c r="X378" s="52">
        <f>IF(OR(P378="Gasto",P378="Reembolso"),IF(M378&lt;&gt;"",M378,IFERROR(INDEX(catClasif,MATCH(D378&amp;"|"&amp;E378,catClave,0))&amp;"","Variable")),"")</f>
        <v/>
      </c>
      <c r="Y378" s="52">
        <f>IF(P378="","",IFERROR(INDEX(catGrupo,MATCH(D378&amp;"|"&amp;E378,catClave,0))&amp;"",""))</f>
        <v/>
      </c>
      <c r="Z378" s="52">
        <f>IF(P378="","",WEEKDAY(B378,2))</f>
        <v/>
      </c>
      <c r="AA378" s="52">
        <f>IF(P378="","",IF(AND(P378="Gasto",X378="Variable",D378&lt;&gt;catTrading,S378&gt;0,S378&lt;=Umbral),1,0))</f>
        <v/>
      </c>
      <c r="AB378" s="52">
        <f>IF(OR(P378="",Q378=""),"",IFERROR(IF(INDEX(ctaVinc,MATCH(Q378,ctaNombre,0))&amp;""&lt;&gt;"",INDEX(ctaVinc,MATCH(Q378,ctaNombre,0))&amp;"",Q378),Q378))</f>
        <v/>
      </c>
      <c r="AC378" s="52">
        <f>IF(OR(K378="",AND(P378&lt;&gt;"Transferencia",P378&lt;&gt;"Pago tarjeta")),"",IFERROR(IF(INDEX(ctaVinc,MATCH(K378,ctaNombre,0))&amp;""&lt;&gt;"",INDEX(ctaVinc,MATCH(K378,ctaNombre,0))&amp;"",K378),K378))</f>
        <v/>
      </c>
      <c r="AD378" s="52">
        <f>IF(AB378="","",IFERROR(INDEX(ctaTipo,MATCH(AB378,ctaNombre,0))&amp;"",""))</f>
        <v/>
      </c>
      <c r="AE378" s="52">
        <f>IF(AC378="","",IFERROR(INDEX(ctaTipo,MATCH(AC378,ctaNombre,0))&amp;"",""))</f>
        <v/>
      </c>
      <c r="AF378" s="53">
        <f>IF(OR(P378="",AB378=""),"",IF(OR(P378="Gasto",P378="Transferencia",P378="Pago tarjeta"),-1,1)*IF(IFERROR(INDEX(ctaMoneda,MATCH(AB378,ctaNombre,0))&amp;"","DOP")="USD",T378,S378))</f>
        <v/>
      </c>
      <c r="AG378" s="53">
        <f>IF(AC378="","",IF(IFERROR(INDEX(ctaMoneda,MATCH(AC378,ctaNombre,0))&amp;"","DOP")="USD",T378,S378))</f>
        <v/>
      </c>
      <c r="AH378" s="53">
        <f>IF(P378="","",IF(AND(AD378&lt;&gt;"",COUNTIFS(tcTipo,AD378,tcLiq,"Sí")&gt;0),IF(OR(P378="Gasto",P378="Transferencia",P378="Pago tarjeta"),-1,1)*S378,0)+IF(AND(AE378&lt;&gt;"",COUNTIFS(tcTipo,AE378,tcLiq,"Sí")&gt;0),S378,0))</f>
        <v/>
      </c>
      <c r="AI378" s="52">
        <f>IF(OR(L378="",P378=""),"",IF(COUNTIFS(L$6:L378,L378,P$6:P378,"?*")=1,MAX(AI$5:AI377)+1,""))</f>
        <v/>
      </c>
    </row>
    <row r="379">
      <c r="B379" s="47" t="n"/>
      <c r="C379" s="48" t="n"/>
      <c r="D379" s="48" t="n"/>
      <c r="E379" s="48" t="n"/>
      <c r="F379" s="48" t="n"/>
      <c r="G379" s="49" t="n"/>
      <c r="H379" s="48" t="n"/>
      <c r="I379" s="50" t="n"/>
      <c r="J379" s="48" t="n"/>
      <c r="K379" s="48" t="n"/>
      <c r="L379" s="48" t="n"/>
      <c r="M379" s="48" t="n"/>
      <c r="N379" s="48" t="n"/>
      <c r="O379" s="51">
        <f>IF(AND(B379="",G379="",C379="",D379="",J379=""),"",IF(B379="","⚠ Falta fecha",IF(G379="","⚠ Falta monto",IF(Q379="","⚠ Falta cuenta",IF(ISNA(MATCH(Q379,ctaNombre,0)),"⚠ Cuenta no registrada",IF(AND(OR(P379="Gasto",P379="Reembolso"),D379=""),"⚠ Falta categoría",IF(AND(D379&lt;&gt;"",E379&lt;&gt;"",ISNA(MATCH(D379&amp;"|"&amp;E379,catClave,0))),"⚠ Subcategoría no corresponde",IF(AND(OR(P379="Transferencia",P379="Pago tarjeta"),K379=""),"⚠ Falta cuenta destino",IF(AND(K379&lt;&gt;"",P379&lt;&gt;"Transferencia",P379&lt;&gt;"Pago tarjeta"),"⚠ Destino solo aplica a transferencias",IF(AND(K379&lt;&gt;"",K379=Q379),"⚠ Origen igual a destino",IF(AND(K379&lt;&gt;"",ISNA(MATCH(K379,ctaNombre,0))),"⚠ Destino no registrado",IF(AND(P379="Pago tarjeta",AE379&lt;&gt;"Tarjeta de crédito"),"⚠ El destino debe ser tarjeta de crédito",IF(AND(P379="Gasto",E379="Depósitos y retiros"),"⚠ Usa tipo Transferencia",IF(AND(P379="Resultado trading",AD379&lt;&gt;"Cuenta de trading"),"⚠ Usa una cuenta de trading",IF(AND(G379&lt;=0,P379&lt;&gt;"Ajuste",P379&lt;&gt;"Resultado trading"),"⚠ El monto debe ser positivo","✓")))))))))))))))</f>
        <v/>
      </c>
      <c r="P379" s="52">
        <f>IF(OR(B379="",G379=""),"",IF(C379="","Gasto",C379))</f>
        <v/>
      </c>
      <c r="Q379" s="52">
        <f>IF(P379="","",IF(J379&lt;&gt;"",J379,CuentaPred&amp;""))</f>
        <v/>
      </c>
      <c r="R379" s="52">
        <f>IF(P379="","",IF(ISNUMBER(I379),I379,TasaUSD))</f>
        <v/>
      </c>
      <c r="S379" s="53">
        <f>IF(P379="","",IF(H379="USD",G379*R379,G379))</f>
        <v/>
      </c>
      <c r="T379" s="53">
        <f>IF(P379="","",IF(H379="USD",G379,IF(R379&gt;0,G379/R379,0)))</f>
        <v/>
      </c>
      <c r="U379" s="53">
        <f>IF(P379="","",IF(P379="Gasto",S379,IF(P379="Reembolso",-S379,0)))</f>
        <v/>
      </c>
      <c r="V379" s="53">
        <f>IF(P379="","",IF(P379="Ingreso",S379,0))</f>
        <v/>
      </c>
      <c r="W379" s="53">
        <f>IF(P379="","",IF(P379="Resultado trading",S379,0))</f>
        <v/>
      </c>
      <c r="X379" s="52">
        <f>IF(OR(P379="Gasto",P379="Reembolso"),IF(M379&lt;&gt;"",M379,IFERROR(INDEX(catClasif,MATCH(D379&amp;"|"&amp;E379,catClave,0))&amp;"","Variable")),"")</f>
        <v/>
      </c>
      <c r="Y379" s="52">
        <f>IF(P379="","",IFERROR(INDEX(catGrupo,MATCH(D379&amp;"|"&amp;E379,catClave,0))&amp;"",""))</f>
        <v/>
      </c>
      <c r="Z379" s="52">
        <f>IF(P379="","",WEEKDAY(B379,2))</f>
        <v/>
      </c>
      <c r="AA379" s="52">
        <f>IF(P379="","",IF(AND(P379="Gasto",X379="Variable",D379&lt;&gt;catTrading,S379&gt;0,S379&lt;=Umbral),1,0))</f>
        <v/>
      </c>
      <c r="AB379" s="52">
        <f>IF(OR(P379="",Q379=""),"",IFERROR(IF(INDEX(ctaVinc,MATCH(Q379,ctaNombre,0))&amp;""&lt;&gt;"",INDEX(ctaVinc,MATCH(Q379,ctaNombre,0))&amp;"",Q379),Q379))</f>
        <v/>
      </c>
      <c r="AC379" s="52">
        <f>IF(OR(K379="",AND(P379&lt;&gt;"Transferencia",P379&lt;&gt;"Pago tarjeta")),"",IFERROR(IF(INDEX(ctaVinc,MATCH(K379,ctaNombre,0))&amp;""&lt;&gt;"",INDEX(ctaVinc,MATCH(K379,ctaNombre,0))&amp;"",K379),K379))</f>
        <v/>
      </c>
      <c r="AD379" s="52">
        <f>IF(AB379="","",IFERROR(INDEX(ctaTipo,MATCH(AB379,ctaNombre,0))&amp;"",""))</f>
        <v/>
      </c>
      <c r="AE379" s="52">
        <f>IF(AC379="","",IFERROR(INDEX(ctaTipo,MATCH(AC379,ctaNombre,0))&amp;"",""))</f>
        <v/>
      </c>
      <c r="AF379" s="53">
        <f>IF(OR(P379="",AB379=""),"",IF(OR(P379="Gasto",P379="Transferencia",P379="Pago tarjeta"),-1,1)*IF(IFERROR(INDEX(ctaMoneda,MATCH(AB379,ctaNombre,0))&amp;"","DOP")="USD",T379,S379))</f>
        <v/>
      </c>
      <c r="AG379" s="53">
        <f>IF(AC379="","",IF(IFERROR(INDEX(ctaMoneda,MATCH(AC379,ctaNombre,0))&amp;"","DOP")="USD",T379,S379))</f>
        <v/>
      </c>
      <c r="AH379" s="53">
        <f>IF(P379="","",IF(AND(AD379&lt;&gt;"",COUNTIFS(tcTipo,AD379,tcLiq,"Sí")&gt;0),IF(OR(P379="Gasto",P379="Transferencia",P379="Pago tarjeta"),-1,1)*S379,0)+IF(AND(AE379&lt;&gt;"",COUNTIFS(tcTipo,AE379,tcLiq,"Sí")&gt;0),S379,0))</f>
        <v/>
      </c>
      <c r="AI379" s="52">
        <f>IF(OR(L379="",P379=""),"",IF(COUNTIFS(L$6:L379,L379,P$6:P379,"?*")=1,MAX(AI$5:AI378)+1,""))</f>
        <v/>
      </c>
    </row>
    <row r="380">
      <c r="B380" s="47" t="n"/>
      <c r="C380" s="48" t="n"/>
      <c r="D380" s="48" t="n"/>
      <c r="E380" s="48" t="n"/>
      <c r="F380" s="48" t="n"/>
      <c r="G380" s="49" t="n"/>
      <c r="H380" s="48" t="n"/>
      <c r="I380" s="50" t="n"/>
      <c r="J380" s="48" t="n"/>
      <c r="K380" s="48" t="n"/>
      <c r="L380" s="48" t="n"/>
      <c r="M380" s="48" t="n"/>
      <c r="N380" s="48" t="n"/>
      <c r="O380" s="51">
        <f>IF(AND(B380="",G380="",C380="",D380="",J380=""),"",IF(B380="","⚠ Falta fecha",IF(G380="","⚠ Falta monto",IF(Q380="","⚠ Falta cuenta",IF(ISNA(MATCH(Q380,ctaNombre,0)),"⚠ Cuenta no registrada",IF(AND(OR(P380="Gasto",P380="Reembolso"),D380=""),"⚠ Falta categoría",IF(AND(D380&lt;&gt;"",E380&lt;&gt;"",ISNA(MATCH(D380&amp;"|"&amp;E380,catClave,0))),"⚠ Subcategoría no corresponde",IF(AND(OR(P380="Transferencia",P380="Pago tarjeta"),K380=""),"⚠ Falta cuenta destino",IF(AND(K380&lt;&gt;"",P380&lt;&gt;"Transferencia",P380&lt;&gt;"Pago tarjeta"),"⚠ Destino solo aplica a transferencias",IF(AND(K380&lt;&gt;"",K380=Q380),"⚠ Origen igual a destino",IF(AND(K380&lt;&gt;"",ISNA(MATCH(K380,ctaNombre,0))),"⚠ Destino no registrado",IF(AND(P380="Pago tarjeta",AE380&lt;&gt;"Tarjeta de crédito"),"⚠ El destino debe ser tarjeta de crédito",IF(AND(P380="Gasto",E380="Depósitos y retiros"),"⚠ Usa tipo Transferencia",IF(AND(P380="Resultado trading",AD380&lt;&gt;"Cuenta de trading"),"⚠ Usa una cuenta de trading",IF(AND(G380&lt;=0,P380&lt;&gt;"Ajuste",P380&lt;&gt;"Resultado trading"),"⚠ El monto debe ser positivo","✓")))))))))))))))</f>
        <v/>
      </c>
      <c r="P380" s="52">
        <f>IF(OR(B380="",G380=""),"",IF(C380="","Gasto",C380))</f>
        <v/>
      </c>
      <c r="Q380" s="52">
        <f>IF(P380="","",IF(J380&lt;&gt;"",J380,CuentaPred&amp;""))</f>
        <v/>
      </c>
      <c r="R380" s="52">
        <f>IF(P380="","",IF(ISNUMBER(I380),I380,TasaUSD))</f>
        <v/>
      </c>
      <c r="S380" s="53">
        <f>IF(P380="","",IF(H380="USD",G380*R380,G380))</f>
        <v/>
      </c>
      <c r="T380" s="53">
        <f>IF(P380="","",IF(H380="USD",G380,IF(R380&gt;0,G380/R380,0)))</f>
        <v/>
      </c>
      <c r="U380" s="53">
        <f>IF(P380="","",IF(P380="Gasto",S380,IF(P380="Reembolso",-S380,0)))</f>
        <v/>
      </c>
      <c r="V380" s="53">
        <f>IF(P380="","",IF(P380="Ingreso",S380,0))</f>
        <v/>
      </c>
      <c r="W380" s="53">
        <f>IF(P380="","",IF(P380="Resultado trading",S380,0))</f>
        <v/>
      </c>
      <c r="X380" s="52">
        <f>IF(OR(P380="Gasto",P380="Reembolso"),IF(M380&lt;&gt;"",M380,IFERROR(INDEX(catClasif,MATCH(D380&amp;"|"&amp;E380,catClave,0))&amp;"","Variable")),"")</f>
        <v/>
      </c>
      <c r="Y380" s="52">
        <f>IF(P380="","",IFERROR(INDEX(catGrupo,MATCH(D380&amp;"|"&amp;E380,catClave,0))&amp;"",""))</f>
        <v/>
      </c>
      <c r="Z380" s="52">
        <f>IF(P380="","",WEEKDAY(B380,2))</f>
        <v/>
      </c>
      <c r="AA380" s="52">
        <f>IF(P380="","",IF(AND(P380="Gasto",X380="Variable",D380&lt;&gt;catTrading,S380&gt;0,S380&lt;=Umbral),1,0))</f>
        <v/>
      </c>
      <c r="AB380" s="52">
        <f>IF(OR(P380="",Q380=""),"",IFERROR(IF(INDEX(ctaVinc,MATCH(Q380,ctaNombre,0))&amp;""&lt;&gt;"",INDEX(ctaVinc,MATCH(Q380,ctaNombre,0))&amp;"",Q380),Q380))</f>
        <v/>
      </c>
      <c r="AC380" s="52">
        <f>IF(OR(K380="",AND(P380&lt;&gt;"Transferencia",P380&lt;&gt;"Pago tarjeta")),"",IFERROR(IF(INDEX(ctaVinc,MATCH(K380,ctaNombre,0))&amp;""&lt;&gt;"",INDEX(ctaVinc,MATCH(K380,ctaNombre,0))&amp;"",K380),K380))</f>
        <v/>
      </c>
      <c r="AD380" s="52">
        <f>IF(AB380="","",IFERROR(INDEX(ctaTipo,MATCH(AB380,ctaNombre,0))&amp;"",""))</f>
        <v/>
      </c>
      <c r="AE380" s="52">
        <f>IF(AC380="","",IFERROR(INDEX(ctaTipo,MATCH(AC380,ctaNombre,0))&amp;"",""))</f>
        <v/>
      </c>
      <c r="AF380" s="53">
        <f>IF(OR(P380="",AB380=""),"",IF(OR(P380="Gasto",P380="Transferencia",P380="Pago tarjeta"),-1,1)*IF(IFERROR(INDEX(ctaMoneda,MATCH(AB380,ctaNombre,0))&amp;"","DOP")="USD",T380,S380))</f>
        <v/>
      </c>
      <c r="AG380" s="53">
        <f>IF(AC380="","",IF(IFERROR(INDEX(ctaMoneda,MATCH(AC380,ctaNombre,0))&amp;"","DOP")="USD",T380,S380))</f>
        <v/>
      </c>
      <c r="AH380" s="53">
        <f>IF(P380="","",IF(AND(AD380&lt;&gt;"",COUNTIFS(tcTipo,AD380,tcLiq,"Sí")&gt;0),IF(OR(P380="Gasto",P380="Transferencia",P380="Pago tarjeta"),-1,1)*S380,0)+IF(AND(AE380&lt;&gt;"",COUNTIFS(tcTipo,AE380,tcLiq,"Sí")&gt;0),S380,0))</f>
        <v/>
      </c>
      <c r="AI380" s="52">
        <f>IF(OR(L380="",P380=""),"",IF(COUNTIFS(L$6:L380,L380,P$6:P380,"?*")=1,MAX(AI$5:AI379)+1,""))</f>
        <v/>
      </c>
    </row>
    <row r="381">
      <c r="B381" s="47" t="n"/>
      <c r="C381" s="48" t="n"/>
      <c r="D381" s="48" t="n"/>
      <c r="E381" s="48" t="n"/>
      <c r="F381" s="48" t="n"/>
      <c r="G381" s="49" t="n"/>
      <c r="H381" s="48" t="n"/>
      <c r="I381" s="50" t="n"/>
      <c r="J381" s="48" t="n"/>
      <c r="K381" s="48" t="n"/>
      <c r="L381" s="48" t="n"/>
      <c r="M381" s="48" t="n"/>
      <c r="N381" s="48" t="n"/>
      <c r="O381" s="51">
        <f>IF(AND(B381="",G381="",C381="",D381="",J381=""),"",IF(B381="","⚠ Falta fecha",IF(G381="","⚠ Falta monto",IF(Q381="","⚠ Falta cuenta",IF(ISNA(MATCH(Q381,ctaNombre,0)),"⚠ Cuenta no registrada",IF(AND(OR(P381="Gasto",P381="Reembolso"),D381=""),"⚠ Falta categoría",IF(AND(D381&lt;&gt;"",E381&lt;&gt;"",ISNA(MATCH(D381&amp;"|"&amp;E381,catClave,0))),"⚠ Subcategoría no corresponde",IF(AND(OR(P381="Transferencia",P381="Pago tarjeta"),K381=""),"⚠ Falta cuenta destino",IF(AND(K381&lt;&gt;"",P381&lt;&gt;"Transferencia",P381&lt;&gt;"Pago tarjeta"),"⚠ Destino solo aplica a transferencias",IF(AND(K381&lt;&gt;"",K381=Q381),"⚠ Origen igual a destino",IF(AND(K381&lt;&gt;"",ISNA(MATCH(K381,ctaNombre,0))),"⚠ Destino no registrado",IF(AND(P381="Pago tarjeta",AE381&lt;&gt;"Tarjeta de crédito"),"⚠ El destino debe ser tarjeta de crédito",IF(AND(P381="Gasto",E381="Depósitos y retiros"),"⚠ Usa tipo Transferencia",IF(AND(P381="Resultado trading",AD381&lt;&gt;"Cuenta de trading"),"⚠ Usa una cuenta de trading",IF(AND(G381&lt;=0,P381&lt;&gt;"Ajuste",P381&lt;&gt;"Resultado trading"),"⚠ El monto debe ser positivo","✓")))))))))))))))</f>
        <v/>
      </c>
      <c r="P381" s="52">
        <f>IF(OR(B381="",G381=""),"",IF(C381="","Gasto",C381))</f>
        <v/>
      </c>
      <c r="Q381" s="52">
        <f>IF(P381="","",IF(J381&lt;&gt;"",J381,CuentaPred&amp;""))</f>
        <v/>
      </c>
      <c r="R381" s="52">
        <f>IF(P381="","",IF(ISNUMBER(I381),I381,TasaUSD))</f>
        <v/>
      </c>
      <c r="S381" s="53">
        <f>IF(P381="","",IF(H381="USD",G381*R381,G381))</f>
        <v/>
      </c>
      <c r="T381" s="53">
        <f>IF(P381="","",IF(H381="USD",G381,IF(R381&gt;0,G381/R381,0)))</f>
        <v/>
      </c>
      <c r="U381" s="53">
        <f>IF(P381="","",IF(P381="Gasto",S381,IF(P381="Reembolso",-S381,0)))</f>
        <v/>
      </c>
      <c r="V381" s="53">
        <f>IF(P381="","",IF(P381="Ingreso",S381,0))</f>
        <v/>
      </c>
      <c r="W381" s="53">
        <f>IF(P381="","",IF(P381="Resultado trading",S381,0))</f>
        <v/>
      </c>
      <c r="X381" s="52">
        <f>IF(OR(P381="Gasto",P381="Reembolso"),IF(M381&lt;&gt;"",M381,IFERROR(INDEX(catClasif,MATCH(D381&amp;"|"&amp;E381,catClave,0))&amp;"","Variable")),"")</f>
        <v/>
      </c>
      <c r="Y381" s="52">
        <f>IF(P381="","",IFERROR(INDEX(catGrupo,MATCH(D381&amp;"|"&amp;E381,catClave,0))&amp;"",""))</f>
        <v/>
      </c>
      <c r="Z381" s="52">
        <f>IF(P381="","",WEEKDAY(B381,2))</f>
        <v/>
      </c>
      <c r="AA381" s="52">
        <f>IF(P381="","",IF(AND(P381="Gasto",X381="Variable",D381&lt;&gt;catTrading,S381&gt;0,S381&lt;=Umbral),1,0))</f>
        <v/>
      </c>
      <c r="AB381" s="52">
        <f>IF(OR(P381="",Q381=""),"",IFERROR(IF(INDEX(ctaVinc,MATCH(Q381,ctaNombre,0))&amp;""&lt;&gt;"",INDEX(ctaVinc,MATCH(Q381,ctaNombre,0))&amp;"",Q381),Q381))</f>
        <v/>
      </c>
      <c r="AC381" s="52">
        <f>IF(OR(K381="",AND(P381&lt;&gt;"Transferencia",P381&lt;&gt;"Pago tarjeta")),"",IFERROR(IF(INDEX(ctaVinc,MATCH(K381,ctaNombre,0))&amp;""&lt;&gt;"",INDEX(ctaVinc,MATCH(K381,ctaNombre,0))&amp;"",K381),K381))</f>
        <v/>
      </c>
      <c r="AD381" s="52">
        <f>IF(AB381="","",IFERROR(INDEX(ctaTipo,MATCH(AB381,ctaNombre,0))&amp;"",""))</f>
        <v/>
      </c>
      <c r="AE381" s="52">
        <f>IF(AC381="","",IFERROR(INDEX(ctaTipo,MATCH(AC381,ctaNombre,0))&amp;"",""))</f>
        <v/>
      </c>
      <c r="AF381" s="53">
        <f>IF(OR(P381="",AB381=""),"",IF(OR(P381="Gasto",P381="Transferencia",P381="Pago tarjeta"),-1,1)*IF(IFERROR(INDEX(ctaMoneda,MATCH(AB381,ctaNombre,0))&amp;"","DOP")="USD",T381,S381))</f>
        <v/>
      </c>
      <c r="AG381" s="53">
        <f>IF(AC381="","",IF(IFERROR(INDEX(ctaMoneda,MATCH(AC381,ctaNombre,0))&amp;"","DOP")="USD",T381,S381))</f>
        <v/>
      </c>
      <c r="AH381" s="53">
        <f>IF(P381="","",IF(AND(AD381&lt;&gt;"",COUNTIFS(tcTipo,AD381,tcLiq,"Sí")&gt;0),IF(OR(P381="Gasto",P381="Transferencia",P381="Pago tarjeta"),-1,1)*S381,0)+IF(AND(AE381&lt;&gt;"",COUNTIFS(tcTipo,AE381,tcLiq,"Sí")&gt;0),S381,0))</f>
        <v/>
      </c>
      <c r="AI381" s="52">
        <f>IF(OR(L381="",P381=""),"",IF(COUNTIFS(L$6:L381,L381,P$6:P381,"?*")=1,MAX(AI$5:AI380)+1,""))</f>
        <v/>
      </c>
    </row>
    <row r="382">
      <c r="B382" s="47" t="n"/>
      <c r="C382" s="48" t="n"/>
      <c r="D382" s="48" t="n"/>
      <c r="E382" s="48" t="n"/>
      <c r="F382" s="48" t="n"/>
      <c r="G382" s="49" t="n"/>
      <c r="H382" s="48" t="n"/>
      <c r="I382" s="50" t="n"/>
      <c r="J382" s="48" t="n"/>
      <c r="K382" s="48" t="n"/>
      <c r="L382" s="48" t="n"/>
      <c r="M382" s="48" t="n"/>
      <c r="N382" s="48" t="n"/>
      <c r="O382" s="51">
        <f>IF(AND(B382="",G382="",C382="",D382="",J382=""),"",IF(B382="","⚠ Falta fecha",IF(G382="","⚠ Falta monto",IF(Q382="","⚠ Falta cuenta",IF(ISNA(MATCH(Q382,ctaNombre,0)),"⚠ Cuenta no registrada",IF(AND(OR(P382="Gasto",P382="Reembolso"),D382=""),"⚠ Falta categoría",IF(AND(D382&lt;&gt;"",E382&lt;&gt;"",ISNA(MATCH(D382&amp;"|"&amp;E382,catClave,0))),"⚠ Subcategoría no corresponde",IF(AND(OR(P382="Transferencia",P382="Pago tarjeta"),K382=""),"⚠ Falta cuenta destino",IF(AND(K382&lt;&gt;"",P382&lt;&gt;"Transferencia",P382&lt;&gt;"Pago tarjeta"),"⚠ Destino solo aplica a transferencias",IF(AND(K382&lt;&gt;"",K382=Q382),"⚠ Origen igual a destino",IF(AND(K382&lt;&gt;"",ISNA(MATCH(K382,ctaNombre,0))),"⚠ Destino no registrado",IF(AND(P382="Pago tarjeta",AE382&lt;&gt;"Tarjeta de crédito"),"⚠ El destino debe ser tarjeta de crédito",IF(AND(P382="Gasto",E382="Depósitos y retiros"),"⚠ Usa tipo Transferencia",IF(AND(P382="Resultado trading",AD382&lt;&gt;"Cuenta de trading"),"⚠ Usa una cuenta de trading",IF(AND(G382&lt;=0,P382&lt;&gt;"Ajuste",P382&lt;&gt;"Resultado trading"),"⚠ El monto debe ser positivo","✓")))))))))))))))</f>
        <v/>
      </c>
      <c r="P382" s="52">
        <f>IF(OR(B382="",G382=""),"",IF(C382="","Gasto",C382))</f>
        <v/>
      </c>
      <c r="Q382" s="52">
        <f>IF(P382="","",IF(J382&lt;&gt;"",J382,CuentaPred&amp;""))</f>
        <v/>
      </c>
      <c r="R382" s="52">
        <f>IF(P382="","",IF(ISNUMBER(I382),I382,TasaUSD))</f>
        <v/>
      </c>
      <c r="S382" s="53">
        <f>IF(P382="","",IF(H382="USD",G382*R382,G382))</f>
        <v/>
      </c>
      <c r="T382" s="53">
        <f>IF(P382="","",IF(H382="USD",G382,IF(R382&gt;0,G382/R382,0)))</f>
        <v/>
      </c>
      <c r="U382" s="53">
        <f>IF(P382="","",IF(P382="Gasto",S382,IF(P382="Reembolso",-S382,0)))</f>
        <v/>
      </c>
      <c r="V382" s="53">
        <f>IF(P382="","",IF(P382="Ingreso",S382,0))</f>
        <v/>
      </c>
      <c r="W382" s="53">
        <f>IF(P382="","",IF(P382="Resultado trading",S382,0))</f>
        <v/>
      </c>
      <c r="X382" s="52">
        <f>IF(OR(P382="Gasto",P382="Reembolso"),IF(M382&lt;&gt;"",M382,IFERROR(INDEX(catClasif,MATCH(D382&amp;"|"&amp;E382,catClave,0))&amp;"","Variable")),"")</f>
        <v/>
      </c>
      <c r="Y382" s="52">
        <f>IF(P382="","",IFERROR(INDEX(catGrupo,MATCH(D382&amp;"|"&amp;E382,catClave,0))&amp;"",""))</f>
        <v/>
      </c>
      <c r="Z382" s="52">
        <f>IF(P382="","",WEEKDAY(B382,2))</f>
        <v/>
      </c>
      <c r="AA382" s="52">
        <f>IF(P382="","",IF(AND(P382="Gasto",X382="Variable",D382&lt;&gt;catTrading,S382&gt;0,S382&lt;=Umbral),1,0))</f>
        <v/>
      </c>
      <c r="AB382" s="52">
        <f>IF(OR(P382="",Q382=""),"",IFERROR(IF(INDEX(ctaVinc,MATCH(Q382,ctaNombre,0))&amp;""&lt;&gt;"",INDEX(ctaVinc,MATCH(Q382,ctaNombre,0))&amp;"",Q382),Q382))</f>
        <v/>
      </c>
      <c r="AC382" s="52">
        <f>IF(OR(K382="",AND(P382&lt;&gt;"Transferencia",P382&lt;&gt;"Pago tarjeta")),"",IFERROR(IF(INDEX(ctaVinc,MATCH(K382,ctaNombre,0))&amp;""&lt;&gt;"",INDEX(ctaVinc,MATCH(K382,ctaNombre,0))&amp;"",K382),K382))</f>
        <v/>
      </c>
      <c r="AD382" s="52">
        <f>IF(AB382="","",IFERROR(INDEX(ctaTipo,MATCH(AB382,ctaNombre,0))&amp;"",""))</f>
        <v/>
      </c>
      <c r="AE382" s="52">
        <f>IF(AC382="","",IFERROR(INDEX(ctaTipo,MATCH(AC382,ctaNombre,0))&amp;"",""))</f>
        <v/>
      </c>
      <c r="AF382" s="53">
        <f>IF(OR(P382="",AB382=""),"",IF(OR(P382="Gasto",P382="Transferencia",P382="Pago tarjeta"),-1,1)*IF(IFERROR(INDEX(ctaMoneda,MATCH(AB382,ctaNombre,0))&amp;"","DOP")="USD",T382,S382))</f>
        <v/>
      </c>
      <c r="AG382" s="53">
        <f>IF(AC382="","",IF(IFERROR(INDEX(ctaMoneda,MATCH(AC382,ctaNombre,0))&amp;"","DOP")="USD",T382,S382))</f>
        <v/>
      </c>
      <c r="AH382" s="53">
        <f>IF(P382="","",IF(AND(AD382&lt;&gt;"",COUNTIFS(tcTipo,AD382,tcLiq,"Sí")&gt;0),IF(OR(P382="Gasto",P382="Transferencia",P382="Pago tarjeta"),-1,1)*S382,0)+IF(AND(AE382&lt;&gt;"",COUNTIFS(tcTipo,AE382,tcLiq,"Sí")&gt;0),S382,0))</f>
        <v/>
      </c>
      <c r="AI382" s="52">
        <f>IF(OR(L382="",P382=""),"",IF(COUNTIFS(L$6:L382,L382,P$6:P382,"?*")=1,MAX(AI$5:AI381)+1,""))</f>
        <v/>
      </c>
    </row>
    <row r="383">
      <c r="B383" s="47" t="n"/>
      <c r="C383" s="48" t="n"/>
      <c r="D383" s="48" t="n"/>
      <c r="E383" s="48" t="n"/>
      <c r="F383" s="48" t="n"/>
      <c r="G383" s="49" t="n"/>
      <c r="H383" s="48" t="n"/>
      <c r="I383" s="50" t="n"/>
      <c r="J383" s="48" t="n"/>
      <c r="K383" s="48" t="n"/>
      <c r="L383" s="48" t="n"/>
      <c r="M383" s="48" t="n"/>
      <c r="N383" s="48" t="n"/>
      <c r="O383" s="51">
        <f>IF(AND(B383="",G383="",C383="",D383="",J383=""),"",IF(B383="","⚠ Falta fecha",IF(G383="","⚠ Falta monto",IF(Q383="","⚠ Falta cuenta",IF(ISNA(MATCH(Q383,ctaNombre,0)),"⚠ Cuenta no registrada",IF(AND(OR(P383="Gasto",P383="Reembolso"),D383=""),"⚠ Falta categoría",IF(AND(D383&lt;&gt;"",E383&lt;&gt;"",ISNA(MATCH(D383&amp;"|"&amp;E383,catClave,0))),"⚠ Subcategoría no corresponde",IF(AND(OR(P383="Transferencia",P383="Pago tarjeta"),K383=""),"⚠ Falta cuenta destino",IF(AND(K383&lt;&gt;"",P383&lt;&gt;"Transferencia",P383&lt;&gt;"Pago tarjeta"),"⚠ Destino solo aplica a transferencias",IF(AND(K383&lt;&gt;"",K383=Q383),"⚠ Origen igual a destino",IF(AND(K383&lt;&gt;"",ISNA(MATCH(K383,ctaNombre,0))),"⚠ Destino no registrado",IF(AND(P383="Pago tarjeta",AE383&lt;&gt;"Tarjeta de crédito"),"⚠ El destino debe ser tarjeta de crédito",IF(AND(P383="Gasto",E383="Depósitos y retiros"),"⚠ Usa tipo Transferencia",IF(AND(P383="Resultado trading",AD383&lt;&gt;"Cuenta de trading"),"⚠ Usa una cuenta de trading",IF(AND(G383&lt;=0,P383&lt;&gt;"Ajuste",P383&lt;&gt;"Resultado trading"),"⚠ El monto debe ser positivo","✓")))))))))))))))</f>
        <v/>
      </c>
      <c r="P383" s="52">
        <f>IF(OR(B383="",G383=""),"",IF(C383="","Gasto",C383))</f>
        <v/>
      </c>
      <c r="Q383" s="52">
        <f>IF(P383="","",IF(J383&lt;&gt;"",J383,CuentaPred&amp;""))</f>
        <v/>
      </c>
      <c r="R383" s="52">
        <f>IF(P383="","",IF(ISNUMBER(I383),I383,TasaUSD))</f>
        <v/>
      </c>
      <c r="S383" s="53">
        <f>IF(P383="","",IF(H383="USD",G383*R383,G383))</f>
        <v/>
      </c>
      <c r="T383" s="53">
        <f>IF(P383="","",IF(H383="USD",G383,IF(R383&gt;0,G383/R383,0)))</f>
        <v/>
      </c>
      <c r="U383" s="53">
        <f>IF(P383="","",IF(P383="Gasto",S383,IF(P383="Reembolso",-S383,0)))</f>
        <v/>
      </c>
      <c r="V383" s="53">
        <f>IF(P383="","",IF(P383="Ingreso",S383,0))</f>
        <v/>
      </c>
      <c r="W383" s="53">
        <f>IF(P383="","",IF(P383="Resultado trading",S383,0))</f>
        <v/>
      </c>
      <c r="X383" s="52">
        <f>IF(OR(P383="Gasto",P383="Reembolso"),IF(M383&lt;&gt;"",M383,IFERROR(INDEX(catClasif,MATCH(D383&amp;"|"&amp;E383,catClave,0))&amp;"","Variable")),"")</f>
        <v/>
      </c>
      <c r="Y383" s="52">
        <f>IF(P383="","",IFERROR(INDEX(catGrupo,MATCH(D383&amp;"|"&amp;E383,catClave,0))&amp;"",""))</f>
        <v/>
      </c>
      <c r="Z383" s="52">
        <f>IF(P383="","",WEEKDAY(B383,2))</f>
        <v/>
      </c>
      <c r="AA383" s="52">
        <f>IF(P383="","",IF(AND(P383="Gasto",X383="Variable",D383&lt;&gt;catTrading,S383&gt;0,S383&lt;=Umbral),1,0))</f>
        <v/>
      </c>
      <c r="AB383" s="52">
        <f>IF(OR(P383="",Q383=""),"",IFERROR(IF(INDEX(ctaVinc,MATCH(Q383,ctaNombre,0))&amp;""&lt;&gt;"",INDEX(ctaVinc,MATCH(Q383,ctaNombre,0))&amp;"",Q383),Q383))</f>
        <v/>
      </c>
      <c r="AC383" s="52">
        <f>IF(OR(K383="",AND(P383&lt;&gt;"Transferencia",P383&lt;&gt;"Pago tarjeta")),"",IFERROR(IF(INDEX(ctaVinc,MATCH(K383,ctaNombre,0))&amp;""&lt;&gt;"",INDEX(ctaVinc,MATCH(K383,ctaNombre,0))&amp;"",K383),K383))</f>
        <v/>
      </c>
      <c r="AD383" s="52">
        <f>IF(AB383="","",IFERROR(INDEX(ctaTipo,MATCH(AB383,ctaNombre,0))&amp;"",""))</f>
        <v/>
      </c>
      <c r="AE383" s="52">
        <f>IF(AC383="","",IFERROR(INDEX(ctaTipo,MATCH(AC383,ctaNombre,0))&amp;"",""))</f>
        <v/>
      </c>
      <c r="AF383" s="53">
        <f>IF(OR(P383="",AB383=""),"",IF(OR(P383="Gasto",P383="Transferencia",P383="Pago tarjeta"),-1,1)*IF(IFERROR(INDEX(ctaMoneda,MATCH(AB383,ctaNombre,0))&amp;"","DOP")="USD",T383,S383))</f>
        <v/>
      </c>
      <c r="AG383" s="53">
        <f>IF(AC383="","",IF(IFERROR(INDEX(ctaMoneda,MATCH(AC383,ctaNombre,0))&amp;"","DOP")="USD",T383,S383))</f>
        <v/>
      </c>
      <c r="AH383" s="53">
        <f>IF(P383="","",IF(AND(AD383&lt;&gt;"",COUNTIFS(tcTipo,AD383,tcLiq,"Sí")&gt;0),IF(OR(P383="Gasto",P383="Transferencia",P383="Pago tarjeta"),-1,1)*S383,0)+IF(AND(AE383&lt;&gt;"",COUNTIFS(tcTipo,AE383,tcLiq,"Sí")&gt;0),S383,0))</f>
        <v/>
      </c>
      <c r="AI383" s="52">
        <f>IF(OR(L383="",P383=""),"",IF(COUNTIFS(L$6:L383,L383,P$6:P383,"?*")=1,MAX(AI$5:AI382)+1,""))</f>
        <v/>
      </c>
    </row>
    <row r="384">
      <c r="B384" s="47" t="n"/>
      <c r="C384" s="48" t="n"/>
      <c r="D384" s="48" t="n"/>
      <c r="E384" s="48" t="n"/>
      <c r="F384" s="48" t="n"/>
      <c r="G384" s="49" t="n"/>
      <c r="H384" s="48" t="n"/>
      <c r="I384" s="50" t="n"/>
      <c r="J384" s="48" t="n"/>
      <c r="K384" s="48" t="n"/>
      <c r="L384" s="48" t="n"/>
      <c r="M384" s="48" t="n"/>
      <c r="N384" s="48" t="n"/>
      <c r="O384" s="51">
        <f>IF(AND(B384="",G384="",C384="",D384="",J384=""),"",IF(B384="","⚠ Falta fecha",IF(G384="","⚠ Falta monto",IF(Q384="","⚠ Falta cuenta",IF(ISNA(MATCH(Q384,ctaNombre,0)),"⚠ Cuenta no registrada",IF(AND(OR(P384="Gasto",P384="Reembolso"),D384=""),"⚠ Falta categoría",IF(AND(D384&lt;&gt;"",E384&lt;&gt;"",ISNA(MATCH(D384&amp;"|"&amp;E384,catClave,0))),"⚠ Subcategoría no corresponde",IF(AND(OR(P384="Transferencia",P384="Pago tarjeta"),K384=""),"⚠ Falta cuenta destino",IF(AND(K384&lt;&gt;"",P384&lt;&gt;"Transferencia",P384&lt;&gt;"Pago tarjeta"),"⚠ Destino solo aplica a transferencias",IF(AND(K384&lt;&gt;"",K384=Q384),"⚠ Origen igual a destino",IF(AND(K384&lt;&gt;"",ISNA(MATCH(K384,ctaNombre,0))),"⚠ Destino no registrado",IF(AND(P384="Pago tarjeta",AE384&lt;&gt;"Tarjeta de crédito"),"⚠ El destino debe ser tarjeta de crédito",IF(AND(P384="Gasto",E384="Depósitos y retiros"),"⚠ Usa tipo Transferencia",IF(AND(P384="Resultado trading",AD384&lt;&gt;"Cuenta de trading"),"⚠ Usa una cuenta de trading",IF(AND(G384&lt;=0,P384&lt;&gt;"Ajuste",P384&lt;&gt;"Resultado trading"),"⚠ El monto debe ser positivo","✓")))))))))))))))</f>
        <v/>
      </c>
      <c r="P384" s="52">
        <f>IF(OR(B384="",G384=""),"",IF(C384="","Gasto",C384))</f>
        <v/>
      </c>
      <c r="Q384" s="52">
        <f>IF(P384="","",IF(J384&lt;&gt;"",J384,CuentaPred&amp;""))</f>
        <v/>
      </c>
      <c r="R384" s="52">
        <f>IF(P384="","",IF(ISNUMBER(I384),I384,TasaUSD))</f>
        <v/>
      </c>
      <c r="S384" s="53">
        <f>IF(P384="","",IF(H384="USD",G384*R384,G384))</f>
        <v/>
      </c>
      <c r="T384" s="53">
        <f>IF(P384="","",IF(H384="USD",G384,IF(R384&gt;0,G384/R384,0)))</f>
        <v/>
      </c>
      <c r="U384" s="53">
        <f>IF(P384="","",IF(P384="Gasto",S384,IF(P384="Reembolso",-S384,0)))</f>
        <v/>
      </c>
      <c r="V384" s="53">
        <f>IF(P384="","",IF(P384="Ingreso",S384,0))</f>
        <v/>
      </c>
      <c r="W384" s="53">
        <f>IF(P384="","",IF(P384="Resultado trading",S384,0))</f>
        <v/>
      </c>
      <c r="X384" s="52">
        <f>IF(OR(P384="Gasto",P384="Reembolso"),IF(M384&lt;&gt;"",M384,IFERROR(INDEX(catClasif,MATCH(D384&amp;"|"&amp;E384,catClave,0))&amp;"","Variable")),"")</f>
        <v/>
      </c>
      <c r="Y384" s="52">
        <f>IF(P384="","",IFERROR(INDEX(catGrupo,MATCH(D384&amp;"|"&amp;E384,catClave,0))&amp;"",""))</f>
        <v/>
      </c>
      <c r="Z384" s="52">
        <f>IF(P384="","",WEEKDAY(B384,2))</f>
        <v/>
      </c>
      <c r="AA384" s="52">
        <f>IF(P384="","",IF(AND(P384="Gasto",X384="Variable",D384&lt;&gt;catTrading,S384&gt;0,S384&lt;=Umbral),1,0))</f>
        <v/>
      </c>
      <c r="AB384" s="52">
        <f>IF(OR(P384="",Q384=""),"",IFERROR(IF(INDEX(ctaVinc,MATCH(Q384,ctaNombre,0))&amp;""&lt;&gt;"",INDEX(ctaVinc,MATCH(Q384,ctaNombre,0))&amp;"",Q384),Q384))</f>
        <v/>
      </c>
      <c r="AC384" s="52">
        <f>IF(OR(K384="",AND(P384&lt;&gt;"Transferencia",P384&lt;&gt;"Pago tarjeta")),"",IFERROR(IF(INDEX(ctaVinc,MATCH(K384,ctaNombre,0))&amp;""&lt;&gt;"",INDEX(ctaVinc,MATCH(K384,ctaNombre,0))&amp;"",K384),K384))</f>
        <v/>
      </c>
      <c r="AD384" s="52">
        <f>IF(AB384="","",IFERROR(INDEX(ctaTipo,MATCH(AB384,ctaNombre,0))&amp;"",""))</f>
        <v/>
      </c>
      <c r="AE384" s="52">
        <f>IF(AC384="","",IFERROR(INDEX(ctaTipo,MATCH(AC384,ctaNombre,0))&amp;"",""))</f>
        <v/>
      </c>
      <c r="AF384" s="53">
        <f>IF(OR(P384="",AB384=""),"",IF(OR(P384="Gasto",P384="Transferencia",P384="Pago tarjeta"),-1,1)*IF(IFERROR(INDEX(ctaMoneda,MATCH(AB384,ctaNombre,0))&amp;"","DOP")="USD",T384,S384))</f>
        <v/>
      </c>
      <c r="AG384" s="53">
        <f>IF(AC384="","",IF(IFERROR(INDEX(ctaMoneda,MATCH(AC384,ctaNombre,0))&amp;"","DOP")="USD",T384,S384))</f>
        <v/>
      </c>
      <c r="AH384" s="53">
        <f>IF(P384="","",IF(AND(AD384&lt;&gt;"",COUNTIFS(tcTipo,AD384,tcLiq,"Sí")&gt;0),IF(OR(P384="Gasto",P384="Transferencia",P384="Pago tarjeta"),-1,1)*S384,0)+IF(AND(AE384&lt;&gt;"",COUNTIFS(tcTipo,AE384,tcLiq,"Sí")&gt;0),S384,0))</f>
        <v/>
      </c>
      <c r="AI384" s="52">
        <f>IF(OR(L384="",P384=""),"",IF(COUNTIFS(L$6:L384,L384,P$6:P384,"?*")=1,MAX(AI$5:AI383)+1,""))</f>
        <v/>
      </c>
    </row>
    <row r="385">
      <c r="B385" s="47" t="n"/>
      <c r="C385" s="48" t="n"/>
      <c r="D385" s="48" t="n"/>
      <c r="E385" s="48" t="n"/>
      <c r="F385" s="48" t="n"/>
      <c r="G385" s="49" t="n"/>
      <c r="H385" s="48" t="n"/>
      <c r="I385" s="50" t="n"/>
      <c r="J385" s="48" t="n"/>
      <c r="K385" s="48" t="n"/>
      <c r="L385" s="48" t="n"/>
      <c r="M385" s="48" t="n"/>
      <c r="N385" s="48" t="n"/>
      <c r="O385" s="51">
        <f>IF(AND(B385="",G385="",C385="",D385="",J385=""),"",IF(B385="","⚠ Falta fecha",IF(G385="","⚠ Falta monto",IF(Q385="","⚠ Falta cuenta",IF(ISNA(MATCH(Q385,ctaNombre,0)),"⚠ Cuenta no registrada",IF(AND(OR(P385="Gasto",P385="Reembolso"),D385=""),"⚠ Falta categoría",IF(AND(D385&lt;&gt;"",E385&lt;&gt;"",ISNA(MATCH(D385&amp;"|"&amp;E385,catClave,0))),"⚠ Subcategoría no corresponde",IF(AND(OR(P385="Transferencia",P385="Pago tarjeta"),K385=""),"⚠ Falta cuenta destino",IF(AND(K385&lt;&gt;"",P385&lt;&gt;"Transferencia",P385&lt;&gt;"Pago tarjeta"),"⚠ Destino solo aplica a transferencias",IF(AND(K385&lt;&gt;"",K385=Q385),"⚠ Origen igual a destino",IF(AND(K385&lt;&gt;"",ISNA(MATCH(K385,ctaNombre,0))),"⚠ Destino no registrado",IF(AND(P385="Pago tarjeta",AE385&lt;&gt;"Tarjeta de crédito"),"⚠ El destino debe ser tarjeta de crédito",IF(AND(P385="Gasto",E385="Depósitos y retiros"),"⚠ Usa tipo Transferencia",IF(AND(P385="Resultado trading",AD385&lt;&gt;"Cuenta de trading"),"⚠ Usa una cuenta de trading",IF(AND(G385&lt;=0,P385&lt;&gt;"Ajuste",P385&lt;&gt;"Resultado trading"),"⚠ El monto debe ser positivo","✓")))))))))))))))</f>
        <v/>
      </c>
      <c r="P385" s="52">
        <f>IF(OR(B385="",G385=""),"",IF(C385="","Gasto",C385))</f>
        <v/>
      </c>
      <c r="Q385" s="52">
        <f>IF(P385="","",IF(J385&lt;&gt;"",J385,CuentaPred&amp;""))</f>
        <v/>
      </c>
      <c r="R385" s="52">
        <f>IF(P385="","",IF(ISNUMBER(I385),I385,TasaUSD))</f>
        <v/>
      </c>
      <c r="S385" s="53">
        <f>IF(P385="","",IF(H385="USD",G385*R385,G385))</f>
        <v/>
      </c>
      <c r="T385" s="53">
        <f>IF(P385="","",IF(H385="USD",G385,IF(R385&gt;0,G385/R385,0)))</f>
        <v/>
      </c>
      <c r="U385" s="53">
        <f>IF(P385="","",IF(P385="Gasto",S385,IF(P385="Reembolso",-S385,0)))</f>
        <v/>
      </c>
      <c r="V385" s="53">
        <f>IF(P385="","",IF(P385="Ingreso",S385,0))</f>
        <v/>
      </c>
      <c r="W385" s="53">
        <f>IF(P385="","",IF(P385="Resultado trading",S385,0))</f>
        <v/>
      </c>
      <c r="X385" s="52">
        <f>IF(OR(P385="Gasto",P385="Reembolso"),IF(M385&lt;&gt;"",M385,IFERROR(INDEX(catClasif,MATCH(D385&amp;"|"&amp;E385,catClave,0))&amp;"","Variable")),"")</f>
        <v/>
      </c>
      <c r="Y385" s="52">
        <f>IF(P385="","",IFERROR(INDEX(catGrupo,MATCH(D385&amp;"|"&amp;E385,catClave,0))&amp;"",""))</f>
        <v/>
      </c>
      <c r="Z385" s="52">
        <f>IF(P385="","",WEEKDAY(B385,2))</f>
        <v/>
      </c>
      <c r="AA385" s="52">
        <f>IF(P385="","",IF(AND(P385="Gasto",X385="Variable",D385&lt;&gt;catTrading,S385&gt;0,S385&lt;=Umbral),1,0))</f>
        <v/>
      </c>
      <c r="AB385" s="52">
        <f>IF(OR(P385="",Q385=""),"",IFERROR(IF(INDEX(ctaVinc,MATCH(Q385,ctaNombre,0))&amp;""&lt;&gt;"",INDEX(ctaVinc,MATCH(Q385,ctaNombre,0))&amp;"",Q385),Q385))</f>
        <v/>
      </c>
      <c r="AC385" s="52">
        <f>IF(OR(K385="",AND(P385&lt;&gt;"Transferencia",P385&lt;&gt;"Pago tarjeta")),"",IFERROR(IF(INDEX(ctaVinc,MATCH(K385,ctaNombre,0))&amp;""&lt;&gt;"",INDEX(ctaVinc,MATCH(K385,ctaNombre,0))&amp;"",K385),K385))</f>
        <v/>
      </c>
      <c r="AD385" s="52">
        <f>IF(AB385="","",IFERROR(INDEX(ctaTipo,MATCH(AB385,ctaNombre,0))&amp;"",""))</f>
        <v/>
      </c>
      <c r="AE385" s="52">
        <f>IF(AC385="","",IFERROR(INDEX(ctaTipo,MATCH(AC385,ctaNombre,0))&amp;"",""))</f>
        <v/>
      </c>
      <c r="AF385" s="53">
        <f>IF(OR(P385="",AB385=""),"",IF(OR(P385="Gasto",P385="Transferencia",P385="Pago tarjeta"),-1,1)*IF(IFERROR(INDEX(ctaMoneda,MATCH(AB385,ctaNombre,0))&amp;"","DOP")="USD",T385,S385))</f>
        <v/>
      </c>
      <c r="AG385" s="53">
        <f>IF(AC385="","",IF(IFERROR(INDEX(ctaMoneda,MATCH(AC385,ctaNombre,0))&amp;"","DOP")="USD",T385,S385))</f>
        <v/>
      </c>
      <c r="AH385" s="53">
        <f>IF(P385="","",IF(AND(AD385&lt;&gt;"",COUNTIFS(tcTipo,AD385,tcLiq,"Sí")&gt;0),IF(OR(P385="Gasto",P385="Transferencia",P385="Pago tarjeta"),-1,1)*S385,0)+IF(AND(AE385&lt;&gt;"",COUNTIFS(tcTipo,AE385,tcLiq,"Sí")&gt;0),S385,0))</f>
        <v/>
      </c>
      <c r="AI385" s="52">
        <f>IF(OR(L385="",P385=""),"",IF(COUNTIFS(L$6:L385,L385,P$6:P385,"?*")=1,MAX(AI$5:AI384)+1,""))</f>
        <v/>
      </c>
    </row>
    <row r="386">
      <c r="B386" s="47" t="n"/>
      <c r="C386" s="48" t="n"/>
      <c r="D386" s="48" t="n"/>
      <c r="E386" s="48" t="n"/>
      <c r="F386" s="48" t="n"/>
      <c r="G386" s="49" t="n"/>
      <c r="H386" s="48" t="n"/>
      <c r="I386" s="50" t="n"/>
      <c r="J386" s="48" t="n"/>
      <c r="K386" s="48" t="n"/>
      <c r="L386" s="48" t="n"/>
      <c r="M386" s="48" t="n"/>
      <c r="N386" s="48" t="n"/>
      <c r="O386" s="51">
        <f>IF(AND(B386="",G386="",C386="",D386="",J386=""),"",IF(B386="","⚠ Falta fecha",IF(G386="","⚠ Falta monto",IF(Q386="","⚠ Falta cuenta",IF(ISNA(MATCH(Q386,ctaNombre,0)),"⚠ Cuenta no registrada",IF(AND(OR(P386="Gasto",P386="Reembolso"),D386=""),"⚠ Falta categoría",IF(AND(D386&lt;&gt;"",E386&lt;&gt;"",ISNA(MATCH(D386&amp;"|"&amp;E386,catClave,0))),"⚠ Subcategoría no corresponde",IF(AND(OR(P386="Transferencia",P386="Pago tarjeta"),K386=""),"⚠ Falta cuenta destino",IF(AND(K386&lt;&gt;"",P386&lt;&gt;"Transferencia",P386&lt;&gt;"Pago tarjeta"),"⚠ Destino solo aplica a transferencias",IF(AND(K386&lt;&gt;"",K386=Q386),"⚠ Origen igual a destino",IF(AND(K386&lt;&gt;"",ISNA(MATCH(K386,ctaNombre,0))),"⚠ Destino no registrado",IF(AND(P386="Pago tarjeta",AE386&lt;&gt;"Tarjeta de crédito"),"⚠ El destino debe ser tarjeta de crédito",IF(AND(P386="Gasto",E386="Depósitos y retiros"),"⚠ Usa tipo Transferencia",IF(AND(P386="Resultado trading",AD386&lt;&gt;"Cuenta de trading"),"⚠ Usa una cuenta de trading",IF(AND(G386&lt;=0,P386&lt;&gt;"Ajuste",P386&lt;&gt;"Resultado trading"),"⚠ El monto debe ser positivo","✓")))))))))))))))</f>
        <v/>
      </c>
      <c r="P386" s="52">
        <f>IF(OR(B386="",G386=""),"",IF(C386="","Gasto",C386))</f>
        <v/>
      </c>
      <c r="Q386" s="52">
        <f>IF(P386="","",IF(J386&lt;&gt;"",J386,CuentaPred&amp;""))</f>
        <v/>
      </c>
      <c r="R386" s="52">
        <f>IF(P386="","",IF(ISNUMBER(I386),I386,TasaUSD))</f>
        <v/>
      </c>
      <c r="S386" s="53">
        <f>IF(P386="","",IF(H386="USD",G386*R386,G386))</f>
        <v/>
      </c>
      <c r="T386" s="53">
        <f>IF(P386="","",IF(H386="USD",G386,IF(R386&gt;0,G386/R386,0)))</f>
        <v/>
      </c>
      <c r="U386" s="53">
        <f>IF(P386="","",IF(P386="Gasto",S386,IF(P386="Reembolso",-S386,0)))</f>
        <v/>
      </c>
      <c r="V386" s="53">
        <f>IF(P386="","",IF(P386="Ingreso",S386,0))</f>
        <v/>
      </c>
      <c r="W386" s="53">
        <f>IF(P386="","",IF(P386="Resultado trading",S386,0))</f>
        <v/>
      </c>
      <c r="X386" s="52">
        <f>IF(OR(P386="Gasto",P386="Reembolso"),IF(M386&lt;&gt;"",M386,IFERROR(INDEX(catClasif,MATCH(D386&amp;"|"&amp;E386,catClave,0))&amp;"","Variable")),"")</f>
        <v/>
      </c>
      <c r="Y386" s="52">
        <f>IF(P386="","",IFERROR(INDEX(catGrupo,MATCH(D386&amp;"|"&amp;E386,catClave,0))&amp;"",""))</f>
        <v/>
      </c>
      <c r="Z386" s="52">
        <f>IF(P386="","",WEEKDAY(B386,2))</f>
        <v/>
      </c>
      <c r="AA386" s="52">
        <f>IF(P386="","",IF(AND(P386="Gasto",X386="Variable",D386&lt;&gt;catTrading,S386&gt;0,S386&lt;=Umbral),1,0))</f>
        <v/>
      </c>
      <c r="AB386" s="52">
        <f>IF(OR(P386="",Q386=""),"",IFERROR(IF(INDEX(ctaVinc,MATCH(Q386,ctaNombre,0))&amp;""&lt;&gt;"",INDEX(ctaVinc,MATCH(Q386,ctaNombre,0))&amp;"",Q386),Q386))</f>
        <v/>
      </c>
      <c r="AC386" s="52">
        <f>IF(OR(K386="",AND(P386&lt;&gt;"Transferencia",P386&lt;&gt;"Pago tarjeta")),"",IFERROR(IF(INDEX(ctaVinc,MATCH(K386,ctaNombre,0))&amp;""&lt;&gt;"",INDEX(ctaVinc,MATCH(K386,ctaNombre,0))&amp;"",K386),K386))</f>
        <v/>
      </c>
      <c r="AD386" s="52">
        <f>IF(AB386="","",IFERROR(INDEX(ctaTipo,MATCH(AB386,ctaNombre,0))&amp;"",""))</f>
        <v/>
      </c>
      <c r="AE386" s="52">
        <f>IF(AC386="","",IFERROR(INDEX(ctaTipo,MATCH(AC386,ctaNombre,0))&amp;"",""))</f>
        <v/>
      </c>
      <c r="AF386" s="53">
        <f>IF(OR(P386="",AB386=""),"",IF(OR(P386="Gasto",P386="Transferencia",P386="Pago tarjeta"),-1,1)*IF(IFERROR(INDEX(ctaMoneda,MATCH(AB386,ctaNombre,0))&amp;"","DOP")="USD",T386,S386))</f>
        <v/>
      </c>
      <c r="AG386" s="53">
        <f>IF(AC386="","",IF(IFERROR(INDEX(ctaMoneda,MATCH(AC386,ctaNombre,0))&amp;"","DOP")="USD",T386,S386))</f>
        <v/>
      </c>
      <c r="AH386" s="53">
        <f>IF(P386="","",IF(AND(AD386&lt;&gt;"",COUNTIFS(tcTipo,AD386,tcLiq,"Sí")&gt;0),IF(OR(P386="Gasto",P386="Transferencia",P386="Pago tarjeta"),-1,1)*S386,0)+IF(AND(AE386&lt;&gt;"",COUNTIFS(tcTipo,AE386,tcLiq,"Sí")&gt;0),S386,0))</f>
        <v/>
      </c>
      <c r="AI386" s="52">
        <f>IF(OR(L386="",P386=""),"",IF(COUNTIFS(L$6:L386,L386,P$6:P386,"?*")=1,MAX(AI$5:AI385)+1,""))</f>
        <v/>
      </c>
    </row>
    <row r="387">
      <c r="B387" s="47" t="n"/>
      <c r="C387" s="48" t="n"/>
      <c r="D387" s="48" t="n"/>
      <c r="E387" s="48" t="n"/>
      <c r="F387" s="48" t="n"/>
      <c r="G387" s="49" t="n"/>
      <c r="H387" s="48" t="n"/>
      <c r="I387" s="50" t="n"/>
      <c r="J387" s="48" t="n"/>
      <c r="K387" s="48" t="n"/>
      <c r="L387" s="48" t="n"/>
      <c r="M387" s="48" t="n"/>
      <c r="N387" s="48" t="n"/>
      <c r="O387" s="51">
        <f>IF(AND(B387="",G387="",C387="",D387="",J387=""),"",IF(B387="","⚠ Falta fecha",IF(G387="","⚠ Falta monto",IF(Q387="","⚠ Falta cuenta",IF(ISNA(MATCH(Q387,ctaNombre,0)),"⚠ Cuenta no registrada",IF(AND(OR(P387="Gasto",P387="Reembolso"),D387=""),"⚠ Falta categoría",IF(AND(D387&lt;&gt;"",E387&lt;&gt;"",ISNA(MATCH(D387&amp;"|"&amp;E387,catClave,0))),"⚠ Subcategoría no corresponde",IF(AND(OR(P387="Transferencia",P387="Pago tarjeta"),K387=""),"⚠ Falta cuenta destino",IF(AND(K387&lt;&gt;"",P387&lt;&gt;"Transferencia",P387&lt;&gt;"Pago tarjeta"),"⚠ Destino solo aplica a transferencias",IF(AND(K387&lt;&gt;"",K387=Q387),"⚠ Origen igual a destino",IF(AND(K387&lt;&gt;"",ISNA(MATCH(K387,ctaNombre,0))),"⚠ Destino no registrado",IF(AND(P387="Pago tarjeta",AE387&lt;&gt;"Tarjeta de crédito"),"⚠ El destino debe ser tarjeta de crédito",IF(AND(P387="Gasto",E387="Depósitos y retiros"),"⚠ Usa tipo Transferencia",IF(AND(P387="Resultado trading",AD387&lt;&gt;"Cuenta de trading"),"⚠ Usa una cuenta de trading",IF(AND(G387&lt;=0,P387&lt;&gt;"Ajuste",P387&lt;&gt;"Resultado trading"),"⚠ El monto debe ser positivo","✓")))))))))))))))</f>
        <v/>
      </c>
      <c r="P387" s="52">
        <f>IF(OR(B387="",G387=""),"",IF(C387="","Gasto",C387))</f>
        <v/>
      </c>
      <c r="Q387" s="52">
        <f>IF(P387="","",IF(J387&lt;&gt;"",J387,CuentaPred&amp;""))</f>
        <v/>
      </c>
      <c r="R387" s="52">
        <f>IF(P387="","",IF(ISNUMBER(I387),I387,TasaUSD))</f>
        <v/>
      </c>
      <c r="S387" s="53">
        <f>IF(P387="","",IF(H387="USD",G387*R387,G387))</f>
        <v/>
      </c>
      <c r="T387" s="53">
        <f>IF(P387="","",IF(H387="USD",G387,IF(R387&gt;0,G387/R387,0)))</f>
        <v/>
      </c>
      <c r="U387" s="53">
        <f>IF(P387="","",IF(P387="Gasto",S387,IF(P387="Reembolso",-S387,0)))</f>
        <v/>
      </c>
      <c r="V387" s="53">
        <f>IF(P387="","",IF(P387="Ingreso",S387,0))</f>
        <v/>
      </c>
      <c r="W387" s="53">
        <f>IF(P387="","",IF(P387="Resultado trading",S387,0))</f>
        <v/>
      </c>
      <c r="X387" s="52">
        <f>IF(OR(P387="Gasto",P387="Reembolso"),IF(M387&lt;&gt;"",M387,IFERROR(INDEX(catClasif,MATCH(D387&amp;"|"&amp;E387,catClave,0))&amp;"","Variable")),"")</f>
        <v/>
      </c>
      <c r="Y387" s="52">
        <f>IF(P387="","",IFERROR(INDEX(catGrupo,MATCH(D387&amp;"|"&amp;E387,catClave,0))&amp;"",""))</f>
        <v/>
      </c>
      <c r="Z387" s="52">
        <f>IF(P387="","",WEEKDAY(B387,2))</f>
        <v/>
      </c>
      <c r="AA387" s="52">
        <f>IF(P387="","",IF(AND(P387="Gasto",X387="Variable",D387&lt;&gt;catTrading,S387&gt;0,S387&lt;=Umbral),1,0))</f>
        <v/>
      </c>
      <c r="AB387" s="52">
        <f>IF(OR(P387="",Q387=""),"",IFERROR(IF(INDEX(ctaVinc,MATCH(Q387,ctaNombre,0))&amp;""&lt;&gt;"",INDEX(ctaVinc,MATCH(Q387,ctaNombre,0))&amp;"",Q387),Q387))</f>
        <v/>
      </c>
      <c r="AC387" s="52">
        <f>IF(OR(K387="",AND(P387&lt;&gt;"Transferencia",P387&lt;&gt;"Pago tarjeta")),"",IFERROR(IF(INDEX(ctaVinc,MATCH(K387,ctaNombre,0))&amp;""&lt;&gt;"",INDEX(ctaVinc,MATCH(K387,ctaNombre,0))&amp;"",K387),K387))</f>
        <v/>
      </c>
      <c r="AD387" s="52">
        <f>IF(AB387="","",IFERROR(INDEX(ctaTipo,MATCH(AB387,ctaNombre,0))&amp;"",""))</f>
        <v/>
      </c>
      <c r="AE387" s="52">
        <f>IF(AC387="","",IFERROR(INDEX(ctaTipo,MATCH(AC387,ctaNombre,0))&amp;"",""))</f>
        <v/>
      </c>
      <c r="AF387" s="53">
        <f>IF(OR(P387="",AB387=""),"",IF(OR(P387="Gasto",P387="Transferencia",P387="Pago tarjeta"),-1,1)*IF(IFERROR(INDEX(ctaMoneda,MATCH(AB387,ctaNombre,0))&amp;"","DOP")="USD",T387,S387))</f>
        <v/>
      </c>
      <c r="AG387" s="53">
        <f>IF(AC387="","",IF(IFERROR(INDEX(ctaMoneda,MATCH(AC387,ctaNombre,0))&amp;"","DOP")="USD",T387,S387))</f>
        <v/>
      </c>
      <c r="AH387" s="53">
        <f>IF(P387="","",IF(AND(AD387&lt;&gt;"",COUNTIFS(tcTipo,AD387,tcLiq,"Sí")&gt;0),IF(OR(P387="Gasto",P387="Transferencia",P387="Pago tarjeta"),-1,1)*S387,0)+IF(AND(AE387&lt;&gt;"",COUNTIFS(tcTipo,AE387,tcLiq,"Sí")&gt;0),S387,0))</f>
        <v/>
      </c>
      <c r="AI387" s="52">
        <f>IF(OR(L387="",P387=""),"",IF(COUNTIFS(L$6:L387,L387,P$6:P387,"?*")=1,MAX(AI$5:AI386)+1,""))</f>
        <v/>
      </c>
    </row>
    <row r="388">
      <c r="B388" s="47" t="n"/>
      <c r="C388" s="48" t="n"/>
      <c r="D388" s="48" t="n"/>
      <c r="E388" s="48" t="n"/>
      <c r="F388" s="48" t="n"/>
      <c r="G388" s="49" t="n"/>
      <c r="H388" s="48" t="n"/>
      <c r="I388" s="50" t="n"/>
      <c r="J388" s="48" t="n"/>
      <c r="K388" s="48" t="n"/>
      <c r="L388" s="48" t="n"/>
      <c r="M388" s="48" t="n"/>
      <c r="N388" s="48" t="n"/>
      <c r="O388" s="51">
        <f>IF(AND(B388="",G388="",C388="",D388="",J388=""),"",IF(B388="","⚠ Falta fecha",IF(G388="","⚠ Falta monto",IF(Q388="","⚠ Falta cuenta",IF(ISNA(MATCH(Q388,ctaNombre,0)),"⚠ Cuenta no registrada",IF(AND(OR(P388="Gasto",P388="Reembolso"),D388=""),"⚠ Falta categoría",IF(AND(D388&lt;&gt;"",E388&lt;&gt;"",ISNA(MATCH(D388&amp;"|"&amp;E388,catClave,0))),"⚠ Subcategoría no corresponde",IF(AND(OR(P388="Transferencia",P388="Pago tarjeta"),K388=""),"⚠ Falta cuenta destino",IF(AND(K388&lt;&gt;"",P388&lt;&gt;"Transferencia",P388&lt;&gt;"Pago tarjeta"),"⚠ Destino solo aplica a transferencias",IF(AND(K388&lt;&gt;"",K388=Q388),"⚠ Origen igual a destino",IF(AND(K388&lt;&gt;"",ISNA(MATCH(K388,ctaNombre,0))),"⚠ Destino no registrado",IF(AND(P388="Pago tarjeta",AE388&lt;&gt;"Tarjeta de crédito"),"⚠ El destino debe ser tarjeta de crédito",IF(AND(P388="Gasto",E388="Depósitos y retiros"),"⚠ Usa tipo Transferencia",IF(AND(P388="Resultado trading",AD388&lt;&gt;"Cuenta de trading"),"⚠ Usa una cuenta de trading",IF(AND(G388&lt;=0,P388&lt;&gt;"Ajuste",P388&lt;&gt;"Resultado trading"),"⚠ El monto debe ser positivo","✓")))))))))))))))</f>
        <v/>
      </c>
      <c r="P388" s="52">
        <f>IF(OR(B388="",G388=""),"",IF(C388="","Gasto",C388))</f>
        <v/>
      </c>
      <c r="Q388" s="52">
        <f>IF(P388="","",IF(J388&lt;&gt;"",J388,CuentaPred&amp;""))</f>
        <v/>
      </c>
      <c r="R388" s="52">
        <f>IF(P388="","",IF(ISNUMBER(I388),I388,TasaUSD))</f>
        <v/>
      </c>
      <c r="S388" s="53">
        <f>IF(P388="","",IF(H388="USD",G388*R388,G388))</f>
        <v/>
      </c>
      <c r="T388" s="53">
        <f>IF(P388="","",IF(H388="USD",G388,IF(R388&gt;0,G388/R388,0)))</f>
        <v/>
      </c>
      <c r="U388" s="53">
        <f>IF(P388="","",IF(P388="Gasto",S388,IF(P388="Reembolso",-S388,0)))</f>
        <v/>
      </c>
      <c r="V388" s="53">
        <f>IF(P388="","",IF(P388="Ingreso",S388,0))</f>
        <v/>
      </c>
      <c r="W388" s="53">
        <f>IF(P388="","",IF(P388="Resultado trading",S388,0))</f>
        <v/>
      </c>
      <c r="X388" s="52">
        <f>IF(OR(P388="Gasto",P388="Reembolso"),IF(M388&lt;&gt;"",M388,IFERROR(INDEX(catClasif,MATCH(D388&amp;"|"&amp;E388,catClave,0))&amp;"","Variable")),"")</f>
        <v/>
      </c>
      <c r="Y388" s="52">
        <f>IF(P388="","",IFERROR(INDEX(catGrupo,MATCH(D388&amp;"|"&amp;E388,catClave,0))&amp;"",""))</f>
        <v/>
      </c>
      <c r="Z388" s="52">
        <f>IF(P388="","",WEEKDAY(B388,2))</f>
        <v/>
      </c>
      <c r="AA388" s="52">
        <f>IF(P388="","",IF(AND(P388="Gasto",X388="Variable",D388&lt;&gt;catTrading,S388&gt;0,S388&lt;=Umbral),1,0))</f>
        <v/>
      </c>
      <c r="AB388" s="52">
        <f>IF(OR(P388="",Q388=""),"",IFERROR(IF(INDEX(ctaVinc,MATCH(Q388,ctaNombre,0))&amp;""&lt;&gt;"",INDEX(ctaVinc,MATCH(Q388,ctaNombre,0))&amp;"",Q388),Q388))</f>
        <v/>
      </c>
      <c r="AC388" s="52">
        <f>IF(OR(K388="",AND(P388&lt;&gt;"Transferencia",P388&lt;&gt;"Pago tarjeta")),"",IFERROR(IF(INDEX(ctaVinc,MATCH(K388,ctaNombre,0))&amp;""&lt;&gt;"",INDEX(ctaVinc,MATCH(K388,ctaNombre,0))&amp;"",K388),K388))</f>
        <v/>
      </c>
      <c r="AD388" s="52">
        <f>IF(AB388="","",IFERROR(INDEX(ctaTipo,MATCH(AB388,ctaNombre,0))&amp;"",""))</f>
        <v/>
      </c>
      <c r="AE388" s="52">
        <f>IF(AC388="","",IFERROR(INDEX(ctaTipo,MATCH(AC388,ctaNombre,0))&amp;"",""))</f>
        <v/>
      </c>
      <c r="AF388" s="53">
        <f>IF(OR(P388="",AB388=""),"",IF(OR(P388="Gasto",P388="Transferencia",P388="Pago tarjeta"),-1,1)*IF(IFERROR(INDEX(ctaMoneda,MATCH(AB388,ctaNombre,0))&amp;"","DOP")="USD",T388,S388))</f>
        <v/>
      </c>
      <c r="AG388" s="53">
        <f>IF(AC388="","",IF(IFERROR(INDEX(ctaMoneda,MATCH(AC388,ctaNombre,0))&amp;"","DOP")="USD",T388,S388))</f>
        <v/>
      </c>
      <c r="AH388" s="53">
        <f>IF(P388="","",IF(AND(AD388&lt;&gt;"",COUNTIFS(tcTipo,AD388,tcLiq,"Sí")&gt;0),IF(OR(P388="Gasto",P388="Transferencia",P388="Pago tarjeta"),-1,1)*S388,0)+IF(AND(AE388&lt;&gt;"",COUNTIFS(tcTipo,AE388,tcLiq,"Sí")&gt;0),S388,0))</f>
        <v/>
      </c>
      <c r="AI388" s="52">
        <f>IF(OR(L388="",P388=""),"",IF(COUNTIFS(L$6:L388,L388,P$6:P388,"?*")=1,MAX(AI$5:AI387)+1,""))</f>
        <v/>
      </c>
    </row>
    <row r="389">
      <c r="B389" s="47" t="n"/>
      <c r="C389" s="48" t="n"/>
      <c r="D389" s="48" t="n"/>
      <c r="E389" s="48" t="n"/>
      <c r="F389" s="48" t="n"/>
      <c r="G389" s="49" t="n"/>
      <c r="H389" s="48" t="n"/>
      <c r="I389" s="50" t="n"/>
      <c r="J389" s="48" t="n"/>
      <c r="K389" s="48" t="n"/>
      <c r="L389" s="48" t="n"/>
      <c r="M389" s="48" t="n"/>
      <c r="N389" s="48" t="n"/>
      <c r="O389" s="51">
        <f>IF(AND(B389="",G389="",C389="",D389="",J389=""),"",IF(B389="","⚠ Falta fecha",IF(G389="","⚠ Falta monto",IF(Q389="","⚠ Falta cuenta",IF(ISNA(MATCH(Q389,ctaNombre,0)),"⚠ Cuenta no registrada",IF(AND(OR(P389="Gasto",P389="Reembolso"),D389=""),"⚠ Falta categoría",IF(AND(D389&lt;&gt;"",E389&lt;&gt;"",ISNA(MATCH(D389&amp;"|"&amp;E389,catClave,0))),"⚠ Subcategoría no corresponde",IF(AND(OR(P389="Transferencia",P389="Pago tarjeta"),K389=""),"⚠ Falta cuenta destino",IF(AND(K389&lt;&gt;"",P389&lt;&gt;"Transferencia",P389&lt;&gt;"Pago tarjeta"),"⚠ Destino solo aplica a transferencias",IF(AND(K389&lt;&gt;"",K389=Q389),"⚠ Origen igual a destino",IF(AND(K389&lt;&gt;"",ISNA(MATCH(K389,ctaNombre,0))),"⚠ Destino no registrado",IF(AND(P389="Pago tarjeta",AE389&lt;&gt;"Tarjeta de crédito"),"⚠ El destino debe ser tarjeta de crédito",IF(AND(P389="Gasto",E389="Depósitos y retiros"),"⚠ Usa tipo Transferencia",IF(AND(P389="Resultado trading",AD389&lt;&gt;"Cuenta de trading"),"⚠ Usa una cuenta de trading",IF(AND(G389&lt;=0,P389&lt;&gt;"Ajuste",P389&lt;&gt;"Resultado trading"),"⚠ El monto debe ser positivo","✓")))))))))))))))</f>
        <v/>
      </c>
      <c r="P389" s="52">
        <f>IF(OR(B389="",G389=""),"",IF(C389="","Gasto",C389))</f>
        <v/>
      </c>
      <c r="Q389" s="52">
        <f>IF(P389="","",IF(J389&lt;&gt;"",J389,CuentaPred&amp;""))</f>
        <v/>
      </c>
      <c r="R389" s="52">
        <f>IF(P389="","",IF(ISNUMBER(I389),I389,TasaUSD))</f>
        <v/>
      </c>
      <c r="S389" s="53">
        <f>IF(P389="","",IF(H389="USD",G389*R389,G389))</f>
        <v/>
      </c>
      <c r="T389" s="53">
        <f>IF(P389="","",IF(H389="USD",G389,IF(R389&gt;0,G389/R389,0)))</f>
        <v/>
      </c>
      <c r="U389" s="53">
        <f>IF(P389="","",IF(P389="Gasto",S389,IF(P389="Reembolso",-S389,0)))</f>
        <v/>
      </c>
      <c r="V389" s="53">
        <f>IF(P389="","",IF(P389="Ingreso",S389,0))</f>
        <v/>
      </c>
      <c r="W389" s="53">
        <f>IF(P389="","",IF(P389="Resultado trading",S389,0))</f>
        <v/>
      </c>
      <c r="X389" s="52">
        <f>IF(OR(P389="Gasto",P389="Reembolso"),IF(M389&lt;&gt;"",M389,IFERROR(INDEX(catClasif,MATCH(D389&amp;"|"&amp;E389,catClave,0))&amp;"","Variable")),"")</f>
        <v/>
      </c>
      <c r="Y389" s="52">
        <f>IF(P389="","",IFERROR(INDEX(catGrupo,MATCH(D389&amp;"|"&amp;E389,catClave,0))&amp;"",""))</f>
        <v/>
      </c>
      <c r="Z389" s="52">
        <f>IF(P389="","",WEEKDAY(B389,2))</f>
        <v/>
      </c>
      <c r="AA389" s="52">
        <f>IF(P389="","",IF(AND(P389="Gasto",X389="Variable",D389&lt;&gt;catTrading,S389&gt;0,S389&lt;=Umbral),1,0))</f>
        <v/>
      </c>
      <c r="AB389" s="52">
        <f>IF(OR(P389="",Q389=""),"",IFERROR(IF(INDEX(ctaVinc,MATCH(Q389,ctaNombre,0))&amp;""&lt;&gt;"",INDEX(ctaVinc,MATCH(Q389,ctaNombre,0))&amp;"",Q389),Q389))</f>
        <v/>
      </c>
      <c r="AC389" s="52">
        <f>IF(OR(K389="",AND(P389&lt;&gt;"Transferencia",P389&lt;&gt;"Pago tarjeta")),"",IFERROR(IF(INDEX(ctaVinc,MATCH(K389,ctaNombre,0))&amp;""&lt;&gt;"",INDEX(ctaVinc,MATCH(K389,ctaNombre,0))&amp;"",K389),K389))</f>
        <v/>
      </c>
      <c r="AD389" s="52">
        <f>IF(AB389="","",IFERROR(INDEX(ctaTipo,MATCH(AB389,ctaNombre,0))&amp;"",""))</f>
        <v/>
      </c>
      <c r="AE389" s="52">
        <f>IF(AC389="","",IFERROR(INDEX(ctaTipo,MATCH(AC389,ctaNombre,0))&amp;"",""))</f>
        <v/>
      </c>
      <c r="AF389" s="53">
        <f>IF(OR(P389="",AB389=""),"",IF(OR(P389="Gasto",P389="Transferencia",P389="Pago tarjeta"),-1,1)*IF(IFERROR(INDEX(ctaMoneda,MATCH(AB389,ctaNombre,0))&amp;"","DOP")="USD",T389,S389))</f>
        <v/>
      </c>
      <c r="AG389" s="53">
        <f>IF(AC389="","",IF(IFERROR(INDEX(ctaMoneda,MATCH(AC389,ctaNombre,0))&amp;"","DOP")="USD",T389,S389))</f>
        <v/>
      </c>
      <c r="AH389" s="53">
        <f>IF(P389="","",IF(AND(AD389&lt;&gt;"",COUNTIFS(tcTipo,AD389,tcLiq,"Sí")&gt;0),IF(OR(P389="Gasto",P389="Transferencia",P389="Pago tarjeta"),-1,1)*S389,0)+IF(AND(AE389&lt;&gt;"",COUNTIFS(tcTipo,AE389,tcLiq,"Sí")&gt;0),S389,0))</f>
        <v/>
      </c>
      <c r="AI389" s="52">
        <f>IF(OR(L389="",P389=""),"",IF(COUNTIFS(L$6:L389,L389,P$6:P389,"?*")=1,MAX(AI$5:AI388)+1,""))</f>
        <v/>
      </c>
    </row>
    <row r="390">
      <c r="B390" s="47" t="n"/>
      <c r="C390" s="48" t="n"/>
      <c r="D390" s="48" t="n"/>
      <c r="E390" s="48" t="n"/>
      <c r="F390" s="48" t="n"/>
      <c r="G390" s="49" t="n"/>
      <c r="H390" s="48" t="n"/>
      <c r="I390" s="50" t="n"/>
      <c r="J390" s="48" t="n"/>
      <c r="K390" s="48" t="n"/>
      <c r="L390" s="48" t="n"/>
      <c r="M390" s="48" t="n"/>
      <c r="N390" s="48" t="n"/>
      <c r="O390" s="51">
        <f>IF(AND(B390="",G390="",C390="",D390="",J390=""),"",IF(B390="","⚠ Falta fecha",IF(G390="","⚠ Falta monto",IF(Q390="","⚠ Falta cuenta",IF(ISNA(MATCH(Q390,ctaNombre,0)),"⚠ Cuenta no registrada",IF(AND(OR(P390="Gasto",P390="Reembolso"),D390=""),"⚠ Falta categoría",IF(AND(D390&lt;&gt;"",E390&lt;&gt;"",ISNA(MATCH(D390&amp;"|"&amp;E390,catClave,0))),"⚠ Subcategoría no corresponde",IF(AND(OR(P390="Transferencia",P390="Pago tarjeta"),K390=""),"⚠ Falta cuenta destino",IF(AND(K390&lt;&gt;"",P390&lt;&gt;"Transferencia",P390&lt;&gt;"Pago tarjeta"),"⚠ Destino solo aplica a transferencias",IF(AND(K390&lt;&gt;"",K390=Q390),"⚠ Origen igual a destino",IF(AND(K390&lt;&gt;"",ISNA(MATCH(K390,ctaNombre,0))),"⚠ Destino no registrado",IF(AND(P390="Pago tarjeta",AE390&lt;&gt;"Tarjeta de crédito"),"⚠ El destino debe ser tarjeta de crédito",IF(AND(P390="Gasto",E390="Depósitos y retiros"),"⚠ Usa tipo Transferencia",IF(AND(P390="Resultado trading",AD390&lt;&gt;"Cuenta de trading"),"⚠ Usa una cuenta de trading",IF(AND(G390&lt;=0,P390&lt;&gt;"Ajuste",P390&lt;&gt;"Resultado trading"),"⚠ El monto debe ser positivo","✓")))))))))))))))</f>
        <v/>
      </c>
      <c r="P390" s="52">
        <f>IF(OR(B390="",G390=""),"",IF(C390="","Gasto",C390))</f>
        <v/>
      </c>
      <c r="Q390" s="52">
        <f>IF(P390="","",IF(J390&lt;&gt;"",J390,CuentaPred&amp;""))</f>
        <v/>
      </c>
      <c r="R390" s="52">
        <f>IF(P390="","",IF(ISNUMBER(I390),I390,TasaUSD))</f>
        <v/>
      </c>
      <c r="S390" s="53">
        <f>IF(P390="","",IF(H390="USD",G390*R390,G390))</f>
        <v/>
      </c>
      <c r="T390" s="53">
        <f>IF(P390="","",IF(H390="USD",G390,IF(R390&gt;0,G390/R390,0)))</f>
        <v/>
      </c>
      <c r="U390" s="53">
        <f>IF(P390="","",IF(P390="Gasto",S390,IF(P390="Reembolso",-S390,0)))</f>
        <v/>
      </c>
      <c r="V390" s="53">
        <f>IF(P390="","",IF(P390="Ingreso",S390,0))</f>
        <v/>
      </c>
      <c r="W390" s="53">
        <f>IF(P390="","",IF(P390="Resultado trading",S390,0))</f>
        <v/>
      </c>
      <c r="X390" s="52">
        <f>IF(OR(P390="Gasto",P390="Reembolso"),IF(M390&lt;&gt;"",M390,IFERROR(INDEX(catClasif,MATCH(D390&amp;"|"&amp;E390,catClave,0))&amp;"","Variable")),"")</f>
        <v/>
      </c>
      <c r="Y390" s="52">
        <f>IF(P390="","",IFERROR(INDEX(catGrupo,MATCH(D390&amp;"|"&amp;E390,catClave,0))&amp;"",""))</f>
        <v/>
      </c>
      <c r="Z390" s="52">
        <f>IF(P390="","",WEEKDAY(B390,2))</f>
        <v/>
      </c>
      <c r="AA390" s="52">
        <f>IF(P390="","",IF(AND(P390="Gasto",X390="Variable",D390&lt;&gt;catTrading,S390&gt;0,S390&lt;=Umbral),1,0))</f>
        <v/>
      </c>
      <c r="AB390" s="52">
        <f>IF(OR(P390="",Q390=""),"",IFERROR(IF(INDEX(ctaVinc,MATCH(Q390,ctaNombre,0))&amp;""&lt;&gt;"",INDEX(ctaVinc,MATCH(Q390,ctaNombre,0))&amp;"",Q390),Q390))</f>
        <v/>
      </c>
      <c r="AC390" s="52">
        <f>IF(OR(K390="",AND(P390&lt;&gt;"Transferencia",P390&lt;&gt;"Pago tarjeta")),"",IFERROR(IF(INDEX(ctaVinc,MATCH(K390,ctaNombre,0))&amp;""&lt;&gt;"",INDEX(ctaVinc,MATCH(K390,ctaNombre,0))&amp;"",K390),K390))</f>
        <v/>
      </c>
      <c r="AD390" s="52">
        <f>IF(AB390="","",IFERROR(INDEX(ctaTipo,MATCH(AB390,ctaNombre,0))&amp;"",""))</f>
        <v/>
      </c>
      <c r="AE390" s="52">
        <f>IF(AC390="","",IFERROR(INDEX(ctaTipo,MATCH(AC390,ctaNombre,0))&amp;"",""))</f>
        <v/>
      </c>
      <c r="AF390" s="53">
        <f>IF(OR(P390="",AB390=""),"",IF(OR(P390="Gasto",P390="Transferencia",P390="Pago tarjeta"),-1,1)*IF(IFERROR(INDEX(ctaMoneda,MATCH(AB390,ctaNombre,0))&amp;"","DOP")="USD",T390,S390))</f>
        <v/>
      </c>
      <c r="AG390" s="53">
        <f>IF(AC390="","",IF(IFERROR(INDEX(ctaMoneda,MATCH(AC390,ctaNombre,0))&amp;"","DOP")="USD",T390,S390))</f>
        <v/>
      </c>
      <c r="AH390" s="53">
        <f>IF(P390="","",IF(AND(AD390&lt;&gt;"",COUNTIFS(tcTipo,AD390,tcLiq,"Sí")&gt;0),IF(OR(P390="Gasto",P390="Transferencia",P390="Pago tarjeta"),-1,1)*S390,0)+IF(AND(AE390&lt;&gt;"",COUNTIFS(tcTipo,AE390,tcLiq,"Sí")&gt;0),S390,0))</f>
        <v/>
      </c>
      <c r="AI390" s="52">
        <f>IF(OR(L390="",P390=""),"",IF(COUNTIFS(L$6:L390,L390,P$6:P390,"?*")=1,MAX(AI$5:AI389)+1,""))</f>
        <v/>
      </c>
    </row>
    <row r="391">
      <c r="B391" s="47" t="n"/>
      <c r="C391" s="48" t="n"/>
      <c r="D391" s="48" t="n"/>
      <c r="E391" s="48" t="n"/>
      <c r="F391" s="48" t="n"/>
      <c r="G391" s="49" t="n"/>
      <c r="H391" s="48" t="n"/>
      <c r="I391" s="50" t="n"/>
      <c r="J391" s="48" t="n"/>
      <c r="K391" s="48" t="n"/>
      <c r="L391" s="48" t="n"/>
      <c r="M391" s="48" t="n"/>
      <c r="N391" s="48" t="n"/>
      <c r="O391" s="51">
        <f>IF(AND(B391="",G391="",C391="",D391="",J391=""),"",IF(B391="","⚠ Falta fecha",IF(G391="","⚠ Falta monto",IF(Q391="","⚠ Falta cuenta",IF(ISNA(MATCH(Q391,ctaNombre,0)),"⚠ Cuenta no registrada",IF(AND(OR(P391="Gasto",P391="Reembolso"),D391=""),"⚠ Falta categoría",IF(AND(D391&lt;&gt;"",E391&lt;&gt;"",ISNA(MATCH(D391&amp;"|"&amp;E391,catClave,0))),"⚠ Subcategoría no corresponde",IF(AND(OR(P391="Transferencia",P391="Pago tarjeta"),K391=""),"⚠ Falta cuenta destino",IF(AND(K391&lt;&gt;"",P391&lt;&gt;"Transferencia",P391&lt;&gt;"Pago tarjeta"),"⚠ Destino solo aplica a transferencias",IF(AND(K391&lt;&gt;"",K391=Q391),"⚠ Origen igual a destino",IF(AND(K391&lt;&gt;"",ISNA(MATCH(K391,ctaNombre,0))),"⚠ Destino no registrado",IF(AND(P391="Pago tarjeta",AE391&lt;&gt;"Tarjeta de crédito"),"⚠ El destino debe ser tarjeta de crédito",IF(AND(P391="Gasto",E391="Depósitos y retiros"),"⚠ Usa tipo Transferencia",IF(AND(P391="Resultado trading",AD391&lt;&gt;"Cuenta de trading"),"⚠ Usa una cuenta de trading",IF(AND(G391&lt;=0,P391&lt;&gt;"Ajuste",P391&lt;&gt;"Resultado trading"),"⚠ El monto debe ser positivo","✓")))))))))))))))</f>
        <v/>
      </c>
      <c r="P391" s="52">
        <f>IF(OR(B391="",G391=""),"",IF(C391="","Gasto",C391))</f>
        <v/>
      </c>
      <c r="Q391" s="52">
        <f>IF(P391="","",IF(J391&lt;&gt;"",J391,CuentaPred&amp;""))</f>
        <v/>
      </c>
      <c r="R391" s="52">
        <f>IF(P391="","",IF(ISNUMBER(I391),I391,TasaUSD))</f>
        <v/>
      </c>
      <c r="S391" s="53">
        <f>IF(P391="","",IF(H391="USD",G391*R391,G391))</f>
        <v/>
      </c>
      <c r="T391" s="53">
        <f>IF(P391="","",IF(H391="USD",G391,IF(R391&gt;0,G391/R391,0)))</f>
        <v/>
      </c>
      <c r="U391" s="53">
        <f>IF(P391="","",IF(P391="Gasto",S391,IF(P391="Reembolso",-S391,0)))</f>
        <v/>
      </c>
      <c r="V391" s="53">
        <f>IF(P391="","",IF(P391="Ingreso",S391,0))</f>
        <v/>
      </c>
      <c r="W391" s="53">
        <f>IF(P391="","",IF(P391="Resultado trading",S391,0))</f>
        <v/>
      </c>
      <c r="X391" s="52">
        <f>IF(OR(P391="Gasto",P391="Reembolso"),IF(M391&lt;&gt;"",M391,IFERROR(INDEX(catClasif,MATCH(D391&amp;"|"&amp;E391,catClave,0))&amp;"","Variable")),"")</f>
        <v/>
      </c>
      <c r="Y391" s="52">
        <f>IF(P391="","",IFERROR(INDEX(catGrupo,MATCH(D391&amp;"|"&amp;E391,catClave,0))&amp;"",""))</f>
        <v/>
      </c>
      <c r="Z391" s="52">
        <f>IF(P391="","",WEEKDAY(B391,2))</f>
        <v/>
      </c>
      <c r="AA391" s="52">
        <f>IF(P391="","",IF(AND(P391="Gasto",X391="Variable",D391&lt;&gt;catTrading,S391&gt;0,S391&lt;=Umbral),1,0))</f>
        <v/>
      </c>
      <c r="AB391" s="52">
        <f>IF(OR(P391="",Q391=""),"",IFERROR(IF(INDEX(ctaVinc,MATCH(Q391,ctaNombre,0))&amp;""&lt;&gt;"",INDEX(ctaVinc,MATCH(Q391,ctaNombre,0))&amp;"",Q391),Q391))</f>
        <v/>
      </c>
      <c r="AC391" s="52">
        <f>IF(OR(K391="",AND(P391&lt;&gt;"Transferencia",P391&lt;&gt;"Pago tarjeta")),"",IFERROR(IF(INDEX(ctaVinc,MATCH(K391,ctaNombre,0))&amp;""&lt;&gt;"",INDEX(ctaVinc,MATCH(K391,ctaNombre,0))&amp;"",K391),K391))</f>
        <v/>
      </c>
      <c r="AD391" s="52">
        <f>IF(AB391="","",IFERROR(INDEX(ctaTipo,MATCH(AB391,ctaNombre,0))&amp;"",""))</f>
        <v/>
      </c>
      <c r="AE391" s="52">
        <f>IF(AC391="","",IFERROR(INDEX(ctaTipo,MATCH(AC391,ctaNombre,0))&amp;"",""))</f>
        <v/>
      </c>
      <c r="AF391" s="53">
        <f>IF(OR(P391="",AB391=""),"",IF(OR(P391="Gasto",P391="Transferencia",P391="Pago tarjeta"),-1,1)*IF(IFERROR(INDEX(ctaMoneda,MATCH(AB391,ctaNombre,0))&amp;"","DOP")="USD",T391,S391))</f>
        <v/>
      </c>
      <c r="AG391" s="53">
        <f>IF(AC391="","",IF(IFERROR(INDEX(ctaMoneda,MATCH(AC391,ctaNombre,0))&amp;"","DOP")="USD",T391,S391))</f>
        <v/>
      </c>
      <c r="AH391" s="53">
        <f>IF(P391="","",IF(AND(AD391&lt;&gt;"",COUNTIFS(tcTipo,AD391,tcLiq,"Sí")&gt;0),IF(OR(P391="Gasto",P391="Transferencia",P391="Pago tarjeta"),-1,1)*S391,0)+IF(AND(AE391&lt;&gt;"",COUNTIFS(tcTipo,AE391,tcLiq,"Sí")&gt;0),S391,0))</f>
        <v/>
      </c>
      <c r="AI391" s="52">
        <f>IF(OR(L391="",P391=""),"",IF(COUNTIFS(L$6:L391,L391,P$6:P391,"?*")=1,MAX(AI$5:AI390)+1,""))</f>
        <v/>
      </c>
    </row>
    <row r="392">
      <c r="B392" s="47" t="n"/>
      <c r="C392" s="48" t="n"/>
      <c r="D392" s="48" t="n"/>
      <c r="E392" s="48" t="n"/>
      <c r="F392" s="48" t="n"/>
      <c r="G392" s="49" t="n"/>
      <c r="H392" s="48" t="n"/>
      <c r="I392" s="50" t="n"/>
      <c r="J392" s="48" t="n"/>
      <c r="K392" s="48" t="n"/>
      <c r="L392" s="48" t="n"/>
      <c r="M392" s="48" t="n"/>
      <c r="N392" s="48" t="n"/>
      <c r="O392" s="51">
        <f>IF(AND(B392="",G392="",C392="",D392="",J392=""),"",IF(B392="","⚠ Falta fecha",IF(G392="","⚠ Falta monto",IF(Q392="","⚠ Falta cuenta",IF(ISNA(MATCH(Q392,ctaNombre,0)),"⚠ Cuenta no registrada",IF(AND(OR(P392="Gasto",P392="Reembolso"),D392=""),"⚠ Falta categoría",IF(AND(D392&lt;&gt;"",E392&lt;&gt;"",ISNA(MATCH(D392&amp;"|"&amp;E392,catClave,0))),"⚠ Subcategoría no corresponde",IF(AND(OR(P392="Transferencia",P392="Pago tarjeta"),K392=""),"⚠ Falta cuenta destino",IF(AND(K392&lt;&gt;"",P392&lt;&gt;"Transferencia",P392&lt;&gt;"Pago tarjeta"),"⚠ Destino solo aplica a transferencias",IF(AND(K392&lt;&gt;"",K392=Q392),"⚠ Origen igual a destino",IF(AND(K392&lt;&gt;"",ISNA(MATCH(K392,ctaNombre,0))),"⚠ Destino no registrado",IF(AND(P392="Pago tarjeta",AE392&lt;&gt;"Tarjeta de crédito"),"⚠ El destino debe ser tarjeta de crédito",IF(AND(P392="Gasto",E392="Depósitos y retiros"),"⚠ Usa tipo Transferencia",IF(AND(P392="Resultado trading",AD392&lt;&gt;"Cuenta de trading"),"⚠ Usa una cuenta de trading",IF(AND(G392&lt;=0,P392&lt;&gt;"Ajuste",P392&lt;&gt;"Resultado trading"),"⚠ El monto debe ser positivo","✓")))))))))))))))</f>
        <v/>
      </c>
      <c r="P392" s="52">
        <f>IF(OR(B392="",G392=""),"",IF(C392="","Gasto",C392))</f>
        <v/>
      </c>
      <c r="Q392" s="52">
        <f>IF(P392="","",IF(J392&lt;&gt;"",J392,CuentaPred&amp;""))</f>
        <v/>
      </c>
      <c r="R392" s="52">
        <f>IF(P392="","",IF(ISNUMBER(I392),I392,TasaUSD))</f>
        <v/>
      </c>
      <c r="S392" s="53">
        <f>IF(P392="","",IF(H392="USD",G392*R392,G392))</f>
        <v/>
      </c>
      <c r="T392" s="53">
        <f>IF(P392="","",IF(H392="USD",G392,IF(R392&gt;0,G392/R392,0)))</f>
        <v/>
      </c>
      <c r="U392" s="53">
        <f>IF(P392="","",IF(P392="Gasto",S392,IF(P392="Reembolso",-S392,0)))</f>
        <v/>
      </c>
      <c r="V392" s="53">
        <f>IF(P392="","",IF(P392="Ingreso",S392,0))</f>
        <v/>
      </c>
      <c r="W392" s="53">
        <f>IF(P392="","",IF(P392="Resultado trading",S392,0))</f>
        <v/>
      </c>
      <c r="X392" s="52">
        <f>IF(OR(P392="Gasto",P392="Reembolso"),IF(M392&lt;&gt;"",M392,IFERROR(INDEX(catClasif,MATCH(D392&amp;"|"&amp;E392,catClave,0))&amp;"","Variable")),"")</f>
        <v/>
      </c>
      <c r="Y392" s="52">
        <f>IF(P392="","",IFERROR(INDEX(catGrupo,MATCH(D392&amp;"|"&amp;E392,catClave,0))&amp;"",""))</f>
        <v/>
      </c>
      <c r="Z392" s="52">
        <f>IF(P392="","",WEEKDAY(B392,2))</f>
        <v/>
      </c>
      <c r="AA392" s="52">
        <f>IF(P392="","",IF(AND(P392="Gasto",X392="Variable",D392&lt;&gt;catTrading,S392&gt;0,S392&lt;=Umbral),1,0))</f>
        <v/>
      </c>
      <c r="AB392" s="52">
        <f>IF(OR(P392="",Q392=""),"",IFERROR(IF(INDEX(ctaVinc,MATCH(Q392,ctaNombre,0))&amp;""&lt;&gt;"",INDEX(ctaVinc,MATCH(Q392,ctaNombre,0))&amp;"",Q392),Q392))</f>
        <v/>
      </c>
      <c r="AC392" s="52">
        <f>IF(OR(K392="",AND(P392&lt;&gt;"Transferencia",P392&lt;&gt;"Pago tarjeta")),"",IFERROR(IF(INDEX(ctaVinc,MATCH(K392,ctaNombre,0))&amp;""&lt;&gt;"",INDEX(ctaVinc,MATCH(K392,ctaNombre,0))&amp;"",K392),K392))</f>
        <v/>
      </c>
      <c r="AD392" s="52">
        <f>IF(AB392="","",IFERROR(INDEX(ctaTipo,MATCH(AB392,ctaNombre,0))&amp;"",""))</f>
        <v/>
      </c>
      <c r="AE392" s="52">
        <f>IF(AC392="","",IFERROR(INDEX(ctaTipo,MATCH(AC392,ctaNombre,0))&amp;"",""))</f>
        <v/>
      </c>
      <c r="AF392" s="53">
        <f>IF(OR(P392="",AB392=""),"",IF(OR(P392="Gasto",P392="Transferencia",P392="Pago tarjeta"),-1,1)*IF(IFERROR(INDEX(ctaMoneda,MATCH(AB392,ctaNombre,0))&amp;"","DOP")="USD",T392,S392))</f>
        <v/>
      </c>
      <c r="AG392" s="53">
        <f>IF(AC392="","",IF(IFERROR(INDEX(ctaMoneda,MATCH(AC392,ctaNombre,0))&amp;"","DOP")="USD",T392,S392))</f>
        <v/>
      </c>
      <c r="AH392" s="53">
        <f>IF(P392="","",IF(AND(AD392&lt;&gt;"",COUNTIFS(tcTipo,AD392,tcLiq,"Sí")&gt;0),IF(OR(P392="Gasto",P392="Transferencia",P392="Pago tarjeta"),-1,1)*S392,0)+IF(AND(AE392&lt;&gt;"",COUNTIFS(tcTipo,AE392,tcLiq,"Sí")&gt;0),S392,0))</f>
        <v/>
      </c>
      <c r="AI392" s="52">
        <f>IF(OR(L392="",P392=""),"",IF(COUNTIFS(L$6:L392,L392,P$6:P392,"?*")=1,MAX(AI$5:AI391)+1,""))</f>
        <v/>
      </c>
    </row>
    <row r="393">
      <c r="B393" s="47" t="n"/>
      <c r="C393" s="48" t="n"/>
      <c r="D393" s="48" t="n"/>
      <c r="E393" s="48" t="n"/>
      <c r="F393" s="48" t="n"/>
      <c r="G393" s="49" t="n"/>
      <c r="H393" s="48" t="n"/>
      <c r="I393" s="50" t="n"/>
      <c r="J393" s="48" t="n"/>
      <c r="K393" s="48" t="n"/>
      <c r="L393" s="48" t="n"/>
      <c r="M393" s="48" t="n"/>
      <c r="N393" s="48" t="n"/>
      <c r="O393" s="51">
        <f>IF(AND(B393="",G393="",C393="",D393="",J393=""),"",IF(B393="","⚠ Falta fecha",IF(G393="","⚠ Falta monto",IF(Q393="","⚠ Falta cuenta",IF(ISNA(MATCH(Q393,ctaNombre,0)),"⚠ Cuenta no registrada",IF(AND(OR(P393="Gasto",P393="Reembolso"),D393=""),"⚠ Falta categoría",IF(AND(D393&lt;&gt;"",E393&lt;&gt;"",ISNA(MATCH(D393&amp;"|"&amp;E393,catClave,0))),"⚠ Subcategoría no corresponde",IF(AND(OR(P393="Transferencia",P393="Pago tarjeta"),K393=""),"⚠ Falta cuenta destino",IF(AND(K393&lt;&gt;"",P393&lt;&gt;"Transferencia",P393&lt;&gt;"Pago tarjeta"),"⚠ Destino solo aplica a transferencias",IF(AND(K393&lt;&gt;"",K393=Q393),"⚠ Origen igual a destino",IF(AND(K393&lt;&gt;"",ISNA(MATCH(K393,ctaNombre,0))),"⚠ Destino no registrado",IF(AND(P393="Pago tarjeta",AE393&lt;&gt;"Tarjeta de crédito"),"⚠ El destino debe ser tarjeta de crédito",IF(AND(P393="Gasto",E393="Depósitos y retiros"),"⚠ Usa tipo Transferencia",IF(AND(P393="Resultado trading",AD393&lt;&gt;"Cuenta de trading"),"⚠ Usa una cuenta de trading",IF(AND(G393&lt;=0,P393&lt;&gt;"Ajuste",P393&lt;&gt;"Resultado trading"),"⚠ El monto debe ser positivo","✓")))))))))))))))</f>
        <v/>
      </c>
      <c r="P393" s="52">
        <f>IF(OR(B393="",G393=""),"",IF(C393="","Gasto",C393))</f>
        <v/>
      </c>
      <c r="Q393" s="52">
        <f>IF(P393="","",IF(J393&lt;&gt;"",J393,CuentaPred&amp;""))</f>
        <v/>
      </c>
      <c r="R393" s="52">
        <f>IF(P393="","",IF(ISNUMBER(I393),I393,TasaUSD))</f>
        <v/>
      </c>
      <c r="S393" s="53">
        <f>IF(P393="","",IF(H393="USD",G393*R393,G393))</f>
        <v/>
      </c>
      <c r="T393" s="53">
        <f>IF(P393="","",IF(H393="USD",G393,IF(R393&gt;0,G393/R393,0)))</f>
        <v/>
      </c>
      <c r="U393" s="53">
        <f>IF(P393="","",IF(P393="Gasto",S393,IF(P393="Reembolso",-S393,0)))</f>
        <v/>
      </c>
      <c r="V393" s="53">
        <f>IF(P393="","",IF(P393="Ingreso",S393,0))</f>
        <v/>
      </c>
      <c r="W393" s="53">
        <f>IF(P393="","",IF(P393="Resultado trading",S393,0))</f>
        <v/>
      </c>
      <c r="X393" s="52">
        <f>IF(OR(P393="Gasto",P393="Reembolso"),IF(M393&lt;&gt;"",M393,IFERROR(INDEX(catClasif,MATCH(D393&amp;"|"&amp;E393,catClave,0))&amp;"","Variable")),"")</f>
        <v/>
      </c>
      <c r="Y393" s="52">
        <f>IF(P393="","",IFERROR(INDEX(catGrupo,MATCH(D393&amp;"|"&amp;E393,catClave,0))&amp;"",""))</f>
        <v/>
      </c>
      <c r="Z393" s="52">
        <f>IF(P393="","",WEEKDAY(B393,2))</f>
        <v/>
      </c>
      <c r="AA393" s="52">
        <f>IF(P393="","",IF(AND(P393="Gasto",X393="Variable",D393&lt;&gt;catTrading,S393&gt;0,S393&lt;=Umbral),1,0))</f>
        <v/>
      </c>
      <c r="AB393" s="52">
        <f>IF(OR(P393="",Q393=""),"",IFERROR(IF(INDEX(ctaVinc,MATCH(Q393,ctaNombre,0))&amp;""&lt;&gt;"",INDEX(ctaVinc,MATCH(Q393,ctaNombre,0))&amp;"",Q393),Q393))</f>
        <v/>
      </c>
      <c r="AC393" s="52">
        <f>IF(OR(K393="",AND(P393&lt;&gt;"Transferencia",P393&lt;&gt;"Pago tarjeta")),"",IFERROR(IF(INDEX(ctaVinc,MATCH(K393,ctaNombre,0))&amp;""&lt;&gt;"",INDEX(ctaVinc,MATCH(K393,ctaNombre,0))&amp;"",K393),K393))</f>
        <v/>
      </c>
      <c r="AD393" s="52">
        <f>IF(AB393="","",IFERROR(INDEX(ctaTipo,MATCH(AB393,ctaNombre,0))&amp;"",""))</f>
        <v/>
      </c>
      <c r="AE393" s="52">
        <f>IF(AC393="","",IFERROR(INDEX(ctaTipo,MATCH(AC393,ctaNombre,0))&amp;"",""))</f>
        <v/>
      </c>
      <c r="AF393" s="53">
        <f>IF(OR(P393="",AB393=""),"",IF(OR(P393="Gasto",P393="Transferencia",P393="Pago tarjeta"),-1,1)*IF(IFERROR(INDEX(ctaMoneda,MATCH(AB393,ctaNombre,0))&amp;"","DOP")="USD",T393,S393))</f>
        <v/>
      </c>
      <c r="AG393" s="53">
        <f>IF(AC393="","",IF(IFERROR(INDEX(ctaMoneda,MATCH(AC393,ctaNombre,0))&amp;"","DOP")="USD",T393,S393))</f>
        <v/>
      </c>
      <c r="AH393" s="53">
        <f>IF(P393="","",IF(AND(AD393&lt;&gt;"",COUNTIFS(tcTipo,AD393,tcLiq,"Sí")&gt;0),IF(OR(P393="Gasto",P393="Transferencia",P393="Pago tarjeta"),-1,1)*S393,0)+IF(AND(AE393&lt;&gt;"",COUNTIFS(tcTipo,AE393,tcLiq,"Sí")&gt;0),S393,0))</f>
        <v/>
      </c>
      <c r="AI393" s="52">
        <f>IF(OR(L393="",P393=""),"",IF(COUNTIFS(L$6:L393,L393,P$6:P393,"?*")=1,MAX(AI$5:AI392)+1,""))</f>
        <v/>
      </c>
    </row>
    <row r="394">
      <c r="B394" s="47" t="n"/>
      <c r="C394" s="48" t="n"/>
      <c r="D394" s="48" t="n"/>
      <c r="E394" s="48" t="n"/>
      <c r="F394" s="48" t="n"/>
      <c r="G394" s="49" t="n"/>
      <c r="H394" s="48" t="n"/>
      <c r="I394" s="50" t="n"/>
      <c r="J394" s="48" t="n"/>
      <c r="K394" s="48" t="n"/>
      <c r="L394" s="48" t="n"/>
      <c r="M394" s="48" t="n"/>
      <c r="N394" s="48" t="n"/>
      <c r="O394" s="51">
        <f>IF(AND(B394="",G394="",C394="",D394="",J394=""),"",IF(B394="","⚠ Falta fecha",IF(G394="","⚠ Falta monto",IF(Q394="","⚠ Falta cuenta",IF(ISNA(MATCH(Q394,ctaNombre,0)),"⚠ Cuenta no registrada",IF(AND(OR(P394="Gasto",P394="Reembolso"),D394=""),"⚠ Falta categoría",IF(AND(D394&lt;&gt;"",E394&lt;&gt;"",ISNA(MATCH(D394&amp;"|"&amp;E394,catClave,0))),"⚠ Subcategoría no corresponde",IF(AND(OR(P394="Transferencia",P394="Pago tarjeta"),K394=""),"⚠ Falta cuenta destino",IF(AND(K394&lt;&gt;"",P394&lt;&gt;"Transferencia",P394&lt;&gt;"Pago tarjeta"),"⚠ Destino solo aplica a transferencias",IF(AND(K394&lt;&gt;"",K394=Q394),"⚠ Origen igual a destino",IF(AND(K394&lt;&gt;"",ISNA(MATCH(K394,ctaNombre,0))),"⚠ Destino no registrado",IF(AND(P394="Pago tarjeta",AE394&lt;&gt;"Tarjeta de crédito"),"⚠ El destino debe ser tarjeta de crédito",IF(AND(P394="Gasto",E394="Depósitos y retiros"),"⚠ Usa tipo Transferencia",IF(AND(P394="Resultado trading",AD394&lt;&gt;"Cuenta de trading"),"⚠ Usa una cuenta de trading",IF(AND(G394&lt;=0,P394&lt;&gt;"Ajuste",P394&lt;&gt;"Resultado trading"),"⚠ El monto debe ser positivo","✓")))))))))))))))</f>
        <v/>
      </c>
      <c r="P394" s="52">
        <f>IF(OR(B394="",G394=""),"",IF(C394="","Gasto",C394))</f>
        <v/>
      </c>
      <c r="Q394" s="52">
        <f>IF(P394="","",IF(J394&lt;&gt;"",J394,CuentaPred&amp;""))</f>
        <v/>
      </c>
      <c r="R394" s="52">
        <f>IF(P394="","",IF(ISNUMBER(I394),I394,TasaUSD))</f>
        <v/>
      </c>
      <c r="S394" s="53">
        <f>IF(P394="","",IF(H394="USD",G394*R394,G394))</f>
        <v/>
      </c>
      <c r="T394" s="53">
        <f>IF(P394="","",IF(H394="USD",G394,IF(R394&gt;0,G394/R394,0)))</f>
        <v/>
      </c>
      <c r="U394" s="53">
        <f>IF(P394="","",IF(P394="Gasto",S394,IF(P394="Reembolso",-S394,0)))</f>
        <v/>
      </c>
      <c r="V394" s="53">
        <f>IF(P394="","",IF(P394="Ingreso",S394,0))</f>
        <v/>
      </c>
      <c r="W394" s="53">
        <f>IF(P394="","",IF(P394="Resultado trading",S394,0))</f>
        <v/>
      </c>
      <c r="X394" s="52">
        <f>IF(OR(P394="Gasto",P394="Reembolso"),IF(M394&lt;&gt;"",M394,IFERROR(INDEX(catClasif,MATCH(D394&amp;"|"&amp;E394,catClave,0))&amp;"","Variable")),"")</f>
        <v/>
      </c>
      <c r="Y394" s="52">
        <f>IF(P394="","",IFERROR(INDEX(catGrupo,MATCH(D394&amp;"|"&amp;E394,catClave,0))&amp;"",""))</f>
        <v/>
      </c>
      <c r="Z394" s="52">
        <f>IF(P394="","",WEEKDAY(B394,2))</f>
        <v/>
      </c>
      <c r="AA394" s="52">
        <f>IF(P394="","",IF(AND(P394="Gasto",X394="Variable",D394&lt;&gt;catTrading,S394&gt;0,S394&lt;=Umbral),1,0))</f>
        <v/>
      </c>
      <c r="AB394" s="52">
        <f>IF(OR(P394="",Q394=""),"",IFERROR(IF(INDEX(ctaVinc,MATCH(Q394,ctaNombre,0))&amp;""&lt;&gt;"",INDEX(ctaVinc,MATCH(Q394,ctaNombre,0))&amp;"",Q394),Q394))</f>
        <v/>
      </c>
      <c r="AC394" s="52">
        <f>IF(OR(K394="",AND(P394&lt;&gt;"Transferencia",P394&lt;&gt;"Pago tarjeta")),"",IFERROR(IF(INDEX(ctaVinc,MATCH(K394,ctaNombre,0))&amp;""&lt;&gt;"",INDEX(ctaVinc,MATCH(K394,ctaNombre,0))&amp;"",K394),K394))</f>
        <v/>
      </c>
      <c r="AD394" s="52">
        <f>IF(AB394="","",IFERROR(INDEX(ctaTipo,MATCH(AB394,ctaNombre,0))&amp;"",""))</f>
        <v/>
      </c>
      <c r="AE394" s="52">
        <f>IF(AC394="","",IFERROR(INDEX(ctaTipo,MATCH(AC394,ctaNombre,0))&amp;"",""))</f>
        <v/>
      </c>
      <c r="AF394" s="53">
        <f>IF(OR(P394="",AB394=""),"",IF(OR(P394="Gasto",P394="Transferencia",P394="Pago tarjeta"),-1,1)*IF(IFERROR(INDEX(ctaMoneda,MATCH(AB394,ctaNombre,0))&amp;"","DOP")="USD",T394,S394))</f>
        <v/>
      </c>
      <c r="AG394" s="53">
        <f>IF(AC394="","",IF(IFERROR(INDEX(ctaMoneda,MATCH(AC394,ctaNombre,0))&amp;"","DOP")="USD",T394,S394))</f>
        <v/>
      </c>
      <c r="AH394" s="53">
        <f>IF(P394="","",IF(AND(AD394&lt;&gt;"",COUNTIFS(tcTipo,AD394,tcLiq,"Sí")&gt;0),IF(OR(P394="Gasto",P394="Transferencia",P394="Pago tarjeta"),-1,1)*S394,0)+IF(AND(AE394&lt;&gt;"",COUNTIFS(tcTipo,AE394,tcLiq,"Sí")&gt;0),S394,0))</f>
        <v/>
      </c>
      <c r="AI394" s="52">
        <f>IF(OR(L394="",P394=""),"",IF(COUNTIFS(L$6:L394,L394,P$6:P394,"?*")=1,MAX(AI$5:AI393)+1,""))</f>
        <v/>
      </c>
    </row>
    <row r="395">
      <c r="B395" s="47" t="n"/>
      <c r="C395" s="48" t="n"/>
      <c r="D395" s="48" t="n"/>
      <c r="E395" s="48" t="n"/>
      <c r="F395" s="48" t="n"/>
      <c r="G395" s="49" t="n"/>
      <c r="H395" s="48" t="n"/>
      <c r="I395" s="50" t="n"/>
      <c r="J395" s="48" t="n"/>
      <c r="K395" s="48" t="n"/>
      <c r="L395" s="48" t="n"/>
      <c r="M395" s="48" t="n"/>
      <c r="N395" s="48" t="n"/>
      <c r="O395" s="51">
        <f>IF(AND(B395="",G395="",C395="",D395="",J395=""),"",IF(B395="","⚠ Falta fecha",IF(G395="","⚠ Falta monto",IF(Q395="","⚠ Falta cuenta",IF(ISNA(MATCH(Q395,ctaNombre,0)),"⚠ Cuenta no registrada",IF(AND(OR(P395="Gasto",P395="Reembolso"),D395=""),"⚠ Falta categoría",IF(AND(D395&lt;&gt;"",E395&lt;&gt;"",ISNA(MATCH(D395&amp;"|"&amp;E395,catClave,0))),"⚠ Subcategoría no corresponde",IF(AND(OR(P395="Transferencia",P395="Pago tarjeta"),K395=""),"⚠ Falta cuenta destino",IF(AND(K395&lt;&gt;"",P395&lt;&gt;"Transferencia",P395&lt;&gt;"Pago tarjeta"),"⚠ Destino solo aplica a transferencias",IF(AND(K395&lt;&gt;"",K395=Q395),"⚠ Origen igual a destino",IF(AND(K395&lt;&gt;"",ISNA(MATCH(K395,ctaNombre,0))),"⚠ Destino no registrado",IF(AND(P395="Pago tarjeta",AE395&lt;&gt;"Tarjeta de crédito"),"⚠ El destino debe ser tarjeta de crédito",IF(AND(P395="Gasto",E395="Depósitos y retiros"),"⚠ Usa tipo Transferencia",IF(AND(P395="Resultado trading",AD395&lt;&gt;"Cuenta de trading"),"⚠ Usa una cuenta de trading",IF(AND(G395&lt;=0,P395&lt;&gt;"Ajuste",P395&lt;&gt;"Resultado trading"),"⚠ El monto debe ser positivo","✓")))))))))))))))</f>
        <v/>
      </c>
      <c r="P395" s="52">
        <f>IF(OR(B395="",G395=""),"",IF(C395="","Gasto",C395))</f>
        <v/>
      </c>
      <c r="Q395" s="52">
        <f>IF(P395="","",IF(J395&lt;&gt;"",J395,CuentaPred&amp;""))</f>
        <v/>
      </c>
      <c r="R395" s="52">
        <f>IF(P395="","",IF(ISNUMBER(I395),I395,TasaUSD))</f>
        <v/>
      </c>
      <c r="S395" s="53">
        <f>IF(P395="","",IF(H395="USD",G395*R395,G395))</f>
        <v/>
      </c>
      <c r="T395" s="53">
        <f>IF(P395="","",IF(H395="USD",G395,IF(R395&gt;0,G395/R395,0)))</f>
        <v/>
      </c>
      <c r="U395" s="53">
        <f>IF(P395="","",IF(P395="Gasto",S395,IF(P395="Reembolso",-S395,0)))</f>
        <v/>
      </c>
      <c r="V395" s="53">
        <f>IF(P395="","",IF(P395="Ingreso",S395,0))</f>
        <v/>
      </c>
      <c r="W395" s="53">
        <f>IF(P395="","",IF(P395="Resultado trading",S395,0))</f>
        <v/>
      </c>
      <c r="X395" s="52">
        <f>IF(OR(P395="Gasto",P395="Reembolso"),IF(M395&lt;&gt;"",M395,IFERROR(INDEX(catClasif,MATCH(D395&amp;"|"&amp;E395,catClave,0))&amp;"","Variable")),"")</f>
        <v/>
      </c>
      <c r="Y395" s="52">
        <f>IF(P395="","",IFERROR(INDEX(catGrupo,MATCH(D395&amp;"|"&amp;E395,catClave,0))&amp;"",""))</f>
        <v/>
      </c>
      <c r="Z395" s="52">
        <f>IF(P395="","",WEEKDAY(B395,2))</f>
        <v/>
      </c>
      <c r="AA395" s="52">
        <f>IF(P395="","",IF(AND(P395="Gasto",X395="Variable",D395&lt;&gt;catTrading,S395&gt;0,S395&lt;=Umbral),1,0))</f>
        <v/>
      </c>
      <c r="AB395" s="52">
        <f>IF(OR(P395="",Q395=""),"",IFERROR(IF(INDEX(ctaVinc,MATCH(Q395,ctaNombre,0))&amp;""&lt;&gt;"",INDEX(ctaVinc,MATCH(Q395,ctaNombre,0))&amp;"",Q395),Q395))</f>
        <v/>
      </c>
      <c r="AC395" s="52">
        <f>IF(OR(K395="",AND(P395&lt;&gt;"Transferencia",P395&lt;&gt;"Pago tarjeta")),"",IFERROR(IF(INDEX(ctaVinc,MATCH(K395,ctaNombre,0))&amp;""&lt;&gt;"",INDEX(ctaVinc,MATCH(K395,ctaNombre,0))&amp;"",K395),K395))</f>
        <v/>
      </c>
      <c r="AD395" s="52">
        <f>IF(AB395="","",IFERROR(INDEX(ctaTipo,MATCH(AB395,ctaNombre,0))&amp;"",""))</f>
        <v/>
      </c>
      <c r="AE395" s="52">
        <f>IF(AC395="","",IFERROR(INDEX(ctaTipo,MATCH(AC395,ctaNombre,0))&amp;"",""))</f>
        <v/>
      </c>
      <c r="AF395" s="53">
        <f>IF(OR(P395="",AB395=""),"",IF(OR(P395="Gasto",P395="Transferencia",P395="Pago tarjeta"),-1,1)*IF(IFERROR(INDEX(ctaMoneda,MATCH(AB395,ctaNombre,0))&amp;"","DOP")="USD",T395,S395))</f>
        <v/>
      </c>
      <c r="AG395" s="53">
        <f>IF(AC395="","",IF(IFERROR(INDEX(ctaMoneda,MATCH(AC395,ctaNombre,0))&amp;"","DOP")="USD",T395,S395))</f>
        <v/>
      </c>
      <c r="AH395" s="53">
        <f>IF(P395="","",IF(AND(AD395&lt;&gt;"",COUNTIFS(tcTipo,AD395,tcLiq,"Sí")&gt;0),IF(OR(P395="Gasto",P395="Transferencia",P395="Pago tarjeta"),-1,1)*S395,0)+IF(AND(AE395&lt;&gt;"",COUNTIFS(tcTipo,AE395,tcLiq,"Sí")&gt;0),S395,0))</f>
        <v/>
      </c>
      <c r="AI395" s="52">
        <f>IF(OR(L395="",P395=""),"",IF(COUNTIFS(L$6:L395,L395,P$6:P395,"?*")=1,MAX(AI$5:AI394)+1,""))</f>
        <v/>
      </c>
    </row>
    <row r="396">
      <c r="B396" s="47" t="n"/>
      <c r="C396" s="48" t="n"/>
      <c r="D396" s="48" t="n"/>
      <c r="E396" s="48" t="n"/>
      <c r="F396" s="48" t="n"/>
      <c r="G396" s="49" t="n"/>
      <c r="H396" s="48" t="n"/>
      <c r="I396" s="50" t="n"/>
      <c r="J396" s="48" t="n"/>
      <c r="K396" s="48" t="n"/>
      <c r="L396" s="48" t="n"/>
      <c r="M396" s="48" t="n"/>
      <c r="N396" s="48" t="n"/>
      <c r="O396" s="51">
        <f>IF(AND(B396="",G396="",C396="",D396="",J396=""),"",IF(B396="","⚠ Falta fecha",IF(G396="","⚠ Falta monto",IF(Q396="","⚠ Falta cuenta",IF(ISNA(MATCH(Q396,ctaNombre,0)),"⚠ Cuenta no registrada",IF(AND(OR(P396="Gasto",P396="Reembolso"),D396=""),"⚠ Falta categoría",IF(AND(D396&lt;&gt;"",E396&lt;&gt;"",ISNA(MATCH(D396&amp;"|"&amp;E396,catClave,0))),"⚠ Subcategoría no corresponde",IF(AND(OR(P396="Transferencia",P396="Pago tarjeta"),K396=""),"⚠ Falta cuenta destino",IF(AND(K396&lt;&gt;"",P396&lt;&gt;"Transferencia",P396&lt;&gt;"Pago tarjeta"),"⚠ Destino solo aplica a transferencias",IF(AND(K396&lt;&gt;"",K396=Q396),"⚠ Origen igual a destino",IF(AND(K396&lt;&gt;"",ISNA(MATCH(K396,ctaNombre,0))),"⚠ Destino no registrado",IF(AND(P396="Pago tarjeta",AE396&lt;&gt;"Tarjeta de crédito"),"⚠ El destino debe ser tarjeta de crédito",IF(AND(P396="Gasto",E396="Depósitos y retiros"),"⚠ Usa tipo Transferencia",IF(AND(P396="Resultado trading",AD396&lt;&gt;"Cuenta de trading"),"⚠ Usa una cuenta de trading",IF(AND(G396&lt;=0,P396&lt;&gt;"Ajuste",P396&lt;&gt;"Resultado trading"),"⚠ El monto debe ser positivo","✓")))))))))))))))</f>
        <v/>
      </c>
      <c r="P396" s="52">
        <f>IF(OR(B396="",G396=""),"",IF(C396="","Gasto",C396))</f>
        <v/>
      </c>
      <c r="Q396" s="52">
        <f>IF(P396="","",IF(J396&lt;&gt;"",J396,CuentaPred&amp;""))</f>
        <v/>
      </c>
      <c r="R396" s="52">
        <f>IF(P396="","",IF(ISNUMBER(I396),I396,TasaUSD))</f>
        <v/>
      </c>
      <c r="S396" s="53">
        <f>IF(P396="","",IF(H396="USD",G396*R396,G396))</f>
        <v/>
      </c>
      <c r="T396" s="53">
        <f>IF(P396="","",IF(H396="USD",G396,IF(R396&gt;0,G396/R396,0)))</f>
        <v/>
      </c>
      <c r="U396" s="53">
        <f>IF(P396="","",IF(P396="Gasto",S396,IF(P396="Reembolso",-S396,0)))</f>
        <v/>
      </c>
      <c r="V396" s="53">
        <f>IF(P396="","",IF(P396="Ingreso",S396,0))</f>
        <v/>
      </c>
      <c r="W396" s="53">
        <f>IF(P396="","",IF(P396="Resultado trading",S396,0))</f>
        <v/>
      </c>
      <c r="X396" s="52">
        <f>IF(OR(P396="Gasto",P396="Reembolso"),IF(M396&lt;&gt;"",M396,IFERROR(INDEX(catClasif,MATCH(D396&amp;"|"&amp;E396,catClave,0))&amp;"","Variable")),"")</f>
        <v/>
      </c>
      <c r="Y396" s="52">
        <f>IF(P396="","",IFERROR(INDEX(catGrupo,MATCH(D396&amp;"|"&amp;E396,catClave,0))&amp;"",""))</f>
        <v/>
      </c>
      <c r="Z396" s="52">
        <f>IF(P396="","",WEEKDAY(B396,2))</f>
        <v/>
      </c>
      <c r="AA396" s="52">
        <f>IF(P396="","",IF(AND(P396="Gasto",X396="Variable",D396&lt;&gt;catTrading,S396&gt;0,S396&lt;=Umbral),1,0))</f>
        <v/>
      </c>
      <c r="AB396" s="52">
        <f>IF(OR(P396="",Q396=""),"",IFERROR(IF(INDEX(ctaVinc,MATCH(Q396,ctaNombre,0))&amp;""&lt;&gt;"",INDEX(ctaVinc,MATCH(Q396,ctaNombre,0))&amp;"",Q396),Q396))</f>
        <v/>
      </c>
      <c r="AC396" s="52">
        <f>IF(OR(K396="",AND(P396&lt;&gt;"Transferencia",P396&lt;&gt;"Pago tarjeta")),"",IFERROR(IF(INDEX(ctaVinc,MATCH(K396,ctaNombre,0))&amp;""&lt;&gt;"",INDEX(ctaVinc,MATCH(K396,ctaNombre,0))&amp;"",K396),K396))</f>
        <v/>
      </c>
      <c r="AD396" s="52">
        <f>IF(AB396="","",IFERROR(INDEX(ctaTipo,MATCH(AB396,ctaNombre,0))&amp;"",""))</f>
        <v/>
      </c>
      <c r="AE396" s="52">
        <f>IF(AC396="","",IFERROR(INDEX(ctaTipo,MATCH(AC396,ctaNombre,0))&amp;"",""))</f>
        <v/>
      </c>
      <c r="AF396" s="53">
        <f>IF(OR(P396="",AB396=""),"",IF(OR(P396="Gasto",P396="Transferencia",P396="Pago tarjeta"),-1,1)*IF(IFERROR(INDEX(ctaMoneda,MATCH(AB396,ctaNombre,0))&amp;"","DOP")="USD",T396,S396))</f>
        <v/>
      </c>
      <c r="AG396" s="53">
        <f>IF(AC396="","",IF(IFERROR(INDEX(ctaMoneda,MATCH(AC396,ctaNombre,0))&amp;"","DOP")="USD",T396,S396))</f>
        <v/>
      </c>
      <c r="AH396" s="53">
        <f>IF(P396="","",IF(AND(AD396&lt;&gt;"",COUNTIFS(tcTipo,AD396,tcLiq,"Sí")&gt;0),IF(OR(P396="Gasto",P396="Transferencia",P396="Pago tarjeta"),-1,1)*S396,0)+IF(AND(AE396&lt;&gt;"",COUNTIFS(tcTipo,AE396,tcLiq,"Sí")&gt;0),S396,0))</f>
        <v/>
      </c>
      <c r="AI396" s="52">
        <f>IF(OR(L396="",P396=""),"",IF(COUNTIFS(L$6:L396,L396,P$6:P396,"?*")=1,MAX(AI$5:AI395)+1,""))</f>
        <v/>
      </c>
    </row>
    <row r="397">
      <c r="B397" s="47" t="n"/>
      <c r="C397" s="48" t="n"/>
      <c r="D397" s="48" t="n"/>
      <c r="E397" s="48" t="n"/>
      <c r="F397" s="48" t="n"/>
      <c r="G397" s="49" t="n"/>
      <c r="H397" s="48" t="n"/>
      <c r="I397" s="50" t="n"/>
      <c r="J397" s="48" t="n"/>
      <c r="K397" s="48" t="n"/>
      <c r="L397" s="48" t="n"/>
      <c r="M397" s="48" t="n"/>
      <c r="N397" s="48" t="n"/>
      <c r="O397" s="51">
        <f>IF(AND(B397="",G397="",C397="",D397="",J397=""),"",IF(B397="","⚠ Falta fecha",IF(G397="","⚠ Falta monto",IF(Q397="","⚠ Falta cuenta",IF(ISNA(MATCH(Q397,ctaNombre,0)),"⚠ Cuenta no registrada",IF(AND(OR(P397="Gasto",P397="Reembolso"),D397=""),"⚠ Falta categoría",IF(AND(D397&lt;&gt;"",E397&lt;&gt;"",ISNA(MATCH(D397&amp;"|"&amp;E397,catClave,0))),"⚠ Subcategoría no corresponde",IF(AND(OR(P397="Transferencia",P397="Pago tarjeta"),K397=""),"⚠ Falta cuenta destino",IF(AND(K397&lt;&gt;"",P397&lt;&gt;"Transferencia",P397&lt;&gt;"Pago tarjeta"),"⚠ Destino solo aplica a transferencias",IF(AND(K397&lt;&gt;"",K397=Q397),"⚠ Origen igual a destino",IF(AND(K397&lt;&gt;"",ISNA(MATCH(K397,ctaNombre,0))),"⚠ Destino no registrado",IF(AND(P397="Pago tarjeta",AE397&lt;&gt;"Tarjeta de crédito"),"⚠ El destino debe ser tarjeta de crédito",IF(AND(P397="Gasto",E397="Depósitos y retiros"),"⚠ Usa tipo Transferencia",IF(AND(P397="Resultado trading",AD397&lt;&gt;"Cuenta de trading"),"⚠ Usa una cuenta de trading",IF(AND(G397&lt;=0,P397&lt;&gt;"Ajuste",P397&lt;&gt;"Resultado trading"),"⚠ El monto debe ser positivo","✓")))))))))))))))</f>
        <v/>
      </c>
      <c r="P397" s="52">
        <f>IF(OR(B397="",G397=""),"",IF(C397="","Gasto",C397))</f>
        <v/>
      </c>
      <c r="Q397" s="52">
        <f>IF(P397="","",IF(J397&lt;&gt;"",J397,CuentaPred&amp;""))</f>
        <v/>
      </c>
      <c r="R397" s="52">
        <f>IF(P397="","",IF(ISNUMBER(I397),I397,TasaUSD))</f>
        <v/>
      </c>
      <c r="S397" s="53">
        <f>IF(P397="","",IF(H397="USD",G397*R397,G397))</f>
        <v/>
      </c>
      <c r="T397" s="53">
        <f>IF(P397="","",IF(H397="USD",G397,IF(R397&gt;0,G397/R397,0)))</f>
        <v/>
      </c>
      <c r="U397" s="53">
        <f>IF(P397="","",IF(P397="Gasto",S397,IF(P397="Reembolso",-S397,0)))</f>
        <v/>
      </c>
      <c r="V397" s="53">
        <f>IF(P397="","",IF(P397="Ingreso",S397,0))</f>
        <v/>
      </c>
      <c r="W397" s="53">
        <f>IF(P397="","",IF(P397="Resultado trading",S397,0))</f>
        <v/>
      </c>
      <c r="X397" s="52">
        <f>IF(OR(P397="Gasto",P397="Reembolso"),IF(M397&lt;&gt;"",M397,IFERROR(INDEX(catClasif,MATCH(D397&amp;"|"&amp;E397,catClave,0))&amp;"","Variable")),"")</f>
        <v/>
      </c>
      <c r="Y397" s="52">
        <f>IF(P397="","",IFERROR(INDEX(catGrupo,MATCH(D397&amp;"|"&amp;E397,catClave,0))&amp;"",""))</f>
        <v/>
      </c>
      <c r="Z397" s="52">
        <f>IF(P397="","",WEEKDAY(B397,2))</f>
        <v/>
      </c>
      <c r="AA397" s="52">
        <f>IF(P397="","",IF(AND(P397="Gasto",X397="Variable",D397&lt;&gt;catTrading,S397&gt;0,S397&lt;=Umbral),1,0))</f>
        <v/>
      </c>
      <c r="AB397" s="52">
        <f>IF(OR(P397="",Q397=""),"",IFERROR(IF(INDEX(ctaVinc,MATCH(Q397,ctaNombre,0))&amp;""&lt;&gt;"",INDEX(ctaVinc,MATCH(Q397,ctaNombre,0))&amp;"",Q397),Q397))</f>
        <v/>
      </c>
      <c r="AC397" s="52">
        <f>IF(OR(K397="",AND(P397&lt;&gt;"Transferencia",P397&lt;&gt;"Pago tarjeta")),"",IFERROR(IF(INDEX(ctaVinc,MATCH(K397,ctaNombre,0))&amp;""&lt;&gt;"",INDEX(ctaVinc,MATCH(K397,ctaNombre,0))&amp;"",K397),K397))</f>
        <v/>
      </c>
      <c r="AD397" s="52">
        <f>IF(AB397="","",IFERROR(INDEX(ctaTipo,MATCH(AB397,ctaNombre,0))&amp;"",""))</f>
        <v/>
      </c>
      <c r="AE397" s="52">
        <f>IF(AC397="","",IFERROR(INDEX(ctaTipo,MATCH(AC397,ctaNombre,0))&amp;"",""))</f>
        <v/>
      </c>
      <c r="AF397" s="53">
        <f>IF(OR(P397="",AB397=""),"",IF(OR(P397="Gasto",P397="Transferencia",P397="Pago tarjeta"),-1,1)*IF(IFERROR(INDEX(ctaMoneda,MATCH(AB397,ctaNombre,0))&amp;"","DOP")="USD",T397,S397))</f>
        <v/>
      </c>
      <c r="AG397" s="53">
        <f>IF(AC397="","",IF(IFERROR(INDEX(ctaMoneda,MATCH(AC397,ctaNombre,0))&amp;"","DOP")="USD",T397,S397))</f>
        <v/>
      </c>
      <c r="AH397" s="53">
        <f>IF(P397="","",IF(AND(AD397&lt;&gt;"",COUNTIFS(tcTipo,AD397,tcLiq,"Sí")&gt;0),IF(OR(P397="Gasto",P397="Transferencia",P397="Pago tarjeta"),-1,1)*S397,0)+IF(AND(AE397&lt;&gt;"",COUNTIFS(tcTipo,AE397,tcLiq,"Sí")&gt;0),S397,0))</f>
        <v/>
      </c>
      <c r="AI397" s="52">
        <f>IF(OR(L397="",P397=""),"",IF(COUNTIFS(L$6:L397,L397,P$6:P397,"?*")=1,MAX(AI$5:AI396)+1,""))</f>
        <v/>
      </c>
    </row>
    <row r="398">
      <c r="B398" s="47" t="n"/>
      <c r="C398" s="48" t="n"/>
      <c r="D398" s="48" t="n"/>
      <c r="E398" s="48" t="n"/>
      <c r="F398" s="48" t="n"/>
      <c r="G398" s="49" t="n"/>
      <c r="H398" s="48" t="n"/>
      <c r="I398" s="50" t="n"/>
      <c r="J398" s="48" t="n"/>
      <c r="K398" s="48" t="n"/>
      <c r="L398" s="48" t="n"/>
      <c r="M398" s="48" t="n"/>
      <c r="N398" s="48" t="n"/>
      <c r="O398" s="51">
        <f>IF(AND(B398="",G398="",C398="",D398="",J398=""),"",IF(B398="","⚠ Falta fecha",IF(G398="","⚠ Falta monto",IF(Q398="","⚠ Falta cuenta",IF(ISNA(MATCH(Q398,ctaNombre,0)),"⚠ Cuenta no registrada",IF(AND(OR(P398="Gasto",P398="Reembolso"),D398=""),"⚠ Falta categoría",IF(AND(D398&lt;&gt;"",E398&lt;&gt;"",ISNA(MATCH(D398&amp;"|"&amp;E398,catClave,0))),"⚠ Subcategoría no corresponde",IF(AND(OR(P398="Transferencia",P398="Pago tarjeta"),K398=""),"⚠ Falta cuenta destino",IF(AND(K398&lt;&gt;"",P398&lt;&gt;"Transferencia",P398&lt;&gt;"Pago tarjeta"),"⚠ Destino solo aplica a transferencias",IF(AND(K398&lt;&gt;"",K398=Q398),"⚠ Origen igual a destino",IF(AND(K398&lt;&gt;"",ISNA(MATCH(K398,ctaNombre,0))),"⚠ Destino no registrado",IF(AND(P398="Pago tarjeta",AE398&lt;&gt;"Tarjeta de crédito"),"⚠ El destino debe ser tarjeta de crédito",IF(AND(P398="Gasto",E398="Depósitos y retiros"),"⚠ Usa tipo Transferencia",IF(AND(P398="Resultado trading",AD398&lt;&gt;"Cuenta de trading"),"⚠ Usa una cuenta de trading",IF(AND(G398&lt;=0,P398&lt;&gt;"Ajuste",P398&lt;&gt;"Resultado trading"),"⚠ El monto debe ser positivo","✓")))))))))))))))</f>
        <v/>
      </c>
      <c r="P398" s="52">
        <f>IF(OR(B398="",G398=""),"",IF(C398="","Gasto",C398))</f>
        <v/>
      </c>
      <c r="Q398" s="52">
        <f>IF(P398="","",IF(J398&lt;&gt;"",J398,CuentaPred&amp;""))</f>
        <v/>
      </c>
      <c r="R398" s="52">
        <f>IF(P398="","",IF(ISNUMBER(I398),I398,TasaUSD))</f>
        <v/>
      </c>
      <c r="S398" s="53">
        <f>IF(P398="","",IF(H398="USD",G398*R398,G398))</f>
        <v/>
      </c>
      <c r="T398" s="53">
        <f>IF(P398="","",IF(H398="USD",G398,IF(R398&gt;0,G398/R398,0)))</f>
        <v/>
      </c>
      <c r="U398" s="53">
        <f>IF(P398="","",IF(P398="Gasto",S398,IF(P398="Reembolso",-S398,0)))</f>
        <v/>
      </c>
      <c r="V398" s="53">
        <f>IF(P398="","",IF(P398="Ingreso",S398,0))</f>
        <v/>
      </c>
      <c r="W398" s="53">
        <f>IF(P398="","",IF(P398="Resultado trading",S398,0))</f>
        <v/>
      </c>
      <c r="X398" s="52">
        <f>IF(OR(P398="Gasto",P398="Reembolso"),IF(M398&lt;&gt;"",M398,IFERROR(INDEX(catClasif,MATCH(D398&amp;"|"&amp;E398,catClave,0))&amp;"","Variable")),"")</f>
        <v/>
      </c>
      <c r="Y398" s="52">
        <f>IF(P398="","",IFERROR(INDEX(catGrupo,MATCH(D398&amp;"|"&amp;E398,catClave,0))&amp;"",""))</f>
        <v/>
      </c>
      <c r="Z398" s="52">
        <f>IF(P398="","",WEEKDAY(B398,2))</f>
        <v/>
      </c>
      <c r="AA398" s="52">
        <f>IF(P398="","",IF(AND(P398="Gasto",X398="Variable",D398&lt;&gt;catTrading,S398&gt;0,S398&lt;=Umbral),1,0))</f>
        <v/>
      </c>
      <c r="AB398" s="52">
        <f>IF(OR(P398="",Q398=""),"",IFERROR(IF(INDEX(ctaVinc,MATCH(Q398,ctaNombre,0))&amp;""&lt;&gt;"",INDEX(ctaVinc,MATCH(Q398,ctaNombre,0))&amp;"",Q398),Q398))</f>
        <v/>
      </c>
      <c r="AC398" s="52">
        <f>IF(OR(K398="",AND(P398&lt;&gt;"Transferencia",P398&lt;&gt;"Pago tarjeta")),"",IFERROR(IF(INDEX(ctaVinc,MATCH(K398,ctaNombre,0))&amp;""&lt;&gt;"",INDEX(ctaVinc,MATCH(K398,ctaNombre,0))&amp;"",K398),K398))</f>
        <v/>
      </c>
      <c r="AD398" s="52">
        <f>IF(AB398="","",IFERROR(INDEX(ctaTipo,MATCH(AB398,ctaNombre,0))&amp;"",""))</f>
        <v/>
      </c>
      <c r="AE398" s="52">
        <f>IF(AC398="","",IFERROR(INDEX(ctaTipo,MATCH(AC398,ctaNombre,0))&amp;"",""))</f>
        <v/>
      </c>
      <c r="AF398" s="53">
        <f>IF(OR(P398="",AB398=""),"",IF(OR(P398="Gasto",P398="Transferencia",P398="Pago tarjeta"),-1,1)*IF(IFERROR(INDEX(ctaMoneda,MATCH(AB398,ctaNombre,0))&amp;"","DOP")="USD",T398,S398))</f>
        <v/>
      </c>
      <c r="AG398" s="53">
        <f>IF(AC398="","",IF(IFERROR(INDEX(ctaMoneda,MATCH(AC398,ctaNombre,0))&amp;"","DOP")="USD",T398,S398))</f>
        <v/>
      </c>
      <c r="AH398" s="53">
        <f>IF(P398="","",IF(AND(AD398&lt;&gt;"",COUNTIFS(tcTipo,AD398,tcLiq,"Sí")&gt;0),IF(OR(P398="Gasto",P398="Transferencia",P398="Pago tarjeta"),-1,1)*S398,0)+IF(AND(AE398&lt;&gt;"",COUNTIFS(tcTipo,AE398,tcLiq,"Sí")&gt;0),S398,0))</f>
        <v/>
      </c>
      <c r="AI398" s="52">
        <f>IF(OR(L398="",P398=""),"",IF(COUNTIFS(L$6:L398,L398,P$6:P398,"?*")=1,MAX(AI$5:AI397)+1,""))</f>
        <v/>
      </c>
    </row>
    <row r="399">
      <c r="B399" s="47" t="n"/>
      <c r="C399" s="48" t="n"/>
      <c r="D399" s="48" t="n"/>
      <c r="E399" s="48" t="n"/>
      <c r="F399" s="48" t="n"/>
      <c r="G399" s="49" t="n"/>
      <c r="H399" s="48" t="n"/>
      <c r="I399" s="50" t="n"/>
      <c r="J399" s="48" t="n"/>
      <c r="K399" s="48" t="n"/>
      <c r="L399" s="48" t="n"/>
      <c r="M399" s="48" t="n"/>
      <c r="N399" s="48" t="n"/>
      <c r="O399" s="51">
        <f>IF(AND(B399="",G399="",C399="",D399="",J399=""),"",IF(B399="","⚠ Falta fecha",IF(G399="","⚠ Falta monto",IF(Q399="","⚠ Falta cuenta",IF(ISNA(MATCH(Q399,ctaNombre,0)),"⚠ Cuenta no registrada",IF(AND(OR(P399="Gasto",P399="Reembolso"),D399=""),"⚠ Falta categoría",IF(AND(D399&lt;&gt;"",E399&lt;&gt;"",ISNA(MATCH(D399&amp;"|"&amp;E399,catClave,0))),"⚠ Subcategoría no corresponde",IF(AND(OR(P399="Transferencia",P399="Pago tarjeta"),K399=""),"⚠ Falta cuenta destino",IF(AND(K399&lt;&gt;"",P399&lt;&gt;"Transferencia",P399&lt;&gt;"Pago tarjeta"),"⚠ Destino solo aplica a transferencias",IF(AND(K399&lt;&gt;"",K399=Q399),"⚠ Origen igual a destino",IF(AND(K399&lt;&gt;"",ISNA(MATCH(K399,ctaNombre,0))),"⚠ Destino no registrado",IF(AND(P399="Pago tarjeta",AE399&lt;&gt;"Tarjeta de crédito"),"⚠ El destino debe ser tarjeta de crédito",IF(AND(P399="Gasto",E399="Depósitos y retiros"),"⚠ Usa tipo Transferencia",IF(AND(P399="Resultado trading",AD399&lt;&gt;"Cuenta de trading"),"⚠ Usa una cuenta de trading",IF(AND(G399&lt;=0,P399&lt;&gt;"Ajuste",P399&lt;&gt;"Resultado trading"),"⚠ El monto debe ser positivo","✓")))))))))))))))</f>
        <v/>
      </c>
      <c r="P399" s="52">
        <f>IF(OR(B399="",G399=""),"",IF(C399="","Gasto",C399))</f>
        <v/>
      </c>
      <c r="Q399" s="52">
        <f>IF(P399="","",IF(J399&lt;&gt;"",J399,CuentaPred&amp;""))</f>
        <v/>
      </c>
      <c r="R399" s="52">
        <f>IF(P399="","",IF(ISNUMBER(I399),I399,TasaUSD))</f>
        <v/>
      </c>
      <c r="S399" s="53">
        <f>IF(P399="","",IF(H399="USD",G399*R399,G399))</f>
        <v/>
      </c>
      <c r="T399" s="53">
        <f>IF(P399="","",IF(H399="USD",G399,IF(R399&gt;0,G399/R399,0)))</f>
        <v/>
      </c>
      <c r="U399" s="53">
        <f>IF(P399="","",IF(P399="Gasto",S399,IF(P399="Reembolso",-S399,0)))</f>
        <v/>
      </c>
      <c r="V399" s="53">
        <f>IF(P399="","",IF(P399="Ingreso",S399,0))</f>
        <v/>
      </c>
      <c r="W399" s="53">
        <f>IF(P399="","",IF(P399="Resultado trading",S399,0))</f>
        <v/>
      </c>
      <c r="X399" s="52">
        <f>IF(OR(P399="Gasto",P399="Reembolso"),IF(M399&lt;&gt;"",M399,IFERROR(INDEX(catClasif,MATCH(D399&amp;"|"&amp;E399,catClave,0))&amp;"","Variable")),"")</f>
        <v/>
      </c>
      <c r="Y399" s="52">
        <f>IF(P399="","",IFERROR(INDEX(catGrupo,MATCH(D399&amp;"|"&amp;E399,catClave,0))&amp;"",""))</f>
        <v/>
      </c>
      <c r="Z399" s="52">
        <f>IF(P399="","",WEEKDAY(B399,2))</f>
        <v/>
      </c>
      <c r="AA399" s="52">
        <f>IF(P399="","",IF(AND(P399="Gasto",X399="Variable",D399&lt;&gt;catTrading,S399&gt;0,S399&lt;=Umbral),1,0))</f>
        <v/>
      </c>
      <c r="AB399" s="52">
        <f>IF(OR(P399="",Q399=""),"",IFERROR(IF(INDEX(ctaVinc,MATCH(Q399,ctaNombre,0))&amp;""&lt;&gt;"",INDEX(ctaVinc,MATCH(Q399,ctaNombre,0))&amp;"",Q399),Q399))</f>
        <v/>
      </c>
      <c r="AC399" s="52">
        <f>IF(OR(K399="",AND(P399&lt;&gt;"Transferencia",P399&lt;&gt;"Pago tarjeta")),"",IFERROR(IF(INDEX(ctaVinc,MATCH(K399,ctaNombre,0))&amp;""&lt;&gt;"",INDEX(ctaVinc,MATCH(K399,ctaNombre,0))&amp;"",K399),K399))</f>
        <v/>
      </c>
      <c r="AD399" s="52">
        <f>IF(AB399="","",IFERROR(INDEX(ctaTipo,MATCH(AB399,ctaNombre,0))&amp;"",""))</f>
        <v/>
      </c>
      <c r="AE399" s="52">
        <f>IF(AC399="","",IFERROR(INDEX(ctaTipo,MATCH(AC399,ctaNombre,0))&amp;"",""))</f>
        <v/>
      </c>
      <c r="AF399" s="53">
        <f>IF(OR(P399="",AB399=""),"",IF(OR(P399="Gasto",P399="Transferencia",P399="Pago tarjeta"),-1,1)*IF(IFERROR(INDEX(ctaMoneda,MATCH(AB399,ctaNombre,0))&amp;"","DOP")="USD",T399,S399))</f>
        <v/>
      </c>
      <c r="AG399" s="53">
        <f>IF(AC399="","",IF(IFERROR(INDEX(ctaMoneda,MATCH(AC399,ctaNombre,0))&amp;"","DOP")="USD",T399,S399))</f>
        <v/>
      </c>
      <c r="AH399" s="53">
        <f>IF(P399="","",IF(AND(AD399&lt;&gt;"",COUNTIFS(tcTipo,AD399,tcLiq,"Sí")&gt;0),IF(OR(P399="Gasto",P399="Transferencia",P399="Pago tarjeta"),-1,1)*S399,0)+IF(AND(AE399&lt;&gt;"",COUNTIFS(tcTipo,AE399,tcLiq,"Sí")&gt;0),S399,0))</f>
        <v/>
      </c>
      <c r="AI399" s="52">
        <f>IF(OR(L399="",P399=""),"",IF(COUNTIFS(L$6:L399,L399,P$6:P399,"?*")=1,MAX(AI$5:AI398)+1,""))</f>
        <v/>
      </c>
    </row>
    <row r="400">
      <c r="B400" s="47" t="n"/>
      <c r="C400" s="48" t="n"/>
      <c r="D400" s="48" t="n"/>
      <c r="E400" s="48" t="n"/>
      <c r="F400" s="48" t="n"/>
      <c r="G400" s="49" t="n"/>
      <c r="H400" s="48" t="n"/>
      <c r="I400" s="50" t="n"/>
      <c r="J400" s="48" t="n"/>
      <c r="K400" s="48" t="n"/>
      <c r="L400" s="48" t="n"/>
      <c r="M400" s="48" t="n"/>
      <c r="N400" s="48" t="n"/>
      <c r="O400" s="51">
        <f>IF(AND(B400="",G400="",C400="",D400="",J400=""),"",IF(B400="","⚠ Falta fecha",IF(G400="","⚠ Falta monto",IF(Q400="","⚠ Falta cuenta",IF(ISNA(MATCH(Q400,ctaNombre,0)),"⚠ Cuenta no registrada",IF(AND(OR(P400="Gasto",P400="Reembolso"),D400=""),"⚠ Falta categoría",IF(AND(D400&lt;&gt;"",E400&lt;&gt;"",ISNA(MATCH(D400&amp;"|"&amp;E400,catClave,0))),"⚠ Subcategoría no corresponde",IF(AND(OR(P400="Transferencia",P400="Pago tarjeta"),K400=""),"⚠ Falta cuenta destino",IF(AND(K400&lt;&gt;"",P400&lt;&gt;"Transferencia",P400&lt;&gt;"Pago tarjeta"),"⚠ Destino solo aplica a transferencias",IF(AND(K400&lt;&gt;"",K400=Q400),"⚠ Origen igual a destino",IF(AND(K400&lt;&gt;"",ISNA(MATCH(K400,ctaNombre,0))),"⚠ Destino no registrado",IF(AND(P400="Pago tarjeta",AE400&lt;&gt;"Tarjeta de crédito"),"⚠ El destino debe ser tarjeta de crédito",IF(AND(P400="Gasto",E400="Depósitos y retiros"),"⚠ Usa tipo Transferencia",IF(AND(P400="Resultado trading",AD400&lt;&gt;"Cuenta de trading"),"⚠ Usa una cuenta de trading",IF(AND(G400&lt;=0,P400&lt;&gt;"Ajuste",P400&lt;&gt;"Resultado trading"),"⚠ El monto debe ser positivo","✓")))))))))))))))</f>
        <v/>
      </c>
      <c r="P400" s="52">
        <f>IF(OR(B400="",G400=""),"",IF(C400="","Gasto",C400))</f>
        <v/>
      </c>
      <c r="Q400" s="52">
        <f>IF(P400="","",IF(J400&lt;&gt;"",J400,CuentaPred&amp;""))</f>
        <v/>
      </c>
      <c r="R400" s="52">
        <f>IF(P400="","",IF(ISNUMBER(I400),I400,TasaUSD))</f>
        <v/>
      </c>
      <c r="S400" s="53">
        <f>IF(P400="","",IF(H400="USD",G400*R400,G400))</f>
        <v/>
      </c>
      <c r="T400" s="53">
        <f>IF(P400="","",IF(H400="USD",G400,IF(R400&gt;0,G400/R400,0)))</f>
        <v/>
      </c>
      <c r="U400" s="53">
        <f>IF(P400="","",IF(P400="Gasto",S400,IF(P400="Reembolso",-S400,0)))</f>
        <v/>
      </c>
      <c r="V400" s="53">
        <f>IF(P400="","",IF(P400="Ingreso",S400,0))</f>
        <v/>
      </c>
      <c r="W400" s="53">
        <f>IF(P400="","",IF(P400="Resultado trading",S400,0))</f>
        <v/>
      </c>
      <c r="X400" s="52">
        <f>IF(OR(P400="Gasto",P400="Reembolso"),IF(M400&lt;&gt;"",M400,IFERROR(INDEX(catClasif,MATCH(D400&amp;"|"&amp;E400,catClave,0))&amp;"","Variable")),"")</f>
        <v/>
      </c>
      <c r="Y400" s="52">
        <f>IF(P400="","",IFERROR(INDEX(catGrupo,MATCH(D400&amp;"|"&amp;E400,catClave,0))&amp;"",""))</f>
        <v/>
      </c>
      <c r="Z400" s="52">
        <f>IF(P400="","",WEEKDAY(B400,2))</f>
        <v/>
      </c>
      <c r="AA400" s="52">
        <f>IF(P400="","",IF(AND(P400="Gasto",X400="Variable",D400&lt;&gt;catTrading,S400&gt;0,S400&lt;=Umbral),1,0))</f>
        <v/>
      </c>
      <c r="AB400" s="52">
        <f>IF(OR(P400="",Q400=""),"",IFERROR(IF(INDEX(ctaVinc,MATCH(Q400,ctaNombre,0))&amp;""&lt;&gt;"",INDEX(ctaVinc,MATCH(Q400,ctaNombre,0))&amp;"",Q400),Q400))</f>
        <v/>
      </c>
      <c r="AC400" s="52">
        <f>IF(OR(K400="",AND(P400&lt;&gt;"Transferencia",P400&lt;&gt;"Pago tarjeta")),"",IFERROR(IF(INDEX(ctaVinc,MATCH(K400,ctaNombre,0))&amp;""&lt;&gt;"",INDEX(ctaVinc,MATCH(K400,ctaNombre,0))&amp;"",K400),K400))</f>
        <v/>
      </c>
      <c r="AD400" s="52">
        <f>IF(AB400="","",IFERROR(INDEX(ctaTipo,MATCH(AB400,ctaNombre,0))&amp;"",""))</f>
        <v/>
      </c>
      <c r="AE400" s="52">
        <f>IF(AC400="","",IFERROR(INDEX(ctaTipo,MATCH(AC400,ctaNombre,0))&amp;"",""))</f>
        <v/>
      </c>
      <c r="AF400" s="53">
        <f>IF(OR(P400="",AB400=""),"",IF(OR(P400="Gasto",P400="Transferencia",P400="Pago tarjeta"),-1,1)*IF(IFERROR(INDEX(ctaMoneda,MATCH(AB400,ctaNombre,0))&amp;"","DOP")="USD",T400,S400))</f>
        <v/>
      </c>
      <c r="AG400" s="53">
        <f>IF(AC400="","",IF(IFERROR(INDEX(ctaMoneda,MATCH(AC400,ctaNombre,0))&amp;"","DOP")="USD",T400,S400))</f>
        <v/>
      </c>
      <c r="AH400" s="53">
        <f>IF(P400="","",IF(AND(AD400&lt;&gt;"",COUNTIFS(tcTipo,AD400,tcLiq,"Sí")&gt;0),IF(OR(P400="Gasto",P400="Transferencia",P400="Pago tarjeta"),-1,1)*S400,0)+IF(AND(AE400&lt;&gt;"",COUNTIFS(tcTipo,AE400,tcLiq,"Sí")&gt;0),S400,0))</f>
        <v/>
      </c>
      <c r="AI400" s="52">
        <f>IF(OR(L400="",P400=""),"",IF(COUNTIFS(L$6:L400,L400,P$6:P400,"?*")=1,MAX(AI$5:AI399)+1,""))</f>
        <v/>
      </c>
    </row>
    <row r="401">
      <c r="B401" s="47" t="n"/>
      <c r="C401" s="48" t="n"/>
      <c r="D401" s="48" t="n"/>
      <c r="E401" s="48" t="n"/>
      <c r="F401" s="48" t="n"/>
      <c r="G401" s="49" t="n"/>
      <c r="H401" s="48" t="n"/>
      <c r="I401" s="50" t="n"/>
      <c r="J401" s="48" t="n"/>
      <c r="K401" s="48" t="n"/>
      <c r="L401" s="48" t="n"/>
      <c r="M401" s="48" t="n"/>
      <c r="N401" s="48" t="n"/>
      <c r="O401" s="51">
        <f>IF(AND(B401="",G401="",C401="",D401="",J401=""),"",IF(B401="","⚠ Falta fecha",IF(G401="","⚠ Falta monto",IF(Q401="","⚠ Falta cuenta",IF(ISNA(MATCH(Q401,ctaNombre,0)),"⚠ Cuenta no registrada",IF(AND(OR(P401="Gasto",P401="Reembolso"),D401=""),"⚠ Falta categoría",IF(AND(D401&lt;&gt;"",E401&lt;&gt;"",ISNA(MATCH(D401&amp;"|"&amp;E401,catClave,0))),"⚠ Subcategoría no corresponde",IF(AND(OR(P401="Transferencia",P401="Pago tarjeta"),K401=""),"⚠ Falta cuenta destino",IF(AND(K401&lt;&gt;"",P401&lt;&gt;"Transferencia",P401&lt;&gt;"Pago tarjeta"),"⚠ Destino solo aplica a transferencias",IF(AND(K401&lt;&gt;"",K401=Q401),"⚠ Origen igual a destino",IF(AND(K401&lt;&gt;"",ISNA(MATCH(K401,ctaNombre,0))),"⚠ Destino no registrado",IF(AND(P401="Pago tarjeta",AE401&lt;&gt;"Tarjeta de crédito"),"⚠ El destino debe ser tarjeta de crédito",IF(AND(P401="Gasto",E401="Depósitos y retiros"),"⚠ Usa tipo Transferencia",IF(AND(P401="Resultado trading",AD401&lt;&gt;"Cuenta de trading"),"⚠ Usa una cuenta de trading",IF(AND(G401&lt;=0,P401&lt;&gt;"Ajuste",P401&lt;&gt;"Resultado trading"),"⚠ El monto debe ser positivo","✓")))))))))))))))</f>
        <v/>
      </c>
      <c r="P401" s="52">
        <f>IF(OR(B401="",G401=""),"",IF(C401="","Gasto",C401))</f>
        <v/>
      </c>
      <c r="Q401" s="52">
        <f>IF(P401="","",IF(J401&lt;&gt;"",J401,CuentaPred&amp;""))</f>
        <v/>
      </c>
      <c r="R401" s="52">
        <f>IF(P401="","",IF(ISNUMBER(I401),I401,TasaUSD))</f>
        <v/>
      </c>
      <c r="S401" s="53">
        <f>IF(P401="","",IF(H401="USD",G401*R401,G401))</f>
        <v/>
      </c>
      <c r="T401" s="53">
        <f>IF(P401="","",IF(H401="USD",G401,IF(R401&gt;0,G401/R401,0)))</f>
        <v/>
      </c>
      <c r="U401" s="53">
        <f>IF(P401="","",IF(P401="Gasto",S401,IF(P401="Reembolso",-S401,0)))</f>
        <v/>
      </c>
      <c r="V401" s="53">
        <f>IF(P401="","",IF(P401="Ingreso",S401,0))</f>
        <v/>
      </c>
      <c r="W401" s="53">
        <f>IF(P401="","",IF(P401="Resultado trading",S401,0))</f>
        <v/>
      </c>
      <c r="X401" s="52">
        <f>IF(OR(P401="Gasto",P401="Reembolso"),IF(M401&lt;&gt;"",M401,IFERROR(INDEX(catClasif,MATCH(D401&amp;"|"&amp;E401,catClave,0))&amp;"","Variable")),"")</f>
        <v/>
      </c>
      <c r="Y401" s="52">
        <f>IF(P401="","",IFERROR(INDEX(catGrupo,MATCH(D401&amp;"|"&amp;E401,catClave,0))&amp;"",""))</f>
        <v/>
      </c>
      <c r="Z401" s="52">
        <f>IF(P401="","",WEEKDAY(B401,2))</f>
        <v/>
      </c>
      <c r="AA401" s="52">
        <f>IF(P401="","",IF(AND(P401="Gasto",X401="Variable",D401&lt;&gt;catTrading,S401&gt;0,S401&lt;=Umbral),1,0))</f>
        <v/>
      </c>
      <c r="AB401" s="52">
        <f>IF(OR(P401="",Q401=""),"",IFERROR(IF(INDEX(ctaVinc,MATCH(Q401,ctaNombre,0))&amp;""&lt;&gt;"",INDEX(ctaVinc,MATCH(Q401,ctaNombre,0))&amp;"",Q401),Q401))</f>
        <v/>
      </c>
      <c r="AC401" s="52">
        <f>IF(OR(K401="",AND(P401&lt;&gt;"Transferencia",P401&lt;&gt;"Pago tarjeta")),"",IFERROR(IF(INDEX(ctaVinc,MATCH(K401,ctaNombre,0))&amp;""&lt;&gt;"",INDEX(ctaVinc,MATCH(K401,ctaNombre,0))&amp;"",K401),K401))</f>
        <v/>
      </c>
      <c r="AD401" s="52">
        <f>IF(AB401="","",IFERROR(INDEX(ctaTipo,MATCH(AB401,ctaNombre,0))&amp;"",""))</f>
        <v/>
      </c>
      <c r="AE401" s="52">
        <f>IF(AC401="","",IFERROR(INDEX(ctaTipo,MATCH(AC401,ctaNombre,0))&amp;"",""))</f>
        <v/>
      </c>
      <c r="AF401" s="53">
        <f>IF(OR(P401="",AB401=""),"",IF(OR(P401="Gasto",P401="Transferencia",P401="Pago tarjeta"),-1,1)*IF(IFERROR(INDEX(ctaMoneda,MATCH(AB401,ctaNombre,0))&amp;"","DOP")="USD",T401,S401))</f>
        <v/>
      </c>
      <c r="AG401" s="53">
        <f>IF(AC401="","",IF(IFERROR(INDEX(ctaMoneda,MATCH(AC401,ctaNombre,0))&amp;"","DOP")="USD",T401,S401))</f>
        <v/>
      </c>
      <c r="AH401" s="53">
        <f>IF(P401="","",IF(AND(AD401&lt;&gt;"",COUNTIFS(tcTipo,AD401,tcLiq,"Sí")&gt;0),IF(OR(P401="Gasto",P401="Transferencia",P401="Pago tarjeta"),-1,1)*S401,0)+IF(AND(AE401&lt;&gt;"",COUNTIFS(tcTipo,AE401,tcLiq,"Sí")&gt;0),S401,0))</f>
        <v/>
      </c>
      <c r="AI401" s="52">
        <f>IF(OR(L401="",P401=""),"",IF(COUNTIFS(L$6:L401,L401,P$6:P401,"?*")=1,MAX(AI$5:AI400)+1,""))</f>
        <v/>
      </c>
    </row>
    <row r="402">
      <c r="B402" s="47" t="n"/>
      <c r="C402" s="48" t="n"/>
      <c r="D402" s="48" t="n"/>
      <c r="E402" s="48" t="n"/>
      <c r="F402" s="48" t="n"/>
      <c r="G402" s="49" t="n"/>
      <c r="H402" s="48" t="n"/>
      <c r="I402" s="50" t="n"/>
      <c r="J402" s="48" t="n"/>
      <c r="K402" s="48" t="n"/>
      <c r="L402" s="48" t="n"/>
      <c r="M402" s="48" t="n"/>
      <c r="N402" s="48" t="n"/>
      <c r="O402" s="51">
        <f>IF(AND(B402="",G402="",C402="",D402="",J402=""),"",IF(B402="","⚠ Falta fecha",IF(G402="","⚠ Falta monto",IF(Q402="","⚠ Falta cuenta",IF(ISNA(MATCH(Q402,ctaNombre,0)),"⚠ Cuenta no registrada",IF(AND(OR(P402="Gasto",P402="Reembolso"),D402=""),"⚠ Falta categoría",IF(AND(D402&lt;&gt;"",E402&lt;&gt;"",ISNA(MATCH(D402&amp;"|"&amp;E402,catClave,0))),"⚠ Subcategoría no corresponde",IF(AND(OR(P402="Transferencia",P402="Pago tarjeta"),K402=""),"⚠ Falta cuenta destino",IF(AND(K402&lt;&gt;"",P402&lt;&gt;"Transferencia",P402&lt;&gt;"Pago tarjeta"),"⚠ Destino solo aplica a transferencias",IF(AND(K402&lt;&gt;"",K402=Q402),"⚠ Origen igual a destino",IF(AND(K402&lt;&gt;"",ISNA(MATCH(K402,ctaNombre,0))),"⚠ Destino no registrado",IF(AND(P402="Pago tarjeta",AE402&lt;&gt;"Tarjeta de crédito"),"⚠ El destino debe ser tarjeta de crédito",IF(AND(P402="Gasto",E402="Depósitos y retiros"),"⚠ Usa tipo Transferencia",IF(AND(P402="Resultado trading",AD402&lt;&gt;"Cuenta de trading"),"⚠ Usa una cuenta de trading",IF(AND(G402&lt;=0,P402&lt;&gt;"Ajuste",P402&lt;&gt;"Resultado trading"),"⚠ El monto debe ser positivo","✓")))))))))))))))</f>
        <v/>
      </c>
      <c r="P402" s="52">
        <f>IF(OR(B402="",G402=""),"",IF(C402="","Gasto",C402))</f>
        <v/>
      </c>
      <c r="Q402" s="52">
        <f>IF(P402="","",IF(J402&lt;&gt;"",J402,CuentaPred&amp;""))</f>
        <v/>
      </c>
      <c r="R402" s="52">
        <f>IF(P402="","",IF(ISNUMBER(I402),I402,TasaUSD))</f>
        <v/>
      </c>
      <c r="S402" s="53">
        <f>IF(P402="","",IF(H402="USD",G402*R402,G402))</f>
        <v/>
      </c>
      <c r="T402" s="53">
        <f>IF(P402="","",IF(H402="USD",G402,IF(R402&gt;0,G402/R402,0)))</f>
        <v/>
      </c>
      <c r="U402" s="53">
        <f>IF(P402="","",IF(P402="Gasto",S402,IF(P402="Reembolso",-S402,0)))</f>
        <v/>
      </c>
      <c r="V402" s="53">
        <f>IF(P402="","",IF(P402="Ingreso",S402,0))</f>
        <v/>
      </c>
      <c r="W402" s="53">
        <f>IF(P402="","",IF(P402="Resultado trading",S402,0))</f>
        <v/>
      </c>
      <c r="X402" s="52">
        <f>IF(OR(P402="Gasto",P402="Reembolso"),IF(M402&lt;&gt;"",M402,IFERROR(INDEX(catClasif,MATCH(D402&amp;"|"&amp;E402,catClave,0))&amp;"","Variable")),"")</f>
        <v/>
      </c>
      <c r="Y402" s="52">
        <f>IF(P402="","",IFERROR(INDEX(catGrupo,MATCH(D402&amp;"|"&amp;E402,catClave,0))&amp;"",""))</f>
        <v/>
      </c>
      <c r="Z402" s="52">
        <f>IF(P402="","",WEEKDAY(B402,2))</f>
        <v/>
      </c>
      <c r="AA402" s="52">
        <f>IF(P402="","",IF(AND(P402="Gasto",X402="Variable",D402&lt;&gt;catTrading,S402&gt;0,S402&lt;=Umbral),1,0))</f>
        <v/>
      </c>
      <c r="AB402" s="52">
        <f>IF(OR(P402="",Q402=""),"",IFERROR(IF(INDEX(ctaVinc,MATCH(Q402,ctaNombre,0))&amp;""&lt;&gt;"",INDEX(ctaVinc,MATCH(Q402,ctaNombre,0))&amp;"",Q402),Q402))</f>
        <v/>
      </c>
      <c r="AC402" s="52">
        <f>IF(OR(K402="",AND(P402&lt;&gt;"Transferencia",P402&lt;&gt;"Pago tarjeta")),"",IFERROR(IF(INDEX(ctaVinc,MATCH(K402,ctaNombre,0))&amp;""&lt;&gt;"",INDEX(ctaVinc,MATCH(K402,ctaNombre,0))&amp;"",K402),K402))</f>
        <v/>
      </c>
      <c r="AD402" s="52">
        <f>IF(AB402="","",IFERROR(INDEX(ctaTipo,MATCH(AB402,ctaNombre,0))&amp;"",""))</f>
        <v/>
      </c>
      <c r="AE402" s="52">
        <f>IF(AC402="","",IFERROR(INDEX(ctaTipo,MATCH(AC402,ctaNombre,0))&amp;"",""))</f>
        <v/>
      </c>
      <c r="AF402" s="53">
        <f>IF(OR(P402="",AB402=""),"",IF(OR(P402="Gasto",P402="Transferencia",P402="Pago tarjeta"),-1,1)*IF(IFERROR(INDEX(ctaMoneda,MATCH(AB402,ctaNombre,0))&amp;"","DOP")="USD",T402,S402))</f>
        <v/>
      </c>
      <c r="AG402" s="53">
        <f>IF(AC402="","",IF(IFERROR(INDEX(ctaMoneda,MATCH(AC402,ctaNombre,0))&amp;"","DOP")="USD",T402,S402))</f>
        <v/>
      </c>
      <c r="AH402" s="53">
        <f>IF(P402="","",IF(AND(AD402&lt;&gt;"",COUNTIFS(tcTipo,AD402,tcLiq,"Sí")&gt;0),IF(OR(P402="Gasto",P402="Transferencia",P402="Pago tarjeta"),-1,1)*S402,0)+IF(AND(AE402&lt;&gt;"",COUNTIFS(tcTipo,AE402,tcLiq,"Sí")&gt;0),S402,0))</f>
        <v/>
      </c>
      <c r="AI402" s="52">
        <f>IF(OR(L402="",P402=""),"",IF(COUNTIFS(L$6:L402,L402,P$6:P402,"?*")=1,MAX(AI$5:AI401)+1,""))</f>
        <v/>
      </c>
    </row>
    <row r="403">
      <c r="B403" s="47" t="n"/>
      <c r="C403" s="48" t="n"/>
      <c r="D403" s="48" t="n"/>
      <c r="E403" s="48" t="n"/>
      <c r="F403" s="48" t="n"/>
      <c r="G403" s="49" t="n"/>
      <c r="H403" s="48" t="n"/>
      <c r="I403" s="50" t="n"/>
      <c r="J403" s="48" t="n"/>
      <c r="K403" s="48" t="n"/>
      <c r="L403" s="48" t="n"/>
      <c r="M403" s="48" t="n"/>
      <c r="N403" s="48" t="n"/>
      <c r="O403" s="51">
        <f>IF(AND(B403="",G403="",C403="",D403="",J403=""),"",IF(B403="","⚠ Falta fecha",IF(G403="","⚠ Falta monto",IF(Q403="","⚠ Falta cuenta",IF(ISNA(MATCH(Q403,ctaNombre,0)),"⚠ Cuenta no registrada",IF(AND(OR(P403="Gasto",P403="Reembolso"),D403=""),"⚠ Falta categoría",IF(AND(D403&lt;&gt;"",E403&lt;&gt;"",ISNA(MATCH(D403&amp;"|"&amp;E403,catClave,0))),"⚠ Subcategoría no corresponde",IF(AND(OR(P403="Transferencia",P403="Pago tarjeta"),K403=""),"⚠ Falta cuenta destino",IF(AND(K403&lt;&gt;"",P403&lt;&gt;"Transferencia",P403&lt;&gt;"Pago tarjeta"),"⚠ Destino solo aplica a transferencias",IF(AND(K403&lt;&gt;"",K403=Q403),"⚠ Origen igual a destino",IF(AND(K403&lt;&gt;"",ISNA(MATCH(K403,ctaNombre,0))),"⚠ Destino no registrado",IF(AND(P403="Pago tarjeta",AE403&lt;&gt;"Tarjeta de crédito"),"⚠ El destino debe ser tarjeta de crédito",IF(AND(P403="Gasto",E403="Depósitos y retiros"),"⚠ Usa tipo Transferencia",IF(AND(P403="Resultado trading",AD403&lt;&gt;"Cuenta de trading"),"⚠ Usa una cuenta de trading",IF(AND(G403&lt;=0,P403&lt;&gt;"Ajuste",P403&lt;&gt;"Resultado trading"),"⚠ El monto debe ser positivo","✓")))))))))))))))</f>
        <v/>
      </c>
      <c r="P403" s="52">
        <f>IF(OR(B403="",G403=""),"",IF(C403="","Gasto",C403))</f>
        <v/>
      </c>
      <c r="Q403" s="52">
        <f>IF(P403="","",IF(J403&lt;&gt;"",J403,CuentaPred&amp;""))</f>
        <v/>
      </c>
      <c r="R403" s="52">
        <f>IF(P403="","",IF(ISNUMBER(I403),I403,TasaUSD))</f>
        <v/>
      </c>
      <c r="S403" s="53">
        <f>IF(P403="","",IF(H403="USD",G403*R403,G403))</f>
        <v/>
      </c>
      <c r="T403" s="53">
        <f>IF(P403="","",IF(H403="USD",G403,IF(R403&gt;0,G403/R403,0)))</f>
        <v/>
      </c>
      <c r="U403" s="53">
        <f>IF(P403="","",IF(P403="Gasto",S403,IF(P403="Reembolso",-S403,0)))</f>
        <v/>
      </c>
      <c r="V403" s="53">
        <f>IF(P403="","",IF(P403="Ingreso",S403,0))</f>
        <v/>
      </c>
      <c r="W403" s="53">
        <f>IF(P403="","",IF(P403="Resultado trading",S403,0))</f>
        <v/>
      </c>
      <c r="X403" s="52">
        <f>IF(OR(P403="Gasto",P403="Reembolso"),IF(M403&lt;&gt;"",M403,IFERROR(INDEX(catClasif,MATCH(D403&amp;"|"&amp;E403,catClave,0))&amp;"","Variable")),"")</f>
        <v/>
      </c>
      <c r="Y403" s="52">
        <f>IF(P403="","",IFERROR(INDEX(catGrupo,MATCH(D403&amp;"|"&amp;E403,catClave,0))&amp;"",""))</f>
        <v/>
      </c>
      <c r="Z403" s="52">
        <f>IF(P403="","",WEEKDAY(B403,2))</f>
        <v/>
      </c>
      <c r="AA403" s="52">
        <f>IF(P403="","",IF(AND(P403="Gasto",X403="Variable",D403&lt;&gt;catTrading,S403&gt;0,S403&lt;=Umbral),1,0))</f>
        <v/>
      </c>
      <c r="AB403" s="52">
        <f>IF(OR(P403="",Q403=""),"",IFERROR(IF(INDEX(ctaVinc,MATCH(Q403,ctaNombre,0))&amp;""&lt;&gt;"",INDEX(ctaVinc,MATCH(Q403,ctaNombre,0))&amp;"",Q403),Q403))</f>
        <v/>
      </c>
      <c r="AC403" s="52">
        <f>IF(OR(K403="",AND(P403&lt;&gt;"Transferencia",P403&lt;&gt;"Pago tarjeta")),"",IFERROR(IF(INDEX(ctaVinc,MATCH(K403,ctaNombre,0))&amp;""&lt;&gt;"",INDEX(ctaVinc,MATCH(K403,ctaNombre,0))&amp;"",K403),K403))</f>
        <v/>
      </c>
      <c r="AD403" s="52">
        <f>IF(AB403="","",IFERROR(INDEX(ctaTipo,MATCH(AB403,ctaNombre,0))&amp;"",""))</f>
        <v/>
      </c>
      <c r="AE403" s="52">
        <f>IF(AC403="","",IFERROR(INDEX(ctaTipo,MATCH(AC403,ctaNombre,0))&amp;"",""))</f>
        <v/>
      </c>
      <c r="AF403" s="53">
        <f>IF(OR(P403="",AB403=""),"",IF(OR(P403="Gasto",P403="Transferencia",P403="Pago tarjeta"),-1,1)*IF(IFERROR(INDEX(ctaMoneda,MATCH(AB403,ctaNombre,0))&amp;"","DOP")="USD",T403,S403))</f>
        <v/>
      </c>
      <c r="AG403" s="53">
        <f>IF(AC403="","",IF(IFERROR(INDEX(ctaMoneda,MATCH(AC403,ctaNombre,0))&amp;"","DOP")="USD",T403,S403))</f>
        <v/>
      </c>
      <c r="AH403" s="53">
        <f>IF(P403="","",IF(AND(AD403&lt;&gt;"",COUNTIFS(tcTipo,AD403,tcLiq,"Sí")&gt;0),IF(OR(P403="Gasto",P403="Transferencia",P403="Pago tarjeta"),-1,1)*S403,0)+IF(AND(AE403&lt;&gt;"",COUNTIFS(tcTipo,AE403,tcLiq,"Sí")&gt;0),S403,0))</f>
        <v/>
      </c>
      <c r="AI403" s="52">
        <f>IF(OR(L403="",P403=""),"",IF(COUNTIFS(L$6:L403,L403,P$6:P403,"?*")=1,MAX(AI$5:AI402)+1,""))</f>
        <v/>
      </c>
    </row>
    <row r="404">
      <c r="B404" s="47" t="n"/>
      <c r="C404" s="48" t="n"/>
      <c r="D404" s="48" t="n"/>
      <c r="E404" s="48" t="n"/>
      <c r="F404" s="48" t="n"/>
      <c r="G404" s="49" t="n"/>
      <c r="H404" s="48" t="n"/>
      <c r="I404" s="50" t="n"/>
      <c r="J404" s="48" t="n"/>
      <c r="K404" s="48" t="n"/>
      <c r="L404" s="48" t="n"/>
      <c r="M404" s="48" t="n"/>
      <c r="N404" s="48" t="n"/>
      <c r="O404" s="51">
        <f>IF(AND(B404="",G404="",C404="",D404="",J404=""),"",IF(B404="","⚠ Falta fecha",IF(G404="","⚠ Falta monto",IF(Q404="","⚠ Falta cuenta",IF(ISNA(MATCH(Q404,ctaNombre,0)),"⚠ Cuenta no registrada",IF(AND(OR(P404="Gasto",P404="Reembolso"),D404=""),"⚠ Falta categoría",IF(AND(D404&lt;&gt;"",E404&lt;&gt;"",ISNA(MATCH(D404&amp;"|"&amp;E404,catClave,0))),"⚠ Subcategoría no corresponde",IF(AND(OR(P404="Transferencia",P404="Pago tarjeta"),K404=""),"⚠ Falta cuenta destino",IF(AND(K404&lt;&gt;"",P404&lt;&gt;"Transferencia",P404&lt;&gt;"Pago tarjeta"),"⚠ Destino solo aplica a transferencias",IF(AND(K404&lt;&gt;"",K404=Q404),"⚠ Origen igual a destino",IF(AND(K404&lt;&gt;"",ISNA(MATCH(K404,ctaNombre,0))),"⚠ Destino no registrado",IF(AND(P404="Pago tarjeta",AE404&lt;&gt;"Tarjeta de crédito"),"⚠ El destino debe ser tarjeta de crédito",IF(AND(P404="Gasto",E404="Depósitos y retiros"),"⚠ Usa tipo Transferencia",IF(AND(P404="Resultado trading",AD404&lt;&gt;"Cuenta de trading"),"⚠ Usa una cuenta de trading",IF(AND(G404&lt;=0,P404&lt;&gt;"Ajuste",P404&lt;&gt;"Resultado trading"),"⚠ El monto debe ser positivo","✓")))))))))))))))</f>
        <v/>
      </c>
      <c r="P404" s="52">
        <f>IF(OR(B404="",G404=""),"",IF(C404="","Gasto",C404))</f>
        <v/>
      </c>
      <c r="Q404" s="52">
        <f>IF(P404="","",IF(J404&lt;&gt;"",J404,CuentaPred&amp;""))</f>
        <v/>
      </c>
      <c r="R404" s="52">
        <f>IF(P404="","",IF(ISNUMBER(I404),I404,TasaUSD))</f>
        <v/>
      </c>
      <c r="S404" s="53">
        <f>IF(P404="","",IF(H404="USD",G404*R404,G404))</f>
        <v/>
      </c>
      <c r="T404" s="53">
        <f>IF(P404="","",IF(H404="USD",G404,IF(R404&gt;0,G404/R404,0)))</f>
        <v/>
      </c>
      <c r="U404" s="53">
        <f>IF(P404="","",IF(P404="Gasto",S404,IF(P404="Reembolso",-S404,0)))</f>
        <v/>
      </c>
      <c r="V404" s="53">
        <f>IF(P404="","",IF(P404="Ingreso",S404,0))</f>
        <v/>
      </c>
      <c r="W404" s="53">
        <f>IF(P404="","",IF(P404="Resultado trading",S404,0))</f>
        <v/>
      </c>
      <c r="X404" s="52">
        <f>IF(OR(P404="Gasto",P404="Reembolso"),IF(M404&lt;&gt;"",M404,IFERROR(INDEX(catClasif,MATCH(D404&amp;"|"&amp;E404,catClave,0))&amp;"","Variable")),"")</f>
        <v/>
      </c>
      <c r="Y404" s="52">
        <f>IF(P404="","",IFERROR(INDEX(catGrupo,MATCH(D404&amp;"|"&amp;E404,catClave,0))&amp;"",""))</f>
        <v/>
      </c>
      <c r="Z404" s="52">
        <f>IF(P404="","",WEEKDAY(B404,2))</f>
        <v/>
      </c>
      <c r="AA404" s="52">
        <f>IF(P404="","",IF(AND(P404="Gasto",X404="Variable",D404&lt;&gt;catTrading,S404&gt;0,S404&lt;=Umbral),1,0))</f>
        <v/>
      </c>
      <c r="AB404" s="52">
        <f>IF(OR(P404="",Q404=""),"",IFERROR(IF(INDEX(ctaVinc,MATCH(Q404,ctaNombre,0))&amp;""&lt;&gt;"",INDEX(ctaVinc,MATCH(Q404,ctaNombre,0))&amp;"",Q404),Q404))</f>
        <v/>
      </c>
      <c r="AC404" s="52">
        <f>IF(OR(K404="",AND(P404&lt;&gt;"Transferencia",P404&lt;&gt;"Pago tarjeta")),"",IFERROR(IF(INDEX(ctaVinc,MATCH(K404,ctaNombre,0))&amp;""&lt;&gt;"",INDEX(ctaVinc,MATCH(K404,ctaNombre,0))&amp;"",K404),K404))</f>
        <v/>
      </c>
      <c r="AD404" s="52">
        <f>IF(AB404="","",IFERROR(INDEX(ctaTipo,MATCH(AB404,ctaNombre,0))&amp;"",""))</f>
        <v/>
      </c>
      <c r="AE404" s="52">
        <f>IF(AC404="","",IFERROR(INDEX(ctaTipo,MATCH(AC404,ctaNombre,0))&amp;"",""))</f>
        <v/>
      </c>
      <c r="AF404" s="53">
        <f>IF(OR(P404="",AB404=""),"",IF(OR(P404="Gasto",P404="Transferencia",P404="Pago tarjeta"),-1,1)*IF(IFERROR(INDEX(ctaMoneda,MATCH(AB404,ctaNombre,0))&amp;"","DOP")="USD",T404,S404))</f>
        <v/>
      </c>
      <c r="AG404" s="53">
        <f>IF(AC404="","",IF(IFERROR(INDEX(ctaMoneda,MATCH(AC404,ctaNombre,0))&amp;"","DOP")="USD",T404,S404))</f>
        <v/>
      </c>
      <c r="AH404" s="53">
        <f>IF(P404="","",IF(AND(AD404&lt;&gt;"",COUNTIFS(tcTipo,AD404,tcLiq,"Sí")&gt;0),IF(OR(P404="Gasto",P404="Transferencia",P404="Pago tarjeta"),-1,1)*S404,0)+IF(AND(AE404&lt;&gt;"",COUNTIFS(tcTipo,AE404,tcLiq,"Sí")&gt;0),S404,0))</f>
        <v/>
      </c>
      <c r="AI404" s="52">
        <f>IF(OR(L404="",P404=""),"",IF(COUNTIFS(L$6:L404,L404,P$6:P404,"?*")=1,MAX(AI$5:AI403)+1,""))</f>
        <v/>
      </c>
    </row>
    <row r="405">
      <c r="B405" s="47" t="n"/>
      <c r="C405" s="48" t="n"/>
      <c r="D405" s="48" t="n"/>
      <c r="E405" s="48" t="n"/>
      <c r="F405" s="48" t="n"/>
      <c r="G405" s="49" t="n"/>
      <c r="H405" s="48" t="n"/>
      <c r="I405" s="50" t="n"/>
      <c r="J405" s="48" t="n"/>
      <c r="K405" s="48" t="n"/>
      <c r="L405" s="48" t="n"/>
      <c r="M405" s="48" t="n"/>
      <c r="N405" s="48" t="n"/>
      <c r="O405" s="51">
        <f>IF(AND(B405="",G405="",C405="",D405="",J405=""),"",IF(B405="","⚠ Falta fecha",IF(G405="","⚠ Falta monto",IF(Q405="","⚠ Falta cuenta",IF(ISNA(MATCH(Q405,ctaNombre,0)),"⚠ Cuenta no registrada",IF(AND(OR(P405="Gasto",P405="Reembolso"),D405=""),"⚠ Falta categoría",IF(AND(D405&lt;&gt;"",E405&lt;&gt;"",ISNA(MATCH(D405&amp;"|"&amp;E405,catClave,0))),"⚠ Subcategoría no corresponde",IF(AND(OR(P405="Transferencia",P405="Pago tarjeta"),K405=""),"⚠ Falta cuenta destino",IF(AND(K405&lt;&gt;"",P405&lt;&gt;"Transferencia",P405&lt;&gt;"Pago tarjeta"),"⚠ Destino solo aplica a transferencias",IF(AND(K405&lt;&gt;"",K405=Q405),"⚠ Origen igual a destino",IF(AND(K405&lt;&gt;"",ISNA(MATCH(K405,ctaNombre,0))),"⚠ Destino no registrado",IF(AND(P405="Pago tarjeta",AE405&lt;&gt;"Tarjeta de crédito"),"⚠ El destino debe ser tarjeta de crédito",IF(AND(P405="Gasto",E405="Depósitos y retiros"),"⚠ Usa tipo Transferencia",IF(AND(P405="Resultado trading",AD405&lt;&gt;"Cuenta de trading"),"⚠ Usa una cuenta de trading",IF(AND(G405&lt;=0,P405&lt;&gt;"Ajuste",P405&lt;&gt;"Resultado trading"),"⚠ El monto debe ser positivo","✓")))))))))))))))</f>
        <v/>
      </c>
      <c r="P405" s="52">
        <f>IF(OR(B405="",G405=""),"",IF(C405="","Gasto",C405))</f>
        <v/>
      </c>
      <c r="Q405" s="52">
        <f>IF(P405="","",IF(J405&lt;&gt;"",J405,CuentaPred&amp;""))</f>
        <v/>
      </c>
      <c r="R405" s="52">
        <f>IF(P405="","",IF(ISNUMBER(I405),I405,TasaUSD))</f>
        <v/>
      </c>
      <c r="S405" s="53">
        <f>IF(P405="","",IF(H405="USD",G405*R405,G405))</f>
        <v/>
      </c>
      <c r="T405" s="53">
        <f>IF(P405="","",IF(H405="USD",G405,IF(R405&gt;0,G405/R405,0)))</f>
        <v/>
      </c>
      <c r="U405" s="53">
        <f>IF(P405="","",IF(P405="Gasto",S405,IF(P405="Reembolso",-S405,0)))</f>
        <v/>
      </c>
      <c r="V405" s="53">
        <f>IF(P405="","",IF(P405="Ingreso",S405,0))</f>
        <v/>
      </c>
      <c r="W405" s="53">
        <f>IF(P405="","",IF(P405="Resultado trading",S405,0))</f>
        <v/>
      </c>
      <c r="X405" s="52">
        <f>IF(OR(P405="Gasto",P405="Reembolso"),IF(M405&lt;&gt;"",M405,IFERROR(INDEX(catClasif,MATCH(D405&amp;"|"&amp;E405,catClave,0))&amp;"","Variable")),"")</f>
        <v/>
      </c>
      <c r="Y405" s="52">
        <f>IF(P405="","",IFERROR(INDEX(catGrupo,MATCH(D405&amp;"|"&amp;E405,catClave,0))&amp;"",""))</f>
        <v/>
      </c>
      <c r="Z405" s="52">
        <f>IF(P405="","",WEEKDAY(B405,2))</f>
        <v/>
      </c>
      <c r="AA405" s="52">
        <f>IF(P405="","",IF(AND(P405="Gasto",X405="Variable",D405&lt;&gt;catTrading,S405&gt;0,S405&lt;=Umbral),1,0))</f>
        <v/>
      </c>
      <c r="AB405" s="52">
        <f>IF(OR(P405="",Q405=""),"",IFERROR(IF(INDEX(ctaVinc,MATCH(Q405,ctaNombre,0))&amp;""&lt;&gt;"",INDEX(ctaVinc,MATCH(Q405,ctaNombre,0))&amp;"",Q405),Q405))</f>
        <v/>
      </c>
      <c r="AC405" s="52">
        <f>IF(OR(K405="",AND(P405&lt;&gt;"Transferencia",P405&lt;&gt;"Pago tarjeta")),"",IFERROR(IF(INDEX(ctaVinc,MATCH(K405,ctaNombre,0))&amp;""&lt;&gt;"",INDEX(ctaVinc,MATCH(K405,ctaNombre,0))&amp;"",K405),K405))</f>
        <v/>
      </c>
      <c r="AD405" s="52">
        <f>IF(AB405="","",IFERROR(INDEX(ctaTipo,MATCH(AB405,ctaNombre,0))&amp;"",""))</f>
        <v/>
      </c>
      <c r="AE405" s="52">
        <f>IF(AC405="","",IFERROR(INDEX(ctaTipo,MATCH(AC405,ctaNombre,0))&amp;"",""))</f>
        <v/>
      </c>
      <c r="AF405" s="53">
        <f>IF(OR(P405="",AB405=""),"",IF(OR(P405="Gasto",P405="Transferencia",P405="Pago tarjeta"),-1,1)*IF(IFERROR(INDEX(ctaMoneda,MATCH(AB405,ctaNombre,0))&amp;"","DOP")="USD",T405,S405))</f>
        <v/>
      </c>
      <c r="AG405" s="53">
        <f>IF(AC405="","",IF(IFERROR(INDEX(ctaMoneda,MATCH(AC405,ctaNombre,0))&amp;"","DOP")="USD",T405,S405))</f>
        <v/>
      </c>
      <c r="AH405" s="53">
        <f>IF(P405="","",IF(AND(AD405&lt;&gt;"",COUNTIFS(tcTipo,AD405,tcLiq,"Sí")&gt;0),IF(OR(P405="Gasto",P405="Transferencia",P405="Pago tarjeta"),-1,1)*S405,0)+IF(AND(AE405&lt;&gt;"",COUNTIFS(tcTipo,AE405,tcLiq,"Sí")&gt;0),S405,0))</f>
        <v/>
      </c>
      <c r="AI405" s="52">
        <f>IF(OR(L405="",P405=""),"",IF(COUNTIFS(L$6:L405,L405,P$6:P405,"?*")=1,MAX(AI$5:AI404)+1,""))</f>
        <v/>
      </c>
    </row>
    <row r="406">
      <c r="B406" s="47" t="n"/>
      <c r="C406" s="48" t="n"/>
      <c r="D406" s="48" t="n"/>
      <c r="E406" s="48" t="n"/>
      <c r="F406" s="48" t="n"/>
      <c r="G406" s="49" t="n"/>
      <c r="H406" s="48" t="n"/>
      <c r="I406" s="50" t="n"/>
      <c r="J406" s="48" t="n"/>
      <c r="K406" s="48" t="n"/>
      <c r="L406" s="48" t="n"/>
      <c r="M406" s="48" t="n"/>
      <c r="N406" s="48" t="n"/>
      <c r="O406" s="51">
        <f>IF(AND(B406="",G406="",C406="",D406="",J406=""),"",IF(B406="","⚠ Falta fecha",IF(G406="","⚠ Falta monto",IF(Q406="","⚠ Falta cuenta",IF(ISNA(MATCH(Q406,ctaNombre,0)),"⚠ Cuenta no registrada",IF(AND(OR(P406="Gasto",P406="Reembolso"),D406=""),"⚠ Falta categoría",IF(AND(D406&lt;&gt;"",E406&lt;&gt;"",ISNA(MATCH(D406&amp;"|"&amp;E406,catClave,0))),"⚠ Subcategoría no corresponde",IF(AND(OR(P406="Transferencia",P406="Pago tarjeta"),K406=""),"⚠ Falta cuenta destino",IF(AND(K406&lt;&gt;"",P406&lt;&gt;"Transferencia",P406&lt;&gt;"Pago tarjeta"),"⚠ Destino solo aplica a transferencias",IF(AND(K406&lt;&gt;"",K406=Q406),"⚠ Origen igual a destino",IF(AND(K406&lt;&gt;"",ISNA(MATCH(K406,ctaNombre,0))),"⚠ Destino no registrado",IF(AND(P406="Pago tarjeta",AE406&lt;&gt;"Tarjeta de crédito"),"⚠ El destino debe ser tarjeta de crédito",IF(AND(P406="Gasto",E406="Depósitos y retiros"),"⚠ Usa tipo Transferencia",IF(AND(P406="Resultado trading",AD406&lt;&gt;"Cuenta de trading"),"⚠ Usa una cuenta de trading",IF(AND(G406&lt;=0,P406&lt;&gt;"Ajuste",P406&lt;&gt;"Resultado trading"),"⚠ El monto debe ser positivo","✓")))))))))))))))</f>
        <v/>
      </c>
      <c r="P406" s="52">
        <f>IF(OR(B406="",G406=""),"",IF(C406="","Gasto",C406))</f>
        <v/>
      </c>
      <c r="Q406" s="52">
        <f>IF(P406="","",IF(J406&lt;&gt;"",J406,CuentaPred&amp;""))</f>
        <v/>
      </c>
      <c r="R406" s="52">
        <f>IF(P406="","",IF(ISNUMBER(I406),I406,TasaUSD))</f>
        <v/>
      </c>
      <c r="S406" s="53">
        <f>IF(P406="","",IF(H406="USD",G406*R406,G406))</f>
        <v/>
      </c>
      <c r="T406" s="53">
        <f>IF(P406="","",IF(H406="USD",G406,IF(R406&gt;0,G406/R406,0)))</f>
        <v/>
      </c>
      <c r="U406" s="53">
        <f>IF(P406="","",IF(P406="Gasto",S406,IF(P406="Reembolso",-S406,0)))</f>
        <v/>
      </c>
      <c r="V406" s="53">
        <f>IF(P406="","",IF(P406="Ingreso",S406,0))</f>
        <v/>
      </c>
      <c r="W406" s="53">
        <f>IF(P406="","",IF(P406="Resultado trading",S406,0))</f>
        <v/>
      </c>
      <c r="X406" s="52">
        <f>IF(OR(P406="Gasto",P406="Reembolso"),IF(M406&lt;&gt;"",M406,IFERROR(INDEX(catClasif,MATCH(D406&amp;"|"&amp;E406,catClave,0))&amp;"","Variable")),"")</f>
        <v/>
      </c>
      <c r="Y406" s="52">
        <f>IF(P406="","",IFERROR(INDEX(catGrupo,MATCH(D406&amp;"|"&amp;E406,catClave,0))&amp;"",""))</f>
        <v/>
      </c>
      <c r="Z406" s="52">
        <f>IF(P406="","",WEEKDAY(B406,2))</f>
        <v/>
      </c>
      <c r="AA406" s="52">
        <f>IF(P406="","",IF(AND(P406="Gasto",X406="Variable",D406&lt;&gt;catTrading,S406&gt;0,S406&lt;=Umbral),1,0))</f>
        <v/>
      </c>
      <c r="AB406" s="52">
        <f>IF(OR(P406="",Q406=""),"",IFERROR(IF(INDEX(ctaVinc,MATCH(Q406,ctaNombre,0))&amp;""&lt;&gt;"",INDEX(ctaVinc,MATCH(Q406,ctaNombre,0))&amp;"",Q406),Q406))</f>
        <v/>
      </c>
      <c r="AC406" s="52">
        <f>IF(OR(K406="",AND(P406&lt;&gt;"Transferencia",P406&lt;&gt;"Pago tarjeta")),"",IFERROR(IF(INDEX(ctaVinc,MATCH(K406,ctaNombre,0))&amp;""&lt;&gt;"",INDEX(ctaVinc,MATCH(K406,ctaNombre,0))&amp;"",K406),K406))</f>
        <v/>
      </c>
      <c r="AD406" s="52">
        <f>IF(AB406="","",IFERROR(INDEX(ctaTipo,MATCH(AB406,ctaNombre,0))&amp;"",""))</f>
        <v/>
      </c>
      <c r="AE406" s="52">
        <f>IF(AC406="","",IFERROR(INDEX(ctaTipo,MATCH(AC406,ctaNombre,0))&amp;"",""))</f>
        <v/>
      </c>
      <c r="AF406" s="53">
        <f>IF(OR(P406="",AB406=""),"",IF(OR(P406="Gasto",P406="Transferencia",P406="Pago tarjeta"),-1,1)*IF(IFERROR(INDEX(ctaMoneda,MATCH(AB406,ctaNombre,0))&amp;"","DOP")="USD",T406,S406))</f>
        <v/>
      </c>
      <c r="AG406" s="53">
        <f>IF(AC406="","",IF(IFERROR(INDEX(ctaMoneda,MATCH(AC406,ctaNombre,0))&amp;"","DOP")="USD",T406,S406))</f>
        <v/>
      </c>
      <c r="AH406" s="53">
        <f>IF(P406="","",IF(AND(AD406&lt;&gt;"",COUNTIFS(tcTipo,AD406,tcLiq,"Sí")&gt;0),IF(OR(P406="Gasto",P406="Transferencia",P406="Pago tarjeta"),-1,1)*S406,0)+IF(AND(AE406&lt;&gt;"",COUNTIFS(tcTipo,AE406,tcLiq,"Sí")&gt;0),S406,0))</f>
        <v/>
      </c>
      <c r="AI406" s="52">
        <f>IF(OR(L406="",P406=""),"",IF(COUNTIFS(L$6:L406,L406,P$6:P406,"?*")=1,MAX(AI$5:AI405)+1,""))</f>
        <v/>
      </c>
    </row>
    <row r="407">
      <c r="B407" s="47" t="n"/>
      <c r="C407" s="48" t="n"/>
      <c r="D407" s="48" t="n"/>
      <c r="E407" s="48" t="n"/>
      <c r="F407" s="48" t="n"/>
      <c r="G407" s="49" t="n"/>
      <c r="H407" s="48" t="n"/>
      <c r="I407" s="50" t="n"/>
      <c r="J407" s="48" t="n"/>
      <c r="K407" s="48" t="n"/>
      <c r="L407" s="48" t="n"/>
      <c r="M407" s="48" t="n"/>
      <c r="N407" s="48" t="n"/>
      <c r="O407" s="51">
        <f>IF(AND(B407="",G407="",C407="",D407="",J407=""),"",IF(B407="","⚠ Falta fecha",IF(G407="","⚠ Falta monto",IF(Q407="","⚠ Falta cuenta",IF(ISNA(MATCH(Q407,ctaNombre,0)),"⚠ Cuenta no registrada",IF(AND(OR(P407="Gasto",P407="Reembolso"),D407=""),"⚠ Falta categoría",IF(AND(D407&lt;&gt;"",E407&lt;&gt;"",ISNA(MATCH(D407&amp;"|"&amp;E407,catClave,0))),"⚠ Subcategoría no corresponde",IF(AND(OR(P407="Transferencia",P407="Pago tarjeta"),K407=""),"⚠ Falta cuenta destino",IF(AND(K407&lt;&gt;"",P407&lt;&gt;"Transferencia",P407&lt;&gt;"Pago tarjeta"),"⚠ Destino solo aplica a transferencias",IF(AND(K407&lt;&gt;"",K407=Q407),"⚠ Origen igual a destino",IF(AND(K407&lt;&gt;"",ISNA(MATCH(K407,ctaNombre,0))),"⚠ Destino no registrado",IF(AND(P407="Pago tarjeta",AE407&lt;&gt;"Tarjeta de crédito"),"⚠ El destino debe ser tarjeta de crédito",IF(AND(P407="Gasto",E407="Depósitos y retiros"),"⚠ Usa tipo Transferencia",IF(AND(P407="Resultado trading",AD407&lt;&gt;"Cuenta de trading"),"⚠ Usa una cuenta de trading",IF(AND(G407&lt;=0,P407&lt;&gt;"Ajuste",P407&lt;&gt;"Resultado trading"),"⚠ El monto debe ser positivo","✓")))))))))))))))</f>
        <v/>
      </c>
      <c r="P407" s="52">
        <f>IF(OR(B407="",G407=""),"",IF(C407="","Gasto",C407))</f>
        <v/>
      </c>
      <c r="Q407" s="52">
        <f>IF(P407="","",IF(J407&lt;&gt;"",J407,CuentaPred&amp;""))</f>
        <v/>
      </c>
      <c r="R407" s="52">
        <f>IF(P407="","",IF(ISNUMBER(I407),I407,TasaUSD))</f>
        <v/>
      </c>
      <c r="S407" s="53">
        <f>IF(P407="","",IF(H407="USD",G407*R407,G407))</f>
        <v/>
      </c>
      <c r="T407" s="53">
        <f>IF(P407="","",IF(H407="USD",G407,IF(R407&gt;0,G407/R407,0)))</f>
        <v/>
      </c>
      <c r="U407" s="53">
        <f>IF(P407="","",IF(P407="Gasto",S407,IF(P407="Reembolso",-S407,0)))</f>
        <v/>
      </c>
      <c r="V407" s="53">
        <f>IF(P407="","",IF(P407="Ingreso",S407,0))</f>
        <v/>
      </c>
      <c r="W407" s="53">
        <f>IF(P407="","",IF(P407="Resultado trading",S407,0))</f>
        <v/>
      </c>
      <c r="X407" s="52">
        <f>IF(OR(P407="Gasto",P407="Reembolso"),IF(M407&lt;&gt;"",M407,IFERROR(INDEX(catClasif,MATCH(D407&amp;"|"&amp;E407,catClave,0))&amp;"","Variable")),"")</f>
        <v/>
      </c>
      <c r="Y407" s="52">
        <f>IF(P407="","",IFERROR(INDEX(catGrupo,MATCH(D407&amp;"|"&amp;E407,catClave,0))&amp;"",""))</f>
        <v/>
      </c>
      <c r="Z407" s="52">
        <f>IF(P407="","",WEEKDAY(B407,2))</f>
        <v/>
      </c>
      <c r="AA407" s="52">
        <f>IF(P407="","",IF(AND(P407="Gasto",X407="Variable",D407&lt;&gt;catTrading,S407&gt;0,S407&lt;=Umbral),1,0))</f>
        <v/>
      </c>
      <c r="AB407" s="52">
        <f>IF(OR(P407="",Q407=""),"",IFERROR(IF(INDEX(ctaVinc,MATCH(Q407,ctaNombre,0))&amp;""&lt;&gt;"",INDEX(ctaVinc,MATCH(Q407,ctaNombre,0))&amp;"",Q407),Q407))</f>
        <v/>
      </c>
      <c r="AC407" s="52">
        <f>IF(OR(K407="",AND(P407&lt;&gt;"Transferencia",P407&lt;&gt;"Pago tarjeta")),"",IFERROR(IF(INDEX(ctaVinc,MATCH(K407,ctaNombre,0))&amp;""&lt;&gt;"",INDEX(ctaVinc,MATCH(K407,ctaNombre,0))&amp;"",K407),K407))</f>
        <v/>
      </c>
      <c r="AD407" s="52">
        <f>IF(AB407="","",IFERROR(INDEX(ctaTipo,MATCH(AB407,ctaNombre,0))&amp;"",""))</f>
        <v/>
      </c>
      <c r="AE407" s="52">
        <f>IF(AC407="","",IFERROR(INDEX(ctaTipo,MATCH(AC407,ctaNombre,0))&amp;"",""))</f>
        <v/>
      </c>
      <c r="AF407" s="53">
        <f>IF(OR(P407="",AB407=""),"",IF(OR(P407="Gasto",P407="Transferencia",P407="Pago tarjeta"),-1,1)*IF(IFERROR(INDEX(ctaMoneda,MATCH(AB407,ctaNombre,0))&amp;"","DOP")="USD",T407,S407))</f>
        <v/>
      </c>
      <c r="AG407" s="53">
        <f>IF(AC407="","",IF(IFERROR(INDEX(ctaMoneda,MATCH(AC407,ctaNombre,0))&amp;"","DOP")="USD",T407,S407))</f>
        <v/>
      </c>
      <c r="AH407" s="53">
        <f>IF(P407="","",IF(AND(AD407&lt;&gt;"",COUNTIFS(tcTipo,AD407,tcLiq,"Sí")&gt;0),IF(OR(P407="Gasto",P407="Transferencia",P407="Pago tarjeta"),-1,1)*S407,0)+IF(AND(AE407&lt;&gt;"",COUNTIFS(tcTipo,AE407,tcLiq,"Sí")&gt;0),S407,0))</f>
        <v/>
      </c>
      <c r="AI407" s="52">
        <f>IF(OR(L407="",P407=""),"",IF(COUNTIFS(L$6:L407,L407,P$6:P407,"?*")=1,MAX(AI$5:AI406)+1,""))</f>
        <v/>
      </c>
    </row>
    <row r="408">
      <c r="B408" s="47" t="n"/>
      <c r="C408" s="48" t="n"/>
      <c r="D408" s="48" t="n"/>
      <c r="E408" s="48" t="n"/>
      <c r="F408" s="48" t="n"/>
      <c r="G408" s="49" t="n"/>
      <c r="H408" s="48" t="n"/>
      <c r="I408" s="50" t="n"/>
      <c r="J408" s="48" t="n"/>
      <c r="K408" s="48" t="n"/>
      <c r="L408" s="48" t="n"/>
      <c r="M408" s="48" t="n"/>
      <c r="N408" s="48" t="n"/>
      <c r="O408" s="51">
        <f>IF(AND(B408="",G408="",C408="",D408="",J408=""),"",IF(B408="","⚠ Falta fecha",IF(G408="","⚠ Falta monto",IF(Q408="","⚠ Falta cuenta",IF(ISNA(MATCH(Q408,ctaNombre,0)),"⚠ Cuenta no registrada",IF(AND(OR(P408="Gasto",P408="Reembolso"),D408=""),"⚠ Falta categoría",IF(AND(D408&lt;&gt;"",E408&lt;&gt;"",ISNA(MATCH(D408&amp;"|"&amp;E408,catClave,0))),"⚠ Subcategoría no corresponde",IF(AND(OR(P408="Transferencia",P408="Pago tarjeta"),K408=""),"⚠ Falta cuenta destino",IF(AND(K408&lt;&gt;"",P408&lt;&gt;"Transferencia",P408&lt;&gt;"Pago tarjeta"),"⚠ Destino solo aplica a transferencias",IF(AND(K408&lt;&gt;"",K408=Q408),"⚠ Origen igual a destino",IF(AND(K408&lt;&gt;"",ISNA(MATCH(K408,ctaNombre,0))),"⚠ Destino no registrado",IF(AND(P408="Pago tarjeta",AE408&lt;&gt;"Tarjeta de crédito"),"⚠ El destino debe ser tarjeta de crédito",IF(AND(P408="Gasto",E408="Depósitos y retiros"),"⚠ Usa tipo Transferencia",IF(AND(P408="Resultado trading",AD408&lt;&gt;"Cuenta de trading"),"⚠ Usa una cuenta de trading",IF(AND(G408&lt;=0,P408&lt;&gt;"Ajuste",P408&lt;&gt;"Resultado trading"),"⚠ El monto debe ser positivo","✓")))))))))))))))</f>
        <v/>
      </c>
      <c r="P408" s="52">
        <f>IF(OR(B408="",G408=""),"",IF(C408="","Gasto",C408))</f>
        <v/>
      </c>
      <c r="Q408" s="52">
        <f>IF(P408="","",IF(J408&lt;&gt;"",J408,CuentaPred&amp;""))</f>
        <v/>
      </c>
      <c r="R408" s="52">
        <f>IF(P408="","",IF(ISNUMBER(I408),I408,TasaUSD))</f>
        <v/>
      </c>
      <c r="S408" s="53">
        <f>IF(P408="","",IF(H408="USD",G408*R408,G408))</f>
        <v/>
      </c>
      <c r="T408" s="53">
        <f>IF(P408="","",IF(H408="USD",G408,IF(R408&gt;0,G408/R408,0)))</f>
        <v/>
      </c>
      <c r="U408" s="53">
        <f>IF(P408="","",IF(P408="Gasto",S408,IF(P408="Reembolso",-S408,0)))</f>
        <v/>
      </c>
      <c r="V408" s="53">
        <f>IF(P408="","",IF(P408="Ingreso",S408,0))</f>
        <v/>
      </c>
      <c r="W408" s="53">
        <f>IF(P408="","",IF(P408="Resultado trading",S408,0))</f>
        <v/>
      </c>
      <c r="X408" s="52">
        <f>IF(OR(P408="Gasto",P408="Reembolso"),IF(M408&lt;&gt;"",M408,IFERROR(INDEX(catClasif,MATCH(D408&amp;"|"&amp;E408,catClave,0))&amp;"","Variable")),"")</f>
        <v/>
      </c>
      <c r="Y408" s="52">
        <f>IF(P408="","",IFERROR(INDEX(catGrupo,MATCH(D408&amp;"|"&amp;E408,catClave,0))&amp;"",""))</f>
        <v/>
      </c>
      <c r="Z408" s="52">
        <f>IF(P408="","",WEEKDAY(B408,2))</f>
        <v/>
      </c>
      <c r="AA408" s="52">
        <f>IF(P408="","",IF(AND(P408="Gasto",X408="Variable",D408&lt;&gt;catTrading,S408&gt;0,S408&lt;=Umbral),1,0))</f>
        <v/>
      </c>
      <c r="AB408" s="52">
        <f>IF(OR(P408="",Q408=""),"",IFERROR(IF(INDEX(ctaVinc,MATCH(Q408,ctaNombre,0))&amp;""&lt;&gt;"",INDEX(ctaVinc,MATCH(Q408,ctaNombre,0))&amp;"",Q408),Q408))</f>
        <v/>
      </c>
      <c r="AC408" s="52">
        <f>IF(OR(K408="",AND(P408&lt;&gt;"Transferencia",P408&lt;&gt;"Pago tarjeta")),"",IFERROR(IF(INDEX(ctaVinc,MATCH(K408,ctaNombre,0))&amp;""&lt;&gt;"",INDEX(ctaVinc,MATCH(K408,ctaNombre,0))&amp;"",K408),K408))</f>
        <v/>
      </c>
      <c r="AD408" s="52">
        <f>IF(AB408="","",IFERROR(INDEX(ctaTipo,MATCH(AB408,ctaNombre,0))&amp;"",""))</f>
        <v/>
      </c>
      <c r="AE408" s="52">
        <f>IF(AC408="","",IFERROR(INDEX(ctaTipo,MATCH(AC408,ctaNombre,0))&amp;"",""))</f>
        <v/>
      </c>
      <c r="AF408" s="53">
        <f>IF(OR(P408="",AB408=""),"",IF(OR(P408="Gasto",P408="Transferencia",P408="Pago tarjeta"),-1,1)*IF(IFERROR(INDEX(ctaMoneda,MATCH(AB408,ctaNombre,0))&amp;"","DOP")="USD",T408,S408))</f>
        <v/>
      </c>
      <c r="AG408" s="53">
        <f>IF(AC408="","",IF(IFERROR(INDEX(ctaMoneda,MATCH(AC408,ctaNombre,0))&amp;"","DOP")="USD",T408,S408))</f>
        <v/>
      </c>
      <c r="AH408" s="53">
        <f>IF(P408="","",IF(AND(AD408&lt;&gt;"",COUNTIFS(tcTipo,AD408,tcLiq,"Sí")&gt;0),IF(OR(P408="Gasto",P408="Transferencia",P408="Pago tarjeta"),-1,1)*S408,0)+IF(AND(AE408&lt;&gt;"",COUNTIFS(tcTipo,AE408,tcLiq,"Sí")&gt;0),S408,0))</f>
        <v/>
      </c>
      <c r="AI408" s="52">
        <f>IF(OR(L408="",P408=""),"",IF(COUNTIFS(L$6:L408,L408,P$6:P408,"?*")=1,MAX(AI$5:AI407)+1,""))</f>
        <v/>
      </c>
    </row>
    <row r="409">
      <c r="B409" s="47" t="n"/>
      <c r="C409" s="48" t="n"/>
      <c r="D409" s="48" t="n"/>
      <c r="E409" s="48" t="n"/>
      <c r="F409" s="48" t="n"/>
      <c r="G409" s="49" t="n"/>
      <c r="H409" s="48" t="n"/>
      <c r="I409" s="50" t="n"/>
      <c r="J409" s="48" t="n"/>
      <c r="K409" s="48" t="n"/>
      <c r="L409" s="48" t="n"/>
      <c r="M409" s="48" t="n"/>
      <c r="N409" s="48" t="n"/>
      <c r="O409" s="51">
        <f>IF(AND(B409="",G409="",C409="",D409="",J409=""),"",IF(B409="","⚠ Falta fecha",IF(G409="","⚠ Falta monto",IF(Q409="","⚠ Falta cuenta",IF(ISNA(MATCH(Q409,ctaNombre,0)),"⚠ Cuenta no registrada",IF(AND(OR(P409="Gasto",P409="Reembolso"),D409=""),"⚠ Falta categoría",IF(AND(D409&lt;&gt;"",E409&lt;&gt;"",ISNA(MATCH(D409&amp;"|"&amp;E409,catClave,0))),"⚠ Subcategoría no corresponde",IF(AND(OR(P409="Transferencia",P409="Pago tarjeta"),K409=""),"⚠ Falta cuenta destino",IF(AND(K409&lt;&gt;"",P409&lt;&gt;"Transferencia",P409&lt;&gt;"Pago tarjeta"),"⚠ Destino solo aplica a transferencias",IF(AND(K409&lt;&gt;"",K409=Q409),"⚠ Origen igual a destino",IF(AND(K409&lt;&gt;"",ISNA(MATCH(K409,ctaNombre,0))),"⚠ Destino no registrado",IF(AND(P409="Pago tarjeta",AE409&lt;&gt;"Tarjeta de crédito"),"⚠ El destino debe ser tarjeta de crédito",IF(AND(P409="Gasto",E409="Depósitos y retiros"),"⚠ Usa tipo Transferencia",IF(AND(P409="Resultado trading",AD409&lt;&gt;"Cuenta de trading"),"⚠ Usa una cuenta de trading",IF(AND(G409&lt;=0,P409&lt;&gt;"Ajuste",P409&lt;&gt;"Resultado trading"),"⚠ El monto debe ser positivo","✓")))))))))))))))</f>
        <v/>
      </c>
      <c r="P409" s="52">
        <f>IF(OR(B409="",G409=""),"",IF(C409="","Gasto",C409))</f>
        <v/>
      </c>
      <c r="Q409" s="52">
        <f>IF(P409="","",IF(J409&lt;&gt;"",J409,CuentaPred&amp;""))</f>
        <v/>
      </c>
      <c r="R409" s="52">
        <f>IF(P409="","",IF(ISNUMBER(I409),I409,TasaUSD))</f>
        <v/>
      </c>
      <c r="S409" s="53">
        <f>IF(P409="","",IF(H409="USD",G409*R409,G409))</f>
        <v/>
      </c>
      <c r="T409" s="53">
        <f>IF(P409="","",IF(H409="USD",G409,IF(R409&gt;0,G409/R409,0)))</f>
        <v/>
      </c>
      <c r="U409" s="53">
        <f>IF(P409="","",IF(P409="Gasto",S409,IF(P409="Reembolso",-S409,0)))</f>
        <v/>
      </c>
      <c r="V409" s="53">
        <f>IF(P409="","",IF(P409="Ingreso",S409,0))</f>
        <v/>
      </c>
      <c r="W409" s="53">
        <f>IF(P409="","",IF(P409="Resultado trading",S409,0))</f>
        <v/>
      </c>
      <c r="X409" s="52">
        <f>IF(OR(P409="Gasto",P409="Reembolso"),IF(M409&lt;&gt;"",M409,IFERROR(INDEX(catClasif,MATCH(D409&amp;"|"&amp;E409,catClave,0))&amp;"","Variable")),"")</f>
        <v/>
      </c>
      <c r="Y409" s="52">
        <f>IF(P409="","",IFERROR(INDEX(catGrupo,MATCH(D409&amp;"|"&amp;E409,catClave,0))&amp;"",""))</f>
        <v/>
      </c>
      <c r="Z409" s="52">
        <f>IF(P409="","",WEEKDAY(B409,2))</f>
        <v/>
      </c>
      <c r="AA409" s="52">
        <f>IF(P409="","",IF(AND(P409="Gasto",X409="Variable",D409&lt;&gt;catTrading,S409&gt;0,S409&lt;=Umbral),1,0))</f>
        <v/>
      </c>
      <c r="AB409" s="52">
        <f>IF(OR(P409="",Q409=""),"",IFERROR(IF(INDEX(ctaVinc,MATCH(Q409,ctaNombre,0))&amp;""&lt;&gt;"",INDEX(ctaVinc,MATCH(Q409,ctaNombre,0))&amp;"",Q409),Q409))</f>
        <v/>
      </c>
      <c r="AC409" s="52">
        <f>IF(OR(K409="",AND(P409&lt;&gt;"Transferencia",P409&lt;&gt;"Pago tarjeta")),"",IFERROR(IF(INDEX(ctaVinc,MATCH(K409,ctaNombre,0))&amp;""&lt;&gt;"",INDEX(ctaVinc,MATCH(K409,ctaNombre,0))&amp;"",K409),K409))</f>
        <v/>
      </c>
      <c r="AD409" s="52">
        <f>IF(AB409="","",IFERROR(INDEX(ctaTipo,MATCH(AB409,ctaNombre,0))&amp;"",""))</f>
        <v/>
      </c>
      <c r="AE409" s="52">
        <f>IF(AC409="","",IFERROR(INDEX(ctaTipo,MATCH(AC409,ctaNombre,0))&amp;"",""))</f>
        <v/>
      </c>
      <c r="AF409" s="53">
        <f>IF(OR(P409="",AB409=""),"",IF(OR(P409="Gasto",P409="Transferencia",P409="Pago tarjeta"),-1,1)*IF(IFERROR(INDEX(ctaMoneda,MATCH(AB409,ctaNombre,0))&amp;"","DOP")="USD",T409,S409))</f>
        <v/>
      </c>
      <c r="AG409" s="53">
        <f>IF(AC409="","",IF(IFERROR(INDEX(ctaMoneda,MATCH(AC409,ctaNombre,0))&amp;"","DOP")="USD",T409,S409))</f>
        <v/>
      </c>
      <c r="AH409" s="53">
        <f>IF(P409="","",IF(AND(AD409&lt;&gt;"",COUNTIFS(tcTipo,AD409,tcLiq,"Sí")&gt;0),IF(OR(P409="Gasto",P409="Transferencia",P409="Pago tarjeta"),-1,1)*S409,0)+IF(AND(AE409&lt;&gt;"",COUNTIFS(tcTipo,AE409,tcLiq,"Sí")&gt;0),S409,0))</f>
        <v/>
      </c>
      <c r="AI409" s="52">
        <f>IF(OR(L409="",P409=""),"",IF(COUNTIFS(L$6:L409,L409,P$6:P409,"?*")=1,MAX(AI$5:AI408)+1,""))</f>
        <v/>
      </c>
    </row>
    <row r="410">
      <c r="B410" s="47" t="n"/>
      <c r="C410" s="48" t="n"/>
      <c r="D410" s="48" t="n"/>
      <c r="E410" s="48" t="n"/>
      <c r="F410" s="48" t="n"/>
      <c r="G410" s="49" t="n"/>
      <c r="H410" s="48" t="n"/>
      <c r="I410" s="50" t="n"/>
      <c r="J410" s="48" t="n"/>
      <c r="K410" s="48" t="n"/>
      <c r="L410" s="48" t="n"/>
      <c r="M410" s="48" t="n"/>
      <c r="N410" s="48" t="n"/>
      <c r="O410" s="51">
        <f>IF(AND(B410="",G410="",C410="",D410="",J410=""),"",IF(B410="","⚠ Falta fecha",IF(G410="","⚠ Falta monto",IF(Q410="","⚠ Falta cuenta",IF(ISNA(MATCH(Q410,ctaNombre,0)),"⚠ Cuenta no registrada",IF(AND(OR(P410="Gasto",P410="Reembolso"),D410=""),"⚠ Falta categoría",IF(AND(D410&lt;&gt;"",E410&lt;&gt;"",ISNA(MATCH(D410&amp;"|"&amp;E410,catClave,0))),"⚠ Subcategoría no corresponde",IF(AND(OR(P410="Transferencia",P410="Pago tarjeta"),K410=""),"⚠ Falta cuenta destino",IF(AND(K410&lt;&gt;"",P410&lt;&gt;"Transferencia",P410&lt;&gt;"Pago tarjeta"),"⚠ Destino solo aplica a transferencias",IF(AND(K410&lt;&gt;"",K410=Q410),"⚠ Origen igual a destino",IF(AND(K410&lt;&gt;"",ISNA(MATCH(K410,ctaNombre,0))),"⚠ Destino no registrado",IF(AND(P410="Pago tarjeta",AE410&lt;&gt;"Tarjeta de crédito"),"⚠ El destino debe ser tarjeta de crédito",IF(AND(P410="Gasto",E410="Depósitos y retiros"),"⚠ Usa tipo Transferencia",IF(AND(P410="Resultado trading",AD410&lt;&gt;"Cuenta de trading"),"⚠ Usa una cuenta de trading",IF(AND(G410&lt;=0,P410&lt;&gt;"Ajuste",P410&lt;&gt;"Resultado trading"),"⚠ El monto debe ser positivo","✓")))))))))))))))</f>
        <v/>
      </c>
      <c r="P410" s="52">
        <f>IF(OR(B410="",G410=""),"",IF(C410="","Gasto",C410))</f>
        <v/>
      </c>
      <c r="Q410" s="52">
        <f>IF(P410="","",IF(J410&lt;&gt;"",J410,CuentaPred&amp;""))</f>
        <v/>
      </c>
      <c r="R410" s="52">
        <f>IF(P410="","",IF(ISNUMBER(I410),I410,TasaUSD))</f>
        <v/>
      </c>
      <c r="S410" s="53">
        <f>IF(P410="","",IF(H410="USD",G410*R410,G410))</f>
        <v/>
      </c>
      <c r="T410" s="53">
        <f>IF(P410="","",IF(H410="USD",G410,IF(R410&gt;0,G410/R410,0)))</f>
        <v/>
      </c>
      <c r="U410" s="53">
        <f>IF(P410="","",IF(P410="Gasto",S410,IF(P410="Reembolso",-S410,0)))</f>
        <v/>
      </c>
      <c r="V410" s="53">
        <f>IF(P410="","",IF(P410="Ingreso",S410,0))</f>
        <v/>
      </c>
      <c r="W410" s="53">
        <f>IF(P410="","",IF(P410="Resultado trading",S410,0))</f>
        <v/>
      </c>
      <c r="X410" s="52">
        <f>IF(OR(P410="Gasto",P410="Reembolso"),IF(M410&lt;&gt;"",M410,IFERROR(INDEX(catClasif,MATCH(D410&amp;"|"&amp;E410,catClave,0))&amp;"","Variable")),"")</f>
        <v/>
      </c>
      <c r="Y410" s="52">
        <f>IF(P410="","",IFERROR(INDEX(catGrupo,MATCH(D410&amp;"|"&amp;E410,catClave,0))&amp;"",""))</f>
        <v/>
      </c>
      <c r="Z410" s="52">
        <f>IF(P410="","",WEEKDAY(B410,2))</f>
        <v/>
      </c>
      <c r="AA410" s="52">
        <f>IF(P410="","",IF(AND(P410="Gasto",X410="Variable",D410&lt;&gt;catTrading,S410&gt;0,S410&lt;=Umbral),1,0))</f>
        <v/>
      </c>
      <c r="AB410" s="52">
        <f>IF(OR(P410="",Q410=""),"",IFERROR(IF(INDEX(ctaVinc,MATCH(Q410,ctaNombre,0))&amp;""&lt;&gt;"",INDEX(ctaVinc,MATCH(Q410,ctaNombre,0))&amp;"",Q410),Q410))</f>
        <v/>
      </c>
      <c r="AC410" s="52">
        <f>IF(OR(K410="",AND(P410&lt;&gt;"Transferencia",P410&lt;&gt;"Pago tarjeta")),"",IFERROR(IF(INDEX(ctaVinc,MATCH(K410,ctaNombre,0))&amp;""&lt;&gt;"",INDEX(ctaVinc,MATCH(K410,ctaNombre,0))&amp;"",K410),K410))</f>
        <v/>
      </c>
      <c r="AD410" s="52">
        <f>IF(AB410="","",IFERROR(INDEX(ctaTipo,MATCH(AB410,ctaNombre,0))&amp;"",""))</f>
        <v/>
      </c>
      <c r="AE410" s="52">
        <f>IF(AC410="","",IFERROR(INDEX(ctaTipo,MATCH(AC410,ctaNombre,0))&amp;"",""))</f>
        <v/>
      </c>
      <c r="AF410" s="53">
        <f>IF(OR(P410="",AB410=""),"",IF(OR(P410="Gasto",P410="Transferencia",P410="Pago tarjeta"),-1,1)*IF(IFERROR(INDEX(ctaMoneda,MATCH(AB410,ctaNombre,0))&amp;"","DOP")="USD",T410,S410))</f>
        <v/>
      </c>
      <c r="AG410" s="53">
        <f>IF(AC410="","",IF(IFERROR(INDEX(ctaMoneda,MATCH(AC410,ctaNombre,0))&amp;"","DOP")="USD",T410,S410))</f>
        <v/>
      </c>
      <c r="AH410" s="53">
        <f>IF(P410="","",IF(AND(AD410&lt;&gt;"",COUNTIFS(tcTipo,AD410,tcLiq,"Sí")&gt;0),IF(OR(P410="Gasto",P410="Transferencia",P410="Pago tarjeta"),-1,1)*S410,0)+IF(AND(AE410&lt;&gt;"",COUNTIFS(tcTipo,AE410,tcLiq,"Sí")&gt;0),S410,0))</f>
        <v/>
      </c>
      <c r="AI410" s="52">
        <f>IF(OR(L410="",P410=""),"",IF(COUNTIFS(L$6:L410,L410,P$6:P410,"?*")=1,MAX(AI$5:AI409)+1,""))</f>
        <v/>
      </c>
    </row>
    <row r="411">
      <c r="B411" s="47" t="n"/>
      <c r="C411" s="48" t="n"/>
      <c r="D411" s="48" t="n"/>
      <c r="E411" s="48" t="n"/>
      <c r="F411" s="48" t="n"/>
      <c r="G411" s="49" t="n"/>
      <c r="H411" s="48" t="n"/>
      <c r="I411" s="50" t="n"/>
      <c r="J411" s="48" t="n"/>
      <c r="K411" s="48" t="n"/>
      <c r="L411" s="48" t="n"/>
      <c r="M411" s="48" t="n"/>
      <c r="N411" s="48" t="n"/>
      <c r="O411" s="51">
        <f>IF(AND(B411="",G411="",C411="",D411="",J411=""),"",IF(B411="","⚠ Falta fecha",IF(G411="","⚠ Falta monto",IF(Q411="","⚠ Falta cuenta",IF(ISNA(MATCH(Q411,ctaNombre,0)),"⚠ Cuenta no registrada",IF(AND(OR(P411="Gasto",P411="Reembolso"),D411=""),"⚠ Falta categoría",IF(AND(D411&lt;&gt;"",E411&lt;&gt;"",ISNA(MATCH(D411&amp;"|"&amp;E411,catClave,0))),"⚠ Subcategoría no corresponde",IF(AND(OR(P411="Transferencia",P411="Pago tarjeta"),K411=""),"⚠ Falta cuenta destino",IF(AND(K411&lt;&gt;"",P411&lt;&gt;"Transferencia",P411&lt;&gt;"Pago tarjeta"),"⚠ Destino solo aplica a transferencias",IF(AND(K411&lt;&gt;"",K411=Q411),"⚠ Origen igual a destino",IF(AND(K411&lt;&gt;"",ISNA(MATCH(K411,ctaNombre,0))),"⚠ Destino no registrado",IF(AND(P411="Pago tarjeta",AE411&lt;&gt;"Tarjeta de crédito"),"⚠ El destino debe ser tarjeta de crédito",IF(AND(P411="Gasto",E411="Depósitos y retiros"),"⚠ Usa tipo Transferencia",IF(AND(P411="Resultado trading",AD411&lt;&gt;"Cuenta de trading"),"⚠ Usa una cuenta de trading",IF(AND(G411&lt;=0,P411&lt;&gt;"Ajuste",P411&lt;&gt;"Resultado trading"),"⚠ El monto debe ser positivo","✓")))))))))))))))</f>
        <v/>
      </c>
      <c r="P411" s="52">
        <f>IF(OR(B411="",G411=""),"",IF(C411="","Gasto",C411))</f>
        <v/>
      </c>
      <c r="Q411" s="52">
        <f>IF(P411="","",IF(J411&lt;&gt;"",J411,CuentaPred&amp;""))</f>
        <v/>
      </c>
      <c r="R411" s="52">
        <f>IF(P411="","",IF(ISNUMBER(I411),I411,TasaUSD))</f>
        <v/>
      </c>
      <c r="S411" s="53">
        <f>IF(P411="","",IF(H411="USD",G411*R411,G411))</f>
        <v/>
      </c>
      <c r="T411" s="53">
        <f>IF(P411="","",IF(H411="USD",G411,IF(R411&gt;0,G411/R411,0)))</f>
        <v/>
      </c>
      <c r="U411" s="53">
        <f>IF(P411="","",IF(P411="Gasto",S411,IF(P411="Reembolso",-S411,0)))</f>
        <v/>
      </c>
      <c r="V411" s="53">
        <f>IF(P411="","",IF(P411="Ingreso",S411,0))</f>
        <v/>
      </c>
      <c r="W411" s="53">
        <f>IF(P411="","",IF(P411="Resultado trading",S411,0))</f>
        <v/>
      </c>
      <c r="X411" s="52">
        <f>IF(OR(P411="Gasto",P411="Reembolso"),IF(M411&lt;&gt;"",M411,IFERROR(INDEX(catClasif,MATCH(D411&amp;"|"&amp;E411,catClave,0))&amp;"","Variable")),"")</f>
        <v/>
      </c>
      <c r="Y411" s="52">
        <f>IF(P411="","",IFERROR(INDEX(catGrupo,MATCH(D411&amp;"|"&amp;E411,catClave,0))&amp;"",""))</f>
        <v/>
      </c>
      <c r="Z411" s="52">
        <f>IF(P411="","",WEEKDAY(B411,2))</f>
        <v/>
      </c>
      <c r="AA411" s="52">
        <f>IF(P411="","",IF(AND(P411="Gasto",X411="Variable",D411&lt;&gt;catTrading,S411&gt;0,S411&lt;=Umbral),1,0))</f>
        <v/>
      </c>
      <c r="AB411" s="52">
        <f>IF(OR(P411="",Q411=""),"",IFERROR(IF(INDEX(ctaVinc,MATCH(Q411,ctaNombre,0))&amp;""&lt;&gt;"",INDEX(ctaVinc,MATCH(Q411,ctaNombre,0))&amp;"",Q411),Q411))</f>
        <v/>
      </c>
      <c r="AC411" s="52">
        <f>IF(OR(K411="",AND(P411&lt;&gt;"Transferencia",P411&lt;&gt;"Pago tarjeta")),"",IFERROR(IF(INDEX(ctaVinc,MATCH(K411,ctaNombre,0))&amp;""&lt;&gt;"",INDEX(ctaVinc,MATCH(K411,ctaNombre,0))&amp;"",K411),K411))</f>
        <v/>
      </c>
      <c r="AD411" s="52">
        <f>IF(AB411="","",IFERROR(INDEX(ctaTipo,MATCH(AB411,ctaNombre,0))&amp;"",""))</f>
        <v/>
      </c>
      <c r="AE411" s="52">
        <f>IF(AC411="","",IFERROR(INDEX(ctaTipo,MATCH(AC411,ctaNombre,0))&amp;"",""))</f>
        <v/>
      </c>
      <c r="AF411" s="53">
        <f>IF(OR(P411="",AB411=""),"",IF(OR(P411="Gasto",P411="Transferencia",P411="Pago tarjeta"),-1,1)*IF(IFERROR(INDEX(ctaMoneda,MATCH(AB411,ctaNombre,0))&amp;"","DOP")="USD",T411,S411))</f>
        <v/>
      </c>
      <c r="AG411" s="53">
        <f>IF(AC411="","",IF(IFERROR(INDEX(ctaMoneda,MATCH(AC411,ctaNombre,0))&amp;"","DOP")="USD",T411,S411))</f>
        <v/>
      </c>
      <c r="AH411" s="53">
        <f>IF(P411="","",IF(AND(AD411&lt;&gt;"",COUNTIFS(tcTipo,AD411,tcLiq,"Sí")&gt;0),IF(OR(P411="Gasto",P411="Transferencia",P411="Pago tarjeta"),-1,1)*S411,0)+IF(AND(AE411&lt;&gt;"",COUNTIFS(tcTipo,AE411,tcLiq,"Sí")&gt;0),S411,0))</f>
        <v/>
      </c>
      <c r="AI411" s="52">
        <f>IF(OR(L411="",P411=""),"",IF(COUNTIFS(L$6:L411,L411,P$6:P411,"?*")=1,MAX(AI$5:AI410)+1,""))</f>
        <v/>
      </c>
    </row>
    <row r="412">
      <c r="B412" s="47" t="n"/>
      <c r="C412" s="48" t="n"/>
      <c r="D412" s="48" t="n"/>
      <c r="E412" s="48" t="n"/>
      <c r="F412" s="48" t="n"/>
      <c r="G412" s="49" t="n"/>
      <c r="H412" s="48" t="n"/>
      <c r="I412" s="50" t="n"/>
      <c r="J412" s="48" t="n"/>
      <c r="K412" s="48" t="n"/>
      <c r="L412" s="48" t="n"/>
      <c r="M412" s="48" t="n"/>
      <c r="N412" s="48" t="n"/>
      <c r="O412" s="51">
        <f>IF(AND(B412="",G412="",C412="",D412="",J412=""),"",IF(B412="","⚠ Falta fecha",IF(G412="","⚠ Falta monto",IF(Q412="","⚠ Falta cuenta",IF(ISNA(MATCH(Q412,ctaNombre,0)),"⚠ Cuenta no registrada",IF(AND(OR(P412="Gasto",P412="Reembolso"),D412=""),"⚠ Falta categoría",IF(AND(D412&lt;&gt;"",E412&lt;&gt;"",ISNA(MATCH(D412&amp;"|"&amp;E412,catClave,0))),"⚠ Subcategoría no corresponde",IF(AND(OR(P412="Transferencia",P412="Pago tarjeta"),K412=""),"⚠ Falta cuenta destino",IF(AND(K412&lt;&gt;"",P412&lt;&gt;"Transferencia",P412&lt;&gt;"Pago tarjeta"),"⚠ Destino solo aplica a transferencias",IF(AND(K412&lt;&gt;"",K412=Q412),"⚠ Origen igual a destino",IF(AND(K412&lt;&gt;"",ISNA(MATCH(K412,ctaNombre,0))),"⚠ Destino no registrado",IF(AND(P412="Pago tarjeta",AE412&lt;&gt;"Tarjeta de crédito"),"⚠ El destino debe ser tarjeta de crédito",IF(AND(P412="Gasto",E412="Depósitos y retiros"),"⚠ Usa tipo Transferencia",IF(AND(P412="Resultado trading",AD412&lt;&gt;"Cuenta de trading"),"⚠ Usa una cuenta de trading",IF(AND(G412&lt;=0,P412&lt;&gt;"Ajuste",P412&lt;&gt;"Resultado trading"),"⚠ El monto debe ser positivo","✓")))))))))))))))</f>
        <v/>
      </c>
      <c r="P412" s="52">
        <f>IF(OR(B412="",G412=""),"",IF(C412="","Gasto",C412))</f>
        <v/>
      </c>
      <c r="Q412" s="52">
        <f>IF(P412="","",IF(J412&lt;&gt;"",J412,CuentaPred&amp;""))</f>
        <v/>
      </c>
      <c r="R412" s="52">
        <f>IF(P412="","",IF(ISNUMBER(I412),I412,TasaUSD))</f>
        <v/>
      </c>
      <c r="S412" s="53">
        <f>IF(P412="","",IF(H412="USD",G412*R412,G412))</f>
        <v/>
      </c>
      <c r="T412" s="53">
        <f>IF(P412="","",IF(H412="USD",G412,IF(R412&gt;0,G412/R412,0)))</f>
        <v/>
      </c>
      <c r="U412" s="53">
        <f>IF(P412="","",IF(P412="Gasto",S412,IF(P412="Reembolso",-S412,0)))</f>
        <v/>
      </c>
      <c r="V412" s="53">
        <f>IF(P412="","",IF(P412="Ingreso",S412,0))</f>
        <v/>
      </c>
      <c r="W412" s="53">
        <f>IF(P412="","",IF(P412="Resultado trading",S412,0))</f>
        <v/>
      </c>
      <c r="X412" s="52">
        <f>IF(OR(P412="Gasto",P412="Reembolso"),IF(M412&lt;&gt;"",M412,IFERROR(INDEX(catClasif,MATCH(D412&amp;"|"&amp;E412,catClave,0))&amp;"","Variable")),"")</f>
        <v/>
      </c>
      <c r="Y412" s="52">
        <f>IF(P412="","",IFERROR(INDEX(catGrupo,MATCH(D412&amp;"|"&amp;E412,catClave,0))&amp;"",""))</f>
        <v/>
      </c>
      <c r="Z412" s="52">
        <f>IF(P412="","",WEEKDAY(B412,2))</f>
        <v/>
      </c>
      <c r="AA412" s="52">
        <f>IF(P412="","",IF(AND(P412="Gasto",X412="Variable",D412&lt;&gt;catTrading,S412&gt;0,S412&lt;=Umbral),1,0))</f>
        <v/>
      </c>
      <c r="AB412" s="52">
        <f>IF(OR(P412="",Q412=""),"",IFERROR(IF(INDEX(ctaVinc,MATCH(Q412,ctaNombre,0))&amp;""&lt;&gt;"",INDEX(ctaVinc,MATCH(Q412,ctaNombre,0))&amp;"",Q412),Q412))</f>
        <v/>
      </c>
      <c r="AC412" s="52">
        <f>IF(OR(K412="",AND(P412&lt;&gt;"Transferencia",P412&lt;&gt;"Pago tarjeta")),"",IFERROR(IF(INDEX(ctaVinc,MATCH(K412,ctaNombre,0))&amp;""&lt;&gt;"",INDEX(ctaVinc,MATCH(K412,ctaNombre,0))&amp;"",K412),K412))</f>
        <v/>
      </c>
      <c r="AD412" s="52">
        <f>IF(AB412="","",IFERROR(INDEX(ctaTipo,MATCH(AB412,ctaNombre,0))&amp;"",""))</f>
        <v/>
      </c>
      <c r="AE412" s="52">
        <f>IF(AC412="","",IFERROR(INDEX(ctaTipo,MATCH(AC412,ctaNombre,0))&amp;"",""))</f>
        <v/>
      </c>
      <c r="AF412" s="53">
        <f>IF(OR(P412="",AB412=""),"",IF(OR(P412="Gasto",P412="Transferencia",P412="Pago tarjeta"),-1,1)*IF(IFERROR(INDEX(ctaMoneda,MATCH(AB412,ctaNombre,0))&amp;"","DOP")="USD",T412,S412))</f>
        <v/>
      </c>
      <c r="AG412" s="53">
        <f>IF(AC412="","",IF(IFERROR(INDEX(ctaMoneda,MATCH(AC412,ctaNombre,0))&amp;"","DOP")="USD",T412,S412))</f>
        <v/>
      </c>
      <c r="AH412" s="53">
        <f>IF(P412="","",IF(AND(AD412&lt;&gt;"",COUNTIFS(tcTipo,AD412,tcLiq,"Sí")&gt;0),IF(OR(P412="Gasto",P412="Transferencia",P412="Pago tarjeta"),-1,1)*S412,0)+IF(AND(AE412&lt;&gt;"",COUNTIFS(tcTipo,AE412,tcLiq,"Sí")&gt;0),S412,0))</f>
        <v/>
      </c>
      <c r="AI412" s="52">
        <f>IF(OR(L412="",P412=""),"",IF(COUNTIFS(L$6:L412,L412,P$6:P412,"?*")=1,MAX(AI$5:AI411)+1,""))</f>
        <v/>
      </c>
    </row>
    <row r="413">
      <c r="B413" s="47" t="n"/>
      <c r="C413" s="48" t="n"/>
      <c r="D413" s="48" t="n"/>
      <c r="E413" s="48" t="n"/>
      <c r="F413" s="48" t="n"/>
      <c r="G413" s="49" t="n"/>
      <c r="H413" s="48" t="n"/>
      <c r="I413" s="50" t="n"/>
      <c r="J413" s="48" t="n"/>
      <c r="K413" s="48" t="n"/>
      <c r="L413" s="48" t="n"/>
      <c r="M413" s="48" t="n"/>
      <c r="N413" s="48" t="n"/>
      <c r="O413" s="51">
        <f>IF(AND(B413="",G413="",C413="",D413="",J413=""),"",IF(B413="","⚠ Falta fecha",IF(G413="","⚠ Falta monto",IF(Q413="","⚠ Falta cuenta",IF(ISNA(MATCH(Q413,ctaNombre,0)),"⚠ Cuenta no registrada",IF(AND(OR(P413="Gasto",P413="Reembolso"),D413=""),"⚠ Falta categoría",IF(AND(D413&lt;&gt;"",E413&lt;&gt;"",ISNA(MATCH(D413&amp;"|"&amp;E413,catClave,0))),"⚠ Subcategoría no corresponde",IF(AND(OR(P413="Transferencia",P413="Pago tarjeta"),K413=""),"⚠ Falta cuenta destino",IF(AND(K413&lt;&gt;"",P413&lt;&gt;"Transferencia",P413&lt;&gt;"Pago tarjeta"),"⚠ Destino solo aplica a transferencias",IF(AND(K413&lt;&gt;"",K413=Q413),"⚠ Origen igual a destino",IF(AND(K413&lt;&gt;"",ISNA(MATCH(K413,ctaNombre,0))),"⚠ Destino no registrado",IF(AND(P413="Pago tarjeta",AE413&lt;&gt;"Tarjeta de crédito"),"⚠ El destino debe ser tarjeta de crédito",IF(AND(P413="Gasto",E413="Depósitos y retiros"),"⚠ Usa tipo Transferencia",IF(AND(P413="Resultado trading",AD413&lt;&gt;"Cuenta de trading"),"⚠ Usa una cuenta de trading",IF(AND(G413&lt;=0,P413&lt;&gt;"Ajuste",P413&lt;&gt;"Resultado trading"),"⚠ El monto debe ser positivo","✓")))))))))))))))</f>
        <v/>
      </c>
      <c r="P413" s="52">
        <f>IF(OR(B413="",G413=""),"",IF(C413="","Gasto",C413))</f>
        <v/>
      </c>
      <c r="Q413" s="52">
        <f>IF(P413="","",IF(J413&lt;&gt;"",J413,CuentaPred&amp;""))</f>
        <v/>
      </c>
      <c r="R413" s="52">
        <f>IF(P413="","",IF(ISNUMBER(I413),I413,TasaUSD))</f>
        <v/>
      </c>
      <c r="S413" s="53">
        <f>IF(P413="","",IF(H413="USD",G413*R413,G413))</f>
        <v/>
      </c>
      <c r="T413" s="53">
        <f>IF(P413="","",IF(H413="USD",G413,IF(R413&gt;0,G413/R413,0)))</f>
        <v/>
      </c>
      <c r="U413" s="53">
        <f>IF(P413="","",IF(P413="Gasto",S413,IF(P413="Reembolso",-S413,0)))</f>
        <v/>
      </c>
      <c r="V413" s="53">
        <f>IF(P413="","",IF(P413="Ingreso",S413,0))</f>
        <v/>
      </c>
      <c r="W413" s="53">
        <f>IF(P413="","",IF(P413="Resultado trading",S413,0))</f>
        <v/>
      </c>
      <c r="X413" s="52">
        <f>IF(OR(P413="Gasto",P413="Reembolso"),IF(M413&lt;&gt;"",M413,IFERROR(INDEX(catClasif,MATCH(D413&amp;"|"&amp;E413,catClave,0))&amp;"","Variable")),"")</f>
        <v/>
      </c>
      <c r="Y413" s="52">
        <f>IF(P413="","",IFERROR(INDEX(catGrupo,MATCH(D413&amp;"|"&amp;E413,catClave,0))&amp;"",""))</f>
        <v/>
      </c>
      <c r="Z413" s="52">
        <f>IF(P413="","",WEEKDAY(B413,2))</f>
        <v/>
      </c>
      <c r="AA413" s="52">
        <f>IF(P413="","",IF(AND(P413="Gasto",X413="Variable",D413&lt;&gt;catTrading,S413&gt;0,S413&lt;=Umbral),1,0))</f>
        <v/>
      </c>
      <c r="AB413" s="52">
        <f>IF(OR(P413="",Q413=""),"",IFERROR(IF(INDEX(ctaVinc,MATCH(Q413,ctaNombre,0))&amp;""&lt;&gt;"",INDEX(ctaVinc,MATCH(Q413,ctaNombre,0))&amp;"",Q413),Q413))</f>
        <v/>
      </c>
      <c r="AC413" s="52">
        <f>IF(OR(K413="",AND(P413&lt;&gt;"Transferencia",P413&lt;&gt;"Pago tarjeta")),"",IFERROR(IF(INDEX(ctaVinc,MATCH(K413,ctaNombre,0))&amp;""&lt;&gt;"",INDEX(ctaVinc,MATCH(K413,ctaNombre,0))&amp;"",K413),K413))</f>
        <v/>
      </c>
      <c r="AD413" s="52">
        <f>IF(AB413="","",IFERROR(INDEX(ctaTipo,MATCH(AB413,ctaNombre,0))&amp;"",""))</f>
        <v/>
      </c>
      <c r="AE413" s="52">
        <f>IF(AC413="","",IFERROR(INDEX(ctaTipo,MATCH(AC413,ctaNombre,0))&amp;"",""))</f>
        <v/>
      </c>
      <c r="AF413" s="53">
        <f>IF(OR(P413="",AB413=""),"",IF(OR(P413="Gasto",P413="Transferencia",P413="Pago tarjeta"),-1,1)*IF(IFERROR(INDEX(ctaMoneda,MATCH(AB413,ctaNombre,0))&amp;"","DOP")="USD",T413,S413))</f>
        <v/>
      </c>
      <c r="AG413" s="53">
        <f>IF(AC413="","",IF(IFERROR(INDEX(ctaMoneda,MATCH(AC413,ctaNombre,0))&amp;"","DOP")="USD",T413,S413))</f>
        <v/>
      </c>
      <c r="AH413" s="53">
        <f>IF(P413="","",IF(AND(AD413&lt;&gt;"",COUNTIFS(tcTipo,AD413,tcLiq,"Sí")&gt;0),IF(OR(P413="Gasto",P413="Transferencia",P413="Pago tarjeta"),-1,1)*S413,0)+IF(AND(AE413&lt;&gt;"",COUNTIFS(tcTipo,AE413,tcLiq,"Sí")&gt;0),S413,0))</f>
        <v/>
      </c>
      <c r="AI413" s="52">
        <f>IF(OR(L413="",P413=""),"",IF(COUNTIFS(L$6:L413,L413,P$6:P413,"?*")=1,MAX(AI$5:AI412)+1,""))</f>
        <v/>
      </c>
    </row>
    <row r="414">
      <c r="B414" s="47" t="n"/>
      <c r="C414" s="48" t="n"/>
      <c r="D414" s="48" t="n"/>
      <c r="E414" s="48" t="n"/>
      <c r="F414" s="48" t="n"/>
      <c r="G414" s="49" t="n"/>
      <c r="H414" s="48" t="n"/>
      <c r="I414" s="50" t="n"/>
      <c r="J414" s="48" t="n"/>
      <c r="K414" s="48" t="n"/>
      <c r="L414" s="48" t="n"/>
      <c r="M414" s="48" t="n"/>
      <c r="N414" s="48" t="n"/>
      <c r="O414" s="51">
        <f>IF(AND(B414="",G414="",C414="",D414="",J414=""),"",IF(B414="","⚠ Falta fecha",IF(G414="","⚠ Falta monto",IF(Q414="","⚠ Falta cuenta",IF(ISNA(MATCH(Q414,ctaNombre,0)),"⚠ Cuenta no registrada",IF(AND(OR(P414="Gasto",P414="Reembolso"),D414=""),"⚠ Falta categoría",IF(AND(D414&lt;&gt;"",E414&lt;&gt;"",ISNA(MATCH(D414&amp;"|"&amp;E414,catClave,0))),"⚠ Subcategoría no corresponde",IF(AND(OR(P414="Transferencia",P414="Pago tarjeta"),K414=""),"⚠ Falta cuenta destino",IF(AND(K414&lt;&gt;"",P414&lt;&gt;"Transferencia",P414&lt;&gt;"Pago tarjeta"),"⚠ Destino solo aplica a transferencias",IF(AND(K414&lt;&gt;"",K414=Q414),"⚠ Origen igual a destino",IF(AND(K414&lt;&gt;"",ISNA(MATCH(K414,ctaNombre,0))),"⚠ Destino no registrado",IF(AND(P414="Pago tarjeta",AE414&lt;&gt;"Tarjeta de crédito"),"⚠ El destino debe ser tarjeta de crédito",IF(AND(P414="Gasto",E414="Depósitos y retiros"),"⚠ Usa tipo Transferencia",IF(AND(P414="Resultado trading",AD414&lt;&gt;"Cuenta de trading"),"⚠ Usa una cuenta de trading",IF(AND(G414&lt;=0,P414&lt;&gt;"Ajuste",P414&lt;&gt;"Resultado trading"),"⚠ El monto debe ser positivo","✓")))))))))))))))</f>
        <v/>
      </c>
      <c r="P414" s="52">
        <f>IF(OR(B414="",G414=""),"",IF(C414="","Gasto",C414))</f>
        <v/>
      </c>
      <c r="Q414" s="52">
        <f>IF(P414="","",IF(J414&lt;&gt;"",J414,CuentaPred&amp;""))</f>
        <v/>
      </c>
      <c r="R414" s="52">
        <f>IF(P414="","",IF(ISNUMBER(I414),I414,TasaUSD))</f>
        <v/>
      </c>
      <c r="S414" s="53">
        <f>IF(P414="","",IF(H414="USD",G414*R414,G414))</f>
        <v/>
      </c>
      <c r="T414" s="53">
        <f>IF(P414="","",IF(H414="USD",G414,IF(R414&gt;0,G414/R414,0)))</f>
        <v/>
      </c>
      <c r="U414" s="53">
        <f>IF(P414="","",IF(P414="Gasto",S414,IF(P414="Reembolso",-S414,0)))</f>
        <v/>
      </c>
      <c r="V414" s="53">
        <f>IF(P414="","",IF(P414="Ingreso",S414,0))</f>
        <v/>
      </c>
      <c r="W414" s="53">
        <f>IF(P414="","",IF(P414="Resultado trading",S414,0))</f>
        <v/>
      </c>
      <c r="X414" s="52">
        <f>IF(OR(P414="Gasto",P414="Reembolso"),IF(M414&lt;&gt;"",M414,IFERROR(INDEX(catClasif,MATCH(D414&amp;"|"&amp;E414,catClave,0))&amp;"","Variable")),"")</f>
        <v/>
      </c>
      <c r="Y414" s="52">
        <f>IF(P414="","",IFERROR(INDEX(catGrupo,MATCH(D414&amp;"|"&amp;E414,catClave,0))&amp;"",""))</f>
        <v/>
      </c>
      <c r="Z414" s="52">
        <f>IF(P414="","",WEEKDAY(B414,2))</f>
        <v/>
      </c>
      <c r="AA414" s="52">
        <f>IF(P414="","",IF(AND(P414="Gasto",X414="Variable",D414&lt;&gt;catTrading,S414&gt;0,S414&lt;=Umbral),1,0))</f>
        <v/>
      </c>
      <c r="AB414" s="52">
        <f>IF(OR(P414="",Q414=""),"",IFERROR(IF(INDEX(ctaVinc,MATCH(Q414,ctaNombre,0))&amp;""&lt;&gt;"",INDEX(ctaVinc,MATCH(Q414,ctaNombre,0))&amp;"",Q414),Q414))</f>
        <v/>
      </c>
      <c r="AC414" s="52">
        <f>IF(OR(K414="",AND(P414&lt;&gt;"Transferencia",P414&lt;&gt;"Pago tarjeta")),"",IFERROR(IF(INDEX(ctaVinc,MATCH(K414,ctaNombre,0))&amp;""&lt;&gt;"",INDEX(ctaVinc,MATCH(K414,ctaNombre,0))&amp;"",K414),K414))</f>
        <v/>
      </c>
      <c r="AD414" s="52">
        <f>IF(AB414="","",IFERROR(INDEX(ctaTipo,MATCH(AB414,ctaNombre,0))&amp;"",""))</f>
        <v/>
      </c>
      <c r="AE414" s="52">
        <f>IF(AC414="","",IFERROR(INDEX(ctaTipo,MATCH(AC414,ctaNombre,0))&amp;"",""))</f>
        <v/>
      </c>
      <c r="AF414" s="53">
        <f>IF(OR(P414="",AB414=""),"",IF(OR(P414="Gasto",P414="Transferencia",P414="Pago tarjeta"),-1,1)*IF(IFERROR(INDEX(ctaMoneda,MATCH(AB414,ctaNombre,0))&amp;"","DOP")="USD",T414,S414))</f>
        <v/>
      </c>
      <c r="AG414" s="53">
        <f>IF(AC414="","",IF(IFERROR(INDEX(ctaMoneda,MATCH(AC414,ctaNombre,0))&amp;"","DOP")="USD",T414,S414))</f>
        <v/>
      </c>
      <c r="AH414" s="53">
        <f>IF(P414="","",IF(AND(AD414&lt;&gt;"",COUNTIFS(tcTipo,AD414,tcLiq,"Sí")&gt;0),IF(OR(P414="Gasto",P414="Transferencia",P414="Pago tarjeta"),-1,1)*S414,0)+IF(AND(AE414&lt;&gt;"",COUNTIFS(tcTipo,AE414,tcLiq,"Sí")&gt;0),S414,0))</f>
        <v/>
      </c>
      <c r="AI414" s="52">
        <f>IF(OR(L414="",P414=""),"",IF(COUNTIFS(L$6:L414,L414,P$6:P414,"?*")=1,MAX(AI$5:AI413)+1,""))</f>
        <v/>
      </c>
    </row>
    <row r="415">
      <c r="B415" s="47" t="n"/>
      <c r="C415" s="48" t="n"/>
      <c r="D415" s="48" t="n"/>
      <c r="E415" s="48" t="n"/>
      <c r="F415" s="48" t="n"/>
      <c r="G415" s="49" t="n"/>
      <c r="H415" s="48" t="n"/>
      <c r="I415" s="50" t="n"/>
      <c r="J415" s="48" t="n"/>
      <c r="K415" s="48" t="n"/>
      <c r="L415" s="48" t="n"/>
      <c r="M415" s="48" t="n"/>
      <c r="N415" s="48" t="n"/>
      <c r="O415" s="51">
        <f>IF(AND(B415="",G415="",C415="",D415="",J415=""),"",IF(B415="","⚠ Falta fecha",IF(G415="","⚠ Falta monto",IF(Q415="","⚠ Falta cuenta",IF(ISNA(MATCH(Q415,ctaNombre,0)),"⚠ Cuenta no registrada",IF(AND(OR(P415="Gasto",P415="Reembolso"),D415=""),"⚠ Falta categoría",IF(AND(D415&lt;&gt;"",E415&lt;&gt;"",ISNA(MATCH(D415&amp;"|"&amp;E415,catClave,0))),"⚠ Subcategoría no corresponde",IF(AND(OR(P415="Transferencia",P415="Pago tarjeta"),K415=""),"⚠ Falta cuenta destino",IF(AND(K415&lt;&gt;"",P415&lt;&gt;"Transferencia",P415&lt;&gt;"Pago tarjeta"),"⚠ Destino solo aplica a transferencias",IF(AND(K415&lt;&gt;"",K415=Q415),"⚠ Origen igual a destino",IF(AND(K415&lt;&gt;"",ISNA(MATCH(K415,ctaNombre,0))),"⚠ Destino no registrado",IF(AND(P415="Pago tarjeta",AE415&lt;&gt;"Tarjeta de crédito"),"⚠ El destino debe ser tarjeta de crédito",IF(AND(P415="Gasto",E415="Depósitos y retiros"),"⚠ Usa tipo Transferencia",IF(AND(P415="Resultado trading",AD415&lt;&gt;"Cuenta de trading"),"⚠ Usa una cuenta de trading",IF(AND(G415&lt;=0,P415&lt;&gt;"Ajuste",P415&lt;&gt;"Resultado trading"),"⚠ El monto debe ser positivo","✓")))))))))))))))</f>
        <v/>
      </c>
      <c r="P415" s="52">
        <f>IF(OR(B415="",G415=""),"",IF(C415="","Gasto",C415))</f>
        <v/>
      </c>
      <c r="Q415" s="52">
        <f>IF(P415="","",IF(J415&lt;&gt;"",J415,CuentaPred&amp;""))</f>
        <v/>
      </c>
      <c r="R415" s="52">
        <f>IF(P415="","",IF(ISNUMBER(I415),I415,TasaUSD))</f>
        <v/>
      </c>
      <c r="S415" s="53">
        <f>IF(P415="","",IF(H415="USD",G415*R415,G415))</f>
        <v/>
      </c>
      <c r="T415" s="53">
        <f>IF(P415="","",IF(H415="USD",G415,IF(R415&gt;0,G415/R415,0)))</f>
        <v/>
      </c>
      <c r="U415" s="53">
        <f>IF(P415="","",IF(P415="Gasto",S415,IF(P415="Reembolso",-S415,0)))</f>
        <v/>
      </c>
      <c r="V415" s="53">
        <f>IF(P415="","",IF(P415="Ingreso",S415,0))</f>
        <v/>
      </c>
      <c r="W415" s="53">
        <f>IF(P415="","",IF(P415="Resultado trading",S415,0))</f>
        <v/>
      </c>
      <c r="X415" s="52">
        <f>IF(OR(P415="Gasto",P415="Reembolso"),IF(M415&lt;&gt;"",M415,IFERROR(INDEX(catClasif,MATCH(D415&amp;"|"&amp;E415,catClave,0))&amp;"","Variable")),"")</f>
        <v/>
      </c>
      <c r="Y415" s="52">
        <f>IF(P415="","",IFERROR(INDEX(catGrupo,MATCH(D415&amp;"|"&amp;E415,catClave,0))&amp;"",""))</f>
        <v/>
      </c>
      <c r="Z415" s="52">
        <f>IF(P415="","",WEEKDAY(B415,2))</f>
        <v/>
      </c>
      <c r="AA415" s="52">
        <f>IF(P415="","",IF(AND(P415="Gasto",X415="Variable",D415&lt;&gt;catTrading,S415&gt;0,S415&lt;=Umbral),1,0))</f>
        <v/>
      </c>
      <c r="AB415" s="52">
        <f>IF(OR(P415="",Q415=""),"",IFERROR(IF(INDEX(ctaVinc,MATCH(Q415,ctaNombre,0))&amp;""&lt;&gt;"",INDEX(ctaVinc,MATCH(Q415,ctaNombre,0))&amp;"",Q415),Q415))</f>
        <v/>
      </c>
      <c r="AC415" s="52">
        <f>IF(OR(K415="",AND(P415&lt;&gt;"Transferencia",P415&lt;&gt;"Pago tarjeta")),"",IFERROR(IF(INDEX(ctaVinc,MATCH(K415,ctaNombre,0))&amp;""&lt;&gt;"",INDEX(ctaVinc,MATCH(K415,ctaNombre,0))&amp;"",K415),K415))</f>
        <v/>
      </c>
      <c r="AD415" s="52">
        <f>IF(AB415="","",IFERROR(INDEX(ctaTipo,MATCH(AB415,ctaNombre,0))&amp;"",""))</f>
        <v/>
      </c>
      <c r="AE415" s="52">
        <f>IF(AC415="","",IFERROR(INDEX(ctaTipo,MATCH(AC415,ctaNombre,0))&amp;"",""))</f>
        <v/>
      </c>
      <c r="AF415" s="53">
        <f>IF(OR(P415="",AB415=""),"",IF(OR(P415="Gasto",P415="Transferencia",P415="Pago tarjeta"),-1,1)*IF(IFERROR(INDEX(ctaMoneda,MATCH(AB415,ctaNombre,0))&amp;"","DOP")="USD",T415,S415))</f>
        <v/>
      </c>
      <c r="AG415" s="53">
        <f>IF(AC415="","",IF(IFERROR(INDEX(ctaMoneda,MATCH(AC415,ctaNombre,0))&amp;"","DOP")="USD",T415,S415))</f>
        <v/>
      </c>
      <c r="AH415" s="53">
        <f>IF(P415="","",IF(AND(AD415&lt;&gt;"",COUNTIFS(tcTipo,AD415,tcLiq,"Sí")&gt;0),IF(OR(P415="Gasto",P415="Transferencia",P415="Pago tarjeta"),-1,1)*S415,0)+IF(AND(AE415&lt;&gt;"",COUNTIFS(tcTipo,AE415,tcLiq,"Sí")&gt;0),S415,0))</f>
        <v/>
      </c>
      <c r="AI415" s="52">
        <f>IF(OR(L415="",P415=""),"",IF(COUNTIFS(L$6:L415,L415,P$6:P415,"?*")=1,MAX(AI$5:AI414)+1,""))</f>
        <v/>
      </c>
    </row>
    <row r="416">
      <c r="B416" s="47" t="n"/>
      <c r="C416" s="48" t="n"/>
      <c r="D416" s="48" t="n"/>
      <c r="E416" s="48" t="n"/>
      <c r="F416" s="48" t="n"/>
      <c r="G416" s="49" t="n"/>
      <c r="H416" s="48" t="n"/>
      <c r="I416" s="50" t="n"/>
      <c r="J416" s="48" t="n"/>
      <c r="K416" s="48" t="n"/>
      <c r="L416" s="48" t="n"/>
      <c r="M416" s="48" t="n"/>
      <c r="N416" s="48" t="n"/>
      <c r="O416" s="51">
        <f>IF(AND(B416="",G416="",C416="",D416="",J416=""),"",IF(B416="","⚠ Falta fecha",IF(G416="","⚠ Falta monto",IF(Q416="","⚠ Falta cuenta",IF(ISNA(MATCH(Q416,ctaNombre,0)),"⚠ Cuenta no registrada",IF(AND(OR(P416="Gasto",P416="Reembolso"),D416=""),"⚠ Falta categoría",IF(AND(D416&lt;&gt;"",E416&lt;&gt;"",ISNA(MATCH(D416&amp;"|"&amp;E416,catClave,0))),"⚠ Subcategoría no corresponde",IF(AND(OR(P416="Transferencia",P416="Pago tarjeta"),K416=""),"⚠ Falta cuenta destino",IF(AND(K416&lt;&gt;"",P416&lt;&gt;"Transferencia",P416&lt;&gt;"Pago tarjeta"),"⚠ Destino solo aplica a transferencias",IF(AND(K416&lt;&gt;"",K416=Q416),"⚠ Origen igual a destino",IF(AND(K416&lt;&gt;"",ISNA(MATCH(K416,ctaNombre,0))),"⚠ Destino no registrado",IF(AND(P416="Pago tarjeta",AE416&lt;&gt;"Tarjeta de crédito"),"⚠ El destino debe ser tarjeta de crédito",IF(AND(P416="Gasto",E416="Depósitos y retiros"),"⚠ Usa tipo Transferencia",IF(AND(P416="Resultado trading",AD416&lt;&gt;"Cuenta de trading"),"⚠ Usa una cuenta de trading",IF(AND(G416&lt;=0,P416&lt;&gt;"Ajuste",P416&lt;&gt;"Resultado trading"),"⚠ El monto debe ser positivo","✓")))))))))))))))</f>
        <v/>
      </c>
      <c r="P416" s="52">
        <f>IF(OR(B416="",G416=""),"",IF(C416="","Gasto",C416))</f>
        <v/>
      </c>
      <c r="Q416" s="52">
        <f>IF(P416="","",IF(J416&lt;&gt;"",J416,CuentaPred&amp;""))</f>
        <v/>
      </c>
      <c r="R416" s="52">
        <f>IF(P416="","",IF(ISNUMBER(I416),I416,TasaUSD))</f>
        <v/>
      </c>
      <c r="S416" s="53">
        <f>IF(P416="","",IF(H416="USD",G416*R416,G416))</f>
        <v/>
      </c>
      <c r="T416" s="53">
        <f>IF(P416="","",IF(H416="USD",G416,IF(R416&gt;0,G416/R416,0)))</f>
        <v/>
      </c>
      <c r="U416" s="53">
        <f>IF(P416="","",IF(P416="Gasto",S416,IF(P416="Reembolso",-S416,0)))</f>
        <v/>
      </c>
      <c r="V416" s="53">
        <f>IF(P416="","",IF(P416="Ingreso",S416,0))</f>
        <v/>
      </c>
      <c r="W416" s="53">
        <f>IF(P416="","",IF(P416="Resultado trading",S416,0))</f>
        <v/>
      </c>
      <c r="X416" s="52">
        <f>IF(OR(P416="Gasto",P416="Reembolso"),IF(M416&lt;&gt;"",M416,IFERROR(INDEX(catClasif,MATCH(D416&amp;"|"&amp;E416,catClave,0))&amp;"","Variable")),"")</f>
        <v/>
      </c>
      <c r="Y416" s="52">
        <f>IF(P416="","",IFERROR(INDEX(catGrupo,MATCH(D416&amp;"|"&amp;E416,catClave,0))&amp;"",""))</f>
        <v/>
      </c>
      <c r="Z416" s="52">
        <f>IF(P416="","",WEEKDAY(B416,2))</f>
        <v/>
      </c>
      <c r="AA416" s="52">
        <f>IF(P416="","",IF(AND(P416="Gasto",X416="Variable",D416&lt;&gt;catTrading,S416&gt;0,S416&lt;=Umbral),1,0))</f>
        <v/>
      </c>
      <c r="AB416" s="52">
        <f>IF(OR(P416="",Q416=""),"",IFERROR(IF(INDEX(ctaVinc,MATCH(Q416,ctaNombre,0))&amp;""&lt;&gt;"",INDEX(ctaVinc,MATCH(Q416,ctaNombre,0))&amp;"",Q416),Q416))</f>
        <v/>
      </c>
      <c r="AC416" s="52">
        <f>IF(OR(K416="",AND(P416&lt;&gt;"Transferencia",P416&lt;&gt;"Pago tarjeta")),"",IFERROR(IF(INDEX(ctaVinc,MATCH(K416,ctaNombre,0))&amp;""&lt;&gt;"",INDEX(ctaVinc,MATCH(K416,ctaNombre,0))&amp;"",K416),K416))</f>
        <v/>
      </c>
      <c r="AD416" s="52">
        <f>IF(AB416="","",IFERROR(INDEX(ctaTipo,MATCH(AB416,ctaNombre,0))&amp;"",""))</f>
        <v/>
      </c>
      <c r="AE416" s="52">
        <f>IF(AC416="","",IFERROR(INDEX(ctaTipo,MATCH(AC416,ctaNombre,0))&amp;"",""))</f>
        <v/>
      </c>
      <c r="AF416" s="53">
        <f>IF(OR(P416="",AB416=""),"",IF(OR(P416="Gasto",P416="Transferencia",P416="Pago tarjeta"),-1,1)*IF(IFERROR(INDEX(ctaMoneda,MATCH(AB416,ctaNombre,0))&amp;"","DOP")="USD",T416,S416))</f>
        <v/>
      </c>
      <c r="AG416" s="53">
        <f>IF(AC416="","",IF(IFERROR(INDEX(ctaMoneda,MATCH(AC416,ctaNombre,0))&amp;"","DOP")="USD",T416,S416))</f>
        <v/>
      </c>
      <c r="AH416" s="53">
        <f>IF(P416="","",IF(AND(AD416&lt;&gt;"",COUNTIFS(tcTipo,AD416,tcLiq,"Sí")&gt;0),IF(OR(P416="Gasto",P416="Transferencia",P416="Pago tarjeta"),-1,1)*S416,0)+IF(AND(AE416&lt;&gt;"",COUNTIFS(tcTipo,AE416,tcLiq,"Sí")&gt;0),S416,0))</f>
        <v/>
      </c>
      <c r="AI416" s="52">
        <f>IF(OR(L416="",P416=""),"",IF(COUNTIFS(L$6:L416,L416,P$6:P416,"?*")=1,MAX(AI$5:AI415)+1,""))</f>
        <v/>
      </c>
    </row>
    <row r="417">
      <c r="B417" s="47" t="n"/>
      <c r="C417" s="48" t="n"/>
      <c r="D417" s="48" t="n"/>
      <c r="E417" s="48" t="n"/>
      <c r="F417" s="48" t="n"/>
      <c r="G417" s="49" t="n"/>
      <c r="H417" s="48" t="n"/>
      <c r="I417" s="50" t="n"/>
      <c r="J417" s="48" t="n"/>
      <c r="K417" s="48" t="n"/>
      <c r="L417" s="48" t="n"/>
      <c r="M417" s="48" t="n"/>
      <c r="N417" s="48" t="n"/>
      <c r="O417" s="51">
        <f>IF(AND(B417="",G417="",C417="",D417="",J417=""),"",IF(B417="","⚠ Falta fecha",IF(G417="","⚠ Falta monto",IF(Q417="","⚠ Falta cuenta",IF(ISNA(MATCH(Q417,ctaNombre,0)),"⚠ Cuenta no registrada",IF(AND(OR(P417="Gasto",P417="Reembolso"),D417=""),"⚠ Falta categoría",IF(AND(D417&lt;&gt;"",E417&lt;&gt;"",ISNA(MATCH(D417&amp;"|"&amp;E417,catClave,0))),"⚠ Subcategoría no corresponde",IF(AND(OR(P417="Transferencia",P417="Pago tarjeta"),K417=""),"⚠ Falta cuenta destino",IF(AND(K417&lt;&gt;"",P417&lt;&gt;"Transferencia",P417&lt;&gt;"Pago tarjeta"),"⚠ Destino solo aplica a transferencias",IF(AND(K417&lt;&gt;"",K417=Q417),"⚠ Origen igual a destino",IF(AND(K417&lt;&gt;"",ISNA(MATCH(K417,ctaNombre,0))),"⚠ Destino no registrado",IF(AND(P417="Pago tarjeta",AE417&lt;&gt;"Tarjeta de crédito"),"⚠ El destino debe ser tarjeta de crédito",IF(AND(P417="Gasto",E417="Depósitos y retiros"),"⚠ Usa tipo Transferencia",IF(AND(P417="Resultado trading",AD417&lt;&gt;"Cuenta de trading"),"⚠ Usa una cuenta de trading",IF(AND(G417&lt;=0,P417&lt;&gt;"Ajuste",P417&lt;&gt;"Resultado trading"),"⚠ El monto debe ser positivo","✓")))))))))))))))</f>
        <v/>
      </c>
      <c r="P417" s="52">
        <f>IF(OR(B417="",G417=""),"",IF(C417="","Gasto",C417))</f>
        <v/>
      </c>
      <c r="Q417" s="52">
        <f>IF(P417="","",IF(J417&lt;&gt;"",J417,CuentaPred&amp;""))</f>
        <v/>
      </c>
      <c r="R417" s="52">
        <f>IF(P417="","",IF(ISNUMBER(I417),I417,TasaUSD))</f>
        <v/>
      </c>
      <c r="S417" s="53">
        <f>IF(P417="","",IF(H417="USD",G417*R417,G417))</f>
        <v/>
      </c>
      <c r="T417" s="53">
        <f>IF(P417="","",IF(H417="USD",G417,IF(R417&gt;0,G417/R417,0)))</f>
        <v/>
      </c>
      <c r="U417" s="53">
        <f>IF(P417="","",IF(P417="Gasto",S417,IF(P417="Reembolso",-S417,0)))</f>
        <v/>
      </c>
      <c r="V417" s="53">
        <f>IF(P417="","",IF(P417="Ingreso",S417,0))</f>
        <v/>
      </c>
      <c r="W417" s="53">
        <f>IF(P417="","",IF(P417="Resultado trading",S417,0))</f>
        <v/>
      </c>
      <c r="X417" s="52">
        <f>IF(OR(P417="Gasto",P417="Reembolso"),IF(M417&lt;&gt;"",M417,IFERROR(INDEX(catClasif,MATCH(D417&amp;"|"&amp;E417,catClave,0))&amp;"","Variable")),"")</f>
        <v/>
      </c>
      <c r="Y417" s="52">
        <f>IF(P417="","",IFERROR(INDEX(catGrupo,MATCH(D417&amp;"|"&amp;E417,catClave,0))&amp;"",""))</f>
        <v/>
      </c>
      <c r="Z417" s="52">
        <f>IF(P417="","",WEEKDAY(B417,2))</f>
        <v/>
      </c>
      <c r="AA417" s="52">
        <f>IF(P417="","",IF(AND(P417="Gasto",X417="Variable",D417&lt;&gt;catTrading,S417&gt;0,S417&lt;=Umbral),1,0))</f>
        <v/>
      </c>
      <c r="AB417" s="52">
        <f>IF(OR(P417="",Q417=""),"",IFERROR(IF(INDEX(ctaVinc,MATCH(Q417,ctaNombre,0))&amp;""&lt;&gt;"",INDEX(ctaVinc,MATCH(Q417,ctaNombre,0))&amp;"",Q417),Q417))</f>
        <v/>
      </c>
      <c r="AC417" s="52">
        <f>IF(OR(K417="",AND(P417&lt;&gt;"Transferencia",P417&lt;&gt;"Pago tarjeta")),"",IFERROR(IF(INDEX(ctaVinc,MATCH(K417,ctaNombre,0))&amp;""&lt;&gt;"",INDEX(ctaVinc,MATCH(K417,ctaNombre,0))&amp;"",K417),K417))</f>
        <v/>
      </c>
      <c r="AD417" s="52">
        <f>IF(AB417="","",IFERROR(INDEX(ctaTipo,MATCH(AB417,ctaNombre,0))&amp;"",""))</f>
        <v/>
      </c>
      <c r="AE417" s="52">
        <f>IF(AC417="","",IFERROR(INDEX(ctaTipo,MATCH(AC417,ctaNombre,0))&amp;"",""))</f>
        <v/>
      </c>
      <c r="AF417" s="53">
        <f>IF(OR(P417="",AB417=""),"",IF(OR(P417="Gasto",P417="Transferencia",P417="Pago tarjeta"),-1,1)*IF(IFERROR(INDEX(ctaMoneda,MATCH(AB417,ctaNombre,0))&amp;"","DOP")="USD",T417,S417))</f>
        <v/>
      </c>
      <c r="AG417" s="53">
        <f>IF(AC417="","",IF(IFERROR(INDEX(ctaMoneda,MATCH(AC417,ctaNombre,0))&amp;"","DOP")="USD",T417,S417))</f>
        <v/>
      </c>
      <c r="AH417" s="53">
        <f>IF(P417="","",IF(AND(AD417&lt;&gt;"",COUNTIFS(tcTipo,AD417,tcLiq,"Sí")&gt;0),IF(OR(P417="Gasto",P417="Transferencia",P417="Pago tarjeta"),-1,1)*S417,0)+IF(AND(AE417&lt;&gt;"",COUNTIFS(tcTipo,AE417,tcLiq,"Sí")&gt;0),S417,0))</f>
        <v/>
      </c>
      <c r="AI417" s="52">
        <f>IF(OR(L417="",P417=""),"",IF(COUNTIFS(L$6:L417,L417,P$6:P417,"?*")=1,MAX(AI$5:AI416)+1,""))</f>
        <v/>
      </c>
    </row>
    <row r="418">
      <c r="B418" s="47" t="n"/>
      <c r="C418" s="48" t="n"/>
      <c r="D418" s="48" t="n"/>
      <c r="E418" s="48" t="n"/>
      <c r="F418" s="48" t="n"/>
      <c r="G418" s="49" t="n"/>
      <c r="H418" s="48" t="n"/>
      <c r="I418" s="50" t="n"/>
      <c r="J418" s="48" t="n"/>
      <c r="K418" s="48" t="n"/>
      <c r="L418" s="48" t="n"/>
      <c r="M418" s="48" t="n"/>
      <c r="N418" s="48" t="n"/>
      <c r="O418" s="51">
        <f>IF(AND(B418="",G418="",C418="",D418="",J418=""),"",IF(B418="","⚠ Falta fecha",IF(G418="","⚠ Falta monto",IF(Q418="","⚠ Falta cuenta",IF(ISNA(MATCH(Q418,ctaNombre,0)),"⚠ Cuenta no registrada",IF(AND(OR(P418="Gasto",P418="Reembolso"),D418=""),"⚠ Falta categoría",IF(AND(D418&lt;&gt;"",E418&lt;&gt;"",ISNA(MATCH(D418&amp;"|"&amp;E418,catClave,0))),"⚠ Subcategoría no corresponde",IF(AND(OR(P418="Transferencia",P418="Pago tarjeta"),K418=""),"⚠ Falta cuenta destino",IF(AND(K418&lt;&gt;"",P418&lt;&gt;"Transferencia",P418&lt;&gt;"Pago tarjeta"),"⚠ Destino solo aplica a transferencias",IF(AND(K418&lt;&gt;"",K418=Q418),"⚠ Origen igual a destino",IF(AND(K418&lt;&gt;"",ISNA(MATCH(K418,ctaNombre,0))),"⚠ Destino no registrado",IF(AND(P418="Pago tarjeta",AE418&lt;&gt;"Tarjeta de crédito"),"⚠ El destino debe ser tarjeta de crédito",IF(AND(P418="Gasto",E418="Depósitos y retiros"),"⚠ Usa tipo Transferencia",IF(AND(P418="Resultado trading",AD418&lt;&gt;"Cuenta de trading"),"⚠ Usa una cuenta de trading",IF(AND(G418&lt;=0,P418&lt;&gt;"Ajuste",P418&lt;&gt;"Resultado trading"),"⚠ El monto debe ser positivo","✓")))))))))))))))</f>
        <v/>
      </c>
      <c r="P418" s="52">
        <f>IF(OR(B418="",G418=""),"",IF(C418="","Gasto",C418))</f>
        <v/>
      </c>
      <c r="Q418" s="52">
        <f>IF(P418="","",IF(J418&lt;&gt;"",J418,CuentaPred&amp;""))</f>
        <v/>
      </c>
      <c r="R418" s="52">
        <f>IF(P418="","",IF(ISNUMBER(I418),I418,TasaUSD))</f>
        <v/>
      </c>
      <c r="S418" s="53">
        <f>IF(P418="","",IF(H418="USD",G418*R418,G418))</f>
        <v/>
      </c>
      <c r="T418" s="53">
        <f>IF(P418="","",IF(H418="USD",G418,IF(R418&gt;0,G418/R418,0)))</f>
        <v/>
      </c>
      <c r="U418" s="53">
        <f>IF(P418="","",IF(P418="Gasto",S418,IF(P418="Reembolso",-S418,0)))</f>
        <v/>
      </c>
      <c r="V418" s="53">
        <f>IF(P418="","",IF(P418="Ingreso",S418,0))</f>
        <v/>
      </c>
      <c r="W418" s="53">
        <f>IF(P418="","",IF(P418="Resultado trading",S418,0))</f>
        <v/>
      </c>
      <c r="X418" s="52">
        <f>IF(OR(P418="Gasto",P418="Reembolso"),IF(M418&lt;&gt;"",M418,IFERROR(INDEX(catClasif,MATCH(D418&amp;"|"&amp;E418,catClave,0))&amp;"","Variable")),"")</f>
        <v/>
      </c>
      <c r="Y418" s="52">
        <f>IF(P418="","",IFERROR(INDEX(catGrupo,MATCH(D418&amp;"|"&amp;E418,catClave,0))&amp;"",""))</f>
        <v/>
      </c>
      <c r="Z418" s="52">
        <f>IF(P418="","",WEEKDAY(B418,2))</f>
        <v/>
      </c>
      <c r="AA418" s="52">
        <f>IF(P418="","",IF(AND(P418="Gasto",X418="Variable",D418&lt;&gt;catTrading,S418&gt;0,S418&lt;=Umbral),1,0))</f>
        <v/>
      </c>
      <c r="AB418" s="52">
        <f>IF(OR(P418="",Q418=""),"",IFERROR(IF(INDEX(ctaVinc,MATCH(Q418,ctaNombre,0))&amp;""&lt;&gt;"",INDEX(ctaVinc,MATCH(Q418,ctaNombre,0))&amp;"",Q418),Q418))</f>
        <v/>
      </c>
      <c r="AC418" s="52">
        <f>IF(OR(K418="",AND(P418&lt;&gt;"Transferencia",P418&lt;&gt;"Pago tarjeta")),"",IFERROR(IF(INDEX(ctaVinc,MATCH(K418,ctaNombre,0))&amp;""&lt;&gt;"",INDEX(ctaVinc,MATCH(K418,ctaNombre,0))&amp;"",K418),K418))</f>
        <v/>
      </c>
      <c r="AD418" s="52">
        <f>IF(AB418="","",IFERROR(INDEX(ctaTipo,MATCH(AB418,ctaNombre,0))&amp;"",""))</f>
        <v/>
      </c>
      <c r="AE418" s="52">
        <f>IF(AC418="","",IFERROR(INDEX(ctaTipo,MATCH(AC418,ctaNombre,0))&amp;"",""))</f>
        <v/>
      </c>
      <c r="AF418" s="53">
        <f>IF(OR(P418="",AB418=""),"",IF(OR(P418="Gasto",P418="Transferencia",P418="Pago tarjeta"),-1,1)*IF(IFERROR(INDEX(ctaMoneda,MATCH(AB418,ctaNombre,0))&amp;"","DOP")="USD",T418,S418))</f>
        <v/>
      </c>
      <c r="AG418" s="53">
        <f>IF(AC418="","",IF(IFERROR(INDEX(ctaMoneda,MATCH(AC418,ctaNombre,0))&amp;"","DOP")="USD",T418,S418))</f>
        <v/>
      </c>
      <c r="AH418" s="53">
        <f>IF(P418="","",IF(AND(AD418&lt;&gt;"",COUNTIFS(tcTipo,AD418,tcLiq,"Sí")&gt;0),IF(OR(P418="Gasto",P418="Transferencia",P418="Pago tarjeta"),-1,1)*S418,0)+IF(AND(AE418&lt;&gt;"",COUNTIFS(tcTipo,AE418,tcLiq,"Sí")&gt;0),S418,0))</f>
        <v/>
      </c>
      <c r="AI418" s="52">
        <f>IF(OR(L418="",P418=""),"",IF(COUNTIFS(L$6:L418,L418,P$6:P418,"?*")=1,MAX(AI$5:AI417)+1,""))</f>
        <v/>
      </c>
    </row>
    <row r="419">
      <c r="B419" s="47" t="n"/>
      <c r="C419" s="48" t="n"/>
      <c r="D419" s="48" t="n"/>
      <c r="E419" s="48" t="n"/>
      <c r="F419" s="48" t="n"/>
      <c r="G419" s="49" t="n"/>
      <c r="H419" s="48" t="n"/>
      <c r="I419" s="50" t="n"/>
      <c r="J419" s="48" t="n"/>
      <c r="K419" s="48" t="n"/>
      <c r="L419" s="48" t="n"/>
      <c r="M419" s="48" t="n"/>
      <c r="N419" s="48" t="n"/>
      <c r="O419" s="51">
        <f>IF(AND(B419="",G419="",C419="",D419="",J419=""),"",IF(B419="","⚠ Falta fecha",IF(G419="","⚠ Falta monto",IF(Q419="","⚠ Falta cuenta",IF(ISNA(MATCH(Q419,ctaNombre,0)),"⚠ Cuenta no registrada",IF(AND(OR(P419="Gasto",P419="Reembolso"),D419=""),"⚠ Falta categoría",IF(AND(D419&lt;&gt;"",E419&lt;&gt;"",ISNA(MATCH(D419&amp;"|"&amp;E419,catClave,0))),"⚠ Subcategoría no corresponde",IF(AND(OR(P419="Transferencia",P419="Pago tarjeta"),K419=""),"⚠ Falta cuenta destino",IF(AND(K419&lt;&gt;"",P419&lt;&gt;"Transferencia",P419&lt;&gt;"Pago tarjeta"),"⚠ Destino solo aplica a transferencias",IF(AND(K419&lt;&gt;"",K419=Q419),"⚠ Origen igual a destino",IF(AND(K419&lt;&gt;"",ISNA(MATCH(K419,ctaNombre,0))),"⚠ Destino no registrado",IF(AND(P419="Pago tarjeta",AE419&lt;&gt;"Tarjeta de crédito"),"⚠ El destino debe ser tarjeta de crédito",IF(AND(P419="Gasto",E419="Depósitos y retiros"),"⚠ Usa tipo Transferencia",IF(AND(P419="Resultado trading",AD419&lt;&gt;"Cuenta de trading"),"⚠ Usa una cuenta de trading",IF(AND(G419&lt;=0,P419&lt;&gt;"Ajuste",P419&lt;&gt;"Resultado trading"),"⚠ El monto debe ser positivo","✓")))))))))))))))</f>
        <v/>
      </c>
      <c r="P419" s="52">
        <f>IF(OR(B419="",G419=""),"",IF(C419="","Gasto",C419))</f>
        <v/>
      </c>
      <c r="Q419" s="52">
        <f>IF(P419="","",IF(J419&lt;&gt;"",J419,CuentaPred&amp;""))</f>
        <v/>
      </c>
      <c r="R419" s="52">
        <f>IF(P419="","",IF(ISNUMBER(I419),I419,TasaUSD))</f>
        <v/>
      </c>
      <c r="S419" s="53">
        <f>IF(P419="","",IF(H419="USD",G419*R419,G419))</f>
        <v/>
      </c>
      <c r="T419" s="53">
        <f>IF(P419="","",IF(H419="USD",G419,IF(R419&gt;0,G419/R419,0)))</f>
        <v/>
      </c>
      <c r="U419" s="53">
        <f>IF(P419="","",IF(P419="Gasto",S419,IF(P419="Reembolso",-S419,0)))</f>
        <v/>
      </c>
      <c r="V419" s="53">
        <f>IF(P419="","",IF(P419="Ingreso",S419,0))</f>
        <v/>
      </c>
      <c r="W419" s="53">
        <f>IF(P419="","",IF(P419="Resultado trading",S419,0))</f>
        <v/>
      </c>
      <c r="X419" s="52">
        <f>IF(OR(P419="Gasto",P419="Reembolso"),IF(M419&lt;&gt;"",M419,IFERROR(INDEX(catClasif,MATCH(D419&amp;"|"&amp;E419,catClave,0))&amp;"","Variable")),"")</f>
        <v/>
      </c>
      <c r="Y419" s="52">
        <f>IF(P419="","",IFERROR(INDEX(catGrupo,MATCH(D419&amp;"|"&amp;E419,catClave,0))&amp;"",""))</f>
        <v/>
      </c>
      <c r="Z419" s="52">
        <f>IF(P419="","",WEEKDAY(B419,2))</f>
        <v/>
      </c>
      <c r="AA419" s="52">
        <f>IF(P419="","",IF(AND(P419="Gasto",X419="Variable",D419&lt;&gt;catTrading,S419&gt;0,S419&lt;=Umbral),1,0))</f>
        <v/>
      </c>
      <c r="AB419" s="52">
        <f>IF(OR(P419="",Q419=""),"",IFERROR(IF(INDEX(ctaVinc,MATCH(Q419,ctaNombre,0))&amp;""&lt;&gt;"",INDEX(ctaVinc,MATCH(Q419,ctaNombre,0))&amp;"",Q419),Q419))</f>
        <v/>
      </c>
      <c r="AC419" s="52">
        <f>IF(OR(K419="",AND(P419&lt;&gt;"Transferencia",P419&lt;&gt;"Pago tarjeta")),"",IFERROR(IF(INDEX(ctaVinc,MATCH(K419,ctaNombre,0))&amp;""&lt;&gt;"",INDEX(ctaVinc,MATCH(K419,ctaNombre,0))&amp;"",K419),K419))</f>
        <v/>
      </c>
      <c r="AD419" s="52">
        <f>IF(AB419="","",IFERROR(INDEX(ctaTipo,MATCH(AB419,ctaNombre,0))&amp;"",""))</f>
        <v/>
      </c>
      <c r="AE419" s="52">
        <f>IF(AC419="","",IFERROR(INDEX(ctaTipo,MATCH(AC419,ctaNombre,0))&amp;"",""))</f>
        <v/>
      </c>
      <c r="AF419" s="53">
        <f>IF(OR(P419="",AB419=""),"",IF(OR(P419="Gasto",P419="Transferencia",P419="Pago tarjeta"),-1,1)*IF(IFERROR(INDEX(ctaMoneda,MATCH(AB419,ctaNombre,0))&amp;"","DOP")="USD",T419,S419))</f>
        <v/>
      </c>
      <c r="AG419" s="53">
        <f>IF(AC419="","",IF(IFERROR(INDEX(ctaMoneda,MATCH(AC419,ctaNombre,0))&amp;"","DOP")="USD",T419,S419))</f>
        <v/>
      </c>
      <c r="AH419" s="53">
        <f>IF(P419="","",IF(AND(AD419&lt;&gt;"",COUNTIFS(tcTipo,AD419,tcLiq,"Sí")&gt;0),IF(OR(P419="Gasto",P419="Transferencia",P419="Pago tarjeta"),-1,1)*S419,0)+IF(AND(AE419&lt;&gt;"",COUNTIFS(tcTipo,AE419,tcLiq,"Sí")&gt;0),S419,0))</f>
        <v/>
      </c>
      <c r="AI419" s="52">
        <f>IF(OR(L419="",P419=""),"",IF(COUNTIFS(L$6:L419,L419,P$6:P419,"?*")=1,MAX(AI$5:AI418)+1,""))</f>
        <v/>
      </c>
    </row>
    <row r="420">
      <c r="B420" s="47" t="n"/>
      <c r="C420" s="48" t="n"/>
      <c r="D420" s="48" t="n"/>
      <c r="E420" s="48" t="n"/>
      <c r="F420" s="48" t="n"/>
      <c r="G420" s="49" t="n"/>
      <c r="H420" s="48" t="n"/>
      <c r="I420" s="50" t="n"/>
      <c r="J420" s="48" t="n"/>
      <c r="K420" s="48" t="n"/>
      <c r="L420" s="48" t="n"/>
      <c r="M420" s="48" t="n"/>
      <c r="N420" s="48" t="n"/>
      <c r="O420" s="51">
        <f>IF(AND(B420="",G420="",C420="",D420="",J420=""),"",IF(B420="","⚠ Falta fecha",IF(G420="","⚠ Falta monto",IF(Q420="","⚠ Falta cuenta",IF(ISNA(MATCH(Q420,ctaNombre,0)),"⚠ Cuenta no registrada",IF(AND(OR(P420="Gasto",P420="Reembolso"),D420=""),"⚠ Falta categoría",IF(AND(D420&lt;&gt;"",E420&lt;&gt;"",ISNA(MATCH(D420&amp;"|"&amp;E420,catClave,0))),"⚠ Subcategoría no corresponde",IF(AND(OR(P420="Transferencia",P420="Pago tarjeta"),K420=""),"⚠ Falta cuenta destino",IF(AND(K420&lt;&gt;"",P420&lt;&gt;"Transferencia",P420&lt;&gt;"Pago tarjeta"),"⚠ Destino solo aplica a transferencias",IF(AND(K420&lt;&gt;"",K420=Q420),"⚠ Origen igual a destino",IF(AND(K420&lt;&gt;"",ISNA(MATCH(K420,ctaNombre,0))),"⚠ Destino no registrado",IF(AND(P420="Pago tarjeta",AE420&lt;&gt;"Tarjeta de crédito"),"⚠ El destino debe ser tarjeta de crédito",IF(AND(P420="Gasto",E420="Depósitos y retiros"),"⚠ Usa tipo Transferencia",IF(AND(P420="Resultado trading",AD420&lt;&gt;"Cuenta de trading"),"⚠ Usa una cuenta de trading",IF(AND(G420&lt;=0,P420&lt;&gt;"Ajuste",P420&lt;&gt;"Resultado trading"),"⚠ El monto debe ser positivo","✓")))))))))))))))</f>
        <v/>
      </c>
      <c r="P420" s="52">
        <f>IF(OR(B420="",G420=""),"",IF(C420="","Gasto",C420))</f>
        <v/>
      </c>
      <c r="Q420" s="52">
        <f>IF(P420="","",IF(J420&lt;&gt;"",J420,CuentaPred&amp;""))</f>
        <v/>
      </c>
      <c r="R420" s="52">
        <f>IF(P420="","",IF(ISNUMBER(I420),I420,TasaUSD))</f>
        <v/>
      </c>
      <c r="S420" s="53">
        <f>IF(P420="","",IF(H420="USD",G420*R420,G420))</f>
        <v/>
      </c>
      <c r="T420" s="53">
        <f>IF(P420="","",IF(H420="USD",G420,IF(R420&gt;0,G420/R420,0)))</f>
        <v/>
      </c>
      <c r="U420" s="53">
        <f>IF(P420="","",IF(P420="Gasto",S420,IF(P420="Reembolso",-S420,0)))</f>
        <v/>
      </c>
      <c r="V420" s="53">
        <f>IF(P420="","",IF(P420="Ingreso",S420,0))</f>
        <v/>
      </c>
      <c r="W420" s="53">
        <f>IF(P420="","",IF(P420="Resultado trading",S420,0))</f>
        <v/>
      </c>
      <c r="X420" s="52">
        <f>IF(OR(P420="Gasto",P420="Reembolso"),IF(M420&lt;&gt;"",M420,IFERROR(INDEX(catClasif,MATCH(D420&amp;"|"&amp;E420,catClave,0))&amp;"","Variable")),"")</f>
        <v/>
      </c>
      <c r="Y420" s="52">
        <f>IF(P420="","",IFERROR(INDEX(catGrupo,MATCH(D420&amp;"|"&amp;E420,catClave,0))&amp;"",""))</f>
        <v/>
      </c>
      <c r="Z420" s="52">
        <f>IF(P420="","",WEEKDAY(B420,2))</f>
        <v/>
      </c>
      <c r="AA420" s="52">
        <f>IF(P420="","",IF(AND(P420="Gasto",X420="Variable",D420&lt;&gt;catTrading,S420&gt;0,S420&lt;=Umbral),1,0))</f>
        <v/>
      </c>
      <c r="AB420" s="52">
        <f>IF(OR(P420="",Q420=""),"",IFERROR(IF(INDEX(ctaVinc,MATCH(Q420,ctaNombre,0))&amp;""&lt;&gt;"",INDEX(ctaVinc,MATCH(Q420,ctaNombre,0))&amp;"",Q420),Q420))</f>
        <v/>
      </c>
      <c r="AC420" s="52">
        <f>IF(OR(K420="",AND(P420&lt;&gt;"Transferencia",P420&lt;&gt;"Pago tarjeta")),"",IFERROR(IF(INDEX(ctaVinc,MATCH(K420,ctaNombre,0))&amp;""&lt;&gt;"",INDEX(ctaVinc,MATCH(K420,ctaNombre,0))&amp;"",K420),K420))</f>
        <v/>
      </c>
      <c r="AD420" s="52">
        <f>IF(AB420="","",IFERROR(INDEX(ctaTipo,MATCH(AB420,ctaNombre,0))&amp;"",""))</f>
        <v/>
      </c>
      <c r="AE420" s="52">
        <f>IF(AC420="","",IFERROR(INDEX(ctaTipo,MATCH(AC420,ctaNombre,0))&amp;"",""))</f>
        <v/>
      </c>
      <c r="AF420" s="53">
        <f>IF(OR(P420="",AB420=""),"",IF(OR(P420="Gasto",P420="Transferencia",P420="Pago tarjeta"),-1,1)*IF(IFERROR(INDEX(ctaMoneda,MATCH(AB420,ctaNombre,0))&amp;"","DOP")="USD",T420,S420))</f>
        <v/>
      </c>
      <c r="AG420" s="53">
        <f>IF(AC420="","",IF(IFERROR(INDEX(ctaMoneda,MATCH(AC420,ctaNombre,0))&amp;"","DOP")="USD",T420,S420))</f>
        <v/>
      </c>
      <c r="AH420" s="53">
        <f>IF(P420="","",IF(AND(AD420&lt;&gt;"",COUNTIFS(tcTipo,AD420,tcLiq,"Sí")&gt;0),IF(OR(P420="Gasto",P420="Transferencia",P420="Pago tarjeta"),-1,1)*S420,0)+IF(AND(AE420&lt;&gt;"",COUNTIFS(tcTipo,AE420,tcLiq,"Sí")&gt;0),S420,0))</f>
        <v/>
      </c>
      <c r="AI420" s="52">
        <f>IF(OR(L420="",P420=""),"",IF(COUNTIFS(L$6:L420,L420,P$6:P420,"?*")=1,MAX(AI$5:AI419)+1,""))</f>
        <v/>
      </c>
    </row>
    <row r="421">
      <c r="B421" s="47" t="n"/>
      <c r="C421" s="48" t="n"/>
      <c r="D421" s="48" t="n"/>
      <c r="E421" s="48" t="n"/>
      <c r="F421" s="48" t="n"/>
      <c r="G421" s="49" t="n"/>
      <c r="H421" s="48" t="n"/>
      <c r="I421" s="50" t="n"/>
      <c r="J421" s="48" t="n"/>
      <c r="K421" s="48" t="n"/>
      <c r="L421" s="48" t="n"/>
      <c r="M421" s="48" t="n"/>
      <c r="N421" s="48" t="n"/>
      <c r="O421" s="51">
        <f>IF(AND(B421="",G421="",C421="",D421="",J421=""),"",IF(B421="","⚠ Falta fecha",IF(G421="","⚠ Falta monto",IF(Q421="","⚠ Falta cuenta",IF(ISNA(MATCH(Q421,ctaNombre,0)),"⚠ Cuenta no registrada",IF(AND(OR(P421="Gasto",P421="Reembolso"),D421=""),"⚠ Falta categoría",IF(AND(D421&lt;&gt;"",E421&lt;&gt;"",ISNA(MATCH(D421&amp;"|"&amp;E421,catClave,0))),"⚠ Subcategoría no corresponde",IF(AND(OR(P421="Transferencia",P421="Pago tarjeta"),K421=""),"⚠ Falta cuenta destino",IF(AND(K421&lt;&gt;"",P421&lt;&gt;"Transferencia",P421&lt;&gt;"Pago tarjeta"),"⚠ Destino solo aplica a transferencias",IF(AND(K421&lt;&gt;"",K421=Q421),"⚠ Origen igual a destino",IF(AND(K421&lt;&gt;"",ISNA(MATCH(K421,ctaNombre,0))),"⚠ Destino no registrado",IF(AND(P421="Pago tarjeta",AE421&lt;&gt;"Tarjeta de crédito"),"⚠ El destino debe ser tarjeta de crédito",IF(AND(P421="Gasto",E421="Depósitos y retiros"),"⚠ Usa tipo Transferencia",IF(AND(P421="Resultado trading",AD421&lt;&gt;"Cuenta de trading"),"⚠ Usa una cuenta de trading",IF(AND(G421&lt;=0,P421&lt;&gt;"Ajuste",P421&lt;&gt;"Resultado trading"),"⚠ El monto debe ser positivo","✓")))))))))))))))</f>
        <v/>
      </c>
      <c r="P421" s="52">
        <f>IF(OR(B421="",G421=""),"",IF(C421="","Gasto",C421))</f>
        <v/>
      </c>
      <c r="Q421" s="52">
        <f>IF(P421="","",IF(J421&lt;&gt;"",J421,CuentaPred&amp;""))</f>
        <v/>
      </c>
      <c r="R421" s="52">
        <f>IF(P421="","",IF(ISNUMBER(I421),I421,TasaUSD))</f>
        <v/>
      </c>
      <c r="S421" s="53">
        <f>IF(P421="","",IF(H421="USD",G421*R421,G421))</f>
        <v/>
      </c>
      <c r="T421" s="53">
        <f>IF(P421="","",IF(H421="USD",G421,IF(R421&gt;0,G421/R421,0)))</f>
        <v/>
      </c>
      <c r="U421" s="53">
        <f>IF(P421="","",IF(P421="Gasto",S421,IF(P421="Reembolso",-S421,0)))</f>
        <v/>
      </c>
      <c r="V421" s="53">
        <f>IF(P421="","",IF(P421="Ingreso",S421,0))</f>
        <v/>
      </c>
      <c r="W421" s="53">
        <f>IF(P421="","",IF(P421="Resultado trading",S421,0))</f>
        <v/>
      </c>
      <c r="X421" s="52">
        <f>IF(OR(P421="Gasto",P421="Reembolso"),IF(M421&lt;&gt;"",M421,IFERROR(INDEX(catClasif,MATCH(D421&amp;"|"&amp;E421,catClave,0))&amp;"","Variable")),"")</f>
        <v/>
      </c>
      <c r="Y421" s="52">
        <f>IF(P421="","",IFERROR(INDEX(catGrupo,MATCH(D421&amp;"|"&amp;E421,catClave,0))&amp;"",""))</f>
        <v/>
      </c>
      <c r="Z421" s="52">
        <f>IF(P421="","",WEEKDAY(B421,2))</f>
        <v/>
      </c>
      <c r="AA421" s="52">
        <f>IF(P421="","",IF(AND(P421="Gasto",X421="Variable",D421&lt;&gt;catTrading,S421&gt;0,S421&lt;=Umbral),1,0))</f>
        <v/>
      </c>
      <c r="AB421" s="52">
        <f>IF(OR(P421="",Q421=""),"",IFERROR(IF(INDEX(ctaVinc,MATCH(Q421,ctaNombre,0))&amp;""&lt;&gt;"",INDEX(ctaVinc,MATCH(Q421,ctaNombre,0))&amp;"",Q421),Q421))</f>
        <v/>
      </c>
      <c r="AC421" s="52">
        <f>IF(OR(K421="",AND(P421&lt;&gt;"Transferencia",P421&lt;&gt;"Pago tarjeta")),"",IFERROR(IF(INDEX(ctaVinc,MATCH(K421,ctaNombre,0))&amp;""&lt;&gt;"",INDEX(ctaVinc,MATCH(K421,ctaNombre,0))&amp;"",K421),K421))</f>
        <v/>
      </c>
      <c r="AD421" s="52">
        <f>IF(AB421="","",IFERROR(INDEX(ctaTipo,MATCH(AB421,ctaNombre,0))&amp;"",""))</f>
        <v/>
      </c>
      <c r="AE421" s="52">
        <f>IF(AC421="","",IFERROR(INDEX(ctaTipo,MATCH(AC421,ctaNombre,0))&amp;"",""))</f>
        <v/>
      </c>
      <c r="AF421" s="53">
        <f>IF(OR(P421="",AB421=""),"",IF(OR(P421="Gasto",P421="Transferencia",P421="Pago tarjeta"),-1,1)*IF(IFERROR(INDEX(ctaMoneda,MATCH(AB421,ctaNombre,0))&amp;"","DOP")="USD",T421,S421))</f>
        <v/>
      </c>
      <c r="AG421" s="53">
        <f>IF(AC421="","",IF(IFERROR(INDEX(ctaMoneda,MATCH(AC421,ctaNombre,0))&amp;"","DOP")="USD",T421,S421))</f>
        <v/>
      </c>
      <c r="AH421" s="53">
        <f>IF(P421="","",IF(AND(AD421&lt;&gt;"",COUNTIFS(tcTipo,AD421,tcLiq,"Sí")&gt;0),IF(OR(P421="Gasto",P421="Transferencia",P421="Pago tarjeta"),-1,1)*S421,0)+IF(AND(AE421&lt;&gt;"",COUNTIFS(tcTipo,AE421,tcLiq,"Sí")&gt;0),S421,0))</f>
        <v/>
      </c>
      <c r="AI421" s="52">
        <f>IF(OR(L421="",P421=""),"",IF(COUNTIFS(L$6:L421,L421,P$6:P421,"?*")=1,MAX(AI$5:AI420)+1,""))</f>
        <v/>
      </c>
    </row>
    <row r="422">
      <c r="B422" s="47" t="n"/>
      <c r="C422" s="48" t="n"/>
      <c r="D422" s="48" t="n"/>
      <c r="E422" s="48" t="n"/>
      <c r="F422" s="48" t="n"/>
      <c r="G422" s="49" t="n"/>
      <c r="H422" s="48" t="n"/>
      <c r="I422" s="50" t="n"/>
      <c r="J422" s="48" t="n"/>
      <c r="K422" s="48" t="n"/>
      <c r="L422" s="48" t="n"/>
      <c r="M422" s="48" t="n"/>
      <c r="N422" s="48" t="n"/>
      <c r="O422" s="51">
        <f>IF(AND(B422="",G422="",C422="",D422="",J422=""),"",IF(B422="","⚠ Falta fecha",IF(G422="","⚠ Falta monto",IF(Q422="","⚠ Falta cuenta",IF(ISNA(MATCH(Q422,ctaNombre,0)),"⚠ Cuenta no registrada",IF(AND(OR(P422="Gasto",P422="Reembolso"),D422=""),"⚠ Falta categoría",IF(AND(D422&lt;&gt;"",E422&lt;&gt;"",ISNA(MATCH(D422&amp;"|"&amp;E422,catClave,0))),"⚠ Subcategoría no corresponde",IF(AND(OR(P422="Transferencia",P422="Pago tarjeta"),K422=""),"⚠ Falta cuenta destino",IF(AND(K422&lt;&gt;"",P422&lt;&gt;"Transferencia",P422&lt;&gt;"Pago tarjeta"),"⚠ Destino solo aplica a transferencias",IF(AND(K422&lt;&gt;"",K422=Q422),"⚠ Origen igual a destino",IF(AND(K422&lt;&gt;"",ISNA(MATCH(K422,ctaNombre,0))),"⚠ Destino no registrado",IF(AND(P422="Pago tarjeta",AE422&lt;&gt;"Tarjeta de crédito"),"⚠ El destino debe ser tarjeta de crédito",IF(AND(P422="Gasto",E422="Depósitos y retiros"),"⚠ Usa tipo Transferencia",IF(AND(P422="Resultado trading",AD422&lt;&gt;"Cuenta de trading"),"⚠ Usa una cuenta de trading",IF(AND(G422&lt;=0,P422&lt;&gt;"Ajuste",P422&lt;&gt;"Resultado trading"),"⚠ El monto debe ser positivo","✓")))))))))))))))</f>
        <v/>
      </c>
      <c r="P422" s="52">
        <f>IF(OR(B422="",G422=""),"",IF(C422="","Gasto",C422))</f>
        <v/>
      </c>
      <c r="Q422" s="52">
        <f>IF(P422="","",IF(J422&lt;&gt;"",J422,CuentaPred&amp;""))</f>
        <v/>
      </c>
      <c r="R422" s="52">
        <f>IF(P422="","",IF(ISNUMBER(I422),I422,TasaUSD))</f>
        <v/>
      </c>
      <c r="S422" s="53">
        <f>IF(P422="","",IF(H422="USD",G422*R422,G422))</f>
        <v/>
      </c>
      <c r="T422" s="53">
        <f>IF(P422="","",IF(H422="USD",G422,IF(R422&gt;0,G422/R422,0)))</f>
        <v/>
      </c>
      <c r="U422" s="53">
        <f>IF(P422="","",IF(P422="Gasto",S422,IF(P422="Reembolso",-S422,0)))</f>
        <v/>
      </c>
      <c r="V422" s="53">
        <f>IF(P422="","",IF(P422="Ingreso",S422,0))</f>
        <v/>
      </c>
      <c r="W422" s="53">
        <f>IF(P422="","",IF(P422="Resultado trading",S422,0))</f>
        <v/>
      </c>
      <c r="X422" s="52">
        <f>IF(OR(P422="Gasto",P422="Reembolso"),IF(M422&lt;&gt;"",M422,IFERROR(INDEX(catClasif,MATCH(D422&amp;"|"&amp;E422,catClave,0))&amp;"","Variable")),"")</f>
        <v/>
      </c>
      <c r="Y422" s="52">
        <f>IF(P422="","",IFERROR(INDEX(catGrupo,MATCH(D422&amp;"|"&amp;E422,catClave,0))&amp;"",""))</f>
        <v/>
      </c>
      <c r="Z422" s="52">
        <f>IF(P422="","",WEEKDAY(B422,2))</f>
        <v/>
      </c>
      <c r="AA422" s="52">
        <f>IF(P422="","",IF(AND(P422="Gasto",X422="Variable",D422&lt;&gt;catTrading,S422&gt;0,S422&lt;=Umbral),1,0))</f>
        <v/>
      </c>
      <c r="AB422" s="52">
        <f>IF(OR(P422="",Q422=""),"",IFERROR(IF(INDEX(ctaVinc,MATCH(Q422,ctaNombre,0))&amp;""&lt;&gt;"",INDEX(ctaVinc,MATCH(Q422,ctaNombre,0))&amp;"",Q422),Q422))</f>
        <v/>
      </c>
      <c r="AC422" s="52">
        <f>IF(OR(K422="",AND(P422&lt;&gt;"Transferencia",P422&lt;&gt;"Pago tarjeta")),"",IFERROR(IF(INDEX(ctaVinc,MATCH(K422,ctaNombre,0))&amp;""&lt;&gt;"",INDEX(ctaVinc,MATCH(K422,ctaNombre,0))&amp;"",K422),K422))</f>
        <v/>
      </c>
      <c r="AD422" s="52">
        <f>IF(AB422="","",IFERROR(INDEX(ctaTipo,MATCH(AB422,ctaNombre,0))&amp;"",""))</f>
        <v/>
      </c>
      <c r="AE422" s="52">
        <f>IF(AC422="","",IFERROR(INDEX(ctaTipo,MATCH(AC422,ctaNombre,0))&amp;"",""))</f>
        <v/>
      </c>
      <c r="AF422" s="53">
        <f>IF(OR(P422="",AB422=""),"",IF(OR(P422="Gasto",P422="Transferencia",P422="Pago tarjeta"),-1,1)*IF(IFERROR(INDEX(ctaMoneda,MATCH(AB422,ctaNombre,0))&amp;"","DOP")="USD",T422,S422))</f>
        <v/>
      </c>
      <c r="AG422" s="53">
        <f>IF(AC422="","",IF(IFERROR(INDEX(ctaMoneda,MATCH(AC422,ctaNombre,0))&amp;"","DOP")="USD",T422,S422))</f>
        <v/>
      </c>
      <c r="AH422" s="53">
        <f>IF(P422="","",IF(AND(AD422&lt;&gt;"",COUNTIFS(tcTipo,AD422,tcLiq,"Sí")&gt;0),IF(OR(P422="Gasto",P422="Transferencia",P422="Pago tarjeta"),-1,1)*S422,0)+IF(AND(AE422&lt;&gt;"",COUNTIFS(tcTipo,AE422,tcLiq,"Sí")&gt;0),S422,0))</f>
        <v/>
      </c>
      <c r="AI422" s="52">
        <f>IF(OR(L422="",P422=""),"",IF(COUNTIFS(L$6:L422,L422,P$6:P422,"?*")=1,MAX(AI$5:AI421)+1,""))</f>
        <v/>
      </c>
    </row>
    <row r="423">
      <c r="B423" s="47" t="n"/>
      <c r="C423" s="48" t="n"/>
      <c r="D423" s="48" t="n"/>
      <c r="E423" s="48" t="n"/>
      <c r="F423" s="48" t="n"/>
      <c r="G423" s="49" t="n"/>
      <c r="H423" s="48" t="n"/>
      <c r="I423" s="50" t="n"/>
      <c r="J423" s="48" t="n"/>
      <c r="K423" s="48" t="n"/>
      <c r="L423" s="48" t="n"/>
      <c r="M423" s="48" t="n"/>
      <c r="N423" s="48" t="n"/>
      <c r="O423" s="51">
        <f>IF(AND(B423="",G423="",C423="",D423="",J423=""),"",IF(B423="","⚠ Falta fecha",IF(G423="","⚠ Falta monto",IF(Q423="","⚠ Falta cuenta",IF(ISNA(MATCH(Q423,ctaNombre,0)),"⚠ Cuenta no registrada",IF(AND(OR(P423="Gasto",P423="Reembolso"),D423=""),"⚠ Falta categoría",IF(AND(D423&lt;&gt;"",E423&lt;&gt;"",ISNA(MATCH(D423&amp;"|"&amp;E423,catClave,0))),"⚠ Subcategoría no corresponde",IF(AND(OR(P423="Transferencia",P423="Pago tarjeta"),K423=""),"⚠ Falta cuenta destino",IF(AND(K423&lt;&gt;"",P423&lt;&gt;"Transferencia",P423&lt;&gt;"Pago tarjeta"),"⚠ Destino solo aplica a transferencias",IF(AND(K423&lt;&gt;"",K423=Q423),"⚠ Origen igual a destino",IF(AND(K423&lt;&gt;"",ISNA(MATCH(K423,ctaNombre,0))),"⚠ Destino no registrado",IF(AND(P423="Pago tarjeta",AE423&lt;&gt;"Tarjeta de crédito"),"⚠ El destino debe ser tarjeta de crédito",IF(AND(P423="Gasto",E423="Depósitos y retiros"),"⚠ Usa tipo Transferencia",IF(AND(P423="Resultado trading",AD423&lt;&gt;"Cuenta de trading"),"⚠ Usa una cuenta de trading",IF(AND(G423&lt;=0,P423&lt;&gt;"Ajuste",P423&lt;&gt;"Resultado trading"),"⚠ El monto debe ser positivo","✓")))))))))))))))</f>
        <v/>
      </c>
      <c r="P423" s="52">
        <f>IF(OR(B423="",G423=""),"",IF(C423="","Gasto",C423))</f>
        <v/>
      </c>
      <c r="Q423" s="52">
        <f>IF(P423="","",IF(J423&lt;&gt;"",J423,CuentaPred&amp;""))</f>
        <v/>
      </c>
      <c r="R423" s="52">
        <f>IF(P423="","",IF(ISNUMBER(I423),I423,TasaUSD))</f>
        <v/>
      </c>
      <c r="S423" s="53">
        <f>IF(P423="","",IF(H423="USD",G423*R423,G423))</f>
        <v/>
      </c>
      <c r="T423" s="53">
        <f>IF(P423="","",IF(H423="USD",G423,IF(R423&gt;0,G423/R423,0)))</f>
        <v/>
      </c>
      <c r="U423" s="53">
        <f>IF(P423="","",IF(P423="Gasto",S423,IF(P423="Reembolso",-S423,0)))</f>
        <v/>
      </c>
      <c r="V423" s="53">
        <f>IF(P423="","",IF(P423="Ingreso",S423,0))</f>
        <v/>
      </c>
      <c r="W423" s="53">
        <f>IF(P423="","",IF(P423="Resultado trading",S423,0))</f>
        <v/>
      </c>
      <c r="X423" s="52">
        <f>IF(OR(P423="Gasto",P423="Reembolso"),IF(M423&lt;&gt;"",M423,IFERROR(INDEX(catClasif,MATCH(D423&amp;"|"&amp;E423,catClave,0))&amp;"","Variable")),"")</f>
        <v/>
      </c>
      <c r="Y423" s="52">
        <f>IF(P423="","",IFERROR(INDEX(catGrupo,MATCH(D423&amp;"|"&amp;E423,catClave,0))&amp;"",""))</f>
        <v/>
      </c>
      <c r="Z423" s="52">
        <f>IF(P423="","",WEEKDAY(B423,2))</f>
        <v/>
      </c>
      <c r="AA423" s="52">
        <f>IF(P423="","",IF(AND(P423="Gasto",X423="Variable",D423&lt;&gt;catTrading,S423&gt;0,S423&lt;=Umbral),1,0))</f>
        <v/>
      </c>
      <c r="AB423" s="52">
        <f>IF(OR(P423="",Q423=""),"",IFERROR(IF(INDEX(ctaVinc,MATCH(Q423,ctaNombre,0))&amp;""&lt;&gt;"",INDEX(ctaVinc,MATCH(Q423,ctaNombre,0))&amp;"",Q423),Q423))</f>
        <v/>
      </c>
      <c r="AC423" s="52">
        <f>IF(OR(K423="",AND(P423&lt;&gt;"Transferencia",P423&lt;&gt;"Pago tarjeta")),"",IFERROR(IF(INDEX(ctaVinc,MATCH(K423,ctaNombre,0))&amp;""&lt;&gt;"",INDEX(ctaVinc,MATCH(K423,ctaNombre,0))&amp;"",K423),K423))</f>
        <v/>
      </c>
      <c r="AD423" s="52">
        <f>IF(AB423="","",IFERROR(INDEX(ctaTipo,MATCH(AB423,ctaNombre,0))&amp;"",""))</f>
        <v/>
      </c>
      <c r="AE423" s="52">
        <f>IF(AC423="","",IFERROR(INDEX(ctaTipo,MATCH(AC423,ctaNombre,0))&amp;"",""))</f>
        <v/>
      </c>
      <c r="AF423" s="53">
        <f>IF(OR(P423="",AB423=""),"",IF(OR(P423="Gasto",P423="Transferencia",P423="Pago tarjeta"),-1,1)*IF(IFERROR(INDEX(ctaMoneda,MATCH(AB423,ctaNombre,0))&amp;"","DOP")="USD",T423,S423))</f>
        <v/>
      </c>
      <c r="AG423" s="53">
        <f>IF(AC423="","",IF(IFERROR(INDEX(ctaMoneda,MATCH(AC423,ctaNombre,0))&amp;"","DOP")="USD",T423,S423))</f>
        <v/>
      </c>
      <c r="AH423" s="53">
        <f>IF(P423="","",IF(AND(AD423&lt;&gt;"",COUNTIFS(tcTipo,AD423,tcLiq,"Sí")&gt;0),IF(OR(P423="Gasto",P423="Transferencia",P423="Pago tarjeta"),-1,1)*S423,0)+IF(AND(AE423&lt;&gt;"",COUNTIFS(tcTipo,AE423,tcLiq,"Sí")&gt;0),S423,0))</f>
        <v/>
      </c>
      <c r="AI423" s="52">
        <f>IF(OR(L423="",P423=""),"",IF(COUNTIFS(L$6:L423,L423,P$6:P423,"?*")=1,MAX(AI$5:AI422)+1,""))</f>
        <v/>
      </c>
    </row>
    <row r="424">
      <c r="B424" s="47" t="n"/>
      <c r="C424" s="48" t="n"/>
      <c r="D424" s="48" t="n"/>
      <c r="E424" s="48" t="n"/>
      <c r="F424" s="48" t="n"/>
      <c r="G424" s="49" t="n"/>
      <c r="H424" s="48" t="n"/>
      <c r="I424" s="50" t="n"/>
      <c r="J424" s="48" t="n"/>
      <c r="K424" s="48" t="n"/>
      <c r="L424" s="48" t="n"/>
      <c r="M424" s="48" t="n"/>
      <c r="N424" s="48" t="n"/>
      <c r="O424" s="51">
        <f>IF(AND(B424="",G424="",C424="",D424="",J424=""),"",IF(B424="","⚠ Falta fecha",IF(G424="","⚠ Falta monto",IF(Q424="","⚠ Falta cuenta",IF(ISNA(MATCH(Q424,ctaNombre,0)),"⚠ Cuenta no registrada",IF(AND(OR(P424="Gasto",P424="Reembolso"),D424=""),"⚠ Falta categoría",IF(AND(D424&lt;&gt;"",E424&lt;&gt;"",ISNA(MATCH(D424&amp;"|"&amp;E424,catClave,0))),"⚠ Subcategoría no corresponde",IF(AND(OR(P424="Transferencia",P424="Pago tarjeta"),K424=""),"⚠ Falta cuenta destino",IF(AND(K424&lt;&gt;"",P424&lt;&gt;"Transferencia",P424&lt;&gt;"Pago tarjeta"),"⚠ Destino solo aplica a transferencias",IF(AND(K424&lt;&gt;"",K424=Q424),"⚠ Origen igual a destino",IF(AND(K424&lt;&gt;"",ISNA(MATCH(K424,ctaNombre,0))),"⚠ Destino no registrado",IF(AND(P424="Pago tarjeta",AE424&lt;&gt;"Tarjeta de crédito"),"⚠ El destino debe ser tarjeta de crédito",IF(AND(P424="Gasto",E424="Depósitos y retiros"),"⚠ Usa tipo Transferencia",IF(AND(P424="Resultado trading",AD424&lt;&gt;"Cuenta de trading"),"⚠ Usa una cuenta de trading",IF(AND(G424&lt;=0,P424&lt;&gt;"Ajuste",P424&lt;&gt;"Resultado trading"),"⚠ El monto debe ser positivo","✓")))))))))))))))</f>
        <v/>
      </c>
      <c r="P424" s="52">
        <f>IF(OR(B424="",G424=""),"",IF(C424="","Gasto",C424))</f>
        <v/>
      </c>
      <c r="Q424" s="52">
        <f>IF(P424="","",IF(J424&lt;&gt;"",J424,CuentaPred&amp;""))</f>
        <v/>
      </c>
      <c r="R424" s="52">
        <f>IF(P424="","",IF(ISNUMBER(I424),I424,TasaUSD))</f>
        <v/>
      </c>
      <c r="S424" s="53">
        <f>IF(P424="","",IF(H424="USD",G424*R424,G424))</f>
        <v/>
      </c>
      <c r="T424" s="53">
        <f>IF(P424="","",IF(H424="USD",G424,IF(R424&gt;0,G424/R424,0)))</f>
        <v/>
      </c>
      <c r="U424" s="53">
        <f>IF(P424="","",IF(P424="Gasto",S424,IF(P424="Reembolso",-S424,0)))</f>
        <v/>
      </c>
      <c r="V424" s="53">
        <f>IF(P424="","",IF(P424="Ingreso",S424,0))</f>
        <v/>
      </c>
      <c r="W424" s="53">
        <f>IF(P424="","",IF(P424="Resultado trading",S424,0))</f>
        <v/>
      </c>
      <c r="X424" s="52">
        <f>IF(OR(P424="Gasto",P424="Reembolso"),IF(M424&lt;&gt;"",M424,IFERROR(INDEX(catClasif,MATCH(D424&amp;"|"&amp;E424,catClave,0))&amp;"","Variable")),"")</f>
        <v/>
      </c>
      <c r="Y424" s="52">
        <f>IF(P424="","",IFERROR(INDEX(catGrupo,MATCH(D424&amp;"|"&amp;E424,catClave,0))&amp;"",""))</f>
        <v/>
      </c>
      <c r="Z424" s="52">
        <f>IF(P424="","",WEEKDAY(B424,2))</f>
        <v/>
      </c>
      <c r="AA424" s="52">
        <f>IF(P424="","",IF(AND(P424="Gasto",X424="Variable",D424&lt;&gt;catTrading,S424&gt;0,S424&lt;=Umbral),1,0))</f>
        <v/>
      </c>
      <c r="AB424" s="52">
        <f>IF(OR(P424="",Q424=""),"",IFERROR(IF(INDEX(ctaVinc,MATCH(Q424,ctaNombre,0))&amp;""&lt;&gt;"",INDEX(ctaVinc,MATCH(Q424,ctaNombre,0))&amp;"",Q424),Q424))</f>
        <v/>
      </c>
      <c r="AC424" s="52">
        <f>IF(OR(K424="",AND(P424&lt;&gt;"Transferencia",P424&lt;&gt;"Pago tarjeta")),"",IFERROR(IF(INDEX(ctaVinc,MATCH(K424,ctaNombre,0))&amp;""&lt;&gt;"",INDEX(ctaVinc,MATCH(K424,ctaNombre,0))&amp;"",K424),K424))</f>
        <v/>
      </c>
      <c r="AD424" s="52">
        <f>IF(AB424="","",IFERROR(INDEX(ctaTipo,MATCH(AB424,ctaNombre,0))&amp;"",""))</f>
        <v/>
      </c>
      <c r="AE424" s="52">
        <f>IF(AC424="","",IFERROR(INDEX(ctaTipo,MATCH(AC424,ctaNombre,0))&amp;"",""))</f>
        <v/>
      </c>
      <c r="AF424" s="53">
        <f>IF(OR(P424="",AB424=""),"",IF(OR(P424="Gasto",P424="Transferencia",P424="Pago tarjeta"),-1,1)*IF(IFERROR(INDEX(ctaMoneda,MATCH(AB424,ctaNombre,0))&amp;"","DOP")="USD",T424,S424))</f>
        <v/>
      </c>
      <c r="AG424" s="53">
        <f>IF(AC424="","",IF(IFERROR(INDEX(ctaMoneda,MATCH(AC424,ctaNombre,0))&amp;"","DOP")="USD",T424,S424))</f>
        <v/>
      </c>
      <c r="AH424" s="53">
        <f>IF(P424="","",IF(AND(AD424&lt;&gt;"",COUNTIFS(tcTipo,AD424,tcLiq,"Sí")&gt;0),IF(OR(P424="Gasto",P424="Transferencia",P424="Pago tarjeta"),-1,1)*S424,0)+IF(AND(AE424&lt;&gt;"",COUNTIFS(tcTipo,AE424,tcLiq,"Sí")&gt;0),S424,0))</f>
        <v/>
      </c>
      <c r="AI424" s="52">
        <f>IF(OR(L424="",P424=""),"",IF(COUNTIFS(L$6:L424,L424,P$6:P424,"?*")=1,MAX(AI$5:AI423)+1,""))</f>
        <v/>
      </c>
    </row>
    <row r="425">
      <c r="B425" s="47" t="n"/>
      <c r="C425" s="48" t="n"/>
      <c r="D425" s="48" t="n"/>
      <c r="E425" s="48" t="n"/>
      <c r="F425" s="48" t="n"/>
      <c r="G425" s="49" t="n"/>
      <c r="H425" s="48" t="n"/>
      <c r="I425" s="50" t="n"/>
      <c r="J425" s="48" t="n"/>
      <c r="K425" s="48" t="n"/>
      <c r="L425" s="48" t="n"/>
      <c r="M425" s="48" t="n"/>
      <c r="N425" s="48" t="n"/>
      <c r="O425" s="51">
        <f>IF(AND(B425="",G425="",C425="",D425="",J425=""),"",IF(B425="","⚠ Falta fecha",IF(G425="","⚠ Falta monto",IF(Q425="","⚠ Falta cuenta",IF(ISNA(MATCH(Q425,ctaNombre,0)),"⚠ Cuenta no registrada",IF(AND(OR(P425="Gasto",P425="Reembolso"),D425=""),"⚠ Falta categoría",IF(AND(D425&lt;&gt;"",E425&lt;&gt;"",ISNA(MATCH(D425&amp;"|"&amp;E425,catClave,0))),"⚠ Subcategoría no corresponde",IF(AND(OR(P425="Transferencia",P425="Pago tarjeta"),K425=""),"⚠ Falta cuenta destino",IF(AND(K425&lt;&gt;"",P425&lt;&gt;"Transferencia",P425&lt;&gt;"Pago tarjeta"),"⚠ Destino solo aplica a transferencias",IF(AND(K425&lt;&gt;"",K425=Q425),"⚠ Origen igual a destino",IF(AND(K425&lt;&gt;"",ISNA(MATCH(K425,ctaNombre,0))),"⚠ Destino no registrado",IF(AND(P425="Pago tarjeta",AE425&lt;&gt;"Tarjeta de crédito"),"⚠ El destino debe ser tarjeta de crédito",IF(AND(P425="Gasto",E425="Depósitos y retiros"),"⚠ Usa tipo Transferencia",IF(AND(P425="Resultado trading",AD425&lt;&gt;"Cuenta de trading"),"⚠ Usa una cuenta de trading",IF(AND(G425&lt;=0,P425&lt;&gt;"Ajuste",P425&lt;&gt;"Resultado trading"),"⚠ El monto debe ser positivo","✓")))))))))))))))</f>
        <v/>
      </c>
      <c r="P425" s="52">
        <f>IF(OR(B425="",G425=""),"",IF(C425="","Gasto",C425))</f>
        <v/>
      </c>
      <c r="Q425" s="52">
        <f>IF(P425="","",IF(J425&lt;&gt;"",J425,CuentaPred&amp;""))</f>
        <v/>
      </c>
      <c r="R425" s="52">
        <f>IF(P425="","",IF(ISNUMBER(I425),I425,TasaUSD))</f>
        <v/>
      </c>
      <c r="S425" s="53">
        <f>IF(P425="","",IF(H425="USD",G425*R425,G425))</f>
        <v/>
      </c>
      <c r="T425" s="53">
        <f>IF(P425="","",IF(H425="USD",G425,IF(R425&gt;0,G425/R425,0)))</f>
        <v/>
      </c>
      <c r="U425" s="53">
        <f>IF(P425="","",IF(P425="Gasto",S425,IF(P425="Reembolso",-S425,0)))</f>
        <v/>
      </c>
      <c r="V425" s="53">
        <f>IF(P425="","",IF(P425="Ingreso",S425,0))</f>
        <v/>
      </c>
      <c r="W425" s="53">
        <f>IF(P425="","",IF(P425="Resultado trading",S425,0))</f>
        <v/>
      </c>
      <c r="X425" s="52">
        <f>IF(OR(P425="Gasto",P425="Reembolso"),IF(M425&lt;&gt;"",M425,IFERROR(INDEX(catClasif,MATCH(D425&amp;"|"&amp;E425,catClave,0))&amp;"","Variable")),"")</f>
        <v/>
      </c>
      <c r="Y425" s="52">
        <f>IF(P425="","",IFERROR(INDEX(catGrupo,MATCH(D425&amp;"|"&amp;E425,catClave,0))&amp;"",""))</f>
        <v/>
      </c>
      <c r="Z425" s="52">
        <f>IF(P425="","",WEEKDAY(B425,2))</f>
        <v/>
      </c>
      <c r="AA425" s="52">
        <f>IF(P425="","",IF(AND(P425="Gasto",X425="Variable",D425&lt;&gt;catTrading,S425&gt;0,S425&lt;=Umbral),1,0))</f>
        <v/>
      </c>
      <c r="AB425" s="52">
        <f>IF(OR(P425="",Q425=""),"",IFERROR(IF(INDEX(ctaVinc,MATCH(Q425,ctaNombre,0))&amp;""&lt;&gt;"",INDEX(ctaVinc,MATCH(Q425,ctaNombre,0))&amp;"",Q425),Q425))</f>
        <v/>
      </c>
      <c r="AC425" s="52">
        <f>IF(OR(K425="",AND(P425&lt;&gt;"Transferencia",P425&lt;&gt;"Pago tarjeta")),"",IFERROR(IF(INDEX(ctaVinc,MATCH(K425,ctaNombre,0))&amp;""&lt;&gt;"",INDEX(ctaVinc,MATCH(K425,ctaNombre,0))&amp;"",K425),K425))</f>
        <v/>
      </c>
      <c r="AD425" s="52">
        <f>IF(AB425="","",IFERROR(INDEX(ctaTipo,MATCH(AB425,ctaNombre,0))&amp;"",""))</f>
        <v/>
      </c>
      <c r="AE425" s="52">
        <f>IF(AC425="","",IFERROR(INDEX(ctaTipo,MATCH(AC425,ctaNombre,0))&amp;"",""))</f>
        <v/>
      </c>
      <c r="AF425" s="53">
        <f>IF(OR(P425="",AB425=""),"",IF(OR(P425="Gasto",P425="Transferencia",P425="Pago tarjeta"),-1,1)*IF(IFERROR(INDEX(ctaMoneda,MATCH(AB425,ctaNombre,0))&amp;"","DOP")="USD",T425,S425))</f>
        <v/>
      </c>
      <c r="AG425" s="53">
        <f>IF(AC425="","",IF(IFERROR(INDEX(ctaMoneda,MATCH(AC425,ctaNombre,0))&amp;"","DOP")="USD",T425,S425))</f>
        <v/>
      </c>
      <c r="AH425" s="53">
        <f>IF(P425="","",IF(AND(AD425&lt;&gt;"",COUNTIFS(tcTipo,AD425,tcLiq,"Sí")&gt;0),IF(OR(P425="Gasto",P425="Transferencia",P425="Pago tarjeta"),-1,1)*S425,0)+IF(AND(AE425&lt;&gt;"",COUNTIFS(tcTipo,AE425,tcLiq,"Sí")&gt;0),S425,0))</f>
        <v/>
      </c>
      <c r="AI425" s="52">
        <f>IF(OR(L425="",P425=""),"",IF(COUNTIFS(L$6:L425,L425,P$6:P425,"?*")=1,MAX(AI$5:AI424)+1,""))</f>
        <v/>
      </c>
    </row>
    <row r="426">
      <c r="B426" s="47" t="n"/>
      <c r="C426" s="48" t="n"/>
      <c r="D426" s="48" t="n"/>
      <c r="E426" s="48" t="n"/>
      <c r="F426" s="48" t="n"/>
      <c r="G426" s="49" t="n"/>
      <c r="H426" s="48" t="n"/>
      <c r="I426" s="50" t="n"/>
      <c r="J426" s="48" t="n"/>
      <c r="K426" s="48" t="n"/>
      <c r="L426" s="48" t="n"/>
      <c r="M426" s="48" t="n"/>
      <c r="N426" s="48" t="n"/>
      <c r="O426" s="51">
        <f>IF(AND(B426="",G426="",C426="",D426="",J426=""),"",IF(B426="","⚠ Falta fecha",IF(G426="","⚠ Falta monto",IF(Q426="","⚠ Falta cuenta",IF(ISNA(MATCH(Q426,ctaNombre,0)),"⚠ Cuenta no registrada",IF(AND(OR(P426="Gasto",P426="Reembolso"),D426=""),"⚠ Falta categoría",IF(AND(D426&lt;&gt;"",E426&lt;&gt;"",ISNA(MATCH(D426&amp;"|"&amp;E426,catClave,0))),"⚠ Subcategoría no corresponde",IF(AND(OR(P426="Transferencia",P426="Pago tarjeta"),K426=""),"⚠ Falta cuenta destino",IF(AND(K426&lt;&gt;"",P426&lt;&gt;"Transferencia",P426&lt;&gt;"Pago tarjeta"),"⚠ Destino solo aplica a transferencias",IF(AND(K426&lt;&gt;"",K426=Q426),"⚠ Origen igual a destino",IF(AND(K426&lt;&gt;"",ISNA(MATCH(K426,ctaNombre,0))),"⚠ Destino no registrado",IF(AND(P426="Pago tarjeta",AE426&lt;&gt;"Tarjeta de crédito"),"⚠ El destino debe ser tarjeta de crédito",IF(AND(P426="Gasto",E426="Depósitos y retiros"),"⚠ Usa tipo Transferencia",IF(AND(P426="Resultado trading",AD426&lt;&gt;"Cuenta de trading"),"⚠ Usa una cuenta de trading",IF(AND(G426&lt;=0,P426&lt;&gt;"Ajuste",P426&lt;&gt;"Resultado trading"),"⚠ El monto debe ser positivo","✓")))))))))))))))</f>
        <v/>
      </c>
      <c r="P426" s="52">
        <f>IF(OR(B426="",G426=""),"",IF(C426="","Gasto",C426))</f>
        <v/>
      </c>
      <c r="Q426" s="52">
        <f>IF(P426="","",IF(J426&lt;&gt;"",J426,CuentaPred&amp;""))</f>
        <v/>
      </c>
      <c r="R426" s="52">
        <f>IF(P426="","",IF(ISNUMBER(I426),I426,TasaUSD))</f>
        <v/>
      </c>
      <c r="S426" s="53">
        <f>IF(P426="","",IF(H426="USD",G426*R426,G426))</f>
        <v/>
      </c>
      <c r="T426" s="53">
        <f>IF(P426="","",IF(H426="USD",G426,IF(R426&gt;0,G426/R426,0)))</f>
        <v/>
      </c>
      <c r="U426" s="53">
        <f>IF(P426="","",IF(P426="Gasto",S426,IF(P426="Reembolso",-S426,0)))</f>
        <v/>
      </c>
      <c r="V426" s="53">
        <f>IF(P426="","",IF(P426="Ingreso",S426,0))</f>
        <v/>
      </c>
      <c r="W426" s="53">
        <f>IF(P426="","",IF(P426="Resultado trading",S426,0))</f>
        <v/>
      </c>
      <c r="X426" s="52">
        <f>IF(OR(P426="Gasto",P426="Reembolso"),IF(M426&lt;&gt;"",M426,IFERROR(INDEX(catClasif,MATCH(D426&amp;"|"&amp;E426,catClave,0))&amp;"","Variable")),"")</f>
        <v/>
      </c>
      <c r="Y426" s="52">
        <f>IF(P426="","",IFERROR(INDEX(catGrupo,MATCH(D426&amp;"|"&amp;E426,catClave,0))&amp;"",""))</f>
        <v/>
      </c>
      <c r="Z426" s="52">
        <f>IF(P426="","",WEEKDAY(B426,2))</f>
        <v/>
      </c>
      <c r="AA426" s="52">
        <f>IF(P426="","",IF(AND(P426="Gasto",X426="Variable",D426&lt;&gt;catTrading,S426&gt;0,S426&lt;=Umbral),1,0))</f>
        <v/>
      </c>
      <c r="AB426" s="52">
        <f>IF(OR(P426="",Q426=""),"",IFERROR(IF(INDEX(ctaVinc,MATCH(Q426,ctaNombre,0))&amp;""&lt;&gt;"",INDEX(ctaVinc,MATCH(Q426,ctaNombre,0))&amp;"",Q426),Q426))</f>
        <v/>
      </c>
      <c r="AC426" s="52">
        <f>IF(OR(K426="",AND(P426&lt;&gt;"Transferencia",P426&lt;&gt;"Pago tarjeta")),"",IFERROR(IF(INDEX(ctaVinc,MATCH(K426,ctaNombre,0))&amp;""&lt;&gt;"",INDEX(ctaVinc,MATCH(K426,ctaNombre,0))&amp;"",K426),K426))</f>
        <v/>
      </c>
      <c r="AD426" s="52">
        <f>IF(AB426="","",IFERROR(INDEX(ctaTipo,MATCH(AB426,ctaNombre,0))&amp;"",""))</f>
        <v/>
      </c>
      <c r="AE426" s="52">
        <f>IF(AC426="","",IFERROR(INDEX(ctaTipo,MATCH(AC426,ctaNombre,0))&amp;"",""))</f>
        <v/>
      </c>
      <c r="AF426" s="53">
        <f>IF(OR(P426="",AB426=""),"",IF(OR(P426="Gasto",P426="Transferencia",P426="Pago tarjeta"),-1,1)*IF(IFERROR(INDEX(ctaMoneda,MATCH(AB426,ctaNombre,0))&amp;"","DOP")="USD",T426,S426))</f>
        <v/>
      </c>
      <c r="AG426" s="53">
        <f>IF(AC426="","",IF(IFERROR(INDEX(ctaMoneda,MATCH(AC426,ctaNombre,0))&amp;"","DOP")="USD",T426,S426))</f>
        <v/>
      </c>
      <c r="AH426" s="53">
        <f>IF(P426="","",IF(AND(AD426&lt;&gt;"",COUNTIFS(tcTipo,AD426,tcLiq,"Sí")&gt;0),IF(OR(P426="Gasto",P426="Transferencia",P426="Pago tarjeta"),-1,1)*S426,0)+IF(AND(AE426&lt;&gt;"",COUNTIFS(tcTipo,AE426,tcLiq,"Sí")&gt;0),S426,0))</f>
        <v/>
      </c>
      <c r="AI426" s="52">
        <f>IF(OR(L426="",P426=""),"",IF(COUNTIFS(L$6:L426,L426,P$6:P426,"?*")=1,MAX(AI$5:AI425)+1,""))</f>
        <v/>
      </c>
    </row>
    <row r="427">
      <c r="B427" s="47" t="n"/>
      <c r="C427" s="48" t="n"/>
      <c r="D427" s="48" t="n"/>
      <c r="E427" s="48" t="n"/>
      <c r="F427" s="48" t="n"/>
      <c r="G427" s="49" t="n"/>
      <c r="H427" s="48" t="n"/>
      <c r="I427" s="50" t="n"/>
      <c r="J427" s="48" t="n"/>
      <c r="K427" s="48" t="n"/>
      <c r="L427" s="48" t="n"/>
      <c r="M427" s="48" t="n"/>
      <c r="N427" s="48" t="n"/>
      <c r="O427" s="51">
        <f>IF(AND(B427="",G427="",C427="",D427="",J427=""),"",IF(B427="","⚠ Falta fecha",IF(G427="","⚠ Falta monto",IF(Q427="","⚠ Falta cuenta",IF(ISNA(MATCH(Q427,ctaNombre,0)),"⚠ Cuenta no registrada",IF(AND(OR(P427="Gasto",P427="Reembolso"),D427=""),"⚠ Falta categoría",IF(AND(D427&lt;&gt;"",E427&lt;&gt;"",ISNA(MATCH(D427&amp;"|"&amp;E427,catClave,0))),"⚠ Subcategoría no corresponde",IF(AND(OR(P427="Transferencia",P427="Pago tarjeta"),K427=""),"⚠ Falta cuenta destino",IF(AND(K427&lt;&gt;"",P427&lt;&gt;"Transferencia",P427&lt;&gt;"Pago tarjeta"),"⚠ Destino solo aplica a transferencias",IF(AND(K427&lt;&gt;"",K427=Q427),"⚠ Origen igual a destino",IF(AND(K427&lt;&gt;"",ISNA(MATCH(K427,ctaNombre,0))),"⚠ Destino no registrado",IF(AND(P427="Pago tarjeta",AE427&lt;&gt;"Tarjeta de crédito"),"⚠ El destino debe ser tarjeta de crédito",IF(AND(P427="Gasto",E427="Depósitos y retiros"),"⚠ Usa tipo Transferencia",IF(AND(P427="Resultado trading",AD427&lt;&gt;"Cuenta de trading"),"⚠ Usa una cuenta de trading",IF(AND(G427&lt;=0,P427&lt;&gt;"Ajuste",P427&lt;&gt;"Resultado trading"),"⚠ El monto debe ser positivo","✓")))))))))))))))</f>
        <v/>
      </c>
      <c r="P427" s="52">
        <f>IF(OR(B427="",G427=""),"",IF(C427="","Gasto",C427))</f>
        <v/>
      </c>
      <c r="Q427" s="52">
        <f>IF(P427="","",IF(J427&lt;&gt;"",J427,CuentaPred&amp;""))</f>
        <v/>
      </c>
      <c r="R427" s="52">
        <f>IF(P427="","",IF(ISNUMBER(I427),I427,TasaUSD))</f>
        <v/>
      </c>
      <c r="S427" s="53">
        <f>IF(P427="","",IF(H427="USD",G427*R427,G427))</f>
        <v/>
      </c>
      <c r="T427" s="53">
        <f>IF(P427="","",IF(H427="USD",G427,IF(R427&gt;0,G427/R427,0)))</f>
        <v/>
      </c>
      <c r="U427" s="53">
        <f>IF(P427="","",IF(P427="Gasto",S427,IF(P427="Reembolso",-S427,0)))</f>
        <v/>
      </c>
      <c r="V427" s="53">
        <f>IF(P427="","",IF(P427="Ingreso",S427,0))</f>
        <v/>
      </c>
      <c r="W427" s="53">
        <f>IF(P427="","",IF(P427="Resultado trading",S427,0))</f>
        <v/>
      </c>
      <c r="X427" s="52">
        <f>IF(OR(P427="Gasto",P427="Reembolso"),IF(M427&lt;&gt;"",M427,IFERROR(INDEX(catClasif,MATCH(D427&amp;"|"&amp;E427,catClave,0))&amp;"","Variable")),"")</f>
        <v/>
      </c>
      <c r="Y427" s="52">
        <f>IF(P427="","",IFERROR(INDEX(catGrupo,MATCH(D427&amp;"|"&amp;E427,catClave,0))&amp;"",""))</f>
        <v/>
      </c>
      <c r="Z427" s="52">
        <f>IF(P427="","",WEEKDAY(B427,2))</f>
        <v/>
      </c>
      <c r="AA427" s="52">
        <f>IF(P427="","",IF(AND(P427="Gasto",X427="Variable",D427&lt;&gt;catTrading,S427&gt;0,S427&lt;=Umbral),1,0))</f>
        <v/>
      </c>
      <c r="AB427" s="52">
        <f>IF(OR(P427="",Q427=""),"",IFERROR(IF(INDEX(ctaVinc,MATCH(Q427,ctaNombre,0))&amp;""&lt;&gt;"",INDEX(ctaVinc,MATCH(Q427,ctaNombre,0))&amp;"",Q427),Q427))</f>
        <v/>
      </c>
      <c r="AC427" s="52">
        <f>IF(OR(K427="",AND(P427&lt;&gt;"Transferencia",P427&lt;&gt;"Pago tarjeta")),"",IFERROR(IF(INDEX(ctaVinc,MATCH(K427,ctaNombre,0))&amp;""&lt;&gt;"",INDEX(ctaVinc,MATCH(K427,ctaNombre,0))&amp;"",K427),K427))</f>
        <v/>
      </c>
      <c r="AD427" s="52">
        <f>IF(AB427="","",IFERROR(INDEX(ctaTipo,MATCH(AB427,ctaNombre,0))&amp;"",""))</f>
        <v/>
      </c>
      <c r="AE427" s="52">
        <f>IF(AC427="","",IFERROR(INDEX(ctaTipo,MATCH(AC427,ctaNombre,0))&amp;"",""))</f>
        <v/>
      </c>
      <c r="AF427" s="53">
        <f>IF(OR(P427="",AB427=""),"",IF(OR(P427="Gasto",P427="Transferencia",P427="Pago tarjeta"),-1,1)*IF(IFERROR(INDEX(ctaMoneda,MATCH(AB427,ctaNombre,0))&amp;"","DOP")="USD",T427,S427))</f>
        <v/>
      </c>
      <c r="AG427" s="53">
        <f>IF(AC427="","",IF(IFERROR(INDEX(ctaMoneda,MATCH(AC427,ctaNombre,0))&amp;"","DOP")="USD",T427,S427))</f>
        <v/>
      </c>
      <c r="AH427" s="53">
        <f>IF(P427="","",IF(AND(AD427&lt;&gt;"",COUNTIFS(tcTipo,AD427,tcLiq,"Sí")&gt;0),IF(OR(P427="Gasto",P427="Transferencia",P427="Pago tarjeta"),-1,1)*S427,0)+IF(AND(AE427&lt;&gt;"",COUNTIFS(tcTipo,AE427,tcLiq,"Sí")&gt;0),S427,0))</f>
        <v/>
      </c>
      <c r="AI427" s="52">
        <f>IF(OR(L427="",P427=""),"",IF(COUNTIFS(L$6:L427,L427,P$6:P427,"?*")=1,MAX(AI$5:AI426)+1,""))</f>
        <v/>
      </c>
    </row>
    <row r="428">
      <c r="B428" s="47" t="n"/>
      <c r="C428" s="48" t="n"/>
      <c r="D428" s="48" t="n"/>
      <c r="E428" s="48" t="n"/>
      <c r="F428" s="48" t="n"/>
      <c r="G428" s="49" t="n"/>
      <c r="H428" s="48" t="n"/>
      <c r="I428" s="50" t="n"/>
      <c r="J428" s="48" t="n"/>
      <c r="K428" s="48" t="n"/>
      <c r="L428" s="48" t="n"/>
      <c r="M428" s="48" t="n"/>
      <c r="N428" s="48" t="n"/>
      <c r="O428" s="51">
        <f>IF(AND(B428="",G428="",C428="",D428="",J428=""),"",IF(B428="","⚠ Falta fecha",IF(G428="","⚠ Falta monto",IF(Q428="","⚠ Falta cuenta",IF(ISNA(MATCH(Q428,ctaNombre,0)),"⚠ Cuenta no registrada",IF(AND(OR(P428="Gasto",P428="Reembolso"),D428=""),"⚠ Falta categoría",IF(AND(D428&lt;&gt;"",E428&lt;&gt;"",ISNA(MATCH(D428&amp;"|"&amp;E428,catClave,0))),"⚠ Subcategoría no corresponde",IF(AND(OR(P428="Transferencia",P428="Pago tarjeta"),K428=""),"⚠ Falta cuenta destino",IF(AND(K428&lt;&gt;"",P428&lt;&gt;"Transferencia",P428&lt;&gt;"Pago tarjeta"),"⚠ Destino solo aplica a transferencias",IF(AND(K428&lt;&gt;"",K428=Q428),"⚠ Origen igual a destino",IF(AND(K428&lt;&gt;"",ISNA(MATCH(K428,ctaNombre,0))),"⚠ Destino no registrado",IF(AND(P428="Pago tarjeta",AE428&lt;&gt;"Tarjeta de crédito"),"⚠ El destino debe ser tarjeta de crédito",IF(AND(P428="Gasto",E428="Depósitos y retiros"),"⚠ Usa tipo Transferencia",IF(AND(P428="Resultado trading",AD428&lt;&gt;"Cuenta de trading"),"⚠ Usa una cuenta de trading",IF(AND(G428&lt;=0,P428&lt;&gt;"Ajuste",P428&lt;&gt;"Resultado trading"),"⚠ El monto debe ser positivo","✓")))))))))))))))</f>
        <v/>
      </c>
      <c r="P428" s="52">
        <f>IF(OR(B428="",G428=""),"",IF(C428="","Gasto",C428))</f>
        <v/>
      </c>
      <c r="Q428" s="52">
        <f>IF(P428="","",IF(J428&lt;&gt;"",J428,CuentaPred&amp;""))</f>
        <v/>
      </c>
      <c r="R428" s="52">
        <f>IF(P428="","",IF(ISNUMBER(I428),I428,TasaUSD))</f>
        <v/>
      </c>
      <c r="S428" s="53">
        <f>IF(P428="","",IF(H428="USD",G428*R428,G428))</f>
        <v/>
      </c>
      <c r="T428" s="53">
        <f>IF(P428="","",IF(H428="USD",G428,IF(R428&gt;0,G428/R428,0)))</f>
        <v/>
      </c>
      <c r="U428" s="53">
        <f>IF(P428="","",IF(P428="Gasto",S428,IF(P428="Reembolso",-S428,0)))</f>
        <v/>
      </c>
      <c r="V428" s="53">
        <f>IF(P428="","",IF(P428="Ingreso",S428,0))</f>
        <v/>
      </c>
      <c r="W428" s="53">
        <f>IF(P428="","",IF(P428="Resultado trading",S428,0))</f>
        <v/>
      </c>
      <c r="X428" s="52">
        <f>IF(OR(P428="Gasto",P428="Reembolso"),IF(M428&lt;&gt;"",M428,IFERROR(INDEX(catClasif,MATCH(D428&amp;"|"&amp;E428,catClave,0))&amp;"","Variable")),"")</f>
        <v/>
      </c>
      <c r="Y428" s="52">
        <f>IF(P428="","",IFERROR(INDEX(catGrupo,MATCH(D428&amp;"|"&amp;E428,catClave,0))&amp;"",""))</f>
        <v/>
      </c>
      <c r="Z428" s="52">
        <f>IF(P428="","",WEEKDAY(B428,2))</f>
        <v/>
      </c>
      <c r="AA428" s="52">
        <f>IF(P428="","",IF(AND(P428="Gasto",X428="Variable",D428&lt;&gt;catTrading,S428&gt;0,S428&lt;=Umbral),1,0))</f>
        <v/>
      </c>
      <c r="AB428" s="52">
        <f>IF(OR(P428="",Q428=""),"",IFERROR(IF(INDEX(ctaVinc,MATCH(Q428,ctaNombre,0))&amp;""&lt;&gt;"",INDEX(ctaVinc,MATCH(Q428,ctaNombre,0))&amp;"",Q428),Q428))</f>
        <v/>
      </c>
      <c r="AC428" s="52">
        <f>IF(OR(K428="",AND(P428&lt;&gt;"Transferencia",P428&lt;&gt;"Pago tarjeta")),"",IFERROR(IF(INDEX(ctaVinc,MATCH(K428,ctaNombre,0))&amp;""&lt;&gt;"",INDEX(ctaVinc,MATCH(K428,ctaNombre,0))&amp;"",K428),K428))</f>
        <v/>
      </c>
      <c r="AD428" s="52">
        <f>IF(AB428="","",IFERROR(INDEX(ctaTipo,MATCH(AB428,ctaNombre,0))&amp;"",""))</f>
        <v/>
      </c>
      <c r="AE428" s="52">
        <f>IF(AC428="","",IFERROR(INDEX(ctaTipo,MATCH(AC428,ctaNombre,0))&amp;"",""))</f>
        <v/>
      </c>
      <c r="AF428" s="53">
        <f>IF(OR(P428="",AB428=""),"",IF(OR(P428="Gasto",P428="Transferencia",P428="Pago tarjeta"),-1,1)*IF(IFERROR(INDEX(ctaMoneda,MATCH(AB428,ctaNombre,0))&amp;"","DOP")="USD",T428,S428))</f>
        <v/>
      </c>
      <c r="AG428" s="53">
        <f>IF(AC428="","",IF(IFERROR(INDEX(ctaMoneda,MATCH(AC428,ctaNombre,0))&amp;"","DOP")="USD",T428,S428))</f>
        <v/>
      </c>
      <c r="AH428" s="53">
        <f>IF(P428="","",IF(AND(AD428&lt;&gt;"",COUNTIFS(tcTipo,AD428,tcLiq,"Sí")&gt;0),IF(OR(P428="Gasto",P428="Transferencia",P428="Pago tarjeta"),-1,1)*S428,0)+IF(AND(AE428&lt;&gt;"",COUNTIFS(tcTipo,AE428,tcLiq,"Sí")&gt;0),S428,0))</f>
        <v/>
      </c>
      <c r="AI428" s="52">
        <f>IF(OR(L428="",P428=""),"",IF(COUNTIFS(L$6:L428,L428,P$6:P428,"?*")=1,MAX(AI$5:AI427)+1,""))</f>
        <v/>
      </c>
    </row>
    <row r="429">
      <c r="B429" s="47" t="n"/>
      <c r="C429" s="48" t="n"/>
      <c r="D429" s="48" t="n"/>
      <c r="E429" s="48" t="n"/>
      <c r="F429" s="48" t="n"/>
      <c r="G429" s="49" t="n"/>
      <c r="H429" s="48" t="n"/>
      <c r="I429" s="50" t="n"/>
      <c r="J429" s="48" t="n"/>
      <c r="K429" s="48" t="n"/>
      <c r="L429" s="48" t="n"/>
      <c r="M429" s="48" t="n"/>
      <c r="N429" s="48" t="n"/>
      <c r="O429" s="51">
        <f>IF(AND(B429="",G429="",C429="",D429="",J429=""),"",IF(B429="","⚠ Falta fecha",IF(G429="","⚠ Falta monto",IF(Q429="","⚠ Falta cuenta",IF(ISNA(MATCH(Q429,ctaNombre,0)),"⚠ Cuenta no registrada",IF(AND(OR(P429="Gasto",P429="Reembolso"),D429=""),"⚠ Falta categoría",IF(AND(D429&lt;&gt;"",E429&lt;&gt;"",ISNA(MATCH(D429&amp;"|"&amp;E429,catClave,0))),"⚠ Subcategoría no corresponde",IF(AND(OR(P429="Transferencia",P429="Pago tarjeta"),K429=""),"⚠ Falta cuenta destino",IF(AND(K429&lt;&gt;"",P429&lt;&gt;"Transferencia",P429&lt;&gt;"Pago tarjeta"),"⚠ Destino solo aplica a transferencias",IF(AND(K429&lt;&gt;"",K429=Q429),"⚠ Origen igual a destino",IF(AND(K429&lt;&gt;"",ISNA(MATCH(K429,ctaNombre,0))),"⚠ Destino no registrado",IF(AND(P429="Pago tarjeta",AE429&lt;&gt;"Tarjeta de crédito"),"⚠ El destino debe ser tarjeta de crédito",IF(AND(P429="Gasto",E429="Depósitos y retiros"),"⚠ Usa tipo Transferencia",IF(AND(P429="Resultado trading",AD429&lt;&gt;"Cuenta de trading"),"⚠ Usa una cuenta de trading",IF(AND(G429&lt;=0,P429&lt;&gt;"Ajuste",P429&lt;&gt;"Resultado trading"),"⚠ El monto debe ser positivo","✓")))))))))))))))</f>
        <v/>
      </c>
      <c r="P429" s="52">
        <f>IF(OR(B429="",G429=""),"",IF(C429="","Gasto",C429))</f>
        <v/>
      </c>
      <c r="Q429" s="52">
        <f>IF(P429="","",IF(J429&lt;&gt;"",J429,CuentaPred&amp;""))</f>
        <v/>
      </c>
      <c r="R429" s="52">
        <f>IF(P429="","",IF(ISNUMBER(I429),I429,TasaUSD))</f>
        <v/>
      </c>
      <c r="S429" s="53">
        <f>IF(P429="","",IF(H429="USD",G429*R429,G429))</f>
        <v/>
      </c>
      <c r="T429" s="53">
        <f>IF(P429="","",IF(H429="USD",G429,IF(R429&gt;0,G429/R429,0)))</f>
        <v/>
      </c>
      <c r="U429" s="53">
        <f>IF(P429="","",IF(P429="Gasto",S429,IF(P429="Reembolso",-S429,0)))</f>
        <v/>
      </c>
      <c r="V429" s="53">
        <f>IF(P429="","",IF(P429="Ingreso",S429,0))</f>
        <v/>
      </c>
      <c r="W429" s="53">
        <f>IF(P429="","",IF(P429="Resultado trading",S429,0))</f>
        <v/>
      </c>
      <c r="X429" s="52">
        <f>IF(OR(P429="Gasto",P429="Reembolso"),IF(M429&lt;&gt;"",M429,IFERROR(INDEX(catClasif,MATCH(D429&amp;"|"&amp;E429,catClave,0))&amp;"","Variable")),"")</f>
        <v/>
      </c>
      <c r="Y429" s="52">
        <f>IF(P429="","",IFERROR(INDEX(catGrupo,MATCH(D429&amp;"|"&amp;E429,catClave,0))&amp;"",""))</f>
        <v/>
      </c>
      <c r="Z429" s="52">
        <f>IF(P429="","",WEEKDAY(B429,2))</f>
        <v/>
      </c>
      <c r="AA429" s="52">
        <f>IF(P429="","",IF(AND(P429="Gasto",X429="Variable",D429&lt;&gt;catTrading,S429&gt;0,S429&lt;=Umbral),1,0))</f>
        <v/>
      </c>
      <c r="AB429" s="52">
        <f>IF(OR(P429="",Q429=""),"",IFERROR(IF(INDEX(ctaVinc,MATCH(Q429,ctaNombre,0))&amp;""&lt;&gt;"",INDEX(ctaVinc,MATCH(Q429,ctaNombre,0))&amp;"",Q429),Q429))</f>
        <v/>
      </c>
      <c r="AC429" s="52">
        <f>IF(OR(K429="",AND(P429&lt;&gt;"Transferencia",P429&lt;&gt;"Pago tarjeta")),"",IFERROR(IF(INDEX(ctaVinc,MATCH(K429,ctaNombre,0))&amp;""&lt;&gt;"",INDEX(ctaVinc,MATCH(K429,ctaNombre,0))&amp;"",K429),K429))</f>
        <v/>
      </c>
      <c r="AD429" s="52">
        <f>IF(AB429="","",IFERROR(INDEX(ctaTipo,MATCH(AB429,ctaNombre,0))&amp;"",""))</f>
        <v/>
      </c>
      <c r="AE429" s="52">
        <f>IF(AC429="","",IFERROR(INDEX(ctaTipo,MATCH(AC429,ctaNombre,0))&amp;"",""))</f>
        <v/>
      </c>
      <c r="AF429" s="53">
        <f>IF(OR(P429="",AB429=""),"",IF(OR(P429="Gasto",P429="Transferencia",P429="Pago tarjeta"),-1,1)*IF(IFERROR(INDEX(ctaMoneda,MATCH(AB429,ctaNombre,0))&amp;"","DOP")="USD",T429,S429))</f>
        <v/>
      </c>
      <c r="AG429" s="53">
        <f>IF(AC429="","",IF(IFERROR(INDEX(ctaMoneda,MATCH(AC429,ctaNombre,0))&amp;"","DOP")="USD",T429,S429))</f>
        <v/>
      </c>
      <c r="AH429" s="53">
        <f>IF(P429="","",IF(AND(AD429&lt;&gt;"",COUNTIFS(tcTipo,AD429,tcLiq,"Sí")&gt;0),IF(OR(P429="Gasto",P429="Transferencia",P429="Pago tarjeta"),-1,1)*S429,0)+IF(AND(AE429&lt;&gt;"",COUNTIFS(tcTipo,AE429,tcLiq,"Sí")&gt;0),S429,0))</f>
        <v/>
      </c>
      <c r="AI429" s="52">
        <f>IF(OR(L429="",P429=""),"",IF(COUNTIFS(L$6:L429,L429,P$6:P429,"?*")=1,MAX(AI$5:AI428)+1,""))</f>
        <v/>
      </c>
    </row>
    <row r="430">
      <c r="B430" s="47" t="n"/>
      <c r="C430" s="48" t="n"/>
      <c r="D430" s="48" t="n"/>
      <c r="E430" s="48" t="n"/>
      <c r="F430" s="48" t="n"/>
      <c r="G430" s="49" t="n"/>
      <c r="H430" s="48" t="n"/>
      <c r="I430" s="50" t="n"/>
      <c r="J430" s="48" t="n"/>
      <c r="K430" s="48" t="n"/>
      <c r="L430" s="48" t="n"/>
      <c r="M430" s="48" t="n"/>
      <c r="N430" s="48" t="n"/>
      <c r="O430" s="51">
        <f>IF(AND(B430="",G430="",C430="",D430="",J430=""),"",IF(B430="","⚠ Falta fecha",IF(G430="","⚠ Falta monto",IF(Q430="","⚠ Falta cuenta",IF(ISNA(MATCH(Q430,ctaNombre,0)),"⚠ Cuenta no registrada",IF(AND(OR(P430="Gasto",P430="Reembolso"),D430=""),"⚠ Falta categoría",IF(AND(D430&lt;&gt;"",E430&lt;&gt;"",ISNA(MATCH(D430&amp;"|"&amp;E430,catClave,0))),"⚠ Subcategoría no corresponde",IF(AND(OR(P430="Transferencia",P430="Pago tarjeta"),K430=""),"⚠ Falta cuenta destino",IF(AND(K430&lt;&gt;"",P430&lt;&gt;"Transferencia",P430&lt;&gt;"Pago tarjeta"),"⚠ Destino solo aplica a transferencias",IF(AND(K430&lt;&gt;"",K430=Q430),"⚠ Origen igual a destino",IF(AND(K430&lt;&gt;"",ISNA(MATCH(K430,ctaNombre,0))),"⚠ Destino no registrado",IF(AND(P430="Pago tarjeta",AE430&lt;&gt;"Tarjeta de crédito"),"⚠ El destino debe ser tarjeta de crédito",IF(AND(P430="Gasto",E430="Depósitos y retiros"),"⚠ Usa tipo Transferencia",IF(AND(P430="Resultado trading",AD430&lt;&gt;"Cuenta de trading"),"⚠ Usa una cuenta de trading",IF(AND(G430&lt;=0,P430&lt;&gt;"Ajuste",P430&lt;&gt;"Resultado trading"),"⚠ El monto debe ser positivo","✓")))))))))))))))</f>
        <v/>
      </c>
      <c r="P430" s="52">
        <f>IF(OR(B430="",G430=""),"",IF(C430="","Gasto",C430))</f>
        <v/>
      </c>
      <c r="Q430" s="52">
        <f>IF(P430="","",IF(J430&lt;&gt;"",J430,CuentaPred&amp;""))</f>
        <v/>
      </c>
      <c r="R430" s="52">
        <f>IF(P430="","",IF(ISNUMBER(I430),I430,TasaUSD))</f>
        <v/>
      </c>
      <c r="S430" s="53">
        <f>IF(P430="","",IF(H430="USD",G430*R430,G430))</f>
        <v/>
      </c>
      <c r="T430" s="53">
        <f>IF(P430="","",IF(H430="USD",G430,IF(R430&gt;0,G430/R430,0)))</f>
        <v/>
      </c>
      <c r="U430" s="53">
        <f>IF(P430="","",IF(P430="Gasto",S430,IF(P430="Reembolso",-S430,0)))</f>
        <v/>
      </c>
      <c r="V430" s="53">
        <f>IF(P430="","",IF(P430="Ingreso",S430,0))</f>
        <v/>
      </c>
      <c r="W430" s="53">
        <f>IF(P430="","",IF(P430="Resultado trading",S430,0))</f>
        <v/>
      </c>
      <c r="X430" s="52">
        <f>IF(OR(P430="Gasto",P430="Reembolso"),IF(M430&lt;&gt;"",M430,IFERROR(INDEX(catClasif,MATCH(D430&amp;"|"&amp;E430,catClave,0))&amp;"","Variable")),"")</f>
        <v/>
      </c>
      <c r="Y430" s="52">
        <f>IF(P430="","",IFERROR(INDEX(catGrupo,MATCH(D430&amp;"|"&amp;E430,catClave,0))&amp;"",""))</f>
        <v/>
      </c>
      <c r="Z430" s="52">
        <f>IF(P430="","",WEEKDAY(B430,2))</f>
        <v/>
      </c>
      <c r="AA430" s="52">
        <f>IF(P430="","",IF(AND(P430="Gasto",X430="Variable",D430&lt;&gt;catTrading,S430&gt;0,S430&lt;=Umbral),1,0))</f>
        <v/>
      </c>
      <c r="AB430" s="52">
        <f>IF(OR(P430="",Q430=""),"",IFERROR(IF(INDEX(ctaVinc,MATCH(Q430,ctaNombre,0))&amp;""&lt;&gt;"",INDEX(ctaVinc,MATCH(Q430,ctaNombre,0))&amp;"",Q430),Q430))</f>
        <v/>
      </c>
      <c r="AC430" s="52">
        <f>IF(OR(K430="",AND(P430&lt;&gt;"Transferencia",P430&lt;&gt;"Pago tarjeta")),"",IFERROR(IF(INDEX(ctaVinc,MATCH(K430,ctaNombre,0))&amp;""&lt;&gt;"",INDEX(ctaVinc,MATCH(K430,ctaNombre,0))&amp;"",K430),K430))</f>
        <v/>
      </c>
      <c r="AD430" s="52">
        <f>IF(AB430="","",IFERROR(INDEX(ctaTipo,MATCH(AB430,ctaNombre,0))&amp;"",""))</f>
        <v/>
      </c>
      <c r="AE430" s="52">
        <f>IF(AC430="","",IFERROR(INDEX(ctaTipo,MATCH(AC430,ctaNombre,0))&amp;"",""))</f>
        <v/>
      </c>
      <c r="AF430" s="53">
        <f>IF(OR(P430="",AB430=""),"",IF(OR(P430="Gasto",P430="Transferencia",P430="Pago tarjeta"),-1,1)*IF(IFERROR(INDEX(ctaMoneda,MATCH(AB430,ctaNombre,0))&amp;"","DOP")="USD",T430,S430))</f>
        <v/>
      </c>
      <c r="AG430" s="53">
        <f>IF(AC430="","",IF(IFERROR(INDEX(ctaMoneda,MATCH(AC430,ctaNombre,0))&amp;"","DOP")="USD",T430,S430))</f>
        <v/>
      </c>
      <c r="AH430" s="53">
        <f>IF(P430="","",IF(AND(AD430&lt;&gt;"",COUNTIFS(tcTipo,AD430,tcLiq,"Sí")&gt;0),IF(OR(P430="Gasto",P430="Transferencia",P430="Pago tarjeta"),-1,1)*S430,0)+IF(AND(AE430&lt;&gt;"",COUNTIFS(tcTipo,AE430,tcLiq,"Sí")&gt;0),S430,0))</f>
        <v/>
      </c>
      <c r="AI430" s="52">
        <f>IF(OR(L430="",P430=""),"",IF(COUNTIFS(L$6:L430,L430,P$6:P430,"?*")=1,MAX(AI$5:AI429)+1,""))</f>
        <v/>
      </c>
    </row>
    <row r="431">
      <c r="B431" s="47" t="n"/>
      <c r="C431" s="48" t="n"/>
      <c r="D431" s="48" t="n"/>
      <c r="E431" s="48" t="n"/>
      <c r="F431" s="48" t="n"/>
      <c r="G431" s="49" t="n"/>
      <c r="H431" s="48" t="n"/>
      <c r="I431" s="50" t="n"/>
      <c r="J431" s="48" t="n"/>
      <c r="K431" s="48" t="n"/>
      <c r="L431" s="48" t="n"/>
      <c r="M431" s="48" t="n"/>
      <c r="N431" s="48" t="n"/>
      <c r="O431" s="51">
        <f>IF(AND(B431="",G431="",C431="",D431="",J431=""),"",IF(B431="","⚠ Falta fecha",IF(G431="","⚠ Falta monto",IF(Q431="","⚠ Falta cuenta",IF(ISNA(MATCH(Q431,ctaNombre,0)),"⚠ Cuenta no registrada",IF(AND(OR(P431="Gasto",P431="Reembolso"),D431=""),"⚠ Falta categoría",IF(AND(D431&lt;&gt;"",E431&lt;&gt;"",ISNA(MATCH(D431&amp;"|"&amp;E431,catClave,0))),"⚠ Subcategoría no corresponde",IF(AND(OR(P431="Transferencia",P431="Pago tarjeta"),K431=""),"⚠ Falta cuenta destino",IF(AND(K431&lt;&gt;"",P431&lt;&gt;"Transferencia",P431&lt;&gt;"Pago tarjeta"),"⚠ Destino solo aplica a transferencias",IF(AND(K431&lt;&gt;"",K431=Q431),"⚠ Origen igual a destino",IF(AND(K431&lt;&gt;"",ISNA(MATCH(K431,ctaNombre,0))),"⚠ Destino no registrado",IF(AND(P431="Pago tarjeta",AE431&lt;&gt;"Tarjeta de crédito"),"⚠ El destino debe ser tarjeta de crédito",IF(AND(P431="Gasto",E431="Depósitos y retiros"),"⚠ Usa tipo Transferencia",IF(AND(P431="Resultado trading",AD431&lt;&gt;"Cuenta de trading"),"⚠ Usa una cuenta de trading",IF(AND(G431&lt;=0,P431&lt;&gt;"Ajuste",P431&lt;&gt;"Resultado trading"),"⚠ El monto debe ser positivo","✓")))))))))))))))</f>
        <v/>
      </c>
      <c r="P431" s="52">
        <f>IF(OR(B431="",G431=""),"",IF(C431="","Gasto",C431))</f>
        <v/>
      </c>
      <c r="Q431" s="52">
        <f>IF(P431="","",IF(J431&lt;&gt;"",J431,CuentaPred&amp;""))</f>
        <v/>
      </c>
      <c r="R431" s="52">
        <f>IF(P431="","",IF(ISNUMBER(I431),I431,TasaUSD))</f>
        <v/>
      </c>
      <c r="S431" s="53">
        <f>IF(P431="","",IF(H431="USD",G431*R431,G431))</f>
        <v/>
      </c>
      <c r="T431" s="53">
        <f>IF(P431="","",IF(H431="USD",G431,IF(R431&gt;0,G431/R431,0)))</f>
        <v/>
      </c>
      <c r="U431" s="53">
        <f>IF(P431="","",IF(P431="Gasto",S431,IF(P431="Reembolso",-S431,0)))</f>
        <v/>
      </c>
      <c r="V431" s="53">
        <f>IF(P431="","",IF(P431="Ingreso",S431,0))</f>
        <v/>
      </c>
      <c r="W431" s="53">
        <f>IF(P431="","",IF(P431="Resultado trading",S431,0))</f>
        <v/>
      </c>
      <c r="X431" s="52">
        <f>IF(OR(P431="Gasto",P431="Reembolso"),IF(M431&lt;&gt;"",M431,IFERROR(INDEX(catClasif,MATCH(D431&amp;"|"&amp;E431,catClave,0))&amp;"","Variable")),"")</f>
        <v/>
      </c>
      <c r="Y431" s="52">
        <f>IF(P431="","",IFERROR(INDEX(catGrupo,MATCH(D431&amp;"|"&amp;E431,catClave,0))&amp;"",""))</f>
        <v/>
      </c>
      <c r="Z431" s="52">
        <f>IF(P431="","",WEEKDAY(B431,2))</f>
        <v/>
      </c>
      <c r="AA431" s="52">
        <f>IF(P431="","",IF(AND(P431="Gasto",X431="Variable",D431&lt;&gt;catTrading,S431&gt;0,S431&lt;=Umbral),1,0))</f>
        <v/>
      </c>
      <c r="AB431" s="52">
        <f>IF(OR(P431="",Q431=""),"",IFERROR(IF(INDEX(ctaVinc,MATCH(Q431,ctaNombre,0))&amp;""&lt;&gt;"",INDEX(ctaVinc,MATCH(Q431,ctaNombre,0))&amp;"",Q431),Q431))</f>
        <v/>
      </c>
      <c r="AC431" s="52">
        <f>IF(OR(K431="",AND(P431&lt;&gt;"Transferencia",P431&lt;&gt;"Pago tarjeta")),"",IFERROR(IF(INDEX(ctaVinc,MATCH(K431,ctaNombre,0))&amp;""&lt;&gt;"",INDEX(ctaVinc,MATCH(K431,ctaNombre,0))&amp;"",K431),K431))</f>
        <v/>
      </c>
      <c r="AD431" s="52">
        <f>IF(AB431="","",IFERROR(INDEX(ctaTipo,MATCH(AB431,ctaNombre,0))&amp;"",""))</f>
        <v/>
      </c>
      <c r="AE431" s="52">
        <f>IF(AC431="","",IFERROR(INDEX(ctaTipo,MATCH(AC431,ctaNombre,0))&amp;"",""))</f>
        <v/>
      </c>
      <c r="AF431" s="53">
        <f>IF(OR(P431="",AB431=""),"",IF(OR(P431="Gasto",P431="Transferencia",P431="Pago tarjeta"),-1,1)*IF(IFERROR(INDEX(ctaMoneda,MATCH(AB431,ctaNombre,0))&amp;"","DOP")="USD",T431,S431))</f>
        <v/>
      </c>
      <c r="AG431" s="53">
        <f>IF(AC431="","",IF(IFERROR(INDEX(ctaMoneda,MATCH(AC431,ctaNombre,0))&amp;"","DOP")="USD",T431,S431))</f>
        <v/>
      </c>
      <c r="AH431" s="53">
        <f>IF(P431="","",IF(AND(AD431&lt;&gt;"",COUNTIFS(tcTipo,AD431,tcLiq,"Sí")&gt;0),IF(OR(P431="Gasto",P431="Transferencia",P431="Pago tarjeta"),-1,1)*S431,0)+IF(AND(AE431&lt;&gt;"",COUNTIFS(tcTipo,AE431,tcLiq,"Sí")&gt;0),S431,0))</f>
        <v/>
      </c>
      <c r="AI431" s="52">
        <f>IF(OR(L431="",P431=""),"",IF(COUNTIFS(L$6:L431,L431,P$6:P431,"?*")=1,MAX(AI$5:AI430)+1,""))</f>
        <v/>
      </c>
    </row>
    <row r="432">
      <c r="B432" s="47" t="n"/>
      <c r="C432" s="48" t="n"/>
      <c r="D432" s="48" t="n"/>
      <c r="E432" s="48" t="n"/>
      <c r="F432" s="48" t="n"/>
      <c r="G432" s="49" t="n"/>
      <c r="H432" s="48" t="n"/>
      <c r="I432" s="50" t="n"/>
      <c r="J432" s="48" t="n"/>
      <c r="K432" s="48" t="n"/>
      <c r="L432" s="48" t="n"/>
      <c r="M432" s="48" t="n"/>
      <c r="N432" s="48" t="n"/>
      <c r="O432" s="51">
        <f>IF(AND(B432="",G432="",C432="",D432="",J432=""),"",IF(B432="","⚠ Falta fecha",IF(G432="","⚠ Falta monto",IF(Q432="","⚠ Falta cuenta",IF(ISNA(MATCH(Q432,ctaNombre,0)),"⚠ Cuenta no registrada",IF(AND(OR(P432="Gasto",P432="Reembolso"),D432=""),"⚠ Falta categoría",IF(AND(D432&lt;&gt;"",E432&lt;&gt;"",ISNA(MATCH(D432&amp;"|"&amp;E432,catClave,0))),"⚠ Subcategoría no corresponde",IF(AND(OR(P432="Transferencia",P432="Pago tarjeta"),K432=""),"⚠ Falta cuenta destino",IF(AND(K432&lt;&gt;"",P432&lt;&gt;"Transferencia",P432&lt;&gt;"Pago tarjeta"),"⚠ Destino solo aplica a transferencias",IF(AND(K432&lt;&gt;"",K432=Q432),"⚠ Origen igual a destino",IF(AND(K432&lt;&gt;"",ISNA(MATCH(K432,ctaNombre,0))),"⚠ Destino no registrado",IF(AND(P432="Pago tarjeta",AE432&lt;&gt;"Tarjeta de crédito"),"⚠ El destino debe ser tarjeta de crédito",IF(AND(P432="Gasto",E432="Depósitos y retiros"),"⚠ Usa tipo Transferencia",IF(AND(P432="Resultado trading",AD432&lt;&gt;"Cuenta de trading"),"⚠ Usa una cuenta de trading",IF(AND(G432&lt;=0,P432&lt;&gt;"Ajuste",P432&lt;&gt;"Resultado trading"),"⚠ El monto debe ser positivo","✓")))))))))))))))</f>
        <v/>
      </c>
      <c r="P432" s="52">
        <f>IF(OR(B432="",G432=""),"",IF(C432="","Gasto",C432))</f>
        <v/>
      </c>
      <c r="Q432" s="52">
        <f>IF(P432="","",IF(J432&lt;&gt;"",J432,CuentaPred&amp;""))</f>
        <v/>
      </c>
      <c r="R432" s="52">
        <f>IF(P432="","",IF(ISNUMBER(I432),I432,TasaUSD))</f>
        <v/>
      </c>
      <c r="S432" s="53">
        <f>IF(P432="","",IF(H432="USD",G432*R432,G432))</f>
        <v/>
      </c>
      <c r="T432" s="53">
        <f>IF(P432="","",IF(H432="USD",G432,IF(R432&gt;0,G432/R432,0)))</f>
        <v/>
      </c>
      <c r="U432" s="53">
        <f>IF(P432="","",IF(P432="Gasto",S432,IF(P432="Reembolso",-S432,0)))</f>
        <v/>
      </c>
      <c r="V432" s="53">
        <f>IF(P432="","",IF(P432="Ingreso",S432,0))</f>
        <v/>
      </c>
      <c r="W432" s="53">
        <f>IF(P432="","",IF(P432="Resultado trading",S432,0))</f>
        <v/>
      </c>
      <c r="X432" s="52">
        <f>IF(OR(P432="Gasto",P432="Reembolso"),IF(M432&lt;&gt;"",M432,IFERROR(INDEX(catClasif,MATCH(D432&amp;"|"&amp;E432,catClave,0))&amp;"","Variable")),"")</f>
        <v/>
      </c>
      <c r="Y432" s="52">
        <f>IF(P432="","",IFERROR(INDEX(catGrupo,MATCH(D432&amp;"|"&amp;E432,catClave,0))&amp;"",""))</f>
        <v/>
      </c>
      <c r="Z432" s="52">
        <f>IF(P432="","",WEEKDAY(B432,2))</f>
        <v/>
      </c>
      <c r="AA432" s="52">
        <f>IF(P432="","",IF(AND(P432="Gasto",X432="Variable",D432&lt;&gt;catTrading,S432&gt;0,S432&lt;=Umbral),1,0))</f>
        <v/>
      </c>
      <c r="AB432" s="52">
        <f>IF(OR(P432="",Q432=""),"",IFERROR(IF(INDEX(ctaVinc,MATCH(Q432,ctaNombre,0))&amp;""&lt;&gt;"",INDEX(ctaVinc,MATCH(Q432,ctaNombre,0))&amp;"",Q432),Q432))</f>
        <v/>
      </c>
      <c r="AC432" s="52">
        <f>IF(OR(K432="",AND(P432&lt;&gt;"Transferencia",P432&lt;&gt;"Pago tarjeta")),"",IFERROR(IF(INDEX(ctaVinc,MATCH(K432,ctaNombre,0))&amp;""&lt;&gt;"",INDEX(ctaVinc,MATCH(K432,ctaNombre,0))&amp;"",K432),K432))</f>
        <v/>
      </c>
      <c r="AD432" s="52">
        <f>IF(AB432="","",IFERROR(INDEX(ctaTipo,MATCH(AB432,ctaNombre,0))&amp;"",""))</f>
        <v/>
      </c>
      <c r="AE432" s="52">
        <f>IF(AC432="","",IFERROR(INDEX(ctaTipo,MATCH(AC432,ctaNombre,0))&amp;"",""))</f>
        <v/>
      </c>
      <c r="AF432" s="53">
        <f>IF(OR(P432="",AB432=""),"",IF(OR(P432="Gasto",P432="Transferencia",P432="Pago tarjeta"),-1,1)*IF(IFERROR(INDEX(ctaMoneda,MATCH(AB432,ctaNombre,0))&amp;"","DOP")="USD",T432,S432))</f>
        <v/>
      </c>
      <c r="AG432" s="53">
        <f>IF(AC432="","",IF(IFERROR(INDEX(ctaMoneda,MATCH(AC432,ctaNombre,0))&amp;"","DOP")="USD",T432,S432))</f>
        <v/>
      </c>
      <c r="AH432" s="53">
        <f>IF(P432="","",IF(AND(AD432&lt;&gt;"",COUNTIFS(tcTipo,AD432,tcLiq,"Sí")&gt;0),IF(OR(P432="Gasto",P432="Transferencia",P432="Pago tarjeta"),-1,1)*S432,0)+IF(AND(AE432&lt;&gt;"",COUNTIFS(tcTipo,AE432,tcLiq,"Sí")&gt;0),S432,0))</f>
        <v/>
      </c>
      <c r="AI432" s="52">
        <f>IF(OR(L432="",P432=""),"",IF(COUNTIFS(L$6:L432,L432,P$6:P432,"?*")=1,MAX(AI$5:AI431)+1,""))</f>
        <v/>
      </c>
    </row>
    <row r="433">
      <c r="B433" s="47" t="n"/>
      <c r="C433" s="48" t="n"/>
      <c r="D433" s="48" t="n"/>
      <c r="E433" s="48" t="n"/>
      <c r="F433" s="48" t="n"/>
      <c r="G433" s="49" t="n"/>
      <c r="H433" s="48" t="n"/>
      <c r="I433" s="50" t="n"/>
      <c r="J433" s="48" t="n"/>
      <c r="K433" s="48" t="n"/>
      <c r="L433" s="48" t="n"/>
      <c r="M433" s="48" t="n"/>
      <c r="N433" s="48" t="n"/>
      <c r="O433" s="51">
        <f>IF(AND(B433="",G433="",C433="",D433="",J433=""),"",IF(B433="","⚠ Falta fecha",IF(G433="","⚠ Falta monto",IF(Q433="","⚠ Falta cuenta",IF(ISNA(MATCH(Q433,ctaNombre,0)),"⚠ Cuenta no registrada",IF(AND(OR(P433="Gasto",P433="Reembolso"),D433=""),"⚠ Falta categoría",IF(AND(D433&lt;&gt;"",E433&lt;&gt;"",ISNA(MATCH(D433&amp;"|"&amp;E433,catClave,0))),"⚠ Subcategoría no corresponde",IF(AND(OR(P433="Transferencia",P433="Pago tarjeta"),K433=""),"⚠ Falta cuenta destino",IF(AND(K433&lt;&gt;"",P433&lt;&gt;"Transferencia",P433&lt;&gt;"Pago tarjeta"),"⚠ Destino solo aplica a transferencias",IF(AND(K433&lt;&gt;"",K433=Q433),"⚠ Origen igual a destino",IF(AND(K433&lt;&gt;"",ISNA(MATCH(K433,ctaNombre,0))),"⚠ Destino no registrado",IF(AND(P433="Pago tarjeta",AE433&lt;&gt;"Tarjeta de crédito"),"⚠ El destino debe ser tarjeta de crédito",IF(AND(P433="Gasto",E433="Depósitos y retiros"),"⚠ Usa tipo Transferencia",IF(AND(P433="Resultado trading",AD433&lt;&gt;"Cuenta de trading"),"⚠ Usa una cuenta de trading",IF(AND(G433&lt;=0,P433&lt;&gt;"Ajuste",P433&lt;&gt;"Resultado trading"),"⚠ El monto debe ser positivo","✓")))))))))))))))</f>
        <v/>
      </c>
      <c r="P433" s="52">
        <f>IF(OR(B433="",G433=""),"",IF(C433="","Gasto",C433))</f>
        <v/>
      </c>
      <c r="Q433" s="52">
        <f>IF(P433="","",IF(J433&lt;&gt;"",J433,CuentaPred&amp;""))</f>
        <v/>
      </c>
      <c r="R433" s="52">
        <f>IF(P433="","",IF(ISNUMBER(I433),I433,TasaUSD))</f>
        <v/>
      </c>
      <c r="S433" s="53">
        <f>IF(P433="","",IF(H433="USD",G433*R433,G433))</f>
        <v/>
      </c>
      <c r="T433" s="53">
        <f>IF(P433="","",IF(H433="USD",G433,IF(R433&gt;0,G433/R433,0)))</f>
        <v/>
      </c>
      <c r="U433" s="53">
        <f>IF(P433="","",IF(P433="Gasto",S433,IF(P433="Reembolso",-S433,0)))</f>
        <v/>
      </c>
      <c r="V433" s="53">
        <f>IF(P433="","",IF(P433="Ingreso",S433,0))</f>
        <v/>
      </c>
      <c r="W433" s="53">
        <f>IF(P433="","",IF(P433="Resultado trading",S433,0))</f>
        <v/>
      </c>
      <c r="X433" s="52">
        <f>IF(OR(P433="Gasto",P433="Reembolso"),IF(M433&lt;&gt;"",M433,IFERROR(INDEX(catClasif,MATCH(D433&amp;"|"&amp;E433,catClave,0))&amp;"","Variable")),"")</f>
        <v/>
      </c>
      <c r="Y433" s="52">
        <f>IF(P433="","",IFERROR(INDEX(catGrupo,MATCH(D433&amp;"|"&amp;E433,catClave,0))&amp;"",""))</f>
        <v/>
      </c>
      <c r="Z433" s="52">
        <f>IF(P433="","",WEEKDAY(B433,2))</f>
        <v/>
      </c>
      <c r="AA433" s="52">
        <f>IF(P433="","",IF(AND(P433="Gasto",X433="Variable",D433&lt;&gt;catTrading,S433&gt;0,S433&lt;=Umbral),1,0))</f>
        <v/>
      </c>
      <c r="AB433" s="52">
        <f>IF(OR(P433="",Q433=""),"",IFERROR(IF(INDEX(ctaVinc,MATCH(Q433,ctaNombre,0))&amp;""&lt;&gt;"",INDEX(ctaVinc,MATCH(Q433,ctaNombre,0))&amp;"",Q433),Q433))</f>
        <v/>
      </c>
      <c r="AC433" s="52">
        <f>IF(OR(K433="",AND(P433&lt;&gt;"Transferencia",P433&lt;&gt;"Pago tarjeta")),"",IFERROR(IF(INDEX(ctaVinc,MATCH(K433,ctaNombre,0))&amp;""&lt;&gt;"",INDEX(ctaVinc,MATCH(K433,ctaNombre,0))&amp;"",K433),K433))</f>
        <v/>
      </c>
      <c r="AD433" s="52">
        <f>IF(AB433="","",IFERROR(INDEX(ctaTipo,MATCH(AB433,ctaNombre,0))&amp;"",""))</f>
        <v/>
      </c>
      <c r="AE433" s="52">
        <f>IF(AC433="","",IFERROR(INDEX(ctaTipo,MATCH(AC433,ctaNombre,0))&amp;"",""))</f>
        <v/>
      </c>
      <c r="AF433" s="53">
        <f>IF(OR(P433="",AB433=""),"",IF(OR(P433="Gasto",P433="Transferencia",P433="Pago tarjeta"),-1,1)*IF(IFERROR(INDEX(ctaMoneda,MATCH(AB433,ctaNombre,0))&amp;"","DOP")="USD",T433,S433))</f>
        <v/>
      </c>
      <c r="AG433" s="53">
        <f>IF(AC433="","",IF(IFERROR(INDEX(ctaMoneda,MATCH(AC433,ctaNombre,0))&amp;"","DOP")="USD",T433,S433))</f>
        <v/>
      </c>
      <c r="AH433" s="53">
        <f>IF(P433="","",IF(AND(AD433&lt;&gt;"",COUNTIFS(tcTipo,AD433,tcLiq,"Sí")&gt;0),IF(OR(P433="Gasto",P433="Transferencia",P433="Pago tarjeta"),-1,1)*S433,0)+IF(AND(AE433&lt;&gt;"",COUNTIFS(tcTipo,AE433,tcLiq,"Sí")&gt;0),S433,0))</f>
        <v/>
      </c>
      <c r="AI433" s="52">
        <f>IF(OR(L433="",P433=""),"",IF(COUNTIFS(L$6:L433,L433,P$6:P433,"?*")=1,MAX(AI$5:AI432)+1,""))</f>
        <v/>
      </c>
    </row>
    <row r="434">
      <c r="B434" s="47" t="n"/>
      <c r="C434" s="48" t="n"/>
      <c r="D434" s="48" t="n"/>
      <c r="E434" s="48" t="n"/>
      <c r="F434" s="48" t="n"/>
      <c r="G434" s="49" t="n"/>
      <c r="H434" s="48" t="n"/>
      <c r="I434" s="50" t="n"/>
      <c r="J434" s="48" t="n"/>
      <c r="K434" s="48" t="n"/>
      <c r="L434" s="48" t="n"/>
      <c r="M434" s="48" t="n"/>
      <c r="N434" s="48" t="n"/>
      <c r="O434" s="51">
        <f>IF(AND(B434="",G434="",C434="",D434="",J434=""),"",IF(B434="","⚠ Falta fecha",IF(G434="","⚠ Falta monto",IF(Q434="","⚠ Falta cuenta",IF(ISNA(MATCH(Q434,ctaNombre,0)),"⚠ Cuenta no registrada",IF(AND(OR(P434="Gasto",P434="Reembolso"),D434=""),"⚠ Falta categoría",IF(AND(D434&lt;&gt;"",E434&lt;&gt;"",ISNA(MATCH(D434&amp;"|"&amp;E434,catClave,0))),"⚠ Subcategoría no corresponde",IF(AND(OR(P434="Transferencia",P434="Pago tarjeta"),K434=""),"⚠ Falta cuenta destino",IF(AND(K434&lt;&gt;"",P434&lt;&gt;"Transferencia",P434&lt;&gt;"Pago tarjeta"),"⚠ Destino solo aplica a transferencias",IF(AND(K434&lt;&gt;"",K434=Q434),"⚠ Origen igual a destino",IF(AND(K434&lt;&gt;"",ISNA(MATCH(K434,ctaNombre,0))),"⚠ Destino no registrado",IF(AND(P434="Pago tarjeta",AE434&lt;&gt;"Tarjeta de crédito"),"⚠ El destino debe ser tarjeta de crédito",IF(AND(P434="Gasto",E434="Depósitos y retiros"),"⚠ Usa tipo Transferencia",IF(AND(P434="Resultado trading",AD434&lt;&gt;"Cuenta de trading"),"⚠ Usa una cuenta de trading",IF(AND(G434&lt;=0,P434&lt;&gt;"Ajuste",P434&lt;&gt;"Resultado trading"),"⚠ El monto debe ser positivo","✓")))))))))))))))</f>
        <v/>
      </c>
      <c r="P434" s="52">
        <f>IF(OR(B434="",G434=""),"",IF(C434="","Gasto",C434))</f>
        <v/>
      </c>
      <c r="Q434" s="52">
        <f>IF(P434="","",IF(J434&lt;&gt;"",J434,CuentaPred&amp;""))</f>
        <v/>
      </c>
      <c r="R434" s="52">
        <f>IF(P434="","",IF(ISNUMBER(I434),I434,TasaUSD))</f>
        <v/>
      </c>
      <c r="S434" s="53">
        <f>IF(P434="","",IF(H434="USD",G434*R434,G434))</f>
        <v/>
      </c>
      <c r="T434" s="53">
        <f>IF(P434="","",IF(H434="USD",G434,IF(R434&gt;0,G434/R434,0)))</f>
        <v/>
      </c>
      <c r="U434" s="53">
        <f>IF(P434="","",IF(P434="Gasto",S434,IF(P434="Reembolso",-S434,0)))</f>
        <v/>
      </c>
      <c r="V434" s="53">
        <f>IF(P434="","",IF(P434="Ingreso",S434,0))</f>
        <v/>
      </c>
      <c r="W434" s="53">
        <f>IF(P434="","",IF(P434="Resultado trading",S434,0))</f>
        <v/>
      </c>
      <c r="X434" s="52">
        <f>IF(OR(P434="Gasto",P434="Reembolso"),IF(M434&lt;&gt;"",M434,IFERROR(INDEX(catClasif,MATCH(D434&amp;"|"&amp;E434,catClave,0))&amp;"","Variable")),"")</f>
        <v/>
      </c>
      <c r="Y434" s="52">
        <f>IF(P434="","",IFERROR(INDEX(catGrupo,MATCH(D434&amp;"|"&amp;E434,catClave,0))&amp;"",""))</f>
        <v/>
      </c>
      <c r="Z434" s="52">
        <f>IF(P434="","",WEEKDAY(B434,2))</f>
        <v/>
      </c>
      <c r="AA434" s="52">
        <f>IF(P434="","",IF(AND(P434="Gasto",X434="Variable",D434&lt;&gt;catTrading,S434&gt;0,S434&lt;=Umbral),1,0))</f>
        <v/>
      </c>
      <c r="AB434" s="52">
        <f>IF(OR(P434="",Q434=""),"",IFERROR(IF(INDEX(ctaVinc,MATCH(Q434,ctaNombre,0))&amp;""&lt;&gt;"",INDEX(ctaVinc,MATCH(Q434,ctaNombre,0))&amp;"",Q434),Q434))</f>
        <v/>
      </c>
      <c r="AC434" s="52">
        <f>IF(OR(K434="",AND(P434&lt;&gt;"Transferencia",P434&lt;&gt;"Pago tarjeta")),"",IFERROR(IF(INDEX(ctaVinc,MATCH(K434,ctaNombre,0))&amp;""&lt;&gt;"",INDEX(ctaVinc,MATCH(K434,ctaNombre,0))&amp;"",K434),K434))</f>
        <v/>
      </c>
      <c r="AD434" s="52">
        <f>IF(AB434="","",IFERROR(INDEX(ctaTipo,MATCH(AB434,ctaNombre,0))&amp;"",""))</f>
        <v/>
      </c>
      <c r="AE434" s="52">
        <f>IF(AC434="","",IFERROR(INDEX(ctaTipo,MATCH(AC434,ctaNombre,0))&amp;"",""))</f>
        <v/>
      </c>
      <c r="AF434" s="53">
        <f>IF(OR(P434="",AB434=""),"",IF(OR(P434="Gasto",P434="Transferencia",P434="Pago tarjeta"),-1,1)*IF(IFERROR(INDEX(ctaMoneda,MATCH(AB434,ctaNombre,0))&amp;"","DOP")="USD",T434,S434))</f>
        <v/>
      </c>
      <c r="AG434" s="53">
        <f>IF(AC434="","",IF(IFERROR(INDEX(ctaMoneda,MATCH(AC434,ctaNombre,0))&amp;"","DOP")="USD",T434,S434))</f>
        <v/>
      </c>
      <c r="AH434" s="53">
        <f>IF(P434="","",IF(AND(AD434&lt;&gt;"",COUNTIFS(tcTipo,AD434,tcLiq,"Sí")&gt;0),IF(OR(P434="Gasto",P434="Transferencia",P434="Pago tarjeta"),-1,1)*S434,0)+IF(AND(AE434&lt;&gt;"",COUNTIFS(tcTipo,AE434,tcLiq,"Sí")&gt;0),S434,0))</f>
        <v/>
      </c>
      <c r="AI434" s="52">
        <f>IF(OR(L434="",P434=""),"",IF(COUNTIFS(L$6:L434,L434,P$6:P434,"?*")=1,MAX(AI$5:AI433)+1,""))</f>
        <v/>
      </c>
    </row>
    <row r="435">
      <c r="B435" s="47" t="n"/>
      <c r="C435" s="48" t="n"/>
      <c r="D435" s="48" t="n"/>
      <c r="E435" s="48" t="n"/>
      <c r="F435" s="48" t="n"/>
      <c r="G435" s="49" t="n"/>
      <c r="H435" s="48" t="n"/>
      <c r="I435" s="50" t="n"/>
      <c r="J435" s="48" t="n"/>
      <c r="K435" s="48" t="n"/>
      <c r="L435" s="48" t="n"/>
      <c r="M435" s="48" t="n"/>
      <c r="N435" s="48" t="n"/>
      <c r="O435" s="51">
        <f>IF(AND(B435="",G435="",C435="",D435="",J435=""),"",IF(B435="","⚠ Falta fecha",IF(G435="","⚠ Falta monto",IF(Q435="","⚠ Falta cuenta",IF(ISNA(MATCH(Q435,ctaNombre,0)),"⚠ Cuenta no registrada",IF(AND(OR(P435="Gasto",P435="Reembolso"),D435=""),"⚠ Falta categoría",IF(AND(D435&lt;&gt;"",E435&lt;&gt;"",ISNA(MATCH(D435&amp;"|"&amp;E435,catClave,0))),"⚠ Subcategoría no corresponde",IF(AND(OR(P435="Transferencia",P435="Pago tarjeta"),K435=""),"⚠ Falta cuenta destino",IF(AND(K435&lt;&gt;"",P435&lt;&gt;"Transferencia",P435&lt;&gt;"Pago tarjeta"),"⚠ Destino solo aplica a transferencias",IF(AND(K435&lt;&gt;"",K435=Q435),"⚠ Origen igual a destino",IF(AND(K435&lt;&gt;"",ISNA(MATCH(K435,ctaNombre,0))),"⚠ Destino no registrado",IF(AND(P435="Pago tarjeta",AE435&lt;&gt;"Tarjeta de crédito"),"⚠ El destino debe ser tarjeta de crédito",IF(AND(P435="Gasto",E435="Depósitos y retiros"),"⚠ Usa tipo Transferencia",IF(AND(P435="Resultado trading",AD435&lt;&gt;"Cuenta de trading"),"⚠ Usa una cuenta de trading",IF(AND(G435&lt;=0,P435&lt;&gt;"Ajuste",P435&lt;&gt;"Resultado trading"),"⚠ El monto debe ser positivo","✓")))))))))))))))</f>
        <v/>
      </c>
      <c r="P435" s="52">
        <f>IF(OR(B435="",G435=""),"",IF(C435="","Gasto",C435))</f>
        <v/>
      </c>
      <c r="Q435" s="52">
        <f>IF(P435="","",IF(J435&lt;&gt;"",J435,CuentaPred&amp;""))</f>
        <v/>
      </c>
      <c r="R435" s="52">
        <f>IF(P435="","",IF(ISNUMBER(I435),I435,TasaUSD))</f>
        <v/>
      </c>
      <c r="S435" s="53">
        <f>IF(P435="","",IF(H435="USD",G435*R435,G435))</f>
        <v/>
      </c>
      <c r="T435" s="53">
        <f>IF(P435="","",IF(H435="USD",G435,IF(R435&gt;0,G435/R435,0)))</f>
        <v/>
      </c>
      <c r="U435" s="53">
        <f>IF(P435="","",IF(P435="Gasto",S435,IF(P435="Reembolso",-S435,0)))</f>
        <v/>
      </c>
      <c r="V435" s="53">
        <f>IF(P435="","",IF(P435="Ingreso",S435,0))</f>
        <v/>
      </c>
      <c r="W435" s="53">
        <f>IF(P435="","",IF(P435="Resultado trading",S435,0))</f>
        <v/>
      </c>
      <c r="X435" s="52">
        <f>IF(OR(P435="Gasto",P435="Reembolso"),IF(M435&lt;&gt;"",M435,IFERROR(INDEX(catClasif,MATCH(D435&amp;"|"&amp;E435,catClave,0))&amp;"","Variable")),"")</f>
        <v/>
      </c>
      <c r="Y435" s="52">
        <f>IF(P435="","",IFERROR(INDEX(catGrupo,MATCH(D435&amp;"|"&amp;E435,catClave,0))&amp;"",""))</f>
        <v/>
      </c>
      <c r="Z435" s="52">
        <f>IF(P435="","",WEEKDAY(B435,2))</f>
        <v/>
      </c>
      <c r="AA435" s="52">
        <f>IF(P435="","",IF(AND(P435="Gasto",X435="Variable",D435&lt;&gt;catTrading,S435&gt;0,S435&lt;=Umbral),1,0))</f>
        <v/>
      </c>
      <c r="AB435" s="52">
        <f>IF(OR(P435="",Q435=""),"",IFERROR(IF(INDEX(ctaVinc,MATCH(Q435,ctaNombre,0))&amp;""&lt;&gt;"",INDEX(ctaVinc,MATCH(Q435,ctaNombre,0))&amp;"",Q435),Q435))</f>
        <v/>
      </c>
      <c r="AC435" s="52">
        <f>IF(OR(K435="",AND(P435&lt;&gt;"Transferencia",P435&lt;&gt;"Pago tarjeta")),"",IFERROR(IF(INDEX(ctaVinc,MATCH(K435,ctaNombre,0))&amp;""&lt;&gt;"",INDEX(ctaVinc,MATCH(K435,ctaNombre,0))&amp;"",K435),K435))</f>
        <v/>
      </c>
      <c r="AD435" s="52">
        <f>IF(AB435="","",IFERROR(INDEX(ctaTipo,MATCH(AB435,ctaNombre,0))&amp;"",""))</f>
        <v/>
      </c>
      <c r="AE435" s="52">
        <f>IF(AC435="","",IFERROR(INDEX(ctaTipo,MATCH(AC435,ctaNombre,0))&amp;"",""))</f>
        <v/>
      </c>
      <c r="AF435" s="53">
        <f>IF(OR(P435="",AB435=""),"",IF(OR(P435="Gasto",P435="Transferencia",P435="Pago tarjeta"),-1,1)*IF(IFERROR(INDEX(ctaMoneda,MATCH(AB435,ctaNombre,0))&amp;"","DOP")="USD",T435,S435))</f>
        <v/>
      </c>
      <c r="AG435" s="53">
        <f>IF(AC435="","",IF(IFERROR(INDEX(ctaMoneda,MATCH(AC435,ctaNombre,0))&amp;"","DOP")="USD",T435,S435))</f>
        <v/>
      </c>
      <c r="AH435" s="53">
        <f>IF(P435="","",IF(AND(AD435&lt;&gt;"",COUNTIFS(tcTipo,AD435,tcLiq,"Sí")&gt;0),IF(OR(P435="Gasto",P435="Transferencia",P435="Pago tarjeta"),-1,1)*S435,0)+IF(AND(AE435&lt;&gt;"",COUNTIFS(tcTipo,AE435,tcLiq,"Sí")&gt;0),S435,0))</f>
        <v/>
      </c>
      <c r="AI435" s="52">
        <f>IF(OR(L435="",P435=""),"",IF(COUNTIFS(L$6:L435,L435,P$6:P435,"?*")=1,MAX(AI$5:AI434)+1,""))</f>
        <v/>
      </c>
    </row>
    <row r="436">
      <c r="B436" s="47" t="n"/>
      <c r="C436" s="48" t="n"/>
      <c r="D436" s="48" t="n"/>
      <c r="E436" s="48" t="n"/>
      <c r="F436" s="48" t="n"/>
      <c r="G436" s="49" t="n"/>
      <c r="H436" s="48" t="n"/>
      <c r="I436" s="50" t="n"/>
      <c r="J436" s="48" t="n"/>
      <c r="K436" s="48" t="n"/>
      <c r="L436" s="48" t="n"/>
      <c r="M436" s="48" t="n"/>
      <c r="N436" s="48" t="n"/>
      <c r="O436" s="51">
        <f>IF(AND(B436="",G436="",C436="",D436="",J436=""),"",IF(B436="","⚠ Falta fecha",IF(G436="","⚠ Falta monto",IF(Q436="","⚠ Falta cuenta",IF(ISNA(MATCH(Q436,ctaNombre,0)),"⚠ Cuenta no registrada",IF(AND(OR(P436="Gasto",P436="Reembolso"),D436=""),"⚠ Falta categoría",IF(AND(D436&lt;&gt;"",E436&lt;&gt;"",ISNA(MATCH(D436&amp;"|"&amp;E436,catClave,0))),"⚠ Subcategoría no corresponde",IF(AND(OR(P436="Transferencia",P436="Pago tarjeta"),K436=""),"⚠ Falta cuenta destino",IF(AND(K436&lt;&gt;"",P436&lt;&gt;"Transferencia",P436&lt;&gt;"Pago tarjeta"),"⚠ Destino solo aplica a transferencias",IF(AND(K436&lt;&gt;"",K436=Q436),"⚠ Origen igual a destino",IF(AND(K436&lt;&gt;"",ISNA(MATCH(K436,ctaNombre,0))),"⚠ Destino no registrado",IF(AND(P436="Pago tarjeta",AE436&lt;&gt;"Tarjeta de crédito"),"⚠ El destino debe ser tarjeta de crédito",IF(AND(P436="Gasto",E436="Depósitos y retiros"),"⚠ Usa tipo Transferencia",IF(AND(P436="Resultado trading",AD436&lt;&gt;"Cuenta de trading"),"⚠ Usa una cuenta de trading",IF(AND(G436&lt;=0,P436&lt;&gt;"Ajuste",P436&lt;&gt;"Resultado trading"),"⚠ El monto debe ser positivo","✓")))))))))))))))</f>
        <v/>
      </c>
      <c r="P436" s="52">
        <f>IF(OR(B436="",G436=""),"",IF(C436="","Gasto",C436))</f>
        <v/>
      </c>
      <c r="Q436" s="52">
        <f>IF(P436="","",IF(J436&lt;&gt;"",J436,CuentaPred&amp;""))</f>
        <v/>
      </c>
      <c r="R436" s="52">
        <f>IF(P436="","",IF(ISNUMBER(I436),I436,TasaUSD))</f>
        <v/>
      </c>
      <c r="S436" s="53">
        <f>IF(P436="","",IF(H436="USD",G436*R436,G436))</f>
        <v/>
      </c>
      <c r="T436" s="53">
        <f>IF(P436="","",IF(H436="USD",G436,IF(R436&gt;0,G436/R436,0)))</f>
        <v/>
      </c>
      <c r="U436" s="53">
        <f>IF(P436="","",IF(P436="Gasto",S436,IF(P436="Reembolso",-S436,0)))</f>
        <v/>
      </c>
      <c r="V436" s="53">
        <f>IF(P436="","",IF(P436="Ingreso",S436,0))</f>
        <v/>
      </c>
      <c r="W436" s="53">
        <f>IF(P436="","",IF(P436="Resultado trading",S436,0))</f>
        <v/>
      </c>
      <c r="X436" s="52">
        <f>IF(OR(P436="Gasto",P436="Reembolso"),IF(M436&lt;&gt;"",M436,IFERROR(INDEX(catClasif,MATCH(D436&amp;"|"&amp;E436,catClave,0))&amp;"","Variable")),"")</f>
        <v/>
      </c>
      <c r="Y436" s="52">
        <f>IF(P436="","",IFERROR(INDEX(catGrupo,MATCH(D436&amp;"|"&amp;E436,catClave,0))&amp;"",""))</f>
        <v/>
      </c>
      <c r="Z436" s="52">
        <f>IF(P436="","",WEEKDAY(B436,2))</f>
        <v/>
      </c>
      <c r="AA436" s="52">
        <f>IF(P436="","",IF(AND(P436="Gasto",X436="Variable",D436&lt;&gt;catTrading,S436&gt;0,S436&lt;=Umbral),1,0))</f>
        <v/>
      </c>
      <c r="AB436" s="52">
        <f>IF(OR(P436="",Q436=""),"",IFERROR(IF(INDEX(ctaVinc,MATCH(Q436,ctaNombre,0))&amp;""&lt;&gt;"",INDEX(ctaVinc,MATCH(Q436,ctaNombre,0))&amp;"",Q436),Q436))</f>
        <v/>
      </c>
      <c r="AC436" s="52">
        <f>IF(OR(K436="",AND(P436&lt;&gt;"Transferencia",P436&lt;&gt;"Pago tarjeta")),"",IFERROR(IF(INDEX(ctaVinc,MATCH(K436,ctaNombre,0))&amp;""&lt;&gt;"",INDEX(ctaVinc,MATCH(K436,ctaNombre,0))&amp;"",K436),K436))</f>
        <v/>
      </c>
      <c r="AD436" s="52">
        <f>IF(AB436="","",IFERROR(INDEX(ctaTipo,MATCH(AB436,ctaNombre,0))&amp;"",""))</f>
        <v/>
      </c>
      <c r="AE436" s="52">
        <f>IF(AC436="","",IFERROR(INDEX(ctaTipo,MATCH(AC436,ctaNombre,0))&amp;"",""))</f>
        <v/>
      </c>
      <c r="AF436" s="53">
        <f>IF(OR(P436="",AB436=""),"",IF(OR(P436="Gasto",P436="Transferencia",P436="Pago tarjeta"),-1,1)*IF(IFERROR(INDEX(ctaMoneda,MATCH(AB436,ctaNombre,0))&amp;"","DOP")="USD",T436,S436))</f>
        <v/>
      </c>
      <c r="AG436" s="53">
        <f>IF(AC436="","",IF(IFERROR(INDEX(ctaMoneda,MATCH(AC436,ctaNombre,0))&amp;"","DOP")="USD",T436,S436))</f>
        <v/>
      </c>
      <c r="AH436" s="53">
        <f>IF(P436="","",IF(AND(AD436&lt;&gt;"",COUNTIFS(tcTipo,AD436,tcLiq,"Sí")&gt;0),IF(OR(P436="Gasto",P436="Transferencia",P436="Pago tarjeta"),-1,1)*S436,0)+IF(AND(AE436&lt;&gt;"",COUNTIFS(tcTipo,AE436,tcLiq,"Sí")&gt;0),S436,0))</f>
        <v/>
      </c>
      <c r="AI436" s="52">
        <f>IF(OR(L436="",P436=""),"",IF(COUNTIFS(L$6:L436,L436,P$6:P436,"?*")=1,MAX(AI$5:AI435)+1,""))</f>
        <v/>
      </c>
    </row>
    <row r="437">
      <c r="B437" s="47" t="n"/>
      <c r="C437" s="48" t="n"/>
      <c r="D437" s="48" t="n"/>
      <c r="E437" s="48" t="n"/>
      <c r="F437" s="48" t="n"/>
      <c r="G437" s="49" t="n"/>
      <c r="H437" s="48" t="n"/>
      <c r="I437" s="50" t="n"/>
      <c r="J437" s="48" t="n"/>
      <c r="K437" s="48" t="n"/>
      <c r="L437" s="48" t="n"/>
      <c r="M437" s="48" t="n"/>
      <c r="N437" s="48" t="n"/>
      <c r="O437" s="51">
        <f>IF(AND(B437="",G437="",C437="",D437="",J437=""),"",IF(B437="","⚠ Falta fecha",IF(G437="","⚠ Falta monto",IF(Q437="","⚠ Falta cuenta",IF(ISNA(MATCH(Q437,ctaNombre,0)),"⚠ Cuenta no registrada",IF(AND(OR(P437="Gasto",P437="Reembolso"),D437=""),"⚠ Falta categoría",IF(AND(D437&lt;&gt;"",E437&lt;&gt;"",ISNA(MATCH(D437&amp;"|"&amp;E437,catClave,0))),"⚠ Subcategoría no corresponde",IF(AND(OR(P437="Transferencia",P437="Pago tarjeta"),K437=""),"⚠ Falta cuenta destino",IF(AND(K437&lt;&gt;"",P437&lt;&gt;"Transferencia",P437&lt;&gt;"Pago tarjeta"),"⚠ Destino solo aplica a transferencias",IF(AND(K437&lt;&gt;"",K437=Q437),"⚠ Origen igual a destino",IF(AND(K437&lt;&gt;"",ISNA(MATCH(K437,ctaNombre,0))),"⚠ Destino no registrado",IF(AND(P437="Pago tarjeta",AE437&lt;&gt;"Tarjeta de crédito"),"⚠ El destino debe ser tarjeta de crédito",IF(AND(P437="Gasto",E437="Depósitos y retiros"),"⚠ Usa tipo Transferencia",IF(AND(P437="Resultado trading",AD437&lt;&gt;"Cuenta de trading"),"⚠ Usa una cuenta de trading",IF(AND(G437&lt;=0,P437&lt;&gt;"Ajuste",P437&lt;&gt;"Resultado trading"),"⚠ El monto debe ser positivo","✓")))))))))))))))</f>
        <v/>
      </c>
      <c r="P437" s="52">
        <f>IF(OR(B437="",G437=""),"",IF(C437="","Gasto",C437))</f>
        <v/>
      </c>
      <c r="Q437" s="52">
        <f>IF(P437="","",IF(J437&lt;&gt;"",J437,CuentaPred&amp;""))</f>
        <v/>
      </c>
      <c r="R437" s="52">
        <f>IF(P437="","",IF(ISNUMBER(I437),I437,TasaUSD))</f>
        <v/>
      </c>
      <c r="S437" s="53">
        <f>IF(P437="","",IF(H437="USD",G437*R437,G437))</f>
        <v/>
      </c>
      <c r="T437" s="53">
        <f>IF(P437="","",IF(H437="USD",G437,IF(R437&gt;0,G437/R437,0)))</f>
        <v/>
      </c>
      <c r="U437" s="53">
        <f>IF(P437="","",IF(P437="Gasto",S437,IF(P437="Reembolso",-S437,0)))</f>
        <v/>
      </c>
      <c r="V437" s="53">
        <f>IF(P437="","",IF(P437="Ingreso",S437,0))</f>
        <v/>
      </c>
      <c r="W437" s="53">
        <f>IF(P437="","",IF(P437="Resultado trading",S437,0))</f>
        <v/>
      </c>
      <c r="X437" s="52">
        <f>IF(OR(P437="Gasto",P437="Reembolso"),IF(M437&lt;&gt;"",M437,IFERROR(INDEX(catClasif,MATCH(D437&amp;"|"&amp;E437,catClave,0))&amp;"","Variable")),"")</f>
        <v/>
      </c>
      <c r="Y437" s="52">
        <f>IF(P437="","",IFERROR(INDEX(catGrupo,MATCH(D437&amp;"|"&amp;E437,catClave,0))&amp;"",""))</f>
        <v/>
      </c>
      <c r="Z437" s="52">
        <f>IF(P437="","",WEEKDAY(B437,2))</f>
        <v/>
      </c>
      <c r="AA437" s="52">
        <f>IF(P437="","",IF(AND(P437="Gasto",X437="Variable",D437&lt;&gt;catTrading,S437&gt;0,S437&lt;=Umbral),1,0))</f>
        <v/>
      </c>
      <c r="AB437" s="52">
        <f>IF(OR(P437="",Q437=""),"",IFERROR(IF(INDEX(ctaVinc,MATCH(Q437,ctaNombre,0))&amp;""&lt;&gt;"",INDEX(ctaVinc,MATCH(Q437,ctaNombre,0))&amp;"",Q437),Q437))</f>
        <v/>
      </c>
      <c r="AC437" s="52">
        <f>IF(OR(K437="",AND(P437&lt;&gt;"Transferencia",P437&lt;&gt;"Pago tarjeta")),"",IFERROR(IF(INDEX(ctaVinc,MATCH(K437,ctaNombre,0))&amp;""&lt;&gt;"",INDEX(ctaVinc,MATCH(K437,ctaNombre,0))&amp;"",K437),K437))</f>
        <v/>
      </c>
      <c r="AD437" s="52">
        <f>IF(AB437="","",IFERROR(INDEX(ctaTipo,MATCH(AB437,ctaNombre,0))&amp;"",""))</f>
        <v/>
      </c>
      <c r="AE437" s="52">
        <f>IF(AC437="","",IFERROR(INDEX(ctaTipo,MATCH(AC437,ctaNombre,0))&amp;"",""))</f>
        <v/>
      </c>
      <c r="AF437" s="53">
        <f>IF(OR(P437="",AB437=""),"",IF(OR(P437="Gasto",P437="Transferencia",P437="Pago tarjeta"),-1,1)*IF(IFERROR(INDEX(ctaMoneda,MATCH(AB437,ctaNombre,0))&amp;"","DOP")="USD",T437,S437))</f>
        <v/>
      </c>
      <c r="AG437" s="53">
        <f>IF(AC437="","",IF(IFERROR(INDEX(ctaMoneda,MATCH(AC437,ctaNombre,0))&amp;"","DOP")="USD",T437,S437))</f>
        <v/>
      </c>
      <c r="AH437" s="53">
        <f>IF(P437="","",IF(AND(AD437&lt;&gt;"",COUNTIFS(tcTipo,AD437,tcLiq,"Sí")&gt;0),IF(OR(P437="Gasto",P437="Transferencia",P437="Pago tarjeta"),-1,1)*S437,0)+IF(AND(AE437&lt;&gt;"",COUNTIFS(tcTipo,AE437,tcLiq,"Sí")&gt;0),S437,0))</f>
        <v/>
      </c>
      <c r="AI437" s="52">
        <f>IF(OR(L437="",P437=""),"",IF(COUNTIFS(L$6:L437,L437,P$6:P437,"?*")=1,MAX(AI$5:AI436)+1,""))</f>
        <v/>
      </c>
    </row>
    <row r="438">
      <c r="B438" s="47" t="n"/>
      <c r="C438" s="48" t="n"/>
      <c r="D438" s="48" t="n"/>
      <c r="E438" s="48" t="n"/>
      <c r="F438" s="48" t="n"/>
      <c r="G438" s="49" t="n"/>
      <c r="H438" s="48" t="n"/>
      <c r="I438" s="50" t="n"/>
      <c r="J438" s="48" t="n"/>
      <c r="K438" s="48" t="n"/>
      <c r="L438" s="48" t="n"/>
      <c r="M438" s="48" t="n"/>
      <c r="N438" s="48" t="n"/>
      <c r="O438" s="51">
        <f>IF(AND(B438="",G438="",C438="",D438="",J438=""),"",IF(B438="","⚠ Falta fecha",IF(G438="","⚠ Falta monto",IF(Q438="","⚠ Falta cuenta",IF(ISNA(MATCH(Q438,ctaNombre,0)),"⚠ Cuenta no registrada",IF(AND(OR(P438="Gasto",P438="Reembolso"),D438=""),"⚠ Falta categoría",IF(AND(D438&lt;&gt;"",E438&lt;&gt;"",ISNA(MATCH(D438&amp;"|"&amp;E438,catClave,0))),"⚠ Subcategoría no corresponde",IF(AND(OR(P438="Transferencia",P438="Pago tarjeta"),K438=""),"⚠ Falta cuenta destino",IF(AND(K438&lt;&gt;"",P438&lt;&gt;"Transferencia",P438&lt;&gt;"Pago tarjeta"),"⚠ Destino solo aplica a transferencias",IF(AND(K438&lt;&gt;"",K438=Q438),"⚠ Origen igual a destino",IF(AND(K438&lt;&gt;"",ISNA(MATCH(K438,ctaNombre,0))),"⚠ Destino no registrado",IF(AND(P438="Pago tarjeta",AE438&lt;&gt;"Tarjeta de crédito"),"⚠ El destino debe ser tarjeta de crédito",IF(AND(P438="Gasto",E438="Depósitos y retiros"),"⚠ Usa tipo Transferencia",IF(AND(P438="Resultado trading",AD438&lt;&gt;"Cuenta de trading"),"⚠ Usa una cuenta de trading",IF(AND(G438&lt;=0,P438&lt;&gt;"Ajuste",P438&lt;&gt;"Resultado trading"),"⚠ El monto debe ser positivo","✓")))))))))))))))</f>
        <v/>
      </c>
      <c r="P438" s="52">
        <f>IF(OR(B438="",G438=""),"",IF(C438="","Gasto",C438))</f>
        <v/>
      </c>
      <c r="Q438" s="52">
        <f>IF(P438="","",IF(J438&lt;&gt;"",J438,CuentaPred&amp;""))</f>
        <v/>
      </c>
      <c r="R438" s="52">
        <f>IF(P438="","",IF(ISNUMBER(I438),I438,TasaUSD))</f>
        <v/>
      </c>
      <c r="S438" s="53">
        <f>IF(P438="","",IF(H438="USD",G438*R438,G438))</f>
        <v/>
      </c>
      <c r="T438" s="53">
        <f>IF(P438="","",IF(H438="USD",G438,IF(R438&gt;0,G438/R438,0)))</f>
        <v/>
      </c>
      <c r="U438" s="53">
        <f>IF(P438="","",IF(P438="Gasto",S438,IF(P438="Reembolso",-S438,0)))</f>
        <v/>
      </c>
      <c r="V438" s="53">
        <f>IF(P438="","",IF(P438="Ingreso",S438,0))</f>
        <v/>
      </c>
      <c r="W438" s="53">
        <f>IF(P438="","",IF(P438="Resultado trading",S438,0))</f>
        <v/>
      </c>
      <c r="X438" s="52">
        <f>IF(OR(P438="Gasto",P438="Reembolso"),IF(M438&lt;&gt;"",M438,IFERROR(INDEX(catClasif,MATCH(D438&amp;"|"&amp;E438,catClave,0))&amp;"","Variable")),"")</f>
        <v/>
      </c>
      <c r="Y438" s="52">
        <f>IF(P438="","",IFERROR(INDEX(catGrupo,MATCH(D438&amp;"|"&amp;E438,catClave,0))&amp;"",""))</f>
        <v/>
      </c>
      <c r="Z438" s="52">
        <f>IF(P438="","",WEEKDAY(B438,2))</f>
        <v/>
      </c>
      <c r="AA438" s="52">
        <f>IF(P438="","",IF(AND(P438="Gasto",X438="Variable",D438&lt;&gt;catTrading,S438&gt;0,S438&lt;=Umbral),1,0))</f>
        <v/>
      </c>
      <c r="AB438" s="52">
        <f>IF(OR(P438="",Q438=""),"",IFERROR(IF(INDEX(ctaVinc,MATCH(Q438,ctaNombre,0))&amp;""&lt;&gt;"",INDEX(ctaVinc,MATCH(Q438,ctaNombre,0))&amp;"",Q438),Q438))</f>
        <v/>
      </c>
      <c r="AC438" s="52">
        <f>IF(OR(K438="",AND(P438&lt;&gt;"Transferencia",P438&lt;&gt;"Pago tarjeta")),"",IFERROR(IF(INDEX(ctaVinc,MATCH(K438,ctaNombre,0))&amp;""&lt;&gt;"",INDEX(ctaVinc,MATCH(K438,ctaNombre,0))&amp;"",K438),K438))</f>
        <v/>
      </c>
      <c r="AD438" s="52">
        <f>IF(AB438="","",IFERROR(INDEX(ctaTipo,MATCH(AB438,ctaNombre,0))&amp;"",""))</f>
        <v/>
      </c>
      <c r="AE438" s="52">
        <f>IF(AC438="","",IFERROR(INDEX(ctaTipo,MATCH(AC438,ctaNombre,0))&amp;"",""))</f>
        <v/>
      </c>
      <c r="AF438" s="53">
        <f>IF(OR(P438="",AB438=""),"",IF(OR(P438="Gasto",P438="Transferencia",P438="Pago tarjeta"),-1,1)*IF(IFERROR(INDEX(ctaMoneda,MATCH(AB438,ctaNombre,0))&amp;"","DOP")="USD",T438,S438))</f>
        <v/>
      </c>
      <c r="AG438" s="53">
        <f>IF(AC438="","",IF(IFERROR(INDEX(ctaMoneda,MATCH(AC438,ctaNombre,0))&amp;"","DOP")="USD",T438,S438))</f>
        <v/>
      </c>
      <c r="AH438" s="53">
        <f>IF(P438="","",IF(AND(AD438&lt;&gt;"",COUNTIFS(tcTipo,AD438,tcLiq,"Sí")&gt;0),IF(OR(P438="Gasto",P438="Transferencia",P438="Pago tarjeta"),-1,1)*S438,0)+IF(AND(AE438&lt;&gt;"",COUNTIFS(tcTipo,AE438,tcLiq,"Sí")&gt;0),S438,0))</f>
        <v/>
      </c>
      <c r="AI438" s="52">
        <f>IF(OR(L438="",P438=""),"",IF(COUNTIFS(L$6:L438,L438,P$6:P438,"?*")=1,MAX(AI$5:AI437)+1,""))</f>
        <v/>
      </c>
    </row>
    <row r="439">
      <c r="B439" s="47" t="n"/>
      <c r="C439" s="48" t="n"/>
      <c r="D439" s="48" t="n"/>
      <c r="E439" s="48" t="n"/>
      <c r="F439" s="48" t="n"/>
      <c r="G439" s="49" t="n"/>
      <c r="H439" s="48" t="n"/>
      <c r="I439" s="50" t="n"/>
      <c r="J439" s="48" t="n"/>
      <c r="K439" s="48" t="n"/>
      <c r="L439" s="48" t="n"/>
      <c r="M439" s="48" t="n"/>
      <c r="N439" s="48" t="n"/>
      <c r="O439" s="51">
        <f>IF(AND(B439="",G439="",C439="",D439="",J439=""),"",IF(B439="","⚠ Falta fecha",IF(G439="","⚠ Falta monto",IF(Q439="","⚠ Falta cuenta",IF(ISNA(MATCH(Q439,ctaNombre,0)),"⚠ Cuenta no registrada",IF(AND(OR(P439="Gasto",P439="Reembolso"),D439=""),"⚠ Falta categoría",IF(AND(D439&lt;&gt;"",E439&lt;&gt;"",ISNA(MATCH(D439&amp;"|"&amp;E439,catClave,0))),"⚠ Subcategoría no corresponde",IF(AND(OR(P439="Transferencia",P439="Pago tarjeta"),K439=""),"⚠ Falta cuenta destino",IF(AND(K439&lt;&gt;"",P439&lt;&gt;"Transferencia",P439&lt;&gt;"Pago tarjeta"),"⚠ Destino solo aplica a transferencias",IF(AND(K439&lt;&gt;"",K439=Q439),"⚠ Origen igual a destino",IF(AND(K439&lt;&gt;"",ISNA(MATCH(K439,ctaNombre,0))),"⚠ Destino no registrado",IF(AND(P439="Pago tarjeta",AE439&lt;&gt;"Tarjeta de crédito"),"⚠ El destino debe ser tarjeta de crédito",IF(AND(P439="Gasto",E439="Depósitos y retiros"),"⚠ Usa tipo Transferencia",IF(AND(P439="Resultado trading",AD439&lt;&gt;"Cuenta de trading"),"⚠ Usa una cuenta de trading",IF(AND(G439&lt;=0,P439&lt;&gt;"Ajuste",P439&lt;&gt;"Resultado trading"),"⚠ El monto debe ser positivo","✓")))))))))))))))</f>
        <v/>
      </c>
      <c r="P439" s="52">
        <f>IF(OR(B439="",G439=""),"",IF(C439="","Gasto",C439))</f>
        <v/>
      </c>
      <c r="Q439" s="52">
        <f>IF(P439="","",IF(J439&lt;&gt;"",J439,CuentaPred&amp;""))</f>
        <v/>
      </c>
      <c r="R439" s="52">
        <f>IF(P439="","",IF(ISNUMBER(I439),I439,TasaUSD))</f>
        <v/>
      </c>
      <c r="S439" s="53">
        <f>IF(P439="","",IF(H439="USD",G439*R439,G439))</f>
        <v/>
      </c>
      <c r="T439" s="53">
        <f>IF(P439="","",IF(H439="USD",G439,IF(R439&gt;0,G439/R439,0)))</f>
        <v/>
      </c>
      <c r="U439" s="53">
        <f>IF(P439="","",IF(P439="Gasto",S439,IF(P439="Reembolso",-S439,0)))</f>
        <v/>
      </c>
      <c r="V439" s="53">
        <f>IF(P439="","",IF(P439="Ingreso",S439,0))</f>
        <v/>
      </c>
      <c r="W439" s="53">
        <f>IF(P439="","",IF(P439="Resultado trading",S439,0))</f>
        <v/>
      </c>
      <c r="X439" s="52">
        <f>IF(OR(P439="Gasto",P439="Reembolso"),IF(M439&lt;&gt;"",M439,IFERROR(INDEX(catClasif,MATCH(D439&amp;"|"&amp;E439,catClave,0))&amp;"","Variable")),"")</f>
        <v/>
      </c>
      <c r="Y439" s="52">
        <f>IF(P439="","",IFERROR(INDEX(catGrupo,MATCH(D439&amp;"|"&amp;E439,catClave,0))&amp;"",""))</f>
        <v/>
      </c>
      <c r="Z439" s="52">
        <f>IF(P439="","",WEEKDAY(B439,2))</f>
        <v/>
      </c>
      <c r="AA439" s="52">
        <f>IF(P439="","",IF(AND(P439="Gasto",X439="Variable",D439&lt;&gt;catTrading,S439&gt;0,S439&lt;=Umbral),1,0))</f>
        <v/>
      </c>
      <c r="AB439" s="52">
        <f>IF(OR(P439="",Q439=""),"",IFERROR(IF(INDEX(ctaVinc,MATCH(Q439,ctaNombre,0))&amp;""&lt;&gt;"",INDEX(ctaVinc,MATCH(Q439,ctaNombre,0))&amp;"",Q439),Q439))</f>
        <v/>
      </c>
      <c r="AC439" s="52">
        <f>IF(OR(K439="",AND(P439&lt;&gt;"Transferencia",P439&lt;&gt;"Pago tarjeta")),"",IFERROR(IF(INDEX(ctaVinc,MATCH(K439,ctaNombre,0))&amp;""&lt;&gt;"",INDEX(ctaVinc,MATCH(K439,ctaNombre,0))&amp;"",K439),K439))</f>
        <v/>
      </c>
      <c r="AD439" s="52">
        <f>IF(AB439="","",IFERROR(INDEX(ctaTipo,MATCH(AB439,ctaNombre,0))&amp;"",""))</f>
        <v/>
      </c>
      <c r="AE439" s="52">
        <f>IF(AC439="","",IFERROR(INDEX(ctaTipo,MATCH(AC439,ctaNombre,0))&amp;"",""))</f>
        <v/>
      </c>
      <c r="AF439" s="53">
        <f>IF(OR(P439="",AB439=""),"",IF(OR(P439="Gasto",P439="Transferencia",P439="Pago tarjeta"),-1,1)*IF(IFERROR(INDEX(ctaMoneda,MATCH(AB439,ctaNombre,0))&amp;"","DOP")="USD",T439,S439))</f>
        <v/>
      </c>
      <c r="AG439" s="53">
        <f>IF(AC439="","",IF(IFERROR(INDEX(ctaMoneda,MATCH(AC439,ctaNombre,0))&amp;"","DOP")="USD",T439,S439))</f>
        <v/>
      </c>
      <c r="AH439" s="53">
        <f>IF(P439="","",IF(AND(AD439&lt;&gt;"",COUNTIFS(tcTipo,AD439,tcLiq,"Sí")&gt;0),IF(OR(P439="Gasto",P439="Transferencia",P439="Pago tarjeta"),-1,1)*S439,0)+IF(AND(AE439&lt;&gt;"",COUNTIFS(tcTipo,AE439,tcLiq,"Sí")&gt;0),S439,0))</f>
        <v/>
      </c>
      <c r="AI439" s="52">
        <f>IF(OR(L439="",P439=""),"",IF(COUNTIFS(L$6:L439,L439,P$6:P439,"?*")=1,MAX(AI$5:AI438)+1,""))</f>
        <v/>
      </c>
    </row>
    <row r="440">
      <c r="B440" s="47" t="n"/>
      <c r="C440" s="48" t="n"/>
      <c r="D440" s="48" t="n"/>
      <c r="E440" s="48" t="n"/>
      <c r="F440" s="48" t="n"/>
      <c r="G440" s="49" t="n"/>
      <c r="H440" s="48" t="n"/>
      <c r="I440" s="50" t="n"/>
      <c r="J440" s="48" t="n"/>
      <c r="K440" s="48" t="n"/>
      <c r="L440" s="48" t="n"/>
      <c r="M440" s="48" t="n"/>
      <c r="N440" s="48" t="n"/>
      <c r="O440" s="51">
        <f>IF(AND(B440="",G440="",C440="",D440="",J440=""),"",IF(B440="","⚠ Falta fecha",IF(G440="","⚠ Falta monto",IF(Q440="","⚠ Falta cuenta",IF(ISNA(MATCH(Q440,ctaNombre,0)),"⚠ Cuenta no registrada",IF(AND(OR(P440="Gasto",P440="Reembolso"),D440=""),"⚠ Falta categoría",IF(AND(D440&lt;&gt;"",E440&lt;&gt;"",ISNA(MATCH(D440&amp;"|"&amp;E440,catClave,0))),"⚠ Subcategoría no corresponde",IF(AND(OR(P440="Transferencia",P440="Pago tarjeta"),K440=""),"⚠ Falta cuenta destino",IF(AND(K440&lt;&gt;"",P440&lt;&gt;"Transferencia",P440&lt;&gt;"Pago tarjeta"),"⚠ Destino solo aplica a transferencias",IF(AND(K440&lt;&gt;"",K440=Q440),"⚠ Origen igual a destino",IF(AND(K440&lt;&gt;"",ISNA(MATCH(K440,ctaNombre,0))),"⚠ Destino no registrado",IF(AND(P440="Pago tarjeta",AE440&lt;&gt;"Tarjeta de crédito"),"⚠ El destino debe ser tarjeta de crédito",IF(AND(P440="Gasto",E440="Depósitos y retiros"),"⚠ Usa tipo Transferencia",IF(AND(P440="Resultado trading",AD440&lt;&gt;"Cuenta de trading"),"⚠ Usa una cuenta de trading",IF(AND(G440&lt;=0,P440&lt;&gt;"Ajuste",P440&lt;&gt;"Resultado trading"),"⚠ El monto debe ser positivo","✓")))))))))))))))</f>
        <v/>
      </c>
      <c r="P440" s="52">
        <f>IF(OR(B440="",G440=""),"",IF(C440="","Gasto",C440))</f>
        <v/>
      </c>
      <c r="Q440" s="52">
        <f>IF(P440="","",IF(J440&lt;&gt;"",J440,CuentaPred&amp;""))</f>
        <v/>
      </c>
      <c r="R440" s="52">
        <f>IF(P440="","",IF(ISNUMBER(I440),I440,TasaUSD))</f>
        <v/>
      </c>
      <c r="S440" s="53">
        <f>IF(P440="","",IF(H440="USD",G440*R440,G440))</f>
        <v/>
      </c>
      <c r="T440" s="53">
        <f>IF(P440="","",IF(H440="USD",G440,IF(R440&gt;0,G440/R440,0)))</f>
        <v/>
      </c>
      <c r="U440" s="53">
        <f>IF(P440="","",IF(P440="Gasto",S440,IF(P440="Reembolso",-S440,0)))</f>
        <v/>
      </c>
      <c r="V440" s="53">
        <f>IF(P440="","",IF(P440="Ingreso",S440,0))</f>
        <v/>
      </c>
      <c r="W440" s="53">
        <f>IF(P440="","",IF(P440="Resultado trading",S440,0))</f>
        <v/>
      </c>
      <c r="X440" s="52">
        <f>IF(OR(P440="Gasto",P440="Reembolso"),IF(M440&lt;&gt;"",M440,IFERROR(INDEX(catClasif,MATCH(D440&amp;"|"&amp;E440,catClave,0))&amp;"","Variable")),"")</f>
        <v/>
      </c>
      <c r="Y440" s="52">
        <f>IF(P440="","",IFERROR(INDEX(catGrupo,MATCH(D440&amp;"|"&amp;E440,catClave,0))&amp;"",""))</f>
        <v/>
      </c>
      <c r="Z440" s="52">
        <f>IF(P440="","",WEEKDAY(B440,2))</f>
        <v/>
      </c>
      <c r="AA440" s="52">
        <f>IF(P440="","",IF(AND(P440="Gasto",X440="Variable",D440&lt;&gt;catTrading,S440&gt;0,S440&lt;=Umbral),1,0))</f>
        <v/>
      </c>
      <c r="AB440" s="52">
        <f>IF(OR(P440="",Q440=""),"",IFERROR(IF(INDEX(ctaVinc,MATCH(Q440,ctaNombre,0))&amp;""&lt;&gt;"",INDEX(ctaVinc,MATCH(Q440,ctaNombre,0))&amp;"",Q440),Q440))</f>
        <v/>
      </c>
      <c r="AC440" s="52">
        <f>IF(OR(K440="",AND(P440&lt;&gt;"Transferencia",P440&lt;&gt;"Pago tarjeta")),"",IFERROR(IF(INDEX(ctaVinc,MATCH(K440,ctaNombre,0))&amp;""&lt;&gt;"",INDEX(ctaVinc,MATCH(K440,ctaNombre,0))&amp;"",K440),K440))</f>
        <v/>
      </c>
      <c r="AD440" s="52">
        <f>IF(AB440="","",IFERROR(INDEX(ctaTipo,MATCH(AB440,ctaNombre,0))&amp;"",""))</f>
        <v/>
      </c>
      <c r="AE440" s="52">
        <f>IF(AC440="","",IFERROR(INDEX(ctaTipo,MATCH(AC440,ctaNombre,0))&amp;"",""))</f>
        <v/>
      </c>
      <c r="AF440" s="53">
        <f>IF(OR(P440="",AB440=""),"",IF(OR(P440="Gasto",P440="Transferencia",P440="Pago tarjeta"),-1,1)*IF(IFERROR(INDEX(ctaMoneda,MATCH(AB440,ctaNombre,0))&amp;"","DOP")="USD",T440,S440))</f>
        <v/>
      </c>
      <c r="AG440" s="53">
        <f>IF(AC440="","",IF(IFERROR(INDEX(ctaMoneda,MATCH(AC440,ctaNombre,0))&amp;"","DOP")="USD",T440,S440))</f>
        <v/>
      </c>
      <c r="AH440" s="53">
        <f>IF(P440="","",IF(AND(AD440&lt;&gt;"",COUNTIFS(tcTipo,AD440,tcLiq,"Sí")&gt;0),IF(OR(P440="Gasto",P440="Transferencia",P440="Pago tarjeta"),-1,1)*S440,0)+IF(AND(AE440&lt;&gt;"",COUNTIFS(tcTipo,AE440,tcLiq,"Sí")&gt;0),S440,0))</f>
        <v/>
      </c>
      <c r="AI440" s="52">
        <f>IF(OR(L440="",P440=""),"",IF(COUNTIFS(L$6:L440,L440,P$6:P440,"?*")=1,MAX(AI$5:AI439)+1,""))</f>
        <v/>
      </c>
    </row>
    <row r="441">
      <c r="B441" s="47" t="n"/>
      <c r="C441" s="48" t="n"/>
      <c r="D441" s="48" t="n"/>
      <c r="E441" s="48" t="n"/>
      <c r="F441" s="48" t="n"/>
      <c r="G441" s="49" t="n"/>
      <c r="H441" s="48" t="n"/>
      <c r="I441" s="50" t="n"/>
      <c r="J441" s="48" t="n"/>
      <c r="K441" s="48" t="n"/>
      <c r="L441" s="48" t="n"/>
      <c r="M441" s="48" t="n"/>
      <c r="N441" s="48" t="n"/>
      <c r="O441" s="51">
        <f>IF(AND(B441="",G441="",C441="",D441="",J441=""),"",IF(B441="","⚠ Falta fecha",IF(G441="","⚠ Falta monto",IF(Q441="","⚠ Falta cuenta",IF(ISNA(MATCH(Q441,ctaNombre,0)),"⚠ Cuenta no registrada",IF(AND(OR(P441="Gasto",P441="Reembolso"),D441=""),"⚠ Falta categoría",IF(AND(D441&lt;&gt;"",E441&lt;&gt;"",ISNA(MATCH(D441&amp;"|"&amp;E441,catClave,0))),"⚠ Subcategoría no corresponde",IF(AND(OR(P441="Transferencia",P441="Pago tarjeta"),K441=""),"⚠ Falta cuenta destino",IF(AND(K441&lt;&gt;"",P441&lt;&gt;"Transferencia",P441&lt;&gt;"Pago tarjeta"),"⚠ Destino solo aplica a transferencias",IF(AND(K441&lt;&gt;"",K441=Q441),"⚠ Origen igual a destino",IF(AND(K441&lt;&gt;"",ISNA(MATCH(K441,ctaNombre,0))),"⚠ Destino no registrado",IF(AND(P441="Pago tarjeta",AE441&lt;&gt;"Tarjeta de crédito"),"⚠ El destino debe ser tarjeta de crédito",IF(AND(P441="Gasto",E441="Depósitos y retiros"),"⚠ Usa tipo Transferencia",IF(AND(P441="Resultado trading",AD441&lt;&gt;"Cuenta de trading"),"⚠ Usa una cuenta de trading",IF(AND(G441&lt;=0,P441&lt;&gt;"Ajuste",P441&lt;&gt;"Resultado trading"),"⚠ El monto debe ser positivo","✓")))))))))))))))</f>
        <v/>
      </c>
      <c r="P441" s="52">
        <f>IF(OR(B441="",G441=""),"",IF(C441="","Gasto",C441))</f>
        <v/>
      </c>
      <c r="Q441" s="52">
        <f>IF(P441="","",IF(J441&lt;&gt;"",J441,CuentaPred&amp;""))</f>
        <v/>
      </c>
      <c r="R441" s="52">
        <f>IF(P441="","",IF(ISNUMBER(I441),I441,TasaUSD))</f>
        <v/>
      </c>
      <c r="S441" s="53">
        <f>IF(P441="","",IF(H441="USD",G441*R441,G441))</f>
        <v/>
      </c>
      <c r="T441" s="53">
        <f>IF(P441="","",IF(H441="USD",G441,IF(R441&gt;0,G441/R441,0)))</f>
        <v/>
      </c>
      <c r="U441" s="53">
        <f>IF(P441="","",IF(P441="Gasto",S441,IF(P441="Reembolso",-S441,0)))</f>
        <v/>
      </c>
      <c r="V441" s="53">
        <f>IF(P441="","",IF(P441="Ingreso",S441,0))</f>
        <v/>
      </c>
      <c r="W441" s="53">
        <f>IF(P441="","",IF(P441="Resultado trading",S441,0))</f>
        <v/>
      </c>
      <c r="X441" s="52">
        <f>IF(OR(P441="Gasto",P441="Reembolso"),IF(M441&lt;&gt;"",M441,IFERROR(INDEX(catClasif,MATCH(D441&amp;"|"&amp;E441,catClave,0))&amp;"","Variable")),"")</f>
        <v/>
      </c>
      <c r="Y441" s="52">
        <f>IF(P441="","",IFERROR(INDEX(catGrupo,MATCH(D441&amp;"|"&amp;E441,catClave,0))&amp;"",""))</f>
        <v/>
      </c>
      <c r="Z441" s="52">
        <f>IF(P441="","",WEEKDAY(B441,2))</f>
        <v/>
      </c>
      <c r="AA441" s="52">
        <f>IF(P441="","",IF(AND(P441="Gasto",X441="Variable",D441&lt;&gt;catTrading,S441&gt;0,S441&lt;=Umbral),1,0))</f>
        <v/>
      </c>
      <c r="AB441" s="52">
        <f>IF(OR(P441="",Q441=""),"",IFERROR(IF(INDEX(ctaVinc,MATCH(Q441,ctaNombre,0))&amp;""&lt;&gt;"",INDEX(ctaVinc,MATCH(Q441,ctaNombre,0))&amp;"",Q441),Q441))</f>
        <v/>
      </c>
      <c r="AC441" s="52">
        <f>IF(OR(K441="",AND(P441&lt;&gt;"Transferencia",P441&lt;&gt;"Pago tarjeta")),"",IFERROR(IF(INDEX(ctaVinc,MATCH(K441,ctaNombre,0))&amp;""&lt;&gt;"",INDEX(ctaVinc,MATCH(K441,ctaNombre,0))&amp;"",K441),K441))</f>
        <v/>
      </c>
      <c r="AD441" s="52">
        <f>IF(AB441="","",IFERROR(INDEX(ctaTipo,MATCH(AB441,ctaNombre,0))&amp;"",""))</f>
        <v/>
      </c>
      <c r="AE441" s="52">
        <f>IF(AC441="","",IFERROR(INDEX(ctaTipo,MATCH(AC441,ctaNombre,0))&amp;"",""))</f>
        <v/>
      </c>
      <c r="AF441" s="53">
        <f>IF(OR(P441="",AB441=""),"",IF(OR(P441="Gasto",P441="Transferencia",P441="Pago tarjeta"),-1,1)*IF(IFERROR(INDEX(ctaMoneda,MATCH(AB441,ctaNombre,0))&amp;"","DOP")="USD",T441,S441))</f>
        <v/>
      </c>
      <c r="AG441" s="53">
        <f>IF(AC441="","",IF(IFERROR(INDEX(ctaMoneda,MATCH(AC441,ctaNombre,0))&amp;"","DOP")="USD",T441,S441))</f>
        <v/>
      </c>
      <c r="AH441" s="53">
        <f>IF(P441="","",IF(AND(AD441&lt;&gt;"",COUNTIFS(tcTipo,AD441,tcLiq,"Sí")&gt;0),IF(OR(P441="Gasto",P441="Transferencia",P441="Pago tarjeta"),-1,1)*S441,0)+IF(AND(AE441&lt;&gt;"",COUNTIFS(tcTipo,AE441,tcLiq,"Sí")&gt;0),S441,0))</f>
        <v/>
      </c>
      <c r="AI441" s="52">
        <f>IF(OR(L441="",P441=""),"",IF(COUNTIFS(L$6:L441,L441,P$6:P441,"?*")=1,MAX(AI$5:AI440)+1,""))</f>
        <v/>
      </c>
    </row>
    <row r="442">
      <c r="B442" s="47" t="n"/>
      <c r="C442" s="48" t="n"/>
      <c r="D442" s="48" t="n"/>
      <c r="E442" s="48" t="n"/>
      <c r="F442" s="48" t="n"/>
      <c r="G442" s="49" t="n"/>
      <c r="H442" s="48" t="n"/>
      <c r="I442" s="50" t="n"/>
      <c r="J442" s="48" t="n"/>
      <c r="K442" s="48" t="n"/>
      <c r="L442" s="48" t="n"/>
      <c r="M442" s="48" t="n"/>
      <c r="N442" s="48" t="n"/>
      <c r="O442" s="51">
        <f>IF(AND(B442="",G442="",C442="",D442="",J442=""),"",IF(B442="","⚠ Falta fecha",IF(G442="","⚠ Falta monto",IF(Q442="","⚠ Falta cuenta",IF(ISNA(MATCH(Q442,ctaNombre,0)),"⚠ Cuenta no registrada",IF(AND(OR(P442="Gasto",P442="Reembolso"),D442=""),"⚠ Falta categoría",IF(AND(D442&lt;&gt;"",E442&lt;&gt;"",ISNA(MATCH(D442&amp;"|"&amp;E442,catClave,0))),"⚠ Subcategoría no corresponde",IF(AND(OR(P442="Transferencia",P442="Pago tarjeta"),K442=""),"⚠ Falta cuenta destino",IF(AND(K442&lt;&gt;"",P442&lt;&gt;"Transferencia",P442&lt;&gt;"Pago tarjeta"),"⚠ Destino solo aplica a transferencias",IF(AND(K442&lt;&gt;"",K442=Q442),"⚠ Origen igual a destino",IF(AND(K442&lt;&gt;"",ISNA(MATCH(K442,ctaNombre,0))),"⚠ Destino no registrado",IF(AND(P442="Pago tarjeta",AE442&lt;&gt;"Tarjeta de crédito"),"⚠ El destino debe ser tarjeta de crédito",IF(AND(P442="Gasto",E442="Depósitos y retiros"),"⚠ Usa tipo Transferencia",IF(AND(P442="Resultado trading",AD442&lt;&gt;"Cuenta de trading"),"⚠ Usa una cuenta de trading",IF(AND(G442&lt;=0,P442&lt;&gt;"Ajuste",P442&lt;&gt;"Resultado trading"),"⚠ El monto debe ser positivo","✓")))))))))))))))</f>
        <v/>
      </c>
      <c r="P442" s="52">
        <f>IF(OR(B442="",G442=""),"",IF(C442="","Gasto",C442))</f>
        <v/>
      </c>
      <c r="Q442" s="52">
        <f>IF(P442="","",IF(J442&lt;&gt;"",J442,CuentaPred&amp;""))</f>
        <v/>
      </c>
      <c r="R442" s="52">
        <f>IF(P442="","",IF(ISNUMBER(I442),I442,TasaUSD))</f>
        <v/>
      </c>
      <c r="S442" s="53">
        <f>IF(P442="","",IF(H442="USD",G442*R442,G442))</f>
        <v/>
      </c>
      <c r="T442" s="53">
        <f>IF(P442="","",IF(H442="USD",G442,IF(R442&gt;0,G442/R442,0)))</f>
        <v/>
      </c>
      <c r="U442" s="53">
        <f>IF(P442="","",IF(P442="Gasto",S442,IF(P442="Reembolso",-S442,0)))</f>
        <v/>
      </c>
      <c r="V442" s="53">
        <f>IF(P442="","",IF(P442="Ingreso",S442,0))</f>
        <v/>
      </c>
      <c r="W442" s="53">
        <f>IF(P442="","",IF(P442="Resultado trading",S442,0))</f>
        <v/>
      </c>
      <c r="X442" s="52">
        <f>IF(OR(P442="Gasto",P442="Reembolso"),IF(M442&lt;&gt;"",M442,IFERROR(INDEX(catClasif,MATCH(D442&amp;"|"&amp;E442,catClave,0))&amp;"","Variable")),"")</f>
        <v/>
      </c>
      <c r="Y442" s="52">
        <f>IF(P442="","",IFERROR(INDEX(catGrupo,MATCH(D442&amp;"|"&amp;E442,catClave,0))&amp;"",""))</f>
        <v/>
      </c>
      <c r="Z442" s="52">
        <f>IF(P442="","",WEEKDAY(B442,2))</f>
        <v/>
      </c>
      <c r="AA442" s="52">
        <f>IF(P442="","",IF(AND(P442="Gasto",X442="Variable",D442&lt;&gt;catTrading,S442&gt;0,S442&lt;=Umbral),1,0))</f>
        <v/>
      </c>
      <c r="AB442" s="52">
        <f>IF(OR(P442="",Q442=""),"",IFERROR(IF(INDEX(ctaVinc,MATCH(Q442,ctaNombre,0))&amp;""&lt;&gt;"",INDEX(ctaVinc,MATCH(Q442,ctaNombre,0))&amp;"",Q442),Q442))</f>
        <v/>
      </c>
      <c r="AC442" s="52">
        <f>IF(OR(K442="",AND(P442&lt;&gt;"Transferencia",P442&lt;&gt;"Pago tarjeta")),"",IFERROR(IF(INDEX(ctaVinc,MATCH(K442,ctaNombre,0))&amp;""&lt;&gt;"",INDEX(ctaVinc,MATCH(K442,ctaNombre,0))&amp;"",K442),K442))</f>
        <v/>
      </c>
      <c r="AD442" s="52">
        <f>IF(AB442="","",IFERROR(INDEX(ctaTipo,MATCH(AB442,ctaNombre,0))&amp;"",""))</f>
        <v/>
      </c>
      <c r="AE442" s="52">
        <f>IF(AC442="","",IFERROR(INDEX(ctaTipo,MATCH(AC442,ctaNombre,0))&amp;"",""))</f>
        <v/>
      </c>
      <c r="AF442" s="53">
        <f>IF(OR(P442="",AB442=""),"",IF(OR(P442="Gasto",P442="Transferencia",P442="Pago tarjeta"),-1,1)*IF(IFERROR(INDEX(ctaMoneda,MATCH(AB442,ctaNombre,0))&amp;"","DOP")="USD",T442,S442))</f>
        <v/>
      </c>
      <c r="AG442" s="53">
        <f>IF(AC442="","",IF(IFERROR(INDEX(ctaMoneda,MATCH(AC442,ctaNombre,0))&amp;"","DOP")="USD",T442,S442))</f>
        <v/>
      </c>
      <c r="AH442" s="53">
        <f>IF(P442="","",IF(AND(AD442&lt;&gt;"",COUNTIFS(tcTipo,AD442,tcLiq,"Sí")&gt;0),IF(OR(P442="Gasto",P442="Transferencia",P442="Pago tarjeta"),-1,1)*S442,0)+IF(AND(AE442&lt;&gt;"",COUNTIFS(tcTipo,AE442,tcLiq,"Sí")&gt;0),S442,0))</f>
        <v/>
      </c>
      <c r="AI442" s="52">
        <f>IF(OR(L442="",P442=""),"",IF(COUNTIFS(L$6:L442,L442,P$6:P442,"?*")=1,MAX(AI$5:AI441)+1,""))</f>
        <v/>
      </c>
    </row>
    <row r="443">
      <c r="B443" s="47" t="n"/>
      <c r="C443" s="48" t="n"/>
      <c r="D443" s="48" t="n"/>
      <c r="E443" s="48" t="n"/>
      <c r="F443" s="48" t="n"/>
      <c r="G443" s="49" t="n"/>
      <c r="H443" s="48" t="n"/>
      <c r="I443" s="50" t="n"/>
      <c r="J443" s="48" t="n"/>
      <c r="K443" s="48" t="n"/>
      <c r="L443" s="48" t="n"/>
      <c r="M443" s="48" t="n"/>
      <c r="N443" s="48" t="n"/>
      <c r="O443" s="51">
        <f>IF(AND(B443="",G443="",C443="",D443="",J443=""),"",IF(B443="","⚠ Falta fecha",IF(G443="","⚠ Falta monto",IF(Q443="","⚠ Falta cuenta",IF(ISNA(MATCH(Q443,ctaNombre,0)),"⚠ Cuenta no registrada",IF(AND(OR(P443="Gasto",P443="Reembolso"),D443=""),"⚠ Falta categoría",IF(AND(D443&lt;&gt;"",E443&lt;&gt;"",ISNA(MATCH(D443&amp;"|"&amp;E443,catClave,0))),"⚠ Subcategoría no corresponde",IF(AND(OR(P443="Transferencia",P443="Pago tarjeta"),K443=""),"⚠ Falta cuenta destino",IF(AND(K443&lt;&gt;"",P443&lt;&gt;"Transferencia",P443&lt;&gt;"Pago tarjeta"),"⚠ Destino solo aplica a transferencias",IF(AND(K443&lt;&gt;"",K443=Q443),"⚠ Origen igual a destino",IF(AND(K443&lt;&gt;"",ISNA(MATCH(K443,ctaNombre,0))),"⚠ Destino no registrado",IF(AND(P443="Pago tarjeta",AE443&lt;&gt;"Tarjeta de crédito"),"⚠ El destino debe ser tarjeta de crédito",IF(AND(P443="Gasto",E443="Depósitos y retiros"),"⚠ Usa tipo Transferencia",IF(AND(P443="Resultado trading",AD443&lt;&gt;"Cuenta de trading"),"⚠ Usa una cuenta de trading",IF(AND(G443&lt;=0,P443&lt;&gt;"Ajuste",P443&lt;&gt;"Resultado trading"),"⚠ El monto debe ser positivo","✓")))))))))))))))</f>
        <v/>
      </c>
      <c r="P443" s="52">
        <f>IF(OR(B443="",G443=""),"",IF(C443="","Gasto",C443))</f>
        <v/>
      </c>
      <c r="Q443" s="52">
        <f>IF(P443="","",IF(J443&lt;&gt;"",J443,CuentaPred&amp;""))</f>
        <v/>
      </c>
      <c r="R443" s="52">
        <f>IF(P443="","",IF(ISNUMBER(I443),I443,TasaUSD))</f>
        <v/>
      </c>
      <c r="S443" s="53">
        <f>IF(P443="","",IF(H443="USD",G443*R443,G443))</f>
        <v/>
      </c>
      <c r="T443" s="53">
        <f>IF(P443="","",IF(H443="USD",G443,IF(R443&gt;0,G443/R443,0)))</f>
        <v/>
      </c>
      <c r="U443" s="53">
        <f>IF(P443="","",IF(P443="Gasto",S443,IF(P443="Reembolso",-S443,0)))</f>
        <v/>
      </c>
      <c r="V443" s="53">
        <f>IF(P443="","",IF(P443="Ingreso",S443,0))</f>
        <v/>
      </c>
      <c r="W443" s="53">
        <f>IF(P443="","",IF(P443="Resultado trading",S443,0))</f>
        <v/>
      </c>
      <c r="X443" s="52">
        <f>IF(OR(P443="Gasto",P443="Reembolso"),IF(M443&lt;&gt;"",M443,IFERROR(INDEX(catClasif,MATCH(D443&amp;"|"&amp;E443,catClave,0))&amp;"","Variable")),"")</f>
        <v/>
      </c>
      <c r="Y443" s="52">
        <f>IF(P443="","",IFERROR(INDEX(catGrupo,MATCH(D443&amp;"|"&amp;E443,catClave,0))&amp;"",""))</f>
        <v/>
      </c>
      <c r="Z443" s="52">
        <f>IF(P443="","",WEEKDAY(B443,2))</f>
        <v/>
      </c>
      <c r="AA443" s="52">
        <f>IF(P443="","",IF(AND(P443="Gasto",X443="Variable",D443&lt;&gt;catTrading,S443&gt;0,S443&lt;=Umbral),1,0))</f>
        <v/>
      </c>
      <c r="AB443" s="52">
        <f>IF(OR(P443="",Q443=""),"",IFERROR(IF(INDEX(ctaVinc,MATCH(Q443,ctaNombre,0))&amp;""&lt;&gt;"",INDEX(ctaVinc,MATCH(Q443,ctaNombre,0))&amp;"",Q443),Q443))</f>
        <v/>
      </c>
      <c r="AC443" s="52">
        <f>IF(OR(K443="",AND(P443&lt;&gt;"Transferencia",P443&lt;&gt;"Pago tarjeta")),"",IFERROR(IF(INDEX(ctaVinc,MATCH(K443,ctaNombre,0))&amp;""&lt;&gt;"",INDEX(ctaVinc,MATCH(K443,ctaNombre,0))&amp;"",K443),K443))</f>
        <v/>
      </c>
      <c r="AD443" s="52">
        <f>IF(AB443="","",IFERROR(INDEX(ctaTipo,MATCH(AB443,ctaNombre,0))&amp;"",""))</f>
        <v/>
      </c>
      <c r="AE443" s="52">
        <f>IF(AC443="","",IFERROR(INDEX(ctaTipo,MATCH(AC443,ctaNombre,0))&amp;"",""))</f>
        <v/>
      </c>
      <c r="AF443" s="53">
        <f>IF(OR(P443="",AB443=""),"",IF(OR(P443="Gasto",P443="Transferencia",P443="Pago tarjeta"),-1,1)*IF(IFERROR(INDEX(ctaMoneda,MATCH(AB443,ctaNombre,0))&amp;"","DOP")="USD",T443,S443))</f>
        <v/>
      </c>
      <c r="AG443" s="53">
        <f>IF(AC443="","",IF(IFERROR(INDEX(ctaMoneda,MATCH(AC443,ctaNombre,0))&amp;"","DOP")="USD",T443,S443))</f>
        <v/>
      </c>
      <c r="AH443" s="53">
        <f>IF(P443="","",IF(AND(AD443&lt;&gt;"",COUNTIFS(tcTipo,AD443,tcLiq,"Sí")&gt;0),IF(OR(P443="Gasto",P443="Transferencia",P443="Pago tarjeta"),-1,1)*S443,0)+IF(AND(AE443&lt;&gt;"",COUNTIFS(tcTipo,AE443,tcLiq,"Sí")&gt;0),S443,0))</f>
        <v/>
      </c>
      <c r="AI443" s="52">
        <f>IF(OR(L443="",P443=""),"",IF(COUNTIFS(L$6:L443,L443,P$6:P443,"?*")=1,MAX(AI$5:AI442)+1,""))</f>
        <v/>
      </c>
    </row>
    <row r="444">
      <c r="B444" s="47" t="n"/>
      <c r="C444" s="48" t="n"/>
      <c r="D444" s="48" t="n"/>
      <c r="E444" s="48" t="n"/>
      <c r="F444" s="48" t="n"/>
      <c r="G444" s="49" t="n"/>
      <c r="H444" s="48" t="n"/>
      <c r="I444" s="50" t="n"/>
      <c r="J444" s="48" t="n"/>
      <c r="K444" s="48" t="n"/>
      <c r="L444" s="48" t="n"/>
      <c r="M444" s="48" t="n"/>
      <c r="N444" s="48" t="n"/>
      <c r="O444" s="51">
        <f>IF(AND(B444="",G444="",C444="",D444="",J444=""),"",IF(B444="","⚠ Falta fecha",IF(G444="","⚠ Falta monto",IF(Q444="","⚠ Falta cuenta",IF(ISNA(MATCH(Q444,ctaNombre,0)),"⚠ Cuenta no registrada",IF(AND(OR(P444="Gasto",P444="Reembolso"),D444=""),"⚠ Falta categoría",IF(AND(D444&lt;&gt;"",E444&lt;&gt;"",ISNA(MATCH(D444&amp;"|"&amp;E444,catClave,0))),"⚠ Subcategoría no corresponde",IF(AND(OR(P444="Transferencia",P444="Pago tarjeta"),K444=""),"⚠ Falta cuenta destino",IF(AND(K444&lt;&gt;"",P444&lt;&gt;"Transferencia",P444&lt;&gt;"Pago tarjeta"),"⚠ Destino solo aplica a transferencias",IF(AND(K444&lt;&gt;"",K444=Q444),"⚠ Origen igual a destino",IF(AND(K444&lt;&gt;"",ISNA(MATCH(K444,ctaNombre,0))),"⚠ Destino no registrado",IF(AND(P444="Pago tarjeta",AE444&lt;&gt;"Tarjeta de crédito"),"⚠ El destino debe ser tarjeta de crédito",IF(AND(P444="Gasto",E444="Depósitos y retiros"),"⚠ Usa tipo Transferencia",IF(AND(P444="Resultado trading",AD444&lt;&gt;"Cuenta de trading"),"⚠ Usa una cuenta de trading",IF(AND(G444&lt;=0,P444&lt;&gt;"Ajuste",P444&lt;&gt;"Resultado trading"),"⚠ El monto debe ser positivo","✓")))))))))))))))</f>
        <v/>
      </c>
      <c r="P444" s="52">
        <f>IF(OR(B444="",G444=""),"",IF(C444="","Gasto",C444))</f>
        <v/>
      </c>
      <c r="Q444" s="52">
        <f>IF(P444="","",IF(J444&lt;&gt;"",J444,CuentaPred&amp;""))</f>
        <v/>
      </c>
      <c r="R444" s="52">
        <f>IF(P444="","",IF(ISNUMBER(I444),I444,TasaUSD))</f>
        <v/>
      </c>
      <c r="S444" s="53">
        <f>IF(P444="","",IF(H444="USD",G444*R444,G444))</f>
        <v/>
      </c>
      <c r="T444" s="53">
        <f>IF(P444="","",IF(H444="USD",G444,IF(R444&gt;0,G444/R444,0)))</f>
        <v/>
      </c>
      <c r="U444" s="53">
        <f>IF(P444="","",IF(P444="Gasto",S444,IF(P444="Reembolso",-S444,0)))</f>
        <v/>
      </c>
      <c r="V444" s="53">
        <f>IF(P444="","",IF(P444="Ingreso",S444,0))</f>
        <v/>
      </c>
      <c r="W444" s="53">
        <f>IF(P444="","",IF(P444="Resultado trading",S444,0))</f>
        <v/>
      </c>
      <c r="X444" s="52">
        <f>IF(OR(P444="Gasto",P444="Reembolso"),IF(M444&lt;&gt;"",M444,IFERROR(INDEX(catClasif,MATCH(D444&amp;"|"&amp;E444,catClave,0))&amp;"","Variable")),"")</f>
        <v/>
      </c>
      <c r="Y444" s="52">
        <f>IF(P444="","",IFERROR(INDEX(catGrupo,MATCH(D444&amp;"|"&amp;E444,catClave,0))&amp;"",""))</f>
        <v/>
      </c>
      <c r="Z444" s="52">
        <f>IF(P444="","",WEEKDAY(B444,2))</f>
        <v/>
      </c>
      <c r="AA444" s="52">
        <f>IF(P444="","",IF(AND(P444="Gasto",X444="Variable",D444&lt;&gt;catTrading,S444&gt;0,S444&lt;=Umbral),1,0))</f>
        <v/>
      </c>
      <c r="AB444" s="52">
        <f>IF(OR(P444="",Q444=""),"",IFERROR(IF(INDEX(ctaVinc,MATCH(Q444,ctaNombre,0))&amp;""&lt;&gt;"",INDEX(ctaVinc,MATCH(Q444,ctaNombre,0))&amp;"",Q444),Q444))</f>
        <v/>
      </c>
      <c r="AC444" s="52">
        <f>IF(OR(K444="",AND(P444&lt;&gt;"Transferencia",P444&lt;&gt;"Pago tarjeta")),"",IFERROR(IF(INDEX(ctaVinc,MATCH(K444,ctaNombre,0))&amp;""&lt;&gt;"",INDEX(ctaVinc,MATCH(K444,ctaNombre,0))&amp;"",K444),K444))</f>
        <v/>
      </c>
      <c r="AD444" s="52">
        <f>IF(AB444="","",IFERROR(INDEX(ctaTipo,MATCH(AB444,ctaNombre,0))&amp;"",""))</f>
        <v/>
      </c>
      <c r="AE444" s="52">
        <f>IF(AC444="","",IFERROR(INDEX(ctaTipo,MATCH(AC444,ctaNombre,0))&amp;"",""))</f>
        <v/>
      </c>
      <c r="AF444" s="53">
        <f>IF(OR(P444="",AB444=""),"",IF(OR(P444="Gasto",P444="Transferencia",P444="Pago tarjeta"),-1,1)*IF(IFERROR(INDEX(ctaMoneda,MATCH(AB444,ctaNombre,0))&amp;"","DOP")="USD",T444,S444))</f>
        <v/>
      </c>
      <c r="AG444" s="53">
        <f>IF(AC444="","",IF(IFERROR(INDEX(ctaMoneda,MATCH(AC444,ctaNombre,0))&amp;"","DOP")="USD",T444,S444))</f>
        <v/>
      </c>
      <c r="AH444" s="53">
        <f>IF(P444="","",IF(AND(AD444&lt;&gt;"",COUNTIFS(tcTipo,AD444,tcLiq,"Sí")&gt;0),IF(OR(P444="Gasto",P444="Transferencia",P444="Pago tarjeta"),-1,1)*S444,0)+IF(AND(AE444&lt;&gt;"",COUNTIFS(tcTipo,AE444,tcLiq,"Sí")&gt;0),S444,0))</f>
        <v/>
      </c>
      <c r="AI444" s="52">
        <f>IF(OR(L444="",P444=""),"",IF(COUNTIFS(L$6:L444,L444,P$6:P444,"?*")=1,MAX(AI$5:AI443)+1,""))</f>
        <v/>
      </c>
    </row>
    <row r="445">
      <c r="B445" s="47" t="n"/>
      <c r="C445" s="48" t="n"/>
      <c r="D445" s="48" t="n"/>
      <c r="E445" s="48" t="n"/>
      <c r="F445" s="48" t="n"/>
      <c r="G445" s="49" t="n"/>
      <c r="H445" s="48" t="n"/>
      <c r="I445" s="50" t="n"/>
      <c r="J445" s="48" t="n"/>
      <c r="K445" s="48" t="n"/>
      <c r="L445" s="48" t="n"/>
      <c r="M445" s="48" t="n"/>
      <c r="N445" s="48" t="n"/>
      <c r="O445" s="51">
        <f>IF(AND(B445="",G445="",C445="",D445="",J445=""),"",IF(B445="","⚠ Falta fecha",IF(G445="","⚠ Falta monto",IF(Q445="","⚠ Falta cuenta",IF(ISNA(MATCH(Q445,ctaNombre,0)),"⚠ Cuenta no registrada",IF(AND(OR(P445="Gasto",P445="Reembolso"),D445=""),"⚠ Falta categoría",IF(AND(D445&lt;&gt;"",E445&lt;&gt;"",ISNA(MATCH(D445&amp;"|"&amp;E445,catClave,0))),"⚠ Subcategoría no corresponde",IF(AND(OR(P445="Transferencia",P445="Pago tarjeta"),K445=""),"⚠ Falta cuenta destino",IF(AND(K445&lt;&gt;"",P445&lt;&gt;"Transferencia",P445&lt;&gt;"Pago tarjeta"),"⚠ Destino solo aplica a transferencias",IF(AND(K445&lt;&gt;"",K445=Q445),"⚠ Origen igual a destino",IF(AND(K445&lt;&gt;"",ISNA(MATCH(K445,ctaNombre,0))),"⚠ Destino no registrado",IF(AND(P445="Pago tarjeta",AE445&lt;&gt;"Tarjeta de crédito"),"⚠ El destino debe ser tarjeta de crédito",IF(AND(P445="Gasto",E445="Depósitos y retiros"),"⚠ Usa tipo Transferencia",IF(AND(P445="Resultado trading",AD445&lt;&gt;"Cuenta de trading"),"⚠ Usa una cuenta de trading",IF(AND(G445&lt;=0,P445&lt;&gt;"Ajuste",P445&lt;&gt;"Resultado trading"),"⚠ El monto debe ser positivo","✓")))))))))))))))</f>
        <v/>
      </c>
      <c r="P445" s="52">
        <f>IF(OR(B445="",G445=""),"",IF(C445="","Gasto",C445))</f>
        <v/>
      </c>
      <c r="Q445" s="52">
        <f>IF(P445="","",IF(J445&lt;&gt;"",J445,CuentaPred&amp;""))</f>
        <v/>
      </c>
      <c r="R445" s="52">
        <f>IF(P445="","",IF(ISNUMBER(I445),I445,TasaUSD))</f>
        <v/>
      </c>
      <c r="S445" s="53">
        <f>IF(P445="","",IF(H445="USD",G445*R445,G445))</f>
        <v/>
      </c>
      <c r="T445" s="53">
        <f>IF(P445="","",IF(H445="USD",G445,IF(R445&gt;0,G445/R445,0)))</f>
        <v/>
      </c>
      <c r="U445" s="53">
        <f>IF(P445="","",IF(P445="Gasto",S445,IF(P445="Reembolso",-S445,0)))</f>
        <v/>
      </c>
      <c r="V445" s="53">
        <f>IF(P445="","",IF(P445="Ingreso",S445,0))</f>
        <v/>
      </c>
      <c r="W445" s="53">
        <f>IF(P445="","",IF(P445="Resultado trading",S445,0))</f>
        <v/>
      </c>
      <c r="X445" s="52">
        <f>IF(OR(P445="Gasto",P445="Reembolso"),IF(M445&lt;&gt;"",M445,IFERROR(INDEX(catClasif,MATCH(D445&amp;"|"&amp;E445,catClave,0))&amp;"","Variable")),"")</f>
        <v/>
      </c>
      <c r="Y445" s="52">
        <f>IF(P445="","",IFERROR(INDEX(catGrupo,MATCH(D445&amp;"|"&amp;E445,catClave,0))&amp;"",""))</f>
        <v/>
      </c>
      <c r="Z445" s="52">
        <f>IF(P445="","",WEEKDAY(B445,2))</f>
        <v/>
      </c>
      <c r="AA445" s="52">
        <f>IF(P445="","",IF(AND(P445="Gasto",X445="Variable",D445&lt;&gt;catTrading,S445&gt;0,S445&lt;=Umbral),1,0))</f>
        <v/>
      </c>
      <c r="AB445" s="52">
        <f>IF(OR(P445="",Q445=""),"",IFERROR(IF(INDEX(ctaVinc,MATCH(Q445,ctaNombre,0))&amp;""&lt;&gt;"",INDEX(ctaVinc,MATCH(Q445,ctaNombre,0))&amp;"",Q445),Q445))</f>
        <v/>
      </c>
      <c r="AC445" s="52">
        <f>IF(OR(K445="",AND(P445&lt;&gt;"Transferencia",P445&lt;&gt;"Pago tarjeta")),"",IFERROR(IF(INDEX(ctaVinc,MATCH(K445,ctaNombre,0))&amp;""&lt;&gt;"",INDEX(ctaVinc,MATCH(K445,ctaNombre,0))&amp;"",K445),K445))</f>
        <v/>
      </c>
      <c r="AD445" s="52">
        <f>IF(AB445="","",IFERROR(INDEX(ctaTipo,MATCH(AB445,ctaNombre,0))&amp;"",""))</f>
        <v/>
      </c>
      <c r="AE445" s="52">
        <f>IF(AC445="","",IFERROR(INDEX(ctaTipo,MATCH(AC445,ctaNombre,0))&amp;"",""))</f>
        <v/>
      </c>
      <c r="AF445" s="53">
        <f>IF(OR(P445="",AB445=""),"",IF(OR(P445="Gasto",P445="Transferencia",P445="Pago tarjeta"),-1,1)*IF(IFERROR(INDEX(ctaMoneda,MATCH(AB445,ctaNombre,0))&amp;"","DOP")="USD",T445,S445))</f>
        <v/>
      </c>
      <c r="AG445" s="53">
        <f>IF(AC445="","",IF(IFERROR(INDEX(ctaMoneda,MATCH(AC445,ctaNombre,0))&amp;"","DOP")="USD",T445,S445))</f>
        <v/>
      </c>
      <c r="AH445" s="53">
        <f>IF(P445="","",IF(AND(AD445&lt;&gt;"",COUNTIFS(tcTipo,AD445,tcLiq,"Sí")&gt;0),IF(OR(P445="Gasto",P445="Transferencia",P445="Pago tarjeta"),-1,1)*S445,0)+IF(AND(AE445&lt;&gt;"",COUNTIFS(tcTipo,AE445,tcLiq,"Sí")&gt;0),S445,0))</f>
        <v/>
      </c>
      <c r="AI445" s="52">
        <f>IF(OR(L445="",P445=""),"",IF(COUNTIFS(L$6:L445,L445,P$6:P445,"?*")=1,MAX(AI$5:AI444)+1,""))</f>
        <v/>
      </c>
    </row>
    <row r="446">
      <c r="B446" s="47" t="n"/>
      <c r="C446" s="48" t="n"/>
      <c r="D446" s="48" t="n"/>
      <c r="E446" s="48" t="n"/>
      <c r="F446" s="48" t="n"/>
      <c r="G446" s="49" t="n"/>
      <c r="H446" s="48" t="n"/>
      <c r="I446" s="50" t="n"/>
      <c r="J446" s="48" t="n"/>
      <c r="K446" s="48" t="n"/>
      <c r="L446" s="48" t="n"/>
      <c r="M446" s="48" t="n"/>
      <c r="N446" s="48" t="n"/>
      <c r="O446" s="51">
        <f>IF(AND(B446="",G446="",C446="",D446="",J446=""),"",IF(B446="","⚠ Falta fecha",IF(G446="","⚠ Falta monto",IF(Q446="","⚠ Falta cuenta",IF(ISNA(MATCH(Q446,ctaNombre,0)),"⚠ Cuenta no registrada",IF(AND(OR(P446="Gasto",P446="Reembolso"),D446=""),"⚠ Falta categoría",IF(AND(D446&lt;&gt;"",E446&lt;&gt;"",ISNA(MATCH(D446&amp;"|"&amp;E446,catClave,0))),"⚠ Subcategoría no corresponde",IF(AND(OR(P446="Transferencia",P446="Pago tarjeta"),K446=""),"⚠ Falta cuenta destino",IF(AND(K446&lt;&gt;"",P446&lt;&gt;"Transferencia",P446&lt;&gt;"Pago tarjeta"),"⚠ Destino solo aplica a transferencias",IF(AND(K446&lt;&gt;"",K446=Q446),"⚠ Origen igual a destino",IF(AND(K446&lt;&gt;"",ISNA(MATCH(K446,ctaNombre,0))),"⚠ Destino no registrado",IF(AND(P446="Pago tarjeta",AE446&lt;&gt;"Tarjeta de crédito"),"⚠ El destino debe ser tarjeta de crédito",IF(AND(P446="Gasto",E446="Depósitos y retiros"),"⚠ Usa tipo Transferencia",IF(AND(P446="Resultado trading",AD446&lt;&gt;"Cuenta de trading"),"⚠ Usa una cuenta de trading",IF(AND(G446&lt;=0,P446&lt;&gt;"Ajuste",P446&lt;&gt;"Resultado trading"),"⚠ El monto debe ser positivo","✓")))))))))))))))</f>
        <v/>
      </c>
      <c r="P446" s="52">
        <f>IF(OR(B446="",G446=""),"",IF(C446="","Gasto",C446))</f>
        <v/>
      </c>
      <c r="Q446" s="52">
        <f>IF(P446="","",IF(J446&lt;&gt;"",J446,CuentaPred&amp;""))</f>
        <v/>
      </c>
      <c r="R446" s="52">
        <f>IF(P446="","",IF(ISNUMBER(I446),I446,TasaUSD))</f>
        <v/>
      </c>
      <c r="S446" s="53">
        <f>IF(P446="","",IF(H446="USD",G446*R446,G446))</f>
        <v/>
      </c>
      <c r="T446" s="53">
        <f>IF(P446="","",IF(H446="USD",G446,IF(R446&gt;0,G446/R446,0)))</f>
        <v/>
      </c>
      <c r="U446" s="53">
        <f>IF(P446="","",IF(P446="Gasto",S446,IF(P446="Reembolso",-S446,0)))</f>
        <v/>
      </c>
      <c r="V446" s="53">
        <f>IF(P446="","",IF(P446="Ingreso",S446,0))</f>
        <v/>
      </c>
      <c r="W446" s="53">
        <f>IF(P446="","",IF(P446="Resultado trading",S446,0))</f>
        <v/>
      </c>
      <c r="X446" s="52">
        <f>IF(OR(P446="Gasto",P446="Reembolso"),IF(M446&lt;&gt;"",M446,IFERROR(INDEX(catClasif,MATCH(D446&amp;"|"&amp;E446,catClave,0))&amp;"","Variable")),"")</f>
        <v/>
      </c>
      <c r="Y446" s="52">
        <f>IF(P446="","",IFERROR(INDEX(catGrupo,MATCH(D446&amp;"|"&amp;E446,catClave,0))&amp;"",""))</f>
        <v/>
      </c>
      <c r="Z446" s="52">
        <f>IF(P446="","",WEEKDAY(B446,2))</f>
        <v/>
      </c>
      <c r="AA446" s="52">
        <f>IF(P446="","",IF(AND(P446="Gasto",X446="Variable",D446&lt;&gt;catTrading,S446&gt;0,S446&lt;=Umbral),1,0))</f>
        <v/>
      </c>
      <c r="AB446" s="52">
        <f>IF(OR(P446="",Q446=""),"",IFERROR(IF(INDEX(ctaVinc,MATCH(Q446,ctaNombre,0))&amp;""&lt;&gt;"",INDEX(ctaVinc,MATCH(Q446,ctaNombre,0))&amp;"",Q446),Q446))</f>
        <v/>
      </c>
      <c r="AC446" s="52">
        <f>IF(OR(K446="",AND(P446&lt;&gt;"Transferencia",P446&lt;&gt;"Pago tarjeta")),"",IFERROR(IF(INDEX(ctaVinc,MATCH(K446,ctaNombre,0))&amp;""&lt;&gt;"",INDEX(ctaVinc,MATCH(K446,ctaNombre,0))&amp;"",K446),K446))</f>
        <v/>
      </c>
      <c r="AD446" s="52">
        <f>IF(AB446="","",IFERROR(INDEX(ctaTipo,MATCH(AB446,ctaNombre,0))&amp;"",""))</f>
        <v/>
      </c>
      <c r="AE446" s="52">
        <f>IF(AC446="","",IFERROR(INDEX(ctaTipo,MATCH(AC446,ctaNombre,0))&amp;"",""))</f>
        <v/>
      </c>
      <c r="AF446" s="53">
        <f>IF(OR(P446="",AB446=""),"",IF(OR(P446="Gasto",P446="Transferencia",P446="Pago tarjeta"),-1,1)*IF(IFERROR(INDEX(ctaMoneda,MATCH(AB446,ctaNombre,0))&amp;"","DOP")="USD",T446,S446))</f>
        <v/>
      </c>
      <c r="AG446" s="53">
        <f>IF(AC446="","",IF(IFERROR(INDEX(ctaMoneda,MATCH(AC446,ctaNombre,0))&amp;"","DOP")="USD",T446,S446))</f>
        <v/>
      </c>
      <c r="AH446" s="53">
        <f>IF(P446="","",IF(AND(AD446&lt;&gt;"",COUNTIFS(tcTipo,AD446,tcLiq,"Sí")&gt;0),IF(OR(P446="Gasto",P446="Transferencia",P446="Pago tarjeta"),-1,1)*S446,0)+IF(AND(AE446&lt;&gt;"",COUNTIFS(tcTipo,AE446,tcLiq,"Sí")&gt;0),S446,0))</f>
        <v/>
      </c>
      <c r="AI446" s="52">
        <f>IF(OR(L446="",P446=""),"",IF(COUNTIFS(L$6:L446,L446,P$6:P446,"?*")=1,MAX(AI$5:AI445)+1,""))</f>
        <v/>
      </c>
    </row>
    <row r="447">
      <c r="B447" s="47" t="n"/>
      <c r="C447" s="48" t="n"/>
      <c r="D447" s="48" t="n"/>
      <c r="E447" s="48" t="n"/>
      <c r="F447" s="48" t="n"/>
      <c r="G447" s="49" t="n"/>
      <c r="H447" s="48" t="n"/>
      <c r="I447" s="50" t="n"/>
      <c r="J447" s="48" t="n"/>
      <c r="K447" s="48" t="n"/>
      <c r="L447" s="48" t="n"/>
      <c r="M447" s="48" t="n"/>
      <c r="N447" s="48" t="n"/>
      <c r="O447" s="51">
        <f>IF(AND(B447="",G447="",C447="",D447="",J447=""),"",IF(B447="","⚠ Falta fecha",IF(G447="","⚠ Falta monto",IF(Q447="","⚠ Falta cuenta",IF(ISNA(MATCH(Q447,ctaNombre,0)),"⚠ Cuenta no registrada",IF(AND(OR(P447="Gasto",P447="Reembolso"),D447=""),"⚠ Falta categoría",IF(AND(D447&lt;&gt;"",E447&lt;&gt;"",ISNA(MATCH(D447&amp;"|"&amp;E447,catClave,0))),"⚠ Subcategoría no corresponde",IF(AND(OR(P447="Transferencia",P447="Pago tarjeta"),K447=""),"⚠ Falta cuenta destino",IF(AND(K447&lt;&gt;"",P447&lt;&gt;"Transferencia",P447&lt;&gt;"Pago tarjeta"),"⚠ Destino solo aplica a transferencias",IF(AND(K447&lt;&gt;"",K447=Q447),"⚠ Origen igual a destino",IF(AND(K447&lt;&gt;"",ISNA(MATCH(K447,ctaNombre,0))),"⚠ Destino no registrado",IF(AND(P447="Pago tarjeta",AE447&lt;&gt;"Tarjeta de crédito"),"⚠ El destino debe ser tarjeta de crédito",IF(AND(P447="Gasto",E447="Depósitos y retiros"),"⚠ Usa tipo Transferencia",IF(AND(P447="Resultado trading",AD447&lt;&gt;"Cuenta de trading"),"⚠ Usa una cuenta de trading",IF(AND(G447&lt;=0,P447&lt;&gt;"Ajuste",P447&lt;&gt;"Resultado trading"),"⚠ El monto debe ser positivo","✓")))))))))))))))</f>
        <v/>
      </c>
      <c r="P447" s="52">
        <f>IF(OR(B447="",G447=""),"",IF(C447="","Gasto",C447))</f>
        <v/>
      </c>
      <c r="Q447" s="52">
        <f>IF(P447="","",IF(J447&lt;&gt;"",J447,CuentaPred&amp;""))</f>
        <v/>
      </c>
      <c r="R447" s="52">
        <f>IF(P447="","",IF(ISNUMBER(I447),I447,TasaUSD))</f>
        <v/>
      </c>
      <c r="S447" s="53">
        <f>IF(P447="","",IF(H447="USD",G447*R447,G447))</f>
        <v/>
      </c>
      <c r="T447" s="53">
        <f>IF(P447="","",IF(H447="USD",G447,IF(R447&gt;0,G447/R447,0)))</f>
        <v/>
      </c>
      <c r="U447" s="53">
        <f>IF(P447="","",IF(P447="Gasto",S447,IF(P447="Reembolso",-S447,0)))</f>
        <v/>
      </c>
      <c r="V447" s="53">
        <f>IF(P447="","",IF(P447="Ingreso",S447,0))</f>
        <v/>
      </c>
      <c r="W447" s="53">
        <f>IF(P447="","",IF(P447="Resultado trading",S447,0))</f>
        <v/>
      </c>
      <c r="X447" s="52">
        <f>IF(OR(P447="Gasto",P447="Reembolso"),IF(M447&lt;&gt;"",M447,IFERROR(INDEX(catClasif,MATCH(D447&amp;"|"&amp;E447,catClave,0))&amp;"","Variable")),"")</f>
        <v/>
      </c>
      <c r="Y447" s="52">
        <f>IF(P447="","",IFERROR(INDEX(catGrupo,MATCH(D447&amp;"|"&amp;E447,catClave,0))&amp;"",""))</f>
        <v/>
      </c>
      <c r="Z447" s="52">
        <f>IF(P447="","",WEEKDAY(B447,2))</f>
        <v/>
      </c>
      <c r="AA447" s="52">
        <f>IF(P447="","",IF(AND(P447="Gasto",X447="Variable",D447&lt;&gt;catTrading,S447&gt;0,S447&lt;=Umbral),1,0))</f>
        <v/>
      </c>
      <c r="AB447" s="52">
        <f>IF(OR(P447="",Q447=""),"",IFERROR(IF(INDEX(ctaVinc,MATCH(Q447,ctaNombre,0))&amp;""&lt;&gt;"",INDEX(ctaVinc,MATCH(Q447,ctaNombre,0))&amp;"",Q447),Q447))</f>
        <v/>
      </c>
      <c r="AC447" s="52">
        <f>IF(OR(K447="",AND(P447&lt;&gt;"Transferencia",P447&lt;&gt;"Pago tarjeta")),"",IFERROR(IF(INDEX(ctaVinc,MATCH(K447,ctaNombre,0))&amp;""&lt;&gt;"",INDEX(ctaVinc,MATCH(K447,ctaNombre,0))&amp;"",K447),K447))</f>
        <v/>
      </c>
      <c r="AD447" s="52">
        <f>IF(AB447="","",IFERROR(INDEX(ctaTipo,MATCH(AB447,ctaNombre,0))&amp;"",""))</f>
        <v/>
      </c>
      <c r="AE447" s="52">
        <f>IF(AC447="","",IFERROR(INDEX(ctaTipo,MATCH(AC447,ctaNombre,0))&amp;"",""))</f>
        <v/>
      </c>
      <c r="AF447" s="53">
        <f>IF(OR(P447="",AB447=""),"",IF(OR(P447="Gasto",P447="Transferencia",P447="Pago tarjeta"),-1,1)*IF(IFERROR(INDEX(ctaMoneda,MATCH(AB447,ctaNombre,0))&amp;"","DOP")="USD",T447,S447))</f>
        <v/>
      </c>
      <c r="AG447" s="53">
        <f>IF(AC447="","",IF(IFERROR(INDEX(ctaMoneda,MATCH(AC447,ctaNombre,0))&amp;"","DOP")="USD",T447,S447))</f>
        <v/>
      </c>
      <c r="AH447" s="53">
        <f>IF(P447="","",IF(AND(AD447&lt;&gt;"",COUNTIFS(tcTipo,AD447,tcLiq,"Sí")&gt;0),IF(OR(P447="Gasto",P447="Transferencia",P447="Pago tarjeta"),-1,1)*S447,0)+IF(AND(AE447&lt;&gt;"",COUNTIFS(tcTipo,AE447,tcLiq,"Sí")&gt;0),S447,0))</f>
        <v/>
      </c>
      <c r="AI447" s="52">
        <f>IF(OR(L447="",P447=""),"",IF(COUNTIFS(L$6:L447,L447,P$6:P447,"?*")=1,MAX(AI$5:AI446)+1,""))</f>
        <v/>
      </c>
    </row>
    <row r="448">
      <c r="B448" s="47" t="n"/>
      <c r="C448" s="48" t="n"/>
      <c r="D448" s="48" t="n"/>
      <c r="E448" s="48" t="n"/>
      <c r="F448" s="48" t="n"/>
      <c r="G448" s="49" t="n"/>
      <c r="H448" s="48" t="n"/>
      <c r="I448" s="50" t="n"/>
      <c r="J448" s="48" t="n"/>
      <c r="K448" s="48" t="n"/>
      <c r="L448" s="48" t="n"/>
      <c r="M448" s="48" t="n"/>
      <c r="N448" s="48" t="n"/>
      <c r="O448" s="51">
        <f>IF(AND(B448="",G448="",C448="",D448="",J448=""),"",IF(B448="","⚠ Falta fecha",IF(G448="","⚠ Falta monto",IF(Q448="","⚠ Falta cuenta",IF(ISNA(MATCH(Q448,ctaNombre,0)),"⚠ Cuenta no registrada",IF(AND(OR(P448="Gasto",P448="Reembolso"),D448=""),"⚠ Falta categoría",IF(AND(D448&lt;&gt;"",E448&lt;&gt;"",ISNA(MATCH(D448&amp;"|"&amp;E448,catClave,0))),"⚠ Subcategoría no corresponde",IF(AND(OR(P448="Transferencia",P448="Pago tarjeta"),K448=""),"⚠ Falta cuenta destino",IF(AND(K448&lt;&gt;"",P448&lt;&gt;"Transferencia",P448&lt;&gt;"Pago tarjeta"),"⚠ Destino solo aplica a transferencias",IF(AND(K448&lt;&gt;"",K448=Q448),"⚠ Origen igual a destino",IF(AND(K448&lt;&gt;"",ISNA(MATCH(K448,ctaNombre,0))),"⚠ Destino no registrado",IF(AND(P448="Pago tarjeta",AE448&lt;&gt;"Tarjeta de crédito"),"⚠ El destino debe ser tarjeta de crédito",IF(AND(P448="Gasto",E448="Depósitos y retiros"),"⚠ Usa tipo Transferencia",IF(AND(P448="Resultado trading",AD448&lt;&gt;"Cuenta de trading"),"⚠ Usa una cuenta de trading",IF(AND(G448&lt;=0,P448&lt;&gt;"Ajuste",P448&lt;&gt;"Resultado trading"),"⚠ El monto debe ser positivo","✓")))))))))))))))</f>
        <v/>
      </c>
      <c r="P448" s="52">
        <f>IF(OR(B448="",G448=""),"",IF(C448="","Gasto",C448))</f>
        <v/>
      </c>
      <c r="Q448" s="52">
        <f>IF(P448="","",IF(J448&lt;&gt;"",J448,CuentaPred&amp;""))</f>
        <v/>
      </c>
      <c r="R448" s="52">
        <f>IF(P448="","",IF(ISNUMBER(I448),I448,TasaUSD))</f>
        <v/>
      </c>
      <c r="S448" s="53">
        <f>IF(P448="","",IF(H448="USD",G448*R448,G448))</f>
        <v/>
      </c>
      <c r="T448" s="53">
        <f>IF(P448="","",IF(H448="USD",G448,IF(R448&gt;0,G448/R448,0)))</f>
        <v/>
      </c>
      <c r="U448" s="53">
        <f>IF(P448="","",IF(P448="Gasto",S448,IF(P448="Reembolso",-S448,0)))</f>
        <v/>
      </c>
      <c r="V448" s="53">
        <f>IF(P448="","",IF(P448="Ingreso",S448,0))</f>
        <v/>
      </c>
      <c r="W448" s="53">
        <f>IF(P448="","",IF(P448="Resultado trading",S448,0))</f>
        <v/>
      </c>
      <c r="X448" s="52">
        <f>IF(OR(P448="Gasto",P448="Reembolso"),IF(M448&lt;&gt;"",M448,IFERROR(INDEX(catClasif,MATCH(D448&amp;"|"&amp;E448,catClave,0))&amp;"","Variable")),"")</f>
        <v/>
      </c>
      <c r="Y448" s="52">
        <f>IF(P448="","",IFERROR(INDEX(catGrupo,MATCH(D448&amp;"|"&amp;E448,catClave,0))&amp;"",""))</f>
        <v/>
      </c>
      <c r="Z448" s="52">
        <f>IF(P448="","",WEEKDAY(B448,2))</f>
        <v/>
      </c>
      <c r="AA448" s="52">
        <f>IF(P448="","",IF(AND(P448="Gasto",X448="Variable",D448&lt;&gt;catTrading,S448&gt;0,S448&lt;=Umbral),1,0))</f>
        <v/>
      </c>
      <c r="AB448" s="52">
        <f>IF(OR(P448="",Q448=""),"",IFERROR(IF(INDEX(ctaVinc,MATCH(Q448,ctaNombre,0))&amp;""&lt;&gt;"",INDEX(ctaVinc,MATCH(Q448,ctaNombre,0))&amp;"",Q448),Q448))</f>
        <v/>
      </c>
      <c r="AC448" s="52">
        <f>IF(OR(K448="",AND(P448&lt;&gt;"Transferencia",P448&lt;&gt;"Pago tarjeta")),"",IFERROR(IF(INDEX(ctaVinc,MATCH(K448,ctaNombre,0))&amp;""&lt;&gt;"",INDEX(ctaVinc,MATCH(K448,ctaNombre,0))&amp;"",K448),K448))</f>
        <v/>
      </c>
      <c r="AD448" s="52">
        <f>IF(AB448="","",IFERROR(INDEX(ctaTipo,MATCH(AB448,ctaNombre,0))&amp;"",""))</f>
        <v/>
      </c>
      <c r="AE448" s="52">
        <f>IF(AC448="","",IFERROR(INDEX(ctaTipo,MATCH(AC448,ctaNombre,0))&amp;"",""))</f>
        <v/>
      </c>
      <c r="AF448" s="53">
        <f>IF(OR(P448="",AB448=""),"",IF(OR(P448="Gasto",P448="Transferencia",P448="Pago tarjeta"),-1,1)*IF(IFERROR(INDEX(ctaMoneda,MATCH(AB448,ctaNombre,0))&amp;"","DOP")="USD",T448,S448))</f>
        <v/>
      </c>
      <c r="AG448" s="53">
        <f>IF(AC448="","",IF(IFERROR(INDEX(ctaMoneda,MATCH(AC448,ctaNombre,0))&amp;"","DOP")="USD",T448,S448))</f>
        <v/>
      </c>
      <c r="AH448" s="53">
        <f>IF(P448="","",IF(AND(AD448&lt;&gt;"",COUNTIFS(tcTipo,AD448,tcLiq,"Sí")&gt;0),IF(OR(P448="Gasto",P448="Transferencia",P448="Pago tarjeta"),-1,1)*S448,0)+IF(AND(AE448&lt;&gt;"",COUNTIFS(tcTipo,AE448,tcLiq,"Sí")&gt;0),S448,0))</f>
        <v/>
      </c>
      <c r="AI448" s="52">
        <f>IF(OR(L448="",P448=""),"",IF(COUNTIFS(L$6:L448,L448,P$6:P448,"?*")=1,MAX(AI$5:AI447)+1,""))</f>
        <v/>
      </c>
    </row>
    <row r="449">
      <c r="B449" s="47" t="n"/>
      <c r="C449" s="48" t="n"/>
      <c r="D449" s="48" t="n"/>
      <c r="E449" s="48" t="n"/>
      <c r="F449" s="48" t="n"/>
      <c r="G449" s="49" t="n"/>
      <c r="H449" s="48" t="n"/>
      <c r="I449" s="50" t="n"/>
      <c r="J449" s="48" t="n"/>
      <c r="K449" s="48" t="n"/>
      <c r="L449" s="48" t="n"/>
      <c r="M449" s="48" t="n"/>
      <c r="N449" s="48" t="n"/>
      <c r="O449" s="51">
        <f>IF(AND(B449="",G449="",C449="",D449="",J449=""),"",IF(B449="","⚠ Falta fecha",IF(G449="","⚠ Falta monto",IF(Q449="","⚠ Falta cuenta",IF(ISNA(MATCH(Q449,ctaNombre,0)),"⚠ Cuenta no registrada",IF(AND(OR(P449="Gasto",P449="Reembolso"),D449=""),"⚠ Falta categoría",IF(AND(D449&lt;&gt;"",E449&lt;&gt;"",ISNA(MATCH(D449&amp;"|"&amp;E449,catClave,0))),"⚠ Subcategoría no corresponde",IF(AND(OR(P449="Transferencia",P449="Pago tarjeta"),K449=""),"⚠ Falta cuenta destino",IF(AND(K449&lt;&gt;"",P449&lt;&gt;"Transferencia",P449&lt;&gt;"Pago tarjeta"),"⚠ Destino solo aplica a transferencias",IF(AND(K449&lt;&gt;"",K449=Q449),"⚠ Origen igual a destino",IF(AND(K449&lt;&gt;"",ISNA(MATCH(K449,ctaNombre,0))),"⚠ Destino no registrado",IF(AND(P449="Pago tarjeta",AE449&lt;&gt;"Tarjeta de crédito"),"⚠ El destino debe ser tarjeta de crédito",IF(AND(P449="Gasto",E449="Depósitos y retiros"),"⚠ Usa tipo Transferencia",IF(AND(P449="Resultado trading",AD449&lt;&gt;"Cuenta de trading"),"⚠ Usa una cuenta de trading",IF(AND(G449&lt;=0,P449&lt;&gt;"Ajuste",P449&lt;&gt;"Resultado trading"),"⚠ El monto debe ser positivo","✓")))))))))))))))</f>
        <v/>
      </c>
      <c r="P449" s="52">
        <f>IF(OR(B449="",G449=""),"",IF(C449="","Gasto",C449))</f>
        <v/>
      </c>
      <c r="Q449" s="52">
        <f>IF(P449="","",IF(J449&lt;&gt;"",J449,CuentaPred&amp;""))</f>
        <v/>
      </c>
      <c r="R449" s="52">
        <f>IF(P449="","",IF(ISNUMBER(I449),I449,TasaUSD))</f>
        <v/>
      </c>
      <c r="S449" s="53">
        <f>IF(P449="","",IF(H449="USD",G449*R449,G449))</f>
        <v/>
      </c>
      <c r="T449" s="53">
        <f>IF(P449="","",IF(H449="USD",G449,IF(R449&gt;0,G449/R449,0)))</f>
        <v/>
      </c>
      <c r="U449" s="53">
        <f>IF(P449="","",IF(P449="Gasto",S449,IF(P449="Reembolso",-S449,0)))</f>
        <v/>
      </c>
      <c r="V449" s="53">
        <f>IF(P449="","",IF(P449="Ingreso",S449,0))</f>
        <v/>
      </c>
      <c r="W449" s="53">
        <f>IF(P449="","",IF(P449="Resultado trading",S449,0))</f>
        <v/>
      </c>
      <c r="X449" s="52">
        <f>IF(OR(P449="Gasto",P449="Reembolso"),IF(M449&lt;&gt;"",M449,IFERROR(INDEX(catClasif,MATCH(D449&amp;"|"&amp;E449,catClave,0))&amp;"","Variable")),"")</f>
        <v/>
      </c>
      <c r="Y449" s="52">
        <f>IF(P449="","",IFERROR(INDEX(catGrupo,MATCH(D449&amp;"|"&amp;E449,catClave,0))&amp;"",""))</f>
        <v/>
      </c>
      <c r="Z449" s="52">
        <f>IF(P449="","",WEEKDAY(B449,2))</f>
        <v/>
      </c>
      <c r="AA449" s="52">
        <f>IF(P449="","",IF(AND(P449="Gasto",X449="Variable",D449&lt;&gt;catTrading,S449&gt;0,S449&lt;=Umbral),1,0))</f>
        <v/>
      </c>
      <c r="AB449" s="52">
        <f>IF(OR(P449="",Q449=""),"",IFERROR(IF(INDEX(ctaVinc,MATCH(Q449,ctaNombre,0))&amp;""&lt;&gt;"",INDEX(ctaVinc,MATCH(Q449,ctaNombre,0))&amp;"",Q449),Q449))</f>
        <v/>
      </c>
      <c r="AC449" s="52">
        <f>IF(OR(K449="",AND(P449&lt;&gt;"Transferencia",P449&lt;&gt;"Pago tarjeta")),"",IFERROR(IF(INDEX(ctaVinc,MATCH(K449,ctaNombre,0))&amp;""&lt;&gt;"",INDEX(ctaVinc,MATCH(K449,ctaNombre,0))&amp;"",K449),K449))</f>
        <v/>
      </c>
      <c r="AD449" s="52">
        <f>IF(AB449="","",IFERROR(INDEX(ctaTipo,MATCH(AB449,ctaNombre,0))&amp;"",""))</f>
        <v/>
      </c>
      <c r="AE449" s="52">
        <f>IF(AC449="","",IFERROR(INDEX(ctaTipo,MATCH(AC449,ctaNombre,0))&amp;"",""))</f>
        <v/>
      </c>
      <c r="AF449" s="53">
        <f>IF(OR(P449="",AB449=""),"",IF(OR(P449="Gasto",P449="Transferencia",P449="Pago tarjeta"),-1,1)*IF(IFERROR(INDEX(ctaMoneda,MATCH(AB449,ctaNombre,0))&amp;"","DOP")="USD",T449,S449))</f>
        <v/>
      </c>
      <c r="AG449" s="53">
        <f>IF(AC449="","",IF(IFERROR(INDEX(ctaMoneda,MATCH(AC449,ctaNombre,0))&amp;"","DOP")="USD",T449,S449))</f>
        <v/>
      </c>
      <c r="AH449" s="53">
        <f>IF(P449="","",IF(AND(AD449&lt;&gt;"",COUNTIFS(tcTipo,AD449,tcLiq,"Sí")&gt;0),IF(OR(P449="Gasto",P449="Transferencia",P449="Pago tarjeta"),-1,1)*S449,0)+IF(AND(AE449&lt;&gt;"",COUNTIFS(tcTipo,AE449,tcLiq,"Sí")&gt;0),S449,0))</f>
        <v/>
      </c>
      <c r="AI449" s="52">
        <f>IF(OR(L449="",P449=""),"",IF(COUNTIFS(L$6:L449,L449,P$6:P449,"?*")=1,MAX(AI$5:AI448)+1,""))</f>
        <v/>
      </c>
    </row>
    <row r="450">
      <c r="B450" s="47" t="n"/>
      <c r="C450" s="48" t="n"/>
      <c r="D450" s="48" t="n"/>
      <c r="E450" s="48" t="n"/>
      <c r="F450" s="48" t="n"/>
      <c r="G450" s="49" t="n"/>
      <c r="H450" s="48" t="n"/>
      <c r="I450" s="50" t="n"/>
      <c r="J450" s="48" t="n"/>
      <c r="K450" s="48" t="n"/>
      <c r="L450" s="48" t="n"/>
      <c r="M450" s="48" t="n"/>
      <c r="N450" s="48" t="n"/>
      <c r="O450" s="51">
        <f>IF(AND(B450="",G450="",C450="",D450="",J450=""),"",IF(B450="","⚠ Falta fecha",IF(G450="","⚠ Falta monto",IF(Q450="","⚠ Falta cuenta",IF(ISNA(MATCH(Q450,ctaNombre,0)),"⚠ Cuenta no registrada",IF(AND(OR(P450="Gasto",P450="Reembolso"),D450=""),"⚠ Falta categoría",IF(AND(D450&lt;&gt;"",E450&lt;&gt;"",ISNA(MATCH(D450&amp;"|"&amp;E450,catClave,0))),"⚠ Subcategoría no corresponde",IF(AND(OR(P450="Transferencia",P450="Pago tarjeta"),K450=""),"⚠ Falta cuenta destino",IF(AND(K450&lt;&gt;"",P450&lt;&gt;"Transferencia",P450&lt;&gt;"Pago tarjeta"),"⚠ Destino solo aplica a transferencias",IF(AND(K450&lt;&gt;"",K450=Q450),"⚠ Origen igual a destino",IF(AND(K450&lt;&gt;"",ISNA(MATCH(K450,ctaNombre,0))),"⚠ Destino no registrado",IF(AND(P450="Pago tarjeta",AE450&lt;&gt;"Tarjeta de crédito"),"⚠ El destino debe ser tarjeta de crédito",IF(AND(P450="Gasto",E450="Depósitos y retiros"),"⚠ Usa tipo Transferencia",IF(AND(P450="Resultado trading",AD450&lt;&gt;"Cuenta de trading"),"⚠ Usa una cuenta de trading",IF(AND(G450&lt;=0,P450&lt;&gt;"Ajuste",P450&lt;&gt;"Resultado trading"),"⚠ El monto debe ser positivo","✓")))))))))))))))</f>
        <v/>
      </c>
      <c r="P450" s="52">
        <f>IF(OR(B450="",G450=""),"",IF(C450="","Gasto",C450))</f>
        <v/>
      </c>
      <c r="Q450" s="52">
        <f>IF(P450="","",IF(J450&lt;&gt;"",J450,CuentaPred&amp;""))</f>
        <v/>
      </c>
      <c r="R450" s="52">
        <f>IF(P450="","",IF(ISNUMBER(I450),I450,TasaUSD))</f>
        <v/>
      </c>
      <c r="S450" s="53">
        <f>IF(P450="","",IF(H450="USD",G450*R450,G450))</f>
        <v/>
      </c>
      <c r="T450" s="53">
        <f>IF(P450="","",IF(H450="USD",G450,IF(R450&gt;0,G450/R450,0)))</f>
        <v/>
      </c>
      <c r="U450" s="53">
        <f>IF(P450="","",IF(P450="Gasto",S450,IF(P450="Reembolso",-S450,0)))</f>
        <v/>
      </c>
      <c r="V450" s="53">
        <f>IF(P450="","",IF(P450="Ingreso",S450,0))</f>
        <v/>
      </c>
      <c r="W450" s="53">
        <f>IF(P450="","",IF(P450="Resultado trading",S450,0))</f>
        <v/>
      </c>
      <c r="X450" s="52">
        <f>IF(OR(P450="Gasto",P450="Reembolso"),IF(M450&lt;&gt;"",M450,IFERROR(INDEX(catClasif,MATCH(D450&amp;"|"&amp;E450,catClave,0))&amp;"","Variable")),"")</f>
        <v/>
      </c>
      <c r="Y450" s="52">
        <f>IF(P450="","",IFERROR(INDEX(catGrupo,MATCH(D450&amp;"|"&amp;E450,catClave,0))&amp;"",""))</f>
        <v/>
      </c>
      <c r="Z450" s="52">
        <f>IF(P450="","",WEEKDAY(B450,2))</f>
        <v/>
      </c>
      <c r="AA450" s="52">
        <f>IF(P450="","",IF(AND(P450="Gasto",X450="Variable",D450&lt;&gt;catTrading,S450&gt;0,S450&lt;=Umbral),1,0))</f>
        <v/>
      </c>
      <c r="AB450" s="52">
        <f>IF(OR(P450="",Q450=""),"",IFERROR(IF(INDEX(ctaVinc,MATCH(Q450,ctaNombre,0))&amp;""&lt;&gt;"",INDEX(ctaVinc,MATCH(Q450,ctaNombre,0))&amp;"",Q450),Q450))</f>
        <v/>
      </c>
      <c r="AC450" s="52">
        <f>IF(OR(K450="",AND(P450&lt;&gt;"Transferencia",P450&lt;&gt;"Pago tarjeta")),"",IFERROR(IF(INDEX(ctaVinc,MATCH(K450,ctaNombre,0))&amp;""&lt;&gt;"",INDEX(ctaVinc,MATCH(K450,ctaNombre,0))&amp;"",K450),K450))</f>
        <v/>
      </c>
      <c r="AD450" s="52">
        <f>IF(AB450="","",IFERROR(INDEX(ctaTipo,MATCH(AB450,ctaNombre,0))&amp;"",""))</f>
        <v/>
      </c>
      <c r="AE450" s="52">
        <f>IF(AC450="","",IFERROR(INDEX(ctaTipo,MATCH(AC450,ctaNombre,0))&amp;"",""))</f>
        <v/>
      </c>
      <c r="AF450" s="53">
        <f>IF(OR(P450="",AB450=""),"",IF(OR(P450="Gasto",P450="Transferencia",P450="Pago tarjeta"),-1,1)*IF(IFERROR(INDEX(ctaMoneda,MATCH(AB450,ctaNombre,0))&amp;"","DOP")="USD",T450,S450))</f>
        <v/>
      </c>
      <c r="AG450" s="53">
        <f>IF(AC450="","",IF(IFERROR(INDEX(ctaMoneda,MATCH(AC450,ctaNombre,0))&amp;"","DOP")="USD",T450,S450))</f>
        <v/>
      </c>
      <c r="AH450" s="53">
        <f>IF(P450="","",IF(AND(AD450&lt;&gt;"",COUNTIFS(tcTipo,AD450,tcLiq,"Sí")&gt;0),IF(OR(P450="Gasto",P450="Transferencia",P450="Pago tarjeta"),-1,1)*S450,0)+IF(AND(AE450&lt;&gt;"",COUNTIFS(tcTipo,AE450,tcLiq,"Sí")&gt;0),S450,0))</f>
        <v/>
      </c>
      <c r="AI450" s="52">
        <f>IF(OR(L450="",P450=""),"",IF(COUNTIFS(L$6:L450,L450,P$6:P450,"?*")=1,MAX(AI$5:AI449)+1,""))</f>
        <v/>
      </c>
    </row>
    <row r="451">
      <c r="B451" s="47" t="n"/>
      <c r="C451" s="48" t="n"/>
      <c r="D451" s="48" t="n"/>
      <c r="E451" s="48" t="n"/>
      <c r="F451" s="48" t="n"/>
      <c r="G451" s="49" t="n"/>
      <c r="H451" s="48" t="n"/>
      <c r="I451" s="50" t="n"/>
      <c r="J451" s="48" t="n"/>
      <c r="K451" s="48" t="n"/>
      <c r="L451" s="48" t="n"/>
      <c r="M451" s="48" t="n"/>
      <c r="N451" s="48" t="n"/>
      <c r="O451" s="51">
        <f>IF(AND(B451="",G451="",C451="",D451="",J451=""),"",IF(B451="","⚠ Falta fecha",IF(G451="","⚠ Falta monto",IF(Q451="","⚠ Falta cuenta",IF(ISNA(MATCH(Q451,ctaNombre,0)),"⚠ Cuenta no registrada",IF(AND(OR(P451="Gasto",P451="Reembolso"),D451=""),"⚠ Falta categoría",IF(AND(D451&lt;&gt;"",E451&lt;&gt;"",ISNA(MATCH(D451&amp;"|"&amp;E451,catClave,0))),"⚠ Subcategoría no corresponde",IF(AND(OR(P451="Transferencia",P451="Pago tarjeta"),K451=""),"⚠ Falta cuenta destino",IF(AND(K451&lt;&gt;"",P451&lt;&gt;"Transferencia",P451&lt;&gt;"Pago tarjeta"),"⚠ Destino solo aplica a transferencias",IF(AND(K451&lt;&gt;"",K451=Q451),"⚠ Origen igual a destino",IF(AND(K451&lt;&gt;"",ISNA(MATCH(K451,ctaNombre,0))),"⚠ Destino no registrado",IF(AND(P451="Pago tarjeta",AE451&lt;&gt;"Tarjeta de crédito"),"⚠ El destino debe ser tarjeta de crédito",IF(AND(P451="Gasto",E451="Depósitos y retiros"),"⚠ Usa tipo Transferencia",IF(AND(P451="Resultado trading",AD451&lt;&gt;"Cuenta de trading"),"⚠ Usa una cuenta de trading",IF(AND(G451&lt;=0,P451&lt;&gt;"Ajuste",P451&lt;&gt;"Resultado trading"),"⚠ El monto debe ser positivo","✓")))))))))))))))</f>
        <v/>
      </c>
      <c r="P451" s="52">
        <f>IF(OR(B451="",G451=""),"",IF(C451="","Gasto",C451))</f>
        <v/>
      </c>
      <c r="Q451" s="52">
        <f>IF(P451="","",IF(J451&lt;&gt;"",J451,CuentaPred&amp;""))</f>
        <v/>
      </c>
      <c r="R451" s="52">
        <f>IF(P451="","",IF(ISNUMBER(I451),I451,TasaUSD))</f>
        <v/>
      </c>
      <c r="S451" s="53">
        <f>IF(P451="","",IF(H451="USD",G451*R451,G451))</f>
        <v/>
      </c>
      <c r="T451" s="53">
        <f>IF(P451="","",IF(H451="USD",G451,IF(R451&gt;0,G451/R451,0)))</f>
        <v/>
      </c>
      <c r="U451" s="53">
        <f>IF(P451="","",IF(P451="Gasto",S451,IF(P451="Reembolso",-S451,0)))</f>
        <v/>
      </c>
      <c r="V451" s="53">
        <f>IF(P451="","",IF(P451="Ingreso",S451,0))</f>
        <v/>
      </c>
      <c r="W451" s="53">
        <f>IF(P451="","",IF(P451="Resultado trading",S451,0))</f>
        <v/>
      </c>
      <c r="X451" s="52">
        <f>IF(OR(P451="Gasto",P451="Reembolso"),IF(M451&lt;&gt;"",M451,IFERROR(INDEX(catClasif,MATCH(D451&amp;"|"&amp;E451,catClave,0))&amp;"","Variable")),"")</f>
        <v/>
      </c>
      <c r="Y451" s="52">
        <f>IF(P451="","",IFERROR(INDEX(catGrupo,MATCH(D451&amp;"|"&amp;E451,catClave,0))&amp;"",""))</f>
        <v/>
      </c>
      <c r="Z451" s="52">
        <f>IF(P451="","",WEEKDAY(B451,2))</f>
        <v/>
      </c>
      <c r="AA451" s="52">
        <f>IF(P451="","",IF(AND(P451="Gasto",X451="Variable",D451&lt;&gt;catTrading,S451&gt;0,S451&lt;=Umbral),1,0))</f>
        <v/>
      </c>
      <c r="AB451" s="52">
        <f>IF(OR(P451="",Q451=""),"",IFERROR(IF(INDEX(ctaVinc,MATCH(Q451,ctaNombre,0))&amp;""&lt;&gt;"",INDEX(ctaVinc,MATCH(Q451,ctaNombre,0))&amp;"",Q451),Q451))</f>
        <v/>
      </c>
      <c r="AC451" s="52">
        <f>IF(OR(K451="",AND(P451&lt;&gt;"Transferencia",P451&lt;&gt;"Pago tarjeta")),"",IFERROR(IF(INDEX(ctaVinc,MATCH(K451,ctaNombre,0))&amp;""&lt;&gt;"",INDEX(ctaVinc,MATCH(K451,ctaNombre,0))&amp;"",K451),K451))</f>
        <v/>
      </c>
      <c r="AD451" s="52">
        <f>IF(AB451="","",IFERROR(INDEX(ctaTipo,MATCH(AB451,ctaNombre,0))&amp;"",""))</f>
        <v/>
      </c>
      <c r="AE451" s="52">
        <f>IF(AC451="","",IFERROR(INDEX(ctaTipo,MATCH(AC451,ctaNombre,0))&amp;"",""))</f>
        <v/>
      </c>
      <c r="AF451" s="53">
        <f>IF(OR(P451="",AB451=""),"",IF(OR(P451="Gasto",P451="Transferencia",P451="Pago tarjeta"),-1,1)*IF(IFERROR(INDEX(ctaMoneda,MATCH(AB451,ctaNombre,0))&amp;"","DOP")="USD",T451,S451))</f>
        <v/>
      </c>
      <c r="AG451" s="53">
        <f>IF(AC451="","",IF(IFERROR(INDEX(ctaMoneda,MATCH(AC451,ctaNombre,0))&amp;"","DOP")="USD",T451,S451))</f>
        <v/>
      </c>
      <c r="AH451" s="53">
        <f>IF(P451="","",IF(AND(AD451&lt;&gt;"",COUNTIFS(tcTipo,AD451,tcLiq,"Sí")&gt;0),IF(OR(P451="Gasto",P451="Transferencia",P451="Pago tarjeta"),-1,1)*S451,0)+IF(AND(AE451&lt;&gt;"",COUNTIFS(tcTipo,AE451,tcLiq,"Sí")&gt;0),S451,0))</f>
        <v/>
      </c>
      <c r="AI451" s="52">
        <f>IF(OR(L451="",P451=""),"",IF(COUNTIFS(L$6:L451,L451,P$6:P451,"?*")=1,MAX(AI$5:AI450)+1,""))</f>
        <v/>
      </c>
    </row>
    <row r="452">
      <c r="B452" s="47" t="n"/>
      <c r="C452" s="48" t="n"/>
      <c r="D452" s="48" t="n"/>
      <c r="E452" s="48" t="n"/>
      <c r="F452" s="48" t="n"/>
      <c r="G452" s="49" t="n"/>
      <c r="H452" s="48" t="n"/>
      <c r="I452" s="50" t="n"/>
      <c r="J452" s="48" t="n"/>
      <c r="K452" s="48" t="n"/>
      <c r="L452" s="48" t="n"/>
      <c r="M452" s="48" t="n"/>
      <c r="N452" s="48" t="n"/>
      <c r="O452" s="51">
        <f>IF(AND(B452="",G452="",C452="",D452="",J452=""),"",IF(B452="","⚠ Falta fecha",IF(G452="","⚠ Falta monto",IF(Q452="","⚠ Falta cuenta",IF(ISNA(MATCH(Q452,ctaNombre,0)),"⚠ Cuenta no registrada",IF(AND(OR(P452="Gasto",P452="Reembolso"),D452=""),"⚠ Falta categoría",IF(AND(D452&lt;&gt;"",E452&lt;&gt;"",ISNA(MATCH(D452&amp;"|"&amp;E452,catClave,0))),"⚠ Subcategoría no corresponde",IF(AND(OR(P452="Transferencia",P452="Pago tarjeta"),K452=""),"⚠ Falta cuenta destino",IF(AND(K452&lt;&gt;"",P452&lt;&gt;"Transferencia",P452&lt;&gt;"Pago tarjeta"),"⚠ Destino solo aplica a transferencias",IF(AND(K452&lt;&gt;"",K452=Q452),"⚠ Origen igual a destino",IF(AND(K452&lt;&gt;"",ISNA(MATCH(K452,ctaNombre,0))),"⚠ Destino no registrado",IF(AND(P452="Pago tarjeta",AE452&lt;&gt;"Tarjeta de crédito"),"⚠ El destino debe ser tarjeta de crédito",IF(AND(P452="Gasto",E452="Depósitos y retiros"),"⚠ Usa tipo Transferencia",IF(AND(P452="Resultado trading",AD452&lt;&gt;"Cuenta de trading"),"⚠ Usa una cuenta de trading",IF(AND(G452&lt;=0,P452&lt;&gt;"Ajuste",P452&lt;&gt;"Resultado trading"),"⚠ El monto debe ser positivo","✓")))))))))))))))</f>
        <v/>
      </c>
      <c r="P452" s="52">
        <f>IF(OR(B452="",G452=""),"",IF(C452="","Gasto",C452))</f>
        <v/>
      </c>
      <c r="Q452" s="52">
        <f>IF(P452="","",IF(J452&lt;&gt;"",J452,CuentaPred&amp;""))</f>
        <v/>
      </c>
      <c r="R452" s="52">
        <f>IF(P452="","",IF(ISNUMBER(I452),I452,TasaUSD))</f>
        <v/>
      </c>
      <c r="S452" s="53">
        <f>IF(P452="","",IF(H452="USD",G452*R452,G452))</f>
        <v/>
      </c>
      <c r="T452" s="53">
        <f>IF(P452="","",IF(H452="USD",G452,IF(R452&gt;0,G452/R452,0)))</f>
        <v/>
      </c>
      <c r="U452" s="53">
        <f>IF(P452="","",IF(P452="Gasto",S452,IF(P452="Reembolso",-S452,0)))</f>
        <v/>
      </c>
      <c r="V452" s="53">
        <f>IF(P452="","",IF(P452="Ingreso",S452,0))</f>
        <v/>
      </c>
      <c r="W452" s="53">
        <f>IF(P452="","",IF(P452="Resultado trading",S452,0))</f>
        <v/>
      </c>
      <c r="X452" s="52">
        <f>IF(OR(P452="Gasto",P452="Reembolso"),IF(M452&lt;&gt;"",M452,IFERROR(INDEX(catClasif,MATCH(D452&amp;"|"&amp;E452,catClave,0))&amp;"","Variable")),"")</f>
        <v/>
      </c>
      <c r="Y452" s="52">
        <f>IF(P452="","",IFERROR(INDEX(catGrupo,MATCH(D452&amp;"|"&amp;E452,catClave,0))&amp;"",""))</f>
        <v/>
      </c>
      <c r="Z452" s="52">
        <f>IF(P452="","",WEEKDAY(B452,2))</f>
        <v/>
      </c>
      <c r="AA452" s="52">
        <f>IF(P452="","",IF(AND(P452="Gasto",X452="Variable",D452&lt;&gt;catTrading,S452&gt;0,S452&lt;=Umbral),1,0))</f>
        <v/>
      </c>
      <c r="AB452" s="52">
        <f>IF(OR(P452="",Q452=""),"",IFERROR(IF(INDEX(ctaVinc,MATCH(Q452,ctaNombre,0))&amp;""&lt;&gt;"",INDEX(ctaVinc,MATCH(Q452,ctaNombre,0))&amp;"",Q452),Q452))</f>
        <v/>
      </c>
      <c r="AC452" s="52">
        <f>IF(OR(K452="",AND(P452&lt;&gt;"Transferencia",P452&lt;&gt;"Pago tarjeta")),"",IFERROR(IF(INDEX(ctaVinc,MATCH(K452,ctaNombre,0))&amp;""&lt;&gt;"",INDEX(ctaVinc,MATCH(K452,ctaNombre,0))&amp;"",K452),K452))</f>
        <v/>
      </c>
      <c r="AD452" s="52">
        <f>IF(AB452="","",IFERROR(INDEX(ctaTipo,MATCH(AB452,ctaNombre,0))&amp;"",""))</f>
        <v/>
      </c>
      <c r="AE452" s="52">
        <f>IF(AC452="","",IFERROR(INDEX(ctaTipo,MATCH(AC452,ctaNombre,0))&amp;"",""))</f>
        <v/>
      </c>
      <c r="AF452" s="53">
        <f>IF(OR(P452="",AB452=""),"",IF(OR(P452="Gasto",P452="Transferencia",P452="Pago tarjeta"),-1,1)*IF(IFERROR(INDEX(ctaMoneda,MATCH(AB452,ctaNombre,0))&amp;"","DOP")="USD",T452,S452))</f>
        <v/>
      </c>
      <c r="AG452" s="53">
        <f>IF(AC452="","",IF(IFERROR(INDEX(ctaMoneda,MATCH(AC452,ctaNombre,0))&amp;"","DOP")="USD",T452,S452))</f>
        <v/>
      </c>
      <c r="AH452" s="53">
        <f>IF(P452="","",IF(AND(AD452&lt;&gt;"",COUNTIFS(tcTipo,AD452,tcLiq,"Sí")&gt;0),IF(OR(P452="Gasto",P452="Transferencia",P452="Pago tarjeta"),-1,1)*S452,0)+IF(AND(AE452&lt;&gt;"",COUNTIFS(tcTipo,AE452,tcLiq,"Sí")&gt;0),S452,0))</f>
        <v/>
      </c>
      <c r="AI452" s="52">
        <f>IF(OR(L452="",P452=""),"",IF(COUNTIFS(L$6:L452,L452,P$6:P452,"?*")=1,MAX(AI$5:AI451)+1,""))</f>
        <v/>
      </c>
    </row>
    <row r="453">
      <c r="B453" s="47" t="n"/>
      <c r="C453" s="48" t="n"/>
      <c r="D453" s="48" t="n"/>
      <c r="E453" s="48" t="n"/>
      <c r="F453" s="48" t="n"/>
      <c r="G453" s="49" t="n"/>
      <c r="H453" s="48" t="n"/>
      <c r="I453" s="50" t="n"/>
      <c r="J453" s="48" t="n"/>
      <c r="K453" s="48" t="n"/>
      <c r="L453" s="48" t="n"/>
      <c r="M453" s="48" t="n"/>
      <c r="N453" s="48" t="n"/>
      <c r="O453" s="51">
        <f>IF(AND(B453="",G453="",C453="",D453="",J453=""),"",IF(B453="","⚠ Falta fecha",IF(G453="","⚠ Falta monto",IF(Q453="","⚠ Falta cuenta",IF(ISNA(MATCH(Q453,ctaNombre,0)),"⚠ Cuenta no registrada",IF(AND(OR(P453="Gasto",P453="Reembolso"),D453=""),"⚠ Falta categoría",IF(AND(D453&lt;&gt;"",E453&lt;&gt;"",ISNA(MATCH(D453&amp;"|"&amp;E453,catClave,0))),"⚠ Subcategoría no corresponde",IF(AND(OR(P453="Transferencia",P453="Pago tarjeta"),K453=""),"⚠ Falta cuenta destino",IF(AND(K453&lt;&gt;"",P453&lt;&gt;"Transferencia",P453&lt;&gt;"Pago tarjeta"),"⚠ Destino solo aplica a transferencias",IF(AND(K453&lt;&gt;"",K453=Q453),"⚠ Origen igual a destino",IF(AND(K453&lt;&gt;"",ISNA(MATCH(K453,ctaNombre,0))),"⚠ Destino no registrado",IF(AND(P453="Pago tarjeta",AE453&lt;&gt;"Tarjeta de crédito"),"⚠ El destino debe ser tarjeta de crédito",IF(AND(P453="Gasto",E453="Depósitos y retiros"),"⚠ Usa tipo Transferencia",IF(AND(P453="Resultado trading",AD453&lt;&gt;"Cuenta de trading"),"⚠ Usa una cuenta de trading",IF(AND(G453&lt;=0,P453&lt;&gt;"Ajuste",P453&lt;&gt;"Resultado trading"),"⚠ El monto debe ser positivo","✓")))))))))))))))</f>
        <v/>
      </c>
      <c r="P453" s="52">
        <f>IF(OR(B453="",G453=""),"",IF(C453="","Gasto",C453))</f>
        <v/>
      </c>
      <c r="Q453" s="52">
        <f>IF(P453="","",IF(J453&lt;&gt;"",J453,CuentaPred&amp;""))</f>
        <v/>
      </c>
      <c r="R453" s="52">
        <f>IF(P453="","",IF(ISNUMBER(I453),I453,TasaUSD))</f>
        <v/>
      </c>
      <c r="S453" s="53">
        <f>IF(P453="","",IF(H453="USD",G453*R453,G453))</f>
        <v/>
      </c>
      <c r="T453" s="53">
        <f>IF(P453="","",IF(H453="USD",G453,IF(R453&gt;0,G453/R453,0)))</f>
        <v/>
      </c>
      <c r="U453" s="53">
        <f>IF(P453="","",IF(P453="Gasto",S453,IF(P453="Reembolso",-S453,0)))</f>
        <v/>
      </c>
      <c r="V453" s="53">
        <f>IF(P453="","",IF(P453="Ingreso",S453,0))</f>
        <v/>
      </c>
      <c r="W453" s="53">
        <f>IF(P453="","",IF(P453="Resultado trading",S453,0))</f>
        <v/>
      </c>
      <c r="X453" s="52">
        <f>IF(OR(P453="Gasto",P453="Reembolso"),IF(M453&lt;&gt;"",M453,IFERROR(INDEX(catClasif,MATCH(D453&amp;"|"&amp;E453,catClave,0))&amp;"","Variable")),"")</f>
        <v/>
      </c>
      <c r="Y453" s="52">
        <f>IF(P453="","",IFERROR(INDEX(catGrupo,MATCH(D453&amp;"|"&amp;E453,catClave,0))&amp;"",""))</f>
        <v/>
      </c>
      <c r="Z453" s="52">
        <f>IF(P453="","",WEEKDAY(B453,2))</f>
        <v/>
      </c>
      <c r="AA453" s="52">
        <f>IF(P453="","",IF(AND(P453="Gasto",X453="Variable",D453&lt;&gt;catTrading,S453&gt;0,S453&lt;=Umbral),1,0))</f>
        <v/>
      </c>
      <c r="AB453" s="52">
        <f>IF(OR(P453="",Q453=""),"",IFERROR(IF(INDEX(ctaVinc,MATCH(Q453,ctaNombre,0))&amp;""&lt;&gt;"",INDEX(ctaVinc,MATCH(Q453,ctaNombre,0))&amp;"",Q453),Q453))</f>
        <v/>
      </c>
      <c r="AC453" s="52">
        <f>IF(OR(K453="",AND(P453&lt;&gt;"Transferencia",P453&lt;&gt;"Pago tarjeta")),"",IFERROR(IF(INDEX(ctaVinc,MATCH(K453,ctaNombre,0))&amp;""&lt;&gt;"",INDEX(ctaVinc,MATCH(K453,ctaNombre,0))&amp;"",K453),K453))</f>
        <v/>
      </c>
      <c r="AD453" s="52">
        <f>IF(AB453="","",IFERROR(INDEX(ctaTipo,MATCH(AB453,ctaNombre,0))&amp;"",""))</f>
        <v/>
      </c>
      <c r="AE453" s="52">
        <f>IF(AC453="","",IFERROR(INDEX(ctaTipo,MATCH(AC453,ctaNombre,0))&amp;"",""))</f>
        <v/>
      </c>
      <c r="AF453" s="53">
        <f>IF(OR(P453="",AB453=""),"",IF(OR(P453="Gasto",P453="Transferencia",P453="Pago tarjeta"),-1,1)*IF(IFERROR(INDEX(ctaMoneda,MATCH(AB453,ctaNombre,0))&amp;"","DOP")="USD",T453,S453))</f>
        <v/>
      </c>
      <c r="AG453" s="53">
        <f>IF(AC453="","",IF(IFERROR(INDEX(ctaMoneda,MATCH(AC453,ctaNombre,0))&amp;"","DOP")="USD",T453,S453))</f>
        <v/>
      </c>
      <c r="AH453" s="53">
        <f>IF(P453="","",IF(AND(AD453&lt;&gt;"",COUNTIFS(tcTipo,AD453,tcLiq,"Sí")&gt;0),IF(OR(P453="Gasto",P453="Transferencia",P453="Pago tarjeta"),-1,1)*S453,0)+IF(AND(AE453&lt;&gt;"",COUNTIFS(tcTipo,AE453,tcLiq,"Sí")&gt;0),S453,0))</f>
        <v/>
      </c>
      <c r="AI453" s="52">
        <f>IF(OR(L453="",P453=""),"",IF(COUNTIFS(L$6:L453,L453,P$6:P453,"?*")=1,MAX(AI$5:AI452)+1,""))</f>
        <v/>
      </c>
    </row>
    <row r="454">
      <c r="B454" s="47" t="n"/>
      <c r="C454" s="48" t="n"/>
      <c r="D454" s="48" t="n"/>
      <c r="E454" s="48" t="n"/>
      <c r="F454" s="48" t="n"/>
      <c r="G454" s="49" t="n"/>
      <c r="H454" s="48" t="n"/>
      <c r="I454" s="50" t="n"/>
      <c r="J454" s="48" t="n"/>
      <c r="K454" s="48" t="n"/>
      <c r="L454" s="48" t="n"/>
      <c r="M454" s="48" t="n"/>
      <c r="N454" s="48" t="n"/>
      <c r="O454" s="51">
        <f>IF(AND(B454="",G454="",C454="",D454="",J454=""),"",IF(B454="","⚠ Falta fecha",IF(G454="","⚠ Falta monto",IF(Q454="","⚠ Falta cuenta",IF(ISNA(MATCH(Q454,ctaNombre,0)),"⚠ Cuenta no registrada",IF(AND(OR(P454="Gasto",P454="Reembolso"),D454=""),"⚠ Falta categoría",IF(AND(D454&lt;&gt;"",E454&lt;&gt;"",ISNA(MATCH(D454&amp;"|"&amp;E454,catClave,0))),"⚠ Subcategoría no corresponde",IF(AND(OR(P454="Transferencia",P454="Pago tarjeta"),K454=""),"⚠ Falta cuenta destino",IF(AND(K454&lt;&gt;"",P454&lt;&gt;"Transferencia",P454&lt;&gt;"Pago tarjeta"),"⚠ Destino solo aplica a transferencias",IF(AND(K454&lt;&gt;"",K454=Q454),"⚠ Origen igual a destino",IF(AND(K454&lt;&gt;"",ISNA(MATCH(K454,ctaNombre,0))),"⚠ Destino no registrado",IF(AND(P454="Pago tarjeta",AE454&lt;&gt;"Tarjeta de crédito"),"⚠ El destino debe ser tarjeta de crédito",IF(AND(P454="Gasto",E454="Depósitos y retiros"),"⚠ Usa tipo Transferencia",IF(AND(P454="Resultado trading",AD454&lt;&gt;"Cuenta de trading"),"⚠ Usa una cuenta de trading",IF(AND(G454&lt;=0,P454&lt;&gt;"Ajuste",P454&lt;&gt;"Resultado trading"),"⚠ El monto debe ser positivo","✓")))))))))))))))</f>
        <v/>
      </c>
      <c r="P454" s="52">
        <f>IF(OR(B454="",G454=""),"",IF(C454="","Gasto",C454))</f>
        <v/>
      </c>
      <c r="Q454" s="52">
        <f>IF(P454="","",IF(J454&lt;&gt;"",J454,CuentaPred&amp;""))</f>
        <v/>
      </c>
      <c r="R454" s="52">
        <f>IF(P454="","",IF(ISNUMBER(I454),I454,TasaUSD))</f>
        <v/>
      </c>
      <c r="S454" s="53">
        <f>IF(P454="","",IF(H454="USD",G454*R454,G454))</f>
        <v/>
      </c>
      <c r="T454" s="53">
        <f>IF(P454="","",IF(H454="USD",G454,IF(R454&gt;0,G454/R454,0)))</f>
        <v/>
      </c>
      <c r="U454" s="53">
        <f>IF(P454="","",IF(P454="Gasto",S454,IF(P454="Reembolso",-S454,0)))</f>
        <v/>
      </c>
      <c r="V454" s="53">
        <f>IF(P454="","",IF(P454="Ingreso",S454,0))</f>
        <v/>
      </c>
      <c r="W454" s="53">
        <f>IF(P454="","",IF(P454="Resultado trading",S454,0))</f>
        <v/>
      </c>
      <c r="X454" s="52">
        <f>IF(OR(P454="Gasto",P454="Reembolso"),IF(M454&lt;&gt;"",M454,IFERROR(INDEX(catClasif,MATCH(D454&amp;"|"&amp;E454,catClave,0))&amp;"","Variable")),"")</f>
        <v/>
      </c>
      <c r="Y454" s="52">
        <f>IF(P454="","",IFERROR(INDEX(catGrupo,MATCH(D454&amp;"|"&amp;E454,catClave,0))&amp;"",""))</f>
        <v/>
      </c>
      <c r="Z454" s="52">
        <f>IF(P454="","",WEEKDAY(B454,2))</f>
        <v/>
      </c>
      <c r="AA454" s="52">
        <f>IF(P454="","",IF(AND(P454="Gasto",X454="Variable",D454&lt;&gt;catTrading,S454&gt;0,S454&lt;=Umbral),1,0))</f>
        <v/>
      </c>
      <c r="AB454" s="52">
        <f>IF(OR(P454="",Q454=""),"",IFERROR(IF(INDEX(ctaVinc,MATCH(Q454,ctaNombre,0))&amp;""&lt;&gt;"",INDEX(ctaVinc,MATCH(Q454,ctaNombre,0))&amp;"",Q454),Q454))</f>
        <v/>
      </c>
      <c r="AC454" s="52">
        <f>IF(OR(K454="",AND(P454&lt;&gt;"Transferencia",P454&lt;&gt;"Pago tarjeta")),"",IFERROR(IF(INDEX(ctaVinc,MATCH(K454,ctaNombre,0))&amp;""&lt;&gt;"",INDEX(ctaVinc,MATCH(K454,ctaNombre,0))&amp;"",K454),K454))</f>
        <v/>
      </c>
      <c r="AD454" s="52">
        <f>IF(AB454="","",IFERROR(INDEX(ctaTipo,MATCH(AB454,ctaNombre,0))&amp;"",""))</f>
        <v/>
      </c>
      <c r="AE454" s="52">
        <f>IF(AC454="","",IFERROR(INDEX(ctaTipo,MATCH(AC454,ctaNombre,0))&amp;"",""))</f>
        <v/>
      </c>
      <c r="AF454" s="53">
        <f>IF(OR(P454="",AB454=""),"",IF(OR(P454="Gasto",P454="Transferencia",P454="Pago tarjeta"),-1,1)*IF(IFERROR(INDEX(ctaMoneda,MATCH(AB454,ctaNombre,0))&amp;"","DOP")="USD",T454,S454))</f>
        <v/>
      </c>
      <c r="AG454" s="53">
        <f>IF(AC454="","",IF(IFERROR(INDEX(ctaMoneda,MATCH(AC454,ctaNombre,0))&amp;"","DOP")="USD",T454,S454))</f>
        <v/>
      </c>
      <c r="AH454" s="53">
        <f>IF(P454="","",IF(AND(AD454&lt;&gt;"",COUNTIFS(tcTipo,AD454,tcLiq,"Sí")&gt;0),IF(OR(P454="Gasto",P454="Transferencia",P454="Pago tarjeta"),-1,1)*S454,0)+IF(AND(AE454&lt;&gt;"",COUNTIFS(tcTipo,AE454,tcLiq,"Sí")&gt;0),S454,0))</f>
        <v/>
      </c>
      <c r="AI454" s="52">
        <f>IF(OR(L454="",P454=""),"",IF(COUNTIFS(L$6:L454,L454,P$6:P454,"?*")=1,MAX(AI$5:AI453)+1,""))</f>
        <v/>
      </c>
    </row>
    <row r="455">
      <c r="B455" s="47" t="n"/>
      <c r="C455" s="48" t="n"/>
      <c r="D455" s="48" t="n"/>
      <c r="E455" s="48" t="n"/>
      <c r="F455" s="48" t="n"/>
      <c r="G455" s="49" t="n"/>
      <c r="H455" s="48" t="n"/>
      <c r="I455" s="50" t="n"/>
      <c r="J455" s="48" t="n"/>
      <c r="K455" s="48" t="n"/>
      <c r="L455" s="48" t="n"/>
      <c r="M455" s="48" t="n"/>
      <c r="N455" s="48" t="n"/>
      <c r="O455" s="51">
        <f>IF(AND(B455="",G455="",C455="",D455="",J455=""),"",IF(B455="","⚠ Falta fecha",IF(G455="","⚠ Falta monto",IF(Q455="","⚠ Falta cuenta",IF(ISNA(MATCH(Q455,ctaNombre,0)),"⚠ Cuenta no registrada",IF(AND(OR(P455="Gasto",P455="Reembolso"),D455=""),"⚠ Falta categoría",IF(AND(D455&lt;&gt;"",E455&lt;&gt;"",ISNA(MATCH(D455&amp;"|"&amp;E455,catClave,0))),"⚠ Subcategoría no corresponde",IF(AND(OR(P455="Transferencia",P455="Pago tarjeta"),K455=""),"⚠ Falta cuenta destino",IF(AND(K455&lt;&gt;"",P455&lt;&gt;"Transferencia",P455&lt;&gt;"Pago tarjeta"),"⚠ Destino solo aplica a transferencias",IF(AND(K455&lt;&gt;"",K455=Q455),"⚠ Origen igual a destino",IF(AND(K455&lt;&gt;"",ISNA(MATCH(K455,ctaNombre,0))),"⚠ Destino no registrado",IF(AND(P455="Pago tarjeta",AE455&lt;&gt;"Tarjeta de crédito"),"⚠ El destino debe ser tarjeta de crédito",IF(AND(P455="Gasto",E455="Depósitos y retiros"),"⚠ Usa tipo Transferencia",IF(AND(P455="Resultado trading",AD455&lt;&gt;"Cuenta de trading"),"⚠ Usa una cuenta de trading",IF(AND(G455&lt;=0,P455&lt;&gt;"Ajuste",P455&lt;&gt;"Resultado trading"),"⚠ El monto debe ser positivo","✓")))))))))))))))</f>
        <v/>
      </c>
      <c r="P455" s="52">
        <f>IF(OR(B455="",G455=""),"",IF(C455="","Gasto",C455))</f>
        <v/>
      </c>
      <c r="Q455" s="52">
        <f>IF(P455="","",IF(J455&lt;&gt;"",J455,CuentaPred&amp;""))</f>
        <v/>
      </c>
      <c r="R455" s="52">
        <f>IF(P455="","",IF(ISNUMBER(I455),I455,TasaUSD))</f>
        <v/>
      </c>
      <c r="S455" s="53">
        <f>IF(P455="","",IF(H455="USD",G455*R455,G455))</f>
        <v/>
      </c>
      <c r="T455" s="53">
        <f>IF(P455="","",IF(H455="USD",G455,IF(R455&gt;0,G455/R455,0)))</f>
        <v/>
      </c>
      <c r="U455" s="53">
        <f>IF(P455="","",IF(P455="Gasto",S455,IF(P455="Reembolso",-S455,0)))</f>
        <v/>
      </c>
      <c r="V455" s="53">
        <f>IF(P455="","",IF(P455="Ingreso",S455,0))</f>
        <v/>
      </c>
      <c r="W455" s="53">
        <f>IF(P455="","",IF(P455="Resultado trading",S455,0))</f>
        <v/>
      </c>
      <c r="X455" s="52">
        <f>IF(OR(P455="Gasto",P455="Reembolso"),IF(M455&lt;&gt;"",M455,IFERROR(INDEX(catClasif,MATCH(D455&amp;"|"&amp;E455,catClave,0))&amp;"","Variable")),"")</f>
        <v/>
      </c>
      <c r="Y455" s="52">
        <f>IF(P455="","",IFERROR(INDEX(catGrupo,MATCH(D455&amp;"|"&amp;E455,catClave,0))&amp;"",""))</f>
        <v/>
      </c>
      <c r="Z455" s="52">
        <f>IF(P455="","",WEEKDAY(B455,2))</f>
        <v/>
      </c>
      <c r="AA455" s="52">
        <f>IF(P455="","",IF(AND(P455="Gasto",X455="Variable",D455&lt;&gt;catTrading,S455&gt;0,S455&lt;=Umbral),1,0))</f>
        <v/>
      </c>
      <c r="AB455" s="52">
        <f>IF(OR(P455="",Q455=""),"",IFERROR(IF(INDEX(ctaVinc,MATCH(Q455,ctaNombre,0))&amp;""&lt;&gt;"",INDEX(ctaVinc,MATCH(Q455,ctaNombre,0))&amp;"",Q455),Q455))</f>
        <v/>
      </c>
      <c r="AC455" s="52">
        <f>IF(OR(K455="",AND(P455&lt;&gt;"Transferencia",P455&lt;&gt;"Pago tarjeta")),"",IFERROR(IF(INDEX(ctaVinc,MATCH(K455,ctaNombre,0))&amp;""&lt;&gt;"",INDEX(ctaVinc,MATCH(K455,ctaNombre,0))&amp;"",K455),K455))</f>
        <v/>
      </c>
      <c r="AD455" s="52">
        <f>IF(AB455="","",IFERROR(INDEX(ctaTipo,MATCH(AB455,ctaNombre,0))&amp;"",""))</f>
        <v/>
      </c>
      <c r="AE455" s="52">
        <f>IF(AC455="","",IFERROR(INDEX(ctaTipo,MATCH(AC455,ctaNombre,0))&amp;"",""))</f>
        <v/>
      </c>
      <c r="AF455" s="53">
        <f>IF(OR(P455="",AB455=""),"",IF(OR(P455="Gasto",P455="Transferencia",P455="Pago tarjeta"),-1,1)*IF(IFERROR(INDEX(ctaMoneda,MATCH(AB455,ctaNombre,0))&amp;"","DOP")="USD",T455,S455))</f>
        <v/>
      </c>
      <c r="AG455" s="53">
        <f>IF(AC455="","",IF(IFERROR(INDEX(ctaMoneda,MATCH(AC455,ctaNombre,0))&amp;"","DOP")="USD",T455,S455))</f>
        <v/>
      </c>
      <c r="AH455" s="53">
        <f>IF(P455="","",IF(AND(AD455&lt;&gt;"",COUNTIFS(tcTipo,AD455,tcLiq,"Sí")&gt;0),IF(OR(P455="Gasto",P455="Transferencia",P455="Pago tarjeta"),-1,1)*S455,0)+IF(AND(AE455&lt;&gt;"",COUNTIFS(tcTipo,AE455,tcLiq,"Sí")&gt;0),S455,0))</f>
        <v/>
      </c>
      <c r="AI455" s="52">
        <f>IF(OR(L455="",P455=""),"",IF(COUNTIFS(L$6:L455,L455,P$6:P455,"?*")=1,MAX(AI$5:AI454)+1,""))</f>
        <v/>
      </c>
    </row>
    <row r="456">
      <c r="B456" s="47" t="n"/>
      <c r="C456" s="48" t="n"/>
      <c r="D456" s="48" t="n"/>
      <c r="E456" s="48" t="n"/>
      <c r="F456" s="48" t="n"/>
      <c r="G456" s="49" t="n"/>
      <c r="H456" s="48" t="n"/>
      <c r="I456" s="50" t="n"/>
      <c r="J456" s="48" t="n"/>
      <c r="K456" s="48" t="n"/>
      <c r="L456" s="48" t="n"/>
      <c r="M456" s="48" t="n"/>
      <c r="N456" s="48" t="n"/>
      <c r="O456" s="51">
        <f>IF(AND(B456="",G456="",C456="",D456="",J456=""),"",IF(B456="","⚠ Falta fecha",IF(G456="","⚠ Falta monto",IF(Q456="","⚠ Falta cuenta",IF(ISNA(MATCH(Q456,ctaNombre,0)),"⚠ Cuenta no registrada",IF(AND(OR(P456="Gasto",P456="Reembolso"),D456=""),"⚠ Falta categoría",IF(AND(D456&lt;&gt;"",E456&lt;&gt;"",ISNA(MATCH(D456&amp;"|"&amp;E456,catClave,0))),"⚠ Subcategoría no corresponde",IF(AND(OR(P456="Transferencia",P456="Pago tarjeta"),K456=""),"⚠ Falta cuenta destino",IF(AND(K456&lt;&gt;"",P456&lt;&gt;"Transferencia",P456&lt;&gt;"Pago tarjeta"),"⚠ Destino solo aplica a transferencias",IF(AND(K456&lt;&gt;"",K456=Q456),"⚠ Origen igual a destino",IF(AND(K456&lt;&gt;"",ISNA(MATCH(K456,ctaNombre,0))),"⚠ Destino no registrado",IF(AND(P456="Pago tarjeta",AE456&lt;&gt;"Tarjeta de crédito"),"⚠ El destino debe ser tarjeta de crédito",IF(AND(P456="Gasto",E456="Depósitos y retiros"),"⚠ Usa tipo Transferencia",IF(AND(P456="Resultado trading",AD456&lt;&gt;"Cuenta de trading"),"⚠ Usa una cuenta de trading",IF(AND(G456&lt;=0,P456&lt;&gt;"Ajuste",P456&lt;&gt;"Resultado trading"),"⚠ El monto debe ser positivo","✓")))))))))))))))</f>
        <v/>
      </c>
      <c r="P456" s="52">
        <f>IF(OR(B456="",G456=""),"",IF(C456="","Gasto",C456))</f>
        <v/>
      </c>
      <c r="Q456" s="52">
        <f>IF(P456="","",IF(J456&lt;&gt;"",J456,CuentaPred&amp;""))</f>
        <v/>
      </c>
      <c r="R456" s="52">
        <f>IF(P456="","",IF(ISNUMBER(I456),I456,TasaUSD))</f>
        <v/>
      </c>
      <c r="S456" s="53">
        <f>IF(P456="","",IF(H456="USD",G456*R456,G456))</f>
        <v/>
      </c>
      <c r="T456" s="53">
        <f>IF(P456="","",IF(H456="USD",G456,IF(R456&gt;0,G456/R456,0)))</f>
        <v/>
      </c>
      <c r="U456" s="53">
        <f>IF(P456="","",IF(P456="Gasto",S456,IF(P456="Reembolso",-S456,0)))</f>
        <v/>
      </c>
      <c r="V456" s="53">
        <f>IF(P456="","",IF(P456="Ingreso",S456,0))</f>
        <v/>
      </c>
      <c r="W456" s="53">
        <f>IF(P456="","",IF(P456="Resultado trading",S456,0))</f>
        <v/>
      </c>
      <c r="X456" s="52">
        <f>IF(OR(P456="Gasto",P456="Reembolso"),IF(M456&lt;&gt;"",M456,IFERROR(INDEX(catClasif,MATCH(D456&amp;"|"&amp;E456,catClave,0))&amp;"","Variable")),"")</f>
        <v/>
      </c>
      <c r="Y456" s="52">
        <f>IF(P456="","",IFERROR(INDEX(catGrupo,MATCH(D456&amp;"|"&amp;E456,catClave,0))&amp;"",""))</f>
        <v/>
      </c>
      <c r="Z456" s="52">
        <f>IF(P456="","",WEEKDAY(B456,2))</f>
        <v/>
      </c>
      <c r="AA456" s="52">
        <f>IF(P456="","",IF(AND(P456="Gasto",X456="Variable",D456&lt;&gt;catTrading,S456&gt;0,S456&lt;=Umbral),1,0))</f>
        <v/>
      </c>
      <c r="AB456" s="52">
        <f>IF(OR(P456="",Q456=""),"",IFERROR(IF(INDEX(ctaVinc,MATCH(Q456,ctaNombre,0))&amp;""&lt;&gt;"",INDEX(ctaVinc,MATCH(Q456,ctaNombre,0))&amp;"",Q456),Q456))</f>
        <v/>
      </c>
      <c r="AC456" s="52">
        <f>IF(OR(K456="",AND(P456&lt;&gt;"Transferencia",P456&lt;&gt;"Pago tarjeta")),"",IFERROR(IF(INDEX(ctaVinc,MATCH(K456,ctaNombre,0))&amp;""&lt;&gt;"",INDEX(ctaVinc,MATCH(K456,ctaNombre,0))&amp;"",K456),K456))</f>
        <v/>
      </c>
      <c r="AD456" s="52">
        <f>IF(AB456="","",IFERROR(INDEX(ctaTipo,MATCH(AB456,ctaNombre,0))&amp;"",""))</f>
        <v/>
      </c>
      <c r="AE456" s="52">
        <f>IF(AC456="","",IFERROR(INDEX(ctaTipo,MATCH(AC456,ctaNombre,0))&amp;"",""))</f>
        <v/>
      </c>
      <c r="AF456" s="53">
        <f>IF(OR(P456="",AB456=""),"",IF(OR(P456="Gasto",P456="Transferencia",P456="Pago tarjeta"),-1,1)*IF(IFERROR(INDEX(ctaMoneda,MATCH(AB456,ctaNombre,0))&amp;"","DOP")="USD",T456,S456))</f>
        <v/>
      </c>
      <c r="AG456" s="53">
        <f>IF(AC456="","",IF(IFERROR(INDEX(ctaMoneda,MATCH(AC456,ctaNombre,0))&amp;"","DOP")="USD",T456,S456))</f>
        <v/>
      </c>
      <c r="AH456" s="53">
        <f>IF(P456="","",IF(AND(AD456&lt;&gt;"",COUNTIFS(tcTipo,AD456,tcLiq,"Sí")&gt;0),IF(OR(P456="Gasto",P456="Transferencia",P456="Pago tarjeta"),-1,1)*S456,0)+IF(AND(AE456&lt;&gt;"",COUNTIFS(tcTipo,AE456,tcLiq,"Sí")&gt;0),S456,0))</f>
        <v/>
      </c>
      <c r="AI456" s="52">
        <f>IF(OR(L456="",P456=""),"",IF(COUNTIFS(L$6:L456,L456,P$6:P456,"?*")=1,MAX(AI$5:AI455)+1,""))</f>
        <v/>
      </c>
    </row>
    <row r="457">
      <c r="B457" s="47" t="n"/>
      <c r="C457" s="48" t="n"/>
      <c r="D457" s="48" t="n"/>
      <c r="E457" s="48" t="n"/>
      <c r="F457" s="48" t="n"/>
      <c r="G457" s="49" t="n"/>
      <c r="H457" s="48" t="n"/>
      <c r="I457" s="50" t="n"/>
      <c r="J457" s="48" t="n"/>
      <c r="K457" s="48" t="n"/>
      <c r="L457" s="48" t="n"/>
      <c r="M457" s="48" t="n"/>
      <c r="N457" s="48" t="n"/>
      <c r="O457" s="51">
        <f>IF(AND(B457="",G457="",C457="",D457="",J457=""),"",IF(B457="","⚠ Falta fecha",IF(G457="","⚠ Falta monto",IF(Q457="","⚠ Falta cuenta",IF(ISNA(MATCH(Q457,ctaNombre,0)),"⚠ Cuenta no registrada",IF(AND(OR(P457="Gasto",P457="Reembolso"),D457=""),"⚠ Falta categoría",IF(AND(D457&lt;&gt;"",E457&lt;&gt;"",ISNA(MATCH(D457&amp;"|"&amp;E457,catClave,0))),"⚠ Subcategoría no corresponde",IF(AND(OR(P457="Transferencia",P457="Pago tarjeta"),K457=""),"⚠ Falta cuenta destino",IF(AND(K457&lt;&gt;"",P457&lt;&gt;"Transferencia",P457&lt;&gt;"Pago tarjeta"),"⚠ Destino solo aplica a transferencias",IF(AND(K457&lt;&gt;"",K457=Q457),"⚠ Origen igual a destino",IF(AND(K457&lt;&gt;"",ISNA(MATCH(K457,ctaNombre,0))),"⚠ Destino no registrado",IF(AND(P457="Pago tarjeta",AE457&lt;&gt;"Tarjeta de crédito"),"⚠ El destino debe ser tarjeta de crédito",IF(AND(P457="Gasto",E457="Depósitos y retiros"),"⚠ Usa tipo Transferencia",IF(AND(P457="Resultado trading",AD457&lt;&gt;"Cuenta de trading"),"⚠ Usa una cuenta de trading",IF(AND(G457&lt;=0,P457&lt;&gt;"Ajuste",P457&lt;&gt;"Resultado trading"),"⚠ El monto debe ser positivo","✓")))))))))))))))</f>
        <v/>
      </c>
      <c r="P457" s="52">
        <f>IF(OR(B457="",G457=""),"",IF(C457="","Gasto",C457))</f>
        <v/>
      </c>
      <c r="Q457" s="52">
        <f>IF(P457="","",IF(J457&lt;&gt;"",J457,CuentaPred&amp;""))</f>
        <v/>
      </c>
      <c r="R457" s="52">
        <f>IF(P457="","",IF(ISNUMBER(I457),I457,TasaUSD))</f>
        <v/>
      </c>
      <c r="S457" s="53">
        <f>IF(P457="","",IF(H457="USD",G457*R457,G457))</f>
        <v/>
      </c>
      <c r="T457" s="53">
        <f>IF(P457="","",IF(H457="USD",G457,IF(R457&gt;0,G457/R457,0)))</f>
        <v/>
      </c>
      <c r="U457" s="53">
        <f>IF(P457="","",IF(P457="Gasto",S457,IF(P457="Reembolso",-S457,0)))</f>
        <v/>
      </c>
      <c r="V457" s="53">
        <f>IF(P457="","",IF(P457="Ingreso",S457,0))</f>
        <v/>
      </c>
      <c r="W457" s="53">
        <f>IF(P457="","",IF(P457="Resultado trading",S457,0))</f>
        <v/>
      </c>
      <c r="X457" s="52">
        <f>IF(OR(P457="Gasto",P457="Reembolso"),IF(M457&lt;&gt;"",M457,IFERROR(INDEX(catClasif,MATCH(D457&amp;"|"&amp;E457,catClave,0))&amp;"","Variable")),"")</f>
        <v/>
      </c>
      <c r="Y457" s="52">
        <f>IF(P457="","",IFERROR(INDEX(catGrupo,MATCH(D457&amp;"|"&amp;E457,catClave,0))&amp;"",""))</f>
        <v/>
      </c>
      <c r="Z457" s="52">
        <f>IF(P457="","",WEEKDAY(B457,2))</f>
        <v/>
      </c>
      <c r="AA457" s="52">
        <f>IF(P457="","",IF(AND(P457="Gasto",X457="Variable",D457&lt;&gt;catTrading,S457&gt;0,S457&lt;=Umbral),1,0))</f>
        <v/>
      </c>
      <c r="AB457" s="52">
        <f>IF(OR(P457="",Q457=""),"",IFERROR(IF(INDEX(ctaVinc,MATCH(Q457,ctaNombre,0))&amp;""&lt;&gt;"",INDEX(ctaVinc,MATCH(Q457,ctaNombre,0))&amp;"",Q457),Q457))</f>
        <v/>
      </c>
      <c r="AC457" s="52">
        <f>IF(OR(K457="",AND(P457&lt;&gt;"Transferencia",P457&lt;&gt;"Pago tarjeta")),"",IFERROR(IF(INDEX(ctaVinc,MATCH(K457,ctaNombre,0))&amp;""&lt;&gt;"",INDEX(ctaVinc,MATCH(K457,ctaNombre,0))&amp;"",K457),K457))</f>
        <v/>
      </c>
      <c r="AD457" s="52">
        <f>IF(AB457="","",IFERROR(INDEX(ctaTipo,MATCH(AB457,ctaNombre,0))&amp;"",""))</f>
        <v/>
      </c>
      <c r="AE457" s="52">
        <f>IF(AC457="","",IFERROR(INDEX(ctaTipo,MATCH(AC457,ctaNombre,0))&amp;"",""))</f>
        <v/>
      </c>
      <c r="AF457" s="53">
        <f>IF(OR(P457="",AB457=""),"",IF(OR(P457="Gasto",P457="Transferencia",P457="Pago tarjeta"),-1,1)*IF(IFERROR(INDEX(ctaMoneda,MATCH(AB457,ctaNombre,0))&amp;"","DOP")="USD",T457,S457))</f>
        <v/>
      </c>
      <c r="AG457" s="53">
        <f>IF(AC457="","",IF(IFERROR(INDEX(ctaMoneda,MATCH(AC457,ctaNombre,0))&amp;"","DOP")="USD",T457,S457))</f>
        <v/>
      </c>
      <c r="AH457" s="53">
        <f>IF(P457="","",IF(AND(AD457&lt;&gt;"",COUNTIFS(tcTipo,AD457,tcLiq,"Sí")&gt;0),IF(OR(P457="Gasto",P457="Transferencia",P457="Pago tarjeta"),-1,1)*S457,0)+IF(AND(AE457&lt;&gt;"",COUNTIFS(tcTipo,AE457,tcLiq,"Sí")&gt;0),S457,0))</f>
        <v/>
      </c>
      <c r="AI457" s="52">
        <f>IF(OR(L457="",P457=""),"",IF(COUNTIFS(L$6:L457,L457,P$6:P457,"?*")=1,MAX(AI$5:AI456)+1,""))</f>
        <v/>
      </c>
    </row>
    <row r="458">
      <c r="B458" s="47" t="n"/>
      <c r="C458" s="48" t="n"/>
      <c r="D458" s="48" t="n"/>
      <c r="E458" s="48" t="n"/>
      <c r="F458" s="48" t="n"/>
      <c r="G458" s="49" t="n"/>
      <c r="H458" s="48" t="n"/>
      <c r="I458" s="50" t="n"/>
      <c r="J458" s="48" t="n"/>
      <c r="K458" s="48" t="n"/>
      <c r="L458" s="48" t="n"/>
      <c r="M458" s="48" t="n"/>
      <c r="N458" s="48" t="n"/>
      <c r="O458" s="51">
        <f>IF(AND(B458="",G458="",C458="",D458="",J458=""),"",IF(B458="","⚠ Falta fecha",IF(G458="","⚠ Falta monto",IF(Q458="","⚠ Falta cuenta",IF(ISNA(MATCH(Q458,ctaNombre,0)),"⚠ Cuenta no registrada",IF(AND(OR(P458="Gasto",P458="Reembolso"),D458=""),"⚠ Falta categoría",IF(AND(D458&lt;&gt;"",E458&lt;&gt;"",ISNA(MATCH(D458&amp;"|"&amp;E458,catClave,0))),"⚠ Subcategoría no corresponde",IF(AND(OR(P458="Transferencia",P458="Pago tarjeta"),K458=""),"⚠ Falta cuenta destino",IF(AND(K458&lt;&gt;"",P458&lt;&gt;"Transferencia",P458&lt;&gt;"Pago tarjeta"),"⚠ Destino solo aplica a transferencias",IF(AND(K458&lt;&gt;"",K458=Q458),"⚠ Origen igual a destino",IF(AND(K458&lt;&gt;"",ISNA(MATCH(K458,ctaNombre,0))),"⚠ Destino no registrado",IF(AND(P458="Pago tarjeta",AE458&lt;&gt;"Tarjeta de crédito"),"⚠ El destino debe ser tarjeta de crédito",IF(AND(P458="Gasto",E458="Depósitos y retiros"),"⚠ Usa tipo Transferencia",IF(AND(P458="Resultado trading",AD458&lt;&gt;"Cuenta de trading"),"⚠ Usa una cuenta de trading",IF(AND(G458&lt;=0,P458&lt;&gt;"Ajuste",P458&lt;&gt;"Resultado trading"),"⚠ El monto debe ser positivo","✓")))))))))))))))</f>
        <v/>
      </c>
      <c r="P458" s="52">
        <f>IF(OR(B458="",G458=""),"",IF(C458="","Gasto",C458))</f>
        <v/>
      </c>
      <c r="Q458" s="52">
        <f>IF(P458="","",IF(J458&lt;&gt;"",J458,CuentaPred&amp;""))</f>
        <v/>
      </c>
      <c r="R458" s="52">
        <f>IF(P458="","",IF(ISNUMBER(I458),I458,TasaUSD))</f>
        <v/>
      </c>
      <c r="S458" s="53">
        <f>IF(P458="","",IF(H458="USD",G458*R458,G458))</f>
        <v/>
      </c>
      <c r="T458" s="53">
        <f>IF(P458="","",IF(H458="USD",G458,IF(R458&gt;0,G458/R458,0)))</f>
        <v/>
      </c>
      <c r="U458" s="53">
        <f>IF(P458="","",IF(P458="Gasto",S458,IF(P458="Reembolso",-S458,0)))</f>
        <v/>
      </c>
      <c r="V458" s="53">
        <f>IF(P458="","",IF(P458="Ingreso",S458,0))</f>
        <v/>
      </c>
      <c r="W458" s="53">
        <f>IF(P458="","",IF(P458="Resultado trading",S458,0))</f>
        <v/>
      </c>
      <c r="X458" s="52">
        <f>IF(OR(P458="Gasto",P458="Reembolso"),IF(M458&lt;&gt;"",M458,IFERROR(INDEX(catClasif,MATCH(D458&amp;"|"&amp;E458,catClave,0))&amp;"","Variable")),"")</f>
        <v/>
      </c>
      <c r="Y458" s="52">
        <f>IF(P458="","",IFERROR(INDEX(catGrupo,MATCH(D458&amp;"|"&amp;E458,catClave,0))&amp;"",""))</f>
        <v/>
      </c>
      <c r="Z458" s="52">
        <f>IF(P458="","",WEEKDAY(B458,2))</f>
        <v/>
      </c>
      <c r="AA458" s="52">
        <f>IF(P458="","",IF(AND(P458="Gasto",X458="Variable",D458&lt;&gt;catTrading,S458&gt;0,S458&lt;=Umbral),1,0))</f>
        <v/>
      </c>
      <c r="AB458" s="52">
        <f>IF(OR(P458="",Q458=""),"",IFERROR(IF(INDEX(ctaVinc,MATCH(Q458,ctaNombre,0))&amp;""&lt;&gt;"",INDEX(ctaVinc,MATCH(Q458,ctaNombre,0))&amp;"",Q458),Q458))</f>
        <v/>
      </c>
      <c r="AC458" s="52">
        <f>IF(OR(K458="",AND(P458&lt;&gt;"Transferencia",P458&lt;&gt;"Pago tarjeta")),"",IFERROR(IF(INDEX(ctaVinc,MATCH(K458,ctaNombre,0))&amp;""&lt;&gt;"",INDEX(ctaVinc,MATCH(K458,ctaNombre,0))&amp;"",K458),K458))</f>
        <v/>
      </c>
      <c r="AD458" s="52">
        <f>IF(AB458="","",IFERROR(INDEX(ctaTipo,MATCH(AB458,ctaNombre,0))&amp;"",""))</f>
        <v/>
      </c>
      <c r="AE458" s="52">
        <f>IF(AC458="","",IFERROR(INDEX(ctaTipo,MATCH(AC458,ctaNombre,0))&amp;"",""))</f>
        <v/>
      </c>
      <c r="AF458" s="53">
        <f>IF(OR(P458="",AB458=""),"",IF(OR(P458="Gasto",P458="Transferencia",P458="Pago tarjeta"),-1,1)*IF(IFERROR(INDEX(ctaMoneda,MATCH(AB458,ctaNombre,0))&amp;"","DOP")="USD",T458,S458))</f>
        <v/>
      </c>
      <c r="AG458" s="53">
        <f>IF(AC458="","",IF(IFERROR(INDEX(ctaMoneda,MATCH(AC458,ctaNombre,0))&amp;"","DOP")="USD",T458,S458))</f>
        <v/>
      </c>
      <c r="AH458" s="53">
        <f>IF(P458="","",IF(AND(AD458&lt;&gt;"",COUNTIFS(tcTipo,AD458,tcLiq,"Sí")&gt;0),IF(OR(P458="Gasto",P458="Transferencia",P458="Pago tarjeta"),-1,1)*S458,0)+IF(AND(AE458&lt;&gt;"",COUNTIFS(tcTipo,AE458,tcLiq,"Sí")&gt;0),S458,0))</f>
        <v/>
      </c>
      <c r="AI458" s="52">
        <f>IF(OR(L458="",P458=""),"",IF(COUNTIFS(L$6:L458,L458,P$6:P458,"?*")=1,MAX(AI$5:AI457)+1,""))</f>
        <v/>
      </c>
    </row>
    <row r="459">
      <c r="B459" s="47" t="n"/>
      <c r="C459" s="48" t="n"/>
      <c r="D459" s="48" t="n"/>
      <c r="E459" s="48" t="n"/>
      <c r="F459" s="48" t="n"/>
      <c r="G459" s="49" t="n"/>
      <c r="H459" s="48" t="n"/>
      <c r="I459" s="50" t="n"/>
      <c r="J459" s="48" t="n"/>
      <c r="K459" s="48" t="n"/>
      <c r="L459" s="48" t="n"/>
      <c r="M459" s="48" t="n"/>
      <c r="N459" s="48" t="n"/>
      <c r="O459" s="51">
        <f>IF(AND(B459="",G459="",C459="",D459="",J459=""),"",IF(B459="","⚠ Falta fecha",IF(G459="","⚠ Falta monto",IF(Q459="","⚠ Falta cuenta",IF(ISNA(MATCH(Q459,ctaNombre,0)),"⚠ Cuenta no registrada",IF(AND(OR(P459="Gasto",P459="Reembolso"),D459=""),"⚠ Falta categoría",IF(AND(D459&lt;&gt;"",E459&lt;&gt;"",ISNA(MATCH(D459&amp;"|"&amp;E459,catClave,0))),"⚠ Subcategoría no corresponde",IF(AND(OR(P459="Transferencia",P459="Pago tarjeta"),K459=""),"⚠ Falta cuenta destino",IF(AND(K459&lt;&gt;"",P459&lt;&gt;"Transferencia",P459&lt;&gt;"Pago tarjeta"),"⚠ Destino solo aplica a transferencias",IF(AND(K459&lt;&gt;"",K459=Q459),"⚠ Origen igual a destino",IF(AND(K459&lt;&gt;"",ISNA(MATCH(K459,ctaNombre,0))),"⚠ Destino no registrado",IF(AND(P459="Pago tarjeta",AE459&lt;&gt;"Tarjeta de crédito"),"⚠ El destino debe ser tarjeta de crédito",IF(AND(P459="Gasto",E459="Depósitos y retiros"),"⚠ Usa tipo Transferencia",IF(AND(P459="Resultado trading",AD459&lt;&gt;"Cuenta de trading"),"⚠ Usa una cuenta de trading",IF(AND(G459&lt;=0,P459&lt;&gt;"Ajuste",P459&lt;&gt;"Resultado trading"),"⚠ El monto debe ser positivo","✓")))))))))))))))</f>
        <v/>
      </c>
      <c r="P459" s="52">
        <f>IF(OR(B459="",G459=""),"",IF(C459="","Gasto",C459))</f>
        <v/>
      </c>
      <c r="Q459" s="52">
        <f>IF(P459="","",IF(J459&lt;&gt;"",J459,CuentaPred&amp;""))</f>
        <v/>
      </c>
      <c r="R459" s="52">
        <f>IF(P459="","",IF(ISNUMBER(I459),I459,TasaUSD))</f>
        <v/>
      </c>
      <c r="S459" s="53">
        <f>IF(P459="","",IF(H459="USD",G459*R459,G459))</f>
        <v/>
      </c>
      <c r="T459" s="53">
        <f>IF(P459="","",IF(H459="USD",G459,IF(R459&gt;0,G459/R459,0)))</f>
        <v/>
      </c>
      <c r="U459" s="53">
        <f>IF(P459="","",IF(P459="Gasto",S459,IF(P459="Reembolso",-S459,0)))</f>
        <v/>
      </c>
      <c r="V459" s="53">
        <f>IF(P459="","",IF(P459="Ingreso",S459,0))</f>
        <v/>
      </c>
      <c r="W459" s="53">
        <f>IF(P459="","",IF(P459="Resultado trading",S459,0))</f>
        <v/>
      </c>
      <c r="X459" s="52">
        <f>IF(OR(P459="Gasto",P459="Reembolso"),IF(M459&lt;&gt;"",M459,IFERROR(INDEX(catClasif,MATCH(D459&amp;"|"&amp;E459,catClave,0))&amp;"","Variable")),"")</f>
        <v/>
      </c>
      <c r="Y459" s="52">
        <f>IF(P459="","",IFERROR(INDEX(catGrupo,MATCH(D459&amp;"|"&amp;E459,catClave,0))&amp;"",""))</f>
        <v/>
      </c>
      <c r="Z459" s="52">
        <f>IF(P459="","",WEEKDAY(B459,2))</f>
        <v/>
      </c>
      <c r="AA459" s="52">
        <f>IF(P459="","",IF(AND(P459="Gasto",X459="Variable",D459&lt;&gt;catTrading,S459&gt;0,S459&lt;=Umbral),1,0))</f>
        <v/>
      </c>
      <c r="AB459" s="52">
        <f>IF(OR(P459="",Q459=""),"",IFERROR(IF(INDEX(ctaVinc,MATCH(Q459,ctaNombre,0))&amp;""&lt;&gt;"",INDEX(ctaVinc,MATCH(Q459,ctaNombre,0))&amp;"",Q459),Q459))</f>
        <v/>
      </c>
      <c r="AC459" s="52">
        <f>IF(OR(K459="",AND(P459&lt;&gt;"Transferencia",P459&lt;&gt;"Pago tarjeta")),"",IFERROR(IF(INDEX(ctaVinc,MATCH(K459,ctaNombre,0))&amp;""&lt;&gt;"",INDEX(ctaVinc,MATCH(K459,ctaNombre,0))&amp;"",K459),K459))</f>
        <v/>
      </c>
      <c r="AD459" s="52">
        <f>IF(AB459="","",IFERROR(INDEX(ctaTipo,MATCH(AB459,ctaNombre,0))&amp;"",""))</f>
        <v/>
      </c>
      <c r="AE459" s="52">
        <f>IF(AC459="","",IFERROR(INDEX(ctaTipo,MATCH(AC459,ctaNombre,0))&amp;"",""))</f>
        <v/>
      </c>
      <c r="AF459" s="53">
        <f>IF(OR(P459="",AB459=""),"",IF(OR(P459="Gasto",P459="Transferencia",P459="Pago tarjeta"),-1,1)*IF(IFERROR(INDEX(ctaMoneda,MATCH(AB459,ctaNombre,0))&amp;"","DOP")="USD",T459,S459))</f>
        <v/>
      </c>
      <c r="AG459" s="53">
        <f>IF(AC459="","",IF(IFERROR(INDEX(ctaMoneda,MATCH(AC459,ctaNombre,0))&amp;"","DOP")="USD",T459,S459))</f>
        <v/>
      </c>
      <c r="AH459" s="53">
        <f>IF(P459="","",IF(AND(AD459&lt;&gt;"",COUNTIFS(tcTipo,AD459,tcLiq,"Sí")&gt;0),IF(OR(P459="Gasto",P459="Transferencia",P459="Pago tarjeta"),-1,1)*S459,0)+IF(AND(AE459&lt;&gt;"",COUNTIFS(tcTipo,AE459,tcLiq,"Sí")&gt;0),S459,0))</f>
        <v/>
      </c>
      <c r="AI459" s="52">
        <f>IF(OR(L459="",P459=""),"",IF(COUNTIFS(L$6:L459,L459,P$6:P459,"?*")=1,MAX(AI$5:AI458)+1,""))</f>
        <v/>
      </c>
    </row>
    <row r="460">
      <c r="B460" s="47" t="n"/>
      <c r="C460" s="48" t="n"/>
      <c r="D460" s="48" t="n"/>
      <c r="E460" s="48" t="n"/>
      <c r="F460" s="48" t="n"/>
      <c r="G460" s="49" t="n"/>
      <c r="H460" s="48" t="n"/>
      <c r="I460" s="50" t="n"/>
      <c r="J460" s="48" t="n"/>
      <c r="K460" s="48" t="n"/>
      <c r="L460" s="48" t="n"/>
      <c r="M460" s="48" t="n"/>
      <c r="N460" s="48" t="n"/>
      <c r="O460" s="51">
        <f>IF(AND(B460="",G460="",C460="",D460="",J460=""),"",IF(B460="","⚠ Falta fecha",IF(G460="","⚠ Falta monto",IF(Q460="","⚠ Falta cuenta",IF(ISNA(MATCH(Q460,ctaNombre,0)),"⚠ Cuenta no registrada",IF(AND(OR(P460="Gasto",P460="Reembolso"),D460=""),"⚠ Falta categoría",IF(AND(D460&lt;&gt;"",E460&lt;&gt;"",ISNA(MATCH(D460&amp;"|"&amp;E460,catClave,0))),"⚠ Subcategoría no corresponde",IF(AND(OR(P460="Transferencia",P460="Pago tarjeta"),K460=""),"⚠ Falta cuenta destino",IF(AND(K460&lt;&gt;"",P460&lt;&gt;"Transferencia",P460&lt;&gt;"Pago tarjeta"),"⚠ Destino solo aplica a transferencias",IF(AND(K460&lt;&gt;"",K460=Q460),"⚠ Origen igual a destino",IF(AND(K460&lt;&gt;"",ISNA(MATCH(K460,ctaNombre,0))),"⚠ Destino no registrado",IF(AND(P460="Pago tarjeta",AE460&lt;&gt;"Tarjeta de crédito"),"⚠ El destino debe ser tarjeta de crédito",IF(AND(P460="Gasto",E460="Depósitos y retiros"),"⚠ Usa tipo Transferencia",IF(AND(P460="Resultado trading",AD460&lt;&gt;"Cuenta de trading"),"⚠ Usa una cuenta de trading",IF(AND(G460&lt;=0,P460&lt;&gt;"Ajuste",P460&lt;&gt;"Resultado trading"),"⚠ El monto debe ser positivo","✓")))))))))))))))</f>
        <v/>
      </c>
      <c r="P460" s="52">
        <f>IF(OR(B460="",G460=""),"",IF(C460="","Gasto",C460))</f>
        <v/>
      </c>
      <c r="Q460" s="52">
        <f>IF(P460="","",IF(J460&lt;&gt;"",J460,CuentaPred&amp;""))</f>
        <v/>
      </c>
      <c r="R460" s="52">
        <f>IF(P460="","",IF(ISNUMBER(I460),I460,TasaUSD))</f>
        <v/>
      </c>
      <c r="S460" s="53">
        <f>IF(P460="","",IF(H460="USD",G460*R460,G460))</f>
        <v/>
      </c>
      <c r="T460" s="53">
        <f>IF(P460="","",IF(H460="USD",G460,IF(R460&gt;0,G460/R460,0)))</f>
        <v/>
      </c>
      <c r="U460" s="53">
        <f>IF(P460="","",IF(P460="Gasto",S460,IF(P460="Reembolso",-S460,0)))</f>
        <v/>
      </c>
      <c r="V460" s="53">
        <f>IF(P460="","",IF(P460="Ingreso",S460,0))</f>
        <v/>
      </c>
      <c r="W460" s="53">
        <f>IF(P460="","",IF(P460="Resultado trading",S460,0))</f>
        <v/>
      </c>
      <c r="X460" s="52">
        <f>IF(OR(P460="Gasto",P460="Reembolso"),IF(M460&lt;&gt;"",M460,IFERROR(INDEX(catClasif,MATCH(D460&amp;"|"&amp;E460,catClave,0))&amp;"","Variable")),"")</f>
        <v/>
      </c>
      <c r="Y460" s="52">
        <f>IF(P460="","",IFERROR(INDEX(catGrupo,MATCH(D460&amp;"|"&amp;E460,catClave,0))&amp;"",""))</f>
        <v/>
      </c>
      <c r="Z460" s="52">
        <f>IF(P460="","",WEEKDAY(B460,2))</f>
        <v/>
      </c>
      <c r="AA460" s="52">
        <f>IF(P460="","",IF(AND(P460="Gasto",X460="Variable",D460&lt;&gt;catTrading,S460&gt;0,S460&lt;=Umbral),1,0))</f>
        <v/>
      </c>
      <c r="AB460" s="52">
        <f>IF(OR(P460="",Q460=""),"",IFERROR(IF(INDEX(ctaVinc,MATCH(Q460,ctaNombre,0))&amp;""&lt;&gt;"",INDEX(ctaVinc,MATCH(Q460,ctaNombre,0))&amp;"",Q460),Q460))</f>
        <v/>
      </c>
      <c r="AC460" s="52">
        <f>IF(OR(K460="",AND(P460&lt;&gt;"Transferencia",P460&lt;&gt;"Pago tarjeta")),"",IFERROR(IF(INDEX(ctaVinc,MATCH(K460,ctaNombre,0))&amp;""&lt;&gt;"",INDEX(ctaVinc,MATCH(K460,ctaNombre,0))&amp;"",K460),K460))</f>
        <v/>
      </c>
      <c r="AD460" s="52">
        <f>IF(AB460="","",IFERROR(INDEX(ctaTipo,MATCH(AB460,ctaNombre,0))&amp;"",""))</f>
        <v/>
      </c>
      <c r="AE460" s="52">
        <f>IF(AC460="","",IFERROR(INDEX(ctaTipo,MATCH(AC460,ctaNombre,0))&amp;"",""))</f>
        <v/>
      </c>
      <c r="AF460" s="53">
        <f>IF(OR(P460="",AB460=""),"",IF(OR(P460="Gasto",P460="Transferencia",P460="Pago tarjeta"),-1,1)*IF(IFERROR(INDEX(ctaMoneda,MATCH(AB460,ctaNombre,0))&amp;"","DOP")="USD",T460,S460))</f>
        <v/>
      </c>
      <c r="AG460" s="53">
        <f>IF(AC460="","",IF(IFERROR(INDEX(ctaMoneda,MATCH(AC460,ctaNombre,0))&amp;"","DOP")="USD",T460,S460))</f>
        <v/>
      </c>
      <c r="AH460" s="53">
        <f>IF(P460="","",IF(AND(AD460&lt;&gt;"",COUNTIFS(tcTipo,AD460,tcLiq,"Sí")&gt;0),IF(OR(P460="Gasto",P460="Transferencia",P460="Pago tarjeta"),-1,1)*S460,0)+IF(AND(AE460&lt;&gt;"",COUNTIFS(tcTipo,AE460,tcLiq,"Sí")&gt;0),S460,0))</f>
        <v/>
      </c>
      <c r="AI460" s="52">
        <f>IF(OR(L460="",P460=""),"",IF(COUNTIFS(L$6:L460,L460,P$6:P460,"?*")=1,MAX(AI$5:AI459)+1,""))</f>
        <v/>
      </c>
    </row>
    <row r="461">
      <c r="B461" s="47" t="n"/>
      <c r="C461" s="48" t="n"/>
      <c r="D461" s="48" t="n"/>
      <c r="E461" s="48" t="n"/>
      <c r="F461" s="48" t="n"/>
      <c r="G461" s="49" t="n"/>
      <c r="H461" s="48" t="n"/>
      <c r="I461" s="50" t="n"/>
      <c r="J461" s="48" t="n"/>
      <c r="K461" s="48" t="n"/>
      <c r="L461" s="48" t="n"/>
      <c r="M461" s="48" t="n"/>
      <c r="N461" s="48" t="n"/>
      <c r="O461" s="51">
        <f>IF(AND(B461="",G461="",C461="",D461="",J461=""),"",IF(B461="","⚠ Falta fecha",IF(G461="","⚠ Falta monto",IF(Q461="","⚠ Falta cuenta",IF(ISNA(MATCH(Q461,ctaNombre,0)),"⚠ Cuenta no registrada",IF(AND(OR(P461="Gasto",P461="Reembolso"),D461=""),"⚠ Falta categoría",IF(AND(D461&lt;&gt;"",E461&lt;&gt;"",ISNA(MATCH(D461&amp;"|"&amp;E461,catClave,0))),"⚠ Subcategoría no corresponde",IF(AND(OR(P461="Transferencia",P461="Pago tarjeta"),K461=""),"⚠ Falta cuenta destino",IF(AND(K461&lt;&gt;"",P461&lt;&gt;"Transferencia",P461&lt;&gt;"Pago tarjeta"),"⚠ Destino solo aplica a transferencias",IF(AND(K461&lt;&gt;"",K461=Q461),"⚠ Origen igual a destino",IF(AND(K461&lt;&gt;"",ISNA(MATCH(K461,ctaNombre,0))),"⚠ Destino no registrado",IF(AND(P461="Pago tarjeta",AE461&lt;&gt;"Tarjeta de crédito"),"⚠ El destino debe ser tarjeta de crédito",IF(AND(P461="Gasto",E461="Depósitos y retiros"),"⚠ Usa tipo Transferencia",IF(AND(P461="Resultado trading",AD461&lt;&gt;"Cuenta de trading"),"⚠ Usa una cuenta de trading",IF(AND(G461&lt;=0,P461&lt;&gt;"Ajuste",P461&lt;&gt;"Resultado trading"),"⚠ El monto debe ser positivo","✓")))))))))))))))</f>
        <v/>
      </c>
      <c r="P461" s="52">
        <f>IF(OR(B461="",G461=""),"",IF(C461="","Gasto",C461))</f>
        <v/>
      </c>
      <c r="Q461" s="52">
        <f>IF(P461="","",IF(J461&lt;&gt;"",J461,CuentaPred&amp;""))</f>
        <v/>
      </c>
      <c r="R461" s="52">
        <f>IF(P461="","",IF(ISNUMBER(I461),I461,TasaUSD))</f>
        <v/>
      </c>
      <c r="S461" s="53">
        <f>IF(P461="","",IF(H461="USD",G461*R461,G461))</f>
        <v/>
      </c>
      <c r="T461" s="53">
        <f>IF(P461="","",IF(H461="USD",G461,IF(R461&gt;0,G461/R461,0)))</f>
        <v/>
      </c>
      <c r="U461" s="53">
        <f>IF(P461="","",IF(P461="Gasto",S461,IF(P461="Reembolso",-S461,0)))</f>
        <v/>
      </c>
      <c r="V461" s="53">
        <f>IF(P461="","",IF(P461="Ingreso",S461,0))</f>
        <v/>
      </c>
      <c r="W461" s="53">
        <f>IF(P461="","",IF(P461="Resultado trading",S461,0))</f>
        <v/>
      </c>
      <c r="X461" s="52">
        <f>IF(OR(P461="Gasto",P461="Reembolso"),IF(M461&lt;&gt;"",M461,IFERROR(INDEX(catClasif,MATCH(D461&amp;"|"&amp;E461,catClave,0))&amp;"","Variable")),"")</f>
        <v/>
      </c>
      <c r="Y461" s="52">
        <f>IF(P461="","",IFERROR(INDEX(catGrupo,MATCH(D461&amp;"|"&amp;E461,catClave,0))&amp;"",""))</f>
        <v/>
      </c>
      <c r="Z461" s="52">
        <f>IF(P461="","",WEEKDAY(B461,2))</f>
        <v/>
      </c>
      <c r="AA461" s="52">
        <f>IF(P461="","",IF(AND(P461="Gasto",X461="Variable",D461&lt;&gt;catTrading,S461&gt;0,S461&lt;=Umbral),1,0))</f>
        <v/>
      </c>
      <c r="AB461" s="52">
        <f>IF(OR(P461="",Q461=""),"",IFERROR(IF(INDEX(ctaVinc,MATCH(Q461,ctaNombre,0))&amp;""&lt;&gt;"",INDEX(ctaVinc,MATCH(Q461,ctaNombre,0))&amp;"",Q461),Q461))</f>
        <v/>
      </c>
      <c r="AC461" s="52">
        <f>IF(OR(K461="",AND(P461&lt;&gt;"Transferencia",P461&lt;&gt;"Pago tarjeta")),"",IFERROR(IF(INDEX(ctaVinc,MATCH(K461,ctaNombre,0))&amp;""&lt;&gt;"",INDEX(ctaVinc,MATCH(K461,ctaNombre,0))&amp;"",K461),K461))</f>
        <v/>
      </c>
      <c r="AD461" s="52">
        <f>IF(AB461="","",IFERROR(INDEX(ctaTipo,MATCH(AB461,ctaNombre,0))&amp;"",""))</f>
        <v/>
      </c>
      <c r="AE461" s="52">
        <f>IF(AC461="","",IFERROR(INDEX(ctaTipo,MATCH(AC461,ctaNombre,0))&amp;"",""))</f>
        <v/>
      </c>
      <c r="AF461" s="53">
        <f>IF(OR(P461="",AB461=""),"",IF(OR(P461="Gasto",P461="Transferencia",P461="Pago tarjeta"),-1,1)*IF(IFERROR(INDEX(ctaMoneda,MATCH(AB461,ctaNombre,0))&amp;"","DOP")="USD",T461,S461))</f>
        <v/>
      </c>
      <c r="AG461" s="53">
        <f>IF(AC461="","",IF(IFERROR(INDEX(ctaMoneda,MATCH(AC461,ctaNombre,0))&amp;"","DOP")="USD",T461,S461))</f>
        <v/>
      </c>
      <c r="AH461" s="53">
        <f>IF(P461="","",IF(AND(AD461&lt;&gt;"",COUNTIFS(tcTipo,AD461,tcLiq,"Sí")&gt;0),IF(OR(P461="Gasto",P461="Transferencia",P461="Pago tarjeta"),-1,1)*S461,0)+IF(AND(AE461&lt;&gt;"",COUNTIFS(tcTipo,AE461,tcLiq,"Sí")&gt;0),S461,0))</f>
        <v/>
      </c>
      <c r="AI461" s="52">
        <f>IF(OR(L461="",P461=""),"",IF(COUNTIFS(L$6:L461,L461,P$6:P461,"?*")=1,MAX(AI$5:AI460)+1,""))</f>
        <v/>
      </c>
    </row>
    <row r="462">
      <c r="B462" s="47" t="n"/>
      <c r="C462" s="48" t="n"/>
      <c r="D462" s="48" t="n"/>
      <c r="E462" s="48" t="n"/>
      <c r="F462" s="48" t="n"/>
      <c r="G462" s="49" t="n"/>
      <c r="H462" s="48" t="n"/>
      <c r="I462" s="50" t="n"/>
      <c r="J462" s="48" t="n"/>
      <c r="K462" s="48" t="n"/>
      <c r="L462" s="48" t="n"/>
      <c r="M462" s="48" t="n"/>
      <c r="N462" s="48" t="n"/>
      <c r="O462" s="51">
        <f>IF(AND(B462="",G462="",C462="",D462="",J462=""),"",IF(B462="","⚠ Falta fecha",IF(G462="","⚠ Falta monto",IF(Q462="","⚠ Falta cuenta",IF(ISNA(MATCH(Q462,ctaNombre,0)),"⚠ Cuenta no registrada",IF(AND(OR(P462="Gasto",P462="Reembolso"),D462=""),"⚠ Falta categoría",IF(AND(D462&lt;&gt;"",E462&lt;&gt;"",ISNA(MATCH(D462&amp;"|"&amp;E462,catClave,0))),"⚠ Subcategoría no corresponde",IF(AND(OR(P462="Transferencia",P462="Pago tarjeta"),K462=""),"⚠ Falta cuenta destino",IF(AND(K462&lt;&gt;"",P462&lt;&gt;"Transferencia",P462&lt;&gt;"Pago tarjeta"),"⚠ Destino solo aplica a transferencias",IF(AND(K462&lt;&gt;"",K462=Q462),"⚠ Origen igual a destino",IF(AND(K462&lt;&gt;"",ISNA(MATCH(K462,ctaNombre,0))),"⚠ Destino no registrado",IF(AND(P462="Pago tarjeta",AE462&lt;&gt;"Tarjeta de crédito"),"⚠ El destino debe ser tarjeta de crédito",IF(AND(P462="Gasto",E462="Depósitos y retiros"),"⚠ Usa tipo Transferencia",IF(AND(P462="Resultado trading",AD462&lt;&gt;"Cuenta de trading"),"⚠ Usa una cuenta de trading",IF(AND(G462&lt;=0,P462&lt;&gt;"Ajuste",P462&lt;&gt;"Resultado trading"),"⚠ El monto debe ser positivo","✓")))))))))))))))</f>
        <v/>
      </c>
      <c r="P462" s="52">
        <f>IF(OR(B462="",G462=""),"",IF(C462="","Gasto",C462))</f>
        <v/>
      </c>
      <c r="Q462" s="52">
        <f>IF(P462="","",IF(J462&lt;&gt;"",J462,CuentaPred&amp;""))</f>
        <v/>
      </c>
      <c r="R462" s="52">
        <f>IF(P462="","",IF(ISNUMBER(I462),I462,TasaUSD))</f>
        <v/>
      </c>
      <c r="S462" s="53">
        <f>IF(P462="","",IF(H462="USD",G462*R462,G462))</f>
        <v/>
      </c>
      <c r="T462" s="53">
        <f>IF(P462="","",IF(H462="USD",G462,IF(R462&gt;0,G462/R462,0)))</f>
        <v/>
      </c>
      <c r="U462" s="53">
        <f>IF(P462="","",IF(P462="Gasto",S462,IF(P462="Reembolso",-S462,0)))</f>
        <v/>
      </c>
      <c r="V462" s="53">
        <f>IF(P462="","",IF(P462="Ingreso",S462,0))</f>
        <v/>
      </c>
      <c r="W462" s="53">
        <f>IF(P462="","",IF(P462="Resultado trading",S462,0))</f>
        <v/>
      </c>
      <c r="X462" s="52">
        <f>IF(OR(P462="Gasto",P462="Reembolso"),IF(M462&lt;&gt;"",M462,IFERROR(INDEX(catClasif,MATCH(D462&amp;"|"&amp;E462,catClave,0))&amp;"","Variable")),"")</f>
        <v/>
      </c>
      <c r="Y462" s="52">
        <f>IF(P462="","",IFERROR(INDEX(catGrupo,MATCH(D462&amp;"|"&amp;E462,catClave,0))&amp;"",""))</f>
        <v/>
      </c>
      <c r="Z462" s="52">
        <f>IF(P462="","",WEEKDAY(B462,2))</f>
        <v/>
      </c>
      <c r="AA462" s="52">
        <f>IF(P462="","",IF(AND(P462="Gasto",X462="Variable",D462&lt;&gt;catTrading,S462&gt;0,S462&lt;=Umbral),1,0))</f>
        <v/>
      </c>
      <c r="AB462" s="52">
        <f>IF(OR(P462="",Q462=""),"",IFERROR(IF(INDEX(ctaVinc,MATCH(Q462,ctaNombre,0))&amp;""&lt;&gt;"",INDEX(ctaVinc,MATCH(Q462,ctaNombre,0))&amp;"",Q462),Q462))</f>
        <v/>
      </c>
      <c r="AC462" s="52">
        <f>IF(OR(K462="",AND(P462&lt;&gt;"Transferencia",P462&lt;&gt;"Pago tarjeta")),"",IFERROR(IF(INDEX(ctaVinc,MATCH(K462,ctaNombre,0))&amp;""&lt;&gt;"",INDEX(ctaVinc,MATCH(K462,ctaNombre,0))&amp;"",K462),K462))</f>
        <v/>
      </c>
      <c r="AD462" s="52">
        <f>IF(AB462="","",IFERROR(INDEX(ctaTipo,MATCH(AB462,ctaNombre,0))&amp;"",""))</f>
        <v/>
      </c>
      <c r="AE462" s="52">
        <f>IF(AC462="","",IFERROR(INDEX(ctaTipo,MATCH(AC462,ctaNombre,0))&amp;"",""))</f>
        <v/>
      </c>
      <c r="AF462" s="53">
        <f>IF(OR(P462="",AB462=""),"",IF(OR(P462="Gasto",P462="Transferencia",P462="Pago tarjeta"),-1,1)*IF(IFERROR(INDEX(ctaMoneda,MATCH(AB462,ctaNombre,0))&amp;"","DOP")="USD",T462,S462))</f>
        <v/>
      </c>
      <c r="AG462" s="53">
        <f>IF(AC462="","",IF(IFERROR(INDEX(ctaMoneda,MATCH(AC462,ctaNombre,0))&amp;"","DOP")="USD",T462,S462))</f>
        <v/>
      </c>
      <c r="AH462" s="53">
        <f>IF(P462="","",IF(AND(AD462&lt;&gt;"",COUNTIFS(tcTipo,AD462,tcLiq,"Sí")&gt;0),IF(OR(P462="Gasto",P462="Transferencia",P462="Pago tarjeta"),-1,1)*S462,0)+IF(AND(AE462&lt;&gt;"",COUNTIFS(tcTipo,AE462,tcLiq,"Sí")&gt;0),S462,0))</f>
        <v/>
      </c>
      <c r="AI462" s="52">
        <f>IF(OR(L462="",P462=""),"",IF(COUNTIFS(L$6:L462,L462,P$6:P462,"?*")=1,MAX(AI$5:AI461)+1,""))</f>
        <v/>
      </c>
    </row>
    <row r="463">
      <c r="B463" s="47" t="n"/>
      <c r="C463" s="48" t="n"/>
      <c r="D463" s="48" t="n"/>
      <c r="E463" s="48" t="n"/>
      <c r="F463" s="48" t="n"/>
      <c r="G463" s="49" t="n"/>
      <c r="H463" s="48" t="n"/>
      <c r="I463" s="50" t="n"/>
      <c r="J463" s="48" t="n"/>
      <c r="K463" s="48" t="n"/>
      <c r="L463" s="48" t="n"/>
      <c r="M463" s="48" t="n"/>
      <c r="N463" s="48" t="n"/>
      <c r="O463" s="51">
        <f>IF(AND(B463="",G463="",C463="",D463="",J463=""),"",IF(B463="","⚠ Falta fecha",IF(G463="","⚠ Falta monto",IF(Q463="","⚠ Falta cuenta",IF(ISNA(MATCH(Q463,ctaNombre,0)),"⚠ Cuenta no registrada",IF(AND(OR(P463="Gasto",P463="Reembolso"),D463=""),"⚠ Falta categoría",IF(AND(D463&lt;&gt;"",E463&lt;&gt;"",ISNA(MATCH(D463&amp;"|"&amp;E463,catClave,0))),"⚠ Subcategoría no corresponde",IF(AND(OR(P463="Transferencia",P463="Pago tarjeta"),K463=""),"⚠ Falta cuenta destino",IF(AND(K463&lt;&gt;"",P463&lt;&gt;"Transferencia",P463&lt;&gt;"Pago tarjeta"),"⚠ Destino solo aplica a transferencias",IF(AND(K463&lt;&gt;"",K463=Q463),"⚠ Origen igual a destino",IF(AND(K463&lt;&gt;"",ISNA(MATCH(K463,ctaNombre,0))),"⚠ Destino no registrado",IF(AND(P463="Pago tarjeta",AE463&lt;&gt;"Tarjeta de crédito"),"⚠ El destino debe ser tarjeta de crédito",IF(AND(P463="Gasto",E463="Depósitos y retiros"),"⚠ Usa tipo Transferencia",IF(AND(P463="Resultado trading",AD463&lt;&gt;"Cuenta de trading"),"⚠ Usa una cuenta de trading",IF(AND(G463&lt;=0,P463&lt;&gt;"Ajuste",P463&lt;&gt;"Resultado trading"),"⚠ El monto debe ser positivo","✓")))))))))))))))</f>
        <v/>
      </c>
      <c r="P463" s="52">
        <f>IF(OR(B463="",G463=""),"",IF(C463="","Gasto",C463))</f>
        <v/>
      </c>
      <c r="Q463" s="52">
        <f>IF(P463="","",IF(J463&lt;&gt;"",J463,CuentaPred&amp;""))</f>
        <v/>
      </c>
      <c r="R463" s="52">
        <f>IF(P463="","",IF(ISNUMBER(I463),I463,TasaUSD))</f>
        <v/>
      </c>
      <c r="S463" s="53">
        <f>IF(P463="","",IF(H463="USD",G463*R463,G463))</f>
        <v/>
      </c>
      <c r="T463" s="53">
        <f>IF(P463="","",IF(H463="USD",G463,IF(R463&gt;0,G463/R463,0)))</f>
        <v/>
      </c>
      <c r="U463" s="53">
        <f>IF(P463="","",IF(P463="Gasto",S463,IF(P463="Reembolso",-S463,0)))</f>
        <v/>
      </c>
      <c r="V463" s="53">
        <f>IF(P463="","",IF(P463="Ingreso",S463,0))</f>
        <v/>
      </c>
      <c r="W463" s="53">
        <f>IF(P463="","",IF(P463="Resultado trading",S463,0))</f>
        <v/>
      </c>
      <c r="X463" s="52">
        <f>IF(OR(P463="Gasto",P463="Reembolso"),IF(M463&lt;&gt;"",M463,IFERROR(INDEX(catClasif,MATCH(D463&amp;"|"&amp;E463,catClave,0))&amp;"","Variable")),"")</f>
        <v/>
      </c>
      <c r="Y463" s="52">
        <f>IF(P463="","",IFERROR(INDEX(catGrupo,MATCH(D463&amp;"|"&amp;E463,catClave,0))&amp;"",""))</f>
        <v/>
      </c>
      <c r="Z463" s="52">
        <f>IF(P463="","",WEEKDAY(B463,2))</f>
        <v/>
      </c>
      <c r="AA463" s="52">
        <f>IF(P463="","",IF(AND(P463="Gasto",X463="Variable",D463&lt;&gt;catTrading,S463&gt;0,S463&lt;=Umbral),1,0))</f>
        <v/>
      </c>
      <c r="AB463" s="52">
        <f>IF(OR(P463="",Q463=""),"",IFERROR(IF(INDEX(ctaVinc,MATCH(Q463,ctaNombre,0))&amp;""&lt;&gt;"",INDEX(ctaVinc,MATCH(Q463,ctaNombre,0))&amp;"",Q463),Q463))</f>
        <v/>
      </c>
      <c r="AC463" s="52">
        <f>IF(OR(K463="",AND(P463&lt;&gt;"Transferencia",P463&lt;&gt;"Pago tarjeta")),"",IFERROR(IF(INDEX(ctaVinc,MATCH(K463,ctaNombre,0))&amp;""&lt;&gt;"",INDEX(ctaVinc,MATCH(K463,ctaNombre,0))&amp;"",K463),K463))</f>
        <v/>
      </c>
      <c r="AD463" s="52">
        <f>IF(AB463="","",IFERROR(INDEX(ctaTipo,MATCH(AB463,ctaNombre,0))&amp;"",""))</f>
        <v/>
      </c>
      <c r="AE463" s="52">
        <f>IF(AC463="","",IFERROR(INDEX(ctaTipo,MATCH(AC463,ctaNombre,0))&amp;"",""))</f>
        <v/>
      </c>
      <c r="AF463" s="53">
        <f>IF(OR(P463="",AB463=""),"",IF(OR(P463="Gasto",P463="Transferencia",P463="Pago tarjeta"),-1,1)*IF(IFERROR(INDEX(ctaMoneda,MATCH(AB463,ctaNombre,0))&amp;"","DOP")="USD",T463,S463))</f>
        <v/>
      </c>
      <c r="AG463" s="53">
        <f>IF(AC463="","",IF(IFERROR(INDEX(ctaMoneda,MATCH(AC463,ctaNombre,0))&amp;"","DOP")="USD",T463,S463))</f>
        <v/>
      </c>
      <c r="AH463" s="53">
        <f>IF(P463="","",IF(AND(AD463&lt;&gt;"",COUNTIFS(tcTipo,AD463,tcLiq,"Sí")&gt;0),IF(OR(P463="Gasto",P463="Transferencia",P463="Pago tarjeta"),-1,1)*S463,0)+IF(AND(AE463&lt;&gt;"",COUNTIFS(tcTipo,AE463,tcLiq,"Sí")&gt;0),S463,0))</f>
        <v/>
      </c>
      <c r="AI463" s="52">
        <f>IF(OR(L463="",P463=""),"",IF(COUNTIFS(L$6:L463,L463,P$6:P463,"?*")=1,MAX(AI$5:AI462)+1,""))</f>
        <v/>
      </c>
    </row>
    <row r="464">
      <c r="B464" s="47" t="n"/>
      <c r="C464" s="48" t="n"/>
      <c r="D464" s="48" t="n"/>
      <c r="E464" s="48" t="n"/>
      <c r="F464" s="48" t="n"/>
      <c r="G464" s="49" t="n"/>
      <c r="H464" s="48" t="n"/>
      <c r="I464" s="50" t="n"/>
      <c r="J464" s="48" t="n"/>
      <c r="K464" s="48" t="n"/>
      <c r="L464" s="48" t="n"/>
      <c r="M464" s="48" t="n"/>
      <c r="N464" s="48" t="n"/>
      <c r="O464" s="51">
        <f>IF(AND(B464="",G464="",C464="",D464="",J464=""),"",IF(B464="","⚠ Falta fecha",IF(G464="","⚠ Falta monto",IF(Q464="","⚠ Falta cuenta",IF(ISNA(MATCH(Q464,ctaNombre,0)),"⚠ Cuenta no registrada",IF(AND(OR(P464="Gasto",P464="Reembolso"),D464=""),"⚠ Falta categoría",IF(AND(D464&lt;&gt;"",E464&lt;&gt;"",ISNA(MATCH(D464&amp;"|"&amp;E464,catClave,0))),"⚠ Subcategoría no corresponde",IF(AND(OR(P464="Transferencia",P464="Pago tarjeta"),K464=""),"⚠ Falta cuenta destino",IF(AND(K464&lt;&gt;"",P464&lt;&gt;"Transferencia",P464&lt;&gt;"Pago tarjeta"),"⚠ Destino solo aplica a transferencias",IF(AND(K464&lt;&gt;"",K464=Q464),"⚠ Origen igual a destino",IF(AND(K464&lt;&gt;"",ISNA(MATCH(K464,ctaNombre,0))),"⚠ Destino no registrado",IF(AND(P464="Pago tarjeta",AE464&lt;&gt;"Tarjeta de crédito"),"⚠ El destino debe ser tarjeta de crédito",IF(AND(P464="Gasto",E464="Depósitos y retiros"),"⚠ Usa tipo Transferencia",IF(AND(P464="Resultado trading",AD464&lt;&gt;"Cuenta de trading"),"⚠ Usa una cuenta de trading",IF(AND(G464&lt;=0,P464&lt;&gt;"Ajuste",P464&lt;&gt;"Resultado trading"),"⚠ El monto debe ser positivo","✓")))))))))))))))</f>
        <v/>
      </c>
      <c r="P464" s="52">
        <f>IF(OR(B464="",G464=""),"",IF(C464="","Gasto",C464))</f>
        <v/>
      </c>
      <c r="Q464" s="52">
        <f>IF(P464="","",IF(J464&lt;&gt;"",J464,CuentaPred&amp;""))</f>
        <v/>
      </c>
      <c r="R464" s="52">
        <f>IF(P464="","",IF(ISNUMBER(I464),I464,TasaUSD))</f>
        <v/>
      </c>
      <c r="S464" s="53">
        <f>IF(P464="","",IF(H464="USD",G464*R464,G464))</f>
        <v/>
      </c>
      <c r="T464" s="53">
        <f>IF(P464="","",IF(H464="USD",G464,IF(R464&gt;0,G464/R464,0)))</f>
        <v/>
      </c>
      <c r="U464" s="53">
        <f>IF(P464="","",IF(P464="Gasto",S464,IF(P464="Reembolso",-S464,0)))</f>
        <v/>
      </c>
      <c r="V464" s="53">
        <f>IF(P464="","",IF(P464="Ingreso",S464,0))</f>
        <v/>
      </c>
      <c r="W464" s="53">
        <f>IF(P464="","",IF(P464="Resultado trading",S464,0))</f>
        <v/>
      </c>
      <c r="X464" s="52">
        <f>IF(OR(P464="Gasto",P464="Reembolso"),IF(M464&lt;&gt;"",M464,IFERROR(INDEX(catClasif,MATCH(D464&amp;"|"&amp;E464,catClave,0))&amp;"","Variable")),"")</f>
        <v/>
      </c>
      <c r="Y464" s="52">
        <f>IF(P464="","",IFERROR(INDEX(catGrupo,MATCH(D464&amp;"|"&amp;E464,catClave,0))&amp;"",""))</f>
        <v/>
      </c>
      <c r="Z464" s="52">
        <f>IF(P464="","",WEEKDAY(B464,2))</f>
        <v/>
      </c>
      <c r="AA464" s="52">
        <f>IF(P464="","",IF(AND(P464="Gasto",X464="Variable",D464&lt;&gt;catTrading,S464&gt;0,S464&lt;=Umbral),1,0))</f>
        <v/>
      </c>
      <c r="AB464" s="52">
        <f>IF(OR(P464="",Q464=""),"",IFERROR(IF(INDEX(ctaVinc,MATCH(Q464,ctaNombre,0))&amp;""&lt;&gt;"",INDEX(ctaVinc,MATCH(Q464,ctaNombre,0))&amp;"",Q464),Q464))</f>
        <v/>
      </c>
      <c r="AC464" s="52">
        <f>IF(OR(K464="",AND(P464&lt;&gt;"Transferencia",P464&lt;&gt;"Pago tarjeta")),"",IFERROR(IF(INDEX(ctaVinc,MATCH(K464,ctaNombre,0))&amp;""&lt;&gt;"",INDEX(ctaVinc,MATCH(K464,ctaNombre,0))&amp;"",K464),K464))</f>
        <v/>
      </c>
      <c r="AD464" s="52">
        <f>IF(AB464="","",IFERROR(INDEX(ctaTipo,MATCH(AB464,ctaNombre,0))&amp;"",""))</f>
        <v/>
      </c>
      <c r="AE464" s="52">
        <f>IF(AC464="","",IFERROR(INDEX(ctaTipo,MATCH(AC464,ctaNombre,0))&amp;"",""))</f>
        <v/>
      </c>
      <c r="AF464" s="53">
        <f>IF(OR(P464="",AB464=""),"",IF(OR(P464="Gasto",P464="Transferencia",P464="Pago tarjeta"),-1,1)*IF(IFERROR(INDEX(ctaMoneda,MATCH(AB464,ctaNombre,0))&amp;"","DOP")="USD",T464,S464))</f>
        <v/>
      </c>
      <c r="AG464" s="53">
        <f>IF(AC464="","",IF(IFERROR(INDEX(ctaMoneda,MATCH(AC464,ctaNombre,0))&amp;"","DOP")="USD",T464,S464))</f>
        <v/>
      </c>
      <c r="AH464" s="53">
        <f>IF(P464="","",IF(AND(AD464&lt;&gt;"",COUNTIFS(tcTipo,AD464,tcLiq,"Sí")&gt;0),IF(OR(P464="Gasto",P464="Transferencia",P464="Pago tarjeta"),-1,1)*S464,0)+IF(AND(AE464&lt;&gt;"",COUNTIFS(tcTipo,AE464,tcLiq,"Sí")&gt;0),S464,0))</f>
        <v/>
      </c>
      <c r="AI464" s="52">
        <f>IF(OR(L464="",P464=""),"",IF(COUNTIFS(L$6:L464,L464,P$6:P464,"?*")=1,MAX(AI$5:AI463)+1,""))</f>
        <v/>
      </c>
    </row>
    <row r="465">
      <c r="B465" s="47" t="n"/>
      <c r="C465" s="48" t="n"/>
      <c r="D465" s="48" t="n"/>
      <c r="E465" s="48" t="n"/>
      <c r="F465" s="48" t="n"/>
      <c r="G465" s="49" t="n"/>
      <c r="H465" s="48" t="n"/>
      <c r="I465" s="50" t="n"/>
      <c r="J465" s="48" t="n"/>
      <c r="K465" s="48" t="n"/>
      <c r="L465" s="48" t="n"/>
      <c r="M465" s="48" t="n"/>
      <c r="N465" s="48" t="n"/>
      <c r="O465" s="51">
        <f>IF(AND(B465="",G465="",C465="",D465="",J465=""),"",IF(B465="","⚠ Falta fecha",IF(G465="","⚠ Falta monto",IF(Q465="","⚠ Falta cuenta",IF(ISNA(MATCH(Q465,ctaNombre,0)),"⚠ Cuenta no registrada",IF(AND(OR(P465="Gasto",P465="Reembolso"),D465=""),"⚠ Falta categoría",IF(AND(D465&lt;&gt;"",E465&lt;&gt;"",ISNA(MATCH(D465&amp;"|"&amp;E465,catClave,0))),"⚠ Subcategoría no corresponde",IF(AND(OR(P465="Transferencia",P465="Pago tarjeta"),K465=""),"⚠ Falta cuenta destino",IF(AND(K465&lt;&gt;"",P465&lt;&gt;"Transferencia",P465&lt;&gt;"Pago tarjeta"),"⚠ Destino solo aplica a transferencias",IF(AND(K465&lt;&gt;"",K465=Q465),"⚠ Origen igual a destino",IF(AND(K465&lt;&gt;"",ISNA(MATCH(K465,ctaNombre,0))),"⚠ Destino no registrado",IF(AND(P465="Pago tarjeta",AE465&lt;&gt;"Tarjeta de crédito"),"⚠ El destino debe ser tarjeta de crédito",IF(AND(P465="Gasto",E465="Depósitos y retiros"),"⚠ Usa tipo Transferencia",IF(AND(P465="Resultado trading",AD465&lt;&gt;"Cuenta de trading"),"⚠ Usa una cuenta de trading",IF(AND(G465&lt;=0,P465&lt;&gt;"Ajuste",P465&lt;&gt;"Resultado trading"),"⚠ El monto debe ser positivo","✓")))))))))))))))</f>
        <v/>
      </c>
      <c r="P465" s="52">
        <f>IF(OR(B465="",G465=""),"",IF(C465="","Gasto",C465))</f>
        <v/>
      </c>
      <c r="Q465" s="52">
        <f>IF(P465="","",IF(J465&lt;&gt;"",J465,CuentaPred&amp;""))</f>
        <v/>
      </c>
      <c r="R465" s="52">
        <f>IF(P465="","",IF(ISNUMBER(I465),I465,TasaUSD))</f>
        <v/>
      </c>
      <c r="S465" s="53">
        <f>IF(P465="","",IF(H465="USD",G465*R465,G465))</f>
        <v/>
      </c>
      <c r="T465" s="53">
        <f>IF(P465="","",IF(H465="USD",G465,IF(R465&gt;0,G465/R465,0)))</f>
        <v/>
      </c>
      <c r="U465" s="53">
        <f>IF(P465="","",IF(P465="Gasto",S465,IF(P465="Reembolso",-S465,0)))</f>
        <v/>
      </c>
      <c r="V465" s="53">
        <f>IF(P465="","",IF(P465="Ingreso",S465,0))</f>
        <v/>
      </c>
      <c r="W465" s="53">
        <f>IF(P465="","",IF(P465="Resultado trading",S465,0))</f>
        <v/>
      </c>
      <c r="X465" s="52">
        <f>IF(OR(P465="Gasto",P465="Reembolso"),IF(M465&lt;&gt;"",M465,IFERROR(INDEX(catClasif,MATCH(D465&amp;"|"&amp;E465,catClave,0))&amp;"","Variable")),"")</f>
        <v/>
      </c>
      <c r="Y465" s="52">
        <f>IF(P465="","",IFERROR(INDEX(catGrupo,MATCH(D465&amp;"|"&amp;E465,catClave,0))&amp;"",""))</f>
        <v/>
      </c>
      <c r="Z465" s="52">
        <f>IF(P465="","",WEEKDAY(B465,2))</f>
        <v/>
      </c>
      <c r="AA465" s="52">
        <f>IF(P465="","",IF(AND(P465="Gasto",X465="Variable",D465&lt;&gt;catTrading,S465&gt;0,S465&lt;=Umbral),1,0))</f>
        <v/>
      </c>
      <c r="AB465" s="52">
        <f>IF(OR(P465="",Q465=""),"",IFERROR(IF(INDEX(ctaVinc,MATCH(Q465,ctaNombre,0))&amp;""&lt;&gt;"",INDEX(ctaVinc,MATCH(Q465,ctaNombre,0))&amp;"",Q465),Q465))</f>
        <v/>
      </c>
      <c r="AC465" s="52">
        <f>IF(OR(K465="",AND(P465&lt;&gt;"Transferencia",P465&lt;&gt;"Pago tarjeta")),"",IFERROR(IF(INDEX(ctaVinc,MATCH(K465,ctaNombre,0))&amp;""&lt;&gt;"",INDEX(ctaVinc,MATCH(K465,ctaNombre,0))&amp;"",K465),K465))</f>
        <v/>
      </c>
      <c r="AD465" s="52">
        <f>IF(AB465="","",IFERROR(INDEX(ctaTipo,MATCH(AB465,ctaNombre,0))&amp;"",""))</f>
        <v/>
      </c>
      <c r="AE465" s="52">
        <f>IF(AC465="","",IFERROR(INDEX(ctaTipo,MATCH(AC465,ctaNombre,0))&amp;"",""))</f>
        <v/>
      </c>
      <c r="AF465" s="53">
        <f>IF(OR(P465="",AB465=""),"",IF(OR(P465="Gasto",P465="Transferencia",P465="Pago tarjeta"),-1,1)*IF(IFERROR(INDEX(ctaMoneda,MATCH(AB465,ctaNombre,0))&amp;"","DOP")="USD",T465,S465))</f>
        <v/>
      </c>
      <c r="AG465" s="53">
        <f>IF(AC465="","",IF(IFERROR(INDEX(ctaMoneda,MATCH(AC465,ctaNombre,0))&amp;"","DOP")="USD",T465,S465))</f>
        <v/>
      </c>
      <c r="AH465" s="53">
        <f>IF(P465="","",IF(AND(AD465&lt;&gt;"",COUNTIFS(tcTipo,AD465,tcLiq,"Sí")&gt;0),IF(OR(P465="Gasto",P465="Transferencia",P465="Pago tarjeta"),-1,1)*S465,0)+IF(AND(AE465&lt;&gt;"",COUNTIFS(tcTipo,AE465,tcLiq,"Sí")&gt;0),S465,0))</f>
        <v/>
      </c>
      <c r="AI465" s="52">
        <f>IF(OR(L465="",P465=""),"",IF(COUNTIFS(L$6:L465,L465,P$6:P465,"?*")=1,MAX(AI$5:AI464)+1,""))</f>
        <v/>
      </c>
    </row>
    <row r="466">
      <c r="B466" s="47" t="n"/>
      <c r="C466" s="48" t="n"/>
      <c r="D466" s="48" t="n"/>
      <c r="E466" s="48" t="n"/>
      <c r="F466" s="48" t="n"/>
      <c r="G466" s="49" t="n"/>
      <c r="H466" s="48" t="n"/>
      <c r="I466" s="50" t="n"/>
      <c r="J466" s="48" t="n"/>
      <c r="K466" s="48" t="n"/>
      <c r="L466" s="48" t="n"/>
      <c r="M466" s="48" t="n"/>
      <c r="N466" s="48" t="n"/>
      <c r="O466" s="51">
        <f>IF(AND(B466="",G466="",C466="",D466="",J466=""),"",IF(B466="","⚠ Falta fecha",IF(G466="","⚠ Falta monto",IF(Q466="","⚠ Falta cuenta",IF(ISNA(MATCH(Q466,ctaNombre,0)),"⚠ Cuenta no registrada",IF(AND(OR(P466="Gasto",P466="Reembolso"),D466=""),"⚠ Falta categoría",IF(AND(D466&lt;&gt;"",E466&lt;&gt;"",ISNA(MATCH(D466&amp;"|"&amp;E466,catClave,0))),"⚠ Subcategoría no corresponde",IF(AND(OR(P466="Transferencia",P466="Pago tarjeta"),K466=""),"⚠ Falta cuenta destino",IF(AND(K466&lt;&gt;"",P466&lt;&gt;"Transferencia",P466&lt;&gt;"Pago tarjeta"),"⚠ Destino solo aplica a transferencias",IF(AND(K466&lt;&gt;"",K466=Q466),"⚠ Origen igual a destino",IF(AND(K466&lt;&gt;"",ISNA(MATCH(K466,ctaNombre,0))),"⚠ Destino no registrado",IF(AND(P466="Pago tarjeta",AE466&lt;&gt;"Tarjeta de crédito"),"⚠ El destino debe ser tarjeta de crédito",IF(AND(P466="Gasto",E466="Depósitos y retiros"),"⚠ Usa tipo Transferencia",IF(AND(P466="Resultado trading",AD466&lt;&gt;"Cuenta de trading"),"⚠ Usa una cuenta de trading",IF(AND(G466&lt;=0,P466&lt;&gt;"Ajuste",P466&lt;&gt;"Resultado trading"),"⚠ El monto debe ser positivo","✓")))))))))))))))</f>
        <v/>
      </c>
      <c r="P466" s="52">
        <f>IF(OR(B466="",G466=""),"",IF(C466="","Gasto",C466))</f>
        <v/>
      </c>
      <c r="Q466" s="52">
        <f>IF(P466="","",IF(J466&lt;&gt;"",J466,CuentaPred&amp;""))</f>
        <v/>
      </c>
      <c r="R466" s="52">
        <f>IF(P466="","",IF(ISNUMBER(I466),I466,TasaUSD))</f>
        <v/>
      </c>
      <c r="S466" s="53">
        <f>IF(P466="","",IF(H466="USD",G466*R466,G466))</f>
        <v/>
      </c>
      <c r="T466" s="53">
        <f>IF(P466="","",IF(H466="USD",G466,IF(R466&gt;0,G466/R466,0)))</f>
        <v/>
      </c>
      <c r="U466" s="53">
        <f>IF(P466="","",IF(P466="Gasto",S466,IF(P466="Reembolso",-S466,0)))</f>
        <v/>
      </c>
      <c r="V466" s="53">
        <f>IF(P466="","",IF(P466="Ingreso",S466,0))</f>
        <v/>
      </c>
      <c r="W466" s="53">
        <f>IF(P466="","",IF(P466="Resultado trading",S466,0))</f>
        <v/>
      </c>
      <c r="X466" s="52">
        <f>IF(OR(P466="Gasto",P466="Reembolso"),IF(M466&lt;&gt;"",M466,IFERROR(INDEX(catClasif,MATCH(D466&amp;"|"&amp;E466,catClave,0))&amp;"","Variable")),"")</f>
        <v/>
      </c>
      <c r="Y466" s="52">
        <f>IF(P466="","",IFERROR(INDEX(catGrupo,MATCH(D466&amp;"|"&amp;E466,catClave,0))&amp;"",""))</f>
        <v/>
      </c>
      <c r="Z466" s="52">
        <f>IF(P466="","",WEEKDAY(B466,2))</f>
        <v/>
      </c>
      <c r="AA466" s="52">
        <f>IF(P466="","",IF(AND(P466="Gasto",X466="Variable",D466&lt;&gt;catTrading,S466&gt;0,S466&lt;=Umbral),1,0))</f>
        <v/>
      </c>
      <c r="AB466" s="52">
        <f>IF(OR(P466="",Q466=""),"",IFERROR(IF(INDEX(ctaVinc,MATCH(Q466,ctaNombre,0))&amp;""&lt;&gt;"",INDEX(ctaVinc,MATCH(Q466,ctaNombre,0))&amp;"",Q466),Q466))</f>
        <v/>
      </c>
      <c r="AC466" s="52">
        <f>IF(OR(K466="",AND(P466&lt;&gt;"Transferencia",P466&lt;&gt;"Pago tarjeta")),"",IFERROR(IF(INDEX(ctaVinc,MATCH(K466,ctaNombre,0))&amp;""&lt;&gt;"",INDEX(ctaVinc,MATCH(K466,ctaNombre,0))&amp;"",K466),K466))</f>
        <v/>
      </c>
      <c r="AD466" s="52">
        <f>IF(AB466="","",IFERROR(INDEX(ctaTipo,MATCH(AB466,ctaNombre,0))&amp;"",""))</f>
        <v/>
      </c>
      <c r="AE466" s="52">
        <f>IF(AC466="","",IFERROR(INDEX(ctaTipo,MATCH(AC466,ctaNombre,0))&amp;"",""))</f>
        <v/>
      </c>
      <c r="AF466" s="53">
        <f>IF(OR(P466="",AB466=""),"",IF(OR(P466="Gasto",P466="Transferencia",P466="Pago tarjeta"),-1,1)*IF(IFERROR(INDEX(ctaMoneda,MATCH(AB466,ctaNombre,0))&amp;"","DOP")="USD",T466,S466))</f>
        <v/>
      </c>
      <c r="AG466" s="53">
        <f>IF(AC466="","",IF(IFERROR(INDEX(ctaMoneda,MATCH(AC466,ctaNombre,0))&amp;"","DOP")="USD",T466,S466))</f>
        <v/>
      </c>
      <c r="AH466" s="53">
        <f>IF(P466="","",IF(AND(AD466&lt;&gt;"",COUNTIFS(tcTipo,AD466,tcLiq,"Sí")&gt;0),IF(OR(P466="Gasto",P466="Transferencia",P466="Pago tarjeta"),-1,1)*S466,0)+IF(AND(AE466&lt;&gt;"",COUNTIFS(tcTipo,AE466,tcLiq,"Sí")&gt;0),S466,0))</f>
        <v/>
      </c>
      <c r="AI466" s="52">
        <f>IF(OR(L466="",P466=""),"",IF(COUNTIFS(L$6:L466,L466,P$6:P466,"?*")=1,MAX(AI$5:AI465)+1,""))</f>
        <v/>
      </c>
    </row>
    <row r="467">
      <c r="B467" s="47" t="n"/>
      <c r="C467" s="48" t="n"/>
      <c r="D467" s="48" t="n"/>
      <c r="E467" s="48" t="n"/>
      <c r="F467" s="48" t="n"/>
      <c r="G467" s="49" t="n"/>
      <c r="H467" s="48" t="n"/>
      <c r="I467" s="50" t="n"/>
      <c r="J467" s="48" t="n"/>
      <c r="K467" s="48" t="n"/>
      <c r="L467" s="48" t="n"/>
      <c r="M467" s="48" t="n"/>
      <c r="N467" s="48" t="n"/>
      <c r="O467" s="51">
        <f>IF(AND(B467="",G467="",C467="",D467="",J467=""),"",IF(B467="","⚠ Falta fecha",IF(G467="","⚠ Falta monto",IF(Q467="","⚠ Falta cuenta",IF(ISNA(MATCH(Q467,ctaNombre,0)),"⚠ Cuenta no registrada",IF(AND(OR(P467="Gasto",P467="Reembolso"),D467=""),"⚠ Falta categoría",IF(AND(D467&lt;&gt;"",E467&lt;&gt;"",ISNA(MATCH(D467&amp;"|"&amp;E467,catClave,0))),"⚠ Subcategoría no corresponde",IF(AND(OR(P467="Transferencia",P467="Pago tarjeta"),K467=""),"⚠ Falta cuenta destino",IF(AND(K467&lt;&gt;"",P467&lt;&gt;"Transferencia",P467&lt;&gt;"Pago tarjeta"),"⚠ Destino solo aplica a transferencias",IF(AND(K467&lt;&gt;"",K467=Q467),"⚠ Origen igual a destino",IF(AND(K467&lt;&gt;"",ISNA(MATCH(K467,ctaNombre,0))),"⚠ Destino no registrado",IF(AND(P467="Pago tarjeta",AE467&lt;&gt;"Tarjeta de crédito"),"⚠ El destino debe ser tarjeta de crédito",IF(AND(P467="Gasto",E467="Depósitos y retiros"),"⚠ Usa tipo Transferencia",IF(AND(P467="Resultado trading",AD467&lt;&gt;"Cuenta de trading"),"⚠ Usa una cuenta de trading",IF(AND(G467&lt;=0,P467&lt;&gt;"Ajuste",P467&lt;&gt;"Resultado trading"),"⚠ El monto debe ser positivo","✓")))))))))))))))</f>
        <v/>
      </c>
      <c r="P467" s="52">
        <f>IF(OR(B467="",G467=""),"",IF(C467="","Gasto",C467))</f>
        <v/>
      </c>
      <c r="Q467" s="52">
        <f>IF(P467="","",IF(J467&lt;&gt;"",J467,CuentaPred&amp;""))</f>
        <v/>
      </c>
      <c r="R467" s="52">
        <f>IF(P467="","",IF(ISNUMBER(I467),I467,TasaUSD))</f>
        <v/>
      </c>
      <c r="S467" s="53">
        <f>IF(P467="","",IF(H467="USD",G467*R467,G467))</f>
        <v/>
      </c>
      <c r="T467" s="53">
        <f>IF(P467="","",IF(H467="USD",G467,IF(R467&gt;0,G467/R467,0)))</f>
        <v/>
      </c>
      <c r="U467" s="53">
        <f>IF(P467="","",IF(P467="Gasto",S467,IF(P467="Reembolso",-S467,0)))</f>
        <v/>
      </c>
      <c r="V467" s="53">
        <f>IF(P467="","",IF(P467="Ingreso",S467,0))</f>
        <v/>
      </c>
      <c r="W467" s="53">
        <f>IF(P467="","",IF(P467="Resultado trading",S467,0))</f>
        <v/>
      </c>
      <c r="X467" s="52">
        <f>IF(OR(P467="Gasto",P467="Reembolso"),IF(M467&lt;&gt;"",M467,IFERROR(INDEX(catClasif,MATCH(D467&amp;"|"&amp;E467,catClave,0))&amp;"","Variable")),"")</f>
        <v/>
      </c>
      <c r="Y467" s="52">
        <f>IF(P467="","",IFERROR(INDEX(catGrupo,MATCH(D467&amp;"|"&amp;E467,catClave,0))&amp;"",""))</f>
        <v/>
      </c>
      <c r="Z467" s="52">
        <f>IF(P467="","",WEEKDAY(B467,2))</f>
        <v/>
      </c>
      <c r="AA467" s="52">
        <f>IF(P467="","",IF(AND(P467="Gasto",X467="Variable",D467&lt;&gt;catTrading,S467&gt;0,S467&lt;=Umbral),1,0))</f>
        <v/>
      </c>
      <c r="AB467" s="52">
        <f>IF(OR(P467="",Q467=""),"",IFERROR(IF(INDEX(ctaVinc,MATCH(Q467,ctaNombre,0))&amp;""&lt;&gt;"",INDEX(ctaVinc,MATCH(Q467,ctaNombre,0))&amp;"",Q467),Q467))</f>
        <v/>
      </c>
      <c r="AC467" s="52">
        <f>IF(OR(K467="",AND(P467&lt;&gt;"Transferencia",P467&lt;&gt;"Pago tarjeta")),"",IFERROR(IF(INDEX(ctaVinc,MATCH(K467,ctaNombre,0))&amp;""&lt;&gt;"",INDEX(ctaVinc,MATCH(K467,ctaNombre,0))&amp;"",K467),K467))</f>
        <v/>
      </c>
      <c r="AD467" s="52">
        <f>IF(AB467="","",IFERROR(INDEX(ctaTipo,MATCH(AB467,ctaNombre,0))&amp;"",""))</f>
        <v/>
      </c>
      <c r="AE467" s="52">
        <f>IF(AC467="","",IFERROR(INDEX(ctaTipo,MATCH(AC467,ctaNombre,0))&amp;"",""))</f>
        <v/>
      </c>
      <c r="AF467" s="53">
        <f>IF(OR(P467="",AB467=""),"",IF(OR(P467="Gasto",P467="Transferencia",P467="Pago tarjeta"),-1,1)*IF(IFERROR(INDEX(ctaMoneda,MATCH(AB467,ctaNombre,0))&amp;"","DOP")="USD",T467,S467))</f>
        <v/>
      </c>
      <c r="AG467" s="53">
        <f>IF(AC467="","",IF(IFERROR(INDEX(ctaMoneda,MATCH(AC467,ctaNombre,0))&amp;"","DOP")="USD",T467,S467))</f>
        <v/>
      </c>
      <c r="AH467" s="53">
        <f>IF(P467="","",IF(AND(AD467&lt;&gt;"",COUNTIFS(tcTipo,AD467,tcLiq,"Sí")&gt;0),IF(OR(P467="Gasto",P467="Transferencia",P467="Pago tarjeta"),-1,1)*S467,0)+IF(AND(AE467&lt;&gt;"",COUNTIFS(tcTipo,AE467,tcLiq,"Sí")&gt;0),S467,0))</f>
        <v/>
      </c>
      <c r="AI467" s="52">
        <f>IF(OR(L467="",P467=""),"",IF(COUNTIFS(L$6:L467,L467,P$6:P467,"?*")=1,MAX(AI$5:AI466)+1,""))</f>
        <v/>
      </c>
    </row>
    <row r="468">
      <c r="B468" s="47" t="n"/>
      <c r="C468" s="48" t="n"/>
      <c r="D468" s="48" t="n"/>
      <c r="E468" s="48" t="n"/>
      <c r="F468" s="48" t="n"/>
      <c r="G468" s="49" t="n"/>
      <c r="H468" s="48" t="n"/>
      <c r="I468" s="50" t="n"/>
      <c r="J468" s="48" t="n"/>
      <c r="K468" s="48" t="n"/>
      <c r="L468" s="48" t="n"/>
      <c r="M468" s="48" t="n"/>
      <c r="N468" s="48" t="n"/>
      <c r="O468" s="51">
        <f>IF(AND(B468="",G468="",C468="",D468="",J468=""),"",IF(B468="","⚠ Falta fecha",IF(G468="","⚠ Falta monto",IF(Q468="","⚠ Falta cuenta",IF(ISNA(MATCH(Q468,ctaNombre,0)),"⚠ Cuenta no registrada",IF(AND(OR(P468="Gasto",P468="Reembolso"),D468=""),"⚠ Falta categoría",IF(AND(D468&lt;&gt;"",E468&lt;&gt;"",ISNA(MATCH(D468&amp;"|"&amp;E468,catClave,0))),"⚠ Subcategoría no corresponde",IF(AND(OR(P468="Transferencia",P468="Pago tarjeta"),K468=""),"⚠ Falta cuenta destino",IF(AND(K468&lt;&gt;"",P468&lt;&gt;"Transferencia",P468&lt;&gt;"Pago tarjeta"),"⚠ Destino solo aplica a transferencias",IF(AND(K468&lt;&gt;"",K468=Q468),"⚠ Origen igual a destino",IF(AND(K468&lt;&gt;"",ISNA(MATCH(K468,ctaNombre,0))),"⚠ Destino no registrado",IF(AND(P468="Pago tarjeta",AE468&lt;&gt;"Tarjeta de crédito"),"⚠ El destino debe ser tarjeta de crédito",IF(AND(P468="Gasto",E468="Depósitos y retiros"),"⚠ Usa tipo Transferencia",IF(AND(P468="Resultado trading",AD468&lt;&gt;"Cuenta de trading"),"⚠ Usa una cuenta de trading",IF(AND(G468&lt;=0,P468&lt;&gt;"Ajuste",P468&lt;&gt;"Resultado trading"),"⚠ El monto debe ser positivo","✓")))))))))))))))</f>
        <v/>
      </c>
      <c r="P468" s="52">
        <f>IF(OR(B468="",G468=""),"",IF(C468="","Gasto",C468))</f>
        <v/>
      </c>
      <c r="Q468" s="52">
        <f>IF(P468="","",IF(J468&lt;&gt;"",J468,CuentaPred&amp;""))</f>
        <v/>
      </c>
      <c r="R468" s="52">
        <f>IF(P468="","",IF(ISNUMBER(I468),I468,TasaUSD))</f>
        <v/>
      </c>
      <c r="S468" s="53">
        <f>IF(P468="","",IF(H468="USD",G468*R468,G468))</f>
        <v/>
      </c>
      <c r="T468" s="53">
        <f>IF(P468="","",IF(H468="USD",G468,IF(R468&gt;0,G468/R468,0)))</f>
        <v/>
      </c>
      <c r="U468" s="53">
        <f>IF(P468="","",IF(P468="Gasto",S468,IF(P468="Reembolso",-S468,0)))</f>
        <v/>
      </c>
      <c r="V468" s="53">
        <f>IF(P468="","",IF(P468="Ingreso",S468,0))</f>
        <v/>
      </c>
      <c r="W468" s="53">
        <f>IF(P468="","",IF(P468="Resultado trading",S468,0))</f>
        <v/>
      </c>
      <c r="X468" s="52">
        <f>IF(OR(P468="Gasto",P468="Reembolso"),IF(M468&lt;&gt;"",M468,IFERROR(INDEX(catClasif,MATCH(D468&amp;"|"&amp;E468,catClave,0))&amp;"","Variable")),"")</f>
        <v/>
      </c>
      <c r="Y468" s="52">
        <f>IF(P468="","",IFERROR(INDEX(catGrupo,MATCH(D468&amp;"|"&amp;E468,catClave,0))&amp;"",""))</f>
        <v/>
      </c>
      <c r="Z468" s="52">
        <f>IF(P468="","",WEEKDAY(B468,2))</f>
        <v/>
      </c>
      <c r="AA468" s="52">
        <f>IF(P468="","",IF(AND(P468="Gasto",X468="Variable",D468&lt;&gt;catTrading,S468&gt;0,S468&lt;=Umbral),1,0))</f>
        <v/>
      </c>
      <c r="AB468" s="52">
        <f>IF(OR(P468="",Q468=""),"",IFERROR(IF(INDEX(ctaVinc,MATCH(Q468,ctaNombre,0))&amp;""&lt;&gt;"",INDEX(ctaVinc,MATCH(Q468,ctaNombre,0))&amp;"",Q468),Q468))</f>
        <v/>
      </c>
      <c r="AC468" s="52">
        <f>IF(OR(K468="",AND(P468&lt;&gt;"Transferencia",P468&lt;&gt;"Pago tarjeta")),"",IFERROR(IF(INDEX(ctaVinc,MATCH(K468,ctaNombre,0))&amp;""&lt;&gt;"",INDEX(ctaVinc,MATCH(K468,ctaNombre,0))&amp;"",K468),K468))</f>
        <v/>
      </c>
      <c r="AD468" s="52">
        <f>IF(AB468="","",IFERROR(INDEX(ctaTipo,MATCH(AB468,ctaNombre,0))&amp;"",""))</f>
        <v/>
      </c>
      <c r="AE468" s="52">
        <f>IF(AC468="","",IFERROR(INDEX(ctaTipo,MATCH(AC468,ctaNombre,0))&amp;"",""))</f>
        <v/>
      </c>
      <c r="AF468" s="53">
        <f>IF(OR(P468="",AB468=""),"",IF(OR(P468="Gasto",P468="Transferencia",P468="Pago tarjeta"),-1,1)*IF(IFERROR(INDEX(ctaMoneda,MATCH(AB468,ctaNombre,0))&amp;"","DOP")="USD",T468,S468))</f>
        <v/>
      </c>
      <c r="AG468" s="53">
        <f>IF(AC468="","",IF(IFERROR(INDEX(ctaMoneda,MATCH(AC468,ctaNombre,0))&amp;"","DOP")="USD",T468,S468))</f>
        <v/>
      </c>
      <c r="AH468" s="53">
        <f>IF(P468="","",IF(AND(AD468&lt;&gt;"",COUNTIFS(tcTipo,AD468,tcLiq,"Sí")&gt;0),IF(OR(P468="Gasto",P468="Transferencia",P468="Pago tarjeta"),-1,1)*S468,0)+IF(AND(AE468&lt;&gt;"",COUNTIFS(tcTipo,AE468,tcLiq,"Sí")&gt;0),S468,0))</f>
        <v/>
      </c>
      <c r="AI468" s="52">
        <f>IF(OR(L468="",P468=""),"",IF(COUNTIFS(L$6:L468,L468,P$6:P468,"?*")=1,MAX(AI$5:AI467)+1,""))</f>
        <v/>
      </c>
    </row>
    <row r="469">
      <c r="B469" s="47" t="n"/>
      <c r="C469" s="48" t="n"/>
      <c r="D469" s="48" t="n"/>
      <c r="E469" s="48" t="n"/>
      <c r="F469" s="48" t="n"/>
      <c r="G469" s="49" t="n"/>
      <c r="H469" s="48" t="n"/>
      <c r="I469" s="50" t="n"/>
      <c r="J469" s="48" t="n"/>
      <c r="K469" s="48" t="n"/>
      <c r="L469" s="48" t="n"/>
      <c r="M469" s="48" t="n"/>
      <c r="N469" s="48" t="n"/>
      <c r="O469" s="51">
        <f>IF(AND(B469="",G469="",C469="",D469="",J469=""),"",IF(B469="","⚠ Falta fecha",IF(G469="","⚠ Falta monto",IF(Q469="","⚠ Falta cuenta",IF(ISNA(MATCH(Q469,ctaNombre,0)),"⚠ Cuenta no registrada",IF(AND(OR(P469="Gasto",P469="Reembolso"),D469=""),"⚠ Falta categoría",IF(AND(D469&lt;&gt;"",E469&lt;&gt;"",ISNA(MATCH(D469&amp;"|"&amp;E469,catClave,0))),"⚠ Subcategoría no corresponde",IF(AND(OR(P469="Transferencia",P469="Pago tarjeta"),K469=""),"⚠ Falta cuenta destino",IF(AND(K469&lt;&gt;"",P469&lt;&gt;"Transferencia",P469&lt;&gt;"Pago tarjeta"),"⚠ Destino solo aplica a transferencias",IF(AND(K469&lt;&gt;"",K469=Q469),"⚠ Origen igual a destino",IF(AND(K469&lt;&gt;"",ISNA(MATCH(K469,ctaNombre,0))),"⚠ Destino no registrado",IF(AND(P469="Pago tarjeta",AE469&lt;&gt;"Tarjeta de crédito"),"⚠ El destino debe ser tarjeta de crédito",IF(AND(P469="Gasto",E469="Depósitos y retiros"),"⚠ Usa tipo Transferencia",IF(AND(P469="Resultado trading",AD469&lt;&gt;"Cuenta de trading"),"⚠ Usa una cuenta de trading",IF(AND(G469&lt;=0,P469&lt;&gt;"Ajuste",P469&lt;&gt;"Resultado trading"),"⚠ El monto debe ser positivo","✓")))))))))))))))</f>
        <v/>
      </c>
      <c r="P469" s="52">
        <f>IF(OR(B469="",G469=""),"",IF(C469="","Gasto",C469))</f>
        <v/>
      </c>
      <c r="Q469" s="52">
        <f>IF(P469="","",IF(J469&lt;&gt;"",J469,CuentaPred&amp;""))</f>
        <v/>
      </c>
      <c r="R469" s="52">
        <f>IF(P469="","",IF(ISNUMBER(I469),I469,TasaUSD))</f>
        <v/>
      </c>
      <c r="S469" s="53">
        <f>IF(P469="","",IF(H469="USD",G469*R469,G469))</f>
        <v/>
      </c>
      <c r="T469" s="53">
        <f>IF(P469="","",IF(H469="USD",G469,IF(R469&gt;0,G469/R469,0)))</f>
        <v/>
      </c>
      <c r="U469" s="53">
        <f>IF(P469="","",IF(P469="Gasto",S469,IF(P469="Reembolso",-S469,0)))</f>
        <v/>
      </c>
      <c r="V469" s="53">
        <f>IF(P469="","",IF(P469="Ingreso",S469,0))</f>
        <v/>
      </c>
      <c r="W469" s="53">
        <f>IF(P469="","",IF(P469="Resultado trading",S469,0))</f>
        <v/>
      </c>
      <c r="X469" s="52">
        <f>IF(OR(P469="Gasto",P469="Reembolso"),IF(M469&lt;&gt;"",M469,IFERROR(INDEX(catClasif,MATCH(D469&amp;"|"&amp;E469,catClave,0))&amp;"","Variable")),"")</f>
        <v/>
      </c>
      <c r="Y469" s="52">
        <f>IF(P469="","",IFERROR(INDEX(catGrupo,MATCH(D469&amp;"|"&amp;E469,catClave,0))&amp;"",""))</f>
        <v/>
      </c>
      <c r="Z469" s="52">
        <f>IF(P469="","",WEEKDAY(B469,2))</f>
        <v/>
      </c>
      <c r="AA469" s="52">
        <f>IF(P469="","",IF(AND(P469="Gasto",X469="Variable",D469&lt;&gt;catTrading,S469&gt;0,S469&lt;=Umbral),1,0))</f>
        <v/>
      </c>
      <c r="AB469" s="52">
        <f>IF(OR(P469="",Q469=""),"",IFERROR(IF(INDEX(ctaVinc,MATCH(Q469,ctaNombre,0))&amp;""&lt;&gt;"",INDEX(ctaVinc,MATCH(Q469,ctaNombre,0))&amp;"",Q469),Q469))</f>
        <v/>
      </c>
      <c r="AC469" s="52">
        <f>IF(OR(K469="",AND(P469&lt;&gt;"Transferencia",P469&lt;&gt;"Pago tarjeta")),"",IFERROR(IF(INDEX(ctaVinc,MATCH(K469,ctaNombre,0))&amp;""&lt;&gt;"",INDEX(ctaVinc,MATCH(K469,ctaNombre,0))&amp;"",K469),K469))</f>
        <v/>
      </c>
      <c r="AD469" s="52">
        <f>IF(AB469="","",IFERROR(INDEX(ctaTipo,MATCH(AB469,ctaNombre,0))&amp;"",""))</f>
        <v/>
      </c>
      <c r="AE469" s="52">
        <f>IF(AC469="","",IFERROR(INDEX(ctaTipo,MATCH(AC469,ctaNombre,0))&amp;"",""))</f>
        <v/>
      </c>
      <c r="AF469" s="53">
        <f>IF(OR(P469="",AB469=""),"",IF(OR(P469="Gasto",P469="Transferencia",P469="Pago tarjeta"),-1,1)*IF(IFERROR(INDEX(ctaMoneda,MATCH(AB469,ctaNombre,0))&amp;"","DOP")="USD",T469,S469))</f>
        <v/>
      </c>
      <c r="AG469" s="53">
        <f>IF(AC469="","",IF(IFERROR(INDEX(ctaMoneda,MATCH(AC469,ctaNombre,0))&amp;"","DOP")="USD",T469,S469))</f>
        <v/>
      </c>
      <c r="AH469" s="53">
        <f>IF(P469="","",IF(AND(AD469&lt;&gt;"",COUNTIFS(tcTipo,AD469,tcLiq,"Sí")&gt;0),IF(OR(P469="Gasto",P469="Transferencia",P469="Pago tarjeta"),-1,1)*S469,0)+IF(AND(AE469&lt;&gt;"",COUNTIFS(tcTipo,AE469,tcLiq,"Sí")&gt;0),S469,0))</f>
        <v/>
      </c>
      <c r="AI469" s="52">
        <f>IF(OR(L469="",P469=""),"",IF(COUNTIFS(L$6:L469,L469,P$6:P469,"?*")=1,MAX(AI$5:AI468)+1,""))</f>
        <v/>
      </c>
    </row>
    <row r="470">
      <c r="B470" s="47" t="n"/>
      <c r="C470" s="48" t="n"/>
      <c r="D470" s="48" t="n"/>
      <c r="E470" s="48" t="n"/>
      <c r="F470" s="48" t="n"/>
      <c r="G470" s="49" t="n"/>
      <c r="H470" s="48" t="n"/>
      <c r="I470" s="50" t="n"/>
      <c r="J470" s="48" t="n"/>
      <c r="K470" s="48" t="n"/>
      <c r="L470" s="48" t="n"/>
      <c r="M470" s="48" t="n"/>
      <c r="N470" s="48" t="n"/>
      <c r="O470" s="51">
        <f>IF(AND(B470="",G470="",C470="",D470="",J470=""),"",IF(B470="","⚠ Falta fecha",IF(G470="","⚠ Falta monto",IF(Q470="","⚠ Falta cuenta",IF(ISNA(MATCH(Q470,ctaNombre,0)),"⚠ Cuenta no registrada",IF(AND(OR(P470="Gasto",P470="Reembolso"),D470=""),"⚠ Falta categoría",IF(AND(D470&lt;&gt;"",E470&lt;&gt;"",ISNA(MATCH(D470&amp;"|"&amp;E470,catClave,0))),"⚠ Subcategoría no corresponde",IF(AND(OR(P470="Transferencia",P470="Pago tarjeta"),K470=""),"⚠ Falta cuenta destino",IF(AND(K470&lt;&gt;"",P470&lt;&gt;"Transferencia",P470&lt;&gt;"Pago tarjeta"),"⚠ Destino solo aplica a transferencias",IF(AND(K470&lt;&gt;"",K470=Q470),"⚠ Origen igual a destino",IF(AND(K470&lt;&gt;"",ISNA(MATCH(K470,ctaNombre,0))),"⚠ Destino no registrado",IF(AND(P470="Pago tarjeta",AE470&lt;&gt;"Tarjeta de crédito"),"⚠ El destino debe ser tarjeta de crédito",IF(AND(P470="Gasto",E470="Depósitos y retiros"),"⚠ Usa tipo Transferencia",IF(AND(P470="Resultado trading",AD470&lt;&gt;"Cuenta de trading"),"⚠ Usa una cuenta de trading",IF(AND(G470&lt;=0,P470&lt;&gt;"Ajuste",P470&lt;&gt;"Resultado trading"),"⚠ El monto debe ser positivo","✓")))))))))))))))</f>
        <v/>
      </c>
      <c r="P470" s="52">
        <f>IF(OR(B470="",G470=""),"",IF(C470="","Gasto",C470))</f>
        <v/>
      </c>
      <c r="Q470" s="52">
        <f>IF(P470="","",IF(J470&lt;&gt;"",J470,CuentaPred&amp;""))</f>
        <v/>
      </c>
      <c r="R470" s="52">
        <f>IF(P470="","",IF(ISNUMBER(I470),I470,TasaUSD))</f>
        <v/>
      </c>
      <c r="S470" s="53">
        <f>IF(P470="","",IF(H470="USD",G470*R470,G470))</f>
        <v/>
      </c>
      <c r="T470" s="53">
        <f>IF(P470="","",IF(H470="USD",G470,IF(R470&gt;0,G470/R470,0)))</f>
        <v/>
      </c>
      <c r="U470" s="53">
        <f>IF(P470="","",IF(P470="Gasto",S470,IF(P470="Reembolso",-S470,0)))</f>
        <v/>
      </c>
      <c r="V470" s="53">
        <f>IF(P470="","",IF(P470="Ingreso",S470,0))</f>
        <v/>
      </c>
      <c r="W470" s="53">
        <f>IF(P470="","",IF(P470="Resultado trading",S470,0))</f>
        <v/>
      </c>
      <c r="X470" s="52">
        <f>IF(OR(P470="Gasto",P470="Reembolso"),IF(M470&lt;&gt;"",M470,IFERROR(INDEX(catClasif,MATCH(D470&amp;"|"&amp;E470,catClave,0))&amp;"","Variable")),"")</f>
        <v/>
      </c>
      <c r="Y470" s="52">
        <f>IF(P470="","",IFERROR(INDEX(catGrupo,MATCH(D470&amp;"|"&amp;E470,catClave,0))&amp;"",""))</f>
        <v/>
      </c>
      <c r="Z470" s="52">
        <f>IF(P470="","",WEEKDAY(B470,2))</f>
        <v/>
      </c>
      <c r="AA470" s="52">
        <f>IF(P470="","",IF(AND(P470="Gasto",X470="Variable",D470&lt;&gt;catTrading,S470&gt;0,S470&lt;=Umbral),1,0))</f>
        <v/>
      </c>
      <c r="AB470" s="52">
        <f>IF(OR(P470="",Q470=""),"",IFERROR(IF(INDEX(ctaVinc,MATCH(Q470,ctaNombre,0))&amp;""&lt;&gt;"",INDEX(ctaVinc,MATCH(Q470,ctaNombre,0))&amp;"",Q470),Q470))</f>
        <v/>
      </c>
      <c r="AC470" s="52">
        <f>IF(OR(K470="",AND(P470&lt;&gt;"Transferencia",P470&lt;&gt;"Pago tarjeta")),"",IFERROR(IF(INDEX(ctaVinc,MATCH(K470,ctaNombre,0))&amp;""&lt;&gt;"",INDEX(ctaVinc,MATCH(K470,ctaNombre,0))&amp;"",K470),K470))</f>
        <v/>
      </c>
      <c r="AD470" s="52">
        <f>IF(AB470="","",IFERROR(INDEX(ctaTipo,MATCH(AB470,ctaNombre,0))&amp;"",""))</f>
        <v/>
      </c>
      <c r="AE470" s="52">
        <f>IF(AC470="","",IFERROR(INDEX(ctaTipo,MATCH(AC470,ctaNombre,0))&amp;"",""))</f>
        <v/>
      </c>
      <c r="AF470" s="53">
        <f>IF(OR(P470="",AB470=""),"",IF(OR(P470="Gasto",P470="Transferencia",P470="Pago tarjeta"),-1,1)*IF(IFERROR(INDEX(ctaMoneda,MATCH(AB470,ctaNombre,0))&amp;"","DOP")="USD",T470,S470))</f>
        <v/>
      </c>
      <c r="AG470" s="53">
        <f>IF(AC470="","",IF(IFERROR(INDEX(ctaMoneda,MATCH(AC470,ctaNombre,0))&amp;"","DOP")="USD",T470,S470))</f>
        <v/>
      </c>
      <c r="AH470" s="53">
        <f>IF(P470="","",IF(AND(AD470&lt;&gt;"",COUNTIFS(tcTipo,AD470,tcLiq,"Sí")&gt;0),IF(OR(P470="Gasto",P470="Transferencia",P470="Pago tarjeta"),-1,1)*S470,0)+IF(AND(AE470&lt;&gt;"",COUNTIFS(tcTipo,AE470,tcLiq,"Sí")&gt;0),S470,0))</f>
        <v/>
      </c>
      <c r="AI470" s="52">
        <f>IF(OR(L470="",P470=""),"",IF(COUNTIFS(L$6:L470,L470,P$6:P470,"?*")=1,MAX(AI$5:AI469)+1,""))</f>
        <v/>
      </c>
    </row>
    <row r="471">
      <c r="B471" s="47" t="n"/>
      <c r="C471" s="48" t="n"/>
      <c r="D471" s="48" t="n"/>
      <c r="E471" s="48" t="n"/>
      <c r="F471" s="48" t="n"/>
      <c r="G471" s="49" t="n"/>
      <c r="H471" s="48" t="n"/>
      <c r="I471" s="50" t="n"/>
      <c r="J471" s="48" t="n"/>
      <c r="K471" s="48" t="n"/>
      <c r="L471" s="48" t="n"/>
      <c r="M471" s="48" t="n"/>
      <c r="N471" s="48" t="n"/>
      <c r="O471" s="51">
        <f>IF(AND(B471="",G471="",C471="",D471="",J471=""),"",IF(B471="","⚠ Falta fecha",IF(G471="","⚠ Falta monto",IF(Q471="","⚠ Falta cuenta",IF(ISNA(MATCH(Q471,ctaNombre,0)),"⚠ Cuenta no registrada",IF(AND(OR(P471="Gasto",P471="Reembolso"),D471=""),"⚠ Falta categoría",IF(AND(D471&lt;&gt;"",E471&lt;&gt;"",ISNA(MATCH(D471&amp;"|"&amp;E471,catClave,0))),"⚠ Subcategoría no corresponde",IF(AND(OR(P471="Transferencia",P471="Pago tarjeta"),K471=""),"⚠ Falta cuenta destino",IF(AND(K471&lt;&gt;"",P471&lt;&gt;"Transferencia",P471&lt;&gt;"Pago tarjeta"),"⚠ Destino solo aplica a transferencias",IF(AND(K471&lt;&gt;"",K471=Q471),"⚠ Origen igual a destino",IF(AND(K471&lt;&gt;"",ISNA(MATCH(K471,ctaNombre,0))),"⚠ Destino no registrado",IF(AND(P471="Pago tarjeta",AE471&lt;&gt;"Tarjeta de crédito"),"⚠ El destino debe ser tarjeta de crédito",IF(AND(P471="Gasto",E471="Depósitos y retiros"),"⚠ Usa tipo Transferencia",IF(AND(P471="Resultado trading",AD471&lt;&gt;"Cuenta de trading"),"⚠ Usa una cuenta de trading",IF(AND(G471&lt;=0,P471&lt;&gt;"Ajuste",P471&lt;&gt;"Resultado trading"),"⚠ El monto debe ser positivo","✓")))))))))))))))</f>
        <v/>
      </c>
      <c r="P471" s="52">
        <f>IF(OR(B471="",G471=""),"",IF(C471="","Gasto",C471))</f>
        <v/>
      </c>
      <c r="Q471" s="52">
        <f>IF(P471="","",IF(J471&lt;&gt;"",J471,CuentaPred&amp;""))</f>
        <v/>
      </c>
      <c r="R471" s="52">
        <f>IF(P471="","",IF(ISNUMBER(I471),I471,TasaUSD))</f>
        <v/>
      </c>
      <c r="S471" s="53">
        <f>IF(P471="","",IF(H471="USD",G471*R471,G471))</f>
        <v/>
      </c>
      <c r="T471" s="53">
        <f>IF(P471="","",IF(H471="USD",G471,IF(R471&gt;0,G471/R471,0)))</f>
        <v/>
      </c>
      <c r="U471" s="53">
        <f>IF(P471="","",IF(P471="Gasto",S471,IF(P471="Reembolso",-S471,0)))</f>
        <v/>
      </c>
      <c r="V471" s="53">
        <f>IF(P471="","",IF(P471="Ingreso",S471,0))</f>
        <v/>
      </c>
      <c r="W471" s="53">
        <f>IF(P471="","",IF(P471="Resultado trading",S471,0))</f>
        <v/>
      </c>
      <c r="X471" s="52">
        <f>IF(OR(P471="Gasto",P471="Reembolso"),IF(M471&lt;&gt;"",M471,IFERROR(INDEX(catClasif,MATCH(D471&amp;"|"&amp;E471,catClave,0))&amp;"","Variable")),"")</f>
        <v/>
      </c>
      <c r="Y471" s="52">
        <f>IF(P471="","",IFERROR(INDEX(catGrupo,MATCH(D471&amp;"|"&amp;E471,catClave,0))&amp;"",""))</f>
        <v/>
      </c>
      <c r="Z471" s="52">
        <f>IF(P471="","",WEEKDAY(B471,2))</f>
        <v/>
      </c>
      <c r="AA471" s="52">
        <f>IF(P471="","",IF(AND(P471="Gasto",X471="Variable",D471&lt;&gt;catTrading,S471&gt;0,S471&lt;=Umbral),1,0))</f>
        <v/>
      </c>
      <c r="AB471" s="52">
        <f>IF(OR(P471="",Q471=""),"",IFERROR(IF(INDEX(ctaVinc,MATCH(Q471,ctaNombre,0))&amp;""&lt;&gt;"",INDEX(ctaVinc,MATCH(Q471,ctaNombre,0))&amp;"",Q471),Q471))</f>
        <v/>
      </c>
      <c r="AC471" s="52">
        <f>IF(OR(K471="",AND(P471&lt;&gt;"Transferencia",P471&lt;&gt;"Pago tarjeta")),"",IFERROR(IF(INDEX(ctaVinc,MATCH(K471,ctaNombre,0))&amp;""&lt;&gt;"",INDEX(ctaVinc,MATCH(K471,ctaNombre,0))&amp;"",K471),K471))</f>
        <v/>
      </c>
      <c r="AD471" s="52">
        <f>IF(AB471="","",IFERROR(INDEX(ctaTipo,MATCH(AB471,ctaNombre,0))&amp;"",""))</f>
        <v/>
      </c>
      <c r="AE471" s="52">
        <f>IF(AC471="","",IFERROR(INDEX(ctaTipo,MATCH(AC471,ctaNombre,0))&amp;"",""))</f>
        <v/>
      </c>
      <c r="AF471" s="53">
        <f>IF(OR(P471="",AB471=""),"",IF(OR(P471="Gasto",P471="Transferencia",P471="Pago tarjeta"),-1,1)*IF(IFERROR(INDEX(ctaMoneda,MATCH(AB471,ctaNombre,0))&amp;"","DOP")="USD",T471,S471))</f>
        <v/>
      </c>
      <c r="AG471" s="53">
        <f>IF(AC471="","",IF(IFERROR(INDEX(ctaMoneda,MATCH(AC471,ctaNombre,0))&amp;"","DOP")="USD",T471,S471))</f>
        <v/>
      </c>
      <c r="AH471" s="53">
        <f>IF(P471="","",IF(AND(AD471&lt;&gt;"",COUNTIFS(tcTipo,AD471,tcLiq,"Sí")&gt;0),IF(OR(P471="Gasto",P471="Transferencia",P471="Pago tarjeta"),-1,1)*S471,0)+IF(AND(AE471&lt;&gt;"",COUNTIFS(tcTipo,AE471,tcLiq,"Sí")&gt;0),S471,0))</f>
        <v/>
      </c>
      <c r="AI471" s="52">
        <f>IF(OR(L471="",P471=""),"",IF(COUNTIFS(L$6:L471,L471,P$6:P471,"?*")=1,MAX(AI$5:AI470)+1,""))</f>
        <v/>
      </c>
    </row>
    <row r="472">
      <c r="B472" s="47" t="n"/>
      <c r="C472" s="48" t="n"/>
      <c r="D472" s="48" t="n"/>
      <c r="E472" s="48" t="n"/>
      <c r="F472" s="48" t="n"/>
      <c r="G472" s="49" t="n"/>
      <c r="H472" s="48" t="n"/>
      <c r="I472" s="50" t="n"/>
      <c r="J472" s="48" t="n"/>
      <c r="K472" s="48" t="n"/>
      <c r="L472" s="48" t="n"/>
      <c r="M472" s="48" t="n"/>
      <c r="N472" s="48" t="n"/>
      <c r="O472" s="51">
        <f>IF(AND(B472="",G472="",C472="",D472="",J472=""),"",IF(B472="","⚠ Falta fecha",IF(G472="","⚠ Falta monto",IF(Q472="","⚠ Falta cuenta",IF(ISNA(MATCH(Q472,ctaNombre,0)),"⚠ Cuenta no registrada",IF(AND(OR(P472="Gasto",P472="Reembolso"),D472=""),"⚠ Falta categoría",IF(AND(D472&lt;&gt;"",E472&lt;&gt;"",ISNA(MATCH(D472&amp;"|"&amp;E472,catClave,0))),"⚠ Subcategoría no corresponde",IF(AND(OR(P472="Transferencia",P472="Pago tarjeta"),K472=""),"⚠ Falta cuenta destino",IF(AND(K472&lt;&gt;"",P472&lt;&gt;"Transferencia",P472&lt;&gt;"Pago tarjeta"),"⚠ Destino solo aplica a transferencias",IF(AND(K472&lt;&gt;"",K472=Q472),"⚠ Origen igual a destino",IF(AND(K472&lt;&gt;"",ISNA(MATCH(K472,ctaNombre,0))),"⚠ Destino no registrado",IF(AND(P472="Pago tarjeta",AE472&lt;&gt;"Tarjeta de crédito"),"⚠ El destino debe ser tarjeta de crédito",IF(AND(P472="Gasto",E472="Depósitos y retiros"),"⚠ Usa tipo Transferencia",IF(AND(P472="Resultado trading",AD472&lt;&gt;"Cuenta de trading"),"⚠ Usa una cuenta de trading",IF(AND(G472&lt;=0,P472&lt;&gt;"Ajuste",P472&lt;&gt;"Resultado trading"),"⚠ El monto debe ser positivo","✓")))))))))))))))</f>
        <v/>
      </c>
      <c r="P472" s="52">
        <f>IF(OR(B472="",G472=""),"",IF(C472="","Gasto",C472))</f>
        <v/>
      </c>
      <c r="Q472" s="52">
        <f>IF(P472="","",IF(J472&lt;&gt;"",J472,CuentaPred&amp;""))</f>
        <v/>
      </c>
      <c r="R472" s="52">
        <f>IF(P472="","",IF(ISNUMBER(I472),I472,TasaUSD))</f>
        <v/>
      </c>
      <c r="S472" s="53">
        <f>IF(P472="","",IF(H472="USD",G472*R472,G472))</f>
        <v/>
      </c>
      <c r="T472" s="53">
        <f>IF(P472="","",IF(H472="USD",G472,IF(R472&gt;0,G472/R472,0)))</f>
        <v/>
      </c>
      <c r="U472" s="53">
        <f>IF(P472="","",IF(P472="Gasto",S472,IF(P472="Reembolso",-S472,0)))</f>
        <v/>
      </c>
      <c r="V472" s="53">
        <f>IF(P472="","",IF(P472="Ingreso",S472,0))</f>
        <v/>
      </c>
      <c r="W472" s="53">
        <f>IF(P472="","",IF(P472="Resultado trading",S472,0))</f>
        <v/>
      </c>
      <c r="X472" s="52">
        <f>IF(OR(P472="Gasto",P472="Reembolso"),IF(M472&lt;&gt;"",M472,IFERROR(INDEX(catClasif,MATCH(D472&amp;"|"&amp;E472,catClave,0))&amp;"","Variable")),"")</f>
        <v/>
      </c>
      <c r="Y472" s="52">
        <f>IF(P472="","",IFERROR(INDEX(catGrupo,MATCH(D472&amp;"|"&amp;E472,catClave,0))&amp;"",""))</f>
        <v/>
      </c>
      <c r="Z472" s="52">
        <f>IF(P472="","",WEEKDAY(B472,2))</f>
        <v/>
      </c>
      <c r="AA472" s="52">
        <f>IF(P472="","",IF(AND(P472="Gasto",X472="Variable",D472&lt;&gt;catTrading,S472&gt;0,S472&lt;=Umbral),1,0))</f>
        <v/>
      </c>
      <c r="AB472" s="52">
        <f>IF(OR(P472="",Q472=""),"",IFERROR(IF(INDEX(ctaVinc,MATCH(Q472,ctaNombre,0))&amp;""&lt;&gt;"",INDEX(ctaVinc,MATCH(Q472,ctaNombre,0))&amp;"",Q472),Q472))</f>
        <v/>
      </c>
      <c r="AC472" s="52">
        <f>IF(OR(K472="",AND(P472&lt;&gt;"Transferencia",P472&lt;&gt;"Pago tarjeta")),"",IFERROR(IF(INDEX(ctaVinc,MATCH(K472,ctaNombre,0))&amp;""&lt;&gt;"",INDEX(ctaVinc,MATCH(K472,ctaNombre,0))&amp;"",K472),K472))</f>
        <v/>
      </c>
      <c r="AD472" s="52">
        <f>IF(AB472="","",IFERROR(INDEX(ctaTipo,MATCH(AB472,ctaNombre,0))&amp;"",""))</f>
        <v/>
      </c>
      <c r="AE472" s="52">
        <f>IF(AC472="","",IFERROR(INDEX(ctaTipo,MATCH(AC472,ctaNombre,0))&amp;"",""))</f>
        <v/>
      </c>
      <c r="AF472" s="53">
        <f>IF(OR(P472="",AB472=""),"",IF(OR(P472="Gasto",P472="Transferencia",P472="Pago tarjeta"),-1,1)*IF(IFERROR(INDEX(ctaMoneda,MATCH(AB472,ctaNombre,0))&amp;"","DOP")="USD",T472,S472))</f>
        <v/>
      </c>
      <c r="AG472" s="53">
        <f>IF(AC472="","",IF(IFERROR(INDEX(ctaMoneda,MATCH(AC472,ctaNombre,0))&amp;"","DOP")="USD",T472,S472))</f>
        <v/>
      </c>
      <c r="AH472" s="53">
        <f>IF(P472="","",IF(AND(AD472&lt;&gt;"",COUNTIFS(tcTipo,AD472,tcLiq,"Sí")&gt;0),IF(OR(P472="Gasto",P472="Transferencia",P472="Pago tarjeta"),-1,1)*S472,0)+IF(AND(AE472&lt;&gt;"",COUNTIFS(tcTipo,AE472,tcLiq,"Sí")&gt;0),S472,0))</f>
        <v/>
      </c>
      <c r="AI472" s="52">
        <f>IF(OR(L472="",P472=""),"",IF(COUNTIFS(L$6:L472,L472,P$6:P472,"?*")=1,MAX(AI$5:AI471)+1,""))</f>
        <v/>
      </c>
    </row>
    <row r="473">
      <c r="B473" s="47" t="n"/>
      <c r="C473" s="48" t="n"/>
      <c r="D473" s="48" t="n"/>
      <c r="E473" s="48" t="n"/>
      <c r="F473" s="48" t="n"/>
      <c r="G473" s="49" t="n"/>
      <c r="H473" s="48" t="n"/>
      <c r="I473" s="50" t="n"/>
      <c r="J473" s="48" t="n"/>
      <c r="K473" s="48" t="n"/>
      <c r="L473" s="48" t="n"/>
      <c r="M473" s="48" t="n"/>
      <c r="N473" s="48" t="n"/>
      <c r="O473" s="51">
        <f>IF(AND(B473="",G473="",C473="",D473="",J473=""),"",IF(B473="","⚠ Falta fecha",IF(G473="","⚠ Falta monto",IF(Q473="","⚠ Falta cuenta",IF(ISNA(MATCH(Q473,ctaNombre,0)),"⚠ Cuenta no registrada",IF(AND(OR(P473="Gasto",P473="Reembolso"),D473=""),"⚠ Falta categoría",IF(AND(D473&lt;&gt;"",E473&lt;&gt;"",ISNA(MATCH(D473&amp;"|"&amp;E473,catClave,0))),"⚠ Subcategoría no corresponde",IF(AND(OR(P473="Transferencia",P473="Pago tarjeta"),K473=""),"⚠ Falta cuenta destino",IF(AND(K473&lt;&gt;"",P473&lt;&gt;"Transferencia",P473&lt;&gt;"Pago tarjeta"),"⚠ Destino solo aplica a transferencias",IF(AND(K473&lt;&gt;"",K473=Q473),"⚠ Origen igual a destino",IF(AND(K473&lt;&gt;"",ISNA(MATCH(K473,ctaNombre,0))),"⚠ Destino no registrado",IF(AND(P473="Pago tarjeta",AE473&lt;&gt;"Tarjeta de crédito"),"⚠ El destino debe ser tarjeta de crédito",IF(AND(P473="Gasto",E473="Depósitos y retiros"),"⚠ Usa tipo Transferencia",IF(AND(P473="Resultado trading",AD473&lt;&gt;"Cuenta de trading"),"⚠ Usa una cuenta de trading",IF(AND(G473&lt;=0,P473&lt;&gt;"Ajuste",P473&lt;&gt;"Resultado trading"),"⚠ El monto debe ser positivo","✓")))))))))))))))</f>
        <v/>
      </c>
      <c r="P473" s="52">
        <f>IF(OR(B473="",G473=""),"",IF(C473="","Gasto",C473))</f>
        <v/>
      </c>
      <c r="Q473" s="52">
        <f>IF(P473="","",IF(J473&lt;&gt;"",J473,CuentaPred&amp;""))</f>
        <v/>
      </c>
      <c r="R473" s="52">
        <f>IF(P473="","",IF(ISNUMBER(I473),I473,TasaUSD))</f>
        <v/>
      </c>
      <c r="S473" s="53">
        <f>IF(P473="","",IF(H473="USD",G473*R473,G473))</f>
        <v/>
      </c>
      <c r="T473" s="53">
        <f>IF(P473="","",IF(H473="USD",G473,IF(R473&gt;0,G473/R473,0)))</f>
        <v/>
      </c>
      <c r="U473" s="53">
        <f>IF(P473="","",IF(P473="Gasto",S473,IF(P473="Reembolso",-S473,0)))</f>
        <v/>
      </c>
      <c r="V473" s="53">
        <f>IF(P473="","",IF(P473="Ingreso",S473,0))</f>
        <v/>
      </c>
      <c r="W473" s="53">
        <f>IF(P473="","",IF(P473="Resultado trading",S473,0))</f>
        <v/>
      </c>
      <c r="X473" s="52">
        <f>IF(OR(P473="Gasto",P473="Reembolso"),IF(M473&lt;&gt;"",M473,IFERROR(INDEX(catClasif,MATCH(D473&amp;"|"&amp;E473,catClave,0))&amp;"","Variable")),"")</f>
        <v/>
      </c>
      <c r="Y473" s="52">
        <f>IF(P473="","",IFERROR(INDEX(catGrupo,MATCH(D473&amp;"|"&amp;E473,catClave,0))&amp;"",""))</f>
        <v/>
      </c>
      <c r="Z473" s="52">
        <f>IF(P473="","",WEEKDAY(B473,2))</f>
        <v/>
      </c>
      <c r="AA473" s="52">
        <f>IF(P473="","",IF(AND(P473="Gasto",X473="Variable",D473&lt;&gt;catTrading,S473&gt;0,S473&lt;=Umbral),1,0))</f>
        <v/>
      </c>
      <c r="AB473" s="52">
        <f>IF(OR(P473="",Q473=""),"",IFERROR(IF(INDEX(ctaVinc,MATCH(Q473,ctaNombre,0))&amp;""&lt;&gt;"",INDEX(ctaVinc,MATCH(Q473,ctaNombre,0))&amp;"",Q473),Q473))</f>
        <v/>
      </c>
      <c r="AC473" s="52">
        <f>IF(OR(K473="",AND(P473&lt;&gt;"Transferencia",P473&lt;&gt;"Pago tarjeta")),"",IFERROR(IF(INDEX(ctaVinc,MATCH(K473,ctaNombre,0))&amp;""&lt;&gt;"",INDEX(ctaVinc,MATCH(K473,ctaNombre,0))&amp;"",K473),K473))</f>
        <v/>
      </c>
      <c r="AD473" s="52">
        <f>IF(AB473="","",IFERROR(INDEX(ctaTipo,MATCH(AB473,ctaNombre,0))&amp;"",""))</f>
        <v/>
      </c>
      <c r="AE473" s="52">
        <f>IF(AC473="","",IFERROR(INDEX(ctaTipo,MATCH(AC473,ctaNombre,0))&amp;"",""))</f>
        <v/>
      </c>
      <c r="AF473" s="53">
        <f>IF(OR(P473="",AB473=""),"",IF(OR(P473="Gasto",P473="Transferencia",P473="Pago tarjeta"),-1,1)*IF(IFERROR(INDEX(ctaMoneda,MATCH(AB473,ctaNombre,0))&amp;"","DOP")="USD",T473,S473))</f>
        <v/>
      </c>
      <c r="AG473" s="53">
        <f>IF(AC473="","",IF(IFERROR(INDEX(ctaMoneda,MATCH(AC473,ctaNombre,0))&amp;"","DOP")="USD",T473,S473))</f>
        <v/>
      </c>
      <c r="AH473" s="53">
        <f>IF(P473="","",IF(AND(AD473&lt;&gt;"",COUNTIFS(tcTipo,AD473,tcLiq,"Sí")&gt;0),IF(OR(P473="Gasto",P473="Transferencia",P473="Pago tarjeta"),-1,1)*S473,0)+IF(AND(AE473&lt;&gt;"",COUNTIFS(tcTipo,AE473,tcLiq,"Sí")&gt;0),S473,0))</f>
        <v/>
      </c>
      <c r="AI473" s="52">
        <f>IF(OR(L473="",P473=""),"",IF(COUNTIFS(L$6:L473,L473,P$6:P473,"?*")=1,MAX(AI$5:AI472)+1,""))</f>
        <v/>
      </c>
    </row>
    <row r="474">
      <c r="B474" s="47" t="n"/>
      <c r="C474" s="48" t="n"/>
      <c r="D474" s="48" t="n"/>
      <c r="E474" s="48" t="n"/>
      <c r="F474" s="48" t="n"/>
      <c r="G474" s="49" t="n"/>
      <c r="H474" s="48" t="n"/>
      <c r="I474" s="50" t="n"/>
      <c r="J474" s="48" t="n"/>
      <c r="K474" s="48" t="n"/>
      <c r="L474" s="48" t="n"/>
      <c r="M474" s="48" t="n"/>
      <c r="N474" s="48" t="n"/>
      <c r="O474" s="51">
        <f>IF(AND(B474="",G474="",C474="",D474="",J474=""),"",IF(B474="","⚠ Falta fecha",IF(G474="","⚠ Falta monto",IF(Q474="","⚠ Falta cuenta",IF(ISNA(MATCH(Q474,ctaNombre,0)),"⚠ Cuenta no registrada",IF(AND(OR(P474="Gasto",P474="Reembolso"),D474=""),"⚠ Falta categoría",IF(AND(D474&lt;&gt;"",E474&lt;&gt;"",ISNA(MATCH(D474&amp;"|"&amp;E474,catClave,0))),"⚠ Subcategoría no corresponde",IF(AND(OR(P474="Transferencia",P474="Pago tarjeta"),K474=""),"⚠ Falta cuenta destino",IF(AND(K474&lt;&gt;"",P474&lt;&gt;"Transferencia",P474&lt;&gt;"Pago tarjeta"),"⚠ Destino solo aplica a transferencias",IF(AND(K474&lt;&gt;"",K474=Q474),"⚠ Origen igual a destino",IF(AND(K474&lt;&gt;"",ISNA(MATCH(K474,ctaNombre,0))),"⚠ Destino no registrado",IF(AND(P474="Pago tarjeta",AE474&lt;&gt;"Tarjeta de crédito"),"⚠ El destino debe ser tarjeta de crédito",IF(AND(P474="Gasto",E474="Depósitos y retiros"),"⚠ Usa tipo Transferencia",IF(AND(P474="Resultado trading",AD474&lt;&gt;"Cuenta de trading"),"⚠ Usa una cuenta de trading",IF(AND(G474&lt;=0,P474&lt;&gt;"Ajuste",P474&lt;&gt;"Resultado trading"),"⚠ El monto debe ser positivo","✓")))))))))))))))</f>
        <v/>
      </c>
      <c r="P474" s="52">
        <f>IF(OR(B474="",G474=""),"",IF(C474="","Gasto",C474))</f>
        <v/>
      </c>
      <c r="Q474" s="52">
        <f>IF(P474="","",IF(J474&lt;&gt;"",J474,CuentaPred&amp;""))</f>
        <v/>
      </c>
      <c r="R474" s="52">
        <f>IF(P474="","",IF(ISNUMBER(I474),I474,TasaUSD))</f>
        <v/>
      </c>
      <c r="S474" s="53">
        <f>IF(P474="","",IF(H474="USD",G474*R474,G474))</f>
        <v/>
      </c>
      <c r="T474" s="53">
        <f>IF(P474="","",IF(H474="USD",G474,IF(R474&gt;0,G474/R474,0)))</f>
        <v/>
      </c>
      <c r="U474" s="53">
        <f>IF(P474="","",IF(P474="Gasto",S474,IF(P474="Reembolso",-S474,0)))</f>
        <v/>
      </c>
      <c r="V474" s="53">
        <f>IF(P474="","",IF(P474="Ingreso",S474,0))</f>
        <v/>
      </c>
      <c r="W474" s="53">
        <f>IF(P474="","",IF(P474="Resultado trading",S474,0))</f>
        <v/>
      </c>
      <c r="X474" s="52">
        <f>IF(OR(P474="Gasto",P474="Reembolso"),IF(M474&lt;&gt;"",M474,IFERROR(INDEX(catClasif,MATCH(D474&amp;"|"&amp;E474,catClave,0))&amp;"","Variable")),"")</f>
        <v/>
      </c>
      <c r="Y474" s="52">
        <f>IF(P474="","",IFERROR(INDEX(catGrupo,MATCH(D474&amp;"|"&amp;E474,catClave,0))&amp;"",""))</f>
        <v/>
      </c>
      <c r="Z474" s="52">
        <f>IF(P474="","",WEEKDAY(B474,2))</f>
        <v/>
      </c>
      <c r="AA474" s="52">
        <f>IF(P474="","",IF(AND(P474="Gasto",X474="Variable",D474&lt;&gt;catTrading,S474&gt;0,S474&lt;=Umbral),1,0))</f>
        <v/>
      </c>
      <c r="AB474" s="52">
        <f>IF(OR(P474="",Q474=""),"",IFERROR(IF(INDEX(ctaVinc,MATCH(Q474,ctaNombre,0))&amp;""&lt;&gt;"",INDEX(ctaVinc,MATCH(Q474,ctaNombre,0))&amp;"",Q474),Q474))</f>
        <v/>
      </c>
      <c r="AC474" s="52">
        <f>IF(OR(K474="",AND(P474&lt;&gt;"Transferencia",P474&lt;&gt;"Pago tarjeta")),"",IFERROR(IF(INDEX(ctaVinc,MATCH(K474,ctaNombre,0))&amp;""&lt;&gt;"",INDEX(ctaVinc,MATCH(K474,ctaNombre,0))&amp;"",K474),K474))</f>
        <v/>
      </c>
      <c r="AD474" s="52">
        <f>IF(AB474="","",IFERROR(INDEX(ctaTipo,MATCH(AB474,ctaNombre,0))&amp;"",""))</f>
        <v/>
      </c>
      <c r="AE474" s="52">
        <f>IF(AC474="","",IFERROR(INDEX(ctaTipo,MATCH(AC474,ctaNombre,0))&amp;"",""))</f>
        <v/>
      </c>
      <c r="AF474" s="53">
        <f>IF(OR(P474="",AB474=""),"",IF(OR(P474="Gasto",P474="Transferencia",P474="Pago tarjeta"),-1,1)*IF(IFERROR(INDEX(ctaMoneda,MATCH(AB474,ctaNombre,0))&amp;"","DOP")="USD",T474,S474))</f>
        <v/>
      </c>
      <c r="AG474" s="53">
        <f>IF(AC474="","",IF(IFERROR(INDEX(ctaMoneda,MATCH(AC474,ctaNombre,0))&amp;"","DOP")="USD",T474,S474))</f>
        <v/>
      </c>
      <c r="AH474" s="53">
        <f>IF(P474="","",IF(AND(AD474&lt;&gt;"",COUNTIFS(tcTipo,AD474,tcLiq,"Sí")&gt;0),IF(OR(P474="Gasto",P474="Transferencia",P474="Pago tarjeta"),-1,1)*S474,0)+IF(AND(AE474&lt;&gt;"",COUNTIFS(tcTipo,AE474,tcLiq,"Sí")&gt;0),S474,0))</f>
        <v/>
      </c>
      <c r="AI474" s="52">
        <f>IF(OR(L474="",P474=""),"",IF(COUNTIFS(L$6:L474,L474,P$6:P474,"?*")=1,MAX(AI$5:AI473)+1,""))</f>
        <v/>
      </c>
    </row>
    <row r="475">
      <c r="B475" s="47" t="n"/>
      <c r="C475" s="48" t="n"/>
      <c r="D475" s="48" t="n"/>
      <c r="E475" s="48" t="n"/>
      <c r="F475" s="48" t="n"/>
      <c r="G475" s="49" t="n"/>
      <c r="H475" s="48" t="n"/>
      <c r="I475" s="50" t="n"/>
      <c r="J475" s="48" t="n"/>
      <c r="K475" s="48" t="n"/>
      <c r="L475" s="48" t="n"/>
      <c r="M475" s="48" t="n"/>
      <c r="N475" s="48" t="n"/>
      <c r="O475" s="51">
        <f>IF(AND(B475="",G475="",C475="",D475="",J475=""),"",IF(B475="","⚠ Falta fecha",IF(G475="","⚠ Falta monto",IF(Q475="","⚠ Falta cuenta",IF(ISNA(MATCH(Q475,ctaNombre,0)),"⚠ Cuenta no registrada",IF(AND(OR(P475="Gasto",P475="Reembolso"),D475=""),"⚠ Falta categoría",IF(AND(D475&lt;&gt;"",E475&lt;&gt;"",ISNA(MATCH(D475&amp;"|"&amp;E475,catClave,0))),"⚠ Subcategoría no corresponde",IF(AND(OR(P475="Transferencia",P475="Pago tarjeta"),K475=""),"⚠ Falta cuenta destino",IF(AND(K475&lt;&gt;"",P475&lt;&gt;"Transferencia",P475&lt;&gt;"Pago tarjeta"),"⚠ Destino solo aplica a transferencias",IF(AND(K475&lt;&gt;"",K475=Q475),"⚠ Origen igual a destino",IF(AND(K475&lt;&gt;"",ISNA(MATCH(K475,ctaNombre,0))),"⚠ Destino no registrado",IF(AND(P475="Pago tarjeta",AE475&lt;&gt;"Tarjeta de crédito"),"⚠ El destino debe ser tarjeta de crédito",IF(AND(P475="Gasto",E475="Depósitos y retiros"),"⚠ Usa tipo Transferencia",IF(AND(P475="Resultado trading",AD475&lt;&gt;"Cuenta de trading"),"⚠ Usa una cuenta de trading",IF(AND(G475&lt;=0,P475&lt;&gt;"Ajuste",P475&lt;&gt;"Resultado trading"),"⚠ El monto debe ser positivo","✓")))))))))))))))</f>
        <v/>
      </c>
      <c r="P475" s="52">
        <f>IF(OR(B475="",G475=""),"",IF(C475="","Gasto",C475))</f>
        <v/>
      </c>
      <c r="Q475" s="52">
        <f>IF(P475="","",IF(J475&lt;&gt;"",J475,CuentaPred&amp;""))</f>
        <v/>
      </c>
      <c r="R475" s="52">
        <f>IF(P475="","",IF(ISNUMBER(I475),I475,TasaUSD))</f>
        <v/>
      </c>
      <c r="S475" s="53">
        <f>IF(P475="","",IF(H475="USD",G475*R475,G475))</f>
        <v/>
      </c>
      <c r="T475" s="53">
        <f>IF(P475="","",IF(H475="USD",G475,IF(R475&gt;0,G475/R475,0)))</f>
        <v/>
      </c>
      <c r="U475" s="53">
        <f>IF(P475="","",IF(P475="Gasto",S475,IF(P475="Reembolso",-S475,0)))</f>
        <v/>
      </c>
      <c r="V475" s="53">
        <f>IF(P475="","",IF(P475="Ingreso",S475,0))</f>
        <v/>
      </c>
      <c r="W475" s="53">
        <f>IF(P475="","",IF(P475="Resultado trading",S475,0))</f>
        <v/>
      </c>
      <c r="X475" s="52">
        <f>IF(OR(P475="Gasto",P475="Reembolso"),IF(M475&lt;&gt;"",M475,IFERROR(INDEX(catClasif,MATCH(D475&amp;"|"&amp;E475,catClave,0))&amp;"","Variable")),"")</f>
        <v/>
      </c>
      <c r="Y475" s="52">
        <f>IF(P475="","",IFERROR(INDEX(catGrupo,MATCH(D475&amp;"|"&amp;E475,catClave,0))&amp;"",""))</f>
        <v/>
      </c>
      <c r="Z475" s="52">
        <f>IF(P475="","",WEEKDAY(B475,2))</f>
        <v/>
      </c>
      <c r="AA475" s="52">
        <f>IF(P475="","",IF(AND(P475="Gasto",X475="Variable",D475&lt;&gt;catTrading,S475&gt;0,S475&lt;=Umbral),1,0))</f>
        <v/>
      </c>
      <c r="AB475" s="52">
        <f>IF(OR(P475="",Q475=""),"",IFERROR(IF(INDEX(ctaVinc,MATCH(Q475,ctaNombre,0))&amp;""&lt;&gt;"",INDEX(ctaVinc,MATCH(Q475,ctaNombre,0))&amp;"",Q475),Q475))</f>
        <v/>
      </c>
      <c r="AC475" s="52">
        <f>IF(OR(K475="",AND(P475&lt;&gt;"Transferencia",P475&lt;&gt;"Pago tarjeta")),"",IFERROR(IF(INDEX(ctaVinc,MATCH(K475,ctaNombre,0))&amp;""&lt;&gt;"",INDEX(ctaVinc,MATCH(K475,ctaNombre,0))&amp;"",K475),K475))</f>
        <v/>
      </c>
      <c r="AD475" s="52">
        <f>IF(AB475="","",IFERROR(INDEX(ctaTipo,MATCH(AB475,ctaNombre,0))&amp;"",""))</f>
        <v/>
      </c>
      <c r="AE475" s="52">
        <f>IF(AC475="","",IFERROR(INDEX(ctaTipo,MATCH(AC475,ctaNombre,0))&amp;"",""))</f>
        <v/>
      </c>
      <c r="AF475" s="53">
        <f>IF(OR(P475="",AB475=""),"",IF(OR(P475="Gasto",P475="Transferencia",P475="Pago tarjeta"),-1,1)*IF(IFERROR(INDEX(ctaMoneda,MATCH(AB475,ctaNombre,0))&amp;"","DOP")="USD",T475,S475))</f>
        <v/>
      </c>
      <c r="AG475" s="53">
        <f>IF(AC475="","",IF(IFERROR(INDEX(ctaMoneda,MATCH(AC475,ctaNombre,0))&amp;"","DOP")="USD",T475,S475))</f>
        <v/>
      </c>
      <c r="AH475" s="53">
        <f>IF(P475="","",IF(AND(AD475&lt;&gt;"",COUNTIFS(tcTipo,AD475,tcLiq,"Sí")&gt;0),IF(OR(P475="Gasto",P475="Transferencia",P475="Pago tarjeta"),-1,1)*S475,0)+IF(AND(AE475&lt;&gt;"",COUNTIFS(tcTipo,AE475,tcLiq,"Sí")&gt;0),S475,0))</f>
        <v/>
      </c>
      <c r="AI475" s="52">
        <f>IF(OR(L475="",P475=""),"",IF(COUNTIFS(L$6:L475,L475,P$6:P475,"?*")=1,MAX(AI$5:AI474)+1,""))</f>
        <v/>
      </c>
    </row>
    <row r="476">
      <c r="B476" s="47" t="n"/>
      <c r="C476" s="48" t="n"/>
      <c r="D476" s="48" t="n"/>
      <c r="E476" s="48" t="n"/>
      <c r="F476" s="48" t="n"/>
      <c r="G476" s="49" t="n"/>
      <c r="H476" s="48" t="n"/>
      <c r="I476" s="50" t="n"/>
      <c r="J476" s="48" t="n"/>
      <c r="K476" s="48" t="n"/>
      <c r="L476" s="48" t="n"/>
      <c r="M476" s="48" t="n"/>
      <c r="N476" s="48" t="n"/>
      <c r="O476" s="51">
        <f>IF(AND(B476="",G476="",C476="",D476="",J476=""),"",IF(B476="","⚠ Falta fecha",IF(G476="","⚠ Falta monto",IF(Q476="","⚠ Falta cuenta",IF(ISNA(MATCH(Q476,ctaNombre,0)),"⚠ Cuenta no registrada",IF(AND(OR(P476="Gasto",P476="Reembolso"),D476=""),"⚠ Falta categoría",IF(AND(D476&lt;&gt;"",E476&lt;&gt;"",ISNA(MATCH(D476&amp;"|"&amp;E476,catClave,0))),"⚠ Subcategoría no corresponde",IF(AND(OR(P476="Transferencia",P476="Pago tarjeta"),K476=""),"⚠ Falta cuenta destino",IF(AND(K476&lt;&gt;"",P476&lt;&gt;"Transferencia",P476&lt;&gt;"Pago tarjeta"),"⚠ Destino solo aplica a transferencias",IF(AND(K476&lt;&gt;"",K476=Q476),"⚠ Origen igual a destino",IF(AND(K476&lt;&gt;"",ISNA(MATCH(K476,ctaNombre,0))),"⚠ Destino no registrado",IF(AND(P476="Pago tarjeta",AE476&lt;&gt;"Tarjeta de crédito"),"⚠ El destino debe ser tarjeta de crédito",IF(AND(P476="Gasto",E476="Depósitos y retiros"),"⚠ Usa tipo Transferencia",IF(AND(P476="Resultado trading",AD476&lt;&gt;"Cuenta de trading"),"⚠ Usa una cuenta de trading",IF(AND(G476&lt;=0,P476&lt;&gt;"Ajuste",P476&lt;&gt;"Resultado trading"),"⚠ El monto debe ser positivo","✓")))))))))))))))</f>
        <v/>
      </c>
      <c r="P476" s="52">
        <f>IF(OR(B476="",G476=""),"",IF(C476="","Gasto",C476))</f>
        <v/>
      </c>
      <c r="Q476" s="52">
        <f>IF(P476="","",IF(J476&lt;&gt;"",J476,CuentaPred&amp;""))</f>
        <v/>
      </c>
      <c r="R476" s="52">
        <f>IF(P476="","",IF(ISNUMBER(I476),I476,TasaUSD))</f>
        <v/>
      </c>
      <c r="S476" s="53">
        <f>IF(P476="","",IF(H476="USD",G476*R476,G476))</f>
        <v/>
      </c>
      <c r="T476" s="53">
        <f>IF(P476="","",IF(H476="USD",G476,IF(R476&gt;0,G476/R476,0)))</f>
        <v/>
      </c>
      <c r="U476" s="53">
        <f>IF(P476="","",IF(P476="Gasto",S476,IF(P476="Reembolso",-S476,0)))</f>
        <v/>
      </c>
      <c r="V476" s="53">
        <f>IF(P476="","",IF(P476="Ingreso",S476,0))</f>
        <v/>
      </c>
      <c r="W476" s="53">
        <f>IF(P476="","",IF(P476="Resultado trading",S476,0))</f>
        <v/>
      </c>
      <c r="X476" s="52">
        <f>IF(OR(P476="Gasto",P476="Reembolso"),IF(M476&lt;&gt;"",M476,IFERROR(INDEX(catClasif,MATCH(D476&amp;"|"&amp;E476,catClave,0))&amp;"","Variable")),"")</f>
        <v/>
      </c>
      <c r="Y476" s="52">
        <f>IF(P476="","",IFERROR(INDEX(catGrupo,MATCH(D476&amp;"|"&amp;E476,catClave,0))&amp;"",""))</f>
        <v/>
      </c>
      <c r="Z476" s="52">
        <f>IF(P476="","",WEEKDAY(B476,2))</f>
        <v/>
      </c>
      <c r="AA476" s="52">
        <f>IF(P476="","",IF(AND(P476="Gasto",X476="Variable",D476&lt;&gt;catTrading,S476&gt;0,S476&lt;=Umbral),1,0))</f>
        <v/>
      </c>
      <c r="AB476" s="52">
        <f>IF(OR(P476="",Q476=""),"",IFERROR(IF(INDEX(ctaVinc,MATCH(Q476,ctaNombre,0))&amp;""&lt;&gt;"",INDEX(ctaVinc,MATCH(Q476,ctaNombre,0))&amp;"",Q476),Q476))</f>
        <v/>
      </c>
      <c r="AC476" s="52">
        <f>IF(OR(K476="",AND(P476&lt;&gt;"Transferencia",P476&lt;&gt;"Pago tarjeta")),"",IFERROR(IF(INDEX(ctaVinc,MATCH(K476,ctaNombre,0))&amp;""&lt;&gt;"",INDEX(ctaVinc,MATCH(K476,ctaNombre,0))&amp;"",K476),K476))</f>
        <v/>
      </c>
      <c r="AD476" s="52">
        <f>IF(AB476="","",IFERROR(INDEX(ctaTipo,MATCH(AB476,ctaNombre,0))&amp;"",""))</f>
        <v/>
      </c>
      <c r="AE476" s="52">
        <f>IF(AC476="","",IFERROR(INDEX(ctaTipo,MATCH(AC476,ctaNombre,0))&amp;"",""))</f>
        <v/>
      </c>
      <c r="AF476" s="53">
        <f>IF(OR(P476="",AB476=""),"",IF(OR(P476="Gasto",P476="Transferencia",P476="Pago tarjeta"),-1,1)*IF(IFERROR(INDEX(ctaMoneda,MATCH(AB476,ctaNombre,0))&amp;"","DOP")="USD",T476,S476))</f>
        <v/>
      </c>
      <c r="AG476" s="53">
        <f>IF(AC476="","",IF(IFERROR(INDEX(ctaMoneda,MATCH(AC476,ctaNombre,0))&amp;"","DOP")="USD",T476,S476))</f>
        <v/>
      </c>
      <c r="AH476" s="53">
        <f>IF(P476="","",IF(AND(AD476&lt;&gt;"",COUNTIFS(tcTipo,AD476,tcLiq,"Sí")&gt;0),IF(OR(P476="Gasto",P476="Transferencia",P476="Pago tarjeta"),-1,1)*S476,0)+IF(AND(AE476&lt;&gt;"",COUNTIFS(tcTipo,AE476,tcLiq,"Sí")&gt;0),S476,0))</f>
        <v/>
      </c>
      <c r="AI476" s="52">
        <f>IF(OR(L476="",P476=""),"",IF(COUNTIFS(L$6:L476,L476,P$6:P476,"?*")=1,MAX(AI$5:AI475)+1,""))</f>
        <v/>
      </c>
    </row>
    <row r="477">
      <c r="B477" s="47" t="n"/>
      <c r="C477" s="48" t="n"/>
      <c r="D477" s="48" t="n"/>
      <c r="E477" s="48" t="n"/>
      <c r="F477" s="48" t="n"/>
      <c r="G477" s="49" t="n"/>
      <c r="H477" s="48" t="n"/>
      <c r="I477" s="50" t="n"/>
      <c r="J477" s="48" t="n"/>
      <c r="K477" s="48" t="n"/>
      <c r="L477" s="48" t="n"/>
      <c r="M477" s="48" t="n"/>
      <c r="N477" s="48" t="n"/>
      <c r="O477" s="51">
        <f>IF(AND(B477="",G477="",C477="",D477="",J477=""),"",IF(B477="","⚠ Falta fecha",IF(G477="","⚠ Falta monto",IF(Q477="","⚠ Falta cuenta",IF(ISNA(MATCH(Q477,ctaNombre,0)),"⚠ Cuenta no registrada",IF(AND(OR(P477="Gasto",P477="Reembolso"),D477=""),"⚠ Falta categoría",IF(AND(D477&lt;&gt;"",E477&lt;&gt;"",ISNA(MATCH(D477&amp;"|"&amp;E477,catClave,0))),"⚠ Subcategoría no corresponde",IF(AND(OR(P477="Transferencia",P477="Pago tarjeta"),K477=""),"⚠ Falta cuenta destino",IF(AND(K477&lt;&gt;"",P477&lt;&gt;"Transferencia",P477&lt;&gt;"Pago tarjeta"),"⚠ Destino solo aplica a transferencias",IF(AND(K477&lt;&gt;"",K477=Q477),"⚠ Origen igual a destino",IF(AND(K477&lt;&gt;"",ISNA(MATCH(K477,ctaNombre,0))),"⚠ Destino no registrado",IF(AND(P477="Pago tarjeta",AE477&lt;&gt;"Tarjeta de crédito"),"⚠ El destino debe ser tarjeta de crédito",IF(AND(P477="Gasto",E477="Depósitos y retiros"),"⚠ Usa tipo Transferencia",IF(AND(P477="Resultado trading",AD477&lt;&gt;"Cuenta de trading"),"⚠ Usa una cuenta de trading",IF(AND(G477&lt;=0,P477&lt;&gt;"Ajuste",P477&lt;&gt;"Resultado trading"),"⚠ El monto debe ser positivo","✓")))))))))))))))</f>
        <v/>
      </c>
      <c r="P477" s="52">
        <f>IF(OR(B477="",G477=""),"",IF(C477="","Gasto",C477))</f>
        <v/>
      </c>
      <c r="Q477" s="52">
        <f>IF(P477="","",IF(J477&lt;&gt;"",J477,CuentaPred&amp;""))</f>
        <v/>
      </c>
      <c r="R477" s="52">
        <f>IF(P477="","",IF(ISNUMBER(I477),I477,TasaUSD))</f>
        <v/>
      </c>
      <c r="S477" s="53">
        <f>IF(P477="","",IF(H477="USD",G477*R477,G477))</f>
        <v/>
      </c>
      <c r="T477" s="53">
        <f>IF(P477="","",IF(H477="USD",G477,IF(R477&gt;0,G477/R477,0)))</f>
        <v/>
      </c>
      <c r="U477" s="53">
        <f>IF(P477="","",IF(P477="Gasto",S477,IF(P477="Reembolso",-S477,0)))</f>
        <v/>
      </c>
      <c r="V477" s="53">
        <f>IF(P477="","",IF(P477="Ingreso",S477,0))</f>
        <v/>
      </c>
      <c r="W477" s="53">
        <f>IF(P477="","",IF(P477="Resultado trading",S477,0))</f>
        <v/>
      </c>
      <c r="X477" s="52">
        <f>IF(OR(P477="Gasto",P477="Reembolso"),IF(M477&lt;&gt;"",M477,IFERROR(INDEX(catClasif,MATCH(D477&amp;"|"&amp;E477,catClave,0))&amp;"","Variable")),"")</f>
        <v/>
      </c>
      <c r="Y477" s="52">
        <f>IF(P477="","",IFERROR(INDEX(catGrupo,MATCH(D477&amp;"|"&amp;E477,catClave,0))&amp;"",""))</f>
        <v/>
      </c>
      <c r="Z477" s="52">
        <f>IF(P477="","",WEEKDAY(B477,2))</f>
        <v/>
      </c>
      <c r="AA477" s="52">
        <f>IF(P477="","",IF(AND(P477="Gasto",X477="Variable",D477&lt;&gt;catTrading,S477&gt;0,S477&lt;=Umbral),1,0))</f>
        <v/>
      </c>
      <c r="AB477" s="52">
        <f>IF(OR(P477="",Q477=""),"",IFERROR(IF(INDEX(ctaVinc,MATCH(Q477,ctaNombre,0))&amp;""&lt;&gt;"",INDEX(ctaVinc,MATCH(Q477,ctaNombre,0))&amp;"",Q477),Q477))</f>
        <v/>
      </c>
      <c r="AC477" s="52">
        <f>IF(OR(K477="",AND(P477&lt;&gt;"Transferencia",P477&lt;&gt;"Pago tarjeta")),"",IFERROR(IF(INDEX(ctaVinc,MATCH(K477,ctaNombre,0))&amp;""&lt;&gt;"",INDEX(ctaVinc,MATCH(K477,ctaNombre,0))&amp;"",K477),K477))</f>
        <v/>
      </c>
      <c r="AD477" s="52">
        <f>IF(AB477="","",IFERROR(INDEX(ctaTipo,MATCH(AB477,ctaNombre,0))&amp;"",""))</f>
        <v/>
      </c>
      <c r="AE477" s="52">
        <f>IF(AC477="","",IFERROR(INDEX(ctaTipo,MATCH(AC477,ctaNombre,0))&amp;"",""))</f>
        <v/>
      </c>
      <c r="AF477" s="53">
        <f>IF(OR(P477="",AB477=""),"",IF(OR(P477="Gasto",P477="Transferencia",P477="Pago tarjeta"),-1,1)*IF(IFERROR(INDEX(ctaMoneda,MATCH(AB477,ctaNombre,0))&amp;"","DOP")="USD",T477,S477))</f>
        <v/>
      </c>
      <c r="AG477" s="53">
        <f>IF(AC477="","",IF(IFERROR(INDEX(ctaMoneda,MATCH(AC477,ctaNombre,0))&amp;"","DOP")="USD",T477,S477))</f>
        <v/>
      </c>
      <c r="AH477" s="53">
        <f>IF(P477="","",IF(AND(AD477&lt;&gt;"",COUNTIFS(tcTipo,AD477,tcLiq,"Sí")&gt;0),IF(OR(P477="Gasto",P477="Transferencia",P477="Pago tarjeta"),-1,1)*S477,0)+IF(AND(AE477&lt;&gt;"",COUNTIFS(tcTipo,AE477,tcLiq,"Sí")&gt;0),S477,0))</f>
        <v/>
      </c>
      <c r="AI477" s="52">
        <f>IF(OR(L477="",P477=""),"",IF(COUNTIFS(L$6:L477,L477,P$6:P477,"?*")=1,MAX(AI$5:AI476)+1,""))</f>
        <v/>
      </c>
    </row>
    <row r="478">
      <c r="B478" s="47" t="n"/>
      <c r="C478" s="48" t="n"/>
      <c r="D478" s="48" t="n"/>
      <c r="E478" s="48" t="n"/>
      <c r="F478" s="48" t="n"/>
      <c r="G478" s="49" t="n"/>
      <c r="H478" s="48" t="n"/>
      <c r="I478" s="50" t="n"/>
      <c r="J478" s="48" t="n"/>
      <c r="K478" s="48" t="n"/>
      <c r="L478" s="48" t="n"/>
      <c r="M478" s="48" t="n"/>
      <c r="N478" s="48" t="n"/>
      <c r="O478" s="51">
        <f>IF(AND(B478="",G478="",C478="",D478="",J478=""),"",IF(B478="","⚠ Falta fecha",IF(G478="","⚠ Falta monto",IF(Q478="","⚠ Falta cuenta",IF(ISNA(MATCH(Q478,ctaNombre,0)),"⚠ Cuenta no registrada",IF(AND(OR(P478="Gasto",P478="Reembolso"),D478=""),"⚠ Falta categoría",IF(AND(D478&lt;&gt;"",E478&lt;&gt;"",ISNA(MATCH(D478&amp;"|"&amp;E478,catClave,0))),"⚠ Subcategoría no corresponde",IF(AND(OR(P478="Transferencia",P478="Pago tarjeta"),K478=""),"⚠ Falta cuenta destino",IF(AND(K478&lt;&gt;"",P478&lt;&gt;"Transferencia",P478&lt;&gt;"Pago tarjeta"),"⚠ Destino solo aplica a transferencias",IF(AND(K478&lt;&gt;"",K478=Q478),"⚠ Origen igual a destino",IF(AND(K478&lt;&gt;"",ISNA(MATCH(K478,ctaNombre,0))),"⚠ Destino no registrado",IF(AND(P478="Pago tarjeta",AE478&lt;&gt;"Tarjeta de crédito"),"⚠ El destino debe ser tarjeta de crédito",IF(AND(P478="Gasto",E478="Depósitos y retiros"),"⚠ Usa tipo Transferencia",IF(AND(P478="Resultado trading",AD478&lt;&gt;"Cuenta de trading"),"⚠ Usa una cuenta de trading",IF(AND(G478&lt;=0,P478&lt;&gt;"Ajuste",P478&lt;&gt;"Resultado trading"),"⚠ El monto debe ser positivo","✓")))))))))))))))</f>
        <v/>
      </c>
      <c r="P478" s="52">
        <f>IF(OR(B478="",G478=""),"",IF(C478="","Gasto",C478))</f>
        <v/>
      </c>
      <c r="Q478" s="52">
        <f>IF(P478="","",IF(J478&lt;&gt;"",J478,CuentaPred&amp;""))</f>
        <v/>
      </c>
      <c r="R478" s="52">
        <f>IF(P478="","",IF(ISNUMBER(I478),I478,TasaUSD))</f>
        <v/>
      </c>
      <c r="S478" s="53">
        <f>IF(P478="","",IF(H478="USD",G478*R478,G478))</f>
        <v/>
      </c>
      <c r="T478" s="53">
        <f>IF(P478="","",IF(H478="USD",G478,IF(R478&gt;0,G478/R478,0)))</f>
        <v/>
      </c>
      <c r="U478" s="53">
        <f>IF(P478="","",IF(P478="Gasto",S478,IF(P478="Reembolso",-S478,0)))</f>
        <v/>
      </c>
      <c r="V478" s="53">
        <f>IF(P478="","",IF(P478="Ingreso",S478,0))</f>
        <v/>
      </c>
      <c r="W478" s="53">
        <f>IF(P478="","",IF(P478="Resultado trading",S478,0))</f>
        <v/>
      </c>
      <c r="X478" s="52">
        <f>IF(OR(P478="Gasto",P478="Reembolso"),IF(M478&lt;&gt;"",M478,IFERROR(INDEX(catClasif,MATCH(D478&amp;"|"&amp;E478,catClave,0))&amp;"","Variable")),"")</f>
        <v/>
      </c>
      <c r="Y478" s="52">
        <f>IF(P478="","",IFERROR(INDEX(catGrupo,MATCH(D478&amp;"|"&amp;E478,catClave,0))&amp;"",""))</f>
        <v/>
      </c>
      <c r="Z478" s="52">
        <f>IF(P478="","",WEEKDAY(B478,2))</f>
        <v/>
      </c>
      <c r="AA478" s="52">
        <f>IF(P478="","",IF(AND(P478="Gasto",X478="Variable",D478&lt;&gt;catTrading,S478&gt;0,S478&lt;=Umbral),1,0))</f>
        <v/>
      </c>
      <c r="AB478" s="52">
        <f>IF(OR(P478="",Q478=""),"",IFERROR(IF(INDEX(ctaVinc,MATCH(Q478,ctaNombre,0))&amp;""&lt;&gt;"",INDEX(ctaVinc,MATCH(Q478,ctaNombre,0))&amp;"",Q478),Q478))</f>
        <v/>
      </c>
      <c r="AC478" s="52">
        <f>IF(OR(K478="",AND(P478&lt;&gt;"Transferencia",P478&lt;&gt;"Pago tarjeta")),"",IFERROR(IF(INDEX(ctaVinc,MATCH(K478,ctaNombre,0))&amp;""&lt;&gt;"",INDEX(ctaVinc,MATCH(K478,ctaNombre,0))&amp;"",K478),K478))</f>
        <v/>
      </c>
      <c r="AD478" s="52">
        <f>IF(AB478="","",IFERROR(INDEX(ctaTipo,MATCH(AB478,ctaNombre,0))&amp;"",""))</f>
        <v/>
      </c>
      <c r="AE478" s="52">
        <f>IF(AC478="","",IFERROR(INDEX(ctaTipo,MATCH(AC478,ctaNombre,0))&amp;"",""))</f>
        <v/>
      </c>
      <c r="AF478" s="53">
        <f>IF(OR(P478="",AB478=""),"",IF(OR(P478="Gasto",P478="Transferencia",P478="Pago tarjeta"),-1,1)*IF(IFERROR(INDEX(ctaMoneda,MATCH(AB478,ctaNombre,0))&amp;"","DOP")="USD",T478,S478))</f>
        <v/>
      </c>
      <c r="AG478" s="53">
        <f>IF(AC478="","",IF(IFERROR(INDEX(ctaMoneda,MATCH(AC478,ctaNombre,0))&amp;"","DOP")="USD",T478,S478))</f>
        <v/>
      </c>
      <c r="AH478" s="53">
        <f>IF(P478="","",IF(AND(AD478&lt;&gt;"",COUNTIFS(tcTipo,AD478,tcLiq,"Sí")&gt;0),IF(OR(P478="Gasto",P478="Transferencia",P478="Pago tarjeta"),-1,1)*S478,0)+IF(AND(AE478&lt;&gt;"",COUNTIFS(tcTipo,AE478,tcLiq,"Sí")&gt;0),S478,0))</f>
        <v/>
      </c>
      <c r="AI478" s="52">
        <f>IF(OR(L478="",P478=""),"",IF(COUNTIFS(L$6:L478,L478,P$6:P478,"?*")=1,MAX(AI$5:AI477)+1,""))</f>
        <v/>
      </c>
    </row>
    <row r="479">
      <c r="B479" s="47" t="n"/>
      <c r="C479" s="48" t="n"/>
      <c r="D479" s="48" t="n"/>
      <c r="E479" s="48" t="n"/>
      <c r="F479" s="48" t="n"/>
      <c r="G479" s="49" t="n"/>
      <c r="H479" s="48" t="n"/>
      <c r="I479" s="50" t="n"/>
      <c r="J479" s="48" t="n"/>
      <c r="K479" s="48" t="n"/>
      <c r="L479" s="48" t="n"/>
      <c r="M479" s="48" t="n"/>
      <c r="N479" s="48" t="n"/>
      <c r="O479" s="51">
        <f>IF(AND(B479="",G479="",C479="",D479="",J479=""),"",IF(B479="","⚠ Falta fecha",IF(G479="","⚠ Falta monto",IF(Q479="","⚠ Falta cuenta",IF(ISNA(MATCH(Q479,ctaNombre,0)),"⚠ Cuenta no registrada",IF(AND(OR(P479="Gasto",P479="Reembolso"),D479=""),"⚠ Falta categoría",IF(AND(D479&lt;&gt;"",E479&lt;&gt;"",ISNA(MATCH(D479&amp;"|"&amp;E479,catClave,0))),"⚠ Subcategoría no corresponde",IF(AND(OR(P479="Transferencia",P479="Pago tarjeta"),K479=""),"⚠ Falta cuenta destino",IF(AND(K479&lt;&gt;"",P479&lt;&gt;"Transferencia",P479&lt;&gt;"Pago tarjeta"),"⚠ Destino solo aplica a transferencias",IF(AND(K479&lt;&gt;"",K479=Q479),"⚠ Origen igual a destino",IF(AND(K479&lt;&gt;"",ISNA(MATCH(K479,ctaNombre,0))),"⚠ Destino no registrado",IF(AND(P479="Pago tarjeta",AE479&lt;&gt;"Tarjeta de crédito"),"⚠ El destino debe ser tarjeta de crédito",IF(AND(P479="Gasto",E479="Depósitos y retiros"),"⚠ Usa tipo Transferencia",IF(AND(P479="Resultado trading",AD479&lt;&gt;"Cuenta de trading"),"⚠ Usa una cuenta de trading",IF(AND(G479&lt;=0,P479&lt;&gt;"Ajuste",P479&lt;&gt;"Resultado trading"),"⚠ El monto debe ser positivo","✓")))))))))))))))</f>
        <v/>
      </c>
      <c r="P479" s="52">
        <f>IF(OR(B479="",G479=""),"",IF(C479="","Gasto",C479))</f>
        <v/>
      </c>
      <c r="Q479" s="52">
        <f>IF(P479="","",IF(J479&lt;&gt;"",J479,CuentaPred&amp;""))</f>
        <v/>
      </c>
      <c r="R479" s="52">
        <f>IF(P479="","",IF(ISNUMBER(I479),I479,TasaUSD))</f>
        <v/>
      </c>
      <c r="S479" s="53">
        <f>IF(P479="","",IF(H479="USD",G479*R479,G479))</f>
        <v/>
      </c>
      <c r="T479" s="53">
        <f>IF(P479="","",IF(H479="USD",G479,IF(R479&gt;0,G479/R479,0)))</f>
        <v/>
      </c>
      <c r="U479" s="53">
        <f>IF(P479="","",IF(P479="Gasto",S479,IF(P479="Reembolso",-S479,0)))</f>
        <v/>
      </c>
      <c r="V479" s="53">
        <f>IF(P479="","",IF(P479="Ingreso",S479,0))</f>
        <v/>
      </c>
      <c r="W479" s="53">
        <f>IF(P479="","",IF(P479="Resultado trading",S479,0))</f>
        <v/>
      </c>
      <c r="X479" s="52">
        <f>IF(OR(P479="Gasto",P479="Reembolso"),IF(M479&lt;&gt;"",M479,IFERROR(INDEX(catClasif,MATCH(D479&amp;"|"&amp;E479,catClave,0))&amp;"","Variable")),"")</f>
        <v/>
      </c>
      <c r="Y479" s="52">
        <f>IF(P479="","",IFERROR(INDEX(catGrupo,MATCH(D479&amp;"|"&amp;E479,catClave,0))&amp;"",""))</f>
        <v/>
      </c>
      <c r="Z479" s="52">
        <f>IF(P479="","",WEEKDAY(B479,2))</f>
        <v/>
      </c>
      <c r="AA479" s="52">
        <f>IF(P479="","",IF(AND(P479="Gasto",X479="Variable",D479&lt;&gt;catTrading,S479&gt;0,S479&lt;=Umbral),1,0))</f>
        <v/>
      </c>
      <c r="AB479" s="52">
        <f>IF(OR(P479="",Q479=""),"",IFERROR(IF(INDEX(ctaVinc,MATCH(Q479,ctaNombre,0))&amp;""&lt;&gt;"",INDEX(ctaVinc,MATCH(Q479,ctaNombre,0))&amp;"",Q479),Q479))</f>
        <v/>
      </c>
      <c r="AC479" s="52">
        <f>IF(OR(K479="",AND(P479&lt;&gt;"Transferencia",P479&lt;&gt;"Pago tarjeta")),"",IFERROR(IF(INDEX(ctaVinc,MATCH(K479,ctaNombre,0))&amp;""&lt;&gt;"",INDEX(ctaVinc,MATCH(K479,ctaNombre,0))&amp;"",K479),K479))</f>
        <v/>
      </c>
      <c r="AD479" s="52">
        <f>IF(AB479="","",IFERROR(INDEX(ctaTipo,MATCH(AB479,ctaNombre,0))&amp;"",""))</f>
        <v/>
      </c>
      <c r="AE479" s="52">
        <f>IF(AC479="","",IFERROR(INDEX(ctaTipo,MATCH(AC479,ctaNombre,0))&amp;"",""))</f>
        <v/>
      </c>
      <c r="AF479" s="53">
        <f>IF(OR(P479="",AB479=""),"",IF(OR(P479="Gasto",P479="Transferencia",P479="Pago tarjeta"),-1,1)*IF(IFERROR(INDEX(ctaMoneda,MATCH(AB479,ctaNombre,0))&amp;"","DOP")="USD",T479,S479))</f>
        <v/>
      </c>
      <c r="AG479" s="53">
        <f>IF(AC479="","",IF(IFERROR(INDEX(ctaMoneda,MATCH(AC479,ctaNombre,0))&amp;"","DOP")="USD",T479,S479))</f>
        <v/>
      </c>
      <c r="AH479" s="53">
        <f>IF(P479="","",IF(AND(AD479&lt;&gt;"",COUNTIFS(tcTipo,AD479,tcLiq,"Sí")&gt;0),IF(OR(P479="Gasto",P479="Transferencia",P479="Pago tarjeta"),-1,1)*S479,0)+IF(AND(AE479&lt;&gt;"",COUNTIFS(tcTipo,AE479,tcLiq,"Sí")&gt;0),S479,0))</f>
        <v/>
      </c>
      <c r="AI479" s="52">
        <f>IF(OR(L479="",P479=""),"",IF(COUNTIFS(L$6:L479,L479,P$6:P479,"?*")=1,MAX(AI$5:AI478)+1,""))</f>
        <v/>
      </c>
    </row>
    <row r="480">
      <c r="B480" s="47" t="n"/>
      <c r="C480" s="48" t="n"/>
      <c r="D480" s="48" t="n"/>
      <c r="E480" s="48" t="n"/>
      <c r="F480" s="48" t="n"/>
      <c r="G480" s="49" t="n"/>
      <c r="H480" s="48" t="n"/>
      <c r="I480" s="50" t="n"/>
      <c r="J480" s="48" t="n"/>
      <c r="K480" s="48" t="n"/>
      <c r="L480" s="48" t="n"/>
      <c r="M480" s="48" t="n"/>
      <c r="N480" s="48" t="n"/>
      <c r="O480" s="51">
        <f>IF(AND(B480="",G480="",C480="",D480="",J480=""),"",IF(B480="","⚠ Falta fecha",IF(G480="","⚠ Falta monto",IF(Q480="","⚠ Falta cuenta",IF(ISNA(MATCH(Q480,ctaNombre,0)),"⚠ Cuenta no registrada",IF(AND(OR(P480="Gasto",P480="Reembolso"),D480=""),"⚠ Falta categoría",IF(AND(D480&lt;&gt;"",E480&lt;&gt;"",ISNA(MATCH(D480&amp;"|"&amp;E480,catClave,0))),"⚠ Subcategoría no corresponde",IF(AND(OR(P480="Transferencia",P480="Pago tarjeta"),K480=""),"⚠ Falta cuenta destino",IF(AND(K480&lt;&gt;"",P480&lt;&gt;"Transferencia",P480&lt;&gt;"Pago tarjeta"),"⚠ Destino solo aplica a transferencias",IF(AND(K480&lt;&gt;"",K480=Q480),"⚠ Origen igual a destino",IF(AND(K480&lt;&gt;"",ISNA(MATCH(K480,ctaNombre,0))),"⚠ Destino no registrado",IF(AND(P480="Pago tarjeta",AE480&lt;&gt;"Tarjeta de crédito"),"⚠ El destino debe ser tarjeta de crédito",IF(AND(P480="Gasto",E480="Depósitos y retiros"),"⚠ Usa tipo Transferencia",IF(AND(P480="Resultado trading",AD480&lt;&gt;"Cuenta de trading"),"⚠ Usa una cuenta de trading",IF(AND(G480&lt;=0,P480&lt;&gt;"Ajuste",P480&lt;&gt;"Resultado trading"),"⚠ El monto debe ser positivo","✓")))))))))))))))</f>
        <v/>
      </c>
      <c r="P480" s="52">
        <f>IF(OR(B480="",G480=""),"",IF(C480="","Gasto",C480))</f>
        <v/>
      </c>
      <c r="Q480" s="52">
        <f>IF(P480="","",IF(J480&lt;&gt;"",J480,CuentaPred&amp;""))</f>
        <v/>
      </c>
      <c r="R480" s="52">
        <f>IF(P480="","",IF(ISNUMBER(I480),I480,TasaUSD))</f>
        <v/>
      </c>
      <c r="S480" s="53">
        <f>IF(P480="","",IF(H480="USD",G480*R480,G480))</f>
        <v/>
      </c>
      <c r="T480" s="53">
        <f>IF(P480="","",IF(H480="USD",G480,IF(R480&gt;0,G480/R480,0)))</f>
        <v/>
      </c>
      <c r="U480" s="53">
        <f>IF(P480="","",IF(P480="Gasto",S480,IF(P480="Reembolso",-S480,0)))</f>
        <v/>
      </c>
      <c r="V480" s="53">
        <f>IF(P480="","",IF(P480="Ingreso",S480,0))</f>
        <v/>
      </c>
      <c r="W480" s="53">
        <f>IF(P480="","",IF(P480="Resultado trading",S480,0))</f>
        <v/>
      </c>
      <c r="X480" s="52">
        <f>IF(OR(P480="Gasto",P480="Reembolso"),IF(M480&lt;&gt;"",M480,IFERROR(INDEX(catClasif,MATCH(D480&amp;"|"&amp;E480,catClave,0))&amp;"","Variable")),"")</f>
        <v/>
      </c>
      <c r="Y480" s="52">
        <f>IF(P480="","",IFERROR(INDEX(catGrupo,MATCH(D480&amp;"|"&amp;E480,catClave,0))&amp;"",""))</f>
        <v/>
      </c>
      <c r="Z480" s="52">
        <f>IF(P480="","",WEEKDAY(B480,2))</f>
        <v/>
      </c>
      <c r="AA480" s="52">
        <f>IF(P480="","",IF(AND(P480="Gasto",X480="Variable",D480&lt;&gt;catTrading,S480&gt;0,S480&lt;=Umbral),1,0))</f>
        <v/>
      </c>
      <c r="AB480" s="52">
        <f>IF(OR(P480="",Q480=""),"",IFERROR(IF(INDEX(ctaVinc,MATCH(Q480,ctaNombre,0))&amp;""&lt;&gt;"",INDEX(ctaVinc,MATCH(Q480,ctaNombre,0))&amp;"",Q480),Q480))</f>
        <v/>
      </c>
      <c r="AC480" s="52">
        <f>IF(OR(K480="",AND(P480&lt;&gt;"Transferencia",P480&lt;&gt;"Pago tarjeta")),"",IFERROR(IF(INDEX(ctaVinc,MATCH(K480,ctaNombre,0))&amp;""&lt;&gt;"",INDEX(ctaVinc,MATCH(K480,ctaNombre,0))&amp;"",K480),K480))</f>
        <v/>
      </c>
      <c r="AD480" s="52">
        <f>IF(AB480="","",IFERROR(INDEX(ctaTipo,MATCH(AB480,ctaNombre,0))&amp;"",""))</f>
        <v/>
      </c>
      <c r="AE480" s="52">
        <f>IF(AC480="","",IFERROR(INDEX(ctaTipo,MATCH(AC480,ctaNombre,0))&amp;"",""))</f>
        <v/>
      </c>
      <c r="AF480" s="53">
        <f>IF(OR(P480="",AB480=""),"",IF(OR(P480="Gasto",P480="Transferencia",P480="Pago tarjeta"),-1,1)*IF(IFERROR(INDEX(ctaMoneda,MATCH(AB480,ctaNombre,0))&amp;"","DOP")="USD",T480,S480))</f>
        <v/>
      </c>
      <c r="AG480" s="53">
        <f>IF(AC480="","",IF(IFERROR(INDEX(ctaMoneda,MATCH(AC480,ctaNombre,0))&amp;"","DOP")="USD",T480,S480))</f>
        <v/>
      </c>
      <c r="AH480" s="53">
        <f>IF(P480="","",IF(AND(AD480&lt;&gt;"",COUNTIFS(tcTipo,AD480,tcLiq,"Sí")&gt;0),IF(OR(P480="Gasto",P480="Transferencia",P480="Pago tarjeta"),-1,1)*S480,0)+IF(AND(AE480&lt;&gt;"",COUNTIFS(tcTipo,AE480,tcLiq,"Sí")&gt;0),S480,0))</f>
        <v/>
      </c>
      <c r="AI480" s="52">
        <f>IF(OR(L480="",P480=""),"",IF(COUNTIFS(L$6:L480,L480,P$6:P480,"?*")=1,MAX(AI$5:AI479)+1,""))</f>
        <v/>
      </c>
    </row>
    <row r="481">
      <c r="B481" s="47" t="n"/>
      <c r="C481" s="48" t="n"/>
      <c r="D481" s="48" t="n"/>
      <c r="E481" s="48" t="n"/>
      <c r="F481" s="48" t="n"/>
      <c r="G481" s="49" t="n"/>
      <c r="H481" s="48" t="n"/>
      <c r="I481" s="50" t="n"/>
      <c r="J481" s="48" t="n"/>
      <c r="K481" s="48" t="n"/>
      <c r="L481" s="48" t="n"/>
      <c r="M481" s="48" t="n"/>
      <c r="N481" s="48" t="n"/>
      <c r="O481" s="51">
        <f>IF(AND(B481="",G481="",C481="",D481="",J481=""),"",IF(B481="","⚠ Falta fecha",IF(G481="","⚠ Falta monto",IF(Q481="","⚠ Falta cuenta",IF(ISNA(MATCH(Q481,ctaNombre,0)),"⚠ Cuenta no registrada",IF(AND(OR(P481="Gasto",P481="Reembolso"),D481=""),"⚠ Falta categoría",IF(AND(D481&lt;&gt;"",E481&lt;&gt;"",ISNA(MATCH(D481&amp;"|"&amp;E481,catClave,0))),"⚠ Subcategoría no corresponde",IF(AND(OR(P481="Transferencia",P481="Pago tarjeta"),K481=""),"⚠ Falta cuenta destino",IF(AND(K481&lt;&gt;"",P481&lt;&gt;"Transferencia",P481&lt;&gt;"Pago tarjeta"),"⚠ Destino solo aplica a transferencias",IF(AND(K481&lt;&gt;"",K481=Q481),"⚠ Origen igual a destino",IF(AND(K481&lt;&gt;"",ISNA(MATCH(K481,ctaNombre,0))),"⚠ Destino no registrado",IF(AND(P481="Pago tarjeta",AE481&lt;&gt;"Tarjeta de crédito"),"⚠ El destino debe ser tarjeta de crédito",IF(AND(P481="Gasto",E481="Depósitos y retiros"),"⚠ Usa tipo Transferencia",IF(AND(P481="Resultado trading",AD481&lt;&gt;"Cuenta de trading"),"⚠ Usa una cuenta de trading",IF(AND(G481&lt;=0,P481&lt;&gt;"Ajuste",P481&lt;&gt;"Resultado trading"),"⚠ El monto debe ser positivo","✓")))))))))))))))</f>
        <v/>
      </c>
      <c r="P481" s="52">
        <f>IF(OR(B481="",G481=""),"",IF(C481="","Gasto",C481))</f>
        <v/>
      </c>
      <c r="Q481" s="52">
        <f>IF(P481="","",IF(J481&lt;&gt;"",J481,CuentaPred&amp;""))</f>
        <v/>
      </c>
      <c r="R481" s="52">
        <f>IF(P481="","",IF(ISNUMBER(I481),I481,TasaUSD))</f>
        <v/>
      </c>
      <c r="S481" s="53">
        <f>IF(P481="","",IF(H481="USD",G481*R481,G481))</f>
        <v/>
      </c>
      <c r="T481" s="53">
        <f>IF(P481="","",IF(H481="USD",G481,IF(R481&gt;0,G481/R481,0)))</f>
        <v/>
      </c>
      <c r="U481" s="53">
        <f>IF(P481="","",IF(P481="Gasto",S481,IF(P481="Reembolso",-S481,0)))</f>
        <v/>
      </c>
      <c r="V481" s="53">
        <f>IF(P481="","",IF(P481="Ingreso",S481,0))</f>
        <v/>
      </c>
      <c r="W481" s="53">
        <f>IF(P481="","",IF(P481="Resultado trading",S481,0))</f>
        <v/>
      </c>
      <c r="X481" s="52">
        <f>IF(OR(P481="Gasto",P481="Reembolso"),IF(M481&lt;&gt;"",M481,IFERROR(INDEX(catClasif,MATCH(D481&amp;"|"&amp;E481,catClave,0))&amp;"","Variable")),"")</f>
        <v/>
      </c>
      <c r="Y481" s="52">
        <f>IF(P481="","",IFERROR(INDEX(catGrupo,MATCH(D481&amp;"|"&amp;E481,catClave,0))&amp;"",""))</f>
        <v/>
      </c>
      <c r="Z481" s="52">
        <f>IF(P481="","",WEEKDAY(B481,2))</f>
        <v/>
      </c>
      <c r="AA481" s="52">
        <f>IF(P481="","",IF(AND(P481="Gasto",X481="Variable",D481&lt;&gt;catTrading,S481&gt;0,S481&lt;=Umbral),1,0))</f>
        <v/>
      </c>
      <c r="AB481" s="52">
        <f>IF(OR(P481="",Q481=""),"",IFERROR(IF(INDEX(ctaVinc,MATCH(Q481,ctaNombre,0))&amp;""&lt;&gt;"",INDEX(ctaVinc,MATCH(Q481,ctaNombre,0))&amp;"",Q481),Q481))</f>
        <v/>
      </c>
      <c r="AC481" s="52">
        <f>IF(OR(K481="",AND(P481&lt;&gt;"Transferencia",P481&lt;&gt;"Pago tarjeta")),"",IFERROR(IF(INDEX(ctaVinc,MATCH(K481,ctaNombre,0))&amp;""&lt;&gt;"",INDEX(ctaVinc,MATCH(K481,ctaNombre,0))&amp;"",K481),K481))</f>
        <v/>
      </c>
      <c r="AD481" s="52">
        <f>IF(AB481="","",IFERROR(INDEX(ctaTipo,MATCH(AB481,ctaNombre,0))&amp;"",""))</f>
        <v/>
      </c>
      <c r="AE481" s="52">
        <f>IF(AC481="","",IFERROR(INDEX(ctaTipo,MATCH(AC481,ctaNombre,0))&amp;"",""))</f>
        <v/>
      </c>
      <c r="AF481" s="53">
        <f>IF(OR(P481="",AB481=""),"",IF(OR(P481="Gasto",P481="Transferencia",P481="Pago tarjeta"),-1,1)*IF(IFERROR(INDEX(ctaMoneda,MATCH(AB481,ctaNombre,0))&amp;"","DOP")="USD",T481,S481))</f>
        <v/>
      </c>
      <c r="AG481" s="53">
        <f>IF(AC481="","",IF(IFERROR(INDEX(ctaMoneda,MATCH(AC481,ctaNombre,0))&amp;"","DOP")="USD",T481,S481))</f>
        <v/>
      </c>
      <c r="AH481" s="53">
        <f>IF(P481="","",IF(AND(AD481&lt;&gt;"",COUNTIFS(tcTipo,AD481,tcLiq,"Sí")&gt;0),IF(OR(P481="Gasto",P481="Transferencia",P481="Pago tarjeta"),-1,1)*S481,0)+IF(AND(AE481&lt;&gt;"",COUNTIFS(tcTipo,AE481,tcLiq,"Sí")&gt;0),S481,0))</f>
        <v/>
      </c>
      <c r="AI481" s="52">
        <f>IF(OR(L481="",P481=""),"",IF(COUNTIFS(L$6:L481,L481,P$6:P481,"?*")=1,MAX(AI$5:AI480)+1,""))</f>
        <v/>
      </c>
    </row>
    <row r="482">
      <c r="B482" s="47" t="n"/>
      <c r="C482" s="48" t="n"/>
      <c r="D482" s="48" t="n"/>
      <c r="E482" s="48" t="n"/>
      <c r="F482" s="48" t="n"/>
      <c r="G482" s="49" t="n"/>
      <c r="H482" s="48" t="n"/>
      <c r="I482" s="50" t="n"/>
      <c r="J482" s="48" t="n"/>
      <c r="K482" s="48" t="n"/>
      <c r="L482" s="48" t="n"/>
      <c r="M482" s="48" t="n"/>
      <c r="N482" s="48" t="n"/>
      <c r="O482" s="51">
        <f>IF(AND(B482="",G482="",C482="",D482="",J482=""),"",IF(B482="","⚠ Falta fecha",IF(G482="","⚠ Falta monto",IF(Q482="","⚠ Falta cuenta",IF(ISNA(MATCH(Q482,ctaNombre,0)),"⚠ Cuenta no registrada",IF(AND(OR(P482="Gasto",P482="Reembolso"),D482=""),"⚠ Falta categoría",IF(AND(D482&lt;&gt;"",E482&lt;&gt;"",ISNA(MATCH(D482&amp;"|"&amp;E482,catClave,0))),"⚠ Subcategoría no corresponde",IF(AND(OR(P482="Transferencia",P482="Pago tarjeta"),K482=""),"⚠ Falta cuenta destino",IF(AND(K482&lt;&gt;"",P482&lt;&gt;"Transferencia",P482&lt;&gt;"Pago tarjeta"),"⚠ Destino solo aplica a transferencias",IF(AND(K482&lt;&gt;"",K482=Q482),"⚠ Origen igual a destino",IF(AND(K482&lt;&gt;"",ISNA(MATCH(K482,ctaNombre,0))),"⚠ Destino no registrado",IF(AND(P482="Pago tarjeta",AE482&lt;&gt;"Tarjeta de crédito"),"⚠ El destino debe ser tarjeta de crédito",IF(AND(P482="Gasto",E482="Depósitos y retiros"),"⚠ Usa tipo Transferencia",IF(AND(P482="Resultado trading",AD482&lt;&gt;"Cuenta de trading"),"⚠ Usa una cuenta de trading",IF(AND(G482&lt;=0,P482&lt;&gt;"Ajuste",P482&lt;&gt;"Resultado trading"),"⚠ El monto debe ser positivo","✓")))))))))))))))</f>
        <v/>
      </c>
      <c r="P482" s="52">
        <f>IF(OR(B482="",G482=""),"",IF(C482="","Gasto",C482))</f>
        <v/>
      </c>
      <c r="Q482" s="52">
        <f>IF(P482="","",IF(J482&lt;&gt;"",J482,CuentaPred&amp;""))</f>
        <v/>
      </c>
      <c r="R482" s="52">
        <f>IF(P482="","",IF(ISNUMBER(I482),I482,TasaUSD))</f>
        <v/>
      </c>
      <c r="S482" s="53">
        <f>IF(P482="","",IF(H482="USD",G482*R482,G482))</f>
        <v/>
      </c>
      <c r="T482" s="53">
        <f>IF(P482="","",IF(H482="USD",G482,IF(R482&gt;0,G482/R482,0)))</f>
        <v/>
      </c>
      <c r="U482" s="53">
        <f>IF(P482="","",IF(P482="Gasto",S482,IF(P482="Reembolso",-S482,0)))</f>
        <v/>
      </c>
      <c r="V482" s="53">
        <f>IF(P482="","",IF(P482="Ingreso",S482,0))</f>
        <v/>
      </c>
      <c r="W482" s="53">
        <f>IF(P482="","",IF(P482="Resultado trading",S482,0))</f>
        <v/>
      </c>
      <c r="X482" s="52">
        <f>IF(OR(P482="Gasto",P482="Reembolso"),IF(M482&lt;&gt;"",M482,IFERROR(INDEX(catClasif,MATCH(D482&amp;"|"&amp;E482,catClave,0))&amp;"","Variable")),"")</f>
        <v/>
      </c>
      <c r="Y482" s="52">
        <f>IF(P482="","",IFERROR(INDEX(catGrupo,MATCH(D482&amp;"|"&amp;E482,catClave,0))&amp;"",""))</f>
        <v/>
      </c>
      <c r="Z482" s="52">
        <f>IF(P482="","",WEEKDAY(B482,2))</f>
        <v/>
      </c>
      <c r="AA482" s="52">
        <f>IF(P482="","",IF(AND(P482="Gasto",X482="Variable",D482&lt;&gt;catTrading,S482&gt;0,S482&lt;=Umbral),1,0))</f>
        <v/>
      </c>
      <c r="AB482" s="52">
        <f>IF(OR(P482="",Q482=""),"",IFERROR(IF(INDEX(ctaVinc,MATCH(Q482,ctaNombre,0))&amp;""&lt;&gt;"",INDEX(ctaVinc,MATCH(Q482,ctaNombre,0))&amp;"",Q482),Q482))</f>
        <v/>
      </c>
      <c r="AC482" s="52">
        <f>IF(OR(K482="",AND(P482&lt;&gt;"Transferencia",P482&lt;&gt;"Pago tarjeta")),"",IFERROR(IF(INDEX(ctaVinc,MATCH(K482,ctaNombre,0))&amp;""&lt;&gt;"",INDEX(ctaVinc,MATCH(K482,ctaNombre,0))&amp;"",K482),K482))</f>
        <v/>
      </c>
      <c r="AD482" s="52">
        <f>IF(AB482="","",IFERROR(INDEX(ctaTipo,MATCH(AB482,ctaNombre,0))&amp;"",""))</f>
        <v/>
      </c>
      <c r="AE482" s="52">
        <f>IF(AC482="","",IFERROR(INDEX(ctaTipo,MATCH(AC482,ctaNombre,0))&amp;"",""))</f>
        <v/>
      </c>
      <c r="AF482" s="53">
        <f>IF(OR(P482="",AB482=""),"",IF(OR(P482="Gasto",P482="Transferencia",P482="Pago tarjeta"),-1,1)*IF(IFERROR(INDEX(ctaMoneda,MATCH(AB482,ctaNombre,0))&amp;"","DOP")="USD",T482,S482))</f>
        <v/>
      </c>
      <c r="AG482" s="53">
        <f>IF(AC482="","",IF(IFERROR(INDEX(ctaMoneda,MATCH(AC482,ctaNombre,0))&amp;"","DOP")="USD",T482,S482))</f>
        <v/>
      </c>
      <c r="AH482" s="53">
        <f>IF(P482="","",IF(AND(AD482&lt;&gt;"",COUNTIFS(tcTipo,AD482,tcLiq,"Sí")&gt;0),IF(OR(P482="Gasto",P482="Transferencia",P482="Pago tarjeta"),-1,1)*S482,0)+IF(AND(AE482&lt;&gt;"",COUNTIFS(tcTipo,AE482,tcLiq,"Sí")&gt;0),S482,0))</f>
        <v/>
      </c>
      <c r="AI482" s="52">
        <f>IF(OR(L482="",P482=""),"",IF(COUNTIFS(L$6:L482,L482,P$6:P482,"?*")=1,MAX(AI$5:AI481)+1,""))</f>
        <v/>
      </c>
    </row>
    <row r="483">
      <c r="B483" s="47" t="n"/>
      <c r="C483" s="48" t="n"/>
      <c r="D483" s="48" t="n"/>
      <c r="E483" s="48" t="n"/>
      <c r="F483" s="48" t="n"/>
      <c r="G483" s="49" t="n"/>
      <c r="H483" s="48" t="n"/>
      <c r="I483" s="50" t="n"/>
      <c r="J483" s="48" t="n"/>
      <c r="K483" s="48" t="n"/>
      <c r="L483" s="48" t="n"/>
      <c r="M483" s="48" t="n"/>
      <c r="N483" s="48" t="n"/>
      <c r="O483" s="51">
        <f>IF(AND(B483="",G483="",C483="",D483="",J483=""),"",IF(B483="","⚠ Falta fecha",IF(G483="","⚠ Falta monto",IF(Q483="","⚠ Falta cuenta",IF(ISNA(MATCH(Q483,ctaNombre,0)),"⚠ Cuenta no registrada",IF(AND(OR(P483="Gasto",P483="Reembolso"),D483=""),"⚠ Falta categoría",IF(AND(D483&lt;&gt;"",E483&lt;&gt;"",ISNA(MATCH(D483&amp;"|"&amp;E483,catClave,0))),"⚠ Subcategoría no corresponde",IF(AND(OR(P483="Transferencia",P483="Pago tarjeta"),K483=""),"⚠ Falta cuenta destino",IF(AND(K483&lt;&gt;"",P483&lt;&gt;"Transferencia",P483&lt;&gt;"Pago tarjeta"),"⚠ Destino solo aplica a transferencias",IF(AND(K483&lt;&gt;"",K483=Q483),"⚠ Origen igual a destino",IF(AND(K483&lt;&gt;"",ISNA(MATCH(K483,ctaNombre,0))),"⚠ Destino no registrado",IF(AND(P483="Pago tarjeta",AE483&lt;&gt;"Tarjeta de crédito"),"⚠ El destino debe ser tarjeta de crédito",IF(AND(P483="Gasto",E483="Depósitos y retiros"),"⚠ Usa tipo Transferencia",IF(AND(P483="Resultado trading",AD483&lt;&gt;"Cuenta de trading"),"⚠ Usa una cuenta de trading",IF(AND(G483&lt;=0,P483&lt;&gt;"Ajuste",P483&lt;&gt;"Resultado trading"),"⚠ El monto debe ser positivo","✓")))))))))))))))</f>
        <v/>
      </c>
      <c r="P483" s="52">
        <f>IF(OR(B483="",G483=""),"",IF(C483="","Gasto",C483))</f>
        <v/>
      </c>
      <c r="Q483" s="52">
        <f>IF(P483="","",IF(J483&lt;&gt;"",J483,CuentaPred&amp;""))</f>
        <v/>
      </c>
      <c r="R483" s="52">
        <f>IF(P483="","",IF(ISNUMBER(I483),I483,TasaUSD))</f>
        <v/>
      </c>
      <c r="S483" s="53">
        <f>IF(P483="","",IF(H483="USD",G483*R483,G483))</f>
        <v/>
      </c>
      <c r="T483" s="53">
        <f>IF(P483="","",IF(H483="USD",G483,IF(R483&gt;0,G483/R483,0)))</f>
        <v/>
      </c>
      <c r="U483" s="53">
        <f>IF(P483="","",IF(P483="Gasto",S483,IF(P483="Reembolso",-S483,0)))</f>
        <v/>
      </c>
      <c r="V483" s="53">
        <f>IF(P483="","",IF(P483="Ingreso",S483,0))</f>
        <v/>
      </c>
      <c r="W483" s="53">
        <f>IF(P483="","",IF(P483="Resultado trading",S483,0))</f>
        <v/>
      </c>
      <c r="X483" s="52">
        <f>IF(OR(P483="Gasto",P483="Reembolso"),IF(M483&lt;&gt;"",M483,IFERROR(INDEX(catClasif,MATCH(D483&amp;"|"&amp;E483,catClave,0))&amp;"","Variable")),"")</f>
        <v/>
      </c>
      <c r="Y483" s="52">
        <f>IF(P483="","",IFERROR(INDEX(catGrupo,MATCH(D483&amp;"|"&amp;E483,catClave,0))&amp;"",""))</f>
        <v/>
      </c>
      <c r="Z483" s="52">
        <f>IF(P483="","",WEEKDAY(B483,2))</f>
        <v/>
      </c>
      <c r="AA483" s="52">
        <f>IF(P483="","",IF(AND(P483="Gasto",X483="Variable",D483&lt;&gt;catTrading,S483&gt;0,S483&lt;=Umbral),1,0))</f>
        <v/>
      </c>
      <c r="AB483" s="52">
        <f>IF(OR(P483="",Q483=""),"",IFERROR(IF(INDEX(ctaVinc,MATCH(Q483,ctaNombre,0))&amp;""&lt;&gt;"",INDEX(ctaVinc,MATCH(Q483,ctaNombre,0))&amp;"",Q483),Q483))</f>
        <v/>
      </c>
      <c r="AC483" s="52">
        <f>IF(OR(K483="",AND(P483&lt;&gt;"Transferencia",P483&lt;&gt;"Pago tarjeta")),"",IFERROR(IF(INDEX(ctaVinc,MATCH(K483,ctaNombre,0))&amp;""&lt;&gt;"",INDEX(ctaVinc,MATCH(K483,ctaNombre,0))&amp;"",K483),K483))</f>
        <v/>
      </c>
      <c r="AD483" s="52">
        <f>IF(AB483="","",IFERROR(INDEX(ctaTipo,MATCH(AB483,ctaNombre,0))&amp;"",""))</f>
        <v/>
      </c>
      <c r="AE483" s="52">
        <f>IF(AC483="","",IFERROR(INDEX(ctaTipo,MATCH(AC483,ctaNombre,0))&amp;"",""))</f>
        <v/>
      </c>
      <c r="AF483" s="53">
        <f>IF(OR(P483="",AB483=""),"",IF(OR(P483="Gasto",P483="Transferencia",P483="Pago tarjeta"),-1,1)*IF(IFERROR(INDEX(ctaMoneda,MATCH(AB483,ctaNombre,0))&amp;"","DOP")="USD",T483,S483))</f>
        <v/>
      </c>
      <c r="AG483" s="53">
        <f>IF(AC483="","",IF(IFERROR(INDEX(ctaMoneda,MATCH(AC483,ctaNombre,0))&amp;"","DOP")="USD",T483,S483))</f>
        <v/>
      </c>
      <c r="AH483" s="53">
        <f>IF(P483="","",IF(AND(AD483&lt;&gt;"",COUNTIFS(tcTipo,AD483,tcLiq,"Sí")&gt;0),IF(OR(P483="Gasto",P483="Transferencia",P483="Pago tarjeta"),-1,1)*S483,0)+IF(AND(AE483&lt;&gt;"",COUNTIFS(tcTipo,AE483,tcLiq,"Sí")&gt;0),S483,0))</f>
        <v/>
      </c>
      <c r="AI483" s="52">
        <f>IF(OR(L483="",P483=""),"",IF(COUNTIFS(L$6:L483,L483,P$6:P483,"?*")=1,MAX(AI$5:AI482)+1,""))</f>
        <v/>
      </c>
    </row>
    <row r="484">
      <c r="B484" s="47" t="n"/>
      <c r="C484" s="48" t="n"/>
      <c r="D484" s="48" t="n"/>
      <c r="E484" s="48" t="n"/>
      <c r="F484" s="48" t="n"/>
      <c r="G484" s="49" t="n"/>
      <c r="H484" s="48" t="n"/>
      <c r="I484" s="50" t="n"/>
      <c r="J484" s="48" t="n"/>
      <c r="K484" s="48" t="n"/>
      <c r="L484" s="48" t="n"/>
      <c r="M484" s="48" t="n"/>
      <c r="N484" s="48" t="n"/>
      <c r="O484" s="51">
        <f>IF(AND(B484="",G484="",C484="",D484="",J484=""),"",IF(B484="","⚠ Falta fecha",IF(G484="","⚠ Falta monto",IF(Q484="","⚠ Falta cuenta",IF(ISNA(MATCH(Q484,ctaNombre,0)),"⚠ Cuenta no registrada",IF(AND(OR(P484="Gasto",P484="Reembolso"),D484=""),"⚠ Falta categoría",IF(AND(D484&lt;&gt;"",E484&lt;&gt;"",ISNA(MATCH(D484&amp;"|"&amp;E484,catClave,0))),"⚠ Subcategoría no corresponde",IF(AND(OR(P484="Transferencia",P484="Pago tarjeta"),K484=""),"⚠ Falta cuenta destino",IF(AND(K484&lt;&gt;"",P484&lt;&gt;"Transferencia",P484&lt;&gt;"Pago tarjeta"),"⚠ Destino solo aplica a transferencias",IF(AND(K484&lt;&gt;"",K484=Q484),"⚠ Origen igual a destino",IF(AND(K484&lt;&gt;"",ISNA(MATCH(K484,ctaNombre,0))),"⚠ Destino no registrado",IF(AND(P484="Pago tarjeta",AE484&lt;&gt;"Tarjeta de crédito"),"⚠ El destino debe ser tarjeta de crédito",IF(AND(P484="Gasto",E484="Depósitos y retiros"),"⚠ Usa tipo Transferencia",IF(AND(P484="Resultado trading",AD484&lt;&gt;"Cuenta de trading"),"⚠ Usa una cuenta de trading",IF(AND(G484&lt;=0,P484&lt;&gt;"Ajuste",P484&lt;&gt;"Resultado trading"),"⚠ El monto debe ser positivo","✓")))))))))))))))</f>
        <v/>
      </c>
      <c r="P484" s="52">
        <f>IF(OR(B484="",G484=""),"",IF(C484="","Gasto",C484))</f>
        <v/>
      </c>
      <c r="Q484" s="52">
        <f>IF(P484="","",IF(J484&lt;&gt;"",J484,CuentaPred&amp;""))</f>
        <v/>
      </c>
      <c r="R484" s="52">
        <f>IF(P484="","",IF(ISNUMBER(I484),I484,TasaUSD))</f>
        <v/>
      </c>
      <c r="S484" s="53">
        <f>IF(P484="","",IF(H484="USD",G484*R484,G484))</f>
        <v/>
      </c>
      <c r="T484" s="53">
        <f>IF(P484="","",IF(H484="USD",G484,IF(R484&gt;0,G484/R484,0)))</f>
        <v/>
      </c>
      <c r="U484" s="53">
        <f>IF(P484="","",IF(P484="Gasto",S484,IF(P484="Reembolso",-S484,0)))</f>
        <v/>
      </c>
      <c r="V484" s="53">
        <f>IF(P484="","",IF(P484="Ingreso",S484,0))</f>
        <v/>
      </c>
      <c r="W484" s="53">
        <f>IF(P484="","",IF(P484="Resultado trading",S484,0))</f>
        <v/>
      </c>
      <c r="X484" s="52">
        <f>IF(OR(P484="Gasto",P484="Reembolso"),IF(M484&lt;&gt;"",M484,IFERROR(INDEX(catClasif,MATCH(D484&amp;"|"&amp;E484,catClave,0))&amp;"","Variable")),"")</f>
        <v/>
      </c>
      <c r="Y484" s="52">
        <f>IF(P484="","",IFERROR(INDEX(catGrupo,MATCH(D484&amp;"|"&amp;E484,catClave,0))&amp;"",""))</f>
        <v/>
      </c>
      <c r="Z484" s="52">
        <f>IF(P484="","",WEEKDAY(B484,2))</f>
        <v/>
      </c>
      <c r="AA484" s="52">
        <f>IF(P484="","",IF(AND(P484="Gasto",X484="Variable",D484&lt;&gt;catTrading,S484&gt;0,S484&lt;=Umbral),1,0))</f>
        <v/>
      </c>
      <c r="AB484" s="52">
        <f>IF(OR(P484="",Q484=""),"",IFERROR(IF(INDEX(ctaVinc,MATCH(Q484,ctaNombre,0))&amp;""&lt;&gt;"",INDEX(ctaVinc,MATCH(Q484,ctaNombre,0))&amp;"",Q484),Q484))</f>
        <v/>
      </c>
      <c r="AC484" s="52">
        <f>IF(OR(K484="",AND(P484&lt;&gt;"Transferencia",P484&lt;&gt;"Pago tarjeta")),"",IFERROR(IF(INDEX(ctaVinc,MATCH(K484,ctaNombre,0))&amp;""&lt;&gt;"",INDEX(ctaVinc,MATCH(K484,ctaNombre,0))&amp;"",K484),K484))</f>
        <v/>
      </c>
      <c r="AD484" s="52">
        <f>IF(AB484="","",IFERROR(INDEX(ctaTipo,MATCH(AB484,ctaNombre,0))&amp;"",""))</f>
        <v/>
      </c>
      <c r="AE484" s="52">
        <f>IF(AC484="","",IFERROR(INDEX(ctaTipo,MATCH(AC484,ctaNombre,0))&amp;"",""))</f>
        <v/>
      </c>
      <c r="AF484" s="53">
        <f>IF(OR(P484="",AB484=""),"",IF(OR(P484="Gasto",P484="Transferencia",P484="Pago tarjeta"),-1,1)*IF(IFERROR(INDEX(ctaMoneda,MATCH(AB484,ctaNombre,0))&amp;"","DOP")="USD",T484,S484))</f>
        <v/>
      </c>
      <c r="AG484" s="53">
        <f>IF(AC484="","",IF(IFERROR(INDEX(ctaMoneda,MATCH(AC484,ctaNombre,0))&amp;"","DOP")="USD",T484,S484))</f>
        <v/>
      </c>
      <c r="AH484" s="53">
        <f>IF(P484="","",IF(AND(AD484&lt;&gt;"",COUNTIFS(tcTipo,AD484,tcLiq,"Sí")&gt;0),IF(OR(P484="Gasto",P484="Transferencia",P484="Pago tarjeta"),-1,1)*S484,0)+IF(AND(AE484&lt;&gt;"",COUNTIFS(tcTipo,AE484,tcLiq,"Sí")&gt;0),S484,0))</f>
        <v/>
      </c>
      <c r="AI484" s="52">
        <f>IF(OR(L484="",P484=""),"",IF(COUNTIFS(L$6:L484,L484,P$6:P484,"?*")=1,MAX(AI$5:AI483)+1,""))</f>
        <v/>
      </c>
    </row>
    <row r="485">
      <c r="B485" s="47" t="n"/>
      <c r="C485" s="48" t="n"/>
      <c r="D485" s="48" t="n"/>
      <c r="E485" s="48" t="n"/>
      <c r="F485" s="48" t="n"/>
      <c r="G485" s="49" t="n"/>
      <c r="H485" s="48" t="n"/>
      <c r="I485" s="50" t="n"/>
      <c r="J485" s="48" t="n"/>
      <c r="K485" s="48" t="n"/>
      <c r="L485" s="48" t="n"/>
      <c r="M485" s="48" t="n"/>
      <c r="N485" s="48" t="n"/>
      <c r="O485" s="51">
        <f>IF(AND(B485="",G485="",C485="",D485="",J485=""),"",IF(B485="","⚠ Falta fecha",IF(G485="","⚠ Falta monto",IF(Q485="","⚠ Falta cuenta",IF(ISNA(MATCH(Q485,ctaNombre,0)),"⚠ Cuenta no registrada",IF(AND(OR(P485="Gasto",P485="Reembolso"),D485=""),"⚠ Falta categoría",IF(AND(D485&lt;&gt;"",E485&lt;&gt;"",ISNA(MATCH(D485&amp;"|"&amp;E485,catClave,0))),"⚠ Subcategoría no corresponde",IF(AND(OR(P485="Transferencia",P485="Pago tarjeta"),K485=""),"⚠ Falta cuenta destino",IF(AND(K485&lt;&gt;"",P485&lt;&gt;"Transferencia",P485&lt;&gt;"Pago tarjeta"),"⚠ Destino solo aplica a transferencias",IF(AND(K485&lt;&gt;"",K485=Q485),"⚠ Origen igual a destino",IF(AND(K485&lt;&gt;"",ISNA(MATCH(K485,ctaNombre,0))),"⚠ Destino no registrado",IF(AND(P485="Pago tarjeta",AE485&lt;&gt;"Tarjeta de crédito"),"⚠ El destino debe ser tarjeta de crédito",IF(AND(P485="Gasto",E485="Depósitos y retiros"),"⚠ Usa tipo Transferencia",IF(AND(P485="Resultado trading",AD485&lt;&gt;"Cuenta de trading"),"⚠ Usa una cuenta de trading",IF(AND(G485&lt;=0,P485&lt;&gt;"Ajuste",P485&lt;&gt;"Resultado trading"),"⚠ El monto debe ser positivo","✓")))))))))))))))</f>
        <v/>
      </c>
      <c r="P485" s="52">
        <f>IF(OR(B485="",G485=""),"",IF(C485="","Gasto",C485))</f>
        <v/>
      </c>
      <c r="Q485" s="52">
        <f>IF(P485="","",IF(J485&lt;&gt;"",J485,CuentaPred&amp;""))</f>
        <v/>
      </c>
      <c r="R485" s="52">
        <f>IF(P485="","",IF(ISNUMBER(I485),I485,TasaUSD))</f>
        <v/>
      </c>
      <c r="S485" s="53">
        <f>IF(P485="","",IF(H485="USD",G485*R485,G485))</f>
        <v/>
      </c>
      <c r="T485" s="53">
        <f>IF(P485="","",IF(H485="USD",G485,IF(R485&gt;0,G485/R485,0)))</f>
        <v/>
      </c>
      <c r="U485" s="53">
        <f>IF(P485="","",IF(P485="Gasto",S485,IF(P485="Reembolso",-S485,0)))</f>
        <v/>
      </c>
      <c r="V485" s="53">
        <f>IF(P485="","",IF(P485="Ingreso",S485,0))</f>
        <v/>
      </c>
      <c r="W485" s="53">
        <f>IF(P485="","",IF(P485="Resultado trading",S485,0))</f>
        <v/>
      </c>
      <c r="X485" s="52">
        <f>IF(OR(P485="Gasto",P485="Reembolso"),IF(M485&lt;&gt;"",M485,IFERROR(INDEX(catClasif,MATCH(D485&amp;"|"&amp;E485,catClave,0))&amp;"","Variable")),"")</f>
        <v/>
      </c>
      <c r="Y485" s="52">
        <f>IF(P485="","",IFERROR(INDEX(catGrupo,MATCH(D485&amp;"|"&amp;E485,catClave,0))&amp;"",""))</f>
        <v/>
      </c>
      <c r="Z485" s="52">
        <f>IF(P485="","",WEEKDAY(B485,2))</f>
        <v/>
      </c>
      <c r="AA485" s="52">
        <f>IF(P485="","",IF(AND(P485="Gasto",X485="Variable",D485&lt;&gt;catTrading,S485&gt;0,S485&lt;=Umbral),1,0))</f>
        <v/>
      </c>
      <c r="AB485" s="52">
        <f>IF(OR(P485="",Q485=""),"",IFERROR(IF(INDEX(ctaVinc,MATCH(Q485,ctaNombre,0))&amp;""&lt;&gt;"",INDEX(ctaVinc,MATCH(Q485,ctaNombre,0))&amp;"",Q485),Q485))</f>
        <v/>
      </c>
      <c r="AC485" s="52">
        <f>IF(OR(K485="",AND(P485&lt;&gt;"Transferencia",P485&lt;&gt;"Pago tarjeta")),"",IFERROR(IF(INDEX(ctaVinc,MATCH(K485,ctaNombre,0))&amp;""&lt;&gt;"",INDEX(ctaVinc,MATCH(K485,ctaNombre,0))&amp;"",K485),K485))</f>
        <v/>
      </c>
      <c r="AD485" s="52">
        <f>IF(AB485="","",IFERROR(INDEX(ctaTipo,MATCH(AB485,ctaNombre,0))&amp;"",""))</f>
        <v/>
      </c>
      <c r="AE485" s="52">
        <f>IF(AC485="","",IFERROR(INDEX(ctaTipo,MATCH(AC485,ctaNombre,0))&amp;"",""))</f>
        <v/>
      </c>
      <c r="AF485" s="53">
        <f>IF(OR(P485="",AB485=""),"",IF(OR(P485="Gasto",P485="Transferencia",P485="Pago tarjeta"),-1,1)*IF(IFERROR(INDEX(ctaMoneda,MATCH(AB485,ctaNombre,0))&amp;"","DOP")="USD",T485,S485))</f>
        <v/>
      </c>
      <c r="AG485" s="53">
        <f>IF(AC485="","",IF(IFERROR(INDEX(ctaMoneda,MATCH(AC485,ctaNombre,0))&amp;"","DOP")="USD",T485,S485))</f>
        <v/>
      </c>
      <c r="AH485" s="53">
        <f>IF(P485="","",IF(AND(AD485&lt;&gt;"",COUNTIFS(tcTipo,AD485,tcLiq,"Sí")&gt;0),IF(OR(P485="Gasto",P485="Transferencia",P485="Pago tarjeta"),-1,1)*S485,0)+IF(AND(AE485&lt;&gt;"",COUNTIFS(tcTipo,AE485,tcLiq,"Sí")&gt;0),S485,0))</f>
        <v/>
      </c>
      <c r="AI485" s="52">
        <f>IF(OR(L485="",P485=""),"",IF(COUNTIFS(L$6:L485,L485,P$6:P485,"?*")=1,MAX(AI$5:AI484)+1,""))</f>
        <v/>
      </c>
    </row>
    <row r="486">
      <c r="B486" s="47" t="n"/>
      <c r="C486" s="48" t="n"/>
      <c r="D486" s="48" t="n"/>
      <c r="E486" s="48" t="n"/>
      <c r="F486" s="48" t="n"/>
      <c r="G486" s="49" t="n"/>
      <c r="H486" s="48" t="n"/>
      <c r="I486" s="50" t="n"/>
      <c r="J486" s="48" t="n"/>
      <c r="K486" s="48" t="n"/>
      <c r="L486" s="48" t="n"/>
      <c r="M486" s="48" t="n"/>
      <c r="N486" s="48" t="n"/>
      <c r="O486" s="51">
        <f>IF(AND(B486="",G486="",C486="",D486="",J486=""),"",IF(B486="","⚠ Falta fecha",IF(G486="","⚠ Falta monto",IF(Q486="","⚠ Falta cuenta",IF(ISNA(MATCH(Q486,ctaNombre,0)),"⚠ Cuenta no registrada",IF(AND(OR(P486="Gasto",P486="Reembolso"),D486=""),"⚠ Falta categoría",IF(AND(D486&lt;&gt;"",E486&lt;&gt;"",ISNA(MATCH(D486&amp;"|"&amp;E486,catClave,0))),"⚠ Subcategoría no corresponde",IF(AND(OR(P486="Transferencia",P486="Pago tarjeta"),K486=""),"⚠ Falta cuenta destino",IF(AND(K486&lt;&gt;"",P486&lt;&gt;"Transferencia",P486&lt;&gt;"Pago tarjeta"),"⚠ Destino solo aplica a transferencias",IF(AND(K486&lt;&gt;"",K486=Q486),"⚠ Origen igual a destino",IF(AND(K486&lt;&gt;"",ISNA(MATCH(K486,ctaNombre,0))),"⚠ Destino no registrado",IF(AND(P486="Pago tarjeta",AE486&lt;&gt;"Tarjeta de crédito"),"⚠ El destino debe ser tarjeta de crédito",IF(AND(P486="Gasto",E486="Depósitos y retiros"),"⚠ Usa tipo Transferencia",IF(AND(P486="Resultado trading",AD486&lt;&gt;"Cuenta de trading"),"⚠ Usa una cuenta de trading",IF(AND(G486&lt;=0,P486&lt;&gt;"Ajuste",P486&lt;&gt;"Resultado trading"),"⚠ El monto debe ser positivo","✓")))))))))))))))</f>
        <v/>
      </c>
      <c r="P486" s="52">
        <f>IF(OR(B486="",G486=""),"",IF(C486="","Gasto",C486))</f>
        <v/>
      </c>
      <c r="Q486" s="52">
        <f>IF(P486="","",IF(J486&lt;&gt;"",J486,CuentaPred&amp;""))</f>
        <v/>
      </c>
      <c r="R486" s="52">
        <f>IF(P486="","",IF(ISNUMBER(I486),I486,TasaUSD))</f>
        <v/>
      </c>
      <c r="S486" s="53">
        <f>IF(P486="","",IF(H486="USD",G486*R486,G486))</f>
        <v/>
      </c>
      <c r="T486" s="53">
        <f>IF(P486="","",IF(H486="USD",G486,IF(R486&gt;0,G486/R486,0)))</f>
        <v/>
      </c>
      <c r="U486" s="53">
        <f>IF(P486="","",IF(P486="Gasto",S486,IF(P486="Reembolso",-S486,0)))</f>
        <v/>
      </c>
      <c r="V486" s="53">
        <f>IF(P486="","",IF(P486="Ingreso",S486,0))</f>
        <v/>
      </c>
      <c r="W486" s="53">
        <f>IF(P486="","",IF(P486="Resultado trading",S486,0))</f>
        <v/>
      </c>
      <c r="X486" s="52">
        <f>IF(OR(P486="Gasto",P486="Reembolso"),IF(M486&lt;&gt;"",M486,IFERROR(INDEX(catClasif,MATCH(D486&amp;"|"&amp;E486,catClave,0))&amp;"","Variable")),"")</f>
        <v/>
      </c>
      <c r="Y486" s="52">
        <f>IF(P486="","",IFERROR(INDEX(catGrupo,MATCH(D486&amp;"|"&amp;E486,catClave,0))&amp;"",""))</f>
        <v/>
      </c>
      <c r="Z486" s="52">
        <f>IF(P486="","",WEEKDAY(B486,2))</f>
        <v/>
      </c>
      <c r="AA486" s="52">
        <f>IF(P486="","",IF(AND(P486="Gasto",X486="Variable",D486&lt;&gt;catTrading,S486&gt;0,S486&lt;=Umbral),1,0))</f>
        <v/>
      </c>
      <c r="AB486" s="52">
        <f>IF(OR(P486="",Q486=""),"",IFERROR(IF(INDEX(ctaVinc,MATCH(Q486,ctaNombre,0))&amp;""&lt;&gt;"",INDEX(ctaVinc,MATCH(Q486,ctaNombre,0))&amp;"",Q486),Q486))</f>
        <v/>
      </c>
      <c r="AC486" s="52">
        <f>IF(OR(K486="",AND(P486&lt;&gt;"Transferencia",P486&lt;&gt;"Pago tarjeta")),"",IFERROR(IF(INDEX(ctaVinc,MATCH(K486,ctaNombre,0))&amp;""&lt;&gt;"",INDEX(ctaVinc,MATCH(K486,ctaNombre,0))&amp;"",K486),K486))</f>
        <v/>
      </c>
      <c r="AD486" s="52">
        <f>IF(AB486="","",IFERROR(INDEX(ctaTipo,MATCH(AB486,ctaNombre,0))&amp;"",""))</f>
        <v/>
      </c>
      <c r="AE486" s="52">
        <f>IF(AC486="","",IFERROR(INDEX(ctaTipo,MATCH(AC486,ctaNombre,0))&amp;"",""))</f>
        <v/>
      </c>
      <c r="AF486" s="53">
        <f>IF(OR(P486="",AB486=""),"",IF(OR(P486="Gasto",P486="Transferencia",P486="Pago tarjeta"),-1,1)*IF(IFERROR(INDEX(ctaMoneda,MATCH(AB486,ctaNombre,0))&amp;"","DOP")="USD",T486,S486))</f>
        <v/>
      </c>
      <c r="AG486" s="53">
        <f>IF(AC486="","",IF(IFERROR(INDEX(ctaMoneda,MATCH(AC486,ctaNombre,0))&amp;"","DOP")="USD",T486,S486))</f>
        <v/>
      </c>
      <c r="AH486" s="53">
        <f>IF(P486="","",IF(AND(AD486&lt;&gt;"",COUNTIFS(tcTipo,AD486,tcLiq,"Sí")&gt;0),IF(OR(P486="Gasto",P486="Transferencia",P486="Pago tarjeta"),-1,1)*S486,0)+IF(AND(AE486&lt;&gt;"",COUNTIFS(tcTipo,AE486,tcLiq,"Sí")&gt;0),S486,0))</f>
        <v/>
      </c>
      <c r="AI486" s="52">
        <f>IF(OR(L486="",P486=""),"",IF(COUNTIFS(L$6:L486,L486,P$6:P486,"?*")=1,MAX(AI$5:AI485)+1,""))</f>
        <v/>
      </c>
    </row>
    <row r="487">
      <c r="B487" s="47" t="n"/>
      <c r="C487" s="48" t="n"/>
      <c r="D487" s="48" t="n"/>
      <c r="E487" s="48" t="n"/>
      <c r="F487" s="48" t="n"/>
      <c r="G487" s="49" t="n"/>
      <c r="H487" s="48" t="n"/>
      <c r="I487" s="50" t="n"/>
      <c r="J487" s="48" t="n"/>
      <c r="K487" s="48" t="n"/>
      <c r="L487" s="48" t="n"/>
      <c r="M487" s="48" t="n"/>
      <c r="N487" s="48" t="n"/>
      <c r="O487" s="51">
        <f>IF(AND(B487="",G487="",C487="",D487="",J487=""),"",IF(B487="","⚠ Falta fecha",IF(G487="","⚠ Falta monto",IF(Q487="","⚠ Falta cuenta",IF(ISNA(MATCH(Q487,ctaNombre,0)),"⚠ Cuenta no registrada",IF(AND(OR(P487="Gasto",P487="Reembolso"),D487=""),"⚠ Falta categoría",IF(AND(D487&lt;&gt;"",E487&lt;&gt;"",ISNA(MATCH(D487&amp;"|"&amp;E487,catClave,0))),"⚠ Subcategoría no corresponde",IF(AND(OR(P487="Transferencia",P487="Pago tarjeta"),K487=""),"⚠ Falta cuenta destino",IF(AND(K487&lt;&gt;"",P487&lt;&gt;"Transferencia",P487&lt;&gt;"Pago tarjeta"),"⚠ Destino solo aplica a transferencias",IF(AND(K487&lt;&gt;"",K487=Q487),"⚠ Origen igual a destino",IF(AND(K487&lt;&gt;"",ISNA(MATCH(K487,ctaNombre,0))),"⚠ Destino no registrado",IF(AND(P487="Pago tarjeta",AE487&lt;&gt;"Tarjeta de crédito"),"⚠ El destino debe ser tarjeta de crédito",IF(AND(P487="Gasto",E487="Depósitos y retiros"),"⚠ Usa tipo Transferencia",IF(AND(P487="Resultado trading",AD487&lt;&gt;"Cuenta de trading"),"⚠ Usa una cuenta de trading",IF(AND(G487&lt;=0,P487&lt;&gt;"Ajuste",P487&lt;&gt;"Resultado trading"),"⚠ El monto debe ser positivo","✓")))))))))))))))</f>
        <v/>
      </c>
      <c r="P487" s="52">
        <f>IF(OR(B487="",G487=""),"",IF(C487="","Gasto",C487))</f>
        <v/>
      </c>
      <c r="Q487" s="52">
        <f>IF(P487="","",IF(J487&lt;&gt;"",J487,CuentaPred&amp;""))</f>
        <v/>
      </c>
      <c r="R487" s="52">
        <f>IF(P487="","",IF(ISNUMBER(I487),I487,TasaUSD))</f>
        <v/>
      </c>
      <c r="S487" s="53">
        <f>IF(P487="","",IF(H487="USD",G487*R487,G487))</f>
        <v/>
      </c>
      <c r="T487" s="53">
        <f>IF(P487="","",IF(H487="USD",G487,IF(R487&gt;0,G487/R487,0)))</f>
        <v/>
      </c>
      <c r="U487" s="53">
        <f>IF(P487="","",IF(P487="Gasto",S487,IF(P487="Reembolso",-S487,0)))</f>
        <v/>
      </c>
      <c r="V487" s="53">
        <f>IF(P487="","",IF(P487="Ingreso",S487,0))</f>
        <v/>
      </c>
      <c r="W487" s="53">
        <f>IF(P487="","",IF(P487="Resultado trading",S487,0))</f>
        <v/>
      </c>
      <c r="X487" s="52">
        <f>IF(OR(P487="Gasto",P487="Reembolso"),IF(M487&lt;&gt;"",M487,IFERROR(INDEX(catClasif,MATCH(D487&amp;"|"&amp;E487,catClave,0))&amp;"","Variable")),"")</f>
        <v/>
      </c>
      <c r="Y487" s="52">
        <f>IF(P487="","",IFERROR(INDEX(catGrupo,MATCH(D487&amp;"|"&amp;E487,catClave,0))&amp;"",""))</f>
        <v/>
      </c>
      <c r="Z487" s="52">
        <f>IF(P487="","",WEEKDAY(B487,2))</f>
        <v/>
      </c>
      <c r="AA487" s="52">
        <f>IF(P487="","",IF(AND(P487="Gasto",X487="Variable",D487&lt;&gt;catTrading,S487&gt;0,S487&lt;=Umbral),1,0))</f>
        <v/>
      </c>
      <c r="AB487" s="52">
        <f>IF(OR(P487="",Q487=""),"",IFERROR(IF(INDEX(ctaVinc,MATCH(Q487,ctaNombre,0))&amp;""&lt;&gt;"",INDEX(ctaVinc,MATCH(Q487,ctaNombre,0))&amp;"",Q487),Q487))</f>
        <v/>
      </c>
      <c r="AC487" s="52">
        <f>IF(OR(K487="",AND(P487&lt;&gt;"Transferencia",P487&lt;&gt;"Pago tarjeta")),"",IFERROR(IF(INDEX(ctaVinc,MATCH(K487,ctaNombre,0))&amp;""&lt;&gt;"",INDEX(ctaVinc,MATCH(K487,ctaNombre,0))&amp;"",K487),K487))</f>
        <v/>
      </c>
      <c r="AD487" s="52">
        <f>IF(AB487="","",IFERROR(INDEX(ctaTipo,MATCH(AB487,ctaNombre,0))&amp;"",""))</f>
        <v/>
      </c>
      <c r="AE487" s="52">
        <f>IF(AC487="","",IFERROR(INDEX(ctaTipo,MATCH(AC487,ctaNombre,0))&amp;"",""))</f>
        <v/>
      </c>
      <c r="AF487" s="53">
        <f>IF(OR(P487="",AB487=""),"",IF(OR(P487="Gasto",P487="Transferencia",P487="Pago tarjeta"),-1,1)*IF(IFERROR(INDEX(ctaMoneda,MATCH(AB487,ctaNombre,0))&amp;"","DOP")="USD",T487,S487))</f>
        <v/>
      </c>
      <c r="AG487" s="53">
        <f>IF(AC487="","",IF(IFERROR(INDEX(ctaMoneda,MATCH(AC487,ctaNombre,0))&amp;"","DOP")="USD",T487,S487))</f>
        <v/>
      </c>
      <c r="AH487" s="53">
        <f>IF(P487="","",IF(AND(AD487&lt;&gt;"",COUNTIFS(tcTipo,AD487,tcLiq,"Sí")&gt;0),IF(OR(P487="Gasto",P487="Transferencia",P487="Pago tarjeta"),-1,1)*S487,0)+IF(AND(AE487&lt;&gt;"",COUNTIFS(tcTipo,AE487,tcLiq,"Sí")&gt;0),S487,0))</f>
        <v/>
      </c>
      <c r="AI487" s="52">
        <f>IF(OR(L487="",P487=""),"",IF(COUNTIFS(L$6:L487,L487,P$6:P487,"?*")=1,MAX(AI$5:AI486)+1,""))</f>
        <v/>
      </c>
    </row>
    <row r="488">
      <c r="B488" s="47" t="n"/>
      <c r="C488" s="48" t="n"/>
      <c r="D488" s="48" t="n"/>
      <c r="E488" s="48" t="n"/>
      <c r="F488" s="48" t="n"/>
      <c r="G488" s="49" t="n"/>
      <c r="H488" s="48" t="n"/>
      <c r="I488" s="50" t="n"/>
      <c r="J488" s="48" t="n"/>
      <c r="K488" s="48" t="n"/>
      <c r="L488" s="48" t="n"/>
      <c r="M488" s="48" t="n"/>
      <c r="N488" s="48" t="n"/>
      <c r="O488" s="51">
        <f>IF(AND(B488="",G488="",C488="",D488="",J488=""),"",IF(B488="","⚠ Falta fecha",IF(G488="","⚠ Falta monto",IF(Q488="","⚠ Falta cuenta",IF(ISNA(MATCH(Q488,ctaNombre,0)),"⚠ Cuenta no registrada",IF(AND(OR(P488="Gasto",P488="Reembolso"),D488=""),"⚠ Falta categoría",IF(AND(D488&lt;&gt;"",E488&lt;&gt;"",ISNA(MATCH(D488&amp;"|"&amp;E488,catClave,0))),"⚠ Subcategoría no corresponde",IF(AND(OR(P488="Transferencia",P488="Pago tarjeta"),K488=""),"⚠ Falta cuenta destino",IF(AND(K488&lt;&gt;"",P488&lt;&gt;"Transferencia",P488&lt;&gt;"Pago tarjeta"),"⚠ Destino solo aplica a transferencias",IF(AND(K488&lt;&gt;"",K488=Q488),"⚠ Origen igual a destino",IF(AND(K488&lt;&gt;"",ISNA(MATCH(K488,ctaNombre,0))),"⚠ Destino no registrado",IF(AND(P488="Pago tarjeta",AE488&lt;&gt;"Tarjeta de crédito"),"⚠ El destino debe ser tarjeta de crédito",IF(AND(P488="Gasto",E488="Depósitos y retiros"),"⚠ Usa tipo Transferencia",IF(AND(P488="Resultado trading",AD488&lt;&gt;"Cuenta de trading"),"⚠ Usa una cuenta de trading",IF(AND(G488&lt;=0,P488&lt;&gt;"Ajuste",P488&lt;&gt;"Resultado trading"),"⚠ El monto debe ser positivo","✓")))))))))))))))</f>
        <v/>
      </c>
      <c r="P488" s="52">
        <f>IF(OR(B488="",G488=""),"",IF(C488="","Gasto",C488))</f>
        <v/>
      </c>
      <c r="Q488" s="52">
        <f>IF(P488="","",IF(J488&lt;&gt;"",J488,CuentaPred&amp;""))</f>
        <v/>
      </c>
      <c r="R488" s="52">
        <f>IF(P488="","",IF(ISNUMBER(I488),I488,TasaUSD))</f>
        <v/>
      </c>
      <c r="S488" s="53">
        <f>IF(P488="","",IF(H488="USD",G488*R488,G488))</f>
        <v/>
      </c>
      <c r="T488" s="53">
        <f>IF(P488="","",IF(H488="USD",G488,IF(R488&gt;0,G488/R488,0)))</f>
        <v/>
      </c>
      <c r="U488" s="53">
        <f>IF(P488="","",IF(P488="Gasto",S488,IF(P488="Reembolso",-S488,0)))</f>
        <v/>
      </c>
      <c r="V488" s="53">
        <f>IF(P488="","",IF(P488="Ingreso",S488,0))</f>
        <v/>
      </c>
      <c r="W488" s="53">
        <f>IF(P488="","",IF(P488="Resultado trading",S488,0))</f>
        <v/>
      </c>
      <c r="X488" s="52">
        <f>IF(OR(P488="Gasto",P488="Reembolso"),IF(M488&lt;&gt;"",M488,IFERROR(INDEX(catClasif,MATCH(D488&amp;"|"&amp;E488,catClave,0))&amp;"","Variable")),"")</f>
        <v/>
      </c>
      <c r="Y488" s="52">
        <f>IF(P488="","",IFERROR(INDEX(catGrupo,MATCH(D488&amp;"|"&amp;E488,catClave,0))&amp;"",""))</f>
        <v/>
      </c>
      <c r="Z488" s="52">
        <f>IF(P488="","",WEEKDAY(B488,2))</f>
        <v/>
      </c>
      <c r="AA488" s="52">
        <f>IF(P488="","",IF(AND(P488="Gasto",X488="Variable",D488&lt;&gt;catTrading,S488&gt;0,S488&lt;=Umbral),1,0))</f>
        <v/>
      </c>
      <c r="AB488" s="52">
        <f>IF(OR(P488="",Q488=""),"",IFERROR(IF(INDEX(ctaVinc,MATCH(Q488,ctaNombre,0))&amp;""&lt;&gt;"",INDEX(ctaVinc,MATCH(Q488,ctaNombre,0))&amp;"",Q488),Q488))</f>
        <v/>
      </c>
      <c r="AC488" s="52">
        <f>IF(OR(K488="",AND(P488&lt;&gt;"Transferencia",P488&lt;&gt;"Pago tarjeta")),"",IFERROR(IF(INDEX(ctaVinc,MATCH(K488,ctaNombre,0))&amp;""&lt;&gt;"",INDEX(ctaVinc,MATCH(K488,ctaNombre,0))&amp;"",K488),K488))</f>
        <v/>
      </c>
      <c r="AD488" s="52">
        <f>IF(AB488="","",IFERROR(INDEX(ctaTipo,MATCH(AB488,ctaNombre,0))&amp;"",""))</f>
        <v/>
      </c>
      <c r="AE488" s="52">
        <f>IF(AC488="","",IFERROR(INDEX(ctaTipo,MATCH(AC488,ctaNombre,0))&amp;"",""))</f>
        <v/>
      </c>
      <c r="AF488" s="53">
        <f>IF(OR(P488="",AB488=""),"",IF(OR(P488="Gasto",P488="Transferencia",P488="Pago tarjeta"),-1,1)*IF(IFERROR(INDEX(ctaMoneda,MATCH(AB488,ctaNombre,0))&amp;"","DOP")="USD",T488,S488))</f>
        <v/>
      </c>
      <c r="AG488" s="53">
        <f>IF(AC488="","",IF(IFERROR(INDEX(ctaMoneda,MATCH(AC488,ctaNombre,0))&amp;"","DOP")="USD",T488,S488))</f>
        <v/>
      </c>
      <c r="AH488" s="53">
        <f>IF(P488="","",IF(AND(AD488&lt;&gt;"",COUNTIFS(tcTipo,AD488,tcLiq,"Sí")&gt;0),IF(OR(P488="Gasto",P488="Transferencia",P488="Pago tarjeta"),-1,1)*S488,0)+IF(AND(AE488&lt;&gt;"",COUNTIFS(tcTipo,AE488,tcLiq,"Sí")&gt;0),S488,0))</f>
        <v/>
      </c>
      <c r="AI488" s="52">
        <f>IF(OR(L488="",P488=""),"",IF(COUNTIFS(L$6:L488,L488,P$6:P488,"?*")=1,MAX(AI$5:AI487)+1,""))</f>
        <v/>
      </c>
    </row>
    <row r="489">
      <c r="B489" s="47" t="n"/>
      <c r="C489" s="48" t="n"/>
      <c r="D489" s="48" t="n"/>
      <c r="E489" s="48" t="n"/>
      <c r="F489" s="48" t="n"/>
      <c r="G489" s="49" t="n"/>
      <c r="H489" s="48" t="n"/>
      <c r="I489" s="50" t="n"/>
      <c r="J489" s="48" t="n"/>
      <c r="K489" s="48" t="n"/>
      <c r="L489" s="48" t="n"/>
      <c r="M489" s="48" t="n"/>
      <c r="N489" s="48" t="n"/>
      <c r="O489" s="51">
        <f>IF(AND(B489="",G489="",C489="",D489="",J489=""),"",IF(B489="","⚠ Falta fecha",IF(G489="","⚠ Falta monto",IF(Q489="","⚠ Falta cuenta",IF(ISNA(MATCH(Q489,ctaNombre,0)),"⚠ Cuenta no registrada",IF(AND(OR(P489="Gasto",P489="Reembolso"),D489=""),"⚠ Falta categoría",IF(AND(D489&lt;&gt;"",E489&lt;&gt;"",ISNA(MATCH(D489&amp;"|"&amp;E489,catClave,0))),"⚠ Subcategoría no corresponde",IF(AND(OR(P489="Transferencia",P489="Pago tarjeta"),K489=""),"⚠ Falta cuenta destino",IF(AND(K489&lt;&gt;"",P489&lt;&gt;"Transferencia",P489&lt;&gt;"Pago tarjeta"),"⚠ Destino solo aplica a transferencias",IF(AND(K489&lt;&gt;"",K489=Q489),"⚠ Origen igual a destino",IF(AND(K489&lt;&gt;"",ISNA(MATCH(K489,ctaNombre,0))),"⚠ Destino no registrado",IF(AND(P489="Pago tarjeta",AE489&lt;&gt;"Tarjeta de crédito"),"⚠ El destino debe ser tarjeta de crédito",IF(AND(P489="Gasto",E489="Depósitos y retiros"),"⚠ Usa tipo Transferencia",IF(AND(P489="Resultado trading",AD489&lt;&gt;"Cuenta de trading"),"⚠ Usa una cuenta de trading",IF(AND(G489&lt;=0,P489&lt;&gt;"Ajuste",P489&lt;&gt;"Resultado trading"),"⚠ El monto debe ser positivo","✓")))))))))))))))</f>
        <v/>
      </c>
      <c r="P489" s="52">
        <f>IF(OR(B489="",G489=""),"",IF(C489="","Gasto",C489))</f>
        <v/>
      </c>
      <c r="Q489" s="52">
        <f>IF(P489="","",IF(J489&lt;&gt;"",J489,CuentaPred&amp;""))</f>
        <v/>
      </c>
      <c r="R489" s="52">
        <f>IF(P489="","",IF(ISNUMBER(I489),I489,TasaUSD))</f>
        <v/>
      </c>
      <c r="S489" s="53">
        <f>IF(P489="","",IF(H489="USD",G489*R489,G489))</f>
        <v/>
      </c>
      <c r="T489" s="53">
        <f>IF(P489="","",IF(H489="USD",G489,IF(R489&gt;0,G489/R489,0)))</f>
        <v/>
      </c>
      <c r="U489" s="53">
        <f>IF(P489="","",IF(P489="Gasto",S489,IF(P489="Reembolso",-S489,0)))</f>
        <v/>
      </c>
      <c r="V489" s="53">
        <f>IF(P489="","",IF(P489="Ingreso",S489,0))</f>
        <v/>
      </c>
      <c r="W489" s="53">
        <f>IF(P489="","",IF(P489="Resultado trading",S489,0))</f>
        <v/>
      </c>
      <c r="X489" s="52">
        <f>IF(OR(P489="Gasto",P489="Reembolso"),IF(M489&lt;&gt;"",M489,IFERROR(INDEX(catClasif,MATCH(D489&amp;"|"&amp;E489,catClave,0))&amp;"","Variable")),"")</f>
        <v/>
      </c>
      <c r="Y489" s="52">
        <f>IF(P489="","",IFERROR(INDEX(catGrupo,MATCH(D489&amp;"|"&amp;E489,catClave,0))&amp;"",""))</f>
        <v/>
      </c>
      <c r="Z489" s="52">
        <f>IF(P489="","",WEEKDAY(B489,2))</f>
        <v/>
      </c>
      <c r="AA489" s="52">
        <f>IF(P489="","",IF(AND(P489="Gasto",X489="Variable",D489&lt;&gt;catTrading,S489&gt;0,S489&lt;=Umbral),1,0))</f>
        <v/>
      </c>
      <c r="AB489" s="52">
        <f>IF(OR(P489="",Q489=""),"",IFERROR(IF(INDEX(ctaVinc,MATCH(Q489,ctaNombre,0))&amp;""&lt;&gt;"",INDEX(ctaVinc,MATCH(Q489,ctaNombre,0))&amp;"",Q489),Q489))</f>
        <v/>
      </c>
      <c r="AC489" s="52">
        <f>IF(OR(K489="",AND(P489&lt;&gt;"Transferencia",P489&lt;&gt;"Pago tarjeta")),"",IFERROR(IF(INDEX(ctaVinc,MATCH(K489,ctaNombre,0))&amp;""&lt;&gt;"",INDEX(ctaVinc,MATCH(K489,ctaNombre,0))&amp;"",K489),K489))</f>
        <v/>
      </c>
      <c r="AD489" s="52">
        <f>IF(AB489="","",IFERROR(INDEX(ctaTipo,MATCH(AB489,ctaNombre,0))&amp;"",""))</f>
        <v/>
      </c>
      <c r="AE489" s="52">
        <f>IF(AC489="","",IFERROR(INDEX(ctaTipo,MATCH(AC489,ctaNombre,0))&amp;"",""))</f>
        <v/>
      </c>
      <c r="AF489" s="53">
        <f>IF(OR(P489="",AB489=""),"",IF(OR(P489="Gasto",P489="Transferencia",P489="Pago tarjeta"),-1,1)*IF(IFERROR(INDEX(ctaMoneda,MATCH(AB489,ctaNombre,0))&amp;"","DOP")="USD",T489,S489))</f>
        <v/>
      </c>
      <c r="AG489" s="53">
        <f>IF(AC489="","",IF(IFERROR(INDEX(ctaMoneda,MATCH(AC489,ctaNombre,0))&amp;"","DOP")="USD",T489,S489))</f>
        <v/>
      </c>
      <c r="AH489" s="53">
        <f>IF(P489="","",IF(AND(AD489&lt;&gt;"",COUNTIFS(tcTipo,AD489,tcLiq,"Sí")&gt;0),IF(OR(P489="Gasto",P489="Transferencia",P489="Pago tarjeta"),-1,1)*S489,0)+IF(AND(AE489&lt;&gt;"",COUNTIFS(tcTipo,AE489,tcLiq,"Sí")&gt;0),S489,0))</f>
        <v/>
      </c>
      <c r="AI489" s="52">
        <f>IF(OR(L489="",P489=""),"",IF(COUNTIFS(L$6:L489,L489,P$6:P489,"?*")=1,MAX(AI$5:AI488)+1,""))</f>
        <v/>
      </c>
    </row>
    <row r="490">
      <c r="B490" s="47" t="n"/>
      <c r="C490" s="48" t="n"/>
      <c r="D490" s="48" t="n"/>
      <c r="E490" s="48" t="n"/>
      <c r="F490" s="48" t="n"/>
      <c r="G490" s="49" t="n"/>
      <c r="H490" s="48" t="n"/>
      <c r="I490" s="50" t="n"/>
      <c r="J490" s="48" t="n"/>
      <c r="K490" s="48" t="n"/>
      <c r="L490" s="48" t="n"/>
      <c r="M490" s="48" t="n"/>
      <c r="N490" s="48" t="n"/>
      <c r="O490" s="51">
        <f>IF(AND(B490="",G490="",C490="",D490="",J490=""),"",IF(B490="","⚠ Falta fecha",IF(G490="","⚠ Falta monto",IF(Q490="","⚠ Falta cuenta",IF(ISNA(MATCH(Q490,ctaNombre,0)),"⚠ Cuenta no registrada",IF(AND(OR(P490="Gasto",P490="Reembolso"),D490=""),"⚠ Falta categoría",IF(AND(D490&lt;&gt;"",E490&lt;&gt;"",ISNA(MATCH(D490&amp;"|"&amp;E490,catClave,0))),"⚠ Subcategoría no corresponde",IF(AND(OR(P490="Transferencia",P490="Pago tarjeta"),K490=""),"⚠ Falta cuenta destino",IF(AND(K490&lt;&gt;"",P490&lt;&gt;"Transferencia",P490&lt;&gt;"Pago tarjeta"),"⚠ Destino solo aplica a transferencias",IF(AND(K490&lt;&gt;"",K490=Q490),"⚠ Origen igual a destino",IF(AND(K490&lt;&gt;"",ISNA(MATCH(K490,ctaNombre,0))),"⚠ Destino no registrado",IF(AND(P490="Pago tarjeta",AE490&lt;&gt;"Tarjeta de crédito"),"⚠ El destino debe ser tarjeta de crédito",IF(AND(P490="Gasto",E490="Depósitos y retiros"),"⚠ Usa tipo Transferencia",IF(AND(P490="Resultado trading",AD490&lt;&gt;"Cuenta de trading"),"⚠ Usa una cuenta de trading",IF(AND(G490&lt;=0,P490&lt;&gt;"Ajuste",P490&lt;&gt;"Resultado trading"),"⚠ El monto debe ser positivo","✓")))))))))))))))</f>
        <v/>
      </c>
      <c r="P490" s="52">
        <f>IF(OR(B490="",G490=""),"",IF(C490="","Gasto",C490))</f>
        <v/>
      </c>
      <c r="Q490" s="52">
        <f>IF(P490="","",IF(J490&lt;&gt;"",J490,CuentaPred&amp;""))</f>
        <v/>
      </c>
      <c r="R490" s="52">
        <f>IF(P490="","",IF(ISNUMBER(I490),I490,TasaUSD))</f>
        <v/>
      </c>
      <c r="S490" s="53">
        <f>IF(P490="","",IF(H490="USD",G490*R490,G490))</f>
        <v/>
      </c>
      <c r="T490" s="53">
        <f>IF(P490="","",IF(H490="USD",G490,IF(R490&gt;0,G490/R490,0)))</f>
        <v/>
      </c>
      <c r="U490" s="53">
        <f>IF(P490="","",IF(P490="Gasto",S490,IF(P490="Reembolso",-S490,0)))</f>
        <v/>
      </c>
      <c r="V490" s="53">
        <f>IF(P490="","",IF(P490="Ingreso",S490,0))</f>
        <v/>
      </c>
      <c r="W490" s="53">
        <f>IF(P490="","",IF(P490="Resultado trading",S490,0))</f>
        <v/>
      </c>
      <c r="X490" s="52">
        <f>IF(OR(P490="Gasto",P490="Reembolso"),IF(M490&lt;&gt;"",M490,IFERROR(INDEX(catClasif,MATCH(D490&amp;"|"&amp;E490,catClave,0))&amp;"","Variable")),"")</f>
        <v/>
      </c>
      <c r="Y490" s="52">
        <f>IF(P490="","",IFERROR(INDEX(catGrupo,MATCH(D490&amp;"|"&amp;E490,catClave,0))&amp;"",""))</f>
        <v/>
      </c>
      <c r="Z490" s="52">
        <f>IF(P490="","",WEEKDAY(B490,2))</f>
        <v/>
      </c>
      <c r="AA490" s="52">
        <f>IF(P490="","",IF(AND(P490="Gasto",X490="Variable",D490&lt;&gt;catTrading,S490&gt;0,S490&lt;=Umbral),1,0))</f>
        <v/>
      </c>
      <c r="AB490" s="52">
        <f>IF(OR(P490="",Q490=""),"",IFERROR(IF(INDEX(ctaVinc,MATCH(Q490,ctaNombre,0))&amp;""&lt;&gt;"",INDEX(ctaVinc,MATCH(Q490,ctaNombre,0))&amp;"",Q490),Q490))</f>
        <v/>
      </c>
      <c r="AC490" s="52">
        <f>IF(OR(K490="",AND(P490&lt;&gt;"Transferencia",P490&lt;&gt;"Pago tarjeta")),"",IFERROR(IF(INDEX(ctaVinc,MATCH(K490,ctaNombre,0))&amp;""&lt;&gt;"",INDEX(ctaVinc,MATCH(K490,ctaNombre,0))&amp;"",K490),K490))</f>
        <v/>
      </c>
      <c r="AD490" s="52">
        <f>IF(AB490="","",IFERROR(INDEX(ctaTipo,MATCH(AB490,ctaNombre,0))&amp;"",""))</f>
        <v/>
      </c>
      <c r="AE490" s="52">
        <f>IF(AC490="","",IFERROR(INDEX(ctaTipo,MATCH(AC490,ctaNombre,0))&amp;"",""))</f>
        <v/>
      </c>
      <c r="AF490" s="53">
        <f>IF(OR(P490="",AB490=""),"",IF(OR(P490="Gasto",P490="Transferencia",P490="Pago tarjeta"),-1,1)*IF(IFERROR(INDEX(ctaMoneda,MATCH(AB490,ctaNombre,0))&amp;"","DOP")="USD",T490,S490))</f>
        <v/>
      </c>
      <c r="AG490" s="53">
        <f>IF(AC490="","",IF(IFERROR(INDEX(ctaMoneda,MATCH(AC490,ctaNombre,0))&amp;"","DOP")="USD",T490,S490))</f>
        <v/>
      </c>
      <c r="AH490" s="53">
        <f>IF(P490="","",IF(AND(AD490&lt;&gt;"",COUNTIFS(tcTipo,AD490,tcLiq,"Sí")&gt;0),IF(OR(P490="Gasto",P490="Transferencia",P490="Pago tarjeta"),-1,1)*S490,0)+IF(AND(AE490&lt;&gt;"",COUNTIFS(tcTipo,AE490,tcLiq,"Sí")&gt;0),S490,0))</f>
        <v/>
      </c>
      <c r="AI490" s="52">
        <f>IF(OR(L490="",P490=""),"",IF(COUNTIFS(L$6:L490,L490,P$6:P490,"?*")=1,MAX(AI$5:AI489)+1,""))</f>
        <v/>
      </c>
    </row>
    <row r="491">
      <c r="B491" s="47" t="n"/>
      <c r="C491" s="48" t="n"/>
      <c r="D491" s="48" t="n"/>
      <c r="E491" s="48" t="n"/>
      <c r="F491" s="48" t="n"/>
      <c r="G491" s="49" t="n"/>
      <c r="H491" s="48" t="n"/>
      <c r="I491" s="50" t="n"/>
      <c r="J491" s="48" t="n"/>
      <c r="K491" s="48" t="n"/>
      <c r="L491" s="48" t="n"/>
      <c r="M491" s="48" t="n"/>
      <c r="N491" s="48" t="n"/>
      <c r="O491" s="51">
        <f>IF(AND(B491="",G491="",C491="",D491="",J491=""),"",IF(B491="","⚠ Falta fecha",IF(G491="","⚠ Falta monto",IF(Q491="","⚠ Falta cuenta",IF(ISNA(MATCH(Q491,ctaNombre,0)),"⚠ Cuenta no registrada",IF(AND(OR(P491="Gasto",P491="Reembolso"),D491=""),"⚠ Falta categoría",IF(AND(D491&lt;&gt;"",E491&lt;&gt;"",ISNA(MATCH(D491&amp;"|"&amp;E491,catClave,0))),"⚠ Subcategoría no corresponde",IF(AND(OR(P491="Transferencia",P491="Pago tarjeta"),K491=""),"⚠ Falta cuenta destino",IF(AND(K491&lt;&gt;"",P491&lt;&gt;"Transferencia",P491&lt;&gt;"Pago tarjeta"),"⚠ Destino solo aplica a transferencias",IF(AND(K491&lt;&gt;"",K491=Q491),"⚠ Origen igual a destino",IF(AND(K491&lt;&gt;"",ISNA(MATCH(K491,ctaNombre,0))),"⚠ Destino no registrado",IF(AND(P491="Pago tarjeta",AE491&lt;&gt;"Tarjeta de crédito"),"⚠ El destino debe ser tarjeta de crédito",IF(AND(P491="Gasto",E491="Depósitos y retiros"),"⚠ Usa tipo Transferencia",IF(AND(P491="Resultado trading",AD491&lt;&gt;"Cuenta de trading"),"⚠ Usa una cuenta de trading",IF(AND(G491&lt;=0,P491&lt;&gt;"Ajuste",P491&lt;&gt;"Resultado trading"),"⚠ El monto debe ser positivo","✓")))))))))))))))</f>
        <v/>
      </c>
      <c r="P491" s="52">
        <f>IF(OR(B491="",G491=""),"",IF(C491="","Gasto",C491))</f>
        <v/>
      </c>
      <c r="Q491" s="52">
        <f>IF(P491="","",IF(J491&lt;&gt;"",J491,CuentaPred&amp;""))</f>
        <v/>
      </c>
      <c r="R491" s="52">
        <f>IF(P491="","",IF(ISNUMBER(I491),I491,TasaUSD))</f>
        <v/>
      </c>
      <c r="S491" s="53">
        <f>IF(P491="","",IF(H491="USD",G491*R491,G491))</f>
        <v/>
      </c>
      <c r="T491" s="53">
        <f>IF(P491="","",IF(H491="USD",G491,IF(R491&gt;0,G491/R491,0)))</f>
        <v/>
      </c>
      <c r="U491" s="53">
        <f>IF(P491="","",IF(P491="Gasto",S491,IF(P491="Reembolso",-S491,0)))</f>
        <v/>
      </c>
      <c r="V491" s="53">
        <f>IF(P491="","",IF(P491="Ingreso",S491,0))</f>
        <v/>
      </c>
      <c r="W491" s="53">
        <f>IF(P491="","",IF(P491="Resultado trading",S491,0))</f>
        <v/>
      </c>
      <c r="X491" s="52">
        <f>IF(OR(P491="Gasto",P491="Reembolso"),IF(M491&lt;&gt;"",M491,IFERROR(INDEX(catClasif,MATCH(D491&amp;"|"&amp;E491,catClave,0))&amp;"","Variable")),"")</f>
        <v/>
      </c>
      <c r="Y491" s="52">
        <f>IF(P491="","",IFERROR(INDEX(catGrupo,MATCH(D491&amp;"|"&amp;E491,catClave,0))&amp;"",""))</f>
        <v/>
      </c>
      <c r="Z491" s="52">
        <f>IF(P491="","",WEEKDAY(B491,2))</f>
        <v/>
      </c>
      <c r="AA491" s="52">
        <f>IF(P491="","",IF(AND(P491="Gasto",X491="Variable",D491&lt;&gt;catTrading,S491&gt;0,S491&lt;=Umbral),1,0))</f>
        <v/>
      </c>
      <c r="AB491" s="52">
        <f>IF(OR(P491="",Q491=""),"",IFERROR(IF(INDEX(ctaVinc,MATCH(Q491,ctaNombre,0))&amp;""&lt;&gt;"",INDEX(ctaVinc,MATCH(Q491,ctaNombre,0))&amp;"",Q491),Q491))</f>
        <v/>
      </c>
      <c r="AC491" s="52">
        <f>IF(OR(K491="",AND(P491&lt;&gt;"Transferencia",P491&lt;&gt;"Pago tarjeta")),"",IFERROR(IF(INDEX(ctaVinc,MATCH(K491,ctaNombre,0))&amp;""&lt;&gt;"",INDEX(ctaVinc,MATCH(K491,ctaNombre,0))&amp;"",K491),K491))</f>
        <v/>
      </c>
      <c r="AD491" s="52">
        <f>IF(AB491="","",IFERROR(INDEX(ctaTipo,MATCH(AB491,ctaNombre,0))&amp;"",""))</f>
        <v/>
      </c>
      <c r="AE491" s="52">
        <f>IF(AC491="","",IFERROR(INDEX(ctaTipo,MATCH(AC491,ctaNombre,0))&amp;"",""))</f>
        <v/>
      </c>
      <c r="AF491" s="53">
        <f>IF(OR(P491="",AB491=""),"",IF(OR(P491="Gasto",P491="Transferencia",P491="Pago tarjeta"),-1,1)*IF(IFERROR(INDEX(ctaMoneda,MATCH(AB491,ctaNombre,0))&amp;"","DOP")="USD",T491,S491))</f>
        <v/>
      </c>
      <c r="AG491" s="53">
        <f>IF(AC491="","",IF(IFERROR(INDEX(ctaMoneda,MATCH(AC491,ctaNombre,0))&amp;"","DOP")="USD",T491,S491))</f>
        <v/>
      </c>
      <c r="AH491" s="53">
        <f>IF(P491="","",IF(AND(AD491&lt;&gt;"",COUNTIFS(tcTipo,AD491,tcLiq,"Sí")&gt;0),IF(OR(P491="Gasto",P491="Transferencia",P491="Pago tarjeta"),-1,1)*S491,0)+IF(AND(AE491&lt;&gt;"",COUNTIFS(tcTipo,AE491,tcLiq,"Sí")&gt;0),S491,0))</f>
        <v/>
      </c>
      <c r="AI491" s="52">
        <f>IF(OR(L491="",P491=""),"",IF(COUNTIFS(L$6:L491,L491,P$6:P491,"?*")=1,MAX(AI$5:AI490)+1,""))</f>
        <v/>
      </c>
    </row>
    <row r="492">
      <c r="B492" s="47" t="n"/>
      <c r="C492" s="48" t="n"/>
      <c r="D492" s="48" t="n"/>
      <c r="E492" s="48" t="n"/>
      <c r="F492" s="48" t="n"/>
      <c r="G492" s="49" t="n"/>
      <c r="H492" s="48" t="n"/>
      <c r="I492" s="50" t="n"/>
      <c r="J492" s="48" t="n"/>
      <c r="K492" s="48" t="n"/>
      <c r="L492" s="48" t="n"/>
      <c r="M492" s="48" t="n"/>
      <c r="N492" s="48" t="n"/>
      <c r="O492" s="51">
        <f>IF(AND(B492="",G492="",C492="",D492="",J492=""),"",IF(B492="","⚠ Falta fecha",IF(G492="","⚠ Falta monto",IF(Q492="","⚠ Falta cuenta",IF(ISNA(MATCH(Q492,ctaNombre,0)),"⚠ Cuenta no registrada",IF(AND(OR(P492="Gasto",P492="Reembolso"),D492=""),"⚠ Falta categoría",IF(AND(D492&lt;&gt;"",E492&lt;&gt;"",ISNA(MATCH(D492&amp;"|"&amp;E492,catClave,0))),"⚠ Subcategoría no corresponde",IF(AND(OR(P492="Transferencia",P492="Pago tarjeta"),K492=""),"⚠ Falta cuenta destino",IF(AND(K492&lt;&gt;"",P492&lt;&gt;"Transferencia",P492&lt;&gt;"Pago tarjeta"),"⚠ Destino solo aplica a transferencias",IF(AND(K492&lt;&gt;"",K492=Q492),"⚠ Origen igual a destino",IF(AND(K492&lt;&gt;"",ISNA(MATCH(K492,ctaNombre,0))),"⚠ Destino no registrado",IF(AND(P492="Pago tarjeta",AE492&lt;&gt;"Tarjeta de crédito"),"⚠ El destino debe ser tarjeta de crédito",IF(AND(P492="Gasto",E492="Depósitos y retiros"),"⚠ Usa tipo Transferencia",IF(AND(P492="Resultado trading",AD492&lt;&gt;"Cuenta de trading"),"⚠ Usa una cuenta de trading",IF(AND(G492&lt;=0,P492&lt;&gt;"Ajuste",P492&lt;&gt;"Resultado trading"),"⚠ El monto debe ser positivo","✓")))))))))))))))</f>
        <v/>
      </c>
      <c r="P492" s="52">
        <f>IF(OR(B492="",G492=""),"",IF(C492="","Gasto",C492))</f>
        <v/>
      </c>
      <c r="Q492" s="52">
        <f>IF(P492="","",IF(J492&lt;&gt;"",J492,CuentaPred&amp;""))</f>
        <v/>
      </c>
      <c r="R492" s="52">
        <f>IF(P492="","",IF(ISNUMBER(I492),I492,TasaUSD))</f>
        <v/>
      </c>
      <c r="S492" s="53">
        <f>IF(P492="","",IF(H492="USD",G492*R492,G492))</f>
        <v/>
      </c>
      <c r="T492" s="53">
        <f>IF(P492="","",IF(H492="USD",G492,IF(R492&gt;0,G492/R492,0)))</f>
        <v/>
      </c>
      <c r="U492" s="53">
        <f>IF(P492="","",IF(P492="Gasto",S492,IF(P492="Reembolso",-S492,0)))</f>
        <v/>
      </c>
      <c r="V492" s="53">
        <f>IF(P492="","",IF(P492="Ingreso",S492,0))</f>
        <v/>
      </c>
      <c r="W492" s="53">
        <f>IF(P492="","",IF(P492="Resultado trading",S492,0))</f>
        <v/>
      </c>
      <c r="X492" s="52">
        <f>IF(OR(P492="Gasto",P492="Reembolso"),IF(M492&lt;&gt;"",M492,IFERROR(INDEX(catClasif,MATCH(D492&amp;"|"&amp;E492,catClave,0))&amp;"","Variable")),"")</f>
        <v/>
      </c>
      <c r="Y492" s="52">
        <f>IF(P492="","",IFERROR(INDEX(catGrupo,MATCH(D492&amp;"|"&amp;E492,catClave,0))&amp;"",""))</f>
        <v/>
      </c>
      <c r="Z492" s="52">
        <f>IF(P492="","",WEEKDAY(B492,2))</f>
        <v/>
      </c>
      <c r="AA492" s="52">
        <f>IF(P492="","",IF(AND(P492="Gasto",X492="Variable",D492&lt;&gt;catTrading,S492&gt;0,S492&lt;=Umbral),1,0))</f>
        <v/>
      </c>
      <c r="AB492" s="52">
        <f>IF(OR(P492="",Q492=""),"",IFERROR(IF(INDEX(ctaVinc,MATCH(Q492,ctaNombre,0))&amp;""&lt;&gt;"",INDEX(ctaVinc,MATCH(Q492,ctaNombre,0))&amp;"",Q492),Q492))</f>
        <v/>
      </c>
      <c r="AC492" s="52">
        <f>IF(OR(K492="",AND(P492&lt;&gt;"Transferencia",P492&lt;&gt;"Pago tarjeta")),"",IFERROR(IF(INDEX(ctaVinc,MATCH(K492,ctaNombre,0))&amp;""&lt;&gt;"",INDEX(ctaVinc,MATCH(K492,ctaNombre,0))&amp;"",K492),K492))</f>
        <v/>
      </c>
      <c r="AD492" s="52">
        <f>IF(AB492="","",IFERROR(INDEX(ctaTipo,MATCH(AB492,ctaNombre,0))&amp;"",""))</f>
        <v/>
      </c>
      <c r="AE492" s="52">
        <f>IF(AC492="","",IFERROR(INDEX(ctaTipo,MATCH(AC492,ctaNombre,0))&amp;"",""))</f>
        <v/>
      </c>
      <c r="AF492" s="53">
        <f>IF(OR(P492="",AB492=""),"",IF(OR(P492="Gasto",P492="Transferencia",P492="Pago tarjeta"),-1,1)*IF(IFERROR(INDEX(ctaMoneda,MATCH(AB492,ctaNombre,0))&amp;"","DOP")="USD",T492,S492))</f>
        <v/>
      </c>
      <c r="AG492" s="53">
        <f>IF(AC492="","",IF(IFERROR(INDEX(ctaMoneda,MATCH(AC492,ctaNombre,0))&amp;"","DOP")="USD",T492,S492))</f>
        <v/>
      </c>
      <c r="AH492" s="53">
        <f>IF(P492="","",IF(AND(AD492&lt;&gt;"",COUNTIFS(tcTipo,AD492,tcLiq,"Sí")&gt;0),IF(OR(P492="Gasto",P492="Transferencia",P492="Pago tarjeta"),-1,1)*S492,0)+IF(AND(AE492&lt;&gt;"",COUNTIFS(tcTipo,AE492,tcLiq,"Sí")&gt;0),S492,0))</f>
        <v/>
      </c>
      <c r="AI492" s="52">
        <f>IF(OR(L492="",P492=""),"",IF(COUNTIFS(L$6:L492,L492,P$6:P492,"?*")=1,MAX(AI$5:AI491)+1,""))</f>
        <v/>
      </c>
    </row>
    <row r="493">
      <c r="B493" s="47" t="n"/>
      <c r="C493" s="48" t="n"/>
      <c r="D493" s="48" t="n"/>
      <c r="E493" s="48" t="n"/>
      <c r="F493" s="48" t="n"/>
      <c r="G493" s="49" t="n"/>
      <c r="H493" s="48" t="n"/>
      <c r="I493" s="50" t="n"/>
      <c r="J493" s="48" t="n"/>
      <c r="K493" s="48" t="n"/>
      <c r="L493" s="48" t="n"/>
      <c r="M493" s="48" t="n"/>
      <c r="N493" s="48" t="n"/>
      <c r="O493" s="51">
        <f>IF(AND(B493="",G493="",C493="",D493="",J493=""),"",IF(B493="","⚠ Falta fecha",IF(G493="","⚠ Falta monto",IF(Q493="","⚠ Falta cuenta",IF(ISNA(MATCH(Q493,ctaNombre,0)),"⚠ Cuenta no registrada",IF(AND(OR(P493="Gasto",P493="Reembolso"),D493=""),"⚠ Falta categoría",IF(AND(D493&lt;&gt;"",E493&lt;&gt;"",ISNA(MATCH(D493&amp;"|"&amp;E493,catClave,0))),"⚠ Subcategoría no corresponde",IF(AND(OR(P493="Transferencia",P493="Pago tarjeta"),K493=""),"⚠ Falta cuenta destino",IF(AND(K493&lt;&gt;"",P493&lt;&gt;"Transferencia",P493&lt;&gt;"Pago tarjeta"),"⚠ Destino solo aplica a transferencias",IF(AND(K493&lt;&gt;"",K493=Q493),"⚠ Origen igual a destino",IF(AND(K493&lt;&gt;"",ISNA(MATCH(K493,ctaNombre,0))),"⚠ Destino no registrado",IF(AND(P493="Pago tarjeta",AE493&lt;&gt;"Tarjeta de crédito"),"⚠ El destino debe ser tarjeta de crédito",IF(AND(P493="Gasto",E493="Depósitos y retiros"),"⚠ Usa tipo Transferencia",IF(AND(P493="Resultado trading",AD493&lt;&gt;"Cuenta de trading"),"⚠ Usa una cuenta de trading",IF(AND(G493&lt;=0,P493&lt;&gt;"Ajuste",P493&lt;&gt;"Resultado trading"),"⚠ El monto debe ser positivo","✓")))))))))))))))</f>
        <v/>
      </c>
      <c r="P493" s="52">
        <f>IF(OR(B493="",G493=""),"",IF(C493="","Gasto",C493))</f>
        <v/>
      </c>
      <c r="Q493" s="52">
        <f>IF(P493="","",IF(J493&lt;&gt;"",J493,CuentaPred&amp;""))</f>
        <v/>
      </c>
      <c r="R493" s="52">
        <f>IF(P493="","",IF(ISNUMBER(I493),I493,TasaUSD))</f>
        <v/>
      </c>
      <c r="S493" s="53">
        <f>IF(P493="","",IF(H493="USD",G493*R493,G493))</f>
        <v/>
      </c>
      <c r="T493" s="53">
        <f>IF(P493="","",IF(H493="USD",G493,IF(R493&gt;0,G493/R493,0)))</f>
        <v/>
      </c>
      <c r="U493" s="53">
        <f>IF(P493="","",IF(P493="Gasto",S493,IF(P493="Reembolso",-S493,0)))</f>
        <v/>
      </c>
      <c r="V493" s="53">
        <f>IF(P493="","",IF(P493="Ingreso",S493,0))</f>
        <v/>
      </c>
      <c r="W493" s="53">
        <f>IF(P493="","",IF(P493="Resultado trading",S493,0))</f>
        <v/>
      </c>
      <c r="X493" s="52">
        <f>IF(OR(P493="Gasto",P493="Reembolso"),IF(M493&lt;&gt;"",M493,IFERROR(INDEX(catClasif,MATCH(D493&amp;"|"&amp;E493,catClave,0))&amp;"","Variable")),"")</f>
        <v/>
      </c>
      <c r="Y493" s="52">
        <f>IF(P493="","",IFERROR(INDEX(catGrupo,MATCH(D493&amp;"|"&amp;E493,catClave,0))&amp;"",""))</f>
        <v/>
      </c>
      <c r="Z493" s="52">
        <f>IF(P493="","",WEEKDAY(B493,2))</f>
        <v/>
      </c>
      <c r="AA493" s="52">
        <f>IF(P493="","",IF(AND(P493="Gasto",X493="Variable",D493&lt;&gt;catTrading,S493&gt;0,S493&lt;=Umbral),1,0))</f>
        <v/>
      </c>
      <c r="AB493" s="52">
        <f>IF(OR(P493="",Q493=""),"",IFERROR(IF(INDEX(ctaVinc,MATCH(Q493,ctaNombre,0))&amp;""&lt;&gt;"",INDEX(ctaVinc,MATCH(Q493,ctaNombre,0))&amp;"",Q493),Q493))</f>
        <v/>
      </c>
      <c r="AC493" s="52">
        <f>IF(OR(K493="",AND(P493&lt;&gt;"Transferencia",P493&lt;&gt;"Pago tarjeta")),"",IFERROR(IF(INDEX(ctaVinc,MATCH(K493,ctaNombre,0))&amp;""&lt;&gt;"",INDEX(ctaVinc,MATCH(K493,ctaNombre,0))&amp;"",K493),K493))</f>
        <v/>
      </c>
      <c r="AD493" s="52">
        <f>IF(AB493="","",IFERROR(INDEX(ctaTipo,MATCH(AB493,ctaNombre,0))&amp;"",""))</f>
        <v/>
      </c>
      <c r="AE493" s="52">
        <f>IF(AC493="","",IFERROR(INDEX(ctaTipo,MATCH(AC493,ctaNombre,0))&amp;"",""))</f>
        <v/>
      </c>
      <c r="AF493" s="53">
        <f>IF(OR(P493="",AB493=""),"",IF(OR(P493="Gasto",P493="Transferencia",P493="Pago tarjeta"),-1,1)*IF(IFERROR(INDEX(ctaMoneda,MATCH(AB493,ctaNombre,0))&amp;"","DOP")="USD",T493,S493))</f>
        <v/>
      </c>
      <c r="AG493" s="53">
        <f>IF(AC493="","",IF(IFERROR(INDEX(ctaMoneda,MATCH(AC493,ctaNombre,0))&amp;"","DOP")="USD",T493,S493))</f>
        <v/>
      </c>
      <c r="AH493" s="53">
        <f>IF(P493="","",IF(AND(AD493&lt;&gt;"",COUNTIFS(tcTipo,AD493,tcLiq,"Sí")&gt;0),IF(OR(P493="Gasto",P493="Transferencia",P493="Pago tarjeta"),-1,1)*S493,0)+IF(AND(AE493&lt;&gt;"",COUNTIFS(tcTipo,AE493,tcLiq,"Sí")&gt;0),S493,0))</f>
        <v/>
      </c>
      <c r="AI493" s="52">
        <f>IF(OR(L493="",P493=""),"",IF(COUNTIFS(L$6:L493,L493,P$6:P493,"?*")=1,MAX(AI$5:AI492)+1,""))</f>
        <v/>
      </c>
    </row>
    <row r="494">
      <c r="B494" s="47" t="n"/>
      <c r="C494" s="48" t="n"/>
      <c r="D494" s="48" t="n"/>
      <c r="E494" s="48" t="n"/>
      <c r="F494" s="48" t="n"/>
      <c r="G494" s="49" t="n"/>
      <c r="H494" s="48" t="n"/>
      <c r="I494" s="50" t="n"/>
      <c r="J494" s="48" t="n"/>
      <c r="K494" s="48" t="n"/>
      <c r="L494" s="48" t="n"/>
      <c r="M494" s="48" t="n"/>
      <c r="N494" s="48" t="n"/>
      <c r="O494" s="51">
        <f>IF(AND(B494="",G494="",C494="",D494="",J494=""),"",IF(B494="","⚠ Falta fecha",IF(G494="","⚠ Falta monto",IF(Q494="","⚠ Falta cuenta",IF(ISNA(MATCH(Q494,ctaNombre,0)),"⚠ Cuenta no registrada",IF(AND(OR(P494="Gasto",P494="Reembolso"),D494=""),"⚠ Falta categoría",IF(AND(D494&lt;&gt;"",E494&lt;&gt;"",ISNA(MATCH(D494&amp;"|"&amp;E494,catClave,0))),"⚠ Subcategoría no corresponde",IF(AND(OR(P494="Transferencia",P494="Pago tarjeta"),K494=""),"⚠ Falta cuenta destino",IF(AND(K494&lt;&gt;"",P494&lt;&gt;"Transferencia",P494&lt;&gt;"Pago tarjeta"),"⚠ Destino solo aplica a transferencias",IF(AND(K494&lt;&gt;"",K494=Q494),"⚠ Origen igual a destino",IF(AND(K494&lt;&gt;"",ISNA(MATCH(K494,ctaNombre,0))),"⚠ Destino no registrado",IF(AND(P494="Pago tarjeta",AE494&lt;&gt;"Tarjeta de crédito"),"⚠ El destino debe ser tarjeta de crédito",IF(AND(P494="Gasto",E494="Depósitos y retiros"),"⚠ Usa tipo Transferencia",IF(AND(P494="Resultado trading",AD494&lt;&gt;"Cuenta de trading"),"⚠ Usa una cuenta de trading",IF(AND(G494&lt;=0,P494&lt;&gt;"Ajuste",P494&lt;&gt;"Resultado trading"),"⚠ El monto debe ser positivo","✓")))))))))))))))</f>
        <v/>
      </c>
      <c r="P494" s="52">
        <f>IF(OR(B494="",G494=""),"",IF(C494="","Gasto",C494))</f>
        <v/>
      </c>
      <c r="Q494" s="52">
        <f>IF(P494="","",IF(J494&lt;&gt;"",J494,CuentaPred&amp;""))</f>
        <v/>
      </c>
      <c r="R494" s="52">
        <f>IF(P494="","",IF(ISNUMBER(I494),I494,TasaUSD))</f>
        <v/>
      </c>
      <c r="S494" s="53">
        <f>IF(P494="","",IF(H494="USD",G494*R494,G494))</f>
        <v/>
      </c>
      <c r="T494" s="53">
        <f>IF(P494="","",IF(H494="USD",G494,IF(R494&gt;0,G494/R494,0)))</f>
        <v/>
      </c>
      <c r="U494" s="53">
        <f>IF(P494="","",IF(P494="Gasto",S494,IF(P494="Reembolso",-S494,0)))</f>
        <v/>
      </c>
      <c r="V494" s="53">
        <f>IF(P494="","",IF(P494="Ingreso",S494,0))</f>
        <v/>
      </c>
      <c r="W494" s="53">
        <f>IF(P494="","",IF(P494="Resultado trading",S494,0))</f>
        <v/>
      </c>
      <c r="X494" s="52">
        <f>IF(OR(P494="Gasto",P494="Reembolso"),IF(M494&lt;&gt;"",M494,IFERROR(INDEX(catClasif,MATCH(D494&amp;"|"&amp;E494,catClave,0))&amp;"","Variable")),"")</f>
        <v/>
      </c>
      <c r="Y494" s="52">
        <f>IF(P494="","",IFERROR(INDEX(catGrupo,MATCH(D494&amp;"|"&amp;E494,catClave,0))&amp;"",""))</f>
        <v/>
      </c>
      <c r="Z494" s="52">
        <f>IF(P494="","",WEEKDAY(B494,2))</f>
        <v/>
      </c>
      <c r="AA494" s="52">
        <f>IF(P494="","",IF(AND(P494="Gasto",X494="Variable",D494&lt;&gt;catTrading,S494&gt;0,S494&lt;=Umbral),1,0))</f>
        <v/>
      </c>
      <c r="AB494" s="52">
        <f>IF(OR(P494="",Q494=""),"",IFERROR(IF(INDEX(ctaVinc,MATCH(Q494,ctaNombre,0))&amp;""&lt;&gt;"",INDEX(ctaVinc,MATCH(Q494,ctaNombre,0))&amp;"",Q494),Q494))</f>
        <v/>
      </c>
      <c r="AC494" s="52">
        <f>IF(OR(K494="",AND(P494&lt;&gt;"Transferencia",P494&lt;&gt;"Pago tarjeta")),"",IFERROR(IF(INDEX(ctaVinc,MATCH(K494,ctaNombre,0))&amp;""&lt;&gt;"",INDEX(ctaVinc,MATCH(K494,ctaNombre,0))&amp;"",K494),K494))</f>
        <v/>
      </c>
      <c r="AD494" s="52">
        <f>IF(AB494="","",IFERROR(INDEX(ctaTipo,MATCH(AB494,ctaNombre,0))&amp;"",""))</f>
        <v/>
      </c>
      <c r="AE494" s="52">
        <f>IF(AC494="","",IFERROR(INDEX(ctaTipo,MATCH(AC494,ctaNombre,0))&amp;"",""))</f>
        <v/>
      </c>
      <c r="AF494" s="53">
        <f>IF(OR(P494="",AB494=""),"",IF(OR(P494="Gasto",P494="Transferencia",P494="Pago tarjeta"),-1,1)*IF(IFERROR(INDEX(ctaMoneda,MATCH(AB494,ctaNombre,0))&amp;"","DOP")="USD",T494,S494))</f>
        <v/>
      </c>
      <c r="AG494" s="53">
        <f>IF(AC494="","",IF(IFERROR(INDEX(ctaMoneda,MATCH(AC494,ctaNombre,0))&amp;"","DOP")="USD",T494,S494))</f>
        <v/>
      </c>
      <c r="AH494" s="53">
        <f>IF(P494="","",IF(AND(AD494&lt;&gt;"",COUNTIFS(tcTipo,AD494,tcLiq,"Sí")&gt;0),IF(OR(P494="Gasto",P494="Transferencia",P494="Pago tarjeta"),-1,1)*S494,0)+IF(AND(AE494&lt;&gt;"",COUNTIFS(tcTipo,AE494,tcLiq,"Sí")&gt;0),S494,0))</f>
        <v/>
      </c>
      <c r="AI494" s="52">
        <f>IF(OR(L494="",P494=""),"",IF(COUNTIFS(L$6:L494,L494,P$6:P494,"?*")=1,MAX(AI$5:AI493)+1,""))</f>
        <v/>
      </c>
    </row>
    <row r="495">
      <c r="B495" s="47" t="n"/>
      <c r="C495" s="48" t="n"/>
      <c r="D495" s="48" t="n"/>
      <c r="E495" s="48" t="n"/>
      <c r="F495" s="48" t="n"/>
      <c r="G495" s="49" t="n"/>
      <c r="H495" s="48" t="n"/>
      <c r="I495" s="50" t="n"/>
      <c r="J495" s="48" t="n"/>
      <c r="K495" s="48" t="n"/>
      <c r="L495" s="48" t="n"/>
      <c r="M495" s="48" t="n"/>
      <c r="N495" s="48" t="n"/>
      <c r="O495" s="51">
        <f>IF(AND(B495="",G495="",C495="",D495="",J495=""),"",IF(B495="","⚠ Falta fecha",IF(G495="","⚠ Falta monto",IF(Q495="","⚠ Falta cuenta",IF(ISNA(MATCH(Q495,ctaNombre,0)),"⚠ Cuenta no registrada",IF(AND(OR(P495="Gasto",P495="Reembolso"),D495=""),"⚠ Falta categoría",IF(AND(D495&lt;&gt;"",E495&lt;&gt;"",ISNA(MATCH(D495&amp;"|"&amp;E495,catClave,0))),"⚠ Subcategoría no corresponde",IF(AND(OR(P495="Transferencia",P495="Pago tarjeta"),K495=""),"⚠ Falta cuenta destino",IF(AND(K495&lt;&gt;"",P495&lt;&gt;"Transferencia",P495&lt;&gt;"Pago tarjeta"),"⚠ Destino solo aplica a transferencias",IF(AND(K495&lt;&gt;"",K495=Q495),"⚠ Origen igual a destino",IF(AND(K495&lt;&gt;"",ISNA(MATCH(K495,ctaNombre,0))),"⚠ Destino no registrado",IF(AND(P495="Pago tarjeta",AE495&lt;&gt;"Tarjeta de crédito"),"⚠ El destino debe ser tarjeta de crédito",IF(AND(P495="Gasto",E495="Depósitos y retiros"),"⚠ Usa tipo Transferencia",IF(AND(P495="Resultado trading",AD495&lt;&gt;"Cuenta de trading"),"⚠ Usa una cuenta de trading",IF(AND(G495&lt;=0,P495&lt;&gt;"Ajuste",P495&lt;&gt;"Resultado trading"),"⚠ El monto debe ser positivo","✓")))))))))))))))</f>
        <v/>
      </c>
      <c r="P495" s="52">
        <f>IF(OR(B495="",G495=""),"",IF(C495="","Gasto",C495))</f>
        <v/>
      </c>
      <c r="Q495" s="52">
        <f>IF(P495="","",IF(J495&lt;&gt;"",J495,CuentaPred&amp;""))</f>
        <v/>
      </c>
      <c r="R495" s="52">
        <f>IF(P495="","",IF(ISNUMBER(I495),I495,TasaUSD))</f>
        <v/>
      </c>
      <c r="S495" s="53">
        <f>IF(P495="","",IF(H495="USD",G495*R495,G495))</f>
        <v/>
      </c>
      <c r="T495" s="53">
        <f>IF(P495="","",IF(H495="USD",G495,IF(R495&gt;0,G495/R495,0)))</f>
        <v/>
      </c>
      <c r="U495" s="53">
        <f>IF(P495="","",IF(P495="Gasto",S495,IF(P495="Reembolso",-S495,0)))</f>
        <v/>
      </c>
      <c r="V495" s="53">
        <f>IF(P495="","",IF(P495="Ingreso",S495,0))</f>
        <v/>
      </c>
      <c r="W495" s="53">
        <f>IF(P495="","",IF(P495="Resultado trading",S495,0))</f>
        <v/>
      </c>
      <c r="X495" s="52">
        <f>IF(OR(P495="Gasto",P495="Reembolso"),IF(M495&lt;&gt;"",M495,IFERROR(INDEX(catClasif,MATCH(D495&amp;"|"&amp;E495,catClave,0))&amp;"","Variable")),"")</f>
        <v/>
      </c>
      <c r="Y495" s="52">
        <f>IF(P495="","",IFERROR(INDEX(catGrupo,MATCH(D495&amp;"|"&amp;E495,catClave,0))&amp;"",""))</f>
        <v/>
      </c>
      <c r="Z495" s="52">
        <f>IF(P495="","",WEEKDAY(B495,2))</f>
        <v/>
      </c>
      <c r="AA495" s="52">
        <f>IF(P495="","",IF(AND(P495="Gasto",X495="Variable",D495&lt;&gt;catTrading,S495&gt;0,S495&lt;=Umbral),1,0))</f>
        <v/>
      </c>
      <c r="AB495" s="52">
        <f>IF(OR(P495="",Q495=""),"",IFERROR(IF(INDEX(ctaVinc,MATCH(Q495,ctaNombre,0))&amp;""&lt;&gt;"",INDEX(ctaVinc,MATCH(Q495,ctaNombre,0))&amp;"",Q495),Q495))</f>
        <v/>
      </c>
      <c r="AC495" s="52">
        <f>IF(OR(K495="",AND(P495&lt;&gt;"Transferencia",P495&lt;&gt;"Pago tarjeta")),"",IFERROR(IF(INDEX(ctaVinc,MATCH(K495,ctaNombre,0))&amp;""&lt;&gt;"",INDEX(ctaVinc,MATCH(K495,ctaNombre,0))&amp;"",K495),K495))</f>
        <v/>
      </c>
      <c r="AD495" s="52">
        <f>IF(AB495="","",IFERROR(INDEX(ctaTipo,MATCH(AB495,ctaNombre,0))&amp;"",""))</f>
        <v/>
      </c>
      <c r="AE495" s="52">
        <f>IF(AC495="","",IFERROR(INDEX(ctaTipo,MATCH(AC495,ctaNombre,0))&amp;"",""))</f>
        <v/>
      </c>
      <c r="AF495" s="53">
        <f>IF(OR(P495="",AB495=""),"",IF(OR(P495="Gasto",P495="Transferencia",P495="Pago tarjeta"),-1,1)*IF(IFERROR(INDEX(ctaMoneda,MATCH(AB495,ctaNombre,0))&amp;"","DOP")="USD",T495,S495))</f>
        <v/>
      </c>
      <c r="AG495" s="53">
        <f>IF(AC495="","",IF(IFERROR(INDEX(ctaMoneda,MATCH(AC495,ctaNombre,0))&amp;"","DOP")="USD",T495,S495))</f>
        <v/>
      </c>
      <c r="AH495" s="53">
        <f>IF(P495="","",IF(AND(AD495&lt;&gt;"",COUNTIFS(tcTipo,AD495,tcLiq,"Sí")&gt;0),IF(OR(P495="Gasto",P495="Transferencia",P495="Pago tarjeta"),-1,1)*S495,0)+IF(AND(AE495&lt;&gt;"",COUNTIFS(tcTipo,AE495,tcLiq,"Sí")&gt;0),S495,0))</f>
        <v/>
      </c>
      <c r="AI495" s="52">
        <f>IF(OR(L495="",P495=""),"",IF(COUNTIFS(L$6:L495,L495,P$6:P495,"?*")=1,MAX(AI$5:AI494)+1,""))</f>
        <v/>
      </c>
    </row>
    <row r="496">
      <c r="B496" s="47" t="n"/>
      <c r="C496" s="48" t="n"/>
      <c r="D496" s="48" t="n"/>
      <c r="E496" s="48" t="n"/>
      <c r="F496" s="48" t="n"/>
      <c r="G496" s="49" t="n"/>
      <c r="H496" s="48" t="n"/>
      <c r="I496" s="50" t="n"/>
      <c r="J496" s="48" t="n"/>
      <c r="K496" s="48" t="n"/>
      <c r="L496" s="48" t="n"/>
      <c r="M496" s="48" t="n"/>
      <c r="N496" s="48" t="n"/>
      <c r="O496" s="51">
        <f>IF(AND(B496="",G496="",C496="",D496="",J496=""),"",IF(B496="","⚠ Falta fecha",IF(G496="","⚠ Falta monto",IF(Q496="","⚠ Falta cuenta",IF(ISNA(MATCH(Q496,ctaNombre,0)),"⚠ Cuenta no registrada",IF(AND(OR(P496="Gasto",P496="Reembolso"),D496=""),"⚠ Falta categoría",IF(AND(D496&lt;&gt;"",E496&lt;&gt;"",ISNA(MATCH(D496&amp;"|"&amp;E496,catClave,0))),"⚠ Subcategoría no corresponde",IF(AND(OR(P496="Transferencia",P496="Pago tarjeta"),K496=""),"⚠ Falta cuenta destino",IF(AND(K496&lt;&gt;"",P496&lt;&gt;"Transferencia",P496&lt;&gt;"Pago tarjeta"),"⚠ Destino solo aplica a transferencias",IF(AND(K496&lt;&gt;"",K496=Q496),"⚠ Origen igual a destino",IF(AND(K496&lt;&gt;"",ISNA(MATCH(K496,ctaNombre,0))),"⚠ Destino no registrado",IF(AND(P496="Pago tarjeta",AE496&lt;&gt;"Tarjeta de crédito"),"⚠ El destino debe ser tarjeta de crédito",IF(AND(P496="Gasto",E496="Depósitos y retiros"),"⚠ Usa tipo Transferencia",IF(AND(P496="Resultado trading",AD496&lt;&gt;"Cuenta de trading"),"⚠ Usa una cuenta de trading",IF(AND(G496&lt;=0,P496&lt;&gt;"Ajuste",P496&lt;&gt;"Resultado trading"),"⚠ El monto debe ser positivo","✓")))))))))))))))</f>
        <v/>
      </c>
      <c r="P496" s="52">
        <f>IF(OR(B496="",G496=""),"",IF(C496="","Gasto",C496))</f>
        <v/>
      </c>
      <c r="Q496" s="52">
        <f>IF(P496="","",IF(J496&lt;&gt;"",J496,CuentaPred&amp;""))</f>
        <v/>
      </c>
      <c r="R496" s="52">
        <f>IF(P496="","",IF(ISNUMBER(I496),I496,TasaUSD))</f>
        <v/>
      </c>
      <c r="S496" s="53">
        <f>IF(P496="","",IF(H496="USD",G496*R496,G496))</f>
        <v/>
      </c>
      <c r="T496" s="53">
        <f>IF(P496="","",IF(H496="USD",G496,IF(R496&gt;0,G496/R496,0)))</f>
        <v/>
      </c>
      <c r="U496" s="53">
        <f>IF(P496="","",IF(P496="Gasto",S496,IF(P496="Reembolso",-S496,0)))</f>
        <v/>
      </c>
      <c r="V496" s="53">
        <f>IF(P496="","",IF(P496="Ingreso",S496,0))</f>
        <v/>
      </c>
      <c r="W496" s="53">
        <f>IF(P496="","",IF(P496="Resultado trading",S496,0))</f>
        <v/>
      </c>
      <c r="X496" s="52">
        <f>IF(OR(P496="Gasto",P496="Reembolso"),IF(M496&lt;&gt;"",M496,IFERROR(INDEX(catClasif,MATCH(D496&amp;"|"&amp;E496,catClave,0))&amp;"","Variable")),"")</f>
        <v/>
      </c>
      <c r="Y496" s="52">
        <f>IF(P496="","",IFERROR(INDEX(catGrupo,MATCH(D496&amp;"|"&amp;E496,catClave,0))&amp;"",""))</f>
        <v/>
      </c>
      <c r="Z496" s="52">
        <f>IF(P496="","",WEEKDAY(B496,2))</f>
        <v/>
      </c>
      <c r="AA496" s="52">
        <f>IF(P496="","",IF(AND(P496="Gasto",X496="Variable",D496&lt;&gt;catTrading,S496&gt;0,S496&lt;=Umbral),1,0))</f>
        <v/>
      </c>
      <c r="AB496" s="52">
        <f>IF(OR(P496="",Q496=""),"",IFERROR(IF(INDEX(ctaVinc,MATCH(Q496,ctaNombre,0))&amp;""&lt;&gt;"",INDEX(ctaVinc,MATCH(Q496,ctaNombre,0))&amp;"",Q496),Q496))</f>
        <v/>
      </c>
      <c r="AC496" s="52">
        <f>IF(OR(K496="",AND(P496&lt;&gt;"Transferencia",P496&lt;&gt;"Pago tarjeta")),"",IFERROR(IF(INDEX(ctaVinc,MATCH(K496,ctaNombre,0))&amp;""&lt;&gt;"",INDEX(ctaVinc,MATCH(K496,ctaNombre,0))&amp;"",K496),K496))</f>
        <v/>
      </c>
      <c r="AD496" s="52">
        <f>IF(AB496="","",IFERROR(INDEX(ctaTipo,MATCH(AB496,ctaNombre,0))&amp;"",""))</f>
        <v/>
      </c>
      <c r="AE496" s="52">
        <f>IF(AC496="","",IFERROR(INDEX(ctaTipo,MATCH(AC496,ctaNombre,0))&amp;"",""))</f>
        <v/>
      </c>
      <c r="AF496" s="53">
        <f>IF(OR(P496="",AB496=""),"",IF(OR(P496="Gasto",P496="Transferencia",P496="Pago tarjeta"),-1,1)*IF(IFERROR(INDEX(ctaMoneda,MATCH(AB496,ctaNombre,0))&amp;"","DOP")="USD",T496,S496))</f>
        <v/>
      </c>
      <c r="AG496" s="53">
        <f>IF(AC496="","",IF(IFERROR(INDEX(ctaMoneda,MATCH(AC496,ctaNombre,0))&amp;"","DOP")="USD",T496,S496))</f>
        <v/>
      </c>
      <c r="AH496" s="53">
        <f>IF(P496="","",IF(AND(AD496&lt;&gt;"",COUNTIFS(tcTipo,AD496,tcLiq,"Sí")&gt;0),IF(OR(P496="Gasto",P496="Transferencia",P496="Pago tarjeta"),-1,1)*S496,0)+IF(AND(AE496&lt;&gt;"",COUNTIFS(tcTipo,AE496,tcLiq,"Sí")&gt;0),S496,0))</f>
        <v/>
      </c>
      <c r="AI496" s="52">
        <f>IF(OR(L496="",P496=""),"",IF(COUNTIFS(L$6:L496,L496,P$6:P496,"?*")=1,MAX(AI$5:AI495)+1,""))</f>
        <v/>
      </c>
    </row>
    <row r="497">
      <c r="B497" s="47" t="n"/>
      <c r="C497" s="48" t="n"/>
      <c r="D497" s="48" t="n"/>
      <c r="E497" s="48" t="n"/>
      <c r="F497" s="48" t="n"/>
      <c r="G497" s="49" t="n"/>
      <c r="H497" s="48" t="n"/>
      <c r="I497" s="50" t="n"/>
      <c r="J497" s="48" t="n"/>
      <c r="K497" s="48" t="n"/>
      <c r="L497" s="48" t="n"/>
      <c r="M497" s="48" t="n"/>
      <c r="N497" s="48" t="n"/>
      <c r="O497" s="51">
        <f>IF(AND(B497="",G497="",C497="",D497="",J497=""),"",IF(B497="","⚠ Falta fecha",IF(G497="","⚠ Falta monto",IF(Q497="","⚠ Falta cuenta",IF(ISNA(MATCH(Q497,ctaNombre,0)),"⚠ Cuenta no registrada",IF(AND(OR(P497="Gasto",P497="Reembolso"),D497=""),"⚠ Falta categoría",IF(AND(D497&lt;&gt;"",E497&lt;&gt;"",ISNA(MATCH(D497&amp;"|"&amp;E497,catClave,0))),"⚠ Subcategoría no corresponde",IF(AND(OR(P497="Transferencia",P497="Pago tarjeta"),K497=""),"⚠ Falta cuenta destino",IF(AND(K497&lt;&gt;"",P497&lt;&gt;"Transferencia",P497&lt;&gt;"Pago tarjeta"),"⚠ Destino solo aplica a transferencias",IF(AND(K497&lt;&gt;"",K497=Q497),"⚠ Origen igual a destino",IF(AND(K497&lt;&gt;"",ISNA(MATCH(K497,ctaNombre,0))),"⚠ Destino no registrado",IF(AND(P497="Pago tarjeta",AE497&lt;&gt;"Tarjeta de crédito"),"⚠ El destino debe ser tarjeta de crédito",IF(AND(P497="Gasto",E497="Depósitos y retiros"),"⚠ Usa tipo Transferencia",IF(AND(P497="Resultado trading",AD497&lt;&gt;"Cuenta de trading"),"⚠ Usa una cuenta de trading",IF(AND(G497&lt;=0,P497&lt;&gt;"Ajuste",P497&lt;&gt;"Resultado trading"),"⚠ El monto debe ser positivo","✓")))))))))))))))</f>
        <v/>
      </c>
      <c r="P497" s="52">
        <f>IF(OR(B497="",G497=""),"",IF(C497="","Gasto",C497))</f>
        <v/>
      </c>
      <c r="Q497" s="52">
        <f>IF(P497="","",IF(J497&lt;&gt;"",J497,CuentaPred&amp;""))</f>
        <v/>
      </c>
      <c r="R497" s="52">
        <f>IF(P497="","",IF(ISNUMBER(I497),I497,TasaUSD))</f>
        <v/>
      </c>
      <c r="S497" s="53">
        <f>IF(P497="","",IF(H497="USD",G497*R497,G497))</f>
        <v/>
      </c>
      <c r="T497" s="53">
        <f>IF(P497="","",IF(H497="USD",G497,IF(R497&gt;0,G497/R497,0)))</f>
        <v/>
      </c>
      <c r="U497" s="53">
        <f>IF(P497="","",IF(P497="Gasto",S497,IF(P497="Reembolso",-S497,0)))</f>
        <v/>
      </c>
      <c r="V497" s="53">
        <f>IF(P497="","",IF(P497="Ingreso",S497,0))</f>
        <v/>
      </c>
      <c r="W497" s="53">
        <f>IF(P497="","",IF(P497="Resultado trading",S497,0))</f>
        <v/>
      </c>
      <c r="X497" s="52">
        <f>IF(OR(P497="Gasto",P497="Reembolso"),IF(M497&lt;&gt;"",M497,IFERROR(INDEX(catClasif,MATCH(D497&amp;"|"&amp;E497,catClave,0))&amp;"","Variable")),"")</f>
        <v/>
      </c>
      <c r="Y497" s="52">
        <f>IF(P497="","",IFERROR(INDEX(catGrupo,MATCH(D497&amp;"|"&amp;E497,catClave,0))&amp;"",""))</f>
        <v/>
      </c>
      <c r="Z497" s="52">
        <f>IF(P497="","",WEEKDAY(B497,2))</f>
        <v/>
      </c>
      <c r="AA497" s="52">
        <f>IF(P497="","",IF(AND(P497="Gasto",X497="Variable",D497&lt;&gt;catTrading,S497&gt;0,S497&lt;=Umbral),1,0))</f>
        <v/>
      </c>
      <c r="AB497" s="52">
        <f>IF(OR(P497="",Q497=""),"",IFERROR(IF(INDEX(ctaVinc,MATCH(Q497,ctaNombre,0))&amp;""&lt;&gt;"",INDEX(ctaVinc,MATCH(Q497,ctaNombre,0))&amp;"",Q497),Q497))</f>
        <v/>
      </c>
      <c r="AC497" s="52">
        <f>IF(OR(K497="",AND(P497&lt;&gt;"Transferencia",P497&lt;&gt;"Pago tarjeta")),"",IFERROR(IF(INDEX(ctaVinc,MATCH(K497,ctaNombre,0))&amp;""&lt;&gt;"",INDEX(ctaVinc,MATCH(K497,ctaNombre,0))&amp;"",K497),K497))</f>
        <v/>
      </c>
      <c r="AD497" s="52">
        <f>IF(AB497="","",IFERROR(INDEX(ctaTipo,MATCH(AB497,ctaNombre,0))&amp;"",""))</f>
        <v/>
      </c>
      <c r="AE497" s="52">
        <f>IF(AC497="","",IFERROR(INDEX(ctaTipo,MATCH(AC497,ctaNombre,0))&amp;"",""))</f>
        <v/>
      </c>
      <c r="AF497" s="53">
        <f>IF(OR(P497="",AB497=""),"",IF(OR(P497="Gasto",P497="Transferencia",P497="Pago tarjeta"),-1,1)*IF(IFERROR(INDEX(ctaMoneda,MATCH(AB497,ctaNombre,0))&amp;"","DOP")="USD",T497,S497))</f>
        <v/>
      </c>
      <c r="AG497" s="53">
        <f>IF(AC497="","",IF(IFERROR(INDEX(ctaMoneda,MATCH(AC497,ctaNombre,0))&amp;"","DOP")="USD",T497,S497))</f>
        <v/>
      </c>
      <c r="AH497" s="53">
        <f>IF(P497="","",IF(AND(AD497&lt;&gt;"",COUNTIFS(tcTipo,AD497,tcLiq,"Sí")&gt;0),IF(OR(P497="Gasto",P497="Transferencia",P497="Pago tarjeta"),-1,1)*S497,0)+IF(AND(AE497&lt;&gt;"",COUNTIFS(tcTipo,AE497,tcLiq,"Sí")&gt;0),S497,0))</f>
        <v/>
      </c>
      <c r="AI497" s="52">
        <f>IF(OR(L497="",P497=""),"",IF(COUNTIFS(L$6:L497,L497,P$6:P497,"?*")=1,MAX(AI$5:AI496)+1,""))</f>
        <v/>
      </c>
    </row>
    <row r="498">
      <c r="B498" s="47" t="n"/>
      <c r="C498" s="48" t="n"/>
      <c r="D498" s="48" t="n"/>
      <c r="E498" s="48" t="n"/>
      <c r="F498" s="48" t="n"/>
      <c r="G498" s="49" t="n"/>
      <c r="H498" s="48" t="n"/>
      <c r="I498" s="50" t="n"/>
      <c r="J498" s="48" t="n"/>
      <c r="K498" s="48" t="n"/>
      <c r="L498" s="48" t="n"/>
      <c r="M498" s="48" t="n"/>
      <c r="N498" s="48" t="n"/>
      <c r="O498" s="51">
        <f>IF(AND(B498="",G498="",C498="",D498="",J498=""),"",IF(B498="","⚠ Falta fecha",IF(G498="","⚠ Falta monto",IF(Q498="","⚠ Falta cuenta",IF(ISNA(MATCH(Q498,ctaNombre,0)),"⚠ Cuenta no registrada",IF(AND(OR(P498="Gasto",P498="Reembolso"),D498=""),"⚠ Falta categoría",IF(AND(D498&lt;&gt;"",E498&lt;&gt;"",ISNA(MATCH(D498&amp;"|"&amp;E498,catClave,0))),"⚠ Subcategoría no corresponde",IF(AND(OR(P498="Transferencia",P498="Pago tarjeta"),K498=""),"⚠ Falta cuenta destino",IF(AND(K498&lt;&gt;"",P498&lt;&gt;"Transferencia",P498&lt;&gt;"Pago tarjeta"),"⚠ Destino solo aplica a transferencias",IF(AND(K498&lt;&gt;"",K498=Q498),"⚠ Origen igual a destino",IF(AND(K498&lt;&gt;"",ISNA(MATCH(K498,ctaNombre,0))),"⚠ Destino no registrado",IF(AND(P498="Pago tarjeta",AE498&lt;&gt;"Tarjeta de crédito"),"⚠ El destino debe ser tarjeta de crédito",IF(AND(P498="Gasto",E498="Depósitos y retiros"),"⚠ Usa tipo Transferencia",IF(AND(P498="Resultado trading",AD498&lt;&gt;"Cuenta de trading"),"⚠ Usa una cuenta de trading",IF(AND(G498&lt;=0,P498&lt;&gt;"Ajuste",P498&lt;&gt;"Resultado trading"),"⚠ El monto debe ser positivo","✓")))))))))))))))</f>
        <v/>
      </c>
      <c r="P498" s="52">
        <f>IF(OR(B498="",G498=""),"",IF(C498="","Gasto",C498))</f>
        <v/>
      </c>
      <c r="Q498" s="52">
        <f>IF(P498="","",IF(J498&lt;&gt;"",J498,CuentaPred&amp;""))</f>
        <v/>
      </c>
      <c r="R498" s="52">
        <f>IF(P498="","",IF(ISNUMBER(I498),I498,TasaUSD))</f>
        <v/>
      </c>
      <c r="S498" s="53">
        <f>IF(P498="","",IF(H498="USD",G498*R498,G498))</f>
        <v/>
      </c>
      <c r="T498" s="53">
        <f>IF(P498="","",IF(H498="USD",G498,IF(R498&gt;0,G498/R498,0)))</f>
        <v/>
      </c>
      <c r="U498" s="53">
        <f>IF(P498="","",IF(P498="Gasto",S498,IF(P498="Reembolso",-S498,0)))</f>
        <v/>
      </c>
      <c r="V498" s="53">
        <f>IF(P498="","",IF(P498="Ingreso",S498,0))</f>
        <v/>
      </c>
      <c r="W498" s="53">
        <f>IF(P498="","",IF(P498="Resultado trading",S498,0))</f>
        <v/>
      </c>
      <c r="X498" s="52">
        <f>IF(OR(P498="Gasto",P498="Reembolso"),IF(M498&lt;&gt;"",M498,IFERROR(INDEX(catClasif,MATCH(D498&amp;"|"&amp;E498,catClave,0))&amp;"","Variable")),"")</f>
        <v/>
      </c>
      <c r="Y498" s="52">
        <f>IF(P498="","",IFERROR(INDEX(catGrupo,MATCH(D498&amp;"|"&amp;E498,catClave,0))&amp;"",""))</f>
        <v/>
      </c>
      <c r="Z498" s="52">
        <f>IF(P498="","",WEEKDAY(B498,2))</f>
        <v/>
      </c>
      <c r="AA498" s="52">
        <f>IF(P498="","",IF(AND(P498="Gasto",X498="Variable",D498&lt;&gt;catTrading,S498&gt;0,S498&lt;=Umbral),1,0))</f>
        <v/>
      </c>
      <c r="AB498" s="52">
        <f>IF(OR(P498="",Q498=""),"",IFERROR(IF(INDEX(ctaVinc,MATCH(Q498,ctaNombre,0))&amp;""&lt;&gt;"",INDEX(ctaVinc,MATCH(Q498,ctaNombre,0))&amp;"",Q498),Q498))</f>
        <v/>
      </c>
      <c r="AC498" s="52">
        <f>IF(OR(K498="",AND(P498&lt;&gt;"Transferencia",P498&lt;&gt;"Pago tarjeta")),"",IFERROR(IF(INDEX(ctaVinc,MATCH(K498,ctaNombre,0))&amp;""&lt;&gt;"",INDEX(ctaVinc,MATCH(K498,ctaNombre,0))&amp;"",K498),K498))</f>
        <v/>
      </c>
      <c r="AD498" s="52">
        <f>IF(AB498="","",IFERROR(INDEX(ctaTipo,MATCH(AB498,ctaNombre,0))&amp;"",""))</f>
        <v/>
      </c>
      <c r="AE498" s="52">
        <f>IF(AC498="","",IFERROR(INDEX(ctaTipo,MATCH(AC498,ctaNombre,0))&amp;"",""))</f>
        <v/>
      </c>
      <c r="AF498" s="53">
        <f>IF(OR(P498="",AB498=""),"",IF(OR(P498="Gasto",P498="Transferencia",P498="Pago tarjeta"),-1,1)*IF(IFERROR(INDEX(ctaMoneda,MATCH(AB498,ctaNombre,0))&amp;"","DOP")="USD",T498,S498))</f>
        <v/>
      </c>
      <c r="AG498" s="53">
        <f>IF(AC498="","",IF(IFERROR(INDEX(ctaMoneda,MATCH(AC498,ctaNombre,0))&amp;"","DOP")="USD",T498,S498))</f>
        <v/>
      </c>
      <c r="AH498" s="53">
        <f>IF(P498="","",IF(AND(AD498&lt;&gt;"",COUNTIFS(tcTipo,AD498,tcLiq,"Sí")&gt;0),IF(OR(P498="Gasto",P498="Transferencia",P498="Pago tarjeta"),-1,1)*S498,0)+IF(AND(AE498&lt;&gt;"",COUNTIFS(tcTipo,AE498,tcLiq,"Sí")&gt;0),S498,0))</f>
        <v/>
      </c>
      <c r="AI498" s="52">
        <f>IF(OR(L498="",P498=""),"",IF(COUNTIFS(L$6:L498,L498,P$6:P498,"?*")=1,MAX(AI$5:AI497)+1,""))</f>
        <v/>
      </c>
    </row>
    <row r="499">
      <c r="B499" s="47" t="n"/>
      <c r="C499" s="48" t="n"/>
      <c r="D499" s="48" t="n"/>
      <c r="E499" s="48" t="n"/>
      <c r="F499" s="48" t="n"/>
      <c r="G499" s="49" t="n"/>
      <c r="H499" s="48" t="n"/>
      <c r="I499" s="50" t="n"/>
      <c r="J499" s="48" t="n"/>
      <c r="K499" s="48" t="n"/>
      <c r="L499" s="48" t="n"/>
      <c r="M499" s="48" t="n"/>
      <c r="N499" s="48" t="n"/>
      <c r="O499" s="51">
        <f>IF(AND(B499="",G499="",C499="",D499="",J499=""),"",IF(B499="","⚠ Falta fecha",IF(G499="","⚠ Falta monto",IF(Q499="","⚠ Falta cuenta",IF(ISNA(MATCH(Q499,ctaNombre,0)),"⚠ Cuenta no registrada",IF(AND(OR(P499="Gasto",P499="Reembolso"),D499=""),"⚠ Falta categoría",IF(AND(D499&lt;&gt;"",E499&lt;&gt;"",ISNA(MATCH(D499&amp;"|"&amp;E499,catClave,0))),"⚠ Subcategoría no corresponde",IF(AND(OR(P499="Transferencia",P499="Pago tarjeta"),K499=""),"⚠ Falta cuenta destino",IF(AND(K499&lt;&gt;"",P499&lt;&gt;"Transferencia",P499&lt;&gt;"Pago tarjeta"),"⚠ Destino solo aplica a transferencias",IF(AND(K499&lt;&gt;"",K499=Q499),"⚠ Origen igual a destino",IF(AND(K499&lt;&gt;"",ISNA(MATCH(K499,ctaNombre,0))),"⚠ Destino no registrado",IF(AND(P499="Pago tarjeta",AE499&lt;&gt;"Tarjeta de crédito"),"⚠ El destino debe ser tarjeta de crédito",IF(AND(P499="Gasto",E499="Depósitos y retiros"),"⚠ Usa tipo Transferencia",IF(AND(P499="Resultado trading",AD499&lt;&gt;"Cuenta de trading"),"⚠ Usa una cuenta de trading",IF(AND(G499&lt;=0,P499&lt;&gt;"Ajuste",P499&lt;&gt;"Resultado trading"),"⚠ El monto debe ser positivo","✓")))))))))))))))</f>
        <v/>
      </c>
      <c r="P499" s="52">
        <f>IF(OR(B499="",G499=""),"",IF(C499="","Gasto",C499))</f>
        <v/>
      </c>
      <c r="Q499" s="52">
        <f>IF(P499="","",IF(J499&lt;&gt;"",J499,CuentaPred&amp;""))</f>
        <v/>
      </c>
      <c r="R499" s="52">
        <f>IF(P499="","",IF(ISNUMBER(I499),I499,TasaUSD))</f>
        <v/>
      </c>
      <c r="S499" s="53">
        <f>IF(P499="","",IF(H499="USD",G499*R499,G499))</f>
        <v/>
      </c>
      <c r="T499" s="53">
        <f>IF(P499="","",IF(H499="USD",G499,IF(R499&gt;0,G499/R499,0)))</f>
        <v/>
      </c>
      <c r="U499" s="53">
        <f>IF(P499="","",IF(P499="Gasto",S499,IF(P499="Reembolso",-S499,0)))</f>
        <v/>
      </c>
      <c r="V499" s="53">
        <f>IF(P499="","",IF(P499="Ingreso",S499,0))</f>
        <v/>
      </c>
      <c r="W499" s="53">
        <f>IF(P499="","",IF(P499="Resultado trading",S499,0))</f>
        <v/>
      </c>
      <c r="X499" s="52">
        <f>IF(OR(P499="Gasto",P499="Reembolso"),IF(M499&lt;&gt;"",M499,IFERROR(INDEX(catClasif,MATCH(D499&amp;"|"&amp;E499,catClave,0))&amp;"","Variable")),"")</f>
        <v/>
      </c>
      <c r="Y499" s="52">
        <f>IF(P499="","",IFERROR(INDEX(catGrupo,MATCH(D499&amp;"|"&amp;E499,catClave,0))&amp;"",""))</f>
        <v/>
      </c>
      <c r="Z499" s="52">
        <f>IF(P499="","",WEEKDAY(B499,2))</f>
        <v/>
      </c>
      <c r="AA499" s="52">
        <f>IF(P499="","",IF(AND(P499="Gasto",X499="Variable",D499&lt;&gt;catTrading,S499&gt;0,S499&lt;=Umbral),1,0))</f>
        <v/>
      </c>
      <c r="AB499" s="52">
        <f>IF(OR(P499="",Q499=""),"",IFERROR(IF(INDEX(ctaVinc,MATCH(Q499,ctaNombre,0))&amp;""&lt;&gt;"",INDEX(ctaVinc,MATCH(Q499,ctaNombre,0))&amp;"",Q499),Q499))</f>
        <v/>
      </c>
      <c r="AC499" s="52">
        <f>IF(OR(K499="",AND(P499&lt;&gt;"Transferencia",P499&lt;&gt;"Pago tarjeta")),"",IFERROR(IF(INDEX(ctaVinc,MATCH(K499,ctaNombre,0))&amp;""&lt;&gt;"",INDEX(ctaVinc,MATCH(K499,ctaNombre,0))&amp;"",K499),K499))</f>
        <v/>
      </c>
      <c r="AD499" s="52">
        <f>IF(AB499="","",IFERROR(INDEX(ctaTipo,MATCH(AB499,ctaNombre,0))&amp;"",""))</f>
        <v/>
      </c>
      <c r="AE499" s="52">
        <f>IF(AC499="","",IFERROR(INDEX(ctaTipo,MATCH(AC499,ctaNombre,0))&amp;"",""))</f>
        <v/>
      </c>
      <c r="AF499" s="53">
        <f>IF(OR(P499="",AB499=""),"",IF(OR(P499="Gasto",P499="Transferencia",P499="Pago tarjeta"),-1,1)*IF(IFERROR(INDEX(ctaMoneda,MATCH(AB499,ctaNombre,0))&amp;"","DOP")="USD",T499,S499))</f>
        <v/>
      </c>
      <c r="AG499" s="53">
        <f>IF(AC499="","",IF(IFERROR(INDEX(ctaMoneda,MATCH(AC499,ctaNombre,0))&amp;"","DOP")="USD",T499,S499))</f>
        <v/>
      </c>
      <c r="AH499" s="53">
        <f>IF(P499="","",IF(AND(AD499&lt;&gt;"",COUNTIFS(tcTipo,AD499,tcLiq,"Sí")&gt;0),IF(OR(P499="Gasto",P499="Transferencia",P499="Pago tarjeta"),-1,1)*S499,0)+IF(AND(AE499&lt;&gt;"",COUNTIFS(tcTipo,AE499,tcLiq,"Sí")&gt;0),S499,0))</f>
        <v/>
      </c>
      <c r="AI499" s="52">
        <f>IF(OR(L499="",P499=""),"",IF(COUNTIFS(L$6:L499,L499,P$6:P499,"?*")=1,MAX(AI$5:AI498)+1,""))</f>
        <v/>
      </c>
    </row>
    <row r="500">
      <c r="B500" s="47" t="n"/>
      <c r="C500" s="48" t="n"/>
      <c r="D500" s="48" t="n"/>
      <c r="E500" s="48" t="n"/>
      <c r="F500" s="48" t="n"/>
      <c r="G500" s="49" t="n"/>
      <c r="H500" s="48" t="n"/>
      <c r="I500" s="50" t="n"/>
      <c r="J500" s="48" t="n"/>
      <c r="K500" s="48" t="n"/>
      <c r="L500" s="48" t="n"/>
      <c r="M500" s="48" t="n"/>
      <c r="N500" s="48" t="n"/>
      <c r="O500" s="51">
        <f>IF(AND(B500="",G500="",C500="",D500="",J500=""),"",IF(B500="","⚠ Falta fecha",IF(G500="","⚠ Falta monto",IF(Q500="","⚠ Falta cuenta",IF(ISNA(MATCH(Q500,ctaNombre,0)),"⚠ Cuenta no registrada",IF(AND(OR(P500="Gasto",P500="Reembolso"),D500=""),"⚠ Falta categoría",IF(AND(D500&lt;&gt;"",E500&lt;&gt;"",ISNA(MATCH(D500&amp;"|"&amp;E500,catClave,0))),"⚠ Subcategoría no corresponde",IF(AND(OR(P500="Transferencia",P500="Pago tarjeta"),K500=""),"⚠ Falta cuenta destino",IF(AND(K500&lt;&gt;"",P500&lt;&gt;"Transferencia",P500&lt;&gt;"Pago tarjeta"),"⚠ Destino solo aplica a transferencias",IF(AND(K500&lt;&gt;"",K500=Q500),"⚠ Origen igual a destino",IF(AND(K500&lt;&gt;"",ISNA(MATCH(K500,ctaNombre,0))),"⚠ Destino no registrado",IF(AND(P500="Pago tarjeta",AE500&lt;&gt;"Tarjeta de crédito"),"⚠ El destino debe ser tarjeta de crédito",IF(AND(P500="Gasto",E500="Depósitos y retiros"),"⚠ Usa tipo Transferencia",IF(AND(P500="Resultado trading",AD500&lt;&gt;"Cuenta de trading"),"⚠ Usa una cuenta de trading",IF(AND(G500&lt;=0,P500&lt;&gt;"Ajuste",P500&lt;&gt;"Resultado trading"),"⚠ El monto debe ser positivo","✓")))))))))))))))</f>
        <v/>
      </c>
      <c r="P500" s="52">
        <f>IF(OR(B500="",G500=""),"",IF(C500="","Gasto",C500))</f>
        <v/>
      </c>
      <c r="Q500" s="52">
        <f>IF(P500="","",IF(J500&lt;&gt;"",J500,CuentaPred&amp;""))</f>
        <v/>
      </c>
      <c r="R500" s="52">
        <f>IF(P500="","",IF(ISNUMBER(I500),I500,TasaUSD))</f>
        <v/>
      </c>
      <c r="S500" s="53">
        <f>IF(P500="","",IF(H500="USD",G500*R500,G500))</f>
        <v/>
      </c>
      <c r="T500" s="53">
        <f>IF(P500="","",IF(H500="USD",G500,IF(R500&gt;0,G500/R500,0)))</f>
        <v/>
      </c>
      <c r="U500" s="53">
        <f>IF(P500="","",IF(P500="Gasto",S500,IF(P500="Reembolso",-S500,0)))</f>
        <v/>
      </c>
      <c r="V500" s="53">
        <f>IF(P500="","",IF(P500="Ingreso",S500,0))</f>
        <v/>
      </c>
      <c r="W500" s="53">
        <f>IF(P500="","",IF(P500="Resultado trading",S500,0))</f>
        <v/>
      </c>
      <c r="X500" s="52">
        <f>IF(OR(P500="Gasto",P500="Reembolso"),IF(M500&lt;&gt;"",M500,IFERROR(INDEX(catClasif,MATCH(D500&amp;"|"&amp;E500,catClave,0))&amp;"","Variable")),"")</f>
        <v/>
      </c>
      <c r="Y500" s="52">
        <f>IF(P500="","",IFERROR(INDEX(catGrupo,MATCH(D500&amp;"|"&amp;E500,catClave,0))&amp;"",""))</f>
        <v/>
      </c>
      <c r="Z500" s="52">
        <f>IF(P500="","",WEEKDAY(B500,2))</f>
        <v/>
      </c>
      <c r="AA500" s="52">
        <f>IF(P500="","",IF(AND(P500="Gasto",X500="Variable",D500&lt;&gt;catTrading,S500&gt;0,S500&lt;=Umbral),1,0))</f>
        <v/>
      </c>
      <c r="AB500" s="52">
        <f>IF(OR(P500="",Q500=""),"",IFERROR(IF(INDEX(ctaVinc,MATCH(Q500,ctaNombre,0))&amp;""&lt;&gt;"",INDEX(ctaVinc,MATCH(Q500,ctaNombre,0))&amp;"",Q500),Q500))</f>
        <v/>
      </c>
      <c r="AC500" s="52">
        <f>IF(OR(K500="",AND(P500&lt;&gt;"Transferencia",P500&lt;&gt;"Pago tarjeta")),"",IFERROR(IF(INDEX(ctaVinc,MATCH(K500,ctaNombre,0))&amp;""&lt;&gt;"",INDEX(ctaVinc,MATCH(K500,ctaNombre,0))&amp;"",K500),K500))</f>
        <v/>
      </c>
      <c r="AD500" s="52">
        <f>IF(AB500="","",IFERROR(INDEX(ctaTipo,MATCH(AB500,ctaNombre,0))&amp;"",""))</f>
        <v/>
      </c>
      <c r="AE500" s="52">
        <f>IF(AC500="","",IFERROR(INDEX(ctaTipo,MATCH(AC500,ctaNombre,0))&amp;"",""))</f>
        <v/>
      </c>
      <c r="AF500" s="53">
        <f>IF(OR(P500="",AB500=""),"",IF(OR(P500="Gasto",P500="Transferencia",P500="Pago tarjeta"),-1,1)*IF(IFERROR(INDEX(ctaMoneda,MATCH(AB500,ctaNombre,0))&amp;"","DOP")="USD",T500,S500))</f>
        <v/>
      </c>
      <c r="AG500" s="53">
        <f>IF(AC500="","",IF(IFERROR(INDEX(ctaMoneda,MATCH(AC500,ctaNombre,0))&amp;"","DOP")="USD",T500,S500))</f>
        <v/>
      </c>
      <c r="AH500" s="53">
        <f>IF(P500="","",IF(AND(AD500&lt;&gt;"",COUNTIFS(tcTipo,AD500,tcLiq,"Sí")&gt;0),IF(OR(P500="Gasto",P500="Transferencia",P500="Pago tarjeta"),-1,1)*S500,0)+IF(AND(AE500&lt;&gt;"",COUNTIFS(tcTipo,AE500,tcLiq,"Sí")&gt;0),S500,0))</f>
        <v/>
      </c>
      <c r="AI500" s="52">
        <f>IF(OR(L500="",P500=""),"",IF(COUNTIFS(L$6:L500,L500,P$6:P500,"?*")=1,MAX(AI$5:AI499)+1,""))</f>
        <v/>
      </c>
    </row>
    <row r="501">
      <c r="B501" s="47" t="n"/>
      <c r="C501" s="48" t="n"/>
      <c r="D501" s="48" t="n"/>
      <c r="E501" s="48" t="n"/>
      <c r="F501" s="48" t="n"/>
      <c r="G501" s="49" t="n"/>
      <c r="H501" s="48" t="n"/>
      <c r="I501" s="50" t="n"/>
      <c r="J501" s="48" t="n"/>
      <c r="K501" s="48" t="n"/>
      <c r="L501" s="48" t="n"/>
      <c r="M501" s="48" t="n"/>
      <c r="N501" s="48" t="n"/>
      <c r="O501" s="51">
        <f>IF(AND(B501="",G501="",C501="",D501="",J501=""),"",IF(B501="","⚠ Falta fecha",IF(G501="","⚠ Falta monto",IF(Q501="","⚠ Falta cuenta",IF(ISNA(MATCH(Q501,ctaNombre,0)),"⚠ Cuenta no registrada",IF(AND(OR(P501="Gasto",P501="Reembolso"),D501=""),"⚠ Falta categoría",IF(AND(D501&lt;&gt;"",E501&lt;&gt;"",ISNA(MATCH(D501&amp;"|"&amp;E501,catClave,0))),"⚠ Subcategoría no corresponde",IF(AND(OR(P501="Transferencia",P501="Pago tarjeta"),K501=""),"⚠ Falta cuenta destino",IF(AND(K501&lt;&gt;"",P501&lt;&gt;"Transferencia",P501&lt;&gt;"Pago tarjeta"),"⚠ Destino solo aplica a transferencias",IF(AND(K501&lt;&gt;"",K501=Q501),"⚠ Origen igual a destino",IF(AND(K501&lt;&gt;"",ISNA(MATCH(K501,ctaNombre,0))),"⚠ Destino no registrado",IF(AND(P501="Pago tarjeta",AE501&lt;&gt;"Tarjeta de crédito"),"⚠ El destino debe ser tarjeta de crédito",IF(AND(P501="Gasto",E501="Depósitos y retiros"),"⚠ Usa tipo Transferencia",IF(AND(P501="Resultado trading",AD501&lt;&gt;"Cuenta de trading"),"⚠ Usa una cuenta de trading",IF(AND(G501&lt;=0,P501&lt;&gt;"Ajuste",P501&lt;&gt;"Resultado trading"),"⚠ El monto debe ser positivo","✓")))))))))))))))</f>
        <v/>
      </c>
      <c r="P501" s="52">
        <f>IF(OR(B501="",G501=""),"",IF(C501="","Gasto",C501))</f>
        <v/>
      </c>
      <c r="Q501" s="52">
        <f>IF(P501="","",IF(J501&lt;&gt;"",J501,CuentaPred&amp;""))</f>
        <v/>
      </c>
      <c r="R501" s="52">
        <f>IF(P501="","",IF(ISNUMBER(I501),I501,TasaUSD))</f>
        <v/>
      </c>
      <c r="S501" s="53">
        <f>IF(P501="","",IF(H501="USD",G501*R501,G501))</f>
        <v/>
      </c>
      <c r="T501" s="53">
        <f>IF(P501="","",IF(H501="USD",G501,IF(R501&gt;0,G501/R501,0)))</f>
        <v/>
      </c>
      <c r="U501" s="53">
        <f>IF(P501="","",IF(P501="Gasto",S501,IF(P501="Reembolso",-S501,0)))</f>
        <v/>
      </c>
      <c r="V501" s="53">
        <f>IF(P501="","",IF(P501="Ingreso",S501,0))</f>
        <v/>
      </c>
      <c r="W501" s="53">
        <f>IF(P501="","",IF(P501="Resultado trading",S501,0))</f>
        <v/>
      </c>
      <c r="X501" s="52">
        <f>IF(OR(P501="Gasto",P501="Reembolso"),IF(M501&lt;&gt;"",M501,IFERROR(INDEX(catClasif,MATCH(D501&amp;"|"&amp;E501,catClave,0))&amp;"","Variable")),"")</f>
        <v/>
      </c>
      <c r="Y501" s="52">
        <f>IF(P501="","",IFERROR(INDEX(catGrupo,MATCH(D501&amp;"|"&amp;E501,catClave,0))&amp;"",""))</f>
        <v/>
      </c>
      <c r="Z501" s="52">
        <f>IF(P501="","",WEEKDAY(B501,2))</f>
        <v/>
      </c>
      <c r="AA501" s="52">
        <f>IF(P501="","",IF(AND(P501="Gasto",X501="Variable",D501&lt;&gt;catTrading,S501&gt;0,S501&lt;=Umbral),1,0))</f>
        <v/>
      </c>
      <c r="AB501" s="52">
        <f>IF(OR(P501="",Q501=""),"",IFERROR(IF(INDEX(ctaVinc,MATCH(Q501,ctaNombre,0))&amp;""&lt;&gt;"",INDEX(ctaVinc,MATCH(Q501,ctaNombre,0))&amp;"",Q501),Q501))</f>
        <v/>
      </c>
      <c r="AC501" s="52">
        <f>IF(OR(K501="",AND(P501&lt;&gt;"Transferencia",P501&lt;&gt;"Pago tarjeta")),"",IFERROR(IF(INDEX(ctaVinc,MATCH(K501,ctaNombre,0))&amp;""&lt;&gt;"",INDEX(ctaVinc,MATCH(K501,ctaNombre,0))&amp;"",K501),K501))</f>
        <v/>
      </c>
      <c r="AD501" s="52">
        <f>IF(AB501="","",IFERROR(INDEX(ctaTipo,MATCH(AB501,ctaNombre,0))&amp;"",""))</f>
        <v/>
      </c>
      <c r="AE501" s="52">
        <f>IF(AC501="","",IFERROR(INDEX(ctaTipo,MATCH(AC501,ctaNombre,0))&amp;"",""))</f>
        <v/>
      </c>
      <c r="AF501" s="53">
        <f>IF(OR(P501="",AB501=""),"",IF(OR(P501="Gasto",P501="Transferencia",P501="Pago tarjeta"),-1,1)*IF(IFERROR(INDEX(ctaMoneda,MATCH(AB501,ctaNombre,0))&amp;"","DOP")="USD",T501,S501))</f>
        <v/>
      </c>
      <c r="AG501" s="53">
        <f>IF(AC501="","",IF(IFERROR(INDEX(ctaMoneda,MATCH(AC501,ctaNombre,0))&amp;"","DOP")="USD",T501,S501))</f>
        <v/>
      </c>
      <c r="AH501" s="53">
        <f>IF(P501="","",IF(AND(AD501&lt;&gt;"",COUNTIFS(tcTipo,AD501,tcLiq,"Sí")&gt;0),IF(OR(P501="Gasto",P501="Transferencia",P501="Pago tarjeta"),-1,1)*S501,0)+IF(AND(AE501&lt;&gt;"",COUNTIFS(tcTipo,AE501,tcLiq,"Sí")&gt;0),S501,0))</f>
        <v/>
      </c>
      <c r="AI501" s="52">
        <f>IF(OR(L501="",P501=""),"",IF(COUNTIFS(L$6:L501,L501,P$6:P501,"?*")=1,MAX(AI$5:AI500)+1,""))</f>
        <v/>
      </c>
    </row>
    <row r="502">
      <c r="B502" s="47" t="n"/>
      <c r="C502" s="48" t="n"/>
      <c r="D502" s="48" t="n"/>
      <c r="E502" s="48" t="n"/>
      <c r="F502" s="48" t="n"/>
      <c r="G502" s="49" t="n"/>
      <c r="H502" s="48" t="n"/>
      <c r="I502" s="50" t="n"/>
      <c r="J502" s="48" t="n"/>
      <c r="K502" s="48" t="n"/>
      <c r="L502" s="48" t="n"/>
      <c r="M502" s="48" t="n"/>
      <c r="N502" s="48" t="n"/>
      <c r="O502" s="51">
        <f>IF(AND(B502="",G502="",C502="",D502="",J502=""),"",IF(B502="","⚠ Falta fecha",IF(G502="","⚠ Falta monto",IF(Q502="","⚠ Falta cuenta",IF(ISNA(MATCH(Q502,ctaNombre,0)),"⚠ Cuenta no registrada",IF(AND(OR(P502="Gasto",P502="Reembolso"),D502=""),"⚠ Falta categoría",IF(AND(D502&lt;&gt;"",E502&lt;&gt;"",ISNA(MATCH(D502&amp;"|"&amp;E502,catClave,0))),"⚠ Subcategoría no corresponde",IF(AND(OR(P502="Transferencia",P502="Pago tarjeta"),K502=""),"⚠ Falta cuenta destino",IF(AND(K502&lt;&gt;"",P502&lt;&gt;"Transferencia",P502&lt;&gt;"Pago tarjeta"),"⚠ Destino solo aplica a transferencias",IF(AND(K502&lt;&gt;"",K502=Q502),"⚠ Origen igual a destino",IF(AND(K502&lt;&gt;"",ISNA(MATCH(K502,ctaNombre,0))),"⚠ Destino no registrado",IF(AND(P502="Pago tarjeta",AE502&lt;&gt;"Tarjeta de crédito"),"⚠ El destino debe ser tarjeta de crédito",IF(AND(P502="Gasto",E502="Depósitos y retiros"),"⚠ Usa tipo Transferencia",IF(AND(P502="Resultado trading",AD502&lt;&gt;"Cuenta de trading"),"⚠ Usa una cuenta de trading",IF(AND(G502&lt;=0,P502&lt;&gt;"Ajuste",P502&lt;&gt;"Resultado trading"),"⚠ El monto debe ser positivo","✓")))))))))))))))</f>
        <v/>
      </c>
      <c r="P502" s="52">
        <f>IF(OR(B502="",G502=""),"",IF(C502="","Gasto",C502))</f>
        <v/>
      </c>
      <c r="Q502" s="52">
        <f>IF(P502="","",IF(J502&lt;&gt;"",J502,CuentaPred&amp;""))</f>
        <v/>
      </c>
      <c r="R502" s="52">
        <f>IF(P502="","",IF(ISNUMBER(I502),I502,TasaUSD))</f>
        <v/>
      </c>
      <c r="S502" s="53">
        <f>IF(P502="","",IF(H502="USD",G502*R502,G502))</f>
        <v/>
      </c>
      <c r="T502" s="53">
        <f>IF(P502="","",IF(H502="USD",G502,IF(R502&gt;0,G502/R502,0)))</f>
        <v/>
      </c>
      <c r="U502" s="53">
        <f>IF(P502="","",IF(P502="Gasto",S502,IF(P502="Reembolso",-S502,0)))</f>
        <v/>
      </c>
      <c r="V502" s="53">
        <f>IF(P502="","",IF(P502="Ingreso",S502,0))</f>
        <v/>
      </c>
      <c r="W502" s="53">
        <f>IF(P502="","",IF(P502="Resultado trading",S502,0))</f>
        <v/>
      </c>
      <c r="X502" s="52">
        <f>IF(OR(P502="Gasto",P502="Reembolso"),IF(M502&lt;&gt;"",M502,IFERROR(INDEX(catClasif,MATCH(D502&amp;"|"&amp;E502,catClave,0))&amp;"","Variable")),"")</f>
        <v/>
      </c>
      <c r="Y502" s="52">
        <f>IF(P502="","",IFERROR(INDEX(catGrupo,MATCH(D502&amp;"|"&amp;E502,catClave,0))&amp;"",""))</f>
        <v/>
      </c>
      <c r="Z502" s="52">
        <f>IF(P502="","",WEEKDAY(B502,2))</f>
        <v/>
      </c>
      <c r="AA502" s="52">
        <f>IF(P502="","",IF(AND(P502="Gasto",X502="Variable",D502&lt;&gt;catTrading,S502&gt;0,S502&lt;=Umbral),1,0))</f>
        <v/>
      </c>
      <c r="AB502" s="52">
        <f>IF(OR(P502="",Q502=""),"",IFERROR(IF(INDEX(ctaVinc,MATCH(Q502,ctaNombre,0))&amp;""&lt;&gt;"",INDEX(ctaVinc,MATCH(Q502,ctaNombre,0))&amp;"",Q502),Q502))</f>
        <v/>
      </c>
      <c r="AC502" s="52">
        <f>IF(OR(K502="",AND(P502&lt;&gt;"Transferencia",P502&lt;&gt;"Pago tarjeta")),"",IFERROR(IF(INDEX(ctaVinc,MATCH(K502,ctaNombre,0))&amp;""&lt;&gt;"",INDEX(ctaVinc,MATCH(K502,ctaNombre,0))&amp;"",K502),K502))</f>
        <v/>
      </c>
      <c r="AD502" s="52">
        <f>IF(AB502="","",IFERROR(INDEX(ctaTipo,MATCH(AB502,ctaNombre,0))&amp;"",""))</f>
        <v/>
      </c>
      <c r="AE502" s="52">
        <f>IF(AC502="","",IFERROR(INDEX(ctaTipo,MATCH(AC502,ctaNombre,0))&amp;"",""))</f>
        <v/>
      </c>
      <c r="AF502" s="53">
        <f>IF(OR(P502="",AB502=""),"",IF(OR(P502="Gasto",P502="Transferencia",P502="Pago tarjeta"),-1,1)*IF(IFERROR(INDEX(ctaMoneda,MATCH(AB502,ctaNombre,0))&amp;"","DOP")="USD",T502,S502))</f>
        <v/>
      </c>
      <c r="AG502" s="53">
        <f>IF(AC502="","",IF(IFERROR(INDEX(ctaMoneda,MATCH(AC502,ctaNombre,0))&amp;"","DOP")="USD",T502,S502))</f>
        <v/>
      </c>
      <c r="AH502" s="53">
        <f>IF(P502="","",IF(AND(AD502&lt;&gt;"",COUNTIFS(tcTipo,AD502,tcLiq,"Sí")&gt;0),IF(OR(P502="Gasto",P502="Transferencia",P502="Pago tarjeta"),-1,1)*S502,0)+IF(AND(AE502&lt;&gt;"",COUNTIFS(tcTipo,AE502,tcLiq,"Sí")&gt;0),S502,0))</f>
        <v/>
      </c>
      <c r="AI502" s="52">
        <f>IF(OR(L502="",P502=""),"",IF(COUNTIFS(L$6:L502,L502,P$6:P502,"?*")=1,MAX(AI$5:AI501)+1,""))</f>
        <v/>
      </c>
    </row>
    <row r="503">
      <c r="B503" s="47" t="n"/>
      <c r="C503" s="48" t="n"/>
      <c r="D503" s="48" t="n"/>
      <c r="E503" s="48" t="n"/>
      <c r="F503" s="48" t="n"/>
      <c r="G503" s="49" t="n"/>
      <c r="H503" s="48" t="n"/>
      <c r="I503" s="50" t="n"/>
      <c r="J503" s="48" t="n"/>
      <c r="K503" s="48" t="n"/>
      <c r="L503" s="48" t="n"/>
      <c r="M503" s="48" t="n"/>
      <c r="N503" s="48" t="n"/>
      <c r="O503" s="51">
        <f>IF(AND(B503="",G503="",C503="",D503="",J503=""),"",IF(B503="","⚠ Falta fecha",IF(G503="","⚠ Falta monto",IF(Q503="","⚠ Falta cuenta",IF(ISNA(MATCH(Q503,ctaNombre,0)),"⚠ Cuenta no registrada",IF(AND(OR(P503="Gasto",P503="Reembolso"),D503=""),"⚠ Falta categoría",IF(AND(D503&lt;&gt;"",E503&lt;&gt;"",ISNA(MATCH(D503&amp;"|"&amp;E503,catClave,0))),"⚠ Subcategoría no corresponde",IF(AND(OR(P503="Transferencia",P503="Pago tarjeta"),K503=""),"⚠ Falta cuenta destino",IF(AND(K503&lt;&gt;"",P503&lt;&gt;"Transferencia",P503&lt;&gt;"Pago tarjeta"),"⚠ Destino solo aplica a transferencias",IF(AND(K503&lt;&gt;"",K503=Q503),"⚠ Origen igual a destino",IF(AND(K503&lt;&gt;"",ISNA(MATCH(K503,ctaNombre,0))),"⚠ Destino no registrado",IF(AND(P503="Pago tarjeta",AE503&lt;&gt;"Tarjeta de crédito"),"⚠ El destino debe ser tarjeta de crédito",IF(AND(P503="Gasto",E503="Depósitos y retiros"),"⚠ Usa tipo Transferencia",IF(AND(P503="Resultado trading",AD503&lt;&gt;"Cuenta de trading"),"⚠ Usa una cuenta de trading",IF(AND(G503&lt;=0,P503&lt;&gt;"Ajuste",P503&lt;&gt;"Resultado trading"),"⚠ El monto debe ser positivo","✓")))))))))))))))</f>
        <v/>
      </c>
      <c r="P503" s="52">
        <f>IF(OR(B503="",G503=""),"",IF(C503="","Gasto",C503))</f>
        <v/>
      </c>
      <c r="Q503" s="52">
        <f>IF(P503="","",IF(J503&lt;&gt;"",J503,CuentaPred&amp;""))</f>
        <v/>
      </c>
      <c r="R503" s="52">
        <f>IF(P503="","",IF(ISNUMBER(I503),I503,TasaUSD))</f>
        <v/>
      </c>
      <c r="S503" s="53">
        <f>IF(P503="","",IF(H503="USD",G503*R503,G503))</f>
        <v/>
      </c>
      <c r="T503" s="53">
        <f>IF(P503="","",IF(H503="USD",G503,IF(R503&gt;0,G503/R503,0)))</f>
        <v/>
      </c>
      <c r="U503" s="53">
        <f>IF(P503="","",IF(P503="Gasto",S503,IF(P503="Reembolso",-S503,0)))</f>
        <v/>
      </c>
      <c r="V503" s="53">
        <f>IF(P503="","",IF(P503="Ingreso",S503,0))</f>
        <v/>
      </c>
      <c r="W503" s="53">
        <f>IF(P503="","",IF(P503="Resultado trading",S503,0))</f>
        <v/>
      </c>
      <c r="X503" s="52">
        <f>IF(OR(P503="Gasto",P503="Reembolso"),IF(M503&lt;&gt;"",M503,IFERROR(INDEX(catClasif,MATCH(D503&amp;"|"&amp;E503,catClave,0))&amp;"","Variable")),"")</f>
        <v/>
      </c>
      <c r="Y503" s="52">
        <f>IF(P503="","",IFERROR(INDEX(catGrupo,MATCH(D503&amp;"|"&amp;E503,catClave,0))&amp;"",""))</f>
        <v/>
      </c>
      <c r="Z503" s="52">
        <f>IF(P503="","",WEEKDAY(B503,2))</f>
        <v/>
      </c>
      <c r="AA503" s="52">
        <f>IF(P503="","",IF(AND(P503="Gasto",X503="Variable",D503&lt;&gt;catTrading,S503&gt;0,S503&lt;=Umbral),1,0))</f>
        <v/>
      </c>
      <c r="AB503" s="52">
        <f>IF(OR(P503="",Q503=""),"",IFERROR(IF(INDEX(ctaVinc,MATCH(Q503,ctaNombre,0))&amp;""&lt;&gt;"",INDEX(ctaVinc,MATCH(Q503,ctaNombre,0))&amp;"",Q503),Q503))</f>
        <v/>
      </c>
      <c r="AC503" s="52">
        <f>IF(OR(K503="",AND(P503&lt;&gt;"Transferencia",P503&lt;&gt;"Pago tarjeta")),"",IFERROR(IF(INDEX(ctaVinc,MATCH(K503,ctaNombre,0))&amp;""&lt;&gt;"",INDEX(ctaVinc,MATCH(K503,ctaNombre,0))&amp;"",K503),K503))</f>
        <v/>
      </c>
      <c r="AD503" s="52">
        <f>IF(AB503="","",IFERROR(INDEX(ctaTipo,MATCH(AB503,ctaNombre,0))&amp;"",""))</f>
        <v/>
      </c>
      <c r="AE503" s="52">
        <f>IF(AC503="","",IFERROR(INDEX(ctaTipo,MATCH(AC503,ctaNombre,0))&amp;"",""))</f>
        <v/>
      </c>
      <c r="AF503" s="53">
        <f>IF(OR(P503="",AB503=""),"",IF(OR(P503="Gasto",P503="Transferencia",P503="Pago tarjeta"),-1,1)*IF(IFERROR(INDEX(ctaMoneda,MATCH(AB503,ctaNombre,0))&amp;"","DOP")="USD",T503,S503))</f>
        <v/>
      </c>
      <c r="AG503" s="53">
        <f>IF(AC503="","",IF(IFERROR(INDEX(ctaMoneda,MATCH(AC503,ctaNombre,0))&amp;"","DOP")="USD",T503,S503))</f>
        <v/>
      </c>
      <c r="AH503" s="53">
        <f>IF(P503="","",IF(AND(AD503&lt;&gt;"",COUNTIFS(tcTipo,AD503,tcLiq,"Sí")&gt;0),IF(OR(P503="Gasto",P503="Transferencia",P503="Pago tarjeta"),-1,1)*S503,0)+IF(AND(AE503&lt;&gt;"",COUNTIFS(tcTipo,AE503,tcLiq,"Sí")&gt;0),S503,0))</f>
        <v/>
      </c>
      <c r="AI503" s="52">
        <f>IF(OR(L503="",P503=""),"",IF(COUNTIFS(L$6:L503,L503,P$6:P503,"?*")=1,MAX(AI$5:AI502)+1,""))</f>
        <v/>
      </c>
    </row>
    <row r="504">
      <c r="B504" s="47" t="n"/>
      <c r="C504" s="48" t="n"/>
      <c r="D504" s="48" t="n"/>
      <c r="E504" s="48" t="n"/>
      <c r="F504" s="48" t="n"/>
      <c r="G504" s="49" t="n"/>
      <c r="H504" s="48" t="n"/>
      <c r="I504" s="50" t="n"/>
      <c r="J504" s="48" t="n"/>
      <c r="K504" s="48" t="n"/>
      <c r="L504" s="48" t="n"/>
      <c r="M504" s="48" t="n"/>
      <c r="N504" s="48" t="n"/>
      <c r="O504" s="51">
        <f>IF(AND(B504="",G504="",C504="",D504="",J504=""),"",IF(B504="","⚠ Falta fecha",IF(G504="","⚠ Falta monto",IF(Q504="","⚠ Falta cuenta",IF(ISNA(MATCH(Q504,ctaNombre,0)),"⚠ Cuenta no registrada",IF(AND(OR(P504="Gasto",P504="Reembolso"),D504=""),"⚠ Falta categoría",IF(AND(D504&lt;&gt;"",E504&lt;&gt;"",ISNA(MATCH(D504&amp;"|"&amp;E504,catClave,0))),"⚠ Subcategoría no corresponde",IF(AND(OR(P504="Transferencia",P504="Pago tarjeta"),K504=""),"⚠ Falta cuenta destino",IF(AND(K504&lt;&gt;"",P504&lt;&gt;"Transferencia",P504&lt;&gt;"Pago tarjeta"),"⚠ Destino solo aplica a transferencias",IF(AND(K504&lt;&gt;"",K504=Q504),"⚠ Origen igual a destino",IF(AND(K504&lt;&gt;"",ISNA(MATCH(K504,ctaNombre,0))),"⚠ Destino no registrado",IF(AND(P504="Pago tarjeta",AE504&lt;&gt;"Tarjeta de crédito"),"⚠ El destino debe ser tarjeta de crédito",IF(AND(P504="Gasto",E504="Depósitos y retiros"),"⚠ Usa tipo Transferencia",IF(AND(P504="Resultado trading",AD504&lt;&gt;"Cuenta de trading"),"⚠ Usa una cuenta de trading",IF(AND(G504&lt;=0,P504&lt;&gt;"Ajuste",P504&lt;&gt;"Resultado trading"),"⚠ El monto debe ser positivo","✓")))))))))))))))</f>
        <v/>
      </c>
      <c r="P504" s="52">
        <f>IF(OR(B504="",G504=""),"",IF(C504="","Gasto",C504))</f>
        <v/>
      </c>
      <c r="Q504" s="52">
        <f>IF(P504="","",IF(J504&lt;&gt;"",J504,CuentaPred&amp;""))</f>
        <v/>
      </c>
      <c r="R504" s="52">
        <f>IF(P504="","",IF(ISNUMBER(I504),I504,TasaUSD))</f>
        <v/>
      </c>
      <c r="S504" s="53">
        <f>IF(P504="","",IF(H504="USD",G504*R504,G504))</f>
        <v/>
      </c>
      <c r="T504" s="53">
        <f>IF(P504="","",IF(H504="USD",G504,IF(R504&gt;0,G504/R504,0)))</f>
        <v/>
      </c>
      <c r="U504" s="53">
        <f>IF(P504="","",IF(P504="Gasto",S504,IF(P504="Reembolso",-S504,0)))</f>
        <v/>
      </c>
      <c r="V504" s="53">
        <f>IF(P504="","",IF(P504="Ingreso",S504,0))</f>
        <v/>
      </c>
      <c r="W504" s="53">
        <f>IF(P504="","",IF(P504="Resultado trading",S504,0))</f>
        <v/>
      </c>
      <c r="X504" s="52">
        <f>IF(OR(P504="Gasto",P504="Reembolso"),IF(M504&lt;&gt;"",M504,IFERROR(INDEX(catClasif,MATCH(D504&amp;"|"&amp;E504,catClave,0))&amp;"","Variable")),"")</f>
        <v/>
      </c>
      <c r="Y504" s="52">
        <f>IF(P504="","",IFERROR(INDEX(catGrupo,MATCH(D504&amp;"|"&amp;E504,catClave,0))&amp;"",""))</f>
        <v/>
      </c>
      <c r="Z504" s="52">
        <f>IF(P504="","",WEEKDAY(B504,2))</f>
        <v/>
      </c>
      <c r="AA504" s="52">
        <f>IF(P504="","",IF(AND(P504="Gasto",X504="Variable",D504&lt;&gt;catTrading,S504&gt;0,S504&lt;=Umbral),1,0))</f>
        <v/>
      </c>
      <c r="AB504" s="52">
        <f>IF(OR(P504="",Q504=""),"",IFERROR(IF(INDEX(ctaVinc,MATCH(Q504,ctaNombre,0))&amp;""&lt;&gt;"",INDEX(ctaVinc,MATCH(Q504,ctaNombre,0))&amp;"",Q504),Q504))</f>
        <v/>
      </c>
      <c r="AC504" s="52">
        <f>IF(OR(K504="",AND(P504&lt;&gt;"Transferencia",P504&lt;&gt;"Pago tarjeta")),"",IFERROR(IF(INDEX(ctaVinc,MATCH(K504,ctaNombre,0))&amp;""&lt;&gt;"",INDEX(ctaVinc,MATCH(K504,ctaNombre,0))&amp;"",K504),K504))</f>
        <v/>
      </c>
      <c r="AD504" s="52">
        <f>IF(AB504="","",IFERROR(INDEX(ctaTipo,MATCH(AB504,ctaNombre,0))&amp;"",""))</f>
        <v/>
      </c>
      <c r="AE504" s="52">
        <f>IF(AC504="","",IFERROR(INDEX(ctaTipo,MATCH(AC504,ctaNombre,0))&amp;"",""))</f>
        <v/>
      </c>
      <c r="AF504" s="53">
        <f>IF(OR(P504="",AB504=""),"",IF(OR(P504="Gasto",P504="Transferencia",P504="Pago tarjeta"),-1,1)*IF(IFERROR(INDEX(ctaMoneda,MATCH(AB504,ctaNombre,0))&amp;"","DOP")="USD",T504,S504))</f>
        <v/>
      </c>
      <c r="AG504" s="53">
        <f>IF(AC504="","",IF(IFERROR(INDEX(ctaMoneda,MATCH(AC504,ctaNombre,0))&amp;"","DOP")="USD",T504,S504))</f>
        <v/>
      </c>
      <c r="AH504" s="53">
        <f>IF(P504="","",IF(AND(AD504&lt;&gt;"",COUNTIFS(tcTipo,AD504,tcLiq,"Sí")&gt;0),IF(OR(P504="Gasto",P504="Transferencia",P504="Pago tarjeta"),-1,1)*S504,0)+IF(AND(AE504&lt;&gt;"",COUNTIFS(tcTipo,AE504,tcLiq,"Sí")&gt;0),S504,0))</f>
        <v/>
      </c>
      <c r="AI504" s="52">
        <f>IF(OR(L504="",P504=""),"",IF(COUNTIFS(L$6:L504,L504,P$6:P504,"?*")=1,MAX(AI$5:AI503)+1,""))</f>
        <v/>
      </c>
    </row>
    <row r="505">
      <c r="B505" s="47" t="n"/>
      <c r="C505" s="48" t="n"/>
      <c r="D505" s="48" t="n"/>
      <c r="E505" s="48" t="n"/>
      <c r="F505" s="48" t="n"/>
      <c r="G505" s="49" t="n"/>
      <c r="H505" s="48" t="n"/>
      <c r="I505" s="50" t="n"/>
      <c r="J505" s="48" t="n"/>
      <c r="K505" s="48" t="n"/>
      <c r="L505" s="48" t="n"/>
      <c r="M505" s="48" t="n"/>
      <c r="N505" s="48" t="n"/>
      <c r="O505" s="51">
        <f>IF(AND(B505="",G505="",C505="",D505="",J505=""),"",IF(B505="","⚠ Falta fecha",IF(G505="","⚠ Falta monto",IF(Q505="","⚠ Falta cuenta",IF(ISNA(MATCH(Q505,ctaNombre,0)),"⚠ Cuenta no registrada",IF(AND(OR(P505="Gasto",P505="Reembolso"),D505=""),"⚠ Falta categoría",IF(AND(D505&lt;&gt;"",E505&lt;&gt;"",ISNA(MATCH(D505&amp;"|"&amp;E505,catClave,0))),"⚠ Subcategoría no corresponde",IF(AND(OR(P505="Transferencia",P505="Pago tarjeta"),K505=""),"⚠ Falta cuenta destino",IF(AND(K505&lt;&gt;"",P505&lt;&gt;"Transferencia",P505&lt;&gt;"Pago tarjeta"),"⚠ Destino solo aplica a transferencias",IF(AND(K505&lt;&gt;"",K505=Q505),"⚠ Origen igual a destino",IF(AND(K505&lt;&gt;"",ISNA(MATCH(K505,ctaNombre,0))),"⚠ Destino no registrado",IF(AND(P505="Pago tarjeta",AE505&lt;&gt;"Tarjeta de crédito"),"⚠ El destino debe ser tarjeta de crédito",IF(AND(P505="Gasto",E505="Depósitos y retiros"),"⚠ Usa tipo Transferencia",IF(AND(P505="Resultado trading",AD505&lt;&gt;"Cuenta de trading"),"⚠ Usa una cuenta de trading",IF(AND(G505&lt;=0,P505&lt;&gt;"Ajuste",P505&lt;&gt;"Resultado trading"),"⚠ El monto debe ser positivo","✓")))))))))))))))</f>
        <v/>
      </c>
      <c r="P505" s="52">
        <f>IF(OR(B505="",G505=""),"",IF(C505="","Gasto",C505))</f>
        <v/>
      </c>
      <c r="Q505" s="52">
        <f>IF(P505="","",IF(J505&lt;&gt;"",J505,CuentaPred&amp;""))</f>
        <v/>
      </c>
      <c r="R505" s="52">
        <f>IF(P505="","",IF(ISNUMBER(I505),I505,TasaUSD))</f>
        <v/>
      </c>
      <c r="S505" s="53">
        <f>IF(P505="","",IF(H505="USD",G505*R505,G505))</f>
        <v/>
      </c>
      <c r="T505" s="53">
        <f>IF(P505="","",IF(H505="USD",G505,IF(R505&gt;0,G505/R505,0)))</f>
        <v/>
      </c>
      <c r="U505" s="53">
        <f>IF(P505="","",IF(P505="Gasto",S505,IF(P505="Reembolso",-S505,0)))</f>
        <v/>
      </c>
      <c r="V505" s="53">
        <f>IF(P505="","",IF(P505="Ingreso",S505,0))</f>
        <v/>
      </c>
      <c r="W505" s="53">
        <f>IF(P505="","",IF(P505="Resultado trading",S505,0))</f>
        <v/>
      </c>
      <c r="X505" s="52">
        <f>IF(OR(P505="Gasto",P505="Reembolso"),IF(M505&lt;&gt;"",M505,IFERROR(INDEX(catClasif,MATCH(D505&amp;"|"&amp;E505,catClave,0))&amp;"","Variable")),"")</f>
        <v/>
      </c>
      <c r="Y505" s="52">
        <f>IF(P505="","",IFERROR(INDEX(catGrupo,MATCH(D505&amp;"|"&amp;E505,catClave,0))&amp;"",""))</f>
        <v/>
      </c>
      <c r="Z505" s="52">
        <f>IF(P505="","",WEEKDAY(B505,2))</f>
        <v/>
      </c>
      <c r="AA505" s="52">
        <f>IF(P505="","",IF(AND(P505="Gasto",X505="Variable",D505&lt;&gt;catTrading,S505&gt;0,S505&lt;=Umbral),1,0))</f>
        <v/>
      </c>
      <c r="AB505" s="52">
        <f>IF(OR(P505="",Q505=""),"",IFERROR(IF(INDEX(ctaVinc,MATCH(Q505,ctaNombre,0))&amp;""&lt;&gt;"",INDEX(ctaVinc,MATCH(Q505,ctaNombre,0))&amp;"",Q505),Q505))</f>
        <v/>
      </c>
      <c r="AC505" s="52">
        <f>IF(OR(K505="",AND(P505&lt;&gt;"Transferencia",P505&lt;&gt;"Pago tarjeta")),"",IFERROR(IF(INDEX(ctaVinc,MATCH(K505,ctaNombre,0))&amp;""&lt;&gt;"",INDEX(ctaVinc,MATCH(K505,ctaNombre,0))&amp;"",K505),K505))</f>
        <v/>
      </c>
      <c r="AD505" s="52">
        <f>IF(AB505="","",IFERROR(INDEX(ctaTipo,MATCH(AB505,ctaNombre,0))&amp;"",""))</f>
        <v/>
      </c>
      <c r="AE505" s="52">
        <f>IF(AC505="","",IFERROR(INDEX(ctaTipo,MATCH(AC505,ctaNombre,0))&amp;"",""))</f>
        <v/>
      </c>
      <c r="AF505" s="53">
        <f>IF(OR(P505="",AB505=""),"",IF(OR(P505="Gasto",P505="Transferencia",P505="Pago tarjeta"),-1,1)*IF(IFERROR(INDEX(ctaMoneda,MATCH(AB505,ctaNombre,0))&amp;"","DOP")="USD",T505,S505))</f>
        <v/>
      </c>
      <c r="AG505" s="53">
        <f>IF(AC505="","",IF(IFERROR(INDEX(ctaMoneda,MATCH(AC505,ctaNombre,0))&amp;"","DOP")="USD",T505,S505))</f>
        <v/>
      </c>
      <c r="AH505" s="53">
        <f>IF(P505="","",IF(AND(AD505&lt;&gt;"",COUNTIFS(tcTipo,AD505,tcLiq,"Sí")&gt;0),IF(OR(P505="Gasto",P505="Transferencia",P505="Pago tarjeta"),-1,1)*S505,0)+IF(AND(AE505&lt;&gt;"",COUNTIFS(tcTipo,AE505,tcLiq,"Sí")&gt;0),S505,0))</f>
        <v/>
      </c>
      <c r="AI505" s="52">
        <f>IF(OR(L505="",P505=""),"",IF(COUNTIFS(L$6:L505,L505,P$6:P505,"?*")=1,MAX(AI$5:AI504)+1,""))</f>
        <v/>
      </c>
    </row>
    <row r="506">
      <c r="B506" s="47" t="n"/>
      <c r="C506" s="48" t="n"/>
      <c r="D506" s="48" t="n"/>
      <c r="E506" s="48" t="n"/>
      <c r="F506" s="48" t="n"/>
      <c r="G506" s="49" t="n"/>
      <c r="H506" s="48" t="n"/>
      <c r="I506" s="50" t="n"/>
      <c r="J506" s="48" t="n"/>
      <c r="K506" s="48" t="n"/>
      <c r="L506" s="48" t="n"/>
      <c r="M506" s="48" t="n"/>
      <c r="N506" s="48" t="n"/>
      <c r="O506" s="51">
        <f>IF(AND(B506="",G506="",C506="",D506="",J506=""),"",IF(B506="","⚠ Falta fecha",IF(G506="","⚠ Falta monto",IF(Q506="","⚠ Falta cuenta",IF(ISNA(MATCH(Q506,ctaNombre,0)),"⚠ Cuenta no registrada",IF(AND(OR(P506="Gasto",P506="Reembolso"),D506=""),"⚠ Falta categoría",IF(AND(D506&lt;&gt;"",E506&lt;&gt;"",ISNA(MATCH(D506&amp;"|"&amp;E506,catClave,0))),"⚠ Subcategoría no corresponde",IF(AND(OR(P506="Transferencia",P506="Pago tarjeta"),K506=""),"⚠ Falta cuenta destino",IF(AND(K506&lt;&gt;"",P506&lt;&gt;"Transferencia",P506&lt;&gt;"Pago tarjeta"),"⚠ Destino solo aplica a transferencias",IF(AND(K506&lt;&gt;"",K506=Q506),"⚠ Origen igual a destino",IF(AND(K506&lt;&gt;"",ISNA(MATCH(K506,ctaNombre,0))),"⚠ Destino no registrado",IF(AND(P506="Pago tarjeta",AE506&lt;&gt;"Tarjeta de crédito"),"⚠ El destino debe ser tarjeta de crédito",IF(AND(P506="Gasto",E506="Depósitos y retiros"),"⚠ Usa tipo Transferencia",IF(AND(P506="Resultado trading",AD506&lt;&gt;"Cuenta de trading"),"⚠ Usa una cuenta de trading",IF(AND(G506&lt;=0,P506&lt;&gt;"Ajuste",P506&lt;&gt;"Resultado trading"),"⚠ El monto debe ser positivo","✓")))))))))))))))</f>
        <v/>
      </c>
      <c r="P506" s="52">
        <f>IF(OR(B506="",G506=""),"",IF(C506="","Gasto",C506))</f>
        <v/>
      </c>
      <c r="Q506" s="52">
        <f>IF(P506="","",IF(J506&lt;&gt;"",J506,CuentaPred&amp;""))</f>
        <v/>
      </c>
      <c r="R506" s="52">
        <f>IF(P506="","",IF(ISNUMBER(I506),I506,TasaUSD))</f>
        <v/>
      </c>
      <c r="S506" s="53">
        <f>IF(P506="","",IF(H506="USD",G506*R506,G506))</f>
        <v/>
      </c>
      <c r="T506" s="53">
        <f>IF(P506="","",IF(H506="USD",G506,IF(R506&gt;0,G506/R506,0)))</f>
        <v/>
      </c>
      <c r="U506" s="53">
        <f>IF(P506="","",IF(P506="Gasto",S506,IF(P506="Reembolso",-S506,0)))</f>
        <v/>
      </c>
      <c r="V506" s="53">
        <f>IF(P506="","",IF(P506="Ingreso",S506,0))</f>
        <v/>
      </c>
      <c r="W506" s="53">
        <f>IF(P506="","",IF(P506="Resultado trading",S506,0))</f>
        <v/>
      </c>
      <c r="X506" s="52">
        <f>IF(OR(P506="Gasto",P506="Reembolso"),IF(M506&lt;&gt;"",M506,IFERROR(INDEX(catClasif,MATCH(D506&amp;"|"&amp;E506,catClave,0))&amp;"","Variable")),"")</f>
        <v/>
      </c>
      <c r="Y506" s="52">
        <f>IF(P506="","",IFERROR(INDEX(catGrupo,MATCH(D506&amp;"|"&amp;E506,catClave,0))&amp;"",""))</f>
        <v/>
      </c>
      <c r="Z506" s="52">
        <f>IF(P506="","",WEEKDAY(B506,2))</f>
        <v/>
      </c>
      <c r="AA506" s="52">
        <f>IF(P506="","",IF(AND(P506="Gasto",X506="Variable",D506&lt;&gt;catTrading,S506&gt;0,S506&lt;=Umbral),1,0))</f>
        <v/>
      </c>
      <c r="AB506" s="52">
        <f>IF(OR(P506="",Q506=""),"",IFERROR(IF(INDEX(ctaVinc,MATCH(Q506,ctaNombre,0))&amp;""&lt;&gt;"",INDEX(ctaVinc,MATCH(Q506,ctaNombre,0))&amp;"",Q506),Q506))</f>
        <v/>
      </c>
      <c r="AC506" s="52">
        <f>IF(OR(K506="",AND(P506&lt;&gt;"Transferencia",P506&lt;&gt;"Pago tarjeta")),"",IFERROR(IF(INDEX(ctaVinc,MATCH(K506,ctaNombre,0))&amp;""&lt;&gt;"",INDEX(ctaVinc,MATCH(K506,ctaNombre,0))&amp;"",K506),K506))</f>
        <v/>
      </c>
      <c r="AD506" s="52">
        <f>IF(AB506="","",IFERROR(INDEX(ctaTipo,MATCH(AB506,ctaNombre,0))&amp;"",""))</f>
        <v/>
      </c>
      <c r="AE506" s="52">
        <f>IF(AC506="","",IFERROR(INDEX(ctaTipo,MATCH(AC506,ctaNombre,0))&amp;"",""))</f>
        <v/>
      </c>
      <c r="AF506" s="53">
        <f>IF(OR(P506="",AB506=""),"",IF(OR(P506="Gasto",P506="Transferencia",P506="Pago tarjeta"),-1,1)*IF(IFERROR(INDEX(ctaMoneda,MATCH(AB506,ctaNombre,0))&amp;"","DOP")="USD",T506,S506))</f>
        <v/>
      </c>
      <c r="AG506" s="53">
        <f>IF(AC506="","",IF(IFERROR(INDEX(ctaMoneda,MATCH(AC506,ctaNombre,0))&amp;"","DOP")="USD",T506,S506))</f>
        <v/>
      </c>
      <c r="AH506" s="53">
        <f>IF(P506="","",IF(AND(AD506&lt;&gt;"",COUNTIFS(tcTipo,AD506,tcLiq,"Sí")&gt;0),IF(OR(P506="Gasto",P506="Transferencia",P506="Pago tarjeta"),-1,1)*S506,0)+IF(AND(AE506&lt;&gt;"",COUNTIFS(tcTipo,AE506,tcLiq,"Sí")&gt;0),S506,0))</f>
        <v/>
      </c>
      <c r="AI506" s="52">
        <f>IF(OR(L506="",P506=""),"",IF(COUNTIFS(L$6:L506,L506,P$6:P506,"?*")=1,MAX(AI$5:AI505)+1,""))</f>
        <v/>
      </c>
    </row>
    <row r="507">
      <c r="B507" s="47" t="n"/>
      <c r="C507" s="48" t="n"/>
      <c r="D507" s="48" t="n"/>
      <c r="E507" s="48" t="n"/>
      <c r="F507" s="48" t="n"/>
      <c r="G507" s="49" t="n"/>
      <c r="H507" s="48" t="n"/>
      <c r="I507" s="50" t="n"/>
      <c r="J507" s="48" t="n"/>
      <c r="K507" s="48" t="n"/>
      <c r="L507" s="48" t="n"/>
      <c r="M507" s="48" t="n"/>
      <c r="N507" s="48" t="n"/>
      <c r="O507" s="51">
        <f>IF(AND(B507="",G507="",C507="",D507="",J507=""),"",IF(B507="","⚠ Falta fecha",IF(G507="","⚠ Falta monto",IF(Q507="","⚠ Falta cuenta",IF(ISNA(MATCH(Q507,ctaNombre,0)),"⚠ Cuenta no registrada",IF(AND(OR(P507="Gasto",P507="Reembolso"),D507=""),"⚠ Falta categoría",IF(AND(D507&lt;&gt;"",E507&lt;&gt;"",ISNA(MATCH(D507&amp;"|"&amp;E507,catClave,0))),"⚠ Subcategoría no corresponde",IF(AND(OR(P507="Transferencia",P507="Pago tarjeta"),K507=""),"⚠ Falta cuenta destino",IF(AND(K507&lt;&gt;"",P507&lt;&gt;"Transferencia",P507&lt;&gt;"Pago tarjeta"),"⚠ Destino solo aplica a transferencias",IF(AND(K507&lt;&gt;"",K507=Q507),"⚠ Origen igual a destino",IF(AND(K507&lt;&gt;"",ISNA(MATCH(K507,ctaNombre,0))),"⚠ Destino no registrado",IF(AND(P507="Pago tarjeta",AE507&lt;&gt;"Tarjeta de crédito"),"⚠ El destino debe ser tarjeta de crédito",IF(AND(P507="Gasto",E507="Depósitos y retiros"),"⚠ Usa tipo Transferencia",IF(AND(P507="Resultado trading",AD507&lt;&gt;"Cuenta de trading"),"⚠ Usa una cuenta de trading",IF(AND(G507&lt;=0,P507&lt;&gt;"Ajuste",P507&lt;&gt;"Resultado trading"),"⚠ El monto debe ser positivo","✓")))))))))))))))</f>
        <v/>
      </c>
      <c r="P507" s="52">
        <f>IF(OR(B507="",G507=""),"",IF(C507="","Gasto",C507))</f>
        <v/>
      </c>
      <c r="Q507" s="52">
        <f>IF(P507="","",IF(J507&lt;&gt;"",J507,CuentaPred&amp;""))</f>
        <v/>
      </c>
      <c r="R507" s="52">
        <f>IF(P507="","",IF(ISNUMBER(I507),I507,TasaUSD))</f>
        <v/>
      </c>
      <c r="S507" s="53">
        <f>IF(P507="","",IF(H507="USD",G507*R507,G507))</f>
        <v/>
      </c>
      <c r="T507" s="53">
        <f>IF(P507="","",IF(H507="USD",G507,IF(R507&gt;0,G507/R507,0)))</f>
        <v/>
      </c>
      <c r="U507" s="53">
        <f>IF(P507="","",IF(P507="Gasto",S507,IF(P507="Reembolso",-S507,0)))</f>
        <v/>
      </c>
      <c r="V507" s="53">
        <f>IF(P507="","",IF(P507="Ingreso",S507,0))</f>
        <v/>
      </c>
      <c r="W507" s="53">
        <f>IF(P507="","",IF(P507="Resultado trading",S507,0))</f>
        <v/>
      </c>
      <c r="X507" s="52">
        <f>IF(OR(P507="Gasto",P507="Reembolso"),IF(M507&lt;&gt;"",M507,IFERROR(INDEX(catClasif,MATCH(D507&amp;"|"&amp;E507,catClave,0))&amp;"","Variable")),"")</f>
        <v/>
      </c>
      <c r="Y507" s="52">
        <f>IF(P507="","",IFERROR(INDEX(catGrupo,MATCH(D507&amp;"|"&amp;E507,catClave,0))&amp;"",""))</f>
        <v/>
      </c>
      <c r="Z507" s="52">
        <f>IF(P507="","",WEEKDAY(B507,2))</f>
        <v/>
      </c>
      <c r="AA507" s="52">
        <f>IF(P507="","",IF(AND(P507="Gasto",X507="Variable",D507&lt;&gt;catTrading,S507&gt;0,S507&lt;=Umbral),1,0))</f>
        <v/>
      </c>
      <c r="AB507" s="52">
        <f>IF(OR(P507="",Q507=""),"",IFERROR(IF(INDEX(ctaVinc,MATCH(Q507,ctaNombre,0))&amp;""&lt;&gt;"",INDEX(ctaVinc,MATCH(Q507,ctaNombre,0))&amp;"",Q507),Q507))</f>
        <v/>
      </c>
      <c r="AC507" s="52">
        <f>IF(OR(K507="",AND(P507&lt;&gt;"Transferencia",P507&lt;&gt;"Pago tarjeta")),"",IFERROR(IF(INDEX(ctaVinc,MATCH(K507,ctaNombre,0))&amp;""&lt;&gt;"",INDEX(ctaVinc,MATCH(K507,ctaNombre,0))&amp;"",K507),K507))</f>
        <v/>
      </c>
      <c r="AD507" s="52">
        <f>IF(AB507="","",IFERROR(INDEX(ctaTipo,MATCH(AB507,ctaNombre,0))&amp;"",""))</f>
        <v/>
      </c>
      <c r="AE507" s="52">
        <f>IF(AC507="","",IFERROR(INDEX(ctaTipo,MATCH(AC507,ctaNombre,0))&amp;"",""))</f>
        <v/>
      </c>
      <c r="AF507" s="53">
        <f>IF(OR(P507="",AB507=""),"",IF(OR(P507="Gasto",P507="Transferencia",P507="Pago tarjeta"),-1,1)*IF(IFERROR(INDEX(ctaMoneda,MATCH(AB507,ctaNombre,0))&amp;"","DOP")="USD",T507,S507))</f>
        <v/>
      </c>
      <c r="AG507" s="53">
        <f>IF(AC507="","",IF(IFERROR(INDEX(ctaMoneda,MATCH(AC507,ctaNombre,0))&amp;"","DOP")="USD",T507,S507))</f>
        <v/>
      </c>
      <c r="AH507" s="53">
        <f>IF(P507="","",IF(AND(AD507&lt;&gt;"",COUNTIFS(tcTipo,AD507,tcLiq,"Sí")&gt;0),IF(OR(P507="Gasto",P507="Transferencia",P507="Pago tarjeta"),-1,1)*S507,0)+IF(AND(AE507&lt;&gt;"",COUNTIFS(tcTipo,AE507,tcLiq,"Sí")&gt;0),S507,0))</f>
        <v/>
      </c>
      <c r="AI507" s="52">
        <f>IF(OR(L507="",P507=""),"",IF(COUNTIFS(L$6:L507,L507,P$6:P507,"?*")=1,MAX(AI$5:AI506)+1,""))</f>
        <v/>
      </c>
    </row>
    <row r="508">
      <c r="B508" s="47" t="n"/>
      <c r="C508" s="48" t="n"/>
      <c r="D508" s="48" t="n"/>
      <c r="E508" s="48" t="n"/>
      <c r="F508" s="48" t="n"/>
      <c r="G508" s="49" t="n"/>
      <c r="H508" s="48" t="n"/>
      <c r="I508" s="50" t="n"/>
      <c r="J508" s="48" t="n"/>
      <c r="K508" s="48" t="n"/>
      <c r="L508" s="48" t="n"/>
      <c r="M508" s="48" t="n"/>
      <c r="N508" s="48" t="n"/>
      <c r="O508" s="51">
        <f>IF(AND(B508="",G508="",C508="",D508="",J508=""),"",IF(B508="","⚠ Falta fecha",IF(G508="","⚠ Falta monto",IF(Q508="","⚠ Falta cuenta",IF(ISNA(MATCH(Q508,ctaNombre,0)),"⚠ Cuenta no registrada",IF(AND(OR(P508="Gasto",P508="Reembolso"),D508=""),"⚠ Falta categoría",IF(AND(D508&lt;&gt;"",E508&lt;&gt;"",ISNA(MATCH(D508&amp;"|"&amp;E508,catClave,0))),"⚠ Subcategoría no corresponde",IF(AND(OR(P508="Transferencia",P508="Pago tarjeta"),K508=""),"⚠ Falta cuenta destino",IF(AND(K508&lt;&gt;"",P508&lt;&gt;"Transferencia",P508&lt;&gt;"Pago tarjeta"),"⚠ Destino solo aplica a transferencias",IF(AND(K508&lt;&gt;"",K508=Q508),"⚠ Origen igual a destino",IF(AND(K508&lt;&gt;"",ISNA(MATCH(K508,ctaNombre,0))),"⚠ Destino no registrado",IF(AND(P508="Pago tarjeta",AE508&lt;&gt;"Tarjeta de crédito"),"⚠ El destino debe ser tarjeta de crédito",IF(AND(P508="Gasto",E508="Depósitos y retiros"),"⚠ Usa tipo Transferencia",IF(AND(P508="Resultado trading",AD508&lt;&gt;"Cuenta de trading"),"⚠ Usa una cuenta de trading",IF(AND(G508&lt;=0,P508&lt;&gt;"Ajuste",P508&lt;&gt;"Resultado trading"),"⚠ El monto debe ser positivo","✓")))))))))))))))</f>
        <v/>
      </c>
      <c r="P508" s="52">
        <f>IF(OR(B508="",G508=""),"",IF(C508="","Gasto",C508))</f>
        <v/>
      </c>
      <c r="Q508" s="52">
        <f>IF(P508="","",IF(J508&lt;&gt;"",J508,CuentaPred&amp;""))</f>
        <v/>
      </c>
      <c r="R508" s="52">
        <f>IF(P508="","",IF(ISNUMBER(I508),I508,TasaUSD))</f>
        <v/>
      </c>
      <c r="S508" s="53">
        <f>IF(P508="","",IF(H508="USD",G508*R508,G508))</f>
        <v/>
      </c>
      <c r="T508" s="53">
        <f>IF(P508="","",IF(H508="USD",G508,IF(R508&gt;0,G508/R508,0)))</f>
        <v/>
      </c>
      <c r="U508" s="53">
        <f>IF(P508="","",IF(P508="Gasto",S508,IF(P508="Reembolso",-S508,0)))</f>
        <v/>
      </c>
      <c r="V508" s="53">
        <f>IF(P508="","",IF(P508="Ingreso",S508,0))</f>
        <v/>
      </c>
      <c r="W508" s="53">
        <f>IF(P508="","",IF(P508="Resultado trading",S508,0))</f>
        <v/>
      </c>
      <c r="X508" s="52">
        <f>IF(OR(P508="Gasto",P508="Reembolso"),IF(M508&lt;&gt;"",M508,IFERROR(INDEX(catClasif,MATCH(D508&amp;"|"&amp;E508,catClave,0))&amp;"","Variable")),"")</f>
        <v/>
      </c>
      <c r="Y508" s="52">
        <f>IF(P508="","",IFERROR(INDEX(catGrupo,MATCH(D508&amp;"|"&amp;E508,catClave,0))&amp;"",""))</f>
        <v/>
      </c>
      <c r="Z508" s="52">
        <f>IF(P508="","",WEEKDAY(B508,2))</f>
        <v/>
      </c>
      <c r="AA508" s="52">
        <f>IF(P508="","",IF(AND(P508="Gasto",X508="Variable",D508&lt;&gt;catTrading,S508&gt;0,S508&lt;=Umbral),1,0))</f>
        <v/>
      </c>
      <c r="AB508" s="52">
        <f>IF(OR(P508="",Q508=""),"",IFERROR(IF(INDEX(ctaVinc,MATCH(Q508,ctaNombre,0))&amp;""&lt;&gt;"",INDEX(ctaVinc,MATCH(Q508,ctaNombre,0))&amp;"",Q508),Q508))</f>
        <v/>
      </c>
      <c r="AC508" s="52">
        <f>IF(OR(K508="",AND(P508&lt;&gt;"Transferencia",P508&lt;&gt;"Pago tarjeta")),"",IFERROR(IF(INDEX(ctaVinc,MATCH(K508,ctaNombre,0))&amp;""&lt;&gt;"",INDEX(ctaVinc,MATCH(K508,ctaNombre,0))&amp;"",K508),K508))</f>
        <v/>
      </c>
      <c r="AD508" s="52">
        <f>IF(AB508="","",IFERROR(INDEX(ctaTipo,MATCH(AB508,ctaNombre,0))&amp;"",""))</f>
        <v/>
      </c>
      <c r="AE508" s="52">
        <f>IF(AC508="","",IFERROR(INDEX(ctaTipo,MATCH(AC508,ctaNombre,0))&amp;"",""))</f>
        <v/>
      </c>
      <c r="AF508" s="53">
        <f>IF(OR(P508="",AB508=""),"",IF(OR(P508="Gasto",P508="Transferencia",P508="Pago tarjeta"),-1,1)*IF(IFERROR(INDEX(ctaMoneda,MATCH(AB508,ctaNombre,0))&amp;"","DOP")="USD",T508,S508))</f>
        <v/>
      </c>
      <c r="AG508" s="53">
        <f>IF(AC508="","",IF(IFERROR(INDEX(ctaMoneda,MATCH(AC508,ctaNombre,0))&amp;"","DOP")="USD",T508,S508))</f>
        <v/>
      </c>
      <c r="AH508" s="53">
        <f>IF(P508="","",IF(AND(AD508&lt;&gt;"",COUNTIFS(tcTipo,AD508,tcLiq,"Sí")&gt;0),IF(OR(P508="Gasto",P508="Transferencia",P508="Pago tarjeta"),-1,1)*S508,0)+IF(AND(AE508&lt;&gt;"",COUNTIFS(tcTipo,AE508,tcLiq,"Sí")&gt;0),S508,0))</f>
        <v/>
      </c>
      <c r="AI508" s="52">
        <f>IF(OR(L508="",P508=""),"",IF(COUNTIFS(L$6:L508,L508,P$6:P508,"?*")=1,MAX(AI$5:AI507)+1,""))</f>
        <v/>
      </c>
    </row>
    <row r="509">
      <c r="B509" s="47" t="n"/>
      <c r="C509" s="48" t="n"/>
      <c r="D509" s="48" t="n"/>
      <c r="E509" s="48" t="n"/>
      <c r="F509" s="48" t="n"/>
      <c r="G509" s="49" t="n"/>
      <c r="H509" s="48" t="n"/>
      <c r="I509" s="50" t="n"/>
      <c r="J509" s="48" t="n"/>
      <c r="K509" s="48" t="n"/>
      <c r="L509" s="48" t="n"/>
      <c r="M509" s="48" t="n"/>
      <c r="N509" s="48" t="n"/>
      <c r="O509" s="51">
        <f>IF(AND(B509="",G509="",C509="",D509="",J509=""),"",IF(B509="","⚠ Falta fecha",IF(G509="","⚠ Falta monto",IF(Q509="","⚠ Falta cuenta",IF(ISNA(MATCH(Q509,ctaNombre,0)),"⚠ Cuenta no registrada",IF(AND(OR(P509="Gasto",P509="Reembolso"),D509=""),"⚠ Falta categoría",IF(AND(D509&lt;&gt;"",E509&lt;&gt;"",ISNA(MATCH(D509&amp;"|"&amp;E509,catClave,0))),"⚠ Subcategoría no corresponde",IF(AND(OR(P509="Transferencia",P509="Pago tarjeta"),K509=""),"⚠ Falta cuenta destino",IF(AND(K509&lt;&gt;"",P509&lt;&gt;"Transferencia",P509&lt;&gt;"Pago tarjeta"),"⚠ Destino solo aplica a transferencias",IF(AND(K509&lt;&gt;"",K509=Q509),"⚠ Origen igual a destino",IF(AND(K509&lt;&gt;"",ISNA(MATCH(K509,ctaNombre,0))),"⚠ Destino no registrado",IF(AND(P509="Pago tarjeta",AE509&lt;&gt;"Tarjeta de crédito"),"⚠ El destino debe ser tarjeta de crédito",IF(AND(P509="Gasto",E509="Depósitos y retiros"),"⚠ Usa tipo Transferencia",IF(AND(P509="Resultado trading",AD509&lt;&gt;"Cuenta de trading"),"⚠ Usa una cuenta de trading",IF(AND(G509&lt;=0,P509&lt;&gt;"Ajuste",P509&lt;&gt;"Resultado trading"),"⚠ El monto debe ser positivo","✓")))))))))))))))</f>
        <v/>
      </c>
      <c r="P509" s="52">
        <f>IF(OR(B509="",G509=""),"",IF(C509="","Gasto",C509))</f>
        <v/>
      </c>
      <c r="Q509" s="52">
        <f>IF(P509="","",IF(J509&lt;&gt;"",J509,CuentaPred&amp;""))</f>
        <v/>
      </c>
      <c r="R509" s="52">
        <f>IF(P509="","",IF(ISNUMBER(I509),I509,TasaUSD))</f>
        <v/>
      </c>
      <c r="S509" s="53">
        <f>IF(P509="","",IF(H509="USD",G509*R509,G509))</f>
        <v/>
      </c>
      <c r="T509" s="53">
        <f>IF(P509="","",IF(H509="USD",G509,IF(R509&gt;0,G509/R509,0)))</f>
        <v/>
      </c>
      <c r="U509" s="53">
        <f>IF(P509="","",IF(P509="Gasto",S509,IF(P509="Reembolso",-S509,0)))</f>
        <v/>
      </c>
      <c r="V509" s="53">
        <f>IF(P509="","",IF(P509="Ingreso",S509,0))</f>
        <v/>
      </c>
      <c r="W509" s="53">
        <f>IF(P509="","",IF(P509="Resultado trading",S509,0))</f>
        <v/>
      </c>
      <c r="X509" s="52">
        <f>IF(OR(P509="Gasto",P509="Reembolso"),IF(M509&lt;&gt;"",M509,IFERROR(INDEX(catClasif,MATCH(D509&amp;"|"&amp;E509,catClave,0))&amp;"","Variable")),"")</f>
        <v/>
      </c>
      <c r="Y509" s="52">
        <f>IF(P509="","",IFERROR(INDEX(catGrupo,MATCH(D509&amp;"|"&amp;E509,catClave,0))&amp;"",""))</f>
        <v/>
      </c>
      <c r="Z509" s="52">
        <f>IF(P509="","",WEEKDAY(B509,2))</f>
        <v/>
      </c>
      <c r="AA509" s="52">
        <f>IF(P509="","",IF(AND(P509="Gasto",X509="Variable",D509&lt;&gt;catTrading,S509&gt;0,S509&lt;=Umbral),1,0))</f>
        <v/>
      </c>
      <c r="AB509" s="52">
        <f>IF(OR(P509="",Q509=""),"",IFERROR(IF(INDEX(ctaVinc,MATCH(Q509,ctaNombre,0))&amp;""&lt;&gt;"",INDEX(ctaVinc,MATCH(Q509,ctaNombre,0))&amp;"",Q509),Q509))</f>
        <v/>
      </c>
      <c r="AC509" s="52">
        <f>IF(OR(K509="",AND(P509&lt;&gt;"Transferencia",P509&lt;&gt;"Pago tarjeta")),"",IFERROR(IF(INDEX(ctaVinc,MATCH(K509,ctaNombre,0))&amp;""&lt;&gt;"",INDEX(ctaVinc,MATCH(K509,ctaNombre,0))&amp;"",K509),K509))</f>
        <v/>
      </c>
      <c r="AD509" s="52">
        <f>IF(AB509="","",IFERROR(INDEX(ctaTipo,MATCH(AB509,ctaNombre,0))&amp;"",""))</f>
        <v/>
      </c>
      <c r="AE509" s="52">
        <f>IF(AC509="","",IFERROR(INDEX(ctaTipo,MATCH(AC509,ctaNombre,0))&amp;"",""))</f>
        <v/>
      </c>
      <c r="AF509" s="53">
        <f>IF(OR(P509="",AB509=""),"",IF(OR(P509="Gasto",P509="Transferencia",P509="Pago tarjeta"),-1,1)*IF(IFERROR(INDEX(ctaMoneda,MATCH(AB509,ctaNombre,0))&amp;"","DOP")="USD",T509,S509))</f>
        <v/>
      </c>
      <c r="AG509" s="53">
        <f>IF(AC509="","",IF(IFERROR(INDEX(ctaMoneda,MATCH(AC509,ctaNombre,0))&amp;"","DOP")="USD",T509,S509))</f>
        <v/>
      </c>
      <c r="AH509" s="53">
        <f>IF(P509="","",IF(AND(AD509&lt;&gt;"",COUNTIFS(tcTipo,AD509,tcLiq,"Sí")&gt;0),IF(OR(P509="Gasto",P509="Transferencia",P509="Pago tarjeta"),-1,1)*S509,0)+IF(AND(AE509&lt;&gt;"",COUNTIFS(tcTipo,AE509,tcLiq,"Sí")&gt;0),S509,0))</f>
        <v/>
      </c>
      <c r="AI509" s="52">
        <f>IF(OR(L509="",P509=""),"",IF(COUNTIFS(L$6:L509,L509,P$6:P509,"?*")=1,MAX(AI$5:AI508)+1,""))</f>
        <v/>
      </c>
    </row>
    <row r="510">
      <c r="B510" s="47" t="n"/>
      <c r="C510" s="48" t="n"/>
      <c r="D510" s="48" t="n"/>
      <c r="E510" s="48" t="n"/>
      <c r="F510" s="48" t="n"/>
      <c r="G510" s="49" t="n"/>
      <c r="H510" s="48" t="n"/>
      <c r="I510" s="50" t="n"/>
      <c r="J510" s="48" t="n"/>
      <c r="K510" s="48" t="n"/>
      <c r="L510" s="48" t="n"/>
      <c r="M510" s="48" t="n"/>
      <c r="N510" s="48" t="n"/>
      <c r="O510" s="51">
        <f>IF(AND(B510="",G510="",C510="",D510="",J510=""),"",IF(B510="","⚠ Falta fecha",IF(G510="","⚠ Falta monto",IF(Q510="","⚠ Falta cuenta",IF(ISNA(MATCH(Q510,ctaNombre,0)),"⚠ Cuenta no registrada",IF(AND(OR(P510="Gasto",P510="Reembolso"),D510=""),"⚠ Falta categoría",IF(AND(D510&lt;&gt;"",E510&lt;&gt;"",ISNA(MATCH(D510&amp;"|"&amp;E510,catClave,0))),"⚠ Subcategoría no corresponde",IF(AND(OR(P510="Transferencia",P510="Pago tarjeta"),K510=""),"⚠ Falta cuenta destino",IF(AND(K510&lt;&gt;"",P510&lt;&gt;"Transferencia",P510&lt;&gt;"Pago tarjeta"),"⚠ Destino solo aplica a transferencias",IF(AND(K510&lt;&gt;"",K510=Q510),"⚠ Origen igual a destino",IF(AND(K510&lt;&gt;"",ISNA(MATCH(K510,ctaNombre,0))),"⚠ Destino no registrado",IF(AND(P510="Pago tarjeta",AE510&lt;&gt;"Tarjeta de crédito"),"⚠ El destino debe ser tarjeta de crédito",IF(AND(P510="Gasto",E510="Depósitos y retiros"),"⚠ Usa tipo Transferencia",IF(AND(P510="Resultado trading",AD510&lt;&gt;"Cuenta de trading"),"⚠ Usa una cuenta de trading",IF(AND(G510&lt;=0,P510&lt;&gt;"Ajuste",P510&lt;&gt;"Resultado trading"),"⚠ El monto debe ser positivo","✓")))))))))))))))</f>
        <v/>
      </c>
      <c r="P510" s="52">
        <f>IF(OR(B510="",G510=""),"",IF(C510="","Gasto",C510))</f>
        <v/>
      </c>
      <c r="Q510" s="52">
        <f>IF(P510="","",IF(J510&lt;&gt;"",J510,CuentaPred&amp;""))</f>
        <v/>
      </c>
      <c r="R510" s="52">
        <f>IF(P510="","",IF(ISNUMBER(I510),I510,TasaUSD))</f>
        <v/>
      </c>
      <c r="S510" s="53">
        <f>IF(P510="","",IF(H510="USD",G510*R510,G510))</f>
        <v/>
      </c>
      <c r="T510" s="53">
        <f>IF(P510="","",IF(H510="USD",G510,IF(R510&gt;0,G510/R510,0)))</f>
        <v/>
      </c>
      <c r="U510" s="53">
        <f>IF(P510="","",IF(P510="Gasto",S510,IF(P510="Reembolso",-S510,0)))</f>
        <v/>
      </c>
      <c r="V510" s="53">
        <f>IF(P510="","",IF(P510="Ingreso",S510,0))</f>
        <v/>
      </c>
      <c r="W510" s="53">
        <f>IF(P510="","",IF(P510="Resultado trading",S510,0))</f>
        <v/>
      </c>
      <c r="X510" s="52">
        <f>IF(OR(P510="Gasto",P510="Reembolso"),IF(M510&lt;&gt;"",M510,IFERROR(INDEX(catClasif,MATCH(D510&amp;"|"&amp;E510,catClave,0))&amp;"","Variable")),"")</f>
        <v/>
      </c>
      <c r="Y510" s="52">
        <f>IF(P510="","",IFERROR(INDEX(catGrupo,MATCH(D510&amp;"|"&amp;E510,catClave,0))&amp;"",""))</f>
        <v/>
      </c>
      <c r="Z510" s="52">
        <f>IF(P510="","",WEEKDAY(B510,2))</f>
        <v/>
      </c>
      <c r="AA510" s="52">
        <f>IF(P510="","",IF(AND(P510="Gasto",X510="Variable",D510&lt;&gt;catTrading,S510&gt;0,S510&lt;=Umbral),1,0))</f>
        <v/>
      </c>
      <c r="AB510" s="52">
        <f>IF(OR(P510="",Q510=""),"",IFERROR(IF(INDEX(ctaVinc,MATCH(Q510,ctaNombre,0))&amp;""&lt;&gt;"",INDEX(ctaVinc,MATCH(Q510,ctaNombre,0))&amp;"",Q510),Q510))</f>
        <v/>
      </c>
      <c r="AC510" s="52">
        <f>IF(OR(K510="",AND(P510&lt;&gt;"Transferencia",P510&lt;&gt;"Pago tarjeta")),"",IFERROR(IF(INDEX(ctaVinc,MATCH(K510,ctaNombre,0))&amp;""&lt;&gt;"",INDEX(ctaVinc,MATCH(K510,ctaNombre,0))&amp;"",K510),K510))</f>
        <v/>
      </c>
      <c r="AD510" s="52">
        <f>IF(AB510="","",IFERROR(INDEX(ctaTipo,MATCH(AB510,ctaNombre,0))&amp;"",""))</f>
        <v/>
      </c>
      <c r="AE510" s="52">
        <f>IF(AC510="","",IFERROR(INDEX(ctaTipo,MATCH(AC510,ctaNombre,0))&amp;"",""))</f>
        <v/>
      </c>
      <c r="AF510" s="53">
        <f>IF(OR(P510="",AB510=""),"",IF(OR(P510="Gasto",P510="Transferencia",P510="Pago tarjeta"),-1,1)*IF(IFERROR(INDEX(ctaMoneda,MATCH(AB510,ctaNombre,0))&amp;"","DOP")="USD",T510,S510))</f>
        <v/>
      </c>
      <c r="AG510" s="53">
        <f>IF(AC510="","",IF(IFERROR(INDEX(ctaMoneda,MATCH(AC510,ctaNombre,0))&amp;"","DOP")="USD",T510,S510))</f>
        <v/>
      </c>
      <c r="AH510" s="53">
        <f>IF(P510="","",IF(AND(AD510&lt;&gt;"",COUNTIFS(tcTipo,AD510,tcLiq,"Sí")&gt;0),IF(OR(P510="Gasto",P510="Transferencia",P510="Pago tarjeta"),-1,1)*S510,0)+IF(AND(AE510&lt;&gt;"",COUNTIFS(tcTipo,AE510,tcLiq,"Sí")&gt;0),S510,0))</f>
        <v/>
      </c>
      <c r="AI510" s="52">
        <f>IF(OR(L510="",P510=""),"",IF(COUNTIFS(L$6:L510,L510,P$6:P510,"?*")=1,MAX(AI$5:AI509)+1,""))</f>
        <v/>
      </c>
    </row>
    <row r="511">
      <c r="B511" s="47" t="n"/>
      <c r="C511" s="48" t="n"/>
      <c r="D511" s="48" t="n"/>
      <c r="E511" s="48" t="n"/>
      <c r="F511" s="48" t="n"/>
      <c r="G511" s="49" t="n"/>
      <c r="H511" s="48" t="n"/>
      <c r="I511" s="50" t="n"/>
      <c r="J511" s="48" t="n"/>
      <c r="K511" s="48" t="n"/>
      <c r="L511" s="48" t="n"/>
      <c r="M511" s="48" t="n"/>
      <c r="N511" s="48" t="n"/>
      <c r="O511" s="51">
        <f>IF(AND(B511="",G511="",C511="",D511="",J511=""),"",IF(B511="","⚠ Falta fecha",IF(G511="","⚠ Falta monto",IF(Q511="","⚠ Falta cuenta",IF(ISNA(MATCH(Q511,ctaNombre,0)),"⚠ Cuenta no registrada",IF(AND(OR(P511="Gasto",P511="Reembolso"),D511=""),"⚠ Falta categoría",IF(AND(D511&lt;&gt;"",E511&lt;&gt;"",ISNA(MATCH(D511&amp;"|"&amp;E511,catClave,0))),"⚠ Subcategoría no corresponde",IF(AND(OR(P511="Transferencia",P511="Pago tarjeta"),K511=""),"⚠ Falta cuenta destino",IF(AND(K511&lt;&gt;"",P511&lt;&gt;"Transferencia",P511&lt;&gt;"Pago tarjeta"),"⚠ Destino solo aplica a transferencias",IF(AND(K511&lt;&gt;"",K511=Q511),"⚠ Origen igual a destino",IF(AND(K511&lt;&gt;"",ISNA(MATCH(K511,ctaNombre,0))),"⚠ Destino no registrado",IF(AND(P511="Pago tarjeta",AE511&lt;&gt;"Tarjeta de crédito"),"⚠ El destino debe ser tarjeta de crédito",IF(AND(P511="Gasto",E511="Depósitos y retiros"),"⚠ Usa tipo Transferencia",IF(AND(P511="Resultado trading",AD511&lt;&gt;"Cuenta de trading"),"⚠ Usa una cuenta de trading",IF(AND(G511&lt;=0,P511&lt;&gt;"Ajuste",P511&lt;&gt;"Resultado trading"),"⚠ El monto debe ser positivo","✓")))))))))))))))</f>
        <v/>
      </c>
      <c r="P511" s="52">
        <f>IF(OR(B511="",G511=""),"",IF(C511="","Gasto",C511))</f>
        <v/>
      </c>
      <c r="Q511" s="52">
        <f>IF(P511="","",IF(J511&lt;&gt;"",J511,CuentaPred&amp;""))</f>
        <v/>
      </c>
      <c r="R511" s="52">
        <f>IF(P511="","",IF(ISNUMBER(I511),I511,TasaUSD))</f>
        <v/>
      </c>
      <c r="S511" s="53">
        <f>IF(P511="","",IF(H511="USD",G511*R511,G511))</f>
        <v/>
      </c>
      <c r="T511" s="53">
        <f>IF(P511="","",IF(H511="USD",G511,IF(R511&gt;0,G511/R511,0)))</f>
        <v/>
      </c>
      <c r="U511" s="53">
        <f>IF(P511="","",IF(P511="Gasto",S511,IF(P511="Reembolso",-S511,0)))</f>
        <v/>
      </c>
      <c r="V511" s="53">
        <f>IF(P511="","",IF(P511="Ingreso",S511,0))</f>
        <v/>
      </c>
      <c r="W511" s="53">
        <f>IF(P511="","",IF(P511="Resultado trading",S511,0))</f>
        <v/>
      </c>
      <c r="X511" s="52">
        <f>IF(OR(P511="Gasto",P511="Reembolso"),IF(M511&lt;&gt;"",M511,IFERROR(INDEX(catClasif,MATCH(D511&amp;"|"&amp;E511,catClave,0))&amp;"","Variable")),"")</f>
        <v/>
      </c>
      <c r="Y511" s="52">
        <f>IF(P511="","",IFERROR(INDEX(catGrupo,MATCH(D511&amp;"|"&amp;E511,catClave,0))&amp;"",""))</f>
        <v/>
      </c>
      <c r="Z511" s="52">
        <f>IF(P511="","",WEEKDAY(B511,2))</f>
        <v/>
      </c>
      <c r="AA511" s="52">
        <f>IF(P511="","",IF(AND(P511="Gasto",X511="Variable",D511&lt;&gt;catTrading,S511&gt;0,S511&lt;=Umbral),1,0))</f>
        <v/>
      </c>
      <c r="AB511" s="52">
        <f>IF(OR(P511="",Q511=""),"",IFERROR(IF(INDEX(ctaVinc,MATCH(Q511,ctaNombre,0))&amp;""&lt;&gt;"",INDEX(ctaVinc,MATCH(Q511,ctaNombre,0))&amp;"",Q511),Q511))</f>
        <v/>
      </c>
      <c r="AC511" s="52">
        <f>IF(OR(K511="",AND(P511&lt;&gt;"Transferencia",P511&lt;&gt;"Pago tarjeta")),"",IFERROR(IF(INDEX(ctaVinc,MATCH(K511,ctaNombre,0))&amp;""&lt;&gt;"",INDEX(ctaVinc,MATCH(K511,ctaNombre,0))&amp;"",K511),K511))</f>
        <v/>
      </c>
      <c r="AD511" s="52">
        <f>IF(AB511="","",IFERROR(INDEX(ctaTipo,MATCH(AB511,ctaNombre,0))&amp;"",""))</f>
        <v/>
      </c>
      <c r="AE511" s="52">
        <f>IF(AC511="","",IFERROR(INDEX(ctaTipo,MATCH(AC511,ctaNombre,0))&amp;"",""))</f>
        <v/>
      </c>
      <c r="AF511" s="53">
        <f>IF(OR(P511="",AB511=""),"",IF(OR(P511="Gasto",P511="Transferencia",P511="Pago tarjeta"),-1,1)*IF(IFERROR(INDEX(ctaMoneda,MATCH(AB511,ctaNombre,0))&amp;"","DOP")="USD",T511,S511))</f>
        <v/>
      </c>
      <c r="AG511" s="53">
        <f>IF(AC511="","",IF(IFERROR(INDEX(ctaMoneda,MATCH(AC511,ctaNombre,0))&amp;"","DOP")="USD",T511,S511))</f>
        <v/>
      </c>
      <c r="AH511" s="53">
        <f>IF(P511="","",IF(AND(AD511&lt;&gt;"",COUNTIFS(tcTipo,AD511,tcLiq,"Sí")&gt;0),IF(OR(P511="Gasto",P511="Transferencia",P511="Pago tarjeta"),-1,1)*S511,0)+IF(AND(AE511&lt;&gt;"",COUNTIFS(tcTipo,AE511,tcLiq,"Sí")&gt;0),S511,0))</f>
        <v/>
      </c>
      <c r="AI511" s="52">
        <f>IF(OR(L511="",P511=""),"",IF(COUNTIFS(L$6:L511,L511,P$6:P511,"?*")=1,MAX(AI$5:AI510)+1,""))</f>
        <v/>
      </c>
    </row>
    <row r="512">
      <c r="B512" s="47" t="n"/>
      <c r="C512" s="48" t="n"/>
      <c r="D512" s="48" t="n"/>
      <c r="E512" s="48" t="n"/>
      <c r="F512" s="48" t="n"/>
      <c r="G512" s="49" t="n"/>
      <c r="H512" s="48" t="n"/>
      <c r="I512" s="50" t="n"/>
      <c r="J512" s="48" t="n"/>
      <c r="K512" s="48" t="n"/>
      <c r="L512" s="48" t="n"/>
      <c r="M512" s="48" t="n"/>
      <c r="N512" s="48" t="n"/>
      <c r="O512" s="51">
        <f>IF(AND(B512="",G512="",C512="",D512="",J512=""),"",IF(B512="","⚠ Falta fecha",IF(G512="","⚠ Falta monto",IF(Q512="","⚠ Falta cuenta",IF(ISNA(MATCH(Q512,ctaNombre,0)),"⚠ Cuenta no registrada",IF(AND(OR(P512="Gasto",P512="Reembolso"),D512=""),"⚠ Falta categoría",IF(AND(D512&lt;&gt;"",E512&lt;&gt;"",ISNA(MATCH(D512&amp;"|"&amp;E512,catClave,0))),"⚠ Subcategoría no corresponde",IF(AND(OR(P512="Transferencia",P512="Pago tarjeta"),K512=""),"⚠ Falta cuenta destino",IF(AND(K512&lt;&gt;"",P512&lt;&gt;"Transferencia",P512&lt;&gt;"Pago tarjeta"),"⚠ Destino solo aplica a transferencias",IF(AND(K512&lt;&gt;"",K512=Q512),"⚠ Origen igual a destino",IF(AND(K512&lt;&gt;"",ISNA(MATCH(K512,ctaNombre,0))),"⚠ Destino no registrado",IF(AND(P512="Pago tarjeta",AE512&lt;&gt;"Tarjeta de crédito"),"⚠ El destino debe ser tarjeta de crédito",IF(AND(P512="Gasto",E512="Depósitos y retiros"),"⚠ Usa tipo Transferencia",IF(AND(P512="Resultado trading",AD512&lt;&gt;"Cuenta de trading"),"⚠ Usa una cuenta de trading",IF(AND(G512&lt;=0,P512&lt;&gt;"Ajuste",P512&lt;&gt;"Resultado trading"),"⚠ El monto debe ser positivo","✓")))))))))))))))</f>
        <v/>
      </c>
      <c r="P512" s="52">
        <f>IF(OR(B512="",G512=""),"",IF(C512="","Gasto",C512))</f>
        <v/>
      </c>
      <c r="Q512" s="52">
        <f>IF(P512="","",IF(J512&lt;&gt;"",J512,CuentaPred&amp;""))</f>
        <v/>
      </c>
      <c r="R512" s="52">
        <f>IF(P512="","",IF(ISNUMBER(I512),I512,TasaUSD))</f>
        <v/>
      </c>
      <c r="S512" s="53">
        <f>IF(P512="","",IF(H512="USD",G512*R512,G512))</f>
        <v/>
      </c>
      <c r="T512" s="53">
        <f>IF(P512="","",IF(H512="USD",G512,IF(R512&gt;0,G512/R512,0)))</f>
        <v/>
      </c>
      <c r="U512" s="53">
        <f>IF(P512="","",IF(P512="Gasto",S512,IF(P512="Reembolso",-S512,0)))</f>
        <v/>
      </c>
      <c r="V512" s="53">
        <f>IF(P512="","",IF(P512="Ingreso",S512,0))</f>
        <v/>
      </c>
      <c r="W512" s="53">
        <f>IF(P512="","",IF(P512="Resultado trading",S512,0))</f>
        <v/>
      </c>
      <c r="X512" s="52">
        <f>IF(OR(P512="Gasto",P512="Reembolso"),IF(M512&lt;&gt;"",M512,IFERROR(INDEX(catClasif,MATCH(D512&amp;"|"&amp;E512,catClave,0))&amp;"","Variable")),"")</f>
        <v/>
      </c>
      <c r="Y512" s="52">
        <f>IF(P512="","",IFERROR(INDEX(catGrupo,MATCH(D512&amp;"|"&amp;E512,catClave,0))&amp;"",""))</f>
        <v/>
      </c>
      <c r="Z512" s="52">
        <f>IF(P512="","",WEEKDAY(B512,2))</f>
        <v/>
      </c>
      <c r="AA512" s="52">
        <f>IF(P512="","",IF(AND(P512="Gasto",X512="Variable",D512&lt;&gt;catTrading,S512&gt;0,S512&lt;=Umbral),1,0))</f>
        <v/>
      </c>
      <c r="AB512" s="52">
        <f>IF(OR(P512="",Q512=""),"",IFERROR(IF(INDEX(ctaVinc,MATCH(Q512,ctaNombre,0))&amp;""&lt;&gt;"",INDEX(ctaVinc,MATCH(Q512,ctaNombre,0))&amp;"",Q512),Q512))</f>
        <v/>
      </c>
      <c r="AC512" s="52">
        <f>IF(OR(K512="",AND(P512&lt;&gt;"Transferencia",P512&lt;&gt;"Pago tarjeta")),"",IFERROR(IF(INDEX(ctaVinc,MATCH(K512,ctaNombre,0))&amp;""&lt;&gt;"",INDEX(ctaVinc,MATCH(K512,ctaNombre,0))&amp;"",K512),K512))</f>
        <v/>
      </c>
      <c r="AD512" s="52">
        <f>IF(AB512="","",IFERROR(INDEX(ctaTipo,MATCH(AB512,ctaNombre,0))&amp;"",""))</f>
        <v/>
      </c>
      <c r="AE512" s="52">
        <f>IF(AC512="","",IFERROR(INDEX(ctaTipo,MATCH(AC512,ctaNombre,0))&amp;"",""))</f>
        <v/>
      </c>
      <c r="AF512" s="53">
        <f>IF(OR(P512="",AB512=""),"",IF(OR(P512="Gasto",P512="Transferencia",P512="Pago tarjeta"),-1,1)*IF(IFERROR(INDEX(ctaMoneda,MATCH(AB512,ctaNombre,0))&amp;"","DOP")="USD",T512,S512))</f>
        <v/>
      </c>
      <c r="AG512" s="53">
        <f>IF(AC512="","",IF(IFERROR(INDEX(ctaMoneda,MATCH(AC512,ctaNombre,0))&amp;"","DOP")="USD",T512,S512))</f>
        <v/>
      </c>
      <c r="AH512" s="53">
        <f>IF(P512="","",IF(AND(AD512&lt;&gt;"",COUNTIFS(tcTipo,AD512,tcLiq,"Sí")&gt;0),IF(OR(P512="Gasto",P512="Transferencia",P512="Pago tarjeta"),-1,1)*S512,0)+IF(AND(AE512&lt;&gt;"",COUNTIFS(tcTipo,AE512,tcLiq,"Sí")&gt;0),S512,0))</f>
        <v/>
      </c>
      <c r="AI512" s="52">
        <f>IF(OR(L512="",P512=""),"",IF(COUNTIFS(L$6:L512,L512,P$6:P512,"?*")=1,MAX(AI$5:AI511)+1,""))</f>
        <v/>
      </c>
    </row>
    <row r="513">
      <c r="B513" s="47" t="n"/>
      <c r="C513" s="48" t="n"/>
      <c r="D513" s="48" t="n"/>
      <c r="E513" s="48" t="n"/>
      <c r="F513" s="48" t="n"/>
      <c r="G513" s="49" t="n"/>
      <c r="H513" s="48" t="n"/>
      <c r="I513" s="50" t="n"/>
      <c r="J513" s="48" t="n"/>
      <c r="K513" s="48" t="n"/>
      <c r="L513" s="48" t="n"/>
      <c r="M513" s="48" t="n"/>
      <c r="N513" s="48" t="n"/>
      <c r="O513" s="51">
        <f>IF(AND(B513="",G513="",C513="",D513="",J513=""),"",IF(B513="","⚠ Falta fecha",IF(G513="","⚠ Falta monto",IF(Q513="","⚠ Falta cuenta",IF(ISNA(MATCH(Q513,ctaNombre,0)),"⚠ Cuenta no registrada",IF(AND(OR(P513="Gasto",P513="Reembolso"),D513=""),"⚠ Falta categoría",IF(AND(D513&lt;&gt;"",E513&lt;&gt;"",ISNA(MATCH(D513&amp;"|"&amp;E513,catClave,0))),"⚠ Subcategoría no corresponde",IF(AND(OR(P513="Transferencia",P513="Pago tarjeta"),K513=""),"⚠ Falta cuenta destino",IF(AND(K513&lt;&gt;"",P513&lt;&gt;"Transferencia",P513&lt;&gt;"Pago tarjeta"),"⚠ Destino solo aplica a transferencias",IF(AND(K513&lt;&gt;"",K513=Q513),"⚠ Origen igual a destino",IF(AND(K513&lt;&gt;"",ISNA(MATCH(K513,ctaNombre,0))),"⚠ Destino no registrado",IF(AND(P513="Pago tarjeta",AE513&lt;&gt;"Tarjeta de crédito"),"⚠ El destino debe ser tarjeta de crédito",IF(AND(P513="Gasto",E513="Depósitos y retiros"),"⚠ Usa tipo Transferencia",IF(AND(P513="Resultado trading",AD513&lt;&gt;"Cuenta de trading"),"⚠ Usa una cuenta de trading",IF(AND(G513&lt;=0,P513&lt;&gt;"Ajuste",P513&lt;&gt;"Resultado trading"),"⚠ El monto debe ser positivo","✓")))))))))))))))</f>
        <v/>
      </c>
      <c r="P513" s="52">
        <f>IF(OR(B513="",G513=""),"",IF(C513="","Gasto",C513))</f>
        <v/>
      </c>
      <c r="Q513" s="52">
        <f>IF(P513="","",IF(J513&lt;&gt;"",J513,CuentaPred&amp;""))</f>
        <v/>
      </c>
      <c r="R513" s="52">
        <f>IF(P513="","",IF(ISNUMBER(I513),I513,TasaUSD))</f>
        <v/>
      </c>
      <c r="S513" s="53">
        <f>IF(P513="","",IF(H513="USD",G513*R513,G513))</f>
        <v/>
      </c>
      <c r="T513" s="53">
        <f>IF(P513="","",IF(H513="USD",G513,IF(R513&gt;0,G513/R513,0)))</f>
        <v/>
      </c>
      <c r="U513" s="53">
        <f>IF(P513="","",IF(P513="Gasto",S513,IF(P513="Reembolso",-S513,0)))</f>
        <v/>
      </c>
      <c r="V513" s="53">
        <f>IF(P513="","",IF(P513="Ingreso",S513,0))</f>
        <v/>
      </c>
      <c r="W513" s="53">
        <f>IF(P513="","",IF(P513="Resultado trading",S513,0))</f>
        <v/>
      </c>
      <c r="X513" s="52">
        <f>IF(OR(P513="Gasto",P513="Reembolso"),IF(M513&lt;&gt;"",M513,IFERROR(INDEX(catClasif,MATCH(D513&amp;"|"&amp;E513,catClave,0))&amp;"","Variable")),"")</f>
        <v/>
      </c>
      <c r="Y513" s="52">
        <f>IF(P513="","",IFERROR(INDEX(catGrupo,MATCH(D513&amp;"|"&amp;E513,catClave,0))&amp;"",""))</f>
        <v/>
      </c>
      <c r="Z513" s="52">
        <f>IF(P513="","",WEEKDAY(B513,2))</f>
        <v/>
      </c>
      <c r="AA513" s="52">
        <f>IF(P513="","",IF(AND(P513="Gasto",X513="Variable",D513&lt;&gt;catTrading,S513&gt;0,S513&lt;=Umbral),1,0))</f>
        <v/>
      </c>
      <c r="AB513" s="52">
        <f>IF(OR(P513="",Q513=""),"",IFERROR(IF(INDEX(ctaVinc,MATCH(Q513,ctaNombre,0))&amp;""&lt;&gt;"",INDEX(ctaVinc,MATCH(Q513,ctaNombre,0))&amp;"",Q513),Q513))</f>
        <v/>
      </c>
      <c r="AC513" s="52">
        <f>IF(OR(K513="",AND(P513&lt;&gt;"Transferencia",P513&lt;&gt;"Pago tarjeta")),"",IFERROR(IF(INDEX(ctaVinc,MATCH(K513,ctaNombre,0))&amp;""&lt;&gt;"",INDEX(ctaVinc,MATCH(K513,ctaNombre,0))&amp;"",K513),K513))</f>
        <v/>
      </c>
      <c r="AD513" s="52">
        <f>IF(AB513="","",IFERROR(INDEX(ctaTipo,MATCH(AB513,ctaNombre,0))&amp;"",""))</f>
        <v/>
      </c>
      <c r="AE513" s="52">
        <f>IF(AC513="","",IFERROR(INDEX(ctaTipo,MATCH(AC513,ctaNombre,0))&amp;"",""))</f>
        <v/>
      </c>
      <c r="AF513" s="53">
        <f>IF(OR(P513="",AB513=""),"",IF(OR(P513="Gasto",P513="Transferencia",P513="Pago tarjeta"),-1,1)*IF(IFERROR(INDEX(ctaMoneda,MATCH(AB513,ctaNombre,0))&amp;"","DOP")="USD",T513,S513))</f>
        <v/>
      </c>
      <c r="AG513" s="53">
        <f>IF(AC513="","",IF(IFERROR(INDEX(ctaMoneda,MATCH(AC513,ctaNombre,0))&amp;"","DOP")="USD",T513,S513))</f>
        <v/>
      </c>
      <c r="AH513" s="53">
        <f>IF(P513="","",IF(AND(AD513&lt;&gt;"",COUNTIFS(tcTipo,AD513,tcLiq,"Sí")&gt;0),IF(OR(P513="Gasto",P513="Transferencia",P513="Pago tarjeta"),-1,1)*S513,0)+IF(AND(AE513&lt;&gt;"",COUNTIFS(tcTipo,AE513,tcLiq,"Sí")&gt;0),S513,0))</f>
        <v/>
      </c>
      <c r="AI513" s="52">
        <f>IF(OR(L513="",P513=""),"",IF(COUNTIFS(L$6:L513,L513,P$6:P513,"?*")=1,MAX(AI$5:AI512)+1,""))</f>
        <v/>
      </c>
    </row>
    <row r="514">
      <c r="B514" s="47" t="n"/>
      <c r="C514" s="48" t="n"/>
      <c r="D514" s="48" t="n"/>
      <c r="E514" s="48" t="n"/>
      <c r="F514" s="48" t="n"/>
      <c r="G514" s="49" t="n"/>
      <c r="H514" s="48" t="n"/>
      <c r="I514" s="50" t="n"/>
      <c r="J514" s="48" t="n"/>
      <c r="K514" s="48" t="n"/>
      <c r="L514" s="48" t="n"/>
      <c r="M514" s="48" t="n"/>
      <c r="N514" s="48" t="n"/>
      <c r="O514" s="51">
        <f>IF(AND(B514="",G514="",C514="",D514="",J514=""),"",IF(B514="","⚠ Falta fecha",IF(G514="","⚠ Falta monto",IF(Q514="","⚠ Falta cuenta",IF(ISNA(MATCH(Q514,ctaNombre,0)),"⚠ Cuenta no registrada",IF(AND(OR(P514="Gasto",P514="Reembolso"),D514=""),"⚠ Falta categoría",IF(AND(D514&lt;&gt;"",E514&lt;&gt;"",ISNA(MATCH(D514&amp;"|"&amp;E514,catClave,0))),"⚠ Subcategoría no corresponde",IF(AND(OR(P514="Transferencia",P514="Pago tarjeta"),K514=""),"⚠ Falta cuenta destino",IF(AND(K514&lt;&gt;"",P514&lt;&gt;"Transferencia",P514&lt;&gt;"Pago tarjeta"),"⚠ Destino solo aplica a transferencias",IF(AND(K514&lt;&gt;"",K514=Q514),"⚠ Origen igual a destino",IF(AND(K514&lt;&gt;"",ISNA(MATCH(K514,ctaNombre,0))),"⚠ Destino no registrado",IF(AND(P514="Pago tarjeta",AE514&lt;&gt;"Tarjeta de crédito"),"⚠ El destino debe ser tarjeta de crédito",IF(AND(P514="Gasto",E514="Depósitos y retiros"),"⚠ Usa tipo Transferencia",IF(AND(P514="Resultado trading",AD514&lt;&gt;"Cuenta de trading"),"⚠ Usa una cuenta de trading",IF(AND(G514&lt;=0,P514&lt;&gt;"Ajuste",P514&lt;&gt;"Resultado trading"),"⚠ El monto debe ser positivo","✓")))))))))))))))</f>
        <v/>
      </c>
      <c r="P514" s="52">
        <f>IF(OR(B514="",G514=""),"",IF(C514="","Gasto",C514))</f>
        <v/>
      </c>
      <c r="Q514" s="52">
        <f>IF(P514="","",IF(J514&lt;&gt;"",J514,CuentaPred&amp;""))</f>
        <v/>
      </c>
      <c r="R514" s="52">
        <f>IF(P514="","",IF(ISNUMBER(I514),I514,TasaUSD))</f>
        <v/>
      </c>
      <c r="S514" s="53">
        <f>IF(P514="","",IF(H514="USD",G514*R514,G514))</f>
        <v/>
      </c>
      <c r="T514" s="53">
        <f>IF(P514="","",IF(H514="USD",G514,IF(R514&gt;0,G514/R514,0)))</f>
        <v/>
      </c>
      <c r="U514" s="53">
        <f>IF(P514="","",IF(P514="Gasto",S514,IF(P514="Reembolso",-S514,0)))</f>
        <v/>
      </c>
      <c r="V514" s="53">
        <f>IF(P514="","",IF(P514="Ingreso",S514,0))</f>
        <v/>
      </c>
      <c r="W514" s="53">
        <f>IF(P514="","",IF(P514="Resultado trading",S514,0))</f>
        <v/>
      </c>
      <c r="X514" s="52">
        <f>IF(OR(P514="Gasto",P514="Reembolso"),IF(M514&lt;&gt;"",M514,IFERROR(INDEX(catClasif,MATCH(D514&amp;"|"&amp;E514,catClave,0))&amp;"","Variable")),"")</f>
        <v/>
      </c>
      <c r="Y514" s="52">
        <f>IF(P514="","",IFERROR(INDEX(catGrupo,MATCH(D514&amp;"|"&amp;E514,catClave,0))&amp;"",""))</f>
        <v/>
      </c>
      <c r="Z514" s="52">
        <f>IF(P514="","",WEEKDAY(B514,2))</f>
        <v/>
      </c>
      <c r="AA514" s="52">
        <f>IF(P514="","",IF(AND(P514="Gasto",X514="Variable",D514&lt;&gt;catTrading,S514&gt;0,S514&lt;=Umbral),1,0))</f>
        <v/>
      </c>
      <c r="AB514" s="52">
        <f>IF(OR(P514="",Q514=""),"",IFERROR(IF(INDEX(ctaVinc,MATCH(Q514,ctaNombre,0))&amp;""&lt;&gt;"",INDEX(ctaVinc,MATCH(Q514,ctaNombre,0))&amp;"",Q514),Q514))</f>
        <v/>
      </c>
      <c r="AC514" s="52">
        <f>IF(OR(K514="",AND(P514&lt;&gt;"Transferencia",P514&lt;&gt;"Pago tarjeta")),"",IFERROR(IF(INDEX(ctaVinc,MATCH(K514,ctaNombre,0))&amp;""&lt;&gt;"",INDEX(ctaVinc,MATCH(K514,ctaNombre,0))&amp;"",K514),K514))</f>
        <v/>
      </c>
      <c r="AD514" s="52">
        <f>IF(AB514="","",IFERROR(INDEX(ctaTipo,MATCH(AB514,ctaNombre,0))&amp;"",""))</f>
        <v/>
      </c>
      <c r="AE514" s="52">
        <f>IF(AC514="","",IFERROR(INDEX(ctaTipo,MATCH(AC514,ctaNombre,0))&amp;"",""))</f>
        <v/>
      </c>
      <c r="AF514" s="53">
        <f>IF(OR(P514="",AB514=""),"",IF(OR(P514="Gasto",P514="Transferencia",P514="Pago tarjeta"),-1,1)*IF(IFERROR(INDEX(ctaMoneda,MATCH(AB514,ctaNombre,0))&amp;"","DOP")="USD",T514,S514))</f>
        <v/>
      </c>
      <c r="AG514" s="53">
        <f>IF(AC514="","",IF(IFERROR(INDEX(ctaMoneda,MATCH(AC514,ctaNombre,0))&amp;"","DOP")="USD",T514,S514))</f>
        <v/>
      </c>
      <c r="AH514" s="53">
        <f>IF(P514="","",IF(AND(AD514&lt;&gt;"",COUNTIFS(tcTipo,AD514,tcLiq,"Sí")&gt;0),IF(OR(P514="Gasto",P514="Transferencia",P514="Pago tarjeta"),-1,1)*S514,0)+IF(AND(AE514&lt;&gt;"",COUNTIFS(tcTipo,AE514,tcLiq,"Sí")&gt;0),S514,0))</f>
        <v/>
      </c>
      <c r="AI514" s="52">
        <f>IF(OR(L514="",P514=""),"",IF(COUNTIFS(L$6:L514,L514,P$6:P514,"?*")=1,MAX(AI$5:AI513)+1,""))</f>
        <v/>
      </c>
    </row>
    <row r="515">
      <c r="B515" s="47" t="n"/>
      <c r="C515" s="48" t="n"/>
      <c r="D515" s="48" t="n"/>
      <c r="E515" s="48" t="n"/>
      <c r="F515" s="48" t="n"/>
      <c r="G515" s="49" t="n"/>
      <c r="H515" s="48" t="n"/>
      <c r="I515" s="50" t="n"/>
      <c r="J515" s="48" t="n"/>
      <c r="K515" s="48" t="n"/>
      <c r="L515" s="48" t="n"/>
      <c r="M515" s="48" t="n"/>
      <c r="N515" s="48" t="n"/>
      <c r="O515" s="51">
        <f>IF(AND(B515="",G515="",C515="",D515="",J515=""),"",IF(B515="","⚠ Falta fecha",IF(G515="","⚠ Falta monto",IF(Q515="","⚠ Falta cuenta",IF(ISNA(MATCH(Q515,ctaNombre,0)),"⚠ Cuenta no registrada",IF(AND(OR(P515="Gasto",P515="Reembolso"),D515=""),"⚠ Falta categoría",IF(AND(D515&lt;&gt;"",E515&lt;&gt;"",ISNA(MATCH(D515&amp;"|"&amp;E515,catClave,0))),"⚠ Subcategoría no corresponde",IF(AND(OR(P515="Transferencia",P515="Pago tarjeta"),K515=""),"⚠ Falta cuenta destino",IF(AND(K515&lt;&gt;"",P515&lt;&gt;"Transferencia",P515&lt;&gt;"Pago tarjeta"),"⚠ Destino solo aplica a transferencias",IF(AND(K515&lt;&gt;"",K515=Q515),"⚠ Origen igual a destino",IF(AND(K515&lt;&gt;"",ISNA(MATCH(K515,ctaNombre,0))),"⚠ Destino no registrado",IF(AND(P515="Pago tarjeta",AE515&lt;&gt;"Tarjeta de crédito"),"⚠ El destino debe ser tarjeta de crédito",IF(AND(P515="Gasto",E515="Depósitos y retiros"),"⚠ Usa tipo Transferencia",IF(AND(P515="Resultado trading",AD515&lt;&gt;"Cuenta de trading"),"⚠ Usa una cuenta de trading",IF(AND(G515&lt;=0,P515&lt;&gt;"Ajuste",P515&lt;&gt;"Resultado trading"),"⚠ El monto debe ser positivo","✓")))))))))))))))</f>
        <v/>
      </c>
      <c r="P515" s="52">
        <f>IF(OR(B515="",G515=""),"",IF(C515="","Gasto",C515))</f>
        <v/>
      </c>
      <c r="Q515" s="52">
        <f>IF(P515="","",IF(J515&lt;&gt;"",J515,CuentaPred&amp;""))</f>
        <v/>
      </c>
      <c r="R515" s="52">
        <f>IF(P515="","",IF(ISNUMBER(I515),I515,TasaUSD))</f>
        <v/>
      </c>
      <c r="S515" s="53">
        <f>IF(P515="","",IF(H515="USD",G515*R515,G515))</f>
        <v/>
      </c>
      <c r="T515" s="53">
        <f>IF(P515="","",IF(H515="USD",G515,IF(R515&gt;0,G515/R515,0)))</f>
        <v/>
      </c>
      <c r="U515" s="53">
        <f>IF(P515="","",IF(P515="Gasto",S515,IF(P515="Reembolso",-S515,0)))</f>
        <v/>
      </c>
      <c r="V515" s="53">
        <f>IF(P515="","",IF(P515="Ingreso",S515,0))</f>
        <v/>
      </c>
      <c r="W515" s="53">
        <f>IF(P515="","",IF(P515="Resultado trading",S515,0))</f>
        <v/>
      </c>
      <c r="X515" s="52">
        <f>IF(OR(P515="Gasto",P515="Reembolso"),IF(M515&lt;&gt;"",M515,IFERROR(INDEX(catClasif,MATCH(D515&amp;"|"&amp;E515,catClave,0))&amp;"","Variable")),"")</f>
        <v/>
      </c>
      <c r="Y515" s="52">
        <f>IF(P515="","",IFERROR(INDEX(catGrupo,MATCH(D515&amp;"|"&amp;E515,catClave,0))&amp;"",""))</f>
        <v/>
      </c>
      <c r="Z515" s="52">
        <f>IF(P515="","",WEEKDAY(B515,2))</f>
        <v/>
      </c>
      <c r="AA515" s="52">
        <f>IF(P515="","",IF(AND(P515="Gasto",X515="Variable",D515&lt;&gt;catTrading,S515&gt;0,S515&lt;=Umbral),1,0))</f>
        <v/>
      </c>
      <c r="AB515" s="52">
        <f>IF(OR(P515="",Q515=""),"",IFERROR(IF(INDEX(ctaVinc,MATCH(Q515,ctaNombre,0))&amp;""&lt;&gt;"",INDEX(ctaVinc,MATCH(Q515,ctaNombre,0))&amp;"",Q515),Q515))</f>
        <v/>
      </c>
      <c r="AC515" s="52">
        <f>IF(OR(K515="",AND(P515&lt;&gt;"Transferencia",P515&lt;&gt;"Pago tarjeta")),"",IFERROR(IF(INDEX(ctaVinc,MATCH(K515,ctaNombre,0))&amp;""&lt;&gt;"",INDEX(ctaVinc,MATCH(K515,ctaNombre,0))&amp;"",K515),K515))</f>
        <v/>
      </c>
      <c r="AD515" s="52">
        <f>IF(AB515="","",IFERROR(INDEX(ctaTipo,MATCH(AB515,ctaNombre,0))&amp;"",""))</f>
        <v/>
      </c>
      <c r="AE515" s="52">
        <f>IF(AC515="","",IFERROR(INDEX(ctaTipo,MATCH(AC515,ctaNombre,0))&amp;"",""))</f>
        <v/>
      </c>
      <c r="AF515" s="53">
        <f>IF(OR(P515="",AB515=""),"",IF(OR(P515="Gasto",P515="Transferencia",P515="Pago tarjeta"),-1,1)*IF(IFERROR(INDEX(ctaMoneda,MATCH(AB515,ctaNombre,0))&amp;"","DOP")="USD",T515,S515))</f>
        <v/>
      </c>
      <c r="AG515" s="53">
        <f>IF(AC515="","",IF(IFERROR(INDEX(ctaMoneda,MATCH(AC515,ctaNombre,0))&amp;"","DOP")="USD",T515,S515))</f>
        <v/>
      </c>
      <c r="AH515" s="53">
        <f>IF(P515="","",IF(AND(AD515&lt;&gt;"",COUNTIFS(tcTipo,AD515,tcLiq,"Sí")&gt;0),IF(OR(P515="Gasto",P515="Transferencia",P515="Pago tarjeta"),-1,1)*S515,0)+IF(AND(AE515&lt;&gt;"",COUNTIFS(tcTipo,AE515,tcLiq,"Sí")&gt;0),S515,0))</f>
        <v/>
      </c>
      <c r="AI515" s="52">
        <f>IF(OR(L515="",P515=""),"",IF(COUNTIFS(L$6:L515,L515,P$6:P515,"?*")=1,MAX(AI$5:AI514)+1,""))</f>
        <v/>
      </c>
    </row>
    <row r="516">
      <c r="B516" s="47" t="n"/>
      <c r="C516" s="48" t="n"/>
      <c r="D516" s="48" t="n"/>
      <c r="E516" s="48" t="n"/>
      <c r="F516" s="48" t="n"/>
      <c r="G516" s="49" t="n"/>
      <c r="H516" s="48" t="n"/>
      <c r="I516" s="50" t="n"/>
      <c r="J516" s="48" t="n"/>
      <c r="K516" s="48" t="n"/>
      <c r="L516" s="48" t="n"/>
      <c r="M516" s="48" t="n"/>
      <c r="N516" s="48" t="n"/>
      <c r="O516" s="51">
        <f>IF(AND(B516="",G516="",C516="",D516="",J516=""),"",IF(B516="","⚠ Falta fecha",IF(G516="","⚠ Falta monto",IF(Q516="","⚠ Falta cuenta",IF(ISNA(MATCH(Q516,ctaNombre,0)),"⚠ Cuenta no registrada",IF(AND(OR(P516="Gasto",P516="Reembolso"),D516=""),"⚠ Falta categoría",IF(AND(D516&lt;&gt;"",E516&lt;&gt;"",ISNA(MATCH(D516&amp;"|"&amp;E516,catClave,0))),"⚠ Subcategoría no corresponde",IF(AND(OR(P516="Transferencia",P516="Pago tarjeta"),K516=""),"⚠ Falta cuenta destino",IF(AND(K516&lt;&gt;"",P516&lt;&gt;"Transferencia",P516&lt;&gt;"Pago tarjeta"),"⚠ Destino solo aplica a transferencias",IF(AND(K516&lt;&gt;"",K516=Q516),"⚠ Origen igual a destino",IF(AND(K516&lt;&gt;"",ISNA(MATCH(K516,ctaNombre,0))),"⚠ Destino no registrado",IF(AND(P516="Pago tarjeta",AE516&lt;&gt;"Tarjeta de crédito"),"⚠ El destino debe ser tarjeta de crédito",IF(AND(P516="Gasto",E516="Depósitos y retiros"),"⚠ Usa tipo Transferencia",IF(AND(P516="Resultado trading",AD516&lt;&gt;"Cuenta de trading"),"⚠ Usa una cuenta de trading",IF(AND(G516&lt;=0,P516&lt;&gt;"Ajuste",P516&lt;&gt;"Resultado trading"),"⚠ El monto debe ser positivo","✓")))))))))))))))</f>
        <v/>
      </c>
      <c r="P516" s="52">
        <f>IF(OR(B516="",G516=""),"",IF(C516="","Gasto",C516))</f>
        <v/>
      </c>
      <c r="Q516" s="52">
        <f>IF(P516="","",IF(J516&lt;&gt;"",J516,CuentaPred&amp;""))</f>
        <v/>
      </c>
      <c r="R516" s="52">
        <f>IF(P516="","",IF(ISNUMBER(I516),I516,TasaUSD))</f>
        <v/>
      </c>
      <c r="S516" s="53">
        <f>IF(P516="","",IF(H516="USD",G516*R516,G516))</f>
        <v/>
      </c>
      <c r="T516" s="53">
        <f>IF(P516="","",IF(H516="USD",G516,IF(R516&gt;0,G516/R516,0)))</f>
        <v/>
      </c>
      <c r="U516" s="53">
        <f>IF(P516="","",IF(P516="Gasto",S516,IF(P516="Reembolso",-S516,0)))</f>
        <v/>
      </c>
      <c r="V516" s="53">
        <f>IF(P516="","",IF(P516="Ingreso",S516,0))</f>
        <v/>
      </c>
      <c r="W516" s="53">
        <f>IF(P516="","",IF(P516="Resultado trading",S516,0))</f>
        <v/>
      </c>
      <c r="X516" s="52">
        <f>IF(OR(P516="Gasto",P516="Reembolso"),IF(M516&lt;&gt;"",M516,IFERROR(INDEX(catClasif,MATCH(D516&amp;"|"&amp;E516,catClave,0))&amp;"","Variable")),"")</f>
        <v/>
      </c>
      <c r="Y516" s="52">
        <f>IF(P516="","",IFERROR(INDEX(catGrupo,MATCH(D516&amp;"|"&amp;E516,catClave,0))&amp;"",""))</f>
        <v/>
      </c>
      <c r="Z516" s="52">
        <f>IF(P516="","",WEEKDAY(B516,2))</f>
        <v/>
      </c>
      <c r="AA516" s="52">
        <f>IF(P516="","",IF(AND(P516="Gasto",X516="Variable",D516&lt;&gt;catTrading,S516&gt;0,S516&lt;=Umbral),1,0))</f>
        <v/>
      </c>
      <c r="AB516" s="52">
        <f>IF(OR(P516="",Q516=""),"",IFERROR(IF(INDEX(ctaVinc,MATCH(Q516,ctaNombre,0))&amp;""&lt;&gt;"",INDEX(ctaVinc,MATCH(Q516,ctaNombre,0))&amp;"",Q516),Q516))</f>
        <v/>
      </c>
      <c r="AC516" s="52">
        <f>IF(OR(K516="",AND(P516&lt;&gt;"Transferencia",P516&lt;&gt;"Pago tarjeta")),"",IFERROR(IF(INDEX(ctaVinc,MATCH(K516,ctaNombre,0))&amp;""&lt;&gt;"",INDEX(ctaVinc,MATCH(K516,ctaNombre,0))&amp;"",K516),K516))</f>
        <v/>
      </c>
      <c r="AD516" s="52">
        <f>IF(AB516="","",IFERROR(INDEX(ctaTipo,MATCH(AB516,ctaNombre,0))&amp;"",""))</f>
        <v/>
      </c>
      <c r="AE516" s="52">
        <f>IF(AC516="","",IFERROR(INDEX(ctaTipo,MATCH(AC516,ctaNombre,0))&amp;"",""))</f>
        <v/>
      </c>
      <c r="AF516" s="53">
        <f>IF(OR(P516="",AB516=""),"",IF(OR(P516="Gasto",P516="Transferencia",P516="Pago tarjeta"),-1,1)*IF(IFERROR(INDEX(ctaMoneda,MATCH(AB516,ctaNombre,0))&amp;"","DOP")="USD",T516,S516))</f>
        <v/>
      </c>
      <c r="AG516" s="53">
        <f>IF(AC516="","",IF(IFERROR(INDEX(ctaMoneda,MATCH(AC516,ctaNombre,0))&amp;"","DOP")="USD",T516,S516))</f>
        <v/>
      </c>
      <c r="AH516" s="53">
        <f>IF(P516="","",IF(AND(AD516&lt;&gt;"",COUNTIFS(tcTipo,AD516,tcLiq,"Sí")&gt;0),IF(OR(P516="Gasto",P516="Transferencia",P516="Pago tarjeta"),-1,1)*S516,0)+IF(AND(AE516&lt;&gt;"",COUNTIFS(tcTipo,AE516,tcLiq,"Sí")&gt;0),S516,0))</f>
        <v/>
      </c>
      <c r="AI516" s="52">
        <f>IF(OR(L516="",P516=""),"",IF(COUNTIFS(L$6:L516,L516,P$6:P516,"?*")=1,MAX(AI$5:AI515)+1,""))</f>
        <v/>
      </c>
    </row>
    <row r="517">
      <c r="B517" s="47" t="n"/>
      <c r="C517" s="48" t="n"/>
      <c r="D517" s="48" t="n"/>
      <c r="E517" s="48" t="n"/>
      <c r="F517" s="48" t="n"/>
      <c r="G517" s="49" t="n"/>
      <c r="H517" s="48" t="n"/>
      <c r="I517" s="50" t="n"/>
      <c r="J517" s="48" t="n"/>
      <c r="K517" s="48" t="n"/>
      <c r="L517" s="48" t="n"/>
      <c r="M517" s="48" t="n"/>
      <c r="N517" s="48" t="n"/>
      <c r="O517" s="51">
        <f>IF(AND(B517="",G517="",C517="",D517="",J517=""),"",IF(B517="","⚠ Falta fecha",IF(G517="","⚠ Falta monto",IF(Q517="","⚠ Falta cuenta",IF(ISNA(MATCH(Q517,ctaNombre,0)),"⚠ Cuenta no registrada",IF(AND(OR(P517="Gasto",P517="Reembolso"),D517=""),"⚠ Falta categoría",IF(AND(D517&lt;&gt;"",E517&lt;&gt;"",ISNA(MATCH(D517&amp;"|"&amp;E517,catClave,0))),"⚠ Subcategoría no corresponde",IF(AND(OR(P517="Transferencia",P517="Pago tarjeta"),K517=""),"⚠ Falta cuenta destino",IF(AND(K517&lt;&gt;"",P517&lt;&gt;"Transferencia",P517&lt;&gt;"Pago tarjeta"),"⚠ Destino solo aplica a transferencias",IF(AND(K517&lt;&gt;"",K517=Q517),"⚠ Origen igual a destino",IF(AND(K517&lt;&gt;"",ISNA(MATCH(K517,ctaNombre,0))),"⚠ Destino no registrado",IF(AND(P517="Pago tarjeta",AE517&lt;&gt;"Tarjeta de crédito"),"⚠ El destino debe ser tarjeta de crédito",IF(AND(P517="Gasto",E517="Depósitos y retiros"),"⚠ Usa tipo Transferencia",IF(AND(P517="Resultado trading",AD517&lt;&gt;"Cuenta de trading"),"⚠ Usa una cuenta de trading",IF(AND(G517&lt;=0,P517&lt;&gt;"Ajuste",P517&lt;&gt;"Resultado trading"),"⚠ El monto debe ser positivo","✓")))))))))))))))</f>
        <v/>
      </c>
      <c r="P517" s="52">
        <f>IF(OR(B517="",G517=""),"",IF(C517="","Gasto",C517))</f>
        <v/>
      </c>
      <c r="Q517" s="52">
        <f>IF(P517="","",IF(J517&lt;&gt;"",J517,CuentaPred&amp;""))</f>
        <v/>
      </c>
      <c r="R517" s="52">
        <f>IF(P517="","",IF(ISNUMBER(I517),I517,TasaUSD))</f>
        <v/>
      </c>
      <c r="S517" s="53">
        <f>IF(P517="","",IF(H517="USD",G517*R517,G517))</f>
        <v/>
      </c>
      <c r="T517" s="53">
        <f>IF(P517="","",IF(H517="USD",G517,IF(R517&gt;0,G517/R517,0)))</f>
        <v/>
      </c>
      <c r="U517" s="53">
        <f>IF(P517="","",IF(P517="Gasto",S517,IF(P517="Reembolso",-S517,0)))</f>
        <v/>
      </c>
      <c r="V517" s="53">
        <f>IF(P517="","",IF(P517="Ingreso",S517,0))</f>
        <v/>
      </c>
      <c r="W517" s="53">
        <f>IF(P517="","",IF(P517="Resultado trading",S517,0))</f>
        <v/>
      </c>
      <c r="X517" s="52">
        <f>IF(OR(P517="Gasto",P517="Reembolso"),IF(M517&lt;&gt;"",M517,IFERROR(INDEX(catClasif,MATCH(D517&amp;"|"&amp;E517,catClave,0))&amp;"","Variable")),"")</f>
        <v/>
      </c>
      <c r="Y517" s="52">
        <f>IF(P517="","",IFERROR(INDEX(catGrupo,MATCH(D517&amp;"|"&amp;E517,catClave,0))&amp;"",""))</f>
        <v/>
      </c>
      <c r="Z517" s="52">
        <f>IF(P517="","",WEEKDAY(B517,2))</f>
        <v/>
      </c>
      <c r="AA517" s="52">
        <f>IF(P517="","",IF(AND(P517="Gasto",X517="Variable",D517&lt;&gt;catTrading,S517&gt;0,S517&lt;=Umbral),1,0))</f>
        <v/>
      </c>
      <c r="AB517" s="52">
        <f>IF(OR(P517="",Q517=""),"",IFERROR(IF(INDEX(ctaVinc,MATCH(Q517,ctaNombre,0))&amp;""&lt;&gt;"",INDEX(ctaVinc,MATCH(Q517,ctaNombre,0))&amp;"",Q517),Q517))</f>
        <v/>
      </c>
      <c r="AC517" s="52">
        <f>IF(OR(K517="",AND(P517&lt;&gt;"Transferencia",P517&lt;&gt;"Pago tarjeta")),"",IFERROR(IF(INDEX(ctaVinc,MATCH(K517,ctaNombre,0))&amp;""&lt;&gt;"",INDEX(ctaVinc,MATCH(K517,ctaNombre,0))&amp;"",K517),K517))</f>
        <v/>
      </c>
      <c r="AD517" s="52">
        <f>IF(AB517="","",IFERROR(INDEX(ctaTipo,MATCH(AB517,ctaNombre,0))&amp;"",""))</f>
        <v/>
      </c>
      <c r="AE517" s="52">
        <f>IF(AC517="","",IFERROR(INDEX(ctaTipo,MATCH(AC517,ctaNombre,0))&amp;"",""))</f>
        <v/>
      </c>
      <c r="AF517" s="53">
        <f>IF(OR(P517="",AB517=""),"",IF(OR(P517="Gasto",P517="Transferencia",P517="Pago tarjeta"),-1,1)*IF(IFERROR(INDEX(ctaMoneda,MATCH(AB517,ctaNombre,0))&amp;"","DOP")="USD",T517,S517))</f>
        <v/>
      </c>
      <c r="AG517" s="53">
        <f>IF(AC517="","",IF(IFERROR(INDEX(ctaMoneda,MATCH(AC517,ctaNombre,0))&amp;"","DOP")="USD",T517,S517))</f>
        <v/>
      </c>
      <c r="AH517" s="53">
        <f>IF(P517="","",IF(AND(AD517&lt;&gt;"",COUNTIFS(tcTipo,AD517,tcLiq,"Sí")&gt;0),IF(OR(P517="Gasto",P517="Transferencia",P517="Pago tarjeta"),-1,1)*S517,0)+IF(AND(AE517&lt;&gt;"",COUNTIFS(tcTipo,AE517,tcLiq,"Sí")&gt;0),S517,0))</f>
        <v/>
      </c>
      <c r="AI517" s="52">
        <f>IF(OR(L517="",P517=""),"",IF(COUNTIFS(L$6:L517,L517,P$6:P517,"?*")=1,MAX(AI$5:AI516)+1,""))</f>
        <v/>
      </c>
    </row>
    <row r="518">
      <c r="B518" s="47" t="n"/>
      <c r="C518" s="48" t="n"/>
      <c r="D518" s="48" t="n"/>
      <c r="E518" s="48" t="n"/>
      <c r="F518" s="48" t="n"/>
      <c r="G518" s="49" t="n"/>
      <c r="H518" s="48" t="n"/>
      <c r="I518" s="50" t="n"/>
      <c r="J518" s="48" t="n"/>
      <c r="K518" s="48" t="n"/>
      <c r="L518" s="48" t="n"/>
      <c r="M518" s="48" t="n"/>
      <c r="N518" s="48" t="n"/>
      <c r="O518" s="51">
        <f>IF(AND(B518="",G518="",C518="",D518="",J518=""),"",IF(B518="","⚠ Falta fecha",IF(G518="","⚠ Falta monto",IF(Q518="","⚠ Falta cuenta",IF(ISNA(MATCH(Q518,ctaNombre,0)),"⚠ Cuenta no registrada",IF(AND(OR(P518="Gasto",P518="Reembolso"),D518=""),"⚠ Falta categoría",IF(AND(D518&lt;&gt;"",E518&lt;&gt;"",ISNA(MATCH(D518&amp;"|"&amp;E518,catClave,0))),"⚠ Subcategoría no corresponde",IF(AND(OR(P518="Transferencia",P518="Pago tarjeta"),K518=""),"⚠ Falta cuenta destino",IF(AND(K518&lt;&gt;"",P518&lt;&gt;"Transferencia",P518&lt;&gt;"Pago tarjeta"),"⚠ Destino solo aplica a transferencias",IF(AND(K518&lt;&gt;"",K518=Q518),"⚠ Origen igual a destino",IF(AND(K518&lt;&gt;"",ISNA(MATCH(K518,ctaNombre,0))),"⚠ Destino no registrado",IF(AND(P518="Pago tarjeta",AE518&lt;&gt;"Tarjeta de crédito"),"⚠ El destino debe ser tarjeta de crédito",IF(AND(P518="Gasto",E518="Depósitos y retiros"),"⚠ Usa tipo Transferencia",IF(AND(P518="Resultado trading",AD518&lt;&gt;"Cuenta de trading"),"⚠ Usa una cuenta de trading",IF(AND(G518&lt;=0,P518&lt;&gt;"Ajuste",P518&lt;&gt;"Resultado trading"),"⚠ El monto debe ser positivo","✓")))))))))))))))</f>
        <v/>
      </c>
      <c r="P518" s="52">
        <f>IF(OR(B518="",G518=""),"",IF(C518="","Gasto",C518))</f>
        <v/>
      </c>
      <c r="Q518" s="52">
        <f>IF(P518="","",IF(J518&lt;&gt;"",J518,CuentaPred&amp;""))</f>
        <v/>
      </c>
      <c r="R518" s="52">
        <f>IF(P518="","",IF(ISNUMBER(I518),I518,TasaUSD))</f>
        <v/>
      </c>
      <c r="S518" s="53">
        <f>IF(P518="","",IF(H518="USD",G518*R518,G518))</f>
        <v/>
      </c>
      <c r="T518" s="53">
        <f>IF(P518="","",IF(H518="USD",G518,IF(R518&gt;0,G518/R518,0)))</f>
        <v/>
      </c>
      <c r="U518" s="53">
        <f>IF(P518="","",IF(P518="Gasto",S518,IF(P518="Reembolso",-S518,0)))</f>
        <v/>
      </c>
      <c r="V518" s="53">
        <f>IF(P518="","",IF(P518="Ingreso",S518,0))</f>
        <v/>
      </c>
      <c r="W518" s="53">
        <f>IF(P518="","",IF(P518="Resultado trading",S518,0))</f>
        <v/>
      </c>
      <c r="X518" s="52">
        <f>IF(OR(P518="Gasto",P518="Reembolso"),IF(M518&lt;&gt;"",M518,IFERROR(INDEX(catClasif,MATCH(D518&amp;"|"&amp;E518,catClave,0))&amp;"","Variable")),"")</f>
        <v/>
      </c>
      <c r="Y518" s="52">
        <f>IF(P518="","",IFERROR(INDEX(catGrupo,MATCH(D518&amp;"|"&amp;E518,catClave,0))&amp;"",""))</f>
        <v/>
      </c>
      <c r="Z518" s="52">
        <f>IF(P518="","",WEEKDAY(B518,2))</f>
        <v/>
      </c>
      <c r="AA518" s="52">
        <f>IF(P518="","",IF(AND(P518="Gasto",X518="Variable",D518&lt;&gt;catTrading,S518&gt;0,S518&lt;=Umbral),1,0))</f>
        <v/>
      </c>
      <c r="AB518" s="52">
        <f>IF(OR(P518="",Q518=""),"",IFERROR(IF(INDEX(ctaVinc,MATCH(Q518,ctaNombre,0))&amp;""&lt;&gt;"",INDEX(ctaVinc,MATCH(Q518,ctaNombre,0))&amp;"",Q518),Q518))</f>
        <v/>
      </c>
      <c r="AC518" s="52">
        <f>IF(OR(K518="",AND(P518&lt;&gt;"Transferencia",P518&lt;&gt;"Pago tarjeta")),"",IFERROR(IF(INDEX(ctaVinc,MATCH(K518,ctaNombre,0))&amp;""&lt;&gt;"",INDEX(ctaVinc,MATCH(K518,ctaNombre,0))&amp;"",K518),K518))</f>
        <v/>
      </c>
      <c r="AD518" s="52">
        <f>IF(AB518="","",IFERROR(INDEX(ctaTipo,MATCH(AB518,ctaNombre,0))&amp;"",""))</f>
        <v/>
      </c>
      <c r="AE518" s="52">
        <f>IF(AC518="","",IFERROR(INDEX(ctaTipo,MATCH(AC518,ctaNombre,0))&amp;"",""))</f>
        <v/>
      </c>
      <c r="AF518" s="53">
        <f>IF(OR(P518="",AB518=""),"",IF(OR(P518="Gasto",P518="Transferencia",P518="Pago tarjeta"),-1,1)*IF(IFERROR(INDEX(ctaMoneda,MATCH(AB518,ctaNombre,0))&amp;"","DOP")="USD",T518,S518))</f>
        <v/>
      </c>
      <c r="AG518" s="53">
        <f>IF(AC518="","",IF(IFERROR(INDEX(ctaMoneda,MATCH(AC518,ctaNombre,0))&amp;"","DOP")="USD",T518,S518))</f>
        <v/>
      </c>
      <c r="AH518" s="53">
        <f>IF(P518="","",IF(AND(AD518&lt;&gt;"",COUNTIFS(tcTipo,AD518,tcLiq,"Sí")&gt;0),IF(OR(P518="Gasto",P518="Transferencia",P518="Pago tarjeta"),-1,1)*S518,0)+IF(AND(AE518&lt;&gt;"",COUNTIFS(tcTipo,AE518,tcLiq,"Sí")&gt;0),S518,0))</f>
        <v/>
      </c>
      <c r="AI518" s="52">
        <f>IF(OR(L518="",P518=""),"",IF(COUNTIFS(L$6:L518,L518,P$6:P518,"?*")=1,MAX(AI$5:AI517)+1,""))</f>
        <v/>
      </c>
    </row>
    <row r="519">
      <c r="B519" s="47" t="n"/>
      <c r="C519" s="48" t="n"/>
      <c r="D519" s="48" t="n"/>
      <c r="E519" s="48" t="n"/>
      <c r="F519" s="48" t="n"/>
      <c r="G519" s="49" t="n"/>
      <c r="H519" s="48" t="n"/>
      <c r="I519" s="50" t="n"/>
      <c r="J519" s="48" t="n"/>
      <c r="K519" s="48" t="n"/>
      <c r="L519" s="48" t="n"/>
      <c r="M519" s="48" t="n"/>
      <c r="N519" s="48" t="n"/>
      <c r="O519" s="51">
        <f>IF(AND(B519="",G519="",C519="",D519="",J519=""),"",IF(B519="","⚠ Falta fecha",IF(G519="","⚠ Falta monto",IF(Q519="","⚠ Falta cuenta",IF(ISNA(MATCH(Q519,ctaNombre,0)),"⚠ Cuenta no registrada",IF(AND(OR(P519="Gasto",P519="Reembolso"),D519=""),"⚠ Falta categoría",IF(AND(D519&lt;&gt;"",E519&lt;&gt;"",ISNA(MATCH(D519&amp;"|"&amp;E519,catClave,0))),"⚠ Subcategoría no corresponde",IF(AND(OR(P519="Transferencia",P519="Pago tarjeta"),K519=""),"⚠ Falta cuenta destino",IF(AND(K519&lt;&gt;"",P519&lt;&gt;"Transferencia",P519&lt;&gt;"Pago tarjeta"),"⚠ Destino solo aplica a transferencias",IF(AND(K519&lt;&gt;"",K519=Q519),"⚠ Origen igual a destino",IF(AND(K519&lt;&gt;"",ISNA(MATCH(K519,ctaNombre,0))),"⚠ Destino no registrado",IF(AND(P519="Pago tarjeta",AE519&lt;&gt;"Tarjeta de crédito"),"⚠ El destino debe ser tarjeta de crédito",IF(AND(P519="Gasto",E519="Depósitos y retiros"),"⚠ Usa tipo Transferencia",IF(AND(P519="Resultado trading",AD519&lt;&gt;"Cuenta de trading"),"⚠ Usa una cuenta de trading",IF(AND(G519&lt;=0,P519&lt;&gt;"Ajuste",P519&lt;&gt;"Resultado trading"),"⚠ El monto debe ser positivo","✓")))))))))))))))</f>
        <v/>
      </c>
      <c r="P519" s="52">
        <f>IF(OR(B519="",G519=""),"",IF(C519="","Gasto",C519))</f>
        <v/>
      </c>
      <c r="Q519" s="52">
        <f>IF(P519="","",IF(J519&lt;&gt;"",J519,CuentaPred&amp;""))</f>
        <v/>
      </c>
      <c r="R519" s="52">
        <f>IF(P519="","",IF(ISNUMBER(I519),I519,TasaUSD))</f>
        <v/>
      </c>
      <c r="S519" s="53">
        <f>IF(P519="","",IF(H519="USD",G519*R519,G519))</f>
        <v/>
      </c>
      <c r="T519" s="53">
        <f>IF(P519="","",IF(H519="USD",G519,IF(R519&gt;0,G519/R519,0)))</f>
        <v/>
      </c>
      <c r="U519" s="53">
        <f>IF(P519="","",IF(P519="Gasto",S519,IF(P519="Reembolso",-S519,0)))</f>
        <v/>
      </c>
      <c r="V519" s="53">
        <f>IF(P519="","",IF(P519="Ingreso",S519,0))</f>
        <v/>
      </c>
      <c r="W519" s="53">
        <f>IF(P519="","",IF(P519="Resultado trading",S519,0))</f>
        <v/>
      </c>
      <c r="X519" s="52">
        <f>IF(OR(P519="Gasto",P519="Reembolso"),IF(M519&lt;&gt;"",M519,IFERROR(INDEX(catClasif,MATCH(D519&amp;"|"&amp;E519,catClave,0))&amp;"","Variable")),"")</f>
        <v/>
      </c>
      <c r="Y519" s="52">
        <f>IF(P519="","",IFERROR(INDEX(catGrupo,MATCH(D519&amp;"|"&amp;E519,catClave,0))&amp;"",""))</f>
        <v/>
      </c>
      <c r="Z519" s="52">
        <f>IF(P519="","",WEEKDAY(B519,2))</f>
        <v/>
      </c>
      <c r="AA519" s="52">
        <f>IF(P519="","",IF(AND(P519="Gasto",X519="Variable",D519&lt;&gt;catTrading,S519&gt;0,S519&lt;=Umbral),1,0))</f>
        <v/>
      </c>
      <c r="AB519" s="52">
        <f>IF(OR(P519="",Q519=""),"",IFERROR(IF(INDEX(ctaVinc,MATCH(Q519,ctaNombre,0))&amp;""&lt;&gt;"",INDEX(ctaVinc,MATCH(Q519,ctaNombre,0))&amp;"",Q519),Q519))</f>
        <v/>
      </c>
      <c r="AC519" s="52">
        <f>IF(OR(K519="",AND(P519&lt;&gt;"Transferencia",P519&lt;&gt;"Pago tarjeta")),"",IFERROR(IF(INDEX(ctaVinc,MATCH(K519,ctaNombre,0))&amp;""&lt;&gt;"",INDEX(ctaVinc,MATCH(K519,ctaNombre,0))&amp;"",K519),K519))</f>
        <v/>
      </c>
      <c r="AD519" s="52">
        <f>IF(AB519="","",IFERROR(INDEX(ctaTipo,MATCH(AB519,ctaNombre,0))&amp;"",""))</f>
        <v/>
      </c>
      <c r="AE519" s="52">
        <f>IF(AC519="","",IFERROR(INDEX(ctaTipo,MATCH(AC519,ctaNombre,0))&amp;"",""))</f>
        <v/>
      </c>
      <c r="AF519" s="53">
        <f>IF(OR(P519="",AB519=""),"",IF(OR(P519="Gasto",P519="Transferencia",P519="Pago tarjeta"),-1,1)*IF(IFERROR(INDEX(ctaMoneda,MATCH(AB519,ctaNombre,0))&amp;"","DOP")="USD",T519,S519))</f>
        <v/>
      </c>
      <c r="AG519" s="53">
        <f>IF(AC519="","",IF(IFERROR(INDEX(ctaMoneda,MATCH(AC519,ctaNombre,0))&amp;"","DOP")="USD",T519,S519))</f>
        <v/>
      </c>
      <c r="AH519" s="53">
        <f>IF(P519="","",IF(AND(AD519&lt;&gt;"",COUNTIFS(tcTipo,AD519,tcLiq,"Sí")&gt;0),IF(OR(P519="Gasto",P519="Transferencia",P519="Pago tarjeta"),-1,1)*S519,0)+IF(AND(AE519&lt;&gt;"",COUNTIFS(tcTipo,AE519,tcLiq,"Sí")&gt;0),S519,0))</f>
        <v/>
      </c>
      <c r="AI519" s="52">
        <f>IF(OR(L519="",P519=""),"",IF(COUNTIFS(L$6:L519,L519,P$6:P519,"?*")=1,MAX(AI$5:AI518)+1,""))</f>
        <v/>
      </c>
    </row>
    <row r="520">
      <c r="B520" s="47" t="n"/>
      <c r="C520" s="48" t="n"/>
      <c r="D520" s="48" t="n"/>
      <c r="E520" s="48" t="n"/>
      <c r="F520" s="48" t="n"/>
      <c r="G520" s="49" t="n"/>
      <c r="H520" s="48" t="n"/>
      <c r="I520" s="50" t="n"/>
      <c r="J520" s="48" t="n"/>
      <c r="K520" s="48" t="n"/>
      <c r="L520" s="48" t="n"/>
      <c r="M520" s="48" t="n"/>
      <c r="N520" s="48" t="n"/>
      <c r="O520" s="51">
        <f>IF(AND(B520="",G520="",C520="",D520="",J520=""),"",IF(B520="","⚠ Falta fecha",IF(G520="","⚠ Falta monto",IF(Q520="","⚠ Falta cuenta",IF(ISNA(MATCH(Q520,ctaNombre,0)),"⚠ Cuenta no registrada",IF(AND(OR(P520="Gasto",P520="Reembolso"),D520=""),"⚠ Falta categoría",IF(AND(D520&lt;&gt;"",E520&lt;&gt;"",ISNA(MATCH(D520&amp;"|"&amp;E520,catClave,0))),"⚠ Subcategoría no corresponde",IF(AND(OR(P520="Transferencia",P520="Pago tarjeta"),K520=""),"⚠ Falta cuenta destino",IF(AND(K520&lt;&gt;"",P520&lt;&gt;"Transferencia",P520&lt;&gt;"Pago tarjeta"),"⚠ Destino solo aplica a transferencias",IF(AND(K520&lt;&gt;"",K520=Q520),"⚠ Origen igual a destino",IF(AND(K520&lt;&gt;"",ISNA(MATCH(K520,ctaNombre,0))),"⚠ Destino no registrado",IF(AND(P520="Pago tarjeta",AE520&lt;&gt;"Tarjeta de crédito"),"⚠ El destino debe ser tarjeta de crédito",IF(AND(P520="Gasto",E520="Depósitos y retiros"),"⚠ Usa tipo Transferencia",IF(AND(P520="Resultado trading",AD520&lt;&gt;"Cuenta de trading"),"⚠ Usa una cuenta de trading",IF(AND(G520&lt;=0,P520&lt;&gt;"Ajuste",P520&lt;&gt;"Resultado trading"),"⚠ El monto debe ser positivo","✓")))))))))))))))</f>
        <v/>
      </c>
      <c r="P520" s="52">
        <f>IF(OR(B520="",G520=""),"",IF(C520="","Gasto",C520))</f>
        <v/>
      </c>
      <c r="Q520" s="52">
        <f>IF(P520="","",IF(J520&lt;&gt;"",J520,CuentaPred&amp;""))</f>
        <v/>
      </c>
      <c r="R520" s="52">
        <f>IF(P520="","",IF(ISNUMBER(I520),I520,TasaUSD))</f>
        <v/>
      </c>
      <c r="S520" s="53">
        <f>IF(P520="","",IF(H520="USD",G520*R520,G520))</f>
        <v/>
      </c>
      <c r="T520" s="53">
        <f>IF(P520="","",IF(H520="USD",G520,IF(R520&gt;0,G520/R520,0)))</f>
        <v/>
      </c>
      <c r="U520" s="53">
        <f>IF(P520="","",IF(P520="Gasto",S520,IF(P520="Reembolso",-S520,0)))</f>
        <v/>
      </c>
      <c r="V520" s="53">
        <f>IF(P520="","",IF(P520="Ingreso",S520,0))</f>
        <v/>
      </c>
      <c r="W520" s="53">
        <f>IF(P520="","",IF(P520="Resultado trading",S520,0))</f>
        <v/>
      </c>
      <c r="X520" s="52">
        <f>IF(OR(P520="Gasto",P520="Reembolso"),IF(M520&lt;&gt;"",M520,IFERROR(INDEX(catClasif,MATCH(D520&amp;"|"&amp;E520,catClave,0))&amp;"","Variable")),"")</f>
        <v/>
      </c>
      <c r="Y520" s="52">
        <f>IF(P520="","",IFERROR(INDEX(catGrupo,MATCH(D520&amp;"|"&amp;E520,catClave,0))&amp;"",""))</f>
        <v/>
      </c>
      <c r="Z520" s="52">
        <f>IF(P520="","",WEEKDAY(B520,2))</f>
        <v/>
      </c>
      <c r="AA520" s="52">
        <f>IF(P520="","",IF(AND(P520="Gasto",X520="Variable",D520&lt;&gt;catTrading,S520&gt;0,S520&lt;=Umbral),1,0))</f>
        <v/>
      </c>
      <c r="AB520" s="52">
        <f>IF(OR(P520="",Q520=""),"",IFERROR(IF(INDEX(ctaVinc,MATCH(Q520,ctaNombre,0))&amp;""&lt;&gt;"",INDEX(ctaVinc,MATCH(Q520,ctaNombre,0))&amp;"",Q520),Q520))</f>
        <v/>
      </c>
      <c r="AC520" s="52">
        <f>IF(OR(K520="",AND(P520&lt;&gt;"Transferencia",P520&lt;&gt;"Pago tarjeta")),"",IFERROR(IF(INDEX(ctaVinc,MATCH(K520,ctaNombre,0))&amp;""&lt;&gt;"",INDEX(ctaVinc,MATCH(K520,ctaNombre,0))&amp;"",K520),K520))</f>
        <v/>
      </c>
      <c r="AD520" s="52">
        <f>IF(AB520="","",IFERROR(INDEX(ctaTipo,MATCH(AB520,ctaNombre,0))&amp;"",""))</f>
        <v/>
      </c>
      <c r="AE520" s="52">
        <f>IF(AC520="","",IFERROR(INDEX(ctaTipo,MATCH(AC520,ctaNombre,0))&amp;"",""))</f>
        <v/>
      </c>
      <c r="AF520" s="53">
        <f>IF(OR(P520="",AB520=""),"",IF(OR(P520="Gasto",P520="Transferencia",P520="Pago tarjeta"),-1,1)*IF(IFERROR(INDEX(ctaMoneda,MATCH(AB520,ctaNombre,0))&amp;"","DOP")="USD",T520,S520))</f>
        <v/>
      </c>
      <c r="AG520" s="53">
        <f>IF(AC520="","",IF(IFERROR(INDEX(ctaMoneda,MATCH(AC520,ctaNombre,0))&amp;"","DOP")="USD",T520,S520))</f>
        <v/>
      </c>
      <c r="AH520" s="53">
        <f>IF(P520="","",IF(AND(AD520&lt;&gt;"",COUNTIFS(tcTipo,AD520,tcLiq,"Sí")&gt;0),IF(OR(P520="Gasto",P520="Transferencia",P520="Pago tarjeta"),-1,1)*S520,0)+IF(AND(AE520&lt;&gt;"",COUNTIFS(tcTipo,AE520,tcLiq,"Sí")&gt;0),S520,0))</f>
        <v/>
      </c>
      <c r="AI520" s="52">
        <f>IF(OR(L520="",P520=""),"",IF(COUNTIFS(L$6:L520,L520,P$6:P520,"?*")=1,MAX(AI$5:AI519)+1,""))</f>
        <v/>
      </c>
    </row>
    <row r="521">
      <c r="B521" s="47" t="n"/>
      <c r="C521" s="48" t="n"/>
      <c r="D521" s="48" t="n"/>
      <c r="E521" s="48" t="n"/>
      <c r="F521" s="48" t="n"/>
      <c r="G521" s="49" t="n"/>
      <c r="H521" s="48" t="n"/>
      <c r="I521" s="50" t="n"/>
      <c r="J521" s="48" t="n"/>
      <c r="K521" s="48" t="n"/>
      <c r="L521" s="48" t="n"/>
      <c r="M521" s="48" t="n"/>
      <c r="N521" s="48" t="n"/>
      <c r="O521" s="51">
        <f>IF(AND(B521="",G521="",C521="",D521="",J521=""),"",IF(B521="","⚠ Falta fecha",IF(G521="","⚠ Falta monto",IF(Q521="","⚠ Falta cuenta",IF(ISNA(MATCH(Q521,ctaNombre,0)),"⚠ Cuenta no registrada",IF(AND(OR(P521="Gasto",P521="Reembolso"),D521=""),"⚠ Falta categoría",IF(AND(D521&lt;&gt;"",E521&lt;&gt;"",ISNA(MATCH(D521&amp;"|"&amp;E521,catClave,0))),"⚠ Subcategoría no corresponde",IF(AND(OR(P521="Transferencia",P521="Pago tarjeta"),K521=""),"⚠ Falta cuenta destino",IF(AND(K521&lt;&gt;"",P521&lt;&gt;"Transferencia",P521&lt;&gt;"Pago tarjeta"),"⚠ Destino solo aplica a transferencias",IF(AND(K521&lt;&gt;"",K521=Q521),"⚠ Origen igual a destino",IF(AND(K521&lt;&gt;"",ISNA(MATCH(K521,ctaNombre,0))),"⚠ Destino no registrado",IF(AND(P521="Pago tarjeta",AE521&lt;&gt;"Tarjeta de crédito"),"⚠ El destino debe ser tarjeta de crédito",IF(AND(P521="Gasto",E521="Depósitos y retiros"),"⚠ Usa tipo Transferencia",IF(AND(P521="Resultado trading",AD521&lt;&gt;"Cuenta de trading"),"⚠ Usa una cuenta de trading",IF(AND(G521&lt;=0,P521&lt;&gt;"Ajuste",P521&lt;&gt;"Resultado trading"),"⚠ El monto debe ser positivo","✓")))))))))))))))</f>
        <v/>
      </c>
      <c r="P521" s="52">
        <f>IF(OR(B521="",G521=""),"",IF(C521="","Gasto",C521))</f>
        <v/>
      </c>
      <c r="Q521" s="52">
        <f>IF(P521="","",IF(J521&lt;&gt;"",J521,CuentaPred&amp;""))</f>
        <v/>
      </c>
      <c r="R521" s="52">
        <f>IF(P521="","",IF(ISNUMBER(I521),I521,TasaUSD))</f>
        <v/>
      </c>
      <c r="S521" s="53">
        <f>IF(P521="","",IF(H521="USD",G521*R521,G521))</f>
        <v/>
      </c>
      <c r="T521" s="53">
        <f>IF(P521="","",IF(H521="USD",G521,IF(R521&gt;0,G521/R521,0)))</f>
        <v/>
      </c>
      <c r="U521" s="53">
        <f>IF(P521="","",IF(P521="Gasto",S521,IF(P521="Reembolso",-S521,0)))</f>
        <v/>
      </c>
      <c r="V521" s="53">
        <f>IF(P521="","",IF(P521="Ingreso",S521,0))</f>
        <v/>
      </c>
      <c r="W521" s="53">
        <f>IF(P521="","",IF(P521="Resultado trading",S521,0))</f>
        <v/>
      </c>
      <c r="X521" s="52">
        <f>IF(OR(P521="Gasto",P521="Reembolso"),IF(M521&lt;&gt;"",M521,IFERROR(INDEX(catClasif,MATCH(D521&amp;"|"&amp;E521,catClave,0))&amp;"","Variable")),"")</f>
        <v/>
      </c>
      <c r="Y521" s="52">
        <f>IF(P521="","",IFERROR(INDEX(catGrupo,MATCH(D521&amp;"|"&amp;E521,catClave,0))&amp;"",""))</f>
        <v/>
      </c>
      <c r="Z521" s="52">
        <f>IF(P521="","",WEEKDAY(B521,2))</f>
        <v/>
      </c>
      <c r="AA521" s="52">
        <f>IF(P521="","",IF(AND(P521="Gasto",X521="Variable",D521&lt;&gt;catTrading,S521&gt;0,S521&lt;=Umbral),1,0))</f>
        <v/>
      </c>
      <c r="AB521" s="52">
        <f>IF(OR(P521="",Q521=""),"",IFERROR(IF(INDEX(ctaVinc,MATCH(Q521,ctaNombre,0))&amp;""&lt;&gt;"",INDEX(ctaVinc,MATCH(Q521,ctaNombre,0))&amp;"",Q521),Q521))</f>
        <v/>
      </c>
      <c r="AC521" s="52">
        <f>IF(OR(K521="",AND(P521&lt;&gt;"Transferencia",P521&lt;&gt;"Pago tarjeta")),"",IFERROR(IF(INDEX(ctaVinc,MATCH(K521,ctaNombre,0))&amp;""&lt;&gt;"",INDEX(ctaVinc,MATCH(K521,ctaNombre,0))&amp;"",K521),K521))</f>
        <v/>
      </c>
      <c r="AD521" s="52">
        <f>IF(AB521="","",IFERROR(INDEX(ctaTipo,MATCH(AB521,ctaNombre,0))&amp;"",""))</f>
        <v/>
      </c>
      <c r="AE521" s="52">
        <f>IF(AC521="","",IFERROR(INDEX(ctaTipo,MATCH(AC521,ctaNombre,0))&amp;"",""))</f>
        <v/>
      </c>
      <c r="AF521" s="53">
        <f>IF(OR(P521="",AB521=""),"",IF(OR(P521="Gasto",P521="Transferencia",P521="Pago tarjeta"),-1,1)*IF(IFERROR(INDEX(ctaMoneda,MATCH(AB521,ctaNombre,0))&amp;"","DOP")="USD",T521,S521))</f>
        <v/>
      </c>
      <c r="AG521" s="53">
        <f>IF(AC521="","",IF(IFERROR(INDEX(ctaMoneda,MATCH(AC521,ctaNombre,0))&amp;"","DOP")="USD",T521,S521))</f>
        <v/>
      </c>
      <c r="AH521" s="53">
        <f>IF(P521="","",IF(AND(AD521&lt;&gt;"",COUNTIFS(tcTipo,AD521,tcLiq,"Sí")&gt;0),IF(OR(P521="Gasto",P521="Transferencia",P521="Pago tarjeta"),-1,1)*S521,0)+IF(AND(AE521&lt;&gt;"",COUNTIFS(tcTipo,AE521,tcLiq,"Sí")&gt;0),S521,0))</f>
        <v/>
      </c>
      <c r="AI521" s="52">
        <f>IF(OR(L521="",P521=""),"",IF(COUNTIFS(L$6:L521,L521,P$6:P521,"?*")=1,MAX(AI$5:AI520)+1,""))</f>
        <v/>
      </c>
    </row>
    <row r="522">
      <c r="B522" s="47" t="n"/>
      <c r="C522" s="48" t="n"/>
      <c r="D522" s="48" t="n"/>
      <c r="E522" s="48" t="n"/>
      <c r="F522" s="48" t="n"/>
      <c r="G522" s="49" t="n"/>
      <c r="H522" s="48" t="n"/>
      <c r="I522" s="50" t="n"/>
      <c r="J522" s="48" t="n"/>
      <c r="K522" s="48" t="n"/>
      <c r="L522" s="48" t="n"/>
      <c r="M522" s="48" t="n"/>
      <c r="N522" s="48" t="n"/>
      <c r="O522" s="51">
        <f>IF(AND(B522="",G522="",C522="",D522="",J522=""),"",IF(B522="","⚠ Falta fecha",IF(G522="","⚠ Falta monto",IF(Q522="","⚠ Falta cuenta",IF(ISNA(MATCH(Q522,ctaNombre,0)),"⚠ Cuenta no registrada",IF(AND(OR(P522="Gasto",P522="Reembolso"),D522=""),"⚠ Falta categoría",IF(AND(D522&lt;&gt;"",E522&lt;&gt;"",ISNA(MATCH(D522&amp;"|"&amp;E522,catClave,0))),"⚠ Subcategoría no corresponde",IF(AND(OR(P522="Transferencia",P522="Pago tarjeta"),K522=""),"⚠ Falta cuenta destino",IF(AND(K522&lt;&gt;"",P522&lt;&gt;"Transferencia",P522&lt;&gt;"Pago tarjeta"),"⚠ Destino solo aplica a transferencias",IF(AND(K522&lt;&gt;"",K522=Q522),"⚠ Origen igual a destino",IF(AND(K522&lt;&gt;"",ISNA(MATCH(K522,ctaNombre,0))),"⚠ Destino no registrado",IF(AND(P522="Pago tarjeta",AE522&lt;&gt;"Tarjeta de crédito"),"⚠ El destino debe ser tarjeta de crédito",IF(AND(P522="Gasto",E522="Depósitos y retiros"),"⚠ Usa tipo Transferencia",IF(AND(P522="Resultado trading",AD522&lt;&gt;"Cuenta de trading"),"⚠ Usa una cuenta de trading",IF(AND(G522&lt;=0,P522&lt;&gt;"Ajuste",P522&lt;&gt;"Resultado trading"),"⚠ El monto debe ser positivo","✓")))))))))))))))</f>
        <v/>
      </c>
      <c r="P522" s="52">
        <f>IF(OR(B522="",G522=""),"",IF(C522="","Gasto",C522))</f>
        <v/>
      </c>
      <c r="Q522" s="52">
        <f>IF(P522="","",IF(J522&lt;&gt;"",J522,CuentaPred&amp;""))</f>
        <v/>
      </c>
      <c r="R522" s="52">
        <f>IF(P522="","",IF(ISNUMBER(I522),I522,TasaUSD))</f>
        <v/>
      </c>
      <c r="S522" s="53">
        <f>IF(P522="","",IF(H522="USD",G522*R522,G522))</f>
        <v/>
      </c>
      <c r="T522" s="53">
        <f>IF(P522="","",IF(H522="USD",G522,IF(R522&gt;0,G522/R522,0)))</f>
        <v/>
      </c>
      <c r="U522" s="53">
        <f>IF(P522="","",IF(P522="Gasto",S522,IF(P522="Reembolso",-S522,0)))</f>
        <v/>
      </c>
      <c r="V522" s="53">
        <f>IF(P522="","",IF(P522="Ingreso",S522,0))</f>
        <v/>
      </c>
      <c r="W522" s="53">
        <f>IF(P522="","",IF(P522="Resultado trading",S522,0))</f>
        <v/>
      </c>
      <c r="X522" s="52">
        <f>IF(OR(P522="Gasto",P522="Reembolso"),IF(M522&lt;&gt;"",M522,IFERROR(INDEX(catClasif,MATCH(D522&amp;"|"&amp;E522,catClave,0))&amp;"","Variable")),"")</f>
        <v/>
      </c>
      <c r="Y522" s="52">
        <f>IF(P522="","",IFERROR(INDEX(catGrupo,MATCH(D522&amp;"|"&amp;E522,catClave,0))&amp;"",""))</f>
        <v/>
      </c>
      <c r="Z522" s="52">
        <f>IF(P522="","",WEEKDAY(B522,2))</f>
        <v/>
      </c>
      <c r="AA522" s="52">
        <f>IF(P522="","",IF(AND(P522="Gasto",X522="Variable",D522&lt;&gt;catTrading,S522&gt;0,S522&lt;=Umbral),1,0))</f>
        <v/>
      </c>
      <c r="AB522" s="52">
        <f>IF(OR(P522="",Q522=""),"",IFERROR(IF(INDEX(ctaVinc,MATCH(Q522,ctaNombre,0))&amp;""&lt;&gt;"",INDEX(ctaVinc,MATCH(Q522,ctaNombre,0))&amp;"",Q522),Q522))</f>
        <v/>
      </c>
      <c r="AC522" s="52">
        <f>IF(OR(K522="",AND(P522&lt;&gt;"Transferencia",P522&lt;&gt;"Pago tarjeta")),"",IFERROR(IF(INDEX(ctaVinc,MATCH(K522,ctaNombre,0))&amp;""&lt;&gt;"",INDEX(ctaVinc,MATCH(K522,ctaNombre,0))&amp;"",K522),K522))</f>
        <v/>
      </c>
      <c r="AD522" s="52">
        <f>IF(AB522="","",IFERROR(INDEX(ctaTipo,MATCH(AB522,ctaNombre,0))&amp;"",""))</f>
        <v/>
      </c>
      <c r="AE522" s="52">
        <f>IF(AC522="","",IFERROR(INDEX(ctaTipo,MATCH(AC522,ctaNombre,0))&amp;"",""))</f>
        <v/>
      </c>
      <c r="AF522" s="53">
        <f>IF(OR(P522="",AB522=""),"",IF(OR(P522="Gasto",P522="Transferencia",P522="Pago tarjeta"),-1,1)*IF(IFERROR(INDEX(ctaMoneda,MATCH(AB522,ctaNombre,0))&amp;"","DOP")="USD",T522,S522))</f>
        <v/>
      </c>
      <c r="AG522" s="53">
        <f>IF(AC522="","",IF(IFERROR(INDEX(ctaMoneda,MATCH(AC522,ctaNombre,0))&amp;"","DOP")="USD",T522,S522))</f>
        <v/>
      </c>
      <c r="AH522" s="53">
        <f>IF(P522="","",IF(AND(AD522&lt;&gt;"",COUNTIFS(tcTipo,AD522,tcLiq,"Sí")&gt;0),IF(OR(P522="Gasto",P522="Transferencia",P522="Pago tarjeta"),-1,1)*S522,0)+IF(AND(AE522&lt;&gt;"",COUNTIFS(tcTipo,AE522,tcLiq,"Sí")&gt;0),S522,0))</f>
        <v/>
      </c>
      <c r="AI522" s="52">
        <f>IF(OR(L522="",P522=""),"",IF(COUNTIFS(L$6:L522,L522,P$6:P522,"?*")=1,MAX(AI$5:AI521)+1,""))</f>
        <v/>
      </c>
    </row>
    <row r="523">
      <c r="B523" s="47" t="n"/>
      <c r="C523" s="48" t="n"/>
      <c r="D523" s="48" t="n"/>
      <c r="E523" s="48" t="n"/>
      <c r="F523" s="48" t="n"/>
      <c r="G523" s="49" t="n"/>
      <c r="H523" s="48" t="n"/>
      <c r="I523" s="50" t="n"/>
      <c r="J523" s="48" t="n"/>
      <c r="K523" s="48" t="n"/>
      <c r="L523" s="48" t="n"/>
      <c r="M523" s="48" t="n"/>
      <c r="N523" s="48" t="n"/>
      <c r="O523" s="51">
        <f>IF(AND(B523="",G523="",C523="",D523="",J523=""),"",IF(B523="","⚠ Falta fecha",IF(G523="","⚠ Falta monto",IF(Q523="","⚠ Falta cuenta",IF(ISNA(MATCH(Q523,ctaNombre,0)),"⚠ Cuenta no registrada",IF(AND(OR(P523="Gasto",P523="Reembolso"),D523=""),"⚠ Falta categoría",IF(AND(D523&lt;&gt;"",E523&lt;&gt;"",ISNA(MATCH(D523&amp;"|"&amp;E523,catClave,0))),"⚠ Subcategoría no corresponde",IF(AND(OR(P523="Transferencia",P523="Pago tarjeta"),K523=""),"⚠ Falta cuenta destino",IF(AND(K523&lt;&gt;"",P523&lt;&gt;"Transferencia",P523&lt;&gt;"Pago tarjeta"),"⚠ Destino solo aplica a transferencias",IF(AND(K523&lt;&gt;"",K523=Q523),"⚠ Origen igual a destino",IF(AND(K523&lt;&gt;"",ISNA(MATCH(K523,ctaNombre,0))),"⚠ Destino no registrado",IF(AND(P523="Pago tarjeta",AE523&lt;&gt;"Tarjeta de crédito"),"⚠ El destino debe ser tarjeta de crédito",IF(AND(P523="Gasto",E523="Depósitos y retiros"),"⚠ Usa tipo Transferencia",IF(AND(P523="Resultado trading",AD523&lt;&gt;"Cuenta de trading"),"⚠ Usa una cuenta de trading",IF(AND(G523&lt;=0,P523&lt;&gt;"Ajuste",P523&lt;&gt;"Resultado trading"),"⚠ El monto debe ser positivo","✓")))))))))))))))</f>
        <v/>
      </c>
      <c r="P523" s="52">
        <f>IF(OR(B523="",G523=""),"",IF(C523="","Gasto",C523))</f>
        <v/>
      </c>
      <c r="Q523" s="52">
        <f>IF(P523="","",IF(J523&lt;&gt;"",J523,CuentaPred&amp;""))</f>
        <v/>
      </c>
      <c r="R523" s="52">
        <f>IF(P523="","",IF(ISNUMBER(I523),I523,TasaUSD))</f>
        <v/>
      </c>
      <c r="S523" s="53">
        <f>IF(P523="","",IF(H523="USD",G523*R523,G523))</f>
        <v/>
      </c>
      <c r="T523" s="53">
        <f>IF(P523="","",IF(H523="USD",G523,IF(R523&gt;0,G523/R523,0)))</f>
        <v/>
      </c>
      <c r="U523" s="53">
        <f>IF(P523="","",IF(P523="Gasto",S523,IF(P523="Reembolso",-S523,0)))</f>
        <v/>
      </c>
      <c r="V523" s="53">
        <f>IF(P523="","",IF(P523="Ingreso",S523,0))</f>
        <v/>
      </c>
      <c r="W523" s="53">
        <f>IF(P523="","",IF(P523="Resultado trading",S523,0))</f>
        <v/>
      </c>
      <c r="X523" s="52">
        <f>IF(OR(P523="Gasto",P523="Reembolso"),IF(M523&lt;&gt;"",M523,IFERROR(INDEX(catClasif,MATCH(D523&amp;"|"&amp;E523,catClave,0))&amp;"","Variable")),"")</f>
        <v/>
      </c>
      <c r="Y523" s="52">
        <f>IF(P523="","",IFERROR(INDEX(catGrupo,MATCH(D523&amp;"|"&amp;E523,catClave,0))&amp;"",""))</f>
        <v/>
      </c>
      <c r="Z523" s="52">
        <f>IF(P523="","",WEEKDAY(B523,2))</f>
        <v/>
      </c>
      <c r="AA523" s="52">
        <f>IF(P523="","",IF(AND(P523="Gasto",X523="Variable",D523&lt;&gt;catTrading,S523&gt;0,S523&lt;=Umbral),1,0))</f>
        <v/>
      </c>
      <c r="AB523" s="52">
        <f>IF(OR(P523="",Q523=""),"",IFERROR(IF(INDEX(ctaVinc,MATCH(Q523,ctaNombre,0))&amp;""&lt;&gt;"",INDEX(ctaVinc,MATCH(Q523,ctaNombre,0))&amp;"",Q523),Q523))</f>
        <v/>
      </c>
      <c r="AC523" s="52">
        <f>IF(OR(K523="",AND(P523&lt;&gt;"Transferencia",P523&lt;&gt;"Pago tarjeta")),"",IFERROR(IF(INDEX(ctaVinc,MATCH(K523,ctaNombre,0))&amp;""&lt;&gt;"",INDEX(ctaVinc,MATCH(K523,ctaNombre,0))&amp;"",K523),K523))</f>
        <v/>
      </c>
      <c r="AD523" s="52">
        <f>IF(AB523="","",IFERROR(INDEX(ctaTipo,MATCH(AB523,ctaNombre,0))&amp;"",""))</f>
        <v/>
      </c>
      <c r="AE523" s="52">
        <f>IF(AC523="","",IFERROR(INDEX(ctaTipo,MATCH(AC523,ctaNombre,0))&amp;"",""))</f>
        <v/>
      </c>
      <c r="AF523" s="53">
        <f>IF(OR(P523="",AB523=""),"",IF(OR(P523="Gasto",P523="Transferencia",P523="Pago tarjeta"),-1,1)*IF(IFERROR(INDEX(ctaMoneda,MATCH(AB523,ctaNombre,0))&amp;"","DOP")="USD",T523,S523))</f>
        <v/>
      </c>
      <c r="AG523" s="53">
        <f>IF(AC523="","",IF(IFERROR(INDEX(ctaMoneda,MATCH(AC523,ctaNombre,0))&amp;"","DOP")="USD",T523,S523))</f>
        <v/>
      </c>
      <c r="AH523" s="53">
        <f>IF(P523="","",IF(AND(AD523&lt;&gt;"",COUNTIFS(tcTipo,AD523,tcLiq,"Sí")&gt;0),IF(OR(P523="Gasto",P523="Transferencia",P523="Pago tarjeta"),-1,1)*S523,0)+IF(AND(AE523&lt;&gt;"",COUNTIFS(tcTipo,AE523,tcLiq,"Sí")&gt;0),S523,0))</f>
        <v/>
      </c>
      <c r="AI523" s="52">
        <f>IF(OR(L523="",P523=""),"",IF(COUNTIFS(L$6:L523,L523,P$6:P523,"?*")=1,MAX(AI$5:AI522)+1,""))</f>
        <v/>
      </c>
    </row>
    <row r="524">
      <c r="B524" s="47" t="n"/>
      <c r="C524" s="48" t="n"/>
      <c r="D524" s="48" t="n"/>
      <c r="E524" s="48" t="n"/>
      <c r="F524" s="48" t="n"/>
      <c r="G524" s="49" t="n"/>
      <c r="H524" s="48" t="n"/>
      <c r="I524" s="50" t="n"/>
      <c r="J524" s="48" t="n"/>
      <c r="K524" s="48" t="n"/>
      <c r="L524" s="48" t="n"/>
      <c r="M524" s="48" t="n"/>
      <c r="N524" s="48" t="n"/>
      <c r="O524" s="51">
        <f>IF(AND(B524="",G524="",C524="",D524="",J524=""),"",IF(B524="","⚠ Falta fecha",IF(G524="","⚠ Falta monto",IF(Q524="","⚠ Falta cuenta",IF(ISNA(MATCH(Q524,ctaNombre,0)),"⚠ Cuenta no registrada",IF(AND(OR(P524="Gasto",P524="Reembolso"),D524=""),"⚠ Falta categoría",IF(AND(D524&lt;&gt;"",E524&lt;&gt;"",ISNA(MATCH(D524&amp;"|"&amp;E524,catClave,0))),"⚠ Subcategoría no corresponde",IF(AND(OR(P524="Transferencia",P524="Pago tarjeta"),K524=""),"⚠ Falta cuenta destino",IF(AND(K524&lt;&gt;"",P524&lt;&gt;"Transferencia",P524&lt;&gt;"Pago tarjeta"),"⚠ Destino solo aplica a transferencias",IF(AND(K524&lt;&gt;"",K524=Q524),"⚠ Origen igual a destino",IF(AND(K524&lt;&gt;"",ISNA(MATCH(K524,ctaNombre,0))),"⚠ Destino no registrado",IF(AND(P524="Pago tarjeta",AE524&lt;&gt;"Tarjeta de crédito"),"⚠ El destino debe ser tarjeta de crédito",IF(AND(P524="Gasto",E524="Depósitos y retiros"),"⚠ Usa tipo Transferencia",IF(AND(P524="Resultado trading",AD524&lt;&gt;"Cuenta de trading"),"⚠ Usa una cuenta de trading",IF(AND(G524&lt;=0,P524&lt;&gt;"Ajuste",P524&lt;&gt;"Resultado trading"),"⚠ El monto debe ser positivo","✓")))))))))))))))</f>
        <v/>
      </c>
      <c r="P524" s="52">
        <f>IF(OR(B524="",G524=""),"",IF(C524="","Gasto",C524))</f>
        <v/>
      </c>
      <c r="Q524" s="52">
        <f>IF(P524="","",IF(J524&lt;&gt;"",J524,CuentaPred&amp;""))</f>
        <v/>
      </c>
      <c r="R524" s="52">
        <f>IF(P524="","",IF(ISNUMBER(I524),I524,TasaUSD))</f>
        <v/>
      </c>
      <c r="S524" s="53">
        <f>IF(P524="","",IF(H524="USD",G524*R524,G524))</f>
        <v/>
      </c>
      <c r="T524" s="53">
        <f>IF(P524="","",IF(H524="USD",G524,IF(R524&gt;0,G524/R524,0)))</f>
        <v/>
      </c>
      <c r="U524" s="53">
        <f>IF(P524="","",IF(P524="Gasto",S524,IF(P524="Reembolso",-S524,0)))</f>
        <v/>
      </c>
      <c r="V524" s="53">
        <f>IF(P524="","",IF(P524="Ingreso",S524,0))</f>
        <v/>
      </c>
      <c r="W524" s="53">
        <f>IF(P524="","",IF(P524="Resultado trading",S524,0))</f>
        <v/>
      </c>
      <c r="X524" s="52">
        <f>IF(OR(P524="Gasto",P524="Reembolso"),IF(M524&lt;&gt;"",M524,IFERROR(INDEX(catClasif,MATCH(D524&amp;"|"&amp;E524,catClave,0))&amp;"","Variable")),"")</f>
        <v/>
      </c>
      <c r="Y524" s="52">
        <f>IF(P524="","",IFERROR(INDEX(catGrupo,MATCH(D524&amp;"|"&amp;E524,catClave,0))&amp;"",""))</f>
        <v/>
      </c>
      <c r="Z524" s="52">
        <f>IF(P524="","",WEEKDAY(B524,2))</f>
        <v/>
      </c>
      <c r="AA524" s="52">
        <f>IF(P524="","",IF(AND(P524="Gasto",X524="Variable",D524&lt;&gt;catTrading,S524&gt;0,S524&lt;=Umbral),1,0))</f>
        <v/>
      </c>
      <c r="AB524" s="52">
        <f>IF(OR(P524="",Q524=""),"",IFERROR(IF(INDEX(ctaVinc,MATCH(Q524,ctaNombre,0))&amp;""&lt;&gt;"",INDEX(ctaVinc,MATCH(Q524,ctaNombre,0))&amp;"",Q524),Q524))</f>
        <v/>
      </c>
      <c r="AC524" s="52">
        <f>IF(OR(K524="",AND(P524&lt;&gt;"Transferencia",P524&lt;&gt;"Pago tarjeta")),"",IFERROR(IF(INDEX(ctaVinc,MATCH(K524,ctaNombre,0))&amp;""&lt;&gt;"",INDEX(ctaVinc,MATCH(K524,ctaNombre,0))&amp;"",K524),K524))</f>
        <v/>
      </c>
      <c r="AD524" s="52">
        <f>IF(AB524="","",IFERROR(INDEX(ctaTipo,MATCH(AB524,ctaNombre,0))&amp;"",""))</f>
        <v/>
      </c>
      <c r="AE524" s="52">
        <f>IF(AC524="","",IFERROR(INDEX(ctaTipo,MATCH(AC524,ctaNombre,0))&amp;"",""))</f>
        <v/>
      </c>
      <c r="AF524" s="53">
        <f>IF(OR(P524="",AB524=""),"",IF(OR(P524="Gasto",P524="Transferencia",P524="Pago tarjeta"),-1,1)*IF(IFERROR(INDEX(ctaMoneda,MATCH(AB524,ctaNombre,0))&amp;"","DOP")="USD",T524,S524))</f>
        <v/>
      </c>
      <c r="AG524" s="53">
        <f>IF(AC524="","",IF(IFERROR(INDEX(ctaMoneda,MATCH(AC524,ctaNombre,0))&amp;"","DOP")="USD",T524,S524))</f>
        <v/>
      </c>
      <c r="AH524" s="53">
        <f>IF(P524="","",IF(AND(AD524&lt;&gt;"",COUNTIFS(tcTipo,AD524,tcLiq,"Sí")&gt;0),IF(OR(P524="Gasto",P524="Transferencia",P524="Pago tarjeta"),-1,1)*S524,0)+IF(AND(AE524&lt;&gt;"",COUNTIFS(tcTipo,AE524,tcLiq,"Sí")&gt;0),S524,0))</f>
        <v/>
      </c>
      <c r="AI524" s="52">
        <f>IF(OR(L524="",P524=""),"",IF(COUNTIFS(L$6:L524,L524,P$6:P524,"?*")=1,MAX(AI$5:AI523)+1,""))</f>
        <v/>
      </c>
    </row>
    <row r="525">
      <c r="B525" s="47" t="n"/>
      <c r="C525" s="48" t="n"/>
      <c r="D525" s="48" t="n"/>
      <c r="E525" s="48" t="n"/>
      <c r="F525" s="48" t="n"/>
      <c r="G525" s="49" t="n"/>
      <c r="H525" s="48" t="n"/>
      <c r="I525" s="50" t="n"/>
      <c r="J525" s="48" t="n"/>
      <c r="K525" s="48" t="n"/>
      <c r="L525" s="48" t="n"/>
      <c r="M525" s="48" t="n"/>
      <c r="N525" s="48" t="n"/>
      <c r="O525" s="51">
        <f>IF(AND(B525="",G525="",C525="",D525="",J525=""),"",IF(B525="","⚠ Falta fecha",IF(G525="","⚠ Falta monto",IF(Q525="","⚠ Falta cuenta",IF(ISNA(MATCH(Q525,ctaNombre,0)),"⚠ Cuenta no registrada",IF(AND(OR(P525="Gasto",P525="Reembolso"),D525=""),"⚠ Falta categoría",IF(AND(D525&lt;&gt;"",E525&lt;&gt;"",ISNA(MATCH(D525&amp;"|"&amp;E525,catClave,0))),"⚠ Subcategoría no corresponde",IF(AND(OR(P525="Transferencia",P525="Pago tarjeta"),K525=""),"⚠ Falta cuenta destino",IF(AND(K525&lt;&gt;"",P525&lt;&gt;"Transferencia",P525&lt;&gt;"Pago tarjeta"),"⚠ Destino solo aplica a transferencias",IF(AND(K525&lt;&gt;"",K525=Q525),"⚠ Origen igual a destino",IF(AND(K525&lt;&gt;"",ISNA(MATCH(K525,ctaNombre,0))),"⚠ Destino no registrado",IF(AND(P525="Pago tarjeta",AE525&lt;&gt;"Tarjeta de crédito"),"⚠ El destino debe ser tarjeta de crédito",IF(AND(P525="Gasto",E525="Depósitos y retiros"),"⚠ Usa tipo Transferencia",IF(AND(P525="Resultado trading",AD525&lt;&gt;"Cuenta de trading"),"⚠ Usa una cuenta de trading",IF(AND(G525&lt;=0,P525&lt;&gt;"Ajuste",P525&lt;&gt;"Resultado trading"),"⚠ El monto debe ser positivo","✓")))))))))))))))</f>
        <v/>
      </c>
      <c r="P525" s="52">
        <f>IF(OR(B525="",G525=""),"",IF(C525="","Gasto",C525))</f>
        <v/>
      </c>
      <c r="Q525" s="52">
        <f>IF(P525="","",IF(J525&lt;&gt;"",J525,CuentaPred&amp;""))</f>
        <v/>
      </c>
      <c r="R525" s="52">
        <f>IF(P525="","",IF(ISNUMBER(I525),I525,TasaUSD))</f>
        <v/>
      </c>
      <c r="S525" s="53">
        <f>IF(P525="","",IF(H525="USD",G525*R525,G525))</f>
        <v/>
      </c>
      <c r="T525" s="53">
        <f>IF(P525="","",IF(H525="USD",G525,IF(R525&gt;0,G525/R525,0)))</f>
        <v/>
      </c>
      <c r="U525" s="53">
        <f>IF(P525="","",IF(P525="Gasto",S525,IF(P525="Reembolso",-S525,0)))</f>
        <v/>
      </c>
      <c r="V525" s="53">
        <f>IF(P525="","",IF(P525="Ingreso",S525,0))</f>
        <v/>
      </c>
      <c r="W525" s="53">
        <f>IF(P525="","",IF(P525="Resultado trading",S525,0))</f>
        <v/>
      </c>
      <c r="X525" s="52">
        <f>IF(OR(P525="Gasto",P525="Reembolso"),IF(M525&lt;&gt;"",M525,IFERROR(INDEX(catClasif,MATCH(D525&amp;"|"&amp;E525,catClave,0))&amp;"","Variable")),"")</f>
        <v/>
      </c>
      <c r="Y525" s="52">
        <f>IF(P525="","",IFERROR(INDEX(catGrupo,MATCH(D525&amp;"|"&amp;E525,catClave,0))&amp;"",""))</f>
        <v/>
      </c>
      <c r="Z525" s="52">
        <f>IF(P525="","",WEEKDAY(B525,2))</f>
        <v/>
      </c>
      <c r="AA525" s="52">
        <f>IF(P525="","",IF(AND(P525="Gasto",X525="Variable",D525&lt;&gt;catTrading,S525&gt;0,S525&lt;=Umbral),1,0))</f>
        <v/>
      </c>
      <c r="AB525" s="52">
        <f>IF(OR(P525="",Q525=""),"",IFERROR(IF(INDEX(ctaVinc,MATCH(Q525,ctaNombre,0))&amp;""&lt;&gt;"",INDEX(ctaVinc,MATCH(Q525,ctaNombre,0))&amp;"",Q525),Q525))</f>
        <v/>
      </c>
      <c r="AC525" s="52">
        <f>IF(OR(K525="",AND(P525&lt;&gt;"Transferencia",P525&lt;&gt;"Pago tarjeta")),"",IFERROR(IF(INDEX(ctaVinc,MATCH(K525,ctaNombre,0))&amp;""&lt;&gt;"",INDEX(ctaVinc,MATCH(K525,ctaNombre,0))&amp;"",K525),K525))</f>
        <v/>
      </c>
      <c r="AD525" s="52">
        <f>IF(AB525="","",IFERROR(INDEX(ctaTipo,MATCH(AB525,ctaNombre,0))&amp;"",""))</f>
        <v/>
      </c>
      <c r="AE525" s="52">
        <f>IF(AC525="","",IFERROR(INDEX(ctaTipo,MATCH(AC525,ctaNombre,0))&amp;"",""))</f>
        <v/>
      </c>
      <c r="AF525" s="53">
        <f>IF(OR(P525="",AB525=""),"",IF(OR(P525="Gasto",P525="Transferencia",P525="Pago tarjeta"),-1,1)*IF(IFERROR(INDEX(ctaMoneda,MATCH(AB525,ctaNombre,0))&amp;"","DOP")="USD",T525,S525))</f>
        <v/>
      </c>
      <c r="AG525" s="53">
        <f>IF(AC525="","",IF(IFERROR(INDEX(ctaMoneda,MATCH(AC525,ctaNombre,0))&amp;"","DOP")="USD",T525,S525))</f>
        <v/>
      </c>
      <c r="AH525" s="53">
        <f>IF(P525="","",IF(AND(AD525&lt;&gt;"",COUNTIFS(tcTipo,AD525,tcLiq,"Sí")&gt;0),IF(OR(P525="Gasto",P525="Transferencia",P525="Pago tarjeta"),-1,1)*S525,0)+IF(AND(AE525&lt;&gt;"",COUNTIFS(tcTipo,AE525,tcLiq,"Sí")&gt;0),S525,0))</f>
        <v/>
      </c>
      <c r="AI525" s="52">
        <f>IF(OR(L525="",P525=""),"",IF(COUNTIFS(L$6:L525,L525,P$6:P525,"?*")=1,MAX(AI$5:AI524)+1,""))</f>
        <v/>
      </c>
    </row>
    <row r="526">
      <c r="B526" s="47" t="n"/>
      <c r="C526" s="48" t="n"/>
      <c r="D526" s="48" t="n"/>
      <c r="E526" s="48" t="n"/>
      <c r="F526" s="48" t="n"/>
      <c r="G526" s="49" t="n"/>
      <c r="H526" s="48" t="n"/>
      <c r="I526" s="50" t="n"/>
      <c r="J526" s="48" t="n"/>
      <c r="K526" s="48" t="n"/>
      <c r="L526" s="48" t="n"/>
      <c r="M526" s="48" t="n"/>
      <c r="N526" s="48" t="n"/>
      <c r="O526" s="51">
        <f>IF(AND(B526="",G526="",C526="",D526="",J526=""),"",IF(B526="","⚠ Falta fecha",IF(G526="","⚠ Falta monto",IF(Q526="","⚠ Falta cuenta",IF(ISNA(MATCH(Q526,ctaNombre,0)),"⚠ Cuenta no registrada",IF(AND(OR(P526="Gasto",P526="Reembolso"),D526=""),"⚠ Falta categoría",IF(AND(D526&lt;&gt;"",E526&lt;&gt;"",ISNA(MATCH(D526&amp;"|"&amp;E526,catClave,0))),"⚠ Subcategoría no corresponde",IF(AND(OR(P526="Transferencia",P526="Pago tarjeta"),K526=""),"⚠ Falta cuenta destino",IF(AND(K526&lt;&gt;"",P526&lt;&gt;"Transferencia",P526&lt;&gt;"Pago tarjeta"),"⚠ Destino solo aplica a transferencias",IF(AND(K526&lt;&gt;"",K526=Q526),"⚠ Origen igual a destino",IF(AND(K526&lt;&gt;"",ISNA(MATCH(K526,ctaNombre,0))),"⚠ Destino no registrado",IF(AND(P526="Pago tarjeta",AE526&lt;&gt;"Tarjeta de crédito"),"⚠ El destino debe ser tarjeta de crédito",IF(AND(P526="Gasto",E526="Depósitos y retiros"),"⚠ Usa tipo Transferencia",IF(AND(P526="Resultado trading",AD526&lt;&gt;"Cuenta de trading"),"⚠ Usa una cuenta de trading",IF(AND(G526&lt;=0,P526&lt;&gt;"Ajuste",P526&lt;&gt;"Resultado trading"),"⚠ El monto debe ser positivo","✓")))))))))))))))</f>
        <v/>
      </c>
      <c r="P526" s="52">
        <f>IF(OR(B526="",G526=""),"",IF(C526="","Gasto",C526))</f>
        <v/>
      </c>
      <c r="Q526" s="52">
        <f>IF(P526="","",IF(J526&lt;&gt;"",J526,CuentaPred&amp;""))</f>
        <v/>
      </c>
      <c r="R526" s="52">
        <f>IF(P526="","",IF(ISNUMBER(I526),I526,TasaUSD))</f>
        <v/>
      </c>
      <c r="S526" s="53">
        <f>IF(P526="","",IF(H526="USD",G526*R526,G526))</f>
        <v/>
      </c>
      <c r="T526" s="53">
        <f>IF(P526="","",IF(H526="USD",G526,IF(R526&gt;0,G526/R526,0)))</f>
        <v/>
      </c>
      <c r="U526" s="53">
        <f>IF(P526="","",IF(P526="Gasto",S526,IF(P526="Reembolso",-S526,0)))</f>
        <v/>
      </c>
      <c r="V526" s="53">
        <f>IF(P526="","",IF(P526="Ingreso",S526,0))</f>
        <v/>
      </c>
      <c r="W526" s="53">
        <f>IF(P526="","",IF(P526="Resultado trading",S526,0))</f>
        <v/>
      </c>
      <c r="X526" s="52">
        <f>IF(OR(P526="Gasto",P526="Reembolso"),IF(M526&lt;&gt;"",M526,IFERROR(INDEX(catClasif,MATCH(D526&amp;"|"&amp;E526,catClave,0))&amp;"","Variable")),"")</f>
        <v/>
      </c>
      <c r="Y526" s="52">
        <f>IF(P526="","",IFERROR(INDEX(catGrupo,MATCH(D526&amp;"|"&amp;E526,catClave,0))&amp;"",""))</f>
        <v/>
      </c>
      <c r="Z526" s="52">
        <f>IF(P526="","",WEEKDAY(B526,2))</f>
        <v/>
      </c>
      <c r="AA526" s="52">
        <f>IF(P526="","",IF(AND(P526="Gasto",X526="Variable",D526&lt;&gt;catTrading,S526&gt;0,S526&lt;=Umbral),1,0))</f>
        <v/>
      </c>
      <c r="AB526" s="52">
        <f>IF(OR(P526="",Q526=""),"",IFERROR(IF(INDEX(ctaVinc,MATCH(Q526,ctaNombre,0))&amp;""&lt;&gt;"",INDEX(ctaVinc,MATCH(Q526,ctaNombre,0))&amp;"",Q526),Q526))</f>
        <v/>
      </c>
      <c r="AC526" s="52">
        <f>IF(OR(K526="",AND(P526&lt;&gt;"Transferencia",P526&lt;&gt;"Pago tarjeta")),"",IFERROR(IF(INDEX(ctaVinc,MATCH(K526,ctaNombre,0))&amp;""&lt;&gt;"",INDEX(ctaVinc,MATCH(K526,ctaNombre,0))&amp;"",K526),K526))</f>
        <v/>
      </c>
      <c r="AD526" s="52">
        <f>IF(AB526="","",IFERROR(INDEX(ctaTipo,MATCH(AB526,ctaNombre,0))&amp;"",""))</f>
        <v/>
      </c>
      <c r="AE526" s="52">
        <f>IF(AC526="","",IFERROR(INDEX(ctaTipo,MATCH(AC526,ctaNombre,0))&amp;"",""))</f>
        <v/>
      </c>
      <c r="AF526" s="53">
        <f>IF(OR(P526="",AB526=""),"",IF(OR(P526="Gasto",P526="Transferencia",P526="Pago tarjeta"),-1,1)*IF(IFERROR(INDEX(ctaMoneda,MATCH(AB526,ctaNombre,0))&amp;"","DOP")="USD",T526,S526))</f>
        <v/>
      </c>
      <c r="AG526" s="53">
        <f>IF(AC526="","",IF(IFERROR(INDEX(ctaMoneda,MATCH(AC526,ctaNombre,0))&amp;"","DOP")="USD",T526,S526))</f>
        <v/>
      </c>
      <c r="AH526" s="53">
        <f>IF(P526="","",IF(AND(AD526&lt;&gt;"",COUNTIFS(tcTipo,AD526,tcLiq,"Sí")&gt;0),IF(OR(P526="Gasto",P526="Transferencia",P526="Pago tarjeta"),-1,1)*S526,0)+IF(AND(AE526&lt;&gt;"",COUNTIFS(tcTipo,AE526,tcLiq,"Sí")&gt;0),S526,0))</f>
        <v/>
      </c>
      <c r="AI526" s="52">
        <f>IF(OR(L526="",P526=""),"",IF(COUNTIFS(L$6:L526,L526,P$6:P526,"?*")=1,MAX(AI$5:AI525)+1,""))</f>
        <v/>
      </c>
    </row>
    <row r="527">
      <c r="B527" s="47" t="n"/>
      <c r="C527" s="48" t="n"/>
      <c r="D527" s="48" t="n"/>
      <c r="E527" s="48" t="n"/>
      <c r="F527" s="48" t="n"/>
      <c r="G527" s="49" t="n"/>
      <c r="H527" s="48" t="n"/>
      <c r="I527" s="50" t="n"/>
      <c r="J527" s="48" t="n"/>
      <c r="K527" s="48" t="n"/>
      <c r="L527" s="48" t="n"/>
      <c r="M527" s="48" t="n"/>
      <c r="N527" s="48" t="n"/>
      <c r="O527" s="51">
        <f>IF(AND(B527="",G527="",C527="",D527="",J527=""),"",IF(B527="","⚠ Falta fecha",IF(G527="","⚠ Falta monto",IF(Q527="","⚠ Falta cuenta",IF(ISNA(MATCH(Q527,ctaNombre,0)),"⚠ Cuenta no registrada",IF(AND(OR(P527="Gasto",P527="Reembolso"),D527=""),"⚠ Falta categoría",IF(AND(D527&lt;&gt;"",E527&lt;&gt;"",ISNA(MATCH(D527&amp;"|"&amp;E527,catClave,0))),"⚠ Subcategoría no corresponde",IF(AND(OR(P527="Transferencia",P527="Pago tarjeta"),K527=""),"⚠ Falta cuenta destino",IF(AND(K527&lt;&gt;"",P527&lt;&gt;"Transferencia",P527&lt;&gt;"Pago tarjeta"),"⚠ Destino solo aplica a transferencias",IF(AND(K527&lt;&gt;"",K527=Q527),"⚠ Origen igual a destino",IF(AND(K527&lt;&gt;"",ISNA(MATCH(K527,ctaNombre,0))),"⚠ Destino no registrado",IF(AND(P527="Pago tarjeta",AE527&lt;&gt;"Tarjeta de crédito"),"⚠ El destino debe ser tarjeta de crédito",IF(AND(P527="Gasto",E527="Depósitos y retiros"),"⚠ Usa tipo Transferencia",IF(AND(P527="Resultado trading",AD527&lt;&gt;"Cuenta de trading"),"⚠ Usa una cuenta de trading",IF(AND(G527&lt;=0,P527&lt;&gt;"Ajuste",P527&lt;&gt;"Resultado trading"),"⚠ El monto debe ser positivo","✓")))))))))))))))</f>
        <v/>
      </c>
      <c r="P527" s="52">
        <f>IF(OR(B527="",G527=""),"",IF(C527="","Gasto",C527))</f>
        <v/>
      </c>
      <c r="Q527" s="52">
        <f>IF(P527="","",IF(J527&lt;&gt;"",J527,CuentaPred&amp;""))</f>
        <v/>
      </c>
      <c r="R527" s="52">
        <f>IF(P527="","",IF(ISNUMBER(I527),I527,TasaUSD))</f>
        <v/>
      </c>
      <c r="S527" s="53">
        <f>IF(P527="","",IF(H527="USD",G527*R527,G527))</f>
        <v/>
      </c>
      <c r="T527" s="53">
        <f>IF(P527="","",IF(H527="USD",G527,IF(R527&gt;0,G527/R527,0)))</f>
        <v/>
      </c>
      <c r="U527" s="53">
        <f>IF(P527="","",IF(P527="Gasto",S527,IF(P527="Reembolso",-S527,0)))</f>
        <v/>
      </c>
      <c r="V527" s="53">
        <f>IF(P527="","",IF(P527="Ingreso",S527,0))</f>
        <v/>
      </c>
      <c r="W527" s="53">
        <f>IF(P527="","",IF(P527="Resultado trading",S527,0))</f>
        <v/>
      </c>
      <c r="X527" s="52">
        <f>IF(OR(P527="Gasto",P527="Reembolso"),IF(M527&lt;&gt;"",M527,IFERROR(INDEX(catClasif,MATCH(D527&amp;"|"&amp;E527,catClave,0))&amp;"","Variable")),"")</f>
        <v/>
      </c>
      <c r="Y527" s="52">
        <f>IF(P527="","",IFERROR(INDEX(catGrupo,MATCH(D527&amp;"|"&amp;E527,catClave,0))&amp;"",""))</f>
        <v/>
      </c>
      <c r="Z527" s="52">
        <f>IF(P527="","",WEEKDAY(B527,2))</f>
        <v/>
      </c>
      <c r="AA527" s="52">
        <f>IF(P527="","",IF(AND(P527="Gasto",X527="Variable",D527&lt;&gt;catTrading,S527&gt;0,S527&lt;=Umbral),1,0))</f>
        <v/>
      </c>
      <c r="AB527" s="52">
        <f>IF(OR(P527="",Q527=""),"",IFERROR(IF(INDEX(ctaVinc,MATCH(Q527,ctaNombre,0))&amp;""&lt;&gt;"",INDEX(ctaVinc,MATCH(Q527,ctaNombre,0))&amp;"",Q527),Q527))</f>
        <v/>
      </c>
      <c r="AC527" s="52">
        <f>IF(OR(K527="",AND(P527&lt;&gt;"Transferencia",P527&lt;&gt;"Pago tarjeta")),"",IFERROR(IF(INDEX(ctaVinc,MATCH(K527,ctaNombre,0))&amp;""&lt;&gt;"",INDEX(ctaVinc,MATCH(K527,ctaNombre,0))&amp;"",K527),K527))</f>
        <v/>
      </c>
      <c r="AD527" s="52">
        <f>IF(AB527="","",IFERROR(INDEX(ctaTipo,MATCH(AB527,ctaNombre,0))&amp;"",""))</f>
        <v/>
      </c>
      <c r="AE527" s="52">
        <f>IF(AC527="","",IFERROR(INDEX(ctaTipo,MATCH(AC527,ctaNombre,0))&amp;"",""))</f>
        <v/>
      </c>
      <c r="AF527" s="53">
        <f>IF(OR(P527="",AB527=""),"",IF(OR(P527="Gasto",P527="Transferencia",P527="Pago tarjeta"),-1,1)*IF(IFERROR(INDEX(ctaMoneda,MATCH(AB527,ctaNombre,0))&amp;"","DOP")="USD",T527,S527))</f>
        <v/>
      </c>
      <c r="AG527" s="53">
        <f>IF(AC527="","",IF(IFERROR(INDEX(ctaMoneda,MATCH(AC527,ctaNombre,0))&amp;"","DOP")="USD",T527,S527))</f>
        <v/>
      </c>
      <c r="AH527" s="53">
        <f>IF(P527="","",IF(AND(AD527&lt;&gt;"",COUNTIFS(tcTipo,AD527,tcLiq,"Sí")&gt;0),IF(OR(P527="Gasto",P527="Transferencia",P527="Pago tarjeta"),-1,1)*S527,0)+IF(AND(AE527&lt;&gt;"",COUNTIFS(tcTipo,AE527,tcLiq,"Sí")&gt;0),S527,0))</f>
        <v/>
      </c>
      <c r="AI527" s="52">
        <f>IF(OR(L527="",P527=""),"",IF(COUNTIFS(L$6:L527,L527,P$6:P527,"?*")=1,MAX(AI$5:AI526)+1,""))</f>
        <v/>
      </c>
    </row>
    <row r="528">
      <c r="B528" s="47" t="n"/>
      <c r="C528" s="48" t="n"/>
      <c r="D528" s="48" t="n"/>
      <c r="E528" s="48" t="n"/>
      <c r="F528" s="48" t="n"/>
      <c r="G528" s="49" t="n"/>
      <c r="H528" s="48" t="n"/>
      <c r="I528" s="50" t="n"/>
      <c r="J528" s="48" t="n"/>
      <c r="K528" s="48" t="n"/>
      <c r="L528" s="48" t="n"/>
      <c r="M528" s="48" t="n"/>
      <c r="N528" s="48" t="n"/>
      <c r="O528" s="51">
        <f>IF(AND(B528="",G528="",C528="",D528="",J528=""),"",IF(B528="","⚠ Falta fecha",IF(G528="","⚠ Falta monto",IF(Q528="","⚠ Falta cuenta",IF(ISNA(MATCH(Q528,ctaNombre,0)),"⚠ Cuenta no registrada",IF(AND(OR(P528="Gasto",P528="Reembolso"),D528=""),"⚠ Falta categoría",IF(AND(D528&lt;&gt;"",E528&lt;&gt;"",ISNA(MATCH(D528&amp;"|"&amp;E528,catClave,0))),"⚠ Subcategoría no corresponde",IF(AND(OR(P528="Transferencia",P528="Pago tarjeta"),K528=""),"⚠ Falta cuenta destino",IF(AND(K528&lt;&gt;"",P528&lt;&gt;"Transferencia",P528&lt;&gt;"Pago tarjeta"),"⚠ Destino solo aplica a transferencias",IF(AND(K528&lt;&gt;"",K528=Q528),"⚠ Origen igual a destino",IF(AND(K528&lt;&gt;"",ISNA(MATCH(K528,ctaNombre,0))),"⚠ Destino no registrado",IF(AND(P528="Pago tarjeta",AE528&lt;&gt;"Tarjeta de crédito"),"⚠ El destino debe ser tarjeta de crédito",IF(AND(P528="Gasto",E528="Depósitos y retiros"),"⚠ Usa tipo Transferencia",IF(AND(P528="Resultado trading",AD528&lt;&gt;"Cuenta de trading"),"⚠ Usa una cuenta de trading",IF(AND(G528&lt;=0,P528&lt;&gt;"Ajuste",P528&lt;&gt;"Resultado trading"),"⚠ El monto debe ser positivo","✓")))))))))))))))</f>
        <v/>
      </c>
      <c r="P528" s="52">
        <f>IF(OR(B528="",G528=""),"",IF(C528="","Gasto",C528))</f>
        <v/>
      </c>
      <c r="Q528" s="52">
        <f>IF(P528="","",IF(J528&lt;&gt;"",J528,CuentaPred&amp;""))</f>
        <v/>
      </c>
      <c r="R528" s="52">
        <f>IF(P528="","",IF(ISNUMBER(I528),I528,TasaUSD))</f>
        <v/>
      </c>
      <c r="S528" s="53">
        <f>IF(P528="","",IF(H528="USD",G528*R528,G528))</f>
        <v/>
      </c>
      <c r="T528" s="53">
        <f>IF(P528="","",IF(H528="USD",G528,IF(R528&gt;0,G528/R528,0)))</f>
        <v/>
      </c>
      <c r="U528" s="53">
        <f>IF(P528="","",IF(P528="Gasto",S528,IF(P528="Reembolso",-S528,0)))</f>
        <v/>
      </c>
      <c r="V528" s="53">
        <f>IF(P528="","",IF(P528="Ingreso",S528,0))</f>
        <v/>
      </c>
      <c r="W528" s="53">
        <f>IF(P528="","",IF(P528="Resultado trading",S528,0))</f>
        <v/>
      </c>
      <c r="X528" s="52">
        <f>IF(OR(P528="Gasto",P528="Reembolso"),IF(M528&lt;&gt;"",M528,IFERROR(INDEX(catClasif,MATCH(D528&amp;"|"&amp;E528,catClave,0))&amp;"","Variable")),"")</f>
        <v/>
      </c>
      <c r="Y528" s="52">
        <f>IF(P528="","",IFERROR(INDEX(catGrupo,MATCH(D528&amp;"|"&amp;E528,catClave,0))&amp;"",""))</f>
        <v/>
      </c>
      <c r="Z528" s="52">
        <f>IF(P528="","",WEEKDAY(B528,2))</f>
        <v/>
      </c>
      <c r="AA528" s="52">
        <f>IF(P528="","",IF(AND(P528="Gasto",X528="Variable",D528&lt;&gt;catTrading,S528&gt;0,S528&lt;=Umbral),1,0))</f>
        <v/>
      </c>
      <c r="AB528" s="52">
        <f>IF(OR(P528="",Q528=""),"",IFERROR(IF(INDEX(ctaVinc,MATCH(Q528,ctaNombre,0))&amp;""&lt;&gt;"",INDEX(ctaVinc,MATCH(Q528,ctaNombre,0))&amp;"",Q528),Q528))</f>
        <v/>
      </c>
      <c r="AC528" s="52">
        <f>IF(OR(K528="",AND(P528&lt;&gt;"Transferencia",P528&lt;&gt;"Pago tarjeta")),"",IFERROR(IF(INDEX(ctaVinc,MATCH(K528,ctaNombre,0))&amp;""&lt;&gt;"",INDEX(ctaVinc,MATCH(K528,ctaNombre,0))&amp;"",K528),K528))</f>
        <v/>
      </c>
      <c r="AD528" s="52">
        <f>IF(AB528="","",IFERROR(INDEX(ctaTipo,MATCH(AB528,ctaNombre,0))&amp;"",""))</f>
        <v/>
      </c>
      <c r="AE528" s="52">
        <f>IF(AC528="","",IFERROR(INDEX(ctaTipo,MATCH(AC528,ctaNombre,0))&amp;"",""))</f>
        <v/>
      </c>
      <c r="AF528" s="53">
        <f>IF(OR(P528="",AB528=""),"",IF(OR(P528="Gasto",P528="Transferencia",P528="Pago tarjeta"),-1,1)*IF(IFERROR(INDEX(ctaMoneda,MATCH(AB528,ctaNombre,0))&amp;"","DOP")="USD",T528,S528))</f>
        <v/>
      </c>
      <c r="AG528" s="53">
        <f>IF(AC528="","",IF(IFERROR(INDEX(ctaMoneda,MATCH(AC528,ctaNombre,0))&amp;"","DOP")="USD",T528,S528))</f>
        <v/>
      </c>
      <c r="AH528" s="53">
        <f>IF(P528="","",IF(AND(AD528&lt;&gt;"",COUNTIFS(tcTipo,AD528,tcLiq,"Sí")&gt;0),IF(OR(P528="Gasto",P528="Transferencia",P528="Pago tarjeta"),-1,1)*S528,0)+IF(AND(AE528&lt;&gt;"",COUNTIFS(tcTipo,AE528,tcLiq,"Sí")&gt;0),S528,0))</f>
        <v/>
      </c>
      <c r="AI528" s="52">
        <f>IF(OR(L528="",P528=""),"",IF(COUNTIFS(L$6:L528,L528,P$6:P528,"?*")=1,MAX(AI$5:AI527)+1,""))</f>
        <v/>
      </c>
    </row>
    <row r="529">
      <c r="B529" s="47" t="n"/>
      <c r="C529" s="48" t="n"/>
      <c r="D529" s="48" t="n"/>
      <c r="E529" s="48" t="n"/>
      <c r="F529" s="48" t="n"/>
      <c r="G529" s="49" t="n"/>
      <c r="H529" s="48" t="n"/>
      <c r="I529" s="50" t="n"/>
      <c r="J529" s="48" t="n"/>
      <c r="K529" s="48" t="n"/>
      <c r="L529" s="48" t="n"/>
      <c r="M529" s="48" t="n"/>
      <c r="N529" s="48" t="n"/>
      <c r="O529" s="51">
        <f>IF(AND(B529="",G529="",C529="",D529="",J529=""),"",IF(B529="","⚠ Falta fecha",IF(G529="","⚠ Falta monto",IF(Q529="","⚠ Falta cuenta",IF(ISNA(MATCH(Q529,ctaNombre,0)),"⚠ Cuenta no registrada",IF(AND(OR(P529="Gasto",P529="Reembolso"),D529=""),"⚠ Falta categoría",IF(AND(D529&lt;&gt;"",E529&lt;&gt;"",ISNA(MATCH(D529&amp;"|"&amp;E529,catClave,0))),"⚠ Subcategoría no corresponde",IF(AND(OR(P529="Transferencia",P529="Pago tarjeta"),K529=""),"⚠ Falta cuenta destino",IF(AND(K529&lt;&gt;"",P529&lt;&gt;"Transferencia",P529&lt;&gt;"Pago tarjeta"),"⚠ Destino solo aplica a transferencias",IF(AND(K529&lt;&gt;"",K529=Q529),"⚠ Origen igual a destino",IF(AND(K529&lt;&gt;"",ISNA(MATCH(K529,ctaNombre,0))),"⚠ Destino no registrado",IF(AND(P529="Pago tarjeta",AE529&lt;&gt;"Tarjeta de crédito"),"⚠ El destino debe ser tarjeta de crédito",IF(AND(P529="Gasto",E529="Depósitos y retiros"),"⚠ Usa tipo Transferencia",IF(AND(P529="Resultado trading",AD529&lt;&gt;"Cuenta de trading"),"⚠ Usa una cuenta de trading",IF(AND(G529&lt;=0,P529&lt;&gt;"Ajuste",P529&lt;&gt;"Resultado trading"),"⚠ El monto debe ser positivo","✓")))))))))))))))</f>
        <v/>
      </c>
      <c r="P529" s="52">
        <f>IF(OR(B529="",G529=""),"",IF(C529="","Gasto",C529))</f>
        <v/>
      </c>
      <c r="Q529" s="52">
        <f>IF(P529="","",IF(J529&lt;&gt;"",J529,CuentaPred&amp;""))</f>
        <v/>
      </c>
      <c r="R529" s="52">
        <f>IF(P529="","",IF(ISNUMBER(I529),I529,TasaUSD))</f>
        <v/>
      </c>
      <c r="S529" s="53">
        <f>IF(P529="","",IF(H529="USD",G529*R529,G529))</f>
        <v/>
      </c>
      <c r="T529" s="53">
        <f>IF(P529="","",IF(H529="USD",G529,IF(R529&gt;0,G529/R529,0)))</f>
        <v/>
      </c>
      <c r="U529" s="53">
        <f>IF(P529="","",IF(P529="Gasto",S529,IF(P529="Reembolso",-S529,0)))</f>
        <v/>
      </c>
      <c r="V529" s="53">
        <f>IF(P529="","",IF(P529="Ingreso",S529,0))</f>
        <v/>
      </c>
      <c r="W529" s="53">
        <f>IF(P529="","",IF(P529="Resultado trading",S529,0))</f>
        <v/>
      </c>
      <c r="X529" s="52">
        <f>IF(OR(P529="Gasto",P529="Reembolso"),IF(M529&lt;&gt;"",M529,IFERROR(INDEX(catClasif,MATCH(D529&amp;"|"&amp;E529,catClave,0))&amp;"","Variable")),"")</f>
        <v/>
      </c>
      <c r="Y529" s="52">
        <f>IF(P529="","",IFERROR(INDEX(catGrupo,MATCH(D529&amp;"|"&amp;E529,catClave,0))&amp;"",""))</f>
        <v/>
      </c>
      <c r="Z529" s="52">
        <f>IF(P529="","",WEEKDAY(B529,2))</f>
        <v/>
      </c>
      <c r="AA529" s="52">
        <f>IF(P529="","",IF(AND(P529="Gasto",X529="Variable",D529&lt;&gt;catTrading,S529&gt;0,S529&lt;=Umbral),1,0))</f>
        <v/>
      </c>
      <c r="AB529" s="52">
        <f>IF(OR(P529="",Q529=""),"",IFERROR(IF(INDEX(ctaVinc,MATCH(Q529,ctaNombre,0))&amp;""&lt;&gt;"",INDEX(ctaVinc,MATCH(Q529,ctaNombre,0))&amp;"",Q529),Q529))</f>
        <v/>
      </c>
      <c r="AC529" s="52">
        <f>IF(OR(K529="",AND(P529&lt;&gt;"Transferencia",P529&lt;&gt;"Pago tarjeta")),"",IFERROR(IF(INDEX(ctaVinc,MATCH(K529,ctaNombre,0))&amp;""&lt;&gt;"",INDEX(ctaVinc,MATCH(K529,ctaNombre,0))&amp;"",K529),K529))</f>
        <v/>
      </c>
      <c r="AD529" s="52">
        <f>IF(AB529="","",IFERROR(INDEX(ctaTipo,MATCH(AB529,ctaNombre,0))&amp;"",""))</f>
        <v/>
      </c>
      <c r="AE529" s="52">
        <f>IF(AC529="","",IFERROR(INDEX(ctaTipo,MATCH(AC529,ctaNombre,0))&amp;"",""))</f>
        <v/>
      </c>
      <c r="AF529" s="53">
        <f>IF(OR(P529="",AB529=""),"",IF(OR(P529="Gasto",P529="Transferencia",P529="Pago tarjeta"),-1,1)*IF(IFERROR(INDEX(ctaMoneda,MATCH(AB529,ctaNombre,0))&amp;"","DOP")="USD",T529,S529))</f>
        <v/>
      </c>
      <c r="AG529" s="53">
        <f>IF(AC529="","",IF(IFERROR(INDEX(ctaMoneda,MATCH(AC529,ctaNombre,0))&amp;"","DOP")="USD",T529,S529))</f>
        <v/>
      </c>
      <c r="AH529" s="53">
        <f>IF(P529="","",IF(AND(AD529&lt;&gt;"",COUNTIFS(tcTipo,AD529,tcLiq,"Sí")&gt;0),IF(OR(P529="Gasto",P529="Transferencia",P529="Pago tarjeta"),-1,1)*S529,0)+IF(AND(AE529&lt;&gt;"",COUNTIFS(tcTipo,AE529,tcLiq,"Sí")&gt;0),S529,0))</f>
        <v/>
      </c>
      <c r="AI529" s="52">
        <f>IF(OR(L529="",P529=""),"",IF(COUNTIFS(L$6:L529,L529,P$6:P529,"?*")=1,MAX(AI$5:AI528)+1,""))</f>
        <v/>
      </c>
    </row>
    <row r="530">
      <c r="B530" s="47" t="n"/>
      <c r="C530" s="48" t="n"/>
      <c r="D530" s="48" t="n"/>
      <c r="E530" s="48" t="n"/>
      <c r="F530" s="48" t="n"/>
      <c r="G530" s="49" t="n"/>
      <c r="H530" s="48" t="n"/>
      <c r="I530" s="50" t="n"/>
      <c r="J530" s="48" t="n"/>
      <c r="K530" s="48" t="n"/>
      <c r="L530" s="48" t="n"/>
      <c r="M530" s="48" t="n"/>
      <c r="N530" s="48" t="n"/>
      <c r="O530" s="51">
        <f>IF(AND(B530="",G530="",C530="",D530="",J530=""),"",IF(B530="","⚠ Falta fecha",IF(G530="","⚠ Falta monto",IF(Q530="","⚠ Falta cuenta",IF(ISNA(MATCH(Q530,ctaNombre,0)),"⚠ Cuenta no registrada",IF(AND(OR(P530="Gasto",P530="Reembolso"),D530=""),"⚠ Falta categoría",IF(AND(D530&lt;&gt;"",E530&lt;&gt;"",ISNA(MATCH(D530&amp;"|"&amp;E530,catClave,0))),"⚠ Subcategoría no corresponde",IF(AND(OR(P530="Transferencia",P530="Pago tarjeta"),K530=""),"⚠ Falta cuenta destino",IF(AND(K530&lt;&gt;"",P530&lt;&gt;"Transferencia",P530&lt;&gt;"Pago tarjeta"),"⚠ Destino solo aplica a transferencias",IF(AND(K530&lt;&gt;"",K530=Q530),"⚠ Origen igual a destino",IF(AND(K530&lt;&gt;"",ISNA(MATCH(K530,ctaNombre,0))),"⚠ Destino no registrado",IF(AND(P530="Pago tarjeta",AE530&lt;&gt;"Tarjeta de crédito"),"⚠ El destino debe ser tarjeta de crédito",IF(AND(P530="Gasto",E530="Depósitos y retiros"),"⚠ Usa tipo Transferencia",IF(AND(P530="Resultado trading",AD530&lt;&gt;"Cuenta de trading"),"⚠ Usa una cuenta de trading",IF(AND(G530&lt;=0,P530&lt;&gt;"Ajuste",P530&lt;&gt;"Resultado trading"),"⚠ El monto debe ser positivo","✓")))))))))))))))</f>
        <v/>
      </c>
      <c r="P530" s="52">
        <f>IF(OR(B530="",G530=""),"",IF(C530="","Gasto",C530))</f>
        <v/>
      </c>
      <c r="Q530" s="52">
        <f>IF(P530="","",IF(J530&lt;&gt;"",J530,CuentaPred&amp;""))</f>
        <v/>
      </c>
      <c r="R530" s="52">
        <f>IF(P530="","",IF(ISNUMBER(I530),I530,TasaUSD))</f>
        <v/>
      </c>
      <c r="S530" s="53">
        <f>IF(P530="","",IF(H530="USD",G530*R530,G530))</f>
        <v/>
      </c>
      <c r="T530" s="53">
        <f>IF(P530="","",IF(H530="USD",G530,IF(R530&gt;0,G530/R530,0)))</f>
        <v/>
      </c>
      <c r="U530" s="53">
        <f>IF(P530="","",IF(P530="Gasto",S530,IF(P530="Reembolso",-S530,0)))</f>
        <v/>
      </c>
      <c r="V530" s="53">
        <f>IF(P530="","",IF(P530="Ingreso",S530,0))</f>
        <v/>
      </c>
      <c r="W530" s="53">
        <f>IF(P530="","",IF(P530="Resultado trading",S530,0))</f>
        <v/>
      </c>
      <c r="X530" s="52">
        <f>IF(OR(P530="Gasto",P530="Reembolso"),IF(M530&lt;&gt;"",M530,IFERROR(INDEX(catClasif,MATCH(D530&amp;"|"&amp;E530,catClave,0))&amp;"","Variable")),"")</f>
        <v/>
      </c>
      <c r="Y530" s="52">
        <f>IF(P530="","",IFERROR(INDEX(catGrupo,MATCH(D530&amp;"|"&amp;E530,catClave,0))&amp;"",""))</f>
        <v/>
      </c>
      <c r="Z530" s="52">
        <f>IF(P530="","",WEEKDAY(B530,2))</f>
        <v/>
      </c>
      <c r="AA530" s="52">
        <f>IF(P530="","",IF(AND(P530="Gasto",X530="Variable",D530&lt;&gt;catTrading,S530&gt;0,S530&lt;=Umbral),1,0))</f>
        <v/>
      </c>
      <c r="AB530" s="52">
        <f>IF(OR(P530="",Q530=""),"",IFERROR(IF(INDEX(ctaVinc,MATCH(Q530,ctaNombre,0))&amp;""&lt;&gt;"",INDEX(ctaVinc,MATCH(Q530,ctaNombre,0))&amp;"",Q530),Q530))</f>
        <v/>
      </c>
      <c r="AC530" s="52">
        <f>IF(OR(K530="",AND(P530&lt;&gt;"Transferencia",P530&lt;&gt;"Pago tarjeta")),"",IFERROR(IF(INDEX(ctaVinc,MATCH(K530,ctaNombre,0))&amp;""&lt;&gt;"",INDEX(ctaVinc,MATCH(K530,ctaNombre,0))&amp;"",K530),K530))</f>
        <v/>
      </c>
      <c r="AD530" s="52">
        <f>IF(AB530="","",IFERROR(INDEX(ctaTipo,MATCH(AB530,ctaNombre,0))&amp;"",""))</f>
        <v/>
      </c>
      <c r="AE530" s="52">
        <f>IF(AC530="","",IFERROR(INDEX(ctaTipo,MATCH(AC530,ctaNombre,0))&amp;"",""))</f>
        <v/>
      </c>
      <c r="AF530" s="53">
        <f>IF(OR(P530="",AB530=""),"",IF(OR(P530="Gasto",P530="Transferencia",P530="Pago tarjeta"),-1,1)*IF(IFERROR(INDEX(ctaMoneda,MATCH(AB530,ctaNombre,0))&amp;"","DOP")="USD",T530,S530))</f>
        <v/>
      </c>
      <c r="AG530" s="53">
        <f>IF(AC530="","",IF(IFERROR(INDEX(ctaMoneda,MATCH(AC530,ctaNombre,0))&amp;"","DOP")="USD",T530,S530))</f>
        <v/>
      </c>
      <c r="AH530" s="53">
        <f>IF(P530="","",IF(AND(AD530&lt;&gt;"",COUNTIFS(tcTipo,AD530,tcLiq,"Sí")&gt;0),IF(OR(P530="Gasto",P530="Transferencia",P530="Pago tarjeta"),-1,1)*S530,0)+IF(AND(AE530&lt;&gt;"",COUNTIFS(tcTipo,AE530,tcLiq,"Sí")&gt;0),S530,0))</f>
        <v/>
      </c>
      <c r="AI530" s="52">
        <f>IF(OR(L530="",P530=""),"",IF(COUNTIFS(L$6:L530,L530,P$6:P530,"?*")=1,MAX(AI$5:AI529)+1,""))</f>
        <v/>
      </c>
    </row>
    <row r="531">
      <c r="B531" s="47" t="n"/>
      <c r="C531" s="48" t="n"/>
      <c r="D531" s="48" t="n"/>
      <c r="E531" s="48" t="n"/>
      <c r="F531" s="48" t="n"/>
      <c r="G531" s="49" t="n"/>
      <c r="H531" s="48" t="n"/>
      <c r="I531" s="50" t="n"/>
      <c r="J531" s="48" t="n"/>
      <c r="K531" s="48" t="n"/>
      <c r="L531" s="48" t="n"/>
      <c r="M531" s="48" t="n"/>
      <c r="N531" s="48" t="n"/>
      <c r="O531" s="51">
        <f>IF(AND(B531="",G531="",C531="",D531="",J531=""),"",IF(B531="","⚠ Falta fecha",IF(G531="","⚠ Falta monto",IF(Q531="","⚠ Falta cuenta",IF(ISNA(MATCH(Q531,ctaNombre,0)),"⚠ Cuenta no registrada",IF(AND(OR(P531="Gasto",P531="Reembolso"),D531=""),"⚠ Falta categoría",IF(AND(D531&lt;&gt;"",E531&lt;&gt;"",ISNA(MATCH(D531&amp;"|"&amp;E531,catClave,0))),"⚠ Subcategoría no corresponde",IF(AND(OR(P531="Transferencia",P531="Pago tarjeta"),K531=""),"⚠ Falta cuenta destino",IF(AND(K531&lt;&gt;"",P531&lt;&gt;"Transferencia",P531&lt;&gt;"Pago tarjeta"),"⚠ Destino solo aplica a transferencias",IF(AND(K531&lt;&gt;"",K531=Q531),"⚠ Origen igual a destino",IF(AND(K531&lt;&gt;"",ISNA(MATCH(K531,ctaNombre,0))),"⚠ Destino no registrado",IF(AND(P531="Pago tarjeta",AE531&lt;&gt;"Tarjeta de crédito"),"⚠ El destino debe ser tarjeta de crédito",IF(AND(P531="Gasto",E531="Depósitos y retiros"),"⚠ Usa tipo Transferencia",IF(AND(P531="Resultado trading",AD531&lt;&gt;"Cuenta de trading"),"⚠ Usa una cuenta de trading",IF(AND(G531&lt;=0,P531&lt;&gt;"Ajuste",P531&lt;&gt;"Resultado trading"),"⚠ El monto debe ser positivo","✓")))))))))))))))</f>
        <v/>
      </c>
      <c r="P531" s="52">
        <f>IF(OR(B531="",G531=""),"",IF(C531="","Gasto",C531))</f>
        <v/>
      </c>
      <c r="Q531" s="52">
        <f>IF(P531="","",IF(J531&lt;&gt;"",J531,CuentaPred&amp;""))</f>
        <v/>
      </c>
      <c r="R531" s="52">
        <f>IF(P531="","",IF(ISNUMBER(I531),I531,TasaUSD))</f>
        <v/>
      </c>
      <c r="S531" s="53">
        <f>IF(P531="","",IF(H531="USD",G531*R531,G531))</f>
        <v/>
      </c>
      <c r="T531" s="53">
        <f>IF(P531="","",IF(H531="USD",G531,IF(R531&gt;0,G531/R531,0)))</f>
        <v/>
      </c>
      <c r="U531" s="53">
        <f>IF(P531="","",IF(P531="Gasto",S531,IF(P531="Reembolso",-S531,0)))</f>
        <v/>
      </c>
      <c r="V531" s="53">
        <f>IF(P531="","",IF(P531="Ingreso",S531,0))</f>
        <v/>
      </c>
      <c r="W531" s="53">
        <f>IF(P531="","",IF(P531="Resultado trading",S531,0))</f>
        <v/>
      </c>
      <c r="X531" s="52">
        <f>IF(OR(P531="Gasto",P531="Reembolso"),IF(M531&lt;&gt;"",M531,IFERROR(INDEX(catClasif,MATCH(D531&amp;"|"&amp;E531,catClave,0))&amp;"","Variable")),"")</f>
        <v/>
      </c>
      <c r="Y531" s="52">
        <f>IF(P531="","",IFERROR(INDEX(catGrupo,MATCH(D531&amp;"|"&amp;E531,catClave,0))&amp;"",""))</f>
        <v/>
      </c>
      <c r="Z531" s="52">
        <f>IF(P531="","",WEEKDAY(B531,2))</f>
        <v/>
      </c>
      <c r="AA531" s="52">
        <f>IF(P531="","",IF(AND(P531="Gasto",X531="Variable",D531&lt;&gt;catTrading,S531&gt;0,S531&lt;=Umbral),1,0))</f>
        <v/>
      </c>
      <c r="AB531" s="52">
        <f>IF(OR(P531="",Q531=""),"",IFERROR(IF(INDEX(ctaVinc,MATCH(Q531,ctaNombre,0))&amp;""&lt;&gt;"",INDEX(ctaVinc,MATCH(Q531,ctaNombre,0))&amp;"",Q531),Q531))</f>
        <v/>
      </c>
      <c r="AC531" s="52">
        <f>IF(OR(K531="",AND(P531&lt;&gt;"Transferencia",P531&lt;&gt;"Pago tarjeta")),"",IFERROR(IF(INDEX(ctaVinc,MATCH(K531,ctaNombre,0))&amp;""&lt;&gt;"",INDEX(ctaVinc,MATCH(K531,ctaNombre,0))&amp;"",K531),K531))</f>
        <v/>
      </c>
      <c r="AD531" s="52">
        <f>IF(AB531="","",IFERROR(INDEX(ctaTipo,MATCH(AB531,ctaNombre,0))&amp;"",""))</f>
        <v/>
      </c>
      <c r="AE531" s="52">
        <f>IF(AC531="","",IFERROR(INDEX(ctaTipo,MATCH(AC531,ctaNombre,0))&amp;"",""))</f>
        <v/>
      </c>
      <c r="AF531" s="53">
        <f>IF(OR(P531="",AB531=""),"",IF(OR(P531="Gasto",P531="Transferencia",P531="Pago tarjeta"),-1,1)*IF(IFERROR(INDEX(ctaMoneda,MATCH(AB531,ctaNombre,0))&amp;"","DOP")="USD",T531,S531))</f>
        <v/>
      </c>
      <c r="AG531" s="53">
        <f>IF(AC531="","",IF(IFERROR(INDEX(ctaMoneda,MATCH(AC531,ctaNombre,0))&amp;"","DOP")="USD",T531,S531))</f>
        <v/>
      </c>
      <c r="AH531" s="53">
        <f>IF(P531="","",IF(AND(AD531&lt;&gt;"",COUNTIFS(tcTipo,AD531,tcLiq,"Sí")&gt;0),IF(OR(P531="Gasto",P531="Transferencia",P531="Pago tarjeta"),-1,1)*S531,0)+IF(AND(AE531&lt;&gt;"",COUNTIFS(tcTipo,AE531,tcLiq,"Sí")&gt;0),S531,0))</f>
        <v/>
      </c>
      <c r="AI531" s="52">
        <f>IF(OR(L531="",P531=""),"",IF(COUNTIFS(L$6:L531,L531,P$6:P531,"?*")=1,MAX(AI$5:AI530)+1,""))</f>
        <v/>
      </c>
    </row>
    <row r="532">
      <c r="B532" s="47" t="n"/>
      <c r="C532" s="48" t="n"/>
      <c r="D532" s="48" t="n"/>
      <c r="E532" s="48" t="n"/>
      <c r="F532" s="48" t="n"/>
      <c r="G532" s="49" t="n"/>
      <c r="H532" s="48" t="n"/>
      <c r="I532" s="50" t="n"/>
      <c r="J532" s="48" t="n"/>
      <c r="K532" s="48" t="n"/>
      <c r="L532" s="48" t="n"/>
      <c r="M532" s="48" t="n"/>
      <c r="N532" s="48" t="n"/>
      <c r="O532" s="51">
        <f>IF(AND(B532="",G532="",C532="",D532="",J532=""),"",IF(B532="","⚠ Falta fecha",IF(G532="","⚠ Falta monto",IF(Q532="","⚠ Falta cuenta",IF(ISNA(MATCH(Q532,ctaNombre,0)),"⚠ Cuenta no registrada",IF(AND(OR(P532="Gasto",P532="Reembolso"),D532=""),"⚠ Falta categoría",IF(AND(D532&lt;&gt;"",E532&lt;&gt;"",ISNA(MATCH(D532&amp;"|"&amp;E532,catClave,0))),"⚠ Subcategoría no corresponde",IF(AND(OR(P532="Transferencia",P532="Pago tarjeta"),K532=""),"⚠ Falta cuenta destino",IF(AND(K532&lt;&gt;"",P532&lt;&gt;"Transferencia",P532&lt;&gt;"Pago tarjeta"),"⚠ Destino solo aplica a transferencias",IF(AND(K532&lt;&gt;"",K532=Q532),"⚠ Origen igual a destino",IF(AND(K532&lt;&gt;"",ISNA(MATCH(K532,ctaNombre,0))),"⚠ Destino no registrado",IF(AND(P532="Pago tarjeta",AE532&lt;&gt;"Tarjeta de crédito"),"⚠ El destino debe ser tarjeta de crédito",IF(AND(P532="Gasto",E532="Depósitos y retiros"),"⚠ Usa tipo Transferencia",IF(AND(P532="Resultado trading",AD532&lt;&gt;"Cuenta de trading"),"⚠ Usa una cuenta de trading",IF(AND(G532&lt;=0,P532&lt;&gt;"Ajuste",P532&lt;&gt;"Resultado trading"),"⚠ El monto debe ser positivo","✓")))))))))))))))</f>
        <v/>
      </c>
      <c r="P532" s="52">
        <f>IF(OR(B532="",G532=""),"",IF(C532="","Gasto",C532))</f>
        <v/>
      </c>
      <c r="Q532" s="52">
        <f>IF(P532="","",IF(J532&lt;&gt;"",J532,CuentaPred&amp;""))</f>
        <v/>
      </c>
      <c r="R532" s="52">
        <f>IF(P532="","",IF(ISNUMBER(I532),I532,TasaUSD))</f>
        <v/>
      </c>
      <c r="S532" s="53">
        <f>IF(P532="","",IF(H532="USD",G532*R532,G532))</f>
        <v/>
      </c>
      <c r="T532" s="53">
        <f>IF(P532="","",IF(H532="USD",G532,IF(R532&gt;0,G532/R532,0)))</f>
        <v/>
      </c>
      <c r="U532" s="53">
        <f>IF(P532="","",IF(P532="Gasto",S532,IF(P532="Reembolso",-S532,0)))</f>
        <v/>
      </c>
      <c r="V532" s="53">
        <f>IF(P532="","",IF(P532="Ingreso",S532,0))</f>
        <v/>
      </c>
      <c r="W532" s="53">
        <f>IF(P532="","",IF(P532="Resultado trading",S532,0))</f>
        <v/>
      </c>
      <c r="X532" s="52">
        <f>IF(OR(P532="Gasto",P532="Reembolso"),IF(M532&lt;&gt;"",M532,IFERROR(INDEX(catClasif,MATCH(D532&amp;"|"&amp;E532,catClave,0))&amp;"","Variable")),"")</f>
        <v/>
      </c>
      <c r="Y532" s="52">
        <f>IF(P532="","",IFERROR(INDEX(catGrupo,MATCH(D532&amp;"|"&amp;E532,catClave,0))&amp;"",""))</f>
        <v/>
      </c>
      <c r="Z532" s="52">
        <f>IF(P532="","",WEEKDAY(B532,2))</f>
        <v/>
      </c>
      <c r="AA532" s="52">
        <f>IF(P532="","",IF(AND(P532="Gasto",X532="Variable",D532&lt;&gt;catTrading,S532&gt;0,S532&lt;=Umbral),1,0))</f>
        <v/>
      </c>
      <c r="AB532" s="52">
        <f>IF(OR(P532="",Q532=""),"",IFERROR(IF(INDEX(ctaVinc,MATCH(Q532,ctaNombre,0))&amp;""&lt;&gt;"",INDEX(ctaVinc,MATCH(Q532,ctaNombre,0))&amp;"",Q532),Q532))</f>
        <v/>
      </c>
      <c r="AC532" s="52">
        <f>IF(OR(K532="",AND(P532&lt;&gt;"Transferencia",P532&lt;&gt;"Pago tarjeta")),"",IFERROR(IF(INDEX(ctaVinc,MATCH(K532,ctaNombre,0))&amp;""&lt;&gt;"",INDEX(ctaVinc,MATCH(K532,ctaNombre,0))&amp;"",K532),K532))</f>
        <v/>
      </c>
      <c r="AD532" s="52">
        <f>IF(AB532="","",IFERROR(INDEX(ctaTipo,MATCH(AB532,ctaNombre,0))&amp;"",""))</f>
        <v/>
      </c>
      <c r="AE532" s="52">
        <f>IF(AC532="","",IFERROR(INDEX(ctaTipo,MATCH(AC532,ctaNombre,0))&amp;"",""))</f>
        <v/>
      </c>
      <c r="AF532" s="53">
        <f>IF(OR(P532="",AB532=""),"",IF(OR(P532="Gasto",P532="Transferencia",P532="Pago tarjeta"),-1,1)*IF(IFERROR(INDEX(ctaMoneda,MATCH(AB532,ctaNombre,0))&amp;"","DOP")="USD",T532,S532))</f>
        <v/>
      </c>
      <c r="AG532" s="53">
        <f>IF(AC532="","",IF(IFERROR(INDEX(ctaMoneda,MATCH(AC532,ctaNombre,0))&amp;"","DOP")="USD",T532,S532))</f>
        <v/>
      </c>
      <c r="AH532" s="53">
        <f>IF(P532="","",IF(AND(AD532&lt;&gt;"",COUNTIFS(tcTipo,AD532,tcLiq,"Sí")&gt;0),IF(OR(P532="Gasto",P532="Transferencia",P532="Pago tarjeta"),-1,1)*S532,0)+IF(AND(AE532&lt;&gt;"",COUNTIFS(tcTipo,AE532,tcLiq,"Sí")&gt;0),S532,0))</f>
        <v/>
      </c>
      <c r="AI532" s="52">
        <f>IF(OR(L532="",P532=""),"",IF(COUNTIFS(L$6:L532,L532,P$6:P532,"?*")=1,MAX(AI$5:AI531)+1,""))</f>
        <v/>
      </c>
    </row>
    <row r="533">
      <c r="B533" s="47" t="n"/>
      <c r="C533" s="48" t="n"/>
      <c r="D533" s="48" t="n"/>
      <c r="E533" s="48" t="n"/>
      <c r="F533" s="48" t="n"/>
      <c r="G533" s="49" t="n"/>
      <c r="H533" s="48" t="n"/>
      <c r="I533" s="50" t="n"/>
      <c r="J533" s="48" t="n"/>
      <c r="K533" s="48" t="n"/>
      <c r="L533" s="48" t="n"/>
      <c r="M533" s="48" t="n"/>
      <c r="N533" s="48" t="n"/>
      <c r="O533" s="51">
        <f>IF(AND(B533="",G533="",C533="",D533="",J533=""),"",IF(B533="","⚠ Falta fecha",IF(G533="","⚠ Falta monto",IF(Q533="","⚠ Falta cuenta",IF(ISNA(MATCH(Q533,ctaNombre,0)),"⚠ Cuenta no registrada",IF(AND(OR(P533="Gasto",P533="Reembolso"),D533=""),"⚠ Falta categoría",IF(AND(D533&lt;&gt;"",E533&lt;&gt;"",ISNA(MATCH(D533&amp;"|"&amp;E533,catClave,0))),"⚠ Subcategoría no corresponde",IF(AND(OR(P533="Transferencia",P533="Pago tarjeta"),K533=""),"⚠ Falta cuenta destino",IF(AND(K533&lt;&gt;"",P533&lt;&gt;"Transferencia",P533&lt;&gt;"Pago tarjeta"),"⚠ Destino solo aplica a transferencias",IF(AND(K533&lt;&gt;"",K533=Q533),"⚠ Origen igual a destino",IF(AND(K533&lt;&gt;"",ISNA(MATCH(K533,ctaNombre,0))),"⚠ Destino no registrado",IF(AND(P533="Pago tarjeta",AE533&lt;&gt;"Tarjeta de crédito"),"⚠ El destino debe ser tarjeta de crédito",IF(AND(P533="Gasto",E533="Depósitos y retiros"),"⚠ Usa tipo Transferencia",IF(AND(P533="Resultado trading",AD533&lt;&gt;"Cuenta de trading"),"⚠ Usa una cuenta de trading",IF(AND(G533&lt;=0,P533&lt;&gt;"Ajuste",P533&lt;&gt;"Resultado trading"),"⚠ El monto debe ser positivo","✓")))))))))))))))</f>
        <v/>
      </c>
      <c r="P533" s="52">
        <f>IF(OR(B533="",G533=""),"",IF(C533="","Gasto",C533))</f>
        <v/>
      </c>
      <c r="Q533" s="52">
        <f>IF(P533="","",IF(J533&lt;&gt;"",J533,CuentaPred&amp;""))</f>
        <v/>
      </c>
      <c r="R533" s="52">
        <f>IF(P533="","",IF(ISNUMBER(I533),I533,TasaUSD))</f>
        <v/>
      </c>
      <c r="S533" s="53">
        <f>IF(P533="","",IF(H533="USD",G533*R533,G533))</f>
        <v/>
      </c>
      <c r="T533" s="53">
        <f>IF(P533="","",IF(H533="USD",G533,IF(R533&gt;0,G533/R533,0)))</f>
        <v/>
      </c>
      <c r="U533" s="53">
        <f>IF(P533="","",IF(P533="Gasto",S533,IF(P533="Reembolso",-S533,0)))</f>
        <v/>
      </c>
      <c r="V533" s="53">
        <f>IF(P533="","",IF(P533="Ingreso",S533,0))</f>
        <v/>
      </c>
      <c r="W533" s="53">
        <f>IF(P533="","",IF(P533="Resultado trading",S533,0))</f>
        <v/>
      </c>
      <c r="X533" s="52">
        <f>IF(OR(P533="Gasto",P533="Reembolso"),IF(M533&lt;&gt;"",M533,IFERROR(INDEX(catClasif,MATCH(D533&amp;"|"&amp;E533,catClave,0))&amp;"","Variable")),"")</f>
        <v/>
      </c>
      <c r="Y533" s="52">
        <f>IF(P533="","",IFERROR(INDEX(catGrupo,MATCH(D533&amp;"|"&amp;E533,catClave,0))&amp;"",""))</f>
        <v/>
      </c>
      <c r="Z533" s="52">
        <f>IF(P533="","",WEEKDAY(B533,2))</f>
        <v/>
      </c>
      <c r="AA533" s="52">
        <f>IF(P533="","",IF(AND(P533="Gasto",X533="Variable",D533&lt;&gt;catTrading,S533&gt;0,S533&lt;=Umbral),1,0))</f>
        <v/>
      </c>
      <c r="AB533" s="52">
        <f>IF(OR(P533="",Q533=""),"",IFERROR(IF(INDEX(ctaVinc,MATCH(Q533,ctaNombre,0))&amp;""&lt;&gt;"",INDEX(ctaVinc,MATCH(Q533,ctaNombre,0))&amp;"",Q533),Q533))</f>
        <v/>
      </c>
      <c r="AC533" s="52">
        <f>IF(OR(K533="",AND(P533&lt;&gt;"Transferencia",P533&lt;&gt;"Pago tarjeta")),"",IFERROR(IF(INDEX(ctaVinc,MATCH(K533,ctaNombre,0))&amp;""&lt;&gt;"",INDEX(ctaVinc,MATCH(K533,ctaNombre,0))&amp;"",K533),K533))</f>
        <v/>
      </c>
      <c r="AD533" s="52">
        <f>IF(AB533="","",IFERROR(INDEX(ctaTipo,MATCH(AB533,ctaNombre,0))&amp;"",""))</f>
        <v/>
      </c>
      <c r="AE533" s="52">
        <f>IF(AC533="","",IFERROR(INDEX(ctaTipo,MATCH(AC533,ctaNombre,0))&amp;"",""))</f>
        <v/>
      </c>
      <c r="AF533" s="53">
        <f>IF(OR(P533="",AB533=""),"",IF(OR(P533="Gasto",P533="Transferencia",P533="Pago tarjeta"),-1,1)*IF(IFERROR(INDEX(ctaMoneda,MATCH(AB533,ctaNombre,0))&amp;"","DOP")="USD",T533,S533))</f>
        <v/>
      </c>
      <c r="AG533" s="53">
        <f>IF(AC533="","",IF(IFERROR(INDEX(ctaMoneda,MATCH(AC533,ctaNombre,0))&amp;"","DOP")="USD",T533,S533))</f>
        <v/>
      </c>
      <c r="AH533" s="53">
        <f>IF(P533="","",IF(AND(AD533&lt;&gt;"",COUNTIFS(tcTipo,AD533,tcLiq,"Sí")&gt;0),IF(OR(P533="Gasto",P533="Transferencia",P533="Pago tarjeta"),-1,1)*S533,0)+IF(AND(AE533&lt;&gt;"",COUNTIFS(tcTipo,AE533,tcLiq,"Sí")&gt;0),S533,0))</f>
        <v/>
      </c>
      <c r="AI533" s="52">
        <f>IF(OR(L533="",P533=""),"",IF(COUNTIFS(L$6:L533,L533,P$6:P533,"?*")=1,MAX(AI$5:AI532)+1,""))</f>
        <v/>
      </c>
    </row>
    <row r="534">
      <c r="B534" s="47" t="n"/>
      <c r="C534" s="48" t="n"/>
      <c r="D534" s="48" t="n"/>
      <c r="E534" s="48" t="n"/>
      <c r="F534" s="48" t="n"/>
      <c r="G534" s="49" t="n"/>
      <c r="H534" s="48" t="n"/>
      <c r="I534" s="50" t="n"/>
      <c r="J534" s="48" t="n"/>
      <c r="K534" s="48" t="n"/>
      <c r="L534" s="48" t="n"/>
      <c r="M534" s="48" t="n"/>
      <c r="N534" s="48" t="n"/>
      <c r="O534" s="51">
        <f>IF(AND(B534="",G534="",C534="",D534="",J534=""),"",IF(B534="","⚠ Falta fecha",IF(G534="","⚠ Falta monto",IF(Q534="","⚠ Falta cuenta",IF(ISNA(MATCH(Q534,ctaNombre,0)),"⚠ Cuenta no registrada",IF(AND(OR(P534="Gasto",P534="Reembolso"),D534=""),"⚠ Falta categoría",IF(AND(D534&lt;&gt;"",E534&lt;&gt;"",ISNA(MATCH(D534&amp;"|"&amp;E534,catClave,0))),"⚠ Subcategoría no corresponde",IF(AND(OR(P534="Transferencia",P534="Pago tarjeta"),K534=""),"⚠ Falta cuenta destino",IF(AND(K534&lt;&gt;"",P534&lt;&gt;"Transferencia",P534&lt;&gt;"Pago tarjeta"),"⚠ Destino solo aplica a transferencias",IF(AND(K534&lt;&gt;"",K534=Q534),"⚠ Origen igual a destino",IF(AND(K534&lt;&gt;"",ISNA(MATCH(K534,ctaNombre,0))),"⚠ Destino no registrado",IF(AND(P534="Pago tarjeta",AE534&lt;&gt;"Tarjeta de crédito"),"⚠ El destino debe ser tarjeta de crédito",IF(AND(P534="Gasto",E534="Depósitos y retiros"),"⚠ Usa tipo Transferencia",IF(AND(P534="Resultado trading",AD534&lt;&gt;"Cuenta de trading"),"⚠ Usa una cuenta de trading",IF(AND(G534&lt;=0,P534&lt;&gt;"Ajuste",P534&lt;&gt;"Resultado trading"),"⚠ El monto debe ser positivo","✓")))))))))))))))</f>
        <v/>
      </c>
      <c r="P534" s="52">
        <f>IF(OR(B534="",G534=""),"",IF(C534="","Gasto",C534))</f>
        <v/>
      </c>
      <c r="Q534" s="52">
        <f>IF(P534="","",IF(J534&lt;&gt;"",J534,CuentaPred&amp;""))</f>
        <v/>
      </c>
      <c r="R534" s="52">
        <f>IF(P534="","",IF(ISNUMBER(I534),I534,TasaUSD))</f>
        <v/>
      </c>
      <c r="S534" s="53">
        <f>IF(P534="","",IF(H534="USD",G534*R534,G534))</f>
        <v/>
      </c>
      <c r="T534" s="53">
        <f>IF(P534="","",IF(H534="USD",G534,IF(R534&gt;0,G534/R534,0)))</f>
        <v/>
      </c>
      <c r="U534" s="53">
        <f>IF(P534="","",IF(P534="Gasto",S534,IF(P534="Reembolso",-S534,0)))</f>
        <v/>
      </c>
      <c r="V534" s="53">
        <f>IF(P534="","",IF(P534="Ingreso",S534,0))</f>
        <v/>
      </c>
      <c r="W534" s="53">
        <f>IF(P534="","",IF(P534="Resultado trading",S534,0))</f>
        <v/>
      </c>
      <c r="X534" s="52">
        <f>IF(OR(P534="Gasto",P534="Reembolso"),IF(M534&lt;&gt;"",M534,IFERROR(INDEX(catClasif,MATCH(D534&amp;"|"&amp;E534,catClave,0))&amp;"","Variable")),"")</f>
        <v/>
      </c>
      <c r="Y534" s="52">
        <f>IF(P534="","",IFERROR(INDEX(catGrupo,MATCH(D534&amp;"|"&amp;E534,catClave,0))&amp;"",""))</f>
        <v/>
      </c>
      <c r="Z534" s="52">
        <f>IF(P534="","",WEEKDAY(B534,2))</f>
        <v/>
      </c>
      <c r="AA534" s="52">
        <f>IF(P534="","",IF(AND(P534="Gasto",X534="Variable",D534&lt;&gt;catTrading,S534&gt;0,S534&lt;=Umbral),1,0))</f>
        <v/>
      </c>
      <c r="AB534" s="52">
        <f>IF(OR(P534="",Q534=""),"",IFERROR(IF(INDEX(ctaVinc,MATCH(Q534,ctaNombre,0))&amp;""&lt;&gt;"",INDEX(ctaVinc,MATCH(Q534,ctaNombre,0))&amp;"",Q534),Q534))</f>
        <v/>
      </c>
      <c r="AC534" s="52">
        <f>IF(OR(K534="",AND(P534&lt;&gt;"Transferencia",P534&lt;&gt;"Pago tarjeta")),"",IFERROR(IF(INDEX(ctaVinc,MATCH(K534,ctaNombre,0))&amp;""&lt;&gt;"",INDEX(ctaVinc,MATCH(K534,ctaNombre,0))&amp;"",K534),K534))</f>
        <v/>
      </c>
      <c r="AD534" s="52">
        <f>IF(AB534="","",IFERROR(INDEX(ctaTipo,MATCH(AB534,ctaNombre,0))&amp;"",""))</f>
        <v/>
      </c>
      <c r="AE534" s="52">
        <f>IF(AC534="","",IFERROR(INDEX(ctaTipo,MATCH(AC534,ctaNombre,0))&amp;"",""))</f>
        <v/>
      </c>
      <c r="AF534" s="53">
        <f>IF(OR(P534="",AB534=""),"",IF(OR(P534="Gasto",P534="Transferencia",P534="Pago tarjeta"),-1,1)*IF(IFERROR(INDEX(ctaMoneda,MATCH(AB534,ctaNombre,0))&amp;"","DOP")="USD",T534,S534))</f>
        <v/>
      </c>
      <c r="AG534" s="53">
        <f>IF(AC534="","",IF(IFERROR(INDEX(ctaMoneda,MATCH(AC534,ctaNombre,0))&amp;"","DOP")="USD",T534,S534))</f>
        <v/>
      </c>
      <c r="AH534" s="53">
        <f>IF(P534="","",IF(AND(AD534&lt;&gt;"",COUNTIFS(tcTipo,AD534,tcLiq,"Sí")&gt;0),IF(OR(P534="Gasto",P534="Transferencia",P534="Pago tarjeta"),-1,1)*S534,0)+IF(AND(AE534&lt;&gt;"",COUNTIFS(tcTipo,AE534,tcLiq,"Sí")&gt;0),S534,0))</f>
        <v/>
      </c>
      <c r="AI534" s="52">
        <f>IF(OR(L534="",P534=""),"",IF(COUNTIFS(L$6:L534,L534,P$6:P534,"?*")=1,MAX(AI$5:AI533)+1,""))</f>
        <v/>
      </c>
    </row>
    <row r="535">
      <c r="B535" s="47" t="n"/>
      <c r="C535" s="48" t="n"/>
      <c r="D535" s="48" t="n"/>
      <c r="E535" s="48" t="n"/>
      <c r="F535" s="48" t="n"/>
      <c r="G535" s="49" t="n"/>
      <c r="H535" s="48" t="n"/>
      <c r="I535" s="50" t="n"/>
      <c r="J535" s="48" t="n"/>
      <c r="K535" s="48" t="n"/>
      <c r="L535" s="48" t="n"/>
      <c r="M535" s="48" t="n"/>
      <c r="N535" s="48" t="n"/>
      <c r="O535" s="51">
        <f>IF(AND(B535="",G535="",C535="",D535="",J535=""),"",IF(B535="","⚠ Falta fecha",IF(G535="","⚠ Falta monto",IF(Q535="","⚠ Falta cuenta",IF(ISNA(MATCH(Q535,ctaNombre,0)),"⚠ Cuenta no registrada",IF(AND(OR(P535="Gasto",P535="Reembolso"),D535=""),"⚠ Falta categoría",IF(AND(D535&lt;&gt;"",E535&lt;&gt;"",ISNA(MATCH(D535&amp;"|"&amp;E535,catClave,0))),"⚠ Subcategoría no corresponde",IF(AND(OR(P535="Transferencia",P535="Pago tarjeta"),K535=""),"⚠ Falta cuenta destino",IF(AND(K535&lt;&gt;"",P535&lt;&gt;"Transferencia",P535&lt;&gt;"Pago tarjeta"),"⚠ Destino solo aplica a transferencias",IF(AND(K535&lt;&gt;"",K535=Q535),"⚠ Origen igual a destino",IF(AND(K535&lt;&gt;"",ISNA(MATCH(K535,ctaNombre,0))),"⚠ Destino no registrado",IF(AND(P535="Pago tarjeta",AE535&lt;&gt;"Tarjeta de crédito"),"⚠ El destino debe ser tarjeta de crédito",IF(AND(P535="Gasto",E535="Depósitos y retiros"),"⚠ Usa tipo Transferencia",IF(AND(P535="Resultado trading",AD535&lt;&gt;"Cuenta de trading"),"⚠ Usa una cuenta de trading",IF(AND(G535&lt;=0,P535&lt;&gt;"Ajuste",P535&lt;&gt;"Resultado trading"),"⚠ El monto debe ser positivo","✓")))))))))))))))</f>
        <v/>
      </c>
      <c r="P535" s="52">
        <f>IF(OR(B535="",G535=""),"",IF(C535="","Gasto",C535))</f>
        <v/>
      </c>
      <c r="Q535" s="52">
        <f>IF(P535="","",IF(J535&lt;&gt;"",J535,CuentaPred&amp;""))</f>
        <v/>
      </c>
      <c r="R535" s="52">
        <f>IF(P535="","",IF(ISNUMBER(I535),I535,TasaUSD))</f>
        <v/>
      </c>
      <c r="S535" s="53">
        <f>IF(P535="","",IF(H535="USD",G535*R535,G535))</f>
        <v/>
      </c>
      <c r="T535" s="53">
        <f>IF(P535="","",IF(H535="USD",G535,IF(R535&gt;0,G535/R535,0)))</f>
        <v/>
      </c>
      <c r="U535" s="53">
        <f>IF(P535="","",IF(P535="Gasto",S535,IF(P535="Reembolso",-S535,0)))</f>
        <v/>
      </c>
      <c r="V535" s="53">
        <f>IF(P535="","",IF(P535="Ingreso",S535,0))</f>
        <v/>
      </c>
      <c r="W535" s="53">
        <f>IF(P535="","",IF(P535="Resultado trading",S535,0))</f>
        <v/>
      </c>
      <c r="X535" s="52">
        <f>IF(OR(P535="Gasto",P535="Reembolso"),IF(M535&lt;&gt;"",M535,IFERROR(INDEX(catClasif,MATCH(D535&amp;"|"&amp;E535,catClave,0))&amp;"","Variable")),"")</f>
        <v/>
      </c>
      <c r="Y535" s="52">
        <f>IF(P535="","",IFERROR(INDEX(catGrupo,MATCH(D535&amp;"|"&amp;E535,catClave,0))&amp;"",""))</f>
        <v/>
      </c>
      <c r="Z535" s="52">
        <f>IF(P535="","",WEEKDAY(B535,2))</f>
        <v/>
      </c>
      <c r="AA535" s="52">
        <f>IF(P535="","",IF(AND(P535="Gasto",X535="Variable",D535&lt;&gt;catTrading,S535&gt;0,S535&lt;=Umbral),1,0))</f>
        <v/>
      </c>
      <c r="AB535" s="52">
        <f>IF(OR(P535="",Q535=""),"",IFERROR(IF(INDEX(ctaVinc,MATCH(Q535,ctaNombre,0))&amp;""&lt;&gt;"",INDEX(ctaVinc,MATCH(Q535,ctaNombre,0))&amp;"",Q535),Q535))</f>
        <v/>
      </c>
      <c r="AC535" s="52">
        <f>IF(OR(K535="",AND(P535&lt;&gt;"Transferencia",P535&lt;&gt;"Pago tarjeta")),"",IFERROR(IF(INDEX(ctaVinc,MATCH(K535,ctaNombre,0))&amp;""&lt;&gt;"",INDEX(ctaVinc,MATCH(K535,ctaNombre,0))&amp;"",K535),K535))</f>
        <v/>
      </c>
      <c r="AD535" s="52">
        <f>IF(AB535="","",IFERROR(INDEX(ctaTipo,MATCH(AB535,ctaNombre,0))&amp;"",""))</f>
        <v/>
      </c>
      <c r="AE535" s="52">
        <f>IF(AC535="","",IFERROR(INDEX(ctaTipo,MATCH(AC535,ctaNombre,0))&amp;"",""))</f>
        <v/>
      </c>
      <c r="AF535" s="53">
        <f>IF(OR(P535="",AB535=""),"",IF(OR(P535="Gasto",P535="Transferencia",P535="Pago tarjeta"),-1,1)*IF(IFERROR(INDEX(ctaMoneda,MATCH(AB535,ctaNombre,0))&amp;"","DOP")="USD",T535,S535))</f>
        <v/>
      </c>
      <c r="AG535" s="53">
        <f>IF(AC535="","",IF(IFERROR(INDEX(ctaMoneda,MATCH(AC535,ctaNombre,0))&amp;"","DOP")="USD",T535,S535))</f>
        <v/>
      </c>
      <c r="AH535" s="53">
        <f>IF(P535="","",IF(AND(AD535&lt;&gt;"",COUNTIFS(tcTipo,AD535,tcLiq,"Sí")&gt;0),IF(OR(P535="Gasto",P535="Transferencia",P535="Pago tarjeta"),-1,1)*S535,0)+IF(AND(AE535&lt;&gt;"",COUNTIFS(tcTipo,AE535,tcLiq,"Sí")&gt;0),S535,0))</f>
        <v/>
      </c>
      <c r="AI535" s="52">
        <f>IF(OR(L535="",P535=""),"",IF(COUNTIFS(L$6:L535,L535,P$6:P535,"?*")=1,MAX(AI$5:AI534)+1,""))</f>
        <v/>
      </c>
    </row>
    <row r="536">
      <c r="B536" s="47" t="n"/>
      <c r="C536" s="48" t="n"/>
      <c r="D536" s="48" t="n"/>
      <c r="E536" s="48" t="n"/>
      <c r="F536" s="48" t="n"/>
      <c r="G536" s="49" t="n"/>
      <c r="H536" s="48" t="n"/>
      <c r="I536" s="50" t="n"/>
      <c r="J536" s="48" t="n"/>
      <c r="K536" s="48" t="n"/>
      <c r="L536" s="48" t="n"/>
      <c r="M536" s="48" t="n"/>
      <c r="N536" s="48" t="n"/>
      <c r="O536" s="51">
        <f>IF(AND(B536="",G536="",C536="",D536="",J536=""),"",IF(B536="","⚠ Falta fecha",IF(G536="","⚠ Falta monto",IF(Q536="","⚠ Falta cuenta",IF(ISNA(MATCH(Q536,ctaNombre,0)),"⚠ Cuenta no registrada",IF(AND(OR(P536="Gasto",P536="Reembolso"),D536=""),"⚠ Falta categoría",IF(AND(D536&lt;&gt;"",E536&lt;&gt;"",ISNA(MATCH(D536&amp;"|"&amp;E536,catClave,0))),"⚠ Subcategoría no corresponde",IF(AND(OR(P536="Transferencia",P536="Pago tarjeta"),K536=""),"⚠ Falta cuenta destino",IF(AND(K536&lt;&gt;"",P536&lt;&gt;"Transferencia",P536&lt;&gt;"Pago tarjeta"),"⚠ Destino solo aplica a transferencias",IF(AND(K536&lt;&gt;"",K536=Q536),"⚠ Origen igual a destino",IF(AND(K536&lt;&gt;"",ISNA(MATCH(K536,ctaNombre,0))),"⚠ Destino no registrado",IF(AND(P536="Pago tarjeta",AE536&lt;&gt;"Tarjeta de crédito"),"⚠ El destino debe ser tarjeta de crédito",IF(AND(P536="Gasto",E536="Depósitos y retiros"),"⚠ Usa tipo Transferencia",IF(AND(P536="Resultado trading",AD536&lt;&gt;"Cuenta de trading"),"⚠ Usa una cuenta de trading",IF(AND(G536&lt;=0,P536&lt;&gt;"Ajuste",P536&lt;&gt;"Resultado trading"),"⚠ El monto debe ser positivo","✓")))))))))))))))</f>
        <v/>
      </c>
      <c r="P536" s="52">
        <f>IF(OR(B536="",G536=""),"",IF(C536="","Gasto",C536))</f>
        <v/>
      </c>
      <c r="Q536" s="52">
        <f>IF(P536="","",IF(J536&lt;&gt;"",J536,CuentaPred&amp;""))</f>
        <v/>
      </c>
      <c r="R536" s="52">
        <f>IF(P536="","",IF(ISNUMBER(I536),I536,TasaUSD))</f>
        <v/>
      </c>
      <c r="S536" s="53">
        <f>IF(P536="","",IF(H536="USD",G536*R536,G536))</f>
        <v/>
      </c>
      <c r="T536" s="53">
        <f>IF(P536="","",IF(H536="USD",G536,IF(R536&gt;0,G536/R536,0)))</f>
        <v/>
      </c>
      <c r="U536" s="53">
        <f>IF(P536="","",IF(P536="Gasto",S536,IF(P536="Reembolso",-S536,0)))</f>
        <v/>
      </c>
      <c r="V536" s="53">
        <f>IF(P536="","",IF(P536="Ingreso",S536,0))</f>
        <v/>
      </c>
      <c r="W536" s="53">
        <f>IF(P536="","",IF(P536="Resultado trading",S536,0))</f>
        <v/>
      </c>
      <c r="X536" s="52">
        <f>IF(OR(P536="Gasto",P536="Reembolso"),IF(M536&lt;&gt;"",M536,IFERROR(INDEX(catClasif,MATCH(D536&amp;"|"&amp;E536,catClave,0))&amp;"","Variable")),"")</f>
        <v/>
      </c>
      <c r="Y536" s="52">
        <f>IF(P536="","",IFERROR(INDEX(catGrupo,MATCH(D536&amp;"|"&amp;E536,catClave,0))&amp;"",""))</f>
        <v/>
      </c>
      <c r="Z536" s="52">
        <f>IF(P536="","",WEEKDAY(B536,2))</f>
        <v/>
      </c>
      <c r="AA536" s="52">
        <f>IF(P536="","",IF(AND(P536="Gasto",X536="Variable",D536&lt;&gt;catTrading,S536&gt;0,S536&lt;=Umbral),1,0))</f>
        <v/>
      </c>
      <c r="AB536" s="52">
        <f>IF(OR(P536="",Q536=""),"",IFERROR(IF(INDEX(ctaVinc,MATCH(Q536,ctaNombre,0))&amp;""&lt;&gt;"",INDEX(ctaVinc,MATCH(Q536,ctaNombre,0))&amp;"",Q536),Q536))</f>
        <v/>
      </c>
      <c r="AC536" s="52">
        <f>IF(OR(K536="",AND(P536&lt;&gt;"Transferencia",P536&lt;&gt;"Pago tarjeta")),"",IFERROR(IF(INDEX(ctaVinc,MATCH(K536,ctaNombre,0))&amp;""&lt;&gt;"",INDEX(ctaVinc,MATCH(K536,ctaNombre,0))&amp;"",K536),K536))</f>
        <v/>
      </c>
      <c r="AD536" s="52">
        <f>IF(AB536="","",IFERROR(INDEX(ctaTipo,MATCH(AB536,ctaNombre,0))&amp;"",""))</f>
        <v/>
      </c>
      <c r="AE536" s="52">
        <f>IF(AC536="","",IFERROR(INDEX(ctaTipo,MATCH(AC536,ctaNombre,0))&amp;"",""))</f>
        <v/>
      </c>
      <c r="AF536" s="53">
        <f>IF(OR(P536="",AB536=""),"",IF(OR(P536="Gasto",P536="Transferencia",P536="Pago tarjeta"),-1,1)*IF(IFERROR(INDEX(ctaMoneda,MATCH(AB536,ctaNombre,0))&amp;"","DOP")="USD",T536,S536))</f>
        <v/>
      </c>
      <c r="AG536" s="53">
        <f>IF(AC536="","",IF(IFERROR(INDEX(ctaMoneda,MATCH(AC536,ctaNombre,0))&amp;"","DOP")="USD",T536,S536))</f>
        <v/>
      </c>
      <c r="AH536" s="53">
        <f>IF(P536="","",IF(AND(AD536&lt;&gt;"",COUNTIFS(tcTipo,AD536,tcLiq,"Sí")&gt;0),IF(OR(P536="Gasto",P536="Transferencia",P536="Pago tarjeta"),-1,1)*S536,0)+IF(AND(AE536&lt;&gt;"",COUNTIFS(tcTipo,AE536,tcLiq,"Sí")&gt;0),S536,0))</f>
        <v/>
      </c>
      <c r="AI536" s="52">
        <f>IF(OR(L536="",P536=""),"",IF(COUNTIFS(L$6:L536,L536,P$6:P536,"?*")=1,MAX(AI$5:AI535)+1,""))</f>
        <v/>
      </c>
    </row>
    <row r="537">
      <c r="B537" s="47" t="n"/>
      <c r="C537" s="48" t="n"/>
      <c r="D537" s="48" t="n"/>
      <c r="E537" s="48" t="n"/>
      <c r="F537" s="48" t="n"/>
      <c r="G537" s="49" t="n"/>
      <c r="H537" s="48" t="n"/>
      <c r="I537" s="50" t="n"/>
      <c r="J537" s="48" t="n"/>
      <c r="K537" s="48" t="n"/>
      <c r="L537" s="48" t="n"/>
      <c r="M537" s="48" t="n"/>
      <c r="N537" s="48" t="n"/>
      <c r="O537" s="51">
        <f>IF(AND(B537="",G537="",C537="",D537="",J537=""),"",IF(B537="","⚠ Falta fecha",IF(G537="","⚠ Falta monto",IF(Q537="","⚠ Falta cuenta",IF(ISNA(MATCH(Q537,ctaNombre,0)),"⚠ Cuenta no registrada",IF(AND(OR(P537="Gasto",P537="Reembolso"),D537=""),"⚠ Falta categoría",IF(AND(D537&lt;&gt;"",E537&lt;&gt;"",ISNA(MATCH(D537&amp;"|"&amp;E537,catClave,0))),"⚠ Subcategoría no corresponde",IF(AND(OR(P537="Transferencia",P537="Pago tarjeta"),K537=""),"⚠ Falta cuenta destino",IF(AND(K537&lt;&gt;"",P537&lt;&gt;"Transferencia",P537&lt;&gt;"Pago tarjeta"),"⚠ Destino solo aplica a transferencias",IF(AND(K537&lt;&gt;"",K537=Q537),"⚠ Origen igual a destino",IF(AND(K537&lt;&gt;"",ISNA(MATCH(K537,ctaNombre,0))),"⚠ Destino no registrado",IF(AND(P537="Pago tarjeta",AE537&lt;&gt;"Tarjeta de crédito"),"⚠ El destino debe ser tarjeta de crédito",IF(AND(P537="Gasto",E537="Depósitos y retiros"),"⚠ Usa tipo Transferencia",IF(AND(P537="Resultado trading",AD537&lt;&gt;"Cuenta de trading"),"⚠ Usa una cuenta de trading",IF(AND(G537&lt;=0,P537&lt;&gt;"Ajuste",P537&lt;&gt;"Resultado trading"),"⚠ El monto debe ser positivo","✓")))))))))))))))</f>
        <v/>
      </c>
      <c r="P537" s="52">
        <f>IF(OR(B537="",G537=""),"",IF(C537="","Gasto",C537))</f>
        <v/>
      </c>
      <c r="Q537" s="52">
        <f>IF(P537="","",IF(J537&lt;&gt;"",J537,CuentaPred&amp;""))</f>
        <v/>
      </c>
      <c r="R537" s="52">
        <f>IF(P537="","",IF(ISNUMBER(I537),I537,TasaUSD))</f>
        <v/>
      </c>
      <c r="S537" s="53">
        <f>IF(P537="","",IF(H537="USD",G537*R537,G537))</f>
        <v/>
      </c>
      <c r="T537" s="53">
        <f>IF(P537="","",IF(H537="USD",G537,IF(R537&gt;0,G537/R537,0)))</f>
        <v/>
      </c>
      <c r="U537" s="53">
        <f>IF(P537="","",IF(P537="Gasto",S537,IF(P537="Reembolso",-S537,0)))</f>
        <v/>
      </c>
      <c r="V537" s="53">
        <f>IF(P537="","",IF(P537="Ingreso",S537,0))</f>
        <v/>
      </c>
      <c r="W537" s="53">
        <f>IF(P537="","",IF(P537="Resultado trading",S537,0))</f>
        <v/>
      </c>
      <c r="X537" s="52">
        <f>IF(OR(P537="Gasto",P537="Reembolso"),IF(M537&lt;&gt;"",M537,IFERROR(INDEX(catClasif,MATCH(D537&amp;"|"&amp;E537,catClave,0))&amp;"","Variable")),"")</f>
        <v/>
      </c>
      <c r="Y537" s="52">
        <f>IF(P537="","",IFERROR(INDEX(catGrupo,MATCH(D537&amp;"|"&amp;E537,catClave,0))&amp;"",""))</f>
        <v/>
      </c>
      <c r="Z537" s="52">
        <f>IF(P537="","",WEEKDAY(B537,2))</f>
        <v/>
      </c>
      <c r="AA537" s="52">
        <f>IF(P537="","",IF(AND(P537="Gasto",X537="Variable",D537&lt;&gt;catTrading,S537&gt;0,S537&lt;=Umbral),1,0))</f>
        <v/>
      </c>
      <c r="AB537" s="52">
        <f>IF(OR(P537="",Q537=""),"",IFERROR(IF(INDEX(ctaVinc,MATCH(Q537,ctaNombre,0))&amp;""&lt;&gt;"",INDEX(ctaVinc,MATCH(Q537,ctaNombre,0))&amp;"",Q537),Q537))</f>
        <v/>
      </c>
      <c r="AC537" s="52">
        <f>IF(OR(K537="",AND(P537&lt;&gt;"Transferencia",P537&lt;&gt;"Pago tarjeta")),"",IFERROR(IF(INDEX(ctaVinc,MATCH(K537,ctaNombre,0))&amp;""&lt;&gt;"",INDEX(ctaVinc,MATCH(K537,ctaNombre,0))&amp;"",K537),K537))</f>
        <v/>
      </c>
      <c r="AD537" s="52">
        <f>IF(AB537="","",IFERROR(INDEX(ctaTipo,MATCH(AB537,ctaNombre,0))&amp;"",""))</f>
        <v/>
      </c>
      <c r="AE537" s="52">
        <f>IF(AC537="","",IFERROR(INDEX(ctaTipo,MATCH(AC537,ctaNombre,0))&amp;"",""))</f>
        <v/>
      </c>
      <c r="AF537" s="53">
        <f>IF(OR(P537="",AB537=""),"",IF(OR(P537="Gasto",P537="Transferencia",P537="Pago tarjeta"),-1,1)*IF(IFERROR(INDEX(ctaMoneda,MATCH(AB537,ctaNombre,0))&amp;"","DOP")="USD",T537,S537))</f>
        <v/>
      </c>
      <c r="AG537" s="53">
        <f>IF(AC537="","",IF(IFERROR(INDEX(ctaMoneda,MATCH(AC537,ctaNombre,0))&amp;"","DOP")="USD",T537,S537))</f>
        <v/>
      </c>
      <c r="AH537" s="53">
        <f>IF(P537="","",IF(AND(AD537&lt;&gt;"",COUNTIFS(tcTipo,AD537,tcLiq,"Sí")&gt;0),IF(OR(P537="Gasto",P537="Transferencia",P537="Pago tarjeta"),-1,1)*S537,0)+IF(AND(AE537&lt;&gt;"",COUNTIFS(tcTipo,AE537,tcLiq,"Sí")&gt;0),S537,0))</f>
        <v/>
      </c>
      <c r="AI537" s="52">
        <f>IF(OR(L537="",P537=""),"",IF(COUNTIFS(L$6:L537,L537,P$6:P537,"?*")=1,MAX(AI$5:AI536)+1,""))</f>
        <v/>
      </c>
    </row>
    <row r="538">
      <c r="B538" s="47" t="n"/>
      <c r="C538" s="48" t="n"/>
      <c r="D538" s="48" t="n"/>
      <c r="E538" s="48" t="n"/>
      <c r="F538" s="48" t="n"/>
      <c r="G538" s="49" t="n"/>
      <c r="H538" s="48" t="n"/>
      <c r="I538" s="50" t="n"/>
      <c r="J538" s="48" t="n"/>
      <c r="K538" s="48" t="n"/>
      <c r="L538" s="48" t="n"/>
      <c r="M538" s="48" t="n"/>
      <c r="N538" s="48" t="n"/>
      <c r="O538" s="51">
        <f>IF(AND(B538="",G538="",C538="",D538="",J538=""),"",IF(B538="","⚠ Falta fecha",IF(G538="","⚠ Falta monto",IF(Q538="","⚠ Falta cuenta",IF(ISNA(MATCH(Q538,ctaNombre,0)),"⚠ Cuenta no registrada",IF(AND(OR(P538="Gasto",P538="Reembolso"),D538=""),"⚠ Falta categoría",IF(AND(D538&lt;&gt;"",E538&lt;&gt;"",ISNA(MATCH(D538&amp;"|"&amp;E538,catClave,0))),"⚠ Subcategoría no corresponde",IF(AND(OR(P538="Transferencia",P538="Pago tarjeta"),K538=""),"⚠ Falta cuenta destino",IF(AND(K538&lt;&gt;"",P538&lt;&gt;"Transferencia",P538&lt;&gt;"Pago tarjeta"),"⚠ Destino solo aplica a transferencias",IF(AND(K538&lt;&gt;"",K538=Q538),"⚠ Origen igual a destino",IF(AND(K538&lt;&gt;"",ISNA(MATCH(K538,ctaNombre,0))),"⚠ Destino no registrado",IF(AND(P538="Pago tarjeta",AE538&lt;&gt;"Tarjeta de crédito"),"⚠ El destino debe ser tarjeta de crédito",IF(AND(P538="Gasto",E538="Depósitos y retiros"),"⚠ Usa tipo Transferencia",IF(AND(P538="Resultado trading",AD538&lt;&gt;"Cuenta de trading"),"⚠ Usa una cuenta de trading",IF(AND(G538&lt;=0,P538&lt;&gt;"Ajuste",P538&lt;&gt;"Resultado trading"),"⚠ El monto debe ser positivo","✓")))))))))))))))</f>
        <v/>
      </c>
      <c r="P538" s="52">
        <f>IF(OR(B538="",G538=""),"",IF(C538="","Gasto",C538))</f>
        <v/>
      </c>
      <c r="Q538" s="52">
        <f>IF(P538="","",IF(J538&lt;&gt;"",J538,CuentaPred&amp;""))</f>
        <v/>
      </c>
      <c r="R538" s="52">
        <f>IF(P538="","",IF(ISNUMBER(I538),I538,TasaUSD))</f>
        <v/>
      </c>
      <c r="S538" s="53">
        <f>IF(P538="","",IF(H538="USD",G538*R538,G538))</f>
        <v/>
      </c>
      <c r="T538" s="53">
        <f>IF(P538="","",IF(H538="USD",G538,IF(R538&gt;0,G538/R538,0)))</f>
        <v/>
      </c>
      <c r="U538" s="53">
        <f>IF(P538="","",IF(P538="Gasto",S538,IF(P538="Reembolso",-S538,0)))</f>
        <v/>
      </c>
      <c r="V538" s="53">
        <f>IF(P538="","",IF(P538="Ingreso",S538,0))</f>
        <v/>
      </c>
      <c r="W538" s="53">
        <f>IF(P538="","",IF(P538="Resultado trading",S538,0))</f>
        <v/>
      </c>
      <c r="X538" s="52">
        <f>IF(OR(P538="Gasto",P538="Reembolso"),IF(M538&lt;&gt;"",M538,IFERROR(INDEX(catClasif,MATCH(D538&amp;"|"&amp;E538,catClave,0))&amp;"","Variable")),"")</f>
        <v/>
      </c>
      <c r="Y538" s="52">
        <f>IF(P538="","",IFERROR(INDEX(catGrupo,MATCH(D538&amp;"|"&amp;E538,catClave,0))&amp;"",""))</f>
        <v/>
      </c>
      <c r="Z538" s="52">
        <f>IF(P538="","",WEEKDAY(B538,2))</f>
        <v/>
      </c>
      <c r="AA538" s="52">
        <f>IF(P538="","",IF(AND(P538="Gasto",X538="Variable",D538&lt;&gt;catTrading,S538&gt;0,S538&lt;=Umbral),1,0))</f>
        <v/>
      </c>
      <c r="AB538" s="52">
        <f>IF(OR(P538="",Q538=""),"",IFERROR(IF(INDEX(ctaVinc,MATCH(Q538,ctaNombre,0))&amp;""&lt;&gt;"",INDEX(ctaVinc,MATCH(Q538,ctaNombre,0))&amp;"",Q538),Q538))</f>
        <v/>
      </c>
      <c r="AC538" s="52">
        <f>IF(OR(K538="",AND(P538&lt;&gt;"Transferencia",P538&lt;&gt;"Pago tarjeta")),"",IFERROR(IF(INDEX(ctaVinc,MATCH(K538,ctaNombre,0))&amp;""&lt;&gt;"",INDEX(ctaVinc,MATCH(K538,ctaNombre,0))&amp;"",K538),K538))</f>
        <v/>
      </c>
      <c r="AD538" s="52">
        <f>IF(AB538="","",IFERROR(INDEX(ctaTipo,MATCH(AB538,ctaNombre,0))&amp;"",""))</f>
        <v/>
      </c>
      <c r="AE538" s="52">
        <f>IF(AC538="","",IFERROR(INDEX(ctaTipo,MATCH(AC538,ctaNombre,0))&amp;"",""))</f>
        <v/>
      </c>
      <c r="AF538" s="53">
        <f>IF(OR(P538="",AB538=""),"",IF(OR(P538="Gasto",P538="Transferencia",P538="Pago tarjeta"),-1,1)*IF(IFERROR(INDEX(ctaMoneda,MATCH(AB538,ctaNombre,0))&amp;"","DOP")="USD",T538,S538))</f>
        <v/>
      </c>
      <c r="AG538" s="53">
        <f>IF(AC538="","",IF(IFERROR(INDEX(ctaMoneda,MATCH(AC538,ctaNombre,0))&amp;"","DOP")="USD",T538,S538))</f>
        <v/>
      </c>
      <c r="AH538" s="53">
        <f>IF(P538="","",IF(AND(AD538&lt;&gt;"",COUNTIFS(tcTipo,AD538,tcLiq,"Sí")&gt;0),IF(OR(P538="Gasto",P538="Transferencia",P538="Pago tarjeta"),-1,1)*S538,0)+IF(AND(AE538&lt;&gt;"",COUNTIFS(tcTipo,AE538,tcLiq,"Sí")&gt;0),S538,0))</f>
        <v/>
      </c>
      <c r="AI538" s="52">
        <f>IF(OR(L538="",P538=""),"",IF(COUNTIFS(L$6:L538,L538,P$6:P538,"?*")=1,MAX(AI$5:AI537)+1,""))</f>
        <v/>
      </c>
    </row>
    <row r="539">
      <c r="B539" s="47" t="n"/>
      <c r="C539" s="48" t="n"/>
      <c r="D539" s="48" t="n"/>
      <c r="E539" s="48" t="n"/>
      <c r="F539" s="48" t="n"/>
      <c r="G539" s="49" t="n"/>
      <c r="H539" s="48" t="n"/>
      <c r="I539" s="50" t="n"/>
      <c r="J539" s="48" t="n"/>
      <c r="K539" s="48" t="n"/>
      <c r="L539" s="48" t="n"/>
      <c r="M539" s="48" t="n"/>
      <c r="N539" s="48" t="n"/>
      <c r="O539" s="51">
        <f>IF(AND(B539="",G539="",C539="",D539="",J539=""),"",IF(B539="","⚠ Falta fecha",IF(G539="","⚠ Falta monto",IF(Q539="","⚠ Falta cuenta",IF(ISNA(MATCH(Q539,ctaNombre,0)),"⚠ Cuenta no registrada",IF(AND(OR(P539="Gasto",P539="Reembolso"),D539=""),"⚠ Falta categoría",IF(AND(D539&lt;&gt;"",E539&lt;&gt;"",ISNA(MATCH(D539&amp;"|"&amp;E539,catClave,0))),"⚠ Subcategoría no corresponde",IF(AND(OR(P539="Transferencia",P539="Pago tarjeta"),K539=""),"⚠ Falta cuenta destino",IF(AND(K539&lt;&gt;"",P539&lt;&gt;"Transferencia",P539&lt;&gt;"Pago tarjeta"),"⚠ Destino solo aplica a transferencias",IF(AND(K539&lt;&gt;"",K539=Q539),"⚠ Origen igual a destino",IF(AND(K539&lt;&gt;"",ISNA(MATCH(K539,ctaNombre,0))),"⚠ Destino no registrado",IF(AND(P539="Pago tarjeta",AE539&lt;&gt;"Tarjeta de crédito"),"⚠ El destino debe ser tarjeta de crédito",IF(AND(P539="Gasto",E539="Depósitos y retiros"),"⚠ Usa tipo Transferencia",IF(AND(P539="Resultado trading",AD539&lt;&gt;"Cuenta de trading"),"⚠ Usa una cuenta de trading",IF(AND(G539&lt;=0,P539&lt;&gt;"Ajuste",P539&lt;&gt;"Resultado trading"),"⚠ El monto debe ser positivo","✓")))))))))))))))</f>
        <v/>
      </c>
      <c r="P539" s="52">
        <f>IF(OR(B539="",G539=""),"",IF(C539="","Gasto",C539))</f>
        <v/>
      </c>
      <c r="Q539" s="52">
        <f>IF(P539="","",IF(J539&lt;&gt;"",J539,CuentaPred&amp;""))</f>
        <v/>
      </c>
      <c r="R539" s="52">
        <f>IF(P539="","",IF(ISNUMBER(I539),I539,TasaUSD))</f>
        <v/>
      </c>
      <c r="S539" s="53">
        <f>IF(P539="","",IF(H539="USD",G539*R539,G539))</f>
        <v/>
      </c>
      <c r="T539" s="53">
        <f>IF(P539="","",IF(H539="USD",G539,IF(R539&gt;0,G539/R539,0)))</f>
        <v/>
      </c>
      <c r="U539" s="53">
        <f>IF(P539="","",IF(P539="Gasto",S539,IF(P539="Reembolso",-S539,0)))</f>
        <v/>
      </c>
      <c r="V539" s="53">
        <f>IF(P539="","",IF(P539="Ingreso",S539,0))</f>
        <v/>
      </c>
      <c r="W539" s="53">
        <f>IF(P539="","",IF(P539="Resultado trading",S539,0))</f>
        <v/>
      </c>
      <c r="X539" s="52">
        <f>IF(OR(P539="Gasto",P539="Reembolso"),IF(M539&lt;&gt;"",M539,IFERROR(INDEX(catClasif,MATCH(D539&amp;"|"&amp;E539,catClave,0))&amp;"","Variable")),"")</f>
        <v/>
      </c>
      <c r="Y539" s="52">
        <f>IF(P539="","",IFERROR(INDEX(catGrupo,MATCH(D539&amp;"|"&amp;E539,catClave,0))&amp;"",""))</f>
        <v/>
      </c>
      <c r="Z539" s="52">
        <f>IF(P539="","",WEEKDAY(B539,2))</f>
        <v/>
      </c>
      <c r="AA539" s="52">
        <f>IF(P539="","",IF(AND(P539="Gasto",X539="Variable",D539&lt;&gt;catTrading,S539&gt;0,S539&lt;=Umbral),1,0))</f>
        <v/>
      </c>
      <c r="AB539" s="52">
        <f>IF(OR(P539="",Q539=""),"",IFERROR(IF(INDEX(ctaVinc,MATCH(Q539,ctaNombre,0))&amp;""&lt;&gt;"",INDEX(ctaVinc,MATCH(Q539,ctaNombre,0))&amp;"",Q539),Q539))</f>
        <v/>
      </c>
      <c r="AC539" s="52">
        <f>IF(OR(K539="",AND(P539&lt;&gt;"Transferencia",P539&lt;&gt;"Pago tarjeta")),"",IFERROR(IF(INDEX(ctaVinc,MATCH(K539,ctaNombre,0))&amp;""&lt;&gt;"",INDEX(ctaVinc,MATCH(K539,ctaNombre,0))&amp;"",K539),K539))</f>
        <v/>
      </c>
      <c r="AD539" s="52">
        <f>IF(AB539="","",IFERROR(INDEX(ctaTipo,MATCH(AB539,ctaNombre,0))&amp;"",""))</f>
        <v/>
      </c>
      <c r="AE539" s="52">
        <f>IF(AC539="","",IFERROR(INDEX(ctaTipo,MATCH(AC539,ctaNombre,0))&amp;"",""))</f>
        <v/>
      </c>
      <c r="AF539" s="53">
        <f>IF(OR(P539="",AB539=""),"",IF(OR(P539="Gasto",P539="Transferencia",P539="Pago tarjeta"),-1,1)*IF(IFERROR(INDEX(ctaMoneda,MATCH(AB539,ctaNombre,0))&amp;"","DOP")="USD",T539,S539))</f>
        <v/>
      </c>
      <c r="AG539" s="53">
        <f>IF(AC539="","",IF(IFERROR(INDEX(ctaMoneda,MATCH(AC539,ctaNombre,0))&amp;"","DOP")="USD",T539,S539))</f>
        <v/>
      </c>
      <c r="AH539" s="53">
        <f>IF(P539="","",IF(AND(AD539&lt;&gt;"",COUNTIFS(tcTipo,AD539,tcLiq,"Sí")&gt;0),IF(OR(P539="Gasto",P539="Transferencia",P539="Pago tarjeta"),-1,1)*S539,0)+IF(AND(AE539&lt;&gt;"",COUNTIFS(tcTipo,AE539,tcLiq,"Sí")&gt;0),S539,0))</f>
        <v/>
      </c>
      <c r="AI539" s="52">
        <f>IF(OR(L539="",P539=""),"",IF(COUNTIFS(L$6:L539,L539,P$6:P539,"?*")=1,MAX(AI$5:AI538)+1,""))</f>
        <v/>
      </c>
    </row>
    <row r="540">
      <c r="B540" s="47" t="n"/>
      <c r="C540" s="48" t="n"/>
      <c r="D540" s="48" t="n"/>
      <c r="E540" s="48" t="n"/>
      <c r="F540" s="48" t="n"/>
      <c r="G540" s="49" t="n"/>
      <c r="H540" s="48" t="n"/>
      <c r="I540" s="50" t="n"/>
      <c r="J540" s="48" t="n"/>
      <c r="K540" s="48" t="n"/>
      <c r="L540" s="48" t="n"/>
      <c r="M540" s="48" t="n"/>
      <c r="N540" s="48" t="n"/>
      <c r="O540" s="51">
        <f>IF(AND(B540="",G540="",C540="",D540="",J540=""),"",IF(B540="","⚠ Falta fecha",IF(G540="","⚠ Falta monto",IF(Q540="","⚠ Falta cuenta",IF(ISNA(MATCH(Q540,ctaNombre,0)),"⚠ Cuenta no registrada",IF(AND(OR(P540="Gasto",P540="Reembolso"),D540=""),"⚠ Falta categoría",IF(AND(D540&lt;&gt;"",E540&lt;&gt;"",ISNA(MATCH(D540&amp;"|"&amp;E540,catClave,0))),"⚠ Subcategoría no corresponde",IF(AND(OR(P540="Transferencia",P540="Pago tarjeta"),K540=""),"⚠ Falta cuenta destino",IF(AND(K540&lt;&gt;"",P540&lt;&gt;"Transferencia",P540&lt;&gt;"Pago tarjeta"),"⚠ Destino solo aplica a transferencias",IF(AND(K540&lt;&gt;"",K540=Q540),"⚠ Origen igual a destino",IF(AND(K540&lt;&gt;"",ISNA(MATCH(K540,ctaNombre,0))),"⚠ Destino no registrado",IF(AND(P540="Pago tarjeta",AE540&lt;&gt;"Tarjeta de crédito"),"⚠ El destino debe ser tarjeta de crédito",IF(AND(P540="Gasto",E540="Depósitos y retiros"),"⚠ Usa tipo Transferencia",IF(AND(P540="Resultado trading",AD540&lt;&gt;"Cuenta de trading"),"⚠ Usa una cuenta de trading",IF(AND(G540&lt;=0,P540&lt;&gt;"Ajuste",P540&lt;&gt;"Resultado trading"),"⚠ El monto debe ser positivo","✓")))))))))))))))</f>
        <v/>
      </c>
      <c r="P540" s="52">
        <f>IF(OR(B540="",G540=""),"",IF(C540="","Gasto",C540))</f>
        <v/>
      </c>
      <c r="Q540" s="52">
        <f>IF(P540="","",IF(J540&lt;&gt;"",J540,CuentaPred&amp;""))</f>
        <v/>
      </c>
      <c r="R540" s="52">
        <f>IF(P540="","",IF(ISNUMBER(I540),I540,TasaUSD))</f>
        <v/>
      </c>
      <c r="S540" s="53">
        <f>IF(P540="","",IF(H540="USD",G540*R540,G540))</f>
        <v/>
      </c>
      <c r="T540" s="53">
        <f>IF(P540="","",IF(H540="USD",G540,IF(R540&gt;0,G540/R540,0)))</f>
        <v/>
      </c>
      <c r="U540" s="53">
        <f>IF(P540="","",IF(P540="Gasto",S540,IF(P540="Reembolso",-S540,0)))</f>
        <v/>
      </c>
      <c r="V540" s="53">
        <f>IF(P540="","",IF(P540="Ingreso",S540,0))</f>
        <v/>
      </c>
      <c r="W540" s="53">
        <f>IF(P540="","",IF(P540="Resultado trading",S540,0))</f>
        <v/>
      </c>
      <c r="X540" s="52">
        <f>IF(OR(P540="Gasto",P540="Reembolso"),IF(M540&lt;&gt;"",M540,IFERROR(INDEX(catClasif,MATCH(D540&amp;"|"&amp;E540,catClave,0))&amp;"","Variable")),"")</f>
        <v/>
      </c>
      <c r="Y540" s="52">
        <f>IF(P540="","",IFERROR(INDEX(catGrupo,MATCH(D540&amp;"|"&amp;E540,catClave,0))&amp;"",""))</f>
        <v/>
      </c>
      <c r="Z540" s="52">
        <f>IF(P540="","",WEEKDAY(B540,2))</f>
        <v/>
      </c>
      <c r="AA540" s="52">
        <f>IF(P540="","",IF(AND(P540="Gasto",X540="Variable",D540&lt;&gt;catTrading,S540&gt;0,S540&lt;=Umbral),1,0))</f>
        <v/>
      </c>
      <c r="AB540" s="52">
        <f>IF(OR(P540="",Q540=""),"",IFERROR(IF(INDEX(ctaVinc,MATCH(Q540,ctaNombre,0))&amp;""&lt;&gt;"",INDEX(ctaVinc,MATCH(Q540,ctaNombre,0))&amp;"",Q540),Q540))</f>
        <v/>
      </c>
      <c r="AC540" s="52">
        <f>IF(OR(K540="",AND(P540&lt;&gt;"Transferencia",P540&lt;&gt;"Pago tarjeta")),"",IFERROR(IF(INDEX(ctaVinc,MATCH(K540,ctaNombre,0))&amp;""&lt;&gt;"",INDEX(ctaVinc,MATCH(K540,ctaNombre,0))&amp;"",K540),K540))</f>
        <v/>
      </c>
      <c r="AD540" s="52">
        <f>IF(AB540="","",IFERROR(INDEX(ctaTipo,MATCH(AB540,ctaNombre,0))&amp;"",""))</f>
        <v/>
      </c>
      <c r="AE540" s="52">
        <f>IF(AC540="","",IFERROR(INDEX(ctaTipo,MATCH(AC540,ctaNombre,0))&amp;"",""))</f>
        <v/>
      </c>
      <c r="AF540" s="53">
        <f>IF(OR(P540="",AB540=""),"",IF(OR(P540="Gasto",P540="Transferencia",P540="Pago tarjeta"),-1,1)*IF(IFERROR(INDEX(ctaMoneda,MATCH(AB540,ctaNombre,0))&amp;"","DOP")="USD",T540,S540))</f>
        <v/>
      </c>
      <c r="AG540" s="53">
        <f>IF(AC540="","",IF(IFERROR(INDEX(ctaMoneda,MATCH(AC540,ctaNombre,0))&amp;"","DOP")="USD",T540,S540))</f>
        <v/>
      </c>
      <c r="AH540" s="53">
        <f>IF(P540="","",IF(AND(AD540&lt;&gt;"",COUNTIFS(tcTipo,AD540,tcLiq,"Sí")&gt;0),IF(OR(P540="Gasto",P540="Transferencia",P540="Pago tarjeta"),-1,1)*S540,0)+IF(AND(AE540&lt;&gt;"",COUNTIFS(tcTipo,AE540,tcLiq,"Sí")&gt;0),S540,0))</f>
        <v/>
      </c>
      <c r="AI540" s="52">
        <f>IF(OR(L540="",P540=""),"",IF(COUNTIFS(L$6:L540,L540,P$6:P540,"?*")=1,MAX(AI$5:AI539)+1,""))</f>
        <v/>
      </c>
    </row>
    <row r="541">
      <c r="B541" s="47" t="n"/>
      <c r="C541" s="48" t="n"/>
      <c r="D541" s="48" t="n"/>
      <c r="E541" s="48" t="n"/>
      <c r="F541" s="48" t="n"/>
      <c r="G541" s="49" t="n"/>
      <c r="H541" s="48" t="n"/>
      <c r="I541" s="50" t="n"/>
      <c r="J541" s="48" t="n"/>
      <c r="K541" s="48" t="n"/>
      <c r="L541" s="48" t="n"/>
      <c r="M541" s="48" t="n"/>
      <c r="N541" s="48" t="n"/>
      <c r="O541" s="51">
        <f>IF(AND(B541="",G541="",C541="",D541="",J541=""),"",IF(B541="","⚠ Falta fecha",IF(G541="","⚠ Falta monto",IF(Q541="","⚠ Falta cuenta",IF(ISNA(MATCH(Q541,ctaNombre,0)),"⚠ Cuenta no registrada",IF(AND(OR(P541="Gasto",P541="Reembolso"),D541=""),"⚠ Falta categoría",IF(AND(D541&lt;&gt;"",E541&lt;&gt;"",ISNA(MATCH(D541&amp;"|"&amp;E541,catClave,0))),"⚠ Subcategoría no corresponde",IF(AND(OR(P541="Transferencia",P541="Pago tarjeta"),K541=""),"⚠ Falta cuenta destino",IF(AND(K541&lt;&gt;"",P541&lt;&gt;"Transferencia",P541&lt;&gt;"Pago tarjeta"),"⚠ Destino solo aplica a transferencias",IF(AND(K541&lt;&gt;"",K541=Q541),"⚠ Origen igual a destino",IF(AND(K541&lt;&gt;"",ISNA(MATCH(K541,ctaNombre,0))),"⚠ Destino no registrado",IF(AND(P541="Pago tarjeta",AE541&lt;&gt;"Tarjeta de crédito"),"⚠ El destino debe ser tarjeta de crédito",IF(AND(P541="Gasto",E541="Depósitos y retiros"),"⚠ Usa tipo Transferencia",IF(AND(P541="Resultado trading",AD541&lt;&gt;"Cuenta de trading"),"⚠ Usa una cuenta de trading",IF(AND(G541&lt;=0,P541&lt;&gt;"Ajuste",P541&lt;&gt;"Resultado trading"),"⚠ El monto debe ser positivo","✓")))))))))))))))</f>
        <v/>
      </c>
      <c r="P541" s="52">
        <f>IF(OR(B541="",G541=""),"",IF(C541="","Gasto",C541))</f>
        <v/>
      </c>
      <c r="Q541" s="52">
        <f>IF(P541="","",IF(J541&lt;&gt;"",J541,CuentaPred&amp;""))</f>
        <v/>
      </c>
      <c r="R541" s="52">
        <f>IF(P541="","",IF(ISNUMBER(I541),I541,TasaUSD))</f>
        <v/>
      </c>
      <c r="S541" s="53">
        <f>IF(P541="","",IF(H541="USD",G541*R541,G541))</f>
        <v/>
      </c>
      <c r="T541" s="53">
        <f>IF(P541="","",IF(H541="USD",G541,IF(R541&gt;0,G541/R541,0)))</f>
        <v/>
      </c>
      <c r="U541" s="53">
        <f>IF(P541="","",IF(P541="Gasto",S541,IF(P541="Reembolso",-S541,0)))</f>
        <v/>
      </c>
      <c r="V541" s="53">
        <f>IF(P541="","",IF(P541="Ingreso",S541,0))</f>
        <v/>
      </c>
      <c r="W541" s="53">
        <f>IF(P541="","",IF(P541="Resultado trading",S541,0))</f>
        <v/>
      </c>
      <c r="X541" s="52">
        <f>IF(OR(P541="Gasto",P541="Reembolso"),IF(M541&lt;&gt;"",M541,IFERROR(INDEX(catClasif,MATCH(D541&amp;"|"&amp;E541,catClave,0))&amp;"","Variable")),"")</f>
        <v/>
      </c>
      <c r="Y541" s="52">
        <f>IF(P541="","",IFERROR(INDEX(catGrupo,MATCH(D541&amp;"|"&amp;E541,catClave,0))&amp;"",""))</f>
        <v/>
      </c>
      <c r="Z541" s="52">
        <f>IF(P541="","",WEEKDAY(B541,2))</f>
        <v/>
      </c>
      <c r="AA541" s="52">
        <f>IF(P541="","",IF(AND(P541="Gasto",X541="Variable",D541&lt;&gt;catTrading,S541&gt;0,S541&lt;=Umbral),1,0))</f>
        <v/>
      </c>
      <c r="AB541" s="52">
        <f>IF(OR(P541="",Q541=""),"",IFERROR(IF(INDEX(ctaVinc,MATCH(Q541,ctaNombre,0))&amp;""&lt;&gt;"",INDEX(ctaVinc,MATCH(Q541,ctaNombre,0))&amp;"",Q541),Q541))</f>
        <v/>
      </c>
      <c r="AC541" s="52">
        <f>IF(OR(K541="",AND(P541&lt;&gt;"Transferencia",P541&lt;&gt;"Pago tarjeta")),"",IFERROR(IF(INDEX(ctaVinc,MATCH(K541,ctaNombre,0))&amp;""&lt;&gt;"",INDEX(ctaVinc,MATCH(K541,ctaNombre,0))&amp;"",K541),K541))</f>
        <v/>
      </c>
      <c r="AD541" s="52">
        <f>IF(AB541="","",IFERROR(INDEX(ctaTipo,MATCH(AB541,ctaNombre,0))&amp;"",""))</f>
        <v/>
      </c>
      <c r="AE541" s="52">
        <f>IF(AC541="","",IFERROR(INDEX(ctaTipo,MATCH(AC541,ctaNombre,0))&amp;"",""))</f>
        <v/>
      </c>
      <c r="AF541" s="53">
        <f>IF(OR(P541="",AB541=""),"",IF(OR(P541="Gasto",P541="Transferencia",P541="Pago tarjeta"),-1,1)*IF(IFERROR(INDEX(ctaMoneda,MATCH(AB541,ctaNombre,0))&amp;"","DOP")="USD",T541,S541))</f>
        <v/>
      </c>
      <c r="AG541" s="53">
        <f>IF(AC541="","",IF(IFERROR(INDEX(ctaMoneda,MATCH(AC541,ctaNombre,0))&amp;"","DOP")="USD",T541,S541))</f>
        <v/>
      </c>
      <c r="AH541" s="53">
        <f>IF(P541="","",IF(AND(AD541&lt;&gt;"",COUNTIFS(tcTipo,AD541,tcLiq,"Sí")&gt;0),IF(OR(P541="Gasto",P541="Transferencia",P541="Pago tarjeta"),-1,1)*S541,0)+IF(AND(AE541&lt;&gt;"",COUNTIFS(tcTipo,AE541,tcLiq,"Sí")&gt;0),S541,0))</f>
        <v/>
      </c>
      <c r="AI541" s="52">
        <f>IF(OR(L541="",P541=""),"",IF(COUNTIFS(L$6:L541,L541,P$6:P541,"?*")=1,MAX(AI$5:AI540)+1,""))</f>
        <v/>
      </c>
    </row>
    <row r="542">
      <c r="B542" s="47" t="n"/>
      <c r="C542" s="48" t="n"/>
      <c r="D542" s="48" t="n"/>
      <c r="E542" s="48" t="n"/>
      <c r="F542" s="48" t="n"/>
      <c r="G542" s="49" t="n"/>
      <c r="H542" s="48" t="n"/>
      <c r="I542" s="50" t="n"/>
      <c r="J542" s="48" t="n"/>
      <c r="K542" s="48" t="n"/>
      <c r="L542" s="48" t="n"/>
      <c r="M542" s="48" t="n"/>
      <c r="N542" s="48" t="n"/>
      <c r="O542" s="51">
        <f>IF(AND(B542="",G542="",C542="",D542="",J542=""),"",IF(B542="","⚠ Falta fecha",IF(G542="","⚠ Falta monto",IF(Q542="","⚠ Falta cuenta",IF(ISNA(MATCH(Q542,ctaNombre,0)),"⚠ Cuenta no registrada",IF(AND(OR(P542="Gasto",P542="Reembolso"),D542=""),"⚠ Falta categoría",IF(AND(D542&lt;&gt;"",E542&lt;&gt;"",ISNA(MATCH(D542&amp;"|"&amp;E542,catClave,0))),"⚠ Subcategoría no corresponde",IF(AND(OR(P542="Transferencia",P542="Pago tarjeta"),K542=""),"⚠ Falta cuenta destino",IF(AND(K542&lt;&gt;"",P542&lt;&gt;"Transferencia",P542&lt;&gt;"Pago tarjeta"),"⚠ Destino solo aplica a transferencias",IF(AND(K542&lt;&gt;"",K542=Q542),"⚠ Origen igual a destino",IF(AND(K542&lt;&gt;"",ISNA(MATCH(K542,ctaNombre,0))),"⚠ Destino no registrado",IF(AND(P542="Pago tarjeta",AE542&lt;&gt;"Tarjeta de crédito"),"⚠ El destino debe ser tarjeta de crédito",IF(AND(P542="Gasto",E542="Depósitos y retiros"),"⚠ Usa tipo Transferencia",IF(AND(P542="Resultado trading",AD542&lt;&gt;"Cuenta de trading"),"⚠ Usa una cuenta de trading",IF(AND(G542&lt;=0,P542&lt;&gt;"Ajuste",P542&lt;&gt;"Resultado trading"),"⚠ El monto debe ser positivo","✓")))))))))))))))</f>
        <v/>
      </c>
      <c r="P542" s="52">
        <f>IF(OR(B542="",G542=""),"",IF(C542="","Gasto",C542))</f>
        <v/>
      </c>
      <c r="Q542" s="52">
        <f>IF(P542="","",IF(J542&lt;&gt;"",J542,CuentaPred&amp;""))</f>
        <v/>
      </c>
      <c r="R542" s="52">
        <f>IF(P542="","",IF(ISNUMBER(I542),I542,TasaUSD))</f>
        <v/>
      </c>
      <c r="S542" s="53">
        <f>IF(P542="","",IF(H542="USD",G542*R542,G542))</f>
        <v/>
      </c>
      <c r="T542" s="53">
        <f>IF(P542="","",IF(H542="USD",G542,IF(R542&gt;0,G542/R542,0)))</f>
        <v/>
      </c>
      <c r="U542" s="53">
        <f>IF(P542="","",IF(P542="Gasto",S542,IF(P542="Reembolso",-S542,0)))</f>
        <v/>
      </c>
      <c r="V542" s="53">
        <f>IF(P542="","",IF(P542="Ingreso",S542,0))</f>
        <v/>
      </c>
      <c r="W542" s="53">
        <f>IF(P542="","",IF(P542="Resultado trading",S542,0))</f>
        <v/>
      </c>
      <c r="X542" s="52">
        <f>IF(OR(P542="Gasto",P542="Reembolso"),IF(M542&lt;&gt;"",M542,IFERROR(INDEX(catClasif,MATCH(D542&amp;"|"&amp;E542,catClave,0))&amp;"","Variable")),"")</f>
        <v/>
      </c>
      <c r="Y542" s="52">
        <f>IF(P542="","",IFERROR(INDEX(catGrupo,MATCH(D542&amp;"|"&amp;E542,catClave,0))&amp;"",""))</f>
        <v/>
      </c>
      <c r="Z542" s="52">
        <f>IF(P542="","",WEEKDAY(B542,2))</f>
        <v/>
      </c>
      <c r="AA542" s="52">
        <f>IF(P542="","",IF(AND(P542="Gasto",X542="Variable",D542&lt;&gt;catTrading,S542&gt;0,S542&lt;=Umbral),1,0))</f>
        <v/>
      </c>
      <c r="AB542" s="52">
        <f>IF(OR(P542="",Q542=""),"",IFERROR(IF(INDEX(ctaVinc,MATCH(Q542,ctaNombre,0))&amp;""&lt;&gt;"",INDEX(ctaVinc,MATCH(Q542,ctaNombre,0))&amp;"",Q542),Q542))</f>
        <v/>
      </c>
      <c r="AC542" s="52">
        <f>IF(OR(K542="",AND(P542&lt;&gt;"Transferencia",P542&lt;&gt;"Pago tarjeta")),"",IFERROR(IF(INDEX(ctaVinc,MATCH(K542,ctaNombre,0))&amp;""&lt;&gt;"",INDEX(ctaVinc,MATCH(K542,ctaNombre,0))&amp;"",K542),K542))</f>
        <v/>
      </c>
      <c r="AD542" s="52">
        <f>IF(AB542="","",IFERROR(INDEX(ctaTipo,MATCH(AB542,ctaNombre,0))&amp;"",""))</f>
        <v/>
      </c>
      <c r="AE542" s="52">
        <f>IF(AC542="","",IFERROR(INDEX(ctaTipo,MATCH(AC542,ctaNombre,0))&amp;"",""))</f>
        <v/>
      </c>
      <c r="AF542" s="53">
        <f>IF(OR(P542="",AB542=""),"",IF(OR(P542="Gasto",P542="Transferencia",P542="Pago tarjeta"),-1,1)*IF(IFERROR(INDEX(ctaMoneda,MATCH(AB542,ctaNombre,0))&amp;"","DOP")="USD",T542,S542))</f>
        <v/>
      </c>
      <c r="AG542" s="53">
        <f>IF(AC542="","",IF(IFERROR(INDEX(ctaMoneda,MATCH(AC542,ctaNombre,0))&amp;"","DOP")="USD",T542,S542))</f>
        <v/>
      </c>
      <c r="AH542" s="53">
        <f>IF(P542="","",IF(AND(AD542&lt;&gt;"",COUNTIFS(tcTipo,AD542,tcLiq,"Sí")&gt;0),IF(OR(P542="Gasto",P542="Transferencia",P542="Pago tarjeta"),-1,1)*S542,0)+IF(AND(AE542&lt;&gt;"",COUNTIFS(tcTipo,AE542,tcLiq,"Sí")&gt;0),S542,0))</f>
        <v/>
      </c>
      <c r="AI542" s="52">
        <f>IF(OR(L542="",P542=""),"",IF(COUNTIFS(L$6:L542,L542,P$6:P542,"?*")=1,MAX(AI$5:AI541)+1,""))</f>
        <v/>
      </c>
    </row>
    <row r="543">
      <c r="B543" s="47" t="n"/>
      <c r="C543" s="48" t="n"/>
      <c r="D543" s="48" t="n"/>
      <c r="E543" s="48" t="n"/>
      <c r="F543" s="48" t="n"/>
      <c r="G543" s="49" t="n"/>
      <c r="H543" s="48" t="n"/>
      <c r="I543" s="50" t="n"/>
      <c r="J543" s="48" t="n"/>
      <c r="K543" s="48" t="n"/>
      <c r="L543" s="48" t="n"/>
      <c r="M543" s="48" t="n"/>
      <c r="N543" s="48" t="n"/>
      <c r="O543" s="51">
        <f>IF(AND(B543="",G543="",C543="",D543="",J543=""),"",IF(B543="","⚠ Falta fecha",IF(G543="","⚠ Falta monto",IF(Q543="","⚠ Falta cuenta",IF(ISNA(MATCH(Q543,ctaNombre,0)),"⚠ Cuenta no registrada",IF(AND(OR(P543="Gasto",P543="Reembolso"),D543=""),"⚠ Falta categoría",IF(AND(D543&lt;&gt;"",E543&lt;&gt;"",ISNA(MATCH(D543&amp;"|"&amp;E543,catClave,0))),"⚠ Subcategoría no corresponde",IF(AND(OR(P543="Transferencia",P543="Pago tarjeta"),K543=""),"⚠ Falta cuenta destino",IF(AND(K543&lt;&gt;"",P543&lt;&gt;"Transferencia",P543&lt;&gt;"Pago tarjeta"),"⚠ Destino solo aplica a transferencias",IF(AND(K543&lt;&gt;"",K543=Q543),"⚠ Origen igual a destino",IF(AND(K543&lt;&gt;"",ISNA(MATCH(K543,ctaNombre,0))),"⚠ Destino no registrado",IF(AND(P543="Pago tarjeta",AE543&lt;&gt;"Tarjeta de crédito"),"⚠ El destino debe ser tarjeta de crédito",IF(AND(P543="Gasto",E543="Depósitos y retiros"),"⚠ Usa tipo Transferencia",IF(AND(P543="Resultado trading",AD543&lt;&gt;"Cuenta de trading"),"⚠ Usa una cuenta de trading",IF(AND(G543&lt;=0,P543&lt;&gt;"Ajuste",P543&lt;&gt;"Resultado trading"),"⚠ El monto debe ser positivo","✓")))))))))))))))</f>
        <v/>
      </c>
      <c r="P543" s="52">
        <f>IF(OR(B543="",G543=""),"",IF(C543="","Gasto",C543))</f>
        <v/>
      </c>
      <c r="Q543" s="52">
        <f>IF(P543="","",IF(J543&lt;&gt;"",J543,CuentaPred&amp;""))</f>
        <v/>
      </c>
      <c r="R543" s="52">
        <f>IF(P543="","",IF(ISNUMBER(I543),I543,TasaUSD))</f>
        <v/>
      </c>
      <c r="S543" s="53">
        <f>IF(P543="","",IF(H543="USD",G543*R543,G543))</f>
        <v/>
      </c>
      <c r="T543" s="53">
        <f>IF(P543="","",IF(H543="USD",G543,IF(R543&gt;0,G543/R543,0)))</f>
        <v/>
      </c>
      <c r="U543" s="53">
        <f>IF(P543="","",IF(P543="Gasto",S543,IF(P543="Reembolso",-S543,0)))</f>
        <v/>
      </c>
      <c r="V543" s="53">
        <f>IF(P543="","",IF(P543="Ingreso",S543,0))</f>
        <v/>
      </c>
      <c r="W543" s="53">
        <f>IF(P543="","",IF(P543="Resultado trading",S543,0))</f>
        <v/>
      </c>
      <c r="X543" s="52">
        <f>IF(OR(P543="Gasto",P543="Reembolso"),IF(M543&lt;&gt;"",M543,IFERROR(INDEX(catClasif,MATCH(D543&amp;"|"&amp;E543,catClave,0))&amp;"","Variable")),"")</f>
        <v/>
      </c>
      <c r="Y543" s="52">
        <f>IF(P543="","",IFERROR(INDEX(catGrupo,MATCH(D543&amp;"|"&amp;E543,catClave,0))&amp;"",""))</f>
        <v/>
      </c>
      <c r="Z543" s="52">
        <f>IF(P543="","",WEEKDAY(B543,2))</f>
        <v/>
      </c>
      <c r="AA543" s="52">
        <f>IF(P543="","",IF(AND(P543="Gasto",X543="Variable",D543&lt;&gt;catTrading,S543&gt;0,S543&lt;=Umbral),1,0))</f>
        <v/>
      </c>
      <c r="AB543" s="52">
        <f>IF(OR(P543="",Q543=""),"",IFERROR(IF(INDEX(ctaVinc,MATCH(Q543,ctaNombre,0))&amp;""&lt;&gt;"",INDEX(ctaVinc,MATCH(Q543,ctaNombre,0))&amp;"",Q543),Q543))</f>
        <v/>
      </c>
      <c r="AC543" s="52">
        <f>IF(OR(K543="",AND(P543&lt;&gt;"Transferencia",P543&lt;&gt;"Pago tarjeta")),"",IFERROR(IF(INDEX(ctaVinc,MATCH(K543,ctaNombre,0))&amp;""&lt;&gt;"",INDEX(ctaVinc,MATCH(K543,ctaNombre,0))&amp;"",K543),K543))</f>
        <v/>
      </c>
      <c r="AD543" s="52">
        <f>IF(AB543="","",IFERROR(INDEX(ctaTipo,MATCH(AB543,ctaNombre,0))&amp;"",""))</f>
        <v/>
      </c>
      <c r="AE543" s="52">
        <f>IF(AC543="","",IFERROR(INDEX(ctaTipo,MATCH(AC543,ctaNombre,0))&amp;"",""))</f>
        <v/>
      </c>
      <c r="AF543" s="53">
        <f>IF(OR(P543="",AB543=""),"",IF(OR(P543="Gasto",P543="Transferencia",P543="Pago tarjeta"),-1,1)*IF(IFERROR(INDEX(ctaMoneda,MATCH(AB543,ctaNombre,0))&amp;"","DOP")="USD",T543,S543))</f>
        <v/>
      </c>
      <c r="AG543" s="53">
        <f>IF(AC543="","",IF(IFERROR(INDEX(ctaMoneda,MATCH(AC543,ctaNombre,0))&amp;"","DOP")="USD",T543,S543))</f>
        <v/>
      </c>
      <c r="AH543" s="53">
        <f>IF(P543="","",IF(AND(AD543&lt;&gt;"",COUNTIFS(tcTipo,AD543,tcLiq,"Sí")&gt;0),IF(OR(P543="Gasto",P543="Transferencia",P543="Pago tarjeta"),-1,1)*S543,0)+IF(AND(AE543&lt;&gt;"",COUNTIFS(tcTipo,AE543,tcLiq,"Sí")&gt;0),S543,0))</f>
        <v/>
      </c>
      <c r="AI543" s="52">
        <f>IF(OR(L543="",P543=""),"",IF(COUNTIFS(L$6:L543,L543,P$6:P543,"?*")=1,MAX(AI$5:AI542)+1,""))</f>
        <v/>
      </c>
    </row>
    <row r="544">
      <c r="B544" s="47" t="n"/>
      <c r="C544" s="48" t="n"/>
      <c r="D544" s="48" t="n"/>
      <c r="E544" s="48" t="n"/>
      <c r="F544" s="48" t="n"/>
      <c r="G544" s="49" t="n"/>
      <c r="H544" s="48" t="n"/>
      <c r="I544" s="50" t="n"/>
      <c r="J544" s="48" t="n"/>
      <c r="K544" s="48" t="n"/>
      <c r="L544" s="48" t="n"/>
      <c r="M544" s="48" t="n"/>
      <c r="N544" s="48" t="n"/>
      <c r="O544" s="51">
        <f>IF(AND(B544="",G544="",C544="",D544="",J544=""),"",IF(B544="","⚠ Falta fecha",IF(G544="","⚠ Falta monto",IF(Q544="","⚠ Falta cuenta",IF(ISNA(MATCH(Q544,ctaNombre,0)),"⚠ Cuenta no registrada",IF(AND(OR(P544="Gasto",P544="Reembolso"),D544=""),"⚠ Falta categoría",IF(AND(D544&lt;&gt;"",E544&lt;&gt;"",ISNA(MATCH(D544&amp;"|"&amp;E544,catClave,0))),"⚠ Subcategoría no corresponde",IF(AND(OR(P544="Transferencia",P544="Pago tarjeta"),K544=""),"⚠ Falta cuenta destino",IF(AND(K544&lt;&gt;"",P544&lt;&gt;"Transferencia",P544&lt;&gt;"Pago tarjeta"),"⚠ Destino solo aplica a transferencias",IF(AND(K544&lt;&gt;"",K544=Q544),"⚠ Origen igual a destino",IF(AND(K544&lt;&gt;"",ISNA(MATCH(K544,ctaNombre,0))),"⚠ Destino no registrado",IF(AND(P544="Pago tarjeta",AE544&lt;&gt;"Tarjeta de crédito"),"⚠ El destino debe ser tarjeta de crédito",IF(AND(P544="Gasto",E544="Depósitos y retiros"),"⚠ Usa tipo Transferencia",IF(AND(P544="Resultado trading",AD544&lt;&gt;"Cuenta de trading"),"⚠ Usa una cuenta de trading",IF(AND(G544&lt;=0,P544&lt;&gt;"Ajuste",P544&lt;&gt;"Resultado trading"),"⚠ El monto debe ser positivo","✓")))))))))))))))</f>
        <v/>
      </c>
      <c r="P544" s="52">
        <f>IF(OR(B544="",G544=""),"",IF(C544="","Gasto",C544))</f>
        <v/>
      </c>
      <c r="Q544" s="52">
        <f>IF(P544="","",IF(J544&lt;&gt;"",J544,CuentaPred&amp;""))</f>
        <v/>
      </c>
      <c r="R544" s="52">
        <f>IF(P544="","",IF(ISNUMBER(I544),I544,TasaUSD))</f>
        <v/>
      </c>
      <c r="S544" s="53">
        <f>IF(P544="","",IF(H544="USD",G544*R544,G544))</f>
        <v/>
      </c>
      <c r="T544" s="53">
        <f>IF(P544="","",IF(H544="USD",G544,IF(R544&gt;0,G544/R544,0)))</f>
        <v/>
      </c>
      <c r="U544" s="53">
        <f>IF(P544="","",IF(P544="Gasto",S544,IF(P544="Reembolso",-S544,0)))</f>
        <v/>
      </c>
      <c r="V544" s="53">
        <f>IF(P544="","",IF(P544="Ingreso",S544,0))</f>
        <v/>
      </c>
      <c r="W544" s="53">
        <f>IF(P544="","",IF(P544="Resultado trading",S544,0))</f>
        <v/>
      </c>
      <c r="X544" s="52">
        <f>IF(OR(P544="Gasto",P544="Reembolso"),IF(M544&lt;&gt;"",M544,IFERROR(INDEX(catClasif,MATCH(D544&amp;"|"&amp;E544,catClave,0))&amp;"","Variable")),"")</f>
        <v/>
      </c>
      <c r="Y544" s="52">
        <f>IF(P544="","",IFERROR(INDEX(catGrupo,MATCH(D544&amp;"|"&amp;E544,catClave,0))&amp;"",""))</f>
        <v/>
      </c>
      <c r="Z544" s="52">
        <f>IF(P544="","",WEEKDAY(B544,2))</f>
        <v/>
      </c>
      <c r="AA544" s="52">
        <f>IF(P544="","",IF(AND(P544="Gasto",X544="Variable",D544&lt;&gt;catTrading,S544&gt;0,S544&lt;=Umbral),1,0))</f>
        <v/>
      </c>
      <c r="AB544" s="52">
        <f>IF(OR(P544="",Q544=""),"",IFERROR(IF(INDEX(ctaVinc,MATCH(Q544,ctaNombre,0))&amp;""&lt;&gt;"",INDEX(ctaVinc,MATCH(Q544,ctaNombre,0))&amp;"",Q544),Q544))</f>
        <v/>
      </c>
      <c r="AC544" s="52">
        <f>IF(OR(K544="",AND(P544&lt;&gt;"Transferencia",P544&lt;&gt;"Pago tarjeta")),"",IFERROR(IF(INDEX(ctaVinc,MATCH(K544,ctaNombre,0))&amp;""&lt;&gt;"",INDEX(ctaVinc,MATCH(K544,ctaNombre,0))&amp;"",K544),K544))</f>
        <v/>
      </c>
      <c r="AD544" s="52">
        <f>IF(AB544="","",IFERROR(INDEX(ctaTipo,MATCH(AB544,ctaNombre,0))&amp;"",""))</f>
        <v/>
      </c>
      <c r="AE544" s="52">
        <f>IF(AC544="","",IFERROR(INDEX(ctaTipo,MATCH(AC544,ctaNombre,0))&amp;"",""))</f>
        <v/>
      </c>
      <c r="AF544" s="53">
        <f>IF(OR(P544="",AB544=""),"",IF(OR(P544="Gasto",P544="Transferencia",P544="Pago tarjeta"),-1,1)*IF(IFERROR(INDEX(ctaMoneda,MATCH(AB544,ctaNombre,0))&amp;"","DOP")="USD",T544,S544))</f>
        <v/>
      </c>
      <c r="AG544" s="53">
        <f>IF(AC544="","",IF(IFERROR(INDEX(ctaMoneda,MATCH(AC544,ctaNombre,0))&amp;"","DOP")="USD",T544,S544))</f>
        <v/>
      </c>
      <c r="AH544" s="53">
        <f>IF(P544="","",IF(AND(AD544&lt;&gt;"",COUNTIFS(tcTipo,AD544,tcLiq,"Sí")&gt;0),IF(OR(P544="Gasto",P544="Transferencia",P544="Pago tarjeta"),-1,1)*S544,0)+IF(AND(AE544&lt;&gt;"",COUNTIFS(tcTipo,AE544,tcLiq,"Sí")&gt;0),S544,0))</f>
        <v/>
      </c>
      <c r="AI544" s="52">
        <f>IF(OR(L544="",P544=""),"",IF(COUNTIFS(L$6:L544,L544,P$6:P544,"?*")=1,MAX(AI$5:AI543)+1,""))</f>
        <v/>
      </c>
    </row>
    <row r="545">
      <c r="B545" s="47" t="n"/>
      <c r="C545" s="48" t="n"/>
      <c r="D545" s="48" t="n"/>
      <c r="E545" s="48" t="n"/>
      <c r="F545" s="48" t="n"/>
      <c r="G545" s="49" t="n"/>
      <c r="H545" s="48" t="n"/>
      <c r="I545" s="50" t="n"/>
      <c r="J545" s="48" t="n"/>
      <c r="K545" s="48" t="n"/>
      <c r="L545" s="48" t="n"/>
      <c r="M545" s="48" t="n"/>
      <c r="N545" s="48" t="n"/>
      <c r="O545" s="51">
        <f>IF(AND(B545="",G545="",C545="",D545="",J545=""),"",IF(B545="","⚠ Falta fecha",IF(G545="","⚠ Falta monto",IF(Q545="","⚠ Falta cuenta",IF(ISNA(MATCH(Q545,ctaNombre,0)),"⚠ Cuenta no registrada",IF(AND(OR(P545="Gasto",P545="Reembolso"),D545=""),"⚠ Falta categoría",IF(AND(D545&lt;&gt;"",E545&lt;&gt;"",ISNA(MATCH(D545&amp;"|"&amp;E545,catClave,0))),"⚠ Subcategoría no corresponde",IF(AND(OR(P545="Transferencia",P545="Pago tarjeta"),K545=""),"⚠ Falta cuenta destino",IF(AND(K545&lt;&gt;"",P545&lt;&gt;"Transferencia",P545&lt;&gt;"Pago tarjeta"),"⚠ Destino solo aplica a transferencias",IF(AND(K545&lt;&gt;"",K545=Q545),"⚠ Origen igual a destino",IF(AND(K545&lt;&gt;"",ISNA(MATCH(K545,ctaNombre,0))),"⚠ Destino no registrado",IF(AND(P545="Pago tarjeta",AE545&lt;&gt;"Tarjeta de crédito"),"⚠ El destino debe ser tarjeta de crédito",IF(AND(P545="Gasto",E545="Depósitos y retiros"),"⚠ Usa tipo Transferencia",IF(AND(P545="Resultado trading",AD545&lt;&gt;"Cuenta de trading"),"⚠ Usa una cuenta de trading",IF(AND(G545&lt;=0,P545&lt;&gt;"Ajuste",P545&lt;&gt;"Resultado trading"),"⚠ El monto debe ser positivo","✓")))))))))))))))</f>
        <v/>
      </c>
      <c r="P545" s="52">
        <f>IF(OR(B545="",G545=""),"",IF(C545="","Gasto",C545))</f>
        <v/>
      </c>
      <c r="Q545" s="52">
        <f>IF(P545="","",IF(J545&lt;&gt;"",J545,CuentaPred&amp;""))</f>
        <v/>
      </c>
      <c r="R545" s="52">
        <f>IF(P545="","",IF(ISNUMBER(I545),I545,TasaUSD))</f>
        <v/>
      </c>
      <c r="S545" s="53">
        <f>IF(P545="","",IF(H545="USD",G545*R545,G545))</f>
        <v/>
      </c>
      <c r="T545" s="53">
        <f>IF(P545="","",IF(H545="USD",G545,IF(R545&gt;0,G545/R545,0)))</f>
        <v/>
      </c>
      <c r="U545" s="53">
        <f>IF(P545="","",IF(P545="Gasto",S545,IF(P545="Reembolso",-S545,0)))</f>
        <v/>
      </c>
      <c r="V545" s="53">
        <f>IF(P545="","",IF(P545="Ingreso",S545,0))</f>
        <v/>
      </c>
      <c r="W545" s="53">
        <f>IF(P545="","",IF(P545="Resultado trading",S545,0))</f>
        <v/>
      </c>
      <c r="X545" s="52">
        <f>IF(OR(P545="Gasto",P545="Reembolso"),IF(M545&lt;&gt;"",M545,IFERROR(INDEX(catClasif,MATCH(D545&amp;"|"&amp;E545,catClave,0))&amp;"","Variable")),"")</f>
        <v/>
      </c>
      <c r="Y545" s="52">
        <f>IF(P545="","",IFERROR(INDEX(catGrupo,MATCH(D545&amp;"|"&amp;E545,catClave,0))&amp;"",""))</f>
        <v/>
      </c>
      <c r="Z545" s="52">
        <f>IF(P545="","",WEEKDAY(B545,2))</f>
        <v/>
      </c>
      <c r="AA545" s="52">
        <f>IF(P545="","",IF(AND(P545="Gasto",X545="Variable",D545&lt;&gt;catTrading,S545&gt;0,S545&lt;=Umbral),1,0))</f>
        <v/>
      </c>
      <c r="AB545" s="52">
        <f>IF(OR(P545="",Q545=""),"",IFERROR(IF(INDEX(ctaVinc,MATCH(Q545,ctaNombre,0))&amp;""&lt;&gt;"",INDEX(ctaVinc,MATCH(Q545,ctaNombre,0))&amp;"",Q545),Q545))</f>
        <v/>
      </c>
      <c r="AC545" s="52">
        <f>IF(OR(K545="",AND(P545&lt;&gt;"Transferencia",P545&lt;&gt;"Pago tarjeta")),"",IFERROR(IF(INDEX(ctaVinc,MATCH(K545,ctaNombre,0))&amp;""&lt;&gt;"",INDEX(ctaVinc,MATCH(K545,ctaNombre,0))&amp;"",K545),K545))</f>
        <v/>
      </c>
      <c r="AD545" s="52">
        <f>IF(AB545="","",IFERROR(INDEX(ctaTipo,MATCH(AB545,ctaNombre,0))&amp;"",""))</f>
        <v/>
      </c>
      <c r="AE545" s="52">
        <f>IF(AC545="","",IFERROR(INDEX(ctaTipo,MATCH(AC545,ctaNombre,0))&amp;"",""))</f>
        <v/>
      </c>
      <c r="AF545" s="53">
        <f>IF(OR(P545="",AB545=""),"",IF(OR(P545="Gasto",P545="Transferencia",P545="Pago tarjeta"),-1,1)*IF(IFERROR(INDEX(ctaMoneda,MATCH(AB545,ctaNombre,0))&amp;"","DOP")="USD",T545,S545))</f>
        <v/>
      </c>
      <c r="AG545" s="53">
        <f>IF(AC545="","",IF(IFERROR(INDEX(ctaMoneda,MATCH(AC545,ctaNombre,0))&amp;"","DOP")="USD",T545,S545))</f>
        <v/>
      </c>
      <c r="AH545" s="53">
        <f>IF(P545="","",IF(AND(AD545&lt;&gt;"",COUNTIFS(tcTipo,AD545,tcLiq,"Sí")&gt;0),IF(OR(P545="Gasto",P545="Transferencia",P545="Pago tarjeta"),-1,1)*S545,0)+IF(AND(AE545&lt;&gt;"",COUNTIFS(tcTipo,AE545,tcLiq,"Sí")&gt;0),S545,0))</f>
        <v/>
      </c>
      <c r="AI545" s="52">
        <f>IF(OR(L545="",P545=""),"",IF(COUNTIFS(L$6:L545,L545,P$6:P545,"?*")=1,MAX(AI$5:AI544)+1,""))</f>
        <v/>
      </c>
    </row>
    <row r="546">
      <c r="B546" s="47" t="n"/>
      <c r="C546" s="48" t="n"/>
      <c r="D546" s="48" t="n"/>
      <c r="E546" s="48" t="n"/>
      <c r="F546" s="48" t="n"/>
      <c r="G546" s="49" t="n"/>
      <c r="H546" s="48" t="n"/>
      <c r="I546" s="50" t="n"/>
      <c r="J546" s="48" t="n"/>
      <c r="K546" s="48" t="n"/>
      <c r="L546" s="48" t="n"/>
      <c r="M546" s="48" t="n"/>
      <c r="N546" s="48" t="n"/>
      <c r="O546" s="51">
        <f>IF(AND(B546="",G546="",C546="",D546="",J546=""),"",IF(B546="","⚠ Falta fecha",IF(G546="","⚠ Falta monto",IF(Q546="","⚠ Falta cuenta",IF(ISNA(MATCH(Q546,ctaNombre,0)),"⚠ Cuenta no registrada",IF(AND(OR(P546="Gasto",P546="Reembolso"),D546=""),"⚠ Falta categoría",IF(AND(D546&lt;&gt;"",E546&lt;&gt;"",ISNA(MATCH(D546&amp;"|"&amp;E546,catClave,0))),"⚠ Subcategoría no corresponde",IF(AND(OR(P546="Transferencia",P546="Pago tarjeta"),K546=""),"⚠ Falta cuenta destino",IF(AND(K546&lt;&gt;"",P546&lt;&gt;"Transferencia",P546&lt;&gt;"Pago tarjeta"),"⚠ Destino solo aplica a transferencias",IF(AND(K546&lt;&gt;"",K546=Q546),"⚠ Origen igual a destino",IF(AND(K546&lt;&gt;"",ISNA(MATCH(K546,ctaNombre,0))),"⚠ Destino no registrado",IF(AND(P546="Pago tarjeta",AE546&lt;&gt;"Tarjeta de crédito"),"⚠ El destino debe ser tarjeta de crédito",IF(AND(P546="Gasto",E546="Depósitos y retiros"),"⚠ Usa tipo Transferencia",IF(AND(P546="Resultado trading",AD546&lt;&gt;"Cuenta de trading"),"⚠ Usa una cuenta de trading",IF(AND(G546&lt;=0,P546&lt;&gt;"Ajuste",P546&lt;&gt;"Resultado trading"),"⚠ El monto debe ser positivo","✓")))))))))))))))</f>
        <v/>
      </c>
      <c r="P546" s="52">
        <f>IF(OR(B546="",G546=""),"",IF(C546="","Gasto",C546))</f>
        <v/>
      </c>
      <c r="Q546" s="52">
        <f>IF(P546="","",IF(J546&lt;&gt;"",J546,CuentaPred&amp;""))</f>
        <v/>
      </c>
      <c r="R546" s="52">
        <f>IF(P546="","",IF(ISNUMBER(I546),I546,TasaUSD))</f>
        <v/>
      </c>
      <c r="S546" s="53">
        <f>IF(P546="","",IF(H546="USD",G546*R546,G546))</f>
        <v/>
      </c>
      <c r="T546" s="53">
        <f>IF(P546="","",IF(H546="USD",G546,IF(R546&gt;0,G546/R546,0)))</f>
        <v/>
      </c>
      <c r="U546" s="53">
        <f>IF(P546="","",IF(P546="Gasto",S546,IF(P546="Reembolso",-S546,0)))</f>
        <v/>
      </c>
      <c r="V546" s="53">
        <f>IF(P546="","",IF(P546="Ingreso",S546,0))</f>
        <v/>
      </c>
      <c r="W546" s="53">
        <f>IF(P546="","",IF(P546="Resultado trading",S546,0))</f>
        <v/>
      </c>
      <c r="X546" s="52">
        <f>IF(OR(P546="Gasto",P546="Reembolso"),IF(M546&lt;&gt;"",M546,IFERROR(INDEX(catClasif,MATCH(D546&amp;"|"&amp;E546,catClave,0))&amp;"","Variable")),"")</f>
        <v/>
      </c>
      <c r="Y546" s="52">
        <f>IF(P546="","",IFERROR(INDEX(catGrupo,MATCH(D546&amp;"|"&amp;E546,catClave,0))&amp;"",""))</f>
        <v/>
      </c>
      <c r="Z546" s="52">
        <f>IF(P546="","",WEEKDAY(B546,2))</f>
        <v/>
      </c>
      <c r="AA546" s="52">
        <f>IF(P546="","",IF(AND(P546="Gasto",X546="Variable",D546&lt;&gt;catTrading,S546&gt;0,S546&lt;=Umbral),1,0))</f>
        <v/>
      </c>
      <c r="AB546" s="52">
        <f>IF(OR(P546="",Q546=""),"",IFERROR(IF(INDEX(ctaVinc,MATCH(Q546,ctaNombre,0))&amp;""&lt;&gt;"",INDEX(ctaVinc,MATCH(Q546,ctaNombre,0))&amp;"",Q546),Q546))</f>
        <v/>
      </c>
      <c r="AC546" s="52">
        <f>IF(OR(K546="",AND(P546&lt;&gt;"Transferencia",P546&lt;&gt;"Pago tarjeta")),"",IFERROR(IF(INDEX(ctaVinc,MATCH(K546,ctaNombre,0))&amp;""&lt;&gt;"",INDEX(ctaVinc,MATCH(K546,ctaNombre,0))&amp;"",K546),K546))</f>
        <v/>
      </c>
      <c r="AD546" s="52">
        <f>IF(AB546="","",IFERROR(INDEX(ctaTipo,MATCH(AB546,ctaNombre,0))&amp;"",""))</f>
        <v/>
      </c>
      <c r="AE546" s="52">
        <f>IF(AC546="","",IFERROR(INDEX(ctaTipo,MATCH(AC546,ctaNombre,0))&amp;"",""))</f>
        <v/>
      </c>
      <c r="AF546" s="53">
        <f>IF(OR(P546="",AB546=""),"",IF(OR(P546="Gasto",P546="Transferencia",P546="Pago tarjeta"),-1,1)*IF(IFERROR(INDEX(ctaMoneda,MATCH(AB546,ctaNombre,0))&amp;"","DOP")="USD",T546,S546))</f>
        <v/>
      </c>
      <c r="AG546" s="53">
        <f>IF(AC546="","",IF(IFERROR(INDEX(ctaMoneda,MATCH(AC546,ctaNombre,0))&amp;"","DOP")="USD",T546,S546))</f>
        <v/>
      </c>
      <c r="AH546" s="53">
        <f>IF(P546="","",IF(AND(AD546&lt;&gt;"",COUNTIFS(tcTipo,AD546,tcLiq,"Sí")&gt;0),IF(OR(P546="Gasto",P546="Transferencia",P546="Pago tarjeta"),-1,1)*S546,0)+IF(AND(AE546&lt;&gt;"",COUNTIFS(tcTipo,AE546,tcLiq,"Sí")&gt;0),S546,0))</f>
        <v/>
      </c>
      <c r="AI546" s="52">
        <f>IF(OR(L546="",P546=""),"",IF(COUNTIFS(L$6:L546,L546,P$6:P546,"?*")=1,MAX(AI$5:AI545)+1,""))</f>
        <v/>
      </c>
    </row>
    <row r="547">
      <c r="B547" s="47" t="n"/>
      <c r="C547" s="48" t="n"/>
      <c r="D547" s="48" t="n"/>
      <c r="E547" s="48" t="n"/>
      <c r="F547" s="48" t="n"/>
      <c r="G547" s="49" t="n"/>
      <c r="H547" s="48" t="n"/>
      <c r="I547" s="50" t="n"/>
      <c r="J547" s="48" t="n"/>
      <c r="K547" s="48" t="n"/>
      <c r="L547" s="48" t="n"/>
      <c r="M547" s="48" t="n"/>
      <c r="N547" s="48" t="n"/>
      <c r="O547" s="51">
        <f>IF(AND(B547="",G547="",C547="",D547="",J547=""),"",IF(B547="","⚠ Falta fecha",IF(G547="","⚠ Falta monto",IF(Q547="","⚠ Falta cuenta",IF(ISNA(MATCH(Q547,ctaNombre,0)),"⚠ Cuenta no registrada",IF(AND(OR(P547="Gasto",P547="Reembolso"),D547=""),"⚠ Falta categoría",IF(AND(D547&lt;&gt;"",E547&lt;&gt;"",ISNA(MATCH(D547&amp;"|"&amp;E547,catClave,0))),"⚠ Subcategoría no corresponde",IF(AND(OR(P547="Transferencia",P547="Pago tarjeta"),K547=""),"⚠ Falta cuenta destino",IF(AND(K547&lt;&gt;"",P547&lt;&gt;"Transferencia",P547&lt;&gt;"Pago tarjeta"),"⚠ Destino solo aplica a transferencias",IF(AND(K547&lt;&gt;"",K547=Q547),"⚠ Origen igual a destino",IF(AND(K547&lt;&gt;"",ISNA(MATCH(K547,ctaNombre,0))),"⚠ Destino no registrado",IF(AND(P547="Pago tarjeta",AE547&lt;&gt;"Tarjeta de crédito"),"⚠ El destino debe ser tarjeta de crédito",IF(AND(P547="Gasto",E547="Depósitos y retiros"),"⚠ Usa tipo Transferencia",IF(AND(P547="Resultado trading",AD547&lt;&gt;"Cuenta de trading"),"⚠ Usa una cuenta de trading",IF(AND(G547&lt;=0,P547&lt;&gt;"Ajuste",P547&lt;&gt;"Resultado trading"),"⚠ El monto debe ser positivo","✓")))))))))))))))</f>
        <v/>
      </c>
      <c r="P547" s="52">
        <f>IF(OR(B547="",G547=""),"",IF(C547="","Gasto",C547))</f>
        <v/>
      </c>
      <c r="Q547" s="52">
        <f>IF(P547="","",IF(J547&lt;&gt;"",J547,CuentaPred&amp;""))</f>
        <v/>
      </c>
      <c r="R547" s="52">
        <f>IF(P547="","",IF(ISNUMBER(I547),I547,TasaUSD))</f>
        <v/>
      </c>
      <c r="S547" s="53">
        <f>IF(P547="","",IF(H547="USD",G547*R547,G547))</f>
        <v/>
      </c>
      <c r="T547" s="53">
        <f>IF(P547="","",IF(H547="USD",G547,IF(R547&gt;0,G547/R547,0)))</f>
        <v/>
      </c>
      <c r="U547" s="53">
        <f>IF(P547="","",IF(P547="Gasto",S547,IF(P547="Reembolso",-S547,0)))</f>
        <v/>
      </c>
      <c r="V547" s="53">
        <f>IF(P547="","",IF(P547="Ingreso",S547,0))</f>
        <v/>
      </c>
      <c r="W547" s="53">
        <f>IF(P547="","",IF(P547="Resultado trading",S547,0))</f>
        <v/>
      </c>
      <c r="X547" s="52">
        <f>IF(OR(P547="Gasto",P547="Reembolso"),IF(M547&lt;&gt;"",M547,IFERROR(INDEX(catClasif,MATCH(D547&amp;"|"&amp;E547,catClave,0))&amp;"","Variable")),"")</f>
        <v/>
      </c>
      <c r="Y547" s="52">
        <f>IF(P547="","",IFERROR(INDEX(catGrupo,MATCH(D547&amp;"|"&amp;E547,catClave,0))&amp;"",""))</f>
        <v/>
      </c>
      <c r="Z547" s="52">
        <f>IF(P547="","",WEEKDAY(B547,2))</f>
        <v/>
      </c>
      <c r="AA547" s="52">
        <f>IF(P547="","",IF(AND(P547="Gasto",X547="Variable",D547&lt;&gt;catTrading,S547&gt;0,S547&lt;=Umbral),1,0))</f>
        <v/>
      </c>
      <c r="AB547" s="52">
        <f>IF(OR(P547="",Q547=""),"",IFERROR(IF(INDEX(ctaVinc,MATCH(Q547,ctaNombre,0))&amp;""&lt;&gt;"",INDEX(ctaVinc,MATCH(Q547,ctaNombre,0))&amp;"",Q547),Q547))</f>
        <v/>
      </c>
      <c r="AC547" s="52">
        <f>IF(OR(K547="",AND(P547&lt;&gt;"Transferencia",P547&lt;&gt;"Pago tarjeta")),"",IFERROR(IF(INDEX(ctaVinc,MATCH(K547,ctaNombre,0))&amp;""&lt;&gt;"",INDEX(ctaVinc,MATCH(K547,ctaNombre,0))&amp;"",K547),K547))</f>
        <v/>
      </c>
      <c r="AD547" s="52">
        <f>IF(AB547="","",IFERROR(INDEX(ctaTipo,MATCH(AB547,ctaNombre,0))&amp;"",""))</f>
        <v/>
      </c>
      <c r="AE547" s="52">
        <f>IF(AC547="","",IFERROR(INDEX(ctaTipo,MATCH(AC547,ctaNombre,0))&amp;"",""))</f>
        <v/>
      </c>
      <c r="AF547" s="53">
        <f>IF(OR(P547="",AB547=""),"",IF(OR(P547="Gasto",P547="Transferencia",P547="Pago tarjeta"),-1,1)*IF(IFERROR(INDEX(ctaMoneda,MATCH(AB547,ctaNombre,0))&amp;"","DOP")="USD",T547,S547))</f>
        <v/>
      </c>
      <c r="AG547" s="53">
        <f>IF(AC547="","",IF(IFERROR(INDEX(ctaMoneda,MATCH(AC547,ctaNombre,0))&amp;"","DOP")="USD",T547,S547))</f>
        <v/>
      </c>
      <c r="AH547" s="53">
        <f>IF(P547="","",IF(AND(AD547&lt;&gt;"",COUNTIFS(tcTipo,AD547,tcLiq,"Sí")&gt;0),IF(OR(P547="Gasto",P547="Transferencia",P547="Pago tarjeta"),-1,1)*S547,0)+IF(AND(AE547&lt;&gt;"",COUNTIFS(tcTipo,AE547,tcLiq,"Sí")&gt;0),S547,0))</f>
        <v/>
      </c>
      <c r="AI547" s="52">
        <f>IF(OR(L547="",P547=""),"",IF(COUNTIFS(L$6:L547,L547,P$6:P547,"?*")=1,MAX(AI$5:AI546)+1,""))</f>
        <v/>
      </c>
    </row>
    <row r="548">
      <c r="B548" s="47" t="n"/>
      <c r="C548" s="48" t="n"/>
      <c r="D548" s="48" t="n"/>
      <c r="E548" s="48" t="n"/>
      <c r="F548" s="48" t="n"/>
      <c r="G548" s="49" t="n"/>
      <c r="H548" s="48" t="n"/>
      <c r="I548" s="50" t="n"/>
      <c r="J548" s="48" t="n"/>
      <c r="K548" s="48" t="n"/>
      <c r="L548" s="48" t="n"/>
      <c r="M548" s="48" t="n"/>
      <c r="N548" s="48" t="n"/>
      <c r="O548" s="51">
        <f>IF(AND(B548="",G548="",C548="",D548="",J548=""),"",IF(B548="","⚠ Falta fecha",IF(G548="","⚠ Falta monto",IF(Q548="","⚠ Falta cuenta",IF(ISNA(MATCH(Q548,ctaNombre,0)),"⚠ Cuenta no registrada",IF(AND(OR(P548="Gasto",P548="Reembolso"),D548=""),"⚠ Falta categoría",IF(AND(D548&lt;&gt;"",E548&lt;&gt;"",ISNA(MATCH(D548&amp;"|"&amp;E548,catClave,0))),"⚠ Subcategoría no corresponde",IF(AND(OR(P548="Transferencia",P548="Pago tarjeta"),K548=""),"⚠ Falta cuenta destino",IF(AND(K548&lt;&gt;"",P548&lt;&gt;"Transferencia",P548&lt;&gt;"Pago tarjeta"),"⚠ Destino solo aplica a transferencias",IF(AND(K548&lt;&gt;"",K548=Q548),"⚠ Origen igual a destino",IF(AND(K548&lt;&gt;"",ISNA(MATCH(K548,ctaNombre,0))),"⚠ Destino no registrado",IF(AND(P548="Pago tarjeta",AE548&lt;&gt;"Tarjeta de crédito"),"⚠ El destino debe ser tarjeta de crédito",IF(AND(P548="Gasto",E548="Depósitos y retiros"),"⚠ Usa tipo Transferencia",IF(AND(P548="Resultado trading",AD548&lt;&gt;"Cuenta de trading"),"⚠ Usa una cuenta de trading",IF(AND(G548&lt;=0,P548&lt;&gt;"Ajuste",P548&lt;&gt;"Resultado trading"),"⚠ El monto debe ser positivo","✓")))))))))))))))</f>
        <v/>
      </c>
      <c r="P548" s="52">
        <f>IF(OR(B548="",G548=""),"",IF(C548="","Gasto",C548))</f>
        <v/>
      </c>
      <c r="Q548" s="52">
        <f>IF(P548="","",IF(J548&lt;&gt;"",J548,CuentaPred&amp;""))</f>
        <v/>
      </c>
      <c r="R548" s="52">
        <f>IF(P548="","",IF(ISNUMBER(I548),I548,TasaUSD))</f>
        <v/>
      </c>
      <c r="S548" s="53">
        <f>IF(P548="","",IF(H548="USD",G548*R548,G548))</f>
        <v/>
      </c>
      <c r="T548" s="53">
        <f>IF(P548="","",IF(H548="USD",G548,IF(R548&gt;0,G548/R548,0)))</f>
        <v/>
      </c>
      <c r="U548" s="53">
        <f>IF(P548="","",IF(P548="Gasto",S548,IF(P548="Reembolso",-S548,0)))</f>
        <v/>
      </c>
      <c r="V548" s="53">
        <f>IF(P548="","",IF(P548="Ingreso",S548,0))</f>
        <v/>
      </c>
      <c r="W548" s="53">
        <f>IF(P548="","",IF(P548="Resultado trading",S548,0))</f>
        <v/>
      </c>
      <c r="X548" s="52">
        <f>IF(OR(P548="Gasto",P548="Reembolso"),IF(M548&lt;&gt;"",M548,IFERROR(INDEX(catClasif,MATCH(D548&amp;"|"&amp;E548,catClave,0))&amp;"","Variable")),"")</f>
        <v/>
      </c>
      <c r="Y548" s="52">
        <f>IF(P548="","",IFERROR(INDEX(catGrupo,MATCH(D548&amp;"|"&amp;E548,catClave,0))&amp;"",""))</f>
        <v/>
      </c>
      <c r="Z548" s="52">
        <f>IF(P548="","",WEEKDAY(B548,2))</f>
        <v/>
      </c>
      <c r="AA548" s="52">
        <f>IF(P548="","",IF(AND(P548="Gasto",X548="Variable",D548&lt;&gt;catTrading,S548&gt;0,S548&lt;=Umbral),1,0))</f>
        <v/>
      </c>
      <c r="AB548" s="52">
        <f>IF(OR(P548="",Q548=""),"",IFERROR(IF(INDEX(ctaVinc,MATCH(Q548,ctaNombre,0))&amp;""&lt;&gt;"",INDEX(ctaVinc,MATCH(Q548,ctaNombre,0))&amp;"",Q548),Q548))</f>
        <v/>
      </c>
      <c r="AC548" s="52">
        <f>IF(OR(K548="",AND(P548&lt;&gt;"Transferencia",P548&lt;&gt;"Pago tarjeta")),"",IFERROR(IF(INDEX(ctaVinc,MATCH(K548,ctaNombre,0))&amp;""&lt;&gt;"",INDEX(ctaVinc,MATCH(K548,ctaNombre,0))&amp;"",K548),K548))</f>
        <v/>
      </c>
      <c r="AD548" s="52">
        <f>IF(AB548="","",IFERROR(INDEX(ctaTipo,MATCH(AB548,ctaNombre,0))&amp;"",""))</f>
        <v/>
      </c>
      <c r="AE548" s="52">
        <f>IF(AC548="","",IFERROR(INDEX(ctaTipo,MATCH(AC548,ctaNombre,0))&amp;"",""))</f>
        <v/>
      </c>
      <c r="AF548" s="53">
        <f>IF(OR(P548="",AB548=""),"",IF(OR(P548="Gasto",P548="Transferencia",P548="Pago tarjeta"),-1,1)*IF(IFERROR(INDEX(ctaMoneda,MATCH(AB548,ctaNombre,0))&amp;"","DOP")="USD",T548,S548))</f>
        <v/>
      </c>
      <c r="AG548" s="53">
        <f>IF(AC548="","",IF(IFERROR(INDEX(ctaMoneda,MATCH(AC548,ctaNombre,0))&amp;"","DOP")="USD",T548,S548))</f>
        <v/>
      </c>
      <c r="AH548" s="53">
        <f>IF(P548="","",IF(AND(AD548&lt;&gt;"",COUNTIFS(tcTipo,AD548,tcLiq,"Sí")&gt;0),IF(OR(P548="Gasto",P548="Transferencia",P548="Pago tarjeta"),-1,1)*S548,0)+IF(AND(AE548&lt;&gt;"",COUNTIFS(tcTipo,AE548,tcLiq,"Sí")&gt;0),S548,0))</f>
        <v/>
      </c>
      <c r="AI548" s="52">
        <f>IF(OR(L548="",P548=""),"",IF(COUNTIFS(L$6:L548,L548,P$6:P548,"?*")=1,MAX(AI$5:AI547)+1,""))</f>
        <v/>
      </c>
    </row>
    <row r="549">
      <c r="B549" s="47" t="n"/>
      <c r="C549" s="48" t="n"/>
      <c r="D549" s="48" t="n"/>
      <c r="E549" s="48" t="n"/>
      <c r="F549" s="48" t="n"/>
      <c r="G549" s="49" t="n"/>
      <c r="H549" s="48" t="n"/>
      <c r="I549" s="50" t="n"/>
      <c r="J549" s="48" t="n"/>
      <c r="K549" s="48" t="n"/>
      <c r="L549" s="48" t="n"/>
      <c r="M549" s="48" t="n"/>
      <c r="N549" s="48" t="n"/>
      <c r="O549" s="51">
        <f>IF(AND(B549="",G549="",C549="",D549="",J549=""),"",IF(B549="","⚠ Falta fecha",IF(G549="","⚠ Falta monto",IF(Q549="","⚠ Falta cuenta",IF(ISNA(MATCH(Q549,ctaNombre,0)),"⚠ Cuenta no registrada",IF(AND(OR(P549="Gasto",P549="Reembolso"),D549=""),"⚠ Falta categoría",IF(AND(D549&lt;&gt;"",E549&lt;&gt;"",ISNA(MATCH(D549&amp;"|"&amp;E549,catClave,0))),"⚠ Subcategoría no corresponde",IF(AND(OR(P549="Transferencia",P549="Pago tarjeta"),K549=""),"⚠ Falta cuenta destino",IF(AND(K549&lt;&gt;"",P549&lt;&gt;"Transferencia",P549&lt;&gt;"Pago tarjeta"),"⚠ Destino solo aplica a transferencias",IF(AND(K549&lt;&gt;"",K549=Q549),"⚠ Origen igual a destino",IF(AND(K549&lt;&gt;"",ISNA(MATCH(K549,ctaNombre,0))),"⚠ Destino no registrado",IF(AND(P549="Pago tarjeta",AE549&lt;&gt;"Tarjeta de crédito"),"⚠ El destino debe ser tarjeta de crédito",IF(AND(P549="Gasto",E549="Depósitos y retiros"),"⚠ Usa tipo Transferencia",IF(AND(P549="Resultado trading",AD549&lt;&gt;"Cuenta de trading"),"⚠ Usa una cuenta de trading",IF(AND(G549&lt;=0,P549&lt;&gt;"Ajuste",P549&lt;&gt;"Resultado trading"),"⚠ El monto debe ser positivo","✓")))))))))))))))</f>
        <v/>
      </c>
      <c r="P549" s="52">
        <f>IF(OR(B549="",G549=""),"",IF(C549="","Gasto",C549))</f>
        <v/>
      </c>
      <c r="Q549" s="52">
        <f>IF(P549="","",IF(J549&lt;&gt;"",J549,CuentaPred&amp;""))</f>
        <v/>
      </c>
      <c r="R549" s="52">
        <f>IF(P549="","",IF(ISNUMBER(I549),I549,TasaUSD))</f>
        <v/>
      </c>
      <c r="S549" s="53">
        <f>IF(P549="","",IF(H549="USD",G549*R549,G549))</f>
        <v/>
      </c>
      <c r="T549" s="53">
        <f>IF(P549="","",IF(H549="USD",G549,IF(R549&gt;0,G549/R549,0)))</f>
        <v/>
      </c>
      <c r="U549" s="53">
        <f>IF(P549="","",IF(P549="Gasto",S549,IF(P549="Reembolso",-S549,0)))</f>
        <v/>
      </c>
      <c r="V549" s="53">
        <f>IF(P549="","",IF(P549="Ingreso",S549,0))</f>
        <v/>
      </c>
      <c r="W549" s="53">
        <f>IF(P549="","",IF(P549="Resultado trading",S549,0))</f>
        <v/>
      </c>
      <c r="X549" s="52">
        <f>IF(OR(P549="Gasto",P549="Reembolso"),IF(M549&lt;&gt;"",M549,IFERROR(INDEX(catClasif,MATCH(D549&amp;"|"&amp;E549,catClave,0))&amp;"","Variable")),"")</f>
        <v/>
      </c>
      <c r="Y549" s="52">
        <f>IF(P549="","",IFERROR(INDEX(catGrupo,MATCH(D549&amp;"|"&amp;E549,catClave,0))&amp;"",""))</f>
        <v/>
      </c>
      <c r="Z549" s="52">
        <f>IF(P549="","",WEEKDAY(B549,2))</f>
        <v/>
      </c>
      <c r="AA549" s="52">
        <f>IF(P549="","",IF(AND(P549="Gasto",X549="Variable",D549&lt;&gt;catTrading,S549&gt;0,S549&lt;=Umbral),1,0))</f>
        <v/>
      </c>
      <c r="AB549" s="52">
        <f>IF(OR(P549="",Q549=""),"",IFERROR(IF(INDEX(ctaVinc,MATCH(Q549,ctaNombre,0))&amp;""&lt;&gt;"",INDEX(ctaVinc,MATCH(Q549,ctaNombre,0))&amp;"",Q549),Q549))</f>
        <v/>
      </c>
      <c r="AC549" s="52">
        <f>IF(OR(K549="",AND(P549&lt;&gt;"Transferencia",P549&lt;&gt;"Pago tarjeta")),"",IFERROR(IF(INDEX(ctaVinc,MATCH(K549,ctaNombre,0))&amp;""&lt;&gt;"",INDEX(ctaVinc,MATCH(K549,ctaNombre,0))&amp;"",K549),K549))</f>
        <v/>
      </c>
      <c r="AD549" s="52">
        <f>IF(AB549="","",IFERROR(INDEX(ctaTipo,MATCH(AB549,ctaNombre,0))&amp;"",""))</f>
        <v/>
      </c>
      <c r="AE549" s="52">
        <f>IF(AC549="","",IFERROR(INDEX(ctaTipo,MATCH(AC549,ctaNombre,0))&amp;"",""))</f>
        <v/>
      </c>
      <c r="AF549" s="53">
        <f>IF(OR(P549="",AB549=""),"",IF(OR(P549="Gasto",P549="Transferencia",P549="Pago tarjeta"),-1,1)*IF(IFERROR(INDEX(ctaMoneda,MATCH(AB549,ctaNombre,0))&amp;"","DOP")="USD",T549,S549))</f>
        <v/>
      </c>
      <c r="AG549" s="53">
        <f>IF(AC549="","",IF(IFERROR(INDEX(ctaMoneda,MATCH(AC549,ctaNombre,0))&amp;"","DOP")="USD",T549,S549))</f>
        <v/>
      </c>
      <c r="AH549" s="53">
        <f>IF(P549="","",IF(AND(AD549&lt;&gt;"",COUNTIFS(tcTipo,AD549,tcLiq,"Sí")&gt;0),IF(OR(P549="Gasto",P549="Transferencia",P549="Pago tarjeta"),-1,1)*S549,0)+IF(AND(AE549&lt;&gt;"",COUNTIFS(tcTipo,AE549,tcLiq,"Sí")&gt;0),S549,0))</f>
        <v/>
      </c>
      <c r="AI549" s="52">
        <f>IF(OR(L549="",P549=""),"",IF(COUNTIFS(L$6:L549,L549,P$6:P549,"?*")=1,MAX(AI$5:AI548)+1,""))</f>
        <v/>
      </c>
    </row>
    <row r="550">
      <c r="B550" s="47" t="n"/>
      <c r="C550" s="48" t="n"/>
      <c r="D550" s="48" t="n"/>
      <c r="E550" s="48" t="n"/>
      <c r="F550" s="48" t="n"/>
      <c r="G550" s="49" t="n"/>
      <c r="H550" s="48" t="n"/>
      <c r="I550" s="50" t="n"/>
      <c r="J550" s="48" t="n"/>
      <c r="K550" s="48" t="n"/>
      <c r="L550" s="48" t="n"/>
      <c r="M550" s="48" t="n"/>
      <c r="N550" s="48" t="n"/>
      <c r="O550" s="51">
        <f>IF(AND(B550="",G550="",C550="",D550="",J550=""),"",IF(B550="","⚠ Falta fecha",IF(G550="","⚠ Falta monto",IF(Q550="","⚠ Falta cuenta",IF(ISNA(MATCH(Q550,ctaNombre,0)),"⚠ Cuenta no registrada",IF(AND(OR(P550="Gasto",P550="Reembolso"),D550=""),"⚠ Falta categoría",IF(AND(D550&lt;&gt;"",E550&lt;&gt;"",ISNA(MATCH(D550&amp;"|"&amp;E550,catClave,0))),"⚠ Subcategoría no corresponde",IF(AND(OR(P550="Transferencia",P550="Pago tarjeta"),K550=""),"⚠ Falta cuenta destino",IF(AND(K550&lt;&gt;"",P550&lt;&gt;"Transferencia",P550&lt;&gt;"Pago tarjeta"),"⚠ Destino solo aplica a transferencias",IF(AND(K550&lt;&gt;"",K550=Q550),"⚠ Origen igual a destino",IF(AND(K550&lt;&gt;"",ISNA(MATCH(K550,ctaNombre,0))),"⚠ Destino no registrado",IF(AND(P550="Pago tarjeta",AE550&lt;&gt;"Tarjeta de crédito"),"⚠ El destino debe ser tarjeta de crédito",IF(AND(P550="Gasto",E550="Depósitos y retiros"),"⚠ Usa tipo Transferencia",IF(AND(P550="Resultado trading",AD550&lt;&gt;"Cuenta de trading"),"⚠ Usa una cuenta de trading",IF(AND(G550&lt;=0,P550&lt;&gt;"Ajuste",P550&lt;&gt;"Resultado trading"),"⚠ El monto debe ser positivo","✓")))))))))))))))</f>
        <v/>
      </c>
      <c r="P550" s="52">
        <f>IF(OR(B550="",G550=""),"",IF(C550="","Gasto",C550))</f>
        <v/>
      </c>
      <c r="Q550" s="52">
        <f>IF(P550="","",IF(J550&lt;&gt;"",J550,CuentaPred&amp;""))</f>
        <v/>
      </c>
      <c r="R550" s="52">
        <f>IF(P550="","",IF(ISNUMBER(I550),I550,TasaUSD))</f>
        <v/>
      </c>
      <c r="S550" s="53">
        <f>IF(P550="","",IF(H550="USD",G550*R550,G550))</f>
        <v/>
      </c>
      <c r="T550" s="53">
        <f>IF(P550="","",IF(H550="USD",G550,IF(R550&gt;0,G550/R550,0)))</f>
        <v/>
      </c>
      <c r="U550" s="53">
        <f>IF(P550="","",IF(P550="Gasto",S550,IF(P550="Reembolso",-S550,0)))</f>
        <v/>
      </c>
      <c r="V550" s="53">
        <f>IF(P550="","",IF(P550="Ingreso",S550,0))</f>
        <v/>
      </c>
      <c r="W550" s="53">
        <f>IF(P550="","",IF(P550="Resultado trading",S550,0))</f>
        <v/>
      </c>
      <c r="X550" s="52">
        <f>IF(OR(P550="Gasto",P550="Reembolso"),IF(M550&lt;&gt;"",M550,IFERROR(INDEX(catClasif,MATCH(D550&amp;"|"&amp;E550,catClave,0))&amp;"","Variable")),"")</f>
        <v/>
      </c>
      <c r="Y550" s="52">
        <f>IF(P550="","",IFERROR(INDEX(catGrupo,MATCH(D550&amp;"|"&amp;E550,catClave,0))&amp;"",""))</f>
        <v/>
      </c>
      <c r="Z550" s="52">
        <f>IF(P550="","",WEEKDAY(B550,2))</f>
        <v/>
      </c>
      <c r="AA550" s="52">
        <f>IF(P550="","",IF(AND(P550="Gasto",X550="Variable",D550&lt;&gt;catTrading,S550&gt;0,S550&lt;=Umbral),1,0))</f>
        <v/>
      </c>
      <c r="AB550" s="52">
        <f>IF(OR(P550="",Q550=""),"",IFERROR(IF(INDEX(ctaVinc,MATCH(Q550,ctaNombre,0))&amp;""&lt;&gt;"",INDEX(ctaVinc,MATCH(Q550,ctaNombre,0))&amp;"",Q550),Q550))</f>
        <v/>
      </c>
      <c r="AC550" s="52">
        <f>IF(OR(K550="",AND(P550&lt;&gt;"Transferencia",P550&lt;&gt;"Pago tarjeta")),"",IFERROR(IF(INDEX(ctaVinc,MATCH(K550,ctaNombre,0))&amp;""&lt;&gt;"",INDEX(ctaVinc,MATCH(K550,ctaNombre,0))&amp;"",K550),K550))</f>
        <v/>
      </c>
      <c r="AD550" s="52">
        <f>IF(AB550="","",IFERROR(INDEX(ctaTipo,MATCH(AB550,ctaNombre,0))&amp;"",""))</f>
        <v/>
      </c>
      <c r="AE550" s="52">
        <f>IF(AC550="","",IFERROR(INDEX(ctaTipo,MATCH(AC550,ctaNombre,0))&amp;"",""))</f>
        <v/>
      </c>
      <c r="AF550" s="53">
        <f>IF(OR(P550="",AB550=""),"",IF(OR(P550="Gasto",P550="Transferencia",P550="Pago tarjeta"),-1,1)*IF(IFERROR(INDEX(ctaMoneda,MATCH(AB550,ctaNombre,0))&amp;"","DOP")="USD",T550,S550))</f>
        <v/>
      </c>
      <c r="AG550" s="53">
        <f>IF(AC550="","",IF(IFERROR(INDEX(ctaMoneda,MATCH(AC550,ctaNombre,0))&amp;"","DOP")="USD",T550,S550))</f>
        <v/>
      </c>
      <c r="AH550" s="53">
        <f>IF(P550="","",IF(AND(AD550&lt;&gt;"",COUNTIFS(tcTipo,AD550,tcLiq,"Sí")&gt;0),IF(OR(P550="Gasto",P550="Transferencia",P550="Pago tarjeta"),-1,1)*S550,0)+IF(AND(AE550&lt;&gt;"",COUNTIFS(tcTipo,AE550,tcLiq,"Sí")&gt;0),S550,0))</f>
        <v/>
      </c>
      <c r="AI550" s="52">
        <f>IF(OR(L550="",P550=""),"",IF(COUNTIFS(L$6:L550,L550,P$6:P550,"?*")=1,MAX(AI$5:AI549)+1,""))</f>
        <v/>
      </c>
    </row>
    <row r="551">
      <c r="B551" s="47" t="n"/>
      <c r="C551" s="48" t="n"/>
      <c r="D551" s="48" t="n"/>
      <c r="E551" s="48" t="n"/>
      <c r="F551" s="48" t="n"/>
      <c r="G551" s="49" t="n"/>
      <c r="H551" s="48" t="n"/>
      <c r="I551" s="50" t="n"/>
      <c r="J551" s="48" t="n"/>
      <c r="K551" s="48" t="n"/>
      <c r="L551" s="48" t="n"/>
      <c r="M551" s="48" t="n"/>
      <c r="N551" s="48" t="n"/>
      <c r="O551" s="51">
        <f>IF(AND(B551="",G551="",C551="",D551="",J551=""),"",IF(B551="","⚠ Falta fecha",IF(G551="","⚠ Falta monto",IF(Q551="","⚠ Falta cuenta",IF(ISNA(MATCH(Q551,ctaNombre,0)),"⚠ Cuenta no registrada",IF(AND(OR(P551="Gasto",P551="Reembolso"),D551=""),"⚠ Falta categoría",IF(AND(D551&lt;&gt;"",E551&lt;&gt;"",ISNA(MATCH(D551&amp;"|"&amp;E551,catClave,0))),"⚠ Subcategoría no corresponde",IF(AND(OR(P551="Transferencia",P551="Pago tarjeta"),K551=""),"⚠ Falta cuenta destino",IF(AND(K551&lt;&gt;"",P551&lt;&gt;"Transferencia",P551&lt;&gt;"Pago tarjeta"),"⚠ Destino solo aplica a transferencias",IF(AND(K551&lt;&gt;"",K551=Q551),"⚠ Origen igual a destino",IF(AND(K551&lt;&gt;"",ISNA(MATCH(K551,ctaNombre,0))),"⚠ Destino no registrado",IF(AND(P551="Pago tarjeta",AE551&lt;&gt;"Tarjeta de crédito"),"⚠ El destino debe ser tarjeta de crédito",IF(AND(P551="Gasto",E551="Depósitos y retiros"),"⚠ Usa tipo Transferencia",IF(AND(P551="Resultado trading",AD551&lt;&gt;"Cuenta de trading"),"⚠ Usa una cuenta de trading",IF(AND(G551&lt;=0,P551&lt;&gt;"Ajuste",P551&lt;&gt;"Resultado trading"),"⚠ El monto debe ser positivo","✓")))))))))))))))</f>
        <v/>
      </c>
      <c r="P551" s="52">
        <f>IF(OR(B551="",G551=""),"",IF(C551="","Gasto",C551))</f>
        <v/>
      </c>
      <c r="Q551" s="52">
        <f>IF(P551="","",IF(J551&lt;&gt;"",J551,CuentaPred&amp;""))</f>
        <v/>
      </c>
      <c r="R551" s="52">
        <f>IF(P551="","",IF(ISNUMBER(I551),I551,TasaUSD))</f>
        <v/>
      </c>
      <c r="S551" s="53">
        <f>IF(P551="","",IF(H551="USD",G551*R551,G551))</f>
        <v/>
      </c>
      <c r="T551" s="53">
        <f>IF(P551="","",IF(H551="USD",G551,IF(R551&gt;0,G551/R551,0)))</f>
        <v/>
      </c>
      <c r="U551" s="53">
        <f>IF(P551="","",IF(P551="Gasto",S551,IF(P551="Reembolso",-S551,0)))</f>
        <v/>
      </c>
      <c r="V551" s="53">
        <f>IF(P551="","",IF(P551="Ingreso",S551,0))</f>
        <v/>
      </c>
      <c r="W551" s="53">
        <f>IF(P551="","",IF(P551="Resultado trading",S551,0))</f>
        <v/>
      </c>
      <c r="X551" s="52">
        <f>IF(OR(P551="Gasto",P551="Reembolso"),IF(M551&lt;&gt;"",M551,IFERROR(INDEX(catClasif,MATCH(D551&amp;"|"&amp;E551,catClave,0))&amp;"","Variable")),"")</f>
        <v/>
      </c>
      <c r="Y551" s="52">
        <f>IF(P551="","",IFERROR(INDEX(catGrupo,MATCH(D551&amp;"|"&amp;E551,catClave,0))&amp;"",""))</f>
        <v/>
      </c>
      <c r="Z551" s="52">
        <f>IF(P551="","",WEEKDAY(B551,2))</f>
        <v/>
      </c>
      <c r="AA551" s="52">
        <f>IF(P551="","",IF(AND(P551="Gasto",X551="Variable",D551&lt;&gt;catTrading,S551&gt;0,S551&lt;=Umbral),1,0))</f>
        <v/>
      </c>
      <c r="AB551" s="52">
        <f>IF(OR(P551="",Q551=""),"",IFERROR(IF(INDEX(ctaVinc,MATCH(Q551,ctaNombre,0))&amp;""&lt;&gt;"",INDEX(ctaVinc,MATCH(Q551,ctaNombre,0))&amp;"",Q551),Q551))</f>
        <v/>
      </c>
      <c r="AC551" s="52">
        <f>IF(OR(K551="",AND(P551&lt;&gt;"Transferencia",P551&lt;&gt;"Pago tarjeta")),"",IFERROR(IF(INDEX(ctaVinc,MATCH(K551,ctaNombre,0))&amp;""&lt;&gt;"",INDEX(ctaVinc,MATCH(K551,ctaNombre,0))&amp;"",K551),K551))</f>
        <v/>
      </c>
      <c r="AD551" s="52">
        <f>IF(AB551="","",IFERROR(INDEX(ctaTipo,MATCH(AB551,ctaNombre,0))&amp;"",""))</f>
        <v/>
      </c>
      <c r="AE551" s="52">
        <f>IF(AC551="","",IFERROR(INDEX(ctaTipo,MATCH(AC551,ctaNombre,0))&amp;"",""))</f>
        <v/>
      </c>
      <c r="AF551" s="53">
        <f>IF(OR(P551="",AB551=""),"",IF(OR(P551="Gasto",P551="Transferencia",P551="Pago tarjeta"),-1,1)*IF(IFERROR(INDEX(ctaMoneda,MATCH(AB551,ctaNombre,0))&amp;"","DOP")="USD",T551,S551))</f>
        <v/>
      </c>
      <c r="AG551" s="53">
        <f>IF(AC551="","",IF(IFERROR(INDEX(ctaMoneda,MATCH(AC551,ctaNombre,0))&amp;"","DOP")="USD",T551,S551))</f>
        <v/>
      </c>
      <c r="AH551" s="53">
        <f>IF(P551="","",IF(AND(AD551&lt;&gt;"",COUNTIFS(tcTipo,AD551,tcLiq,"Sí")&gt;0),IF(OR(P551="Gasto",P551="Transferencia",P551="Pago tarjeta"),-1,1)*S551,0)+IF(AND(AE551&lt;&gt;"",COUNTIFS(tcTipo,AE551,tcLiq,"Sí")&gt;0),S551,0))</f>
        <v/>
      </c>
      <c r="AI551" s="52">
        <f>IF(OR(L551="",P551=""),"",IF(COUNTIFS(L$6:L551,L551,P$6:P551,"?*")=1,MAX(AI$5:AI550)+1,""))</f>
        <v/>
      </c>
    </row>
    <row r="552">
      <c r="B552" s="47" t="n"/>
      <c r="C552" s="48" t="n"/>
      <c r="D552" s="48" t="n"/>
      <c r="E552" s="48" t="n"/>
      <c r="F552" s="48" t="n"/>
      <c r="G552" s="49" t="n"/>
      <c r="H552" s="48" t="n"/>
      <c r="I552" s="50" t="n"/>
      <c r="J552" s="48" t="n"/>
      <c r="K552" s="48" t="n"/>
      <c r="L552" s="48" t="n"/>
      <c r="M552" s="48" t="n"/>
      <c r="N552" s="48" t="n"/>
      <c r="O552" s="51">
        <f>IF(AND(B552="",G552="",C552="",D552="",J552=""),"",IF(B552="","⚠ Falta fecha",IF(G552="","⚠ Falta monto",IF(Q552="","⚠ Falta cuenta",IF(ISNA(MATCH(Q552,ctaNombre,0)),"⚠ Cuenta no registrada",IF(AND(OR(P552="Gasto",P552="Reembolso"),D552=""),"⚠ Falta categoría",IF(AND(D552&lt;&gt;"",E552&lt;&gt;"",ISNA(MATCH(D552&amp;"|"&amp;E552,catClave,0))),"⚠ Subcategoría no corresponde",IF(AND(OR(P552="Transferencia",P552="Pago tarjeta"),K552=""),"⚠ Falta cuenta destino",IF(AND(K552&lt;&gt;"",P552&lt;&gt;"Transferencia",P552&lt;&gt;"Pago tarjeta"),"⚠ Destino solo aplica a transferencias",IF(AND(K552&lt;&gt;"",K552=Q552),"⚠ Origen igual a destino",IF(AND(K552&lt;&gt;"",ISNA(MATCH(K552,ctaNombre,0))),"⚠ Destino no registrado",IF(AND(P552="Pago tarjeta",AE552&lt;&gt;"Tarjeta de crédito"),"⚠ El destino debe ser tarjeta de crédito",IF(AND(P552="Gasto",E552="Depósitos y retiros"),"⚠ Usa tipo Transferencia",IF(AND(P552="Resultado trading",AD552&lt;&gt;"Cuenta de trading"),"⚠ Usa una cuenta de trading",IF(AND(G552&lt;=0,P552&lt;&gt;"Ajuste",P552&lt;&gt;"Resultado trading"),"⚠ El monto debe ser positivo","✓")))))))))))))))</f>
        <v/>
      </c>
      <c r="P552" s="52">
        <f>IF(OR(B552="",G552=""),"",IF(C552="","Gasto",C552))</f>
        <v/>
      </c>
      <c r="Q552" s="52">
        <f>IF(P552="","",IF(J552&lt;&gt;"",J552,CuentaPred&amp;""))</f>
        <v/>
      </c>
      <c r="R552" s="52">
        <f>IF(P552="","",IF(ISNUMBER(I552),I552,TasaUSD))</f>
        <v/>
      </c>
      <c r="S552" s="53">
        <f>IF(P552="","",IF(H552="USD",G552*R552,G552))</f>
        <v/>
      </c>
      <c r="T552" s="53">
        <f>IF(P552="","",IF(H552="USD",G552,IF(R552&gt;0,G552/R552,0)))</f>
        <v/>
      </c>
      <c r="U552" s="53">
        <f>IF(P552="","",IF(P552="Gasto",S552,IF(P552="Reembolso",-S552,0)))</f>
        <v/>
      </c>
      <c r="V552" s="53">
        <f>IF(P552="","",IF(P552="Ingreso",S552,0))</f>
        <v/>
      </c>
      <c r="W552" s="53">
        <f>IF(P552="","",IF(P552="Resultado trading",S552,0))</f>
        <v/>
      </c>
      <c r="X552" s="52">
        <f>IF(OR(P552="Gasto",P552="Reembolso"),IF(M552&lt;&gt;"",M552,IFERROR(INDEX(catClasif,MATCH(D552&amp;"|"&amp;E552,catClave,0))&amp;"","Variable")),"")</f>
        <v/>
      </c>
      <c r="Y552" s="52">
        <f>IF(P552="","",IFERROR(INDEX(catGrupo,MATCH(D552&amp;"|"&amp;E552,catClave,0))&amp;"",""))</f>
        <v/>
      </c>
      <c r="Z552" s="52">
        <f>IF(P552="","",WEEKDAY(B552,2))</f>
        <v/>
      </c>
      <c r="AA552" s="52">
        <f>IF(P552="","",IF(AND(P552="Gasto",X552="Variable",D552&lt;&gt;catTrading,S552&gt;0,S552&lt;=Umbral),1,0))</f>
        <v/>
      </c>
      <c r="AB552" s="52">
        <f>IF(OR(P552="",Q552=""),"",IFERROR(IF(INDEX(ctaVinc,MATCH(Q552,ctaNombre,0))&amp;""&lt;&gt;"",INDEX(ctaVinc,MATCH(Q552,ctaNombre,0))&amp;"",Q552),Q552))</f>
        <v/>
      </c>
      <c r="AC552" s="52">
        <f>IF(OR(K552="",AND(P552&lt;&gt;"Transferencia",P552&lt;&gt;"Pago tarjeta")),"",IFERROR(IF(INDEX(ctaVinc,MATCH(K552,ctaNombre,0))&amp;""&lt;&gt;"",INDEX(ctaVinc,MATCH(K552,ctaNombre,0))&amp;"",K552),K552))</f>
        <v/>
      </c>
      <c r="AD552" s="52">
        <f>IF(AB552="","",IFERROR(INDEX(ctaTipo,MATCH(AB552,ctaNombre,0))&amp;"",""))</f>
        <v/>
      </c>
      <c r="AE552" s="52">
        <f>IF(AC552="","",IFERROR(INDEX(ctaTipo,MATCH(AC552,ctaNombre,0))&amp;"",""))</f>
        <v/>
      </c>
      <c r="AF552" s="53">
        <f>IF(OR(P552="",AB552=""),"",IF(OR(P552="Gasto",P552="Transferencia",P552="Pago tarjeta"),-1,1)*IF(IFERROR(INDEX(ctaMoneda,MATCH(AB552,ctaNombre,0))&amp;"","DOP")="USD",T552,S552))</f>
        <v/>
      </c>
      <c r="AG552" s="53">
        <f>IF(AC552="","",IF(IFERROR(INDEX(ctaMoneda,MATCH(AC552,ctaNombre,0))&amp;"","DOP")="USD",T552,S552))</f>
        <v/>
      </c>
      <c r="AH552" s="53">
        <f>IF(P552="","",IF(AND(AD552&lt;&gt;"",COUNTIFS(tcTipo,AD552,tcLiq,"Sí")&gt;0),IF(OR(P552="Gasto",P552="Transferencia",P552="Pago tarjeta"),-1,1)*S552,0)+IF(AND(AE552&lt;&gt;"",COUNTIFS(tcTipo,AE552,tcLiq,"Sí")&gt;0),S552,0))</f>
        <v/>
      </c>
      <c r="AI552" s="52">
        <f>IF(OR(L552="",P552=""),"",IF(COUNTIFS(L$6:L552,L552,P$6:P552,"?*")=1,MAX(AI$5:AI551)+1,""))</f>
        <v/>
      </c>
    </row>
    <row r="553">
      <c r="B553" s="47" t="n"/>
      <c r="C553" s="48" t="n"/>
      <c r="D553" s="48" t="n"/>
      <c r="E553" s="48" t="n"/>
      <c r="F553" s="48" t="n"/>
      <c r="G553" s="49" t="n"/>
      <c r="H553" s="48" t="n"/>
      <c r="I553" s="50" t="n"/>
      <c r="J553" s="48" t="n"/>
      <c r="K553" s="48" t="n"/>
      <c r="L553" s="48" t="n"/>
      <c r="M553" s="48" t="n"/>
      <c r="N553" s="48" t="n"/>
      <c r="O553" s="51">
        <f>IF(AND(B553="",G553="",C553="",D553="",J553=""),"",IF(B553="","⚠ Falta fecha",IF(G553="","⚠ Falta monto",IF(Q553="","⚠ Falta cuenta",IF(ISNA(MATCH(Q553,ctaNombre,0)),"⚠ Cuenta no registrada",IF(AND(OR(P553="Gasto",P553="Reembolso"),D553=""),"⚠ Falta categoría",IF(AND(D553&lt;&gt;"",E553&lt;&gt;"",ISNA(MATCH(D553&amp;"|"&amp;E553,catClave,0))),"⚠ Subcategoría no corresponde",IF(AND(OR(P553="Transferencia",P553="Pago tarjeta"),K553=""),"⚠ Falta cuenta destino",IF(AND(K553&lt;&gt;"",P553&lt;&gt;"Transferencia",P553&lt;&gt;"Pago tarjeta"),"⚠ Destino solo aplica a transferencias",IF(AND(K553&lt;&gt;"",K553=Q553),"⚠ Origen igual a destino",IF(AND(K553&lt;&gt;"",ISNA(MATCH(K553,ctaNombre,0))),"⚠ Destino no registrado",IF(AND(P553="Pago tarjeta",AE553&lt;&gt;"Tarjeta de crédito"),"⚠ El destino debe ser tarjeta de crédito",IF(AND(P553="Gasto",E553="Depósitos y retiros"),"⚠ Usa tipo Transferencia",IF(AND(P553="Resultado trading",AD553&lt;&gt;"Cuenta de trading"),"⚠ Usa una cuenta de trading",IF(AND(G553&lt;=0,P553&lt;&gt;"Ajuste",P553&lt;&gt;"Resultado trading"),"⚠ El monto debe ser positivo","✓")))))))))))))))</f>
        <v/>
      </c>
      <c r="P553" s="52">
        <f>IF(OR(B553="",G553=""),"",IF(C553="","Gasto",C553))</f>
        <v/>
      </c>
      <c r="Q553" s="52">
        <f>IF(P553="","",IF(J553&lt;&gt;"",J553,CuentaPred&amp;""))</f>
        <v/>
      </c>
      <c r="R553" s="52">
        <f>IF(P553="","",IF(ISNUMBER(I553),I553,TasaUSD))</f>
        <v/>
      </c>
      <c r="S553" s="53">
        <f>IF(P553="","",IF(H553="USD",G553*R553,G553))</f>
        <v/>
      </c>
      <c r="T553" s="53">
        <f>IF(P553="","",IF(H553="USD",G553,IF(R553&gt;0,G553/R553,0)))</f>
        <v/>
      </c>
      <c r="U553" s="53">
        <f>IF(P553="","",IF(P553="Gasto",S553,IF(P553="Reembolso",-S553,0)))</f>
        <v/>
      </c>
      <c r="V553" s="53">
        <f>IF(P553="","",IF(P553="Ingreso",S553,0))</f>
        <v/>
      </c>
      <c r="W553" s="53">
        <f>IF(P553="","",IF(P553="Resultado trading",S553,0))</f>
        <v/>
      </c>
      <c r="X553" s="52">
        <f>IF(OR(P553="Gasto",P553="Reembolso"),IF(M553&lt;&gt;"",M553,IFERROR(INDEX(catClasif,MATCH(D553&amp;"|"&amp;E553,catClave,0))&amp;"","Variable")),"")</f>
        <v/>
      </c>
      <c r="Y553" s="52">
        <f>IF(P553="","",IFERROR(INDEX(catGrupo,MATCH(D553&amp;"|"&amp;E553,catClave,0))&amp;"",""))</f>
        <v/>
      </c>
      <c r="Z553" s="52">
        <f>IF(P553="","",WEEKDAY(B553,2))</f>
        <v/>
      </c>
      <c r="AA553" s="52">
        <f>IF(P553="","",IF(AND(P553="Gasto",X553="Variable",D553&lt;&gt;catTrading,S553&gt;0,S553&lt;=Umbral),1,0))</f>
        <v/>
      </c>
      <c r="AB553" s="52">
        <f>IF(OR(P553="",Q553=""),"",IFERROR(IF(INDEX(ctaVinc,MATCH(Q553,ctaNombre,0))&amp;""&lt;&gt;"",INDEX(ctaVinc,MATCH(Q553,ctaNombre,0))&amp;"",Q553),Q553))</f>
        <v/>
      </c>
      <c r="AC553" s="52">
        <f>IF(OR(K553="",AND(P553&lt;&gt;"Transferencia",P553&lt;&gt;"Pago tarjeta")),"",IFERROR(IF(INDEX(ctaVinc,MATCH(K553,ctaNombre,0))&amp;""&lt;&gt;"",INDEX(ctaVinc,MATCH(K553,ctaNombre,0))&amp;"",K553),K553))</f>
        <v/>
      </c>
      <c r="AD553" s="52">
        <f>IF(AB553="","",IFERROR(INDEX(ctaTipo,MATCH(AB553,ctaNombre,0))&amp;"",""))</f>
        <v/>
      </c>
      <c r="AE553" s="52">
        <f>IF(AC553="","",IFERROR(INDEX(ctaTipo,MATCH(AC553,ctaNombre,0))&amp;"",""))</f>
        <v/>
      </c>
      <c r="AF553" s="53">
        <f>IF(OR(P553="",AB553=""),"",IF(OR(P553="Gasto",P553="Transferencia",P553="Pago tarjeta"),-1,1)*IF(IFERROR(INDEX(ctaMoneda,MATCH(AB553,ctaNombre,0))&amp;"","DOP")="USD",T553,S553))</f>
        <v/>
      </c>
      <c r="AG553" s="53">
        <f>IF(AC553="","",IF(IFERROR(INDEX(ctaMoneda,MATCH(AC553,ctaNombre,0))&amp;"","DOP")="USD",T553,S553))</f>
        <v/>
      </c>
      <c r="AH553" s="53">
        <f>IF(P553="","",IF(AND(AD553&lt;&gt;"",COUNTIFS(tcTipo,AD553,tcLiq,"Sí")&gt;0),IF(OR(P553="Gasto",P553="Transferencia",P553="Pago tarjeta"),-1,1)*S553,0)+IF(AND(AE553&lt;&gt;"",COUNTIFS(tcTipo,AE553,tcLiq,"Sí")&gt;0),S553,0))</f>
        <v/>
      </c>
      <c r="AI553" s="52">
        <f>IF(OR(L553="",P553=""),"",IF(COUNTIFS(L$6:L553,L553,P$6:P553,"?*")=1,MAX(AI$5:AI552)+1,""))</f>
        <v/>
      </c>
    </row>
    <row r="554">
      <c r="B554" s="47" t="n"/>
      <c r="C554" s="48" t="n"/>
      <c r="D554" s="48" t="n"/>
      <c r="E554" s="48" t="n"/>
      <c r="F554" s="48" t="n"/>
      <c r="G554" s="49" t="n"/>
      <c r="H554" s="48" t="n"/>
      <c r="I554" s="50" t="n"/>
      <c r="J554" s="48" t="n"/>
      <c r="K554" s="48" t="n"/>
      <c r="L554" s="48" t="n"/>
      <c r="M554" s="48" t="n"/>
      <c r="N554" s="48" t="n"/>
      <c r="O554" s="51">
        <f>IF(AND(B554="",G554="",C554="",D554="",J554=""),"",IF(B554="","⚠ Falta fecha",IF(G554="","⚠ Falta monto",IF(Q554="","⚠ Falta cuenta",IF(ISNA(MATCH(Q554,ctaNombre,0)),"⚠ Cuenta no registrada",IF(AND(OR(P554="Gasto",P554="Reembolso"),D554=""),"⚠ Falta categoría",IF(AND(D554&lt;&gt;"",E554&lt;&gt;"",ISNA(MATCH(D554&amp;"|"&amp;E554,catClave,0))),"⚠ Subcategoría no corresponde",IF(AND(OR(P554="Transferencia",P554="Pago tarjeta"),K554=""),"⚠ Falta cuenta destino",IF(AND(K554&lt;&gt;"",P554&lt;&gt;"Transferencia",P554&lt;&gt;"Pago tarjeta"),"⚠ Destino solo aplica a transferencias",IF(AND(K554&lt;&gt;"",K554=Q554),"⚠ Origen igual a destino",IF(AND(K554&lt;&gt;"",ISNA(MATCH(K554,ctaNombre,0))),"⚠ Destino no registrado",IF(AND(P554="Pago tarjeta",AE554&lt;&gt;"Tarjeta de crédito"),"⚠ El destino debe ser tarjeta de crédito",IF(AND(P554="Gasto",E554="Depósitos y retiros"),"⚠ Usa tipo Transferencia",IF(AND(P554="Resultado trading",AD554&lt;&gt;"Cuenta de trading"),"⚠ Usa una cuenta de trading",IF(AND(G554&lt;=0,P554&lt;&gt;"Ajuste",P554&lt;&gt;"Resultado trading"),"⚠ El monto debe ser positivo","✓")))))))))))))))</f>
        <v/>
      </c>
      <c r="P554" s="52">
        <f>IF(OR(B554="",G554=""),"",IF(C554="","Gasto",C554))</f>
        <v/>
      </c>
      <c r="Q554" s="52">
        <f>IF(P554="","",IF(J554&lt;&gt;"",J554,CuentaPred&amp;""))</f>
        <v/>
      </c>
      <c r="R554" s="52">
        <f>IF(P554="","",IF(ISNUMBER(I554),I554,TasaUSD))</f>
        <v/>
      </c>
      <c r="S554" s="53">
        <f>IF(P554="","",IF(H554="USD",G554*R554,G554))</f>
        <v/>
      </c>
      <c r="T554" s="53">
        <f>IF(P554="","",IF(H554="USD",G554,IF(R554&gt;0,G554/R554,0)))</f>
        <v/>
      </c>
      <c r="U554" s="53">
        <f>IF(P554="","",IF(P554="Gasto",S554,IF(P554="Reembolso",-S554,0)))</f>
        <v/>
      </c>
      <c r="V554" s="53">
        <f>IF(P554="","",IF(P554="Ingreso",S554,0))</f>
        <v/>
      </c>
      <c r="W554" s="53">
        <f>IF(P554="","",IF(P554="Resultado trading",S554,0))</f>
        <v/>
      </c>
      <c r="X554" s="52">
        <f>IF(OR(P554="Gasto",P554="Reembolso"),IF(M554&lt;&gt;"",M554,IFERROR(INDEX(catClasif,MATCH(D554&amp;"|"&amp;E554,catClave,0))&amp;"","Variable")),"")</f>
        <v/>
      </c>
      <c r="Y554" s="52">
        <f>IF(P554="","",IFERROR(INDEX(catGrupo,MATCH(D554&amp;"|"&amp;E554,catClave,0))&amp;"",""))</f>
        <v/>
      </c>
      <c r="Z554" s="52">
        <f>IF(P554="","",WEEKDAY(B554,2))</f>
        <v/>
      </c>
      <c r="AA554" s="52">
        <f>IF(P554="","",IF(AND(P554="Gasto",X554="Variable",D554&lt;&gt;catTrading,S554&gt;0,S554&lt;=Umbral),1,0))</f>
        <v/>
      </c>
      <c r="AB554" s="52">
        <f>IF(OR(P554="",Q554=""),"",IFERROR(IF(INDEX(ctaVinc,MATCH(Q554,ctaNombre,0))&amp;""&lt;&gt;"",INDEX(ctaVinc,MATCH(Q554,ctaNombre,0))&amp;"",Q554),Q554))</f>
        <v/>
      </c>
      <c r="AC554" s="52">
        <f>IF(OR(K554="",AND(P554&lt;&gt;"Transferencia",P554&lt;&gt;"Pago tarjeta")),"",IFERROR(IF(INDEX(ctaVinc,MATCH(K554,ctaNombre,0))&amp;""&lt;&gt;"",INDEX(ctaVinc,MATCH(K554,ctaNombre,0))&amp;"",K554),K554))</f>
        <v/>
      </c>
      <c r="AD554" s="52">
        <f>IF(AB554="","",IFERROR(INDEX(ctaTipo,MATCH(AB554,ctaNombre,0))&amp;"",""))</f>
        <v/>
      </c>
      <c r="AE554" s="52">
        <f>IF(AC554="","",IFERROR(INDEX(ctaTipo,MATCH(AC554,ctaNombre,0))&amp;"",""))</f>
        <v/>
      </c>
      <c r="AF554" s="53">
        <f>IF(OR(P554="",AB554=""),"",IF(OR(P554="Gasto",P554="Transferencia",P554="Pago tarjeta"),-1,1)*IF(IFERROR(INDEX(ctaMoneda,MATCH(AB554,ctaNombre,0))&amp;"","DOP")="USD",T554,S554))</f>
        <v/>
      </c>
      <c r="AG554" s="53">
        <f>IF(AC554="","",IF(IFERROR(INDEX(ctaMoneda,MATCH(AC554,ctaNombre,0))&amp;"","DOP")="USD",T554,S554))</f>
        <v/>
      </c>
      <c r="AH554" s="53">
        <f>IF(P554="","",IF(AND(AD554&lt;&gt;"",COUNTIFS(tcTipo,AD554,tcLiq,"Sí")&gt;0),IF(OR(P554="Gasto",P554="Transferencia",P554="Pago tarjeta"),-1,1)*S554,0)+IF(AND(AE554&lt;&gt;"",COUNTIFS(tcTipo,AE554,tcLiq,"Sí")&gt;0),S554,0))</f>
        <v/>
      </c>
      <c r="AI554" s="52">
        <f>IF(OR(L554="",P554=""),"",IF(COUNTIFS(L$6:L554,L554,P$6:P554,"?*")=1,MAX(AI$5:AI553)+1,""))</f>
        <v/>
      </c>
    </row>
    <row r="555">
      <c r="B555" s="47" t="n"/>
      <c r="C555" s="48" t="n"/>
      <c r="D555" s="48" t="n"/>
      <c r="E555" s="48" t="n"/>
      <c r="F555" s="48" t="n"/>
      <c r="G555" s="49" t="n"/>
      <c r="H555" s="48" t="n"/>
      <c r="I555" s="50" t="n"/>
      <c r="J555" s="48" t="n"/>
      <c r="K555" s="48" t="n"/>
      <c r="L555" s="48" t="n"/>
      <c r="M555" s="48" t="n"/>
      <c r="N555" s="48" t="n"/>
      <c r="O555" s="51">
        <f>IF(AND(B555="",G555="",C555="",D555="",J555=""),"",IF(B555="","⚠ Falta fecha",IF(G555="","⚠ Falta monto",IF(Q555="","⚠ Falta cuenta",IF(ISNA(MATCH(Q555,ctaNombre,0)),"⚠ Cuenta no registrada",IF(AND(OR(P555="Gasto",P555="Reembolso"),D555=""),"⚠ Falta categoría",IF(AND(D555&lt;&gt;"",E555&lt;&gt;"",ISNA(MATCH(D555&amp;"|"&amp;E555,catClave,0))),"⚠ Subcategoría no corresponde",IF(AND(OR(P555="Transferencia",P555="Pago tarjeta"),K555=""),"⚠ Falta cuenta destino",IF(AND(K555&lt;&gt;"",P555&lt;&gt;"Transferencia",P555&lt;&gt;"Pago tarjeta"),"⚠ Destino solo aplica a transferencias",IF(AND(K555&lt;&gt;"",K555=Q555),"⚠ Origen igual a destino",IF(AND(K555&lt;&gt;"",ISNA(MATCH(K555,ctaNombre,0))),"⚠ Destino no registrado",IF(AND(P555="Pago tarjeta",AE555&lt;&gt;"Tarjeta de crédito"),"⚠ El destino debe ser tarjeta de crédito",IF(AND(P555="Gasto",E555="Depósitos y retiros"),"⚠ Usa tipo Transferencia",IF(AND(P555="Resultado trading",AD555&lt;&gt;"Cuenta de trading"),"⚠ Usa una cuenta de trading",IF(AND(G555&lt;=0,P555&lt;&gt;"Ajuste",P555&lt;&gt;"Resultado trading"),"⚠ El monto debe ser positivo","✓")))))))))))))))</f>
        <v/>
      </c>
      <c r="P555" s="52">
        <f>IF(OR(B555="",G555=""),"",IF(C555="","Gasto",C555))</f>
        <v/>
      </c>
      <c r="Q555" s="52">
        <f>IF(P555="","",IF(J555&lt;&gt;"",J555,CuentaPred&amp;""))</f>
        <v/>
      </c>
      <c r="R555" s="52">
        <f>IF(P555="","",IF(ISNUMBER(I555),I555,TasaUSD))</f>
        <v/>
      </c>
      <c r="S555" s="53">
        <f>IF(P555="","",IF(H555="USD",G555*R555,G555))</f>
        <v/>
      </c>
      <c r="T555" s="53">
        <f>IF(P555="","",IF(H555="USD",G555,IF(R555&gt;0,G555/R555,0)))</f>
        <v/>
      </c>
      <c r="U555" s="53">
        <f>IF(P555="","",IF(P555="Gasto",S555,IF(P555="Reembolso",-S555,0)))</f>
        <v/>
      </c>
      <c r="V555" s="53">
        <f>IF(P555="","",IF(P555="Ingreso",S555,0))</f>
        <v/>
      </c>
      <c r="W555" s="53">
        <f>IF(P555="","",IF(P555="Resultado trading",S555,0))</f>
        <v/>
      </c>
      <c r="X555" s="52">
        <f>IF(OR(P555="Gasto",P555="Reembolso"),IF(M555&lt;&gt;"",M555,IFERROR(INDEX(catClasif,MATCH(D555&amp;"|"&amp;E555,catClave,0))&amp;"","Variable")),"")</f>
        <v/>
      </c>
      <c r="Y555" s="52">
        <f>IF(P555="","",IFERROR(INDEX(catGrupo,MATCH(D555&amp;"|"&amp;E555,catClave,0))&amp;"",""))</f>
        <v/>
      </c>
      <c r="Z555" s="52">
        <f>IF(P555="","",WEEKDAY(B555,2))</f>
        <v/>
      </c>
      <c r="AA555" s="52">
        <f>IF(P555="","",IF(AND(P555="Gasto",X555="Variable",D555&lt;&gt;catTrading,S555&gt;0,S555&lt;=Umbral),1,0))</f>
        <v/>
      </c>
      <c r="AB555" s="52">
        <f>IF(OR(P555="",Q555=""),"",IFERROR(IF(INDEX(ctaVinc,MATCH(Q555,ctaNombre,0))&amp;""&lt;&gt;"",INDEX(ctaVinc,MATCH(Q555,ctaNombre,0))&amp;"",Q555),Q555))</f>
        <v/>
      </c>
      <c r="AC555" s="52">
        <f>IF(OR(K555="",AND(P555&lt;&gt;"Transferencia",P555&lt;&gt;"Pago tarjeta")),"",IFERROR(IF(INDEX(ctaVinc,MATCH(K555,ctaNombre,0))&amp;""&lt;&gt;"",INDEX(ctaVinc,MATCH(K555,ctaNombre,0))&amp;"",K555),K555))</f>
        <v/>
      </c>
      <c r="AD555" s="52">
        <f>IF(AB555="","",IFERROR(INDEX(ctaTipo,MATCH(AB555,ctaNombre,0))&amp;"",""))</f>
        <v/>
      </c>
      <c r="AE555" s="52">
        <f>IF(AC555="","",IFERROR(INDEX(ctaTipo,MATCH(AC555,ctaNombre,0))&amp;"",""))</f>
        <v/>
      </c>
      <c r="AF555" s="53">
        <f>IF(OR(P555="",AB555=""),"",IF(OR(P555="Gasto",P555="Transferencia",P555="Pago tarjeta"),-1,1)*IF(IFERROR(INDEX(ctaMoneda,MATCH(AB555,ctaNombre,0))&amp;"","DOP")="USD",T555,S555))</f>
        <v/>
      </c>
      <c r="AG555" s="53">
        <f>IF(AC555="","",IF(IFERROR(INDEX(ctaMoneda,MATCH(AC555,ctaNombre,0))&amp;"","DOP")="USD",T555,S555))</f>
        <v/>
      </c>
      <c r="AH555" s="53">
        <f>IF(P555="","",IF(AND(AD555&lt;&gt;"",COUNTIFS(tcTipo,AD555,tcLiq,"Sí")&gt;0),IF(OR(P555="Gasto",P555="Transferencia",P555="Pago tarjeta"),-1,1)*S555,0)+IF(AND(AE555&lt;&gt;"",COUNTIFS(tcTipo,AE555,tcLiq,"Sí")&gt;0),S555,0))</f>
        <v/>
      </c>
      <c r="AI555" s="52">
        <f>IF(OR(L555="",P555=""),"",IF(COUNTIFS(L$6:L555,L555,P$6:P555,"?*")=1,MAX(AI$5:AI554)+1,""))</f>
        <v/>
      </c>
    </row>
    <row r="556">
      <c r="B556" s="47" t="n"/>
      <c r="C556" s="48" t="n"/>
      <c r="D556" s="48" t="n"/>
      <c r="E556" s="48" t="n"/>
      <c r="F556" s="48" t="n"/>
      <c r="G556" s="49" t="n"/>
      <c r="H556" s="48" t="n"/>
      <c r="I556" s="50" t="n"/>
      <c r="J556" s="48" t="n"/>
      <c r="K556" s="48" t="n"/>
      <c r="L556" s="48" t="n"/>
      <c r="M556" s="48" t="n"/>
      <c r="N556" s="48" t="n"/>
      <c r="O556" s="51">
        <f>IF(AND(B556="",G556="",C556="",D556="",J556=""),"",IF(B556="","⚠ Falta fecha",IF(G556="","⚠ Falta monto",IF(Q556="","⚠ Falta cuenta",IF(ISNA(MATCH(Q556,ctaNombre,0)),"⚠ Cuenta no registrada",IF(AND(OR(P556="Gasto",P556="Reembolso"),D556=""),"⚠ Falta categoría",IF(AND(D556&lt;&gt;"",E556&lt;&gt;"",ISNA(MATCH(D556&amp;"|"&amp;E556,catClave,0))),"⚠ Subcategoría no corresponde",IF(AND(OR(P556="Transferencia",P556="Pago tarjeta"),K556=""),"⚠ Falta cuenta destino",IF(AND(K556&lt;&gt;"",P556&lt;&gt;"Transferencia",P556&lt;&gt;"Pago tarjeta"),"⚠ Destino solo aplica a transferencias",IF(AND(K556&lt;&gt;"",K556=Q556),"⚠ Origen igual a destino",IF(AND(K556&lt;&gt;"",ISNA(MATCH(K556,ctaNombre,0))),"⚠ Destino no registrado",IF(AND(P556="Pago tarjeta",AE556&lt;&gt;"Tarjeta de crédito"),"⚠ El destino debe ser tarjeta de crédito",IF(AND(P556="Gasto",E556="Depósitos y retiros"),"⚠ Usa tipo Transferencia",IF(AND(P556="Resultado trading",AD556&lt;&gt;"Cuenta de trading"),"⚠ Usa una cuenta de trading",IF(AND(G556&lt;=0,P556&lt;&gt;"Ajuste",P556&lt;&gt;"Resultado trading"),"⚠ El monto debe ser positivo","✓")))))))))))))))</f>
        <v/>
      </c>
      <c r="P556" s="52">
        <f>IF(OR(B556="",G556=""),"",IF(C556="","Gasto",C556))</f>
        <v/>
      </c>
      <c r="Q556" s="52">
        <f>IF(P556="","",IF(J556&lt;&gt;"",J556,CuentaPred&amp;""))</f>
        <v/>
      </c>
      <c r="R556" s="52">
        <f>IF(P556="","",IF(ISNUMBER(I556),I556,TasaUSD))</f>
        <v/>
      </c>
      <c r="S556" s="53">
        <f>IF(P556="","",IF(H556="USD",G556*R556,G556))</f>
        <v/>
      </c>
      <c r="T556" s="53">
        <f>IF(P556="","",IF(H556="USD",G556,IF(R556&gt;0,G556/R556,0)))</f>
        <v/>
      </c>
      <c r="U556" s="53">
        <f>IF(P556="","",IF(P556="Gasto",S556,IF(P556="Reembolso",-S556,0)))</f>
        <v/>
      </c>
      <c r="V556" s="53">
        <f>IF(P556="","",IF(P556="Ingreso",S556,0))</f>
        <v/>
      </c>
      <c r="W556" s="53">
        <f>IF(P556="","",IF(P556="Resultado trading",S556,0))</f>
        <v/>
      </c>
      <c r="X556" s="52">
        <f>IF(OR(P556="Gasto",P556="Reembolso"),IF(M556&lt;&gt;"",M556,IFERROR(INDEX(catClasif,MATCH(D556&amp;"|"&amp;E556,catClave,0))&amp;"","Variable")),"")</f>
        <v/>
      </c>
      <c r="Y556" s="52">
        <f>IF(P556="","",IFERROR(INDEX(catGrupo,MATCH(D556&amp;"|"&amp;E556,catClave,0))&amp;"",""))</f>
        <v/>
      </c>
      <c r="Z556" s="52">
        <f>IF(P556="","",WEEKDAY(B556,2))</f>
        <v/>
      </c>
      <c r="AA556" s="52">
        <f>IF(P556="","",IF(AND(P556="Gasto",X556="Variable",D556&lt;&gt;catTrading,S556&gt;0,S556&lt;=Umbral),1,0))</f>
        <v/>
      </c>
      <c r="AB556" s="52">
        <f>IF(OR(P556="",Q556=""),"",IFERROR(IF(INDEX(ctaVinc,MATCH(Q556,ctaNombre,0))&amp;""&lt;&gt;"",INDEX(ctaVinc,MATCH(Q556,ctaNombre,0))&amp;"",Q556),Q556))</f>
        <v/>
      </c>
      <c r="AC556" s="52">
        <f>IF(OR(K556="",AND(P556&lt;&gt;"Transferencia",P556&lt;&gt;"Pago tarjeta")),"",IFERROR(IF(INDEX(ctaVinc,MATCH(K556,ctaNombre,0))&amp;""&lt;&gt;"",INDEX(ctaVinc,MATCH(K556,ctaNombre,0))&amp;"",K556),K556))</f>
        <v/>
      </c>
      <c r="AD556" s="52">
        <f>IF(AB556="","",IFERROR(INDEX(ctaTipo,MATCH(AB556,ctaNombre,0))&amp;"",""))</f>
        <v/>
      </c>
      <c r="AE556" s="52">
        <f>IF(AC556="","",IFERROR(INDEX(ctaTipo,MATCH(AC556,ctaNombre,0))&amp;"",""))</f>
        <v/>
      </c>
      <c r="AF556" s="53">
        <f>IF(OR(P556="",AB556=""),"",IF(OR(P556="Gasto",P556="Transferencia",P556="Pago tarjeta"),-1,1)*IF(IFERROR(INDEX(ctaMoneda,MATCH(AB556,ctaNombre,0))&amp;"","DOP")="USD",T556,S556))</f>
        <v/>
      </c>
      <c r="AG556" s="53">
        <f>IF(AC556="","",IF(IFERROR(INDEX(ctaMoneda,MATCH(AC556,ctaNombre,0))&amp;"","DOP")="USD",T556,S556))</f>
        <v/>
      </c>
      <c r="AH556" s="53">
        <f>IF(P556="","",IF(AND(AD556&lt;&gt;"",COUNTIFS(tcTipo,AD556,tcLiq,"Sí")&gt;0),IF(OR(P556="Gasto",P556="Transferencia",P556="Pago tarjeta"),-1,1)*S556,0)+IF(AND(AE556&lt;&gt;"",COUNTIFS(tcTipo,AE556,tcLiq,"Sí")&gt;0),S556,0))</f>
        <v/>
      </c>
      <c r="AI556" s="52">
        <f>IF(OR(L556="",P556=""),"",IF(COUNTIFS(L$6:L556,L556,P$6:P556,"?*")=1,MAX(AI$5:AI555)+1,""))</f>
        <v/>
      </c>
    </row>
    <row r="557">
      <c r="B557" s="47" t="n"/>
      <c r="C557" s="48" t="n"/>
      <c r="D557" s="48" t="n"/>
      <c r="E557" s="48" t="n"/>
      <c r="F557" s="48" t="n"/>
      <c r="G557" s="49" t="n"/>
      <c r="H557" s="48" t="n"/>
      <c r="I557" s="50" t="n"/>
      <c r="J557" s="48" t="n"/>
      <c r="K557" s="48" t="n"/>
      <c r="L557" s="48" t="n"/>
      <c r="M557" s="48" t="n"/>
      <c r="N557" s="48" t="n"/>
      <c r="O557" s="51">
        <f>IF(AND(B557="",G557="",C557="",D557="",J557=""),"",IF(B557="","⚠ Falta fecha",IF(G557="","⚠ Falta monto",IF(Q557="","⚠ Falta cuenta",IF(ISNA(MATCH(Q557,ctaNombre,0)),"⚠ Cuenta no registrada",IF(AND(OR(P557="Gasto",P557="Reembolso"),D557=""),"⚠ Falta categoría",IF(AND(D557&lt;&gt;"",E557&lt;&gt;"",ISNA(MATCH(D557&amp;"|"&amp;E557,catClave,0))),"⚠ Subcategoría no corresponde",IF(AND(OR(P557="Transferencia",P557="Pago tarjeta"),K557=""),"⚠ Falta cuenta destino",IF(AND(K557&lt;&gt;"",P557&lt;&gt;"Transferencia",P557&lt;&gt;"Pago tarjeta"),"⚠ Destino solo aplica a transferencias",IF(AND(K557&lt;&gt;"",K557=Q557),"⚠ Origen igual a destino",IF(AND(K557&lt;&gt;"",ISNA(MATCH(K557,ctaNombre,0))),"⚠ Destino no registrado",IF(AND(P557="Pago tarjeta",AE557&lt;&gt;"Tarjeta de crédito"),"⚠ El destino debe ser tarjeta de crédito",IF(AND(P557="Gasto",E557="Depósitos y retiros"),"⚠ Usa tipo Transferencia",IF(AND(P557="Resultado trading",AD557&lt;&gt;"Cuenta de trading"),"⚠ Usa una cuenta de trading",IF(AND(G557&lt;=0,P557&lt;&gt;"Ajuste",P557&lt;&gt;"Resultado trading"),"⚠ El monto debe ser positivo","✓")))))))))))))))</f>
        <v/>
      </c>
      <c r="P557" s="52">
        <f>IF(OR(B557="",G557=""),"",IF(C557="","Gasto",C557))</f>
        <v/>
      </c>
      <c r="Q557" s="52">
        <f>IF(P557="","",IF(J557&lt;&gt;"",J557,CuentaPred&amp;""))</f>
        <v/>
      </c>
      <c r="R557" s="52">
        <f>IF(P557="","",IF(ISNUMBER(I557),I557,TasaUSD))</f>
        <v/>
      </c>
      <c r="S557" s="53">
        <f>IF(P557="","",IF(H557="USD",G557*R557,G557))</f>
        <v/>
      </c>
      <c r="T557" s="53">
        <f>IF(P557="","",IF(H557="USD",G557,IF(R557&gt;0,G557/R557,0)))</f>
        <v/>
      </c>
      <c r="U557" s="53">
        <f>IF(P557="","",IF(P557="Gasto",S557,IF(P557="Reembolso",-S557,0)))</f>
        <v/>
      </c>
      <c r="V557" s="53">
        <f>IF(P557="","",IF(P557="Ingreso",S557,0))</f>
        <v/>
      </c>
      <c r="W557" s="53">
        <f>IF(P557="","",IF(P557="Resultado trading",S557,0))</f>
        <v/>
      </c>
      <c r="X557" s="52">
        <f>IF(OR(P557="Gasto",P557="Reembolso"),IF(M557&lt;&gt;"",M557,IFERROR(INDEX(catClasif,MATCH(D557&amp;"|"&amp;E557,catClave,0))&amp;"","Variable")),"")</f>
        <v/>
      </c>
      <c r="Y557" s="52">
        <f>IF(P557="","",IFERROR(INDEX(catGrupo,MATCH(D557&amp;"|"&amp;E557,catClave,0))&amp;"",""))</f>
        <v/>
      </c>
      <c r="Z557" s="52">
        <f>IF(P557="","",WEEKDAY(B557,2))</f>
        <v/>
      </c>
      <c r="AA557" s="52">
        <f>IF(P557="","",IF(AND(P557="Gasto",X557="Variable",D557&lt;&gt;catTrading,S557&gt;0,S557&lt;=Umbral),1,0))</f>
        <v/>
      </c>
      <c r="AB557" s="52">
        <f>IF(OR(P557="",Q557=""),"",IFERROR(IF(INDEX(ctaVinc,MATCH(Q557,ctaNombre,0))&amp;""&lt;&gt;"",INDEX(ctaVinc,MATCH(Q557,ctaNombre,0))&amp;"",Q557),Q557))</f>
        <v/>
      </c>
      <c r="AC557" s="52">
        <f>IF(OR(K557="",AND(P557&lt;&gt;"Transferencia",P557&lt;&gt;"Pago tarjeta")),"",IFERROR(IF(INDEX(ctaVinc,MATCH(K557,ctaNombre,0))&amp;""&lt;&gt;"",INDEX(ctaVinc,MATCH(K557,ctaNombre,0))&amp;"",K557),K557))</f>
        <v/>
      </c>
      <c r="AD557" s="52">
        <f>IF(AB557="","",IFERROR(INDEX(ctaTipo,MATCH(AB557,ctaNombre,0))&amp;"",""))</f>
        <v/>
      </c>
      <c r="AE557" s="52">
        <f>IF(AC557="","",IFERROR(INDEX(ctaTipo,MATCH(AC557,ctaNombre,0))&amp;"",""))</f>
        <v/>
      </c>
      <c r="AF557" s="53">
        <f>IF(OR(P557="",AB557=""),"",IF(OR(P557="Gasto",P557="Transferencia",P557="Pago tarjeta"),-1,1)*IF(IFERROR(INDEX(ctaMoneda,MATCH(AB557,ctaNombre,0))&amp;"","DOP")="USD",T557,S557))</f>
        <v/>
      </c>
      <c r="AG557" s="53">
        <f>IF(AC557="","",IF(IFERROR(INDEX(ctaMoneda,MATCH(AC557,ctaNombre,0))&amp;"","DOP")="USD",T557,S557))</f>
        <v/>
      </c>
      <c r="AH557" s="53">
        <f>IF(P557="","",IF(AND(AD557&lt;&gt;"",COUNTIFS(tcTipo,AD557,tcLiq,"Sí")&gt;0),IF(OR(P557="Gasto",P557="Transferencia",P557="Pago tarjeta"),-1,1)*S557,0)+IF(AND(AE557&lt;&gt;"",COUNTIFS(tcTipo,AE557,tcLiq,"Sí")&gt;0),S557,0))</f>
        <v/>
      </c>
      <c r="AI557" s="52">
        <f>IF(OR(L557="",P557=""),"",IF(COUNTIFS(L$6:L557,L557,P$6:P557,"?*")=1,MAX(AI$5:AI556)+1,""))</f>
        <v/>
      </c>
    </row>
    <row r="558">
      <c r="B558" s="47" t="n"/>
      <c r="C558" s="48" t="n"/>
      <c r="D558" s="48" t="n"/>
      <c r="E558" s="48" t="n"/>
      <c r="F558" s="48" t="n"/>
      <c r="G558" s="49" t="n"/>
      <c r="H558" s="48" t="n"/>
      <c r="I558" s="50" t="n"/>
      <c r="J558" s="48" t="n"/>
      <c r="K558" s="48" t="n"/>
      <c r="L558" s="48" t="n"/>
      <c r="M558" s="48" t="n"/>
      <c r="N558" s="48" t="n"/>
      <c r="O558" s="51">
        <f>IF(AND(B558="",G558="",C558="",D558="",J558=""),"",IF(B558="","⚠ Falta fecha",IF(G558="","⚠ Falta monto",IF(Q558="","⚠ Falta cuenta",IF(ISNA(MATCH(Q558,ctaNombre,0)),"⚠ Cuenta no registrada",IF(AND(OR(P558="Gasto",P558="Reembolso"),D558=""),"⚠ Falta categoría",IF(AND(D558&lt;&gt;"",E558&lt;&gt;"",ISNA(MATCH(D558&amp;"|"&amp;E558,catClave,0))),"⚠ Subcategoría no corresponde",IF(AND(OR(P558="Transferencia",P558="Pago tarjeta"),K558=""),"⚠ Falta cuenta destino",IF(AND(K558&lt;&gt;"",P558&lt;&gt;"Transferencia",P558&lt;&gt;"Pago tarjeta"),"⚠ Destino solo aplica a transferencias",IF(AND(K558&lt;&gt;"",K558=Q558),"⚠ Origen igual a destino",IF(AND(K558&lt;&gt;"",ISNA(MATCH(K558,ctaNombre,0))),"⚠ Destino no registrado",IF(AND(P558="Pago tarjeta",AE558&lt;&gt;"Tarjeta de crédito"),"⚠ El destino debe ser tarjeta de crédito",IF(AND(P558="Gasto",E558="Depósitos y retiros"),"⚠ Usa tipo Transferencia",IF(AND(P558="Resultado trading",AD558&lt;&gt;"Cuenta de trading"),"⚠ Usa una cuenta de trading",IF(AND(G558&lt;=0,P558&lt;&gt;"Ajuste",P558&lt;&gt;"Resultado trading"),"⚠ El monto debe ser positivo","✓")))))))))))))))</f>
        <v/>
      </c>
      <c r="P558" s="52">
        <f>IF(OR(B558="",G558=""),"",IF(C558="","Gasto",C558))</f>
        <v/>
      </c>
      <c r="Q558" s="52">
        <f>IF(P558="","",IF(J558&lt;&gt;"",J558,CuentaPred&amp;""))</f>
        <v/>
      </c>
      <c r="R558" s="52">
        <f>IF(P558="","",IF(ISNUMBER(I558),I558,TasaUSD))</f>
        <v/>
      </c>
      <c r="S558" s="53">
        <f>IF(P558="","",IF(H558="USD",G558*R558,G558))</f>
        <v/>
      </c>
      <c r="T558" s="53">
        <f>IF(P558="","",IF(H558="USD",G558,IF(R558&gt;0,G558/R558,0)))</f>
        <v/>
      </c>
      <c r="U558" s="53">
        <f>IF(P558="","",IF(P558="Gasto",S558,IF(P558="Reembolso",-S558,0)))</f>
        <v/>
      </c>
      <c r="V558" s="53">
        <f>IF(P558="","",IF(P558="Ingreso",S558,0))</f>
        <v/>
      </c>
      <c r="W558" s="53">
        <f>IF(P558="","",IF(P558="Resultado trading",S558,0))</f>
        <v/>
      </c>
      <c r="X558" s="52">
        <f>IF(OR(P558="Gasto",P558="Reembolso"),IF(M558&lt;&gt;"",M558,IFERROR(INDEX(catClasif,MATCH(D558&amp;"|"&amp;E558,catClave,0))&amp;"","Variable")),"")</f>
        <v/>
      </c>
      <c r="Y558" s="52">
        <f>IF(P558="","",IFERROR(INDEX(catGrupo,MATCH(D558&amp;"|"&amp;E558,catClave,0))&amp;"",""))</f>
        <v/>
      </c>
      <c r="Z558" s="52">
        <f>IF(P558="","",WEEKDAY(B558,2))</f>
        <v/>
      </c>
      <c r="AA558" s="52">
        <f>IF(P558="","",IF(AND(P558="Gasto",X558="Variable",D558&lt;&gt;catTrading,S558&gt;0,S558&lt;=Umbral),1,0))</f>
        <v/>
      </c>
      <c r="AB558" s="52">
        <f>IF(OR(P558="",Q558=""),"",IFERROR(IF(INDEX(ctaVinc,MATCH(Q558,ctaNombre,0))&amp;""&lt;&gt;"",INDEX(ctaVinc,MATCH(Q558,ctaNombre,0))&amp;"",Q558),Q558))</f>
        <v/>
      </c>
      <c r="AC558" s="52">
        <f>IF(OR(K558="",AND(P558&lt;&gt;"Transferencia",P558&lt;&gt;"Pago tarjeta")),"",IFERROR(IF(INDEX(ctaVinc,MATCH(K558,ctaNombre,0))&amp;""&lt;&gt;"",INDEX(ctaVinc,MATCH(K558,ctaNombre,0))&amp;"",K558),K558))</f>
        <v/>
      </c>
      <c r="AD558" s="52">
        <f>IF(AB558="","",IFERROR(INDEX(ctaTipo,MATCH(AB558,ctaNombre,0))&amp;"",""))</f>
        <v/>
      </c>
      <c r="AE558" s="52">
        <f>IF(AC558="","",IFERROR(INDEX(ctaTipo,MATCH(AC558,ctaNombre,0))&amp;"",""))</f>
        <v/>
      </c>
      <c r="AF558" s="53">
        <f>IF(OR(P558="",AB558=""),"",IF(OR(P558="Gasto",P558="Transferencia",P558="Pago tarjeta"),-1,1)*IF(IFERROR(INDEX(ctaMoneda,MATCH(AB558,ctaNombre,0))&amp;"","DOP")="USD",T558,S558))</f>
        <v/>
      </c>
      <c r="AG558" s="53">
        <f>IF(AC558="","",IF(IFERROR(INDEX(ctaMoneda,MATCH(AC558,ctaNombre,0))&amp;"","DOP")="USD",T558,S558))</f>
        <v/>
      </c>
      <c r="AH558" s="53">
        <f>IF(P558="","",IF(AND(AD558&lt;&gt;"",COUNTIFS(tcTipo,AD558,tcLiq,"Sí")&gt;0),IF(OR(P558="Gasto",P558="Transferencia",P558="Pago tarjeta"),-1,1)*S558,0)+IF(AND(AE558&lt;&gt;"",COUNTIFS(tcTipo,AE558,tcLiq,"Sí")&gt;0),S558,0))</f>
        <v/>
      </c>
      <c r="AI558" s="52">
        <f>IF(OR(L558="",P558=""),"",IF(COUNTIFS(L$6:L558,L558,P$6:P558,"?*")=1,MAX(AI$5:AI557)+1,""))</f>
        <v/>
      </c>
    </row>
    <row r="559">
      <c r="B559" s="47" t="n"/>
      <c r="C559" s="48" t="n"/>
      <c r="D559" s="48" t="n"/>
      <c r="E559" s="48" t="n"/>
      <c r="F559" s="48" t="n"/>
      <c r="G559" s="49" t="n"/>
      <c r="H559" s="48" t="n"/>
      <c r="I559" s="50" t="n"/>
      <c r="J559" s="48" t="n"/>
      <c r="K559" s="48" t="n"/>
      <c r="L559" s="48" t="n"/>
      <c r="M559" s="48" t="n"/>
      <c r="N559" s="48" t="n"/>
      <c r="O559" s="51">
        <f>IF(AND(B559="",G559="",C559="",D559="",J559=""),"",IF(B559="","⚠ Falta fecha",IF(G559="","⚠ Falta monto",IF(Q559="","⚠ Falta cuenta",IF(ISNA(MATCH(Q559,ctaNombre,0)),"⚠ Cuenta no registrada",IF(AND(OR(P559="Gasto",P559="Reembolso"),D559=""),"⚠ Falta categoría",IF(AND(D559&lt;&gt;"",E559&lt;&gt;"",ISNA(MATCH(D559&amp;"|"&amp;E559,catClave,0))),"⚠ Subcategoría no corresponde",IF(AND(OR(P559="Transferencia",P559="Pago tarjeta"),K559=""),"⚠ Falta cuenta destino",IF(AND(K559&lt;&gt;"",P559&lt;&gt;"Transferencia",P559&lt;&gt;"Pago tarjeta"),"⚠ Destino solo aplica a transferencias",IF(AND(K559&lt;&gt;"",K559=Q559),"⚠ Origen igual a destino",IF(AND(K559&lt;&gt;"",ISNA(MATCH(K559,ctaNombre,0))),"⚠ Destino no registrado",IF(AND(P559="Pago tarjeta",AE559&lt;&gt;"Tarjeta de crédito"),"⚠ El destino debe ser tarjeta de crédito",IF(AND(P559="Gasto",E559="Depósitos y retiros"),"⚠ Usa tipo Transferencia",IF(AND(P559="Resultado trading",AD559&lt;&gt;"Cuenta de trading"),"⚠ Usa una cuenta de trading",IF(AND(G559&lt;=0,P559&lt;&gt;"Ajuste",P559&lt;&gt;"Resultado trading"),"⚠ El monto debe ser positivo","✓")))))))))))))))</f>
        <v/>
      </c>
      <c r="P559" s="52">
        <f>IF(OR(B559="",G559=""),"",IF(C559="","Gasto",C559))</f>
        <v/>
      </c>
      <c r="Q559" s="52">
        <f>IF(P559="","",IF(J559&lt;&gt;"",J559,CuentaPred&amp;""))</f>
        <v/>
      </c>
      <c r="R559" s="52">
        <f>IF(P559="","",IF(ISNUMBER(I559),I559,TasaUSD))</f>
        <v/>
      </c>
      <c r="S559" s="53">
        <f>IF(P559="","",IF(H559="USD",G559*R559,G559))</f>
        <v/>
      </c>
      <c r="T559" s="53">
        <f>IF(P559="","",IF(H559="USD",G559,IF(R559&gt;0,G559/R559,0)))</f>
        <v/>
      </c>
      <c r="U559" s="53">
        <f>IF(P559="","",IF(P559="Gasto",S559,IF(P559="Reembolso",-S559,0)))</f>
        <v/>
      </c>
      <c r="V559" s="53">
        <f>IF(P559="","",IF(P559="Ingreso",S559,0))</f>
        <v/>
      </c>
      <c r="W559" s="53">
        <f>IF(P559="","",IF(P559="Resultado trading",S559,0))</f>
        <v/>
      </c>
      <c r="X559" s="52">
        <f>IF(OR(P559="Gasto",P559="Reembolso"),IF(M559&lt;&gt;"",M559,IFERROR(INDEX(catClasif,MATCH(D559&amp;"|"&amp;E559,catClave,0))&amp;"","Variable")),"")</f>
        <v/>
      </c>
      <c r="Y559" s="52">
        <f>IF(P559="","",IFERROR(INDEX(catGrupo,MATCH(D559&amp;"|"&amp;E559,catClave,0))&amp;"",""))</f>
        <v/>
      </c>
      <c r="Z559" s="52">
        <f>IF(P559="","",WEEKDAY(B559,2))</f>
        <v/>
      </c>
      <c r="AA559" s="52">
        <f>IF(P559="","",IF(AND(P559="Gasto",X559="Variable",D559&lt;&gt;catTrading,S559&gt;0,S559&lt;=Umbral),1,0))</f>
        <v/>
      </c>
      <c r="AB559" s="52">
        <f>IF(OR(P559="",Q559=""),"",IFERROR(IF(INDEX(ctaVinc,MATCH(Q559,ctaNombre,0))&amp;""&lt;&gt;"",INDEX(ctaVinc,MATCH(Q559,ctaNombre,0))&amp;"",Q559),Q559))</f>
        <v/>
      </c>
      <c r="AC559" s="52">
        <f>IF(OR(K559="",AND(P559&lt;&gt;"Transferencia",P559&lt;&gt;"Pago tarjeta")),"",IFERROR(IF(INDEX(ctaVinc,MATCH(K559,ctaNombre,0))&amp;""&lt;&gt;"",INDEX(ctaVinc,MATCH(K559,ctaNombre,0))&amp;"",K559),K559))</f>
        <v/>
      </c>
      <c r="AD559" s="52">
        <f>IF(AB559="","",IFERROR(INDEX(ctaTipo,MATCH(AB559,ctaNombre,0))&amp;"",""))</f>
        <v/>
      </c>
      <c r="AE559" s="52">
        <f>IF(AC559="","",IFERROR(INDEX(ctaTipo,MATCH(AC559,ctaNombre,0))&amp;"",""))</f>
        <v/>
      </c>
      <c r="AF559" s="53">
        <f>IF(OR(P559="",AB559=""),"",IF(OR(P559="Gasto",P559="Transferencia",P559="Pago tarjeta"),-1,1)*IF(IFERROR(INDEX(ctaMoneda,MATCH(AB559,ctaNombre,0))&amp;"","DOP")="USD",T559,S559))</f>
        <v/>
      </c>
      <c r="AG559" s="53">
        <f>IF(AC559="","",IF(IFERROR(INDEX(ctaMoneda,MATCH(AC559,ctaNombre,0))&amp;"","DOP")="USD",T559,S559))</f>
        <v/>
      </c>
      <c r="AH559" s="53">
        <f>IF(P559="","",IF(AND(AD559&lt;&gt;"",COUNTIFS(tcTipo,AD559,tcLiq,"Sí")&gt;0),IF(OR(P559="Gasto",P559="Transferencia",P559="Pago tarjeta"),-1,1)*S559,0)+IF(AND(AE559&lt;&gt;"",COUNTIFS(tcTipo,AE559,tcLiq,"Sí")&gt;0),S559,0))</f>
        <v/>
      </c>
      <c r="AI559" s="52">
        <f>IF(OR(L559="",P559=""),"",IF(COUNTIFS(L$6:L559,L559,P$6:P559,"?*")=1,MAX(AI$5:AI558)+1,""))</f>
        <v/>
      </c>
    </row>
    <row r="560">
      <c r="B560" s="47" t="n"/>
      <c r="C560" s="48" t="n"/>
      <c r="D560" s="48" t="n"/>
      <c r="E560" s="48" t="n"/>
      <c r="F560" s="48" t="n"/>
      <c r="G560" s="49" t="n"/>
      <c r="H560" s="48" t="n"/>
      <c r="I560" s="50" t="n"/>
      <c r="J560" s="48" t="n"/>
      <c r="K560" s="48" t="n"/>
      <c r="L560" s="48" t="n"/>
      <c r="M560" s="48" t="n"/>
      <c r="N560" s="48" t="n"/>
      <c r="O560" s="51">
        <f>IF(AND(B560="",G560="",C560="",D560="",J560=""),"",IF(B560="","⚠ Falta fecha",IF(G560="","⚠ Falta monto",IF(Q560="","⚠ Falta cuenta",IF(ISNA(MATCH(Q560,ctaNombre,0)),"⚠ Cuenta no registrada",IF(AND(OR(P560="Gasto",P560="Reembolso"),D560=""),"⚠ Falta categoría",IF(AND(D560&lt;&gt;"",E560&lt;&gt;"",ISNA(MATCH(D560&amp;"|"&amp;E560,catClave,0))),"⚠ Subcategoría no corresponde",IF(AND(OR(P560="Transferencia",P560="Pago tarjeta"),K560=""),"⚠ Falta cuenta destino",IF(AND(K560&lt;&gt;"",P560&lt;&gt;"Transferencia",P560&lt;&gt;"Pago tarjeta"),"⚠ Destino solo aplica a transferencias",IF(AND(K560&lt;&gt;"",K560=Q560),"⚠ Origen igual a destino",IF(AND(K560&lt;&gt;"",ISNA(MATCH(K560,ctaNombre,0))),"⚠ Destino no registrado",IF(AND(P560="Pago tarjeta",AE560&lt;&gt;"Tarjeta de crédito"),"⚠ El destino debe ser tarjeta de crédito",IF(AND(P560="Gasto",E560="Depósitos y retiros"),"⚠ Usa tipo Transferencia",IF(AND(P560="Resultado trading",AD560&lt;&gt;"Cuenta de trading"),"⚠ Usa una cuenta de trading",IF(AND(G560&lt;=0,P560&lt;&gt;"Ajuste",P560&lt;&gt;"Resultado trading"),"⚠ El monto debe ser positivo","✓")))))))))))))))</f>
        <v/>
      </c>
      <c r="P560" s="52">
        <f>IF(OR(B560="",G560=""),"",IF(C560="","Gasto",C560))</f>
        <v/>
      </c>
      <c r="Q560" s="52">
        <f>IF(P560="","",IF(J560&lt;&gt;"",J560,CuentaPred&amp;""))</f>
        <v/>
      </c>
      <c r="R560" s="52">
        <f>IF(P560="","",IF(ISNUMBER(I560),I560,TasaUSD))</f>
        <v/>
      </c>
      <c r="S560" s="53">
        <f>IF(P560="","",IF(H560="USD",G560*R560,G560))</f>
        <v/>
      </c>
      <c r="T560" s="53">
        <f>IF(P560="","",IF(H560="USD",G560,IF(R560&gt;0,G560/R560,0)))</f>
        <v/>
      </c>
      <c r="U560" s="53">
        <f>IF(P560="","",IF(P560="Gasto",S560,IF(P560="Reembolso",-S560,0)))</f>
        <v/>
      </c>
      <c r="V560" s="53">
        <f>IF(P560="","",IF(P560="Ingreso",S560,0))</f>
        <v/>
      </c>
      <c r="W560" s="53">
        <f>IF(P560="","",IF(P560="Resultado trading",S560,0))</f>
        <v/>
      </c>
      <c r="X560" s="52">
        <f>IF(OR(P560="Gasto",P560="Reembolso"),IF(M560&lt;&gt;"",M560,IFERROR(INDEX(catClasif,MATCH(D560&amp;"|"&amp;E560,catClave,0))&amp;"","Variable")),"")</f>
        <v/>
      </c>
      <c r="Y560" s="52">
        <f>IF(P560="","",IFERROR(INDEX(catGrupo,MATCH(D560&amp;"|"&amp;E560,catClave,0))&amp;"",""))</f>
        <v/>
      </c>
      <c r="Z560" s="52">
        <f>IF(P560="","",WEEKDAY(B560,2))</f>
        <v/>
      </c>
      <c r="AA560" s="52">
        <f>IF(P560="","",IF(AND(P560="Gasto",X560="Variable",D560&lt;&gt;catTrading,S560&gt;0,S560&lt;=Umbral),1,0))</f>
        <v/>
      </c>
      <c r="AB560" s="52">
        <f>IF(OR(P560="",Q560=""),"",IFERROR(IF(INDEX(ctaVinc,MATCH(Q560,ctaNombre,0))&amp;""&lt;&gt;"",INDEX(ctaVinc,MATCH(Q560,ctaNombre,0))&amp;"",Q560),Q560))</f>
        <v/>
      </c>
      <c r="AC560" s="52">
        <f>IF(OR(K560="",AND(P560&lt;&gt;"Transferencia",P560&lt;&gt;"Pago tarjeta")),"",IFERROR(IF(INDEX(ctaVinc,MATCH(K560,ctaNombre,0))&amp;""&lt;&gt;"",INDEX(ctaVinc,MATCH(K560,ctaNombre,0))&amp;"",K560),K560))</f>
        <v/>
      </c>
      <c r="AD560" s="52">
        <f>IF(AB560="","",IFERROR(INDEX(ctaTipo,MATCH(AB560,ctaNombre,0))&amp;"",""))</f>
        <v/>
      </c>
      <c r="AE560" s="52">
        <f>IF(AC560="","",IFERROR(INDEX(ctaTipo,MATCH(AC560,ctaNombre,0))&amp;"",""))</f>
        <v/>
      </c>
      <c r="AF560" s="53">
        <f>IF(OR(P560="",AB560=""),"",IF(OR(P560="Gasto",P560="Transferencia",P560="Pago tarjeta"),-1,1)*IF(IFERROR(INDEX(ctaMoneda,MATCH(AB560,ctaNombre,0))&amp;"","DOP")="USD",T560,S560))</f>
        <v/>
      </c>
      <c r="AG560" s="53">
        <f>IF(AC560="","",IF(IFERROR(INDEX(ctaMoneda,MATCH(AC560,ctaNombre,0))&amp;"","DOP")="USD",T560,S560))</f>
        <v/>
      </c>
      <c r="AH560" s="53">
        <f>IF(P560="","",IF(AND(AD560&lt;&gt;"",COUNTIFS(tcTipo,AD560,tcLiq,"Sí")&gt;0),IF(OR(P560="Gasto",P560="Transferencia",P560="Pago tarjeta"),-1,1)*S560,0)+IF(AND(AE560&lt;&gt;"",COUNTIFS(tcTipo,AE560,tcLiq,"Sí")&gt;0),S560,0))</f>
        <v/>
      </c>
      <c r="AI560" s="52">
        <f>IF(OR(L560="",P560=""),"",IF(COUNTIFS(L$6:L560,L560,P$6:P560,"?*")=1,MAX(AI$5:AI559)+1,""))</f>
        <v/>
      </c>
    </row>
    <row r="561">
      <c r="B561" s="47" t="n"/>
      <c r="C561" s="48" t="n"/>
      <c r="D561" s="48" t="n"/>
      <c r="E561" s="48" t="n"/>
      <c r="F561" s="48" t="n"/>
      <c r="G561" s="49" t="n"/>
      <c r="H561" s="48" t="n"/>
      <c r="I561" s="50" t="n"/>
      <c r="J561" s="48" t="n"/>
      <c r="K561" s="48" t="n"/>
      <c r="L561" s="48" t="n"/>
      <c r="M561" s="48" t="n"/>
      <c r="N561" s="48" t="n"/>
      <c r="O561" s="51">
        <f>IF(AND(B561="",G561="",C561="",D561="",J561=""),"",IF(B561="","⚠ Falta fecha",IF(G561="","⚠ Falta monto",IF(Q561="","⚠ Falta cuenta",IF(ISNA(MATCH(Q561,ctaNombre,0)),"⚠ Cuenta no registrada",IF(AND(OR(P561="Gasto",P561="Reembolso"),D561=""),"⚠ Falta categoría",IF(AND(D561&lt;&gt;"",E561&lt;&gt;"",ISNA(MATCH(D561&amp;"|"&amp;E561,catClave,0))),"⚠ Subcategoría no corresponde",IF(AND(OR(P561="Transferencia",P561="Pago tarjeta"),K561=""),"⚠ Falta cuenta destino",IF(AND(K561&lt;&gt;"",P561&lt;&gt;"Transferencia",P561&lt;&gt;"Pago tarjeta"),"⚠ Destino solo aplica a transferencias",IF(AND(K561&lt;&gt;"",K561=Q561),"⚠ Origen igual a destino",IF(AND(K561&lt;&gt;"",ISNA(MATCH(K561,ctaNombre,0))),"⚠ Destino no registrado",IF(AND(P561="Pago tarjeta",AE561&lt;&gt;"Tarjeta de crédito"),"⚠ El destino debe ser tarjeta de crédito",IF(AND(P561="Gasto",E561="Depósitos y retiros"),"⚠ Usa tipo Transferencia",IF(AND(P561="Resultado trading",AD561&lt;&gt;"Cuenta de trading"),"⚠ Usa una cuenta de trading",IF(AND(G561&lt;=0,P561&lt;&gt;"Ajuste",P561&lt;&gt;"Resultado trading"),"⚠ El monto debe ser positivo","✓")))))))))))))))</f>
        <v/>
      </c>
      <c r="P561" s="52">
        <f>IF(OR(B561="",G561=""),"",IF(C561="","Gasto",C561))</f>
        <v/>
      </c>
      <c r="Q561" s="52">
        <f>IF(P561="","",IF(J561&lt;&gt;"",J561,CuentaPred&amp;""))</f>
        <v/>
      </c>
      <c r="R561" s="52">
        <f>IF(P561="","",IF(ISNUMBER(I561),I561,TasaUSD))</f>
        <v/>
      </c>
      <c r="S561" s="53">
        <f>IF(P561="","",IF(H561="USD",G561*R561,G561))</f>
        <v/>
      </c>
      <c r="T561" s="53">
        <f>IF(P561="","",IF(H561="USD",G561,IF(R561&gt;0,G561/R561,0)))</f>
        <v/>
      </c>
      <c r="U561" s="53">
        <f>IF(P561="","",IF(P561="Gasto",S561,IF(P561="Reembolso",-S561,0)))</f>
        <v/>
      </c>
      <c r="V561" s="53">
        <f>IF(P561="","",IF(P561="Ingreso",S561,0))</f>
        <v/>
      </c>
      <c r="W561" s="53">
        <f>IF(P561="","",IF(P561="Resultado trading",S561,0))</f>
        <v/>
      </c>
      <c r="X561" s="52">
        <f>IF(OR(P561="Gasto",P561="Reembolso"),IF(M561&lt;&gt;"",M561,IFERROR(INDEX(catClasif,MATCH(D561&amp;"|"&amp;E561,catClave,0))&amp;"","Variable")),"")</f>
        <v/>
      </c>
      <c r="Y561" s="52">
        <f>IF(P561="","",IFERROR(INDEX(catGrupo,MATCH(D561&amp;"|"&amp;E561,catClave,0))&amp;"",""))</f>
        <v/>
      </c>
      <c r="Z561" s="52">
        <f>IF(P561="","",WEEKDAY(B561,2))</f>
        <v/>
      </c>
      <c r="AA561" s="52">
        <f>IF(P561="","",IF(AND(P561="Gasto",X561="Variable",D561&lt;&gt;catTrading,S561&gt;0,S561&lt;=Umbral),1,0))</f>
        <v/>
      </c>
      <c r="AB561" s="52">
        <f>IF(OR(P561="",Q561=""),"",IFERROR(IF(INDEX(ctaVinc,MATCH(Q561,ctaNombre,0))&amp;""&lt;&gt;"",INDEX(ctaVinc,MATCH(Q561,ctaNombre,0))&amp;"",Q561),Q561))</f>
        <v/>
      </c>
      <c r="AC561" s="52">
        <f>IF(OR(K561="",AND(P561&lt;&gt;"Transferencia",P561&lt;&gt;"Pago tarjeta")),"",IFERROR(IF(INDEX(ctaVinc,MATCH(K561,ctaNombre,0))&amp;""&lt;&gt;"",INDEX(ctaVinc,MATCH(K561,ctaNombre,0))&amp;"",K561),K561))</f>
        <v/>
      </c>
      <c r="AD561" s="52">
        <f>IF(AB561="","",IFERROR(INDEX(ctaTipo,MATCH(AB561,ctaNombre,0))&amp;"",""))</f>
        <v/>
      </c>
      <c r="AE561" s="52">
        <f>IF(AC561="","",IFERROR(INDEX(ctaTipo,MATCH(AC561,ctaNombre,0))&amp;"",""))</f>
        <v/>
      </c>
      <c r="AF561" s="53">
        <f>IF(OR(P561="",AB561=""),"",IF(OR(P561="Gasto",P561="Transferencia",P561="Pago tarjeta"),-1,1)*IF(IFERROR(INDEX(ctaMoneda,MATCH(AB561,ctaNombre,0))&amp;"","DOP")="USD",T561,S561))</f>
        <v/>
      </c>
      <c r="AG561" s="53">
        <f>IF(AC561="","",IF(IFERROR(INDEX(ctaMoneda,MATCH(AC561,ctaNombre,0))&amp;"","DOP")="USD",T561,S561))</f>
        <v/>
      </c>
      <c r="AH561" s="53">
        <f>IF(P561="","",IF(AND(AD561&lt;&gt;"",COUNTIFS(tcTipo,AD561,tcLiq,"Sí")&gt;0),IF(OR(P561="Gasto",P561="Transferencia",P561="Pago tarjeta"),-1,1)*S561,0)+IF(AND(AE561&lt;&gt;"",COUNTIFS(tcTipo,AE561,tcLiq,"Sí")&gt;0),S561,0))</f>
        <v/>
      </c>
      <c r="AI561" s="52">
        <f>IF(OR(L561="",P561=""),"",IF(COUNTIFS(L$6:L561,L561,P$6:P561,"?*")=1,MAX(AI$5:AI560)+1,""))</f>
        <v/>
      </c>
    </row>
    <row r="562">
      <c r="B562" s="47" t="n"/>
      <c r="C562" s="48" t="n"/>
      <c r="D562" s="48" t="n"/>
      <c r="E562" s="48" t="n"/>
      <c r="F562" s="48" t="n"/>
      <c r="G562" s="49" t="n"/>
      <c r="H562" s="48" t="n"/>
      <c r="I562" s="50" t="n"/>
      <c r="J562" s="48" t="n"/>
      <c r="K562" s="48" t="n"/>
      <c r="L562" s="48" t="n"/>
      <c r="M562" s="48" t="n"/>
      <c r="N562" s="48" t="n"/>
      <c r="O562" s="51">
        <f>IF(AND(B562="",G562="",C562="",D562="",J562=""),"",IF(B562="","⚠ Falta fecha",IF(G562="","⚠ Falta monto",IF(Q562="","⚠ Falta cuenta",IF(ISNA(MATCH(Q562,ctaNombre,0)),"⚠ Cuenta no registrada",IF(AND(OR(P562="Gasto",P562="Reembolso"),D562=""),"⚠ Falta categoría",IF(AND(D562&lt;&gt;"",E562&lt;&gt;"",ISNA(MATCH(D562&amp;"|"&amp;E562,catClave,0))),"⚠ Subcategoría no corresponde",IF(AND(OR(P562="Transferencia",P562="Pago tarjeta"),K562=""),"⚠ Falta cuenta destino",IF(AND(K562&lt;&gt;"",P562&lt;&gt;"Transferencia",P562&lt;&gt;"Pago tarjeta"),"⚠ Destino solo aplica a transferencias",IF(AND(K562&lt;&gt;"",K562=Q562),"⚠ Origen igual a destino",IF(AND(K562&lt;&gt;"",ISNA(MATCH(K562,ctaNombre,0))),"⚠ Destino no registrado",IF(AND(P562="Pago tarjeta",AE562&lt;&gt;"Tarjeta de crédito"),"⚠ El destino debe ser tarjeta de crédito",IF(AND(P562="Gasto",E562="Depósitos y retiros"),"⚠ Usa tipo Transferencia",IF(AND(P562="Resultado trading",AD562&lt;&gt;"Cuenta de trading"),"⚠ Usa una cuenta de trading",IF(AND(G562&lt;=0,P562&lt;&gt;"Ajuste",P562&lt;&gt;"Resultado trading"),"⚠ El monto debe ser positivo","✓")))))))))))))))</f>
        <v/>
      </c>
      <c r="P562" s="52">
        <f>IF(OR(B562="",G562=""),"",IF(C562="","Gasto",C562))</f>
        <v/>
      </c>
      <c r="Q562" s="52">
        <f>IF(P562="","",IF(J562&lt;&gt;"",J562,CuentaPred&amp;""))</f>
        <v/>
      </c>
      <c r="R562" s="52">
        <f>IF(P562="","",IF(ISNUMBER(I562),I562,TasaUSD))</f>
        <v/>
      </c>
      <c r="S562" s="53">
        <f>IF(P562="","",IF(H562="USD",G562*R562,G562))</f>
        <v/>
      </c>
      <c r="T562" s="53">
        <f>IF(P562="","",IF(H562="USD",G562,IF(R562&gt;0,G562/R562,0)))</f>
        <v/>
      </c>
      <c r="U562" s="53">
        <f>IF(P562="","",IF(P562="Gasto",S562,IF(P562="Reembolso",-S562,0)))</f>
        <v/>
      </c>
      <c r="V562" s="53">
        <f>IF(P562="","",IF(P562="Ingreso",S562,0))</f>
        <v/>
      </c>
      <c r="W562" s="53">
        <f>IF(P562="","",IF(P562="Resultado trading",S562,0))</f>
        <v/>
      </c>
      <c r="X562" s="52">
        <f>IF(OR(P562="Gasto",P562="Reembolso"),IF(M562&lt;&gt;"",M562,IFERROR(INDEX(catClasif,MATCH(D562&amp;"|"&amp;E562,catClave,0))&amp;"","Variable")),"")</f>
        <v/>
      </c>
      <c r="Y562" s="52">
        <f>IF(P562="","",IFERROR(INDEX(catGrupo,MATCH(D562&amp;"|"&amp;E562,catClave,0))&amp;"",""))</f>
        <v/>
      </c>
      <c r="Z562" s="52">
        <f>IF(P562="","",WEEKDAY(B562,2))</f>
        <v/>
      </c>
      <c r="AA562" s="52">
        <f>IF(P562="","",IF(AND(P562="Gasto",X562="Variable",D562&lt;&gt;catTrading,S562&gt;0,S562&lt;=Umbral),1,0))</f>
        <v/>
      </c>
      <c r="AB562" s="52">
        <f>IF(OR(P562="",Q562=""),"",IFERROR(IF(INDEX(ctaVinc,MATCH(Q562,ctaNombre,0))&amp;""&lt;&gt;"",INDEX(ctaVinc,MATCH(Q562,ctaNombre,0))&amp;"",Q562),Q562))</f>
        <v/>
      </c>
      <c r="AC562" s="52">
        <f>IF(OR(K562="",AND(P562&lt;&gt;"Transferencia",P562&lt;&gt;"Pago tarjeta")),"",IFERROR(IF(INDEX(ctaVinc,MATCH(K562,ctaNombre,0))&amp;""&lt;&gt;"",INDEX(ctaVinc,MATCH(K562,ctaNombre,0))&amp;"",K562),K562))</f>
        <v/>
      </c>
      <c r="AD562" s="52">
        <f>IF(AB562="","",IFERROR(INDEX(ctaTipo,MATCH(AB562,ctaNombre,0))&amp;"",""))</f>
        <v/>
      </c>
      <c r="AE562" s="52">
        <f>IF(AC562="","",IFERROR(INDEX(ctaTipo,MATCH(AC562,ctaNombre,0))&amp;"",""))</f>
        <v/>
      </c>
      <c r="AF562" s="53">
        <f>IF(OR(P562="",AB562=""),"",IF(OR(P562="Gasto",P562="Transferencia",P562="Pago tarjeta"),-1,1)*IF(IFERROR(INDEX(ctaMoneda,MATCH(AB562,ctaNombre,0))&amp;"","DOP")="USD",T562,S562))</f>
        <v/>
      </c>
      <c r="AG562" s="53">
        <f>IF(AC562="","",IF(IFERROR(INDEX(ctaMoneda,MATCH(AC562,ctaNombre,0))&amp;"","DOP")="USD",T562,S562))</f>
        <v/>
      </c>
      <c r="AH562" s="53">
        <f>IF(P562="","",IF(AND(AD562&lt;&gt;"",COUNTIFS(tcTipo,AD562,tcLiq,"Sí")&gt;0),IF(OR(P562="Gasto",P562="Transferencia",P562="Pago tarjeta"),-1,1)*S562,0)+IF(AND(AE562&lt;&gt;"",COUNTIFS(tcTipo,AE562,tcLiq,"Sí")&gt;0),S562,0))</f>
        <v/>
      </c>
      <c r="AI562" s="52">
        <f>IF(OR(L562="",P562=""),"",IF(COUNTIFS(L$6:L562,L562,P$6:P562,"?*")=1,MAX(AI$5:AI561)+1,""))</f>
        <v/>
      </c>
    </row>
    <row r="563">
      <c r="B563" s="47" t="n"/>
      <c r="C563" s="48" t="n"/>
      <c r="D563" s="48" t="n"/>
      <c r="E563" s="48" t="n"/>
      <c r="F563" s="48" t="n"/>
      <c r="G563" s="49" t="n"/>
      <c r="H563" s="48" t="n"/>
      <c r="I563" s="50" t="n"/>
      <c r="J563" s="48" t="n"/>
      <c r="K563" s="48" t="n"/>
      <c r="L563" s="48" t="n"/>
      <c r="M563" s="48" t="n"/>
      <c r="N563" s="48" t="n"/>
      <c r="O563" s="51">
        <f>IF(AND(B563="",G563="",C563="",D563="",J563=""),"",IF(B563="","⚠ Falta fecha",IF(G563="","⚠ Falta monto",IF(Q563="","⚠ Falta cuenta",IF(ISNA(MATCH(Q563,ctaNombre,0)),"⚠ Cuenta no registrada",IF(AND(OR(P563="Gasto",P563="Reembolso"),D563=""),"⚠ Falta categoría",IF(AND(D563&lt;&gt;"",E563&lt;&gt;"",ISNA(MATCH(D563&amp;"|"&amp;E563,catClave,0))),"⚠ Subcategoría no corresponde",IF(AND(OR(P563="Transferencia",P563="Pago tarjeta"),K563=""),"⚠ Falta cuenta destino",IF(AND(K563&lt;&gt;"",P563&lt;&gt;"Transferencia",P563&lt;&gt;"Pago tarjeta"),"⚠ Destino solo aplica a transferencias",IF(AND(K563&lt;&gt;"",K563=Q563),"⚠ Origen igual a destino",IF(AND(K563&lt;&gt;"",ISNA(MATCH(K563,ctaNombre,0))),"⚠ Destino no registrado",IF(AND(P563="Pago tarjeta",AE563&lt;&gt;"Tarjeta de crédito"),"⚠ El destino debe ser tarjeta de crédito",IF(AND(P563="Gasto",E563="Depósitos y retiros"),"⚠ Usa tipo Transferencia",IF(AND(P563="Resultado trading",AD563&lt;&gt;"Cuenta de trading"),"⚠ Usa una cuenta de trading",IF(AND(G563&lt;=0,P563&lt;&gt;"Ajuste",P563&lt;&gt;"Resultado trading"),"⚠ El monto debe ser positivo","✓")))))))))))))))</f>
        <v/>
      </c>
      <c r="P563" s="52">
        <f>IF(OR(B563="",G563=""),"",IF(C563="","Gasto",C563))</f>
        <v/>
      </c>
      <c r="Q563" s="52">
        <f>IF(P563="","",IF(J563&lt;&gt;"",J563,CuentaPred&amp;""))</f>
        <v/>
      </c>
      <c r="R563" s="52">
        <f>IF(P563="","",IF(ISNUMBER(I563),I563,TasaUSD))</f>
        <v/>
      </c>
      <c r="S563" s="53">
        <f>IF(P563="","",IF(H563="USD",G563*R563,G563))</f>
        <v/>
      </c>
      <c r="T563" s="53">
        <f>IF(P563="","",IF(H563="USD",G563,IF(R563&gt;0,G563/R563,0)))</f>
        <v/>
      </c>
      <c r="U563" s="53">
        <f>IF(P563="","",IF(P563="Gasto",S563,IF(P563="Reembolso",-S563,0)))</f>
        <v/>
      </c>
      <c r="V563" s="53">
        <f>IF(P563="","",IF(P563="Ingreso",S563,0))</f>
        <v/>
      </c>
      <c r="W563" s="53">
        <f>IF(P563="","",IF(P563="Resultado trading",S563,0))</f>
        <v/>
      </c>
      <c r="X563" s="52">
        <f>IF(OR(P563="Gasto",P563="Reembolso"),IF(M563&lt;&gt;"",M563,IFERROR(INDEX(catClasif,MATCH(D563&amp;"|"&amp;E563,catClave,0))&amp;"","Variable")),"")</f>
        <v/>
      </c>
      <c r="Y563" s="52">
        <f>IF(P563="","",IFERROR(INDEX(catGrupo,MATCH(D563&amp;"|"&amp;E563,catClave,0))&amp;"",""))</f>
        <v/>
      </c>
      <c r="Z563" s="52">
        <f>IF(P563="","",WEEKDAY(B563,2))</f>
        <v/>
      </c>
      <c r="AA563" s="52">
        <f>IF(P563="","",IF(AND(P563="Gasto",X563="Variable",D563&lt;&gt;catTrading,S563&gt;0,S563&lt;=Umbral),1,0))</f>
        <v/>
      </c>
      <c r="AB563" s="52">
        <f>IF(OR(P563="",Q563=""),"",IFERROR(IF(INDEX(ctaVinc,MATCH(Q563,ctaNombre,0))&amp;""&lt;&gt;"",INDEX(ctaVinc,MATCH(Q563,ctaNombre,0))&amp;"",Q563),Q563))</f>
        <v/>
      </c>
      <c r="AC563" s="52">
        <f>IF(OR(K563="",AND(P563&lt;&gt;"Transferencia",P563&lt;&gt;"Pago tarjeta")),"",IFERROR(IF(INDEX(ctaVinc,MATCH(K563,ctaNombre,0))&amp;""&lt;&gt;"",INDEX(ctaVinc,MATCH(K563,ctaNombre,0))&amp;"",K563),K563))</f>
        <v/>
      </c>
      <c r="AD563" s="52">
        <f>IF(AB563="","",IFERROR(INDEX(ctaTipo,MATCH(AB563,ctaNombre,0))&amp;"",""))</f>
        <v/>
      </c>
      <c r="AE563" s="52">
        <f>IF(AC563="","",IFERROR(INDEX(ctaTipo,MATCH(AC563,ctaNombre,0))&amp;"",""))</f>
        <v/>
      </c>
      <c r="AF563" s="53">
        <f>IF(OR(P563="",AB563=""),"",IF(OR(P563="Gasto",P563="Transferencia",P563="Pago tarjeta"),-1,1)*IF(IFERROR(INDEX(ctaMoneda,MATCH(AB563,ctaNombre,0))&amp;"","DOP")="USD",T563,S563))</f>
        <v/>
      </c>
      <c r="AG563" s="53">
        <f>IF(AC563="","",IF(IFERROR(INDEX(ctaMoneda,MATCH(AC563,ctaNombre,0))&amp;"","DOP")="USD",T563,S563))</f>
        <v/>
      </c>
      <c r="AH563" s="53">
        <f>IF(P563="","",IF(AND(AD563&lt;&gt;"",COUNTIFS(tcTipo,AD563,tcLiq,"Sí")&gt;0),IF(OR(P563="Gasto",P563="Transferencia",P563="Pago tarjeta"),-1,1)*S563,0)+IF(AND(AE563&lt;&gt;"",COUNTIFS(tcTipo,AE563,tcLiq,"Sí")&gt;0),S563,0))</f>
        <v/>
      </c>
      <c r="AI563" s="52">
        <f>IF(OR(L563="",P563=""),"",IF(COUNTIFS(L$6:L563,L563,P$6:P563,"?*")=1,MAX(AI$5:AI562)+1,""))</f>
        <v/>
      </c>
    </row>
    <row r="564">
      <c r="B564" s="47" t="n"/>
      <c r="C564" s="48" t="n"/>
      <c r="D564" s="48" t="n"/>
      <c r="E564" s="48" t="n"/>
      <c r="F564" s="48" t="n"/>
      <c r="G564" s="49" t="n"/>
      <c r="H564" s="48" t="n"/>
      <c r="I564" s="50" t="n"/>
      <c r="J564" s="48" t="n"/>
      <c r="K564" s="48" t="n"/>
      <c r="L564" s="48" t="n"/>
      <c r="M564" s="48" t="n"/>
      <c r="N564" s="48" t="n"/>
      <c r="O564" s="51">
        <f>IF(AND(B564="",G564="",C564="",D564="",J564=""),"",IF(B564="","⚠ Falta fecha",IF(G564="","⚠ Falta monto",IF(Q564="","⚠ Falta cuenta",IF(ISNA(MATCH(Q564,ctaNombre,0)),"⚠ Cuenta no registrada",IF(AND(OR(P564="Gasto",P564="Reembolso"),D564=""),"⚠ Falta categoría",IF(AND(D564&lt;&gt;"",E564&lt;&gt;"",ISNA(MATCH(D564&amp;"|"&amp;E564,catClave,0))),"⚠ Subcategoría no corresponde",IF(AND(OR(P564="Transferencia",P564="Pago tarjeta"),K564=""),"⚠ Falta cuenta destino",IF(AND(K564&lt;&gt;"",P564&lt;&gt;"Transferencia",P564&lt;&gt;"Pago tarjeta"),"⚠ Destino solo aplica a transferencias",IF(AND(K564&lt;&gt;"",K564=Q564),"⚠ Origen igual a destino",IF(AND(K564&lt;&gt;"",ISNA(MATCH(K564,ctaNombre,0))),"⚠ Destino no registrado",IF(AND(P564="Pago tarjeta",AE564&lt;&gt;"Tarjeta de crédito"),"⚠ El destino debe ser tarjeta de crédito",IF(AND(P564="Gasto",E564="Depósitos y retiros"),"⚠ Usa tipo Transferencia",IF(AND(P564="Resultado trading",AD564&lt;&gt;"Cuenta de trading"),"⚠ Usa una cuenta de trading",IF(AND(G564&lt;=0,P564&lt;&gt;"Ajuste",P564&lt;&gt;"Resultado trading"),"⚠ El monto debe ser positivo","✓")))))))))))))))</f>
        <v/>
      </c>
      <c r="P564" s="52">
        <f>IF(OR(B564="",G564=""),"",IF(C564="","Gasto",C564))</f>
        <v/>
      </c>
      <c r="Q564" s="52">
        <f>IF(P564="","",IF(J564&lt;&gt;"",J564,CuentaPred&amp;""))</f>
        <v/>
      </c>
      <c r="R564" s="52">
        <f>IF(P564="","",IF(ISNUMBER(I564),I564,TasaUSD))</f>
        <v/>
      </c>
      <c r="S564" s="53">
        <f>IF(P564="","",IF(H564="USD",G564*R564,G564))</f>
        <v/>
      </c>
      <c r="T564" s="53">
        <f>IF(P564="","",IF(H564="USD",G564,IF(R564&gt;0,G564/R564,0)))</f>
        <v/>
      </c>
      <c r="U564" s="53">
        <f>IF(P564="","",IF(P564="Gasto",S564,IF(P564="Reembolso",-S564,0)))</f>
        <v/>
      </c>
      <c r="V564" s="53">
        <f>IF(P564="","",IF(P564="Ingreso",S564,0))</f>
        <v/>
      </c>
      <c r="W564" s="53">
        <f>IF(P564="","",IF(P564="Resultado trading",S564,0))</f>
        <v/>
      </c>
      <c r="X564" s="52">
        <f>IF(OR(P564="Gasto",P564="Reembolso"),IF(M564&lt;&gt;"",M564,IFERROR(INDEX(catClasif,MATCH(D564&amp;"|"&amp;E564,catClave,0))&amp;"","Variable")),"")</f>
        <v/>
      </c>
      <c r="Y564" s="52">
        <f>IF(P564="","",IFERROR(INDEX(catGrupo,MATCH(D564&amp;"|"&amp;E564,catClave,0))&amp;"",""))</f>
        <v/>
      </c>
      <c r="Z564" s="52">
        <f>IF(P564="","",WEEKDAY(B564,2))</f>
        <v/>
      </c>
      <c r="AA564" s="52">
        <f>IF(P564="","",IF(AND(P564="Gasto",X564="Variable",D564&lt;&gt;catTrading,S564&gt;0,S564&lt;=Umbral),1,0))</f>
        <v/>
      </c>
      <c r="AB564" s="52">
        <f>IF(OR(P564="",Q564=""),"",IFERROR(IF(INDEX(ctaVinc,MATCH(Q564,ctaNombre,0))&amp;""&lt;&gt;"",INDEX(ctaVinc,MATCH(Q564,ctaNombre,0))&amp;"",Q564),Q564))</f>
        <v/>
      </c>
      <c r="AC564" s="52">
        <f>IF(OR(K564="",AND(P564&lt;&gt;"Transferencia",P564&lt;&gt;"Pago tarjeta")),"",IFERROR(IF(INDEX(ctaVinc,MATCH(K564,ctaNombre,0))&amp;""&lt;&gt;"",INDEX(ctaVinc,MATCH(K564,ctaNombre,0))&amp;"",K564),K564))</f>
        <v/>
      </c>
      <c r="AD564" s="52">
        <f>IF(AB564="","",IFERROR(INDEX(ctaTipo,MATCH(AB564,ctaNombre,0))&amp;"",""))</f>
        <v/>
      </c>
      <c r="AE564" s="52">
        <f>IF(AC564="","",IFERROR(INDEX(ctaTipo,MATCH(AC564,ctaNombre,0))&amp;"",""))</f>
        <v/>
      </c>
      <c r="AF564" s="53">
        <f>IF(OR(P564="",AB564=""),"",IF(OR(P564="Gasto",P564="Transferencia",P564="Pago tarjeta"),-1,1)*IF(IFERROR(INDEX(ctaMoneda,MATCH(AB564,ctaNombre,0))&amp;"","DOP")="USD",T564,S564))</f>
        <v/>
      </c>
      <c r="AG564" s="53">
        <f>IF(AC564="","",IF(IFERROR(INDEX(ctaMoneda,MATCH(AC564,ctaNombre,0))&amp;"","DOP")="USD",T564,S564))</f>
        <v/>
      </c>
      <c r="AH564" s="53">
        <f>IF(P564="","",IF(AND(AD564&lt;&gt;"",COUNTIFS(tcTipo,AD564,tcLiq,"Sí")&gt;0),IF(OR(P564="Gasto",P564="Transferencia",P564="Pago tarjeta"),-1,1)*S564,0)+IF(AND(AE564&lt;&gt;"",COUNTIFS(tcTipo,AE564,tcLiq,"Sí")&gt;0),S564,0))</f>
        <v/>
      </c>
      <c r="AI564" s="52">
        <f>IF(OR(L564="",P564=""),"",IF(COUNTIFS(L$6:L564,L564,P$6:P564,"?*")=1,MAX(AI$5:AI563)+1,""))</f>
        <v/>
      </c>
    </row>
    <row r="565">
      <c r="B565" s="47" t="n"/>
      <c r="C565" s="48" t="n"/>
      <c r="D565" s="48" t="n"/>
      <c r="E565" s="48" t="n"/>
      <c r="F565" s="48" t="n"/>
      <c r="G565" s="49" t="n"/>
      <c r="H565" s="48" t="n"/>
      <c r="I565" s="50" t="n"/>
      <c r="J565" s="48" t="n"/>
      <c r="K565" s="48" t="n"/>
      <c r="L565" s="48" t="n"/>
      <c r="M565" s="48" t="n"/>
      <c r="N565" s="48" t="n"/>
      <c r="O565" s="51">
        <f>IF(AND(B565="",G565="",C565="",D565="",J565=""),"",IF(B565="","⚠ Falta fecha",IF(G565="","⚠ Falta monto",IF(Q565="","⚠ Falta cuenta",IF(ISNA(MATCH(Q565,ctaNombre,0)),"⚠ Cuenta no registrada",IF(AND(OR(P565="Gasto",P565="Reembolso"),D565=""),"⚠ Falta categoría",IF(AND(D565&lt;&gt;"",E565&lt;&gt;"",ISNA(MATCH(D565&amp;"|"&amp;E565,catClave,0))),"⚠ Subcategoría no corresponde",IF(AND(OR(P565="Transferencia",P565="Pago tarjeta"),K565=""),"⚠ Falta cuenta destino",IF(AND(K565&lt;&gt;"",P565&lt;&gt;"Transferencia",P565&lt;&gt;"Pago tarjeta"),"⚠ Destino solo aplica a transferencias",IF(AND(K565&lt;&gt;"",K565=Q565),"⚠ Origen igual a destino",IF(AND(K565&lt;&gt;"",ISNA(MATCH(K565,ctaNombre,0))),"⚠ Destino no registrado",IF(AND(P565="Pago tarjeta",AE565&lt;&gt;"Tarjeta de crédito"),"⚠ El destino debe ser tarjeta de crédito",IF(AND(P565="Gasto",E565="Depósitos y retiros"),"⚠ Usa tipo Transferencia",IF(AND(P565="Resultado trading",AD565&lt;&gt;"Cuenta de trading"),"⚠ Usa una cuenta de trading",IF(AND(G565&lt;=0,P565&lt;&gt;"Ajuste",P565&lt;&gt;"Resultado trading"),"⚠ El monto debe ser positivo","✓")))))))))))))))</f>
        <v/>
      </c>
      <c r="P565" s="52">
        <f>IF(OR(B565="",G565=""),"",IF(C565="","Gasto",C565))</f>
        <v/>
      </c>
      <c r="Q565" s="52">
        <f>IF(P565="","",IF(J565&lt;&gt;"",J565,CuentaPred&amp;""))</f>
        <v/>
      </c>
      <c r="R565" s="52">
        <f>IF(P565="","",IF(ISNUMBER(I565),I565,TasaUSD))</f>
        <v/>
      </c>
      <c r="S565" s="53">
        <f>IF(P565="","",IF(H565="USD",G565*R565,G565))</f>
        <v/>
      </c>
      <c r="T565" s="53">
        <f>IF(P565="","",IF(H565="USD",G565,IF(R565&gt;0,G565/R565,0)))</f>
        <v/>
      </c>
      <c r="U565" s="53">
        <f>IF(P565="","",IF(P565="Gasto",S565,IF(P565="Reembolso",-S565,0)))</f>
        <v/>
      </c>
      <c r="V565" s="53">
        <f>IF(P565="","",IF(P565="Ingreso",S565,0))</f>
        <v/>
      </c>
      <c r="W565" s="53">
        <f>IF(P565="","",IF(P565="Resultado trading",S565,0))</f>
        <v/>
      </c>
      <c r="X565" s="52">
        <f>IF(OR(P565="Gasto",P565="Reembolso"),IF(M565&lt;&gt;"",M565,IFERROR(INDEX(catClasif,MATCH(D565&amp;"|"&amp;E565,catClave,0))&amp;"","Variable")),"")</f>
        <v/>
      </c>
      <c r="Y565" s="52">
        <f>IF(P565="","",IFERROR(INDEX(catGrupo,MATCH(D565&amp;"|"&amp;E565,catClave,0))&amp;"",""))</f>
        <v/>
      </c>
      <c r="Z565" s="52">
        <f>IF(P565="","",WEEKDAY(B565,2))</f>
        <v/>
      </c>
      <c r="AA565" s="52">
        <f>IF(P565="","",IF(AND(P565="Gasto",X565="Variable",D565&lt;&gt;catTrading,S565&gt;0,S565&lt;=Umbral),1,0))</f>
        <v/>
      </c>
      <c r="AB565" s="52">
        <f>IF(OR(P565="",Q565=""),"",IFERROR(IF(INDEX(ctaVinc,MATCH(Q565,ctaNombre,0))&amp;""&lt;&gt;"",INDEX(ctaVinc,MATCH(Q565,ctaNombre,0))&amp;"",Q565),Q565))</f>
        <v/>
      </c>
      <c r="AC565" s="52">
        <f>IF(OR(K565="",AND(P565&lt;&gt;"Transferencia",P565&lt;&gt;"Pago tarjeta")),"",IFERROR(IF(INDEX(ctaVinc,MATCH(K565,ctaNombre,0))&amp;""&lt;&gt;"",INDEX(ctaVinc,MATCH(K565,ctaNombre,0))&amp;"",K565),K565))</f>
        <v/>
      </c>
      <c r="AD565" s="52">
        <f>IF(AB565="","",IFERROR(INDEX(ctaTipo,MATCH(AB565,ctaNombre,0))&amp;"",""))</f>
        <v/>
      </c>
      <c r="AE565" s="52">
        <f>IF(AC565="","",IFERROR(INDEX(ctaTipo,MATCH(AC565,ctaNombre,0))&amp;"",""))</f>
        <v/>
      </c>
      <c r="AF565" s="53">
        <f>IF(OR(P565="",AB565=""),"",IF(OR(P565="Gasto",P565="Transferencia",P565="Pago tarjeta"),-1,1)*IF(IFERROR(INDEX(ctaMoneda,MATCH(AB565,ctaNombre,0))&amp;"","DOP")="USD",T565,S565))</f>
        <v/>
      </c>
      <c r="AG565" s="53">
        <f>IF(AC565="","",IF(IFERROR(INDEX(ctaMoneda,MATCH(AC565,ctaNombre,0))&amp;"","DOP")="USD",T565,S565))</f>
        <v/>
      </c>
      <c r="AH565" s="53">
        <f>IF(P565="","",IF(AND(AD565&lt;&gt;"",COUNTIFS(tcTipo,AD565,tcLiq,"Sí")&gt;0),IF(OR(P565="Gasto",P565="Transferencia",P565="Pago tarjeta"),-1,1)*S565,0)+IF(AND(AE565&lt;&gt;"",COUNTIFS(tcTipo,AE565,tcLiq,"Sí")&gt;0),S565,0))</f>
        <v/>
      </c>
      <c r="AI565" s="52">
        <f>IF(OR(L565="",P565=""),"",IF(COUNTIFS(L$6:L565,L565,P$6:P565,"?*")=1,MAX(AI$5:AI564)+1,""))</f>
        <v/>
      </c>
    </row>
    <row r="566">
      <c r="B566" s="47" t="n"/>
      <c r="C566" s="48" t="n"/>
      <c r="D566" s="48" t="n"/>
      <c r="E566" s="48" t="n"/>
      <c r="F566" s="48" t="n"/>
      <c r="G566" s="49" t="n"/>
      <c r="H566" s="48" t="n"/>
      <c r="I566" s="50" t="n"/>
      <c r="J566" s="48" t="n"/>
      <c r="K566" s="48" t="n"/>
      <c r="L566" s="48" t="n"/>
      <c r="M566" s="48" t="n"/>
      <c r="N566" s="48" t="n"/>
      <c r="O566" s="51">
        <f>IF(AND(B566="",G566="",C566="",D566="",J566=""),"",IF(B566="","⚠ Falta fecha",IF(G566="","⚠ Falta monto",IF(Q566="","⚠ Falta cuenta",IF(ISNA(MATCH(Q566,ctaNombre,0)),"⚠ Cuenta no registrada",IF(AND(OR(P566="Gasto",P566="Reembolso"),D566=""),"⚠ Falta categoría",IF(AND(D566&lt;&gt;"",E566&lt;&gt;"",ISNA(MATCH(D566&amp;"|"&amp;E566,catClave,0))),"⚠ Subcategoría no corresponde",IF(AND(OR(P566="Transferencia",P566="Pago tarjeta"),K566=""),"⚠ Falta cuenta destino",IF(AND(K566&lt;&gt;"",P566&lt;&gt;"Transferencia",P566&lt;&gt;"Pago tarjeta"),"⚠ Destino solo aplica a transferencias",IF(AND(K566&lt;&gt;"",K566=Q566),"⚠ Origen igual a destino",IF(AND(K566&lt;&gt;"",ISNA(MATCH(K566,ctaNombre,0))),"⚠ Destino no registrado",IF(AND(P566="Pago tarjeta",AE566&lt;&gt;"Tarjeta de crédito"),"⚠ El destino debe ser tarjeta de crédito",IF(AND(P566="Gasto",E566="Depósitos y retiros"),"⚠ Usa tipo Transferencia",IF(AND(P566="Resultado trading",AD566&lt;&gt;"Cuenta de trading"),"⚠ Usa una cuenta de trading",IF(AND(G566&lt;=0,P566&lt;&gt;"Ajuste",P566&lt;&gt;"Resultado trading"),"⚠ El monto debe ser positivo","✓")))))))))))))))</f>
        <v/>
      </c>
      <c r="P566" s="52">
        <f>IF(OR(B566="",G566=""),"",IF(C566="","Gasto",C566))</f>
        <v/>
      </c>
      <c r="Q566" s="52">
        <f>IF(P566="","",IF(J566&lt;&gt;"",J566,CuentaPred&amp;""))</f>
        <v/>
      </c>
      <c r="R566" s="52">
        <f>IF(P566="","",IF(ISNUMBER(I566),I566,TasaUSD))</f>
        <v/>
      </c>
      <c r="S566" s="53">
        <f>IF(P566="","",IF(H566="USD",G566*R566,G566))</f>
        <v/>
      </c>
      <c r="T566" s="53">
        <f>IF(P566="","",IF(H566="USD",G566,IF(R566&gt;0,G566/R566,0)))</f>
        <v/>
      </c>
      <c r="U566" s="53">
        <f>IF(P566="","",IF(P566="Gasto",S566,IF(P566="Reembolso",-S566,0)))</f>
        <v/>
      </c>
      <c r="V566" s="53">
        <f>IF(P566="","",IF(P566="Ingreso",S566,0))</f>
        <v/>
      </c>
      <c r="W566" s="53">
        <f>IF(P566="","",IF(P566="Resultado trading",S566,0))</f>
        <v/>
      </c>
      <c r="X566" s="52">
        <f>IF(OR(P566="Gasto",P566="Reembolso"),IF(M566&lt;&gt;"",M566,IFERROR(INDEX(catClasif,MATCH(D566&amp;"|"&amp;E566,catClave,0))&amp;"","Variable")),"")</f>
        <v/>
      </c>
      <c r="Y566" s="52">
        <f>IF(P566="","",IFERROR(INDEX(catGrupo,MATCH(D566&amp;"|"&amp;E566,catClave,0))&amp;"",""))</f>
        <v/>
      </c>
      <c r="Z566" s="52">
        <f>IF(P566="","",WEEKDAY(B566,2))</f>
        <v/>
      </c>
      <c r="AA566" s="52">
        <f>IF(P566="","",IF(AND(P566="Gasto",X566="Variable",D566&lt;&gt;catTrading,S566&gt;0,S566&lt;=Umbral),1,0))</f>
        <v/>
      </c>
      <c r="AB566" s="52">
        <f>IF(OR(P566="",Q566=""),"",IFERROR(IF(INDEX(ctaVinc,MATCH(Q566,ctaNombre,0))&amp;""&lt;&gt;"",INDEX(ctaVinc,MATCH(Q566,ctaNombre,0))&amp;"",Q566),Q566))</f>
        <v/>
      </c>
      <c r="AC566" s="52">
        <f>IF(OR(K566="",AND(P566&lt;&gt;"Transferencia",P566&lt;&gt;"Pago tarjeta")),"",IFERROR(IF(INDEX(ctaVinc,MATCH(K566,ctaNombre,0))&amp;""&lt;&gt;"",INDEX(ctaVinc,MATCH(K566,ctaNombre,0))&amp;"",K566),K566))</f>
        <v/>
      </c>
      <c r="AD566" s="52">
        <f>IF(AB566="","",IFERROR(INDEX(ctaTipo,MATCH(AB566,ctaNombre,0))&amp;"",""))</f>
        <v/>
      </c>
      <c r="AE566" s="52">
        <f>IF(AC566="","",IFERROR(INDEX(ctaTipo,MATCH(AC566,ctaNombre,0))&amp;"",""))</f>
        <v/>
      </c>
      <c r="AF566" s="53">
        <f>IF(OR(P566="",AB566=""),"",IF(OR(P566="Gasto",P566="Transferencia",P566="Pago tarjeta"),-1,1)*IF(IFERROR(INDEX(ctaMoneda,MATCH(AB566,ctaNombre,0))&amp;"","DOP")="USD",T566,S566))</f>
        <v/>
      </c>
      <c r="AG566" s="53">
        <f>IF(AC566="","",IF(IFERROR(INDEX(ctaMoneda,MATCH(AC566,ctaNombre,0))&amp;"","DOP")="USD",T566,S566))</f>
        <v/>
      </c>
      <c r="AH566" s="53">
        <f>IF(P566="","",IF(AND(AD566&lt;&gt;"",COUNTIFS(tcTipo,AD566,tcLiq,"Sí")&gt;0),IF(OR(P566="Gasto",P566="Transferencia",P566="Pago tarjeta"),-1,1)*S566,0)+IF(AND(AE566&lt;&gt;"",COUNTIFS(tcTipo,AE566,tcLiq,"Sí")&gt;0),S566,0))</f>
        <v/>
      </c>
      <c r="AI566" s="52">
        <f>IF(OR(L566="",P566=""),"",IF(COUNTIFS(L$6:L566,L566,P$6:P566,"?*")=1,MAX(AI$5:AI565)+1,""))</f>
        <v/>
      </c>
    </row>
    <row r="567">
      <c r="B567" s="47" t="n"/>
      <c r="C567" s="48" t="n"/>
      <c r="D567" s="48" t="n"/>
      <c r="E567" s="48" t="n"/>
      <c r="F567" s="48" t="n"/>
      <c r="G567" s="49" t="n"/>
      <c r="H567" s="48" t="n"/>
      <c r="I567" s="50" t="n"/>
      <c r="J567" s="48" t="n"/>
      <c r="K567" s="48" t="n"/>
      <c r="L567" s="48" t="n"/>
      <c r="M567" s="48" t="n"/>
      <c r="N567" s="48" t="n"/>
      <c r="O567" s="51">
        <f>IF(AND(B567="",G567="",C567="",D567="",J567=""),"",IF(B567="","⚠ Falta fecha",IF(G567="","⚠ Falta monto",IF(Q567="","⚠ Falta cuenta",IF(ISNA(MATCH(Q567,ctaNombre,0)),"⚠ Cuenta no registrada",IF(AND(OR(P567="Gasto",P567="Reembolso"),D567=""),"⚠ Falta categoría",IF(AND(D567&lt;&gt;"",E567&lt;&gt;"",ISNA(MATCH(D567&amp;"|"&amp;E567,catClave,0))),"⚠ Subcategoría no corresponde",IF(AND(OR(P567="Transferencia",P567="Pago tarjeta"),K567=""),"⚠ Falta cuenta destino",IF(AND(K567&lt;&gt;"",P567&lt;&gt;"Transferencia",P567&lt;&gt;"Pago tarjeta"),"⚠ Destino solo aplica a transferencias",IF(AND(K567&lt;&gt;"",K567=Q567),"⚠ Origen igual a destino",IF(AND(K567&lt;&gt;"",ISNA(MATCH(K567,ctaNombre,0))),"⚠ Destino no registrado",IF(AND(P567="Pago tarjeta",AE567&lt;&gt;"Tarjeta de crédito"),"⚠ El destino debe ser tarjeta de crédito",IF(AND(P567="Gasto",E567="Depósitos y retiros"),"⚠ Usa tipo Transferencia",IF(AND(P567="Resultado trading",AD567&lt;&gt;"Cuenta de trading"),"⚠ Usa una cuenta de trading",IF(AND(G567&lt;=0,P567&lt;&gt;"Ajuste",P567&lt;&gt;"Resultado trading"),"⚠ El monto debe ser positivo","✓")))))))))))))))</f>
        <v/>
      </c>
      <c r="P567" s="52">
        <f>IF(OR(B567="",G567=""),"",IF(C567="","Gasto",C567))</f>
        <v/>
      </c>
      <c r="Q567" s="52">
        <f>IF(P567="","",IF(J567&lt;&gt;"",J567,CuentaPred&amp;""))</f>
        <v/>
      </c>
      <c r="R567" s="52">
        <f>IF(P567="","",IF(ISNUMBER(I567),I567,TasaUSD))</f>
        <v/>
      </c>
      <c r="S567" s="53">
        <f>IF(P567="","",IF(H567="USD",G567*R567,G567))</f>
        <v/>
      </c>
      <c r="T567" s="53">
        <f>IF(P567="","",IF(H567="USD",G567,IF(R567&gt;0,G567/R567,0)))</f>
        <v/>
      </c>
      <c r="U567" s="53">
        <f>IF(P567="","",IF(P567="Gasto",S567,IF(P567="Reembolso",-S567,0)))</f>
        <v/>
      </c>
      <c r="V567" s="53">
        <f>IF(P567="","",IF(P567="Ingreso",S567,0))</f>
        <v/>
      </c>
      <c r="W567" s="53">
        <f>IF(P567="","",IF(P567="Resultado trading",S567,0))</f>
        <v/>
      </c>
      <c r="X567" s="52">
        <f>IF(OR(P567="Gasto",P567="Reembolso"),IF(M567&lt;&gt;"",M567,IFERROR(INDEX(catClasif,MATCH(D567&amp;"|"&amp;E567,catClave,0))&amp;"","Variable")),"")</f>
        <v/>
      </c>
      <c r="Y567" s="52">
        <f>IF(P567="","",IFERROR(INDEX(catGrupo,MATCH(D567&amp;"|"&amp;E567,catClave,0))&amp;"",""))</f>
        <v/>
      </c>
      <c r="Z567" s="52">
        <f>IF(P567="","",WEEKDAY(B567,2))</f>
        <v/>
      </c>
      <c r="AA567" s="52">
        <f>IF(P567="","",IF(AND(P567="Gasto",X567="Variable",D567&lt;&gt;catTrading,S567&gt;0,S567&lt;=Umbral),1,0))</f>
        <v/>
      </c>
      <c r="AB567" s="52">
        <f>IF(OR(P567="",Q567=""),"",IFERROR(IF(INDEX(ctaVinc,MATCH(Q567,ctaNombre,0))&amp;""&lt;&gt;"",INDEX(ctaVinc,MATCH(Q567,ctaNombre,0))&amp;"",Q567),Q567))</f>
        <v/>
      </c>
      <c r="AC567" s="52">
        <f>IF(OR(K567="",AND(P567&lt;&gt;"Transferencia",P567&lt;&gt;"Pago tarjeta")),"",IFERROR(IF(INDEX(ctaVinc,MATCH(K567,ctaNombre,0))&amp;""&lt;&gt;"",INDEX(ctaVinc,MATCH(K567,ctaNombre,0))&amp;"",K567),K567))</f>
        <v/>
      </c>
      <c r="AD567" s="52">
        <f>IF(AB567="","",IFERROR(INDEX(ctaTipo,MATCH(AB567,ctaNombre,0))&amp;"",""))</f>
        <v/>
      </c>
      <c r="AE567" s="52">
        <f>IF(AC567="","",IFERROR(INDEX(ctaTipo,MATCH(AC567,ctaNombre,0))&amp;"",""))</f>
        <v/>
      </c>
      <c r="AF567" s="53">
        <f>IF(OR(P567="",AB567=""),"",IF(OR(P567="Gasto",P567="Transferencia",P567="Pago tarjeta"),-1,1)*IF(IFERROR(INDEX(ctaMoneda,MATCH(AB567,ctaNombre,0))&amp;"","DOP")="USD",T567,S567))</f>
        <v/>
      </c>
      <c r="AG567" s="53">
        <f>IF(AC567="","",IF(IFERROR(INDEX(ctaMoneda,MATCH(AC567,ctaNombre,0))&amp;"","DOP")="USD",T567,S567))</f>
        <v/>
      </c>
      <c r="AH567" s="53">
        <f>IF(P567="","",IF(AND(AD567&lt;&gt;"",COUNTIFS(tcTipo,AD567,tcLiq,"Sí")&gt;0),IF(OR(P567="Gasto",P567="Transferencia",P567="Pago tarjeta"),-1,1)*S567,0)+IF(AND(AE567&lt;&gt;"",COUNTIFS(tcTipo,AE567,tcLiq,"Sí")&gt;0),S567,0))</f>
        <v/>
      </c>
      <c r="AI567" s="52">
        <f>IF(OR(L567="",P567=""),"",IF(COUNTIFS(L$6:L567,L567,P$6:P567,"?*")=1,MAX(AI$5:AI566)+1,""))</f>
        <v/>
      </c>
    </row>
    <row r="568">
      <c r="B568" s="47" t="n"/>
      <c r="C568" s="48" t="n"/>
      <c r="D568" s="48" t="n"/>
      <c r="E568" s="48" t="n"/>
      <c r="F568" s="48" t="n"/>
      <c r="G568" s="49" t="n"/>
      <c r="H568" s="48" t="n"/>
      <c r="I568" s="50" t="n"/>
      <c r="J568" s="48" t="n"/>
      <c r="K568" s="48" t="n"/>
      <c r="L568" s="48" t="n"/>
      <c r="M568" s="48" t="n"/>
      <c r="N568" s="48" t="n"/>
      <c r="O568" s="51">
        <f>IF(AND(B568="",G568="",C568="",D568="",J568=""),"",IF(B568="","⚠ Falta fecha",IF(G568="","⚠ Falta monto",IF(Q568="","⚠ Falta cuenta",IF(ISNA(MATCH(Q568,ctaNombre,0)),"⚠ Cuenta no registrada",IF(AND(OR(P568="Gasto",P568="Reembolso"),D568=""),"⚠ Falta categoría",IF(AND(D568&lt;&gt;"",E568&lt;&gt;"",ISNA(MATCH(D568&amp;"|"&amp;E568,catClave,0))),"⚠ Subcategoría no corresponde",IF(AND(OR(P568="Transferencia",P568="Pago tarjeta"),K568=""),"⚠ Falta cuenta destino",IF(AND(K568&lt;&gt;"",P568&lt;&gt;"Transferencia",P568&lt;&gt;"Pago tarjeta"),"⚠ Destino solo aplica a transferencias",IF(AND(K568&lt;&gt;"",K568=Q568),"⚠ Origen igual a destino",IF(AND(K568&lt;&gt;"",ISNA(MATCH(K568,ctaNombre,0))),"⚠ Destino no registrado",IF(AND(P568="Pago tarjeta",AE568&lt;&gt;"Tarjeta de crédito"),"⚠ El destino debe ser tarjeta de crédito",IF(AND(P568="Gasto",E568="Depósitos y retiros"),"⚠ Usa tipo Transferencia",IF(AND(P568="Resultado trading",AD568&lt;&gt;"Cuenta de trading"),"⚠ Usa una cuenta de trading",IF(AND(G568&lt;=0,P568&lt;&gt;"Ajuste",P568&lt;&gt;"Resultado trading"),"⚠ El monto debe ser positivo","✓")))))))))))))))</f>
        <v/>
      </c>
      <c r="P568" s="52">
        <f>IF(OR(B568="",G568=""),"",IF(C568="","Gasto",C568))</f>
        <v/>
      </c>
      <c r="Q568" s="52">
        <f>IF(P568="","",IF(J568&lt;&gt;"",J568,CuentaPred&amp;""))</f>
        <v/>
      </c>
      <c r="R568" s="52">
        <f>IF(P568="","",IF(ISNUMBER(I568),I568,TasaUSD))</f>
        <v/>
      </c>
      <c r="S568" s="53">
        <f>IF(P568="","",IF(H568="USD",G568*R568,G568))</f>
        <v/>
      </c>
      <c r="T568" s="53">
        <f>IF(P568="","",IF(H568="USD",G568,IF(R568&gt;0,G568/R568,0)))</f>
        <v/>
      </c>
      <c r="U568" s="53">
        <f>IF(P568="","",IF(P568="Gasto",S568,IF(P568="Reembolso",-S568,0)))</f>
        <v/>
      </c>
      <c r="V568" s="53">
        <f>IF(P568="","",IF(P568="Ingreso",S568,0))</f>
        <v/>
      </c>
      <c r="W568" s="53">
        <f>IF(P568="","",IF(P568="Resultado trading",S568,0))</f>
        <v/>
      </c>
      <c r="X568" s="52">
        <f>IF(OR(P568="Gasto",P568="Reembolso"),IF(M568&lt;&gt;"",M568,IFERROR(INDEX(catClasif,MATCH(D568&amp;"|"&amp;E568,catClave,0))&amp;"","Variable")),"")</f>
        <v/>
      </c>
      <c r="Y568" s="52">
        <f>IF(P568="","",IFERROR(INDEX(catGrupo,MATCH(D568&amp;"|"&amp;E568,catClave,0))&amp;"",""))</f>
        <v/>
      </c>
      <c r="Z568" s="52">
        <f>IF(P568="","",WEEKDAY(B568,2))</f>
        <v/>
      </c>
      <c r="AA568" s="52">
        <f>IF(P568="","",IF(AND(P568="Gasto",X568="Variable",D568&lt;&gt;catTrading,S568&gt;0,S568&lt;=Umbral),1,0))</f>
        <v/>
      </c>
      <c r="AB568" s="52">
        <f>IF(OR(P568="",Q568=""),"",IFERROR(IF(INDEX(ctaVinc,MATCH(Q568,ctaNombre,0))&amp;""&lt;&gt;"",INDEX(ctaVinc,MATCH(Q568,ctaNombre,0))&amp;"",Q568),Q568))</f>
        <v/>
      </c>
      <c r="AC568" s="52">
        <f>IF(OR(K568="",AND(P568&lt;&gt;"Transferencia",P568&lt;&gt;"Pago tarjeta")),"",IFERROR(IF(INDEX(ctaVinc,MATCH(K568,ctaNombre,0))&amp;""&lt;&gt;"",INDEX(ctaVinc,MATCH(K568,ctaNombre,0))&amp;"",K568),K568))</f>
        <v/>
      </c>
      <c r="AD568" s="52">
        <f>IF(AB568="","",IFERROR(INDEX(ctaTipo,MATCH(AB568,ctaNombre,0))&amp;"",""))</f>
        <v/>
      </c>
      <c r="AE568" s="52">
        <f>IF(AC568="","",IFERROR(INDEX(ctaTipo,MATCH(AC568,ctaNombre,0))&amp;"",""))</f>
        <v/>
      </c>
      <c r="AF568" s="53">
        <f>IF(OR(P568="",AB568=""),"",IF(OR(P568="Gasto",P568="Transferencia",P568="Pago tarjeta"),-1,1)*IF(IFERROR(INDEX(ctaMoneda,MATCH(AB568,ctaNombre,0))&amp;"","DOP")="USD",T568,S568))</f>
        <v/>
      </c>
      <c r="AG568" s="53">
        <f>IF(AC568="","",IF(IFERROR(INDEX(ctaMoneda,MATCH(AC568,ctaNombre,0))&amp;"","DOP")="USD",T568,S568))</f>
        <v/>
      </c>
      <c r="AH568" s="53">
        <f>IF(P568="","",IF(AND(AD568&lt;&gt;"",COUNTIFS(tcTipo,AD568,tcLiq,"Sí")&gt;0),IF(OR(P568="Gasto",P568="Transferencia",P568="Pago tarjeta"),-1,1)*S568,0)+IF(AND(AE568&lt;&gt;"",COUNTIFS(tcTipo,AE568,tcLiq,"Sí")&gt;0),S568,0))</f>
        <v/>
      </c>
      <c r="AI568" s="52">
        <f>IF(OR(L568="",P568=""),"",IF(COUNTIFS(L$6:L568,L568,P$6:P568,"?*")=1,MAX(AI$5:AI567)+1,""))</f>
        <v/>
      </c>
    </row>
    <row r="569">
      <c r="B569" s="47" t="n"/>
      <c r="C569" s="48" t="n"/>
      <c r="D569" s="48" t="n"/>
      <c r="E569" s="48" t="n"/>
      <c r="F569" s="48" t="n"/>
      <c r="G569" s="49" t="n"/>
      <c r="H569" s="48" t="n"/>
      <c r="I569" s="50" t="n"/>
      <c r="J569" s="48" t="n"/>
      <c r="K569" s="48" t="n"/>
      <c r="L569" s="48" t="n"/>
      <c r="M569" s="48" t="n"/>
      <c r="N569" s="48" t="n"/>
      <c r="O569" s="51">
        <f>IF(AND(B569="",G569="",C569="",D569="",J569=""),"",IF(B569="","⚠ Falta fecha",IF(G569="","⚠ Falta monto",IF(Q569="","⚠ Falta cuenta",IF(ISNA(MATCH(Q569,ctaNombre,0)),"⚠ Cuenta no registrada",IF(AND(OR(P569="Gasto",P569="Reembolso"),D569=""),"⚠ Falta categoría",IF(AND(D569&lt;&gt;"",E569&lt;&gt;"",ISNA(MATCH(D569&amp;"|"&amp;E569,catClave,0))),"⚠ Subcategoría no corresponde",IF(AND(OR(P569="Transferencia",P569="Pago tarjeta"),K569=""),"⚠ Falta cuenta destino",IF(AND(K569&lt;&gt;"",P569&lt;&gt;"Transferencia",P569&lt;&gt;"Pago tarjeta"),"⚠ Destino solo aplica a transferencias",IF(AND(K569&lt;&gt;"",K569=Q569),"⚠ Origen igual a destino",IF(AND(K569&lt;&gt;"",ISNA(MATCH(K569,ctaNombre,0))),"⚠ Destino no registrado",IF(AND(P569="Pago tarjeta",AE569&lt;&gt;"Tarjeta de crédito"),"⚠ El destino debe ser tarjeta de crédito",IF(AND(P569="Gasto",E569="Depósitos y retiros"),"⚠ Usa tipo Transferencia",IF(AND(P569="Resultado trading",AD569&lt;&gt;"Cuenta de trading"),"⚠ Usa una cuenta de trading",IF(AND(G569&lt;=0,P569&lt;&gt;"Ajuste",P569&lt;&gt;"Resultado trading"),"⚠ El monto debe ser positivo","✓")))))))))))))))</f>
        <v/>
      </c>
      <c r="P569" s="52">
        <f>IF(OR(B569="",G569=""),"",IF(C569="","Gasto",C569))</f>
        <v/>
      </c>
      <c r="Q569" s="52">
        <f>IF(P569="","",IF(J569&lt;&gt;"",J569,CuentaPred&amp;""))</f>
        <v/>
      </c>
      <c r="R569" s="52">
        <f>IF(P569="","",IF(ISNUMBER(I569),I569,TasaUSD))</f>
        <v/>
      </c>
      <c r="S569" s="53">
        <f>IF(P569="","",IF(H569="USD",G569*R569,G569))</f>
        <v/>
      </c>
      <c r="T569" s="53">
        <f>IF(P569="","",IF(H569="USD",G569,IF(R569&gt;0,G569/R569,0)))</f>
        <v/>
      </c>
      <c r="U569" s="53">
        <f>IF(P569="","",IF(P569="Gasto",S569,IF(P569="Reembolso",-S569,0)))</f>
        <v/>
      </c>
      <c r="V569" s="53">
        <f>IF(P569="","",IF(P569="Ingreso",S569,0))</f>
        <v/>
      </c>
      <c r="W569" s="53">
        <f>IF(P569="","",IF(P569="Resultado trading",S569,0))</f>
        <v/>
      </c>
      <c r="X569" s="52">
        <f>IF(OR(P569="Gasto",P569="Reembolso"),IF(M569&lt;&gt;"",M569,IFERROR(INDEX(catClasif,MATCH(D569&amp;"|"&amp;E569,catClave,0))&amp;"","Variable")),"")</f>
        <v/>
      </c>
      <c r="Y569" s="52">
        <f>IF(P569="","",IFERROR(INDEX(catGrupo,MATCH(D569&amp;"|"&amp;E569,catClave,0))&amp;"",""))</f>
        <v/>
      </c>
      <c r="Z569" s="52">
        <f>IF(P569="","",WEEKDAY(B569,2))</f>
        <v/>
      </c>
      <c r="AA569" s="52">
        <f>IF(P569="","",IF(AND(P569="Gasto",X569="Variable",D569&lt;&gt;catTrading,S569&gt;0,S569&lt;=Umbral),1,0))</f>
        <v/>
      </c>
      <c r="AB569" s="52">
        <f>IF(OR(P569="",Q569=""),"",IFERROR(IF(INDEX(ctaVinc,MATCH(Q569,ctaNombre,0))&amp;""&lt;&gt;"",INDEX(ctaVinc,MATCH(Q569,ctaNombre,0))&amp;"",Q569),Q569))</f>
        <v/>
      </c>
      <c r="AC569" s="52">
        <f>IF(OR(K569="",AND(P569&lt;&gt;"Transferencia",P569&lt;&gt;"Pago tarjeta")),"",IFERROR(IF(INDEX(ctaVinc,MATCH(K569,ctaNombre,0))&amp;""&lt;&gt;"",INDEX(ctaVinc,MATCH(K569,ctaNombre,0))&amp;"",K569),K569))</f>
        <v/>
      </c>
      <c r="AD569" s="52">
        <f>IF(AB569="","",IFERROR(INDEX(ctaTipo,MATCH(AB569,ctaNombre,0))&amp;"",""))</f>
        <v/>
      </c>
      <c r="AE569" s="52">
        <f>IF(AC569="","",IFERROR(INDEX(ctaTipo,MATCH(AC569,ctaNombre,0))&amp;"",""))</f>
        <v/>
      </c>
      <c r="AF569" s="53">
        <f>IF(OR(P569="",AB569=""),"",IF(OR(P569="Gasto",P569="Transferencia",P569="Pago tarjeta"),-1,1)*IF(IFERROR(INDEX(ctaMoneda,MATCH(AB569,ctaNombre,0))&amp;"","DOP")="USD",T569,S569))</f>
        <v/>
      </c>
      <c r="AG569" s="53">
        <f>IF(AC569="","",IF(IFERROR(INDEX(ctaMoneda,MATCH(AC569,ctaNombre,0))&amp;"","DOP")="USD",T569,S569))</f>
        <v/>
      </c>
      <c r="AH569" s="53">
        <f>IF(P569="","",IF(AND(AD569&lt;&gt;"",COUNTIFS(tcTipo,AD569,tcLiq,"Sí")&gt;0),IF(OR(P569="Gasto",P569="Transferencia",P569="Pago tarjeta"),-1,1)*S569,0)+IF(AND(AE569&lt;&gt;"",COUNTIFS(tcTipo,AE569,tcLiq,"Sí")&gt;0),S569,0))</f>
        <v/>
      </c>
      <c r="AI569" s="52">
        <f>IF(OR(L569="",P569=""),"",IF(COUNTIFS(L$6:L569,L569,P$6:P569,"?*")=1,MAX(AI$5:AI568)+1,""))</f>
        <v/>
      </c>
    </row>
    <row r="570">
      <c r="B570" s="47" t="n"/>
      <c r="C570" s="48" t="n"/>
      <c r="D570" s="48" t="n"/>
      <c r="E570" s="48" t="n"/>
      <c r="F570" s="48" t="n"/>
      <c r="G570" s="49" t="n"/>
      <c r="H570" s="48" t="n"/>
      <c r="I570" s="50" t="n"/>
      <c r="J570" s="48" t="n"/>
      <c r="K570" s="48" t="n"/>
      <c r="L570" s="48" t="n"/>
      <c r="M570" s="48" t="n"/>
      <c r="N570" s="48" t="n"/>
      <c r="O570" s="51">
        <f>IF(AND(B570="",G570="",C570="",D570="",J570=""),"",IF(B570="","⚠ Falta fecha",IF(G570="","⚠ Falta monto",IF(Q570="","⚠ Falta cuenta",IF(ISNA(MATCH(Q570,ctaNombre,0)),"⚠ Cuenta no registrada",IF(AND(OR(P570="Gasto",P570="Reembolso"),D570=""),"⚠ Falta categoría",IF(AND(D570&lt;&gt;"",E570&lt;&gt;"",ISNA(MATCH(D570&amp;"|"&amp;E570,catClave,0))),"⚠ Subcategoría no corresponde",IF(AND(OR(P570="Transferencia",P570="Pago tarjeta"),K570=""),"⚠ Falta cuenta destino",IF(AND(K570&lt;&gt;"",P570&lt;&gt;"Transferencia",P570&lt;&gt;"Pago tarjeta"),"⚠ Destino solo aplica a transferencias",IF(AND(K570&lt;&gt;"",K570=Q570),"⚠ Origen igual a destino",IF(AND(K570&lt;&gt;"",ISNA(MATCH(K570,ctaNombre,0))),"⚠ Destino no registrado",IF(AND(P570="Pago tarjeta",AE570&lt;&gt;"Tarjeta de crédito"),"⚠ El destino debe ser tarjeta de crédito",IF(AND(P570="Gasto",E570="Depósitos y retiros"),"⚠ Usa tipo Transferencia",IF(AND(P570="Resultado trading",AD570&lt;&gt;"Cuenta de trading"),"⚠ Usa una cuenta de trading",IF(AND(G570&lt;=0,P570&lt;&gt;"Ajuste",P570&lt;&gt;"Resultado trading"),"⚠ El monto debe ser positivo","✓")))))))))))))))</f>
        <v/>
      </c>
      <c r="P570" s="52">
        <f>IF(OR(B570="",G570=""),"",IF(C570="","Gasto",C570))</f>
        <v/>
      </c>
      <c r="Q570" s="52">
        <f>IF(P570="","",IF(J570&lt;&gt;"",J570,CuentaPred&amp;""))</f>
        <v/>
      </c>
      <c r="R570" s="52">
        <f>IF(P570="","",IF(ISNUMBER(I570),I570,TasaUSD))</f>
        <v/>
      </c>
      <c r="S570" s="53">
        <f>IF(P570="","",IF(H570="USD",G570*R570,G570))</f>
        <v/>
      </c>
      <c r="T570" s="53">
        <f>IF(P570="","",IF(H570="USD",G570,IF(R570&gt;0,G570/R570,0)))</f>
        <v/>
      </c>
      <c r="U570" s="53">
        <f>IF(P570="","",IF(P570="Gasto",S570,IF(P570="Reembolso",-S570,0)))</f>
        <v/>
      </c>
      <c r="V570" s="53">
        <f>IF(P570="","",IF(P570="Ingreso",S570,0))</f>
        <v/>
      </c>
      <c r="W570" s="53">
        <f>IF(P570="","",IF(P570="Resultado trading",S570,0))</f>
        <v/>
      </c>
      <c r="X570" s="52">
        <f>IF(OR(P570="Gasto",P570="Reembolso"),IF(M570&lt;&gt;"",M570,IFERROR(INDEX(catClasif,MATCH(D570&amp;"|"&amp;E570,catClave,0))&amp;"","Variable")),"")</f>
        <v/>
      </c>
      <c r="Y570" s="52">
        <f>IF(P570="","",IFERROR(INDEX(catGrupo,MATCH(D570&amp;"|"&amp;E570,catClave,0))&amp;"",""))</f>
        <v/>
      </c>
      <c r="Z570" s="52">
        <f>IF(P570="","",WEEKDAY(B570,2))</f>
        <v/>
      </c>
      <c r="AA570" s="52">
        <f>IF(P570="","",IF(AND(P570="Gasto",X570="Variable",D570&lt;&gt;catTrading,S570&gt;0,S570&lt;=Umbral),1,0))</f>
        <v/>
      </c>
      <c r="AB570" s="52">
        <f>IF(OR(P570="",Q570=""),"",IFERROR(IF(INDEX(ctaVinc,MATCH(Q570,ctaNombre,0))&amp;""&lt;&gt;"",INDEX(ctaVinc,MATCH(Q570,ctaNombre,0))&amp;"",Q570),Q570))</f>
        <v/>
      </c>
      <c r="AC570" s="52">
        <f>IF(OR(K570="",AND(P570&lt;&gt;"Transferencia",P570&lt;&gt;"Pago tarjeta")),"",IFERROR(IF(INDEX(ctaVinc,MATCH(K570,ctaNombre,0))&amp;""&lt;&gt;"",INDEX(ctaVinc,MATCH(K570,ctaNombre,0))&amp;"",K570),K570))</f>
        <v/>
      </c>
      <c r="AD570" s="52">
        <f>IF(AB570="","",IFERROR(INDEX(ctaTipo,MATCH(AB570,ctaNombre,0))&amp;"",""))</f>
        <v/>
      </c>
      <c r="AE570" s="52">
        <f>IF(AC570="","",IFERROR(INDEX(ctaTipo,MATCH(AC570,ctaNombre,0))&amp;"",""))</f>
        <v/>
      </c>
      <c r="AF570" s="53">
        <f>IF(OR(P570="",AB570=""),"",IF(OR(P570="Gasto",P570="Transferencia",P570="Pago tarjeta"),-1,1)*IF(IFERROR(INDEX(ctaMoneda,MATCH(AB570,ctaNombre,0))&amp;"","DOP")="USD",T570,S570))</f>
        <v/>
      </c>
      <c r="AG570" s="53">
        <f>IF(AC570="","",IF(IFERROR(INDEX(ctaMoneda,MATCH(AC570,ctaNombre,0))&amp;"","DOP")="USD",T570,S570))</f>
        <v/>
      </c>
      <c r="AH570" s="53">
        <f>IF(P570="","",IF(AND(AD570&lt;&gt;"",COUNTIFS(tcTipo,AD570,tcLiq,"Sí")&gt;0),IF(OR(P570="Gasto",P570="Transferencia",P570="Pago tarjeta"),-1,1)*S570,0)+IF(AND(AE570&lt;&gt;"",COUNTIFS(tcTipo,AE570,tcLiq,"Sí")&gt;0),S570,0))</f>
        <v/>
      </c>
      <c r="AI570" s="52">
        <f>IF(OR(L570="",P570=""),"",IF(COUNTIFS(L$6:L570,L570,P$6:P570,"?*")=1,MAX(AI$5:AI569)+1,""))</f>
        <v/>
      </c>
    </row>
    <row r="571">
      <c r="B571" s="47" t="n"/>
      <c r="C571" s="48" t="n"/>
      <c r="D571" s="48" t="n"/>
      <c r="E571" s="48" t="n"/>
      <c r="F571" s="48" t="n"/>
      <c r="G571" s="49" t="n"/>
      <c r="H571" s="48" t="n"/>
      <c r="I571" s="50" t="n"/>
      <c r="J571" s="48" t="n"/>
      <c r="K571" s="48" t="n"/>
      <c r="L571" s="48" t="n"/>
      <c r="M571" s="48" t="n"/>
      <c r="N571" s="48" t="n"/>
      <c r="O571" s="51">
        <f>IF(AND(B571="",G571="",C571="",D571="",J571=""),"",IF(B571="","⚠ Falta fecha",IF(G571="","⚠ Falta monto",IF(Q571="","⚠ Falta cuenta",IF(ISNA(MATCH(Q571,ctaNombre,0)),"⚠ Cuenta no registrada",IF(AND(OR(P571="Gasto",P571="Reembolso"),D571=""),"⚠ Falta categoría",IF(AND(D571&lt;&gt;"",E571&lt;&gt;"",ISNA(MATCH(D571&amp;"|"&amp;E571,catClave,0))),"⚠ Subcategoría no corresponde",IF(AND(OR(P571="Transferencia",P571="Pago tarjeta"),K571=""),"⚠ Falta cuenta destino",IF(AND(K571&lt;&gt;"",P571&lt;&gt;"Transferencia",P571&lt;&gt;"Pago tarjeta"),"⚠ Destino solo aplica a transferencias",IF(AND(K571&lt;&gt;"",K571=Q571),"⚠ Origen igual a destino",IF(AND(K571&lt;&gt;"",ISNA(MATCH(K571,ctaNombre,0))),"⚠ Destino no registrado",IF(AND(P571="Pago tarjeta",AE571&lt;&gt;"Tarjeta de crédito"),"⚠ El destino debe ser tarjeta de crédito",IF(AND(P571="Gasto",E571="Depósitos y retiros"),"⚠ Usa tipo Transferencia",IF(AND(P571="Resultado trading",AD571&lt;&gt;"Cuenta de trading"),"⚠ Usa una cuenta de trading",IF(AND(G571&lt;=0,P571&lt;&gt;"Ajuste",P571&lt;&gt;"Resultado trading"),"⚠ El monto debe ser positivo","✓")))))))))))))))</f>
        <v/>
      </c>
      <c r="P571" s="52">
        <f>IF(OR(B571="",G571=""),"",IF(C571="","Gasto",C571))</f>
        <v/>
      </c>
      <c r="Q571" s="52">
        <f>IF(P571="","",IF(J571&lt;&gt;"",J571,CuentaPred&amp;""))</f>
        <v/>
      </c>
      <c r="R571" s="52">
        <f>IF(P571="","",IF(ISNUMBER(I571),I571,TasaUSD))</f>
        <v/>
      </c>
      <c r="S571" s="53">
        <f>IF(P571="","",IF(H571="USD",G571*R571,G571))</f>
        <v/>
      </c>
      <c r="T571" s="53">
        <f>IF(P571="","",IF(H571="USD",G571,IF(R571&gt;0,G571/R571,0)))</f>
        <v/>
      </c>
      <c r="U571" s="53">
        <f>IF(P571="","",IF(P571="Gasto",S571,IF(P571="Reembolso",-S571,0)))</f>
        <v/>
      </c>
      <c r="V571" s="53">
        <f>IF(P571="","",IF(P571="Ingreso",S571,0))</f>
        <v/>
      </c>
      <c r="W571" s="53">
        <f>IF(P571="","",IF(P571="Resultado trading",S571,0))</f>
        <v/>
      </c>
      <c r="X571" s="52">
        <f>IF(OR(P571="Gasto",P571="Reembolso"),IF(M571&lt;&gt;"",M571,IFERROR(INDEX(catClasif,MATCH(D571&amp;"|"&amp;E571,catClave,0))&amp;"","Variable")),"")</f>
        <v/>
      </c>
      <c r="Y571" s="52">
        <f>IF(P571="","",IFERROR(INDEX(catGrupo,MATCH(D571&amp;"|"&amp;E571,catClave,0))&amp;"",""))</f>
        <v/>
      </c>
      <c r="Z571" s="52">
        <f>IF(P571="","",WEEKDAY(B571,2))</f>
        <v/>
      </c>
      <c r="AA571" s="52">
        <f>IF(P571="","",IF(AND(P571="Gasto",X571="Variable",D571&lt;&gt;catTrading,S571&gt;0,S571&lt;=Umbral),1,0))</f>
        <v/>
      </c>
      <c r="AB571" s="52">
        <f>IF(OR(P571="",Q571=""),"",IFERROR(IF(INDEX(ctaVinc,MATCH(Q571,ctaNombre,0))&amp;""&lt;&gt;"",INDEX(ctaVinc,MATCH(Q571,ctaNombre,0))&amp;"",Q571),Q571))</f>
        <v/>
      </c>
      <c r="AC571" s="52">
        <f>IF(OR(K571="",AND(P571&lt;&gt;"Transferencia",P571&lt;&gt;"Pago tarjeta")),"",IFERROR(IF(INDEX(ctaVinc,MATCH(K571,ctaNombre,0))&amp;""&lt;&gt;"",INDEX(ctaVinc,MATCH(K571,ctaNombre,0))&amp;"",K571),K571))</f>
        <v/>
      </c>
      <c r="AD571" s="52">
        <f>IF(AB571="","",IFERROR(INDEX(ctaTipo,MATCH(AB571,ctaNombre,0))&amp;"",""))</f>
        <v/>
      </c>
      <c r="AE571" s="52">
        <f>IF(AC571="","",IFERROR(INDEX(ctaTipo,MATCH(AC571,ctaNombre,0))&amp;"",""))</f>
        <v/>
      </c>
      <c r="AF571" s="53">
        <f>IF(OR(P571="",AB571=""),"",IF(OR(P571="Gasto",P571="Transferencia",P571="Pago tarjeta"),-1,1)*IF(IFERROR(INDEX(ctaMoneda,MATCH(AB571,ctaNombre,0))&amp;"","DOP")="USD",T571,S571))</f>
        <v/>
      </c>
      <c r="AG571" s="53">
        <f>IF(AC571="","",IF(IFERROR(INDEX(ctaMoneda,MATCH(AC571,ctaNombre,0))&amp;"","DOP")="USD",T571,S571))</f>
        <v/>
      </c>
      <c r="AH571" s="53">
        <f>IF(P571="","",IF(AND(AD571&lt;&gt;"",COUNTIFS(tcTipo,AD571,tcLiq,"Sí")&gt;0),IF(OR(P571="Gasto",P571="Transferencia",P571="Pago tarjeta"),-1,1)*S571,0)+IF(AND(AE571&lt;&gt;"",COUNTIFS(tcTipo,AE571,tcLiq,"Sí")&gt;0),S571,0))</f>
        <v/>
      </c>
      <c r="AI571" s="52">
        <f>IF(OR(L571="",P571=""),"",IF(COUNTIFS(L$6:L571,L571,P$6:P571,"?*")=1,MAX(AI$5:AI570)+1,""))</f>
        <v/>
      </c>
    </row>
    <row r="572">
      <c r="B572" s="47" t="n"/>
      <c r="C572" s="48" t="n"/>
      <c r="D572" s="48" t="n"/>
      <c r="E572" s="48" t="n"/>
      <c r="F572" s="48" t="n"/>
      <c r="G572" s="49" t="n"/>
      <c r="H572" s="48" t="n"/>
      <c r="I572" s="50" t="n"/>
      <c r="J572" s="48" t="n"/>
      <c r="K572" s="48" t="n"/>
      <c r="L572" s="48" t="n"/>
      <c r="M572" s="48" t="n"/>
      <c r="N572" s="48" t="n"/>
      <c r="O572" s="51">
        <f>IF(AND(B572="",G572="",C572="",D572="",J572=""),"",IF(B572="","⚠ Falta fecha",IF(G572="","⚠ Falta monto",IF(Q572="","⚠ Falta cuenta",IF(ISNA(MATCH(Q572,ctaNombre,0)),"⚠ Cuenta no registrada",IF(AND(OR(P572="Gasto",P572="Reembolso"),D572=""),"⚠ Falta categoría",IF(AND(D572&lt;&gt;"",E572&lt;&gt;"",ISNA(MATCH(D572&amp;"|"&amp;E572,catClave,0))),"⚠ Subcategoría no corresponde",IF(AND(OR(P572="Transferencia",P572="Pago tarjeta"),K572=""),"⚠ Falta cuenta destino",IF(AND(K572&lt;&gt;"",P572&lt;&gt;"Transferencia",P572&lt;&gt;"Pago tarjeta"),"⚠ Destino solo aplica a transferencias",IF(AND(K572&lt;&gt;"",K572=Q572),"⚠ Origen igual a destino",IF(AND(K572&lt;&gt;"",ISNA(MATCH(K572,ctaNombre,0))),"⚠ Destino no registrado",IF(AND(P572="Pago tarjeta",AE572&lt;&gt;"Tarjeta de crédito"),"⚠ El destino debe ser tarjeta de crédito",IF(AND(P572="Gasto",E572="Depósitos y retiros"),"⚠ Usa tipo Transferencia",IF(AND(P572="Resultado trading",AD572&lt;&gt;"Cuenta de trading"),"⚠ Usa una cuenta de trading",IF(AND(G572&lt;=0,P572&lt;&gt;"Ajuste",P572&lt;&gt;"Resultado trading"),"⚠ El monto debe ser positivo","✓")))))))))))))))</f>
        <v/>
      </c>
      <c r="P572" s="52">
        <f>IF(OR(B572="",G572=""),"",IF(C572="","Gasto",C572))</f>
        <v/>
      </c>
      <c r="Q572" s="52">
        <f>IF(P572="","",IF(J572&lt;&gt;"",J572,CuentaPred&amp;""))</f>
        <v/>
      </c>
      <c r="R572" s="52">
        <f>IF(P572="","",IF(ISNUMBER(I572),I572,TasaUSD))</f>
        <v/>
      </c>
      <c r="S572" s="53">
        <f>IF(P572="","",IF(H572="USD",G572*R572,G572))</f>
        <v/>
      </c>
      <c r="T572" s="53">
        <f>IF(P572="","",IF(H572="USD",G572,IF(R572&gt;0,G572/R572,0)))</f>
        <v/>
      </c>
      <c r="U572" s="53">
        <f>IF(P572="","",IF(P572="Gasto",S572,IF(P572="Reembolso",-S572,0)))</f>
        <v/>
      </c>
      <c r="V572" s="53">
        <f>IF(P572="","",IF(P572="Ingreso",S572,0))</f>
        <v/>
      </c>
      <c r="W572" s="53">
        <f>IF(P572="","",IF(P572="Resultado trading",S572,0))</f>
        <v/>
      </c>
      <c r="X572" s="52">
        <f>IF(OR(P572="Gasto",P572="Reembolso"),IF(M572&lt;&gt;"",M572,IFERROR(INDEX(catClasif,MATCH(D572&amp;"|"&amp;E572,catClave,0))&amp;"","Variable")),"")</f>
        <v/>
      </c>
      <c r="Y572" s="52">
        <f>IF(P572="","",IFERROR(INDEX(catGrupo,MATCH(D572&amp;"|"&amp;E572,catClave,0))&amp;"",""))</f>
        <v/>
      </c>
      <c r="Z572" s="52">
        <f>IF(P572="","",WEEKDAY(B572,2))</f>
        <v/>
      </c>
      <c r="AA572" s="52">
        <f>IF(P572="","",IF(AND(P572="Gasto",X572="Variable",D572&lt;&gt;catTrading,S572&gt;0,S572&lt;=Umbral),1,0))</f>
        <v/>
      </c>
      <c r="AB572" s="52">
        <f>IF(OR(P572="",Q572=""),"",IFERROR(IF(INDEX(ctaVinc,MATCH(Q572,ctaNombre,0))&amp;""&lt;&gt;"",INDEX(ctaVinc,MATCH(Q572,ctaNombre,0))&amp;"",Q572),Q572))</f>
        <v/>
      </c>
      <c r="AC572" s="52">
        <f>IF(OR(K572="",AND(P572&lt;&gt;"Transferencia",P572&lt;&gt;"Pago tarjeta")),"",IFERROR(IF(INDEX(ctaVinc,MATCH(K572,ctaNombre,0))&amp;""&lt;&gt;"",INDEX(ctaVinc,MATCH(K572,ctaNombre,0))&amp;"",K572),K572))</f>
        <v/>
      </c>
      <c r="AD572" s="52">
        <f>IF(AB572="","",IFERROR(INDEX(ctaTipo,MATCH(AB572,ctaNombre,0))&amp;"",""))</f>
        <v/>
      </c>
      <c r="AE572" s="52">
        <f>IF(AC572="","",IFERROR(INDEX(ctaTipo,MATCH(AC572,ctaNombre,0))&amp;"",""))</f>
        <v/>
      </c>
      <c r="AF572" s="53">
        <f>IF(OR(P572="",AB572=""),"",IF(OR(P572="Gasto",P572="Transferencia",P572="Pago tarjeta"),-1,1)*IF(IFERROR(INDEX(ctaMoneda,MATCH(AB572,ctaNombre,0))&amp;"","DOP")="USD",T572,S572))</f>
        <v/>
      </c>
      <c r="AG572" s="53">
        <f>IF(AC572="","",IF(IFERROR(INDEX(ctaMoneda,MATCH(AC572,ctaNombre,0))&amp;"","DOP")="USD",T572,S572))</f>
        <v/>
      </c>
      <c r="AH572" s="53">
        <f>IF(P572="","",IF(AND(AD572&lt;&gt;"",COUNTIFS(tcTipo,AD572,tcLiq,"Sí")&gt;0),IF(OR(P572="Gasto",P572="Transferencia",P572="Pago tarjeta"),-1,1)*S572,0)+IF(AND(AE572&lt;&gt;"",COUNTIFS(tcTipo,AE572,tcLiq,"Sí")&gt;0),S572,0))</f>
        <v/>
      </c>
      <c r="AI572" s="52">
        <f>IF(OR(L572="",P572=""),"",IF(COUNTIFS(L$6:L572,L572,P$6:P572,"?*")=1,MAX(AI$5:AI571)+1,""))</f>
        <v/>
      </c>
    </row>
    <row r="573">
      <c r="B573" s="47" t="n"/>
      <c r="C573" s="48" t="n"/>
      <c r="D573" s="48" t="n"/>
      <c r="E573" s="48" t="n"/>
      <c r="F573" s="48" t="n"/>
      <c r="G573" s="49" t="n"/>
      <c r="H573" s="48" t="n"/>
      <c r="I573" s="50" t="n"/>
      <c r="J573" s="48" t="n"/>
      <c r="K573" s="48" t="n"/>
      <c r="L573" s="48" t="n"/>
      <c r="M573" s="48" t="n"/>
      <c r="N573" s="48" t="n"/>
      <c r="O573" s="51">
        <f>IF(AND(B573="",G573="",C573="",D573="",J573=""),"",IF(B573="","⚠ Falta fecha",IF(G573="","⚠ Falta monto",IF(Q573="","⚠ Falta cuenta",IF(ISNA(MATCH(Q573,ctaNombre,0)),"⚠ Cuenta no registrada",IF(AND(OR(P573="Gasto",P573="Reembolso"),D573=""),"⚠ Falta categoría",IF(AND(D573&lt;&gt;"",E573&lt;&gt;"",ISNA(MATCH(D573&amp;"|"&amp;E573,catClave,0))),"⚠ Subcategoría no corresponde",IF(AND(OR(P573="Transferencia",P573="Pago tarjeta"),K573=""),"⚠ Falta cuenta destino",IF(AND(K573&lt;&gt;"",P573&lt;&gt;"Transferencia",P573&lt;&gt;"Pago tarjeta"),"⚠ Destino solo aplica a transferencias",IF(AND(K573&lt;&gt;"",K573=Q573),"⚠ Origen igual a destino",IF(AND(K573&lt;&gt;"",ISNA(MATCH(K573,ctaNombre,0))),"⚠ Destino no registrado",IF(AND(P573="Pago tarjeta",AE573&lt;&gt;"Tarjeta de crédito"),"⚠ El destino debe ser tarjeta de crédito",IF(AND(P573="Gasto",E573="Depósitos y retiros"),"⚠ Usa tipo Transferencia",IF(AND(P573="Resultado trading",AD573&lt;&gt;"Cuenta de trading"),"⚠ Usa una cuenta de trading",IF(AND(G573&lt;=0,P573&lt;&gt;"Ajuste",P573&lt;&gt;"Resultado trading"),"⚠ El monto debe ser positivo","✓")))))))))))))))</f>
        <v/>
      </c>
      <c r="P573" s="52">
        <f>IF(OR(B573="",G573=""),"",IF(C573="","Gasto",C573))</f>
        <v/>
      </c>
      <c r="Q573" s="52">
        <f>IF(P573="","",IF(J573&lt;&gt;"",J573,CuentaPred&amp;""))</f>
        <v/>
      </c>
      <c r="R573" s="52">
        <f>IF(P573="","",IF(ISNUMBER(I573),I573,TasaUSD))</f>
        <v/>
      </c>
      <c r="S573" s="53">
        <f>IF(P573="","",IF(H573="USD",G573*R573,G573))</f>
        <v/>
      </c>
      <c r="T573" s="53">
        <f>IF(P573="","",IF(H573="USD",G573,IF(R573&gt;0,G573/R573,0)))</f>
        <v/>
      </c>
      <c r="U573" s="53">
        <f>IF(P573="","",IF(P573="Gasto",S573,IF(P573="Reembolso",-S573,0)))</f>
        <v/>
      </c>
      <c r="V573" s="53">
        <f>IF(P573="","",IF(P573="Ingreso",S573,0))</f>
        <v/>
      </c>
      <c r="W573" s="53">
        <f>IF(P573="","",IF(P573="Resultado trading",S573,0))</f>
        <v/>
      </c>
      <c r="X573" s="52">
        <f>IF(OR(P573="Gasto",P573="Reembolso"),IF(M573&lt;&gt;"",M573,IFERROR(INDEX(catClasif,MATCH(D573&amp;"|"&amp;E573,catClave,0))&amp;"","Variable")),"")</f>
        <v/>
      </c>
      <c r="Y573" s="52">
        <f>IF(P573="","",IFERROR(INDEX(catGrupo,MATCH(D573&amp;"|"&amp;E573,catClave,0))&amp;"",""))</f>
        <v/>
      </c>
      <c r="Z573" s="52">
        <f>IF(P573="","",WEEKDAY(B573,2))</f>
        <v/>
      </c>
      <c r="AA573" s="52">
        <f>IF(P573="","",IF(AND(P573="Gasto",X573="Variable",D573&lt;&gt;catTrading,S573&gt;0,S573&lt;=Umbral),1,0))</f>
        <v/>
      </c>
      <c r="AB573" s="52">
        <f>IF(OR(P573="",Q573=""),"",IFERROR(IF(INDEX(ctaVinc,MATCH(Q573,ctaNombre,0))&amp;""&lt;&gt;"",INDEX(ctaVinc,MATCH(Q573,ctaNombre,0))&amp;"",Q573),Q573))</f>
        <v/>
      </c>
      <c r="AC573" s="52">
        <f>IF(OR(K573="",AND(P573&lt;&gt;"Transferencia",P573&lt;&gt;"Pago tarjeta")),"",IFERROR(IF(INDEX(ctaVinc,MATCH(K573,ctaNombre,0))&amp;""&lt;&gt;"",INDEX(ctaVinc,MATCH(K573,ctaNombre,0))&amp;"",K573),K573))</f>
        <v/>
      </c>
      <c r="AD573" s="52">
        <f>IF(AB573="","",IFERROR(INDEX(ctaTipo,MATCH(AB573,ctaNombre,0))&amp;"",""))</f>
        <v/>
      </c>
      <c r="AE573" s="52">
        <f>IF(AC573="","",IFERROR(INDEX(ctaTipo,MATCH(AC573,ctaNombre,0))&amp;"",""))</f>
        <v/>
      </c>
      <c r="AF573" s="53">
        <f>IF(OR(P573="",AB573=""),"",IF(OR(P573="Gasto",P573="Transferencia",P573="Pago tarjeta"),-1,1)*IF(IFERROR(INDEX(ctaMoneda,MATCH(AB573,ctaNombre,0))&amp;"","DOP")="USD",T573,S573))</f>
        <v/>
      </c>
      <c r="AG573" s="53">
        <f>IF(AC573="","",IF(IFERROR(INDEX(ctaMoneda,MATCH(AC573,ctaNombre,0))&amp;"","DOP")="USD",T573,S573))</f>
        <v/>
      </c>
      <c r="AH573" s="53">
        <f>IF(P573="","",IF(AND(AD573&lt;&gt;"",COUNTIFS(tcTipo,AD573,tcLiq,"Sí")&gt;0),IF(OR(P573="Gasto",P573="Transferencia",P573="Pago tarjeta"),-1,1)*S573,0)+IF(AND(AE573&lt;&gt;"",COUNTIFS(tcTipo,AE573,tcLiq,"Sí")&gt;0),S573,0))</f>
        <v/>
      </c>
      <c r="AI573" s="52">
        <f>IF(OR(L573="",P573=""),"",IF(COUNTIFS(L$6:L573,L573,P$6:P573,"?*")=1,MAX(AI$5:AI572)+1,""))</f>
        <v/>
      </c>
    </row>
    <row r="574">
      <c r="B574" s="47" t="n"/>
      <c r="C574" s="48" t="n"/>
      <c r="D574" s="48" t="n"/>
      <c r="E574" s="48" t="n"/>
      <c r="F574" s="48" t="n"/>
      <c r="G574" s="49" t="n"/>
      <c r="H574" s="48" t="n"/>
      <c r="I574" s="50" t="n"/>
      <c r="J574" s="48" t="n"/>
      <c r="K574" s="48" t="n"/>
      <c r="L574" s="48" t="n"/>
      <c r="M574" s="48" t="n"/>
      <c r="N574" s="48" t="n"/>
      <c r="O574" s="51">
        <f>IF(AND(B574="",G574="",C574="",D574="",J574=""),"",IF(B574="","⚠ Falta fecha",IF(G574="","⚠ Falta monto",IF(Q574="","⚠ Falta cuenta",IF(ISNA(MATCH(Q574,ctaNombre,0)),"⚠ Cuenta no registrada",IF(AND(OR(P574="Gasto",P574="Reembolso"),D574=""),"⚠ Falta categoría",IF(AND(D574&lt;&gt;"",E574&lt;&gt;"",ISNA(MATCH(D574&amp;"|"&amp;E574,catClave,0))),"⚠ Subcategoría no corresponde",IF(AND(OR(P574="Transferencia",P574="Pago tarjeta"),K574=""),"⚠ Falta cuenta destino",IF(AND(K574&lt;&gt;"",P574&lt;&gt;"Transferencia",P574&lt;&gt;"Pago tarjeta"),"⚠ Destino solo aplica a transferencias",IF(AND(K574&lt;&gt;"",K574=Q574),"⚠ Origen igual a destino",IF(AND(K574&lt;&gt;"",ISNA(MATCH(K574,ctaNombre,0))),"⚠ Destino no registrado",IF(AND(P574="Pago tarjeta",AE574&lt;&gt;"Tarjeta de crédito"),"⚠ El destino debe ser tarjeta de crédito",IF(AND(P574="Gasto",E574="Depósitos y retiros"),"⚠ Usa tipo Transferencia",IF(AND(P574="Resultado trading",AD574&lt;&gt;"Cuenta de trading"),"⚠ Usa una cuenta de trading",IF(AND(G574&lt;=0,P574&lt;&gt;"Ajuste",P574&lt;&gt;"Resultado trading"),"⚠ El monto debe ser positivo","✓")))))))))))))))</f>
        <v/>
      </c>
      <c r="P574" s="52">
        <f>IF(OR(B574="",G574=""),"",IF(C574="","Gasto",C574))</f>
        <v/>
      </c>
      <c r="Q574" s="52">
        <f>IF(P574="","",IF(J574&lt;&gt;"",J574,CuentaPred&amp;""))</f>
        <v/>
      </c>
      <c r="R574" s="52">
        <f>IF(P574="","",IF(ISNUMBER(I574),I574,TasaUSD))</f>
        <v/>
      </c>
      <c r="S574" s="53">
        <f>IF(P574="","",IF(H574="USD",G574*R574,G574))</f>
        <v/>
      </c>
      <c r="T574" s="53">
        <f>IF(P574="","",IF(H574="USD",G574,IF(R574&gt;0,G574/R574,0)))</f>
        <v/>
      </c>
      <c r="U574" s="53">
        <f>IF(P574="","",IF(P574="Gasto",S574,IF(P574="Reembolso",-S574,0)))</f>
        <v/>
      </c>
      <c r="V574" s="53">
        <f>IF(P574="","",IF(P574="Ingreso",S574,0))</f>
        <v/>
      </c>
      <c r="W574" s="53">
        <f>IF(P574="","",IF(P574="Resultado trading",S574,0))</f>
        <v/>
      </c>
      <c r="X574" s="52">
        <f>IF(OR(P574="Gasto",P574="Reembolso"),IF(M574&lt;&gt;"",M574,IFERROR(INDEX(catClasif,MATCH(D574&amp;"|"&amp;E574,catClave,0))&amp;"","Variable")),"")</f>
        <v/>
      </c>
      <c r="Y574" s="52">
        <f>IF(P574="","",IFERROR(INDEX(catGrupo,MATCH(D574&amp;"|"&amp;E574,catClave,0))&amp;"",""))</f>
        <v/>
      </c>
      <c r="Z574" s="52">
        <f>IF(P574="","",WEEKDAY(B574,2))</f>
        <v/>
      </c>
      <c r="AA574" s="52">
        <f>IF(P574="","",IF(AND(P574="Gasto",X574="Variable",D574&lt;&gt;catTrading,S574&gt;0,S574&lt;=Umbral),1,0))</f>
        <v/>
      </c>
      <c r="AB574" s="52">
        <f>IF(OR(P574="",Q574=""),"",IFERROR(IF(INDEX(ctaVinc,MATCH(Q574,ctaNombre,0))&amp;""&lt;&gt;"",INDEX(ctaVinc,MATCH(Q574,ctaNombre,0))&amp;"",Q574),Q574))</f>
        <v/>
      </c>
      <c r="AC574" s="52">
        <f>IF(OR(K574="",AND(P574&lt;&gt;"Transferencia",P574&lt;&gt;"Pago tarjeta")),"",IFERROR(IF(INDEX(ctaVinc,MATCH(K574,ctaNombre,0))&amp;""&lt;&gt;"",INDEX(ctaVinc,MATCH(K574,ctaNombre,0))&amp;"",K574),K574))</f>
        <v/>
      </c>
      <c r="AD574" s="52">
        <f>IF(AB574="","",IFERROR(INDEX(ctaTipo,MATCH(AB574,ctaNombre,0))&amp;"",""))</f>
        <v/>
      </c>
      <c r="AE574" s="52">
        <f>IF(AC574="","",IFERROR(INDEX(ctaTipo,MATCH(AC574,ctaNombre,0))&amp;"",""))</f>
        <v/>
      </c>
      <c r="AF574" s="53">
        <f>IF(OR(P574="",AB574=""),"",IF(OR(P574="Gasto",P574="Transferencia",P574="Pago tarjeta"),-1,1)*IF(IFERROR(INDEX(ctaMoneda,MATCH(AB574,ctaNombre,0))&amp;"","DOP")="USD",T574,S574))</f>
        <v/>
      </c>
      <c r="AG574" s="53">
        <f>IF(AC574="","",IF(IFERROR(INDEX(ctaMoneda,MATCH(AC574,ctaNombre,0))&amp;"","DOP")="USD",T574,S574))</f>
        <v/>
      </c>
      <c r="AH574" s="53">
        <f>IF(P574="","",IF(AND(AD574&lt;&gt;"",COUNTIFS(tcTipo,AD574,tcLiq,"Sí")&gt;0),IF(OR(P574="Gasto",P574="Transferencia",P574="Pago tarjeta"),-1,1)*S574,0)+IF(AND(AE574&lt;&gt;"",COUNTIFS(tcTipo,AE574,tcLiq,"Sí")&gt;0),S574,0))</f>
        <v/>
      </c>
      <c r="AI574" s="52">
        <f>IF(OR(L574="",P574=""),"",IF(COUNTIFS(L$6:L574,L574,P$6:P574,"?*")=1,MAX(AI$5:AI573)+1,""))</f>
        <v/>
      </c>
    </row>
    <row r="575">
      <c r="B575" s="47" t="n"/>
      <c r="C575" s="48" t="n"/>
      <c r="D575" s="48" t="n"/>
      <c r="E575" s="48" t="n"/>
      <c r="F575" s="48" t="n"/>
      <c r="G575" s="49" t="n"/>
      <c r="H575" s="48" t="n"/>
      <c r="I575" s="50" t="n"/>
      <c r="J575" s="48" t="n"/>
      <c r="K575" s="48" t="n"/>
      <c r="L575" s="48" t="n"/>
      <c r="M575" s="48" t="n"/>
      <c r="N575" s="48" t="n"/>
      <c r="O575" s="51">
        <f>IF(AND(B575="",G575="",C575="",D575="",J575=""),"",IF(B575="","⚠ Falta fecha",IF(G575="","⚠ Falta monto",IF(Q575="","⚠ Falta cuenta",IF(ISNA(MATCH(Q575,ctaNombre,0)),"⚠ Cuenta no registrada",IF(AND(OR(P575="Gasto",P575="Reembolso"),D575=""),"⚠ Falta categoría",IF(AND(D575&lt;&gt;"",E575&lt;&gt;"",ISNA(MATCH(D575&amp;"|"&amp;E575,catClave,0))),"⚠ Subcategoría no corresponde",IF(AND(OR(P575="Transferencia",P575="Pago tarjeta"),K575=""),"⚠ Falta cuenta destino",IF(AND(K575&lt;&gt;"",P575&lt;&gt;"Transferencia",P575&lt;&gt;"Pago tarjeta"),"⚠ Destino solo aplica a transferencias",IF(AND(K575&lt;&gt;"",K575=Q575),"⚠ Origen igual a destino",IF(AND(K575&lt;&gt;"",ISNA(MATCH(K575,ctaNombre,0))),"⚠ Destino no registrado",IF(AND(P575="Pago tarjeta",AE575&lt;&gt;"Tarjeta de crédito"),"⚠ El destino debe ser tarjeta de crédito",IF(AND(P575="Gasto",E575="Depósitos y retiros"),"⚠ Usa tipo Transferencia",IF(AND(P575="Resultado trading",AD575&lt;&gt;"Cuenta de trading"),"⚠ Usa una cuenta de trading",IF(AND(G575&lt;=0,P575&lt;&gt;"Ajuste",P575&lt;&gt;"Resultado trading"),"⚠ El monto debe ser positivo","✓")))))))))))))))</f>
        <v/>
      </c>
      <c r="P575" s="52">
        <f>IF(OR(B575="",G575=""),"",IF(C575="","Gasto",C575))</f>
        <v/>
      </c>
      <c r="Q575" s="52">
        <f>IF(P575="","",IF(J575&lt;&gt;"",J575,CuentaPred&amp;""))</f>
        <v/>
      </c>
      <c r="R575" s="52">
        <f>IF(P575="","",IF(ISNUMBER(I575),I575,TasaUSD))</f>
        <v/>
      </c>
      <c r="S575" s="53">
        <f>IF(P575="","",IF(H575="USD",G575*R575,G575))</f>
        <v/>
      </c>
      <c r="T575" s="53">
        <f>IF(P575="","",IF(H575="USD",G575,IF(R575&gt;0,G575/R575,0)))</f>
        <v/>
      </c>
      <c r="U575" s="53">
        <f>IF(P575="","",IF(P575="Gasto",S575,IF(P575="Reembolso",-S575,0)))</f>
        <v/>
      </c>
      <c r="V575" s="53">
        <f>IF(P575="","",IF(P575="Ingreso",S575,0))</f>
        <v/>
      </c>
      <c r="W575" s="53">
        <f>IF(P575="","",IF(P575="Resultado trading",S575,0))</f>
        <v/>
      </c>
      <c r="X575" s="52">
        <f>IF(OR(P575="Gasto",P575="Reembolso"),IF(M575&lt;&gt;"",M575,IFERROR(INDEX(catClasif,MATCH(D575&amp;"|"&amp;E575,catClave,0))&amp;"","Variable")),"")</f>
        <v/>
      </c>
      <c r="Y575" s="52">
        <f>IF(P575="","",IFERROR(INDEX(catGrupo,MATCH(D575&amp;"|"&amp;E575,catClave,0))&amp;"",""))</f>
        <v/>
      </c>
      <c r="Z575" s="52">
        <f>IF(P575="","",WEEKDAY(B575,2))</f>
        <v/>
      </c>
      <c r="AA575" s="52">
        <f>IF(P575="","",IF(AND(P575="Gasto",X575="Variable",D575&lt;&gt;catTrading,S575&gt;0,S575&lt;=Umbral),1,0))</f>
        <v/>
      </c>
      <c r="AB575" s="52">
        <f>IF(OR(P575="",Q575=""),"",IFERROR(IF(INDEX(ctaVinc,MATCH(Q575,ctaNombre,0))&amp;""&lt;&gt;"",INDEX(ctaVinc,MATCH(Q575,ctaNombre,0))&amp;"",Q575),Q575))</f>
        <v/>
      </c>
      <c r="AC575" s="52">
        <f>IF(OR(K575="",AND(P575&lt;&gt;"Transferencia",P575&lt;&gt;"Pago tarjeta")),"",IFERROR(IF(INDEX(ctaVinc,MATCH(K575,ctaNombre,0))&amp;""&lt;&gt;"",INDEX(ctaVinc,MATCH(K575,ctaNombre,0))&amp;"",K575),K575))</f>
        <v/>
      </c>
      <c r="AD575" s="52">
        <f>IF(AB575="","",IFERROR(INDEX(ctaTipo,MATCH(AB575,ctaNombre,0))&amp;"",""))</f>
        <v/>
      </c>
      <c r="AE575" s="52">
        <f>IF(AC575="","",IFERROR(INDEX(ctaTipo,MATCH(AC575,ctaNombre,0))&amp;"",""))</f>
        <v/>
      </c>
      <c r="AF575" s="53">
        <f>IF(OR(P575="",AB575=""),"",IF(OR(P575="Gasto",P575="Transferencia",P575="Pago tarjeta"),-1,1)*IF(IFERROR(INDEX(ctaMoneda,MATCH(AB575,ctaNombre,0))&amp;"","DOP")="USD",T575,S575))</f>
        <v/>
      </c>
      <c r="AG575" s="53">
        <f>IF(AC575="","",IF(IFERROR(INDEX(ctaMoneda,MATCH(AC575,ctaNombre,0))&amp;"","DOP")="USD",T575,S575))</f>
        <v/>
      </c>
      <c r="AH575" s="53">
        <f>IF(P575="","",IF(AND(AD575&lt;&gt;"",COUNTIFS(tcTipo,AD575,tcLiq,"Sí")&gt;0),IF(OR(P575="Gasto",P575="Transferencia",P575="Pago tarjeta"),-1,1)*S575,0)+IF(AND(AE575&lt;&gt;"",COUNTIFS(tcTipo,AE575,tcLiq,"Sí")&gt;0),S575,0))</f>
        <v/>
      </c>
      <c r="AI575" s="52">
        <f>IF(OR(L575="",P575=""),"",IF(COUNTIFS(L$6:L575,L575,P$6:P575,"?*")=1,MAX(AI$5:AI574)+1,""))</f>
        <v/>
      </c>
    </row>
    <row r="576">
      <c r="B576" s="47" t="n"/>
      <c r="C576" s="48" t="n"/>
      <c r="D576" s="48" t="n"/>
      <c r="E576" s="48" t="n"/>
      <c r="F576" s="48" t="n"/>
      <c r="G576" s="49" t="n"/>
      <c r="H576" s="48" t="n"/>
      <c r="I576" s="50" t="n"/>
      <c r="J576" s="48" t="n"/>
      <c r="K576" s="48" t="n"/>
      <c r="L576" s="48" t="n"/>
      <c r="M576" s="48" t="n"/>
      <c r="N576" s="48" t="n"/>
      <c r="O576" s="51">
        <f>IF(AND(B576="",G576="",C576="",D576="",J576=""),"",IF(B576="","⚠ Falta fecha",IF(G576="","⚠ Falta monto",IF(Q576="","⚠ Falta cuenta",IF(ISNA(MATCH(Q576,ctaNombre,0)),"⚠ Cuenta no registrada",IF(AND(OR(P576="Gasto",P576="Reembolso"),D576=""),"⚠ Falta categoría",IF(AND(D576&lt;&gt;"",E576&lt;&gt;"",ISNA(MATCH(D576&amp;"|"&amp;E576,catClave,0))),"⚠ Subcategoría no corresponde",IF(AND(OR(P576="Transferencia",P576="Pago tarjeta"),K576=""),"⚠ Falta cuenta destino",IF(AND(K576&lt;&gt;"",P576&lt;&gt;"Transferencia",P576&lt;&gt;"Pago tarjeta"),"⚠ Destino solo aplica a transferencias",IF(AND(K576&lt;&gt;"",K576=Q576),"⚠ Origen igual a destino",IF(AND(K576&lt;&gt;"",ISNA(MATCH(K576,ctaNombre,0))),"⚠ Destino no registrado",IF(AND(P576="Pago tarjeta",AE576&lt;&gt;"Tarjeta de crédito"),"⚠ El destino debe ser tarjeta de crédito",IF(AND(P576="Gasto",E576="Depósitos y retiros"),"⚠ Usa tipo Transferencia",IF(AND(P576="Resultado trading",AD576&lt;&gt;"Cuenta de trading"),"⚠ Usa una cuenta de trading",IF(AND(G576&lt;=0,P576&lt;&gt;"Ajuste",P576&lt;&gt;"Resultado trading"),"⚠ El monto debe ser positivo","✓")))))))))))))))</f>
        <v/>
      </c>
      <c r="P576" s="52">
        <f>IF(OR(B576="",G576=""),"",IF(C576="","Gasto",C576))</f>
        <v/>
      </c>
      <c r="Q576" s="52">
        <f>IF(P576="","",IF(J576&lt;&gt;"",J576,CuentaPred&amp;""))</f>
        <v/>
      </c>
      <c r="R576" s="52">
        <f>IF(P576="","",IF(ISNUMBER(I576),I576,TasaUSD))</f>
        <v/>
      </c>
      <c r="S576" s="53">
        <f>IF(P576="","",IF(H576="USD",G576*R576,G576))</f>
        <v/>
      </c>
      <c r="T576" s="53">
        <f>IF(P576="","",IF(H576="USD",G576,IF(R576&gt;0,G576/R576,0)))</f>
        <v/>
      </c>
      <c r="U576" s="53">
        <f>IF(P576="","",IF(P576="Gasto",S576,IF(P576="Reembolso",-S576,0)))</f>
        <v/>
      </c>
      <c r="V576" s="53">
        <f>IF(P576="","",IF(P576="Ingreso",S576,0))</f>
        <v/>
      </c>
      <c r="W576" s="53">
        <f>IF(P576="","",IF(P576="Resultado trading",S576,0))</f>
        <v/>
      </c>
      <c r="X576" s="52">
        <f>IF(OR(P576="Gasto",P576="Reembolso"),IF(M576&lt;&gt;"",M576,IFERROR(INDEX(catClasif,MATCH(D576&amp;"|"&amp;E576,catClave,0))&amp;"","Variable")),"")</f>
        <v/>
      </c>
      <c r="Y576" s="52">
        <f>IF(P576="","",IFERROR(INDEX(catGrupo,MATCH(D576&amp;"|"&amp;E576,catClave,0))&amp;"",""))</f>
        <v/>
      </c>
      <c r="Z576" s="52">
        <f>IF(P576="","",WEEKDAY(B576,2))</f>
        <v/>
      </c>
      <c r="AA576" s="52">
        <f>IF(P576="","",IF(AND(P576="Gasto",X576="Variable",D576&lt;&gt;catTrading,S576&gt;0,S576&lt;=Umbral),1,0))</f>
        <v/>
      </c>
      <c r="AB576" s="52">
        <f>IF(OR(P576="",Q576=""),"",IFERROR(IF(INDEX(ctaVinc,MATCH(Q576,ctaNombre,0))&amp;""&lt;&gt;"",INDEX(ctaVinc,MATCH(Q576,ctaNombre,0))&amp;"",Q576),Q576))</f>
        <v/>
      </c>
      <c r="AC576" s="52">
        <f>IF(OR(K576="",AND(P576&lt;&gt;"Transferencia",P576&lt;&gt;"Pago tarjeta")),"",IFERROR(IF(INDEX(ctaVinc,MATCH(K576,ctaNombre,0))&amp;""&lt;&gt;"",INDEX(ctaVinc,MATCH(K576,ctaNombre,0))&amp;"",K576),K576))</f>
        <v/>
      </c>
      <c r="AD576" s="52">
        <f>IF(AB576="","",IFERROR(INDEX(ctaTipo,MATCH(AB576,ctaNombre,0))&amp;"",""))</f>
        <v/>
      </c>
      <c r="AE576" s="52">
        <f>IF(AC576="","",IFERROR(INDEX(ctaTipo,MATCH(AC576,ctaNombre,0))&amp;"",""))</f>
        <v/>
      </c>
      <c r="AF576" s="53">
        <f>IF(OR(P576="",AB576=""),"",IF(OR(P576="Gasto",P576="Transferencia",P576="Pago tarjeta"),-1,1)*IF(IFERROR(INDEX(ctaMoneda,MATCH(AB576,ctaNombre,0))&amp;"","DOP")="USD",T576,S576))</f>
        <v/>
      </c>
      <c r="AG576" s="53">
        <f>IF(AC576="","",IF(IFERROR(INDEX(ctaMoneda,MATCH(AC576,ctaNombre,0))&amp;"","DOP")="USD",T576,S576))</f>
        <v/>
      </c>
      <c r="AH576" s="53">
        <f>IF(P576="","",IF(AND(AD576&lt;&gt;"",COUNTIFS(tcTipo,AD576,tcLiq,"Sí")&gt;0),IF(OR(P576="Gasto",P576="Transferencia",P576="Pago tarjeta"),-1,1)*S576,0)+IF(AND(AE576&lt;&gt;"",COUNTIFS(tcTipo,AE576,tcLiq,"Sí")&gt;0),S576,0))</f>
        <v/>
      </c>
      <c r="AI576" s="52">
        <f>IF(OR(L576="",P576=""),"",IF(COUNTIFS(L$6:L576,L576,P$6:P576,"?*")=1,MAX(AI$5:AI575)+1,""))</f>
        <v/>
      </c>
    </row>
    <row r="577">
      <c r="B577" s="47" t="n"/>
      <c r="C577" s="48" t="n"/>
      <c r="D577" s="48" t="n"/>
      <c r="E577" s="48" t="n"/>
      <c r="F577" s="48" t="n"/>
      <c r="G577" s="49" t="n"/>
      <c r="H577" s="48" t="n"/>
      <c r="I577" s="50" t="n"/>
      <c r="J577" s="48" t="n"/>
      <c r="K577" s="48" t="n"/>
      <c r="L577" s="48" t="n"/>
      <c r="M577" s="48" t="n"/>
      <c r="N577" s="48" t="n"/>
      <c r="O577" s="51">
        <f>IF(AND(B577="",G577="",C577="",D577="",J577=""),"",IF(B577="","⚠ Falta fecha",IF(G577="","⚠ Falta monto",IF(Q577="","⚠ Falta cuenta",IF(ISNA(MATCH(Q577,ctaNombre,0)),"⚠ Cuenta no registrada",IF(AND(OR(P577="Gasto",P577="Reembolso"),D577=""),"⚠ Falta categoría",IF(AND(D577&lt;&gt;"",E577&lt;&gt;"",ISNA(MATCH(D577&amp;"|"&amp;E577,catClave,0))),"⚠ Subcategoría no corresponde",IF(AND(OR(P577="Transferencia",P577="Pago tarjeta"),K577=""),"⚠ Falta cuenta destino",IF(AND(K577&lt;&gt;"",P577&lt;&gt;"Transferencia",P577&lt;&gt;"Pago tarjeta"),"⚠ Destino solo aplica a transferencias",IF(AND(K577&lt;&gt;"",K577=Q577),"⚠ Origen igual a destino",IF(AND(K577&lt;&gt;"",ISNA(MATCH(K577,ctaNombre,0))),"⚠ Destino no registrado",IF(AND(P577="Pago tarjeta",AE577&lt;&gt;"Tarjeta de crédito"),"⚠ El destino debe ser tarjeta de crédito",IF(AND(P577="Gasto",E577="Depósitos y retiros"),"⚠ Usa tipo Transferencia",IF(AND(P577="Resultado trading",AD577&lt;&gt;"Cuenta de trading"),"⚠ Usa una cuenta de trading",IF(AND(G577&lt;=0,P577&lt;&gt;"Ajuste",P577&lt;&gt;"Resultado trading"),"⚠ El monto debe ser positivo","✓")))))))))))))))</f>
        <v/>
      </c>
      <c r="P577" s="52">
        <f>IF(OR(B577="",G577=""),"",IF(C577="","Gasto",C577))</f>
        <v/>
      </c>
      <c r="Q577" s="52">
        <f>IF(P577="","",IF(J577&lt;&gt;"",J577,CuentaPred&amp;""))</f>
        <v/>
      </c>
      <c r="R577" s="52">
        <f>IF(P577="","",IF(ISNUMBER(I577),I577,TasaUSD))</f>
        <v/>
      </c>
      <c r="S577" s="53">
        <f>IF(P577="","",IF(H577="USD",G577*R577,G577))</f>
        <v/>
      </c>
      <c r="T577" s="53">
        <f>IF(P577="","",IF(H577="USD",G577,IF(R577&gt;0,G577/R577,0)))</f>
        <v/>
      </c>
      <c r="U577" s="53">
        <f>IF(P577="","",IF(P577="Gasto",S577,IF(P577="Reembolso",-S577,0)))</f>
        <v/>
      </c>
      <c r="V577" s="53">
        <f>IF(P577="","",IF(P577="Ingreso",S577,0))</f>
        <v/>
      </c>
      <c r="W577" s="53">
        <f>IF(P577="","",IF(P577="Resultado trading",S577,0))</f>
        <v/>
      </c>
      <c r="X577" s="52">
        <f>IF(OR(P577="Gasto",P577="Reembolso"),IF(M577&lt;&gt;"",M577,IFERROR(INDEX(catClasif,MATCH(D577&amp;"|"&amp;E577,catClave,0))&amp;"","Variable")),"")</f>
        <v/>
      </c>
      <c r="Y577" s="52">
        <f>IF(P577="","",IFERROR(INDEX(catGrupo,MATCH(D577&amp;"|"&amp;E577,catClave,0))&amp;"",""))</f>
        <v/>
      </c>
      <c r="Z577" s="52">
        <f>IF(P577="","",WEEKDAY(B577,2))</f>
        <v/>
      </c>
      <c r="AA577" s="52">
        <f>IF(P577="","",IF(AND(P577="Gasto",X577="Variable",D577&lt;&gt;catTrading,S577&gt;0,S577&lt;=Umbral),1,0))</f>
        <v/>
      </c>
      <c r="AB577" s="52">
        <f>IF(OR(P577="",Q577=""),"",IFERROR(IF(INDEX(ctaVinc,MATCH(Q577,ctaNombre,0))&amp;""&lt;&gt;"",INDEX(ctaVinc,MATCH(Q577,ctaNombre,0))&amp;"",Q577),Q577))</f>
        <v/>
      </c>
      <c r="AC577" s="52">
        <f>IF(OR(K577="",AND(P577&lt;&gt;"Transferencia",P577&lt;&gt;"Pago tarjeta")),"",IFERROR(IF(INDEX(ctaVinc,MATCH(K577,ctaNombre,0))&amp;""&lt;&gt;"",INDEX(ctaVinc,MATCH(K577,ctaNombre,0))&amp;"",K577),K577))</f>
        <v/>
      </c>
      <c r="AD577" s="52">
        <f>IF(AB577="","",IFERROR(INDEX(ctaTipo,MATCH(AB577,ctaNombre,0))&amp;"",""))</f>
        <v/>
      </c>
      <c r="AE577" s="52">
        <f>IF(AC577="","",IFERROR(INDEX(ctaTipo,MATCH(AC577,ctaNombre,0))&amp;"",""))</f>
        <v/>
      </c>
      <c r="AF577" s="53">
        <f>IF(OR(P577="",AB577=""),"",IF(OR(P577="Gasto",P577="Transferencia",P577="Pago tarjeta"),-1,1)*IF(IFERROR(INDEX(ctaMoneda,MATCH(AB577,ctaNombre,0))&amp;"","DOP")="USD",T577,S577))</f>
        <v/>
      </c>
      <c r="AG577" s="53">
        <f>IF(AC577="","",IF(IFERROR(INDEX(ctaMoneda,MATCH(AC577,ctaNombre,0))&amp;"","DOP")="USD",T577,S577))</f>
        <v/>
      </c>
      <c r="AH577" s="53">
        <f>IF(P577="","",IF(AND(AD577&lt;&gt;"",COUNTIFS(tcTipo,AD577,tcLiq,"Sí")&gt;0),IF(OR(P577="Gasto",P577="Transferencia",P577="Pago tarjeta"),-1,1)*S577,0)+IF(AND(AE577&lt;&gt;"",COUNTIFS(tcTipo,AE577,tcLiq,"Sí")&gt;0),S577,0))</f>
        <v/>
      </c>
      <c r="AI577" s="52">
        <f>IF(OR(L577="",P577=""),"",IF(COUNTIFS(L$6:L577,L577,P$6:P577,"?*")=1,MAX(AI$5:AI576)+1,""))</f>
        <v/>
      </c>
    </row>
    <row r="578">
      <c r="B578" s="47" t="n"/>
      <c r="C578" s="48" t="n"/>
      <c r="D578" s="48" t="n"/>
      <c r="E578" s="48" t="n"/>
      <c r="F578" s="48" t="n"/>
      <c r="G578" s="49" t="n"/>
      <c r="H578" s="48" t="n"/>
      <c r="I578" s="50" t="n"/>
      <c r="J578" s="48" t="n"/>
      <c r="K578" s="48" t="n"/>
      <c r="L578" s="48" t="n"/>
      <c r="M578" s="48" t="n"/>
      <c r="N578" s="48" t="n"/>
      <c r="O578" s="51">
        <f>IF(AND(B578="",G578="",C578="",D578="",J578=""),"",IF(B578="","⚠ Falta fecha",IF(G578="","⚠ Falta monto",IF(Q578="","⚠ Falta cuenta",IF(ISNA(MATCH(Q578,ctaNombre,0)),"⚠ Cuenta no registrada",IF(AND(OR(P578="Gasto",P578="Reembolso"),D578=""),"⚠ Falta categoría",IF(AND(D578&lt;&gt;"",E578&lt;&gt;"",ISNA(MATCH(D578&amp;"|"&amp;E578,catClave,0))),"⚠ Subcategoría no corresponde",IF(AND(OR(P578="Transferencia",P578="Pago tarjeta"),K578=""),"⚠ Falta cuenta destino",IF(AND(K578&lt;&gt;"",P578&lt;&gt;"Transferencia",P578&lt;&gt;"Pago tarjeta"),"⚠ Destino solo aplica a transferencias",IF(AND(K578&lt;&gt;"",K578=Q578),"⚠ Origen igual a destino",IF(AND(K578&lt;&gt;"",ISNA(MATCH(K578,ctaNombre,0))),"⚠ Destino no registrado",IF(AND(P578="Pago tarjeta",AE578&lt;&gt;"Tarjeta de crédito"),"⚠ El destino debe ser tarjeta de crédito",IF(AND(P578="Gasto",E578="Depósitos y retiros"),"⚠ Usa tipo Transferencia",IF(AND(P578="Resultado trading",AD578&lt;&gt;"Cuenta de trading"),"⚠ Usa una cuenta de trading",IF(AND(G578&lt;=0,P578&lt;&gt;"Ajuste",P578&lt;&gt;"Resultado trading"),"⚠ El monto debe ser positivo","✓")))))))))))))))</f>
        <v/>
      </c>
      <c r="P578" s="52">
        <f>IF(OR(B578="",G578=""),"",IF(C578="","Gasto",C578))</f>
        <v/>
      </c>
      <c r="Q578" s="52">
        <f>IF(P578="","",IF(J578&lt;&gt;"",J578,CuentaPred&amp;""))</f>
        <v/>
      </c>
      <c r="R578" s="52">
        <f>IF(P578="","",IF(ISNUMBER(I578),I578,TasaUSD))</f>
        <v/>
      </c>
      <c r="S578" s="53">
        <f>IF(P578="","",IF(H578="USD",G578*R578,G578))</f>
        <v/>
      </c>
      <c r="T578" s="53">
        <f>IF(P578="","",IF(H578="USD",G578,IF(R578&gt;0,G578/R578,0)))</f>
        <v/>
      </c>
      <c r="U578" s="53">
        <f>IF(P578="","",IF(P578="Gasto",S578,IF(P578="Reembolso",-S578,0)))</f>
        <v/>
      </c>
      <c r="V578" s="53">
        <f>IF(P578="","",IF(P578="Ingreso",S578,0))</f>
        <v/>
      </c>
      <c r="W578" s="53">
        <f>IF(P578="","",IF(P578="Resultado trading",S578,0))</f>
        <v/>
      </c>
      <c r="X578" s="52">
        <f>IF(OR(P578="Gasto",P578="Reembolso"),IF(M578&lt;&gt;"",M578,IFERROR(INDEX(catClasif,MATCH(D578&amp;"|"&amp;E578,catClave,0))&amp;"","Variable")),"")</f>
        <v/>
      </c>
      <c r="Y578" s="52">
        <f>IF(P578="","",IFERROR(INDEX(catGrupo,MATCH(D578&amp;"|"&amp;E578,catClave,0))&amp;"",""))</f>
        <v/>
      </c>
      <c r="Z578" s="52">
        <f>IF(P578="","",WEEKDAY(B578,2))</f>
        <v/>
      </c>
      <c r="AA578" s="52">
        <f>IF(P578="","",IF(AND(P578="Gasto",X578="Variable",D578&lt;&gt;catTrading,S578&gt;0,S578&lt;=Umbral),1,0))</f>
        <v/>
      </c>
      <c r="AB578" s="52">
        <f>IF(OR(P578="",Q578=""),"",IFERROR(IF(INDEX(ctaVinc,MATCH(Q578,ctaNombre,0))&amp;""&lt;&gt;"",INDEX(ctaVinc,MATCH(Q578,ctaNombre,0))&amp;"",Q578),Q578))</f>
        <v/>
      </c>
      <c r="AC578" s="52">
        <f>IF(OR(K578="",AND(P578&lt;&gt;"Transferencia",P578&lt;&gt;"Pago tarjeta")),"",IFERROR(IF(INDEX(ctaVinc,MATCH(K578,ctaNombre,0))&amp;""&lt;&gt;"",INDEX(ctaVinc,MATCH(K578,ctaNombre,0))&amp;"",K578),K578))</f>
        <v/>
      </c>
      <c r="AD578" s="52">
        <f>IF(AB578="","",IFERROR(INDEX(ctaTipo,MATCH(AB578,ctaNombre,0))&amp;"",""))</f>
        <v/>
      </c>
      <c r="AE578" s="52">
        <f>IF(AC578="","",IFERROR(INDEX(ctaTipo,MATCH(AC578,ctaNombre,0))&amp;"",""))</f>
        <v/>
      </c>
      <c r="AF578" s="53">
        <f>IF(OR(P578="",AB578=""),"",IF(OR(P578="Gasto",P578="Transferencia",P578="Pago tarjeta"),-1,1)*IF(IFERROR(INDEX(ctaMoneda,MATCH(AB578,ctaNombre,0))&amp;"","DOP")="USD",T578,S578))</f>
        <v/>
      </c>
      <c r="AG578" s="53">
        <f>IF(AC578="","",IF(IFERROR(INDEX(ctaMoneda,MATCH(AC578,ctaNombre,0))&amp;"","DOP")="USD",T578,S578))</f>
        <v/>
      </c>
      <c r="AH578" s="53">
        <f>IF(P578="","",IF(AND(AD578&lt;&gt;"",COUNTIFS(tcTipo,AD578,tcLiq,"Sí")&gt;0),IF(OR(P578="Gasto",P578="Transferencia",P578="Pago tarjeta"),-1,1)*S578,0)+IF(AND(AE578&lt;&gt;"",COUNTIFS(tcTipo,AE578,tcLiq,"Sí")&gt;0),S578,0))</f>
        <v/>
      </c>
      <c r="AI578" s="52">
        <f>IF(OR(L578="",P578=""),"",IF(COUNTIFS(L$6:L578,L578,P$6:P578,"?*")=1,MAX(AI$5:AI577)+1,""))</f>
        <v/>
      </c>
    </row>
    <row r="579">
      <c r="B579" s="47" t="n"/>
      <c r="C579" s="48" t="n"/>
      <c r="D579" s="48" t="n"/>
      <c r="E579" s="48" t="n"/>
      <c r="F579" s="48" t="n"/>
      <c r="G579" s="49" t="n"/>
      <c r="H579" s="48" t="n"/>
      <c r="I579" s="50" t="n"/>
      <c r="J579" s="48" t="n"/>
      <c r="K579" s="48" t="n"/>
      <c r="L579" s="48" t="n"/>
      <c r="M579" s="48" t="n"/>
      <c r="N579" s="48" t="n"/>
      <c r="O579" s="51">
        <f>IF(AND(B579="",G579="",C579="",D579="",J579=""),"",IF(B579="","⚠ Falta fecha",IF(G579="","⚠ Falta monto",IF(Q579="","⚠ Falta cuenta",IF(ISNA(MATCH(Q579,ctaNombre,0)),"⚠ Cuenta no registrada",IF(AND(OR(P579="Gasto",P579="Reembolso"),D579=""),"⚠ Falta categoría",IF(AND(D579&lt;&gt;"",E579&lt;&gt;"",ISNA(MATCH(D579&amp;"|"&amp;E579,catClave,0))),"⚠ Subcategoría no corresponde",IF(AND(OR(P579="Transferencia",P579="Pago tarjeta"),K579=""),"⚠ Falta cuenta destino",IF(AND(K579&lt;&gt;"",P579&lt;&gt;"Transferencia",P579&lt;&gt;"Pago tarjeta"),"⚠ Destino solo aplica a transferencias",IF(AND(K579&lt;&gt;"",K579=Q579),"⚠ Origen igual a destino",IF(AND(K579&lt;&gt;"",ISNA(MATCH(K579,ctaNombre,0))),"⚠ Destino no registrado",IF(AND(P579="Pago tarjeta",AE579&lt;&gt;"Tarjeta de crédito"),"⚠ El destino debe ser tarjeta de crédito",IF(AND(P579="Gasto",E579="Depósitos y retiros"),"⚠ Usa tipo Transferencia",IF(AND(P579="Resultado trading",AD579&lt;&gt;"Cuenta de trading"),"⚠ Usa una cuenta de trading",IF(AND(G579&lt;=0,P579&lt;&gt;"Ajuste",P579&lt;&gt;"Resultado trading"),"⚠ El monto debe ser positivo","✓")))))))))))))))</f>
        <v/>
      </c>
      <c r="P579" s="52">
        <f>IF(OR(B579="",G579=""),"",IF(C579="","Gasto",C579))</f>
        <v/>
      </c>
      <c r="Q579" s="52">
        <f>IF(P579="","",IF(J579&lt;&gt;"",J579,CuentaPred&amp;""))</f>
        <v/>
      </c>
      <c r="R579" s="52">
        <f>IF(P579="","",IF(ISNUMBER(I579),I579,TasaUSD))</f>
        <v/>
      </c>
      <c r="S579" s="53">
        <f>IF(P579="","",IF(H579="USD",G579*R579,G579))</f>
        <v/>
      </c>
      <c r="T579" s="53">
        <f>IF(P579="","",IF(H579="USD",G579,IF(R579&gt;0,G579/R579,0)))</f>
        <v/>
      </c>
      <c r="U579" s="53">
        <f>IF(P579="","",IF(P579="Gasto",S579,IF(P579="Reembolso",-S579,0)))</f>
        <v/>
      </c>
      <c r="V579" s="53">
        <f>IF(P579="","",IF(P579="Ingreso",S579,0))</f>
        <v/>
      </c>
      <c r="W579" s="53">
        <f>IF(P579="","",IF(P579="Resultado trading",S579,0))</f>
        <v/>
      </c>
      <c r="X579" s="52">
        <f>IF(OR(P579="Gasto",P579="Reembolso"),IF(M579&lt;&gt;"",M579,IFERROR(INDEX(catClasif,MATCH(D579&amp;"|"&amp;E579,catClave,0))&amp;"","Variable")),"")</f>
        <v/>
      </c>
      <c r="Y579" s="52">
        <f>IF(P579="","",IFERROR(INDEX(catGrupo,MATCH(D579&amp;"|"&amp;E579,catClave,0))&amp;"",""))</f>
        <v/>
      </c>
      <c r="Z579" s="52">
        <f>IF(P579="","",WEEKDAY(B579,2))</f>
        <v/>
      </c>
      <c r="AA579" s="52">
        <f>IF(P579="","",IF(AND(P579="Gasto",X579="Variable",D579&lt;&gt;catTrading,S579&gt;0,S579&lt;=Umbral),1,0))</f>
        <v/>
      </c>
      <c r="AB579" s="52">
        <f>IF(OR(P579="",Q579=""),"",IFERROR(IF(INDEX(ctaVinc,MATCH(Q579,ctaNombre,0))&amp;""&lt;&gt;"",INDEX(ctaVinc,MATCH(Q579,ctaNombre,0))&amp;"",Q579),Q579))</f>
        <v/>
      </c>
      <c r="AC579" s="52">
        <f>IF(OR(K579="",AND(P579&lt;&gt;"Transferencia",P579&lt;&gt;"Pago tarjeta")),"",IFERROR(IF(INDEX(ctaVinc,MATCH(K579,ctaNombre,0))&amp;""&lt;&gt;"",INDEX(ctaVinc,MATCH(K579,ctaNombre,0))&amp;"",K579),K579))</f>
        <v/>
      </c>
      <c r="AD579" s="52">
        <f>IF(AB579="","",IFERROR(INDEX(ctaTipo,MATCH(AB579,ctaNombre,0))&amp;"",""))</f>
        <v/>
      </c>
      <c r="AE579" s="52">
        <f>IF(AC579="","",IFERROR(INDEX(ctaTipo,MATCH(AC579,ctaNombre,0))&amp;"",""))</f>
        <v/>
      </c>
      <c r="AF579" s="53">
        <f>IF(OR(P579="",AB579=""),"",IF(OR(P579="Gasto",P579="Transferencia",P579="Pago tarjeta"),-1,1)*IF(IFERROR(INDEX(ctaMoneda,MATCH(AB579,ctaNombre,0))&amp;"","DOP")="USD",T579,S579))</f>
        <v/>
      </c>
      <c r="AG579" s="53">
        <f>IF(AC579="","",IF(IFERROR(INDEX(ctaMoneda,MATCH(AC579,ctaNombre,0))&amp;"","DOP")="USD",T579,S579))</f>
        <v/>
      </c>
      <c r="AH579" s="53">
        <f>IF(P579="","",IF(AND(AD579&lt;&gt;"",COUNTIFS(tcTipo,AD579,tcLiq,"Sí")&gt;0),IF(OR(P579="Gasto",P579="Transferencia",P579="Pago tarjeta"),-1,1)*S579,0)+IF(AND(AE579&lt;&gt;"",COUNTIFS(tcTipo,AE579,tcLiq,"Sí")&gt;0),S579,0))</f>
        <v/>
      </c>
      <c r="AI579" s="52">
        <f>IF(OR(L579="",P579=""),"",IF(COUNTIFS(L$6:L579,L579,P$6:P579,"?*")=1,MAX(AI$5:AI578)+1,""))</f>
        <v/>
      </c>
    </row>
    <row r="580">
      <c r="B580" s="47" t="n"/>
      <c r="C580" s="48" t="n"/>
      <c r="D580" s="48" t="n"/>
      <c r="E580" s="48" t="n"/>
      <c r="F580" s="48" t="n"/>
      <c r="G580" s="49" t="n"/>
      <c r="H580" s="48" t="n"/>
      <c r="I580" s="50" t="n"/>
      <c r="J580" s="48" t="n"/>
      <c r="K580" s="48" t="n"/>
      <c r="L580" s="48" t="n"/>
      <c r="M580" s="48" t="n"/>
      <c r="N580" s="48" t="n"/>
      <c r="O580" s="51">
        <f>IF(AND(B580="",G580="",C580="",D580="",J580=""),"",IF(B580="","⚠ Falta fecha",IF(G580="","⚠ Falta monto",IF(Q580="","⚠ Falta cuenta",IF(ISNA(MATCH(Q580,ctaNombre,0)),"⚠ Cuenta no registrada",IF(AND(OR(P580="Gasto",P580="Reembolso"),D580=""),"⚠ Falta categoría",IF(AND(D580&lt;&gt;"",E580&lt;&gt;"",ISNA(MATCH(D580&amp;"|"&amp;E580,catClave,0))),"⚠ Subcategoría no corresponde",IF(AND(OR(P580="Transferencia",P580="Pago tarjeta"),K580=""),"⚠ Falta cuenta destino",IF(AND(K580&lt;&gt;"",P580&lt;&gt;"Transferencia",P580&lt;&gt;"Pago tarjeta"),"⚠ Destino solo aplica a transferencias",IF(AND(K580&lt;&gt;"",K580=Q580),"⚠ Origen igual a destino",IF(AND(K580&lt;&gt;"",ISNA(MATCH(K580,ctaNombre,0))),"⚠ Destino no registrado",IF(AND(P580="Pago tarjeta",AE580&lt;&gt;"Tarjeta de crédito"),"⚠ El destino debe ser tarjeta de crédito",IF(AND(P580="Gasto",E580="Depósitos y retiros"),"⚠ Usa tipo Transferencia",IF(AND(P580="Resultado trading",AD580&lt;&gt;"Cuenta de trading"),"⚠ Usa una cuenta de trading",IF(AND(G580&lt;=0,P580&lt;&gt;"Ajuste",P580&lt;&gt;"Resultado trading"),"⚠ El monto debe ser positivo","✓")))))))))))))))</f>
        <v/>
      </c>
      <c r="P580" s="52">
        <f>IF(OR(B580="",G580=""),"",IF(C580="","Gasto",C580))</f>
        <v/>
      </c>
      <c r="Q580" s="52">
        <f>IF(P580="","",IF(J580&lt;&gt;"",J580,CuentaPred&amp;""))</f>
        <v/>
      </c>
      <c r="R580" s="52">
        <f>IF(P580="","",IF(ISNUMBER(I580),I580,TasaUSD))</f>
        <v/>
      </c>
      <c r="S580" s="53">
        <f>IF(P580="","",IF(H580="USD",G580*R580,G580))</f>
        <v/>
      </c>
      <c r="T580" s="53">
        <f>IF(P580="","",IF(H580="USD",G580,IF(R580&gt;0,G580/R580,0)))</f>
        <v/>
      </c>
      <c r="U580" s="53">
        <f>IF(P580="","",IF(P580="Gasto",S580,IF(P580="Reembolso",-S580,0)))</f>
        <v/>
      </c>
      <c r="V580" s="53">
        <f>IF(P580="","",IF(P580="Ingreso",S580,0))</f>
        <v/>
      </c>
      <c r="W580" s="53">
        <f>IF(P580="","",IF(P580="Resultado trading",S580,0))</f>
        <v/>
      </c>
      <c r="X580" s="52">
        <f>IF(OR(P580="Gasto",P580="Reembolso"),IF(M580&lt;&gt;"",M580,IFERROR(INDEX(catClasif,MATCH(D580&amp;"|"&amp;E580,catClave,0))&amp;"","Variable")),"")</f>
        <v/>
      </c>
      <c r="Y580" s="52">
        <f>IF(P580="","",IFERROR(INDEX(catGrupo,MATCH(D580&amp;"|"&amp;E580,catClave,0))&amp;"",""))</f>
        <v/>
      </c>
      <c r="Z580" s="52">
        <f>IF(P580="","",WEEKDAY(B580,2))</f>
        <v/>
      </c>
      <c r="AA580" s="52">
        <f>IF(P580="","",IF(AND(P580="Gasto",X580="Variable",D580&lt;&gt;catTrading,S580&gt;0,S580&lt;=Umbral),1,0))</f>
        <v/>
      </c>
      <c r="AB580" s="52">
        <f>IF(OR(P580="",Q580=""),"",IFERROR(IF(INDEX(ctaVinc,MATCH(Q580,ctaNombre,0))&amp;""&lt;&gt;"",INDEX(ctaVinc,MATCH(Q580,ctaNombre,0))&amp;"",Q580),Q580))</f>
        <v/>
      </c>
      <c r="AC580" s="52">
        <f>IF(OR(K580="",AND(P580&lt;&gt;"Transferencia",P580&lt;&gt;"Pago tarjeta")),"",IFERROR(IF(INDEX(ctaVinc,MATCH(K580,ctaNombre,0))&amp;""&lt;&gt;"",INDEX(ctaVinc,MATCH(K580,ctaNombre,0))&amp;"",K580),K580))</f>
        <v/>
      </c>
      <c r="AD580" s="52">
        <f>IF(AB580="","",IFERROR(INDEX(ctaTipo,MATCH(AB580,ctaNombre,0))&amp;"",""))</f>
        <v/>
      </c>
      <c r="AE580" s="52">
        <f>IF(AC580="","",IFERROR(INDEX(ctaTipo,MATCH(AC580,ctaNombre,0))&amp;"",""))</f>
        <v/>
      </c>
      <c r="AF580" s="53">
        <f>IF(OR(P580="",AB580=""),"",IF(OR(P580="Gasto",P580="Transferencia",P580="Pago tarjeta"),-1,1)*IF(IFERROR(INDEX(ctaMoneda,MATCH(AB580,ctaNombre,0))&amp;"","DOP")="USD",T580,S580))</f>
        <v/>
      </c>
      <c r="AG580" s="53">
        <f>IF(AC580="","",IF(IFERROR(INDEX(ctaMoneda,MATCH(AC580,ctaNombre,0))&amp;"","DOP")="USD",T580,S580))</f>
        <v/>
      </c>
      <c r="AH580" s="53">
        <f>IF(P580="","",IF(AND(AD580&lt;&gt;"",COUNTIFS(tcTipo,AD580,tcLiq,"Sí")&gt;0),IF(OR(P580="Gasto",P580="Transferencia",P580="Pago tarjeta"),-1,1)*S580,0)+IF(AND(AE580&lt;&gt;"",COUNTIFS(tcTipo,AE580,tcLiq,"Sí")&gt;0),S580,0))</f>
        <v/>
      </c>
      <c r="AI580" s="52">
        <f>IF(OR(L580="",P580=""),"",IF(COUNTIFS(L$6:L580,L580,P$6:P580,"?*")=1,MAX(AI$5:AI579)+1,""))</f>
        <v/>
      </c>
    </row>
    <row r="581">
      <c r="B581" s="47" t="n"/>
      <c r="C581" s="48" t="n"/>
      <c r="D581" s="48" t="n"/>
      <c r="E581" s="48" t="n"/>
      <c r="F581" s="48" t="n"/>
      <c r="G581" s="49" t="n"/>
      <c r="H581" s="48" t="n"/>
      <c r="I581" s="50" t="n"/>
      <c r="J581" s="48" t="n"/>
      <c r="K581" s="48" t="n"/>
      <c r="L581" s="48" t="n"/>
      <c r="M581" s="48" t="n"/>
      <c r="N581" s="48" t="n"/>
      <c r="O581" s="51">
        <f>IF(AND(B581="",G581="",C581="",D581="",J581=""),"",IF(B581="","⚠ Falta fecha",IF(G581="","⚠ Falta monto",IF(Q581="","⚠ Falta cuenta",IF(ISNA(MATCH(Q581,ctaNombre,0)),"⚠ Cuenta no registrada",IF(AND(OR(P581="Gasto",P581="Reembolso"),D581=""),"⚠ Falta categoría",IF(AND(D581&lt;&gt;"",E581&lt;&gt;"",ISNA(MATCH(D581&amp;"|"&amp;E581,catClave,0))),"⚠ Subcategoría no corresponde",IF(AND(OR(P581="Transferencia",P581="Pago tarjeta"),K581=""),"⚠ Falta cuenta destino",IF(AND(K581&lt;&gt;"",P581&lt;&gt;"Transferencia",P581&lt;&gt;"Pago tarjeta"),"⚠ Destino solo aplica a transferencias",IF(AND(K581&lt;&gt;"",K581=Q581),"⚠ Origen igual a destino",IF(AND(K581&lt;&gt;"",ISNA(MATCH(K581,ctaNombre,0))),"⚠ Destino no registrado",IF(AND(P581="Pago tarjeta",AE581&lt;&gt;"Tarjeta de crédito"),"⚠ El destino debe ser tarjeta de crédito",IF(AND(P581="Gasto",E581="Depósitos y retiros"),"⚠ Usa tipo Transferencia",IF(AND(P581="Resultado trading",AD581&lt;&gt;"Cuenta de trading"),"⚠ Usa una cuenta de trading",IF(AND(G581&lt;=0,P581&lt;&gt;"Ajuste",P581&lt;&gt;"Resultado trading"),"⚠ El monto debe ser positivo","✓")))))))))))))))</f>
        <v/>
      </c>
      <c r="P581" s="52">
        <f>IF(OR(B581="",G581=""),"",IF(C581="","Gasto",C581))</f>
        <v/>
      </c>
      <c r="Q581" s="52">
        <f>IF(P581="","",IF(J581&lt;&gt;"",J581,CuentaPred&amp;""))</f>
        <v/>
      </c>
      <c r="R581" s="52">
        <f>IF(P581="","",IF(ISNUMBER(I581),I581,TasaUSD))</f>
        <v/>
      </c>
      <c r="S581" s="53">
        <f>IF(P581="","",IF(H581="USD",G581*R581,G581))</f>
        <v/>
      </c>
      <c r="T581" s="53">
        <f>IF(P581="","",IF(H581="USD",G581,IF(R581&gt;0,G581/R581,0)))</f>
        <v/>
      </c>
      <c r="U581" s="53">
        <f>IF(P581="","",IF(P581="Gasto",S581,IF(P581="Reembolso",-S581,0)))</f>
        <v/>
      </c>
      <c r="V581" s="53">
        <f>IF(P581="","",IF(P581="Ingreso",S581,0))</f>
        <v/>
      </c>
      <c r="W581" s="53">
        <f>IF(P581="","",IF(P581="Resultado trading",S581,0))</f>
        <v/>
      </c>
      <c r="X581" s="52">
        <f>IF(OR(P581="Gasto",P581="Reembolso"),IF(M581&lt;&gt;"",M581,IFERROR(INDEX(catClasif,MATCH(D581&amp;"|"&amp;E581,catClave,0))&amp;"","Variable")),"")</f>
        <v/>
      </c>
      <c r="Y581" s="52">
        <f>IF(P581="","",IFERROR(INDEX(catGrupo,MATCH(D581&amp;"|"&amp;E581,catClave,0))&amp;"",""))</f>
        <v/>
      </c>
      <c r="Z581" s="52">
        <f>IF(P581="","",WEEKDAY(B581,2))</f>
        <v/>
      </c>
      <c r="AA581" s="52">
        <f>IF(P581="","",IF(AND(P581="Gasto",X581="Variable",D581&lt;&gt;catTrading,S581&gt;0,S581&lt;=Umbral),1,0))</f>
        <v/>
      </c>
      <c r="AB581" s="52">
        <f>IF(OR(P581="",Q581=""),"",IFERROR(IF(INDEX(ctaVinc,MATCH(Q581,ctaNombre,0))&amp;""&lt;&gt;"",INDEX(ctaVinc,MATCH(Q581,ctaNombre,0))&amp;"",Q581),Q581))</f>
        <v/>
      </c>
      <c r="AC581" s="52">
        <f>IF(OR(K581="",AND(P581&lt;&gt;"Transferencia",P581&lt;&gt;"Pago tarjeta")),"",IFERROR(IF(INDEX(ctaVinc,MATCH(K581,ctaNombre,0))&amp;""&lt;&gt;"",INDEX(ctaVinc,MATCH(K581,ctaNombre,0))&amp;"",K581),K581))</f>
        <v/>
      </c>
      <c r="AD581" s="52">
        <f>IF(AB581="","",IFERROR(INDEX(ctaTipo,MATCH(AB581,ctaNombre,0))&amp;"",""))</f>
        <v/>
      </c>
      <c r="AE581" s="52">
        <f>IF(AC581="","",IFERROR(INDEX(ctaTipo,MATCH(AC581,ctaNombre,0))&amp;"",""))</f>
        <v/>
      </c>
      <c r="AF581" s="53">
        <f>IF(OR(P581="",AB581=""),"",IF(OR(P581="Gasto",P581="Transferencia",P581="Pago tarjeta"),-1,1)*IF(IFERROR(INDEX(ctaMoneda,MATCH(AB581,ctaNombre,0))&amp;"","DOP")="USD",T581,S581))</f>
        <v/>
      </c>
      <c r="AG581" s="53">
        <f>IF(AC581="","",IF(IFERROR(INDEX(ctaMoneda,MATCH(AC581,ctaNombre,0))&amp;"","DOP")="USD",T581,S581))</f>
        <v/>
      </c>
      <c r="AH581" s="53">
        <f>IF(P581="","",IF(AND(AD581&lt;&gt;"",COUNTIFS(tcTipo,AD581,tcLiq,"Sí")&gt;0),IF(OR(P581="Gasto",P581="Transferencia",P581="Pago tarjeta"),-1,1)*S581,0)+IF(AND(AE581&lt;&gt;"",COUNTIFS(tcTipo,AE581,tcLiq,"Sí")&gt;0),S581,0))</f>
        <v/>
      </c>
      <c r="AI581" s="52">
        <f>IF(OR(L581="",P581=""),"",IF(COUNTIFS(L$6:L581,L581,P$6:P581,"?*")=1,MAX(AI$5:AI580)+1,""))</f>
        <v/>
      </c>
    </row>
    <row r="582">
      <c r="B582" s="47" t="n"/>
      <c r="C582" s="48" t="n"/>
      <c r="D582" s="48" t="n"/>
      <c r="E582" s="48" t="n"/>
      <c r="F582" s="48" t="n"/>
      <c r="G582" s="49" t="n"/>
      <c r="H582" s="48" t="n"/>
      <c r="I582" s="50" t="n"/>
      <c r="J582" s="48" t="n"/>
      <c r="K582" s="48" t="n"/>
      <c r="L582" s="48" t="n"/>
      <c r="M582" s="48" t="n"/>
      <c r="N582" s="48" t="n"/>
      <c r="O582" s="51">
        <f>IF(AND(B582="",G582="",C582="",D582="",J582=""),"",IF(B582="","⚠ Falta fecha",IF(G582="","⚠ Falta monto",IF(Q582="","⚠ Falta cuenta",IF(ISNA(MATCH(Q582,ctaNombre,0)),"⚠ Cuenta no registrada",IF(AND(OR(P582="Gasto",P582="Reembolso"),D582=""),"⚠ Falta categoría",IF(AND(D582&lt;&gt;"",E582&lt;&gt;"",ISNA(MATCH(D582&amp;"|"&amp;E582,catClave,0))),"⚠ Subcategoría no corresponde",IF(AND(OR(P582="Transferencia",P582="Pago tarjeta"),K582=""),"⚠ Falta cuenta destino",IF(AND(K582&lt;&gt;"",P582&lt;&gt;"Transferencia",P582&lt;&gt;"Pago tarjeta"),"⚠ Destino solo aplica a transferencias",IF(AND(K582&lt;&gt;"",K582=Q582),"⚠ Origen igual a destino",IF(AND(K582&lt;&gt;"",ISNA(MATCH(K582,ctaNombre,0))),"⚠ Destino no registrado",IF(AND(P582="Pago tarjeta",AE582&lt;&gt;"Tarjeta de crédito"),"⚠ El destino debe ser tarjeta de crédito",IF(AND(P582="Gasto",E582="Depósitos y retiros"),"⚠ Usa tipo Transferencia",IF(AND(P582="Resultado trading",AD582&lt;&gt;"Cuenta de trading"),"⚠ Usa una cuenta de trading",IF(AND(G582&lt;=0,P582&lt;&gt;"Ajuste",P582&lt;&gt;"Resultado trading"),"⚠ El monto debe ser positivo","✓")))))))))))))))</f>
        <v/>
      </c>
      <c r="P582" s="52">
        <f>IF(OR(B582="",G582=""),"",IF(C582="","Gasto",C582))</f>
        <v/>
      </c>
      <c r="Q582" s="52">
        <f>IF(P582="","",IF(J582&lt;&gt;"",J582,CuentaPred&amp;""))</f>
        <v/>
      </c>
      <c r="R582" s="52">
        <f>IF(P582="","",IF(ISNUMBER(I582),I582,TasaUSD))</f>
        <v/>
      </c>
      <c r="S582" s="53">
        <f>IF(P582="","",IF(H582="USD",G582*R582,G582))</f>
        <v/>
      </c>
      <c r="T582" s="53">
        <f>IF(P582="","",IF(H582="USD",G582,IF(R582&gt;0,G582/R582,0)))</f>
        <v/>
      </c>
      <c r="U582" s="53">
        <f>IF(P582="","",IF(P582="Gasto",S582,IF(P582="Reembolso",-S582,0)))</f>
        <v/>
      </c>
      <c r="V582" s="53">
        <f>IF(P582="","",IF(P582="Ingreso",S582,0))</f>
        <v/>
      </c>
      <c r="W582" s="53">
        <f>IF(P582="","",IF(P582="Resultado trading",S582,0))</f>
        <v/>
      </c>
      <c r="X582" s="52">
        <f>IF(OR(P582="Gasto",P582="Reembolso"),IF(M582&lt;&gt;"",M582,IFERROR(INDEX(catClasif,MATCH(D582&amp;"|"&amp;E582,catClave,0))&amp;"","Variable")),"")</f>
        <v/>
      </c>
      <c r="Y582" s="52">
        <f>IF(P582="","",IFERROR(INDEX(catGrupo,MATCH(D582&amp;"|"&amp;E582,catClave,0))&amp;"",""))</f>
        <v/>
      </c>
      <c r="Z582" s="52">
        <f>IF(P582="","",WEEKDAY(B582,2))</f>
        <v/>
      </c>
      <c r="AA582" s="52">
        <f>IF(P582="","",IF(AND(P582="Gasto",X582="Variable",D582&lt;&gt;catTrading,S582&gt;0,S582&lt;=Umbral),1,0))</f>
        <v/>
      </c>
      <c r="AB582" s="52">
        <f>IF(OR(P582="",Q582=""),"",IFERROR(IF(INDEX(ctaVinc,MATCH(Q582,ctaNombre,0))&amp;""&lt;&gt;"",INDEX(ctaVinc,MATCH(Q582,ctaNombre,0))&amp;"",Q582),Q582))</f>
        <v/>
      </c>
      <c r="AC582" s="52">
        <f>IF(OR(K582="",AND(P582&lt;&gt;"Transferencia",P582&lt;&gt;"Pago tarjeta")),"",IFERROR(IF(INDEX(ctaVinc,MATCH(K582,ctaNombre,0))&amp;""&lt;&gt;"",INDEX(ctaVinc,MATCH(K582,ctaNombre,0))&amp;"",K582),K582))</f>
        <v/>
      </c>
      <c r="AD582" s="52">
        <f>IF(AB582="","",IFERROR(INDEX(ctaTipo,MATCH(AB582,ctaNombre,0))&amp;"",""))</f>
        <v/>
      </c>
      <c r="AE582" s="52">
        <f>IF(AC582="","",IFERROR(INDEX(ctaTipo,MATCH(AC582,ctaNombre,0))&amp;"",""))</f>
        <v/>
      </c>
      <c r="AF582" s="53">
        <f>IF(OR(P582="",AB582=""),"",IF(OR(P582="Gasto",P582="Transferencia",P582="Pago tarjeta"),-1,1)*IF(IFERROR(INDEX(ctaMoneda,MATCH(AB582,ctaNombre,0))&amp;"","DOP")="USD",T582,S582))</f>
        <v/>
      </c>
      <c r="AG582" s="53">
        <f>IF(AC582="","",IF(IFERROR(INDEX(ctaMoneda,MATCH(AC582,ctaNombre,0))&amp;"","DOP")="USD",T582,S582))</f>
        <v/>
      </c>
      <c r="AH582" s="53">
        <f>IF(P582="","",IF(AND(AD582&lt;&gt;"",COUNTIFS(tcTipo,AD582,tcLiq,"Sí")&gt;0),IF(OR(P582="Gasto",P582="Transferencia",P582="Pago tarjeta"),-1,1)*S582,0)+IF(AND(AE582&lt;&gt;"",COUNTIFS(tcTipo,AE582,tcLiq,"Sí")&gt;0),S582,0))</f>
        <v/>
      </c>
      <c r="AI582" s="52">
        <f>IF(OR(L582="",P582=""),"",IF(COUNTIFS(L$6:L582,L582,P$6:P582,"?*")=1,MAX(AI$5:AI581)+1,""))</f>
        <v/>
      </c>
    </row>
    <row r="583">
      <c r="B583" s="47" t="n"/>
      <c r="C583" s="48" t="n"/>
      <c r="D583" s="48" t="n"/>
      <c r="E583" s="48" t="n"/>
      <c r="F583" s="48" t="n"/>
      <c r="G583" s="49" t="n"/>
      <c r="H583" s="48" t="n"/>
      <c r="I583" s="50" t="n"/>
      <c r="J583" s="48" t="n"/>
      <c r="K583" s="48" t="n"/>
      <c r="L583" s="48" t="n"/>
      <c r="M583" s="48" t="n"/>
      <c r="N583" s="48" t="n"/>
      <c r="O583" s="51">
        <f>IF(AND(B583="",G583="",C583="",D583="",J583=""),"",IF(B583="","⚠ Falta fecha",IF(G583="","⚠ Falta monto",IF(Q583="","⚠ Falta cuenta",IF(ISNA(MATCH(Q583,ctaNombre,0)),"⚠ Cuenta no registrada",IF(AND(OR(P583="Gasto",P583="Reembolso"),D583=""),"⚠ Falta categoría",IF(AND(D583&lt;&gt;"",E583&lt;&gt;"",ISNA(MATCH(D583&amp;"|"&amp;E583,catClave,0))),"⚠ Subcategoría no corresponde",IF(AND(OR(P583="Transferencia",P583="Pago tarjeta"),K583=""),"⚠ Falta cuenta destino",IF(AND(K583&lt;&gt;"",P583&lt;&gt;"Transferencia",P583&lt;&gt;"Pago tarjeta"),"⚠ Destino solo aplica a transferencias",IF(AND(K583&lt;&gt;"",K583=Q583),"⚠ Origen igual a destino",IF(AND(K583&lt;&gt;"",ISNA(MATCH(K583,ctaNombre,0))),"⚠ Destino no registrado",IF(AND(P583="Pago tarjeta",AE583&lt;&gt;"Tarjeta de crédito"),"⚠ El destino debe ser tarjeta de crédito",IF(AND(P583="Gasto",E583="Depósitos y retiros"),"⚠ Usa tipo Transferencia",IF(AND(P583="Resultado trading",AD583&lt;&gt;"Cuenta de trading"),"⚠ Usa una cuenta de trading",IF(AND(G583&lt;=0,P583&lt;&gt;"Ajuste",P583&lt;&gt;"Resultado trading"),"⚠ El monto debe ser positivo","✓")))))))))))))))</f>
        <v/>
      </c>
      <c r="P583" s="52">
        <f>IF(OR(B583="",G583=""),"",IF(C583="","Gasto",C583))</f>
        <v/>
      </c>
      <c r="Q583" s="52">
        <f>IF(P583="","",IF(J583&lt;&gt;"",J583,CuentaPred&amp;""))</f>
        <v/>
      </c>
      <c r="R583" s="52">
        <f>IF(P583="","",IF(ISNUMBER(I583),I583,TasaUSD))</f>
        <v/>
      </c>
      <c r="S583" s="53">
        <f>IF(P583="","",IF(H583="USD",G583*R583,G583))</f>
        <v/>
      </c>
      <c r="T583" s="53">
        <f>IF(P583="","",IF(H583="USD",G583,IF(R583&gt;0,G583/R583,0)))</f>
        <v/>
      </c>
      <c r="U583" s="53">
        <f>IF(P583="","",IF(P583="Gasto",S583,IF(P583="Reembolso",-S583,0)))</f>
        <v/>
      </c>
      <c r="V583" s="53">
        <f>IF(P583="","",IF(P583="Ingreso",S583,0))</f>
        <v/>
      </c>
      <c r="W583" s="53">
        <f>IF(P583="","",IF(P583="Resultado trading",S583,0))</f>
        <v/>
      </c>
      <c r="X583" s="52">
        <f>IF(OR(P583="Gasto",P583="Reembolso"),IF(M583&lt;&gt;"",M583,IFERROR(INDEX(catClasif,MATCH(D583&amp;"|"&amp;E583,catClave,0))&amp;"","Variable")),"")</f>
        <v/>
      </c>
      <c r="Y583" s="52">
        <f>IF(P583="","",IFERROR(INDEX(catGrupo,MATCH(D583&amp;"|"&amp;E583,catClave,0))&amp;"",""))</f>
        <v/>
      </c>
      <c r="Z583" s="52">
        <f>IF(P583="","",WEEKDAY(B583,2))</f>
        <v/>
      </c>
      <c r="AA583" s="52">
        <f>IF(P583="","",IF(AND(P583="Gasto",X583="Variable",D583&lt;&gt;catTrading,S583&gt;0,S583&lt;=Umbral),1,0))</f>
        <v/>
      </c>
      <c r="AB583" s="52">
        <f>IF(OR(P583="",Q583=""),"",IFERROR(IF(INDEX(ctaVinc,MATCH(Q583,ctaNombre,0))&amp;""&lt;&gt;"",INDEX(ctaVinc,MATCH(Q583,ctaNombre,0))&amp;"",Q583),Q583))</f>
        <v/>
      </c>
      <c r="AC583" s="52">
        <f>IF(OR(K583="",AND(P583&lt;&gt;"Transferencia",P583&lt;&gt;"Pago tarjeta")),"",IFERROR(IF(INDEX(ctaVinc,MATCH(K583,ctaNombre,0))&amp;""&lt;&gt;"",INDEX(ctaVinc,MATCH(K583,ctaNombre,0))&amp;"",K583),K583))</f>
        <v/>
      </c>
      <c r="AD583" s="52">
        <f>IF(AB583="","",IFERROR(INDEX(ctaTipo,MATCH(AB583,ctaNombre,0))&amp;"",""))</f>
        <v/>
      </c>
      <c r="AE583" s="52">
        <f>IF(AC583="","",IFERROR(INDEX(ctaTipo,MATCH(AC583,ctaNombre,0))&amp;"",""))</f>
        <v/>
      </c>
      <c r="AF583" s="53">
        <f>IF(OR(P583="",AB583=""),"",IF(OR(P583="Gasto",P583="Transferencia",P583="Pago tarjeta"),-1,1)*IF(IFERROR(INDEX(ctaMoneda,MATCH(AB583,ctaNombre,0))&amp;"","DOP")="USD",T583,S583))</f>
        <v/>
      </c>
      <c r="AG583" s="53">
        <f>IF(AC583="","",IF(IFERROR(INDEX(ctaMoneda,MATCH(AC583,ctaNombre,0))&amp;"","DOP")="USD",T583,S583))</f>
        <v/>
      </c>
      <c r="AH583" s="53">
        <f>IF(P583="","",IF(AND(AD583&lt;&gt;"",COUNTIFS(tcTipo,AD583,tcLiq,"Sí")&gt;0),IF(OR(P583="Gasto",P583="Transferencia",P583="Pago tarjeta"),-1,1)*S583,0)+IF(AND(AE583&lt;&gt;"",COUNTIFS(tcTipo,AE583,tcLiq,"Sí")&gt;0),S583,0))</f>
        <v/>
      </c>
      <c r="AI583" s="52">
        <f>IF(OR(L583="",P583=""),"",IF(COUNTIFS(L$6:L583,L583,P$6:P583,"?*")=1,MAX(AI$5:AI582)+1,""))</f>
        <v/>
      </c>
    </row>
    <row r="584">
      <c r="B584" s="47" t="n"/>
      <c r="C584" s="48" t="n"/>
      <c r="D584" s="48" t="n"/>
      <c r="E584" s="48" t="n"/>
      <c r="F584" s="48" t="n"/>
      <c r="G584" s="49" t="n"/>
      <c r="H584" s="48" t="n"/>
      <c r="I584" s="50" t="n"/>
      <c r="J584" s="48" t="n"/>
      <c r="K584" s="48" t="n"/>
      <c r="L584" s="48" t="n"/>
      <c r="M584" s="48" t="n"/>
      <c r="N584" s="48" t="n"/>
      <c r="O584" s="51">
        <f>IF(AND(B584="",G584="",C584="",D584="",J584=""),"",IF(B584="","⚠ Falta fecha",IF(G584="","⚠ Falta monto",IF(Q584="","⚠ Falta cuenta",IF(ISNA(MATCH(Q584,ctaNombre,0)),"⚠ Cuenta no registrada",IF(AND(OR(P584="Gasto",P584="Reembolso"),D584=""),"⚠ Falta categoría",IF(AND(D584&lt;&gt;"",E584&lt;&gt;"",ISNA(MATCH(D584&amp;"|"&amp;E584,catClave,0))),"⚠ Subcategoría no corresponde",IF(AND(OR(P584="Transferencia",P584="Pago tarjeta"),K584=""),"⚠ Falta cuenta destino",IF(AND(K584&lt;&gt;"",P584&lt;&gt;"Transferencia",P584&lt;&gt;"Pago tarjeta"),"⚠ Destino solo aplica a transferencias",IF(AND(K584&lt;&gt;"",K584=Q584),"⚠ Origen igual a destino",IF(AND(K584&lt;&gt;"",ISNA(MATCH(K584,ctaNombre,0))),"⚠ Destino no registrado",IF(AND(P584="Pago tarjeta",AE584&lt;&gt;"Tarjeta de crédito"),"⚠ El destino debe ser tarjeta de crédito",IF(AND(P584="Gasto",E584="Depósitos y retiros"),"⚠ Usa tipo Transferencia",IF(AND(P584="Resultado trading",AD584&lt;&gt;"Cuenta de trading"),"⚠ Usa una cuenta de trading",IF(AND(G584&lt;=0,P584&lt;&gt;"Ajuste",P584&lt;&gt;"Resultado trading"),"⚠ El monto debe ser positivo","✓")))))))))))))))</f>
        <v/>
      </c>
      <c r="P584" s="52">
        <f>IF(OR(B584="",G584=""),"",IF(C584="","Gasto",C584))</f>
        <v/>
      </c>
      <c r="Q584" s="52">
        <f>IF(P584="","",IF(J584&lt;&gt;"",J584,CuentaPred&amp;""))</f>
        <v/>
      </c>
      <c r="R584" s="52">
        <f>IF(P584="","",IF(ISNUMBER(I584),I584,TasaUSD))</f>
        <v/>
      </c>
      <c r="S584" s="53">
        <f>IF(P584="","",IF(H584="USD",G584*R584,G584))</f>
        <v/>
      </c>
      <c r="T584" s="53">
        <f>IF(P584="","",IF(H584="USD",G584,IF(R584&gt;0,G584/R584,0)))</f>
        <v/>
      </c>
      <c r="U584" s="53">
        <f>IF(P584="","",IF(P584="Gasto",S584,IF(P584="Reembolso",-S584,0)))</f>
        <v/>
      </c>
      <c r="V584" s="53">
        <f>IF(P584="","",IF(P584="Ingreso",S584,0))</f>
        <v/>
      </c>
      <c r="W584" s="53">
        <f>IF(P584="","",IF(P584="Resultado trading",S584,0))</f>
        <v/>
      </c>
      <c r="X584" s="52">
        <f>IF(OR(P584="Gasto",P584="Reembolso"),IF(M584&lt;&gt;"",M584,IFERROR(INDEX(catClasif,MATCH(D584&amp;"|"&amp;E584,catClave,0))&amp;"","Variable")),"")</f>
        <v/>
      </c>
      <c r="Y584" s="52">
        <f>IF(P584="","",IFERROR(INDEX(catGrupo,MATCH(D584&amp;"|"&amp;E584,catClave,0))&amp;"",""))</f>
        <v/>
      </c>
      <c r="Z584" s="52">
        <f>IF(P584="","",WEEKDAY(B584,2))</f>
        <v/>
      </c>
      <c r="AA584" s="52">
        <f>IF(P584="","",IF(AND(P584="Gasto",X584="Variable",D584&lt;&gt;catTrading,S584&gt;0,S584&lt;=Umbral),1,0))</f>
        <v/>
      </c>
      <c r="AB584" s="52">
        <f>IF(OR(P584="",Q584=""),"",IFERROR(IF(INDEX(ctaVinc,MATCH(Q584,ctaNombre,0))&amp;""&lt;&gt;"",INDEX(ctaVinc,MATCH(Q584,ctaNombre,0))&amp;"",Q584),Q584))</f>
        <v/>
      </c>
      <c r="AC584" s="52">
        <f>IF(OR(K584="",AND(P584&lt;&gt;"Transferencia",P584&lt;&gt;"Pago tarjeta")),"",IFERROR(IF(INDEX(ctaVinc,MATCH(K584,ctaNombre,0))&amp;""&lt;&gt;"",INDEX(ctaVinc,MATCH(K584,ctaNombre,0))&amp;"",K584),K584))</f>
        <v/>
      </c>
      <c r="AD584" s="52">
        <f>IF(AB584="","",IFERROR(INDEX(ctaTipo,MATCH(AB584,ctaNombre,0))&amp;"",""))</f>
        <v/>
      </c>
      <c r="AE584" s="52">
        <f>IF(AC584="","",IFERROR(INDEX(ctaTipo,MATCH(AC584,ctaNombre,0))&amp;"",""))</f>
        <v/>
      </c>
      <c r="AF584" s="53">
        <f>IF(OR(P584="",AB584=""),"",IF(OR(P584="Gasto",P584="Transferencia",P584="Pago tarjeta"),-1,1)*IF(IFERROR(INDEX(ctaMoneda,MATCH(AB584,ctaNombre,0))&amp;"","DOP")="USD",T584,S584))</f>
        <v/>
      </c>
      <c r="AG584" s="53">
        <f>IF(AC584="","",IF(IFERROR(INDEX(ctaMoneda,MATCH(AC584,ctaNombre,0))&amp;"","DOP")="USD",T584,S584))</f>
        <v/>
      </c>
      <c r="AH584" s="53">
        <f>IF(P584="","",IF(AND(AD584&lt;&gt;"",COUNTIFS(tcTipo,AD584,tcLiq,"Sí")&gt;0),IF(OR(P584="Gasto",P584="Transferencia",P584="Pago tarjeta"),-1,1)*S584,0)+IF(AND(AE584&lt;&gt;"",COUNTIFS(tcTipo,AE584,tcLiq,"Sí")&gt;0),S584,0))</f>
        <v/>
      </c>
      <c r="AI584" s="52">
        <f>IF(OR(L584="",P584=""),"",IF(COUNTIFS(L$6:L584,L584,P$6:P584,"?*")=1,MAX(AI$5:AI583)+1,""))</f>
        <v/>
      </c>
    </row>
    <row r="585">
      <c r="B585" s="47" t="n"/>
      <c r="C585" s="48" t="n"/>
      <c r="D585" s="48" t="n"/>
      <c r="E585" s="48" t="n"/>
      <c r="F585" s="48" t="n"/>
      <c r="G585" s="49" t="n"/>
      <c r="H585" s="48" t="n"/>
      <c r="I585" s="50" t="n"/>
      <c r="J585" s="48" t="n"/>
      <c r="K585" s="48" t="n"/>
      <c r="L585" s="48" t="n"/>
      <c r="M585" s="48" t="n"/>
      <c r="N585" s="48" t="n"/>
      <c r="O585" s="51">
        <f>IF(AND(B585="",G585="",C585="",D585="",J585=""),"",IF(B585="","⚠ Falta fecha",IF(G585="","⚠ Falta monto",IF(Q585="","⚠ Falta cuenta",IF(ISNA(MATCH(Q585,ctaNombre,0)),"⚠ Cuenta no registrada",IF(AND(OR(P585="Gasto",P585="Reembolso"),D585=""),"⚠ Falta categoría",IF(AND(D585&lt;&gt;"",E585&lt;&gt;"",ISNA(MATCH(D585&amp;"|"&amp;E585,catClave,0))),"⚠ Subcategoría no corresponde",IF(AND(OR(P585="Transferencia",P585="Pago tarjeta"),K585=""),"⚠ Falta cuenta destino",IF(AND(K585&lt;&gt;"",P585&lt;&gt;"Transferencia",P585&lt;&gt;"Pago tarjeta"),"⚠ Destino solo aplica a transferencias",IF(AND(K585&lt;&gt;"",K585=Q585),"⚠ Origen igual a destino",IF(AND(K585&lt;&gt;"",ISNA(MATCH(K585,ctaNombre,0))),"⚠ Destino no registrado",IF(AND(P585="Pago tarjeta",AE585&lt;&gt;"Tarjeta de crédito"),"⚠ El destino debe ser tarjeta de crédito",IF(AND(P585="Gasto",E585="Depósitos y retiros"),"⚠ Usa tipo Transferencia",IF(AND(P585="Resultado trading",AD585&lt;&gt;"Cuenta de trading"),"⚠ Usa una cuenta de trading",IF(AND(G585&lt;=0,P585&lt;&gt;"Ajuste",P585&lt;&gt;"Resultado trading"),"⚠ El monto debe ser positivo","✓")))))))))))))))</f>
        <v/>
      </c>
      <c r="P585" s="52">
        <f>IF(OR(B585="",G585=""),"",IF(C585="","Gasto",C585))</f>
        <v/>
      </c>
      <c r="Q585" s="52">
        <f>IF(P585="","",IF(J585&lt;&gt;"",J585,CuentaPred&amp;""))</f>
        <v/>
      </c>
      <c r="R585" s="52">
        <f>IF(P585="","",IF(ISNUMBER(I585),I585,TasaUSD))</f>
        <v/>
      </c>
      <c r="S585" s="53">
        <f>IF(P585="","",IF(H585="USD",G585*R585,G585))</f>
        <v/>
      </c>
      <c r="T585" s="53">
        <f>IF(P585="","",IF(H585="USD",G585,IF(R585&gt;0,G585/R585,0)))</f>
        <v/>
      </c>
      <c r="U585" s="53">
        <f>IF(P585="","",IF(P585="Gasto",S585,IF(P585="Reembolso",-S585,0)))</f>
        <v/>
      </c>
      <c r="V585" s="53">
        <f>IF(P585="","",IF(P585="Ingreso",S585,0))</f>
        <v/>
      </c>
      <c r="W585" s="53">
        <f>IF(P585="","",IF(P585="Resultado trading",S585,0))</f>
        <v/>
      </c>
      <c r="X585" s="52">
        <f>IF(OR(P585="Gasto",P585="Reembolso"),IF(M585&lt;&gt;"",M585,IFERROR(INDEX(catClasif,MATCH(D585&amp;"|"&amp;E585,catClave,0))&amp;"","Variable")),"")</f>
        <v/>
      </c>
      <c r="Y585" s="52">
        <f>IF(P585="","",IFERROR(INDEX(catGrupo,MATCH(D585&amp;"|"&amp;E585,catClave,0))&amp;"",""))</f>
        <v/>
      </c>
      <c r="Z585" s="52">
        <f>IF(P585="","",WEEKDAY(B585,2))</f>
        <v/>
      </c>
      <c r="AA585" s="52">
        <f>IF(P585="","",IF(AND(P585="Gasto",X585="Variable",D585&lt;&gt;catTrading,S585&gt;0,S585&lt;=Umbral),1,0))</f>
        <v/>
      </c>
      <c r="AB585" s="52">
        <f>IF(OR(P585="",Q585=""),"",IFERROR(IF(INDEX(ctaVinc,MATCH(Q585,ctaNombre,0))&amp;""&lt;&gt;"",INDEX(ctaVinc,MATCH(Q585,ctaNombre,0))&amp;"",Q585),Q585))</f>
        <v/>
      </c>
      <c r="AC585" s="52">
        <f>IF(OR(K585="",AND(P585&lt;&gt;"Transferencia",P585&lt;&gt;"Pago tarjeta")),"",IFERROR(IF(INDEX(ctaVinc,MATCH(K585,ctaNombre,0))&amp;""&lt;&gt;"",INDEX(ctaVinc,MATCH(K585,ctaNombre,0))&amp;"",K585),K585))</f>
        <v/>
      </c>
      <c r="AD585" s="52">
        <f>IF(AB585="","",IFERROR(INDEX(ctaTipo,MATCH(AB585,ctaNombre,0))&amp;"",""))</f>
        <v/>
      </c>
      <c r="AE585" s="52">
        <f>IF(AC585="","",IFERROR(INDEX(ctaTipo,MATCH(AC585,ctaNombre,0))&amp;"",""))</f>
        <v/>
      </c>
      <c r="AF585" s="53">
        <f>IF(OR(P585="",AB585=""),"",IF(OR(P585="Gasto",P585="Transferencia",P585="Pago tarjeta"),-1,1)*IF(IFERROR(INDEX(ctaMoneda,MATCH(AB585,ctaNombre,0))&amp;"","DOP")="USD",T585,S585))</f>
        <v/>
      </c>
      <c r="AG585" s="53">
        <f>IF(AC585="","",IF(IFERROR(INDEX(ctaMoneda,MATCH(AC585,ctaNombre,0))&amp;"","DOP")="USD",T585,S585))</f>
        <v/>
      </c>
      <c r="AH585" s="53">
        <f>IF(P585="","",IF(AND(AD585&lt;&gt;"",COUNTIFS(tcTipo,AD585,tcLiq,"Sí")&gt;0),IF(OR(P585="Gasto",P585="Transferencia",P585="Pago tarjeta"),-1,1)*S585,0)+IF(AND(AE585&lt;&gt;"",COUNTIFS(tcTipo,AE585,tcLiq,"Sí")&gt;0),S585,0))</f>
        <v/>
      </c>
      <c r="AI585" s="52">
        <f>IF(OR(L585="",P585=""),"",IF(COUNTIFS(L$6:L585,L585,P$6:P585,"?*")=1,MAX(AI$5:AI584)+1,""))</f>
        <v/>
      </c>
    </row>
    <row r="586">
      <c r="B586" s="47" t="n"/>
      <c r="C586" s="48" t="n"/>
      <c r="D586" s="48" t="n"/>
      <c r="E586" s="48" t="n"/>
      <c r="F586" s="48" t="n"/>
      <c r="G586" s="49" t="n"/>
      <c r="H586" s="48" t="n"/>
      <c r="I586" s="50" t="n"/>
      <c r="J586" s="48" t="n"/>
      <c r="K586" s="48" t="n"/>
      <c r="L586" s="48" t="n"/>
      <c r="M586" s="48" t="n"/>
      <c r="N586" s="48" t="n"/>
      <c r="O586" s="51">
        <f>IF(AND(B586="",G586="",C586="",D586="",J586=""),"",IF(B586="","⚠ Falta fecha",IF(G586="","⚠ Falta monto",IF(Q586="","⚠ Falta cuenta",IF(ISNA(MATCH(Q586,ctaNombre,0)),"⚠ Cuenta no registrada",IF(AND(OR(P586="Gasto",P586="Reembolso"),D586=""),"⚠ Falta categoría",IF(AND(D586&lt;&gt;"",E586&lt;&gt;"",ISNA(MATCH(D586&amp;"|"&amp;E586,catClave,0))),"⚠ Subcategoría no corresponde",IF(AND(OR(P586="Transferencia",P586="Pago tarjeta"),K586=""),"⚠ Falta cuenta destino",IF(AND(K586&lt;&gt;"",P586&lt;&gt;"Transferencia",P586&lt;&gt;"Pago tarjeta"),"⚠ Destino solo aplica a transferencias",IF(AND(K586&lt;&gt;"",K586=Q586),"⚠ Origen igual a destino",IF(AND(K586&lt;&gt;"",ISNA(MATCH(K586,ctaNombre,0))),"⚠ Destino no registrado",IF(AND(P586="Pago tarjeta",AE586&lt;&gt;"Tarjeta de crédito"),"⚠ El destino debe ser tarjeta de crédito",IF(AND(P586="Gasto",E586="Depósitos y retiros"),"⚠ Usa tipo Transferencia",IF(AND(P586="Resultado trading",AD586&lt;&gt;"Cuenta de trading"),"⚠ Usa una cuenta de trading",IF(AND(G586&lt;=0,P586&lt;&gt;"Ajuste",P586&lt;&gt;"Resultado trading"),"⚠ El monto debe ser positivo","✓")))))))))))))))</f>
        <v/>
      </c>
      <c r="P586" s="52">
        <f>IF(OR(B586="",G586=""),"",IF(C586="","Gasto",C586))</f>
        <v/>
      </c>
      <c r="Q586" s="52">
        <f>IF(P586="","",IF(J586&lt;&gt;"",J586,CuentaPred&amp;""))</f>
        <v/>
      </c>
      <c r="R586" s="52">
        <f>IF(P586="","",IF(ISNUMBER(I586),I586,TasaUSD))</f>
        <v/>
      </c>
      <c r="S586" s="53">
        <f>IF(P586="","",IF(H586="USD",G586*R586,G586))</f>
        <v/>
      </c>
      <c r="T586" s="53">
        <f>IF(P586="","",IF(H586="USD",G586,IF(R586&gt;0,G586/R586,0)))</f>
        <v/>
      </c>
      <c r="U586" s="53">
        <f>IF(P586="","",IF(P586="Gasto",S586,IF(P586="Reembolso",-S586,0)))</f>
        <v/>
      </c>
      <c r="V586" s="53">
        <f>IF(P586="","",IF(P586="Ingreso",S586,0))</f>
        <v/>
      </c>
      <c r="W586" s="53">
        <f>IF(P586="","",IF(P586="Resultado trading",S586,0))</f>
        <v/>
      </c>
      <c r="X586" s="52">
        <f>IF(OR(P586="Gasto",P586="Reembolso"),IF(M586&lt;&gt;"",M586,IFERROR(INDEX(catClasif,MATCH(D586&amp;"|"&amp;E586,catClave,0))&amp;"","Variable")),"")</f>
        <v/>
      </c>
      <c r="Y586" s="52">
        <f>IF(P586="","",IFERROR(INDEX(catGrupo,MATCH(D586&amp;"|"&amp;E586,catClave,0))&amp;"",""))</f>
        <v/>
      </c>
      <c r="Z586" s="52">
        <f>IF(P586="","",WEEKDAY(B586,2))</f>
        <v/>
      </c>
      <c r="AA586" s="52">
        <f>IF(P586="","",IF(AND(P586="Gasto",X586="Variable",D586&lt;&gt;catTrading,S586&gt;0,S586&lt;=Umbral),1,0))</f>
        <v/>
      </c>
      <c r="AB586" s="52">
        <f>IF(OR(P586="",Q586=""),"",IFERROR(IF(INDEX(ctaVinc,MATCH(Q586,ctaNombre,0))&amp;""&lt;&gt;"",INDEX(ctaVinc,MATCH(Q586,ctaNombre,0))&amp;"",Q586),Q586))</f>
        <v/>
      </c>
      <c r="AC586" s="52">
        <f>IF(OR(K586="",AND(P586&lt;&gt;"Transferencia",P586&lt;&gt;"Pago tarjeta")),"",IFERROR(IF(INDEX(ctaVinc,MATCH(K586,ctaNombre,0))&amp;""&lt;&gt;"",INDEX(ctaVinc,MATCH(K586,ctaNombre,0))&amp;"",K586),K586))</f>
        <v/>
      </c>
      <c r="AD586" s="52">
        <f>IF(AB586="","",IFERROR(INDEX(ctaTipo,MATCH(AB586,ctaNombre,0))&amp;"",""))</f>
        <v/>
      </c>
      <c r="AE586" s="52">
        <f>IF(AC586="","",IFERROR(INDEX(ctaTipo,MATCH(AC586,ctaNombre,0))&amp;"",""))</f>
        <v/>
      </c>
      <c r="AF586" s="53">
        <f>IF(OR(P586="",AB586=""),"",IF(OR(P586="Gasto",P586="Transferencia",P586="Pago tarjeta"),-1,1)*IF(IFERROR(INDEX(ctaMoneda,MATCH(AB586,ctaNombre,0))&amp;"","DOP")="USD",T586,S586))</f>
        <v/>
      </c>
      <c r="AG586" s="53">
        <f>IF(AC586="","",IF(IFERROR(INDEX(ctaMoneda,MATCH(AC586,ctaNombre,0))&amp;"","DOP")="USD",T586,S586))</f>
        <v/>
      </c>
      <c r="AH586" s="53">
        <f>IF(P586="","",IF(AND(AD586&lt;&gt;"",COUNTIFS(tcTipo,AD586,tcLiq,"Sí")&gt;0),IF(OR(P586="Gasto",P586="Transferencia",P586="Pago tarjeta"),-1,1)*S586,0)+IF(AND(AE586&lt;&gt;"",COUNTIFS(tcTipo,AE586,tcLiq,"Sí")&gt;0),S586,0))</f>
        <v/>
      </c>
      <c r="AI586" s="52">
        <f>IF(OR(L586="",P586=""),"",IF(COUNTIFS(L$6:L586,L586,P$6:P586,"?*")=1,MAX(AI$5:AI585)+1,""))</f>
        <v/>
      </c>
    </row>
    <row r="587">
      <c r="B587" s="47" t="n"/>
      <c r="C587" s="48" t="n"/>
      <c r="D587" s="48" t="n"/>
      <c r="E587" s="48" t="n"/>
      <c r="F587" s="48" t="n"/>
      <c r="G587" s="49" t="n"/>
      <c r="H587" s="48" t="n"/>
      <c r="I587" s="50" t="n"/>
      <c r="J587" s="48" t="n"/>
      <c r="K587" s="48" t="n"/>
      <c r="L587" s="48" t="n"/>
      <c r="M587" s="48" t="n"/>
      <c r="N587" s="48" t="n"/>
      <c r="O587" s="51">
        <f>IF(AND(B587="",G587="",C587="",D587="",J587=""),"",IF(B587="","⚠ Falta fecha",IF(G587="","⚠ Falta monto",IF(Q587="","⚠ Falta cuenta",IF(ISNA(MATCH(Q587,ctaNombre,0)),"⚠ Cuenta no registrada",IF(AND(OR(P587="Gasto",P587="Reembolso"),D587=""),"⚠ Falta categoría",IF(AND(D587&lt;&gt;"",E587&lt;&gt;"",ISNA(MATCH(D587&amp;"|"&amp;E587,catClave,0))),"⚠ Subcategoría no corresponde",IF(AND(OR(P587="Transferencia",P587="Pago tarjeta"),K587=""),"⚠ Falta cuenta destino",IF(AND(K587&lt;&gt;"",P587&lt;&gt;"Transferencia",P587&lt;&gt;"Pago tarjeta"),"⚠ Destino solo aplica a transferencias",IF(AND(K587&lt;&gt;"",K587=Q587),"⚠ Origen igual a destino",IF(AND(K587&lt;&gt;"",ISNA(MATCH(K587,ctaNombre,0))),"⚠ Destino no registrado",IF(AND(P587="Pago tarjeta",AE587&lt;&gt;"Tarjeta de crédito"),"⚠ El destino debe ser tarjeta de crédito",IF(AND(P587="Gasto",E587="Depósitos y retiros"),"⚠ Usa tipo Transferencia",IF(AND(P587="Resultado trading",AD587&lt;&gt;"Cuenta de trading"),"⚠ Usa una cuenta de trading",IF(AND(G587&lt;=0,P587&lt;&gt;"Ajuste",P587&lt;&gt;"Resultado trading"),"⚠ El monto debe ser positivo","✓")))))))))))))))</f>
        <v/>
      </c>
      <c r="P587" s="52">
        <f>IF(OR(B587="",G587=""),"",IF(C587="","Gasto",C587))</f>
        <v/>
      </c>
      <c r="Q587" s="52">
        <f>IF(P587="","",IF(J587&lt;&gt;"",J587,CuentaPred&amp;""))</f>
        <v/>
      </c>
      <c r="R587" s="52">
        <f>IF(P587="","",IF(ISNUMBER(I587),I587,TasaUSD))</f>
        <v/>
      </c>
      <c r="S587" s="53">
        <f>IF(P587="","",IF(H587="USD",G587*R587,G587))</f>
        <v/>
      </c>
      <c r="T587" s="53">
        <f>IF(P587="","",IF(H587="USD",G587,IF(R587&gt;0,G587/R587,0)))</f>
        <v/>
      </c>
      <c r="U587" s="53">
        <f>IF(P587="","",IF(P587="Gasto",S587,IF(P587="Reembolso",-S587,0)))</f>
        <v/>
      </c>
      <c r="V587" s="53">
        <f>IF(P587="","",IF(P587="Ingreso",S587,0))</f>
        <v/>
      </c>
      <c r="W587" s="53">
        <f>IF(P587="","",IF(P587="Resultado trading",S587,0))</f>
        <v/>
      </c>
      <c r="X587" s="52">
        <f>IF(OR(P587="Gasto",P587="Reembolso"),IF(M587&lt;&gt;"",M587,IFERROR(INDEX(catClasif,MATCH(D587&amp;"|"&amp;E587,catClave,0))&amp;"","Variable")),"")</f>
        <v/>
      </c>
      <c r="Y587" s="52">
        <f>IF(P587="","",IFERROR(INDEX(catGrupo,MATCH(D587&amp;"|"&amp;E587,catClave,0))&amp;"",""))</f>
        <v/>
      </c>
      <c r="Z587" s="52">
        <f>IF(P587="","",WEEKDAY(B587,2))</f>
        <v/>
      </c>
      <c r="AA587" s="52">
        <f>IF(P587="","",IF(AND(P587="Gasto",X587="Variable",D587&lt;&gt;catTrading,S587&gt;0,S587&lt;=Umbral),1,0))</f>
        <v/>
      </c>
      <c r="AB587" s="52">
        <f>IF(OR(P587="",Q587=""),"",IFERROR(IF(INDEX(ctaVinc,MATCH(Q587,ctaNombre,0))&amp;""&lt;&gt;"",INDEX(ctaVinc,MATCH(Q587,ctaNombre,0))&amp;"",Q587),Q587))</f>
        <v/>
      </c>
      <c r="AC587" s="52">
        <f>IF(OR(K587="",AND(P587&lt;&gt;"Transferencia",P587&lt;&gt;"Pago tarjeta")),"",IFERROR(IF(INDEX(ctaVinc,MATCH(K587,ctaNombre,0))&amp;""&lt;&gt;"",INDEX(ctaVinc,MATCH(K587,ctaNombre,0))&amp;"",K587),K587))</f>
        <v/>
      </c>
      <c r="AD587" s="52">
        <f>IF(AB587="","",IFERROR(INDEX(ctaTipo,MATCH(AB587,ctaNombre,0))&amp;"",""))</f>
        <v/>
      </c>
      <c r="AE587" s="52">
        <f>IF(AC587="","",IFERROR(INDEX(ctaTipo,MATCH(AC587,ctaNombre,0))&amp;"",""))</f>
        <v/>
      </c>
      <c r="AF587" s="53">
        <f>IF(OR(P587="",AB587=""),"",IF(OR(P587="Gasto",P587="Transferencia",P587="Pago tarjeta"),-1,1)*IF(IFERROR(INDEX(ctaMoneda,MATCH(AB587,ctaNombre,0))&amp;"","DOP")="USD",T587,S587))</f>
        <v/>
      </c>
      <c r="AG587" s="53">
        <f>IF(AC587="","",IF(IFERROR(INDEX(ctaMoneda,MATCH(AC587,ctaNombre,0))&amp;"","DOP")="USD",T587,S587))</f>
        <v/>
      </c>
      <c r="AH587" s="53">
        <f>IF(P587="","",IF(AND(AD587&lt;&gt;"",COUNTIFS(tcTipo,AD587,tcLiq,"Sí")&gt;0),IF(OR(P587="Gasto",P587="Transferencia",P587="Pago tarjeta"),-1,1)*S587,0)+IF(AND(AE587&lt;&gt;"",COUNTIFS(tcTipo,AE587,tcLiq,"Sí")&gt;0),S587,0))</f>
        <v/>
      </c>
      <c r="AI587" s="52">
        <f>IF(OR(L587="",P587=""),"",IF(COUNTIFS(L$6:L587,L587,P$6:P587,"?*")=1,MAX(AI$5:AI586)+1,""))</f>
        <v/>
      </c>
    </row>
    <row r="588">
      <c r="B588" s="47" t="n"/>
      <c r="C588" s="48" t="n"/>
      <c r="D588" s="48" t="n"/>
      <c r="E588" s="48" t="n"/>
      <c r="F588" s="48" t="n"/>
      <c r="G588" s="49" t="n"/>
      <c r="H588" s="48" t="n"/>
      <c r="I588" s="50" t="n"/>
      <c r="J588" s="48" t="n"/>
      <c r="K588" s="48" t="n"/>
      <c r="L588" s="48" t="n"/>
      <c r="M588" s="48" t="n"/>
      <c r="N588" s="48" t="n"/>
      <c r="O588" s="51">
        <f>IF(AND(B588="",G588="",C588="",D588="",J588=""),"",IF(B588="","⚠ Falta fecha",IF(G588="","⚠ Falta monto",IF(Q588="","⚠ Falta cuenta",IF(ISNA(MATCH(Q588,ctaNombre,0)),"⚠ Cuenta no registrada",IF(AND(OR(P588="Gasto",P588="Reembolso"),D588=""),"⚠ Falta categoría",IF(AND(D588&lt;&gt;"",E588&lt;&gt;"",ISNA(MATCH(D588&amp;"|"&amp;E588,catClave,0))),"⚠ Subcategoría no corresponde",IF(AND(OR(P588="Transferencia",P588="Pago tarjeta"),K588=""),"⚠ Falta cuenta destino",IF(AND(K588&lt;&gt;"",P588&lt;&gt;"Transferencia",P588&lt;&gt;"Pago tarjeta"),"⚠ Destino solo aplica a transferencias",IF(AND(K588&lt;&gt;"",K588=Q588),"⚠ Origen igual a destino",IF(AND(K588&lt;&gt;"",ISNA(MATCH(K588,ctaNombre,0))),"⚠ Destino no registrado",IF(AND(P588="Pago tarjeta",AE588&lt;&gt;"Tarjeta de crédito"),"⚠ El destino debe ser tarjeta de crédito",IF(AND(P588="Gasto",E588="Depósitos y retiros"),"⚠ Usa tipo Transferencia",IF(AND(P588="Resultado trading",AD588&lt;&gt;"Cuenta de trading"),"⚠ Usa una cuenta de trading",IF(AND(G588&lt;=0,P588&lt;&gt;"Ajuste",P588&lt;&gt;"Resultado trading"),"⚠ El monto debe ser positivo","✓")))))))))))))))</f>
        <v/>
      </c>
      <c r="P588" s="52">
        <f>IF(OR(B588="",G588=""),"",IF(C588="","Gasto",C588))</f>
        <v/>
      </c>
      <c r="Q588" s="52">
        <f>IF(P588="","",IF(J588&lt;&gt;"",J588,CuentaPred&amp;""))</f>
        <v/>
      </c>
      <c r="R588" s="52">
        <f>IF(P588="","",IF(ISNUMBER(I588),I588,TasaUSD))</f>
        <v/>
      </c>
      <c r="S588" s="53">
        <f>IF(P588="","",IF(H588="USD",G588*R588,G588))</f>
        <v/>
      </c>
      <c r="T588" s="53">
        <f>IF(P588="","",IF(H588="USD",G588,IF(R588&gt;0,G588/R588,0)))</f>
        <v/>
      </c>
      <c r="U588" s="53">
        <f>IF(P588="","",IF(P588="Gasto",S588,IF(P588="Reembolso",-S588,0)))</f>
        <v/>
      </c>
      <c r="V588" s="53">
        <f>IF(P588="","",IF(P588="Ingreso",S588,0))</f>
        <v/>
      </c>
      <c r="W588" s="53">
        <f>IF(P588="","",IF(P588="Resultado trading",S588,0))</f>
        <v/>
      </c>
      <c r="X588" s="52">
        <f>IF(OR(P588="Gasto",P588="Reembolso"),IF(M588&lt;&gt;"",M588,IFERROR(INDEX(catClasif,MATCH(D588&amp;"|"&amp;E588,catClave,0))&amp;"","Variable")),"")</f>
        <v/>
      </c>
      <c r="Y588" s="52">
        <f>IF(P588="","",IFERROR(INDEX(catGrupo,MATCH(D588&amp;"|"&amp;E588,catClave,0))&amp;"",""))</f>
        <v/>
      </c>
      <c r="Z588" s="52">
        <f>IF(P588="","",WEEKDAY(B588,2))</f>
        <v/>
      </c>
      <c r="AA588" s="52">
        <f>IF(P588="","",IF(AND(P588="Gasto",X588="Variable",D588&lt;&gt;catTrading,S588&gt;0,S588&lt;=Umbral),1,0))</f>
        <v/>
      </c>
      <c r="AB588" s="52">
        <f>IF(OR(P588="",Q588=""),"",IFERROR(IF(INDEX(ctaVinc,MATCH(Q588,ctaNombre,0))&amp;""&lt;&gt;"",INDEX(ctaVinc,MATCH(Q588,ctaNombre,0))&amp;"",Q588),Q588))</f>
        <v/>
      </c>
      <c r="AC588" s="52">
        <f>IF(OR(K588="",AND(P588&lt;&gt;"Transferencia",P588&lt;&gt;"Pago tarjeta")),"",IFERROR(IF(INDEX(ctaVinc,MATCH(K588,ctaNombre,0))&amp;""&lt;&gt;"",INDEX(ctaVinc,MATCH(K588,ctaNombre,0))&amp;"",K588),K588))</f>
        <v/>
      </c>
      <c r="AD588" s="52">
        <f>IF(AB588="","",IFERROR(INDEX(ctaTipo,MATCH(AB588,ctaNombre,0))&amp;"",""))</f>
        <v/>
      </c>
      <c r="AE588" s="52">
        <f>IF(AC588="","",IFERROR(INDEX(ctaTipo,MATCH(AC588,ctaNombre,0))&amp;"",""))</f>
        <v/>
      </c>
      <c r="AF588" s="53">
        <f>IF(OR(P588="",AB588=""),"",IF(OR(P588="Gasto",P588="Transferencia",P588="Pago tarjeta"),-1,1)*IF(IFERROR(INDEX(ctaMoneda,MATCH(AB588,ctaNombre,0))&amp;"","DOP")="USD",T588,S588))</f>
        <v/>
      </c>
      <c r="AG588" s="53">
        <f>IF(AC588="","",IF(IFERROR(INDEX(ctaMoneda,MATCH(AC588,ctaNombre,0))&amp;"","DOP")="USD",T588,S588))</f>
        <v/>
      </c>
      <c r="AH588" s="53">
        <f>IF(P588="","",IF(AND(AD588&lt;&gt;"",COUNTIFS(tcTipo,AD588,tcLiq,"Sí")&gt;0),IF(OR(P588="Gasto",P588="Transferencia",P588="Pago tarjeta"),-1,1)*S588,0)+IF(AND(AE588&lt;&gt;"",COUNTIFS(tcTipo,AE588,tcLiq,"Sí")&gt;0),S588,0))</f>
        <v/>
      </c>
      <c r="AI588" s="52">
        <f>IF(OR(L588="",P588=""),"",IF(COUNTIFS(L$6:L588,L588,P$6:P588,"?*")=1,MAX(AI$5:AI587)+1,""))</f>
        <v/>
      </c>
    </row>
    <row r="589">
      <c r="B589" s="47" t="n"/>
      <c r="C589" s="48" t="n"/>
      <c r="D589" s="48" t="n"/>
      <c r="E589" s="48" t="n"/>
      <c r="F589" s="48" t="n"/>
      <c r="G589" s="49" t="n"/>
      <c r="H589" s="48" t="n"/>
      <c r="I589" s="50" t="n"/>
      <c r="J589" s="48" t="n"/>
      <c r="K589" s="48" t="n"/>
      <c r="L589" s="48" t="n"/>
      <c r="M589" s="48" t="n"/>
      <c r="N589" s="48" t="n"/>
      <c r="O589" s="51">
        <f>IF(AND(B589="",G589="",C589="",D589="",J589=""),"",IF(B589="","⚠ Falta fecha",IF(G589="","⚠ Falta monto",IF(Q589="","⚠ Falta cuenta",IF(ISNA(MATCH(Q589,ctaNombre,0)),"⚠ Cuenta no registrada",IF(AND(OR(P589="Gasto",P589="Reembolso"),D589=""),"⚠ Falta categoría",IF(AND(D589&lt;&gt;"",E589&lt;&gt;"",ISNA(MATCH(D589&amp;"|"&amp;E589,catClave,0))),"⚠ Subcategoría no corresponde",IF(AND(OR(P589="Transferencia",P589="Pago tarjeta"),K589=""),"⚠ Falta cuenta destino",IF(AND(K589&lt;&gt;"",P589&lt;&gt;"Transferencia",P589&lt;&gt;"Pago tarjeta"),"⚠ Destino solo aplica a transferencias",IF(AND(K589&lt;&gt;"",K589=Q589),"⚠ Origen igual a destino",IF(AND(K589&lt;&gt;"",ISNA(MATCH(K589,ctaNombre,0))),"⚠ Destino no registrado",IF(AND(P589="Pago tarjeta",AE589&lt;&gt;"Tarjeta de crédito"),"⚠ El destino debe ser tarjeta de crédito",IF(AND(P589="Gasto",E589="Depósitos y retiros"),"⚠ Usa tipo Transferencia",IF(AND(P589="Resultado trading",AD589&lt;&gt;"Cuenta de trading"),"⚠ Usa una cuenta de trading",IF(AND(G589&lt;=0,P589&lt;&gt;"Ajuste",P589&lt;&gt;"Resultado trading"),"⚠ El monto debe ser positivo","✓")))))))))))))))</f>
        <v/>
      </c>
      <c r="P589" s="52">
        <f>IF(OR(B589="",G589=""),"",IF(C589="","Gasto",C589))</f>
        <v/>
      </c>
      <c r="Q589" s="52">
        <f>IF(P589="","",IF(J589&lt;&gt;"",J589,CuentaPred&amp;""))</f>
        <v/>
      </c>
      <c r="R589" s="52">
        <f>IF(P589="","",IF(ISNUMBER(I589),I589,TasaUSD))</f>
        <v/>
      </c>
      <c r="S589" s="53">
        <f>IF(P589="","",IF(H589="USD",G589*R589,G589))</f>
        <v/>
      </c>
      <c r="T589" s="53">
        <f>IF(P589="","",IF(H589="USD",G589,IF(R589&gt;0,G589/R589,0)))</f>
        <v/>
      </c>
      <c r="U589" s="53">
        <f>IF(P589="","",IF(P589="Gasto",S589,IF(P589="Reembolso",-S589,0)))</f>
        <v/>
      </c>
      <c r="V589" s="53">
        <f>IF(P589="","",IF(P589="Ingreso",S589,0))</f>
        <v/>
      </c>
      <c r="W589" s="53">
        <f>IF(P589="","",IF(P589="Resultado trading",S589,0))</f>
        <v/>
      </c>
      <c r="X589" s="52">
        <f>IF(OR(P589="Gasto",P589="Reembolso"),IF(M589&lt;&gt;"",M589,IFERROR(INDEX(catClasif,MATCH(D589&amp;"|"&amp;E589,catClave,0))&amp;"","Variable")),"")</f>
        <v/>
      </c>
      <c r="Y589" s="52">
        <f>IF(P589="","",IFERROR(INDEX(catGrupo,MATCH(D589&amp;"|"&amp;E589,catClave,0))&amp;"",""))</f>
        <v/>
      </c>
      <c r="Z589" s="52">
        <f>IF(P589="","",WEEKDAY(B589,2))</f>
        <v/>
      </c>
      <c r="AA589" s="52">
        <f>IF(P589="","",IF(AND(P589="Gasto",X589="Variable",D589&lt;&gt;catTrading,S589&gt;0,S589&lt;=Umbral),1,0))</f>
        <v/>
      </c>
      <c r="AB589" s="52">
        <f>IF(OR(P589="",Q589=""),"",IFERROR(IF(INDEX(ctaVinc,MATCH(Q589,ctaNombre,0))&amp;""&lt;&gt;"",INDEX(ctaVinc,MATCH(Q589,ctaNombre,0))&amp;"",Q589),Q589))</f>
        <v/>
      </c>
      <c r="AC589" s="52">
        <f>IF(OR(K589="",AND(P589&lt;&gt;"Transferencia",P589&lt;&gt;"Pago tarjeta")),"",IFERROR(IF(INDEX(ctaVinc,MATCH(K589,ctaNombre,0))&amp;""&lt;&gt;"",INDEX(ctaVinc,MATCH(K589,ctaNombre,0))&amp;"",K589),K589))</f>
        <v/>
      </c>
      <c r="AD589" s="52">
        <f>IF(AB589="","",IFERROR(INDEX(ctaTipo,MATCH(AB589,ctaNombre,0))&amp;"",""))</f>
        <v/>
      </c>
      <c r="AE589" s="52">
        <f>IF(AC589="","",IFERROR(INDEX(ctaTipo,MATCH(AC589,ctaNombre,0))&amp;"",""))</f>
        <v/>
      </c>
      <c r="AF589" s="53">
        <f>IF(OR(P589="",AB589=""),"",IF(OR(P589="Gasto",P589="Transferencia",P589="Pago tarjeta"),-1,1)*IF(IFERROR(INDEX(ctaMoneda,MATCH(AB589,ctaNombre,0))&amp;"","DOP")="USD",T589,S589))</f>
        <v/>
      </c>
      <c r="AG589" s="53">
        <f>IF(AC589="","",IF(IFERROR(INDEX(ctaMoneda,MATCH(AC589,ctaNombre,0))&amp;"","DOP")="USD",T589,S589))</f>
        <v/>
      </c>
      <c r="AH589" s="53">
        <f>IF(P589="","",IF(AND(AD589&lt;&gt;"",COUNTIFS(tcTipo,AD589,tcLiq,"Sí")&gt;0),IF(OR(P589="Gasto",P589="Transferencia",P589="Pago tarjeta"),-1,1)*S589,0)+IF(AND(AE589&lt;&gt;"",COUNTIFS(tcTipo,AE589,tcLiq,"Sí")&gt;0),S589,0))</f>
        <v/>
      </c>
      <c r="AI589" s="52">
        <f>IF(OR(L589="",P589=""),"",IF(COUNTIFS(L$6:L589,L589,P$6:P589,"?*")=1,MAX(AI$5:AI588)+1,""))</f>
        <v/>
      </c>
    </row>
    <row r="590">
      <c r="B590" s="47" t="n"/>
      <c r="C590" s="48" t="n"/>
      <c r="D590" s="48" t="n"/>
      <c r="E590" s="48" t="n"/>
      <c r="F590" s="48" t="n"/>
      <c r="G590" s="49" t="n"/>
      <c r="H590" s="48" t="n"/>
      <c r="I590" s="50" t="n"/>
      <c r="J590" s="48" t="n"/>
      <c r="K590" s="48" t="n"/>
      <c r="L590" s="48" t="n"/>
      <c r="M590" s="48" t="n"/>
      <c r="N590" s="48" t="n"/>
      <c r="O590" s="51">
        <f>IF(AND(B590="",G590="",C590="",D590="",J590=""),"",IF(B590="","⚠ Falta fecha",IF(G590="","⚠ Falta monto",IF(Q590="","⚠ Falta cuenta",IF(ISNA(MATCH(Q590,ctaNombre,0)),"⚠ Cuenta no registrada",IF(AND(OR(P590="Gasto",P590="Reembolso"),D590=""),"⚠ Falta categoría",IF(AND(D590&lt;&gt;"",E590&lt;&gt;"",ISNA(MATCH(D590&amp;"|"&amp;E590,catClave,0))),"⚠ Subcategoría no corresponde",IF(AND(OR(P590="Transferencia",P590="Pago tarjeta"),K590=""),"⚠ Falta cuenta destino",IF(AND(K590&lt;&gt;"",P590&lt;&gt;"Transferencia",P590&lt;&gt;"Pago tarjeta"),"⚠ Destino solo aplica a transferencias",IF(AND(K590&lt;&gt;"",K590=Q590),"⚠ Origen igual a destino",IF(AND(K590&lt;&gt;"",ISNA(MATCH(K590,ctaNombre,0))),"⚠ Destino no registrado",IF(AND(P590="Pago tarjeta",AE590&lt;&gt;"Tarjeta de crédito"),"⚠ El destino debe ser tarjeta de crédito",IF(AND(P590="Gasto",E590="Depósitos y retiros"),"⚠ Usa tipo Transferencia",IF(AND(P590="Resultado trading",AD590&lt;&gt;"Cuenta de trading"),"⚠ Usa una cuenta de trading",IF(AND(G590&lt;=0,P590&lt;&gt;"Ajuste",P590&lt;&gt;"Resultado trading"),"⚠ El monto debe ser positivo","✓")))))))))))))))</f>
        <v/>
      </c>
      <c r="P590" s="52">
        <f>IF(OR(B590="",G590=""),"",IF(C590="","Gasto",C590))</f>
        <v/>
      </c>
      <c r="Q590" s="52">
        <f>IF(P590="","",IF(J590&lt;&gt;"",J590,CuentaPred&amp;""))</f>
        <v/>
      </c>
      <c r="R590" s="52">
        <f>IF(P590="","",IF(ISNUMBER(I590),I590,TasaUSD))</f>
        <v/>
      </c>
      <c r="S590" s="53">
        <f>IF(P590="","",IF(H590="USD",G590*R590,G590))</f>
        <v/>
      </c>
      <c r="T590" s="53">
        <f>IF(P590="","",IF(H590="USD",G590,IF(R590&gt;0,G590/R590,0)))</f>
        <v/>
      </c>
      <c r="U590" s="53">
        <f>IF(P590="","",IF(P590="Gasto",S590,IF(P590="Reembolso",-S590,0)))</f>
        <v/>
      </c>
      <c r="V590" s="53">
        <f>IF(P590="","",IF(P590="Ingreso",S590,0))</f>
        <v/>
      </c>
      <c r="W590" s="53">
        <f>IF(P590="","",IF(P590="Resultado trading",S590,0))</f>
        <v/>
      </c>
      <c r="X590" s="52">
        <f>IF(OR(P590="Gasto",P590="Reembolso"),IF(M590&lt;&gt;"",M590,IFERROR(INDEX(catClasif,MATCH(D590&amp;"|"&amp;E590,catClave,0))&amp;"","Variable")),"")</f>
        <v/>
      </c>
      <c r="Y590" s="52">
        <f>IF(P590="","",IFERROR(INDEX(catGrupo,MATCH(D590&amp;"|"&amp;E590,catClave,0))&amp;"",""))</f>
        <v/>
      </c>
      <c r="Z590" s="52">
        <f>IF(P590="","",WEEKDAY(B590,2))</f>
        <v/>
      </c>
      <c r="AA590" s="52">
        <f>IF(P590="","",IF(AND(P590="Gasto",X590="Variable",D590&lt;&gt;catTrading,S590&gt;0,S590&lt;=Umbral),1,0))</f>
        <v/>
      </c>
      <c r="AB590" s="52">
        <f>IF(OR(P590="",Q590=""),"",IFERROR(IF(INDEX(ctaVinc,MATCH(Q590,ctaNombre,0))&amp;""&lt;&gt;"",INDEX(ctaVinc,MATCH(Q590,ctaNombre,0))&amp;"",Q590),Q590))</f>
        <v/>
      </c>
      <c r="AC590" s="52">
        <f>IF(OR(K590="",AND(P590&lt;&gt;"Transferencia",P590&lt;&gt;"Pago tarjeta")),"",IFERROR(IF(INDEX(ctaVinc,MATCH(K590,ctaNombre,0))&amp;""&lt;&gt;"",INDEX(ctaVinc,MATCH(K590,ctaNombre,0))&amp;"",K590),K590))</f>
        <v/>
      </c>
      <c r="AD590" s="52">
        <f>IF(AB590="","",IFERROR(INDEX(ctaTipo,MATCH(AB590,ctaNombre,0))&amp;"",""))</f>
        <v/>
      </c>
      <c r="AE590" s="52">
        <f>IF(AC590="","",IFERROR(INDEX(ctaTipo,MATCH(AC590,ctaNombre,0))&amp;"",""))</f>
        <v/>
      </c>
      <c r="AF590" s="53">
        <f>IF(OR(P590="",AB590=""),"",IF(OR(P590="Gasto",P590="Transferencia",P590="Pago tarjeta"),-1,1)*IF(IFERROR(INDEX(ctaMoneda,MATCH(AB590,ctaNombre,0))&amp;"","DOP")="USD",T590,S590))</f>
        <v/>
      </c>
      <c r="AG590" s="53">
        <f>IF(AC590="","",IF(IFERROR(INDEX(ctaMoneda,MATCH(AC590,ctaNombre,0))&amp;"","DOP")="USD",T590,S590))</f>
        <v/>
      </c>
      <c r="AH590" s="53">
        <f>IF(P590="","",IF(AND(AD590&lt;&gt;"",COUNTIFS(tcTipo,AD590,tcLiq,"Sí")&gt;0),IF(OR(P590="Gasto",P590="Transferencia",P590="Pago tarjeta"),-1,1)*S590,0)+IF(AND(AE590&lt;&gt;"",COUNTIFS(tcTipo,AE590,tcLiq,"Sí")&gt;0),S590,0))</f>
        <v/>
      </c>
      <c r="AI590" s="52">
        <f>IF(OR(L590="",P590=""),"",IF(COUNTIFS(L$6:L590,L590,P$6:P590,"?*")=1,MAX(AI$5:AI589)+1,""))</f>
        <v/>
      </c>
    </row>
    <row r="591">
      <c r="B591" s="47" t="n"/>
      <c r="C591" s="48" t="n"/>
      <c r="D591" s="48" t="n"/>
      <c r="E591" s="48" t="n"/>
      <c r="F591" s="48" t="n"/>
      <c r="G591" s="49" t="n"/>
      <c r="H591" s="48" t="n"/>
      <c r="I591" s="50" t="n"/>
      <c r="J591" s="48" t="n"/>
      <c r="K591" s="48" t="n"/>
      <c r="L591" s="48" t="n"/>
      <c r="M591" s="48" t="n"/>
      <c r="N591" s="48" t="n"/>
      <c r="O591" s="51">
        <f>IF(AND(B591="",G591="",C591="",D591="",J591=""),"",IF(B591="","⚠ Falta fecha",IF(G591="","⚠ Falta monto",IF(Q591="","⚠ Falta cuenta",IF(ISNA(MATCH(Q591,ctaNombre,0)),"⚠ Cuenta no registrada",IF(AND(OR(P591="Gasto",P591="Reembolso"),D591=""),"⚠ Falta categoría",IF(AND(D591&lt;&gt;"",E591&lt;&gt;"",ISNA(MATCH(D591&amp;"|"&amp;E591,catClave,0))),"⚠ Subcategoría no corresponde",IF(AND(OR(P591="Transferencia",P591="Pago tarjeta"),K591=""),"⚠ Falta cuenta destino",IF(AND(K591&lt;&gt;"",P591&lt;&gt;"Transferencia",P591&lt;&gt;"Pago tarjeta"),"⚠ Destino solo aplica a transferencias",IF(AND(K591&lt;&gt;"",K591=Q591),"⚠ Origen igual a destino",IF(AND(K591&lt;&gt;"",ISNA(MATCH(K591,ctaNombre,0))),"⚠ Destino no registrado",IF(AND(P591="Pago tarjeta",AE591&lt;&gt;"Tarjeta de crédito"),"⚠ El destino debe ser tarjeta de crédito",IF(AND(P591="Gasto",E591="Depósitos y retiros"),"⚠ Usa tipo Transferencia",IF(AND(P591="Resultado trading",AD591&lt;&gt;"Cuenta de trading"),"⚠ Usa una cuenta de trading",IF(AND(G591&lt;=0,P591&lt;&gt;"Ajuste",P591&lt;&gt;"Resultado trading"),"⚠ El monto debe ser positivo","✓")))))))))))))))</f>
        <v/>
      </c>
      <c r="P591" s="52">
        <f>IF(OR(B591="",G591=""),"",IF(C591="","Gasto",C591))</f>
        <v/>
      </c>
      <c r="Q591" s="52">
        <f>IF(P591="","",IF(J591&lt;&gt;"",J591,CuentaPred&amp;""))</f>
        <v/>
      </c>
      <c r="R591" s="52">
        <f>IF(P591="","",IF(ISNUMBER(I591),I591,TasaUSD))</f>
        <v/>
      </c>
      <c r="S591" s="53">
        <f>IF(P591="","",IF(H591="USD",G591*R591,G591))</f>
        <v/>
      </c>
      <c r="T591" s="53">
        <f>IF(P591="","",IF(H591="USD",G591,IF(R591&gt;0,G591/R591,0)))</f>
        <v/>
      </c>
      <c r="U591" s="53">
        <f>IF(P591="","",IF(P591="Gasto",S591,IF(P591="Reembolso",-S591,0)))</f>
        <v/>
      </c>
      <c r="V591" s="53">
        <f>IF(P591="","",IF(P591="Ingreso",S591,0))</f>
        <v/>
      </c>
      <c r="W591" s="53">
        <f>IF(P591="","",IF(P591="Resultado trading",S591,0))</f>
        <v/>
      </c>
      <c r="X591" s="52">
        <f>IF(OR(P591="Gasto",P591="Reembolso"),IF(M591&lt;&gt;"",M591,IFERROR(INDEX(catClasif,MATCH(D591&amp;"|"&amp;E591,catClave,0))&amp;"","Variable")),"")</f>
        <v/>
      </c>
      <c r="Y591" s="52">
        <f>IF(P591="","",IFERROR(INDEX(catGrupo,MATCH(D591&amp;"|"&amp;E591,catClave,0))&amp;"",""))</f>
        <v/>
      </c>
      <c r="Z591" s="52">
        <f>IF(P591="","",WEEKDAY(B591,2))</f>
        <v/>
      </c>
      <c r="AA591" s="52">
        <f>IF(P591="","",IF(AND(P591="Gasto",X591="Variable",D591&lt;&gt;catTrading,S591&gt;0,S591&lt;=Umbral),1,0))</f>
        <v/>
      </c>
      <c r="AB591" s="52">
        <f>IF(OR(P591="",Q591=""),"",IFERROR(IF(INDEX(ctaVinc,MATCH(Q591,ctaNombre,0))&amp;""&lt;&gt;"",INDEX(ctaVinc,MATCH(Q591,ctaNombre,0))&amp;"",Q591),Q591))</f>
        <v/>
      </c>
      <c r="AC591" s="52">
        <f>IF(OR(K591="",AND(P591&lt;&gt;"Transferencia",P591&lt;&gt;"Pago tarjeta")),"",IFERROR(IF(INDEX(ctaVinc,MATCH(K591,ctaNombre,0))&amp;""&lt;&gt;"",INDEX(ctaVinc,MATCH(K591,ctaNombre,0))&amp;"",K591),K591))</f>
        <v/>
      </c>
      <c r="AD591" s="52">
        <f>IF(AB591="","",IFERROR(INDEX(ctaTipo,MATCH(AB591,ctaNombre,0))&amp;"",""))</f>
        <v/>
      </c>
      <c r="AE591" s="52">
        <f>IF(AC591="","",IFERROR(INDEX(ctaTipo,MATCH(AC591,ctaNombre,0))&amp;"",""))</f>
        <v/>
      </c>
      <c r="AF591" s="53">
        <f>IF(OR(P591="",AB591=""),"",IF(OR(P591="Gasto",P591="Transferencia",P591="Pago tarjeta"),-1,1)*IF(IFERROR(INDEX(ctaMoneda,MATCH(AB591,ctaNombre,0))&amp;"","DOP")="USD",T591,S591))</f>
        <v/>
      </c>
      <c r="AG591" s="53">
        <f>IF(AC591="","",IF(IFERROR(INDEX(ctaMoneda,MATCH(AC591,ctaNombre,0))&amp;"","DOP")="USD",T591,S591))</f>
        <v/>
      </c>
      <c r="AH591" s="53">
        <f>IF(P591="","",IF(AND(AD591&lt;&gt;"",COUNTIFS(tcTipo,AD591,tcLiq,"Sí")&gt;0),IF(OR(P591="Gasto",P591="Transferencia",P591="Pago tarjeta"),-1,1)*S591,0)+IF(AND(AE591&lt;&gt;"",COUNTIFS(tcTipo,AE591,tcLiq,"Sí")&gt;0),S591,0))</f>
        <v/>
      </c>
      <c r="AI591" s="52">
        <f>IF(OR(L591="",P591=""),"",IF(COUNTIFS(L$6:L591,L591,P$6:P591,"?*")=1,MAX(AI$5:AI590)+1,""))</f>
        <v/>
      </c>
    </row>
    <row r="592">
      <c r="B592" s="47" t="n"/>
      <c r="C592" s="48" t="n"/>
      <c r="D592" s="48" t="n"/>
      <c r="E592" s="48" t="n"/>
      <c r="F592" s="48" t="n"/>
      <c r="G592" s="49" t="n"/>
      <c r="H592" s="48" t="n"/>
      <c r="I592" s="50" t="n"/>
      <c r="J592" s="48" t="n"/>
      <c r="K592" s="48" t="n"/>
      <c r="L592" s="48" t="n"/>
      <c r="M592" s="48" t="n"/>
      <c r="N592" s="48" t="n"/>
      <c r="O592" s="51">
        <f>IF(AND(B592="",G592="",C592="",D592="",J592=""),"",IF(B592="","⚠ Falta fecha",IF(G592="","⚠ Falta monto",IF(Q592="","⚠ Falta cuenta",IF(ISNA(MATCH(Q592,ctaNombre,0)),"⚠ Cuenta no registrada",IF(AND(OR(P592="Gasto",P592="Reembolso"),D592=""),"⚠ Falta categoría",IF(AND(D592&lt;&gt;"",E592&lt;&gt;"",ISNA(MATCH(D592&amp;"|"&amp;E592,catClave,0))),"⚠ Subcategoría no corresponde",IF(AND(OR(P592="Transferencia",P592="Pago tarjeta"),K592=""),"⚠ Falta cuenta destino",IF(AND(K592&lt;&gt;"",P592&lt;&gt;"Transferencia",P592&lt;&gt;"Pago tarjeta"),"⚠ Destino solo aplica a transferencias",IF(AND(K592&lt;&gt;"",K592=Q592),"⚠ Origen igual a destino",IF(AND(K592&lt;&gt;"",ISNA(MATCH(K592,ctaNombre,0))),"⚠ Destino no registrado",IF(AND(P592="Pago tarjeta",AE592&lt;&gt;"Tarjeta de crédito"),"⚠ El destino debe ser tarjeta de crédito",IF(AND(P592="Gasto",E592="Depósitos y retiros"),"⚠ Usa tipo Transferencia",IF(AND(P592="Resultado trading",AD592&lt;&gt;"Cuenta de trading"),"⚠ Usa una cuenta de trading",IF(AND(G592&lt;=0,P592&lt;&gt;"Ajuste",P592&lt;&gt;"Resultado trading"),"⚠ El monto debe ser positivo","✓")))))))))))))))</f>
        <v/>
      </c>
      <c r="P592" s="52">
        <f>IF(OR(B592="",G592=""),"",IF(C592="","Gasto",C592))</f>
        <v/>
      </c>
      <c r="Q592" s="52">
        <f>IF(P592="","",IF(J592&lt;&gt;"",J592,CuentaPred&amp;""))</f>
        <v/>
      </c>
      <c r="R592" s="52">
        <f>IF(P592="","",IF(ISNUMBER(I592),I592,TasaUSD))</f>
        <v/>
      </c>
      <c r="S592" s="53">
        <f>IF(P592="","",IF(H592="USD",G592*R592,G592))</f>
        <v/>
      </c>
      <c r="T592" s="53">
        <f>IF(P592="","",IF(H592="USD",G592,IF(R592&gt;0,G592/R592,0)))</f>
        <v/>
      </c>
      <c r="U592" s="53">
        <f>IF(P592="","",IF(P592="Gasto",S592,IF(P592="Reembolso",-S592,0)))</f>
        <v/>
      </c>
      <c r="V592" s="53">
        <f>IF(P592="","",IF(P592="Ingreso",S592,0))</f>
        <v/>
      </c>
      <c r="W592" s="53">
        <f>IF(P592="","",IF(P592="Resultado trading",S592,0))</f>
        <v/>
      </c>
      <c r="X592" s="52">
        <f>IF(OR(P592="Gasto",P592="Reembolso"),IF(M592&lt;&gt;"",M592,IFERROR(INDEX(catClasif,MATCH(D592&amp;"|"&amp;E592,catClave,0))&amp;"","Variable")),"")</f>
        <v/>
      </c>
      <c r="Y592" s="52">
        <f>IF(P592="","",IFERROR(INDEX(catGrupo,MATCH(D592&amp;"|"&amp;E592,catClave,0))&amp;"",""))</f>
        <v/>
      </c>
      <c r="Z592" s="52">
        <f>IF(P592="","",WEEKDAY(B592,2))</f>
        <v/>
      </c>
      <c r="AA592" s="52">
        <f>IF(P592="","",IF(AND(P592="Gasto",X592="Variable",D592&lt;&gt;catTrading,S592&gt;0,S592&lt;=Umbral),1,0))</f>
        <v/>
      </c>
      <c r="AB592" s="52">
        <f>IF(OR(P592="",Q592=""),"",IFERROR(IF(INDEX(ctaVinc,MATCH(Q592,ctaNombre,0))&amp;""&lt;&gt;"",INDEX(ctaVinc,MATCH(Q592,ctaNombre,0))&amp;"",Q592),Q592))</f>
        <v/>
      </c>
      <c r="AC592" s="52">
        <f>IF(OR(K592="",AND(P592&lt;&gt;"Transferencia",P592&lt;&gt;"Pago tarjeta")),"",IFERROR(IF(INDEX(ctaVinc,MATCH(K592,ctaNombre,0))&amp;""&lt;&gt;"",INDEX(ctaVinc,MATCH(K592,ctaNombre,0))&amp;"",K592),K592))</f>
        <v/>
      </c>
      <c r="AD592" s="52">
        <f>IF(AB592="","",IFERROR(INDEX(ctaTipo,MATCH(AB592,ctaNombre,0))&amp;"",""))</f>
        <v/>
      </c>
      <c r="AE592" s="52">
        <f>IF(AC592="","",IFERROR(INDEX(ctaTipo,MATCH(AC592,ctaNombre,0))&amp;"",""))</f>
        <v/>
      </c>
      <c r="AF592" s="53">
        <f>IF(OR(P592="",AB592=""),"",IF(OR(P592="Gasto",P592="Transferencia",P592="Pago tarjeta"),-1,1)*IF(IFERROR(INDEX(ctaMoneda,MATCH(AB592,ctaNombre,0))&amp;"","DOP")="USD",T592,S592))</f>
        <v/>
      </c>
      <c r="AG592" s="53">
        <f>IF(AC592="","",IF(IFERROR(INDEX(ctaMoneda,MATCH(AC592,ctaNombre,0))&amp;"","DOP")="USD",T592,S592))</f>
        <v/>
      </c>
      <c r="AH592" s="53">
        <f>IF(P592="","",IF(AND(AD592&lt;&gt;"",COUNTIFS(tcTipo,AD592,tcLiq,"Sí")&gt;0),IF(OR(P592="Gasto",P592="Transferencia",P592="Pago tarjeta"),-1,1)*S592,0)+IF(AND(AE592&lt;&gt;"",COUNTIFS(tcTipo,AE592,tcLiq,"Sí")&gt;0),S592,0))</f>
        <v/>
      </c>
      <c r="AI592" s="52">
        <f>IF(OR(L592="",P592=""),"",IF(COUNTIFS(L$6:L592,L592,P$6:P592,"?*")=1,MAX(AI$5:AI591)+1,""))</f>
        <v/>
      </c>
    </row>
    <row r="593">
      <c r="B593" s="47" t="n"/>
      <c r="C593" s="48" t="n"/>
      <c r="D593" s="48" t="n"/>
      <c r="E593" s="48" t="n"/>
      <c r="F593" s="48" t="n"/>
      <c r="G593" s="49" t="n"/>
      <c r="H593" s="48" t="n"/>
      <c r="I593" s="50" t="n"/>
      <c r="J593" s="48" t="n"/>
      <c r="K593" s="48" t="n"/>
      <c r="L593" s="48" t="n"/>
      <c r="M593" s="48" t="n"/>
      <c r="N593" s="48" t="n"/>
      <c r="O593" s="51">
        <f>IF(AND(B593="",G593="",C593="",D593="",J593=""),"",IF(B593="","⚠ Falta fecha",IF(G593="","⚠ Falta monto",IF(Q593="","⚠ Falta cuenta",IF(ISNA(MATCH(Q593,ctaNombre,0)),"⚠ Cuenta no registrada",IF(AND(OR(P593="Gasto",P593="Reembolso"),D593=""),"⚠ Falta categoría",IF(AND(D593&lt;&gt;"",E593&lt;&gt;"",ISNA(MATCH(D593&amp;"|"&amp;E593,catClave,0))),"⚠ Subcategoría no corresponde",IF(AND(OR(P593="Transferencia",P593="Pago tarjeta"),K593=""),"⚠ Falta cuenta destino",IF(AND(K593&lt;&gt;"",P593&lt;&gt;"Transferencia",P593&lt;&gt;"Pago tarjeta"),"⚠ Destino solo aplica a transferencias",IF(AND(K593&lt;&gt;"",K593=Q593),"⚠ Origen igual a destino",IF(AND(K593&lt;&gt;"",ISNA(MATCH(K593,ctaNombre,0))),"⚠ Destino no registrado",IF(AND(P593="Pago tarjeta",AE593&lt;&gt;"Tarjeta de crédito"),"⚠ El destino debe ser tarjeta de crédito",IF(AND(P593="Gasto",E593="Depósitos y retiros"),"⚠ Usa tipo Transferencia",IF(AND(P593="Resultado trading",AD593&lt;&gt;"Cuenta de trading"),"⚠ Usa una cuenta de trading",IF(AND(G593&lt;=0,P593&lt;&gt;"Ajuste",P593&lt;&gt;"Resultado trading"),"⚠ El monto debe ser positivo","✓")))))))))))))))</f>
        <v/>
      </c>
      <c r="P593" s="52">
        <f>IF(OR(B593="",G593=""),"",IF(C593="","Gasto",C593))</f>
        <v/>
      </c>
      <c r="Q593" s="52">
        <f>IF(P593="","",IF(J593&lt;&gt;"",J593,CuentaPred&amp;""))</f>
        <v/>
      </c>
      <c r="R593" s="52">
        <f>IF(P593="","",IF(ISNUMBER(I593),I593,TasaUSD))</f>
        <v/>
      </c>
      <c r="S593" s="53">
        <f>IF(P593="","",IF(H593="USD",G593*R593,G593))</f>
        <v/>
      </c>
      <c r="T593" s="53">
        <f>IF(P593="","",IF(H593="USD",G593,IF(R593&gt;0,G593/R593,0)))</f>
        <v/>
      </c>
      <c r="U593" s="53">
        <f>IF(P593="","",IF(P593="Gasto",S593,IF(P593="Reembolso",-S593,0)))</f>
        <v/>
      </c>
      <c r="V593" s="53">
        <f>IF(P593="","",IF(P593="Ingreso",S593,0))</f>
        <v/>
      </c>
      <c r="W593" s="53">
        <f>IF(P593="","",IF(P593="Resultado trading",S593,0))</f>
        <v/>
      </c>
      <c r="X593" s="52">
        <f>IF(OR(P593="Gasto",P593="Reembolso"),IF(M593&lt;&gt;"",M593,IFERROR(INDEX(catClasif,MATCH(D593&amp;"|"&amp;E593,catClave,0))&amp;"","Variable")),"")</f>
        <v/>
      </c>
      <c r="Y593" s="52">
        <f>IF(P593="","",IFERROR(INDEX(catGrupo,MATCH(D593&amp;"|"&amp;E593,catClave,0))&amp;"",""))</f>
        <v/>
      </c>
      <c r="Z593" s="52">
        <f>IF(P593="","",WEEKDAY(B593,2))</f>
        <v/>
      </c>
      <c r="AA593" s="52">
        <f>IF(P593="","",IF(AND(P593="Gasto",X593="Variable",D593&lt;&gt;catTrading,S593&gt;0,S593&lt;=Umbral),1,0))</f>
        <v/>
      </c>
      <c r="AB593" s="52">
        <f>IF(OR(P593="",Q593=""),"",IFERROR(IF(INDEX(ctaVinc,MATCH(Q593,ctaNombre,0))&amp;""&lt;&gt;"",INDEX(ctaVinc,MATCH(Q593,ctaNombre,0))&amp;"",Q593),Q593))</f>
        <v/>
      </c>
      <c r="AC593" s="52">
        <f>IF(OR(K593="",AND(P593&lt;&gt;"Transferencia",P593&lt;&gt;"Pago tarjeta")),"",IFERROR(IF(INDEX(ctaVinc,MATCH(K593,ctaNombre,0))&amp;""&lt;&gt;"",INDEX(ctaVinc,MATCH(K593,ctaNombre,0))&amp;"",K593),K593))</f>
        <v/>
      </c>
      <c r="AD593" s="52">
        <f>IF(AB593="","",IFERROR(INDEX(ctaTipo,MATCH(AB593,ctaNombre,0))&amp;"",""))</f>
        <v/>
      </c>
      <c r="AE593" s="52">
        <f>IF(AC593="","",IFERROR(INDEX(ctaTipo,MATCH(AC593,ctaNombre,0))&amp;"",""))</f>
        <v/>
      </c>
      <c r="AF593" s="53">
        <f>IF(OR(P593="",AB593=""),"",IF(OR(P593="Gasto",P593="Transferencia",P593="Pago tarjeta"),-1,1)*IF(IFERROR(INDEX(ctaMoneda,MATCH(AB593,ctaNombre,0))&amp;"","DOP")="USD",T593,S593))</f>
        <v/>
      </c>
      <c r="AG593" s="53">
        <f>IF(AC593="","",IF(IFERROR(INDEX(ctaMoneda,MATCH(AC593,ctaNombre,0))&amp;"","DOP")="USD",T593,S593))</f>
        <v/>
      </c>
      <c r="AH593" s="53">
        <f>IF(P593="","",IF(AND(AD593&lt;&gt;"",COUNTIFS(tcTipo,AD593,tcLiq,"Sí")&gt;0),IF(OR(P593="Gasto",P593="Transferencia",P593="Pago tarjeta"),-1,1)*S593,0)+IF(AND(AE593&lt;&gt;"",COUNTIFS(tcTipo,AE593,tcLiq,"Sí")&gt;0),S593,0))</f>
        <v/>
      </c>
      <c r="AI593" s="52">
        <f>IF(OR(L593="",P593=""),"",IF(COUNTIFS(L$6:L593,L593,P$6:P593,"?*")=1,MAX(AI$5:AI592)+1,""))</f>
        <v/>
      </c>
    </row>
    <row r="594">
      <c r="B594" s="47" t="n"/>
      <c r="C594" s="48" t="n"/>
      <c r="D594" s="48" t="n"/>
      <c r="E594" s="48" t="n"/>
      <c r="F594" s="48" t="n"/>
      <c r="G594" s="49" t="n"/>
      <c r="H594" s="48" t="n"/>
      <c r="I594" s="50" t="n"/>
      <c r="J594" s="48" t="n"/>
      <c r="K594" s="48" t="n"/>
      <c r="L594" s="48" t="n"/>
      <c r="M594" s="48" t="n"/>
      <c r="N594" s="48" t="n"/>
      <c r="O594" s="51">
        <f>IF(AND(B594="",G594="",C594="",D594="",J594=""),"",IF(B594="","⚠ Falta fecha",IF(G594="","⚠ Falta monto",IF(Q594="","⚠ Falta cuenta",IF(ISNA(MATCH(Q594,ctaNombre,0)),"⚠ Cuenta no registrada",IF(AND(OR(P594="Gasto",P594="Reembolso"),D594=""),"⚠ Falta categoría",IF(AND(D594&lt;&gt;"",E594&lt;&gt;"",ISNA(MATCH(D594&amp;"|"&amp;E594,catClave,0))),"⚠ Subcategoría no corresponde",IF(AND(OR(P594="Transferencia",P594="Pago tarjeta"),K594=""),"⚠ Falta cuenta destino",IF(AND(K594&lt;&gt;"",P594&lt;&gt;"Transferencia",P594&lt;&gt;"Pago tarjeta"),"⚠ Destino solo aplica a transferencias",IF(AND(K594&lt;&gt;"",K594=Q594),"⚠ Origen igual a destino",IF(AND(K594&lt;&gt;"",ISNA(MATCH(K594,ctaNombre,0))),"⚠ Destino no registrado",IF(AND(P594="Pago tarjeta",AE594&lt;&gt;"Tarjeta de crédito"),"⚠ El destino debe ser tarjeta de crédito",IF(AND(P594="Gasto",E594="Depósitos y retiros"),"⚠ Usa tipo Transferencia",IF(AND(P594="Resultado trading",AD594&lt;&gt;"Cuenta de trading"),"⚠ Usa una cuenta de trading",IF(AND(G594&lt;=0,P594&lt;&gt;"Ajuste",P594&lt;&gt;"Resultado trading"),"⚠ El monto debe ser positivo","✓")))))))))))))))</f>
        <v/>
      </c>
      <c r="P594" s="52">
        <f>IF(OR(B594="",G594=""),"",IF(C594="","Gasto",C594))</f>
        <v/>
      </c>
      <c r="Q594" s="52">
        <f>IF(P594="","",IF(J594&lt;&gt;"",J594,CuentaPred&amp;""))</f>
        <v/>
      </c>
      <c r="R594" s="52">
        <f>IF(P594="","",IF(ISNUMBER(I594),I594,TasaUSD))</f>
        <v/>
      </c>
      <c r="S594" s="53">
        <f>IF(P594="","",IF(H594="USD",G594*R594,G594))</f>
        <v/>
      </c>
      <c r="T594" s="53">
        <f>IF(P594="","",IF(H594="USD",G594,IF(R594&gt;0,G594/R594,0)))</f>
        <v/>
      </c>
      <c r="U594" s="53">
        <f>IF(P594="","",IF(P594="Gasto",S594,IF(P594="Reembolso",-S594,0)))</f>
        <v/>
      </c>
      <c r="V594" s="53">
        <f>IF(P594="","",IF(P594="Ingreso",S594,0))</f>
        <v/>
      </c>
      <c r="W594" s="53">
        <f>IF(P594="","",IF(P594="Resultado trading",S594,0))</f>
        <v/>
      </c>
      <c r="X594" s="52">
        <f>IF(OR(P594="Gasto",P594="Reembolso"),IF(M594&lt;&gt;"",M594,IFERROR(INDEX(catClasif,MATCH(D594&amp;"|"&amp;E594,catClave,0))&amp;"","Variable")),"")</f>
        <v/>
      </c>
      <c r="Y594" s="52">
        <f>IF(P594="","",IFERROR(INDEX(catGrupo,MATCH(D594&amp;"|"&amp;E594,catClave,0))&amp;"",""))</f>
        <v/>
      </c>
      <c r="Z594" s="52">
        <f>IF(P594="","",WEEKDAY(B594,2))</f>
        <v/>
      </c>
      <c r="AA594" s="52">
        <f>IF(P594="","",IF(AND(P594="Gasto",X594="Variable",D594&lt;&gt;catTrading,S594&gt;0,S594&lt;=Umbral),1,0))</f>
        <v/>
      </c>
      <c r="AB594" s="52">
        <f>IF(OR(P594="",Q594=""),"",IFERROR(IF(INDEX(ctaVinc,MATCH(Q594,ctaNombre,0))&amp;""&lt;&gt;"",INDEX(ctaVinc,MATCH(Q594,ctaNombre,0))&amp;"",Q594),Q594))</f>
        <v/>
      </c>
      <c r="AC594" s="52">
        <f>IF(OR(K594="",AND(P594&lt;&gt;"Transferencia",P594&lt;&gt;"Pago tarjeta")),"",IFERROR(IF(INDEX(ctaVinc,MATCH(K594,ctaNombre,0))&amp;""&lt;&gt;"",INDEX(ctaVinc,MATCH(K594,ctaNombre,0))&amp;"",K594),K594))</f>
        <v/>
      </c>
      <c r="AD594" s="52">
        <f>IF(AB594="","",IFERROR(INDEX(ctaTipo,MATCH(AB594,ctaNombre,0))&amp;"",""))</f>
        <v/>
      </c>
      <c r="AE594" s="52">
        <f>IF(AC594="","",IFERROR(INDEX(ctaTipo,MATCH(AC594,ctaNombre,0))&amp;"",""))</f>
        <v/>
      </c>
      <c r="AF594" s="53">
        <f>IF(OR(P594="",AB594=""),"",IF(OR(P594="Gasto",P594="Transferencia",P594="Pago tarjeta"),-1,1)*IF(IFERROR(INDEX(ctaMoneda,MATCH(AB594,ctaNombre,0))&amp;"","DOP")="USD",T594,S594))</f>
        <v/>
      </c>
      <c r="AG594" s="53">
        <f>IF(AC594="","",IF(IFERROR(INDEX(ctaMoneda,MATCH(AC594,ctaNombre,0))&amp;"","DOP")="USD",T594,S594))</f>
        <v/>
      </c>
      <c r="AH594" s="53">
        <f>IF(P594="","",IF(AND(AD594&lt;&gt;"",COUNTIFS(tcTipo,AD594,tcLiq,"Sí")&gt;0),IF(OR(P594="Gasto",P594="Transferencia",P594="Pago tarjeta"),-1,1)*S594,0)+IF(AND(AE594&lt;&gt;"",COUNTIFS(tcTipo,AE594,tcLiq,"Sí")&gt;0),S594,0))</f>
        <v/>
      </c>
      <c r="AI594" s="52">
        <f>IF(OR(L594="",P594=""),"",IF(COUNTIFS(L$6:L594,L594,P$6:P594,"?*")=1,MAX(AI$5:AI593)+1,""))</f>
        <v/>
      </c>
    </row>
    <row r="595">
      <c r="B595" s="47" t="n"/>
      <c r="C595" s="48" t="n"/>
      <c r="D595" s="48" t="n"/>
      <c r="E595" s="48" t="n"/>
      <c r="F595" s="48" t="n"/>
      <c r="G595" s="49" t="n"/>
      <c r="H595" s="48" t="n"/>
      <c r="I595" s="50" t="n"/>
      <c r="J595" s="48" t="n"/>
      <c r="K595" s="48" t="n"/>
      <c r="L595" s="48" t="n"/>
      <c r="M595" s="48" t="n"/>
      <c r="N595" s="48" t="n"/>
      <c r="O595" s="51">
        <f>IF(AND(B595="",G595="",C595="",D595="",J595=""),"",IF(B595="","⚠ Falta fecha",IF(G595="","⚠ Falta monto",IF(Q595="","⚠ Falta cuenta",IF(ISNA(MATCH(Q595,ctaNombre,0)),"⚠ Cuenta no registrada",IF(AND(OR(P595="Gasto",P595="Reembolso"),D595=""),"⚠ Falta categoría",IF(AND(D595&lt;&gt;"",E595&lt;&gt;"",ISNA(MATCH(D595&amp;"|"&amp;E595,catClave,0))),"⚠ Subcategoría no corresponde",IF(AND(OR(P595="Transferencia",P595="Pago tarjeta"),K595=""),"⚠ Falta cuenta destino",IF(AND(K595&lt;&gt;"",P595&lt;&gt;"Transferencia",P595&lt;&gt;"Pago tarjeta"),"⚠ Destino solo aplica a transferencias",IF(AND(K595&lt;&gt;"",K595=Q595),"⚠ Origen igual a destino",IF(AND(K595&lt;&gt;"",ISNA(MATCH(K595,ctaNombre,0))),"⚠ Destino no registrado",IF(AND(P595="Pago tarjeta",AE595&lt;&gt;"Tarjeta de crédito"),"⚠ El destino debe ser tarjeta de crédito",IF(AND(P595="Gasto",E595="Depósitos y retiros"),"⚠ Usa tipo Transferencia",IF(AND(P595="Resultado trading",AD595&lt;&gt;"Cuenta de trading"),"⚠ Usa una cuenta de trading",IF(AND(G595&lt;=0,P595&lt;&gt;"Ajuste",P595&lt;&gt;"Resultado trading"),"⚠ El monto debe ser positivo","✓")))))))))))))))</f>
        <v/>
      </c>
      <c r="P595" s="52">
        <f>IF(OR(B595="",G595=""),"",IF(C595="","Gasto",C595))</f>
        <v/>
      </c>
      <c r="Q595" s="52">
        <f>IF(P595="","",IF(J595&lt;&gt;"",J595,CuentaPred&amp;""))</f>
        <v/>
      </c>
      <c r="R595" s="52">
        <f>IF(P595="","",IF(ISNUMBER(I595),I595,TasaUSD))</f>
        <v/>
      </c>
      <c r="S595" s="53">
        <f>IF(P595="","",IF(H595="USD",G595*R595,G595))</f>
        <v/>
      </c>
      <c r="T595" s="53">
        <f>IF(P595="","",IF(H595="USD",G595,IF(R595&gt;0,G595/R595,0)))</f>
        <v/>
      </c>
      <c r="U595" s="53">
        <f>IF(P595="","",IF(P595="Gasto",S595,IF(P595="Reembolso",-S595,0)))</f>
        <v/>
      </c>
      <c r="V595" s="53">
        <f>IF(P595="","",IF(P595="Ingreso",S595,0))</f>
        <v/>
      </c>
      <c r="W595" s="53">
        <f>IF(P595="","",IF(P595="Resultado trading",S595,0))</f>
        <v/>
      </c>
      <c r="X595" s="52">
        <f>IF(OR(P595="Gasto",P595="Reembolso"),IF(M595&lt;&gt;"",M595,IFERROR(INDEX(catClasif,MATCH(D595&amp;"|"&amp;E595,catClave,0))&amp;"","Variable")),"")</f>
        <v/>
      </c>
      <c r="Y595" s="52">
        <f>IF(P595="","",IFERROR(INDEX(catGrupo,MATCH(D595&amp;"|"&amp;E595,catClave,0))&amp;"",""))</f>
        <v/>
      </c>
      <c r="Z595" s="52">
        <f>IF(P595="","",WEEKDAY(B595,2))</f>
        <v/>
      </c>
      <c r="AA595" s="52">
        <f>IF(P595="","",IF(AND(P595="Gasto",X595="Variable",D595&lt;&gt;catTrading,S595&gt;0,S595&lt;=Umbral),1,0))</f>
        <v/>
      </c>
      <c r="AB595" s="52">
        <f>IF(OR(P595="",Q595=""),"",IFERROR(IF(INDEX(ctaVinc,MATCH(Q595,ctaNombre,0))&amp;""&lt;&gt;"",INDEX(ctaVinc,MATCH(Q595,ctaNombre,0))&amp;"",Q595),Q595))</f>
        <v/>
      </c>
      <c r="AC595" s="52">
        <f>IF(OR(K595="",AND(P595&lt;&gt;"Transferencia",P595&lt;&gt;"Pago tarjeta")),"",IFERROR(IF(INDEX(ctaVinc,MATCH(K595,ctaNombre,0))&amp;""&lt;&gt;"",INDEX(ctaVinc,MATCH(K595,ctaNombre,0))&amp;"",K595),K595))</f>
        <v/>
      </c>
      <c r="AD595" s="52">
        <f>IF(AB595="","",IFERROR(INDEX(ctaTipo,MATCH(AB595,ctaNombre,0))&amp;"",""))</f>
        <v/>
      </c>
      <c r="AE595" s="52">
        <f>IF(AC595="","",IFERROR(INDEX(ctaTipo,MATCH(AC595,ctaNombre,0))&amp;"",""))</f>
        <v/>
      </c>
      <c r="AF595" s="53">
        <f>IF(OR(P595="",AB595=""),"",IF(OR(P595="Gasto",P595="Transferencia",P595="Pago tarjeta"),-1,1)*IF(IFERROR(INDEX(ctaMoneda,MATCH(AB595,ctaNombre,0))&amp;"","DOP")="USD",T595,S595))</f>
        <v/>
      </c>
      <c r="AG595" s="53">
        <f>IF(AC595="","",IF(IFERROR(INDEX(ctaMoneda,MATCH(AC595,ctaNombre,0))&amp;"","DOP")="USD",T595,S595))</f>
        <v/>
      </c>
      <c r="AH595" s="53">
        <f>IF(P595="","",IF(AND(AD595&lt;&gt;"",COUNTIFS(tcTipo,AD595,tcLiq,"Sí")&gt;0),IF(OR(P595="Gasto",P595="Transferencia",P595="Pago tarjeta"),-1,1)*S595,0)+IF(AND(AE595&lt;&gt;"",COUNTIFS(tcTipo,AE595,tcLiq,"Sí")&gt;0),S595,0))</f>
        <v/>
      </c>
      <c r="AI595" s="52">
        <f>IF(OR(L595="",P595=""),"",IF(COUNTIFS(L$6:L595,L595,P$6:P595,"?*")=1,MAX(AI$5:AI594)+1,""))</f>
        <v/>
      </c>
    </row>
    <row r="596">
      <c r="B596" s="47" t="n"/>
      <c r="C596" s="48" t="n"/>
      <c r="D596" s="48" t="n"/>
      <c r="E596" s="48" t="n"/>
      <c r="F596" s="48" t="n"/>
      <c r="G596" s="49" t="n"/>
      <c r="H596" s="48" t="n"/>
      <c r="I596" s="50" t="n"/>
      <c r="J596" s="48" t="n"/>
      <c r="K596" s="48" t="n"/>
      <c r="L596" s="48" t="n"/>
      <c r="M596" s="48" t="n"/>
      <c r="N596" s="48" t="n"/>
      <c r="O596" s="51">
        <f>IF(AND(B596="",G596="",C596="",D596="",J596=""),"",IF(B596="","⚠ Falta fecha",IF(G596="","⚠ Falta monto",IF(Q596="","⚠ Falta cuenta",IF(ISNA(MATCH(Q596,ctaNombre,0)),"⚠ Cuenta no registrada",IF(AND(OR(P596="Gasto",P596="Reembolso"),D596=""),"⚠ Falta categoría",IF(AND(D596&lt;&gt;"",E596&lt;&gt;"",ISNA(MATCH(D596&amp;"|"&amp;E596,catClave,0))),"⚠ Subcategoría no corresponde",IF(AND(OR(P596="Transferencia",P596="Pago tarjeta"),K596=""),"⚠ Falta cuenta destino",IF(AND(K596&lt;&gt;"",P596&lt;&gt;"Transferencia",P596&lt;&gt;"Pago tarjeta"),"⚠ Destino solo aplica a transferencias",IF(AND(K596&lt;&gt;"",K596=Q596),"⚠ Origen igual a destino",IF(AND(K596&lt;&gt;"",ISNA(MATCH(K596,ctaNombre,0))),"⚠ Destino no registrado",IF(AND(P596="Pago tarjeta",AE596&lt;&gt;"Tarjeta de crédito"),"⚠ El destino debe ser tarjeta de crédito",IF(AND(P596="Gasto",E596="Depósitos y retiros"),"⚠ Usa tipo Transferencia",IF(AND(P596="Resultado trading",AD596&lt;&gt;"Cuenta de trading"),"⚠ Usa una cuenta de trading",IF(AND(G596&lt;=0,P596&lt;&gt;"Ajuste",P596&lt;&gt;"Resultado trading"),"⚠ El monto debe ser positivo","✓")))))))))))))))</f>
        <v/>
      </c>
      <c r="P596" s="52">
        <f>IF(OR(B596="",G596=""),"",IF(C596="","Gasto",C596))</f>
        <v/>
      </c>
      <c r="Q596" s="52">
        <f>IF(P596="","",IF(J596&lt;&gt;"",J596,CuentaPred&amp;""))</f>
        <v/>
      </c>
      <c r="R596" s="52">
        <f>IF(P596="","",IF(ISNUMBER(I596),I596,TasaUSD))</f>
        <v/>
      </c>
      <c r="S596" s="53">
        <f>IF(P596="","",IF(H596="USD",G596*R596,G596))</f>
        <v/>
      </c>
      <c r="T596" s="53">
        <f>IF(P596="","",IF(H596="USD",G596,IF(R596&gt;0,G596/R596,0)))</f>
        <v/>
      </c>
      <c r="U596" s="53">
        <f>IF(P596="","",IF(P596="Gasto",S596,IF(P596="Reembolso",-S596,0)))</f>
        <v/>
      </c>
      <c r="V596" s="53">
        <f>IF(P596="","",IF(P596="Ingreso",S596,0))</f>
        <v/>
      </c>
      <c r="W596" s="53">
        <f>IF(P596="","",IF(P596="Resultado trading",S596,0))</f>
        <v/>
      </c>
      <c r="X596" s="52">
        <f>IF(OR(P596="Gasto",P596="Reembolso"),IF(M596&lt;&gt;"",M596,IFERROR(INDEX(catClasif,MATCH(D596&amp;"|"&amp;E596,catClave,0))&amp;"","Variable")),"")</f>
        <v/>
      </c>
      <c r="Y596" s="52">
        <f>IF(P596="","",IFERROR(INDEX(catGrupo,MATCH(D596&amp;"|"&amp;E596,catClave,0))&amp;"",""))</f>
        <v/>
      </c>
      <c r="Z596" s="52">
        <f>IF(P596="","",WEEKDAY(B596,2))</f>
        <v/>
      </c>
      <c r="AA596" s="52">
        <f>IF(P596="","",IF(AND(P596="Gasto",X596="Variable",D596&lt;&gt;catTrading,S596&gt;0,S596&lt;=Umbral),1,0))</f>
        <v/>
      </c>
      <c r="AB596" s="52">
        <f>IF(OR(P596="",Q596=""),"",IFERROR(IF(INDEX(ctaVinc,MATCH(Q596,ctaNombre,0))&amp;""&lt;&gt;"",INDEX(ctaVinc,MATCH(Q596,ctaNombre,0))&amp;"",Q596),Q596))</f>
        <v/>
      </c>
      <c r="AC596" s="52">
        <f>IF(OR(K596="",AND(P596&lt;&gt;"Transferencia",P596&lt;&gt;"Pago tarjeta")),"",IFERROR(IF(INDEX(ctaVinc,MATCH(K596,ctaNombre,0))&amp;""&lt;&gt;"",INDEX(ctaVinc,MATCH(K596,ctaNombre,0))&amp;"",K596),K596))</f>
        <v/>
      </c>
      <c r="AD596" s="52">
        <f>IF(AB596="","",IFERROR(INDEX(ctaTipo,MATCH(AB596,ctaNombre,0))&amp;"",""))</f>
        <v/>
      </c>
      <c r="AE596" s="52">
        <f>IF(AC596="","",IFERROR(INDEX(ctaTipo,MATCH(AC596,ctaNombre,0))&amp;"",""))</f>
        <v/>
      </c>
      <c r="AF596" s="53">
        <f>IF(OR(P596="",AB596=""),"",IF(OR(P596="Gasto",P596="Transferencia",P596="Pago tarjeta"),-1,1)*IF(IFERROR(INDEX(ctaMoneda,MATCH(AB596,ctaNombre,0))&amp;"","DOP")="USD",T596,S596))</f>
        <v/>
      </c>
      <c r="AG596" s="53">
        <f>IF(AC596="","",IF(IFERROR(INDEX(ctaMoneda,MATCH(AC596,ctaNombre,0))&amp;"","DOP")="USD",T596,S596))</f>
        <v/>
      </c>
      <c r="AH596" s="53">
        <f>IF(P596="","",IF(AND(AD596&lt;&gt;"",COUNTIFS(tcTipo,AD596,tcLiq,"Sí")&gt;0),IF(OR(P596="Gasto",P596="Transferencia",P596="Pago tarjeta"),-1,1)*S596,0)+IF(AND(AE596&lt;&gt;"",COUNTIFS(tcTipo,AE596,tcLiq,"Sí")&gt;0),S596,0))</f>
        <v/>
      </c>
      <c r="AI596" s="52">
        <f>IF(OR(L596="",P596=""),"",IF(COUNTIFS(L$6:L596,L596,P$6:P596,"?*")=1,MAX(AI$5:AI595)+1,""))</f>
        <v/>
      </c>
    </row>
    <row r="597">
      <c r="B597" s="47" t="n"/>
      <c r="C597" s="48" t="n"/>
      <c r="D597" s="48" t="n"/>
      <c r="E597" s="48" t="n"/>
      <c r="F597" s="48" t="n"/>
      <c r="G597" s="49" t="n"/>
      <c r="H597" s="48" t="n"/>
      <c r="I597" s="50" t="n"/>
      <c r="J597" s="48" t="n"/>
      <c r="K597" s="48" t="n"/>
      <c r="L597" s="48" t="n"/>
      <c r="M597" s="48" t="n"/>
      <c r="N597" s="48" t="n"/>
      <c r="O597" s="51">
        <f>IF(AND(B597="",G597="",C597="",D597="",J597=""),"",IF(B597="","⚠ Falta fecha",IF(G597="","⚠ Falta monto",IF(Q597="","⚠ Falta cuenta",IF(ISNA(MATCH(Q597,ctaNombre,0)),"⚠ Cuenta no registrada",IF(AND(OR(P597="Gasto",P597="Reembolso"),D597=""),"⚠ Falta categoría",IF(AND(D597&lt;&gt;"",E597&lt;&gt;"",ISNA(MATCH(D597&amp;"|"&amp;E597,catClave,0))),"⚠ Subcategoría no corresponde",IF(AND(OR(P597="Transferencia",P597="Pago tarjeta"),K597=""),"⚠ Falta cuenta destino",IF(AND(K597&lt;&gt;"",P597&lt;&gt;"Transferencia",P597&lt;&gt;"Pago tarjeta"),"⚠ Destino solo aplica a transferencias",IF(AND(K597&lt;&gt;"",K597=Q597),"⚠ Origen igual a destino",IF(AND(K597&lt;&gt;"",ISNA(MATCH(K597,ctaNombre,0))),"⚠ Destino no registrado",IF(AND(P597="Pago tarjeta",AE597&lt;&gt;"Tarjeta de crédito"),"⚠ El destino debe ser tarjeta de crédito",IF(AND(P597="Gasto",E597="Depósitos y retiros"),"⚠ Usa tipo Transferencia",IF(AND(P597="Resultado trading",AD597&lt;&gt;"Cuenta de trading"),"⚠ Usa una cuenta de trading",IF(AND(G597&lt;=0,P597&lt;&gt;"Ajuste",P597&lt;&gt;"Resultado trading"),"⚠ El monto debe ser positivo","✓")))))))))))))))</f>
        <v/>
      </c>
      <c r="P597" s="52">
        <f>IF(OR(B597="",G597=""),"",IF(C597="","Gasto",C597))</f>
        <v/>
      </c>
      <c r="Q597" s="52">
        <f>IF(P597="","",IF(J597&lt;&gt;"",J597,CuentaPred&amp;""))</f>
        <v/>
      </c>
      <c r="R597" s="52">
        <f>IF(P597="","",IF(ISNUMBER(I597),I597,TasaUSD))</f>
        <v/>
      </c>
      <c r="S597" s="53">
        <f>IF(P597="","",IF(H597="USD",G597*R597,G597))</f>
        <v/>
      </c>
      <c r="T597" s="53">
        <f>IF(P597="","",IF(H597="USD",G597,IF(R597&gt;0,G597/R597,0)))</f>
        <v/>
      </c>
      <c r="U597" s="53">
        <f>IF(P597="","",IF(P597="Gasto",S597,IF(P597="Reembolso",-S597,0)))</f>
        <v/>
      </c>
      <c r="V597" s="53">
        <f>IF(P597="","",IF(P597="Ingreso",S597,0))</f>
        <v/>
      </c>
      <c r="W597" s="53">
        <f>IF(P597="","",IF(P597="Resultado trading",S597,0))</f>
        <v/>
      </c>
      <c r="X597" s="52">
        <f>IF(OR(P597="Gasto",P597="Reembolso"),IF(M597&lt;&gt;"",M597,IFERROR(INDEX(catClasif,MATCH(D597&amp;"|"&amp;E597,catClave,0))&amp;"","Variable")),"")</f>
        <v/>
      </c>
      <c r="Y597" s="52">
        <f>IF(P597="","",IFERROR(INDEX(catGrupo,MATCH(D597&amp;"|"&amp;E597,catClave,0))&amp;"",""))</f>
        <v/>
      </c>
      <c r="Z597" s="52">
        <f>IF(P597="","",WEEKDAY(B597,2))</f>
        <v/>
      </c>
      <c r="AA597" s="52">
        <f>IF(P597="","",IF(AND(P597="Gasto",X597="Variable",D597&lt;&gt;catTrading,S597&gt;0,S597&lt;=Umbral),1,0))</f>
        <v/>
      </c>
      <c r="AB597" s="52">
        <f>IF(OR(P597="",Q597=""),"",IFERROR(IF(INDEX(ctaVinc,MATCH(Q597,ctaNombre,0))&amp;""&lt;&gt;"",INDEX(ctaVinc,MATCH(Q597,ctaNombre,0))&amp;"",Q597),Q597))</f>
        <v/>
      </c>
      <c r="AC597" s="52">
        <f>IF(OR(K597="",AND(P597&lt;&gt;"Transferencia",P597&lt;&gt;"Pago tarjeta")),"",IFERROR(IF(INDEX(ctaVinc,MATCH(K597,ctaNombre,0))&amp;""&lt;&gt;"",INDEX(ctaVinc,MATCH(K597,ctaNombre,0))&amp;"",K597),K597))</f>
        <v/>
      </c>
      <c r="AD597" s="52">
        <f>IF(AB597="","",IFERROR(INDEX(ctaTipo,MATCH(AB597,ctaNombre,0))&amp;"",""))</f>
        <v/>
      </c>
      <c r="AE597" s="52">
        <f>IF(AC597="","",IFERROR(INDEX(ctaTipo,MATCH(AC597,ctaNombre,0))&amp;"",""))</f>
        <v/>
      </c>
      <c r="AF597" s="53">
        <f>IF(OR(P597="",AB597=""),"",IF(OR(P597="Gasto",P597="Transferencia",P597="Pago tarjeta"),-1,1)*IF(IFERROR(INDEX(ctaMoneda,MATCH(AB597,ctaNombre,0))&amp;"","DOP")="USD",T597,S597))</f>
        <v/>
      </c>
      <c r="AG597" s="53">
        <f>IF(AC597="","",IF(IFERROR(INDEX(ctaMoneda,MATCH(AC597,ctaNombre,0))&amp;"","DOP")="USD",T597,S597))</f>
        <v/>
      </c>
      <c r="AH597" s="53">
        <f>IF(P597="","",IF(AND(AD597&lt;&gt;"",COUNTIFS(tcTipo,AD597,tcLiq,"Sí")&gt;0),IF(OR(P597="Gasto",P597="Transferencia",P597="Pago tarjeta"),-1,1)*S597,0)+IF(AND(AE597&lt;&gt;"",COUNTIFS(tcTipo,AE597,tcLiq,"Sí")&gt;0),S597,0))</f>
        <v/>
      </c>
      <c r="AI597" s="52">
        <f>IF(OR(L597="",P597=""),"",IF(COUNTIFS(L$6:L597,L597,P$6:P597,"?*")=1,MAX(AI$5:AI596)+1,""))</f>
        <v/>
      </c>
    </row>
    <row r="598">
      <c r="B598" s="47" t="n"/>
      <c r="C598" s="48" t="n"/>
      <c r="D598" s="48" t="n"/>
      <c r="E598" s="48" t="n"/>
      <c r="F598" s="48" t="n"/>
      <c r="G598" s="49" t="n"/>
      <c r="H598" s="48" t="n"/>
      <c r="I598" s="50" t="n"/>
      <c r="J598" s="48" t="n"/>
      <c r="K598" s="48" t="n"/>
      <c r="L598" s="48" t="n"/>
      <c r="M598" s="48" t="n"/>
      <c r="N598" s="48" t="n"/>
      <c r="O598" s="51">
        <f>IF(AND(B598="",G598="",C598="",D598="",J598=""),"",IF(B598="","⚠ Falta fecha",IF(G598="","⚠ Falta monto",IF(Q598="","⚠ Falta cuenta",IF(ISNA(MATCH(Q598,ctaNombre,0)),"⚠ Cuenta no registrada",IF(AND(OR(P598="Gasto",P598="Reembolso"),D598=""),"⚠ Falta categoría",IF(AND(D598&lt;&gt;"",E598&lt;&gt;"",ISNA(MATCH(D598&amp;"|"&amp;E598,catClave,0))),"⚠ Subcategoría no corresponde",IF(AND(OR(P598="Transferencia",P598="Pago tarjeta"),K598=""),"⚠ Falta cuenta destino",IF(AND(K598&lt;&gt;"",P598&lt;&gt;"Transferencia",P598&lt;&gt;"Pago tarjeta"),"⚠ Destino solo aplica a transferencias",IF(AND(K598&lt;&gt;"",K598=Q598),"⚠ Origen igual a destino",IF(AND(K598&lt;&gt;"",ISNA(MATCH(K598,ctaNombre,0))),"⚠ Destino no registrado",IF(AND(P598="Pago tarjeta",AE598&lt;&gt;"Tarjeta de crédito"),"⚠ El destino debe ser tarjeta de crédito",IF(AND(P598="Gasto",E598="Depósitos y retiros"),"⚠ Usa tipo Transferencia",IF(AND(P598="Resultado trading",AD598&lt;&gt;"Cuenta de trading"),"⚠ Usa una cuenta de trading",IF(AND(G598&lt;=0,P598&lt;&gt;"Ajuste",P598&lt;&gt;"Resultado trading"),"⚠ El monto debe ser positivo","✓")))))))))))))))</f>
        <v/>
      </c>
      <c r="P598" s="52">
        <f>IF(OR(B598="",G598=""),"",IF(C598="","Gasto",C598))</f>
        <v/>
      </c>
      <c r="Q598" s="52">
        <f>IF(P598="","",IF(J598&lt;&gt;"",J598,CuentaPred&amp;""))</f>
        <v/>
      </c>
      <c r="R598" s="52">
        <f>IF(P598="","",IF(ISNUMBER(I598),I598,TasaUSD))</f>
        <v/>
      </c>
      <c r="S598" s="53">
        <f>IF(P598="","",IF(H598="USD",G598*R598,G598))</f>
        <v/>
      </c>
      <c r="T598" s="53">
        <f>IF(P598="","",IF(H598="USD",G598,IF(R598&gt;0,G598/R598,0)))</f>
        <v/>
      </c>
      <c r="U598" s="53">
        <f>IF(P598="","",IF(P598="Gasto",S598,IF(P598="Reembolso",-S598,0)))</f>
        <v/>
      </c>
      <c r="V598" s="53">
        <f>IF(P598="","",IF(P598="Ingreso",S598,0))</f>
        <v/>
      </c>
      <c r="W598" s="53">
        <f>IF(P598="","",IF(P598="Resultado trading",S598,0))</f>
        <v/>
      </c>
      <c r="X598" s="52">
        <f>IF(OR(P598="Gasto",P598="Reembolso"),IF(M598&lt;&gt;"",M598,IFERROR(INDEX(catClasif,MATCH(D598&amp;"|"&amp;E598,catClave,0))&amp;"","Variable")),"")</f>
        <v/>
      </c>
      <c r="Y598" s="52">
        <f>IF(P598="","",IFERROR(INDEX(catGrupo,MATCH(D598&amp;"|"&amp;E598,catClave,0))&amp;"",""))</f>
        <v/>
      </c>
      <c r="Z598" s="52">
        <f>IF(P598="","",WEEKDAY(B598,2))</f>
        <v/>
      </c>
      <c r="AA598" s="52">
        <f>IF(P598="","",IF(AND(P598="Gasto",X598="Variable",D598&lt;&gt;catTrading,S598&gt;0,S598&lt;=Umbral),1,0))</f>
        <v/>
      </c>
      <c r="AB598" s="52">
        <f>IF(OR(P598="",Q598=""),"",IFERROR(IF(INDEX(ctaVinc,MATCH(Q598,ctaNombre,0))&amp;""&lt;&gt;"",INDEX(ctaVinc,MATCH(Q598,ctaNombre,0))&amp;"",Q598),Q598))</f>
        <v/>
      </c>
      <c r="AC598" s="52">
        <f>IF(OR(K598="",AND(P598&lt;&gt;"Transferencia",P598&lt;&gt;"Pago tarjeta")),"",IFERROR(IF(INDEX(ctaVinc,MATCH(K598,ctaNombre,0))&amp;""&lt;&gt;"",INDEX(ctaVinc,MATCH(K598,ctaNombre,0))&amp;"",K598),K598))</f>
        <v/>
      </c>
      <c r="AD598" s="52">
        <f>IF(AB598="","",IFERROR(INDEX(ctaTipo,MATCH(AB598,ctaNombre,0))&amp;"",""))</f>
        <v/>
      </c>
      <c r="AE598" s="52">
        <f>IF(AC598="","",IFERROR(INDEX(ctaTipo,MATCH(AC598,ctaNombre,0))&amp;"",""))</f>
        <v/>
      </c>
      <c r="AF598" s="53">
        <f>IF(OR(P598="",AB598=""),"",IF(OR(P598="Gasto",P598="Transferencia",P598="Pago tarjeta"),-1,1)*IF(IFERROR(INDEX(ctaMoneda,MATCH(AB598,ctaNombre,0))&amp;"","DOP")="USD",T598,S598))</f>
        <v/>
      </c>
      <c r="AG598" s="53">
        <f>IF(AC598="","",IF(IFERROR(INDEX(ctaMoneda,MATCH(AC598,ctaNombre,0))&amp;"","DOP")="USD",T598,S598))</f>
        <v/>
      </c>
      <c r="AH598" s="53">
        <f>IF(P598="","",IF(AND(AD598&lt;&gt;"",COUNTIFS(tcTipo,AD598,tcLiq,"Sí")&gt;0),IF(OR(P598="Gasto",P598="Transferencia",P598="Pago tarjeta"),-1,1)*S598,0)+IF(AND(AE598&lt;&gt;"",COUNTIFS(tcTipo,AE598,tcLiq,"Sí")&gt;0),S598,0))</f>
        <v/>
      </c>
      <c r="AI598" s="52">
        <f>IF(OR(L598="",P598=""),"",IF(COUNTIFS(L$6:L598,L598,P$6:P598,"?*")=1,MAX(AI$5:AI597)+1,""))</f>
        <v/>
      </c>
    </row>
    <row r="599">
      <c r="B599" s="47" t="n"/>
      <c r="C599" s="48" t="n"/>
      <c r="D599" s="48" t="n"/>
      <c r="E599" s="48" t="n"/>
      <c r="F599" s="48" t="n"/>
      <c r="G599" s="49" t="n"/>
      <c r="H599" s="48" t="n"/>
      <c r="I599" s="50" t="n"/>
      <c r="J599" s="48" t="n"/>
      <c r="K599" s="48" t="n"/>
      <c r="L599" s="48" t="n"/>
      <c r="M599" s="48" t="n"/>
      <c r="N599" s="48" t="n"/>
      <c r="O599" s="51">
        <f>IF(AND(B599="",G599="",C599="",D599="",J599=""),"",IF(B599="","⚠ Falta fecha",IF(G599="","⚠ Falta monto",IF(Q599="","⚠ Falta cuenta",IF(ISNA(MATCH(Q599,ctaNombre,0)),"⚠ Cuenta no registrada",IF(AND(OR(P599="Gasto",P599="Reembolso"),D599=""),"⚠ Falta categoría",IF(AND(D599&lt;&gt;"",E599&lt;&gt;"",ISNA(MATCH(D599&amp;"|"&amp;E599,catClave,0))),"⚠ Subcategoría no corresponde",IF(AND(OR(P599="Transferencia",P599="Pago tarjeta"),K599=""),"⚠ Falta cuenta destino",IF(AND(K599&lt;&gt;"",P599&lt;&gt;"Transferencia",P599&lt;&gt;"Pago tarjeta"),"⚠ Destino solo aplica a transferencias",IF(AND(K599&lt;&gt;"",K599=Q599),"⚠ Origen igual a destino",IF(AND(K599&lt;&gt;"",ISNA(MATCH(K599,ctaNombre,0))),"⚠ Destino no registrado",IF(AND(P599="Pago tarjeta",AE599&lt;&gt;"Tarjeta de crédito"),"⚠ El destino debe ser tarjeta de crédito",IF(AND(P599="Gasto",E599="Depósitos y retiros"),"⚠ Usa tipo Transferencia",IF(AND(P599="Resultado trading",AD599&lt;&gt;"Cuenta de trading"),"⚠ Usa una cuenta de trading",IF(AND(G599&lt;=0,P599&lt;&gt;"Ajuste",P599&lt;&gt;"Resultado trading"),"⚠ El monto debe ser positivo","✓")))))))))))))))</f>
        <v/>
      </c>
      <c r="P599" s="52">
        <f>IF(OR(B599="",G599=""),"",IF(C599="","Gasto",C599))</f>
        <v/>
      </c>
      <c r="Q599" s="52">
        <f>IF(P599="","",IF(J599&lt;&gt;"",J599,CuentaPred&amp;""))</f>
        <v/>
      </c>
      <c r="R599" s="52">
        <f>IF(P599="","",IF(ISNUMBER(I599),I599,TasaUSD))</f>
        <v/>
      </c>
      <c r="S599" s="53">
        <f>IF(P599="","",IF(H599="USD",G599*R599,G599))</f>
        <v/>
      </c>
      <c r="T599" s="53">
        <f>IF(P599="","",IF(H599="USD",G599,IF(R599&gt;0,G599/R599,0)))</f>
        <v/>
      </c>
      <c r="U599" s="53">
        <f>IF(P599="","",IF(P599="Gasto",S599,IF(P599="Reembolso",-S599,0)))</f>
        <v/>
      </c>
      <c r="V599" s="53">
        <f>IF(P599="","",IF(P599="Ingreso",S599,0))</f>
        <v/>
      </c>
      <c r="W599" s="53">
        <f>IF(P599="","",IF(P599="Resultado trading",S599,0))</f>
        <v/>
      </c>
      <c r="X599" s="52">
        <f>IF(OR(P599="Gasto",P599="Reembolso"),IF(M599&lt;&gt;"",M599,IFERROR(INDEX(catClasif,MATCH(D599&amp;"|"&amp;E599,catClave,0))&amp;"","Variable")),"")</f>
        <v/>
      </c>
      <c r="Y599" s="52">
        <f>IF(P599="","",IFERROR(INDEX(catGrupo,MATCH(D599&amp;"|"&amp;E599,catClave,0))&amp;"",""))</f>
        <v/>
      </c>
      <c r="Z599" s="52">
        <f>IF(P599="","",WEEKDAY(B599,2))</f>
        <v/>
      </c>
      <c r="AA599" s="52">
        <f>IF(P599="","",IF(AND(P599="Gasto",X599="Variable",D599&lt;&gt;catTrading,S599&gt;0,S599&lt;=Umbral),1,0))</f>
        <v/>
      </c>
      <c r="AB599" s="52">
        <f>IF(OR(P599="",Q599=""),"",IFERROR(IF(INDEX(ctaVinc,MATCH(Q599,ctaNombre,0))&amp;""&lt;&gt;"",INDEX(ctaVinc,MATCH(Q599,ctaNombre,0))&amp;"",Q599),Q599))</f>
        <v/>
      </c>
      <c r="AC599" s="52">
        <f>IF(OR(K599="",AND(P599&lt;&gt;"Transferencia",P599&lt;&gt;"Pago tarjeta")),"",IFERROR(IF(INDEX(ctaVinc,MATCH(K599,ctaNombre,0))&amp;""&lt;&gt;"",INDEX(ctaVinc,MATCH(K599,ctaNombre,0))&amp;"",K599),K599))</f>
        <v/>
      </c>
      <c r="AD599" s="52">
        <f>IF(AB599="","",IFERROR(INDEX(ctaTipo,MATCH(AB599,ctaNombre,0))&amp;"",""))</f>
        <v/>
      </c>
      <c r="AE599" s="52">
        <f>IF(AC599="","",IFERROR(INDEX(ctaTipo,MATCH(AC599,ctaNombre,0))&amp;"",""))</f>
        <v/>
      </c>
      <c r="AF599" s="53">
        <f>IF(OR(P599="",AB599=""),"",IF(OR(P599="Gasto",P599="Transferencia",P599="Pago tarjeta"),-1,1)*IF(IFERROR(INDEX(ctaMoneda,MATCH(AB599,ctaNombre,0))&amp;"","DOP")="USD",T599,S599))</f>
        <v/>
      </c>
      <c r="AG599" s="53">
        <f>IF(AC599="","",IF(IFERROR(INDEX(ctaMoneda,MATCH(AC599,ctaNombre,0))&amp;"","DOP")="USD",T599,S599))</f>
        <v/>
      </c>
      <c r="AH599" s="53">
        <f>IF(P599="","",IF(AND(AD599&lt;&gt;"",COUNTIFS(tcTipo,AD599,tcLiq,"Sí")&gt;0),IF(OR(P599="Gasto",P599="Transferencia",P599="Pago tarjeta"),-1,1)*S599,0)+IF(AND(AE599&lt;&gt;"",COUNTIFS(tcTipo,AE599,tcLiq,"Sí")&gt;0),S599,0))</f>
        <v/>
      </c>
      <c r="AI599" s="52">
        <f>IF(OR(L599="",P599=""),"",IF(COUNTIFS(L$6:L599,L599,P$6:P599,"?*")=1,MAX(AI$5:AI598)+1,""))</f>
        <v/>
      </c>
    </row>
    <row r="600">
      <c r="B600" s="47" t="n"/>
      <c r="C600" s="48" t="n"/>
      <c r="D600" s="48" t="n"/>
      <c r="E600" s="48" t="n"/>
      <c r="F600" s="48" t="n"/>
      <c r="G600" s="49" t="n"/>
      <c r="H600" s="48" t="n"/>
      <c r="I600" s="50" t="n"/>
      <c r="J600" s="48" t="n"/>
      <c r="K600" s="48" t="n"/>
      <c r="L600" s="48" t="n"/>
      <c r="M600" s="48" t="n"/>
      <c r="N600" s="48" t="n"/>
      <c r="O600" s="51">
        <f>IF(AND(B600="",G600="",C600="",D600="",J600=""),"",IF(B600="","⚠ Falta fecha",IF(G600="","⚠ Falta monto",IF(Q600="","⚠ Falta cuenta",IF(ISNA(MATCH(Q600,ctaNombre,0)),"⚠ Cuenta no registrada",IF(AND(OR(P600="Gasto",P600="Reembolso"),D600=""),"⚠ Falta categoría",IF(AND(D600&lt;&gt;"",E600&lt;&gt;"",ISNA(MATCH(D600&amp;"|"&amp;E600,catClave,0))),"⚠ Subcategoría no corresponde",IF(AND(OR(P600="Transferencia",P600="Pago tarjeta"),K600=""),"⚠ Falta cuenta destino",IF(AND(K600&lt;&gt;"",P600&lt;&gt;"Transferencia",P600&lt;&gt;"Pago tarjeta"),"⚠ Destino solo aplica a transferencias",IF(AND(K600&lt;&gt;"",K600=Q600),"⚠ Origen igual a destino",IF(AND(K600&lt;&gt;"",ISNA(MATCH(K600,ctaNombre,0))),"⚠ Destino no registrado",IF(AND(P600="Pago tarjeta",AE600&lt;&gt;"Tarjeta de crédito"),"⚠ El destino debe ser tarjeta de crédito",IF(AND(P600="Gasto",E600="Depósitos y retiros"),"⚠ Usa tipo Transferencia",IF(AND(P600="Resultado trading",AD600&lt;&gt;"Cuenta de trading"),"⚠ Usa una cuenta de trading",IF(AND(G600&lt;=0,P600&lt;&gt;"Ajuste",P600&lt;&gt;"Resultado trading"),"⚠ El monto debe ser positivo","✓")))))))))))))))</f>
        <v/>
      </c>
      <c r="P600" s="52">
        <f>IF(OR(B600="",G600=""),"",IF(C600="","Gasto",C600))</f>
        <v/>
      </c>
      <c r="Q600" s="52">
        <f>IF(P600="","",IF(J600&lt;&gt;"",J600,CuentaPred&amp;""))</f>
        <v/>
      </c>
      <c r="R600" s="52">
        <f>IF(P600="","",IF(ISNUMBER(I600),I600,TasaUSD))</f>
        <v/>
      </c>
      <c r="S600" s="53">
        <f>IF(P600="","",IF(H600="USD",G600*R600,G600))</f>
        <v/>
      </c>
      <c r="T600" s="53">
        <f>IF(P600="","",IF(H600="USD",G600,IF(R600&gt;0,G600/R600,0)))</f>
        <v/>
      </c>
      <c r="U600" s="53">
        <f>IF(P600="","",IF(P600="Gasto",S600,IF(P600="Reembolso",-S600,0)))</f>
        <v/>
      </c>
      <c r="V600" s="53">
        <f>IF(P600="","",IF(P600="Ingreso",S600,0))</f>
        <v/>
      </c>
      <c r="W600" s="53">
        <f>IF(P600="","",IF(P600="Resultado trading",S600,0))</f>
        <v/>
      </c>
      <c r="X600" s="52">
        <f>IF(OR(P600="Gasto",P600="Reembolso"),IF(M600&lt;&gt;"",M600,IFERROR(INDEX(catClasif,MATCH(D600&amp;"|"&amp;E600,catClave,0))&amp;"","Variable")),"")</f>
        <v/>
      </c>
      <c r="Y600" s="52">
        <f>IF(P600="","",IFERROR(INDEX(catGrupo,MATCH(D600&amp;"|"&amp;E600,catClave,0))&amp;"",""))</f>
        <v/>
      </c>
      <c r="Z600" s="52">
        <f>IF(P600="","",WEEKDAY(B600,2))</f>
        <v/>
      </c>
      <c r="AA600" s="52">
        <f>IF(P600="","",IF(AND(P600="Gasto",X600="Variable",D600&lt;&gt;catTrading,S600&gt;0,S600&lt;=Umbral),1,0))</f>
        <v/>
      </c>
      <c r="AB600" s="52">
        <f>IF(OR(P600="",Q600=""),"",IFERROR(IF(INDEX(ctaVinc,MATCH(Q600,ctaNombre,0))&amp;""&lt;&gt;"",INDEX(ctaVinc,MATCH(Q600,ctaNombre,0))&amp;"",Q600),Q600))</f>
        <v/>
      </c>
      <c r="AC600" s="52">
        <f>IF(OR(K600="",AND(P600&lt;&gt;"Transferencia",P600&lt;&gt;"Pago tarjeta")),"",IFERROR(IF(INDEX(ctaVinc,MATCH(K600,ctaNombre,0))&amp;""&lt;&gt;"",INDEX(ctaVinc,MATCH(K600,ctaNombre,0))&amp;"",K600),K600))</f>
        <v/>
      </c>
      <c r="AD600" s="52">
        <f>IF(AB600="","",IFERROR(INDEX(ctaTipo,MATCH(AB600,ctaNombre,0))&amp;"",""))</f>
        <v/>
      </c>
      <c r="AE600" s="52">
        <f>IF(AC600="","",IFERROR(INDEX(ctaTipo,MATCH(AC600,ctaNombre,0))&amp;"",""))</f>
        <v/>
      </c>
      <c r="AF600" s="53">
        <f>IF(OR(P600="",AB600=""),"",IF(OR(P600="Gasto",P600="Transferencia",P600="Pago tarjeta"),-1,1)*IF(IFERROR(INDEX(ctaMoneda,MATCH(AB600,ctaNombre,0))&amp;"","DOP")="USD",T600,S600))</f>
        <v/>
      </c>
      <c r="AG600" s="53">
        <f>IF(AC600="","",IF(IFERROR(INDEX(ctaMoneda,MATCH(AC600,ctaNombre,0))&amp;"","DOP")="USD",T600,S600))</f>
        <v/>
      </c>
      <c r="AH600" s="53">
        <f>IF(P600="","",IF(AND(AD600&lt;&gt;"",COUNTIFS(tcTipo,AD600,tcLiq,"Sí")&gt;0),IF(OR(P600="Gasto",P600="Transferencia",P600="Pago tarjeta"),-1,1)*S600,0)+IF(AND(AE600&lt;&gt;"",COUNTIFS(tcTipo,AE600,tcLiq,"Sí")&gt;0),S600,0))</f>
        <v/>
      </c>
      <c r="AI600" s="52">
        <f>IF(OR(L600="",P600=""),"",IF(COUNTIFS(L$6:L600,L600,P$6:P600,"?*")=1,MAX(AI$5:AI599)+1,""))</f>
        <v/>
      </c>
    </row>
    <row r="601">
      <c r="B601" s="47" t="n"/>
      <c r="C601" s="48" t="n"/>
      <c r="D601" s="48" t="n"/>
      <c r="E601" s="48" t="n"/>
      <c r="F601" s="48" t="n"/>
      <c r="G601" s="49" t="n"/>
      <c r="H601" s="48" t="n"/>
      <c r="I601" s="50" t="n"/>
      <c r="J601" s="48" t="n"/>
      <c r="K601" s="48" t="n"/>
      <c r="L601" s="48" t="n"/>
      <c r="M601" s="48" t="n"/>
      <c r="N601" s="48" t="n"/>
      <c r="O601" s="51">
        <f>IF(AND(B601="",G601="",C601="",D601="",J601=""),"",IF(B601="","⚠ Falta fecha",IF(G601="","⚠ Falta monto",IF(Q601="","⚠ Falta cuenta",IF(ISNA(MATCH(Q601,ctaNombre,0)),"⚠ Cuenta no registrada",IF(AND(OR(P601="Gasto",P601="Reembolso"),D601=""),"⚠ Falta categoría",IF(AND(D601&lt;&gt;"",E601&lt;&gt;"",ISNA(MATCH(D601&amp;"|"&amp;E601,catClave,0))),"⚠ Subcategoría no corresponde",IF(AND(OR(P601="Transferencia",P601="Pago tarjeta"),K601=""),"⚠ Falta cuenta destino",IF(AND(K601&lt;&gt;"",P601&lt;&gt;"Transferencia",P601&lt;&gt;"Pago tarjeta"),"⚠ Destino solo aplica a transferencias",IF(AND(K601&lt;&gt;"",K601=Q601),"⚠ Origen igual a destino",IF(AND(K601&lt;&gt;"",ISNA(MATCH(K601,ctaNombre,0))),"⚠ Destino no registrado",IF(AND(P601="Pago tarjeta",AE601&lt;&gt;"Tarjeta de crédito"),"⚠ El destino debe ser tarjeta de crédito",IF(AND(P601="Gasto",E601="Depósitos y retiros"),"⚠ Usa tipo Transferencia",IF(AND(P601="Resultado trading",AD601&lt;&gt;"Cuenta de trading"),"⚠ Usa una cuenta de trading",IF(AND(G601&lt;=0,P601&lt;&gt;"Ajuste",P601&lt;&gt;"Resultado trading"),"⚠ El monto debe ser positivo","✓")))))))))))))))</f>
        <v/>
      </c>
      <c r="P601" s="52">
        <f>IF(OR(B601="",G601=""),"",IF(C601="","Gasto",C601))</f>
        <v/>
      </c>
      <c r="Q601" s="52">
        <f>IF(P601="","",IF(J601&lt;&gt;"",J601,CuentaPred&amp;""))</f>
        <v/>
      </c>
      <c r="R601" s="52">
        <f>IF(P601="","",IF(ISNUMBER(I601),I601,TasaUSD))</f>
        <v/>
      </c>
      <c r="S601" s="53">
        <f>IF(P601="","",IF(H601="USD",G601*R601,G601))</f>
        <v/>
      </c>
      <c r="T601" s="53">
        <f>IF(P601="","",IF(H601="USD",G601,IF(R601&gt;0,G601/R601,0)))</f>
        <v/>
      </c>
      <c r="U601" s="53">
        <f>IF(P601="","",IF(P601="Gasto",S601,IF(P601="Reembolso",-S601,0)))</f>
        <v/>
      </c>
      <c r="V601" s="53">
        <f>IF(P601="","",IF(P601="Ingreso",S601,0))</f>
        <v/>
      </c>
      <c r="W601" s="53">
        <f>IF(P601="","",IF(P601="Resultado trading",S601,0))</f>
        <v/>
      </c>
      <c r="X601" s="52">
        <f>IF(OR(P601="Gasto",P601="Reembolso"),IF(M601&lt;&gt;"",M601,IFERROR(INDEX(catClasif,MATCH(D601&amp;"|"&amp;E601,catClave,0))&amp;"","Variable")),"")</f>
        <v/>
      </c>
      <c r="Y601" s="52">
        <f>IF(P601="","",IFERROR(INDEX(catGrupo,MATCH(D601&amp;"|"&amp;E601,catClave,0))&amp;"",""))</f>
        <v/>
      </c>
      <c r="Z601" s="52">
        <f>IF(P601="","",WEEKDAY(B601,2))</f>
        <v/>
      </c>
      <c r="AA601" s="52">
        <f>IF(P601="","",IF(AND(P601="Gasto",X601="Variable",D601&lt;&gt;catTrading,S601&gt;0,S601&lt;=Umbral),1,0))</f>
        <v/>
      </c>
      <c r="AB601" s="52">
        <f>IF(OR(P601="",Q601=""),"",IFERROR(IF(INDEX(ctaVinc,MATCH(Q601,ctaNombre,0))&amp;""&lt;&gt;"",INDEX(ctaVinc,MATCH(Q601,ctaNombre,0))&amp;"",Q601),Q601))</f>
        <v/>
      </c>
      <c r="AC601" s="52">
        <f>IF(OR(K601="",AND(P601&lt;&gt;"Transferencia",P601&lt;&gt;"Pago tarjeta")),"",IFERROR(IF(INDEX(ctaVinc,MATCH(K601,ctaNombre,0))&amp;""&lt;&gt;"",INDEX(ctaVinc,MATCH(K601,ctaNombre,0))&amp;"",K601),K601))</f>
        <v/>
      </c>
      <c r="AD601" s="52">
        <f>IF(AB601="","",IFERROR(INDEX(ctaTipo,MATCH(AB601,ctaNombre,0))&amp;"",""))</f>
        <v/>
      </c>
      <c r="AE601" s="52">
        <f>IF(AC601="","",IFERROR(INDEX(ctaTipo,MATCH(AC601,ctaNombre,0))&amp;"",""))</f>
        <v/>
      </c>
      <c r="AF601" s="53">
        <f>IF(OR(P601="",AB601=""),"",IF(OR(P601="Gasto",P601="Transferencia",P601="Pago tarjeta"),-1,1)*IF(IFERROR(INDEX(ctaMoneda,MATCH(AB601,ctaNombre,0))&amp;"","DOP")="USD",T601,S601))</f>
        <v/>
      </c>
      <c r="AG601" s="53">
        <f>IF(AC601="","",IF(IFERROR(INDEX(ctaMoneda,MATCH(AC601,ctaNombre,0))&amp;"","DOP")="USD",T601,S601))</f>
        <v/>
      </c>
      <c r="AH601" s="53">
        <f>IF(P601="","",IF(AND(AD601&lt;&gt;"",COUNTIFS(tcTipo,AD601,tcLiq,"Sí")&gt;0),IF(OR(P601="Gasto",P601="Transferencia",P601="Pago tarjeta"),-1,1)*S601,0)+IF(AND(AE601&lt;&gt;"",COUNTIFS(tcTipo,AE601,tcLiq,"Sí")&gt;0),S601,0))</f>
        <v/>
      </c>
      <c r="AI601" s="52">
        <f>IF(OR(L601="",P601=""),"",IF(COUNTIFS(L$6:L601,L601,P$6:P601,"?*")=1,MAX(AI$5:AI600)+1,""))</f>
        <v/>
      </c>
    </row>
    <row r="602">
      <c r="B602" s="47" t="n"/>
      <c r="C602" s="48" t="n"/>
      <c r="D602" s="48" t="n"/>
      <c r="E602" s="48" t="n"/>
      <c r="F602" s="48" t="n"/>
      <c r="G602" s="49" t="n"/>
      <c r="H602" s="48" t="n"/>
      <c r="I602" s="50" t="n"/>
      <c r="J602" s="48" t="n"/>
      <c r="K602" s="48" t="n"/>
      <c r="L602" s="48" t="n"/>
      <c r="M602" s="48" t="n"/>
      <c r="N602" s="48" t="n"/>
      <c r="O602" s="51">
        <f>IF(AND(B602="",G602="",C602="",D602="",J602=""),"",IF(B602="","⚠ Falta fecha",IF(G602="","⚠ Falta monto",IF(Q602="","⚠ Falta cuenta",IF(ISNA(MATCH(Q602,ctaNombre,0)),"⚠ Cuenta no registrada",IF(AND(OR(P602="Gasto",P602="Reembolso"),D602=""),"⚠ Falta categoría",IF(AND(D602&lt;&gt;"",E602&lt;&gt;"",ISNA(MATCH(D602&amp;"|"&amp;E602,catClave,0))),"⚠ Subcategoría no corresponde",IF(AND(OR(P602="Transferencia",P602="Pago tarjeta"),K602=""),"⚠ Falta cuenta destino",IF(AND(K602&lt;&gt;"",P602&lt;&gt;"Transferencia",P602&lt;&gt;"Pago tarjeta"),"⚠ Destino solo aplica a transferencias",IF(AND(K602&lt;&gt;"",K602=Q602),"⚠ Origen igual a destino",IF(AND(K602&lt;&gt;"",ISNA(MATCH(K602,ctaNombre,0))),"⚠ Destino no registrado",IF(AND(P602="Pago tarjeta",AE602&lt;&gt;"Tarjeta de crédito"),"⚠ El destino debe ser tarjeta de crédito",IF(AND(P602="Gasto",E602="Depósitos y retiros"),"⚠ Usa tipo Transferencia",IF(AND(P602="Resultado trading",AD602&lt;&gt;"Cuenta de trading"),"⚠ Usa una cuenta de trading",IF(AND(G602&lt;=0,P602&lt;&gt;"Ajuste",P602&lt;&gt;"Resultado trading"),"⚠ El monto debe ser positivo","✓")))))))))))))))</f>
        <v/>
      </c>
      <c r="P602" s="52">
        <f>IF(OR(B602="",G602=""),"",IF(C602="","Gasto",C602))</f>
        <v/>
      </c>
      <c r="Q602" s="52">
        <f>IF(P602="","",IF(J602&lt;&gt;"",J602,CuentaPred&amp;""))</f>
        <v/>
      </c>
      <c r="R602" s="52">
        <f>IF(P602="","",IF(ISNUMBER(I602),I602,TasaUSD))</f>
        <v/>
      </c>
      <c r="S602" s="53">
        <f>IF(P602="","",IF(H602="USD",G602*R602,G602))</f>
        <v/>
      </c>
      <c r="T602" s="53">
        <f>IF(P602="","",IF(H602="USD",G602,IF(R602&gt;0,G602/R602,0)))</f>
        <v/>
      </c>
      <c r="U602" s="53">
        <f>IF(P602="","",IF(P602="Gasto",S602,IF(P602="Reembolso",-S602,0)))</f>
        <v/>
      </c>
      <c r="V602" s="53">
        <f>IF(P602="","",IF(P602="Ingreso",S602,0))</f>
        <v/>
      </c>
      <c r="W602" s="53">
        <f>IF(P602="","",IF(P602="Resultado trading",S602,0))</f>
        <v/>
      </c>
      <c r="X602" s="52">
        <f>IF(OR(P602="Gasto",P602="Reembolso"),IF(M602&lt;&gt;"",M602,IFERROR(INDEX(catClasif,MATCH(D602&amp;"|"&amp;E602,catClave,0))&amp;"","Variable")),"")</f>
        <v/>
      </c>
      <c r="Y602" s="52">
        <f>IF(P602="","",IFERROR(INDEX(catGrupo,MATCH(D602&amp;"|"&amp;E602,catClave,0))&amp;"",""))</f>
        <v/>
      </c>
      <c r="Z602" s="52">
        <f>IF(P602="","",WEEKDAY(B602,2))</f>
        <v/>
      </c>
      <c r="AA602" s="52">
        <f>IF(P602="","",IF(AND(P602="Gasto",X602="Variable",D602&lt;&gt;catTrading,S602&gt;0,S602&lt;=Umbral),1,0))</f>
        <v/>
      </c>
      <c r="AB602" s="52">
        <f>IF(OR(P602="",Q602=""),"",IFERROR(IF(INDEX(ctaVinc,MATCH(Q602,ctaNombre,0))&amp;""&lt;&gt;"",INDEX(ctaVinc,MATCH(Q602,ctaNombre,0))&amp;"",Q602),Q602))</f>
        <v/>
      </c>
      <c r="AC602" s="52">
        <f>IF(OR(K602="",AND(P602&lt;&gt;"Transferencia",P602&lt;&gt;"Pago tarjeta")),"",IFERROR(IF(INDEX(ctaVinc,MATCH(K602,ctaNombre,0))&amp;""&lt;&gt;"",INDEX(ctaVinc,MATCH(K602,ctaNombre,0))&amp;"",K602),K602))</f>
        <v/>
      </c>
      <c r="AD602" s="52">
        <f>IF(AB602="","",IFERROR(INDEX(ctaTipo,MATCH(AB602,ctaNombre,0))&amp;"",""))</f>
        <v/>
      </c>
      <c r="AE602" s="52">
        <f>IF(AC602="","",IFERROR(INDEX(ctaTipo,MATCH(AC602,ctaNombre,0))&amp;"",""))</f>
        <v/>
      </c>
      <c r="AF602" s="53">
        <f>IF(OR(P602="",AB602=""),"",IF(OR(P602="Gasto",P602="Transferencia",P602="Pago tarjeta"),-1,1)*IF(IFERROR(INDEX(ctaMoneda,MATCH(AB602,ctaNombre,0))&amp;"","DOP")="USD",T602,S602))</f>
        <v/>
      </c>
      <c r="AG602" s="53">
        <f>IF(AC602="","",IF(IFERROR(INDEX(ctaMoneda,MATCH(AC602,ctaNombre,0))&amp;"","DOP")="USD",T602,S602))</f>
        <v/>
      </c>
      <c r="AH602" s="53">
        <f>IF(P602="","",IF(AND(AD602&lt;&gt;"",COUNTIFS(tcTipo,AD602,tcLiq,"Sí")&gt;0),IF(OR(P602="Gasto",P602="Transferencia",P602="Pago tarjeta"),-1,1)*S602,0)+IF(AND(AE602&lt;&gt;"",COUNTIFS(tcTipo,AE602,tcLiq,"Sí")&gt;0),S602,0))</f>
        <v/>
      </c>
      <c r="AI602" s="52">
        <f>IF(OR(L602="",P602=""),"",IF(COUNTIFS(L$6:L602,L602,P$6:P602,"?*")=1,MAX(AI$5:AI601)+1,""))</f>
        <v/>
      </c>
    </row>
    <row r="603">
      <c r="B603" s="47" t="n"/>
      <c r="C603" s="48" t="n"/>
      <c r="D603" s="48" t="n"/>
      <c r="E603" s="48" t="n"/>
      <c r="F603" s="48" t="n"/>
      <c r="G603" s="49" t="n"/>
      <c r="H603" s="48" t="n"/>
      <c r="I603" s="50" t="n"/>
      <c r="J603" s="48" t="n"/>
      <c r="K603" s="48" t="n"/>
      <c r="L603" s="48" t="n"/>
      <c r="M603" s="48" t="n"/>
      <c r="N603" s="48" t="n"/>
      <c r="O603" s="51">
        <f>IF(AND(B603="",G603="",C603="",D603="",J603=""),"",IF(B603="","⚠ Falta fecha",IF(G603="","⚠ Falta monto",IF(Q603="","⚠ Falta cuenta",IF(ISNA(MATCH(Q603,ctaNombre,0)),"⚠ Cuenta no registrada",IF(AND(OR(P603="Gasto",P603="Reembolso"),D603=""),"⚠ Falta categoría",IF(AND(D603&lt;&gt;"",E603&lt;&gt;"",ISNA(MATCH(D603&amp;"|"&amp;E603,catClave,0))),"⚠ Subcategoría no corresponde",IF(AND(OR(P603="Transferencia",P603="Pago tarjeta"),K603=""),"⚠ Falta cuenta destino",IF(AND(K603&lt;&gt;"",P603&lt;&gt;"Transferencia",P603&lt;&gt;"Pago tarjeta"),"⚠ Destino solo aplica a transferencias",IF(AND(K603&lt;&gt;"",K603=Q603),"⚠ Origen igual a destino",IF(AND(K603&lt;&gt;"",ISNA(MATCH(K603,ctaNombre,0))),"⚠ Destino no registrado",IF(AND(P603="Pago tarjeta",AE603&lt;&gt;"Tarjeta de crédito"),"⚠ El destino debe ser tarjeta de crédito",IF(AND(P603="Gasto",E603="Depósitos y retiros"),"⚠ Usa tipo Transferencia",IF(AND(P603="Resultado trading",AD603&lt;&gt;"Cuenta de trading"),"⚠ Usa una cuenta de trading",IF(AND(G603&lt;=0,P603&lt;&gt;"Ajuste",P603&lt;&gt;"Resultado trading"),"⚠ El monto debe ser positivo","✓")))))))))))))))</f>
        <v/>
      </c>
      <c r="P603" s="52">
        <f>IF(OR(B603="",G603=""),"",IF(C603="","Gasto",C603))</f>
        <v/>
      </c>
      <c r="Q603" s="52">
        <f>IF(P603="","",IF(J603&lt;&gt;"",J603,CuentaPred&amp;""))</f>
        <v/>
      </c>
      <c r="R603" s="52">
        <f>IF(P603="","",IF(ISNUMBER(I603),I603,TasaUSD))</f>
        <v/>
      </c>
      <c r="S603" s="53">
        <f>IF(P603="","",IF(H603="USD",G603*R603,G603))</f>
        <v/>
      </c>
      <c r="T603" s="53">
        <f>IF(P603="","",IF(H603="USD",G603,IF(R603&gt;0,G603/R603,0)))</f>
        <v/>
      </c>
      <c r="U603" s="53">
        <f>IF(P603="","",IF(P603="Gasto",S603,IF(P603="Reembolso",-S603,0)))</f>
        <v/>
      </c>
      <c r="V603" s="53">
        <f>IF(P603="","",IF(P603="Ingreso",S603,0))</f>
        <v/>
      </c>
      <c r="W603" s="53">
        <f>IF(P603="","",IF(P603="Resultado trading",S603,0))</f>
        <v/>
      </c>
      <c r="X603" s="52">
        <f>IF(OR(P603="Gasto",P603="Reembolso"),IF(M603&lt;&gt;"",M603,IFERROR(INDEX(catClasif,MATCH(D603&amp;"|"&amp;E603,catClave,0))&amp;"","Variable")),"")</f>
        <v/>
      </c>
      <c r="Y603" s="52">
        <f>IF(P603="","",IFERROR(INDEX(catGrupo,MATCH(D603&amp;"|"&amp;E603,catClave,0))&amp;"",""))</f>
        <v/>
      </c>
      <c r="Z603" s="52">
        <f>IF(P603="","",WEEKDAY(B603,2))</f>
        <v/>
      </c>
      <c r="AA603" s="52">
        <f>IF(P603="","",IF(AND(P603="Gasto",X603="Variable",D603&lt;&gt;catTrading,S603&gt;0,S603&lt;=Umbral),1,0))</f>
        <v/>
      </c>
      <c r="AB603" s="52">
        <f>IF(OR(P603="",Q603=""),"",IFERROR(IF(INDEX(ctaVinc,MATCH(Q603,ctaNombre,0))&amp;""&lt;&gt;"",INDEX(ctaVinc,MATCH(Q603,ctaNombre,0))&amp;"",Q603),Q603))</f>
        <v/>
      </c>
      <c r="AC603" s="52">
        <f>IF(OR(K603="",AND(P603&lt;&gt;"Transferencia",P603&lt;&gt;"Pago tarjeta")),"",IFERROR(IF(INDEX(ctaVinc,MATCH(K603,ctaNombre,0))&amp;""&lt;&gt;"",INDEX(ctaVinc,MATCH(K603,ctaNombre,0))&amp;"",K603),K603))</f>
        <v/>
      </c>
      <c r="AD603" s="52">
        <f>IF(AB603="","",IFERROR(INDEX(ctaTipo,MATCH(AB603,ctaNombre,0))&amp;"",""))</f>
        <v/>
      </c>
      <c r="AE603" s="52">
        <f>IF(AC603="","",IFERROR(INDEX(ctaTipo,MATCH(AC603,ctaNombre,0))&amp;"",""))</f>
        <v/>
      </c>
      <c r="AF603" s="53">
        <f>IF(OR(P603="",AB603=""),"",IF(OR(P603="Gasto",P603="Transferencia",P603="Pago tarjeta"),-1,1)*IF(IFERROR(INDEX(ctaMoneda,MATCH(AB603,ctaNombre,0))&amp;"","DOP")="USD",T603,S603))</f>
        <v/>
      </c>
      <c r="AG603" s="53">
        <f>IF(AC603="","",IF(IFERROR(INDEX(ctaMoneda,MATCH(AC603,ctaNombre,0))&amp;"","DOP")="USD",T603,S603))</f>
        <v/>
      </c>
      <c r="AH603" s="53">
        <f>IF(P603="","",IF(AND(AD603&lt;&gt;"",COUNTIFS(tcTipo,AD603,tcLiq,"Sí")&gt;0),IF(OR(P603="Gasto",P603="Transferencia",P603="Pago tarjeta"),-1,1)*S603,0)+IF(AND(AE603&lt;&gt;"",COUNTIFS(tcTipo,AE603,tcLiq,"Sí")&gt;0),S603,0))</f>
        <v/>
      </c>
      <c r="AI603" s="52">
        <f>IF(OR(L603="",P603=""),"",IF(COUNTIFS(L$6:L603,L603,P$6:P603,"?*")=1,MAX(AI$5:AI602)+1,""))</f>
        <v/>
      </c>
    </row>
    <row r="604">
      <c r="B604" s="47" t="n"/>
      <c r="C604" s="48" t="n"/>
      <c r="D604" s="48" t="n"/>
      <c r="E604" s="48" t="n"/>
      <c r="F604" s="48" t="n"/>
      <c r="G604" s="49" t="n"/>
      <c r="H604" s="48" t="n"/>
      <c r="I604" s="50" t="n"/>
      <c r="J604" s="48" t="n"/>
      <c r="K604" s="48" t="n"/>
      <c r="L604" s="48" t="n"/>
      <c r="M604" s="48" t="n"/>
      <c r="N604" s="48" t="n"/>
      <c r="O604" s="51">
        <f>IF(AND(B604="",G604="",C604="",D604="",J604=""),"",IF(B604="","⚠ Falta fecha",IF(G604="","⚠ Falta monto",IF(Q604="","⚠ Falta cuenta",IF(ISNA(MATCH(Q604,ctaNombre,0)),"⚠ Cuenta no registrada",IF(AND(OR(P604="Gasto",P604="Reembolso"),D604=""),"⚠ Falta categoría",IF(AND(D604&lt;&gt;"",E604&lt;&gt;"",ISNA(MATCH(D604&amp;"|"&amp;E604,catClave,0))),"⚠ Subcategoría no corresponde",IF(AND(OR(P604="Transferencia",P604="Pago tarjeta"),K604=""),"⚠ Falta cuenta destino",IF(AND(K604&lt;&gt;"",P604&lt;&gt;"Transferencia",P604&lt;&gt;"Pago tarjeta"),"⚠ Destino solo aplica a transferencias",IF(AND(K604&lt;&gt;"",K604=Q604),"⚠ Origen igual a destino",IF(AND(K604&lt;&gt;"",ISNA(MATCH(K604,ctaNombre,0))),"⚠ Destino no registrado",IF(AND(P604="Pago tarjeta",AE604&lt;&gt;"Tarjeta de crédito"),"⚠ El destino debe ser tarjeta de crédito",IF(AND(P604="Gasto",E604="Depósitos y retiros"),"⚠ Usa tipo Transferencia",IF(AND(P604="Resultado trading",AD604&lt;&gt;"Cuenta de trading"),"⚠ Usa una cuenta de trading",IF(AND(G604&lt;=0,P604&lt;&gt;"Ajuste",P604&lt;&gt;"Resultado trading"),"⚠ El monto debe ser positivo","✓")))))))))))))))</f>
        <v/>
      </c>
      <c r="P604" s="52">
        <f>IF(OR(B604="",G604=""),"",IF(C604="","Gasto",C604))</f>
        <v/>
      </c>
      <c r="Q604" s="52">
        <f>IF(P604="","",IF(J604&lt;&gt;"",J604,CuentaPred&amp;""))</f>
        <v/>
      </c>
      <c r="R604" s="52">
        <f>IF(P604="","",IF(ISNUMBER(I604),I604,TasaUSD))</f>
        <v/>
      </c>
      <c r="S604" s="53">
        <f>IF(P604="","",IF(H604="USD",G604*R604,G604))</f>
        <v/>
      </c>
      <c r="T604" s="53">
        <f>IF(P604="","",IF(H604="USD",G604,IF(R604&gt;0,G604/R604,0)))</f>
        <v/>
      </c>
      <c r="U604" s="53">
        <f>IF(P604="","",IF(P604="Gasto",S604,IF(P604="Reembolso",-S604,0)))</f>
        <v/>
      </c>
      <c r="V604" s="53">
        <f>IF(P604="","",IF(P604="Ingreso",S604,0))</f>
        <v/>
      </c>
      <c r="W604" s="53">
        <f>IF(P604="","",IF(P604="Resultado trading",S604,0))</f>
        <v/>
      </c>
      <c r="X604" s="52">
        <f>IF(OR(P604="Gasto",P604="Reembolso"),IF(M604&lt;&gt;"",M604,IFERROR(INDEX(catClasif,MATCH(D604&amp;"|"&amp;E604,catClave,0))&amp;"","Variable")),"")</f>
        <v/>
      </c>
      <c r="Y604" s="52">
        <f>IF(P604="","",IFERROR(INDEX(catGrupo,MATCH(D604&amp;"|"&amp;E604,catClave,0))&amp;"",""))</f>
        <v/>
      </c>
      <c r="Z604" s="52">
        <f>IF(P604="","",WEEKDAY(B604,2))</f>
        <v/>
      </c>
      <c r="AA604" s="52">
        <f>IF(P604="","",IF(AND(P604="Gasto",X604="Variable",D604&lt;&gt;catTrading,S604&gt;0,S604&lt;=Umbral),1,0))</f>
        <v/>
      </c>
      <c r="AB604" s="52">
        <f>IF(OR(P604="",Q604=""),"",IFERROR(IF(INDEX(ctaVinc,MATCH(Q604,ctaNombre,0))&amp;""&lt;&gt;"",INDEX(ctaVinc,MATCH(Q604,ctaNombre,0))&amp;"",Q604),Q604))</f>
        <v/>
      </c>
      <c r="AC604" s="52">
        <f>IF(OR(K604="",AND(P604&lt;&gt;"Transferencia",P604&lt;&gt;"Pago tarjeta")),"",IFERROR(IF(INDEX(ctaVinc,MATCH(K604,ctaNombre,0))&amp;""&lt;&gt;"",INDEX(ctaVinc,MATCH(K604,ctaNombre,0))&amp;"",K604),K604))</f>
        <v/>
      </c>
      <c r="AD604" s="52">
        <f>IF(AB604="","",IFERROR(INDEX(ctaTipo,MATCH(AB604,ctaNombre,0))&amp;"",""))</f>
        <v/>
      </c>
      <c r="AE604" s="52">
        <f>IF(AC604="","",IFERROR(INDEX(ctaTipo,MATCH(AC604,ctaNombre,0))&amp;"",""))</f>
        <v/>
      </c>
      <c r="AF604" s="53">
        <f>IF(OR(P604="",AB604=""),"",IF(OR(P604="Gasto",P604="Transferencia",P604="Pago tarjeta"),-1,1)*IF(IFERROR(INDEX(ctaMoneda,MATCH(AB604,ctaNombre,0))&amp;"","DOP")="USD",T604,S604))</f>
        <v/>
      </c>
      <c r="AG604" s="53">
        <f>IF(AC604="","",IF(IFERROR(INDEX(ctaMoneda,MATCH(AC604,ctaNombre,0))&amp;"","DOP")="USD",T604,S604))</f>
        <v/>
      </c>
      <c r="AH604" s="53">
        <f>IF(P604="","",IF(AND(AD604&lt;&gt;"",COUNTIFS(tcTipo,AD604,tcLiq,"Sí")&gt;0),IF(OR(P604="Gasto",P604="Transferencia",P604="Pago tarjeta"),-1,1)*S604,0)+IF(AND(AE604&lt;&gt;"",COUNTIFS(tcTipo,AE604,tcLiq,"Sí")&gt;0),S604,0))</f>
        <v/>
      </c>
      <c r="AI604" s="52">
        <f>IF(OR(L604="",P604=""),"",IF(COUNTIFS(L$6:L604,L604,P$6:P604,"?*")=1,MAX(AI$5:AI603)+1,""))</f>
        <v/>
      </c>
    </row>
    <row r="605">
      <c r="B605" s="47" t="n"/>
      <c r="C605" s="48" t="n"/>
      <c r="D605" s="48" t="n"/>
      <c r="E605" s="48" t="n"/>
      <c r="F605" s="48" t="n"/>
      <c r="G605" s="49" t="n"/>
      <c r="H605" s="48" t="n"/>
      <c r="I605" s="50" t="n"/>
      <c r="J605" s="48" t="n"/>
      <c r="K605" s="48" t="n"/>
      <c r="L605" s="48" t="n"/>
      <c r="M605" s="48" t="n"/>
      <c r="N605" s="48" t="n"/>
      <c r="O605" s="51">
        <f>IF(AND(B605="",G605="",C605="",D605="",J605=""),"",IF(B605="","⚠ Falta fecha",IF(G605="","⚠ Falta monto",IF(Q605="","⚠ Falta cuenta",IF(ISNA(MATCH(Q605,ctaNombre,0)),"⚠ Cuenta no registrada",IF(AND(OR(P605="Gasto",P605="Reembolso"),D605=""),"⚠ Falta categoría",IF(AND(D605&lt;&gt;"",E605&lt;&gt;"",ISNA(MATCH(D605&amp;"|"&amp;E605,catClave,0))),"⚠ Subcategoría no corresponde",IF(AND(OR(P605="Transferencia",P605="Pago tarjeta"),K605=""),"⚠ Falta cuenta destino",IF(AND(K605&lt;&gt;"",P605&lt;&gt;"Transferencia",P605&lt;&gt;"Pago tarjeta"),"⚠ Destino solo aplica a transferencias",IF(AND(K605&lt;&gt;"",K605=Q605),"⚠ Origen igual a destino",IF(AND(K605&lt;&gt;"",ISNA(MATCH(K605,ctaNombre,0))),"⚠ Destino no registrado",IF(AND(P605="Pago tarjeta",AE605&lt;&gt;"Tarjeta de crédito"),"⚠ El destino debe ser tarjeta de crédito",IF(AND(P605="Gasto",E605="Depósitos y retiros"),"⚠ Usa tipo Transferencia",IF(AND(P605="Resultado trading",AD605&lt;&gt;"Cuenta de trading"),"⚠ Usa una cuenta de trading",IF(AND(G605&lt;=0,P605&lt;&gt;"Ajuste",P605&lt;&gt;"Resultado trading"),"⚠ El monto debe ser positivo","✓")))))))))))))))</f>
        <v/>
      </c>
      <c r="P605" s="52">
        <f>IF(OR(B605="",G605=""),"",IF(C605="","Gasto",C605))</f>
        <v/>
      </c>
      <c r="Q605" s="52">
        <f>IF(P605="","",IF(J605&lt;&gt;"",J605,CuentaPred&amp;""))</f>
        <v/>
      </c>
      <c r="R605" s="52">
        <f>IF(P605="","",IF(ISNUMBER(I605),I605,TasaUSD))</f>
        <v/>
      </c>
      <c r="S605" s="53">
        <f>IF(P605="","",IF(H605="USD",G605*R605,G605))</f>
        <v/>
      </c>
      <c r="T605" s="53">
        <f>IF(P605="","",IF(H605="USD",G605,IF(R605&gt;0,G605/R605,0)))</f>
        <v/>
      </c>
      <c r="U605" s="53">
        <f>IF(P605="","",IF(P605="Gasto",S605,IF(P605="Reembolso",-S605,0)))</f>
        <v/>
      </c>
      <c r="V605" s="53">
        <f>IF(P605="","",IF(P605="Ingreso",S605,0))</f>
        <v/>
      </c>
      <c r="W605" s="53">
        <f>IF(P605="","",IF(P605="Resultado trading",S605,0))</f>
        <v/>
      </c>
      <c r="X605" s="52">
        <f>IF(OR(P605="Gasto",P605="Reembolso"),IF(M605&lt;&gt;"",M605,IFERROR(INDEX(catClasif,MATCH(D605&amp;"|"&amp;E605,catClave,0))&amp;"","Variable")),"")</f>
        <v/>
      </c>
      <c r="Y605" s="52">
        <f>IF(P605="","",IFERROR(INDEX(catGrupo,MATCH(D605&amp;"|"&amp;E605,catClave,0))&amp;"",""))</f>
        <v/>
      </c>
      <c r="Z605" s="52">
        <f>IF(P605="","",WEEKDAY(B605,2))</f>
        <v/>
      </c>
      <c r="AA605" s="52">
        <f>IF(P605="","",IF(AND(P605="Gasto",X605="Variable",D605&lt;&gt;catTrading,S605&gt;0,S605&lt;=Umbral),1,0))</f>
        <v/>
      </c>
      <c r="AB605" s="52">
        <f>IF(OR(P605="",Q605=""),"",IFERROR(IF(INDEX(ctaVinc,MATCH(Q605,ctaNombre,0))&amp;""&lt;&gt;"",INDEX(ctaVinc,MATCH(Q605,ctaNombre,0))&amp;"",Q605),Q605))</f>
        <v/>
      </c>
      <c r="AC605" s="52">
        <f>IF(OR(K605="",AND(P605&lt;&gt;"Transferencia",P605&lt;&gt;"Pago tarjeta")),"",IFERROR(IF(INDEX(ctaVinc,MATCH(K605,ctaNombre,0))&amp;""&lt;&gt;"",INDEX(ctaVinc,MATCH(K605,ctaNombre,0))&amp;"",K605),K605))</f>
        <v/>
      </c>
      <c r="AD605" s="52">
        <f>IF(AB605="","",IFERROR(INDEX(ctaTipo,MATCH(AB605,ctaNombre,0))&amp;"",""))</f>
        <v/>
      </c>
      <c r="AE605" s="52">
        <f>IF(AC605="","",IFERROR(INDEX(ctaTipo,MATCH(AC605,ctaNombre,0))&amp;"",""))</f>
        <v/>
      </c>
      <c r="AF605" s="53">
        <f>IF(OR(P605="",AB605=""),"",IF(OR(P605="Gasto",P605="Transferencia",P605="Pago tarjeta"),-1,1)*IF(IFERROR(INDEX(ctaMoneda,MATCH(AB605,ctaNombre,0))&amp;"","DOP")="USD",T605,S605))</f>
        <v/>
      </c>
      <c r="AG605" s="53">
        <f>IF(AC605="","",IF(IFERROR(INDEX(ctaMoneda,MATCH(AC605,ctaNombre,0))&amp;"","DOP")="USD",T605,S605))</f>
        <v/>
      </c>
      <c r="AH605" s="53">
        <f>IF(P605="","",IF(AND(AD605&lt;&gt;"",COUNTIFS(tcTipo,AD605,tcLiq,"Sí")&gt;0),IF(OR(P605="Gasto",P605="Transferencia",P605="Pago tarjeta"),-1,1)*S605,0)+IF(AND(AE605&lt;&gt;"",COUNTIFS(tcTipo,AE605,tcLiq,"Sí")&gt;0),S605,0))</f>
        <v/>
      </c>
      <c r="AI605" s="52">
        <f>IF(OR(L605="",P605=""),"",IF(COUNTIFS(L$6:L605,L605,P$6:P605,"?*")=1,MAX(AI$5:AI604)+1,""))</f>
        <v/>
      </c>
    </row>
    <row r="606">
      <c r="B606" s="47" t="n"/>
      <c r="C606" s="48" t="n"/>
      <c r="D606" s="48" t="n"/>
      <c r="E606" s="48" t="n"/>
      <c r="F606" s="48" t="n"/>
      <c r="G606" s="49" t="n"/>
      <c r="H606" s="48" t="n"/>
      <c r="I606" s="50" t="n"/>
      <c r="J606" s="48" t="n"/>
      <c r="K606" s="48" t="n"/>
      <c r="L606" s="48" t="n"/>
      <c r="M606" s="48" t="n"/>
      <c r="N606" s="48" t="n"/>
      <c r="O606" s="51">
        <f>IF(AND(B606="",G606="",C606="",D606="",J606=""),"",IF(B606="","⚠ Falta fecha",IF(G606="","⚠ Falta monto",IF(Q606="","⚠ Falta cuenta",IF(ISNA(MATCH(Q606,ctaNombre,0)),"⚠ Cuenta no registrada",IF(AND(OR(P606="Gasto",P606="Reembolso"),D606=""),"⚠ Falta categoría",IF(AND(D606&lt;&gt;"",E606&lt;&gt;"",ISNA(MATCH(D606&amp;"|"&amp;E606,catClave,0))),"⚠ Subcategoría no corresponde",IF(AND(OR(P606="Transferencia",P606="Pago tarjeta"),K606=""),"⚠ Falta cuenta destino",IF(AND(K606&lt;&gt;"",P606&lt;&gt;"Transferencia",P606&lt;&gt;"Pago tarjeta"),"⚠ Destino solo aplica a transferencias",IF(AND(K606&lt;&gt;"",K606=Q606),"⚠ Origen igual a destino",IF(AND(K606&lt;&gt;"",ISNA(MATCH(K606,ctaNombre,0))),"⚠ Destino no registrado",IF(AND(P606="Pago tarjeta",AE606&lt;&gt;"Tarjeta de crédito"),"⚠ El destino debe ser tarjeta de crédito",IF(AND(P606="Gasto",E606="Depósitos y retiros"),"⚠ Usa tipo Transferencia",IF(AND(P606="Resultado trading",AD606&lt;&gt;"Cuenta de trading"),"⚠ Usa una cuenta de trading",IF(AND(G606&lt;=0,P606&lt;&gt;"Ajuste",P606&lt;&gt;"Resultado trading"),"⚠ El monto debe ser positivo","✓")))))))))))))))</f>
        <v/>
      </c>
      <c r="P606" s="52">
        <f>IF(OR(B606="",G606=""),"",IF(C606="","Gasto",C606))</f>
        <v/>
      </c>
      <c r="Q606" s="52">
        <f>IF(P606="","",IF(J606&lt;&gt;"",J606,CuentaPred&amp;""))</f>
        <v/>
      </c>
      <c r="R606" s="52">
        <f>IF(P606="","",IF(ISNUMBER(I606),I606,TasaUSD))</f>
        <v/>
      </c>
      <c r="S606" s="53">
        <f>IF(P606="","",IF(H606="USD",G606*R606,G606))</f>
        <v/>
      </c>
      <c r="T606" s="53">
        <f>IF(P606="","",IF(H606="USD",G606,IF(R606&gt;0,G606/R606,0)))</f>
        <v/>
      </c>
      <c r="U606" s="53">
        <f>IF(P606="","",IF(P606="Gasto",S606,IF(P606="Reembolso",-S606,0)))</f>
        <v/>
      </c>
      <c r="V606" s="53">
        <f>IF(P606="","",IF(P606="Ingreso",S606,0))</f>
        <v/>
      </c>
      <c r="W606" s="53">
        <f>IF(P606="","",IF(P606="Resultado trading",S606,0))</f>
        <v/>
      </c>
      <c r="X606" s="52">
        <f>IF(OR(P606="Gasto",P606="Reembolso"),IF(M606&lt;&gt;"",M606,IFERROR(INDEX(catClasif,MATCH(D606&amp;"|"&amp;E606,catClave,0))&amp;"","Variable")),"")</f>
        <v/>
      </c>
      <c r="Y606" s="52">
        <f>IF(P606="","",IFERROR(INDEX(catGrupo,MATCH(D606&amp;"|"&amp;E606,catClave,0))&amp;"",""))</f>
        <v/>
      </c>
      <c r="Z606" s="52">
        <f>IF(P606="","",WEEKDAY(B606,2))</f>
        <v/>
      </c>
      <c r="AA606" s="52">
        <f>IF(P606="","",IF(AND(P606="Gasto",X606="Variable",D606&lt;&gt;catTrading,S606&gt;0,S606&lt;=Umbral),1,0))</f>
        <v/>
      </c>
      <c r="AB606" s="52">
        <f>IF(OR(P606="",Q606=""),"",IFERROR(IF(INDEX(ctaVinc,MATCH(Q606,ctaNombre,0))&amp;""&lt;&gt;"",INDEX(ctaVinc,MATCH(Q606,ctaNombre,0))&amp;"",Q606),Q606))</f>
        <v/>
      </c>
      <c r="AC606" s="52">
        <f>IF(OR(K606="",AND(P606&lt;&gt;"Transferencia",P606&lt;&gt;"Pago tarjeta")),"",IFERROR(IF(INDEX(ctaVinc,MATCH(K606,ctaNombre,0))&amp;""&lt;&gt;"",INDEX(ctaVinc,MATCH(K606,ctaNombre,0))&amp;"",K606),K606))</f>
        <v/>
      </c>
      <c r="AD606" s="52">
        <f>IF(AB606="","",IFERROR(INDEX(ctaTipo,MATCH(AB606,ctaNombre,0))&amp;"",""))</f>
        <v/>
      </c>
      <c r="AE606" s="52">
        <f>IF(AC606="","",IFERROR(INDEX(ctaTipo,MATCH(AC606,ctaNombre,0))&amp;"",""))</f>
        <v/>
      </c>
      <c r="AF606" s="53">
        <f>IF(OR(P606="",AB606=""),"",IF(OR(P606="Gasto",P606="Transferencia",P606="Pago tarjeta"),-1,1)*IF(IFERROR(INDEX(ctaMoneda,MATCH(AB606,ctaNombre,0))&amp;"","DOP")="USD",T606,S606))</f>
        <v/>
      </c>
      <c r="AG606" s="53">
        <f>IF(AC606="","",IF(IFERROR(INDEX(ctaMoneda,MATCH(AC606,ctaNombre,0))&amp;"","DOP")="USD",T606,S606))</f>
        <v/>
      </c>
      <c r="AH606" s="53">
        <f>IF(P606="","",IF(AND(AD606&lt;&gt;"",COUNTIFS(tcTipo,AD606,tcLiq,"Sí")&gt;0),IF(OR(P606="Gasto",P606="Transferencia",P606="Pago tarjeta"),-1,1)*S606,0)+IF(AND(AE606&lt;&gt;"",COUNTIFS(tcTipo,AE606,tcLiq,"Sí")&gt;0),S606,0))</f>
        <v/>
      </c>
      <c r="AI606" s="52">
        <f>IF(OR(L606="",P606=""),"",IF(COUNTIFS(L$6:L606,L606,P$6:P606,"?*")=1,MAX(AI$5:AI605)+1,""))</f>
        <v/>
      </c>
    </row>
    <row r="607">
      <c r="B607" s="47" t="n"/>
      <c r="C607" s="48" t="n"/>
      <c r="D607" s="48" t="n"/>
      <c r="E607" s="48" t="n"/>
      <c r="F607" s="48" t="n"/>
      <c r="G607" s="49" t="n"/>
      <c r="H607" s="48" t="n"/>
      <c r="I607" s="50" t="n"/>
      <c r="J607" s="48" t="n"/>
      <c r="K607" s="48" t="n"/>
      <c r="L607" s="48" t="n"/>
      <c r="M607" s="48" t="n"/>
      <c r="N607" s="48" t="n"/>
      <c r="O607" s="51">
        <f>IF(AND(B607="",G607="",C607="",D607="",J607=""),"",IF(B607="","⚠ Falta fecha",IF(G607="","⚠ Falta monto",IF(Q607="","⚠ Falta cuenta",IF(ISNA(MATCH(Q607,ctaNombre,0)),"⚠ Cuenta no registrada",IF(AND(OR(P607="Gasto",P607="Reembolso"),D607=""),"⚠ Falta categoría",IF(AND(D607&lt;&gt;"",E607&lt;&gt;"",ISNA(MATCH(D607&amp;"|"&amp;E607,catClave,0))),"⚠ Subcategoría no corresponde",IF(AND(OR(P607="Transferencia",P607="Pago tarjeta"),K607=""),"⚠ Falta cuenta destino",IF(AND(K607&lt;&gt;"",P607&lt;&gt;"Transferencia",P607&lt;&gt;"Pago tarjeta"),"⚠ Destino solo aplica a transferencias",IF(AND(K607&lt;&gt;"",K607=Q607),"⚠ Origen igual a destino",IF(AND(K607&lt;&gt;"",ISNA(MATCH(K607,ctaNombre,0))),"⚠ Destino no registrado",IF(AND(P607="Pago tarjeta",AE607&lt;&gt;"Tarjeta de crédito"),"⚠ El destino debe ser tarjeta de crédito",IF(AND(P607="Gasto",E607="Depósitos y retiros"),"⚠ Usa tipo Transferencia",IF(AND(P607="Resultado trading",AD607&lt;&gt;"Cuenta de trading"),"⚠ Usa una cuenta de trading",IF(AND(G607&lt;=0,P607&lt;&gt;"Ajuste",P607&lt;&gt;"Resultado trading"),"⚠ El monto debe ser positivo","✓")))))))))))))))</f>
        <v/>
      </c>
      <c r="P607" s="52">
        <f>IF(OR(B607="",G607=""),"",IF(C607="","Gasto",C607))</f>
        <v/>
      </c>
      <c r="Q607" s="52">
        <f>IF(P607="","",IF(J607&lt;&gt;"",J607,CuentaPred&amp;""))</f>
        <v/>
      </c>
      <c r="R607" s="52">
        <f>IF(P607="","",IF(ISNUMBER(I607),I607,TasaUSD))</f>
        <v/>
      </c>
      <c r="S607" s="53">
        <f>IF(P607="","",IF(H607="USD",G607*R607,G607))</f>
        <v/>
      </c>
      <c r="T607" s="53">
        <f>IF(P607="","",IF(H607="USD",G607,IF(R607&gt;0,G607/R607,0)))</f>
        <v/>
      </c>
      <c r="U607" s="53">
        <f>IF(P607="","",IF(P607="Gasto",S607,IF(P607="Reembolso",-S607,0)))</f>
        <v/>
      </c>
      <c r="V607" s="53">
        <f>IF(P607="","",IF(P607="Ingreso",S607,0))</f>
        <v/>
      </c>
      <c r="W607" s="53">
        <f>IF(P607="","",IF(P607="Resultado trading",S607,0))</f>
        <v/>
      </c>
      <c r="X607" s="52">
        <f>IF(OR(P607="Gasto",P607="Reembolso"),IF(M607&lt;&gt;"",M607,IFERROR(INDEX(catClasif,MATCH(D607&amp;"|"&amp;E607,catClave,0))&amp;"","Variable")),"")</f>
        <v/>
      </c>
      <c r="Y607" s="52">
        <f>IF(P607="","",IFERROR(INDEX(catGrupo,MATCH(D607&amp;"|"&amp;E607,catClave,0))&amp;"",""))</f>
        <v/>
      </c>
      <c r="Z607" s="52">
        <f>IF(P607="","",WEEKDAY(B607,2))</f>
        <v/>
      </c>
      <c r="AA607" s="52">
        <f>IF(P607="","",IF(AND(P607="Gasto",X607="Variable",D607&lt;&gt;catTrading,S607&gt;0,S607&lt;=Umbral),1,0))</f>
        <v/>
      </c>
      <c r="AB607" s="52">
        <f>IF(OR(P607="",Q607=""),"",IFERROR(IF(INDEX(ctaVinc,MATCH(Q607,ctaNombre,0))&amp;""&lt;&gt;"",INDEX(ctaVinc,MATCH(Q607,ctaNombre,0))&amp;"",Q607),Q607))</f>
        <v/>
      </c>
      <c r="AC607" s="52">
        <f>IF(OR(K607="",AND(P607&lt;&gt;"Transferencia",P607&lt;&gt;"Pago tarjeta")),"",IFERROR(IF(INDEX(ctaVinc,MATCH(K607,ctaNombre,0))&amp;""&lt;&gt;"",INDEX(ctaVinc,MATCH(K607,ctaNombre,0))&amp;"",K607),K607))</f>
        <v/>
      </c>
      <c r="AD607" s="52">
        <f>IF(AB607="","",IFERROR(INDEX(ctaTipo,MATCH(AB607,ctaNombre,0))&amp;"",""))</f>
        <v/>
      </c>
      <c r="AE607" s="52">
        <f>IF(AC607="","",IFERROR(INDEX(ctaTipo,MATCH(AC607,ctaNombre,0))&amp;"",""))</f>
        <v/>
      </c>
      <c r="AF607" s="53">
        <f>IF(OR(P607="",AB607=""),"",IF(OR(P607="Gasto",P607="Transferencia",P607="Pago tarjeta"),-1,1)*IF(IFERROR(INDEX(ctaMoneda,MATCH(AB607,ctaNombre,0))&amp;"","DOP")="USD",T607,S607))</f>
        <v/>
      </c>
      <c r="AG607" s="53">
        <f>IF(AC607="","",IF(IFERROR(INDEX(ctaMoneda,MATCH(AC607,ctaNombre,0))&amp;"","DOP")="USD",T607,S607))</f>
        <v/>
      </c>
      <c r="AH607" s="53">
        <f>IF(P607="","",IF(AND(AD607&lt;&gt;"",COUNTIFS(tcTipo,AD607,tcLiq,"Sí")&gt;0),IF(OR(P607="Gasto",P607="Transferencia",P607="Pago tarjeta"),-1,1)*S607,0)+IF(AND(AE607&lt;&gt;"",COUNTIFS(tcTipo,AE607,tcLiq,"Sí")&gt;0),S607,0))</f>
        <v/>
      </c>
      <c r="AI607" s="52">
        <f>IF(OR(L607="",P607=""),"",IF(COUNTIFS(L$6:L607,L607,P$6:P607,"?*")=1,MAX(AI$5:AI606)+1,""))</f>
        <v/>
      </c>
    </row>
    <row r="608">
      <c r="B608" s="47" t="n"/>
      <c r="C608" s="48" t="n"/>
      <c r="D608" s="48" t="n"/>
      <c r="E608" s="48" t="n"/>
      <c r="F608" s="48" t="n"/>
      <c r="G608" s="49" t="n"/>
      <c r="H608" s="48" t="n"/>
      <c r="I608" s="50" t="n"/>
      <c r="J608" s="48" t="n"/>
      <c r="K608" s="48" t="n"/>
      <c r="L608" s="48" t="n"/>
      <c r="M608" s="48" t="n"/>
      <c r="N608" s="48" t="n"/>
      <c r="O608" s="51">
        <f>IF(AND(B608="",G608="",C608="",D608="",J608=""),"",IF(B608="","⚠ Falta fecha",IF(G608="","⚠ Falta monto",IF(Q608="","⚠ Falta cuenta",IF(ISNA(MATCH(Q608,ctaNombre,0)),"⚠ Cuenta no registrada",IF(AND(OR(P608="Gasto",P608="Reembolso"),D608=""),"⚠ Falta categoría",IF(AND(D608&lt;&gt;"",E608&lt;&gt;"",ISNA(MATCH(D608&amp;"|"&amp;E608,catClave,0))),"⚠ Subcategoría no corresponde",IF(AND(OR(P608="Transferencia",P608="Pago tarjeta"),K608=""),"⚠ Falta cuenta destino",IF(AND(K608&lt;&gt;"",P608&lt;&gt;"Transferencia",P608&lt;&gt;"Pago tarjeta"),"⚠ Destino solo aplica a transferencias",IF(AND(K608&lt;&gt;"",K608=Q608),"⚠ Origen igual a destino",IF(AND(K608&lt;&gt;"",ISNA(MATCH(K608,ctaNombre,0))),"⚠ Destino no registrado",IF(AND(P608="Pago tarjeta",AE608&lt;&gt;"Tarjeta de crédito"),"⚠ El destino debe ser tarjeta de crédito",IF(AND(P608="Gasto",E608="Depósitos y retiros"),"⚠ Usa tipo Transferencia",IF(AND(P608="Resultado trading",AD608&lt;&gt;"Cuenta de trading"),"⚠ Usa una cuenta de trading",IF(AND(G608&lt;=0,P608&lt;&gt;"Ajuste",P608&lt;&gt;"Resultado trading"),"⚠ El monto debe ser positivo","✓")))))))))))))))</f>
        <v/>
      </c>
      <c r="P608" s="52">
        <f>IF(OR(B608="",G608=""),"",IF(C608="","Gasto",C608))</f>
        <v/>
      </c>
      <c r="Q608" s="52">
        <f>IF(P608="","",IF(J608&lt;&gt;"",J608,CuentaPred&amp;""))</f>
        <v/>
      </c>
      <c r="R608" s="52">
        <f>IF(P608="","",IF(ISNUMBER(I608),I608,TasaUSD))</f>
        <v/>
      </c>
      <c r="S608" s="53">
        <f>IF(P608="","",IF(H608="USD",G608*R608,G608))</f>
        <v/>
      </c>
      <c r="T608" s="53">
        <f>IF(P608="","",IF(H608="USD",G608,IF(R608&gt;0,G608/R608,0)))</f>
        <v/>
      </c>
      <c r="U608" s="53">
        <f>IF(P608="","",IF(P608="Gasto",S608,IF(P608="Reembolso",-S608,0)))</f>
        <v/>
      </c>
      <c r="V608" s="53">
        <f>IF(P608="","",IF(P608="Ingreso",S608,0))</f>
        <v/>
      </c>
      <c r="W608" s="53">
        <f>IF(P608="","",IF(P608="Resultado trading",S608,0))</f>
        <v/>
      </c>
      <c r="X608" s="52">
        <f>IF(OR(P608="Gasto",P608="Reembolso"),IF(M608&lt;&gt;"",M608,IFERROR(INDEX(catClasif,MATCH(D608&amp;"|"&amp;E608,catClave,0))&amp;"","Variable")),"")</f>
        <v/>
      </c>
      <c r="Y608" s="52">
        <f>IF(P608="","",IFERROR(INDEX(catGrupo,MATCH(D608&amp;"|"&amp;E608,catClave,0))&amp;"",""))</f>
        <v/>
      </c>
      <c r="Z608" s="52">
        <f>IF(P608="","",WEEKDAY(B608,2))</f>
        <v/>
      </c>
      <c r="AA608" s="52">
        <f>IF(P608="","",IF(AND(P608="Gasto",X608="Variable",D608&lt;&gt;catTrading,S608&gt;0,S608&lt;=Umbral),1,0))</f>
        <v/>
      </c>
      <c r="AB608" s="52">
        <f>IF(OR(P608="",Q608=""),"",IFERROR(IF(INDEX(ctaVinc,MATCH(Q608,ctaNombre,0))&amp;""&lt;&gt;"",INDEX(ctaVinc,MATCH(Q608,ctaNombre,0))&amp;"",Q608),Q608))</f>
        <v/>
      </c>
      <c r="AC608" s="52">
        <f>IF(OR(K608="",AND(P608&lt;&gt;"Transferencia",P608&lt;&gt;"Pago tarjeta")),"",IFERROR(IF(INDEX(ctaVinc,MATCH(K608,ctaNombre,0))&amp;""&lt;&gt;"",INDEX(ctaVinc,MATCH(K608,ctaNombre,0))&amp;"",K608),K608))</f>
        <v/>
      </c>
      <c r="AD608" s="52">
        <f>IF(AB608="","",IFERROR(INDEX(ctaTipo,MATCH(AB608,ctaNombre,0))&amp;"",""))</f>
        <v/>
      </c>
      <c r="AE608" s="52">
        <f>IF(AC608="","",IFERROR(INDEX(ctaTipo,MATCH(AC608,ctaNombre,0))&amp;"",""))</f>
        <v/>
      </c>
      <c r="AF608" s="53">
        <f>IF(OR(P608="",AB608=""),"",IF(OR(P608="Gasto",P608="Transferencia",P608="Pago tarjeta"),-1,1)*IF(IFERROR(INDEX(ctaMoneda,MATCH(AB608,ctaNombre,0))&amp;"","DOP")="USD",T608,S608))</f>
        <v/>
      </c>
      <c r="AG608" s="53">
        <f>IF(AC608="","",IF(IFERROR(INDEX(ctaMoneda,MATCH(AC608,ctaNombre,0))&amp;"","DOP")="USD",T608,S608))</f>
        <v/>
      </c>
      <c r="AH608" s="53">
        <f>IF(P608="","",IF(AND(AD608&lt;&gt;"",COUNTIFS(tcTipo,AD608,tcLiq,"Sí")&gt;0),IF(OR(P608="Gasto",P608="Transferencia",P608="Pago tarjeta"),-1,1)*S608,0)+IF(AND(AE608&lt;&gt;"",COUNTIFS(tcTipo,AE608,tcLiq,"Sí")&gt;0),S608,0))</f>
        <v/>
      </c>
      <c r="AI608" s="52">
        <f>IF(OR(L608="",P608=""),"",IF(COUNTIFS(L$6:L608,L608,P$6:P608,"?*")=1,MAX(AI$5:AI607)+1,""))</f>
        <v/>
      </c>
    </row>
    <row r="609">
      <c r="B609" s="47" t="n"/>
      <c r="C609" s="48" t="n"/>
      <c r="D609" s="48" t="n"/>
      <c r="E609" s="48" t="n"/>
      <c r="F609" s="48" t="n"/>
      <c r="G609" s="49" t="n"/>
      <c r="H609" s="48" t="n"/>
      <c r="I609" s="50" t="n"/>
      <c r="J609" s="48" t="n"/>
      <c r="K609" s="48" t="n"/>
      <c r="L609" s="48" t="n"/>
      <c r="M609" s="48" t="n"/>
      <c r="N609" s="48" t="n"/>
      <c r="O609" s="51">
        <f>IF(AND(B609="",G609="",C609="",D609="",J609=""),"",IF(B609="","⚠ Falta fecha",IF(G609="","⚠ Falta monto",IF(Q609="","⚠ Falta cuenta",IF(ISNA(MATCH(Q609,ctaNombre,0)),"⚠ Cuenta no registrada",IF(AND(OR(P609="Gasto",P609="Reembolso"),D609=""),"⚠ Falta categoría",IF(AND(D609&lt;&gt;"",E609&lt;&gt;"",ISNA(MATCH(D609&amp;"|"&amp;E609,catClave,0))),"⚠ Subcategoría no corresponde",IF(AND(OR(P609="Transferencia",P609="Pago tarjeta"),K609=""),"⚠ Falta cuenta destino",IF(AND(K609&lt;&gt;"",P609&lt;&gt;"Transferencia",P609&lt;&gt;"Pago tarjeta"),"⚠ Destino solo aplica a transferencias",IF(AND(K609&lt;&gt;"",K609=Q609),"⚠ Origen igual a destino",IF(AND(K609&lt;&gt;"",ISNA(MATCH(K609,ctaNombre,0))),"⚠ Destino no registrado",IF(AND(P609="Pago tarjeta",AE609&lt;&gt;"Tarjeta de crédito"),"⚠ El destino debe ser tarjeta de crédito",IF(AND(P609="Gasto",E609="Depósitos y retiros"),"⚠ Usa tipo Transferencia",IF(AND(P609="Resultado trading",AD609&lt;&gt;"Cuenta de trading"),"⚠ Usa una cuenta de trading",IF(AND(G609&lt;=0,P609&lt;&gt;"Ajuste",P609&lt;&gt;"Resultado trading"),"⚠ El monto debe ser positivo","✓")))))))))))))))</f>
        <v/>
      </c>
      <c r="P609" s="52">
        <f>IF(OR(B609="",G609=""),"",IF(C609="","Gasto",C609))</f>
        <v/>
      </c>
      <c r="Q609" s="52">
        <f>IF(P609="","",IF(J609&lt;&gt;"",J609,CuentaPred&amp;""))</f>
        <v/>
      </c>
      <c r="R609" s="52">
        <f>IF(P609="","",IF(ISNUMBER(I609),I609,TasaUSD))</f>
        <v/>
      </c>
      <c r="S609" s="53">
        <f>IF(P609="","",IF(H609="USD",G609*R609,G609))</f>
        <v/>
      </c>
      <c r="T609" s="53">
        <f>IF(P609="","",IF(H609="USD",G609,IF(R609&gt;0,G609/R609,0)))</f>
        <v/>
      </c>
      <c r="U609" s="53">
        <f>IF(P609="","",IF(P609="Gasto",S609,IF(P609="Reembolso",-S609,0)))</f>
        <v/>
      </c>
      <c r="V609" s="53">
        <f>IF(P609="","",IF(P609="Ingreso",S609,0))</f>
        <v/>
      </c>
      <c r="W609" s="53">
        <f>IF(P609="","",IF(P609="Resultado trading",S609,0))</f>
        <v/>
      </c>
      <c r="X609" s="52">
        <f>IF(OR(P609="Gasto",P609="Reembolso"),IF(M609&lt;&gt;"",M609,IFERROR(INDEX(catClasif,MATCH(D609&amp;"|"&amp;E609,catClave,0))&amp;"","Variable")),"")</f>
        <v/>
      </c>
      <c r="Y609" s="52">
        <f>IF(P609="","",IFERROR(INDEX(catGrupo,MATCH(D609&amp;"|"&amp;E609,catClave,0))&amp;"",""))</f>
        <v/>
      </c>
      <c r="Z609" s="52">
        <f>IF(P609="","",WEEKDAY(B609,2))</f>
        <v/>
      </c>
      <c r="AA609" s="52">
        <f>IF(P609="","",IF(AND(P609="Gasto",X609="Variable",D609&lt;&gt;catTrading,S609&gt;0,S609&lt;=Umbral),1,0))</f>
        <v/>
      </c>
      <c r="AB609" s="52">
        <f>IF(OR(P609="",Q609=""),"",IFERROR(IF(INDEX(ctaVinc,MATCH(Q609,ctaNombre,0))&amp;""&lt;&gt;"",INDEX(ctaVinc,MATCH(Q609,ctaNombre,0))&amp;"",Q609),Q609))</f>
        <v/>
      </c>
      <c r="AC609" s="52">
        <f>IF(OR(K609="",AND(P609&lt;&gt;"Transferencia",P609&lt;&gt;"Pago tarjeta")),"",IFERROR(IF(INDEX(ctaVinc,MATCH(K609,ctaNombre,0))&amp;""&lt;&gt;"",INDEX(ctaVinc,MATCH(K609,ctaNombre,0))&amp;"",K609),K609))</f>
        <v/>
      </c>
      <c r="AD609" s="52">
        <f>IF(AB609="","",IFERROR(INDEX(ctaTipo,MATCH(AB609,ctaNombre,0))&amp;"",""))</f>
        <v/>
      </c>
      <c r="AE609" s="52">
        <f>IF(AC609="","",IFERROR(INDEX(ctaTipo,MATCH(AC609,ctaNombre,0))&amp;"",""))</f>
        <v/>
      </c>
      <c r="AF609" s="53">
        <f>IF(OR(P609="",AB609=""),"",IF(OR(P609="Gasto",P609="Transferencia",P609="Pago tarjeta"),-1,1)*IF(IFERROR(INDEX(ctaMoneda,MATCH(AB609,ctaNombre,0))&amp;"","DOP")="USD",T609,S609))</f>
        <v/>
      </c>
      <c r="AG609" s="53">
        <f>IF(AC609="","",IF(IFERROR(INDEX(ctaMoneda,MATCH(AC609,ctaNombre,0))&amp;"","DOP")="USD",T609,S609))</f>
        <v/>
      </c>
      <c r="AH609" s="53">
        <f>IF(P609="","",IF(AND(AD609&lt;&gt;"",COUNTIFS(tcTipo,AD609,tcLiq,"Sí")&gt;0),IF(OR(P609="Gasto",P609="Transferencia",P609="Pago tarjeta"),-1,1)*S609,0)+IF(AND(AE609&lt;&gt;"",COUNTIFS(tcTipo,AE609,tcLiq,"Sí")&gt;0),S609,0))</f>
        <v/>
      </c>
      <c r="AI609" s="52">
        <f>IF(OR(L609="",P609=""),"",IF(COUNTIFS(L$6:L609,L609,P$6:P609,"?*")=1,MAX(AI$5:AI608)+1,""))</f>
        <v/>
      </c>
    </row>
    <row r="610">
      <c r="B610" s="47" t="n"/>
      <c r="C610" s="48" t="n"/>
      <c r="D610" s="48" t="n"/>
      <c r="E610" s="48" t="n"/>
      <c r="F610" s="48" t="n"/>
      <c r="G610" s="49" t="n"/>
      <c r="H610" s="48" t="n"/>
      <c r="I610" s="50" t="n"/>
      <c r="J610" s="48" t="n"/>
      <c r="K610" s="48" t="n"/>
      <c r="L610" s="48" t="n"/>
      <c r="M610" s="48" t="n"/>
      <c r="N610" s="48" t="n"/>
      <c r="O610" s="51">
        <f>IF(AND(B610="",G610="",C610="",D610="",J610=""),"",IF(B610="","⚠ Falta fecha",IF(G610="","⚠ Falta monto",IF(Q610="","⚠ Falta cuenta",IF(ISNA(MATCH(Q610,ctaNombre,0)),"⚠ Cuenta no registrada",IF(AND(OR(P610="Gasto",P610="Reembolso"),D610=""),"⚠ Falta categoría",IF(AND(D610&lt;&gt;"",E610&lt;&gt;"",ISNA(MATCH(D610&amp;"|"&amp;E610,catClave,0))),"⚠ Subcategoría no corresponde",IF(AND(OR(P610="Transferencia",P610="Pago tarjeta"),K610=""),"⚠ Falta cuenta destino",IF(AND(K610&lt;&gt;"",P610&lt;&gt;"Transferencia",P610&lt;&gt;"Pago tarjeta"),"⚠ Destino solo aplica a transferencias",IF(AND(K610&lt;&gt;"",K610=Q610),"⚠ Origen igual a destino",IF(AND(K610&lt;&gt;"",ISNA(MATCH(K610,ctaNombre,0))),"⚠ Destino no registrado",IF(AND(P610="Pago tarjeta",AE610&lt;&gt;"Tarjeta de crédito"),"⚠ El destino debe ser tarjeta de crédito",IF(AND(P610="Gasto",E610="Depósitos y retiros"),"⚠ Usa tipo Transferencia",IF(AND(P610="Resultado trading",AD610&lt;&gt;"Cuenta de trading"),"⚠ Usa una cuenta de trading",IF(AND(G610&lt;=0,P610&lt;&gt;"Ajuste",P610&lt;&gt;"Resultado trading"),"⚠ El monto debe ser positivo","✓")))))))))))))))</f>
        <v/>
      </c>
      <c r="P610" s="52">
        <f>IF(OR(B610="",G610=""),"",IF(C610="","Gasto",C610))</f>
        <v/>
      </c>
      <c r="Q610" s="52">
        <f>IF(P610="","",IF(J610&lt;&gt;"",J610,CuentaPred&amp;""))</f>
        <v/>
      </c>
      <c r="R610" s="52">
        <f>IF(P610="","",IF(ISNUMBER(I610),I610,TasaUSD))</f>
        <v/>
      </c>
      <c r="S610" s="53">
        <f>IF(P610="","",IF(H610="USD",G610*R610,G610))</f>
        <v/>
      </c>
      <c r="T610" s="53">
        <f>IF(P610="","",IF(H610="USD",G610,IF(R610&gt;0,G610/R610,0)))</f>
        <v/>
      </c>
      <c r="U610" s="53">
        <f>IF(P610="","",IF(P610="Gasto",S610,IF(P610="Reembolso",-S610,0)))</f>
        <v/>
      </c>
      <c r="V610" s="53">
        <f>IF(P610="","",IF(P610="Ingreso",S610,0))</f>
        <v/>
      </c>
      <c r="W610" s="53">
        <f>IF(P610="","",IF(P610="Resultado trading",S610,0))</f>
        <v/>
      </c>
      <c r="X610" s="52">
        <f>IF(OR(P610="Gasto",P610="Reembolso"),IF(M610&lt;&gt;"",M610,IFERROR(INDEX(catClasif,MATCH(D610&amp;"|"&amp;E610,catClave,0))&amp;"","Variable")),"")</f>
        <v/>
      </c>
      <c r="Y610" s="52">
        <f>IF(P610="","",IFERROR(INDEX(catGrupo,MATCH(D610&amp;"|"&amp;E610,catClave,0))&amp;"",""))</f>
        <v/>
      </c>
      <c r="Z610" s="52">
        <f>IF(P610="","",WEEKDAY(B610,2))</f>
        <v/>
      </c>
      <c r="AA610" s="52">
        <f>IF(P610="","",IF(AND(P610="Gasto",X610="Variable",D610&lt;&gt;catTrading,S610&gt;0,S610&lt;=Umbral),1,0))</f>
        <v/>
      </c>
      <c r="AB610" s="52">
        <f>IF(OR(P610="",Q610=""),"",IFERROR(IF(INDEX(ctaVinc,MATCH(Q610,ctaNombre,0))&amp;""&lt;&gt;"",INDEX(ctaVinc,MATCH(Q610,ctaNombre,0))&amp;"",Q610),Q610))</f>
        <v/>
      </c>
      <c r="AC610" s="52">
        <f>IF(OR(K610="",AND(P610&lt;&gt;"Transferencia",P610&lt;&gt;"Pago tarjeta")),"",IFERROR(IF(INDEX(ctaVinc,MATCH(K610,ctaNombre,0))&amp;""&lt;&gt;"",INDEX(ctaVinc,MATCH(K610,ctaNombre,0))&amp;"",K610),K610))</f>
        <v/>
      </c>
      <c r="AD610" s="52">
        <f>IF(AB610="","",IFERROR(INDEX(ctaTipo,MATCH(AB610,ctaNombre,0))&amp;"",""))</f>
        <v/>
      </c>
      <c r="AE610" s="52">
        <f>IF(AC610="","",IFERROR(INDEX(ctaTipo,MATCH(AC610,ctaNombre,0))&amp;"",""))</f>
        <v/>
      </c>
      <c r="AF610" s="53">
        <f>IF(OR(P610="",AB610=""),"",IF(OR(P610="Gasto",P610="Transferencia",P610="Pago tarjeta"),-1,1)*IF(IFERROR(INDEX(ctaMoneda,MATCH(AB610,ctaNombre,0))&amp;"","DOP")="USD",T610,S610))</f>
        <v/>
      </c>
      <c r="AG610" s="53">
        <f>IF(AC610="","",IF(IFERROR(INDEX(ctaMoneda,MATCH(AC610,ctaNombre,0))&amp;"","DOP")="USD",T610,S610))</f>
        <v/>
      </c>
      <c r="AH610" s="53">
        <f>IF(P610="","",IF(AND(AD610&lt;&gt;"",COUNTIFS(tcTipo,AD610,tcLiq,"Sí")&gt;0),IF(OR(P610="Gasto",P610="Transferencia",P610="Pago tarjeta"),-1,1)*S610,0)+IF(AND(AE610&lt;&gt;"",COUNTIFS(tcTipo,AE610,tcLiq,"Sí")&gt;0),S610,0))</f>
        <v/>
      </c>
      <c r="AI610" s="52">
        <f>IF(OR(L610="",P610=""),"",IF(COUNTIFS(L$6:L610,L610,P$6:P610,"?*")=1,MAX(AI$5:AI609)+1,""))</f>
        <v/>
      </c>
    </row>
    <row r="611">
      <c r="B611" s="47" t="n"/>
      <c r="C611" s="48" t="n"/>
      <c r="D611" s="48" t="n"/>
      <c r="E611" s="48" t="n"/>
      <c r="F611" s="48" t="n"/>
      <c r="G611" s="49" t="n"/>
      <c r="H611" s="48" t="n"/>
      <c r="I611" s="50" t="n"/>
      <c r="J611" s="48" t="n"/>
      <c r="K611" s="48" t="n"/>
      <c r="L611" s="48" t="n"/>
      <c r="M611" s="48" t="n"/>
      <c r="N611" s="48" t="n"/>
      <c r="O611" s="51">
        <f>IF(AND(B611="",G611="",C611="",D611="",J611=""),"",IF(B611="","⚠ Falta fecha",IF(G611="","⚠ Falta monto",IF(Q611="","⚠ Falta cuenta",IF(ISNA(MATCH(Q611,ctaNombre,0)),"⚠ Cuenta no registrada",IF(AND(OR(P611="Gasto",P611="Reembolso"),D611=""),"⚠ Falta categoría",IF(AND(D611&lt;&gt;"",E611&lt;&gt;"",ISNA(MATCH(D611&amp;"|"&amp;E611,catClave,0))),"⚠ Subcategoría no corresponde",IF(AND(OR(P611="Transferencia",P611="Pago tarjeta"),K611=""),"⚠ Falta cuenta destino",IF(AND(K611&lt;&gt;"",P611&lt;&gt;"Transferencia",P611&lt;&gt;"Pago tarjeta"),"⚠ Destino solo aplica a transferencias",IF(AND(K611&lt;&gt;"",K611=Q611),"⚠ Origen igual a destino",IF(AND(K611&lt;&gt;"",ISNA(MATCH(K611,ctaNombre,0))),"⚠ Destino no registrado",IF(AND(P611="Pago tarjeta",AE611&lt;&gt;"Tarjeta de crédito"),"⚠ El destino debe ser tarjeta de crédito",IF(AND(P611="Gasto",E611="Depósitos y retiros"),"⚠ Usa tipo Transferencia",IF(AND(P611="Resultado trading",AD611&lt;&gt;"Cuenta de trading"),"⚠ Usa una cuenta de trading",IF(AND(G611&lt;=0,P611&lt;&gt;"Ajuste",P611&lt;&gt;"Resultado trading"),"⚠ El monto debe ser positivo","✓")))))))))))))))</f>
        <v/>
      </c>
      <c r="P611" s="52">
        <f>IF(OR(B611="",G611=""),"",IF(C611="","Gasto",C611))</f>
        <v/>
      </c>
      <c r="Q611" s="52">
        <f>IF(P611="","",IF(J611&lt;&gt;"",J611,CuentaPred&amp;""))</f>
        <v/>
      </c>
      <c r="R611" s="52">
        <f>IF(P611="","",IF(ISNUMBER(I611),I611,TasaUSD))</f>
        <v/>
      </c>
      <c r="S611" s="53">
        <f>IF(P611="","",IF(H611="USD",G611*R611,G611))</f>
        <v/>
      </c>
      <c r="T611" s="53">
        <f>IF(P611="","",IF(H611="USD",G611,IF(R611&gt;0,G611/R611,0)))</f>
        <v/>
      </c>
      <c r="U611" s="53">
        <f>IF(P611="","",IF(P611="Gasto",S611,IF(P611="Reembolso",-S611,0)))</f>
        <v/>
      </c>
      <c r="V611" s="53">
        <f>IF(P611="","",IF(P611="Ingreso",S611,0))</f>
        <v/>
      </c>
      <c r="W611" s="53">
        <f>IF(P611="","",IF(P611="Resultado trading",S611,0))</f>
        <v/>
      </c>
      <c r="X611" s="52">
        <f>IF(OR(P611="Gasto",P611="Reembolso"),IF(M611&lt;&gt;"",M611,IFERROR(INDEX(catClasif,MATCH(D611&amp;"|"&amp;E611,catClave,0))&amp;"","Variable")),"")</f>
        <v/>
      </c>
      <c r="Y611" s="52">
        <f>IF(P611="","",IFERROR(INDEX(catGrupo,MATCH(D611&amp;"|"&amp;E611,catClave,0))&amp;"",""))</f>
        <v/>
      </c>
      <c r="Z611" s="52">
        <f>IF(P611="","",WEEKDAY(B611,2))</f>
        <v/>
      </c>
      <c r="AA611" s="52">
        <f>IF(P611="","",IF(AND(P611="Gasto",X611="Variable",D611&lt;&gt;catTrading,S611&gt;0,S611&lt;=Umbral),1,0))</f>
        <v/>
      </c>
      <c r="AB611" s="52">
        <f>IF(OR(P611="",Q611=""),"",IFERROR(IF(INDEX(ctaVinc,MATCH(Q611,ctaNombre,0))&amp;""&lt;&gt;"",INDEX(ctaVinc,MATCH(Q611,ctaNombre,0))&amp;"",Q611),Q611))</f>
        <v/>
      </c>
      <c r="AC611" s="52">
        <f>IF(OR(K611="",AND(P611&lt;&gt;"Transferencia",P611&lt;&gt;"Pago tarjeta")),"",IFERROR(IF(INDEX(ctaVinc,MATCH(K611,ctaNombre,0))&amp;""&lt;&gt;"",INDEX(ctaVinc,MATCH(K611,ctaNombre,0))&amp;"",K611),K611))</f>
        <v/>
      </c>
      <c r="AD611" s="52">
        <f>IF(AB611="","",IFERROR(INDEX(ctaTipo,MATCH(AB611,ctaNombre,0))&amp;"",""))</f>
        <v/>
      </c>
      <c r="AE611" s="52">
        <f>IF(AC611="","",IFERROR(INDEX(ctaTipo,MATCH(AC611,ctaNombre,0))&amp;"",""))</f>
        <v/>
      </c>
      <c r="AF611" s="53">
        <f>IF(OR(P611="",AB611=""),"",IF(OR(P611="Gasto",P611="Transferencia",P611="Pago tarjeta"),-1,1)*IF(IFERROR(INDEX(ctaMoneda,MATCH(AB611,ctaNombre,0))&amp;"","DOP")="USD",T611,S611))</f>
        <v/>
      </c>
      <c r="AG611" s="53">
        <f>IF(AC611="","",IF(IFERROR(INDEX(ctaMoneda,MATCH(AC611,ctaNombre,0))&amp;"","DOP")="USD",T611,S611))</f>
        <v/>
      </c>
      <c r="AH611" s="53">
        <f>IF(P611="","",IF(AND(AD611&lt;&gt;"",COUNTIFS(tcTipo,AD611,tcLiq,"Sí")&gt;0),IF(OR(P611="Gasto",P611="Transferencia",P611="Pago tarjeta"),-1,1)*S611,0)+IF(AND(AE611&lt;&gt;"",COUNTIFS(tcTipo,AE611,tcLiq,"Sí")&gt;0),S611,0))</f>
        <v/>
      </c>
      <c r="AI611" s="52">
        <f>IF(OR(L611="",P611=""),"",IF(COUNTIFS(L$6:L611,L611,P$6:P611,"?*")=1,MAX(AI$5:AI610)+1,""))</f>
        <v/>
      </c>
    </row>
    <row r="612">
      <c r="B612" s="47" t="n"/>
      <c r="C612" s="48" t="n"/>
      <c r="D612" s="48" t="n"/>
      <c r="E612" s="48" t="n"/>
      <c r="F612" s="48" t="n"/>
      <c r="G612" s="49" t="n"/>
      <c r="H612" s="48" t="n"/>
      <c r="I612" s="50" t="n"/>
      <c r="J612" s="48" t="n"/>
      <c r="K612" s="48" t="n"/>
      <c r="L612" s="48" t="n"/>
      <c r="M612" s="48" t="n"/>
      <c r="N612" s="48" t="n"/>
      <c r="O612" s="51">
        <f>IF(AND(B612="",G612="",C612="",D612="",J612=""),"",IF(B612="","⚠ Falta fecha",IF(G612="","⚠ Falta monto",IF(Q612="","⚠ Falta cuenta",IF(ISNA(MATCH(Q612,ctaNombre,0)),"⚠ Cuenta no registrada",IF(AND(OR(P612="Gasto",P612="Reembolso"),D612=""),"⚠ Falta categoría",IF(AND(D612&lt;&gt;"",E612&lt;&gt;"",ISNA(MATCH(D612&amp;"|"&amp;E612,catClave,0))),"⚠ Subcategoría no corresponde",IF(AND(OR(P612="Transferencia",P612="Pago tarjeta"),K612=""),"⚠ Falta cuenta destino",IF(AND(K612&lt;&gt;"",P612&lt;&gt;"Transferencia",P612&lt;&gt;"Pago tarjeta"),"⚠ Destino solo aplica a transferencias",IF(AND(K612&lt;&gt;"",K612=Q612),"⚠ Origen igual a destino",IF(AND(K612&lt;&gt;"",ISNA(MATCH(K612,ctaNombre,0))),"⚠ Destino no registrado",IF(AND(P612="Pago tarjeta",AE612&lt;&gt;"Tarjeta de crédito"),"⚠ El destino debe ser tarjeta de crédito",IF(AND(P612="Gasto",E612="Depósitos y retiros"),"⚠ Usa tipo Transferencia",IF(AND(P612="Resultado trading",AD612&lt;&gt;"Cuenta de trading"),"⚠ Usa una cuenta de trading",IF(AND(G612&lt;=0,P612&lt;&gt;"Ajuste",P612&lt;&gt;"Resultado trading"),"⚠ El monto debe ser positivo","✓")))))))))))))))</f>
        <v/>
      </c>
      <c r="P612" s="52">
        <f>IF(OR(B612="",G612=""),"",IF(C612="","Gasto",C612))</f>
        <v/>
      </c>
      <c r="Q612" s="52">
        <f>IF(P612="","",IF(J612&lt;&gt;"",J612,CuentaPred&amp;""))</f>
        <v/>
      </c>
      <c r="R612" s="52">
        <f>IF(P612="","",IF(ISNUMBER(I612),I612,TasaUSD))</f>
        <v/>
      </c>
      <c r="S612" s="53">
        <f>IF(P612="","",IF(H612="USD",G612*R612,G612))</f>
        <v/>
      </c>
      <c r="T612" s="53">
        <f>IF(P612="","",IF(H612="USD",G612,IF(R612&gt;0,G612/R612,0)))</f>
        <v/>
      </c>
      <c r="U612" s="53">
        <f>IF(P612="","",IF(P612="Gasto",S612,IF(P612="Reembolso",-S612,0)))</f>
        <v/>
      </c>
      <c r="V612" s="53">
        <f>IF(P612="","",IF(P612="Ingreso",S612,0))</f>
        <v/>
      </c>
      <c r="W612" s="53">
        <f>IF(P612="","",IF(P612="Resultado trading",S612,0))</f>
        <v/>
      </c>
      <c r="X612" s="52">
        <f>IF(OR(P612="Gasto",P612="Reembolso"),IF(M612&lt;&gt;"",M612,IFERROR(INDEX(catClasif,MATCH(D612&amp;"|"&amp;E612,catClave,0))&amp;"","Variable")),"")</f>
        <v/>
      </c>
      <c r="Y612" s="52">
        <f>IF(P612="","",IFERROR(INDEX(catGrupo,MATCH(D612&amp;"|"&amp;E612,catClave,0))&amp;"",""))</f>
        <v/>
      </c>
      <c r="Z612" s="52">
        <f>IF(P612="","",WEEKDAY(B612,2))</f>
        <v/>
      </c>
      <c r="AA612" s="52">
        <f>IF(P612="","",IF(AND(P612="Gasto",X612="Variable",D612&lt;&gt;catTrading,S612&gt;0,S612&lt;=Umbral),1,0))</f>
        <v/>
      </c>
      <c r="AB612" s="52">
        <f>IF(OR(P612="",Q612=""),"",IFERROR(IF(INDEX(ctaVinc,MATCH(Q612,ctaNombre,0))&amp;""&lt;&gt;"",INDEX(ctaVinc,MATCH(Q612,ctaNombre,0))&amp;"",Q612),Q612))</f>
        <v/>
      </c>
      <c r="AC612" s="52">
        <f>IF(OR(K612="",AND(P612&lt;&gt;"Transferencia",P612&lt;&gt;"Pago tarjeta")),"",IFERROR(IF(INDEX(ctaVinc,MATCH(K612,ctaNombre,0))&amp;""&lt;&gt;"",INDEX(ctaVinc,MATCH(K612,ctaNombre,0))&amp;"",K612),K612))</f>
        <v/>
      </c>
      <c r="AD612" s="52">
        <f>IF(AB612="","",IFERROR(INDEX(ctaTipo,MATCH(AB612,ctaNombre,0))&amp;"",""))</f>
        <v/>
      </c>
      <c r="AE612" s="52">
        <f>IF(AC612="","",IFERROR(INDEX(ctaTipo,MATCH(AC612,ctaNombre,0))&amp;"",""))</f>
        <v/>
      </c>
      <c r="AF612" s="53">
        <f>IF(OR(P612="",AB612=""),"",IF(OR(P612="Gasto",P612="Transferencia",P612="Pago tarjeta"),-1,1)*IF(IFERROR(INDEX(ctaMoneda,MATCH(AB612,ctaNombre,0))&amp;"","DOP")="USD",T612,S612))</f>
        <v/>
      </c>
      <c r="AG612" s="53">
        <f>IF(AC612="","",IF(IFERROR(INDEX(ctaMoneda,MATCH(AC612,ctaNombre,0))&amp;"","DOP")="USD",T612,S612))</f>
        <v/>
      </c>
      <c r="AH612" s="53">
        <f>IF(P612="","",IF(AND(AD612&lt;&gt;"",COUNTIFS(tcTipo,AD612,tcLiq,"Sí")&gt;0),IF(OR(P612="Gasto",P612="Transferencia",P612="Pago tarjeta"),-1,1)*S612,0)+IF(AND(AE612&lt;&gt;"",COUNTIFS(tcTipo,AE612,tcLiq,"Sí")&gt;0),S612,0))</f>
        <v/>
      </c>
      <c r="AI612" s="52">
        <f>IF(OR(L612="",P612=""),"",IF(COUNTIFS(L$6:L612,L612,P$6:P612,"?*")=1,MAX(AI$5:AI611)+1,""))</f>
        <v/>
      </c>
    </row>
    <row r="613">
      <c r="B613" s="47" t="n"/>
      <c r="C613" s="48" t="n"/>
      <c r="D613" s="48" t="n"/>
      <c r="E613" s="48" t="n"/>
      <c r="F613" s="48" t="n"/>
      <c r="G613" s="49" t="n"/>
      <c r="H613" s="48" t="n"/>
      <c r="I613" s="50" t="n"/>
      <c r="J613" s="48" t="n"/>
      <c r="K613" s="48" t="n"/>
      <c r="L613" s="48" t="n"/>
      <c r="M613" s="48" t="n"/>
      <c r="N613" s="48" t="n"/>
      <c r="O613" s="51">
        <f>IF(AND(B613="",G613="",C613="",D613="",J613=""),"",IF(B613="","⚠ Falta fecha",IF(G613="","⚠ Falta monto",IF(Q613="","⚠ Falta cuenta",IF(ISNA(MATCH(Q613,ctaNombre,0)),"⚠ Cuenta no registrada",IF(AND(OR(P613="Gasto",P613="Reembolso"),D613=""),"⚠ Falta categoría",IF(AND(D613&lt;&gt;"",E613&lt;&gt;"",ISNA(MATCH(D613&amp;"|"&amp;E613,catClave,0))),"⚠ Subcategoría no corresponde",IF(AND(OR(P613="Transferencia",P613="Pago tarjeta"),K613=""),"⚠ Falta cuenta destino",IF(AND(K613&lt;&gt;"",P613&lt;&gt;"Transferencia",P613&lt;&gt;"Pago tarjeta"),"⚠ Destino solo aplica a transferencias",IF(AND(K613&lt;&gt;"",K613=Q613),"⚠ Origen igual a destino",IF(AND(K613&lt;&gt;"",ISNA(MATCH(K613,ctaNombre,0))),"⚠ Destino no registrado",IF(AND(P613="Pago tarjeta",AE613&lt;&gt;"Tarjeta de crédito"),"⚠ El destino debe ser tarjeta de crédito",IF(AND(P613="Gasto",E613="Depósitos y retiros"),"⚠ Usa tipo Transferencia",IF(AND(P613="Resultado trading",AD613&lt;&gt;"Cuenta de trading"),"⚠ Usa una cuenta de trading",IF(AND(G613&lt;=0,P613&lt;&gt;"Ajuste",P613&lt;&gt;"Resultado trading"),"⚠ El monto debe ser positivo","✓")))))))))))))))</f>
        <v/>
      </c>
      <c r="P613" s="52">
        <f>IF(OR(B613="",G613=""),"",IF(C613="","Gasto",C613))</f>
        <v/>
      </c>
      <c r="Q613" s="52">
        <f>IF(P613="","",IF(J613&lt;&gt;"",J613,CuentaPred&amp;""))</f>
        <v/>
      </c>
      <c r="R613" s="52">
        <f>IF(P613="","",IF(ISNUMBER(I613),I613,TasaUSD))</f>
        <v/>
      </c>
      <c r="S613" s="53">
        <f>IF(P613="","",IF(H613="USD",G613*R613,G613))</f>
        <v/>
      </c>
      <c r="T613" s="53">
        <f>IF(P613="","",IF(H613="USD",G613,IF(R613&gt;0,G613/R613,0)))</f>
        <v/>
      </c>
      <c r="U613" s="53">
        <f>IF(P613="","",IF(P613="Gasto",S613,IF(P613="Reembolso",-S613,0)))</f>
        <v/>
      </c>
      <c r="V613" s="53">
        <f>IF(P613="","",IF(P613="Ingreso",S613,0))</f>
        <v/>
      </c>
      <c r="W613" s="53">
        <f>IF(P613="","",IF(P613="Resultado trading",S613,0))</f>
        <v/>
      </c>
      <c r="X613" s="52">
        <f>IF(OR(P613="Gasto",P613="Reembolso"),IF(M613&lt;&gt;"",M613,IFERROR(INDEX(catClasif,MATCH(D613&amp;"|"&amp;E613,catClave,0))&amp;"","Variable")),"")</f>
        <v/>
      </c>
      <c r="Y613" s="52">
        <f>IF(P613="","",IFERROR(INDEX(catGrupo,MATCH(D613&amp;"|"&amp;E613,catClave,0))&amp;"",""))</f>
        <v/>
      </c>
      <c r="Z613" s="52">
        <f>IF(P613="","",WEEKDAY(B613,2))</f>
        <v/>
      </c>
      <c r="AA613" s="52">
        <f>IF(P613="","",IF(AND(P613="Gasto",X613="Variable",D613&lt;&gt;catTrading,S613&gt;0,S613&lt;=Umbral),1,0))</f>
        <v/>
      </c>
      <c r="AB613" s="52">
        <f>IF(OR(P613="",Q613=""),"",IFERROR(IF(INDEX(ctaVinc,MATCH(Q613,ctaNombre,0))&amp;""&lt;&gt;"",INDEX(ctaVinc,MATCH(Q613,ctaNombre,0))&amp;"",Q613),Q613))</f>
        <v/>
      </c>
      <c r="AC613" s="52">
        <f>IF(OR(K613="",AND(P613&lt;&gt;"Transferencia",P613&lt;&gt;"Pago tarjeta")),"",IFERROR(IF(INDEX(ctaVinc,MATCH(K613,ctaNombre,0))&amp;""&lt;&gt;"",INDEX(ctaVinc,MATCH(K613,ctaNombre,0))&amp;"",K613),K613))</f>
        <v/>
      </c>
      <c r="AD613" s="52">
        <f>IF(AB613="","",IFERROR(INDEX(ctaTipo,MATCH(AB613,ctaNombre,0))&amp;"",""))</f>
        <v/>
      </c>
      <c r="AE613" s="52">
        <f>IF(AC613="","",IFERROR(INDEX(ctaTipo,MATCH(AC613,ctaNombre,0))&amp;"",""))</f>
        <v/>
      </c>
      <c r="AF613" s="53">
        <f>IF(OR(P613="",AB613=""),"",IF(OR(P613="Gasto",P613="Transferencia",P613="Pago tarjeta"),-1,1)*IF(IFERROR(INDEX(ctaMoneda,MATCH(AB613,ctaNombre,0))&amp;"","DOP")="USD",T613,S613))</f>
        <v/>
      </c>
      <c r="AG613" s="53">
        <f>IF(AC613="","",IF(IFERROR(INDEX(ctaMoneda,MATCH(AC613,ctaNombre,0))&amp;"","DOP")="USD",T613,S613))</f>
        <v/>
      </c>
      <c r="AH613" s="53">
        <f>IF(P613="","",IF(AND(AD613&lt;&gt;"",COUNTIFS(tcTipo,AD613,tcLiq,"Sí")&gt;0),IF(OR(P613="Gasto",P613="Transferencia",P613="Pago tarjeta"),-1,1)*S613,0)+IF(AND(AE613&lt;&gt;"",COUNTIFS(tcTipo,AE613,tcLiq,"Sí")&gt;0),S613,0))</f>
        <v/>
      </c>
      <c r="AI613" s="52">
        <f>IF(OR(L613="",P613=""),"",IF(COUNTIFS(L$6:L613,L613,P$6:P613,"?*")=1,MAX(AI$5:AI612)+1,""))</f>
        <v/>
      </c>
    </row>
    <row r="614">
      <c r="B614" s="47" t="n"/>
      <c r="C614" s="48" t="n"/>
      <c r="D614" s="48" t="n"/>
      <c r="E614" s="48" t="n"/>
      <c r="F614" s="48" t="n"/>
      <c r="G614" s="49" t="n"/>
      <c r="H614" s="48" t="n"/>
      <c r="I614" s="50" t="n"/>
      <c r="J614" s="48" t="n"/>
      <c r="K614" s="48" t="n"/>
      <c r="L614" s="48" t="n"/>
      <c r="M614" s="48" t="n"/>
      <c r="N614" s="48" t="n"/>
      <c r="O614" s="51">
        <f>IF(AND(B614="",G614="",C614="",D614="",J614=""),"",IF(B614="","⚠ Falta fecha",IF(G614="","⚠ Falta monto",IF(Q614="","⚠ Falta cuenta",IF(ISNA(MATCH(Q614,ctaNombre,0)),"⚠ Cuenta no registrada",IF(AND(OR(P614="Gasto",P614="Reembolso"),D614=""),"⚠ Falta categoría",IF(AND(D614&lt;&gt;"",E614&lt;&gt;"",ISNA(MATCH(D614&amp;"|"&amp;E614,catClave,0))),"⚠ Subcategoría no corresponde",IF(AND(OR(P614="Transferencia",P614="Pago tarjeta"),K614=""),"⚠ Falta cuenta destino",IF(AND(K614&lt;&gt;"",P614&lt;&gt;"Transferencia",P614&lt;&gt;"Pago tarjeta"),"⚠ Destino solo aplica a transferencias",IF(AND(K614&lt;&gt;"",K614=Q614),"⚠ Origen igual a destino",IF(AND(K614&lt;&gt;"",ISNA(MATCH(K614,ctaNombre,0))),"⚠ Destino no registrado",IF(AND(P614="Pago tarjeta",AE614&lt;&gt;"Tarjeta de crédito"),"⚠ El destino debe ser tarjeta de crédito",IF(AND(P614="Gasto",E614="Depósitos y retiros"),"⚠ Usa tipo Transferencia",IF(AND(P614="Resultado trading",AD614&lt;&gt;"Cuenta de trading"),"⚠ Usa una cuenta de trading",IF(AND(G614&lt;=0,P614&lt;&gt;"Ajuste",P614&lt;&gt;"Resultado trading"),"⚠ El monto debe ser positivo","✓")))))))))))))))</f>
        <v/>
      </c>
      <c r="P614" s="52">
        <f>IF(OR(B614="",G614=""),"",IF(C614="","Gasto",C614))</f>
        <v/>
      </c>
      <c r="Q614" s="52">
        <f>IF(P614="","",IF(J614&lt;&gt;"",J614,CuentaPred&amp;""))</f>
        <v/>
      </c>
      <c r="R614" s="52">
        <f>IF(P614="","",IF(ISNUMBER(I614),I614,TasaUSD))</f>
        <v/>
      </c>
      <c r="S614" s="53">
        <f>IF(P614="","",IF(H614="USD",G614*R614,G614))</f>
        <v/>
      </c>
      <c r="T614" s="53">
        <f>IF(P614="","",IF(H614="USD",G614,IF(R614&gt;0,G614/R614,0)))</f>
        <v/>
      </c>
      <c r="U614" s="53">
        <f>IF(P614="","",IF(P614="Gasto",S614,IF(P614="Reembolso",-S614,0)))</f>
        <v/>
      </c>
      <c r="V614" s="53">
        <f>IF(P614="","",IF(P614="Ingreso",S614,0))</f>
        <v/>
      </c>
      <c r="W614" s="53">
        <f>IF(P614="","",IF(P614="Resultado trading",S614,0))</f>
        <v/>
      </c>
      <c r="X614" s="52">
        <f>IF(OR(P614="Gasto",P614="Reembolso"),IF(M614&lt;&gt;"",M614,IFERROR(INDEX(catClasif,MATCH(D614&amp;"|"&amp;E614,catClave,0))&amp;"","Variable")),"")</f>
        <v/>
      </c>
      <c r="Y614" s="52">
        <f>IF(P614="","",IFERROR(INDEX(catGrupo,MATCH(D614&amp;"|"&amp;E614,catClave,0))&amp;"",""))</f>
        <v/>
      </c>
      <c r="Z614" s="52">
        <f>IF(P614="","",WEEKDAY(B614,2))</f>
        <v/>
      </c>
      <c r="AA614" s="52">
        <f>IF(P614="","",IF(AND(P614="Gasto",X614="Variable",D614&lt;&gt;catTrading,S614&gt;0,S614&lt;=Umbral),1,0))</f>
        <v/>
      </c>
      <c r="AB614" s="52">
        <f>IF(OR(P614="",Q614=""),"",IFERROR(IF(INDEX(ctaVinc,MATCH(Q614,ctaNombre,0))&amp;""&lt;&gt;"",INDEX(ctaVinc,MATCH(Q614,ctaNombre,0))&amp;"",Q614),Q614))</f>
        <v/>
      </c>
      <c r="AC614" s="52">
        <f>IF(OR(K614="",AND(P614&lt;&gt;"Transferencia",P614&lt;&gt;"Pago tarjeta")),"",IFERROR(IF(INDEX(ctaVinc,MATCH(K614,ctaNombre,0))&amp;""&lt;&gt;"",INDEX(ctaVinc,MATCH(K614,ctaNombre,0))&amp;"",K614),K614))</f>
        <v/>
      </c>
      <c r="AD614" s="52">
        <f>IF(AB614="","",IFERROR(INDEX(ctaTipo,MATCH(AB614,ctaNombre,0))&amp;"",""))</f>
        <v/>
      </c>
      <c r="AE614" s="52">
        <f>IF(AC614="","",IFERROR(INDEX(ctaTipo,MATCH(AC614,ctaNombre,0))&amp;"",""))</f>
        <v/>
      </c>
      <c r="AF614" s="53">
        <f>IF(OR(P614="",AB614=""),"",IF(OR(P614="Gasto",P614="Transferencia",P614="Pago tarjeta"),-1,1)*IF(IFERROR(INDEX(ctaMoneda,MATCH(AB614,ctaNombre,0))&amp;"","DOP")="USD",T614,S614))</f>
        <v/>
      </c>
      <c r="AG614" s="53">
        <f>IF(AC614="","",IF(IFERROR(INDEX(ctaMoneda,MATCH(AC614,ctaNombre,0))&amp;"","DOP")="USD",T614,S614))</f>
        <v/>
      </c>
      <c r="AH614" s="53">
        <f>IF(P614="","",IF(AND(AD614&lt;&gt;"",COUNTIFS(tcTipo,AD614,tcLiq,"Sí")&gt;0),IF(OR(P614="Gasto",P614="Transferencia",P614="Pago tarjeta"),-1,1)*S614,0)+IF(AND(AE614&lt;&gt;"",COUNTIFS(tcTipo,AE614,tcLiq,"Sí")&gt;0),S614,0))</f>
        <v/>
      </c>
      <c r="AI614" s="52">
        <f>IF(OR(L614="",P614=""),"",IF(COUNTIFS(L$6:L614,L614,P$6:P614,"?*")=1,MAX(AI$5:AI613)+1,""))</f>
        <v/>
      </c>
    </row>
    <row r="615">
      <c r="B615" s="47" t="n"/>
      <c r="C615" s="48" t="n"/>
      <c r="D615" s="48" t="n"/>
      <c r="E615" s="48" t="n"/>
      <c r="F615" s="48" t="n"/>
      <c r="G615" s="49" t="n"/>
      <c r="H615" s="48" t="n"/>
      <c r="I615" s="50" t="n"/>
      <c r="J615" s="48" t="n"/>
      <c r="K615" s="48" t="n"/>
      <c r="L615" s="48" t="n"/>
      <c r="M615" s="48" t="n"/>
      <c r="N615" s="48" t="n"/>
      <c r="O615" s="51">
        <f>IF(AND(B615="",G615="",C615="",D615="",J615=""),"",IF(B615="","⚠ Falta fecha",IF(G615="","⚠ Falta monto",IF(Q615="","⚠ Falta cuenta",IF(ISNA(MATCH(Q615,ctaNombre,0)),"⚠ Cuenta no registrada",IF(AND(OR(P615="Gasto",P615="Reembolso"),D615=""),"⚠ Falta categoría",IF(AND(D615&lt;&gt;"",E615&lt;&gt;"",ISNA(MATCH(D615&amp;"|"&amp;E615,catClave,0))),"⚠ Subcategoría no corresponde",IF(AND(OR(P615="Transferencia",P615="Pago tarjeta"),K615=""),"⚠ Falta cuenta destino",IF(AND(K615&lt;&gt;"",P615&lt;&gt;"Transferencia",P615&lt;&gt;"Pago tarjeta"),"⚠ Destino solo aplica a transferencias",IF(AND(K615&lt;&gt;"",K615=Q615),"⚠ Origen igual a destino",IF(AND(K615&lt;&gt;"",ISNA(MATCH(K615,ctaNombre,0))),"⚠ Destino no registrado",IF(AND(P615="Pago tarjeta",AE615&lt;&gt;"Tarjeta de crédito"),"⚠ El destino debe ser tarjeta de crédito",IF(AND(P615="Gasto",E615="Depósitos y retiros"),"⚠ Usa tipo Transferencia",IF(AND(P615="Resultado trading",AD615&lt;&gt;"Cuenta de trading"),"⚠ Usa una cuenta de trading",IF(AND(G615&lt;=0,P615&lt;&gt;"Ajuste",P615&lt;&gt;"Resultado trading"),"⚠ El monto debe ser positivo","✓")))))))))))))))</f>
        <v/>
      </c>
      <c r="P615" s="52">
        <f>IF(OR(B615="",G615=""),"",IF(C615="","Gasto",C615))</f>
        <v/>
      </c>
      <c r="Q615" s="52">
        <f>IF(P615="","",IF(J615&lt;&gt;"",J615,CuentaPred&amp;""))</f>
        <v/>
      </c>
      <c r="R615" s="52">
        <f>IF(P615="","",IF(ISNUMBER(I615),I615,TasaUSD))</f>
        <v/>
      </c>
      <c r="S615" s="53">
        <f>IF(P615="","",IF(H615="USD",G615*R615,G615))</f>
        <v/>
      </c>
      <c r="T615" s="53">
        <f>IF(P615="","",IF(H615="USD",G615,IF(R615&gt;0,G615/R615,0)))</f>
        <v/>
      </c>
      <c r="U615" s="53">
        <f>IF(P615="","",IF(P615="Gasto",S615,IF(P615="Reembolso",-S615,0)))</f>
        <v/>
      </c>
      <c r="V615" s="53">
        <f>IF(P615="","",IF(P615="Ingreso",S615,0))</f>
        <v/>
      </c>
      <c r="W615" s="53">
        <f>IF(P615="","",IF(P615="Resultado trading",S615,0))</f>
        <v/>
      </c>
      <c r="X615" s="52">
        <f>IF(OR(P615="Gasto",P615="Reembolso"),IF(M615&lt;&gt;"",M615,IFERROR(INDEX(catClasif,MATCH(D615&amp;"|"&amp;E615,catClave,0))&amp;"","Variable")),"")</f>
        <v/>
      </c>
      <c r="Y615" s="52">
        <f>IF(P615="","",IFERROR(INDEX(catGrupo,MATCH(D615&amp;"|"&amp;E615,catClave,0))&amp;"",""))</f>
        <v/>
      </c>
      <c r="Z615" s="52">
        <f>IF(P615="","",WEEKDAY(B615,2))</f>
        <v/>
      </c>
      <c r="AA615" s="52">
        <f>IF(P615="","",IF(AND(P615="Gasto",X615="Variable",D615&lt;&gt;catTrading,S615&gt;0,S615&lt;=Umbral),1,0))</f>
        <v/>
      </c>
      <c r="AB615" s="52">
        <f>IF(OR(P615="",Q615=""),"",IFERROR(IF(INDEX(ctaVinc,MATCH(Q615,ctaNombre,0))&amp;""&lt;&gt;"",INDEX(ctaVinc,MATCH(Q615,ctaNombre,0))&amp;"",Q615),Q615))</f>
        <v/>
      </c>
      <c r="AC615" s="52">
        <f>IF(OR(K615="",AND(P615&lt;&gt;"Transferencia",P615&lt;&gt;"Pago tarjeta")),"",IFERROR(IF(INDEX(ctaVinc,MATCH(K615,ctaNombre,0))&amp;""&lt;&gt;"",INDEX(ctaVinc,MATCH(K615,ctaNombre,0))&amp;"",K615),K615))</f>
        <v/>
      </c>
      <c r="AD615" s="52">
        <f>IF(AB615="","",IFERROR(INDEX(ctaTipo,MATCH(AB615,ctaNombre,0))&amp;"",""))</f>
        <v/>
      </c>
      <c r="AE615" s="52">
        <f>IF(AC615="","",IFERROR(INDEX(ctaTipo,MATCH(AC615,ctaNombre,0))&amp;"",""))</f>
        <v/>
      </c>
      <c r="AF615" s="53">
        <f>IF(OR(P615="",AB615=""),"",IF(OR(P615="Gasto",P615="Transferencia",P615="Pago tarjeta"),-1,1)*IF(IFERROR(INDEX(ctaMoneda,MATCH(AB615,ctaNombre,0))&amp;"","DOP")="USD",T615,S615))</f>
        <v/>
      </c>
      <c r="AG615" s="53">
        <f>IF(AC615="","",IF(IFERROR(INDEX(ctaMoneda,MATCH(AC615,ctaNombre,0))&amp;"","DOP")="USD",T615,S615))</f>
        <v/>
      </c>
      <c r="AH615" s="53">
        <f>IF(P615="","",IF(AND(AD615&lt;&gt;"",COUNTIFS(tcTipo,AD615,tcLiq,"Sí")&gt;0),IF(OR(P615="Gasto",P615="Transferencia",P615="Pago tarjeta"),-1,1)*S615,0)+IF(AND(AE615&lt;&gt;"",COUNTIFS(tcTipo,AE615,tcLiq,"Sí")&gt;0),S615,0))</f>
        <v/>
      </c>
      <c r="AI615" s="52">
        <f>IF(OR(L615="",P615=""),"",IF(COUNTIFS(L$6:L615,L615,P$6:P615,"?*")=1,MAX(AI$5:AI614)+1,""))</f>
        <v/>
      </c>
    </row>
    <row r="616">
      <c r="B616" s="47" t="n"/>
      <c r="C616" s="48" t="n"/>
      <c r="D616" s="48" t="n"/>
      <c r="E616" s="48" t="n"/>
      <c r="F616" s="48" t="n"/>
      <c r="G616" s="49" t="n"/>
      <c r="H616" s="48" t="n"/>
      <c r="I616" s="50" t="n"/>
      <c r="J616" s="48" t="n"/>
      <c r="K616" s="48" t="n"/>
      <c r="L616" s="48" t="n"/>
      <c r="M616" s="48" t="n"/>
      <c r="N616" s="48" t="n"/>
      <c r="O616" s="51">
        <f>IF(AND(B616="",G616="",C616="",D616="",J616=""),"",IF(B616="","⚠ Falta fecha",IF(G616="","⚠ Falta monto",IF(Q616="","⚠ Falta cuenta",IF(ISNA(MATCH(Q616,ctaNombre,0)),"⚠ Cuenta no registrada",IF(AND(OR(P616="Gasto",P616="Reembolso"),D616=""),"⚠ Falta categoría",IF(AND(D616&lt;&gt;"",E616&lt;&gt;"",ISNA(MATCH(D616&amp;"|"&amp;E616,catClave,0))),"⚠ Subcategoría no corresponde",IF(AND(OR(P616="Transferencia",P616="Pago tarjeta"),K616=""),"⚠ Falta cuenta destino",IF(AND(K616&lt;&gt;"",P616&lt;&gt;"Transferencia",P616&lt;&gt;"Pago tarjeta"),"⚠ Destino solo aplica a transferencias",IF(AND(K616&lt;&gt;"",K616=Q616),"⚠ Origen igual a destino",IF(AND(K616&lt;&gt;"",ISNA(MATCH(K616,ctaNombre,0))),"⚠ Destino no registrado",IF(AND(P616="Pago tarjeta",AE616&lt;&gt;"Tarjeta de crédito"),"⚠ El destino debe ser tarjeta de crédito",IF(AND(P616="Gasto",E616="Depósitos y retiros"),"⚠ Usa tipo Transferencia",IF(AND(P616="Resultado trading",AD616&lt;&gt;"Cuenta de trading"),"⚠ Usa una cuenta de trading",IF(AND(G616&lt;=0,P616&lt;&gt;"Ajuste",P616&lt;&gt;"Resultado trading"),"⚠ El monto debe ser positivo","✓")))))))))))))))</f>
        <v/>
      </c>
      <c r="P616" s="52">
        <f>IF(OR(B616="",G616=""),"",IF(C616="","Gasto",C616))</f>
        <v/>
      </c>
      <c r="Q616" s="52">
        <f>IF(P616="","",IF(J616&lt;&gt;"",J616,CuentaPred&amp;""))</f>
        <v/>
      </c>
      <c r="R616" s="52">
        <f>IF(P616="","",IF(ISNUMBER(I616),I616,TasaUSD))</f>
        <v/>
      </c>
      <c r="S616" s="53">
        <f>IF(P616="","",IF(H616="USD",G616*R616,G616))</f>
        <v/>
      </c>
      <c r="T616" s="53">
        <f>IF(P616="","",IF(H616="USD",G616,IF(R616&gt;0,G616/R616,0)))</f>
        <v/>
      </c>
      <c r="U616" s="53">
        <f>IF(P616="","",IF(P616="Gasto",S616,IF(P616="Reembolso",-S616,0)))</f>
        <v/>
      </c>
      <c r="V616" s="53">
        <f>IF(P616="","",IF(P616="Ingreso",S616,0))</f>
        <v/>
      </c>
      <c r="W616" s="53">
        <f>IF(P616="","",IF(P616="Resultado trading",S616,0))</f>
        <v/>
      </c>
      <c r="X616" s="52">
        <f>IF(OR(P616="Gasto",P616="Reembolso"),IF(M616&lt;&gt;"",M616,IFERROR(INDEX(catClasif,MATCH(D616&amp;"|"&amp;E616,catClave,0))&amp;"","Variable")),"")</f>
        <v/>
      </c>
      <c r="Y616" s="52">
        <f>IF(P616="","",IFERROR(INDEX(catGrupo,MATCH(D616&amp;"|"&amp;E616,catClave,0))&amp;"",""))</f>
        <v/>
      </c>
      <c r="Z616" s="52">
        <f>IF(P616="","",WEEKDAY(B616,2))</f>
        <v/>
      </c>
      <c r="AA616" s="52">
        <f>IF(P616="","",IF(AND(P616="Gasto",X616="Variable",D616&lt;&gt;catTrading,S616&gt;0,S616&lt;=Umbral),1,0))</f>
        <v/>
      </c>
      <c r="AB616" s="52">
        <f>IF(OR(P616="",Q616=""),"",IFERROR(IF(INDEX(ctaVinc,MATCH(Q616,ctaNombre,0))&amp;""&lt;&gt;"",INDEX(ctaVinc,MATCH(Q616,ctaNombre,0))&amp;"",Q616),Q616))</f>
        <v/>
      </c>
      <c r="AC616" s="52">
        <f>IF(OR(K616="",AND(P616&lt;&gt;"Transferencia",P616&lt;&gt;"Pago tarjeta")),"",IFERROR(IF(INDEX(ctaVinc,MATCH(K616,ctaNombre,0))&amp;""&lt;&gt;"",INDEX(ctaVinc,MATCH(K616,ctaNombre,0))&amp;"",K616),K616))</f>
        <v/>
      </c>
      <c r="AD616" s="52">
        <f>IF(AB616="","",IFERROR(INDEX(ctaTipo,MATCH(AB616,ctaNombre,0))&amp;"",""))</f>
        <v/>
      </c>
      <c r="AE616" s="52">
        <f>IF(AC616="","",IFERROR(INDEX(ctaTipo,MATCH(AC616,ctaNombre,0))&amp;"",""))</f>
        <v/>
      </c>
      <c r="AF616" s="53">
        <f>IF(OR(P616="",AB616=""),"",IF(OR(P616="Gasto",P616="Transferencia",P616="Pago tarjeta"),-1,1)*IF(IFERROR(INDEX(ctaMoneda,MATCH(AB616,ctaNombre,0))&amp;"","DOP")="USD",T616,S616))</f>
        <v/>
      </c>
      <c r="AG616" s="53">
        <f>IF(AC616="","",IF(IFERROR(INDEX(ctaMoneda,MATCH(AC616,ctaNombre,0))&amp;"","DOP")="USD",T616,S616))</f>
        <v/>
      </c>
      <c r="AH616" s="53">
        <f>IF(P616="","",IF(AND(AD616&lt;&gt;"",COUNTIFS(tcTipo,AD616,tcLiq,"Sí")&gt;0),IF(OR(P616="Gasto",P616="Transferencia",P616="Pago tarjeta"),-1,1)*S616,0)+IF(AND(AE616&lt;&gt;"",COUNTIFS(tcTipo,AE616,tcLiq,"Sí")&gt;0),S616,0))</f>
        <v/>
      </c>
      <c r="AI616" s="52">
        <f>IF(OR(L616="",P616=""),"",IF(COUNTIFS(L$6:L616,L616,P$6:P616,"?*")=1,MAX(AI$5:AI615)+1,""))</f>
        <v/>
      </c>
    </row>
    <row r="617">
      <c r="B617" s="47" t="n"/>
      <c r="C617" s="48" t="n"/>
      <c r="D617" s="48" t="n"/>
      <c r="E617" s="48" t="n"/>
      <c r="F617" s="48" t="n"/>
      <c r="G617" s="49" t="n"/>
      <c r="H617" s="48" t="n"/>
      <c r="I617" s="50" t="n"/>
      <c r="J617" s="48" t="n"/>
      <c r="K617" s="48" t="n"/>
      <c r="L617" s="48" t="n"/>
      <c r="M617" s="48" t="n"/>
      <c r="N617" s="48" t="n"/>
      <c r="O617" s="51">
        <f>IF(AND(B617="",G617="",C617="",D617="",J617=""),"",IF(B617="","⚠ Falta fecha",IF(G617="","⚠ Falta monto",IF(Q617="","⚠ Falta cuenta",IF(ISNA(MATCH(Q617,ctaNombre,0)),"⚠ Cuenta no registrada",IF(AND(OR(P617="Gasto",P617="Reembolso"),D617=""),"⚠ Falta categoría",IF(AND(D617&lt;&gt;"",E617&lt;&gt;"",ISNA(MATCH(D617&amp;"|"&amp;E617,catClave,0))),"⚠ Subcategoría no corresponde",IF(AND(OR(P617="Transferencia",P617="Pago tarjeta"),K617=""),"⚠ Falta cuenta destino",IF(AND(K617&lt;&gt;"",P617&lt;&gt;"Transferencia",P617&lt;&gt;"Pago tarjeta"),"⚠ Destino solo aplica a transferencias",IF(AND(K617&lt;&gt;"",K617=Q617),"⚠ Origen igual a destino",IF(AND(K617&lt;&gt;"",ISNA(MATCH(K617,ctaNombre,0))),"⚠ Destino no registrado",IF(AND(P617="Pago tarjeta",AE617&lt;&gt;"Tarjeta de crédito"),"⚠ El destino debe ser tarjeta de crédito",IF(AND(P617="Gasto",E617="Depósitos y retiros"),"⚠ Usa tipo Transferencia",IF(AND(P617="Resultado trading",AD617&lt;&gt;"Cuenta de trading"),"⚠ Usa una cuenta de trading",IF(AND(G617&lt;=0,P617&lt;&gt;"Ajuste",P617&lt;&gt;"Resultado trading"),"⚠ El monto debe ser positivo","✓")))))))))))))))</f>
        <v/>
      </c>
      <c r="P617" s="52">
        <f>IF(OR(B617="",G617=""),"",IF(C617="","Gasto",C617))</f>
        <v/>
      </c>
      <c r="Q617" s="52">
        <f>IF(P617="","",IF(J617&lt;&gt;"",J617,CuentaPred&amp;""))</f>
        <v/>
      </c>
      <c r="R617" s="52">
        <f>IF(P617="","",IF(ISNUMBER(I617),I617,TasaUSD))</f>
        <v/>
      </c>
      <c r="S617" s="53">
        <f>IF(P617="","",IF(H617="USD",G617*R617,G617))</f>
        <v/>
      </c>
      <c r="T617" s="53">
        <f>IF(P617="","",IF(H617="USD",G617,IF(R617&gt;0,G617/R617,0)))</f>
        <v/>
      </c>
      <c r="U617" s="53">
        <f>IF(P617="","",IF(P617="Gasto",S617,IF(P617="Reembolso",-S617,0)))</f>
        <v/>
      </c>
      <c r="V617" s="53">
        <f>IF(P617="","",IF(P617="Ingreso",S617,0))</f>
        <v/>
      </c>
      <c r="W617" s="53">
        <f>IF(P617="","",IF(P617="Resultado trading",S617,0))</f>
        <v/>
      </c>
      <c r="X617" s="52">
        <f>IF(OR(P617="Gasto",P617="Reembolso"),IF(M617&lt;&gt;"",M617,IFERROR(INDEX(catClasif,MATCH(D617&amp;"|"&amp;E617,catClave,0))&amp;"","Variable")),"")</f>
        <v/>
      </c>
      <c r="Y617" s="52">
        <f>IF(P617="","",IFERROR(INDEX(catGrupo,MATCH(D617&amp;"|"&amp;E617,catClave,0))&amp;"",""))</f>
        <v/>
      </c>
      <c r="Z617" s="52">
        <f>IF(P617="","",WEEKDAY(B617,2))</f>
        <v/>
      </c>
      <c r="AA617" s="52">
        <f>IF(P617="","",IF(AND(P617="Gasto",X617="Variable",D617&lt;&gt;catTrading,S617&gt;0,S617&lt;=Umbral),1,0))</f>
        <v/>
      </c>
      <c r="AB617" s="52">
        <f>IF(OR(P617="",Q617=""),"",IFERROR(IF(INDEX(ctaVinc,MATCH(Q617,ctaNombre,0))&amp;""&lt;&gt;"",INDEX(ctaVinc,MATCH(Q617,ctaNombre,0))&amp;"",Q617),Q617))</f>
        <v/>
      </c>
      <c r="AC617" s="52">
        <f>IF(OR(K617="",AND(P617&lt;&gt;"Transferencia",P617&lt;&gt;"Pago tarjeta")),"",IFERROR(IF(INDEX(ctaVinc,MATCH(K617,ctaNombre,0))&amp;""&lt;&gt;"",INDEX(ctaVinc,MATCH(K617,ctaNombre,0))&amp;"",K617),K617))</f>
        <v/>
      </c>
      <c r="AD617" s="52">
        <f>IF(AB617="","",IFERROR(INDEX(ctaTipo,MATCH(AB617,ctaNombre,0))&amp;"",""))</f>
        <v/>
      </c>
      <c r="AE617" s="52">
        <f>IF(AC617="","",IFERROR(INDEX(ctaTipo,MATCH(AC617,ctaNombre,0))&amp;"",""))</f>
        <v/>
      </c>
      <c r="AF617" s="53">
        <f>IF(OR(P617="",AB617=""),"",IF(OR(P617="Gasto",P617="Transferencia",P617="Pago tarjeta"),-1,1)*IF(IFERROR(INDEX(ctaMoneda,MATCH(AB617,ctaNombre,0))&amp;"","DOP")="USD",T617,S617))</f>
        <v/>
      </c>
      <c r="AG617" s="53">
        <f>IF(AC617="","",IF(IFERROR(INDEX(ctaMoneda,MATCH(AC617,ctaNombre,0))&amp;"","DOP")="USD",T617,S617))</f>
        <v/>
      </c>
      <c r="AH617" s="53">
        <f>IF(P617="","",IF(AND(AD617&lt;&gt;"",COUNTIFS(tcTipo,AD617,tcLiq,"Sí")&gt;0),IF(OR(P617="Gasto",P617="Transferencia",P617="Pago tarjeta"),-1,1)*S617,0)+IF(AND(AE617&lt;&gt;"",COUNTIFS(tcTipo,AE617,tcLiq,"Sí")&gt;0),S617,0))</f>
        <v/>
      </c>
      <c r="AI617" s="52">
        <f>IF(OR(L617="",P617=""),"",IF(COUNTIFS(L$6:L617,L617,P$6:P617,"?*")=1,MAX(AI$5:AI616)+1,""))</f>
        <v/>
      </c>
    </row>
    <row r="618">
      <c r="B618" s="47" t="n"/>
      <c r="C618" s="48" t="n"/>
      <c r="D618" s="48" t="n"/>
      <c r="E618" s="48" t="n"/>
      <c r="F618" s="48" t="n"/>
      <c r="G618" s="49" t="n"/>
      <c r="H618" s="48" t="n"/>
      <c r="I618" s="50" t="n"/>
      <c r="J618" s="48" t="n"/>
      <c r="K618" s="48" t="n"/>
      <c r="L618" s="48" t="n"/>
      <c r="M618" s="48" t="n"/>
      <c r="N618" s="48" t="n"/>
      <c r="O618" s="51">
        <f>IF(AND(B618="",G618="",C618="",D618="",J618=""),"",IF(B618="","⚠ Falta fecha",IF(G618="","⚠ Falta monto",IF(Q618="","⚠ Falta cuenta",IF(ISNA(MATCH(Q618,ctaNombre,0)),"⚠ Cuenta no registrada",IF(AND(OR(P618="Gasto",P618="Reembolso"),D618=""),"⚠ Falta categoría",IF(AND(D618&lt;&gt;"",E618&lt;&gt;"",ISNA(MATCH(D618&amp;"|"&amp;E618,catClave,0))),"⚠ Subcategoría no corresponde",IF(AND(OR(P618="Transferencia",P618="Pago tarjeta"),K618=""),"⚠ Falta cuenta destino",IF(AND(K618&lt;&gt;"",P618&lt;&gt;"Transferencia",P618&lt;&gt;"Pago tarjeta"),"⚠ Destino solo aplica a transferencias",IF(AND(K618&lt;&gt;"",K618=Q618),"⚠ Origen igual a destino",IF(AND(K618&lt;&gt;"",ISNA(MATCH(K618,ctaNombre,0))),"⚠ Destino no registrado",IF(AND(P618="Pago tarjeta",AE618&lt;&gt;"Tarjeta de crédito"),"⚠ El destino debe ser tarjeta de crédito",IF(AND(P618="Gasto",E618="Depósitos y retiros"),"⚠ Usa tipo Transferencia",IF(AND(P618="Resultado trading",AD618&lt;&gt;"Cuenta de trading"),"⚠ Usa una cuenta de trading",IF(AND(G618&lt;=0,P618&lt;&gt;"Ajuste",P618&lt;&gt;"Resultado trading"),"⚠ El monto debe ser positivo","✓")))))))))))))))</f>
        <v/>
      </c>
      <c r="P618" s="52">
        <f>IF(OR(B618="",G618=""),"",IF(C618="","Gasto",C618))</f>
        <v/>
      </c>
      <c r="Q618" s="52">
        <f>IF(P618="","",IF(J618&lt;&gt;"",J618,CuentaPred&amp;""))</f>
        <v/>
      </c>
      <c r="R618" s="52">
        <f>IF(P618="","",IF(ISNUMBER(I618),I618,TasaUSD))</f>
        <v/>
      </c>
      <c r="S618" s="53">
        <f>IF(P618="","",IF(H618="USD",G618*R618,G618))</f>
        <v/>
      </c>
      <c r="T618" s="53">
        <f>IF(P618="","",IF(H618="USD",G618,IF(R618&gt;0,G618/R618,0)))</f>
        <v/>
      </c>
      <c r="U618" s="53">
        <f>IF(P618="","",IF(P618="Gasto",S618,IF(P618="Reembolso",-S618,0)))</f>
        <v/>
      </c>
      <c r="V618" s="53">
        <f>IF(P618="","",IF(P618="Ingreso",S618,0))</f>
        <v/>
      </c>
      <c r="W618" s="53">
        <f>IF(P618="","",IF(P618="Resultado trading",S618,0))</f>
        <v/>
      </c>
      <c r="X618" s="52">
        <f>IF(OR(P618="Gasto",P618="Reembolso"),IF(M618&lt;&gt;"",M618,IFERROR(INDEX(catClasif,MATCH(D618&amp;"|"&amp;E618,catClave,0))&amp;"","Variable")),"")</f>
        <v/>
      </c>
      <c r="Y618" s="52">
        <f>IF(P618="","",IFERROR(INDEX(catGrupo,MATCH(D618&amp;"|"&amp;E618,catClave,0))&amp;"",""))</f>
        <v/>
      </c>
      <c r="Z618" s="52">
        <f>IF(P618="","",WEEKDAY(B618,2))</f>
        <v/>
      </c>
      <c r="AA618" s="52">
        <f>IF(P618="","",IF(AND(P618="Gasto",X618="Variable",D618&lt;&gt;catTrading,S618&gt;0,S618&lt;=Umbral),1,0))</f>
        <v/>
      </c>
      <c r="AB618" s="52">
        <f>IF(OR(P618="",Q618=""),"",IFERROR(IF(INDEX(ctaVinc,MATCH(Q618,ctaNombre,0))&amp;""&lt;&gt;"",INDEX(ctaVinc,MATCH(Q618,ctaNombre,0))&amp;"",Q618),Q618))</f>
        <v/>
      </c>
      <c r="AC618" s="52">
        <f>IF(OR(K618="",AND(P618&lt;&gt;"Transferencia",P618&lt;&gt;"Pago tarjeta")),"",IFERROR(IF(INDEX(ctaVinc,MATCH(K618,ctaNombre,0))&amp;""&lt;&gt;"",INDEX(ctaVinc,MATCH(K618,ctaNombre,0))&amp;"",K618),K618))</f>
        <v/>
      </c>
      <c r="AD618" s="52">
        <f>IF(AB618="","",IFERROR(INDEX(ctaTipo,MATCH(AB618,ctaNombre,0))&amp;"",""))</f>
        <v/>
      </c>
      <c r="AE618" s="52">
        <f>IF(AC618="","",IFERROR(INDEX(ctaTipo,MATCH(AC618,ctaNombre,0))&amp;"",""))</f>
        <v/>
      </c>
      <c r="AF618" s="53">
        <f>IF(OR(P618="",AB618=""),"",IF(OR(P618="Gasto",P618="Transferencia",P618="Pago tarjeta"),-1,1)*IF(IFERROR(INDEX(ctaMoneda,MATCH(AB618,ctaNombre,0))&amp;"","DOP")="USD",T618,S618))</f>
        <v/>
      </c>
      <c r="AG618" s="53">
        <f>IF(AC618="","",IF(IFERROR(INDEX(ctaMoneda,MATCH(AC618,ctaNombre,0))&amp;"","DOP")="USD",T618,S618))</f>
        <v/>
      </c>
      <c r="AH618" s="53">
        <f>IF(P618="","",IF(AND(AD618&lt;&gt;"",COUNTIFS(tcTipo,AD618,tcLiq,"Sí")&gt;0),IF(OR(P618="Gasto",P618="Transferencia",P618="Pago tarjeta"),-1,1)*S618,0)+IF(AND(AE618&lt;&gt;"",COUNTIFS(tcTipo,AE618,tcLiq,"Sí")&gt;0),S618,0))</f>
        <v/>
      </c>
      <c r="AI618" s="52">
        <f>IF(OR(L618="",P618=""),"",IF(COUNTIFS(L$6:L618,L618,P$6:P618,"?*")=1,MAX(AI$5:AI617)+1,""))</f>
        <v/>
      </c>
    </row>
    <row r="619">
      <c r="B619" s="47" t="n"/>
      <c r="C619" s="48" t="n"/>
      <c r="D619" s="48" t="n"/>
      <c r="E619" s="48" t="n"/>
      <c r="F619" s="48" t="n"/>
      <c r="G619" s="49" t="n"/>
      <c r="H619" s="48" t="n"/>
      <c r="I619" s="50" t="n"/>
      <c r="J619" s="48" t="n"/>
      <c r="K619" s="48" t="n"/>
      <c r="L619" s="48" t="n"/>
      <c r="M619" s="48" t="n"/>
      <c r="N619" s="48" t="n"/>
      <c r="O619" s="51">
        <f>IF(AND(B619="",G619="",C619="",D619="",J619=""),"",IF(B619="","⚠ Falta fecha",IF(G619="","⚠ Falta monto",IF(Q619="","⚠ Falta cuenta",IF(ISNA(MATCH(Q619,ctaNombre,0)),"⚠ Cuenta no registrada",IF(AND(OR(P619="Gasto",P619="Reembolso"),D619=""),"⚠ Falta categoría",IF(AND(D619&lt;&gt;"",E619&lt;&gt;"",ISNA(MATCH(D619&amp;"|"&amp;E619,catClave,0))),"⚠ Subcategoría no corresponde",IF(AND(OR(P619="Transferencia",P619="Pago tarjeta"),K619=""),"⚠ Falta cuenta destino",IF(AND(K619&lt;&gt;"",P619&lt;&gt;"Transferencia",P619&lt;&gt;"Pago tarjeta"),"⚠ Destino solo aplica a transferencias",IF(AND(K619&lt;&gt;"",K619=Q619),"⚠ Origen igual a destino",IF(AND(K619&lt;&gt;"",ISNA(MATCH(K619,ctaNombre,0))),"⚠ Destino no registrado",IF(AND(P619="Pago tarjeta",AE619&lt;&gt;"Tarjeta de crédito"),"⚠ El destino debe ser tarjeta de crédito",IF(AND(P619="Gasto",E619="Depósitos y retiros"),"⚠ Usa tipo Transferencia",IF(AND(P619="Resultado trading",AD619&lt;&gt;"Cuenta de trading"),"⚠ Usa una cuenta de trading",IF(AND(G619&lt;=0,P619&lt;&gt;"Ajuste",P619&lt;&gt;"Resultado trading"),"⚠ El monto debe ser positivo","✓")))))))))))))))</f>
        <v/>
      </c>
      <c r="P619" s="52">
        <f>IF(OR(B619="",G619=""),"",IF(C619="","Gasto",C619))</f>
        <v/>
      </c>
      <c r="Q619" s="52">
        <f>IF(P619="","",IF(J619&lt;&gt;"",J619,CuentaPred&amp;""))</f>
        <v/>
      </c>
      <c r="R619" s="52">
        <f>IF(P619="","",IF(ISNUMBER(I619),I619,TasaUSD))</f>
        <v/>
      </c>
      <c r="S619" s="53">
        <f>IF(P619="","",IF(H619="USD",G619*R619,G619))</f>
        <v/>
      </c>
      <c r="T619" s="53">
        <f>IF(P619="","",IF(H619="USD",G619,IF(R619&gt;0,G619/R619,0)))</f>
        <v/>
      </c>
      <c r="U619" s="53">
        <f>IF(P619="","",IF(P619="Gasto",S619,IF(P619="Reembolso",-S619,0)))</f>
        <v/>
      </c>
      <c r="V619" s="53">
        <f>IF(P619="","",IF(P619="Ingreso",S619,0))</f>
        <v/>
      </c>
      <c r="W619" s="53">
        <f>IF(P619="","",IF(P619="Resultado trading",S619,0))</f>
        <v/>
      </c>
      <c r="X619" s="52">
        <f>IF(OR(P619="Gasto",P619="Reembolso"),IF(M619&lt;&gt;"",M619,IFERROR(INDEX(catClasif,MATCH(D619&amp;"|"&amp;E619,catClave,0))&amp;"","Variable")),"")</f>
        <v/>
      </c>
      <c r="Y619" s="52">
        <f>IF(P619="","",IFERROR(INDEX(catGrupo,MATCH(D619&amp;"|"&amp;E619,catClave,0))&amp;"",""))</f>
        <v/>
      </c>
      <c r="Z619" s="52">
        <f>IF(P619="","",WEEKDAY(B619,2))</f>
        <v/>
      </c>
      <c r="AA619" s="52">
        <f>IF(P619="","",IF(AND(P619="Gasto",X619="Variable",D619&lt;&gt;catTrading,S619&gt;0,S619&lt;=Umbral),1,0))</f>
        <v/>
      </c>
      <c r="AB619" s="52">
        <f>IF(OR(P619="",Q619=""),"",IFERROR(IF(INDEX(ctaVinc,MATCH(Q619,ctaNombre,0))&amp;""&lt;&gt;"",INDEX(ctaVinc,MATCH(Q619,ctaNombre,0))&amp;"",Q619),Q619))</f>
        <v/>
      </c>
      <c r="AC619" s="52">
        <f>IF(OR(K619="",AND(P619&lt;&gt;"Transferencia",P619&lt;&gt;"Pago tarjeta")),"",IFERROR(IF(INDEX(ctaVinc,MATCH(K619,ctaNombre,0))&amp;""&lt;&gt;"",INDEX(ctaVinc,MATCH(K619,ctaNombre,0))&amp;"",K619),K619))</f>
        <v/>
      </c>
      <c r="AD619" s="52">
        <f>IF(AB619="","",IFERROR(INDEX(ctaTipo,MATCH(AB619,ctaNombre,0))&amp;"",""))</f>
        <v/>
      </c>
      <c r="AE619" s="52">
        <f>IF(AC619="","",IFERROR(INDEX(ctaTipo,MATCH(AC619,ctaNombre,0))&amp;"",""))</f>
        <v/>
      </c>
      <c r="AF619" s="53">
        <f>IF(OR(P619="",AB619=""),"",IF(OR(P619="Gasto",P619="Transferencia",P619="Pago tarjeta"),-1,1)*IF(IFERROR(INDEX(ctaMoneda,MATCH(AB619,ctaNombre,0))&amp;"","DOP")="USD",T619,S619))</f>
        <v/>
      </c>
      <c r="AG619" s="53">
        <f>IF(AC619="","",IF(IFERROR(INDEX(ctaMoneda,MATCH(AC619,ctaNombre,0))&amp;"","DOP")="USD",T619,S619))</f>
        <v/>
      </c>
      <c r="AH619" s="53">
        <f>IF(P619="","",IF(AND(AD619&lt;&gt;"",COUNTIFS(tcTipo,AD619,tcLiq,"Sí")&gt;0),IF(OR(P619="Gasto",P619="Transferencia",P619="Pago tarjeta"),-1,1)*S619,0)+IF(AND(AE619&lt;&gt;"",COUNTIFS(tcTipo,AE619,tcLiq,"Sí")&gt;0),S619,0))</f>
        <v/>
      </c>
      <c r="AI619" s="52">
        <f>IF(OR(L619="",P619=""),"",IF(COUNTIFS(L$6:L619,L619,P$6:P619,"?*")=1,MAX(AI$5:AI618)+1,""))</f>
        <v/>
      </c>
    </row>
    <row r="620">
      <c r="B620" s="47" t="n"/>
      <c r="C620" s="48" t="n"/>
      <c r="D620" s="48" t="n"/>
      <c r="E620" s="48" t="n"/>
      <c r="F620" s="48" t="n"/>
      <c r="G620" s="49" t="n"/>
      <c r="H620" s="48" t="n"/>
      <c r="I620" s="50" t="n"/>
      <c r="J620" s="48" t="n"/>
      <c r="K620" s="48" t="n"/>
      <c r="L620" s="48" t="n"/>
      <c r="M620" s="48" t="n"/>
      <c r="N620" s="48" t="n"/>
      <c r="O620" s="51">
        <f>IF(AND(B620="",G620="",C620="",D620="",J620=""),"",IF(B620="","⚠ Falta fecha",IF(G620="","⚠ Falta monto",IF(Q620="","⚠ Falta cuenta",IF(ISNA(MATCH(Q620,ctaNombre,0)),"⚠ Cuenta no registrada",IF(AND(OR(P620="Gasto",P620="Reembolso"),D620=""),"⚠ Falta categoría",IF(AND(D620&lt;&gt;"",E620&lt;&gt;"",ISNA(MATCH(D620&amp;"|"&amp;E620,catClave,0))),"⚠ Subcategoría no corresponde",IF(AND(OR(P620="Transferencia",P620="Pago tarjeta"),K620=""),"⚠ Falta cuenta destino",IF(AND(K620&lt;&gt;"",P620&lt;&gt;"Transferencia",P620&lt;&gt;"Pago tarjeta"),"⚠ Destino solo aplica a transferencias",IF(AND(K620&lt;&gt;"",K620=Q620),"⚠ Origen igual a destino",IF(AND(K620&lt;&gt;"",ISNA(MATCH(K620,ctaNombre,0))),"⚠ Destino no registrado",IF(AND(P620="Pago tarjeta",AE620&lt;&gt;"Tarjeta de crédito"),"⚠ El destino debe ser tarjeta de crédito",IF(AND(P620="Gasto",E620="Depósitos y retiros"),"⚠ Usa tipo Transferencia",IF(AND(P620="Resultado trading",AD620&lt;&gt;"Cuenta de trading"),"⚠ Usa una cuenta de trading",IF(AND(G620&lt;=0,P620&lt;&gt;"Ajuste",P620&lt;&gt;"Resultado trading"),"⚠ El monto debe ser positivo","✓")))))))))))))))</f>
        <v/>
      </c>
      <c r="P620" s="52">
        <f>IF(OR(B620="",G620=""),"",IF(C620="","Gasto",C620))</f>
        <v/>
      </c>
      <c r="Q620" s="52">
        <f>IF(P620="","",IF(J620&lt;&gt;"",J620,CuentaPred&amp;""))</f>
        <v/>
      </c>
      <c r="R620" s="52">
        <f>IF(P620="","",IF(ISNUMBER(I620),I620,TasaUSD))</f>
        <v/>
      </c>
      <c r="S620" s="53">
        <f>IF(P620="","",IF(H620="USD",G620*R620,G620))</f>
        <v/>
      </c>
      <c r="T620" s="53">
        <f>IF(P620="","",IF(H620="USD",G620,IF(R620&gt;0,G620/R620,0)))</f>
        <v/>
      </c>
      <c r="U620" s="53">
        <f>IF(P620="","",IF(P620="Gasto",S620,IF(P620="Reembolso",-S620,0)))</f>
        <v/>
      </c>
      <c r="V620" s="53">
        <f>IF(P620="","",IF(P620="Ingreso",S620,0))</f>
        <v/>
      </c>
      <c r="W620" s="53">
        <f>IF(P620="","",IF(P620="Resultado trading",S620,0))</f>
        <v/>
      </c>
      <c r="X620" s="52">
        <f>IF(OR(P620="Gasto",P620="Reembolso"),IF(M620&lt;&gt;"",M620,IFERROR(INDEX(catClasif,MATCH(D620&amp;"|"&amp;E620,catClave,0))&amp;"","Variable")),"")</f>
        <v/>
      </c>
      <c r="Y620" s="52">
        <f>IF(P620="","",IFERROR(INDEX(catGrupo,MATCH(D620&amp;"|"&amp;E620,catClave,0))&amp;"",""))</f>
        <v/>
      </c>
      <c r="Z620" s="52">
        <f>IF(P620="","",WEEKDAY(B620,2))</f>
        <v/>
      </c>
      <c r="AA620" s="52">
        <f>IF(P620="","",IF(AND(P620="Gasto",X620="Variable",D620&lt;&gt;catTrading,S620&gt;0,S620&lt;=Umbral),1,0))</f>
        <v/>
      </c>
      <c r="AB620" s="52">
        <f>IF(OR(P620="",Q620=""),"",IFERROR(IF(INDEX(ctaVinc,MATCH(Q620,ctaNombre,0))&amp;""&lt;&gt;"",INDEX(ctaVinc,MATCH(Q620,ctaNombre,0))&amp;"",Q620),Q620))</f>
        <v/>
      </c>
      <c r="AC620" s="52">
        <f>IF(OR(K620="",AND(P620&lt;&gt;"Transferencia",P620&lt;&gt;"Pago tarjeta")),"",IFERROR(IF(INDEX(ctaVinc,MATCH(K620,ctaNombre,0))&amp;""&lt;&gt;"",INDEX(ctaVinc,MATCH(K620,ctaNombre,0))&amp;"",K620),K620))</f>
        <v/>
      </c>
      <c r="AD620" s="52">
        <f>IF(AB620="","",IFERROR(INDEX(ctaTipo,MATCH(AB620,ctaNombre,0))&amp;"",""))</f>
        <v/>
      </c>
      <c r="AE620" s="52">
        <f>IF(AC620="","",IFERROR(INDEX(ctaTipo,MATCH(AC620,ctaNombre,0))&amp;"",""))</f>
        <v/>
      </c>
      <c r="AF620" s="53">
        <f>IF(OR(P620="",AB620=""),"",IF(OR(P620="Gasto",P620="Transferencia",P620="Pago tarjeta"),-1,1)*IF(IFERROR(INDEX(ctaMoneda,MATCH(AB620,ctaNombre,0))&amp;"","DOP")="USD",T620,S620))</f>
        <v/>
      </c>
      <c r="AG620" s="53">
        <f>IF(AC620="","",IF(IFERROR(INDEX(ctaMoneda,MATCH(AC620,ctaNombre,0))&amp;"","DOP")="USD",T620,S620))</f>
        <v/>
      </c>
      <c r="AH620" s="53">
        <f>IF(P620="","",IF(AND(AD620&lt;&gt;"",COUNTIFS(tcTipo,AD620,tcLiq,"Sí")&gt;0),IF(OR(P620="Gasto",P620="Transferencia",P620="Pago tarjeta"),-1,1)*S620,0)+IF(AND(AE620&lt;&gt;"",COUNTIFS(tcTipo,AE620,tcLiq,"Sí")&gt;0),S620,0))</f>
        <v/>
      </c>
      <c r="AI620" s="52">
        <f>IF(OR(L620="",P620=""),"",IF(COUNTIFS(L$6:L620,L620,P$6:P620,"?*")=1,MAX(AI$5:AI619)+1,""))</f>
        <v/>
      </c>
    </row>
    <row r="621">
      <c r="B621" s="47" t="n"/>
      <c r="C621" s="48" t="n"/>
      <c r="D621" s="48" t="n"/>
      <c r="E621" s="48" t="n"/>
      <c r="F621" s="48" t="n"/>
      <c r="G621" s="49" t="n"/>
      <c r="H621" s="48" t="n"/>
      <c r="I621" s="50" t="n"/>
      <c r="J621" s="48" t="n"/>
      <c r="K621" s="48" t="n"/>
      <c r="L621" s="48" t="n"/>
      <c r="M621" s="48" t="n"/>
      <c r="N621" s="48" t="n"/>
      <c r="O621" s="51">
        <f>IF(AND(B621="",G621="",C621="",D621="",J621=""),"",IF(B621="","⚠ Falta fecha",IF(G621="","⚠ Falta monto",IF(Q621="","⚠ Falta cuenta",IF(ISNA(MATCH(Q621,ctaNombre,0)),"⚠ Cuenta no registrada",IF(AND(OR(P621="Gasto",P621="Reembolso"),D621=""),"⚠ Falta categoría",IF(AND(D621&lt;&gt;"",E621&lt;&gt;"",ISNA(MATCH(D621&amp;"|"&amp;E621,catClave,0))),"⚠ Subcategoría no corresponde",IF(AND(OR(P621="Transferencia",P621="Pago tarjeta"),K621=""),"⚠ Falta cuenta destino",IF(AND(K621&lt;&gt;"",P621&lt;&gt;"Transferencia",P621&lt;&gt;"Pago tarjeta"),"⚠ Destino solo aplica a transferencias",IF(AND(K621&lt;&gt;"",K621=Q621),"⚠ Origen igual a destino",IF(AND(K621&lt;&gt;"",ISNA(MATCH(K621,ctaNombre,0))),"⚠ Destino no registrado",IF(AND(P621="Pago tarjeta",AE621&lt;&gt;"Tarjeta de crédito"),"⚠ El destino debe ser tarjeta de crédito",IF(AND(P621="Gasto",E621="Depósitos y retiros"),"⚠ Usa tipo Transferencia",IF(AND(P621="Resultado trading",AD621&lt;&gt;"Cuenta de trading"),"⚠ Usa una cuenta de trading",IF(AND(G621&lt;=0,P621&lt;&gt;"Ajuste",P621&lt;&gt;"Resultado trading"),"⚠ El monto debe ser positivo","✓")))))))))))))))</f>
        <v/>
      </c>
      <c r="P621" s="52">
        <f>IF(OR(B621="",G621=""),"",IF(C621="","Gasto",C621))</f>
        <v/>
      </c>
      <c r="Q621" s="52">
        <f>IF(P621="","",IF(J621&lt;&gt;"",J621,CuentaPred&amp;""))</f>
        <v/>
      </c>
      <c r="R621" s="52">
        <f>IF(P621="","",IF(ISNUMBER(I621),I621,TasaUSD))</f>
        <v/>
      </c>
      <c r="S621" s="53">
        <f>IF(P621="","",IF(H621="USD",G621*R621,G621))</f>
        <v/>
      </c>
      <c r="T621" s="53">
        <f>IF(P621="","",IF(H621="USD",G621,IF(R621&gt;0,G621/R621,0)))</f>
        <v/>
      </c>
      <c r="U621" s="53">
        <f>IF(P621="","",IF(P621="Gasto",S621,IF(P621="Reembolso",-S621,0)))</f>
        <v/>
      </c>
      <c r="V621" s="53">
        <f>IF(P621="","",IF(P621="Ingreso",S621,0))</f>
        <v/>
      </c>
      <c r="W621" s="53">
        <f>IF(P621="","",IF(P621="Resultado trading",S621,0))</f>
        <v/>
      </c>
      <c r="X621" s="52">
        <f>IF(OR(P621="Gasto",P621="Reembolso"),IF(M621&lt;&gt;"",M621,IFERROR(INDEX(catClasif,MATCH(D621&amp;"|"&amp;E621,catClave,0))&amp;"","Variable")),"")</f>
        <v/>
      </c>
      <c r="Y621" s="52">
        <f>IF(P621="","",IFERROR(INDEX(catGrupo,MATCH(D621&amp;"|"&amp;E621,catClave,0))&amp;"",""))</f>
        <v/>
      </c>
      <c r="Z621" s="52">
        <f>IF(P621="","",WEEKDAY(B621,2))</f>
        <v/>
      </c>
      <c r="AA621" s="52">
        <f>IF(P621="","",IF(AND(P621="Gasto",X621="Variable",D621&lt;&gt;catTrading,S621&gt;0,S621&lt;=Umbral),1,0))</f>
        <v/>
      </c>
      <c r="AB621" s="52">
        <f>IF(OR(P621="",Q621=""),"",IFERROR(IF(INDEX(ctaVinc,MATCH(Q621,ctaNombre,0))&amp;""&lt;&gt;"",INDEX(ctaVinc,MATCH(Q621,ctaNombre,0))&amp;"",Q621),Q621))</f>
        <v/>
      </c>
      <c r="AC621" s="52">
        <f>IF(OR(K621="",AND(P621&lt;&gt;"Transferencia",P621&lt;&gt;"Pago tarjeta")),"",IFERROR(IF(INDEX(ctaVinc,MATCH(K621,ctaNombre,0))&amp;""&lt;&gt;"",INDEX(ctaVinc,MATCH(K621,ctaNombre,0))&amp;"",K621),K621))</f>
        <v/>
      </c>
      <c r="AD621" s="52">
        <f>IF(AB621="","",IFERROR(INDEX(ctaTipo,MATCH(AB621,ctaNombre,0))&amp;"",""))</f>
        <v/>
      </c>
      <c r="AE621" s="52">
        <f>IF(AC621="","",IFERROR(INDEX(ctaTipo,MATCH(AC621,ctaNombre,0))&amp;"",""))</f>
        <v/>
      </c>
      <c r="AF621" s="53">
        <f>IF(OR(P621="",AB621=""),"",IF(OR(P621="Gasto",P621="Transferencia",P621="Pago tarjeta"),-1,1)*IF(IFERROR(INDEX(ctaMoneda,MATCH(AB621,ctaNombre,0))&amp;"","DOP")="USD",T621,S621))</f>
        <v/>
      </c>
      <c r="AG621" s="53">
        <f>IF(AC621="","",IF(IFERROR(INDEX(ctaMoneda,MATCH(AC621,ctaNombre,0))&amp;"","DOP")="USD",T621,S621))</f>
        <v/>
      </c>
      <c r="AH621" s="53">
        <f>IF(P621="","",IF(AND(AD621&lt;&gt;"",COUNTIFS(tcTipo,AD621,tcLiq,"Sí")&gt;0),IF(OR(P621="Gasto",P621="Transferencia",P621="Pago tarjeta"),-1,1)*S621,0)+IF(AND(AE621&lt;&gt;"",COUNTIFS(tcTipo,AE621,tcLiq,"Sí")&gt;0),S621,0))</f>
        <v/>
      </c>
      <c r="AI621" s="52">
        <f>IF(OR(L621="",P621=""),"",IF(COUNTIFS(L$6:L621,L621,P$6:P621,"?*")=1,MAX(AI$5:AI620)+1,""))</f>
        <v/>
      </c>
    </row>
    <row r="622">
      <c r="B622" s="47" t="n"/>
      <c r="C622" s="48" t="n"/>
      <c r="D622" s="48" t="n"/>
      <c r="E622" s="48" t="n"/>
      <c r="F622" s="48" t="n"/>
      <c r="G622" s="49" t="n"/>
      <c r="H622" s="48" t="n"/>
      <c r="I622" s="50" t="n"/>
      <c r="J622" s="48" t="n"/>
      <c r="K622" s="48" t="n"/>
      <c r="L622" s="48" t="n"/>
      <c r="M622" s="48" t="n"/>
      <c r="N622" s="48" t="n"/>
      <c r="O622" s="51">
        <f>IF(AND(B622="",G622="",C622="",D622="",J622=""),"",IF(B622="","⚠ Falta fecha",IF(G622="","⚠ Falta monto",IF(Q622="","⚠ Falta cuenta",IF(ISNA(MATCH(Q622,ctaNombre,0)),"⚠ Cuenta no registrada",IF(AND(OR(P622="Gasto",P622="Reembolso"),D622=""),"⚠ Falta categoría",IF(AND(D622&lt;&gt;"",E622&lt;&gt;"",ISNA(MATCH(D622&amp;"|"&amp;E622,catClave,0))),"⚠ Subcategoría no corresponde",IF(AND(OR(P622="Transferencia",P622="Pago tarjeta"),K622=""),"⚠ Falta cuenta destino",IF(AND(K622&lt;&gt;"",P622&lt;&gt;"Transferencia",P622&lt;&gt;"Pago tarjeta"),"⚠ Destino solo aplica a transferencias",IF(AND(K622&lt;&gt;"",K622=Q622),"⚠ Origen igual a destino",IF(AND(K622&lt;&gt;"",ISNA(MATCH(K622,ctaNombre,0))),"⚠ Destino no registrado",IF(AND(P622="Pago tarjeta",AE622&lt;&gt;"Tarjeta de crédito"),"⚠ El destino debe ser tarjeta de crédito",IF(AND(P622="Gasto",E622="Depósitos y retiros"),"⚠ Usa tipo Transferencia",IF(AND(P622="Resultado trading",AD622&lt;&gt;"Cuenta de trading"),"⚠ Usa una cuenta de trading",IF(AND(G622&lt;=0,P622&lt;&gt;"Ajuste",P622&lt;&gt;"Resultado trading"),"⚠ El monto debe ser positivo","✓")))))))))))))))</f>
        <v/>
      </c>
      <c r="P622" s="52">
        <f>IF(OR(B622="",G622=""),"",IF(C622="","Gasto",C622))</f>
        <v/>
      </c>
      <c r="Q622" s="52">
        <f>IF(P622="","",IF(J622&lt;&gt;"",J622,CuentaPred&amp;""))</f>
        <v/>
      </c>
      <c r="R622" s="52">
        <f>IF(P622="","",IF(ISNUMBER(I622),I622,TasaUSD))</f>
        <v/>
      </c>
      <c r="S622" s="53">
        <f>IF(P622="","",IF(H622="USD",G622*R622,G622))</f>
        <v/>
      </c>
      <c r="T622" s="53">
        <f>IF(P622="","",IF(H622="USD",G622,IF(R622&gt;0,G622/R622,0)))</f>
        <v/>
      </c>
      <c r="U622" s="53">
        <f>IF(P622="","",IF(P622="Gasto",S622,IF(P622="Reembolso",-S622,0)))</f>
        <v/>
      </c>
      <c r="V622" s="53">
        <f>IF(P622="","",IF(P622="Ingreso",S622,0))</f>
        <v/>
      </c>
      <c r="W622" s="53">
        <f>IF(P622="","",IF(P622="Resultado trading",S622,0))</f>
        <v/>
      </c>
      <c r="X622" s="52">
        <f>IF(OR(P622="Gasto",P622="Reembolso"),IF(M622&lt;&gt;"",M622,IFERROR(INDEX(catClasif,MATCH(D622&amp;"|"&amp;E622,catClave,0))&amp;"","Variable")),"")</f>
        <v/>
      </c>
      <c r="Y622" s="52">
        <f>IF(P622="","",IFERROR(INDEX(catGrupo,MATCH(D622&amp;"|"&amp;E622,catClave,0))&amp;"",""))</f>
        <v/>
      </c>
      <c r="Z622" s="52">
        <f>IF(P622="","",WEEKDAY(B622,2))</f>
        <v/>
      </c>
      <c r="AA622" s="52">
        <f>IF(P622="","",IF(AND(P622="Gasto",X622="Variable",D622&lt;&gt;catTrading,S622&gt;0,S622&lt;=Umbral),1,0))</f>
        <v/>
      </c>
      <c r="AB622" s="52">
        <f>IF(OR(P622="",Q622=""),"",IFERROR(IF(INDEX(ctaVinc,MATCH(Q622,ctaNombre,0))&amp;""&lt;&gt;"",INDEX(ctaVinc,MATCH(Q622,ctaNombre,0))&amp;"",Q622),Q622))</f>
        <v/>
      </c>
      <c r="AC622" s="52">
        <f>IF(OR(K622="",AND(P622&lt;&gt;"Transferencia",P622&lt;&gt;"Pago tarjeta")),"",IFERROR(IF(INDEX(ctaVinc,MATCH(K622,ctaNombre,0))&amp;""&lt;&gt;"",INDEX(ctaVinc,MATCH(K622,ctaNombre,0))&amp;"",K622),K622))</f>
        <v/>
      </c>
      <c r="AD622" s="52">
        <f>IF(AB622="","",IFERROR(INDEX(ctaTipo,MATCH(AB622,ctaNombre,0))&amp;"",""))</f>
        <v/>
      </c>
      <c r="AE622" s="52">
        <f>IF(AC622="","",IFERROR(INDEX(ctaTipo,MATCH(AC622,ctaNombre,0))&amp;"",""))</f>
        <v/>
      </c>
      <c r="AF622" s="53">
        <f>IF(OR(P622="",AB622=""),"",IF(OR(P622="Gasto",P622="Transferencia",P622="Pago tarjeta"),-1,1)*IF(IFERROR(INDEX(ctaMoneda,MATCH(AB622,ctaNombre,0))&amp;"","DOP")="USD",T622,S622))</f>
        <v/>
      </c>
      <c r="AG622" s="53">
        <f>IF(AC622="","",IF(IFERROR(INDEX(ctaMoneda,MATCH(AC622,ctaNombre,0))&amp;"","DOP")="USD",T622,S622))</f>
        <v/>
      </c>
      <c r="AH622" s="53">
        <f>IF(P622="","",IF(AND(AD622&lt;&gt;"",COUNTIFS(tcTipo,AD622,tcLiq,"Sí")&gt;0),IF(OR(P622="Gasto",P622="Transferencia",P622="Pago tarjeta"),-1,1)*S622,0)+IF(AND(AE622&lt;&gt;"",COUNTIFS(tcTipo,AE622,tcLiq,"Sí")&gt;0),S622,0))</f>
        <v/>
      </c>
      <c r="AI622" s="52">
        <f>IF(OR(L622="",P622=""),"",IF(COUNTIFS(L$6:L622,L622,P$6:P622,"?*")=1,MAX(AI$5:AI621)+1,""))</f>
        <v/>
      </c>
    </row>
    <row r="623">
      <c r="B623" s="47" t="n"/>
      <c r="C623" s="48" t="n"/>
      <c r="D623" s="48" t="n"/>
      <c r="E623" s="48" t="n"/>
      <c r="F623" s="48" t="n"/>
      <c r="G623" s="49" t="n"/>
      <c r="H623" s="48" t="n"/>
      <c r="I623" s="50" t="n"/>
      <c r="J623" s="48" t="n"/>
      <c r="K623" s="48" t="n"/>
      <c r="L623" s="48" t="n"/>
      <c r="M623" s="48" t="n"/>
      <c r="N623" s="48" t="n"/>
      <c r="O623" s="51">
        <f>IF(AND(B623="",G623="",C623="",D623="",J623=""),"",IF(B623="","⚠ Falta fecha",IF(G623="","⚠ Falta monto",IF(Q623="","⚠ Falta cuenta",IF(ISNA(MATCH(Q623,ctaNombre,0)),"⚠ Cuenta no registrada",IF(AND(OR(P623="Gasto",P623="Reembolso"),D623=""),"⚠ Falta categoría",IF(AND(D623&lt;&gt;"",E623&lt;&gt;"",ISNA(MATCH(D623&amp;"|"&amp;E623,catClave,0))),"⚠ Subcategoría no corresponde",IF(AND(OR(P623="Transferencia",P623="Pago tarjeta"),K623=""),"⚠ Falta cuenta destino",IF(AND(K623&lt;&gt;"",P623&lt;&gt;"Transferencia",P623&lt;&gt;"Pago tarjeta"),"⚠ Destino solo aplica a transferencias",IF(AND(K623&lt;&gt;"",K623=Q623),"⚠ Origen igual a destino",IF(AND(K623&lt;&gt;"",ISNA(MATCH(K623,ctaNombre,0))),"⚠ Destino no registrado",IF(AND(P623="Pago tarjeta",AE623&lt;&gt;"Tarjeta de crédito"),"⚠ El destino debe ser tarjeta de crédito",IF(AND(P623="Gasto",E623="Depósitos y retiros"),"⚠ Usa tipo Transferencia",IF(AND(P623="Resultado trading",AD623&lt;&gt;"Cuenta de trading"),"⚠ Usa una cuenta de trading",IF(AND(G623&lt;=0,P623&lt;&gt;"Ajuste",P623&lt;&gt;"Resultado trading"),"⚠ El monto debe ser positivo","✓")))))))))))))))</f>
        <v/>
      </c>
      <c r="P623" s="52">
        <f>IF(OR(B623="",G623=""),"",IF(C623="","Gasto",C623))</f>
        <v/>
      </c>
      <c r="Q623" s="52">
        <f>IF(P623="","",IF(J623&lt;&gt;"",J623,CuentaPred&amp;""))</f>
        <v/>
      </c>
      <c r="R623" s="52">
        <f>IF(P623="","",IF(ISNUMBER(I623),I623,TasaUSD))</f>
        <v/>
      </c>
      <c r="S623" s="53">
        <f>IF(P623="","",IF(H623="USD",G623*R623,G623))</f>
        <v/>
      </c>
      <c r="T623" s="53">
        <f>IF(P623="","",IF(H623="USD",G623,IF(R623&gt;0,G623/R623,0)))</f>
        <v/>
      </c>
      <c r="U623" s="53">
        <f>IF(P623="","",IF(P623="Gasto",S623,IF(P623="Reembolso",-S623,0)))</f>
        <v/>
      </c>
      <c r="V623" s="53">
        <f>IF(P623="","",IF(P623="Ingreso",S623,0))</f>
        <v/>
      </c>
      <c r="W623" s="53">
        <f>IF(P623="","",IF(P623="Resultado trading",S623,0))</f>
        <v/>
      </c>
      <c r="X623" s="52">
        <f>IF(OR(P623="Gasto",P623="Reembolso"),IF(M623&lt;&gt;"",M623,IFERROR(INDEX(catClasif,MATCH(D623&amp;"|"&amp;E623,catClave,0))&amp;"","Variable")),"")</f>
        <v/>
      </c>
      <c r="Y623" s="52">
        <f>IF(P623="","",IFERROR(INDEX(catGrupo,MATCH(D623&amp;"|"&amp;E623,catClave,0))&amp;"",""))</f>
        <v/>
      </c>
      <c r="Z623" s="52">
        <f>IF(P623="","",WEEKDAY(B623,2))</f>
        <v/>
      </c>
      <c r="AA623" s="52">
        <f>IF(P623="","",IF(AND(P623="Gasto",X623="Variable",D623&lt;&gt;catTrading,S623&gt;0,S623&lt;=Umbral),1,0))</f>
        <v/>
      </c>
      <c r="AB623" s="52">
        <f>IF(OR(P623="",Q623=""),"",IFERROR(IF(INDEX(ctaVinc,MATCH(Q623,ctaNombre,0))&amp;""&lt;&gt;"",INDEX(ctaVinc,MATCH(Q623,ctaNombre,0))&amp;"",Q623),Q623))</f>
        <v/>
      </c>
      <c r="AC623" s="52">
        <f>IF(OR(K623="",AND(P623&lt;&gt;"Transferencia",P623&lt;&gt;"Pago tarjeta")),"",IFERROR(IF(INDEX(ctaVinc,MATCH(K623,ctaNombre,0))&amp;""&lt;&gt;"",INDEX(ctaVinc,MATCH(K623,ctaNombre,0))&amp;"",K623),K623))</f>
        <v/>
      </c>
      <c r="AD623" s="52">
        <f>IF(AB623="","",IFERROR(INDEX(ctaTipo,MATCH(AB623,ctaNombre,0))&amp;"",""))</f>
        <v/>
      </c>
      <c r="AE623" s="52">
        <f>IF(AC623="","",IFERROR(INDEX(ctaTipo,MATCH(AC623,ctaNombre,0))&amp;"",""))</f>
        <v/>
      </c>
      <c r="AF623" s="53">
        <f>IF(OR(P623="",AB623=""),"",IF(OR(P623="Gasto",P623="Transferencia",P623="Pago tarjeta"),-1,1)*IF(IFERROR(INDEX(ctaMoneda,MATCH(AB623,ctaNombre,0))&amp;"","DOP")="USD",T623,S623))</f>
        <v/>
      </c>
      <c r="AG623" s="53">
        <f>IF(AC623="","",IF(IFERROR(INDEX(ctaMoneda,MATCH(AC623,ctaNombre,0))&amp;"","DOP")="USD",T623,S623))</f>
        <v/>
      </c>
      <c r="AH623" s="53">
        <f>IF(P623="","",IF(AND(AD623&lt;&gt;"",COUNTIFS(tcTipo,AD623,tcLiq,"Sí")&gt;0),IF(OR(P623="Gasto",P623="Transferencia",P623="Pago tarjeta"),-1,1)*S623,0)+IF(AND(AE623&lt;&gt;"",COUNTIFS(tcTipo,AE623,tcLiq,"Sí")&gt;0),S623,0))</f>
        <v/>
      </c>
      <c r="AI623" s="52">
        <f>IF(OR(L623="",P623=""),"",IF(COUNTIFS(L$6:L623,L623,P$6:P623,"?*")=1,MAX(AI$5:AI622)+1,""))</f>
        <v/>
      </c>
    </row>
    <row r="624">
      <c r="B624" s="47" t="n"/>
      <c r="C624" s="48" t="n"/>
      <c r="D624" s="48" t="n"/>
      <c r="E624" s="48" t="n"/>
      <c r="F624" s="48" t="n"/>
      <c r="G624" s="49" t="n"/>
      <c r="H624" s="48" t="n"/>
      <c r="I624" s="50" t="n"/>
      <c r="J624" s="48" t="n"/>
      <c r="K624" s="48" t="n"/>
      <c r="L624" s="48" t="n"/>
      <c r="M624" s="48" t="n"/>
      <c r="N624" s="48" t="n"/>
      <c r="O624" s="51">
        <f>IF(AND(B624="",G624="",C624="",D624="",J624=""),"",IF(B624="","⚠ Falta fecha",IF(G624="","⚠ Falta monto",IF(Q624="","⚠ Falta cuenta",IF(ISNA(MATCH(Q624,ctaNombre,0)),"⚠ Cuenta no registrada",IF(AND(OR(P624="Gasto",P624="Reembolso"),D624=""),"⚠ Falta categoría",IF(AND(D624&lt;&gt;"",E624&lt;&gt;"",ISNA(MATCH(D624&amp;"|"&amp;E624,catClave,0))),"⚠ Subcategoría no corresponde",IF(AND(OR(P624="Transferencia",P624="Pago tarjeta"),K624=""),"⚠ Falta cuenta destino",IF(AND(K624&lt;&gt;"",P624&lt;&gt;"Transferencia",P624&lt;&gt;"Pago tarjeta"),"⚠ Destino solo aplica a transferencias",IF(AND(K624&lt;&gt;"",K624=Q624),"⚠ Origen igual a destino",IF(AND(K624&lt;&gt;"",ISNA(MATCH(K624,ctaNombre,0))),"⚠ Destino no registrado",IF(AND(P624="Pago tarjeta",AE624&lt;&gt;"Tarjeta de crédito"),"⚠ El destino debe ser tarjeta de crédito",IF(AND(P624="Gasto",E624="Depósitos y retiros"),"⚠ Usa tipo Transferencia",IF(AND(P624="Resultado trading",AD624&lt;&gt;"Cuenta de trading"),"⚠ Usa una cuenta de trading",IF(AND(G624&lt;=0,P624&lt;&gt;"Ajuste",P624&lt;&gt;"Resultado trading"),"⚠ El monto debe ser positivo","✓")))))))))))))))</f>
        <v/>
      </c>
      <c r="P624" s="52">
        <f>IF(OR(B624="",G624=""),"",IF(C624="","Gasto",C624))</f>
        <v/>
      </c>
      <c r="Q624" s="52">
        <f>IF(P624="","",IF(J624&lt;&gt;"",J624,CuentaPred&amp;""))</f>
        <v/>
      </c>
      <c r="R624" s="52">
        <f>IF(P624="","",IF(ISNUMBER(I624),I624,TasaUSD))</f>
        <v/>
      </c>
      <c r="S624" s="53">
        <f>IF(P624="","",IF(H624="USD",G624*R624,G624))</f>
        <v/>
      </c>
      <c r="T624" s="53">
        <f>IF(P624="","",IF(H624="USD",G624,IF(R624&gt;0,G624/R624,0)))</f>
        <v/>
      </c>
      <c r="U624" s="53">
        <f>IF(P624="","",IF(P624="Gasto",S624,IF(P624="Reembolso",-S624,0)))</f>
        <v/>
      </c>
      <c r="V624" s="53">
        <f>IF(P624="","",IF(P624="Ingreso",S624,0))</f>
        <v/>
      </c>
      <c r="W624" s="53">
        <f>IF(P624="","",IF(P624="Resultado trading",S624,0))</f>
        <v/>
      </c>
      <c r="X624" s="52">
        <f>IF(OR(P624="Gasto",P624="Reembolso"),IF(M624&lt;&gt;"",M624,IFERROR(INDEX(catClasif,MATCH(D624&amp;"|"&amp;E624,catClave,0))&amp;"","Variable")),"")</f>
        <v/>
      </c>
      <c r="Y624" s="52">
        <f>IF(P624="","",IFERROR(INDEX(catGrupo,MATCH(D624&amp;"|"&amp;E624,catClave,0))&amp;"",""))</f>
        <v/>
      </c>
      <c r="Z624" s="52">
        <f>IF(P624="","",WEEKDAY(B624,2))</f>
        <v/>
      </c>
      <c r="AA624" s="52">
        <f>IF(P624="","",IF(AND(P624="Gasto",X624="Variable",D624&lt;&gt;catTrading,S624&gt;0,S624&lt;=Umbral),1,0))</f>
        <v/>
      </c>
      <c r="AB624" s="52">
        <f>IF(OR(P624="",Q624=""),"",IFERROR(IF(INDEX(ctaVinc,MATCH(Q624,ctaNombre,0))&amp;""&lt;&gt;"",INDEX(ctaVinc,MATCH(Q624,ctaNombre,0))&amp;"",Q624),Q624))</f>
        <v/>
      </c>
      <c r="AC624" s="52">
        <f>IF(OR(K624="",AND(P624&lt;&gt;"Transferencia",P624&lt;&gt;"Pago tarjeta")),"",IFERROR(IF(INDEX(ctaVinc,MATCH(K624,ctaNombre,0))&amp;""&lt;&gt;"",INDEX(ctaVinc,MATCH(K624,ctaNombre,0))&amp;"",K624),K624))</f>
        <v/>
      </c>
      <c r="AD624" s="52">
        <f>IF(AB624="","",IFERROR(INDEX(ctaTipo,MATCH(AB624,ctaNombre,0))&amp;"",""))</f>
        <v/>
      </c>
      <c r="AE624" s="52">
        <f>IF(AC624="","",IFERROR(INDEX(ctaTipo,MATCH(AC624,ctaNombre,0))&amp;"",""))</f>
        <v/>
      </c>
      <c r="AF624" s="53">
        <f>IF(OR(P624="",AB624=""),"",IF(OR(P624="Gasto",P624="Transferencia",P624="Pago tarjeta"),-1,1)*IF(IFERROR(INDEX(ctaMoneda,MATCH(AB624,ctaNombre,0))&amp;"","DOP")="USD",T624,S624))</f>
        <v/>
      </c>
      <c r="AG624" s="53">
        <f>IF(AC624="","",IF(IFERROR(INDEX(ctaMoneda,MATCH(AC624,ctaNombre,0))&amp;"","DOP")="USD",T624,S624))</f>
        <v/>
      </c>
      <c r="AH624" s="53">
        <f>IF(P624="","",IF(AND(AD624&lt;&gt;"",COUNTIFS(tcTipo,AD624,tcLiq,"Sí")&gt;0),IF(OR(P624="Gasto",P624="Transferencia",P624="Pago tarjeta"),-1,1)*S624,0)+IF(AND(AE624&lt;&gt;"",COUNTIFS(tcTipo,AE624,tcLiq,"Sí")&gt;0),S624,0))</f>
        <v/>
      </c>
      <c r="AI624" s="52">
        <f>IF(OR(L624="",P624=""),"",IF(COUNTIFS(L$6:L624,L624,P$6:P624,"?*")=1,MAX(AI$5:AI623)+1,""))</f>
        <v/>
      </c>
    </row>
    <row r="625">
      <c r="B625" s="47" t="n"/>
      <c r="C625" s="48" t="n"/>
      <c r="D625" s="48" t="n"/>
      <c r="E625" s="48" t="n"/>
      <c r="F625" s="48" t="n"/>
      <c r="G625" s="49" t="n"/>
      <c r="H625" s="48" t="n"/>
      <c r="I625" s="50" t="n"/>
      <c r="J625" s="48" t="n"/>
      <c r="K625" s="48" t="n"/>
      <c r="L625" s="48" t="n"/>
      <c r="M625" s="48" t="n"/>
      <c r="N625" s="48" t="n"/>
      <c r="O625" s="51">
        <f>IF(AND(B625="",G625="",C625="",D625="",J625=""),"",IF(B625="","⚠ Falta fecha",IF(G625="","⚠ Falta monto",IF(Q625="","⚠ Falta cuenta",IF(ISNA(MATCH(Q625,ctaNombre,0)),"⚠ Cuenta no registrada",IF(AND(OR(P625="Gasto",P625="Reembolso"),D625=""),"⚠ Falta categoría",IF(AND(D625&lt;&gt;"",E625&lt;&gt;"",ISNA(MATCH(D625&amp;"|"&amp;E625,catClave,0))),"⚠ Subcategoría no corresponde",IF(AND(OR(P625="Transferencia",P625="Pago tarjeta"),K625=""),"⚠ Falta cuenta destino",IF(AND(K625&lt;&gt;"",P625&lt;&gt;"Transferencia",P625&lt;&gt;"Pago tarjeta"),"⚠ Destino solo aplica a transferencias",IF(AND(K625&lt;&gt;"",K625=Q625),"⚠ Origen igual a destino",IF(AND(K625&lt;&gt;"",ISNA(MATCH(K625,ctaNombre,0))),"⚠ Destino no registrado",IF(AND(P625="Pago tarjeta",AE625&lt;&gt;"Tarjeta de crédito"),"⚠ El destino debe ser tarjeta de crédito",IF(AND(P625="Gasto",E625="Depósitos y retiros"),"⚠ Usa tipo Transferencia",IF(AND(P625="Resultado trading",AD625&lt;&gt;"Cuenta de trading"),"⚠ Usa una cuenta de trading",IF(AND(G625&lt;=0,P625&lt;&gt;"Ajuste",P625&lt;&gt;"Resultado trading"),"⚠ El monto debe ser positivo","✓")))))))))))))))</f>
        <v/>
      </c>
      <c r="P625" s="52">
        <f>IF(OR(B625="",G625=""),"",IF(C625="","Gasto",C625))</f>
        <v/>
      </c>
      <c r="Q625" s="52">
        <f>IF(P625="","",IF(J625&lt;&gt;"",J625,CuentaPred&amp;""))</f>
        <v/>
      </c>
      <c r="R625" s="52">
        <f>IF(P625="","",IF(ISNUMBER(I625),I625,TasaUSD))</f>
        <v/>
      </c>
      <c r="S625" s="53">
        <f>IF(P625="","",IF(H625="USD",G625*R625,G625))</f>
        <v/>
      </c>
      <c r="T625" s="53">
        <f>IF(P625="","",IF(H625="USD",G625,IF(R625&gt;0,G625/R625,0)))</f>
        <v/>
      </c>
      <c r="U625" s="53">
        <f>IF(P625="","",IF(P625="Gasto",S625,IF(P625="Reembolso",-S625,0)))</f>
        <v/>
      </c>
      <c r="V625" s="53">
        <f>IF(P625="","",IF(P625="Ingreso",S625,0))</f>
        <v/>
      </c>
      <c r="W625" s="53">
        <f>IF(P625="","",IF(P625="Resultado trading",S625,0))</f>
        <v/>
      </c>
      <c r="X625" s="52">
        <f>IF(OR(P625="Gasto",P625="Reembolso"),IF(M625&lt;&gt;"",M625,IFERROR(INDEX(catClasif,MATCH(D625&amp;"|"&amp;E625,catClave,0))&amp;"","Variable")),"")</f>
        <v/>
      </c>
      <c r="Y625" s="52">
        <f>IF(P625="","",IFERROR(INDEX(catGrupo,MATCH(D625&amp;"|"&amp;E625,catClave,0))&amp;"",""))</f>
        <v/>
      </c>
      <c r="Z625" s="52">
        <f>IF(P625="","",WEEKDAY(B625,2))</f>
        <v/>
      </c>
      <c r="AA625" s="52">
        <f>IF(P625="","",IF(AND(P625="Gasto",X625="Variable",D625&lt;&gt;catTrading,S625&gt;0,S625&lt;=Umbral),1,0))</f>
        <v/>
      </c>
      <c r="AB625" s="52">
        <f>IF(OR(P625="",Q625=""),"",IFERROR(IF(INDEX(ctaVinc,MATCH(Q625,ctaNombre,0))&amp;""&lt;&gt;"",INDEX(ctaVinc,MATCH(Q625,ctaNombre,0))&amp;"",Q625),Q625))</f>
        <v/>
      </c>
      <c r="AC625" s="52">
        <f>IF(OR(K625="",AND(P625&lt;&gt;"Transferencia",P625&lt;&gt;"Pago tarjeta")),"",IFERROR(IF(INDEX(ctaVinc,MATCH(K625,ctaNombre,0))&amp;""&lt;&gt;"",INDEX(ctaVinc,MATCH(K625,ctaNombre,0))&amp;"",K625),K625))</f>
        <v/>
      </c>
      <c r="AD625" s="52">
        <f>IF(AB625="","",IFERROR(INDEX(ctaTipo,MATCH(AB625,ctaNombre,0))&amp;"",""))</f>
        <v/>
      </c>
      <c r="AE625" s="52">
        <f>IF(AC625="","",IFERROR(INDEX(ctaTipo,MATCH(AC625,ctaNombre,0))&amp;"",""))</f>
        <v/>
      </c>
      <c r="AF625" s="53">
        <f>IF(OR(P625="",AB625=""),"",IF(OR(P625="Gasto",P625="Transferencia",P625="Pago tarjeta"),-1,1)*IF(IFERROR(INDEX(ctaMoneda,MATCH(AB625,ctaNombre,0))&amp;"","DOP")="USD",T625,S625))</f>
        <v/>
      </c>
      <c r="AG625" s="53">
        <f>IF(AC625="","",IF(IFERROR(INDEX(ctaMoneda,MATCH(AC625,ctaNombre,0))&amp;"","DOP")="USD",T625,S625))</f>
        <v/>
      </c>
      <c r="AH625" s="53">
        <f>IF(P625="","",IF(AND(AD625&lt;&gt;"",COUNTIFS(tcTipo,AD625,tcLiq,"Sí")&gt;0),IF(OR(P625="Gasto",P625="Transferencia",P625="Pago tarjeta"),-1,1)*S625,0)+IF(AND(AE625&lt;&gt;"",COUNTIFS(tcTipo,AE625,tcLiq,"Sí")&gt;0),S625,0))</f>
        <v/>
      </c>
      <c r="AI625" s="52">
        <f>IF(OR(L625="",P625=""),"",IF(COUNTIFS(L$6:L625,L625,P$6:P625,"?*")=1,MAX(AI$5:AI624)+1,""))</f>
        <v/>
      </c>
    </row>
    <row r="626">
      <c r="B626" s="47" t="n"/>
      <c r="C626" s="48" t="n"/>
      <c r="D626" s="48" t="n"/>
      <c r="E626" s="48" t="n"/>
      <c r="F626" s="48" t="n"/>
      <c r="G626" s="49" t="n"/>
      <c r="H626" s="48" t="n"/>
      <c r="I626" s="50" t="n"/>
      <c r="J626" s="48" t="n"/>
      <c r="K626" s="48" t="n"/>
      <c r="L626" s="48" t="n"/>
      <c r="M626" s="48" t="n"/>
      <c r="N626" s="48" t="n"/>
      <c r="O626" s="51">
        <f>IF(AND(B626="",G626="",C626="",D626="",J626=""),"",IF(B626="","⚠ Falta fecha",IF(G626="","⚠ Falta monto",IF(Q626="","⚠ Falta cuenta",IF(ISNA(MATCH(Q626,ctaNombre,0)),"⚠ Cuenta no registrada",IF(AND(OR(P626="Gasto",P626="Reembolso"),D626=""),"⚠ Falta categoría",IF(AND(D626&lt;&gt;"",E626&lt;&gt;"",ISNA(MATCH(D626&amp;"|"&amp;E626,catClave,0))),"⚠ Subcategoría no corresponde",IF(AND(OR(P626="Transferencia",P626="Pago tarjeta"),K626=""),"⚠ Falta cuenta destino",IF(AND(K626&lt;&gt;"",P626&lt;&gt;"Transferencia",P626&lt;&gt;"Pago tarjeta"),"⚠ Destino solo aplica a transferencias",IF(AND(K626&lt;&gt;"",K626=Q626),"⚠ Origen igual a destino",IF(AND(K626&lt;&gt;"",ISNA(MATCH(K626,ctaNombre,0))),"⚠ Destino no registrado",IF(AND(P626="Pago tarjeta",AE626&lt;&gt;"Tarjeta de crédito"),"⚠ El destino debe ser tarjeta de crédito",IF(AND(P626="Gasto",E626="Depósitos y retiros"),"⚠ Usa tipo Transferencia",IF(AND(P626="Resultado trading",AD626&lt;&gt;"Cuenta de trading"),"⚠ Usa una cuenta de trading",IF(AND(G626&lt;=0,P626&lt;&gt;"Ajuste",P626&lt;&gt;"Resultado trading"),"⚠ El monto debe ser positivo","✓")))))))))))))))</f>
        <v/>
      </c>
      <c r="P626" s="52">
        <f>IF(OR(B626="",G626=""),"",IF(C626="","Gasto",C626))</f>
        <v/>
      </c>
      <c r="Q626" s="52">
        <f>IF(P626="","",IF(J626&lt;&gt;"",J626,CuentaPred&amp;""))</f>
        <v/>
      </c>
      <c r="R626" s="52">
        <f>IF(P626="","",IF(ISNUMBER(I626),I626,TasaUSD))</f>
        <v/>
      </c>
      <c r="S626" s="53">
        <f>IF(P626="","",IF(H626="USD",G626*R626,G626))</f>
        <v/>
      </c>
      <c r="T626" s="53">
        <f>IF(P626="","",IF(H626="USD",G626,IF(R626&gt;0,G626/R626,0)))</f>
        <v/>
      </c>
      <c r="U626" s="53">
        <f>IF(P626="","",IF(P626="Gasto",S626,IF(P626="Reembolso",-S626,0)))</f>
        <v/>
      </c>
      <c r="V626" s="53">
        <f>IF(P626="","",IF(P626="Ingreso",S626,0))</f>
        <v/>
      </c>
      <c r="W626" s="53">
        <f>IF(P626="","",IF(P626="Resultado trading",S626,0))</f>
        <v/>
      </c>
      <c r="X626" s="52">
        <f>IF(OR(P626="Gasto",P626="Reembolso"),IF(M626&lt;&gt;"",M626,IFERROR(INDEX(catClasif,MATCH(D626&amp;"|"&amp;E626,catClave,0))&amp;"","Variable")),"")</f>
        <v/>
      </c>
      <c r="Y626" s="52">
        <f>IF(P626="","",IFERROR(INDEX(catGrupo,MATCH(D626&amp;"|"&amp;E626,catClave,0))&amp;"",""))</f>
        <v/>
      </c>
      <c r="Z626" s="52">
        <f>IF(P626="","",WEEKDAY(B626,2))</f>
        <v/>
      </c>
      <c r="AA626" s="52">
        <f>IF(P626="","",IF(AND(P626="Gasto",X626="Variable",D626&lt;&gt;catTrading,S626&gt;0,S626&lt;=Umbral),1,0))</f>
        <v/>
      </c>
      <c r="AB626" s="52">
        <f>IF(OR(P626="",Q626=""),"",IFERROR(IF(INDEX(ctaVinc,MATCH(Q626,ctaNombre,0))&amp;""&lt;&gt;"",INDEX(ctaVinc,MATCH(Q626,ctaNombre,0))&amp;"",Q626),Q626))</f>
        <v/>
      </c>
      <c r="AC626" s="52">
        <f>IF(OR(K626="",AND(P626&lt;&gt;"Transferencia",P626&lt;&gt;"Pago tarjeta")),"",IFERROR(IF(INDEX(ctaVinc,MATCH(K626,ctaNombre,0))&amp;""&lt;&gt;"",INDEX(ctaVinc,MATCH(K626,ctaNombre,0))&amp;"",K626),K626))</f>
        <v/>
      </c>
      <c r="AD626" s="52">
        <f>IF(AB626="","",IFERROR(INDEX(ctaTipo,MATCH(AB626,ctaNombre,0))&amp;"",""))</f>
        <v/>
      </c>
      <c r="AE626" s="52">
        <f>IF(AC626="","",IFERROR(INDEX(ctaTipo,MATCH(AC626,ctaNombre,0))&amp;"",""))</f>
        <v/>
      </c>
      <c r="AF626" s="53">
        <f>IF(OR(P626="",AB626=""),"",IF(OR(P626="Gasto",P626="Transferencia",P626="Pago tarjeta"),-1,1)*IF(IFERROR(INDEX(ctaMoneda,MATCH(AB626,ctaNombre,0))&amp;"","DOP")="USD",T626,S626))</f>
        <v/>
      </c>
      <c r="AG626" s="53">
        <f>IF(AC626="","",IF(IFERROR(INDEX(ctaMoneda,MATCH(AC626,ctaNombre,0))&amp;"","DOP")="USD",T626,S626))</f>
        <v/>
      </c>
      <c r="AH626" s="53">
        <f>IF(P626="","",IF(AND(AD626&lt;&gt;"",COUNTIFS(tcTipo,AD626,tcLiq,"Sí")&gt;0),IF(OR(P626="Gasto",P626="Transferencia",P626="Pago tarjeta"),-1,1)*S626,0)+IF(AND(AE626&lt;&gt;"",COUNTIFS(tcTipo,AE626,tcLiq,"Sí")&gt;0),S626,0))</f>
        <v/>
      </c>
      <c r="AI626" s="52">
        <f>IF(OR(L626="",P626=""),"",IF(COUNTIFS(L$6:L626,L626,P$6:P626,"?*")=1,MAX(AI$5:AI625)+1,""))</f>
        <v/>
      </c>
    </row>
    <row r="627">
      <c r="B627" s="47" t="n"/>
      <c r="C627" s="48" t="n"/>
      <c r="D627" s="48" t="n"/>
      <c r="E627" s="48" t="n"/>
      <c r="F627" s="48" t="n"/>
      <c r="G627" s="49" t="n"/>
      <c r="H627" s="48" t="n"/>
      <c r="I627" s="50" t="n"/>
      <c r="J627" s="48" t="n"/>
      <c r="K627" s="48" t="n"/>
      <c r="L627" s="48" t="n"/>
      <c r="M627" s="48" t="n"/>
      <c r="N627" s="48" t="n"/>
      <c r="O627" s="51">
        <f>IF(AND(B627="",G627="",C627="",D627="",J627=""),"",IF(B627="","⚠ Falta fecha",IF(G627="","⚠ Falta monto",IF(Q627="","⚠ Falta cuenta",IF(ISNA(MATCH(Q627,ctaNombre,0)),"⚠ Cuenta no registrada",IF(AND(OR(P627="Gasto",P627="Reembolso"),D627=""),"⚠ Falta categoría",IF(AND(D627&lt;&gt;"",E627&lt;&gt;"",ISNA(MATCH(D627&amp;"|"&amp;E627,catClave,0))),"⚠ Subcategoría no corresponde",IF(AND(OR(P627="Transferencia",P627="Pago tarjeta"),K627=""),"⚠ Falta cuenta destino",IF(AND(K627&lt;&gt;"",P627&lt;&gt;"Transferencia",P627&lt;&gt;"Pago tarjeta"),"⚠ Destino solo aplica a transferencias",IF(AND(K627&lt;&gt;"",K627=Q627),"⚠ Origen igual a destino",IF(AND(K627&lt;&gt;"",ISNA(MATCH(K627,ctaNombre,0))),"⚠ Destino no registrado",IF(AND(P627="Pago tarjeta",AE627&lt;&gt;"Tarjeta de crédito"),"⚠ El destino debe ser tarjeta de crédito",IF(AND(P627="Gasto",E627="Depósitos y retiros"),"⚠ Usa tipo Transferencia",IF(AND(P627="Resultado trading",AD627&lt;&gt;"Cuenta de trading"),"⚠ Usa una cuenta de trading",IF(AND(G627&lt;=0,P627&lt;&gt;"Ajuste",P627&lt;&gt;"Resultado trading"),"⚠ El monto debe ser positivo","✓")))))))))))))))</f>
        <v/>
      </c>
      <c r="P627" s="52">
        <f>IF(OR(B627="",G627=""),"",IF(C627="","Gasto",C627))</f>
        <v/>
      </c>
      <c r="Q627" s="52">
        <f>IF(P627="","",IF(J627&lt;&gt;"",J627,CuentaPred&amp;""))</f>
        <v/>
      </c>
      <c r="R627" s="52">
        <f>IF(P627="","",IF(ISNUMBER(I627),I627,TasaUSD))</f>
        <v/>
      </c>
      <c r="S627" s="53">
        <f>IF(P627="","",IF(H627="USD",G627*R627,G627))</f>
        <v/>
      </c>
      <c r="T627" s="53">
        <f>IF(P627="","",IF(H627="USD",G627,IF(R627&gt;0,G627/R627,0)))</f>
        <v/>
      </c>
      <c r="U627" s="53">
        <f>IF(P627="","",IF(P627="Gasto",S627,IF(P627="Reembolso",-S627,0)))</f>
        <v/>
      </c>
      <c r="V627" s="53">
        <f>IF(P627="","",IF(P627="Ingreso",S627,0))</f>
        <v/>
      </c>
      <c r="W627" s="53">
        <f>IF(P627="","",IF(P627="Resultado trading",S627,0))</f>
        <v/>
      </c>
      <c r="X627" s="52">
        <f>IF(OR(P627="Gasto",P627="Reembolso"),IF(M627&lt;&gt;"",M627,IFERROR(INDEX(catClasif,MATCH(D627&amp;"|"&amp;E627,catClave,0))&amp;"","Variable")),"")</f>
        <v/>
      </c>
      <c r="Y627" s="52">
        <f>IF(P627="","",IFERROR(INDEX(catGrupo,MATCH(D627&amp;"|"&amp;E627,catClave,0))&amp;"",""))</f>
        <v/>
      </c>
      <c r="Z627" s="52">
        <f>IF(P627="","",WEEKDAY(B627,2))</f>
        <v/>
      </c>
      <c r="AA627" s="52">
        <f>IF(P627="","",IF(AND(P627="Gasto",X627="Variable",D627&lt;&gt;catTrading,S627&gt;0,S627&lt;=Umbral),1,0))</f>
        <v/>
      </c>
      <c r="AB627" s="52">
        <f>IF(OR(P627="",Q627=""),"",IFERROR(IF(INDEX(ctaVinc,MATCH(Q627,ctaNombre,0))&amp;""&lt;&gt;"",INDEX(ctaVinc,MATCH(Q627,ctaNombre,0))&amp;"",Q627),Q627))</f>
        <v/>
      </c>
      <c r="AC627" s="52">
        <f>IF(OR(K627="",AND(P627&lt;&gt;"Transferencia",P627&lt;&gt;"Pago tarjeta")),"",IFERROR(IF(INDEX(ctaVinc,MATCH(K627,ctaNombre,0))&amp;""&lt;&gt;"",INDEX(ctaVinc,MATCH(K627,ctaNombre,0))&amp;"",K627),K627))</f>
        <v/>
      </c>
      <c r="AD627" s="52">
        <f>IF(AB627="","",IFERROR(INDEX(ctaTipo,MATCH(AB627,ctaNombre,0))&amp;"",""))</f>
        <v/>
      </c>
      <c r="AE627" s="52">
        <f>IF(AC627="","",IFERROR(INDEX(ctaTipo,MATCH(AC627,ctaNombre,0))&amp;"",""))</f>
        <v/>
      </c>
      <c r="AF627" s="53">
        <f>IF(OR(P627="",AB627=""),"",IF(OR(P627="Gasto",P627="Transferencia",P627="Pago tarjeta"),-1,1)*IF(IFERROR(INDEX(ctaMoneda,MATCH(AB627,ctaNombre,0))&amp;"","DOP")="USD",T627,S627))</f>
        <v/>
      </c>
      <c r="AG627" s="53">
        <f>IF(AC627="","",IF(IFERROR(INDEX(ctaMoneda,MATCH(AC627,ctaNombre,0))&amp;"","DOP")="USD",T627,S627))</f>
        <v/>
      </c>
      <c r="AH627" s="53">
        <f>IF(P627="","",IF(AND(AD627&lt;&gt;"",COUNTIFS(tcTipo,AD627,tcLiq,"Sí")&gt;0),IF(OR(P627="Gasto",P627="Transferencia",P627="Pago tarjeta"),-1,1)*S627,0)+IF(AND(AE627&lt;&gt;"",COUNTIFS(tcTipo,AE627,tcLiq,"Sí")&gt;0),S627,0))</f>
        <v/>
      </c>
      <c r="AI627" s="52">
        <f>IF(OR(L627="",P627=""),"",IF(COUNTIFS(L$6:L627,L627,P$6:P627,"?*")=1,MAX(AI$5:AI626)+1,""))</f>
        <v/>
      </c>
    </row>
    <row r="628">
      <c r="B628" s="47" t="n"/>
      <c r="C628" s="48" t="n"/>
      <c r="D628" s="48" t="n"/>
      <c r="E628" s="48" t="n"/>
      <c r="F628" s="48" t="n"/>
      <c r="G628" s="49" t="n"/>
      <c r="H628" s="48" t="n"/>
      <c r="I628" s="50" t="n"/>
      <c r="J628" s="48" t="n"/>
      <c r="K628" s="48" t="n"/>
      <c r="L628" s="48" t="n"/>
      <c r="M628" s="48" t="n"/>
      <c r="N628" s="48" t="n"/>
      <c r="O628" s="51">
        <f>IF(AND(B628="",G628="",C628="",D628="",J628=""),"",IF(B628="","⚠ Falta fecha",IF(G628="","⚠ Falta monto",IF(Q628="","⚠ Falta cuenta",IF(ISNA(MATCH(Q628,ctaNombre,0)),"⚠ Cuenta no registrada",IF(AND(OR(P628="Gasto",P628="Reembolso"),D628=""),"⚠ Falta categoría",IF(AND(D628&lt;&gt;"",E628&lt;&gt;"",ISNA(MATCH(D628&amp;"|"&amp;E628,catClave,0))),"⚠ Subcategoría no corresponde",IF(AND(OR(P628="Transferencia",P628="Pago tarjeta"),K628=""),"⚠ Falta cuenta destino",IF(AND(K628&lt;&gt;"",P628&lt;&gt;"Transferencia",P628&lt;&gt;"Pago tarjeta"),"⚠ Destino solo aplica a transferencias",IF(AND(K628&lt;&gt;"",K628=Q628),"⚠ Origen igual a destino",IF(AND(K628&lt;&gt;"",ISNA(MATCH(K628,ctaNombre,0))),"⚠ Destino no registrado",IF(AND(P628="Pago tarjeta",AE628&lt;&gt;"Tarjeta de crédito"),"⚠ El destino debe ser tarjeta de crédito",IF(AND(P628="Gasto",E628="Depósitos y retiros"),"⚠ Usa tipo Transferencia",IF(AND(P628="Resultado trading",AD628&lt;&gt;"Cuenta de trading"),"⚠ Usa una cuenta de trading",IF(AND(G628&lt;=0,P628&lt;&gt;"Ajuste",P628&lt;&gt;"Resultado trading"),"⚠ El monto debe ser positivo","✓")))))))))))))))</f>
        <v/>
      </c>
      <c r="P628" s="52">
        <f>IF(OR(B628="",G628=""),"",IF(C628="","Gasto",C628))</f>
        <v/>
      </c>
      <c r="Q628" s="52">
        <f>IF(P628="","",IF(J628&lt;&gt;"",J628,CuentaPred&amp;""))</f>
        <v/>
      </c>
      <c r="R628" s="52">
        <f>IF(P628="","",IF(ISNUMBER(I628),I628,TasaUSD))</f>
        <v/>
      </c>
      <c r="S628" s="53">
        <f>IF(P628="","",IF(H628="USD",G628*R628,G628))</f>
        <v/>
      </c>
      <c r="T628" s="53">
        <f>IF(P628="","",IF(H628="USD",G628,IF(R628&gt;0,G628/R628,0)))</f>
        <v/>
      </c>
      <c r="U628" s="53">
        <f>IF(P628="","",IF(P628="Gasto",S628,IF(P628="Reembolso",-S628,0)))</f>
        <v/>
      </c>
      <c r="V628" s="53">
        <f>IF(P628="","",IF(P628="Ingreso",S628,0))</f>
        <v/>
      </c>
      <c r="W628" s="53">
        <f>IF(P628="","",IF(P628="Resultado trading",S628,0))</f>
        <v/>
      </c>
      <c r="X628" s="52">
        <f>IF(OR(P628="Gasto",P628="Reembolso"),IF(M628&lt;&gt;"",M628,IFERROR(INDEX(catClasif,MATCH(D628&amp;"|"&amp;E628,catClave,0))&amp;"","Variable")),"")</f>
        <v/>
      </c>
      <c r="Y628" s="52">
        <f>IF(P628="","",IFERROR(INDEX(catGrupo,MATCH(D628&amp;"|"&amp;E628,catClave,0))&amp;"",""))</f>
        <v/>
      </c>
      <c r="Z628" s="52">
        <f>IF(P628="","",WEEKDAY(B628,2))</f>
        <v/>
      </c>
      <c r="AA628" s="52">
        <f>IF(P628="","",IF(AND(P628="Gasto",X628="Variable",D628&lt;&gt;catTrading,S628&gt;0,S628&lt;=Umbral),1,0))</f>
        <v/>
      </c>
      <c r="AB628" s="52">
        <f>IF(OR(P628="",Q628=""),"",IFERROR(IF(INDEX(ctaVinc,MATCH(Q628,ctaNombre,0))&amp;""&lt;&gt;"",INDEX(ctaVinc,MATCH(Q628,ctaNombre,0))&amp;"",Q628),Q628))</f>
        <v/>
      </c>
      <c r="AC628" s="52">
        <f>IF(OR(K628="",AND(P628&lt;&gt;"Transferencia",P628&lt;&gt;"Pago tarjeta")),"",IFERROR(IF(INDEX(ctaVinc,MATCH(K628,ctaNombre,0))&amp;""&lt;&gt;"",INDEX(ctaVinc,MATCH(K628,ctaNombre,0))&amp;"",K628),K628))</f>
        <v/>
      </c>
      <c r="AD628" s="52">
        <f>IF(AB628="","",IFERROR(INDEX(ctaTipo,MATCH(AB628,ctaNombre,0))&amp;"",""))</f>
        <v/>
      </c>
      <c r="AE628" s="52">
        <f>IF(AC628="","",IFERROR(INDEX(ctaTipo,MATCH(AC628,ctaNombre,0))&amp;"",""))</f>
        <v/>
      </c>
      <c r="AF628" s="53">
        <f>IF(OR(P628="",AB628=""),"",IF(OR(P628="Gasto",P628="Transferencia",P628="Pago tarjeta"),-1,1)*IF(IFERROR(INDEX(ctaMoneda,MATCH(AB628,ctaNombre,0))&amp;"","DOP")="USD",T628,S628))</f>
        <v/>
      </c>
      <c r="AG628" s="53">
        <f>IF(AC628="","",IF(IFERROR(INDEX(ctaMoneda,MATCH(AC628,ctaNombre,0))&amp;"","DOP")="USD",T628,S628))</f>
        <v/>
      </c>
      <c r="AH628" s="53">
        <f>IF(P628="","",IF(AND(AD628&lt;&gt;"",COUNTIFS(tcTipo,AD628,tcLiq,"Sí")&gt;0),IF(OR(P628="Gasto",P628="Transferencia",P628="Pago tarjeta"),-1,1)*S628,0)+IF(AND(AE628&lt;&gt;"",COUNTIFS(tcTipo,AE628,tcLiq,"Sí")&gt;0),S628,0))</f>
        <v/>
      </c>
      <c r="AI628" s="52">
        <f>IF(OR(L628="",P628=""),"",IF(COUNTIFS(L$6:L628,L628,P$6:P628,"?*")=1,MAX(AI$5:AI627)+1,""))</f>
        <v/>
      </c>
    </row>
    <row r="629">
      <c r="B629" s="47" t="n"/>
      <c r="C629" s="48" t="n"/>
      <c r="D629" s="48" t="n"/>
      <c r="E629" s="48" t="n"/>
      <c r="F629" s="48" t="n"/>
      <c r="G629" s="49" t="n"/>
      <c r="H629" s="48" t="n"/>
      <c r="I629" s="50" t="n"/>
      <c r="J629" s="48" t="n"/>
      <c r="K629" s="48" t="n"/>
      <c r="L629" s="48" t="n"/>
      <c r="M629" s="48" t="n"/>
      <c r="N629" s="48" t="n"/>
      <c r="O629" s="51">
        <f>IF(AND(B629="",G629="",C629="",D629="",J629=""),"",IF(B629="","⚠ Falta fecha",IF(G629="","⚠ Falta monto",IF(Q629="","⚠ Falta cuenta",IF(ISNA(MATCH(Q629,ctaNombre,0)),"⚠ Cuenta no registrada",IF(AND(OR(P629="Gasto",P629="Reembolso"),D629=""),"⚠ Falta categoría",IF(AND(D629&lt;&gt;"",E629&lt;&gt;"",ISNA(MATCH(D629&amp;"|"&amp;E629,catClave,0))),"⚠ Subcategoría no corresponde",IF(AND(OR(P629="Transferencia",P629="Pago tarjeta"),K629=""),"⚠ Falta cuenta destino",IF(AND(K629&lt;&gt;"",P629&lt;&gt;"Transferencia",P629&lt;&gt;"Pago tarjeta"),"⚠ Destino solo aplica a transferencias",IF(AND(K629&lt;&gt;"",K629=Q629),"⚠ Origen igual a destino",IF(AND(K629&lt;&gt;"",ISNA(MATCH(K629,ctaNombre,0))),"⚠ Destino no registrado",IF(AND(P629="Pago tarjeta",AE629&lt;&gt;"Tarjeta de crédito"),"⚠ El destino debe ser tarjeta de crédito",IF(AND(P629="Gasto",E629="Depósitos y retiros"),"⚠ Usa tipo Transferencia",IF(AND(P629="Resultado trading",AD629&lt;&gt;"Cuenta de trading"),"⚠ Usa una cuenta de trading",IF(AND(G629&lt;=0,P629&lt;&gt;"Ajuste",P629&lt;&gt;"Resultado trading"),"⚠ El monto debe ser positivo","✓")))))))))))))))</f>
        <v/>
      </c>
      <c r="P629" s="52">
        <f>IF(OR(B629="",G629=""),"",IF(C629="","Gasto",C629))</f>
        <v/>
      </c>
      <c r="Q629" s="52">
        <f>IF(P629="","",IF(J629&lt;&gt;"",J629,CuentaPred&amp;""))</f>
        <v/>
      </c>
      <c r="R629" s="52">
        <f>IF(P629="","",IF(ISNUMBER(I629),I629,TasaUSD))</f>
        <v/>
      </c>
      <c r="S629" s="53">
        <f>IF(P629="","",IF(H629="USD",G629*R629,G629))</f>
        <v/>
      </c>
      <c r="T629" s="53">
        <f>IF(P629="","",IF(H629="USD",G629,IF(R629&gt;0,G629/R629,0)))</f>
        <v/>
      </c>
      <c r="U629" s="53">
        <f>IF(P629="","",IF(P629="Gasto",S629,IF(P629="Reembolso",-S629,0)))</f>
        <v/>
      </c>
      <c r="V629" s="53">
        <f>IF(P629="","",IF(P629="Ingreso",S629,0))</f>
        <v/>
      </c>
      <c r="W629" s="53">
        <f>IF(P629="","",IF(P629="Resultado trading",S629,0))</f>
        <v/>
      </c>
      <c r="X629" s="52">
        <f>IF(OR(P629="Gasto",P629="Reembolso"),IF(M629&lt;&gt;"",M629,IFERROR(INDEX(catClasif,MATCH(D629&amp;"|"&amp;E629,catClave,0))&amp;"","Variable")),"")</f>
        <v/>
      </c>
      <c r="Y629" s="52">
        <f>IF(P629="","",IFERROR(INDEX(catGrupo,MATCH(D629&amp;"|"&amp;E629,catClave,0))&amp;"",""))</f>
        <v/>
      </c>
      <c r="Z629" s="52">
        <f>IF(P629="","",WEEKDAY(B629,2))</f>
        <v/>
      </c>
      <c r="AA629" s="52">
        <f>IF(P629="","",IF(AND(P629="Gasto",X629="Variable",D629&lt;&gt;catTrading,S629&gt;0,S629&lt;=Umbral),1,0))</f>
        <v/>
      </c>
      <c r="AB629" s="52">
        <f>IF(OR(P629="",Q629=""),"",IFERROR(IF(INDEX(ctaVinc,MATCH(Q629,ctaNombre,0))&amp;""&lt;&gt;"",INDEX(ctaVinc,MATCH(Q629,ctaNombre,0))&amp;"",Q629),Q629))</f>
        <v/>
      </c>
      <c r="AC629" s="52">
        <f>IF(OR(K629="",AND(P629&lt;&gt;"Transferencia",P629&lt;&gt;"Pago tarjeta")),"",IFERROR(IF(INDEX(ctaVinc,MATCH(K629,ctaNombre,0))&amp;""&lt;&gt;"",INDEX(ctaVinc,MATCH(K629,ctaNombre,0))&amp;"",K629),K629))</f>
        <v/>
      </c>
      <c r="AD629" s="52">
        <f>IF(AB629="","",IFERROR(INDEX(ctaTipo,MATCH(AB629,ctaNombre,0))&amp;"",""))</f>
        <v/>
      </c>
      <c r="AE629" s="52">
        <f>IF(AC629="","",IFERROR(INDEX(ctaTipo,MATCH(AC629,ctaNombre,0))&amp;"",""))</f>
        <v/>
      </c>
      <c r="AF629" s="53">
        <f>IF(OR(P629="",AB629=""),"",IF(OR(P629="Gasto",P629="Transferencia",P629="Pago tarjeta"),-1,1)*IF(IFERROR(INDEX(ctaMoneda,MATCH(AB629,ctaNombre,0))&amp;"","DOP")="USD",T629,S629))</f>
        <v/>
      </c>
      <c r="AG629" s="53">
        <f>IF(AC629="","",IF(IFERROR(INDEX(ctaMoneda,MATCH(AC629,ctaNombre,0))&amp;"","DOP")="USD",T629,S629))</f>
        <v/>
      </c>
      <c r="AH629" s="53">
        <f>IF(P629="","",IF(AND(AD629&lt;&gt;"",COUNTIFS(tcTipo,AD629,tcLiq,"Sí")&gt;0),IF(OR(P629="Gasto",P629="Transferencia",P629="Pago tarjeta"),-1,1)*S629,0)+IF(AND(AE629&lt;&gt;"",COUNTIFS(tcTipo,AE629,tcLiq,"Sí")&gt;0),S629,0))</f>
        <v/>
      </c>
      <c r="AI629" s="52">
        <f>IF(OR(L629="",P629=""),"",IF(COUNTIFS(L$6:L629,L629,P$6:P629,"?*")=1,MAX(AI$5:AI628)+1,""))</f>
        <v/>
      </c>
    </row>
    <row r="630">
      <c r="B630" s="47" t="n"/>
      <c r="C630" s="48" t="n"/>
      <c r="D630" s="48" t="n"/>
      <c r="E630" s="48" t="n"/>
      <c r="F630" s="48" t="n"/>
      <c r="G630" s="49" t="n"/>
      <c r="H630" s="48" t="n"/>
      <c r="I630" s="50" t="n"/>
      <c r="J630" s="48" t="n"/>
      <c r="K630" s="48" t="n"/>
      <c r="L630" s="48" t="n"/>
      <c r="M630" s="48" t="n"/>
      <c r="N630" s="48" t="n"/>
      <c r="O630" s="51">
        <f>IF(AND(B630="",G630="",C630="",D630="",J630=""),"",IF(B630="","⚠ Falta fecha",IF(G630="","⚠ Falta monto",IF(Q630="","⚠ Falta cuenta",IF(ISNA(MATCH(Q630,ctaNombre,0)),"⚠ Cuenta no registrada",IF(AND(OR(P630="Gasto",P630="Reembolso"),D630=""),"⚠ Falta categoría",IF(AND(D630&lt;&gt;"",E630&lt;&gt;"",ISNA(MATCH(D630&amp;"|"&amp;E630,catClave,0))),"⚠ Subcategoría no corresponde",IF(AND(OR(P630="Transferencia",P630="Pago tarjeta"),K630=""),"⚠ Falta cuenta destino",IF(AND(K630&lt;&gt;"",P630&lt;&gt;"Transferencia",P630&lt;&gt;"Pago tarjeta"),"⚠ Destino solo aplica a transferencias",IF(AND(K630&lt;&gt;"",K630=Q630),"⚠ Origen igual a destino",IF(AND(K630&lt;&gt;"",ISNA(MATCH(K630,ctaNombre,0))),"⚠ Destino no registrado",IF(AND(P630="Pago tarjeta",AE630&lt;&gt;"Tarjeta de crédito"),"⚠ El destino debe ser tarjeta de crédito",IF(AND(P630="Gasto",E630="Depósitos y retiros"),"⚠ Usa tipo Transferencia",IF(AND(P630="Resultado trading",AD630&lt;&gt;"Cuenta de trading"),"⚠ Usa una cuenta de trading",IF(AND(G630&lt;=0,P630&lt;&gt;"Ajuste",P630&lt;&gt;"Resultado trading"),"⚠ El monto debe ser positivo","✓")))))))))))))))</f>
        <v/>
      </c>
      <c r="P630" s="52">
        <f>IF(OR(B630="",G630=""),"",IF(C630="","Gasto",C630))</f>
        <v/>
      </c>
      <c r="Q630" s="52">
        <f>IF(P630="","",IF(J630&lt;&gt;"",J630,CuentaPred&amp;""))</f>
        <v/>
      </c>
      <c r="R630" s="52">
        <f>IF(P630="","",IF(ISNUMBER(I630),I630,TasaUSD))</f>
        <v/>
      </c>
      <c r="S630" s="53">
        <f>IF(P630="","",IF(H630="USD",G630*R630,G630))</f>
        <v/>
      </c>
      <c r="T630" s="53">
        <f>IF(P630="","",IF(H630="USD",G630,IF(R630&gt;0,G630/R630,0)))</f>
        <v/>
      </c>
      <c r="U630" s="53">
        <f>IF(P630="","",IF(P630="Gasto",S630,IF(P630="Reembolso",-S630,0)))</f>
        <v/>
      </c>
      <c r="V630" s="53">
        <f>IF(P630="","",IF(P630="Ingreso",S630,0))</f>
        <v/>
      </c>
      <c r="W630" s="53">
        <f>IF(P630="","",IF(P630="Resultado trading",S630,0))</f>
        <v/>
      </c>
      <c r="X630" s="52">
        <f>IF(OR(P630="Gasto",P630="Reembolso"),IF(M630&lt;&gt;"",M630,IFERROR(INDEX(catClasif,MATCH(D630&amp;"|"&amp;E630,catClave,0))&amp;"","Variable")),"")</f>
        <v/>
      </c>
      <c r="Y630" s="52">
        <f>IF(P630="","",IFERROR(INDEX(catGrupo,MATCH(D630&amp;"|"&amp;E630,catClave,0))&amp;"",""))</f>
        <v/>
      </c>
      <c r="Z630" s="52">
        <f>IF(P630="","",WEEKDAY(B630,2))</f>
        <v/>
      </c>
      <c r="AA630" s="52">
        <f>IF(P630="","",IF(AND(P630="Gasto",X630="Variable",D630&lt;&gt;catTrading,S630&gt;0,S630&lt;=Umbral),1,0))</f>
        <v/>
      </c>
      <c r="AB630" s="52">
        <f>IF(OR(P630="",Q630=""),"",IFERROR(IF(INDEX(ctaVinc,MATCH(Q630,ctaNombre,0))&amp;""&lt;&gt;"",INDEX(ctaVinc,MATCH(Q630,ctaNombre,0))&amp;"",Q630),Q630))</f>
        <v/>
      </c>
      <c r="AC630" s="52">
        <f>IF(OR(K630="",AND(P630&lt;&gt;"Transferencia",P630&lt;&gt;"Pago tarjeta")),"",IFERROR(IF(INDEX(ctaVinc,MATCH(K630,ctaNombre,0))&amp;""&lt;&gt;"",INDEX(ctaVinc,MATCH(K630,ctaNombre,0))&amp;"",K630),K630))</f>
        <v/>
      </c>
      <c r="AD630" s="52">
        <f>IF(AB630="","",IFERROR(INDEX(ctaTipo,MATCH(AB630,ctaNombre,0))&amp;"",""))</f>
        <v/>
      </c>
      <c r="AE630" s="52">
        <f>IF(AC630="","",IFERROR(INDEX(ctaTipo,MATCH(AC630,ctaNombre,0))&amp;"",""))</f>
        <v/>
      </c>
      <c r="AF630" s="53">
        <f>IF(OR(P630="",AB630=""),"",IF(OR(P630="Gasto",P630="Transferencia",P630="Pago tarjeta"),-1,1)*IF(IFERROR(INDEX(ctaMoneda,MATCH(AB630,ctaNombre,0))&amp;"","DOP")="USD",T630,S630))</f>
        <v/>
      </c>
      <c r="AG630" s="53">
        <f>IF(AC630="","",IF(IFERROR(INDEX(ctaMoneda,MATCH(AC630,ctaNombre,0))&amp;"","DOP")="USD",T630,S630))</f>
        <v/>
      </c>
      <c r="AH630" s="53">
        <f>IF(P630="","",IF(AND(AD630&lt;&gt;"",COUNTIFS(tcTipo,AD630,tcLiq,"Sí")&gt;0),IF(OR(P630="Gasto",P630="Transferencia",P630="Pago tarjeta"),-1,1)*S630,0)+IF(AND(AE630&lt;&gt;"",COUNTIFS(tcTipo,AE630,tcLiq,"Sí")&gt;0),S630,0))</f>
        <v/>
      </c>
      <c r="AI630" s="52">
        <f>IF(OR(L630="",P630=""),"",IF(COUNTIFS(L$6:L630,L630,P$6:P630,"?*")=1,MAX(AI$5:AI629)+1,""))</f>
        <v/>
      </c>
    </row>
    <row r="631">
      <c r="B631" s="47" t="n"/>
      <c r="C631" s="48" t="n"/>
      <c r="D631" s="48" t="n"/>
      <c r="E631" s="48" t="n"/>
      <c r="F631" s="48" t="n"/>
      <c r="G631" s="49" t="n"/>
      <c r="H631" s="48" t="n"/>
      <c r="I631" s="50" t="n"/>
      <c r="J631" s="48" t="n"/>
      <c r="K631" s="48" t="n"/>
      <c r="L631" s="48" t="n"/>
      <c r="M631" s="48" t="n"/>
      <c r="N631" s="48" t="n"/>
      <c r="O631" s="51">
        <f>IF(AND(B631="",G631="",C631="",D631="",J631=""),"",IF(B631="","⚠ Falta fecha",IF(G631="","⚠ Falta monto",IF(Q631="","⚠ Falta cuenta",IF(ISNA(MATCH(Q631,ctaNombre,0)),"⚠ Cuenta no registrada",IF(AND(OR(P631="Gasto",P631="Reembolso"),D631=""),"⚠ Falta categoría",IF(AND(D631&lt;&gt;"",E631&lt;&gt;"",ISNA(MATCH(D631&amp;"|"&amp;E631,catClave,0))),"⚠ Subcategoría no corresponde",IF(AND(OR(P631="Transferencia",P631="Pago tarjeta"),K631=""),"⚠ Falta cuenta destino",IF(AND(K631&lt;&gt;"",P631&lt;&gt;"Transferencia",P631&lt;&gt;"Pago tarjeta"),"⚠ Destino solo aplica a transferencias",IF(AND(K631&lt;&gt;"",K631=Q631),"⚠ Origen igual a destino",IF(AND(K631&lt;&gt;"",ISNA(MATCH(K631,ctaNombre,0))),"⚠ Destino no registrado",IF(AND(P631="Pago tarjeta",AE631&lt;&gt;"Tarjeta de crédito"),"⚠ El destino debe ser tarjeta de crédito",IF(AND(P631="Gasto",E631="Depósitos y retiros"),"⚠ Usa tipo Transferencia",IF(AND(P631="Resultado trading",AD631&lt;&gt;"Cuenta de trading"),"⚠ Usa una cuenta de trading",IF(AND(G631&lt;=0,P631&lt;&gt;"Ajuste",P631&lt;&gt;"Resultado trading"),"⚠ El monto debe ser positivo","✓")))))))))))))))</f>
        <v/>
      </c>
      <c r="P631" s="52">
        <f>IF(OR(B631="",G631=""),"",IF(C631="","Gasto",C631))</f>
        <v/>
      </c>
      <c r="Q631" s="52">
        <f>IF(P631="","",IF(J631&lt;&gt;"",J631,CuentaPred&amp;""))</f>
        <v/>
      </c>
      <c r="R631" s="52">
        <f>IF(P631="","",IF(ISNUMBER(I631),I631,TasaUSD))</f>
        <v/>
      </c>
      <c r="S631" s="53">
        <f>IF(P631="","",IF(H631="USD",G631*R631,G631))</f>
        <v/>
      </c>
      <c r="T631" s="53">
        <f>IF(P631="","",IF(H631="USD",G631,IF(R631&gt;0,G631/R631,0)))</f>
        <v/>
      </c>
      <c r="U631" s="53">
        <f>IF(P631="","",IF(P631="Gasto",S631,IF(P631="Reembolso",-S631,0)))</f>
        <v/>
      </c>
      <c r="V631" s="53">
        <f>IF(P631="","",IF(P631="Ingreso",S631,0))</f>
        <v/>
      </c>
      <c r="W631" s="53">
        <f>IF(P631="","",IF(P631="Resultado trading",S631,0))</f>
        <v/>
      </c>
      <c r="X631" s="52">
        <f>IF(OR(P631="Gasto",P631="Reembolso"),IF(M631&lt;&gt;"",M631,IFERROR(INDEX(catClasif,MATCH(D631&amp;"|"&amp;E631,catClave,0))&amp;"","Variable")),"")</f>
        <v/>
      </c>
      <c r="Y631" s="52">
        <f>IF(P631="","",IFERROR(INDEX(catGrupo,MATCH(D631&amp;"|"&amp;E631,catClave,0))&amp;"",""))</f>
        <v/>
      </c>
      <c r="Z631" s="52">
        <f>IF(P631="","",WEEKDAY(B631,2))</f>
        <v/>
      </c>
      <c r="AA631" s="52">
        <f>IF(P631="","",IF(AND(P631="Gasto",X631="Variable",D631&lt;&gt;catTrading,S631&gt;0,S631&lt;=Umbral),1,0))</f>
        <v/>
      </c>
      <c r="AB631" s="52">
        <f>IF(OR(P631="",Q631=""),"",IFERROR(IF(INDEX(ctaVinc,MATCH(Q631,ctaNombre,0))&amp;""&lt;&gt;"",INDEX(ctaVinc,MATCH(Q631,ctaNombre,0))&amp;"",Q631),Q631))</f>
        <v/>
      </c>
      <c r="AC631" s="52">
        <f>IF(OR(K631="",AND(P631&lt;&gt;"Transferencia",P631&lt;&gt;"Pago tarjeta")),"",IFERROR(IF(INDEX(ctaVinc,MATCH(K631,ctaNombre,0))&amp;""&lt;&gt;"",INDEX(ctaVinc,MATCH(K631,ctaNombre,0))&amp;"",K631),K631))</f>
        <v/>
      </c>
      <c r="AD631" s="52">
        <f>IF(AB631="","",IFERROR(INDEX(ctaTipo,MATCH(AB631,ctaNombre,0))&amp;"",""))</f>
        <v/>
      </c>
      <c r="AE631" s="52">
        <f>IF(AC631="","",IFERROR(INDEX(ctaTipo,MATCH(AC631,ctaNombre,0))&amp;"",""))</f>
        <v/>
      </c>
      <c r="AF631" s="53">
        <f>IF(OR(P631="",AB631=""),"",IF(OR(P631="Gasto",P631="Transferencia",P631="Pago tarjeta"),-1,1)*IF(IFERROR(INDEX(ctaMoneda,MATCH(AB631,ctaNombre,0))&amp;"","DOP")="USD",T631,S631))</f>
        <v/>
      </c>
      <c r="AG631" s="53">
        <f>IF(AC631="","",IF(IFERROR(INDEX(ctaMoneda,MATCH(AC631,ctaNombre,0))&amp;"","DOP")="USD",T631,S631))</f>
        <v/>
      </c>
      <c r="AH631" s="53">
        <f>IF(P631="","",IF(AND(AD631&lt;&gt;"",COUNTIFS(tcTipo,AD631,tcLiq,"Sí")&gt;0),IF(OR(P631="Gasto",P631="Transferencia",P631="Pago tarjeta"),-1,1)*S631,0)+IF(AND(AE631&lt;&gt;"",COUNTIFS(tcTipo,AE631,tcLiq,"Sí")&gt;0),S631,0))</f>
        <v/>
      </c>
      <c r="AI631" s="52">
        <f>IF(OR(L631="",P631=""),"",IF(COUNTIFS(L$6:L631,L631,P$6:P631,"?*")=1,MAX(AI$5:AI630)+1,""))</f>
        <v/>
      </c>
    </row>
    <row r="632">
      <c r="B632" s="47" t="n"/>
      <c r="C632" s="48" t="n"/>
      <c r="D632" s="48" t="n"/>
      <c r="E632" s="48" t="n"/>
      <c r="F632" s="48" t="n"/>
      <c r="G632" s="49" t="n"/>
      <c r="H632" s="48" t="n"/>
      <c r="I632" s="50" t="n"/>
      <c r="J632" s="48" t="n"/>
      <c r="K632" s="48" t="n"/>
      <c r="L632" s="48" t="n"/>
      <c r="M632" s="48" t="n"/>
      <c r="N632" s="48" t="n"/>
      <c r="O632" s="51">
        <f>IF(AND(B632="",G632="",C632="",D632="",J632=""),"",IF(B632="","⚠ Falta fecha",IF(G632="","⚠ Falta monto",IF(Q632="","⚠ Falta cuenta",IF(ISNA(MATCH(Q632,ctaNombre,0)),"⚠ Cuenta no registrada",IF(AND(OR(P632="Gasto",P632="Reembolso"),D632=""),"⚠ Falta categoría",IF(AND(D632&lt;&gt;"",E632&lt;&gt;"",ISNA(MATCH(D632&amp;"|"&amp;E632,catClave,0))),"⚠ Subcategoría no corresponde",IF(AND(OR(P632="Transferencia",P632="Pago tarjeta"),K632=""),"⚠ Falta cuenta destino",IF(AND(K632&lt;&gt;"",P632&lt;&gt;"Transferencia",P632&lt;&gt;"Pago tarjeta"),"⚠ Destino solo aplica a transferencias",IF(AND(K632&lt;&gt;"",K632=Q632),"⚠ Origen igual a destino",IF(AND(K632&lt;&gt;"",ISNA(MATCH(K632,ctaNombre,0))),"⚠ Destino no registrado",IF(AND(P632="Pago tarjeta",AE632&lt;&gt;"Tarjeta de crédito"),"⚠ El destino debe ser tarjeta de crédito",IF(AND(P632="Gasto",E632="Depósitos y retiros"),"⚠ Usa tipo Transferencia",IF(AND(P632="Resultado trading",AD632&lt;&gt;"Cuenta de trading"),"⚠ Usa una cuenta de trading",IF(AND(G632&lt;=0,P632&lt;&gt;"Ajuste",P632&lt;&gt;"Resultado trading"),"⚠ El monto debe ser positivo","✓")))))))))))))))</f>
        <v/>
      </c>
      <c r="P632" s="52">
        <f>IF(OR(B632="",G632=""),"",IF(C632="","Gasto",C632))</f>
        <v/>
      </c>
      <c r="Q632" s="52">
        <f>IF(P632="","",IF(J632&lt;&gt;"",J632,CuentaPred&amp;""))</f>
        <v/>
      </c>
      <c r="R632" s="52">
        <f>IF(P632="","",IF(ISNUMBER(I632),I632,TasaUSD))</f>
        <v/>
      </c>
      <c r="S632" s="53">
        <f>IF(P632="","",IF(H632="USD",G632*R632,G632))</f>
        <v/>
      </c>
      <c r="T632" s="53">
        <f>IF(P632="","",IF(H632="USD",G632,IF(R632&gt;0,G632/R632,0)))</f>
        <v/>
      </c>
      <c r="U632" s="53">
        <f>IF(P632="","",IF(P632="Gasto",S632,IF(P632="Reembolso",-S632,0)))</f>
        <v/>
      </c>
      <c r="V632" s="53">
        <f>IF(P632="","",IF(P632="Ingreso",S632,0))</f>
        <v/>
      </c>
      <c r="W632" s="53">
        <f>IF(P632="","",IF(P632="Resultado trading",S632,0))</f>
        <v/>
      </c>
      <c r="X632" s="52">
        <f>IF(OR(P632="Gasto",P632="Reembolso"),IF(M632&lt;&gt;"",M632,IFERROR(INDEX(catClasif,MATCH(D632&amp;"|"&amp;E632,catClave,0))&amp;"","Variable")),"")</f>
        <v/>
      </c>
      <c r="Y632" s="52">
        <f>IF(P632="","",IFERROR(INDEX(catGrupo,MATCH(D632&amp;"|"&amp;E632,catClave,0))&amp;"",""))</f>
        <v/>
      </c>
      <c r="Z632" s="52">
        <f>IF(P632="","",WEEKDAY(B632,2))</f>
        <v/>
      </c>
      <c r="AA632" s="52">
        <f>IF(P632="","",IF(AND(P632="Gasto",X632="Variable",D632&lt;&gt;catTrading,S632&gt;0,S632&lt;=Umbral),1,0))</f>
        <v/>
      </c>
      <c r="AB632" s="52">
        <f>IF(OR(P632="",Q632=""),"",IFERROR(IF(INDEX(ctaVinc,MATCH(Q632,ctaNombre,0))&amp;""&lt;&gt;"",INDEX(ctaVinc,MATCH(Q632,ctaNombre,0))&amp;"",Q632),Q632))</f>
        <v/>
      </c>
      <c r="AC632" s="52">
        <f>IF(OR(K632="",AND(P632&lt;&gt;"Transferencia",P632&lt;&gt;"Pago tarjeta")),"",IFERROR(IF(INDEX(ctaVinc,MATCH(K632,ctaNombre,0))&amp;""&lt;&gt;"",INDEX(ctaVinc,MATCH(K632,ctaNombre,0))&amp;"",K632),K632))</f>
        <v/>
      </c>
      <c r="AD632" s="52">
        <f>IF(AB632="","",IFERROR(INDEX(ctaTipo,MATCH(AB632,ctaNombre,0))&amp;"",""))</f>
        <v/>
      </c>
      <c r="AE632" s="52">
        <f>IF(AC632="","",IFERROR(INDEX(ctaTipo,MATCH(AC632,ctaNombre,0))&amp;"",""))</f>
        <v/>
      </c>
      <c r="AF632" s="53">
        <f>IF(OR(P632="",AB632=""),"",IF(OR(P632="Gasto",P632="Transferencia",P632="Pago tarjeta"),-1,1)*IF(IFERROR(INDEX(ctaMoneda,MATCH(AB632,ctaNombre,0))&amp;"","DOP")="USD",T632,S632))</f>
        <v/>
      </c>
      <c r="AG632" s="53">
        <f>IF(AC632="","",IF(IFERROR(INDEX(ctaMoneda,MATCH(AC632,ctaNombre,0))&amp;"","DOP")="USD",T632,S632))</f>
        <v/>
      </c>
      <c r="AH632" s="53">
        <f>IF(P632="","",IF(AND(AD632&lt;&gt;"",COUNTIFS(tcTipo,AD632,tcLiq,"Sí")&gt;0),IF(OR(P632="Gasto",P632="Transferencia",P632="Pago tarjeta"),-1,1)*S632,0)+IF(AND(AE632&lt;&gt;"",COUNTIFS(tcTipo,AE632,tcLiq,"Sí")&gt;0),S632,0))</f>
        <v/>
      </c>
      <c r="AI632" s="52">
        <f>IF(OR(L632="",P632=""),"",IF(COUNTIFS(L$6:L632,L632,P$6:P632,"?*")=1,MAX(AI$5:AI631)+1,""))</f>
        <v/>
      </c>
    </row>
    <row r="633">
      <c r="B633" s="47" t="n"/>
      <c r="C633" s="48" t="n"/>
      <c r="D633" s="48" t="n"/>
      <c r="E633" s="48" t="n"/>
      <c r="F633" s="48" t="n"/>
      <c r="G633" s="49" t="n"/>
      <c r="H633" s="48" t="n"/>
      <c r="I633" s="50" t="n"/>
      <c r="J633" s="48" t="n"/>
      <c r="K633" s="48" t="n"/>
      <c r="L633" s="48" t="n"/>
      <c r="M633" s="48" t="n"/>
      <c r="N633" s="48" t="n"/>
      <c r="O633" s="51">
        <f>IF(AND(B633="",G633="",C633="",D633="",J633=""),"",IF(B633="","⚠ Falta fecha",IF(G633="","⚠ Falta monto",IF(Q633="","⚠ Falta cuenta",IF(ISNA(MATCH(Q633,ctaNombre,0)),"⚠ Cuenta no registrada",IF(AND(OR(P633="Gasto",P633="Reembolso"),D633=""),"⚠ Falta categoría",IF(AND(D633&lt;&gt;"",E633&lt;&gt;"",ISNA(MATCH(D633&amp;"|"&amp;E633,catClave,0))),"⚠ Subcategoría no corresponde",IF(AND(OR(P633="Transferencia",P633="Pago tarjeta"),K633=""),"⚠ Falta cuenta destino",IF(AND(K633&lt;&gt;"",P633&lt;&gt;"Transferencia",P633&lt;&gt;"Pago tarjeta"),"⚠ Destino solo aplica a transferencias",IF(AND(K633&lt;&gt;"",K633=Q633),"⚠ Origen igual a destino",IF(AND(K633&lt;&gt;"",ISNA(MATCH(K633,ctaNombre,0))),"⚠ Destino no registrado",IF(AND(P633="Pago tarjeta",AE633&lt;&gt;"Tarjeta de crédito"),"⚠ El destino debe ser tarjeta de crédito",IF(AND(P633="Gasto",E633="Depósitos y retiros"),"⚠ Usa tipo Transferencia",IF(AND(P633="Resultado trading",AD633&lt;&gt;"Cuenta de trading"),"⚠ Usa una cuenta de trading",IF(AND(G633&lt;=0,P633&lt;&gt;"Ajuste",P633&lt;&gt;"Resultado trading"),"⚠ El monto debe ser positivo","✓")))))))))))))))</f>
        <v/>
      </c>
      <c r="P633" s="52">
        <f>IF(OR(B633="",G633=""),"",IF(C633="","Gasto",C633))</f>
        <v/>
      </c>
      <c r="Q633" s="52">
        <f>IF(P633="","",IF(J633&lt;&gt;"",J633,CuentaPred&amp;""))</f>
        <v/>
      </c>
      <c r="R633" s="52">
        <f>IF(P633="","",IF(ISNUMBER(I633),I633,TasaUSD))</f>
        <v/>
      </c>
      <c r="S633" s="53">
        <f>IF(P633="","",IF(H633="USD",G633*R633,G633))</f>
        <v/>
      </c>
      <c r="T633" s="53">
        <f>IF(P633="","",IF(H633="USD",G633,IF(R633&gt;0,G633/R633,0)))</f>
        <v/>
      </c>
      <c r="U633" s="53">
        <f>IF(P633="","",IF(P633="Gasto",S633,IF(P633="Reembolso",-S633,0)))</f>
        <v/>
      </c>
      <c r="V633" s="53">
        <f>IF(P633="","",IF(P633="Ingreso",S633,0))</f>
        <v/>
      </c>
      <c r="W633" s="53">
        <f>IF(P633="","",IF(P633="Resultado trading",S633,0))</f>
        <v/>
      </c>
      <c r="X633" s="52">
        <f>IF(OR(P633="Gasto",P633="Reembolso"),IF(M633&lt;&gt;"",M633,IFERROR(INDEX(catClasif,MATCH(D633&amp;"|"&amp;E633,catClave,0))&amp;"","Variable")),"")</f>
        <v/>
      </c>
      <c r="Y633" s="52">
        <f>IF(P633="","",IFERROR(INDEX(catGrupo,MATCH(D633&amp;"|"&amp;E633,catClave,0))&amp;"",""))</f>
        <v/>
      </c>
      <c r="Z633" s="52">
        <f>IF(P633="","",WEEKDAY(B633,2))</f>
        <v/>
      </c>
      <c r="AA633" s="52">
        <f>IF(P633="","",IF(AND(P633="Gasto",X633="Variable",D633&lt;&gt;catTrading,S633&gt;0,S633&lt;=Umbral),1,0))</f>
        <v/>
      </c>
      <c r="AB633" s="52">
        <f>IF(OR(P633="",Q633=""),"",IFERROR(IF(INDEX(ctaVinc,MATCH(Q633,ctaNombre,0))&amp;""&lt;&gt;"",INDEX(ctaVinc,MATCH(Q633,ctaNombre,0))&amp;"",Q633),Q633))</f>
        <v/>
      </c>
      <c r="AC633" s="52">
        <f>IF(OR(K633="",AND(P633&lt;&gt;"Transferencia",P633&lt;&gt;"Pago tarjeta")),"",IFERROR(IF(INDEX(ctaVinc,MATCH(K633,ctaNombre,0))&amp;""&lt;&gt;"",INDEX(ctaVinc,MATCH(K633,ctaNombre,0))&amp;"",K633),K633))</f>
        <v/>
      </c>
      <c r="AD633" s="52">
        <f>IF(AB633="","",IFERROR(INDEX(ctaTipo,MATCH(AB633,ctaNombre,0))&amp;"",""))</f>
        <v/>
      </c>
      <c r="AE633" s="52">
        <f>IF(AC633="","",IFERROR(INDEX(ctaTipo,MATCH(AC633,ctaNombre,0))&amp;"",""))</f>
        <v/>
      </c>
      <c r="AF633" s="53">
        <f>IF(OR(P633="",AB633=""),"",IF(OR(P633="Gasto",P633="Transferencia",P633="Pago tarjeta"),-1,1)*IF(IFERROR(INDEX(ctaMoneda,MATCH(AB633,ctaNombre,0))&amp;"","DOP")="USD",T633,S633))</f>
        <v/>
      </c>
      <c r="AG633" s="53">
        <f>IF(AC633="","",IF(IFERROR(INDEX(ctaMoneda,MATCH(AC633,ctaNombre,0))&amp;"","DOP")="USD",T633,S633))</f>
        <v/>
      </c>
      <c r="AH633" s="53">
        <f>IF(P633="","",IF(AND(AD633&lt;&gt;"",COUNTIFS(tcTipo,AD633,tcLiq,"Sí")&gt;0),IF(OR(P633="Gasto",P633="Transferencia",P633="Pago tarjeta"),-1,1)*S633,0)+IF(AND(AE633&lt;&gt;"",COUNTIFS(tcTipo,AE633,tcLiq,"Sí")&gt;0),S633,0))</f>
        <v/>
      </c>
      <c r="AI633" s="52">
        <f>IF(OR(L633="",P633=""),"",IF(COUNTIFS(L$6:L633,L633,P$6:P633,"?*")=1,MAX(AI$5:AI632)+1,""))</f>
        <v/>
      </c>
    </row>
    <row r="634">
      <c r="B634" s="47" t="n"/>
      <c r="C634" s="48" t="n"/>
      <c r="D634" s="48" t="n"/>
      <c r="E634" s="48" t="n"/>
      <c r="F634" s="48" t="n"/>
      <c r="G634" s="49" t="n"/>
      <c r="H634" s="48" t="n"/>
      <c r="I634" s="50" t="n"/>
      <c r="J634" s="48" t="n"/>
      <c r="K634" s="48" t="n"/>
      <c r="L634" s="48" t="n"/>
      <c r="M634" s="48" t="n"/>
      <c r="N634" s="48" t="n"/>
      <c r="O634" s="51">
        <f>IF(AND(B634="",G634="",C634="",D634="",J634=""),"",IF(B634="","⚠ Falta fecha",IF(G634="","⚠ Falta monto",IF(Q634="","⚠ Falta cuenta",IF(ISNA(MATCH(Q634,ctaNombre,0)),"⚠ Cuenta no registrada",IF(AND(OR(P634="Gasto",P634="Reembolso"),D634=""),"⚠ Falta categoría",IF(AND(D634&lt;&gt;"",E634&lt;&gt;"",ISNA(MATCH(D634&amp;"|"&amp;E634,catClave,0))),"⚠ Subcategoría no corresponde",IF(AND(OR(P634="Transferencia",P634="Pago tarjeta"),K634=""),"⚠ Falta cuenta destino",IF(AND(K634&lt;&gt;"",P634&lt;&gt;"Transferencia",P634&lt;&gt;"Pago tarjeta"),"⚠ Destino solo aplica a transferencias",IF(AND(K634&lt;&gt;"",K634=Q634),"⚠ Origen igual a destino",IF(AND(K634&lt;&gt;"",ISNA(MATCH(K634,ctaNombre,0))),"⚠ Destino no registrado",IF(AND(P634="Pago tarjeta",AE634&lt;&gt;"Tarjeta de crédito"),"⚠ El destino debe ser tarjeta de crédito",IF(AND(P634="Gasto",E634="Depósitos y retiros"),"⚠ Usa tipo Transferencia",IF(AND(P634="Resultado trading",AD634&lt;&gt;"Cuenta de trading"),"⚠ Usa una cuenta de trading",IF(AND(G634&lt;=0,P634&lt;&gt;"Ajuste",P634&lt;&gt;"Resultado trading"),"⚠ El monto debe ser positivo","✓")))))))))))))))</f>
        <v/>
      </c>
      <c r="P634" s="52">
        <f>IF(OR(B634="",G634=""),"",IF(C634="","Gasto",C634))</f>
        <v/>
      </c>
      <c r="Q634" s="52">
        <f>IF(P634="","",IF(J634&lt;&gt;"",J634,CuentaPred&amp;""))</f>
        <v/>
      </c>
      <c r="R634" s="52">
        <f>IF(P634="","",IF(ISNUMBER(I634),I634,TasaUSD))</f>
        <v/>
      </c>
      <c r="S634" s="53">
        <f>IF(P634="","",IF(H634="USD",G634*R634,G634))</f>
        <v/>
      </c>
      <c r="T634" s="53">
        <f>IF(P634="","",IF(H634="USD",G634,IF(R634&gt;0,G634/R634,0)))</f>
        <v/>
      </c>
      <c r="U634" s="53">
        <f>IF(P634="","",IF(P634="Gasto",S634,IF(P634="Reembolso",-S634,0)))</f>
        <v/>
      </c>
      <c r="V634" s="53">
        <f>IF(P634="","",IF(P634="Ingreso",S634,0))</f>
        <v/>
      </c>
      <c r="W634" s="53">
        <f>IF(P634="","",IF(P634="Resultado trading",S634,0))</f>
        <v/>
      </c>
      <c r="X634" s="52">
        <f>IF(OR(P634="Gasto",P634="Reembolso"),IF(M634&lt;&gt;"",M634,IFERROR(INDEX(catClasif,MATCH(D634&amp;"|"&amp;E634,catClave,0))&amp;"","Variable")),"")</f>
        <v/>
      </c>
      <c r="Y634" s="52">
        <f>IF(P634="","",IFERROR(INDEX(catGrupo,MATCH(D634&amp;"|"&amp;E634,catClave,0))&amp;"",""))</f>
        <v/>
      </c>
      <c r="Z634" s="52">
        <f>IF(P634="","",WEEKDAY(B634,2))</f>
        <v/>
      </c>
      <c r="AA634" s="52">
        <f>IF(P634="","",IF(AND(P634="Gasto",X634="Variable",D634&lt;&gt;catTrading,S634&gt;0,S634&lt;=Umbral),1,0))</f>
        <v/>
      </c>
      <c r="AB634" s="52">
        <f>IF(OR(P634="",Q634=""),"",IFERROR(IF(INDEX(ctaVinc,MATCH(Q634,ctaNombre,0))&amp;""&lt;&gt;"",INDEX(ctaVinc,MATCH(Q634,ctaNombre,0))&amp;"",Q634),Q634))</f>
        <v/>
      </c>
      <c r="AC634" s="52">
        <f>IF(OR(K634="",AND(P634&lt;&gt;"Transferencia",P634&lt;&gt;"Pago tarjeta")),"",IFERROR(IF(INDEX(ctaVinc,MATCH(K634,ctaNombre,0))&amp;""&lt;&gt;"",INDEX(ctaVinc,MATCH(K634,ctaNombre,0))&amp;"",K634),K634))</f>
        <v/>
      </c>
      <c r="AD634" s="52">
        <f>IF(AB634="","",IFERROR(INDEX(ctaTipo,MATCH(AB634,ctaNombre,0))&amp;"",""))</f>
        <v/>
      </c>
      <c r="AE634" s="52">
        <f>IF(AC634="","",IFERROR(INDEX(ctaTipo,MATCH(AC634,ctaNombre,0))&amp;"",""))</f>
        <v/>
      </c>
      <c r="AF634" s="53">
        <f>IF(OR(P634="",AB634=""),"",IF(OR(P634="Gasto",P634="Transferencia",P634="Pago tarjeta"),-1,1)*IF(IFERROR(INDEX(ctaMoneda,MATCH(AB634,ctaNombre,0))&amp;"","DOP")="USD",T634,S634))</f>
        <v/>
      </c>
      <c r="AG634" s="53">
        <f>IF(AC634="","",IF(IFERROR(INDEX(ctaMoneda,MATCH(AC634,ctaNombre,0))&amp;"","DOP")="USD",T634,S634))</f>
        <v/>
      </c>
      <c r="AH634" s="53">
        <f>IF(P634="","",IF(AND(AD634&lt;&gt;"",COUNTIFS(tcTipo,AD634,tcLiq,"Sí")&gt;0),IF(OR(P634="Gasto",P634="Transferencia",P634="Pago tarjeta"),-1,1)*S634,0)+IF(AND(AE634&lt;&gt;"",COUNTIFS(tcTipo,AE634,tcLiq,"Sí")&gt;0),S634,0))</f>
        <v/>
      </c>
      <c r="AI634" s="52">
        <f>IF(OR(L634="",P634=""),"",IF(COUNTIFS(L$6:L634,L634,P$6:P634,"?*")=1,MAX(AI$5:AI633)+1,""))</f>
        <v/>
      </c>
    </row>
    <row r="635">
      <c r="B635" s="47" t="n"/>
      <c r="C635" s="48" t="n"/>
      <c r="D635" s="48" t="n"/>
      <c r="E635" s="48" t="n"/>
      <c r="F635" s="48" t="n"/>
      <c r="G635" s="49" t="n"/>
      <c r="H635" s="48" t="n"/>
      <c r="I635" s="50" t="n"/>
      <c r="J635" s="48" t="n"/>
      <c r="K635" s="48" t="n"/>
      <c r="L635" s="48" t="n"/>
      <c r="M635" s="48" t="n"/>
      <c r="N635" s="48" t="n"/>
      <c r="O635" s="51">
        <f>IF(AND(B635="",G635="",C635="",D635="",J635=""),"",IF(B635="","⚠ Falta fecha",IF(G635="","⚠ Falta monto",IF(Q635="","⚠ Falta cuenta",IF(ISNA(MATCH(Q635,ctaNombre,0)),"⚠ Cuenta no registrada",IF(AND(OR(P635="Gasto",P635="Reembolso"),D635=""),"⚠ Falta categoría",IF(AND(D635&lt;&gt;"",E635&lt;&gt;"",ISNA(MATCH(D635&amp;"|"&amp;E635,catClave,0))),"⚠ Subcategoría no corresponde",IF(AND(OR(P635="Transferencia",P635="Pago tarjeta"),K635=""),"⚠ Falta cuenta destino",IF(AND(K635&lt;&gt;"",P635&lt;&gt;"Transferencia",P635&lt;&gt;"Pago tarjeta"),"⚠ Destino solo aplica a transferencias",IF(AND(K635&lt;&gt;"",K635=Q635),"⚠ Origen igual a destino",IF(AND(K635&lt;&gt;"",ISNA(MATCH(K635,ctaNombre,0))),"⚠ Destino no registrado",IF(AND(P635="Pago tarjeta",AE635&lt;&gt;"Tarjeta de crédito"),"⚠ El destino debe ser tarjeta de crédito",IF(AND(P635="Gasto",E635="Depósitos y retiros"),"⚠ Usa tipo Transferencia",IF(AND(P635="Resultado trading",AD635&lt;&gt;"Cuenta de trading"),"⚠ Usa una cuenta de trading",IF(AND(G635&lt;=0,P635&lt;&gt;"Ajuste",P635&lt;&gt;"Resultado trading"),"⚠ El monto debe ser positivo","✓")))))))))))))))</f>
        <v/>
      </c>
      <c r="P635" s="52">
        <f>IF(OR(B635="",G635=""),"",IF(C635="","Gasto",C635))</f>
        <v/>
      </c>
      <c r="Q635" s="52">
        <f>IF(P635="","",IF(J635&lt;&gt;"",J635,CuentaPred&amp;""))</f>
        <v/>
      </c>
      <c r="R635" s="52">
        <f>IF(P635="","",IF(ISNUMBER(I635),I635,TasaUSD))</f>
        <v/>
      </c>
      <c r="S635" s="53">
        <f>IF(P635="","",IF(H635="USD",G635*R635,G635))</f>
        <v/>
      </c>
      <c r="T635" s="53">
        <f>IF(P635="","",IF(H635="USD",G635,IF(R635&gt;0,G635/R635,0)))</f>
        <v/>
      </c>
      <c r="U635" s="53">
        <f>IF(P635="","",IF(P635="Gasto",S635,IF(P635="Reembolso",-S635,0)))</f>
        <v/>
      </c>
      <c r="V635" s="53">
        <f>IF(P635="","",IF(P635="Ingreso",S635,0))</f>
        <v/>
      </c>
      <c r="W635" s="53">
        <f>IF(P635="","",IF(P635="Resultado trading",S635,0))</f>
        <v/>
      </c>
      <c r="X635" s="52">
        <f>IF(OR(P635="Gasto",P635="Reembolso"),IF(M635&lt;&gt;"",M635,IFERROR(INDEX(catClasif,MATCH(D635&amp;"|"&amp;E635,catClave,0))&amp;"","Variable")),"")</f>
        <v/>
      </c>
      <c r="Y635" s="52">
        <f>IF(P635="","",IFERROR(INDEX(catGrupo,MATCH(D635&amp;"|"&amp;E635,catClave,0))&amp;"",""))</f>
        <v/>
      </c>
      <c r="Z635" s="52">
        <f>IF(P635="","",WEEKDAY(B635,2))</f>
        <v/>
      </c>
      <c r="AA635" s="52">
        <f>IF(P635="","",IF(AND(P635="Gasto",X635="Variable",D635&lt;&gt;catTrading,S635&gt;0,S635&lt;=Umbral),1,0))</f>
        <v/>
      </c>
      <c r="AB635" s="52">
        <f>IF(OR(P635="",Q635=""),"",IFERROR(IF(INDEX(ctaVinc,MATCH(Q635,ctaNombre,0))&amp;""&lt;&gt;"",INDEX(ctaVinc,MATCH(Q635,ctaNombre,0))&amp;"",Q635),Q635))</f>
        <v/>
      </c>
      <c r="AC635" s="52">
        <f>IF(OR(K635="",AND(P635&lt;&gt;"Transferencia",P635&lt;&gt;"Pago tarjeta")),"",IFERROR(IF(INDEX(ctaVinc,MATCH(K635,ctaNombre,0))&amp;""&lt;&gt;"",INDEX(ctaVinc,MATCH(K635,ctaNombre,0))&amp;"",K635),K635))</f>
        <v/>
      </c>
      <c r="AD635" s="52">
        <f>IF(AB635="","",IFERROR(INDEX(ctaTipo,MATCH(AB635,ctaNombre,0))&amp;"",""))</f>
        <v/>
      </c>
      <c r="AE635" s="52">
        <f>IF(AC635="","",IFERROR(INDEX(ctaTipo,MATCH(AC635,ctaNombre,0))&amp;"",""))</f>
        <v/>
      </c>
      <c r="AF635" s="53">
        <f>IF(OR(P635="",AB635=""),"",IF(OR(P635="Gasto",P635="Transferencia",P635="Pago tarjeta"),-1,1)*IF(IFERROR(INDEX(ctaMoneda,MATCH(AB635,ctaNombre,0))&amp;"","DOP")="USD",T635,S635))</f>
        <v/>
      </c>
      <c r="AG635" s="53">
        <f>IF(AC635="","",IF(IFERROR(INDEX(ctaMoneda,MATCH(AC635,ctaNombre,0))&amp;"","DOP")="USD",T635,S635))</f>
        <v/>
      </c>
      <c r="AH635" s="53">
        <f>IF(P635="","",IF(AND(AD635&lt;&gt;"",COUNTIFS(tcTipo,AD635,tcLiq,"Sí")&gt;0),IF(OR(P635="Gasto",P635="Transferencia",P635="Pago tarjeta"),-1,1)*S635,0)+IF(AND(AE635&lt;&gt;"",COUNTIFS(tcTipo,AE635,tcLiq,"Sí")&gt;0),S635,0))</f>
        <v/>
      </c>
      <c r="AI635" s="52">
        <f>IF(OR(L635="",P635=""),"",IF(COUNTIFS(L$6:L635,L635,P$6:P635,"?*")=1,MAX(AI$5:AI634)+1,""))</f>
        <v/>
      </c>
    </row>
    <row r="636">
      <c r="B636" s="47" t="n"/>
      <c r="C636" s="48" t="n"/>
      <c r="D636" s="48" t="n"/>
      <c r="E636" s="48" t="n"/>
      <c r="F636" s="48" t="n"/>
      <c r="G636" s="49" t="n"/>
      <c r="H636" s="48" t="n"/>
      <c r="I636" s="50" t="n"/>
      <c r="J636" s="48" t="n"/>
      <c r="K636" s="48" t="n"/>
      <c r="L636" s="48" t="n"/>
      <c r="M636" s="48" t="n"/>
      <c r="N636" s="48" t="n"/>
      <c r="O636" s="51">
        <f>IF(AND(B636="",G636="",C636="",D636="",J636=""),"",IF(B636="","⚠ Falta fecha",IF(G636="","⚠ Falta monto",IF(Q636="","⚠ Falta cuenta",IF(ISNA(MATCH(Q636,ctaNombre,0)),"⚠ Cuenta no registrada",IF(AND(OR(P636="Gasto",P636="Reembolso"),D636=""),"⚠ Falta categoría",IF(AND(D636&lt;&gt;"",E636&lt;&gt;"",ISNA(MATCH(D636&amp;"|"&amp;E636,catClave,0))),"⚠ Subcategoría no corresponde",IF(AND(OR(P636="Transferencia",P636="Pago tarjeta"),K636=""),"⚠ Falta cuenta destino",IF(AND(K636&lt;&gt;"",P636&lt;&gt;"Transferencia",P636&lt;&gt;"Pago tarjeta"),"⚠ Destino solo aplica a transferencias",IF(AND(K636&lt;&gt;"",K636=Q636),"⚠ Origen igual a destino",IF(AND(K636&lt;&gt;"",ISNA(MATCH(K636,ctaNombre,0))),"⚠ Destino no registrado",IF(AND(P636="Pago tarjeta",AE636&lt;&gt;"Tarjeta de crédito"),"⚠ El destino debe ser tarjeta de crédito",IF(AND(P636="Gasto",E636="Depósitos y retiros"),"⚠ Usa tipo Transferencia",IF(AND(P636="Resultado trading",AD636&lt;&gt;"Cuenta de trading"),"⚠ Usa una cuenta de trading",IF(AND(G636&lt;=0,P636&lt;&gt;"Ajuste",P636&lt;&gt;"Resultado trading"),"⚠ El monto debe ser positivo","✓")))))))))))))))</f>
        <v/>
      </c>
      <c r="P636" s="52">
        <f>IF(OR(B636="",G636=""),"",IF(C636="","Gasto",C636))</f>
        <v/>
      </c>
      <c r="Q636" s="52">
        <f>IF(P636="","",IF(J636&lt;&gt;"",J636,CuentaPred&amp;""))</f>
        <v/>
      </c>
      <c r="R636" s="52">
        <f>IF(P636="","",IF(ISNUMBER(I636),I636,TasaUSD))</f>
        <v/>
      </c>
      <c r="S636" s="53">
        <f>IF(P636="","",IF(H636="USD",G636*R636,G636))</f>
        <v/>
      </c>
      <c r="T636" s="53">
        <f>IF(P636="","",IF(H636="USD",G636,IF(R636&gt;0,G636/R636,0)))</f>
        <v/>
      </c>
      <c r="U636" s="53">
        <f>IF(P636="","",IF(P636="Gasto",S636,IF(P636="Reembolso",-S636,0)))</f>
        <v/>
      </c>
      <c r="V636" s="53">
        <f>IF(P636="","",IF(P636="Ingreso",S636,0))</f>
        <v/>
      </c>
      <c r="W636" s="53">
        <f>IF(P636="","",IF(P636="Resultado trading",S636,0))</f>
        <v/>
      </c>
      <c r="X636" s="52">
        <f>IF(OR(P636="Gasto",P636="Reembolso"),IF(M636&lt;&gt;"",M636,IFERROR(INDEX(catClasif,MATCH(D636&amp;"|"&amp;E636,catClave,0))&amp;"","Variable")),"")</f>
        <v/>
      </c>
      <c r="Y636" s="52">
        <f>IF(P636="","",IFERROR(INDEX(catGrupo,MATCH(D636&amp;"|"&amp;E636,catClave,0))&amp;"",""))</f>
        <v/>
      </c>
      <c r="Z636" s="52">
        <f>IF(P636="","",WEEKDAY(B636,2))</f>
        <v/>
      </c>
      <c r="AA636" s="52">
        <f>IF(P636="","",IF(AND(P636="Gasto",X636="Variable",D636&lt;&gt;catTrading,S636&gt;0,S636&lt;=Umbral),1,0))</f>
        <v/>
      </c>
      <c r="AB636" s="52">
        <f>IF(OR(P636="",Q636=""),"",IFERROR(IF(INDEX(ctaVinc,MATCH(Q636,ctaNombre,0))&amp;""&lt;&gt;"",INDEX(ctaVinc,MATCH(Q636,ctaNombre,0))&amp;"",Q636),Q636))</f>
        <v/>
      </c>
      <c r="AC636" s="52">
        <f>IF(OR(K636="",AND(P636&lt;&gt;"Transferencia",P636&lt;&gt;"Pago tarjeta")),"",IFERROR(IF(INDEX(ctaVinc,MATCH(K636,ctaNombre,0))&amp;""&lt;&gt;"",INDEX(ctaVinc,MATCH(K636,ctaNombre,0))&amp;"",K636),K636))</f>
        <v/>
      </c>
      <c r="AD636" s="52">
        <f>IF(AB636="","",IFERROR(INDEX(ctaTipo,MATCH(AB636,ctaNombre,0))&amp;"",""))</f>
        <v/>
      </c>
      <c r="AE636" s="52">
        <f>IF(AC636="","",IFERROR(INDEX(ctaTipo,MATCH(AC636,ctaNombre,0))&amp;"",""))</f>
        <v/>
      </c>
      <c r="AF636" s="53">
        <f>IF(OR(P636="",AB636=""),"",IF(OR(P636="Gasto",P636="Transferencia",P636="Pago tarjeta"),-1,1)*IF(IFERROR(INDEX(ctaMoneda,MATCH(AB636,ctaNombre,0))&amp;"","DOP")="USD",T636,S636))</f>
        <v/>
      </c>
      <c r="AG636" s="53">
        <f>IF(AC636="","",IF(IFERROR(INDEX(ctaMoneda,MATCH(AC636,ctaNombre,0))&amp;"","DOP")="USD",T636,S636))</f>
        <v/>
      </c>
      <c r="AH636" s="53">
        <f>IF(P636="","",IF(AND(AD636&lt;&gt;"",COUNTIFS(tcTipo,AD636,tcLiq,"Sí")&gt;0),IF(OR(P636="Gasto",P636="Transferencia",P636="Pago tarjeta"),-1,1)*S636,0)+IF(AND(AE636&lt;&gt;"",COUNTIFS(tcTipo,AE636,tcLiq,"Sí")&gt;0),S636,0))</f>
        <v/>
      </c>
      <c r="AI636" s="52">
        <f>IF(OR(L636="",P636=""),"",IF(COUNTIFS(L$6:L636,L636,P$6:P636,"?*")=1,MAX(AI$5:AI635)+1,""))</f>
        <v/>
      </c>
    </row>
    <row r="637">
      <c r="B637" s="47" t="n"/>
      <c r="C637" s="48" t="n"/>
      <c r="D637" s="48" t="n"/>
      <c r="E637" s="48" t="n"/>
      <c r="F637" s="48" t="n"/>
      <c r="G637" s="49" t="n"/>
      <c r="H637" s="48" t="n"/>
      <c r="I637" s="50" t="n"/>
      <c r="J637" s="48" t="n"/>
      <c r="K637" s="48" t="n"/>
      <c r="L637" s="48" t="n"/>
      <c r="M637" s="48" t="n"/>
      <c r="N637" s="48" t="n"/>
      <c r="O637" s="51">
        <f>IF(AND(B637="",G637="",C637="",D637="",J637=""),"",IF(B637="","⚠ Falta fecha",IF(G637="","⚠ Falta monto",IF(Q637="","⚠ Falta cuenta",IF(ISNA(MATCH(Q637,ctaNombre,0)),"⚠ Cuenta no registrada",IF(AND(OR(P637="Gasto",P637="Reembolso"),D637=""),"⚠ Falta categoría",IF(AND(D637&lt;&gt;"",E637&lt;&gt;"",ISNA(MATCH(D637&amp;"|"&amp;E637,catClave,0))),"⚠ Subcategoría no corresponde",IF(AND(OR(P637="Transferencia",P637="Pago tarjeta"),K637=""),"⚠ Falta cuenta destino",IF(AND(K637&lt;&gt;"",P637&lt;&gt;"Transferencia",P637&lt;&gt;"Pago tarjeta"),"⚠ Destino solo aplica a transferencias",IF(AND(K637&lt;&gt;"",K637=Q637),"⚠ Origen igual a destino",IF(AND(K637&lt;&gt;"",ISNA(MATCH(K637,ctaNombre,0))),"⚠ Destino no registrado",IF(AND(P637="Pago tarjeta",AE637&lt;&gt;"Tarjeta de crédito"),"⚠ El destino debe ser tarjeta de crédito",IF(AND(P637="Gasto",E637="Depósitos y retiros"),"⚠ Usa tipo Transferencia",IF(AND(P637="Resultado trading",AD637&lt;&gt;"Cuenta de trading"),"⚠ Usa una cuenta de trading",IF(AND(G637&lt;=0,P637&lt;&gt;"Ajuste",P637&lt;&gt;"Resultado trading"),"⚠ El monto debe ser positivo","✓")))))))))))))))</f>
        <v/>
      </c>
      <c r="P637" s="52">
        <f>IF(OR(B637="",G637=""),"",IF(C637="","Gasto",C637))</f>
        <v/>
      </c>
      <c r="Q637" s="52">
        <f>IF(P637="","",IF(J637&lt;&gt;"",J637,CuentaPred&amp;""))</f>
        <v/>
      </c>
      <c r="R637" s="52">
        <f>IF(P637="","",IF(ISNUMBER(I637),I637,TasaUSD))</f>
        <v/>
      </c>
      <c r="S637" s="53">
        <f>IF(P637="","",IF(H637="USD",G637*R637,G637))</f>
        <v/>
      </c>
      <c r="T637" s="53">
        <f>IF(P637="","",IF(H637="USD",G637,IF(R637&gt;0,G637/R637,0)))</f>
        <v/>
      </c>
      <c r="U637" s="53">
        <f>IF(P637="","",IF(P637="Gasto",S637,IF(P637="Reembolso",-S637,0)))</f>
        <v/>
      </c>
      <c r="V637" s="53">
        <f>IF(P637="","",IF(P637="Ingreso",S637,0))</f>
        <v/>
      </c>
      <c r="W637" s="53">
        <f>IF(P637="","",IF(P637="Resultado trading",S637,0))</f>
        <v/>
      </c>
      <c r="X637" s="52">
        <f>IF(OR(P637="Gasto",P637="Reembolso"),IF(M637&lt;&gt;"",M637,IFERROR(INDEX(catClasif,MATCH(D637&amp;"|"&amp;E637,catClave,0))&amp;"","Variable")),"")</f>
        <v/>
      </c>
      <c r="Y637" s="52">
        <f>IF(P637="","",IFERROR(INDEX(catGrupo,MATCH(D637&amp;"|"&amp;E637,catClave,0))&amp;"",""))</f>
        <v/>
      </c>
      <c r="Z637" s="52">
        <f>IF(P637="","",WEEKDAY(B637,2))</f>
        <v/>
      </c>
      <c r="AA637" s="52">
        <f>IF(P637="","",IF(AND(P637="Gasto",X637="Variable",D637&lt;&gt;catTrading,S637&gt;0,S637&lt;=Umbral),1,0))</f>
        <v/>
      </c>
      <c r="AB637" s="52">
        <f>IF(OR(P637="",Q637=""),"",IFERROR(IF(INDEX(ctaVinc,MATCH(Q637,ctaNombre,0))&amp;""&lt;&gt;"",INDEX(ctaVinc,MATCH(Q637,ctaNombre,0))&amp;"",Q637),Q637))</f>
        <v/>
      </c>
      <c r="AC637" s="52">
        <f>IF(OR(K637="",AND(P637&lt;&gt;"Transferencia",P637&lt;&gt;"Pago tarjeta")),"",IFERROR(IF(INDEX(ctaVinc,MATCH(K637,ctaNombre,0))&amp;""&lt;&gt;"",INDEX(ctaVinc,MATCH(K637,ctaNombre,0))&amp;"",K637),K637))</f>
        <v/>
      </c>
      <c r="AD637" s="52">
        <f>IF(AB637="","",IFERROR(INDEX(ctaTipo,MATCH(AB637,ctaNombre,0))&amp;"",""))</f>
        <v/>
      </c>
      <c r="AE637" s="52">
        <f>IF(AC637="","",IFERROR(INDEX(ctaTipo,MATCH(AC637,ctaNombre,0))&amp;"",""))</f>
        <v/>
      </c>
      <c r="AF637" s="53">
        <f>IF(OR(P637="",AB637=""),"",IF(OR(P637="Gasto",P637="Transferencia",P637="Pago tarjeta"),-1,1)*IF(IFERROR(INDEX(ctaMoneda,MATCH(AB637,ctaNombre,0))&amp;"","DOP")="USD",T637,S637))</f>
        <v/>
      </c>
      <c r="AG637" s="53">
        <f>IF(AC637="","",IF(IFERROR(INDEX(ctaMoneda,MATCH(AC637,ctaNombre,0))&amp;"","DOP")="USD",T637,S637))</f>
        <v/>
      </c>
      <c r="AH637" s="53">
        <f>IF(P637="","",IF(AND(AD637&lt;&gt;"",COUNTIFS(tcTipo,AD637,tcLiq,"Sí")&gt;0),IF(OR(P637="Gasto",P637="Transferencia",P637="Pago tarjeta"),-1,1)*S637,0)+IF(AND(AE637&lt;&gt;"",COUNTIFS(tcTipo,AE637,tcLiq,"Sí")&gt;0),S637,0))</f>
        <v/>
      </c>
      <c r="AI637" s="52">
        <f>IF(OR(L637="",P637=""),"",IF(COUNTIFS(L$6:L637,L637,P$6:P637,"?*")=1,MAX(AI$5:AI636)+1,""))</f>
        <v/>
      </c>
    </row>
    <row r="638">
      <c r="B638" s="47" t="n"/>
      <c r="C638" s="48" t="n"/>
      <c r="D638" s="48" t="n"/>
      <c r="E638" s="48" t="n"/>
      <c r="F638" s="48" t="n"/>
      <c r="G638" s="49" t="n"/>
      <c r="H638" s="48" t="n"/>
      <c r="I638" s="50" t="n"/>
      <c r="J638" s="48" t="n"/>
      <c r="K638" s="48" t="n"/>
      <c r="L638" s="48" t="n"/>
      <c r="M638" s="48" t="n"/>
      <c r="N638" s="48" t="n"/>
      <c r="O638" s="51">
        <f>IF(AND(B638="",G638="",C638="",D638="",J638=""),"",IF(B638="","⚠ Falta fecha",IF(G638="","⚠ Falta monto",IF(Q638="","⚠ Falta cuenta",IF(ISNA(MATCH(Q638,ctaNombre,0)),"⚠ Cuenta no registrada",IF(AND(OR(P638="Gasto",P638="Reembolso"),D638=""),"⚠ Falta categoría",IF(AND(D638&lt;&gt;"",E638&lt;&gt;"",ISNA(MATCH(D638&amp;"|"&amp;E638,catClave,0))),"⚠ Subcategoría no corresponde",IF(AND(OR(P638="Transferencia",P638="Pago tarjeta"),K638=""),"⚠ Falta cuenta destino",IF(AND(K638&lt;&gt;"",P638&lt;&gt;"Transferencia",P638&lt;&gt;"Pago tarjeta"),"⚠ Destino solo aplica a transferencias",IF(AND(K638&lt;&gt;"",K638=Q638),"⚠ Origen igual a destino",IF(AND(K638&lt;&gt;"",ISNA(MATCH(K638,ctaNombre,0))),"⚠ Destino no registrado",IF(AND(P638="Pago tarjeta",AE638&lt;&gt;"Tarjeta de crédito"),"⚠ El destino debe ser tarjeta de crédito",IF(AND(P638="Gasto",E638="Depósitos y retiros"),"⚠ Usa tipo Transferencia",IF(AND(P638="Resultado trading",AD638&lt;&gt;"Cuenta de trading"),"⚠ Usa una cuenta de trading",IF(AND(G638&lt;=0,P638&lt;&gt;"Ajuste",P638&lt;&gt;"Resultado trading"),"⚠ El monto debe ser positivo","✓")))))))))))))))</f>
        <v/>
      </c>
      <c r="P638" s="52">
        <f>IF(OR(B638="",G638=""),"",IF(C638="","Gasto",C638))</f>
        <v/>
      </c>
      <c r="Q638" s="52">
        <f>IF(P638="","",IF(J638&lt;&gt;"",J638,CuentaPred&amp;""))</f>
        <v/>
      </c>
      <c r="R638" s="52">
        <f>IF(P638="","",IF(ISNUMBER(I638),I638,TasaUSD))</f>
        <v/>
      </c>
      <c r="S638" s="53">
        <f>IF(P638="","",IF(H638="USD",G638*R638,G638))</f>
        <v/>
      </c>
      <c r="T638" s="53">
        <f>IF(P638="","",IF(H638="USD",G638,IF(R638&gt;0,G638/R638,0)))</f>
        <v/>
      </c>
      <c r="U638" s="53">
        <f>IF(P638="","",IF(P638="Gasto",S638,IF(P638="Reembolso",-S638,0)))</f>
        <v/>
      </c>
      <c r="V638" s="53">
        <f>IF(P638="","",IF(P638="Ingreso",S638,0))</f>
        <v/>
      </c>
      <c r="W638" s="53">
        <f>IF(P638="","",IF(P638="Resultado trading",S638,0))</f>
        <v/>
      </c>
      <c r="X638" s="52">
        <f>IF(OR(P638="Gasto",P638="Reembolso"),IF(M638&lt;&gt;"",M638,IFERROR(INDEX(catClasif,MATCH(D638&amp;"|"&amp;E638,catClave,0))&amp;"","Variable")),"")</f>
        <v/>
      </c>
      <c r="Y638" s="52">
        <f>IF(P638="","",IFERROR(INDEX(catGrupo,MATCH(D638&amp;"|"&amp;E638,catClave,0))&amp;"",""))</f>
        <v/>
      </c>
      <c r="Z638" s="52">
        <f>IF(P638="","",WEEKDAY(B638,2))</f>
        <v/>
      </c>
      <c r="AA638" s="52">
        <f>IF(P638="","",IF(AND(P638="Gasto",X638="Variable",D638&lt;&gt;catTrading,S638&gt;0,S638&lt;=Umbral),1,0))</f>
        <v/>
      </c>
      <c r="AB638" s="52">
        <f>IF(OR(P638="",Q638=""),"",IFERROR(IF(INDEX(ctaVinc,MATCH(Q638,ctaNombre,0))&amp;""&lt;&gt;"",INDEX(ctaVinc,MATCH(Q638,ctaNombre,0))&amp;"",Q638),Q638))</f>
        <v/>
      </c>
      <c r="AC638" s="52">
        <f>IF(OR(K638="",AND(P638&lt;&gt;"Transferencia",P638&lt;&gt;"Pago tarjeta")),"",IFERROR(IF(INDEX(ctaVinc,MATCH(K638,ctaNombre,0))&amp;""&lt;&gt;"",INDEX(ctaVinc,MATCH(K638,ctaNombre,0))&amp;"",K638),K638))</f>
        <v/>
      </c>
      <c r="AD638" s="52">
        <f>IF(AB638="","",IFERROR(INDEX(ctaTipo,MATCH(AB638,ctaNombre,0))&amp;"",""))</f>
        <v/>
      </c>
      <c r="AE638" s="52">
        <f>IF(AC638="","",IFERROR(INDEX(ctaTipo,MATCH(AC638,ctaNombre,0))&amp;"",""))</f>
        <v/>
      </c>
      <c r="AF638" s="53">
        <f>IF(OR(P638="",AB638=""),"",IF(OR(P638="Gasto",P638="Transferencia",P638="Pago tarjeta"),-1,1)*IF(IFERROR(INDEX(ctaMoneda,MATCH(AB638,ctaNombre,0))&amp;"","DOP")="USD",T638,S638))</f>
        <v/>
      </c>
      <c r="AG638" s="53">
        <f>IF(AC638="","",IF(IFERROR(INDEX(ctaMoneda,MATCH(AC638,ctaNombre,0))&amp;"","DOP")="USD",T638,S638))</f>
        <v/>
      </c>
      <c r="AH638" s="53">
        <f>IF(P638="","",IF(AND(AD638&lt;&gt;"",COUNTIFS(tcTipo,AD638,tcLiq,"Sí")&gt;0),IF(OR(P638="Gasto",P638="Transferencia",P638="Pago tarjeta"),-1,1)*S638,0)+IF(AND(AE638&lt;&gt;"",COUNTIFS(tcTipo,AE638,tcLiq,"Sí")&gt;0),S638,0))</f>
        <v/>
      </c>
      <c r="AI638" s="52">
        <f>IF(OR(L638="",P638=""),"",IF(COUNTIFS(L$6:L638,L638,P$6:P638,"?*")=1,MAX(AI$5:AI637)+1,""))</f>
        <v/>
      </c>
    </row>
    <row r="639">
      <c r="B639" s="47" t="n"/>
      <c r="C639" s="48" t="n"/>
      <c r="D639" s="48" t="n"/>
      <c r="E639" s="48" t="n"/>
      <c r="F639" s="48" t="n"/>
      <c r="G639" s="49" t="n"/>
      <c r="H639" s="48" t="n"/>
      <c r="I639" s="50" t="n"/>
      <c r="J639" s="48" t="n"/>
      <c r="K639" s="48" t="n"/>
      <c r="L639" s="48" t="n"/>
      <c r="M639" s="48" t="n"/>
      <c r="N639" s="48" t="n"/>
      <c r="O639" s="51">
        <f>IF(AND(B639="",G639="",C639="",D639="",J639=""),"",IF(B639="","⚠ Falta fecha",IF(G639="","⚠ Falta monto",IF(Q639="","⚠ Falta cuenta",IF(ISNA(MATCH(Q639,ctaNombre,0)),"⚠ Cuenta no registrada",IF(AND(OR(P639="Gasto",P639="Reembolso"),D639=""),"⚠ Falta categoría",IF(AND(D639&lt;&gt;"",E639&lt;&gt;"",ISNA(MATCH(D639&amp;"|"&amp;E639,catClave,0))),"⚠ Subcategoría no corresponde",IF(AND(OR(P639="Transferencia",P639="Pago tarjeta"),K639=""),"⚠ Falta cuenta destino",IF(AND(K639&lt;&gt;"",P639&lt;&gt;"Transferencia",P639&lt;&gt;"Pago tarjeta"),"⚠ Destino solo aplica a transferencias",IF(AND(K639&lt;&gt;"",K639=Q639),"⚠ Origen igual a destino",IF(AND(K639&lt;&gt;"",ISNA(MATCH(K639,ctaNombre,0))),"⚠ Destino no registrado",IF(AND(P639="Pago tarjeta",AE639&lt;&gt;"Tarjeta de crédito"),"⚠ El destino debe ser tarjeta de crédito",IF(AND(P639="Gasto",E639="Depósitos y retiros"),"⚠ Usa tipo Transferencia",IF(AND(P639="Resultado trading",AD639&lt;&gt;"Cuenta de trading"),"⚠ Usa una cuenta de trading",IF(AND(G639&lt;=0,P639&lt;&gt;"Ajuste",P639&lt;&gt;"Resultado trading"),"⚠ El monto debe ser positivo","✓")))))))))))))))</f>
        <v/>
      </c>
      <c r="P639" s="52">
        <f>IF(OR(B639="",G639=""),"",IF(C639="","Gasto",C639))</f>
        <v/>
      </c>
      <c r="Q639" s="52">
        <f>IF(P639="","",IF(J639&lt;&gt;"",J639,CuentaPred&amp;""))</f>
        <v/>
      </c>
      <c r="R639" s="52">
        <f>IF(P639="","",IF(ISNUMBER(I639),I639,TasaUSD))</f>
        <v/>
      </c>
      <c r="S639" s="53">
        <f>IF(P639="","",IF(H639="USD",G639*R639,G639))</f>
        <v/>
      </c>
      <c r="T639" s="53">
        <f>IF(P639="","",IF(H639="USD",G639,IF(R639&gt;0,G639/R639,0)))</f>
        <v/>
      </c>
      <c r="U639" s="53">
        <f>IF(P639="","",IF(P639="Gasto",S639,IF(P639="Reembolso",-S639,0)))</f>
        <v/>
      </c>
      <c r="V639" s="53">
        <f>IF(P639="","",IF(P639="Ingreso",S639,0))</f>
        <v/>
      </c>
      <c r="W639" s="53">
        <f>IF(P639="","",IF(P639="Resultado trading",S639,0))</f>
        <v/>
      </c>
      <c r="X639" s="52">
        <f>IF(OR(P639="Gasto",P639="Reembolso"),IF(M639&lt;&gt;"",M639,IFERROR(INDEX(catClasif,MATCH(D639&amp;"|"&amp;E639,catClave,0))&amp;"","Variable")),"")</f>
        <v/>
      </c>
      <c r="Y639" s="52">
        <f>IF(P639="","",IFERROR(INDEX(catGrupo,MATCH(D639&amp;"|"&amp;E639,catClave,0))&amp;"",""))</f>
        <v/>
      </c>
      <c r="Z639" s="52">
        <f>IF(P639="","",WEEKDAY(B639,2))</f>
        <v/>
      </c>
      <c r="AA639" s="52">
        <f>IF(P639="","",IF(AND(P639="Gasto",X639="Variable",D639&lt;&gt;catTrading,S639&gt;0,S639&lt;=Umbral),1,0))</f>
        <v/>
      </c>
      <c r="AB639" s="52">
        <f>IF(OR(P639="",Q639=""),"",IFERROR(IF(INDEX(ctaVinc,MATCH(Q639,ctaNombre,0))&amp;""&lt;&gt;"",INDEX(ctaVinc,MATCH(Q639,ctaNombre,0))&amp;"",Q639),Q639))</f>
        <v/>
      </c>
      <c r="AC639" s="52">
        <f>IF(OR(K639="",AND(P639&lt;&gt;"Transferencia",P639&lt;&gt;"Pago tarjeta")),"",IFERROR(IF(INDEX(ctaVinc,MATCH(K639,ctaNombre,0))&amp;""&lt;&gt;"",INDEX(ctaVinc,MATCH(K639,ctaNombre,0))&amp;"",K639),K639))</f>
        <v/>
      </c>
      <c r="AD639" s="52">
        <f>IF(AB639="","",IFERROR(INDEX(ctaTipo,MATCH(AB639,ctaNombre,0))&amp;"",""))</f>
        <v/>
      </c>
      <c r="AE639" s="52">
        <f>IF(AC639="","",IFERROR(INDEX(ctaTipo,MATCH(AC639,ctaNombre,0))&amp;"",""))</f>
        <v/>
      </c>
      <c r="AF639" s="53">
        <f>IF(OR(P639="",AB639=""),"",IF(OR(P639="Gasto",P639="Transferencia",P639="Pago tarjeta"),-1,1)*IF(IFERROR(INDEX(ctaMoneda,MATCH(AB639,ctaNombre,0))&amp;"","DOP")="USD",T639,S639))</f>
        <v/>
      </c>
      <c r="AG639" s="53">
        <f>IF(AC639="","",IF(IFERROR(INDEX(ctaMoneda,MATCH(AC639,ctaNombre,0))&amp;"","DOP")="USD",T639,S639))</f>
        <v/>
      </c>
      <c r="AH639" s="53">
        <f>IF(P639="","",IF(AND(AD639&lt;&gt;"",COUNTIFS(tcTipo,AD639,tcLiq,"Sí")&gt;0),IF(OR(P639="Gasto",P639="Transferencia",P639="Pago tarjeta"),-1,1)*S639,0)+IF(AND(AE639&lt;&gt;"",COUNTIFS(tcTipo,AE639,tcLiq,"Sí")&gt;0),S639,0))</f>
        <v/>
      </c>
      <c r="AI639" s="52">
        <f>IF(OR(L639="",P639=""),"",IF(COUNTIFS(L$6:L639,L639,P$6:P639,"?*")=1,MAX(AI$5:AI638)+1,""))</f>
        <v/>
      </c>
    </row>
    <row r="640">
      <c r="B640" s="47" t="n"/>
      <c r="C640" s="48" t="n"/>
      <c r="D640" s="48" t="n"/>
      <c r="E640" s="48" t="n"/>
      <c r="F640" s="48" t="n"/>
      <c r="G640" s="49" t="n"/>
      <c r="H640" s="48" t="n"/>
      <c r="I640" s="50" t="n"/>
      <c r="J640" s="48" t="n"/>
      <c r="K640" s="48" t="n"/>
      <c r="L640" s="48" t="n"/>
      <c r="M640" s="48" t="n"/>
      <c r="N640" s="48" t="n"/>
      <c r="O640" s="51">
        <f>IF(AND(B640="",G640="",C640="",D640="",J640=""),"",IF(B640="","⚠ Falta fecha",IF(G640="","⚠ Falta monto",IF(Q640="","⚠ Falta cuenta",IF(ISNA(MATCH(Q640,ctaNombre,0)),"⚠ Cuenta no registrada",IF(AND(OR(P640="Gasto",P640="Reembolso"),D640=""),"⚠ Falta categoría",IF(AND(D640&lt;&gt;"",E640&lt;&gt;"",ISNA(MATCH(D640&amp;"|"&amp;E640,catClave,0))),"⚠ Subcategoría no corresponde",IF(AND(OR(P640="Transferencia",P640="Pago tarjeta"),K640=""),"⚠ Falta cuenta destino",IF(AND(K640&lt;&gt;"",P640&lt;&gt;"Transferencia",P640&lt;&gt;"Pago tarjeta"),"⚠ Destino solo aplica a transferencias",IF(AND(K640&lt;&gt;"",K640=Q640),"⚠ Origen igual a destino",IF(AND(K640&lt;&gt;"",ISNA(MATCH(K640,ctaNombre,0))),"⚠ Destino no registrado",IF(AND(P640="Pago tarjeta",AE640&lt;&gt;"Tarjeta de crédito"),"⚠ El destino debe ser tarjeta de crédito",IF(AND(P640="Gasto",E640="Depósitos y retiros"),"⚠ Usa tipo Transferencia",IF(AND(P640="Resultado trading",AD640&lt;&gt;"Cuenta de trading"),"⚠ Usa una cuenta de trading",IF(AND(G640&lt;=0,P640&lt;&gt;"Ajuste",P640&lt;&gt;"Resultado trading"),"⚠ El monto debe ser positivo","✓")))))))))))))))</f>
        <v/>
      </c>
      <c r="P640" s="52">
        <f>IF(OR(B640="",G640=""),"",IF(C640="","Gasto",C640))</f>
        <v/>
      </c>
      <c r="Q640" s="52">
        <f>IF(P640="","",IF(J640&lt;&gt;"",J640,CuentaPred&amp;""))</f>
        <v/>
      </c>
      <c r="R640" s="52">
        <f>IF(P640="","",IF(ISNUMBER(I640),I640,TasaUSD))</f>
        <v/>
      </c>
      <c r="S640" s="53">
        <f>IF(P640="","",IF(H640="USD",G640*R640,G640))</f>
        <v/>
      </c>
      <c r="T640" s="53">
        <f>IF(P640="","",IF(H640="USD",G640,IF(R640&gt;0,G640/R640,0)))</f>
        <v/>
      </c>
      <c r="U640" s="53">
        <f>IF(P640="","",IF(P640="Gasto",S640,IF(P640="Reembolso",-S640,0)))</f>
        <v/>
      </c>
      <c r="V640" s="53">
        <f>IF(P640="","",IF(P640="Ingreso",S640,0))</f>
        <v/>
      </c>
      <c r="W640" s="53">
        <f>IF(P640="","",IF(P640="Resultado trading",S640,0))</f>
        <v/>
      </c>
      <c r="X640" s="52">
        <f>IF(OR(P640="Gasto",P640="Reembolso"),IF(M640&lt;&gt;"",M640,IFERROR(INDEX(catClasif,MATCH(D640&amp;"|"&amp;E640,catClave,0))&amp;"","Variable")),"")</f>
        <v/>
      </c>
      <c r="Y640" s="52">
        <f>IF(P640="","",IFERROR(INDEX(catGrupo,MATCH(D640&amp;"|"&amp;E640,catClave,0))&amp;"",""))</f>
        <v/>
      </c>
      <c r="Z640" s="52">
        <f>IF(P640="","",WEEKDAY(B640,2))</f>
        <v/>
      </c>
      <c r="AA640" s="52">
        <f>IF(P640="","",IF(AND(P640="Gasto",X640="Variable",D640&lt;&gt;catTrading,S640&gt;0,S640&lt;=Umbral),1,0))</f>
        <v/>
      </c>
      <c r="AB640" s="52">
        <f>IF(OR(P640="",Q640=""),"",IFERROR(IF(INDEX(ctaVinc,MATCH(Q640,ctaNombre,0))&amp;""&lt;&gt;"",INDEX(ctaVinc,MATCH(Q640,ctaNombre,0))&amp;"",Q640),Q640))</f>
        <v/>
      </c>
      <c r="AC640" s="52">
        <f>IF(OR(K640="",AND(P640&lt;&gt;"Transferencia",P640&lt;&gt;"Pago tarjeta")),"",IFERROR(IF(INDEX(ctaVinc,MATCH(K640,ctaNombre,0))&amp;""&lt;&gt;"",INDEX(ctaVinc,MATCH(K640,ctaNombre,0))&amp;"",K640),K640))</f>
        <v/>
      </c>
      <c r="AD640" s="52">
        <f>IF(AB640="","",IFERROR(INDEX(ctaTipo,MATCH(AB640,ctaNombre,0))&amp;"",""))</f>
        <v/>
      </c>
      <c r="AE640" s="52">
        <f>IF(AC640="","",IFERROR(INDEX(ctaTipo,MATCH(AC640,ctaNombre,0))&amp;"",""))</f>
        <v/>
      </c>
      <c r="AF640" s="53">
        <f>IF(OR(P640="",AB640=""),"",IF(OR(P640="Gasto",P640="Transferencia",P640="Pago tarjeta"),-1,1)*IF(IFERROR(INDEX(ctaMoneda,MATCH(AB640,ctaNombre,0))&amp;"","DOP")="USD",T640,S640))</f>
        <v/>
      </c>
      <c r="AG640" s="53">
        <f>IF(AC640="","",IF(IFERROR(INDEX(ctaMoneda,MATCH(AC640,ctaNombre,0))&amp;"","DOP")="USD",T640,S640))</f>
        <v/>
      </c>
      <c r="AH640" s="53">
        <f>IF(P640="","",IF(AND(AD640&lt;&gt;"",COUNTIFS(tcTipo,AD640,tcLiq,"Sí")&gt;0),IF(OR(P640="Gasto",P640="Transferencia",P640="Pago tarjeta"),-1,1)*S640,0)+IF(AND(AE640&lt;&gt;"",COUNTIFS(tcTipo,AE640,tcLiq,"Sí")&gt;0),S640,0))</f>
        <v/>
      </c>
      <c r="AI640" s="52">
        <f>IF(OR(L640="",P640=""),"",IF(COUNTIFS(L$6:L640,L640,P$6:P640,"?*")=1,MAX(AI$5:AI639)+1,""))</f>
        <v/>
      </c>
    </row>
    <row r="641">
      <c r="B641" s="47" t="n"/>
      <c r="C641" s="48" t="n"/>
      <c r="D641" s="48" t="n"/>
      <c r="E641" s="48" t="n"/>
      <c r="F641" s="48" t="n"/>
      <c r="G641" s="49" t="n"/>
      <c r="H641" s="48" t="n"/>
      <c r="I641" s="50" t="n"/>
      <c r="J641" s="48" t="n"/>
      <c r="K641" s="48" t="n"/>
      <c r="L641" s="48" t="n"/>
      <c r="M641" s="48" t="n"/>
      <c r="N641" s="48" t="n"/>
      <c r="O641" s="51">
        <f>IF(AND(B641="",G641="",C641="",D641="",J641=""),"",IF(B641="","⚠ Falta fecha",IF(G641="","⚠ Falta monto",IF(Q641="","⚠ Falta cuenta",IF(ISNA(MATCH(Q641,ctaNombre,0)),"⚠ Cuenta no registrada",IF(AND(OR(P641="Gasto",P641="Reembolso"),D641=""),"⚠ Falta categoría",IF(AND(D641&lt;&gt;"",E641&lt;&gt;"",ISNA(MATCH(D641&amp;"|"&amp;E641,catClave,0))),"⚠ Subcategoría no corresponde",IF(AND(OR(P641="Transferencia",P641="Pago tarjeta"),K641=""),"⚠ Falta cuenta destino",IF(AND(K641&lt;&gt;"",P641&lt;&gt;"Transferencia",P641&lt;&gt;"Pago tarjeta"),"⚠ Destino solo aplica a transferencias",IF(AND(K641&lt;&gt;"",K641=Q641),"⚠ Origen igual a destino",IF(AND(K641&lt;&gt;"",ISNA(MATCH(K641,ctaNombre,0))),"⚠ Destino no registrado",IF(AND(P641="Pago tarjeta",AE641&lt;&gt;"Tarjeta de crédito"),"⚠ El destino debe ser tarjeta de crédito",IF(AND(P641="Gasto",E641="Depósitos y retiros"),"⚠ Usa tipo Transferencia",IF(AND(P641="Resultado trading",AD641&lt;&gt;"Cuenta de trading"),"⚠ Usa una cuenta de trading",IF(AND(G641&lt;=0,P641&lt;&gt;"Ajuste",P641&lt;&gt;"Resultado trading"),"⚠ El monto debe ser positivo","✓")))))))))))))))</f>
        <v/>
      </c>
      <c r="P641" s="52">
        <f>IF(OR(B641="",G641=""),"",IF(C641="","Gasto",C641))</f>
        <v/>
      </c>
      <c r="Q641" s="52">
        <f>IF(P641="","",IF(J641&lt;&gt;"",J641,CuentaPred&amp;""))</f>
        <v/>
      </c>
      <c r="R641" s="52">
        <f>IF(P641="","",IF(ISNUMBER(I641),I641,TasaUSD))</f>
        <v/>
      </c>
      <c r="S641" s="53">
        <f>IF(P641="","",IF(H641="USD",G641*R641,G641))</f>
        <v/>
      </c>
      <c r="T641" s="53">
        <f>IF(P641="","",IF(H641="USD",G641,IF(R641&gt;0,G641/R641,0)))</f>
        <v/>
      </c>
      <c r="U641" s="53">
        <f>IF(P641="","",IF(P641="Gasto",S641,IF(P641="Reembolso",-S641,0)))</f>
        <v/>
      </c>
      <c r="V641" s="53">
        <f>IF(P641="","",IF(P641="Ingreso",S641,0))</f>
        <v/>
      </c>
      <c r="W641" s="53">
        <f>IF(P641="","",IF(P641="Resultado trading",S641,0))</f>
        <v/>
      </c>
      <c r="X641" s="52">
        <f>IF(OR(P641="Gasto",P641="Reembolso"),IF(M641&lt;&gt;"",M641,IFERROR(INDEX(catClasif,MATCH(D641&amp;"|"&amp;E641,catClave,0))&amp;"","Variable")),"")</f>
        <v/>
      </c>
      <c r="Y641" s="52">
        <f>IF(P641="","",IFERROR(INDEX(catGrupo,MATCH(D641&amp;"|"&amp;E641,catClave,0))&amp;"",""))</f>
        <v/>
      </c>
      <c r="Z641" s="52">
        <f>IF(P641="","",WEEKDAY(B641,2))</f>
        <v/>
      </c>
      <c r="AA641" s="52">
        <f>IF(P641="","",IF(AND(P641="Gasto",X641="Variable",D641&lt;&gt;catTrading,S641&gt;0,S641&lt;=Umbral),1,0))</f>
        <v/>
      </c>
      <c r="AB641" s="52">
        <f>IF(OR(P641="",Q641=""),"",IFERROR(IF(INDEX(ctaVinc,MATCH(Q641,ctaNombre,0))&amp;""&lt;&gt;"",INDEX(ctaVinc,MATCH(Q641,ctaNombre,0))&amp;"",Q641),Q641))</f>
        <v/>
      </c>
      <c r="AC641" s="52">
        <f>IF(OR(K641="",AND(P641&lt;&gt;"Transferencia",P641&lt;&gt;"Pago tarjeta")),"",IFERROR(IF(INDEX(ctaVinc,MATCH(K641,ctaNombre,0))&amp;""&lt;&gt;"",INDEX(ctaVinc,MATCH(K641,ctaNombre,0))&amp;"",K641),K641))</f>
        <v/>
      </c>
      <c r="AD641" s="52">
        <f>IF(AB641="","",IFERROR(INDEX(ctaTipo,MATCH(AB641,ctaNombre,0))&amp;"",""))</f>
        <v/>
      </c>
      <c r="AE641" s="52">
        <f>IF(AC641="","",IFERROR(INDEX(ctaTipo,MATCH(AC641,ctaNombre,0))&amp;"",""))</f>
        <v/>
      </c>
      <c r="AF641" s="53">
        <f>IF(OR(P641="",AB641=""),"",IF(OR(P641="Gasto",P641="Transferencia",P641="Pago tarjeta"),-1,1)*IF(IFERROR(INDEX(ctaMoneda,MATCH(AB641,ctaNombre,0))&amp;"","DOP")="USD",T641,S641))</f>
        <v/>
      </c>
      <c r="AG641" s="53">
        <f>IF(AC641="","",IF(IFERROR(INDEX(ctaMoneda,MATCH(AC641,ctaNombre,0))&amp;"","DOP")="USD",T641,S641))</f>
        <v/>
      </c>
      <c r="AH641" s="53">
        <f>IF(P641="","",IF(AND(AD641&lt;&gt;"",COUNTIFS(tcTipo,AD641,tcLiq,"Sí")&gt;0),IF(OR(P641="Gasto",P641="Transferencia",P641="Pago tarjeta"),-1,1)*S641,0)+IF(AND(AE641&lt;&gt;"",COUNTIFS(tcTipo,AE641,tcLiq,"Sí")&gt;0),S641,0))</f>
        <v/>
      </c>
      <c r="AI641" s="52">
        <f>IF(OR(L641="",P641=""),"",IF(COUNTIFS(L$6:L641,L641,P$6:P641,"?*")=1,MAX(AI$5:AI640)+1,""))</f>
        <v/>
      </c>
    </row>
    <row r="642">
      <c r="B642" s="47" t="n"/>
      <c r="C642" s="48" t="n"/>
      <c r="D642" s="48" t="n"/>
      <c r="E642" s="48" t="n"/>
      <c r="F642" s="48" t="n"/>
      <c r="G642" s="49" t="n"/>
      <c r="H642" s="48" t="n"/>
      <c r="I642" s="50" t="n"/>
      <c r="J642" s="48" t="n"/>
      <c r="K642" s="48" t="n"/>
      <c r="L642" s="48" t="n"/>
      <c r="M642" s="48" t="n"/>
      <c r="N642" s="48" t="n"/>
      <c r="O642" s="51">
        <f>IF(AND(B642="",G642="",C642="",D642="",J642=""),"",IF(B642="","⚠ Falta fecha",IF(G642="","⚠ Falta monto",IF(Q642="","⚠ Falta cuenta",IF(ISNA(MATCH(Q642,ctaNombre,0)),"⚠ Cuenta no registrada",IF(AND(OR(P642="Gasto",P642="Reembolso"),D642=""),"⚠ Falta categoría",IF(AND(D642&lt;&gt;"",E642&lt;&gt;"",ISNA(MATCH(D642&amp;"|"&amp;E642,catClave,0))),"⚠ Subcategoría no corresponde",IF(AND(OR(P642="Transferencia",P642="Pago tarjeta"),K642=""),"⚠ Falta cuenta destino",IF(AND(K642&lt;&gt;"",P642&lt;&gt;"Transferencia",P642&lt;&gt;"Pago tarjeta"),"⚠ Destino solo aplica a transferencias",IF(AND(K642&lt;&gt;"",K642=Q642),"⚠ Origen igual a destino",IF(AND(K642&lt;&gt;"",ISNA(MATCH(K642,ctaNombre,0))),"⚠ Destino no registrado",IF(AND(P642="Pago tarjeta",AE642&lt;&gt;"Tarjeta de crédito"),"⚠ El destino debe ser tarjeta de crédito",IF(AND(P642="Gasto",E642="Depósitos y retiros"),"⚠ Usa tipo Transferencia",IF(AND(P642="Resultado trading",AD642&lt;&gt;"Cuenta de trading"),"⚠ Usa una cuenta de trading",IF(AND(G642&lt;=0,P642&lt;&gt;"Ajuste",P642&lt;&gt;"Resultado trading"),"⚠ El monto debe ser positivo","✓")))))))))))))))</f>
        <v/>
      </c>
      <c r="P642" s="52">
        <f>IF(OR(B642="",G642=""),"",IF(C642="","Gasto",C642))</f>
        <v/>
      </c>
      <c r="Q642" s="52">
        <f>IF(P642="","",IF(J642&lt;&gt;"",J642,CuentaPred&amp;""))</f>
        <v/>
      </c>
      <c r="R642" s="52">
        <f>IF(P642="","",IF(ISNUMBER(I642),I642,TasaUSD))</f>
        <v/>
      </c>
      <c r="S642" s="53">
        <f>IF(P642="","",IF(H642="USD",G642*R642,G642))</f>
        <v/>
      </c>
      <c r="T642" s="53">
        <f>IF(P642="","",IF(H642="USD",G642,IF(R642&gt;0,G642/R642,0)))</f>
        <v/>
      </c>
      <c r="U642" s="53">
        <f>IF(P642="","",IF(P642="Gasto",S642,IF(P642="Reembolso",-S642,0)))</f>
        <v/>
      </c>
      <c r="V642" s="53">
        <f>IF(P642="","",IF(P642="Ingreso",S642,0))</f>
        <v/>
      </c>
      <c r="W642" s="53">
        <f>IF(P642="","",IF(P642="Resultado trading",S642,0))</f>
        <v/>
      </c>
      <c r="X642" s="52">
        <f>IF(OR(P642="Gasto",P642="Reembolso"),IF(M642&lt;&gt;"",M642,IFERROR(INDEX(catClasif,MATCH(D642&amp;"|"&amp;E642,catClave,0))&amp;"","Variable")),"")</f>
        <v/>
      </c>
      <c r="Y642" s="52">
        <f>IF(P642="","",IFERROR(INDEX(catGrupo,MATCH(D642&amp;"|"&amp;E642,catClave,0))&amp;"",""))</f>
        <v/>
      </c>
      <c r="Z642" s="52">
        <f>IF(P642="","",WEEKDAY(B642,2))</f>
        <v/>
      </c>
      <c r="AA642" s="52">
        <f>IF(P642="","",IF(AND(P642="Gasto",X642="Variable",D642&lt;&gt;catTrading,S642&gt;0,S642&lt;=Umbral),1,0))</f>
        <v/>
      </c>
      <c r="AB642" s="52">
        <f>IF(OR(P642="",Q642=""),"",IFERROR(IF(INDEX(ctaVinc,MATCH(Q642,ctaNombre,0))&amp;""&lt;&gt;"",INDEX(ctaVinc,MATCH(Q642,ctaNombre,0))&amp;"",Q642),Q642))</f>
        <v/>
      </c>
      <c r="AC642" s="52">
        <f>IF(OR(K642="",AND(P642&lt;&gt;"Transferencia",P642&lt;&gt;"Pago tarjeta")),"",IFERROR(IF(INDEX(ctaVinc,MATCH(K642,ctaNombre,0))&amp;""&lt;&gt;"",INDEX(ctaVinc,MATCH(K642,ctaNombre,0))&amp;"",K642),K642))</f>
        <v/>
      </c>
      <c r="AD642" s="52">
        <f>IF(AB642="","",IFERROR(INDEX(ctaTipo,MATCH(AB642,ctaNombre,0))&amp;"",""))</f>
        <v/>
      </c>
      <c r="AE642" s="52">
        <f>IF(AC642="","",IFERROR(INDEX(ctaTipo,MATCH(AC642,ctaNombre,0))&amp;"",""))</f>
        <v/>
      </c>
      <c r="AF642" s="53">
        <f>IF(OR(P642="",AB642=""),"",IF(OR(P642="Gasto",P642="Transferencia",P642="Pago tarjeta"),-1,1)*IF(IFERROR(INDEX(ctaMoneda,MATCH(AB642,ctaNombre,0))&amp;"","DOP")="USD",T642,S642))</f>
        <v/>
      </c>
      <c r="AG642" s="53">
        <f>IF(AC642="","",IF(IFERROR(INDEX(ctaMoneda,MATCH(AC642,ctaNombre,0))&amp;"","DOP")="USD",T642,S642))</f>
        <v/>
      </c>
      <c r="AH642" s="53">
        <f>IF(P642="","",IF(AND(AD642&lt;&gt;"",COUNTIFS(tcTipo,AD642,tcLiq,"Sí")&gt;0),IF(OR(P642="Gasto",P642="Transferencia",P642="Pago tarjeta"),-1,1)*S642,0)+IF(AND(AE642&lt;&gt;"",COUNTIFS(tcTipo,AE642,tcLiq,"Sí")&gt;0),S642,0))</f>
        <v/>
      </c>
      <c r="AI642" s="52">
        <f>IF(OR(L642="",P642=""),"",IF(COUNTIFS(L$6:L642,L642,P$6:P642,"?*")=1,MAX(AI$5:AI641)+1,""))</f>
        <v/>
      </c>
    </row>
    <row r="643">
      <c r="B643" s="47" t="n"/>
      <c r="C643" s="48" t="n"/>
      <c r="D643" s="48" t="n"/>
      <c r="E643" s="48" t="n"/>
      <c r="F643" s="48" t="n"/>
      <c r="G643" s="49" t="n"/>
      <c r="H643" s="48" t="n"/>
      <c r="I643" s="50" t="n"/>
      <c r="J643" s="48" t="n"/>
      <c r="K643" s="48" t="n"/>
      <c r="L643" s="48" t="n"/>
      <c r="M643" s="48" t="n"/>
      <c r="N643" s="48" t="n"/>
      <c r="O643" s="51">
        <f>IF(AND(B643="",G643="",C643="",D643="",J643=""),"",IF(B643="","⚠ Falta fecha",IF(G643="","⚠ Falta monto",IF(Q643="","⚠ Falta cuenta",IF(ISNA(MATCH(Q643,ctaNombre,0)),"⚠ Cuenta no registrada",IF(AND(OR(P643="Gasto",P643="Reembolso"),D643=""),"⚠ Falta categoría",IF(AND(D643&lt;&gt;"",E643&lt;&gt;"",ISNA(MATCH(D643&amp;"|"&amp;E643,catClave,0))),"⚠ Subcategoría no corresponde",IF(AND(OR(P643="Transferencia",P643="Pago tarjeta"),K643=""),"⚠ Falta cuenta destino",IF(AND(K643&lt;&gt;"",P643&lt;&gt;"Transferencia",P643&lt;&gt;"Pago tarjeta"),"⚠ Destino solo aplica a transferencias",IF(AND(K643&lt;&gt;"",K643=Q643),"⚠ Origen igual a destino",IF(AND(K643&lt;&gt;"",ISNA(MATCH(K643,ctaNombre,0))),"⚠ Destino no registrado",IF(AND(P643="Pago tarjeta",AE643&lt;&gt;"Tarjeta de crédito"),"⚠ El destino debe ser tarjeta de crédito",IF(AND(P643="Gasto",E643="Depósitos y retiros"),"⚠ Usa tipo Transferencia",IF(AND(P643="Resultado trading",AD643&lt;&gt;"Cuenta de trading"),"⚠ Usa una cuenta de trading",IF(AND(G643&lt;=0,P643&lt;&gt;"Ajuste",P643&lt;&gt;"Resultado trading"),"⚠ El monto debe ser positivo","✓")))))))))))))))</f>
        <v/>
      </c>
      <c r="P643" s="52">
        <f>IF(OR(B643="",G643=""),"",IF(C643="","Gasto",C643))</f>
        <v/>
      </c>
      <c r="Q643" s="52">
        <f>IF(P643="","",IF(J643&lt;&gt;"",J643,CuentaPred&amp;""))</f>
        <v/>
      </c>
      <c r="R643" s="52">
        <f>IF(P643="","",IF(ISNUMBER(I643),I643,TasaUSD))</f>
        <v/>
      </c>
      <c r="S643" s="53">
        <f>IF(P643="","",IF(H643="USD",G643*R643,G643))</f>
        <v/>
      </c>
      <c r="T643" s="53">
        <f>IF(P643="","",IF(H643="USD",G643,IF(R643&gt;0,G643/R643,0)))</f>
        <v/>
      </c>
      <c r="U643" s="53">
        <f>IF(P643="","",IF(P643="Gasto",S643,IF(P643="Reembolso",-S643,0)))</f>
        <v/>
      </c>
      <c r="V643" s="53">
        <f>IF(P643="","",IF(P643="Ingreso",S643,0))</f>
        <v/>
      </c>
      <c r="W643" s="53">
        <f>IF(P643="","",IF(P643="Resultado trading",S643,0))</f>
        <v/>
      </c>
      <c r="X643" s="52">
        <f>IF(OR(P643="Gasto",P643="Reembolso"),IF(M643&lt;&gt;"",M643,IFERROR(INDEX(catClasif,MATCH(D643&amp;"|"&amp;E643,catClave,0))&amp;"","Variable")),"")</f>
        <v/>
      </c>
      <c r="Y643" s="52">
        <f>IF(P643="","",IFERROR(INDEX(catGrupo,MATCH(D643&amp;"|"&amp;E643,catClave,0))&amp;"",""))</f>
        <v/>
      </c>
      <c r="Z643" s="52">
        <f>IF(P643="","",WEEKDAY(B643,2))</f>
        <v/>
      </c>
      <c r="AA643" s="52">
        <f>IF(P643="","",IF(AND(P643="Gasto",X643="Variable",D643&lt;&gt;catTrading,S643&gt;0,S643&lt;=Umbral),1,0))</f>
        <v/>
      </c>
      <c r="AB643" s="52">
        <f>IF(OR(P643="",Q643=""),"",IFERROR(IF(INDEX(ctaVinc,MATCH(Q643,ctaNombre,0))&amp;""&lt;&gt;"",INDEX(ctaVinc,MATCH(Q643,ctaNombre,0))&amp;"",Q643),Q643))</f>
        <v/>
      </c>
      <c r="AC643" s="52">
        <f>IF(OR(K643="",AND(P643&lt;&gt;"Transferencia",P643&lt;&gt;"Pago tarjeta")),"",IFERROR(IF(INDEX(ctaVinc,MATCH(K643,ctaNombre,0))&amp;""&lt;&gt;"",INDEX(ctaVinc,MATCH(K643,ctaNombre,0))&amp;"",K643),K643))</f>
        <v/>
      </c>
      <c r="AD643" s="52">
        <f>IF(AB643="","",IFERROR(INDEX(ctaTipo,MATCH(AB643,ctaNombre,0))&amp;"",""))</f>
        <v/>
      </c>
      <c r="AE643" s="52">
        <f>IF(AC643="","",IFERROR(INDEX(ctaTipo,MATCH(AC643,ctaNombre,0))&amp;"",""))</f>
        <v/>
      </c>
      <c r="AF643" s="53">
        <f>IF(OR(P643="",AB643=""),"",IF(OR(P643="Gasto",P643="Transferencia",P643="Pago tarjeta"),-1,1)*IF(IFERROR(INDEX(ctaMoneda,MATCH(AB643,ctaNombre,0))&amp;"","DOP")="USD",T643,S643))</f>
        <v/>
      </c>
      <c r="AG643" s="53">
        <f>IF(AC643="","",IF(IFERROR(INDEX(ctaMoneda,MATCH(AC643,ctaNombre,0))&amp;"","DOP")="USD",T643,S643))</f>
        <v/>
      </c>
      <c r="AH643" s="53">
        <f>IF(P643="","",IF(AND(AD643&lt;&gt;"",COUNTIFS(tcTipo,AD643,tcLiq,"Sí")&gt;0),IF(OR(P643="Gasto",P643="Transferencia",P643="Pago tarjeta"),-1,1)*S643,0)+IF(AND(AE643&lt;&gt;"",COUNTIFS(tcTipo,AE643,tcLiq,"Sí")&gt;0),S643,0))</f>
        <v/>
      </c>
      <c r="AI643" s="52">
        <f>IF(OR(L643="",P643=""),"",IF(COUNTIFS(L$6:L643,L643,P$6:P643,"?*")=1,MAX(AI$5:AI642)+1,""))</f>
        <v/>
      </c>
    </row>
    <row r="644">
      <c r="B644" s="47" t="n"/>
      <c r="C644" s="48" t="n"/>
      <c r="D644" s="48" t="n"/>
      <c r="E644" s="48" t="n"/>
      <c r="F644" s="48" t="n"/>
      <c r="G644" s="49" t="n"/>
      <c r="H644" s="48" t="n"/>
      <c r="I644" s="50" t="n"/>
      <c r="J644" s="48" t="n"/>
      <c r="K644" s="48" t="n"/>
      <c r="L644" s="48" t="n"/>
      <c r="M644" s="48" t="n"/>
      <c r="N644" s="48" t="n"/>
      <c r="O644" s="51">
        <f>IF(AND(B644="",G644="",C644="",D644="",J644=""),"",IF(B644="","⚠ Falta fecha",IF(G644="","⚠ Falta monto",IF(Q644="","⚠ Falta cuenta",IF(ISNA(MATCH(Q644,ctaNombre,0)),"⚠ Cuenta no registrada",IF(AND(OR(P644="Gasto",P644="Reembolso"),D644=""),"⚠ Falta categoría",IF(AND(D644&lt;&gt;"",E644&lt;&gt;"",ISNA(MATCH(D644&amp;"|"&amp;E644,catClave,0))),"⚠ Subcategoría no corresponde",IF(AND(OR(P644="Transferencia",P644="Pago tarjeta"),K644=""),"⚠ Falta cuenta destino",IF(AND(K644&lt;&gt;"",P644&lt;&gt;"Transferencia",P644&lt;&gt;"Pago tarjeta"),"⚠ Destino solo aplica a transferencias",IF(AND(K644&lt;&gt;"",K644=Q644),"⚠ Origen igual a destino",IF(AND(K644&lt;&gt;"",ISNA(MATCH(K644,ctaNombre,0))),"⚠ Destino no registrado",IF(AND(P644="Pago tarjeta",AE644&lt;&gt;"Tarjeta de crédito"),"⚠ El destino debe ser tarjeta de crédito",IF(AND(P644="Gasto",E644="Depósitos y retiros"),"⚠ Usa tipo Transferencia",IF(AND(P644="Resultado trading",AD644&lt;&gt;"Cuenta de trading"),"⚠ Usa una cuenta de trading",IF(AND(G644&lt;=0,P644&lt;&gt;"Ajuste",P644&lt;&gt;"Resultado trading"),"⚠ El monto debe ser positivo","✓")))))))))))))))</f>
        <v/>
      </c>
      <c r="P644" s="52">
        <f>IF(OR(B644="",G644=""),"",IF(C644="","Gasto",C644))</f>
        <v/>
      </c>
      <c r="Q644" s="52">
        <f>IF(P644="","",IF(J644&lt;&gt;"",J644,CuentaPred&amp;""))</f>
        <v/>
      </c>
      <c r="R644" s="52">
        <f>IF(P644="","",IF(ISNUMBER(I644),I644,TasaUSD))</f>
        <v/>
      </c>
      <c r="S644" s="53">
        <f>IF(P644="","",IF(H644="USD",G644*R644,G644))</f>
        <v/>
      </c>
      <c r="T644" s="53">
        <f>IF(P644="","",IF(H644="USD",G644,IF(R644&gt;0,G644/R644,0)))</f>
        <v/>
      </c>
      <c r="U644" s="53">
        <f>IF(P644="","",IF(P644="Gasto",S644,IF(P644="Reembolso",-S644,0)))</f>
        <v/>
      </c>
      <c r="V644" s="53">
        <f>IF(P644="","",IF(P644="Ingreso",S644,0))</f>
        <v/>
      </c>
      <c r="W644" s="53">
        <f>IF(P644="","",IF(P644="Resultado trading",S644,0))</f>
        <v/>
      </c>
      <c r="X644" s="52">
        <f>IF(OR(P644="Gasto",P644="Reembolso"),IF(M644&lt;&gt;"",M644,IFERROR(INDEX(catClasif,MATCH(D644&amp;"|"&amp;E644,catClave,0))&amp;"","Variable")),"")</f>
        <v/>
      </c>
      <c r="Y644" s="52">
        <f>IF(P644="","",IFERROR(INDEX(catGrupo,MATCH(D644&amp;"|"&amp;E644,catClave,0))&amp;"",""))</f>
        <v/>
      </c>
      <c r="Z644" s="52">
        <f>IF(P644="","",WEEKDAY(B644,2))</f>
        <v/>
      </c>
      <c r="AA644" s="52">
        <f>IF(P644="","",IF(AND(P644="Gasto",X644="Variable",D644&lt;&gt;catTrading,S644&gt;0,S644&lt;=Umbral),1,0))</f>
        <v/>
      </c>
      <c r="AB644" s="52">
        <f>IF(OR(P644="",Q644=""),"",IFERROR(IF(INDEX(ctaVinc,MATCH(Q644,ctaNombre,0))&amp;""&lt;&gt;"",INDEX(ctaVinc,MATCH(Q644,ctaNombre,0))&amp;"",Q644),Q644))</f>
        <v/>
      </c>
      <c r="AC644" s="52">
        <f>IF(OR(K644="",AND(P644&lt;&gt;"Transferencia",P644&lt;&gt;"Pago tarjeta")),"",IFERROR(IF(INDEX(ctaVinc,MATCH(K644,ctaNombre,0))&amp;""&lt;&gt;"",INDEX(ctaVinc,MATCH(K644,ctaNombre,0))&amp;"",K644),K644))</f>
        <v/>
      </c>
      <c r="AD644" s="52">
        <f>IF(AB644="","",IFERROR(INDEX(ctaTipo,MATCH(AB644,ctaNombre,0))&amp;"",""))</f>
        <v/>
      </c>
      <c r="AE644" s="52">
        <f>IF(AC644="","",IFERROR(INDEX(ctaTipo,MATCH(AC644,ctaNombre,0))&amp;"",""))</f>
        <v/>
      </c>
      <c r="AF644" s="53">
        <f>IF(OR(P644="",AB644=""),"",IF(OR(P644="Gasto",P644="Transferencia",P644="Pago tarjeta"),-1,1)*IF(IFERROR(INDEX(ctaMoneda,MATCH(AB644,ctaNombre,0))&amp;"","DOP")="USD",T644,S644))</f>
        <v/>
      </c>
      <c r="AG644" s="53">
        <f>IF(AC644="","",IF(IFERROR(INDEX(ctaMoneda,MATCH(AC644,ctaNombre,0))&amp;"","DOP")="USD",T644,S644))</f>
        <v/>
      </c>
      <c r="AH644" s="53">
        <f>IF(P644="","",IF(AND(AD644&lt;&gt;"",COUNTIFS(tcTipo,AD644,tcLiq,"Sí")&gt;0),IF(OR(P644="Gasto",P644="Transferencia",P644="Pago tarjeta"),-1,1)*S644,0)+IF(AND(AE644&lt;&gt;"",COUNTIFS(tcTipo,AE644,tcLiq,"Sí")&gt;0),S644,0))</f>
        <v/>
      </c>
      <c r="AI644" s="52">
        <f>IF(OR(L644="",P644=""),"",IF(COUNTIFS(L$6:L644,L644,P$6:P644,"?*")=1,MAX(AI$5:AI643)+1,""))</f>
        <v/>
      </c>
    </row>
    <row r="645">
      <c r="B645" s="47" t="n"/>
      <c r="C645" s="48" t="n"/>
      <c r="D645" s="48" t="n"/>
      <c r="E645" s="48" t="n"/>
      <c r="F645" s="48" t="n"/>
      <c r="G645" s="49" t="n"/>
      <c r="H645" s="48" t="n"/>
      <c r="I645" s="50" t="n"/>
      <c r="J645" s="48" t="n"/>
      <c r="K645" s="48" t="n"/>
      <c r="L645" s="48" t="n"/>
      <c r="M645" s="48" t="n"/>
      <c r="N645" s="48" t="n"/>
      <c r="O645" s="51">
        <f>IF(AND(B645="",G645="",C645="",D645="",J645=""),"",IF(B645="","⚠ Falta fecha",IF(G645="","⚠ Falta monto",IF(Q645="","⚠ Falta cuenta",IF(ISNA(MATCH(Q645,ctaNombre,0)),"⚠ Cuenta no registrada",IF(AND(OR(P645="Gasto",P645="Reembolso"),D645=""),"⚠ Falta categoría",IF(AND(D645&lt;&gt;"",E645&lt;&gt;"",ISNA(MATCH(D645&amp;"|"&amp;E645,catClave,0))),"⚠ Subcategoría no corresponde",IF(AND(OR(P645="Transferencia",P645="Pago tarjeta"),K645=""),"⚠ Falta cuenta destino",IF(AND(K645&lt;&gt;"",P645&lt;&gt;"Transferencia",P645&lt;&gt;"Pago tarjeta"),"⚠ Destino solo aplica a transferencias",IF(AND(K645&lt;&gt;"",K645=Q645),"⚠ Origen igual a destino",IF(AND(K645&lt;&gt;"",ISNA(MATCH(K645,ctaNombre,0))),"⚠ Destino no registrado",IF(AND(P645="Pago tarjeta",AE645&lt;&gt;"Tarjeta de crédito"),"⚠ El destino debe ser tarjeta de crédito",IF(AND(P645="Gasto",E645="Depósitos y retiros"),"⚠ Usa tipo Transferencia",IF(AND(P645="Resultado trading",AD645&lt;&gt;"Cuenta de trading"),"⚠ Usa una cuenta de trading",IF(AND(G645&lt;=0,P645&lt;&gt;"Ajuste",P645&lt;&gt;"Resultado trading"),"⚠ El monto debe ser positivo","✓")))))))))))))))</f>
        <v/>
      </c>
      <c r="P645" s="52">
        <f>IF(OR(B645="",G645=""),"",IF(C645="","Gasto",C645))</f>
        <v/>
      </c>
      <c r="Q645" s="52">
        <f>IF(P645="","",IF(J645&lt;&gt;"",J645,CuentaPred&amp;""))</f>
        <v/>
      </c>
      <c r="R645" s="52">
        <f>IF(P645="","",IF(ISNUMBER(I645),I645,TasaUSD))</f>
        <v/>
      </c>
      <c r="S645" s="53">
        <f>IF(P645="","",IF(H645="USD",G645*R645,G645))</f>
        <v/>
      </c>
      <c r="T645" s="53">
        <f>IF(P645="","",IF(H645="USD",G645,IF(R645&gt;0,G645/R645,0)))</f>
        <v/>
      </c>
      <c r="U645" s="53">
        <f>IF(P645="","",IF(P645="Gasto",S645,IF(P645="Reembolso",-S645,0)))</f>
        <v/>
      </c>
      <c r="V645" s="53">
        <f>IF(P645="","",IF(P645="Ingreso",S645,0))</f>
        <v/>
      </c>
      <c r="W645" s="53">
        <f>IF(P645="","",IF(P645="Resultado trading",S645,0))</f>
        <v/>
      </c>
      <c r="X645" s="52">
        <f>IF(OR(P645="Gasto",P645="Reembolso"),IF(M645&lt;&gt;"",M645,IFERROR(INDEX(catClasif,MATCH(D645&amp;"|"&amp;E645,catClave,0))&amp;"","Variable")),"")</f>
        <v/>
      </c>
      <c r="Y645" s="52">
        <f>IF(P645="","",IFERROR(INDEX(catGrupo,MATCH(D645&amp;"|"&amp;E645,catClave,0))&amp;"",""))</f>
        <v/>
      </c>
      <c r="Z645" s="52">
        <f>IF(P645="","",WEEKDAY(B645,2))</f>
        <v/>
      </c>
      <c r="AA645" s="52">
        <f>IF(P645="","",IF(AND(P645="Gasto",X645="Variable",D645&lt;&gt;catTrading,S645&gt;0,S645&lt;=Umbral),1,0))</f>
        <v/>
      </c>
      <c r="AB645" s="52">
        <f>IF(OR(P645="",Q645=""),"",IFERROR(IF(INDEX(ctaVinc,MATCH(Q645,ctaNombre,0))&amp;""&lt;&gt;"",INDEX(ctaVinc,MATCH(Q645,ctaNombre,0))&amp;"",Q645),Q645))</f>
        <v/>
      </c>
      <c r="AC645" s="52">
        <f>IF(OR(K645="",AND(P645&lt;&gt;"Transferencia",P645&lt;&gt;"Pago tarjeta")),"",IFERROR(IF(INDEX(ctaVinc,MATCH(K645,ctaNombre,0))&amp;""&lt;&gt;"",INDEX(ctaVinc,MATCH(K645,ctaNombre,0))&amp;"",K645),K645))</f>
        <v/>
      </c>
      <c r="AD645" s="52">
        <f>IF(AB645="","",IFERROR(INDEX(ctaTipo,MATCH(AB645,ctaNombre,0))&amp;"",""))</f>
        <v/>
      </c>
      <c r="AE645" s="52">
        <f>IF(AC645="","",IFERROR(INDEX(ctaTipo,MATCH(AC645,ctaNombre,0))&amp;"",""))</f>
        <v/>
      </c>
      <c r="AF645" s="53">
        <f>IF(OR(P645="",AB645=""),"",IF(OR(P645="Gasto",P645="Transferencia",P645="Pago tarjeta"),-1,1)*IF(IFERROR(INDEX(ctaMoneda,MATCH(AB645,ctaNombre,0))&amp;"","DOP")="USD",T645,S645))</f>
        <v/>
      </c>
      <c r="AG645" s="53">
        <f>IF(AC645="","",IF(IFERROR(INDEX(ctaMoneda,MATCH(AC645,ctaNombre,0))&amp;"","DOP")="USD",T645,S645))</f>
        <v/>
      </c>
      <c r="AH645" s="53">
        <f>IF(P645="","",IF(AND(AD645&lt;&gt;"",COUNTIFS(tcTipo,AD645,tcLiq,"Sí")&gt;0),IF(OR(P645="Gasto",P645="Transferencia",P645="Pago tarjeta"),-1,1)*S645,0)+IF(AND(AE645&lt;&gt;"",COUNTIFS(tcTipo,AE645,tcLiq,"Sí")&gt;0),S645,0))</f>
        <v/>
      </c>
      <c r="AI645" s="52">
        <f>IF(OR(L645="",P645=""),"",IF(COUNTIFS(L$6:L645,L645,P$6:P645,"?*")=1,MAX(AI$5:AI644)+1,""))</f>
        <v/>
      </c>
    </row>
    <row r="646">
      <c r="B646" s="47" t="n"/>
      <c r="C646" s="48" t="n"/>
      <c r="D646" s="48" t="n"/>
      <c r="E646" s="48" t="n"/>
      <c r="F646" s="48" t="n"/>
      <c r="G646" s="49" t="n"/>
      <c r="H646" s="48" t="n"/>
      <c r="I646" s="50" t="n"/>
      <c r="J646" s="48" t="n"/>
      <c r="K646" s="48" t="n"/>
      <c r="L646" s="48" t="n"/>
      <c r="M646" s="48" t="n"/>
      <c r="N646" s="48" t="n"/>
      <c r="O646" s="51">
        <f>IF(AND(B646="",G646="",C646="",D646="",J646=""),"",IF(B646="","⚠ Falta fecha",IF(G646="","⚠ Falta monto",IF(Q646="","⚠ Falta cuenta",IF(ISNA(MATCH(Q646,ctaNombre,0)),"⚠ Cuenta no registrada",IF(AND(OR(P646="Gasto",P646="Reembolso"),D646=""),"⚠ Falta categoría",IF(AND(D646&lt;&gt;"",E646&lt;&gt;"",ISNA(MATCH(D646&amp;"|"&amp;E646,catClave,0))),"⚠ Subcategoría no corresponde",IF(AND(OR(P646="Transferencia",P646="Pago tarjeta"),K646=""),"⚠ Falta cuenta destino",IF(AND(K646&lt;&gt;"",P646&lt;&gt;"Transferencia",P646&lt;&gt;"Pago tarjeta"),"⚠ Destino solo aplica a transferencias",IF(AND(K646&lt;&gt;"",K646=Q646),"⚠ Origen igual a destino",IF(AND(K646&lt;&gt;"",ISNA(MATCH(K646,ctaNombre,0))),"⚠ Destino no registrado",IF(AND(P646="Pago tarjeta",AE646&lt;&gt;"Tarjeta de crédito"),"⚠ El destino debe ser tarjeta de crédito",IF(AND(P646="Gasto",E646="Depósitos y retiros"),"⚠ Usa tipo Transferencia",IF(AND(P646="Resultado trading",AD646&lt;&gt;"Cuenta de trading"),"⚠ Usa una cuenta de trading",IF(AND(G646&lt;=0,P646&lt;&gt;"Ajuste",P646&lt;&gt;"Resultado trading"),"⚠ El monto debe ser positivo","✓")))))))))))))))</f>
        <v/>
      </c>
      <c r="P646" s="52">
        <f>IF(OR(B646="",G646=""),"",IF(C646="","Gasto",C646))</f>
        <v/>
      </c>
      <c r="Q646" s="52">
        <f>IF(P646="","",IF(J646&lt;&gt;"",J646,CuentaPred&amp;""))</f>
        <v/>
      </c>
      <c r="R646" s="52">
        <f>IF(P646="","",IF(ISNUMBER(I646),I646,TasaUSD))</f>
        <v/>
      </c>
      <c r="S646" s="53">
        <f>IF(P646="","",IF(H646="USD",G646*R646,G646))</f>
        <v/>
      </c>
      <c r="T646" s="53">
        <f>IF(P646="","",IF(H646="USD",G646,IF(R646&gt;0,G646/R646,0)))</f>
        <v/>
      </c>
      <c r="U646" s="53">
        <f>IF(P646="","",IF(P646="Gasto",S646,IF(P646="Reembolso",-S646,0)))</f>
        <v/>
      </c>
      <c r="V646" s="53">
        <f>IF(P646="","",IF(P646="Ingreso",S646,0))</f>
        <v/>
      </c>
      <c r="W646" s="53">
        <f>IF(P646="","",IF(P646="Resultado trading",S646,0))</f>
        <v/>
      </c>
      <c r="X646" s="52">
        <f>IF(OR(P646="Gasto",P646="Reembolso"),IF(M646&lt;&gt;"",M646,IFERROR(INDEX(catClasif,MATCH(D646&amp;"|"&amp;E646,catClave,0))&amp;"","Variable")),"")</f>
        <v/>
      </c>
      <c r="Y646" s="52">
        <f>IF(P646="","",IFERROR(INDEX(catGrupo,MATCH(D646&amp;"|"&amp;E646,catClave,0))&amp;"",""))</f>
        <v/>
      </c>
      <c r="Z646" s="52">
        <f>IF(P646="","",WEEKDAY(B646,2))</f>
        <v/>
      </c>
      <c r="AA646" s="52">
        <f>IF(P646="","",IF(AND(P646="Gasto",X646="Variable",D646&lt;&gt;catTrading,S646&gt;0,S646&lt;=Umbral),1,0))</f>
        <v/>
      </c>
      <c r="AB646" s="52">
        <f>IF(OR(P646="",Q646=""),"",IFERROR(IF(INDEX(ctaVinc,MATCH(Q646,ctaNombre,0))&amp;""&lt;&gt;"",INDEX(ctaVinc,MATCH(Q646,ctaNombre,0))&amp;"",Q646),Q646))</f>
        <v/>
      </c>
      <c r="AC646" s="52">
        <f>IF(OR(K646="",AND(P646&lt;&gt;"Transferencia",P646&lt;&gt;"Pago tarjeta")),"",IFERROR(IF(INDEX(ctaVinc,MATCH(K646,ctaNombre,0))&amp;""&lt;&gt;"",INDEX(ctaVinc,MATCH(K646,ctaNombre,0))&amp;"",K646),K646))</f>
        <v/>
      </c>
      <c r="AD646" s="52">
        <f>IF(AB646="","",IFERROR(INDEX(ctaTipo,MATCH(AB646,ctaNombre,0))&amp;"",""))</f>
        <v/>
      </c>
      <c r="AE646" s="52">
        <f>IF(AC646="","",IFERROR(INDEX(ctaTipo,MATCH(AC646,ctaNombre,0))&amp;"",""))</f>
        <v/>
      </c>
      <c r="AF646" s="53">
        <f>IF(OR(P646="",AB646=""),"",IF(OR(P646="Gasto",P646="Transferencia",P646="Pago tarjeta"),-1,1)*IF(IFERROR(INDEX(ctaMoneda,MATCH(AB646,ctaNombre,0))&amp;"","DOP")="USD",T646,S646))</f>
        <v/>
      </c>
      <c r="AG646" s="53">
        <f>IF(AC646="","",IF(IFERROR(INDEX(ctaMoneda,MATCH(AC646,ctaNombre,0))&amp;"","DOP")="USD",T646,S646))</f>
        <v/>
      </c>
      <c r="AH646" s="53">
        <f>IF(P646="","",IF(AND(AD646&lt;&gt;"",COUNTIFS(tcTipo,AD646,tcLiq,"Sí")&gt;0),IF(OR(P646="Gasto",P646="Transferencia",P646="Pago tarjeta"),-1,1)*S646,0)+IF(AND(AE646&lt;&gt;"",COUNTIFS(tcTipo,AE646,tcLiq,"Sí")&gt;0),S646,0))</f>
        <v/>
      </c>
      <c r="AI646" s="52">
        <f>IF(OR(L646="",P646=""),"",IF(COUNTIFS(L$6:L646,L646,P$6:P646,"?*")=1,MAX(AI$5:AI645)+1,""))</f>
        <v/>
      </c>
    </row>
    <row r="647">
      <c r="B647" s="47" t="n"/>
      <c r="C647" s="48" t="n"/>
      <c r="D647" s="48" t="n"/>
      <c r="E647" s="48" t="n"/>
      <c r="F647" s="48" t="n"/>
      <c r="G647" s="49" t="n"/>
      <c r="H647" s="48" t="n"/>
      <c r="I647" s="50" t="n"/>
      <c r="J647" s="48" t="n"/>
      <c r="K647" s="48" t="n"/>
      <c r="L647" s="48" t="n"/>
      <c r="M647" s="48" t="n"/>
      <c r="N647" s="48" t="n"/>
      <c r="O647" s="51">
        <f>IF(AND(B647="",G647="",C647="",D647="",J647=""),"",IF(B647="","⚠ Falta fecha",IF(G647="","⚠ Falta monto",IF(Q647="","⚠ Falta cuenta",IF(ISNA(MATCH(Q647,ctaNombre,0)),"⚠ Cuenta no registrada",IF(AND(OR(P647="Gasto",P647="Reembolso"),D647=""),"⚠ Falta categoría",IF(AND(D647&lt;&gt;"",E647&lt;&gt;"",ISNA(MATCH(D647&amp;"|"&amp;E647,catClave,0))),"⚠ Subcategoría no corresponde",IF(AND(OR(P647="Transferencia",P647="Pago tarjeta"),K647=""),"⚠ Falta cuenta destino",IF(AND(K647&lt;&gt;"",P647&lt;&gt;"Transferencia",P647&lt;&gt;"Pago tarjeta"),"⚠ Destino solo aplica a transferencias",IF(AND(K647&lt;&gt;"",K647=Q647),"⚠ Origen igual a destino",IF(AND(K647&lt;&gt;"",ISNA(MATCH(K647,ctaNombre,0))),"⚠ Destino no registrado",IF(AND(P647="Pago tarjeta",AE647&lt;&gt;"Tarjeta de crédito"),"⚠ El destino debe ser tarjeta de crédito",IF(AND(P647="Gasto",E647="Depósitos y retiros"),"⚠ Usa tipo Transferencia",IF(AND(P647="Resultado trading",AD647&lt;&gt;"Cuenta de trading"),"⚠ Usa una cuenta de trading",IF(AND(G647&lt;=0,P647&lt;&gt;"Ajuste",P647&lt;&gt;"Resultado trading"),"⚠ El monto debe ser positivo","✓")))))))))))))))</f>
        <v/>
      </c>
      <c r="P647" s="52">
        <f>IF(OR(B647="",G647=""),"",IF(C647="","Gasto",C647))</f>
        <v/>
      </c>
      <c r="Q647" s="52">
        <f>IF(P647="","",IF(J647&lt;&gt;"",J647,CuentaPred&amp;""))</f>
        <v/>
      </c>
      <c r="R647" s="52">
        <f>IF(P647="","",IF(ISNUMBER(I647),I647,TasaUSD))</f>
        <v/>
      </c>
      <c r="S647" s="53">
        <f>IF(P647="","",IF(H647="USD",G647*R647,G647))</f>
        <v/>
      </c>
      <c r="T647" s="53">
        <f>IF(P647="","",IF(H647="USD",G647,IF(R647&gt;0,G647/R647,0)))</f>
        <v/>
      </c>
      <c r="U647" s="53">
        <f>IF(P647="","",IF(P647="Gasto",S647,IF(P647="Reembolso",-S647,0)))</f>
        <v/>
      </c>
      <c r="V647" s="53">
        <f>IF(P647="","",IF(P647="Ingreso",S647,0))</f>
        <v/>
      </c>
      <c r="W647" s="53">
        <f>IF(P647="","",IF(P647="Resultado trading",S647,0))</f>
        <v/>
      </c>
      <c r="X647" s="52">
        <f>IF(OR(P647="Gasto",P647="Reembolso"),IF(M647&lt;&gt;"",M647,IFERROR(INDEX(catClasif,MATCH(D647&amp;"|"&amp;E647,catClave,0))&amp;"","Variable")),"")</f>
        <v/>
      </c>
      <c r="Y647" s="52">
        <f>IF(P647="","",IFERROR(INDEX(catGrupo,MATCH(D647&amp;"|"&amp;E647,catClave,0))&amp;"",""))</f>
        <v/>
      </c>
      <c r="Z647" s="52">
        <f>IF(P647="","",WEEKDAY(B647,2))</f>
        <v/>
      </c>
      <c r="AA647" s="52">
        <f>IF(P647="","",IF(AND(P647="Gasto",X647="Variable",D647&lt;&gt;catTrading,S647&gt;0,S647&lt;=Umbral),1,0))</f>
        <v/>
      </c>
      <c r="AB647" s="52">
        <f>IF(OR(P647="",Q647=""),"",IFERROR(IF(INDEX(ctaVinc,MATCH(Q647,ctaNombre,0))&amp;""&lt;&gt;"",INDEX(ctaVinc,MATCH(Q647,ctaNombre,0))&amp;"",Q647),Q647))</f>
        <v/>
      </c>
      <c r="AC647" s="52">
        <f>IF(OR(K647="",AND(P647&lt;&gt;"Transferencia",P647&lt;&gt;"Pago tarjeta")),"",IFERROR(IF(INDEX(ctaVinc,MATCH(K647,ctaNombre,0))&amp;""&lt;&gt;"",INDEX(ctaVinc,MATCH(K647,ctaNombre,0))&amp;"",K647),K647))</f>
        <v/>
      </c>
      <c r="AD647" s="52">
        <f>IF(AB647="","",IFERROR(INDEX(ctaTipo,MATCH(AB647,ctaNombre,0))&amp;"",""))</f>
        <v/>
      </c>
      <c r="AE647" s="52">
        <f>IF(AC647="","",IFERROR(INDEX(ctaTipo,MATCH(AC647,ctaNombre,0))&amp;"",""))</f>
        <v/>
      </c>
      <c r="AF647" s="53">
        <f>IF(OR(P647="",AB647=""),"",IF(OR(P647="Gasto",P647="Transferencia",P647="Pago tarjeta"),-1,1)*IF(IFERROR(INDEX(ctaMoneda,MATCH(AB647,ctaNombre,0))&amp;"","DOP")="USD",T647,S647))</f>
        <v/>
      </c>
      <c r="AG647" s="53">
        <f>IF(AC647="","",IF(IFERROR(INDEX(ctaMoneda,MATCH(AC647,ctaNombre,0))&amp;"","DOP")="USD",T647,S647))</f>
        <v/>
      </c>
      <c r="AH647" s="53">
        <f>IF(P647="","",IF(AND(AD647&lt;&gt;"",COUNTIFS(tcTipo,AD647,tcLiq,"Sí")&gt;0),IF(OR(P647="Gasto",P647="Transferencia",P647="Pago tarjeta"),-1,1)*S647,0)+IF(AND(AE647&lt;&gt;"",COUNTIFS(tcTipo,AE647,tcLiq,"Sí")&gt;0),S647,0))</f>
        <v/>
      </c>
      <c r="AI647" s="52">
        <f>IF(OR(L647="",P647=""),"",IF(COUNTIFS(L$6:L647,L647,P$6:P647,"?*")=1,MAX(AI$5:AI646)+1,""))</f>
        <v/>
      </c>
    </row>
    <row r="648">
      <c r="B648" s="47" t="n"/>
      <c r="C648" s="48" t="n"/>
      <c r="D648" s="48" t="n"/>
      <c r="E648" s="48" t="n"/>
      <c r="F648" s="48" t="n"/>
      <c r="G648" s="49" t="n"/>
      <c r="H648" s="48" t="n"/>
      <c r="I648" s="50" t="n"/>
      <c r="J648" s="48" t="n"/>
      <c r="K648" s="48" t="n"/>
      <c r="L648" s="48" t="n"/>
      <c r="M648" s="48" t="n"/>
      <c r="N648" s="48" t="n"/>
      <c r="O648" s="51">
        <f>IF(AND(B648="",G648="",C648="",D648="",J648=""),"",IF(B648="","⚠ Falta fecha",IF(G648="","⚠ Falta monto",IF(Q648="","⚠ Falta cuenta",IF(ISNA(MATCH(Q648,ctaNombre,0)),"⚠ Cuenta no registrada",IF(AND(OR(P648="Gasto",P648="Reembolso"),D648=""),"⚠ Falta categoría",IF(AND(D648&lt;&gt;"",E648&lt;&gt;"",ISNA(MATCH(D648&amp;"|"&amp;E648,catClave,0))),"⚠ Subcategoría no corresponde",IF(AND(OR(P648="Transferencia",P648="Pago tarjeta"),K648=""),"⚠ Falta cuenta destino",IF(AND(K648&lt;&gt;"",P648&lt;&gt;"Transferencia",P648&lt;&gt;"Pago tarjeta"),"⚠ Destino solo aplica a transferencias",IF(AND(K648&lt;&gt;"",K648=Q648),"⚠ Origen igual a destino",IF(AND(K648&lt;&gt;"",ISNA(MATCH(K648,ctaNombre,0))),"⚠ Destino no registrado",IF(AND(P648="Pago tarjeta",AE648&lt;&gt;"Tarjeta de crédito"),"⚠ El destino debe ser tarjeta de crédito",IF(AND(P648="Gasto",E648="Depósitos y retiros"),"⚠ Usa tipo Transferencia",IF(AND(P648="Resultado trading",AD648&lt;&gt;"Cuenta de trading"),"⚠ Usa una cuenta de trading",IF(AND(G648&lt;=0,P648&lt;&gt;"Ajuste",P648&lt;&gt;"Resultado trading"),"⚠ El monto debe ser positivo","✓")))))))))))))))</f>
        <v/>
      </c>
      <c r="P648" s="52">
        <f>IF(OR(B648="",G648=""),"",IF(C648="","Gasto",C648))</f>
        <v/>
      </c>
      <c r="Q648" s="52">
        <f>IF(P648="","",IF(J648&lt;&gt;"",J648,CuentaPred&amp;""))</f>
        <v/>
      </c>
      <c r="R648" s="52">
        <f>IF(P648="","",IF(ISNUMBER(I648),I648,TasaUSD))</f>
        <v/>
      </c>
      <c r="S648" s="53">
        <f>IF(P648="","",IF(H648="USD",G648*R648,G648))</f>
        <v/>
      </c>
      <c r="T648" s="53">
        <f>IF(P648="","",IF(H648="USD",G648,IF(R648&gt;0,G648/R648,0)))</f>
        <v/>
      </c>
      <c r="U648" s="53">
        <f>IF(P648="","",IF(P648="Gasto",S648,IF(P648="Reembolso",-S648,0)))</f>
        <v/>
      </c>
      <c r="V648" s="53">
        <f>IF(P648="","",IF(P648="Ingreso",S648,0))</f>
        <v/>
      </c>
      <c r="W648" s="53">
        <f>IF(P648="","",IF(P648="Resultado trading",S648,0))</f>
        <v/>
      </c>
      <c r="X648" s="52">
        <f>IF(OR(P648="Gasto",P648="Reembolso"),IF(M648&lt;&gt;"",M648,IFERROR(INDEX(catClasif,MATCH(D648&amp;"|"&amp;E648,catClave,0))&amp;"","Variable")),"")</f>
        <v/>
      </c>
      <c r="Y648" s="52">
        <f>IF(P648="","",IFERROR(INDEX(catGrupo,MATCH(D648&amp;"|"&amp;E648,catClave,0))&amp;"",""))</f>
        <v/>
      </c>
      <c r="Z648" s="52">
        <f>IF(P648="","",WEEKDAY(B648,2))</f>
        <v/>
      </c>
      <c r="AA648" s="52">
        <f>IF(P648="","",IF(AND(P648="Gasto",X648="Variable",D648&lt;&gt;catTrading,S648&gt;0,S648&lt;=Umbral),1,0))</f>
        <v/>
      </c>
      <c r="AB648" s="52">
        <f>IF(OR(P648="",Q648=""),"",IFERROR(IF(INDEX(ctaVinc,MATCH(Q648,ctaNombre,0))&amp;""&lt;&gt;"",INDEX(ctaVinc,MATCH(Q648,ctaNombre,0))&amp;"",Q648),Q648))</f>
        <v/>
      </c>
      <c r="AC648" s="52">
        <f>IF(OR(K648="",AND(P648&lt;&gt;"Transferencia",P648&lt;&gt;"Pago tarjeta")),"",IFERROR(IF(INDEX(ctaVinc,MATCH(K648,ctaNombre,0))&amp;""&lt;&gt;"",INDEX(ctaVinc,MATCH(K648,ctaNombre,0))&amp;"",K648),K648))</f>
        <v/>
      </c>
      <c r="AD648" s="52">
        <f>IF(AB648="","",IFERROR(INDEX(ctaTipo,MATCH(AB648,ctaNombre,0))&amp;"",""))</f>
        <v/>
      </c>
      <c r="AE648" s="52">
        <f>IF(AC648="","",IFERROR(INDEX(ctaTipo,MATCH(AC648,ctaNombre,0))&amp;"",""))</f>
        <v/>
      </c>
      <c r="AF648" s="53">
        <f>IF(OR(P648="",AB648=""),"",IF(OR(P648="Gasto",P648="Transferencia",P648="Pago tarjeta"),-1,1)*IF(IFERROR(INDEX(ctaMoneda,MATCH(AB648,ctaNombre,0))&amp;"","DOP")="USD",T648,S648))</f>
        <v/>
      </c>
      <c r="AG648" s="53">
        <f>IF(AC648="","",IF(IFERROR(INDEX(ctaMoneda,MATCH(AC648,ctaNombre,0))&amp;"","DOP")="USD",T648,S648))</f>
        <v/>
      </c>
      <c r="AH648" s="53">
        <f>IF(P648="","",IF(AND(AD648&lt;&gt;"",COUNTIFS(tcTipo,AD648,tcLiq,"Sí")&gt;0),IF(OR(P648="Gasto",P648="Transferencia",P648="Pago tarjeta"),-1,1)*S648,0)+IF(AND(AE648&lt;&gt;"",COUNTIFS(tcTipo,AE648,tcLiq,"Sí")&gt;0),S648,0))</f>
        <v/>
      </c>
      <c r="AI648" s="52">
        <f>IF(OR(L648="",P648=""),"",IF(COUNTIFS(L$6:L648,L648,P$6:P648,"?*")=1,MAX(AI$5:AI647)+1,""))</f>
        <v/>
      </c>
    </row>
    <row r="649">
      <c r="B649" s="47" t="n"/>
      <c r="C649" s="48" t="n"/>
      <c r="D649" s="48" t="n"/>
      <c r="E649" s="48" t="n"/>
      <c r="F649" s="48" t="n"/>
      <c r="G649" s="49" t="n"/>
      <c r="H649" s="48" t="n"/>
      <c r="I649" s="50" t="n"/>
      <c r="J649" s="48" t="n"/>
      <c r="K649" s="48" t="n"/>
      <c r="L649" s="48" t="n"/>
      <c r="M649" s="48" t="n"/>
      <c r="N649" s="48" t="n"/>
      <c r="O649" s="51">
        <f>IF(AND(B649="",G649="",C649="",D649="",J649=""),"",IF(B649="","⚠ Falta fecha",IF(G649="","⚠ Falta monto",IF(Q649="","⚠ Falta cuenta",IF(ISNA(MATCH(Q649,ctaNombre,0)),"⚠ Cuenta no registrada",IF(AND(OR(P649="Gasto",P649="Reembolso"),D649=""),"⚠ Falta categoría",IF(AND(D649&lt;&gt;"",E649&lt;&gt;"",ISNA(MATCH(D649&amp;"|"&amp;E649,catClave,0))),"⚠ Subcategoría no corresponde",IF(AND(OR(P649="Transferencia",P649="Pago tarjeta"),K649=""),"⚠ Falta cuenta destino",IF(AND(K649&lt;&gt;"",P649&lt;&gt;"Transferencia",P649&lt;&gt;"Pago tarjeta"),"⚠ Destino solo aplica a transferencias",IF(AND(K649&lt;&gt;"",K649=Q649),"⚠ Origen igual a destino",IF(AND(K649&lt;&gt;"",ISNA(MATCH(K649,ctaNombre,0))),"⚠ Destino no registrado",IF(AND(P649="Pago tarjeta",AE649&lt;&gt;"Tarjeta de crédito"),"⚠ El destino debe ser tarjeta de crédito",IF(AND(P649="Gasto",E649="Depósitos y retiros"),"⚠ Usa tipo Transferencia",IF(AND(P649="Resultado trading",AD649&lt;&gt;"Cuenta de trading"),"⚠ Usa una cuenta de trading",IF(AND(G649&lt;=0,P649&lt;&gt;"Ajuste",P649&lt;&gt;"Resultado trading"),"⚠ El monto debe ser positivo","✓")))))))))))))))</f>
        <v/>
      </c>
      <c r="P649" s="52">
        <f>IF(OR(B649="",G649=""),"",IF(C649="","Gasto",C649))</f>
        <v/>
      </c>
      <c r="Q649" s="52">
        <f>IF(P649="","",IF(J649&lt;&gt;"",J649,CuentaPred&amp;""))</f>
        <v/>
      </c>
      <c r="R649" s="52">
        <f>IF(P649="","",IF(ISNUMBER(I649),I649,TasaUSD))</f>
        <v/>
      </c>
      <c r="S649" s="53">
        <f>IF(P649="","",IF(H649="USD",G649*R649,G649))</f>
        <v/>
      </c>
      <c r="T649" s="53">
        <f>IF(P649="","",IF(H649="USD",G649,IF(R649&gt;0,G649/R649,0)))</f>
        <v/>
      </c>
      <c r="U649" s="53">
        <f>IF(P649="","",IF(P649="Gasto",S649,IF(P649="Reembolso",-S649,0)))</f>
        <v/>
      </c>
      <c r="V649" s="53">
        <f>IF(P649="","",IF(P649="Ingreso",S649,0))</f>
        <v/>
      </c>
      <c r="W649" s="53">
        <f>IF(P649="","",IF(P649="Resultado trading",S649,0))</f>
        <v/>
      </c>
      <c r="X649" s="52">
        <f>IF(OR(P649="Gasto",P649="Reembolso"),IF(M649&lt;&gt;"",M649,IFERROR(INDEX(catClasif,MATCH(D649&amp;"|"&amp;E649,catClave,0))&amp;"","Variable")),"")</f>
        <v/>
      </c>
      <c r="Y649" s="52">
        <f>IF(P649="","",IFERROR(INDEX(catGrupo,MATCH(D649&amp;"|"&amp;E649,catClave,0))&amp;"",""))</f>
        <v/>
      </c>
      <c r="Z649" s="52">
        <f>IF(P649="","",WEEKDAY(B649,2))</f>
        <v/>
      </c>
      <c r="AA649" s="52">
        <f>IF(P649="","",IF(AND(P649="Gasto",X649="Variable",D649&lt;&gt;catTrading,S649&gt;0,S649&lt;=Umbral),1,0))</f>
        <v/>
      </c>
      <c r="AB649" s="52">
        <f>IF(OR(P649="",Q649=""),"",IFERROR(IF(INDEX(ctaVinc,MATCH(Q649,ctaNombre,0))&amp;""&lt;&gt;"",INDEX(ctaVinc,MATCH(Q649,ctaNombre,0))&amp;"",Q649),Q649))</f>
        <v/>
      </c>
      <c r="AC649" s="52">
        <f>IF(OR(K649="",AND(P649&lt;&gt;"Transferencia",P649&lt;&gt;"Pago tarjeta")),"",IFERROR(IF(INDEX(ctaVinc,MATCH(K649,ctaNombre,0))&amp;""&lt;&gt;"",INDEX(ctaVinc,MATCH(K649,ctaNombre,0))&amp;"",K649),K649))</f>
        <v/>
      </c>
      <c r="AD649" s="52">
        <f>IF(AB649="","",IFERROR(INDEX(ctaTipo,MATCH(AB649,ctaNombre,0))&amp;"",""))</f>
        <v/>
      </c>
      <c r="AE649" s="52">
        <f>IF(AC649="","",IFERROR(INDEX(ctaTipo,MATCH(AC649,ctaNombre,0))&amp;"",""))</f>
        <v/>
      </c>
      <c r="AF649" s="53">
        <f>IF(OR(P649="",AB649=""),"",IF(OR(P649="Gasto",P649="Transferencia",P649="Pago tarjeta"),-1,1)*IF(IFERROR(INDEX(ctaMoneda,MATCH(AB649,ctaNombre,0))&amp;"","DOP")="USD",T649,S649))</f>
        <v/>
      </c>
      <c r="AG649" s="53">
        <f>IF(AC649="","",IF(IFERROR(INDEX(ctaMoneda,MATCH(AC649,ctaNombre,0))&amp;"","DOP")="USD",T649,S649))</f>
        <v/>
      </c>
      <c r="AH649" s="53">
        <f>IF(P649="","",IF(AND(AD649&lt;&gt;"",COUNTIFS(tcTipo,AD649,tcLiq,"Sí")&gt;0),IF(OR(P649="Gasto",P649="Transferencia",P649="Pago tarjeta"),-1,1)*S649,0)+IF(AND(AE649&lt;&gt;"",COUNTIFS(tcTipo,AE649,tcLiq,"Sí")&gt;0),S649,0))</f>
        <v/>
      </c>
      <c r="AI649" s="52">
        <f>IF(OR(L649="",P649=""),"",IF(COUNTIFS(L$6:L649,L649,P$6:P649,"?*")=1,MAX(AI$5:AI648)+1,""))</f>
        <v/>
      </c>
    </row>
    <row r="650">
      <c r="B650" s="47" t="n"/>
      <c r="C650" s="48" t="n"/>
      <c r="D650" s="48" t="n"/>
      <c r="E650" s="48" t="n"/>
      <c r="F650" s="48" t="n"/>
      <c r="G650" s="49" t="n"/>
      <c r="H650" s="48" t="n"/>
      <c r="I650" s="50" t="n"/>
      <c r="J650" s="48" t="n"/>
      <c r="K650" s="48" t="n"/>
      <c r="L650" s="48" t="n"/>
      <c r="M650" s="48" t="n"/>
      <c r="N650" s="48" t="n"/>
      <c r="O650" s="51">
        <f>IF(AND(B650="",G650="",C650="",D650="",J650=""),"",IF(B650="","⚠ Falta fecha",IF(G650="","⚠ Falta monto",IF(Q650="","⚠ Falta cuenta",IF(ISNA(MATCH(Q650,ctaNombre,0)),"⚠ Cuenta no registrada",IF(AND(OR(P650="Gasto",P650="Reembolso"),D650=""),"⚠ Falta categoría",IF(AND(D650&lt;&gt;"",E650&lt;&gt;"",ISNA(MATCH(D650&amp;"|"&amp;E650,catClave,0))),"⚠ Subcategoría no corresponde",IF(AND(OR(P650="Transferencia",P650="Pago tarjeta"),K650=""),"⚠ Falta cuenta destino",IF(AND(K650&lt;&gt;"",P650&lt;&gt;"Transferencia",P650&lt;&gt;"Pago tarjeta"),"⚠ Destino solo aplica a transferencias",IF(AND(K650&lt;&gt;"",K650=Q650),"⚠ Origen igual a destino",IF(AND(K650&lt;&gt;"",ISNA(MATCH(K650,ctaNombre,0))),"⚠ Destino no registrado",IF(AND(P650="Pago tarjeta",AE650&lt;&gt;"Tarjeta de crédito"),"⚠ El destino debe ser tarjeta de crédito",IF(AND(P650="Gasto",E650="Depósitos y retiros"),"⚠ Usa tipo Transferencia",IF(AND(P650="Resultado trading",AD650&lt;&gt;"Cuenta de trading"),"⚠ Usa una cuenta de trading",IF(AND(G650&lt;=0,P650&lt;&gt;"Ajuste",P650&lt;&gt;"Resultado trading"),"⚠ El monto debe ser positivo","✓")))))))))))))))</f>
        <v/>
      </c>
      <c r="P650" s="52">
        <f>IF(OR(B650="",G650=""),"",IF(C650="","Gasto",C650))</f>
        <v/>
      </c>
      <c r="Q650" s="52">
        <f>IF(P650="","",IF(J650&lt;&gt;"",J650,CuentaPred&amp;""))</f>
        <v/>
      </c>
      <c r="R650" s="52">
        <f>IF(P650="","",IF(ISNUMBER(I650),I650,TasaUSD))</f>
        <v/>
      </c>
      <c r="S650" s="53">
        <f>IF(P650="","",IF(H650="USD",G650*R650,G650))</f>
        <v/>
      </c>
      <c r="T650" s="53">
        <f>IF(P650="","",IF(H650="USD",G650,IF(R650&gt;0,G650/R650,0)))</f>
        <v/>
      </c>
      <c r="U650" s="53">
        <f>IF(P650="","",IF(P650="Gasto",S650,IF(P650="Reembolso",-S650,0)))</f>
        <v/>
      </c>
      <c r="V650" s="53">
        <f>IF(P650="","",IF(P650="Ingreso",S650,0))</f>
        <v/>
      </c>
      <c r="W650" s="53">
        <f>IF(P650="","",IF(P650="Resultado trading",S650,0))</f>
        <v/>
      </c>
      <c r="X650" s="52">
        <f>IF(OR(P650="Gasto",P650="Reembolso"),IF(M650&lt;&gt;"",M650,IFERROR(INDEX(catClasif,MATCH(D650&amp;"|"&amp;E650,catClave,0))&amp;"","Variable")),"")</f>
        <v/>
      </c>
      <c r="Y650" s="52">
        <f>IF(P650="","",IFERROR(INDEX(catGrupo,MATCH(D650&amp;"|"&amp;E650,catClave,0))&amp;"",""))</f>
        <v/>
      </c>
      <c r="Z650" s="52">
        <f>IF(P650="","",WEEKDAY(B650,2))</f>
        <v/>
      </c>
      <c r="AA650" s="52">
        <f>IF(P650="","",IF(AND(P650="Gasto",X650="Variable",D650&lt;&gt;catTrading,S650&gt;0,S650&lt;=Umbral),1,0))</f>
        <v/>
      </c>
      <c r="AB650" s="52">
        <f>IF(OR(P650="",Q650=""),"",IFERROR(IF(INDEX(ctaVinc,MATCH(Q650,ctaNombre,0))&amp;""&lt;&gt;"",INDEX(ctaVinc,MATCH(Q650,ctaNombre,0))&amp;"",Q650),Q650))</f>
        <v/>
      </c>
      <c r="AC650" s="52">
        <f>IF(OR(K650="",AND(P650&lt;&gt;"Transferencia",P650&lt;&gt;"Pago tarjeta")),"",IFERROR(IF(INDEX(ctaVinc,MATCH(K650,ctaNombre,0))&amp;""&lt;&gt;"",INDEX(ctaVinc,MATCH(K650,ctaNombre,0))&amp;"",K650),K650))</f>
        <v/>
      </c>
      <c r="AD650" s="52">
        <f>IF(AB650="","",IFERROR(INDEX(ctaTipo,MATCH(AB650,ctaNombre,0))&amp;"",""))</f>
        <v/>
      </c>
      <c r="AE650" s="52">
        <f>IF(AC650="","",IFERROR(INDEX(ctaTipo,MATCH(AC650,ctaNombre,0))&amp;"",""))</f>
        <v/>
      </c>
      <c r="AF650" s="53">
        <f>IF(OR(P650="",AB650=""),"",IF(OR(P650="Gasto",P650="Transferencia",P650="Pago tarjeta"),-1,1)*IF(IFERROR(INDEX(ctaMoneda,MATCH(AB650,ctaNombre,0))&amp;"","DOP")="USD",T650,S650))</f>
        <v/>
      </c>
      <c r="AG650" s="53">
        <f>IF(AC650="","",IF(IFERROR(INDEX(ctaMoneda,MATCH(AC650,ctaNombre,0))&amp;"","DOP")="USD",T650,S650))</f>
        <v/>
      </c>
      <c r="AH650" s="53">
        <f>IF(P650="","",IF(AND(AD650&lt;&gt;"",COUNTIFS(tcTipo,AD650,tcLiq,"Sí")&gt;0),IF(OR(P650="Gasto",P650="Transferencia",P650="Pago tarjeta"),-1,1)*S650,0)+IF(AND(AE650&lt;&gt;"",COUNTIFS(tcTipo,AE650,tcLiq,"Sí")&gt;0),S650,0))</f>
        <v/>
      </c>
      <c r="AI650" s="52">
        <f>IF(OR(L650="",P650=""),"",IF(COUNTIFS(L$6:L650,L650,P$6:P650,"?*")=1,MAX(AI$5:AI649)+1,""))</f>
        <v/>
      </c>
    </row>
    <row r="651">
      <c r="B651" s="47" t="n"/>
      <c r="C651" s="48" t="n"/>
      <c r="D651" s="48" t="n"/>
      <c r="E651" s="48" t="n"/>
      <c r="F651" s="48" t="n"/>
      <c r="G651" s="49" t="n"/>
      <c r="H651" s="48" t="n"/>
      <c r="I651" s="50" t="n"/>
      <c r="J651" s="48" t="n"/>
      <c r="K651" s="48" t="n"/>
      <c r="L651" s="48" t="n"/>
      <c r="M651" s="48" t="n"/>
      <c r="N651" s="48" t="n"/>
      <c r="O651" s="51">
        <f>IF(AND(B651="",G651="",C651="",D651="",J651=""),"",IF(B651="","⚠ Falta fecha",IF(G651="","⚠ Falta monto",IF(Q651="","⚠ Falta cuenta",IF(ISNA(MATCH(Q651,ctaNombre,0)),"⚠ Cuenta no registrada",IF(AND(OR(P651="Gasto",P651="Reembolso"),D651=""),"⚠ Falta categoría",IF(AND(D651&lt;&gt;"",E651&lt;&gt;"",ISNA(MATCH(D651&amp;"|"&amp;E651,catClave,0))),"⚠ Subcategoría no corresponde",IF(AND(OR(P651="Transferencia",P651="Pago tarjeta"),K651=""),"⚠ Falta cuenta destino",IF(AND(K651&lt;&gt;"",P651&lt;&gt;"Transferencia",P651&lt;&gt;"Pago tarjeta"),"⚠ Destino solo aplica a transferencias",IF(AND(K651&lt;&gt;"",K651=Q651),"⚠ Origen igual a destino",IF(AND(K651&lt;&gt;"",ISNA(MATCH(K651,ctaNombre,0))),"⚠ Destino no registrado",IF(AND(P651="Pago tarjeta",AE651&lt;&gt;"Tarjeta de crédito"),"⚠ El destino debe ser tarjeta de crédito",IF(AND(P651="Gasto",E651="Depósitos y retiros"),"⚠ Usa tipo Transferencia",IF(AND(P651="Resultado trading",AD651&lt;&gt;"Cuenta de trading"),"⚠ Usa una cuenta de trading",IF(AND(G651&lt;=0,P651&lt;&gt;"Ajuste",P651&lt;&gt;"Resultado trading"),"⚠ El monto debe ser positivo","✓")))))))))))))))</f>
        <v/>
      </c>
      <c r="P651" s="52">
        <f>IF(OR(B651="",G651=""),"",IF(C651="","Gasto",C651))</f>
        <v/>
      </c>
      <c r="Q651" s="52">
        <f>IF(P651="","",IF(J651&lt;&gt;"",J651,CuentaPred&amp;""))</f>
        <v/>
      </c>
      <c r="R651" s="52">
        <f>IF(P651="","",IF(ISNUMBER(I651),I651,TasaUSD))</f>
        <v/>
      </c>
      <c r="S651" s="53">
        <f>IF(P651="","",IF(H651="USD",G651*R651,G651))</f>
        <v/>
      </c>
      <c r="T651" s="53">
        <f>IF(P651="","",IF(H651="USD",G651,IF(R651&gt;0,G651/R651,0)))</f>
        <v/>
      </c>
      <c r="U651" s="53">
        <f>IF(P651="","",IF(P651="Gasto",S651,IF(P651="Reembolso",-S651,0)))</f>
        <v/>
      </c>
      <c r="V651" s="53">
        <f>IF(P651="","",IF(P651="Ingreso",S651,0))</f>
        <v/>
      </c>
      <c r="W651" s="53">
        <f>IF(P651="","",IF(P651="Resultado trading",S651,0))</f>
        <v/>
      </c>
      <c r="X651" s="52">
        <f>IF(OR(P651="Gasto",P651="Reembolso"),IF(M651&lt;&gt;"",M651,IFERROR(INDEX(catClasif,MATCH(D651&amp;"|"&amp;E651,catClave,0))&amp;"","Variable")),"")</f>
        <v/>
      </c>
      <c r="Y651" s="52">
        <f>IF(P651="","",IFERROR(INDEX(catGrupo,MATCH(D651&amp;"|"&amp;E651,catClave,0))&amp;"",""))</f>
        <v/>
      </c>
      <c r="Z651" s="52">
        <f>IF(P651="","",WEEKDAY(B651,2))</f>
        <v/>
      </c>
      <c r="AA651" s="52">
        <f>IF(P651="","",IF(AND(P651="Gasto",X651="Variable",D651&lt;&gt;catTrading,S651&gt;0,S651&lt;=Umbral),1,0))</f>
        <v/>
      </c>
      <c r="AB651" s="52">
        <f>IF(OR(P651="",Q651=""),"",IFERROR(IF(INDEX(ctaVinc,MATCH(Q651,ctaNombre,0))&amp;""&lt;&gt;"",INDEX(ctaVinc,MATCH(Q651,ctaNombre,0))&amp;"",Q651),Q651))</f>
        <v/>
      </c>
      <c r="AC651" s="52">
        <f>IF(OR(K651="",AND(P651&lt;&gt;"Transferencia",P651&lt;&gt;"Pago tarjeta")),"",IFERROR(IF(INDEX(ctaVinc,MATCH(K651,ctaNombre,0))&amp;""&lt;&gt;"",INDEX(ctaVinc,MATCH(K651,ctaNombre,0))&amp;"",K651),K651))</f>
        <v/>
      </c>
      <c r="AD651" s="52">
        <f>IF(AB651="","",IFERROR(INDEX(ctaTipo,MATCH(AB651,ctaNombre,0))&amp;"",""))</f>
        <v/>
      </c>
      <c r="AE651" s="52">
        <f>IF(AC651="","",IFERROR(INDEX(ctaTipo,MATCH(AC651,ctaNombre,0))&amp;"",""))</f>
        <v/>
      </c>
      <c r="AF651" s="53">
        <f>IF(OR(P651="",AB651=""),"",IF(OR(P651="Gasto",P651="Transferencia",P651="Pago tarjeta"),-1,1)*IF(IFERROR(INDEX(ctaMoneda,MATCH(AB651,ctaNombre,0))&amp;"","DOP")="USD",T651,S651))</f>
        <v/>
      </c>
      <c r="AG651" s="53">
        <f>IF(AC651="","",IF(IFERROR(INDEX(ctaMoneda,MATCH(AC651,ctaNombre,0))&amp;"","DOP")="USD",T651,S651))</f>
        <v/>
      </c>
      <c r="AH651" s="53">
        <f>IF(P651="","",IF(AND(AD651&lt;&gt;"",COUNTIFS(tcTipo,AD651,tcLiq,"Sí")&gt;0),IF(OR(P651="Gasto",P651="Transferencia",P651="Pago tarjeta"),-1,1)*S651,0)+IF(AND(AE651&lt;&gt;"",COUNTIFS(tcTipo,AE651,tcLiq,"Sí")&gt;0),S651,0))</f>
        <v/>
      </c>
      <c r="AI651" s="52">
        <f>IF(OR(L651="",P651=""),"",IF(COUNTIFS(L$6:L651,L651,P$6:P651,"?*")=1,MAX(AI$5:AI650)+1,""))</f>
        <v/>
      </c>
    </row>
    <row r="652">
      <c r="B652" s="47" t="n"/>
      <c r="C652" s="48" t="n"/>
      <c r="D652" s="48" t="n"/>
      <c r="E652" s="48" t="n"/>
      <c r="F652" s="48" t="n"/>
      <c r="G652" s="49" t="n"/>
      <c r="H652" s="48" t="n"/>
      <c r="I652" s="50" t="n"/>
      <c r="J652" s="48" t="n"/>
      <c r="K652" s="48" t="n"/>
      <c r="L652" s="48" t="n"/>
      <c r="M652" s="48" t="n"/>
      <c r="N652" s="48" t="n"/>
      <c r="O652" s="51">
        <f>IF(AND(B652="",G652="",C652="",D652="",J652=""),"",IF(B652="","⚠ Falta fecha",IF(G652="","⚠ Falta monto",IF(Q652="","⚠ Falta cuenta",IF(ISNA(MATCH(Q652,ctaNombre,0)),"⚠ Cuenta no registrada",IF(AND(OR(P652="Gasto",P652="Reembolso"),D652=""),"⚠ Falta categoría",IF(AND(D652&lt;&gt;"",E652&lt;&gt;"",ISNA(MATCH(D652&amp;"|"&amp;E652,catClave,0))),"⚠ Subcategoría no corresponde",IF(AND(OR(P652="Transferencia",P652="Pago tarjeta"),K652=""),"⚠ Falta cuenta destino",IF(AND(K652&lt;&gt;"",P652&lt;&gt;"Transferencia",P652&lt;&gt;"Pago tarjeta"),"⚠ Destino solo aplica a transferencias",IF(AND(K652&lt;&gt;"",K652=Q652),"⚠ Origen igual a destino",IF(AND(K652&lt;&gt;"",ISNA(MATCH(K652,ctaNombre,0))),"⚠ Destino no registrado",IF(AND(P652="Pago tarjeta",AE652&lt;&gt;"Tarjeta de crédito"),"⚠ El destino debe ser tarjeta de crédito",IF(AND(P652="Gasto",E652="Depósitos y retiros"),"⚠ Usa tipo Transferencia",IF(AND(P652="Resultado trading",AD652&lt;&gt;"Cuenta de trading"),"⚠ Usa una cuenta de trading",IF(AND(G652&lt;=0,P652&lt;&gt;"Ajuste",P652&lt;&gt;"Resultado trading"),"⚠ El monto debe ser positivo","✓")))))))))))))))</f>
        <v/>
      </c>
      <c r="P652" s="52">
        <f>IF(OR(B652="",G652=""),"",IF(C652="","Gasto",C652))</f>
        <v/>
      </c>
      <c r="Q652" s="52">
        <f>IF(P652="","",IF(J652&lt;&gt;"",J652,CuentaPred&amp;""))</f>
        <v/>
      </c>
      <c r="R652" s="52">
        <f>IF(P652="","",IF(ISNUMBER(I652),I652,TasaUSD))</f>
        <v/>
      </c>
      <c r="S652" s="53">
        <f>IF(P652="","",IF(H652="USD",G652*R652,G652))</f>
        <v/>
      </c>
      <c r="T652" s="53">
        <f>IF(P652="","",IF(H652="USD",G652,IF(R652&gt;0,G652/R652,0)))</f>
        <v/>
      </c>
      <c r="U652" s="53">
        <f>IF(P652="","",IF(P652="Gasto",S652,IF(P652="Reembolso",-S652,0)))</f>
        <v/>
      </c>
      <c r="V652" s="53">
        <f>IF(P652="","",IF(P652="Ingreso",S652,0))</f>
        <v/>
      </c>
      <c r="W652" s="53">
        <f>IF(P652="","",IF(P652="Resultado trading",S652,0))</f>
        <v/>
      </c>
      <c r="X652" s="52">
        <f>IF(OR(P652="Gasto",P652="Reembolso"),IF(M652&lt;&gt;"",M652,IFERROR(INDEX(catClasif,MATCH(D652&amp;"|"&amp;E652,catClave,0))&amp;"","Variable")),"")</f>
        <v/>
      </c>
      <c r="Y652" s="52">
        <f>IF(P652="","",IFERROR(INDEX(catGrupo,MATCH(D652&amp;"|"&amp;E652,catClave,0))&amp;"",""))</f>
        <v/>
      </c>
      <c r="Z652" s="52">
        <f>IF(P652="","",WEEKDAY(B652,2))</f>
        <v/>
      </c>
      <c r="AA652" s="52">
        <f>IF(P652="","",IF(AND(P652="Gasto",X652="Variable",D652&lt;&gt;catTrading,S652&gt;0,S652&lt;=Umbral),1,0))</f>
        <v/>
      </c>
      <c r="AB652" s="52">
        <f>IF(OR(P652="",Q652=""),"",IFERROR(IF(INDEX(ctaVinc,MATCH(Q652,ctaNombre,0))&amp;""&lt;&gt;"",INDEX(ctaVinc,MATCH(Q652,ctaNombre,0))&amp;"",Q652),Q652))</f>
        <v/>
      </c>
      <c r="AC652" s="52">
        <f>IF(OR(K652="",AND(P652&lt;&gt;"Transferencia",P652&lt;&gt;"Pago tarjeta")),"",IFERROR(IF(INDEX(ctaVinc,MATCH(K652,ctaNombre,0))&amp;""&lt;&gt;"",INDEX(ctaVinc,MATCH(K652,ctaNombre,0))&amp;"",K652),K652))</f>
        <v/>
      </c>
      <c r="AD652" s="52">
        <f>IF(AB652="","",IFERROR(INDEX(ctaTipo,MATCH(AB652,ctaNombre,0))&amp;"",""))</f>
        <v/>
      </c>
      <c r="AE652" s="52">
        <f>IF(AC652="","",IFERROR(INDEX(ctaTipo,MATCH(AC652,ctaNombre,0))&amp;"",""))</f>
        <v/>
      </c>
      <c r="AF652" s="53">
        <f>IF(OR(P652="",AB652=""),"",IF(OR(P652="Gasto",P652="Transferencia",P652="Pago tarjeta"),-1,1)*IF(IFERROR(INDEX(ctaMoneda,MATCH(AB652,ctaNombre,0))&amp;"","DOP")="USD",T652,S652))</f>
        <v/>
      </c>
      <c r="AG652" s="53">
        <f>IF(AC652="","",IF(IFERROR(INDEX(ctaMoneda,MATCH(AC652,ctaNombre,0))&amp;"","DOP")="USD",T652,S652))</f>
        <v/>
      </c>
      <c r="AH652" s="53">
        <f>IF(P652="","",IF(AND(AD652&lt;&gt;"",COUNTIFS(tcTipo,AD652,tcLiq,"Sí")&gt;0),IF(OR(P652="Gasto",P652="Transferencia",P652="Pago tarjeta"),-1,1)*S652,0)+IF(AND(AE652&lt;&gt;"",COUNTIFS(tcTipo,AE652,tcLiq,"Sí")&gt;0),S652,0))</f>
        <v/>
      </c>
      <c r="AI652" s="52">
        <f>IF(OR(L652="",P652=""),"",IF(COUNTIFS(L$6:L652,L652,P$6:P652,"?*")=1,MAX(AI$5:AI651)+1,""))</f>
        <v/>
      </c>
    </row>
    <row r="653">
      <c r="B653" s="47" t="n"/>
      <c r="C653" s="48" t="n"/>
      <c r="D653" s="48" t="n"/>
      <c r="E653" s="48" t="n"/>
      <c r="F653" s="48" t="n"/>
      <c r="G653" s="49" t="n"/>
      <c r="H653" s="48" t="n"/>
      <c r="I653" s="50" t="n"/>
      <c r="J653" s="48" t="n"/>
      <c r="K653" s="48" t="n"/>
      <c r="L653" s="48" t="n"/>
      <c r="M653" s="48" t="n"/>
      <c r="N653" s="48" t="n"/>
      <c r="O653" s="51">
        <f>IF(AND(B653="",G653="",C653="",D653="",J653=""),"",IF(B653="","⚠ Falta fecha",IF(G653="","⚠ Falta monto",IF(Q653="","⚠ Falta cuenta",IF(ISNA(MATCH(Q653,ctaNombre,0)),"⚠ Cuenta no registrada",IF(AND(OR(P653="Gasto",P653="Reembolso"),D653=""),"⚠ Falta categoría",IF(AND(D653&lt;&gt;"",E653&lt;&gt;"",ISNA(MATCH(D653&amp;"|"&amp;E653,catClave,0))),"⚠ Subcategoría no corresponde",IF(AND(OR(P653="Transferencia",P653="Pago tarjeta"),K653=""),"⚠ Falta cuenta destino",IF(AND(K653&lt;&gt;"",P653&lt;&gt;"Transferencia",P653&lt;&gt;"Pago tarjeta"),"⚠ Destino solo aplica a transferencias",IF(AND(K653&lt;&gt;"",K653=Q653),"⚠ Origen igual a destino",IF(AND(K653&lt;&gt;"",ISNA(MATCH(K653,ctaNombre,0))),"⚠ Destino no registrado",IF(AND(P653="Pago tarjeta",AE653&lt;&gt;"Tarjeta de crédito"),"⚠ El destino debe ser tarjeta de crédito",IF(AND(P653="Gasto",E653="Depósitos y retiros"),"⚠ Usa tipo Transferencia",IF(AND(P653="Resultado trading",AD653&lt;&gt;"Cuenta de trading"),"⚠ Usa una cuenta de trading",IF(AND(G653&lt;=0,P653&lt;&gt;"Ajuste",P653&lt;&gt;"Resultado trading"),"⚠ El monto debe ser positivo","✓")))))))))))))))</f>
        <v/>
      </c>
      <c r="P653" s="52">
        <f>IF(OR(B653="",G653=""),"",IF(C653="","Gasto",C653))</f>
        <v/>
      </c>
      <c r="Q653" s="52">
        <f>IF(P653="","",IF(J653&lt;&gt;"",J653,CuentaPred&amp;""))</f>
        <v/>
      </c>
      <c r="R653" s="52">
        <f>IF(P653="","",IF(ISNUMBER(I653),I653,TasaUSD))</f>
        <v/>
      </c>
      <c r="S653" s="53">
        <f>IF(P653="","",IF(H653="USD",G653*R653,G653))</f>
        <v/>
      </c>
      <c r="T653" s="53">
        <f>IF(P653="","",IF(H653="USD",G653,IF(R653&gt;0,G653/R653,0)))</f>
        <v/>
      </c>
      <c r="U653" s="53">
        <f>IF(P653="","",IF(P653="Gasto",S653,IF(P653="Reembolso",-S653,0)))</f>
        <v/>
      </c>
      <c r="V653" s="53">
        <f>IF(P653="","",IF(P653="Ingreso",S653,0))</f>
        <v/>
      </c>
      <c r="W653" s="53">
        <f>IF(P653="","",IF(P653="Resultado trading",S653,0))</f>
        <v/>
      </c>
      <c r="X653" s="52">
        <f>IF(OR(P653="Gasto",P653="Reembolso"),IF(M653&lt;&gt;"",M653,IFERROR(INDEX(catClasif,MATCH(D653&amp;"|"&amp;E653,catClave,0))&amp;"","Variable")),"")</f>
        <v/>
      </c>
      <c r="Y653" s="52">
        <f>IF(P653="","",IFERROR(INDEX(catGrupo,MATCH(D653&amp;"|"&amp;E653,catClave,0))&amp;"",""))</f>
        <v/>
      </c>
      <c r="Z653" s="52">
        <f>IF(P653="","",WEEKDAY(B653,2))</f>
        <v/>
      </c>
      <c r="AA653" s="52">
        <f>IF(P653="","",IF(AND(P653="Gasto",X653="Variable",D653&lt;&gt;catTrading,S653&gt;0,S653&lt;=Umbral),1,0))</f>
        <v/>
      </c>
      <c r="AB653" s="52">
        <f>IF(OR(P653="",Q653=""),"",IFERROR(IF(INDEX(ctaVinc,MATCH(Q653,ctaNombre,0))&amp;""&lt;&gt;"",INDEX(ctaVinc,MATCH(Q653,ctaNombre,0))&amp;"",Q653),Q653))</f>
        <v/>
      </c>
      <c r="AC653" s="52">
        <f>IF(OR(K653="",AND(P653&lt;&gt;"Transferencia",P653&lt;&gt;"Pago tarjeta")),"",IFERROR(IF(INDEX(ctaVinc,MATCH(K653,ctaNombre,0))&amp;""&lt;&gt;"",INDEX(ctaVinc,MATCH(K653,ctaNombre,0))&amp;"",K653),K653))</f>
        <v/>
      </c>
      <c r="AD653" s="52">
        <f>IF(AB653="","",IFERROR(INDEX(ctaTipo,MATCH(AB653,ctaNombre,0))&amp;"",""))</f>
        <v/>
      </c>
      <c r="AE653" s="52">
        <f>IF(AC653="","",IFERROR(INDEX(ctaTipo,MATCH(AC653,ctaNombre,0))&amp;"",""))</f>
        <v/>
      </c>
      <c r="AF653" s="53">
        <f>IF(OR(P653="",AB653=""),"",IF(OR(P653="Gasto",P653="Transferencia",P653="Pago tarjeta"),-1,1)*IF(IFERROR(INDEX(ctaMoneda,MATCH(AB653,ctaNombre,0))&amp;"","DOP")="USD",T653,S653))</f>
        <v/>
      </c>
      <c r="AG653" s="53">
        <f>IF(AC653="","",IF(IFERROR(INDEX(ctaMoneda,MATCH(AC653,ctaNombre,0))&amp;"","DOP")="USD",T653,S653))</f>
        <v/>
      </c>
      <c r="AH653" s="53">
        <f>IF(P653="","",IF(AND(AD653&lt;&gt;"",COUNTIFS(tcTipo,AD653,tcLiq,"Sí")&gt;0),IF(OR(P653="Gasto",P653="Transferencia",P653="Pago tarjeta"),-1,1)*S653,0)+IF(AND(AE653&lt;&gt;"",COUNTIFS(tcTipo,AE653,tcLiq,"Sí")&gt;0),S653,0))</f>
        <v/>
      </c>
      <c r="AI653" s="52">
        <f>IF(OR(L653="",P653=""),"",IF(COUNTIFS(L$6:L653,L653,P$6:P653,"?*")=1,MAX(AI$5:AI652)+1,""))</f>
        <v/>
      </c>
    </row>
    <row r="654">
      <c r="B654" s="47" t="n"/>
      <c r="C654" s="48" t="n"/>
      <c r="D654" s="48" t="n"/>
      <c r="E654" s="48" t="n"/>
      <c r="F654" s="48" t="n"/>
      <c r="G654" s="49" t="n"/>
      <c r="H654" s="48" t="n"/>
      <c r="I654" s="50" t="n"/>
      <c r="J654" s="48" t="n"/>
      <c r="K654" s="48" t="n"/>
      <c r="L654" s="48" t="n"/>
      <c r="M654" s="48" t="n"/>
      <c r="N654" s="48" t="n"/>
      <c r="O654" s="51">
        <f>IF(AND(B654="",G654="",C654="",D654="",J654=""),"",IF(B654="","⚠ Falta fecha",IF(G654="","⚠ Falta monto",IF(Q654="","⚠ Falta cuenta",IF(ISNA(MATCH(Q654,ctaNombre,0)),"⚠ Cuenta no registrada",IF(AND(OR(P654="Gasto",P654="Reembolso"),D654=""),"⚠ Falta categoría",IF(AND(D654&lt;&gt;"",E654&lt;&gt;"",ISNA(MATCH(D654&amp;"|"&amp;E654,catClave,0))),"⚠ Subcategoría no corresponde",IF(AND(OR(P654="Transferencia",P654="Pago tarjeta"),K654=""),"⚠ Falta cuenta destino",IF(AND(K654&lt;&gt;"",P654&lt;&gt;"Transferencia",P654&lt;&gt;"Pago tarjeta"),"⚠ Destino solo aplica a transferencias",IF(AND(K654&lt;&gt;"",K654=Q654),"⚠ Origen igual a destino",IF(AND(K654&lt;&gt;"",ISNA(MATCH(K654,ctaNombre,0))),"⚠ Destino no registrado",IF(AND(P654="Pago tarjeta",AE654&lt;&gt;"Tarjeta de crédito"),"⚠ El destino debe ser tarjeta de crédito",IF(AND(P654="Gasto",E654="Depósitos y retiros"),"⚠ Usa tipo Transferencia",IF(AND(P654="Resultado trading",AD654&lt;&gt;"Cuenta de trading"),"⚠ Usa una cuenta de trading",IF(AND(G654&lt;=0,P654&lt;&gt;"Ajuste",P654&lt;&gt;"Resultado trading"),"⚠ El monto debe ser positivo","✓")))))))))))))))</f>
        <v/>
      </c>
      <c r="P654" s="52">
        <f>IF(OR(B654="",G654=""),"",IF(C654="","Gasto",C654))</f>
        <v/>
      </c>
      <c r="Q654" s="52">
        <f>IF(P654="","",IF(J654&lt;&gt;"",J654,CuentaPred&amp;""))</f>
        <v/>
      </c>
      <c r="R654" s="52">
        <f>IF(P654="","",IF(ISNUMBER(I654),I654,TasaUSD))</f>
        <v/>
      </c>
      <c r="S654" s="53">
        <f>IF(P654="","",IF(H654="USD",G654*R654,G654))</f>
        <v/>
      </c>
      <c r="T654" s="53">
        <f>IF(P654="","",IF(H654="USD",G654,IF(R654&gt;0,G654/R654,0)))</f>
        <v/>
      </c>
      <c r="U654" s="53">
        <f>IF(P654="","",IF(P654="Gasto",S654,IF(P654="Reembolso",-S654,0)))</f>
        <v/>
      </c>
      <c r="V654" s="53">
        <f>IF(P654="","",IF(P654="Ingreso",S654,0))</f>
        <v/>
      </c>
      <c r="W654" s="53">
        <f>IF(P654="","",IF(P654="Resultado trading",S654,0))</f>
        <v/>
      </c>
      <c r="X654" s="52">
        <f>IF(OR(P654="Gasto",P654="Reembolso"),IF(M654&lt;&gt;"",M654,IFERROR(INDEX(catClasif,MATCH(D654&amp;"|"&amp;E654,catClave,0))&amp;"","Variable")),"")</f>
        <v/>
      </c>
      <c r="Y654" s="52">
        <f>IF(P654="","",IFERROR(INDEX(catGrupo,MATCH(D654&amp;"|"&amp;E654,catClave,0))&amp;"",""))</f>
        <v/>
      </c>
      <c r="Z654" s="52">
        <f>IF(P654="","",WEEKDAY(B654,2))</f>
        <v/>
      </c>
      <c r="AA654" s="52">
        <f>IF(P654="","",IF(AND(P654="Gasto",X654="Variable",D654&lt;&gt;catTrading,S654&gt;0,S654&lt;=Umbral),1,0))</f>
        <v/>
      </c>
      <c r="AB654" s="52">
        <f>IF(OR(P654="",Q654=""),"",IFERROR(IF(INDEX(ctaVinc,MATCH(Q654,ctaNombre,0))&amp;""&lt;&gt;"",INDEX(ctaVinc,MATCH(Q654,ctaNombre,0))&amp;"",Q654),Q654))</f>
        <v/>
      </c>
      <c r="AC654" s="52">
        <f>IF(OR(K654="",AND(P654&lt;&gt;"Transferencia",P654&lt;&gt;"Pago tarjeta")),"",IFERROR(IF(INDEX(ctaVinc,MATCH(K654,ctaNombre,0))&amp;""&lt;&gt;"",INDEX(ctaVinc,MATCH(K654,ctaNombre,0))&amp;"",K654),K654))</f>
        <v/>
      </c>
      <c r="AD654" s="52">
        <f>IF(AB654="","",IFERROR(INDEX(ctaTipo,MATCH(AB654,ctaNombre,0))&amp;"",""))</f>
        <v/>
      </c>
      <c r="AE654" s="52">
        <f>IF(AC654="","",IFERROR(INDEX(ctaTipo,MATCH(AC654,ctaNombre,0))&amp;"",""))</f>
        <v/>
      </c>
      <c r="AF654" s="53">
        <f>IF(OR(P654="",AB654=""),"",IF(OR(P654="Gasto",P654="Transferencia",P654="Pago tarjeta"),-1,1)*IF(IFERROR(INDEX(ctaMoneda,MATCH(AB654,ctaNombre,0))&amp;"","DOP")="USD",T654,S654))</f>
        <v/>
      </c>
      <c r="AG654" s="53">
        <f>IF(AC654="","",IF(IFERROR(INDEX(ctaMoneda,MATCH(AC654,ctaNombre,0))&amp;"","DOP")="USD",T654,S654))</f>
        <v/>
      </c>
      <c r="AH654" s="53">
        <f>IF(P654="","",IF(AND(AD654&lt;&gt;"",COUNTIFS(tcTipo,AD654,tcLiq,"Sí")&gt;0),IF(OR(P654="Gasto",P654="Transferencia",P654="Pago tarjeta"),-1,1)*S654,0)+IF(AND(AE654&lt;&gt;"",COUNTIFS(tcTipo,AE654,tcLiq,"Sí")&gt;0),S654,0))</f>
        <v/>
      </c>
      <c r="AI654" s="52">
        <f>IF(OR(L654="",P654=""),"",IF(COUNTIFS(L$6:L654,L654,P$6:P654,"?*")=1,MAX(AI$5:AI653)+1,""))</f>
        <v/>
      </c>
    </row>
    <row r="655">
      <c r="B655" s="47" t="n"/>
      <c r="C655" s="48" t="n"/>
      <c r="D655" s="48" t="n"/>
      <c r="E655" s="48" t="n"/>
      <c r="F655" s="48" t="n"/>
      <c r="G655" s="49" t="n"/>
      <c r="H655" s="48" t="n"/>
      <c r="I655" s="50" t="n"/>
      <c r="J655" s="48" t="n"/>
      <c r="K655" s="48" t="n"/>
      <c r="L655" s="48" t="n"/>
      <c r="M655" s="48" t="n"/>
      <c r="N655" s="48" t="n"/>
      <c r="O655" s="51">
        <f>IF(AND(B655="",G655="",C655="",D655="",J655=""),"",IF(B655="","⚠ Falta fecha",IF(G655="","⚠ Falta monto",IF(Q655="","⚠ Falta cuenta",IF(ISNA(MATCH(Q655,ctaNombre,0)),"⚠ Cuenta no registrada",IF(AND(OR(P655="Gasto",P655="Reembolso"),D655=""),"⚠ Falta categoría",IF(AND(D655&lt;&gt;"",E655&lt;&gt;"",ISNA(MATCH(D655&amp;"|"&amp;E655,catClave,0))),"⚠ Subcategoría no corresponde",IF(AND(OR(P655="Transferencia",P655="Pago tarjeta"),K655=""),"⚠ Falta cuenta destino",IF(AND(K655&lt;&gt;"",P655&lt;&gt;"Transferencia",P655&lt;&gt;"Pago tarjeta"),"⚠ Destino solo aplica a transferencias",IF(AND(K655&lt;&gt;"",K655=Q655),"⚠ Origen igual a destino",IF(AND(K655&lt;&gt;"",ISNA(MATCH(K655,ctaNombre,0))),"⚠ Destino no registrado",IF(AND(P655="Pago tarjeta",AE655&lt;&gt;"Tarjeta de crédito"),"⚠ El destino debe ser tarjeta de crédito",IF(AND(P655="Gasto",E655="Depósitos y retiros"),"⚠ Usa tipo Transferencia",IF(AND(P655="Resultado trading",AD655&lt;&gt;"Cuenta de trading"),"⚠ Usa una cuenta de trading",IF(AND(G655&lt;=0,P655&lt;&gt;"Ajuste",P655&lt;&gt;"Resultado trading"),"⚠ El monto debe ser positivo","✓")))))))))))))))</f>
        <v/>
      </c>
      <c r="P655" s="52">
        <f>IF(OR(B655="",G655=""),"",IF(C655="","Gasto",C655))</f>
        <v/>
      </c>
      <c r="Q655" s="52">
        <f>IF(P655="","",IF(J655&lt;&gt;"",J655,CuentaPred&amp;""))</f>
        <v/>
      </c>
      <c r="R655" s="52">
        <f>IF(P655="","",IF(ISNUMBER(I655),I655,TasaUSD))</f>
        <v/>
      </c>
      <c r="S655" s="53">
        <f>IF(P655="","",IF(H655="USD",G655*R655,G655))</f>
        <v/>
      </c>
      <c r="T655" s="53">
        <f>IF(P655="","",IF(H655="USD",G655,IF(R655&gt;0,G655/R655,0)))</f>
        <v/>
      </c>
      <c r="U655" s="53">
        <f>IF(P655="","",IF(P655="Gasto",S655,IF(P655="Reembolso",-S655,0)))</f>
        <v/>
      </c>
      <c r="V655" s="53">
        <f>IF(P655="","",IF(P655="Ingreso",S655,0))</f>
        <v/>
      </c>
      <c r="W655" s="53">
        <f>IF(P655="","",IF(P655="Resultado trading",S655,0))</f>
        <v/>
      </c>
      <c r="X655" s="52">
        <f>IF(OR(P655="Gasto",P655="Reembolso"),IF(M655&lt;&gt;"",M655,IFERROR(INDEX(catClasif,MATCH(D655&amp;"|"&amp;E655,catClave,0))&amp;"","Variable")),"")</f>
        <v/>
      </c>
      <c r="Y655" s="52">
        <f>IF(P655="","",IFERROR(INDEX(catGrupo,MATCH(D655&amp;"|"&amp;E655,catClave,0))&amp;"",""))</f>
        <v/>
      </c>
      <c r="Z655" s="52">
        <f>IF(P655="","",WEEKDAY(B655,2))</f>
        <v/>
      </c>
      <c r="AA655" s="52">
        <f>IF(P655="","",IF(AND(P655="Gasto",X655="Variable",D655&lt;&gt;catTrading,S655&gt;0,S655&lt;=Umbral),1,0))</f>
        <v/>
      </c>
      <c r="AB655" s="52">
        <f>IF(OR(P655="",Q655=""),"",IFERROR(IF(INDEX(ctaVinc,MATCH(Q655,ctaNombre,0))&amp;""&lt;&gt;"",INDEX(ctaVinc,MATCH(Q655,ctaNombre,0))&amp;"",Q655),Q655))</f>
        <v/>
      </c>
      <c r="AC655" s="52">
        <f>IF(OR(K655="",AND(P655&lt;&gt;"Transferencia",P655&lt;&gt;"Pago tarjeta")),"",IFERROR(IF(INDEX(ctaVinc,MATCH(K655,ctaNombre,0))&amp;""&lt;&gt;"",INDEX(ctaVinc,MATCH(K655,ctaNombre,0))&amp;"",K655),K655))</f>
        <v/>
      </c>
      <c r="AD655" s="52">
        <f>IF(AB655="","",IFERROR(INDEX(ctaTipo,MATCH(AB655,ctaNombre,0))&amp;"",""))</f>
        <v/>
      </c>
      <c r="AE655" s="52">
        <f>IF(AC655="","",IFERROR(INDEX(ctaTipo,MATCH(AC655,ctaNombre,0))&amp;"",""))</f>
        <v/>
      </c>
      <c r="AF655" s="53">
        <f>IF(OR(P655="",AB655=""),"",IF(OR(P655="Gasto",P655="Transferencia",P655="Pago tarjeta"),-1,1)*IF(IFERROR(INDEX(ctaMoneda,MATCH(AB655,ctaNombre,0))&amp;"","DOP")="USD",T655,S655))</f>
        <v/>
      </c>
      <c r="AG655" s="53">
        <f>IF(AC655="","",IF(IFERROR(INDEX(ctaMoneda,MATCH(AC655,ctaNombre,0))&amp;"","DOP")="USD",T655,S655))</f>
        <v/>
      </c>
      <c r="AH655" s="53">
        <f>IF(P655="","",IF(AND(AD655&lt;&gt;"",COUNTIFS(tcTipo,AD655,tcLiq,"Sí")&gt;0),IF(OR(P655="Gasto",P655="Transferencia",P655="Pago tarjeta"),-1,1)*S655,0)+IF(AND(AE655&lt;&gt;"",COUNTIFS(tcTipo,AE655,tcLiq,"Sí")&gt;0),S655,0))</f>
        <v/>
      </c>
      <c r="AI655" s="52">
        <f>IF(OR(L655="",P655=""),"",IF(COUNTIFS(L$6:L655,L655,P$6:P655,"?*")=1,MAX(AI$5:AI654)+1,""))</f>
        <v/>
      </c>
    </row>
    <row r="656">
      <c r="B656" s="47" t="n"/>
      <c r="C656" s="48" t="n"/>
      <c r="D656" s="48" t="n"/>
      <c r="E656" s="48" t="n"/>
      <c r="F656" s="48" t="n"/>
      <c r="G656" s="49" t="n"/>
      <c r="H656" s="48" t="n"/>
      <c r="I656" s="50" t="n"/>
      <c r="J656" s="48" t="n"/>
      <c r="K656" s="48" t="n"/>
      <c r="L656" s="48" t="n"/>
      <c r="M656" s="48" t="n"/>
      <c r="N656" s="48" t="n"/>
      <c r="O656" s="51">
        <f>IF(AND(B656="",G656="",C656="",D656="",J656=""),"",IF(B656="","⚠ Falta fecha",IF(G656="","⚠ Falta monto",IF(Q656="","⚠ Falta cuenta",IF(ISNA(MATCH(Q656,ctaNombre,0)),"⚠ Cuenta no registrada",IF(AND(OR(P656="Gasto",P656="Reembolso"),D656=""),"⚠ Falta categoría",IF(AND(D656&lt;&gt;"",E656&lt;&gt;"",ISNA(MATCH(D656&amp;"|"&amp;E656,catClave,0))),"⚠ Subcategoría no corresponde",IF(AND(OR(P656="Transferencia",P656="Pago tarjeta"),K656=""),"⚠ Falta cuenta destino",IF(AND(K656&lt;&gt;"",P656&lt;&gt;"Transferencia",P656&lt;&gt;"Pago tarjeta"),"⚠ Destino solo aplica a transferencias",IF(AND(K656&lt;&gt;"",K656=Q656),"⚠ Origen igual a destino",IF(AND(K656&lt;&gt;"",ISNA(MATCH(K656,ctaNombre,0))),"⚠ Destino no registrado",IF(AND(P656="Pago tarjeta",AE656&lt;&gt;"Tarjeta de crédito"),"⚠ El destino debe ser tarjeta de crédito",IF(AND(P656="Gasto",E656="Depósitos y retiros"),"⚠ Usa tipo Transferencia",IF(AND(P656="Resultado trading",AD656&lt;&gt;"Cuenta de trading"),"⚠ Usa una cuenta de trading",IF(AND(G656&lt;=0,P656&lt;&gt;"Ajuste",P656&lt;&gt;"Resultado trading"),"⚠ El monto debe ser positivo","✓")))))))))))))))</f>
        <v/>
      </c>
      <c r="P656" s="52">
        <f>IF(OR(B656="",G656=""),"",IF(C656="","Gasto",C656))</f>
        <v/>
      </c>
      <c r="Q656" s="52">
        <f>IF(P656="","",IF(J656&lt;&gt;"",J656,CuentaPred&amp;""))</f>
        <v/>
      </c>
      <c r="R656" s="52">
        <f>IF(P656="","",IF(ISNUMBER(I656),I656,TasaUSD))</f>
        <v/>
      </c>
      <c r="S656" s="53">
        <f>IF(P656="","",IF(H656="USD",G656*R656,G656))</f>
        <v/>
      </c>
      <c r="T656" s="53">
        <f>IF(P656="","",IF(H656="USD",G656,IF(R656&gt;0,G656/R656,0)))</f>
        <v/>
      </c>
      <c r="U656" s="53">
        <f>IF(P656="","",IF(P656="Gasto",S656,IF(P656="Reembolso",-S656,0)))</f>
        <v/>
      </c>
      <c r="V656" s="53">
        <f>IF(P656="","",IF(P656="Ingreso",S656,0))</f>
        <v/>
      </c>
      <c r="W656" s="53">
        <f>IF(P656="","",IF(P656="Resultado trading",S656,0))</f>
        <v/>
      </c>
      <c r="X656" s="52">
        <f>IF(OR(P656="Gasto",P656="Reembolso"),IF(M656&lt;&gt;"",M656,IFERROR(INDEX(catClasif,MATCH(D656&amp;"|"&amp;E656,catClave,0))&amp;"","Variable")),"")</f>
        <v/>
      </c>
      <c r="Y656" s="52">
        <f>IF(P656="","",IFERROR(INDEX(catGrupo,MATCH(D656&amp;"|"&amp;E656,catClave,0))&amp;"",""))</f>
        <v/>
      </c>
      <c r="Z656" s="52">
        <f>IF(P656="","",WEEKDAY(B656,2))</f>
        <v/>
      </c>
      <c r="AA656" s="52">
        <f>IF(P656="","",IF(AND(P656="Gasto",X656="Variable",D656&lt;&gt;catTrading,S656&gt;0,S656&lt;=Umbral),1,0))</f>
        <v/>
      </c>
      <c r="AB656" s="52">
        <f>IF(OR(P656="",Q656=""),"",IFERROR(IF(INDEX(ctaVinc,MATCH(Q656,ctaNombre,0))&amp;""&lt;&gt;"",INDEX(ctaVinc,MATCH(Q656,ctaNombre,0))&amp;"",Q656),Q656))</f>
        <v/>
      </c>
      <c r="AC656" s="52">
        <f>IF(OR(K656="",AND(P656&lt;&gt;"Transferencia",P656&lt;&gt;"Pago tarjeta")),"",IFERROR(IF(INDEX(ctaVinc,MATCH(K656,ctaNombre,0))&amp;""&lt;&gt;"",INDEX(ctaVinc,MATCH(K656,ctaNombre,0))&amp;"",K656),K656))</f>
        <v/>
      </c>
      <c r="AD656" s="52">
        <f>IF(AB656="","",IFERROR(INDEX(ctaTipo,MATCH(AB656,ctaNombre,0))&amp;"",""))</f>
        <v/>
      </c>
      <c r="AE656" s="52">
        <f>IF(AC656="","",IFERROR(INDEX(ctaTipo,MATCH(AC656,ctaNombre,0))&amp;"",""))</f>
        <v/>
      </c>
      <c r="AF656" s="53">
        <f>IF(OR(P656="",AB656=""),"",IF(OR(P656="Gasto",P656="Transferencia",P656="Pago tarjeta"),-1,1)*IF(IFERROR(INDEX(ctaMoneda,MATCH(AB656,ctaNombre,0))&amp;"","DOP")="USD",T656,S656))</f>
        <v/>
      </c>
      <c r="AG656" s="53">
        <f>IF(AC656="","",IF(IFERROR(INDEX(ctaMoneda,MATCH(AC656,ctaNombre,0))&amp;"","DOP")="USD",T656,S656))</f>
        <v/>
      </c>
      <c r="AH656" s="53">
        <f>IF(P656="","",IF(AND(AD656&lt;&gt;"",COUNTIFS(tcTipo,AD656,tcLiq,"Sí")&gt;0),IF(OR(P656="Gasto",P656="Transferencia",P656="Pago tarjeta"),-1,1)*S656,0)+IF(AND(AE656&lt;&gt;"",COUNTIFS(tcTipo,AE656,tcLiq,"Sí")&gt;0),S656,0))</f>
        <v/>
      </c>
      <c r="AI656" s="52">
        <f>IF(OR(L656="",P656=""),"",IF(COUNTIFS(L$6:L656,L656,P$6:P656,"?*")=1,MAX(AI$5:AI655)+1,""))</f>
        <v/>
      </c>
    </row>
    <row r="657">
      <c r="B657" s="47" t="n"/>
      <c r="C657" s="48" t="n"/>
      <c r="D657" s="48" t="n"/>
      <c r="E657" s="48" t="n"/>
      <c r="F657" s="48" t="n"/>
      <c r="G657" s="49" t="n"/>
      <c r="H657" s="48" t="n"/>
      <c r="I657" s="50" t="n"/>
      <c r="J657" s="48" t="n"/>
      <c r="K657" s="48" t="n"/>
      <c r="L657" s="48" t="n"/>
      <c r="M657" s="48" t="n"/>
      <c r="N657" s="48" t="n"/>
      <c r="O657" s="51">
        <f>IF(AND(B657="",G657="",C657="",D657="",J657=""),"",IF(B657="","⚠ Falta fecha",IF(G657="","⚠ Falta monto",IF(Q657="","⚠ Falta cuenta",IF(ISNA(MATCH(Q657,ctaNombre,0)),"⚠ Cuenta no registrada",IF(AND(OR(P657="Gasto",P657="Reembolso"),D657=""),"⚠ Falta categoría",IF(AND(D657&lt;&gt;"",E657&lt;&gt;"",ISNA(MATCH(D657&amp;"|"&amp;E657,catClave,0))),"⚠ Subcategoría no corresponde",IF(AND(OR(P657="Transferencia",P657="Pago tarjeta"),K657=""),"⚠ Falta cuenta destino",IF(AND(K657&lt;&gt;"",P657&lt;&gt;"Transferencia",P657&lt;&gt;"Pago tarjeta"),"⚠ Destino solo aplica a transferencias",IF(AND(K657&lt;&gt;"",K657=Q657),"⚠ Origen igual a destino",IF(AND(K657&lt;&gt;"",ISNA(MATCH(K657,ctaNombre,0))),"⚠ Destino no registrado",IF(AND(P657="Pago tarjeta",AE657&lt;&gt;"Tarjeta de crédito"),"⚠ El destino debe ser tarjeta de crédito",IF(AND(P657="Gasto",E657="Depósitos y retiros"),"⚠ Usa tipo Transferencia",IF(AND(P657="Resultado trading",AD657&lt;&gt;"Cuenta de trading"),"⚠ Usa una cuenta de trading",IF(AND(G657&lt;=0,P657&lt;&gt;"Ajuste",P657&lt;&gt;"Resultado trading"),"⚠ El monto debe ser positivo","✓")))))))))))))))</f>
        <v/>
      </c>
      <c r="P657" s="52">
        <f>IF(OR(B657="",G657=""),"",IF(C657="","Gasto",C657))</f>
        <v/>
      </c>
      <c r="Q657" s="52">
        <f>IF(P657="","",IF(J657&lt;&gt;"",J657,CuentaPred&amp;""))</f>
        <v/>
      </c>
      <c r="R657" s="52">
        <f>IF(P657="","",IF(ISNUMBER(I657),I657,TasaUSD))</f>
        <v/>
      </c>
      <c r="S657" s="53">
        <f>IF(P657="","",IF(H657="USD",G657*R657,G657))</f>
        <v/>
      </c>
      <c r="T657" s="53">
        <f>IF(P657="","",IF(H657="USD",G657,IF(R657&gt;0,G657/R657,0)))</f>
        <v/>
      </c>
      <c r="U657" s="53">
        <f>IF(P657="","",IF(P657="Gasto",S657,IF(P657="Reembolso",-S657,0)))</f>
        <v/>
      </c>
      <c r="V657" s="53">
        <f>IF(P657="","",IF(P657="Ingreso",S657,0))</f>
        <v/>
      </c>
      <c r="W657" s="53">
        <f>IF(P657="","",IF(P657="Resultado trading",S657,0))</f>
        <v/>
      </c>
      <c r="X657" s="52">
        <f>IF(OR(P657="Gasto",P657="Reembolso"),IF(M657&lt;&gt;"",M657,IFERROR(INDEX(catClasif,MATCH(D657&amp;"|"&amp;E657,catClave,0))&amp;"","Variable")),"")</f>
        <v/>
      </c>
      <c r="Y657" s="52">
        <f>IF(P657="","",IFERROR(INDEX(catGrupo,MATCH(D657&amp;"|"&amp;E657,catClave,0))&amp;"",""))</f>
        <v/>
      </c>
      <c r="Z657" s="52">
        <f>IF(P657="","",WEEKDAY(B657,2))</f>
        <v/>
      </c>
      <c r="AA657" s="52">
        <f>IF(P657="","",IF(AND(P657="Gasto",X657="Variable",D657&lt;&gt;catTrading,S657&gt;0,S657&lt;=Umbral),1,0))</f>
        <v/>
      </c>
      <c r="AB657" s="52">
        <f>IF(OR(P657="",Q657=""),"",IFERROR(IF(INDEX(ctaVinc,MATCH(Q657,ctaNombre,0))&amp;""&lt;&gt;"",INDEX(ctaVinc,MATCH(Q657,ctaNombre,0))&amp;"",Q657),Q657))</f>
        <v/>
      </c>
      <c r="AC657" s="52">
        <f>IF(OR(K657="",AND(P657&lt;&gt;"Transferencia",P657&lt;&gt;"Pago tarjeta")),"",IFERROR(IF(INDEX(ctaVinc,MATCH(K657,ctaNombre,0))&amp;""&lt;&gt;"",INDEX(ctaVinc,MATCH(K657,ctaNombre,0))&amp;"",K657),K657))</f>
        <v/>
      </c>
      <c r="AD657" s="52">
        <f>IF(AB657="","",IFERROR(INDEX(ctaTipo,MATCH(AB657,ctaNombre,0))&amp;"",""))</f>
        <v/>
      </c>
      <c r="AE657" s="52">
        <f>IF(AC657="","",IFERROR(INDEX(ctaTipo,MATCH(AC657,ctaNombre,0))&amp;"",""))</f>
        <v/>
      </c>
      <c r="AF657" s="53">
        <f>IF(OR(P657="",AB657=""),"",IF(OR(P657="Gasto",P657="Transferencia",P657="Pago tarjeta"),-1,1)*IF(IFERROR(INDEX(ctaMoneda,MATCH(AB657,ctaNombre,0))&amp;"","DOP")="USD",T657,S657))</f>
        <v/>
      </c>
      <c r="AG657" s="53">
        <f>IF(AC657="","",IF(IFERROR(INDEX(ctaMoneda,MATCH(AC657,ctaNombre,0))&amp;"","DOP")="USD",T657,S657))</f>
        <v/>
      </c>
      <c r="AH657" s="53">
        <f>IF(P657="","",IF(AND(AD657&lt;&gt;"",COUNTIFS(tcTipo,AD657,tcLiq,"Sí")&gt;0),IF(OR(P657="Gasto",P657="Transferencia",P657="Pago tarjeta"),-1,1)*S657,0)+IF(AND(AE657&lt;&gt;"",COUNTIFS(tcTipo,AE657,tcLiq,"Sí")&gt;0),S657,0))</f>
        <v/>
      </c>
      <c r="AI657" s="52">
        <f>IF(OR(L657="",P657=""),"",IF(COUNTIFS(L$6:L657,L657,P$6:P657,"?*")=1,MAX(AI$5:AI656)+1,""))</f>
        <v/>
      </c>
    </row>
    <row r="658">
      <c r="B658" s="47" t="n"/>
      <c r="C658" s="48" t="n"/>
      <c r="D658" s="48" t="n"/>
      <c r="E658" s="48" t="n"/>
      <c r="F658" s="48" t="n"/>
      <c r="G658" s="49" t="n"/>
      <c r="H658" s="48" t="n"/>
      <c r="I658" s="50" t="n"/>
      <c r="J658" s="48" t="n"/>
      <c r="K658" s="48" t="n"/>
      <c r="L658" s="48" t="n"/>
      <c r="M658" s="48" t="n"/>
      <c r="N658" s="48" t="n"/>
      <c r="O658" s="51">
        <f>IF(AND(B658="",G658="",C658="",D658="",J658=""),"",IF(B658="","⚠ Falta fecha",IF(G658="","⚠ Falta monto",IF(Q658="","⚠ Falta cuenta",IF(ISNA(MATCH(Q658,ctaNombre,0)),"⚠ Cuenta no registrada",IF(AND(OR(P658="Gasto",P658="Reembolso"),D658=""),"⚠ Falta categoría",IF(AND(D658&lt;&gt;"",E658&lt;&gt;"",ISNA(MATCH(D658&amp;"|"&amp;E658,catClave,0))),"⚠ Subcategoría no corresponde",IF(AND(OR(P658="Transferencia",P658="Pago tarjeta"),K658=""),"⚠ Falta cuenta destino",IF(AND(K658&lt;&gt;"",P658&lt;&gt;"Transferencia",P658&lt;&gt;"Pago tarjeta"),"⚠ Destino solo aplica a transferencias",IF(AND(K658&lt;&gt;"",K658=Q658),"⚠ Origen igual a destino",IF(AND(K658&lt;&gt;"",ISNA(MATCH(K658,ctaNombre,0))),"⚠ Destino no registrado",IF(AND(P658="Pago tarjeta",AE658&lt;&gt;"Tarjeta de crédito"),"⚠ El destino debe ser tarjeta de crédito",IF(AND(P658="Gasto",E658="Depósitos y retiros"),"⚠ Usa tipo Transferencia",IF(AND(P658="Resultado trading",AD658&lt;&gt;"Cuenta de trading"),"⚠ Usa una cuenta de trading",IF(AND(G658&lt;=0,P658&lt;&gt;"Ajuste",P658&lt;&gt;"Resultado trading"),"⚠ El monto debe ser positivo","✓")))))))))))))))</f>
        <v/>
      </c>
      <c r="P658" s="52">
        <f>IF(OR(B658="",G658=""),"",IF(C658="","Gasto",C658))</f>
        <v/>
      </c>
      <c r="Q658" s="52">
        <f>IF(P658="","",IF(J658&lt;&gt;"",J658,CuentaPred&amp;""))</f>
        <v/>
      </c>
      <c r="R658" s="52">
        <f>IF(P658="","",IF(ISNUMBER(I658),I658,TasaUSD))</f>
        <v/>
      </c>
      <c r="S658" s="53">
        <f>IF(P658="","",IF(H658="USD",G658*R658,G658))</f>
        <v/>
      </c>
      <c r="T658" s="53">
        <f>IF(P658="","",IF(H658="USD",G658,IF(R658&gt;0,G658/R658,0)))</f>
        <v/>
      </c>
      <c r="U658" s="53">
        <f>IF(P658="","",IF(P658="Gasto",S658,IF(P658="Reembolso",-S658,0)))</f>
        <v/>
      </c>
      <c r="V658" s="53">
        <f>IF(P658="","",IF(P658="Ingreso",S658,0))</f>
        <v/>
      </c>
      <c r="W658" s="53">
        <f>IF(P658="","",IF(P658="Resultado trading",S658,0))</f>
        <v/>
      </c>
      <c r="X658" s="52">
        <f>IF(OR(P658="Gasto",P658="Reembolso"),IF(M658&lt;&gt;"",M658,IFERROR(INDEX(catClasif,MATCH(D658&amp;"|"&amp;E658,catClave,0))&amp;"","Variable")),"")</f>
        <v/>
      </c>
      <c r="Y658" s="52">
        <f>IF(P658="","",IFERROR(INDEX(catGrupo,MATCH(D658&amp;"|"&amp;E658,catClave,0))&amp;"",""))</f>
        <v/>
      </c>
      <c r="Z658" s="52">
        <f>IF(P658="","",WEEKDAY(B658,2))</f>
        <v/>
      </c>
      <c r="AA658" s="52">
        <f>IF(P658="","",IF(AND(P658="Gasto",X658="Variable",D658&lt;&gt;catTrading,S658&gt;0,S658&lt;=Umbral),1,0))</f>
        <v/>
      </c>
      <c r="AB658" s="52">
        <f>IF(OR(P658="",Q658=""),"",IFERROR(IF(INDEX(ctaVinc,MATCH(Q658,ctaNombre,0))&amp;""&lt;&gt;"",INDEX(ctaVinc,MATCH(Q658,ctaNombre,0))&amp;"",Q658),Q658))</f>
        <v/>
      </c>
      <c r="AC658" s="52">
        <f>IF(OR(K658="",AND(P658&lt;&gt;"Transferencia",P658&lt;&gt;"Pago tarjeta")),"",IFERROR(IF(INDEX(ctaVinc,MATCH(K658,ctaNombre,0))&amp;""&lt;&gt;"",INDEX(ctaVinc,MATCH(K658,ctaNombre,0))&amp;"",K658),K658))</f>
        <v/>
      </c>
      <c r="AD658" s="52">
        <f>IF(AB658="","",IFERROR(INDEX(ctaTipo,MATCH(AB658,ctaNombre,0))&amp;"",""))</f>
        <v/>
      </c>
      <c r="AE658" s="52">
        <f>IF(AC658="","",IFERROR(INDEX(ctaTipo,MATCH(AC658,ctaNombre,0))&amp;"",""))</f>
        <v/>
      </c>
      <c r="AF658" s="53">
        <f>IF(OR(P658="",AB658=""),"",IF(OR(P658="Gasto",P658="Transferencia",P658="Pago tarjeta"),-1,1)*IF(IFERROR(INDEX(ctaMoneda,MATCH(AB658,ctaNombre,0))&amp;"","DOP")="USD",T658,S658))</f>
        <v/>
      </c>
      <c r="AG658" s="53">
        <f>IF(AC658="","",IF(IFERROR(INDEX(ctaMoneda,MATCH(AC658,ctaNombre,0))&amp;"","DOP")="USD",T658,S658))</f>
        <v/>
      </c>
      <c r="AH658" s="53">
        <f>IF(P658="","",IF(AND(AD658&lt;&gt;"",COUNTIFS(tcTipo,AD658,tcLiq,"Sí")&gt;0),IF(OR(P658="Gasto",P658="Transferencia",P658="Pago tarjeta"),-1,1)*S658,0)+IF(AND(AE658&lt;&gt;"",COUNTIFS(tcTipo,AE658,tcLiq,"Sí")&gt;0),S658,0))</f>
        <v/>
      </c>
      <c r="AI658" s="52">
        <f>IF(OR(L658="",P658=""),"",IF(COUNTIFS(L$6:L658,L658,P$6:P658,"?*")=1,MAX(AI$5:AI657)+1,""))</f>
        <v/>
      </c>
    </row>
    <row r="659">
      <c r="B659" s="47" t="n"/>
      <c r="C659" s="48" t="n"/>
      <c r="D659" s="48" t="n"/>
      <c r="E659" s="48" t="n"/>
      <c r="F659" s="48" t="n"/>
      <c r="G659" s="49" t="n"/>
      <c r="H659" s="48" t="n"/>
      <c r="I659" s="50" t="n"/>
      <c r="J659" s="48" t="n"/>
      <c r="K659" s="48" t="n"/>
      <c r="L659" s="48" t="n"/>
      <c r="M659" s="48" t="n"/>
      <c r="N659" s="48" t="n"/>
      <c r="O659" s="51">
        <f>IF(AND(B659="",G659="",C659="",D659="",J659=""),"",IF(B659="","⚠ Falta fecha",IF(G659="","⚠ Falta monto",IF(Q659="","⚠ Falta cuenta",IF(ISNA(MATCH(Q659,ctaNombre,0)),"⚠ Cuenta no registrada",IF(AND(OR(P659="Gasto",P659="Reembolso"),D659=""),"⚠ Falta categoría",IF(AND(D659&lt;&gt;"",E659&lt;&gt;"",ISNA(MATCH(D659&amp;"|"&amp;E659,catClave,0))),"⚠ Subcategoría no corresponde",IF(AND(OR(P659="Transferencia",P659="Pago tarjeta"),K659=""),"⚠ Falta cuenta destino",IF(AND(K659&lt;&gt;"",P659&lt;&gt;"Transferencia",P659&lt;&gt;"Pago tarjeta"),"⚠ Destino solo aplica a transferencias",IF(AND(K659&lt;&gt;"",K659=Q659),"⚠ Origen igual a destino",IF(AND(K659&lt;&gt;"",ISNA(MATCH(K659,ctaNombre,0))),"⚠ Destino no registrado",IF(AND(P659="Pago tarjeta",AE659&lt;&gt;"Tarjeta de crédito"),"⚠ El destino debe ser tarjeta de crédito",IF(AND(P659="Gasto",E659="Depósitos y retiros"),"⚠ Usa tipo Transferencia",IF(AND(P659="Resultado trading",AD659&lt;&gt;"Cuenta de trading"),"⚠ Usa una cuenta de trading",IF(AND(G659&lt;=0,P659&lt;&gt;"Ajuste",P659&lt;&gt;"Resultado trading"),"⚠ El monto debe ser positivo","✓")))))))))))))))</f>
        <v/>
      </c>
      <c r="P659" s="52">
        <f>IF(OR(B659="",G659=""),"",IF(C659="","Gasto",C659))</f>
        <v/>
      </c>
      <c r="Q659" s="52">
        <f>IF(P659="","",IF(J659&lt;&gt;"",J659,CuentaPred&amp;""))</f>
        <v/>
      </c>
      <c r="R659" s="52">
        <f>IF(P659="","",IF(ISNUMBER(I659),I659,TasaUSD))</f>
        <v/>
      </c>
      <c r="S659" s="53">
        <f>IF(P659="","",IF(H659="USD",G659*R659,G659))</f>
        <v/>
      </c>
      <c r="T659" s="53">
        <f>IF(P659="","",IF(H659="USD",G659,IF(R659&gt;0,G659/R659,0)))</f>
        <v/>
      </c>
      <c r="U659" s="53">
        <f>IF(P659="","",IF(P659="Gasto",S659,IF(P659="Reembolso",-S659,0)))</f>
        <v/>
      </c>
      <c r="V659" s="53">
        <f>IF(P659="","",IF(P659="Ingreso",S659,0))</f>
        <v/>
      </c>
      <c r="W659" s="53">
        <f>IF(P659="","",IF(P659="Resultado trading",S659,0))</f>
        <v/>
      </c>
      <c r="X659" s="52">
        <f>IF(OR(P659="Gasto",P659="Reembolso"),IF(M659&lt;&gt;"",M659,IFERROR(INDEX(catClasif,MATCH(D659&amp;"|"&amp;E659,catClave,0))&amp;"","Variable")),"")</f>
        <v/>
      </c>
      <c r="Y659" s="52">
        <f>IF(P659="","",IFERROR(INDEX(catGrupo,MATCH(D659&amp;"|"&amp;E659,catClave,0))&amp;"",""))</f>
        <v/>
      </c>
      <c r="Z659" s="52">
        <f>IF(P659="","",WEEKDAY(B659,2))</f>
        <v/>
      </c>
      <c r="AA659" s="52">
        <f>IF(P659="","",IF(AND(P659="Gasto",X659="Variable",D659&lt;&gt;catTrading,S659&gt;0,S659&lt;=Umbral),1,0))</f>
        <v/>
      </c>
      <c r="AB659" s="52">
        <f>IF(OR(P659="",Q659=""),"",IFERROR(IF(INDEX(ctaVinc,MATCH(Q659,ctaNombre,0))&amp;""&lt;&gt;"",INDEX(ctaVinc,MATCH(Q659,ctaNombre,0))&amp;"",Q659),Q659))</f>
        <v/>
      </c>
      <c r="AC659" s="52">
        <f>IF(OR(K659="",AND(P659&lt;&gt;"Transferencia",P659&lt;&gt;"Pago tarjeta")),"",IFERROR(IF(INDEX(ctaVinc,MATCH(K659,ctaNombre,0))&amp;""&lt;&gt;"",INDEX(ctaVinc,MATCH(K659,ctaNombre,0))&amp;"",K659),K659))</f>
        <v/>
      </c>
      <c r="AD659" s="52">
        <f>IF(AB659="","",IFERROR(INDEX(ctaTipo,MATCH(AB659,ctaNombre,0))&amp;"",""))</f>
        <v/>
      </c>
      <c r="AE659" s="52">
        <f>IF(AC659="","",IFERROR(INDEX(ctaTipo,MATCH(AC659,ctaNombre,0))&amp;"",""))</f>
        <v/>
      </c>
      <c r="AF659" s="53">
        <f>IF(OR(P659="",AB659=""),"",IF(OR(P659="Gasto",P659="Transferencia",P659="Pago tarjeta"),-1,1)*IF(IFERROR(INDEX(ctaMoneda,MATCH(AB659,ctaNombre,0))&amp;"","DOP")="USD",T659,S659))</f>
        <v/>
      </c>
      <c r="AG659" s="53">
        <f>IF(AC659="","",IF(IFERROR(INDEX(ctaMoneda,MATCH(AC659,ctaNombre,0))&amp;"","DOP")="USD",T659,S659))</f>
        <v/>
      </c>
      <c r="AH659" s="53">
        <f>IF(P659="","",IF(AND(AD659&lt;&gt;"",COUNTIFS(tcTipo,AD659,tcLiq,"Sí")&gt;0),IF(OR(P659="Gasto",P659="Transferencia",P659="Pago tarjeta"),-1,1)*S659,0)+IF(AND(AE659&lt;&gt;"",COUNTIFS(tcTipo,AE659,tcLiq,"Sí")&gt;0),S659,0))</f>
        <v/>
      </c>
      <c r="AI659" s="52">
        <f>IF(OR(L659="",P659=""),"",IF(COUNTIFS(L$6:L659,L659,P$6:P659,"?*")=1,MAX(AI$5:AI658)+1,""))</f>
        <v/>
      </c>
    </row>
    <row r="660">
      <c r="B660" s="47" t="n"/>
      <c r="C660" s="48" t="n"/>
      <c r="D660" s="48" t="n"/>
      <c r="E660" s="48" t="n"/>
      <c r="F660" s="48" t="n"/>
      <c r="G660" s="49" t="n"/>
      <c r="H660" s="48" t="n"/>
      <c r="I660" s="50" t="n"/>
      <c r="J660" s="48" t="n"/>
      <c r="K660" s="48" t="n"/>
      <c r="L660" s="48" t="n"/>
      <c r="M660" s="48" t="n"/>
      <c r="N660" s="48" t="n"/>
      <c r="O660" s="51">
        <f>IF(AND(B660="",G660="",C660="",D660="",J660=""),"",IF(B660="","⚠ Falta fecha",IF(G660="","⚠ Falta monto",IF(Q660="","⚠ Falta cuenta",IF(ISNA(MATCH(Q660,ctaNombre,0)),"⚠ Cuenta no registrada",IF(AND(OR(P660="Gasto",P660="Reembolso"),D660=""),"⚠ Falta categoría",IF(AND(D660&lt;&gt;"",E660&lt;&gt;"",ISNA(MATCH(D660&amp;"|"&amp;E660,catClave,0))),"⚠ Subcategoría no corresponde",IF(AND(OR(P660="Transferencia",P660="Pago tarjeta"),K660=""),"⚠ Falta cuenta destino",IF(AND(K660&lt;&gt;"",P660&lt;&gt;"Transferencia",P660&lt;&gt;"Pago tarjeta"),"⚠ Destino solo aplica a transferencias",IF(AND(K660&lt;&gt;"",K660=Q660),"⚠ Origen igual a destino",IF(AND(K660&lt;&gt;"",ISNA(MATCH(K660,ctaNombre,0))),"⚠ Destino no registrado",IF(AND(P660="Pago tarjeta",AE660&lt;&gt;"Tarjeta de crédito"),"⚠ El destino debe ser tarjeta de crédito",IF(AND(P660="Gasto",E660="Depósitos y retiros"),"⚠ Usa tipo Transferencia",IF(AND(P660="Resultado trading",AD660&lt;&gt;"Cuenta de trading"),"⚠ Usa una cuenta de trading",IF(AND(G660&lt;=0,P660&lt;&gt;"Ajuste",P660&lt;&gt;"Resultado trading"),"⚠ El monto debe ser positivo","✓")))))))))))))))</f>
        <v/>
      </c>
      <c r="P660" s="52">
        <f>IF(OR(B660="",G660=""),"",IF(C660="","Gasto",C660))</f>
        <v/>
      </c>
      <c r="Q660" s="52">
        <f>IF(P660="","",IF(J660&lt;&gt;"",J660,CuentaPred&amp;""))</f>
        <v/>
      </c>
      <c r="R660" s="52">
        <f>IF(P660="","",IF(ISNUMBER(I660),I660,TasaUSD))</f>
        <v/>
      </c>
      <c r="S660" s="53">
        <f>IF(P660="","",IF(H660="USD",G660*R660,G660))</f>
        <v/>
      </c>
      <c r="T660" s="53">
        <f>IF(P660="","",IF(H660="USD",G660,IF(R660&gt;0,G660/R660,0)))</f>
        <v/>
      </c>
      <c r="U660" s="53">
        <f>IF(P660="","",IF(P660="Gasto",S660,IF(P660="Reembolso",-S660,0)))</f>
        <v/>
      </c>
      <c r="V660" s="53">
        <f>IF(P660="","",IF(P660="Ingreso",S660,0))</f>
        <v/>
      </c>
      <c r="W660" s="53">
        <f>IF(P660="","",IF(P660="Resultado trading",S660,0))</f>
        <v/>
      </c>
      <c r="X660" s="52">
        <f>IF(OR(P660="Gasto",P660="Reembolso"),IF(M660&lt;&gt;"",M660,IFERROR(INDEX(catClasif,MATCH(D660&amp;"|"&amp;E660,catClave,0))&amp;"","Variable")),"")</f>
        <v/>
      </c>
      <c r="Y660" s="52">
        <f>IF(P660="","",IFERROR(INDEX(catGrupo,MATCH(D660&amp;"|"&amp;E660,catClave,0))&amp;"",""))</f>
        <v/>
      </c>
      <c r="Z660" s="52">
        <f>IF(P660="","",WEEKDAY(B660,2))</f>
        <v/>
      </c>
      <c r="AA660" s="52">
        <f>IF(P660="","",IF(AND(P660="Gasto",X660="Variable",D660&lt;&gt;catTrading,S660&gt;0,S660&lt;=Umbral),1,0))</f>
        <v/>
      </c>
      <c r="AB660" s="52">
        <f>IF(OR(P660="",Q660=""),"",IFERROR(IF(INDEX(ctaVinc,MATCH(Q660,ctaNombre,0))&amp;""&lt;&gt;"",INDEX(ctaVinc,MATCH(Q660,ctaNombre,0))&amp;"",Q660),Q660))</f>
        <v/>
      </c>
      <c r="AC660" s="52">
        <f>IF(OR(K660="",AND(P660&lt;&gt;"Transferencia",P660&lt;&gt;"Pago tarjeta")),"",IFERROR(IF(INDEX(ctaVinc,MATCH(K660,ctaNombre,0))&amp;""&lt;&gt;"",INDEX(ctaVinc,MATCH(K660,ctaNombre,0))&amp;"",K660),K660))</f>
        <v/>
      </c>
      <c r="AD660" s="52">
        <f>IF(AB660="","",IFERROR(INDEX(ctaTipo,MATCH(AB660,ctaNombre,0))&amp;"",""))</f>
        <v/>
      </c>
      <c r="AE660" s="52">
        <f>IF(AC660="","",IFERROR(INDEX(ctaTipo,MATCH(AC660,ctaNombre,0))&amp;"",""))</f>
        <v/>
      </c>
      <c r="AF660" s="53">
        <f>IF(OR(P660="",AB660=""),"",IF(OR(P660="Gasto",P660="Transferencia",P660="Pago tarjeta"),-1,1)*IF(IFERROR(INDEX(ctaMoneda,MATCH(AB660,ctaNombre,0))&amp;"","DOP")="USD",T660,S660))</f>
        <v/>
      </c>
      <c r="AG660" s="53">
        <f>IF(AC660="","",IF(IFERROR(INDEX(ctaMoneda,MATCH(AC660,ctaNombre,0))&amp;"","DOP")="USD",T660,S660))</f>
        <v/>
      </c>
      <c r="AH660" s="53">
        <f>IF(P660="","",IF(AND(AD660&lt;&gt;"",COUNTIFS(tcTipo,AD660,tcLiq,"Sí")&gt;0),IF(OR(P660="Gasto",P660="Transferencia",P660="Pago tarjeta"),-1,1)*S660,0)+IF(AND(AE660&lt;&gt;"",COUNTIFS(tcTipo,AE660,tcLiq,"Sí")&gt;0),S660,0))</f>
        <v/>
      </c>
      <c r="AI660" s="52">
        <f>IF(OR(L660="",P660=""),"",IF(COUNTIFS(L$6:L660,L660,P$6:P660,"?*")=1,MAX(AI$5:AI659)+1,""))</f>
        <v/>
      </c>
    </row>
    <row r="661">
      <c r="B661" s="47" t="n"/>
      <c r="C661" s="48" t="n"/>
      <c r="D661" s="48" t="n"/>
      <c r="E661" s="48" t="n"/>
      <c r="F661" s="48" t="n"/>
      <c r="G661" s="49" t="n"/>
      <c r="H661" s="48" t="n"/>
      <c r="I661" s="50" t="n"/>
      <c r="J661" s="48" t="n"/>
      <c r="K661" s="48" t="n"/>
      <c r="L661" s="48" t="n"/>
      <c r="M661" s="48" t="n"/>
      <c r="N661" s="48" t="n"/>
      <c r="O661" s="51">
        <f>IF(AND(B661="",G661="",C661="",D661="",J661=""),"",IF(B661="","⚠ Falta fecha",IF(G661="","⚠ Falta monto",IF(Q661="","⚠ Falta cuenta",IF(ISNA(MATCH(Q661,ctaNombre,0)),"⚠ Cuenta no registrada",IF(AND(OR(P661="Gasto",P661="Reembolso"),D661=""),"⚠ Falta categoría",IF(AND(D661&lt;&gt;"",E661&lt;&gt;"",ISNA(MATCH(D661&amp;"|"&amp;E661,catClave,0))),"⚠ Subcategoría no corresponde",IF(AND(OR(P661="Transferencia",P661="Pago tarjeta"),K661=""),"⚠ Falta cuenta destino",IF(AND(K661&lt;&gt;"",P661&lt;&gt;"Transferencia",P661&lt;&gt;"Pago tarjeta"),"⚠ Destino solo aplica a transferencias",IF(AND(K661&lt;&gt;"",K661=Q661),"⚠ Origen igual a destino",IF(AND(K661&lt;&gt;"",ISNA(MATCH(K661,ctaNombre,0))),"⚠ Destino no registrado",IF(AND(P661="Pago tarjeta",AE661&lt;&gt;"Tarjeta de crédito"),"⚠ El destino debe ser tarjeta de crédito",IF(AND(P661="Gasto",E661="Depósitos y retiros"),"⚠ Usa tipo Transferencia",IF(AND(P661="Resultado trading",AD661&lt;&gt;"Cuenta de trading"),"⚠ Usa una cuenta de trading",IF(AND(G661&lt;=0,P661&lt;&gt;"Ajuste",P661&lt;&gt;"Resultado trading"),"⚠ El monto debe ser positivo","✓")))))))))))))))</f>
        <v/>
      </c>
      <c r="P661" s="52">
        <f>IF(OR(B661="",G661=""),"",IF(C661="","Gasto",C661))</f>
        <v/>
      </c>
      <c r="Q661" s="52">
        <f>IF(P661="","",IF(J661&lt;&gt;"",J661,CuentaPred&amp;""))</f>
        <v/>
      </c>
      <c r="R661" s="52">
        <f>IF(P661="","",IF(ISNUMBER(I661),I661,TasaUSD))</f>
        <v/>
      </c>
      <c r="S661" s="53">
        <f>IF(P661="","",IF(H661="USD",G661*R661,G661))</f>
        <v/>
      </c>
      <c r="T661" s="53">
        <f>IF(P661="","",IF(H661="USD",G661,IF(R661&gt;0,G661/R661,0)))</f>
        <v/>
      </c>
      <c r="U661" s="53">
        <f>IF(P661="","",IF(P661="Gasto",S661,IF(P661="Reembolso",-S661,0)))</f>
        <v/>
      </c>
      <c r="V661" s="53">
        <f>IF(P661="","",IF(P661="Ingreso",S661,0))</f>
        <v/>
      </c>
      <c r="W661" s="53">
        <f>IF(P661="","",IF(P661="Resultado trading",S661,0))</f>
        <v/>
      </c>
      <c r="X661" s="52">
        <f>IF(OR(P661="Gasto",P661="Reembolso"),IF(M661&lt;&gt;"",M661,IFERROR(INDEX(catClasif,MATCH(D661&amp;"|"&amp;E661,catClave,0))&amp;"","Variable")),"")</f>
        <v/>
      </c>
      <c r="Y661" s="52">
        <f>IF(P661="","",IFERROR(INDEX(catGrupo,MATCH(D661&amp;"|"&amp;E661,catClave,0))&amp;"",""))</f>
        <v/>
      </c>
      <c r="Z661" s="52">
        <f>IF(P661="","",WEEKDAY(B661,2))</f>
        <v/>
      </c>
      <c r="AA661" s="52">
        <f>IF(P661="","",IF(AND(P661="Gasto",X661="Variable",D661&lt;&gt;catTrading,S661&gt;0,S661&lt;=Umbral),1,0))</f>
        <v/>
      </c>
      <c r="AB661" s="52">
        <f>IF(OR(P661="",Q661=""),"",IFERROR(IF(INDEX(ctaVinc,MATCH(Q661,ctaNombre,0))&amp;""&lt;&gt;"",INDEX(ctaVinc,MATCH(Q661,ctaNombre,0))&amp;"",Q661),Q661))</f>
        <v/>
      </c>
      <c r="AC661" s="52">
        <f>IF(OR(K661="",AND(P661&lt;&gt;"Transferencia",P661&lt;&gt;"Pago tarjeta")),"",IFERROR(IF(INDEX(ctaVinc,MATCH(K661,ctaNombre,0))&amp;""&lt;&gt;"",INDEX(ctaVinc,MATCH(K661,ctaNombre,0))&amp;"",K661),K661))</f>
        <v/>
      </c>
      <c r="AD661" s="52">
        <f>IF(AB661="","",IFERROR(INDEX(ctaTipo,MATCH(AB661,ctaNombre,0))&amp;"",""))</f>
        <v/>
      </c>
      <c r="AE661" s="52">
        <f>IF(AC661="","",IFERROR(INDEX(ctaTipo,MATCH(AC661,ctaNombre,0))&amp;"",""))</f>
        <v/>
      </c>
      <c r="AF661" s="53">
        <f>IF(OR(P661="",AB661=""),"",IF(OR(P661="Gasto",P661="Transferencia",P661="Pago tarjeta"),-1,1)*IF(IFERROR(INDEX(ctaMoneda,MATCH(AB661,ctaNombre,0))&amp;"","DOP")="USD",T661,S661))</f>
        <v/>
      </c>
      <c r="AG661" s="53">
        <f>IF(AC661="","",IF(IFERROR(INDEX(ctaMoneda,MATCH(AC661,ctaNombre,0))&amp;"","DOP")="USD",T661,S661))</f>
        <v/>
      </c>
      <c r="AH661" s="53">
        <f>IF(P661="","",IF(AND(AD661&lt;&gt;"",COUNTIFS(tcTipo,AD661,tcLiq,"Sí")&gt;0),IF(OR(P661="Gasto",P661="Transferencia",P661="Pago tarjeta"),-1,1)*S661,0)+IF(AND(AE661&lt;&gt;"",COUNTIFS(tcTipo,AE661,tcLiq,"Sí")&gt;0),S661,0))</f>
        <v/>
      </c>
      <c r="AI661" s="52">
        <f>IF(OR(L661="",P661=""),"",IF(COUNTIFS(L$6:L661,L661,P$6:P661,"?*")=1,MAX(AI$5:AI660)+1,""))</f>
        <v/>
      </c>
    </row>
    <row r="662">
      <c r="B662" s="47" t="n"/>
      <c r="C662" s="48" t="n"/>
      <c r="D662" s="48" t="n"/>
      <c r="E662" s="48" t="n"/>
      <c r="F662" s="48" t="n"/>
      <c r="G662" s="49" t="n"/>
      <c r="H662" s="48" t="n"/>
      <c r="I662" s="50" t="n"/>
      <c r="J662" s="48" t="n"/>
      <c r="K662" s="48" t="n"/>
      <c r="L662" s="48" t="n"/>
      <c r="M662" s="48" t="n"/>
      <c r="N662" s="48" t="n"/>
      <c r="O662" s="51">
        <f>IF(AND(B662="",G662="",C662="",D662="",J662=""),"",IF(B662="","⚠ Falta fecha",IF(G662="","⚠ Falta monto",IF(Q662="","⚠ Falta cuenta",IF(ISNA(MATCH(Q662,ctaNombre,0)),"⚠ Cuenta no registrada",IF(AND(OR(P662="Gasto",P662="Reembolso"),D662=""),"⚠ Falta categoría",IF(AND(D662&lt;&gt;"",E662&lt;&gt;"",ISNA(MATCH(D662&amp;"|"&amp;E662,catClave,0))),"⚠ Subcategoría no corresponde",IF(AND(OR(P662="Transferencia",P662="Pago tarjeta"),K662=""),"⚠ Falta cuenta destino",IF(AND(K662&lt;&gt;"",P662&lt;&gt;"Transferencia",P662&lt;&gt;"Pago tarjeta"),"⚠ Destino solo aplica a transferencias",IF(AND(K662&lt;&gt;"",K662=Q662),"⚠ Origen igual a destino",IF(AND(K662&lt;&gt;"",ISNA(MATCH(K662,ctaNombre,0))),"⚠ Destino no registrado",IF(AND(P662="Pago tarjeta",AE662&lt;&gt;"Tarjeta de crédito"),"⚠ El destino debe ser tarjeta de crédito",IF(AND(P662="Gasto",E662="Depósitos y retiros"),"⚠ Usa tipo Transferencia",IF(AND(P662="Resultado trading",AD662&lt;&gt;"Cuenta de trading"),"⚠ Usa una cuenta de trading",IF(AND(G662&lt;=0,P662&lt;&gt;"Ajuste",P662&lt;&gt;"Resultado trading"),"⚠ El monto debe ser positivo","✓")))))))))))))))</f>
        <v/>
      </c>
      <c r="P662" s="52">
        <f>IF(OR(B662="",G662=""),"",IF(C662="","Gasto",C662))</f>
        <v/>
      </c>
      <c r="Q662" s="52">
        <f>IF(P662="","",IF(J662&lt;&gt;"",J662,CuentaPred&amp;""))</f>
        <v/>
      </c>
      <c r="R662" s="52">
        <f>IF(P662="","",IF(ISNUMBER(I662),I662,TasaUSD))</f>
        <v/>
      </c>
      <c r="S662" s="53">
        <f>IF(P662="","",IF(H662="USD",G662*R662,G662))</f>
        <v/>
      </c>
      <c r="T662" s="53">
        <f>IF(P662="","",IF(H662="USD",G662,IF(R662&gt;0,G662/R662,0)))</f>
        <v/>
      </c>
      <c r="U662" s="53">
        <f>IF(P662="","",IF(P662="Gasto",S662,IF(P662="Reembolso",-S662,0)))</f>
        <v/>
      </c>
      <c r="V662" s="53">
        <f>IF(P662="","",IF(P662="Ingreso",S662,0))</f>
        <v/>
      </c>
      <c r="W662" s="53">
        <f>IF(P662="","",IF(P662="Resultado trading",S662,0))</f>
        <v/>
      </c>
      <c r="X662" s="52">
        <f>IF(OR(P662="Gasto",P662="Reembolso"),IF(M662&lt;&gt;"",M662,IFERROR(INDEX(catClasif,MATCH(D662&amp;"|"&amp;E662,catClave,0))&amp;"","Variable")),"")</f>
        <v/>
      </c>
      <c r="Y662" s="52">
        <f>IF(P662="","",IFERROR(INDEX(catGrupo,MATCH(D662&amp;"|"&amp;E662,catClave,0))&amp;"",""))</f>
        <v/>
      </c>
      <c r="Z662" s="52">
        <f>IF(P662="","",WEEKDAY(B662,2))</f>
        <v/>
      </c>
      <c r="AA662" s="52">
        <f>IF(P662="","",IF(AND(P662="Gasto",X662="Variable",D662&lt;&gt;catTrading,S662&gt;0,S662&lt;=Umbral),1,0))</f>
        <v/>
      </c>
      <c r="AB662" s="52">
        <f>IF(OR(P662="",Q662=""),"",IFERROR(IF(INDEX(ctaVinc,MATCH(Q662,ctaNombre,0))&amp;""&lt;&gt;"",INDEX(ctaVinc,MATCH(Q662,ctaNombre,0))&amp;"",Q662),Q662))</f>
        <v/>
      </c>
      <c r="AC662" s="52">
        <f>IF(OR(K662="",AND(P662&lt;&gt;"Transferencia",P662&lt;&gt;"Pago tarjeta")),"",IFERROR(IF(INDEX(ctaVinc,MATCH(K662,ctaNombre,0))&amp;""&lt;&gt;"",INDEX(ctaVinc,MATCH(K662,ctaNombre,0))&amp;"",K662),K662))</f>
        <v/>
      </c>
      <c r="AD662" s="52">
        <f>IF(AB662="","",IFERROR(INDEX(ctaTipo,MATCH(AB662,ctaNombre,0))&amp;"",""))</f>
        <v/>
      </c>
      <c r="AE662" s="52">
        <f>IF(AC662="","",IFERROR(INDEX(ctaTipo,MATCH(AC662,ctaNombre,0))&amp;"",""))</f>
        <v/>
      </c>
      <c r="AF662" s="53">
        <f>IF(OR(P662="",AB662=""),"",IF(OR(P662="Gasto",P662="Transferencia",P662="Pago tarjeta"),-1,1)*IF(IFERROR(INDEX(ctaMoneda,MATCH(AB662,ctaNombre,0))&amp;"","DOP")="USD",T662,S662))</f>
        <v/>
      </c>
      <c r="AG662" s="53">
        <f>IF(AC662="","",IF(IFERROR(INDEX(ctaMoneda,MATCH(AC662,ctaNombre,0))&amp;"","DOP")="USD",T662,S662))</f>
        <v/>
      </c>
      <c r="AH662" s="53">
        <f>IF(P662="","",IF(AND(AD662&lt;&gt;"",COUNTIFS(tcTipo,AD662,tcLiq,"Sí")&gt;0),IF(OR(P662="Gasto",P662="Transferencia",P662="Pago tarjeta"),-1,1)*S662,0)+IF(AND(AE662&lt;&gt;"",COUNTIFS(tcTipo,AE662,tcLiq,"Sí")&gt;0),S662,0))</f>
        <v/>
      </c>
      <c r="AI662" s="52">
        <f>IF(OR(L662="",P662=""),"",IF(COUNTIFS(L$6:L662,L662,P$6:P662,"?*")=1,MAX(AI$5:AI661)+1,""))</f>
        <v/>
      </c>
    </row>
    <row r="663">
      <c r="B663" s="47" t="n"/>
      <c r="C663" s="48" t="n"/>
      <c r="D663" s="48" t="n"/>
      <c r="E663" s="48" t="n"/>
      <c r="F663" s="48" t="n"/>
      <c r="G663" s="49" t="n"/>
      <c r="H663" s="48" t="n"/>
      <c r="I663" s="50" t="n"/>
      <c r="J663" s="48" t="n"/>
      <c r="K663" s="48" t="n"/>
      <c r="L663" s="48" t="n"/>
      <c r="M663" s="48" t="n"/>
      <c r="N663" s="48" t="n"/>
      <c r="O663" s="51">
        <f>IF(AND(B663="",G663="",C663="",D663="",J663=""),"",IF(B663="","⚠ Falta fecha",IF(G663="","⚠ Falta monto",IF(Q663="","⚠ Falta cuenta",IF(ISNA(MATCH(Q663,ctaNombre,0)),"⚠ Cuenta no registrada",IF(AND(OR(P663="Gasto",P663="Reembolso"),D663=""),"⚠ Falta categoría",IF(AND(D663&lt;&gt;"",E663&lt;&gt;"",ISNA(MATCH(D663&amp;"|"&amp;E663,catClave,0))),"⚠ Subcategoría no corresponde",IF(AND(OR(P663="Transferencia",P663="Pago tarjeta"),K663=""),"⚠ Falta cuenta destino",IF(AND(K663&lt;&gt;"",P663&lt;&gt;"Transferencia",P663&lt;&gt;"Pago tarjeta"),"⚠ Destino solo aplica a transferencias",IF(AND(K663&lt;&gt;"",K663=Q663),"⚠ Origen igual a destino",IF(AND(K663&lt;&gt;"",ISNA(MATCH(K663,ctaNombre,0))),"⚠ Destino no registrado",IF(AND(P663="Pago tarjeta",AE663&lt;&gt;"Tarjeta de crédito"),"⚠ El destino debe ser tarjeta de crédito",IF(AND(P663="Gasto",E663="Depósitos y retiros"),"⚠ Usa tipo Transferencia",IF(AND(P663="Resultado trading",AD663&lt;&gt;"Cuenta de trading"),"⚠ Usa una cuenta de trading",IF(AND(G663&lt;=0,P663&lt;&gt;"Ajuste",P663&lt;&gt;"Resultado trading"),"⚠ El monto debe ser positivo","✓")))))))))))))))</f>
        <v/>
      </c>
      <c r="P663" s="52">
        <f>IF(OR(B663="",G663=""),"",IF(C663="","Gasto",C663))</f>
        <v/>
      </c>
      <c r="Q663" s="52">
        <f>IF(P663="","",IF(J663&lt;&gt;"",J663,CuentaPred&amp;""))</f>
        <v/>
      </c>
      <c r="R663" s="52">
        <f>IF(P663="","",IF(ISNUMBER(I663),I663,TasaUSD))</f>
        <v/>
      </c>
      <c r="S663" s="53">
        <f>IF(P663="","",IF(H663="USD",G663*R663,G663))</f>
        <v/>
      </c>
      <c r="T663" s="53">
        <f>IF(P663="","",IF(H663="USD",G663,IF(R663&gt;0,G663/R663,0)))</f>
        <v/>
      </c>
      <c r="U663" s="53">
        <f>IF(P663="","",IF(P663="Gasto",S663,IF(P663="Reembolso",-S663,0)))</f>
        <v/>
      </c>
      <c r="V663" s="53">
        <f>IF(P663="","",IF(P663="Ingreso",S663,0))</f>
        <v/>
      </c>
      <c r="W663" s="53">
        <f>IF(P663="","",IF(P663="Resultado trading",S663,0))</f>
        <v/>
      </c>
      <c r="X663" s="52">
        <f>IF(OR(P663="Gasto",P663="Reembolso"),IF(M663&lt;&gt;"",M663,IFERROR(INDEX(catClasif,MATCH(D663&amp;"|"&amp;E663,catClave,0))&amp;"","Variable")),"")</f>
        <v/>
      </c>
      <c r="Y663" s="52">
        <f>IF(P663="","",IFERROR(INDEX(catGrupo,MATCH(D663&amp;"|"&amp;E663,catClave,0))&amp;"",""))</f>
        <v/>
      </c>
      <c r="Z663" s="52">
        <f>IF(P663="","",WEEKDAY(B663,2))</f>
        <v/>
      </c>
      <c r="AA663" s="52">
        <f>IF(P663="","",IF(AND(P663="Gasto",X663="Variable",D663&lt;&gt;catTrading,S663&gt;0,S663&lt;=Umbral),1,0))</f>
        <v/>
      </c>
      <c r="AB663" s="52">
        <f>IF(OR(P663="",Q663=""),"",IFERROR(IF(INDEX(ctaVinc,MATCH(Q663,ctaNombre,0))&amp;""&lt;&gt;"",INDEX(ctaVinc,MATCH(Q663,ctaNombre,0))&amp;"",Q663),Q663))</f>
        <v/>
      </c>
      <c r="AC663" s="52">
        <f>IF(OR(K663="",AND(P663&lt;&gt;"Transferencia",P663&lt;&gt;"Pago tarjeta")),"",IFERROR(IF(INDEX(ctaVinc,MATCH(K663,ctaNombre,0))&amp;""&lt;&gt;"",INDEX(ctaVinc,MATCH(K663,ctaNombre,0))&amp;"",K663),K663))</f>
        <v/>
      </c>
      <c r="AD663" s="52">
        <f>IF(AB663="","",IFERROR(INDEX(ctaTipo,MATCH(AB663,ctaNombre,0))&amp;"",""))</f>
        <v/>
      </c>
      <c r="AE663" s="52">
        <f>IF(AC663="","",IFERROR(INDEX(ctaTipo,MATCH(AC663,ctaNombre,0))&amp;"",""))</f>
        <v/>
      </c>
      <c r="AF663" s="53">
        <f>IF(OR(P663="",AB663=""),"",IF(OR(P663="Gasto",P663="Transferencia",P663="Pago tarjeta"),-1,1)*IF(IFERROR(INDEX(ctaMoneda,MATCH(AB663,ctaNombre,0))&amp;"","DOP")="USD",T663,S663))</f>
        <v/>
      </c>
      <c r="AG663" s="53">
        <f>IF(AC663="","",IF(IFERROR(INDEX(ctaMoneda,MATCH(AC663,ctaNombre,0))&amp;"","DOP")="USD",T663,S663))</f>
        <v/>
      </c>
      <c r="AH663" s="53">
        <f>IF(P663="","",IF(AND(AD663&lt;&gt;"",COUNTIFS(tcTipo,AD663,tcLiq,"Sí")&gt;0),IF(OR(P663="Gasto",P663="Transferencia",P663="Pago tarjeta"),-1,1)*S663,0)+IF(AND(AE663&lt;&gt;"",COUNTIFS(tcTipo,AE663,tcLiq,"Sí")&gt;0),S663,0))</f>
        <v/>
      </c>
      <c r="AI663" s="52">
        <f>IF(OR(L663="",P663=""),"",IF(COUNTIFS(L$6:L663,L663,P$6:P663,"?*")=1,MAX(AI$5:AI662)+1,""))</f>
        <v/>
      </c>
    </row>
    <row r="664">
      <c r="B664" s="47" t="n"/>
      <c r="C664" s="48" t="n"/>
      <c r="D664" s="48" t="n"/>
      <c r="E664" s="48" t="n"/>
      <c r="F664" s="48" t="n"/>
      <c r="G664" s="49" t="n"/>
      <c r="H664" s="48" t="n"/>
      <c r="I664" s="50" t="n"/>
      <c r="J664" s="48" t="n"/>
      <c r="K664" s="48" t="n"/>
      <c r="L664" s="48" t="n"/>
      <c r="M664" s="48" t="n"/>
      <c r="N664" s="48" t="n"/>
      <c r="O664" s="51">
        <f>IF(AND(B664="",G664="",C664="",D664="",J664=""),"",IF(B664="","⚠ Falta fecha",IF(G664="","⚠ Falta monto",IF(Q664="","⚠ Falta cuenta",IF(ISNA(MATCH(Q664,ctaNombre,0)),"⚠ Cuenta no registrada",IF(AND(OR(P664="Gasto",P664="Reembolso"),D664=""),"⚠ Falta categoría",IF(AND(D664&lt;&gt;"",E664&lt;&gt;"",ISNA(MATCH(D664&amp;"|"&amp;E664,catClave,0))),"⚠ Subcategoría no corresponde",IF(AND(OR(P664="Transferencia",P664="Pago tarjeta"),K664=""),"⚠ Falta cuenta destino",IF(AND(K664&lt;&gt;"",P664&lt;&gt;"Transferencia",P664&lt;&gt;"Pago tarjeta"),"⚠ Destino solo aplica a transferencias",IF(AND(K664&lt;&gt;"",K664=Q664),"⚠ Origen igual a destino",IF(AND(K664&lt;&gt;"",ISNA(MATCH(K664,ctaNombre,0))),"⚠ Destino no registrado",IF(AND(P664="Pago tarjeta",AE664&lt;&gt;"Tarjeta de crédito"),"⚠ El destino debe ser tarjeta de crédito",IF(AND(P664="Gasto",E664="Depósitos y retiros"),"⚠ Usa tipo Transferencia",IF(AND(P664="Resultado trading",AD664&lt;&gt;"Cuenta de trading"),"⚠ Usa una cuenta de trading",IF(AND(G664&lt;=0,P664&lt;&gt;"Ajuste",P664&lt;&gt;"Resultado trading"),"⚠ El monto debe ser positivo","✓")))))))))))))))</f>
        <v/>
      </c>
      <c r="P664" s="52">
        <f>IF(OR(B664="",G664=""),"",IF(C664="","Gasto",C664))</f>
        <v/>
      </c>
      <c r="Q664" s="52">
        <f>IF(P664="","",IF(J664&lt;&gt;"",J664,CuentaPred&amp;""))</f>
        <v/>
      </c>
      <c r="R664" s="52">
        <f>IF(P664="","",IF(ISNUMBER(I664),I664,TasaUSD))</f>
        <v/>
      </c>
      <c r="S664" s="53">
        <f>IF(P664="","",IF(H664="USD",G664*R664,G664))</f>
        <v/>
      </c>
      <c r="T664" s="53">
        <f>IF(P664="","",IF(H664="USD",G664,IF(R664&gt;0,G664/R664,0)))</f>
        <v/>
      </c>
      <c r="U664" s="53">
        <f>IF(P664="","",IF(P664="Gasto",S664,IF(P664="Reembolso",-S664,0)))</f>
        <v/>
      </c>
      <c r="V664" s="53">
        <f>IF(P664="","",IF(P664="Ingreso",S664,0))</f>
        <v/>
      </c>
      <c r="W664" s="53">
        <f>IF(P664="","",IF(P664="Resultado trading",S664,0))</f>
        <v/>
      </c>
      <c r="X664" s="52">
        <f>IF(OR(P664="Gasto",P664="Reembolso"),IF(M664&lt;&gt;"",M664,IFERROR(INDEX(catClasif,MATCH(D664&amp;"|"&amp;E664,catClave,0))&amp;"","Variable")),"")</f>
        <v/>
      </c>
      <c r="Y664" s="52">
        <f>IF(P664="","",IFERROR(INDEX(catGrupo,MATCH(D664&amp;"|"&amp;E664,catClave,0))&amp;"",""))</f>
        <v/>
      </c>
      <c r="Z664" s="52">
        <f>IF(P664="","",WEEKDAY(B664,2))</f>
        <v/>
      </c>
      <c r="AA664" s="52">
        <f>IF(P664="","",IF(AND(P664="Gasto",X664="Variable",D664&lt;&gt;catTrading,S664&gt;0,S664&lt;=Umbral),1,0))</f>
        <v/>
      </c>
      <c r="AB664" s="52">
        <f>IF(OR(P664="",Q664=""),"",IFERROR(IF(INDEX(ctaVinc,MATCH(Q664,ctaNombre,0))&amp;""&lt;&gt;"",INDEX(ctaVinc,MATCH(Q664,ctaNombre,0))&amp;"",Q664),Q664))</f>
        <v/>
      </c>
      <c r="AC664" s="52">
        <f>IF(OR(K664="",AND(P664&lt;&gt;"Transferencia",P664&lt;&gt;"Pago tarjeta")),"",IFERROR(IF(INDEX(ctaVinc,MATCH(K664,ctaNombre,0))&amp;""&lt;&gt;"",INDEX(ctaVinc,MATCH(K664,ctaNombre,0))&amp;"",K664),K664))</f>
        <v/>
      </c>
      <c r="AD664" s="52">
        <f>IF(AB664="","",IFERROR(INDEX(ctaTipo,MATCH(AB664,ctaNombre,0))&amp;"",""))</f>
        <v/>
      </c>
      <c r="AE664" s="52">
        <f>IF(AC664="","",IFERROR(INDEX(ctaTipo,MATCH(AC664,ctaNombre,0))&amp;"",""))</f>
        <v/>
      </c>
      <c r="AF664" s="53">
        <f>IF(OR(P664="",AB664=""),"",IF(OR(P664="Gasto",P664="Transferencia",P664="Pago tarjeta"),-1,1)*IF(IFERROR(INDEX(ctaMoneda,MATCH(AB664,ctaNombre,0))&amp;"","DOP")="USD",T664,S664))</f>
        <v/>
      </c>
      <c r="AG664" s="53">
        <f>IF(AC664="","",IF(IFERROR(INDEX(ctaMoneda,MATCH(AC664,ctaNombre,0))&amp;"","DOP")="USD",T664,S664))</f>
        <v/>
      </c>
      <c r="AH664" s="53">
        <f>IF(P664="","",IF(AND(AD664&lt;&gt;"",COUNTIFS(tcTipo,AD664,tcLiq,"Sí")&gt;0),IF(OR(P664="Gasto",P664="Transferencia",P664="Pago tarjeta"),-1,1)*S664,0)+IF(AND(AE664&lt;&gt;"",COUNTIFS(tcTipo,AE664,tcLiq,"Sí")&gt;0),S664,0))</f>
        <v/>
      </c>
      <c r="AI664" s="52">
        <f>IF(OR(L664="",P664=""),"",IF(COUNTIFS(L$6:L664,L664,P$6:P664,"?*")=1,MAX(AI$5:AI663)+1,""))</f>
        <v/>
      </c>
    </row>
    <row r="665">
      <c r="B665" s="47" t="n"/>
      <c r="C665" s="48" t="n"/>
      <c r="D665" s="48" t="n"/>
      <c r="E665" s="48" t="n"/>
      <c r="F665" s="48" t="n"/>
      <c r="G665" s="49" t="n"/>
      <c r="H665" s="48" t="n"/>
      <c r="I665" s="50" t="n"/>
      <c r="J665" s="48" t="n"/>
      <c r="K665" s="48" t="n"/>
      <c r="L665" s="48" t="n"/>
      <c r="M665" s="48" t="n"/>
      <c r="N665" s="48" t="n"/>
      <c r="O665" s="51">
        <f>IF(AND(B665="",G665="",C665="",D665="",J665=""),"",IF(B665="","⚠ Falta fecha",IF(G665="","⚠ Falta monto",IF(Q665="","⚠ Falta cuenta",IF(ISNA(MATCH(Q665,ctaNombre,0)),"⚠ Cuenta no registrada",IF(AND(OR(P665="Gasto",P665="Reembolso"),D665=""),"⚠ Falta categoría",IF(AND(D665&lt;&gt;"",E665&lt;&gt;"",ISNA(MATCH(D665&amp;"|"&amp;E665,catClave,0))),"⚠ Subcategoría no corresponde",IF(AND(OR(P665="Transferencia",P665="Pago tarjeta"),K665=""),"⚠ Falta cuenta destino",IF(AND(K665&lt;&gt;"",P665&lt;&gt;"Transferencia",P665&lt;&gt;"Pago tarjeta"),"⚠ Destino solo aplica a transferencias",IF(AND(K665&lt;&gt;"",K665=Q665),"⚠ Origen igual a destino",IF(AND(K665&lt;&gt;"",ISNA(MATCH(K665,ctaNombre,0))),"⚠ Destino no registrado",IF(AND(P665="Pago tarjeta",AE665&lt;&gt;"Tarjeta de crédito"),"⚠ El destino debe ser tarjeta de crédito",IF(AND(P665="Gasto",E665="Depósitos y retiros"),"⚠ Usa tipo Transferencia",IF(AND(P665="Resultado trading",AD665&lt;&gt;"Cuenta de trading"),"⚠ Usa una cuenta de trading",IF(AND(G665&lt;=0,P665&lt;&gt;"Ajuste",P665&lt;&gt;"Resultado trading"),"⚠ El monto debe ser positivo","✓")))))))))))))))</f>
        <v/>
      </c>
      <c r="P665" s="52">
        <f>IF(OR(B665="",G665=""),"",IF(C665="","Gasto",C665))</f>
        <v/>
      </c>
      <c r="Q665" s="52">
        <f>IF(P665="","",IF(J665&lt;&gt;"",J665,CuentaPred&amp;""))</f>
        <v/>
      </c>
      <c r="R665" s="52">
        <f>IF(P665="","",IF(ISNUMBER(I665),I665,TasaUSD))</f>
        <v/>
      </c>
      <c r="S665" s="53">
        <f>IF(P665="","",IF(H665="USD",G665*R665,G665))</f>
        <v/>
      </c>
      <c r="T665" s="53">
        <f>IF(P665="","",IF(H665="USD",G665,IF(R665&gt;0,G665/R665,0)))</f>
        <v/>
      </c>
      <c r="U665" s="53">
        <f>IF(P665="","",IF(P665="Gasto",S665,IF(P665="Reembolso",-S665,0)))</f>
        <v/>
      </c>
      <c r="V665" s="53">
        <f>IF(P665="","",IF(P665="Ingreso",S665,0))</f>
        <v/>
      </c>
      <c r="W665" s="53">
        <f>IF(P665="","",IF(P665="Resultado trading",S665,0))</f>
        <v/>
      </c>
      <c r="X665" s="52">
        <f>IF(OR(P665="Gasto",P665="Reembolso"),IF(M665&lt;&gt;"",M665,IFERROR(INDEX(catClasif,MATCH(D665&amp;"|"&amp;E665,catClave,0))&amp;"","Variable")),"")</f>
        <v/>
      </c>
      <c r="Y665" s="52">
        <f>IF(P665="","",IFERROR(INDEX(catGrupo,MATCH(D665&amp;"|"&amp;E665,catClave,0))&amp;"",""))</f>
        <v/>
      </c>
      <c r="Z665" s="52">
        <f>IF(P665="","",WEEKDAY(B665,2))</f>
        <v/>
      </c>
      <c r="AA665" s="52">
        <f>IF(P665="","",IF(AND(P665="Gasto",X665="Variable",D665&lt;&gt;catTrading,S665&gt;0,S665&lt;=Umbral),1,0))</f>
        <v/>
      </c>
      <c r="AB665" s="52">
        <f>IF(OR(P665="",Q665=""),"",IFERROR(IF(INDEX(ctaVinc,MATCH(Q665,ctaNombre,0))&amp;""&lt;&gt;"",INDEX(ctaVinc,MATCH(Q665,ctaNombre,0))&amp;"",Q665),Q665))</f>
        <v/>
      </c>
      <c r="AC665" s="52">
        <f>IF(OR(K665="",AND(P665&lt;&gt;"Transferencia",P665&lt;&gt;"Pago tarjeta")),"",IFERROR(IF(INDEX(ctaVinc,MATCH(K665,ctaNombre,0))&amp;""&lt;&gt;"",INDEX(ctaVinc,MATCH(K665,ctaNombre,0))&amp;"",K665),K665))</f>
        <v/>
      </c>
      <c r="AD665" s="52">
        <f>IF(AB665="","",IFERROR(INDEX(ctaTipo,MATCH(AB665,ctaNombre,0))&amp;"",""))</f>
        <v/>
      </c>
      <c r="AE665" s="52">
        <f>IF(AC665="","",IFERROR(INDEX(ctaTipo,MATCH(AC665,ctaNombre,0))&amp;"",""))</f>
        <v/>
      </c>
      <c r="AF665" s="53">
        <f>IF(OR(P665="",AB665=""),"",IF(OR(P665="Gasto",P665="Transferencia",P665="Pago tarjeta"),-1,1)*IF(IFERROR(INDEX(ctaMoneda,MATCH(AB665,ctaNombre,0))&amp;"","DOP")="USD",T665,S665))</f>
        <v/>
      </c>
      <c r="AG665" s="53">
        <f>IF(AC665="","",IF(IFERROR(INDEX(ctaMoneda,MATCH(AC665,ctaNombre,0))&amp;"","DOP")="USD",T665,S665))</f>
        <v/>
      </c>
      <c r="AH665" s="53">
        <f>IF(P665="","",IF(AND(AD665&lt;&gt;"",COUNTIFS(tcTipo,AD665,tcLiq,"Sí")&gt;0),IF(OR(P665="Gasto",P665="Transferencia",P665="Pago tarjeta"),-1,1)*S665,0)+IF(AND(AE665&lt;&gt;"",COUNTIFS(tcTipo,AE665,tcLiq,"Sí")&gt;0),S665,0))</f>
        <v/>
      </c>
      <c r="AI665" s="52">
        <f>IF(OR(L665="",P665=""),"",IF(COUNTIFS(L$6:L665,L665,P$6:P665,"?*")=1,MAX(AI$5:AI664)+1,""))</f>
        <v/>
      </c>
    </row>
    <row r="666">
      <c r="B666" s="47" t="n"/>
      <c r="C666" s="48" t="n"/>
      <c r="D666" s="48" t="n"/>
      <c r="E666" s="48" t="n"/>
      <c r="F666" s="48" t="n"/>
      <c r="G666" s="49" t="n"/>
      <c r="H666" s="48" t="n"/>
      <c r="I666" s="50" t="n"/>
      <c r="J666" s="48" t="n"/>
      <c r="K666" s="48" t="n"/>
      <c r="L666" s="48" t="n"/>
      <c r="M666" s="48" t="n"/>
      <c r="N666" s="48" t="n"/>
      <c r="O666" s="51">
        <f>IF(AND(B666="",G666="",C666="",D666="",J666=""),"",IF(B666="","⚠ Falta fecha",IF(G666="","⚠ Falta monto",IF(Q666="","⚠ Falta cuenta",IF(ISNA(MATCH(Q666,ctaNombre,0)),"⚠ Cuenta no registrada",IF(AND(OR(P666="Gasto",P666="Reembolso"),D666=""),"⚠ Falta categoría",IF(AND(D666&lt;&gt;"",E666&lt;&gt;"",ISNA(MATCH(D666&amp;"|"&amp;E666,catClave,0))),"⚠ Subcategoría no corresponde",IF(AND(OR(P666="Transferencia",P666="Pago tarjeta"),K666=""),"⚠ Falta cuenta destino",IF(AND(K666&lt;&gt;"",P666&lt;&gt;"Transferencia",P666&lt;&gt;"Pago tarjeta"),"⚠ Destino solo aplica a transferencias",IF(AND(K666&lt;&gt;"",K666=Q666),"⚠ Origen igual a destino",IF(AND(K666&lt;&gt;"",ISNA(MATCH(K666,ctaNombre,0))),"⚠ Destino no registrado",IF(AND(P666="Pago tarjeta",AE666&lt;&gt;"Tarjeta de crédito"),"⚠ El destino debe ser tarjeta de crédito",IF(AND(P666="Gasto",E666="Depósitos y retiros"),"⚠ Usa tipo Transferencia",IF(AND(P666="Resultado trading",AD666&lt;&gt;"Cuenta de trading"),"⚠ Usa una cuenta de trading",IF(AND(G666&lt;=0,P666&lt;&gt;"Ajuste",P666&lt;&gt;"Resultado trading"),"⚠ El monto debe ser positivo","✓")))))))))))))))</f>
        <v/>
      </c>
      <c r="P666" s="52">
        <f>IF(OR(B666="",G666=""),"",IF(C666="","Gasto",C666))</f>
        <v/>
      </c>
      <c r="Q666" s="52">
        <f>IF(P666="","",IF(J666&lt;&gt;"",J666,CuentaPred&amp;""))</f>
        <v/>
      </c>
      <c r="R666" s="52">
        <f>IF(P666="","",IF(ISNUMBER(I666),I666,TasaUSD))</f>
        <v/>
      </c>
      <c r="S666" s="53">
        <f>IF(P666="","",IF(H666="USD",G666*R666,G666))</f>
        <v/>
      </c>
      <c r="T666" s="53">
        <f>IF(P666="","",IF(H666="USD",G666,IF(R666&gt;0,G666/R666,0)))</f>
        <v/>
      </c>
      <c r="U666" s="53">
        <f>IF(P666="","",IF(P666="Gasto",S666,IF(P666="Reembolso",-S666,0)))</f>
        <v/>
      </c>
      <c r="V666" s="53">
        <f>IF(P666="","",IF(P666="Ingreso",S666,0))</f>
        <v/>
      </c>
      <c r="W666" s="53">
        <f>IF(P666="","",IF(P666="Resultado trading",S666,0))</f>
        <v/>
      </c>
      <c r="X666" s="52">
        <f>IF(OR(P666="Gasto",P666="Reembolso"),IF(M666&lt;&gt;"",M666,IFERROR(INDEX(catClasif,MATCH(D666&amp;"|"&amp;E666,catClave,0))&amp;"","Variable")),"")</f>
        <v/>
      </c>
      <c r="Y666" s="52">
        <f>IF(P666="","",IFERROR(INDEX(catGrupo,MATCH(D666&amp;"|"&amp;E666,catClave,0))&amp;"",""))</f>
        <v/>
      </c>
      <c r="Z666" s="52">
        <f>IF(P666="","",WEEKDAY(B666,2))</f>
        <v/>
      </c>
      <c r="AA666" s="52">
        <f>IF(P666="","",IF(AND(P666="Gasto",X666="Variable",D666&lt;&gt;catTrading,S666&gt;0,S666&lt;=Umbral),1,0))</f>
        <v/>
      </c>
      <c r="AB666" s="52">
        <f>IF(OR(P666="",Q666=""),"",IFERROR(IF(INDEX(ctaVinc,MATCH(Q666,ctaNombre,0))&amp;""&lt;&gt;"",INDEX(ctaVinc,MATCH(Q666,ctaNombre,0))&amp;"",Q666),Q666))</f>
        <v/>
      </c>
      <c r="AC666" s="52">
        <f>IF(OR(K666="",AND(P666&lt;&gt;"Transferencia",P666&lt;&gt;"Pago tarjeta")),"",IFERROR(IF(INDEX(ctaVinc,MATCH(K666,ctaNombre,0))&amp;""&lt;&gt;"",INDEX(ctaVinc,MATCH(K666,ctaNombre,0))&amp;"",K666),K666))</f>
        <v/>
      </c>
      <c r="AD666" s="52">
        <f>IF(AB666="","",IFERROR(INDEX(ctaTipo,MATCH(AB666,ctaNombre,0))&amp;"",""))</f>
        <v/>
      </c>
      <c r="AE666" s="52">
        <f>IF(AC666="","",IFERROR(INDEX(ctaTipo,MATCH(AC666,ctaNombre,0))&amp;"",""))</f>
        <v/>
      </c>
      <c r="AF666" s="53">
        <f>IF(OR(P666="",AB666=""),"",IF(OR(P666="Gasto",P666="Transferencia",P666="Pago tarjeta"),-1,1)*IF(IFERROR(INDEX(ctaMoneda,MATCH(AB666,ctaNombre,0))&amp;"","DOP")="USD",T666,S666))</f>
        <v/>
      </c>
      <c r="AG666" s="53">
        <f>IF(AC666="","",IF(IFERROR(INDEX(ctaMoneda,MATCH(AC666,ctaNombre,0))&amp;"","DOP")="USD",T666,S666))</f>
        <v/>
      </c>
      <c r="AH666" s="53">
        <f>IF(P666="","",IF(AND(AD666&lt;&gt;"",COUNTIFS(tcTipo,AD666,tcLiq,"Sí")&gt;0),IF(OR(P666="Gasto",P666="Transferencia",P666="Pago tarjeta"),-1,1)*S666,0)+IF(AND(AE666&lt;&gt;"",COUNTIFS(tcTipo,AE666,tcLiq,"Sí")&gt;0),S666,0))</f>
        <v/>
      </c>
      <c r="AI666" s="52">
        <f>IF(OR(L666="",P666=""),"",IF(COUNTIFS(L$6:L666,L666,P$6:P666,"?*")=1,MAX(AI$5:AI665)+1,""))</f>
        <v/>
      </c>
    </row>
    <row r="667">
      <c r="B667" s="47" t="n"/>
      <c r="C667" s="48" t="n"/>
      <c r="D667" s="48" t="n"/>
      <c r="E667" s="48" t="n"/>
      <c r="F667" s="48" t="n"/>
      <c r="G667" s="49" t="n"/>
      <c r="H667" s="48" t="n"/>
      <c r="I667" s="50" t="n"/>
      <c r="J667" s="48" t="n"/>
      <c r="K667" s="48" t="n"/>
      <c r="L667" s="48" t="n"/>
      <c r="M667" s="48" t="n"/>
      <c r="N667" s="48" t="n"/>
      <c r="O667" s="51">
        <f>IF(AND(B667="",G667="",C667="",D667="",J667=""),"",IF(B667="","⚠ Falta fecha",IF(G667="","⚠ Falta monto",IF(Q667="","⚠ Falta cuenta",IF(ISNA(MATCH(Q667,ctaNombre,0)),"⚠ Cuenta no registrada",IF(AND(OR(P667="Gasto",P667="Reembolso"),D667=""),"⚠ Falta categoría",IF(AND(D667&lt;&gt;"",E667&lt;&gt;"",ISNA(MATCH(D667&amp;"|"&amp;E667,catClave,0))),"⚠ Subcategoría no corresponde",IF(AND(OR(P667="Transferencia",P667="Pago tarjeta"),K667=""),"⚠ Falta cuenta destino",IF(AND(K667&lt;&gt;"",P667&lt;&gt;"Transferencia",P667&lt;&gt;"Pago tarjeta"),"⚠ Destino solo aplica a transferencias",IF(AND(K667&lt;&gt;"",K667=Q667),"⚠ Origen igual a destino",IF(AND(K667&lt;&gt;"",ISNA(MATCH(K667,ctaNombre,0))),"⚠ Destino no registrado",IF(AND(P667="Pago tarjeta",AE667&lt;&gt;"Tarjeta de crédito"),"⚠ El destino debe ser tarjeta de crédito",IF(AND(P667="Gasto",E667="Depósitos y retiros"),"⚠ Usa tipo Transferencia",IF(AND(P667="Resultado trading",AD667&lt;&gt;"Cuenta de trading"),"⚠ Usa una cuenta de trading",IF(AND(G667&lt;=0,P667&lt;&gt;"Ajuste",P667&lt;&gt;"Resultado trading"),"⚠ El monto debe ser positivo","✓")))))))))))))))</f>
        <v/>
      </c>
      <c r="P667" s="52">
        <f>IF(OR(B667="",G667=""),"",IF(C667="","Gasto",C667))</f>
        <v/>
      </c>
      <c r="Q667" s="52">
        <f>IF(P667="","",IF(J667&lt;&gt;"",J667,CuentaPred&amp;""))</f>
        <v/>
      </c>
      <c r="R667" s="52">
        <f>IF(P667="","",IF(ISNUMBER(I667),I667,TasaUSD))</f>
        <v/>
      </c>
      <c r="S667" s="53">
        <f>IF(P667="","",IF(H667="USD",G667*R667,G667))</f>
        <v/>
      </c>
      <c r="T667" s="53">
        <f>IF(P667="","",IF(H667="USD",G667,IF(R667&gt;0,G667/R667,0)))</f>
        <v/>
      </c>
      <c r="U667" s="53">
        <f>IF(P667="","",IF(P667="Gasto",S667,IF(P667="Reembolso",-S667,0)))</f>
        <v/>
      </c>
      <c r="V667" s="53">
        <f>IF(P667="","",IF(P667="Ingreso",S667,0))</f>
        <v/>
      </c>
      <c r="W667" s="53">
        <f>IF(P667="","",IF(P667="Resultado trading",S667,0))</f>
        <v/>
      </c>
      <c r="X667" s="52">
        <f>IF(OR(P667="Gasto",P667="Reembolso"),IF(M667&lt;&gt;"",M667,IFERROR(INDEX(catClasif,MATCH(D667&amp;"|"&amp;E667,catClave,0))&amp;"","Variable")),"")</f>
        <v/>
      </c>
      <c r="Y667" s="52">
        <f>IF(P667="","",IFERROR(INDEX(catGrupo,MATCH(D667&amp;"|"&amp;E667,catClave,0))&amp;"",""))</f>
        <v/>
      </c>
      <c r="Z667" s="52">
        <f>IF(P667="","",WEEKDAY(B667,2))</f>
        <v/>
      </c>
      <c r="AA667" s="52">
        <f>IF(P667="","",IF(AND(P667="Gasto",X667="Variable",D667&lt;&gt;catTrading,S667&gt;0,S667&lt;=Umbral),1,0))</f>
        <v/>
      </c>
      <c r="AB667" s="52">
        <f>IF(OR(P667="",Q667=""),"",IFERROR(IF(INDEX(ctaVinc,MATCH(Q667,ctaNombre,0))&amp;""&lt;&gt;"",INDEX(ctaVinc,MATCH(Q667,ctaNombre,0))&amp;"",Q667),Q667))</f>
        <v/>
      </c>
      <c r="AC667" s="52">
        <f>IF(OR(K667="",AND(P667&lt;&gt;"Transferencia",P667&lt;&gt;"Pago tarjeta")),"",IFERROR(IF(INDEX(ctaVinc,MATCH(K667,ctaNombre,0))&amp;""&lt;&gt;"",INDEX(ctaVinc,MATCH(K667,ctaNombre,0))&amp;"",K667),K667))</f>
        <v/>
      </c>
      <c r="AD667" s="52">
        <f>IF(AB667="","",IFERROR(INDEX(ctaTipo,MATCH(AB667,ctaNombre,0))&amp;"",""))</f>
        <v/>
      </c>
      <c r="AE667" s="52">
        <f>IF(AC667="","",IFERROR(INDEX(ctaTipo,MATCH(AC667,ctaNombre,0))&amp;"",""))</f>
        <v/>
      </c>
      <c r="AF667" s="53">
        <f>IF(OR(P667="",AB667=""),"",IF(OR(P667="Gasto",P667="Transferencia",P667="Pago tarjeta"),-1,1)*IF(IFERROR(INDEX(ctaMoneda,MATCH(AB667,ctaNombre,0))&amp;"","DOP")="USD",T667,S667))</f>
        <v/>
      </c>
      <c r="AG667" s="53">
        <f>IF(AC667="","",IF(IFERROR(INDEX(ctaMoneda,MATCH(AC667,ctaNombre,0))&amp;"","DOP")="USD",T667,S667))</f>
        <v/>
      </c>
      <c r="AH667" s="53">
        <f>IF(P667="","",IF(AND(AD667&lt;&gt;"",COUNTIFS(tcTipo,AD667,tcLiq,"Sí")&gt;0),IF(OR(P667="Gasto",P667="Transferencia",P667="Pago tarjeta"),-1,1)*S667,0)+IF(AND(AE667&lt;&gt;"",COUNTIFS(tcTipo,AE667,tcLiq,"Sí")&gt;0),S667,0))</f>
        <v/>
      </c>
      <c r="AI667" s="52">
        <f>IF(OR(L667="",P667=""),"",IF(COUNTIFS(L$6:L667,L667,P$6:P667,"?*")=1,MAX(AI$5:AI666)+1,""))</f>
        <v/>
      </c>
    </row>
    <row r="668">
      <c r="B668" s="47" t="n"/>
      <c r="C668" s="48" t="n"/>
      <c r="D668" s="48" t="n"/>
      <c r="E668" s="48" t="n"/>
      <c r="F668" s="48" t="n"/>
      <c r="G668" s="49" t="n"/>
      <c r="H668" s="48" t="n"/>
      <c r="I668" s="50" t="n"/>
      <c r="J668" s="48" t="n"/>
      <c r="K668" s="48" t="n"/>
      <c r="L668" s="48" t="n"/>
      <c r="M668" s="48" t="n"/>
      <c r="N668" s="48" t="n"/>
      <c r="O668" s="51">
        <f>IF(AND(B668="",G668="",C668="",D668="",J668=""),"",IF(B668="","⚠ Falta fecha",IF(G668="","⚠ Falta monto",IF(Q668="","⚠ Falta cuenta",IF(ISNA(MATCH(Q668,ctaNombre,0)),"⚠ Cuenta no registrada",IF(AND(OR(P668="Gasto",P668="Reembolso"),D668=""),"⚠ Falta categoría",IF(AND(D668&lt;&gt;"",E668&lt;&gt;"",ISNA(MATCH(D668&amp;"|"&amp;E668,catClave,0))),"⚠ Subcategoría no corresponde",IF(AND(OR(P668="Transferencia",P668="Pago tarjeta"),K668=""),"⚠ Falta cuenta destino",IF(AND(K668&lt;&gt;"",P668&lt;&gt;"Transferencia",P668&lt;&gt;"Pago tarjeta"),"⚠ Destino solo aplica a transferencias",IF(AND(K668&lt;&gt;"",K668=Q668),"⚠ Origen igual a destino",IF(AND(K668&lt;&gt;"",ISNA(MATCH(K668,ctaNombre,0))),"⚠ Destino no registrado",IF(AND(P668="Pago tarjeta",AE668&lt;&gt;"Tarjeta de crédito"),"⚠ El destino debe ser tarjeta de crédito",IF(AND(P668="Gasto",E668="Depósitos y retiros"),"⚠ Usa tipo Transferencia",IF(AND(P668="Resultado trading",AD668&lt;&gt;"Cuenta de trading"),"⚠ Usa una cuenta de trading",IF(AND(G668&lt;=0,P668&lt;&gt;"Ajuste",P668&lt;&gt;"Resultado trading"),"⚠ El monto debe ser positivo","✓")))))))))))))))</f>
        <v/>
      </c>
      <c r="P668" s="52">
        <f>IF(OR(B668="",G668=""),"",IF(C668="","Gasto",C668))</f>
        <v/>
      </c>
      <c r="Q668" s="52">
        <f>IF(P668="","",IF(J668&lt;&gt;"",J668,CuentaPred&amp;""))</f>
        <v/>
      </c>
      <c r="R668" s="52">
        <f>IF(P668="","",IF(ISNUMBER(I668),I668,TasaUSD))</f>
        <v/>
      </c>
      <c r="S668" s="53">
        <f>IF(P668="","",IF(H668="USD",G668*R668,G668))</f>
        <v/>
      </c>
      <c r="T668" s="53">
        <f>IF(P668="","",IF(H668="USD",G668,IF(R668&gt;0,G668/R668,0)))</f>
        <v/>
      </c>
      <c r="U668" s="53">
        <f>IF(P668="","",IF(P668="Gasto",S668,IF(P668="Reembolso",-S668,0)))</f>
        <v/>
      </c>
      <c r="V668" s="53">
        <f>IF(P668="","",IF(P668="Ingreso",S668,0))</f>
        <v/>
      </c>
      <c r="W668" s="53">
        <f>IF(P668="","",IF(P668="Resultado trading",S668,0))</f>
        <v/>
      </c>
      <c r="X668" s="52">
        <f>IF(OR(P668="Gasto",P668="Reembolso"),IF(M668&lt;&gt;"",M668,IFERROR(INDEX(catClasif,MATCH(D668&amp;"|"&amp;E668,catClave,0))&amp;"","Variable")),"")</f>
        <v/>
      </c>
      <c r="Y668" s="52">
        <f>IF(P668="","",IFERROR(INDEX(catGrupo,MATCH(D668&amp;"|"&amp;E668,catClave,0))&amp;"",""))</f>
        <v/>
      </c>
      <c r="Z668" s="52">
        <f>IF(P668="","",WEEKDAY(B668,2))</f>
        <v/>
      </c>
      <c r="AA668" s="52">
        <f>IF(P668="","",IF(AND(P668="Gasto",X668="Variable",D668&lt;&gt;catTrading,S668&gt;0,S668&lt;=Umbral),1,0))</f>
        <v/>
      </c>
      <c r="AB668" s="52">
        <f>IF(OR(P668="",Q668=""),"",IFERROR(IF(INDEX(ctaVinc,MATCH(Q668,ctaNombre,0))&amp;""&lt;&gt;"",INDEX(ctaVinc,MATCH(Q668,ctaNombre,0))&amp;"",Q668),Q668))</f>
        <v/>
      </c>
      <c r="AC668" s="52">
        <f>IF(OR(K668="",AND(P668&lt;&gt;"Transferencia",P668&lt;&gt;"Pago tarjeta")),"",IFERROR(IF(INDEX(ctaVinc,MATCH(K668,ctaNombre,0))&amp;""&lt;&gt;"",INDEX(ctaVinc,MATCH(K668,ctaNombre,0))&amp;"",K668),K668))</f>
        <v/>
      </c>
      <c r="AD668" s="52">
        <f>IF(AB668="","",IFERROR(INDEX(ctaTipo,MATCH(AB668,ctaNombre,0))&amp;"",""))</f>
        <v/>
      </c>
      <c r="AE668" s="52">
        <f>IF(AC668="","",IFERROR(INDEX(ctaTipo,MATCH(AC668,ctaNombre,0))&amp;"",""))</f>
        <v/>
      </c>
      <c r="AF668" s="53">
        <f>IF(OR(P668="",AB668=""),"",IF(OR(P668="Gasto",P668="Transferencia",P668="Pago tarjeta"),-1,1)*IF(IFERROR(INDEX(ctaMoneda,MATCH(AB668,ctaNombre,0))&amp;"","DOP")="USD",T668,S668))</f>
        <v/>
      </c>
      <c r="AG668" s="53">
        <f>IF(AC668="","",IF(IFERROR(INDEX(ctaMoneda,MATCH(AC668,ctaNombre,0))&amp;"","DOP")="USD",T668,S668))</f>
        <v/>
      </c>
      <c r="AH668" s="53">
        <f>IF(P668="","",IF(AND(AD668&lt;&gt;"",COUNTIFS(tcTipo,AD668,tcLiq,"Sí")&gt;0),IF(OR(P668="Gasto",P668="Transferencia",P668="Pago tarjeta"),-1,1)*S668,0)+IF(AND(AE668&lt;&gt;"",COUNTIFS(tcTipo,AE668,tcLiq,"Sí")&gt;0),S668,0))</f>
        <v/>
      </c>
      <c r="AI668" s="52">
        <f>IF(OR(L668="",P668=""),"",IF(COUNTIFS(L$6:L668,L668,P$6:P668,"?*")=1,MAX(AI$5:AI667)+1,""))</f>
        <v/>
      </c>
    </row>
    <row r="669">
      <c r="B669" s="47" t="n"/>
      <c r="C669" s="48" t="n"/>
      <c r="D669" s="48" t="n"/>
      <c r="E669" s="48" t="n"/>
      <c r="F669" s="48" t="n"/>
      <c r="G669" s="49" t="n"/>
      <c r="H669" s="48" t="n"/>
      <c r="I669" s="50" t="n"/>
      <c r="J669" s="48" t="n"/>
      <c r="K669" s="48" t="n"/>
      <c r="L669" s="48" t="n"/>
      <c r="M669" s="48" t="n"/>
      <c r="N669" s="48" t="n"/>
      <c r="O669" s="51">
        <f>IF(AND(B669="",G669="",C669="",D669="",J669=""),"",IF(B669="","⚠ Falta fecha",IF(G669="","⚠ Falta monto",IF(Q669="","⚠ Falta cuenta",IF(ISNA(MATCH(Q669,ctaNombre,0)),"⚠ Cuenta no registrada",IF(AND(OR(P669="Gasto",P669="Reembolso"),D669=""),"⚠ Falta categoría",IF(AND(D669&lt;&gt;"",E669&lt;&gt;"",ISNA(MATCH(D669&amp;"|"&amp;E669,catClave,0))),"⚠ Subcategoría no corresponde",IF(AND(OR(P669="Transferencia",P669="Pago tarjeta"),K669=""),"⚠ Falta cuenta destino",IF(AND(K669&lt;&gt;"",P669&lt;&gt;"Transferencia",P669&lt;&gt;"Pago tarjeta"),"⚠ Destino solo aplica a transferencias",IF(AND(K669&lt;&gt;"",K669=Q669),"⚠ Origen igual a destino",IF(AND(K669&lt;&gt;"",ISNA(MATCH(K669,ctaNombre,0))),"⚠ Destino no registrado",IF(AND(P669="Pago tarjeta",AE669&lt;&gt;"Tarjeta de crédito"),"⚠ El destino debe ser tarjeta de crédito",IF(AND(P669="Gasto",E669="Depósitos y retiros"),"⚠ Usa tipo Transferencia",IF(AND(P669="Resultado trading",AD669&lt;&gt;"Cuenta de trading"),"⚠ Usa una cuenta de trading",IF(AND(G669&lt;=0,P669&lt;&gt;"Ajuste",P669&lt;&gt;"Resultado trading"),"⚠ El monto debe ser positivo","✓")))))))))))))))</f>
        <v/>
      </c>
      <c r="P669" s="52">
        <f>IF(OR(B669="",G669=""),"",IF(C669="","Gasto",C669))</f>
        <v/>
      </c>
      <c r="Q669" s="52">
        <f>IF(P669="","",IF(J669&lt;&gt;"",J669,CuentaPred&amp;""))</f>
        <v/>
      </c>
      <c r="R669" s="52">
        <f>IF(P669="","",IF(ISNUMBER(I669),I669,TasaUSD))</f>
        <v/>
      </c>
      <c r="S669" s="53">
        <f>IF(P669="","",IF(H669="USD",G669*R669,G669))</f>
        <v/>
      </c>
      <c r="T669" s="53">
        <f>IF(P669="","",IF(H669="USD",G669,IF(R669&gt;0,G669/R669,0)))</f>
        <v/>
      </c>
      <c r="U669" s="53">
        <f>IF(P669="","",IF(P669="Gasto",S669,IF(P669="Reembolso",-S669,0)))</f>
        <v/>
      </c>
      <c r="V669" s="53">
        <f>IF(P669="","",IF(P669="Ingreso",S669,0))</f>
        <v/>
      </c>
      <c r="W669" s="53">
        <f>IF(P669="","",IF(P669="Resultado trading",S669,0))</f>
        <v/>
      </c>
      <c r="X669" s="52">
        <f>IF(OR(P669="Gasto",P669="Reembolso"),IF(M669&lt;&gt;"",M669,IFERROR(INDEX(catClasif,MATCH(D669&amp;"|"&amp;E669,catClave,0))&amp;"","Variable")),"")</f>
        <v/>
      </c>
      <c r="Y669" s="52">
        <f>IF(P669="","",IFERROR(INDEX(catGrupo,MATCH(D669&amp;"|"&amp;E669,catClave,0))&amp;"",""))</f>
        <v/>
      </c>
      <c r="Z669" s="52">
        <f>IF(P669="","",WEEKDAY(B669,2))</f>
        <v/>
      </c>
      <c r="AA669" s="52">
        <f>IF(P669="","",IF(AND(P669="Gasto",X669="Variable",D669&lt;&gt;catTrading,S669&gt;0,S669&lt;=Umbral),1,0))</f>
        <v/>
      </c>
      <c r="AB669" s="52">
        <f>IF(OR(P669="",Q669=""),"",IFERROR(IF(INDEX(ctaVinc,MATCH(Q669,ctaNombre,0))&amp;""&lt;&gt;"",INDEX(ctaVinc,MATCH(Q669,ctaNombre,0))&amp;"",Q669),Q669))</f>
        <v/>
      </c>
      <c r="AC669" s="52">
        <f>IF(OR(K669="",AND(P669&lt;&gt;"Transferencia",P669&lt;&gt;"Pago tarjeta")),"",IFERROR(IF(INDEX(ctaVinc,MATCH(K669,ctaNombre,0))&amp;""&lt;&gt;"",INDEX(ctaVinc,MATCH(K669,ctaNombre,0))&amp;"",K669),K669))</f>
        <v/>
      </c>
      <c r="AD669" s="52">
        <f>IF(AB669="","",IFERROR(INDEX(ctaTipo,MATCH(AB669,ctaNombre,0))&amp;"",""))</f>
        <v/>
      </c>
      <c r="AE669" s="52">
        <f>IF(AC669="","",IFERROR(INDEX(ctaTipo,MATCH(AC669,ctaNombre,0))&amp;"",""))</f>
        <v/>
      </c>
      <c r="AF669" s="53">
        <f>IF(OR(P669="",AB669=""),"",IF(OR(P669="Gasto",P669="Transferencia",P669="Pago tarjeta"),-1,1)*IF(IFERROR(INDEX(ctaMoneda,MATCH(AB669,ctaNombre,0))&amp;"","DOP")="USD",T669,S669))</f>
        <v/>
      </c>
      <c r="AG669" s="53">
        <f>IF(AC669="","",IF(IFERROR(INDEX(ctaMoneda,MATCH(AC669,ctaNombre,0))&amp;"","DOP")="USD",T669,S669))</f>
        <v/>
      </c>
      <c r="AH669" s="53">
        <f>IF(P669="","",IF(AND(AD669&lt;&gt;"",COUNTIFS(tcTipo,AD669,tcLiq,"Sí")&gt;0),IF(OR(P669="Gasto",P669="Transferencia",P669="Pago tarjeta"),-1,1)*S669,0)+IF(AND(AE669&lt;&gt;"",COUNTIFS(tcTipo,AE669,tcLiq,"Sí")&gt;0),S669,0))</f>
        <v/>
      </c>
      <c r="AI669" s="52">
        <f>IF(OR(L669="",P669=""),"",IF(COUNTIFS(L$6:L669,L669,P$6:P669,"?*")=1,MAX(AI$5:AI668)+1,""))</f>
        <v/>
      </c>
    </row>
    <row r="670">
      <c r="B670" s="47" t="n"/>
      <c r="C670" s="48" t="n"/>
      <c r="D670" s="48" t="n"/>
      <c r="E670" s="48" t="n"/>
      <c r="F670" s="48" t="n"/>
      <c r="G670" s="49" t="n"/>
      <c r="H670" s="48" t="n"/>
      <c r="I670" s="50" t="n"/>
      <c r="J670" s="48" t="n"/>
      <c r="K670" s="48" t="n"/>
      <c r="L670" s="48" t="n"/>
      <c r="M670" s="48" t="n"/>
      <c r="N670" s="48" t="n"/>
      <c r="O670" s="51">
        <f>IF(AND(B670="",G670="",C670="",D670="",J670=""),"",IF(B670="","⚠ Falta fecha",IF(G670="","⚠ Falta monto",IF(Q670="","⚠ Falta cuenta",IF(ISNA(MATCH(Q670,ctaNombre,0)),"⚠ Cuenta no registrada",IF(AND(OR(P670="Gasto",P670="Reembolso"),D670=""),"⚠ Falta categoría",IF(AND(D670&lt;&gt;"",E670&lt;&gt;"",ISNA(MATCH(D670&amp;"|"&amp;E670,catClave,0))),"⚠ Subcategoría no corresponde",IF(AND(OR(P670="Transferencia",P670="Pago tarjeta"),K670=""),"⚠ Falta cuenta destino",IF(AND(K670&lt;&gt;"",P670&lt;&gt;"Transferencia",P670&lt;&gt;"Pago tarjeta"),"⚠ Destino solo aplica a transferencias",IF(AND(K670&lt;&gt;"",K670=Q670),"⚠ Origen igual a destino",IF(AND(K670&lt;&gt;"",ISNA(MATCH(K670,ctaNombre,0))),"⚠ Destino no registrado",IF(AND(P670="Pago tarjeta",AE670&lt;&gt;"Tarjeta de crédito"),"⚠ El destino debe ser tarjeta de crédito",IF(AND(P670="Gasto",E670="Depósitos y retiros"),"⚠ Usa tipo Transferencia",IF(AND(P670="Resultado trading",AD670&lt;&gt;"Cuenta de trading"),"⚠ Usa una cuenta de trading",IF(AND(G670&lt;=0,P670&lt;&gt;"Ajuste",P670&lt;&gt;"Resultado trading"),"⚠ El monto debe ser positivo","✓")))))))))))))))</f>
        <v/>
      </c>
      <c r="P670" s="52">
        <f>IF(OR(B670="",G670=""),"",IF(C670="","Gasto",C670))</f>
        <v/>
      </c>
      <c r="Q670" s="52">
        <f>IF(P670="","",IF(J670&lt;&gt;"",J670,CuentaPred&amp;""))</f>
        <v/>
      </c>
      <c r="R670" s="52">
        <f>IF(P670="","",IF(ISNUMBER(I670),I670,TasaUSD))</f>
        <v/>
      </c>
      <c r="S670" s="53">
        <f>IF(P670="","",IF(H670="USD",G670*R670,G670))</f>
        <v/>
      </c>
      <c r="T670" s="53">
        <f>IF(P670="","",IF(H670="USD",G670,IF(R670&gt;0,G670/R670,0)))</f>
        <v/>
      </c>
      <c r="U670" s="53">
        <f>IF(P670="","",IF(P670="Gasto",S670,IF(P670="Reembolso",-S670,0)))</f>
        <v/>
      </c>
      <c r="V670" s="53">
        <f>IF(P670="","",IF(P670="Ingreso",S670,0))</f>
        <v/>
      </c>
      <c r="W670" s="53">
        <f>IF(P670="","",IF(P670="Resultado trading",S670,0))</f>
        <v/>
      </c>
      <c r="X670" s="52">
        <f>IF(OR(P670="Gasto",P670="Reembolso"),IF(M670&lt;&gt;"",M670,IFERROR(INDEX(catClasif,MATCH(D670&amp;"|"&amp;E670,catClave,0))&amp;"","Variable")),"")</f>
        <v/>
      </c>
      <c r="Y670" s="52">
        <f>IF(P670="","",IFERROR(INDEX(catGrupo,MATCH(D670&amp;"|"&amp;E670,catClave,0))&amp;"",""))</f>
        <v/>
      </c>
      <c r="Z670" s="52">
        <f>IF(P670="","",WEEKDAY(B670,2))</f>
        <v/>
      </c>
      <c r="AA670" s="52">
        <f>IF(P670="","",IF(AND(P670="Gasto",X670="Variable",D670&lt;&gt;catTrading,S670&gt;0,S670&lt;=Umbral),1,0))</f>
        <v/>
      </c>
      <c r="AB670" s="52">
        <f>IF(OR(P670="",Q670=""),"",IFERROR(IF(INDEX(ctaVinc,MATCH(Q670,ctaNombre,0))&amp;""&lt;&gt;"",INDEX(ctaVinc,MATCH(Q670,ctaNombre,0))&amp;"",Q670),Q670))</f>
        <v/>
      </c>
      <c r="AC670" s="52">
        <f>IF(OR(K670="",AND(P670&lt;&gt;"Transferencia",P670&lt;&gt;"Pago tarjeta")),"",IFERROR(IF(INDEX(ctaVinc,MATCH(K670,ctaNombre,0))&amp;""&lt;&gt;"",INDEX(ctaVinc,MATCH(K670,ctaNombre,0))&amp;"",K670),K670))</f>
        <v/>
      </c>
      <c r="AD670" s="52">
        <f>IF(AB670="","",IFERROR(INDEX(ctaTipo,MATCH(AB670,ctaNombre,0))&amp;"",""))</f>
        <v/>
      </c>
      <c r="AE670" s="52">
        <f>IF(AC670="","",IFERROR(INDEX(ctaTipo,MATCH(AC670,ctaNombre,0))&amp;"",""))</f>
        <v/>
      </c>
      <c r="AF670" s="53">
        <f>IF(OR(P670="",AB670=""),"",IF(OR(P670="Gasto",P670="Transferencia",P670="Pago tarjeta"),-1,1)*IF(IFERROR(INDEX(ctaMoneda,MATCH(AB670,ctaNombre,0))&amp;"","DOP")="USD",T670,S670))</f>
        <v/>
      </c>
      <c r="AG670" s="53">
        <f>IF(AC670="","",IF(IFERROR(INDEX(ctaMoneda,MATCH(AC670,ctaNombre,0))&amp;"","DOP")="USD",T670,S670))</f>
        <v/>
      </c>
      <c r="AH670" s="53">
        <f>IF(P670="","",IF(AND(AD670&lt;&gt;"",COUNTIFS(tcTipo,AD670,tcLiq,"Sí")&gt;0),IF(OR(P670="Gasto",P670="Transferencia",P670="Pago tarjeta"),-1,1)*S670,0)+IF(AND(AE670&lt;&gt;"",COUNTIFS(tcTipo,AE670,tcLiq,"Sí")&gt;0),S670,0))</f>
        <v/>
      </c>
      <c r="AI670" s="52">
        <f>IF(OR(L670="",P670=""),"",IF(COUNTIFS(L$6:L670,L670,P$6:P670,"?*")=1,MAX(AI$5:AI669)+1,""))</f>
        <v/>
      </c>
    </row>
    <row r="671">
      <c r="B671" s="47" t="n"/>
      <c r="C671" s="48" t="n"/>
      <c r="D671" s="48" t="n"/>
      <c r="E671" s="48" t="n"/>
      <c r="F671" s="48" t="n"/>
      <c r="G671" s="49" t="n"/>
      <c r="H671" s="48" t="n"/>
      <c r="I671" s="50" t="n"/>
      <c r="J671" s="48" t="n"/>
      <c r="K671" s="48" t="n"/>
      <c r="L671" s="48" t="n"/>
      <c r="M671" s="48" t="n"/>
      <c r="N671" s="48" t="n"/>
      <c r="O671" s="51">
        <f>IF(AND(B671="",G671="",C671="",D671="",J671=""),"",IF(B671="","⚠ Falta fecha",IF(G671="","⚠ Falta monto",IF(Q671="","⚠ Falta cuenta",IF(ISNA(MATCH(Q671,ctaNombre,0)),"⚠ Cuenta no registrada",IF(AND(OR(P671="Gasto",P671="Reembolso"),D671=""),"⚠ Falta categoría",IF(AND(D671&lt;&gt;"",E671&lt;&gt;"",ISNA(MATCH(D671&amp;"|"&amp;E671,catClave,0))),"⚠ Subcategoría no corresponde",IF(AND(OR(P671="Transferencia",P671="Pago tarjeta"),K671=""),"⚠ Falta cuenta destino",IF(AND(K671&lt;&gt;"",P671&lt;&gt;"Transferencia",P671&lt;&gt;"Pago tarjeta"),"⚠ Destino solo aplica a transferencias",IF(AND(K671&lt;&gt;"",K671=Q671),"⚠ Origen igual a destino",IF(AND(K671&lt;&gt;"",ISNA(MATCH(K671,ctaNombre,0))),"⚠ Destino no registrado",IF(AND(P671="Pago tarjeta",AE671&lt;&gt;"Tarjeta de crédito"),"⚠ El destino debe ser tarjeta de crédito",IF(AND(P671="Gasto",E671="Depósitos y retiros"),"⚠ Usa tipo Transferencia",IF(AND(P671="Resultado trading",AD671&lt;&gt;"Cuenta de trading"),"⚠ Usa una cuenta de trading",IF(AND(G671&lt;=0,P671&lt;&gt;"Ajuste",P671&lt;&gt;"Resultado trading"),"⚠ El monto debe ser positivo","✓")))))))))))))))</f>
        <v/>
      </c>
      <c r="P671" s="52">
        <f>IF(OR(B671="",G671=""),"",IF(C671="","Gasto",C671))</f>
        <v/>
      </c>
      <c r="Q671" s="52">
        <f>IF(P671="","",IF(J671&lt;&gt;"",J671,CuentaPred&amp;""))</f>
        <v/>
      </c>
      <c r="R671" s="52">
        <f>IF(P671="","",IF(ISNUMBER(I671),I671,TasaUSD))</f>
        <v/>
      </c>
      <c r="S671" s="53">
        <f>IF(P671="","",IF(H671="USD",G671*R671,G671))</f>
        <v/>
      </c>
      <c r="T671" s="53">
        <f>IF(P671="","",IF(H671="USD",G671,IF(R671&gt;0,G671/R671,0)))</f>
        <v/>
      </c>
      <c r="U671" s="53">
        <f>IF(P671="","",IF(P671="Gasto",S671,IF(P671="Reembolso",-S671,0)))</f>
        <v/>
      </c>
      <c r="V671" s="53">
        <f>IF(P671="","",IF(P671="Ingreso",S671,0))</f>
        <v/>
      </c>
      <c r="W671" s="53">
        <f>IF(P671="","",IF(P671="Resultado trading",S671,0))</f>
        <v/>
      </c>
      <c r="X671" s="52">
        <f>IF(OR(P671="Gasto",P671="Reembolso"),IF(M671&lt;&gt;"",M671,IFERROR(INDEX(catClasif,MATCH(D671&amp;"|"&amp;E671,catClave,0))&amp;"","Variable")),"")</f>
        <v/>
      </c>
      <c r="Y671" s="52">
        <f>IF(P671="","",IFERROR(INDEX(catGrupo,MATCH(D671&amp;"|"&amp;E671,catClave,0))&amp;"",""))</f>
        <v/>
      </c>
      <c r="Z671" s="52">
        <f>IF(P671="","",WEEKDAY(B671,2))</f>
        <v/>
      </c>
      <c r="AA671" s="52">
        <f>IF(P671="","",IF(AND(P671="Gasto",X671="Variable",D671&lt;&gt;catTrading,S671&gt;0,S671&lt;=Umbral),1,0))</f>
        <v/>
      </c>
      <c r="AB671" s="52">
        <f>IF(OR(P671="",Q671=""),"",IFERROR(IF(INDEX(ctaVinc,MATCH(Q671,ctaNombre,0))&amp;""&lt;&gt;"",INDEX(ctaVinc,MATCH(Q671,ctaNombre,0))&amp;"",Q671),Q671))</f>
        <v/>
      </c>
      <c r="AC671" s="52">
        <f>IF(OR(K671="",AND(P671&lt;&gt;"Transferencia",P671&lt;&gt;"Pago tarjeta")),"",IFERROR(IF(INDEX(ctaVinc,MATCH(K671,ctaNombre,0))&amp;""&lt;&gt;"",INDEX(ctaVinc,MATCH(K671,ctaNombre,0))&amp;"",K671),K671))</f>
        <v/>
      </c>
      <c r="AD671" s="52">
        <f>IF(AB671="","",IFERROR(INDEX(ctaTipo,MATCH(AB671,ctaNombre,0))&amp;"",""))</f>
        <v/>
      </c>
      <c r="AE671" s="52">
        <f>IF(AC671="","",IFERROR(INDEX(ctaTipo,MATCH(AC671,ctaNombre,0))&amp;"",""))</f>
        <v/>
      </c>
      <c r="AF671" s="53">
        <f>IF(OR(P671="",AB671=""),"",IF(OR(P671="Gasto",P671="Transferencia",P671="Pago tarjeta"),-1,1)*IF(IFERROR(INDEX(ctaMoneda,MATCH(AB671,ctaNombre,0))&amp;"","DOP")="USD",T671,S671))</f>
        <v/>
      </c>
      <c r="AG671" s="53">
        <f>IF(AC671="","",IF(IFERROR(INDEX(ctaMoneda,MATCH(AC671,ctaNombre,0))&amp;"","DOP")="USD",T671,S671))</f>
        <v/>
      </c>
      <c r="AH671" s="53">
        <f>IF(P671="","",IF(AND(AD671&lt;&gt;"",COUNTIFS(tcTipo,AD671,tcLiq,"Sí")&gt;0),IF(OR(P671="Gasto",P671="Transferencia",P671="Pago tarjeta"),-1,1)*S671,0)+IF(AND(AE671&lt;&gt;"",COUNTIFS(tcTipo,AE671,tcLiq,"Sí")&gt;0),S671,0))</f>
        <v/>
      </c>
      <c r="AI671" s="52">
        <f>IF(OR(L671="",P671=""),"",IF(COUNTIFS(L$6:L671,L671,P$6:P671,"?*")=1,MAX(AI$5:AI670)+1,""))</f>
        <v/>
      </c>
    </row>
    <row r="672">
      <c r="B672" s="47" t="n"/>
      <c r="C672" s="48" t="n"/>
      <c r="D672" s="48" t="n"/>
      <c r="E672" s="48" t="n"/>
      <c r="F672" s="48" t="n"/>
      <c r="G672" s="49" t="n"/>
      <c r="H672" s="48" t="n"/>
      <c r="I672" s="50" t="n"/>
      <c r="J672" s="48" t="n"/>
      <c r="K672" s="48" t="n"/>
      <c r="L672" s="48" t="n"/>
      <c r="M672" s="48" t="n"/>
      <c r="N672" s="48" t="n"/>
      <c r="O672" s="51">
        <f>IF(AND(B672="",G672="",C672="",D672="",J672=""),"",IF(B672="","⚠ Falta fecha",IF(G672="","⚠ Falta monto",IF(Q672="","⚠ Falta cuenta",IF(ISNA(MATCH(Q672,ctaNombre,0)),"⚠ Cuenta no registrada",IF(AND(OR(P672="Gasto",P672="Reembolso"),D672=""),"⚠ Falta categoría",IF(AND(D672&lt;&gt;"",E672&lt;&gt;"",ISNA(MATCH(D672&amp;"|"&amp;E672,catClave,0))),"⚠ Subcategoría no corresponde",IF(AND(OR(P672="Transferencia",P672="Pago tarjeta"),K672=""),"⚠ Falta cuenta destino",IF(AND(K672&lt;&gt;"",P672&lt;&gt;"Transferencia",P672&lt;&gt;"Pago tarjeta"),"⚠ Destino solo aplica a transferencias",IF(AND(K672&lt;&gt;"",K672=Q672),"⚠ Origen igual a destino",IF(AND(K672&lt;&gt;"",ISNA(MATCH(K672,ctaNombre,0))),"⚠ Destino no registrado",IF(AND(P672="Pago tarjeta",AE672&lt;&gt;"Tarjeta de crédito"),"⚠ El destino debe ser tarjeta de crédito",IF(AND(P672="Gasto",E672="Depósitos y retiros"),"⚠ Usa tipo Transferencia",IF(AND(P672="Resultado trading",AD672&lt;&gt;"Cuenta de trading"),"⚠ Usa una cuenta de trading",IF(AND(G672&lt;=0,P672&lt;&gt;"Ajuste",P672&lt;&gt;"Resultado trading"),"⚠ El monto debe ser positivo","✓")))))))))))))))</f>
        <v/>
      </c>
      <c r="P672" s="52">
        <f>IF(OR(B672="",G672=""),"",IF(C672="","Gasto",C672))</f>
        <v/>
      </c>
      <c r="Q672" s="52">
        <f>IF(P672="","",IF(J672&lt;&gt;"",J672,CuentaPred&amp;""))</f>
        <v/>
      </c>
      <c r="R672" s="52">
        <f>IF(P672="","",IF(ISNUMBER(I672),I672,TasaUSD))</f>
        <v/>
      </c>
      <c r="S672" s="53">
        <f>IF(P672="","",IF(H672="USD",G672*R672,G672))</f>
        <v/>
      </c>
      <c r="T672" s="53">
        <f>IF(P672="","",IF(H672="USD",G672,IF(R672&gt;0,G672/R672,0)))</f>
        <v/>
      </c>
      <c r="U672" s="53">
        <f>IF(P672="","",IF(P672="Gasto",S672,IF(P672="Reembolso",-S672,0)))</f>
        <v/>
      </c>
      <c r="V672" s="53">
        <f>IF(P672="","",IF(P672="Ingreso",S672,0))</f>
        <v/>
      </c>
      <c r="W672" s="53">
        <f>IF(P672="","",IF(P672="Resultado trading",S672,0))</f>
        <v/>
      </c>
      <c r="X672" s="52">
        <f>IF(OR(P672="Gasto",P672="Reembolso"),IF(M672&lt;&gt;"",M672,IFERROR(INDEX(catClasif,MATCH(D672&amp;"|"&amp;E672,catClave,0))&amp;"","Variable")),"")</f>
        <v/>
      </c>
      <c r="Y672" s="52">
        <f>IF(P672="","",IFERROR(INDEX(catGrupo,MATCH(D672&amp;"|"&amp;E672,catClave,0))&amp;"",""))</f>
        <v/>
      </c>
      <c r="Z672" s="52">
        <f>IF(P672="","",WEEKDAY(B672,2))</f>
        <v/>
      </c>
      <c r="AA672" s="52">
        <f>IF(P672="","",IF(AND(P672="Gasto",X672="Variable",D672&lt;&gt;catTrading,S672&gt;0,S672&lt;=Umbral),1,0))</f>
        <v/>
      </c>
      <c r="AB672" s="52">
        <f>IF(OR(P672="",Q672=""),"",IFERROR(IF(INDEX(ctaVinc,MATCH(Q672,ctaNombre,0))&amp;""&lt;&gt;"",INDEX(ctaVinc,MATCH(Q672,ctaNombre,0))&amp;"",Q672),Q672))</f>
        <v/>
      </c>
      <c r="AC672" s="52">
        <f>IF(OR(K672="",AND(P672&lt;&gt;"Transferencia",P672&lt;&gt;"Pago tarjeta")),"",IFERROR(IF(INDEX(ctaVinc,MATCH(K672,ctaNombre,0))&amp;""&lt;&gt;"",INDEX(ctaVinc,MATCH(K672,ctaNombre,0))&amp;"",K672),K672))</f>
        <v/>
      </c>
      <c r="AD672" s="52">
        <f>IF(AB672="","",IFERROR(INDEX(ctaTipo,MATCH(AB672,ctaNombre,0))&amp;"",""))</f>
        <v/>
      </c>
      <c r="AE672" s="52">
        <f>IF(AC672="","",IFERROR(INDEX(ctaTipo,MATCH(AC672,ctaNombre,0))&amp;"",""))</f>
        <v/>
      </c>
      <c r="AF672" s="53">
        <f>IF(OR(P672="",AB672=""),"",IF(OR(P672="Gasto",P672="Transferencia",P672="Pago tarjeta"),-1,1)*IF(IFERROR(INDEX(ctaMoneda,MATCH(AB672,ctaNombre,0))&amp;"","DOP")="USD",T672,S672))</f>
        <v/>
      </c>
      <c r="AG672" s="53">
        <f>IF(AC672="","",IF(IFERROR(INDEX(ctaMoneda,MATCH(AC672,ctaNombre,0))&amp;"","DOP")="USD",T672,S672))</f>
        <v/>
      </c>
      <c r="AH672" s="53">
        <f>IF(P672="","",IF(AND(AD672&lt;&gt;"",COUNTIFS(tcTipo,AD672,tcLiq,"Sí")&gt;0),IF(OR(P672="Gasto",P672="Transferencia",P672="Pago tarjeta"),-1,1)*S672,0)+IF(AND(AE672&lt;&gt;"",COUNTIFS(tcTipo,AE672,tcLiq,"Sí")&gt;0),S672,0))</f>
        <v/>
      </c>
      <c r="AI672" s="52">
        <f>IF(OR(L672="",P672=""),"",IF(COUNTIFS(L$6:L672,L672,P$6:P672,"?*")=1,MAX(AI$5:AI671)+1,""))</f>
        <v/>
      </c>
    </row>
    <row r="673">
      <c r="B673" s="47" t="n"/>
      <c r="C673" s="48" t="n"/>
      <c r="D673" s="48" t="n"/>
      <c r="E673" s="48" t="n"/>
      <c r="F673" s="48" t="n"/>
      <c r="G673" s="49" t="n"/>
      <c r="H673" s="48" t="n"/>
      <c r="I673" s="50" t="n"/>
      <c r="J673" s="48" t="n"/>
      <c r="K673" s="48" t="n"/>
      <c r="L673" s="48" t="n"/>
      <c r="M673" s="48" t="n"/>
      <c r="N673" s="48" t="n"/>
      <c r="O673" s="51">
        <f>IF(AND(B673="",G673="",C673="",D673="",J673=""),"",IF(B673="","⚠ Falta fecha",IF(G673="","⚠ Falta monto",IF(Q673="","⚠ Falta cuenta",IF(ISNA(MATCH(Q673,ctaNombre,0)),"⚠ Cuenta no registrada",IF(AND(OR(P673="Gasto",P673="Reembolso"),D673=""),"⚠ Falta categoría",IF(AND(D673&lt;&gt;"",E673&lt;&gt;"",ISNA(MATCH(D673&amp;"|"&amp;E673,catClave,0))),"⚠ Subcategoría no corresponde",IF(AND(OR(P673="Transferencia",P673="Pago tarjeta"),K673=""),"⚠ Falta cuenta destino",IF(AND(K673&lt;&gt;"",P673&lt;&gt;"Transferencia",P673&lt;&gt;"Pago tarjeta"),"⚠ Destino solo aplica a transferencias",IF(AND(K673&lt;&gt;"",K673=Q673),"⚠ Origen igual a destino",IF(AND(K673&lt;&gt;"",ISNA(MATCH(K673,ctaNombre,0))),"⚠ Destino no registrado",IF(AND(P673="Pago tarjeta",AE673&lt;&gt;"Tarjeta de crédito"),"⚠ El destino debe ser tarjeta de crédito",IF(AND(P673="Gasto",E673="Depósitos y retiros"),"⚠ Usa tipo Transferencia",IF(AND(P673="Resultado trading",AD673&lt;&gt;"Cuenta de trading"),"⚠ Usa una cuenta de trading",IF(AND(G673&lt;=0,P673&lt;&gt;"Ajuste",P673&lt;&gt;"Resultado trading"),"⚠ El monto debe ser positivo","✓")))))))))))))))</f>
        <v/>
      </c>
      <c r="P673" s="52">
        <f>IF(OR(B673="",G673=""),"",IF(C673="","Gasto",C673))</f>
        <v/>
      </c>
      <c r="Q673" s="52">
        <f>IF(P673="","",IF(J673&lt;&gt;"",J673,CuentaPred&amp;""))</f>
        <v/>
      </c>
      <c r="R673" s="52">
        <f>IF(P673="","",IF(ISNUMBER(I673),I673,TasaUSD))</f>
        <v/>
      </c>
      <c r="S673" s="53">
        <f>IF(P673="","",IF(H673="USD",G673*R673,G673))</f>
        <v/>
      </c>
      <c r="T673" s="53">
        <f>IF(P673="","",IF(H673="USD",G673,IF(R673&gt;0,G673/R673,0)))</f>
        <v/>
      </c>
      <c r="U673" s="53">
        <f>IF(P673="","",IF(P673="Gasto",S673,IF(P673="Reembolso",-S673,0)))</f>
        <v/>
      </c>
      <c r="V673" s="53">
        <f>IF(P673="","",IF(P673="Ingreso",S673,0))</f>
        <v/>
      </c>
      <c r="W673" s="53">
        <f>IF(P673="","",IF(P673="Resultado trading",S673,0))</f>
        <v/>
      </c>
      <c r="X673" s="52">
        <f>IF(OR(P673="Gasto",P673="Reembolso"),IF(M673&lt;&gt;"",M673,IFERROR(INDEX(catClasif,MATCH(D673&amp;"|"&amp;E673,catClave,0))&amp;"","Variable")),"")</f>
        <v/>
      </c>
      <c r="Y673" s="52">
        <f>IF(P673="","",IFERROR(INDEX(catGrupo,MATCH(D673&amp;"|"&amp;E673,catClave,0))&amp;"",""))</f>
        <v/>
      </c>
      <c r="Z673" s="52">
        <f>IF(P673="","",WEEKDAY(B673,2))</f>
        <v/>
      </c>
      <c r="AA673" s="52">
        <f>IF(P673="","",IF(AND(P673="Gasto",X673="Variable",D673&lt;&gt;catTrading,S673&gt;0,S673&lt;=Umbral),1,0))</f>
        <v/>
      </c>
      <c r="AB673" s="52">
        <f>IF(OR(P673="",Q673=""),"",IFERROR(IF(INDEX(ctaVinc,MATCH(Q673,ctaNombre,0))&amp;""&lt;&gt;"",INDEX(ctaVinc,MATCH(Q673,ctaNombre,0))&amp;"",Q673),Q673))</f>
        <v/>
      </c>
      <c r="AC673" s="52">
        <f>IF(OR(K673="",AND(P673&lt;&gt;"Transferencia",P673&lt;&gt;"Pago tarjeta")),"",IFERROR(IF(INDEX(ctaVinc,MATCH(K673,ctaNombre,0))&amp;""&lt;&gt;"",INDEX(ctaVinc,MATCH(K673,ctaNombre,0))&amp;"",K673),K673))</f>
        <v/>
      </c>
      <c r="AD673" s="52">
        <f>IF(AB673="","",IFERROR(INDEX(ctaTipo,MATCH(AB673,ctaNombre,0))&amp;"",""))</f>
        <v/>
      </c>
      <c r="AE673" s="52">
        <f>IF(AC673="","",IFERROR(INDEX(ctaTipo,MATCH(AC673,ctaNombre,0))&amp;"",""))</f>
        <v/>
      </c>
      <c r="AF673" s="53">
        <f>IF(OR(P673="",AB673=""),"",IF(OR(P673="Gasto",P673="Transferencia",P673="Pago tarjeta"),-1,1)*IF(IFERROR(INDEX(ctaMoneda,MATCH(AB673,ctaNombre,0))&amp;"","DOP")="USD",T673,S673))</f>
        <v/>
      </c>
      <c r="AG673" s="53">
        <f>IF(AC673="","",IF(IFERROR(INDEX(ctaMoneda,MATCH(AC673,ctaNombre,0))&amp;"","DOP")="USD",T673,S673))</f>
        <v/>
      </c>
      <c r="AH673" s="53">
        <f>IF(P673="","",IF(AND(AD673&lt;&gt;"",COUNTIFS(tcTipo,AD673,tcLiq,"Sí")&gt;0),IF(OR(P673="Gasto",P673="Transferencia",P673="Pago tarjeta"),-1,1)*S673,0)+IF(AND(AE673&lt;&gt;"",COUNTIFS(tcTipo,AE673,tcLiq,"Sí")&gt;0),S673,0))</f>
        <v/>
      </c>
      <c r="AI673" s="52">
        <f>IF(OR(L673="",P673=""),"",IF(COUNTIFS(L$6:L673,L673,P$6:P673,"?*")=1,MAX(AI$5:AI672)+1,""))</f>
        <v/>
      </c>
    </row>
    <row r="674">
      <c r="B674" s="47" t="n"/>
      <c r="C674" s="48" t="n"/>
      <c r="D674" s="48" t="n"/>
      <c r="E674" s="48" t="n"/>
      <c r="F674" s="48" t="n"/>
      <c r="G674" s="49" t="n"/>
      <c r="H674" s="48" t="n"/>
      <c r="I674" s="50" t="n"/>
      <c r="J674" s="48" t="n"/>
      <c r="K674" s="48" t="n"/>
      <c r="L674" s="48" t="n"/>
      <c r="M674" s="48" t="n"/>
      <c r="N674" s="48" t="n"/>
      <c r="O674" s="51">
        <f>IF(AND(B674="",G674="",C674="",D674="",J674=""),"",IF(B674="","⚠ Falta fecha",IF(G674="","⚠ Falta monto",IF(Q674="","⚠ Falta cuenta",IF(ISNA(MATCH(Q674,ctaNombre,0)),"⚠ Cuenta no registrada",IF(AND(OR(P674="Gasto",P674="Reembolso"),D674=""),"⚠ Falta categoría",IF(AND(D674&lt;&gt;"",E674&lt;&gt;"",ISNA(MATCH(D674&amp;"|"&amp;E674,catClave,0))),"⚠ Subcategoría no corresponde",IF(AND(OR(P674="Transferencia",P674="Pago tarjeta"),K674=""),"⚠ Falta cuenta destino",IF(AND(K674&lt;&gt;"",P674&lt;&gt;"Transferencia",P674&lt;&gt;"Pago tarjeta"),"⚠ Destino solo aplica a transferencias",IF(AND(K674&lt;&gt;"",K674=Q674),"⚠ Origen igual a destino",IF(AND(K674&lt;&gt;"",ISNA(MATCH(K674,ctaNombre,0))),"⚠ Destino no registrado",IF(AND(P674="Pago tarjeta",AE674&lt;&gt;"Tarjeta de crédito"),"⚠ El destino debe ser tarjeta de crédito",IF(AND(P674="Gasto",E674="Depósitos y retiros"),"⚠ Usa tipo Transferencia",IF(AND(P674="Resultado trading",AD674&lt;&gt;"Cuenta de trading"),"⚠ Usa una cuenta de trading",IF(AND(G674&lt;=0,P674&lt;&gt;"Ajuste",P674&lt;&gt;"Resultado trading"),"⚠ El monto debe ser positivo","✓")))))))))))))))</f>
        <v/>
      </c>
      <c r="P674" s="52">
        <f>IF(OR(B674="",G674=""),"",IF(C674="","Gasto",C674))</f>
        <v/>
      </c>
      <c r="Q674" s="52">
        <f>IF(P674="","",IF(J674&lt;&gt;"",J674,CuentaPred&amp;""))</f>
        <v/>
      </c>
      <c r="R674" s="52">
        <f>IF(P674="","",IF(ISNUMBER(I674),I674,TasaUSD))</f>
        <v/>
      </c>
      <c r="S674" s="53">
        <f>IF(P674="","",IF(H674="USD",G674*R674,G674))</f>
        <v/>
      </c>
      <c r="T674" s="53">
        <f>IF(P674="","",IF(H674="USD",G674,IF(R674&gt;0,G674/R674,0)))</f>
        <v/>
      </c>
      <c r="U674" s="53">
        <f>IF(P674="","",IF(P674="Gasto",S674,IF(P674="Reembolso",-S674,0)))</f>
        <v/>
      </c>
      <c r="V674" s="53">
        <f>IF(P674="","",IF(P674="Ingreso",S674,0))</f>
        <v/>
      </c>
      <c r="W674" s="53">
        <f>IF(P674="","",IF(P674="Resultado trading",S674,0))</f>
        <v/>
      </c>
      <c r="X674" s="52">
        <f>IF(OR(P674="Gasto",P674="Reembolso"),IF(M674&lt;&gt;"",M674,IFERROR(INDEX(catClasif,MATCH(D674&amp;"|"&amp;E674,catClave,0))&amp;"","Variable")),"")</f>
        <v/>
      </c>
      <c r="Y674" s="52">
        <f>IF(P674="","",IFERROR(INDEX(catGrupo,MATCH(D674&amp;"|"&amp;E674,catClave,0))&amp;"",""))</f>
        <v/>
      </c>
      <c r="Z674" s="52">
        <f>IF(P674="","",WEEKDAY(B674,2))</f>
        <v/>
      </c>
      <c r="AA674" s="52">
        <f>IF(P674="","",IF(AND(P674="Gasto",X674="Variable",D674&lt;&gt;catTrading,S674&gt;0,S674&lt;=Umbral),1,0))</f>
        <v/>
      </c>
      <c r="AB674" s="52">
        <f>IF(OR(P674="",Q674=""),"",IFERROR(IF(INDEX(ctaVinc,MATCH(Q674,ctaNombre,0))&amp;""&lt;&gt;"",INDEX(ctaVinc,MATCH(Q674,ctaNombre,0))&amp;"",Q674),Q674))</f>
        <v/>
      </c>
      <c r="AC674" s="52">
        <f>IF(OR(K674="",AND(P674&lt;&gt;"Transferencia",P674&lt;&gt;"Pago tarjeta")),"",IFERROR(IF(INDEX(ctaVinc,MATCH(K674,ctaNombre,0))&amp;""&lt;&gt;"",INDEX(ctaVinc,MATCH(K674,ctaNombre,0))&amp;"",K674),K674))</f>
        <v/>
      </c>
      <c r="AD674" s="52">
        <f>IF(AB674="","",IFERROR(INDEX(ctaTipo,MATCH(AB674,ctaNombre,0))&amp;"",""))</f>
        <v/>
      </c>
      <c r="AE674" s="52">
        <f>IF(AC674="","",IFERROR(INDEX(ctaTipo,MATCH(AC674,ctaNombre,0))&amp;"",""))</f>
        <v/>
      </c>
      <c r="AF674" s="53">
        <f>IF(OR(P674="",AB674=""),"",IF(OR(P674="Gasto",P674="Transferencia",P674="Pago tarjeta"),-1,1)*IF(IFERROR(INDEX(ctaMoneda,MATCH(AB674,ctaNombre,0))&amp;"","DOP")="USD",T674,S674))</f>
        <v/>
      </c>
      <c r="AG674" s="53">
        <f>IF(AC674="","",IF(IFERROR(INDEX(ctaMoneda,MATCH(AC674,ctaNombre,0))&amp;"","DOP")="USD",T674,S674))</f>
        <v/>
      </c>
      <c r="AH674" s="53">
        <f>IF(P674="","",IF(AND(AD674&lt;&gt;"",COUNTIFS(tcTipo,AD674,tcLiq,"Sí")&gt;0),IF(OR(P674="Gasto",P674="Transferencia",P674="Pago tarjeta"),-1,1)*S674,0)+IF(AND(AE674&lt;&gt;"",COUNTIFS(tcTipo,AE674,tcLiq,"Sí")&gt;0),S674,0))</f>
        <v/>
      </c>
      <c r="AI674" s="52">
        <f>IF(OR(L674="",P674=""),"",IF(COUNTIFS(L$6:L674,L674,P$6:P674,"?*")=1,MAX(AI$5:AI673)+1,""))</f>
        <v/>
      </c>
    </row>
    <row r="675">
      <c r="B675" s="47" t="n"/>
      <c r="C675" s="48" t="n"/>
      <c r="D675" s="48" t="n"/>
      <c r="E675" s="48" t="n"/>
      <c r="F675" s="48" t="n"/>
      <c r="G675" s="49" t="n"/>
      <c r="H675" s="48" t="n"/>
      <c r="I675" s="50" t="n"/>
      <c r="J675" s="48" t="n"/>
      <c r="K675" s="48" t="n"/>
      <c r="L675" s="48" t="n"/>
      <c r="M675" s="48" t="n"/>
      <c r="N675" s="48" t="n"/>
      <c r="O675" s="51">
        <f>IF(AND(B675="",G675="",C675="",D675="",J675=""),"",IF(B675="","⚠ Falta fecha",IF(G675="","⚠ Falta monto",IF(Q675="","⚠ Falta cuenta",IF(ISNA(MATCH(Q675,ctaNombre,0)),"⚠ Cuenta no registrada",IF(AND(OR(P675="Gasto",P675="Reembolso"),D675=""),"⚠ Falta categoría",IF(AND(D675&lt;&gt;"",E675&lt;&gt;"",ISNA(MATCH(D675&amp;"|"&amp;E675,catClave,0))),"⚠ Subcategoría no corresponde",IF(AND(OR(P675="Transferencia",P675="Pago tarjeta"),K675=""),"⚠ Falta cuenta destino",IF(AND(K675&lt;&gt;"",P675&lt;&gt;"Transferencia",P675&lt;&gt;"Pago tarjeta"),"⚠ Destino solo aplica a transferencias",IF(AND(K675&lt;&gt;"",K675=Q675),"⚠ Origen igual a destino",IF(AND(K675&lt;&gt;"",ISNA(MATCH(K675,ctaNombre,0))),"⚠ Destino no registrado",IF(AND(P675="Pago tarjeta",AE675&lt;&gt;"Tarjeta de crédito"),"⚠ El destino debe ser tarjeta de crédito",IF(AND(P675="Gasto",E675="Depósitos y retiros"),"⚠ Usa tipo Transferencia",IF(AND(P675="Resultado trading",AD675&lt;&gt;"Cuenta de trading"),"⚠ Usa una cuenta de trading",IF(AND(G675&lt;=0,P675&lt;&gt;"Ajuste",P675&lt;&gt;"Resultado trading"),"⚠ El monto debe ser positivo","✓")))))))))))))))</f>
        <v/>
      </c>
      <c r="P675" s="52">
        <f>IF(OR(B675="",G675=""),"",IF(C675="","Gasto",C675))</f>
        <v/>
      </c>
      <c r="Q675" s="52">
        <f>IF(P675="","",IF(J675&lt;&gt;"",J675,CuentaPred&amp;""))</f>
        <v/>
      </c>
      <c r="R675" s="52">
        <f>IF(P675="","",IF(ISNUMBER(I675),I675,TasaUSD))</f>
        <v/>
      </c>
      <c r="S675" s="53">
        <f>IF(P675="","",IF(H675="USD",G675*R675,G675))</f>
        <v/>
      </c>
      <c r="T675" s="53">
        <f>IF(P675="","",IF(H675="USD",G675,IF(R675&gt;0,G675/R675,0)))</f>
        <v/>
      </c>
      <c r="U675" s="53">
        <f>IF(P675="","",IF(P675="Gasto",S675,IF(P675="Reembolso",-S675,0)))</f>
        <v/>
      </c>
      <c r="V675" s="53">
        <f>IF(P675="","",IF(P675="Ingreso",S675,0))</f>
        <v/>
      </c>
      <c r="W675" s="53">
        <f>IF(P675="","",IF(P675="Resultado trading",S675,0))</f>
        <v/>
      </c>
      <c r="X675" s="52">
        <f>IF(OR(P675="Gasto",P675="Reembolso"),IF(M675&lt;&gt;"",M675,IFERROR(INDEX(catClasif,MATCH(D675&amp;"|"&amp;E675,catClave,0))&amp;"","Variable")),"")</f>
        <v/>
      </c>
      <c r="Y675" s="52">
        <f>IF(P675="","",IFERROR(INDEX(catGrupo,MATCH(D675&amp;"|"&amp;E675,catClave,0))&amp;"",""))</f>
        <v/>
      </c>
      <c r="Z675" s="52">
        <f>IF(P675="","",WEEKDAY(B675,2))</f>
        <v/>
      </c>
      <c r="AA675" s="52">
        <f>IF(P675="","",IF(AND(P675="Gasto",X675="Variable",D675&lt;&gt;catTrading,S675&gt;0,S675&lt;=Umbral),1,0))</f>
        <v/>
      </c>
      <c r="AB675" s="52">
        <f>IF(OR(P675="",Q675=""),"",IFERROR(IF(INDEX(ctaVinc,MATCH(Q675,ctaNombre,0))&amp;""&lt;&gt;"",INDEX(ctaVinc,MATCH(Q675,ctaNombre,0))&amp;"",Q675),Q675))</f>
        <v/>
      </c>
      <c r="AC675" s="52">
        <f>IF(OR(K675="",AND(P675&lt;&gt;"Transferencia",P675&lt;&gt;"Pago tarjeta")),"",IFERROR(IF(INDEX(ctaVinc,MATCH(K675,ctaNombre,0))&amp;""&lt;&gt;"",INDEX(ctaVinc,MATCH(K675,ctaNombre,0))&amp;"",K675),K675))</f>
        <v/>
      </c>
      <c r="AD675" s="52">
        <f>IF(AB675="","",IFERROR(INDEX(ctaTipo,MATCH(AB675,ctaNombre,0))&amp;"",""))</f>
        <v/>
      </c>
      <c r="AE675" s="52">
        <f>IF(AC675="","",IFERROR(INDEX(ctaTipo,MATCH(AC675,ctaNombre,0))&amp;"",""))</f>
        <v/>
      </c>
      <c r="AF675" s="53">
        <f>IF(OR(P675="",AB675=""),"",IF(OR(P675="Gasto",P675="Transferencia",P675="Pago tarjeta"),-1,1)*IF(IFERROR(INDEX(ctaMoneda,MATCH(AB675,ctaNombre,0))&amp;"","DOP")="USD",T675,S675))</f>
        <v/>
      </c>
      <c r="AG675" s="53">
        <f>IF(AC675="","",IF(IFERROR(INDEX(ctaMoneda,MATCH(AC675,ctaNombre,0))&amp;"","DOP")="USD",T675,S675))</f>
        <v/>
      </c>
      <c r="AH675" s="53">
        <f>IF(P675="","",IF(AND(AD675&lt;&gt;"",COUNTIFS(tcTipo,AD675,tcLiq,"Sí")&gt;0),IF(OR(P675="Gasto",P675="Transferencia",P675="Pago tarjeta"),-1,1)*S675,0)+IF(AND(AE675&lt;&gt;"",COUNTIFS(tcTipo,AE675,tcLiq,"Sí")&gt;0),S675,0))</f>
        <v/>
      </c>
      <c r="AI675" s="52">
        <f>IF(OR(L675="",P675=""),"",IF(COUNTIFS(L$6:L675,L675,P$6:P675,"?*")=1,MAX(AI$5:AI674)+1,""))</f>
        <v/>
      </c>
    </row>
    <row r="676">
      <c r="B676" s="47" t="n"/>
      <c r="C676" s="48" t="n"/>
      <c r="D676" s="48" t="n"/>
      <c r="E676" s="48" t="n"/>
      <c r="F676" s="48" t="n"/>
      <c r="G676" s="49" t="n"/>
      <c r="H676" s="48" t="n"/>
      <c r="I676" s="50" t="n"/>
      <c r="J676" s="48" t="n"/>
      <c r="K676" s="48" t="n"/>
      <c r="L676" s="48" t="n"/>
      <c r="M676" s="48" t="n"/>
      <c r="N676" s="48" t="n"/>
      <c r="O676" s="51">
        <f>IF(AND(B676="",G676="",C676="",D676="",J676=""),"",IF(B676="","⚠ Falta fecha",IF(G676="","⚠ Falta monto",IF(Q676="","⚠ Falta cuenta",IF(ISNA(MATCH(Q676,ctaNombre,0)),"⚠ Cuenta no registrada",IF(AND(OR(P676="Gasto",P676="Reembolso"),D676=""),"⚠ Falta categoría",IF(AND(D676&lt;&gt;"",E676&lt;&gt;"",ISNA(MATCH(D676&amp;"|"&amp;E676,catClave,0))),"⚠ Subcategoría no corresponde",IF(AND(OR(P676="Transferencia",P676="Pago tarjeta"),K676=""),"⚠ Falta cuenta destino",IF(AND(K676&lt;&gt;"",P676&lt;&gt;"Transferencia",P676&lt;&gt;"Pago tarjeta"),"⚠ Destino solo aplica a transferencias",IF(AND(K676&lt;&gt;"",K676=Q676),"⚠ Origen igual a destino",IF(AND(K676&lt;&gt;"",ISNA(MATCH(K676,ctaNombre,0))),"⚠ Destino no registrado",IF(AND(P676="Pago tarjeta",AE676&lt;&gt;"Tarjeta de crédito"),"⚠ El destino debe ser tarjeta de crédito",IF(AND(P676="Gasto",E676="Depósitos y retiros"),"⚠ Usa tipo Transferencia",IF(AND(P676="Resultado trading",AD676&lt;&gt;"Cuenta de trading"),"⚠ Usa una cuenta de trading",IF(AND(G676&lt;=0,P676&lt;&gt;"Ajuste",P676&lt;&gt;"Resultado trading"),"⚠ El monto debe ser positivo","✓")))))))))))))))</f>
        <v/>
      </c>
      <c r="P676" s="52">
        <f>IF(OR(B676="",G676=""),"",IF(C676="","Gasto",C676))</f>
        <v/>
      </c>
      <c r="Q676" s="52">
        <f>IF(P676="","",IF(J676&lt;&gt;"",J676,CuentaPred&amp;""))</f>
        <v/>
      </c>
      <c r="R676" s="52">
        <f>IF(P676="","",IF(ISNUMBER(I676),I676,TasaUSD))</f>
        <v/>
      </c>
      <c r="S676" s="53">
        <f>IF(P676="","",IF(H676="USD",G676*R676,G676))</f>
        <v/>
      </c>
      <c r="T676" s="53">
        <f>IF(P676="","",IF(H676="USD",G676,IF(R676&gt;0,G676/R676,0)))</f>
        <v/>
      </c>
      <c r="U676" s="53">
        <f>IF(P676="","",IF(P676="Gasto",S676,IF(P676="Reembolso",-S676,0)))</f>
        <v/>
      </c>
      <c r="V676" s="53">
        <f>IF(P676="","",IF(P676="Ingreso",S676,0))</f>
        <v/>
      </c>
      <c r="W676" s="53">
        <f>IF(P676="","",IF(P676="Resultado trading",S676,0))</f>
        <v/>
      </c>
      <c r="X676" s="52">
        <f>IF(OR(P676="Gasto",P676="Reembolso"),IF(M676&lt;&gt;"",M676,IFERROR(INDEX(catClasif,MATCH(D676&amp;"|"&amp;E676,catClave,0))&amp;"","Variable")),"")</f>
        <v/>
      </c>
      <c r="Y676" s="52">
        <f>IF(P676="","",IFERROR(INDEX(catGrupo,MATCH(D676&amp;"|"&amp;E676,catClave,0))&amp;"",""))</f>
        <v/>
      </c>
      <c r="Z676" s="52">
        <f>IF(P676="","",WEEKDAY(B676,2))</f>
        <v/>
      </c>
      <c r="AA676" s="52">
        <f>IF(P676="","",IF(AND(P676="Gasto",X676="Variable",D676&lt;&gt;catTrading,S676&gt;0,S676&lt;=Umbral),1,0))</f>
        <v/>
      </c>
      <c r="AB676" s="52">
        <f>IF(OR(P676="",Q676=""),"",IFERROR(IF(INDEX(ctaVinc,MATCH(Q676,ctaNombre,0))&amp;""&lt;&gt;"",INDEX(ctaVinc,MATCH(Q676,ctaNombre,0))&amp;"",Q676),Q676))</f>
        <v/>
      </c>
      <c r="AC676" s="52">
        <f>IF(OR(K676="",AND(P676&lt;&gt;"Transferencia",P676&lt;&gt;"Pago tarjeta")),"",IFERROR(IF(INDEX(ctaVinc,MATCH(K676,ctaNombre,0))&amp;""&lt;&gt;"",INDEX(ctaVinc,MATCH(K676,ctaNombre,0))&amp;"",K676),K676))</f>
        <v/>
      </c>
      <c r="AD676" s="52">
        <f>IF(AB676="","",IFERROR(INDEX(ctaTipo,MATCH(AB676,ctaNombre,0))&amp;"",""))</f>
        <v/>
      </c>
      <c r="AE676" s="52">
        <f>IF(AC676="","",IFERROR(INDEX(ctaTipo,MATCH(AC676,ctaNombre,0))&amp;"",""))</f>
        <v/>
      </c>
      <c r="AF676" s="53">
        <f>IF(OR(P676="",AB676=""),"",IF(OR(P676="Gasto",P676="Transferencia",P676="Pago tarjeta"),-1,1)*IF(IFERROR(INDEX(ctaMoneda,MATCH(AB676,ctaNombre,0))&amp;"","DOP")="USD",T676,S676))</f>
        <v/>
      </c>
      <c r="AG676" s="53">
        <f>IF(AC676="","",IF(IFERROR(INDEX(ctaMoneda,MATCH(AC676,ctaNombre,0))&amp;"","DOP")="USD",T676,S676))</f>
        <v/>
      </c>
      <c r="AH676" s="53">
        <f>IF(P676="","",IF(AND(AD676&lt;&gt;"",COUNTIFS(tcTipo,AD676,tcLiq,"Sí")&gt;0),IF(OR(P676="Gasto",P676="Transferencia",P676="Pago tarjeta"),-1,1)*S676,0)+IF(AND(AE676&lt;&gt;"",COUNTIFS(tcTipo,AE676,tcLiq,"Sí")&gt;0),S676,0))</f>
        <v/>
      </c>
      <c r="AI676" s="52">
        <f>IF(OR(L676="",P676=""),"",IF(COUNTIFS(L$6:L676,L676,P$6:P676,"?*")=1,MAX(AI$5:AI675)+1,""))</f>
        <v/>
      </c>
    </row>
    <row r="677">
      <c r="B677" s="47" t="n"/>
      <c r="C677" s="48" t="n"/>
      <c r="D677" s="48" t="n"/>
      <c r="E677" s="48" t="n"/>
      <c r="F677" s="48" t="n"/>
      <c r="G677" s="49" t="n"/>
      <c r="H677" s="48" t="n"/>
      <c r="I677" s="50" t="n"/>
      <c r="J677" s="48" t="n"/>
      <c r="K677" s="48" t="n"/>
      <c r="L677" s="48" t="n"/>
      <c r="M677" s="48" t="n"/>
      <c r="N677" s="48" t="n"/>
      <c r="O677" s="51">
        <f>IF(AND(B677="",G677="",C677="",D677="",J677=""),"",IF(B677="","⚠ Falta fecha",IF(G677="","⚠ Falta monto",IF(Q677="","⚠ Falta cuenta",IF(ISNA(MATCH(Q677,ctaNombre,0)),"⚠ Cuenta no registrada",IF(AND(OR(P677="Gasto",P677="Reembolso"),D677=""),"⚠ Falta categoría",IF(AND(D677&lt;&gt;"",E677&lt;&gt;"",ISNA(MATCH(D677&amp;"|"&amp;E677,catClave,0))),"⚠ Subcategoría no corresponde",IF(AND(OR(P677="Transferencia",P677="Pago tarjeta"),K677=""),"⚠ Falta cuenta destino",IF(AND(K677&lt;&gt;"",P677&lt;&gt;"Transferencia",P677&lt;&gt;"Pago tarjeta"),"⚠ Destino solo aplica a transferencias",IF(AND(K677&lt;&gt;"",K677=Q677),"⚠ Origen igual a destino",IF(AND(K677&lt;&gt;"",ISNA(MATCH(K677,ctaNombre,0))),"⚠ Destino no registrado",IF(AND(P677="Pago tarjeta",AE677&lt;&gt;"Tarjeta de crédito"),"⚠ El destino debe ser tarjeta de crédito",IF(AND(P677="Gasto",E677="Depósitos y retiros"),"⚠ Usa tipo Transferencia",IF(AND(P677="Resultado trading",AD677&lt;&gt;"Cuenta de trading"),"⚠ Usa una cuenta de trading",IF(AND(G677&lt;=0,P677&lt;&gt;"Ajuste",P677&lt;&gt;"Resultado trading"),"⚠ El monto debe ser positivo","✓")))))))))))))))</f>
        <v/>
      </c>
      <c r="P677" s="52">
        <f>IF(OR(B677="",G677=""),"",IF(C677="","Gasto",C677))</f>
        <v/>
      </c>
      <c r="Q677" s="52">
        <f>IF(P677="","",IF(J677&lt;&gt;"",J677,CuentaPred&amp;""))</f>
        <v/>
      </c>
      <c r="R677" s="52">
        <f>IF(P677="","",IF(ISNUMBER(I677),I677,TasaUSD))</f>
        <v/>
      </c>
      <c r="S677" s="53">
        <f>IF(P677="","",IF(H677="USD",G677*R677,G677))</f>
        <v/>
      </c>
      <c r="T677" s="53">
        <f>IF(P677="","",IF(H677="USD",G677,IF(R677&gt;0,G677/R677,0)))</f>
        <v/>
      </c>
      <c r="U677" s="53">
        <f>IF(P677="","",IF(P677="Gasto",S677,IF(P677="Reembolso",-S677,0)))</f>
        <v/>
      </c>
      <c r="V677" s="53">
        <f>IF(P677="","",IF(P677="Ingreso",S677,0))</f>
        <v/>
      </c>
      <c r="W677" s="53">
        <f>IF(P677="","",IF(P677="Resultado trading",S677,0))</f>
        <v/>
      </c>
      <c r="X677" s="52">
        <f>IF(OR(P677="Gasto",P677="Reembolso"),IF(M677&lt;&gt;"",M677,IFERROR(INDEX(catClasif,MATCH(D677&amp;"|"&amp;E677,catClave,0))&amp;"","Variable")),"")</f>
        <v/>
      </c>
      <c r="Y677" s="52">
        <f>IF(P677="","",IFERROR(INDEX(catGrupo,MATCH(D677&amp;"|"&amp;E677,catClave,0))&amp;"",""))</f>
        <v/>
      </c>
      <c r="Z677" s="52">
        <f>IF(P677="","",WEEKDAY(B677,2))</f>
        <v/>
      </c>
      <c r="AA677" s="52">
        <f>IF(P677="","",IF(AND(P677="Gasto",X677="Variable",D677&lt;&gt;catTrading,S677&gt;0,S677&lt;=Umbral),1,0))</f>
        <v/>
      </c>
      <c r="AB677" s="52">
        <f>IF(OR(P677="",Q677=""),"",IFERROR(IF(INDEX(ctaVinc,MATCH(Q677,ctaNombre,0))&amp;""&lt;&gt;"",INDEX(ctaVinc,MATCH(Q677,ctaNombre,0))&amp;"",Q677),Q677))</f>
        <v/>
      </c>
      <c r="AC677" s="52">
        <f>IF(OR(K677="",AND(P677&lt;&gt;"Transferencia",P677&lt;&gt;"Pago tarjeta")),"",IFERROR(IF(INDEX(ctaVinc,MATCH(K677,ctaNombre,0))&amp;""&lt;&gt;"",INDEX(ctaVinc,MATCH(K677,ctaNombre,0))&amp;"",K677),K677))</f>
        <v/>
      </c>
      <c r="AD677" s="52">
        <f>IF(AB677="","",IFERROR(INDEX(ctaTipo,MATCH(AB677,ctaNombre,0))&amp;"",""))</f>
        <v/>
      </c>
      <c r="AE677" s="52">
        <f>IF(AC677="","",IFERROR(INDEX(ctaTipo,MATCH(AC677,ctaNombre,0))&amp;"",""))</f>
        <v/>
      </c>
      <c r="AF677" s="53">
        <f>IF(OR(P677="",AB677=""),"",IF(OR(P677="Gasto",P677="Transferencia",P677="Pago tarjeta"),-1,1)*IF(IFERROR(INDEX(ctaMoneda,MATCH(AB677,ctaNombre,0))&amp;"","DOP")="USD",T677,S677))</f>
        <v/>
      </c>
      <c r="AG677" s="53">
        <f>IF(AC677="","",IF(IFERROR(INDEX(ctaMoneda,MATCH(AC677,ctaNombre,0))&amp;"","DOP")="USD",T677,S677))</f>
        <v/>
      </c>
      <c r="AH677" s="53">
        <f>IF(P677="","",IF(AND(AD677&lt;&gt;"",COUNTIFS(tcTipo,AD677,tcLiq,"Sí")&gt;0),IF(OR(P677="Gasto",P677="Transferencia",P677="Pago tarjeta"),-1,1)*S677,0)+IF(AND(AE677&lt;&gt;"",COUNTIFS(tcTipo,AE677,tcLiq,"Sí")&gt;0),S677,0))</f>
        <v/>
      </c>
      <c r="AI677" s="52">
        <f>IF(OR(L677="",P677=""),"",IF(COUNTIFS(L$6:L677,L677,P$6:P677,"?*")=1,MAX(AI$5:AI676)+1,""))</f>
        <v/>
      </c>
    </row>
    <row r="678">
      <c r="B678" s="47" t="n"/>
      <c r="C678" s="48" t="n"/>
      <c r="D678" s="48" t="n"/>
      <c r="E678" s="48" t="n"/>
      <c r="F678" s="48" t="n"/>
      <c r="G678" s="49" t="n"/>
      <c r="H678" s="48" t="n"/>
      <c r="I678" s="50" t="n"/>
      <c r="J678" s="48" t="n"/>
      <c r="K678" s="48" t="n"/>
      <c r="L678" s="48" t="n"/>
      <c r="M678" s="48" t="n"/>
      <c r="N678" s="48" t="n"/>
      <c r="O678" s="51">
        <f>IF(AND(B678="",G678="",C678="",D678="",J678=""),"",IF(B678="","⚠ Falta fecha",IF(G678="","⚠ Falta monto",IF(Q678="","⚠ Falta cuenta",IF(ISNA(MATCH(Q678,ctaNombre,0)),"⚠ Cuenta no registrada",IF(AND(OR(P678="Gasto",P678="Reembolso"),D678=""),"⚠ Falta categoría",IF(AND(D678&lt;&gt;"",E678&lt;&gt;"",ISNA(MATCH(D678&amp;"|"&amp;E678,catClave,0))),"⚠ Subcategoría no corresponde",IF(AND(OR(P678="Transferencia",P678="Pago tarjeta"),K678=""),"⚠ Falta cuenta destino",IF(AND(K678&lt;&gt;"",P678&lt;&gt;"Transferencia",P678&lt;&gt;"Pago tarjeta"),"⚠ Destino solo aplica a transferencias",IF(AND(K678&lt;&gt;"",K678=Q678),"⚠ Origen igual a destino",IF(AND(K678&lt;&gt;"",ISNA(MATCH(K678,ctaNombre,0))),"⚠ Destino no registrado",IF(AND(P678="Pago tarjeta",AE678&lt;&gt;"Tarjeta de crédito"),"⚠ El destino debe ser tarjeta de crédito",IF(AND(P678="Gasto",E678="Depósitos y retiros"),"⚠ Usa tipo Transferencia",IF(AND(P678="Resultado trading",AD678&lt;&gt;"Cuenta de trading"),"⚠ Usa una cuenta de trading",IF(AND(G678&lt;=0,P678&lt;&gt;"Ajuste",P678&lt;&gt;"Resultado trading"),"⚠ El monto debe ser positivo","✓")))))))))))))))</f>
        <v/>
      </c>
      <c r="P678" s="52">
        <f>IF(OR(B678="",G678=""),"",IF(C678="","Gasto",C678))</f>
        <v/>
      </c>
      <c r="Q678" s="52">
        <f>IF(P678="","",IF(J678&lt;&gt;"",J678,CuentaPred&amp;""))</f>
        <v/>
      </c>
      <c r="R678" s="52">
        <f>IF(P678="","",IF(ISNUMBER(I678),I678,TasaUSD))</f>
        <v/>
      </c>
      <c r="S678" s="53">
        <f>IF(P678="","",IF(H678="USD",G678*R678,G678))</f>
        <v/>
      </c>
      <c r="T678" s="53">
        <f>IF(P678="","",IF(H678="USD",G678,IF(R678&gt;0,G678/R678,0)))</f>
        <v/>
      </c>
      <c r="U678" s="53">
        <f>IF(P678="","",IF(P678="Gasto",S678,IF(P678="Reembolso",-S678,0)))</f>
        <v/>
      </c>
      <c r="V678" s="53">
        <f>IF(P678="","",IF(P678="Ingreso",S678,0))</f>
        <v/>
      </c>
      <c r="W678" s="53">
        <f>IF(P678="","",IF(P678="Resultado trading",S678,0))</f>
        <v/>
      </c>
      <c r="X678" s="52">
        <f>IF(OR(P678="Gasto",P678="Reembolso"),IF(M678&lt;&gt;"",M678,IFERROR(INDEX(catClasif,MATCH(D678&amp;"|"&amp;E678,catClave,0))&amp;"","Variable")),"")</f>
        <v/>
      </c>
      <c r="Y678" s="52">
        <f>IF(P678="","",IFERROR(INDEX(catGrupo,MATCH(D678&amp;"|"&amp;E678,catClave,0))&amp;"",""))</f>
        <v/>
      </c>
      <c r="Z678" s="52">
        <f>IF(P678="","",WEEKDAY(B678,2))</f>
        <v/>
      </c>
      <c r="AA678" s="52">
        <f>IF(P678="","",IF(AND(P678="Gasto",X678="Variable",D678&lt;&gt;catTrading,S678&gt;0,S678&lt;=Umbral),1,0))</f>
        <v/>
      </c>
      <c r="AB678" s="52">
        <f>IF(OR(P678="",Q678=""),"",IFERROR(IF(INDEX(ctaVinc,MATCH(Q678,ctaNombre,0))&amp;""&lt;&gt;"",INDEX(ctaVinc,MATCH(Q678,ctaNombre,0))&amp;"",Q678),Q678))</f>
        <v/>
      </c>
      <c r="AC678" s="52">
        <f>IF(OR(K678="",AND(P678&lt;&gt;"Transferencia",P678&lt;&gt;"Pago tarjeta")),"",IFERROR(IF(INDEX(ctaVinc,MATCH(K678,ctaNombre,0))&amp;""&lt;&gt;"",INDEX(ctaVinc,MATCH(K678,ctaNombre,0))&amp;"",K678),K678))</f>
        <v/>
      </c>
      <c r="AD678" s="52">
        <f>IF(AB678="","",IFERROR(INDEX(ctaTipo,MATCH(AB678,ctaNombre,0))&amp;"",""))</f>
        <v/>
      </c>
      <c r="AE678" s="52">
        <f>IF(AC678="","",IFERROR(INDEX(ctaTipo,MATCH(AC678,ctaNombre,0))&amp;"",""))</f>
        <v/>
      </c>
      <c r="AF678" s="53">
        <f>IF(OR(P678="",AB678=""),"",IF(OR(P678="Gasto",P678="Transferencia",P678="Pago tarjeta"),-1,1)*IF(IFERROR(INDEX(ctaMoneda,MATCH(AB678,ctaNombre,0))&amp;"","DOP")="USD",T678,S678))</f>
        <v/>
      </c>
      <c r="AG678" s="53">
        <f>IF(AC678="","",IF(IFERROR(INDEX(ctaMoneda,MATCH(AC678,ctaNombre,0))&amp;"","DOP")="USD",T678,S678))</f>
        <v/>
      </c>
      <c r="AH678" s="53">
        <f>IF(P678="","",IF(AND(AD678&lt;&gt;"",COUNTIFS(tcTipo,AD678,tcLiq,"Sí")&gt;0),IF(OR(P678="Gasto",P678="Transferencia",P678="Pago tarjeta"),-1,1)*S678,0)+IF(AND(AE678&lt;&gt;"",COUNTIFS(tcTipo,AE678,tcLiq,"Sí")&gt;0),S678,0))</f>
        <v/>
      </c>
      <c r="AI678" s="52">
        <f>IF(OR(L678="",P678=""),"",IF(COUNTIFS(L$6:L678,L678,P$6:P678,"?*")=1,MAX(AI$5:AI677)+1,""))</f>
        <v/>
      </c>
    </row>
    <row r="679">
      <c r="B679" s="47" t="n"/>
      <c r="C679" s="48" t="n"/>
      <c r="D679" s="48" t="n"/>
      <c r="E679" s="48" t="n"/>
      <c r="F679" s="48" t="n"/>
      <c r="G679" s="49" t="n"/>
      <c r="H679" s="48" t="n"/>
      <c r="I679" s="50" t="n"/>
      <c r="J679" s="48" t="n"/>
      <c r="K679" s="48" t="n"/>
      <c r="L679" s="48" t="n"/>
      <c r="M679" s="48" t="n"/>
      <c r="N679" s="48" t="n"/>
      <c r="O679" s="51">
        <f>IF(AND(B679="",G679="",C679="",D679="",J679=""),"",IF(B679="","⚠ Falta fecha",IF(G679="","⚠ Falta monto",IF(Q679="","⚠ Falta cuenta",IF(ISNA(MATCH(Q679,ctaNombre,0)),"⚠ Cuenta no registrada",IF(AND(OR(P679="Gasto",P679="Reembolso"),D679=""),"⚠ Falta categoría",IF(AND(D679&lt;&gt;"",E679&lt;&gt;"",ISNA(MATCH(D679&amp;"|"&amp;E679,catClave,0))),"⚠ Subcategoría no corresponde",IF(AND(OR(P679="Transferencia",P679="Pago tarjeta"),K679=""),"⚠ Falta cuenta destino",IF(AND(K679&lt;&gt;"",P679&lt;&gt;"Transferencia",P679&lt;&gt;"Pago tarjeta"),"⚠ Destino solo aplica a transferencias",IF(AND(K679&lt;&gt;"",K679=Q679),"⚠ Origen igual a destino",IF(AND(K679&lt;&gt;"",ISNA(MATCH(K679,ctaNombre,0))),"⚠ Destino no registrado",IF(AND(P679="Pago tarjeta",AE679&lt;&gt;"Tarjeta de crédito"),"⚠ El destino debe ser tarjeta de crédito",IF(AND(P679="Gasto",E679="Depósitos y retiros"),"⚠ Usa tipo Transferencia",IF(AND(P679="Resultado trading",AD679&lt;&gt;"Cuenta de trading"),"⚠ Usa una cuenta de trading",IF(AND(G679&lt;=0,P679&lt;&gt;"Ajuste",P679&lt;&gt;"Resultado trading"),"⚠ El monto debe ser positivo","✓")))))))))))))))</f>
        <v/>
      </c>
      <c r="P679" s="52">
        <f>IF(OR(B679="",G679=""),"",IF(C679="","Gasto",C679))</f>
        <v/>
      </c>
      <c r="Q679" s="52">
        <f>IF(P679="","",IF(J679&lt;&gt;"",J679,CuentaPred&amp;""))</f>
        <v/>
      </c>
      <c r="R679" s="52">
        <f>IF(P679="","",IF(ISNUMBER(I679),I679,TasaUSD))</f>
        <v/>
      </c>
      <c r="S679" s="53">
        <f>IF(P679="","",IF(H679="USD",G679*R679,G679))</f>
        <v/>
      </c>
      <c r="T679" s="53">
        <f>IF(P679="","",IF(H679="USD",G679,IF(R679&gt;0,G679/R679,0)))</f>
        <v/>
      </c>
      <c r="U679" s="53">
        <f>IF(P679="","",IF(P679="Gasto",S679,IF(P679="Reembolso",-S679,0)))</f>
        <v/>
      </c>
      <c r="V679" s="53">
        <f>IF(P679="","",IF(P679="Ingreso",S679,0))</f>
        <v/>
      </c>
      <c r="W679" s="53">
        <f>IF(P679="","",IF(P679="Resultado trading",S679,0))</f>
        <v/>
      </c>
      <c r="X679" s="52">
        <f>IF(OR(P679="Gasto",P679="Reembolso"),IF(M679&lt;&gt;"",M679,IFERROR(INDEX(catClasif,MATCH(D679&amp;"|"&amp;E679,catClave,0))&amp;"","Variable")),"")</f>
        <v/>
      </c>
      <c r="Y679" s="52">
        <f>IF(P679="","",IFERROR(INDEX(catGrupo,MATCH(D679&amp;"|"&amp;E679,catClave,0))&amp;"",""))</f>
        <v/>
      </c>
      <c r="Z679" s="52">
        <f>IF(P679="","",WEEKDAY(B679,2))</f>
        <v/>
      </c>
      <c r="AA679" s="52">
        <f>IF(P679="","",IF(AND(P679="Gasto",X679="Variable",D679&lt;&gt;catTrading,S679&gt;0,S679&lt;=Umbral),1,0))</f>
        <v/>
      </c>
      <c r="AB679" s="52">
        <f>IF(OR(P679="",Q679=""),"",IFERROR(IF(INDEX(ctaVinc,MATCH(Q679,ctaNombre,0))&amp;""&lt;&gt;"",INDEX(ctaVinc,MATCH(Q679,ctaNombre,0))&amp;"",Q679),Q679))</f>
        <v/>
      </c>
      <c r="AC679" s="52">
        <f>IF(OR(K679="",AND(P679&lt;&gt;"Transferencia",P679&lt;&gt;"Pago tarjeta")),"",IFERROR(IF(INDEX(ctaVinc,MATCH(K679,ctaNombre,0))&amp;""&lt;&gt;"",INDEX(ctaVinc,MATCH(K679,ctaNombre,0))&amp;"",K679),K679))</f>
        <v/>
      </c>
      <c r="AD679" s="52">
        <f>IF(AB679="","",IFERROR(INDEX(ctaTipo,MATCH(AB679,ctaNombre,0))&amp;"",""))</f>
        <v/>
      </c>
      <c r="AE679" s="52">
        <f>IF(AC679="","",IFERROR(INDEX(ctaTipo,MATCH(AC679,ctaNombre,0))&amp;"",""))</f>
        <v/>
      </c>
      <c r="AF679" s="53">
        <f>IF(OR(P679="",AB679=""),"",IF(OR(P679="Gasto",P679="Transferencia",P679="Pago tarjeta"),-1,1)*IF(IFERROR(INDEX(ctaMoneda,MATCH(AB679,ctaNombre,0))&amp;"","DOP")="USD",T679,S679))</f>
        <v/>
      </c>
      <c r="AG679" s="53">
        <f>IF(AC679="","",IF(IFERROR(INDEX(ctaMoneda,MATCH(AC679,ctaNombre,0))&amp;"","DOP")="USD",T679,S679))</f>
        <v/>
      </c>
      <c r="AH679" s="53">
        <f>IF(P679="","",IF(AND(AD679&lt;&gt;"",COUNTIFS(tcTipo,AD679,tcLiq,"Sí")&gt;0),IF(OR(P679="Gasto",P679="Transferencia",P679="Pago tarjeta"),-1,1)*S679,0)+IF(AND(AE679&lt;&gt;"",COUNTIFS(tcTipo,AE679,tcLiq,"Sí")&gt;0),S679,0))</f>
        <v/>
      </c>
      <c r="AI679" s="52">
        <f>IF(OR(L679="",P679=""),"",IF(COUNTIFS(L$6:L679,L679,P$6:P679,"?*")=1,MAX(AI$5:AI678)+1,""))</f>
        <v/>
      </c>
    </row>
    <row r="680">
      <c r="B680" s="47" t="n"/>
      <c r="C680" s="48" t="n"/>
      <c r="D680" s="48" t="n"/>
      <c r="E680" s="48" t="n"/>
      <c r="F680" s="48" t="n"/>
      <c r="G680" s="49" t="n"/>
      <c r="H680" s="48" t="n"/>
      <c r="I680" s="50" t="n"/>
      <c r="J680" s="48" t="n"/>
      <c r="K680" s="48" t="n"/>
      <c r="L680" s="48" t="n"/>
      <c r="M680" s="48" t="n"/>
      <c r="N680" s="48" t="n"/>
      <c r="O680" s="51">
        <f>IF(AND(B680="",G680="",C680="",D680="",J680=""),"",IF(B680="","⚠ Falta fecha",IF(G680="","⚠ Falta monto",IF(Q680="","⚠ Falta cuenta",IF(ISNA(MATCH(Q680,ctaNombre,0)),"⚠ Cuenta no registrada",IF(AND(OR(P680="Gasto",P680="Reembolso"),D680=""),"⚠ Falta categoría",IF(AND(D680&lt;&gt;"",E680&lt;&gt;"",ISNA(MATCH(D680&amp;"|"&amp;E680,catClave,0))),"⚠ Subcategoría no corresponde",IF(AND(OR(P680="Transferencia",P680="Pago tarjeta"),K680=""),"⚠ Falta cuenta destino",IF(AND(K680&lt;&gt;"",P680&lt;&gt;"Transferencia",P680&lt;&gt;"Pago tarjeta"),"⚠ Destino solo aplica a transferencias",IF(AND(K680&lt;&gt;"",K680=Q680),"⚠ Origen igual a destino",IF(AND(K680&lt;&gt;"",ISNA(MATCH(K680,ctaNombre,0))),"⚠ Destino no registrado",IF(AND(P680="Pago tarjeta",AE680&lt;&gt;"Tarjeta de crédito"),"⚠ El destino debe ser tarjeta de crédito",IF(AND(P680="Gasto",E680="Depósitos y retiros"),"⚠ Usa tipo Transferencia",IF(AND(P680="Resultado trading",AD680&lt;&gt;"Cuenta de trading"),"⚠ Usa una cuenta de trading",IF(AND(G680&lt;=0,P680&lt;&gt;"Ajuste",P680&lt;&gt;"Resultado trading"),"⚠ El monto debe ser positivo","✓")))))))))))))))</f>
        <v/>
      </c>
      <c r="P680" s="52">
        <f>IF(OR(B680="",G680=""),"",IF(C680="","Gasto",C680))</f>
        <v/>
      </c>
      <c r="Q680" s="52">
        <f>IF(P680="","",IF(J680&lt;&gt;"",J680,CuentaPred&amp;""))</f>
        <v/>
      </c>
      <c r="R680" s="52">
        <f>IF(P680="","",IF(ISNUMBER(I680),I680,TasaUSD))</f>
        <v/>
      </c>
      <c r="S680" s="53">
        <f>IF(P680="","",IF(H680="USD",G680*R680,G680))</f>
        <v/>
      </c>
      <c r="T680" s="53">
        <f>IF(P680="","",IF(H680="USD",G680,IF(R680&gt;0,G680/R680,0)))</f>
        <v/>
      </c>
      <c r="U680" s="53">
        <f>IF(P680="","",IF(P680="Gasto",S680,IF(P680="Reembolso",-S680,0)))</f>
        <v/>
      </c>
      <c r="V680" s="53">
        <f>IF(P680="","",IF(P680="Ingreso",S680,0))</f>
        <v/>
      </c>
      <c r="W680" s="53">
        <f>IF(P680="","",IF(P680="Resultado trading",S680,0))</f>
        <v/>
      </c>
      <c r="X680" s="52">
        <f>IF(OR(P680="Gasto",P680="Reembolso"),IF(M680&lt;&gt;"",M680,IFERROR(INDEX(catClasif,MATCH(D680&amp;"|"&amp;E680,catClave,0))&amp;"","Variable")),"")</f>
        <v/>
      </c>
      <c r="Y680" s="52">
        <f>IF(P680="","",IFERROR(INDEX(catGrupo,MATCH(D680&amp;"|"&amp;E680,catClave,0))&amp;"",""))</f>
        <v/>
      </c>
      <c r="Z680" s="52">
        <f>IF(P680="","",WEEKDAY(B680,2))</f>
        <v/>
      </c>
      <c r="AA680" s="52">
        <f>IF(P680="","",IF(AND(P680="Gasto",X680="Variable",D680&lt;&gt;catTrading,S680&gt;0,S680&lt;=Umbral),1,0))</f>
        <v/>
      </c>
      <c r="AB680" s="52">
        <f>IF(OR(P680="",Q680=""),"",IFERROR(IF(INDEX(ctaVinc,MATCH(Q680,ctaNombre,0))&amp;""&lt;&gt;"",INDEX(ctaVinc,MATCH(Q680,ctaNombre,0))&amp;"",Q680),Q680))</f>
        <v/>
      </c>
      <c r="AC680" s="52">
        <f>IF(OR(K680="",AND(P680&lt;&gt;"Transferencia",P680&lt;&gt;"Pago tarjeta")),"",IFERROR(IF(INDEX(ctaVinc,MATCH(K680,ctaNombre,0))&amp;""&lt;&gt;"",INDEX(ctaVinc,MATCH(K680,ctaNombre,0))&amp;"",K680),K680))</f>
        <v/>
      </c>
      <c r="AD680" s="52">
        <f>IF(AB680="","",IFERROR(INDEX(ctaTipo,MATCH(AB680,ctaNombre,0))&amp;"",""))</f>
        <v/>
      </c>
      <c r="AE680" s="52">
        <f>IF(AC680="","",IFERROR(INDEX(ctaTipo,MATCH(AC680,ctaNombre,0))&amp;"",""))</f>
        <v/>
      </c>
      <c r="AF680" s="53">
        <f>IF(OR(P680="",AB680=""),"",IF(OR(P680="Gasto",P680="Transferencia",P680="Pago tarjeta"),-1,1)*IF(IFERROR(INDEX(ctaMoneda,MATCH(AB680,ctaNombre,0))&amp;"","DOP")="USD",T680,S680))</f>
        <v/>
      </c>
      <c r="AG680" s="53">
        <f>IF(AC680="","",IF(IFERROR(INDEX(ctaMoneda,MATCH(AC680,ctaNombre,0))&amp;"","DOP")="USD",T680,S680))</f>
        <v/>
      </c>
      <c r="AH680" s="53">
        <f>IF(P680="","",IF(AND(AD680&lt;&gt;"",COUNTIFS(tcTipo,AD680,tcLiq,"Sí")&gt;0),IF(OR(P680="Gasto",P680="Transferencia",P680="Pago tarjeta"),-1,1)*S680,0)+IF(AND(AE680&lt;&gt;"",COUNTIFS(tcTipo,AE680,tcLiq,"Sí")&gt;0),S680,0))</f>
        <v/>
      </c>
      <c r="AI680" s="52">
        <f>IF(OR(L680="",P680=""),"",IF(COUNTIFS(L$6:L680,L680,P$6:P680,"?*")=1,MAX(AI$5:AI679)+1,""))</f>
        <v/>
      </c>
    </row>
    <row r="681">
      <c r="B681" s="47" t="n"/>
      <c r="C681" s="48" t="n"/>
      <c r="D681" s="48" t="n"/>
      <c r="E681" s="48" t="n"/>
      <c r="F681" s="48" t="n"/>
      <c r="G681" s="49" t="n"/>
      <c r="H681" s="48" t="n"/>
      <c r="I681" s="50" t="n"/>
      <c r="J681" s="48" t="n"/>
      <c r="K681" s="48" t="n"/>
      <c r="L681" s="48" t="n"/>
      <c r="M681" s="48" t="n"/>
      <c r="N681" s="48" t="n"/>
      <c r="O681" s="51">
        <f>IF(AND(B681="",G681="",C681="",D681="",J681=""),"",IF(B681="","⚠ Falta fecha",IF(G681="","⚠ Falta monto",IF(Q681="","⚠ Falta cuenta",IF(ISNA(MATCH(Q681,ctaNombre,0)),"⚠ Cuenta no registrada",IF(AND(OR(P681="Gasto",P681="Reembolso"),D681=""),"⚠ Falta categoría",IF(AND(D681&lt;&gt;"",E681&lt;&gt;"",ISNA(MATCH(D681&amp;"|"&amp;E681,catClave,0))),"⚠ Subcategoría no corresponde",IF(AND(OR(P681="Transferencia",P681="Pago tarjeta"),K681=""),"⚠ Falta cuenta destino",IF(AND(K681&lt;&gt;"",P681&lt;&gt;"Transferencia",P681&lt;&gt;"Pago tarjeta"),"⚠ Destino solo aplica a transferencias",IF(AND(K681&lt;&gt;"",K681=Q681),"⚠ Origen igual a destino",IF(AND(K681&lt;&gt;"",ISNA(MATCH(K681,ctaNombre,0))),"⚠ Destino no registrado",IF(AND(P681="Pago tarjeta",AE681&lt;&gt;"Tarjeta de crédito"),"⚠ El destino debe ser tarjeta de crédito",IF(AND(P681="Gasto",E681="Depósitos y retiros"),"⚠ Usa tipo Transferencia",IF(AND(P681="Resultado trading",AD681&lt;&gt;"Cuenta de trading"),"⚠ Usa una cuenta de trading",IF(AND(G681&lt;=0,P681&lt;&gt;"Ajuste",P681&lt;&gt;"Resultado trading"),"⚠ El monto debe ser positivo","✓")))))))))))))))</f>
        <v/>
      </c>
      <c r="P681" s="52">
        <f>IF(OR(B681="",G681=""),"",IF(C681="","Gasto",C681))</f>
        <v/>
      </c>
      <c r="Q681" s="52">
        <f>IF(P681="","",IF(J681&lt;&gt;"",J681,CuentaPred&amp;""))</f>
        <v/>
      </c>
      <c r="R681" s="52">
        <f>IF(P681="","",IF(ISNUMBER(I681),I681,TasaUSD))</f>
        <v/>
      </c>
      <c r="S681" s="53">
        <f>IF(P681="","",IF(H681="USD",G681*R681,G681))</f>
        <v/>
      </c>
      <c r="T681" s="53">
        <f>IF(P681="","",IF(H681="USD",G681,IF(R681&gt;0,G681/R681,0)))</f>
        <v/>
      </c>
      <c r="U681" s="53">
        <f>IF(P681="","",IF(P681="Gasto",S681,IF(P681="Reembolso",-S681,0)))</f>
        <v/>
      </c>
      <c r="V681" s="53">
        <f>IF(P681="","",IF(P681="Ingreso",S681,0))</f>
        <v/>
      </c>
      <c r="W681" s="53">
        <f>IF(P681="","",IF(P681="Resultado trading",S681,0))</f>
        <v/>
      </c>
      <c r="X681" s="52">
        <f>IF(OR(P681="Gasto",P681="Reembolso"),IF(M681&lt;&gt;"",M681,IFERROR(INDEX(catClasif,MATCH(D681&amp;"|"&amp;E681,catClave,0))&amp;"","Variable")),"")</f>
        <v/>
      </c>
      <c r="Y681" s="52">
        <f>IF(P681="","",IFERROR(INDEX(catGrupo,MATCH(D681&amp;"|"&amp;E681,catClave,0))&amp;"",""))</f>
        <v/>
      </c>
      <c r="Z681" s="52">
        <f>IF(P681="","",WEEKDAY(B681,2))</f>
        <v/>
      </c>
      <c r="AA681" s="52">
        <f>IF(P681="","",IF(AND(P681="Gasto",X681="Variable",D681&lt;&gt;catTrading,S681&gt;0,S681&lt;=Umbral),1,0))</f>
        <v/>
      </c>
      <c r="AB681" s="52">
        <f>IF(OR(P681="",Q681=""),"",IFERROR(IF(INDEX(ctaVinc,MATCH(Q681,ctaNombre,0))&amp;""&lt;&gt;"",INDEX(ctaVinc,MATCH(Q681,ctaNombre,0))&amp;"",Q681),Q681))</f>
        <v/>
      </c>
      <c r="AC681" s="52">
        <f>IF(OR(K681="",AND(P681&lt;&gt;"Transferencia",P681&lt;&gt;"Pago tarjeta")),"",IFERROR(IF(INDEX(ctaVinc,MATCH(K681,ctaNombre,0))&amp;""&lt;&gt;"",INDEX(ctaVinc,MATCH(K681,ctaNombre,0))&amp;"",K681),K681))</f>
        <v/>
      </c>
      <c r="AD681" s="52">
        <f>IF(AB681="","",IFERROR(INDEX(ctaTipo,MATCH(AB681,ctaNombre,0))&amp;"",""))</f>
        <v/>
      </c>
      <c r="AE681" s="52">
        <f>IF(AC681="","",IFERROR(INDEX(ctaTipo,MATCH(AC681,ctaNombre,0))&amp;"",""))</f>
        <v/>
      </c>
      <c r="AF681" s="53">
        <f>IF(OR(P681="",AB681=""),"",IF(OR(P681="Gasto",P681="Transferencia",P681="Pago tarjeta"),-1,1)*IF(IFERROR(INDEX(ctaMoneda,MATCH(AB681,ctaNombre,0))&amp;"","DOP")="USD",T681,S681))</f>
        <v/>
      </c>
      <c r="AG681" s="53">
        <f>IF(AC681="","",IF(IFERROR(INDEX(ctaMoneda,MATCH(AC681,ctaNombre,0))&amp;"","DOP")="USD",T681,S681))</f>
        <v/>
      </c>
      <c r="AH681" s="53">
        <f>IF(P681="","",IF(AND(AD681&lt;&gt;"",COUNTIFS(tcTipo,AD681,tcLiq,"Sí")&gt;0),IF(OR(P681="Gasto",P681="Transferencia",P681="Pago tarjeta"),-1,1)*S681,0)+IF(AND(AE681&lt;&gt;"",COUNTIFS(tcTipo,AE681,tcLiq,"Sí")&gt;0),S681,0))</f>
        <v/>
      </c>
      <c r="AI681" s="52">
        <f>IF(OR(L681="",P681=""),"",IF(COUNTIFS(L$6:L681,L681,P$6:P681,"?*")=1,MAX(AI$5:AI680)+1,""))</f>
        <v/>
      </c>
    </row>
    <row r="682">
      <c r="B682" s="47" t="n"/>
      <c r="C682" s="48" t="n"/>
      <c r="D682" s="48" t="n"/>
      <c r="E682" s="48" t="n"/>
      <c r="F682" s="48" t="n"/>
      <c r="G682" s="49" t="n"/>
      <c r="H682" s="48" t="n"/>
      <c r="I682" s="50" t="n"/>
      <c r="J682" s="48" t="n"/>
      <c r="K682" s="48" t="n"/>
      <c r="L682" s="48" t="n"/>
      <c r="M682" s="48" t="n"/>
      <c r="N682" s="48" t="n"/>
      <c r="O682" s="51">
        <f>IF(AND(B682="",G682="",C682="",D682="",J682=""),"",IF(B682="","⚠ Falta fecha",IF(G682="","⚠ Falta monto",IF(Q682="","⚠ Falta cuenta",IF(ISNA(MATCH(Q682,ctaNombre,0)),"⚠ Cuenta no registrada",IF(AND(OR(P682="Gasto",P682="Reembolso"),D682=""),"⚠ Falta categoría",IF(AND(D682&lt;&gt;"",E682&lt;&gt;"",ISNA(MATCH(D682&amp;"|"&amp;E682,catClave,0))),"⚠ Subcategoría no corresponde",IF(AND(OR(P682="Transferencia",P682="Pago tarjeta"),K682=""),"⚠ Falta cuenta destino",IF(AND(K682&lt;&gt;"",P682&lt;&gt;"Transferencia",P682&lt;&gt;"Pago tarjeta"),"⚠ Destino solo aplica a transferencias",IF(AND(K682&lt;&gt;"",K682=Q682),"⚠ Origen igual a destino",IF(AND(K682&lt;&gt;"",ISNA(MATCH(K682,ctaNombre,0))),"⚠ Destino no registrado",IF(AND(P682="Pago tarjeta",AE682&lt;&gt;"Tarjeta de crédito"),"⚠ El destino debe ser tarjeta de crédito",IF(AND(P682="Gasto",E682="Depósitos y retiros"),"⚠ Usa tipo Transferencia",IF(AND(P682="Resultado trading",AD682&lt;&gt;"Cuenta de trading"),"⚠ Usa una cuenta de trading",IF(AND(G682&lt;=0,P682&lt;&gt;"Ajuste",P682&lt;&gt;"Resultado trading"),"⚠ El monto debe ser positivo","✓")))))))))))))))</f>
        <v/>
      </c>
      <c r="P682" s="52">
        <f>IF(OR(B682="",G682=""),"",IF(C682="","Gasto",C682))</f>
        <v/>
      </c>
      <c r="Q682" s="52">
        <f>IF(P682="","",IF(J682&lt;&gt;"",J682,CuentaPred&amp;""))</f>
        <v/>
      </c>
      <c r="R682" s="52">
        <f>IF(P682="","",IF(ISNUMBER(I682),I682,TasaUSD))</f>
        <v/>
      </c>
      <c r="S682" s="53">
        <f>IF(P682="","",IF(H682="USD",G682*R682,G682))</f>
        <v/>
      </c>
      <c r="T682" s="53">
        <f>IF(P682="","",IF(H682="USD",G682,IF(R682&gt;0,G682/R682,0)))</f>
        <v/>
      </c>
      <c r="U682" s="53">
        <f>IF(P682="","",IF(P682="Gasto",S682,IF(P682="Reembolso",-S682,0)))</f>
        <v/>
      </c>
      <c r="V682" s="53">
        <f>IF(P682="","",IF(P682="Ingreso",S682,0))</f>
        <v/>
      </c>
      <c r="W682" s="53">
        <f>IF(P682="","",IF(P682="Resultado trading",S682,0))</f>
        <v/>
      </c>
      <c r="X682" s="52">
        <f>IF(OR(P682="Gasto",P682="Reembolso"),IF(M682&lt;&gt;"",M682,IFERROR(INDEX(catClasif,MATCH(D682&amp;"|"&amp;E682,catClave,0))&amp;"","Variable")),"")</f>
        <v/>
      </c>
      <c r="Y682" s="52">
        <f>IF(P682="","",IFERROR(INDEX(catGrupo,MATCH(D682&amp;"|"&amp;E682,catClave,0))&amp;"",""))</f>
        <v/>
      </c>
      <c r="Z682" s="52">
        <f>IF(P682="","",WEEKDAY(B682,2))</f>
        <v/>
      </c>
      <c r="AA682" s="52">
        <f>IF(P682="","",IF(AND(P682="Gasto",X682="Variable",D682&lt;&gt;catTrading,S682&gt;0,S682&lt;=Umbral),1,0))</f>
        <v/>
      </c>
      <c r="AB682" s="52">
        <f>IF(OR(P682="",Q682=""),"",IFERROR(IF(INDEX(ctaVinc,MATCH(Q682,ctaNombre,0))&amp;""&lt;&gt;"",INDEX(ctaVinc,MATCH(Q682,ctaNombre,0))&amp;"",Q682),Q682))</f>
        <v/>
      </c>
      <c r="AC682" s="52">
        <f>IF(OR(K682="",AND(P682&lt;&gt;"Transferencia",P682&lt;&gt;"Pago tarjeta")),"",IFERROR(IF(INDEX(ctaVinc,MATCH(K682,ctaNombre,0))&amp;""&lt;&gt;"",INDEX(ctaVinc,MATCH(K682,ctaNombre,0))&amp;"",K682),K682))</f>
        <v/>
      </c>
      <c r="AD682" s="52">
        <f>IF(AB682="","",IFERROR(INDEX(ctaTipo,MATCH(AB682,ctaNombre,0))&amp;"",""))</f>
        <v/>
      </c>
      <c r="AE682" s="52">
        <f>IF(AC682="","",IFERROR(INDEX(ctaTipo,MATCH(AC682,ctaNombre,0))&amp;"",""))</f>
        <v/>
      </c>
      <c r="AF682" s="53">
        <f>IF(OR(P682="",AB682=""),"",IF(OR(P682="Gasto",P682="Transferencia",P682="Pago tarjeta"),-1,1)*IF(IFERROR(INDEX(ctaMoneda,MATCH(AB682,ctaNombre,0))&amp;"","DOP")="USD",T682,S682))</f>
        <v/>
      </c>
      <c r="AG682" s="53">
        <f>IF(AC682="","",IF(IFERROR(INDEX(ctaMoneda,MATCH(AC682,ctaNombre,0))&amp;"","DOP")="USD",T682,S682))</f>
        <v/>
      </c>
      <c r="AH682" s="53">
        <f>IF(P682="","",IF(AND(AD682&lt;&gt;"",COUNTIFS(tcTipo,AD682,tcLiq,"Sí")&gt;0),IF(OR(P682="Gasto",P682="Transferencia",P682="Pago tarjeta"),-1,1)*S682,0)+IF(AND(AE682&lt;&gt;"",COUNTIFS(tcTipo,AE682,tcLiq,"Sí")&gt;0),S682,0))</f>
        <v/>
      </c>
      <c r="AI682" s="52">
        <f>IF(OR(L682="",P682=""),"",IF(COUNTIFS(L$6:L682,L682,P$6:P682,"?*")=1,MAX(AI$5:AI681)+1,""))</f>
        <v/>
      </c>
    </row>
    <row r="683">
      <c r="B683" s="47" t="n"/>
      <c r="C683" s="48" t="n"/>
      <c r="D683" s="48" t="n"/>
      <c r="E683" s="48" t="n"/>
      <c r="F683" s="48" t="n"/>
      <c r="G683" s="49" t="n"/>
      <c r="H683" s="48" t="n"/>
      <c r="I683" s="50" t="n"/>
      <c r="J683" s="48" t="n"/>
      <c r="K683" s="48" t="n"/>
      <c r="L683" s="48" t="n"/>
      <c r="M683" s="48" t="n"/>
      <c r="N683" s="48" t="n"/>
      <c r="O683" s="51">
        <f>IF(AND(B683="",G683="",C683="",D683="",J683=""),"",IF(B683="","⚠ Falta fecha",IF(G683="","⚠ Falta monto",IF(Q683="","⚠ Falta cuenta",IF(ISNA(MATCH(Q683,ctaNombre,0)),"⚠ Cuenta no registrada",IF(AND(OR(P683="Gasto",P683="Reembolso"),D683=""),"⚠ Falta categoría",IF(AND(D683&lt;&gt;"",E683&lt;&gt;"",ISNA(MATCH(D683&amp;"|"&amp;E683,catClave,0))),"⚠ Subcategoría no corresponde",IF(AND(OR(P683="Transferencia",P683="Pago tarjeta"),K683=""),"⚠ Falta cuenta destino",IF(AND(K683&lt;&gt;"",P683&lt;&gt;"Transferencia",P683&lt;&gt;"Pago tarjeta"),"⚠ Destino solo aplica a transferencias",IF(AND(K683&lt;&gt;"",K683=Q683),"⚠ Origen igual a destino",IF(AND(K683&lt;&gt;"",ISNA(MATCH(K683,ctaNombre,0))),"⚠ Destino no registrado",IF(AND(P683="Pago tarjeta",AE683&lt;&gt;"Tarjeta de crédito"),"⚠ El destino debe ser tarjeta de crédito",IF(AND(P683="Gasto",E683="Depósitos y retiros"),"⚠ Usa tipo Transferencia",IF(AND(P683="Resultado trading",AD683&lt;&gt;"Cuenta de trading"),"⚠ Usa una cuenta de trading",IF(AND(G683&lt;=0,P683&lt;&gt;"Ajuste",P683&lt;&gt;"Resultado trading"),"⚠ El monto debe ser positivo","✓")))))))))))))))</f>
        <v/>
      </c>
      <c r="P683" s="52">
        <f>IF(OR(B683="",G683=""),"",IF(C683="","Gasto",C683))</f>
        <v/>
      </c>
      <c r="Q683" s="52">
        <f>IF(P683="","",IF(J683&lt;&gt;"",J683,CuentaPred&amp;""))</f>
        <v/>
      </c>
      <c r="R683" s="52">
        <f>IF(P683="","",IF(ISNUMBER(I683),I683,TasaUSD))</f>
        <v/>
      </c>
      <c r="S683" s="53">
        <f>IF(P683="","",IF(H683="USD",G683*R683,G683))</f>
        <v/>
      </c>
      <c r="T683" s="53">
        <f>IF(P683="","",IF(H683="USD",G683,IF(R683&gt;0,G683/R683,0)))</f>
        <v/>
      </c>
      <c r="U683" s="53">
        <f>IF(P683="","",IF(P683="Gasto",S683,IF(P683="Reembolso",-S683,0)))</f>
        <v/>
      </c>
      <c r="V683" s="53">
        <f>IF(P683="","",IF(P683="Ingreso",S683,0))</f>
        <v/>
      </c>
      <c r="W683" s="53">
        <f>IF(P683="","",IF(P683="Resultado trading",S683,0))</f>
        <v/>
      </c>
      <c r="X683" s="52">
        <f>IF(OR(P683="Gasto",P683="Reembolso"),IF(M683&lt;&gt;"",M683,IFERROR(INDEX(catClasif,MATCH(D683&amp;"|"&amp;E683,catClave,0))&amp;"","Variable")),"")</f>
        <v/>
      </c>
      <c r="Y683" s="52">
        <f>IF(P683="","",IFERROR(INDEX(catGrupo,MATCH(D683&amp;"|"&amp;E683,catClave,0))&amp;"",""))</f>
        <v/>
      </c>
      <c r="Z683" s="52">
        <f>IF(P683="","",WEEKDAY(B683,2))</f>
        <v/>
      </c>
      <c r="AA683" s="52">
        <f>IF(P683="","",IF(AND(P683="Gasto",X683="Variable",D683&lt;&gt;catTrading,S683&gt;0,S683&lt;=Umbral),1,0))</f>
        <v/>
      </c>
      <c r="AB683" s="52">
        <f>IF(OR(P683="",Q683=""),"",IFERROR(IF(INDEX(ctaVinc,MATCH(Q683,ctaNombre,0))&amp;""&lt;&gt;"",INDEX(ctaVinc,MATCH(Q683,ctaNombre,0))&amp;"",Q683),Q683))</f>
        <v/>
      </c>
      <c r="AC683" s="52">
        <f>IF(OR(K683="",AND(P683&lt;&gt;"Transferencia",P683&lt;&gt;"Pago tarjeta")),"",IFERROR(IF(INDEX(ctaVinc,MATCH(K683,ctaNombre,0))&amp;""&lt;&gt;"",INDEX(ctaVinc,MATCH(K683,ctaNombre,0))&amp;"",K683),K683))</f>
        <v/>
      </c>
      <c r="AD683" s="52">
        <f>IF(AB683="","",IFERROR(INDEX(ctaTipo,MATCH(AB683,ctaNombre,0))&amp;"",""))</f>
        <v/>
      </c>
      <c r="AE683" s="52">
        <f>IF(AC683="","",IFERROR(INDEX(ctaTipo,MATCH(AC683,ctaNombre,0))&amp;"",""))</f>
        <v/>
      </c>
      <c r="AF683" s="53">
        <f>IF(OR(P683="",AB683=""),"",IF(OR(P683="Gasto",P683="Transferencia",P683="Pago tarjeta"),-1,1)*IF(IFERROR(INDEX(ctaMoneda,MATCH(AB683,ctaNombre,0))&amp;"","DOP")="USD",T683,S683))</f>
        <v/>
      </c>
      <c r="AG683" s="53">
        <f>IF(AC683="","",IF(IFERROR(INDEX(ctaMoneda,MATCH(AC683,ctaNombre,0))&amp;"","DOP")="USD",T683,S683))</f>
        <v/>
      </c>
      <c r="AH683" s="53">
        <f>IF(P683="","",IF(AND(AD683&lt;&gt;"",COUNTIFS(tcTipo,AD683,tcLiq,"Sí")&gt;0),IF(OR(P683="Gasto",P683="Transferencia",P683="Pago tarjeta"),-1,1)*S683,0)+IF(AND(AE683&lt;&gt;"",COUNTIFS(tcTipo,AE683,tcLiq,"Sí")&gt;0),S683,0))</f>
        <v/>
      </c>
      <c r="AI683" s="52">
        <f>IF(OR(L683="",P683=""),"",IF(COUNTIFS(L$6:L683,L683,P$6:P683,"?*")=1,MAX(AI$5:AI682)+1,""))</f>
        <v/>
      </c>
    </row>
    <row r="684">
      <c r="B684" s="47" t="n"/>
      <c r="C684" s="48" t="n"/>
      <c r="D684" s="48" t="n"/>
      <c r="E684" s="48" t="n"/>
      <c r="F684" s="48" t="n"/>
      <c r="G684" s="49" t="n"/>
      <c r="H684" s="48" t="n"/>
      <c r="I684" s="50" t="n"/>
      <c r="J684" s="48" t="n"/>
      <c r="K684" s="48" t="n"/>
      <c r="L684" s="48" t="n"/>
      <c r="M684" s="48" t="n"/>
      <c r="N684" s="48" t="n"/>
      <c r="O684" s="51">
        <f>IF(AND(B684="",G684="",C684="",D684="",J684=""),"",IF(B684="","⚠ Falta fecha",IF(G684="","⚠ Falta monto",IF(Q684="","⚠ Falta cuenta",IF(ISNA(MATCH(Q684,ctaNombre,0)),"⚠ Cuenta no registrada",IF(AND(OR(P684="Gasto",P684="Reembolso"),D684=""),"⚠ Falta categoría",IF(AND(D684&lt;&gt;"",E684&lt;&gt;"",ISNA(MATCH(D684&amp;"|"&amp;E684,catClave,0))),"⚠ Subcategoría no corresponde",IF(AND(OR(P684="Transferencia",P684="Pago tarjeta"),K684=""),"⚠ Falta cuenta destino",IF(AND(K684&lt;&gt;"",P684&lt;&gt;"Transferencia",P684&lt;&gt;"Pago tarjeta"),"⚠ Destino solo aplica a transferencias",IF(AND(K684&lt;&gt;"",K684=Q684),"⚠ Origen igual a destino",IF(AND(K684&lt;&gt;"",ISNA(MATCH(K684,ctaNombre,0))),"⚠ Destino no registrado",IF(AND(P684="Pago tarjeta",AE684&lt;&gt;"Tarjeta de crédito"),"⚠ El destino debe ser tarjeta de crédito",IF(AND(P684="Gasto",E684="Depósitos y retiros"),"⚠ Usa tipo Transferencia",IF(AND(P684="Resultado trading",AD684&lt;&gt;"Cuenta de trading"),"⚠ Usa una cuenta de trading",IF(AND(G684&lt;=0,P684&lt;&gt;"Ajuste",P684&lt;&gt;"Resultado trading"),"⚠ El monto debe ser positivo","✓")))))))))))))))</f>
        <v/>
      </c>
      <c r="P684" s="52">
        <f>IF(OR(B684="",G684=""),"",IF(C684="","Gasto",C684))</f>
        <v/>
      </c>
      <c r="Q684" s="52">
        <f>IF(P684="","",IF(J684&lt;&gt;"",J684,CuentaPred&amp;""))</f>
        <v/>
      </c>
      <c r="R684" s="52">
        <f>IF(P684="","",IF(ISNUMBER(I684),I684,TasaUSD))</f>
        <v/>
      </c>
      <c r="S684" s="53">
        <f>IF(P684="","",IF(H684="USD",G684*R684,G684))</f>
        <v/>
      </c>
      <c r="T684" s="53">
        <f>IF(P684="","",IF(H684="USD",G684,IF(R684&gt;0,G684/R684,0)))</f>
        <v/>
      </c>
      <c r="U684" s="53">
        <f>IF(P684="","",IF(P684="Gasto",S684,IF(P684="Reembolso",-S684,0)))</f>
        <v/>
      </c>
      <c r="V684" s="53">
        <f>IF(P684="","",IF(P684="Ingreso",S684,0))</f>
        <v/>
      </c>
      <c r="W684" s="53">
        <f>IF(P684="","",IF(P684="Resultado trading",S684,0))</f>
        <v/>
      </c>
      <c r="X684" s="52">
        <f>IF(OR(P684="Gasto",P684="Reembolso"),IF(M684&lt;&gt;"",M684,IFERROR(INDEX(catClasif,MATCH(D684&amp;"|"&amp;E684,catClave,0))&amp;"","Variable")),"")</f>
        <v/>
      </c>
      <c r="Y684" s="52">
        <f>IF(P684="","",IFERROR(INDEX(catGrupo,MATCH(D684&amp;"|"&amp;E684,catClave,0))&amp;"",""))</f>
        <v/>
      </c>
      <c r="Z684" s="52">
        <f>IF(P684="","",WEEKDAY(B684,2))</f>
        <v/>
      </c>
      <c r="AA684" s="52">
        <f>IF(P684="","",IF(AND(P684="Gasto",X684="Variable",D684&lt;&gt;catTrading,S684&gt;0,S684&lt;=Umbral),1,0))</f>
        <v/>
      </c>
      <c r="AB684" s="52">
        <f>IF(OR(P684="",Q684=""),"",IFERROR(IF(INDEX(ctaVinc,MATCH(Q684,ctaNombre,0))&amp;""&lt;&gt;"",INDEX(ctaVinc,MATCH(Q684,ctaNombre,0))&amp;"",Q684),Q684))</f>
        <v/>
      </c>
      <c r="AC684" s="52">
        <f>IF(OR(K684="",AND(P684&lt;&gt;"Transferencia",P684&lt;&gt;"Pago tarjeta")),"",IFERROR(IF(INDEX(ctaVinc,MATCH(K684,ctaNombre,0))&amp;""&lt;&gt;"",INDEX(ctaVinc,MATCH(K684,ctaNombre,0))&amp;"",K684),K684))</f>
        <v/>
      </c>
      <c r="AD684" s="52">
        <f>IF(AB684="","",IFERROR(INDEX(ctaTipo,MATCH(AB684,ctaNombre,0))&amp;"",""))</f>
        <v/>
      </c>
      <c r="AE684" s="52">
        <f>IF(AC684="","",IFERROR(INDEX(ctaTipo,MATCH(AC684,ctaNombre,0))&amp;"",""))</f>
        <v/>
      </c>
      <c r="AF684" s="53">
        <f>IF(OR(P684="",AB684=""),"",IF(OR(P684="Gasto",P684="Transferencia",P684="Pago tarjeta"),-1,1)*IF(IFERROR(INDEX(ctaMoneda,MATCH(AB684,ctaNombre,0))&amp;"","DOP")="USD",T684,S684))</f>
        <v/>
      </c>
      <c r="AG684" s="53">
        <f>IF(AC684="","",IF(IFERROR(INDEX(ctaMoneda,MATCH(AC684,ctaNombre,0))&amp;"","DOP")="USD",T684,S684))</f>
        <v/>
      </c>
      <c r="AH684" s="53">
        <f>IF(P684="","",IF(AND(AD684&lt;&gt;"",COUNTIFS(tcTipo,AD684,tcLiq,"Sí")&gt;0),IF(OR(P684="Gasto",P684="Transferencia",P684="Pago tarjeta"),-1,1)*S684,0)+IF(AND(AE684&lt;&gt;"",COUNTIFS(tcTipo,AE684,tcLiq,"Sí")&gt;0),S684,0))</f>
        <v/>
      </c>
      <c r="AI684" s="52">
        <f>IF(OR(L684="",P684=""),"",IF(COUNTIFS(L$6:L684,L684,P$6:P684,"?*")=1,MAX(AI$5:AI683)+1,""))</f>
        <v/>
      </c>
    </row>
    <row r="685">
      <c r="B685" s="47" t="n"/>
      <c r="C685" s="48" t="n"/>
      <c r="D685" s="48" t="n"/>
      <c r="E685" s="48" t="n"/>
      <c r="F685" s="48" t="n"/>
      <c r="G685" s="49" t="n"/>
      <c r="H685" s="48" t="n"/>
      <c r="I685" s="50" t="n"/>
      <c r="J685" s="48" t="n"/>
      <c r="K685" s="48" t="n"/>
      <c r="L685" s="48" t="n"/>
      <c r="M685" s="48" t="n"/>
      <c r="N685" s="48" t="n"/>
      <c r="O685" s="51">
        <f>IF(AND(B685="",G685="",C685="",D685="",J685=""),"",IF(B685="","⚠ Falta fecha",IF(G685="","⚠ Falta monto",IF(Q685="","⚠ Falta cuenta",IF(ISNA(MATCH(Q685,ctaNombre,0)),"⚠ Cuenta no registrada",IF(AND(OR(P685="Gasto",P685="Reembolso"),D685=""),"⚠ Falta categoría",IF(AND(D685&lt;&gt;"",E685&lt;&gt;"",ISNA(MATCH(D685&amp;"|"&amp;E685,catClave,0))),"⚠ Subcategoría no corresponde",IF(AND(OR(P685="Transferencia",P685="Pago tarjeta"),K685=""),"⚠ Falta cuenta destino",IF(AND(K685&lt;&gt;"",P685&lt;&gt;"Transferencia",P685&lt;&gt;"Pago tarjeta"),"⚠ Destino solo aplica a transferencias",IF(AND(K685&lt;&gt;"",K685=Q685),"⚠ Origen igual a destino",IF(AND(K685&lt;&gt;"",ISNA(MATCH(K685,ctaNombre,0))),"⚠ Destino no registrado",IF(AND(P685="Pago tarjeta",AE685&lt;&gt;"Tarjeta de crédito"),"⚠ El destino debe ser tarjeta de crédito",IF(AND(P685="Gasto",E685="Depósitos y retiros"),"⚠ Usa tipo Transferencia",IF(AND(P685="Resultado trading",AD685&lt;&gt;"Cuenta de trading"),"⚠ Usa una cuenta de trading",IF(AND(G685&lt;=0,P685&lt;&gt;"Ajuste",P685&lt;&gt;"Resultado trading"),"⚠ El monto debe ser positivo","✓")))))))))))))))</f>
        <v/>
      </c>
      <c r="P685" s="52">
        <f>IF(OR(B685="",G685=""),"",IF(C685="","Gasto",C685))</f>
        <v/>
      </c>
      <c r="Q685" s="52">
        <f>IF(P685="","",IF(J685&lt;&gt;"",J685,CuentaPred&amp;""))</f>
        <v/>
      </c>
      <c r="R685" s="52">
        <f>IF(P685="","",IF(ISNUMBER(I685),I685,TasaUSD))</f>
        <v/>
      </c>
      <c r="S685" s="53">
        <f>IF(P685="","",IF(H685="USD",G685*R685,G685))</f>
        <v/>
      </c>
      <c r="T685" s="53">
        <f>IF(P685="","",IF(H685="USD",G685,IF(R685&gt;0,G685/R685,0)))</f>
        <v/>
      </c>
      <c r="U685" s="53">
        <f>IF(P685="","",IF(P685="Gasto",S685,IF(P685="Reembolso",-S685,0)))</f>
        <v/>
      </c>
      <c r="V685" s="53">
        <f>IF(P685="","",IF(P685="Ingreso",S685,0))</f>
        <v/>
      </c>
      <c r="W685" s="53">
        <f>IF(P685="","",IF(P685="Resultado trading",S685,0))</f>
        <v/>
      </c>
      <c r="X685" s="52">
        <f>IF(OR(P685="Gasto",P685="Reembolso"),IF(M685&lt;&gt;"",M685,IFERROR(INDEX(catClasif,MATCH(D685&amp;"|"&amp;E685,catClave,0))&amp;"","Variable")),"")</f>
        <v/>
      </c>
      <c r="Y685" s="52">
        <f>IF(P685="","",IFERROR(INDEX(catGrupo,MATCH(D685&amp;"|"&amp;E685,catClave,0))&amp;"",""))</f>
        <v/>
      </c>
      <c r="Z685" s="52">
        <f>IF(P685="","",WEEKDAY(B685,2))</f>
        <v/>
      </c>
      <c r="AA685" s="52">
        <f>IF(P685="","",IF(AND(P685="Gasto",X685="Variable",D685&lt;&gt;catTrading,S685&gt;0,S685&lt;=Umbral),1,0))</f>
        <v/>
      </c>
      <c r="AB685" s="52">
        <f>IF(OR(P685="",Q685=""),"",IFERROR(IF(INDEX(ctaVinc,MATCH(Q685,ctaNombre,0))&amp;""&lt;&gt;"",INDEX(ctaVinc,MATCH(Q685,ctaNombre,0))&amp;"",Q685),Q685))</f>
        <v/>
      </c>
      <c r="AC685" s="52">
        <f>IF(OR(K685="",AND(P685&lt;&gt;"Transferencia",P685&lt;&gt;"Pago tarjeta")),"",IFERROR(IF(INDEX(ctaVinc,MATCH(K685,ctaNombre,0))&amp;""&lt;&gt;"",INDEX(ctaVinc,MATCH(K685,ctaNombre,0))&amp;"",K685),K685))</f>
        <v/>
      </c>
      <c r="AD685" s="52">
        <f>IF(AB685="","",IFERROR(INDEX(ctaTipo,MATCH(AB685,ctaNombre,0))&amp;"",""))</f>
        <v/>
      </c>
      <c r="AE685" s="52">
        <f>IF(AC685="","",IFERROR(INDEX(ctaTipo,MATCH(AC685,ctaNombre,0))&amp;"",""))</f>
        <v/>
      </c>
      <c r="AF685" s="53">
        <f>IF(OR(P685="",AB685=""),"",IF(OR(P685="Gasto",P685="Transferencia",P685="Pago tarjeta"),-1,1)*IF(IFERROR(INDEX(ctaMoneda,MATCH(AB685,ctaNombre,0))&amp;"","DOP")="USD",T685,S685))</f>
        <v/>
      </c>
      <c r="AG685" s="53">
        <f>IF(AC685="","",IF(IFERROR(INDEX(ctaMoneda,MATCH(AC685,ctaNombre,0))&amp;"","DOP")="USD",T685,S685))</f>
        <v/>
      </c>
      <c r="AH685" s="53">
        <f>IF(P685="","",IF(AND(AD685&lt;&gt;"",COUNTIFS(tcTipo,AD685,tcLiq,"Sí")&gt;0),IF(OR(P685="Gasto",P685="Transferencia",P685="Pago tarjeta"),-1,1)*S685,0)+IF(AND(AE685&lt;&gt;"",COUNTIFS(tcTipo,AE685,tcLiq,"Sí")&gt;0),S685,0))</f>
        <v/>
      </c>
      <c r="AI685" s="52">
        <f>IF(OR(L685="",P685=""),"",IF(COUNTIFS(L$6:L685,L685,P$6:P685,"?*")=1,MAX(AI$5:AI684)+1,""))</f>
        <v/>
      </c>
    </row>
    <row r="686">
      <c r="B686" s="47" t="n"/>
      <c r="C686" s="48" t="n"/>
      <c r="D686" s="48" t="n"/>
      <c r="E686" s="48" t="n"/>
      <c r="F686" s="48" t="n"/>
      <c r="G686" s="49" t="n"/>
      <c r="H686" s="48" t="n"/>
      <c r="I686" s="50" t="n"/>
      <c r="J686" s="48" t="n"/>
      <c r="K686" s="48" t="n"/>
      <c r="L686" s="48" t="n"/>
      <c r="M686" s="48" t="n"/>
      <c r="N686" s="48" t="n"/>
      <c r="O686" s="51">
        <f>IF(AND(B686="",G686="",C686="",D686="",J686=""),"",IF(B686="","⚠ Falta fecha",IF(G686="","⚠ Falta monto",IF(Q686="","⚠ Falta cuenta",IF(ISNA(MATCH(Q686,ctaNombre,0)),"⚠ Cuenta no registrada",IF(AND(OR(P686="Gasto",P686="Reembolso"),D686=""),"⚠ Falta categoría",IF(AND(D686&lt;&gt;"",E686&lt;&gt;"",ISNA(MATCH(D686&amp;"|"&amp;E686,catClave,0))),"⚠ Subcategoría no corresponde",IF(AND(OR(P686="Transferencia",P686="Pago tarjeta"),K686=""),"⚠ Falta cuenta destino",IF(AND(K686&lt;&gt;"",P686&lt;&gt;"Transferencia",P686&lt;&gt;"Pago tarjeta"),"⚠ Destino solo aplica a transferencias",IF(AND(K686&lt;&gt;"",K686=Q686),"⚠ Origen igual a destino",IF(AND(K686&lt;&gt;"",ISNA(MATCH(K686,ctaNombre,0))),"⚠ Destino no registrado",IF(AND(P686="Pago tarjeta",AE686&lt;&gt;"Tarjeta de crédito"),"⚠ El destino debe ser tarjeta de crédito",IF(AND(P686="Gasto",E686="Depósitos y retiros"),"⚠ Usa tipo Transferencia",IF(AND(P686="Resultado trading",AD686&lt;&gt;"Cuenta de trading"),"⚠ Usa una cuenta de trading",IF(AND(G686&lt;=0,P686&lt;&gt;"Ajuste",P686&lt;&gt;"Resultado trading"),"⚠ El monto debe ser positivo","✓")))))))))))))))</f>
        <v/>
      </c>
      <c r="P686" s="52">
        <f>IF(OR(B686="",G686=""),"",IF(C686="","Gasto",C686))</f>
        <v/>
      </c>
      <c r="Q686" s="52">
        <f>IF(P686="","",IF(J686&lt;&gt;"",J686,CuentaPred&amp;""))</f>
        <v/>
      </c>
      <c r="R686" s="52">
        <f>IF(P686="","",IF(ISNUMBER(I686),I686,TasaUSD))</f>
        <v/>
      </c>
      <c r="S686" s="53">
        <f>IF(P686="","",IF(H686="USD",G686*R686,G686))</f>
        <v/>
      </c>
      <c r="T686" s="53">
        <f>IF(P686="","",IF(H686="USD",G686,IF(R686&gt;0,G686/R686,0)))</f>
        <v/>
      </c>
      <c r="U686" s="53">
        <f>IF(P686="","",IF(P686="Gasto",S686,IF(P686="Reembolso",-S686,0)))</f>
        <v/>
      </c>
      <c r="V686" s="53">
        <f>IF(P686="","",IF(P686="Ingreso",S686,0))</f>
        <v/>
      </c>
      <c r="W686" s="53">
        <f>IF(P686="","",IF(P686="Resultado trading",S686,0))</f>
        <v/>
      </c>
      <c r="X686" s="52">
        <f>IF(OR(P686="Gasto",P686="Reembolso"),IF(M686&lt;&gt;"",M686,IFERROR(INDEX(catClasif,MATCH(D686&amp;"|"&amp;E686,catClave,0))&amp;"","Variable")),"")</f>
        <v/>
      </c>
      <c r="Y686" s="52">
        <f>IF(P686="","",IFERROR(INDEX(catGrupo,MATCH(D686&amp;"|"&amp;E686,catClave,0))&amp;"",""))</f>
        <v/>
      </c>
      <c r="Z686" s="52">
        <f>IF(P686="","",WEEKDAY(B686,2))</f>
        <v/>
      </c>
      <c r="AA686" s="52">
        <f>IF(P686="","",IF(AND(P686="Gasto",X686="Variable",D686&lt;&gt;catTrading,S686&gt;0,S686&lt;=Umbral),1,0))</f>
        <v/>
      </c>
      <c r="AB686" s="52">
        <f>IF(OR(P686="",Q686=""),"",IFERROR(IF(INDEX(ctaVinc,MATCH(Q686,ctaNombre,0))&amp;""&lt;&gt;"",INDEX(ctaVinc,MATCH(Q686,ctaNombre,0))&amp;"",Q686),Q686))</f>
        <v/>
      </c>
      <c r="AC686" s="52">
        <f>IF(OR(K686="",AND(P686&lt;&gt;"Transferencia",P686&lt;&gt;"Pago tarjeta")),"",IFERROR(IF(INDEX(ctaVinc,MATCH(K686,ctaNombre,0))&amp;""&lt;&gt;"",INDEX(ctaVinc,MATCH(K686,ctaNombre,0))&amp;"",K686),K686))</f>
        <v/>
      </c>
      <c r="AD686" s="52">
        <f>IF(AB686="","",IFERROR(INDEX(ctaTipo,MATCH(AB686,ctaNombre,0))&amp;"",""))</f>
        <v/>
      </c>
      <c r="AE686" s="52">
        <f>IF(AC686="","",IFERROR(INDEX(ctaTipo,MATCH(AC686,ctaNombre,0))&amp;"",""))</f>
        <v/>
      </c>
      <c r="AF686" s="53">
        <f>IF(OR(P686="",AB686=""),"",IF(OR(P686="Gasto",P686="Transferencia",P686="Pago tarjeta"),-1,1)*IF(IFERROR(INDEX(ctaMoneda,MATCH(AB686,ctaNombre,0))&amp;"","DOP")="USD",T686,S686))</f>
        <v/>
      </c>
      <c r="AG686" s="53">
        <f>IF(AC686="","",IF(IFERROR(INDEX(ctaMoneda,MATCH(AC686,ctaNombre,0))&amp;"","DOP")="USD",T686,S686))</f>
        <v/>
      </c>
      <c r="AH686" s="53">
        <f>IF(P686="","",IF(AND(AD686&lt;&gt;"",COUNTIFS(tcTipo,AD686,tcLiq,"Sí")&gt;0),IF(OR(P686="Gasto",P686="Transferencia",P686="Pago tarjeta"),-1,1)*S686,0)+IF(AND(AE686&lt;&gt;"",COUNTIFS(tcTipo,AE686,tcLiq,"Sí")&gt;0),S686,0))</f>
        <v/>
      </c>
      <c r="AI686" s="52">
        <f>IF(OR(L686="",P686=""),"",IF(COUNTIFS(L$6:L686,L686,P$6:P686,"?*")=1,MAX(AI$5:AI685)+1,""))</f>
        <v/>
      </c>
    </row>
    <row r="687">
      <c r="B687" s="47" t="n"/>
      <c r="C687" s="48" t="n"/>
      <c r="D687" s="48" t="n"/>
      <c r="E687" s="48" t="n"/>
      <c r="F687" s="48" t="n"/>
      <c r="G687" s="49" t="n"/>
      <c r="H687" s="48" t="n"/>
      <c r="I687" s="50" t="n"/>
      <c r="J687" s="48" t="n"/>
      <c r="K687" s="48" t="n"/>
      <c r="L687" s="48" t="n"/>
      <c r="M687" s="48" t="n"/>
      <c r="N687" s="48" t="n"/>
      <c r="O687" s="51">
        <f>IF(AND(B687="",G687="",C687="",D687="",J687=""),"",IF(B687="","⚠ Falta fecha",IF(G687="","⚠ Falta monto",IF(Q687="","⚠ Falta cuenta",IF(ISNA(MATCH(Q687,ctaNombre,0)),"⚠ Cuenta no registrada",IF(AND(OR(P687="Gasto",P687="Reembolso"),D687=""),"⚠ Falta categoría",IF(AND(D687&lt;&gt;"",E687&lt;&gt;"",ISNA(MATCH(D687&amp;"|"&amp;E687,catClave,0))),"⚠ Subcategoría no corresponde",IF(AND(OR(P687="Transferencia",P687="Pago tarjeta"),K687=""),"⚠ Falta cuenta destino",IF(AND(K687&lt;&gt;"",P687&lt;&gt;"Transferencia",P687&lt;&gt;"Pago tarjeta"),"⚠ Destino solo aplica a transferencias",IF(AND(K687&lt;&gt;"",K687=Q687),"⚠ Origen igual a destino",IF(AND(K687&lt;&gt;"",ISNA(MATCH(K687,ctaNombre,0))),"⚠ Destino no registrado",IF(AND(P687="Pago tarjeta",AE687&lt;&gt;"Tarjeta de crédito"),"⚠ El destino debe ser tarjeta de crédito",IF(AND(P687="Gasto",E687="Depósitos y retiros"),"⚠ Usa tipo Transferencia",IF(AND(P687="Resultado trading",AD687&lt;&gt;"Cuenta de trading"),"⚠ Usa una cuenta de trading",IF(AND(G687&lt;=0,P687&lt;&gt;"Ajuste",P687&lt;&gt;"Resultado trading"),"⚠ El monto debe ser positivo","✓")))))))))))))))</f>
        <v/>
      </c>
      <c r="P687" s="52">
        <f>IF(OR(B687="",G687=""),"",IF(C687="","Gasto",C687))</f>
        <v/>
      </c>
      <c r="Q687" s="52">
        <f>IF(P687="","",IF(J687&lt;&gt;"",J687,CuentaPred&amp;""))</f>
        <v/>
      </c>
      <c r="R687" s="52">
        <f>IF(P687="","",IF(ISNUMBER(I687),I687,TasaUSD))</f>
        <v/>
      </c>
      <c r="S687" s="53">
        <f>IF(P687="","",IF(H687="USD",G687*R687,G687))</f>
        <v/>
      </c>
      <c r="T687" s="53">
        <f>IF(P687="","",IF(H687="USD",G687,IF(R687&gt;0,G687/R687,0)))</f>
        <v/>
      </c>
      <c r="U687" s="53">
        <f>IF(P687="","",IF(P687="Gasto",S687,IF(P687="Reembolso",-S687,0)))</f>
        <v/>
      </c>
      <c r="V687" s="53">
        <f>IF(P687="","",IF(P687="Ingreso",S687,0))</f>
        <v/>
      </c>
      <c r="W687" s="53">
        <f>IF(P687="","",IF(P687="Resultado trading",S687,0))</f>
        <v/>
      </c>
      <c r="X687" s="52">
        <f>IF(OR(P687="Gasto",P687="Reembolso"),IF(M687&lt;&gt;"",M687,IFERROR(INDEX(catClasif,MATCH(D687&amp;"|"&amp;E687,catClave,0))&amp;"","Variable")),"")</f>
        <v/>
      </c>
      <c r="Y687" s="52">
        <f>IF(P687="","",IFERROR(INDEX(catGrupo,MATCH(D687&amp;"|"&amp;E687,catClave,0))&amp;"",""))</f>
        <v/>
      </c>
      <c r="Z687" s="52">
        <f>IF(P687="","",WEEKDAY(B687,2))</f>
        <v/>
      </c>
      <c r="AA687" s="52">
        <f>IF(P687="","",IF(AND(P687="Gasto",X687="Variable",D687&lt;&gt;catTrading,S687&gt;0,S687&lt;=Umbral),1,0))</f>
        <v/>
      </c>
      <c r="AB687" s="52">
        <f>IF(OR(P687="",Q687=""),"",IFERROR(IF(INDEX(ctaVinc,MATCH(Q687,ctaNombre,0))&amp;""&lt;&gt;"",INDEX(ctaVinc,MATCH(Q687,ctaNombre,0))&amp;"",Q687),Q687))</f>
        <v/>
      </c>
      <c r="AC687" s="52">
        <f>IF(OR(K687="",AND(P687&lt;&gt;"Transferencia",P687&lt;&gt;"Pago tarjeta")),"",IFERROR(IF(INDEX(ctaVinc,MATCH(K687,ctaNombre,0))&amp;""&lt;&gt;"",INDEX(ctaVinc,MATCH(K687,ctaNombre,0))&amp;"",K687),K687))</f>
        <v/>
      </c>
      <c r="AD687" s="52">
        <f>IF(AB687="","",IFERROR(INDEX(ctaTipo,MATCH(AB687,ctaNombre,0))&amp;"",""))</f>
        <v/>
      </c>
      <c r="AE687" s="52">
        <f>IF(AC687="","",IFERROR(INDEX(ctaTipo,MATCH(AC687,ctaNombre,0))&amp;"",""))</f>
        <v/>
      </c>
      <c r="AF687" s="53">
        <f>IF(OR(P687="",AB687=""),"",IF(OR(P687="Gasto",P687="Transferencia",P687="Pago tarjeta"),-1,1)*IF(IFERROR(INDEX(ctaMoneda,MATCH(AB687,ctaNombre,0))&amp;"","DOP")="USD",T687,S687))</f>
        <v/>
      </c>
      <c r="AG687" s="53">
        <f>IF(AC687="","",IF(IFERROR(INDEX(ctaMoneda,MATCH(AC687,ctaNombre,0))&amp;"","DOP")="USD",T687,S687))</f>
        <v/>
      </c>
      <c r="AH687" s="53">
        <f>IF(P687="","",IF(AND(AD687&lt;&gt;"",COUNTIFS(tcTipo,AD687,tcLiq,"Sí")&gt;0),IF(OR(P687="Gasto",P687="Transferencia",P687="Pago tarjeta"),-1,1)*S687,0)+IF(AND(AE687&lt;&gt;"",COUNTIFS(tcTipo,AE687,tcLiq,"Sí")&gt;0),S687,0))</f>
        <v/>
      </c>
      <c r="AI687" s="52">
        <f>IF(OR(L687="",P687=""),"",IF(COUNTIFS(L$6:L687,L687,P$6:P687,"?*")=1,MAX(AI$5:AI686)+1,""))</f>
        <v/>
      </c>
    </row>
    <row r="688">
      <c r="B688" s="47" t="n"/>
      <c r="C688" s="48" t="n"/>
      <c r="D688" s="48" t="n"/>
      <c r="E688" s="48" t="n"/>
      <c r="F688" s="48" t="n"/>
      <c r="G688" s="49" t="n"/>
      <c r="H688" s="48" t="n"/>
      <c r="I688" s="50" t="n"/>
      <c r="J688" s="48" t="n"/>
      <c r="K688" s="48" t="n"/>
      <c r="L688" s="48" t="n"/>
      <c r="M688" s="48" t="n"/>
      <c r="N688" s="48" t="n"/>
      <c r="O688" s="51">
        <f>IF(AND(B688="",G688="",C688="",D688="",J688=""),"",IF(B688="","⚠ Falta fecha",IF(G688="","⚠ Falta monto",IF(Q688="","⚠ Falta cuenta",IF(ISNA(MATCH(Q688,ctaNombre,0)),"⚠ Cuenta no registrada",IF(AND(OR(P688="Gasto",P688="Reembolso"),D688=""),"⚠ Falta categoría",IF(AND(D688&lt;&gt;"",E688&lt;&gt;"",ISNA(MATCH(D688&amp;"|"&amp;E688,catClave,0))),"⚠ Subcategoría no corresponde",IF(AND(OR(P688="Transferencia",P688="Pago tarjeta"),K688=""),"⚠ Falta cuenta destino",IF(AND(K688&lt;&gt;"",P688&lt;&gt;"Transferencia",P688&lt;&gt;"Pago tarjeta"),"⚠ Destino solo aplica a transferencias",IF(AND(K688&lt;&gt;"",K688=Q688),"⚠ Origen igual a destino",IF(AND(K688&lt;&gt;"",ISNA(MATCH(K688,ctaNombre,0))),"⚠ Destino no registrado",IF(AND(P688="Pago tarjeta",AE688&lt;&gt;"Tarjeta de crédito"),"⚠ El destino debe ser tarjeta de crédito",IF(AND(P688="Gasto",E688="Depósitos y retiros"),"⚠ Usa tipo Transferencia",IF(AND(P688="Resultado trading",AD688&lt;&gt;"Cuenta de trading"),"⚠ Usa una cuenta de trading",IF(AND(G688&lt;=0,P688&lt;&gt;"Ajuste",P688&lt;&gt;"Resultado trading"),"⚠ El monto debe ser positivo","✓")))))))))))))))</f>
        <v/>
      </c>
      <c r="P688" s="52">
        <f>IF(OR(B688="",G688=""),"",IF(C688="","Gasto",C688))</f>
        <v/>
      </c>
      <c r="Q688" s="52">
        <f>IF(P688="","",IF(J688&lt;&gt;"",J688,CuentaPred&amp;""))</f>
        <v/>
      </c>
      <c r="R688" s="52">
        <f>IF(P688="","",IF(ISNUMBER(I688),I688,TasaUSD))</f>
        <v/>
      </c>
      <c r="S688" s="53">
        <f>IF(P688="","",IF(H688="USD",G688*R688,G688))</f>
        <v/>
      </c>
      <c r="T688" s="53">
        <f>IF(P688="","",IF(H688="USD",G688,IF(R688&gt;0,G688/R688,0)))</f>
        <v/>
      </c>
      <c r="U688" s="53">
        <f>IF(P688="","",IF(P688="Gasto",S688,IF(P688="Reembolso",-S688,0)))</f>
        <v/>
      </c>
      <c r="V688" s="53">
        <f>IF(P688="","",IF(P688="Ingreso",S688,0))</f>
        <v/>
      </c>
      <c r="W688" s="53">
        <f>IF(P688="","",IF(P688="Resultado trading",S688,0))</f>
        <v/>
      </c>
      <c r="X688" s="52">
        <f>IF(OR(P688="Gasto",P688="Reembolso"),IF(M688&lt;&gt;"",M688,IFERROR(INDEX(catClasif,MATCH(D688&amp;"|"&amp;E688,catClave,0))&amp;"","Variable")),"")</f>
        <v/>
      </c>
      <c r="Y688" s="52">
        <f>IF(P688="","",IFERROR(INDEX(catGrupo,MATCH(D688&amp;"|"&amp;E688,catClave,0))&amp;"",""))</f>
        <v/>
      </c>
      <c r="Z688" s="52">
        <f>IF(P688="","",WEEKDAY(B688,2))</f>
        <v/>
      </c>
      <c r="AA688" s="52">
        <f>IF(P688="","",IF(AND(P688="Gasto",X688="Variable",D688&lt;&gt;catTrading,S688&gt;0,S688&lt;=Umbral),1,0))</f>
        <v/>
      </c>
      <c r="AB688" s="52">
        <f>IF(OR(P688="",Q688=""),"",IFERROR(IF(INDEX(ctaVinc,MATCH(Q688,ctaNombre,0))&amp;""&lt;&gt;"",INDEX(ctaVinc,MATCH(Q688,ctaNombre,0))&amp;"",Q688),Q688))</f>
        <v/>
      </c>
      <c r="AC688" s="52">
        <f>IF(OR(K688="",AND(P688&lt;&gt;"Transferencia",P688&lt;&gt;"Pago tarjeta")),"",IFERROR(IF(INDEX(ctaVinc,MATCH(K688,ctaNombre,0))&amp;""&lt;&gt;"",INDEX(ctaVinc,MATCH(K688,ctaNombre,0))&amp;"",K688),K688))</f>
        <v/>
      </c>
      <c r="AD688" s="52">
        <f>IF(AB688="","",IFERROR(INDEX(ctaTipo,MATCH(AB688,ctaNombre,0))&amp;"",""))</f>
        <v/>
      </c>
      <c r="AE688" s="52">
        <f>IF(AC688="","",IFERROR(INDEX(ctaTipo,MATCH(AC688,ctaNombre,0))&amp;"",""))</f>
        <v/>
      </c>
      <c r="AF688" s="53">
        <f>IF(OR(P688="",AB688=""),"",IF(OR(P688="Gasto",P688="Transferencia",P688="Pago tarjeta"),-1,1)*IF(IFERROR(INDEX(ctaMoneda,MATCH(AB688,ctaNombre,0))&amp;"","DOP")="USD",T688,S688))</f>
        <v/>
      </c>
      <c r="AG688" s="53">
        <f>IF(AC688="","",IF(IFERROR(INDEX(ctaMoneda,MATCH(AC688,ctaNombre,0))&amp;"","DOP")="USD",T688,S688))</f>
        <v/>
      </c>
      <c r="AH688" s="53">
        <f>IF(P688="","",IF(AND(AD688&lt;&gt;"",COUNTIFS(tcTipo,AD688,tcLiq,"Sí")&gt;0),IF(OR(P688="Gasto",P688="Transferencia",P688="Pago tarjeta"),-1,1)*S688,0)+IF(AND(AE688&lt;&gt;"",COUNTIFS(tcTipo,AE688,tcLiq,"Sí")&gt;0),S688,0))</f>
        <v/>
      </c>
      <c r="AI688" s="52">
        <f>IF(OR(L688="",P688=""),"",IF(COUNTIFS(L$6:L688,L688,P$6:P688,"?*")=1,MAX(AI$5:AI687)+1,""))</f>
        <v/>
      </c>
    </row>
    <row r="689">
      <c r="B689" s="47" t="n"/>
      <c r="C689" s="48" t="n"/>
      <c r="D689" s="48" t="n"/>
      <c r="E689" s="48" t="n"/>
      <c r="F689" s="48" t="n"/>
      <c r="G689" s="49" t="n"/>
      <c r="H689" s="48" t="n"/>
      <c r="I689" s="50" t="n"/>
      <c r="J689" s="48" t="n"/>
      <c r="K689" s="48" t="n"/>
      <c r="L689" s="48" t="n"/>
      <c r="M689" s="48" t="n"/>
      <c r="N689" s="48" t="n"/>
      <c r="O689" s="51">
        <f>IF(AND(B689="",G689="",C689="",D689="",J689=""),"",IF(B689="","⚠ Falta fecha",IF(G689="","⚠ Falta monto",IF(Q689="","⚠ Falta cuenta",IF(ISNA(MATCH(Q689,ctaNombre,0)),"⚠ Cuenta no registrada",IF(AND(OR(P689="Gasto",P689="Reembolso"),D689=""),"⚠ Falta categoría",IF(AND(D689&lt;&gt;"",E689&lt;&gt;"",ISNA(MATCH(D689&amp;"|"&amp;E689,catClave,0))),"⚠ Subcategoría no corresponde",IF(AND(OR(P689="Transferencia",P689="Pago tarjeta"),K689=""),"⚠ Falta cuenta destino",IF(AND(K689&lt;&gt;"",P689&lt;&gt;"Transferencia",P689&lt;&gt;"Pago tarjeta"),"⚠ Destino solo aplica a transferencias",IF(AND(K689&lt;&gt;"",K689=Q689),"⚠ Origen igual a destino",IF(AND(K689&lt;&gt;"",ISNA(MATCH(K689,ctaNombre,0))),"⚠ Destino no registrado",IF(AND(P689="Pago tarjeta",AE689&lt;&gt;"Tarjeta de crédito"),"⚠ El destino debe ser tarjeta de crédito",IF(AND(P689="Gasto",E689="Depósitos y retiros"),"⚠ Usa tipo Transferencia",IF(AND(P689="Resultado trading",AD689&lt;&gt;"Cuenta de trading"),"⚠ Usa una cuenta de trading",IF(AND(G689&lt;=0,P689&lt;&gt;"Ajuste",P689&lt;&gt;"Resultado trading"),"⚠ El monto debe ser positivo","✓")))))))))))))))</f>
        <v/>
      </c>
      <c r="P689" s="52">
        <f>IF(OR(B689="",G689=""),"",IF(C689="","Gasto",C689))</f>
        <v/>
      </c>
      <c r="Q689" s="52">
        <f>IF(P689="","",IF(J689&lt;&gt;"",J689,CuentaPred&amp;""))</f>
        <v/>
      </c>
      <c r="R689" s="52">
        <f>IF(P689="","",IF(ISNUMBER(I689),I689,TasaUSD))</f>
        <v/>
      </c>
      <c r="S689" s="53">
        <f>IF(P689="","",IF(H689="USD",G689*R689,G689))</f>
        <v/>
      </c>
      <c r="T689" s="53">
        <f>IF(P689="","",IF(H689="USD",G689,IF(R689&gt;0,G689/R689,0)))</f>
        <v/>
      </c>
      <c r="U689" s="53">
        <f>IF(P689="","",IF(P689="Gasto",S689,IF(P689="Reembolso",-S689,0)))</f>
        <v/>
      </c>
      <c r="V689" s="53">
        <f>IF(P689="","",IF(P689="Ingreso",S689,0))</f>
        <v/>
      </c>
      <c r="W689" s="53">
        <f>IF(P689="","",IF(P689="Resultado trading",S689,0))</f>
        <v/>
      </c>
      <c r="X689" s="52">
        <f>IF(OR(P689="Gasto",P689="Reembolso"),IF(M689&lt;&gt;"",M689,IFERROR(INDEX(catClasif,MATCH(D689&amp;"|"&amp;E689,catClave,0))&amp;"","Variable")),"")</f>
        <v/>
      </c>
      <c r="Y689" s="52">
        <f>IF(P689="","",IFERROR(INDEX(catGrupo,MATCH(D689&amp;"|"&amp;E689,catClave,0))&amp;"",""))</f>
        <v/>
      </c>
      <c r="Z689" s="52">
        <f>IF(P689="","",WEEKDAY(B689,2))</f>
        <v/>
      </c>
      <c r="AA689" s="52">
        <f>IF(P689="","",IF(AND(P689="Gasto",X689="Variable",D689&lt;&gt;catTrading,S689&gt;0,S689&lt;=Umbral),1,0))</f>
        <v/>
      </c>
      <c r="AB689" s="52">
        <f>IF(OR(P689="",Q689=""),"",IFERROR(IF(INDEX(ctaVinc,MATCH(Q689,ctaNombre,0))&amp;""&lt;&gt;"",INDEX(ctaVinc,MATCH(Q689,ctaNombre,0))&amp;"",Q689),Q689))</f>
        <v/>
      </c>
      <c r="AC689" s="52">
        <f>IF(OR(K689="",AND(P689&lt;&gt;"Transferencia",P689&lt;&gt;"Pago tarjeta")),"",IFERROR(IF(INDEX(ctaVinc,MATCH(K689,ctaNombre,0))&amp;""&lt;&gt;"",INDEX(ctaVinc,MATCH(K689,ctaNombre,0))&amp;"",K689),K689))</f>
        <v/>
      </c>
      <c r="AD689" s="52">
        <f>IF(AB689="","",IFERROR(INDEX(ctaTipo,MATCH(AB689,ctaNombre,0))&amp;"",""))</f>
        <v/>
      </c>
      <c r="AE689" s="52">
        <f>IF(AC689="","",IFERROR(INDEX(ctaTipo,MATCH(AC689,ctaNombre,0))&amp;"",""))</f>
        <v/>
      </c>
      <c r="AF689" s="53">
        <f>IF(OR(P689="",AB689=""),"",IF(OR(P689="Gasto",P689="Transferencia",P689="Pago tarjeta"),-1,1)*IF(IFERROR(INDEX(ctaMoneda,MATCH(AB689,ctaNombre,0))&amp;"","DOP")="USD",T689,S689))</f>
        <v/>
      </c>
      <c r="AG689" s="53">
        <f>IF(AC689="","",IF(IFERROR(INDEX(ctaMoneda,MATCH(AC689,ctaNombre,0))&amp;"","DOP")="USD",T689,S689))</f>
        <v/>
      </c>
      <c r="AH689" s="53">
        <f>IF(P689="","",IF(AND(AD689&lt;&gt;"",COUNTIFS(tcTipo,AD689,tcLiq,"Sí")&gt;0),IF(OR(P689="Gasto",P689="Transferencia",P689="Pago tarjeta"),-1,1)*S689,0)+IF(AND(AE689&lt;&gt;"",COUNTIFS(tcTipo,AE689,tcLiq,"Sí")&gt;0),S689,0))</f>
        <v/>
      </c>
      <c r="AI689" s="52">
        <f>IF(OR(L689="",P689=""),"",IF(COUNTIFS(L$6:L689,L689,P$6:P689,"?*")=1,MAX(AI$5:AI688)+1,""))</f>
        <v/>
      </c>
    </row>
    <row r="690">
      <c r="B690" s="47" t="n"/>
      <c r="C690" s="48" t="n"/>
      <c r="D690" s="48" t="n"/>
      <c r="E690" s="48" t="n"/>
      <c r="F690" s="48" t="n"/>
      <c r="G690" s="49" t="n"/>
      <c r="H690" s="48" t="n"/>
      <c r="I690" s="50" t="n"/>
      <c r="J690" s="48" t="n"/>
      <c r="K690" s="48" t="n"/>
      <c r="L690" s="48" t="n"/>
      <c r="M690" s="48" t="n"/>
      <c r="N690" s="48" t="n"/>
      <c r="O690" s="51">
        <f>IF(AND(B690="",G690="",C690="",D690="",J690=""),"",IF(B690="","⚠ Falta fecha",IF(G690="","⚠ Falta monto",IF(Q690="","⚠ Falta cuenta",IF(ISNA(MATCH(Q690,ctaNombre,0)),"⚠ Cuenta no registrada",IF(AND(OR(P690="Gasto",P690="Reembolso"),D690=""),"⚠ Falta categoría",IF(AND(D690&lt;&gt;"",E690&lt;&gt;"",ISNA(MATCH(D690&amp;"|"&amp;E690,catClave,0))),"⚠ Subcategoría no corresponde",IF(AND(OR(P690="Transferencia",P690="Pago tarjeta"),K690=""),"⚠ Falta cuenta destino",IF(AND(K690&lt;&gt;"",P690&lt;&gt;"Transferencia",P690&lt;&gt;"Pago tarjeta"),"⚠ Destino solo aplica a transferencias",IF(AND(K690&lt;&gt;"",K690=Q690),"⚠ Origen igual a destino",IF(AND(K690&lt;&gt;"",ISNA(MATCH(K690,ctaNombre,0))),"⚠ Destino no registrado",IF(AND(P690="Pago tarjeta",AE690&lt;&gt;"Tarjeta de crédito"),"⚠ El destino debe ser tarjeta de crédito",IF(AND(P690="Gasto",E690="Depósitos y retiros"),"⚠ Usa tipo Transferencia",IF(AND(P690="Resultado trading",AD690&lt;&gt;"Cuenta de trading"),"⚠ Usa una cuenta de trading",IF(AND(G690&lt;=0,P690&lt;&gt;"Ajuste",P690&lt;&gt;"Resultado trading"),"⚠ El monto debe ser positivo","✓")))))))))))))))</f>
        <v/>
      </c>
      <c r="P690" s="52">
        <f>IF(OR(B690="",G690=""),"",IF(C690="","Gasto",C690))</f>
        <v/>
      </c>
      <c r="Q690" s="52">
        <f>IF(P690="","",IF(J690&lt;&gt;"",J690,CuentaPred&amp;""))</f>
        <v/>
      </c>
      <c r="R690" s="52">
        <f>IF(P690="","",IF(ISNUMBER(I690),I690,TasaUSD))</f>
        <v/>
      </c>
      <c r="S690" s="53">
        <f>IF(P690="","",IF(H690="USD",G690*R690,G690))</f>
        <v/>
      </c>
      <c r="T690" s="53">
        <f>IF(P690="","",IF(H690="USD",G690,IF(R690&gt;0,G690/R690,0)))</f>
        <v/>
      </c>
      <c r="U690" s="53">
        <f>IF(P690="","",IF(P690="Gasto",S690,IF(P690="Reembolso",-S690,0)))</f>
        <v/>
      </c>
      <c r="V690" s="53">
        <f>IF(P690="","",IF(P690="Ingreso",S690,0))</f>
        <v/>
      </c>
      <c r="W690" s="53">
        <f>IF(P690="","",IF(P690="Resultado trading",S690,0))</f>
        <v/>
      </c>
      <c r="X690" s="52">
        <f>IF(OR(P690="Gasto",P690="Reembolso"),IF(M690&lt;&gt;"",M690,IFERROR(INDEX(catClasif,MATCH(D690&amp;"|"&amp;E690,catClave,0))&amp;"","Variable")),"")</f>
        <v/>
      </c>
      <c r="Y690" s="52">
        <f>IF(P690="","",IFERROR(INDEX(catGrupo,MATCH(D690&amp;"|"&amp;E690,catClave,0))&amp;"",""))</f>
        <v/>
      </c>
      <c r="Z690" s="52">
        <f>IF(P690="","",WEEKDAY(B690,2))</f>
        <v/>
      </c>
      <c r="AA690" s="52">
        <f>IF(P690="","",IF(AND(P690="Gasto",X690="Variable",D690&lt;&gt;catTrading,S690&gt;0,S690&lt;=Umbral),1,0))</f>
        <v/>
      </c>
      <c r="AB690" s="52">
        <f>IF(OR(P690="",Q690=""),"",IFERROR(IF(INDEX(ctaVinc,MATCH(Q690,ctaNombre,0))&amp;""&lt;&gt;"",INDEX(ctaVinc,MATCH(Q690,ctaNombre,0))&amp;"",Q690),Q690))</f>
        <v/>
      </c>
      <c r="AC690" s="52">
        <f>IF(OR(K690="",AND(P690&lt;&gt;"Transferencia",P690&lt;&gt;"Pago tarjeta")),"",IFERROR(IF(INDEX(ctaVinc,MATCH(K690,ctaNombre,0))&amp;""&lt;&gt;"",INDEX(ctaVinc,MATCH(K690,ctaNombre,0))&amp;"",K690),K690))</f>
        <v/>
      </c>
      <c r="AD690" s="52">
        <f>IF(AB690="","",IFERROR(INDEX(ctaTipo,MATCH(AB690,ctaNombre,0))&amp;"",""))</f>
        <v/>
      </c>
      <c r="AE690" s="52">
        <f>IF(AC690="","",IFERROR(INDEX(ctaTipo,MATCH(AC690,ctaNombre,0))&amp;"",""))</f>
        <v/>
      </c>
      <c r="AF690" s="53">
        <f>IF(OR(P690="",AB690=""),"",IF(OR(P690="Gasto",P690="Transferencia",P690="Pago tarjeta"),-1,1)*IF(IFERROR(INDEX(ctaMoneda,MATCH(AB690,ctaNombre,0))&amp;"","DOP")="USD",T690,S690))</f>
        <v/>
      </c>
      <c r="AG690" s="53">
        <f>IF(AC690="","",IF(IFERROR(INDEX(ctaMoneda,MATCH(AC690,ctaNombre,0))&amp;"","DOP")="USD",T690,S690))</f>
        <v/>
      </c>
      <c r="AH690" s="53">
        <f>IF(P690="","",IF(AND(AD690&lt;&gt;"",COUNTIFS(tcTipo,AD690,tcLiq,"Sí")&gt;0),IF(OR(P690="Gasto",P690="Transferencia",P690="Pago tarjeta"),-1,1)*S690,0)+IF(AND(AE690&lt;&gt;"",COUNTIFS(tcTipo,AE690,tcLiq,"Sí")&gt;0),S690,0))</f>
        <v/>
      </c>
      <c r="AI690" s="52">
        <f>IF(OR(L690="",P690=""),"",IF(COUNTIFS(L$6:L690,L690,P$6:P690,"?*")=1,MAX(AI$5:AI689)+1,""))</f>
        <v/>
      </c>
    </row>
    <row r="691">
      <c r="B691" s="47" t="n"/>
      <c r="C691" s="48" t="n"/>
      <c r="D691" s="48" t="n"/>
      <c r="E691" s="48" t="n"/>
      <c r="F691" s="48" t="n"/>
      <c r="G691" s="49" t="n"/>
      <c r="H691" s="48" t="n"/>
      <c r="I691" s="50" t="n"/>
      <c r="J691" s="48" t="n"/>
      <c r="K691" s="48" t="n"/>
      <c r="L691" s="48" t="n"/>
      <c r="M691" s="48" t="n"/>
      <c r="N691" s="48" t="n"/>
      <c r="O691" s="51">
        <f>IF(AND(B691="",G691="",C691="",D691="",J691=""),"",IF(B691="","⚠ Falta fecha",IF(G691="","⚠ Falta monto",IF(Q691="","⚠ Falta cuenta",IF(ISNA(MATCH(Q691,ctaNombre,0)),"⚠ Cuenta no registrada",IF(AND(OR(P691="Gasto",P691="Reembolso"),D691=""),"⚠ Falta categoría",IF(AND(D691&lt;&gt;"",E691&lt;&gt;"",ISNA(MATCH(D691&amp;"|"&amp;E691,catClave,0))),"⚠ Subcategoría no corresponde",IF(AND(OR(P691="Transferencia",P691="Pago tarjeta"),K691=""),"⚠ Falta cuenta destino",IF(AND(K691&lt;&gt;"",P691&lt;&gt;"Transferencia",P691&lt;&gt;"Pago tarjeta"),"⚠ Destino solo aplica a transferencias",IF(AND(K691&lt;&gt;"",K691=Q691),"⚠ Origen igual a destino",IF(AND(K691&lt;&gt;"",ISNA(MATCH(K691,ctaNombre,0))),"⚠ Destino no registrado",IF(AND(P691="Pago tarjeta",AE691&lt;&gt;"Tarjeta de crédito"),"⚠ El destino debe ser tarjeta de crédito",IF(AND(P691="Gasto",E691="Depósitos y retiros"),"⚠ Usa tipo Transferencia",IF(AND(P691="Resultado trading",AD691&lt;&gt;"Cuenta de trading"),"⚠ Usa una cuenta de trading",IF(AND(G691&lt;=0,P691&lt;&gt;"Ajuste",P691&lt;&gt;"Resultado trading"),"⚠ El monto debe ser positivo","✓")))))))))))))))</f>
        <v/>
      </c>
      <c r="P691" s="52">
        <f>IF(OR(B691="",G691=""),"",IF(C691="","Gasto",C691))</f>
        <v/>
      </c>
      <c r="Q691" s="52">
        <f>IF(P691="","",IF(J691&lt;&gt;"",J691,CuentaPred&amp;""))</f>
        <v/>
      </c>
      <c r="R691" s="52">
        <f>IF(P691="","",IF(ISNUMBER(I691),I691,TasaUSD))</f>
        <v/>
      </c>
      <c r="S691" s="53">
        <f>IF(P691="","",IF(H691="USD",G691*R691,G691))</f>
        <v/>
      </c>
      <c r="T691" s="53">
        <f>IF(P691="","",IF(H691="USD",G691,IF(R691&gt;0,G691/R691,0)))</f>
        <v/>
      </c>
      <c r="U691" s="53">
        <f>IF(P691="","",IF(P691="Gasto",S691,IF(P691="Reembolso",-S691,0)))</f>
        <v/>
      </c>
      <c r="V691" s="53">
        <f>IF(P691="","",IF(P691="Ingreso",S691,0))</f>
        <v/>
      </c>
      <c r="W691" s="53">
        <f>IF(P691="","",IF(P691="Resultado trading",S691,0))</f>
        <v/>
      </c>
      <c r="X691" s="52">
        <f>IF(OR(P691="Gasto",P691="Reembolso"),IF(M691&lt;&gt;"",M691,IFERROR(INDEX(catClasif,MATCH(D691&amp;"|"&amp;E691,catClave,0))&amp;"","Variable")),"")</f>
        <v/>
      </c>
      <c r="Y691" s="52">
        <f>IF(P691="","",IFERROR(INDEX(catGrupo,MATCH(D691&amp;"|"&amp;E691,catClave,0))&amp;"",""))</f>
        <v/>
      </c>
      <c r="Z691" s="52">
        <f>IF(P691="","",WEEKDAY(B691,2))</f>
        <v/>
      </c>
      <c r="AA691" s="52">
        <f>IF(P691="","",IF(AND(P691="Gasto",X691="Variable",D691&lt;&gt;catTrading,S691&gt;0,S691&lt;=Umbral),1,0))</f>
        <v/>
      </c>
      <c r="AB691" s="52">
        <f>IF(OR(P691="",Q691=""),"",IFERROR(IF(INDEX(ctaVinc,MATCH(Q691,ctaNombre,0))&amp;""&lt;&gt;"",INDEX(ctaVinc,MATCH(Q691,ctaNombre,0))&amp;"",Q691),Q691))</f>
        <v/>
      </c>
      <c r="AC691" s="52">
        <f>IF(OR(K691="",AND(P691&lt;&gt;"Transferencia",P691&lt;&gt;"Pago tarjeta")),"",IFERROR(IF(INDEX(ctaVinc,MATCH(K691,ctaNombre,0))&amp;""&lt;&gt;"",INDEX(ctaVinc,MATCH(K691,ctaNombre,0))&amp;"",K691),K691))</f>
        <v/>
      </c>
      <c r="AD691" s="52">
        <f>IF(AB691="","",IFERROR(INDEX(ctaTipo,MATCH(AB691,ctaNombre,0))&amp;"",""))</f>
        <v/>
      </c>
      <c r="AE691" s="52">
        <f>IF(AC691="","",IFERROR(INDEX(ctaTipo,MATCH(AC691,ctaNombre,0))&amp;"",""))</f>
        <v/>
      </c>
      <c r="AF691" s="53">
        <f>IF(OR(P691="",AB691=""),"",IF(OR(P691="Gasto",P691="Transferencia",P691="Pago tarjeta"),-1,1)*IF(IFERROR(INDEX(ctaMoneda,MATCH(AB691,ctaNombre,0))&amp;"","DOP")="USD",T691,S691))</f>
        <v/>
      </c>
      <c r="AG691" s="53">
        <f>IF(AC691="","",IF(IFERROR(INDEX(ctaMoneda,MATCH(AC691,ctaNombre,0))&amp;"","DOP")="USD",T691,S691))</f>
        <v/>
      </c>
      <c r="AH691" s="53">
        <f>IF(P691="","",IF(AND(AD691&lt;&gt;"",COUNTIFS(tcTipo,AD691,tcLiq,"Sí")&gt;0),IF(OR(P691="Gasto",P691="Transferencia",P691="Pago tarjeta"),-1,1)*S691,0)+IF(AND(AE691&lt;&gt;"",COUNTIFS(tcTipo,AE691,tcLiq,"Sí")&gt;0),S691,0))</f>
        <v/>
      </c>
      <c r="AI691" s="52">
        <f>IF(OR(L691="",P691=""),"",IF(COUNTIFS(L$6:L691,L691,P$6:P691,"?*")=1,MAX(AI$5:AI690)+1,""))</f>
        <v/>
      </c>
    </row>
    <row r="692">
      <c r="B692" s="47" t="n"/>
      <c r="C692" s="48" t="n"/>
      <c r="D692" s="48" t="n"/>
      <c r="E692" s="48" t="n"/>
      <c r="F692" s="48" t="n"/>
      <c r="G692" s="49" t="n"/>
      <c r="H692" s="48" t="n"/>
      <c r="I692" s="50" t="n"/>
      <c r="J692" s="48" t="n"/>
      <c r="K692" s="48" t="n"/>
      <c r="L692" s="48" t="n"/>
      <c r="M692" s="48" t="n"/>
      <c r="N692" s="48" t="n"/>
      <c r="O692" s="51">
        <f>IF(AND(B692="",G692="",C692="",D692="",J692=""),"",IF(B692="","⚠ Falta fecha",IF(G692="","⚠ Falta monto",IF(Q692="","⚠ Falta cuenta",IF(ISNA(MATCH(Q692,ctaNombre,0)),"⚠ Cuenta no registrada",IF(AND(OR(P692="Gasto",P692="Reembolso"),D692=""),"⚠ Falta categoría",IF(AND(D692&lt;&gt;"",E692&lt;&gt;"",ISNA(MATCH(D692&amp;"|"&amp;E692,catClave,0))),"⚠ Subcategoría no corresponde",IF(AND(OR(P692="Transferencia",P692="Pago tarjeta"),K692=""),"⚠ Falta cuenta destino",IF(AND(K692&lt;&gt;"",P692&lt;&gt;"Transferencia",P692&lt;&gt;"Pago tarjeta"),"⚠ Destino solo aplica a transferencias",IF(AND(K692&lt;&gt;"",K692=Q692),"⚠ Origen igual a destino",IF(AND(K692&lt;&gt;"",ISNA(MATCH(K692,ctaNombre,0))),"⚠ Destino no registrado",IF(AND(P692="Pago tarjeta",AE692&lt;&gt;"Tarjeta de crédito"),"⚠ El destino debe ser tarjeta de crédito",IF(AND(P692="Gasto",E692="Depósitos y retiros"),"⚠ Usa tipo Transferencia",IF(AND(P692="Resultado trading",AD692&lt;&gt;"Cuenta de trading"),"⚠ Usa una cuenta de trading",IF(AND(G692&lt;=0,P692&lt;&gt;"Ajuste",P692&lt;&gt;"Resultado trading"),"⚠ El monto debe ser positivo","✓")))))))))))))))</f>
        <v/>
      </c>
      <c r="P692" s="52">
        <f>IF(OR(B692="",G692=""),"",IF(C692="","Gasto",C692))</f>
        <v/>
      </c>
      <c r="Q692" s="52">
        <f>IF(P692="","",IF(J692&lt;&gt;"",J692,CuentaPred&amp;""))</f>
        <v/>
      </c>
      <c r="R692" s="52">
        <f>IF(P692="","",IF(ISNUMBER(I692),I692,TasaUSD))</f>
        <v/>
      </c>
      <c r="S692" s="53">
        <f>IF(P692="","",IF(H692="USD",G692*R692,G692))</f>
        <v/>
      </c>
      <c r="T692" s="53">
        <f>IF(P692="","",IF(H692="USD",G692,IF(R692&gt;0,G692/R692,0)))</f>
        <v/>
      </c>
      <c r="U692" s="53">
        <f>IF(P692="","",IF(P692="Gasto",S692,IF(P692="Reembolso",-S692,0)))</f>
        <v/>
      </c>
      <c r="V692" s="53">
        <f>IF(P692="","",IF(P692="Ingreso",S692,0))</f>
        <v/>
      </c>
      <c r="W692" s="53">
        <f>IF(P692="","",IF(P692="Resultado trading",S692,0))</f>
        <v/>
      </c>
      <c r="X692" s="52">
        <f>IF(OR(P692="Gasto",P692="Reembolso"),IF(M692&lt;&gt;"",M692,IFERROR(INDEX(catClasif,MATCH(D692&amp;"|"&amp;E692,catClave,0))&amp;"","Variable")),"")</f>
        <v/>
      </c>
      <c r="Y692" s="52">
        <f>IF(P692="","",IFERROR(INDEX(catGrupo,MATCH(D692&amp;"|"&amp;E692,catClave,0))&amp;"",""))</f>
        <v/>
      </c>
      <c r="Z692" s="52">
        <f>IF(P692="","",WEEKDAY(B692,2))</f>
        <v/>
      </c>
      <c r="AA692" s="52">
        <f>IF(P692="","",IF(AND(P692="Gasto",X692="Variable",D692&lt;&gt;catTrading,S692&gt;0,S692&lt;=Umbral),1,0))</f>
        <v/>
      </c>
      <c r="AB692" s="52">
        <f>IF(OR(P692="",Q692=""),"",IFERROR(IF(INDEX(ctaVinc,MATCH(Q692,ctaNombre,0))&amp;""&lt;&gt;"",INDEX(ctaVinc,MATCH(Q692,ctaNombre,0))&amp;"",Q692),Q692))</f>
        <v/>
      </c>
      <c r="AC692" s="52">
        <f>IF(OR(K692="",AND(P692&lt;&gt;"Transferencia",P692&lt;&gt;"Pago tarjeta")),"",IFERROR(IF(INDEX(ctaVinc,MATCH(K692,ctaNombre,0))&amp;""&lt;&gt;"",INDEX(ctaVinc,MATCH(K692,ctaNombre,0))&amp;"",K692),K692))</f>
        <v/>
      </c>
      <c r="AD692" s="52">
        <f>IF(AB692="","",IFERROR(INDEX(ctaTipo,MATCH(AB692,ctaNombre,0))&amp;"",""))</f>
        <v/>
      </c>
      <c r="AE692" s="52">
        <f>IF(AC692="","",IFERROR(INDEX(ctaTipo,MATCH(AC692,ctaNombre,0))&amp;"",""))</f>
        <v/>
      </c>
      <c r="AF692" s="53">
        <f>IF(OR(P692="",AB692=""),"",IF(OR(P692="Gasto",P692="Transferencia",P692="Pago tarjeta"),-1,1)*IF(IFERROR(INDEX(ctaMoneda,MATCH(AB692,ctaNombre,0))&amp;"","DOP")="USD",T692,S692))</f>
        <v/>
      </c>
      <c r="AG692" s="53">
        <f>IF(AC692="","",IF(IFERROR(INDEX(ctaMoneda,MATCH(AC692,ctaNombre,0))&amp;"","DOP")="USD",T692,S692))</f>
        <v/>
      </c>
      <c r="AH692" s="53">
        <f>IF(P692="","",IF(AND(AD692&lt;&gt;"",COUNTIFS(tcTipo,AD692,tcLiq,"Sí")&gt;0),IF(OR(P692="Gasto",P692="Transferencia",P692="Pago tarjeta"),-1,1)*S692,0)+IF(AND(AE692&lt;&gt;"",COUNTIFS(tcTipo,AE692,tcLiq,"Sí")&gt;0),S692,0))</f>
        <v/>
      </c>
      <c r="AI692" s="52">
        <f>IF(OR(L692="",P692=""),"",IF(COUNTIFS(L$6:L692,L692,P$6:P692,"?*")=1,MAX(AI$5:AI691)+1,""))</f>
        <v/>
      </c>
    </row>
    <row r="693">
      <c r="B693" s="47" t="n"/>
      <c r="C693" s="48" t="n"/>
      <c r="D693" s="48" t="n"/>
      <c r="E693" s="48" t="n"/>
      <c r="F693" s="48" t="n"/>
      <c r="G693" s="49" t="n"/>
      <c r="H693" s="48" t="n"/>
      <c r="I693" s="50" t="n"/>
      <c r="J693" s="48" t="n"/>
      <c r="K693" s="48" t="n"/>
      <c r="L693" s="48" t="n"/>
      <c r="M693" s="48" t="n"/>
      <c r="N693" s="48" t="n"/>
      <c r="O693" s="51">
        <f>IF(AND(B693="",G693="",C693="",D693="",J693=""),"",IF(B693="","⚠ Falta fecha",IF(G693="","⚠ Falta monto",IF(Q693="","⚠ Falta cuenta",IF(ISNA(MATCH(Q693,ctaNombre,0)),"⚠ Cuenta no registrada",IF(AND(OR(P693="Gasto",P693="Reembolso"),D693=""),"⚠ Falta categoría",IF(AND(D693&lt;&gt;"",E693&lt;&gt;"",ISNA(MATCH(D693&amp;"|"&amp;E693,catClave,0))),"⚠ Subcategoría no corresponde",IF(AND(OR(P693="Transferencia",P693="Pago tarjeta"),K693=""),"⚠ Falta cuenta destino",IF(AND(K693&lt;&gt;"",P693&lt;&gt;"Transferencia",P693&lt;&gt;"Pago tarjeta"),"⚠ Destino solo aplica a transferencias",IF(AND(K693&lt;&gt;"",K693=Q693),"⚠ Origen igual a destino",IF(AND(K693&lt;&gt;"",ISNA(MATCH(K693,ctaNombre,0))),"⚠ Destino no registrado",IF(AND(P693="Pago tarjeta",AE693&lt;&gt;"Tarjeta de crédito"),"⚠ El destino debe ser tarjeta de crédito",IF(AND(P693="Gasto",E693="Depósitos y retiros"),"⚠ Usa tipo Transferencia",IF(AND(P693="Resultado trading",AD693&lt;&gt;"Cuenta de trading"),"⚠ Usa una cuenta de trading",IF(AND(G693&lt;=0,P693&lt;&gt;"Ajuste",P693&lt;&gt;"Resultado trading"),"⚠ El monto debe ser positivo","✓")))))))))))))))</f>
        <v/>
      </c>
      <c r="P693" s="52">
        <f>IF(OR(B693="",G693=""),"",IF(C693="","Gasto",C693))</f>
        <v/>
      </c>
      <c r="Q693" s="52">
        <f>IF(P693="","",IF(J693&lt;&gt;"",J693,CuentaPred&amp;""))</f>
        <v/>
      </c>
      <c r="R693" s="52">
        <f>IF(P693="","",IF(ISNUMBER(I693),I693,TasaUSD))</f>
        <v/>
      </c>
      <c r="S693" s="53">
        <f>IF(P693="","",IF(H693="USD",G693*R693,G693))</f>
        <v/>
      </c>
      <c r="T693" s="53">
        <f>IF(P693="","",IF(H693="USD",G693,IF(R693&gt;0,G693/R693,0)))</f>
        <v/>
      </c>
      <c r="U693" s="53">
        <f>IF(P693="","",IF(P693="Gasto",S693,IF(P693="Reembolso",-S693,0)))</f>
        <v/>
      </c>
      <c r="V693" s="53">
        <f>IF(P693="","",IF(P693="Ingreso",S693,0))</f>
        <v/>
      </c>
      <c r="W693" s="53">
        <f>IF(P693="","",IF(P693="Resultado trading",S693,0))</f>
        <v/>
      </c>
      <c r="X693" s="52">
        <f>IF(OR(P693="Gasto",P693="Reembolso"),IF(M693&lt;&gt;"",M693,IFERROR(INDEX(catClasif,MATCH(D693&amp;"|"&amp;E693,catClave,0))&amp;"","Variable")),"")</f>
        <v/>
      </c>
      <c r="Y693" s="52">
        <f>IF(P693="","",IFERROR(INDEX(catGrupo,MATCH(D693&amp;"|"&amp;E693,catClave,0))&amp;"",""))</f>
        <v/>
      </c>
      <c r="Z693" s="52">
        <f>IF(P693="","",WEEKDAY(B693,2))</f>
        <v/>
      </c>
      <c r="AA693" s="52">
        <f>IF(P693="","",IF(AND(P693="Gasto",X693="Variable",D693&lt;&gt;catTrading,S693&gt;0,S693&lt;=Umbral),1,0))</f>
        <v/>
      </c>
      <c r="AB693" s="52">
        <f>IF(OR(P693="",Q693=""),"",IFERROR(IF(INDEX(ctaVinc,MATCH(Q693,ctaNombre,0))&amp;""&lt;&gt;"",INDEX(ctaVinc,MATCH(Q693,ctaNombre,0))&amp;"",Q693),Q693))</f>
        <v/>
      </c>
      <c r="AC693" s="52">
        <f>IF(OR(K693="",AND(P693&lt;&gt;"Transferencia",P693&lt;&gt;"Pago tarjeta")),"",IFERROR(IF(INDEX(ctaVinc,MATCH(K693,ctaNombre,0))&amp;""&lt;&gt;"",INDEX(ctaVinc,MATCH(K693,ctaNombre,0))&amp;"",K693),K693))</f>
        <v/>
      </c>
      <c r="AD693" s="52">
        <f>IF(AB693="","",IFERROR(INDEX(ctaTipo,MATCH(AB693,ctaNombre,0))&amp;"",""))</f>
        <v/>
      </c>
      <c r="AE693" s="52">
        <f>IF(AC693="","",IFERROR(INDEX(ctaTipo,MATCH(AC693,ctaNombre,0))&amp;"",""))</f>
        <v/>
      </c>
      <c r="AF693" s="53">
        <f>IF(OR(P693="",AB693=""),"",IF(OR(P693="Gasto",P693="Transferencia",P693="Pago tarjeta"),-1,1)*IF(IFERROR(INDEX(ctaMoneda,MATCH(AB693,ctaNombre,0))&amp;"","DOP")="USD",T693,S693))</f>
        <v/>
      </c>
      <c r="AG693" s="53">
        <f>IF(AC693="","",IF(IFERROR(INDEX(ctaMoneda,MATCH(AC693,ctaNombre,0))&amp;"","DOP")="USD",T693,S693))</f>
        <v/>
      </c>
      <c r="AH693" s="53">
        <f>IF(P693="","",IF(AND(AD693&lt;&gt;"",COUNTIFS(tcTipo,AD693,tcLiq,"Sí")&gt;0),IF(OR(P693="Gasto",P693="Transferencia",P693="Pago tarjeta"),-1,1)*S693,0)+IF(AND(AE693&lt;&gt;"",COUNTIFS(tcTipo,AE693,tcLiq,"Sí")&gt;0),S693,0))</f>
        <v/>
      </c>
      <c r="AI693" s="52">
        <f>IF(OR(L693="",P693=""),"",IF(COUNTIFS(L$6:L693,L693,P$6:P693,"?*")=1,MAX(AI$5:AI692)+1,""))</f>
        <v/>
      </c>
    </row>
    <row r="694">
      <c r="B694" s="47" t="n"/>
      <c r="C694" s="48" t="n"/>
      <c r="D694" s="48" t="n"/>
      <c r="E694" s="48" t="n"/>
      <c r="F694" s="48" t="n"/>
      <c r="G694" s="49" t="n"/>
      <c r="H694" s="48" t="n"/>
      <c r="I694" s="50" t="n"/>
      <c r="J694" s="48" t="n"/>
      <c r="K694" s="48" t="n"/>
      <c r="L694" s="48" t="n"/>
      <c r="M694" s="48" t="n"/>
      <c r="N694" s="48" t="n"/>
      <c r="O694" s="51">
        <f>IF(AND(B694="",G694="",C694="",D694="",J694=""),"",IF(B694="","⚠ Falta fecha",IF(G694="","⚠ Falta monto",IF(Q694="","⚠ Falta cuenta",IF(ISNA(MATCH(Q694,ctaNombre,0)),"⚠ Cuenta no registrada",IF(AND(OR(P694="Gasto",P694="Reembolso"),D694=""),"⚠ Falta categoría",IF(AND(D694&lt;&gt;"",E694&lt;&gt;"",ISNA(MATCH(D694&amp;"|"&amp;E694,catClave,0))),"⚠ Subcategoría no corresponde",IF(AND(OR(P694="Transferencia",P694="Pago tarjeta"),K694=""),"⚠ Falta cuenta destino",IF(AND(K694&lt;&gt;"",P694&lt;&gt;"Transferencia",P694&lt;&gt;"Pago tarjeta"),"⚠ Destino solo aplica a transferencias",IF(AND(K694&lt;&gt;"",K694=Q694),"⚠ Origen igual a destino",IF(AND(K694&lt;&gt;"",ISNA(MATCH(K694,ctaNombre,0))),"⚠ Destino no registrado",IF(AND(P694="Pago tarjeta",AE694&lt;&gt;"Tarjeta de crédito"),"⚠ El destino debe ser tarjeta de crédito",IF(AND(P694="Gasto",E694="Depósitos y retiros"),"⚠ Usa tipo Transferencia",IF(AND(P694="Resultado trading",AD694&lt;&gt;"Cuenta de trading"),"⚠ Usa una cuenta de trading",IF(AND(G694&lt;=0,P694&lt;&gt;"Ajuste",P694&lt;&gt;"Resultado trading"),"⚠ El monto debe ser positivo","✓")))))))))))))))</f>
        <v/>
      </c>
      <c r="P694" s="52">
        <f>IF(OR(B694="",G694=""),"",IF(C694="","Gasto",C694))</f>
        <v/>
      </c>
      <c r="Q694" s="52">
        <f>IF(P694="","",IF(J694&lt;&gt;"",J694,CuentaPred&amp;""))</f>
        <v/>
      </c>
      <c r="R694" s="52">
        <f>IF(P694="","",IF(ISNUMBER(I694),I694,TasaUSD))</f>
        <v/>
      </c>
      <c r="S694" s="53">
        <f>IF(P694="","",IF(H694="USD",G694*R694,G694))</f>
        <v/>
      </c>
      <c r="T694" s="53">
        <f>IF(P694="","",IF(H694="USD",G694,IF(R694&gt;0,G694/R694,0)))</f>
        <v/>
      </c>
      <c r="U694" s="53">
        <f>IF(P694="","",IF(P694="Gasto",S694,IF(P694="Reembolso",-S694,0)))</f>
        <v/>
      </c>
      <c r="V694" s="53">
        <f>IF(P694="","",IF(P694="Ingreso",S694,0))</f>
        <v/>
      </c>
      <c r="W694" s="53">
        <f>IF(P694="","",IF(P694="Resultado trading",S694,0))</f>
        <v/>
      </c>
      <c r="X694" s="52">
        <f>IF(OR(P694="Gasto",P694="Reembolso"),IF(M694&lt;&gt;"",M694,IFERROR(INDEX(catClasif,MATCH(D694&amp;"|"&amp;E694,catClave,0))&amp;"","Variable")),"")</f>
        <v/>
      </c>
      <c r="Y694" s="52">
        <f>IF(P694="","",IFERROR(INDEX(catGrupo,MATCH(D694&amp;"|"&amp;E694,catClave,0))&amp;"",""))</f>
        <v/>
      </c>
      <c r="Z694" s="52">
        <f>IF(P694="","",WEEKDAY(B694,2))</f>
        <v/>
      </c>
      <c r="AA694" s="52">
        <f>IF(P694="","",IF(AND(P694="Gasto",X694="Variable",D694&lt;&gt;catTrading,S694&gt;0,S694&lt;=Umbral),1,0))</f>
        <v/>
      </c>
      <c r="AB694" s="52">
        <f>IF(OR(P694="",Q694=""),"",IFERROR(IF(INDEX(ctaVinc,MATCH(Q694,ctaNombre,0))&amp;""&lt;&gt;"",INDEX(ctaVinc,MATCH(Q694,ctaNombre,0))&amp;"",Q694),Q694))</f>
        <v/>
      </c>
      <c r="AC694" s="52">
        <f>IF(OR(K694="",AND(P694&lt;&gt;"Transferencia",P694&lt;&gt;"Pago tarjeta")),"",IFERROR(IF(INDEX(ctaVinc,MATCH(K694,ctaNombre,0))&amp;""&lt;&gt;"",INDEX(ctaVinc,MATCH(K694,ctaNombre,0))&amp;"",K694),K694))</f>
        <v/>
      </c>
      <c r="AD694" s="52">
        <f>IF(AB694="","",IFERROR(INDEX(ctaTipo,MATCH(AB694,ctaNombre,0))&amp;"",""))</f>
        <v/>
      </c>
      <c r="AE694" s="52">
        <f>IF(AC694="","",IFERROR(INDEX(ctaTipo,MATCH(AC694,ctaNombre,0))&amp;"",""))</f>
        <v/>
      </c>
      <c r="AF694" s="53">
        <f>IF(OR(P694="",AB694=""),"",IF(OR(P694="Gasto",P694="Transferencia",P694="Pago tarjeta"),-1,1)*IF(IFERROR(INDEX(ctaMoneda,MATCH(AB694,ctaNombre,0))&amp;"","DOP")="USD",T694,S694))</f>
        <v/>
      </c>
      <c r="AG694" s="53">
        <f>IF(AC694="","",IF(IFERROR(INDEX(ctaMoneda,MATCH(AC694,ctaNombre,0))&amp;"","DOP")="USD",T694,S694))</f>
        <v/>
      </c>
      <c r="AH694" s="53">
        <f>IF(P694="","",IF(AND(AD694&lt;&gt;"",COUNTIFS(tcTipo,AD694,tcLiq,"Sí")&gt;0),IF(OR(P694="Gasto",P694="Transferencia",P694="Pago tarjeta"),-1,1)*S694,0)+IF(AND(AE694&lt;&gt;"",COUNTIFS(tcTipo,AE694,tcLiq,"Sí")&gt;0),S694,0))</f>
        <v/>
      </c>
      <c r="AI694" s="52">
        <f>IF(OR(L694="",P694=""),"",IF(COUNTIFS(L$6:L694,L694,P$6:P694,"?*")=1,MAX(AI$5:AI693)+1,""))</f>
        <v/>
      </c>
    </row>
    <row r="695">
      <c r="B695" s="47" t="n"/>
      <c r="C695" s="48" t="n"/>
      <c r="D695" s="48" t="n"/>
      <c r="E695" s="48" t="n"/>
      <c r="F695" s="48" t="n"/>
      <c r="G695" s="49" t="n"/>
      <c r="H695" s="48" t="n"/>
      <c r="I695" s="50" t="n"/>
      <c r="J695" s="48" t="n"/>
      <c r="K695" s="48" t="n"/>
      <c r="L695" s="48" t="n"/>
      <c r="M695" s="48" t="n"/>
      <c r="N695" s="48" t="n"/>
      <c r="O695" s="51">
        <f>IF(AND(B695="",G695="",C695="",D695="",J695=""),"",IF(B695="","⚠ Falta fecha",IF(G695="","⚠ Falta monto",IF(Q695="","⚠ Falta cuenta",IF(ISNA(MATCH(Q695,ctaNombre,0)),"⚠ Cuenta no registrada",IF(AND(OR(P695="Gasto",P695="Reembolso"),D695=""),"⚠ Falta categoría",IF(AND(D695&lt;&gt;"",E695&lt;&gt;"",ISNA(MATCH(D695&amp;"|"&amp;E695,catClave,0))),"⚠ Subcategoría no corresponde",IF(AND(OR(P695="Transferencia",P695="Pago tarjeta"),K695=""),"⚠ Falta cuenta destino",IF(AND(K695&lt;&gt;"",P695&lt;&gt;"Transferencia",P695&lt;&gt;"Pago tarjeta"),"⚠ Destino solo aplica a transferencias",IF(AND(K695&lt;&gt;"",K695=Q695),"⚠ Origen igual a destino",IF(AND(K695&lt;&gt;"",ISNA(MATCH(K695,ctaNombre,0))),"⚠ Destino no registrado",IF(AND(P695="Pago tarjeta",AE695&lt;&gt;"Tarjeta de crédito"),"⚠ El destino debe ser tarjeta de crédito",IF(AND(P695="Gasto",E695="Depósitos y retiros"),"⚠ Usa tipo Transferencia",IF(AND(P695="Resultado trading",AD695&lt;&gt;"Cuenta de trading"),"⚠ Usa una cuenta de trading",IF(AND(G695&lt;=0,P695&lt;&gt;"Ajuste",P695&lt;&gt;"Resultado trading"),"⚠ El monto debe ser positivo","✓")))))))))))))))</f>
        <v/>
      </c>
      <c r="P695" s="52">
        <f>IF(OR(B695="",G695=""),"",IF(C695="","Gasto",C695))</f>
        <v/>
      </c>
      <c r="Q695" s="52">
        <f>IF(P695="","",IF(J695&lt;&gt;"",J695,CuentaPred&amp;""))</f>
        <v/>
      </c>
      <c r="R695" s="52">
        <f>IF(P695="","",IF(ISNUMBER(I695),I695,TasaUSD))</f>
        <v/>
      </c>
      <c r="S695" s="53">
        <f>IF(P695="","",IF(H695="USD",G695*R695,G695))</f>
        <v/>
      </c>
      <c r="T695" s="53">
        <f>IF(P695="","",IF(H695="USD",G695,IF(R695&gt;0,G695/R695,0)))</f>
        <v/>
      </c>
      <c r="U695" s="53">
        <f>IF(P695="","",IF(P695="Gasto",S695,IF(P695="Reembolso",-S695,0)))</f>
        <v/>
      </c>
      <c r="V695" s="53">
        <f>IF(P695="","",IF(P695="Ingreso",S695,0))</f>
        <v/>
      </c>
      <c r="W695" s="53">
        <f>IF(P695="","",IF(P695="Resultado trading",S695,0))</f>
        <v/>
      </c>
      <c r="X695" s="52">
        <f>IF(OR(P695="Gasto",P695="Reembolso"),IF(M695&lt;&gt;"",M695,IFERROR(INDEX(catClasif,MATCH(D695&amp;"|"&amp;E695,catClave,0))&amp;"","Variable")),"")</f>
        <v/>
      </c>
      <c r="Y695" s="52">
        <f>IF(P695="","",IFERROR(INDEX(catGrupo,MATCH(D695&amp;"|"&amp;E695,catClave,0))&amp;"",""))</f>
        <v/>
      </c>
      <c r="Z695" s="52">
        <f>IF(P695="","",WEEKDAY(B695,2))</f>
        <v/>
      </c>
      <c r="AA695" s="52">
        <f>IF(P695="","",IF(AND(P695="Gasto",X695="Variable",D695&lt;&gt;catTrading,S695&gt;0,S695&lt;=Umbral),1,0))</f>
        <v/>
      </c>
      <c r="AB695" s="52">
        <f>IF(OR(P695="",Q695=""),"",IFERROR(IF(INDEX(ctaVinc,MATCH(Q695,ctaNombre,0))&amp;""&lt;&gt;"",INDEX(ctaVinc,MATCH(Q695,ctaNombre,0))&amp;"",Q695),Q695))</f>
        <v/>
      </c>
      <c r="AC695" s="52">
        <f>IF(OR(K695="",AND(P695&lt;&gt;"Transferencia",P695&lt;&gt;"Pago tarjeta")),"",IFERROR(IF(INDEX(ctaVinc,MATCH(K695,ctaNombre,0))&amp;""&lt;&gt;"",INDEX(ctaVinc,MATCH(K695,ctaNombre,0))&amp;"",K695),K695))</f>
        <v/>
      </c>
      <c r="AD695" s="52">
        <f>IF(AB695="","",IFERROR(INDEX(ctaTipo,MATCH(AB695,ctaNombre,0))&amp;"",""))</f>
        <v/>
      </c>
      <c r="AE695" s="52">
        <f>IF(AC695="","",IFERROR(INDEX(ctaTipo,MATCH(AC695,ctaNombre,0))&amp;"",""))</f>
        <v/>
      </c>
      <c r="AF695" s="53">
        <f>IF(OR(P695="",AB695=""),"",IF(OR(P695="Gasto",P695="Transferencia",P695="Pago tarjeta"),-1,1)*IF(IFERROR(INDEX(ctaMoneda,MATCH(AB695,ctaNombre,0))&amp;"","DOP")="USD",T695,S695))</f>
        <v/>
      </c>
      <c r="AG695" s="53">
        <f>IF(AC695="","",IF(IFERROR(INDEX(ctaMoneda,MATCH(AC695,ctaNombre,0))&amp;"","DOP")="USD",T695,S695))</f>
        <v/>
      </c>
      <c r="AH695" s="53">
        <f>IF(P695="","",IF(AND(AD695&lt;&gt;"",COUNTIFS(tcTipo,AD695,tcLiq,"Sí")&gt;0),IF(OR(P695="Gasto",P695="Transferencia",P695="Pago tarjeta"),-1,1)*S695,0)+IF(AND(AE695&lt;&gt;"",COUNTIFS(tcTipo,AE695,tcLiq,"Sí")&gt;0),S695,0))</f>
        <v/>
      </c>
      <c r="AI695" s="52">
        <f>IF(OR(L695="",P695=""),"",IF(COUNTIFS(L$6:L695,L695,P$6:P695,"?*")=1,MAX(AI$5:AI694)+1,""))</f>
        <v/>
      </c>
    </row>
    <row r="696">
      <c r="B696" s="47" t="n"/>
      <c r="C696" s="48" t="n"/>
      <c r="D696" s="48" t="n"/>
      <c r="E696" s="48" t="n"/>
      <c r="F696" s="48" t="n"/>
      <c r="G696" s="49" t="n"/>
      <c r="H696" s="48" t="n"/>
      <c r="I696" s="50" t="n"/>
      <c r="J696" s="48" t="n"/>
      <c r="K696" s="48" t="n"/>
      <c r="L696" s="48" t="n"/>
      <c r="M696" s="48" t="n"/>
      <c r="N696" s="48" t="n"/>
      <c r="O696" s="51">
        <f>IF(AND(B696="",G696="",C696="",D696="",J696=""),"",IF(B696="","⚠ Falta fecha",IF(G696="","⚠ Falta monto",IF(Q696="","⚠ Falta cuenta",IF(ISNA(MATCH(Q696,ctaNombre,0)),"⚠ Cuenta no registrada",IF(AND(OR(P696="Gasto",P696="Reembolso"),D696=""),"⚠ Falta categoría",IF(AND(D696&lt;&gt;"",E696&lt;&gt;"",ISNA(MATCH(D696&amp;"|"&amp;E696,catClave,0))),"⚠ Subcategoría no corresponde",IF(AND(OR(P696="Transferencia",P696="Pago tarjeta"),K696=""),"⚠ Falta cuenta destino",IF(AND(K696&lt;&gt;"",P696&lt;&gt;"Transferencia",P696&lt;&gt;"Pago tarjeta"),"⚠ Destino solo aplica a transferencias",IF(AND(K696&lt;&gt;"",K696=Q696),"⚠ Origen igual a destino",IF(AND(K696&lt;&gt;"",ISNA(MATCH(K696,ctaNombre,0))),"⚠ Destino no registrado",IF(AND(P696="Pago tarjeta",AE696&lt;&gt;"Tarjeta de crédito"),"⚠ El destino debe ser tarjeta de crédito",IF(AND(P696="Gasto",E696="Depósitos y retiros"),"⚠ Usa tipo Transferencia",IF(AND(P696="Resultado trading",AD696&lt;&gt;"Cuenta de trading"),"⚠ Usa una cuenta de trading",IF(AND(G696&lt;=0,P696&lt;&gt;"Ajuste",P696&lt;&gt;"Resultado trading"),"⚠ El monto debe ser positivo","✓")))))))))))))))</f>
        <v/>
      </c>
      <c r="P696" s="52">
        <f>IF(OR(B696="",G696=""),"",IF(C696="","Gasto",C696))</f>
        <v/>
      </c>
      <c r="Q696" s="52">
        <f>IF(P696="","",IF(J696&lt;&gt;"",J696,CuentaPred&amp;""))</f>
        <v/>
      </c>
      <c r="R696" s="52">
        <f>IF(P696="","",IF(ISNUMBER(I696),I696,TasaUSD))</f>
        <v/>
      </c>
      <c r="S696" s="53">
        <f>IF(P696="","",IF(H696="USD",G696*R696,G696))</f>
        <v/>
      </c>
      <c r="T696" s="53">
        <f>IF(P696="","",IF(H696="USD",G696,IF(R696&gt;0,G696/R696,0)))</f>
        <v/>
      </c>
      <c r="U696" s="53">
        <f>IF(P696="","",IF(P696="Gasto",S696,IF(P696="Reembolso",-S696,0)))</f>
        <v/>
      </c>
      <c r="V696" s="53">
        <f>IF(P696="","",IF(P696="Ingreso",S696,0))</f>
        <v/>
      </c>
      <c r="W696" s="53">
        <f>IF(P696="","",IF(P696="Resultado trading",S696,0))</f>
        <v/>
      </c>
      <c r="X696" s="52">
        <f>IF(OR(P696="Gasto",P696="Reembolso"),IF(M696&lt;&gt;"",M696,IFERROR(INDEX(catClasif,MATCH(D696&amp;"|"&amp;E696,catClave,0))&amp;"","Variable")),"")</f>
        <v/>
      </c>
      <c r="Y696" s="52">
        <f>IF(P696="","",IFERROR(INDEX(catGrupo,MATCH(D696&amp;"|"&amp;E696,catClave,0))&amp;"",""))</f>
        <v/>
      </c>
      <c r="Z696" s="52">
        <f>IF(P696="","",WEEKDAY(B696,2))</f>
        <v/>
      </c>
      <c r="AA696" s="52">
        <f>IF(P696="","",IF(AND(P696="Gasto",X696="Variable",D696&lt;&gt;catTrading,S696&gt;0,S696&lt;=Umbral),1,0))</f>
        <v/>
      </c>
      <c r="AB696" s="52">
        <f>IF(OR(P696="",Q696=""),"",IFERROR(IF(INDEX(ctaVinc,MATCH(Q696,ctaNombre,0))&amp;""&lt;&gt;"",INDEX(ctaVinc,MATCH(Q696,ctaNombre,0))&amp;"",Q696),Q696))</f>
        <v/>
      </c>
      <c r="AC696" s="52">
        <f>IF(OR(K696="",AND(P696&lt;&gt;"Transferencia",P696&lt;&gt;"Pago tarjeta")),"",IFERROR(IF(INDEX(ctaVinc,MATCH(K696,ctaNombre,0))&amp;""&lt;&gt;"",INDEX(ctaVinc,MATCH(K696,ctaNombre,0))&amp;"",K696),K696))</f>
        <v/>
      </c>
      <c r="AD696" s="52">
        <f>IF(AB696="","",IFERROR(INDEX(ctaTipo,MATCH(AB696,ctaNombre,0))&amp;"",""))</f>
        <v/>
      </c>
      <c r="AE696" s="52">
        <f>IF(AC696="","",IFERROR(INDEX(ctaTipo,MATCH(AC696,ctaNombre,0))&amp;"",""))</f>
        <v/>
      </c>
      <c r="AF696" s="53">
        <f>IF(OR(P696="",AB696=""),"",IF(OR(P696="Gasto",P696="Transferencia",P696="Pago tarjeta"),-1,1)*IF(IFERROR(INDEX(ctaMoneda,MATCH(AB696,ctaNombre,0))&amp;"","DOP")="USD",T696,S696))</f>
        <v/>
      </c>
      <c r="AG696" s="53">
        <f>IF(AC696="","",IF(IFERROR(INDEX(ctaMoneda,MATCH(AC696,ctaNombre,0))&amp;"","DOP")="USD",T696,S696))</f>
        <v/>
      </c>
      <c r="AH696" s="53">
        <f>IF(P696="","",IF(AND(AD696&lt;&gt;"",COUNTIFS(tcTipo,AD696,tcLiq,"Sí")&gt;0),IF(OR(P696="Gasto",P696="Transferencia",P696="Pago tarjeta"),-1,1)*S696,0)+IF(AND(AE696&lt;&gt;"",COUNTIFS(tcTipo,AE696,tcLiq,"Sí")&gt;0),S696,0))</f>
        <v/>
      </c>
      <c r="AI696" s="52">
        <f>IF(OR(L696="",P696=""),"",IF(COUNTIFS(L$6:L696,L696,P$6:P696,"?*")=1,MAX(AI$5:AI695)+1,""))</f>
        <v/>
      </c>
    </row>
    <row r="697">
      <c r="B697" s="47" t="n"/>
      <c r="C697" s="48" t="n"/>
      <c r="D697" s="48" t="n"/>
      <c r="E697" s="48" t="n"/>
      <c r="F697" s="48" t="n"/>
      <c r="G697" s="49" t="n"/>
      <c r="H697" s="48" t="n"/>
      <c r="I697" s="50" t="n"/>
      <c r="J697" s="48" t="n"/>
      <c r="K697" s="48" t="n"/>
      <c r="L697" s="48" t="n"/>
      <c r="M697" s="48" t="n"/>
      <c r="N697" s="48" t="n"/>
      <c r="O697" s="51">
        <f>IF(AND(B697="",G697="",C697="",D697="",J697=""),"",IF(B697="","⚠ Falta fecha",IF(G697="","⚠ Falta monto",IF(Q697="","⚠ Falta cuenta",IF(ISNA(MATCH(Q697,ctaNombre,0)),"⚠ Cuenta no registrada",IF(AND(OR(P697="Gasto",P697="Reembolso"),D697=""),"⚠ Falta categoría",IF(AND(D697&lt;&gt;"",E697&lt;&gt;"",ISNA(MATCH(D697&amp;"|"&amp;E697,catClave,0))),"⚠ Subcategoría no corresponde",IF(AND(OR(P697="Transferencia",P697="Pago tarjeta"),K697=""),"⚠ Falta cuenta destino",IF(AND(K697&lt;&gt;"",P697&lt;&gt;"Transferencia",P697&lt;&gt;"Pago tarjeta"),"⚠ Destino solo aplica a transferencias",IF(AND(K697&lt;&gt;"",K697=Q697),"⚠ Origen igual a destino",IF(AND(K697&lt;&gt;"",ISNA(MATCH(K697,ctaNombre,0))),"⚠ Destino no registrado",IF(AND(P697="Pago tarjeta",AE697&lt;&gt;"Tarjeta de crédito"),"⚠ El destino debe ser tarjeta de crédito",IF(AND(P697="Gasto",E697="Depósitos y retiros"),"⚠ Usa tipo Transferencia",IF(AND(P697="Resultado trading",AD697&lt;&gt;"Cuenta de trading"),"⚠ Usa una cuenta de trading",IF(AND(G697&lt;=0,P697&lt;&gt;"Ajuste",P697&lt;&gt;"Resultado trading"),"⚠ El monto debe ser positivo","✓")))))))))))))))</f>
        <v/>
      </c>
      <c r="P697" s="52">
        <f>IF(OR(B697="",G697=""),"",IF(C697="","Gasto",C697))</f>
        <v/>
      </c>
      <c r="Q697" s="52">
        <f>IF(P697="","",IF(J697&lt;&gt;"",J697,CuentaPred&amp;""))</f>
        <v/>
      </c>
      <c r="R697" s="52">
        <f>IF(P697="","",IF(ISNUMBER(I697),I697,TasaUSD))</f>
        <v/>
      </c>
      <c r="S697" s="53">
        <f>IF(P697="","",IF(H697="USD",G697*R697,G697))</f>
        <v/>
      </c>
      <c r="T697" s="53">
        <f>IF(P697="","",IF(H697="USD",G697,IF(R697&gt;0,G697/R697,0)))</f>
        <v/>
      </c>
      <c r="U697" s="53">
        <f>IF(P697="","",IF(P697="Gasto",S697,IF(P697="Reembolso",-S697,0)))</f>
        <v/>
      </c>
      <c r="V697" s="53">
        <f>IF(P697="","",IF(P697="Ingreso",S697,0))</f>
        <v/>
      </c>
      <c r="W697" s="53">
        <f>IF(P697="","",IF(P697="Resultado trading",S697,0))</f>
        <v/>
      </c>
      <c r="X697" s="52">
        <f>IF(OR(P697="Gasto",P697="Reembolso"),IF(M697&lt;&gt;"",M697,IFERROR(INDEX(catClasif,MATCH(D697&amp;"|"&amp;E697,catClave,0))&amp;"","Variable")),"")</f>
        <v/>
      </c>
      <c r="Y697" s="52">
        <f>IF(P697="","",IFERROR(INDEX(catGrupo,MATCH(D697&amp;"|"&amp;E697,catClave,0))&amp;"",""))</f>
        <v/>
      </c>
      <c r="Z697" s="52">
        <f>IF(P697="","",WEEKDAY(B697,2))</f>
        <v/>
      </c>
      <c r="AA697" s="52">
        <f>IF(P697="","",IF(AND(P697="Gasto",X697="Variable",D697&lt;&gt;catTrading,S697&gt;0,S697&lt;=Umbral),1,0))</f>
        <v/>
      </c>
      <c r="AB697" s="52">
        <f>IF(OR(P697="",Q697=""),"",IFERROR(IF(INDEX(ctaVinc,MATCH(Q697,ctaNombre,0))&amp;""&lt;&gt;"",INDEX(ctaVinc,MATCH(Q697,ctaNombre,0))&amp;"",Q697),Q697))</f>
        <v/>
      </c>
      <c r="AC697" s="52">
        <f>IF(OR(K697="",AND(P697&lt;&gt;"Transferencia",P697&lt;&gt;"Pago tarjeta")),"",IFERROR(IF(INDEX(ctaVinc,MATCH(K697,ctaNombre,0))&amp;""&lt;&gt;"",INDEX(ctaVinc,MATCH(K697,ctaNombre,0))&amp;"",K697),K697))</f>
        <v/>
      </c>
      <c r="AD697" s="52">
        <f>IF(AB697="","",IFERROR(INDEX(ctaTipo,MATCH(AB697,ctaNombre,0))&amp;"",""))</f>
        <v/>
      </c>
      <c r="AE697" s="52">
        <f>IF(AC697="","",IFERROR(INDEX(ctaTipo,MATCH(AC697,ctaNombre,0))&amp;"",""))</f>
        <v/>
      </c>
      <c r="AF697" s="53">
        <f>IF(OR(P697="",AB697=""),"",IF(OR(P697="Gasto",P697="Transferencia",P697="Pago tarjeta"),-1,1)*IF(IFERROR(INDEX(ctaMoneda,MATCH(AB697,ctaNombre,0))&amp;"","DOP")="USD",T697,S697))</f>
        <v/>
      </c>
      <c r="AG697" s="53">
        <f>IF(AC697="","",IF(IFERROR(INDEX(ctaMoneda,MATCH(AC697,ctaNombre,0))&amp;"","DOP")="USD",T697,S697))</f>
        <v/>
      </c>
      <c r="AH697" s="53">
        <f>IF(P697="","",IF(AND(AD697&lt;&gt;"",COUNTIFS(tcTipo,AD697,tcLiq,"Sí")&gt;0),IF(OR(P697="Gasto",P697="Transferencia",P697="Pago tarjeta"),-1,1)*S697,0)+IF(AND(AE697&lt;&gt;"",COUNTIFS(tcTipo,AE697,tcLiq,"Sí")&gt;0),S697,0))</f>
        <v/>
      </c>
      <c r="AI697" s="52">
        <f>IF(OR(L697="",P697=""),"",IF(COUNTIFS(L$6:L697,L697,P$6:P697,"?*")=1,MAX(AI$5:AI696)+1,""))</f>
        <v/>
      </c>
    </row>
    <row r="698">
      <c r="B698" s="47" t="n"/>
      <c r="C698" s="48" t="n"/>
      <c r="D698" s="48" t="n"/>
      <c r="E698" s="48" t="n"/>
      <c r="F698" s="48" t="n"/>
      <c r="G698" s="49" t="n"/>
      <c r="H698" s="48" t="n"/>
      <c r="I698" s="50" t="n"/>
      <c r="J698" s="48" t="n"/>
      <c r="K698" s="48" t="n"/>
      <c r="L698" s="48" t="n"/>
      <c r="M698" s="48" t="n"/>
      <c r="N698" s="48" t="n"/>
      <c r="O698" s="51">
        <f>IF(AND(B698="",G698="",C698="",D698="",J698=""),"",IF(B698="","⚠ Falta fecha",IF(G698="","⚠ Falta monto",IF(Q698="","⚠ Falta cuenta",IF(ISNA(MATCH(Q698,ctaNombre,0)),"⚠ Cuenta no registrada",IF(AND(OR(P698="Gasto",P698="Reembolso"),D698=""),"⚠ Falta categoría",IF(AND(D698&lt;&gt;"",E698&lt;&gt;"",ISNA(MATCH(D698&amp;"|"&amp;E698,catClave,0))),"⚠ Subcategoría no corresponde",IF(AND(OR(P698="Transferencia",P698="Pago tarjeta"),K698=""),"⚠ Falta cuenta destino",IF(AND(K698&lt;&gt;"",P698&lt;&gt;"Transferencia",P698&lt;&gt;"Pago tarjeta"),"⚠ Destino solo aplica a transferencias",IF(AND(K698&lt;&gt;"",K698=Q698),"⚠ Origen igual a destino",IF(AND(K698&lt;&gt;"",ISNA(MATCH(K698,ctaNombre,0))),"⚠ Destino no registrado",IF(AND(P698="Pago tarjeta",AE698&lt;&gt;"Tarjeta de crédito"),"⚠ El destino debe ser tarjeta de crédito",IF(AND(P698="Gasto",E698="Depósitos y retiros"),"⚠ Usa tipo Transferencia",IF(AND(P698="Resultado trading",AD698&lt;&gt;"Cuenta de trading"),"⚠ Usa una cuenta de trading",IF(AND(G698&lt;=0,P698&lt;&gt;"Ajuste",P698&lt;&gt;"Resultado trading"),"⚠ El monto debe ser positivo","✓")))))))))))))))</f>
        <v/>
      </c>
      <c r="P698" s="52">
        <f>IF(OR(B698="",G698=""),"",IF(C698="","Gasto",C698))</f>
        <v/>
      </c>
      <c r="Q698" s="52">
        <f>IF(P698="","",IF(J698&lt;&gt;"",J698,CuentaPred&amp;""))</f>
        <v/>
      </c>
      <c r="R698" s="52">
        <f>IF(P698="","",IF(ISNUMBER(I698),I698,TasaUSD))</f>
        <v/>
      </c>
      <c r="S698" s="53">
        <f>IF(P698="","",IF(H698="USD",G698*R698,G698))</f>
        <v/>
      </c>
      <c r="T698" s="53">
        <f>IF(P698="","",IF(H698="USD",G698,IF(R698&gt;0,G698/R698,0)))</f>
        <v/>
      </c>
      <c r="U698" s="53">
        <f>IF(P698="","",IF(P698="Gasto",S698,IF(P698="Reembolso",-S698,0)))</f>
        <v/>
      </c>
      <c r="V698" s="53">
        <f>IF(P698="","",IF(P698="Ingreso",S698,0))</f>
        <v/>
      </c>
      <c r="W698" s="53">
        <f>IF(P698="","",IF(P698="Resultado trading",S698,0))</f>
        <v/>
      </c>
      <c r="X698" s="52">
        <f>IF(OR(P698="Gasto",P698="Reembolso"),IF(M698&lt;&gt;"",M698,IFERROR(INDEX(catClasif,MATCH(D698&amp;"|"&amp;E698,catClave,0))&amp;"","Variable")),"")</f>
        <v/>
      </c>
      <c r="Y698" s="52">
        <f>IF(P698="","",IFERROR(INDEX(catGrupo,MATCH(D698&amp;"|"&amp;E698,catClave,0))&amp;"",""))</f>
        <v/>
      </c>
      <c r="Z698" s="52">
        <f>IF(P698="","",WEEKDAY(B698,2))</f>
        <v/>
      </c>
      <c r="AA698" s="52">
        <f>IF(P698="","",IF(AND(P698="Gasto",X698="Variable",D698&lt;&gt;catTrading,S698&gt;0,S698&lt;=Umbral),1,0))</f>
        <v/>
      </c>
      <c r="AB698" s="52">
        <f>IF(OR(P698="",Q698=""),"",IFERROR(IF(INDEX(ctaVinc,MATCH(Q698,ctaNombre,0))&amp;""&lt;&gt;"",INDEX(ctaVinc,MATCH(Q698,ctaNombre,0))&amp;"",Q698),Q698))</f>
        <v/>
      </c>
      <c r="AC698" s="52">
        <f>IF(OR(K698="",AND(P698&lt;&gt;"Transferencia",P698&lt;&gt;"Pago tarjeta")),"",IFERROR(IF(INDEX(ctaVinc,MATCH(K698,ctaNombre,0))&amp;""&lt;&gt;"",INDEX(ctaVinc,MATCH(K698,ctaNombre,0))&amp;"",K698),K698))</f>
        <v/>
      </c>
      <c r="AD698" s="52">
        <f>IF(AB698="","",IFERROR(INDEX(ctaTipo,MATCH(AB698,ctaNombre,0))&amp;"",""))</f>
        <v/>
      </c>
      <c r="AE698" s="52">
        <f>IF(AC698="","",IFERROR(INDEX(ctaTipo,MATCH(AC698,ctaNombre,0))&amp;"",""))</f>
        <v/>
      </c>
      <c r="AF698" s="53">
        <f>IF(OR(P698="",AB698=""),"",IF(OR(P698="Gasto",P698="Transferencia",P698="Pago tarjeta"),-1,1)*IF(IFERROR(INDEX(ctaMoneda,MATCH(AB698,ctaNombre,0))&amp;"","DOP")="USD",T698,S698))</f>
        <v/>
      </c>
      <c r="AG698" s="53">
        <f>IF(AC698="","",IF(IFERROR(INDEX(ctaMoneda,MATCH(AC698,ctaNombre,0))&amp;"","DOP")="USD",T698,S698))</f>
        <v/>
      </c>
      <c r="AH698" s="53">
        <f>IF(P698="","",IF(AND(AD698&lt;&gt;"",COUNTIFS(tcTipo,AD698,tcLiq,"Sí")&gt;0),IF(OR(P698="Gasto",P698="Transferencia",P698="Pago tarjeta"),-1,1)*S698,0)+IF(AND(AE698&lt;&gt;"",COUNTIFS(tcTipo,AE698,tcLiq,"Sí")&gt;0),S698,0))</f>
        <v/>
      </c>
      <c r="AI698" s="52">
        <f>IF(OR(L698="",P698=""),"",IF(COUNTIFS(L$6:L698,L698,P$6:P698,"?*")=1,MAX(AI$5:AI697)+1,""))</f>
        <v/>
      </c>
    </row>
    <row r="699">
      <c r="B699" s="47" t="n"/>
      <c r="C699" s="48" t="n"/>
      <c r="D699" s="48" t="n"/>
      <c r="E699" s="48" t="n"/>
      <c r="F699" s="48" t="n"/>
      <c r="G699" s="49" t="n"/>
      <c r="H699" s="48" t="n"/>
      <c r="I699" s="50" t="n"/>
      <c r="J699" s="48" t="n"/>
      <c r="K699" s="48" t="n"/>
      <c r="L699" s="48" t="n"/>
      <c r="M699" s="48" t="n"/>
      <c r="N699" s="48" t="n"/>
      <c r="O699" s="51">
        <f>IF(AND(B699="",G699="",C699="",D699="",J699=""),"",IF(B699="","⚠ Falta fecha",IF(G699="","⚠ Falta monto",IF(Q699="","⚠ Falta cuenta",IF(ISNA(MATCH(Q699,ctaNombre,0)),"⚠ Cuenta no registrada",IF(AND(OR(P699="Gasto",P699="Reembolso"),D699=""),"⚠ Falta categoría",IF(AND(D699&lt;&gt;"",E699&lt;&gt;"",ISNA(MATCH(D699&amp;"|"&amp;E699,catClave,0))),"⚠ Subcategoría no corresponde",IF(AND(OR(P699="Transferencia",P699="Pago tarjeta"),K699=""),"⚠ Falta cuenta destino",IF(AND(K699&lt;&gt;"",P699&lt;&gt;"Transferencia",P699&lt;&gt;"Pago tarjeta"),"⚠ Destino solo aplica a transferencias",IF(AND(K699&lt;&gt;"",K699=Q699),"⚠ Origen igual a destino",IF(AND(K699&lt;&gt;"",ISNA(MATCH(K699,ctaNombre,0))),"⚠ Destino no registrado",IF(AND(P699="Pago tarjeta",AE699&lt;&gt;"Tarjeta de crédito"),"⚠ El destino debe ser tarjeta de crédito",IF(AND(P699="Gasto",E699="Depósitos y retiros"),"⚠ Usa tipo Transferencia",IF(AND(P699="Resultado trading",AD699&lt;&gt;"Cuenta de trading"),"⚠ Usa una cuenta de trading",IF(AND(G699&lt;=0,P699&lt;&gt;"Ajuste",P699&lt;&gt;"Resultado trading"),"⚠ El monto debe ser positivo","✓")))))))))))))))</f>
        <v/>
      </c>
      <c r="P699" s="52">
        <f>IF(OR(B699="",G699=""),"",IF(C699="","Gasto",C699))</f>
        <v/>
      </c>
      <c r="Q699" s="52">
        <f>IF(P699="","",IF(J699&lt;&gt;"",J699,CuentaPred&amp;""))</f>
        <v/>
      </c>
      <c r="R699" s="52">
        <f>IF(P699="","",IF(ISNUMBER(I699),I699,TasaUSD))</f>
        <v/>
      </c>
      <c r="S699" s="53">
        <f>IF(P699="","",IF(H699="USD",G699*R699,G699))</f>
        <v/>
      </c>
      <c r="T699" s="53">
        <f>IF(P699="","",IF(H699="USD",G699,IF(R699&gt;0,G699/R699,0)))</f>
        <v/>
      </c>
      <c r="U699" s="53">
        <f>IF(P699="","",IF(P699="Gasto",S699,IF(P699="Reembolso",-S699,0)))</f>
        <v/>
      </c>
      <c r="V699" s="53">
        <f>IF(P699="","",IF(P699="Ingreso",S699,0))</f>
        <v/>
      </c>
      <c r="W699" s="53">
        <f>IF(P699="","",IF(P699="Resultado trading",S699,0))</f>
        <v/>
      </c>
      <c r="X699" s="52">
        <f>IF(OR(P699="Gasto",P699="Reembolso"),IF(M699&lt;&gt;"",M699,IFERROR(INDEX(catClasif,MATCH(D699&amp;"|"&amp;E699,catClave,0))&amp;"","Variable")),"")</f>
        <v/>
      </c>
      <c r="Y699" s="52">
        <f>IF(P699="","",IFERROR(INDEX(catGrupo,MATCH(D699&amp;"|"&amp;E699,catClave,0))&amp;"",""))</f>
        <v/>
      </c>
      <c r="Z699" s="52">
        <f>IF(P699="","",WEEKDAY(B699,2))</f>
        <v/>
      </c>
      <c r="AA699" s="52">
        <f>IF(P699="","",IF(AND(P699="Gasto",X699="Variable",D699&lt;&gt;catTrading,S699&gt;0,S699&lt;=Umbral),1,0))</f>
        <v/>
      </c>
      <c r="AB699" s="52">
        <f>IF(OR(P699="",Q699=""),"",IFERROR(IF(INDEX(ctaVinc,MATCH(Q699,ctaNombre,0))&amp;""&lt;&gt;"",INDEX(ctaVinc,MATCH(Q699,ctaNombre,0))&amp;"",Q699),Q699))</f>
        <v/>
      </c>
      <c r="AC699" s="52">
        <f>IF(OR(K699="",AND(P699&lt;&gt;"Transferencia",P699&lt;&gt;"Pago tarjeta")),"",IFERROR(IF(INDEX(ctaVinc,MATCH(K699,ctaNombre,0))&amp;""&lt;&gt;"",INDEX(ctaVinc,MATCH(K699,ctaNombre,0))&amp;"",K699),K699))</f>
        <v/>
      </c>
      <c r="AD699" s="52">
        <f>IF(AB699="","",IFERROR(INDEX(ctaTipo,MATCH(AB699,ctaNombre,0))&amp;"",""))</f>
        <v/>
      </c>
      <c r="AE699" s="52">
        <f>IF(AC699="","",IFERROR(INDEX(ctaTipo,MATCH(AC699,ctaNombre,0))&amp;"",""))</f>
        <v/>
      </c>
      <c r="AF699" s="53">
        <f>IF(OR(P699="",AB699=""),"",IF(OR(P699="Gasto",P699="Transferencia",P699="Pago tarjeta"),-1,1)*IF(IFERROR(INDEX(ctaMoneda,MATCH(AB699,ctaNombre,0))&amp;"","DOP")="USD",T699,S699))</f>
        <v/>
      </c>
      <c r="AG699" s="53">
        <f>IF(AC699="","",IF(IFERROR(INDEX(ctaMoneda,MATCH(AC699,ctaNombre,0))&amp;"","DOP")="USD",T699,S699))</f>
        <v/>
      </c>
      <c r="AH699" s="53">
        <f>IF(P699="","",IF(AND(AD699&lt;&gt;"",COUNTIFS(tcTipo,AD699,tcLiq,"Sí")&gt;0),IF(OR(P699="Gasto",P699="Transferencia",P699="Pago tarjeta"),-1,1)*S699,0)+IF(AND(AE699&lt;&gt;"",COUNTIFS(tcTipo,AE699,tcLiq,"Sí")&gt;0),S699,0))</f>
        <v/>
      </c>
      <c r="AI699" s="52">
        <f>IF(OR(L699="",P699=""),"",IF(COUNTIFS(L$6:L699,L699,P$6:P699,"?*")=1,MAX(AI$5:AI698)+1,""))</f>
        <v/>
      </c>
    </row>
    <row r="700">
      <c r="B700" s="47" t="n"/>
      <c r="C700" s="48" t="n"/>
      <c r="D700" s="48" t="n"/>
      <c r="E700" s="48" t="n"/>
      <c r="F700" s="48" t="n"/>
      <c r="G700" s="49" t="n"/>
      <c r="H700" s="48" t="n"/>
      <c r="I700" s="50" t="n"/>
      <c r="J700" s="48" t="n"/>
      <c r="K700" s="48" t="n"/>
      <c r="L700" s="48" t="n"/>
      <c r="M700" s="48" t="n"/>
      <c r="N700" s="48" t="n"/>
      <c r="O700" s="51">
        <f>IF(AND(B700="",G700="",C700="",D700="",J700=""),"",IF(B700="","⚠ Falta fecha",IF(G700="","⚠ Falta monto",IF(Q700="","⚠ Falta cuenta",IF(ISNA(MATCH(Q700,ctaNombre,0)),"⚠ Cuenta no registrada",IF(AND(OR(P700="Gasto",P700="Reembolso"),D700=""),"⚠ Falta categoría",IF(AND(D700&lt;&gt;"",E700&lt;&gt;"",ISNA(MATCH(D700&amp;"|"&amp;E700,catClave,0))),"⚠ Subcategoría no corresponde",IF(AND(OR(P700="Transferencia",P700="Pago tarjeta"),K700=""),"⚠ Falta cuenta destino",IF(AND(K700&lt;&gt;"",P700&lt;&gt;"Transferencia",P700&lt;&gt;"Pago tarjeta"),"⚠ Destino solo aplica a transferencias",IF(AND(K700&lt;&gt;"",K700=Q700),"⚠ Origen igual a destino",IF(AND(K700&lt;&gt;"",ISNA(MATCH(K700,ctaNombre,0))),"⚠ Destino no registrado",IF(AND(P700="Pago tarjeta",AE700&lt;&gt;"Tarjeta de crédito"),"⚠ El destino debe ser tarjeta de crédito",IF(AND(P700="Gasto",E700="Depósitos y retiros"),"⚠ Usa tipo Transferencia",IF(AND(P700="Resultado trading",AD700&lt;&gt;"Cuenta de trading"),"⚠ Usa una cuenta de trading",IF(AND(G700&lt;=0,P700&lt;&gt;"Ajuste",P700&lt;&gt;"Resultado trading"),"⚠ El monto debe ser positivo","✓")))))))))))))))</f>
        <v/>
      </c>
      <c r="P700" s="52">
        <f>IF(OR(B700="",G700=""),"",IF(C700="","Gasto",C700))</f>
        <v/>
      </c>
      <c r="Q700" s="52">
        <f>IF(P700="","",IF(J700&lt;&gt;"",J700,CuentaPred&amp;""))</f>
        <v/>
      </c>
      <c r="R700" s="52">
        <f>IF(P700="","",IF(ISNUMBER(I700),I700,TasaUSD))</f>
        <v/>
      </c>
      <c r="S700" s="53">
        <f>IF(P700="","",IF(H700="USD",G700*R700,G700))</f>
        <v/>
      </c>
      <c r="T700" s="53">
        <f>IF(P700="","",IF(H700="USD",G700,IF(R700&gt;0,G700/R700,0)))</f>
        <v/>
      </c>
      <c r="U700" s="53">
        <f>IF(P700="","",IF(P700="Gasto",S700,IF(P700="Reembolso",-S700,0)))</f>
        <v/>
      </c>
      <c r="V700" s="53">
        <f>IF(P700="","",IF(P700="Ingreso",S700,0))</f>
        <v/>
      </c>
      <c r="W700" s="53">
        <f>IF(P700="","",IF(P700="Resultado trading",S700,0))</f>
        <v/>
      </c>
      <c r="X700" s="52">
        <f>IF(OR(P700="Gasto",P700="Reembolso"),IF(M700&lt;&gt;"",M700,IFERROR(INDEX(catClasif,MATCH(D700&amp;"|"&amp;E700,catClave,0))&amp;"","Variable")),"")</f>
        <v/>
      </c>
      <c r="Y700" s="52">
        <f>IF(P700="","",IFERROR(INDEX(catGrupo,MATCH(D700&amp;"|"&amp;E700,catClave,0))&amp;"",""))</f>
        <v/>
      </c>
      <c r="Z700" s="52">
        <f>IF(P700="","",WEEKDAY(B700,2))</f>
        <v/>
      </c>
      <c r="AA700" s="52">
        <f>IF(P700="","",IF(AND(P700="Gasto",X700="Variable",D700&lt;&gt;catTrading,S700&gt;0,S700&lt;=Umbral),1,0))</f>
        <v/>
      </c>
      <c r="AB700" s="52">
        <f>IF(OR(P700="",Q700=""),"",IFERROR(IF(INDEX(ctaVinc,MATCH(Q700,ctaNombre,0))&amp;""&lt;&gt;"",INDEX(ctaVinc,MATCH(Q700,ctaNombre,0))&amp;"",Q700),Q700))</f>
        <v/>
      </c>
      <c r="AC700" s="52">
        <f>IF(OR(K700="",AND(P700&lt;&gt;"Transferencia",P700&lt;&gt;"Pago tarjeta")),"",IFERROR(IF(INDEX(ctaVinc,MATCH(K700,ctaNombre,0))&amp;""&lt;&gt;"",INDEX(ctaVinc,MATCH(K700,ctaNombre,0))&amp;"",K700),K700))</f>
        <v/>
      </c>
      <c r="AD700" s="52">
        <f>IF(AB700="","",IFERROR(INDEX(ctaTipo,MATCH(AB700,ctaNombre,0))&amp;"",""))</f>
        <v/>
      </c>
      <c r="AE700" s="52">
        <f>IF(AC700="","",IFERROR(INDEX(ctaTipo,MATCH(AC700,ctaNombre,0))&amp;"",""))</f>
        <v/>
      </c>
      <c r="AF700" s="53">
        <f>IF(OR(P700="",AB700=""),"",IF(OR(P700="Gasto",P700="Transferencia",P700="Pago tarjeta"),-1,1)*IF(IFERROR(INDEX(ctaMoneda,MATCH(AB700,ctaNombre,0))&amp;"","DOP")="USD",T700,S700))</f>
        <v/>
      </c>
      <c r="AG700" s="53">
        <f>IF(AC700="","",IF(IFERROR(INDEX(ctaMoneda,MATCH(AC700,ctaNombre,0))&amp;"","DOP")="USD",T700,S700))</f>
        <v/>
      </c>
      <c r="AH700" s="53">
        <f>IF(P700="","",IF(AND(AD700&lt;&gt;"",COUNTIFS(tcTipo,AD700,tcLiq,"Sí")&gt;0),IF(OR(P700="Gasto",P700="Transferencia",P700="Pago tarjeta"),-1,1)*S700,0)+IF(AND(AE700&lt;&gt;"",COUNTIFS(tcTipo,AE700,tcLiq,"Sí")&gt;0),S700,0))</f>
        <v/>
      </c>
      <c r="AI700" s="52">
        <f>IF(OR(L700="",P700=""),"",IF(COUNTIFS(L$6:L700,L700,P$6:P700,"?*")=1,MAX(AI$5:AI699)+1,""))</f>
        <v/>
      </c>
    </row>
    <row r="701">
      <c r="B701" s="47" t="n"/>
      <c r="C701" s="48" t="n"/>
      <c r="D701" s="48" t="n"/>
      <c r="E701" s="48" t="n"/>
      <c r="F701" s="48" t="n"/>
      <c r="G701" s="49" t="n"/>
      <c r="H701" s="48" t="n"/>
      <c r="I701" s="50" t="n"/>
      <c r="J701" s="48" t="n"/>
      <c r="K701" s="48" t="n"/>
      <c r="L701" s="48" t="n"/>
      <c r="M701" s="48" t="n"/>
      <c r="N701" s="48" t="n"/>
      <c r="O701" s="51">
        <f>IF(AND(B701="",G701="",C701="",D701="",J701=""),"",IF(B701="","⚠ Falta fecha",IF(G701="","⚠ Falta monto",IF(Q701="","⚠ Falta cuenta",IF(ISNA(MATCH(Q701,ctaNombre,0)),"⚠ Cuenta no registrada",IF(AND(OR(P701="Gasto",P701="Reembolso"),D701=""),"⚠ Falta categoría",IF(AND(D701&lt;&gt;"",E701&lt;&gt;"",ISNA(MATCH(D701&amp;"|"&amp;E701,catClave,0))),"⚠ Subcategoría no corresponde",IF(AND(OR(P701="Transferencia",P701="Pago tarjeta"),K701=""),"⚠ Falta cuenta destino",IF(AND(K701&lt;&gt;"",P701&lt;&gt;"Transferencia",P701&lt;&gt;"Pago tarjeta"),"⚠ Destino solo aplica a transferencias",IF(AND(K701&lt;&gt;"",K701=Q701),"⚠ Origen igual a destino",IF(AND(K701&lt;&gt;"",ISNA(MATCH(K701,ctaNombre,0))),"⚠ Destino no registrado",IF(AND(P701="Pago tarjeta",AE701&lt;&gt;"Tarjeta de crédito"),"⚠ El destino debe ser tarjeta de crédito",IF(AND(P701="Gasto",E701="Depósitos y retiros"),"⚠ Usa tipo Transferencia",IF(AND(P701="Resultado trading",AD701&lt;&gt;"Cuenta de trading"),"⚠ Usa una cuenta de trading",IF(AND(G701&lt;=0,P701&lt;&gt;"Ajuste",P701&lt;&gt;"Resultado trading"),"⚠ El monto debe ser positivo","✓")))))))))))))))</f>
        <v/>
      </c>
      <c r="P701" s="52">
        <f>IF(OR(B701="",G701=""),"",IF(C701="","Gasto",C701))</f>
        <v/>
      </c>
      <c r="Q701" s="52">
        <f>IF(P701="","",IF(J701&lt;&gt;"",J701,CuentaPred&amp;""))</f>
        <v/>
      </c>
      <c r="R701" s="52">
        <f>IF(P701="","",IF(ISNUMBER(I701),I701,TasaUSD))</f>
        <v/>
      </c>
      <c r="S701" s="53">
        <f>IF(P701="","",IF(H701="USD",G701*R701,G701))</f>
        <v/>
      </c>
      <c r="T701" s="53">
        <f>IF(P701="","",IF(H701="USD",G701,IF(R701&gt;0,G701/R701,0)))</f>
        <v/>
      </c>
      <c r="U701" s="53">
        <f>IF(P701="","",IF(P701="Gasto",S701,IF(P701="Reembolso",-S701,0)))</f>
        <v/>
      </c>
      <c r="V701" s="53">
        <f>IF(P701="","",IF(P701="Ingreso",S701,0))</f>
        <v/>
      </c>
      <c r="W701" s="53">
        <f>IF(P701="","",IF(P701="Resultado trading",S701,0))</f>
        <v/>
      </c>
      <c r="X701" s="52">
        <f>IF(OR(P701="Gasto",P701="Reembolso"),IF(M701&lt;&gt;"",M701,IFERROR(INDEX(catClasif,MATCH(D701&amp;"|"&amp;E701,catClave,0))&amp;"","Variable")),"")</f>
        <v/>
      </c>
      <c r="Y701" s="52">
        <f>IF(P701="","",IFERROR(INDEX(catGrupo,MATCH(D701&amp;"|"&amp;E701,catClave,0))&amp;"",""))</f>
        <v/>
      </c>
      <c r="Z701" s="52">
        <f>IF(P701="","",WEEKDAY(B701,2))</f>
        <v/>
      </c>
      <c r="AA701" s="52">
        <f>IF(P701="","",IF(AND(P701="Gasto",X701="Variable",D701&lt;&gt;catTrading,S701&gt;0,S701&lt;=Umbral),1,0))</f>
        <v/>
      </c>
      <c r="AB701" s="52">
        <f>IF(OR(P701="",Q701=""),"",IFERROR(IF(INDEX(ctaVinc,MATCH(Q701,ctaNombre,0))&amp;""&lt;&gt;"",INDEX(ctaVinc,MATCH(Q701,ctaNombre,0))&amp;"",Q701),Q701))</f>
        <v/>
      </c>
      <c r="AC701" s="52">
        <f>IF(OR(K701="",AND(P701&lt;&gt;"Transferencia",P701&lt;&gt;"Pago tarjeta")),"",IFERROR(IF(INDEX(ctaVinc,MATCH(K701,ctaNombre,0))&amp;""&lt;&gt;"",INDEX(ctaVinc,MATCH(K701,ctaNombre,0))&amp;"",K701),K701))</f>
        <v/>
      </c>
      <c r="AD701" s="52">
        <f>IF(AB701="","",IFERROR(INDEX(ctaTipo,MATCH(AB701,ctaNombre,0))&amp;"",""))</f>
        <v/>
      </c>
      <c r="AE701" s="52">
        <f>IF(AC701="","",IFERROR(INDEX(ctaTipo,MATCH(AC701,ctaNombre,0))&amp;"",""))</f>
        <v/>
      </c>
      <c r="AF701" s="53">
        <f>IF(OR(P701="",AB701=""),"",IF(OR(P701="Gasto",P701="Transferencia",P701="Pago tarjeta"),-1,1)*IF(IFERROR(INDEX(ctaMoneda,MATCH(AB701,ctaNombre,0))&amp;"","DOP")="USD",T701,S701))</f>
        <v/>
      </c>
      <c r="AG701" s="53">
        <f>IF(AC701="","",IF(IFERROR(INDEX(ctaMoneda,MATCH(AC701,ctaNombre,0))&amp;"","DOP")="USD",T701,S701))</f>
        <v/>
      </c>
      <c r="AH701" s="53">
        <f>IF(P701="","",IF(AND(AD701&lt;&gt;"",COUNTIFS(tcTipo,AD701,tcLiq,"Sí")&gt;0),IF(OR(P701="Gasto",P701="Transferencia",P701="Pago tarjeta"),-1,1)*S701,0)+IF(AND(AE701&lt;&gt;"",COUNTIFS(tcTipo,AE701,tcLiq,"Sí")&gt;0),S701,0))</f>
        <v/>
      </c>
      <c r="AI701" s="52">
        <f>IF(OR(L701="",P701=""),"",IF(COUNTIFS(L$6:L701,L701,P$6:P701,"?*")=1,MAX(AI$5:AI700)+1,""))</f>
        <v/>
      </c>
    </row>
    <row r="702">
      <c r="B702" s="47" t="n"/>
      <c r="C702" s="48" t="n"/>
      <c r="D702" s="48" t="n"/>
      <c r="E702" s="48" t="n"/>
      <c r="F702" s="48" t="n"/>
      <c r="G702" s="49" t="n"/>
      <c r="H702" s="48" t="n"/>
      <c r="I702" s="50" t="n"/>
      <c r="J702" s="48" t="n"/>
      <c r="K702" s="48" t="n"/>
      <c r="L702" s="48" t="n"/>
      <c r="M702" s="48" t="n"/>
      <c r="N702" s="48" t="n"/>
      <c r="O702" s="51">
        <f>IF(AND(B702="",G702="",C702="",D702="",J702=""),"",IF(B702="","⚠ Falta fecha",IF(G702="","⚠ Falta monto",IF(Q702="","⚠ Falta cuenta",IF(ISNA(MATCH(Q702,ctaNombre,0)),"⚠ Cuenta no registrada",IF(AND(OR(P702="Gasto",P702="Reembolso"),D702=""),"⚠ Falta categoría",IF(AND(D702&lt;&gt;"",E702&lt;&gt;"",ISNA(MATCH(D702&amp;"|"&amp;E702,catClave,0))),"⚠ Subcategoría no corresponde",IF(AND(OR(P702="Transferencia",P702="Pago tarjeta"),K702=""),"⚠ Falta cuenta destino",IF(AND(K702&lt;&gt;"",P702&lt;&gt;"Transferencia",P702&lt;&gt;"Pago tarjeta"),"⚠ Destino solo aplica a transferencias",IF(AND(K702&lt;&gt;"",K702=Q702),"⚠ Origen igual a destino",IF(AND(K702&lt;&gt;"",ISNA(MATCH(K702,ctaNombre,0))),"⚠ Destino no registrado",IF(AND(P702="Pago tarjeta",AE702&lt;&gt;"Tarjeta de crédito"),"⚠ El destino debe ser tarjeta de crédito",IF(AND(P702="Gasto",E702="Depósitos y retiros"),"⚠ Usa tipo Transferencia",IF(AND(P702="Resultado trading",AD702&lt;&gt;"Cuenta de trading"),"⚠ Usa una cuenta de trading",IF(AND(G702&lt;=0,P702&lt;&gt;"Ajuste",P702&lt;&gt;"Resultado trading"),"⚠ El monto debe ser positivo","✓")))))))))))))))</f>
        <v/>
      </c>
      <c r="P702" s="52">
        <f>IF(OR(B702="",G702=""),"",IF(C702="","Gasto",C702))</f>
        <v/>
      </c>
      <c r="Q702" s="52">
        <f>IF(P702="","",IF(J702&lt;&gt;"",J702,CuentaPred&amp;""))</f>
        <v/>
      </c>
      <c r="R702" s="52">
        <f>IF(P702="","",IF(ISNUMBER(I702),I702,TasaUSD))</f>
        <v/>
      </c>
      <c r="S702" s="53">
        <f>IF(P702="","",IF(H702="USD",G702*R702,G702))</f>
        <v/>
      </c>
      <c r="T702" s="53">
        <f>IF(P702="","",IF(H702="USD",G702,IF(R702&gt;0,G702/R702,0)))</f>
        <v/>
      </c>
      <c r="U702" s="53">
        <f>IF(P702="","",IF(P702="Gasto",S702,IF(P702="Reembolso",-S702,0)))</f>
        <v/>
      </c>
      <c r="V702" s="53">
        <f>IF(P702="","",IF(P702="Ingreso",S702,0))</f>
        <v/>
      </c>
      <c r="W702" s="53">
        <f>IF(P702="","",IF(P702="Resultado trading",S702,0))</f>
        <v/>
      </c>
      <c r="X702" s="52">
        <f>IF(OR(P702="Gasto",P702="Reembolso"),IF(M702&lt;&gt;"",M702,IFERROR(INDEX(catClasif,MATCH(D702&amp;"|"&amp;E702,catClave,0))&amp;"","Variable")),"")</f>
        <v/>
      </c>
      <c r="Y702" s="52">
        <f>IF(P702="","",IFERROR(INDEX(catGrupo,MATCH(D702&amp;"|"&amp;E702,catClave,0))&amp;"",""))</f>
        <v/>
      </c>
      <c r="Z702" s="52">
        <f>IF(P702="","",WEEKDAY(B702,2))</f>
        <v/>
      </c>
      <c r="AA702" s="52">
        <f>IF(P702="","",IF(AND(P702="Gasto",X702="Variable",D702&lt;&gt;catTrading,S702&gt;0,S702&lt;=Umbral),1,0))</f>
        <v/>
      </c>
      <c r="AB702" s="52">
        <f>IF(OR(P702="",Q702=""),"",IFERROR(IF(INDEX(ctaVinc,MATCH(Q702,ctaNombre,0))&amp;""&lt;&gt;"",INDEX(ctaVinc,MATCH(Q702,ctaNombre,0))&amp;"",Q702),Q702))</f>
        <v/>
      </c>
      <c r="AC702" s="52">
        <f>IF(OR(K702="",AND(P702&lt;&gt;"Transferencia",P702&lt;&gt;"Pago tarjeta")),"",IFERROR(IF(INDEX(ctaVinc,MATCH(K702,ctaNombre,0))&amp;""&lt;&gt;"",INDEX(ctaVinc,MATCH(K702,ctaNombre,0))&amp;"",K702),K702))</f>
        <v/>
      </c>
      <c r="AD702" s="52">
        <f>IF(AB702="","",IFERROR(INDEX(ctaTipo,MATCH(AB702,ctaNombre,0))&amp;"",""))</f>
        <v/>
      </c>
      <c r="AE702" s="52">
        <f>IF(AC702="","",IFERROR(INDEX(ctaTipo,MATCH(AC702,ctaNombre,0))&amp;"",""))</f>
        <v/>
      </c>
      <c r="AF702" s="53">
        <f>IF(OR(P702="",AB702=""),"",IF(OR(P702="Gasto",P702="Transferencia",P702="Pago tarjeta"),-1,1)*IF(IFERROR(INDEX(ctaMoneda,MATCH(AB702,ctaNombre,0))&amp;"","DOP")="USD",T702,S702))</f>
        <v/>
      </c>
      <c r="AG702" s="53">
        <f>IF(AC702="","",IF(IFERROR(INDEX(ctaMoneda,MATCH(AC702,ctaNombre,0))&amp;"","DOP")="USD",T702,S702))</f>
        <v/>
      </c>
      <c r="AH702" s="53">
        <f>IF(P702="","",IF(AND(AD702&lt;&gt;"",COUNTIFS(tcTipo,AD702,tcLiq,"Sí")&gt;0),IF(OR(P702="Gasto",P702="Transferencia",P702="Pago tarjeta"),-1,1)*S702,0)+IF(AND(AE702&lt;&gt;"",COUNTIFS(tcTipo,AE702,tcLiq,"Sí")&gt;0),S702,0))</f>
        <v/>
      </c>
      <c r="AI702" s="52">
        <f>IF(OR(L702="",P702=""),"",IF(COUNTIFS(L$6:L702,L702,P$6:P702,"?*")=1,MAX(AI$5:AI701)+1,""))</f>
        <v/>
      </c>
    </row>
    <row r="703">
      <c r="B703" s="47" t="n"/>
      <c r="C703" s="48" t="n"/>
      <c r="D703" s="48" t="n"/>
      <c r="E703" s="48" t="n"/>
      <c r="F703" s="48" t="n"/>
      <c r="G703" s="49" t="n"/>
      <c r="H703" s="48" t="n"/>
      <c r="I703" s="50" t="n"/>
      <c r="J703" s="48" t="n"/>
      <c r="K703" s="48" t="n"/>
      <c r="L703" s="48" t="n"/>
      <c r="M703" s="48" t="n"/>
      <c r="N703" s="48" t="n"/>
      <c r="O703" s="51">
        <f>IF(AND(B703="",G703="",C703="",D703="",J703=""),"",IF(B703="","⚠ Falta fecha",IF(G703="","⚠ Falta monto",IF(Q703="","⚠ Falta cuenta",IF(ISNA(MATCH(Q703,ctaNombre,0)),"⚠ Cuenta no registrada",IF(AND(OR(P703="Gasto",P703="Reembolso"),D703=""),"⚠ Falta categoría",IF(AND(D703&lt;&gt;"",E703&lt;&gt;"",ISNA(MATCH(D703&amp;"|"&amp;E703,catClave,0))),"⚠ Subcategoría no corresponde",IF(AND(OR(P703="Transferencia",P703="Pago tarjeta"),K703=""),"⚠ Falta cuenta destino",IF(AND(K703&lt;&gt;"",P703&lt;&gt;"Transferencia",P703&lt;&gt;"Pago tarjeta"),"⚠ Destino solo aplica a transferencias",IF(AND(K703&lt;&gt;"",K703=Q703),"⚠ Origen igual a destino",IF(AND(K703&lt;&gt;"",ISNA(MATCH(K703,ctaNombre,0))),"⚠ Destino no registrado",IF(AND(P703="Pago tarjeta",AE703&lt;&gt;"Tarjeta de crédito"),"⚠ El destino debe ser tarjeta de crédito",IF(AND(P703="Gasto",E703="Depósitos y retiros"),"⚠ Usa tipo Transferencia",IF(AND(P703="Resultado trading",AD703&lt;&gt;"Cuenta de trading"),"⚠ Usa una cuenta de trading",IF(AND(G703&lt;=0,P703&lt;&gt;"Ajuste",P703&lt;&gt;"Resultado trading"),"⚠ El monto debe ser positivo","✓")))))))))))))))</f>
        <v/>
      </c>
      <c r="P703" s="52">
        <f>IF(OR(B703="",G703=""),"",IF(C703="","Gasto",C703))</f>
        <v/>
      </c>
      <c r="Q703" s="52">
        <f>IF(P703="","",IF(J703&lt;&gt;"",J703,CuentaPred&amp;""))</f>
        <v/>
      </c>
      <c r="R703" s="52">
        <f>IF(P703="","",IF(ISNUMBER(I703),I703,TasaUSD))</f>
        <v/>
      </c>
      <c r="S703" s="53">
        <f>IF(P703="","",IF(H703="USD",G703*R703,G703))</f>
        <v/>
      </c>
      <c r="T703" s="53">
        <f>IF(P703="","",IF(H703="USD",G703,IF(R703&gt;0,G703/R703,0)))</f>
        <v/>
      </c>
      <c r="U703" s="53">
        <f>IF(P703="","",IF(P703="Gasto",S703,IF(P703="Reembolso",-S703,0)))</f>
        <v/>
      </c>
      <c r="V703" s="53">
        <f>IF(P703="","",IF(P703="Ingreso",S703,0))</f>
        <v/>
      </c>
      <c r="W703" s="53">
        <f>IF(P703="","",IF(P703="Resultado trading",S703,0))</f>
        <v/>
      </c>
      <c r="X703" s="52">
        <f>IF(OR(P703="Gasto",P703="Reembolso"),IF(M703&lt;&gt;"",M703,IFERROR(INDEX(catClasif,MATCH(D703&amp;"|"&amp;E703,catClave,0))&amp;"","Variable")),"")</f>
        <v/>
      </c>
      <c r="Y703" s="52">
        <f>IF(P703="","",IFERROR(INDEX(catGrupo,MATCH(D703&amp;"|"&amp;E703,catClave,0))&amp;"",""))</f>
        <v/>
      </c>
      <c r="Z703" s="52">
        <f>IF(P703="","",WEEKDAY(B703,2))</f>
        <v/>
      </c>
      <c r="AA703" s="52">
        <f>IF(P703="","",IF(AND(P703="Gasto",X703="Variable",D703&lt;&gt;catTrading,S703&gt;0,S703&lt;=Umbral),1,0))</f>
        <v/>
      </c>
      <c r="AB703" s="52">
        <f>IF(OR(P703="",Q703=""),"",IFERROR(IF(INDEX(ctaVinc,MATCH(Q703,ctaNombre,0))&amp;""&lt;&gt;"",INDEX(ctaVinc,MATCH(Q703,ctaNombre,0))&amp;"",Q703),Q703))</f>
        <v/>
      </c>
      <c r="AC703" s="52">
        <f>IF(OR(K703="",AND(P703&lt;&gt;"Transferencia",P703&lt;&gt;"Pago tarjeta")),"",IFERROR(IF(INDEX(ctaVinc,MATCH(K703,ctaNombre,0))&amp;""&lt;&gt;"",INDEX(ctaVinc,MATCH(K703,ctaNombre,0))&amp;"",K703),K703))</f>
        <v/>
      </c>
      <c r="AD703" s="52">
        <f>IF(AB703="","",IFERROR(INDEX(ctaTipo,MATCH(AB703,ctaNombre,0))&amp;"",""))</f>
        <v/>
      </c>
      <c r="AE703" s="52">
        <f>IF(AC703="","",IFERROR(INDEX(ctaTipo,MATCH(AC703,ctaNombre,0))&amp;"",""))</f>
        <v/>
      </c>
      <c r="AF703" s="53">
        <f>IF(OR(P703="",AB703=""),"",IF(OR(P703="Gasto",P703="Transferencia",P703="Pago tarjeta"),-1,1)*IF(IFERROR(INDEX(ctaMoneda,MATCH(AB703,ctaNombre,0))&amp;"","DOP")="USD",T703,S703))</f>
        <v/>
      </c>
      <c r="AG703" s="53">
        <f>IF(AC703="","",IF(IFERROR(INDEX(ctaMoneda,MATCH(AC703,ctaNombre,0))&amp;"","DOP")="USD",T703,S703))</f>
        <v/>
      </c>
      <c r="AH703" s="53">
        <f>IF(P703="","",IF(AND(AD703&lt;&gt;"",COUNTIFS(tcTipo,AD703,tcLiq,"Sí")&gt;0),IF(OR(P703="Gasto",P703="Transferencia",P703="Pago tarjeta"),-1,1)*S703,0)+IF(AND(AE703&lt;&gt;"",COUNTIFS(tcTipo,AE703,tcLiq,"Sí")&gt;0),S703,0))</f>
        <v/>
      </c>
      <c r="AI703" s="52">
        <f>IF(OR(L703="",P703=""),"",IF(COUNTIFS(L$6:L703,L703,P$6:P703,"?*")=1,MAX(AI$5:AI702)+1,""))</f>
        <v/>
      </c>
    </row>
    <row r="704">
      <c r="B704" s="47" t="n"/>
      <c r="C704" s="48" t="n"/>
      <c r="D704" s="48" t="n"/>
      <c r="E704" s="48" t="n"/>
      <c r="F704" s="48" t="n"/>
      <c r="G704" s="49" t="n"/>
      <c r="H704" s="48" t="n"/>
      <c r="I704" s="50" t="n"/>
      <c r="J704" s="48" t="n"/>
      <c r="K704" s="48" t="n"/>
      <c r="L704" s="48" t="n"/>
      <c r="M704" s="48" t="n"/>
      <c r="N704" s="48" t="n"/>
      <c r="O704" s="51">
        <f>IF(AND(B704="",G704="",C704="",D704="",J704=""),"",IF(B704="","⚠ Falta fecha",IF(G704="","⚠ Falta monto",IF(Q704="","⚠ Falta cuenta",IF(ISNA(MATCH(Q704,ctaNombre,0)),"⚠ Cuenta no registrada",IF(AND(OR(P704="Gasto",P704="Reembolso"),D704=""),"⚠ Falta categoría",IF(AND(D704&lt;&gt;"",E704&lt;&gt;"",ISNA(MATCH(D704&amp;"|"&amp;E704,catClave,0))),"⚠ Subcategoría no corresponde",IF(AND(OR(P704="Transferencia",P704="Pago tarjeta"),K704=""),"⚠ Falta cuenta destino",IF(AND(K704&lt;&gt;"",P704&lt;&gt;"Transferencia",P704&lt;&gt;"Pago tarjeta"),"⚠ Destino solo aplica a transferencias",IF(AND(K704&lt;&gt;"",K704=Q704),"⚠ Origen igual a destino",IF(AND(K704&lt;&gt;"",ISNA(MATCH(K704,ctaNombre,0))),"⚠ Destino no registrado",IF(AND(P704="Pago tarjeta",AE704&lt;&gt;"Tarjeta de crédito"),"⚠ El destino debe ser tarjeta de crédito",IF(AND(P704="Gasto",E704="Depósitos y retiros"),"⚠ Usa tipo Transferencia",IF(AND(P704="Resultado trading",AD704&lt;&gt;"Cuenta de trading"),"⚠ Usa una cuenta de trading",IF(AND(G704&lt;=0,P704&lt;&gt;"Ajuste",P704&lt;&gt;"Resultado trading"),"⚠ El monto debe ser positivo","✓")))))))))))))))</f>
        <v/>
      </c>
      <c r="P704" s="52">
        <f>IF(OR(B704="",G704=""),"",IF(C704="","Gasto",C704))</f>
        <v/>
      </c>
      <c r="Q704" s="52">
        <f>IF(P704="","",IF(J704&lt;&gt;"",J704,CuentaPred&amp;""))</f>
        <v/>
      </c>
      <c r="R704" s="52">
        <f>IF(P704="","",IF(ISNUMBER(I704),I704,TasaUSD))</f>
        <v/>
      </c>
      <c r="S704" s="53">
        <f>IF(P704="","",IF(H704="USD",G704*R704,G704))</f>
        <v/>
      </c>
      <c r="T704" s="53">
        <f>IF(P704="","",IF(H704="USD",G704,IF(R704&gt;0,G704/R704,0)))</f>
        <v/>
      </c>
      <c r="U704" s="53">
        <f>IF(P704="","",IF(P704="Gasto",S704,IF(P704="Reembolso",-S704,0)))</f>
        <v/>
      </c>
      <c r="V704" s="53">
        <f>IF(P704="","",IF(P704="Ingreso",S704,0))</f>
        <v/>
      </c>
      <c r="W704" s="53">
        <f>IF(P704="","",IF(P704="Resultado trading",S704,0))</f>
        <v/>
      </c>
      <c r="X704" s="52">
        <f>IF(OR(P704="Gasto",P704="Reembolso"),IF(M704&lt;&gt;"",M704,IFERROR(INDEX(catClasif,MATCH(D704&amp;"|"&amp;E704,catClave,0))&amp;"","Variable")),"")</f>
        <v/>
      </c>
      <c r="Y704" s="52">
        <f>IF(P704="","",IFERROR(INDEX(catGrupo,MATCH(D704&amp;"|"&amp;E704,catClave,0))&amp;"",""))</f>
        <v/>
      </c>
      <c r="Z704" s="52">
        <f>IF(P704="","",WEEKDAY(B704,2))</f>
        <v/>
      </c>
      <c r="AA704" s="52">
        <f>IF(P704="","",IF(AND(P704="Gasto",X704="Variable",D704&lt;&gt;catTrading,S704&gt;0,S704&lt;=Umbral),1,0))</f>
        <v/>
      </c>
      <c r="AB704" s="52">
        <f>IF(OR(P704="",Q704=""),"",IFERROR(IF(INDEX(ctaVinc,MATCH(Q704,ctaNombre,0))&amp;""&lt;&gt;"",INDEX(ctaVinc,MATCH(Q704,ctaNombre,0))&amp;"",Q704),Q704))</f>
        <v/>
      </c>
      <c r="AC704" s="52">
        <f>IF(OR(K704="",AND(P704&lt;&gt;"Transferencia",P704&lt;&gt;"Pago tarjeta")),"",IFERROR(IF(INDEX(ctaVinc,MATCH(K704,ctaNombre,0))&amp;""&lt;&gt;"",INDEX(ctaVinc,MATCH(K704,ctaNombre,0))&amp;"",K704),K704))</f>
        <v/>
      </c>
      <c r="AD704" s="52">
        <f>IF(AB704="","",IFERROR(INDEX(ctaTipo,MATCH(AB704,ctaNombre,0))&amp;"",""))</f>
        <v/>
      </c>
      <c r="AE704" s="52">
        <f>IF(AC704="","",IFERROR(INDEX(ctaTipo,MATCH(AC704,ctaNombre,0))&amp;"",""))</f>
        <v/>
      </c>
      <c r="AF704" s="53">
        <f>IF(OR(P704="",AB704=""),"",IF(OR(P704="Gasto",P704="Transferencia",P704="Pago tarjeta"),-1,1)*IF(IFERROR(INDEX(ctaMoneda,MATCH(AB704,ctaNombre,0))&amp;"","DOP")="USD",T704,S704))</f>
        <v/>
      </c>
      <c r="AG704" s="53">
        <f>IF(AC704="","",IF(IFERROR(INDEX(ctaMoneda,MATCH(AC704,ctaNombre,0))&amp;"","DOP")="USD",T704,S704))</f>
        <v/>
      </c>
      <c r="AH704" s="53">
        <f>IF(P704="","",IF(AND(AD704&lt;&gt;"",COUNTIFS(tcTipo,AD704,tcLiq,"Sí")&gt;0),IF(OR(P704="Gasto",P704="Transferencia",P704="Pago tarjeta"),-1,1)*S704,0)+IF(AND(AE704&lt;&gt;"",COUNTIFS(tcTipo,AE704,tcLiq,"Sí")&gt;0),S704,0))</f>
        <v/>
      </c>
      <c r="AI704" s="52">
        <f>IF(OR(L704="",P704=""),"",IF(COUNTIFS(L$6:L704,L704,P$6:P704,"?*")=1,MAX(AI$5:AI703)+1,""))</f>
        <v/>
      </c>
    </row>
    <row r="705">
      <c r="B705" s="47" t="n"/>
      <c r="C705" s="48" t="n"/>
      <c r="D705" s="48" t="n"/>
      <c r="E705" s="48" t="n"/>
      <c r="F705" s="48" t="n"/>
      <c r="G705" s="49" t="n"/>
      <c r="H705" s="48" t="n"/>
      <c r="I705" s="50" t="n"/>
      <c r="J705" s="48" t="n"/>
      <c r="K705" s="48" t="n"/>
      <c r="L705" s="48" t="n"/>
      <c r="M705" s="48" t="n"/>
      <c r="N705" s="48" t="n"/>
      <c r="O705" s="51">
        <f>IF(AND(B705="",G705="",C705="",D705="",J705=""),"",IF(B705="","⚠ Falta fecha",IF(G705="","⚠ Falta monto",IF(Q705="","⚠ Falta cuenta",IF(ISNA(MATCH(Q705,ctaNombre,0)),"⚠ Cuenta no registrada",IF(AND(OR(P705="Gasto",P705="Reembolso"),D705=""),"⚠ Falta categoría",IF(AND(D705&lt;&gt;"",E705&lt;&gt;"",ISNA(MATCH(D705&amp;"|"&amp;E705,catClave,0))),"⚠ Subcategoría no corresponde",IF(AND(OR(P705="Transferencia",P705="Pago tarjeta"),K705=""),"⚠ Falta cuenta destino",IF(AND(K705&lt;&gt;"",P705&lt;&gt;"Transferencia",P705&lt;&gt;"Pago tarjeta"),"⚠ Destino solo aplica a transferencias",IF(AND(K705&lt;&gt;"",K705=Q705),"⚠ Origen igual a destino",IF(AND(K705&lt;&gt;"",ISNA(MATCH(K705,ctaNombre,0))),"⚠ Destino no registrado",IF(AND(P705="Pago tarjeta",AE705&lt;&gt;"Tarjeta de crédito"),"⚠ El destino debe ser tarjeta de crédito",IF(AND(P705="Gasto",E705="Depósitos y retiros"),"⚠ Usa tipo Transferencia",IF(AND(P705="Resultado trading",AD705&lt;&gt;"Cuenta de trading"),"⚠ Usa una cuenta de trading",IF(AND(G705&lt;=0,P705&lt;&gt;"Ajuste",P705&lt;&gt;"Resultado trading"),"⚠ El monto debe ser positivo","✓")))))))))))))))</f>
        <v/>
      </c>
      <c r="P705" s="52">
        <f>IF(OR(B705="",G705=""),"",IF(C705="","Gasto",C705))</f>
        <v/>
      </c>
      <c r="Q705" s="52">
        <f>IF(P705="","",IF(J705&lt;&gt;"",J705,CuentaPred&amp;""))</f>
        <v/>
      </c>
      <c r="R705" s="52">
        <f>IF(P705="","",IF(ISNUMBER(I705),I705,TasaUSD))</f>
        <v/>
      </c>
      <c r="S705" s="53">
        <f>IF(P705="","",IF(H705="USD",G705*R705,G705))</f>
        <v/>
      </c>
      <c r="T705" s="53">
        <f>IF(P705="","",IF(H705="USD",G705,IF(R705&gt;0,G705/R705,0)))</f>
        <v/>
      </c>
      <c r="U705" s="53">
        <f>IF(P705="","",IF(P705="Gasto",S705,IF(P705="Reembolso",-S705,0)))</f>
        <v/>
      </c>
      <c r="V705" s="53">
        <f>IF(P705="","",IF(P705="Ingreso",S705,0))</f>
        <v/>
      </c>
      <c r="W705" s="53">
        <f>IF(P705="","",IF(P705="Resultado trading",S705,0))</f>
        <v/>
      </c>
      <c r="X705" s="52">
        <f>IF(OR(P705="Gasto",P705="Reembolso"),IF(M705&lt;&gt;"",M705,IFERROR(INDEX(catClasif,MATCH(D705&amp;"|"&amp;E705,catClave,0))&amp;"","Variable")),"")</f>
        <v/>
      </c>
      <c r="Y705" s="52">
        <f>IF(P705="","",IFERROR(INDEX(catGrupo,MATCH(D705&amp;"|"&amp;E705,catClave,0))&amp;"",""))</f>
        <v/>
      </c>
      <c r="Z705" s="52">
        <f>IF(P705="","",WEEKDAY(B705,2))</f>
        <v/>
      </c>
      <c r="AA705" s="52">
        <f>IF(P705="","",IF(AND(P705="Gasto",X705="Variable",D705&lt;&gt;catTrading,S705&gt;0,S705&lt;=Umbral),1,0))</f>
        <v/>
      </c>
      <c r="AB705" s="52">
        <f>IF(OR(P705="",Q705=""),"",IFERROR(IF(INDEX(ctaVinc,MATCH(Q705,ctaNombre,0))&amp;""&lt;&gt;"",INDEX(ctaVinc,MATCH(Q705,ctaNombre,0))&amp;"",Q705),Q705))</f>
        <v/>
      </c>
      <c r="AC705" s="52">
        <f>IF(OR(K705="",AND(P705&lt;&gt;"Transferencia",P705&lt;&gt;"Pago tarjeta")),"",IFERROR(IF(INDEX(ctaVinc,MATCH(K705,ctaNombre,0))&amp;""&lt;&gt;"",INDEX(ctaVinc,MATCH(K705,ctaNombre,0))&amp;"",K705),K705))</f>
        <v/>
      </c>
      <c r="AD705" s="52">
        <f>IF(AB705="","",IFERROR(INDEX(ctaTipo,MATCH(AB705,ctaNombre,0))&amp;"",""))</f>
        <v/>
      </c>
      <c r="AE705" s="52">
        <f>IF(AC705="","",IFERROR(INDEX(ctaTipo,MATCH(AC705,ctaNombre,0))&amp;"",""))</f>
        <v/>
      </c>
      <c r="AF705" s="53">
        <f>IF(OR(P705="",AB705=""),"",IF(OR(P705="Gasto",P705="Transferencia",P705="Pago tarjeta"),-1,1)*IF(IFERROR(INDEX(ctaMoneda,MATCH(AB705,ctaNombre,0))&amp;"","DOP")="USD",T705,S705))</f>
        <v/>
      </c>
      <c r="AG705" s="53">
        <f>IF(AC705="","",IF(IFERROR(INDEX(ctaMoneda,MATCH(AC705,ctaNombre,0))&amp;"","DOP")="USD",T705,S705))</f>
        <v/>
      </c>
      <c r="AH705" s="53">
        <f>IF(P705="","",IF(AND(AD705&lt;&gt;"",COUNTIFS(tcTipo,AD705,tcLiq,"Sí")&gt;0),IF(OR(P705="Gasto",P705="Transferencia",P705="Pago tarjeta"),-1,1)*S705,0)+IF(AND(AE705&lt;&gt;"",COUNTIFS(tcTipo,AE705,tcLiq,"Sí")&gt;0),S705,0))</f>
        <v/>
      </c>
      <c r="AI705" s="52">
        <f>IF(OR(L705="",P705=""),"",IF(COUNTIFS(L$6:L705,L705,P$6:P705,"?*")=1,MAX(AI$5:AI704)+1,""))</f>
        <v/>
      </c>
    </row>
    <row r="706">
      <c r="B706" s="47" t="n"/>
      <c r="C706" s="48" t="n"/>
      <c r="D706" s="48" t="n"/>
      <c r="E706" s="48" t="n"/>
      <c r="F706" s="48" t="n"/>
      <c r="G706" s="49" t="n"/>
      <c r="H706" s="48" t="n"/>
      <c r="I706" s="50" t="n"/>
      <c r="J706" s="48" t="n"/>
      <c r="K706" s="48" t="n"/>
      <c r="L706" s="48" t="n"/>
      <c r="M706" s="48" t="n"/>
      <c r="N706" s="48" t="n"/>
      <c r="O706" s="51">
        <f>IF(AND(B706="",G706="",C706="",D706="",J706=""),"",IF(B706="","⚠ Falta fecha",IF(G706="","⚠ Falta monto",IF(Q706="","⚠ Falta cuenta",IF(ISNA(MATCH(Q706,ctaNombre,0)),"⚠ Cuenta no registrada",IF(AND(OR(P706="Gasto",P706="Reembolso"),D706=""),"⚠ Falta categoría",IF(AND(D706&lt;&gt;"",E706&lt;&gt;"",ISNA(MATCH(D706&amp;"|"&amp;E706,catClave,0))),"⚠ Subcategoría no corresponde",IF(AND(OR(P706="Transferencia",P706="Pago tarjeta"),K706=""),"⚠ Falta cuenta destino",IF(AND(K706&lt;&gt;"",P706&lt;&gt;"Transferencia",P706&lt;&gt;"Pago tarjeta"),"⚠ Destino solo aplica a transferencias",IF(AND(K706&lt;&gt;"",K706=Q706),"⚠ Origen igual a destino",IF(AND(K706&lt;&gt;"",ISNA(MATCH(K706,ctaNombre,0))),"⚠ Destino no registrado",IF(AND(P706="Pago tarjeta",AE706&lt;&gt;"Tarjeta de crédito"),"⚠ El destino debe ser tarjeta de crédito",IF(AND(P706="Gasto",E706="Depósitos y retiros"),"⚠ Usa tipo Transferencia",IF(AND(P706="Resultado trading",AD706&lt;&gt;"Cuenta de trading"),"⚠ Usa una cuenta de trading",IF(AND(G706&lt;=0,P706&lt;&gt;"Ajuste",P706&lt;&gt;"Resultado trading"),"⚠ El monto debe ser positivo","✓")))))))))))))))</f>
        <v/>
      </c>
      <c r="P706" s="52">
        <f>IF(OR(B706="",G706=""),"",IF(C706="","Gasto",C706))</f>
        <v/>
      </c>
      <c r="Q706" s="52">
        <f>IF(P706="","",IF(J706&lt;&gt;"",J706,CuentaPred&amp;""))</f>
        <v/>
      </c>
      <c r="R706" s="52">
        <f>IF(P706="","",IF(ISNUMBER(I706),I706,TasaUSD))</f>
        <v/>
      </c>
      <c r="S706" s="53">
        <f>IF(P706="","",IF(H706="USD",G706*R706,G706))</f>
        <v/>
      </c>
      <c r="T706" s="53">
        <f>IF(P706="","",IF(H706="USD",G706,IF(R706&gt;0,G706/R706,0)))</f>
        <v/>
      </c>
      <c r="U706" s="53">
        <f>IF(P706="","",IF(P706="Gasto",S706,IF(P706="Reembolso",-S706,0)))</f>
        <v/>
      </c>
      <c r="V706" s="53">
        <f>IF(P706="","",IF(P706="Ingreso",S706,0))</f>
        <v/>
      </c>
      <c r="W706" s="53">
        <f>IF(P706="","",IF(P706="Resultado trading",S706,0))</f>
        <v/>
      </c>
      <c r="X706" s="52">
        <f>IF(OR(P706="Gasto",P706="Reembolso"),IF(M706&lt;&gt;"",M706,IFERROR(INDEX(catClasif,MATCH(D706&amp;"|"&amp;E706,catClave,0))&amp;"","Variable")),"")</f>
        <v/>
      </c>
      <c r="Y706" s="52">
        <f>IF(P706="","",IFERROR(INDEX(catGrupo,MATCH(D706&amp;"|"&amp;E706,catClave,0))&amp;"",""))</f>
        <v/>
      </c>
      <c r="Z706" s="52">
        <f>IF(P706="","",WEEKDAY(B706,2))</f>
        <v/>
      </c>
      <c r="AA706" s="52">
        <f>IF(P706="","",IF(AND(P706="Gasto",X706="Variable",D706&lt;&gt;catTrading,S706&gt;0,S706&lt;=Umbral),1,0))</f>
        <v/>
      </c>
      <c r="AB706" s="52">
        <f>IF(OR(P706="",Q706=""),"",IFERROR(IF(INDEX(ctaVinc,MATCH(Q706,ctaNombre,0))&amp;""&lt;&gt;"",INDEX(ctaVinc,MATCH(Q706,ctaNombre,0))&amp;"",Q706),Q706))</f>
        <v/>
      </c>
      <c r="AC706" s="52">
        <f>IF(OR(K706="",AND(P706&lt;&gt;"Transferencia",P706&lt;&gt;"Pago tarjeta")),"",IFERROR(IF(INDEX(ctaVinc,MATCH(K706,ctaNombre,0))&amp;""&lt;&gt;"",INDEX(ctaVinc,MATCH(K706,ctaNombre,0))&amp;"",K706),K706))</f>
        <v/>
      </c>
      <c r="AD706" s="52">
        <f>IF(AB706="","",IFERROR(INDEX(ctaTipo,MATCH(AB706,ctaNombre,0))&amp;"",""))</f>
        <v/>
      </c>
      <c r="AE706" s="52">
        <f>IF(AC706="","",IFERROR(INDEX(ctaTipo,MATCH(AC706,ctaNombre,0))&amp;"",""))</f>
        <v/>
      </c>
      <c r="AF706" s="53">
        <f>IF(OR(P706="",AB706=""),"",IF(OR(P706="Gasto",P706="Transferencia",P706="Pago tarjeta"),-1,1)*IF(IFERROR(INDEX(ctaMoneda,MATCH(AB706,ctaNombre,0))&amp;"","DOP")="USD",T706,S706))</f>
        <v/>
      </c>
      <c r="AG706" s="53">
        <f>IF(AC706="","",IF(IFERROR(INDEX(ctaMoneda,MATCH(AC706,ctaNombre,0))&amp;"","DOP")="USD",T706,S706))</f>
        <v/>
      </c>
      <c r="AH706" s="53">
        <f>IF(P706="","",IF(AND(AD706&lt;&gt;"",COUNTIFS(tcTipo,AD706,tcLiq,"Sí")&gt;0),IF(OR(P706="Gasto",P706="Transferencia",P706="Pago tarjeta"),-1,1)*S706,0)+IF(AND(AE706&lt;&gt;"",COUNTIFS(tcTipo,AE706,tcLiq,"Sí")&gt;0),S706,0))</f>
        <v/>
      </c>
      <c r="AI706" s="52">
        <f>IF(OR(L706="",P706=""),"",IF(COUNTIFS(L$6:L706,L706,P$6:P706,"?*")=1,MAX(AI$5:AI705)+1,""))</f>
        <v/>
      </c>
    </row>
    <row r="707">
      <c r="B707" s="47" t="n"/>
      <c r="C707" s="48" t="n"/>
      <c r="D707" s="48" t="n"/>
      <c r="E707" s="48" t="n"/>
      <c r="F707" s="48" t="n"/>
      <c r="G707" s="49" t="n"/>
      <c r="H707" s="48" t="n"/>
      <c r="I707" s="50" t="n"/>
      <c r="J707" s="48" t="n"/>
      <c r="K707" s="48" t="n"/>
      <c r="L707" s="48" t="n"/>
      <c r="M707" s="48" t="n"/>
      <c r="N707" s="48" t="n"/>
      <c r="O707" s="51">
        <f>IF(AND(B707="",G707="",C707="",D707="",J707=""),"",IF(B707="","⚠ Falta fecha",IF(G707="","⚠ Falta monto",IF(Q707="","⚠ Falta cuenta",IF(ISNA(MATCH(Q707,ctaNombre,0)),"⚠ Cuenta no registrada",IF(AND(OR(P707="Gasto",P707="Reembolso"),D707=""),"⚠ Falta categoría",IF(AND(D707&lt;&gt;"",E707&lt;&gt;"",ISNA(MATCH(D707&amp;"|"&amp;E707,catClave,0))),"⚠ Subcategoría no corresponde",IF(AND(OR(P707="Transferencia",P707="Pago tarjeta"),K707=""),"⚠ Falta cuenta destino",IF(AND(K707&lt;&gt;"",P707&lt;&gt;"Transferencia",P707&lt;&gt;"Pago tarjeta"),"⚠ Destino solo aplica a transferencias",IF(AND(K707&lt;&gt;"",K707=Q707),"⚠ Origen igual a destino",IF(AND(K707&lt;&gt;"",ISNA(MATCH(K707,ctaNombre,0))),"⚠ Destino no registrado",IF(AND(P707="Pago tarjeta",AE707&lt;&gt;"Tarjeta de crédito"),"⚠ El destino debe ser tarjeta de crédito",IF(AND(P707="Gasto",E707="Depósitos y retiros"),"⚠ Usa tipo Transferencia",IF(AND(P707="Resultado trading",AD707&lt;&gt;"Cuenta de trading"),"⚠ Usa una cuenta de trading",IF(AND(G707&lt;=0,P707&lt;&gt;"Ajuste",P707&lt;&gt;"Resultado trading"),"⚠ El monto debe ser positivo","✓")))))))))))))))</f>
        <v/>
      </c>
      <c r="P707" s="52">
        <f>IF(OR(B707="",G707=""),"",IF(C707="","Gasto",C707))</f>
        <v/>
      </c>
      <c r="Q707" s="52">
        <f>IF(P707="","",IF(J707&lt;&gt;"",J707,CuentaPred&amp;""))</f>
        <v/>
      </c>
      <c r="R707" s="52">
        <f>IF(P707="","",IF(ISNUMBER(I707),I707,TasaUSD))</f>
        <v/>
      </c>
      <c r="S707" s="53">
        <f>IF(P707="","",IF(H707="USD",G707*R707,G707))</f>
        <v/>
      </c>
      <c r="T707" s="53">
        <f>IF(P707="","",IF(H707="USD",G707,IF(R707&gt;0,G707/R707,0)))</f>
        <v/>
      </c>
      <c r="U707" s="53">
        <f>IF(P707="","",IF(P707="Gasto",S707,IF(P707="Reembolso",-S707,0)))</f>
        <v/>
      </c>
      <c r="V707" s="53">
        <f>IF(P707="","",IF(P707="Ingreso",S707,0))</f>
        <v/>
      </c>
      <c r="W707" s="53">
        <f>IF(P707="","",IF(P707="Resultado trading",S707,0))</f>
        <v/>
      </c>
      <c r="X707" s="52">
        <f>IF(OR(P707="Gasto",P707="Reembolso"),IF(M707&lt;&gt;"",M707,IFERROR(INDEX(catClasif,MATCH(D707&amp;"|"&amp;E707,catClave,0))&amp;"","Variable")),"")</f>
        <v/>
      </c>
      <c r="Y707" s="52">
        <f>IF(P707="","",IFERROR(INDEX(catGrupo,MATCH(D707&amp;"|"&amp;E707,catClave,0))&amp;"",""))</f>
        <v/>
      </c>
      <c r="Z707" s="52">
        <f>IF(P707="","",WEEKDAY(B707,2))</f>
        <v/>
      </c>
      <c r="AA707" s="52">
        <f>IF(P707="","",IF(AND(P707="Gasto",X707="Variable",D707&lt;&gt;catTrading,S707&gt;0,S707&lt;=Umbral),1,0))</f>
        <v/>
      </c>
      <c r="AB707" s="52">
        <f>IF(OR(P707="",Q707=""),"",IFERROR(IF(INDEX(ctaVinc,MATCH(Q707,ctaNombre,0))&amp;""&lt;&gt;"",INDEX(ctaVinc,MATCH(Q707,ctaNombre,0))&amp;"",Q707),Q707))</f>
        <v/>
      </c>
      <c r="AC707" s="52">
        <f>IF(OR(K707="",AND(P707&lt;&gt;"Transferencia",P707&lt;&gt;"Pago tarjeta")),"",IFERROR(IF(INDEX(ctaVinc,MATCH(K707,ctaNombre,0))&amp;""&lt;&gt;"",INDEX(ctaVinc,MATCH(K707,ctaNombre,0))&amp;"",K707),K707))</f>
        <v/>
      </c>
      <c r="AD707" s="52">
        <f>IF(AB707="","",IFERROR(INDEX(ctaTipo,MATCH(AB707,ctaNombre,0))&amp;"",""))</f>
        <v/>
      </c>
      <c r="AE707" s="52">
        <f>IF(AC707="","",IFERROR(INDEX(ctaTipo,MATCH(AC707,ctaNombre,0))&amp;"",""))</f>
        <v/>
      </c>
      <c r="AF707" s="53">
        <f>IF(OR(P707="",AB707=""),"",IF(OR(P707="Gasto",P707="Transferencia",P707="Pago tarjeta"),-1,1)*IF(IFERROR(INDEX(ctaMoneda,MATCH(AB707,ctaNombre,0))&amp;"","DOP")="USD",T707,S707))</f>
        <v/>
      </c>
      <c r="AG707" s="53">
        <f>IF(AC707="","",IF(IFERROR(INDEX(ctaMoneda,MATCH(AC707,ctaNombre,0))&amp;"","DOP")="USD",T707,S707))</f>
        <v/>
      </c>
      <c r="AH707" s="53">
        <f>IF(P707="","",IF(AND(AD707&lt;&gt;"",COUNTIFS(tcTipo,AD707,tcLiq,"Sí")&gt;0),IF(OR(P707="Gasto",P707="Transferencia",P707="Pago tarjeta"),-1,1)*S707,0)+IF(AND(AE707&lt;&gt;"",COUNTIFS(tcTipo,AE707,tcLiq,"Sí")&gt;0),S707,0))</f>
        <v/>
      </c>
      <c r="AI707" s="52">
        <f>IF(OR(L707="",P707=""),"",IF(COUNTIFS(L$6:L707,L707,P$6:P707,"?*")=1,MAX(AI$5:AI706)+1,""))</f>
        <v/>
      </c>
    </row>
    <row r="708">
      <c r="B708" s="47" t="n"/>
      <c r="C708" s="48" t="n"/>
      <c r="D708" s="48" t="n"/>
      <c r="E708" s="48" t="n"/>
      <c r="F708" s="48" t="n"/>
      <c r="G708" s="49" t="n"/>
      <c r="H708" s="48" t="n"/>
      <c r="I708" s="50" t="n"/>
      <c r="J708" s="48" t="n"/>
      <c r="K708" s="48" t="n"/>
      <c r="L708" s="48" t="n"/>
      <c r="M708" s="48" t="n"/>
      <c r="N708" s="48" t="n"/>
      <c r="O708" s="51">
        <f>IF(AND(B708="",G708="",C708="",D708="",J708=""),"",IF(B708="","⚠ Falta fecha",IF(G708="","⚠ Falta monto",IF(Q708="","⚠ Falta cuenta",IF(ISNA(MATCH(Q708,ctaNombre,0)),"⚠ Cuenta no registrada",IF(AND(OR(P708="Gasto",P708="Reembolso"),D708=""),"⚠ Falta categoría",IF(AND(D708&lt;&gt;"",E708&lt;&gt;"",ISNA(MATCH(D708&amp;"|"&amp;E708,catClave,0))),"⚠ Subcategoría no corresponde",IF(AND(OR(P708="Transferencia",P708="Pago tarjeta"),K708=""),"⚠ Falta cuenta destino",IF(AND(K708&lt;&gt;"",P708&lt;&gt;"Transferencia",P708&lt;&gt;"Pago tarjeta"),"⚠ Destino solo aplica a transferencias",IF(AND(K708&lt;&gt;"",K708=Q708),"⚠ Origen igual a destino",IF(AND(K708&lt;&gt;"",ISNA(MATCH(K708,ctaNombre,0))),"⚠ Destino no registrado",IF(AND(P708="Pago tarjeta",AE708&lt;&gt;"Tarjeta de crédito"),"⚠ El destino debe ser tarjeta de crédito",IF(AND(P708="Gasto",E708="Depósitos y retiros"),"⚠ Usa tipo Transferencia",IF(AND(P708="Resultado trading",AD708&lt;&gt;"Cuenta de trading"),"⚠ Usa una cuenta de trading",IF(AND(G708&lt;=0,P708&lt;&gt;"Ajuste",P708&lt;&gt;"Resultado trading"),"⚠ El monto debe ser positivo","✓")))))))))))))))</f>
        <v/>
      </c>
      <c r="P708" s="52">
        <f>IF(OR(B708="",G708=""),"",IF(C708="","Gasto",C708))</f>
        <v/>
      </c>
      <c r="Q708" s="52">
        <f>IF(P708="","",IF(J708&lt;&gt;"",J708,CuentaPred&amp;""))</f>
        <v/>
      </c>
      <c r="R708" s="52">
        <f>IF(P708="","",IF(ISNUMBER(I708),I708,TasaUSD))</f>
        <v/>
      </c>
      <c r="S708" s="53">
        <f>IF(P708="","",IF(H708="USD",G708*R708,G708))</f>
        <v/>
      </c>
      <c r="T708" s="53">
        <f>IF(P708="","",IF(H708="USD",G708,IF(R708&gt;0,G708/R708,0)))</f>
        <v/>
      </c>
      <c r="U708" s="53">
        <f>IF(P708="","",IF(P708="Gasto",S708,IF(P708="Reembolso",-S708,0)))</f>
        <v/>
      </c>
      <c r="V708" s="53">
        <f>IF(P708="","",IF(P708="Ingreso",S708,0))</f>
        <v/>
      </c>
      <c r="W708" s="53">
        <f>IF(P708="","",IF(P708="Resultado trading",S708,0))</f>
        <v/>
      </c>
      <c r="X708" s="52">
        <f>IF(OR(P708="Gasto",P708="Reembolso"),IF(M708&lt;&gt;"",M708,IFERROR(INDEX(catClasif,MATCH(D708&amp;"|"&amp;E708,catClave,0))&amp;"","Variable")),"")</f>
        <v/>
      </c>
      <c r="Y708" s="52">
        <f>IF(P708="","",IFERROR(INDEX(catGrupo,MATCH(D708&amp;"|"&amp;E708,catClave,0))&amp;"",""))</f>
        <v/>
      </c>
      <c r="Z708" s="52">
        <f>IF(P708="","",WEEKDAY(B708,2))</f>
        <v/>
      </c>
      <c r="AA708" s="52">
        <f>IF(P708="","",IF(AND(P708="Gasto",X708="Variable",D708&lt;&gt;catTrading,S708&gt;0,S708&lt;=Umbral),1,0))</f>
        <v/>
      </c>
      <c r="AB708" s="52">
        <f>IF(OR(P708="",Q708=""),"",IFERROR(IF(INDEX(ctaVinc,MATCH(Q708,ctaNombre,0))&amp;""&lt;&gt;"",INDEX(ctaVinc,MATCH(Q708,ctaNombre,0))&amp;"",Q708),Q708))</f>
        <v/>
      </c>
      <c r="AC708" s="52">
        <f>IF(OR(K708="",AND(P708&lt;&gt;"Transferencia",P708&lt;&gt;"Pago tarjeta")),"",IFERROR(IF(INDEX(ctaVinc,MATCH(K708,ctaNombre,0))&amp;""&lt;&gt;"",INDEX(ctaVinc,MATCH(K708,ctaNombre,0))&amp;"",K708),K708))</f>
        <v/>
      </c>
      <c r="AD708" s="52">
        <f>IF(AB708="","",IFERROR(INDEX(ctaTipo,MATCH(AB708,ctaNombre,0))&amp;"",""))</f>
        <v/>
      </c>
      <c r="AE708" s="52">
        <f>IF(AC708="","",IFERROR(INDEX(ctaTipo,MATCH(AC708,ctaNombre,0))&amp;"",""))</f>
        <v/>
      </c>
      <c r="AF708" s="53">
        <f>IF(OR(P708="",AB708=""),"",IF(OR(P708="Gasto",P708="Transferencia",P708="Pago tarjeta"),-1,1)*IF(IFERROR(INDEX(ctaMoneda,MATCH(AB708,ctaNombre,0))&amp;"","DOP")="USD",T708,S708))</f>
        <v/>
      </c>
      <c r="AG708" s="53">
        <f>IF(AC708="","",IF(IFERROR(INDEX(ctaMoneda,MATCH(AC708,ctaNombre,0))&amp;"","DOP")="USD",T708,S708))</f>
        <v/>
      </c>
      <c r="AH708" s="53">
        <f>IF(P708="","",IF(AND(AD708&lt;&gt;"",COUNTIFS(tcTipo,AD708,tcLiq,"Sí")&gt;0),IF(OR(P708="Gasto",P708="Transferencia",P708="Pago tarjeta"),-1,1)*S708,0)+IF(AND(AE708&lt;&gt;"",COUNTIFS(tcTipo,AE708,tcLiq,"Sí")&gt;0),S708,0))</f>
        <v/>
      </c>
      <c r="AI708" s="52">
        <f>IF(OR(L708="",P708=""),"",IF(COUNTIFS(L$6:L708,L708,P$6:P708,"?*")=1,MAX(AI$5:AI707)+1,""))</f>
        <v/>
      </c>
    </row>
    <row r="709">
      <c r="B709" s="47" t="n"/>
      <c r="C709" s="48" t="n"/>
      <c r="D709" s="48" t="n"/>
      <c r="E709" s="48" t="n"/>
      <c r="F709" s="48" t="n"/>
      <c r="G709" s="49" t="n"/>
      <c r="H709" s="48" t="n"/>
      <c r="I709" s="50" t="n"/>
      <c r="J709" s="48" t="n"/>
      <c r="K709" s="48" t="n"/>
      <c r="L709" s="48" t="n"/>
      <c r="M709" s="48" t="n"/>
      <c r="N709" s="48" t="n"/>
      <c r="O709" s="51">
        <f>IF(AND(B709="",G709="",C709="",D709="",J709=""),"",IF(B709="","⚠ Falta fecha",IF(G709="","⚠ Falta monto",IF(Q709="","⚠ Falta cuenta",IF(ISNA(MATCH(Q709,ctaNombre,0)),"⚠ Cuenta no registrada",IF(AND(OR(P709="Gasto",P709="Reembolso"),D709=""),"⚠ Falta categoría",IF(AND(D709&lt;&gt;"",E709&lt;&gt;"",ISNA(MATCH(D709&amp;"|"&amp;E709,catClave,0))),"⚠ Subcategoría no corresponde",IF(AND(OR(P709="Transferencia",P709="Pago tarjeta"),K709=""),"⚠ Falta cuenta destino",IF(AND(K709&lt;&gt;"",P709&lt;&gt;"Transferencia",P709&lt;&gt;"Pago tarjeta"),"⚠ Destino solo aplica a transferencias",IF(AND(K709&lt;&gt;"",K709=Q709),"⚠ Origen igual a destino",IF(AND(K709&lt;&gt;"",ISNA(MATCH(K709,ctaNombre,0))),"⚠ Destino no registrado",IF(AND(P709="Pago tarjeta",AE709&lt;&gt;"Tarjeta de crédito"),"⚠ El destino debe ser tarjeta de crédito",IF(AND(P709="Gasto",E709="Depósitos y retiros"),"⚠ Usa tipo Transferencia",IF(AND(P709="Resultado trading",AD709&lt;&gt;"Cuenta de trading"),"⚠ Usa una cuenta de trading",IF(AND(G709&lt;=0,P709&lt;&gt;"Ajuste",P709&lt;&gt;"Resultado trading"),"⚠ El monto debe ser positivo","✓")))))))))))))))</f>
        <v/>
      </c>
      <c r="P709" s="52">
        <f>IF(OR(B709="",G709=""),"",IF(C709="","Gasto",C709))</f>
        <v/>
      </c>
      <c r="Q709" s="52">
        <f>IF(P709="","",IF(J709&lt;&gt;"",J709,CuentaPred&amp;""))</f>
        <v/>
      </c>
      <c r="R709" s="52">
        <f>IF(P709="","",IF(ISNUMBER(I709),I709,TasaUSD))</f>
        <v/>
      </c>
      <c r="S709" s="53">
        <f>IF(P709="","",IF(H709="USD",G709*R709,G709))</f>
        <v/>
      </c>
      <c r="T709" s="53">
        <f>IF(P709="","",IF(H709="USD",G709,IF(R709&gt;0,G709/R709,0)))</f>
        <v/>
      </c>
      <c r="U709" s="53">
        <f>IF(P709="","",IF(P709="Gasto",S709,IF(P709="Reembolso",-S709,0)))</f>
        <v/>
      </c>
      <c r="V709" s="53">
        <f>IF(P709="","",IF(P709="Ingreso",S709,0))</f>
        <v/>
      </c>
      <c r="W709" s="53">
        <f>IF(P709="","",IF(P709="Resultado trading",S709,0))</f>
        <v/>
      </c>
      <c r="X709" s="52">
        <f>IF(OR(P709="Gasto",P709="Reembolso"),IF(M709&lt;&gt;"",M709,IFERROR(INDEX(catClasif,MATCH(D709&amp;"|"&amp;E709,catClave,0))&amp;"","Variable")),"")</f>
        <v/>
      </c>
      <c r="Y709" s="52">
        <f>IF(P709="","",IFERROR(INDEX(catGrupo,MATCH(D709&amp;"|"&amp;E709,catClave,0))&amp;"",""))</f>
        <v/>
      </c>
      <c r="Z709" s="52">
        <f>IF(P709="","",WEEKDAY(B709,2))</f>
        <v/>
      </c>
      <c r="AA709" s="52">
        <f>IF(P709="","",IF(AND(P709="Gasto",X709="Variable",D709&lt;&gt;catTrading,S709&gt;0,S709&lt;=Umbral),1,0))</f>
        <v/>
      </c>
      <c r="AB709" s="52">
        <f>IF(OR(P709="",Q709=""),"",IFERROR(IF(INDEX(ctaVinc,MATCH(Q709,ctaNombre,0))&amp;""&lt;&gt;"",INDEX(ctaVinc,MATCH(Q709,ctaNombre,0))&amp;"",Q709),Q709))</f>
        <v/>
      </c>
      <c r="AC709" s="52">
        <f>IF(OR(K709="",AND(P709&lt;&gt;"Transferencia",P709&lt;&gt;"Pago tarjeta")),"",IFERROR(IF(INDEX(ctaVinc,MATCH(K709,ctaNombre,0))&amp;""&lt;&gt;"",INDEX(ctaVinc,MATCH(K709,ctaNombre,0))&amp;"",K709),K709))</f>
        <v/>
      </c>
      <c r="AD709" s="52">
        <f>IF(AB709="","",IFERROR(INDEX(ctaTipo,MATCH(AB709,ctaNombre,0))&amp;"",""))</f>
        <v/>
      </c>
      <c r="AE709" s="52">
        <f>IF(AC709="","",IFERROR(INDEX(ctaTipo,MATCH(AC709,ctaNombre,0))&amp;"",""))</f>
        <v/>
      </c>
      <c r="AF709" s="53">
        <f>IF(OR(P709="",AB709=""),"",IF(OR(P709="Gasto",P709="Transferencia",P709="Pago tarjeta"),-1,1)*IF(IFERROR(INDEX(ctaMoneda,MATCH(AB709,ctaNombre,0))&amp;"","DOP")="USD",T709,S709))</f>
        <v/>
      </c>
      <c r="AG709" s="53">
        <f>IF(AC709="","",IF(IFERROR(INDEX(ctaMoneda,MATCH(AC709,ctaNombre,0))&amp;"","DOP")="USD",T709,S709))</f>
        <v/>
      </c>
      <c r="AH709" s="53">
        <f>IF(P709="","",IF(AND(AD709&lt;&gt;"",COUNTIFS(tcTipo,AD709,tcLiq,"Sí")&gt;0),IF(OR(P709="Gasto",P709="Transferencia",P709="Pago tarjeta"),-1,1)*S709,0)+IF(AND(AE709&lt;&gt;"",COUNTIFS(tcTipo,AE709,tcLiq,"Sí")&gt;0),S709,0))</f>
        <v/>
      </c>
      <c r="AI709" s="52">
        <f>IF(OR(L709="",P709=""),"",IF(COUNTIFS(L$6:L709,L709,P$6:P709,"?*")=1,MAX(AI$5:AI708)+1,""))</f>
        <v/>
      </c>
    </row>
    <row r="710">
      <c r="B710" s="47" t="n"/>
      <c r="C710" s="48" t="n"/>
      <c r="D710" s="48" t="n"/>
      <c r="E710" s="48" t="n"/>
      <c r="F710" s="48" t="n"/>
      <c r="G710" s="49" t="n"/>
      <c r="H710" s="48" t="n"/>
      <c r="I710" s="50" t="n"/>
      <c r="J710" s="48" t="n"/>
      <c r="K710" s="48" t="n"/>
      <c r="L710" s="48" t="n"/>
      <c r="M710" s="48" t="n"/>
      <c r="N710" s="48" t="n"/>
      <c r="O710" s="51">
        <f>IF(AND(B710="",G710="",C710="",D710="",J710=""),"",IF(B710="","⚠ Falta fecha",IF(G710="","⚠ Falta monto",IF(Q710="","⚠ Falta cuenta",IF(ISNA(MATCH(Q710,ctaNombre,0)),"⚠ Cuenta no registrada",IF(AND(OR(P710="Gasto",P710="Reembolso"),D710=""),"⚠ Falta categoría",IF(AND(D710&lt;&gt;"",E710&lt;&gt;"",ISNA(MATCH(D710&amp;"|"&amp;E710,catClave,0))),"⚠ Subcategoría no corresponde",IF(AND(OR(P710="Transferencia",P710="Pago tarjeta"),K710=""),"⚠ Falta cuenta destino",IF(AND(K710&lt;&gt;"",P710&lt;&gt;"Transferencia",P710&lt;&gt;"Pago tarjeta"),"⚠ Destino solo aplica a transferencias",IF(AND(K710&lt;&gt;"",K710=Q710),"⚠ Origen igual a destino",IF(AND(K710&lt;&gt;"",ISNA(MATCH(K710,ctaNombre,0))),"⚠ Destino no registrado",IF(AND(P710="Pago tarjeta",AE710&lt;&gt;"Tarjeta de crédito"),"⚠ El destino debe ser tarjeta de crédito",IF(AND(P710="Gasto",E710="Depósitos y retiros"),"⚠ Usa tipo Transferencia",IF(AND(P710="Resultado trading",AD710&lt;&gt;"Cuenta de trading"),"⚠ Usa una cuenta de trading",IF(AND(G710&lt;=0,P710&lt;&gt;"Ajuste",P710&lt;&gt;"Resultado trading"),"⚠ El monto debe ser positivo","✓")))))))))))))))</f>
        <v/>
      </c>
      <c r="P710" s="52">
        <f>IF(OR(B710="",G710=""),"",IF(C710="","Gasto",C710))</f>
        <v/>
      </c>
      <c r="Q710" s="52">
        <f>IF(P710="","",IF(J710&lt;&gt;"",J710,CuentaPred&amp;""))</f>
        <v/>
      </c>
      <c r="R710" s="52">
        <f>IF(P710="","",IF(ISNUMBER(I710),I710,TasaUSD))</f>
        <v/>
      </c>
      <c r="S710" s="53">
        <f>IF(P710="","",IF(H710="USD",G710*R710,G710))</f>
        <v/>
      </c>
      <c r="T710" s="53">
        <f>IF(P710="","",IF(H710="USD",G710,IF(R710&gt;0,G710/R710,0)))</f>
        <v/>
      </c>
      <c r="U710" s="53">
        <f>IF(P710="","",IF(P710="Gasto",S710,IF(P710="Reembolso",-S710,0)))</f>
        <v/>
      </c>
      <c r="V710" s="53">
        <f>IF(P710="","",IF(P710="Ingreso",S710,0))</f>
        <v/>
      </c>
      <c r="W710" s="53">
        <f>IF(P710="","",IF(P710="Resultado trading",S710,0))</f>
        <v/>
      </c>
      <c r="X710" s="52">
        <f>IF(OR(P710="Gasto",P710="Reembolso"),IF(M710&lt;&gt;"",M710,IFERROR(INDEX(catClasif,MATCH(D710&amp;"|"&amp;E710,catClave,0))&amp;"","Variable")),"")</f>
        <v/>
      </c>
      <c r="Y710" s="52">
        <f>IF(P710="","",IFERROR(INDEX(catGrupo,MATCH(D710&amp;"|"&amp;E710,catClave,0))&amp;"",""))</f>
        <v/>
      </c>
      <c r="Z710" s="52">
        <f>IF(P710="","",WEEKDAY(B710,2))</f>
        <v/>
      </c>
      <c r="AA710" s="52">
        <f>IF(P710="","",IF(AND(P710="Gasto",X710="Variable",D710&lt;&gt;catTrading,S710&gt;0,S710&lt;=Umbral),1,0))</f>
        <v/>
      </c>
      <c r="AB710" s="52">
        <f>IF(OR(P710="",Q710=""),"",IFERROR(IF(INDEX(ctaVinc,MATCH(Q710,ctaNombre,0))&amp;""&lt;&gt;"",INDEX(ctaVinc,MATCH(Q710,ctaNombre,0))&amp;"",Q710),Q710))</f>
        <v/>
      </c>
      <c r="AC710" s="52">
        <f>IF(OR(K710="",AND(P710&lt;&gt;"Transferencia",P710&lt;&gt;"Pago tarjeta")),"",IFERROR(IF(INDEX(ctaVinc,MATCH(K710,ctaNombre,0))&amp;""&lt;&gt;"",INDEX(ctaVinc,MATCH(K710,ctaNombre,0))&amp;"",K710),K710))</f>
        <v/>
      </c>
      <c r="AD710" s="52">
        <f>IF(AB710="","",IFERROR(INDEX(ctaTipo,MATCH(AB710,ctaNombre,0))&amp;"",""))</f>
        <v/>
      </c>
      <c r="AE710" s="52">
        <f>IF(AC710="","",IFERROR(INDEX(ctaTipo,MATCH(AC710,ctaNombre,0))&amp;"",""))</f>
        <v/>
      </c>
      <c r="AF710" s="53">
        <f>IF(OR(P710="",AB710=""),"",IF(OR(P710="Gasto",P710="Transferencia",P710="Pago tarjeta"),-1,1)*IF(IFERROR(INDEX(ctaMoneda,MATCH(AB710,ctaNombre,0))&amp;"","DOP")="USD",T710,S710))</f>
        <v/>
      </c>
      <c r="AG710" s="53">
        <f>IF(AC710="","",IF(IFERROR(INDEX(ctaMoneda,MATCH(AC710,ctaNombre,0))&amp;"","DOP")="USD",T710,S710))</f>
        <v/>
      </c>
      <c r="AH710" s="53">
        <f>IF(P710="","",IF(AND(AD710&lt;&gt;"",COUNTIFS(tcTipo,AD710,tcLiq,"Sí")&gt;0),IF(OR(P710="Gasto",P710="Transferencia",P710="Pago tarjeta"),-1,1)*S710,0)+IF(AND(AE710&lt;&gt;"",COUNTIFS(tcTipo,AE710,tcLiq,"Sí")&gt;0),S710,0))</f>
        <v/>
      </c>
      <c r="AI710" s="52">
        <f>IF(OR(L710="",P710=""),"",IF(COUNTIFS(L$6:L710,L710,P$6:P710,"?*")=1,MAX(AI$5:AI709)+1,""))</f>
        <v/>
      </c>
    </row>
    <row r="711">
      <c r="B711" s="47" t="n"/>
      <c r="C711" s="48" t="n"/>
      <c r="D711" s="48" t="n"/>
      <c r="E711" s="48" t="n"/>
      <c r="F711" s="48" t="n"/>
      <c r="G711" s="49" t="n"/>
      <c r="H711" s="48" t="n"/>
      <c r="I711" s="50" t="n"/>
      <c r="J711" s="48" t="n"/>
      <c r="K711" s="48" t="n"/>
      <c r="L711" s="48" t="n"/>
      <c r="M711" s="48" t="n"/>
      <c r="N711" s="48" t="n"/>
      <c r="O711" s="51">
        <f>IF(AND(B711="",G711="",C711="",D711="",J711=""),"",IF(B711="","⚠ Falta fecha",IF(G711="","⚠ Falta monto",IF(Q711="","⚠ Falta cuenta",IF(ISNA(MATCH(Q711,ctaNombre,0)),"⚠ Cuenta no registrada",IF(AND(OR(P711="Gasto",P711="Reembolso"),D711=""),"⚠ Falta categoría",IF(AND(D711&lt;&gt;"",E711&lt;&gt;"",ISNA(MATCH(D711&amp;"|"&amp;E711,catClave,0))),"⚠ Subcategoría no corresponde",IF(AND(OR(P711="Transferencia",P711="Pago tarjeta"),K711=""),"⚠ Falta cuenta destino",IF(AND(K711&lt;&gt;"",P711&lt;&gt;"Transferencia",P711&lt;&gt;"Pago tarjeta"),"⚠ Destino solo aplica a transferencias",IF(AND(K711&lt;&gt;"",K711=Q711),"⚠ Origen igual a destino",IF(AND(K711&lt;&gt;"",ISNA(MATCH(K711,ctaNombre,0))),"⚠ Destino no registrado",IF(AND(P711="Pago tarjeta",AE711&lt;&gt;"Tarjeta de crédito"),"⚠ El destino debe ser tarjeta de crédito",IF(AND(P711="Gasto",E711="Depósitos y retiros"),"⚠ Usa tipo Transferencia",IF(AND(P711="Resultado trading",AD711&lt;&gt;"Cuenta de trading"),"⚠ Usa una cuenta de trading",IF(AND(G711&lt;=0,P711&lt;&gt;"Ajuste",P711&lt;&gt;"Resultado trading"),"⚠ El monto debe ser positivo","✓")))))))))))))))</f>
        <v/>
      </c>
      <c r="P711" s="52">
        <f>IF(OR(B711="",G711=""),"",IF(C711="","Gasto",C711))</f>
        <v/>
      </c>
      <c r="Q711" s="52">
        <f>IF(P711="","",IF(J711&lt;&gt;"",J711,CuentaPred&amp;""))</f>
        <v/>
      </c>
      <c r="R711" s="52">
        <f>IF(P711="","",IF(ISNUMBER(I711),I711,TasaUSD))</f>
        <v/>
      </c>
      <c r="S711" s="53">
        <f>IF(P711="","",IF(H711="USD",G711*R711,G711))</f>
        <v/>
      </c>
      <c r="T711" s="53">
        <f>IF(P711="","",IF(H711="USD",G711,IF(R711&gt;0,G711/R711,0)))</f>
        <v/>
      </c>
      <c r="U711" s="53">
        <f>IF(P711="","",IF(P711="Gasto",S711,IF(P711="Reembolso",-S711,0)))</f>
        <v/>
      </c>
      <c r="V711" s="53">
        <f>IF(P711="","",IF(P711="Ingreso",S711,0))</f>
        <v/>
      </c>
      <c r="W711" s="53">
        <f>IF(P711="","",IF(P711="Resultado trading",S711,0))</f>
        <v/>
      </c>
      <c r="X711" s="52">
        <f>IF(OR(P711="Gasto",P711="Reembolso"),IF(M711&lt;&gt;"",M711,IFERROR(INDEX(catClasif,MATCH(D711&amp;"|"&amp;E711,catClave,0))&amp;"","Variable")),"")</f>
        <v/>
      </c>
      <c r="Y711" s="52">
        <f>IF(P711="","",IFERROR(INDEX(catGrupo,MATCH(D711&amp;"|"&amp;E711,catClave,0))&amp;"",""))</f>
        <v/>
      </c>
      <c r="Z711" s="52">
        <f>IF(P711="","",WEEKDAY(B711,2))</f>
        <v/>
      </c>
      <c r="AA711" s="52">
        <f>IF(P711="","",IF(AND(P711="Gasto",X711="Variable",D711&lt;&gt;catTrading,S711&gt;0,S711&lt;=Umbral),1,0))</f>
        <v/>
      </c>
      <c r="AB711" s="52">
        <f>IF(OR(P711="",Q711=""),"",IFERROR(IF(INDEX(ctaVinc,MATCH(Q711,ctaNombre,0))&amp;""&lt;&gt;"",INDEX(ctaVinc,MATCH(Q711,ctaNombre,0))&amp;"",Q711),Q711))</f>
        <v/>
      </c>
      <c r="AC711" s="52">
        <f>IF(OR(K711="",AND(P711&lt;&gt;"Transferencia",P711&lt;&gt;"Pago tarjeta")),"",IFERROR(IF(INDEX(ctaVinc,MATCH(K711,ctaNombre,0))&amp;""&lt;&gt;"",INDEX(ctaVinc,MATCH(K711,ctaNombre,0))&amp;"",K711),K711))</f>
        <v/>
      </c>
      <c r="AD711" s="52">
        <f>IF(AB711="","",IFERROR(INDEX(ctaTipo,MATCH(AB711,ctaNombre,0))&amp;"",""))</f>
        <v/>
      </c>
      <c r="AE711" s="52">
        <f>IF(AC711="","",IFERROR(INDEX(ctaTipo,MATCH(AC711,ctaNombre,0))&amp;"",""))</f>
        <v/>
      </c>
      <c r="AF711" s="53">
        <f>IF(OR(P711="",AB711=""),"",IF(OR(P711="Gasto",P711="Transferencia",P711="Pago tarjeta"),-1,1)*IF(IFERROR(INDEX(ctaMoneda,MATCH(AB711,ctaNombre,0))&amp;"","DOP")="USD",T711,S711))</f>
        <v/>
      </c>
      <c r="AG711" s="53">
        <f>IF(AC711="","",IF(IFERROR(INDEX(ctaMoneda,MATCH(AC711,ctaNombre,0))&amp;"","DOP")="USD",T711,S711))</f>
        <v/>
      </c>
      <c r="AH711" s="53">
        <f>IF(P711="","",IF(AND(AD711&lt;&gt;"",COUNTIFS(tcTipo,AD711,tcLiq,"Sí")&gt;0),IF(OR(P711="Gasto",P711="Transferencia",P711="Pago tarjeta"),-1,1)*S711,0)+IF(AND(AE711&lt;&gt;"",COUNTIFS(tcTipo,AE711,tcLiq,"Sí")&gt;0),S711,0))</f>
        <v/>
      </c>
      <c r="AI711" s="52">
        <f>IF(OR(L711="",P711=""),"",IF(COUNTIFS(L$6:L711,L711,P$6:P711,"?*")=1,MAX(AI$5:AI710)+1,""))</f>
        <v/>
      </c>
    </row>
    <row r="712">
      <c r="B712" s="47" t="n"/>
      <c r="C712" s="48" t="n"/>
      <c r="D712" s="48" t="n"/>
      <c r="E712" s="48" t="n"/>
      <c r="F712" s="48" t="n"/>
      <c r="G712" s="49" t="n"/>
      <c r="H712" s="48" t="n"/>
      <c r="I712" s="50" t="n"/>
      <c r="J712" s="48" t="n"/>
      <c r="K712" s="48" t="n"/>
      <c r="L712" s="48" t="n"/>
      <c r="M712" s="48" t="n"/>
      <c r="N712" s="48" t="n"/>
      <c r="O712" s="51">
        <f>IF(AND(B712="",G712="",C712="",D712="",J712=""),"",IF(B712="","⚠ Falta fecha",IF(G712="","⚠ Falta monto",IF(Q712="","⚠ Falta cuenta",IF(ISNA(MATCH(Q712,ctaNombre,0)),"⚠ Cuenta no registrada",IF(AND(OR(P712="Gasto",P712="Reembolso"),D712=""),"⚠ Falta categoría",IF(AND(D712&lt;&gt;"",E712&lt;&gt;"",ISNA(MATCH(D712&amp;"|"&amp;E712,catClave,0))),"⚠ Subcategoría no corresponde",IF(AND(OR(P712="Transferencia",P712="Pago tarjeta"),K712=""),"⚠ Falta cuenta destino",IF(AND(K712&lt;&gt;"",P712&lt;&gt;"Transferencia",P712&lt;&gt;"Pago tarjeta"),"⚠ Destino solo aplica a transferencias",IF(AND(K712&lt;&gt;"",K712=Q712),"⚠ Origen igual a destino",IF(AND(K712&lt;&gt;"",ISNA(MATCH(K712,ctaNombre,0))),"⚠ Destino no registrado",IF(AND(P712="Pago tarjeta",AE712&lt;&gt;"Tarjeta de crédito"),"⚠ El destino debe ser tarjeta de crédito",IF(AND(P712="Gasto",E712="Depósitos y retiros"),"⚠ Usa tipo Transferencia",IF(AND(P712="Resultado trading",AD712&lt;&gt;"Cuenta de trading"),"⚠ Usa una cuenta de trading",IF(AND(G712&lt;=0,P712&lt;&gt;"Ajuste",P712&lt;&gt;"Resultado trading"),"⚠ El monto debe ser positivo","✓")))))))))))))))</f>
        <v/>
      </c>
      <c r="P712" s="52">
        <f>IF(OR(B712="",G712=""),"",IF(C712="","Gasto",C712))</f>
        <v/>
      </c>
      <c r="Q712" s="52">
        <f>IF(P712="","",IF(J712&lt;&gt;"",J712,CuentaPred&amp;""))</f>
        <v/>
      </c>
      <c r="R712" s="52">
        <f>IF(P712="","",IF(ISNUMBER(I712),I712,TasaUSD))</f>
        <v/>
      </c>
      <c r="S712" s="53">
        <f>IF(P712="","",IF(H712="USD",G712*R712,G712))</f>
        <v/>
      </c>
      <c r="T712" s="53">
        <f>IF(P712="","",IF(H712="USD",G712,IF(R712&gt;0,G712/R712,0)))</f>
        <v/>
      </c>
      <c r="U712" s="53">
        <f>IF(P712="","",IF(P712="Gasto",S712,IF(P712="Reembolso",-S712,0)))</f>
        <v/>
      </c>
      <c r="V712" s="53">
        <f>IF(P712="","",IF(P712="Ingreso",S712,0))</f>
        <v/>
      </c>
      <c r="W712" s="53">
        <f>IF(P712="","",IF(P712="Resultado trading",S712,0))</f>
        <v/>
      </c>
      <c r="X712" s="52">
        <f>IF(OR(P712="Gasto",P712="Reembolso"),IF(M712&lt;&gt;"",M712,IFERROR(INDEX(catClasif,MATCH(D712&amp;"|"&amp;E712,catClave,0))&amp;"","Variable")),"")</f>
        <v/>
      </c>
      <c r="Y712" s="52">
        <f>IF(P712="","",IFERROR(INDEX(catGrupo,MATCH(D712&amp;"|"&amp;E712,catClave,0))&amp;"",""))</f>
        <v/>
      </c>
      <c r="Z712" s="52">
        <f>IF(P712="","",WEEKDAY(B712,2))</f>
        <v/>
      </c>
      <c r="AA712" s="52">
        <f>IF(P712="","",IF(AND(P712="Gasto",X712="Variable",D712&lt;&gt;catTrading,S712&gt;0,S712&lt;=Umbral),1,0))</f>
        <v/>
      </c>
      <c r="AB712" s="52">
        <f>IF(OR(P712="",Q712=""),"",IFERROR(IF(INDEX(ctaVinc,MATCH(Q712,ctaNombre,0))&amp;""&lt;&gt;"",INDEX(ctaVinc,MATCH(Q712,ctaNombre,0))&amp;"",Q712),Q712))</f>
        <v/>
      </c>
      <c r="AC712" s="52">
        <f>IF(OR(K712="",AND(P712&lt;&gt;"Transferencia",P712&lt;&gt;"Pago tarjeta")),"",IFERROR(IF(INDEX(ctaVinc,MATCH(K712,ctaNombre,0))&amp;""&lt;&gt;"",INDEX(ctaVinc,MATCH(K712,ctaNombre,0))&amp;"",K712),K712))</f>
        <v/>
      </c>
      <c r="AD712" s="52">
        <f>IF(AB712="","",IFERROR(INDEX(ctaTipo,MATCH(AB712,ctaNombre,0))&amp;"",""))</f>
        <v/>
      </c>
      <c r="AE712" s="52">
        <f>IF(AC712="","",IFERROR(INDEX(ctaTipo,MATCH(AC712,ctaNombre,0))&amp;"",""))</f>
        <v/>
      </c>
      <c r="AF712" s="53">
        <f>IF(OR(P712="",AB712=""),"",IF(OR(P712="Gasto",P712="Transferencia",P712="Pago tarjeta"),-1,1)*IF(IFERROR(INDEX(ctaMoneda,MATCH(AB712,ctaNombre,0))&amp;"","DOP")="USD",T712,S712))</f>
        <v/>
      </c>
      <c r="AG712" s="53">
        <f>IF(AC712="","",IF(IFERROR(INDEX(ctaMoneda,MATCH(AC712,ctaNombre,0))&amp;"","DOP")="USD",T712,S712))</f>
        <v/>
      </c>
      <c r="AH712" s="53">
        <f>IF(P712="","",IF(AND(AD712&lt;&gt;"",COUNTIFS(tcTipo,AD712,tcLiq,"Sí")&gt;0),IF(OR(P712="Gasto",P712="Transferencia",P712="Pago tarjeta"),-1,1)*S712,0)+IF(AND(AE712&lt;&gt;"",COUNTIFS(tcTipo,AE712,tcLiq,"Sí")&gt;0),S712,0))</f>
        <v/>
      </c>
      <c r="AI712" s="52">
        <f>IF(OR(L712="",P712=""),"",IF(COUNTIFS(L$6:L712,L712,P$6:P712,"?*")=1,MAX(AI$5:AI711)+1,""))</f>
        <v/>
      </c>
    </row>
    <row r="713">
      <c r="B713" s="47" t="n"/>
      <c r="C713" s="48" t="n"/>
      <c r="D713" s="48" t="n"/>
      <c r="E713" s="48" t="n"/>
      <c r="F713" s="48" t="n"/>
      <c r="G713" s="49" t="n"/>
      <c r="H713" s="48" t="n"/>
      <c r="I713" s="50" t="n"/>
      <c r="J713" s="48" t="n"/>
      <c r="K713" s="48" t="n"/>
      <c r="L713" s="48" t="n"/>
      <c r="M713" s="48" t="n"/>
      <c r="N713" s="48" t="n"/>
      <c r="O713" s="51">
        <f>IF(AND(B713="",G713="",C713="",D713="",J713=""),"",IF(B713="","⚠ Falta fecha",IF(G713="","⚠ Falta monto",IF(Q713="","⚠ Falta cuenta",IF(ISNA(MATCH(Q713,ctaNombre,0)),"⚠ Cuenta no registrada",IF(AND(OR(P713="Gasto",P713="Reembolso"),D713=""),"⚠ Falta categoría",IF(AND(D713&lt;&gt;"",E713&lt;&gt;"",ISNA(MATCH(D713&amp;"|"&amp;E713,catClave,0))),"⚠ Subcategoría no corresponde",IF(AND(OR(P713="Transferencia",P713="Pago tarjeta"),K713=""),"⚠ Falta cuenta destino",IF(AND(K713&lt;&gt;"",P713&lt;&gt;"Transferencia",P713&lt;&gt;"Pago tarjeta"),"⚠ Destino solo aplica a transferencias",IF(AND(K713&lt;&gt;"",K713=Q713),"⚠ Origen igual a destino",IF(AND(K713&lt;&gt;"",ISNA(MATCH(K713,ctaNombre,0))),"⚠ Destino no registrado",IF(AND(P713="Pago tarjeta",AE713&lt;&gt;"Tarjeta de crédito"),"⚠ El destino debe ser tarjeta de crédito",IF(AND(P713="Gasto",E713="Depósitos y retiros"),"⚠ Usa tipo Transferencia",IF(AND(P713="Resultado trading",AD713&lt;&gt;"Cuenta de trading"),"⚠ Usa una cuenta de trading",IF(AND(G713&lt;=0,P713&lt;&gt;"Ajuste",P713&lt;&gt;"Resultado trading"),"⚠ El monto debe ser positivo","✓")))))))))))))))</f>
        <v/>
      </c>
      <c r="P713" s="52">
        <f>IF(OR(B713="",G713=""),"",IF(C713="","Gasto",C713))</f>
        <v/>
      </c>
      <c r="Q713" s="52">
        <f>IF(P713="","",IF(J713&lt;&gt;"",J713,CuentaPred&amp;""))</f>
        <v/>
      </c>
      <c r="R713" s="52">
        <f>IF(P713="","",IF(ISNUMBER(I713),I713,TasaUSD))</f>
        <v/>
      </c>
      <c r="S713" s="53">
        <f>IF(P713="","",IF(H713="USD",G713*R713,G713))</f>
        <v/>
      </c>
      <c r="T713" s="53">
        <f>IF(P713="","",IF(H713="USD",G713,IF(R713&gt;0,G713/R713,0)))</f>
        <v/>
      </c>
      <c r="U713" s="53">
        <f>IF(P713="","",IF(P713="Gasto",S713,IF(P713="Reembolso",-S713,0)))</f>
        <v/>
      </c>
      <c r="V713" s="53">
        <f>IF(P713="","",IF(P713="Ingreso",S713,0))</f>
        <v/>
      </c>
      <c r="W713" s="53">
        <f>IF(P713="","",IF(P713="Resultado trading",S713,0))</f>
        <v/>
      </c>
      <c r="X713" s="52">
        <f>IF(OR(P713="Gasto",P713="Reembolso"),IF(M713&lt;&gt;"",M713,IFERROR(INDEX(catClasif,MATCH(D713&amp;"|"&amp;E713,catClave,0))&amp;"","Variable")),"")</f>
        <v/>
      </c>
      <c r="Y713" s="52">
        <f>IF(P713="","",IFERROR(INDEX(catGrupo,MATCH(D713&amp;"|"&amp;E713,catClave,0))&amp;"",""))</f>
        <v/>
      </c>
      <c r="Z713" s="52">
        <f>IF(P713="","",WEEKDAY(B713,2))</f>
        <v/>
      </c>
      <c r="AA713" s="52">
        <f>IF(P713="","",IF(AND(P713="Gasto",X713="Variable",D713&lt;&gt;catTrading,S713&gt;0,S713&lt;=Umbral),1,0))</f>
        <v/>
      </c>
      <c r="AB713" s="52">
        <f>IF(OR(P713="",Q713=""),"",IFERROR(IF(INDEX(ctaVinc,MATCH(Q713,ctaNombre,0))&amp;""&lt;&gt;"",INDEX(ctaVinc,MATCH(Q713,ctaNombre,0))&amp;"",Q713),Q713))</f>
        <v/>
      </c>
      <c r="AC713" s="52">
        <f>IF(OR(K713="",AND(P713&lt;&gt;"Transferencia",P713&lt;&gt;"Pago tarjeta")),"",IFERROR(IF(INDEX(ctaVinc,MATCH(K713,ctaNombre,0))&amp;""&lt;&gt;"",INDEX(ctaVinc,MATCH(K713,ctaNombre,0))&amp;"",K713),K713))</f>
        <v/>
      </c>
      <c r="AD713" s="52">
        <f>IF(AB713="","",IFERROR(INDEX(ctaTipo,MATCH(AB713,ctaNombre,0))&amp;"",""))</f>
        <v/>
      </c>
      <c r="AE713" s="52">
        <f>IF(AC713="","",IFERROR(INDEX(ctaTipo,MATCH(AC713,ctaNombre,0))&amp;"",""))</f>
        <v/>
      </c>
      <c r="AF713" s="53">
        <f>IF(OR(P713="",AB713=""),"",IF(OR(P713="Gasto",P713="Transferencia",P713="Pago tarjeta"),-1,1)*IF(IFERROR(INDEX(ctaMoneda,MATCH(AB713,ctaNombre,0))&amp;"","DOP")="USD",T713,S713))</f>
        <v/>
      </c>
      <c r="AG713" s="53">
        <f>IF(AC713="","",IF(IFERROR(INDEX(ctaMoneda,MATCH(AC713,ctaNombre,0))&amp;"","DOP")="USD",T713,S713))</f>
        <v/>
      </c>
      <c r="AH713" s="53">
        <f>IF(P713="","",IF(AND(AD713&lt;&gt;"",COUNTIFS(tcTipo,AD713,tcLiq,"Sí")&gt;0),IF(OR(P713="Gasto",P713="Transferencia",P713="Pago tarjeta"),-1,1)*S713,0)+IF(AND(AE713&lt;&gt;"",COUNTIFS(tcTipo,AE713,tcLiq,"Sí")&gt;0),S713,0))</f>
        <v/>
      </c>
      <c r="AI713" s="52">
        <f>IF(OR(L713="",P713=""),"",IF(COUNTIFS(L$6:L713,L713,P$6:P713,"?*")=1,MAX(AI$5:AI712)+1,""))</f>
        <v/>
      </c>
    </row>
    <row r="714">
      <c r="B714" s="47" t="n"/>
      <c r="C714" s="48" t="n"/>
      <c r="D714" s="48" t="n"/>
      <c r="E714" s="48" t="n"/>
      <c r="F714" s="48" t="n"/>
      <c r="G714" s="49" t="n"/>
      <c r="H714" s="48" t="n"/>
      <c r="I714" s="50" t="n"/>
      <c r="J714" s="48" t="n"/>
      <c r="K714" s="48" t="n"/>
      <c r="L714" s="48" t="n"/>
      <c r="M714" s="48" t="n"/>
      <c r="N714" s="48" t="n"/>
      <c r="O714" s="51">
        <f>IF(AND(B714="",G714="",C714="",D714="",J714=""),"",IF(B714="","⚠ Falta fecha",IF(G714="","⚠ Falta monto",IF(Q714="","⚠ Falta cuenta",IF(ISNA(MATCH(Q714,ctaNombre,0)),"⚠ Cuenta no registrada",IF(AND(OR(P714="Gasto",P714="Reembolso"),D714=""),"⚠ Falta categoría",IF(AND(D714&lt;&gt;"",E714&lt;&gt;"",ISNA(MATCH(D714&amp;"|"&amp;E714,catClave,0))),"⚠ Subcategoría no corresponde",IF(AND(OR(P714="Transferencia",P714="Pago tarjeta"),K714=""),"⚠ Falta cuenta destino",IF(AND(K714&lt;&gt;"",P714&lt;&gt;"Transferencia",P714&lt;&gt;"Pago tarjeta"),"⚠ Destino solo aplica a transferencias",IF(AND(K714&lt;&gt;"",K714=Q714),"⚠ Origen igual a destino",IF(AND(K714&lt;&gt;"",ISNA(MATCH(K714,ctaNombre,0))),"⚠ Destino no registrado",IF(AND(P714="Pago tarjeta",AE714&lt;&gt;"Tarjeta de crédito"),"⚠ El destino debe ser tarjeta de crédito",IF(AND(P714="Gasto",E714="Depósitos y retiros"),"⚠ Usa tipo Transferencia",IF(AND(P714="Resultado trading",AD714&lt;&gt;"Cuenta de trading"),"⚠ Usa una cuenta de trading",IF(AND(G714&lt;=0,P714&lt;&gt;"Ajuste",P714&lt;&gt;"Resultado trading"),"⚠ El monto debe ser positivo","✓")))))))))))))))</f>
        <v/>
      </c>
      <c r="P714" s="52">
        <f>IF(OR(B714="",G714=""),"",IF(C714="","Gasto",C714))</f>
        <v/>
      </c>
      <c r="Q714" s="52">
        <f>IF(P714="","",IF(J714&lt;&gt;"",J714,CuentaPred&amp;""))</f>
        <v/>
      </c>
      <c r="R714" s="52">
        <f>IF(P714="","",IF(ISNUMBER(I714),I714,TasaUSD))</f>
        <v/>
      </c>
      <c r="S714" s="53">
        <f>IF(P714="","",IF(H714="USD",G714*R714,G714))</f>
        <v/>
      </c>
      <c r="T714" s="53">
        <f>IF(P714="","",IF(H714="USD",G714,IF(R714&gt;0,G714/R714,0)))</f>
        <v/>
      </c>
      <c r="U714" s="53">
        <f>IF(P714="","",IF(P714="Gasto",S714,IF(P714="Reembolso",-S714,0)))</f>
        <v/>
      </c>
      <c r="V714" s="53">
        <f>IF(P714="","",IF(P714="Ingreso",S714,0))</f>
        <v/>
      </c>
      <c r="W714" s="53">
        <f>IF(P714="","",IF(P714="Resultado trading",S714,0))</f>
        <v/>
      </c>
      <c r="X714" s="52">
        <f>IF(OR(P714="Gasto",P714="Reembolso"),IF(M714&lt;&gt;"",M714,IFERROR(INDEX(catClasif,MATCH(D714&amp;"|"&amp;E714,catClave,0))&amp;"","Variable")),"")</f>
        <v/>
      </c>
      <c r="Y714" s="52">
        <f>IF(P714="","",IFERROR(INDEX(catGrupo,MATCH(D714&amp;"|"&amp;E714,catClave,0))&amp;"",""))</f>
        <v/>
      </c>
      <c r="Z714" s="52">
        <f>IF(P714="","",WEEKDAY(B714,2))</f>
        <v/>
      </c>
      <c r="AA714" s="52">
        <f>IF(P714="","",IF(AND(P714="Gasto",X714="Variable",D714&lt;&gt;catTrading,S714&gt;0,S714&lt;=Umbral),1,0))</f>
        <v/>
      </c>
      <c r="AB714" s="52">
        <f>IF(OR(P714="",Q714=""),"",IFERROR(IF(INDEX(ctaVinc,MATCH(Q714,ctaNombre,0))&amp;""&lt;&gt;"",INDEX(ctaVinc,MATCH(Q714,ctaNombre,0))&amp;"",Q714),Q714))</f>
        <v/>
      </c>
      <c r="AC714" s="52">
        <f>IF(OR(K714="",AND(P714&lt;&gt;"Transferencia",P714&lt;&gt;"Pago tarjeta")),"",IFERROR(IF(INDEX(ctaVinc,MATCH(K714,ctaNombre,0))&amp;""&lt;&gt;"",INDEX(ctaVinc,MATCH(K714,ctaNombre,0))&amp;"",K714),K714))</f>
        <v/>
      </c>
      <c r="AD714" s="52">
        <f>IF(AB714="","",IFERROR(INDEX(ctaTipo,MATCH(AB714,ctaNombre,0))&amp;"",""))</f>
        <v/>
      </c>
      <c r="AE714" s="52">
        <f>IF(AC714="","",IFERROR(INDEX(ctaTipo,MATCH(AC714,ctaNombre,0))&amp;"",""))</f>
        <v/>
      </c>
      <c r="AF714" s="53">
        <f>IF(OR(P714="",AB714=""),"",IF(OR(P714="Gasto",P714="Transferencia",P714="Pago tarjeta"),-1,1)*IF(IFERROR(INDEX(ctaMoneda,MATCH(AB714,ctaNombre,0))&amp;"","DOP")="USD",T714,S714))</f>
        <v/>
      </c>
      <c r="AG714" s="53">
        <f>IF(AC714="","",IF(IFERROR(INDEX(ctaMoneda,MATCH(AC714,ctaNombre,0))&amp;"","DOP")="USD",T714,S714))</f>
        <v/>
      </c>
      <c r="AH714" s="53">
        <f>IF(P714="","",IF(AND(AD714&lt;&gt;"",COUNTIFS(tcTipo,AD714,tcLiq,"Sí")&gt;0),IF(OR(P714="Gasto",P714="Transferencia",P714="Pago tarjeta"),-1,1)*S714,0)+IF(AND(AE714&lt;&gt;"",COUNTIFS(tcTipo,AE714,tcLiq,"Sí")&gt;0),S714,0))</f>
        <v/>
      </c>
      <c r="AI714" s="52">
        <f>IF(OR(L714="",P714=""),"",IF(COUNTIFS(L$6:L714,L714,P$6:P714,"?*")=1,MAX(AI$5:AI713)+1,""))</f>
        <v/>
      </c>
    </row>
    <row r="715">
      <c r="B715" s="47" t="n"/>
      <c r="C715" s="48" t="n"/>
      <c r="D715" s="48" t="n"/>
      <c r="E715" s="48" t="n"/>
      <c r="F715" s="48" t="n"/>
      <c r="G715" s="49" t="n"/>
      <c r="H715" s="48" t="n"/>
      <c r="I715" s="50" t="n"/>
      <c r="J715" s="48" t="n"/>
      <c r="K715" s="48" t="n"/>
      <c r="L715" s="48" t="n"/>
      <c r="M715" s="48" t="n"/>
      <c r="N715" s="48" t="n"/>
      <c r="O715" s="51">
        <f>IF(AND(B715="",G715="",C715="",D715="",J715=""),"",IF(B715="","⚠ Falta fecha",IF(G715="","⚠ Falta monto",IF(Q715="","⚠ Falta cuenta",IF(ISNA(MATCH(Q715,ctaNombre,0)),"⚠ Cuenta no registrada",IF(AND(OR(P715="Gasto",P715="Reembolso"),D715=""),"⚠ Falta categoría",IF(AND(D715&lt;&gt;"",E715&lt;&gt;"",ISNA(MATCH(D715&amp;"|"&amp;E715,catClave,0))),"⚠ Subcategoría no corresponde",IF(AND(OR(P715="Transferencia",P715="Pago tarjeta"),K715=""),"⚠ Falta cuenta destino",IF(AND(K715&lt;&gt;"",P715&lt;&gt;"Transferencia",P715&lt;&gt;"Pago tarjeta"),"⚠ Destino solo aplica a transferencias",IF(AND(K715&lt;&gt;"",K715=Q715),"⚠ Origen igual a destino",IF(AND(K715&lt;&gt;"",ISNA(MATCH(K715,ctaNombre,0))),"⚠ Destino no registrado",IF(AND(P715="Pago tarjeta",AE715&lt;&gt;"Tarjeta de crédito"),"⚠ El destino debe ser tarjeta de crédito",IF(AND(P715="Gasto",E715="Depósitos y retiros"),"⚠ Usa tipo Transferencia",IF(AND(P715="Resultado trading",AD715&lt;&gt;"Cuenta de trading"),"⚠ Usa una cuenta de trading",IF(AND(G715&lt;=0,P715&lt;&gt;"Ajuste",P715&lt;&gt;"Resultado trading"),"⚠ El monto debe ser positivo","✓")))))))))))))))</f>
        <v/>
      </c>
      <c r="P715" s="52">
        <f>IF(OR(B715="",G715=""),"",IF(C715="","Gasto",C715))</f>
        <v/>
      </c>
      <c r="Q715" s="52">
        <f>IF(P715="","",IF(J715&lt;&gt;"",J715,CuentaPred&amp;""))</f>
        <v/>
      </c>
      <c r="R715" s="52">
        <f>IF(P715="","",IF(ISNUMBER(I715),I715,TasaUSD))</f>
        <v/>
      </c>
      <c r="S715" s="53">
        <f>IF(P715="","",IF(H715="USD",G715*R715,G715))</f>
        <v/>
      </c>
      <c r="T715" s="53">
        <f>IF(P715="","",IF(H715="USD",G715,IF(R715&gt;0,G715/R715,0)))</f>
        <v/>
      </c>
      <c r="U715" s="53">
        <f>IF(P715="","",IF(P715="Gasto",S715,IF(P715="Reembolso",-S715,0)))</f>
        <v/>
      </c>
      <c r="V715" s="53">
        <f>IF(P715="","",IF(P715="Ingreso",S715,0))</f>
        <v/>
      </c>
      <c r="W715" s="53">
        <f>IF(P715="","",IF(P715="Resultado trading",S715,0))</f>
        <v/>
      </c>
      <c r="X715" s="52">
        <f>IF(OR(P715="Gasto",P715="Reembolso"),IF(M715&lt;&gt;"",M715,IFERROR(INDEX(catClasif,MATCH(D715&amp;"|"&amp;E715,catClave,0))&amp;"","Variable")),"")</f>
        <v/>
      </c>
      <c r="Y715" s="52">
        <f>IF(P715="","",IFERROR(INDEX(catGrupo,MATCH(D715&amp;"|"&amp;E715,catClave,0))&amp;"",""))</f>
        <v/>
      </c>
      <c r="Z715" s="52">
        <f>IF(P715="","",WEEKDAY(B715,2))</f>
        <v/>
      </c>
      <c r="AA715" s="52">
        <f>IF(P715="","",IF(AND(P715="Gasto",X715="Variable",D715&lt;&gt;catTrading,S715&gt;0,S715&lt;=Umbral),1,0))</f>
        <v/>
      </c>
      <c r="AB715" s="52">
        <f>IF(OR(P715="",Q715=""),"",IFERROR(IF(INDEX(ctaVinc,MATCH(Q715,ctaNombre,0))&amp;""&lt;&gt;"",INDEX(ctaVinc,MATCH(Q715,ctaNombre,0))&amp;"",Q715),Q715))</f>
        <v/>
      </c>
      <c r="AC715" s="52">
        <f>IF(OR(K715="",AND(P715&lt;&gt;"Transferencia",P715&lt;&gt;"Pago tarjeta")),"",IFERROR(IF(INDEX(ctaVinc,MATCH(K715,ctaNombre,0))&amp;""&lt;&gt;"",INDEX(ctaVinc,MATCH(K715,ctaNombre,0))&amp;"",K715),K715))</f>
        <v/>
      </c>
      <c r="AD715" s="52">
        <f>IF(AB715="","",IFERROR(INDEX(ctaTipo,MATCH(AB715,ctaNombre,0))&amp;"",""))</f>
        <v/>
      </c>
      <c r="AE715" s="52">
        <f>IF(AC715="","",IFERROR(INDEX(ctaTipo,MATCH(AC715,ctaNombre,0))&amp;"",""))</f>
        <v/>
      </c>
      <c r="AF715" s="53">
        <f>IF(OR(P715="",AB715=""),"",IF(OR(P715="Gasto",P715="Transferencia",P715="Pago tarjeta"),-1,1)*IF(IFERROR(INDEX(ctaMoneda,MATCH(AB715,ctaNombre,0))&amp;"","DOP")="USD",T715,S715))</f>
        <v/>
      </c>
      <c r="AG715" s="53">
        <f>IF(AC715="","",IF(IFERROR(INDEX(ctaMoneda,MATCH(AC715,ctaNombre,0))&amp;"","DOP")="USD",T715,S715))</f>
        <v/>
      </c>
      <c r="AH715" s="53">
        <f>IF(P715="","",IF(AND(AD715&lt;&gt;"",COUNTIFS(tcTipo,AD715,tcLiq,"Sí")&gt;0),IF(OR(P715="Gasto",P715="Transferencia",P715="Pago tarjeta"),-1,1)*S715,0)+IF(AND(AE715&lt;&gt;"",COUNTIFS(tcTipo,AE715,tcLiq,"Sí")&gt;0),S715,0))</f>
        <v/>
      </c>
      <c r="AI715" s="52">
        <f>IF(OR(L715="",P715=""),"",IF(COUNTIFS(L$6:L715,L715,P$6:P715,"?*")=1,MAX(AI$5:AI714)+1,""))</f>
        <v/>
      </c>
    </row>
    <row r="716">
      <c r="B716" s="47" t="n"/>
      <c r="C716" s="48" t="n"/>
      <c r="D716" s="48" t="n"/>
      <c r="E716" s="48" t="n"/>
      <c r="F716" s="48" t="n"/>
      <c r="G716" s="49" t="n"/>
      <c r="H716" s="48" t="n"/>
      <c r="I716" s="50" t="n"/>
      <c r="J716" s="48" t="n"/>
      <c r="K716" s="48" t="n"/>
      <c r="L716" s="48" t="n"/>
      <c r="M716" s="48" t="n"/>
      <c r="N716" s="48" t="n"/>
      <c r="O716" s="51">
        <f>IF(AND(B716="",G716="",C716="",D716="",J716=""),"",IF(B716="","⚠ Falta fecha",IF(G716="","⚠ Falta monto",IF(Q716="","⚠ Falta cuenta",IF(ISNA(MATCH(Q716,ctaNombre,0)),"⚠ Cuenta no registrada",IF(AND(OR(P716="Gasto",P716="Reembolso"),D716=""),"⚠ Falta categoría",IF(AND(D716&lt;&gt;"",E716&lt;&gt;"",ISNA(MATCH(D716&amp;"|"&amp;E716,catClave,0))),"⚠ Subcategoría no corresponde",IF(AND(OR(P716="Transferencia",P716="Pago tarjeta"),K716=""),"⚠ Falta cuenta destino",IF(AND(K716&lt;&gt;"",P716&lt;&gt;"Transferencia",P716&lt;&gt;"Pago tarjeta"),"⚠ Destino solo aplica a transferencias",IF(AND(K716&lt;&gt;"",K716=Q716),"⚠ Origen igual a destino",IF(AND(K716&lt;&gt;"",ISNA(MATCH(K716,ctaNombre,0))),"⚠ Destino no registrado",IF(AND(P716="Pago tarjeta",AE716&lt;&gt;"Tarjeta de crédito"),"⚠ El destino debe ser tarjeta de crédito",IF(AND(P716="Gasto",E716="Depósitos y retiros"),"⚠ Usa tipo Transferencia",IF(AND(P716="Resultado trading",AD716&lt;&gt;"Cuenta de trading"),"⚠ Usa una cuenta de trading",IF(AND(G716&lt;=0,P716&lt;&gt;"Ajuste",P716&lt;&gt;"Resultado trading"),"⚠ El monto debe ser positivo","✓")))))))))))))))</f>
        <v/>
      </c>
      <c r="P716" s="52">
        <f>IF(OR(B716="",G716=""),"",IF(C716="","Gasto",C716))</f>
        <v/>
      </c>
      <c r="Q716" s="52">
        <f>IF(P716="","",IF(J716&lt;&gt;"",J716,CuentaPred&amp;""))</f>
        <v/>
      </c>
      <c r="R716" s="52">
        <f>IF(P716="","",IF(ISNUMBER(I716),I716,TasaUSD))</f>
        <v/>
      </c>
      <c r="S716" s="53">
        <f>IF(P716="","",IF(H716="USD",G716*R716,G716))</f>
        <v/>
      </c>
      <c r="T716" s="53">
        <f>IF(P716="","",IF(H716="USD",G716,IF(R716&gt;0,G716/R716,0)))</f>
        <v/>
      </c>
      <c r="U716" s="53">
        <f>IF(P716="","",IF(P716="Gasto",S716,IF(P716="Reembolso",-S716,0)))</f>
        <v/>
      </c>
      <c r="V716" s="53">
        <f>IF(P716="","",IF(P716="Ingreso",S716,0))</f>
        <v/>
      </c>
      <c r="W716" s="53">
        <f>IF(P716="","",IF(P716="Resultado trading",S716,0))</f>
        <v/>
      </c>
      <c r="X716" s="52">
        <f>IF(OR(P716="Gasto",P716="Reembolso"),IF(M716&lt;&gt;"",M716,IFERROR(INDEX(catClasif,MATCH(D716&amp;"|"&amp;E716,catClave,0))&amp;"","Variable")),"")</f>
        <v/>
      </c>
      <c r="Y716" s="52">
        <f>IF(P716="","",IFERROR(INDEX(catGrupo,MATCH(D716&amp;"|"&amp;E716,catClave,0))&amp;"",""))</f>
        <v/>
      </c>
      <c r="Z716" s="52">
        <f>IF(P716="","",WEEKDAY(B716,2))</f>
        <v/>
      </c>
      <c r="AA716" s="52">
        <f>IF(P716="","",IF(AND(P716="Gasto",X716="Variable",D716&lt;&gt;catTrading,S716&gt;0,S716&lt;=Umbral),1,0))</f>
        <v/>
      </c>
      <c r="AB716" s="52">
        <f>IF(OR(P716="",Q716=""),"",IFERROR(IF(INDEX(ctaVinc,MATCH(Q716,ctaNombre,0))&amp;""&lt;&gt;"",INDEX(ctaVinc,MATCH(Q716,ctaNombre,0))&amp;"",Q716),Q716))</f>
        <v/>
      </c>
      <c r="AC716" s="52">
        <f>IF(OR(K716="",AND(P716&lt;&gt;"Transferencia",P716&lt;&gt;"Pago tarjeta")),"",IFERROR(IF(INDEX(ctaVinc,MATCH(K716,ctaNombre,0))&amp;""&lt;&gt;"",INDEX(ctaVinc,MATCH(K716,ctaNombre,0))&amp;"",K716),K716))</f>
        <v/>
      </c>
      <c r="AD716" s="52">
        <f>IF(AB716="","",IFERROR(INDEX(ctaTipo,MATCH(AB716,ctaNombre,0))&amp;"",""))</f>
        <v/>
      </c>
      <c r="AE716" s="52">
        <f>IF(AC716="","",IFERROR(INDEX(ctaTipo,MATCH(AC716,ctaNombre,0))&amp;"",""))</f>
        <v/>
      </c>
      <c r="AF716" s="53">
        <f>IF(OR(P716="",AB716=""),"",IF(OR(P716="Gasto",P716="Transferencia",P716="Pago tarjeta"),-1,1)*IF(IFERROR(INDEX(ctaMoneda,MATCH(AB716,ctaNombre,0))&amp;"","DOP")="USD",T716,S716))</f>
        <v/>
      </c>
      <c r="AG716" s="53">
        <f>IF(AC716="","",IF(IFERROR(INDEX(ctaMoneda,MATCH(AC716,ctaNombre,0))&amp;"","DOP")="USD",T716,S716))</f>
        <v/>
      </c>
      <c r="AH716" s="53">
        <f>IF(P716="","",IF(AND(AD716&lt;&gt;"",COUNTIFS(tcTipo,AD716,tcLiq,"Sí")&gt;0),IF(OR(P716="Gasto",P716="Transferencia",P716="Pago tarjeta"),-1,1)*S716,0)+IF(AND(AE716&lt;&gt;"",COUNTIFS(tcTipo,AE716,tcLiq,"Sí")&gt;0),S716,0))</f>
        <v/>
      </c>
      <c r="AI716" s="52">
        <f>IF(OR(L716="",P716=""),"",IF(COUNTIFS(L$6:L716,L716,P$6:P716,"?*")=1,MAX(AI$5:AI715)+1,""))</f>
        <v/>
      </c>
    </row>
    <row r="717">
      <c r="B717" s="47" t="n"/>
      <c r="C717" s="48" t="n"/>
      <c r="D717" s="48" t="n"/>
      <c r="E717" s="48" t="n"/>
      <c r="F717" s="48" t="n"/>
      <c r="G717" s="49" t="n"/>
      <c r="H717" s="48" t="n"/>
      <c r="I717" s="50" t="n"/>
      <c r="J717" s="48" t="n"/>
      <c r="K717" s="48" t="n"/>
      <c r="L717" s="48" t="n"/>
      <c r="M717" s="48" t="n"/>
      <c r="N717" s="48" t="n"/>
      <c r="O717" s="51">
        <f>IF(AND(B717="",G717="",C717="",D717="",J717=""),"",IF(B717="","⚠ Falta fecha",IF(G717="","⚠ Falta monto",IF(Q717="","⚠ Falta cuenta",IF(ISNA(MATCH(Q717,ctaNombre,0)),"⚠ Cuenta no registrada",IF(AND(OR(P717="Gasto",P717="Reembolso"),D717=""),"⚠ Falta categoría",IF(AND(D717&lt;&gt;"",E717&lt;&gt;"",ISNA(MATCH(D717&amp;"|"&amp;E717,catClave,0))),"⚠ Subcategoría no corresponde",IF(AND(OR(P717="Transferencia",P717="Pago tarjeta"),K717=""),"⚠ Falta cuenta destino",IF(AND(K717&lt;&gt;"",P717&lt;&gt;"Transferencia",P717&lt;&gt;"Pago tarjeta"),"⚠ Destino solo aplica a transferencias",IF(AND(K717&lt;&gt;"",K717=Q717),"⚠ Origen igual a destino",IF(AND(K717&lt;&gt;"",ISNA(MATCH(K717,ctaNombre,0))),"⚠ Destino no registrado",IF(AND(P717="Pago tarjeta",AE717&lt;&gt;"Tarjeta de crédito"),"⚠ El destino debe ser tarjeta de crédito",IF(AND(P717="Gasto",E717="Depósitos y retiros"),"⚠ Usa tipo Transferencia",IF(AND(P717="Resultado trading",AD717&lt;&gt;"Cuenta de trading"),"⚠ Usa una cuenta de trading",IF(AND(G717&lt;=0,P717&lt;&gt;"Ajuste",P717&lt;&gt;"Resultado trading"),"⚠ El monto debe ser positivo","✓")))))))))))))))</f>
        <v/>
      </c>
      <c r="P717" s="52">
        <f>IF(OR(B717="",G717=""),"",IF(C717="","Gasto",C717))</f>
        <v/>
      </c>
      <c r="Q717" s="52">
        <f>IF(P717="","",IF(J717&lt;&gt;"",J717,CuentaPred&amp;""))</f>
        <v/>
      </c>
      <c r="R717" s="52">
        <f>IF(P717="","",IF(ISNUMBER(I717),I717,TasaUSD))</f>
        <v/>
      </c>
      <c r="S717" s="53">
        <f>IF(P717="","",IF(H717="USD",G717*R717,G717))</f>
        <v/>
      </c>
      <c r="T717" s="53">
        <f>IF(P717="","",IF(H717="USD",G717,IF(R717&gt;0,G717/R717,0)))</f>
        <v/>
      </c>
      <c r="U717" s="53">
        <f>IF(P717="","",IF(P717="Gasto",S717,IF(P717="Reembolso",-S717,0)))</f>
        <v/>
      </c>
      <c r="V717" s="53">
        <f>IF(P717="","",IF(P717="Ingreso",S717,0))</f>
        <v/>
      </c>
      <c r="W717" s="53">
        <f>IF(P717="","",IF(P717="Resultado trading",S717,0))</f>
        <v/>
      </c>
      <c r="X717" s="52">
        <f>IF(OR(P717="Gasto",P717="Reembolso"),IF(M717&lt;&gt;"",M717,IFERROR(INDEX(catClasif,MATCH(D717&amp;"|"&amp;E717,catClave,0))&amp;"","Variable")),"")</f>
        <v/>
      </c>
      <c r="Y717" s="52">
        <f>IF(P717="","",IFERROR(INDEX(catGrupo,MATCH(D717&amp;"|"&amp;E717,catClave,0))&amp;"",""))</f>
        <v/>
      </c>
      <c r="Z717" s="52">
        <f>IF(P717="","",WEEKDAY(B717,2))</f>
        <v/>
      </c>
      <c r="AA717" s="52">
        <f>IF(P717="","",IF(AND(P717="Gasto",X717="Variable",D717&lt;&gt;catTrading,S717&gt;0,S717&lt;=Umbral),1,0))</f>
        <v/>
      </c>
      <c r="AB717" s="52">
        <f>IF(OR(P717="",Q717=""),"",IFERROR(IF(INDEX(ctaVinc,MATCH(Q717,ctaNombre,0))&amp;""&lt;&gt;"",INDEX(ctaVinc,MATCH(Q717,ctaNombre,0))&amp;"",Q717),Q717))</f>
        <v/>
      </c>
      <c r="AC717" s="52">
        <f>IF(OR(K717="",AND(P717&lt;&gt;"Transferencia",P717&lt;&gt;"Pago tarjeta")),"",IFERROR(IF(INDEX(ctaVinc,MATCH(K717,ctaNombre,0))&amp;""&lt;&gt;"",INDEX(ctaVinc,MATCH(K717,ctaNombre,0))&amp;"",K717),K717))</f>
        <v/>
      </c>
      <c r="AD717" s="52">
        <f>IF(AB717="","",IFERROR(INDEX(ctaTipo,MATCH(AB717,ctaNombre,0))&amp;"",""))</f>
        <v/>
      </c>
      <c r="AE717" s="52">
        <f>IF(AC717="","",IFERROR(INDEX(ctaTipo,MATCH(AC717,ctaNombre,0))&amp;"",""))</f>
        <v/>
      </c>
      <c r="AF717" s="53">
        <f>IF(OR(P717="",AB717=""),"",IF(OR(P717="Gasto",P717="Transferencia",P717="Pago tarjeta"),-1,1)*IF(IFERROR(INDEX(ctaMoneda,MATCH(AB717,ctaNombre,0))&amp;"","DOP")="USD",T717,S717))</f>
        <v/>
      </c>
      <c r="AG717" s="53">
        <f>IF(AC717="","",IF(IFERROR(INDEX(ctaMoneda,MATCH(AC717,ctaNombre,0))&amp;"","DOP")="USD",T717,S717))</f>
        <v/>
      </c>
      <c r="AH717" s="53">
        <f>IF(P717="","",IF(AND(AD717&lt;&gt;"",COUNTIFS(tcTipo,AD717,tcLiq,"Sí")&gt;0),IF(OR(P717="Gasto",P717="Transferencia",P717="Pago tarjeta"),-1,1)*S717,0)+IF(AND(AE717&lt;&gt;"",COUNTIFS(tcTipo,AE717,tcLiq,"Sí")&gt;0),S717,0))</f>
        <v/>
      </c>
      <c r="AI717" s="52">
        <f>IF(OR(L717="",P717=""),"",IF(COUNTIFS(L$6:L717,L717,P$6:P717,"?*")=1,MAX(AI$5:AI716)+1,""))</f>
        <v/>
      </c>
    </row>
    <row r="718">
      <c r="B718" s="47" t="n"/>
      <c r="C718" s="48" t="n"/>
      <c r="D718" s="48" t="n"/>
      <c r="E718" s="48" t="n"/>
      <c r="F718" s="48" t="n"/>
      <c r="G718" s="49" t="n"/>
      <c r="H718" s="48" t="n"/>
      <c r="I718" s="50" t="n"/>
      <c r="J718" s="48" t="n"/>
      <c r="K718" s="48" t="n"/>
      <c r="L718" s="48" t="n"/>
      <c r="M718" s="48" t="n"/>
      <c r="N718" s="48" t="n"/>
      <c r="O718" s="51">
        <f>IF(AND(B718="",G718="",C718="",D718="",J718=""),"",IF(B718="","⚠ Falta fecha",IF(G718="","⚠ Falta monto",IF(Q718="","⚠ Falta cuenta",IF(ISNA(MATCH(Q718,ctaNombre,0)),"⚠ Cuenta no registrada",IF(AND(OR(P718="Gasto",P718="Reembolso"),D718=""),"⚠ Falta categoría",IF(AND(D718&lt;&gt;"",E718&lt;&gt;"",ISNA(MATCH(D718&amp;"|"&amp;E718,catClave,0))),"⚠ Subcategoría no corresponde",IF(AND(OR(P718="Transferencia",P718="Pago tarjeta"),K718=""),"⚠ Falta cuenta destino",IF(AND(K718&lt;&gt;"",P718&lt;&gt;"Transferencia",P718&lt;&gt;"Pago tarjeta"),"⚠ Destino solo aplica a transferencias",IF(AND(K718&lt;&gt;"",K718=Q718),"⚠ Origen igual a destino",IF(AND(K718&lt;&gt;"",ISNA(MATCH(K718,ctaNombre,0))),"⚠ Destino no registrado",IF(AND(P718="Pago tarjeta",AE718&lt;&gt;"Tarjeta de crédito"),"⚠ El destino debe ser tarjeta de crédito",IF(AND(P718="Gasto",E718="Depósitos y retiros"),"⚠ Usa tipo Transferencia",IF(AND(P718="Resultado trading",AD718&lt;&gt;"Cuenta de trading"),"⚠ Usa una cuenta de trading",IF(AND(G718&lt;=0,P718&lt;&gt;"Ajuste",P718&lt;&gt;"Resultado trading"),"⚠ El monto debe ser positivo","✓")))))))))))))))</f>
        <v/>
      </c>
      <c r="P718" s="52">
        <f>IF(OR(B718="",G718=""),"",IF(C718="","Gasto",C718))</f>
        <v/>
      </c>
      <c r="Q718" s="52">
        <f>IF(P718="","",IF(J718&lt;&gt;"",J718,CuentaPred&amp;""))</f>
        <v/>
      </c>
      <c r="R718" s="52">
        <f>IF(P718="","",IF(ISNUMBER(I718),I718,TasaUSD))</f>
        <v/>
      </c>
      <c r="S718" s="53">
        <f>IF(P718="","",IF(H718="USD",G718*R718,G718))</f>
        <v/>
      </c>
      <c r="T718" s="53">
        <f>IF(P718="","",IF(H718="USD",G718,IF(R718&gt;0,G718/R718,0)))</f>
        <v/>
      </c>
      <c r="U718" s="53">
        <f>IF(P718="","",IF(P718="Gasto",S718,IF(P718="Reembolso",-S718,0)))</f>
        <v/>
      </c>
      <c r="V718" s="53">
        <f>IF(P718="","",IF(P718="Ingreso",S718,0))</f>
        <v/>
      </c>
      <c r="W718" s="53">
        <f>IF(P718="","",IF(P718="Resultado trading",S718,0))</f>
        <v/>
      </c>
      <c r="X718" s="52">
        <f>IF(OR(P718="Gasto",P718="Reembolso"),IF(M718&lt;&gt;"",M718,IFERROR(INDEX(catClasif,MATCH(D718&amp;"|"&amp;E718,catClave,0))&amp;"","Variable")),"")</f>
        <v/>
      </c>
      <c r="Y718" s="52">
        <f>IF(P718="","",IFERROR(INDEX(catGrupo,MATCH(D718&amp;"|"&amp;E718,catClave,0))&amp;"",""))</f>
        <v/>
      </c>
      <c r="Z718" s="52">
        <f>IF(P718="","",WEEKDAY(B718,2))</f>
        <v/>
      </c>
      <c r="AA718" s="52">
        <f>IF(P718="","",IF(AND(P718="Gasto",X718="Variable",D718&lt;&gt;catTrading,S718&gt;0,S718&lt;=Umbral),1,0))</f>
        <v/>
      </c>
      <c r="AB718" s="52">
        <f>IF(OR(P718="",Q718=""),"",IFERROR(IF(INDEX(ctaVinc,MATCH(Q718,ctaNombre,0))&amp;""&lt;&gt;"",INDEX(ctaVinc,MATCH(Q718,ctaNombre,0))&amp;"",Q718),Q718))</f>
        <v/>
      </c>
      <c r="AC718" s="52">
        <f>IF(OR(K718="",AND(P718&lt;&gt;"Transferencia",P718&lt;&gt;"Pago tarjeta")),"",IFERROR(IF(INDEX(ctaVinc,MATCH(K718,ctaNombre,0))&amp;""&lt;&gt;"",INDEX(ctaVinc,MATCH(K718,ctaNombre,0))&amp;"",K718),K718))</f>
        <v/>
      </c>
      <c r="AD718" s="52">
        <f>IF(AB718="","",IFERROR(INDEX(ctaTipo,MATCH(AB718,ctaNombre,0))&amp;"",""))</f>
        <v/>
      </c>
      <c r="AE718" s="52">
        <f>IF(AC718="","",IFERROR(INDEX(ctaTipo,MATCH(AC718,ctaNombre,0))&amp;"",""))</f>
        <v/>
      </c>
      <c r="AF718" s="53">
        <f>IF(OR(P718="",AB718=""),"",IF(OR(P718="Gasto",P718="Transferencia",P718="Pago tarjeta"),-1,1)*IF(IFERROR(INDEX(ctaMoneda,MATCH(AB718,ctaNombre,0))&amp;"","DOP")="USD",T718,S718))</f>
        <v/>
      </c>
      <c r="AG718" s="53">
        <f>IF(AC718="","",IF(IFERROR(INDEX(ctaMoneda,MATCH(AC718,ctaNombre,0))&amp;"","DOP")="USD",T718,S718))</f>
        <v/>
      </c>
      <c r="AH718" s="53">
        <f>IF(P718="","",IF(AND(AD718&lt;&gt;"",COUNTIFS(tcTipo,AD718,tcLiq,"Sí")&gt;0),IF(OR(P718="Gasto",P718="Transferencia",P718="Pago tarjeta"),-1,1)*S718,0)+IF(AND(AE718&lt;&gt;"",COUNTIFS(tcTipo,AE718,tcLiq,"Sí")&gt;0),S718,0))</f>
        <v/>
      </c>
      <c r="AI718" s="52">
        <f>IF(OR(L718="",P718=""),"",IF(COUNTIFS(L$6:L718,L718,P$6:P718,"?*")=1,MAX(AI$5:AI717)+1,""))</f>
        <v/>
      </c>
    </row>
    <row r="719">
      <c r="B719" s="47" t="n"/>
      <c r="C719" s="48" t="n"/>
      <c r="D719" s="48" t="n"/>
      <c r="E719" s="48" t="n"/>
      <c r="F719" s="48" t="n"/>
      <c r="G719" s="49" t="n"/>
      <c r="H719" s="48" t="n"/>
      <c r="I719" s="50" t="n"/>
      <c r="J719" s="48" t="n"/>
      <c r="K719" s="48" t="n"/>
      <c r="L719" s="48" t="n"/>
      <c r="M719" s="48" t="n"/>
      <c r="N719" s="48" t="n"/>
      <c r="O719" s="51">
        <f>IF(AND(B719="",G719="",C719="",D719="",J719=""),"",IF(B719="","⚠ Falta fecha",IF(G719="","⚠ Falta monto",IF(Q719="","⚠ Falta cuenta",IF(ISNA(MATCH(Q719,ctaNombre,0)),"⚠ Cuenta no registrada",IF(AND(OR(P719="Gasto",P719="Reembolso"),D719=""),"⚠ Falta categoría",IF(AND(D719&lt;&gt;"",E719&lt;&gt;"",ISNA(MATCH(D719&amp;"|"&amp;E719,catClave,0))),"⚠ Subcategoría no corresponde",IF(AND(OR(P719="Transferencia",P719="Pago tarjeta"),K719=""),"⚠ Falta cuenta destino",IF(AND(K719&lt;&gt;"",P719&lt;&gt;"Transferencia",P719&lt;&gt;"Pago tarjeta"),"⚠ Destino solo aplica a transferencias",IF(AND(K719&lt;&gt;"",K719=Q719),"⚠ Origen igual a destino",IF(AND(K719&lt;&gt;"",ISNA(MATCH(K719,ctaNombre,0))),"⚠ Destino no registrado",IF(AND(P719="Pago tarjeta",AE719&lt;&gt;"Tarjeta de crédito"),"⚠ El destino debe ser tarjeta de crédito",IF(AND(P719="Gasto",E719="Depósitos y retiros"),"⚠ Usa tipo Transferencia",IF(AND(P719="Resultado trading",AD719&lt;&gt;"Cuenta de trading"),"⚠ Usa una cuenta de trading",IF(AND(G719&lt;=0,P719&lt;&gt;"Ajuste",P719&lt;&gt;"Resultado trading"),"⚠ El monto debe ser positivo","✓")))))))))))))))</f>
        <v/>
      </c>
      <c r="P719" s="52">
        <f>IF(OR(B719="",G719=""),"",IF(C719="","Gasto",C719))</f>
        <v/>
      </c>
      <c r="Q719" s="52">
        <f>IF(P719="","",IF(J719&lt;&gt;"",J719,CuentaPred&amp;""))</f>
        <v/>
      </c>
      <c r="R719" s="52">
        <f>IF(P719="","",IF(ISNUMBER(I719),I719,TasaUSD))</f>
        <v/>
      </c>
      <c r="S719" s="53">
        <f>IF(P719="","",IF(H719="USD",G719*R719,G719))</f>
        <v/>
      </c>
      <c r="T719" s="53">
        <f>IF(P719="","",IF(H719="USD",G719,IF(R719&gt;0,G719/R719,0)))</f>
        <v/>
      </c>
      <c r="U719" s="53">
        <f>IF(P719="","",IF(P719="Gasto",S719,IF(P719="Reembolso",-S719,0)))</f>
        <v/>
      </c>
      <c r="V719" s="53">
        <f>IF(P719="","",IF(P719="Ingreso",S719,0))</f>
        <v/>
      </c>
      <c r="W719" s="53">
        <f>IF(P719="","",IF(P719="Resultado trading",S719,0))</f>
        <v/>
      </c>
      <c r="X719" s="52">
        <f>IF(OR(P719="Gasto",P719="Reembolso"),IF(M719&lt;&gt;"",M719,IFERROR(INDEX(catClasif,MATCH(D719&amp;"|"&amp;E719,catClave,0))&amp;"","Variable")),"")</f>
        <v/>
      </c>
      <c r="Y719" s="52">
        <f>IF(P719="","",IFERROR(INDEX(catGrupo,MATCH(D719&amp;"|"&amp;E719,catClave,0))&amp;"",""))</f>
        <v/>
      </c>
      <c r="Z719" s="52">
        <f>IF(P719="","",WEEKDAY(B719,2))</f>
        <v/>
      </c>
      <c r="AA719" s="52">
        <f>IF(P719="","",IF(AND(P719="Gasto",X719="Variable",D719&lt;&gt;catTrading,S719&gt;0,S719&lt;=Umbral),1,0))</f>
        <v/>
      </c>
      <c r="AB719" s="52">
        <f>IF(OR(P719="",Q719=""),"",IFERROR(IF(INDEX(ctaVinc,MATCH(Q719,ctaNombre,0))&amp;""&lt;&gt;"",INDEX(ctaVinc,MATCH(Q719,ctaNombre,0))&amp;"",Q719),Q719))</f>
        <v/>
      </c>
      <c r="AC719" s="52">
        <f>IF(OR(K719="",AND(P719&lt;&gt;"Transferencia",P719&lt;&gt;"Pago tarjeta")),"",IFERROR(IF(INDEX(ctaVinc,MATCH(K719,ctaNombre,0))&amp;""&lt;&gt;"",INDEX(ctaVinc,MATCH(K719,ctaNombre,0))&amp;"",K719),K719))</f>
        <v/>
      </c>
      <c r="AD719" s="52">
        <f>IF(AB719="","",IFERROR(INDEX(ctaTipo,MATCH(AB719,ctaNombre,0))&amp;"",""))</f>
        <v/>
      </c>
      <c r="AE719" s="52">
        <f>IF(AC719="","",IFERROR(INDEX(ctaTipo,MATCH(AC719,ctaNombre,0))&amp;"",""))</f>
        <v/>
      </c>
      <c r="AF719" s="53">
        <f>IF(OR(P719="",AB719=""),"",IF(OR(P719="Gasto",P719="Transferencia",P719="Pago tarjeta"),-1,1)*IF(IFERROR(INDEX(ctaMoneda,MATCH(AB719,ctaNombre,0))&amp;"","DOP")="USD",T719,S719))</f>
        <v/>
      </c>
      <c r="AG719" s="53">
        <f>IF(AC719="","",IF(IFERROR(INDEX(ctaMoneda,MATCH(AC719,ctaNombre,0))&amp;"","DOP")="USD",T719,S719))</f>
        <v/>
      </c>
      <c r="AH719" s="53">
        <f>IF(P719="","",IF(AND(AD719&lt;&gt;"",COUNTIFS(tcTipo,AD719,tcLiq,"Sí")&gt;0),IF(OR(P719="Gasto",P719="Transferencia",P719="Pago tarjeta"),-1,1)*S719,0)+IF(AND(AE719&lt;&gt;"",COUNTIFS(tcTipo,AE719,tcLiq,"Sí")&gt;0),S719,0))</f>
        <v/>
      </c>
      <c r="AI719" s="52">
        <f>IF(OR(L719="",P719=""),"",IF(COUNTIFS(L$6:L719,L719,P$6:P719,"?*")=1,MAX(AI$5:AI718)+1,""))</f>
        <v/>
      </c>
    </row>
    <row r="720">
      <c r="B720" s="47" t="n"/>
      <c r="C720" s="48" t="n"/>
      <c r="D720" s="48" t="n"/>
      <c r="E720" s="48" t="n"/>
      <c r="F720" s="48" t="n"/>
      <c r="G720" s="49" t="n"/>
      <c r="H720" s="48" t="n"/>
      <c r="I720" s="50" t="n"/>
      <c r="J720" s="48" t="n"/>
      <c r="K720" s="48" t="n"/>
      <c r="L720" s="48" t="n"/>
      <c r="M720" s="48" t="n"/>
      <c r="N720" s="48" t="n"/>
      <c r="O720" s="51">
        <f>IF(AND(B720="",G720="",C720="",D720="",J720=""),"",IF(B720="","⚠ Falta fecha",IF(G720="","⚠ Falta monto",IF(Q720="","⚠ Falta cuenta",IF(ISNA(MATCH(Q720,ctaNombre,0)),"⚠ Cuenta no registrada",IF(AND(OR(P720="Gasto",P720="Reembolso"),D720=""),"⚠ Falta categoría",IF(AND(D720&lt;&gt;"",E720&lt;&gt;"",ISNA(MATCH(D720&amp;"|"&amp;E720,catClave,0))),"⚠ Subcategoría no corresponde",IF(AND(OR(P720="Transferencia",P720="Pago tarjeta"),K720=""),"⚠ Falta cuenta destino",IF(AND(K720&lt;&gt;"",P720&lt;&gt;"Transferencia",P720&lt;&gt;"Pago tarjeta"),"⚠ Destino solo aplica a transferencias",IF(AND(K720&lt;&gt;"",K720=Q720),"⚠ Origen igual a destino",IF(AND(K720&lt;&gt;"",ISNA(MATCH(K720,ctaNombre,0))),"⚠ Destino no registrado",IF(AND(P720="Pago tarjeta",AE720&lt;&gt;"Tarjeta de crédito"),"⚠ El destino debe ser tarjeta de crédito",IF(AND(P720="Gasto",E720="Depósitos y retiros"),"⚠ Usa tipo Transferencia",IF(AND(P720="Resultado trading",AD720&lt;&gt;"Cuenta de trading"),"⚠ Usa una cuenta de trading",IF(AND(G720&lt;=0,P720&lt;&gt;"Ajuste",P720&lt;&gt;"Resultado trading"),"⚠ El monto debe ser positivo","✓")))))))))))))))</f>
        <v/>
      </c>
      <c r="P720" s="52">
        <f>IF(OR(B720="",G720=""),"",IF(C720="","Gasto",C720))</f>
        <v/>
      </c>
      <c r="Q720" s="52">
        <f>IF(P720="","",IF(J720&lt;&gt;"",J720,CuentaPred&amp;""))</f>
        <v/>
      </c>
      <c r="R720" s="52">
        <f>IF(P720="","",IF(ISNUMBER(I720),I720,TasaUSD))</f>
        <v/>
      </c>
      <c r="S720" s="53">
        <f>IF(P720="","",IF(H720="USD",G720*R720,G720))</f>
        <v/>
      </c>
      <c r="T720" s="53">
        <f>IF(P720="","",IF(H720="USD",G720,IF(R720&gt;0,G720/R720,0)))</f>
        <v/>
      </c>
      <c r="U720" s="53">
        <f>IF(P720="","",IF(P720="Gasto",S720,IF(P720="Reembolso",-S720,0)))</f>
        <v/>
      </c>
      <c r="V720" s="53">
        <f>IF(P720="","",IF(P720="Ingreso",S720,0))</f>
        <v/>
      </c>
      <c r="W720" s="53">
        <f>IF(P720="","",IF(P720="Resultado trading",S720,0))</f>
        <v/>
      </c>
      <c r="X720" s="52">
        <f>IF(OR(P720="Gasto",P720="Reembolso"),IF(M720&lt;&gt;"",M720,IFERROR(INDEX(catClasif,MATCH(D720&amp;"|"&amp;E720,catClave,0))&amp;"","Variable")),"")</f>
        <v/>
      </c>
      <c r="Y720" s="52">
        <f>IF(P720="","",IFERROR(INDEX(catGrupo,MATCH(D720&amp;"|"&amp;E720,catClave,0))&amp;"",""))</f>
        <v/>
      </c>
      <c r="Z720" s="52">
        <f>IF(P720="","",WEEKDAY(B720,2))</f>
        <v/>
      </c>
      <c r="AA720" s="52">
        <f>IF(P720="","",IF(AND(P720="Gasto",X720="Variable",D720&lt;&gt;catTrading,S720&gt;0,S720&lt;=Umbral),1,0))</f>
        <v/>
      </c>
      <c r="AB720" s="52">
        <f>IF(OR(P720="",Q720=""),"",IFERROR(IF(INDEX(ctaVinc,MATCH(Q720,ctaNombre,0))&amp;""&lt;&gt;"",INDEX(ctaVinc,MATCH(Q720,ctaNombre,0))&amp;"",Q720),Q720))</f>
        <v/>
      </c>
      <c r="AC720" s="52">
        <f>IF(OR(K720="",AND(P720&lt;&gt;"Transferencia",P720&lt;&gt;"Pago tarjeta")),"",IFERROR(IF(INDEX(ctaVinc,MATCH(K720,ctaNombre,0))&amp;""&lt;&gt;"",INDEX(ctaVinc,MATCH(K720,ctaNombre,0))&amp;"",K720),K720))</f>
        <v/>
      </c>
      <c r="AD720" s="52">
        <f>IF(AB720="","",IFERROR(INDEX(ctaTipo,MATCH(AB720,ctaNombre,0))&amp;"",""))</f>
        <v/>
      </c>
      <c r="AE720" s="52">
        <f>IF(AC720="","",IFERROR(INDEX(ctaTipo,MATCH(AC720,ctaNombre,0))&amp;"",""))</f>
        <v/>
      </c>
      <c r="AF720" s="53">
        <f>IF(OR(P720="",AB720=""),"",IF(OR(P720="Gasto",P720="Transferencia",P720="Pago tarjeta"),-1,1)*IF(IFERROR(INDEX(ctaMoneda,MATCH(AB720,ctaNombre,0))&amp;"","DOP")="USD",T720,S720))</f>
        <v/>
      </c>
      <c r="AG720" s="53">
        <f>IF(AC720="","",IF(IFERROR(INDEX(ctaMoneda,MATCH(AC720,ctaNombre,0))&amp;"","DOP")="USD",T720,S720))</f>
        <v/>
      </c>
      <c r="AH720" s="53">
        <f>IF(P720="","",IF(AND(AD720&lt;&gt;"",COUNTIFS(tcTipo,AD720,tcLiq,"Sí")&gt;0),IF(OR(P720="Gasto",P720="Transferencia",P720="Pago tarjeta"),-1,1)*S720,0)+IF(AND(AE720&lt;&gt;"",COUNTIFS(tcTipo,AE720,tcLiq,"Sí")&gt;0),S720,0))</f>
        <v/>
      </c>
      <c r="AI720" s="52">
        <f>IF(OR(L720="",P720=""),"",IF(COUNTIFS(L$6:L720,L720,P$6:P720,"?*")=1,MAX(AI$5:AI719)+1,""))</f>
        <v/>
      </c>
    </row>
    <row r="721">
      <c r="B721" s="47" t="n"/>
      <c r="C721" s="48" t="n"/>
      <c r="D721" s="48" t="n"/>
      <c r="E721" s="48" t="n"/>
      <c r="F721" s="48" t="n"/>
      <c r="G721" s="49" t="n"/>
      <c r="H721" s="48" t="n"/>
      <c r="I721" s="50" t="n"/>
      <c r="J721" s="48" t="n"/>
      <c r="K721" s="48" t="n"/>
      <c r="L721" s="48" t="n"/>
      <c r="M721" s="48" t="n"/>
      <c r="N721" s="48" t="n"/>
      <c r="O721" s="51">
        <f>IF(AND(B721="",G721="",C721="",D721="",J721=""),"",IF(B721="","⚠ Falta fecha",IF(G721="","⚠ Falta monto",IF(Q721="","⚠ Falta cuenta",IF(ISNA(MATCH(Q721,ctaNombre,0)),"⚠ Cuenta no registrada",IF(AND(OR(P721="Gasto",P721="Reembolso"),D721=""),"⚠ Falta categoría",IF(AND(D721&lt;&gt;"",E721&lt;&gt;"",ISNA(MATCH(D721&amp;"|"&amp;E721,catClave,0))),"⚠ Subcategoría no corresponde",IF(AND(OR(P721="Transferencia",P721="Pago tarjeta"),K721=""),"⚠ Falta cuenta destino",IF(AND(K721&lt;&gt;"",P721&lt;&gt;"Transferencia",P721&lt;&gt;"Pago tarjeta"),"⚠ Destino solo aplica a transferencias",IF(AND(K721&lt;&gt;"",K721=Q721),"⚠ Origen igual a destino",IF(AND(K721&lt;&gt;"",ISNA(MATCH(K721,ctaNombre,0))),"⚠ Destino no registrado",IF(AND(P721="Pago tarjeta",AE721&lt;&gt;"Tarjeta de crédito"),"⚠ El destino debe ser tarjeta de crédito",IF(AND(P721="Gasto",E721="Depósitos y retiros"),"⚠ Usa tipo Transferencia",IF(AND(P721="Resultado trading",AD721&lt;&gt;"Cuenta de trading"),"⚠ Usa una cuenta de trading",IF(AND(G721&lt;=0,P721&lt;&gt;"Ajuste",P721&lt;&gt;"Resultado trading"),"⚠ El monto debe ser positivo","✓")))))))))))))))</f>
        <v/>
      </c>
      <c r="P721" s="52">
        <f>IF(OR(B721="",G721=""),"",IF(C721="","Gasto",C721))</f>
        <v/>
      </c>
      <c r="Q721" s="52">
        <f>IF(P721="","",IF(J721&lt;&gt;"",J721,CuentaPred&amp;""))</f>
        <v/>
      </c>
      <c r="R721" s="52">
        <f>IF(P721="","",IF(ISNUMBER(I721),I721,TasaUSD))</f>
        <v/>
      </c>
      <c r="S721" s="53">
        <f>IF(P721="","",IF(H721="USD",G721*R721,G721))</f>
        <v/>
      </c>
      <c r="T721" s="53">
        <f>IF(P721="","",IF(H721="USD",G721,IF(R721&gt;0,G721/R721,0)))</f>
        <v/>
      </c>
      <c r="U721" s="53">
        <f>IF(P721="","",IF(P721="Gasto",S721,IF(P721="Reembolso",-S721,0)))</f>
        <v/>
      </c>
      <c r="V721" s="53">
        <f>IF(P721="","",IF(P721="Ingreso",S721,0))</f>
        <v/>
      </c>
      <c r="W721" s="53">
        <f>IF(P721="","",IF(P721="Resultado trading",S721,0))</f>
        <v/>
      </c>
      <c r="X721" s="52">
        <f>IF(OR(P721="Gasto",P721="Reembolso"),IF(M721&lt;&gt;"",M721,IFERROR(INDEX(catClasif,MATCH(D721&amp;"|"&amp;E721,catClave,0))&amp;"","Variable")),"")</f>
        <v/>
      </c>
      <c r="Y721" s="52">
        <f>IF(P721="","",IFERROR(INDEX(catGrupo,MATCH(D721&amp;"|"&amp;E721,catClave,0))&amp;"",""))</f>
        <v/>
      </c>
      <c r="Z721" s="52">
        <f>IF(P721="","",WEEKDAY(B721,2))</f>
        <v/>
      </c>
      <c r="AA721" s="52">
        <f>IF(P721="","",IF(AND(P721="Gasto",X721="Variable",D721&lt;&gt;catTrading,S721&gt;0,S721&lt;=Umbral),1,0))</f>
        <v/>
      </c>
      <c r="AB721" s="52">
        <f>IF(OR(P721="",Q721=""),"",IFERROR(IF(INDEX(ctaVinc,MATCH(Q721,ctaNombre,0))&amp;""&lt;&gt;"",INDEX(ctaVinc,MATCH(Q721,ctaNombre,0))&amp;"",Q721),Q721))</f>
        <v/>
      </c>
      <c r="AC721" s="52">
        <f>IF(OR(K721="",AND(P721&lt;&gt;"Transferencia",P721&lt;&gt;"Pago tarjeta")),"",IFERROR(IF(INDEX(ctaVinc,MATCH(K721,ctaNombre,0))&amp;""&lt;&gt;"",INDEX(ctaVinc,MATCH(K721,ctaNombre,0))&amp;"",K721),K721))</f>
        <v/>
      </c>
      <c r="AD721" s="52">
        <f>IF(AB721="","",IFERROR(INDEX(ctaTipo,MATCH(AB721,ctaNombre,0))&amp;"",""))</f>
        <v/>
      </c>
      <c r="AE721" s="52">
        <f>IF(AC721="","",IFERROR(INDEX(ctaTipo,MATCH(AC721,ctaNombre,0))&amp;"",""))</f>
        <v/>
      </c>
      <c r="AF721" s="53">
        <f>IF(OR(P721="",AB721=""),"",IF(OR(P721="Gasto",P721="Transferencia",P721="Pago tarjeta"),-1,1)*IF(IFERROR(INDEX(ctaMoneda,MATCH(AB721,ctaNombre,0))&amp;"","DOP")="USD",T721,S721))</f>
        <v/>
      </c>
      <c r="AG721" s="53">
        <f>IF(AC721="","",IF(IFERROR(INDEX(ctaMoneda,MATCH(AC721,ctaNombre,0))&amp;"","DOP")="USD",T721,S721))</f>
        <v/>
      </c>
      <c r="AH721" s="53">
        <f>IF(P721="","",IF(AND(AD721&lt;&gt;"",COUNTIFS(tcTipo,AD721,tcLiq,"Sí")&gt;0),IF(OR(P721="Gasto",P721="Transferencia",P721="Pago tarjeta"),-1,1)*S721,0)+IF(AND(AE721&lt;&gt;"",COUNTIFS(tcTipo,AE721,tcLiq,"Sí")&gt;0),S721,0))</f>
        <v/>
      </c>
      <c r="AI721" s="52">
        <f>IF(OR(L721="",P721=""),"",IF(COUNTIFS(L$6:L721,L721,P$6:P721,"?*")=1,MAX(AI$5:AI720)+1,""))</f>
        <v/>
      </c>
    </row>
    <row r="722">
      <c r="B722" s="47" t="n"/>
      <c r="C722" s="48" t="n"/>
      <c r="D722" s="48" t="n"/>
      <c r="E722" s="48" t="n"/>
      <c r="F722" s="48" t="n"/>
      <c r="G722" s="49" t="n"/>
      <c r="H722" s="48" t="n"/>
      <c r="I722" s="50" t="n"/>
      <c r="J722" s="48" t="n"/>
      <c r="K722" s="48" t="n"/>
      <c r="L722" s="48" t="n"/>
      <c r="M722" s="48" t="n"/>
      <c r="N722" s="48" t="n"/>
      <c r="O722" s="51">
        <f>IF(AND(B722="",G722="",C722="",D722="",J722=""),"",IF(B722="","⚠ Falta fecha",IF(G722="","⚠ Falta monto",IF(Q722="","⚠ Falta cuenta",IF(ISNA(MATCH(Q722,ctaNombre,0)),"⚠ Cuenta no registrada",IF(AND(OR(P722="Gasto",P722="Reembolso"),D722=""),"⚠ Falta categoría",IF(AND(D722&lt;&gt;"",E722&lt;&gt;"",ISNA(MATCH(D722&amp;"|"&amp;E722,catClave,0))),"⚠ Subcategoría no corresponde",IF(AND(OR(P722="Transferencia",P722="Pago tarjeta"),K722=""),"⚠ Falta cuenta destino",IF(AND(K722&lt;&gt;"",P722&lt;&gt;"Transferencia",P722&lt;&gt;"Pago tarjeta"),"⚠ Destino solo aplica a transferencias",IF(AND(K722&lt;&gt;"",K722=Q722),"⚠ Origen igual a destino",IF(AND(K722&lt;&gt;"",ISNA(MATCH(K722,ctaNombre,0))),"⚠ Destino no registrado",IF(AND(P722="Pago tarjeta",AE722&lt;&gt;"Tarjeta de crédito"),"⚠ El destino debe ser tarjeta de crédito",IF(AND(P722="Gasto",E722="Depósitos y retiros"),"⚠ Usa tipo Transferencia",IF(AND(P722="Resultado trading",AD722&lt;&gt;"Cuenta de trading"),"⚠ Usa una cuenta de trading",IF(AND(G722&lt;=0,P722&lt;&gt;"Ajuste",P722&lt;&gt;"Resultado trading"),"⚠ El monto debe ser positivo","✓")))))))))))))))</f>
        <v/>
      </c>
      <c r="P722" s="52">
        <f>IF(OR(B722="",G722=""),"",IF(C722="","Gasto",C722))</f>
        <v/>
      </c>
      <c r="Q722" s="52">
        <f>IF(P722="","",IF(J722&lt;&gt;"",J722,CuentaPred&amp;""))</f>
        <v/>
      </c>
      <c r="R722" s="52">
        <f>IF(P722="","",IF(ISNUMBER(I722),I722,TasaUSD))</f>
        <v/>
      </c>
      <c r="S722" s="53">
        <f>IF(P722="","",IF(H722="USD",G722*R722,G722))</f>
        <v/>
      </c>
      <c r="T722" s="53">
        <f>IF(P722="","",IF(H722="USD",G722,IF(R722&gt;0,G722/R722,0)))</f>
        <v/>
      </c>
      <c r="U722" s="53">
        <f>IF(P722="","",IF(P722="Gasto",S722,IF(P722="Reembolso",-S722,0)))</f>
        <v/>
      </c>
      <c r="V722" s="53">
        <f>IF(P722="","",IF(P722="Ingreso",S722,0))</f>
        <v/>
      </c>
      <c r="W722" s="53">
        <f>IF(P722="","",IF(P722="Resultado trading",S722,0))</f>
        <v/>
      </c>
      <c r="X722" s="52">
        <f>IF(OR(P722="Gasto",P722="Reembolso"),IF(M722&lt;&gt;"",M722,IFERROR(INDEX(catClasif,MATCH(D722&amp;"|"&amp;E722,catClave,0))&amp;"","Variable")),"")</f>
        <v/>
      </c>
      <c r="Y722" s="52">
        <f>IF(P722="","",IFERROR(INDEX(catGrupo,MATCH(D722&amp;"|"&amp;E722,catClave,0))&amp;"",""))</f>
        <v/>
      </c>
      <c r="Z722" s="52">
        <f>IF(P722="","",WEEKDAY(B722,2))</f>
        <v/>
      </c>
      <c r="AA722" s="52">
        <f>IF(P722="","",IF(AND(P722="Gasto",X722="Variable",D722&lt;&gt;catTrading,S722&gt;0,S722&lt;=Umbral),1,0))</f>
        <v/>
      </c>
      <c r="AB722" s="52">
        <f>IF(OR(P722="",Q722=""),"",IFERROR(IF(INDEX(ctaVinc,MATCH(Q722,ctaNombre,0))&amp;""&lt;&gt;"",INDEX(ctaVinc,MATCH(Q722,ctaNombre,0))&amp;"",Q722),Q722))</f>
        <v/>
      </c>
      <c r="AC722" s="52">
        <f>IF(OR(K722="",AND(P722&lt;&gt;"Transferencia",P722&lt;&gt;"Pago tarjeta")),"",IFERROR(IF(INDEX(ctaVinc,MATCH(K722,ctaNombre,0))&amp;""&lt;&gt;"",INDEX(ctaVinc,MATCH(K722,ctaNombre,0))&amp;"",K722),K722))</f>
        <v/>
      </c>
      <c r="AD722" s="52">
        <f>IF(AB722="","",IFERROR(INDEX(ctaTipo,MATCH(AB722,ctaNombre,0))&amp;"",""))</f>
        <v/>
      </c>
      <c r="AE722" s="52">
        <f>IF(AC722="","",IFERROR(INDEX(ctaTipo,MATCH(AC722,ctaNombre,0))&amp;"",""))</f>
        <v/>
      </c>
      <c r="AF722" s="53">
        <f>IF(OR(P722="",AB722=""),"",IF(OR(P722="Gasto",P722="Transferencia",P722="Pago tarjeta"),-1,1)*IF(IFERROR(INDEX(ctaMoneda,MATCH(AB722,ctaNombre,0))&amp;"","DOP")="USD",T722,S722))</f>
        <v/>
      </c>
      <c r="AG722" s="53">
        <f>IF(AC722="","",IF(IFERROR(INDEX(ctaMoneda,MATCH(AC722,ctaNombre,0))&amp;"","DOP")="USD",T722,S722))</f>
        <v/>
      </c>
      <c r="AH722" s="53">
        <f>IF(P722="","",IF(AND(AD722&lt;&gt;"",COUNTIFS(tcTipo,AD722,tcLiq,"Sí")&gt;0),IF(OR(P722="Gasto",P722="Transferencia",P722="Pago tarjeta"),-1,1)*S722,0)+IF(AND(AE722&lt;&gt;"",COUNTIFS(tcTipo,AE722,tcLiq,"Sí")&gt;0),S722,0))</f>
        <v/>
      </c>
      <c r="AI722" s="52">
        <f>IF(OR(L722="",P722=""),"",IF(COUNTIFS(L$6:L722,L722,P$6:P722,"?*")=1,MAX(AI$5:AI721)+1,""))</f>
        <v/>
      </c>
    </row>
    <row r="723">
      <c r="B723" s="47" t="n"/>
      <c r="C723" s="48" t="n"/>
      <c r="D723" s="48" t="n"/>
      <c r="E723" s="48" t="n"/>
      <c r="F723" s="48" t="n"/>
      <c r="G723" s="49" t="n"/>
      <c r="H723" s="48" t="n"/>
      <c r="I723" s="50" t="n"/>
      <c r="J723" s="48" t="n"/>
      <c r="K723" s="48" t="n"/>
      <c r="L723" s="48" t="n"/>
      <c r="M723" s="48" t="n"/>
      <c r="N723" s="48" t="n"/>
      <c r="O723" s="51">
        <f>IF(AND(B723="",G723="",C723="",D723="",J723=""),"",IF(B723="","⚠ Falta fecha",IF(G723="","⚠ Falta monto",IF(Q723="","⚠ Falta cuenta",IF(ISNA(MATCH(Q723,ctaNombre,0)),"⚠ Cuenta no registrada",IF(AND(OR(P723="Gasto",P723="Reembolso"),D723=""),"⚠ Falta categoría",IF(AND(D723&lt;&gt;"",E723&lt;&gt;"",ISNA(MATCH(D723&amp;"|"&amp;E723,catClave,0))),"⚠ Subcategoría no corresponde",IF(AND(OR(P723="Transferencia",P723="Pago tarjeta"),K723=""),"⚠ Falta cuenta destino",IF(AND(K723&lt;&gt;"",P723&lt;&gt;"Transferencia",P723&lt;&gt;"Pago tarjeta"),"⚠ Destino solo aplica a transferencias",IF(AND(K723&lt;&gt;"",K723=Q723),"⚠ Origen igual a destino",IF(AND(K723&lt;&gt;"",ISNA(MATCH(K723,ctaNombre,0))),"⚠ Destino no registrado",IF(AND(P723="Pago tarjeta",AE723&lt;&gt;"Tarjeta de crédito"),"⚠ El destino debe ser tarjeta de crédito",IF(AND(P723="Gasto",E723="Depósitos y retiros"),"⚠ Usa tipo Transferencia",IF(AND(P723="Resultado trading",AD723&lt;&gt;"Cuenta de trading"),"⚠ Usa una cuenta de trading",IF(AND(G723&lt;=0,P723&lt;&gt;"Ajuste",P723&lt;&gt;"Resultado trading"),"⚠ El monto debe ser positivo","✓")))))))))))))))</f>
        <v/>
      </c>
      <c r="P723" s="52">
        <f>IF(OR(B723="",G723=""),"",IF(C723="","Gasto",C723))</f>
        <v/>
      </c>
      <c r="Q723" s="52">
        <f>IF(P723="","",IF(J723&lt;&gt;"",J723,CuentaPred&amp;""))</f>
        <v/>
      </c>
      <c r="R723" s="52">
        <f>IF(P723="","",IF(ISNUMBER(I723),I723,TasaUSD))</f>
        <v/>
      </c>
      <c r="S723" s="53">
        <f>IF(P723="","",IF(H723="USD",G723*R723,G723))</f>
        <v/>
      </c>
      <c r="T723" s="53">
        <f>IF(P723="","",IF(H723="USD",G723,IF(R723&gt;0,G723/R723,0)))</f>
        <v/>
      </c>
      <c r="U723" s="53">
        <f>IF(P723="","",IF(P723="Gasto",S723,IF(P723="Reembolso",-S723,0)))</f>
        <v/>
      </c>
      <c r="V723" s="53">
        <f>IF(P723="","",IF(P723="Ingreso",S723,0))</f>
        <v/>
      </c>
      <c r="W723" s="53">
        <f>IF(P723="","",IF(P723="Resultado trading",S723,0))</f>
        <v/>
      </c>
      <c r="X723" s="52">
        <f>IF(OR(P723="Gasto",P723="Reembolso"),IF(M723&lt;&gt;"",M723,IFERROR(INDEX(catClasif,MATCH(D723&amp;"|"&amp;E723,catClave,0))&amp;"","Variable")),"")</f>
        <v/>
      </c>
      <c r="Y723" s="52">
        <f>IF(P723="","",IFERROR(INDEX(catGrupo,MATCH(D723&amp;"|"&amp;E723,catClave,0))&amp;"",""))</f>
        <v/>
      </c>
      <c r="Z723" s="52">
        <f>IF(P723="","",WEEKDAY(B723,2))</f>
        <v/>
      </c>
      <c r="AA723" s="52">
        <f>IF(P723="","",IF(AND(P723="Gasto",X723="Variable",D723&lt;&gt;catTrading,S723&gt;0,S723&lt;=Umbral),1,0))</f>
        <v/>
      </c>
      <c r="AB723" s="52">
        <f>IF(OR(P723="",Q723=""),"",IFERROR(IF(INDEX(ctaVinc,MATCH(Q723,ctaNombre,0))&amp;""&lt;&gt;"",INDEX(ctaVinc,MATCH(Q723,ctaNombre,0))&amp;"",Q723),Q723))</f>
        <v/>
      </c>
      <c r="AC723" s="52">
        <f>IF(OR(K723="",AND(P723&lt;&gt;"Transferencia",P723&lt;&gt;"Pago tarjeta")),"",IFERROR(IF(INDEX(ctaVinc,MATCH(K723,ctaNombre,0))&amp;""&lt;&gt;"",INDEX(ctaVinc,MATCH(K723,ctaNombre,0))&amp;"",K723),K723))</f>
        <v/>
      </c>
      <c r="AD723" s="52">
        <f>IF(AB723="","",IFERROR(INDEX(ctaTipo,MATCH(AB723,ctaNombre,0))&amp;"",""))</f>
        <v/>
      </c>
      <c r="AE723" s="52">
        <f>IF(AC723="","",IFERROR(INDEX(ctaTipo,MATCH(AC723,ctaNombre,0))&amp;"",""))</f>
        <v/>
      </c>
      <c r="AF723" s="53">
        <f>IF(OR(P723="",AB723=""),"",IF(OR(P723="Gasto",P723="Transferencia",P723="Pago tarjeta"),-1,1)*IF(IFERROR(INDEX(ctaMoneda,MATCH(AB723,ctaNombre,0))&amp;"","DOP")="USD",T723,S723))</f>
        <v/>
      </c>
      <c r="AG723" s="53">
        <f>IF(AC723="","",IF(IFERROR(INDEX(ctaMoneda,MATCH(AC723,ctaNombre,0))&amp;"","DOP")="USD",T723,S723))</f>
        <v/>
      </c>
      <c r="AH723" s="53">
        <f>IF(P723="","",IF(AND(AD723&lt;&gt;"",COUNTIFS(tcTipo,AD723,tcLiq,"Sí")&gt;0),IF(OR(P723="Gasto",P723="Transferencia",P723="Pago tarjeta"),-1,1)*S723,0)+IF(AND(AE723&lt;&gt;"",COUNTIFS(tcTipo,AE723,tcLiq,"Sí")&gt;0),S723,0))</f>
        <v/>
      </c>
      <c r="AI723" s="52">
        <f>IF(OR(L723="",P723=""),"",IF(COUNTIFS(L$6:L723,L723,P$6:P723,"?*")=1,MAX(AI$5:AI722)+1,""))</f>
        <v/>
      </c>
    </row>
    <row r="724">
      <c r="B724" s="47" t="n"/>
      <c r="C724" s="48" t="n"/>
      <c r="D724" s="48" t="n"/>
      <c r="E724" s="48" t="n"/>
      <c r="F724" s="48" t="n"/>
      <c r="G724" s="49" t="n"/>
      <c r="H724" s="48" t="n"/>
      <c r="I724" s="50" t="n"/>
      <c r="J724" s="48" t="n"/>
      <c r="K724" s="48" t="n"/>
      <c r="L724" s="48" t="n"/>
      <c r="M724" s="48" t="n"/>
      <c r="N724" s="48" t="n"/>
      <c r="O724" s="51">
        <f>IF(AND(B724="",G724="",C724="",D724="",J724=""),"",IF(B724="","⚠ Falta fecha",IF(G724="","⚠ Falta monto",IF(Q724="","⚠ Falta cuenta",IF(ISNA(MATCH(Q724,ctaNombre,0)),"⚠ Cuenta no registrada",IF(AND(OR(P724="Gasto",P724="Reembolso"),D724=""),"⚠ Falta categoría",IF(AND(D724&lt;&gt;"",E724&lt;&gt;"",ISNA(MATCH(D724&amp;"|"&amp;E724,catClave,0))),"⚠ Subcategoría no corresponde",IF(AND(OR(P724="Transferencia",P724="Pago tarjeta"),K724=""),"⚠ Falta cuenta destino",IF(AND(K724&lt;&gt;"",P724&lt;&gt;"Transferencia",P724&lt;&gt;"Pago tarjeta"),"⚠ Destino solo aplica a transferencias",IF(AND(K724&lt;&gt;"",K724=Q724),"⚠ Origen igual a destino",IF(AND(K724&lt;&gt;"",ISNA(MATCH(K724,ctaNombre,0))),"⚠ Destino no registrado",IF(AND(P724="Pago tarjeta",AE724&lt;&gt;"Tarjeta de crédito"),"⚠ El destino debe ser tarjeta de crédito",IF(AND(P724="Gasto",E724="Depósitos y retiros"),"⚠ Usa tipo Transferencia",IF(AND(P724="Resultado trading",AD724&lt;&gt;"Cuenta de trading"),"⚠ Usa una cuenta de trading",IF(AND(G724&lt;=0,P724&lt;&gt;"Ajuste",P724&lt;&gt;"Resultado trading"),"⚠ El monto debe ser positivo","✓")))))))))))))))</f>
        <v/>
      </c>
      <c r="P724" s="52">
        <f>IF(OR(B724="",G724=""),"",IF(C724="","Gasto",C724))</f>
        <v/>
      </c>
      <c r="Q724" s="52">
        <f>IF(P724="","",IF(J724&lt;&gt;"",J724,CuentaPred&amp;""))</f>
        <v/>
      </c>
      <c r="R724" s="52">
        <f>IF(P724="","",IF(ISNUMBER(I724),I724,TasaUSD))</f>
        <v/>
      </c>
      <c r="S724" s="53">
        <f>IF(P724="","",IF(H724="USD",G724*R724,G724))</f>
        <v/>
      </c>
      <c r="T724" s="53">
        <f>IF(P724="","",IF(H724="USD",G724,IF(R724&gt;0,G724/R724,0)))</f>
        <v/>
      </c>
      <c r="U724" s="53">
        <f>IF(P724="","",IF(P724="Gasto",S724,IF(P724="Reembolso",-S724,0)))</f>
        <v/>
      </c>
      <c r="V724" s="53">
        <f>IF(P724="","",IF(P724="Ingreso",S724,0))</f>
        <v/>
      </c>
      <c r="W724" s="53">
        <f>IF(P724="","",IF(P724="Resultado trading",S724,0))</f>
        <v/>
      </c>
      <c r="X724" s="52">
        <f>IF(OR(P724="Gasto",P724="Reembolso"),IF(M724&lt;&gt;"",M724,IFERROR(INDEX(catClasif,MATCH(D724&amp;"|"&amp;E724,catClave,0))&amp;"","Variable")),"")</f>
        <v/>
      </c>
      <c r="Y724" s="52">
        <f>IF(P724="","",IFERROR(INDEX(catGrupo,MATCH(D724&amp;"|"&amp;E724,catClave,0))&amp;"",""))</f>
        <v/>
      </c>
      <c r="Z724" s="52">
        <f>IF(P724="","",WEEKDAY(B724,2))</f>
        <v/>
      </c>
      <c r="AA724" s="52">
        <f>IF(P724="","",IF(AND(P724="Gasto",X724="Variable",D724&lt;&gt;catTrading,S724&gt;0,S724&lt;=Umbral),1,0))</f>
        <v/>
      </c>
      <c r="AB724" s="52">
        <f>IF(OR(P724="",Q724=""),"",IFERROR(IF(INDEX(ctaVinc,MATCH(Q724,ctaNombre,0))&amp;""&lt;&gt;"",INDEX(ctaVinc,MATCH(Q724,ctaNombre,0))&amp;"",Q724),Q724))</f>
        <v/>
      </c>
      <c r="AC724" s="52">
        <f>IF(OR(K724="",AND(P724&lt;&gt;"Transferencia",P724&lt;&gt;"Pago tarjeta")),"",IFERROR(IF(INDEX(ctaVinc,MATCH(K724,ctaNombre,0))&amp;""&lt;&gt;"",INDEX(ctaVinc,MATCH(K724,ctaNombre,0))&amp;"",K724),K724))</f>
        <v/>
      </c>
      <c r="AD724" s="52">
        <f>IF(AB724="","",IFERROR(INDEX(ctaTipo,MATCH(AB724,ctaNombre,0))&amp;"",""))</f>
        <v/>
      </c>
      <c r="AE724" s="52">
        <f>IF(AC724="","",IFERROR(INDEX(ctaTipo,MATCH(AC724,ctaNombre,0))&amp;"",""))</f>
        <v/>
      </c>
      <c r="AF724" s="53">
        <f>IF(OR(P724="",AB724=""),"",IF(OR(P724="Gasto",P724="Transferencia",P724="Pago tarjeta"),-1,1)*IF(IFERROR(INDEX(ctaMoneda,MATCH(AB724,ctaNombre,0))&amp;"","DOP")="USD",T724,S724))</f>
        <v/>
      </c>
      <c r="AG724" s="53">
        <f>IF(AC724="","",IF(IFERROR(INDEX(ctaMoneda,MATCH(AC724,ctaNombre,0))&amp;"","DOP")="USD",T724,S724))</f>
        <v/>
      </c>
      <c r="AH724" s="53">
        <f>IF(P724="","",IF(AND(AD724&lt;&gt;"",COUNTIFS(tcTipo,AD724,tcLiq,"Sí")&gt;0),IF(OR(P724="Gasto",P724="Transferencia",P724="Pago tarjeta"),-1,1)*S724,0)+IF(AND(AE724&lt;&gt;"",COUNTIFS(tcTipo,AE724,tcLiq,"Sí")&gt;0),S724,0))</f>
        <v/>
      </c>
      <c r="AI724" s="52">
        <f>IF(OR(L724="",P724=""),"",IF(COUNTIFS(L$6:L724,L724,P$6:P724,"?*")=1,MAX(AI$5:AI723)+1,""))</f>
        <v/>
      </c>
    </row>
    <row r="725">
      <c r="B725" s="47" t="n"/>
      <c r="C725" s="48" t="n"/>
      <c r="D725" s="48" t="n"/>
      <c r="E725" s="48" t="n"/>
      <c r="F725" s="48" t="n"/>
      <c r="G725" s="49" t="n"/>
      <c r="H725" s="48" t="n"/>
      <c r="I725" s="50" t="n"/>
      <c r="J725" s="48" t="n"/>
      <c r="K725" s="48" t="n"/>
      <c r="L725" s="48" t="n"/>
      <c r="M725" s="48" t="n"/>
      <c r="N725" s="48" t="n"/>
      <c r="O725" s="51">
        <f>IF(AND(B725="",G725="",C725="",D725="",J725=""),"",IF(B725="","⚠ Falta fecha",IF(G725="","⚠ Falta monto",IF(Q725="","⚠ Falta cuenta",IF(ISNA(MATCH(Q725,ctaNombre,0)),"⚠ Cuenta no registrada",IF(AND(OR(P725="Gasto",P725="Reembolso"),D725=""),"⚠ Falta categoría",IF(AND(D725&lt;&gt;"",E725&lt;&gt;"",ISNA(MATCH(D725&amp;"|"&amp;E725,catClave,0))),"⚠ Subcategoría no corresponde",IF(AND(OR(P725="Transferencia",P725="Pago tarjeta"),K725=""),"⚠ Falta cuenta destino",IF(AND(K725&lt;&gt;"",P725&lt;&gt;"Transferencia",P725&lt;&gt;"Pago tarjeta"),"⚠ Destino solo aplica a transferencias",IF(AND(K725&lt;&gt;"",K725=Q725),"⚠ Origen igual a destino",IF(AND(K725&lt;&gt;"",ISNA(MATCH(K725,ctaNombre,0))),"⚠ Destino no registrado",IF(AND(P725="Pago tarjeta",AE725&lt;&gt;"Tarjeta de crédito"),"⚠ El destino debe ser tarjeta de crédito",IF(AND(P725="Gasto",E725="Depósitos y retiros"),"⚠ Usa tipo Transferencia",IF(AND(P725="Resultado trading",AD725&lt;&gt;"Cuenta de trading"),"⚠ Usa una cuenta de trading",IF(AND(G725&lt;=0,P725&lt;&gt;"Ajuste",P725&lt;&gt;"Resultado trading"),"⚠ El monto debe ser positivo","✓")))))))))))))))</f>
        <v/>
      </c>
      <c r="P725" s="52">
        <f>IF(OR(B725="",G725=""),"",IF(C725="","Gasto",C725))</f>
        <v/>
      </c>
      <c r="Q725" s="52">
        <f>IF(P725="","",IF(J725&lt;&gt;"",J725,CuentaPred&amp;""))</f>
        <v/>
      </c>
      <c r="R725" s="52">
        <f>IF(P725="","",IF(ISNUMBER(I725),I725,TasaUSD))</f>
        <v/>
      </c>
      <c r="S725" s="53">
        <f>IF(P725="","",IF(H725="USD",G725*R725,G725))</f>
        <v/>
      </c>
      <c r="T725" s="53">
        <f>IF(P725="","",IF(H725="USD",G725,IF(R725&gt;0,G725/R725,0)))</f>
        <v/>
      </c>
      <c r="U725" s="53">
        <f>IF(P725="","",IF(P725="Gasto",S725,IF(P725="Reembolso",-S725,0)))</f>
        <v/>
      </c>
      <c r="V725" s="53">
        <f>IF(P725="","",IF(P725="Ingreso",S725,0))</f>
        <v/>
      </c>
      <c r="W725" s="53">
        <f>IF(P725="","",IF(P725="Resultado trading",S725,0))</f>
        <v/>
      </c>
      <c r="X725" s="52">
        <f>IF(OR(P725="Gasto",P725="Reembolso"),IF(M725&lt;&gt;"",M725,IFERROR(INDEX(catClasif,MATCH(D725&amp;"|"&amp;E725,catClave,0))&amp;"","Variable")),"")</f>
        <v/>
      </c>
      <c r="Y725" s="52">
        <f>IF(P725="","",IFERROR(INDEX(catGrupo,MATCH(D725&amp;"|"&amp;E725,catClave,0))&amp;"",""))</f>
        <v/>
      </c>
      <c r="Z725" s="52">
        <f>IF(P725="","",WEEKDAY(B725,2))</f>
        <v/>
      </c>
      <c r="AA725" s="52">
        <f>IF(P725="","",IF(AND(P725="Gasto",X725="Variable",D725&lt;&gt;catTrading,S725&gt;0,S725&lt;=Umbral),1,0))</f>
        <v/>
      </c>
      <c r="AB725" s="52">
        <f>IF(OR(P725="",Q725=""),"",IFERROR(IF(INDEX(ctaVinc,MATCH(Q725,ctaNombre,0))&amp;""&lt;&gt;"",INDEX(ctaVinc,MATCH(Q725,ctaNombre,0))&amp;"",Q725),Q725))</f>
        <v/>
      </c>
      <c r="AC725" s="52">
        <f>IF(OR(K725="",AND(P725&lt;&gt;"Transferencia",P725&lt;&gt;"Pago tarjeta")),"",IFERROR(IF(INDEX(ctaVinc,MATCH(K725,ctaNombre,0))&amp;""&lt;&gt;"",INDEX(ctaVinc,MATCH(K725,ctaNombre,0))&amp;"",K725),K725))</f>
        <v/>
      </c>
      <c r="AD725" s="52">
        <f>IF(AB725="","",IFERROR(INDEX(ctaTipo,MATCH(AB725,ctaNombre,0))&amp;"",""))</f>
        <v/>
      </c>
      <c r="AE725" s="52">
        <f>IF(AC725="","",IFERROR(INDEX(ctaTipo,MATCH(AC725,ctaNombre,0))&amp;"",""))</f>
        <v/>
      </c>
      <c r="AF725" s="53">
        <f>IF(OR(P725="",AB725=""),"",IF(OR(P725="Gasto",P725="Transferencia",P725="Pago tarjeta"),-1,1)*IF(IFERROR(INDEX(ctaMoneda,MATCH(AB725,ctaNombre,0))&amp;"","DOP")="USD",T725,S725))</f>
        <v/>
      </c>
      <c r="AG725" s="53">
        <f>IF(AC725="","",IF(IFERROR(INDEX(ctaMoneda,MATCH(AC725,ctaNombre,0))&amp;"","DOP")="USD",T725,S725))</f>
        <v/>
      </c>
      <c r="AH725" s="53">
        <f>IF(P725="","",IF(AND(AD725&lt;&gt;"",COUNTIFS(tcTipo,AD725,tcLiq,"Sí")&gt;0),IF(OR(P725="Gasto",P725="Transferencia",P725="Pago tarjeta"),-1,1)*S725,0)+IF(AND(AE725&lt;&gt;"",COUNTIFS(tcTipo,AE725,tcLiq,"Sí")&gt;0),S725,0))</f>
        <v/>
      </c>
      <c r="AI725" s="52">
        <f>IF(OR(L725="",P725=""),"",IF(COUNTIFS(L$6:L725,L725,P$6:P725,"?*")=1,MAX(AI$5:AI724)+1,""))</f>
        <v/>
      </c>
    </row>
    <row r="726">
      <c r="B726" s="47" t="n"/>
      <c r="C726" s="48" t="n"/>
      <c r="D726" s="48" t="n"/>
      <c r="E726" s="48" t="n"/>
      <c r="F726" s="48" t="n"/>
      <c r="G726" s="49" t="n"/>
      <c r="H726" s="48" t="n"/>
      <c r="I726" s="50" t="n"/>
      <c r="J726" s="48" t="n"/>
      <c r="K726" s="48" t="n"/>
      <c r="L726" s="48" t="n"/>
      <c r="M726" s="48" t="n"/>
      <c r="N726" s="48" t="n"/>
      <c r="O726" s="51">
        <f>IF(AND(B726="",G726="",C726="",D726="",J726=""),"",IF(B726="","⚠ Falta fecha",IF(G726="","⚠ Falta monto",IF(Q726="","⚠ Falta cuenta",IF(ISNA(MATCH(Q726,ctaNombre,0)),"⚠ Cuenta no registrada",IF(AND(OR(P726="Gasto",P726="Reembolso"),D726=""),"⚠ Falta categoría",IF(AND(D726&lt;&gt;"",E726&lt;&gt;"",ISNA(MATCH(D726&amp;"|"&amp;E726,catClave,0))),"⚠ Subcategoría no corresponde",IF(AND(OR(P726="Transferencia",P726="Pago tarjeta"),K726=""),"⚠ Falta cuenta destino",IF(AND(K726&lt;&gt;"",P726&lt;&gt;"Transferencia",P726&lt;&gt;"Pago tarjeta"),"⚠ Destino solo aplica a transferencias",IF(AND(K726&lt;&gt;"",K726=Q726),"⚠ Origen igual a destino",IF(AND(K726&lt;&gt;"",ISNA(MATCH(K726,ctaNombre,0))),"⚠ Destino no registrado",IF(AND(P726="Pago tarjeta",AE726&lt;&gt;"Tarjeta de crédito"),"⚠ El destino debe ser tarjeta de crédito",IF(AND(P726="Gasto",E726="Depósitos y retiros"),"⚠ Usa tipo Transferencia",IF(AND(P726="Resultado trading",AD726&lt;&gt;"Cuenta de trading"),"⚠ Usa una cuenta de trading",IF(AND(G726&lt;=0,P726&lt;&gt;"Ajuste",P726&lt;&gt;"Resultado trading"),"⚠ El monto debe ser positivo","✓")))))))))))))))</f>
        <v/>
      </c>
      <c r="P726" s="52">
        <f>IF(OR(B726="",G726=""),"",IF(C726="","Gasto",C726))</f>
        <v/>
      </c>
      <c r="Q726" s="52">
        <f>IF(P726="","",IF(J726&lt;&gt;"",J726,CuentaPred&amp;""))</f>
        <v/>
      </c>
      <c r="R726" s="52">
        <f>IF(P726="","",IF(ISNUMBER(I726),I726,TasaUSD))</f>
        <v/>
      </c>
      <c r="S726" s="53">
        <f>IF(P726="","",IF(H726="USD",G726*R726,G726))</f>
        <v/>
      </c>
      <c r="T726" s="53">
        <f>IF(P726="","",IF(H726="USD",G726,IF(R726&gt;0,G726/R726,0)))</f>
        <v/>
      </c>
      <c r="U726" s="53">
        <f>IF(P726="","",IF(P726="Gasto",S726,IF(P726="Reembolso",-S726,0)))</f>
        <v/>
      </c>
      <c r="V726" s="53">
        <f>IF(P726="","",IF(P726="Ingreso",S726,0))</f>
        <v/>
      </c>
      <c r="W726" s="53">
        <f>IF(P726="","",IF(P726="Resultado trading",S726,0))</f>
        <v/>
      </c>
      <c r="X726" s="52">
        <f>IF(OR(P726="Gasto",P726="Reembolso"),IF(M726&lt;&gt;"",M726,IFERROR(INDEX(catClasif,MATCH(D726&amp;"|"&amp;E726,catClave,0))&amp;"","Variable")),"")</f>
        <v/>
      </c>
      <c r="Y726" s="52">
        <f>IF(P726="","",IFERROR(INDEX(catGrupo,MATCH(D726&amp;"|"&amp;E726,catClave,0))&amp;"",""))</f>
        <v/>
      </c>
      <c r="Z726" s="52">
        <f>IF(P726="","",WEEKDAY(B726,2))</f>
        <v/>
      </c>
      <c r="AA726" s="52">
        <f>IF(P726="","",IF(AND(P726="Gasto",X726="Variable",D726&lt;&gt;catTrading,S726&gt;0,S726&lt;=Umbral),1,0))</f>
        <v/>
      </c>
      <c r="AB726" s="52">
        <f>IF(OR(P726="",Q726=""),"",IFERROR(IF(INDEX(ctaVinc,MATCH(Q726,ctaNombre,0))&amp;""&lt;&gt;"",INDEX(ctaVinc,MATCH(Q726,ctaNombre,0))&amp;"",Q726),Q726))</f>
        <v/>
      </c>
      <c r="AC726" s="52">
        <f>IF(OR(K726="",AND(P726&lt;&gt;"Transferencia",P726&lt;&gt;"Pago tarjeta")),"",IFERROR(IF(INDEX(ctaVinc,MATCH(K726,ctaNombre,0))&amp;""&lt;&gt;"",INDEX(ctaVinc,MATCH(K726,ctaNombre,0))&amp;"",K726),K726))</f>
        <v/>
      </c>
      <c r="AD726" s="52">
        <f>IF(AB726="","",IFERROR(INDEX(ctaTipo,MATCH(AB726,ctaNombre,0))&amp;"",""))</f>
        <v/>
      </c>
      <c r="AE726" s="52">
        <f>IF(AC726="","",IFERROR(INDEX(ctaTipo,MATCH(AC726,ctaNombre,0))&amp;"",""))</f>
        <v/>
      </c>
      <c r="AF726" s="53">
        <f>IF(OR(P726="",AB726=""),"",IF(OR(P726="Gasto",P726="Transferencia",P726="Pago tarjeta"),-1,1)*IF(IFERROR(INDEX(ctaMoneda,MATCH(AB726,ctaNombre,0))&amp;"","DOP")="USD",T726,S726))</f>
        <v/>
      </c>
      <c r="AG726" s="53">
        <f>IF(AC726="","",IF(IFERROR(INDEX(ctaMoneda,MATCH(AC726,ctaNombre,0))&amp;"","DOP")="USD",T726,S726))</f>
        <v/>
      </c>
      <c r="AH726" s="53">
        <f>IF(P726="","",IF(AND(AD726&lt;&gt;"",COUNTIFS(tcTipo,AD726,tcLiq,"Sí")&gt;0),IF(OR(P726="Gasto",P726="Transferencia",P726="Pago tarjeta"),-1,1)*S726,0)+IF(AND(AE726&lt;&gt;"",COUNTIFS(tcTipo,AE726,tcLiq,"Sí")&gt;0),S726,0))</f>
        <v/>
      </c>
      <c r="AI726" s="52">
        <f>IF(OR(L726="",P726=""),"",IF(COUNTIFS(L$6:L726,L726,P$6:P726,"?*")=1,MAX(AI$5:AI725)+1,""))</f>
        <v/>
      </c>
    </row>
    <row r="727">
      <c r="B727" s="47" t="n"/>
      <c r="C727" s="48" t="n"/>
      <c r="D727" s="48" t="n"/>
      <c r="E727" s="48" t="n"/>
      <c r="F727" s="48" t="n"/>
      <c r="G727" s="49" t="n"/>
      <c r="H727" s="48" t="n"/>
      <c r="I727" s="50" t="n"/>
      <c r="J727" s="48" t="n"/>
      <c r="K727" s="48" t="n"/>
      <c r="L727" s="48" t="n"/>
      <c r="M727" s="48" t="n"/>
      <c r="N727" s="48" t="n"/>
      <c r="O727" s="51">
        <f>IF(AND(B727="",G727="",C727="",D727="",J727=""),"",IF(B727="","⚠ Falta fecha",IF(G727="","⚠ Falta monto",IF(Q727="","⚠ Falta cuenta",IF(ISNA(MATCH(Q727,ctaNombre,0)),"⚠ Cuenta no registrada",IF(AND(OR(P727="Gasto",P727="Reembolso"),D727=""),"⚠ Falta categoría",IF(AND(D727&lt;&gt;"",E727&lt;&gt;"",ISNA(MATCH(D727&amp;"|"&amp;E727,catClave,0))),"⚠ Subcategoría no corresponde",IF(AND(OR(P727="Transferencia",P727="Pago tarjeta"),K727=""),"⚠ Falta cuenta destino",IF(AND(K727&lt;&gt;"",P727&lt;&gt;"Transferencia",P727&lt;&gt;"Pago tarjeta"),"⚠ Destino solo aplica a transferencias",IF(AND(K727&lt;&gt;"",K727=Q727),"⚠ Origen igual a destino",IF(AND(K727&lt;&gt;"",ISNA(MATCH(K727,ctaNombre,0))),"⚠ Destino no registrado",IF(AND(P727="Pago tarjeta",AE727&lt;&gt;"Tarjeta de crédito"),"⚠ El destino debe ser tarjeta de crédito",IF(AND(P727="Gasto",E727="Depósitos y retiros"),"⚠ Usa tipo Transferencia",IF(AND(P727="Resultado trading",AD727&lt;&gt;"Cuenta de trading"),"⚠ Usa una cuenta de trading",IF(AND(G727&lt;=0,P727&lt;&gt;"Ajuste",P727&lt;&gt;"Resultado trading"),"⚠ El monto debe ser positivo","✓")))))))))))))))</f>
        <v/>
      </c>
      <c r="P727" s="52">
        <f>IF(OR(B727="",G727=""),"",IF(C727="","Gasto",C727))</f>
        <v/>
      </c>
      <c r="Q727" s="52">
        <f>IF(P727="","",IF(J727&lt;&gt;"",J727,CuentaPred&amp;""))</f>
        <v/>
      </c>
      <c r="R727" s="52">
        <f>IF(P727="","",IF(ISNUMBER(I727),I727,TasaUSD))</f>
        <v/>
      </c>
      <c r="S727" s="53">
        <f>IF(P727="","",IF(H727="USD",G727*R727,G727))</f>
        <v/>
      </c>
      <c r="T727" s="53">
        <f>IF(P727="","",IF(H727="USD",G727,IF(R727&gt;0,G727/R727,0)))</f>
        <v/>
      </c>
      <c r="U727" s="53">
        <f>IF(P727="","",IF(P727="Gasto",S727,IF(P727="Reembolso",-S727,0)))</f>
        <v/>
      </c>
      <c r="V727" s="53">
        <f>IF(P727="","",IF(P727="Ingreso",S727,0))</f>
        <v/>
      </c>
      <c r="W727" s="53">
        <f>IF(P727="","",IF(P727="Resultado trading",S727,0))</f>
        <v/>
      </c>
      <c r="X727" s="52">
        <f>IF(OR(P727="Gasto",P727="Reembolso"),IF(M727&lt;&gt;"",M727,IFERROR(INDEX(catClasif,MATCH(D727&amp;"|"&amp;E727,catClave,0))&amp;"","Variable")),"")</f>
        <v/>
      </c>
      <c r="Y727" s="52">
        <f>IF(P727="","",IFERROR(INDEX(catGrupo,MATCH(D727&amp;"|"&amp;E727,catClave,0))&amp;"",""))</f>
        <v/>
      </c>
      <c r="Z727" s="52">
        <f>IF(P727="","",WEEKDAY(B727,2))</f>
        <v/>
      </c>
      <c r="AA727" s="52">
        <f>IF(P727="","",IF(AND(P727="Gasto",X727="Variable",D727&lt;&gt;catTrading,S727&gt;0,S727&lt;=Umbral),1,0))</f>
        <v/>
      </c>
      <c r="AB727" s="52">
        <f>IF(OR(P727="",Q727=""),"",IFERROR(IF(INDEX(ctaVinc,MATCH(Q727,ctaNombre,0))&amp;""&lt;&gt;"",INDEX(ctaVinc,MATCH(Q727,ctaNombre,0))&amp;"",Q727),Q727))</f>
        <v/>
      </c>
      <c r="AC727" s="52">
        <f>IF(OR(K727="",AND(P727&lt;&gt;"Transferencia",P727&lt;&gt;"Pago tarjeta")),"",IFERROR(IF(INDEX(ctaVinc,MATCH(K727,ctaNombre,0))&amp;""&lt;&gt;"",INDEX(ctaVinc,MATCH(K727,ctaNombre,0))&amp;"",K727),K727))</f>
        <v/>
      </c>
      <c r="AD727" s="52">
        <f>IF(AB727="","",IFERROR(INDEX(ctaTipo,MATCH(AB727,ctaNombre,0))&amp;"",""))</f>
        <v/>
      </c>
      <c r="AE727" s="52">
        <f>IF(AC727="","",IFERROR(INDEX(ctaTipo,MATCH(AC727,ctaNombre,0))&amp;"",""))</f>
        <v/>
      </c>
      <c r="AF727" s="53">
        <f>IF(OR(P727="",AB727=""),"",IF(OR(P727="Gasto",P727="Transferencia",P727="Pago tarjeta"),-1,1)*IF(IFERROR(INDEX(ctaMoneda,MATCH(AB727,ctaNombre,0))&amp;"","DOP")="USD",T727,S727))</f>
        <v/>
      </c>
      <c r="AG727" s="53">
        <f>IF(AC727="","",IF(IFERROR(INDEX(ctaMoneda,MATCH(AC727,ctaNombre,0))&amp;"","DOP")="USD",T727,S727))</f>
        <v/>
      </c>
      <c r="AH727" s="53">
        <f>IF(P727="","",IF(AND(AD727&lt;&gt;"",COUNTIFS(tcTipo,AD727,tcLiq,"Sí")&gt;0),IF(OR(P727="Gasto",P727="Transferencia",P727="Pago tarjeta"),-1,1)*S727,0)+IF(AND(AE727&lt;&gt;"",COUNTIFS(tcTipo,AE727,tcLiq,"Sí")&gt;0),S727,0))</f>
        <v/>
      </c>
      <c r="AI727" s="52">
        <f>IF(OR(L727="",P727=""),"",IF(COUNTIFS(L$6:L727,L727,P$6:P727,"?*")=1,MAX(AI$5:AI726)+1,""))</f>
        <v/>
      </c>
    </row>
    <row r="728">
      <c r="B728" s="47" t="n"/>
      <c r="C728" s="48" t="n"/>
      <c r="D728" s="48" t="n"/>
      <c r="E728" s="48" t="n"/>
      <c r="F728" s="48" t="n"/>
      <c r="G728" s="49" t="n"/>
      <c r="H728" s="48" t="n"/>
      <c r="I728" s="50" t="n"/>
      <c r="J728" s="48" t="n"/>
      <c r="K728" s="48" t="n"/>
      <c r="L728" s="48" t="n"/>
      <c r="M728" s="48" t="n"/>
      <c r="N728" s="48" t="n"/>
      <c r="O728" s="51">
        <f>IF(AND(B728="",G728="",C728="",D728="",J728=""),"",IF(B728="","⚠ Falta fecha",IF(G728="","⚠ Falta monto",IF(Q728="","⚠ Falta cuenta",IF(ISNA(MATCH(Q728,ctaNombre,0)),"⚠ Cuenta no registrada",IF(AND(OR(P728="Gasto",P728="Reembolso"),D728=""),"⚠ Falta categoría",IF(AND(D728&lt;&gt;"",E728&lt;&gt;"",ISNA(MATCH(D728&amp;"|"&amp;E728,catClave,0))),"⚠ Subcategoría no corresponde",IF(AND(OR(P728="Transferencia",P728="Pago tarjeta"),K728=""),"⚠ Falta cuenta destino",IF(AND(K728&lt;&gt;"",P728&lt;&gt;"Transferencia",P728&lt;&gt;"Pago tarjeta"),"⚠ Destino solo aplica a transferencias",IF(AND(K728&lt;&gt;"",K728=Q728),"⚠ Origen igual a destino",IF(AND(K728&lt;&gt;"",ISNA(MATCH(K728,ctaNombre,0))),"⚠ Destino no registrado",IF(AND(P728="Pago tarjeta",AE728&lt;&gt;"Tarjeta de crédito"),"⚠ El destino debe ser tarjeta de crédito",IF(AND(P728="Gasto",E728="Depósitos y retiros"),"⚠ Usa tipo Transferencia",IF(AND(P728="Resultado trading",AD728&lt;&gt;"Cuenta de trading"),"⚠ Usa una cuenta de trading",IF(AND(G728&lt;=0,P728&lt;&gt;"Ajuste",P728&lt;&gt;"Resultado trading"),"⚠ El monto debe ser positivo","✓")))))))))))))))</f>
        <v/>
      </c>
      <c r="P728" s="52">
        <f>IF(OR(B728="",G728=""),"",IF(C728="","Gasto",C728))</f>
        <v/>
      </c>
      <c r="Q728" s="52">
        <f>IF(P728="","",IF(J728&lt;&gt;"",J728,CuentaPred&amp;""))</f>
        <v/>
      </c>
      <c r="R728" s="52">
        <f>IF(P728="","",IF(ISNUMBER(I728),I728,TasaUSD))</f>
        <v/>
      </c>
      <c r="S728" s="53">
        <f>IF(P728="","",IF(H728="USD",G728*R728,G728))</f>
        <v/>
      </c>
      <c r="T728" s="53">
        <f>IF(P728="","",IF(H728="USD",G728,IF(R728&gt;0,G728/R728,0)))</f>
        <v/>
      </c>
      <c r="U728" s="53">
        <f>IF(P728="","",IF(P728="Gasto",S728,IF(P728="Reembolso",-S728,0)))</f>
        <v/>
      </c>
      <c r="V728" s="53">
        <f>IF(P728="","",IF(P728="Ingreso",S728,0))</f>
        <v/>
      </c>
      <c r="W728" s="53">
        <f>IF(P728="","",IF(P728="Resultado trading",S728,0))</f>
        <v/>
      </c>
      <c r="X728" s="52">
        <f>IF(OR(P728="Gasto",P728="Reembolso"),IF(M728&lt;&gt;"",M728,IFERROR(INDEX(catClasif,MATCH(D728&amp;"|"&amp;E728,catClave,0))&amp;"","Variable")),"")</f>
        <v/>
      </c>
      <c r="Y728" s="52">
        <f>IF(P728="","",IFERROR(INDEX(catGrupo,MATCH(D728&amp;"|"&amp;E728,catClave,0))&amp;"",""))</f>
        <v/>
      </c>
      <c r="Z728" s="52">
        <f>IF(P728="","",WEEKDAY(B728,2))</f>
        <v/>
      </c>
      <c r="AA728" s="52">
        <f>IF(P728="","",IF(AND(P728="Gasto",X728="Variable",D728&lt;&gt;catTrading,S728&gt;0,S728&lt;=Umbral),1,0))</f>
        <v/>
      </c>
      <c r="AB728" s="52">
        <f>IF(OR(P728="",Q728=""),"",IFERROR(IF(INDEX(ctaVinc,MATCH(Q728,ctaNombre,0))&amp;""&lt;&gt;"",INDEX(ctaVinc,MATCH(Q728,ctaNombre,0))&amp;"",Q728),Q728))</f>
        <v/>
      </c>
      <c r="AC728" s="52">
        <f>IF(OR(K728="",AND(P728&lt;&gt;"Transferencia",P728&lt;&gt;"Pago tarjeta")),"",IFERROR(IF(INDEX(ctaVinc,MATCH(K728,ctaNombre,0))&amp;""&lt;&gt;"",INDEX(ctaVinc,MATCH(K728,ctaNombre,0))&amp;"",K728),K728))</f>
        <v/>
      </c>
      <c r="AD728" s="52">
        <f>IF(AB728="","",IFERROR(INDEX(ctaTipo,MATCH(AB728,ctaNombre,0))&amp;"",""))</f>
        <v/>
      </c>
      <c r="AE728" s="52">
        <f>IF(AC728="","",IFERROR(INDEX(ctaTipo,MATCH(AC728,ctaNombre,0))&amp;"",""))</f>
        <v/>
      </c>
      <c r="AF728" s="53">
        <f>IF(OR(P728="",AB728=""),"",IF(OR(P728="Gasto",P728="Transferencia",P728="Pago tarjeta"),-1,1)*IF(IFERROR(INDEX(ctaMoneda,MATCH(AB728,ctaNombre,0))&amp;"","DOP")="USD",T728,S728))</f>
        <v/>
      </c>
      <c r="AG728" s="53">
        <f>IF(AC728="","",IF(IFERROR(INDEX(ctaMoneda,MATCH(AC728,ctaNombre,0))&amp;"","DOP")="USD",T728,S728))</f>
        <v/>
      </c>
      <c r="AH728" s="53">
        <f>IF(P728="","",IF(AND(AD728&lt;&gt;"",COUNTIFS(tcTipo,AD728,tcLiq,"Sí")&gt;0),IF(OR(P728="Gasto",P728="Transferencia",P728="Pago tarjeta"),-1,1)*S728,0)+IF(AND(AE728&lt;&gt;"",COUNTIFS(tcTipo,AE728,tcLiq,"Sí")&gt;0),S728,0))</f>
        <v/>
      </c>
      <c r="AI728" s="52">
        <f>IF(OR(L728="",P728=""),"",IF(COUNTIFS(L$6:L728,L728,P$6:P728,"?*")=1,MAX(AI$5:AI727)+1,""))</f>
        <v/>
      </c>
    </row>
    <row r="729">
      <c r="B729" s="47" t="n"/>
      <c r="C729" s="48" t="n"/>
      <c r="D729" s="48" t="n"/>
      <c r="E729" s="48" t="n"/>
      <c r="F729" s="48" t="n"/>
      <c r="G729" s="49" t="n"/>
      <c r="H729" s="48" t="n"/>
      <c r="I729" s="50" t="n"/>
      <c r="J729" s="48" t="n"/>
      <c r="K729" s="48" t="n"/>
      <c r="L729" s="48" t="n"/>
      <c r="M729" s="48" t="n"/>
      <c r="N729" s="48" t="n"/>
      <c r="O729" s="51">
        <f>IF(AND(B729="",G729="",C729="",D729="",J729=""),"",IF(B729="","⚠ Falta fecha",IF(G729="","⚠ Falta monto",IF(Q729="","⚠ Falta cuenta",IF(ISNA(MATCH(Q729,ctaNombre,0)),"⚠ Cuenta no registrada",IF(AND(OR(P729="Gasto",P729="Reembolso"),D729=""),"⚠ Falta categoría",IF(AND(D729&lt;&gt;"",E729&lt;&gt;"",ISNA(MATCH(D729&amp;"|"&amp;E729,catClave,0))),"⚠ Subcategoría no corresponde",IF(AND(OR(P729="Transferencia",P729="Pago tarjeta"),K729=""),"⚠ Falta cuenta destino",IF(AND(K729&lt;&gt;"",P729&lt;&gt;"Transferencia",P729&lt;&gt;"Pago tarjeta"),"⚠ Destino solo aplica a transferencias",IF(AND(K729&lt;&gt;"",K729=Q729),"⚠ Origen igual a destino",IF(AND(K729&lt;&gt;"",ISNA(MATCH(K729,ctaNombre,0))),"⚠ Destino no registrado",IF(AND(P729="Pago tarjeta",AE729&lt;&gt;"Tarjeta de crédito"),"⚠ El destino debe ser tarjeta de crédito",IF(AND(P729="Gasto",E729="Depósitos y retiros"),"⚠ Usa tipo Transferencia",IF(AND(P729="Resultado trading",AD729&lt;&gt;"Cuenta de trading"),"⚠ Usa una cuenta de trading",IF(AND(G729&lt;=0,P729&lt;&gt;"Ajuste",P729&lt;&gt;"Resultado trading"),"⚠ El monto debe ser positivo","✓")))))))))))))))</f>
        <v/>
      </c>
      <c r="P729" s="52">
        <f>IF(OR(B729="",G729=""),"",IF(C729="","Gasto",C729))</f>
        <v/>
      </c>
      <c r="Q729" s="52">
        <f>IF(P729="","",IF(J729&lt;&gt;"",J729,CuentaPred&amp;""))</f>
        <v/>
      </c>
      <c r="R729" s="52">
        <f>IF(P729="","",IF(ISNUMBER(I729),I729,TasaUSD))</f>
        <v/>
      </c>
      <c r="S729" s="53">
        <f>IF(P729="","",IF(H729="USD",G729*R729,G729))</f>
        <v/>
      </c>
      <c r="T729" s="53">
        <f>IF(P729="","",IF(H729="USD",G729,IF(R729&gt;0,G729/R729,0)))</f>
        <v/>
      </c>
      <c r="U729" s="53">
        <f>IF(P729="","",IF(P729="Gasto",S729,IF(P729="Reembolso",-S729,0)))</f>
        <v/>
      </c>
      <c r="V729" s="53">
        <f>IF(P729="","",IF(P729="Ingreso",S729,0))</f>
        <v/>
      </c>
      <c r="W729" s="53">
        <f>IF(P729="","",IF(P729="Resultado trading",S729,0))</f>
        <v/>
      </c>
      <c r="X729" s="52">
        <f>IF(OR(P729="Gasto",P729="Reembolso"),IF(M729&lt;&gt;"",M729,IFERROR(INDEX(catClasif,MATCH(D729&amp;"|"&amp;E729,catClave,0))&amp;"","Variable")),"")</f>
        <v/>
      </c>
      <c r="Y729" s="52">
        <f>IF(P729="","",IFERROR(INDEX(catGrupo,MATCH(D729&amp;"|"&amp;E729,catClave,0))&amp;"",""))</f>
        <v/>
      </c>
      <c r="Z729" s="52">
        <f>IF(P729="","",WEEKDAY(B729,2))</f>
        <v/>
      </c>
      <c r="AA729" s="52">
        <f>IF(P729="","",IF(AND(P729="Gasto",X729="Variable",D729&lt;&gt;catTrading,S729&gt;0,S729&lt;=Umbral),1,0))</f>
        <v/>
      </c>
      <c r="AB729" s="52">
        <f>IF(OR(P729="",Q729=""),"",IFERROR(IF(INDEX(ctaVinc,MATCH(Q729,ctaNombre,0))&amp;""&lt;&gt;"",INDEX(ctaVinc,MATCH(Q729,ctaNombre,0))&amp;"",Q729),Q729))</f>
        <v/>
      </c>
      <c r="AC729" s="52">
        <f>IF(OR(K729="",AND(P729&lt;&gt;"Transferencia",P729&lt;&gt;"Pago tarjeta")),"",IFERROR(IF(INDEX(ctaVinc,MATCH(K729,ctaNombre,0))&amp;""&lt;&gt;"",INDEX(ctaVinc,MATCH(K729,ctaNombre,0))&amp;"",K729),K729))</f>
        <v/>
      </c>
      <c r="AD729" s="52">
        <f>IF(AB729="","",IFERROR(INDEX(ctaTipo,MATCH(AB729,ctaNombre,0))&amp;"",""))</f>
        <v/>
      </c>
      <c r="AE729" s="52">
        <f>IF(AC729="","",IFERROR(INDEX(ctaTipo,MATCH(AC729,ctaNombre,0))&amp;"",""))</f>
        <v/>
      </c>
      <c r="AF729" s="53">
        <f>IF(OR(P729="",AB729=""),"",IF(OR(P729="Gasto",P729="Transferencia",P729="Pago tarjeta"),-1,1)*IF(IFERROR(INDEX(ctaMoneda,MATCH(AB729,ctaNombre,0))&amp;"","DOP")="USD",T729,S729))</f>
        <v/>
      </c>
      <c r="AG729" s="53">
        <f>IF(AC729="","",IF(IFERROR(INDEX(ctaMoneda,MATCH(AC729,ctaNombre,0))&amp;"","DOP")="USD",T729,S729))</f>
        <v/>
      </c>
      <c r="AH729" s="53">
        <f>IF(P729="","",IF(AND(AD729&lt;&gt;"",COUNTIFS(tcTipo,AD729,tcLiq,"Sí")&gt;0),IF(OR(P729="Gasto",P729="Transferencia",P729="Pago tarjeta"),-1,1)*S729,0)+IF(AND(AE729&lt;&gt;"",COUNTIFS(tcTipo,AE729,tcLiq,"Sí")&gt;0),S729,0))</f>
        <v/>
      </c>
      <c r="AI729" s="52">
        <f>IF(OR(L729="",P729=""),"",IF(COUNTIFS(L$6:L729,L729,P$6:P729,"?*")=1,MAX(AI$5:AI728)+1,""))</f>
        <v/>
      </c>
    </row>
    <row r="730">
      <c r="B730" s="47" t="n"/>
      <c r="C730" s="48" t="n"/>
      <c r="D730" s="48" t="n"/>
      <c r="E730" s="48" t="n"/>
      <c r="F730" s="48" t="n"/>
      <c r="G730" s="49" t="n"/>
      <c r="H730" s="48" t="n"/>
      <c r="I730" s="50" t="n"/>
      <c r="J730" s="48" t="n"/>
      <c r="K730" s="48" t="n"/>
      <c r="L730" s="48" t="n"/>
      <c r="M730" s="48" t="n"/>
      <c r="N730" s="48" t="n"/>
      <c r="O730" s="51">
        <f>IF(AND(B730="",G730="",C730="",D730="",J730=""),"",IF(B730="","⚠ Falta fecha",IF(G730="","⚠ Falta monto",IF(Q730="","⚠ Falta cuenta",IF(ISNA(MATCH(Q730,ctaNombre,0)),"⚠ Cuenta no registrada",IF(AND(OR(P730="Gasto",P730="Reembolso"),D730=""),"⚠ Falta categoría",IF(AND(D730&lt;&gt;"",E730&lt;&gt;"",ISNA(MATCH(D730&amp;"|"&amp;E730,catClave,0))),"⚠ Subcategoría no corresponde",IF(AND(OR(P730="Transferencia",P730="Pago tarjeta"),K730=""),"⚠ Falta cuenta destino",IF(AND(K730&lt;&gt;"",P730&lt;&gt;"Transferencia",P730&lt;&gt;"Pago tarjeta"),"⚠ Destino solo aplica a transferencias",IF(AND(K730&lt;&gt;"",K730=Q730),"⚠ Origen igual a destino",IF(AND(K730&lt;&gt;"",ISNA(MATCH(K730,ctaNombre,0))),"⚠ Destino no registrado",IF(AND(P730="Pago tarjeta",AE730&lt;&gt;"Tarjeta de crédito"),"⚠ El destino debe ser tarjeta de crédito",IF(AND(P730="Gasto",E730="Depósitos y retiros"),"⚠ Usa tipo Transferencia",IF(AND(P730="Resultado trading",AD730&lt;&gt;"Cuenta de trading"),"⚠ Usa una cuenta de trading",IF(AND(G730&lt;=0,P730&lt;&gt;"Ajuste",P730&lt;&gt;"Resultado trading"),"⚠ El monto debe ser positivo","✓")))))))))))))))</f>
        <v/>
      </c>
      <c r="P730" s="52">
        <f>IF(OR(B730="",G730=""),"",IF(C730="","Gasto",C730))</f>
        <v/>
      </c>
      <c r="Q730" s="52">
        <f>IF(P730="","",IF(J730&lt;&gt;"",J730,CuentaPred&amp;""))</f>
        <v/>
      </c>
      <c r="R730" s="52">
        <f>IF(P730="","",IF(ISNUMBER(I730),I730,TasaUSD))</f>
        <v/>
      </c>
      <c r="S730" s="53">
        <f>IF(P730="","",IF(H730="USD",G730*R730,G730))</f>
        <v/>
      </c>
      <c r="T730" s="53">
        <f>IF(P730="","",IF(H730="USD",G730,IF(R730&gt;0,G730/R730,0)))</f>
        <v/>
      </c>
      <c r="U730" s="53">
        <f>IF(P730="","",IF(P730="Gasto",S730,IF(P730="Reembolso",-S730,0)))</f>
        <v/>
      </c>
      <c r="V730" s="53">
        <f>IF(P730="","",IF(P730="Ingreso",S730,0))</f>
        <v/>
      </c>
      <c r="W730" s="53">
        <f>IF(P730="","",IF(P730="Resultado trading",S730,0))</f>
        <v/>
      </c>
      <c r="X730" s="52">
        <f>IF(OR(P730="Gasto",P730="Reembolso"),IF(M730&lt;&gt;"",M730,IFERROR(INDEX(catClasif,MATCH(D730&amp;"|"&amp;E730,catClave,0))&amp;"","Variable")),"")</f>
        <v/>
      </c>
      <c r="Y730" s="52">
        <f>IF(P730="","",IFERROR(INDEX(catGrupo,MATCH(D730&amp;"|"&amp;E730,catClave,0))&amp;"",""))</f>
        <v/>
      </c>
      <c r="Z730" s="52">
        <f>IF(P730="","",WEEKDAY(B730,2))</f>
        <v/>
      </c>
      <c r="AA730" s="52">
        <f>IF(P730="","",IF(AND(P730="Gasto",X730="Variable",D730&lt;&gt;catTrading,S730&gt;0,S730&lt;=Umbral),1,0))</f>
        <v/>
      </c>
      <c r="AB730" s="52">
        <f>IF(OR(P730="",Q730=""),"",IFERROR(IF(INDEX(ctaVinc,MATCH(Q730,ctaNombre,0))&amp;""&lt;&gt;"",INDEX(ctaVinc,MATCH(Q730,ctaNombre,0))&amp;"",Q730),Q730))</f>
        <v/>
      </c>
      <c r="AC730" s="52">
        <f>IF(OR(K730="",AND(P730&lt;&gt;"Transferencia",P730&lt;&gt;"Pago tarjeta")),"",IFERROR(IF(INDEX(ctaVinc,MATCH(K730,ctaNombre,0))&amp;""&lt;&gt;"",INDEX(ctaVinc,MATCH(K730,ctaNombre,0))&amp;"",K730),K730))</f>
        <v/>
      </c>
      <c r="AD730" s="52">
        <f>IF(AB730="","",IFERROR(INDEX(ctaTipo,MATCH(AB730,ctaNombre,0))&amp;"",""))</f>
        <v/>
      </c>
      <c r="AE730" s="52">
        <f>IF(AC730="","",IFERROR(INDEX(ctaTipo,MATCH(AC730,ctaNombre,0))&amp;"",""))</f>
        <v/>
      </c>
      <c r="AF730" s="53">
        <f>IF(OR(P730="",AB730=""),"",IF(OR(P730="Gasto",P730="Transferencia",P730="Pago tarjeta"),-1,1)*IF(IFERROR(INDEX(ctaMoneda,MATCH(AB730,ctaNombre,0))&amp;"","DOP")="USD",T730,S730))</f>
        <v/>
      </c>
      <c r="AG730" s="53">
        <f>IF(AC730="","",IF(IFERROR(INDEX(ctaMoneda,MATCH(AC730,ctaNombre,0))&amp;"","DOP")="USD",T730,S730))</f>
        <v/>
      </c>
      <c r="AH730" s="53">
        <f>IF(P730="","",IF(AND(AD730&lt;&gt;"",COUNTIFS(tcTipo,AD730,tcLiq,"Sí")&gt;0),IF(OR(P730="Gasto",P730="Transferencia",P730="Pago tarjeta"),-1,1)*S730,0)+IF(AND(AE730&lt;&gt;"",COUNTIFS(tcTipo,AE730,tcLiq,"Sí")&gt;0),S730,0))</f>
        <v/>
      </c>
      <c r="AI730" s="52">
        <f>IF(OR(L730="",P730=""),"",IF(COUNTIFS(L$6:L730,L730,P$6:P730,"?*")=1,MAX(AI$5:AI729)+1,""))</f>
        <v/>
      </c>
    </row>
    <row r="731">
      <c r="B731" s="47" t="n"/>
      <c r="C731" s="48" t="n"/>
      <c r="D731" s="48" t="n"/>
      <c r="E731" s="48" t="n"/>
      <c r="F731" s="48" t="n"/>
      <c r="G731" s="49" t="n"/>
      <c r="H731" s="48" t="n"/>
      <c r="I731" s="50" t="n"/>
      <c r="J731" s="48" t="n"/>
      <c r="K731" s="48" t="n"/>
      <c r="L731" s="48" t="n"/>
      <c r="M731" s="48" t="n"/>
      <c r="N731" s="48" t="n"/>
      <c r="O731" s="51">
        <f>IF(AND(B731="",G731="",C731="",D731="",J731=""),"",IF(B731="","⚠ Falta fecha",IF(G731="","⚠ Falta monto",IF(Q731="","⚠ Falta cuenta",IF(ISNA(MATCH(Q731,ctaNombre,0)),"⚠ Cuenta no registrada",IF(AND(OR(P731="Gasto",P731="Reembolso"),D731=""),"⚠ Falta categoría",IF(AND(D731&lt;&gt;"",E731&lt;&gt;"",ISNA(MATCH(D731&amp;"|"&amp;E731,catClave,0))),"⚠ Subcategoría no corresponde",IF(AND(OR(P731="Transferencia",P731="Pago tarjeta"),K731=""),"⚠ Falta cuenta destino",IF(AND(K731&lt;&gt;"",P731&lt;&gt;"Transferencia",P731&lt;&gt;"Pago tarjeta"),"⚠ Destino solo aplica a transferencias",IF(AND(K731&lt;&gt;"",K731=Q731),"⚠ Origen igual a destino",IF(AND(K731&lt;&gt;"",ISNA(MATCH(K731,ctaNombre,0))),"⚠ Destino no registrado",IF(AND(P731="Pago tarjeta",AE731&lt;&gt;"Tarjeta de crédito"),"⚠ El destino debe ser tarjeta de crédito",IF(AND(P731="Gasto",E731="Depósitos y retiros"),"⚠ Usa tipo Transferencia",IF(AND(P731="Resultado trading",AD731&lt;&gt;"Cuenta de trading"),"⚠ Usa una cuenta de trading",IF(AND(G731&lt;=0,P731&lt;&gt;"Ajuste",P731&lt;&gt;"Resultado trading"),"⚠ El monto debe ser positivo","✓")))))))))))))))</f>
        <v/>
      </c>
      <c r="P731" s="52">
        <f>IF(OR(B731="",G731=""),"",IF(C731="","Gasto",C731))</f>
        <v/>
      </c>
      <c r="Q731" s="52">
        <f>IF(P731="","",IF(J731&lt;&gt;"",J731,CuentaPred&amp;""))</f>
        <v/>
      </c>
      <c r="R731" s="52">
        <f>IF(P731="","",IF(ISNUMBER(I731),I731,TasaUSD))</f>
        <v/>
      </c>
      <c r="S731" s="53">
        <f>IF(P731="","",IF(H731="USD",G731*R731,G731))</f>
        <v/>
      </c>
      <c r="T731" s="53">
        <f>IF(P731="","",IF(H731="USD",G731,IF(R731&gt;0,G731/R731,0)))</f>
        <v/>
      </c>
      <c r="U731" s="53">
        <f>IF(P731="","",IF(P731="Gasto",S731,IF(P731="Reembolso",-S731,0)))</f>
        <v/>
      </c>
      <c r="V731" s="53">
        <f>IF(P731="","",IF(P731="Ingreso",S731,0))</f>
        <v/>
      </c>
      <c r="W731" s="53">
        <f>IF(P731="","",IF(P731="Resultado trading",S731,0))</f>
        <v/>
      </c>
      <c r="X731" s="52">
        <f>IF(OR(P731="Gasto",P731="Reembolso"),IF(M731&lt;&gt;"",M731,IFERROR(INDEX(catClasif,MATCH(D731&amp;"|"&amp;E731,catClave,0))&amp;"","Variable")),"")</f>
        <v/>
      </c>
      <c r="Y731" s="52">
        <f>IF(P731="","",IFERROR(INDEX(catGrupo,MATCH(D731&amp;"|"&amp;E731,catClave,0))&amp;"",""))</f>
        <v/>
      </c>
      <c r="Z731" s="52">
        <f>IF(P731="","",WEEKDAY(B731,2))</f>
        <v/>
      </c>
      <c r="AA731" s="52">
        <f>IF(P731="","",IF(AND(P731="Gasto",X731="Variable",D731&lt;&gt;catTrading,S731&gt;0,S731&lt;=Umbral),1,0))</f>
        <v/>
      </c>
      <c r="AB731" s="52">
        <f>IF(OR(P731="",Q731=""),"",IFERROR(IF(INDEX(ctaVinc,MATCH(Q731,ctaNombre,0))&amp;""&lt;&gt;"",INDEX(ctaVinc,MATCH(Q731,ctaNombre,0))&amp;"",Q731),Q731))</f>
        <v/>
      </c>
      <c r="AC731" s="52">
        <f>IF(OR(K731="",AND(P731&lt;&gt;"Transferencia",P731&lt;&gt;"Pago tarjeta")),"",IFERROR(IF(INDEX(ctaVinc,MATCH(K731,ctaNombre,0))&amp;""&lt;&gt;"",INDEX(ctaVinc,MATCH(K731,ctaNombre,0))&amp;"",K731),K731))</f>
        <v/>
      </c>
      <c r="AD731" s="52">
        <f>IF(AB731="","",IFERROR(INDEX(ctaTipo,MATCH(AB731,ctaNombre,0))&amp;"",""))</f>
        <v/>
      </c>
      <c r="AE731" s="52">
        <f>IF(AC731="","",IFERROR(INDEX(ctaTipo,MATCH(AC731,ctaNombre,0))&amp;"",""))</f>
        <v/>
      </c>
      <c r="AF731" s="53">
        <f>IF(OR(P731="",AB731=""),"",IF(OR(P731="Gasto",P731="Transferencia",P731="Pago tarjeta"),-1,1)*IF(IFERROR(INDEX(ctaMoneda,MATCH(AB731,ctaNombre,0))&amp;"","DOP")="USD",T731,S731))</f>
        <v/>
      </c>
      <c r="AG731" s="53">
        <f>IF(AC731="","",IF(IFERROR(INDEX(ctaMoneda,MATCH(AC731,ctaNombre,0))&amp;"","DOP")="USD",T731,S731))</f>
        <v/>
      </c>
      <c r="AH731" s="53">
        <f>IF(P731="","",IF(AND(AD731&lt;&gt;"",COUNTIFS(tcTipo,AD731,tcLiq,"Sí")&gt;0),IF(OR(P731="Gasto",P731="Transferencia",P731="Pago tarjeta"),-1,1)*S731,0)+IF(AND(AE731&lt;&gt;"",COUNTIFS(tcTipo,AE731,tcLiq,"Sí")&gt;0),S731,0))</f>
        <v/>
      </c>
      <c r="AI731" s="52">
        <f>IF(OR(L731="",P731=""),"",IF(COUNTIFS(L$6:L731,L731,P$6:P731,"?*")=1,MAX(AI$5:AI730)+1,""))</f>
        <v/>
      </c>
    </row>
    <row r="732">
      <c r="B732" s="47" t="n"/>
      <c r="C732" s="48" t="n"/>
      <c r="D732" s="48" t="n"/>
      <c r="E732" s="48" t="n"/>
      <c r="F732" s="48" t="n"/>
      <c r="G732" s="49" t="n"/>
      <c r="H732" s="48" t="n"/>
      <c r="I732" s="50" t="n"/>
      <c r="J732" s="48" t="n"/>
      <c r="K732" s="48" t="n"/>
      <c r="L732" s="48" t="n"/>
      <c r="M732" s="48" t="n"/>
      <c r="N732" s="48" t="n"/>
      <c r="O732" s="51">
        <f>IF(AND(B732="",G732="",C732="",D732="",J732=""),"",IF(B732="","⚠ Falta fecha",IF(G732="","⚠ Falta monto",IF(Q732="","⚠ Falta cuenta",IF(ISNA(MATCH(Q732,ctaNombre,0)),"⚠ Cuenta no registrada",IF(AND(OR(P732="Gasto",P732="Reembolso"),D732=""),"⚠ Falta categoría",IF(AND(D732&lt;&gt;"",E732&lt;&gt;"",ISNA(MATCH(D732&amp;"|"&amp;E732,catClave,0))),"⚠ Subcategoría no corresponde",IF(AND(OR(P732="Transferencia",P732="Pago tarjeta"),K732=""),"⚠ Falta cuenta destino",IF(AND(K732&lt;&gt;"",P732&lt;&gt;"Transferencia",P732&lt;&gt;"Pago tarjeta"),"⚠ Destino solo aplica a transferencias",IF(AND(K732&lt;&gt;"",K732=Q732),"⚠ Origen igual a destino",IF(AND(K732&lt;&gt;"",ISNA(MATCH(K732,ctaNombre,0))),"⚠ Destino no registrado",IF(AND(P732="Pago tarjeta",AE732&lt;&gt;"Tarjeta de crédito"),"⚠ El destino debe ser tarjeta de crédito",IF(AND(P732="Gasto",E732="Depósitos y retiros"),"⚠ Usa tipo Transferencia",IF(AND(P732="Resultado trading",AD732&lt;&gt;"Cuenta de trading"),"⚠ Usa una cuenta de trading",IF(AND(G732&lt;=0,P732&lt;&gt;"Ajuste",P732&lt;&gt;"Resultado trading"),"⚠ El monto debe ser positivo","✓")))))))))))))))</f>
        <v/>
      </c>
      <c r="P732" s="52">
        <f>IF(OR(B732="",G732=""),"",IF(C732="","Gasto",C732))</f>
        <v/>
      </c>
      <c r="Q732" s="52">
        <f>IF(P732="","",IF(J732&lt;&gt;"",J732,CuentaPred&amp;""))</f>
        <v/>
      </c>
      <c r="R732" s="52">
        <f>IF(P732="","",IF(ISNUMBER(I732),I732,TasaUSD))</f>
        <v/>
      </c>
      <c r="S732" s="53">
        <f>IF(P732="","",IF(H732="USD",G732*R732,G732))</f>
        <v/>
      </c>
      <c r="T732" s="53">
        <f>IF(P732="","",IF(H732="USD",G732,IF(R732&gt;0,G732/R732,0)))</f>
        <v/>
      </c>
      <c r="U732" s="53">
        <f>IF(P732="","",IF(P732="Gasto",S732,IF(P732="Reembolso",-S732,0)))</f>
        <v/>
      </c>
      <c r="V732" s="53">
        <f>IF(P732="","",IF(P732="Ingreso",S732,0))</f>
        <v/>
      </c>
      <c r="W732" s="53">
        <f>IF(P732="","",IF(P732="Resultado trading",S732,0))</f>
        <v/>
      </c>
      <c r="X732" s="52">
        <f>IF(OR(P732="Gasto",P732="Reembolso"),IF(M732&lt;&gt;"",M732,IFERROR(INDEX(catClasif,MATCH(D732&amp;"|"&amp;E732,catClave,0))&amp;"","Variable")),"")</f>
        <v/>
      </c>
      <c r="Y732" s="52">
        <f>IF(P732="","",IFERROR(INDEX(catGrupo,MATCH(D732&amp;"|"&amp;E732,catClave,0))&amp;"",""))</f>
        <v/>
      </c>
      <c r="Z732" s="52">
        <f>IF(P732="","",WEEKDAY(B732,2))</f>
        <v/>
      </c>
      <c r="AA732" s="52">
        <f>IF(P732="","",IF(AND(P732="Gasto",X732="Variable",D732&lt;&gt;catTrading,S732&gt;0,S732&lt;=Umbral),1,0))</f>
        <v/>
      </c>
      <c r="AB732" s="52">
        <f>IF(OR(P732="",Q732=""),"",IFERROR(IF(INDEX(ctaVinc,MATCH(Q732,ctaNombre,0))&amp;""&lt;&gt;"",INDEX(ctaVinc,MATCH(Q732,ctaNombre,0))&amp;"",Q732),Q732))</f>
        <v/>
      </c>
      <c r="AC732" s="52">
        <f>IF(OR(K732="",AND(P732&lt;&gt;"Transferencia",P732&lt;&gt;"Pago tarjeta")),"",IFERROR(IF(INDEX(ctaVinc,MATCH(K732,ctaNombre,0))&amp;""&lt;&gt;"",INDEX(ctaVinc,MATCH(K732,ctaNombre,0))&amp;"",K732),K732))</f>
        <v/>
      </c>
      <c r="AD732" s="52">
        <f>IF(AB732="","",IFERROR(INDEX(ctaTipo,MATCH(AB732,ctaNombre,0))&amp;"",""))</f>
        <v/>
      </c>
      <c r="AE732" s="52">
        <f>IF(AC732="","",IFERROR(INDEX(ctaTipo,MATCH(AC732,ctaNombre,0))&amp;"",""))</f>
        <v/>
      </c>
      <c r="AF732" s="53">
        <f>IF(OR(P732="",AB732=""),"",IF(OR(P732="Gasto",P732="Transferencia",P732="Pago tarjeta"),-1,1)*IF(IFERROR(INDEX(ctaMoneda,MATCH(AB732,ctaNombre,0))&amp;"","DOP")="USD",T732,S732))</f>
        <v/>
      </c>
      <c r="AG732" s="53">
        <f>IF(AC732="","",IF(IFERROR(INDEX(ctaMoneda,MATCH(AC732,ctaNombre,0))&amp;"","DOP")="USD",T732,S732))</f>
        <v/>
      </c>
      <c r="AH732" s="53">
        <f>IF(P732="","",IF(AND(AD732&lt;&gt;"",COUNTIFS(tcTipo,AD732,tcLiq,"Sí")&gt;0),IF(OR(P732="Gasto",P732="Transferencia",P732="Pago tarjeta"),-1,1)*S732,0)+IF(AND(AE732&lt;&gt;"",COUNTIFS(tcTipo,AE732,tcLiq,"Sí")&gt;0),S732,0))</f>
        <v/>
      </c>
      <c r="AI732" s="52">
        <f>IF(OR(L732="",P732=""),"",IF(COUNTIFS(L$6:L732,L732,P$6:P732,"?*")=1,MAX(AI$5:AI731)+1,""))</f>
        <v/>
      </c>
    </row>
    <row r="733">
      <c r="B733" s="47" t="n"/>
      <c r="C733" s="48" t="n"/>
      <c r="D733" s="48" t="n"/>
      <c r="E733" s="48" t="n"/>
      <c r="F733" s="48" t="n"/>
      <c r="G733" s="49" t="n"/>
      <c r="H733" s="48" t="n"/>
      <c r="I733" s="50" t="n"/>
      <c r="J733" s="48" t="n"/>
      <c r="K733" s="48" t="n"/>
      <c r="L733" s="48" t="n"/>
      <c r="M733" s="48" t="n"/>
      <c r="N733" s="48" t="n"/>
      <c r="O733" s="51">
        <f>IF(AND(B733="",G733="",C733="",D733="",J733=""),"",IF(B733="","⚠ Falta fecha",IF(G733="","⚠ Falta monto",IF(Q733="","⚠ Falta cuenta",IF(ISNA(MATCH(Q733,ctaNombre,0)),"⚠ Cuenta no registrada",IF(AND(OR(P733="Gasto",P733="Reembolso"),D733=""),"⚠ Falta categoría",IF(AND(D733&lt;&gt;"",E733&lt;&gt;"",ISNA(MATCH(D733&amp;"|"&amp;E733,catClave,0))),"⚠ Subcategoría no corresponde",IF(AND(OR(P733="Transferencia",P733="Pago tarjeta"),K733=""),"⚠ Falta cuenta destino",IF(AND(K733&lt;&gt;"",P733&lt;&gt;"Transferencia",P733&lt;&gt;"Pago tarjeta"),"⚠ Destino solo aplica a transferencias",IF(AND(K733&lt;&gt;"",K733=Q733),"⚠ Origen igual a destino",IF(AND(K733&lt;&gt;"",ISNA(MATCH(K733,ctaNombre,0))),"⚠ Destino no registrado",IF(AND(P733="Pago tarjeta",AE733&lt;&gt;"Tarjeta de crédito"),"⚠ El destino debe ser tarjeta de crédito",IF(AND(P733="Gasto",E733="Depósitos y retiros"),"⚠ Usa tipo Transferencia",IF(AND(P733="Resultado trading",AD733&lt;&gt;"Cuenta de trading"),"⚠ Usa una cuenta de trading",IF(AND(G733&lt;=0,P733&lt;&gt;"Ajuste",P733&lt;&gt;"Resultado trading"),"⚠ El monto debe ser positivo","✓")))))))))))))))</f>
        <v/>
      </c>
      <c r="P733" s="52">
        <f>IF(OR(B733="",G733=""),"",IF(C733="","Gasto",C733))</f>
        <v/>
      </c>
      <c r="Q733" s="52">
        <f>IF(P733="","",IF(J733&lt;&gt;"",J733,CuentaPred&amp;""))</f>
        <v/>
      </c>
      <c r="R733" s="52">
        <f>IF(P733="","",IF(ISNUMBER(I733),I733,TasaUSD))</f>
        <v/>
      </c>
      <c r="S733" s="53">
        <f>IF(P733="","",IF(H733="USD",G733*R733,G733))</f>
        <v/>
      </c>
      <c r="T733" s="53">
        <f>IF(P733="","",IF(H733="USD",G733,IF(R733&gt;0,G733/R733,0)))</f>
        <v/>
      </c>
      <c r="U733" s="53">
        <f>IF(P733="","",IF(P733="Gasto",S733,IF(P733="Reembolso",-S733,0)))</f>
        <v/>
      </c>
      <c r="V733" s="53">
        <f>IF(P733="","",IF(P733="Ingreso",S733,0))</f>
        <v/>
      </c>
      <c r="W733" s="53">
        <f>IF(P733="","",IF(P733="Resultado trading",S733,0))</f>
        <v/>
      </c>
      <c r="X733" s="52">
        <f>IF(OR(P733="Gasto",P733="Reembolso"),IF(M733&lt;&gt;"",M733,IFERROR(INDEX(catClasif,MATCH(D733&amp;"|"&amp;E733,catClave,0))&amp;"","Variable")),"")</f>
        <v/>
      </c>
      <c r="Y733" s="52">
        <f>IF(P733="","",IFERROR(INDEX(catGrupo,MATCH(D733&amp;"|"&amp;E733,catClave,0))&amp;"",""))</f>
        <v/>
      </c>
      <c r="Z733" s="52">
        <f>IF(P733="","",WEEKDAY(B733,2))</f>
        <v/>
      </c>
      <c r="AA733" s="52">
        <f>IF(P733="","",IF(AND(P733="Gasto",X733="Variable",D733&lt;&gt;catTrading,S733&gt;0,S733&lt;=Umbral),1,0))</f>
        <v/>
      </c>
      <c r="AB733" s="52">
        <f>IF(OR(P733="",Q733=""),"",IFERROR(IF(INDEX(ctaVinc,MATCH(Q733,ctaNombre,0))&amp;""&lt;&gt;"",INDEX(ctaVinc,MATCH(Q733,ctaNombre,0))&amp;"",Q733),Q733))</f>
        <v/>
      </c>
      <c r="AC733" s="52">
        <f>IF(OR(K733="",AND(P733&lt;&gt;"Transferencia",P733&lt;&gt;"Pago tarjeta")),"",IFERROR(IF(INDEX(ctaVinc,MATCH(K733,ctaNombre,0))&amp;""&lt;&gt;"",INDEX(ctaVinc,MATCH(K733,ctaNombre,0))&amp;"",K733),K733))</f>
        <v/>
      </c>
      <c r="AD733" s="52">
        <f>IF(AB733="","",IFERROR(INDEX(ctaTipo,MATCH(AB733,ctaNombre,0))&amp;"",""))</f>
        <v/>
      </c>
      <c r="AE733" s="52">
        <f>IF(AC733="","",IFERROR(INDEX(ctaTipo,MATCH(AC733,ctaNombre,0))&amp;"",""))</f>
        <v/>
      </c>
      <c r="AF733" s="53">
        <f>IF(OR(P733="",AB733=""),"",IF(OR(P733="Gasto",P733="Transferencia",P733="Pago tarjeta"),-1,1)*IF(IFERROR(INDEX(ctaMoneda,MATCH(AB733,ctaNombre,0))&amp;"","DOP")="USD",T733,S733))</f>
        <v/>
      </c>
      <c r="AG733" s="53">
        <f>IF(AC733="","",IF(IFERROR(INDEX(ctaMoneda,MATCH(AC733,ctaNombre,0))&amp;"","DOP")="USD",T733,S733))</f>
        <v/>
      </c>
      <c r="AH733" s="53">
        <f>IF(P733="","",IF(AND(AD733&lt;&gt;"",COUNTIFS(tcTipo,AD733,tcLiq,"Sí")&gt;0),IF(OR(P733="Gasto",P733="Transferencia",P733="Pago tarjeta"),-1,1)*S733,0)+IF(AND(AE733&lt;&gt;"",COUNTIFS(tcTipo,AE733,tcLiq,"Sí")&gt;0),S733,0))</f>
        <v/>
      </c>
      <c r="AI733" s="52">
        <f>IF(OR(L733="",P733=""),"",IF(COUNTIFS(L$6:L733,L733,P$6:P733,"?*")=1,MAX(AI$5:AI732)+1,""))</f>
        <v/>
      </c>
    </row>
    <row r="734">
      <c r="B734" s="47" t="n"/>
      <c r="C734" s="48" t="n"/>
      <c r="D734" s="48" t="n"/>
      <c r="E734" s="48" t="n"/>
      <c r="F734" s="48" t="n"/>
      <c r="G734" s="49" t="n"/>
      <c r="H734" s="48" t="n"/>
      <c r="I734" s="50" t="n"/>
      <c r="J734" s="48" t="n"/>
      <c r="K734" s="48" t="n"/>
      <c r="L734" s="48" t="n"/>
      <c r="M734" s="48" t="n"/>
      <c r="N734" s="48" t="n"/>
      <c r="O734" s="51">
        <f>IF(AND(B734="",G734="",C734="",D734="",J734=""),"",IF(B734="","⚠ Falta fecha",IF(G734="","⚠ Falta monto",IF(Q734="","⚠ Falta cuenta",IF(ISNA(MATCH(Q734,ctaNombre,0)),"⚠ Cuenta no registrada",IF(AND(OR(P734="Gasto",P734="Reembolso"),D734=""),"⚠ Falta categoría",IF(AND(D734&lt;&gt;"",E734&lt;&gt;"",ISNA(MATCH(D734&amp;"|"&amp;E734,catClave,0))),"⚠ Subcategoría no corresponde",IF(AND(OR(P734="Transferencia",P734="Pago tarjeta"),K734=""),"⚠ Falta cuenta destino",IF(AND(K734&lt;&gt;"",P734&lt;&gt;"Transferencia",P734&lt;&gt;"Pago tarjeta"),"⚠ Destino solo aplica a transferencias",IF(AND(K734&lt;&gt;"",K734=Q734),"⚠ Origen igual a destino",IF(AND(K734&lt;&gt;"",ISNA(MATCH(K734,ctaNombre,0))),"⚠ Destino no registrado",IF(AND(P734="Pago tarjeta",AE734&lt;&gt;"Tarjeta de crédito"),"⚠ El destino debe ser tarjeta de crédito",IF(AND(P734="Gasto",E734="Depósitos y retiros"),"⚠ Usa tipo Transferencia",IF(AND(P734="Resultado trading",AD734&lt;&gt;"Cuenta de trading"),"⚠ Usa una cuenta de trading",IF(AND(G734&lt;=0,P734&lt;&gt;"Ajuste",P734&lt;&gt;"Resultado trading"),"⚠ El monto debe ser positivo","✓")))))))))))))))</f>
        <v/>
      </c>
      <c r="P734" s="52">
        <f>IF(OR(B734="",G734=""),"",IF(C734="","Gasto",C734))</f>
        <v/>
      </c>
      <c r="Q734" s="52">
        <f>IF(P734="","",IF(J734&lt;&gt;"",J734,CuentaPred&amp;""))</f>
        <v/>
      </c>
      <c r="R734" s="52">
        <f>IF(P734="","",IF(ISNUMBER(I734),I734,TasaUSD))</f>
        <v/>
      </c>
      <c r="S734" s="53">
        <f>IF(P734="","",IF(H734="USD",G734*R734,G734))</f>
        <v/>
      </c>
      <c r="T734" s="53">
        <f>IF(P734="","",IF(H734="USD",G734,IF(R734&gt;0,G734/R734,0)))</f>
        <v/>
      </c>
      <c r="U734" s="53">
        <f>IF(P734="","",IF(P734="Gasto",S734,IF(P734="Reembolso",-S734,0)))</f>
        <v/>
      </c>
      <c r="V734" s="53">
        <f>IF(P734="","",IF(P734="Ingreso",S734,0))</f>
        <v/>
      </c>
      <c r="W734" s="53">
        <f>IF(P734="","",IF(P734="Resultado trading",S734,0))</f>
        <v/>
      </c>
      <c r="X734" s="52">
        <f>IF(OR(P734="Gasto",P734="Reembolso"),IF(M734&lt;&gt;"",M734,IFERROR(INDEX(catClasif,MATCH(D734&amp;"|"&amp;E734,catClave,0))&amp;"","Variable")),"")</f>
        <v/>
      </c>
      <c r="Y734" s="52">
        <f>IF(P734="","",IFERROR(INDEX(catGrupo,MATCH(D734&amp;"|"&amp;E734,catClave,0))&amp;"",""))</f>
        <v/>
      </c>
      <c r="Z734" s="52">
        <f>IF(P734="","",WEEKDAY(B734,2))</f>
        <v/>
      </c>
      <c r="AA734" s="52">
        <f>IF(P734="","",IF(AND(P734="Gasto",X734="Variable",D734&lt;&gt;catTrading,S734&gt;0,S734&lt;=Umbral),1,0))</f>
        <v/>
      </c>
      <c r="AB734" s="52">
        <f>IF(OR(P734="",Q734=""),"",IFERROR(IF(INDEX(ctaVinc,MATCH(Q734,ctaNombre,0))&amp;""&lt;&gt;"",INDEX(ctaVinc,MATCH(Q734,ctaNombre,0))&amp;"",Q734),Q734))</f>
        <v/>
      </c>
      <c r="AC734" s="52">
        <f>IF(OR(K734="",AND(P734&lt;&gt;"Transferencia",P734&lt;&gt;"Pago tarjeta")),"",IFERROR(IF(INDEX(ctaVinc,MATCH(K734,ctaNombre,0))&amp;""&lt;&gt;"",INDEX(ctaVinc,MATCH(K734,ctaNombre,0))&amp;"",K734),K734))</f>
        <v/>
      </c>
      <c r="AD734" s="52">
        <f>IF(AB734="","",IFERROR(INDEX(ctaTipo,MATCH(AB734,ctaNombre,0))&amp;"",""))</f>
        <v/>
      </c>
      <c r="AE734" s="52">
        <f>IF(AC734="","",IFERROR(INDEX(ctaTipo,MATCH(AC734,ctaNombre,0))&amp;"",""))</f>
        <v/>
      </c>
      <c r="AF734" s="53">
        <f>IF(OR(P734="",AB734=""),"",IF(OR(P734="Gasto",P734="Transferencia",P734="Pago tarjeta"),-1,1)*IF(IFERROR(INDEX(ctaMoneda,MATCH(AB734,ctaNombre,0))&amp;"","DOP")="USD",T734,S734))</f>
        <v/>
      </c>
      <c r="AG734" s="53">
        <f>IF(AC734="","",IF(IFERROR(INDEX(ctaMoneda,MATCH(AC734,ctaNombre,0))&amp;"","DOP")="USD",T734,S734))</f>
        <v/>
      </c>
      <c r="AH734" s="53">
        <f>IF(P734="","",IF(AND(AD734&lt;&gt;"",COUNTIFS(tcTipo,AD734,tcLiq,"Sí")&gt;0),IF(OR(P734="Gasto",P734="Transferencia",P734="Pago tarjeta"),-1,1)*S734,0)+IF(AND(AE734&lt;&gt;"",COUNTIFS(tcTipo,AE734,tcLiq,"Sí")&gt;0),S734,0))</f>
        <v/>
      </c>
      <c r="AI734" s="52">
        <f>IF(OR(L734="",P734=""),"",IF(COUNTIFS(L$6:L734,L734,P$6:P734,"?*")=1,MAX(AI$5:AI733)+1,""))</f>
        <v/>
      </c>
    </row>
    <row r="735">
      <c r="B735" s="47" t="n"/>
      <c r="C735" s="48" t="n"/>
      <c r="D735" s="48" t="n"/>
      <c r="E735" s="48" t="n"/>
      <c r="F735" s="48" t="n"/>
      <c r="G735" s="49" t="n"/>
      <c r="H735" s="48" t="n"/>
      <c r="I735" s="50" t="n"/>
      <c r="J735" s="48" t="n"/>
      <c r="K735" s="48" t="n"/>
      <c r="L735" s="48" t="n"/>
      <c r="M735" s="48" t="n"/>
      <c r="N735" s="48" t="n"/>
      <c r="O735" s="51">
        <f>IF(AND(B735="",G735="",C735="",D735="",J735=""),"",IF(B735="","⚠ Falta fecha",IF(G735="","⚠ Falta monto",IF(Q735="","⚠ Falta cuenta",IF(ISNA(MATCH(Q735,ctaNombre,0)),"⚠ Cuenta no registrada",IF(AND(OR(P735="Gasto",P735="Reembolso"),D735=""),"⚠ Falta categoría",IF(AND(D735&lt;&gt;"",E735&lt;&gt;"",ISNA(MATCH(D735&amp;"|"&amp;E735,catClave,0))),"⚠ Subcategoría no corresponde",IF(AND(OR(P735="Transferencia",P735="Pago tarjeta"),K735=""),"⚠ Falta cuenta destino",IF(AND(K735&lt;&gt;"",P735&lt;&gt;"Transferencia",P735&lt;&gt;"Pago tarjeta"),"⚠ Destino solo aplica a transferencias",IF(AND(K735&lt;&gt;"",K735=Q735),"⚠ Origen igual a destino",IF(AND(K735&lt;&gt;"",ISNA(MATCH(K735,ctaNombre,0))),"⚠ Destino no registrado",IF(AND(P735="Pago tarjeta",AE735&lt;&gt;"Tarjeta de crédito"),"⚠ El destino debe ser tarjeta de crédito",IF(AND(P735="Gasto",E735="Depósitos y retiros"),"⚠ Usa tipo Transferencia",IF(AND(P735="Resultado trading",AD735&lt;&gt;"Cuenta de trading"),"⚠ Usa una cuenta de trading",IF(AND(G735&lt;=0,P735&lt;&gt;"Ajuste",P735&lt;&gt;"Resultado trading"),"⚠ El monto debe ser positivo","✓")))))))))))))))</f>
        <v/>
      </c>
      <c r="P735" s="52">
        <f>IF(OR(B735="",G735=""),"",IF(C735="","Gasto",C735))</f>
        <v/>
      </c>
      <c r="Q735" s="52">
        <f>IF(P735="","",IF(J735&lt;&gt;"",J735,CuentaPred&amp;""))</f>
        <v/>
      </c>
      <c r="R735" s="52">
        <f>IF(P735="","",IF(ISNUMBER(I735),I735,TasaUSD))</f>
        <v/>
      </c>
      <c r="S735" s="53">
        <f>IF(P735="","",IF(H735="USD",G735*R735,G735))</f>
        <v/>
      </c>
      <c r="T735" s="53">
        <f>IF(P735="","",IF(H735="USD",G735,IF(R735&gt;0,G735/R735,0)))</f>
        <v/>
      </c>
      <c r="U735" s="53">
        <f>IF(P735="","",IF(P735="Gasto",S735,IF(P735="Reembolso",-S735,0)))</f>
        <v/>
      </c>
      <c r="V735" s="53">
        <f>IF(P735="","",IF(P735="Ingreso",S735,0))</f>
        <v/>
      </c>
      <c r="W735" s="53">
        <f>IF(P735="","",IF(P735="Resultado trading",S735,0))</f>
        <v/>
      </c>
      <c r="X735" s="52">
        <f>IF(OR(P735="Gasto",P735="Reembolso"),IF(M735&lt;&gt;"",M735,IFERROR(INDEX(catClasif,MATCH(D735&amp;"|"&amp;E735,catClave,0))&amp;"","Variable")),"")</f>
        <v/>
      </c>
      <c r="Y735" s="52">
        <f>IF(P735="","",IFERROR(INDEX(catGrupo,MATCH(D735&amp;"|"&amp;E735,catClave,0))&amp;"",""))</f>
        <v/>
      </c>
      <c r="Z735" s="52">
        <f>IF(P735="","",WEEKDAY(B735,2))</f>
        <v/>
      </c>
      <c r="AA735" s="52">
        <f>IF(P735="","",IF(AND(P735="Gasto",X735="Variable",D735&lt;&gt;catTrading,S735&gt;0,S735&lt;=Umbral),1,0))</f>
        <v/>
      </c>
      <c r="AB735" s="52">
        <f>IF(OR(P735="",Q735=""),"",IFERROR(IF(INDEX(ctaVinc,MATCH(Q735,ctaNombre,0))&amp;""&lt;&gt;"",INDEX(ctaVinc,MATCH(Q735,ctaNombre,0))&amp;"",Q735),Q735))</f>
        <v/>
      </c>
      <c r="AC735" s="52">
        <f>IF(OR(K735="",AND(P735&lt;&gt;"Transferencia",P735&lt;&gt;"Pago tarjeta")),"",IFERROR(IF(INDEX(ctaVinc,MATCH(K735,ctaNombre,0))&amp;""&lt;&gt;"",INDEX(ctaVinc,MATCH(K735,ctaNombre,0))&amp;"",K735),K735))</f>
        <v/>
      </c>
      <c r="AD735" s="52">
        <f>IF(AB735="","",IFERROR(INDEX(ctaTipo,MATCH(AB735,ctaNombre,0))&amp;"",""))</f>
        <v/>
      </c>
      <c r="AE735" s="52">
        <f>IF(AC735="","",IFERROR(INDEX(ctaTipo,MATCH(AC735,ctaNombre,0))&amp;"",""))</f>
        <v/>
      </c>
      <c r="AF735" s="53">
        <f>IF(OR(P735="",AB735=""),"",IF(OR(P735="Gasto",P735="Transferencia",P735="Pago tarjeta"),-1,1)*IF(IFERROR(INDEX(ctaMoneda,MATCH(AB735,ctaNombre,0))&amp;"","DOP")="USD",T735,S735))</f>
        <v/>
      </c>
      <c r="AG735" s="53">
        <f>IF(AC735="","",IF(IFERROR(INDEX(ctaMoneda,MATCH(AC735,ctaNombre,0))&amp;"","DOP")="USD",T735,S735))</f>
        <v/>
      </c>
      <c r="AH735" s="53">
        <f>IF(P735="","",IF(AND(AD735&lt;&gt;"",COUNTIFS(tcTipo,AD735,tcLiq,"Sí")&gt;0),IF(OR(P735="Gasto",P735="Transferencia",P735="Pago tarjeta"),-1,1)*S735,0)+IF(AND(AE735&lt;&gt;"",COUNTIFS(tcTipo,AE735,tcLiq,"Sí")&gt;0),S735,0))</f>
        <v/>
      </c>
      <c r="AI735" s="52">
        <f>IF(OR(L735="",P735=""),"",IF(COUNTIFS(L$6:L735,L735,P$6:P735,"?*")=1,MAX(AI$5:AI734)+1,""))</f>
        <v/>
      </c>
    </row>
    <row r="736">
      <c r="B736" s="47" t="n"/>
      <c r="C736" s="48" t="n"/>
      <c r="D736" s="48" t="n"/>
      <c r="E736" s="48" t="n"/>
      <c r="F736" s="48" t="n"/>
      <c r="G736" s="49" t="n"/>
      <c r="H736" s="48" t="n"/>
      <c r="I736" s="50" t="n"/>
      <c r="J736" s="48" t="n"/>
      <c r="K736" s="48" t="n"/>
      <c r="L736" s="48" t="n"/>
      <c r="M736" s="48" t="n"/>
      <c r="N736" s="48" t="n"/>
      <c r="O736" s="51">
        <f>IF(AND(B736="",G736="",C736="",D736="",J736=""),"",IF(B736="","⚠ Falta fecha",IF(G736="","⚠ Falta monto",IF(Q736="","⚠ Falta cuenta",IF(ISNA(MATCH(Q736,ctaNombre,0)),"⚠ Cuenta no registrada",IF(AND(OR(P736="Gasto",P736="Reembolso"),D736=""),"⚠ Falta categoría",IF(AND(D736&lt;&gt;"",E736&lt;&gt;"",ISNA(MATCH(D736&amp;"|"&amp;E736,catClave,0))),"⚠ Subcategoría no corresponde",IF(AND(OR(P736="Transferencia",P736="Pago tarjeta"),K736=""),"⚠ Falta cuenta destino",IF(AND(K736&lt;&gt;"",P736&lt;&gt;"Transferencia",P736&lt;&gt;"Pago tarjeta"),"⚠ Destino solo aplica a transferencias",IF(AND(K736&lt;&gt;"",K736=Q736),"⚠ Origen igual a destino",IF(AND(K736&lt;&gt;"",ISNA(MATCH(K736,ctaNombre,0))),"⚠ Destino no registrado",IF(AND(P736="Pago tarjeta",AE736&lt;&gt;"Tarjeta de crédito"),"⚠ El destino debe ser tarjeta de crédito",IF(AND(P736="Gasto",E736="Depósitos y retiros"),"⚠ Usa tipo Transferencia",IF(AND(P736="Resultado trading",AD736&lt;&gt;"Cuenta de trading"),"⚠ Usa una cuenta de trading",IF(AND(G736&lt;=0,P736&lt;&gt;"Ajuste",P736&lt;&gt;"Resultado trading"),"⚠ El monto debe ser positivo","✓")))))))))))))))</f>
        <v/>
      </c>
      <c r="P736" s="52">
        <f>IF(OR(B736="",G736=""),"",IF(C736="","Gasto",C736))</f>
        <v/>
      </c>
      <c r="Q736" s="52">
        <f>IF(P736="","",IF(J736&lt;&gt;"",J736,CuentaPred&amp;""))</f>
        <v/>
      </c>
      <c r="R736" s="52">
        <f>IF(P736="","",IF(ISNUMBER(I736),I736,TasaUSD))</f>
        <v/>
      </c>
      <c r="S736" s="53">
        <f>IF(P736="","",IF(H736="USD",G736*R736,G736))</f>
        <v/>
      </c>
      <c r="T736" s="53">
        <f>IF(P736="","",IF(H736="USD",G736,IF(R736&gt;0,G736/R736,0)))</f>
        <v/>
      </c>
      <c r="U736" s="53">
        <f>IF(P736="","",IF(P736="Gasto",S736,IF(P736="Reembolso",-S736,0)))</f>
        <v/>
      </c>
      <c r="V736" s="53">
        <f>IF(P736="","",IF(P736="Ingreso",S736,0))</f>
        <v/>
      </c>
      <c r="W736" s="53">
        <f>IF(P736="","",IF(P736="Resultado trading",S736,0))</f>
        <v/>
      </c>
      <c r="X736" s="52">
        <f>IF(OR(P736="Gasto",P736="Reembolso"),IF(M736&lt;&gt;"",M736,IFERROR(INDEX(catClasif,MATCH(D736&amp;"|"&amp;E736,catClave,0))&amp;"","Variable")),"")</f>
        <v/>
      </c>
      <c r="Y736" s="52">
        <f>IF(P736="","",IFERROR(INDEX(catGrupo,MATCH(D736&amp;"|"&amp;E736,catClave,0))&amp;"",""))</f>
        <v/>
      </c>
      <c r="Z736" s="52">
        <f>IF(P736="","",WEEKDAY(B736,2))</f>
        <v/>
      </c>
      <c r="AA736" s="52">
        <f>IF(P736="","",IF(AND(P736="Gasto",X736="Variable",D736&lt;&gt;catTrading,S736&gt;0,S736&lt;=Umbral),1,0))</f>
        <v/>
      </c>
      <c r="AB736" s="52">
        <f>IF(OR(P736="",Q736=""),"",IFERROR(IF(INDEX(ctaVinc,MATCH(Q736,ctaNombre,0))&amp;""&lt;&gt;"",INDEX(ctaVinc,MATCH(Q736,ctaNombre,0))&amp;"",Q736),Q736))</f>
        <v/>
      </c>
      <c r="AC736" s="52">
        <f>IF(OR(K736="",AND(P736&lt;&gt;"Transferencia",P736&lt;&gt;"Pago tarjeta")),"",IFERROR(IF(INDEX(ctaVinc,MATCH(K736,ctaNombre,0))&amp;""&lt;&gt;"",INDEX(ctaVinc,MATCH(K736,ctaNombre,0))&amp;"",K736),K736))</f>
        <v/>
      </c>
      <c r="AD736" s="52">
        <f>IF(AB736="","",IFERROR(INDEX(ctaTipo,MATCH(AB736,ctaNombre,0))&amp;"",""))</f>
        <v/>
      </c>
      <c r="AE736" s="52">
        <f>IF(AC736="","",IFERROR(INDEX(ctaTipo,MATCH(AC736,ctaNombre,0))&amp;"",""))</f>
        <v/>
      </c>
      <c r="AF736" s="53">
        <f>IF(OR(P736="",AB736=""),"",IF(OR(P736="Gasto",P736="Transferencia",P736="Pago tarjeta"),-1,1)*IF(IFERROR(INDEX(ctaMoneda,MATCH(AB736,ctaNombre,0))&amp;"","DOP")="USD",T736,S736))</f>
        <v/>
      </c>
      <c r="AG736" s="53">
        <f>IF(AC736="","",IF(IFERROR(INDEX(ctaMoneda,MATCH(AC736,ctaNombre,0))&amp;"","DOP")="USD",T736,S736))</f>
        <v/>
      </c>
      <c r="AH736" s="53">
        <f>IF(P736="","",IF(AND(AD736&lt;&gt;"",COUNTIFS(tcTipo,AD736,tcLiq,"Sí")&gt;0),IF(OR(P736="Gasto",P736="Transferencia",P736="Pago tarjeta"),-1,1)*S736,0)+IF(AND(AE736&lt;&gt;"",COUNTIFS(tcTipo,AE736,tcLiq,"Sí")&gt;0),S736,0))</f>
        <v/>
      </c>
      <c r="AI736" s="52">
        <f>IF(OR(L736="",P736=""),"",IF(COUNTIFS(L$6:L736,L736,P$6:P736,"?*")=1,MAX(AI$5:AI735)+1,""))</f>
        <v/>
      </c>
    </row>
    <row r="737">
      <c r="B737" s="47" t="n"/>
      <c r="C737" s="48" t="n"/>
      <c r="D737" s="48" t="n"/>
      <c r="E737" s="48" t="n"/>
      <c r="F737" s="48" t="n"/>
      <c r="G737" s="49" t="n"/>
      <c r="H737" s="48" t="n"/>
      <c r="I737" s="50" t="n"/>
      <c r="J737" s="48" t="n"/>
      <c r="K737" s="48" t="n"/>
      <c r="L737" s="48" t="n"/>
      <c r="M737" s="48" t="n"/>
      <c r="N737" s="48" t="n"/>
      <c r="O737" s="51">
        <f>IF(AND(B737="",G737="",C737="",D737="",J737=""),"",IF(B737="","⚠ Falta fecha",IF(G737="","⚠ Falta monto",IF(Q737="","⚠ Falta cuenta",IF(ISNA(MATCH(Q737,ctaNombre,0)),"⚠ Cuenta no registrada",IF(AND(OR(P737="Gasto",P737="Reembolso"),D737=""),"⚠ Falta categoría",IF(AND(D737&lt;&gt;"",E737&lt;&gt;"",ISNA(MATCH(D737&amp;"|"&amp;E737,catClave,0))),"⚠ Subcategoría no corresponde",IF(AND(OR(P737="Transferencia",P737="Pago tarjeta"),K737=""),"⚠ Falta cuenta destino",IF(AND(K737&lt;&gt;"",P737&lt;&gt;"Transferencia",P737&lt;&gt;"Pago tarjeta"),"⚠ Destino solo aplica a transferencias",IF(AND(K737&lt;&gt;"",K737=Q737),"⚠ Origen igual a destino",IF(AND(K737&lt;&gt;"",ISNA(MATCH(K737,ctaNombre,0))),"⚠ Destino no registrado",IF(AND(P737="Pago tarjeta",AE737&lt;&gt;"Tarjeta de crédito"),"⚠ El destino debe ser tarjeta de crédito",IF(AND(P737="Gasto",E737="Depósitos y retiros"),"⚠ Usa tipo Transferencia",IF(AND(P737="Resultado trading",AD737&lt;&gt;"Cuenta de trading"),"⚠ Usa una cuenta de trading",IF(AND(G737&lt;=0,P737&lt;&gt;"Ajuste",P737&lt;&gt;"Resultado trading"),"⚠ El monto debe ser positivo","✓")))))))))))))))</f>
        <v/>
      </c>
      <c r="P737" s="52">
        <f>IF(OR(B737="",G737=""),"",IF(C737="","Gasto",C737))</f>
        <v/>
      </c>
      <c r="Q737" s="52">
        <f>IF(P737="","",IF(J737&lt;&gt;"",J737,CuentaPred&amp;""))</f>
        <v/>
      </c>
      <c r="R737" s="52">
        <f>IF(P737="","",IF(ISNUMBER(I737),I737,TasaUSD))</f>
        <v/>
      </c>
      <c r="S737" s="53">
        <f>IF(P737="","",IF(H737="USD",G737*R737,G737))</f>
        <v/>
      </c>
      <c r="T737" s="53">
        <f>IF(P737="","",IF(H737="USD",G737,IF(R737&gt;0,G737/R737,0)))</f>
        <v/>
      </c>
      <c r="U737" s="53">
        <f>IF(P737="","",IF(P737="Gasto",S737,IF(P737="Reembolso",-S737,0)))</f>
        <v/>
      </c>
      <c r="V737" s="53">
        <f>IF(P737="","",IF(P737="Ingreso",S737,0))</f>
        <v/>
      </c>
      <c r="W737" s="53">
        <f>IF(P737="","",IF(P737="Resultado trading",S737,0))</f>
        <v/>
      </c>
      <c r="X737" s="52">
        <f>IF(OR(P737="Gasto",P737="Reembolso"),IF(M737&lt;&gt;"",M737,IFERROR(INDEX(catClasif,MATCH(D737&amp;"|"&amp;E737,catClave,0))&amp;"","Variable")),"")</f>
        <v/>
      </c>
      <c r="Y737" s="52">
        <f>IF(P737="","",IFERROR(INDEX(catGrupo,MATCH(D737&amp;"|"&amp;E737,catClave,0))&amp;"",""))</f>
        <v/>
      </c>
      <c r="Z737" s="52">
        <f>IF(P737="","",WEEKDAY(B737,2))</f>
        <v/>
      </c>
      <c r="AA737" s="52">
        <f>IF(P737="","",IF(AND(P737="Gasto",X737="Variable",D737&lt;&gt;catTrading,S737&gt;0,S737&lt;=Umbral),1,0))</f>
        <v/>
      </c>
      <c r="AB737" s="52">
        <f>IF(OR(P737="",Q737=""),"",IFERROR(IF(INDEX(ctaVinc,MATCH(Q737,ctaNombre,0))&amp;""&lt;&gt;"",INDEX(ctaVinc,MATCH(Q737,ctaNombre,0))&amp;"",Q737),Q737))</f>
        <v/>
      </c>
      <c r="AC737" s="52">
        <f>IF(OR(K737="",AND(P737&lt;&gt;"Transferencia",P737&lt;&gt;"Pago tarjeta")),"",IFERROR(IF(INDEX(ctaVinc,MATCH(K737,ctaNombre,0))&amp;""&lt;&gt;"",INDEX(ctaVinc,MATCH(K737,ctaNombre,0))&amp;"",K737),K737))</f>
        <v/>
      </c>
      <c r="AD737" s="52">
        <f>IF(AB737="","",IFERROR(INDEX(ctaTipo,MATCH(AB737,ctaNombre,0))&amp;"",""))</f>
        <v/>
      </c>
      <c r="AE737" s="52">
        <f>IF(AC737="","",IFERROR(INDEX(ctaTipo,MATCH(AC737,ctaNombre,0))&amp;"",""))</f>
        <v/>
      </c>
      <c r="AF737" s="53">
        <f>IF(OR(P737="",AB737=""),"",IF(OR(P737="Gasto",P737="Transferencia",P737="Pago tarjeta"),-1,1)*IF(IFERROR(INDEX(ctaMoneda,MATCH(AB737,ctaNombre,0))&amp;"","DOP")="USD",T737,S737))</f>
        <v/>
      </c>
      <c r="AG737" s="53">
        <f>IF(AC737="","",IF(IFERROR(INDEX(ctaMoneda,MATCH(AC737,ctaNombre,0))&amp;"","DOP")="USD",T737,S737))</f>
        <v/>
      </c>
      <c r="AH737" s="53">
        <f>IF(P737="","",IF(AND(AD737&lt;&gt;"",COUNTIFS(tcTipo,AD737,tcLiq,"Sí")&gt;0),IF(OR(P737="Gasto",P737="Transferencia",P737="Pago tarjeta"),-1,1)*S737,0)+IF(AND(AE737&lt;&gt;"",COUNTIFS(tcTipo,AE737,tcLiq,"Sí")&gt;0),S737,0))</f>
        <v/>
      </c>
      <c r="AI737" s="52">
        <f>IF(OR(L737="",P737=""),"",IF(COUNTIFS(L$6:L737,L737,P$6:P737,"?*")=1,MAX(AI$5:AI736)+1,""))</f>
        <v/>
      </c>
    </row>
    <row r="738">
      <c r="B738" s="47" t="n"/>
      <c r="C738" s="48" t="n"/>
      <c r="D738" s="48" t="n"/>
      <c r="E738" s="48" t="n"/>
      <c r="F738" s="48" t="n"/>
      <c r="G738" s="49" t="n"/>
      <c r="H738" s="48" t="n"/>
      <c r="I738" s="50" t="n"/>
      <c r="J738" s="48" t="n"/>
      <c r="K738" s="48" t="n"/>
      <c r="L738" s="48" t="n"/>
      <c r="M738" s="48" t="n"/>
      <c r="N738" s="48" t="n"/>
      <c r="O738" s="51">
        <f>IF(AND(B738="",G738="",C738="",D738="",J738=""),"",IF(B738="","⚠ Falta fecha",IF(G738="","⚠ Falta monto",IF(Q738="","⚠ Falta cuenta",IF(ISNA(MATCH(Q738,ctaNombre,0)),"⚠ Cuenta no registrada",IF(AND(OR(P738="Gasto",P738="Reembolso"),D738=""),"⚠ Falta categoría",IF(AND(D738&lt;&gt;"",E738&lt;&gt;"",ISNA(MATCH(D738&amp;"|"&amp;E738,catClave,0))),"⚠ Subcategoría no corresponde",IF(AND(OR(P738="Transferencia",P738="Pago tarjeta"),K738=""),"⚠ Falta cuenta destino",IF(AND(K738&lt;&gt;"",P738&lt;&gt;"Transferencia",P738&lt;&gt;"Pago tarjeta"),"⚠ Destino solo aplica a transferencias",IF(AND(K738&lt;&gt;"",K738=Q738),"⚠ Origen igual a destino",IF(AND(K738&lt;&gt;"",ISNA(MATCH(K738,ctaNombre,0))),"⚠ Destino no registrado",IF(AND(P738="Pago tarjeta",AE738&lt;&gt;"Tarjeta de crédito"),"⚠ El destino debe ser tarjeta de crédito",IF(AND(P738="Gasto",E738="Depósitos y retiros"),"⚠ Usa tipo Transferencia",IF(AND(P738="Resultado trading",AD738&lt;&gt;"Cuenta de trading"),"⚠ Usa una cuenta de trading",IF(AND(G738&lt;=0,P738&lt;&gt;"Ajuste",P738&lt;&gt;"Resultado trading"),"⚠ El monto debe ser positivo","✓")))))))))))))))</f>
        <v/>
      </c>
      <c r="P738" s="52">
        <f>IF(OR(B738="",G738=""),"",IF(C738="","Gasto",C738))</f>
        <v/>
      </c>
      <c r="Q738" s="52">
        <f>IF(P738="","",IF(J738&lt;&gt;"",J738,CuentaPred&amp;""))</f>
        <v/>
      </c>
      <c r="R738" s="52">
        <f>IF(P738="","",IF(ISNUMBER(I738),I738,TasaUSD))</f>
        <v/>
      </c>
      <c r="S738" s="53">
        <f>IF(P738="","",IF(H738="USD",G738*R738,G738))</f>
        <v/>
      </c>
      <c r="T738" s="53">
        <f>IF(P738="","",IF(H738="USD",G738,IF(R738&gt;0,G738/R738,0)))</f>
        <v/>
      </c>
      <c r="U738" s="53">
        <f>IF(P738="","",IF(P738="Gasto",S738,IF(P738="Reembolso",-S738,0)))</f>
        <v/>
      </c>
      <c r="V738" s="53">
        <f>IF(P738="","",IF(P738="Ingreso",S738,0))</f>
        <v/>
      </c>
      <c r="W738" s="53">
        <f>IF(P738="","",IF(P738="Resultado trading",S738,0))</f>
        <v/>
      </c>
      <c r="X738" s="52">
        <f>IF(OR(P738="Gasto",P738="Reembolso"),IF(M738&lt;&gt;"",M738,IFERROR(INDEX(catClasif,MATCH(D738&amp;"|"&amp;E738,catClave,0))&amp;"","Variable")),"")</f>
        <v/>
      </c>
      <c r="Y738" s="52">
        <f>IF(P738="","",IFERROR(INDEX(catGrupo,MATCH(D738&amp;"|"&amp;E738,catClave,0))&amp;"",""))</f>
        <v/>
      </c>
      <c r="Z738" s="52">
        <f>IF(P738="","",WEEKDAY(B738,2))</f>
        <v/>
      </c>
      <c r="AA738" s="52">
        <f>IF(P738="","",IF(AND(P738="Gasto",X738="Variable",D738&lt;&gt;catTrading,S738&gt;0,S738&lt;=Umbral),1,0))</f>
        <v/>
      </c>
      <c r="AB738" s="52">
        <f>IF(OR(P738="",Q738=""),"",IFERROR(IF(INDEX(ctaVinc,MATCH(Q738,ctaNombre,0))&amp;""&lt;&gt;"",INDEX(ctaVinc,MATCH(Q738,ctaNombre,0))&amp;"",Q738),Q738))</f>
        <v/>
      </c>
      <c r="AC738" s="52">
        <f>IF(OR(K738="",AND(P738&lt;&gt;"Transferencia",P738&lt;&gt;"Pago tarjeta")),"",IFERROR(IF(INDEX(ctaVinc,MATCH(K738,ctaNombre,0))&amp;""&lt;&gt;"",INDEX(ctaVinc,MATCH(K738,ctaNombre,0))&amp;"",K738),K738))</f>
        <v/>
      </c>
      <c r="AD738" s="52">
        <f>IF(AB738="","",IFERROR(INDEX(ctaTipo,MATCH(AB738,ctaNombre,0))&amp;"",""))</f>
        <v/>
      </c>
      <c r="AE738" s="52">
        <f>IF(AC738="","",IFERROR(INDEX(ctaTipo,MATCH(AC738,ctaNombre,0))&amp;"",""))</f>
        <v/>
      </c>
      <c r="AF738" s="53">
        <f>IF(OR(P738="",AB738=""),"",IF(OR(P738="Gasto",P738="Transferencia",P738="Pago tarjeta"),-1,1)*IF(IFERROR(INDEX(ctaMoneda,MATCH(AB738,ctaNombre,0))&amp;"","DOP")="USD",T738,S738))</f>
        <v/>
      </c>
      <c r="AG738" s="53">
        <f>IF(AC738="","",IF(IFERROR(INDEX(ctaMoneda,MATCH(AC738,ctaNombre,0))&amp;"","DOP")="USD",T738,S738))</f>
        <v/>
      </c>
      <c r="AH738" s="53">
        <f>IF(P738="","",IF(AND(AD738&lt;&gt;"",COUNTIFS(tcTipo,AD738,tcLiq,"Sí")&gt;0),IF(OR(P738="Gasto",P738="Transferencia",P738="Pago tarjeta"),-1,1)*S738,0)+IF(AND(AE738&lt;&gt;"",COUNTIFS(tcTipo,AE738,tcLiq,"Sí")&gt;0),S738,0))</f>
        <v/>
      </c>
      <c r="AI738" s="52">
        <f>IF(OR(L738="",P738=""),"",IF(COUNTIFS(L$6:L738,L738,P$6:P738,"?*")=1,MAX(AI$5:AI737)+1,""))</f>
        <v/>
      </c>
    </row>
    <row r="739">
      <c r="B739" s="47" t="n"/>
      <c r="C739" s="48" t="n"/>
      <c r="D739" s="48" t="n"/>
      <c r="E739" s="48" t="n"/>
      <c r="F739" s="48" t="n"/>
      <c r="G739" s="49" t="n"/>
      <c r="H739" s="48" t="n"/>
      <c r="I739" s="50" t="n"/>
      <c r="J739" s="48" t="n"/>
      <c r="K739" s="48" t="n"/>
      <c r="L739" s="48" t="n"/>
      <c r="M739" s="48" t="n"/>
      <c r="N739" s="48" t="n"/>
      <c r="O739" s="51">
        <f>IF(AND(B739="",G739="",C739="",D739="",J739=""),"",IF(B739="","⚠ Falta fecha",IF(G739="","⚠ Falta monto",IF(Q739="","⚠ Falta cuenta",IF(ISNA(MATCH(Q739,ctaNombre,0)),"⚠ Cuenta no registrada",IF(AND(OR(P739="Gasto",P739="Reembolso"),D739=""),"⚠ Falta categoría",IF(AND(D739&lt;&gt;"",E739&lt;&gt;"",ISNA(MATCH(D739&amp;"|"&amp;E739,catClave,0))),"⚠ Subcategoría no corresponde",IF(AND(OR(P739="Transferencia",P739="Pago tarjeta"),K739=""),"⚠ Falta cuenta destino",IF(AND(K739&lt;&gt;"",P739&lt;&gt;"Transferencia",P739&lt;&gt;"Pago tarjeta"),"⚠ Destino solo aplica a transferencias",IF(AND(K739&lt;&gt;"",K739=Q739),"⚠ Origen igual a destino",IF(AND(K739&lt;&gt;"",ISNA(MATCH(K739,ctaNombre,0))),"⚠ Destino no registrado",IF(AND(P739="Pago tarjeta",AE739&lt;&gt;"Tarjeta de crédito"),"⚠ El destino debe ser tarjeta de crédito",IF(AND(P739="Gasto",E739="Depósitos y retiros"),"⚠ Usa tipo Transferencia",IF(AND(P739="Resultado trading",AD739&lt;&gt;"Cuenta de trading"),"⚠ Usa una cuenta de trading",IF(AND(G739&lt;=0,P739&lt;&gt;"Ajuste",P739&lt;&gt;"Resultado trading"),"⚠ El monto debe ser positivo","✓")))))))))))))))</f>
        <v/>
      </c>
      <c r="P739" s="52">
        <f>IF(OR(B739="",G739=""),"",IF(C739="","Gasto",C739))</f>
        <v/>
      </c>
      <c r="Q739" s="52">
        <f>IF(P739="","",IF(J739&lt;&gt;"",J739,CuentaPred&amp;""))</f>
        <v/>
      </c>
      <c r="R739" s="52">
        <f>IF(P739="","",IF(ISNUMBER(I739),I739,TasaUSD))</f>
        <v/>
      </c>
      <c r="S739" s="53">
        <f>IF(P739="","",IF(H739="USD",G739*R739,G739))</f>
        <v/>
      </c>
      <c r="T739" s="53">
        <f>IF(P739="","",IF(H739="USD",G739,IF(R739&gt;0,G739/R739,0)))</f>
        <v/>
      </c>
      <c r="U739" s="53">
        <f>IF(P739="","",IF(P739="Gasto",S739,IF(P739="Reembolso",-S739,0)))</f>
        <v/>
      </c>
      <c r="V739" s="53">
        <f>IF(P739="","",IF(P739="Ingreso",S739,0))</f>
        <v/>
      </c>
      <c r="W739" s="53">
        <f>IF(P739="","",IF(P739="Resultado trading",S739,0))</f>
        <v/>
      </c>
      <c r="X739" s="52">
        <f>IF(OR(P739="Gasto",P739="Reembolso"),IF(M739&lt;&gt;"",M739,IFERROR(INDEX(catClasif,MATCH(D739&amp;"|"&amp;E739,catClave,0))&amp;"","Variable")),"")</f>
        <v/>
      </c>
      <c r="Y739" s="52">
        <f>IF(P739="","",IFERROR(INDEX(catGrupo,MATCH(D739&amp;"|"&amp;E739,catClave,0))&amp;"",""))</f>
        <v/>
      </c>
      <c r="Z739" s="52">
        <f>IF(P739="","",WEEKDAY(B739,2))</f>
        <v/>
      </c>
      <c r="AA739" s="52">
        <f>IF(P739="","",IF(AND(P739="Gasto",X739="Variable",D739&lt;&gt;catTrading,S739&gt;0,S739&lt;=Umbral),1,0))</f>
        <v/>
      </c>
      <c r="AB739" s="52">
        <f>IF(OR(P739="",Q739=""),"",IFERROR(IF(INDEX(ctaVinc,MATCH(Q739,ctaNombre,0))&amp;""&lt;&gt;"",INDEX(ctaVinc,MATCH(Q739,ctaNombre,0))&amp;"",Q739),Q739))</f>
        <v/>
      </c>
      <c r="AC739" s="52">
        <f>IF(OR(K739="",AND(P739&lt;&gt;"Transferencia",P739&lt;&gt;"Pago tarjeta")),"",IFERROR(IF(INDEX(ctaVinc,MATCH(K739,ctaNombre,0))&amp;""&lt;&gt;"",INDEX(ctaVinc,MATCH(K739,ctaNombre,0))&amp;"",K739),K739))</f>
        <v/>
      </c>
      <c r="AD739" s="52">
        <f>IF(AB739="","",IFERROR(INDEX(ctaTipo,MATCH(AB739,ctaNombre,0))&amp;"",""))</f>
        <v/>
      </c>
      <c r="AE739" s="52">
        <f>IF(AC739="","",IFERROR(INDEX(ctaTipo,MATCH(AC739,ctaNombre,0))&amp;"",""))</f>
        <v/>
      </c>
      <c r="AF739" s="53">
        <f>IF(OR(P739="",AB739=""),"",IF(OR(P739="Gasto",P739="Transferencia",P739="Pago tarjeta"),-1,1)*IF(IFERROR(INDEX(ctaMoneda,MATCH(AB739,ctaNombre,0))&amp;"","DOP")="USD",T739,S739))</f>
        <v/>
      </c>
      <c r="AG739" s="53">
        <f>IF(AC739="","",IF(IFERROR(INDEX(ctaMoneda,MATCH(AC739,ctaNombre,0))&amp;"","DOP")="USD",T739,S739))</f>
        <v/>
      </c>
      <c r="AH739" s="53">
        <f>IF(P739="","",IF(AND(AD739&lt;&gt;"",COUNTIFS(tcTipo,AD739,tcLiq,"Sí")&gt;0),IF(OR(P739="Gasto",P739="Transferencia",P739="Pago tarjeta"),-1,1)*S739,0)+IF(AND(AE739&lt;&gt;"",COUNTIFS(tcTipo,AE739,tcLiq,"Sí")&gt;0),S739,0))</f>
        <v/>
      </c>
      <c r="AI739" s="52">
        <f>IF(OR(L739="",P739=""),"",IF(COUNTIFS(L$6:L739,L739,P$6:P739,"?*")=1,MAX(AI$5:AI738)+1,""))</f>
        <v/>
      </c>
    </row>
    <row r="740">
      <c r="B740" s="47" t="n"/>
      <c r="C740" s="48" t="n"/>
      <c r="D740" s="48" t="n"/>
      <c r="E740" s="48" t="n"/>
      <c r="F740" s="48" t="n"/>
      <c r="G740" s="49" t="n"/>
      <c r="H740" s="48" t="n"/>
      <c r="I740" s="50" t="n"/>
      <c r="J740" s="48" t="n"/>
      <c r="K740" s="48" t="n"/>
      <c r="L740" s="48" t="n"/>
      <c r="M740" s="48" t="n"/>
      <c r="N740" s="48" t="n"/>
      <c r="O740" s="51">
        <f>IF(AND(B740="",G740="",C740="",D740="",J740=""),"",IF(B740="","⚠ Falta fecha",IF(G740="","⚠ Falta monto",IF(Q740="","⚠ Falta cuenta",IF(ISNA(MATCH(Q740,ctaNombre,0)),"⚠ Cuenta no registrada",IF(AND(OR(P740="Gasto",P740="Reembolso"),D740=""),"⚠ Falta categoría",IF(AND(D740&lt;&gt;"",E740&lt;&gt;"",ISNA(MATCH(D740&amp;"|"&amp;E740,catClave,0))),"⚠ Subcategoría no corresponde",IF(AND(OR(P740="Transferencia",P740="Pago tarjeta"),K740=""),"⚠ Falta cuenta destino",IF(AND(K740&lt;&gt;"",P740&lt;&gt;"Transferencia",P740&lt;&gt;"Pago tarjeta"),"⚠ Destino solo aplica a transferencias",IF(AND(K740&lt;&gt;"",K740=Q740),"⚠ Origen igual a destino",IF(AND(K740&lt;&gt;"",ISNA(MATCH(K740,ctaNombre,0))),"⚠ Destino no registrado",IF(AND(P740="Pago tarjeta",AE740&lt;&gt;"Tarjeta de crédito"),"⚠ El destino debe ser tarjeta de crédito",IF(AND(P740="Gasto",E740="Depósitos y retiros"),"⚠ Usa tipo Transferencia",IF(AND(P740="Resultado trading",AD740&lt;&gt;"Cuenta de trading"),"⚠ Usa una cuenta de trading",IF(AND(G740&lt;=0,P740&lt;&gt;"Ajuste",P740&lt;&gt;"Resultado trading"),"⚠ El monto debe ser positivo","✓")))))))))))))))</f>
        <v/>
      </c>
      <c r="P740" s="52">
        <f>IF(OR(B740="",G740=""),"",IF(C740="","Gasto",C740))</f>
        <v/>
      </c>
      <c r="Q740" s="52">
        <f>IF(P740="","",IF(J740&lt;&gt;"",J740,CuentaPred&amp;""))</f>
        <v/>
      </c>
      <c r="R740" s="52">
        <f>IF(P740="","",IF(ISNUMBER(I740),I740,TasaUSD))</f>
        <v/>
      </c>
      <c r="S740" s="53">
        <f>IF(P740="","",IF(H740="USD",G740*R740,G740))</f>
        <v/>
      </c>
      <c r="T740" s="53">
        <f>IF(P740="","",IF(H740="USD",G740,IF(R740&gt;0,G740/R740,0)))</f>
        <v/>
      </c>
      <c r="U740" s="53">
        <f>IF(P740="","",IF(P740="Gasto",S740,IF(P740="Reembolso",-S740,0)))</f>
        <v/>
      </c>
      <c r="V740" s="53">
        <f>IF(P740="","",IF(P740="Ingreso",S740,0))</f>
        <v/>
      </c>
      <c r="W740" s="53">
        <f>IF(P740="","",IF(P740="Resultado trading",S740,0))</f>
        <v/>
      </c>
      <c r="X740" s="52">
        <f>IF(OR(P740="Gasto",P740="Reembolso"),IF(M740&lt;&gt;"",M740,IFERROR(INDEX(catClasif,MATCH(D740&amp;"|"&amp;E740,catClave,0))&amp;"","Variable")),"")</f>
        <v/>
      </c>
      <c r="Y740" s="52">
        <f>IF(P740="","",IFERROR(INDEX(catGrupo,MATCH(D740&amp;"|"&amp;E740,catClave,0))&amp;"",""))</f>
        <v/>
      </c>
      <c r="Z740" s="52">
        <f>IF(P740="","",WEEKDAY(B740,2))</f>
        <v/>
      </c>
      <c r="AA740" s="52">
        <f>IF(P740="","",IF(AND(P740="Gasto",X740="Variable",D740&lt;&gt;catTrading,S740&gt;0,S740&lt;=Umbral),1,0))</f>
        <v/>
      </c>
      <c r="AB740" s="52">
        <f>IF(OR(P740="",Q740=""),"",IFERROR(IF(INDEX(ctaVinc,MATCH(Q740,ctaNombre,0))&amp;""&lt;&gt;"",INDEX(ctaVinc,MATCH(Q740,ctaNombre,0))&amp;"",Q740),Q740))</f>
        <v/>
      </c>
      <c r="AC740" s="52">
        <f>IF(OR(K740="",AND(P740&lt;&gt;"Transferencia",P740&lt;&gt;"Pago tarjeta")),"",IFERROR(IF(INDEX(ctaVinc,MATCH(K740,ctaNombre,0))&amp;""&lt;&gt;"",INDEX(ctaVinc,MATCH(K740,ctaNombre,0))&amp;"",K740),K740))</f>
        <v/>
      </c>
      <c r="AD740" s="52">
        <f>IF(AB740="","",IFERROR(INDEX(ctaTipo,MATCH(AB740,ctaNombre,0))&amp;"",""))</f>
        <v/>
      </c>
      <c r="AE740" s="52">
        <f>IF(AC740="","",IFERROR(INDEX(ctaTipo,MATCH(AC740,ctaNombre,0))&amp;"",""))</f>
        <v/>
      </c>
      <c r="AF740" s="53">
        <f>IF(OR(P740="",AB740=""),"",IF(OR(P740="Gasto",P740="Transferencia",P740="Pago tarjeta"),-1,1)*IF(IFERROR(INDEX(ctaMoneda,MATCH(AB740,ctaNombre,0))&amp;"","DOP")="USD",T740,S740))</f>
        <v/>
      </c>
      <c r="AG740" s="53">
        <f>IF(AC740="","",IF(IFERROR(INDEX(ctaMoneda,MATCH(AC740,ctaNombre,0))&amp;"","DOP")="USD",T740,S740))</f>
        <v/>
      </c>
      <c r="AH740" s="53">
        <f>IF(P740="","",IF(AND(AD740&lt;&gt;"",COUNTIFS(tcTipo,AD740,tcLiq,"Sí")&gt;0),IF(OR(P740="Gasto",P740="Transferencia",P740="Pago tarjeta"),-1,1)*S740,0)+IF(AND(AE740&lt;&gt;"",COUNTIFS(tcTipo,AE740,tcLiq,"Sí")&gt;0),S740,0))</f>
        <v/>
      </c>
      <c r="AI740" s="52">
        <f>IF(OR(L740="",P740=""),"",IF(COUNTIFS(L$6:L740,L740,P$6:P740,"?*")=1,MAX(AI$5:AI739)+1,""))</f>
        <v/>
      </c>
    </row>
    <row r="741">
      <c r="B741" s="47" t="n"/>
      <c r="C741" s="48" t="n"/>
      <c r="D741" s="48" t="n"/>
      <c r="E741" s="48" t="n"/>
      <c r="F741" s="48" t="n"/>
      <c r="G741" s="49" t="n"/>
      <c r="H741" s="48" t="n"/>
      <c r="I741" s="50" t="n"/>
      <c r="J741" s="48" t="n"/>
      <c r="K741" s="48" t="n"/>
      <c r="L741" s="48" t="n"/>
      <c r="M741" s="48" t="n"/>
      <c r="N741" s="48" t="n"/>
      <c r="O741" s="51">
        <f>IF(AND(B741="",G741="",C741="",D741="",J741=""),"",IF(B741="","⚠ Falta fecha",IF(G741="","⚠ Falta monto",IF(Q741="","⚠ Falta cuenta",IF(ISNA(MATCH(Q741,ctaNombre,0)),"⚠ Cuenta no registrada",IF(AND(OR(P741="Gasto",P741="Reembolso"),D741=""),"⚠ Falta categoría",IF(AND(D741&lt;&gt;"",E741&lt;&gt;"",ISNA(MATCH(D741&amp;"|"&amp;E741,catClave,0))),"⚠ Subcategoría no corresponde",IF(AND(OR(P741="Transferencia",P741="Pago tarjeta"),K741=""),"⚠ Falta cuenta destino",IF(AND(K741&lt;&gt;"",P741&lt;&gt;"Transferencia",P741&lt;&gt;"Pago tarjeta"),"⚠ Destino solo aplica a transferencias",IF(AND(K741&lt;&gt;"",K741=Q741),"⚠ Origen igual a destino",IF(AND(K741&lt;&gt;"",ISNA(MATCH(K741,ctaNombre,0))),"⚠ Destino no registrado",IF(AND(P741="Pago tarjeta",AE741&lt;&gt;"Tarjeta de crédito"),"⚠ El destino debe ser tarjeta de crédito",IF(AND(P741="Gasto",E741="Depósitos y retiros"),"⚠ Usa tipo Transferencia",IF(AND(P741="Resultado trading",AD741&lt;&gt;"Cuenta de trading"),"⚠ Usa una cuenta de trading",IF(AND(G741&lt;=0,P741&lt;&gt;"Ajuste",P741&lt;&gt;"Resultado trading"),"⚠ El monto debe ser positivo","✓")))))))))))))))</f>
        <v/>
      </c>
      <c r="P741" s="52">
        <f>IF(OR(B741="",G741=""),"",IF(C741="","Gasto",C741))</f>
        <v/>
      </c>
      <c r="Q741" s="52">
        <f>IF(P741="","",IF(J741&lt;&gt;"",J741,CuentaPred&amp;""))</f>
        <v/>
      </c>
      <c r="R741" s="52">
        <f>IF(P741="","",IF(ISNUMBER(I741),I741,TasaUSD))</f>
        <v/>
      </c>
      <c r="S741" s="53">
        <f>IF(P741="","",IF(H741="USD",G741*R741,G741))</f>
        <v/>
      </c>
      <c r="T741" s="53">
        <f>IF(P741="","",IF(H741="USD",G741,IF(R741&gt;0,G741/R741,0)))</f>
        <v/>
      </c>
      <c r="U741" s="53">
        <f>IF(P741="","",IF(P741="Gasto",S741,IF(P741="Reembolso",-S741,0)))</f>
        <v/>
      </c>
      <c r="V741" s="53">
        <f>IF(P741="","",IF(P741="Ingreso",S741,0))</f>
        <v/>
      </c>
      <c r="W741" s="53">
        <f>IF(P741="","",IF(P741="Resultado trading",S741,0))</f>
        <v/>
      </c>
      <c r="X741" s="52">
        <f>IF(OR(P741="Gasto",P741="Reembolso"),IF(M741&lt;&gt;"",M741,IFERROR(INDEX(catClasif,MATCH(D741&amp;"|"&amp;E741,catClave,0))&amp;"","Variable")),"")</f>
        <v/>
      </c>
      <c r="Y741" s="52">
        <f>IF(P741="","",IFERROR(INDEX(catGrupo,MATCH(D741&amp;"|"&amp;E741,catClave,0))&amp;"",""))</f>
        <v/>
      </c>
      <c r="Z741" s="52">
        <f>IF(P741="","",WEEKDAY(B741,2))</f>
        <v/>
      </c>
      <c r="AA741" s="52">
        <f>IF(P741="","",IF(AND(P741="Gasto",X741="Variable",D741&lt;&gt;catTrading,S741&gt;0,S741&lt;=Umbral),1,0))</f>
        <v/>
      </c>
      <c r="AB741" s="52">
        <f>IF(OR(P741="",Q741=""),"",IFERROR(IF(INDEX(ctaVinc,MATCH(Q741,ctaNombre,0))&amp;""&lt;&gt;"",INDEX(ctaVinc,MATCH(Q741,ctaNombre,0))&amp;"",Q741),Q741))</f>
        <v/>
      </c>
      <c r="AC741" s="52">
        <f>IF(OR(K741="",AND(P741&lt;&gt;"Transferencia",P741&lt;&gt;"Pago tarjeta")),"",IFERROR(IF(INDEX(ctaVinc,MATCH(K741,ctaNombre,0))&amp;""&lt;&gt;"",INDEX(ctaVinc,MATCH(K741,ctaNombre,0))&amp;"",K741),K741))</f>
        <v/>
      </c>
      <c r="AD741" s="52">
        <f>IF(AB741="","",IFERROR(INDEX(ctaTipo,MATCH(AB741,ctaNombre,0))&amp;"",""))</f>
        <v/>
      </c>
      <c r="AE741" s="52">
        <f>IF(AC741="","",IFERROR(INDEX(ctaTipo,MATCH(AC741,ctaNombre,0))&amp;"",""))</f>
        <v/>
      </c>
      <c r="AF741" s="53">
        <f>IF(OR(P741="",AB741=""),"",IF(OR(P741="Gasto",P741="Transferencia",P741="Pago tarjeta"),-1,1)*IF(IFERROR(INDEX(ctaMoneda,MATCH(AB741,ctaNombre,0))&amp;"","DOP")="USD",T741,S741))</f>
        <v/>
      </c>
      <c r="AG741" s="53">
        <f>IF(AC741="","",IF(IFERROR(INDEX(ctaMoneda,MATCH(AC741,ctaNombre,0))&amp;"","DOP")="USD",T741,S741))</f>
        <v/>
      </c>
      <c r="AH741" s="53">
        <f>IF(P741="","",IF(AND(AD741&lt;&gt;"",COUNTIFS(tcTipo,AD741,tcLiq,"Sí")&gt;0),IF(OR(P741="Gasto",P741="Transferencia",P741="Pago tarjeta"),-1,1)*S741,0)+IF(AND(AE741&lt;&gt;"",COUNTIFS(tcTipo,AE741,tcLiq,"Sí")&gt;0),S741,0))</f>
        <v/>
      </c>
      <c r="AI741" s="52">
        <f>IF(OR(L741="",P741=""),"",IF(COUNTIFS(L$6:L741,L741,P$6:P741,"?*")=1,MAX(AI$5:AI740)+1,""))</f>
        <v/>
      </c>
    </row>
    <row r="742">
      <c r="B742" s="47" t="n"/>
      <c r="C742" s="48" t="n"/>
      <c r="D742" s="48" t="n"/>
      <c r="E742" s="48" t="n"/>
      <c r="F742" s="48" t="n"/>
      <c r="G742" s="49" t="n"/>
      <c r="H742" s="48" t="n"/>
      <c r="I742" s="50" t="n"/>
      <c r="J742" s="48" t="n"/>
      <c r="K742" s="48" t="n"/>
      <c r="L742" s="48" t="n"/>
      <c r="M742" s="48" t="n"/>
      <c r="N742" s="48" t="n"/>
      <c r="O742" s="51">
        <f>IF(AND(B742="",G742="",C742="",D742="",J742=""),"",IF(B742="","⚠ Falta fecha",IF(G742="","⚠ Falta monto",IF(Q742="","⚠ Falta cuenta",IF(ISNA(MATCH(Q742,ctaNombre,0)),"⚠ Cuenta no registrada",IF(AND(OR(P742="Gasto",P742="Reembolso"),D742=""),"⚠ Falta categoría",IF(AND(D742&lt;&gt;"",E742&lt;&gt;"",ISNA(MATCH(D742&amp;"|"&amp;E742,catClave,0))),"⚠ Subcategoría no corresponde",IF(AND(OR(P742="Transferencia",P742="Pago tarjeta"),K742=""),"⚠ Falta cuenta destino",IF(AND(K742&lt;&gt;"",P742&lt;&gt;"Transferencia",P742&lt;&gt;"Pago tarjeta"),"⚠ Destino solo aplica a transferencias",IF(AND(K742&lt;&gt;"",K742=Q742),"⚠ Origen igual a destino",IF(AND(K742&lt;&gt;"",ISNA(MATCH(K742,ctaNombre,0))),"⚠ Destino no registrado",IF(AND(P742="Pago tarjeta",AE742&lt;&gt;"Tarjeta de crédito"),"⚠ El destino debe ser tarjeta de crédito",IF(AND(P742="Gasto",E742="Depósitos y retiros"),"⚠ Usa tipo Transferencia",IF(AND(P742="Resultado trading",AD742&lt;&gt;"Cuenta de trading"),"⚠ Usa una cuenta de trading",IF(AND(G742&lt;=0,P742&lt;&gt;"Ajuste",P742&lt;&gt;"Resultado trading"),"⚠ El monto debe ser positivo","✓")))))))))))))))</f>
        <v/>
      </c>
      <c r="P742" s="52">
        <f>IF(OR(B742="",G742=""),"",IF(C742="","Gasto",C742))</f>
        <v/>
      </c>
      <c r="Q742" s="52">
        <f>IF(P742="","",IF(J742&lt;&gt;"",J742,CuentaPred&amp;""))</f>
        <v/>
      </c>
      <c r="R742" s="52">
        <f>IF(P742="","",IF(ISNUMBER(I742),I742,TasaUSD))</f>
        <v/>
      </c>
      <c r="S742" s="53">
        <f>IF(P742="","",IF(H742="USD",G742*R742,G742))</f>
        <v/>
      </c>
      <c r="T742" s="53">
        <f>IF(P742="","",IF(H742="USD",G742,IF(R742&gt;0,G742/R742,0)))</f>
        <v/>
      </c>
      <c r="U742" s="53">
        <f>IF(P742="","",IF(P742="Gasto",S742,IF(P742="Reembolso",-S742,0)))</f>
        <v/>
      </c>
      <c r="V742" s="53">
        <f>IF(P742="","",IF(P742="Ingreso",S742,0))</f>
        <v/>
      </c>
      <c r="W742" s="53">
        <f>IF(P742="","",IF(P742="Resultado trading",S742,0))</f>
        <v/>
      </c>
      <c r="X742" s="52">
        <f>IF(OR(P742="Gasto",P742="Reembolso"),IF(M742&lt;&gt;"",M742,IFERROR(INDEX(catClasif,MATCH(D742&amp;"|"&amp;E742,catClave,0))&amp;"","Variable")),"")</f>
        <v/>
      </c>
      <c r="Y742" s="52">
        <f>IF(P742="","",IFERROR(INDEX(catGrupo,MATCH(D742&amp;"|"&amp;E742,catClave,0))&amp;"",""))</f>
        <v/>
      </c>
      <c r="Z742" s="52">
        <f>IF(P742="","",WEEKDAY(B742,2))</f>
        <v/>
      </c>
      <c r="AA742" s="52">
        <f>IF(P742="","",IF(AND(P742="Gasto",X742="Variable",D742&lt;&gt;catTrading,S742&gt;0,S742&lt;=Umbral),1,0))</f>
        <v/>
      </c>
      <c r="AB742" s="52">
        <f>IF(OR(P742="",Q742=""),"",IFERROR(IF(INDEX(ctaVinc,MATCH(Q742,ctaNombre,0))&amp;""&lt;&gt;"",INDEX(ctaVinc,MATCH(Q742,ctaNombre,0))&amp;"",Q742),Q742))</f>
        <v/>
      </c>
      <c r="AC742" s="52">
        <f>IF(OR(K742="",AND(P742&lt;&gt;"Transferencia",P742&lt;&gt;"Pago tarjeta")),"",IFERROR(IF(INDEX(ctaVinc,MATCH(K742,ctaNombre,0))&amp;""&lt;&gt;"",INDEX(ctaVinc,MATCH(K742,ctaNombre,0))&amp;"",K742),K742))</f>
        <v/>
      </c>
      <c r="AD742" s="52">
        <f>IF(AB742="","",IFERROR(INDEX(ctaTipo,MATCH(AB742,ctaNombre,0))&amp;"",""))</f>
        <v/>
      </c>
      <c r="AE742" s="52">
        <f>IF(AC742="","",IFERROR(INDEX(ctaTipo,MATCH(AC742,ctaNombre,0))&amp;"",""))</f>
        <v/>
      </c>
      <c r="AF742" s="53">
        <f>IF(OR(P742="",AB742=""),"",IF(OR(P742="Gasto",P742="Transferencia",P742="Pago tarjeta"),-1,1)*IF(IFERROR(INDEX(ctaMoneda,MATCH(AB742,ctaNombre,0))&amp;"","DOP")="USD",T742,S742))</f>
        <v/>
      </c>
      <c r="AG742" s="53">
        <f>IF(AC742="","",IF(IFERROR(INDEX(ctaMoneda,MATCH(AC742,ctaNombre,0))&amp;"","DOP")="USD",T742,S742))</f>
        <v/>
      </c>
      <c r="AH742" s="53">
        <f>IF(P742="","",IF(AND(AD742&lt;&gt;"",COUNTIFS(tcTipo,AD742,tcLiq,"Sí")&gt;0),IF(OR(P742="Gasto",P742="Transferencia",P742="Pago tarjeta"),-1,1)*S742,0)+IF(AND(AE742&lt;&gt;"",COUNTIFS(tcTipo,AE742,tcLiq,"Sí")&gt;0),S742,0))</f>
        <v/>
      </c>
      <c r="AI742" s="52">
        <f>IF(OR(L742="",P742=""),"",IF(COUNTIFS(L$6:L742,L742,P$6:P742,"?*")=1,MAX(AI$5:AI741)+1,""))</f>
        <v/>
      </c>
    </row>
    <row r="743">
      <c r="B743" s="47" t="n"/>
      <c r="C743" s="48" t="n"/>
      <c r="D743" s="48" t="n"/>
      <c r="E743" s="48" t="n"/>
      <c r="F743" s="48" t="n"/>
      <c r="G743" s="49" t="n"/>
      <c r="H743" s="48" t="n"/>
      <c r="I743" s="50" t="n"/>
      <c r="J743" s="48" t="n"/>
      <c r="K743" s="48" t="n"/>
      <c r="L743" s="48" t="n"/>
      <c r="M743" s="48" t="n"/>
      <c r="N743" s="48" t="n"/>
      <c r="O743" s="51">
        <f>IF(AND(B743="",G743="",C743="",D743="",J743=""),"",IF(B743="","⚠ Falta fecha",IF(G743="","⚠ Falta monto",IF(Q743="","⚠ Falta cuenta",IF(ISNA(MATCH(Q743,ctaNombre,0)),"⚠ Cuenta no registrada",IF(AND(OR(P743="Gasto",P743="Reembolso"),D743=""),"⚠ Falta categoría",IF(AND(D743&lt;&gt;"",E743&lt;&gt;"",ISNA(MATCH(D743&amp;"|"&amp;E743,catClave,0))),"⚠ Subcategoría no corresponde",IF(AND(OR(P743="Transferencia",P743="Pago tarjeta"),K743=""),"⚠ Falta cuenta destino",IF(AND(K743&lt;&gt;"",P743&lt;&gt;"Transferencia",P743&lt;&gt;"Pago tarjeta"),"⚠ Destino solo aplica a transferencias",IF(AND(K743&lt;&gt;"",K743=Q743),"⚠ Origen igual a destino",IF(AND(K743&lt;&gt;"",ISNA(MATCH(K743,ctaNombre,0))),"⚠ Destino no registrado",IF(AND(P743="Pago tarjeta",AE743&lt;&gt;"Tarjeta de crédito"),"⚠ El destino debe ser tarjeta de crédito",IF(AND(P743="Gasto",E743="Depósitos y retiros"),"⚠ Usa tipo Transferencia",IF(AND(P743="Resultado trading",AD743&lt;&gt;"Cuenta de trading"),"⚠ Usa una cuenta de trading",IF(AND(G743&lt;=0,P743&lt;&gt;"Ajuste",P743&lt;&gt;"Resultado trading"),"⚠ El monto debe ser positivo","✓")))))))))))))))</f>
        <v/>
      </c>
      <c r="P743" s="52">
        <f>IF(OR(B743="",G743=""),"",IF(C743="","Gasto",C743))</f>
        <v/>
      </c>
      <c r="Q743" s="52">
        <f>IF(P743="","",IF(J743&lt;&gt;"",J743,CuentaPred&amp;""))</f>
        <v/>
      </c>
      <c r="R743" s="52">
        <f>IF(P743="","",IF(ISNUMBER(I743),I743,TasaUSD))</f>
        <v/>
      </c>
      <c r="S743" s="53">
        <f>IF(P743="","",IF(H743="USD",G743*R743,G743))</f>
        <v/>
      </c>
      <c r="T743" s="53">
        <f>IF(P743="","",IF(H743="USD",G743,IF(R743&gt;0,G743/R743,0)))</f>
        <v/>
      </c>
      <c r="U743" s="53">
        <f>IF(P743="","",IF(P743="Gasto",S743,IF(P743="Reembolso",-S743,0)))</f>
        <v/>
      </c>
      <c r="V743" s="53">
        <f>IF(P743="","",IF(P743="Ingreso",S743,0))</f>
        <v/>
      </c>
      <c r="W743" s="53">
        <f>IF(P743="","",IF(P743="Resultado trading",S743,0))</f>
        <v/>
      </c>
      <c r="X743" s="52">
        <f>IF(OR(P743="Gasto",P743="Reembolso"),IF(M743&lt;&gt;"",M743,IFERROR(INDEX(catClasif,MATCH(D743&amp;"|"&amp;E743,catClave,0))&amp;"","Variable")),"")</f>
        <v/>
      </c>
      <c r="Y743" s="52">
        <f>IF(P743="","",IFERROR(INDEX(catGrupo,MATCH(D743&amp;"|"&amp;E743,catClave,0))&amp;"",""))</f>
        <v/>
      </c>
      <c r="Z743" s="52">
        <f>IF(P743="","",WEEKDAY(B743,2))</f>
        <v/>
      </c>
      <c r="AA743" s="52">
        <f>IF(P743="","",IF(AND(P743="Gasto",X743="Variable",D743&lt;&gt;catTrading,S743&gt;0,S743&lt;=Umbral),1,0))</f>
        <v/>
      </c>
      <c r="AB743" s="52">
        <f>IF(OR(P743="",Q743=""),"",IFERROR(IF(INDEX(ctaVinc,MATCH(Q743,ctaNombre,0))&amp;""&lt;&gt;"",INDEX(ctaVinc,MATCH(Q743,ctaNombre,0))&amp;"",Q743),Q743))</f>
        <v/>
      </c>
      <c r="AC743" s="52">
        <f>IF(OR(K743="",AND(P743&lt;&gt;"Transferencia",P743&lt;&gt;"Pago tarjeta")),"",IFERROR(IF(INDEX(ctaVinc,MATCH(K743,ctaNombre,0))&amp;""&lt;&gt;"",INDEX(ctaVinc,MATCH(K743,ctaNombre,0))&amp;"",K743),K743))</f>
        <v/>
      </c>
      <c r="AD743" s="52">
        <f>IF(AB743="","",IFERROR(INDEX(ctaTipo,MATCH(AB743,ctaNombre,0))&amp;"",""))</f>
        <v/>
      </c>
      <c r="AE743" s="52">
        <f>IF(AC743="","",IFERROR(INDEX(ctaTipo,MATCH(AC743,ctaNombre,0))&amp;"",""))</f>
        <v/>
      </c>
      <c r="AF743" s="53">
        <f>IF(OR(P743="",AB743=""),"",IF(OR(P743="Gasto",P743="Transferencia",P743="Pago tarjeta"),-1,1)*IF(IFERROR(INDEX(ctaMoneda,MATCH(AB743,ctaNombre,0))&amp;"","DOP")="USD",T743,S743))</f>
        <v/>
      </c>
      <c r="AG743" s="53">
        <f>IF(AC743="","",IF(IFERROR(INDEX(ctaMoneda,MATCH(AC743,ctaNombre,0))&amp;"","DOP")="USD",T743,S743))</f>
        <v/>
      </c>
      <c r="AH743" s="53">
        <f>IF(P743="","",IF(AND(AD743&lt;&gt;"",COUNTIFS(tcTipo,AD743,tcLiq,"Sí")&gt;0),IF(OR(P743="Gasto",P743="Transferencia",P743="Pago tarjeta"),-1,1)*S743,0)+IF(AND(AE743&lt;&gt;"",COUNTIFS(tcTipo,AE743,tcLiq,"Sí")&gt;0),S743,0))</f>
        <v/>
      </c>
      <c r="AI743" s="52">
        <f>IF(OR(L743="",P743=""),"",IF(COUNTIFS(L$6:L743,L743,P$6:P743,"?*")=1,MAX(AI$5:AI742)+1,""))</f>
        <v/>
      </c>
    </row>
    <row r="744">
      <c r="B744" s="47" t="n"/>
      <c r="C744" s="48" t="n"/>
      <c r="D744" s="48" t="n"/>
      <c r="E744" s="48" t="n"/>
      <c r="F744" s="48" t="n"/>
      <c r="G744" s="49" t="n"/>
      <c r="H744" s="48" t="n"/>
      <c r="I744" s="50" t="n"/>
      <c r="J744" s="48" t="n"/>
      <c r="K744" s="48" t="n"/>
      <c r="L744" s="48" t="n"/>
      <c r="M744" s="48" t="n"/>
      <c r="N744" s="48" t="n"/>
      <c r="O744" s="51">
        <f>IF(AND(B744="",G744="",C744="",D744="",J744=""),"",IF(B744="","⚠ Falta fecha",IF(G744="","⚠ Falta monto",IF(Q744="","⚠ Falta cuenta",IF(ISNA(MATCH(Q744,ctaNombre,0)),"⚠ Cuenta no registrada",IF(AND(OR(P744="Gasto",P744="Reembolso"),D744=""),"⚠ Falta categoría",IF(AND(D744&lt;&gt;"",E744&lt;&gt;"",ISNA(MATCH(D744&amp;"|"&amp;E744,catClave,0))),"⚠ Subcategoría no corresponde",IF(AND(OR(P744="Transferencia",P744="Pago tarjeta"),K744=""),"⚠ Falta cuenta destino",IF(AND(K744&lt;&gt;"",P744&lt;&gt;"Transferencia",P744&lt;&gt;"Pago tarjeta"),"⚠ Destino solo aplica a transferencias",IF(AND(K744&lt;&gt;"",K744=Q744),"⚠ Origen igual a destino",IF(AND(K744&lt;&gt;"",ISNA(MATCH(K744,ctaNombre,0))),"⚠ Destino no registrado",IF(AND(P744="Pago tarjeta",AE744&lt;&gt;"Tarjeta de crédito"),"⚠ El destino debe ser tarjeta de crédito",IF(AND(P744="Gasto",E744="Depósitos y retiros"),"⚠ Usa tipo Transferencia",IF(AND(P744="Resultado trading",AD744&lt;&gt;"Cuenta de trading"),"⚠ Usa una cuenta de trading",IF(AND(G744&lt;=0,P744&lt;&gt;"Ajuste",P744&lt;&gt;"Resultado trading"),"⚠ El monto debe ser positivo","✓")))))))))))))))</f>
        <v/>
      </c>
      <c r="P744" s="52">
        <f>IF(OR(B744="",G744=""),"",IF(C744="","Gasto",C744))</f>
        <v/>
      </c>
      <c r="Q744" s="52">
        <f>IF(P744="","",IF(J744&lt;&gt;"",J744,CuentaPred&amp;""))</f>
        <v/>
      </c>
      <c r="R744" s="52">
        <f>IF(P744="","",IF(ISNUMBER(I744),I744,TasaUSD))</f>
        <v/>
      </c>
      <c r="S744" s="53">
        <f>IF(P744="","",IF(H744="USD",G744*R744,G744))</f>
        <v/>
      </c>
      <c r="T744" s="53">
        <f>IF(P744="","",IF(H744="USD",G744,IF(R744&gt;0,G744/R744,0)))</f>
        <v/>
      </c>
      <c r="U744" s="53">
        <f>IF(P744="","",IF(P744="Gasto",S744,IF(P744="Reembolso",-S744,0)))</f>
        <v/>
      </c>
      <c r="V744" s="53">
        <f>IF(P744="","",IF(P744="Ingreso",S744,0))</f>
        <v/>
      </c>
      <c r="W744" s="53">
        <f>IF(P744="","",IF(P744="Resultado trading",S744,0))</f>
        <v/>
      </c>
      <c r="X744" s="52">
        <f>IF(OR(P744="Gasto",P744="Reembolso"),IF(M744&lt;&gt;"",M744,IFERROR(INDEX(catClasif,MATCH(D744&amp;"|"&amp;E744,catClave,0))&amp;"","Variable")),"")</f>
        <v/>
      </c>
      <c r="Y744" s="52">
        <f>IF(P744="","",IFERROR(INDEX(catGrupo,MATCH(D744&amp;"|"&amp;E744,catClave,0))&amp;"",""))</f>
        <v/>
      </c>
      <c r="Z744" s="52">
        <f>IF(P744="","",WEEKDAY(B744,2))</f>
        <v/>
      </c>
      <c r="AA744" s="52">
        <f>IF(P744="","",IF(AND(P744="Gasto",X744="Variable",D744&lt;&gt;catTrading,S744&gt;0,S744&lt;=Umbral),1,0))</f>
        <v/>
      </c>
      <c r="AB744" s="52">
        <f>IF(OR(P744="",Q744=""),"",IFERROR(IF(INDEX(ctaVinc,MATCH(Q744,ctaNombre,0))&amp;""&lt;&gt;"",INDEX(ctaVinc,MATCH(Q744,ctaNombre,0))&amp;"",Q744),Q744))</f>
        <v/>
      </c>
      <c r="AC744" s="52">
        <f>IF(OR(K744="",AND(P744&lt;&gt;"Transferencia",P744&lt;&gt;"Pago tarjeta")),"",IFERROR(IF(INDEX(ctaVinc,MATCH(K744,ctaNombre,0))&amp;""&lt;&gt;"",INDEX(ctaVinc,MATCH(K744,ctaNombre,0))&amp;"",K744),K744))</f>
        <v/>
      </c>
      <c r="AD744" s="52">
        <f>IF(AB744="","",IFERROR(INDEX(ctaTipo,MATCH(AB744,ctaNombre,0))&amp;"",""))</f>
        <v/>
      </c>
      <c r="AE744" s="52">
        <f>IF(AC744="","",IFERROR(INDEX(ctaTipo,MATCH(AC744,ctaNombre,0))&amp;"",""))</f>
        <v/>
      </c>
      <c r="AF744" s="53">
        <f>IF(OR(P744="",AB744=""),"",IF(OR(P744="Gasto",P744="Transferencia",P744="Pago tarjeta"),-1,1)*IF(IFERROR(INDEX(ctaMoneda,MATCH(AB744,ctaNombre,0))&amp;"","DOP")="USD",T744,S744))</f>
        <v/>
      </c>
      <c r="AG744" s="53">
        <f>IF(AC744="","",IF(IFERROR(INDEX(ctaMoneda,MATCH(AC744,ctaNombre,0))&amp;"","DOP")="USD",T744,S744))</f>
        <v/>
      </c>
      <c r="AH744" s="53">
        <f>IF(P744="","",IF(AND(AD744&lt;&gt;"",COUNTIFS(tcTipo,AD744,tcLiq,"Sí")&gt;0),IF(OR(P744="Gasto",P744="Transferencia",P744="Pago tarjeta"),-1,1)*S744,0)+IF(AND(AE744&lt;&gt;"",COUNTIFS(tcTipo,AE744,tcLiq,"Sí")&gt;0),S744,0))</f>
        <v/>
      </c>
      <c r="AI744" s="52">
        <f>IF(OR(L744="",P744=""),"",IF(COUNTIFS(L$6:L744,L744,P$6:P744,"?*")=1,MAX(AI$5:AI743)+1,""))</f>
        <v/>
      </c>
    </row>
    <row r="745">
      <c r="B745" s="47" t="n"/>
      <c r="C745" s="48" t="n"/>
      <c r="D745" s="48" t="n"/>
      <c r="E745" s="48" t="n"/>
      <c r="F745" s="48" t="n"/>
      <c r="G745" s="49" t="n"/>
      <c r="H745" s="48" t="n"/>
      <c r="I745" s="50" t="n"/>
      <c r="J745" s="48" t="n"/>
      <c r="K745" s="48" t="n"/>
      <c r="L745" s="48" t="n"/>
      <c r="M745" s="48" t="n"/>
      <c r="N745" s="48" t="n"/>
      <c r="O745" s="51">
        <f>IF(AND(B745="",G745="",C745="",D745="",J745=""),"",IF(B745="","⚠ Falta fecha",IF(G745="","⚠ Falta monto",IF(Q745="","⚠ Falta cuenta",IF(ISNA(MATCH(Q745,ctaNombre,0)),"⚠ Cuenta no registrada",IF(AND(OR(P745="Gasto",P745="Reembolso"),D745=""),"⚠ Falta categoría",IF(AND(D745&lt;&gt;"",E745&lt;&gt;"",ISNA(MATCH(D745&amp;"|"&amp;E745,catClave,0))),"⚠ Subcategoría no corresponde",IF(AND(OR(P745="Transferencia",P745="Pago tarjeta"),K745=""),"⚠ Falta cuenta destino",IF(AND(K745&lt;&gt;"",P745&lt;&gt;"Transferencia",P745&lt;&gt;"Pago tarjeta"),"⚠ Destino solo aplica a transferencias",IF(AND(K745&lt;&gt;"",K745=Q745),"⚠ Origen igual a destino",IF(AND(K745&lt;&gt;"",ISNA(MATCH(K745,ctaNombre,0))),"⚠ Destino no registrado",IF(AND(P745="Pago tarjeta",AE745&lt;&gt;"Tarjeta de crédito"),"⚠ El destino debe ser tarjeta de crédito",IF(AND(P745="Gasto",E745="Depósitos y retiros"),"⚠ Usa tipo Transferencia",IF(AND(P745="Resultado trading",AD745&lt;&gt;"Cuenta de trading"),"⚠ Usa una cuenta de trading",IF(AND(G745&lt;=0,P745&lt;&gt;"Ajuste",P745&lt;&gt;"Resultado trading"),"⚠ El monto debe ser positivo","✓")))))))))))))))</f>
        <v/>
      </c>
      <c r="P745" s="52">
        <f>IF(OR(B745="",G745=""),"",IF(C745="","Gasto",C745))</f>
        <v/>
      </c>
      <c r="Q745" s="52">
        <f>IF(P745="","",IF(J745&lt;&gt;"",J745,CuentaPred&amp;""))</f>
        <v/>
      </c>
      <c r="R745" s="52">
        <f>IF(P745="","",IF(ISNUMBER(I745),I745,TasaUSD))</f>
        <v/>
      </c>
      <c r="S745" s="53">
        <f>IF(P745="","",IF(H745="USD",G745*R745,G745))</f>
        <v/>
      </c>
      <c r="T745" s="53">
        <f>IF(P745="","",IF(H745="USD",G745,IF(R745&gt;0,G745/R745,0)))</f>
        <v/>
      </c>
      <c r="U745" s="53">
        <f>IF(P745="","",IF(P745="Gasto",S745,IF(P745="Reembolso",-S745,0)))</f>
        <v/>
      </c>
      <c r="V745" s="53">
        <f>IF(P745="","",IF(P745="Ingreso",S745,0))</f>
        <v/>
      </c>
      <c r="W745" s="53">
        <f>IF(P745="","",IF(P745="Resultado trading",S745,0))</f>
        <v/>
      </c>
      <c r="X745" s="52">
        <f>IF(OR(P745="Gasto",P745="Reembolso"),IF(M745&lt;&gt;"",M745,IFERROR(INDEX(catClasif,MATCH(D745&amp;"|"&amp;E745,catClave,0))&amp;"","Variable")),"")</f>
        <v/>
      </c>
      <c r="Y745" s="52">
        <f>IF(P745="","",IFERROR(INDEX(catGrupo,MATCH(D745&amp;"|"&amp;E745,catClave,0))&amp;"",""))</f>
        <v/>
      </c>
      <c r="Z745" s="52">
        <f>IF(P745="","",WEEKDAY(B745,2))</f>
        <v/>
      </c>
      <c r="AA745" s="52">
        <f>IF(P745="","",IF(AND(P745="Gasto",X745="Variable",D745&lt;&gt;catTrading,S745&gt;0,S745&lt;=Umbral),1,0))</f>
        <v/>
      </c>
      <c r="AB745" s="52">
        <f>IF(OR(P745="",Q745=""),"",IFERROR(IF(INDEX(ctaVinc,MATCH(Q745,ctaNombre,0))&amp;""&lt;&gt;"",INDEX(ctaVinc,MATCH(Q745,ctaNombre,0))&amp;"",Q745),Q745))</f>
        <v/>
      </c>
      <c r="AC745" s="52">
        <f>IF(OR(K745="",AND(P745&lt;&gt;"Transferencia",P745&lt;&gt;"Pago tarjeta")),"",IFERROR(IF(INDEX(ctaVinc,MATCH(K745,ctaNombre,0))&amp;""&lt;&gt;"",INDEX(ctaVinc,MATCH(K745,ctaNombre,0))&amp;"",K745),K745))</f>
        <v/>
      </c>
      <c r="AD745" s="52">
        <f>IF(AB745="","",IFERROR(INDEX(ctaTipo,MATCH(AB745,ctaNombre,0))&amp;"",""))</f>
        <v/>
      </c>
      <c r="AE745" s="52">
        <f>IF(AC745="","",IFERROR(INDEX(ctaTipo,MATCH(AC745,ctaNombre,0))&amp;"",""))</f>
        <v/>
      </c>
      <c r="AF745" s="53">
        <f>IF(OR(P745="",AB745=""),"",IF(OR(P745="Gasto",P745="Transferencia",P745="Pago tarjeta"),-1,1)*IF(IFERROR(INDEX(ctaMoneda,MATCH(AB745,ctaNombre,0))&amp;"","DOP")="USD",T745,S745))</f>
        <v/>
      </c>
      <c r="AG745" s="53">
        <f>IF(AC745="","",IF(IFERROR(INDEX(ctaMoneda,MATCH(AC745,ctaNombre,0))&amp;"","DOP")="USD",T745,S745))</f>
        <v/>
      </c>
      <c r="AH745" s="53">
        <f>IF(P745="","",IF(AND(AD745&lt;&gt;"",COUNTIFS(tcTipo,AD745,tcLiq,"Sí")&gt;0),IF(OR(P745="Gasto",P745="Transferencia",P745="Pago tarjeta"),-1,1)*S745,0)+IF(AND(AE745&lt;&gt;"",COUNTIFS(tcTipo,AE745,tcLiq,"Sí")&gt;0),S745,0))</f>
        <v/>
      </c>
      <c r="AI745" s="52">
        <f>IF(OR(L745="",P745=""),"",IF(COUNTIFS(L$6:L745,L745,P$6:P745,"?*")=1,MAX(AI$5:AI744)+1,""))</f>
        <v/>
      </c>
    </row>
    <row r="746">
      <c r="B746" s="47" t="n"/>
      <c r="C746" s="48" t="n"/>
      <c r="D746" s="48" t="n"/>
      <c r="E746" s="48" t="n"/>
      <c r="F746" s="48" t="n"/>
      <c r="G746" s="49" t="n"/>
      <c r="H746" s="48" t="n"/>
      <c r="I746" s="50" t="n"/>
      <c r="J746" s="48" t="n"/>
      <c r="K746" s="48" t="n"/>
      <c r="L746" s="48" t="n"/>
      <c r="M746" s="48" t="n"/>
      <c r="N746" s="48" t="n"/>
      <c r="O746" s="51">
        <f>IF(AND(B746="",G746="",C746="",D746="",J746=""),"",IF(B746="","⚠ Falta fecha",IF(G746="","⚠ Falta monto",IF(Q746="","⚠ Falta cuenta",IF(ISNA(MATCH(Q746,ctaNombre,0)),"⚠ Cuenta no registrada",IF(AND(OR(P746="Gasto",P746="Reembolso"),D746=""),"⚠ Falta categoría",IF(AND(D746&lt;&gt;"",E746&lt;&gt;"",ISNA(MATCH(D746&amp;"|"&amp;E746,catClave,0))),"⚠ Subcategoría no corresponde",IF(AND(OR(P746="Transferencia",P746="Pago tarjeta"),K746=""),"⚠ Falta cuenta destino",IF(AND(K746&lt;&gt;"",P746&lt;&gt;"Transferencia",P746&lt;&gt;"Pago tarjeta"),"⚠ Destino solo aplica a transferencias",IF(AND(K746&lt;&gt;"",K746=Q746),"⚠ Origen igual a destino",IF(AND(K746&lt;&gt;"",ISNA(MATCH(K746,ctaNombre,0))),"⚠ Destino no registrado",IF(AND(P746="Pago tarjeta",AE746&lt;&gt;"Tarjeta de crédito"),"⚠ El destino debe ser tarjeta de crédito",IF(AND(P746="Gasto",E746="Depósitos y retiros"),"⚠ Usa tipo Transferencia",IF(AND(P746="Resultado trading",AD746&lt;&gt;"Cuenta de trading"),"⚠ Usa una cuenta de trading",IF(AND(G746&lt;=0,P746&lt;&gt;"Ajuste",P746&lt;&gt;"Resultado trading"),"⚠ El monto debe ser positivo","✓")))))))))))))))</f>
        <v/>
      </c>
      <c r="P746" s="52">
        <f>IF(OR(B746="",G746=""),"",IF(C746="","Gasto",C746))</f>
        <v/>
      </c>
      <c r="Q746" s="52">
        <f>IF(P746="","",IF(J746&lt;&gt;"",J746,CuentaPred&amp;""))</f>
        <v/>
      </c>
      <c r="R746" s="52">
        <f>IF(P746="","",IF(ISNUMBER(I746),I746,TasaUSD))</f>
        <v/>
      </c>
      <c r="S746" s="53">
        <f>IF(P746="","",IF(H746="USD",G746*R746,G746))</f>
        <v/>
      </c>
      <c r="T746" s="53">
        <f>IF(P746="","",IF(H746="USD",G746,IF(R746&gt;0,G746/R746,0)))</f>
        <v/>
      </c>
      <c r="U746" s="53">
        <f>IF(P746="","",IF(P746="Gasto",S746,IF(P746="Reembolso",-S746,0)))</f>
        <v/>
      </c>
      <c r="V746" s="53">
        <f>IF(P746="","",IF(P746="Ingreso",S746,0))</f>
        <v/>
      </c>
      <c r="W746" s="53">
        <f>IF(P746="","",IF(P746="Resultado trading",S746,0))</f>
        <v/>
      </c>
      <c r="X746" s="52">
        <f>IF(OR(P746="Gasto",P746="Reembolso"),IF(M746&lt;&gt;"",M746,IFERROR(INDEX(catClasif,MATCH(D746&amp;"|"&amp;E746,catClave,0))&amp;"","Variable")),"")</f>
        <v/>
      </c>
      <c r="Y746" s="52">
        <f>IF(P746="","",IFERROR(INDEX(catGrupo,MATCH(D746&amp;"|"&amp;E746,catClave,0))&amp;"",""))</f>
        <v/>
      </c>
      <c r="Z746" s="52">
        <f>IF(P746="","",WEEKDAY(B746,2))</f>
        <v/>
      </c>
      <c r="AA746" s="52">
        <f>IF(P746="","",IF(AND(P746="Gasto",X746="Variable",D746&lt;&gt;catTrading,S746&gt;0,S746&lt;=Umbral),1,0))</f>
        <v/>
      </c>
      <c r="AB746" s="52">
        <f>IF(OR(P746="",Q746=""),"",IFERROR(IF(INDEX(ctaVinc,MATCH(Q746,ctaNombre,0))&amp;""&lt;&gt;"",INDEX(ctaVinc,MATCH(Q746,ctaNombre,0))&amp;"",Q746),Q746))</f>
        <v/>
      </c>
      <c r="AC746" s="52">
        <f>IF(OR(K746="",AND(P746&lt;&gt;"Transferencia",P746&lt;&gt;"Pago tarjeta")),"",IFERROR(IF(INDEX(ctaVinc,MATCH(K746,ctaNombre,0))&amp;""&lt;&gt;"",INDEX(ctaVinc,MATCH(K746,ctaNombre,0))&amp;"",K746),K746))</f>
        <v/>
      </c>
      <c r="AD746" s="52">
        <f>IF(AB746="","",IFERROR(INDEX(ctaTipo,MATCH(AB746,ctaNombre,0))&amp;"",""))</f>
        <v/>
      </c>
      <c r="AE746" s="52">
        <f>IF(AC746="","",IFERROR(INDEX(ctaTipo,MATCH(AC746,ctaNombre,0))&amp;"",""))</f>
        <v/>
      </c>
      <c r="AF746" s="53">
        <f>IF(OR(P746="",AB746=""),"",IF(OR(P746="Gasto",P746="Transferencia",P746="Pago tarjeta"),-1,1)*IF(IFERROR(INDEX(ctaMoneda,MATCH(AB746,ctaNombre,0))&amp;"","DOP")="USD",T746,S746))</f>
        <v/>
      </c>
      <c r="AG746" s="53">
        <f>IF(AC746="","",IF(IFERROR(INDEX(ctaMoneda,MATCH(AC746,ctaNombre,0))&amp;"","DOP")="USD",T746,S746))</f>
        <v/>
      </c>
      <c r="AH746" s="53">
        <f>IF(P746="","",IF(AND(AD746&lt;&gt;"",COUNTIFS(tcTipo,AD746,tcLiq,"Sí")&gt;0),IF(OR(P746="Gasto",P746="Transferencia",P746="Pago tarjeta"),-1,1)*S746,0)+IF(AND(AE746&lt;&gt;"",COUNTIFS(tcTipo,AE746,tcLiq,"Sí")&gt;0),S746,0))</f>
        <v/>
      </c>
      <c r="AI746" s="52">
        <f>IF(OR(L746="",P746=""),"",IF(COUNTIFS(L$6:L746,L746,P$6:P746,"?*")=1,MAX(AI$5:AI745)+1,""))</f>
        <v/>
      </c>
    </row>
    <row r="747">
      <c r="B747" s="47" t="n"/>
      <c r="C747" s="48" t="n"/>
      <c r="D747" s="48" t="n"/>
      <c r="E747" s="48" t="n"/>
      <c r="F747" s="48" t="n"/>
      <c r="G747" s="49" t="n"/>
      <c r="H747" s="48" t="n"/>
      <c r="I747" s="50" t="n"/>
      <c r="J747" s="48" t="n"/>
      <c r="K747" s="48" t="n"/>
      <c r="L747" s="48" t="n"/>
      <c r="M747" s="48" t="n"/>
      <c r="N747" s="48" t="n"/>
      <c r="O747" s="51">
        <f>IF(AND(B747="",G747="",C747="",D747="",J747=""),"",IF(B747="","⚠ Falta fecha",IF(G747="","⚠ Falta monto",IF(Q747="","⚠ Falta cuenta",IF(ISNA(MATCH(Q747,ctaNombre,0)),"⚠ Cuenta no registrada",IF(AND(OR(P747="Gasto",P747="Reembolso"),D747=""),"⚠ Falta categoría",IF(AND(D747&lt;&gt;"",E747&lt;&gt;"",ISNA(MATCH(D747&amp;"|"&amp;E747,catClave,0))),"⚠ Subcategoría no corresponde",IF(AND(OR(P747="Transferencia",P747="Pago tarjeta"),K747=""),"⚠ Falta cuenta destino",IF(AND(K747&lt;&gt;"",P747&lt;&gt;"Transferencia",P747&lt;&gt;"Pago tarjeta"),"⚠ Destino solo aplica a transferencias",IF(AND(K747&lt;&gt;"",K747=Q747),"⚠ Origen igual a destino",IF(AND(K747&lt;&gt;"",ISNA(MATCH(K747,ctaNombre,0))),"⚠ Destino no registrado",IF(AND(P747="Pago tarjeta",AE747&lt;&gt;"Tarjeta de crédito"),"⚠ El destino debe ser tarjeta de crédito",IF(AND(P747="Gasto",E747="Depósitos y retiros"),"⚠ Usa tipo Transferencia",IF(AND(P747="Resultado trading",AD747&lt;&gt;"Cuenta de trading"),"⚠ Usa una cuenta de trading",IF(AND(G747&lt;=0,P747&lt;&gt;"Ajuste",P747&lt;&gt;"Resultado trading"),"⚠ El monto debe ser positivo","✓")))))))))))))))</f>
        <v/>
      </c>
      <c r="P747" s="52">
        <f>IF(OR(B747="",G747=""),"",IF(C747="","Gasto",C747))</f>
        <v/>
      </c>
      <c r="Q747" s="52">
        <f>IF(P747="","",IF(J747&lt;&gt;"",J747,CuentaPred&amp;""))</f>
        <v/>
      </c>
      <c r="R747" s="52">
        <f>IF(P747="","",IF(ISNUMBER(I747),I747,TasaUSD))</f>
        <v/>
      </c>
      <c r="S747" s="53">
        <f>IF(P747="","",IF(H747="USD",G747*R747,G747))</f>
        <v/>
      </c>
      <c r="T747" s="53">
        <f>IF(P747="","",IF(H747="USD",G747,IF(R747&gt;0,G747/R747,0)))</f>
        <v/>
      </c>
      <c r="U747" s="53">
        <f>IF(P747="","",IF(P747="Gasto",S747,IF(P747="Reembolso",-S747,0)))</f>
        <v/>
      </c>
      <c r="V747" s="53">
        <f>IF(P747="","",IF(P747="Ingreso",S747,0))</f>
        <v/>
      </c>
      <c r="W747" s="53">
        <f>IF(P747="","",IF(P747="Resultado trading",S747,0))</f>
        <v/>
      </c>
      <c r="X747" s="52">
        <f>IF(OR(P747="Gasto",P747="Reembolso"),IF(M747&lt;&gt;"",M747,IFERROR(INDEX(catClasif,MATCH(D747&amp;"|"&amp;E747,catClave,0))&amp;"","Variable")),"")</f>
        <v/>
      </c>
      <c r="Y747" s="52">
        <f>IF(P747="","",IFERROR(INDEX(catGrupo,MATCH(D747&amp;"|"&amp;E747,catClave,0))&amp;"",""))</f>
        <v/>
      </c>
      <c r="Z747" s="52">
        <f>IF(P747="","",WEEKDAY(B747,2))</f>
        <v/>
      </c>
      <c r="AA747" s="52">
        <f>IF(P747="","",IF(AND(P747="Gasto",X747="Variable",D747&lt;&gt;catTrading,S747&gt;0,S747&lt;=Umbral),1,0))</f>
        <v/>
      </c>
      <c r="AB747" s="52">
        <f>IF(OR(P747="",Q747=""),"",IFERROR(IF(INDEX(ctaVinc,MATCH(Q747,ctaNombre,0))&amp;""&lt;&gt;"",INDEX(ctaVinc,MATCH(Q747,ctaNombre,0))&amp;"",Q747),Q747))</f>
        <v/>
      </c>
      <c r="AC747" s="52">
        <f>IF(OR(K747="",AND(P747&lt;&gt;"Transferencia",P747&lt;&gt;"Pago tarjeta")),"",IFERROR(IF(INDEX(ctaVinc,MATCH(K747,ctaNombre,0))&amp;""&lt;&gt;"",INDEX(ctaVinc,MATCH(K747,ctaNombre,0))&amp;"",K747),K747))</f>
        <v/>
      </c>
      <c r="AD747" s="52">
        <f>IF(AB747="","",IFERROR(INDEX(ctaTipo,MATCH(AB747,ctaNombre,0))&amp;"",""))</f>
        <v/>
      </c>
      <c r="AE747" s="52">
        <f>IF(AC747="","",IFERROR(INDEX(ctaTipo,MATCH(AC747,ctaNombre,0))&amp;"",""))</f>
        <v/>
      </c>
      <c r="AF747" s="53">
        <f>IF(OR(P747="",AB747=""),"",IF(OR(P747="Gasto",P747="Transferencia",P747="Pago tarjeta"),-1,1)*IF(IFERROR(INDEX(ctaMoneda,MATCH(AB747,ctaNombre,0))&amp;"","DOP")="USD",T747,S747))</f>
        <v/>
      </c>
      <c r="AG747" s="53">
        <f>IF(AC747="","",IF(IFERROR(INDEX(ctaMoneda,MATCH(AC747,ctaNombre,0))&amp;"","DOP")="USD",T747,S747))</f>
        <v/>
      </c>
      <c r="AH747" s="53">
        <f>IF(P747="","",IF(AND(AD747&lt;&gt;"",COUNTIFS(tcTipo,AD747,tcLiq,"Sí")&gt;0),IF(OR(P747="Gasto",P747="Transferencia",P747="Pago tarjeta"),-1,1)*S747,0)+IF(AND(AE747&lt;&gt;"",COUNTIFS(tcTipo,AE747,tcLiq,"Sí")&gt;0),S747,0))</f>
        <v/>
      </c>
      <c r="AI747" s="52">
        <f>IF(OR(L747="",P747=""),"",IF(COUNTIFS(L$6:L747,L747,P$6:P747,"?*")=1,MAX(AI$5:AI746)+1,""))</f>
        <v/>
      </c>
    </row>
    <row r="748">
      <c r="B748" s="47" t="n"/>
      <c r="C748" s="48" t="n"/>
      <c r="D748" s="48" t="n"/>
      <c r="E748" s="48" t="n"/>
      <c r="F748" s="48" t="n"/>
      <c r="G748" s="49" t="n"/>
      <c r="H748" s="48" t="n"/>
      <c r="I748" s="50" t="n"/>
      <c r="J748" s="48" t="n"/>
      <c r="K748" s="48" t="n"/>
      <c r="L748" s="48" t="n"/>
      <c r="M748" s="48" t="n"/>
      <c r="N748" s="48" t="n"/>
      <c r="O748" s="51">
        <f>IF(AND(B748="",G748="",C748="",D748="",J748=""),"",IF(B748="","⚠ Falta fecha",IF(G748="","⚠ Falta monto",IF(Q748="","⚠ Falta cuenta",IF(ISNA(MATCH(Q748,ctaNombre,0)),"⚠ Cuenta no registrada",IF(AND(OR(P748="Gasto",P748="Reembolso"),D748=""),"⚠ Falta categoría",IF(AND(D748&lt;&gt;"",E748&lt;&gt;"",ISNA(MATCH(D748&amp;"|"&amp;E748,catClave,0))),"⚠ Subcategoría no corresponde",IF(AND(OR(P748="Transferencia",P748="Pago tarjeta"),K748=""),"⚠ Falta cuenta destino",IF(AND(K748&lt;&gt;"",P748&lt;&gt;"Transferencia",P748&lt;&gt;"Pago tarjeta"),"⚠ Destino solo aplica a transferencias",IF(AND(K748&lt;&gt;"",K748=Q748),"⚠ Origen igual a destino",IF(AND(K748&lt;&gt;"",ISNA(MATCH(K748,ctaNombre,0))),"⚠ Destino no registrado",IF(AND(P748="Pago tarjeta",AE748&lt;&gt;"Tarjeta de crédito"),"⚠ El destino debe ser tarjeta de crédito",IF(AND(P748="Gasto",E748="Depósitos y retiros"),"⚠ Usa tipo Transferencia",IF(AND(P748="Resultado trading",AD748&lt;&gt;"Cuenta de trading"),"⚠ Usa una cuenta de trading",IF(AND(G748&lt;=0,P748&lt;&gt;"Ajuste",P748&lt;&gt;"Resultado trading"),"⚠ El monto debe ser positivo","✓")))))))))))))))</f>
        <v/>
      </c>
      <c r="P748" s="52">
        <f>IF(OR(B748="",G748=""),"",IF(C748="","Gasto",C748))</f>
        <v/>
      </c>
      <c r="Q748" s="52">
        <f>IF(P748="","",IF(J748&lt;&gt;"",J748,CuentaPred&amp;""))</f>
        <v/>
      </c>
      <c r="R748" s="52">
        <f>IF(P748="","",IF(ISNUMBER(I748),I748,TasaUSD))</f>
        <v/>
      </c>
      <c r="S748" s="53">
        <f>IF(P748="","",IF(H748="USD",G748*R748,G748))</f>
        <v/>
      </c>
      <c r="T748" s="53">
        <f>IF(P748="","",IF(H748="USD",G748,IF(R748&gt;0,G748/R748,0)))</f>
        <v/>
      </c>
      <c r="U748" s="53">
        <f>IF(P748="","",IF(P748="Gasto",S748,IF(P748="Reembolso",-S748,0)))</f>
        <v/>
      </c>
      <c r="V748" s="53">
        <f>IF(P748="","",IF(P748="Ingreso",S748,0))</f>
        <v/>
      </c>
      <c r="W748" s="53">
        <f>IF(P748="","",IF(P748="Resultado trading",S748,0))</f>
        <v/>
      </c>
      <c r="X748" s="52">
        <f>IF(OR(P748="Gasto",P748="Reembolso"),IF(M748&lt;&gt;"",M748,IFERROR(INDEX(catClasif,MATCH(D748&amp;"|"&amp;E748,catClave,0))&amp;"","Variable")),"")</f>
        <v/>
      </c>
      <c r="Y748" s="52">
        <f>IF(P748="","",IFERROR(INDEX(catGrupo,MATCH(D748&amp;"|"&amp;E748,catClave,0))&amp;"",""))</f>
        <v/>
      </c>
      <c r="Z748" s="52">
        <f>IF(P748="","",WEEKDAY(B748,2))</f>
        <v/>
      </c>
      <c r="AA748" s="52">
        <f>IF(P748="","",IF(AND(P748="Gasto",X748="Variable",D748&lt;&gt;catTrading,S748&gt;0,S748&lt;=Umbral),1,0))</f>
        <v/>
      </c>
      <c r="AB748" s="52">
        <f>IF(OR(P748="",Q748=""),"",IFERROR(IF(INDEX(ctaVinc,MATCH(Q748,ctaNombre,0))&amp;""&lt;&gt;"",INDEX(ctaVinc,MATCH(Q748,ctaNombre,0))&amp;"",Q748),Q748))</f>
        <v/>
      </c>
      <c r="AC748" s="52">
        <f>IF(OR(K748="",AND(P748&lt;&gt;"Transferencia",P748&lt;&gt;"Pago tarjeta")),"",IFERROR(IF(INDEX(ctaVinc,MATCH(K748,ctaNombre,0))&amp;""&lt;&gt;"",INDEX(ctaVinc,MATCH(K748,ctaNombre,0))&amp;"",K748),K748))</f>
        <v/>
      </c>
      <c r="AD748" s="52">
        <f>IF(AB748="","",IFERROR(INDEX(ctaTipo,MATCH(AB748,ctaNombre,0))&amp;"",""))</f>
        <v/>
      </c>
      <c r="AE748" s="52">
        <f>IF(AC748="","",IFERROR(INDEX(ctaTipo,MATCH(AC748,ctaNombre,0))&amp;"",""))</f>
        <v/>
      </c>
      <c r="AF748" s="53">
        <f>IF(OR(P748="",AB748=""),"",IF(OR(P748="Gasto",P748="Transferencia",P748="Pago tarjeta"),-1,1)*IF(IFERROR(INDEX(ctaMoneda,MATCH(AB748,ctaNombre,0))&amp;"","DOP")="USD",T748,S748))</f>
        <v/>
      </c>
      <c r="AG748" s="53">
        <f>IF(AC748="","",IF(IFERROR(INDEX(ctaMoneda,MATCH(AC748,ctaNombre,0))&amp;"","DOP")="USD",T748,S748))</f>
        <v/>
      </c>
      <c r="AH748" s="53">
        <f>IF(P748="","",IF(AND(AD748&lt;&gt;"",COUNTIFS(tcTipo,AD748,tcLiq,"Sí")&gt;0),IF(OR(P748="Gasto",P748="Transferencia",P748="Pago tarjeta"),-1,1)*S748,0)+IF(AND(AE748&lt;&gt;"",COUNTIFS(tcTipo,AE748,tcLiq,"Sí")&gt;0),S748,0))</f>
        <v/>
      </c>
      <c r="AI748" s="52">
        <f>IF(OR(L748="",P748=""),"",IF(COUNTIFS(L$6:L748,L748,P$6:P748,"?*")=1,MAX(AI$5:AI747)+1,""))</f>
        <v/>
      </c>
    </row>
    <row r="749">
      <c r="B749" s="47" t="n"/>
      <c r="C749" s="48" t="n"/>
      <c r="D749" s="48" t="n"/>
      <c r="E749" s="48" t="n"/>
      <c r="F749" s="48" t="n"/>
      <c r="G749" s="49" t="n"/>
      <c r="H749" s="48" t="n"/>
      <c r="I749" s="50" t="n"/>
      <c r="J749" s="48" t="n"/>
      <c r="K749" s="48" t="n"/>
      <c r="L749" s="48" t="n"/>
      <c r="M749" s="48" t="n"/>
      <c r="N749" s="48" t="n"/>
      <c r="O749" s="51">
        <f>IF(AND(B749="",G749="",C749="",D749="",J749=""),"",IF(B749="","⚠ Falta fecha",IF(G749="","⚠ Falta monto",IF(Q749="","⚠ Falta cuenta",IF(ISNA(MATCH(Q749,ctaNombre,0)),"⚠ Cuenta no registrada",IF(AND(OR(P749="Gasto",P749="Reembolso"),D749=""),"⚠ Falta categoría",IF(AND(D749&lt;&gt;"",E749&lt;&gt;"",ISNA(MATCH(D749&amp;"|"&amp;E749,catClave,0))),"⚠ Subcategoría no corresponde",IF(AND(OR(P749="Transferencia",P749="Pago tarjeta"),K749=""),"⚠ Falta cuenta destino",IF(AND(K749&lt;&gt;"",P749&lt;&gt;"Transferencia",P749&lt;&gt;"Pago tarjeta"),"⚠ Destino solo aplica a transferencias",IF(AND(K749&lt;&gt;"",K749=Q749),"⚠ Origen igual a destino",IF(AND(K749&lt;&gt;"",ISNA(MATCH(K749,ctaNombre,0))),"⚠ Destino no registrado",IF(AND(P749="Pago tarjeta",AE749&lt;&gt;"Tarjeta de crédito"),"⚠ El destino debe ser tarjeta de crédito",IF(AND(P749="Gasto",E749="Depósitos y retiros"),"⚠ Usa tipo Transferencia",IF(AND(P749="Resultado trading",AD749&lt;&gt;"Cuenta de trading"),"⚠ Usa una cuenta de trading",IF(AND(G749&lt;=0,P749&lt;&gt;"Ajuste",P749&lt;&gt;"Resultado trading"),"⚠ El monto debe ser positivo","✓")))))))))))))))</f>
        <v/>
      </c>
      <c r="P749" s="52">
        <f>IF(OR(B749="",G749=""),"",IF(C749="","Gasto",C749))</f>
        <v/>
      </c>
      <c r="Q749" s="52">
        <f>IF(P749="","",IF(J749&lt;&gt;"",J749,CuentaPred&amp;""))</f>
        <v/>
      </c>
      <c r="R749" s="52">
        <f>IF(P749="","",IF(ISNUMBER(I749),I749,TasaUSD))</f>
        <v/>
      </c>
      <c r="S749" s="53">
        <f>IF(P749="","",IF(H749="USD",G749*R749,G749))</f>
        <v/>
      </c>
      <c r="T749" s="53">
        <f>IF(P749="","",IF(H749="USD",G749,IF(R749&gt;0,G749/R749,0)))</f>
        <v/>
      </c>
      <c r="U749" s="53">
        <f>IF(P749="","",IF(P749="Gasto",S749,IF(P749="Reembolso",-S749,0)))</f>
        <v/>
      </c>
      <c r="V749" s="53">
        <f>IF(P749="","",IF(P749="Ingreso",S749,0))</f>
        <v/>
      </c>
      <c r="W749" s="53">
        <f>IF(P749="","",IF(P749="Resultado trading",S749,0))</f>
        <v/>
      </c>
      <c r="X749" s="52">
        <f>IF(OR(P749="Gasto",P749="Reembolso"),IF(M749&lt;&gt;"",M749,IFERROR(INDEX(catClasif,MATCH(D749&amp;"|"&amp;E749,catClave,0))&amp;"","Variable")),"")</f>
        <v/>
      </c>
      <c r="Y749" s="52">
        <f>IF(P749="","",IFERROR(INDEX(catGrupo,MATCH(D749&amp;"|"&amp;E749,catClave,0))&amp;"",""))</f>
        <v/>
      </c>
      <c r="Z749" s="52">
        <f>IF(P749="","",WEEKDAY(B749,2))</f>
        <v/>
      </c>
      <c r="AA749" s="52">
        <f>IF(P749="","",IF(AND(P749="Gasto",X749="Variable",D749&lt;&gt;catTrading,S749&gt;0,S749&lt;=Umbral),1,0))</f>
        <v/>
      </c>
      <c r="AB749" s="52">
        <f>IF(OR(P749="",Q749=""),"",IFERROR(IF(INDEX(ctaVinc,MATCH(Q749,ctaNombre,0))&amp;""&lt;&gt;"",INDEX(ctaVinc,MATCH(Q749,ctaNombre,0))&amp;"",Q749),Q749))</f>
        <v/>
      </c>
      <c r="AC749" s="52">
        <f>IF(OR(K749="",AND(P749&lt;&gt;"Transferencia",P749&lt;&gt;"Pago tarjeta")),"",IFERROR(IF(INDEX(ctaVinc,MATCH(K749,ctaNombre,0))&amp;""&lt;&gt;"",INDEX(ctaVinc,MATCH(K749,ctaNombre,0))&amp;"",K749),K749))</f>
        <v/>
      </c>
      <c r="AD749" s="52">
        <f>IF(AB749="","",IFERROR(INDEX(ctaTipo,MATCH(AB749,ctaNombre,0))&amp;"",""))</f>
        <v/>
      </c>
      <c r="AE749" s="52">
        <f>IF(AC749="","",IFERROR(INDEX(ctaTipo,MATCH(AC749,ctaNombre,0))&amp;"",""))</f>
        <v/>
      </c>
      <c r="AF749" s="53">
        <f>IF(OR(P749="",AB749=""),"",IF(OR(P749="Gasto",P749="Transferencia",P749="Pago tarjeta"),-1,1)*IF(IFERROR(INDEX(ctaMoneda,MATCH(AB749,ctaNombre,0))&amp;"","DOP")="USD",T749,S749))</f>
        <v/>
      </c>
      <c r="AG749" s="53">
        <f>IF(AC749="","",IF(IFERROR(INDEX(ctaMoneda,MATCH(AC749,ctaNombre,0))&amp;"","DOP")="USD",T749,S749))</f>
        <v/>
      </c>
      <c r="AH749" s="53">
        <f>IF(P749="","",IF(AND(AD749&lt;&gt;"",COUNTIFS(tcTipo,AD749,tcLiq,"Sí")&gt;0),IF(OR(P749="Gasto",P749="Transferencia",P749="Pago tarjeta"),-1,1)*S749,0)+IF(AND(AE749&lt;&gt;"",COUNTIFS(tcTipo,AE749,tcLiq,"Sí")&gt;0),S749,0))</f>
        <v/>
      </c>
      <c r="AI749" s="52">
        <f>IF(OR(L749="",P749=""),"",IF(COUNTIFS(L$6:L749,L749,P$6:P749,"?*")=1,MAX(AI$5:AI748)+1,""))</f>
        <v/>
      </c>
    </row>
    <row r="750">
      <c r="B750" s="47" t="n"/>
      <c r="C750" s="48" t="n"/>
      <c r="D750" s="48" t="n"/>
      <c r="E750" s="48" t="n"/>
      <c r="F750" s="48" t="n"/>
      <c r="G750" s="49" t="n"/>
      <c r="H750" s="48" t="n"/>
      <c r="I750" s="50" t="n"/>
      <c r="J750" s="48" t="n"/>
      <c r="K750" s="48" t="n"/>
      <c r="L750" s="48" t="n"/>
      <c r="M750" s="48" t="n"/>
      <c r="N750" s="48" t="n"/>
      <c r="O750" s="51">
        <f>IF(AND(B750="",G750="",C750="",D750="",J750=""),"",IF(B750="","⚠ Falta fecha",IF(G750="","⚠ Falta monto",IF(Q750="","⚠ Falta cuenta",IF(ISNA(MATCH(Q750,ctaNombre,0)),"⚠ Cuenta no registrada",IF(AND(OR(P750="Gasto",P750="Reembolso"),D750=""),"⚠ Falta categoría",IF(AND(D750&lt;&gt;"",E750&lt;&gt;"",ISNA(MATCH(D750&amp;"|"&amp;E750,catClave,0))),"⚠ Subcategoría no corresponde",IF(AND(OR(P750="Transferencia",P750="Pago tarjeta"),K750=""),"⚠ Falta cuenta destino",IF(AND(K750&lt;&gt;"",P750&lt;&gt;"Transferencia",P750&lt;&gt;"Pago tarjeta"),"⚠ Destino solo aplica a transferencias",IF(AND(K750&lt;&gt;"",K750=Q750),"⚠ Origen igual a destino",IF(AND(K750&lt;&gt;"",ISNA(MATCH(K750,ctaNombre,0))),"⚠ Destino no registrado",IF(AND(P750="Pago tarjeta",AE750&lt;&gt;"Tarjeta de crédito"),"⚠ El destino debe ser tarjeta de crédito",IF(AND(P750="Gasto",E750="Depósitos y retiros"),"⚠ Usa tipo Transferencia",IF(AND(P750="Resultado trading",AD750&lt;&gt;"Cuenta de trading"),"⚠ Usa una cuenta de trading",IF(AND(G750&lt;=0,P750&lt;&gt;"Ajuste",P750&lt;&gt;"Resultado trading"),"⚠ El monto debe ser positivo","✓")))))))))))))))</f>
        <v/>
      </c>
      <c r="P750" s="52">
        <f>IF(OR(B750="",G750=""),"",IF(C750="","Gasto",C750))</f>
        <v/>
      </c>
      <c r="Q750" s="52">
        <f>IF(P750="","",IF(J750&lt;&gt;"",J750,CuentaPred&amp;""))</f>
        <v/>
      </c>
      <c r="R750" s="52">
        <f>IF(P750="","",IF(ISNUMBER(I750),I750,TasaUSD))</f>
        <v/>
      </c>
      <c r="S750" s="53">
        <f>IF(P750="","",IF(H750="USD",G750*R750,G750))</f>
        <v/>
      </c>
      <c r="T750" s="53">
        <f>IF(P750="","",IF(H750="USD",G750,IF(R750&gt;0,G750/R750,0)))</f>
        <v/>
      </c>
      <c r="U750" s="53">
        <f>IF(P750="","",IF(P750="Gasto",S750,IF(P750="Reembolso",-S750,0)))</f>
        <v/>
      </c>
      <c r="V750" s="53">
        <f>IF(P750="","",IF(P750="Ingreso",S750,0))</f>
        <v/>
      </c>
      <c r="W750" s="53">
        <f>IF(P750="","",IF(P750="Resultado trading",S750,0))</f>
        <v/>
      </c>
      <c r="X750" s="52">
        <f>IF(OR(P750="Gasto",P750="Reembolso"),IF(M750&lt;&gt;"",M750,IFERROR(INDEX(catClasif,MATCH(D750&amp;"|"&amp;E750,catClave,0))&amp;"","Variable")),"")</f>
        <v/>
      </c>
      <c r="Y750" s="52">
        <f>IF(P750="","",IFERROR(INDEX(catGrupo,MATCH(D750&amp;"|"&amp;E750,catClave,0))&amp;"",""))</f>
        <v/>
      </c>
      <c r="Z750" s="52">
        <f>IF(P750="","",WEEKDAY(B750,2))</f>
        <v/>
      </c>
      <c r="AA750" s="52">
        <f>IF(P750="","",IF(AND(P750="Gasto",X750="Variable",D750&lt;&gt;catTrading,S750&gt;0,S750&lt;=Umbral),1,0))</f>
        <v/>
      </c>
      <c r="AB750" s="52">
        <f>IF(OR(P750="",Q750=""),"",IFERROR(IF(INDEX(ctaVinc,MATCH(Q750,ctaNombre,0))&amp;""&lt;&gt;"",INDEX(ctaVinc,MATCH(Q750,ctaNombre,0))&amp;"",Q750),Q750))</f>
        <v/>
      </c>
      <c r="AC750" s="52">
        <f>IF(OR(K750="",AND(P750&lt;&gt;"Transferencia",P750&lt;&gt;"Pago tarjeta")),"",IFERROR(IF(INDEX(ctaVinc,MATCH(K750,ctaNombre,0))&amp;""&lt;&gt;"",INDEX(ctaVinc,MATCH(K750,ctaNombre,0))&amp;"",K750),K750))</f>
        <v/>
      </c>
      <c r="AD750" s="52">
        <f>IF(AB750="","",IFERROR(INDEX(ctaTipo,MATCH(AB750,ctaNombre,0))&amp;"",""))</f>
        <v/>
      </c>
      <c r="AE750" s="52">
        <f>IF(AC750="","",IFERROR(INDEX(ctaTipo,MATCH(AC750,ctaNombre,0))&amp;"",""))</f>
        <v/>
      </c>
      <c r="AF750" s="53">
        <f>IF(OR(P750="",AB750=""),"",IF(OR(P750="Gasto",P750="Transferencia",P750="Pago tarjeta"),-1,1)*IF(IFERROR(INDEX(ctaMoneda,MATCH(AB750,ctaNombre,0))&amp;"","DOP")="USD",T750,S750))</f>
        <v/>
      </c>
      <c r="AG750" s="53">
        <f>IF(AC750="","",IF(IFERROR(INDEX(ctaMoneda,MATCH(AC750,ctaNombre,0))&amp;"","DOP")="USD",T750,S750))</f>
        <v/>
      </c>
      <c r="AH750" s="53">
        <f>IF(P750="","",IF(AND(AD750&lt;&gt;"",COUNTIFS(tcTipo,AD750,tcLiq,"Sí")&gt;0),IF(OR(P750="Gasto",P750="Transferencia",P750="Pago tarjeta"),-1,1)*S750,0)+IF(AND(AE750&lt;&gt;"",COUNTIFS(tcTipo,AE750,tcLiq,"Sí")&gt;0),S750,0))</f>
        <v/>
      </c>
      <c r="AI750" s="52">
        <f>IF(OR(L750="",P750=""),"",IF(COUNTIFS(L$6:L750,L750,P$6:P750,"?*")=1,MAX(AI$5:AI749)+1,""))</f>
        <v/>
      </c>
    </row>
    <row r="751">
      <c r="B751" s="47" t="n"/>
      <c r="C751" s="48" t="n"/>
      <c r="D751" s="48" t="n"/>
      <c r="E751" s="48" t="n"/>
      <c r="F751" s="48" t="n"/>
      <c r="G751" s="49" t="n"/>
      <c r="H751" s="48" t="n"/>
      <c r="I751" s="50" t="n"/>
      <c r="J751" s="48" t="n"/>
      <c r="K751" s="48" t="n"/>
      <c r="L751" s="48" t="n"/>
      <c r="M751" s="48" t="n"/>
      <c r="N751" s="48" t="n"/>
      <c r="O751" s="51">
        <f>IF(AND(B751="",G751="",C751="",D751="",J751=""),"",IF(B751="","⚠ Falta fecha",IF(G751="","⚠ Falta monto",IF(Q751="","⚠ Falta cuenta",IF(ISNA(MATCH(Q751,ctaNombre,0)),"⚠ Cuenta no registrada",IF(AND(OR(P751="Gasto",P751="Reembolso"),D751=""),"⚠ Falta categoría",IF(AND(D751&lt;&gt;"",E751&lt;&gt;"",ISNA(MATCH(D751&amp;"|"&amp;E751,catClave,0))),"⚠ Subcategoría no corresponde",IF(AND(OR(P751="Transferencia",P751="Pago tarjeta"),K751=""),"⚠ Falta cuenta destino",IF(AND(K751&lt;&gt;"",P751&lt;&gt;"Transferencia",P751&lt;&gt;"Pago tarjeta"),"⚠ Destino solo aplica a transferencias",IF(AND(K751&lt;&gt;"",K751=Q751),"⚠ Origen igual a destino",IF(AND(K751&lt;&gt;"",ISNA(MATCH(K751,ctaNombre,0))),"⚠ Destino no registrado",IF(AND(P751="Pago tarjeta",AE751&lt;&gt;"Tarjeta de crédito"),"⚠ El destino debe ser tarjeta de crédito",IF(AND(P751="Gasto",E751="Depósitos y retiros"),"⚠ Usa tipo Transferencia",IF(AND(P751="Resultado trading",AD751&lt;&gt;"Cuenta de trading"),"⚠ Usa una cuenta de trading",IF(AND(G751&lt;=0,P751&lt;&gt;"Ajuste",P751&lt;&gt;"Resultado trading"),"⚠ El monto debe ser positivo","✓")))))))))))))))</f>
        <v/>
      </c>
      <c r="P751" s="52">
        <f>IF(OR(B751="",G751=""),"",IF(C751="","Gasto",C751))</f>
        <v/>
      </c>
      <c r="Q751" s="52">
        <f>IF(P751="","",IF(J751&lt;&gt;"",J751,CuentaPred&amp;""))</f>
        <v/>
      </c>
      <c r="R751" s="52">
        <f>IF(P751="","",IF(ISNUMBER(I751),I751,TasaUSD))</f>
        <v/>
      </c>
      <c r="S751" s="53">
        <f>IF(P751="","",IF(H751="USD",G751*R751,G751))</f>
        <v/>
      </c>
      <c r="T751" s="53">
        <f>IF(P751="","",IF(H751="USD",G751,IF(R751&gt;0,G751/R751,0)))</f>
        <v/>
      </c>
      <c r="U751" s="53">
        <f>IF(P751="","",IF(P751="Gasto",S751,IF(P751="Reembolso",-S751,0)))</f>
        <v/>
      </c>
      <c r="V751" s="53">
        <f>IF(P751="","",IF(P751="Ingreso",S751,0))</f>
        <v/>
      </c>
      <c r="W751" s="53">
        <f>IF(P751="","",IF(P751="Resultado trading",S751,0))</f>
        <v/>
      </c>
      <c r="X751" s="52">
        <f>IF(OR(P751="Gasto",P751="Reembolso"),IF(M751&lt;&gt;"",M751,IFERROR(INDEX(catClasif,MATCH(D751&amp;"|"&amp;E751,catClave,0))&amp;"","Variable")),"")</f>
        <v/>
      </c>
      <c r="Y751" s="52">
        <f>IF(P751="","",IFERROR(INDEX(catGrupo,MATCH(D751&amp;"|"&amp;E751,catClave,0))&amp;"",""))</f>
        <v/>
      </c>
      <c r="Z751" s="52">
        <f>IF(P751="","",WEEKDAY(B751,2))</f>
        <v/>
      </c>
      <c r="AA751" s="52">
        <f>IF(P751="","",IF(AND(P751="Gasto",X751="Variable",D751&lt;&gt;catTrading,S751&gt;0,S751&lt;=Umbral),1,0))</f>
        <v/>
      </c>
      <c r="AB751" s="52">
        <f>IF(OR(P751="",Q751=""),"",IFERROR(IF(INDEX(ctaVinc,MATCH(Q751,ctaNombre,0))&amp;""&lt;&gt;"",INDEX(ctaVinc,MATCH(Q751,ctaNombre,0))&amp;"",Q751),Q751))</f>
        <v/>
      </c>
      <c r="AC751" s="52">
        <f>IF(OR(K751="",AND(P751&lt;&gt;"Transferencia",P751&lt;&gt;"Pago tarjeta")),"",IFERROR(IF(INDEX(ctaVinc,MATCH(K751,ctaNombre,0))&amp;""&lt;&gt;"",INDEX(ctaVinc,MATCH(K751,ctaNombre,0))&amp;"",K751),K751))</f>
        <v/>
      </c>
      <c r="AD751" s="52">
        <f>IF(AB751="","",IFERROR(INDEX(ctaTipo,MATCH(AB751,ctaNombre,0))&amp;"",""))</f>
        <v/>
      </c>
      <c r="AE751" s="52">
        <f>IF(AC751="","",IFERROR(INDEX(ctaTipo,MATCH(AC751,ctaNombre,0))&amp;"",""))</f>
        <v/>
      </c>
      <c r="AF751" s="53">
        <f>IF(OR(P751="",AB751=""),"",IF(OR(P751="Gasto",P751="Transferencia",P751="Pago tarjeta"),-1,1)*IF(IFERROR(INDEX(ctaMoneda,MATCH(AB751,ctaNombre,0))&amp;"","DOP")="USD",T751,S751))</f>
        <v/>
      </c>
      <c r="AG751" s="53">
        <f>IF(AC751="","",IF(IFERROR(INDEX(ctaMoneda,MATCH(AC751,ctaNombre,0))&amp;"","DOP")="USD",T751,S751))</f>
        <v/>
      </c>
      <c r="AH751" s="53">
        <f>IF(P751="","",IF(AND(AD751&lt;&gt;"",COUNTIFS(tcTipo,AD751,tcLiq,"Sí")&gt;0),IF(OR(P751="Gasto",P751="Transferencia",P751="Pago tarjeta"),-1,1)*S751,0)+IF(AND(AE751&lt;&gt;"",COUNTIFS(tcTipo,AE751,tcLiq,"Sí")&gt;0),S751,0))</f>
        <v/>
      </c>
      <c r="AI751" s="52">
        <f>IF(OR(L751="",P751=""),"",IF(COUNTIFS(L$6:L751,L751,P$6:P751,"?*")=1,MAX(AI$5:AI750)+1,""))</f>
        <v/>
      </c>
    </row>
    <row r="752">
      <c r="B752" s="47" t="n"/>
      <c r="C752" s="48" t="n"/>
      <c r="D752" s="48" t="n"/>
      <c r="E752" s="48" t="n"/>
      <c r="F752" s="48" t="n"/>
      <c r="G752" s="49" t="n"/>
      <c r="H752" s="48" t="n"/>
      <c r="I752" s="50" t="n"/>
      <c r="J752" s="48" t="n"/>
      <c r="K752" s="48" t="n"/>
      <c r="L752" s="48" t="n"/>
      <c r="M752" s="48" t="n"/>
      <c r="N752" s="48" t="n"/>
      <c r="O752" s="51">
        <f>IF(AND(B752="",G752="",C752="",D752="",J752=""),"",IF(B752="","⚠ Falta fecha",IF(G752="","⚠ Falta monto",IF(Q752="","⚠ Falta cuenta",IF(ISNA(MATCH(Q752,ctaNombre,0)),"⚠ Cuenta no registrada",IF(AND(OR(P752="Gasto",P752="Reembolso"),D752=""),"⚠ Falta categoría",IF(AND(D752&lt;&gt;"",E752&lt;&gt;"",ISNA(MATCH(D752&amp;"|"&amp;E752,catClave,0))),"⚠ Subcategoría no corresponde",IF(AND(OR(P752="Transferencia",P752="Pago tarjeta"),K752=""),"⚠ Falta cuenta destino",IF(AND(K752&lt;&gt;"",P752&lt;&gt;"Transferencia",P752&lt;&gt;"Pago tarjeta"),"⚠ Destino solo aplica a transferencias",IF(AND(K752&lt;&gt;"",K752=Q752),"⚠ Origen igual a destino",IF(AND(K752&lt;&gt;"",ISNA(MATCH(K752,ctaNombre,0))),"⚠ Destino no registrado",IF(AND(P752="Pago tarjeta",AE752&lt;&gt;"Tarjeta de crédito"),"⚠ El destino debe ser tarjeta de crédito",IF(AND(P752="Gasto",E752="Depósitos y retiros"),"⚠ Usa tipo Transferencia",IF(AND(P752="Resultado trading",AD752&lt;&gt;"Cuenta de trading"),"⚠ Usa una cuenta de trading",IF(AND(G752&lt;=0,P752&lt;&gt;"Ajuste",P752&lt;&gt;"Resultado trading"),"⚠ El monto debe ser positivo","✓")))))))))))))))</f>
        <v/>
      </c>
      <c r="P752" s="52">
        <f>IF(OR(B752="",G752=""),"",IF(C752="","Gasto",C752))</f>
        <v/>
      </c>
      <c r="Q752" s="52">
        <f>IF(P752="","",IF(J752&lt;&gt;"",J752,CuentaPred&amp;""))</f>
        <v/>
      </c>
      <c r="R752" s="52">
        <f>IF(P752="","",IF(ISNUMBER(I752),I752,TasaUSD))</f>
        <v/>
      </c>
      <c r="S752" s="53">
        <f>IF(P752="","",IF(H752="USD",G752*R752,G752))</f>
        <v/>
      </c>
      <c r="T752" s="53">
        <f>IF(P752="","",IF(H752="USD",G752,IF(R752&gt;0,G752/R752,0)))</f>
        <v/>
      </c>
      <c r="U752" s="53">
        <f>IF(P752="","",IF(P752="Gasto",S752,IF(P752="Reembolso",-S752,0)))</f>
        <v/>
      </c>
      <c r="V752" s="53">
        <f>IF(P752="","",IF(P752="Ingreso",S752,0))</f>
        <v/>
      </c>
      <c r="W752" s="53">
        <f>IF(P752="","",IF(P752="Resultado trading",S752,0))</f>
        <v/>
      </c>
      <c r="X752" s="52">
        <f>IF(OR(P752="Gasto",P752="Reembolso"),IF(M752&lt;&gt;"",M752,IFERROR(INDEX(catClasif,MATCH(D752&amp;"|"&amp;E752,catClave,0))&amp;"","Variable")),"")</f>
        <v/>
      </c>
      <c r="Y752" s="52">
        <f>IF(P752="","",IFERROR(INDEX(catGrupo,MATCH(D752&amp;"|"&amp;E752,catClave,0))&amp;"",""))</f>
        <v/>
      </c>
      <c r="Z752" s="52">
        <f>IF(P752="","",WEEKDAY(B752,2))</f>
        <v/>
      </c>
      <c r="AA752" s="52">
        <f>IF(P752="","",IF(AND(P752="Gasto",X752="Variable",D752&lt;&gt;catTrading,S752&gt;0,S752&lt;=Umbral),1,0))</f>
        <v/>
      </c>
      <c r="AB752" s="52">
        <f>IF(OR(P752="",Q752=""),"",IFERROR(IF(INDEX(ctaVinc,MATCH(Q752,ctaNombre,0))&amp;""&lt;&gt;"",INDEX(ctaVinc,MATCH(Q752,ctaNombre,0))&amp;"",Q752),Q752))</f>
        <v/>
      </c>
      <c r="AC752" s="52">
        <f>IF(OR(K752="",AND(P752&lt;&gt;"Transferencia",P752&lt;&gt;"Pago tarjeta")),"",IFERROR(IF(INDEX(ctaVinc,MATCH(K752,ctaNombre,0))&amp;""&lt;&gt;"",INDEX(ctaVinc,MATCH(K752,ctaNombre,0))&amp;"",K752),K752))</f>
        <v/>
      </c>
      <c r="AD752" s="52">
        <f>IF(AB752="","",IFERROR(INDEX(ctaTipo,MATCH(AB752,ctaNombre,0))&amp;"",""))</f>
        <v/>
      </c>
      <c r="AE752" s="52">
        <f>IF(AC752="","",IFERROR(INDEX(ctaTipo,MATCH(AC752,ctaNombre,0))&amp;"",""))</f>
        <v/>
      </c>
      <c r="AF752" s="53">
        <f>IF(OR(P752="",AB752=""),"",IF(OR(P752="Gasto",P752="Transferencia",P752="Pago tarjeta"),-1,1)*IF(IFERROR(INDEX(ctaMoneda,MATCH(AB752,ctaNombre,0))&amp;"","DOP")="USD",T752,S752))</f>
        <v/>
      </c>
      <c r="AG752" s="53">
        <f>IF(AC752="","",IF(IFERROR(INDEX(ctaMoneda,MATCH(AC752,ctaNombre,0))&amp;"","DOP")="USD",T752,S752))</f>
        <v/>
      </c>
      <c r="AH752" s="53">
        <f>IF(P752="","",IF(AND(AD752&lt;&gt;"",COUNTIFS(tcTipo,AD752,tcLiq,"Sí")&gt;0),IF(OR(P752="Gasto",P752="Transferencia",P752="Pago tarjeta"),-1,1)*S752,0)+IF(AND(AE752&lt;&gt;"",COUNTIFS(tcTipo,AE752,tcLiq,"Sí")&gt;0),S752,0))</f>
        <v/>
      </c>
      <c r="AI752" s="52">
        <f>IF(OR(L752="",P752=""),"",IF(COUNTIFS(L$6:L752,L752,P$6:P752,"?*")=1,MAX(AI$5:AI751)+1,""))</f>
        <v/>
      </c>
    </row>
    <row r="753">
      <c r="B753" s="47" t="n"/>
      <c r="C753" s="48" t="n"/>
      <c r="D753" s="48" t="n"/>
      <c r="E753" s="48" t="n"/>
      <c r="F753" s="48" t="n"/>
      <c r="G753" s="49" t="n"/>
      <c r="H753" s="48" t="n"/>
      <c r="I753" s="50" t="n"/>
      <c r="J753" s="48" t="n"/>
      <c r="K753" s="48" t="n"/>
      <c r="L753" s="48" t="n"/>
      <c r="M753" s="48" t="n"/>
      <c r="N753" s="48" t="n"/>
      <c r="O753" s="51">
        <f>IF(AND(B753="",G753="",C753="",D753="",J753=""),"",IF(B753="","⚠ Falta fecha",IF(G753="","⚠ Falta monto",IF(Q753="","⚠ Falta cuenta",IF(ISNA(MATCH(Q753,ctaNombre,0)),"⚠ Cuenta no registrada",IF(AND(OR(P753="Gasto",P753="Reembolso"),D753=""),"⚠ Falta categoría",IF(AND(D753&lt;&gt;"",E753&lt;&gt;"",ISNA(MATCH(D753&amp;"|"&amp;E753,catClave,0))),"⚠ Subcategoría no corresponde",IF(AND(OR(P753="Transferencia",P753="Pago tarjeta"),K753=""),"⚠ Falta cuenta destino",IF(AND(K753&lt;&gt;"",P753&lt;&gt;"Transferencia",P753&lt;&gt;"Pago tarjeta"),"⚠ Destino solo aplica a transferencias",IF(AND(K753&lt;&gt;"",K753=Q753),"⚠ Origen igual a destino",IF(AND(K753&lt;&gt;"",ISNA(MATCH(K753,ctaNombre,0))),"⚠ Destino no registrado",IF(AND(P753="Pago tarjeta",AE753&lt;&gt;"Tarjeta de crédito"),"⚠ El destino debe ser tarjeta de crédito",IF(AND(P753="Gasto",E753="Depósitos y retiros"),"⚠ Usa tipo Transferencia",IF(AND(P753="Resultado trading",AD753&lt;&gt;"Cuenta de trading"),"⚠ Usa una cuenta de trading",IF(AND(G753&lt;=0,P753&lt;&gt;"Ajuste",P753&lt;&gt;"Resultado trading"),"⚠ El monto debe ser positivo","✓")))))))))))))))</f>
        <v/>
      </c>
      <c r="P753" s="52">
        <f>IF(OR(B753="",G753=""),"",IF(C753="","Gasto",C753))</f>
        <v/>
      </c>
      <c r="Q753" s="52">
        <f>IF(P753="","",IF(J753&lt;&gt;"",J753,CuentaPred&amp;""))</f>
        <v/>
      </c>
      <c r="R753" s="52">
        <f>IF(P753="","",IF(ISNUMBER(I753),I753,TasaUSD))</f>
        <v/>
      </c>
      <c r="S753" s="53">
        <f>IF(P753="","",IF(H753="USD",G753*R753,G753))</f>
        <v/>
      </c>
      <c r="T753" s="53">
        <f>IF(P753="","",IF(H753="USD",G753,IF(R753&gt;0,G753/R753,0)))</f>
        <v/>
      </c>
      <c r="U753" s="53">
        <f>IF(P753="","",IF(P753="Gasto",S753,IF(P753="Reembolso",-S753,0)))</f>
        <v/>
      </c>
      <c r="V753" s="53">
        <f>IF(P753="","",IF(P753="Ingreso",S753,0))</f>
        <v/>
      </c>
      <c r="W753" s="53">
        <f>IF(P753="","",IF(P753="Resultado trading",S753,0))</f>
        <v/>
      </c>
      <c r="X753" s="52">
        <f>IF(OR(P753="Gasto",P753="Reembolso"),IF(M753&lt;&gt;"",M753,IFERROR(INDEX(catClasif,MATCH(D753&amp;"|"&amp;E753,catClave,0))&amp;"","Variable")),"")</f>
        <v/>
      </c>
      <c r="Y753" s="52">
        <f>IF(P753="","",IFERROR(INDEX(catGrupo,MATCH(D753&amp;"|"&amp;E753,catClave,0))&amp;"",""))</f>
        <v/>
      </c>
      <c r="Z753" s="52">
        <f>IF(P753="","",WEEKDAY(B753,2))</f>
        <v/>
      </c>
      <c r="AA753" s="52">
        <f>IF(P753="","",IF(AND(P753="Gasto",X753="Variable",D753&lt;&gt;catTrading,S753&gt;0,S753&lt;=Umbral),1,0))</f>
        <v/>
      </c>
      <c r="AB753" s="52">
        <f>IF(OR(P753="",Q753=""),"",IFERROR(IF(INDEX(ctaVinc,MATCH(Q753,ctaNombre,0))&amp;""&lt;&gt;"",INDEX(ctaVinc,MATCH(Q753,ctaNombre,0))&amp;"",Q753),Q753))</f>
        <v/>
      </c>
      <c r="AC753" s="52">
        <f>IF(OR(K753="",AND(P753&lt;&gt;"Transferencia",P753&lt;&gt;"Pago tarjeta")),"",IFERROR(IF(INDEX(ctaVinc,MATCH(K753,ctaNombre,0))&amp;""&lt;&gt;"",INDEX(ctaVinc,MATCH(K753,ctaNombre,0))&amp;"",K753),K753))</f>
        <v/>
      </c>
      <c r="AD753" s="52">
        <f>IF(AB753="","",IFERROR(INDEX(ctaTipo,MATCH(AB753,ctaNombre,0))&amp;"",""))</f>
        <v/>
      </c>
      <c r="AE753" s="52">
        <f>IF(AC753="","",IFERROR(INDEX(ctaTipo,MATCH(AC753,ctaNombre,0))&amp;"",""))</f>
        <v/>
      </c>
      <c r="AF753" s="53">
        <f>IF(OR(P753="",AB753=""),"",IF(OR(P753="Gasto",P753="Transferencia",P753="Pago tarjeta"),-1,1)*IF(IFERROR(INDEX(ctaMoneda,MATCH(AB753,ctaNombre,0))&amp;"","DOP")="USD",T753,S753))</f>
        <v/>
      </c>
      <c r="AG753" s="53">
        <f>IF(AC753="","",IF(IFERROR(INDEX(ctaMoneda,MATCH(AC753,ctaNombre,0))&amp;"","DOP")="USD",T753,S753))</f>
        <v/>
      </c>
      <c r="AH753" s="53">
        <f>IF(P753="","",IF(AND(AD753&lt;&gt;"",COUNTIFS(tcTipo,AD753,tcLiq,"Sí")&gt;0),IF(OR(P753="Gasto",P753="Transferencia",P753="Pago tarjeta"),-1,1)*S753,0)+IF(AND(AE753&lt;&gt;"",COUNTIFS(tcTipo,AE753,tcLiq,"Sí")&gt;0),S753,0))</f>
        <v/>
      </c>
      <c r="AI753" s="52">
        <f>IF(OR(L753="",P753=""),"",IF(COUNTIFS(L$6:L753,L753,P$6:P753,"?*")=1,MAX(AI$5:AI752)+1,""))</f>
        <v/>
      </c>
    </row>
    <row r="754">
      <c r="B754" s="47" t="n"/>
      <c r="C754" s="48" t="n"/>
      <c r="D754" s="48" t="n"/>
      <c r="E754" s="48" t="n"/>
      <c r="F754" s="48" t="n"/>
      <c r="G754" s="49" t="n"/>
      <c r="H754" s="48" t="n"/>
      <c r="I754" s="50" t="n"/>
      <c r="J754" s="48" t="n"/>
      <c r="K754" s="48" t="n"/>
      <c r="L754" s="48" t="n"/>
      <c r="M754" s="48" t="n"/>
      <c r="N754" s="48" t="n"/>
      <c r="O754" s="51">
        <f>IF(AND(B754="",G754="",C754="",D754="",J754=""),"",IF(B754="","⚠ Falta fecha",IF(G754="","⚠ Falta monto",IF(Q754="","⚠ Falta cuenta",IF(ISNA(MATCH(Q754,ctaNombre,0)),"⚠ Cuenta no registrada",IF(AND(OR(P754="Gasto",P754="Reembolso"),D754=""),"⚠ Falta categoría",IF(AND(D754&lt;&gt;"",E754&lt;&gt;"",ISNA(MATCH(D754&amp;"|"&amp;E754,catClave,0))),"⚠ Subcategoría no corresponde",IF(AND(OR(P754="Transferencia",P754="Pago tarjeta"),K754=""),"⚠ Falta cuenta destino",IF(AND(K754&lt;&gt;"",P754&lt;&gt;"Transferencia",P754&lt;&gt;"Pago tarjeta"),"⚠ Destino solo aplica a transferencias",IF(AND(K754&lt;&gt;"",K754=Q754),"⚠ Origen igual a destino",IF(AND(K754&lt;&gt;"",ISNA(MATCH(K754,ctaNombre,0))),"⚠ Destino no registrado",IF(AND(P754="Pago tarjeta",AE754&lt;&gt;"Tarjeta de crédito"),"⚠ El destino debe ser tarjeta de crédito",IF(AND(P754="Gasto",E754="Depósitos y retiros"),"⚠ Usa tipo Transferencia",IF(AND(P754="Resultado trading",AD754&lt;&gt;"Cuenta de trading"),"⚠ Usa una cuenta de trading",IF(AND(G754&lt;=0,P754&lt;&gt;"Ajuste",P754&lt;&gt;"Resultado trading"),"⚠ El monto debe ser positivo","✓")))))))))))))))</f>
        <v/>
      </c>
      <c r="P754" s="52">
        <f>IF(OR(B754="",G754=""),"",IF(C754="","Gasto",C754))</f>
        <v/>
      </c>
      <c r="Q754" s="52">
        <f>IF(P754="","",IF(J754&lt;&gt;"",J754,CuentaPred&amp;""))</f>
        <v/>
      </c>
      <c r="R754" s="52">
        <f>IF(P754="","",IF(ISNUMBER(I754),I754,TasaUSD))</f>
        <v/>
      </c>
      <c r="S754" s="53">
        <f>IF(P754="","",IF(H754="USD",G754*R754,G754))</f>
        <v/>
      </c>
      <c r="T754" s="53">
        <f>IF(P754="","",IF(H754="USD",G754,IF(R754&gt;0,G754/R754,0)))</f>
        <v/>
      </c>
      <c r="U754" s="53">
        <f>IF(P754="","",IF(P754="Gasto",S754,IF(P754="Reembolso",-S754,0)))</f>
        <v/>
      </c>
      <c r="V754" s="53">
        <f>IF(P754="","",IF(P754="Ingreso",S754,0))</f>
        <v/>
      </c>
      <c r="W754" s="53">
        <f>IF(P754="","",IF(P754="Resultado trading",S754,0))</f>
        <v/>
      </c>
      <c r="X754" s="52">
        <f>IF(OR(P754="Gasto",P754="Reembolso"),IF(M754&lt;&gt;"",M754,IFERROR(INDEX(catClasif,MATCH(D754&amp;"|"&amp;E754,catClave,0))&amp;"","Variable")),"")</f>
        <v/>
      </c>
      <c r="Y754" s="52">
        <f>IF(P754="","",IFERROR(INDEX(catGrupo,MATCH(D754&amp;"|"&amp;E754,catClave,0))&amp;"",""))</f>
        <v/>
      </c>
      <c r="Z754" s="52">
        <f>IF(P754="","",WEEKDAY(B754,2))</f>
        <v/>
      </c>
      <c r="AA754" s="52">
        <f>IF(P754="","",IF(AND(P754="Gasto",X754="Variable",D754&lt;&gt;catTrading,S754&gt;0,S754&lt;=Umbral),1,0))</f>
        <v/>
      </c>
      <c r="AB754" s="52">
        <f>IF(OR(P754="",Q754=""),"",IFERROR(IF(INDEX(ctaVinc,MATCH(Q754,ctaNombre,0))&amp;""&lt;&gt;"",INDEX(ctaVinc,MATCH(Q754,ctaNombre,0))&amp;"",Q754),Q754))</f>
        <v/>
      </c>
      <c r="AC754" s="52">
        <f>IF(OR(K754="",AND(P754&lt;&gt;"Transferencia",P754&lt;&gt;"Pago tarjeta")),"",IFERROR(IF(INDEX(ctaVinc,MATCH(K754,ctaNombre,0))&amp;""&lt;&gt;"",INDEX(ctaVinc,MATCH(K754,ctaNombre,0))&amp;"",K754),K754))</f>
        <v/>
      </c>
      <c r="AD754" s="52">
        <f>IF(AB754="","",IFERROR(INDEX(ctaTipo,MATCH(AB754,ctaNombre,0))&amp;"",""))</f>
        <v/>
      </c>
      <c r="AE754" s="52">
        <f>IF(AC754="","",IFERROR(INDEX(ctaTipo,MATCH(AC754,ctaNombre,0))&amp;"",""))</f>
        <v/>
      </c>
      <c r="AF754" s="53">
        <f>IF(OR(P754="",AB754=""),"",IF(OR(P754="Gasto",P754="Transferencia",P754="Pago tarjeta"),-1,1)*IF(IFERROR(INDEX(ctaMoneda,MATCH(AB754,ctaNombre,0))&amp;"","DOP")="USD",T754,S754))</f>
        <v/>
      </c>
      <c r="AG754" s="53">
        <f>IF(AC754="","",IF(IFERROR(INDEX(ctaMoneda,MATCH(AC754,ctaNombre,0))&amp;"","DOP")="USD",T754,S754))</f>
        <v/>
      </c>
      <c r="AH754" s="53">
        <f>IF(P754="","",IF(AND(AD754&lt;&gt;"",COUNTIFS(tcTipo,AD754,tcLiq,"Sí")&gt;0),IF(OR(P754="Gasto",P754="Transferencia",P754="Pago tarjeta"),-1,1)*S754,0)+IF(AND(AE754&lt;&gt;"",COUNTIFS(tcTipo,AE754,tcLiq,"Sí")&gt;0),S754,0))</f>
        <v/>
      </c>
      <c r="AI754" s="52">
        <f>IF(OR(L754="",P754=""),"",IF(COUNTIFS(L$6:L754,L754,P$6:P754,"?*")=1,MAX(AI$5:AI753)+1,""))</f>
        <v/>
      </c>
    </row>
    <row r="755">
      <c r="B755" s="47" t="n"/>
      <c r="C755" s="48" t="n"/>
      <c r="D755" s="48" t="n"/>
      <c r="E755" s="48" t="n"/>
      <c r="F755" s="48" t="n"/>
      <c r="G755" s="49" t="n"/>
      <c r="H755" s="48" t="n"/>
      <c r="I755" s="50" t="n"/>
      <c r="J755" s="48" t="n"/>
      <c r="K755" s="48" t="n"/>
      <c r="L755" s="48" t="n"/>
      <c r="M755" s="48" t="n"/>
      <c r="N755" s="48" t="n"/>
      <c r="O755" s="51">
        <f>IF(AND(B755="",G755="",C755="",D755="",J755=""),"",IF(B755="","⚠ Falta fecha",IF(G755="","⚠ Falta monto",IF(Q755="","⚠ Falta cuenta",IF(ISNA(MATCH(Q755,ctaNombre,0)),"⚠ Cuenta no registrada",IF(AND(OR(P755="Gasto",P755="Reembolso"),D755=""),"⚠ Falta categoría",IF(AND(D755&lt;&gt;"",E755&lt;&gt;"",ISNA(MATCH(D755&amp;"|"&amp;E755,catClave,0))),"⚠ Subcategoría no corresponde",IF(AND(OR(P755="Transferencia",P755="Pago tarjeta"),K755=""),"⚠ Falta cuenta destino",IF(AND(K755&lt;&gt;"",P755&lt;&gt;"Transferencia",P755&lt;&gt;"Pago tarjeta"),"⚠ Destino solo aplica a transferencias",IF(AND(K755&lt;&gt;"",K755=Q755),"⚠ Origen igual a destino",IF(AND(K755&lt;&gt;"",ISNA(MATCH(K755,ctaNombre,0))),"⚠ Destino no registrado",IF(AND(P755="Pago tarjeta",AE755&lt;&gt;"Tarjeta de crédito"),"⚠ El destino debe ser tarjeta de crédito",IF(AND(P755="Gasto",E755="Depósitos y retiros"),"⚠ Usa tipo Transferencia",IF(AND(P755="Resultado trading",AD755&lt;&gt;"Cuenta de trading"),"⚠ Usa una cuenta de trading",IF(AND(G755&lt;=0,P755&lt;&gt;"Ajuste",P755&lt;&gt;"Resultado trading"),"⚠ El monto debe ser positivo","✓")))))))))))))))</f>
        <v/>
      </c>
      <c r="P755" s="52">
        <f>IF(OR(B755="",G755=""),"",IF(C755="","Gasto",C755))</f>
        <v/>
      </c>
      <c r="Q755" s="52">
        <f>IF(P755="","",IF(J755&lt;&gt;"",J755,CuentaPred&amp;""))</f>
        <v/>
      </c>
      <c r="R755" s="52">
        <f>IF(P755="","",IF(ISNUMBER(I755),I755,TasaUSD))</f>
        <v/>
      </c>
      <c r="S755" s="53">
        <f>IF(P755="","",IF(H755="USD",G755*R755,G755))</f>
        <v/>
      </c>
      <c r="T755" s="53">
        <f>IF(P755="","",IF(H755="USD",G755,IF(R755&gt;0,G755/R755,0)))</f>
        <v/>
      </c>
      <c r="U755" s="53">
        <f>IF(P755="","",IF(P755="Gasto",S755,IF(P755="Reembolso",-S755,0)))</f>
        <v/>
      </c>
      <c r="V755" s="53">
        <f>IF(P755="","",IF(P755="Ingreso",S755,0))</f>
        <v/>
      </c>
      <c r="W755" s="53">
        <f>IF(P755="","",IF(P755="Resultado trading",S755,0))</f>
        <v/>
      </c>
      <c r="X755" s="52">
        <f>IF(OR(P755="Gasto",P755="Reembolso"),IF(M755&lt;&gt;"",M755,IFERROR(INDEX(catClasif,MATCH(D755&amp;"|"&amp;E755,catClave,0))&amp;"","Variable")),"")</f>
        <v/>
      </c>
      <c r="Y755" s="52">
        <f>IF(P755="","",IFERROR(INDEX(catGrupo,MATCH(D755&amp;"|"&amp;E755,catClave,0))&amp;"",""))</f>
        <v/>
      </c>
      <c r="Z755" s="52">
        <f>IF(P755="","",WEEKDAY(B755,2))</f>
        <v/>
      </c>
      <c r="AA755" s="52">
        <f>IF(P755="","",IF(AND(P755="Gasto",X755="Variable",D755&lt;&gt;catTrading,S755&gt;0,S755&lt;=Umbral),1,0))</f>
        <v/>
      </c>
      <c r="AB755" s="52">
        <f>IF(OR(P755="",Q755=""),"",IFERROR(IF(INDEX(ctaVinc,MATCH(Q755,ctaNombre,0))&amp;""&lt;&gt;"",INDEX(ctaVinc,MATCH(Q755,ctaNombre,0))&amp;"",Q755),Q755))</f>
        <v/>
      </c>
      <c r="AC755" s="52">
        <f>IF(OR(K755="",AND(P755&lt;&gt;"Transferencia",P755&lt;&gt;"Pago tarjeta")),"",IFERROR(IF(INDEX(ctaVinc,MATCH(K755,ctaNombre,0))&amp;""&lt;&gt;"",INDEX(ctaVinc,MATCH(K755,ctaNombre,0))&amp;"",K755),K755))</f>
        <v/>
      </c>
      <c r="AD755" s="52">
        <f>IF(AB755="","",IFERROR(INDEX(ctaTipo,MATCH(AB755,ctaNombre,0))&amp;"",""))</f>
        <v/>
      </c>
      <c r="AE755" s="52">
        <f>IF(AC755="","",IFERROR(INDEX(ctaTipo,MATCH(AC755,ctaNombre,0))&amp;"",""))</f>
        <v/>
      </c>
      <c r="AF755" s="53">
        <f>IF(OR(P755="",AB755=""),"",IF(OR(P755="Gasto",P755="Transferencia",P755="Pago tarjeta"),-1,1)*IF(IFERROR(INDEX(ctaMoneda,MATCH(AB755,ctaNombre,0))&amp;"","DOP")="USD",T755,S755))</f>
        <v/>
      </c>
      <c r="AG755" s="53">
        <f>IF(AC755="","",IF(IFERROR(INDEX(ctaMoneda,MATCH(AC755,ctaNombre,0))&amp;"","DOP")="USD",T755,S755))</f>
        <v/>
      </c>
      <c r="AH755" s="53">
        <f>IF(P755="","",IF(AND(AD755&lt;&gt;"",COUNTIFS(tcTipo,AD755,tcLiq,"Sí")&gt;0),IF(OR(P755="Gasto",P755="Transferencia",P755="Pago tarjeta"),-1,1)*S755,0)+IF(AND(AE755&lt;&gt;"",COUNTIFS(tcTipo,AE755,tcLiq,"Sí")&gt;0),S755,0))</f>
        <v/>
      </c>
      <c r="AI755" s="52">
        <f>IF(OR(L755="",P755=""),"",IF(COUNTIFS(L$6:L755,L755,P$6:P755,"?*")=1,MAX(AI$5:AI754)+1,""))</f>
        <v/>
      </c>
    </row>
    <row r="756">
      <c r="B756" s="47" t="n"/>
      <c r="C756" s="48" t="n"/>
      <c r="D756" s="48" t="n"/>
      <c r="E756" s="48" t="n"/>
      <c r="F756" s="48" t="n"/>
      <c r="G756" s="49" t="n"/>
      <c r="H756" s="48" t="n"/>
      <c r="I756" s="50" t="n"/>
      <c r="J756" s="48" t="n"/>
      <c r="K756" s="48" t="n"/>
      <c r="L756" s="48" t="n"/>
      <c r="M756" s="48" t="n"/>
      <c r="N756" s="48" t="n"/>
      <c r="O756" s="51">
        <f>IF(AND(B756="",G756="",C756="",D756="",J756=""),"",IF(B756="","⚠ Falta fecha",IF(G756="","⚠ Falta monto",IF(Q756="","⚠ Falta cuenta",IF(ISNA(MATCH(Q756,ctaNombre,0)),"⚠ Cuenta no registrada",IF(AND(OR(P756="Gasto",P756="Reembolso"),D756=""),"⚠ Falta categoría",IF(AND(D756&lt;&gt;"",E756&lt;&gt;"",ISNA(MATCH(D756&amp;"|"&amp;E756,catClave,0))),"⚠ Subcategoría no corresponde",IF(AND(OR(P756="Transferencia",P756="Pago tarjeta"),K756=""),"⚠ Falta cuenta destino",IF(AND(K756&lt;&gt;"",P756&lt;&gt;"Transferencia",P756&lt;&gt;"Pago tarjeta"),"⚠ Destino solo aplica a transferencias",IF(AND(K756&lt;&gt;"",K756=Q756),"⚠ Origen igual a destino",IF(AND(K756&lt;&gt;"",ISNA(MATCH(K756,ctaNombre,0))),"⚠ Destino no registrado",IF(AND(P756="Pago tarjeta",AE756&lt;&gt;"Tarjeta de crédito"),"⚠ El destino debe ser tarjeta de crédito",IF(AND(P756="Gasto",E756="Depósitos y retiros"),"⚠ Usa tipo Transferencia",IF(AND(P756="Resultado trading",AD756&lt;&gt;"Cuenta de trading"),"⚠ Usa una cuenta de trading",IF(AND(G756&lt;=0,P756&lt;&gt;"Ajuste",P756&lt;&gt;"Resultado trading"),"⚠ El monto debe ser positivo","✓")))))))))))))))</f>
        <v/>
      </c>
      <c r="P756" s="52">
        <f>IF(OR(B756="",G756=""),"",IF(C756="","Gasto",C756))</f>
        <v/>
      </c>
      <c r="Q756" s="52">
        <f>IF(P756="","",IF(J756&lt;&gt;"",J756,CuentaPred&amp;""))</f>
        <v/>
      </c>
      <c r="R756" s="52">
        <f>IF(P756="","",IF(ISNUMBER(I756),I756,TasaUSD))</f>
        <v/>
      </c>
      <c r="S756" s="53">
        <f>IF(P756="","",IF(H756="USD",G756*R756,G756))</f>
        <v/>
      </c>
      <c r="T756" s="53">
        <f>IF(P756="","",IF(H756="USD",G756,IF(R756&gt;0,G756/R756,0)))</f>
        <v/>
      </c>
      <c r="U756" s="53">
        <f>IF(P756="","",IF(P756="Gasto",S756,IF(P756="Reembolso",-S756,0)))</f>
        <v/>
      </c>
      <c r="V756" s="53">
        <f>IF(P756="","",IF(P756="Ingreso",S756,0))</f>
        <v/>
      </c>
      <c r="W756" s="53">
        <f>IF(P756="","",IF(P756="Resultado trading",S756,0))</f>
        <v/>
      </c>
      <c r="X756" s="52">
        <f>IF(OR(P756="Gasto",P756="Reembolso"),IF(M756&lt;&gt;"",M756,IFERROR(INDEX(catClasif,MATCH(D756&amp;"|"&amp;E756,catClave,0))&amp;"","Variable")),"")</f>
        <v/>
      </c>
      <c r="Y756" s="52">
        <f>IF(P756="","",IFERROR(INDEX(catGrupo,MATCH(D756&amp;"|"&amp;E756,catClave,0))&amp;"",""))</f>
        <v/>
      </c>
      <c r="Z756" s="52">
        <f>IF(P756="","",WEEKDAY(B756,2))</f>
        <v/>
      </c>
      <c r="AA756" s="52">
        <f>IF(P756="","",IF(AND(P756="Gasto",X756="Variable",D756&lt;&gt;catTrading,S756&gt;0,S756&lt;=Umbral),1,0))</f>
        <v/>
      </c>
      <c r="AB756" s="52">
        <f>IF(OR(P756="",Q756=""),"",IFERROR(IF(INDEX(ctaVinc,MATCH(Q756,ctaNombre,0))&amp;""&lt;&gt;"",INDEX(ctaVinc,MATCH(Q756,ctaNombre,0))&amp;"",Q756),Q756))</f>
        <v/>
      </c>
      <c r="AC756" s="52">
        <f>IF(OR(K756="",AND(P756&lt;&gt;"Transferencia",P756&lt;&gt;"Pago tarjeta")),"",IFERROR(IF(INDEX(ctaVinc,MATCH(K756,ctaNombre,0))&amp;""&lt;&gt;"",INDEX(ctaVinc,MATCH(K756,ctaNombre,0))&amp;"",K756),K756))</f>
        <v/>
      </c>
      <c r="AD756" s="52">
        <f>IF(AB756="","",IFERROR(INDEX(ctaTipo,MATCH(AB756,ctaNombre,0))&amp;"",""))</f>
        <v/>
      </c>
      <c r="AE756" s="52">
        <f>IF(AC756="","",IFERROR(INDEX(ctaTipo,MATCH(AC756,ctaNombre,0))&amp;"",""))</f>
        <v/>
      </c>
      <c r="AF756" s="53">
        <f>IF(OR(P756="",AB756=""),"",IF(OR(P756="Gasto",P756="Transferencia",P756="Pago tarjeta"),-1,1)*IF(IFERROR(INDEX(ctaMoneda,MATCH(AB756,ctaNombre,0))&amp;"","DOP")="USD",T756,S756))</f>
        <v/>
      </c>
      <c r="AG756" s="53">
        <f>IF(AC756="","",IF(IFERROR(INDEX(ctaMoneda,MATCH(AC756,ctaNombre,0))&amp;"","DOP")="USD",T756,S756))</f>
        <v/>
      </c>
      <c r="AH756" s="53">
        <f>IF(P756="","",IF(AND(AD756&lt;&gt;"",COUNTIFS(tcTipo,AD756,tcLiq,"Sí")&gt;0),IF(OR(P756="Gasto",P756="Transferencia",P756="Pago tarjeta"),-1,1)*S756,0)+IF(AND(AE756&lt;&gt;"",COUNTIFS(tcTipo,AE756,tcLiq,"Sí")&gt;0),S756,0))</f>
        <v/>
      </c>
      <c r="AI756" s="52">
        <f>IF(OR(L756="",P756=""),"",IF(COUNTIFS(L$6:L756,L756,P$6:P756,"?*")=1,MAX(AI$5:AI755)+1,""))</f>
        <v/>
      </c>
    </row>
    <row r="757">
      <c r="B757" s="47" t="n"/>
      <c r="C757" s="48" t="n"/>
      <c r="D757" s="48" t="n"/>
      <c r="E757" s="48" t="n"/>
      <c r="F757" s="48" t="n"/>
      <c r="G757" s="49" t="n"/>
      <c r="H757" s="48" t="n"/>
      <c r="I757" s="50" t="n"/>
      <c r="J757" s="48" t="n"/>
      <c r="K757" s="48" t="n"/>
      <c r="L757" s="48" t="n"/>
      <c r="M757" s="48" t="n"/>
      <c r="N757" s="48" t="n"/>
      <c r="O757" s="51">
        <f>IF(AND(B757="",G757="",C757="",D757="",J757=""),"",IF(B757="","⚠ Falta fecha",IF(G757="","⚠ Falta monto",IF(Q757="","⚠ Falta cuenta",IF(ISNA(MATCH(Q757,ctaNombre,0)),"⚠ Cuenta no registrada",IF(AND(OR(P757="Gasto",P757="Reembolso"),D757=""),"⚠ Falta categoría",IF(AND(D757&lt;&gt;"",E757&lt;&gt;"",ISNA(MATCH(D757&amp;"|"&amp;E757,catClave,0))),"⚠ Subcategoría no corresponde",IF(AND(OR(P757="Transferencia",P757="Pago tarjeta"),K757=""),"⚠ Falta cuenta destino",IF(AND(K757&lt;&gt;"",P757&lt;&gt;"Transferencia",P757&lt;&gt;"Pago tarjeta"),"⚠ Destino solo aplica a transferencias",IF(AND(K757&lt;&gt;"",K757=Q757),"⚠ Origen igual a destino",IF(AND(K757&lt;&gt;"",ISNA(MATCH(K757,ctaNombre,0))),"⚠ Destino no registrado",IF(AND(P757="Pago tarjeta",AE757&lt;&gt;"Tarjeta de crédito"),"⚠ El destino debe ser tarjeta de crédito",IF(AND(P757="Gasto",E757="Depósitos y retiros"),"⚠ Usa tipo Transferencia",IF(AND(P757="Resultado trading",AD757&lt;&gt;"Cuenta de trading"),"⚠ Usa una cuenta de trading",IF(AND(G757&lt;=0,P757&lt;&gt;"Ajuste",P757&lt;&gt;"Resultado trading"),"⚠ El monto debe ser positivo","✓")))))))))))))))</f>
        <v/>
      </c>
      <c r="P757" s="52">
        <f>IF(OR(B757="",G757=""),"",IF(C757="","Gasto",C757))</f>
        <v/>
      </c>
      <c r="Q757" s="52">
        <f>IF(P757="","",IF(J757&lt;&gt;"",J757,CuentaPred&amp;""))</f>
        <v/>
      </c>
      <c r="R757" s="52">
        <f>IF(P757="","",IF(ISNUMBER(I757),I757,TasaUSD))</f>
        <v/>
      </c>
      <c r="S757" s="53">
        <f>IF(P757="","",IF(H757="USD",G757*R757,G757))</f>
        <v/>
      </c>
      <c r="T757" s="53">
        <f>IF(P757="","",IF(H757="USD",G757,IF(R757&gt;0,G757/R757,0)))</f>
        <v/>
      </c>
      <c r="U757" s="53">
        <f>IF(P757="","",IF(P757="Gasto",S757,IF(P757="Reembolso",-S757,0)))</f>
        <v/>
      </c>
      <c r="V757" s="53">
        <f>IF(P757="","",IF(P757="Ingreso",S757,0))</f>
        <v/>
      </c>
      <c r="W757" s="53">
        <f>IF(P757="","",IF(P757="Resultado trading",S757,0))</f>
        <v/>
      </c>
      <c r="X757" s="52">
        <f>IF(OR(P757="Gasto",P757="Reembolso"),IF(M757&lt;&gt;"",M757,IFERROR(INDEX(catClasif,MATCH(D757&amp;"|"&amp;E757,catClave,0))&amp;"","Variable")),"")</f>
        <v/>
      </c>
      <c r="Y757" s="52">
        <f>IF(P757="","",IFERROR(INDEX(catGrupo,MATCH(D757&amp;"|"&amp;E757,catClave,0))&amp;"",""))</f>
        <v/>
      </c>
      <c r="Z757" s="52">
        <f>IF(P757="","",WEEKDAY(B757,2))</f>
        <v/>
      </c>
      <c r="AA757" s="52">
        <f>IF(P757="","",IF(AND(P757="Gasto",X757="Variable",D757&lt;&gt;catTrading,S757&gt;0,S757&lt;=Umbral),1,0))</f>
        <v/>
      </c>
      <c r="AB757" s="52">
        <f>IF(OR(P757="",Q757=""),"",IFERROR(IF(INDEX(ctaVinc,MATCH(Q757,ctaNombre,0))&amp;""&lt;&gt;"",INDEX(ctaVinc,MATCH(Q757,ctaNombre,0))&amp;"",Q757),Q757))</f>
        <v/>
      </c>
      <c r="AC757" s="52">
        <f>IF(OR(K757="",AND(P757&lt;&gt;"Transferencia",P757&lt;&gt;"Pago tarjeta")),"",IFERROR(IF(INDEX(ctaVinc,MATCH(K757,ctaNombre,0))&amp;""&lt;&gt;"",INDEX(ctaVinc,MATCH(K757,ctaNombre,0))&amp;"",K757),K757))</f>
        <v/>
      </c>
      <c r="AD757" s="52">
        <f>IF(AB757="","",IFERROR(INDEX(ctaTipo,MATCH(AB757,ctaNombre,0))&amp;"",""))</f>
        <v/>
      </c>
      <c r="AE757" s="52">
        <f>IF(AC757="","",IFERROR(INDEX(ctaTipo,MATCH(AC757,ctaNombre,0))&amp;"",""))</f>
        <v/>
      </c>
      <c r="AF757" s="53">
        <f>IF(OR(P757="",AB757=""),"",IF(OR(P757="Gasto",P757="Transferencia",P757="Pago tarjeta"),-1,1)*IF(IFERROR(INDEX(ctaMoneda,MATCH(AB757,ctaNombre,0))&amp;"","DOP")="USD",T757,S757))</f>
        <v/>
      </c>
      <c r="AG757" s="53">
        <f>IF(AC757="","",IF(IFERROR(INDEX(ctaMoneda,MATCH(AC757,ctaNombre,0))&amp;"","DOP")="USD",T757,S757))</f>
        <v/>
      </c>
      <c r="AH757" s="53">
        <f>IF(P757="","",IF(AND(AD757&lt;&gt;"",COUNTIFS(tcTipo,AD757,tcLiq,"Sí")&gt;0),IF(OR(P757="Gasto",P757="Transferencia",P757="Pago tarjeta"),-1,1)*S757,0)+IF(AND(AE757&lt;&gt;"",COUNTIFS(tcTipo,AE757,tcLiq,"Sí")&gt;0),S757,0))</f>
        <v/>
      </c>
      <c r="AI757" s="52">
        <f>IF(OR(L757="",P757=""),"",IF(COUNTIFS(L$6:L757,L757,P$6:P757,"?*")=1,MAX(AI$5:AI756)+1,""))</f>
        <v/>
      </c>
    </row>
    <row r="758">
      <c r="B758" s="47" t="n"/>
      <c r="C758" s="48" t="n"/>
      <c r="D758" s="48" t="n"/>
      <c r="E758" s="48" t="n"/>
      <c r="F758" s="48" t="n"/>
      <c r="G758" s="49" t="n"/>
      <c r="H758" s="48" t="n"/>
      <c r="I758" s="50" t="n"/>
      <c r="J758" s="48" t="n"/>
      <c r="K758" s="48" t="n"/>
      <c r="L758" s="48" t="n"/>
      <c r="M758" s="48" t="n"/>
      <c r="N758" s="48" t="n"/>
      <c r="O758" s="51">
        <f>IF(AND(B758="",G758="",C758="",D758="",J758=""),"",IF(B758="","⚠ Falta fecha",IF(G758="","⚠ Falta monto",IF(Q758="","⚠ Falta cuenta",IF(ISNA(MATCH(Q758,ctaNombre,0)),"⚠ Cuenta no registrada",IF(AND(OR(P758="Gasto",P758="Reembolso"),D758=""),"⚠ Falta categoría",IF(AND(D758&lt;&gt;"",E758&lt;&gt;"",ISNA(MATCH(D758&amp;"|"&amp;E758,catClave,0))),"⚠ Subcategoría no corresponde",IF(AND(OR(P758="Transferencia",P758="Pago tarjeta"),K758=""),"⚠ Falta cuenta destino",IF(AND(K758&lt;&gt;"",P758&lt;&gt;"Transferencia",P758&lt;&gt;"Pago tarjeta"),"⚠ Destino solo aplica a transferencias",IF(AND(K758&lt;&gt;"",K758=Q758),"⚠ Origen igual a destino",IF(AND(K758&lt;&gt;"",ISNA(MATCH(K758,ctaNombre,0))),"⚠ Destino no registrado",IF(AND(P758="Pago tarjeta",AE758&lt;&gt;"Tarjeta de crédito"),"⚠ El destino debe ser tarjeta de crédito",IF(AND(P758="Gasto",E758="Depósitos y retiros"),"⚠ Usa tipo Transferencia",IF(AND(P758="Resultado trading",AD758&lt;&gt;"Cuenta de trading"),"⚠ Usa una cuenta de trading",IF(AND(G758&lt;=0,P758&lt;&gt;"Ajuste",P758&lt;&gt;"Resultado trading"),"⚠ El monto debe ser positivo","✓")))))))))))))))</f>
        <v/>
      </c>
      <c r="P758" s="52">
        <f>IF(OR(B758="",G758=""),"",IF(C758="","Gasto",C758))</f>
        <v/>
      </c>
      <c r="Q758" s="52">
        <f>IF(P758="","",IF(J758&lt;&gt;"",J758,CuentaPred&amp;""))</f>
        <v/>
      </c>
      <c r="R758" s="52">
        <f>IF(P758="","",IF(ISNUMBER(I758),I758,TasaUSD))</f>
        <v/>
      </c>
      <c r="S758" s="53">
        <f>IF(P758="","",IF(H758="USD",G758*R758,G758))</f>
        <v/>
      </c>
      <c r="T758" s="53">
        <f>IF(P758="","",IF(H758="USD",G758,IF(R758&gt;0,G758/R758,0)))</f>
        <v/>
      </c>
      <c r="U758" s="53">
        <f>IF(P758="","",IF(P758="Gasto",S758,IF(P758="Reembolso",-S758,0)))</f>
        <v/>
      </c>
      <c r="V758" s="53">
        <f>IF(P758="","",IF(P758="Ingreso",S758,0))</f>
        <v/>
      </c>
      <c r="W758" s="53">
        <f>IF(P758="","",IF(P758="Resultado trading",S758,0))</f>
        <v/>
      </c>
      <c r="X758" s="52">
        <f>IF(OR(P758="Gasto",P758="Reembolso"),IF(M758&lt;&gt;"",M758,IFERROR(INDEX(catClasif,MATCH(D758&amp;"|"&amp;E758,catClave,0))&amp;"","Variable")),"")</f>
        <v/>
      </c>
      <c r="Y758" s="52">
        <f>IF(P758="","",IFERROR(INDEX(catGrupo,MATCH(D758&amp;"|"&amp;E758,catClave,0))&amp;"",""))</f>
        <v/>
      </c>
      <c r="Z758" s="52">
        <f>IF(P758="","",WEEKDAY(B758,2))</f>
        <v/>
      </c>
      <c r="AA758" s="52">
        <f>IF(P758="","",IF(AND(P758="Gasto",X758="Variable",D758&lt;&gt;catTrading,S758&gt;0,S758&lt;=Umbral),1,0))</f>
        <v/>
      </c>
      <c r="AB758" s="52">
        <f>IF(OR(P758="",Q758=""),"",IFERROR(IF(INDEX(ctaVinc,MATCH(Q758,ctaNombre,0))&amp;""&lt;&gt;"",INDEX(ctaVinc,MATCH(Q758,ctaNombre,0))&amp;"",Q758),Q758))</f>
        <v/>
      </c>
      <c r="AC758" s="52">
        <f>IF(OR(K758="",AND(P758&lt;&gt;"Transferencia",P758&lt;&gt;"Pago tarjeta")),"",IFERROR(IF(INDEX(ctaVinc,MATCH(K758,ctaNombre,0))&amp;""&lt;&gt;"",INDEX(ctaVinc,MATCH(K758,ctaNombre,0))&amp;"",K758),K758))</f>
        <v/>
      </c>
      <c r="AD758" s="52">
        <f>IF(AB758="","",IFERROR(INDEX(ctaTipo,MATCH(AB758,ctaNombre,0))&amp;"",""))</f>
        <v/>
      </c>
      <c r="AE758" s="52">
        <f>IF(AC758="","",IFERROR(INDEX(ctaTipo,MATCH(AC758,ctaNombre,0))&amp;"",""))</f>
        <v/>
      </c>
      <c r="AF758" s="53">
        <f>IF(OR(P758="",AB758=""),"",IF(OR(P758="Gasto",P758="Transferencia",P758="Pago tarjeta"),-1,1)*IF(IFERROR(INDEX(ctaMoneda,MATCH(AB758,ctaNombre,0))&amp;"","DOP")="USD",T758,S758))</f>
        <v/>
      </c>
      <c r="AG758" s="53">
        <f>IF(AC758="","",IF(IFERROR(INDEX(ctaMoneda,MATCH(AC758,ctaNombre,0))&amp;"","DOP")="USD",T758,S758))</f>
        <v/>
      </c>
      <c r="AH758" s="53">
        <f>IF(P758="","",IF(AND(AD758&lt;&gt;"",COUNTIFS(tcTipo,AD758,tcLiq,"Sí")&gt;0),IF(OR(P758="Gasto",P758="Transferencia",P758="Pago tarjeta"),-1,1)*S758,0)+IF(AND(AE758&lt;&gt;"",COUNTIFS(tcTipo,AE758,tcLiq,"Sí")&gt;0),S758,0))</f>
        <v/>
      </c>
      <c r="AI758" s="52">
        <f>IF(OR(L758="",P758=""),"",IF(COUNTIFS(L$6:L758,L758,P$6:P758,"?*")=1,MAX(AI$5:AI757)+1,""))</f>
        <v/>
      </c>
    </row>
    <row r="759">
      <c r="B759" s="47" t="n"/>
      <c r="C759" s="48" t="n"/>
      <c r="D759" s="48" t="n"/>
      <c r="E759" s="48" t="n"/>
      <c r="F759" s="48" t="n"/>
      <c r="G759" s="49" t="n"/>
      <c r="H759" s="48" t="n"/>
      <c r="I759" s="50" t="n"/>
      <c r="J759" s="48" t="n"/>
      <c r="K759" s="48" t="n"/>
      <c r="L759" s="48" t="n"/>
      <c r="M759" s="48" t="n"/>
      <c r="N759" s="48" t="n"/>
      <c r="O759" s="51">
        <f>IF(AND(B759="",G759="",C759="",D759="",J759=""),"",IF(B759="","⚠ Falta fecha",IF(G759="","⚠ Falta monto",IF(Q759="","⚠ Falta cuenta",IF(ISNA(MATCH(Q759,ctaNombre,0)),"⚠ Cuenta no registrada",IF(AND(OR(P759="Gasto",P759="Reembolso"),D759=""),"⚠ Falta categoría",IF(AND(D759&lt;&gt;"",E759&lt;&gt;"",ISNA(MATCH(D759&amp;"|"&amp;E759,catClave,0))),"⚠ Subcategoría no corresponde",IF(AND(OR(P759="Transferencia",P759="Pago tarjeta"),K759=""),"⚠ Falta cuenta destino",IF(AND(K759&lt;&gt;"",P759&lt;&gt;"Transferencia",P759&lt;&gt;"Pago tarjeta"),"⚠ Destino solo aplica a transferencias",IF(AND(K759&lt;&gt;"",K759=Q759),"⚠ Origen igual a destino",IF(AND(K759&lt;&gt;"",ISNA(MATCH(K759,ctaNombre,0))),"⚠ Destino no registrado",IF(AND(P759="Pago tarjeta",AE759&lt;&gt;"Tarjeta de crédito"),"⚠ El destino debe ser tarjeta de crédito",IF(AND(P759="Gasto",E759="Depósitos y retiros"),"⚠ Usa tipo Transferencia",IF(AND(P759="Resultado trading",AD759&lt;&gt;"Cuenta de trading"),"⚠ Usa una cuenta de trading",IF(AND(G759&lt;=0,P759&lt;&gt;"Ajuste",P759&lt;&gt;"Resultado trading"),"⚠ El monto debe ser positivo","✓")))))))))))))))</f>
        <v/>
      </c>
      <c r="P759" s="52">
        <f>IF(OR(B759="",G759=""),"",IF(C759="","Gasto",C759))</f>
        <v/>
      </c>
      <c r="Q759" s="52">
        <f>IF(P759="","",IF(J759&lt;&gt;"",J759,CuentaPred&amp;""))</f>
        <v/>
      </c>
      <c r="R759" s="52">
        <f>IF(P759="","",IF(ISNUMBER(I759),I759,TasaUSD))</f>
        <v/>
      </c>
      <c r="S759" s="53">
        <f>IF(P759="","",IF(H759="USD",G759*R759,G759))</f>
        <v/>
      </c>
      <c r="T759" s="53">
        <f>IF(P759="","",IF(H759="USD",G759,IF(R759&gt;0,G759/R759,0)))</f>
        <v/>
      </c>
      <c r="U759" s="53">
        <f>IF(P759="","",IF(P759="Gasto",S759,IF(P759="Reembolso",-S759,0)))</f>
        <v/>
      </c>
      <c r="V759" s="53">
        <f>IF(P759="","",IF(P759="Ingreso",S759,0))</f>
        <v/>
      </c>
      <c r="W759" s="53">
        <f>IF(P759="","",IF(P759="Resultado trading",S759,0))</f>
        <v/>
      </c>
      <c r="X759" s="52">
        <f>IF(OR(P759="Gasto",P759="Reembolso"),IF(M759&lt;&gt;"",M759,IFERROR(INDEX(catClasif,MATCH(D759&amp;"|"&amp;E759,catClave,0))&amp;"","Variable")),"")</f>
        <v/>
      </c>
      <c r="Y759" s="52">
        <f>IF(P759="","",IFERROR(INDEX(catGrupo,MATCH(D759&amp;"|"&amp;E759,catClave,0))&amp;"",""))</f>
        <v/>
      </c>
      <c r="Z759" s="52">
        <f>IF(P759="","",WEEKDAY(B759,2))</f>
        <v/>
      </c>
      <c r="AA759" s="52">
        <f>IF(P759="","",IF(AND(P759="Gasto",X759="Variable",D759&lt;&gt;catTrading,S759&gt;0,S759&lt;=Umbral),1,0))</f>
        <v/>
      </c>
      <c r="AB759" s="52">
        <f>IF(OR(P759="",Q759=""),"",IFERROR(IF(INDEX(ctaVinc,MATCH(Q759,ctaNombre,0))&amp;""&lt;&gt;"",INDEX(ctaVinc,MATCH(Q759,ctaNombre,0))&amp;"",Q759),Q759))</f>
        <v/>
      </c>
      <c r="AC759" s="52">
        <f>IF(OR(K759="",AND(P759&lt;&gt;"Transferencia",P759&lt;&gt;"Pago tarjeta")),"",IFERROR(IF(INDEX(ctaVinc,MATCH(K759,ctaNombre,0))&amp;""&lt;&gt;"",INDEX(ctaVinc,MATCH(K759,ctaNombre,0))&amp;"",K759),K759))</f>
        <v/>
      </c>
      <c r="AD759" s="52">
        <f>IF(AB759="","",IFERROR(INDEX(ctaTipo,MATCH(AB759,ctaNombre,0))&amp;"",""))</f>
        <v/>
      </c>
      <c r="AE759" s="52">
        <f>IF(AC759="","",IFERROR(INDEX(ctaTipo,MATCH(AC759,ctaNombre,0))&amp;"",""))</f>
        <v/>
      </c>
      <c r="AF759" s="53">
        <f>IF(OR(P759="",AB759=""),"",IF(OR(P759="Gasto",P759="Transferencia",P759="Pago tarjeta"),-1,1)*IF(IFERROR(INDEX(ctaMoneda,MATCH(AB759,ctaNombre,0))&amp;"","DOP")="USD",T759,S759))</f>
        <v/>
      </c>
      <c r="AG759" s="53">
        <f>IF(AC759="","",IF(IFERROR(INDEX(ctaMoneda,MATCH(AC759,ctaNombre,0))&amp;"","DOP")="USD",T759,S759))</f>
        <v/>
      </c>
      <c r="AH759" s="53">
        <f>IF(P759="","",IF(AND(AD759&lt;&gt;"",COUNTIFS(tcTipo,AD759,tcLiq,"Sí")&gt;0),IF(OR(P759="Gasto",P759="Transferencia",P759="Pago tarjeta"),-1,1)*S759,0)+IF(AND(AE759&lt;&gt;"",COUNTIFS(tcTipo,AE759,tcLiq,"Sí")&gt;0),S759,0))</f>
        <v/>
      </c>
      <c r="AI759" s="52">
        <f>IF(OR(L759="",P759=""),"",IF(COUNTIFS(L$6:L759,L759,P$6:P759,"?*")=1,MAX(AI$5:AI758)+1,""))</f>
        <v/>
      </c>
    </row>
    <row r="760">
      <c r="B760" s="47" t="n"/>
      <c r="C760" s="48" t="n"/>
      <c r="D760" s="48" t="n"/>
      <c r="E760" s="48" t="n"/>
      <c r="F760" s="48" t="n"/>
      <c r="G760" s="49" t="n"/>
      <c r="H760" s="48" t="n"/>
      <c r="I760" s="50" t="n"/>
      <c r="J760" s="48" t="n"/>
      <c r="K760" s="48" t="n"/>
      <c r="L760" s="48" t="n"/>
      <c r="M760" s="48" t="n"/>
      <c r="N760" s="48" t="n"/>
      <c r="O760" s="51">
        <f>IF(AND(B760="",G760="",C760="",D760="",J760=""),"",IF(B760="","⚠ Falta fecha",IF(G760="","⚠ Falta monto",IF(Q760="","⚠ Falta cuenta",IF(ISNA(MATCH(Q760,ctaNombre,0)),"⚠ Cuenta no registrada",IF(AND(OR(P760="Gasto",P760="Reembolso"),D760=""),"⚠ Falta categoría",IF(AND(D760&lt;&gt;"",E760&lt;&gt;"",ISNA(MATCH(D760&amp;"|"&amp;E760,catClave,0))),"⚠ Subcategoría no corresponde",IF(AND(OR(P760="Transferencia",P760="Pago tarjeta"),K760=""),"⚠ Falta cuenta destino",IF(AND(K760&lt;&gt;"",P760&lt;&gt;"Transferencia",P760&lt;&gt;"Pago tarjeta"),"⚠ Destino solo aplica a transferencias",IF(AND(K760&lt;&gt;"",K760=Q760),"⚠ Origen igual a destino",IF(AND(K760&lt;&gt;"",ISNA(MATCH(K760,ctaNombre,0))),"⚠ Destino no registrado",IF(AND(P760="Pago tarjeta",AE760&lt;&gt;"Tarjeta de crédito"),"⚠ El destino debe ser tarjeta de crédito",IF(AND(P760="Gasto",E760="Depósitos y retiros"),"⚠ Usa tipo Transferencia",IF(AND(P760="Resultado trading",AD760&lt;&gt;"Cuenta de trading"),"⚠ Usa una cuenta de trading",IF(AND(G760&lt;=0,P760&lt;&gt;"Ajuste",P760&lt;&gt;"Resultado trading"),"⚠ El monto debe ser positivo","✓")))))))))))))))</f>
        <v/>
      </c>
      <c r="P760" s="52">
        <f>IF(OR(B760="",G760=""),"",IF(C760="","Gasto",C760))</f>
        <v/>
      </c>
      <c r="Q760" s="52">
        <f>IF(P760="","",IF(J760&lt;&gt;"",J760,CuentaPred&amp;""))</f>
        <v/>
      </c>
      <c r="R760" s="52">
        <f>IF(P760="","",IF(ISNUMBER(I760),I760,TasaUSD))</f>
        <v/>
      </c>
      <c r="S760" s="53">
        <f>IF(P760="","",IF(H760="USD",G760*R760,G760))</f>
        <v/>
      </c>
      <c r="T760" s="53">
        <f>IF(P760="","",IF(H760="USD",G760,IF(R760&gt;0,G760/R760,0)))</f>
        <v/>
      </c>
      <c r="U760" s="53">
        <f>IF(P760="","",IF(P760="Gasto",S760,IF(P760="Reembolso",-S760,0)))</f>
        <v/>
      </c>
      <c r="V760" s="53">
        <f>IF(P760="","",IF(P760="Ingreso",S760,0))</f>
        <v/>
      </c>
      <c r="W760" s="53">
        <f>IF(P760="","",IF(P760="Resultado trading",S760,0))</f>
        <v/>
      </c>
      <c r="X760" s="52">
        <f>IF(OR(P760="Gasto",P760="Reembolso"),IF(M760&lt;&gt;"",M760,IFERROR(INDEX(catClasif,MATCH(D760&amp;"|"&amp;E760,catClave,0))&amp;"","Variable")),"")</f>
        <v/>
      </c>
      <c r="Y760" s="52">
        <f>IF(P760="","",IFERROR(INDEX(catGrupo,MATCH(D760&amp;"|"&amp;E760,catClave,0))&amp;"",""))</f>
        <v/>
      </c>
      <c r="Z760" s="52">
        <f>IF(P760="","",WEEKDAY(B760,2))</f>
        <v/>
      </c>
      <c r="AA760" s="52">
        <f>IF(P760="","",IF(AND(P760="Gasto",X760="Variable",D760&lt;&gt;catTrading,S760&gt;0,S760&lt;=Umbral),1,0))</f>
        <v/>
      </c>
      <c r="AB760" s="52">
        <f>IF(OR(P760="",Q760=""),"",IFERROR(IF(INDEX(ctaVinc,MATCH(Q760,ctaNombre,0))&amp;""&lt;&gt;"",INDEX(ctaVinc,MATCH(Q760,ctaNombre,0))&amp;"",Q760),Q760))</f>
        <v/>
      </c>
      <c r="AC760" s="52">
        <f>IF(OR(K760="",AND(P760&lt;&gt;"Transferencia",P760&lt;&gt;"Pago tarjeta")),"",IFERROR(IF(INDEX(ctaVinc,MATCH(K760,ctaNombre,0))&amp;""&lt;&gt;"",INDEX(ctaVinc,MATCH(K760,ctaNombre,0))&amp;"",K760),K760))</f>
        <v/>
      </c>
      <c r="AD760" s="52">
        <f>IF(AB760="","",IFERROR(INDEX(ctaTipo,MATCH(AB760,ctaNombre,0))&amp;"",""))</f>
        <v/>
      </c>
      <c r="AE760" s="52">
        <f>IF(AC760="","",IFERROR(INDEX(ctaTipo,MATCH(AC760,ctaNombre,0))&amp;"",""))</f>
        <v/>
      </c>
      <c r="AF760" s="53">
        <f>IF(OR(P760="",AB760=""),"",IF(OR(P760="Gasto",P760="Transferencia",P760="Pago tarjeta"),-1,1)*IF(IFERROR(INDEX(ctaMoneda,MATCH(AB760,ctaNombre,0))&amp;"","DOP")="USD",T760,S760))</f>
        <v/>
      </c>
      <c r="AG760" s="53">
        <f>IF(AC760="","",IF(IFERROR(INDEX(ctaMoneda,MATCH(AC760,ctaNombre,0))&amp;"","DOP")="USD",T760,S760))</f>
        <v/>
      </c>
      <c r="AH760" s="53">
        <f>IF(P760="","",IF(AND(AD760&lt;&gt;"",COUNTIFS(tcTipo,AD760,tcLiq,"Sí")&gt;0),IF(OR(P760="Gasto",P760="Transferencia",P760="Pago tarjeta"),-1,1)*S760,0)+IF(AND(AE760&lt;&gt;"",COUNTIFS(tcTipo,AE760,tcLiq,"Sí")&gt;0),S760,0))</f>
        <v/>
      </c>
      <c r="AI760" s="52">
        <f>IF(OR(L760="",P760=""),"",IF(COUNTIFS(L$6:L760,L760,P$6:P760,"?*")=1,MAX(AI$5:AI759)+1,""))</f>
        <v/>
      </c>
    </row>
    <row r="761">
      <c r="B761" s="47" t="n"/>
      <c r="C761" s="48" t="n"/>
      <c r="D761" s="48" t="n"/>
      <c r="E761" s="48" t="n"/>
      <c r="F761" s="48" t="n"/>
      <c r="G761" s="49" t="n"/>
      <c r="H761" s="48" t="n"/>
      <c r="I761" s="50" t="n"/>
      <c r="J761" s="48" t="n"/>
      <c r="K761" s="48" t="n"/>
      <c r="L761" s="48" t="n"/>
      <c r="M761" s="48" t="n"/>
      <c r="N761" s="48" t="n"/>
      <c r="O761" s="51">
        <f>IF(AND(B761="",G761="",C761="",D761="",J761=""),"",IF(B761="","⚠ Falta fecha",IF(G761="","⚠ Falta monto",IF(Q761="","⚠ Falta cuenta",IF(ISNA(MATCH(Q761,ctaNombre,0)),"⚠ Cuenta no registrada",IF(AND(OR(P761="Gasto",P761="Reembolso"),D761=""),"⚠ Falta categoría",IF(AND(D761&lt;&gt;"",E761&lt;&gt;"",ISNA(MATCH(D761&amp;"|"&amp;E761,catClave,0))),"⚠ Subcategoría no corresponde",IF(AND(OR(P761="Transferencia",P761="Pago tarjeta"),K761=""),"⚠ Falta cuenta destino",IF(AND(K761&lt;&gt;"",P761&lt;&gt;"Transferencia",P761&lt;&gt;"Pago tarjeta"),"⚠ Destino solo aplica a transferencias",IF(AND(K761&lt;&gt;"",K761=Q761),"⚠ Origen igual a destino",IF(AND(K761&lt;&gt;"",ISNA(MATCH(K761,ctaNombre,0))),"⚠ Destino no registrado",IF(AND(P761="Pago tarjeta",AE761&lt;&gt;"Tarjeta de crédito"),"⚠ El destino debe ser tarjeta de crédito",IF(AND(P761="Gasto",E761="Depósitos y retiros"),"⚠ Usa tipo Transferencia",IF(AND(P761="Resultado trading",AD761&lt;&gt;"Cuenta de trading"),"⚠ Usa una cuenta de trading",IF(AND(G761&lt;=0,P761&lt;&gt;"Ajuste",P761&lt;&gt;"Resultado trading"),"⚠ El monto debe ser positivo","✓")))))))))))))))</f>
        <v/>
      </c>
      <c r="P761" s="52">
        <f>IF(OR(B761="",G761=""),"",IF(C761="","Gasto",C761))</f>
        <v/>
      </c>
      <c r="Q761" s="52">
        <f>IF(P761="","",IF(J761&lt;&gt;"",J761,CuentaPred&amp;""))</f>
        <v/>
      </c>
      <c r="R761" s="52">
        <f>IF(P761="","",IF(ISNUMBER(I761),I761,TasaUSD))</f>
        <v/>
      </c>
      <c r="S761" s="53">
        <f>IF(P761="","",IF(H761="USD",G761*R761,G761))</f>
        <v/>
      </c>
      <c r="T761" s="53">
        <f>IF(P761="","",IF(H761="USD",G761,IF(R761&gt;0,G761/R761,0)))</f>
        <v/>
      </c>
      <c r="U761" s="53">
        <f>IF(P761="","",IF(P761="Gasto",S761,IF(P761="Reembolso",-S761,0)))</f>
        <v/>
      </c>
      <c r="V761" s="53">
        <f>IF(P761="","",IF(P761="Ingreso",S761,0))</f>
        <v/>
      </c>
      <c r="W761" s="53">
        <f>IF(P761="","",IF(P761="Resultado trading",S761,0))</f>
        <v/>
      </c>
      <c r="X761" s="52">
        <f>IF(OR(P761="Gasto",P761="Reembolso"),IF(M761&lt;&gt;"",M761,IFERROR(INDEX(catClasif,MATCH(D761&amp;"|"&amp;E761,catClave,0))&amp;"","Variable")),"")</f>
        <v/>
      </c>
      <c r="Y761" s="52">
        <f>IF(P761="","",IFERROR(INDEX(catGrupo,MATCH(D761&amp;"|"&amp;E761,catClave,0))&amp;"",""))</f>
        <v/>
      </c>
      <c r="Z761" s="52">
        <f>IF(P761="","",WEEKDAY(B761,2))</f>
        <v/>
      </c>
      <c r="AA761" s="52">
        <f>IF(P761="","",IF(AND(P761="Gasto",X761="Variable",D761&lt;&gt;catTrading,S761&gt;0,S761&lt;=Umbral),1,0))</f>
        <v/>
      </c>
      <c r="AB761" s="52">
        <f>IF(OR(P761="",Q761=""),"",IFERROR(IF(INDEX(ctaVinc,MATCH(Q761,ctaNombre,0))&amp;""&lt;&gt;"",INDEX(ctaVinc,MATCH(Q761,ctaNombre,0))&amp;"",Q761),Q761))</f>
        <v/>
      </c>
      <c r="AC761" s="52">
        <f>IF(OR(K761="",AND(P761&lt;&gt;"Transferencia",P761&lt;&gt;"Pago tarjeta")),"",IFERROR(IF(INDEX(ctaVinc,MATCH(K761,ctaNombre,0))&amp;""&lt;&gt;"",INDEX(ctaVinc,MATCH(K761,ctaNombre,0))&amp;"",K761),K761))</f>
        <v/>
      </c>
      <c r="AD761" s="52">
        <f>IF(AB761="","",IFERROR(INDEX(ctaTipo,MATCH(AB761,ctaNombre,0))&amp;"",""))</f>
        <v/>
      </c>
      <c r="AE761" s="52">
        <f>IF(AC761="","",IFERROR(INDEX(ctaTipo,MATCH(AC761,ctaNombre,0))&amp;"",""))</f>
        <v/>
      </c>
      <c r="AF761" s="53">
        <f>IF(OR(P761="",AB761=""),"",IF(OR(P761="Gasto",P761="Transferencia",P761="Pago tarjeta"),-1,1)*IF(IFERROR(INDEX(ctaMoneda,MATCH(AB761,ctaNombre,0))&amp;"","DOP")="USD",T761,S761))</f>
        <v/>
      </c>
      <c r="AG761" s="53">
        <f>IF(AC761="","",IF(IFERROR(INDEX(ctaMoneda,MATCH(AC761,ctaNombre,0))&amp;"","DOP")="USD",T761,S761))</f>
        <v/>
      </c>
      <c r="AH761" s="53">
        <f>IF(P761="","",IF(AND(AD761&lt;&gt;"",COUNTIFS(tcTipo,AD761,tcLiq,"Sí")&gt;0),IF(OR(P761="Gasto",P761="Transferencia",P761="Pago tarjeta"),-1,1)*S761,0)+IF(AND(AE761&lt;&gt;"",COUNTIFS(tcTipo,AE761,tcLiq,"Sí")&gt;0),S761,0))</f>
        <v/>
      </c>
      <c r="AI761" s="52">
        <f>IF(OR(L761="",P761=""),"",IF(COUNTIFS(L$6:L761,L761,P$6:P761,"?*")=1,MAX(AI$5:AI760)+1,""))</f>
        <v/>
      </c>
    </row>
    <row r="762">
      <c r="B762" s="47" t="n"/>
      <c r="C762" s="48" t="n"/>
      <c r="D762" s="48" t="n"/>
      <c r="E762" s="48" t="n"/>
      <c r="F762" s="48" t="n"/>
      <c r="G762" s="49" t="n"/>
      <c r="H762" s="48" t="n"/>
      <c r="I762" s="50" t="n"/>
      <c r="J762" s="48" t="n"/>
      <c r="K762" s="48" t="n"/>
      <c r="L762" s="48" t="n"/>
      <c r="M762" s="48" t="n"/>
      <c r="N762" s="48" t="n"/>
      <c r="O762" s="51">
        <f>IF(AND(B762="",G762="",C762="",D762="",J762=""),"",IF(B762="","⚠ Falta fecha",IF(G762="","⚠ Falta monto",IF(Q762="","⚠ Falta cuenta",IF(ISNA(MATCH(Q762,ctaNombre,0)),"⚠ Cuenta no registrada",IF(AND(OR(P762="Gasto",P762="Reembolso"),D762=""),"⚠ Falta categoría",IF(AND(D762&lt;&gt;"",E762&lt;&gt;"",ISNA(MATCH(D762&amp;"|"&amp;E762,catClave,0))),"⚠ Subcategoría no corresponde",IF(AND(OR(P762="Transferencia",P762="Pago tarjeta"),K762=""),"⚠ Falta cuenta destino",IF(AND(K762&lt;&gt;"",P762&lt;&gt;"Transferencia",P762&lt;&gt;"Pago tarjeta"),"⚠ Destino solo aplica a transferencias",IF(AND(K762&lt;&gt;"",K762=Q762),"⚠ Origen igual a destino",IF(AND(K762&lt;&gt;"",ISNA(MATCH(K762,ctaNombre,0))),"⚠ Destino no registrado",IF(AND(P762="Pago tarjeta",AE762&lt;&gt;"Tarjeta de crédito"),"⚠ El destino debe ser tarjeta de crédito",IF(AND(P762="Gasto",E762="Depósitos y retiros"),"⚠ Usa tipo Transferencia",IF(AND(P762="Resultado trading",AD762&lt;&gt;"Cuenta de trading"),"⚠ Usa una cuenta de trading",IF(AND(G762&lt;=0,P762&lt;&gt;"Ajuste",P762&lt;&gt;"Resultado trading"),"⚠ El monto debe ser positivo","✓")))))))))))))))</f>
        <v/>
      </c>
      <c r="P762" s="52">
        <f>IF(OR(B762="",G762=""),"",IF(C762="","Gasto",C762))</f>
        <v/>
      </c>
      <c r="Q762" s="52">
        <f>IF(P762="","",IF(J762&lt;&gt;"",J762,CuentaPred&amp;""))</f>
        <v/>
      </c>
      <c r="R762" s="52">
        <f>IF(P762="","",IF(ISNUMBER(I762),I762,TasaUSD))</f>
        <v/>
      </c>
      <c r="S762" s="53">
        <f>IF(P762="","",IF(H762="USD",G762*R762,G762))</f>
        <v/>
      </c>
      <c r="T762" s="53">
        <f>IF(P762="","",IF(H762="USD",G762,IF(R762&gt;0,G762/R762,0)))</f>
        <v/>
      </c>
      <c r="U762" s="53">
        <f>IF(P762="","",IF(P762="Gasto",S762,IF(P762="Reembolso",-S762,0)))</f>
        <v/>
      </c>
      <c r="V762" s="53">
        <f>IF(P762="","",IF(P762="Ingreso",S762,0))</f>
        <v/>
      </c>
      <c r="W762" s="53">
        <f>IF(P762="","",IF(P762="Resultado trading",S762,0))</f>
        <v/>
      </c>
      <c r="X762" s="52">
        <f>IF(OR(P762="Gasto",P762="Reembolso"),IF(M762&lt;&gt;"",M762,IFERROR(INDEX(catClasif,MATCH(D762&amp;"|"&amp;E762,catClave,0))&amp;"","Variable")),"")</f>
        <v/>
      </c>
      <c r="Y762" s="52">
        <f>IF(P762="","",IFERROR(INDEX(catGrupo,MATCH(D762&amp;"|"&amp;E762,catClave,0))&amp;"",""))</f>
        <v/>
      </c>
      <c r="Z762" s="52">
        <f>IF(P762="","",WEEKDAY(B762,2))</f>
        <v/>
      </c>
      <c r="AA762" s="52">
        <f>IF(P762="","",IF(AND(P762="Gasto",X762="Variable",D762&lt;&gt;catTrading,S762&gt;0,S762&lt;=Umbral),1,0))</f>
        <v/>
      </c>
      <c r="AB762" s="52">
        <f>IF(OR(P762="",Q762=""),"",IFERROR(IF(INDEX(ctaVinc,MATCH(Q762,ctaNombre,0))&amp;""&lt;&gt;"",INDEX(ctaVinc,MATCH(Q762,ctaNombre,0))&amp;"",Q762),Q762))</f>
        <v/>
      </c>
      <c r="AC762" s="52">
        <f>IF(OR(K762="",AND(P762&lt;&gt;"Transferencia",P762&lt;&gt;"Pago tarjeta")),"",IFERROR(IF(INDEX(ctaVinc,MATCH(K762,ctaNombre,0))&amp;""&lt;&gt;"",INDEX(ctaVinc,MATCH(K762,ctaNombre,0))&amp;"",K762),K762))</f>
        <v/>
      </c>
      <c r="AD762" s="52">
        <f>IF(AB762="","",IFERROR(INDEX(ctaTipo,MATCH(AB762,ctaNombre,0))&amp;"",""))</f>
        <v/>
      </c>
      <c r="AE762" s="52">
        <f>IF(AC762="","",IFERROR(INDEX(ctaTipo,MATCH(AC762,ctaNombre,0))&amp;"",""))</f>
        <v/>
      </c>
      <c r="AF762" s="53">
        <f>IF(OR(P762="",AB762=""),"",IF(OR(P762="Gasto",P762="Transferencia",P762="Pago tarjeta"),-1,1)*IF(IFERROR(INDEX(ctaMoneda,MATCH(AB762,ctaNombre,0))&amp;"","DOP")="USD",T762,S762))</f>
        <v/>
      </c>
      <c r="AG762" s="53">
        <f>IF(AC762="","",IF(IFERROR(INDEX(ctaMoneda,MATCH(AC762,ctaNombre,0))&amp;"","DOP")="USD",T762,S762))</f>
        <v/>
      </c>
      <c r="AH762" s="53">
        <f>IF(P762="","",IF(AND(AD762&lt;&gt;"",COUNTIFS(tcTipo,AD762,tcLiq,"Sí")&gt;0),IF(OR(P762="Gasto",P762="Transferencia",P762="Pago tarjeta"),-1,1)*S762,0)+IF(AND(AE762&lt;&gt;"",COUNTIFS(tcTipo,AE762,tcLiq,"Sí")&gt;0),S762,0))</f>
        <v/>
      </c>
      <c r="AI762" s="52">
        <f>IF(OR(L762="",P762=""),"",IF(COUNTIFS(L$6:L762,L762,P$6:P762,"?*")=1,MAX(AI$5:AI761)+1,""))</f>
        <v/>
      </c>
    </row>
    <row r="763">
      <c r="B763" s="47" t="n"/>
      <c r="C763" s="48" t="n"/>
      <c r="D763" s="48" t="n"/>
      <c r="E763" s="48" t="n"/>
      <c r="F763" s="48" t="n"/>
      <c r="G763" s="49" t="n"/>
      <c r="H763" s="48" t="n"/>
      <c r="I763" s="50" t="n"/>
      <c r="J763" s="48" t="n"/>
      <c r="K763" s="48" t="n"/>
      <c r="L763" s="48" t="n"/>
      <c r="M763" s="48" t="n"/>
      <c r="N763" s="48" t="n"/>
      <c r="O763" s="51">
        <f>IF(AND(B763="",G763="",C763="",D763="",J763=""),"",IF(B763="","⚠ Falta fecha",IF(G763="","⚠ Falta monto",IF(Q763="","⚠ Falta cuenta",IF(ISNA(MATCH(Q763,ctaNombre,0)),"⚠ Cuenta no registrada",IF(AND(OR(P763="Gasto",P763="Reembolso"),D763=""),"⚠ Falta categoría",IF(AND(D763&lt;&gt;"",E763&lt;&gt;"",ISNA(MATCH(D763&amp;"|"&amp;E763,catClave,0))),"⚠ Subcategoría no corresponde",IF(AND(OR(P763="Transferencia",P763="Pago tarjeta"),K763=""),"⚠ Falta cuenta destino",IF(AND(K763&lt;&gt;"",P763&lt;&gt;"Transferencia",P763&lt;&gt;"Pago tarjeta"),"⚠ Destino solo aplica a transferencias",IF(AND(K763&lt;&gt;"",K763=Q763),"⚠ Origen igual a destino",IF(AND(K763&lt;&gt;"",ISNA(MATCH(K763,ctaNombre,0))),"⚠ Destino no registrado",IF(AND(P763="Pago tarjeta",AE763&lt;&gt;"Tarjeta de crédito"),"⚠ El destino debe ser tarjeta de crédito",IF(AND(P763="Gasto",E763="Depósitos y retiros"),"⚠ Usa tipo Transferencia",IF(AND(P763="Resultado trading",AD763&lt;&gt;"Cuenta de trading"),"⚠ Usa una cuenta de trading",IF(AND(G763&lt;=0,P763&lt;&gt;"Ajuste",P763&lt;&gt;"Resultado trading"),"⚠ El monto debe ser positivo","✓")))))))))))))))</f>
        <v/>
      </c>
      <c r="P763" s="52">
        <f>IF(OR(B763="",G763=""),"",IF(C763="","Gasto",C763))</f>
        <v/>
      </c>
      <c r="Q763" s="52">
        <f>IF(P763="","",IF(J763&lt;&gt;"",J763,CuentaPred&amp;""))</f>
        <v/>
      </c>
      <c r="R763" s="52">
        <f>IF(P763="","",IF(ISNUMBER(I763),I763,TasaUSD))</f>
        <v/>
      </c>
      <c r="S763" s="53">
        <f>IF(P763="","",IF(H763="USD",G763*R763,G763))</f>
        <v/>
      </c>
      <c r="T763" s="53">
        <f>IF(P763="","",IF(H763="USD",G763,IF(R763&gt;0,G763/R763,0)))</f>
        <v/>
      </c>
      <c r="U763" s="53">
        <f>IF(P763="","",IF(P763="Gasto",S763,IF(P763="Reembolso",-S763,0)))</f>
        <v/>
      </c>
      <c r="V763" s="53">
        <f>IF(P763="","",IF(P763="Ingreso",S763,0))</f>
        <v/>
      </c>
      <c r="W763" s="53">
        <f>IF(P763="","",IF(P763="Resultado trading",S763,0))</f>
        <v/>
      </c>
      <c r="X763" s="52">
        <f>IF(OR(P763="Gasto",P763="Reembolso"),IF(M763&lt;&gt;"",M763,IFERROR(INDEX(catClasif,MATCH(D763&amp;"|"&amp;E763,catClave,0))&amp;"","Variable")),"")</f>
        <v/>
      </c>
      <c r="Y763" s="52">
        <f>IF(P763="","",IFERROR(INDEX(catGrupo,MATCH(D763&amp;"|"&amp;E763,catClave,0))&amp;"",""))</f>
        <v/>
      </c>
      <c r="Z763" s="52">
        <f>IF(P763="","",WEEKDAY(B763,2))</f>
        <v/>
      </c>
      <c r="AA763" s="52">
        <f>IF(P763="","",IF(AND(P763="Gasto",X763="Variable",D763&lt;&gt;catTrading,S763&gt;0,S763&lt;=Umbral),1,0))</f>
        <v/>
      </c>
      <c r="AB763" s="52">
        <f>IF(OR(P763="",Q763=""),"",IFERROR(IF(INDEX(ctaVinc,MATCH(Q763,ctaNombre,0))&amp;""&lt;&gt;"",INDEX(ctaVinc,MATCH(Q763,ctaNombre,0))&amp;"",Q763),Q763))</f>
        <v/>
      </c>
      <c r="AC763" s="52">
        <f>IF(OR(K763="",AND(P763&lt;&gt;"Transferencia",P763&lt;&gt;"Pago tarjeta")),"",IFERROR(IF(INDEX(ctaVinc,MATCH(K763,ctaNombre,0))&amp;""&lt;&gt;"",INDEX(ctaVinc,MATCH(K763,ctaNombre,0))&amp;"",K763),K763))</f>
        <v/>
      </c>
      <c r="AD763" s="52">
        <f>IF(AB763="","",IFERROR(INDEX(ctaTipo,MATCH(AB763,ctaNombre,0))&amp;"",""))</f>
        <v/>
      </c>
      <c r="AE763" s="52">
        <f>IF(AC763="","",IFERROR(INDEX(ctaTipo,MATCH(AC763,ctaNombre,0))&amp;"",""))</f>
        <v/>
      </c>
      <c r="AF763" s="53">
        <f>IF(OR(P763="",AB763=""),"",IF(OR(P763="Gasto",P763="Transferencia",P763="Pago tarjeta"),-1,1)*IF(IFERROR(INDEX(ctaMoneda,MATCH(AB763,ctaNombre,0))&amp;"","DOP")="USD",T763,S763))</f>
        <v/>
      </c>
      <c r="AG763" s="53">
        <f>IF(AC763="","",IF(IFERROR(INDEX(ctaMoneda,MATCH(AC763,ctaNombre,0))&amp;"","DOP")="USD",T763,S763))</f>
        <v/>
      </c>
      <c r="AH763" s="53">
        <f>IF(P763="","",IF(AND(AD763&lt;&gt;"",COUNTIFS(tcTipo,AD763,tcLiq,"Sí")&gt;0),IF(OR(P763="Gasto",P763="Transferencia",P763="Pago tarjeta"),-1,1)*S763,0)+IF(AND(AE763&lt;&gt;"",COUNTIFS(tcTipo,AE763,tcLiq,"Sí")&gt;0),S763,0))</f>
        <v/>
      </c>
      <c r="AI763" s="52">
        <f>IF(OR(L763="",P763=""),"",IF(COUNTIFS(L$6:L763,L763,P$6:P763,"?*")=1,MAX(AI$5:AI762)+1,""))</f>
        <v/>
      </c>
    </row>
    <row r="764">
      <c r="B764" s="47" t="n"/>
      <c r="C764" s="48" t="n"/>
      <c r="D764" s="48" t="n"/>
      <c r="E764" s="48" t="n"/>
      <c r="F764" s="48" t="n"/>
      <c r="G764" s="49" t="n"/>
      <c r="H764" s="48" t="n"/>
      <c r="I764" s="50" t="n"/>
      <c r="J764" s="48" t="n"/>
      <c r="K764" s="48" t="n"/>
      <c r="L764" s="48" t="n"/>
      <c r="M764" s="48" t="n"/>
      <c r="N764" s="48" t="n"/>
      <c r="O764" s="51">
        <f>IF(AND(B764="",G764="",C764="",D764="",J764=""),"",IF(B764="","⚠ Falta fecha",IF(G764="","⚠ Falta monto",IF(Q764="","⚠ Falta cuenta",IF(ISNA(MATCH(Q764,ctaNombre,0)),"⚠ Cuenta no registrada",IF(AND(OR(P764="Gasto",P764="Reembolso"),D764=""),"⚠ Falta categoría",IF(AND(D764&lt;&gt;"",E764&lt;&gt;"",ISNA(MATCH(D764&amp;"|"&amp;E764,catClave,0))),"⚠ Subcategoría no corresponde",IF(AND(OR(P764="Transferencia",P764="Pago tarjeta"),K764=""),"⚠ Falta cuenta destino",IF(AND(K764&lt;&gt;"",P764&lt;&gt;"Transferencia",P764&lt;&gt;"Pago tarjeta"),"⚠ Destino solo aplica a transferencias",IF(AND(K764&lt;&gt;"",K764=Q764),"⚠ Origen igual a destino",IF(AND(K764&lt;&gt;"",ISNA(MATCH(K764,ctaNombre,0))),"⚠ Destino no registrado",IF(AND(P764="Pago tarjeta",AE764&lt;&gt;"Tarjeta de crédito"),"⚠ El destino debe ser tarjeta de crédito",IF(AND(P764="Gasto",E764="Depósitos y retiros"),"⚠ Usa tipo Transferencia",IF(AND(P764="Resultado trading",AD764&lt;&gt;"Cuenta de trading"),"⚠ Usa una cuenta de trading",IF(AND(G764&lt;=0,P764&lt;&gt;"Ajuste",P764&lt;&gt;"Resultado trading"),"⚠ El monto debe ser positivo","✓")))))))))))))))</f>
        <v/>
      </c>
      <c r="P764" s="52">
        <f>IF(OR(B764="",G764=""),"",IF(C764="","Gasto",C764))</f>
        <v/>
      </c>
      <c r="Q764" s="52">
        <f>IF(P764="","",IF(J764&lt;&gt;"",J764,CuentaPred&amp;""))</f>
        <v/>
      </c>
      <c r="R764" s="52">
        <f>IF(P764="","",IF(ISNUMBER(I764),I764,TasaUSD))</f>
        <v/>
      </c>
      <c r="S764" s="53">
        <f>IF(P764="","",IF(H764="USD",G764*R764,G764))</f>
        <v/>
      </c>
      <c r="T764" s="53">
        <f>IF(P764="","",IF(H764="USD",G764,IF(R764&gt;0,G764/R764,0)))</f>
        <v/>
      </c>
      <c r="U764" s="53">
        <f>IF(P764="","",IF(P764="Gasto",S764,IF(P764="Reembolso",-S764,0)))</f>
        <v/>
      </c>
      <c r="V764" s="53">
        <f>IF(P764="","",IF(P764="Ingreso",S764,0))</f>
        <v/>
      </c>
      <c r="W764" s="53">
        <f>IF(P764="","",IF(P764="Resultado trading",S764,0))</f>
        <v/>
      </c>
      <c r="X764" s="52">
        <f>IF(OR(P764="Gasto",P764="Reembolso"),IF(M764&lt;&gt;"",M764,IFERROR(INDEX(catClasif,MATCH(D764&amp;"|"&amp;E764,catClave,0))&amp;"","Variable")),"")</f>
        <v/>
      </c>
      <c r="Y764" s="52">
        <f>IF(P764="","",IFERROR(INDEX(catGrupo,MATCH(D764&amp;"|"&amp;E764,catClave,0))&amp;"",""))</f>
        <v/>
      </c>
      <c r="Z764" s="52">
        <f>IF(P764="","",WEEKDAY(B764,2))</f>
        <v/>
      </c>
      <c r="AA764" s="52">
        <f>IF(P764="","",IF(AND(P764="Gasto",X764="Variable",D764&lt;&gt;catTrading,S764&gt;0,S764&lt;=Umbral),1,0))</f>
        <v/>
      </c>
      <c r="AB764" s="52">
        <f>IF(OR(P764="",Q764=""),"",IFERROR(IF(INDEX(ctaVinc,MATCH(Q764,ctaNombre,0))&amp;""&lt;&gt;"",INDEX(ctaVinc,MATCH(Q764,ctaNombre,0))&amp;"",Q764),Q764))</f>
        <v/>
      </c>
      <c r="AC764" s="52">
        <f>IF(OR(K764="",AND(P764&lt;&gt;"Transferencia",P764&lt;&gt;"Pago tarjeta")),"",IFERROR(IF(INDEX(ctaVinc,MATCH(K764,ctaNombre,0))&amp;""&lt;&gt;"",INDEX(ctaVinc,MATCH(K764,ctaNombre,0))&amp;"",K764),K764))</f>
        <v/>
      </c>
      <c r="AD764" s="52">
        <f>IF(AB764="","",IFERROR(INDEX(ctaTipo,MATCH(AB764,ctaNombre,0))&amp;"",""))</f>
        <v/>
      </c>
      <c r="AE764" s="52">
        <f>IF(AC764="","",IFERROR(INDEX(ctaTipo,MATCH(AC764,ctaNombre,0))&amp;"",""))</f>
        <v/>
      </c>
      <c r="AF764" s="53">
        <f>IF(OR(P764="",AB764=""),"",IF(OR(P764="Gasto",P764="Transferencia",P764="Pago tarjeta"),-1,1)*IF(IFERROR(INDEX(ctaMoneda,MATCH(AB764,ctaNombre,0))&amp;"","DOP")="USD",T764,S764))</f>
        <v/>
      </c>
      <c r="AG764" s="53">
        <f>IF(AC764="","",IF(IFERROR(INDEX(ctaMoneda,MATCH(AC764,ctaNombre,0))&amp;"","DOP")="USD",T764,S764))</f>
        <v/>
      </c>
      <c r="AH764" s="53">
        <f>IF(P764="","",IF(AND(AD764&lt;&gt;"",COUNTIFS(tcTipo,AD764,tcLiq,"Sí")&gt;0),IF(OR(P764="Gasto",P764="Transferencia",P764="Pago tarjeta"),-1,1)*S764,0)+IF(AND(AE764&lt;&gt;"",COUNTIFS(tcTipo,AE764,tcLiq,"Sí")&gt;0),S764,0))</f>
        <v/>
      </c>
      <c r="AI764" s="52">
        <f>IF(OR(L764="",P764=""),"",IF(COUNTIFS(L$6:L764,L764,P$6:P764,"?*")=1,MAX(AI$5:AI763)+1,""))</f>
        <v/>
      </c>
    </row>
    <row r="765">
      <c r="B765" s="47" t="n"/>
      <c r="C765" s="48" t="n"/>
      <c r="D765" s="48" t="n"/>
      <c r="E765" s="48" t="n"/>
      <c r="F765" s="48" t="n"/>
      <c r="G765" s="49" t="n"/>
      <c r="H765" s="48" t="n"/>
      <c r="I765" s="50" t="n"/>
      <c r="J765" s="48" t="n"/>
      <c r="K765" s="48" t="n"/>
      <c r="L765" s="48" t="n"/>
      <c r="M765" s="48" t="n"/>
      <c r="N765" s="48" t="n"/>
      <c r="O765" s="51">
        <f>IF(AND(B765="",G765="",C765="",D765="",J765=""),"",IF(B765="","⚠ Falta fecha",IF(G765="","⚠ Falta monto",IF(Q765="","⚠ Falta cuenta",IF(ISNA(MATCH(Q765,ctaNombre,0)),"⚠ Cuenta no registrada",IF(AND(OR(P765="Gasto",P765="Reembolso"),D765=""),"⚠ Falta categoría",IF(AND(D765&lt;&gt;"",E765&lt;&gt;"",ISNA(MATCH(D765&amp;"|"&amp;E765,catClave,0))),"⚠ Subcategoría no corresponde",IF(AND(OR(P765="Transferencia",P765="Pago tarjeta"),K765=""),"⚠ Falta cuenta destino",IF(AND(K765&lt;&gt;"",P765&lt;&gt;"Transferencia",P765&lt;&gt;"Pago tarjeta"),"⚠ Destino solo aplica a transferencias",IF(AND(K765&lt;&gt;"",K765=Q765),"⚠ Origen igual a destino",IF(AND(K765&lt;&gt;"",ISNA(MATCH(K765,ctaNombre,0))),"⚠ Destino no registrado",IF(AND(P765="Pago tarjeta",AE765&lt;&gt;"Tarjeta de crédito"),"⚠ El destino debe ser tarjeta de crédito",IF(AND(P765="Gasto",E765="Depósitos y retiros"),"⚠ Usa tipo Transferencia",IF(AND(P765="Resultado trading",AD765&lt;&gt;"Cuenta de trading"),"⚠ Usa una cuenta de trading",IF(AND(G765&lt;=0,P765&lt;&gt;"Ajuste",P765&lt;&gt;"Resultado trading"),"⚠ El monto debe ser positivo","✓")))))))))))))))</f>
        <v/>
      </c>
      <c r="P765" s="52">
        <f>IF(OR(B765="",G765=""),"",IF(C765="","Gasto",C765))</f>
        <v/>
      </c>
      <c r="Q765" s="52">
        <f>IF(P765="","",IF(J765&lt;&gt;"",J765,CuentaPred&amp;""))</f>
        <v/>
      </c>
      <c r="R765" s="52">
        <f>IF(P765="","",IF(ISNUMBER(I765),I765,TasaUSD))</f>
        <v/>
      </c>
      <c r="S765" s="53">
        <f>IF(P765="","",IF(H765="USD",G765*R765,G765))</f>
        <v/>
      </c>
      <c r="T765" s="53">
        <f>IF(P765="","",IF(H765="USD",G765,IF(R765&gt;0,G765/R765,0)))</f>
        <v/>
      </c>
      <c r="U765" s="53">
        <f>IF(P765="","",IF(P765="Gasto",S765,IF(P765="Reembolso",-S765,0)))</f>
        <v/>
      </c>
      <c r="V765" s="53">
        <f>IF(P765="","",IF(P765="Ingreso",S765,0))</f>
        <v/>
      </c>
      <c r="W765" s="53">
        <f>IF(P765="","",IF(P765="Resultado trading",S765,0))</f>
        <v/>
      </c>
      <c r="X765" s="52">
        <f>IF(OR(P765="Gasto",P765="Reembolso"),IF(M765&lt;&gt;"",M765,IFERROR(INDEX(catClasif,MATCH(D765&amp;"|"&amp;E765,catClave,0))&amp;"","Variable")),"")</f>
        <v/>
      </c>
      <c r="Y765" s="52">
        <f>IF(P765="","",IFERROR(INDEX(catGrupo,MATCH(D765&amp;"|"&amp;E765,catClave,0))&amp;"",""))</f>
        <v/>
      </c>
      <c r="Z765" s="52">
        <f>IF(P765="","",WEEKDAY(B765,2))</f>
        <v/>
      </c>
      <c r="AA765" s="52">
        <f>IF(P765="","",IF(AND(P765="Gasto",X765="Variable",D765&lt;&gt;catTrading,S765&gt;0,S765&lt;=Umbral),1,0))</f>
        <v/>
      </c>
      <c r="AB765" s="52">
        <f>IF(OR(P765="",Q765=""),"",IFERROR(IF(INDEX(ctaVinc,MATCH(Q765,ctaNombre,0))&amp;""&lt;&gt;"",INDEX(ctaVinc,MATCH(Q765,ctaNombre,0))&amp;"",Q765),Q765))</f>
        <v/>
      </c>
      <c r="AC765" s="52">
        <f>IF(OR(K765="",AND(P765&lt;&gt;"Transferencia",P765&lt;&gt;"Pago tarjeta")),"",IFERROR(IF(INDEX(ctaVinc,MATCH(K765,ctaNombre,0))&amp;""&lt;&gt;"",INDEX(ctaVinc,MATCH(K765,ctaNombre,0))&amp;"",K765),K765))</f>
        <v/>
      </c>
      <c r="AD765" s="52">
        <f>IF(AB765="","",IFERROR(INDEX(ctaTipo,MATCH(AB765,ctaNombre,0))&amp;"",""))</f>
        <v/>
      </c>
      <c r="AE765" s="52">
        <f>IF(AC765="","",IFERROR(INDEX(ctaTipo,MATCH(AC765,ctaNombre,0))&amp;"",""))</f>
        <v/>
      </c>
      <c r="AF765" s="53">
        <f>IF(OR(P765="",AB765=""),"",IF(OR(P765="Gasto",P765="Transferencia",P765="Pago tarjeta"),-1,1)*IF(IFERROR(INDEX(ctaMoneda,MATCH(AB765,ctaNombre,0))&amp;"","DOP")="USD",T765,S765))</f>
        <v/>
      </c>
      <c r="AG765" s="53">
        <f>IF(AC765="","",IF(IFERROR(INDEX(ctaMoneda,MATCH(AC765,ctaNombre,0))&amp;"","DOP")="USD",T765,S765))</f>
        <v/>
      </c>
      <c r="AH765" s="53">
        <f>IF(P765="","",IF(AND(AD765&lt;&gt;"",COUNTIFS(tcTipo,AD765,tcLiq,"Sí")&gt;0),IF(OR(P765="Gasto",P765="Transferencia",P765="Pago tarjeta"),-1,1)*S765,0)+IF(AND(AE765&lt;&gt;"",COUNTIFS(tcTipo,AE765,tcLiq,"Sí")&gt;0),S765,0))</f>
        <v/>
      </c>
      <c r="AI765" s="52">
        <f>IF(OR(L765="",P765=""),"",IF(COUNTIFS(L$6:L765,L765,P$6:P765,"?*")=1,MAX(AI$5:AI764)+1,""))</f>
        <v/>
      </c>
    </row>
    <row r="766">
      <c r="B766" s="47" t="n"/>
      <c r="C766" s="48" t="n"/>
      <c r="D766" s="48" t="n"/>
      <c r="E766" s="48" t="n"/>
      <c r="F766" s="48" t="n"/>
      <c r="G766" s="49" t="n"/>
      <c r="H766" s="48" t="n"/>
      <c r="I766" s="50" t="n"/>
      <c r="J766" s="48" t="n"/>
      <c r="K766" s="48" t="n"/>
      <c r="L766" s="48" t="n"/>
      <c r="M766" s="48" t="n"/>
      <c r="N766" s="48" t="n"/>
      <c r="O766" s="51">
        <f>IF(AND(B766="",G766="",C766="",D766="",J766=""),"",IF(B766="","⚠ Falta fecha",IF(G766="","⚠ Falta monto",IF(Q766="","⚠ Falta cuenta",IF(ISNA(MATCH(Q766,ctaNombre,0)),"⚠ Cuenta no registrada",IF(AND(OR(P766="Gasto",P766="Reembolso"),D766=""),"⚠ Falta categoría",IF(AND(D766&lt;&gt;"",E766&lt;&gt;"",ISNA(MATCH(D766&amp;"|"&amp;E766,catClave,0))),"⚠ Subcategoría no corresponde",IF(AND(OR(P766="Transferencia",P766="Pago tarjeta"),K766=""),"⚠ Falta cuenta destino",IF(AND(K766&lt;&gt;"",P766&lt;&gt;"Transferencia",P766&lt;&gt;"Pago tarjeta"),"⚠ Destino solo aplica a transferencias",IF(AND(K766&lt;&gt;"",K766=Q766),"⚠ Origen igual a destino",IF(AND(K766&lt;&gt;"",ISNA(MATCH(K766,ctaNombre,0))),"⚠ Destino no registrado",IF(AND(P766="Pago tarjeta",AE766&lt;&gt;"Tarjeta de crédito"),"⚠ El destino debe ser tarjeta de crédito",IF(AND(P766="Gasto",E766="Depósitos y retiros"),"⚠ Usa tipo Transferencia",IF(AND(P766="Resultado trading",AD766&lt;&gt;"Cuenta de trading"),"⚠ Usa una cuenta de trading",IF(AND(G766&lt;=0,P766&lt;&gt;"Ajuste",P766&lt;&gt;"Resultado trading"),"⚠ El monto debe ser positivo","✓")))))))))))))))</f>
        <v/>
      </c>
      <c r="P766" s="52">
        <f>IF(OR(B766="",G766=""),"",IF(C766="","Gasto",C766))</f>
        <v/>
      </c>
      <c r="Q766" s="52">
        <f>IF(P766="","",IF(J766&lt;&gt;"",J766,CuentaPred&amp;""))</f>
        <v/>
      </c>
      <c r="R766" s="52">
        <f>IF(P766="","",IF(ISNUMBER(I766),I766,TasaUSD))</f>
        <v/>
      </c>
      <c r="S766" s="53">
        <f>IF(P766="","",IF(H766="USD",G766*R766,G766))</f>
        <v/>
      </c>
      <c r="T766" s="53">
        <f>IF(P766="","",IF(H766="USD",G766,IF(R766&gt;0,G766/R766,0)))</f>
        <v/>
      </c>
      <c r="U766" s="53">
        <f>IF(P766="","",IF(P766="Gasto",S766,IF(P766="Reembolso",-S766,0)))</f>
        <v/>
      </c>
      <c r="V766" s="53">
        <f>IF(P766="","",IF(P766="Ingreso",S766,0))</f>
        <v/>
      </c>
      <c r="W766" s="53">
        <f>IF(P766="","",IF(P766="Resultado trading",S766,0))</f>
        <v/>
      </c>
      <c r="X766" s="52">
        <f>IF(OR(P766="Gasto",P766="Reembolso"),IF(M766&lt;&gt;"",M766,IFERROR(INDEX(catClasif,MATCH(D766&amp;"|"&amp;E766,catClave,0))&amp;"","Variable")),"")</f>
        <v/>
      </c>
      <c r="Y766" s="52">
        <f>IF(P766="","",IFERROR(INDEX(catGrupo,MATCH(D766&amp;"|"&amp;E766,catClave,0))&amp;"",""))</f>
        <v/>
      </c>
      <c r="Z766" s="52">
        <f>IF(P766="","",WEEKDAY(B766,2))</f>
        <v/>
      </c>
      <c r="AA766" s="52">
        <f>IF(P766="","",IF(AND(P766="Gasto",X766="Variable",D766&lt;&gt;catTrading,S766&gt;0,S766&lt;=Umbral),1,0))</f>
        <v/>
      </c>
      <c r="AB766" s="52">
        <f>IF(OR(P766="",Q766=""),"",IFERROR(IF(INDEX(ctaVinc,MATCH(Q766,ctaNombre,0))&amp;""&lt;&gt;"",INDEX(ctaVinc,MATCH(Q766,ctaNombre,0))&amp;"",Q766),Q766))</f>
        <v/>
      </c>
      <c r="AC766" s="52">
        <f>IF(OR(K766="",AND(P766&lt;&gt;"Transferencia",P766&lt;&gt;"Pago tarjeta")),"",IFERROR(IF(INDEX(ctaVinc,MATCH(K766,ctaNombre,0))&amp;""&lt;&gt;"",INDEX(ctaVinc,MATCH(K766,ctaNombre,0))&amp;"",K766),K766))</f>
        <v/>
      </c>
      <c r="AD766" s="52">
        <f>IF(AB766="","",IFERROR(INDEX(ctaTipo,MATCH(AB766,ctaNombre,0))&amp;"",""))</f>
        <v/>
      </c>
      <c r="AE766" s="52">
        <f>IF(AC766="","",IFERROR(INDEX(ctaTipo,MATCH(AC766,ctaNombre,0))&amp;"",""))</f>
        <v/>
      </c>
      <c r="AF766" s="53">
        <f>IF(OR(P766="",AB766=""),"",IF(OR(P766="Gasto",P766="Transferencia",P766="Pago tarjeta"),-1,1)*IF(IFERROR(INDEX(ctaMoneda,MATCH(AB766,ctaNombre,0))&amp;"","DOP")="USD",T766,S766))</f>
        <v/>
      </c>
      <c r="AG766" s="53">
        <f>IF(AC766="","",IF(IFERROR(INDEX(ctaMoneda,MATCH(AC766,ctaNombre,0))&amp;"","DOP")="USD",T766,S766))</f>
        <v/>
      </c>
      <c r="AH766" s="53">
        <f>IF(P766="","",IF(AND(AD766&lt;&gt;"",COUNTIFS(tcTipo,AD766,tcLiq,"Sí")&gt;0),IF(OR(P766="Gasto",P766="Transferencia",P766="Pago tarjeta"),-1,1)*S766,0)+IF(AND(AE766&lt;&gt;"",COUNTIFS(tcTipo,AE766,tcLiq,"Sí")&gt;0),S766,0))</f>
        <v/>
      </c>
      <c r="AI766" s="52">
        <f>IF(OR(L766="",P766=""),"",IF(COUNTIFS(L$6:L766,L766,P$6:P766,"?*")=1,MAX(AI$5:AI765)+1,""))</f>
        <v/>
      </c>
    </row>
    <row r="767">
      <c r="B767" s="47" t="n"/>
      <c r="C767" s="48" t="n"/>
      <c r="D767" s="48" t="n"/>
      <c r="E767" s="48" t="n"/>
      <c r="F767" s="48" t="n"/>
      <c r="G767" s="49" t="n"/>
      <c r="H767" s="48" t="n"/>
      <c r="I767" s="50" t="n"/>
      <c r="J767" s="48" t="n"/>
      <c r="K767" s="48" t="n"/>
      <c r="L767" s="48" t="n"/>
      <c r="M767" s="48" t="n"/>
      <c r="N767" s="48" t="n"/>
      <c r="O767" s="51">
        <f>IF(AND(B767="",G767="",C767="",D767="",J767=""),"",IF(B767="","⚠ Falta fecha",IF(G767="","⚠ Falta monto",IF(Q767="","⚠ Falta cuenta",IF(ISNA(MATCH(Q767,ctaNombre,0)),"⚠ Cuenta no registrada",IF(AND(OR(P767="Gasto",P767="Reembolso"),D767=""),"⚠ Falta categoría",IF(AND(D767&lt;&gt;"",E767&lt;&gt;"",ISNA(MATCH(D767&amp;"|"&amp;E767,catClave,0))),"⚠ Subcategoría no corresponde",IF(AND(OR(P767="Transferencia",P767="Pago tarjeta"),K767=""),"⚠ Falta cuenta destino",IF(AND(K767&lt;&gt;"",P767&lt;&gt;"Transferencia",P767&lt;&gt;"Pago tarjeta"),"⚠ Destino solo aplica a transferencias",IF(AND(K767&lt;&gt;"",K767=Q767),"⚠ Origen igual a destino",IF(AND(K767&lt;&gt;"",ISNA(MATCH(K767,ctaNombre,0))),"⚠ Destino no registrado",IF(AND(P767="Pago tarjeta",AE767&lt;&gt;"Tarjeta de crédito"),"⚠ El destino debe ser tarjeta de crédito",IF(AND(P767="Gasto",E767="Depósitos y retiros"),"⚠ Usa tipo Transferencia",IF(AND(P767="Resultado trading",AD767&lt;&gt;"Cuenta de trading"),"⚠ Usa una cuenta de trading",IF(AND(G767&lt;=0,P767&lt;&gt;"Ajuste",P767&lt;&gt;"Resultado trading"),"⚠ El monto debe ser positivo","✓")))))))))))))))</f>
        <v/>
      </c>
      <c r="P767" s="52">
        <f>IF(OR(B767="",G767=""),"",IF(C767="","Gasto",C767))</f>
        <v/>
      </c>
      <c r="Q767" s="52">
        <f>IF(P767="","",IF(J767&lt;&gt;"",J767,CuentaPred&amp;""))</f>
        <v/>
      </c>
      <c r="R767" s="52">
        <f>IF(P767="","",IF(ISNUMBER(I767),I767,TasaUSD))</f>
        <v/>
      </c>
      <c r="S767" s="53">
        <f>IF(P767="","",IF(H767="USD",G767*R767,G767))</f>
        <v/>
      </c>
      <c r="T767" s="53">
        <f>IF(P767="","",IF(H767="USD",G767,IF(R767&gt;0,G767/R767,0)))</f>
        <v/>
      </c>
      <c r="U767" s="53">
        <f>IF(P767="","",IF(P767="Gasto",S767,IF(P767="Reembolso",-S767,0)))</f>
        <v/>
      </c>
      <c r="V767" s="53">
        <f>IF(P767="","",IF(P767="Ingreso",S767,0))</f>
        <v/>
      </c>
      <c r="W767" s="53">
        <f>IF(P767="","",IF(P767="Resultado trading",S767,0))</f>
        <v/>
      </c>
      <c r="X767" s="52">
        <f>IF(OR(P767="Gasto",P767="Reembolso"),IF(M767&lt;&gt;"",M767,IFERROR(INDEX(catClasif,MATCH(D767&amp;"|"&amp;E767,catClave,0))&amp;"","Variable")),"")</f>
        <v/>
      </c>
      <c r="Y767" s="52">
        <f>IF(P767="","",IFERROR(INDEX(catGrupo,MATCH(D767&amp;"|"&amp;E767,catClave,0))&amp;"",""))</f>
        <v/>
      </c>
      <c r="Z767" s="52">
        <f>IF(P767="","",WEEKDAY(B767,2))</f>
        <v/>
      </c>
      <c r="AA767" s="52">
        <f>IF(P767="","",IF(AND(P767="Gasto",X767="Variable",D767&lt;&gt;catTrading,S767&gt;0,S767&lt;=Umbral),1,0))</f>
        <v/>
      </c>
      <c r="AB767" s="52">
        <f>IF(OR(P767="",Q767=""),"",IFERROR(IF(INDEX(ctaVinc,MATCH(Q767,ctaNombre,0))&amp;""&lt;&gt;"",INDEX(ctaVinc,MATCH(Q767,ctaNombre,0))&amp;"",Q767),Q767))</f>
        <v/>
      </c>
      <c r="AC767" s="52">
        <f>IF(OR(K767="",AND(P767&lt;&gt;"Transferencia",P767&lt;&gt;"Pago tarjeta")),"",IFERROR(IF(INDEX(ctaVinc,MATCH(K767,ctaNombre,0))&amp;""&lt;&gt;"",INDEX(ctaVinc,MATCH(K767,ctaNombre,0))&amp;"",K767),K767))</f>
        <v/>
      </c>
      <c r="AD767" s="52">
        <f>IF(AB767="","",IFERROR(INDEX(ctaTipo,MATCH(AB767,ctaNombre,0))&amp;"",""))</f>
        <v/>
      </c>
      <c r="AE767" s="52">
        <f>IF(AC767="","",IFERROR(INDEX(ctaTipo,MATCH(AC767,ctaNombre,0))&amp;"",""))</f>
        <v/>
      </c>
      <c r="AF767" s="53">
        <f>IF(OR(P767="",AB767=""),"",IF(OR(P767="Gasto",P767="Transferencia",P767="Pago tarjeta"),-1,1)*IF(IFERROR(INDEX(ctaMoneda,MATCH(AB767,ctaNombre,0))&amp;"","DOP")="USD",T767,S767))</f>
        <v/>
      </c>
      <c r="AG767" s="53">
        <f>IF(AC767="","",IF(IFERROR(INDEX(ctaMoneda,MATCH(AC767,ctaNombre,0))&amp;"","DOP")="USD",T767,S767))</f>
        <v/>
      </c>
      <c r="AH767" s="53">
        <f>IF(P767="","",IF(AND(AD767&lt;&gt;"",COUNTIFS(tcTipo,AD767,tcLiq,"Sí")&gt;0),IF(OR(P767="Gasto",P767="Transferencia",P767="Pago tarjeta"),-1,1)*S767,0)+IF(AND(AE767&lt;&gt;"",COUNTIFS(tcTipo,AE767,tcLiq,"Sí")&gt;0),S767,0))</f>
        <v/>
      </c>
      <c r="AI767" s="52">
        <f>IF(OR(L767="",P767=""),"",IF(COUNTIFS(L$6:L767,L767,P$6:P767,"?*")=1,MAX(AI$5:AI766)+1,""))</f>
        <v/>
      </c>
    </row>
    <row r="768">
      <c r="B768" s="47" t="n"/>
      <c r="C768" s="48" t="n"/>
      <c r="D768" s="48" t="n"/>
      <c r="E768" s="48" t="n"/>
      <c r="F768" s="48" t="n"/>
      <c r="G768" s="49" t="n"/>
      <c r="H768" s="48" t="n"/>
      <c r="I768" s="50" t="n"/>
      <c r="J768" s="48" t="n"/>
      <c r="K768" s="48" t="n"/>
      <c r="L768" s="48" t="n"/>
      <c r="M768" s="48" t="n"/>
      <c r="N768" s="48" t="n"/>
      <c r="O768" s="51">
        <f>IF(AND(B768="",G768="",C768="",D768="",J768=""),"",IF(B768="","⚠ Falta fecha",IF(G768="","⚠ Falta monto",IF(Q768="","⚠ Falta cuenta",IF(ISNA(MATCH(Q768,ctaNombre,0)),"⚠ Cuenta no registrada",IF(AND(OR(P768="Gasto",P768="Reembolso"),D768=""),"⚠ Falta categoría",IF(AND(D768&lt;&gt;"",E768&lt;&gt;"",ISNA(MATCH(D768&amp;"|"&amp;E768,catClave,0))),"⚠ Subcategoría no corresponde",IF(AND(OR(P768="Transferencia",P768="Pago tarjeta"),K768=""),"⚠ Falta cuenta destino",IF(AND(K768&lt;&gt;"",P768&lt;&gt;"Transferencia",P768&lt;&gt;"Pago tarjeta"),"⚠ Destino solo aplica a transferencias",IF(AND(K768&lt;&gt;"",K768=Q768),"⚠ Origen igual a destino",IF(AND(K768&lt;&gt;"",ISNA(MATCH(K768,ctaNombre,0))),"⚠ Destino no registrado",IF(AND(P768="Pago tarjeta",AE768&lt;&gt;"Tarjeta de crédito"),"⚠ El destino debe ser tarjeta de crédito",IF(AND(P768="Gasto",E768="Depósitos y retiros"),"⚠ Usa tipo Transferencia",IF(AND(P768="Resultado trading",AD768&lt;&gt;"Cuenta de trading"),"⚠ Usa una cuenta de trading",IF(AND(G768&lt;=0,P768&lt;&gt;"Ajuste",P768&lt;&gt;"Resultado trading"),"⚠ El monto debe ser positivo","✓")))))))))))))))</f>
        <v/>
      </c>
      <c r="P768" s="52">
        <f>IF(OR(B768="",G768=""),"",IF(C768="","Gasto",C768))</f>
        <v/>
      </c>
      <c r="Q768" s="52">
        <f>IF(P768="","",IF(J768&lt;&gt;"",J768,CuentaPred&amp;""))</f>
        <v/>
      </c>
      <c r="R768" s="52">
        <f>IF(P768="","",IF(ISNUMBER(I768),I768,TasaUSD))</f>
        <v/>
      </c>
      <c r="S768" s="53">
        <f>IF(P768="","",IF(H768="USD",G768*R768,G768))</f>
        <v/>
      </c>
      <c r="T768" s="53">
        <f>IF(P768="","",IF(H768="USD",G768,IF(R768&gt;0,G768/R768,0)))</f>
        <v/>
      </c>
      <c r="U768" s="53">
        <f>IF(P768="","",IF(P768="Gasto",S768,IF(P768="Reembolso",-S768,0)))</f>
        <v/>
      </c>
      <c r="V768" s="53">
        <f>IF(P768="","",IF(P768="Ingreso",S768,0))</f>
        <v/>
      </c>
      <c r="W768" s="53">
        <f>IF(P768="","",IF(P768="Resultado trading",S768,0))</f>
        <v/>
      </c>
      <c r="X768" s="52">
        <f>IF(OR(P768="Gasto",P768="Reembolso"),IF(M768&lt;&gt;"",M768,IFERROR(INDEX(catClasif,MATCH(D768&amp;"|"&amp;E768,catClave,0))&amp;"","Variable")),"")</f>
        <v/>
      </c>
      <c r="Y768" s="52">
        <f>IF(P768="","",IFERROR(INDEX(catGrupo,MATCH(D768&amp;"|"&amp;E768,catClave,0))&amp;"",""))</f>
        <v/>
      </c>
      <c r="Z768" s="52">
        <f>IF(P768="","",WEEKDAY(B768,2))</f>
        <v/>
      </c>
      <c r="AA768" s="52">
        <f>IF(P768="","",IF(AND(P768="Gasto",X768="Variable",D768&lt;&gt;catTrading,S768&gt;0,S768&lt;=Umbral),1,0))</f>
        <v/>
      </c>
      <c r="AB768" s="52">
        <f>IF(OR(P768="",Q768=""),"",IFERROR(IF(INDEX(ctaVinc,MATCH(Q768,ctaNombre,0))&amp;""&lt;&gt;"",INDEX(ctaVinc,MATCH(Q768,ctaNombre,0))&amp;"",Q768),Q768))</f>
        <v/>
      </c>
      <c r="AC768" s="52">
        <f>IF(OR(K768="",AND(P768&lt;&gt;"Transferencia",P768&lt;&gt;"Pago tarjeta")),"",IFERROR(IF(INDEX(ctaVinc,MATCH(K768,ctaNombre,0))&amp;""&lt;&gt;"",INDEX(ctaVinc,MATCH(K768,ctaNombre,0))&amp;"",K768),K768))</f>
        <v/>
      </c>
      <c r="AD768" s="52">
        <f>IF(AB768="","",IFERROR(INDEX(ctaTipo,MATCH(AB768,ctaNombre,0))&amp;"",""))</f>
        <v/>
      </c>
      <c r="AE768" s="52">
        <f>IF(AC768="","",IFERROR(INDEX(ctaTipo,MATCH(AC768,ctaNombre,0))&amp;"",""))</f>
        <v/>
      </c>
      <c r="AF768" s="53">
        <f>IF(OR(P768="",AB768=""),"",IF(OR(P768="Gasto",P768="Transferencia",P768="Pago tarjeta"),-1,1)*IF(IFERROR(INDEX(ctaMoneda,MATCH(AB768,ctaNombre,0))&amp;"","DOP")="USD",T768,S768))</f>
        <v/>
      </c>
      <c r="AG768" s="53">
        <f>IF(AC768="","",IF(IFERROR(INDEX(ctaMoneda,MATCH(AC768,ctaNombre,0))&amp;"","DOP")="USD",T768,S768))</f>
        <v/>
      </c>
      <c r="AH768" s="53">
        <f>IF(P768="","",IF(AND(AD768&lt;&gt;"",COUNTIFS(tcTipo,AD768,tcLiq,"Sí")&gt;0),IF(OR(P768="Gasto",P768="Transferencia",P768="Pago tarjeta"),-1,1)*S768,0)+IF(AND(AE768&lt;&gt;"",COUNTIFS(tcTipo,AE768,tcLiq,"Sí")&gt;0),S768,0))</f>
        <v/>
      </c>
      <c r="AI768" s="52">
        <f>IF(OR(L768="",P768=""),"",IF(COUNTIFS(L$6:L768,L768,P$6:P768,"?*")=1,MAX(AI$5:AI767)+1,""))</f>
        <v/>
      </c>
    </row>
    <row r="769">
      <c r="B769" s="47" t="n"/>
      <c r="C769" s="48" t="n"/>
      <c r="D769" s="48" t="n"/>
      <c r="E769" s="48" t="n"/>
      <c r="F769" s="48" t="n"/>
      <c r="G769" s="49" t="n"/>
      <c r="H769" s="48" t="n"/>
      <c r="I769" s="50" t="n"/>
      <c r="J769" s="48" t="n"/>
      <c r="K769" s="48" t="n"/>
      <c r="L769" s="48" t="n"/>
      <c r="M769" s="48" t="n"/>
      <c r="N769" s="48" t="n"/>
      <c r="O769" s="51">
        <f>IF(AND(B769="",G769="",C769="",D769="",J769=""),"",IF(B769="","⚠ Falta fecha",IF(G769="","⚠ Falta monto",IF(Q769="","⚠ Falta cuenta",IF(ISNA(MATCH(Q769,ctaNombre,0)),"⚠ Cuenta no registrada",IF(AND(OR(P769="Gasto",P769="Reembolso"),D769=""),"⚠ Falta categoría",IF(AND(D769&lt;&gt;"",E769&lt;&gt;"",ISNA(MATCH(D769&amp;"|"&amp;E769,catClave,0))),"⚠ Subcategoría no corresponde",IF(AND(OR(P769="Transferencia",P769="Pago tarjeta"),K769=""),"⚠ Falta cuenta destino",IF(AND(K769&lt;&gt;"",P769&lt;&gt;"Transferencia",P769&lt;&gt;"Pago tarjeta"),"⚠ Destino solo aplica a transferencias",IF(AND(K769&lt;&gt;"",K769=Q769),"⚠ Origen igual a destino",IF(AND(K769&lt;&gt;"",ISNA(MATCH(K769,ctaNombre,0))),"⚠ Destino no registrado",IF(AND(P769="Pago tarjeta",AE769&lt;&gt;"Tarjeta de crédito"),"⚠ El destino debe ser tarjeta de crédito",IF(AND(P769="Gasto",E769="Depósitos y retiros"),"⚠ Usa tipo Transferencia",IF(AND(P769="Resultado trading",AD769&lt;&gt;"Cuenta de trading"),"⚠ Usa una cuenta de trading",IF(AND(G769&lt;=0,P769&lt;&gt;"Ajuste",P769&lt;&gt;"Resultado trading"),"⚠ El monto debe ser positivo","✓")))))))))))))))</f>
        <v/>
      </c>
      <c r="P769" s="52">
        <f>IF(OR(B769="",G769=""),"",IF(C769="","Gasto",C769))</f>
        <v/>
      </c>
      <c r="Q769" s="52">
        <f>IF(P769="","",IF(J769&lt;&gt;"",J769,CuentaPred&amp;""))</f>
        <v/>
      </c>
      <c r="R769" s="52">
        <f>IF(P769="","",IF(ISNUMBER(I769),I769,TasaUSD))</f>
        <v/>
      </c>
      <c r="S769" s="53">
        <f>IF(P769="","",IF(H769="USD",G769*R769,G769))</f>
        <v/>
      </c>
      <c r="T769" s="53">
        <f>IF(P769="","",IF(H769="USD",G769,IF(R769&gt;0,G769/R769,0)))</f>
        <v/>
      </c>
      <c r="U769" s="53">
        <f>IF(P769="","",IF(P769="Gasto",S769,IF(P769="Reembolso",-S769,0)))</f>
        <v/>
      </c>
      <c r="V769" s="53">
        <f>IF(P769="","",IF(P769="Ingreso",S769,0))</f>
        <v/>
      </c>
      <c r="W769" s="53">
        <f>IF(P769="","",IF(P769="Resultado trading",S769,0))</f>
        <v/>
      </c>
      <c r="X769" s="52">
        <f>IF(OR(P769="Gasto",P769="Reembolso"),IF(M769&lt;&gt;"",M769,IFERROR(INDEX(catClasif,MATCH(D769&amp;"|"&amp;E769,catClave,0))&amp;"","Variable")),"")</f>
        <v/>
      </c>
      <c r="Y769" s="52">
        <f>IF(P769="","",IFERROR(INDEX(catGrupo,MATCH(D769&amp;"|"&amp;E769,catClave,0))&amp;"",""))</f>
        <v/>
      </c>
      <c r="Z769" s="52">
        <f>IF(P769="","",WEEKDAY(B769,2))</f>
        <v/>
      </c>
      <c r="AA769" s="52">
        <f>IF(P769="","",IF(AND(P769="Gasto",X769="Variable",D769&lt;&gt;catTrading,S769&gt;0,S769&lt;=Umbral),1,0))</f>
        <v/>
      </c>
      <c r="AB769" s="52">
        <f>IF(OR(P769="",Q769=""),"",IFERROR(IF(INDEX(ctaVinc,MATCH(Q769,ctaNombre,0))&amp;""&lt;&gt;"",INDEX(ctaVinc,MATCH(Q769,ctaNombre,0))&amp;"",Q769),Q769))</f>
        <v/>
      </c>
      <c r="AC769" s="52">
        <f>IF(OR(K769="",AND(P769&lt;&gt;"Transferencia",P769&lt;&gt;"Pago tarjeta")),"",IFERROR(IF(INDEX(ctaVinc,MATCH(K769,ctaNombre,0))&amp;""&lt;&gt;"",INDEX(ctaVinc,MATCH(K769,ctaNombre,0))&amp;"",K769),K769))</f>
        <v/>
      </c>
      <c r="AD769" s="52">
        <f>IF(AB769="","",IFERROR(INDEX(ctaTipo,MATCH(AB769,ctaNombre,0))&amp;"",""))</f>
        <v/>
      </c>
      <c r="AE769" s="52">
        <f>IF(AC769="","",IFERROR(INDEX(ctaTipo,MATCH(AC769,ctaNombre,0))&amp;"",""))</f>
        <v/>
      </c>
      <c r="AF769" s="53">
        <f>IF(OR(P769="",AB769=""),"",IF(OR(P769="Gasto",P769="Transferencia",P769="Pago tarjeta"),-1,1)*IF(IFERROR(INDEX(ctaMoneda,MATCH(AB769,ctaNombre,0))&amp;"","DOP")="USD",T769,S769))</f>
        <v/>
      </c>
      <c r="AG769" s="53">
        <f>IF(AC769="","",IF(IFERROR(INDEX(ctaMoneda,MATCH(AC769,ctaNombre,0))&amp;"","DOP")="USD",T769,S769))</f>
        <v/>
      </c>
      <c r="AH769" s="53">
        <f>IF(P769="","",IF(AND(AD769&lt;&gt;"",COUNTIFS(tcTipo,AD769,tcLiq,"Sí")&gt;0),IF(OR(P769="Gasto",P769="Transferencia",P769="Pago tarjeta"),-1,1)*S769,0)+IF(AND(AE769&lt;&gt;"",COUNTIFS(tcTipo,AE769,tcLiq,"Sí")&gt;0),S769,0))</f>
        <v/>
      </c>
      <c r="AI769" s="52">
        <f>IF(OR(L769="",P769=""),"",IF(COUNTIFS(L$6:L769,L769,P$6:P769,"?*")=1,MAX(AI$5:AI768)+1,""))</f>
        <v/>
      </c>
    </row>
    <row r="770">
      <c r="B770" s="47" t="n"/>
      <c r="C770" s="48" t="n"/>
      <c r="D770" s="48" t="n"/>
      <c r="E770" s="48" t="n"/>
      <c r="F770" s="48" t="n"/>
      <c r="G770" s="49" t="n"/>
      <c r="H770" s="48" t="n"/>
      <c r="I770" s="50" t="n"/>
      <c r="J770" s="48" t="n"/>
      <c r="K770" s="48" t="n"/>
      <c r="L770" s="48" t="n"/>
      <c r="M770" s="48" t="n"/>
      <c r="N770" s="48" t="n"/>
      <c r="O770" s="51">
        <f>IF(AND(B770="",G770="",C770="",D770="",J770=""),"",IF(B770="","⚠ Falta fecha",IF(G770="","⚠ Falta monto",IF(Q770="","⚠ Falta cuenta",IF(ISNA(MATCH(Q770,ctaNombre,0)),"⚠ Cuenta no registrada",IF(AND(OR(P770="Gasto",P770="Reembolso"),D770=""),"⚠ Falta categoría",IF(AND(D770&lt;&gt;"",E770&lt;&gt;"",ISNA(MATCH(D770&amp;"|"&amp;E770,catClave,0))),"⚠ Subcategoría no corresponde",IF(AND(OR(P770="Transferencia",P770="Pago tarjeta"),K770=""),"⚠ Falta cuenta destino",IF(AND(K770&lt;&gt;"",P770&lt;&gt;"Transferencia",P770&lt;&gt;"Pago tarjeta"),"⚠ Destino solo aplica a transferencias",IF(AND(K770&lt;&gt;"",K770=Q770),"⚠ Origen igual a destino",IF(AND(K770&lt;&gt;"",ISNA(MATCH(K770,ctaNombre,0))),"⚠ Destino no registrado",IF(AND(P770="Pago tarjeta",AE770&lt;&gt;"Tarjeta de crédito"),"⚠ El destino debe ser tarjeta de crédito",IF(AND(P770="Gasto",E770="Depósitos y retiros"),"⚠ Usa tipo Transferencia",IF(AND(P770="Resultado trading",AD770&lt;&gt;"Cuenta de trading"),"⚠ Usa una cuenta de trading",IF(AND(G770&lt;=0,P770&lt;&gt;"Ajuste",P770&lt;&gt;"Resultado trading"),"⚠ El monto debe ser positivo","✓")))))))))))))))</f>
        <v/>
      </c>
      <c r="P770" s="52">
        <f>IF(OR(B770="",G770=""),"",IF(C770="","Gasto",C770))</f>
        <v/>
      </c>
      <c r="Q770" s="52">
        <f>IF(P770="","",IF(J770&lt;&gt;"",J770,CuentaPred&amp;""))</f>
        <v/>
      </c>
      <c r="R770" s="52">
        <f>IF(P770="","",IF(ISNUMBER(I770),I770,TasaUSD))</f>
        <v/>
      </c>
      <c r="S770" s="53">
        <f>IF(P770="","",IF(H770="USD",G770*R770,G770))</f>
        <v/>
      </c>
      <c r="T770" s="53">
        <f>IF(P770="","",IF(H770="USD",G770,IF(R770&gt;0,G770/R770,0)))</f>
        <v/>
      </c>
      <c r="U770" s="53">
        <f>IF(P770="","",IF(P770="Gasto",S770,IF(P770="Reembolso",-S770,0)))</f>
        <v/>
      </c>
      <c r="V770" s="53">
        <f>IF(P770="","",IF(P770="Ingreso",S770,0))</f>
        <v/>
      </c>
      <c r="W770" s="53">
        <f>IF(P770="","",IF(P770="Resultado trading",S770,0))</f>
        <v/>
      </c>
      <c r="X770" s="52">
        <f>IF(OR(P770="Gasto",P770="Reembolso"),IF(M770&lt;&gt;"",M770,IFERROR(INDEX(catClasif,MATCH(D770&amp;"|"&amp;E770,catClave,0))&amp;"","Variable")),"")</f>
        <v/>
      </c>
      <c r="Y770" s="52">
        <f>IF(P770="","",IFERROR(INDEX(catGrupo,MATCH(D770&amp;"|"&amp;E770,catClave,0))&amp;"",""))</f>
        <v/>
      </c>
      <c r="Z770" s="52">
        <f>IF(P770="","",WEEKDAY(B770,2))</f>
        <v/>
      </c>
      <c r="AA770" s="52">
        <f>IF(P770="","",IF(AND(P770="Gasto",X770="Variable",D770&lt;&gt;catTrading,S770&gt;0,S770&lt;=Umbral),1,0))</f>
        <v/>
      </c>
      <c r="AB770" s="52">
        <f>IF(OR(P770="",Q770=""),"",IFERROR(IF(INDEX(ctaVinc,MATCH(Q770,ctaNombre,0))&amp;""&lt;&gt;"",INDEX(ctaVinc,MATCH(Q770,ctaNombre,0))&amp;"",Q770),Q770))</f>
        <v/>
      </c>
      <c r="AC770" s="52">
        <f>IF(OR(K770="",AND(P770&lt;&gt;"Transferencia",P770&lt;&gt;"Pago tarjeta")),"",IFERROR(IF(INDEX(ctaVinc,MATCH(K770,ctaNombre,0))&amp;""&lt;&gt;"",INDEX(ctaVinc,MATCH(K770,ctaNombre,0))&amp;"",K770),K770))</f>
        <v/>
      </c>
      <c r="AD770" s="52">
        <f>IF(AB770="","",IFERROR(INDEX(ctaTipo,MATCH(AB770,ctaNombre,0))&amp;"",""))</f>
        <v/>
      </c>
      <c r="AE770" s="52">
        <f>IF(AC770="","",IFERROR(INDEX(ctaTipo,MATCH(AC770,ctaNombre,0))&amp;"",""))</f>
        <v/>
      </c>
      <c r="AF770" s="53">
        <f>IF(OR(P770="",AB770=""),"",IF(OR(P770="Gasto",P770="Transferencia",P770="Pago tarjeta"),-1,1)*IF(IFERROR(INDEX(ctaMoneda,MATCH(AB770,ctaNombre,0))&amp;"","DOP")="USD",T770,S770))</f>
        <v/>
      </c>
      <c r="AG770" s="53">
        <f>IF(AC770="","",IF(IFERROR(INDEX(ctaMoneda,MATCH(AC770,ctaNombre,0))&amp;"","DOP")="USD",T770,S770))</f>
        <v/>
      </c>
      <c r="AH770" s="53">
        <f>IF(P770="","",IF(AND(AD770&lt;&gt;"",COUNTIFS(tcTipo,AD770,tcLiq,"Sí")&gt;0),IF(OR(P770="Gasto",P770="Transferencia",P770="Pago tarjeta"),-1,1)*S770,0)+IF(AND(AE770&lt;&gt;"",COUNTIFS(tcTipo,AE770,tcLiq,"Sí")&gt;0),S770,0))</f>
        <v/>
      </c>
      <c r="AI770" s="52">
        <f>IF(OR(L770="",P770=""),"",IF(COUNTIFS(L$6:L770,L770,P$6:P770,"?*")=1,MAX(AI$5:AI769)+1,""))</f>
        <v/>
      </c>
    </row>
    <row r="771">
      <c r="B771" s="47" t="n"/>
      <c r="C771" s="48" t="n"/>
      <c r="D771" s="48" t="n"/>
      <c r="E771" s="48" t="n"/>
      <c r="F771" s="48" t="n"/>
      <c r="G771" s="49" t="n"/>
      <c r="H771" s="48" t="n"/>
      <c r="I771" s="50" t="n"/>
      <c r="J771" s="48" t="n"/>
      <c r="K771" s="48" t="n"/>
      <c r="L771" s="48" t="n"/>
      <c r="M771" s="48" t="n"/>
      <c r="N771" s="48" t="n"/>
      <c r="O771" s="51">
        <f>IF(AND(B771="",G771="",C771="",D771="",J771=""),"",IF(B771="","⚠ Falta fecha",IF(G771="","⚠ Falta monto",IF(Q771="","⚠ Falta cuenta",IF(ISNA(MATCH(Q771,ctaNombre,0)),"⚠ Cuenta no registrada",IF(AND(OR(P771="Gasto",P771="Reembolso"),D771=""),"⚠ Falta categoría",IF(AND(D771&lt;&gt;"",E771&lt;&gt;"",ISNA(MATCH(D771&amp;"|"&amp;E771,catClave,0))),"⚠ Subcategoría no corresponde",IF(AND(OR(P771="Transferencia",P771="Pago tarjeta"),K771=""),"⚠ Falta cuenta destino",IF(AND(K771&lt;&gt;"",P771&lt;&gt;"Transferencia",P771&lt;&gt;"Pago tarjeta"),"⚠ Destino solo aplica a transferencias",IF(AND(K771&lt;&gt;"",K771=Q771),"⚠ Origen igual a destino",IF(AND(K771&lt;&gt;"",ISNA(MATCH(K771,ctaNombre,0))),"⚠ Destino no registrado",IF(AND(P771="Pago tarjeta",AE771&lt;&gt;"Tarjeta de crédito"),"⚠ El destino debe ser tarjeta de crédito",IF(AND(P771="Gasto",E771="Depósitos y retiros"),"⚠ Usa tipo Transferencia",IF(AND(P771="Resultado trading",AD771&lt;&gt;"Cuenta de trading"),"⚠ Usa una cuenta de trading",IF(AND(G771&lt;=0,P771&lt;&gt;"Ajuste",P771&lt;&gt;"Resultado trading"),"⚠ El monto debe ser positivo","✓")))))))))))))))</f>
        <v/>
      </c>
      <c r="P771" s="52">
        <f>IF(OR(B771="",G771=""),"",IF(C771="","Gasto",C771))</f>
        <v/>
      </c>
      <c r="Q771" s="52">
        <f>IF(P771="","",IF(J771&lt;&gt;"",J771,CuentaPred&amp;""))</f>
        <v/>
      </c>
      <c r="R771" s="52">
        <f>IF(P771="","",IF(ISNUMBER(I771),I771,TasaUSD))</f>
        <v/>
      </c>
      <c r="S771" s="53">
        <f>IF(P771="","",IF(H771="USD",G771*R771,G771))</f>
        <v/>
      </c>
      <c r="T771" s="53">
        <f>IF(P771="","",IF(H771="USD",G771,IF(R771&gt;0,G771/R771,0)))</f>
        <v/>
      </c>
      <c r="U771" s="53">
        <f>IF(P771="","",IF(P771="Gasto",S771,IF(P771="Reembolso",-S771,0)))</f>
        <v/>
      </c>
      <c r="V771" s="53">
        <f>IF(P771="","",IF(P771="Ingreso",S771,0))</f>
        <v/>
      </c>
      <c r="W771" s="53">
        <f>IF(P771="","",IF(P771="Resultado trading",S771,0))</f>
        <v/>
      </c>
      <c r="X771" s="52">
        <f>IF(OR(P771="Gasto",P771="Reembolso"),IF(M771&lt;&gt;"",M771,IFERROR(INDEX(catClasif,MATCH(D771&amp;"|"&amp;E771,catClave,0))&amp;"","Variable")),"")</f>
        <v/>
      </c>
      <c r="Y771" s="52">
        <f>IF(P771="","",IFERROR(INDEX(catGrupo,MATCH(D771&amp;"|"&amp;E771,catClave,0))&amp;"",""))</f>
        <v/>
      </c>
      <c r="Z771" s="52">
        <f>IF(P771="","",WEEKDAY(B771,2))</f>
        <v/>
      </c>
      <c r="AA771" s="52">
        <f>IF(P771="","",IF(AND(P771="Gasto",X771="Variable",D771&lt;&gt;catTrading,S771&gt;0,S771&lt;=Umbral),1,0))</f>
        <v/>
      </c>
      <c r="AB771" s="52">
        <f>IF(OR(P771="",Q771=""),"",IFERROR(IF(INDEX(ctaVinc,MATCH(Q771,ctaNombre,0))&amp;""&lt;&gt;"",INDEX(ctaVinc,MATCH(Q771,ctaNombre,0))&amp;"",Q771),Q771))</f>
        <v/>
      </c>
      <c r="AC771" s="52">
        <f>IF(OR(K771="",AND(P771&lt;&gt;"Transferencia",P771&lt;&gt;"Pago tarjeta")),"",IFERROR(IF(INDEX(ctaVinc,MATCH(K771,ctaNombre,0))&amp;""&lt;&gt;"",INDEX(ctaVinc,MATCH(K771,ctaNombre,0))&amp;"",K771),K771))</f>
        <v/>
      </c>
      <c r="AD771" s="52">
        <f>IF(AB771="","",IFERROR(INDEX(ctaTipo,MATCH(AB771,ctaNombre,0))&amp;"",""))</f>
        <v/>
      </c>
      <c r="AE771" s="52">
        <f>IF(AC771="","",IFERROR(INDEX(ctaTipo,MATCH(AC771,ctaNombre,0))&amp;"",""))</f>
        <v/>
      </c>
      <c r="AF771" s="53">
        <f>IF(OR(P771="",AB771=""),"",IF(OR(P771="Gasto",P771="Transferencia",P771="Pago tarjeta"),-1,1)*IF(IFERROR(INDEX(ctaMoneda,MATCH(AB771,ctaNombre,0))&amp;"","DOP")="USD",T771,S771))</f>
        <v/>
      </c>
      <c r="AG771" s="53">
        <f>IF(AC771="","",IF(IFERROR(INDEX(ctaMoneda,MATCH(AC771,ctaNombre,0))&amp;"","DOP")="USD",T771,S771))</f>
        <v/>
      </c>
      <c r="AH771" s="53">
        <f>IF(P771="","",IF(AND(AD771&lt;&gt;"",COUNTIFS(tcTipo,AD771,tcLiq,"Sí")&gt;0),IF(OR(P771="Gasto",P771="Transferencia",P771="Pago tarjeta"),-1,1)*S771,0)+IF(AND(AE771&lt;&gt;"",COUNTIFS(tcTipo,AE771,tcLiq,"Sí")&gt;0),S771,0))</f>
        <v/>
      </c>
      <c r="AI771" s="52">
        <f>IF(OR(L771="",P771=""),"",IF(COUNTIFS(L$6:L771,L771,P$6:P771,"?*")=1,MAX(AI$5:AI770)+1,""))</f>
        <v/>
      </c>
    </row>
    <row r="772">
      <c r="B772" s="47" t="n"/>
      <c r="C772" s="48" t="n"/>
      <c r="D772" s="48" t="n"/>
      <c r="E772" s="48" t="n"/>
      <c r="F772" s="48" t="n"/>
      <c r="G772" s="49" t="n"/>
      <c r="H772" s="48" t="n"/>
      <c r="I772" s="50" t="n"/>
      <c r="J772" s="48" t="n"/>
      <c r="K772" s="48" t="n"/>
      <c r="L772" s="48" t="n"/>
      <c r="M772" s="48" t="n"/>
      <c r="N772" s="48" t="n"/>
      <c r="O772" s="51">
        <f>IF(AND(B772="",G772="",C772="",D772="",J772=""),"",IF(B772="","⚠ Falta fecha",IF(G772="","⚠ Falta monto",IF(Q772="","⚠ Falta cuenta",IF(ISNA(MATCH(Q772,ctaNombre,0)),"⚠ Cuenta no registrada",IF(AND(OR(P772="Gasto",P772="Reembolso"),D772=""),"⚠ Falta categoría",IF(AND(D772&lt;&gt;"",E772&lt;&gt;"",ISNA(MATCH(D772&amp;"|"&amp;E772,catClave,0))),"⚠ Subcategoría no corresponde",IF(AND(OR(P772="Transferencia",P772="Pago tarjeta"),K772=""),"⚠ Falta cuenta destino",IF(AND(K772&lt;&gt;"",P772&lt;&gt;"Transferencia",P772&lt;&gt;"Pago tarjeta"),"⚠ Destino solo aplica a transferencias",IF(AND(K772&lt;&gt;"",K772=Q772),"⚠ Origen igual a destino",IF(AND(K772&lt;&gt;"",ISNA(MATCH(K772,ctaNombre,0))),"⚠ Destino no registrado",IF(AND(P772="Pago tarjeta",AE772&lt;&gt;"Tarjeta de crédito"),"⚠ El destino debe ser tarjeta de crédito",IF(AND(P772="Gasto",E772="Depósitos y retiros"),"⚠ Usa tipo Transferencia",IF(AND(P772="Resultado trading",AD772&lt;&gt;"Cuenta de trading"),"⚠ Usa una cuenta de trading",IF(AND(G772&lt;=0,P772&lt;&gt;"Ajuste",P772&lt;&gt;"Resultado trading"),"⚠ El monto debe ser positivo","✓")))))))))))))))</f>
        <v/>
      </c>
      <c r="P772" s="52">
        <f>IF(OR(B772="",G772=""),"",IF(C772="","Gasto",C772))</f>
        <v/>
      </c>
      <c r="Q772" s="52">
        <f>IF(P772="","",IF(J772&lt;&gt;"",J772,CuentaPred&amp;""))</f>
        <v/>
      </c>
      <c r="R772" s="52">
        <f>IF(P772="","",IF(ISNUMBER(I772),I772,TasaUSD))</f>
        <v/>
      </c>
      <c r="S772" s="53">
        <f>IF(P772="","",IF(H772="USD",G772*R772,G772))</f>
        <v/>
      </c>
      <c r="T772" s="53">
        <f>IF(P772="","",IF(H772="USD",G772,IF(R772&gt;0,G772/R772,0)))</f>
        <v/>
      </c>
      <c r="U772" s="53">
        <f>IF(P772="","",IF(P772="Gasto",S772,IF(P772="Reembolso",-S772,0)))</f>
        <v/>
      </c>
      <c r="V772" s="53">
        <f>IF(P772="","",IF(P772="Ingreso",S772,0))</f>
        <v/>
      </c>
      <c r="W772" s="53">
        <f>IF(P772="","",IF(P772="Resultado trading",S772,0))</f>
        <v/>
      </c>
      <c r="X772" s="52">
        <f>IF(OR(P772="Gasto",P772="Reembolso"),IF(M772&lt;&gt;"",M772,IFERROR(INDEX(catClasif,MATCH(D772&amp;"|"&amp;E772,catClave,0))&amp;"","Variable")),"")</f>
        <v/>
      </c>
      <c r="Y772" s="52">
        <f>IF(P772="","",IFERROR(INDEX(catGrupo,MATCH(D772&amp;"|"&amp;E772,catClave,0))&amp;"",""))</f>
        <v/>
      </c>
      <c r="Z772" s="52">
        <f>IF(P772="","",WEEKDAY(B772,2))</f>
        <v/>
      </c>
      <c r="AA772" s="52">
        <f>IF(P772="","",IF(AND(P772="Gasto",X772="Variable",D772&lt;&gt;catTrading,S772&gt;0,S772&lt;=Umbral),1,0))</f>
        <v/>
      </c>
      <c r="AB772" s="52">
        <f>IF(OR(P772="",Q772=""),"",IFERROR(IF(INDEX(ctaVinc,MATCH(Q772,ctaNombre,0))&amp;""&lt;&gt;"",INDEX(ctaVinc,MATCH(Q772,ctaNombre,0))&amp;"",Q772),Q772))</f>
        <v/>
      </c>
      <c r="AC772" s="52">
        <f>IF(OR(K772="",AND(P772&lt;&gt;"Transferencia",P772&lt;&gt;"Pago tarjeta")),"",IFERROR(IF(INDEX(ctaVinc,MATCH(K772,ctaNombre,0))&amp;""&lt;&gt;"",INDEX(ctaVinc,MATCH(K772,ctaNombre,0))&amp;"",K772),K772))</f>
        <v/>
      </c>
      <c r="AD772" s="52">
        <f>IF(AB772="","",IFERROR(INDEX(ctaTipo,MATCH(AB772,ctaNombre,0))&amp;"",""))</f>
        <v/>
      </c>
      <c r="AE772" s="52">
        <f>IF(AC772="","",IFERROR(INDEX(ctaTipo,MATCH(AC772,ctaNombre,0))&amp;"",""))</f>
        <v/>
      </c>
      <c r="AF772" s="53">
        <f>IF(OR(P772="",AB772=""),"",IF(OR(P772="Gasto",P772="Transferencia",P772="Pago tarjeta"),-1,1)*IF(IFERROR(INDEX(ctaMoneda,MATCH(AB772,ctaNombre,0))&amp;"","DOP")="USD",T772,S772))</f>
        <v/>
      </c>
      <c r="AG772" s="53">
        <f>IF(AC772="","",IF(IFERROR(INDEX(ctaMoneda,MATCH(AC772,ctaNombre,0))&amp;"","DOP")="USD",T772,S772))</f>
        <v/>
      </c>
      <c r="AH772" s="53">
        <f>IF(P772="","",IF(AND(AD772&lt;&gt;"",COUNTIFS(tcTipo,AD772,tcLiq,"Sí")&gt;0),IF(OR(P772="Gasto",P772="Transferencia",P772="Pago tarjeta"),-1,1)*S772,0)+IF(AND(AE772&lt;&gt;"",COUNTIFS(tcTipo,AE772,tcLiq,"Sí")&gt;0),S772,0))</f>
        <v/>
      </c>
      <c r="AI772" s="52">
        <f>IF(OR(L772="",P772=""),"",IF(COUNTIFS(L$6:L772,L772,P$6:P772,"?*")=1,MAX(AI$5:AI771)+1,""))</f>
        <v/>
      </c>
    </row>
    <row r="773">
      <c r="B773" s="47" t="n"/>
      <c r="C773" s="48" t="n"/>
      <c r="D773" s="48" t="n"/>
      <c r="E773" s="48" t="n"/>
      <c r="F773" s="48" t="n"/>
      <c r="G773" s="49" t="n"/>
      <c r="H773" s="48" t="n"/>
      <c r="I773" s="50" t="n"/>
      <c r="J773" s="48" t="n"/>
      <c r="K773" s="48" t="n"/>
      <c r="L773" s="48" t="n"/>
      <c r="M773" s="48" t="n"/>
      <c r="N773" s="48" t="n"/>
      <c r="O773" s="51">
        <f>IF(AND(B773="",G773="",C773="",D773="",J773=""),"",IF(B773="","⚠ Falta fecha",IF(G773="","⚠ Falta monto",IF(Q773="","⚠ Falta cuenta",IF(ISNA(MATCH(Q773,ctaNombre,0)),"⚠ Cuenta no registrada",IF(AND(OR(P773="Gasto",P773="Reembolso"),D773=""),"⚠ Falta categoría",IF(AND(D773&lt;&gt;"",E773&lt;&gt;"",ISNA(MATCH(D773&amp;"|"&amp;E773,catClave,0))),"⚠ Subcategoría no corresponde",IF(AND(OR(P773="Transferencia",P773="Pago tarjeta"),K773=""),"⚠ Falta cuenta destino",IF(AND(K773&lt;&gt;"",P773&lt;&gt;"Transferencia",P773&lt;&gt;"Pago tarjeta"),"⚠ Destino solo aplica a transferencias",IF(AND(K773&lt;&gt;"",K773=Q773),"⚠ Origen igual a destino",IF(AND(K773&lt;&gt;"",ISNA(MATCH(K773,ctaNombre,0))),"⚠ Destino no registrado",IF(AND(P773="Pago tarjeta",AE773&lt;&gt;"Tarjeta de crédito"),"⚠ El destino debe ser tarjeta de crédito",IF(AND(P773="Gasto",E773="Depósitos y retiros"),"⚠ Usa tipo Transferencia",IF(AND(P773="Resultado trading",AD773&lt;&gt;"Cuenta de trading"),"⚠ Usa una cuenta de trading",IF(AND(G773&lt;=0,P773&lt;&gt;"Ajuste",P773&lt;&gt;"Resultado trading"),"⚠ El monto debe ser positivo","✓")))))))))))))))</f>
        <v/>
      </c>
      <c r="P773" s="52">
        <f>IF(OR(B773="",G773=""),"",IF(C773="","Gasto",C773))</f>
        <v/>
      </c>
      <c r="Q773" s="52">
        <f>IF(P773="","",IF(J773&lt;&gt;"",J773,CuentaPred&amp;""))</f>
        <v/>
      </c>
      <c r="R773" s="52">
        <f>IF(P773="","",IF(ISNUMBER(I773),I773,TasaUSD))</f>
        <v/>
      </c>
      <c r="S773" s="53">
        <f>IF(P773="","",IF(H773="USD",G773*R773,G773))</f>
        <v/>
      </c>
      <c r="T773" s="53">
        <f>IF(P773="","",IF(H773="USD",G773,IF(R773&gt;0,G773/R773,0)))</f>
        <v/>
      </c>
      <c r="U773" s="53">
        <f>IF(P773="","",IF(P773="Gasto",S773,IF(P773="Reembolso",-S773,0)))</f>
        <v/>
      </c>
      <c r="V773" s="53">
        <f>IF(P773="","",IF(P773="Ingreso",S773,0))</f>
        <v/>
      </c>
      <c r="W773" s="53">
        <f>IF(P773="","",IF(P773="Resultado trading",S773,0))</f>
        <v/>
      </c>
      <c r="X773" s="52">
        <f>IF(OR(P773="Gasto",P773="Reembolso"),IF(M773&lt;&gt;"",M773,IFERROR(INDEX(catClasif,MATCH(D773&amp;"|"&amp;E773,catClave,0))&amp;"","Variable")),"")</f>
        <v/>
      </c>
      <c r="Y773" s="52">
        <f>IF(P773="","",IFERROR(INDEX(catGrupo,MATCH(D773&amp;"|"&amp;E773,catClave,0))&amp;"",""))</f>
        <v/>
      </c>
      <c r="Z773" s="52">
        <f>IF(P773="","",WEEKDAY(B773,2))</f>
        <v/>
      </c>
      <c r="AA773" s="52">
        <f>IF(P773="","",IF(AND(P773="Gasto",X773="Variable",D773&lt;&gt;catTrading,S773&gt;0,S773&lt;=Umbral),1,0))</f>
        <v/>
      </c>
      <c r="AB773" s="52">
        <f>IF(OR(P773="",Q773=""),"",IFERROR(IF(INDEX(ctaVinc,MATCH(Q773,ctaNombre,0))&amp;""&lt;&gt;"",INDEX(ctaVinc,MATCH(Q773,ctaNombre,0))&amp;"",Q773),Q773))</f>
        <v/>
      </c>
      <c r="AC773" s="52">
        <f>IF(OR(K773="",AND(P773&lt;&gt;"Transferencia",P773&lt;&gt;"Pago tarjeta")),"",IFERROR(IF(INDEX(ctaVinc,MATCH(K773,ctaNombre,0))&amp;""&lt;&gt;"",INDEX(ctaVinc,MATCH(K773,ctaNombre,0))&amp;"",K773),K773))</f>
        <v/>
      </c>
      <c r="AD773" s="52">
        <f>IF(AB773="","",IFERROR(INDEX(ctaTipo,MATCH(AB773,ctaNombre,0))&amp;"",""))</f>
        <v/>
      </c>
      <c r="AE773" s="52">
        <f>IF(AC773="","",IFERROR(INDEX(ctaTipo,MATCH(AC773,ctaNombre,0))&amp;"",""))</f>
        <v/>
      </c>
      <c r="AF773" s="53">
        <f>IF(OR(P773="",AB773=""),"",IF(OR(P773="Gasto",P773="Transferencia",P773="Pago tarjeta"),-1,1)*IF(IFERROR(INDEX(ctaMoneda,MATCH(AB773,ctaNombre,0))&amp;"","DOP")="USD",T773,S773))</f>
        <v/>
      </c>
      <c r="AG773" s="53">
        <f>IF(AC773="","",IF(IFERROR(INDEX(ctaMoneda,MATCH(AC773,ctaNombre,0))&amp;"","DOP")="USD",T773,S773))</f>
        <v/>
      </c>
      <c r="AH773" s="53">
        <f>IF(P773="","",IF(AND(AD773&lt;&gt;"",COUNTIFS(tcTipo,AD773,tcLiq,"Sí")&gt;0),IF(OR(P773="Gasto",P773="Transferencia",P773="Pago tarjeta"),-1,1)*S773,0)+IF(AND(AE773&lt;&gt;"",COUNTIFS(tcTipo,AE773,tcLiq,"Sí")&gt;0),S773,0))</f>
        <v/>
      </c>
      <c r="AI773" s="52">
        <f>IF(OR(L773="",P773=""),"",IF(COUNTIFS(L$6:L773,L773,P$6:P773,"?*")=1,MAX(AI$5:AI772)+1,""))</f>
        <v/>
      </c>
    </row>
    <row r="774">
      <c r="B774" s="47" t="n"/>
      <c r="C774" s="48" t="n"/>
      <c r="D774" s="48" t="n"/>
      <c r="E774" s="48" t="n"/>
      <c r="F774" s="48" t="n"/>
      <c r="G774" s="49" t="n"/>
      <c r="H774" s="48" t="n"/>
      <c r="I774" s="50" t="n"/>
      <c r="J774" s="48" t="n"/>
      <c r="K774" s="48" t="n"/>
      <c r="L774" s="48" t="n"/>
      <c r="M774" s="48" t="n"/>
      <c r="N774" s="48" t="n"/>
      <c r="O774" s="51">
        <f>IF(AND(B774="",G774="",C774="",D774="",J774=""),"",IF(B774="","⚠ Falta fecha",IF(G774="","⚠ Falta monto",IF(Q774="","⚠ Falta cuenta",IF(ISNA(MATCH(Q774,ctaNombre,0)),"⚠ Cuenta no registrada",IF(AND(OR(P774="Gasto",P774="Reembolso"),D774=""),"⚠ Falta categoría",IF(AND(D774&lt;&gt;"",E774&lt;&gt;"",ISNA(MATCH(D774&amp;"|"&amp;E774,catClave,0))),"⚠ Subcategoría no corresponde",IF(AND(OR(P774="Transferencia",P774="Pago tarjeta"),K774=""),"⚠ Falta cuenta destino",IF(AND(K774&lt;&gt;"",P774&lt;&gt;"Transferencia",P774&lt;&gt;"Pago tarjeta"),"⚠ Destino solo aplica a transferencias",IF(AND(K774&lt;&gt;"",K774=Q774),"⚠ Origen igual a destino",IF(AND(K774&lt;&gt;"",ISNA(MATCH(K774,ctaNombre,0))),"⚠ Destino no registrado",IF(AND(P774="Pago tarjeta",AE774&lt;&gt;"Tarjeta de crédito"),"⚠ El destino debe ser tarjeta de crédito",IF(AND(P774="Gasto",E774="Depósitos y retiros"),"⚠ Usa tipo Transferencia",IF(AND(P774="Resultado trading",AD774&lt;&gt;"Cuenta de trading"),"⚠ Usa una cuenta de trading",IF(AND(G774&lt;=0,P774&lt;&gt;"Ajuste",P774&lt;&gt;"Resultado trading"),"⚠ El monto debe ser positivo","✓")))))))))))))))</f>
        <v/>
      </c>
      <c r="P774" s="52">
        <f>IF(OR(B774="",G774=""),"",IF(C774="","Gasto",C774))</f>
        <v/>
      </c>
      <c r="Q774" s="52">
        <f>IF(P774="","",IF(J774&lt;&gt;"",J774,CuentaPred&amp;""))</f>
        <v/>
      </c>
      <c r="R774" s="52">
        <f>IF(P774="","",IF(ISNUMBER(I774),I774,TasaUSD))</f>
        <v/>
      </c>
      <c r="S774" s="53">
        <f>IF(P774="","",IF(H774="USD",G774*R774,G774))</f>
        <v/>
      </c>
      <c r="T774" s="53">
        <f>IF(P774="","",IF(H774="USD",G774,IF(R774&gt;0,G774/R774,0)))</f>
        <v/>
      </c>
      <c r="U774" s="53">
        <f>IF(P774="","",IF(P774="Gasto",S774,IF(P774="Reembolso",-S774,0)))</f>
        <v/>
      </c>
      <c r="V774" s="53">
        <f>IF(P774="","",IF(P774="Ingreso",S774,0))</f>
        <v/>
      </c>
      <c r="W774" s="53">
        <f>IF(P774="","",IF(P774="Resultado trading",S774,0))</f>
        <v/>
      </c>
      <c r="X774" s="52">
        <f>IF(OR(P774="Gasto",P774="Reembolso"),IF(M774&lt;&gt;"",M774,IFERROR(INDEX(catClasif,MATCH(D774&amp;"|"&amp;E774,catClave,0))&amp;"","Variable")),"")</f>
        <v/>
      </c>
      <c r="Y774" s="52">
        <f>IF(P774="","",IFERROR(INDEX(catGrupo,MATCH(D774&amp;"|"&amp;E774,catClave,0))&amp;"",""))</f>
        <v/>
      </c>
      <c r="Z774" s="52">
        <f>IF(P774="","",WEEKDAY(B774,2))</f>
        <v/>
      </c>
      <c r="AA774" s="52">
        <f>IF(P774="","",IF(AND(P774="Gasto",X774="Variable",D774&lt;&gt;catTrading,S774&gt;0,S774&lt;=Umbral),1,0))</f>
        <v/>
      </c>
      <c r="AB774" s="52">
        <f>IF(OR(P774="",Q774=""),"",IFERROR(IF(INDEX(ctaVinc,MATCH(Q774,ctaNombre,0))&amp;""&lt;&gt;"",INDEX(ctaVinc,MATCH(Q774,ctaNombre,0))&amp;"",Q774),Q774))</f>
        <v/>
      </c>
      <c r="AC774" s="52">
        <f>IF(OR(K774="",AND(P774&lt;&gt;"Transferencia",P774&lt;&gt;"Pago tarjeta")),"",IFERROR(IF(INDEX(ctaVinc,MATCH(K774,ctaNombre,0))&amp;""&lt;&gt;"",INDEX(ctaVinc,MATCH(K774,ctaNombre,0))&amp;"",K774),K774))</f>
        <v/>
      </c>
      <c r="AD774" s="52">
        <f>IF(AB774="","",IFERROR(INDEX(ctaTipo,MATCH(AB774,ctaNombre,0))&amp;"",""))</f>
        <v/>
      </c>
      <c r="AE774" s="52">
        <f>IF(AC774="","",IFERROR(INDEX(ctaTipo,MATCH(AC774,ctaNombre,0))&amp;"",""))</f>
        <v/>
      </c>
      <c r="AF774" s="53">
        <f>IF(OR(P774="",AB774=""),"",IF(OR(P774="Gasto",P774="Transferencia",P774="Pago tarjeta"),-1,1)*IF(IFERROR(INDEX(ctaMoneda,MATCH(AB774,ctaNombre,0))&amp;"","DOP")="USD",T774,S774))</f>
        <v/>
      </c>
      <c r="AG774" s="53">
        <f>IF(AC774="","",IF(IFERROR(INDEX(ctaMoneda,MATCH(AC774,ctaNombre,0))&amp;"","DOP")="USD",T774,S774))</f>
        <v/>
      </c>
      <c r="AH774" s="53">
        <f>IF(P774="","",IF(AND(AD774&lt;&gt;"",COUNTIFS(tcTipo,AD774,tcLiq,"Sí")&gt;0),IF(OR(P774="Gasto",P774="Transferencia",P774="Pago tarjeta"),-1,1)*S774,0)+IF(AND(AE774&lt;&gt;"",COUNTIFS(tcTipo,AE774,tcLiq,"Sí")&gt;0),S774,0))</f>
        <v/>
      </c>
      <c r="AI774" s="52">
        <f>IF(OR(L774="",P774=""),"",IF(COUNTIFS(L$6:L774,L774,P$6:P774,"?*")=1,MAX(AI$5:AI773)+1,""))</f>
        <v/>
      </c>
    </row>
    <row r="775">
      <c r="B775" s="47" t="n"/>
      <c r="C775" s="48" t="n"/>
      <c r="D775" s="48" t="n"/>
      <c r="E775" s="48" t="n"/>
      <c r="F775" s="48" t="n"/>
      <c r="G775" s="49" t="n"/>
      <c r="H775" s="48" t="n"/>
      <c r="I775" s="50" t="n"/>
      <c r="J775" s="48" t="n"/>
      <c r="K775" s="48" t="n"/>
      <c r="L775" s="48" t="n"/>
      <c r="M775" s="48" t="n"/>
      <c r="N775" s="48" t="n"/>
      <c r="O775" s="51">
        <f>IF(AND(B775="",G775="",C775="",D775="",J775=""),"",IF(B775="","⚠ Falta fecha",IF(G775="","⚠ Falta monto",IF(Q775="","⚠ Falta cuenta",IF(ISNA(MATCH(Q775,ctaNombre,0)),"⚠ Cuenta no registrada",IF(AND(OR(P775="Gasto",P775="Reembolso"),D775=""),"⚠ Falta categoría",IF(AND(D775&lt;&gt;"",E775&lt;&gt;"",ISNA(MATCH(D775&amp;"|"&amp;E775,catClave,0))),"⚠ Subcategoría no corresponde",IF(AND(OR(P775="Transferencia",P775="Pago tarjeta"),K775=""),"⚠ Falta cuenta destino",IF(AND(K775&lt;&gt;"",P775&lt;&gt;"Transferencia",P775&lt;&gt;"Pago tarjeta"),"⚠ Destino solo aplica a transferencias",IF(AND(K775&lt;&gt;"",K775=Q775),"⚠ Origen igual a destino",IF(AND(K775&lt;&gt;"",ISNA(MATCH(K775,ctaNombre,0))),"⚠ Destino no registrado",IF(AND(P775="Pago tarjeta",AE775&lt;&gt;"Tarjeta de crédito"),"⚠ El destino debe ser tarjeta de crédito",IF(AND(P775="Gasto",E775="Depósitos y retiros"),"⚠ Usa tipo Transferencia",IF(AND(P775="Resultado trading",AD775&lt;&gt;"Cuenta de trading"),"⚠ Usa una cuenta de trading",IF(AND(G775&lt;=0,P775&lt;&gt;"Ajuste",P775&lt;&gt;"Resultado trading"),"⚠ El monto debe ser positivo","✓")))))))))))))))</f>
        <v/>
      </c>
      <c r="P775" s="52">
        <f>IF(OR(B775="",G775=""),"",IF(C775="","Gasto",C775))</f>
        <v/>
      </c>
      <c r="Q775" s="52">
        <f>IF(P775="","",IF(J775&lt;&gt;"",J775,CuentaPred&amp;""))</f>
        <v/>
      </c>
      <c r="R775" s="52">
        <f>IF(P775="","",IF(ISNUMBER(I775),I775,TasaUSD))</f>
        <v/>
      </c>
      <c r="S775" s="53">
        <f>IF(P775="","",IF(H775="USD",G775*R775,G775))</f>
        <v/>
      </c>
      <c r="T775" s="53">
        <f>IF(P775="","",IF(H775="USD",G775,IF(R775&gt;0,G775/R775,0)))</f>
        <v/>
      </c>
      <c r="U775" s="53">
        <f>IF(P775="","",IF(P775="Gasto",S775,IF(P775="Reembolso",-S775,0)))</f>
        <v/>
      </c>
      <c r="V775" s="53">
        <f>IF(P775="","",IF(P775="Ingreso",S775,0))</f>
        <v/>
      </c>
      <c r="W775" s="53">
        <f>IF(P775="","",IF(P775="Resultado trading",S775,0))</f>
        <v/>
      </c>
      <c r="X775" s="52">
        <f>IF(OR(P775="Gasto",P775="Reembolso"),IF(M775&lt;&gt;"",M775,IFERROR(INDEX(catClasif,MATCH(D775&amp;"|"&amp;E775,catClave,0))&amp;"","Variable")),"")</f>
        <v/>
      </c>
      <c r="Y775" s="52">
        <f>IF(P775="","",IFERROR(INDEX(catGrupo,MATCH(D775&amp;"|"&amp;E775,catClave,0))&amp;"",""))</f>
        <v/>
      </c>
      <c r="Z775" s="52">
        <f>IF(P775="","",WEEKDAY(B775,2))</f>
        <v/>
      </c>
      <c r="AA775" s="52">
        <f>IF(P775="","",IF(AND(P775="Gasto",X775="Variable",D775&lt;&gt;catTrading,S775&gt;0,S775&lt;=Umbral),1,0))</f>
        <v/>
      </c>
      <c r="AB775" s="52">
        <f>IF(OR(P775="",Q775=""),"",IFERROR(IF(INDEX(ctaVinc,MATCH(Q775,ctaNombre,0))&amp;""&lt;&gt;"",INDEX(ctaVinc,MATCH(Q775,ctaNombre,0))&amp;"",Q775),Q775))</f>
        <v/>
      </c>
      <c r="AC775" s="52">
        <f>IF(OR(K775="",AND(P775&lt;&gt;"Transferencia",P775&lt;&gt;"Pago tarjeta")),"",IFERROR(IF(INDEX(ctaVinc,MATCH(K775,ctaNombre,0))&amp;""&lt;&gt;"",INDEX(ctaVinc,MATCH(K775,ctaNombre,0))&amp;"",K775),K775))</f>
        <v/>
      </c>
      <c r="AD775" s="52">
        <f>IF(AB775="","",IFERROR(INDEX(ctaTipo,MATCH(AB775,ctaNombre,0))&amp;"",""))</f>
        <v/>
      </c>
      <c r="AE775" s="52">
        <f>IF(AC775="","",IFERROR(INDEX(ctaTipo,MATCH(AC775,ctaNombre,0))&amp;"",""))</f>
        <v/>
      </c>
      <c r="AF775" s="53">
        <f>IF(OR(P775="",AB775=""),"",IF(OR(P775="Gasto",P775="Transferencia",P775="Pago tarjeta"),-1,1)*IF(IFERROR(INDEX(ctaMoneda,MATCH(AB775,ctaNombre,0))&amp;"","DOP")="USD",T775,S775))</f>
        <v/>
      </c>
      <c r="AG775" s="53">
        <f>IF(AC775="","",IF(IFERROR(INDEX(ctaMoneda,MATCH(AC775,ctaNombre,0))&amp;"","DOP")="USD",T775,S775))</f>
        <v/>
      </c>
      <c r="AH775" s="53">
        <f>IF(P775="","",IF(AND(AD775&lt;&gt;"",COUNTIFS(tcTipo,AD775,tcLiq,"Sí")&gt;0),IF(OR(P775="Gasto",P775="Transferencia",P775="Pago tarjeta"),-1,1)*S775,0)+IF(AND(AE775&lt;&gt;"",COUNTIFS(tcTipo,AE775,tcLiq,"Sí")&gt;0),S775,0))</f>
        <v/>
      </c>
      <c r="AI775" s="52">
        <f>IF(OR(L775="",P775=""),"",IF(COUNTIFS(L$6:L775,L775,P$6:P775,"?*")=1,MAX(AI$5:AI774)+1,""))</f>
        <v/>
      </c>
    </row>
    <row r="776">
      <c r="B776" s="47" t="n"/>
      <c r="C776" s="48" t="n"/>
      <c r="D776" s="48" t="n"/>
      <c r="E776" s="48" t="n"/>
      <c r="F776" s="48" t="n"/>
      <c r="G776" s="49" t="n"/>
      <c r="H776" s="48" t="n"/>
      <c r="I776" s="50" t="n"/>
      <c r="J776" s="48" t="n"/>
      <c r="K776" s="48" t="n"/>
      <c r="L776" s="48" t="n"/>
      <c r="M776" s="48" t="n"/>
      <c r="N776" s="48" t="n"/>
      <c r="O776" s="51">
        <f>IF(AND(B776="",G776="",C776="",D776="",J776=""),"",IF(B776="","⚠ Falta fecha",IF(G776="","⚠ Falta monto",IF(Q776="","⚠ Falta cuenta",IF(ISNA(MATCH(Q776,ctaNombre,0)),"⚠ Cuenta no registrada",IF(AND(OR(P776="Gasto",P776="Reembolso"),D776=""),"⚠ Falta categoría",IF(AND(D776&lt;&gt;"",E776&lt;&gt;"",ISNA(MATCH(D776&amp;"|"&amp;E776,catClave,0))),"⚠ Subcategoría no corresponde",IF(AND(OR(P776="Transferencia",P776="Pago tarjeta"),K776=""),"⚠ Falta cuenta destino",IF(AND(K776&lt;&gt;"",P776&lt;&gt;"Transferencia",P776&lt;&gt;"Pago tarjeta"),"⚠ Destino solo aplica a transferencias",IF(AND(K776&lt;&gt;"",K776=Q776),"⚠ Origen igual a destino",IF(AND(K776&lt;&gt;"",ISNA(MATCH(K776,ctaNombre,0))),"⚠ Destino no registrado",IF(AND(P776="Pago tarjeta",AE776&lt;&gt;"Tarjeta de crédito"),"⚠ El destino debe ser tarjeta de crédito",IF(AND(P776="Gasto",E776="Depósitos y retiros"),"⚠ Usa tipo Transferencia",IF(AND(P776="Resultado trading",AD776&lt;&gt;"Cuenta de trading"),"⚠ Usa una cuenta de trading",IF(AND(G776&lt;=0,P776&lt;&gt;"Ajuste",P776&lt;&gt;"Resultado trading"),"⚠ El monto debe ser positivo","✓")))))))))))))))</f>
        <v/>
      </c>
      <c r="P776" s="52">
        <f>IF(OR(B776="",G776=""),"",IF(C776="","Gasto",C776))</f>
        <v/>
      </c>
      <c r="Q776" s="52">
        <f>IF(P776="","",IF(J776&lt;&gt;"",J776,CuentaPred&amp;""))</f>
        <v/>
      </c>
      <c r="R776" s="52">
        <f>IF(P776="","",IF(ISNUMBER(I776),I776,TasaUSD))</f>
        <v/>
      </c>
      <c r="S776" s="53">
        <f>IF(P776="","",IF(H776="USD",G776*R776,G776))</f>
        <v/>
      </c>
      <c r="T776" s="53">
        <f>IF(P776="","",IF(H776="USD",G776,IF(R776&gt;0,G776/R776,0)))</f>
        <v/>
      </c>
      <c r="U776" s="53">
        <f>IF(P776="","",IF(P776="Gasto",S776,IF(P776="Reembolso",-S776,0)))</f>
        <v/>
      </c>
      <c r="V776" s="53">
        <f>IF(P776="","",IF(P776="Ingreso",S776,0))</f>
        <v/>
      </c>
      <c r="W776" s="53">
        <f>IF(P776="","",IF(P776="Resultado trading",S776,0))</f>
        <v/>
      </c>
      <c r="X776" s="52">
        <f>IF(OR(P776="Gasto",P776="Reembolso"),IF(M776&lt;&gt;"",M776,IFERROR(INDEX(catClasif,MATCH(D776&amp;"|"&amp;E776,catClave,0))&amp;"","Variable")),"")</f>
        <v/>
      </c>
      <c r="Y776" s="52">
        <f>IF(P776="","",IFERROR(INDEX(catGrupo,MATCH(D776&amp;"|"&amp;E776,catClave,0))&amp;"",""))</f>
        <v/>
      </c>
      <c r="Z776" s="52">
        <f>IF(P776="","",WEEKDAY(B776,2))</f>
        <v/>
      </c>
      <c r="AA776" s="52">
        <f>IF(P776="","",IF(AND(P776="Gasto",X776="Variable",D776&lt;&gt;catTrading,S776&gt;0,S776&lt;=Umbral),1,0))</f>
        <v/>
      </c>
      <c r="AB776" s="52">
        <f>IF(OR(P776="",Q776=""),"",IFERROR(IF(INDEX(ctaVinc,MATCH(Q776,ctaNombre,0))&amp;""&lt;&gt;"",INDEX(ctaVinc,MATCH(Q776,ctaNombre,0))&amp;"",Q776),Q776))</f>
        <v/>
      </c>
      <c r="AC776" s="52">
        <f>IF(OR(K776="",AND(P776&lt;&gt;"Transferencia",P776&lt;&gt;"Pago tarjeta")),"",IFERROR(IF(INDEX(ctaVinc,MATCH(K776,ctaNombre,0))&amp;""&lt;&gt;"",INDEX(ctaVinc,MATCH(K776,ctaNombre,0))&amp;"",K776),K776))</f>
        <v/>
      </c>
      <c r="AD776" s="52">
        <f>IF(AB776="","",IFERROR(INDEX(ctaTipo,MATCH(AB776,ctaNombre,0))&amp;"",""))</f>
        <v/>
      </c>
      <c r="AE776" s="52">
        <f>IF(AC776="","",IFERROR(INDEX(ctaTipo,MATCH(AC776,ctaNombre,0))&amp;"",""))</f>
        <v/>
      </c>
      <c r="AF776" s="53">
        <f>IF(OR(P776="",AB776=""),"",IF(OR(P776="Gasto",P776="Transferencia",P776="Pago tarjeta"),-1,1)*IF(IFERROR(INDEX(ctaMoneda,MATCH(AB776,ctaNombre,0))&amp;"","DOP")="USD",T776,S776))</f>
        <v/>
      </c>
      <c r="AG776" s="53">
        <f>IF(AC776="","",IF(IFERROR(INDEX(ctaMoneda,MATCH(AC776,ctaNombre,0))&amp;"","DOP")="USD",T776,S776))</f>
        <v/>
      </c>
      <c r="AH776" s="53">
        <f>IF(P776="","",IF(AND(AD776&lt;&gt;"",COUNTIFS(tcTipo,AD776,tcLiq,"Sí")&gt;0),IF(OR(P776="Gasto",P776="Transferencia",P776="Pago tarjeta"),-1,1)*S776,0)+IF(AND(AE776&lt;&gt;"",COUNTIFS(tcTipo,AE776,tcLiq,"Sí")&gt;0),S776,0))</f>
        <v/>
      </c>
      <c r="AI776" s="52">
        <f>IF(OR(L776="",P776=""),"",IF(COUNTIFS(L$6:L776,L776,P$6:P776,"?*")=1,MAX(AI$5:AI775)+1,""))</f>
        <v/>
      </c>
    </row>
    <row r="777">
      <c r="B777" s="47" t="n"/>
      <c r="C777" s="48" t="n"/>
      <c r="D777" s="48" t="n"/>
      <c r="E777" s="48" t="n"/>
      <c r="F777" s="48" t="n"/>
      <c r="G777" s="49" t="n"/>
      <c r="H777" s="48" t="n"/>
      <c r="I777" s="50" t="n"/>
      <c r="J777" s="48" t="n"/>
      <c r="K777" s="48" t="n"/>
      <c r="L777" s="48" t="n"/>
      <c r="M777" s="48" t="n"/>
      <c r="N777" s="48" t="n"/>
      <c r="O777" s="51">
        <f>IF(AND(B777="",G777="",C777="",D777="",J777=""),"",IF(B777="","⚠ Falta fecha",IF(G777="","⚠ Falta monto",IF(Q777="","⚠ Falta cuenta",IF(ISNA(MATCH(Q777,ctaNombre,0)),"⚠ Cuenta no registrada",IF(AND(OR(P777="Gasto",P777="Reembolso"),D777=""),"⚠ Falta categoría",IF(AND(D777&lt;&gt;"",E777&lt;&gt;"",ISNA(MATCH(D777&amp;"|"&amp;E777,catClave,0))),"⚠ Subcategoría no corresponde",IF(AND(OR(P777="Transferencia",P777="Pago tarjeta"),K777=""),"⚠ Falta cuenta destino",IF(AND(K777&lt;&gt;"",P777&lt;&gt;"Transferencia",P777&lt;&gt;"Pago tarjeta"),"⚠ Destino solo aplica a transferencias",IF(AND(K777&lt;&gt;"",K777=Q777),"⚠ Origen igual a destino",IF(AND(K777&lt;&gt;"",ISNA(MATCH(K777,ctaNombre,0))),"⚠ Destino no registrado",IF(AND(P777="Pago tarjeta",AE777&lt;&gt;"Tarjeta de crédito"),"⚠ El destino debe ser tarjeta de crédito",IF(AND(P777="Gasto",E777="Depósitos y retiros"),"⚠ Usa tipo Transferencia",IF(AND(P777="Resultado trading",AD777&lt;&gt;"Cuenta de trading"),"⚠ Usa una cuenta de trading",IF(AND(G777&lt;=0,P777&lt;&gt;"Ajuste",P777&lt;&gt;"Resultado trading"),"⚠ El monto debe ser positivo","✓")))))))))))))))</f>
        <v/>
      </c>
      <c r="P777" s="52">
        <f>IF(OR(B777="",G777=""),"",IF(C777="","Gasto",C777))</f>
        <v/>
      </c>
      <c r="Q777" s="52">
        <f>IF(P777="","",IF(J777&lt;&gt;"",J777,CuentaPred&amp;""))</f>
        <v/>
      </c>
      <c r="R777" s="52">
        <f>IF(P777="","",IF(ISNUMBER(I777),I777,TasaUSD))</f>
        <v/>
      </c>
      <c r="S777" s="53">
        <f>IF(P777="","",IF(H777="USD",G777*R777,G777))</f>
        <v/>
      </c>
      <c r="T777" s="53">
        <f>IF(P777="","",IF(H777="USD",G777,IF(R777&gt;0,G777/R777,0)))</f>
        <v/>
      </c>
      <c r="U777" s="53">
        <f>IF(P777="","",IF(P777="Gasto",S777,IF(P777="Reembolso",-S777,0)))</f>
        <v/>
      </c>
      <c r="V777" s="53">
        <f>IF(P777="","",IF(P777="Ingreso",S777,0))</f>
        <v/>
      </c>
      <c r="W777" s="53">
        <f>IF(P777="","",IF(P777="Resultado trading",S777,0))</f>
        <v/>
      </c>
      <c r="X777" s="52">
        <f>IF(OR(P777="Gasto",P777="Reembolso"),IF(M777&lt;&gt;"",M777,IFERROR(INDEX(catClasif,MATCH(D777&amp;"|"&amp;E777,catClave,0))&amp;"","Variable")),"")</f>
        <v/>
      </c>
      <c r="Y777" s="52">
        <f>IF(P777="","",IFERROR(INDEX(catGrupo,MATCH(D777&amp;"|"&amp;E777,catClave,0))&amp;"",""))</f>
        <v/>
      </c>
      <c r="Z777" s="52">
        <f>IF(P777="","",WEEKDAY(B777,2))</f>
        <v/>
      </c>
      <c r="AA777" s="52">
        <f>IF(P777="","",IF(AND(P777="Gasto",X777="Variable",D777&lt;&gt;catTrading,S777&gt;0,S777&lt;=Umbral),1,0))</f>
        <v/>
      </c>
      <c r="AB777" s="52">
        <f>IF(OR(P777="",Q777=""),"",IFERROR(IF(INDEX(ctaVinc,MATCH(Q777,ctaNombre,0))&amp;""&lt;&gt;"",INDEX(ctaVinc,MATCH(Q777,ctaNombre,0))&amp;"",Q777),Q777))</f>
        <v/>
      </c>
      <c r="AC777" s="52">
        <f>IF(OR(K777="",AND(P777&lt;&gt;"Transferencia",P777&lt;&gt;"Pago tarjeta")),"",IFERROR(IF(INDEX(ctaVinc,MATCH(K777,ctaNombre,0))&amp;""&lt;&gt;"",INDEX(ctaVinc,MATCH(K777,ctaNombre,0))&amp;"",K777),K777))</f>
        <v/>
      </c>
      <c r="AD777" s="52">
        <f>IF(AB777="","",IFERROR(INDEX(ctaTipo,MATCH(AB777,ctaNombre,0))&amp;"",""))</f>
        <v/>
      </c>
      <c r="AE777" s="52">
        <f>IF(AC777="","",IFERROR(INDEX(ctaTipo,MATCH(AC777,ctaNombre,0))&amp;"",""))</f>
        <v/>
      </c>
      <c r="AF777" s="53">
        <f>IF(OR(P777="",AB777=""),"",IF(OR(P777="Gasto",P777="Transferencia",P777="Pago tarjeta"),-1,1)*IF(IFERROR(INDEX(ctaMoneda,MATCH(AB777,ctaNombre,0))&amp;"","DOP")="USD",T777,S777))</f>
        <v/>
      </c>
      <c r="AG777" s="53">
        <f>IF(AC777="","",IF(IFERROR(INDEX(ctaMoneda,MATCH(AC777,ctaNombre,0))&amp;"","DOP")="USD",T777,S777))</f>
        <v/>
      </c>
      <c r="AH777" s="53">
        <f>IF(P777="","",IF(AND(AD777&lt;&gt;"",COUNTIFS(tcTipo,AD777,tcLiq,"Sí")&gt;0),IF(OR(P777="Gasto",P777="Transferencia",P777="Pago tarjeta"),-1,1)*S777,0)+IF(AND(AE777&lt;&gt;"",COUNTIFS(tcTipo,AE777,tcLiq,"Sí")&gt;0),S777,0))</f>
        <v/>
      </c>
      <c r="AI777" s="52">
        <f>IF(OR(L777="",P777=""),"",IF(COUNTIFS(L$6:L777,L777,P$6:P777,"?*")=1,MAX(AI$5:AI776)+1,""))</f>
        <v/>
      </c>
    </row>
    <row r="778">
      <c r="B778" s="47" t="n"/>
      <c r="C778" s="48" t="n"/>
      <c r="D778" s="48" t="n"/>
      <c r="E778" s="48" t="n"/>
      <c r="F778" s="48" t="n"/>
      <c r="G778" s="49" t="n"/>
      <c r="H778" s="48" t="n"/>
      <c r="I778" s="50" t="n"/>
      <c r="J778" s="48" t="n"/>
      <c r="K778" s="48" t="n"/>
      <c r="L778" s="48" t="n"/>
      <c r="M778" s="48" t="n"/>
      <c r="N778" s="48" t="n"/>
      <c r="O778" s="51">
        <f>IF(AND(B778="",G778="",C778="",D778="",J778=""),"",IF(B778="","⚠ Falta fecha",IF(G778="","⚠ Falta monto",IF(Q778="","⚠ Falta cuenta",IF(ISNA(MATCH(Q778,ctaNombre,0)),"⚠ Cuenta no registrada",IF(AND(OR(P778="Gasto",P778="Reembolso"),D778=""),"⚠ Falta categoría",IF(AND(D778&lt;&gt;"",E778&lt;&gt;"",ISNA(MATCH(D778&amp;"|"&amp;E778,catClave,0))),"⚠ Subcategoría no corresponde",IF(AND(OR(P778="Transferencia",P778="Pago tarjeta"),K778=""),"⚠ Falta cuenta destino",IF(AND(K778&lt;&gt;"",P778&lt;&gt;"Transferencia",P778&lt;&gt;"Pago tarjeta"),"⚠ Destino solo aplica a transferencias",IF(AND(K778&lt;&gt;"",K778=Q778),"⚠ Origen igual a destino",IF(AND(K778&lt;&gt;"",ISNA(MATCH(K778,ctaNombre,0))),"⚠ Destino no registrado",IF(AND(P778="Pago tarjeta",AE778&lt;&gt;"Tarjeta de crédito"),"⚠ El destino debe ser tarjeta de crédito",IF(AND(P778="Gasto",E778="Depósitos y retiros"),"⚠ Usa tipo Transferencia",IF(AND(P778="Resultado trading",AD778&lt;&gt;"Cuenta de trading"),"⚠ Usa una cuenta de trading",IF(AND(G778&lt;=0,P778&lt;&gt;"Ajuste",P778&lt;&gt;"Resultado trading"),"⚠ El monto debe ser positivo","✓")))))))))))))))</f>
        <v/>
      </c>
      <c r="P778" s="52">
        <f>IF(OR(B778="",G778=""),"",IF(C778="","Gasto",C778))</f>
        <v/>
      </c>
      <c r="Q778" s="52">
        <f>IF(P778="","",IF(J778&lt;&gt;"",J778,CuentaPred&amp;""))</f>
        <v/>
      </c>
      <c r="R778" s="52">
        <f>IF(P778="","",IF(ISNUMBER(I778),I778,TasaUSD))</f>
        <v/>
      </c>
      <c r="S778" s="53">
        <f>IF(P778="","",IF(H778="USD",G778*R778,G778))</f>
        <v/>
      </c>
      <c r="T778" s="53">
        <f>IF(P778="","",IF(H778="USD",G778,IF(R778&gt;0,G778/R778,0)))</f>
        <v/>
      </c>
      <c r="U778" s="53">
        <f>IF(P778="","",IF(P778="Gasto",S778,IF(P778="Reembolso",-S778,0)))</f>
        <v/>
      </c>
      <c r="V778" s="53">
        <f>IF(P778="","",IF(P778="Ingreso",S778,0))</f>
        <v/>
      </c>
      <c r="W778" s="53">
        <f>IF(P778="","",IF(P778="Resultado trading",S778,0))</f>
        <v/>
      </c>
      <c r="X778" s="52">
        <f>IF(OR(P778="Gasto",P778="Reembolso"),IF(M778&lt;&gt;"",M778,IFERROR(INDEX(catClasif,MATCH(D778&amp;"|"&amp;E778,catClave,0))&amp;"","Variable")),"")</f>
        <v/>
      </c>
      <c r="Y778" s="52">
        <f>IF(P778="","",IFERROR(INDEX(catGrupo,MATCH(D778&amp;"|"&amp;E778,catClave,0))&amp;"",""))</f>
        <v/>
      </c>
      <c r="Z778" s="52">
        <f>IF(P778="","",WEEKDAY(B778,2))</f>
        <v/>
      </c>
      <c r="AA778" s="52">
        <f>IF(P778="","",IF(AND(P778="Gasto",X778="Variable",D778&lt;&gt;catTrading,S778&gt;0,S778&lt;=Umbral),1,0))</f>
        <v/>
      </c>
      <c r="AB778" s="52">
        <f>IF(OR(P778="",Q778=""),"",IFERROR(IF(INDEX(ctaVinc,MATCH(Q778,ctaNombre,0))&amp;""&lt;&gt;"",INDEX(ctaVinc,MATCH(Q778,ctaNombre,0))&amp;"",Q778),Q778))</f>
        <v/>
      </c>
      <c r="AC778" s="52">
        <f>IF(OR(K778="",AND(P778&lt;&gt;"Transferencia",P778&lt;&gt;"Pago tarjeta")),"",IFERROR(IF(INDEX(ctaVinc,MATCH(K778,ctaNombre,0))&amp;""&lt;&gt;"",INDEX(ctaVinc,MATCH(K778,ctaNombre,0))&amp;"",K778),K778))</f>
        <v/>
      </c>
      <c r="AD778" s="52">
        <f>IF(AB778="","",IFERROR(INDEX(ctaTipo,MATCH(AB778,ctaNombre,0))&amp;"",""))</f>
        <v/>
      </c>
      <c r="AE778" s="52">
        <f>IF(AC778="","",IFERROR(INDEX(ctaTipo,MATCH(AC778,ctaNombre,0))&amp;"",""))</f>
        <v/>
      </c>
      <c r="AF778" s="53">
        <f>IF(OR(P778="",AB778=""),"",IF(OR(P778="Gasto",P778="Transferencia",P778="Pago tarjeta"),-1,1)*IF(IFERROR(INDEX(ctaMoneda,MATCH(AB778,ctaNombre,0))&amp;"","DOP")="USD",T778,S778))</f>
        <v/>
      </c>
      <c r="AG778" s="53">
        <f>IF(AC778="","",IF(IFERROR(INDEX(ctaMoneda,MATCH(AC778,ctaNombre,0))&amp;"","DOP")="USD",T778,S778))</f>
        <v/>
      </c>
      <c r="AH778" s="53">
        <f>IF(P778="","",IF(AND(AD778&lt;&gt;"",COUNTIFS(tcTipo,AD778,tcLiq,"Sí")&gt;0),IF(OR(P778="Gasto",P778="Transferencia",P778="Pago tarjeta"),-1,1)*S778,0)+IF(AND(AE778&lt;&gt;"",COUNTIFS(tcTipo,AE778,tcLiq,"Sí")&gt;0),S778,0))</f>
        <v/>
      </c>
      <c r="AI778" s="52">
        <f>IF(OR(L778="",P778=""),"",IF(COUNTIFS(L$6:L778,L778,P$6:P778,"?*")=1,MAX(AI$5:AI777)+1,""))</f>
        <v/>
      </c>
    </row>
    <row r="779">
      <c r="B779" s="47" t="n"/>
      <c r="C779" s="48" t="n"/>
      <c r="D779" s="48" t="n"/>
      <c r="E779" s="48" t="n"/>
      <c r="F779" s="48" t="n"/>
      <c r="G779" s="49" t="n"/>
      <c r="H779" s="48" t="n"/>
      <c r="I779" s="50" t="n"/>
      <c r="J779" s="48" t="n"/>
      <c r="K779" s="48" t="n"/>
      <c r="L779" s="48" t="n"/>
      <c r="M779" s="48" t="n"/>
      <c r="N779" s="48" t="n"/>
      <c r="O779" s="51">
        <f>IF(AND(B779="",G779="",C779="",D779="",J779=""),"",IF(B779="","⚠ Falta fecha",IF(G779="","⚠ Falta monto",IF(Q779="","⚠ Falta cuenta",IF(ISNA(MATCH(Q779,ctaNombre,0)),"⚠ Cuenta no registrada",IF(AND(OR(P779="Gasto",P779="Reembolso"),D779=""),"⚠ Falta categoría",IF(AND(D779&lt;&gt;"",E779&lt;&gt;"",ISNA(MATCH(D779&amp;"|"&amp;E779,catClave,0))),"⚠ Subcategoría no corresponde",IF(AND(OR(P779="Transferencia",P779="Pago tarjeta"),K779=""),"⚠ Falta cuenta destino",IF(AND(K779&lt;&gt;"",P779&lt;&gt;"Transferencia",P779&lt;&gt;"Pago tarjeta"),"⚠ Destino solo aplica a transferencias",IF(AND(K779&lt;&gt;"",K779=Q779),"⚠ Origen igual a destino",IF(AND(K779&lt;&gt;"",ISNA(MATCH(K779,ctaNombre,0))),"⚠ Destino no registrado",IF(AND(P779="Pago tarjeta",AE779&lt;&gt;"Tarjeta de crédito"),"⚠ El destino debe ser tarjeta de crédito",IF(AND(P779="Gasto",E779="Depósitos y retiros"),"⚠ Usa tipo Transferencia",IF(AND(P779="Resultado trading",AD779&lt;&gt;"Cuenta de trading"),"⚠ Usa una cuenta de trading",IF(AND(G779&lt;=0,P779&lt;&gt;"Ajuste",P779&lt;&gt;"Resultado trading"),"⚠ El monto debe ser positivo","✓")))))))))))))))</f>
        <v/>
      </c>
      <c r="P779" s="52">
        <f>IF(OR(B779="",G779=""),"",IF(C779="","Gasto",C779))</f>
        <v/>
      </c>
      <c r="Q779" s="52">
        <f>IF(P779="","",IF(J779&lt;&gt;"",J779,CuentaPred&amp;""))</f>
        <v/>
      </c>
      <c r="R779" s="52">
        <f>IF(P779="","",IF(ISNUMBER(I779),I779,TasaUSD))</f>
        <v/>
      </c>
      <c r="S779" s="53">
        <f>IF(P779="","",IF(H779="USD",G779*R779,G779))</f>
        <v/>
      </c>
      <c r="T779" s="53">
        <f>IF(P779="","",IF(H779="USD",G779,IF(R779&gt;0,G779/R779,0)))</f>
        <v/>
      </c>
      <c r="U779" s="53">
        <f>IF(P779="","",IF(P779="Gasto",S779,IF(P779="Reembolso",-S779,0)))</f>
        <v/>
      </c>
      <c r="V779" s="53">
        <f>IF(P779="","",IF(P779="Ingreso",S779,0))</f>
        <v/>
      </c>
      <c r="W779" s="53">
        <f>IF(P779="","",IF(P779="Resultado trading",S779,0))</f>
        <v/>
      </c>
      <c r="X779" s="52">
        <f>IF(OR(P779="Gasto",P779="Reembolso"),IF(M779&lt;&gt;"",M779,IFERROR(INDEX(catClasif,MATCH(D779&amp;"|"&amp;E779,catClave,0))&amp;"","Variable")),"")</f>
        <v/>
      </c>
      <c r="Y779" s="52">
        <f>IF(P779="","",IFERROR(INDEX(catGrupo,MATCH(D779&amp;"|"&amp;E779,catClave,0))&amp;"",""))</f>
        <v/>
      </c>
      <c r="Z779" s="52">
        <f>IF(P779="","",WEEKDAY(B779,2))</f>
        <v/>
      </c>
      <c r="AA779" s="52">
        <f>IF(P779="","",IF(AND(P779="Gasto",X779="Variable",D779&lt;&gt;catTrading,S779&gt;0,S779&lt;=Umbral),1,0))</f>
        <v/>
      </c>
      <c r="AB779" s="52">
        <f>IF(OR(P779="",Q779=""),"",IFERROR(IF(INDEX(ctaVinc,MATCH(Q779,ctaNombre,0))&amp;""&lt;&gt;"",INDEX(ctaVinc,MATCH(Q779,ctaNombre,0))&amp;"",Q779),Q779))</f>
        <v/>
      </c>
      <c r="AC779" s="52">
        <f>IF(OR(K779="",AND(P779&lt;&gt;"Transferencia",P779&lt;&gt;"Pago tarjeta")),"",IFERROR(IF(INDEX(ctaVinc,MATCH(K779,ctaNombre,0))&amp;""&lt;&gt;"",INDEX(ctaVinc,MATCH(K779,ctaNombre,0))&amp;"",K779),K779))</f>
        <v/>
      </c>
      <c r="AD779" s="52">
        <f>IF(AB779="","",IFERROR(INDEX(ctaTipo,MATCH(AB779,ctaNombre,0))&amp;"",""))</f>
        <v/>
      </c>
      <c r="AE779" s="52">
        <f>IF(AC779="","",IFERROR(INDEX(ctaTipo,MATCH(AC779,ctaNombre,0))&amp;"",""))</f>
        <v/>
      </c>
      <c r="AF779" s="53">
        <f>IF(OR(P779="",AB779=""),"",IF(OR(P779="Gasto",P779="Transferencia",P779="Pago tarjeta"),-1,1)*IF(IFERROR(INDEX(ctaMoneda,MATCH(AB779,ctaNombre,0))&amp;"","DOP")="USD",T779,S779))</f>
        <v/>
      </c>
      <c r="AG779" s="53">
        <f>IF(AC779="","",IF(IFERROR(INDEX(ctaMoneda,MATCH(AC779,ctaNombre,0))&amp;"","DOP")="USD",T779,S779))</f>
        <v/>
      </c>
      <c r="AH779" s="53">
        <f>IF(P779="","",IF(AND(AD779&lt;&gt;"",COUNTIFS(tcTipo,AD779,tcLiq,"Sí")&gt;0),IF(OR(P779="Gasto",P779="Transferencia",P779="Pago tarjeta"),-1,1)*S779,0)+IF(AND(AE779&lt;&gt;"",COUNTIFS(tcTipo,AE779,tcLiq,"Sí")&gt;0),S779,0))</f>
        <v/>
      </c>
      <c r="AI779" s="52">
        <f>IF(OR(L779="",P779=""),"",IF(COUNTIFS(L$6:L779,L779,P$6:P779,"?*")=1,MAX(AI$5:AI778)+1,""))</f>
        <v/>
      </c>
    </row>
    <row r="780">
      <c r="B780" s="47" t="n"/>
      <c r="C780" s="48" t="n"/>
      <c r="D780" s="48" t="n"/>
      <c r="E780" s="48" t="n"/>
      <c r="F780" s="48" t="n"/>
      <c r="G780" s="49" t="n"/>
      <c r="H780" s="48" t="n"/>
      <c r="I780" s="50" t="n"/>
      <c r="J780" s="48" t="n"/>
      <c r="K780" s="48" t="n"/>
      <c r="L780" s="48" t="n"/>
      <c r="M780" s="48" t="n"/>
      <c r="N780" s="48" t="n"/>
      <c r="O780" s="51">
        <f>IF(AND(B780="",G780="",C780="",D780="",J780=""),"",IF(B780="","⚠ Falta fecha",IF(G780="","⚠ Falta monto",IF(Q780="","⚠ Falta cuenta",IF(ISNA(MATCH(Q780,ctaNombre,0)),"⚠ Cuenta no registrada",IF(AND(OR(P780="Gasto",P780="Reembolso"),D780=""),"⚠ Falta categoría",IF(AND(D780&lt;&gt;"",E780&lt;&gt;"",ISNA(MATCH(D780&amp;"|"&amp;E780,catClave,0))),"⚠ Subcategoría no corresponde",IF(AND(OR(P780="Transferencia",P780="Pago tarjeta"),K780=""),"⚠ Falta cuenta destino",IF(AND(K780&lt;&gt;"",P780&lt;&gt;"Transferencia",P780&lt;&gt;"Pago tarjeta"),"⚠ Destino solo aplica a transferencias",IF(AND(K780&lt;&gt;"",K780=Q780),"⚠ Origen igual a destino",IF(AND(K780&lt;&gt;"",ISNA(MATCH(K780,ctaNombre,0))),"⚠ Destino no registrado",IF(AND(P780="Pago tarjeta",AE780&lt;&gt;"Tarjeta de crédito"),"⚠ El destino debe ser tarjeta de crédito",IF(AND(P780="Gasto",E780="Depósitos y retiros"),"⚠ Usa tipo Transferencia",IF(AND(P780="Resultado trading",AD780&lt;&gt;"Cuenta de trading"),"⚠ Usa una cuenta de trading",IF(AND(G780&lt;=0,P780&lt;&gt;"Ajuste",P780&lt;&gt;"Resultado trading"),"⚠ El monto debe ser positivo","✓")))))))))))))))</f>
        <v/>
      </c>
      <c r="P780" s="52">
        <f>IF(OR(B780="",G780=""),"",IF(C780="","Gasto",C780))</f>
        <v/>
      </c>
      <c r="Q780" s="52">
        <f>IF(P780="","",IF(J780&lt;&gt;"",J780,CuentaPred&amp;""))</f>
        <v/>
      </c>
      <c r="R780" s="52">
        <f>IF(P780="","",IF(ISNUMBER(I780),I780,TasaUSD))</f>
        <v/>
      </c>
      <c r="S780" s="53">
        <f>IF(P780="","",IF(H780="USD",G780*R780,G780))</f>
        <v/>
      </c>
      <c r="T780" s="53">
        <f>IF(P780="","",IF(H780="USD",G780,IF(R780&gt;0,G780/R780,0)))</f>
        <v/>
      </c>
      <c r="U780" s="53">
        <f>IF(P780="","",IF(P780="Gasto",S780,IF(P780="Reembolso",-S780,0)))</f>
        <v/>
      </c>
      <c r="V780" s="53">
        <f>IF(P780="","",IF(P780="Ingreso",S780,0))</f>
        <v/>
      </c>
      <c r="W780" s="53">
        <f>IF(P780="","",IF(P780="Resultado trading",S780,0))</f>
        <v/>
      </c>
      <c r="X780" s="52">
        <f>IF(OR(P780="Gasto",P780="Reembolso"),IF(M780&lt;&gt;"",M780,IFERROR(INDEX(catClasif,MATCH(D780&amp;"|"&amp;E780,catClave,0))&amp;"","Variable")),"")</f>
        <v/>
      </c>
      <c r="Y780" s="52">
        <f>IF(P780="","",IFERROR(INDEX(catGrupo,MATCH(D780&amp;"|"&amp;E780,catClave,0))&amp;"",""))</f>
        <v/>
      </c>
      <c r="Z780" s="52">
        <f>IF(P780="","",WEEKDAY(B780,2))</f>
        <v/>
      </c>
      <c r="AA780" s="52">
        <f>IF(P780="","",IF(AND(P780="Gasto",X780="Variable",D780&lt;&gt;catTrading,S780&gt;0,S780&lt;=Umbral),1,0))</f>
        <v/>
      </c>
      <c r="AB780" s="52">
        <f>IF(OR(P780="",Q780=""),"",IFERROR(IF(INDEX(ctaVinc,MATCH(Q780,ctaNombre,0))&amp;""&lt;&gt;"",INDEX(ctaVinc,MATCH(Q780,ctaNombre,0))&amp;"",Q780),Q780))</f>
        <v/>
      </c>
      <c r="AC780" s="52">
        <f>IF(OR(K780="",AND(P780&lt;&gt;"Transferencia",P780&lt;&gt;"Pago tarjeta")),"",IFERROR(IF(INDEX(ctaVinc,MATCH(K780,ctaNombre,0))&amp;""&lt;&gt;"",INDEX(ctaVinc,MATCH(K780,ctaNombre,0))&amp;"",K780),K780))</f>
        <v/>
      </c>
      <c r="AD780" s="52">
        <f>IF(AB780="","",IFERROR(INDEX(ctaTipo,MATCH(AB780,ctaNombre,0))&amp;"",""))</f>
        <v/>
      </c>
      <c r="AE780" s="52">
        <f>IF(AC780="","",IFERROR(INDEX(ctaTipo,MATCH(AC780,ctaNombre,0))&amp;"",""))</f>
        <v/>
      </c>
      <c r="AF780" s="53">
        <f>IF(OR(P780="",AB780=""),"",IF(OR(P780="Gasto",P780="Transferencia",P780="Pago tarjeta"),-1,1)*IF(IFERROR(INDEX(ctaMoneda,MATCH(AB780,ctaNombre,0))&amp;"","DOP")="USD",T780,S780))</f>
        <v/>
      </c>
      <c r="AG780" s="53">
        <f>IF(AC780="","",IF(IFERROR(INDEX(ctaMoneda,MATCH(AC780,ctaNombre,0))&amp;"","DOP")="USD",T780,S780))</f>
        <v/>
      </c>
      <c r="AH780" s="53">
        <f>IF(P780="","",IF(AND(AD780&lt;&gt;"",COUNTIFS(tcTipo,AD780,tcLiq,"Sí")&gt;0),IF(OR(P780="Gasto",P780="Transferencia",P780="Pago tarjeta"),-1,1)*S780,0)+IF(AND(AE780&lt;&gt;"",COUNTIFS(tcTipo,AE780,tcLiq,"Sí")&gt;0),S780,0))</f>
        <v/>
      </c>
      <c r="AI780" s="52">
        <f>IF(OR(L780="",P780=""),"",IF(COUNTIFS(L$6:L780,L780,P$6:P780,"?*")=1,MAX(AI$5:AI779)+1,""))</f>
        <v/>
      </c>
    </row>
    <row r="781">
      <c r="B781" s="47" t="n"/>
      <c r="C781" s="48" t="n"/>
      <c r="D781" s="48" t="n"/>
      <c r="E781" s="48" t="n"/>
      <c r="F781" s="48" t="n"/>
      <c r="G781" s="49" t="n"/>
      <c r="H781" s="48" t="n"/>
      <c r="I781" s="50" t="n"/>
      <c r="J781" s="48" t="n"/>
      <c r="K781" s="48" t="n"/>
      <c r="L781" s="48" t="n"/>
      <c r="M781" s="48" t="n"/>
      <c r="N781" s="48" t="n"/>
      <c r="O781" s="51">
        <f>IF(AND(B781="",G781="",C781="",D781="",J781=""),"",IF(B781="","⚠ Falta fecha",IF(G781="","⚠ Falta monto",IF(Q781="","⚠ Falta cuenta",IF(ISNA(MATCH(Q781,ctaNombre,0)),"⚠ Cuenta no registrada",IF(AND(OR(P781="Gasto",P781="Reembolso"),D781=""),"⚠ Falta categoría",IF(AND(D781&lt;&gt;"",E781&lt;&gt;"",ISNA(MATCH(D781&amp;"|"&amp;E781,catClave,0))),"⚠ Subcategoría no corresponde",IF(AND(OR(P781="Transferencia",P781="Pago tarjeta"),K781=""),"⚠ Falta cuenta destino",IF(AND(K781&lt;&gt;"",P781&lt;&gt;"Transferencia",P781&lt;&gt;"Pago tarjeta"),"⚠ Destino solo aplica a transferencias",IF(AND(K781&lt;&gt;"",K781=Q781),"⚠ Origen igual a destino",IF(AND(K781&lt;&gt;"",ISNA(MATCH(K781,ctaNombre,0))),"⚠ Destino no registrado",IF(AND(P781="Pago tarjeta",AE781&lt;&gt;"Tarjeta de crédito"),"⚠ El destino debe ser tarjeta de crédito",IF(AND(P781="Gasto",E781="Depósitos y retiros"),"⚠ Usa tipo Transferencia",IF(AND(P781="Resultado trading",AD781&lt;&gt;"Cuenta de trading"),"⚠ Usa una cuenta de trading",IF(AND(G781&lt;=0,P781&lt;&gt;"Ajuste",P781&lt;&gt;"Resultado trading"),"⚠ El monto debe ser positivo","✓")))))))))))))))</f>
        <v/>
      </c>
      <c r="P781" s="52">
        <f>IF(OR(B781="",G781=""),"",IF(C781="","Gasto",C781))</f>
        <v/>
      </c>
      <c r="Q781" s="52">
        <f>IF(P781="","",IF(J781&lt;&gt;"",J781,CuentaPred&amp;""))</f>
        <v/>
      </c>
      <c r="R781" s="52">
        <f>IF(P781="","",IF(ISNUMBER(I781),I781,TasaUSD))</f>
        <v/>
      </c>
      <c r="S781" s="53">
        <f>IF(P781="","",IF(H781="USD",G781*R781,G781))</f>
        <v/>
      </c>
      <c r="T781" s="53">
        <f>IF(P781="","",IF(H781="USD",G781,IF(R781&gt;0,G781/R781,0)))</f>
        <v/>
      </c>
      <c r="U781" s="53">
        <f>IF(P781="","",IF(P781="Gasto",S781,IF(P781="Reembolso",-S781,0)))</f>
        <v/>
      </c>
      <c r="V781" s="53">
        <f>IF(P781="","",IF(P781="Ingreso",S781,0))</f>
        <v/>
      </c>
      <c r="W781" s="53">
        <f>IF(P781="","",IF(P781="Resultado trading",S781,0))</f>
        <v/>
      </c>
      <c r="X781" s="52">
        <f>IF(OR(P781="Gasto",P781="Reembolso"),IF(M781&lt;&gt;"",M781,IFERROR(INDEX(catClasif,MATCH(D781&amp;"|"&amp;E781,catClave,0))&amp;"","Variable")),"")</f>
        <v/>
      </c>
      <c r="Y781" s="52">
        <f>IF(P781="","",IFERROR(INDEX(catGrupo,MATCH(D781&amp;"|"&amp;E781,catClave,0))&amp;"",""))</f>
        <v/>
      </c>
      <c r="Z781" s="52">
        <f>IF(P781="","",WEEKDAY(B781,2))</f>
        <v/>
      </c>
      <c r="AA781" s="52">
        <f>IF(P781="","",IF(AND(P781="Gasto",X781="Variable",D781&lt;&gt;catTrading,S781&gt;0,S781&lt;=Umbral),1,0))</f>
        <v/>
      </c>
      <c r="AB781" s="52">
        <f>IF(OR(P781="",Q781=""),"",IFERROR(IF(INDEX(ctaVinc,MATCH(Q781,ctaNombre,0))&amp;""&lt;&gt;"",INDEX(ctaVinc,MATCH(Q781,ctaNombre,0))&amp;"",Q781),Q781))</f>
        <v/>
      </c>
      <c r="AC781" s="52">
        <f>IF(OR(K781="",AND(P781&lt;&gt;"Transferencia",P781&lt;&gt;"Pago tarjeta")),"",IFERROR(IF(INDEX(ctaVinc,MATCH(K781,ctaNombre,0))&amp;""&lt;&gt;"",INDEX(ctaVinc,MATCH(K781,ctaNombre,0))&amp;"",K781),K781))</f>
        <v/>
      </c>
      <c r="AD781" s="52">
        <f>IF(AB781="","",IFERROR(INDEX(ctaTipo,MATCH(AB781,ctaNombre,0))&amp;"",""))</f>
        <v/>
      </c>
      <c r="AE781" s="52">
        <f>IF(AC781="","",IFERROR(INDEX(ctaTipo,MATCH(AC781,ctaNombre,0))&amp;"",""))</f>
        <v/>
      </c>
      <c r="AF781" s="53">
        <f>IF(OR(P781="",AB781=""),"",IF(OR(P781="Gasto",P781="Transferencia",P781="Pago tarjeta"),-1,1)*IF(IFERROR(INDEX(ctaMoneda,MATCH(AB781,ctaNombre,0))&amp;"","DOP")="USD",T781,S781))</f>
        <v/>
      </c>
      <c r="AG781" s="53">
        <f>IF(AC781="","",IF(IFERROR(INDEX(ctaMoneda,MATCH(AC781,ctaNombre,0))&amp;"","DOP")="USD",T781,S781))</f>
        <v/>
      </c>
      <c r="AH781" s="53">
        <f>IF(P781="","",IF(AND(AD781&lt;&gt;"",COUNTIFS(tcTipo,AD781,tcLiq,"Sí")&gt;0),IF(OR(P781="Gasto",P781="Transferencia",P781="Pago tarjeta"),-1,1)*S781,0)+IF(AND(AE781&lt;&gt;"",COUNTIFS(tcTipo,AE781,tcLiq,"Sí")&gt;0),S781,0))</f>
        <v/>
      </c>
      <c r="AI781" s="52">
        <f>IF(OR(L781="",P781=""),"",IF(COUNTIFS(L$6:L781,L781,P$6:P781,"?*")=1,MAX(AI$5:AI780)+1,""))</f>
        <v/>
      </c>
    </row>
    <row r="782">
      <c r="B782" s="47" t="n"/>
      <c r="C782" s="48" t="n"/>
      <c r="D782" s="48" t="n"/>
      <c r="E782" s="48" t="n"/>
      <c r="F782" s="48" t="n"/>
      <c r="G782" s="49" t="n"/>
      <c r="H782" s="48" t="n"/>
      <c r="I782" s="50" t="n"/>
      <c r="J782" s="48" t="n"/>
      <c r="K782" s="48" t="n"/>
      <c r="L782" s="48" t="n"/>
      <c r="M782" s="48" t="n"/>
      <c r="N782" s="48" t="n"/>
      <c r="O782" s="51">
        <f>IF(AND(B782="",G782="",C782="",D782="",J782=""),"",IF(B782="","⚠ Falta fecha",IF(G782="","⚠ Falta monto",IF(Q782="","⚠ Falta cuenta",IF(ISNA(MATCH(Q782,ctaNombre,0)),"⚠ Cuenta no registrada",IF(AND(OR(P782="Gasto",P782="Reembolso"),D782=""),"⚠ Falta categoría",IF(AND(D782&lt;&gt;"",E782&lt;&gt;"",ISNA(MATCH(D782&amp;"|"&amp;E782,catClave,0))),"⚠ Subcategoría no corresponde",IF(AND(OR(P782="Transferencia",P782="Pago tarjeta"),K782=""),"⚠ Falta cuenta destino",IF(AND(K782&lt;&gt;"",P782&lt;&gt;"Transferencia",P782&lt;&gt;"Pago tarjeta"),"⚠ Destino solo aplica a transferencias",IF(AND(K782&lt;&gt;"",K782=Q782),"⚠ Origen igual a destino",IF(AND(K782&lt;&gt;"",ISNA(MATCH(K782,ctaNombre,0))),"⚠ Destino no registrado",IF(AND(P782="Pago tarjeta",AE782&lt;&gt;"Tarjeta de crédito"),"⚠ El destino debe ser tarjeta de crédito",IF(AND(P782="Gasto",E782="Depósitos y retiros"),"⚠ Usa tipo Transferencia",IF(AND(P782="Resultado trading",AD782&lt;&gt;"Cuenta de trading"),"⚠ Usa una cuenta de trading",IF(AND(G782&lt;=0,P782&lt;&gt;"Ajuste",P782&lt;&gt;"Resultado trading"),"⚠ El monto debe ser positivo","✓")))))))))))))))</f>
        <v/>
      </c>
      <c r="P782" s="52">
        <f>IF(OR(B782="",G782=""),"",IF(C782="","Gasto",C782))</f>
        <v/>
      </c>
      <c r="Q782" s="52">
        <f>IF(P782="","",IF(J782&lt;&gt;"",J782,CuentaPred&amp;""))</f>
        <v/>
      </c>
      <c r="R782" s="52">
        <f>IF(P782="","",IF(ISNUMBER(I782),I782,TasaUSD))</f>
        <v/>
      </c>
      <c r="S782" s="53">
        <f>IF(P782="","",IF(H782="USD",G782*R782,G782))</f>
        <v/>
      </c>
      <c r="T782" s="53">
        <f>IF(P782="","",IF(H782="USD",G782,IF(R782&gt;0,G782/R782,0)))</f>
        <v/>
      </c>
      <c r="U782" s="53">
        <f>IF(P782="","",IF(P782="Gasto",S782,IF(P782="Reembolso",-S782,0)))</f>
        <v/>
      </c>
      <c r="V782" s="53">
        <f>IF(P782="","",IF(P782="Ingreso",S782,0))</f>
        <v/>
      </c>
      <c r="W782" s="53">
        <f>IF(P782="","",IF(P782="Resultado trading",S782,0))</f>
        <v/>
      </c>
      <c r="X782" s="52">
        <f>IF(OR(P782="Gasto",P782="Reembolso"),IF(M782&lt;&gt;"",M782,IFERROR(INDEX(catClasif,MATCH(D782&amp;"|"&amp;E782,catClave,0))&amp;"","Variable")),"")</f>
        <v/>
      </c>
      <c r="Y782" s="52">
        <f>IF(P782="","",IFERROR(INDEX(catGrupo,MATCH(D782&amp;"|"&amp;E782,catClave,0))&amp;"",""))</f>
        <v/>
      </c>
      <c r="Z782" s="52">
        <f>IF(P782="","",WEEKDAY(B782,2))</f>
        <v/>
      </c>
      <c r="AA782" s="52">
        <f>IF(P782="","",IF(AND(P782="Gasto",X782="Variable",D782&lt;&gt;catTrading,S782&gt;0,S782&lt;=Umbral),1,0))</f>
        <v/>
      </c>
      <c r="AB782" s="52">
        <f>IF(OR(P782="",Q782=""),"",IFERROR(IF(INDEX(ctaVinc,MATCH(Q782,ctaNombre,0))&amp;""&lt;&gt;"",INDEX(ctaVinc,MATCH(Q782,ctaNombre,0))&amp;"",Q782),Q782))</f>
        <v/>
      </c>
      <c r="AC782" s="52">
        <f>IF(OR(K782="",AND(P782&lt;&gt;"Transferencia",P782&lt;&gt;"Pago tarjeta")),"",IFERROR(IF(INDEX(ctaVinc,MATCH(K782,ctaNombre,0))&amp;""&lt;&gt;"",INDEX(ctaVinc,MATCH(K782,ctaNombre,0))&amp;"",K782),K782))</f>
        <v/>
      </c>
      <c r="AD782" s="52">
        <f>IF(AB782="","",IFERROR(INDEX(ctaTipo,MATCH(AB782,ctaNombre,0))&amp;"",""))</f>
        <v/>
      </c>
      <c r="AE782" s="52">
        <f>IF(AC782="","",IFERROR(INDEX(ctaTipo,MATCH(AC782,ctaNombre,0))&amp;"",""))</f>
        <v/>
      </c>
      <c r="AF782" s="53">
        <f>IF(OR(P782="",AB782=""),"",IF(OR(P782="Gasto",P782="Transferencia",P782="Pago tarjeta"),-1,1)*IF(IFERROR(INDEX(ctaMoneda,MATCH(AB782,ctaNombre,0))&amp;"","DOP")="USD",T782,S782))</f>
        <v/>
      </c>
      <c r="AG782" s="53">
        <f>IF(AC782="","",IF(IFERROR(INDEX(ctaMoneda,MATCH(AC782,ctaNombre,0))&amp;"","DOP")="USD",T782,S782))</f>
        <v/>
      </c>
      <c r="AH782" s="53">
        <f>IF(P782="","",IF(AND(AD782&lt;&gt;"",COUNTIFS(tcTipo,AD782,tcLiq,"Sí")&gt;0),IF(OR(P782="Gasto",P782="Transferencia",P782="Pago tarjeta"),-1,1)*S782,0)+IF(AND(AE782&lt;&gt;"",COUNTIFS(tcTipo,AE782,tcLiq,"Sí")&gt;0),S782,0))</f>
        <v/>
      </c>
      <c r="AI782" s="52">
        <f>IF(OR(L782="",P782=""),"",IF(COUNTIFS(L$6:L782,L782,P$6:P782,"?*")=1,MAX(AI$5:AI781)+1,""))</f>
        <v/>
      </c>
    </row>
    <row r="783">
      <c r="B783" s="47" t="n"/>
      <c r="C783" s="48" t="n"/>
      <c r="D783" s="48" t="n"/>
      <c r="E783" s="48" t="n"/>
      <c r="F783" s="48" t="n"/>
      <c r="G783" s="49" t="n"/>
      <c r="H783" s="48" t="n"/>
      <c r="I783" s="50" t="n"/>
      <c r="J783" s="48" t="n"/>
      <c r="K783" s="48" t="n"/>
      <c r="L783" s="48" t="n"/>
      <c r="M783" s="48" t="n"/>
      <c r="N783" s="48" t="n"/>
      <c r="O783" s="51">
        <f>IF(AND(B783="",G783="",C783="",D783="",J783=""),"",IF(B783="","⚠ Falta fecha",IF(G783="","⚠ Falta monto",IF(Q783="","⚠ Falta cuenta",IF(ISNA(MATCH(Q783,ctaNombre,0)),"⚠ Cuenta no registrada",IF(AND(OR(P783="Gasto",P783="Reembolso"),D783=""),"⚠ Falta categoría",IF(AND(D783&lt;&gt;"",E783&lt;&gt;"",ISNA(MATCH(D783&amp;"|"&amp;E783,catClave,0))),"⚠ Subcategoría no corresponde",IF(AND(OR(P783="Transferencia",P783="Pago tarjeta"),K783=""),"⚠ Falta cuenta destino",IF(AND(K783&lt;&gt;"",P783&lt;&gt;"Transferencia",P783&lt;&gt;"Pago tarjeta"),"⚠ Destino solo aplica a transferencias",IF(AND(K783&lt;&gt;"",K783=Q783),"⚠ Origen igual a destino",IF(AND(K783&lt;&gt;"",ISNA(MATCH(K783,ctaNombre,0))),"⚠ Destino no registrado",IF(AND(P783="Pago tarjeta",AE783&lt;&gt;"Tarjeta de crédito"),"⚠ El destino debe ser tarjeta de crédito",IF(AND(P783="Gasto",E783="Depósitos y retiros"),"⚠ Usa tipo Transferencia",IF(AND(P783="Resultado trading",AD783&lt;&gt;"Cuenta de trading"),"⚠ Usa una cuenta de trading",IF(AND(G783&lt;=0,P783&lt;&gt;"Ajuste",P783&lt;&gt;"Resultado trading"),"⚠ El monto debe ser positivo","✓")))))))))))))))</f>
        <v/>
      </c>
      <c r="P783" s="52">
        <f>IF(OR(B783="",G783=""),"",IF(C783="","Gasto",C783))</f>
        <v/>
      </c>
      <c r="Q783" s="52">
        <f>IF(P783="","",IF(J783&lt;&gt;"",J783,CuentaPred&amp;""))</f>
        <v/>
      </c>
      <c r="R783" s="52">
        <f>IF(P783="","",IF(ISNUMBER(I783),I783,TasaUSD))</f>
        <v/>
      </c>
      <c r="S783" s="53">
        <f>IF(P783="","",IF(H783="USD",G783*R783,G783))</f>
        <v/>
      </c>
      <c r="T783" s="53">
        <f>IF(P783="","",IF(H783="USD",G783,IF(R783&gt;0,G783/R783,0)))</f>
        <v/>
      </c>
      <c r="U783" s="53">
        <f>IF(P783="","",IF(P783="Gasto",S783,IF(P783="Reembolso",-S783,0)))</f>
        <v/>
      </c>
      <c r="V783" s="53">
        <f>IF(P783="","",IF(P783="Ingreso",S783,0))</f>
        <v/>
      </c>
      <c r="W783" s="53">
        <f>IF(P783="","",IF(P783="Resultado trading",S783,0))</f>
        <v/>
      </c>
      <c r="X783" s="52">
        <f>IF(OR(P783="Gasto",P783="Reembolso"),IF(M783&lt;&gt;"",M783,IFERROR(INDEX(catClasif,MATCH(D783&amp;"|"&amp;E783,catClave,0))&amp;"","Variable")),"")</f>
        <v/>
      </c>
      <c r="Y783" s="52">
        <f>IF(P783="","",IFERROR(INDEX(catGrupo,MATCH(D783&amp;"|"&amp;E783,catClave,0))&amp;"",""))</f>
        <v/>
      </c>
      <c r="Z783" s="52">
        <f>IF(P783="","",WEEKDAY(B783,2))</f>
        <v/>
      </c>
      <c r="AA783" s="52">
        <f>IF(P783="","",IF(AND(P783="Gasto",X783="Variable",D783&lt;&gt;catTrading,S783&gt;0,S783&lt;=Umbral),1,0))</f>
        <v/>
      </c>
      <c r="AB783" s="52">
        <f>IF(OR(P783="",Q783=""),"",IFERROR(IF(INDEX(ctaVinc,MATCH(Q783,ctaNombre,0))&amp;""&lt;&gt;"",INDEX(ctaVinc,MATCH(Q783,ctaNombre,0))&amp;"",Q783),Q783))</f>
        <v/>
      </c>
      <c r="AC783" s="52">
        <f>IF(OR(K783="",AND(P783&lt;&gt;"Transferencia",P783&lt;&gt;"Pago tarjeta")),"",IFERROR(IF(INDEX(ctaVinc,MATCH(K783,ctaNombre,0))&amp;""&lt;&gt;"",INDEX(ctaVinc,MATCH(K783,ctaNombre,0))&amp;"",K783),K783))</f>
        <v/>
      </c>
      <c r="AD783" s="52">
        <f>IF(AB783="","",IFERROR(INDEX(ctaTipo,MATCH(AB783,ctaNombre,0))&amp;"",""))</f>
        <v/>
      </c>
      <c r="AE783" s="52">
        <f>IF(AC783="","",IFERROR(INDEX(ctaTipo,MATCH(AC783,ctaNombre,0))&amp;"",""))</f>
        <v/>
      </c>
      <c r="AF783" s="53">
        <f>IF(OR(P783="",AB783=""),"",IF(OR(P783="Gasto",P783="Transferencia",P783="Pago tarjeta"),-1,1)*IF(IFERROR(INDEX(ctaMoneda,MATCH(AB783,ctaNombre,0))&amp;"","DOP")="USD",T783,S783))</f>
        <v/>
      </c>
      <c r="AG783" s="53">
        <f>IF(AC783="","",IF(IFERROR(INDEX(ctaMoneda,MATCH(AC783,ctaNombre,0))&amp;"","DOP")="USD",T783,S783))</f>
        <v/>
      </c>
      <c r="AH783" s="53">
        <f>IF(P783="","",IF(AND(AD783&lt;&gt;"",COUNTIFS(tcTipo,AD783,tcLiq,"Sí")&gt;0),IF(OR(P783="Gasto",P783="Transferencia",P783="Pago tarjeta"),-1,1)*S783,0)+IF(AND(AE783&lt;&gt;"",COUNTIFS(tcTipo,AE783,tcLiq,"Sí")&gt;0),S783,0))</f>
        <v/>
      </c>
      <c r="AI783" s="52">
        <f>IF(OR(L783="",P783=""),"",IF(COUNTIFS(L$6:L783,L783,P$6:P783,"?*")=1,MAX(AI$5:AI782)+1,""))</f>
        <v/>
      </c>
    </row>
    <row r="784">
      <c r="B784" s="47" t="n"/>
      <c r="C784" s="48" t="n"/>
      <c r="D784" s="48" t="n"/>
      <c r="E784" s="48" t="n"/>
      <c r="F784" s="48" t="n"/>
      <c r="G784" s="49" t="n"/>
      <c r="H784" s="48" t="n"/>
      <c r="I784" s="50" t="n"/>
      <c r="J784" s="48" t="n"/>
      <c r="K784" s="48" t="n"/>
      <c r="L784" s="48" t="n"/>
      <c r="M784" s="48" t="n"/>
      <c r="N784" s="48" t="n"/>
      <c r="O784" s="51">
        <f>IF(AND(B784="",G784="",C784="",D784="",J784=""),"",IF(B784="","⚠ Falta fecha",IF(G784="","⚠ Falta monto",IF(Q784="","⚠ Falta cuenta",IF(ISNA(MATCH(Q784,ctaNombre,0)),"⚠ Cuenta no registrada",IF(AND(OR(P784="Gasto",P784="Reembolso"),D784=""),"⚠ Falta categoría",IF(AND(D784&lt;&gt;"",E784&lt;&gt;"",ISNA(MATCH(D784&amp;"|"&amp;E784,catClave,0))),"⚠ Subcategoría no corresponde",IF(AND(OR(P784="Transferencia",P784="Pago tarjeta"),K784=""),"⚠ Falta cuenta destino",IF(AND(K784&lt;&gt;"",P784&lt;&gt;"Transferencia",P784&lt;&gt;"Pago tarjeta"),"⚠ Destino solo aplica a transferencias",IF(AND(K784&lt;&gt;"",K784=Q784),"⚠ Origen igual a destino",IF(AND(K784&lt;&gt;"",ISNA(MATCH(K784,ctaNombre,0))),"⚠ Destino no registrado",IF(AND(P784="Pago tarjeta",AE784&lt;&gt;"Tarjeta de crédito"),"⚠ El destino debe ser tarjeta de crédito",IF(AND(P784="Gasto",E784="Depósitos y retiros"),"⚠ Usa tipo Transferencia",IF(AND(P784="Resultado trading",AD784&lt;&gt;"Cuenta de trading"),"⚠ Usa una cuenta de trading",IF(AND(G784&lt;=0,P784&lt;&gt;"Ajuste",P784&lt;&gt;"Resultado trading"),"⚠ El monto debe ser positivo","✓")))))))))))))))</f>
        <v/>
      </c>
      <c r="P784" s="52">
        <f>IF(OR(B784="",G784=""),"",IF(C784="","Gasto",C784))</f>
        <v/>
      </c>
      <c r="Q784" s="52">
        <f>IF(P784="","",IF(J784&lt;&gt;"",J784,CuentaPred&amp;""))</f>
        <v/>
      </c>
      <c r="R784" s="52">
        <f>IF(P784="","",IF(ISNUMBER(I784),I784,TasaUSD))</f>
        <v/>
      </c>
      <c r="S784" s="53">
        <f>IF(P784="","",IF(H784="USD",G784*R784,G784))</f>
        <v/>
      </c>
      <c r="T784" s="53">
        <f>IF(P784="","",IF(H784="USD",G784,IF(R784&gt;0,G784/R784,0)))</f>
        <v/>
      </c>
      <c r="U784" s="53">
        <f>IF(P784="","",IF(P784="Gasto",S784,IF(P784="Reembolso",-S784,0)))</f>
        <v/>
      </c>
      <c r="V784" s="53">
        <f>IF(P784="","",IF(P784="Ingreso",S784,0))</f>
        <v/>
      </c>
      <c r="W784" s="53">
        <f>IF(P784="","",IF(P784="Resultado trading",S784,0))</f>
        <v/>
      </c>
      <c r="X784" s="52">
        <f>IF(OR(P784="Gasto",P784="Reembolso"),IF(M784&lt;&gt;"",M784,IFERROR(INDEX(catClasif,MATCH(D784&amp;"|"&amp;E784,catClave,0))&amp;"","Variable")),"")</f>
        <v/>
      </c>
      <c r="Y784" s="52">
        <f>IF(P784="","",IFERROR(INDEX(catGrupo,MATCH(D784&amp;"|"&amp;E784,catClave,0))&amp;"",""))</f>
        <v/>
      </c>
      <c r="Z784" s="52">
        <f>IF(P784="","",WEEKDAY(B784,2))</f>
        <v/>
      </c>
      <c r="AA784" s="52">
        <f>IF(P784="","",IF(AND(P784="Gasto",X784="Variable",D784&lt;&gt;catTrading,S784&gt;0,S784&lt;=Umbral),1,0))</f>
        <v/>
      </c>
      <c r="AB784" s="52">
        <f>IF(OR(P784="",Q784=""),"",IFERROR(IF(INDEX(ctaVinc,MATCH(Q784,ctaNombre,0))&amp;""&lt;&gt;"",INDEX(ctaVinc,MATCH(Q784,ctaNombre,0))&amp;"",Q784),Q784))</f>
        <v/>
      </c>
      <c r="AC784" s="52">
        <f>IF(OR(K784="",AND(P784&lt;&gt;"Transferencia",P784&lt;&gt;"Pago tarjeta")),"",IFERROR(IF(INDEX(ctaVinc,MATCH(K784,ctaNombre,0))&amp;""&lt;&gt;"",INDEX(ctaVinc,MATCH(K784,ctaNombre,0))&amp;"",K784),K784))</f>
        <v/>
      </c>
      <c r="AD784" s="52">
        <f>IF(AB784="","",IFERROR(INDEX(ctaTipo,MATCH(AB784,ctaNombre,0))&amp;"",""))</f>
        <v/>
      </c>
      <c r="AE784" s="52">
        <f>IF(AC784="","",IFERROR(INDEX(ctaTipo,MATCH(AC784,ctaNombre,0))&amp;"",""))</f>
        <v/>
      </c>
      <c r="AF784" s="53">
        <f>IF(OR(P784="",AB784=""),"",IF(OR(P784="Gasto",P784="Transferencia",P784="Pago tarjeta"),-1,1)*IF(IFERROR(INDEX(ctaMoneda,MATCH(AB784,ctaNombre,0))&amp;"","DOP")="USD",T784,S784))</f>
        <v/>
      </c>
      <c r="AG784" s="53">
        <f>IF(AC784="","",IF(IFERROR(INDEX(ctaMoneda,MATCH(AC784,ctaNombre,0))&amp;"","DOP")="USD",T784,S784))</f>
        <v/>
      </c>
      <c r="AH784" s="53">
        <f>IF(P784="","",IF(AND(AD784&lt;&gt;"",COUNTIFS(tcTipo,AD784,tcLiq,"Sí")&gt;0),IF(OR(P784="Gasto",P784="Transferencia",P784="Pago tarjeta"),-1,1)*S784,0)+IF(AND(AE784&lt;&gt;"",COUNTIFS(tcTipo,AE784,tcLiq,"Sí")&gt;0),S784,0))</f>
        <v/>
      </c>
      <c r="AI784" s="52">
        <f>IF(OR(L784="",P784=""),"",IF(COUNTIFS(L$6:L784,L784,P$6:P784,"?*")=1,MAX(AI$5:AI783)+1,""))</f>
        <v/>
      </c>
    </row>
    <row r="785">
      <c r="B785" s="47" t="n"/>
      <c r="C785" s="48" t="n"/>
      <c r="D785" s="48" t="n"/>
      <c r="E785" s="48" t="n"/>
      <c r="F785" s="48" t="n"/>
      <c r="G785" s="49" t="n"/>
      <c r="H785" s="48" t="n"/>
      <c r="I785" s="50" t="n"/>
      <c r="J785" s="48" t="n"/>
      <c r="K785" s="48" t="n"/>
      <c r="L785" s="48" t="n"/>
      <c r="M785" s="48" t="n"/>
      <c r="N785" s="48" t="n"/>
      <c r="O785" s="51">
        <f>IF(AND(B785="",G785="",C785="",D785="",J785=""),"",IF(B785="","⚠ Falta fecha",IF(G785="","⚠ Falta monto",IF(Q785="","⚠ Falta cuenta",IF(ISNA(MATCH(Q785,ctaNombre,0)),"⚠ Cuenta no registrada",IF(AND(OR(P785="Gasto",P785="Reembolso"),D785=""),"⚠ Falta categoría",IF(AND(D785&lt;&gt;"",E785&lt;&gt;"",ISNA(MATCH(D785&amp;"|"&amp;E785,catClave,0))),"⚠ Subcategoría no corresponde",IF(AND(OR(P785="Transferencia",P785="Pago tarjeta"),K785=""),"⚠ Falta cuenta destino",IF(AND(K785&lt;&gt;"",P785&lt;&gt;"Transferencia",P785&lt;&gt;"Pago tarjeta"),"⚠ Destino solo aplica a transferencias",IF(AND(K785&lt;&gt;"",K785=Q785),"⚠ Origen igual a destino",IF(AND(K785&lt;&gt;"",ISNA(MATCH(K785,ctaNombre,0))),"⚠ Destino no registrado",IF(AND(P785="Pago tarjeta",AE785&lt;&gt;"Tarjeta de crédito"),"⚠ El destino debe ser tarjeta de crédito",IF(AND(P785="Gasto",E785="Depósitos y retiros"),"⚠ Usa tipo Transferencia",IF(AND(P785="Resultado trading",AD785&lt;&gt;"Cuenta de trading"),"⚠ Usa una cuenta de trading",IF(AND(G785&lt;=0,P785&lt;&gt;"Ajuste",P785&lt;&gt;"Resultado trading"),"⚠ El monto debe ser positivo","✓")))))))))))))))</f>
        <v/>
      </c>
      <c r="P785" s="52">
        <f>IF(OR(B785="",G785=""),"",IF(C785="","Gasto",C785))</f>
        <v/>
      </c>
      <c r="Q785" s="52">
        <f>IF(P785="","",IF(J785&lt;&gt;"",J785,CuentaPred&amp;""))</f>
        <v/>
      </c>
      <c r="R785" s="52">
        <f>IF(P785="","",IF(ISNUMBER(I785),I785,TasaUSD))</f>
        <v/>
      </c>
      <c r="S785" s="53">
        <f>IF(P785="","",IF(H785="USD",G785*R785,G785))</f>
        <v/>
      </c>
      <c r="T785" s="53">
        <f>IF(P785="","",IF(H785="USD",G785,IF(R785&gt;0,G785/R785,0)))</f>
        <v/>
      </c>
      <c r="U785" s="53">
        <f>IF(P785="","",IF(P785="Gasto",S785,IF(P785="Reembolso",-S785,0)))</f>
        <v/>
      </c>
      <c r="V785" s="53">
        <f>IF(P785="","",IF(P785="Ingreso",S785,0))</f>
        <v/>
      </c>
      <c r="W785" s="53">
        <f>IF(P785="","",IF(P785="Resultado trading",S785,0))</f>
        <v/>
      </c>
      <c r="X785" s="52">
        <f>IF(OR(P785="Gasto",P785="Reembolso"),IF(M785&lt;&gt;"",M785,IFERROR(INDEX(catClasif,MATCH(D785&amp;"|"&amp;E785,catClave,0))&amp;"","Variable")),"")</f>
        <v/>
      </c>
      <c r="Y785" s="52">
        <f>IF(P785="","",IFERROR(INDEX(catGrupo,MATCH(D785&amp;"|"&amp;E785,catClave,0))&amp;"",""))</f>
        <v/>
      </c>
      <c r="Z785" s="52">
        <f>IF(P785="","",WEEKDAY(B785,2))</f>
        <v/>
      </c>
      <c r="AA785" s="52">
        <f>IF(P785="","",IF(AND(P785="Gasto",X785="Variable",D785&lt;&gt;catTrading,S785&gt;0,S785&lt;=Umbral),1,0))</f>
        <v/>
      </c>
      <c r="AB785" s="52">
        <f>IF(OR(P785="",Q785=""),"",IFERROR(IF(INDEX(ctaVinc,MATCH(Q785,ctaNombre,0))&amp;""&lt;&gt;"",INDEX(ctaVinc,MATCH(Q785,ctaNombre,0))&amp;"",Q785),Q785))</f>
        <v/>
      </c>
      <c r="AC785" s="52">
        <f>IF(OR(K785="",AND(P785&lt;&gt;"Transferencia",P785&lt;&gt;"Pago tarjeta")),"",IFERROR(IF(INDEX(ctaVinc,MATCH(K785,ctaNombre,0))&amp;""&lt;&gt;"",INDEX(ctaVinc,MATCH(K785,ctaNombre,0))&amp;"",K785),K785))</f>
        <v/>
      </c>
      <c r="AD785" s="52">
        <f>IF(AB785="","",IFERROR(INDEX(ctaTipo,MATCH(AB785,ctaNombre,0))&amp;"",""))</f>
        <v/>
      </c>
      <c r="AE785" s="52">
        <f>IF(AC785="","",IFERROR(INDEX(ctaTipo,MATCH(AC785,ctaNombre,0))&amp;"",""))</f>
        <v/>
      </c>
      <c r="AF785" s="53">
        <f>IF(OR(P785="",AB785=""),"",IF(OR(P785="Gasto",P785="Transferencia",P785="Pago tarjeta"),-1,1)*IF(IFERROR(INDEX(ctaMoneda,MATCH(AB785,ctaNombre,0))&amp;"","DOP")="USD",T785,S785))</f>
        <v/>
      </c>
      <c r="AG785" s="53">
        <f>IF(AC785="","",IF(IFERROR(INDEX(ctaMoneda,MATCH(AC785,ctaNombre,0))&amp;"","DOP")="USD",T785,S785))</f>
        <v/>
      </c>
      <c r="AH785" s="53">
        <f>IF(P785="","",IF(AND(AD785&lt;&gt;"",COUNTIFS(tcTipo,AD785,tcLiq,"Sí")&gt;0),IF(OR(P785="Gasto",P785="Transferencia",P785="Pago tarjeta"),-1,1)*S785,0)+IF(AND(AE785&lt;&gt;"",COUNTIFS(tcTipo,AE785,tcLiq,"Sí")&gt;0),S785,0))</f>
        <v/>
      </c>
      <c r="AI785" s="52">
        <f>IF(OR(L785="",P785=""),"",IF(COUNTIFS(L$6:L785,L785,P$6:P785,"?*")=1,MAX(AI$5:AI784)+1,""))</f>
        <v/>
      </c>
    </row>
    <row r="786">
      <c r="B786" s="47" t="n"/>
      <c r="C786" s="48" t="n"/>
      <c r="D786" s="48" t="n"/>
      <c r="E786" s="48" t="n"/>
      <c r="F786" s="48" t="n"/>
      <c r="G786" s="49" t="n"/>
      <c r="H786" s="48" t="n"/>
      <c r="I786" s="50" t="n"/>
      <c r="J786" s="48" t="n"/>
      <c r="K786" s="48" t="n"/>
      <c r="L786" s="48" t="n"/>
      <c r="M786" s="48" t="n"/>
      <c r="N786" s="48" t="n"/>
      <c r="O786" s="51">
        <f>IF(AND(B786="",G786="",C786="",D786="",J786=""),"",IF(B786="","⚠ Falta fecha",IF(G786="","⚠ Falta monto",IF(Q786="","⚠ Falta cuenta",IF(ISNA(MATCH(Q786,ctaNombre,0)),"⚠ Cuenta no registrada",IF(AND(OR(P786="Gasto",P786="Reembolso"),D786=""),"⚠ Falta categoría",IF(AND(D786&lt;&gt;"",E786&lt;&gt;"",ISNA(MATCH(D786&amp;"|"&amp;E786,catClave,0))),"⚠ Subcategoría no corresponde",IF(AND(OR(P786="Transferencia",P786="Pago tarjeta"),K786=""),"⚠ Falta cuenta destino",IF(AND(K786&lt;&gt;"",P786&lt;&gt;"Transferencia",P786&lt;&gt;"Pago tarjeta"),"⚠ Destino solo aplica a transferencias",IF(AND(K786&lt;&gt;"",K786=Q786),"⚠ Origen igual a destino",IF(AND(K786&lt;&gt;"",ISNA(MATCH(K786,ctaNombre,0))),"⚠ Destino no registrado",IF(AND(P786="Pago tarjeta",AE786&lt;&gt;"Tarjeta de crédito"),"⚠ El destino debe ser tarjeta de crédito",IF(AND(P786="Gasto",E786="Depósitos y retiros"),"⚠ Usa tipo Transferencia",IF(AND(P786="Resultado trading",AD786&lt;&gt;"Cuenta de trading"),"⚠ Usa una cuenta de trading",IF(AND(G786&lt;=0,P786&lt;&gt;"Ajuste",P786&lt;&gt;"Resultado trading"),"⚠ El monto debe ser positivo","✓")))))))))))))))</f>
        <v/>
      </c>
      <c r="P786" s="52">
        <f>IF(OR(B786="",G786=""),"",IF(C786="","Gasto",C786))</f>
        <v/>
      </c>
      <c r="Q786" s="52">
        <f>IF(P786="","",IF(J786&lt;&gt;"",J786,CuentaPred&amp;""))</f>
        <v/>
      </c>
      <c r="R786" s="52">
        <f>IF(P786="","",IF(ISNUMBER(I786),I786,TasaUSD))</f>
        <v/>
      </c>
      <c r="S786" s="53">
        <f>IF(P786="","",IF(H786="USD",G786*R786,G786))</f>
        <v/>
      </c>
      <c r="T786" s="53">
        <f>IF(P786="","",IF(H786="USD",G786,IF(R786&gt;0,G786/R786,0)))</f>
        <v/>
      </c>
      <c r="U786" s="53">
        <f>IF(P786="","",IF(P786="Gasto",S786,IF(P786="Reembolso",-S786,0)))</f>
        <v/>
      </c>
      <c r="V786" s="53">
        <f>IF(P786="","",IF(P786="Ingreso",S786,0))</f>
        <v/>
      </c>
      <c r="W786" s="53">
        <f>IF(P786="","",IF(P786="Resultado trading",S786,0))</f>
        <v/>
      </c>
      <c r="X786" s="52">
        <f>IF(OR(P786="Gasto",P786="Reembolso"),IF(M786&lt;&gt;"",M786,IFERROR(INDEX(catClasif,MATCH(D786&amp;"|"&amp;E786,catClave,0))&amp;"","Variable")),"")</f>
        <v/>
      </c>
      <c r="Y786" s="52">
        <f>IF(P786="","",IFERROR(INDEX(catGrupo,MATCH(D786&amp;"|"&amp;E786,catClave,0))&amp;"",""))</f>
        <v/>
      </c>
      <c r="Z786" s="52">
        <f>IF(P786="","",WEEKDAY(B786,2))</f>
        <v/>
      </c>
      <c r="AA786" s="52">
        <f>IF(P786="","",IF(AND(P786="Gasto",X786="Variable",D786&lt;&gt;catTrading,S786&gt;0,S786&lt;=Umbral),1,0))</f>
        <v/>
      </c>
      <c r="AB786" s="52">
        <f>IF(OR(P786="",Q786=""),"",IFERROR(IF(INDEX(ctaVinc,MATCH(Q786,ctaNombre,0))&amp;""&lt;&gt;"",INDEX(ctaVinc,MATCH(Q786,ctaNombre,0))&amp;"",Q786),Q786))</f>
        <v/>
      </c>
      <c r="AC786" s="52">
        <f>IF(OR(K786="",AND(P786&lt;&gt;"Transferencia",P786&lt;&gt;"Pago tarjeta")),"",IFERROR(IF(INDEX(ctaVinc,MATCH(K786,ctaNombre,0))&amp;""&lt;&gt;"",INDEX(ctaVinc,MATCH(K786,ctaNombre,0))&amp;"",K786),K786))</f>
        <v/>
      </c>
      <c r="AD786" s="52">
        <f>IF(AB786="","",IFERROR(INDEX(ctaTipo,MATCH(AB786,ctaNombre,0))&amp;"",""))</f>
        <v/>
      </c>
      <c r="AE786" s="52">
        <f>IF(AC786="","",IFERROR(INDEX(ctaTipo,MATCH(AC786,ctaNombre,0))&amp;"",""))</f>
        <v/>
      </c>
      <c r="AF786" s="53">
        <f>IF(OR(P786="",AB786=""),"",IF(OR(P786="Gasto",P786="Transferencia",P786="Pago tarjeta"),-1,1)*IF(IFERROR(INDEX(ctaMoneda,MATCH(AB786,ctaNombre,0))&amp;"","DOP")="USD",T786,S786))</f>
        <v/>
      </c>
      <c r="AG786" s="53">
        <f>IF(AC786="","",IF(IFERROR(INDEX(ctaMoneda,MATCH(AC786,ctaNombre,0))&amp;"","DOP")="USD",T786,S786))</f>
        <v/>
      </c>
      <c r="AH786" s="53">
        <f>IF(P786="","",IF(AND(AD786&lt;&gt;"",COUNTIFS(tcTipo,AD786,tcLiq,"Sí")&gt;0),IF(OR(P786="Gasto",P786="Transferencia",P786="Pago tarjeta"),-1,1)*S786,0)+IF(AND(AE786&lt;&gt;"",COUNTIFS(tcTipo,AE786,tcLiq,"Sí")&gt;0),S786,0))</f>
        <v/>
      </c>
      <c r="AI786" s="52">
        <f>IF(OR(L786="",P786=""),"",IF(COUNTIFS(L$6:L786,L786,P$6:P786,"?*")=1,MAX(AI$5:AI785)+1,""))</f>
        <v/>
      </c>
    </row>
    <row r="787">
      <c r="B787" s="47" t="n"/>
      <c r="C787" s="48" t="n"/>
      <c r="D787" s="48" t="n"/>
      <c r="E787" s="48" t="n"/>
      <c r="F787" s="48" t="n"/>
      <c r="G787" s="49" t="n"/>
      <c r="H787" s="48" t="n"/>
      <c r="I787" s="50" t="n"/>
      <c r="J787" s="48" t="n"/>
      <c r="K787" s="48" t="n"/>
      <c r="L787" s="48" t="n"/>
      <c r="M787" s="48" t="n"/>
      <c r="N787" s="48" t="n"/>
      <c r="O787" s="51">
        <f>IF(AND(B787="",G787="",C787="",D787="",J787=""),"",IF(B787="","⚠ Falta fecha",IF(G787="","⚠ Falta monto",IF(Q787="","⚠ Falta cuenta",IF(ISNA(MATCH(Q787,ctaNombre,0)),"⚠ Cuenta no registrada",IF(AND(OR(P787="Gasto",P787="Reembolso"),D787=""),"⚠ Falta categoría",IF(AND(D787&lt;&gt;"",E787&lt;&gt;"",ISNA(MATCH(D787&amp;"|"&amp;E787,catClave,0))),"⚠ Subcategoría no corresponde",IF(AND(OR(P787="Transferencia",P787="Pago tarjeta"),K787=""),"⚠ Falta cuenta destino",IF(AND(K787&lt;&gt;"",P787&lt;&gt;"Transferencia",P787&lt;&gt;"Pago tarjeta"),"⚠ Destino solo aplica a transferencias",IF(AND(K787&lt;&gt;"",K787=Q787),"⚠ Origen igual a destino",IF(AND(K787&lt;&gt;"",ISNA(MATCH(K787,ctaNombre,0))),"⚠ Destino no registrado",IF(AND(P787="Pago tarjeta",AE787&lt;&gt;"Tarjeta de crédito"),"⚠ El destino debe ser tarjeta de crédito",IF(AND(P787="Gasto",E787="Depósitos y retiros"),"⚠ Usa tipo Transferencia",IF(AND(P787="Resultado trading",AD787&lt;&gt;"Cuenta de trading"),"⚠ Usa una cuenta de trading",IF(AND(G787&lt;=0,P787&lt;&gt;"Ajuste",P787&lt;&gt;"Resultado trading"),"⚠ El monto debe ser positivo","✓")))))))))))))))</f>
        <v/>
      </c>
      <c r="P787" s="52">
        <f>IF(OR(B787="",G787=""),"",IF(C787="","Gasto",C787))</f>
        <v/>
      </c>
      <c r="Q787" s="52">
        <f>IF(P787="","",IF(J787&lt;&gt;"",J787,CuentaPred&amp;""))</f>
        <v/>
      </c>
      <c r="R787" s="52">
        <f>IF(P787="","",IF(ISNUMBER(I787),I787,TasaUSD))</f>
        <v/>
      </c>
      <c r="S787" s="53">
        <f>IF(P787="","",IF(H787="USD",G787*R787,G787))</f>
        <v/>
      </c>
      <c r="T787" s="53">
        <f>IF(P787="","",IF(H787="USD",G787,IF(R787&gt;0,G787/R787,0)))</f>
        <v/>
      </c>
      <c r="U787" s="53">
        <f>IF(P787="","",IF(P787="Gasto",S787,IF(P787="Reembolso",-S787,0)))</f>
        <v/>
      </c>
      <c r="V787" s="53">
        <f>IF(P787="","",IF(P787="Ingreso",S787,0))</f>
        <v/>
      </c>
      <c r="W787" s="53">
        <f>IF(P787="","",IF(P787="Resultado trading",S787,0))</f>
        <v/>
      </c>
      <c r="X787" s="52">
        <f>IF(OR(P787="Gasto",P787="Reembolso"),IF(M787&lt;&gt;"",M787,IFERROR(INDEX(catClasif,MATCH(D787&amp;"|"&amp;E787,catClave,0))&amp;"","Variable")),"")</f>
        <v/>
      </c>
      <c r="Y787" s="52">
        <f>IF(P787="","",IFERROR(INDEX(catGrupo,MATCH(D787&amp;"|"&amp;E787,catClave,0))&amp;"",""))</f>
        <v/>
      </c>
      <c r="Z787" s="52">
        <f>IF(P787="","",WEEKDAY(B787,2))</f>
        <v/>
      </c>
      <c r="AA787" s="52">
        <f>IF(P787="","",IF(AND(P787="Gasto",X787="Variable",D787&lt;&gt;catTrading,S787&gt;0,S787&lt;=Umbral),1,0))</f>
        <v/>
      </c>
      <c r="AB787" s="52">
        <f>IF(OR(P787="",Q787=""),"",IFERROR(IF(INDEX(ctaVinc,MATCH(Q787,ctaNombre,0))&amp;""&lt;&gt;"",INDEX(ctaVinc,MATCH(Q787,ctaNombre,0))&amp;"",Q787),Q787))</f>
        <v/>
      </c>
      <c r="AC787" s="52">
        <f>IF(OR(K787="",AND(P787&lt;&gt;"Transferencia",P787&lt;&gt;"Pago tarjeta")),"",IFERROR(IF(INDEX(ctaVinc,MATCH(K787,ctaNombre,0))&amp;""&lt;&gt;"",INDEX(ctaVinc,MATCH(K787,ctaNombre,0))&amp;"",K787),K787))</f>
        <v/>
      </c>
      <c r="AD787" s="52">
        <f>IF(AB787="","",IFERROR(INDEX(ctaTipo,MATCH(AB787,ctaNombre,0))&amp;"",""))</f>
        <v/>
      </c>
      <c r="AE787" s="52">
        <f>IF(AC787="","",IFERROR(INDEX(ctaTipo,MATCH(AC787,ctaNombre,0))&amp;"",""))</f>
        <v/>
      </c>
      <c r="AF787" s="53">
        <f>IF(OR(P787="",AB787=""),"",IF(OR(P787="Gasto",P787="Transferencia",P787="Pago tarjeta"),-1,1)*IF(IFERROR(INDEX(ctaMoneda,MATCH(AB787,ctaNombre,0))&amp;"","DOP")="USD",T787,S787))</f>
        <v/>
      </c>
      <c r="AG787" s="53">
        <f>IF(AC787="","",IF(IFERROR(INDEX(ctaMoneda,MATCH(AC787,ctaNombre,0))&amp;"","DOP")="USD",T787,S787))</f>
        <v/>
      </c>
      <c r="AH787" s="53">
        <f>IF(P787="","",IF(AND(AD787&lt;&gt;"",COUNTIFS(tcTipo,AD787,tcLiq,"Sí")&gt;0),IF(OR(P787="Gasto",P787="Transferencia",P787="Pago tarjeta"),-1,1)*S787,0)+IF(AND(AE787&lt;&gt;"",COUNTIFS(tcTipo,AE787,tcLiq,"Sí")&gt;0),S787,0))</f>
        <v/>
      </c>
      <c r="AI787" s="52">
        <f>IF(OR(L787="",P787=""),"",IF(COUNTIFS(L$6:L787,L787,P$6:P787,"?*")=1,MAX(AI$5:AI786)+1,""))</f>
        <v/>
      </c>
    </row>
    <row r="788">
      <c r="B788" s="47" t="n"/>
      <c r="C788" s="48" t="n"/>
      <c r="D788" s="48" t="n"/>
      <c r="E788" s="48" t="n"/>
      <c r="F788" s="48" t="n"/>
      <c r="G788" s="49" t="n"/>
      <c r="H788" s="48" t="n"/>
      <c r="I788" s="50" t="n"/>
      <c r="J788" s="48" t="n"/>
      <c r="K788" s="48" t="n"/>
      <c r="L788" s="48" t="n"/>
      <c r="M788" s="48" t="n"/>
      <c r="N788" s="48" t="n"/>
      <c r="O788" s="51">
        <f>IF(AND(B788="",G788="",C788="",D788="",J788=""),"",IF(B788="","⚠ Falta fecha",IF(G788="","⚠ Falta monto",IF(Q788="","⚠ Falta cuenta",IF(ISNA(MATCH(Q788,ctaNombre,0)),"⚠ Cuenta no registrada",IF(AND(OR(P788="Gasto",P788="Reembolso"),D788=""),"⚠ Falta categoría",IF(AND(D788&lt;&gt;"",E788&lt;&gt;"",ISNA(MATCH(D788&amp;"|"&amp;E788,catClave,0))),"⚠ Subcategoría no corresponde",IF(AND(OR(P788="Transferencia",P788="Pago tarjeta"),K788=""),"⚠ Falta cuenta destino",IF(AND(K788&lt;&gt;"",P788&lt;&gt;"Transferencia",P788&lt;&gt;"Pago tarjeta"),"⚠ Destino solo aplica a transferencias",IF(AND(K788&lt;&gt;"",K788=Q788),"⚠ Origen igual a destino",IF(AND(K788&lt;&gt;"",ISNA(MATCH(K788,ctaNombre,0))),"⚠ Destino no registrado",IF(AND(P788="Pago tarjeta",AE788&lt;&gt;"Tarjeta de crédito"),"⚠ El destino debe ser tarjeta de crédito",IF(AND(P788="Gasto",E788="Depósitos y retiros"),"⚠ Usa tipo Transferencia",IF(AND(P788="Resultado trading",AD788&lt;&gt;"Cuenta de trading"),"⚠ Usa una cuenta de trading",IF(AND(G788&lt;=0,P788&lt;&gt;"Ajuste",P788&lt;&gt;"Resultado trading"),"⚠ El monto debe ser positivo","✓")))))))))))))))</f>
        <v/>
      </c>
      <c r="P788" s="52">
        <f>IF(OR(B788="",G788=""),"",IF(C788="","Gasto",C788))</f>
        <v/>
      </c>
      <c r="Q788" s="52">
        <f>IF(P788="","",IF(J788&lt;&gt;"",J788,CuentaPred&amp;""))</f>
        <v/>
      </c>
      <c r="R788" s="52">
        <f>IF(P788="","",IF(ISNUMBER(I788),I788,TasaUSD))</f>
        <v/>
      </c>
      <c r="S788" s="53">
        <f>IF(P788="","",IF(H788="USD",G788*R788,G788))</f>
        <v/>
      </c>
      <c r="T788" s="53">
        <f>IF(P788="","",IF(H788="USD",G788,IF(R788&gt;0,G788/R788,0)))</f>
        <v/>
      </c>
      <c r="U788" s="53">
        <f>IF(P788="","",IF(P788="Gasto",S788,IF(P788="Reembolso",-S788,0)))</f>
        <v/>
      </c>
      <c r="V788" s="53">
        <f>IF(P788="","",IF(P788="Ingreso",S788,0))</f>
        <v/>
      </c>
      <c r="W788" s="53">
        <f>IF(P788="","",IF(P788="Resultado trading",S788,0))</f>
        <v/>
      </c>
      <c r="X788" s="52">
        <f>IF(OR(P788="Gasto",P788="Reembolso"),IF(M788&lt;&gt;"",M788,IFERROR(INDEX(catClasif,MATCH(D788&amp;"|"&amp;E788,catClave,0))&amp;"","Variable")),"")</f>
        <v/>
      </c>
      <c r="Y788" s="52">
        <f>IF(P788="","",IFERROR(INDEX(catGrupo,MATCH(D788&amp;"|"&amp;E788,catClave,0))&amp;"",""))</f>
        <v/>
      </c>
      <c r="Z788" s="52">
        <f>IF(P788="","",WEEKDAY(B788,2))</f>
        <v/>
      </c>
      <c r="AA788" s="52">
        <f>IF(P788="","",IF(AND(P788="Gasto",X788="Variable",D788&lt;&gt;catTrading,S788&gt;0,S788&lt;=Umbral),1,0))</f>
        <v/>
      </c>
      <c r="AB788" s="52">
        <f>IF(OR(P788="",Q788=""),"",IFERROR(IF(INDEX(ctaVinc,MATCH(Q788,ctaNombre,0))&amp;""&lt;&gt;"",INDEX(ctaVinc,MATCH(Q788,ctaNombre,0))&amp;"",Q788),Q788))</f>
        <v/>
      </c>
      <c r="AC788" s="52">
        <f>IF(OR(K788="",AND(P788&lt;&gt;"Transferencia",P788&lt;&gt;"Pago tarjeta")),"",IFERROR(IF(INDEX(ctaVinc,MATCH(K788,ctaNombre,0))&amp;""&lt;&gt;"",INDEX(ctaVinc,MATCH(K788,ctaNombre,0))&amp;"",K788),K788))</f>
        <v/>
      </c>
      <c r="AD788" s="52">
        <f>IF(AB788="","",IFERROR(INDEX(ctaTipo,MATCH(AB788,ctaNombre,0))&amp;"",""))</f>
        <v/>
      </c>
      <c r="AE788" s="52">
        <f>IF(AC788="","",IFERROR(INDEX(ctaTipo,MATCH(AC788,ctaNombre,0))&amp;"",""))</f>
        <v/>
      </c>
      <c r="AF788" s="53">
        <f>IF(OR(P788="",AB788=""),"",IF(OR(P788="Gasto",P788="Transferencia",P788="Pago tarjeta"),-1,1)*IF(IFERROR(INDEX(ctaMoneda,MATCH(AB788,ctaNombre,0))&amp;"","DOP")="USD",T788,S788))</f>
        <v/>
      </c>
      <c r="AG788" s="53">
        <f>IF(AC788="","",IF(IFERROR(INDEX(ctaMoneda,MATCH(AC788,ctaNombre,0))&amp;"","DOP")="USD",T788,S788))</f>
        <v/>
      </c>
      <c r="AH788" s="53">
        <f>IF(P788="","",IF(AND(AD788&lt;&gt;"",COUNTIFS(tcTipo,AD788,tcLiq,"Sí")&gt;0),IF(OR(P788="Gasto",P788="Transferencia",P788="Pago tarjeta"),-1,1)*S788,0)+IF(AND(AE788&lt;&gt;"",COUNTIFS(tcTipo,AE788,tcLiq,"Sí")&gt;0),S788,0))</f>
        <v/>
      </c>
      <c r="AI788" s="52">
        <f>IF(OR(L788="",P788=""),"",IF(COUNTIFS(L$6:L788,L788,P$6:P788,"?*")=1,MAX(AI$5:AI787)+1,""))</f>
        <v/>
      </c>
    </row>
    <row r="789">
      <c r="B789" s="47" t="n"/>
      <c r="C789" s="48" t="n"/>
      <c r="D789" s="48" t="n"/>
      <c r="E789" s="48" t="n"/>
      <c r="F789" s="48" t="n"/>
      <c r="G789" s="49" t="n"/>
      <c r="H789" s="48" t="n"/>
      <c r="I789" s="50" t="n"/>
      <c r="J789" s="48" t="n"/>
      <c r="K789" s="48" t="n"/>
      <c r="L789" s="48" t="n"/>
      <c r="M789" s="48" t="n"/>
      <c r="N789" s="48" t="n"/>
      <c r="O789" s="51">
        <f>IF(AND(B789="",G789="",C789="",D789="",J789=""),"",IF(B789="","⚠ Falta fecha",IF(G789="","⚠ Falta monto",IF(Q789="","⚠ Falta cuenta",IF(ISNA(MATCH(Q789,ctaNombre,0)),"⚠ Cuenta no registrada",IF(AND(OR(P789="Gasto",P789="Reembolso"),D789=""),"⚠ Falta categoría",IF(AND(D789&lt;&gt;"",E789&lt;&gt;"",ISNA(MATCH(D789&amp;"|"&amp;E789,catClave,0))),"⚠ Subcategoría no corresponde",IF(AND(OR(P789="Transferencia",P789="Pago tarjeta"),K789=""),"⚠ Falta cuenta destino",IF(AND(K789&lt;&gt;"",P789&lt;&gt;"Transferencia",P789&lt;&gt;"Pago tarjeta"),"⚠ Destino solo aplica a transferencias",IF(AND(K789&lt;&gt;"",K789=Q789),"⚠ Origen igual a destino",IF(AND(K789&lt;&gt;"",ISNA(MATCH(K789,ctaNombre,0))),"⚠ Destino no registrado",IF(AND(P789="Pago tarjeta",AE789&lt;&gt;"Tarjeta de crédito"),"⚠ El destino debe ser tarjeta de crédito",IF(AND(P789="Gasto",E789="Depósitos y retiros"),"⚠ Usa tipo Transferencia",IF(AND(P789="Resultado trading",AD789&lt;&gt;"Cuenta de trading"),"⚠ Usa una cuenta de trading",IF(AND(G789&lt;=0,P789&lt;&gt;"Ajuste",P789&lt;&gt;"Resultado trading"),"⚠ El monto debe ser positivo","✓")))))))))))))))</f>
        <v/>
      </c>
      <c r="P789" s="52">
        <f>IF(OR(B789="",G789=""),"",IF(C789="","Gasto",C789))</f>
        <v/>
      </c>
      <c r="Q789" s="52">
        <f>IF(P789="","",IF(J789&lt;&gt;"",J789,CuentaPred&amp;""))</f>
        <v/>
      </c>
      <c r="R789" s="52">
        <f>IF(P789="","",IF(ISNUMBER(I789),I789,TasaUSD))</f>
        <v/>
      </c>
      <c r="S789" s="53">
        <f>IF(P789="","",IF(H789="USD",G789*R789,G789))</f>
        <v/>
      </c>
      <c r="T789" s="53">
        <f>IF(P789="","",IF(H789="USD",G789,IF(R789&gt;0,G789/R789,0)))</f>
        <v/>
      </c>
      <c r="U789" s="53">
        <f>IF(P789="","",IF(P789="Gasto",S789,IF(P789="Reembolso",-S789,0)))</f>
        <v/>
      </c>
      <c r="V789" s="53">
        <f>IF(P789="","",IF(P789="Ingreso",S789,0))</f>
        <v/>
      </c>
      <c r="W789" s="53">
        <f>IF(P789="","",IF(P789="Resultado trading",S789,0))</f>
        <v/>
      </c>
      <c r="X789" s="52">
        <f>IF(OR(P789="Gasto",P789="Reembolso"),IF(M789&lt;&gt;"",M789,IFERROR(INDEX(catClasif,MATCH(D789&amp;"|"&amp;E789,catClave,0))&amp;"","Variable")),"")</f>
        <v/>
      </c>
      <c r="Y789" s="52">
        <f>IF(P789="","",IFERROR(INDEX(catGrupo,MATCH(D789&amp;"|"&amp;E789,catClave,0))&amp;"",""))</f>
        <v/>
      </c>
      <c r="Z789" s="52">
        <f>IF(P789="","",WEEKDAY(B789,2))</f>
        <v/>
      </c>
      <c r="AA789" s="52">
        <f>IF(P789="","",IF(AND(P789="Gasto",X789="Variable",D789&lt;&gt;catTrading,S789&gt;0,S789&lt;=Umbral),1,0))</f>
        <v/>
      </c>
      <c r="AB789" s="52">
        <f>IF(OR(P789="",Q789=""),"",IFERROR(IF(INDEX(ctaVinc,MATCH(Q789,ctaNombre,0))&amp;""&lt;&gt;"",INDEX(ctaVinc,MATCH(Q789,ctaNombre,0))&amp;"",Q789),Q789))</f>
        <v/>
      </c>
      <c r="AC789" s="52">
        <f>IF(OR(K789="",AND(P789&lt;&gt;"Transferencia",P789&lt;&gt;"Pago tarjeta")),"",IFERROR(IF(INDEX(ctaVinc,MATCH(K789,ctaNombre,0))&amp;""&lt;&gt;"",INDEX(ctaVinc,MATCH(K789,ctaNombre,0))&amp;"",K789),K789))</f>
        <v/>
      </c>
      <c r="AD789" s="52">
        <f>IF(AB789="","",IFERROR(INDEX(ctaTipo,MATCH(AB789,ctaNombre,0))&amp;"",""))</f>
        <v/>
      </c>
      <c r="AE789" s="52">
        <f>IF(AC789="","",IFERROR(INDEX(ctaTipo,MATCH(AC789,ctaNombre,0))&amp;"",""))</f>
        <v/>
      </c>
      <c r="AF789" s="53">
        <f>IF(OR(P789="",AB789=""),"",IF(OR(P789="Gasto",P789="Transferencia",P789="Pago tarjeta"),-1,1)*IF(IFERROR(INDEX(ctaMoneda,MATCH(AB789,ctaNombre,0))&amp;"","DOP")="USD",T789,S789))</f>
        <v/>
      </c>
      <c r="AG789" s="53">
        <f>IF(AC789="","",IF(IFERROR(INDEX(ctaMoneda,MATCH(AC789,ctaNombre,0))&amp;"","DOP")="USD",T789,S789))</f>
        <v/>
      </c>
      <c r="AH789" s="53">
        <f>IF(P789="","",IF(AND(AD789&lt;&gt;"",COUNTIFS(tcTipo,AD789,tcLiq,"Sí")&gt;0),IF(OR(P789="Gasto",P789="Transferencia",P789="Pago tarjeta"),-1,1)*S789,0)+IF(AND(AE789&lt;&gt;"",COUNTIFS(tcTipo,AE789,tcLiq,"Sí")&gt;0),S789,0))</f>
        <v/>
      </c>
      <c r="AI789" s="52">
        <f>IF(OR(L789="",P789=""),"",IF(COUNTIFS(L$6:L789,L789,P$6:P789,"?*")=1,MAX(AI$5:AI788)+1,""))</f>
        <v/>
      </c>
    </row>
    <row r="790">
      <c r="B790" s="47" t="n"/>
      <c r="C790" s="48" t="n"/>
      <c r="D790" s="48" t="n"/>
      <c r="E790" s="48" t="n"/>
      <c r="F790" s="48" t="n"/>
      <c r="G790" s="49" t="n"/>
      <c r="H790" s="48" t="n"/>
      <c r="I790" s="50" t="n"/>
      <c r="J790" s="48" t="n"/>
      <c r="K790" s="48" t="n"/>
      <c r="L790" s="48" t="n"/>
      <c r="M790" s="48" t="n"/>
      <c r="N790" s="48" t="n"/>
      <c r="O790" s="51">
        <f>IF(AND(B790="",G790="",C790="",D790="",J790=""),"",IF(B790="","⚠ Falta fecha",IF(G790="","⚠ Falta monto",IF(Q790="","⚠ Falta cuenta",IF(ISNA(MATCH(Q790,ctaNombre,0)),"⚠ Cuenta no registrada",IF(AND(OR(P790="Gasto",P790="Reembolso"),D790=""),"⚠ Falta categoría",IF(AND(D790&lt;&gt;"",E790&lt;&gt;"",ISNA(MATCH(D790&amp;"|"&amp;E790,catClave,0))),"⚠ Subcategoría no corresponde",IF(AND(OR(P790="Transferencia",P790="Pago tarjeta"),K790=""),"⚠ Falta cuenta destino",IF(AND(K790&lt;&gt;"",P790&lt;&gt;"Transferencia",P790&lt;&gt;"Pago tarjeta"),"⚠ Destino solo aplica a transferencias",IF(AND(K790&lt;&gt;"",K790=Q790),"⚠ Origen igual a destino",IF(AND(K790&lt;&gt;"",ISNA(MATCH(K790,ctaNombre,0))),"⚠ Destino no registrado",IF(AND(P790="Pago tarjeta",AE790&lt;&gt;"Tarjeta de crédito"),"⚠ El destino debe ser tarjeta de crédito",IF(AND(P790="Gasto",E790="Depósitos y retiros"),"⚠ Usa tipo Transferencia",IF(AND(P790="Resultado trading",AD790&lt;&gt;"Cuenta de trading"),"⚠ Usa una cuenta de trading",IF(AND(G790&lt;=0,P790&lt;&gt;"Ajuste",P790&lt;&gt;"Resultado trading"),"⚠ El monto debe ser positivo","✓")))))))))))))))</f>
        <v/>
      </c>
      <c r="P790" s="52">
        <f>IF(OR(B790="",G790=""),"",IF(C790="","Gasto",C790))</f>
        <v/>
      </c>
      <c r="Q790" s="52">
        <f>IF(P790="","",IF(J790&lt;&gt;"",J790,CuentaPred&amp;""))</f>
        <v/>
      </c>
      <c r="R790" s="52">
        <f>IF(P790="","",IF(ISNUMBER(I790),I790,TasaUSD))</f>
        <v/>
      </c>
      <c r="S790" s="53">
        <f>IF(P790="","",IF(H790="USD",G790*R790,G790))</f>
        <v/>
      </c>
      <c r="T790" s="53">
        <f>IF(P790="","",IF(H790="USD",G790,IF(R790&gt;0,G790/R790,0)))</f>
        <v/>
      </c>
      <c r="U790" s="53">
        <f>IF(P790="","",IF(P790="Gasto",S790,IF(P790="Reembolso",-S790,0)))</f>
        <v/>
      </c>
      <c r="V790" s="53">
        <f>IF(P790="","",IF(P790="Ingreso",S790,0))</f>
        <v/>
      </c>
      <c r="W790" s="53">
        <f>IF(P790="","",IF(P790="Resultado trading",S790,0))</f>
        <v/>
      </c>
      <c r="X790" s="52">
        <f>IF(OR(P790="Gasto",P790="Reembolso"),IF(M790&lt;&gt;"",M790,IFERROR(INDEX(catClasif,MATCH(D790&amp;"|"&amp;E790,catClave,0))&amp;"","Variable")),"")</f>
        <v/>
      </c>
      <c r="Y790" s="52">
        <f>IF(P790="","",IFERROR(INDEX(catGrupo,MATCH(D790&amp;"|"&amp;E790,catClave,0))&amp;"",""))</f>
        <v/>
      </c>
      <c r="Z790" s="52">
        <f>IF(P790="","",WEEKDAY(B790,2))</f>
        <v/>
      </c>
      <c r="AA790" s="52">
        <f>IF(P790="","",IF(AND(P790="Gasto",X790="Variable",D790&lt;&gt;catTrading,S790&gt;0,S790&lt;=Umbral),1,0))</f>
        <v/>
      </c>
      <c r="AB790" s="52">
        <f>IF(OR(P790="",Q790=""),"",IFERROR(IF(INDEX(ctaVinc,MATCH(Q790,ctaNombre,0))&amp;""&lt;&gt;"",INDEX(ctaVinc,MATCH(Q790,ctaNombre,0))&amp;"",Q790),Q790))</f>
        <v/>
      </c>
      <c r="AC790" s="52">
        <f>IF(OR(K790="",AND(P790&lt;&gt;"Transferencia",P790&lt;&gt;"Pago tarjeta")),"",IFERROR(IF(INDEX(ctaVinc,MATCH(K790,ctaNombre,0))&amp;""&lt;&gt;"",INDEX(ctaVinc,MATCH(K790,ctaNombre,0))&amp;"",K790),K790))</f>
        <v/>
      </c>
      <c r="AD790" s="52">
        <f>IF(AB790="","",IFERROR(INDEX(ctaTipo,MATCH(AB790,ctaNombre,0))&amp;"",""))</f>
        <v/>
      </c>
      <c r="AE790" s="52">
        <f>IF(AC790="","",IFERROR(INDEX(ctaTipo,MATCH(AC790,ctaNombre,0))&amp;"",""))</f>
        <v/>
      </c>
      <c r="AF790" s="53">
        <f>IF(OR(P790="",AB790=""),"",IF(OR(P790="Gasto",P790="Transferencia",P790="Pago tarjeta"),-1,1)*IF(IFERROR(INDEX(ctaMoneda,MATCH(AB790,ctaNombre,0))&amp;"","DOP")="USD",T790,S790))</f>
        <v/>
      </c>
      <c r="AG790" s="53">
        <f>IF(AC790="","",IF(IFERROR(INDEX(ctaMoneda,MATCH(AC790,ctaNombre,0))&amp;"","DOP")="USD",T790,S790))</f>
        <v/>
      </c>
      <c r="AH790" s="53">
        <f>IF(P790="","",IF(AND(AD790&lt;&gt;"",COUNTIFS(tcTipo,AD790,tcLiq,"Sí")&gt;0),IF(OR(P790="Gasto",P790="Transferencia",P790="Pago tarjeta"),-1,1)*S790,0)+IF(AND(AE790&lt;&gt;"",COUNTIFS(tcTipo,AE790,tcLiq,"Sí")&gt;0),S790,0))</f>
        <v/>
      </c>
      <c r="AI790" s="52">
        <f>IF(OR(L790="",P790=""),"",IF(COUNTIFS(L$6:L790,L790,P$6:P790,"?*")=1,MAX(AI$5:AI789)+1,""))</f>
        <v/>
      </c>
    </row>
    <row r="791">
      <c r="B791" s="47" t="n"/>
      <c r="C791" s="48" t="n"/>
      <c r="D791" s="48" t="n"/>
      <c r="E791" s="48" t="n"/>
      <c r="F791" s="48" t="n"/>
      <c r="G791" s="49" t="n"/>
      <c r="H791" s="48" t="n"/>
      <c r="I791" s="50" t="n"/>
      <c r="J791" s="48" t="n"/>
      <c r="K791" s="48" t="n"/>
      <c r="L791" s="48" t="n"/>
      <c r="M791" s="48" t="n"/>
      <c r="N791" s="48" t="n"/>
      <c r="O791" s="51">
        <f>IF(AND(B791="",G791="",C791="",D791="",J791=""),"",IF(B791="","⚠ Falta fecha",IF(G791="","⚠ Falta monto",IF(Q791="","⚠ Falta cuenta",IF(ISNA(MATCH(Q791,ctaNombre,0)),"⚠ Cuenta no registrada",IF(AND(OR(P791="Gasto",P791="Reembolso"),D791=""),"⚠ Falta categoría",IF(AND(D791&lt;&gt;"",E791&lt;&gt;"",ISNA(MATCH(D791&amp;"|"&amp;E791,catClave,0))),"⚠ Subcategoría no corresponde",IF(AND(OR(P791="Transferencia",P791="Pago tarjeta"),K791=""),"⚠ Falta cuenta destino",IF(AND(K791&lt;&gt;"",P791&lt;&gt;"Transferencia",P791&lt;&gt;"Pago tarjeta"),"⚠ Destino solo aplica a transferencias",IF(AND(K791&lt;&gt;"",K791=Q791),"⚠ Origen igual a destino",IF(AND(K791&lt;&gt;"",ISNA(MATCH(K791,ctaNombre,0))),"⚠ Destino no registrado",IF(AND(P791="Pago tarjeta",AE791&lt;&gt;"Tarjeta de crédito"),"⚠ El destino debe ser tarjeta de crédito",IF(AND(P791="Gasto",E791="Depósitos y retiros"),"⚠ Usa tipo Transferencia",IF(AND(P791="Resultado trading",AD791&lt;&gt;"Cuenta de trading"),"⚠ Usa una cuenta de trading",IF(AND(G791&lt;=0,P791&lt;&gt;"Ajuste",P791&lt;&gt;"Resultado trading"),"⚠ El monto debe ser positivo","✓")))))))))))))))</f>
        <v/>
      </c>
      <c r="P791" s="52">
        <f>IF(OR(B791="",G791=""),"",IF(C791="","Gasto",C791))</f>
        <v/>
      </c>
      <c r="Q791" s="52">
        <f>IF(P791="","",IF(J791&lt;&gt;"",J791,CuentaPred&amp;""))</f>
        <v/>
      </c>
      <c r="R791" s="52">
        <f>IF(P791="","",IF(ISNUMBER(I791),I791,TasaUSD))</f>
        <v/>
      </c>
      <c r="S791" s="53">
        <f>IF(P791="","",IF(H791="USD",G791*R791,G791))</f>
        <v/>
      </c>
      <c r="T791" s="53">
        <f>IF(P791="","",IF(H791="USD",G791,IF(R791&gt;0,G791/R791,0)))</f>
        <v/>
      </c>
      <c r="U791" s="53">
        <f>IF(P791="","",IF(P791="Gasto",S791,IF(P791="Reembolso",-S791,0)))</f>
        <v/>
      </c>
      <c r="V791" s="53">
        <f>IF(P791="","",IF(P791="Ingreso",S791,0))</f>
        <v/>
      </c>
      <c r="W791" s="53">
        <f>IF(P791="","",IF(P791="Resultado trading",S791,0))</f>
        <v/>
      </c>
      <c r="X791" s="52">
        <f>IF(OR(P791="Gasto",P791="Reembolso"),IF(M791&lt;&gt;"",M791,IFERROR(INDEX(catClasif,MATCH(D791&amp;"|"&amp;E791,catClave,0))&amp;"","Variable")),"")</f>
        <v/>
      </c>
      <c r="Y791" s="52">
        <f>IF(P791="","",IFERROR(INDEX(catGrupo,MATCH(D791&amp;"|"&amp;E791,catClave,0))&amp;"",""))</f>
        <v/>
      </c>
      <c r="Z791" s="52">
        <f>IF(P791="","",WEEKDAY(B791,2))</f>
        <v/>
      </c>
      <c r="AA791" s="52">
        <f>IF(P791="","",IF(AND(P791="Gasto",X791="Variable",D791&lt;&gt;catTrading,S791&gt;0,S791&lt;=Umbral),1,0))</f>
        <v/>
      </c>
      <c r="AB791" s="52">
        <f>IF(OR(P791="",Q791=""),"",IFERROR(IF(INDEX(ctaVinc,MATCH(Q791,ctaNombre,0))&amp;""&lt;&gt;"",INDEX(ctaVinc,MATCH(Q791,ctaNombre,0))&amp;"",Q791),Q791))</f>
        <v/>
      </c>
      <c r="AC791" s="52">
        <f>IF(OR(K791="",AND(P791&lt;&gt;"Transferencia",P791&lt;&gt;"Pago tarjeta")),"",IFERROR(IF(INDEX(ctaVinc,MATCH(K791,ctaNombre,0))&amp;""&lt;&gt;"",INDEX(ctaVinc,MATCH(K791,ctaNombre,0))&amp;"",K791),K791))</f>
        <v/>
      </c>
      <c r="AD791" s="52">
        <f>IF(AB791="","",IFERROR(INDEX(ctaTipo,MATCH(AB791,ctaNombre,0))&amp;"",""))</f>
        <v/>
      </c>
      <c r="AE791" s="52">
        <f>IF(AC791="","",IFERROR(INDEX(ctaTipo,MATCH(AC791,ctaNombre,0))&amp;"",""))</f>
        <v/>
      </c>
      <c r="AF791" s="53">
        <f>IF(OR(P791="",AB791=""),"",IF(OR(P791="Gasto",P791="Transferencia",P791="Pago tarjeta"),-1,1)*IF(IFERROR(INDEX(ctaMoneda,MATCH(AB791,ctaNombre,0))&amp;"","DOP")="USD",T791,S791))</f>
        <v/>
      </c>
      <c r="AG791" s="53">
        <f>IF(AC791="","",IF(IFERROR(INDEX(ctaMoneda,MATCH(AC791,ctaNombre,0))&amp;"","DOP")="USD",T791,S791))</f>
        <v/>
      </c>
      <c r="AH791" s="53">
        <f>IF(P791="","",IF(AND(AD791&lt;&gt;"",COUNTIFS(tcTipo,AD791,tcLiq,"Sí")&gt;0),IF(OR(P791="Gasto",P791="Transferencia",P791="Pago tarjeta"),-1,1)*S791,0)+IF(AND(AE791&lt;&gt;"",COUNTIFS(tcTipo,AE791,tcLiq,"Sí")&gt;0),S791,0))</f>
        <v/>
      </c>
      <c r="AI791" s="52">
        <f>IF(OR(L791="",P791=""),"",IF(COUNTIFS(L$6:L791,L791,P$6:P791,"?*")=1,MAX(AI$5:AI790)+1,""))</f>
        <v/>
      </c>
    </row>
    <row r="792">
      <c r="B792" s="47" t="n"/>
      <c r="C792" s="48" t="n"/>
      <c r="D792" s="48" t="n"/>
      <c r="E792" s="48" t="n"/>
      <c r="F792" s="48" t="n"/>
      <c r="G792" s="49" t="n"/>
      <c r="H792" s="48" t="n"/>
      <c r="I792" s="50" t="n"/>
      <c r="J792" s="48" t="n"/>
      <c r="K792" s="48" t="n"/>
      <c r="L792" s="48" t="n"/>
      <c r="M792" s="48" t="n"/>
      <c r="N792" s="48" t="n"/>
      <c r="O792" s="51">
        <f>IF(AND(B792="",G792="",C792="",D792="",J792=""),"",IF(B792="","⚠ Falta fecha",IF(G792="","⚠ Falta monto",IF(Q792="","⚠ Falta cuenta",IF(ISNA(MATCH(Q792,ctaNombre,0)),"⚠ Cuenta no registrada",IF(AND(OR(P792="Gasto",P792="Reembolso"),D792=""),"⚠ Falta categoría",IF(AND(D792&lt;&gt;"",E792&lt;&gt;"",ISNA(MATCH(D792&amp;"|"&amp;E792,catClave,0))),"⚠ Subcategoría no corresponde",IF(AND(OR(P792="Transferencia",P792="Pago tarjeta"),K792=""),"⚠ Falta cuenta destino",IF(AND(K792&lt;&gt;"",P792&lt;&gt;"Transferencia",P792&lt;&gt;"Pago tarjeta"),"⚠ Destino solo aplica a transferencias",IF(AND(K792&lt;&gt;"",K792=Q792),"⚠ Origen igual a destino",IF(AND(K792&lt;&gt;"",ISNA(MATCH(K792,ctaNombre,0))),"⚠ Destino no registrado",IF(AND(P792="Pago tarjeta",AE792&lt;&gt;"Tarjeta de crédito"),"⚠ El destino debe ser tarjeta de crédito",IF(AND(P792="Gasto",E792="Depósitos y retiros"),"⚠ Usa tipo Transferencia",IF(AND(P792="Resultado trading",AD792&lt;&gt;"Cuenta de trading"),"⚠ Usa una cuenta de trading",IF(AND(G792&lt;=0,P792&lt;&gt;"Ajuste",P792&lt;&gt;"Resultado trading"),"⚠ El monto debe ser positivo","✓")))))))))))))))</f>
        <v/>
      </c>
      <c r="P792" s="52">
        <f>IF(OR(B792="",G792=""),"",IF(C792="","Gasto",C792))</f>
        <v/>
      </c>
      <c r="Q792" s="52">
        <f>IF(P792="","",IF(J792&lt;&gt;"",J792,CuentaPred&amp;""))</f>
        <v/>
      </c>
      <c r="R792" s="52">
        <f>IF(P792="","",IF(ISNUMBER(I792),I792,TasaUSD))</f>
        <v/>
      </c>
      <c r="S792" s="53">
        <f>IF(P792="","",IF(H792="USD",G792*R792,G792))</f>
        <v/>
      </c>
      <c r="T792" s="53">
        <f>IF(P792="","",IF(H792="USD",G792,IF(R792&gt;0,G792/R792,0)))</f>
        <v/>
      </c>
      <c r="U792" s="53">
        <f>IF(P792="","",IF(P792="Gasto",S792,IF(P792="Reembolso",-S792,0)))</f>
        <v/>
      </c>
      <c r="V792" s="53">
        <f>IF(P792="","",IF(P792="Ingreso",S792,0))</f>
        <v/>
      </c>
      <c r="W792" s="53">
        <f>IF(P792="","",IF(P792="Resultado trading",S792,0))</f>
        <v/>
      </c>
      <c r="X792" s="52">
        <f>IF(OR(P792="Gasto",P792="Reembolso"),IF(M792&lt;&gt;"",M792,IFERROR(INDEX(catClasif,MATCH(D792&amp;"|"&amp;E792,catClave,0))&amp;"","Variable")),"")</f>
        <v/>
      </c>
      <c r="Y792" s="52">
        <f>IF(P792="","",IFERROR(INDEX(catGrupo,MATCH(D792&amp;"|"&amp;E792,catClave,0))&amp;"",""))</f>
        <v/>
      </c>
      <c r="Z792" s="52">
        <f>IF(P792="","",WEEKDAY(B792,2))</f>
        <v/>
      </c>
      <c r="AA792" s="52">
        <f>IF(P792="","",IF(AND(P792="Gasto",X792="Variable",D792&lt;&gt;catTrading,S792&gt;0,S792&lt;=Umbral),1,0))</f>
        <v/>
      </c>
      <c r="AB792" s="52">
        <f>IF(OR(P792="",Q792=""),"",IFERROR(IF(INDEX(ctaVinc,MATCH(Q792,ctaNombre,0))&amp;""&lt;&gt;"",INDEX(ctaVinc,MATCH(Q792,ctaNombre,0))&amp;"",Q792),Q792))</f>
        <v/>
      </c>
      <c r="AC792" s="52">
        <f>IF(OR(K792="",AND(P792&lt;&gt;"Transferencia",P792&lt;&gt;"Pago tarjeta")),"",IFERROR(IF(INDEX(ctaVinc,MATCH(K792,ctaNombre,0))&amp;""&lt;&gt;"",INDEX(ctaVinc,MATCH(K792,ctaNombre,0))&amp;"",K792),K792))</f>
        <v/>
      </c>
      <c r="AD792" s="52">
        <f>IF(AB792="","",IFERROR(INDEX(ctaTipo,MATCH(AB792,ctaNombre,0))&amp;"",""))</f>
        <v/>
      </c>
      <c r="AE792" s="52">
        <f>IF(AC792="","",IFERROR(INDEX(ctaTipo,MATCH(AC792,ctaNombre,0))&amp;"",""))</f>
        <v/>
      </c>
      <c r="AF792" s="53">
        <f>IF(OR(P792="",AB792=""),"",IF(OR(P792="Gasto",P792="Transferencia",P792="Pago tarjeta"),-1,1)*IF(IFERROR(INDEX(ctaMoneda,MATCH(AB792,ctaNombre,0))&amp;"","DOP")="USD",T792,S792))</f>
        <v/>
      </c>
      <c r="AG792" s="53">
        <f>IF(AC792="","",IF(IFERROR(INDEX(ctaMoneda,MATCH(AC792,ctaNombre,0))&amp;"","DOP")="USD",T792,S792))</f>
        <v/>
      </c>
      <c r="AH792" s="53">
        <f>IF(P792="","",IF(AND(AD792&lt;&gt;"",COUNTIFS(tcTipo,AD792,tcLiq,"Sí")&gt;0),IF(OR(P792="Gasto",P792="Transferencia",P792="Pago tarjeta"),-1,1)*S792,0)+IF(AND(AE792&lt;&gt;"",COUNTIFS(tcTipo,AE792,tcLiq,"Sí")&gt;0),S792,0))</f>
        <v/>
      </c>
      <c r="AI792" s="52">
        <f>IF(OR(L792="",P792=""),"",IF(COUNTIFS(L$6:L792,L792,P$6:P792,"?*")=1,MAX(AI$5:AI791)+1,""))</f>
        <v/>
      </c>
    </row>
    <row r="793">
      <c r="B793" s="47" t="n"/>
      <c r="C793" s="48" t="n"/>
      <c r="D793" s="48" t="n"/>
      <c r="E793" s="48" t="n"/>
      <c r="F793" s="48" t="n"/>
      <c r="G793" s="49" t="n"/>
      <c r="H793" s="48" t="n"/>
      <c r="I793" s="50" t="n"/>
      <c r="J793" s="48" t="n"/>
      <c r="K793" s="48" t="n"/>
      <c r="L793" s="48" t="n"/>
      <c r="M793" s="48" t="n"/>
      <c r="N793" s="48" t="n"/>
      <c r="O793" s="51">
        <f>IF(AND(B793="",G793="",C793="",D793="",J793=""),"",IF(B793="","⚠ Falta fecha",IF(G793="","⚠ Falta monto",IF(Q793="","⚠ Falta cuenta",IF(ISNA(MATCH(Q793,ctaNombre,0)),"⚠ Cuenta no registrada",IF(AND(OR(P793="Gasto",P793="Reembolso"),D793=""),"⚠ Falta categoría",IF(AND(D793&lt;&gt;"",E793&lt;&gt;"",ISNA(MATCH(D793&amp;"|"&amp;E793,catClave,0))),"⚠ Subcategoría no corresponde",IF(AND(OR(P793="Transferencia",P793="Pago tarjeta"),K793=""),"⚠ Falta cuenta destino",IF(AND(K793&lt;&gt;"",P793&lt;&gt;"Transferencia",P793&lt;&gt;"Pago tarjeta"),"⚠ Destino solo aplica a transferencias",IF(AND(K793&lt;&gt;"",K793=Q793),"⚠ Origen igual a destino",IF(AND(K793&lt;&gt;"",ISNA(MATCH(K793,ctaNombre,0))),"⚠ Destino no registrado",IF(AND(P793="Pago tarjeta",AE793&lt;&gt;"Tarjeta de crédito"),"⚠ El destino debe ser tarjeta de crédito",IF(AND(P793="Gasto",E793="Depósitos y retiros"),"⚠ Usa tipo Transferencia",IF(AND(P793="Resultado trading",AD793&lt;&gt;"Cuenta de trading"),"⚠ Usa una cuenta de trading",IF(AND(G793&lt;=0,P793&lt;&gt;"Ajuste",P793&lt;&gt;"Resultado trading"),"⚠ El monto debe ser positivo","✓")))))))))))))))</f>
        <v/>
      </c>
      <c r="P793" s="52">
        <f>IF(OR(B793="",G793=""),"",IF(C793="","Gasto",C793))</f>
        <v/>
      </c>
      <c r="Q793" s="52">
        <f>IF(P793="","",IF(J793&lt;&gt;"",J793,CuentaPred&amp;""))</f>
        <v/>
      </c>
      <c r="R793" s="52">
        <f>IF(P793="","",IF(ISNUMBER(I793),I793,TasaUSD))</f>
        <v/>
      </c>
      <c r="S793" s="53">
        <f>IF(P793="","",IF(H793="USD",G793*R793,G793))</f>
        <v/>
      </c>
      <c r="T793" s="53">
        <f>IF(P793="","",IF(H793="USD",G793,IF(R793&gt;0,G793/R793,0)))</f>
        <v/>
      </c>
      <c r="U793" s="53">
        <f>IF(P793="","",IF(P793="Gasto",S793,IF(P793="Reembolso",-S793,0)))</f>
        <v/>
      </c>
      <c r="V793" s="53">
        <f>IF(P793="","",IF(P793="Ingreso",S793,0))</f>
        <v/>
      </c>
      <c r="W793" s="53">
        <f>IF(P793="","",IF(P793="Resultado trading",S793,0))</f>
        <v/>
      </c>
      <c r="X793" s="52">
        <f>IF(OR(P793="Gasto",P793="Reembolso"),IF(M793&lt;&gt;"",M793,IFERROR(INDEX(catClasif,MATCH(D793&amp;"|"&amp;E793,catClave,0))&amp;"","Variable")),"")</f>
        <v/>
      </c>
      <c r="Y793" s="52">
        <f>IF(P793="","",IFERROR(INDEX(catGrupo,MATCH(D793&amp;"|"&amp;E793,catClave,0))&amp;"",""))</f>
        <v/>
      </c>
      <c r="Z793" s="52">
        <f>IF(P793="","",WEEKDAY(B793,2))</f>
        <v/>
      </c>
      <c r="AA793" s="52">
        <f>IF(P793="","",IF(AND(P793="Gasto",X793="Variable",D793&lt;&gt;catTrading,S793&gt;0,S793&lt;=Umbral),1,0))</f>
        <v/>
      </c>
      <c r="AB793" s="52">
        <f>IF(OR(P793="",Q793=""),"",IFERROR(IF(INDEX(ctaVinc,MATCH(Q793,ctaNombre,0))&amp;""&lt;&gt;"",INDEX(ctaVinc,MATCH(Q793,ctaNombre,0))&amp;"",Q793),Q793))</f>
        <v/>
      </c>
      <c r="AC793" s="52">
        <f>IF(OR(K793="",AND(P793&lt;&gt;"Transferencia",P793&lt;&gt;"Pago tarjeta")),"",IFERROR(IF(INDEX(ctaVinc,MATCH(K793,ctaNombre,0))&amp;""&lt;&gt;"",INDEX(ctaVinc,MATCH(K793,ctaNombre,0))&amp;"",K793),K793))</f>
        <v/>
      </c>
      <c r="AD793" s="52">
        <f>IF(AB793="","",IFERROR(INDEX(ctaTipo,MATCH(AB793,ctaNombre,0))&amp;"",""))</f>
        <v/>
      </c>
      <c r="AE793" s="52">
        <f>IF(AC793="","",IFERROR(INDEX(ctaTipo,MATCH(AC793,ctaNombre,0))&amp;"",""))</f>
        <v/>
      </c>
      <c r="AF793" s="53">
        <f>IF(OR(P793="",AB793=""),"",IF(OR(P793="Gasto",P793="Transferencia",P793="Pago tarjeta"),-1,1)*IF(IFERROR(INDEX(ctaMoneda,MATCH(AB793,ctaNombre,0))&amp;"","DOP")="USD",T793,S793))</f>
        <v/>
      </c>
      <c r="AG793" s="53">
        <f>IF(AC793="","",IF(IFERROR(INDEX(ctaMoneda,MATCH(AC793,ctaNombre,0))&amp;"","DOP")="USD",T793,S793))</f>
        <v/>
      </c>
      <c r="AH793" s="53">
        <f>IF(P793="","",IF(AND(AD793&lt;&gt;"",COUNTIFS(tcTipo,AD793,tcLiq,"Sí")&gt;0),IF(OR(P793="Gasto",P793="Transferencia",P793="Pago tarjeta"),-1,1)*S793,0)+IF(AND(AE793&lt;&gt;"",COUNTIFS(tcTipo,AE793,tcLiq,"Sí")&gt;0),S793,0))</f>
        <v/>
      </c>
      <c r="AI793" s="52">
        <f>IF(OR(L793="",P793=""),"",IF(COUNTIFS(L$6:L793,L793,P$6:P793,"?*")=1,MAX(AI$5:AI792)+1,""))</f>
        <v/>
      </c>
    </row>
    <row r="794">
      <c r="B794" s="47" t="n"/>
      <c r="C794" s="48" t="n"/>
      <c r="D794" s="48" t="n"/>
      <c r="E794" s="48" t="n"/>
      <c r="F794" s="48" t="n"/>
      <c r="G794" s="49" t="n"/>
      <c r="H794" s="48" t="n"/>
      <c r="I794" s="50" t="n"/>
      <c r="J794" s="48" t="n"/>
      <c r="K794" s="48" t="n"/>
      <c r="L794" s="48" t="n"/>
      <c r="M794" s="48" t="n"/>
      <c r="N794" s="48" t="n"/>
      <c r="O794" s="51">
        <f>IF(AND(B794="",G794="",C794="",D794="",J794=""),"",IF(B794="","⚠ Falta fecha",IF(G794="","⚠ Falta monto",IF(Q794="","⚠ Falta cuenta",IF(ISNA(MATCH(Q794,ctaNombre,0)),"⚠ Cuenta no registrada",IF(AND(OR(P794="Gasto",P794="Reembolso"),D794=""),"⚠ Falta categoría",IF(AND(D794&lt;&gt;"",E794&lt;&gt;"",ISNA(MATCH(D794&amp;"|"&amp;E794,catClave,0))),"⚠ Subcategoría no corresponde",IF(AND(OR(P794="Transferencia",P794="Pago tarjeta"),K794=""),"⚠ Falta cuenta destino",IF(AND(K794&lt;&gt;"",P794&lt;&gt;"Transferencia",P794&lt;&gt;"Pago tarjeta"),"⚠ Destino solo aplica a transferencias",IF(AND(K794&lt;&gt;"",K794=Q794),"⚠ Origen igual a destino",IF(AND(K794&lt;&gt;"",ISNA(MATCH(K794,ctaNombre,0))),"⚠ Destino no registrado",IF(AND(P794="Pago tarjeta",AE794&lt;&gt;"Tarjeta de crédito"),"⚠ El destino debe ser tarjeta de crédito",IF(AND(P794="Gasto",E794="Depósitos y retiros"),"⚠ Usa tipo Transferencia",IF(AND(P794="Resultado trading",AD794&lt;&gt;"Cuenta de trading"),"⚠ Usa una cuenta de trading",IF(AND(G794&lt;=0,P794&lt;&gt;"Ajuste",P794&lt;&gt;"Resultado trading"),"⚠ El monto debe ser positivo","✓")))))))))))))))</f>
        <v/>
      </c>
      <c r="P794" s="52">
        <f>IF(OR(B794="",G794=""),"",IF(C794="","Gasto",C794))</f>
        <v/>
      </c>
      <c r="Q794" s="52">
        <f>IF(P794="","",IF(J794&lt;&gt;"",J794,CuentaPred&amp;""))</f>
        <v/>
      </c>
      <c r="R794" s="52">
        <f>IF(P794="","",IF(ISNUMBER(I794),I794,TasaUSD))</f>
        <v/>
      </c>
      <c r="S794" s="53">
        <f>IF(P794="","",IF(H794="USD",G794*R794,G794))</f>
        <v/>
      </c>
      <c r="T794" s="53">
        <f>IF(P794="","",IF(H794="USD",G794,IF(R794&gt;0,G794/R794,0)))</f>
        <v/>
      </c>
      <c r="U794" s="53">
        <f>IF(P794="","",IF(P794="Gasto",S794,IF(P794="Reembolso",-S794,0)))</f>
        <v/>
      </c>
      <c r="V794" s="53">
        <f>IF(P794="","",IF(P794="Ingreso",S794,0))</f>
        <v/>
      </c>
      <c r="W794" s="53">
        <f>IF(P794="","",IF(P794="Resultado trading",S794,0))</f>
        <v/>
      </c>
      <c r="X794" s="52">
        <f>IF(OR(P794="Gasto",P794="Reembolso"),IF(M794&lt;&gt;"",M794,IFERROR(INDEX(catClasif,MATCH(D794&amp;"|"&amp;E794,catClave,0))&amp;"","Variable")),"")</f>
        <v/>
      </c>
      <c r="Y794" s="52">
        <f>IF(P794="","",IFERROR(INDEX(catGrupo,MATCH(D794&amp;"|"&amp;E794,catClave,0))&amp;"",""))</f>
        <v/>
      </c>
      <c r="Z794" s="52">
        <f>IF(P794="","",WEEKDAY(B794,2))</f>
        <v/>
      </c>
      <c r="AA794" s="52">
        <f>IF(P794="","",IF(AND(P794="Gasto",X794="Variable",D794&lt;&gt;catTrading,S794&gt;0,S794&lt;=Umbral),1,0))</f>
        <v/>
      </c>
      <c r="AB794" s="52">
        <f>IF(OR(P794="",Q794=""),"",IFERROR(IF(INDEX(ctaVinc,MATCH(Q794,ctaNombre,0))&amp;""&lt;&gt;"",INDEX(ctaVinc,MATCH(Q794,ctaNombre,0))&amp;"",Q794),Q794))</f>
        <v/>
      </c>
      <c r="AC794" s="52">
        <f>IF(OR(K794="",AND(P794&lt;&gt;"Transferencia",P794&lt;&gt;"Pago tarjeta")),"",IFERROR(IF(INDEX(ctaVinc,MATCH(K794,ctaNombre,0))&amp;""&lt;&gt;"",INDEX(ctaVinc,MATCH(K794,ctaNombre,0))&amp;"",K794),K794))</f>
        <v/>
      </c>
      <c r="AD794" s="52">
        <f>IF(AB794="","",IFERROR(INDEX(ctaTipo,MATCH(AB794,ctaNombre,0))&amp;"",""))</f>
        <v/>
      </c>
      <c r="AE794" s="52">
        <f>IF(AC794="","",IFERROR(INDEX(ctaTipo,MATCH(AC794,ctaNombre,0))&amp;"",""))</f>
        <v/>
      </c>
      <c r="AF794" s="53">
        <f>IF(OR(P794="",AB794=""),"",IF(OR(P794="Gasto",P794="Transferencia",P794="Pago tarjeta"),-1,1)*IF(IFERROR(INDEX(ctaMoneda,MATCH(AB794,ctaNombre,0))&amp;"","DOP")="USD",T794,S794))</f>
        <v/>
      </c>
      <c r="AG794" s="53">
        <f>IF(AC794="","",IF(IFERROR(INDEX(ctaMoneda,MATCH(AC794,ctaNombre,0))&amp;"","DOP")="USD",T794,S794))</f>
        <v/>
      </c>
      <c r="AH794" s="53">
        <f>IF(P794="","",IF(AND(AD794&lt;&gt;"",COUNTIFS(tcTipo,AD794,tcLiq,"Sí")&gt;0),IF(OR(P794="Gasto",P794="Transferencia",P794="Pago tarjeta"),-1,1)*S794,0)+IF(AND(AE794&lt;&gt;"",COUNTIFS(tcTipo,AE794,tcLiq,"Sí")&gt;0),S794,0))</f>
        <v/>
      </c>
      <c r="AI794" s="52">
        <f>IF(OR(L794="",P794=""),"",IF(COUNTIFS(L$6:L794,L794,P$6:P794,"?*")=1,MAX(AI$5:AI793)+1,""))</f>
        <v/>
      </c>
    </row>
    <row r="795">
      <c r="B795" s="47" t="n"/>
      <c r="C795" s="48" t="n"/>
      <c r="D795" s="48" t="n"/>
      <c r="E795" s="48" t="n"/>
      <c r="F795" s="48" t="n"/>
      <c r="G795" s="49" t="n"/>
      <c r="H795" s="48" t="n"/>
      <c r="I795" s="50" t="n"/>
      <c r="J795" s="48" t="n"/>
      <c r="K795" s="48" t="n"/>
      <c r="L795" s="48" t="n"/>
      <c r="M795" s="48" t="n"/>
      <c r="N795" s="48" t="n"/>
      <c r="O795" s="51">
        <f>IF(AND(B795="",G795="",C795="",D795="",J795=""),"",IF(B795="","⚠ Falta fecha",IF(G795="","⚠ Falta monto",IF(Q795="","⚠ Falta cuenta",IF(ISNA(MATCH(Q795,ctaNombre,0)),"⚠ Cuenta no registrada",IF(AND(OR(P795="Gasto",P795="Reembolso"),D795=""),"⚠ Falta categoría",IF(AND(D795&lt;&gt;"",E795&lt;&gt;"",ISNA(MATCH(D795&amp;"|"&amp;E795,catClave,0))),"⚠ Subcategoría no corresponde",IF(AND(OR(P795="Transferencia",P795="Pago tarjeta"),K795=""),"⚠ Falta cuenta destino",IF(AND(K795&lt;&gt;"",P795&lt;&gt;"Transferencia",P795&lt;&gt;"Pago tarjeta"),"⚠ Destino solo aplica a transferencias",IF(AND(K795&lt;&gt;"",K795=Q795),"⚠ Origen igual a destino",IF(AND(K795&lt;&gt;"",ISNA(MATCH(K795,ctaNombre,0))),"⚠ Destino no registrado",IF(AND(P795="Pago tarjeta",AE795&lt;&gt;"Tarjeta de crédito"),"⚠ El destino debe ser tarjeta de crédito",IF(AND(P795="Gasto",E795="Depósitos y retiros"),"⚠ Usa tipo Transferencia",IF(AND(P795="Resultado trading",AD795&lt;&gt;"Cuenta de trading"),"⚠ Usa una cuenta de trading",IF(AND(G795&lt;=0,P795&lt;&gt;"Ajuste",P795&lt;&gt;"Resultado trading"),"⚠ El monto debe ser positivo","✓")))))))))))))))</f>
        <v/>
      </c>
      <c r="P795" s="52">
        <f>IF(OR(B795="",G795=""),"",IF(C795="","Gasto",C795))</f>
        <v/>
      </c>
      <c r="Q795" s="52">
        <f>IF(P795="","",IF(J795&lt;&gt;"",J795,CuentaPred&amp;""))</f>
        <v/>
      </c>
      <c r="R795" s="52">
        <f>IF(P795="","",IF(ISNUMBER(I795),I795,TasaUSD))</f>
        <v/>
      </c>
      <c r="S795" s="53">
        <f>IF(P795="","",IF(H795="USD",G795*R795,G795))</f>
        <v/>
      </c>
      <c r="T795" s="53">
        <f>IF(P795="","",IF(H795="USD",G795,IF(R795&gt;0,G795/R795,0)))</f>
        <v/>
      </c>
      <c r="U795" s="53">
        <f>IF(P795="","",IF(P795="Gasto",S795,IF(P795="Reembolso",-S795,0)))</f>
        <v/>
      </c>
      <c r="V795" s="53">
        <f>IF(P795="","",IF(P795="Ingreso",S795,0))</f>
        <v/>
      </c>
      <c r="W795" s="53">
        <f>IF(P795="","",IF(P795="Resultado trading",S795,0))</f>
        <v/>
      </c>
      <c r="X795" s="52">
        <f>IF(OR(P795="Gasto",P795="Reembolso"),IF(M795&lt;&gt;"",M795,IFERROR(INDEX(catClasif,MATCH(D795&amp;"|"&amp;E795,catClave,0))&amp;"","Variable")),"")</f>
        <v/>
      </c>
      <c r="Y795" s="52">
        <f>IF(P795="","",IFERROR(INDEX(catGrupo,MATCH(D795&amp;"|"&amp;E795,catClave,0))&amp;"",""))</f>
        <v/>
      </c>
      <c r="Z795" s="52">
        <f>IF(P795="","",WEEKDAY(B795,2))</f>
        <v/>
      </c>
      <c r="AA795" s="52">
        <f>IF(P795="","",IF(AND(P795="Gasto",X795="Variable",D795&lt;&gt;catTrading,S795&gt;0,S795&lt;=Umbral),1,0))</f>
        <v/>
      </c>
      <c r="AB795" s="52">
        <f>IF(OR(P795="",Q795=""),"",IFERROR(IF(INDEX(ctaVinc,MATCH(Q795,ctaNombre,0))&amp;""&lt;&gt;"",INDEX(ctaVinc,MATCH(Q795,ctaNombre,0))&amp;"",Q795),Q795))</f>
        <v/>
      </c>
      <c r="AC795" s="52">
        <f>IF(OR(K795="",AND(P795&lt;&gt;"Transferencia",P795&lt;&gt;"Pago tarjeta")),"",IFERROR(IF(INDEX(ctaVinc,MATCH(K795,ctaNombre,0))&amp;""&lt;&gt;"",INDEX(ctaVinc,MATCH(K795,ctaNombre,0))&amp;"",K795),K795))</f>
        <v/>
      </c>
      <c r="AD795" s="52">
        <f>IF(AB795="","",IFERROR(INDEX(ctaTipo,MATCH(AB795,ctaNombre,0))&amp;"",""))</f>
        <v/>
      </c>
      <c r="AE795" s="52">
        <f>IF(AC795="","",IFERROR(INDEX(ctaTipo,MATCH(AC795,ctaNombre,0))&amp;"",""))</f>
        <v/>
      </c>
      <c r="AF795" s="53">
        <f>IF(OR(P795="",AB795=""),"",IF(OR(P795="Gasto",P795="Transferencia",P795="Pago tarjeta"),-1,1)*IF(IFERROR(INDEX(ctaMoneda,MATCH(AB795,ctaNombre,0))&amp;"","DOP")="USD",T795,S795))</f>
        <v/>
      </c>
      <c r="AG795" s="53">
        <f>IF(AC795="","",IF(IFERROR(INDEX(ctaMoneda,MATCH(AC795,ctaNombre,0))&amp;"","DOP")="USD",T795,S795))</f>
        <v/>
      </c>
      <c r="AH795" s="53">
        <f>IF(P795="","",IF(AND(AD795&lt;&gt;"",COUNTIFS(tcTipo,AD795,tcLiq,"Sí")&gt;0),IF(OR(P795="Gasto",P795="Transferencia",P795="Pago tarjeta"),-1,1)*S795,0)+IF(AND(AE795&lt;&gt;"",COUNTIFS(tcTipo,AE795,tcLiq,"Sí")&gt;0),S795,0))</f>
        <v/>
      </c>
      <c r="AI795" s="52">
        <f>IF(OR(L795="",P795=""),"",IF(COUNTIFS(L$6:L795,L795,P$6:P795,"?*")=1,MAX(AI$5:AI794)+1,""))</f>
        <v/>
      </c>
    </row>
    <row r="796">
      <c r="B796" s="47" t="n"/>
      <c r="C796" s="48" t="n"/>
      <c r="D796" s="48" t="n"/>
      <c r="E796" s="48" t="n"/>
      <c r="F796" s="48" t="n"/>
      <c r="G796" s="49" t="n"/>
      <c r="H796" s="48" t="n"/>
      <c r="I796" s="50" t="n"/>
      <c r="J796" s="48" t="n"/>
      <c r="K796" s="48" t="n"/>
      <c r="L796" s="48" t="n"/>
      <c r="M796" s="48" t="n"/>
      <c r="N796" s="48" t="n"/>
      <c r="O796" s="51">
        <f>IF(AND(B796="",G796="",C796="",D796="",J796=""),"",IF(B796="","⚠ Falta fecha",IF(G796="","⚠ Falta monto",IF(Q796="","⚠ Falta cuenta",IF(ISNA(MATCH(Q796,ctaNombre,0)),"⚠ Cuenta no registrada",IF(AND(OR(P796="Gasto",P796="Reembolso"),D796=""),"⚠ Falta categoría",IF(AND(D796&lt;&gt;"",E796&lt;&gt;"",ISNA(MATCH(D796&amp;"|"&amp;E796,catClave,0))),"⚠ Subcategoría no corresponde",IF(AND(OR(P796="Transferencia",P796="Pago tarjeta"),K796=""),"⚠ Falta cuenta destino",IF(AND(K796&lt;&gt;"",P796&lt;&gt;"Transferencia",P796&lt;&gt;"Pago tarjeta"),"⚠ Destino solo aplica a transferencias",IF(AND(K796&lt;&gt;"",K796=Q796),"⚠ Origen igual a destino",IF(AND(K796&lt;&gt;"",ISNA(MATCH(K796,ctaNombre,0))),"⚠ Destino no registrado",IF(AND(P796="Pago tarjeta",AE796&lt;&gt;"Tarjeta de crédito"),"⚠ El destino debe ser tarjeta de crédito",IF(AND(P796="Gasto",E796="Depósitos y retiros"),"⚠ Usa tipo Transferencia",IF(AND(P796="Resultado trading",AD796&lt;&gt;"Cuenta de trading"),"⚠ Usa una cuenta de trading",IF(AND(G796&lt;=0,P796&lt;&gt;"Ajuste",P796&lt;&gt;"Resultado trading"),"⚠ El monto debe ser positivo","✓")))))))))))))))</f>
        <v/>
      </c>
      <c r="P796" s="52">
        <f>IF(OR(B796="",G796=""),"",IF(C796="","Gasto",C796))</f>
        <v/>
      </c>
      <c r="Q796" s="52">
        <f>IF(P796="","",IF(J796&lt;&gt;"",J796,CuentaPred&amp;""))</f>
        <v/>
      </c>
      <c r="R796" s="52">
        <f>IF(P796="","",IF(ISNUMBER(I796),I796,TasaUSD))</f>
        <v/>
      </c>
      <c r="S796" s="53">
        <f>IF(P796="","",IF(H796="USD",G796*R796,G796))</f>
        <v/>
      </c>
      <c r="T796" s="53">
        <f>IF(P796="","",IF(H796="USD",G796,IF(R796&gt;0,G796/R796,0)))</f>
        <v/>
      </c>
      <c r="U796" s="53">
        <f>IF(P796="","",IF(P796="Gasto",S796,IF(P796="Reembolso",-S796,0)))</f>
        <v/>
      </c>
      <c r="V796" s="53">
        <f>IF(P796="","",IF(P796="Ingreso",S796,0))</f>
        <v/>
      </c>
      <c r="W796" s="53">
        <f>IF(P796="","",IF(P796="Resultado trading",S796,0))</f>
        <v/>
      </c>
      <c r="X796" s="52">
        <f>IF(OR(P796="Gasto",P796="Reembolso"),IF(M796&lt;&gt;"",M796,IFERROR(INDEX(catClasif,MATCH(D796&amp;"|"&amp;E796,catClave,0))&amp;"","Variable")),"")</f>
        <v/>
      </c>
      <c r="Y796" s="52">
        <f>IF(P796="","",IFERROR(INDEX(catGrupo,MATCH(D796&amp;"|"&amp;E796,catClave,0))&amp;"",""))</f>
        <v/>
      </c>
      <c r="Z796" s="52">
        <f>IF(P796="","",WEEKDAY(B796,2))</f>
        <v/>
      </c>
      <c r="AA796" s="52">
        <f>IF(P796="","",IF(AND(P796="Gasto",X796="Variable",D796&lt;&gt;catTrading,S796&gt;0,S796&lt;=Umbral),1,0))</f>
        <v/>
      </c>
      <c r="AB796" s="52">
        <f>IF(OR(P796="",Q796=""),"",IFERROR(IF(INDEX(ctaVinc,MATCH(Q796,ctaNombre,0))&amp;""&lt;&gt;"",INDEX(ctaVinc,MATCH(Q796,ctaNombre,0))&amp;"",Q796),Q796))</f>
        <v/>
      </c>
      <c r="AC796" s="52">
        <f>IF(OR(K796="",AND(P796&lt;&gt;"Transferencia",P796&lt;&gt;"Pago tarjeta")),"",IFERROR(IF(INDEX(ctaVinc,MATCH(K796,ctaNombre,0))&amp;""&lt;&gt;"",INDEX(ctaVinc,MATCH(K796,ctaNombre,0))&amp;"",K796),K796))</f>
        <v/>
      </c>
      <c r="AD796" s="52">
        <f>IF(AB796="","",IFERROR(INDEX(ctaTipo,MATCH(AB796,ctaNombre,0))&amp;"",""))</f>
        <v/>
      </c>
      <c r="AE796" s="52">
        <f>IF(AC796="","",IFERROR(INDEX(ctaTipo,MATCH(AC796,ctaNombre,0))&amp;"",""))</f>
        <v/>
      </c>
      <c r="AF796" s="53">
        <f>IF(OR(P796="",AB796=""),"",IF(OR(P796="Gasto",P796="Transferencia",P796="Pago tarjeta"),-1,1)*IF(IFERROR(INDEX(ctaMoneda,MATCH(AB796,ctaNombre,0))&amp;"","DOP")="USD",T796,S796))</f>
        <v/>
      </c>
      <c r="AG796" s="53">
        <f>IF(AC796="","",IF(IFERROR(INDEX(ctaMoneda,MATCH(AC796,ctaNombre,0))&amp;"","DOP")="USD",T796,S796))</f>
        <v/>
      </c>
      <c r="AH796" s="53">
        <f>IF(P796="","",IF(AND(AD796&lt;&gt;"",COUNTIFS(tcTipo,AD796,tcLiq,"Sí")&gt;0),IF(OR(P796="Gasto",P796="Transferencia",P796="Pago tarjeta"),-1,1)*S796,0)+IF(AND(AE796&lt;&gt;"",COUNTIFS(tcTipo,AE796,tcLiq,"Sí")&gt;0),S796,0))</f>
        <v/>
      </c>
      <c r="AI796" s="52">
        <f>IF(OR(L796="",P796=""),"",IF(COUNTIFS(L$6:L796,L796,P$6:P796,"?*")=1,MAX(AI$5:AI795)+1,""))</f>
        <v/>
      </c>
    </row>
    <row r="797">
      <c r="B797" s="47" t="n"/>
      <c r="C797" s="48" t="n"/>
      <c r="D797" s="48" t="n"/>
      <c r="E797" s="48" t="n"/>
      <c r="F797" s="48" t="n"/>
      <c r="G797" s="49" t="n"/>
      <c r="H797" s="48" t="n"/>
      <c r="I797" s="50" t="n"/>
      <c r="J797" s="48" t="n"/>
      <c r="K797" s="48" t="n"/>
      <c r="L797" s="48" t="n"/>
      <c r="M797" s="48" t="n"/>
      <c r="N797" s="48" t="n"/>
      <c r="O797" s="51">
        <f>IF(AND(B797="",G797="",C797="",D797="",J797=""),"",IF(B797="","⚠ Falta fecha",IF(G797="","⚠ Falta monto",IF(Q797="","⚠ Falta cuenta",IF(ISNA(MATCH(Q797,ctaNombre,0)),"⚠ Cuenta no registrada",IF(AND(OR(P797="Gasto",P797="Reembolso"),D797=""),"⚠ Falta categoría",IF(AND(D797&lt;&gt;"",E797&lt;&gt;"",ISNA(MATCH(D797&amp;"|"&amp;E797,catClave,0))),"⚠ Subcategoría no corresponde",IF(AND(OR(P797="Transferencia",P797="Pago tarjeta"),K797=""),"⚠ Falta cuenta destino",IF(AND(K797&lt;&gt;"",P797&lt;&gt;"Transferencia",P797&lt;&gt;"Pago tarjeta"),"⚠ Destino solo aplica a transferencias",IF(AND(K797&lt;&gt;"",K797=Q797),"⚠ Origen igual a destino",IF(AND(K797&lt;&gt;"",ISNA(MATCH(K797,ctaNombre,0))),"⚠ Destino no registrado",IF(AND(P797="Pago tarjeta",AE797&lt;&gt;"Tarjeta de crédito"),"⚠ El destino debe ser tarjeta de crédito",IF(AND(P797="Gasto",E797="Depósitos y retiros"),"⚠ Usa tipo Transferencia",IF(AND(P797="Resultado trading",AD797&lt;&gt;"Cuenta de trading"),"⚠ Usa una cuenta de trading",IF(AND(G797&lt;=0,P797&lt;&gt;"Ajuste",P797&lt;&gt;"Resultado trading"),"⚠ El monto debe ser positivo","✓")))))))))))))))</f>
        <v/>
      </c>
      <c r="P797" s="52">
        <f>IF(OR(B797="",G797=""),"",IF(C797="","Gasto",C797))</f>
        <v/>
      </c>
      <c r="Q797" s="52">
        <f>IF(P797="","",IF(J797&lt;&gt;"",J797,CuentaPred&amp;""))</f>
        <v/>
      </c>
      <c r="R797" s="52">
        <f>IF(P797="","",IF(ISNUMBER(I797),I797,TasaUSD))</f>
        <v/>
      </c>
      <c r="S797" s="53">
        <f>IF(P797="","",IF(H797="USD",G797*R797,G797))</f>
        <v/>
      </c>
      <c r="T797" s="53">
        <f>IF(P797="","",IF(H797="USD",G797,IF(R797&gt;0,G797/R797,0)))</f>
        <v/>
      </c>
      <c r="U797" s="53">
        <f>IF(P797="","",IF(P797="Gasto",S797,IF(P797="Reembolso",-S797,0)))</f>
        <v/>
      </c>
      <c r="V797" s="53">
        <f>IF(P797="","",IF(P797="Ingreso",S797,0))</f>
        <v/>
      </c>
      <c r="W797" s="53">
        <f>IF(P797="","",IF(P797="Resultado trading",S797,0))</f>
        <v/>
      </c>
      <c r="X797" s="52">
        <f>IF(OR(P797="Gasto",P797="Reembolso"),IF(M797&lt;&gt;"",M797,IFERROR(INDEX(catClasif,MATCH(D797&amp;"|"&amp;E797,catClave,0))&amp;"","Variable")),"")</f>
        <v/>
      </c>
      <c r="Y797" s="52">
        <f>IF(P797="","",IFERROR(INDEX(catGrupo,MATCH(D797&amp;"|"&amp;E797,catClave,0))&amp;"",""))</f>
        <v/>
      </c>
      <c r="Z797" s="52">
        <f>IF(P797="","",WEEKDAY(B797,2))</f>
        <v/>
      </c>
      <c r="AA797" s="52">
        <f>IF(P797="","",IF(AND(P797="Gasto",X797="Variable",D797&lt;&gt;catTrading,S797&gt;0,S797&lt;=Umbral),1,0))</f>
        <v/>
      </c>
      <c r="AB797" s="52">
        <f>IF(OR(P797="",Q797=""),"",IFERROR(IF(INDEX(ctaVinc,MATCH(Q797,ctaNombre,0))&amp;""&lt;&gt;"",INDEX(ctaVinc,MATCH(Q797,ctaNombre,0))&amp;"",Q797),Q797))</f>
        <v/>
      </c>
      <c r="AC797" s="52">
        <f>IF(OR(K797="",AND(P797&lt;&gt;"Transferencia",P797&lt;&gt;"Pago tarjeta")),"",IFERROR(IF(INDEX(ctaVinc,MATCH(K797,ctaNombre,0))&amp;""&lt;&gt;"",INDEX(ctaVinc,MATCH(K797,ctaNombre,0))&amp;"",K797),K797))</f>
        <v/>
      </c>
      <c r="AD797" s="52">
        <f>IF(AB797="","",IFERROR(INDEX(ctaTipo,MATCH(AB797,ctaNombre,0))&amp;"",""))</f>
        <v/>
      </c>
      <c r="AE797" s="52">
        <f>IF(AC797="","",IFERROR(INDEX(ctaTipo,MATCH(AC797,ctaNombre,0))&amp;"",""))</f>
        <v/>
      </c>
      <c r="AF797" s="53">
        <f>IF(OR(P797="",AB797=""),"",IF(OR(P797="Gasto",P797="Transferencia",P797="Pago tarjeta"),-1,1)*IF(IFERROR(INDEX(ctaMoneda,MATCH(AB797,ctaNombre,0))&amp;"","DOP")="USD",T797,S797))</f>
        <v/>
      </c>
      <c r="AG797" s="53">
        <f>IF(AC797="","",IF(IFERROR(INDEX(ctaMoneda,MATCH(AC797,ctaNombre,0))&amp;"","DOP")="USD",T797,S797))</f>
        <v/>
      </c>
      <c r="AH797" s="53">
        <f>IF(P797="","",IF(AND(AD797&lt;&gt;"",COUNTIFS(tcTipo,AD797,tcLiq,"Sí")&gt;0),IF(OR(P797="Gasto",P797="Transferencia",P797="Pago tarjeta"),-1,1)*S797,0)+IF(AND(AE797&lt;&gt;"",COUNTIFS(tcTipo,AE797,tcLiq,"Sí")&gt;0),S797,0))</f>
        <v/>
      </c>
      <c r="AI797" s="52">
        <f>IF(OR(L797="",P797=""),"",IF(COUNTIFS(L$6:L797,L797,P$6:P797,"?*")=1,MAX(AI$5:AI796)+1,""))</f>
        <v/>
      </c>
    </row>
    <row r="798">
      <c r="B798" s="47" t="n"/>
      <c r="C798" s="48" t="n"/>
      <c r="D798" s="48" t="n"/>
      <c r="E798" s="48" t="n"/>
      <c r="F798" s="48" t="n"/>
      <c r="G798" s="49" t="n"/>
      <c r="H798" s="48" t="n"/>
      <c r="I798" s="50" t="n"/>
      <c r="J798" s="48" t="n"/>
      <c r="K798" s="48" t="n"/>
      <c r="L798" s="48" t="n"/>
      <c r="M798" s="48" t="n"/>
      <c r="N798" s="48" t="n"/>
      <c r="O798" s="51">
        <f>IF(AND(B798="",G798="",C798="",D798="",J798=""),"",IF(B798="","⚠ Falta fecha",IF(G798="","⚠ Falta monto",IF(Q798="","⚠ Falta cuenta",IF(ISNA(MATCH(Q798,ctaNombre,0)),"⚠ Cuenta no registrada",IF(AND(OR(P798="Gasto",P798="Reembolso"),D798=""),"⚠ Falta categoría",IF(AND(D798&lt;&gt;"",E798&lt;&gt;"",ISNA(MATCH(D798&amp;"|"&amp;E798,catClave,0))),"⚠ Subcategoría no corresponde",IF(AND(OR(P798="Transferencia",P798="Pago tarjeta"),K798=""),"⚠ Falta cuenta destino",IF(AND(K798&lt;&gt;"",P798&lt;&gt;"Transferencia",P798&lt;&gt;"Pago tarjeta"),"⚠ Destino solo aplica a transferencias",IF(AND(K798&lt;&gt;"",K798=Q798),"⚠ Origen igual a destino",IF(AND(K798&lt;&gt;"",ISNA(MATCH(K798,ctaNombre,0))),"⚠ Destino no registrado",IF(AND(P798="Pago tarjeta",AE798&lt;&gt;"Tarjeta de crédito"),"⚠ El destino debe ser tarjeta de crédito",IF(AND(P798="Gasto",E798="Depósitos y retiros"),"⚠ Usa tipo Transferencia",IF(AND(P798="Resultado trading",AD798&lt;&gt;"Cuenta de trading"),"⚠ Usa una cuenta de trading",IF(AND(G798&lt;=0,P798&lt;&gt;"Ajuste",P798&lt;&gt;"Resultado trading"),"⚠ El monto debe ser positivo","✓")))))))))))))))</f>
        <v/>
      </c>
      <c r="P798" s="52">
        <f>IF(OR(B798="",G798=""),"",IF(C798="","Gasto",C798))</f>
        <v/>
      </c>
      <c r="Q798" s="52">
        <f>IF(P798="","",IF(J798&lt;&gt;"",J798,CuentaPred&amp;""))</f>
        <v/>
      </c>
      <c r="R798" s="52">
        <f>IF(P798="","",IF(ISNUMBER(I798),I798,TasaUSD))</f>
        <v/>
      </c>
      <c r="S798" s="53">
        <f>IF(P798="","",IF(H798="USD",G798*R798,G798))</f>
        <v/>
      </c>
      <c r="T798" s="53">
        <f>IF(P798="","",IF(H798="USD",G798,IF(R798&gt;0,G798/R798,0)))</f>
        <v/>
      </c>
      <c r="U798" s="53">
        <f>IF(P798="","",IF(P798="Gasto",S798,IF(P798="Reembolso",-S798,0)))</f>
        <v/>
      </c>
      <c r="V798" s="53">
        <f>IF(P798="","",IF(P798="Ingreso",S798,0))</f>
        <v/>
      </c>
      <c r="W798" s="53">
        <f>IF(P798="","",IF(P798="Resultado trading",S798,0))</f>
        <v/>
      </c>
      <c r="X798" s="52">
        <f>IF(OR(P798="Gasto",P798="Reembolso"),IF(M798&lt;&gt;"",M798,IFERROR(INDEX(catClasif,MATCH(D798&amp;"|"&amp;E798,catClave,0))&amp;"","Variable")),"")</f>
        <v/>
      </c>
      <c r="Y798" s="52">
        <f>IF(P798="","",IFERROR(INDEX(catGrupo,MATCH(D798&amp;"|"&amp;E798,catClave,0))&amp;"",""))</f>
        <v/>
      </c>
      <c r="Z798" s="52">
        <f>IF(P798="","",WEEKDAY(B798,2))</f>
        <v/>
      </c>
      <c r="AA798" s="52">
        <f>IF(P798="","",IF(AND(P798="Gasto",X798="Variable",D798&lt;&gt;catTrading,S798&gt;0,S798&lt;=Umbral),1,0))</f>
        <v/>
      </c>
      <c r="AB798" s="52">
        <f>IF(OR(P798="",Q798=""),"",IFERROR(IF(INDEX(ctaVinc,MATCH(Q798,ctaNombre,0))&amp;""&lt;&gt;"",INDEX(ctaVinc,MATCH(Q798,ctaNombre,0))&amp;"",Q798),Q798))</f>
        <v/>
      </c>
      <c r="AC798" s="52">
        <f>IF(OR(K798="",AND(P798&lt;&gt;"Transferencia",P798&lt;&gt;"Pago tarjeta")),"",IFERROR(IF(INDEX(ctaVinc,MATCH(K798,ctaNombre,0))&amp;""&lt;&gt;"",INDEX(ctaVinc,MATCH(K798,ctaNombre,0))&amp;"",K798),K798))</f>
        <v/>
      </c>
      <c r="AD798" s="52">
        <f>IF(AB798="","",IFERROR(INDEX(ctaTipo,MATCH(AB798,ctaNombre,0))&amp;"",""))</f>
        <v/>
      </c>
      <c r="AE798" s="52">
        <f>IF(AC798="","",IFERROR(INDEX(ctaTipo,MATCH(AC798,ctaNombre,0))&amp;"",""))</f>
        <v/>
      </c>
      <c r="AF798" s="53">
        <f>IF(OR(P798="",AB798=""),"",IF(OR(P798="Gasto",P798="Transferencia",P798="Pago tarjeta"),-1,1)*IF(IFERROR(INDEX(ctaMoneda,MATCH(AB798,ctaNombre,0))&amp;"","DOP")="USD",T798,S798))</f>
        <v/>
      </c>
      <c r="AG798" s="53">
        <f>IF(AC798="","",IF(IFERROR(INDEX(ctaMoneda,MATCH(AC798,ctaNombre,0))&amp;"","DOP")="USD",T798,S798))</f>
        <v/>
      </c>
      <c r="AH798" s="53">
        <f>IF(P798="","",IF(AND(AD798&lt;&gt;"",COUNTIFS(tcTipo,AD798,tcLiq,"Sí")&gt;0),IF(OR(P798="Gasto",P798="Transferencia",P798="Pago tarjeta"),-1,1)*S798,0)+IF(AND(AE798&lt;&gt;"",COUNTIFS(tcTipo,AE798,tcLiq,"Sí")&gt;0),S798,0))</f>
        <v/>
      </c>
      <c r="AI798" s="52">
        <f>IF(OR(L798="",P798=""),"",IF(COUNTIFS(L$6:L798,L798,P$6:P798,"?*")=1,MAX(AI$5:AI797)+1,""))</f>
        <v/>
      </c>
    </row>
    <row r="799">
      <c r="B799" s="47" t="n"/>
      <c r="C799" s="48" t="n"/>
      <c r="D799" s="48" t="n"/>
      <c r="E799" s="48" t="n"/>
      <c r="F799" s="48" t="n"/>
      <c r="G799" s="49" t="n"/>
      <c r="H799" s="48" t="n"/>
      <c r="I799" s="50" t="n"/>
      <c r="J799" s="48" t="n"/>
      <c r="K799" s="48" t="n"/>
      <c r="L799" s="48" t="n"/>
      <c r="M799" s="48" t="n"/>
      <c r="N799" s="48" t="n"/>
      <c r="O799" s="51">
        <f>IF(AND(B799="",G799="",C799="",D799="",J799=""),"",IF(B799="","⚠ Falta fecha",IF(G799="","⚠ Falta monto",IF(Q799="","⚠ Falta cuenta",IF(ISNA(MATCH(Q799,ctaNombre,0)),"⚠ Cuenta no registrada",IF(AND(OR(P799="Gasto",P799="Reembolso"),D799=""),"⚠ Falta categoría",IF(AND(D799&lt;&gt;"",E799&lt;&gt;"",ISNA(MATCH(D799&amp;"|"&amp;E799,catClave,0))),"⚠ Subcategoría no corresponde",IF(AND(OR(P799="Transferencia",P799="Pago tarjeta"),K799=""),"⚠ Falta cuenta destino",IF(AND(K799&lt;&gt;"",P799&lt;&gt;"Transferencia",P799&lt;&gt;"Pago tarjeta"),"⚠ Destino solo aplica a transferencias",IF(AND(K799&lt;&gt;"",K799=Q799),"⚠ Origen igual a destino",IF(AND(K799&lt;&gt;"",ISNA(MATCH(K799,ctaNombre,0))),"⚠ Destino no registrado",IF(AND(P799="Pago tarjeta",AE799&lt;&gt;"Tarjeta de crédito"),"⚠ El destino debe ser tarjeta de crédito",IF(AND(P799="Gasto",E799="Depósitos y retiros"),"⚠ Usa tipo Transferencia",IF(AND(P799="Resultado trading",AD799&lt;&gt;"Cuenta de trading"),"⚠ Usa una cuenta de trading",IF(AND(G799&lt;=0,P799&lt;&gt;"Ajuste",P799&lt;&gt;"Resultado trading"),"⚠ El monto debe ser positivo","✓")))))))))))))))</f>
        <v/>
      </c>
      <c r="P799" s="52">
        <f>IF(OR(B799="",G799=""),"",IF(C799="","Gasto",C799))</f>
        <v/>
      </c>
      <c r="Q799" s="52">
        <f>IF(P799="","",IF(J799&lt;&gt;"",J799,CuentaPred&amp;""))</f>
        <v/>
      </c>
      <c r="R799" s="52">
        <f>IF(P799="","",IF(ISNUMBER(I799),I799,TasaUSD))</f>
        <v/>
      </c>
      <c r="S799" s="53">
        <f>IF(P799="","",IF(H799="USD",G799*R799,G799))</f>
        <v/>
      </c>
      <c r="T799" s="53">
        <f>IF(P799="","",IF(H799="USD",G799,IF(R799&gt;0,G799/R799,0)))</f>
        <v/>
      </c>
      <c r="U799" s="53">
        <f>IF(P799="","",IF(P799="Gasto",S799,IF(P799="Reembolso",-S799,0)))</f>
        <v/>
      </c>
      <c r="V799" s="53">
        <f>IF(P799="","",IF(P799="Ingreso",S799,0))</f>
        <v/>
      </c>
      <c r="W799" s="53">
        <f>IF(P799="","",IF(P799="Resultado trading",S799,0))</f>
        <v/>
      </c>
      <c r="X799" s="52">
        <f>IF(OR(P799="Gasto",P799="Reembolso"),IF(M799&lt;&gt;"",M799,IFERROR(INDEX(catClasif,MATCH(D799&amp;"|"&amp;E799,catClave,0))&amp;"","Variable")),"")</f>
        <v/>
      </c>
      <c r="Y799" s="52">
        <f>IF(P799="","",IFERROR(INDEX(catGrupo,MATCH(D799&amp;"|"&amp;E799,catClave,0))&amp;"",""))</f>
        <v/>
      </c>
      <c r="Z799" s="52">
        <f>IF(P799="","",WEEKDAY(B799,2))</f>
        <v/>
      </c>
      <c r="AA799" s="52">
        <f>IF(P799="","",IF(AND(P799="Gasto",X799="Variable",D799&lt;&gt;catTrading,S799&gt;0,S799&lt;=Umbral),1,0))</f>
        <v/>
      </c>
      <c r="AB799" s="52">
        <f>IF(OR(P799="",Q799=""),"",IFERROR(IF(INDEX(ctaVinc,MATCH(Q799,ctaNombre,0))&amp;""&lt;&gt;"",INDEX(ctaVinc,MATCH(Q799,ctaNombre,0))&amp;"",Q799),Q799))</f>
        <v/>
      </c>
      <c r="AC799" s="52">
        <f>IF(OR(K799="",AND(P799&lt;&gt;"Transferencia",P799&lt;&gt;"Pago tarjeta")),"",IFERROR(IF(INDEX(ctaVinc,MATCH(K799,ctaNombre,0))&amp;""&lt;&gt;"",INDEX(ctaVinc,MATCH(K799,ctaNombre,0))&amp;"",K799),K799))</f>
        <v/>
      </c>
      <c r="AD799" s="52">
        <f>IF(AB799="","",IFERROR(INDEX(ctaTipo,MATCH(AB799,ctaNombre,0))&amp;"",""))</f>
        <v/>
      </c>
      <c r="AE799" s="52">
        <f>IF(AC799="","",IFERROR(INDEX(ctaTipo,MATCH(AC799,ctaNombre,0))&amp;"",""))</f>
        <v/>
      </c>
      <c r="AF799" s="53">
        <f>IF(OR(P799="",AB799=""),"",IF(OR(P799="Gasto",P799="Transferencia",P799="Pago tarjeta"),-1,1)*IF(IFERROR(INDEX(ctaMoneda,MATCH(AB799,ctaNombre,0))&amp;"","DOP")="USD",T799,S799))</f>
        <v/>
      </c>
      <c r="AG799" s="53">
        <f>IF(AC799="","",IF(IFERROR(INDEX(ctaMoneda,MATCH(AC799,ctaNombre,0))&amp;"","DOP")="USD",T799,S799))</f>
        <v/>
      </c>
      <c r="AH799" s="53">
        <f>IF(P799="","",IF(AND(AD799&lt;&gt;"",COUNTIFS(tcTipo,AD799,tcLiq,"Sí")&gt;0),IF(OR(P799="Gasto",P799="Transferencia",P799="Pago tarjeta"),-1,1)*S799,0)+IF(AND(AE799&lt;&gt;"",COUNTIFS(tcTipo,AE799,tcLiq,"Sí")&gt;0),S799,0))</f>
        <v/>
      </c>
      <c r="AI799" s="52">
        <f>IF(OR(L799="",P799=""),"",IF(COUNTIFS(L$6:L799,L799,P$6:P799,"?*")=1,MAX(AI$5:AI798)+1,""))</f>
        <v/>
      </c>
    </row>
    <row r="800">
      <c r="B800" s="47" t="n"/>
      <c r="C800" s="48" t="n"/>
      <c r="D800" s="48" t="n"/>
      <c r="E800" s="48" t="n"/>
      <c r="F800" s="48" t="n"/>
      <c r="G800" s="49" t="n"/>
      <c r="H800" s="48" t="n"/>
      <c r="I800" s="50" t="n"/>
      <c r="J800" s="48" t="n"/>
      <c r="K800" s="48" t="n"/>
      <c r="L800" s="48" t="n"/>
      <c r="M800" s="48" t="n"/>
      <c r="N800" s="48" t="n"/>
      <c r="O800" s="51">
        <f>IF(AND(B800="",G800="",C800="",D800="",J800=""),"",IF(B800="","⚠ Falta fecha",IF(G800="","⚠ Falta monto",IF(Q800="","⚠ Falta cuenta",IF(ISNA(MATCH(Q800,ctaNombre,0)),"⚠ Cuenta no registrada",IF(AND(OR(P800="Gasto",P800="Reembolso"),D800=""),"⚠ Falta categoría",IF(AND(D800&lt;&gt;"",E800&lt;&gt;"",ISNA(MATCH(D800&amp;"|"&amp;E800,catClave,0))),"⚠ Subcategoría no corresponde",IF(AND(OR(P800="Transferencia",P800="Pago tarjeta"),K800=""),"⚠ Falta cuenta destino",IF(AND(K800&lt;&gt;"",P800&lt;&gt;"Transferencia",P800&lt;&gt;"Pago tarjeta"),"⚠ Destino solo aplica a transferencias",IF(AND(K800&lt;&gt;"",K800=Q800),"⚠ Origen igual a destino",IF(AND(K800&lt;&gt;"",ISNA(MATCH(K800,ctaNombre,0))),"⚠ Destino no registrado",IF(AND(P800="Pago tarjeta",AE800&lt;&gt;"Tarjeta de crédito"),"⚠ El destino debe ser tarjeta de crédito",IF(AND(P800="Gasto",E800="Depósitos y retiros"),"⚠ Usa tipo Transferencia",IF(AND(P800="Resultado trading",AD800&lt;&gt;"Cuenta de trading"),"⚠ Usa una cuenta de trading",IF(AND(G800&lt;=0,P800&lt;&gt;"Ajuste",P800&lt;&gt;"Resultado trading"),"⚠ El monto debe ser positivo","✓")))))))))))))))</f>
        <v/>
      </c>
      <c r="P800" s="52">
        <f>IF(OR(B800="",G800=""),"",IF(C800="","Gasto",C800))</f>
        <v/>
      </c>
      <c r="Q800" s="52">
        <f>IF(P800="","",IF(J800&lt;&gt;"",J800,CuentaPred&amp;""))</f>
        <v/>
      </c>
      <c r="R800" s="52">
        <f>IF(P800="","",IF(ISNUMBER(I800),I800,TasaUSD))</f>
        <v/>
      </c>
      <c r="S800" s="53">
        <f>IF(P800="","",IF(H800="USD",G800*R800,G800))</f>
        <v/>
      </c>
      <c r="T800" s="53">
        <f>IF(P800="","",IF(H800="USD",G800,IF(R800&gt;0,G800/R800,0)))</f>
        <v/>
      </c>
      <c r="U800" s="53">
        <f>IF(P800="","",IF(P800="Gasto",S800,IF(P800="Reembolso",-S800,0)))</f>
        <v/>
      </c>
      <c r="V800" s="53">
        <f>IF(P800="","",IF(P800="Ingreso",S800,0))</f>
        <v/>
      </c>
      <c r="W800" s="53">
        <f>IF(P800="","",IF(P800="Resultado trading",S800,0))</f>
        <v/>
      </c>
      <c r="X800" s="52">
        <f>IF(OR(P800="Gasto",P800="Reembolso"),IF(M800&lt;&gt;"",M800,IFERROR(INDEX(catClasif,MATCH(D800&amp;"|"&amp;E800,catClave,0))&amp;"","Variable")),"")</f>
        <v/>
      </c>
      <c r="Y800" s="52">
        <f>IF(P800="","",IFERROR(INDEX(catGrupo,MATCH(D800&amp;"|"&amp;E800,catClave,0))&amp;"",""))</f>
        <v/>
      </c>
      <c r="Z800" s="52">
        <f>IF(P800="","",WEEKDAY(B800,2))</f>
        <v/>
      </c>
      <c r="AA800" s="52">
        <f>IF(P800="","",IF(AND(P800="Gasto",X800="Variable",D800&lt;&gt;catTrading,S800&gt;0,S800&lt;=Umbral),1,0))</f>
        <v/>
      </c>
      <c r="AB800" s="52">
        <f>IF(OR(P800="",Q800=""),"",IFERROR(IF(INDEX(ctaVinc,MATCH(Q800,ctaNombre,0))&amp;""&lt;&gt;"",INDEX(ctaVinc,MATCH(Q800,ctaNombre,0))&amp;"",Q800),Q800))</f>
        <v/>
      </c>
      <c r="AC800" s="52">
        <f>IF(OR(K800="",AND(P800&lt;&gt;"Transferencia",P800&lt;&gt;"Pago tarjeta")),"",IFERROR(IF(INDEX(ctaVinc,MATCH(K800,ctaNombre,0))&amp;""&lt;&gt;"",INDEX(ctaVinc,MATCH(K800,ctaNombre,0))&amp;"",K800),K800))</f>
        <v/>
      </c>
      <c r="AD800" s="52">
        <f>IF(AB800="","",IFERROR(INDEX(ctaTipo,MATCH(AB800,ctaNombre,0))&amp;"",""))</f>
        <v/>
      </c>
      <c r="AE800" s="52">
        <f>IF(AC800="","",IFERROR(INDEX(ctaTipo,MATCH(AC800,ctaNombre,0))&amp;"",""))</f>
        <v/>
      </c>
      <c r="AF800" s="53">
        <f>IF(OR(P800="",AB800=""),"",IF(OR(P800="Gasto",P800="Transferencia",P800="Pago tarjeta"),-1,1)*IF(IFERROR(INDEX(ctaMoneda,MATCH(AB800,ctaNombre,0))&amp;"","DOP")="USD",T800,S800))</f>
        <v/>
      </c>
      <c r="AG800" s="53">
        <f>IF(AC800="","",IF(IFERROR(INDEX(ctaMoneda,MATCH(AC800,ctaNombre,0))&amp;"","DOP")="USD",T800,S800))</f>
        <v/>
      </c>
      <c r="AH800" s="53">
        <f>IF(P800="","",IF(AND(AD800&lt;&gt;"",COUNTIFS(tcTipo,AD800,tcLiq,"Sí")&gt;0),IF(OR(P800="Gasto",P800="Transferencia",P800="Pago tarjeta"),-1,1)*S800,0)+IF(AND(AE800&lt;&gt;"",COUNTIFS(tcTipo,AE800,tcLiq,"Sí")&gt;0),S800,0))</f>
        <v/>
      </c>
      <c r="AI800" s="52">
        <f>IF(OR(L800="",P800=""),"",IF(COUNTIFS(L$6:L800,L800,P$6:P800,"?*")=1,MAX(AI$5:AI799)+1,""))</f>
        <v/>
      </c>
    </row>
    <row r="801">
      <c r="B801" s="47" t="n"/>
      <c r="C801" s="48" t="n"/>
      <c r="D801" s="48" t="n"/>
      <c r="E801" s="48" t="n"/>
      <c r="F801" s="48" t="n"/>
      <c r="G801" s="49" t="n"/>
      <c r="H801" s="48" t="n"/>
      <c r="I801" s="50" t="n"/>
      <c r="J801" s="48" t="n"/>
      <c r="K801" s="48" t="n"/>
      <c r="L801" s="48" t="n"/>
      <c r="M801" s="48" t="n"/>
      <c r="N801" s="48" t="n"/>
      <c r="O801" s="51">
        <f>IF(AND(B801="",G801="",C801="",D801="",J801=""),"",IF(B801="","⚠ Falta fecha",IF(G801="","⚠ Falta monto",IF(Q801="","⚠ Falta cuenta",IF(ISNA(MATCH(Q801,ctaNombre,0)),"⚠ Cuenta no registrada",IF(AND(OR(P801="Gasto",P801="Reembolso"),D801=""),"⚠ Falta categoría",IF(AND(D801&lt;&gt;"",E801&lt;&gt;"",ISNA(MATCH(D801&amp;"|"&amp;E801,catClave,0))),"⚠ Subcategoría no corresponde",IF(AND(OR(P801="Transferencia",P801="Pago tarjeta"),K801=""),"⚠ Falta cuenta destino",IF(AND(K801&lt;&gt;"",P801&lt;&gt;"Transferencia",P801&lt;&gt;"Pago tarjeta"),"⚠ Destino solo aplica a transferencias",IF(AND(K801&lt;&gt;"",K801=Q801),"⚠ Origen igual a destino",IF(AND(K801&lt;&gt;"",ISNA(MATCH(K801,ctaNombre,0))),"⚠ Destino no registrado",IF(AND(P801="Pago tarjeta",AE801&lt;&gt;"Tarjeta de crédito"),"⚠ El destino debe ser tarjeta de crédito",IF(AND(P801="Gasto",E801="Depósitos y retiros"),"⚠ Usa tipo Transferencia",IF(AND(P801="Resultado trading",AD801&lt;&gt;"Cuenta de trading"),"⚠ Usa una cuenta de trading",IF(AND(G801&lt;=0,P801&lt;&gt;"Ajuste",P801&lt;&gt;"Resultado trading"),"⚠ El monto debe ser positivo","✓")))))))))))))))</f>
        <v/>
      </c>
      <c r="P801" s="52">
        <f>IF(OR(B801="",G801=""),"",IF(C801="","Gasto",C801))</f>
        <v/>
      </c>
      <c r="Q801" s="52">
        <f>IF(P801="","",IF(J801&lt;&gt;"",J801,CuentaPred&amp;""))</f>
        <v/>
      </c>
      <c r="R801" s="52">
        <f>IF(P801="","",IF(ISNUMBER(I801),I801,TasaUSD))</f>
        <v/>
      </c>
      <c r="S801" s="53">
        <f>IF(P801="","",IF(H801="USD",G801*R801,G801))</f>
        <v/>
      </c>
      <c r="T801" s="53">
        <f>IF(P801="","",IF(H801="USD",G801,IF(R801&gt;0,G801/R801,0)))</f>
        <v/>
      </c>
      <c r="U801" s="53">
        <f>IF(P801="","",IF(P801="Gasto",S801,IF(P801="Reembolso",-S801,0)))</f>
        <v/>
      </c>
      <c r="V801" s="53">
        <f>IF(P801="","",IF(P801="Ingreso",S801,0))</f>
        <v/>
      </c>
      <c r="W801" s="53">
        <f>IF(P801="","",IF(P801="Resultado trading",S801,0))</f>
        <v/>
      </c>
      <c r="X801" s="52">
        <f>IF(OR(P801="Gasto",P801="Reembolso"),IF(M801&lt;&gt;"",M801,IFERROR(INDEX(catClasif,MATCH(D801&amp;"|"&amp;E801,catClave,0))&amp;"","Variable")),"")</f>
        <v/>
      </c>
      <c r="Y801" s="52">
        <f>IF(P801="","",IFERROR(INDEX(catGrupo,MATCH(D801&amp;"|"&amp;E801,catClave,0))&amp;"",""))</f>
        <v/>
      </c>
      <c r="Z801" s="52">
        <f>IF(P801="","",WEEKDAY(B801,2))</f>
        <v/>
      </c>
      <c r="AA801" s="52">
        <f>IF(P801="","",IF(AND(P801="Gasto",X801="Variable",D801&lt;&gt;catTrading,S801&gt;0,S801&lt;=Umbral),1,0))</f>
        <v/>
      </c>
      <c r="AB801" s="52">
        <f>IF(OR(P801="",Q801=""),"",IFERROR(IF(INDEX(ctaVinc,MATCH(Q801,ctaNombre,0))&amp;""&lt;&gt;"",INDEX(ctaVinc,MATCH(Q801,ctaNombre,0))&amp;"",Q801),Q801))</f>
        <v/>
      </c>
      <c r="AC801" s="52">
        <f>IF(OR(K801="",AND(P801&lt;&gt;"Transferencia",P801&lt;&gt;"Pago tarjeta")),"",IFERROR(IF(INDEX(ctaVinc,MATCH(K801,ctaNombre,0))&amp;""&lt;&gt;"",INDEX(ctaVinc,MATCH(K801,ctaNombre,0))&amp;"",K801),K801))</f>
        <v/>
      </c>
      <c r="AD801" s="52">
        <f>IF(AB801="","",IFERROR(INDEX(ctaTipo,MATCH(AB801,ctaNombre,0))&amp;"",""))</f>
        <v/>
      </c>
      <c r="AE801" s="52">
        <f>IF(AC801="","",IFERROR(INDEX(ctaTipo,MATCH(AC801,ctaNombre,0))&amp;"",""))</f>
        <v/>
      </c>
      <c r="AF801" s="53">
        <f>IF(OR(P801="",AB801=""),"",IF(OR(P801="Gasto",P801="Transferencia",P801="Pago tarjeta"),-1,1)*IF(IFERROR(INDEX(ctaMoneda,MATCH(AB801,ctaNombre,0))&amp;"","DOP")="USD",T801,S801))</f>
        <v/>
      </c>
      <c r="AG801" s="53">
        <f>IF(AC801="","",IF(IFERROR(INDEX(ctaMoneda,MATCH(AC801,ctaNombre,0))&amp;"","DOP")="USD",T801,S801))</f>
        <v/>
      </c>
      <c r="AH801" s="53">
        <f>IF(P801="","",IF(AND(AD801&lt;&gt;"",COUNTIFS(tcTipo,AD801,tcLiq,"Sí")&gt;0),IF(OR(P801="Gasto",P801="Transferencia",P801="Pago tarjeta"),-1,1)*S801,0)+IF(AND(AE801&lt;&gt;"",COUNTIFS(tcTipo,AE801,tcLiq,"Sí")&gt;0),S801,0))</f>
        <v/>
      </c>
      <c r="AI801" s="52">
        <f>IF(OR(L801="",P801=""),"",IF(COUNTIFS(L$6:L801,L801,P$6:P801,"?*")=1,MAX(AI$5:AI800)+1,""))</f>
        <v/>
      </c>
    </row>
    <row r="802">
      <c r="B802" s="47" t="n"/>
      <c r="C802" s="48" t="n"/>
      <c r="D802" s="48" t="n"/>
      <c r="E802" s="48" t="n"/>
      <c r="F802" s="48" t="n"/>
      <c r="G802" s="49" t="n"/>
      <c r="H802" s="48" t="n"/>
      <c r="I802" s="50" t="n"/>
      <c r="J802" s="48" t="n"/>
      <c r="K802" s="48" t="n"/>
      <c r="L802" s="48" t="n"/>
      <c r="M802" s="48" t="n"/>
      <c r="N802" s="48" t="n"/>
      <c r="O802" s="51">
        <f>IF(AND(B802="",G802="",C802="",D802="",J802=""),"",IF(B802="","⚠ Falta fecha",IF(G802="","⚠ Falta monto",IF(Q802="","⚠ Falta cuenta",IF(ISNA(MATCH(Q802,ctaNombre,0)),"⚠ Cuenta no registrada",IF(AND(OR(P802="Gasto",P802="Reembolso"),D802=""),"⚠ Falta categoría",IF(AND(D802&lt;&gt;"",E802&lt;&gt;"",ISNA(MATCH(D802&amp;"|"&amp;E802,catClave,0))),"⚠ Subcategoría no corresponde",IF(AND(OR(P802="Transferencia",P802="Pago tarjeta"),K802=""),"⚠ Falta cuenta destino",IF(AND(K802&lt;&gt;"",P802&lt;&gt;"Transferencia",P802&lt;&gt;"Pago tarjeta"),"⚠ Destino solo aplica a transferencias",IF(AND(K802&lt;&gt;"",K802=Q802),"⚠ Origen igual a destino",IF(AND(K802&lt;&gt;"",ISNA(MATCH(K802,ctaNombre,0))),"⚠ Destino no registrado",IF(AND(P802="Pago tarjeta",AE802&lt;&gt;"Tarjeta de crédito"),"⚠ El destino debe ser tarjeta de crédito",IF(AND(P802="Gasto",E802="Depósitos y retiros"),"⚠ Usa tipo Transferencia",IF(AND(P802="Resultado trading",AD802&lt;&gt;"Cuenta de trading"),"⚠ Usa una cuenta de trading",IF(AND(G802&lt;=0,P802&lt;&gt;"Ajuste",P802&lt;&gt;"Resultado trading"),"⚠ El monto debe ser positivo","✓")))))))))))))))</f>
        <v/>
      </c>
      <c r="P802" s="52">
        <f>IF(OR(B802="",G802=""),"",IF(C802="","Gasto",C802))</f>
        <v/>
      </c>
      <c r="Q802" s="52">
        <f>IF(P802="","",IF(J802&lt;&gt;"",J802,CuentaPred&amp;""))</f>
        <v/>
      </c>
      <c r="R802" s="52">
        <f>IF(P802="","",IF(ISNUMBER(I802),I802,TasaUSD))</f>
        <v/>
      </c>
      <c r="S802" s="53">
        <f>IF(P802="","",IF(H802="USD",G802*R802,G802))</f>
        <v/>
      </c>
      <c r="T802" s="53">
        <f>IF(P802="","",IF(H802="USD",G802,IF(R802&gt;0,G802/R802,0)))</f>
        <v/>
      </c>
      <c r="U802" s="53">
        <f>IF(P802="","",IF(P802="Gasto",S802,IF(P802="Reembolso",-S802,0)))</f>
        <v/>
      </c>
      <c r="V802" s="53">
        <f>IF(P802="","",IF(P802="Ingreso",S802,0))</f>
        <v/>
      </c>
      <c r="W802" s="53">
        <f>IF(P802="","",IF(P802="Resultado trading",S802,0))</f>
        <v/>
      </c>
      <c r="X802" s="52">
        <f>IF(OR(P802="Gasto",P802="Reembolso"),IF(M802&lt;&gt;"",M802,IFERROR(INDEX(catClasif,MATCH(D802&amp;"|"&amp;E802,catClave,0))&amp;"","Variable")),"")</f>
        <v/>
      </c>
      <c r="Y802" s="52">
        <f>IF(P802="","",IFERROR(INDEX(catGrupo,MATCH(D802&amp;"|"&amp;E802,catClave,0))&amp;"",""))</f>
        <v/>
      </c>
      <c r="Z802" s="52">
        <f>IF(P802="","",WEEKDAY(B802,2))</f>
        <v/>
      </c>
      <c r="AA802" s="52">
        <f>IF(P802="","",IF(AND(P802="Gasto",X802="Variable",D802&lt;&gt;catTrading,S802&gt;0,S802&lt;=Umbral),1,0))</f>
        <v/>
      </c>
      <c r="AB802" s="52">
        <f>IF(OR(P802="",Q802=""),"",IFERROR(IF(INDEX(ctaVinc,MATCH(Q802,ctaNombre,0))&amp;""&lt;&gt;"",INDEX(ctaVinc,MATCH(Q802,ctaNombre,0))&amp;"",Q802),Q802))</f>
        <v/>
      </c>
      <c r="AC802" s="52">
        <f>IF(OR(K802="",AND(P802&lt;&gt;"Transferencia",P802&lt;&gt;"Pago tarjeta")),"",IFERROR(IF(INDEX(ctaVinc,MATCH(K802,ctaNombre,0))&amp;""&lt;&gt;"",INDEX(ctaVinc,MATCH(K802,ctaNombre,0))&amp;"",K802),K802))</f>
        <v/>
      </c>
      <c r="AD802" s="52">
        <f>IF(AB802="","",IFERROR(INDEX(ctaTipo,MATCH(AB802,ctaNombre,0))&amp;"",""))</f>
        <v/>
      </c>
      <c r="AE802" s="52">
        <f>IF(AC802="","",IFERROR(INDEX(ctaTipo,MATCH(AC802,ctaNombre,0))&amp;"",""))</f>
        <v/>
      </c>
      <c r="AF802" s="53">
        <f>IF(OR(P802="",AB802=""),"",IF(OR(P802="Gasto",P802="Transferencia",P802="Pago tarjeta"),-1,1)*IF(IFERROR(INDEX(ctaMoneda,MATCH(AB802,ctaNombre,0))&amp;"","DOP")="USD",T802,S802))</f>
        <v/>
      </c>
      <c r="AG802" s="53">
        <f>IF(AC802="","",IF(IFERROR(INDEX(ctaMoneda,MATCH(AC802,ctaNombre,0))&amp;"","DOP")="USD",T802,S802))</f>
        <v/>
      </c>
      <c r="AH802" s="53">
        <f>IF(P802="","",IF(AND(AD802&lt;&gt;"",COUNTIFS(tcTipo,AD802,tcLiq,"Sí")&gt;0),IF(OR(P802="Gasto",P802="Transferencia",P802="Pago tarjeta"),-1,1)*S802,0)+IF(AND(AE802&lt;&gt;"",COUNTIFS(tcTipo,AE802,tcLiq,"Sí")&gt;0),S802,0))</f>
        <v/>
      </c>
      <c r="AI802" s="52">
        <f>IF(OR(L802="",P802=""),"",IF(COUNTIFS(L$6:L802,L802,P$6:P802,"?*")=1,MAX(AI$5:AI801)+1,""))</f>
        <v/>
      </c>
    </row>
    <row r="803">
      <c r="B803" s="47" t="n"/>
      <c r="C803" s="48" t="n"/>
      <c r="D803" s="48" t="n"/>
      <c r="E803" s="48" t="n"/>
      <c r="F803" s="48" t="n"/>
      <c r="G803" s="49" t="n"/>
      <c r="H803" s="48" t="n"/>
      <c r="I803" s="50" t="n"/>
      <c r="J803" s="48" t="n"/>
      <c r="K803" s="48" t="n"/>
      <c r="L803" s="48" t="n"/>
      <c r="M803" s="48" t="n"/>
      <c r="N803" s="48" t="n"/>
      <c r="O803" s="51">
        <f>IF(AND(B803="",G803="",C803="",D803="",J803=""),"",IF(B803="","⚠ Falta fecha",IF(G803="","⚠ Falta monto",IF(Q803="","⚠ Falta cuenta",IF(ISNA(MATCH(Q803,ctaNombre,0)),"⚠ Cuenta no registrada",IF(AND(OR(P803="Gasto",P803="Reembolso"),D803=""),"⚠ Falta categoría",IF(AND(D803&lt;&gt;"",E803&lt;&gt;"",ISNA(MATCH(D803&amp;"|"&amp;E803,catClave,0))),"⚠ Subcategoría no corresponde",IF(AND(OR(P803="Transferencia",P803="Pago tarjeta"),K803=""),"⚠ Falta cuenta destino",IF(AND(K803&lt;&gt;"",P803&lt;&gt;"Transferencia",P803&lt;&gt;"Pago tarjeta"),"⚠ Destino solo aplica a transferencias",IF(AND(K803&lt;&gt;"",K803=Q803),"⚠ Origen igual a destino",IF(AND(K803&lt;&gt;"",ISNA(MATCH(K803,ctaNombre,0))),"⚠ Destino no registrado",IF(AND(P803="Pago tarjeta",AE803&lt;&gt;"Tarjeta de crédito"),"⚠ El destino debe ser tarjeta de crédito",IF(AND(P803="Gasto",E803="Depósitos y retiros"),"⚠ Usa tipo Transferencia",IF(AND(P803="Resultado trading",AD803&lt;&gt;"Cuenta de trading"),"⚠ Usa una cuenta de trading",IF(AND(G803&lt;=0,P803&lt;&gt;"Ajuste",P803&lt;&gt;"Resultado trading"),"⚠ El monto debe ser positivo","✓")))))))))))))))</f>
        <v/>
      </c>
      <c r="P803" s="52">
        <f>IF(OR(B803="",G803=""),"",IF(C803="","Gasto",C803))</f>
        <v/>
      </c>
      <c r="Q803" s="52">
        <f>IF(P803="","",IF(J803&lt;&gt;"",J803,CuentaPred&amp;""))</f>
        <v/>
      </c>
      <c r="R803" s="52">
        <f>IF(P803="","",IF(ISNUMBER(I803),I803,TasaUSD))</f>
        <v/>
      </c>
      <c r="S803" s="53">
        <f>IF(P803="","",IF(H803="USD",G803*R803,G803))</f>
        <v/>
      </c>
      <c r="T803" s="53">
        <f>IF(P803="","",IF(H803="USD",G803,IF(R803&gt;0,G803/R803,0)))</f>
        <v/>
      </c>
      <c r="U803" s="53">
        <f>IF(P803="","",IF(P803="Gasto",S803,IF(P803="Reembolso",-S803,0)))</f>
        <v/>
      </c>
      <c r="V803" s="53">
        <f>IF(P803="","",IF(P803="Ingreso",S803,0))</f>
        <v/>
      </c>
      <c r="W803" s="53">
        <f>IF(P803="","",IF(P803="Resultado trading",S803,0))</f>
        <v/>
      </c>
      <c r="X803" s="52">
        <f>IF(OR(P803="Gasto",P803="Reembolso"),IF(M803&lt;&gt;"",M803,IFERROR(INDEX(catClasif,MATCH(D803&amp;"|"&amp;E803,catClave,0))&amp;"","Variable")),"")</f>
        <v/>
      </c>
      <c r="Y803" s="52">
        <f>IF(P803="","",IFERROR(INDEX(catGrupo,MATCH(D803&amp;"|"&amp;E803,catClave,0))&amp;"",""))</f>
        <v/>
      </c>
      <c r="Z803" s="52">
        <f>IF(P803="","",WEEKDAY(B803,2))</f>
        <v/>
      </c>
      <c r="AA803" s="52">
        <f>IF(P803="","",IF(AND(P803="Gasto",X803="Variable",D803&lt;&gt;catTrading,S803&gt;0,S803&lt;=Umbral),1,0))</f>
        <v/>
      </c>
      <c r="AB803" s="52">
        <f>IF(OR(P803="",Q803=""),"",IFERROR(IF(INDEX(ctaVinc,MATCH(Q803,ctaNombre,0))&amp;""&lt;&gt;"",INDEX(ctaVinc,MATCH(Q803,ctaNombre,0))&amp;"",Q803),Q803))</f>
        <v/>
      </c>
      <c r="AC803" s="52">
        <f>IF(OR(K803="",AND(P803&lt;&gt;"Transferencia",P803&lt;&gt;"Pago tarjeta")),"",IFERROR(IF(INDEX(ctaVinc,MATCH(K803,ctaNombre,0))&amp;""&lt;&gt;"",INDEX(ctaVinc,MATCH(K803,ctaNombre,0))&amp;"",K803),K803))</f>
        <v/>
      </c>
      <c r="AD803" s="52">
        <f>IF(AB803="","",IFERROR(INDEX(ctaTipo,MATCH(AB803,ctaNombre,0))&amp;"",""))</f>
        <v/>
      </c>
      <c r="AE803" s="52">
        <f>IF(AC803="","",IFERROR(INDEX(ctaTipo,MATCH(AC803,ctaNombre,0))&amp;"",""))</f>
        <v/>
      </c>
      <c r="AF803" s="53">
        <f>IF(OR(P803="",AB803=""),"",IF(OR(P803="Gasto",P803="Transferencia",P803="Pago tarjeta"),-1,1)*IF(IFERROR(INDEX(ctaMoneda,MATCH(AB803,ctaNombre,0))&amp;"","DOP")="USD",T803,S803))</f>
        <v/>
      </c>
      <c r="AG803" s="53">
        <f>IF(AC803="","",IF(IFERROR(INDEX(ctaMoneda,MATCH(AC803,ctaNombre,0))&amp;"","DOP")="USD",T803,S803))</f>
        <v/>
      </c>
      <c r="AH803" s="53">
        <f>IF(P803="","",IF(AND(AD803&lt;&gt;"",COUNTIFS(tcTipo,AD803,tcLiq,"Sí")&gt;0),IF(OR(P803="Gasto",P803="Transferencia",P803="Pago tarjeta"),-1,1)*S803,0)+IF(AND(AE803&lt;&gt;"",COUNTIFS(tcTipo,AE803,tcLiq,"Sí")&gt;0),S803,0))</f>
        <v/>
      </c>
      <c r="AI803" s="52">
        <f>IF(OR(L803="",P803=""),"",IF(COUNTIFS(L$6:L803,L803,P$6:P803,"?*")=1,MAX(AI$5:AI802)+1,""))</f>
        <v/>
      </c>
    </row>
    <row r="804">
      <c r="B804" s="47" t="n"/>
      <c r="C804" s="48" t="n"/>
      <c r="D804" s="48" t="n"/>
      <c r="E804" s="48" t="n"/>
      <c r="F804" s="48" t="n"/>
      <c r="G804" s="49" t="n"/>
      <c r="H804" s="48" t="n"/>
      <c r="I804" s="50" t="n"/>
      <c r="J804" s="48" t="n"/>
      <c r="K804" s="48" t="n"/>
      <c r="L804" s="48" t="n"/>
      <c r="M804" s="48" t="n"/>
      <c r="N804" s="48" t="n"/>
      <c r="O804" s="51">
        <f>IF(AND(B804="",G804="",C804="",D804="",J804=""),"",IF(B804="","⚠ Falta fecha",IF(G804="","⚠ Falta monto",IF(Q804="","⚠ Falta cuenta",IF(ISNA(MATCH(Q804,ctaNombre,0)),"⚠ Cuenta no registrada",IF(AND(OR(P804="Gasto",P804="Reembolso"),D804=""),"⚠ Falta categoría",IF(AND(D804&lt;&gt;"",E804&lt;&gt;"",ISNA(MATCH(D804&amp;"|"&amp;E804,catClave,0))),"⚠ Subcategoría no corresponde",IF(AND(OR(P804="Transferencia",P804="Pago tarjeta"),K804=""),"⚠ Falta cuenta destino",IF(AND(K804&lt;&gt;"",P804&lt;&gt;"Transferencia",P804&lt;&gt;"Pago tarjeta"),"⚠ Destino solo aplica a transferencias",IF(AND(K804&lt;&gt;"",K804=Q804),"⚠ Origen igual a destino",IF(AND(K804&lt;&gt;"",ISNA(MATCH(K804,ctaNombre,0))),"⚠ Destino no registrado",IF(AND(P804="Pago tarjeta",AE804&lt;&gt;"Tarjeta de crédito"),"⚠ El destino debe ser tarjeta de crédito",IF(AND(P804="Gasto",E804="Depósitos y retiros"),"⚠ Usa tipo Transferencia",IF(AND(P804="Resultado trading",AD804&lt;&gt;"Cuenta de trading"),"⚠ Usa una cuenta de trading",IF(AND(G804&lt;=0,P804&lt;&gt;"Ajuste",P804&lt;&gt;"Resultado trading"),"⚠ El monto debe ser positivo","✓")))))))))))))))</f>
        <v/>
      </c>
      <c r="P804" s="52">
        <f>IF(OR(B804="",G804=""),"",IF(C804="","Gasto",C804))</f>
        <v/>
      </c>
      <c r="Q804" s="52">
        <f>IF(P804="","",IF(J804&lt;&gt;"",J804,CuentaPred&amp;""))</f>
        <v/>
      </c>
      <c r="R804" s="52">
        <f>IF(P804="","",IF(ISNUMBER(I804),I804,TasaUSD))</f>
        <v/>
      </c>
      <c r="S804" s="53">
        <f>IF(P804="","",IF(H804="USD",G804*R804,G804))</f>
        <v/>
      </c>
      <c r="T804" s="53">
        <f>IF(P804="","",IF(H804="USD",G804,IF(R804&gt;0,G804/R804,0)))</f>
        <v/>
      </c>
      <c r="U804" s="53">
        <f>IF(P804="","",IF(P804="Gasto",S804,IF(P804="Reembolso",-S804,0)))</f>
        <v/>
      </c>
      <c r="V804" s="53">
        <f>IF(P804="","",IF(P804="Ingreso",S804,0))</f>
        <v/>
      </c>
      <c r="W804" s="53">
        <f>IF(P804="","",IF(P804="Resultado trading",S804,0))</f>
        <v/>
      </c>
      <c r="X804" s="52">
        <f>IF(OR(P804="Gasto",P804="Reembolso"),IF(M804&lt;&gt;"",M804,IFERROR(INDEX(catClasif,MATCH(D804&amp;"|"&amp;E804,catClave,0))&amp;"","Variable")),"")</f>
        <v/>
      </c>
      <c r="Y804" s="52">
        <f>IF(P804="","",IFERROR(INDEX(catGrupo,MATCH(D804&amp;"|"&amp;E804,catClave,0))&amp;"",""))</f>
        <v/>
      </c>
      <c r="Z804" s="52">
        <f>IF(P804="","",WEEKDAY(B804,2))</f>
        <v/>
      </c>
      <c r="AA804" s="52">
        <f>IF(P804="","",IF(AND(P804="Gasto",X804="Variable",D804&lt;&gt;catTrading,S804&gt;0,S804&lt;=Umbral),1,0))</f>
        <v/>
      </c>
      <c r="AB804" s="52">
        <f>IF(OR(P804="",Q804=""),"",IFERROR(IF(INDEX(ctaVinc,MATCH(Q804,ctaNombre,0))&amp;""&lt;&gt;"",INDEX(ctaVinc,MATCH(Q804,ctaNombre,0))&amp;"",Q804),Q804))</f>
        <v/>
      </c>
      <c r="AC804" s="52">
        <f>IF(OR(K804="",AND(P804&lt;&gt;"Transferencia",P804&lt;&gt;"Pago tarjeta")),"",IFERROR(IF(INDEX(ctaVinc,MATCH(K804,ctaNombre,0))&amp;""&lt;&gt;"",INDEX(ctaVinc,MATCH(K804,ctaNombre,0))&amp;"",K804),K804))</f>
        <v/>
      </c>
      <c r="AD804" s="52">
        <f>IF(AB804="","",IFERROR(INDEX(ctaTipo,MATCH(AB804,ctaNombre,0))&amp;"",""))</f>
        <v/>
      </c>
      <c r="AE804" s="52">
        <f>IF(AC804="","",IFERROR(INDEX(ctaTipo,MATCH(AC804,ctaNombre,0))&amp;"",""))</f>
        <v/>
      </c>
      <c r="AF804" s="53">
        <f>IF(OR(P804="",AB804=""),"",IF(OR(P804="Gasto",P804="Transferencia",P804="Pago tarjeta"),-1,1)*IF(IFERROR(INDEX(ctaMoneda,MATCH(AB804,ctaNombre,0))&amp;"","DOP")="USD",T804,S804))</f>
        <v/>
      </c>
      <c r="AG804" s="53">
        <f>IF(AC804="","",IF(IFERROR(INDEX(ctaMoneda,MATCH(AC804,ctaNombre,0))&amp;"","DOP")="USD",T804,S804))</f>
        <v/>
      </c>
      <c r="AH804" s="53">
        <f>IF(P804="","",IF(AND(AD804&lt;&gt;"",COUNTIFS(tcTipo,AD804,tcLiq,"Sí")&gt;0),IF(OR(P804="Gasto",P804="Transferencia",P804="Pago tarjeta"),-1,1)*S804,0)+IF(AND(AE804&lt;&gt;"",COUNTIFS(tcTipo,AE804,tcLiq,"Sí")&gt;0),S804,0))</f>
        <v/>
      </c>
      <c r="AI804" s="52">
        <f>IF(OR(L804="",P804=""),"",IF(COUNTIFS(L$6:L804,L804,P$6:P804,"?*")=1,MAX(AI$5:AI803)+1,""))</f>
        <v/>
      </c>
    </row>
    <row r="805">
      <c r="B805" s="47" t="n"/>
      <c r="C805" s="48" t="n"/>
      <c r="D805" s="48" t="n"/>
      <c r="E805" s="48" t="n"/>
      <c r="F805" s="48" t="n"/>
      <c r="G805" s="49" t="n"/>
      <c r="H805" s="48" t="n"/>
      <c r="I805" s="50" t="n"/>
      <c r="J805" s="48" t="n"/>
      <c r="K805" s="48" t="n"/>
      <c r="L805" s="48" t="n"/>
      <c r="M805" s="48" t="n"/>
      <c r="N805" s="48" t="n"/>
      <c r="O805" s="51">
        <f>IF(AND(B805="",G805="",C805="",D805="",J805=""),"",IF(B805="","⚠ Falta fecha",IF(G805="","⚠ Falta monto",IF(Q805="","⚠ Falta cuenta",IF(ISNA(MATCH(Q805,ctaNombre,0)),"⚠ Cuenta no registrada",IF(AND(OR(P805="Gasto",P805="Reembolso"),D805=""),"⚠ Falta categoría",IF(AND(D805&lt;&gt;"",E805&lt;&gt;"",ISNA(MATCH(D805&amp;"|"&amp;E805,catClave,0))),"⚠ Subcategoría no corresponde",IF(AND(OR(P805="Transferencia",P805="Pago tarjeta"),K805=""),"⚠ Falta cuenta destino",IF(AND(K805&lt;&gt;"",P805&lt;&gt;"Transferencia",P805&lt;&gt;"Pago tarjeta"),"⚠ Destino solo aplica a transferencias",IF(AND(K805&lt;&gt;"",K805=Q805),"⚠ Origen igual a destino",IF(AND(K805&lt;&gt;"",ISNA(MATCH(K805,ctaNombre,0))),"⚠ Destino no registrado",IF(AND(P805="Pago tarjeta",AE805&lt;&gt;"Tarjeta de crédito"),"⚠ El destino debe ser tarjeta de crédito",IF(AND(P805="Gasto",E805="Depósitos y retiros"),"⚠ Usa tipo Transferencia",IF(AND(P805="Resultado trading",AD805&lt;&gt;"Cuenta de trading"),"⚠ Usa una cuenta de trading",IF(AND(G805&lt;=0,P805&lt;&gt;"Ajuste",P805&lt;&gt;"Resultado trading"),"⚠ El monto debe ser positivo","✓")))))))))))))))</f>
        <v/>
      </c>
      <c r="P805" s="52">
        <f>IF(OR(B805="",G805=""),"",IF(C805="","Gasto",C805))</f>
        <v/>
      </c>
      <c r="Q805" s="52">
        <f>IF(P805="","",IF(J805&lt;&gt;"",J805,CuentaPred&amp;""))</f>
        <v/>
      </c>
      <c r="R805" s="52">
        <f>IF(P805="","",IF(ISNUMBER(I805),I805,TasaUSD))</f>
        <v/>
      </c>
      <c r="S805" s="53">
        <f>IF(P805="","",IF(H805="USD",G805*R805,G805))</f>
        <v/>
      </c>
      <c r="T805" s="53">
        <f>IF(P805="","",IF(H805="USD",G805,IF(R805&gt;0,G805/R805,0)))</f>
        <v/>
      </c>
      <c r="U805" s="53">
        <f>IF(P805="","",IF(P805="Gasto",S805,IF(P805="Reembolso",-S805,0)))</f>
        <v/>
      </c>
      <c r="V805" s="53">
        <f>IF(P805="","",IF(P805="Ingreso",S805,0))</f>
        <v/>
      </c>
      <c r="W805" s="53">
        <f>IF(P805="","",IF(P805="Resultado trading",S805,0))</f>
        <v/>
      </c>
      <c r="X805" s="52">
        <f>IF(OR(P805="Gasto",P805="Reembolso"),IF(M805&lt;&gt;"",M805,IFERROR(INDEX(catClasif,MATCH(D805&amp;"|"&amp;E805,catClave,0))&amp;"","Variable")),"")</f>
        <v/>
      </c>
      <c r="Y805" s="52">
        <f>IF(P805="","",IFERROR(INDEX(catGrupo,MATCH(D805&amp;"|"&amp;E805,catClave,0))&amp;"",""))</f>
        <v/>
      </c>
      <c r="Z805" s="52">
        <f>IF(P805="","",WEEKDAY(B805,2))</f>
        <v/>
      </c>
      <c r="AA805" s="52">
        <f>IF(P805="","",IF(AND(P805="Gasto",X805="Variable",D805&lt;&gt;catTrading,S805&gt;0,S805&lt;=Umbral),1,0))</f>
        <v/>
      </c>
      <c r="AB805" s="52">
        <f>IF(OR(P805="",Q805=""),"",IFERROR(IF(INDEX(ctaVinc,MATCH(Q805,ctaNombre,0))&amp;""&lt;&gt;"",INDEX(ctaVinc,MATCH(Q805,ctaNombre,0))&amp;"",Q805),Q805))</f>
        <v/>
      </c>
      <c r="AC805" s="52">
        <f>IF(OR(K805="",AND(P805&lt;&gt;"Transferencia",P805&lt;&gt;"Pago tarjeta")),"",IFERROR(IF(INDEX(ctaVinc,MATCH(K805,ctaNombre,0))&amp;""&lt;&gt;"",INDEX(ctaVinc,MATCH(K805,ctaNombre,0))&amp;"",K805),K805))</f>
        <v/>
      </c>
      <c r="AD805" s="52">
        <f>IF(AB805="","",IFERROR(INDEX(ctaTipo,MATCH(AB805,ctaNombre,0))&amp;"",""))</f>
        <v/>
      </c>
      <c r="AE805" s="52">
        <f>IF(AC805="","",IFERROR(INDEX(ctaTipo,MATCH(AC805,ctaNombre,0))&amp;"",""))</f>
        <v/>
      </c>
      <c r="AF805" s="53">
        <f>IF(OR(P805="",AB805=""),"",IF(OR(P805="Gasto",P805="Transferencia",P805="Pago tarjeta"),-1,1)*IF(IFERROR(INDEX(ctaMoneda,MATCH(AB805,ctaNombre,0))&amp;"","DOP")="USD",T805,S805))</f>
        <v/>
      </c>
      <c r="AG805" s="53">
        <f>IF(AC805="","",IF(IFERROR(INDEX(ctaMoneda,MATCH(AC805,ctaNombre,0))&amp;"","DOP")="USD",T805,S805))</f>
        <v/>
      </c>
      <c r="AH805" s="53">
        <f>IF(P805="","",IF(AND(AD805&lt;&gt;"",COUNTIFS(tcTipo,AD805,tcLiq,"Sí")&gt;0),IF(OR(P805="Gasto",P805="Transferencia",P805="Pago tarjeta"),-1,1)*S805,0)+IF(AND(AE805&lt;&gt;"",COUNTIFS(tcTipo,AE805,tcLiq,"Sí")&gt;0),S805,0))</f>
        <v/>
      </c>
      <c r="AI805" s="52">
        <f>IF(OR(L805="",P805=""),"",IF(COUNTIFS(L$6:L805,L805,P$6:P805,"?*")=1,MAX(AI$5:AI804)+1,""))</f>
        <v/>
      </c>
    </row>
    <row r="806">
      <c r="B806" s="47" t="n"/>
      <c r="C806" s="48" t="n"/>
      <c r="D806" s="48" t="n"/>
      <c r="E806" s="48" t="n"/>
      <c r="F806" s="48" t="n"/>
      <c r="G806" s="49" t="n"/>
      <c r="H806" s="48" t="n"/>
      <c r="I806" s="50" t="n"/>
      <c r="J806" s="48" t="n"/>
      <c r="K806" s="48" t="n"/>
      <c r="L806" s="48" t="n"/>
      <c r="M806" s="48" t="n"/>
      <c r="N806" s="48" t="n"/>
      <c r="O806" s="51">
        <f>IF(AND(B806="",G806="",C806="",D806="",J806=""),"",IF(B806="","⚠ Falta fecha",IF(G806="","⚠ Falta monto",IF(Q806="","⚠ Falta cuenta",IF(ISNA(MATCH(Q806,ctaNombre,0)),"⚠ Cuenta no registrada",IF(AND(OR(P806="Gasto",P806="Reembolso"),D806=""),"⚠ Falta categoría",IF(AND(D806&lt;&gt;"",E806&lt;&gt;"",ISNA(MATCH(D806&amp;"|"&amp;E806,catClave,0))),"⚠ Subcategoría no corresponde",IF(AND(OR(P806="Transferencia",P806="Pago tarjeta"),K806=""),"⚠ Falta cuenta destino",IF(AND(K806&lt;&gt;"",P806&lt;&gt;"Transferencia",P806&lt;&gt;"Pago tarjeta"),"⚠ Destino solo aplica a transferencias",IF(AND(K806&lt;&gt;"",K806=Q806),"⚠ Origen igual a destino",IF(AND(K806&lt;&gt;"",ISNA(MATCH(K806,ctaNombre,0))),"⚠ Destino no registrado",IF(AND(P806="Pago tarjeta",AE806&lt;&gt;"Tarjeta de crédito"),"⚠ El destino debe ser tarjeta de crédito",IF(AND(P806="Gasto",E806="Depósitos y retiros"),"⚠ Usa tipo Transferencia",IF(AND(P806="Resultado trading",AD806&lt;&gt;"Cuenta de trading"),"⚠ Usa una cuenta de trading",IF(AND(G806&lt;=0,P806&lt;&gt;"Ajuste",P806&lt;&gt;"Resultado trading"),"⚠ El monto debe ser positivo","✓")))))))))))))))</f>
        <v/>
      </c>
      <c r="P806" s="52">
        <f>IF(OR(B806="",G806=""),"",IF(C806="","Gasto",C806))</f>
        <v/>
      </c>
      <c r="Q806" s="52">
        <f>IF(P806="","",IF(J806&lt;&gt;"",J806,CuentaPred&amp;""))</f>
        <v/>
      </c>
      <c r="R806" s="52">
        <f>IF(P806="","",IF(ISNUMBER(I806),I806,TasaUSD))</f>
        <v/>
      </c>
      <c r="S806" s="53">
        <f>IF(P806="","",IF(H806="USD",G806*R806,G806))</f>
        <v/>
      </c>
      <c r="T806" s="53">
        <f>IF(P806="","",IF(H806="USD",G806,IF(R806&gt;0,G806/R806,0)))</f>
        <v/>
      </c>
      <c r="U806" s="53">
        <f>IF(P806="","",IF(P806="Gasto",S806,IF(P806="Reembolso",-S806,0)))</f>
        <v/>
      </c>
      <c r="V806" s="53">
        <f>IF(P806="","",IF(P806="Ingreso",S806,0))</f>
        <v/>
      </c>
      <c r="W806" s="53">
        <f>IF(P806="","",IF(P806="Resultado trading",S806,0))</f>
        <v/>
      </c>
      <c r="X806" s="52">
        <f>IF(OR(P806="Gasto",P806="Reembolso"),IF(M806&lt;&gt;"",M806,IFERROR(INDEX(catClasif,MATCH(D806&amp;"|"&amp;E806,catClave,0))&amp;"","Variable")),"")</f>
        <v/>
      </c>
      <c r="Y806" s="52">
        <f>IF(P806="","",IFERROR(INDEX(catGrupo,MATCH(D806&amp;"|"&amp;E806,catClave,0))&amp;"",""))</f>
        <v/>
      </c>
      <c r="Z806" s="52">
        <f>IF(P806="","",WEEKDAY(B806,2))</f>
        <v/>
      </c>
      <c r="AA806" s="52">
        <f>IF(P806="","",IF(AND(P806="Gasto",X806="Variable",D806&lt;&gt;catTrading,S806&gt;0,S806&lt;=Umbral),1,0))</f>
        <v/>
      </c>
      <c r="AB806" s="52">
        <f>IF(OR(P806="",Q806=""),"",IFERROR(IF(INDEX(ctaVinc,MATCH(Q806,ctaNombre,0))&amp;""&lt;&gt;"",INDEX(ctaVinc,MATCH(Q806,ctaNombre,0))&amp;"",Q806),Q806))</f>
        <v/>
      </c>
      <c r="AC806" s="52">
        <f>IF(OR(K806="",AND(P806&lt;&gt;"Transferencia",P806&lt;&gt;"Pago tarjeta")),"",IFERROR(IF(INDEX(ctaVinc,MATCH(K806,ctaNombre,0))&amp;""&lt;&gt;"",INDEX(ctaVinc,MATCH(K806,ctaNombre,0))&amp;"",K806),K806))</f>
        <v/>
      </c>
      <c r="AD806" s="52">
        <f>IF(AB806="","",IFERROR(INDEX(ctaTipo,MATCH(AB806,ctaNombre,0))&amp;"",""))</f>
        <v/>
      </c>
      <c r="AE806" s="52">
        <f>IF(AC806="","",IFERROR(INDEX(ctaTipo,MATCH(AC806,ctaNombre,0))&amp;"",""))</f>
        <v/>
      </c>
      <c r="AF806" s="53">
        <f>IF(OR(P806="",AB806=""),"",IF(OR(P806="Gasto",P806="Transferencia",P806="Pago tarjeta"),-1,1)*IF(IFERROR(INDEX(ctaMoneda,MATCH(AB806,ctaNombre,0))&amp;"","DOP")="USD",T806,S806))</f>
        <v/>
      </c>
      <c r="AG806" s="53">
        <f>IF(AC806="","",IF(IFERROR(INDEX(ctaMoneda,MATCH(AC806,ctaNombre,0))&amp;"","DOP")="USD",T806,S806))</f>
        <v/>
      </c>
      <c r="AH806" s="53">
        <f>IF(P806="","",IF(AND(AD806&lt;&gt;"",COUNTIFS(tcTipo,AD806,tcLiq,"Sí")&gt;0),IF(OR(P806="Gasto",P806="Transferencia",P806="Pago tarjeta"),-1,1)*S806,0)+IF(AND(AE806&lt;&gt;"",COUNTIFS(tcTipo,AE806,tcLiq,"Sí")&gt;0),S806,0))</f>
        <v/>
      </c>
      <c r="AI806" s="52">
        <f>IF(OR(L806="",P806=""),"",IF(COUNTIFS(L$6:L806,L806,P$6:P806,"?*")=1,MAX(AI$5:AI805)+1,""))</f>
        <v/>
      </c>
    </row>
    <row r="807">
      <c r="B807" s="47" t="n"/>
      <c r="C807" s="48" t="n"/>
      <c r="D807" s="48" t="n"/>
      <c r="E807" s="48" t="n"/>
      <c r="F807" s="48" t="n"/>
      <c r="G807" s="49" t="n"/>
      <c r="H807" s="48" t="n"/>
      <c r="I807" s="50" t="n"/>
      <c r="J807" s="48" t="n"/>
      <c r="K807" s="48" t="n"/>
      <c r="L807" s="48" t="n"/>
      <c r="M807" s="48" t="n"/>
      <c r="N807" s="48" t="n"/>
      <c r="O807" s="51">
        <f>IF(AND(B807="",G807="",C807="",D807="",J807=""),"",IF(B807="","⚠ Falta fecha",IF(G807="","⚠ Falta monto",IF(Q807="","⚠ Falta cuenta",IF(ISNA(MATCH(Q807,ctaNombre,0)),"⚠ Cuenta no registrada",IF(AND(OR(P807="Gasto",P807="Reembolso"),D807=""),"⚠ Falta categoría",IF(AND(D807&lt;&gt;"",E807&lt;&gt;"",ISNA(MATCH(D807&amp;"|"&amp;E807,catClave,0))),"⚠ Subcategoría no corresponde",IF(AND(OR(P807="Transferencia",P807="Pago tarjeta"),K807=""),"⚠ Falta cuenta destino",IF(AND(K807&lt;&gt;"",P807&lt;&gt;"Transferencia",P807&lt;&gt;"Pago tarjeta"),"⚠ Destino solo aplica a transferencias",IF(AND(K807&lt;&gt;"",K807=Q807),"⚠ Origen igual a destino",IF(AND(K807&lt;&gt;"",ISNA(MATCH(K807,ctaNombre,0))),"⚠ Destino no registrado",IF(AND(P807="Pago tarjeta",AE807&lt;&gt;"Tarjeta de crédito"),"⚠ El destino debe ser tarjeta de crédito",IF(AND(P807="Gasto",E807="Depósitos y retiros"),"⚠ Usa tipo Transferencia",IF(AND(P807="Resultado trading",AD807&lt;&gt;"Cuenta de trading"),"⚠ Usa una cuenta de trading",IF(AND(G807&lt;=0,P807&lt;&gt;"Ajuste",P807&lt;&gt;"Resultado trading"),"⚠ El monto debe ser positivo","✓")))))))))))))))</f>
        <v/>
      </c>
      <c r="P807" s="52">
        <f>IF(OR(B807="",G807=""),"",IF(C807="","Gasto",C807))</f>
        <v/>
      </c>
      <c r="Q807" s="52">
        <f>IF(P807="","",IF(J807&lt;&gt;"",J807,CuentaPred&amp;""))</f>
        <v/>
      </c>
      <c r="R807" s="52">
        <f>IF(P807="","",IF(ISNUMBER(I807),I807,TasaUSD))</f>
        <v/>
      </c>
      <c r="S807" s="53">
        <f>IF(P807="","",IF(H807="USD",G807*R807,G807))</f>
        <v/>
      </c>
      <c r="T807" s="53">
        <f>IF(P807="","",IF(H807="USD",G807,IF(R807&gt;0,G807/R807,0)))</f>
        <v/>
      </c>
      <c r="U807" s="53">
        <f>IF(P807="","",IF(P807="Gasto",S807,IF(P807="Reembolso",-S807,0)))</f>
        <v/>
      </c>
      <c r="V807" s="53">
        <f>IF(P807="","",IF(P807="Ingreso",S807,0))</f>
        <v/>
      </c>
      <c r="W807" s="53">
        <f>IF(P807="","",IF(P807="Resultado trading",S807,0))</f>
        <v/>
      </c>
      <c r="X807" s="52">
        <f>IF(OR(P807="Gasto",P807="Reembolso"),IF(M807&lt;&gt;"",M807,IFERROR(INDEX(catClasif,MATCH(D807&amp;"|"&amp;E807,catClave,0))&amp;"","Variable")),"")</f>
        <v/>
      </c>
      <c r="Y807" s="52">
        <f>IF(P807="","",IFERROR(INDEX(catGrupo,MATCH(D807&amp;"|"&amp;E807,catClave,0))&amp;"",""))</f>
        <v/>
      </c>
      <c r="Z807" s="52">
        <f>IF(P807="","",WEEKDAY(B807,2))</f>
        <v/>
      </c>
      <c r="AA807" s="52">
        <f>IF(P807="","",IF(AND(P807="Gasto",X807="Variable",D807&lt;&gt;catTrading,S807&gt;0,S807&lt;=Umbral),1,0))</f>
        <v/>
      </c>
      <c r="AB807" s="52">
        <f>IF(OR(P807="",Q807=""),"",IFERROR(IF(INDEX(ctaVinc,MATCH(Q807,ctaNombre,0))&amp;""&lt;&gt;"",INDEX(ctaVinc,MATCH(Q807,ctaNombre,0))&amp;"",Q807),Q807))</f>
        <v/>
      </c>
      <c r="AC807" s="52">
        <f>IF(OR(K807="",AND(P807&lt;&gt;"Transferencia",P807&lt;&gt;"Pago tarjeta")),"",IFERROR(IF(INDEX(ctaVinc,MATCH(K807,ctaNombre,0))&amp;""&lt;&gt;"",INDEX(ctaVinc,MATCH(K807,ctaNombre,0))&amp;"",K807),K807))</f>
        <v/>
      </c>
      <c r="AD807" s="52">
        <f>IF(AB807="","",IFERROR(INDEX(ctaTipo,MATCH(AB807,ctaNombre,0))&amp;"",""))</f>
        <v/>
      </c>
      <c r="AE807" s="52">
        <f>IF(AC807="","",IFERROR(INDEX(ctaTipo,MATCH(AC807,ctaNombre,0))&amp;"",""))</f>
        <v/>
      </c>
      <c r="AF807" s="53">
        <f>IF(OR(P807="",AB807=""),"",IF(OR(P807="Gasto",P807="Transferencia",P807="Pago tarjeta"),-1,1)*IF(IFERROR(INDEX(ctaMoneda,MATCH(AB807,ctaNombre,0))&amp;"","DOP")="USD",T807,S807))</f>
        <v/>
      </c>
      <c r="AG807" s="53">
        <f>IF(AC807="","",IF(IFERROR(INDEX(ctaMoneda,MATCH(AC807,ctaNombre,0))&amp;"","DOP")="USD",T807,S807))</f>
        <v/>
      </c>
      <c r="AH807" s="53">
        <f>IF(P807="","",IF(AND(AD807&lt;&gt;"",COUNTIFS(tcTipo,AD807,tcLiq,"Sí")&gt;0),IF(OR(P807="Gasto",P807="Transferencia",P807="Pago tarjeta"),-1,1)*S807,0)+IF(AND(AE807&lt;&gt;"",COUNTIFS(tcTipo,AE807,tcLiq,"Sí")&gt;0),S807,0))</f>
        <v/>
      </c>
      <c r="AI807" s="52">
        <f>IF(OR(L807="",P807=""),"",IF(COUNTIFS(L$6:L807,L807,P$6:P807,"?*")=1,MAX(AI$5:AI806)+1,""))</f>
        <v/>
      </c>
    </row>
    <row r="808">
      <c r="B808" s="47" t="n"/>
      <c r="C808" s="48" t="n"/>
      <c r="D808" s="48" t="n"/>
      <c r="E808" s="48" t="n"/>
      <c r="F808" s="48" t="n"/>
      <c r="G808" s="49" t="n"/>
      <c r="H808" s="48" t="n"/>
      <c r="I808" s="50" t="n"/>
      <c r="J808" s="48" t="n"/>
      <c r="K808" s="48" t="n"/>
      <c r="L808" s="48" t="n"/>
      <c r="M808" s="48" t="n"/>
      <c r="N808" s="48" t="n"/>
      <c r="O808" s="51">
        <f>IF(AND(B808="",G808="",C808="",D808="",J808=""),"",IF(B808="","⚠ Falta fecha",IF(G808="","⚠ Falta monto",IF(Q808="","⚠ Falta cuenta",IF(ISNA(MATCH(Q808,ctaNombre,0)),"⚠ Cuenta no registrada",IF(AND(OR(P808="Gasto",P808="Reembolso"),D808=""),"⚠ Falta categoría",IF(AND(D808&lt;&gt;"",E808&lt;&gt;"",ISNA(MATCH(D808&amp;"|"&amp;E808,catClave,0))),"⚠ Subcategoría no corresponde",IF(AND(OR(P808="Transferencia",P808="Pago tarjeta"),K808=""),"⚠ Falta cuenta destino",IF(AND(K808&lt;&gt;"",P808&lt;&gt;"Transferencia",P808&lt;&gt;"Pago tarjeta"),"⚠ Destino solo aplica a transferencias",IF(AND(K808&lt;&gt;"",K808=Q808),"⚠ Origen igual a destino",IF(AND(K808&lt;&gt;"",ISNA(MATCH(K808,ctaNombre,0))),"⚠ Destino no registrado",IF(AND(P808="Pago tarjeta",AE808&lt;&gt;"Tarjeta de crédito"),"⚠ El destino debe ser tarjeta de crédito",IF(AND(P808="Gasto",E808="Depósitos y retiros"),"⚠ Usa tipo Transferencia",IF(AND(P808="Resultado trading",AD808&lt;&gt;"Cuenta de trading"),"⚠ Usa una cuenta de trading",IF(AND(G808&lt;=0,P808&lt;&gt;"Ajuste",P808&lt;&gt;"Resultado trading"),"⚠ El monto debe ser positivo","✓")))))))))))))))</f>
        <v/>
      </c>
      <c r="P808" s="52">
        <f>IF(OR(B808="",G808=""),"",IF(C808="","Gasto",C808))</f>
        <v/>
      </c>
      <c r="Q808" s="52">
        <f>IF(P808="","",IF(J808&lt;&gt;"",J808,CuentaPred&amp;""))</f>
        <v/>
      </c>
      <c r="R808" s="52">
        <f>IF(P808="","",IF(ISNUMBER(I808),I808,TasaUSD))</f>
        <v/>
      </c>
      <c r="S808" s="53">
        <f>IF(P808="","",IF(H808="USD",G808*R808,G808))</f>
        <v/>
      </c>
      <c r="T808" s="53">
        <f>IF(P808="","",IF(H808="USD",G808,IF(R808&gt;0,G808/R808,0)))</f>
        <v/>
      </c>
      <c r="U808" s="53">
        <f>IF(P808="","",IF(P808="Gasto",S808,IF(P808="Reembolso",-S808,0)))</f>
        <v/>
      </c>
      <c r="V808" s="53">
        <f>IF(P808="","",IF(P808="Ingreso",S808,0))</f>
        <v/>
      </c>
      <c r="W808" s="53">
        <f>IF(P808="","",IF(P808="Resultado trading",S808,0))</f>
        <v/>
      </c>
      <c r="X808" s="52">
        <f>IF(OR(P808="Gasto",P808="Reembolso"),IF(M808&lt;&gt;"",M808,IFERROR(INDEX(catClasif,MATCH(D808&amp;"|"&amp;E808,catClave,0))&amp;"","Variable")),"")</f>
        <v/>
      </c>
      <c r="Y808" s="52">
        <f>IF(P808="","",IFERROR(INDEX(catGrupo,MATCH(D808&amp;"|"&amp;E808,catClave,0))&amp;"",""))</f>
        <v/>
      </c>
      <c r="Z808" s="52">
        <f>IF(P808="","",WEEKDAY(B808,2))</f>
        <v/>
      </c>
      <c r="AA808" s="52">
        <f>IF(P808="","",IF(AND(P808="Gasto",X808="Variable",D808&lt;&gt;catTrading,S808&gt;0,S808&lt;=Umbral),1,0))</f>
        <v/>
      </c>
      <c r="AB808" s="52">
        <f>IF(OR(P808="",Q808=""),"",IFERROR(IF(INDEX(ctaVinc,MATCH(Q808,ctaNombre,0))&amp;""&lt;&gt;"",INDEX(ctaVinc,MATCH(Q808,ctaNombre,0))&amp;"",Q808),Q808))</f>
        <v/>
      </c>
      <c r="AC808" s="52">
        <f>IF(OR(K808="",AND(P808&lt;&gt;"Transferencia",P808&lt;&gt;"Pago tarjeta")),"",IFERROR(IF(INDEX(ctaVinc,MATCH(K808,ctaNombre,0))&amp;""&lt;&gt;"",INDEX(ctaVinc,MATCH(K808,ctaNombre,0))&amp;"",K808),K808))</f>
        <v/>
      </c>
      <c r="AD808" s="52">
        <f>IF(AB808="","",IFERROR(INDEX(ctaTipo,MATCH(AB808,ctaNombre,0))&amp;"",""))</f>
        <v/>
      </c>
      <c r="AE808" s="52">
        <f>IF(AC808="","",IFERROR(INDEX(ctaTipo,MATCH(AC808,ctaNombre,0))&amp;"",""))</f>
        <v/>
      </c>
      <c r="AF808" s="53">
        <f>IF(OR(P808="",AB808=""),"",IF(OR(P808="Gasto",P808="Transferencia",P808="Pago tarjeta"),-1,1)*IF(IFERROR(INDEX(ctaMoneda,MATCH(AB808,ctaNombre,0))&amp;"","DOP")="USD",T808,S808))</f>
        <v/>
      </c>
      <c r="AG808" s="53">
        <f>IF(AC808="","",IF(IFERROR(INDEX(ctaMoneda,MATCH(AC808,ctaNombre,0))&amp;"","DOP")="USD",T808,S808))</f>
        <v/>
      </c>
      <c r="AH808" s="53">
        <f>IF(P808="","",IF(AND(AD808&lt;&gt;"",COUNTIFS(tcTipo,AD808,tcLiq,"Sí")&gt;0),IF(OR(P808="Gasto",P808="Transferencia",P808="Pago tarjeta"),-1,1)*S808,0)+IF(AND(AE808&lt;&gt;"",COUNTIFS(tcTipo,AE808,tcLiq,"Sí")&gt;0),S808,0))</f>
        <v/>
      </c>
      <c r="AI808" s="52">
        <f>IF(OR(L808="",P808=""),"",IF(COUNTIFS(L$6:L808,L808,P$6:P808,"?*")=1,MAX(AI$5:AI807)+1,""))</f>
        <v/>
      </c>
    </row>
    <row r="809">
      <c r="B809" s="47" t="n"/>
      <c r="C809" s="48" t="n"/>
      <c r="D809" s="48" t="n"/>
      <c r="E809" s="48" t="n"/>
      <c r="F809" s="48" t="n"/>
      <c r="G809" s="49" t="n"/>
      <c r="H809" s="48" t="n"/>
      <c r="I809" s="50" t="n"/>
      <c r="J809" s="48" t="n"/>
      <c r="K809" s="48" t="n"/>
      <c r="L809" s="48" t="n"/>
      <c r="M809" s="48" t="n"/>
      <c r="N809" s="48" t="n"/>
      <c r="O809" s="51">
        <f>IF(AND(B809="",G809="",C809="",D809="",J809=""),"",IF(B809="","⚠ Falta fecha",IF(G809="","⚠ Falta monto",IF(Q809="","⚠ Falta cuenta",IF(ISNA(MATCH(Q809,ctaNombre,0)),"⚠ Cuenta no registrada",IF(AND(OR(P809="Gasto",P809="Reembolso"),D809=""),"⚠ Falta categoría",IF(AND(D809&lt;&gt;"",E809&lt;&gt;"",ISNA(MATCH(D809&amp;"|"&amp;E809,catClave,0))),"⚠ Subcategoría no corresponde",IF(AND(OR(P809="Transferencia",P809="Pago tarjeta"),K809=""),"⚠ Falta cuenta destino",IF(AND(K809&lt;&gt;"",P809&lt;&gt;"Transferencia",P809&lt;&gt;"Pago tarjeta"),"⚠ Destino solo aplica a transferencias",IF(AND(K809&lt;&gt;"",K809=Q809),"⚠ Origen igual a destino",IF(AND(K809&lt;&gt;"",ISNA(MATCH(K809,ctaNombre,0))),"⚠ Destino no registrado",IF(AND(P809="Pago tarjeta",AE809&lt;&gt;"Tarjeta de crédito"),"⚠ El destino debe ser tarjeta de crédito",IF(AND(P809="Gasto",E809="Depósitos y retiros"),"⚠ Usa tipo Transferencia",IF(AND(P809="Resultado trading",AD809&lt;&gt;"Cuenta de trading"),"⚠ Usa una cuenta de trading",IF(AND(G809&lt;=0,P809&lt;&gt;"Ajuste",P809&lt;&gt;"Resultado trading"),"⚠ El monto debe ser positivo","✓")))))))))))))))</f>
        <v/>
      </c>
      <c r="P809" s="52">
        <f>IF(OR(B809="",G809=""),"",IF(C809="","Gasto",C809))</f>
        <v/>
      </c>
      <c r="Q809" s="52">
        <f>IF(P809="","",IF(J809&lt;&gt;"",J809,CuentaPred&amp;""))</f>
        <v/>
      </c>
      <c r="R809" s="52">
        <f>IF(P809="","",IF(ISNUMBER(I809),I809,TasaUSD))</f>
        <v/>
      </c>
      <c r="S809" s="53">
        <f>IF(P809="","",IF(H809="USD",G809*R809,G809))</f>
        <v/>
      </c>
      <c r="T809" s="53">
        <f>IF(P809="","",IF(H809="USD",G809,IF(R809&gt;0,G809/R809,0)))</f>
        <v/>
      </c>
      <c r="U809" s="53">
        <f>IF(P809="","",IF(P809="Gasto",S809,IF(P809="Reembolso",-S809,0)))</f>
        <v/>
      </c>
      <c r="V809" s="53">
        <f>IF(P809="","",IF(P809="Ingreso",S809,0))</f>
        <v/>
      </c>
      <c r="W809" s="53">
        <f>IF(P809="","",IF(P809="Resultado trading",S809,0))</f>
        <v/>
      </c>
      <c r="X809" s="52">
        <f>IF(OR(P809="Gasto",P809="Reembolso"),IF(M809&lt;&gt;"",M809,IFERROR(INDEX(catClasif,MATCH(D809&amp;"|"&amp;E809,catClave,0))&amp;"","Variable")),"")</f>
        <v/>
      </c>
      <c r="Y809" s="52">
        <f>IF(P809="","",IFERROR(INDEX(catGrupo,MATCH(D809&amp;"|"&amp;E809,catClave,0))&amp;"",""))</f>
        <v/>
      </c>
      <c r="Z809" s="52">
        <f>IF(P809="","",WEEKDAY(B809,2))</f>
        <v/>
      </c>
      <c r="AA809" s="52">
        <f>IF(P809="","",IF(AND(P809="Gasto",X809="Variable",D809&lt;&gt;catTrading,S809&gt;0,S809&lt;=Umbral),1,0))</f>
        <v/>
      </c>
      <c r="AB809" s="52">
        <f>IF(OR(P809="",Q809=""),"",IFERROR(IF(INDEX(ctaVinc,MATCH(Q809,ctaNombre,0))&amp;""&lt;&gt;"",INDEX(ctaVinc,MATCH(Q809,ctaNombre,0))&amp;"",Q809),Q809))</f>
        <v/>
      </c>
      <c r="AC809" s="52">
        <f>IF(OR(K809="",AND(P809&lt;&gt;"Transferencia",P809&lt;&gt;"Pago tarjeta")),"",IFERROR(IF(INDEX(ctaVinc,MATCH(K809,ctaNombre,0))&amp;""&lt;&gt;"",INDEX(ctaVinc,MATCH(K809,ctaNombre,0))&amp;"",K809),K809))</f>
        <v/>
      </c>
      <c r="AD809" s="52">
        <f>IF(AB809="","",IFERROR(INDEX(ctaTipo,MATCH(AB809,ctaNombre,0))&amp;"",""))</f>
        <v/>
      </c>
      <c r="AE809" s="52">
        <f>IF(AC809="","",IFERROR(INDEX(ctaTipo,MATCH(AC809,ctaNombre,0))&amp;"",""))</f>
        <v/>
      </c>
      <c r="AF809" s="53">
        <f>IF(OR(P809="",AB809=""),"",IF(OR(P809="Gasto",P809="Transferencia",P809="Pago tarjeta"),-1,1)*IF(IFERROR(INDEX(ctaMoneda,MATCH(AB809,ctaNombre,0))&amp;"","DOP")="USD",T809,S809))</f>
        <v/>
      </c>
      <c r="AG809" s="53">
        <f>IF(AC809="","",IF(IFERROR(INDEX(ctaMoneda,MATCH(AC809,ctaNombre,0))&amp;"","DOP")="USD",T809,S809))</f>
        <v/>
      </c>
      <c r="AH809" s="53">
        <f>IF(P809="","",IF(AND(AD809&lt;&gt;"",COUNTIFS(tcTipo,AD809,tcLiq,"Sí")&gt;0),IF(OR(P809="Gasto",P809="Transferencia",P809="Pago tarjeta"),-1,1)*S809,0)+IF(AND(AE809&lt;&gt;"",COUNTIFS(tcTipo,AE809,tcLiq,"Sí")&gt;0),S809,0))</f>
        <v/>
      </c>
      <c r="AI809" s="52">
        <f>IF(OR(L809="",P809=""),"",IF(COUNTIFS(L$6:L809,L809,P$6:P809,"?*")=1,MAX(AI$5:AI808)+1,""))</f>
        <v/>
      </c>
    </row>
    <row r="810">
      <c r="B810" s="47" t="n"/>
      <c r="C810" s="48" t="n"/>
      <c r="D810" s="48" t="n"/>
      <c r="E810" s="48" t="n"/>
      <c r="F810" s="48" t="n"/>
      <c r="G810" s="49" t="n"/>
      <c r="H810" s="48" t="n"/>
      <c r="I810" s="50" t="n"/>
      <c r="J810" s="48" t="n"/>
      <c r="K810" s="48" t="n"/>
      <c r="L810" s="48" t="n"/>
      <c r="M810" s="48" t="n"/>
      <c r="N810" s="48" t="n"/>
      <c r="O810" s="51">
        <f>IF(AND(B810="",G810="",C810="",D810="",J810=""),"",IF(B810="","⚠ Falta fecha",IF(G810="","⚠ Falta monto",IF(Q810="","⚠ Falta cuenta",IF(ISNA(MATCH(Q810,ctaNombre,0)),"⚠ Cuenta no registrada",IF(AND(OR(P810="Gasto",P810="Reembolso"),D810=""),"⚠ Falta categoría",IF(AND(D810&lt;&gt;"",E810&lt;&gt;"",ISNA(MATCH(D810&amp;"|"&amp;E810,catClave,0))),"⚠ Subcategoría no corresponde",IF(AND(OR(P810="Transferencia",P810="Pago tarjeta"),K810=""),"⚠ Falta cuenta destino",IF(AND(K810&lt;&gt;"",P810&lt;&gt;"Transferencia",P810&lt;&gt;"Pago tarjeta"),"⚠ Destino solo aplica a transferencias",IF(AND(K810&lt;&gt;"",K810=Q810),"⚠ Origen igual a destino",IF(AND(K810&lt;&gt;"",ISNA(MATCH(K810,ctaNombre,0))),"⚠ Destino no registrado",IF(AND(P810="Pago tarjeta",AE810&lt;&gt;"Tarjeta de crédito"),"⚠ El destino debe ser tarjeta de crédito",IF(AND(P810="Gasto",E810="Depósitos y retiros"),"⚠ Usa tipo Transferencia",IF(AND(P810="Resultado trading",AD810&lt;&gt;"Cuenta de trading"),"⚠ Usa una cuenta de trading",IF(AND(G810&lt;=0,P810&lt;&gt;"Ajuste",P810&lt;&gt;"Resultado trading"),"⚠ El monto debe ser positivo","✓")))))))))))))))</f>
        <v/>
      </c>
      <c r="P810" s="52">
        <f>IF(OR(B810="",G810=""),"",IF(C810="","Gasto",C810))</f>
        <v/>
      </c>
      <c r="Q810" s="52">
        <f>IF(P810="","",IF(J810&lt;&gt;"",J810,CuentaPred&amp;""))</f>
        <v/>
      </c>
      <c r="R810" s="52">
        <f>IF(P810="","",IF(ISNUMBER(I810),I810,TasaUSD))</f>
        <v/>
      </c>
      <c r="S810" s="53">
        <f>IF(P810="","",IF(H810="USD",G810*R810,G810))</f>
        <v/>
      </c>
      <c r="T810" s="53">
        <f>IF(P810="","",IF(H810="USD",G810,IF(R810&gt;0,G810/R810,0)))</f>
        <v/>
      </c>
      <c r="U810" s="53">
        <f>IF(P810="","",IF(P810="Gasto",S810,IF(P810="Reembolso",-S810,0)))</f>
        <v/>
      </c>
      <c r="V810" s="53">
        <f>IF(P810="","",IF(P810="Ingreso",S810,0))</f>
        <v/>
      </c>
      <c r="W810" s="53">
        <f>IF(P810="","",IF(P810="Resultado trading",S810,0))</f>
        <v/>
      </c>
      <c r="X810" s="52">
        <f>IF(OR(P810="Gasto",P810="Reembolso"),IF(M810&lt;&gt;"",M810,IFERROR(INDEX(catClasif,MATCH(D810&amp;"|"&amp;E810,catClave,0))&amp;"","Variable")),"")</f>
        <v/>
      </c>
      <c r="Y810" s="52">
        <f>IF(P810="","",IFERROR(INDEX(catGrupo,MATCH(D810&amp;"|"&amp;E810,catClave,0))&amp;"",""))</f>
        <v/>
      </c>
      <c r="Z810" s="52">
        <f>IF(P810="","",WEEKDAY(B810,2))</f>
        <v/>
      </c>
      <c r="AA810" s="52">
        <f>IF(P810="","",IF(AND(P810="Gasto",X810="Variable",D810&lt;&gt;catTrading,S810&gt;0,S810&lt;=Umbral),1,0))</f>
        <v/>
      </c>
      <c r="AB810" s="52">
        <f>IF(OR(P810="",Q810=""),"",IFERROR(IF(INDEX(ctaVinc,MATCH(Q810,ctaNombre,0))&amp;""&lt;&gt;"",INDEX(ctaVinc,MATCH(Q810,ctaNombre,0))&amp;"",Q810),Q810))</f>
        <v/>
      </c>
      <c r="AC810" s="52">
        <f>IF(OR(K810="",AND(P810&lt;&gt;"Transferencia",P810&lt;&gt;"Pago tarjeta")),"",IFERROR(IF(INDEX(ctaVinc,MATCH(K810,ctaNombre,0))&amp;""&lt;&gt;"",INDEX(ctaVinc,MATCH(K810,ctaNombre,0))&amp;"",K810),K810))</f>
        <v/>
      </c>
      <c r="AD810" s="52">
        <f>IF(AB810="","",IFERROR(INDEX(ctaTipo,MATCH(AB810,ctaNombre,0))&amp;"",""))</f>
        <v/>
      </c>
      <c r="AE810" s="52">
        <f>IF(AC810="","",IFERROR(INDEX(ctaTipo,MATCH(AC810,ctaNombre,0))&amp;"",""))</f>
        <v/>
      </c>
      <c r="AF810" s="53">
        <f>IF(OR(P810="",AB810=""),"",IF(OR(P810="Gasto",P810="Transferencia",P810="Pago tarjeta"),-1,1)*IF(IFERROR(INDEX(ctaMoneda,MATCH(AB810,ctaNombre,0))&amp;"","DOP")="USD",T810,S810))</f>
        <v/>
      </c>
      <c r="AG810" s="53">
        <f>IF(AC810="","",IF(IFERROR(INDEX(ctaMoneda,MATCH(AC810,ctaNombre,0))&amp;"","DOP")="USD",T810,S810))</f>
        <v/>
      </c>
      <c r="AH810" s="53">
        <f>IF(P810="","",IF(AND(AD810&lt;&gt;"",COUNTIFS(tcTipo,AD810,tcLiq,"Sí")&gt;0),IF(OR(P810="Gasto",P810="Transferencia",P810="Pago tarjeta"),-1,1)*S810,0)+IF(AND(AE810&lt;&gt;"",COUNTIFS(tcTipo,AE810,tcLiq,"Sí")&gt;0),S810,0))</f>
        <v/>
      </c>
      <c r="AI810" s="52">
        <f>IF(OR(L810="",P810=""),"",IF(COUNTIFS(L$6:L810,L810,P$6:P810,"?*")=1,MAX(AI$5:AI809)+1,""))</f>
        <v/>
      </c>
    </row>
    <row r="811">
      <c r="B811" s="47" t="n"/>
      <c r="C811" s="48" t="n"/>
      <c r="D811" s="48" t="n"/>
      <c r="E811" s="48" t="n"/>
      <c r="F811" s="48" t="n"/>
      <c r="G811" s="49" t="n"/>
      <c r="H811" s="48" t="n"/>
      <c r="I811" s="50" t="n"/>
      <c r="J811" s="48" t="n"/>
      <c r="K811" s="48" t="n"/>
      <c r="L811" s="48" t="n"/>
      <c r="M811" s="48" t="n"/>
      <c r="N811" s="48" t="n"/>
      <c r="O811" s="51">
        <f>IF(AND(B811="",G811="",C811="",D811="",J811=""),"",IF(B811="","⚠ Falta fecha",IF(G811="","⚠ Falta monto",IF(Q811="","⚠ Falta cuenta",IF(ISNA(MATCH(Q811,ctaNombre,0)),"⚠ Cuenta no registrada",IF(AND(OR(P811="Gasto",P811="Reembolso"),D811=""),"⚠ Falta categoría",IF(AND(D811&lt;&gt;"",E811&lt;&gt;"",ISNA(MATCH(D811&amp;"|"&amp;E811,catClave,0))),"⚠ Subcategoría no corresponde",IF(AND(OR(P811="Transferencia",P811="Pago tarjeta"),K811=""),"⚠ Falta cuenta destino",IF(AND(K811&lt;&gt;"",P811&lt;&gt;"Transferencia",P811&lt;&gt;"Pago tarjeta"),"⚠ Destino solo aplica a transferencias",IF(AND(K811&lt;&gt;"",K811=Q811),"⚠ Origen igual a destino",IF(AND(K811&lt;&gt;"",ISNA(MATCH(K811,ctaNombre,0))),"⚠ Destino no registrado",IF(AND(P811="Pago tarjeta",AE811&lt;&gt;"Tarjeta de crédito"),"⚠ El destino debe ser tarjeta de crédito",IF(AND(P811="Gasto",E811="Depósitos y retiros"),"⚠ Usa tipo Transferencia",IF(AND(P811="Resultado trading",AD811&lt;&gt;"Cuenta de trading"),"⚠ Usa una cuenta de trading",IF(AND(G811&lt;=0,P811&lt;&gt;"Ajuste",P811&lt;&gt;"Resultado trading"),"⚠ El monto debe ser positivo","✓")))))))))))))))</f>
        <v/>
      </c>
      <c r="P811" s="52">
        <f>IF(OR(B811="",G811=""),"",IF(C811="","Gasto",C811))</f>
        <v/>
      </c>
      <c r="Q811" s="52">
        <f>IF(P811="","",IF(J811&lt;&gt;"",J811,CuentaPred&amp;""))</f>
        <v/>
      </c>
      <c r="R811" s="52">
        <f>IF(P811="","",IF(ISNUMBER(I811),I811,TasaUSD))</f>
        <v/>
      </c>
      <c r="S811" s="53">
        <f>IF(P811="","",IF(H811="USD",G811*R811,G811))</f>
        <v/>
      </c>
      <c r="T811" s="53">
        <f>IF(P811="","",IF(H811="USD",G811,IF(R811&gt;0,G811/R811,0)))</f>
        <v/>
      </c>
      <c r="U811" s="53">
        <f>IF(P811="","",IF(P811="Gasto",S811,IF(P811="Reembolso",-S811,0)))</f>
        <v/>
      </c>
      <c r="V811" s="53">
        <f>IF(P811="","",IF(P811="Ingreso",S811,0))</f>
        <v/>
      </c>
      <c r="W811" s="53">
        <f>IF(P811="","",IF(P811="Resultado trading",S811,0))</f>
        <v/>
      </c>
      <c r="X811" s="52">
        <f>IF(OR(P811="Gasto",P811="Reembolso"),IF(M811&lt;&gt;"",M811,IFERROR(INDEX(catClasif,MATCH(D811&amp;"|"&amp;E811,catClave,0))&amp;"","Variable")),"")</f>
        <v/>
      </c>
      <c r="Y811" s="52">
        <f>IF(P811="","",IFERROR(INDEX(catGrupo,MATCH(D811&amp;"|"&amp;E811,catClave,0))&amp;"",""))</f>
        <v/>
      </c>
      <c r="Z811" s="52">
        <f>IF(P811="","",WEEKDAY(B811,2))</f>
        <v/>
      </c>
      <c r="AA811" s="52">
        <f>IF(P811="","",IF(AND(P811="Gasto",X811="Variable",D811&lt;&gt;catTrading,S811&gt;0,S811&lt;=Umbral),1,0))</f>
        <v/>
      </c>
      <c r="AB811" s="52">
        <f>IF(OR(P811="",Q811=""),"",IFERROR(IF(INDEX(ctaVinc,MATCH(Q811,ctaNombre,0))&amp;""&lt;&gt;"",INDEX(ctaVinc,MATCH(Q811,ctaNombre,0))&amp;"",Q811),Q811))</f>
        <v/>
      </c>
      <c r="AC811" s="52">
        <f>IF(OR(K811="",AND(P811&lt;&gt;"Transferencia",P811&lt;&gt;"Pago tarjeta")),"",IFERROR(IF(INDEX(ctaVinc,MATCH(K811,ctaNombre,0))&amp;""&lt;&gt;"",INDEX(ctaVinc,MATCH(K811,ctaNombre,0))&amp;"",K811),K811))</f>
        <v/>
      </c>
      <c r="AD811" s="52">
        <f>IF(AB811="","",IFERROR(INDEX(ctaTipo,MATCH(AB811,ctaNombre,0))&amp;"",""))</f>
        <v/>
      </c>
      <c r="AE811" s="52">
        <f>IF(AC811="","",IFERROR(INDEX(ctaTipo,MATCH(AC811,ctaNombre,0))&amp;"",""))</f>
        <v/>
      </c>
      <c r="AF811" s="53">
        <f>IF(OR(P811="",AB811=""),"",IF(OR(P811="Gasto",P811="Transferencia",P811="Pago tarjeta"),-1,1)*IF(IFERROR(INDEX(ctaMoneda,MATCH(AB811,ctaNombre,0))&amp;"","DOP")="USD",T811,S811))</f>
        <v/>
      </c>
      <c r="AG811" s="53">
        <f>IF(AC811="","",IF(IFERROR(INDEX(ctaMoneda,MATCH(AC811,ctaNombre,0))&amp;"","DOP")="USD",T811,S811))</f>
        <v/>
      </c>
      <c r="AH811" s="53">
        <f>IF(P811="","",IF(AND(AD811&lt;&gt;"",COUNTIFS(tcTipo,AD811,tcLiq,"Sí")&gt;0),IF(OR(P811="Gasto",P811="Transferencia",P811="Pago tarjeta"),-1,1)*S811,0)+IF(AND(AE811&lt;&gt;"",COUNTIFS(tcTipo,AE811,tcLiq,"Sí")&gt;0),S811,0))</f>
        <v/>
      </c>
      <c r="AI811" s="52">
        <f>IF(OR(L811="",P811=""),"",IF(COUNTIFS(L$6:L811,L811,P$6:P811,"?*")=1,MAX(AI$5:AI810)+1,""))</f>
        <v/>
      </c>
    </row>
    <row r="812">
      <c r="B812" s="47" t="n"/>
      <c r="C812" s="48" t="n"/>
      <c r="D812" s="48" t="n"/>
      <c r="E812" s="48" t="n"/>
      <c r="F812" s="48" t="n"/>
      <c r="G812" s="49" t="n"/>
      <c r="H812" s="48" t="n"/>
      <c r="I812" s="50" t="n"/>
      <c r="J812" s="48" t="n"/>
      <c r="K812" s="48" t="n"/>
      <c r="L812" s="48" t="n"/>
      <c r="M812" s="48" t="n"/>
      <c r="N812" s="48" t="n"/>
      <c r="O812" s="51">
        <f>IF(AND(B812="",G812="",C812="",D812="",J812=""),"",IF(B812="","⚠ Falta fecha",IF(G812="","⚠ Falta monto",IF(Q812="","⚠ Falta cuenta",IF(ISNA(MATCH(Q812,ctaNombre,0)),"⚠ Cuenta no registrada",IF(AND(OR(P812="Gasto",P812="Reembolso"),D812=""),"⚠ Falta categoría",IF(AND(D812&lt;&gt;"",E812&lt;&gt;"",ISNA(MATCH(D812&amp;"|"&amp;E812,catClave,0))),"⚠ Subcategoría no corresponde",IF(AND(OR(P812="Transferencia",P812="Pago tarjeta"),K812=""),"⚠ Falta cuenta destino",IF(AND(K812&lt;&gt;"",P812&lt;&gt;"Transferencia",P812&lt;&gt;"Pago tarjeta"),"⚠ Destino solo aplica a transferencias",IF(AND(K812&lt;&gt;"",K812=Q812),"⚠ Origen igual a destino",IF(AND(K812&lt;&gt;"",ISNA(MATCH(K812,ctaNombre,0))),"⚠ Destino no registrado",IF(AND(P812="Pago tarjeta",AE812&lt;&gt;"Tarjeta de crédito"),"⚠ El destino debe ser tarjeta de crédito",IF(AND(P812="Gasto",E812="Depósitos y retiros"),"⚠ Usa tipo Transferencia",IF(AND(P812="Resultado trading",AD812&lt;&gt;"Cuenta de trading"),"⚠ Usa una cuenta de trading",IF(AND(G812&lt;=0,P812&lt;&gt;"Ajuste",P812&lt;&gt;"Resultado trading"),"⚠ El monto debe ser positivo","✓")))))))))))))))</f>
        <v/>
      </c>
      <c r="P812" s="52">
        <f>IF(OR(B812="",G812=""),"",IF(C812="","Gasto",C812))</f>
        <v/>
      </c>
      <c r="Q812" s="52">
        <f>IF(P812="","",IF(J812&lt;&gt;"",J812,CuentaPred&amp;""))</f>
        <v/>
      </c>
      <c r="R812" s="52">
        <f>IF(P812="","",IF(ISNUMBER(I812),I812,TasaUSD))</f>
        <v/>
      </c>
      <c r="S812" s="53">
        <f>IF(P812="","",IF(H812="USD",G812*R812,G812))</f>
        <v/>
      </c>
      <c r="T812" s="53">
        <f>IF(P812="","",IF(H812="USD",G812,IF(R812&gt;0,G812/R812,0)))</f>
        <v/>
      </c>
      <c r="U812" s="53">
        <f>IF(P812="","",IF(P812="Gasto",S812,IF(P812="Reembolso",-S812,0)))</f>
        <v/>
      </c>
      <c r="V812" s="53">
        <f>IF(P812="","",IF(P812="Ingreso",S812,0))</f>
        <v/>
      </c>
      <c r="W812" s="53">
        <f>IF(P812="","",IF(P812="Resultado trading",S812,0))</f>
        <v/>
      </c>
      <c r="X812" s="52">
        <f>IF(OR(P812="Gasto",P812="Reembolso"),IF(M812&lt;&gt;"",M812,IFERROR(INDEX(catClasif,MATCH(D812&amp;"|"&amp;E812,catClave,0))&amp;"","Variable")),"")</f>
        <v/>
      </c>
      <c r="Y812" s="52">
        <f>IF(P812="","",IFERROR(INDEX(catGrupo,MATCH(D812&amp;"|"&amp;E812,catClave,0))&amp;"",""))</f>
        <v/>
      </c>
      <c r="Z812" s="52">
        <f>IF(P812="","",WEEKDAY(B812,2))</f>
        <v/>
      </c>
      <c r="AA812" s="52">
        <f>IF(P812="","",IF(AND(P812="Gasto",X812="Variable",D812&lt;&gt;catTrading,S812&gt;0,S812&lt;=Umbral),1,0))</f>
        <v/>
      </c>
      <c r="AB812" s="52">
        <f>IF(OR(P812="",Q812=""),"",IFERROR(IF(INDEX(ctaVinc,MATCH(Q812,ctaNombre,0))&amp;""&lt;&gt;"",INDEX(ctaVinc,MATCH(Q812,ctaNombre,0))&amp;"",Q812),Q812))</f>
        <v/>
      </c>
      <c r="AC812" s="52">
        <f>IF(OR(K812="",AND(P812&lt;&gt;"Transferencia",P812&lt;&gt;"Pago tarjeta")),"",IFERROR(IF(INDEX(ctaVinc,MATCH(K812,ctaNombre,0))&amp;""&lt;&gt;"",INDEX(ctaVinc,MATCH(K812,ctaNombre,0))&amp;"",K812),K812))</f>
        <v/>
      </c>
      <c r="AD812" s="52">
        <f>IF(AB812="","",IFERROR(INDEX(ctaTipo,MATCH(AB812,ctaNombre,0))&amp;"",""))</f>
        <v/>
      </c>
      <c r="AE812" s="52">
        <f>IF(AC812="","",IFERROR(INDEX(ctaTipo,MATCH(AC812,ctaNombre,0))&amp;"",""))</f>
        <v/>
      </c>
      <c r="AF812" s="53">
        <f>IF(OR(P812="",AB812=""),"",IF(OR(P812="Gasto",P812="Transferencia",P812="Pago tarjeta"),-1,1)*IF(IFERROR(INDEX(ctaMoneda,MATCH(AB812,ctaNombre,0))&amp;"","DOP")="USD",T812,S812))</f>
        <v/>
      </c>
      <c r="AG812" s="53">
        <f>IF(AC812="","",IF(IFERROR(INDEX(ctaMoneda,MATCH(AC812,ctaNombre,0))&amp;"","DOP")="USD",T812,S812))</f>
        <v/>
      </c>
      <c r="AH812" s="53">
        <f>IF(P812="","",IF(AND(AD812&lt;&gt;"",COUNTIFS(tcTipo,AD812,tcLiq,"Sí")&gt;0),IF(OR(P812="Gasto",P812="Transferencia",P812="Pago tarjeta"),-1,1)*S812,0)+IF(AND(AE812&lt;&gt;"",COUNTIFS(tcTipo,AE812,tcLiq,"Sí")&gt;0),S812,0))</f>
        <v/>
      </c>
      <c r="AI812" s="52">
        <f>IF(OR(L812="",P812=""),"",IF(COUNTIFS(L$6:L812,L812,P$6:P812,"?*")=1,MAX(AI$5:AI811)+1,""))</f>
        <v/>
      </c>
    </row>
    <row r="813">
      <c r="B813" s="47" t="n"/>
      <c r="C813" s="48" t="n"/>
      <c r="D813" s="48" t="n"/>
      <c r="E813" s="48" t="n"/>
      <c r="F813" s="48" t="n"/>
      <c r="G813" s="49" t="n"/>
      <c r="H813" s="48" t="n"/>
      <c r="I813" s="50" t="n"/>
      <c r="J813" s="48" t="n"/>
      <c r="K813" s="48" t="n"/>
      <c r="L813" s="48" t="n"/>
      <c r="M813" s="48" t="n"/>
      <c r="N813" s="48" t="n"/>
      <c r="O813" s="51">
        <f>IF(AND(B813="",G813="",C813="",D813="",J813=""),"",IF(B813="","⚠ Falta fecha",IF(G813="","⚠ Falta monto",IF(Q813="","⚠ Falta cuenta",IF(ISNA(MATCH(Q813,ctaNombre,0)),"⚠ Cuenta no registrada",IF(AND(OR(P813="Gasto",P813="Reembolso"),D813=""),"⚠ Falta categoría",IF(AND(D813&lt;&gt;"",E813&lt;&gt;"",ISNA(MATCH(D813&amp;"|"&amp;E813,catClave,0))),"⚠ Subcategoría no corresponde",IF(AND(OR(P813="Transferencia",P813="Pago tarjeta"),K813=""),"⚠ Falta cuenta destino",IF(AND(K813&lt;&gt;"",P813&lt;&gt;"Transferencia",P813&lt;&gt;"Pago tarjeta"),"⚠ Destino solo aplica a transferencias",IF(AND(K813&lt;&gt;"",K813=Q813),"⚠ Origen igual a destino",IF(AND(K813&lt;&gt;"",ISNA(MATCH(K813,ctaNombre,0))),"⚠ Destino no registrado",IF(AND(P813="Pago tarjeta",AE813&lt;&gt;"Tarjeta de crédito"),"⚠ El destino debe ser tarjeta de crédito",IF(AND(P813="Gasto",E813="Depósitos y retiros"),"⚠ Usa tipo Transferencia",IF(AND(P813="Resultado trading",AD813&lt;&gt;"Cuenta de trading"),"⚠ Usa una cuenta de trading",IF(AND(G813&lt;=0,P813&lt;&gt;"Ajuste",P813&lt;&gt;"Resultado trading"),"⚠ El monto debe ser positivo","✓")))))))))))))))</f>
        <v/>
      </c>
      <c r="P813" s="52">
        <f>IF(OR(B813="",G813=""),"",IF(C813="","Gasto",C813))</f>
        <v/>
      </c>
      <c r="Q813" s="52">
        <f>IF(P813="","",IF(J813&lt;&gt;"",J813,CuentaPred&amp;""))</f>
        <v/>
      </c>
      <c r="R813" s="52">
        <f>IF(P813="","",IF(ISNUMBER(I813),I813,TasaUSD))</f>
        <v/>
      </c>
      <c r="S813" s="53">
        <f>IF(P813="","",IF(H813="USD",G813*R813,G813))</f>
        <v/>
      </c>
      <c r="T813" s="53">
        <f>IF(P813="","",IF(H813="USD",G813,IF(R813&gt;0,G813/R813,0)))</f>
        <v/>
      </c>
      <c r="U813" s="53">
        <f>IF(P813="","",IF(P813="Gasto",S813,IF(P813="Reembolso",-S813,0)))</f>
        <v/>
      </c>
      <c r="V813" s="53">
        <f>IF(P813="","",IF(P813="Ingreso",S813,0))</f>
        <v/>
      </c>
      <c r="W813" s="53">
        <f>IF(P813="","",IF(P813="Resultado trading",S813,0))</f>
        <v/>
      </c>
      <c r="X813" s="52">
        <f>IF(OR(P813="Gasto",P813="Reembolso"),IF(M813&lt;&gt;"",M813,IFERROR(INDEX(catClasif,MATCH(D813&amp;"|"&amp;E813,catClave,0))&amp;"","Variable")),"")</f>
        <v/>
      </c>
      <c r="Y813" s="52">
        <f>IF(P813="","",IFERROR(INDEX(catGrupo,MATCH(D813&amp;"|"&amp;E813,catClave,0))&amp;"",""))</f>
        <v/>
      </c>
      <c r="Z813" s="52">
        <f>IF(P813="","",WEEKDAY(B813,2))</f>
        <v/>
      </c>
      <c r="AA813" s="52">
        <f>IF(P813="","",IF(AND(P813="Gasto",X813="Variable",D813&lt;&gt;catTrading,S813&gt;0,S813&lt;=Umbral),1,0))</f>
        <v/>
      </c>
      <c r="AB813" s="52">
        <f>IF(OR(P813="",Q813=""),"",IFERROR(IF(INDEX(ctaVinc,MATCH(Q813,ctaNombre,0))&amp;""&lt;&gt;"",INDEX(ctaVinc,MATCH(Q813,ctaNombre,0))&amp;"",Q813),Q813))</f>
        <v/>
      </c>
      <c r="AC813" s="52">
        <f>IF(OR(K813="",AND(P813&lt;&gt;"Transferencia",P813&lt;&gt;"Pago tarjeta")),"",IFERROR(IF(INDEX(ctaVinc,MATCH(K813,ctaNombre,0))&amp;""&lt;&gt;"",INDEX(ctaVinc,MATCH(K813,ctaNombre,0))&amp;"",K813),K813))</f>
        <v/>
      </c>
      <c r="AD813" s="52">
        <f>IF(AB813="","",IFERROR(INDEX(ctaTipo,MATCH(AB813,ctaNombre,0))&amp;"",""))</f>
        <v/>
      </c>
      <c r="AE813" s="52">
        <f>IF(AC813="","",IFERROR(INDEX(ctaTipo,MATCH(AC813,ctaNombre,0))&amp;"",""))</f>
        <v/>
      </c>
      <c r="AF813" s="53">
        <f>IF(OR(P813="",AB813=""),"",IF(OR(P813="Gasto",P813="Transferencia",P813="Pago tarjeta"),-1,1)*IF(IFERROR(INDEX(ctaMoneda,MATCH(AB813,ctaNombre,0))&amp;"","DOP")="USD",T813,S813))</f>
        <v/>
      </c>
      <c r="AG813" s="53">
        <f>IF(AC813="","",IF(IFERROR(INDEX(ctaMoneda,MATCH(AC813,ctaNombre,0))&amp;"","DOP")="USD",T813,S813))</f>
        <v/>
      </c>
      <c r="AH813" s="53">
        <f>IF(P813="","",IF(AND(AD813&lt;&gt;"",COUNTIFS(tcTipo,AD813,tcLiq,"Sí")&gt;0),IF(OR(P813="Gasto",P813="Transferencia",P813="Pago tarjeta"),-1,1)*S813,0)+IF(AND(AE813&lt;&gt;"",COUNTIFS(tcTipo,AE813,tcLiq,"Sí")&gt;0),S813,0))</f>
        <v/>
      </c>
      <c r="AI813" s="52">
        <f>IF(OR(L813="",P813=""),"",IF(COUNTIFS(L$6:L813,L813,P$6:P813,"?*")=1,MAX(AI$5:AI812)+1,""))</f>
        <v/>
      </c>
    </row>
    <row r="814">
      <c r="B814" s="47" t="n"/>
      <c r="C814" s="48" t="n"/>
      <c r="D814" s="48" t="n"/>
      <c r="E814" s="48" t="n"/>
      <c r="F814" s="48" t="n"/>
      <c r="G814" s="49" t="n"/>
      <c r="H814" s="48" t="n"/>
      <c r="I814" s="50" t="n"/>
      <c r="J814" s="48" t="n"/>
      <c r="K814" s="48" t="n"/>
      <c r="L814" s="48" t="n"/>
      <c r="M814" s="48" t="n"/>
      <c r="N814" s="48" t="n"/>
      <c r="O814" s="51">
        <f>IF(AND(B814="",G814="",C814="",D814="",J814=""),"",IF(B814="","⚠ Falta fecha",IF(G814="","⚠ Falta monto",IF(Q814="","⚠ Falta cuenta",IF(ISNA(MATCH(Q814,ctaNombre,0)),"⚠ Cuenta no registrada",IF(AND(OR(P814="Gasto",P814="Reembolso"),D814=""),"⚠ Falta categoría",IF(AND(D814&lt;&gt;"",E814&lt;&gt;"",ISNA(MATCH(D814&amp;"|"&amp;E814,catClave,0))),"⚠ Subcategoría no corresponde",IF(AND(OR(P814="Transferencia",P814="Pago tarjeta"),K814=""),"⚠ Falta cuenta destino",IF(AND(K814&lt;&gt;"",P814&lt;&gt;"Transferencia",P814&lt;&gt;"Pago tarjeta"),"⚠ Destino solo aplica a transferencias",IF(AND(K814&lt;&gt;"",K814=Q814),"⚠ Origen igual a destino",IF(AND(K814&lt;&gt;"",ISNA(MATCH(K814,ctaNombre,0))),"⚠ Destino no registrado",IF(AND(P814="Pago tarjeta",AE814&lt;&gt;"Tarjeta de crédito"),"⚠ El destino debe ser tarjeta de crédito",IF(AND(P814="Gasto",E814="Depósitos y retiros"),"⚠ Usa tipo Transferencia",IF(AND(P814="Resultado trading",AD814&lt;&gt;"Cuenta de trading"),"⚠ Usa una cuenta de trading",IF(AND(G814&lt;=0,P814&lt;&gt;"Ajuste",P814&lt;&gt;"Resultado trading"),"⚠ El monto debe ser positivo","✓")))))))))))))))</f>
        <v/>
      </c>
      <c r="P814" s="52">
        <f>IF(OR(B814="",G814=""),"",IF(C814="","Gasto",C814))</f>
        <v/>
      </c>
      <c r="Q814" s="52">
        <f>IF(P814="","",IF(J814&lt;&gt;"",J814,CuentaPred&amp;""))</f>
        <v/>
      </c>
      <c r="R814" s="52">
        <f>IF(P814="","",IF(ISNUMBER(I814),I814,TasaUSD))</f>
        <v/>
      </c>
      <c r="S814" s="53">
        <f>IF(P814="","",IF(H814="USD",G814*R814,G814))</f>
        <v/>
      </c>
      <c r="T814" s="53">
        <f>IF(P814="","",IF(H814="USD",G814,IF(R814&gt;0,G814/R814,0)))</f>
        <v/>
      </c>
      <c r="U814" s="53">
        <f>IF(P814="","",IF(P814="Gasto",S814,IF(P814="Reembolso",-S814,0)))</f>
        <v/>
      </c>
      <c r="V814" s="53">
        <f>IF(P814="","",IF(P814="Ingreso",S814,0))</f>
        <v/>
      </c>
      <c r="W814" s="53">
        <f>IF(P814="","",IF(P814="Resultado trading",S814,0))</f>
        <v/>
      </c>
      <c r="X814" s="52">
        <f>IF(OR(P814="Gasto",P814="Reembolso"),IF(M814&lt;&gt;"",M814,IFERROR(INDEX(catClasif,MATCH(D814&amp;"|"&amp;E814,catClave,0))&amp;"","Variable")),"")</f>
        <v/>
      </c>
      <c r="Y814" s="52">
        <f>IF(P814="","",IFERROR(INDEX(catGrupo,MATCH(D814&amp;"|"&amp;E814,catClave,0))&amp;"",""))</f>
        <v/>
      </c>
      <c r="Z814" s="52">
        <f>IF(P814="","",WEEKDAY(B814,2))</f>
        <v/>
      </c>
      <c r="AA814" s="52">
        <f>IF(P814="","",IF(AND(P814="Gasto",X814="Variable",D814&lt;&gt;catTrading,S814&gt;0,S814&lt;=Umbral),1,0))</f>
        <v/>
      </c>
      <c r="AB814" s="52">
        <f>IF(OR(P814="",Q814=""),"",IFERROR(IF(INDEX(ctaVinc,MATCH(Q814,ctaNombre,0))&amp;""&lt;&gt;"",INDEX(ctaVinc,MATCH(Q814,ctaNombre,0))&amp;"",Q814),Q814))</f>
        <v/>
      </c>
      <c r="AC814" s="52">
        <f>IF(OR(K814="",AND(P814&lt;&gt;"Transferencia",P814&lt;&gt;"Pago tarjeta")),"",IFERROR(IF(INDEX(ctaVinc,MATCH(K814,ctaNombre,0))&amp;""&lt;&gt;"",INDEX(ctaVinc,MATCH(K814,ctaNombre,0))&amp;"",K814),K814))</f>
        <v/>
      </c>
      <c r="AD814" s="52">
        <f>IF(AB814="","",IFERROR(INDEX(ctaTipo,MATCH(AB814,ctaNombre,0))&amp;"",""))</f>
        <v/>
      </c>
      <c r="AE814" s="52">
        <f>IF(AC814="","",IFERROR(INDEX(ctaTipo,MATCH(AC814,ctaNombre,0))&amp;"",""))</f>
        <v/>
      </c>
      <c r="AF814" s="53">
        <f>IF(OR(P814="",AB814=""),"",IF(OR(P814="Gasto",P814="Transferencia",P814="Pago tarjeta"),-1,1)*IF(IFERROR(INDEX(ctaMoneda,MATCH(AB814,ctaNombre,0))&amp;"","DOP")="USD",T814,S814))</f>
        <v/>
      </c>
      <c r="AG814" s="53">
        <f>IF(AC814="","",IF(IFERROR(INDEX(ctaMoneda,MATCH(AC814,ctaNombre,0))&amp;"","DOP")="USD",T814,S814))</f>
        <v/>
      </c>
      <c r="AH814" s="53">
        <f>IF(P814="","",IF(AND(AD814&lt;&gt;"",COUNTIFS(tcTipo,AD814,tcLiq,"Sí")&gt;0),IF(OR(P814="Gasto",P814="Transferencia",P814="Pago tarjeta"),-1,1)*S814,0)+IF(AND(AE814&lt;&gt;"",COUNTIFS(tcTipo,AE814,tcLiq,"Sí")&gt;0),S814,0))</f>
        <v/>
      </c>
      <c r="AI814" s="52">
        <f>IF(OR(L814="",P814=""),"",IF(COUNTIFS(L$6:L814,L814,P$6:P814,"?*")=1,MAX(AI$5:AI813)+1,""))</f>
        <v/>
      </c>
    </row>
    <row r="815">
      <c r="B815" s="47" t="n"/>
      <c r="C815" s="48" t="n"/>
      <c r="D815" s="48" t="n"/>
      <c r="E815" s="48" t="n"/>
      <c r="F815" s="48" t="n"/>
      <c r="G815" s="49" t="n"/>
      <c r="H815" s="48" t="n"/>
      <c r="I815" s="50" t="n"/>
      <c r="J815" s="48" t="n"/>
      <c r="K815" s="48" t="n"/>
      <c r="L815" s="48" t="n"/>
      <c r="M815" s="48" t="n"/>
      <c r="N815" s="48" t="n"/>
      <c r="O815" s="51">
        <f>IF(AND(B815="",G815="",C815="",D815="",J815=""),"",IF(B815="","⚠ Falta fecha",IF(G815="","⚠ Falta monto",IF(Q815="","⚠ Falta cuenta",IF(ISNA(MATCH(Q815,ctaNombre,0)),"⚠ Cuenta no registrada",IF(AND(OR(P815="Gasto",P815="Reembolso"),D815=""),"⚠ Falta categoría",IF(AND(D815&lt;&gt;"",E815&lt;&gt;"",ISNA(MATCH(D815&amp;"|"&amp;E815,catClave,0))),"⚠ Subcategoría no corresponde",IF(AND(OR(P815="Transferencia",P815="Pago tarjeta"),K815=""),"⚠ Falta cuenta destino",IF(AND(K815&lt;&gt;"",P815&lt;&gt;"Transferencia",P815&lt;&gt;"Pago tarjeta"),"⚠ Destino solo aplica a transferencias",IF(AND(K815&lt;&gt;"",K815=Q815),"⚠ Origen igual a destino",IF(AND(K815&lt;&gt;"",ISNA(MATCH(K815,ctaNombre,0))),"⚠ Destino no registrado",IF(AND(P815="Pago tarjeta",AE815&lt;&gt;"Tarjeta de crédito"),"⚠ El destino debe ser tarjeta de crédito",IF(AND(P815="Gasto",E815="Depósitos y retiros"),"⚠ Usa tipo Transferencia",IF(AND(P815="Resultado trading",AD815&lt;&gt;"Cuenta de trading"),"⚠ Usa una cuenta de trading",IF(AND(G815&lt;=0,P815&lt;&gt;"Ajuste",P815&lt;&gt;"Resultado trading"),"⚠ El monto debe ser positivo","✓")))))))))))))))</f>
        <v/>
      </c>
      <c r="P815" s="52">
        <f>IF(OR(B815="",G815=""),"",IF(C815="","Gasto",C815))</f>
        <v/>
      </c>
      <c r="Q815" s="52">
        <f>IF(P815="","",IF(J815&lt;&gt;"",J815,CuentaPred&amp;""))</f>
        <v/>
      </c>
      <c r="R815" s="52">
        <f>IF(P815="","",IF(ISNUMBER(I815),I815,TasaUSD))</f>
        <v/>
      </c>
      <c r="S815" s="53">
        <f>IF(P815="","",IF(H815="USD",G815*R815,G815))</f>
        <v/>
      </c>
      <c r="T815" s="53">
        <f>IF(P815="","",IF(H815="USD",G815,IF(R815&gt;0,G815/R815,0)))</f>
        <v/>
      </c>
      <c r="U815" s="53">
        <f>IF(P815="","",IF(P815="Gasto",S815,IF(P815="Reembolso",-S815,0)))</f>
        <v/>
      </c>
      <c r="V815" s="53">
        <f>IF(P815="","",IF(P815="Ingreso",S815,0))</f>
        <v/>
      </c>
      <c r="W815" s="53">
        <f>IF(P815="","",IF(P815="Resultado trading",S815,0))</f>
        <v/>
      </c>
      <c r="X815" s="52">
        <f>IF(OR(P815="Gasto",P815="Reembolso"),IF(M815&lt;&gt;"",M815,IFERROR(INDEX(catClasif,MATCH(D815&amp;"|"&amp;E815,catClave,0))&amp;"","Variable")),"")</f>
        <v/>
      </c>
      <c r="Y815" s="52">
        <f>IF(P815="","",IFERROR(INDEX(catGrupo,MATCH(D815&amp;"|"&amp;E815,catClave,0))&amp;"",""))</f>
        <v/>
      </c>
      <c r="Z815" s="52">
        <f>IF(P815="","",WEEKDAY(B815,2))</f>
        <v/>
      </c>
      <c r="AA815" s="52">
        <f>IF(P815="","",IF(AND(P815="Gasto",X815="Variable",D815&lt;&gt;catTrading,S815&gt;0,S815&lt;=Umbral),1,0))</f>
        <v/>
      </c>
      <c r="AB815" s="52">
        <f>IF(OR(P815="",Q815=""),"",IFERROR(IF(INDEX(ctaVinc,MATCH(Q815,ctaNombre,0))&amp;""&lt;&gt;"",INDEX(ctaVinc,MATCH(Q815,ctaNombre,0))&amp;"",Q815),Q815))</f>
        <v/>
      </c>
      <c r="AC815" s="52">
        <f>IF(OR(K815="",AND(P815&lt;&gt;"Transferencia",P815&lt;&gt;"Pago tarjeta")),"",IFERROR(IF(INDEX(ctaVinc,MATCH(K815,ctaNombre,0))&amp;""&lt;&gt;"",INDEX(ctaVinc,MATCH(K815,ctaNombre,0))&amp;"",K815),K815))</f>
        <v/>
      </c>
      <c r="AD815" s="52">
        <f>IF(AB815="","",IFERROR(INDEX(ctaTipo,MATCH(AB815,ctaNombre,0))&amp;"",""))</f>
        <v/>
      </c>
      <c r="AE815" s="52">
        <f>IF(AC815="","",IFERROR(INDEX(ctaTipo,MATCH(AC815,ctaNombre,0))&amp;"",""))</f>
        <v/>
      </c>
      <c r="AF815" s="53">
        <f>IF(OR(P815="",AB815=""),"",IF(OR(P815="Gasto",P815="Transferencia",P815="Pago tarjeta"),-1,1)*IF(IFERROR(INDEX(ctaMoneda,MATCH(AB815,ctaNombre,0))&amp;"","DOP")="USD",T815,S815))</f>
        <v/>
      </c>
      <c r="AG815" s="53">
        <f>IF(AC815="","",IF(IFERROR(INDEX(ctaMoneda,MATCH(AC815,ctaNombre,0))&amp;"","DOP")="USD",T815,S815))</f>
        <v/>
      </c>
      <c r="AH815" s="53">
        <f>IF(P815="","",IF(AND(AD815&lt;&gt;"",COUNTIFS(tcTipo,AD815,tcLiq,"Sí")&gt;0),IF(OR(P815="Gasto",P815="Transferencia",P815="Pago tarjeta"),-1,1)*S815,0)+IF(AND(AE815&lt;&gt;"",COUNTIFS(tcTipo,AE815,tcLiq,"Sí")&gt;0),S815,0))</f>
        <v/>
      </c>
      <c r="AI815" s="52">
        <f>IF(OR(L815="",P815=""),"",IF(COUNTIFS(L$6:L815,L815,P$6:P815,"?*")=1,MAX(AI$5:AI814)+1,""))</f>
        <v/>
      </c>
    </row>
    <row r="816">
      <c r="B816" s="47" t="n"/>
      <c r="C816" s="48" t="n"/>
      <c r="D816" s="48" t="n"/>
      <c r="E816" s="48" t="n"/>
      <c r="F816" s="48" t="n"/>
      <c r="G816" s="49" t="n"/>
      <c r="H816" s="48" t="n"/>
      <c r="I816" s="50" t="n"/>
      <c r="J816" s="48" t="n"/>
      <c r="K816" s="48" t="n"/>
      <c r="L816" s="48" t="n"/>
      <c r="M816" s="48" t="n"/>
      <c r="N816" s="48" t="n"/>
      <c r="O816" s="51">
        <f>IF(AND(B816="",G816="",C816="",D816="",J816=""),"",IF(B816="","⚠ Falta fecha",IF(G816="","⚠ Falta monto",IF(Q816="","⚠ Falta cuenta",IF(ISNA(MATCH(Q816,ctaNombre,0)),"⚠ Cuenta no registrada",IF(AND(OR(P816="Gasto",P816="Reembolso"),D816=""),"⚠ Falta categoría",IF(AND(D816&lt;&gt;"",E816&lt;&gt;"",ISNA(MATCH(D816&amp;"|"&amp;E816,catClave,0))),"⚠ Subcategoría no corresponde",IF(AND(OR(P816="Transferencia",P816="Pago tarjeta"),K816=""),"⚠ Falta cuenta destino",IF(AND(K816&lt;&gt;"",P816&lt;&gt;"Transferencia",P816&lt;&gt;"Pago tarjeta"),"⚠ Destino solo aplica a transferencias",IF(AND(K816&lt;&gt;"",K816=Q816),"⚠ Origen igual a destino",IF(AND(K816&lt;&gt;"",ISNA(MATCH(K816,ctaNombre,0))),"⚠ Destino no registrado",IF(AND(P816="Pago tarjeta",AE816&lt;&gt;"Tarjeta de crédito"),"⚠ El destino debe ser tarjeta de crédito",IF(AND(P816="Gasto",E816="Depósitos y retiros"),"⚠ Usa tipo Transferencia",IF(AND(P816="Resultado trading",AD816&lt;&gt;"Cuenta de trading"),"⚠ Usa una cuenta de trading",IF(AND(G816&lt;=0,P816&lt;&gt;"Ajuste",P816&lt;&gt;"Resultado trading"),"⚠ El monto debe ser positivo","✓")))))))))))))))</f>
        <v/>
      </c>
      <c r="P816" s="52">
        <f>IF(OR(B816="",G816=""),"",IF(C816="","Gasto",C816))</f>
        <v/>
      </c>
      <c r="Q816" s="52">
        <f>IF(P816="","",IF(J816&lt;&gt;"",J816,CuentaPred&amp;""))</f>
        <v/>
      </c>
      <c r="R816" s="52">
        <f>IF(P816="","",IF(ISNUMBER(I816),I816,TasaUSD))</f>
        <v/>
      </c>
      <c r="S816" s="53">
        <f>IF(P816="","",IF(H816="USD",G816*R816,G816))</f>
        <v/>
      </c>
      <c r="T816" s="53">
        <f>IF(P816="","",IF(H816="USD",G816,IF(R816&gt;0,G816/R816,0)))</f>
        <v/>
      </c>
      <c r="U816" s="53">
        <f>IF(P816="","",IF(P816="Gasto",S816,IF(P816="Reembolso",-S816,0)))</f>
        <v/>
      </c>
      <c r="V816" s="53">
        <f>IF(P816="","",IF(P816="Ingreso",S816,0))</f>
        <v/>
      </c>
      <c r="W816" s="53">
        <f>IF(P816="","",IF(P816="Resultado trading",S816,0))</f>
        <v/>
      </c>
      <c r="X816" s="52">
        <f>IF(OR(P816="Gasto",P816="Reembolso"),IF(M816&lt;&gt;"",M816,IFERROR(INDEX(catClasif,MATCH(D816&amp;"|"&amp;E816,catClave,0))&amp;"","Variable")),"")</f>
        <v/>
      </c>
      <c r="Y816" s="52">
        <f>IF(P816="","",IFERROR(INDEX(catGrupo,MATCH(D816&amp;"|"&amp;E816,catClave,0))&amp;"",""))</f>
        <v/>
      </c>
      <c r="Z816" s="52">
        <f>IF(P816="","",WEEKDAY(B816,2))</f>
        <v/>
      </c>
      <c r="AA816" s="52">
        <f>IF(P816="","",IF(AND(P816="Gasto",X816="Variable",D816&lt;&gt;catTrading,S816&gt;0,S816&lt;=Umbral),1,0))</f>
        <v/>
      </c>
      <c r="AB816" s="52">
        <f>IF(OR(P816="",Q816=""),"",IFERROR(IF(INDEX(ctaVinc,MATCH(Q816,ctaNombre,0))&amp;""&lt;&gt;"",INDEX(ctaVinc,MATCH(Q816,ctaNombre,0))&amp;"",Q816),Q816))</f>
        <v/>
      </c>
      <c r="AC816" s="52">
        <f>IF(OR(K816="",AND(P816&lt;&gt;"Transferencia",P816&lt;&gt;"Pago tarjeta")),"",IFERROR(IF(INDEX(ctaVinc,MATCH(K816,ctaNombre,0))&amp;""&lt;&gt;"",INDEX(ctaVinc,MATCH(K816,ctaNombre,0))&amp;"",K816),K816))</f>
        <v/>
      </c>
      <c r="AD816" s="52">
        <f>IF(AB816="","",IFERROR(INDEX(ctaTipo,MATCH(AB816,ctaNombre,0))&amp;"",""))</f>
        <v/>
      </c>
      <c r="AE816" s="52">
        <f>IF(AC816="","",IFERROR(INDEX(ctaTipo,MATCH(AC816,ctaNombre,0))&amp;"",""))</f>
        <v/>
      </c>
      <c r="AF816" s="53">
        <f>IF(OR(P816="",AB816=""),"",IF(OR(P816="Gasto",P816="Transferencia",P816="Pago tarjeta"),-1,1)*IF(IFERROR(INDEX(ctaMoneda,MATCH(AB816,ctaNombre,0))&amp;"","DOP")="USD",T816,S816))</f>
        <v/>
      </c>
      <c r="AG816" s="53">
        <f>IF(AC816="","",IF(IFERROR(INDEX(ctaMoneda,MATCH(AC816,ctaNombre,0))&amp;"","DOP")="USD",T816,S816))</f>
        <v/>
      </c>
      <c r="AH816" s="53">
        <f>IF(P816="","",IF(AND(AD816&lt;&gt;"",COUNTIFS(tcTipo,AD816,tcLiq,"Sí")&gt;0),IF(OR(P816="Gasto",P816="Transferencia",P816="Pago tarjeta"),-1,1)*S816,0)+IF(AND(AE816&lt;&gt;"",COUNTIFS(tcTipo,AE816,tcLiq,"Sí")&gt;0),S816,0))</f>
        <v/>
      </c>
      <c r="AI816" s="52">
        <f>IF(OR(L816="",P816=""),"",IF(COUNTIFS(L$6:L816,L816,P$6:P816,"?*")=1,MAX(AI$5:AI815)+1,""))</f>
        <v/>
      </c>
    </row>
    <row r="817">
      <c r="B817" s="47" t="n"/>
      <c r="C817" s="48" t="n"/>
      <c r="D817" s="48" t="n"/>
      <c r="E817" s="48" t="n"/>
      <c r="F817" s="48" t="n"/>
      <c r="G817" s="49" t="n"/>
      <c r="H817" s="48" t="n"/>
      <c r="I817" s="50" t="n"/>
      <c r="J817" s="48" t="n"/>
      <c r="K817" s="48" t="n"/>
      <c r="L817" s="48" t="n"/>
      <c r="M817" s="48" t="n"/>
      <c r="N817" s="48" t="n"/>
      <c r="O817" s="51">
        <f>IF(AND(B817="",G817="",C817="",D817="",J817=""),"",IF(B817="","⚠ Falta fecha",IF(G817="","⚠ Falta monto",IF(Q817="","⚠ Falta cuenta",IF(ISNA(MATCH(Q817,ctaNombre,0)),"⚠ Cuenta no registrada",IF(AND(OR(P817="Gasto",P817="Reembolso"),D817=""),"⚠ Falta categoría",IF(AND(D817&lt;&gt;"",E817&lt;&gt;"",ISNA(MATCH(D817&amp;"|"&amp;E817,catClave,0))),"⚠ Subcategoría no corresponde",IF(AND(OR(P817="Transferencia",P817="Pago tarjeta"),K817=""),"⚠ Falta cuenta destino",IF(AND(K817&lt;&gt;"",P817&lt;&gt;"Transferencia",P817&lt;&gt;"Pago tarjeta"),"⚠ Destino solo aplica a transferencias",IF(AND(K817&lt;&gt;"",K817=Q817),"⚠ Origen igual a destino",IF(AND(K817&lt;&gt;"",ISNA(MATCH(K817,ctaNombre,0))),"⚠ Destino no registrado",IF(AND(P817="Pago tarjeta",AE817&lt;&gt;"Tarjeta de crédito"),"⚠ El destino debe ser tarjeta de crédito",IF(AND(P817="Gasto",E817="Depósitos y retiros"),"⚠ Usa tipo Transferencia",IF(AND(P817="Resultado trading",AD817&lt;&gt;"Cuenta de trading"),"⚠ Usa una cuenta de trading",IF(AND(G817&lt;=0,P817&lt;&gt;"Ajuste",P817&lt;&gt;"Resultado trading"),"⚠ El monto debe ser positivo","✓")))))))))))))))</f>
        <v/>
      </c>
      <c r="P817" s="52">
        <f>IF(OR(B817="",G817=""),"",IF(C817="","Gasto",C817))</f>
        <v/>
      </c>
      <c r="Q817" s="52">
        <f>IF(P817="","",IF(J817&lt;&gt;"",J817,CuentaPred&amp;""))</f>
        <v/>
      </c>
      <c r="R817" s="52">
        <f>IF(P817="","",IF(ISNUMBER(I817),I817,TasaUSD))</f>
        <v/>
      </c>
      <c r="S817" s="53">
        <f>IF(P817="","",IF(H817="USD",G817*R817,G817))</f>
        <v/>
      </c>
      <c r="T817" s="53">
        <f>IF(P817="","",IF(H817="USD",G817,IF(R817&gt;0,G817/R817,0)))</f>
        <v/>
      </c>
      <c r="U817" s="53">
        <f>IF(P817="","",IF(P817="Gasto",S817,IF(P817="Reembolso",-S817,0)))</f>
        <v/>
      </c>
      <c r="V817" s="53">
        <f>IF(P817="","",IF(P817="Ingreso",S817,0))</f>
        <v/>
      </c>
      <c r="W817" s="53">
        <f>IF(P817="","",IF(P817="Resultado trading",S817,0))</f>
        <v/>
      </c>
      <c r="X817" s="52">
        <f>IF(OR(P817="Gasto",P817="Reembolso"),IF(M817&lt;&gt;"",M817,IFERROR(INDEX(catClasif,MATCH(D817&amp;"|"&amp;E817,catClave,0))&amp;"","Variable")),"")</f>
        <v/>
      </c>
      <c r="Y817" s="52">
        <f>IF(P817="","",IFERROR(INDEX(catGrupo,MATCH(D817&amp;"|"&amp;E817,catClave,0))&amp;"",""))</f>
        <v/>
      </c>
      <c r="Z817" s="52">
        <f>IF(P817="","",WEEKDAY(B817,2))</f>
        <v/>
      </c>
      <c r="AA817" s="52">
        <f>IF(P817="","",IF(AND(P817="Gasto",X817="Variable",D817&lt;&gt;catTrading,S817&gt;0,S817&lt;=Umbral),1,0))</f>
        <v/>
      </c>
      <c r="AB817" s="52">
        <f>IF(OR(P817="",Q817=""),"",IFERROR(IF(INDEX(ctaVinc,MATCH(Q817,ctaNombre,0))&amp;""&lt;&gt;"",INDEX(ctaVinc,MATCH(Q817,ctaNombre,0))&amp;"",Q817),Q817))</f>
        <v/>
      </c>
      <c r="AC817" s="52">
        <f>IF(OR(K817="",AND(P817&lt;&gt;"Transferencia",P817&lt;&gt;"Pago tarjeta")),"",IFERROR(IF(INDEX(ctaVinc,MATCH(K817,ctaNombre,0))&amp;""&lt;&gt;"",INDEX(ctaVinc,MATCH(K817,ctaNombre,0))&amp;"",K817),K817))</f>
        <v/>
      </c>
      <c r="AD817" s="52">
        <f>IF(AB817="","",IFERROR(INDEX(ctaTipo,MATCH(AB817,ctaNombre,0))&amp;"",""))</f>
        <v/>
      </c>
      <c r="AE817" s="52">
        <f>IF(AC817="","",IFERROR(INDEX(ctaTipo,MATCH(AC817,ctaNombre,0))&amp;"",""))</f>
        <v/>
      </c>
      <c r="AF817" s="53">
        <f>IF(OR(P817="",AB817=""),"",IF(OR(P817="Gasto",P817="Transferencia",P817="Pago tarjeta"),-1,1)*IF(IFERROR(INDEX(ctaMoneda,MATCH(AB817,ctaNombre,0))&amp;"","DOP")="USD",T817,S817))</f>
        <v/>
      </c>
      <c r="AG817" s="53">
        <f>IF(AC817="","",IF(IFERROR(INDEX(ctaMoneda,MATCH(AC817,ctaNombre,0))&amp;"","DOP")="USD",T817,S817))</f>
        <v/>
      </c>
      <c r="AH817" s="53">
        <f>IF(P817="","",IF(AND(AD817&lt;&gt;"",COUNTIFS(tcTipo,AD817,tcLiq,"Sí")&gt;0),IF(OR(P817="Gasto",P817="Transferencia",P817="Pago tarjeta"),-1,1)*S817,0)+IF(AND(AE817&lt;&gt;"",COUNTIFS(tcTipo,AE817,tcLiq,"Sí")&gt;0),S817,0))</f>
        <v/>
      </c>
      <c r="AI817" s="52">
        <f>IF(OR(L817="",P817=""),"",IF(COUNTIFS(L$6:L817,L817,P$6:P817,"?*")=1,MAX(AI$5:AI816)+1,""))</f>
        <v/>
      </c>
    </row>
    <row r="818">
      <c r="B818" s="47" t="n"/>
      <c r="C818" s="48" t="n"/>
      <c r="D818" s="48" t="n"/>
      <c r="E818" s="48" t="n"/>
      <c r="F818" s="48" t="n"/>
      <c r="G818" s="49" t="n"/>
      <c r="H818" s="48" t="n"/>
      <c r="I818" s="50" t="n"/>
      <c r="J818" s="48" t="n"/>
      <c r="K818" s="48" t="n"/>
      <c r="L818" s="48" t="n"/>
      <c r="M818" s="48" t="n"/>
      <c r="N818" s="48" t="n"/>
      <c r="O818" s="51">
        <f>IF(AND(B818="",G818="",C818="",D818="",J818=""),"",IF(B818="","⚠ Falta fecha",IF(G818="","⚠ Falta monto",IF(Q818="","⚠ Falta cuenta",IF(ISNA(MATCH(Q818,ctaNombre,0)),"⚠ Cuenta no registrada",IF(AND(OR(P818="Gasto",P818="Reembolso"),D818=""),"⚠ Falta categoría",IF(AND(D818&lt;&gt;"",E818&lt;&gt;"",ISNA(MATCH(D818&amp;"|"&amp;E818,catClave,0))),"⚠ Subcategoría no corresponde",IF(AND(OR(P818="Transferencia",P818="Pago tarjeta"),K818=""),"⚠ Falta cuenta destino",IF(AND(K818&lt;&gt;"",P818&lt;&gt;"Transferencia",P818&lt;&gt;"Pago tarjeta"),"⚠ Destino solo aplica a transferencias",IF(AND(K818&lt;&gt;"",K818=Q818),"⚠ Origen igual a destino",IF(AND(K818&lt;&gt;"",ISNA(MATCH(K818,ctaNombre,0))),"⚠ Destino no registrado",IF(AND(P818="Pago tarjeta",AE818&lt;&gt;"Tarjeta de crédito"),"⚠ El destino debe ser tarjeta de crédito",IF(AND(P818="Gasto",E818="Depósitos y retiros"),"⚠ Usa tipo Transferencia",IF(AND(P818="Resultado trading",AD818&lt;&gt;"Cuenta de trading"),"⚠ Usa una cuenta de trading",IF(AND(G818&lt;=0,P818&lt;&gt;"Ajuste",P818&lt;&gt;"Resultado trading"),"⚠ El monto debe ser positivo","✓")))))))))))))))</f>
        <v/>
      </c>
      <c r="P818" s="52">
        <f>IF(OR(B818="",G818=""),"",IF(C818="","Gasto",C818))</f>
        <v/>
      </c>
      <c r="Q818" s="52">
        <f>IF(P818="","",IF(J818&lt;&gt;"",J818,CuentaPred&amp;""))</f>
        <v/>
      </c>
      <c r="R818" s="52">
        <f>IF(P818="","",IF(ISNUMBER(I818),I818,TasaUSD))</f>
        <v/>
      </c>
      <c r="S818" s="53">
        <f>IF(P818="","",IF(H818="USD",G818*R818,G818))</f>
        <v/>
      </c>
      <c r="T818" s="53">
        <f>IF(P818="","",IF(H818="USD",G818,IF(R818&gt;0,G818/R818,0)))</f>
        <v/>
      </c>
      <c r="U818" s="53">
        <f>IF(P818="","",IF(P818="Gasto",S818,IF(P818="Reembolso",-S818,0)))</f>
        <v/>
      </c>
      <c r="V818" s="53">
        <f>IF(P818="","",IF(P818="Ingreso",S818,0))</f>
        <v/>
      </c>
      <c r="W818" s="53">
        <f>IF(P818="","",IF(P818="Resultado trading",S818,0))</f>
        <v/>
      </c>
      <c r="X818" s="52">
        <f>IF(OR(P818="Gasto",P818="Reembolso"),IF(M818&lt;&gt;"",M818,IFERROR(INDEX(catClasif,MATCH(D818&amp;"|"&amp;E818,catClave,0))&amp;"","Variable")),"")</f>
        <v/>
      </c>
      <c r="Y818" s="52">
        <f>IF(P818="","",IFERROR(INDEX(catGrupo,MATCH(D818&amp;"|"&amp;E818,catClave,0))&amp;"",""))</f>
        <v/>
      </c>
      <c r="Z818" s="52">
        <f>IF(P818="","",WEEKDAY(B818,2))</f>
        <v/>
      </c>
      <c r="AA818" s="52">
        <f>IF(P818="","",IF(AND(P818="Gasto",X818="Variable",D818&lt;&gt;catTrading,S818&gt;0,S818&lt;=Umbral),1,0))</f>
        <v/>
      </c>
      <c r="AB818" s="52">
        <f>IF(OR(P818="",Q818=""),"",IFERROR(IF(INDEX(ctaVinc,MATCH(Q818,ctaNombre,0))&amp;""&lt;&gt;"",INDEX(ctaVinc,MATCH(Q818,ctaNombre,0))&amp;"",Q818),Q818))</f>
        <v/>
      </c>
      <c r="AC818" s="52">
        <f>IF(OR(K818="",AND(P818&lt;&gt;"Transferencia",P818&lt;&gt;"Pago tarjeta")),"",IFERROR(IF(INDEX(ctaVinc,MATCH(K818,ctaNombre,0))&amp;""&lt;&gt;"",INDEX(ctaVinc,MATCH(K818,ctaNombre,0))&amp;"",K818),K818))</f>
        <v/>
      </c>
      <c r="AD818" s="52">
        <f>IF(AB818="","",IFERROR(INDEX(ctaTipo,MATCH(AB818,ctaNombre,0))&amp;"",""))</f>
        <v/>
      </c>
      <c r="AE818" s="52">
        <f>IF(AC818="","",IFERROR(INDEX(ctaTipo,MATCH(AC818,ctaNombre,0))&amp;"",""))</f>
        <v/>
      </c>
      <c r="AF818" s="53">
        <f>IF(OR(P818="",AB818=""),"",IF(OR(P818="Gasto",P818="Transferencia",P818="Pago tarjeta"),-1,1)*IF(IFERROR(INDEX(ctaMoneda,MATCH(AB818,ctaNombre,0))&amp;"","DOP")="USD",T818,S818))</f>
        <v/>
      </c>
      <c r="AG818" s="53">
        <f>IF(AC818="","",IF(IFERROR(INDEX(ctaMoneda,MATCH(AC818,ctaNombre,0))&amp;"","DOP")="USD",T818,S818))</f>
        <v/>
      </c>
      <c r="AH818" s="53">
        <f>IF(P818="","",IF(AND(AD818&lt;&gt;"",COUNTIFS(tcTipo,AD818,tcLiq,"Sí")&gt;0),IF(OR(P818="Gasto",P818="Transferencia",P818="Pago tarjeta"),-1,1)*S818,0)+IF(AND(AE818&lt;&gt;"",COUNTIFS(tcTipo,AE818,tcLiq,"Sí")&gt;0),S818,0))</f>
        <v/>
      </c>
      <c r="AI818" s="52">
        <f>IF(OR(L818="",P818=""),"",IF(COUNTIFS(L$6:L818,L818,P$6:P818,"?*")=1,MAX(AI$5:AI817)+1,""))</f>
        <v/>
      </c>
    </row>
    <row r="819">
      <c r="B819" s="47" t="n"/>
      <c r="C819" s="48" t="n"/>
      <c r="D819" s="48" t="n"/>
      <c r="E819" s="48" t="n"/>
      <c r="F819" s="48" t="n"/>
      <c r="G819" s="49" t="n"/>
      <c r="H819" s="48" t="n"/>
      <c r="I819" s="50" t="n"/>
      <c r="J819" s="48" t="n"/>
      <c r="K819" s="48" t="n"/>
      <c r="L819" s="48" t="n"/>
      <c r="M819" s="48" t="n"/>
      <c r="N819" s="48" t="n"/>
      <c r="O819" s="51">
        <f>IF(AND(B819="",G819="",C819="",D819="",J819=""),"",IF(B819="","⚠ Falta fecha",IF(G819="","⚠ Falta monto",IF(Q819="","⚠ Falta cuenta",IF(ISNA(MATCH(Q819,ctaNombre,0)),"⚠ Cuenta no registrada",IF(AND(OR(P819="Gasto",P819="Reembolso"),D819=""),"⚠ Falta categoría",IF(AND(D819&lt;&gt;"",E819&lt;&gt;"",ISNA(MATCH(D819&amp;"|"&amp;E819,catClave,0))),"⚠ Subcategoría no corresponde",IF(AND(OR(P819="Transferencia",P819="Pago tarjeta"),K819=""),"⚠ Falta cuenta destino",IF(AND(K819&lt;&gt;"",P819&lt;&gt;"Transferencia",P819&lt;&gt;"Pago tarjeta"),"⚠ Destino solo aplica a transferencias",IF(AND(K819&lt;&gt;"",K819=Q819),"⚠ Origen igual a destino",IF(AND(K819&lt;&gt;"",ISNA(MATCH(K819,ctaNombre,0))),"⚠ Destino no registrado",IF(AND(P819="Pago tarjeta",AE819&lt;&gt;"Tarjeta de crédito"),"⚠ El destino debe ser tarjeta de crédito",IF(AND(P819="Gasto",E819="Depósitos y retiros"),"⚠ Usa tipo Transferencia",IF(AND(P819="Resultado trading",AD819&lt;&gt;"Cuenta de trading"),"⚠ Usa una cuenta de trading",IF(AND(G819&lt;=0,P819&lt;&gt;"Ajuste",P819&lt;&gt;"Resultado trading"),"⚠ El monto debe ser positivo","✓")))))))))))))))</f>
        <v/>
      </c>
      <c r="P819" s="52">
        <f>IF(OR(B819="",G819=""),"",IF(C819="","Gasto",C819))</f>
        <v/>
      </c>
      <c r="Q819" s="52">
        <f>IF(P819="","",IF(J819&lt;&gt;"",J819,CuentaPred&amp;""))</f>
        <v/>
      </c>
      <c r="R819" s="52">
        <f>IF(P819="","",IF(ISNUMBER(I819),I819,TasaUSD))</f>
        <v/>
      </c>
      <c r="S819" s="53">
        <f>IF(P819="","",IF(H819="USD",G819*R819,G819))</f>
        <v/>
      </c>
      <c r="T819" s="53">
        <f>IF(P819="","",IF(H819="USD",G819,IF(R819&gt;0,G819/R819,0)))</f>
        <v/>
      </c>
      <c r="U819" s="53">
        <f>IF(P819="","",IF(P819="Gasto",S819,IF(P819="Reembolso",-S819,0)))</f>
        <v/>
      </c>
      <c r="V819" s="53">
        <f>IF(P819="","",IF(P819="Ingreso",S819,0))</f>
        <v/>
      </c>
      <c r="W819" s="53">
        <f>IF(P819="","",IF(P819="Resultado trading",S819,0))</f>
        <v/>
      </c>
      <c r="X819" s="52">
        <f>IF(OR(P819="Gasto",P819="Reembolso"),IF(M819&lt;&gt;"",M819,IFERROR(INDEX(catClasif,MATCH(D819&amp;"|"&amp;E819,catClave,0))&amp;"","Variable")),"")</f>
        <v/>
      </c>
      <c r="Y819" s="52">
        <f>IF(P819="","",IFERROR(INDEX(catGrupo,MATCH(D819&amp;"|"&amp;E819,catClave,0))&amp;"",""))</f>
        <v/>
      </c>
      <c r="Z819" s="52">
        <f>IF(P819="","",WEEKDAY(B819,2))</f>
        <v/>
      </c>
      <c r="AA819" s="52">
        <f>IF(P819="","",IF(AND(P819="Gasto",X819="Variable",D819&lt;&gt;catTrading,S819&gt;0,S819&lt;=Umbral),1,0))</f>
        <v/>
      </c>
      <c r="AB819" s="52">
        <f>IF(OR(P819="",Q819=""),"",IFERROR(IF(INDEX(ctaVinc,MATCH(Q819,ctaNombre,0))&amp;""&lt;&gt;"",INDEX(ctaVinc,MATCH(Q819,ctaNombre,0))&amp;"",Q819),Q819))</f>
        <v/>
      </c>
      <c r="AC819" s="52">
        <f>IF(OR(K819="",AND(P819&lt;&gt;"Transferencia",P819&lt;&gt;"Pago tarjeta")),"",IFERROR(IF(INDEX(ctaVinc,MATCH(K819,ctaNombre,0))&amp;""&lt;&gt;"",INDEX(ctaVinc,MATCH(K819,ctaNombre,0))&amp;"",K819),K819))</f>
        <v/>
      </c>
      <c r="AD819" s="52">
        <f>IF(AB819="","",IFERROR(INDEX(ctaTipo,MATCH(AB819,ctaNombre,0))&amp;"",""))</f>
        <v/>
      </c>
      <c r="AE819" s="52">
        <f>IF(AC819="","",IFERROR(INDEX(ctaTipo,MATCH(AC819,ctaNombre,0))&amp;"",""))</f>
        <v/>
      </c>
      <c r="AF819" s="53">
        <f>IF(OR(P819="",AB819=""),"",IF(OR(P819="Gasto",P819="Transferencia",P819="Pago tarjeta"),-1,1)*IF(IFERROR(INDEX(ctaMoneda,MATCH(AB819,ctaNombre,0))&amp;"","DOP")="USD",T819,S819))</f>
        <v/>
      </c>
      <c r="AG819" s="53">
        <f>IF(AC819="","",IF(IFERROR(INDEX(ctaMoneda,MATCH(AC819,ctaNombre,0))&amp;"","DOP")="USD",T819,S819))</f>
        <v/>
      </c>
      <c r="AH819" s="53">
        <f>IF(P819="","",IF(AND(AD819&lt;&gt;"",COUNTIFS(tcTipo,AD819,tcLiq,"Sí")&gt;0),IF(OR(P819="Gasto",P819="Transferencia",P819="Pago tarjeta"),-1,1)*S819,0)+IF(AND(AE819&lt;&gt;"",COUNTIFS(tcTipo,AE819,tcLiq,"Sí")&gt;0),S819,0))</f>
        <v/>
      </c>
      <c r="AI819" s="52">
        <f>IF(OR(L819="",P819=""),"",IF(COUNTIFS(L$6:L819,L819,P$6:P819,"?*")=1,MAX(AI$5:AI818)+1,""))</f>
        <v/>
      </c>
    </row>
    <row r="820">
      <c r="B820" s="47" t="n"/>
      <c r="C820" s="48" t="n"/>
      <c r="D820" s="48" t="n"/>
      <c r="E820" s="48" t="n"/>
      <c r="F820" s="48" t="n"/>
      <c r="G820" s="49" t="n"/>
      <c r="H820" s="48" t="n"/>
      <c r="I820" s="50" t="n"/>
      <c r="J820" s="48" t="n"/>
      <c r="K820" s="48" t="n"/>
      <c r="L820" s="48" t="n"/>
      <c r="M820" s="48" t="n"/>
      <c r="N820" s="48" t="n"/>
      <c r="O820" s="51">
        <f>IF(AND(B820="",G820="",C820="",D820="",J820=""),"",IF(B820="","⚠ Falta fecha",IF(G820="","⚠ Falta monto",IF(Q820="","⚠ Falta cuenta",IF(ISNA(MATCH(Q820,ctaNombre,0)),"⚠ Cuenta no registrada",IF(AND(OR(P820="Gasto",P820="Reembolso"),D820=""),"⚠ Falta categoría",IF(AND(D820&lt;&gt;"",E820&lt;&gt;"",ISNA(MATCH(D820&amp;"|"&amp;E820,catClave,0))),"⚠ Subcategoría no corresponde",IF(AND(OR(P820="Transferencia",P820="Pago tarjeta"),K820=""),"⚠ Falta cuenta destino",IF(AND(K820&lt;&gt;"",P820&lt;&gt;"Transferencia",P820&lt;&gt;"Pago tarjeta"),"⚠ Destino solo aplica a transferencias",IF(AND(K820&lt;&gt;"",K820=Q820),"⚠ Origen igual a destino",IF(AND(K820&lt;&gt;"",ISNA(MATCH(K820,ctaNombre,0))),"⚠ Destino no registrado",IF(AND(P820="Pago tarjeta",AE820&lt;&gt;"Tarjeta de crédito"),"⚠ El destino debe ser tarjeta de crédito",IF(AND(P820="Gasto",E820="Depósitos y retiros"),"⚠ Usa tipo Transferencia",IF(AND(P820="Resultado trading",AD820&lt;&gt;"Cuenta de trading"),"⚠ Usa una cuenta de trading",IF(AND(G820&lt;=0,P820&lt;&gt;"Ajuste",P820&lt;&gt;"Resultado trading"),"⚠ El monto debe ser positivo","✓")))))))))))))))</f>
        <v/>
      </c>
      <c r="P820" s="52">
        <f>IF(OR(B820="",G820=""),"",IF(C820="","Gasto",C820))</f>
        <v/>
      </c>
      <c r="Q820" s="52">
        <f>IF(P820="","",IF(J820&lt;&gt;"",J820,CuentaPred&amp;""))</f>
        <v/>
      </c>
      <c r="R820" s="52">
        <f>IF(P820="","",IF(ISNUMBER(I820),I820,TasaUSD))</f>
        <v/>
      </c>
      <c r="S820" s="53">
        <f>IF(P820="","",IF(H820="USD",G820*R820,G820))</f>
        <v/>
      </c>
      <c r="T820" s="53">
        <f>IF(P820="","",IF(H820="USD",G820,IF(R820&gt;0,G820/R820,0)))</f>
        <v/>
      </c>
      <c r="U820" s="53">
        <f>IF(P820="","",IF(P820="Gasto",S820,IF(P820="Reembolso",-S820,0)))</f>
        <v/>
      </c>
      <c r="V820" s="53">
        <f>IF(P820="","",IF(P820="Ingreso",S820,0))</f>
        <v/>
      </c>
      <c r="W820" s="53">
        <f>IF(P820="","",IF(P820="Resultado trading",S820,0))</f>
        <v/>
      </c>
      <c r="X820" s="52">
        <f>IF(OR(P820="Gasto",P820="Reembolso"),IF(M820&lt;&gt;"",M820,IFERROR(INDEX(catClasif,MATCH(D820&amp;"|"&amp;E820,catClave,0))&amp;"","Variable")),"")</f>
        <v/>
      </c>
      <c r="Y820" s="52">
        <f>IF(P820="","",IFERROR(INDEX(catGrupo,MATCH(D820&amp;"|"&amp;E820,catClave,0))&amp;"",""))</f>
        <v/>
      </c>
      <c r="Z820" s="52">
        <f>IF(P820="","",WEEKDAY(B820,2))</f>
        <v/>
      </c>
      <c r="AA820" s="52">
        <f>IF(P820="","",IF(AND(P820="Gasto",X820="Variable",D820&lt;&gt;catTrading,S820&gt;0,S820&lt;=Umbral),1,0))</f>
        <v/>
      </c>
      <c r="AB820" s="52">
        <f>IF(OR(P820="",Q820=""),"",IFERROR(IF(INDEX(ctaVinc,MATCH(Q820,ctaNombre,0))&amp;""&lt;&gt;"",INDEX(ctaVinc,MATCH(Q820,ctaNombre,0))&amp;"",Q820),Q820))</f>
        <v/>
      </c>
      <c r="AC820" s="52">
        <f>IF(OR(K820="",AND(P820&lt;&gt;"Transferencia",P820&lt;&gt;"Pago tarjeta")),"",IFERROR(IF(INDEX(ctaVinc,MATCH(K820,ctaNombre,0))&amp;""&lt;&gt;"",INDEX(ctaVinc,MATCH(K820,ctaNombre,0))&amp;"",K820),K820))</f>
        <v/>
      </c>
      <c r="AD820" s="52">
        <f>IF(AB820="","",IFERROR(INDEX(ctaTipo,MATCH(AB820,ctaNombre,0))&amp;"",""))</f>
        <v/>
      </c>
      <c r="AE820" s="52">
        <f>IF(AC820="","",IFERROR(INDEX(ctaTipo,MATCH(AC820,ctaNombre,0))&amp;"",""))</f>
        <v/>
      </c>
      <c r="AF820" s="53">
        <f>IF(OR(P820="",AB820=""),"",IF(OR(P820="Gasto",P820="Transferencia",P820="Pago tarjeta"),-1,1)*IF(IFERROR(INDEX(ctaMoneda,MATCH(AB820,ctaNombre,0))&amp;"","DOP")="USD",T820,S820))</f>
        <v/>
      </c>
      <c r="AG820" s="53">
        <f>IF(AC820="","",IF(IFERROR(INDEX(ctaMoneda,MATCH(AC820,ctaNombre,0))&amp;"","DOP")="USD",T820,S820))</f>
        <v/>
      </c>
      <c r="AH820" s="53">
        <f>IF(P820="","",IF(AND(AD820&lt;&gt;"",COUNTIFS(tcTipo,AD820,tcLiq,"Sí")&gt;0),IF(OR(P820="Gasto",P820="Transferencia",P820="Pago tarjeta"),-1,1)*S820,0)+IF(AND(AE820&lt;&gt;"",COUNTIFS(tcTipo,AE820,tcLiq,"Sí")&gt;0),S820,0))</f>
        <v/>
      </c>
      <c r="AI820" s="52">
        <f>IF(OR(L820="",P820=""),"",IF(COUNTIFS(L$6:L820,L820,P$6:P820,"?*")=1,MAX(AI$5:AI819)+1,""))</f>
        <v/>
      </c>
    </row>
    <row r="821">
      <c r="B821" s="47" t="n"/>
      <c r="C821" s="48" t="n"/>
      <c r="D821" s="48" t="n"/>
      <c r="E821" s="48" t="n"/>
      <c r="F821" s="48" t="n"/>
      <c r="G821" s="49" t="n"/>
      <c r="H821" s="48" t="n"/>
      <c r="I821" s="50" t="n"/>
      <c r="J821" s="48" t="n"/>
      <c r="K821" s="48" t="n"/>
      <c r="L821" s="48" t="n"/>
      <c r="M821" s="48" t="n"/>
      <c r="N821" s="48" t="n"/>
      <c r="O821" s="51">
        <f>IF(AND(B821="",G821="",C821="",D821="",J821=""),"",IF(B821="","⚠ Falta fecha",IF(G821="","⚠ Falta monto",IF(Q821="","⚠ Falta cuenta",IF(ISNA(MATCH(Q821,ctaNombre,0)),"⚠ Cuenta no registrada",IF(AND(OR(P821="Gasto",P821="Reembolso"),D821=""),"⚠ Falta categoría",IF(AND(D821&lt;&gt;"",E821&lt;&gt;"",ISNA(MATCH(D821&amp;"|"&amp;E821,catClave,0))),"⚠ Subcategoría no corresponde",IF(AND(OR(P821="Transferencia",P821="Pago tarjeta"),K821=""),"⚠ Falta cuenta destino",IF(AND(K821&lt;&gt;"",P821&lt;&gt;"Transferencia",P821&lt;&gt;"Pago tarjeta"),"⚠ Destino solo aplica a transferencias",IF(AND(K821&lt;&gt;"",K821=Q821),"⚠ Origen igual a destino",IF(AND(K821&lt;&gt;"",ISNA(MATCH(K821,ctaNombre,0))),"⚠ Destino no registrado",IF(AND(P821="Pago tarjeta",AE821&lt;&gt;"Tarjeta de crédito"),"⚠ El destino debe ser tarjeta de crédito",IF(AND(P821="Gasto",E821="Depósitos y retiros"),"⚠ Usa tipo Transferencia",IF(AND(P821="Resultado trading",AD821&lt;&gt;"Cuenta de trading"),"⚠ Usa una cuenta de trading",IF(AND(G821&lt;=0,P821&lt;&gt;"Ajuste",P821&lt;&gt;"Resultado trading"),"⚠ El monto debe ser positivo","✓")))))))))))))))</f>
        <v/>
      </c>
      <c r="P821" s="52">
        <f>IF(OR(B821="",G821=""),"",IF(C821="","Gasto",C821))</f>
        <v/>
      </c>
      <c r="Q821" s="52">
        <f>IF(P821="","",IF(J821&lt;&gt;"",J821,CuentaPred&amp;""))</f>
        <v/>
      </c>
      <c r="R821" s="52">
        <f>IF(P821="","",IF(ISNUMBER(I821),I821,TasaUSD))</f>
        <v/>
      </c>
      <c r="S821" s="53">
        <f>IF(P821="","",IF(H821="USD",G821*R821,G821))</f>
        <v/>
      </c>
      <c r="T821" s="53">
        <f>IF(P821="","",IF(H821="USD",G821,IF(R821&gt;0,G821/R821,0)))</f>
        <v/>
      </c>
      <c r="U821" s="53">
        <f>IF(P821="","",IF(P821="Gasto",S821,IF(P821="Reembolso",-S821,0)))</f>
        <v/>
      </c>
      <c r="V821" s="53">
        <f>IF(P821="","",IF(P821="Ingreso",S821,0))</f>
        <v/>
      </c>
      <c r="W821" s="53">
        <f>IF(P821="","",IF(P821="Resultado trading",S821,0))</f>
        <v/>
      </c>
      <c r="X821" s="52">
        <f>IF(OR(P821="Gasto",P821="Reembolso"),IF(M821&lt;&gt;"",M821,IFERROR(INDEX(catClasif,MATCH(D821&amp;"|"&amp;E821,catClave,0))&amp;"","Variable")),"")</f>
        <v/>
      </c>
      <c r="Y821" s="52">
        <f>IF(P821="","",IFERROR(INDEX(catGrupo,MATCH(D821&amp;"|"&amp;E821,catClave,0))&amp;"",""))</f>
        <v/>
      </c>
      <c r="Z821" s="52">
        <f>IF(P821="","",WEEKDAY(B821,2))</f>
        <v/>
      </c>
      <c r="AA821" s="52">
        <f>IF(P821="","",IF(AND(P821="Gasto",X821="Variable",D821&lt;&gt;catTrading,S821&gt;0,S821&lt;=Umbral),1,0))</f>
        <v/>
      </c>
      <c r="AB821" s="52">
        <f>IF(OR(P821="",Q821=""),"",IFERROR(IF(INDEX(ctaVinc,MATCH(Q821,ctaNombre,0))&amp;""&lt;&gt;"",INDEX(ctaVinc,MATCH(Q821,ctaNombre,0))&amp;"",Q821),Q821))</f>
        <v/>
      </c>
      <c r="AC821" s="52">
        <f>IF(OR(K821="",AND(P821&lt;&gt;"Transferencia",P821&lt;&gt;"Pago tarjeta")),"",IFERROR(IF(INDEX(ctaVinc,MATCH(K821,ctaNombre,0))&amp;""&lt;&gt;"",INDEX(ctaVinc,MATCH(K821,ctaNombre,0))&amp;"",K821),K821))</f>
        <v/>
      </c>
      <c r="AD821" s="52">
        <f>IF(AB821="","",IFERROR(INDEX(ctaTipo,MATCH(AB821,ctaNombre,0))&amp;"",""))</f>
        <v/>
      </c>
      <c r="AE821" s="52">
        <f>IF(AC821="","",IFERROR(INDEX(ctaTipo,MATCH(AC821,ctaNombre,0))&amp;"",""))</f>
        <v/>
      </c>
      <c r="AF821" s="53">
        <f>IF(OR(P821="",AB821=""),"",IF(OR(P821="Gasto",P821="Transferencia",P821="Pago tarjeta"),-1,1)*IF(IFERROR(INDEX(ctaMoneda,MATCH(AB821,ctaNombre,0))&amp;"","DOP")="USD",T821,S821))</f>
        <v/>
      </c>
      <c r="AG821" s="53">
        <f>IF(AC821="","",IF(IFERROR(INDEX(ctaMoneda,MATCH(AC821,ctaNombre,0))&amp;"","DOP")="USD",T821,S821))</f>
        <v/>
      </c>
      <c r="AH821" s="53">
        <f>IF(P821="","",IF(AND(AD821&lt;&gt;"",COUNTIFS(tcTipo,AD821,tcLiq,"Sí")&gt;0),IF(OR(P821="Gasto",P821="Transferencia",P821="Pago tarjeta"),-1,1)*S821,0)+IF(AND(AE821&lt;&gt;"",COUNTIFS(tcTipo,AE821,tcLiq,"Sí")&gt;0),S821,0))</f>
        <v/>
      </c>
      <c r="AI821" s="52">
        <f>IF(OR(L821="",P821=""),"",IF(COUNTIFS(L$6:L821,L821,P$6:P821,"?*")=1,MAX(AI$5:AI820)+1,""))</f>
        <v/>
      </c>
    </row>
    <row r="822">
      <c r="B822" s="47" t="n"/>
      <c r="C822" s="48" t="n"/>
      <c r="D822" s="48" t="n"/>
      <c r="E822" s="48" t="n"/>
      <c r="F822" s="48" t="n"/>
      <c r="G822" s="49" t="n"/>
      <c r="H822" s="48" t="n"/>
      <c r="I822" s="50" t="n"/>
      <c r="J822" s="48" t="n"/>
      <c r="K822" s="48" t="n"/>
      <c r="L822" s="48" t="n"/>
      <c r="M822" s="48" t="n"/>
      <c r="N822" s="48" t="n"/>
      <c r="O822" s="51">
        <f>IF(AND(B822="",G822="",C822="",D822="",J822=""),"",IF(B822="","⚠ Falta fecha",IF(G822="","⚠ Falta monto",IF(Q822="","⚠ Falta cuenta",IF(ISNA(MATCH(Q822,ctaNombre,0)),"⚠ Cuenta no registrada",IF(AND(OR(P822="Gasto",P822="Reembolso"),D822=""),"⚠ Falta categoría",IF(AND(D822&lt;&gt;"",E822&lt;&gt;"",ISNA(MATCH(D822&amp;"|"&amp;E822,catClave,0))),"⚠ Subcategoría no corresponde",IF(AND(OR(P822="Transferencia",P822="Pago tarjeta"),K822=""),"⚠ Falta cuenta destino",IF(AND(K822&lt;&gt;"",P822&lt;&gt;"Transferencia",P822&lt;&gt;"Pago tarjeta"),"⚠ Destino solo aplica a transferencias",IF(AND(K822&lt;&gt;"",K822=Q822),"⚠ Origen igual a destino",IF(AND(K822&lt;&gt;"",ISNA(MATCH(K822,ctaNombre,0))),"⚠ Destino no registrado",IF(AND(P822="Pago tarjeta",AE822&lt;&gt;"Tarjeta de crédito"),"⚠ El destino debe ser tarjeta de crédito",IF(AND(P822="Gasto",E822="Depósitos y retiros"),"⚠ Usa tipo Transferencia",IF(AND(P822="Resultado trading",AD822&lt;&gt;"Cuenta de trading"),"⚠ Usa una cuenta de trading",IF(AND(G822&lt;=0,P822&lt;&gt;"Ajuste",P822&lt;&gt;"Resultado trading"),"⚠ El monto debe ser positivo","✓")))))))))))))))</f>
        <v/>
      </c>
      <c r="P822" s="52">
        <f>IF(OR(B822="",G822=""),"",IF(C822="","Gasto",C822))</f>
        <v/>
      </c>
      <c r="Q822" s="52">
        <f>IF(P822="","",IF(J822&lt;&gt;"",J822,CuentaPred&amp;""))</f>
        <v/>
      </c>
      <c r="R822" s="52">
        <f>IF(P822="","",IF(ISNUMBER(I822),I822,TasaUSD))</f>
        <v/>
      </c>
      <c r="S822" s="53">
        <f>IF(P822="","",IF(H822="USD",G822*R822,G822))</f>
        <v/>
      </c>
      <c r="T822" s="53">
        <f>IF(P822="","",IF(H822="USD",G822,IF(R822&gt;0,G822/R822,0)))</f>
        <v/>
      </c>
      <c r="U822" s="53">
        <f>IF(P822="","",IF(P822="Gasto",S822,IF(P822="Reembolso",-S822,0)))</f>
        <v/>
      </c>
      <c r="V822" s="53">
        <f>IF(P822="","",IF(P822="Ingreso",S822,0))</f>
        <v/>
      </c>
      <c r="W822" s="53">
        <f>IF(P822="","",IF(P822="Resultado trading",S822,0))</f>
        <v/>
      </c>
      <c r="X822" s="52">
        <f>IF(OR(P822="Gasto",P822="Reembolso"),IF(M822&lt;&gt;"",M822,IFERROR(INDEX(catClasif,MATCH(D822&amp;"|"&amp;E822,catClave,0))&amp;"","Variable")),"")</f>
        <v/>
      </c>
      <c r="Y822" s="52">
        <f>IF(P822="","",IFERROR(INDEX(catGrupo,MATCH(D822&amp;"|"&amp;E822,catClave,0))&amp;"",""))</f>
        <v/>
      </c>
      <c r="Z822" s="52">
        <f>IF(P822="","",WEEKDAY(B822,2))</f>
        <v/>
      </c>
      <c r="AA822" s="52">
        <f>IF(P822="","",IF(AND(P822="Gasto",X822="Variable",D822&lt;&gt;catTrading,S822&gt;0,S822&lt;=Umbral),1,0))</f>
        <v/>
      </c>
      <c r="AB822" s="52">
        <f>IF(OR(P822="",Q822=""),"",IFERROR(IF(INDEX(ctaVinc,MATCH(Q822,ctaNombre,0))&amp;""&lt;&gt;"",INDEX(ctaVinc,MATCH(Q822,ctaNombre,0))&amp;"",Q822),Q822))</f>
        <v/>
      </c>
      <c r="AC822" s="52">
        <f>IF(OR(K822="",AND(P822&lt;&gt;"Transferencia",P822&lt;&gt;"Pago tarjeta")),"",IFERROR(IF(INDEX(ctaVinc,MATCH(K822,ctaNombre,0))&amp;""&lt;&gt;"",INDEX(ctaVinc,MATCH(K822,ctaNombre,0))&amp;"",K822),K822))</f>
        <v/>
      </c>
      <c r="AD822" s="52">
        <f>IF(AB822="","",IFERROR(INDEX(ctaTipo,MATCH(AB822,ctaNombre,0))&amp;"",""))</f>
        <v/>
      </c>
      <c r="AE822" s="52">
        <f>IF(AC822="","",IFERROR(INDEX(ctaTipo,MATCH(AC822,ctaNombre,0))&amp;"",""))</f>
        <v/>
      </c>
      <c r="AF822" s="53">
        <f>IF(OR(P822="",AB822=""),"",IF(OR(P822="Gasto",P822="Transferencia",P822="Pago tarjeta"),-1,1)*IF(IFERROR(INDEX(ctaMoneda,MATCH(AB822,ctaNombre,0))&amp;"","DOP")="USD",T822,S822))</f>
        <v/>
      </c>
      <c r="AG822" s="53">
        <f>IF(AC822="","",IF(IFERROR(INDEX(ctaMoneda,MATCH(AC822,ctaNombre,0))&amp;"","DOP")="USD",T822,S822))</f>
        <v/>
      </c>
      <c r="AH822" s="53">
        <f>IF(P822="","",IF(AND(AD822&lt;&gt;"",COUNTIFS(tcTipo,AD822,tcLiq,"Sí")&gt;0),IF(OR(P822="Gasto",P822="Transferencia",P822="Pago tarjeta"),-1,1)*S822,0)+IF(AND(AE822&lt;&gt;"",COUNTIFS(tcTipo,AE822,tcLiq,"Sí")&gt;0),S822,0))</f>
        <v/>
      </c>
      <c r="AI822" s="52">
        <f>IF(OR(L822="",P822=""),"",IF(COUNTIFS(L$6:L822,L822,P$6:P822,"?*")=1,MAX(AI$5:AI821)+1,""))</f>
        <v/>
      </c>
    </row>
    <row r="823">
      <c r="B823" s="47" t="n"/>
      <c r="C823" s="48" t="n"/>
      <c r="D823" s="48" t="n"/>
      <c r="E823" s="48" t="n"/>
      <c r="F823" s="48" t="n"/>
      <c r="G823" s="49" t="n"/>
      <c r="H823" s="48" t="n"/>
      <c r="I823" s="50" t="n"/>
      <c r="J823" s="48" t="n"/>
      <c r="K823" s="48" t="n"/>
      <c r="L823" s="48" t="n"/>
      <c r="M823" s="48" t="n"/>
      <c r="N823" s="48" t="n"/>
      <c r="O823" s="51">
        <f>IF(AND(B823="",G823="",C823="",D823="",J823=""),"",IF(B823="","⚠ Falta fecha",IF(G823="","⚠ Falta monto",IF(Q823="","⚠ Falta cuenta",IF(ISNA(MATCH(Q823,ctaNombre,0)),"⚠ Cuenta no registrada",IF(AND(OR(P823="Gasto",P823="Reembolso"),D823=""),"⚠ Falta categoría",IF(AND(D823&lt;&gt;"",E823&lt;&gt;"",ISNA(MATCH(D823&amp;"|"&amp;E823,catClave,0))),"⚠ Subcategoría no corresponde",IF(AND(OR(P823="Transferencia",P823="Pago tarjeta"),K823=""),"⚠ Falta cuenta destino",IF(AND(K823&lt;&gt;"",P823&lt;&gt;"Transferencia",P823&lt;&gt;"Pago tarjeta"),"⚠ Destino solo aplica a transferencias",IF(AND(K823&lt;&gt;"",K823=Q823),"⚠ Origen igual a destino",IF(AND(K823&lt;&gt;"",ISNA(MATCH(K823,ctaNombre,0))),"⚠ Destino no registrado",IF(AND(P823="Pago tarjeta",AE823&lt;&gt;"Tarjeta de crédito"),"⚠ El destino debe ser tarjeta de crédito",IF(AND(P823="Gasto",E823="Depósitos y retiros"),"⚠ Usa tipo Transferencia",IF(AND(P823="Resultado trading",AD823&lt;&gt;"Cuenta de trading"),"⚠ Usa una cuenta de trading",IF(AND(G823&lt;=0,P823&lt;&gt;"Ajuste",P823&lt;&gt;"Resultado trading"),"⚠ El monto debe ser positivo","✓")))))))))))))))</f>
        <v/>
      </c>
      <c r="P823" s="52">
        <f>IF(OR(B823="",G823=""),"",IF(C823="","Gasto",C823))</f>
        <v/>
      </c>
      <c r="Q823" s="52">
        <f>IF(P823="","",IF(J823&lt;&gt;"",J823,CuentaPred&amp;""))</f>
        <v/>
      </c>
      <c r="R823" s="52">
        <f>IF(P823="","",IF(ISNUMBER(I823),I823,TasaUSD))</f>
        <v/>
      </c>
      <c r="S823" s="53">
        <f>IF(P823="","",IF(H823="USD",G823*R823,G823))</f>
        <v/>
      </c>
      <c r="T823" s="53">
        <f>IF(P823="","",IF(H823="USD",G823,IF(R823&gt;0,G823/R823,0)))</f>
        <v/>
      </c>
      <c r="U823" s="53">
        <f>IF(P823="","",IF(P823="Gasto",S823,IF(P823="Reembolso",-S823,0)))</f>
        <v/>
      </c>
      <c r="V823" s="53">
        <f>IF(P823="","",IF(P823="Ingreso",S823,0))</f>
        <v/>
      </c>
      <c r="W823" s="53">
        <f>IF(P823="","",IF(P823="Resultado trading",S823,0))</f>
        <v/>
      </c>
      <c r="X823" s="52">
        <f>IF(OR(P823="Gasto",P823="Reembolso"),IF(M823&lt;&gt;"",M823,IFERROR(INDEX(catClasif,MATCH(D823&amp;"|"&amp;E823,catClave,0))&amp;"","Variable")),"")</f>
        <v/>
      </c>
      <c r="Y823" s="52">
        <f>IF(P823="","",IFERROR(INDEX(catGrupo,MATCH(D823&amp;"|"&amp;E823,catClave,0))&amp;"",""))</f>
        <v/>
      </c>
      <c r="Z823" s="52">
        <f>IF(P823="","",WEEKDAY(B823,2))</f>
        <v/>
      </c>
      <c r="AA823" s="52">
        <f>IF(P823="","",IF(AND(P823="Gasto",X823="Variable",D823&lt;&gt;catTrading,S823&gt;0,S823&lt;=Umbral),1,0))</f>
        <v/>
      </c>
      <c r="AB823" s="52">
        <f>IF(OR(P823="",Q823=""),"",IFERROR(IF(INDEX(ctaVinc,MATCH(Q823,ctaNombre,0))&amp;""&lt;&gt;"",INDEX(ctaVinc,MATCH(Q823,ctaNombre,0))&amp;"",Q823),Q823))</f>
        <v/>
      </c>
      <c r="AC823" s="52">
        <f>IF(OR(K823="",AND(P823&lt;&gt;"Transferencia",P823&lt;&gt;"Pago tarjeta")),"",IFERROR(IF(INDEX(ctaVinc,MATCH(K823,ctaNombre,0))&amp;""&lt;&gt;"",INDEX(ctaVinc,MATCH(K823,ctaNombre,0))&amp;"",K823),K823))</f>
        <v/>
      </c>
      <c r="AD823" s="52">
        <f>IF(AB823="","",IFERROR(INDEX(ctaTipo,MATCH(AB823,ctaNombre,0))&amp;"",""))</f>
        <v/>
      </c>
      <c r="AE823" s="52">
        <f>IF(AC823="","",IFERROR(INDEX(ctaTipo,MATCH(AC823,ctaNombre,0))&amp;"",""))</f>
        <v/>
      </c>
      <c r="AF823" s="53">
        <f>IF(OR(P823="",AB823=""),"",IF(OR(P823="Gasto",P823="Transferencia",P823="Pago tarjeta"),-1,1)*IF(IFERROR(INDEX(ctaMoneda,MATCH(AB823,ctaNombre,0))&amp;"","DOP")="USD",T823,S823))</f>
        <v/>
      </c>
      <c r="AG823" s="53">
        <f>IF(AC823="","",IF(IFERROR(INDEX(ctaMoneda,MATCH(AC823,ctaNombre,0))&amp;"","DOP")="USD",T823,S823))</f>
        <v/>
      </c>
      <c r="AH823" s="53">
        <f>IF(P823="","",IF(AND(AD823&lt;&gt;"",COUNTIFS(tcTipo,AD823,tcLiq,"Sí")&gt;0),IF(OR(P823="Gasto",P823="Transferencia",P823="Pago tarjeta"),-1,1)*S823,0)+IF(AND(AE823&lt;&gt;"",COUNTIFS(tcTipo,AE823,tcLiq,"Sí")&gt;0),S823,0))</f>
        <v/>
      </c>
      <c r="AI823" s="52">
        <f>IF(OR(L823="",P823=""),"",IF(COUNTIFS(L$6:L823,L823,P$6:P823,"?*")=1,MAX(AI$5:AI822)+1,""))</f>
        <v/>
      </c>
    </row>
    <row r="824">
      <c r="B824" s="47" t="n"/>
      <c r="C824" s="48" t="n"/>
      <c r="D824" s="48" t="n"/>
      <c r="E824" s="48" t="n"/>
      <c r="F824" s="48" t="n"/>
      <c r="G824" s="49" t="n"/>
      <c r="H824" s="48" t="n"/>
      <c r="I824" s="50" t="n"/>
      <c r="J824" s="48" t="n"/>
      <c r="K824" s="48" t="n"/>
      <c r="L824" s="48" t="n"/>
      <c r="M824" s="48" t="n"/>
      <c r="N824" s="48" t="n"/>
      <c r="O824" s="51">
        <f>IF(AND(B824="",G824="",C824="",D824="",J824=""),"",IF(B824="","⚠ Falta fecha",IF(G824="","⚠ Falta monto",IF(Q824="","⚠ Falta cuenta",IF(ISNA(MATCH(Q824,ctaNombre,0)),"⚠ Cuenta no registrada",IF(AND(OR(P824="Gasto",P824="Reembolso"),D824=""),"⚠ Falta categoría",IF(AND(D824&lt;&gt;"",E824&lt;&gt;"",ISNA(MATCH(D824&amp;"|"&amp;E824,catClave,0))),"⚠ Subcategoría no corresponde",IF(AND(OR(P824="Transferencia",P824="Pago tarjeta"),K824=""),"⚠ Falta cuenta destino",IF(AND(K824&lt;&gt;"",P824&lt;&gt;"Transferencia",P824&lt;&gt;"Pago tarjeta"),"⚠ Destino solo aplica a transferencias",IF(AND(K824&lt;&gt;"",K824=Q824),"⚠ Origen igual a destino",IF(AND(K824&lt;&gt;"",ISNA(MATCH(K824,ctaNombre,0))),"⚠ Destino no registrado",IF(AND(P824="Pago tarjeta",AE824&lt;&gt;"Tarjeta de crédito"),"⚠ El destino debe ser tarjeta de crédito",IF(AND(P824="Gasto",E824="Depósitos y retiros"),"⚠ Usa tipo Transferencia",IF(AND(P824="Resultado trading",AD824&lt;&gt;"Cuenta de trading"),"⚠ Usa una cuenta de trading",IF(AND(G824&lt;=0,P824&lt;&gt;"Ajuste",P824&lt;&gt;"Resultado trading"),"⚠ El monto debe ser positivo","✓")))))))))))))))</f>
        <v/>
      </c>
      <c r="P824" s="52">
        <f>IF(OR(B824="",G824=""),"",IF(C824="","Gasto",C824))</f>
        <v/>
      </c>
      <c r="Q824" s="52">
        <f>IF(P824="","",IF(J824&lt;&gt;"",J824,CuentaPred&amp;""))</f>
        <v/>
      </c>
      <c r="R824" s="52">
        <f>IF(P824="","",IF(ISNUMBER(I824),I824,TasaUSD))</f>
        <v/>
      </c>
      <c r="S824" s="53">
        <f>IF(P824="","",IF(H824="USD",G824*R824,G824))</f>
        <v/>
      </c>
      <c r="T824" s="53">
        <f>IF(P824="","",IF(H824="USD",G824,IF(R824&gt;0,G824/R824,0)))</f>
        <v/>
      </c>
      <c r="U824" s="53">
        <f>IF(P824="","",IF(P824="Gasto",S824,IF(P824="Reembolso",-S824,0)))</f>
        <v/>
      </c>
      <c r="V824" s="53">
        <f>IF(P824="","",IF(P824="Ingreso",S824,0))</f>
        <v/>
      </c>
      <c r="W824" s="53">
        <f>IF(P824="","",IF(P824="Resultado trading",S824,0))</f>
        <v/>
      </c>
      <c r="X824" s="52">
        <f>IF(OR(P824="Gasto",P824="Reembolso"),IF(M824&lt;&gt;"",M824,IFERROR(INDEX(catClasif,MATCH(D824&amp;"|"&amp;E824,catClave,0))&amp;"","Variable")),"")</f>
        <v/>
      </c>
      <c r="Y824" s="52">
        <f>IF(P824="","",IFERROR(INDEX(catGrupo,MATCH(D824&amp;"|"&amp;E824,catClave,0))&amp;"",""))</f>
        <v/>
      </c>
      <c r="Z824" s="52">
        <f>IF(P824="","",WEEKDAY(B824,2))</f>
        <v/>
      </c>
      <c r="AA824" s="52">
        <f>IF(P824="","",IF(AND(P824="Gasto",X824="Variable",D824&lt;&gt;catTrading,S824&gt;0,S824&lt;=Umbral),1,0))</f>
        <v/>
      </c>
      <c r="AB824" s="52">
        <f>IF(OR(P824="",Q824=""),"",IFERROR(IF(INDEX(ctaVinc,MATCH(Q824,ctaNombre,0))&amp;""&lt;&gt;"",INDEX(ctaVinc,MATCH(Q824,ctaNombre,0))&amp;"",Q824),Q824))</f>
        <v/>
      </c>
      <c r="AC824" s="52">
        <f>IF(OR(K824="",AND(P824&lt;&gt;"Transferencia",P824&lt;&gt;"Pago tarjeta")),"",IFERROR(IF(INDEX(ctaVinc,MATCH(K824,ctaNombre,0))&amp;""&lt;&gt;"",INDEX(ctaVinc,MATCH(K824,ctaNombre,0))&amp;"",K824),K824))</f>
        <v/>
      </c>
      <c r="AD824" s="52">
        <f>IF(AB824="","",IFERROR(INDEX(ctaTipo,MATCH(AB824,ctaNombre,0))&amp;"",""))</f>
        <v/>
      </c>
      <c r="AE824" s="52">
        <f>IF(AC824="","",IFERROR(INDEX(ctaTipo,MATCH(AC824,ctaNombre,0))&amp;"",""))</f>
        <v/>
      </c>
      <c r="AF824" s="53">
        <f>IF(OR(P824="",AB824=""),"",IF(OR(P824="Gasto",P824="Transferencia",P824="Pago tarjeta"),-1,1)*IF(IFERROR(INDEX(ctaMoneda,MATCH(AB824,ctaNombre,0))&amp;"","DOP")="USD",T824,S824))</f>
        <v/>
      </c>
      <c r="AG824" s="53">
        <f>IF(AC824="","",IF(IFERROR(INDEX(ctaMoneda,MATCH(AC824,ctaNombre,0))&amp;"","DOP")="USD",T824,S824))</f>
        <v/>
      </c>
      <c r="AH824" s="53">
        <f>IF(P824="","",IF(AND(AD824&lt;&gt;"",COUNTIFS(tcTipo,AD824,tcLiq,"Sí")&gt;0),IF(OR(P824="Gasto",P824="Transferencia",P824="Pago tarjeta"),-1,1)*S824,0)+IF(AND(AE824&lt;&gt;"",COUNTIFS(tcTipo,AE824,tcLiq,"Sí")&gt;0),S824,0))</f>
        <v/>
      </c>
      <c r="AI824" s="52">
        <f>IF(OR(L824="",P824=""),"",IF(COUNTIFS(L$6:L824,L824,P$6:P824,"?*")=1,MAX(AI$5:AI823)+1,""))</f>
        <v/>
      </c>
    </row>
    <row r="825">
      <c r="B825" s="47" t="n"/>
      <c r="C825" s="48" t="n"/>
      <c r="D825" s="48" t="n"/>
      <c r="E825" s="48" t="n"/>
      <c r="F825" s="48" t="n"/>
      <c r="G825" s="49" t="n"/>
      <c r="H825" s="48" t="n"/>
      <c r="I825" s="50" t="n"/>
      <c r="J825" s="48" t="n"/>
      <c r="K825" s="48" t="n"/>
      <c r="L825" s="48" t="n"/>
      <c r="M825" s="48" t="n"/>
      <c r="N825" s="48" t="n"/>
      <c r="O825" s="51">
        <f>IF(AND(B825="",G825="",C825="",D825="",J825=""),"",IF(B825="","⚠ Falta fecha",IF(G825="","⚠ Falta monto",IF(Q825="","⚠ Falta cuenta",IF(ISNA(MATCH(Q825,ctaNombre,0)),"⚠ Cuenta no registrada",IF(AND(OR(P825="Gasto",P825="Reembolso"),D825=""),"⚠ Falta categoría",IF(AND(D825&lt;&gt;"",E825&lt;&gt;"",ISNA(MATCH(D825&amp;"|"&amp;E825,catClave,0))),"⚠ Subcategoría no corresponde",IF(AND(OR(P825="Transferencia",P825="Pago tarjeta"),K825=""),"⚠ Falta cuenta destino",IF(AND(K825&lt;&gt;"",P825&lt;&gt;"Transferencia",P825&lt;&gt;"Pago tarjeta"),"⚠ Destino solo aplica a transferencias",IF(AND(K825&lt;&gt;"",K825=Q825),"⚠ Origen igual a destino",IF(AND(K825&lt;&gt;"",ISNA(MATCH(K825,ctaNombre,0))),"⚠ Destino no registrado",IF(AND(P825="Pago tarjeta",AE825&lt;&gt;"Tarjeta de crédito"),"⚠ El destino debe ser tarjeta de crédito",IF(AND(P825="Gasto",E825="Depósitos y retiros"),"⚠ Usa tipo Transferencia",IF(AND(P825="Resultado trading",AD825&lt;&gt;"Cuenta de trading"),"⚠ Usa una cuenta de trading",IF(AND(G825&lt;=0,P825&lt;&gt;"Ajuste",P825&lt;&gt;"Resultado trading"),"⚠ El monto debe ser positivo","✓")))))))))))))))</f>
        <v/>
      </c>
      <c r="P825" s="52">
        <f>IF(OR(B825="",G825=""),"",IF(C825="","Gasto",C825))</f>
        <v/>
      </c>
      <c r="Q825" s="52">
        <f>IF(P825="","",IF(J825&lt;&gt;"",J825,CuentaPred&amp;""))</f>
        <v/>
      </c>
      <c r="R825" s="52">
        <f>IF(P825="","",IF(ISNUMBER(I825),I825,TasaUSD))</f>
        <v/>
      </c>
      <c r="S825" s="53">
        <f>IF(P825="","",IF(H825="USD",G825*R825,G825))</f>
        <v/>
      </c>
      <c r="T825" s="53">
        <f>IF(P825="","",IF(H825="USD",G825,IF(R825&gt;0,G825/R825,0)))</f>
        <v/>
      </c>
      <c r="U825" s="53">
        <f>IF(P825="","",IF(P825="Gasto",S825,IF(P825="Reembolso",-S825,0)))</f>
        <v/>
      </c>
      <c r="V825" s="53">
        <f>IF(P825="","",IF(P825="Ingreso",S825,0))</f>
        <v/>
      </c>
      <c r="W825" s="53">
        <f>IF(P825="","",IF(P825="Resultado trading",S825,0))</f>
        <v/>
      </c>
      <c r="X825" s="52">
        <f>IF(OR(P825="Gasto",P825="Reembolso"),IF(M825&lt;&gt;"",M825,IFERROR(INDEX(catClasif,MATCH(D825&amp;"|"&amp;E825,catClave,0))&amp;"","Variable")),"")</f>
        <v/>
      </c>
      <c r="Y825" s="52">
        <f>IF(P825="","",IFERROR(INDEX(catGrupo,MATCH(D825&amp;"|"&amp;E825,catClave,0))&amp;"",""))</f>
        <v/>
      </c>
      <c r="Z825" s="52">
        <f>IF(P825="","",WEEKDAY(B825,2))</f>
        <v/>
      </c>
      <c r="AA825" s="52">
        <f>IF(P825="","",IF(AND(P825="Gasto",X825="Variable",D825&lt;&gt;catTrading,S825&gt;0,S825&lt;=Umbral),1,0))</f>
        <v/>
      </c>
      <c r="AB825" s="52">
        <f>IF(OR(P825="",Q825=""),"",IFERROR(IF(INDEX(ctaVinc,MATCH(Q825,ctaNombre,0))&amp;""&lt;&gt;"",INDEX(ctaVinc,MATCH(Q825,ctaNombre,0))&amp;"",Q825),Q825))</f>
        <v/>
      </c>
      <c r="AC825" s="52">
        <f>IF(OR(K825="",AND(P825&lt;&gt;"Transferencia",P825&lt;&gt;"Pago tarjeta")),"",IFERROR(IF(INDEX(ctaVinc,MATCH(K825,ctaNombre,0))&amp;""&lt;&gt;"",INDEX(ctaVinc,MATCH(K825,ctaNombre,0))&amp;"",K825),K825))</f>
        <v/>
      </c>
      <c r="AD825" s="52">
        <f>IF(AB825="","",IFERROR(INDEX(ctaTipo,MATCH(AB825,ctaNombre,0))&amp;"",""))</f>
        <v/>
      </c>
      <c r="AE825" s="52">
        <f>IF(AC825="","",IFERROR(INDEX(ctaTipo,MATCH(AC825,ctaNombre,0))&amp;"",""))</f>
        <v/>
      </c>
      <c r="AF825" s="53">
        <f>IF(OR(P825="",AB825=""),"",IF(OR(P825="Gasto",P825="Transferencia",P825="Pago tarjeta"),-1,1)*IF(IFERROR(INDEX(ctaMoneda,MATCH(AB825,ctaNombre,0))&amp;"","DOP")="USD",T825,S825))</f>
        <v/>
      </c>
      <c r="AG825" s="53">
        <f>IF(AC825="","",IF(IFERROR(INDEX(ctaMoneda,MATCH(AC825,ctaNombre,0))&amp;"","DOP")="USD",T825,S825))</f>
        <v/>
      </c>
      <c r="AH825" s="53">
        <f>IF(P825="","",IF(AND(AD825&lt;&gt;"",COUNTIFS(tcTipo,AD825,tcLiq,"Sí")&gt;0),IF(OR(P825="Gasto",P825="Transferencia",P825="Pago tarjeta"),-1,1)*S825,0)+IF(AND(AE825&lt;&gt;"",COUNTIFS(tcTipo,AE825,tcLiq,"Sí")&gt;0),S825,0))</f>
        <v/>
      </c>
      <c r="AI825" s="52">
        <f>IF(OR(L825="",P825=""),"",IF(COUNTIFS(L$6:L825,L825,P$6:P825,"?*")=1,MAX(AI$5:AI824)+1,""))</f>
        <v/>
      </c>
    </row>
    <row r="826">
      <c r="B826" s="47" t="n"/>
      <c r="C826" s="48" t="n"/>
      <c r="D826" s="48" t="n"/>
      <c r="E826" s="48" t="n"/>
      <c r="F826" s="48" t="n"/>
      <c r="G826" s="49" t="n"/>
      <c r="H826" s="48" t="n"/>
      <c r="I826" s="50" t="n"/>
      <c r="J826" s="48" t="n"/>
      <c r="K826" s="48" t="n"/>
      <c r="L826" s="48" t="n"/>
      <c r="M826" s="48" t="n"/>
      <c r="N826" s="48" t="n"/>
      <c r="O826" s="51">
        <f>IF(AND(B826="",G826="",C826="",D826="",J826=""),"",IF(B826="","⚠ Falta fecha",IF(G826="","⚠ Falta monto",IF(Q826="","⚠ Falta cuenta",IF(ISNA(MATCH(Q826,ctaNombre,0)),"⚠ Cuenta no registrada",IF(AND(OR(P826="Gasto",P826="Reembolso"),D826=""),"⚠ Falta categoría",IF(AND(D826&lt;&gt;"",E826&lt;&gt;"",ISNA(MATCH(D826&amp;"|"&amp;E826,catClave,0))),"⚠ Subcategoría no corresponde",IF(AND(OR(P826="Transferencia",P826="Pago tarjeta"),K826=""),"⚠ Falta cuenta destino",IF(AND(K826&lt;&gt;"",P826&lt;&gt;"Transferencia",P826&lt;&gt;"Pago tarjeta"),"⚠ Destino solo aplica a transferencias",IF(AND(K826&lt;&gt;"",K826=Q826),"⚠ Origen igual a destino",IF(AND(K826&lt;&gt;"",ISNA(MATCH(K826,ctaNombre,0))),"⚠ Destino no registrado",IF(AND(P826="Pago tarjeta",AE826&lt;&gt;"Tarjeta de crédito"),"⚠ El destino debe ser tarjeta de crédito",IF(AND(P826="Gasto",E826="Depósitos y retiros"),"⚠ Usa tipo Transferencia",IF(AND(P826="Resultado trading",AD826&lt;&gt;"Cuenta de trading"),"⚠ Usa una cuenta de trading",IF(AND(G826&lt;=0,P826&lt;&gt;"Ajuste",P826&lt;&gt;"Resultado trading"),"⚠ El monto debe ser positivo","✓")))))))))))))))</f>
        <v/>
      </c>
      <c r="P826" s="52">
        <f>IF(OR(B826="",G826=""),"",IF(C826="","Gasto",C826))</f>
        <v/>
      </c>
      <c r="Q826" s="52">
        <f>IF(P826="","",IF(J826&lt;&gt;"",J826,CuentaPred&amp;""))</f>
        <v/>
      </c>
      <c r="R826" s="52">
        <f>IF(P826="","",IF(ISNUMBER(I826),I826,TasaUSD))</f>
        <v/>
      </c>
      <c r="S826" s="53">
        <f>IF(P826="","",IF(H826="USD",G826*R826,G826))</f>
        <v/>
      </c>
      <c r="T826" s="53">
        <f>IF(P826="","",IF(H826="USD",G826,IF(R826&gt;0,G826/R826,0)))</f>
        <v/>
      </c>
      <c r="U826" s="53">
        <f>IF(P826="","",IF(P826="Gasto",S826,IF(P826="Reembolso",-S826,0)))</f>
        <v/>
      </c>
      <c r="V826" s="53">
        <f>IF(P826="","",IF(P826="Ingreso",S826,0))</f>
        <v/>
      </c>
      <c r="W826" s="53">
        <f>IF(P826="","",IF(P826="Resultado trading",S826,0))</f>
        <v/>
      </c>
      <c r="X826" s="52">
        <f>IF(OR(P826="Gasto",P826="Reembolso"),IF(M826&lt;&gt;"",M826,IFERROR(INDEX(catClasif,MATCH(D826&amp;"|"&amp;E826,catClave,0))&amp;"","Variable")),"")</f>
        <v/>
      </c>
      <c r="Y826" s="52">
        <f>IF(P826="","",IFERROR(INDEX(catGrupo,MATCH(D826&amp;"|"&amp;E826,catClave,0))&amp;"",""))</f>
        <v/>
      </c>
      <c r="Z826" s="52">
        <f>IF(P826="","",WEEKDAY(B826,2))</f>
        <v/>
      </c>
      <c r="AA826" s="52">
        <f>IF(P826="","",IF(AND(P826="Gasto",X826="Variable",D826&lt;&gt;catTrading,S826&gt;0,S826&lt;=Umbral),1,0))</f>
        <v/>
      </c>
      <c r="AB826" s="52">
        <f>IF(OR(P826="",Q826=""),"",IFERROR(IF(INDEX(ctaVinc,MATCH(Q826,ctaNombre,0))&amp;""&lt;&gt;"",INDEX(ctaVinc,MATCH(Q826,ctaNombre,0))&amp;"",Q826),Q826))</f>
        <v/>
      </c>
      <c r="AC826" s="52">
        <f>IF(OR(K826="",AND(P826&lt;&gt;"Transferencia",P826&lt;&gt;"Pago tarjeta")),"",IFERROR(IF(INDEX(ctaVinc,MATCH(K826,ctaNombre,0))&amp;""&lt;&gt;"",INDEX(ctaVinc,MATCH(K826,ctaNombre,0))&amp;"",K826),K826))</f>
        <v/>
      </c>
      <c r="AD826" s="52">
        <f>IF(AB826="","",IFERROR(INDEX(ctaTipo,MATCH(AB826,ctaNombre,0))&amp;"",""))</f>
        <v/>
      </c>
      <c r="AE826" s="52">
        <f>IF(AC826="","",IFERROR(INDEX(ctaTipo,MATCH(AC826,ctaNombre,0))&amp;"",""))</f>
        <v/>
      </c>
      <c r="AF826" s="53">
        <f>IF(OR(P826="",AB826=""),"",IF(OR(P826="Gasto",P826="Transferencia",P826="Pago tarjeta"),-1,1)*IF(IFERROR(INDEX(ctaMoneda,MATCH(AB826,ctaNombre,0))&amp;"","DOP")="USD",T826,S826))</f>
        <v/>
      </c>
      <c r="AG826" s="53">
        <f>IF(AC826="","",IF(IFERROR(INDEX(ctaMoneda,MATCH(AC826,ctaNombre,0))&amp;"","DOP")="USD",T826,S826))</f>
        <v/>
      </c>
      <c r="AH826" s="53">
        <f>IF(P826="","",IF(AND(AD826&lt;&gt;"",COUNTIFS(tcTipo,AD826,tcLiq,"Sí")&gt;0),IF(OR(P826="Gasto",P826="Transferencia",P826="Pago tarjeta"),-1,1)*S826,0)+IF(AND(AE826&lt;&gt;"",COUNTIFS(tcTipo,AE826,tcLiq,"Sí")&gt;0),S826,0))</f>
        <v/>
      </c>
      <c r="AI826" s="52">
        <f>IF(OR(L826="",P826=""),"",IF(COUNTIFS(L$6:L826,L826,P$6:P826,"?*")=1,MAX(AI$5:AI825)+1,""))</f>
        <v/>
      </c>
    </row>
    <row r="827">
      <c r="B827" s="47" t="n"/>
      <c r="C827" s="48" t="n"/>
      <c r="D827" s="48" t="n"/>
      <c r="E827" s="48" t="n"/>
      <c r="F827" s="48" t="n"/>
      <c r="G827" s="49" t="n"/>
      <c r="H827" s="48" t="n"/>
      <c r="I827" s="50" t="n"/>
      <c r="J827" s="48" t="n"/>
      <c r="K827" s="48" t="n"/>
      <c r="L827" s="48" t="n"/>
      <c r="M827" s="48" t="n"/>
      <c r="N827" s="48" t="n"/>
      <c r="O827" s="51">
        <f>IF(AND(B827="",G827="",C827="",D827="",J827=""),"",IF(B827="","⚠ Falta fecha",IF(G827="","⚠ Falta monto",IF(Q827="","⚠ Falta cuenta",IF(ISNA(MATCH(Q827,ctaNombre,0)),"⚠ Cuenta no registrada",IF(AND(OR(P827="Gasto",P827="Reembolso"),D827=""),"⚠ Falta categoría",IF(AND(D827&lt;&gt;"",E827&lt;&gt;"",ISNA(MATCH(D827&amp;"|"&amp;E827,catClave,0))),"⚠ Subcategoría no corresponde",IF(AND(OR(P827="Transferencia",P827="Pago tarjeta"),K827=""),"⚠ Falta cuenta destino",IF(AND(K827&lt;&gt;"",P827&lt;&gt;"Transferencia",P827&lt;&gt;"Pago tarjeta"),"⚠ Destino solo aplica a transferencias",IF(AND(K827&lt;&gt;"",K827=Q827),"⚠ Origen igual a destino",IF(AND(K827&lt;&gt;"",ISNA(MATCH(K827,ctaNombre,0))),"⚠ Destino no registrado",IF(AND(P827="Pago tarjeta",AE827&lt;&gt;"Tarjeta de crédito"),"⚠ El destino debe ser tarjeta de crédito",IF(AND(P827="Gasto",E827="Depósitos y retiros"),"⚠ Usa tipo Transferencia",IF(AND(P827="Resultado trading",AD827&lt;&gt;"Cuenta de trading"),"⚠ Usa una cuenta de trading",IF(AND(G827&lt;=0,P827&lt;&gt;"Ajuste",P827&lt;&gt;"Resultado trading"),"⚠ El monto debe ser positivo","✓")))))))))))))))</f>
        <v/>
      </c>
      <c r="P827" s="52">
        <f>IF(OR(B827="",G827=""),"",IF(C827="","Gasto",C827))</f>
        <v/>
      </c>
      <c r="Q827" s="52">
        <f>IF(P827="","",IF(J827&lt;&gt;"",J827,CuentaPred&amp;""))</f>
        <v/>
      </c>
      <c r="R827" s="52">
        <f>IF(P827="","",IF(ISNUMBER(I827),I827,TasaUSD))</f>
        <v/>
      </c>
      <c r="S827" s="53">
        <f>IF(P827="","",IF(H827="USD",G827*R827,G827))</f>
        <v/>
      </c>
      <c r="T827" s="53">
        <f>IF(P827="","",IF(H827="USD",G827,IF(R827&gt;0,G827/R827,0)))</f>
        <v/>
      </c>
      <c r="U827" s="53">
        <f>IF(P827="","",IF(P827="Gasto",S827,IF(P827="Reembolso",-S827,0)))</f>
        <v/>
      </c>
      <c r="V827" s="53">
        <f>IF(P827="","",IF(P827="Ingreso",S827,0))</f>
        <v/>
      </c>
      <c r="W827" s="53">
        <f>IF(P827="","",IF(P827="Resultado trading",S827,0))</f>
        <v/>
      </c>
      <c r="X827" s="52">
        <f>IF(OR(P827="Gasto",P827="Reembolso"),IF(M827&lt;&gt;"",M827,IFERROR(INDEX(catClasif,MATCH(D827&amp;"|"&amp;E827,catClave,0))&amp;"","Variable")),"")</f>
        <v/>
      </c>
      <c r="Y827" s="52">
        <f>IF(P827="","",IFERROR(INDEX(catGrupo,MATCH(D827&amp;"|"&amp;E827,catClave,0))&amp;"",""))</f>
        <v/>
      </c>
      <c r="Z827" s="52">
        <f>IF(P827="","",WEEKDAY(B827,2))</f>
        <v/>
      </c>
      <c r="AA827" s="52">
        <f>IF(P827="","",IF(AND(P827="Gasto",X827="Variable",D827&lt;&gt;catTrading,S827&gt;0,S827&lt;=Umbral),1,0))</f>
        <v/>
      </c>
      <c r="AB827" s="52">
        <f>IF(OR(P827="",Q827=""),"",IFERROR(IF(INDEX(ctaVinc,MATCH(Q827,ctaNombre,0))&amp;""&lt;&gt;"",INDEX(ctaVinc,MATCH(Q827,ctaNombre,0))&amp;"",Q827),Q827))</f>
        <v/>
      </c>
      <c r="AC827" s="52">
        <f>IF(OR(K827="",AND(P827&lt;&gt;"Transferencia",P827&lt;&gt;"Pago tarjeta")),"",IFERROR(IF(INDEX(ctaVinc,MATCH(K827,ctaNombre,0))&amp;""&lt;&gt;"",INDEX(ctaVinc,MATCH(K827,ctaNombre,0))&amp;"",K827),K827))</f>
        <v/>
      </c>
      <c r="AD827" s="52">
        <f>IF(AB827="","",IFERROR(INDEX(ctaTipo,MATCH(AB827,ctaNombre,0))&amp;"",""))</f>
        <v/>
      </c>
      <c r="AE827" s="52">
        <f>IF(AC827="","",IFERROR(INDEX(ctaTipo,MATCH(AC827,ctaNombre,0))&amp;"",""))</f>
        <v/>
      </c>
      <c r="AF827" s="53">
        <f>IF(OR(P827="",AB827=""),"",IF(OR(P827="Gasto",P827="Transferencia",P827="Pago tarjeta"),-1,1)*IF(IFERROR(INDEX(ctaMoneda,MATCH(AB827,ctaNombre,0))&amp;"","DOP")="USD",T827,S827))</f>
        <v/>
      </c>
      <c r="AG827" s="53">
        <f>IF(AC827="","",IF(IFERROR(INDEX(ctaMoneda,MATCH(AC827,ctaNombre,0))&amp;"","DOP")="USD",T827,S827))</f>
        <v/>
      </c>
      <c r="AH827" s="53">
        <f>IF(P827="","",IF(AND(AD827&lt;&gt;"",COUNTIFS(tcTipo,AD827,tcLiq,"Sí")&gt;0),IF(OR(P827="Gasto",P827="Transferencia",P827="Pago tarjeta"),-1,1)*S827,0)+IF(AND(AE827&lt;&gt;"",COUNTIFS(tcTipo,AE827,tcLiq,"Sí")&gt;0),S827,0))</f>
        <v/>
      </c>
      <c r="AI827" s="52">
        <f>IF(OR(L827="",P827=""),"",IF(COUNTIFS(L$6:L827,L827,P$6:P827,"?*")=1,MAX(AI$5:AI826)+1,""))</f>
        <v/>
      </c>
    </row>
    <row r="828">
      <c r="B828" s="47" t="n"/>
      <c r="C828" s="48" t="n"/>
      <c r="D828" s="48" t="n"/>
      <c r="E828" s="48" t="n"/>
      <c r="F828" s="48" t="n"/>
      <c r="G828" s="49" t="n"/>
      <c r="H828" s="48" t="n"/>
      <c r="I828" s="50" t="n"/>
      <c r="J828" s="48" t="n"/>
      <c r="K828" s="48" t="n"/>
      <c r="L828" s="48" t="n"/>
      <c r="M828" s="48" t="n"/>
      <c r="N828" s="48" t="n"/>
      <c r="O828" s="51">
        <f>IF(AND(B828="",G828="",C828="",D828="",J828=""),"",IF(B828="","⚠ Falta fecha",IF(G828="","⚠ Falta monto",IF(Q828="","⚠ Falta cuenta",IF(ISNA(MATCH(Q828,ctaNombre,0)),"⚠ Cuenta no registrada",IF(AND(OR(P828="Gasto",P828="Reembolso"),D828=""),"⚠ Falta categoría",IF(AND(D828&lt;&gt;"",E828&lt;&gt;"",ISNA(MATCH(D828&amp;"|"&amp;E828,catClave,0))),"⚠ Subcategoría no corresponde",IF(AND(OR(P828="Transferencia",P828="Pago tarjeta"),K828=""),"⚠ Falta cuenta destino",IF(AND(K828&lt;&gt;"",P828&lt;&gt;"Transferencia",P828&lt;&gt;"Pago tarjeta"),"⚠ Destino solo aplica a transferencias",IF(AND(K828&lt;&gt;"",K828=Q828),"⚠ Origen igual a destino",IF(AND(K828&lt;&gt;"",ISNA(MATCH(K828,ctaNombre,0))),"⚠ Destino no registrado",IF(AND(P828="Pago tarjeta",AE828&lt;&gt;"Tarjeta de crédito"),"⚠ El destino debe ser tarjeta de crédito",IF(AND(P828="Gasto",E828="Depósitos y retiros"),"⚠ Usa tipo Transferencia",IF(AND(P828="Resultado trading",AD828&lt;&gt;"Cuenta de trading"),"⚠ Usa una cuenta de trading",IF(AND(G828&lt;=0,P828&lt;&gt;"Ajuste",P828&lt;&gt;"Resultado trading"),"⚠ El monto debe ser positivo","✓")))))))))))))))</f>
        <v/>
      </c>
      <c r="P828" s="52">
        <f>IF(OR(B828="",G828=""),"",IF(C828="","Gasto",C828))</f>
        <v/>
      </c>
      <c r="Q828" s="52">
        <f>IF(P828="","",IF(J828&lt;&gt;"",J828,CuentaPred&amp;""))</f>
        <v/>
      </c>
      <c r="R828" s="52">
        <f>IF(P828="","",IF(ISNUMBER(I828),I828,TasaUSD))</f>
        <v/>
      </c>
      <c r="S828" s="53">
        <f>IF(P828="","",IF(H828="USD",G828*R828,G828))</f>
        <v/>
      </c>
      <c r="T828" s="53">
        <f>IF(P828="","",IF(H828="USD",G828,IF(R828&gt;0,G828/R828,0)))</f>
        <v/>
      </c>
      <c r="U828" s="53">
        <f>IF(P828="","",IF(P828="Gasto",S828,IF(P828="Reembolso",-S828,0)))</f>
        <v/>
      </c>
      <c r="V828" s="53">
        <f>IF(P828="","",IF(P828="Ingreso",S828,0))</f>
        <v/>
      </c>
      <c r="W828" s="53">
        <f>IF(P828="","",IF(P828="Resultado trading",S828,0))</f>
        <v/>
      </c>
      <c r="X828" s="52">
        <f>IF(OR(P828="Gasto",P828="Reembolso"),IF(M828&lt;&gt;"",M828,IFERROR(INDEX(catClasif,MATCH(D828&amp;"|"&amp;E828,catClave,0))&amp;"","Variable")),"")</f>
        <v/>
      </c>
      <c r="Y828" s="52">
        <f>IF(P828="","",IFERROR(INDEX(catGrupo,MATCH(D828&amp;"|"&amp;E828,catClave,0))&amp;"",""))</f>
        <v/>
      </c>
      <c r="Z828" s="52">
        <f>IF(P828="","",WEEKDAY(B828,2))</f>
        <v/>
      </c>
      <c r="AA828" s="52">
        <f>IF(P828="","",IF(AND(P828="Gasto",X828="Variable",D828&lt;&gt;catTrading,S828&gt;0,S828&lt;=Umbral),1,0))</f>
        <v/>
      </c>
      <c r="AB828" s="52">
        <f>IF(OR(P828="",Q828=""),"",IFERROR(IF(INDEX(ctaVinc,MATCH(Q828,ctaNombre,0))&amp;""&lt;&gt;"",INDEX(ctaVinc,MATCH(Q828,ctaNombre,0))&amp;"",Q828),Q828))</f>
        <v/>
      </c>
      <c r="AC828" s="52">
        <f>IF(OR(K828="",AND(P828&lt;&gt;"Transferencia",P828&lt;&gt;"Pago tarjeta")),"",IFERROR(IF(INDEX(ctaVinc,MATCH(K828,ctaNombre,0))&amp;""&lt;&gt;"",INDEX(ctaVinc,MATCH(K828,ctaNombre,0))&amp;"",K828),K828))</f>
        <v/>
      </c>
      <c r="AD828" s="52">
        <f>IF(AB828="","",IFERROR(INDEX(ctaTipo,MATCH(AB828,ctaNombre,0))&amp;"",""))</f>
        <v/>
      </c>
      <c r="AE828" s="52">
        <f>IF(AC828="","",IFERROR(INDEX(ctaTipo,MATCH(AC828,ctaNombre,0))&amp;"",""))</f>
        <v/>
      </c>
      <c r="AF828" s="53">
        <f>IF(OR(P828="",AB828=""),"",IF(OR(P828="Gasto",P828="Transferencia",P828="Pago tarjeta"),-1,1)*IF(IFERROR(INDEX(ctaMoneda,MATCH(AB828,ctaNombre,0))&amp;"","DOP")="USD",T828,S828))</f>
        <v/>
      </c>
      <c r="AG828" s="53">
        <f>IF(AC828="","",IF(IFERROR(INDEX(ctaMoneda,MATCH(AC828,ctaNombre,0))&amp;"","DOP")="USD",T828,S828))</f>
        <v/>
      </c>
      <c r="AH828" s="53">
        <f>IF(P828="","",IF(AND(AD828&lt;&gt;"",COUNTIFS(tcTipo,AD828,tcLiq,"Sí")&gt;0),IF(OR(P828="Gasto",P828="Transferencia",P828="Pago tarjeta"),-1,1)*S828,0)+IF(AND(AE828&lt;&gt;"",COUNTIFS(tcTipo,AE828,tcLiq,"Sí")&gt;0),S828,0))</f>
        <v/>
      </c>
      <c r="AI828" s="52">
        <f>IF(OR(L828="",P828=""),"",IF(COUNTIFS(L$6:L828,L828,P$6:P828,"?*")=1,MAX(AI$5:AI827)+1,""))</f>
        <v/>
      </c>
    </row>
    <row r="829">
      <c r="B829" s="47" t="n"/>
      <c r="C829" s="48" t="n"/>
      <c r="D829" s="48" t="n"/>
      <c r="E829" s="48" t="n"/>
      <c r="F829" s="48" t="n"/>
      <c r="G829" s="49" t="n"/>
      <c r="H829" s="48" t="n"/>
      <c r="I829" s="50" t="n"/>
      <c r="J829" s="48" t="n"/>
      <c r="K829" s="48" t="n"/>
      <c r="L829" s="48" t="n"/>
      <c r="M829" s="48" t="n"/>
      <c r="N829" s="48" t="n"/>
      <c r="O829" s="51">
        <f>IF(AND(B829="",G829="",C829="",D829="",J829=""),"",IF(B829="","⚠ Falta fecha",IF(G829="","⚠ Falta monto",IF(Q829="","⚠ Falta cuenta",IF(ISNA(MATCH(Q829,ctaNombre,0)),"⚠ Cuenta no registrada",IF(AND(OR(P829="Gasto",P829="Reembolso"),D829=""),"⚠ Falta categoría",IF(AND(D829&lt;&gt;"",E829&lt;&gt;"",ISNA(MATCH(D829&amp;"|"&amp;E829,catClave,0))),"⚠ Subcategoría no corresponde",IF(AND(OR(P829="Transferencia",P829="Pago tarjeta"),K829=""),"⚠ Falta cuenta destino",IF(AND(K829&lt;&gt;"",P829&lt;&gt;"Transferencia",P829&lt;&gt;"Pago tarjeta"),"⚠ Destino solo aplica a transferencias",IF(AND(K829&lt;&gt;"",K829=Q829),"⚠ Origen igual a destino",IF(AND(K829&lt;&gt;"",ISNA(MATCH(K829,ctaNombre,0))),"⚠ Destino no registrado",IF(AND(P829="Pago tarjeta",AE829&lt;&gt;"Tarjeta de crédito"),"⚠ El destino debe ser tarjeta de crédito",IF(AND(P829="Gasto",E829="Depósitos y retiros"),"⚠ Usa tipo Transferencia",IF(AND(P829="Resultado trading",AD829&lt;&gt;"Cuenta de trading"),"⚠ Usa una cuenta de trading",IF(AND(G829&lt;=0,P829&lt;&gt;"Ajuste",P829&lt;&gt;"Resultado trading"),"⚠ El monto debe ser positivo","✓")))))))))))))))</f>
        <v/>
      </c>
      <c r="P829" s="52">
        <f>IF(OR(B829="",G829=""),"",IF(C829="","Gasto",C829))</f>
        <v/>
      </c>
      <c r="Q829" s="52">
        <f>IF(P829="","",IF(J829&lt;&gt;"",J829,CuentaPred&amp;""))</f>
        <v/>
      </c>
      <c r="R829" s="52">
        <f>IF(P829="","",IF(ISNUMBER(I829),I829,TasaUSD))</f>
        <v/>
      </c>
      <c r="S829" s="53">
        <f>IF(P829="","",IF(H829="USD",G829*R829,G829))</f>
        <v/>
      </c>
      <c r="T829" s="53">
        <f>IF(P829="","",IF(H829="USD",G829,IF(R829&gt;0,G829/R829,0)))</f>
        <v/>
      </c>
      <c r="U829" s="53">
        <f>IF(P829="","",IF(P829="Gasto",S829,IF(P829="Reembolso",-S829,0)))</f>
        <v/>
      </c>
      <c r="V829" s="53">
        <f>IF(P829="","",IF(P829="Ingreso",S829,0))</f>
        <v/>
      </c>
      <c r="W829" s="53">
        <f>IF(P829="","",IF(P829="Resultado trading",S829,0))</f>
        <v/>
      </c>
      <c r="X829" s="52">
        <f>IF(OR(P829="Gasto",P829="Reembolso"),IF(M829&lt;&gt;"",M829,IFERROR(INDEX(catClasif,MATCH(D829&amp;"|"&amp;E829,catClave,0))&amp;"","Variable")),"")</f>
        <v/>
      </c>
      <c r="Y829" s="52">
        <f>IF(P829="","",IFERROR(INDEX(catGrupo,MATCH(D829&amp;"|"&amp;E829,catClave,0))&amp;"",""))</f>
        <v/>
      </c>
      <c r="Z829" s="52">
        <f>IF(P829="","",WEEKDAY(B829,2))</f>
        <v/>
      </c>
      <c r="AA829" s="52">
        <f>IF(P829="","",IF(AND(P829="Gasto",X829="Variable",D829&lt;&gt;catTrading,S829&gt;0,S829&lt;=Umbral),1,0))</f>
        <v/>
      </c>
      <c r="AB829" s="52">
        <f>IF(OR(P829="",Q829=""),"",IFERROR(IF(INDEX(ctaVinc,MATCH(Q829,ctaNombre,0))&amp;""&lt;&gt;"",INDEX(ctaVinc,MATCH(Q829,ctaNombre,0))&amp;"",Q829),Q829))</f>
        <v/>
      </c>
      <c r="AC829" s="52">
        <f>IF(OR(K829="",AND(P829&lt;&gt;"Transferencia",P829&lt;&gt;"Pago tarjeta")),"",IFERROR(IF(INDEX(ctaVinc,MATCH(K829,ctaNombre,0))&amp;""&lt;&gt;"",INDEX(ctaVinc,MATCH(K829,ctaNombre,0))&amp;"",K829),K829))</f>
        <v/>
      </c>
      <c r="AD829" s="52">
        <f>IF(AB829="","",IFERROR(INDEX(ctaTipo,MATCH(AB829,ctaNombre,0))&amp;"",""))</f>
        <v/>
      </c>
      <c r="AE829" s="52">
        <f>IF(AC829="","",IFERROR(INDEX(ctaTipo,MATCH(AC829,ctaNombre,0))&amp;"",""))</f>
        <v/>
      </c>
      <c r="AF829" s="53">
        <f>IF(OR(P829="",AB829=""),"",IF(OR(P829="Gasto",P829="Transferencia",P829="Pago tarjeta"),-1,1)*IF(IFERROR(INDEX(ctaMoneda,MATCH(AB829,ctaNombre,0))&amp;"","DOP")="USD",T829,S829))</f>
        <v/>
      </c>
      <c r="AG829" s="53">
        <f>IF(AC829="","",IF(IFERROR(INDEX(ctaMoneda,MATCH(AC829,ctaNombre,0))&amp;"","DOP")="USD",T829,S829))</f>
        <v/>
      </c>
      <c r="AH829" s="53">
        <f>IF(P829="","",IF(AND(AD829&lt;&gt;"",COUNTIFS(tcTipo,AD829,tcLiq,"Sí")&gt;0),IF(OR(P829="Gasto",P829="Transferencia",P829="Pago tarjeta"),-1,1)*S829,0)+IF(AND(AE829&lt;&gt;"",COUNTIFS(tcTipo,AE829,tcLiq,"Sí")&gt;0),S829,0))</f>
        <v/>
      </c>
      <c r="AI829" s="52">
        <f>IF(OR(L829="",P829=""),"",IF(COUNTIFS(L$6:L829,L829,P$6:P829,"?*")=1,MAX(AI$5:AI828)+1,""))</f>
        <v/>
      </c>
    </row>
    <row r="830">
      <c r="B830" s="47" t="n"/>
      <c r="C830" s="48" t="n"/>
      <c r="D830" s="48" t="n"/>
      <c r="E830" s="48" t="n"/>
      <c r="F830" s="48" t="n"/>
      <c r="G830" s="49" t="n"/>
      <c r="H830" s="48" t="n"/>
      <c r="I830" s="50" t="n"/>
      <c r="J830" s="48" t="n"/>
      <c r="K830" s="48" t="n"/>
      <c r="L830" s="48" t="n"/>
      <c r="M830" s="48" t="n"/>
      <c r="N830" s="48" t="n"/>
      <c r="O830" s="51">
        <f>IF(AND(B830="",G830="",C830="",D830="",J830=""),"",IF(B830="","⚠ Falta fecha",IF(G830="","⚠ Falta monto",IF(Q830="","⚠ Falta cuenta",IF(ISNA(MATCH(Q830,ctaNombre,0)),"⚠ Cuenta no registrada",IF(AND(OR(P830="Gasto",P830="Reembolso"),D830=""),"⚠ Falta categoría",IF(AND(D830&lt;&gt;"",E830&lt;&gt;"",ISNA(MATCH(D830&amp;"|"&amp;E830,catClave,0))),"⚠ Subcategoría no corresponde",IF(AND(OR(P830="Transferencia",P830="Pago tarjeta"),K830=""),"⚠ Falta cuenta destino",IF(AND(K830&lt;&gt;"",P830&lt;&gt;"Transferencia",P830&lt;&gt;"Pago tarjeta"),"⚠ Destino solo aplica a transferencias",IF(AND(K830&lt;&gt;"",K830=Q830),"⚠ Origen igual a destino",IF(AND(K830&lt;&gt;"",ISNA(MATCH(K830,ctaNombre,0))),"⚠ Destino no registrado",IF(AND(P830="Pago tarjeta",AE830&lt;&gt;"Tarjeta de crédito"),"⚠ El destino debe ser tarjeta de crédito",IF(AND(P830="Gasto",E830="Depósitos y retiros"),"⚠ Usa tipo Transferencia",IF(AND(P830="Resultado trading",AD830&lt;&gt;"Cuenta de trading"),"⚠ Usa una cuenta de trading",IF(AND(G830&lt;=0,P830&lt;&gt;"Ajuste",P830&lt;&gt;"Resultado trading"),"⚠ El monto debe ser positivo","✓")))))))))))))))</f>
        <v/>
      </c>
      <c r="P830" s="52">
        <f>IF(OR(B830="",G830=""),"",IF(C830="","Gasto",C830))</f>
        <v/>
      </c>
      <c r="Q830" s="52">
        <f>IF(P830="","",IF(J830&lt;&gt;"",J830,CuentaPred&amp;""))</f>
        <v/>
      </c>
      <c r="R830" s="52">
        <f>IF(P830="","",IF(ISNUMBER(I830),I830,TasaUSD))</f>
        <v/>
      </c>
      <c r="S830" s="53">
        <f>IF(P830="","",IF(H830="USD",G830*R830,G830))</f>
        <v/>
      </c>
      <c r="T830" s="53">
        <f>IF(P830="","",IF(H830="USD",G830,IF(R830&gt;0,G830/R830,0)))</f>
        <v/>
      </c>
      <c r="U830" s="53">
        <f>IF(P830="","",IF(P830="Gasto",S830,IF(P830="Reembolso",-S830,0)))</f>
        <v/>
      </c>
      <c r="V830" s="53">
        <f>IF(P830="","",IF(P830="Ingreso",S830,0))</f>
        <v/>
      </c>
      <c r="W830" s="53">
        <f>IF(P830="","",IF(P830="Resultado trading",S830,0))</f>
        <v/>
      </c>
      <c r="X830" s="52">
        <f>IF(OR(P830="Gasto",P830="Reembolso"),IF(M830&lt;&gt;"",M830,IFERROR(INDEX(catClasif,MATCH(D830&amp;"|"&amp;E830,catClave,0))&amp;"","Variable")),"")</f>
        <v/>
      </c>
      <c r="Y830" s="52">
        <f>IF(P830="","",IFERROR(INDEX(catGrupo,MATCH(D830&amp;"|"&amp;E830,catClave,0))&amp;"",""))</f>
        <v/>
      </c>
      <c r="Z830" s="52">
        <f>IF(P830="","",WEEKDAY(B830,2))</f>
        <v/>
      </c>
      <c r="AA830" s="52">
        <f>IF(P830="","",IF(AND(P830="Gasto",X830="Variable",D830&lt;&gt;catTrading,S830&gt;0,S830&lt;=Umbral),1,0))</f>
        <v/>
      </c>
      <c r="AB830" s="52">
        <f>IF(OR(P830="",Q830=""),"",IFERROR(IF(INDEX(ctaVinc,MATCH(Q830,ctaNombre,0))&amp;""&lt;&gt;"",INDEX(ctaVinc,MATCH(Q830,ctaNombre,0))&amp;"",Q830),Q830))</f>
        <v/>
      </c>
      <c r="AC830" s="52">
        <f>IF(OR(K830="",AND(P830&lt;&gt;"Transferencia",P830&lt;&gt;"Pago tarjeta")),"",IFERROR(IF(INDEX(ctaVinc,MATCH(K830,ctaNombre,0))&amp;""&lt;&gt;"",INDEX(ctaVinc,MATCH(K830,ctaNombre,0))&amp;"",K830),K830))</f>
        <v/>
      </c>
      <c r="AD830" s="52">
        <f>IF(AB830="","",IFERROR(INDEX(ctaTipo,MATCH(AB830,ctaNombre,0))&amp;"",""))</f>
        <v/>
      </c>
      <c r="AE830" s="52">
        <f>IF(AC830="","",IFERROR(INDEX(ctaTipo,MATCH(AC830,ctaNombre,0))&amp;"",""))</f>
        <v/>
      </c>
      <c r="AF830" s="53">
        <f>IF(OR(P830="",AB830=""),"",IF(OR(P830="Gasto",P830="Transferencia",P830="Pago tarjeta"),-1,1)*IF(IFERROR(INDEX(ctaMoneda,MATCH(AB830,ctaNombre,0))&amp;"","DOP")="USD",T830,S830))</f>
        <v/>
      </c>
      <c r="AG830" s="53">
        <f>IF(AC830="","",IF(IFERROR(INDEX(ctaMoneda,MATCH(AC830,ctaNombre,0))&amp;"","DOP")="USD",T830,S830))</f>
        <v/>
      </c>
      <c r="AH830" s="53">
        <f>IF(P830="","",IF(AND(AD830&lt;&gt;"",COUNTIFS(tcTipo,AD830,tcLiq,"Sí")&gt;0),IF(OR(P830="Gasto",P830="Transferencia",P830="Pago tarjeta"),-1,1)*S830,0)+IF(AND(AE830&lt;&gt;"",COUNTIFS(tcTipo,AE830,tcLiq,"Sí")&gt;0),S830,0))</f>
        <v/>
      </c>
      <c r="AI830" s="52">
        <f>IF(OR(L830="",P830=""),"",IF(COUNTIFS(L$6:L830,L830,P$6:P830,"?*")=1,MAX(AI$5:AI829)+1,""))</f>
        <v/>
      </c>
    </row>
    <row r="831">
      <c r="B831" s="47" t="n"/>
      <c r="C831" s="48" t="n"/>
      <c r="D831" s="48" t="n"/>
      <c r="E831" s="48" t="n"/>
      <c r="F831" s="48" t="n"/>
      <c r="G831" s="49" t="n"/>
      <c r="H831" s="48" t="n"/>
      <c r="I831" s="50" t="n"/>
      <c r="J831" s="48" t="n"/>
      <c r="K831" s="48" t="n"/>
      <c r="L831" s="48" t="n"/>
      <c r="M831" s="48" t="n"/>
      <c r="N831" s="48" t="n"/>
      <c r="O831" s="51">
        <f>IF(AND(B831="",G831="",C831="",D831="",J831=""),"",IF(B831="","⚠ Falta fecha",IF(G831="","⚠ Falta monto",IF(Q831="","⚠ Falta cuenta",IF(ISNA(MATCH(Q831,ctaNombre,0)),"⚠ Cuenta no registrada",IF(AND(OR(P831="Gasto",P831="Reembolso"),D831=""),"⚠ Falta categoría",IF(AND(D831&lt;&gt;"",E831&lt;&gt;"",ISNA(MATCH(D831&amp;"|"&amp;E831,catClave,0))),"⚠ Subcategoría no corresponde",IF(AND(OR(P831="Transferencia",P831="Pago tarjeta"),K831=""),"⚠ Falta cuenta destino",IF(AND(K831&lt;&gt;"",P831&lt;&gt;"Transferencia",P831&lt;&gt;"Pago tarjeta"),"⚠ Destino solo aplica a transferencias",IF(AND(K831&lt;&gt;"",K831=Q831),"⚠ Origen igual a destino",IF(AND(K831&lt;&gt;"",ISNA(MATCH(K831,ctaNombre,0))),"⚠ Destino no registrado",IF(AND(P831="Pago tarjeta",AE831&lt;&gt;"Tarjeta de crédito"),"⚠ El destino debe ser tarjeta de crédito",IF(AND(P831="Gasto",E831="Depósitos y retiros"),"⚠ Usa tipo Transferencia",IF(AND(P831="Resultado trading",AD831&lt;&gt;"Cuenta de trading"),"⚠ Usa una cuenta de trading",IF(AND(G831&lt;=0,P831&lt;&gt;"Ajuste",P831&lt;&gt;"Resultado trading"),"⚠ El monto debe ser positivo","✓")))))))))))))))</f>
        <v/>
      </c>
      <c r="P831" s="52">
        <f>IF(OR(B831="",G831=""),"",IF(C831="","Gasto",C831))</f>
        <v/>
      </c>
      <c r="Q831" s="52">
        <f>IF(P831="","",IF(J831&lt;&gt;"",J831,CuentaPred&amp;""))</f>
        <v/>
      </c>
      <c r="R831" s="52">
        <f>IF(P831="","",IF(ISNUMBER(I831),I831,TasaUSD))</f>
        <v/>
      </c>
      <c r="S831" s="53">
        <f>IF(P831="","",IF(H831="USD",G831*R831,G831))</f>
        <v/>
      </c>
      <c r="T831" s="53">
        <f>IF(P831="","",IF(H831="USD",G831,IF(R831&gt;0,G831/R831,0)))</f>
        <v/>
      </c>
      <c r="U831" s="53">
        <f>IF(P831="","",IF(P831="Gasto",S831,IF(P831="Reembolso",-S831,0)))</f>
        <v/>
      </c>
      <c r="V831" s="53">
        <f>IF(P831="","",IF(P831="Ingreso",S831,0))</f>
        <v/>
      </c>
      <c r="W831" s="53">
        <f>IF(P831="","",IF(P831="Resultado trading",S831,0))</f>
        <v/>
      </c>
      <c r="X831" s="52">
        <f>IF(OR(P831="Gasto",P831="Reembolso"),IF(M831&lt;&gt;"",M831,IFERROR(INDEX(catClasif,MATCH(D831&amp;"|"&amp;E831,catClave,0))&amp;"","Variable")),"")</f>
        <v/>
      </c>
      <c r="Y831" s="52">
        <f>IF(P831="","",IFERROR(INDEX(catGrupo,MATCH(D831&amp;"|"&amp;E831,catClave,0))&amp;"",""))</f>
        <v/>
      </c>
      <c r="Z831" s="52">
        <f>IF(P831="","",WEEKDAY(B831,2))</f>
        <v/>
      </c>
      <c r="AA831" s="52">
        <f>IF(P831="","",IF(AND(P831="Gasto",X831="Variable",D831&lt;&gt;catTrading,S831&gt;0,S831&lt;=Umbral),1,0))</f>
        <v/>
      </c>
      <c r="AB831" s="52">
        <f>IF(OR(P831="",Q831=""),"",IFERROR(IF(INDEX(ctaVinc,MATCH(Q831,ctaNombre,0))&amp;""&lt;&gt;"",INDEX(ctaVinc,MATCH(Q831,ctaNombre,0))&amp;"",Q831),Q831))</f>
        <v/>
      </c>
      <c r="AC831" s="52">
        <f>IF(OR(K831="",AND(P831&lt;&gt;"Transferencia",P831&lt;&gt;"Pago tarjeta")),"",IFERROR(IF(INDEX(ctaVinc,MATCH(K831,ctaNombre,0))&amp;""&lt;&gt;"",INDEX(ctaVinc,MATCH(K831,ctaNombre,0))&amp;"",K831),K831))</f>
        <v/>
      </c>
      <c r="AD831" s="52">
        <f>IF(AB831="","",IFERROR(INDEX(ctaTipo,MATCH(AB831,ctaNombre,0))&amp;"",""))</f>
        <v/>
      </c>
      <c r="AE831" s="52">
        <f>IF(AC831="","",IFERROR(INDEX(ctaTipo,MATCH(AC831,ctaNombre,0))&amp;"",""))</f>
        <v/>
      </c>
      <c r="AF831" s="53">
        <f>IF(OR(P831="",AB831=""),"",IF(OR(P831="Gasto",P831="Transferencia",P831="Pago tarjeta"),-1,1)*IF(IFERROR(INDEX(ctaMoneda,MATCH(AB831,ctaNombre,0))&amp;"","DOP")="USD",T831,S831))</f>
        <v/>
      </c>
      <c r="AG831" s="53">
        <f>IF(AC831="","",IF(IFERROR(INDEX(ctaMoneda,MATCH(AC831,ctaNombre,0))&amp;"","DOP")="USD",T831,S831))</f>
        <v/>
      </c>
      <c r="AH831" s="53">
        <f>IF(P831="","",IF(AND(AD831&lt;&gt;"",COUNTIFS(tcTipo,AD831,tcLiq,"Sí")&gt;0),IF(OR(P831="Gasto",P831="Transferencia",P831="Pago tarjeta"),-1,1)*S831,0)+IF(AND(AE831&lt;&gt;"",COUNTIFS(tcTipo,AE831,tcLiq,"Sí")&gt;0),S831,0))</f>
        <v/>
      </c>
      <c r="AI831" s="52">
        <f>IF(OR(L831="",P831=""),"",IF(COUNTIFS(L$6:L831,L831,P$6:P831,"?*")=1,MAX(AI$5:AI830)+1,""))</f>
        <v/>
      </c>
    </row>
    <row r="832">
      <c r="B832" s="47" t="n"/>
      <c r="C832" s="48" t="n"/>
      <c r="D832" s="48" t="n"/>
      <c r="E832" s="48" t="n"/>
      <c r="F832" s="48" t="n"/>
      <c r="G832" s="49" t="n"/>
      <c r="H832" s="48" t="n"/>
      <c r="I832" s="50" t="n"/>
      <c r="J832" s="48" t="n"/>
      <c r="K832" s="48" t="n"/>
      <c r="L832" s="48" t="n"/>
      <c r="M832" s="48" t="n"/>
      <c r="N832" s="48" t="n"/>
      <c r="O832" s="51">
        <f>IF(AND(B832="",G832="",C832="",D832="",J832=""),"",IF(B832="","⚠ Falta fecha",IF(G832="","⚠ Falta monto",IF(Q832="","⚠ Falta cuenta",IF(ISNA(MATCH(Q832,ctaNombre,0)),"⚠ Cuenta no registrada",IF(AND(OR(P832="Gasto",P832="Reembolso"),D832=""),"⚠ Falta categoría",IF(AND(D832&lt;&gt;"",E832&lt;&gt;"",ISNA(MATCH(D832&amp;"|"&amp;E832,catClave,0))),"⚠ Subcategoría no corresponde",IF(AND(OR(P832="Transferencia",P832="Pago tarjeta"),K832=""),"⚠ Falta cuenta destino",IF(AND(K832&lt;&gt;"",P832&lt;&gt;"Transferencia",P832&lt;&gt;"Pago tarjeta"),"⚠ Destino solo aplica a transferencias",IF(AND(K832&lt;&gt;"",K832=Q832),"⚠ Origen igual a destino",IF(AND(K832&lt;&gt;"",ISNA(MATCH(K832,ctaNombre,0))),"⚠ Destino no registrado",IF(AND(P832="Pago tarjeta",AE832&lt;&gt;"Tarjeta de crédito"),"⚠ El destino debe ser tarjeta de crédito",IF(AND(P832="Gasto",E832="Depósitos y retiros"),"⚠ Usa tipo Transferencia",IF(AND(P832="Resultado trading",AD832&lt;&gt;"Cuenta de trading"),"⚠ Usa una cuenta de trading",IF(AND(G832&lt;=0,P832&lt;&gt;"Ajuste",P832&lt;&gt;"Resultado trading"),"⚠ El monto debe ser positivo","✓")))))))))))))))</f>
        <v/>
      </c>
      <c r="P832" s="52">
        <f>IF(OR(B832="",G832=""),"",IF(C832="","Gasto",C832))</f>
        <v/>
      </c>
      <c r="Q832" s="52">
        <f>IF(P832="","",IF(J832&lt;&gt;"",J832,CuentaPred&amp;""))</f>
        <v/>
      </c>
      <c r="R832" s="52">
        <f>IF(P832="","",IF(ISNUMBER(I832),I832,TasaUSD))</f>
        <v/>
      </c>
      <c r="S832" s="53">
        <f>IF(P832="","",IF(H832="USD",G832*R832,G832))</f>
        <v/>
      </c>
      <c r="T832" s="53">
        <f>IF(P832="","",IF(H832="USD",G832,IF(R832&gt;0,G832/R832,0)))</f>
        <v/>
      </c>
      <c r="U832" s="53">
        <f>IF(P832="","",IF(P832="Gasto",S832,IF(P832="Reembolso",-S832,0)))</f>
        <v/>
      </c>
      <c r="V832" s="53">
        <f>IF(P832="","",IF(P832="Ingreso",S832,0))</f>
        <v/>
      </c>
      <c r="W832" s="53">
        <f>IF(P832="","",IF(P832="Resultado trading",S832,0))</f>
        <v/>
      </c>
      <c r="X832" s="52">
        <f>IF(OR(P832="Gasto",P832="Reembolso"),IF(M832&lt;&gt;"",M832,IFERROR(INDEX(catClasif,MATCH(D832&amp;"|"&amp;E832,catClave,0))&amp;"","Variable")),"")</f>
        <v/>
      </c>
      <c r="Y832" s="52">
        <f>IF(P832="","",IFERROR(INDEX(catGrupo,MATCH(D832&amp;"|"&amp;E832,catClave,0))&amp;"",""))</f>
        <v/>
      </c>
      <c r="Z832" s="52">
        <f>IF(P832="","",WEEKDAY(B832,2))</f>
        <v/>
      </c>
      <c r="AA832" s="52">
        <f>IF(P832="","",IF(AND(P832="Gasto",X832="Variable",D832&lt;&gt;catTrading,S832&gt;0,S832&lt;=Umbral),1,0))</f>
        <v/>
      </c>
      <c r="AB832" s="52">
        <f>IF(OR(P832="",Q832=""),"",IFERROR(IF(INDEX(ctaVinc,MATCH(Q832,ctaNombre,0))&amp;""&lt;&gt;"",INDEX(ctaVinc,MATCH(Q832,ctaNombre,0))&amp;"",Q832),Q832))</f>
        <v/>
      </c>
      <c r="AC832" s="52">
        <f>IF(OR(K832="",AND(P832&lt;&gt;"Transferencia",P832&lt;&gt;"Pago tarjeta")),"",IFERROR(IF(INDEX(ctaVinc,MATCH(K832,ctaNombre,0))&amp;""&lt;&gt;"",INDEX(ctaVinc,MATCH(K832,ctaNombre,0))&amp;"",K832),K832))</f>
        <v/>
      </c>
      <c r="AD832" s="52">
        <f>IF(AB832="","",IFERROR(INDEX(ctaTipo,MATCH(AB832,ctaNombre,0))&amp;"",""))</f>
        <v/>
      </c>
      <c r="AE832" s="52">
        <f>IF(AC832="","",IFERROR(INDEX(ctaTipo,MATCH(AC832,ctaNombre,0))&amp;"",""))</f>
        <v/>
      </c>
      <c r="AF832" s="53">
        <f>IF(OR(P832="",AB832=""),"",IF(OR(P832="Gasto",P832="Transferencia",P832="Pago tarjeta"),-1,1)*IF(IFERROR(INDEX(ctaMoneda,MATCH(AB832,ctaNombre,0))&amp;"","DOP")="USD",T832,S832))</f>
        <v/>
      </c>
      <c r="AG832" s="53">
        <f>IF(AC832="","",IF(IFERROR(INDEX(ctaMoneda,MATCH(AC832,ctaNombre,0))&amp;"","DOP")="USD",T832,S832))</f>
        <v/>
      </c>
      <c r="AH832" s="53">
        <f>IF(P832="","",IF(AND(AD832&lt;&gt;"",COUNTIFS(tcTipo,AD832,tcLiq,"Sí")&gt;0),IF(OR(P832="Gasto",P832="Transferencia",P832="Pago tarjeta"),-1,1)*S832,0)+IF(AND(AE832&lt;&gt;"",COUNTIFS(tcTipo,AE832,tcLiq,"Sí")&gt;0),S832,0))</f>
        <v/>
      </c>
      <c r="AI832" s="52">
        <f>IF(OR(L832="",P832=""),"",IF(COUNTIFS(L$6:L832,L832,P$6:P832,"?*")=1,MAX(AI$5:AI831)+1,""))</f>
        <v/>
      </c>
    </row>
    <row r="833">
      <c r="B833" s="47" t="n"/>
      <c r="C833" s="48" t="n"/>
      <c r="D833" s="48" t="n"/>
      <c r="E833" s="48" t="n"/>
      <c r="F833" s="48" t="n"/>
      <c r="G833" s="49" t="n"/>
      <c r="H833" s="48" t="n"/>
      <c r="I833" s="50" t="n"/>
      <c r="J833" s="48" t="n"/>
      <c r="K833" s="48" t="n"/>
      <c r="L833" s="48" t="n"/>
      <c r="M833" s="48" t="n"/>
      <c r="N833" s="48" t="n"/>
      <c r="O833" s="51">
        <f>IF(AND(B833="",G833="",C833="",D833="",J833=""),"",IF(B833="","⚠ Falta fecha",IF(G833="","⚠ Falta monto",IF(Q833="","⚠ Falta cuenta",IF(ISNA(MATCH(Q833,ctaNombre,0)),"⚠ Cuenta no registrada",IF(AND(OR(P833="Gasto",P833="Reembolso"),D833=""),"⚠ Falta categoría",IF(AND(D833&lt;&gt;"",E833&lt;&gt;"",ISNA(MATCH(D833&amp;"|"&amp;E833,catClave,0))),"⚠ Subcategoría no corresponde",IF(AND(OR(P833="Transferencia",P833="Pago tarjeta"),K833=""),"⚠ Falta cuenta destino",IF(AND(K833&lt;&gt;"",P833&lt;&gt;"Transferencia",P833&lt;&gt;"Pago tarjeta"),"⚠ Destino solo aplica a transferencias",IF(AND(K833&lt;&gt;"",K833=Q833),"⚠ Origen igual a destino",IF(AND(K833&lt;&gt;"",ISNA(MATCH(K833,ctaNombre,0))),"⚠ Destino no registrado",IF(AND(P833="Pago tarjeta",AE833&lt;&gt;"Tarjeta de crédito"),"⚠ El destino debe ser tarjeta de crédito",IF(AND(P833="Gasto",E833="Depósitos y retiros"),"⚠ Usa tipo Transferencia",IF(AND(P833="Resultado trading",AD833&lt;&gt;"Cuenta de trading"),"⚠ Usa una cuenta de trading",IF(AND(G833&lt;=0,P833&lt;&gt;"Ajuste",P833&lt;&gt;"Resultado trading"),"⚠ El monto debe ser positivo","✓")))))))))))))))</f>
        <v/>
      </c>
      <c r="P833" s="52">
        <f>IF(OR(B833="",G833=""),"",IF(C833="","Gasto",C833))</f>
        <v/>
      </c>
      <c r="Q833" s="52">
        <f>IF(P833="","",IF(J833&lt;&gt;"",J833,CuentaPred&amp;""))</f>
        <v/>
      </c>
      <c r="R833" s="52">
        <f>IF(P833="","",IF(ISNUMBER(I833),I833,TasaUSD))</f>
        <v/>
      </c>
      <c r="S833" s="53">
        <f>IF(P833="","",IF(H833="USD",G833*R833,G833))</f>
        <v/>
      </c>
      <c r="T833" s="53">
        <f>IF(P833="","",IF(H833="USD",G833,IF(R833&gt;0,G833/R833,0)))</f>
        <v/>
      </c>
      <c r="U833" s="53">
        <f>IF(P833="","",IF(P833="Gasto",S833,IF(P833="Reembolso",-S833,0)))</f>
        <v/>
      </c>
      <c r="V833" s="53">
        <f>IF(P833="","",IF(P833="Ingreso",S833,0))</f>
        <v/>
      </c>
      <c r="W833" s="53">
        <f>IF(P833="","",IF(P833="Resultado trading",S833,0))</f>
        <v/>
      </c>
      <c r="X833" s="52">
        <f>IF(OR(P833="Gasto",P833="Reembolso"),IF(M833&lt;&gt;"",M833,IFERROR(INDEX(catClasif,MATCH(D833&amp;"|"&amp;E833,catClave,0))&amp;"","Variable")),"")</f>
        <v/>
      </c>
      <c r="Y833" s="52">
        <f>IF(P833="","",IFERROR(INDEX(catGrupo,MATCH(D833&amp;"|"&amp;E833,catClave,0))&amp;"",""))</f>
        <v/>
      </c>
      <c r="Z833" s="52">
        <f>IF(P833="","",WEEKDAY(B833,2))</f>
        <v/>
      </c>
      <c r="AA833" s="52">
        <f>IF(P833="","",IF(AND(P833="Gasto",X833="Variable",D833&lt;&gt;catTrading,S833&gt;0,S833&lt;=Umbral),1,0))</f>
        <v/>
      </c>
      <c r="AB833" s="52">
        <f>IF(OR(P833="",Q833=""),"",IFERROR(IF(INDEX(ctaVinc,MATCH(Q833,ctaNombre,0))&amp;""&lt;&gt;"",INDEX(ctaVinc,MATCH(Q833,ctaNombre,0))&amp;"",Q833),Q833))</f>
        <v/>
      </c>
      <c r="AC833" s="52">
        <f>IF(OR(K833="",AND(P833&lt;&gt;"Transferencia",P833&lt;&gt;"Pago tarjeta")),"",IFERROR(IF(INDEX(ctaVinc,MATCH(K833,ctaNombre,0))&amp;""&lt;&gt;"",INDEX(ctaVinc,MATCH(K833,ctaNombre,0))&amp;"",K833),K833))</f>
        <v/>
      </c>
      <c r="AD833" s="52">
        <f>IF(AB833="","",IFERROR(INDEX(ctaTipo,MATCH(AB833,ctaNombre,0))&amp;"",""))</f>
        <v/>
      </c>
      <c r="AE833" s="52">
        <f>IF(AC833="","",IFERROR(INDEX(ctaTipo,MATCH(AC833,ctaNombre,0))&amp;"",""))</f>
        <v/>
      </c>
      <c r="AF833" s="53">
        <f>IF(OR(P833="",AB833=""),"",IF(OR(P833="Gasto",P833="Transferencia",P833="Pago tarjeta"),-1,1)*IF(IFERROR(INDEX(ctaMoneda,MATCH(AB833,ctaNombre,0))&amp;"","DOP")="USD",T833,S833))</f>
        <v/>
      </c>
      <c r="AG833" s="53">
        <f>IF(AC833="","",IF(IFERROR(INDEX(ctaMoneda,MATCH(AC833,ctaNombre,0))&amp;"","DOP")="USD",T833,S833))</f>
        <v/>
      </c>
      <c r="AH833" s="53">
        <f>IF(P833="","",IF(AND(AD833&lt;&gt;"",COUNTIFS(tcTipo,AD833,tcLiq,"Sí")&gt;0),IF(OR(P833="Gasto",P833="Transferencia",P833="Pago tarjeta"),-1,1)*S833,0)+IF(AND(AE833&lt;&gt;"",COUNTIFS(tcTipo,AE833,tcLiq,"Sí")&gt;0),S833,0))</f>
        <v/>
      </c>
      <c r="AI833" s="52">
        <f>IF(OR(L833="",P833=""),"",IF(COUNTIFS(L$6:L833,L833,P$6:P833,"?*")=1,MAX(AI$5:AI832)+1,""))</f>
        <v/>
      </c>
    </row>
    <row r="834">
      <c r="B834" s="47" t="n"/>
      <c r="C834" s="48" t="n"/>
      <c r="D834" s="48" t="n"/>
      <c r="E834" s="48" t="n"/>
      <c r="F834" s="48" t="n"/>
      <c r="G834" s="49" t="n"/>
      <c r="H834" s="48" t="n"/>
      <c r="I834" s="50" t="n"/>
      <c r="J834" s="48" t="n"/>
      <c r="K834" s="48" t="n"/>
      <c r="L834" s="48" t="n"/>
      <c r="M834" s="48" t="n"/>
      <c r="N834" s="48" t="n"/>
      <c r="O834" s="51">
        <f>IF(AND(B834="",G834="",C834="",D834="",J834=""),"",IF(B834="","⚠ Falta fecha",IF(G834="","⚠ Falta monto",IF(Q834="","⚠ Falta cuenta",IF(ISNA(MATCH(Q834,ctaNombre,0)),"⚠ Cuenta no registrada",IF(AND(OR(P834="Gasto",P834="Reembolso"),D834=""),"⚠ Falta categoría",IF(AND(D834&lt;&gt;"",E834&lt;&gt;"",ISNA(MATCH(D834&amp;"|"&amp;E834,catClave,0))),"⚠ Subcategoría no corresponde",IF(AND(OR(P834="Transferencia",P834="Pago tarjeta"),K834=""),"⚠ Falta cuenta destino",IF(AND(K834&lt;&gt;"",P834&lt;&gt;"Transferencia",P834&lt;&gt;"Pago tarjeta"),"⚠ Destino solo aplica a transferencias",IF(AND(K834&lt;&gt;"",K834=Q834),"⚠ Origen igual a destino",IF(AND(K834&lt;&gt;"",ISNA(MATCH(K834,ctaNombre,0))),"⚠ Destino no registrado",IF(AND(P834="Pago tarjeta",AE834&lt;&gt;"Tarjeta de crédito"),"⚠ El destino debe ser tarjeta de crédito",IF(AND(P834="Gasto",E834="Depósitos y retiros"),"⚠ Usa tipo Transferencia",IF(AND(P834="Resultado trading",AD834&lt;&gt;"Cuenta de trading"),"⚠ Usa una cuenta de trading",IF(AND(G834&lt;=0,P834&lt;&gt;"Ajuste",P834&lt;&gt;"Resultado trading"),"⚠ El monto debe ser positivo","✓")))))))))))))))</f>
        <v/>
      </c>
      <c r="P834" s="52">
        <f>IF(OR(B834="",G834=""),"",IF(C834="","Gasto",C834))</f>
        <v/>
      </c>
      <c r="Q834" s="52">
        <f>IF(P834="","",IF(J834&lt;&gt;"",J834,CuentaPred&amp;""))</f>
        <v/>
      </c>
      <c r="R834" s="52">
        <f>IF(P834="","",IF(ISNUMBER(I834),I834,TasaUSD))</f>
        <v/>
      </c>
      <c r="S834" s="53">
        <f>IF(P834="","",IF(H834="USD",G834*R834,G834))</f>
        <v/>
      </c>
      <c r="T834" s="53">
        <f>IF(P834="","",IF(H834="USD",G834,IF(R834&gt;0,G834/R834,0)))</f>
        <v/>
      </c>
      <c r="U834" s="53">
        <f>IF(P834="","",IF(P834="Gasto",S834,IF(P834="Reembolso",-S834,0)))</f>
        <v/>
      </c>
      <c r="V834" s="53">
        <f>IF(P834="","",IF(P834="Ingreso",S834,0))</f>
        <v/>
      </c>
      <c r="W834" s="53">
        <f>IF(P834="","",IF(P834="Resultado trading",S834,0))</f>
        <v/>
      </c>
      <c r="X834" s="52">
        <f>IF(OR(P834="Gasto",P834="Reembolso"),IF(M834&lt;&gt;"",M834,IFERROR(INDEX(catClasif,MATCH(D834&amp;"|"&amp;E834,catClave,0))&amp;"","Variable")),"")</f>
        <v/>
      </c>
      <c r="Y834" s="52">
        <f>IF(P834="","",IFERROR(INDEX(catGrupo,MATCH(D834&amp;"|"&amp;E834,catClave,0))&amp;"",""))</f>
        <v/>
      </c>
      <c r="Z834" s="52">
        <f>IF(P834="","",WEEKDAY(B834,2))</f>
        <v/>
      </c>
      <c r="AA834" s="52">
        <f>IF(P834="","",IF(AND(P834="Gasto",X834="Variable",D834&lt;&gt;catTrading,S834&gt;0,S834&lt;=Umbral),1,0))</f>
        <v/>
      </c>
      <c r="AB834" s="52">
        <f>IF(OR(P834="",Q834=""),"",IFERROR(IF(INDEX(ctaVinc,MATCH(Q834,ctaNombre,0))&amp;""&lt;&gt;"",INDEX(ctaVinc,MATCH(Q834,ctaNombre,0))&amp;"",Q834),Q834))</f>
        <v/>
      </c>
      <c r="AC834" s="52">
        <f>IF(OR(K834="",AND(P834&lt;&gt;"Transferencia",P834&lt;&gt;"Pago tarjeta")),"",IFERROR(IF(INDEX(ctaVinc,MATCH(K834,ctaNombre,0))&amp;""&lt;&gt;"",INDEX(ctaVinc,MATCH(K834,ctaNombre,0))&amp;"",K834),K834))</f>
        <v/>
      </c>
      <c r="AD834" s="52">
        <f>IF(AB834="","",IFERROR(INDEX(ctaTipo,MATCH(AB834,ctaNombre,0))&amp;"",""))</f>
        <v/>
      </c>
      <c r="AE834" s="52">
        <f>IF(AC834="","",IFERROR(INDEX(ctaTipo,MATCH(AC834,ctaNombre,0))&amp;"",""))</f>
        <v/>
      </c>
      <c r="AF834" s="53">
        <f>IF(OR(P834="",AB834=""),"",IF(OR(P834="Gasto",P834="Transferencia",P834="Pago tarjeta"),-1,1)*IF(IFERROR(INDEX(ctaMoneda,MATCH(AB834,ctaNombre,0))&amp;"","DOP")="USD",T834,S834))</f>
        <v/>
      </c>
      <c r="AG834" s="53">
        <f>IF(AC834="","",IF(IFERROR(INDEX(ctaMoneda,MATCH(AC834,ctaNombre,0))&amp;"","DOP")="USD",T834,S834))</f>
        <v/>
      </c>
      <c r="AH834" s="53">
        <f>IF(P834="","",IF(AND(AD834&lt;&gt;"",COUNTIFS(tcTipo,AD834,tcLiq,"Sí")&gt;0),IF(OR(P834="Gasto",P834="Transferencia",P834="Pago tarjeta"),-1,1)*S834,0)+IF(AND(AE834&lt;&gt;"",COUNTIFS(tcTipo,AE834,tcLiq,"Sí")&gt;0),S834,0))</f>
        <v/>
      </c>
      <c r="AI834" s="52">
        <f>IF(OR(L834="",P834=""),"",IF(COUNTIFS(L$6:L834,L834,P$6:P834,"?*")=1,MAX(AI$5:AI833)+1,""))</f>
        <v/>
      </c>
    </row>
    <row r="835">
      <c r="B835" s="47" t="n"/>
      <c r="C835" s="48" t="n"/>
      <c r="D835" s="48" t="n"/>
      <c r="E835" s="48" t="n"/>
      <c r="F835" s="48" t="n"/>
      <c r="G835" s="49" t="n"/>
      <c r="H835" s="48" t="n"/>
      <c r="I835" s="50" t="n"/>
      <c r="J835" s="48" t="n"/>
      <c r="K835" s="48" t="n"/>
      <c r="L835" s="48" t="n"/>
      <c r="M835" s="48" t="n"/>
      <c r="N835" s="48" t="n"/>
      <c r="O835" s="51">
        <f>IF(AND(B835="",G835="",C835="",D835="",J835=""),"",IF(B835="","⚠ Falta fecha",IF(G835="","⚠ Falta monto",IF(Q835="","⚠ Falta cuenta",IF(ISNA(MATCH(Q835,ctaNombre,0)),"⚠ Cuenta no registrada",IF(AND(OR(P835="Gasto",P835="Reembolso"),D835=""),"⚠ Falta categoría",IF(AND(D835&lt;&gt;"",E835&lt;&gt;"",ISNA(MATCH(D835&amp;"|"&amp;E835,catClave,0))),"⚠ Subcategoría no corresponde",IF(AND(OR(P835="Transferencia",P835="Pago tarjeta"),K835=""),"⚠ Falta cuenta destino",IF(AND(K835&lt;&gt;"",P835&lt;&gt;"Transferencia",P835&lt;&gt;"Pago tarjeta"),"⚠ Destino solo aplica a transferencias",IF(AND(K835&lt;&gt;"",K835=Q835),"⚠ Origen igual a destino",IF(AND(K835&lt;&gt;"",ISNA(MATCH(K835,ctaNombre,0))),"⚠ Destino no registrado",IF(AND(P835="Pago tarjeta",AE835&lt;&gt;"Tarjeta de crédito"),"⚠ El destino debe ser tarjeta de crédito",IF(AND(P835="Gasto",E835="Depósitos y retiros"),"⚠ Usa tipo Transferencia",IF(AND(P835="Resultado trading",AD835&lt;&gt;"Cuenta de trading"),"⚠ Usa una cuenta de trading",IF(AND(G835&lt;=0,P835&lt;&gt;"Ajuste",P835&lt;&gt;"Resultado trading"),"⚠ El monto debe ser positivo","✓")))))))))))))))</f>
        <v/>
      </c>
      <c r="P835" s="52">
        <f>IF(OR(B835="",G835=""),"",IF(C835="","Gasto",C835))</f>
        <v/>
      </c>
      <c r="Q835" s="52">
        <f>IF(P835="","",IF(J835&lt;&gt;"",J835,CuentaPred&amp;""))</f>
        <v/>
      </c>
      <c r="R835" s="52">
        <f>IF(P835="","",IF(ISNUMBER(I835),I835,TasaUSD))</f>
        <v/>
      </c>
      <c r="S835" s="53">
        <f>IF(P835="","",IF(H835="USD",G835*R835,G835))</f>
        <v/>
      </c>
      <c r="T835" s="53">
        <f>IF(P835="","",IF(H835="USD",G835,IF(R835&gt;0,G835/R835,0)))</f>
        <v/>
      </c>
      <c r="U835" s="53">
        <f>IF(P835="","",IF(P835="Gasto",S835,IF(P835="Reembolso",-S835,0)))</f>
        <v/>
      </c>
      <c r="V835" s="53">
        <f>IF(P835="","",IF(P835="Ingreso",S835,0))</f>
        <v/>
      </c>
      <c r="W835" s="53">
        <f>IF(P835="","",IF(P835="Resultado trading",S835,0))</f>
        <v/>
      </c>
      <c r="X835" s="52">
        <f>IF(OR(P835="Gasto",P835="Reembolso"),IF(M835&lt;&gt;"",M835,IFERROR(INDEX(catClasif,MATCH(D835&amp;"|"&amp;E835,catClave,0))&amp;"","Variable")),"")</f>
        <v/>
      </c>
      <c r="Y835" s="52">
        <f>IF(P835="","",IFERROR(INDEX(catGrupo,MATCH(D835&amp;"|"&amp;E835,catClave,0))&amp;"",""))</f>
        <v/>
      </c>
      <c r="Z835" s="52">
        <f>IF(P835="","",WEEKDAY(B835,2))</f>
        <v/>
      </c>
      <c r="AA835" s="52">
        <f>IF(P835="","",IF(AND(P835="Gasto",X835="Variable",D835&lt;&gt;catTrading,S835&gt;0,S835&lt;=Umbral),1,0))</f>
        <v/>
      </c>
      <c r="AB835" s="52">
        <f>IF(OR(P835="",Q835=""),"",IFERROR(IF(INDEX(ctaVinc,MATCH(Q835,ctaNombre,0))&amp;""&lt;&gt;"",INDEX(ctaVinc,MATCH(Q835,ctaNombre,0))&amp;"",Q835),Q835))</f>
        <v/>
      </c>
      <c r="AC835" s="52">
        <f>IF(OR(K835="",AND(P835&lt;&gt;"Transferencia",P835&lt;&gt;"Pago tarjeta")),"",IFERROR(IF(INDEX(ctaVinc,MATCH(K835,ctaNombre,0))&amp;""&lt;&gt;"",INDEX(ctaVinc,MATCH(K835,ctaNombre,0))&amp;"",K835),K835))</f>
        <v/>
      </c>
      <c r="AD835" s="52">
        <f>IF(AB835="","",IFERROR(INDEX(ctaTipo,MATCH(AB835,ctaNombre,0))&amp;"",""))</f>
        <v/>
      </c>
      <c r="AE835" s="52">
        <f>IF(AC835="","",IFERROR(INDEX(ctaTipo,MATCH(AC835,ctaNombre,0))&amp;"",""))</f>
        <v/>
      </c>
      <c r="AF835" s="53">
        <f>IF(OR(P835="",AB835=""),"",IF(OR(P835="Gasto",P835="Transferencia",P835="Pago tarjeta"),-1,1)*IF(IFERROR(INDEX(ctaMoneda,MATCH(AB835,ctaNombre,0))&amp;"","DOP")="USD",T835,S835))</f>
        <v/>
      </c>
      <c r="AG835" s="53">
        <f>IF(AC835="","",IF(IFERROR(INDEX(ctaMoneda,MATCH(AC835,ctaNombre,0))&amp;"","DOP")="USD",T835,S835))</f>
        <v/>
      </c>
      <c r="AH835" s="53">
        <f>IF(P835="","",IF(AND(AD835&lt;&gt;"",COUNTIFS(tcTipo,AD835,tcLiq,"Sí")&gt;0),IF(OR(P835="Gasto",P835="Transferencia",P835="Pago tarjeta"),-1,1)*S835,0)+IF(AND(AE835&lt;&gt;"",COUNTIFS(tcTipo,AE835,tcLiq,"Sí")&gt;0),S835,0))</f>
        <v/>
      </c>
      <c r="AI835" s="52">
        <f>IF(OR(L835="",P835=""),"",IF(COUNTIFS(L$6:L835,L835,P$6:P835,"?*")=1,MAX(AI$5:AI834)+1,""))</f>
        <v/>
      </c>
    </row>
    <row r="836">
      <c r="B836" s="47" t="n"/>
      <c r="C836" s="48" t="n"/>
      <c r="D836" s="48" t="n"/>
      <c r="E836" s="48" t="n"/>
      <c r="F836" s="48" t="n"/>
      <c r="G836" s="49" t="n"/>
      <c r="H836" s="48" t="n"/>
      <c r="I836" s="50" t="n"/>
      <c r="J836" s="48" t="n"/>
      <c r="K836" s="48" t="n"/>
      <c r="L836" s="48" t="n"/>
      <c r="M836" s="48" t="n"/>
      <c r="N836" s="48" t="n"/>
      <c r="O836" s="51">
        <f>IF(AND(B836="",G836="",C836="",D836="",J836=""),"",IF(B836="","⚠ Falta fecha",IF(G836="","⚠ Falta monto",IF(Q836="","⚠ Falta cuenta",IF(ISNA(MATCH(Q836,ctaNombre,0)),"⚠ Cuenta no registrada",IF(AND(OR(P836="Gasto",P836="Reembolso"),D836=""),"⚠ Falta categoría",IF(AND(D836&lt;&gt;"",E836&lt;&gt;"",ISNA(MATCH(D836&amp;"|"&amp;E836,catClave,0))),"⚠ Subcategoría no corresponde",IF(AND(OR(P836="Transferencia",P836="Pago tarjeta"),K836=""),"⚠ Falta cuenta destino",IF(AND(K836&lt;&gt;"",P836&lt;&gt;"Transferencia",P836&lt;&gt;"Pago tarjeta"),"⚠ Destino solo aplica a transferencias",IF(AND(K836&lt;&gt;"",K836=Q836),"⚠ Origen igual a destino",IF(AND(K836&lt;&gt;"",ISNA(MATCH(K836,ctaNombre,0))),"⚠ Destino no registrado",IF(AND(P836="Pago tarjeta",AE836&lt;&gt;"Tarjeta de crédito"),"⚠ El destino debe ser tarjeta de crédito",IF(AND(P836="Gasto",E836="Depósitos y retiros"),"⚠ Usa tipo Transferencia",IF(AND(P836="Resultado trading",AD836&lt;&gt;"Cuenta de trading"),"⚠ Usa una cuenta de trading",IF(AND(G836&lt;=0,P836&lt;&gt;"Ajuste",P836&lt;&gt;"Resultado trading"),"⚠ El monto debe ser positivo","✓")))))))))))))))</f>
        <v/>
      </c>
      <c r="P836" s="52">
        <f>IF(OR(B836="",G836=""),"",IF(C836="","Gasto",C836))</f>
        <v/>
      </c>
      <c r="Q836" s="52">
        <f>IF(P836="","",IF(J836&lt;&gt;"",J836,CuentaPred&amp;""))</f>
        <v/>
      </c>
      <c r="R836" s="52">
        <f>IF(P836="","",IF(ISNUMBER(I836),I836,TasaUSD))</f>
        <v/>
      </c>
      <c r="S836" s="53">
        <f>IF(P836="","",IF(H836="USD",G836*R836,G836))</f>
        <v/>
      </c>
      <c r="T836" s="53">
        <f>IF(P836="","",IF(H836="USD",G836,IF(R836&gt;0,G836/R836,0)))</f>
        <v/>
      </c>
      <c r="U836" s="53">
        <f>IF(P836="","",IF(P836="Gasto",S836,IF(P836="Reembolso",-S836,0)))</f>
        <v/>
      </c>
      <c r="V836" s="53">
        <f>IF(P836="","",IF(P836="Ingreso",S836,0))</f>
        <v/>
      </c>
      <c r="W836" s="53">
        <f>IF(P836="","",IF(P836="Resultado trading",S836,0))</f>
        <v/>
      </c>
      <c r="X836" s="52">
        <f>IF(OR(P836="Gasto",P836="Reembolso"),IF(M836&lt;&gt;"",M836,IFERROR(INDEX(catClasif,MATCH(D836&amp;"|"&amp;E836,catClave,0))&amp;"","Variable")),"")</f>
        <v/>
      </c>
      <c r="Y836" s="52">
        <f>IF(P836="","",IFERROR(INDEX(catGrupo,MATCH(D836&amp;"|"&amp;E836,catClave,0))&amp;"",""))</f>
        <v/>
      </c>
      <c r="Z836" s="52">
        <f>IF(P836="","",WEEKDAY(B836,2))</f>
        <v/>
      </c>
      <c r="AA836" s="52">
        <f>IF(P836="","",IF(AND(P836="Gasto",X836="Variable",D836&lt;&gt;catTrading,S836&gt;0,S836&lt;=Umbral),1,0))</f>
        <v/>
      </c>
      <c r="AB836" s="52">
        <f>IF(OR(P836="",Q836=""),"",IFERROR(IF(INDEX(ctaVinc,MATCH(Q836,ctaNombre,0))&amp;""&lt;&gt;"",INDEX(ctaVinc,MATCH(Q836,ctaNombre,0))&amp;"",Q836),Q836))</f>
        <v/>
      </c>
      <c r="AC836" s="52">
        <f>IF(OR(K836="",AND(P836&lt;&gt;"Transferencia",P836&lt;&gt;"Pago tarjeta")),"",IFERROR(IF(INDEX(ctaVinc,MATCH(K836,ctaNombre,0))&amp;""&lt;&gt;"",INDEX(ctaVinc,MATCH(K836,ctaNombre,0))&amp;"",K836),K836))</f>
        <v/>
      </c>
      <c r="AD836" s="52">
        <f>IF(AB836="","",IFERROR(INDEX(ctaTipo,MATCH(AB836,ctaNombre,0))&amp;"",""))</f>
        <v/>
      </c>
      <c r="AE836" s="52">
        <f>IF(AC836="","",IFERROR(INDEX(ctaTipo,MATCH(AC836,ctaNombre,0))&amp;"",""))</f>
        <v/>
      </c>
      <c r="AF836" s="53">
        <f>IF(OR(P836="",AB836=""),"",IF(OR(P836="Gasto",P836="Transferencia",P836="Pago tarjeta"),-1,1)*IF(IFERROR(INDEX(ctaMoneda,MATCH(AB836,ctaNombre,0))&amp;"","DOP")="USD",T836,S836))</f>
        <v/>
      </c>
      <c r="AG836" s="53">
        <f>IF(AC836="","",IF(IFERROR(INDEX(ctaMoneda,MATCH(AC836,ctaNombre,0))&amp;"","DOP")="USD",T836,S836))</f>
        <v/>
      </c>
      <c r="AH836" s="53">
        <f>IF(P836="","",IF(AND(AD836&lt;&gt;"",COUNTIFS(tcTipo,AD836,tcLiq,"Sí")&gt;0),IF(OR(P836="Gasto",P836="Transferencia",P836="Pago tarjeta"),-1,1)*S836,0)+IF(AND(AE836&lt;&gt;"",COUNTIFS(tcTipo,AE836,tcLiq,"Sí")&gt;0),S836,0))</f>
        <v/>
      </c>
      <c r="AI836" s="52">
        <f>IF(OR(L836="",P836=""),"",IF(COUNTIFS(L$6:L836,L836,P$6:P836,"?*")=1,MAX(AI$5:AI835)+1,""))</f>
        <v/>
      </c>
    </row>
    <row r="837">
      <c r="B837" s="47" t="n"/>
      <c r="C837" s="48" t="n"/>
      <c r="D837" s="48" t="n"/>
      <c r="E837" s="48" t="n"/>
      <c r="F837" s="48" t="n"/>
      <c r="G837" s="49" t="n"/>
      <c r="H837" s="48" t="n"/>
      <c r="I837" s="50" t="n"/>
      <c r="J837" s="48" t="n"/>
      <c r="K837" s="48" t="n"/>
      <c r="L837" s="48" t="n"/>
      <c r="M837" s="48" t="n"/>
      <c r="N837" s="48" t="n"/>
      <c r="O837" s="51">
        <f>IF(AND(B837="",G837="",C837="",D837="",J837=""),"",IF(B837="","⚠ Falta fecha",IF(G837="","⚠ Falta monto",IF(Q837="","⚠ Falta cuenta",IF(ISNA(MATCH(Q837,ctaNombre,0)),"⚠ Cuenta no registrada",IF(AND(OR(P837="Gasto",P837="Reembolso"),D837=""),"⚠ Falta categoría",IF(AND(D837&lt;&gt;"",E837&lt;&gt;"",ISNA(MATCH(D837&amp;"|"&amp;E837,catClave,0))),"⚠ Subcategoría no corresponde",IF(AND(OR(P837="Transferencia",P837="Pago tarjeta"),K837=""),"⚠ Falta cuenta destino",IF(AND(K837&lt;&gt;"",P837&lt;&gt;"Transferencia",P837&lt;&gt;"Pago tarjeta"),"⚠ Destino solo aplica a transferencias",IF(AND(K837&lt;&gt;"",K837=Q837),"⚠ Origen igual a destino",IF(AND(K837&lt;&gt;"",ISNA(MATCH(K837,ctaNombre,0))),"⚠ Destino no registrado",IF(AND(P837="Pago tarjeta",AE837&lt;&gt;"Tarjeta de crédito"),"⚠ El destino debe ser tarjeta de crédito",IF(AND(P837="Gasto",E837="Depósitos y retiros"),"⚠ Usa tipo Transferencia",IF(AND(P837="Resultado trading",AD837&lt;&gt;"Cuenta de trading"),"⚠ Usa una cuenta de trading",IF(AND(G837&lt;=0,P837&lt;&gt;"Ajuste",P837&lt;&gt;"Resultado trading"),"⚠ El monto debe ser positivo","✓")))))))))))))))</f>
        <v/>
      </c>
      <c r="P837" s="52">
        <f>IF(OR(B837="",G837=""),"",IF(C837="","Gasto",C837))</f>
        <v/>
      </c>
      <c r="Q837" s="52">
        <f>IF(P837="","",IF(J837&lt;&gt;"",J837,CuentaPred&amp;""))</f>
        <v/>
      </c>
      <c r="R837" s="52">
        <f>IF(P837="","",IF(ISNUMBER(I837),I837,TasaUSD))</f>
        <v/>
      </c>
      <c r="S837" s="53">
        <f>IF(P837="","",IF(H837="USD",G837*R837,G837))</f>
        <v/>
      </c>
      <c r="T837" s="53">
        <f>IF(P837="","",IF(H837="USD",G837,IF(R837&gt;0,G837/R837,0)))</f>
        <v/>
      </c>
      <c r="U837" s="53">
        <f>IF(P837="","",IF(P837="Gasto",S837,IF(P837="Reembolso",-S837,0)))</f>
        <v/>
      </c>
      <c r="V837" s="53">
        <f>IF(P837="","",IF(P837="Ingreso",S837,0))</f>
        <v/>
      </c>
      <c r="W837" s="53">
        <f>IF(P837="","",IF(P837="Resultado trading",S837,0))</f>
        <v/>
      </c>
      <c r="X837" s="52">
        <f>IF(OR(P837="Gasto",P837="Reembolso"),IF(M837&lt;&gt;"",M837,IFERROR(INDEX(catClasif,MATCH(D837&amp;"|"&amp;E837,catClave,0))&amp;"","Variable")),"")</f>
        <v/>
      </c>
      <c r="Y837" s="52">
        <f>IF(P837="","",IFERROR(INDEX(catGrupo,MATCH(D837&amp;"|"&amp;E837,catClave,0))&amp;"",""))</f>
        <v/>
      </c>
      <c r="Z837" s="52">
        <f>IF(P837="","",WEEKDAY(B837,2))</f>
        <v/>
      </c>
      <c r="AA837" s="52">
        <f>IF(P837="","",IF(AND(P837="Gasto",X837="Variable",D837&lt;&gt;catTrading,S837&gt;0,S837&lt;=Umbral),1,0))</f>
        <v/>
      </c>
      <c r="AB837" s="52">
        <f>IF(OR(P837="",Q837=""),"",IFERROR(IF(INDEX(ctaVinc,MATCH(Q837,ctaNombre,0))&amp;""&lt;&gt;"",INDEX(ctaVinc,MATCH(Q837,ctaNombre,0))&amp;"",Q837),Q837))</f>
        <v/>
      </c>
      <c r="AC837" s="52">
        <f>IF(OR(K837="",AND(P837&lt;&gt;"Transferencia",P837&lt;&gt;"Pago tarjeta")),"",IFERROR(IF(INDEX(ctaVinc,MATCH(K837,ctaNombre,0))&amp;""&lt;&gt;"",INDEX(ctaVinc,MATCH(K837,ctaNombre,0))&amp;"",K837),K837))</f>
        <v/>
      </c>
      <c r="AD837" s="52">
        <f>IF(AB837="","",IFERROR(INDEX(ctaTipo,MATCH(AB837,ctaNombre,0))&amp;"",""))</f>
        <v/>
      </c>
      <c r="AE837" s="52">
        <f>IF(AC837="","",IFERROR(INDEX(ctaTipo,MATCH(AC837,ctaNombre,0))&amp;"",""))</f>
        <v/>
      </c>
      <c r="AF837" s="53">
        <f>IF(OR(P837="",AB837=""),"",IF(OR(P837="Gasto",P837="Transferencia",P837="Pago tarjeta"),-1,1)*IF(IFERROR(INDEX(ctaMoneda,MATCH(AB837,ctaNombre,0))&amp;"","DOP")="USD",T837,S837))</f>
        <v/>
      </c>
      <c r="AG837" s="53">
        <f>IF(AC837="","",IF(IFERROR(INDEX(ctaMoneda,MATCH(AC837,ctaNombre,0))&amp;"","DOP")="USD",T837,S837))</f>
        <v/>
      </c>
      <c r="AH837" s="53">
        <f>IF(P837="","",IF(AND(AD837&lt;&gt;"",COUNTIFS(tcTipo,AD837,tcLiq,"Sí")&gt;0),IF(OR(P837="Gasto",P837="Transferencia",P837="Pago tarjeta"),-1,1)*S837,0)+IF(AND(AE837&lt;&gt;"",COUNTIFS(tcTipo,AE837,tcLiq,"Sí")&gt;0),S837,0))</f>
        <v/>
      </c>
      <c r="AI837" s="52">
        <f>IF(OR(L837="",P837=""),"",IF(COUNTIFS(L$6:L837,L837,P$6:P837,"?*")=1,MAX(AI$5:AI836)+1,""))</f>
        <v/>
      </c>
    </row>
    <row r="838">
      <c r="B838" s="47" t="n"/>
      <c r="C838" s="48" t="n"/>
      <c r="D838" s="48" t="n"/>
      <c r="E838" s="48" t="n"/>
      <c r="F838" s="48" t="n"/>
      <c r="G838" s="49" t="n"/>
      <c r="H838" s="48" t="n"/>
      <c r="I838" s="50" t="n"/>
      <c r="J838" s="48" t="n"/>
      <c r="K838" s="48" t="n"/>
      <c r="L838" s="48" t="n"/>
      <c r="M838" s="48" t="n"/>
      <c r="N838" s="48" t="n"/>
      <c r="O838" s="51">
        <f>IF(AND(B838="",G838="",C838="",D838="",J838=""),"",IF(B838="","⚠ Falta fecha",IF(G838="","⚠ Falta monto",IF(Q838="","⚠ Falta cuenta",IF(ISNA(MATCH(Q838,ctaNombre,0)),"⚠ Cuenta no registrada",IF(AND(OR(P838="Gasto",P838="Reembolso"),D838=""),"⚠ Falta categoría",IF(AND(D838&lt;&gt;"",E838&lt;&gt;"",ISNA(MATCH(D838&amp;"|"&amp;E838,catClave,0))),"⚠ Subcategoría no corresponde",IF(AND(OR(P838="Transferencia",P838="Pago tarjeta"),K838=""),"⚠ Falta cuenta destino",IF(AND(K838&lt;&gt;"",P838&lt;&gt;"Transferencia",P838&lt;&gt;"Pago tarjeta"),"⚠ Destino solo aplica a transferencias",IF(AND(K838&lt;&gt;"",K838=Q838),"⚠ Origen igual a destino",IF(AND(K838&lt;&gt;"",ISNA(MATCH(K838,ctaNombre,0))),"⚠ Destino no registrado",IF(AND(P838="Pago tarjeta",AE838&lt;&gt;"Tarjeta de crédito"),"⚠ El destino debe ser tarjeta de crédito",IF(AND(P838="Gasto",E838="Depósitos y retiros"),"⚠ Usa tipo Transferencia",IF(AND(P838="Resultado trading",AD838&lt;&gt;"Cuenta de trading"),"⚠ Usa una cuenta de trading",IF(AND(G838&lt;=0,P838&lt;&gt;"Ajuste",P838&lt;&gt;"Resultado trading"),"⚠ El monto debe ser positivo","✓")))))))))))))))</f>
        <v/>
      </c>
      <c r="P838" s="52">
        <f>IF(OR(B838="",G838=""),"",IF(C838="","Gasto",C838))</f>
        <v/>
      </c>
      <c r="Q838" s="52">
        <f>IF(P838="","",IF(J838&lt;&gt;"",J838,CuentaPred&amp;""))</f>
        <v/>
      </c>
      <c r="R838" s="52">
        <f>IF(P838="","",IF(ISNUMBER(I838),I838,TasaUSD))</f>
        <v/>
      </c>
      <c r="S838" s="53">
        <f>IF(P838="","",IF(H838="USD",G838*R838,G838))</f>
        <v/>
      </c>
      <c r="T838" s="53">
        <f>IF(P838="","",IF(H838="USD",G838,IF(R838&gt;0,G838/R838,0)))</f>
        <v/>
      </c>
      <c r="U838" s="53">
        <f>IF(P838="","",IF(P838="Gasto",S838,IF(P838="Reembolso",-S838,0)))</f>
        <v/>
      </c>
      <c r="V838" s="53">
        <f>IF(P838="","",IF(P838="Ingreso",S838,0))</f>
        <v/>
      </c>
      <c r="W838" s="53">
        <f>IF(P838="","",IF(P838="Resultado trading",S838,0))</f>
        <v/>
      </c>
      <c r="X838" s="52">
        <f>IF(OR(P838="Gasto",P838="Reembolso"),IF(M838&lt;&gt;"",M838,IFERROR(INDEX(catClasif,MATCH(D838&amp;"|"&amp;E838,catClave,0))&amp;"","Variable")),"")</f>
        <v/>
      </c>
      <c r="Y838" s="52">
        <f>IF(P838="","",IFERROR(INDEX(catGrupo,MATCH(D838&amp;"|"&amp;E838,catClave,0))&amp;"",""))</f>
        <v/>
      </c>
      <c r="Z838" s="52">
        <f>IF(P838="","",WEEKDAY(B838,2))</f>
        <v/>
      </c>
      <c r="AA838" s="52">
        <f>IF(P838="","",IF(AND(P838="Gasto",X838="Variable",D838&lt;&gt;catTrading,S838&gt;0,S838&lt;=Umbral),1,0))</f>
        <v/>
      </c>
      <c r="AB838" s="52">
        <f>IF(OR(P838="",Q838=""),"",IFERROR(IF(INDEX(ctaVinc,MATCH(Q838,ctaNombre,0))&amp;""&lt;&gt;"",INDEX(ctaVinc,MATCH(Q838,ctaNombre,0))&amp;"",Q838),Q838))</f>
        <v/>
      </c>
      <c r="AC838" s="52">
        <f>IF(OR(K838="",AND(P838&lt;&gt;"Transferencia",P838&lt;&gt;"Pago tarjeta")),"",IFERROR(IF(INDEX(ctaVinc,MATCH(K838,ctaNombre,0))&amp;""&lt;&gt;"",INDEX(ctaVinc,MATCH(K838,ctaNombre,0))&amp;"",K838),K838))</f>
        <v/>
      </c>
      <c r="AD838" s="52">
        <f>IF(AB838="","",IFERROR(INDEX(ctaTipo,MATCH(AB838,ctaNombre,0))&amp;"",""))</f>
        <v/>
      </c>
      <c r="AE838" s="52">
        <f>IF(AC838="","",IFERROR(INDEX(ctaTipo,MATCH(AC838,ctaNombre,0))&amp;"",""))</f>
        <v/>
      </c>
      <c r="AF838" s="53">
        <f>IF(OR(P838="",AB838=""),"",IF(OR(P838="Gasto",P838="Transferencia",P838="Pago tarjeta"),-1,1)*IF(IFERROR(INDEX(ctaMoneda,MATCH(AB838,ctaNombre,0))&amp;"","DOP")="USD",T838,S838))</f>
        <v/>
      </c>
      <c r="AG838" s="53">
        <f>IF(AC838="","",IF(IFERROR(INDEX(ctaMoneda,MATCH(AC838,ctaNombre,0))&amp;"","DOP")="USD",T838,S838))</f>
        <v/>
      </c>
      <c r="AH838" s="53">
        <f>IF(P838="","",IF(AND(AD838&lt;&gt;"",COUNTIFS(tcTipo,AD838,tcLiq,"Sí")&gt;0),IF(OR(P838="Gasto",P838="Transferencia",P838="Pago tarjeta"),-1,1)*S838,0)+IF(AND(AE838&lt;&gt;"",COUNTIFS(tcTipo,AE838,tcLiq,"Sí")&gt;0),S838,0))</f>
        <v/>
      </c>
      <c r="AI838" s="52">
        <f>IF(OR(L838="",P838=""),"",IF(COUNTIFS(L$6:L838,L838,P$6:P838,"?*")=1,MAX(AI$5:AI837)+1,""))</f>
        <v/>
      </c>
    </row>
    <row r="839">
      <c r="B839" s="47" t="n"/>
      <c r="C839" s="48" t="n"/>
      <c r="D839" s="48" t="n"/>
      <c r="E839" s="48" t="n"/>
      <c r="F839" s="48" t="n"/>
      <c r="G839" s="49" t="n"/>
      <c r="H839" s="48" t="n"/>
      <c r="I839" s="50" t="n"/>
      <c r="J839" s="48" t="n"/>
      <c r="K839" s="48" t="n"/>
      <c r="L839" s="48" t="n"/>
      <c r="M839" s="48" t="n"/>
      <c r="N839" s="48" t="n"/>
      <c r="O839" s="51">
        <f>IF(AND(B839="",G839="",C839="",D839="",J839=""),"",IF(B839="","⚠ Falta fecha",IF(G839="","⚠ Falta monto",IF(Q839="","⚠ Falta cuenta",IF(ISNA(MATCH(Q839,ctaNombre,0)),"⚠ Cuenta no registrada",IF(AND(OR(P839="Gasto",P839="Reembolso"),D839=""),"⚠ Falta categoría",IF(AND(D839&lt;&gt;"",E839&lt;&gt;"",ISNA(MATCH(D839&amp;"|"&amp;E839,catClave,0))),"⚠ Subcategoría no corresponde",IF(AND(OR(P839="Transferencia",P839="Pago tarjeta"),K839=""),"⚠ Falta cuenta destino",IF(AND(K839&lt;&gt;"",P839&lt;&gt;"Transferencia",P839&lt;&gt;"Pago tarjeta"),"⚠ Destino solo aplica a transferencias",IF(AND(K839&lt;&gt;"",K839=Q839),"⚠ Origen igual a destino",IF(AND(K839&lt;&gt;"",ISNA(MATCH(K839,ctaNombre,0))),"⚠ Destino no registrado",IF(AND(P839="Pago tarjeta",AE839&lt;&gt;"Tarjeta de crédito"),"⚠ El destino debe ser tarjeta de crédito",IF(AND(P839="Gasto",E839="Depósitos y retiros"),"⚠ Usa tipo Transferencia",IF(AND(P839="Resultado trading",AD839&lt;&gt;"Cuenta de trading"),"⚠ Usa una cuenta de trading",IF(AND(G839&lt;=0,P839&lt;&gt;"Ajuste",P839&lt;&gt;"Resultado trading"),"⚠ El monto debe ser positivo","✓")))))))))))))))</f>
        <v/>
      </c>
      <c r="P839" s="52">
        <f>IF(OR(B839="",G839=""),"",IF(C839="","Gasto",C839))</f>
        <v/>
      </c>
      <c r="Q839" s="52">
        <f>IF(P839="","",IF(J839&lt;&gt;"",J839,CuentaPred&amp;""))</f>
        <v/>
      </c>
      <c r="R839" s="52">
        <f>IF(P839="","",IF(ISNUMBER(I839),I839,TasaUSD))</f>
        <v/>
      </c>
      <c r="S839" s="53">
        <f>IF(P839="","",IF(H839="USD",G839*R839,G839))</f>
        <v/>
      </c>
      <c r="T839" s="53">
        <f>IF(P839="","",IF(H839="USD",G839,IF(R839&gt;0,G839/R839,0)))</f>
        <v/>
      </c>
      <c r="U839" s="53">
        <f>IF(P839="","",IF(P839="Gasto",S839,IF(P839="Reembolso",-S839,0)))</f>
        <v/>
      </c>
      <c r="V839" s="53">
        <f>IF(P839="","",IF(P839="Ingreso",S839,0))</f>
        <v/>
      </c>
      <c r="W839" s="53">
        <f>IF(P839="","",IF(P839="Resultado trading",S839,0))</f>
        <v/>
      </c>
      <c r="X839" s="52">
        <f>IF(OR(P839="Gasto",P839="Reembolso"),IF(M839&lt;&gt;"",M839,IFERROR(INDEX(catClasif,MATCH(D839&amp;"|"&amp;E839,catClave,0))&amp;"","Variable")),"")</f>
        <v/>
      </c>
      <c r="Y839" s="52">
        <f>IF(P839="","",IFERROR(INDEX(catGrupo,MATCH(D839&amp;"|"&amp;E839,catClave,0))&amp;"",""))</f>
        <v/>
      </c>
      <c r="Z839" s="52">
        <f>IF(P839="","",WEEKDAY(B839,2))</f>
        <v/>
      </c>
      <c r="AA839" s="52">
        <f>IF(P839="","",IF(AND(P839="Gasto",X839="Variable",D839&lt;&gt;catTrading,S839&gt;0,S839&lt;=Umbral),1,0))</f>
        <v/>
      </c>
      <c r="AB839" s="52">
        <f>IF(OR(P839="",Q839=""),"",IFERROR(IF(INDEX(ctaVinc,MATCH(Q839,ctaNombre,0))&amp;""&lt;&gt;"",INDEX(ctaVinc,MATCH(Q839,ctaNombre,0))&amp;"",Q839),Q839))</f>
        <v/>
      </c>
      <c r="AC839" s="52">
        <f>IF(OR(K839="",AND(P839&lt;&gt;"Transferencia",P839&lt;&gt;"Pago tarjeta")),"",IFERROR(IF(INDEX(ctaVinc,MATCH(K839,ctaNombre,0))&amp;""&lt;&gt;"",INDEX(ctaVinc,MATCH(K839,ctaNombre,0))&amp;"",K839),K839))</f>
        <v/>
      </c>
      <c r="AD839" s="52">
        <f>IF(AB839="","",IFERROR(INDEX(ctaTipo,MATCH(AB839,ctaNombre,0))&amp;"",""))</f>
        <v/>
      </c>
      <c r="AE839" s="52">
        <f>IF(AC839="","",IFERROR(INDEX(ctaTipo,MATCH(AC839,ctaNombre,0))&amp;"",""))</f>
        <v/>
      </c>
      <c r="AF839" s="53">
        <f>IF(OR(P839="",AB839=""),"",IF(OR(P839="Gasto",P839="Transferencia",P839="Pago tarjeta"),-1,1)*IF(IFERROR(INDEX(ctaMoneda,MATCH(AB839,ctaNombre,0))&amp;"","DOP")="USD",T839,S839))</f>
        <v/>
      </c>
      <c r="AG839" s="53">
        <f>IF(AC839="","",IF(IFERROR(INDEX(ctaMoneda,MATCH(AC839,ctaNombre,0))&amp;"","DOP")="USD",T839,S839))</f>
        <v/>
      </c>
      <c r="AH839" s="53">
        <f>IF(P839="","",IF(AND(AD839&lt;&gt;"",COUNTIFS(tcTipo,AD839,tcLiq,"Sí")&gt;0),IF(OR(P839="Gasto",P839="Transferencia",P839="Pago tarjeta"),-1,1)*S839,0)+IF(AND(AE839&lt;&gt;"",COUNTIFS(tcTipo,AE839,tcLiq,"Sí")&gt;0),S839,0))</f>
        <v/>
      </c>
      <c r="AI839" s="52">
        <f>IF(OR(L839="",P839=""),"",IF(COUNTIFS(L$6:L839,L839,P$6:P839,"?*")=1,MAX(AI$5:AI838)+1,""))</f>
        <v/>
      </c>
    </row>
    <row r="840">
      <c r="B840" s="47" t="n"/>
      <c r="C840" s="48" t="n"/>
      <c r="D840" s="48" t="n"/>
      <c r="E840" s="48" t="n"/>
      <c r="F840" s="48" t="n"/>
      <c r="G840" s="49" t="n"/>
      <c r="H840" s="48" t="n"/>
      <c r="I840" s="50" t="n"/>
      <c r="J840" s="48" t="n"/>
      <c r="K840" s="48" t="n"/>
      <c r="L840" s="48" t="n"/>
      <c r="M840" s="48" t="n"/>
      <c r="N840" s="48" t="n"/>
      <c r="O840" s="51">
        <f>IF(AND(B840="",G840="",C840="",D840="",J840=""),"",IF(B840="","⚠ Falta fecha",IF(G840="","⚠ Falta monto",IF(Q840="","⚠ Falta cuenta",IF(ISNA(MATCH(Q840,ctaNombre,0)),"⚠ Cuenta no registrada",IF(AND(OR(P840="Gasto",P840="Reembolso"),D840=""),"⚠ Falta categoría",IF(AND(D840&lt;&gt;"",E840&lt;&gt;"",ISNA(MATCH(D840&amp;"|"&amp;E840,catClave,0))),"⚠ Subcategoría no corresponde",IF(AND(OR(P840="Transferencia",P840="Pago tarjeta"),K840=""),"⚠ Falta cuenta destino",IF(AND(K840&lt;&gt;"",P840&lt;&gt;"Transferencia",P840&lt;&gt;"Pago tarjeta"),"⚠ Destino solo aplica a transferencias",IF(AND(K840&lt;&gt;"",K840=Q840),"⚠ Origen igual a destino",IF(AND(K840&lt;&gt;"",ISNA(MATCH(K840,ctaNombre,0))),"⚠ Destino no registrado",IF(AND(P840="Pago tarjeta",AE840&lt;&gt;"Tarjeta de crédito"),"⚠ El destino debe ser tarjeta de crédito",IF(AND(P840="Gasto",E840="Depósitos y retiros"),"⚠ Usa tipo Transferencia",IF(AND(P840="Resultado trading",AD840&lt;&gt;"Cuenta de trading"),"⚠ Usa una cuenta de trading",IF(AND(G840&lt;=0,P840&lt;&gt;"Ajuste",P840&lt;&gt;"Resultado trading"),"⚠ El monto debe ser positivo","✓")))))))))))))))</f>
        <v/>
      </c>
      <c r="P840" s="52">
        <f>IF(OR(B840="",G840=""),"",IF(C840="","Gasto",C840))</f>
        <v/>
      </c>
      <c r="Q840" s="52">
        <f>IF(P840="","",IF(J840&lt;&gt;"",J840,CuentaPred&amp;""))</f>
        <v/>
      </c>
      <c r="R840" s="52">
        <f>IF(P840="","",IF(ISNUMBER(I840),I840,TasaUSD))</f>
        <v/>
      </c>
      <c r="S840" s="53">
        <f>IF(P840="","",IF(H840="USD",G840*R840,G840))</f>
        <v/>
      </c>
      <c r="T840" s="53">
        <f>IF(P840="","",IF(H840="USD",G840,IF(R840&gt;0,G840/R840,0)))</f>
        <v/>
      </c>
      <c r="U840" s="53">
        <f>IF(P840="","",IF(P840="Gasto",S840,IF(P840="Reembolso",-S840,0)))</f>
        <v/>
      </c>
      <c r="V840" s="53">
        <f>IF(P840="","",IF(P840="Ingreso",S840,0))</f>
        <v/>
      </c>
      <c r="W840" s="53">
        <f>IF(P840="","",IF(P840="Resultado trading",S840,0))</f>
        <v/>
      </c>
      <c r="X840" s="52">
        <f>IF(OR(P840="Gasto",P840="Reembolso"),IF(M840&lt;&gt;"",M840,IFERROR(INDEX(catClasif,MATCH(D840&amp;"|"&amp;E840,catClave,0))&amp;"","Variable")),"")</f>
        <v/>
      </c>
      <c r="Y840" s="52">
        <f>IF(P840="","",IFERROR(INDEX(catGrupo,MATCH(D840&amp;"|"&amp;E840,catClave,0))&amp;"",""))</f>
        <v/>
      </c>
      <c r="Z840" s="52">
        <f>IF(P840="","",WEEKDAY(B840,2))</f>
        <v/>
      </c>
      <c r="AA840" s="52">
        <f>IF(P840="","",IF(AND(P840="Gasto",X840="Variable",D840&lt;&gt;catTrading,S840&gt;0,S840&lt;=Umbral),1,0))</f>
        <v/>
      </c>
      <c r="AB840" s="52">
        <f>IF(OR(P840="",Q840=""),"",IFERROR(IF(INDEX(ctaVinc,MATCH(Q840,ctaNombre,0))&amp;""&lt;&gt;"",INDEX(ctaVinc,MATCH(Q840,ctaNombre,0))&amp;"",Q840),Q840))</f>
        <v/>
      </c>
      <c r="AC840" s="52">
        <f>IF(OR(K840="",AND(P840&lt;&gt;"Transferencia",P840&lt;&gt;"Pago tarjeta")),"",IFERROR(IF(INDEX(ctaVinc,MATCH(K840,ctaNombre,0))&amp;""&lt;&gt;"",INDEX(ctaVinc,MATCH(K840,ctaNombre,0))&amp;"",K840),K840))</f>
        <v/>
      </c>
      <c r="AD840" s="52">
        <f>IF(AB840="","",IFERROR(INDEX(ctaTipo,MATCH(AB840,ctaNombre,0))&amp;"",""))</f>
        <v/>
      </c>
      <c r="AE840" s="52">
        <f>IF(AC840="","",IFERROR(INDEX(ctaTipo,MATCH(AC840,ctaNombre,0))&amp;"",""))</f>
        <v/>
      </c>
      <c r="AF840" s="53">
        <f>IF(OR(P840="",AB840=""),"",IF(OR(P840="Gasto",P840="Transferencia",P840="Pago tarjeta"),-1,1)*IF(IFERROR(INDEX(ctaMoneda,MATCH(AB840,ctaNombre,0))&amp;"","DOP")="USD",T840,S840))</f>
        <v/>
      </c>
      <c r="AG840" s="53">
        <f>IF(AC840="","",IF(IFERROR(INDEX(ctaMoneda,MATCH(AC840,ctaNombre,0))&amp;"","DOP")="USD",T840,S840))</f>
        <v/>
      </c>
      <c r="AH840" s="53">
        <f>IF(P840="","",IF(AND(AD840&lt;&gt;"",COUNTIFS(tcTipo,AD840,tcLiq,"Sí")&gt;0),IF(OR(P840="Gasto",P840="Transferencia",P840="Pago tarjeta"),-1,1)*S840,0)+IF(AND(AE840&lt;&gt;"",COUNTIFS(tcTipo,AE840,tcLiq,"Sí")&gt;0),S840,0))</f>
        <v/>
      </c>
      <c r="AI840" s="52">
        <f>IF(OR(L840="",P840=""),"",IF(COUNTIFS(L$6:L840,L840,P$6:P840,"?*")=1,MAX(AI$5:AI839)+1,""))</f>
        <v/>
      </c>
    </row>
    <row r="841">
      <c r="B841" s="47" t="n"/>
      <c r="C841" s="48" t="n"/>
      <c r="D841" s="48" t="n"/>
      <c r="E841" s="48" t="n"/>
      <c r="F841" s="48" t="n"/>
      <c r="G841" s="49" t="n"/>
      <c r="H841" s="48" t="n"/>
      <c r="I841" s="50" t="n"/>
      <c r="J841" s="48" t="n"/>
      <c r="K841" s="48" t="n"/>
      <c r="L841" s="48" t="n"/>
      <c r="M841" s="48" t="n"/>
      <c r="N841" s="48" t="n"/>
      <c r="O841" s="51">
        <f>IF(AND(B841="",G841="",C841="",D841="",J841=""),"",IF(B841="","⚠ Falta fecha",IF(G841="","⚠ Falta monto",IF(Q841="","⚠ Falta cuenta",IF(ISNA(MATCH(Q841,ctaNombre,0)),"⚠ Cuenta no registrada",IF(AND(OR(P841="Gasto",P841="Reembolso"),D841=""),"⚠ Falta categoría",IF(AND(D841&lt;&gt;"",E841&lt;&gt;"",ISNA(MATCH(D841&amp;"|"&amp;E841,catClave,0))),"⚠ Subcategoría no corresponde",IF(AND(OR(P841="Transferencia",P841="Pago tarjeta"),K841=""),"⚠ Falta cuenta destino",IF(AND(K841&lt;&gt;"",P841&lt;&gt;"Transferencia",P841&lt;&gt;"Pago tarjeta"),"⚠ Destino solo aplica a transferencias",IF(AND(K841&lt;&gt;"",K841=Q841),"⚠ Origen igual a destino",IF(AND(K841&lt;&gt;"",ISNA(MATCH(K841,ctaNombre,0))),"⚠ Destino no registrado",IF(AND(P841="Pago tarjeta",AE841&lt;&gt;"Tarjeta de crédito"),"⚠ El destino debe ser tarjeta de crédito",IF(AND(P841="Gasto",E841="Depósitos y retiros"),"⚠ Usa tipo Transferencia",IF(AND(P841="Resultado trading",AD841&lt;&gt;"Cuenta de trading"),"⚠ Usa una cuenta de trading",IF(AND(G841&lt;=0,P841&lt;&gt;"Ajuste",P841&lt;&gt;"Resultado trading"),"⚠ El monto debe ser positivo","✓")))))))))))))))</f>
        <v/>
      </c>
      <c r="P841" s="52">
        <f>IF(OR(B841="",G841=""),"",IF(C841="","Gasto",C841))</f>
        <v/>
      </c>
      <c r="Q841" s="52">
        <f>IF(P841="","",IF(J841&lt;&gt;"",J841,CuentaPred&amp;""))</f>
        <v/>
      </c>
      <c r="R841" s="52">
        <f>IF(P841="","",IF(ISNUMBER(I841),I841,TasaUSD))</f>
        <v/>
      </c>
      <c r="S841" s="53">
        <f>IF(P841="","",IF(H841="USD",G841*R841,G841))</f>
        <v/>
      </c>
      <c r="T841" s="53">
        <f>IF(P841="","",IF(H841="USD",G841,IF(R841&gt;0,G841/R841,0)))</f>
        <v/>
      </c>
      <c r="U841" s="53">
        <f>IF(P841="","",IF(P841="Gasto",S841,IF(P841="Reembolso",-S841,0)))</f>
        <v/>
      </c>
      <c r="V841" s="53">
        <f>IF(P841="","",IF(P841="Ingreso",S841,0))</f>
        <v/>
      </c>
      <c r="W841" s="53">
        <f>IF(P841="","",IF(P841="Resultado trading",S841,0))</f>
        <v/>
      </c>
      <c r="X841" s="52">
        <f>IF(OR(P841="Gasto",P841="Reembolso"),IF(M841&lt;&gt;"",M841,IFERROR(INDEX(catClasif,MATCH(D841&amp;"|"&amp;E841,catClave,0))&amp;"","Variable")),"")</f>
        <v/>
      </c>
      <c r="Y841" s="52">
        <f>IF(P841="","",IFERROR(INDEX(catGrupo,MATCH(D841&amp;"|"&amp;E841,catClave,0))&amp;"",""))</f>
        <v/>
      </c>
      <c r="Z841" s="52">
        <f>IF(P841="","",WEEKDAY(B841,2))</f>
        <v/>
      </c>
      <c r="AA841" s="52">
        <f>IF(P841="","",IF(AND(P841="Gasto",X841="Variable",D841&lt;&gt;catTrading,S841&gt;0,S841&lt;=Umbral),1,0))</f>
        <v/>
      </c>
      <c r="AB841" s="52">
        <f>IF(OR(P841="",Q841=""),"",IFERROR(IF(INDEX(ctaVinc,MATCH(Q841,ctaNombre,0))&amp;""&lt;&gt;"",INDEX(ctaVinc,MATCH(Q841,ctaNombre,0))&amp;"",Q841),Q841))</f>
        <v/>
      </c>
      <c r="AC841" s="52">
        <f>IF(OR(K841="",AND(P841&lt;&gt;"Transferencia",P841&lt;&gt;"Pago tarjeta")),"",IFERROR(IF(INDEX(ctaVinc,MATCH(K841,ctaNombre,0))&amp;""&lt;&gt;"",INDEX(ctaVinc,MATCH(K841,ctaNombre,0))&amp;"",K841),K841))</f>
        <v/>
      </c>
      <c r="AD841" s="52">
        <f>IF(AB841="","",IFERROR(INDEX(ctaTipo,MATCH(AB841,ctaNombre,0))&amp;"",""))</f>
        <v/>
      </c>
      <c r="AE841" s="52">
        <f>IF(AC841="","",IFERROR(INDEX(ctaTipo,MATCH(AC841,ctaNombre,0))&amp;"",""))</f>
        <v/>
      </c>
      <c r="AF841" s="53">
        <f>IF(OR(P841="",AB841=""),"",IF(OR(P841="Gasto",P841="Transferencia",P841="Pago tarjeta"),-1,1)*IF(IFERROR(INDEX(ctaMoneda,MATCH(AB841,ctaNombre,0))&amp;"","DOP")="USD",T841,S841))</f>
        <v/>
      </c>
      <c r="AG841" s="53">
        <f>IF(AC841="","",IF(IFERROR(INDEX(ctaMoneda,MATCH(AC841,ctaNombre,0))&amp;"","DOP")="USD",T841,S841))</f>
        <v/>
      </c>
      <c r="AH841" s="53">
        <f>IF(P841="","",IF(AND(AD841&lt;&gt;"",COUNTIFS(tcTipo,AD841,tcLiq,"Sí")&gt;0),IF(OR(P841="Gasto",P841="Transferencia",P841="Pago tarjeta"),-1,1)*S841,0)+IF(AND(AE841&lt;&gt;"",COUNTIFS(tcTipo,AE841,tcLiq,"Sí")&gt;0),S841,0))</f>
        <v/>
      </c>
      <c r="AI841" s="52">
        <f>IF(OR(L841="",P841=""),"",IF(COUNTIFS(L$6:L841,L841,P$6:P841,"?*")=1,MAX(AI$5:AI840)+1,""))</f>
        <v/>
      </c>
    </row>
    <row r="842">
      <c r="B842" s="47" t="n"/>
      <c r="C842" s="48" t="n"/>
      <c r="D842" s="48" t="n"/>
      <c r="E842" s="48" t="n"/>
      <c r="F842" s="48" t="n"/>
      <c r="G842" s="49" t="n"/>
      <c r="H842" s="48" t="n"/>
      <c r="I842" s="50" t="n"/>
      <c r="J842" s="48" t="n"/>
      <c r="K842" s="48" t="n"/>
      <c r="L842" s="48" t="n"/>
      <c r="M842" s="48" t="n"/>
      <c r="N842" s="48" t="n"/>
      <c r="O842" s="51">
        <f>IF(AND(B842="",G842="",C842="",D842="",J842=""),"",IF(B842="","⚠ Falta fecha",IF(G842="","⚠ Falta monto",IF(Q842="","⚠ Falta cuenta",IF(ISNA(MATCH(Q842,ctaNombre,0)),"⚠ Cuenta no registrada",IF(AND(OR(P842="Gasto",P842="Reembolso"),D842=""),"⚠ Falta categoría",IF(AND(D842&lt;&gt;"",E842&lt;&gt;"",ISNA(MATCH(D842&amp;"|"&amp;E842,catClave,0))),"⚠ Subcategoría no corresponde",IF(AND(OR(P842="Transferencia",P842="Pago tarjeta"),K842=""),"⚠ Falta cuenta destino",IF(AND(K842&lt;&gt;"",P842&lt;&gt;"Transferencia",P842&lt;&gt;"Pago tarjeta"),"⚠ Destino solo aplica a transferencias",IF(AND(K842&lt;&gt;"",K842=Q842),"⚠ Origen igual a destino",IF(AND(K842&lt;&gt;"",ISNA(MATCH(K842,ctaNombre,0))),"⚠ Destino no registrado",IF(AND(P842="Pago tarjeta",AE842&lt;&gt;"Tarjeta de crédito"),"⚠ El destino debe ser tarjeta de crédito",IF(AND(P842="Gasto",E842="Depósitos y retiros"),"⚠ Usa tipo Transferencia",IF(AND(P842="Resultado trading",AD842&lt;&gt;"Cuenta de trading"),"⚠ Usa una cuenta de trading",IF(AND(G842&lt;=0,P842&lt;&gt;"Ajuste",P842&lt;&gt;"Resultado trading"),"⚠ El monto debe ser positivo","✓")))))))))))))))</f>
        <v/>
      </c>
      <c r="P842" s="52">
        <f>IF(OR(B842="",G842=""),"",IF(C842="","Gasto",C842))</f>
        <v/>
      </c>
      <c r="Q842" s="52">
        <f>IF(P842="","",IF(J842&lt;&gt;"",J842,CuentaPred&amp;""))</f>
        <v/>
      </c>
      <c r="R842" s="52">
        <f>IF(P842="","",IF(ISNUMBER(I842),I842,TasaUSD))</f>
        <v/>
      </c>
      <c r="S842" s="53">
        <f>IF(P842="","",IF(H842="USD",G842*R842,G842))</f>
        <v/>
      </c>
      <c r="T842" s="53">
        <f>IF(P842="","",IF(H842="USD",G842,IF(R842&gt;0,G842/R842,0)))</f>
        <v/>
      </c>
      <c r="U842" s="53">
        <f>IF(P842="","",IF(P842="Gasto",S842,IF(P842="Reembolso",-S842,0)))</f>
        <v/>
      </c>
      <c r="V842" s="53">
        <f>IF(P842="","",IF(P842="Ingreso",S842,0))</f>
        <v/>
      </c>
      <c r="W842" s="53">
        <f>IF(P842="","",IF(P842="Resultado trading",S842,0))</f>
        <v/>
      </c>
      <c r="X842" s="52">
        <f>IF(OR(P842="Gasto",P842="Reembolso"),IF(M842&lt;&gt;"",M842,IFERROR(INDEX(catClasif,MATCH(D842&amp;"|"&amp;E842,catClave,0))&amp;"","Variable")),"")</f>
        <v/>
      </c>
      <c r="Y842" s="52">
        <f>IF(P842="","",IFERROR(INDEX(catGrupo,MATCH(D842&amp;"|"&amp;E842,catClave,0))&amp;"",""))</f>
        <v/>
      </c>
      <c r="Z842" s="52">
        <f>IF(P842="","",WEEKDAY(B842,2))</f>
        <v/>
      </c>
      <c r="AA842" s="52">
        <f>IF(P842="","",IF(AND(P842="Gasto",X842="Variable",D842&lt;&gt;catTrading,S842&gt;0,S842&lt;=Umbral),1,0))</f>
        <v/>
      </c>
      <c r="AB842" s="52">
        <f>IF(OR(P842="",Q842=""),"",IFERROR(IF(INDEX(ctaVinc,MATCH(Q842,ctaNombre,0))&amp;""&lt;&gt;"",INDEX(ctaVinc,MATCH(Q842,ctaNombre,0))&amp;"",Q842),Q842))</f>
        <v/>
      </c>
      <c r="AC842" s="52">
        <f>IF(OR(K842="",AND(P842&lt;&gt;"Transferencia",P842&lt;&gt;"Pago tarjeta")),"",IFERROR(IF(INDEX(ctaVinc,MATCH(K842,ctaNombre,0))&amp;""&lt;&gt;"",INDEX(ctaVinc,MATCH(K842,ctaNombre,0))&amp;"",K842),K842))</f>
        <v/>
      </c>
      <c r="AD842" s="52">
        <f>IF(AB842="","",IFERROR(INDEX(ctaTipo,MATCH(AB842,ctaNombre,0))&amp;"",""))</f>
        <v/>
      </c>
      <c r="AE842" s="52">
        <f>IF(AC842="","",IFERROR(INDEX(ctaTipo,MATCH(AC842,ctaNombre,0))&amp;"",""))</f>
        <v/>
      </c>
      <c r="AF842" s="53">
        <f>IF(OR(P842="",AB842=""),"",IF(OR(P842="Gasto",P842="Transferencia",P842="Pago tarjeta"),-1,1)*IF(IFERROR(INDEX(ctaMoneda,MATCH(AB842,ctaNombre,0))&amp;"","DOP")="USD",T842,S842))</f>
        <v/>
      </c>
      <c r="AG842" s="53">
        <f>IF(AC842="","",IF(IFERROR(INDEX(ctaMoneda,MATCH(AC842,ctaNombre,0))&amp;"","DOP")="USD",T842,S842))</f>
        <v/>
      </c>
      <c r="AH842" s="53">
        <f>IF(P842="","",IF(AND(AD842&lt;&gt;"",COUNTIFS(tcTipo,AD842,tcLiq,"Sí")&gt;0),IF(OR(P842="Gasto",P842="Transferencia",P842="Pago tarjeta"),-1,1)*S842,0)+IF(AND(AE842&lt;&gt;"",COUNTIFS(tcTipo,AE842,tcLiq,"Sí")&gt;0),S842,0))</f>
        <v/>
      </c>
      <c r="AI842" s="52">
        <f>IF(OR(L842="",P842=""),"",IF(COUNTIFS(L$6:L842,L842,P$6:P842,"?*")=1,MAX(AI$5:AI841)+1,""))</f>
        <v/>
      </c>
    </row>
    <row r="843">
      <c r="B843" s="47" t="n"/>
      <c r="C843" s="48" t="n"/>
      <c r="D843" s="48" t="n"/>
      <c r="E843" s="48" t="n"/>
      <c r="F843" s="48" t="n"/>
      <c r="G843" s="49" t="n"/>
      <c r="H843" s="48" t="n"/>
      <c r="I843" s="50" t="n"/>
      <c r="J843" s="48" t="n"/>
      <c r="K843" s="48" t="n"/>
      <c r="L843" s="48" t="n"/>
      <c r="M843" s="48" t="n"/>
      <c r="N843" s="48" t="n"/>
      <c r="O843" s="51">
        <f>IF(AND(B843="",G843="",C843="",D843="",J843=""),"",IF(B843="","⚠ Falta fecha",IF(G843="","⚠ Falta monto",IF(Q843="","⚠ Falta cuenta",IF(ISNA(MATCH(Q843,ctaNombre,0)),"⚠ Cuenta no registrada",IF(AND(OR(P843="Gasto",P843="Reembolso"),D843=""),"⚠ Falta categoría",IF(AND(D843&lt;&gt;"",E843&lt;&gt;"",ISNA(MATCH(D843&amp;"|"&amp;E843,catClave,0))),"⚠ Subcategoría no corresponde",IF(AND(OR(P843="Transferencia",P843="Pago tarjeta"),K843=""),"⚠ Falta cuenta destino",IF(AND(K843&lt;&gt;"",P843&lt;&gt;"Transferencia",P843&lt;&gt;"Pago tarjeta"),"⚠ Destino solo aplica a transferencias",IF(AND(K843&lt;&gt;"",K843=Q843),"⚠ Origen igual a destino",IF(AND(K843&lt;&gt;"",ISNA(MATCH(K843,ctaNombre,0))),"⚠ Destino no registrado",IF(AND(P843="Pago tarjeta",AE843&lt;&gt;"Tarjeta de crédito"),"⚠ El destino debe ser tarjeta de crédito",IF(AND(P843="Gasto",E843="Depósitos y retiros"),"⚠ Usa tipo Transferencia",IF(AND(P843="Resultado trading",AD843&lt;&gt;"Cuenta de trading"),"⚠ Usa una cuenta de trading",IF(AND(G843&lt;=0,P843&lt;&gt;"Ajuste",P843&lt;&gt;"Resultado trading"),"⚠ El monto debe ser positivo","✓")))))))))))))))</f>
        <v/>
      </c>
      <c r="P843" s="52">
        <f>IF(OR(B843="",G843=""),"",IF(C843="","Gasto",C843))</f>
        <v/>
      </c>
      <c r="Q843" s="52">
        <f>IF(P843="","",IF(J843&lt;&gt;"",J843,CuentaPred&amp;""))</f>
        <v/>
      </c>
      <c r="R843" s="52">
        <f>IF(P843="","",IF(ISNUMBER(I843),I843,TasaUSD))</f>
        <v/>
      </c>
      <c r="S843" s="53">
        <f>IF(P843="","",IF(H843="USD",G843*R843,G843))</f>
        <v/>
      </c>
      <c r="T843" s="53">
        <f>IF(P843="","",IF(H843="USD",G843,IF(R843&gt;0,G843/R843,0)))</f>
        <v/>
      </c>
      <c r="U843" s="53">
        <f>IF(P843="","",IF(P843="Gasto",S843,IF(P843="Reembolso",-S843,0)))</f>
        <v/>
      </c>
      <c r="V843" s="53">
        <f>IF(P843="","",IF(P843="Ingreso",S843,0))</f>
        <v/>
      </c>
      <c r="W843" s="53">
        <f>IF(P843="","",IF(P843="Resultado trading",S843,0))</f>
        <v/>
      </c>
      <c r="X843" s="52">
        <f>IF(OR(P843="Gasto",P843="Reembolso"),IF(M843&lt;&gt;"",M843,IFERROR(INDEX(catClasif,MATCH(D843&amp;"|"&amp;E843,catClave,0))&amp;"","Variable")),"")</f>
        <v/>
      </c>
      <c r="Y843" s="52">
        <f>IF(P843="","",IFERROR(INDEX(catGrupo,MATCH(D843&amp;"|"&amp;E843,catClave,0))&amp;"",""))</f>
        <v/>
      </c>
      <c r="Z843" s="52">
        <f>IF(P843="","",WEEKDAY(B843,2))</f>
        <v/>
      </c>
      <c r="AA843" s="52">
        <f>IF(P843="","",IF(AND(P843="Gasto",X843="Variable",D843&lt;&gt;catTrading,S843&gt;0,S843&lt;=Umbral),1,0))</f>
        <v/>
      </c>
      <c r="AB843" s="52">
        <f>IF(OR(P843="",Q843=""),"",IFERROR(IF(INDEX(ctaVinc,MATCH(Q843,ctaNombre,0))&amp;""&lt;&gt;"",INDEX(ctaVinc,MATCH(Q843,ctaNombre,0))&amp;"",Q843),Q843))</f>
        <v/>
      </c>
      <c r="AC843" s="52">
        <f>IF(OR(K843="",AND(P843&lt;&gt;"Transferencia",P843&lt;&gt;"Pago tarjeta")),"",IFERROR(IF(INDEX(ctaVinc,MATCH(K843,ctaNombre,0))&amp;""&lt;&gt;"",INDEX(ctaVinc,MATCH(K843,ctaNombre,0))&amp;"",K843),K843))</f>
        <v/>
      </c>
      <c r="AD843" s="52">
        <f>IF(AB843="","",IFERROR(INDEX(ctaTipo,MATCH(AB843,ctaNombre,0))&amp;"",""))</f>
        <v/>
      </c>
      <c r="AE843" s="52">
        <f>IF(AC843="","",IFERROR(INDEX(ctaTipo,MATCH(AC843,ctaNombre,0))&amp;"",""))</f>
        <v/>
      </c>
      <c r="AF843" s="53">
        <f>IF(OR(P843="",AB843=""),"",IF(OR(P843="Gasto",P843="Transferencia",P843="Pago tarjeta"),-1,1)*IF(IFERROR(INDEX(ctaMoneda,MATCH(AB843,ctaNombre,0))&amp;"","DOP")="USD",T843,S843))</f>
        <v/>
      </c>
      <c r="AG843" s="53">
        <f>IF(AC843="","",IF(IFERROR(INDEX(ctaMoneda,MATCH(AC843,ctaNombre,0))&amp;"","DOP")="USD",T843,S843))</f>
        <v/>
      </c>
      <c r="AH843" s="53">
        <f>IF(P843="","",IF(AND(AD843&lt;&gt;"",COUNTIFS(tcTipo,AD843,tcLiq,"Sí")&gt;0),IF(OR(P843="Gasto",P843="Transferencia",P843="Pago tarjeta"),-1,1)*S843,0)+IF(AND(AE843&lt;&gt;"",COUNTIFS(tcTipo,AE843,tcLiq,"Sí")&gt;0),S843,0))</f>
        <v/>
      </c>
      <c r="AI843" s="52">
        <f>IF(OR(L843="",P843=""),"",IF(COUNTIFS(L$6:L843,L843,P$6:P843,"?*")=1,MAX(AI$5:AI842)+1,""))</f>
        <v/>
      </c>
    </row>
    <row r="844">
      <c r="B844" s="47" t="n"/>
      <c r="C844" s="48" t="n"/>
      <c r="D844" s="48" t="n"/>
      <c r="E844" s="48" t="n"/>
      <c r="F844" s="48" t="n"/>
      <c r="G844" s="49" t="n"/>
      <c r="H844" s="48" t="n"/>
      <c r="I844" s="50" t="n"/>
      <c r="J844" s="48" t="n"/>
      <c r="K844" s="48" t="n"/>
      <c r="L844" s="48" t="n"/>
      <c r="M844" s="48" t="n"/>
      <c r="N844" s="48" t="n"/>
      <c r="O844" s="51">
        <f>IF(AND(B844="",G844="",C844="",D844="",J844=""),"",IF(B844="","⚠ Falta fecha",IF(G844="","⚠ Falta monto",IF(Q844="","⚠ Falta cuenta",IF(ISNA(MATCH(Q844,ctaNombre,0)),"⚠ Cuenta no registrada",IF(AND(OR(P844="Gasto",P844="Reembolso"),D844=""),"⚠ Falta categoría",IF(AND(D844&lt;&gt;"",E844&lt;&gt;"",ISNA(MATCH(D844&amp;"|"&amp;E844,catClave,0))),"⚠ Subcategoría no corresponde",IF(AND(OR(P844="Transferencia",P844="Pago tarjeta"),K844=""),"⚠ Falta cuenta destino",IF(AND(K844&lt;&gt;"",P844&lt;&gt;"Transferencia",P844&lt;&gt;"Pago tarjeta"),"⚠ Destino solo aplica a transferencias",IF(AND(K844&lt;&gt;"",K844=Q844),"⚠ Origen igual a destino",IF(AND(K844&lt;&gt;"",ISNA(MATCH(K844,ctaNombre,0))),"⚠ Destino no registrado",IF(AND(P844="Pago tarjeta",AE844&lt;&gt;"Tarjeta de crédito"),"⚠ El destino debe ser tarjeta de crédito",IF(AND(P844="Gasto",E844="Depósitos y retiros"),"⚠ Usa tipo Transferencia",IF(AND(P844="Resultado trading",AD844&lt;&gt;"Cuenta de trading"),"⚠ Usa una cuenta de trading",IF(AND(G844&lt;=0,P844&lt;&gt;"Ajuste",P844&lt;&gt;"Resultado trading"),"⚠ El monto debe ser positivo","✓")))))))))))))))</f>
        <v/>
      </c>
      <c r="P844" s="52">
        <f>IF(OR(B844="",G844=""),"",IF(C844="","Gasto",C844))</f>
        <v/>
      </c>
      <c r="Q844" s="52">
        <f>IF(P844="","",IF(J844&lt;&gt;"",J844,CuentaPred&amp;""))</f>
        <v/>
      </c>
      <c r="R844" s="52">
        <f>IF(P844="","",IF(ISNUMBER(I844),I844,TasaUSD))</f>
        <v/>
      </c>
      <c r="S844" s="53">
        <f>IF(P844="","",IF(H844="USD",G844*R844,G844))</f>
        <v/>
      </c>
      <c r="T844" s="53">
        <f>IF(P844="","",IF(H844="USD",G844,IF(R844&gt;0,G844/R844,0)))</f>
        <v/>
      </c>
      <c r="U844" s="53">
        <f>IF(P844="","",IF(P844="Gasto",S844,IF(P844="Reembolso",-S844,0)))</f>
        <v/>
      </c>
      <c r="V844" s="53">
        <f>IF(P844="","",IF(P844="Ingreso",S844,0))</f>
        <v/>
      </c>
      <c r="W844" s="53">
        <f>IF(P844="","",IF(P844="Resultado trading",S844,0))</f>
        <v/>
      </c>
      <c r="X844" s="52">
        <f>IF(OR(P844="Gasto",P844="Reembolso"),IF(M844&lt;&gt;"",M844,IFERROR(INDEX(catClasif,MATCH(D844&amp;"|"&amp;E844,catClave,0))&amp;"","Variable")),"")</f>
        <v/>
      </c>
      <c r="Y844" s="52">
        <f>IF(P844="","",IFERROR(INDEX(catGrupo,MATCH(D844&amp;"|"&amp;E844,catClave,0))&amp;"",""))</f>
        <v/>
      </c>
      <c r="Z844" s="52">
        <f>IF(P844="","",WEEKDAY(B844,2))</f>
        <v/>
      </c>
      <c r="AA844" s="52">
        <f>IF(P844="","",IF(AND(P844="Gasto",X844="Variable",D844&lt;&gt;catTrading,S844&gt;0,S844&lt;=Umbral),1,0))</f>
        <v/>
      </c>
      <c r="AB844" s="52">
        <f>IF(OR(P844="",Q844=""),"",IFERROR(IF(INDEX(ctaVinc,MATCH(Q844,ctaNombre,0))&amp;""&lt;&gt;"",INDEX(ctaVinc,MATCH(Q844,ctaNombre,0))&amp;"",Q844),Q844))</f>
        <v/>
      </c>
      <c r="AC844" s="52">
        <f>IF(OR(K844="",AND(P844&lt;&gt;"Transferencia",P844&lt;&gt;"Pago tarjeta")),"",IFERROR(IF(INDEX(ctaVinc,MATCH(K844,ctaNombre,0))&amp;""&lt;&gt;"",INDEX(ctaVinc,MATCH(K844,ctaNombre,0))&amp;"",K844),K844))</f>
        <v/>
      </c>
      <c r="AD844" s="52">
        <f>IF(AB844="","",IFERROR(INDEX(ctaTipo,MATCH(AB844,ctaNombre,0))&amp;"",""))</f>
        <v/>
      </c>
      <c r="AE844" s="52">
        <f>IF(AC844="","",IFERROR(INDEX(ctaTipo,MATCH(AC844,ctaNombre,0))&amp;"",""))</f>
        <v/>
      </c>
      <c r="AF844" s="53">
        <f>IF(OR(P844="",AB844=""),"",IF(OR(P844="Gasto",P844="Transferencia",P844="Pago tarjeta"),-1,1)*IF(IFERROR(INDEX(ctaMoneda,MATCH(AB844,ctaNombre,0))&amp;"","DOP")="USD",T844,S844))</f>
        <v/>
      </c>
      <c r="AG844" s="53">
        <f>IF(AC844="","",IF(IFERROR(INDEX(ctaMoneda,MATCH(AC844,ctaNombre,0))&amp;"","DOP")="USD",T844,S844))</f>
        <v/>
      </c>
      <c r="AH844" s="53">
        <f>IF(P844="","",IF(AND(AD844&lt;&gt;"",COUNTIFS(tcTipo,AD844,tcLiq,"Sí")&gt;0),IF(OR(P844="Gasto",P844="Transferencia",P844="Pago tarjeta"),-1,1)*S844,0)+IF(AND(AE844&lt;&gt;"",COUNTIFS(tcTipo,AE844,tcLiq,"Sí")&gt;0),S844,0))</f>
        <v/>
      </c>
      <c r="AI844" s="52">
        <f>IF(OR(L844="",P844=""),"",IF(COUNTIFS(L$6:L844,L844,P$6:P844,"?*")=1,MAX(AI$5:AI843)+1,""))</f>
        <v/>
      </c>
    </row>
    <row r="845">
      <c r="B845" s="47" t="n"/>
      <c r="C845" s="48" t="n"/>
      <c r="D845" s="48" t="n"/>
      <c r="E845" s="48" t="n"/>
      <c r="F845" s="48" t="n"/>
      <c r="G845" s="49" t="n"/>
      <c r="H845" s="48" t="n"/>
      <c r="I845" s="50" t="n"/>
      <c r="J845" s="48" t="n"/>
      <c r="K845" s="48" t="n"/>
      <c r="L845" s="48" t="n"/>
      <c r="M845" s="48" t="n"/>
      <c r="N845" s="48" t="n"/>
      <c r="O845" s="51">
        <f>IF(AND(B845="",G845="",C845="",D845="",J845=""),"",IF(B845="","⚠ Falta fecha",IF(G845="","⚠ Falta monto",IF(Q845="","⚠ Falta cuenta",IF(ISNA(MATCH(Q845,ctaNombre,0)),"⚠ Cuenta no registrada",IF(AND(OR(P845="Gasto",P845="Reembolso"),D845=""),"⚠ Falta categoría",IF(AND(D845&lt;&gt;"",E845&lt;&gt;"",ISNA(MATCH(D845&amp;"|"&amp;E845,catClave,0))),"⚠ Subcategoría no corresponde",IF(AND(OR(P845="Transferencia",P845="Pago tarjeta"),K845=""),"⚠ Falta cuenta destino",IF(AND(K845&lt;&gt;"",P845&lt;&gt;"Transferencia",P845&lt;&gt;"Pago tarjeta"),"⚠ Destino solo aplica a transferencias",IF(AND(K845&lt;&gt;"",K845=Q845),"⚠ Origen igual a destino",IF(AND(K845&lt;&gt;"",ISNA(MATCH(K845,ctaNombre,0))),"⚠ Destino no registrado",IF(AND(P845="Pago tarjeta",AE845&lt;&gt;"Tarjeta de crédito"),"⚠ El destino debe ser tarjeta de crédito",IF(AND(P845="Gasto",E845="Depósitos y retiros"),"⚠ Usa tipo Transferencia",IF(AND(P845="Resultado trading",AD845&lt;&gt;"Cuenta de trading"),"⚠ Usa una cuenta de trading",IF(AND(G845&lt;=0,P845&lt;&gt;"Ajuste",P845&lt;&gt;"Resultado trading"),"⚠ El monto debe ser positivo","✓")))))))))))))))</f>
        <v/>
      </c>
      <c r="P845" s="52">
        <f>IF(OR(B845="",G845=""),"",IF(C845="","Gasto",C845))</f>
        <v/>
      </c>
      <c r="Q845" s="52">
        <f>IF(P845="","",IF(J845&lt;&gt;"",J845,CuentaPred&amp;""))</f>
        <v/>
      </c>
      <c r="R845" s="52">
        <f>IF(P845="","",IF(ISNUMBER(I845),I845,TasaUSD))</f>
        <v/>
      </c>
      <c r="S845" s="53">
        <f>IF(P845="","",IF(H845="USD",G845*R845,G845))</f>
        <v/>
      </c>
      <c r="T845" s="53">
        <f>IF(P845="","",IF(H845="USD",G845,IF(R845&gt;0,G845/R845,0)))</f>
        <v/>
      </c>
      <c r="U845" s="53">
        <f>IF(P845="","",IF(P845="Gasto",S845,IF(P845="Reembolso",-S845,0)))</f>
        <v/>
      </c>
      <c r="V845" s="53">
        <f>IF(P845="","",IF(P845="Ingreso",S845,0))</f>
        <v/>
      </c>
      <c r="W845" s="53">
        <f>IF(P845="","",IF(P845="Resultado trading",S845,0))</f>
        <v/>
      </c>
      <c r="X845" s="52">
        <f>IF(OR(P845="Gasto",P845="Reembolso"),IF(M845&lt;&gt;"",M845,IFERROR(INDEX(catClasif,MATCH(D845&amp;"|"&amp;E845,catClave,0))&amp;"","Variable")),"")</f>
        <v/>
      </c>
      <c r="Y845" s="52">
        <f>IF(P845="","",IFERROR(INDEX(catGrupo,MATCH(D845&amp;"|"&amp;E845,catClave,0))&amp;"",""))</f>
        <v/>
      </c>
      <c r="Z845" s="52">
        <f>IF(P845="","",WEEKDAY(B845,2))</f>
        <v/>
      </c>
      <c r="AA845" s="52">
        <f>IF(P845="","",IF(AND(P845="Gasto",X845="Variable",D845&lt;&gt;catTrading,S845&gt;0,S845&lt;=Umbral),1,0))</f>
        <v/>
      </c>
      <c r="AB845" s="52">
        <f>IF(OR(P845="",Q845=""),"",IFERROR(IF(INDEX(ctaVinc,MATCH(Q845,ctaNombre,0))&amp;""&lt;&gt;"",INDEX(ctaVinc,MATCH(Q845,ctaNombre,0))&amp;"",Q845),Q845))</f>
        <v/>
      </c>
      <c r="AC845" s="52">
        <f>IF(OR(K845="",AND(P845&lt;&gt;"Transferencia",P845&lt;&gt;"Pago tarjeta")),"",IFERROR(IF(INDEX(ctaVinc,MATCH(K845,ctaNombre,0))&amp;""&lt;&gt;"",INDEX(ctaVinc,MATCH(K845,ctaNombre,0))&amp;"",K845),K845))</f>
        <v/>
      </c>
      <c r="AD845" s="52">
        <f>IF(AB845="","",IFERROR(INDEX(ctaTipo,MATCH(AB845,ctaNombre,0))&amp;"",""))</f>
        <v/>
      </c>
      <c r="AE845" s="52">
        <f>IF(AC845="","",IFERROR(INDEX(ctaTipo,MATCH(AC845,ctaNombre,0))&amp;"",""))</f>
        <v/>
      </c>
      <c r="AF845" s="53">
        <f>IF(OR(P845="",AB845=""),"",IF(OR(P845="Gasto",P845="Transferencia",P845="Pago tarjeta"),-1,1)*IF(IFERROR(INDEX(ctaMoneda,MATCH(AB845,ctaNombre,0))&amp;"","DOP")="USD",T845,S845))</f>
        <v/>
      </c>
      <c r="AG845" s="53">
        <f>IF(AC845="","",IF(IFERROR(INDEX(ctaMoneda,MATCH(AC845,ctaNombre,0))&amp;"","DOP")="USD",T845,S845))</f>
        <v/>
      </c>
      <c r="AH845" s="53">
        <f>IF(P845="","",IF(AND(AD845&lt;&gt;"",COUNTIFS(tcTipo,AD845,tcLiq,"Sí")&gt;0),IF(OR(P845="Gasto",P845="Transferencia",P845="Pago tarjeta"),-1,1)*S845,0)+IF(AND(AE845&lt;&gt;"",COUNTIFS(tcTipo,AE845,tcLiq,"Sí")&gt;0),S845,0))</f>
        <v/>
      </c>
      <c r="AI845" s="52">
        <f>IF(OR(L845="",P845=""),"",IF(COUNTIFS(L$6:L845,L845,P$6:P845,"?*")=1,MAX(AI$5:AI844)+1,""))</f>
        <v/>
      </c>
    </row>
    <row r="846">
      <c r="B846" s="47" t="n"/>
      <c r="C846" s="48" t="n"/>
      <c r="D846" s="48" t="n"/>
      <c r="E846" s="48" t="n"/>
      <c r="F846" s="48" t="n"/>
      <c r="G846" s="49" t="n"/>
      <c r="H846" s="48" t="n"/>
      <c r="I846" s="50" t="n"/>
      <c r="J846" s="48" t="n"/>
      <c r="K846" s="48" t="n"/>
      <c r="L846" s="48" t="n"/>
      <c r="M846" s="48" t="n"/>
      <c r="N846" s="48" t="n"/>
      <c r="O846" s="51">
        <f>IF(AND(B846="",G846="",C846="",D846="",J846=""),"",IF(B846="","⚠ Falta fecha",IF(G846="","⚠ Falta monto",IF(Q846="","⚠ Falta cuenta",IF(ISNA(MATCH(Q846,ctaNombre,0)),"⚠ Cuenta no registrada",IF(AND(OR(P846="Gasto",P846="Reembolso"),D846=""),"⚠ Falta categoría",IF(AND(D846&lt;&gt;"",E846&lt;&gt;"",ISNA(MATCH(D846&amp;"|"&amp;E846,catClave,0))),"⚠ Subcategoría no corresponde",IF(AND(OR(P846="Transferencia",P846="Pago tarjeta"),K846=""),"⚠ Falta cuenta destino",IF(AND(K846&lt;&gt;"",P846&lt;&gt;"Transferencia",P846&lt;&gt;"Pago tarjeta"),"⚠ Destino solo aplica a transferencias",IF(AND(K846&lt;&gt;"",K846=Q846),"⚠ Origen igual a destino",IF(AND(K846&lt;&gt;"",ISNA(MATCH(K846,ctaNombre,0))),"⚠ Destino no registrado",IF(AND(P846="Pago tarjeta",AE846&lt;&gt;"Tarjeta de crédito"),"⚠ El destino debe ser tarjeta de crédito",IF(AND(P846="Gasto",E846="Depósitos y retiros"),"⚠ Usa tipo Transferencia",IF(AND(P846="Resultado trading",AD846&lt;&gt;"Cuenta de trading"),"⚠ Usa una cuenta de trading",IF(AND(G846&lt;=0,P846&lt;&gt;"Ajuste",P846&lt;&gt;"Resultado trading"),"⚠ El monto debe ser positivo","✓")))))))))))))))</f>
        <v/>
      </c>
      <c r="P846" s="52">
        <f>IF(OR(B846="",G846=""),"",IF(C846="","Gasto",C846))</f>
        <v/>
      </c>
      <c r="Q846" s="52">
        <f>IF(P846="","",IF(J846&lt;&gt;"",J846,CuentaPred&amp;""))</f>
        <v/>
      </c>
      <c r="R846" s="52">
        <f>IF(P846="","",IF(ISNUMBER(I846),I846,TasaUSD))</f>
        <v/>
      </c>
      <c r="S846" s="53">
        <f>IF(P846="","",IF(H846="USD",G846*R846,G846))</f>
        <v/>
      </c>
      <c r="T846" s="53">
        <f>IF(P846="","",IF(H846="USD",G846,IF(R846&gt;0,G846/R846,0)))</f>
        <v/>
      </c>
      <c r="U846" s="53">
        <f>IF(P846="","",IF(P846="Gasto",S846,IF(P846="Reembolso",-S846,0)))</f>
        <v/>
      </c>
      <c r="V846" s="53">
        <f>IF(P846="","",IF(P846="Ingreso",S846,0))</f>
        <v/>
      </c>
      <c r="W846" s="53">
        <f>IF(P846="","",IF(P846="Resultado trading",S846,0))</f>
        <v/>
      </c>
      <c r="X846" s="52">
        <f>IF(OR(P846="Gasto",P846="Reembolso"),IF(M846&lt;&gt;"",M846,IFERROR(INDEX(catClasif,MATCH(D846&amp;"|"&amp;E846,catClave,0))&amp;"","Variable")),"")</f>
        <v/>
      </c>
      <c r="Y846" s="52">
        <f>IF(P846="","",IFERROR(INDEX(catGrupo,MATCH(D846&amp;"|"&amp;E846,catClave,0))&amp;"",""))</f>
        <v/>
      </c>
      <c r="Z846" s="52">
        <f>IF(P846="","",WEEKDAY(B846,2))</f>
        <v/>
      </c>
      <c r="AA846" s="52">
        <f>IF(P846="","",IF(AND(P846="Gasto",X846="Variable",D846&lt;&gt;catTrading,S846&gt;0,S846&lt;=Umbral),1,0))</f>
        <v/>
      </c>
      <c r="AB846" s="52">
        <f>IF(OR(P846="",Q846=""),"",IFERROR(IF(INDEX(ctaVinc,MATCH(Q846,ctaNombre,0))&amp;""&lt;&gt;"",INDEX(ctaVinc,MATCH(Q846,ctaNombre,0))&amp;"",Q846),Q846))</f>
        <v/>
      </c>
      <c r="AC846" s="52">
        <f>IF(OR(K846="",AND(P846&lt;&gt;"Transferencia",P846&lt;&gt;"Pago tarjeta")),"",IFERROR(IF(INDEX(ctaVinc,MATCH(K846,ctaNombre,0))&amp;""&lt;&gt;"",INDEX(ctaVinc,MATCH(K846,ctaNombre,0))&amp;"",K846),K846))</f>
        <v/>
      </c>
      <c r="AD846" s="52">
        <f>IF(AB846="","",IFERROR(INDEX(ctaTipo,MATCH(AB846,ctaNombre,0))&amp;"",""))</f>
        <v/>
      </c>
      <c r="AE846" s="52">
        <f>IF(AC846="","",IFERROR(INDEX(ctaTipo,MATCH(AC846,ctaNombre,0))&amp;"",""))</f>
        <v/>
      </c>
      <c r="AF846" s="53">
        <f>IF(OR(P846="",AB846=""),"",IF(OR(P846="Gasto",P846="Transferencia",P846="Pago tarjeta"),-1,1)*IF(IFERROR(INDEX(ctaMoneda,MATCH(AB846,ctaNombre,0))&amp;"","DOP")="USD",T846,S846))</f>
        <v/>
      </c>
      <c r="AG846" s="53">
        <f>IF(AC846="","",IF(IFERROR(INDEX(ctaMoneda,MATCH(AC846,ctaNombre,0))&amp;"","DOP")="USD",T846,S846))</f>
        <v/>
      </c>
      <c r="AH846" s="53">
        <f>IF(P846="","",IF(AND(AD846&lt;&gt;"",COUNTIFS(tcTipo,AD846,tcLiq,"Sí")&gt;0),IF(OR(P846="Gasto",P846="Transferencia",P846="Pago tarjeta"),-1,1)*S846,0)+IF(AND(AE846&lt;&gt;"",COUNTIFS(tcTipo,AE846,tcLiq,"Sí")&gt;0),S846,0))</f>
        <v/>
      </c>
      <c r="AI846" s="52">
        <f>IF(OR(L846="",P846=""),"",IF(COUNTIFS(L$6:L846,L846,P$6:P846,"?*")=1,MAX(AI$5:AI845)+1,""))</f>
        <v/>
      </c>
    </row>
    <row r="847">
      <c r="B847" s="47" t="n"/>
      <c r="C847" s="48" t="n"/>
      <c r="D847" s="48" t="n"/>
      <c r="E847" s="48" t="n"/>
      <c r="F847" s="48" t="n"/>
      <c r="G847" s="49" t="n"/>
      <c r="H847" s="48" t="n"/>
      <c r="I847" s="50" t="n"/>
      <c r="J847" s="48" t="n"/>
      <c r="K847" s="48" t="n"/>
      <c r="L847" s="48" t="n"/>
      <c r="M847" s="48" t="n"/>
      <c r="N847" s="48" t="n"/>
      <c r="O847" s="51">
        <f>IF(AND(B847="",G847="",C847="",D847="",J847=""),"",IF(B847="","⚠ Falta fecha",IF(G847="","⚠ Falta monto",IF(Q847="","⚠ Falta cuenta",IF(ISNA(MATCH(Q847,ctaNombre,0)),"⚠ Cuenta no registrada",IF(AND(OR(P847="Gasto",P847="Reembolso"),D847=""),"⚠ Falta categoría",IF(AND(D847&lt;&gt;"",E847&lt;&gt;"",ISNA(MATCH(D847&amp;"|"&amp;E847,catClave,0))),"⚠ Subcategoría no corresponde",IF(AND(OR(P847="Transferencia",P847="Pago tarjeta"),K847=""),"⚠ Falta cuenta destino",IF(AND(K847&lt;&gt;"",P847&lt;&gt;"Transferencia",P847&lt;&gt;"Pago tarjeta"),"⚠ Destino solo aplica a transferencias",IF(AND(K847&lt;&gt;"",K847=Q847),"⚠ Origen igual a destino",IF(AND(K847&lt;&gt;"",ISNA(MATCH(K847,ctaNombre,0))),"⚠ Destino no registrado",IF(AND(P847="Pago tarjeta",AE847&lt;&gt;"Tarjeta de crédito"),"⚠ El destino debe ser tarjeta de crédito",IF(AND(P847="Gasto",E847="Depósitos y retiros"),"⚠ Usa tipo Transferencia",IF(AND(P847="Resultado trading",AD847&lt;&gt;"Cuenta de trading"),"⚠ Usa una cuenta de trading",IF(AND(G847&lt;=0,P847&lt;&gt;"Ajuste",P847&lt;&gt;"Resultado trading"),"⚠ El monto debe ser positivo","✓")))))))))))))))</f>
        <v/>
      </c>
      <c r="P847" s="52">
        <f>IF(OR(B847="",G847=""),"",IF(C847="","Gasto",C847))</f>
        <v/>
      </c>
      <c r="Q847" s="52">
        <f>IF(P847="","",IF(J847&lt;&gt;"",J847,CuentaPred&amp;""))</f>
        <v/>
      </c>
      <c r="R847" s="52">
        <f>IF(P847="","",IF(ISNUMBER(I847),I847,TasaUSD))</f>
        <v/>
      </c>
      <c r="S847" s="53">
        <f>IF(P847="","",IF(H847="USD",G847*R847,G847))</f>
        <v/>
      </c>
      <c r="T847" s="53">
        <f>IF(P847="","",IF(H847="USD",G847,IF(R847&gt;0,G847/R847,0)))</f>
        <v/>
      </c>
      <c r="U847" s="53">
        <f>IF(P847="","",IF(P847="Gasto",S847,IF(P847="Reembolso",-S847,0)))</f>
        <v/>
      </c>
      <c r="V847" s="53">
        <f>IF(P847="","",IF(P847="Ingreso",S847,0))</f>
        <v/>
      </c>
      <c r="W847" s="53">
        <f>IF(P847="","",IF(P847="Resultado trading",S847,0))</f>
        <v/>
      </c>
      <c r="X847" s="52">
        <f>IF(OR(P847="Gasto",P847="Reembolso"),IF(M847&lt;&gt;"",M847,IFERROR(INDEX(catClasif,MATCH(D847&amp;"|"&amp;E847,catClave,0))&amp;"","Variable")),"")</f>
        <v/>
      </c>
      <c r="Y847" s="52">
        <f>IF(P847="","",IFERROR(INDEX(catGrupo,MATCH(D847&amp;"|"&amp;E847,catClave,0))&amp;"",""))</f>
        <v/>
      </c>
      <c r="Z847" s="52">
        <f>IF(P847="","",WEEKDAY(B847,2))</f>
        <v/>
      </c>
      <c r="AA847" s="52">
        <f>IF(P847="","",IF(AND(P847="Gasto",X847="Variable",D847&lt;&gt;catTrading,S847&gt;0,S847&lt;=Umbral),1,0))</f>
        <v/>
      </c>
      <c r="AB847" s="52">
        <f>IF(OR(P847="",Q847=""),"",IFERROR(IF(INDEX(ctaVinc,MATCH(Q847,ctaNombre,0))&amp;""&lt;&gt;"",INDEX(ctaVinc,MATCH(Q847,ctaNombre,0))&amp;"",Q847),Q847))</f>
        <v/>
      </c>
      <c r="AC847" s="52">
        <f>IF(OR(K847="",AND(P847&lt;&gt;"Transferencia",P847&lt;&gt;"Pago tarjeta")),"",IFERROR(IF(INDEX(ctaVinc,MATCH(K847,ctaNombre,0))&amp;""&lt;&gt;"",INDEX(ctaVinc,MATCH(K847,ctaNombre,0))&amp;"",K847),K847))</f>
        <v/>
      </c>
      <c r="AD847" s="52">
        <f>IF(AB847="","",IFERROR(INDEX(ctaTipo,MATCH(AB847,ctaNombre,0))&amp;"",""))</f>
        <v/>
      </c>
      <c r="AE847" s="52">
        <f>IF(AC847="","",IFERROR(INDEX(ctaTipo,MATCH(AC847,ctaNombre,0))&amp;"",""))</f>
        <v/>
      </c>
      <c r="AF847" s="53">
        <f>IF(OR(P847="",AB847=""),"",IF(OR(P847="Gasto",P847="Transferencia",P847="Pago tarjeta"),-1,1)*IF(IFERROR(INDEX(ctaMoneda,MATCH(AB847,ctaNombre,0))&amp;"","DOP")="USD",T847,S847))</f>
        <v/>
      </c>
      <c r="AG847" s="53">
        <f>IF(AC847="","",IF(IFERROR(INDEX(ctaMoneda,MATCH(AC847,ctaNombre,0))&amp;"","DOP")="USD",T847,S847))</f>
        <v/>
      </c>
      <c r="AH847" s="53">
        <f>IF(P847="","",IF(AND(AD847&lt;&gt;"",COUNTIFS(tcTipo,AD847,tcLiq,"Sí")&gt;0),IF(OR(P847="Gasto",P847="Transferencia",P847="Pago tarjeta"),-1,1)*S847,0)+IF(AND(AE847&lt;&gt;"",COUNTIFS(tcTipo,AE847,tcLiq,"Sí")&gt;0),S847,0))</f>
        <v/>
      </c>
      <c r="AI847" s="52">
        <f>IF(OR(L847="",P847=""),"",IF(COUNTIFS(L$6:L847,L847,P$6:P847,"?*")=1,MAX(AI$5:AI846)+1,""))</f>
        <v/>
      </c>
    </row>
    <row r="848">
      <c r="B848" s="47" t="n"/>
      <c r="C848" s="48" t="n"/>
      <c r="D848" s="48" t="n"/>
      <c r="E848" s="48" t="n"/>
      <c r="F848" s="48" t="n"/>
      <c r="G848" s="49" t="n"/>
      <c r="H848" s="48" t="n"/>
      <c r="I848" s="50" t="n"/>
      <c r="J848" s="48" t="n"/>
      <c r="K848" s="48" t="n"/>
      <c r="L848" s="48" t="n"/>
      <c r="M848" s="48" t="n"/>
      <c r="N848" s="48" t="n"/>
      <c r="O848" s="51">
        <f>IF(AND(B848="",G848="",C848="",D848="",J848=""),"",IF(B848="","⚠ Falta fecha",IF(G848="","⚠ Falta monto",IF(Q848="","⚠ Falta cuenta",IF(ISNA(MATCH(Q848,ctaNombre,0)),"⚠ Cuenta no registrada",IF(AND(OR(P848="Gasto",P848="Reembolso"),D848=""),"⚠ Falta categoría",IF(AND(D848&lt;&gt;"",E848&lt;&gt;"",ISNA(MATCH(D848&amp;"|"&amp;E848,catClave,0))),"⚠ Subcategoría no corresponde",IF(AND(OR(P848="Transferencia",P848="Pago tarjeta"),K848=""),"⚠ Falta cuenta destino",IF(AND(K848&lt;&gt;"",P848&lt;&gt;"Transferencia",P848&lt;&gt;"Pago tarjeta"),"⚠ Destino solo aplica a transferencias",IF(AND(K848&lt;&gt;"",K848=Q848),"⚠ Origen igual a destino",IF(AND(K848&lt;&gt;"",ISNA(MATCH(K848,ctaNombre,0))),"⚠ Destino no registrado",IF(AND(P848="Pago tarjeta",AE848&lt;&gt;"Tarjeta de crédito"),"⚠ El destino debe ser tarjeta de crédito",IF(AND(P848="Gasto",E848="Depósitos y retiros"),"⚠ Usa tipo Transferencia",IF(AND(P848="Resultado trading",AD848&lt;&gt;"Cuenta de trading"),"⚠ Usa una cuenta de trading",IF(AND(G848&lt;=0,P848&lt;&gt;"Ajuste",P848&lt;&gt;"Resultado trading"),"⚠ El monto debe ser positivo","✓")))))))))))))))</f>
        <v/>
      </c>
      <c r="P848" s="52">
        <f>IF(OR(B848="",G848=""),"",IF(C848="","Gasto",C848))</f>
        <v/>
      </c>
      <c r="Q848" s="52">
        <f>IF(P848="","",IF(J848&lt;&gt;"",J848,CuentaPred&amp;""))</f>
        <v/>
      </c>
      <c r="R848" s="52">
        <f>IF(P848="","",IF(ISNUMBER(I848),I848,TasaUSD))</f>
        <v/>
      </c>
      <c r="S848" s="53">
        <f>IF(P848="","",IF(H848="USD",G848*R848,G848))</f>
        <v/>
      </c>
      <c r="T848" s="53">
        <f>IF(P848="","",IF(H848="USD",G848,IF(R848&gt;0,G848/R848,0)))</f>
        <v/>
      </c>
      <c r="U848" s="53">
        <f>IF(P848="","",IF(P848="Gasto",S848,IF(P848="Reembolso",-S848,0)))</f>
        <v/>
      </c>
      <c r="V848" s="53">
        <f>IF(P848="","",IF(P848="Ingreso",S848,0))</f>
        <v/>
      </c>
      <c r="W848" s="53">
        <f>IF(P848="","",IF(P848="Resultado trading",S848,0))</f>
        <v/>
      </c>
      <c r="X848" s="52">
        <f>IF(OR(P848="Gasto",P848="Reembolso"),IF(M848&lt;&gt;"",M848,IFERROR(INDEX(catClasif,MATCH(D848&amp;"|"&amp;E848,catClave,0))&amp;"","Variable")),"")</f>
        <v/>
      </c>
      <c r="Y848" s="52">
        <f>IF(P848="","",IFERROR(INDEX(catGrupo,MATCH(D848&amp;"|"&amp;E848,catClave,0))&amp;"",""))</f>
        <v/>
      </c>
      <c r="Z848" s="52">
        <f>IF(P848="","",WEEKDAY(B848,2))</f>
        <v/>
      </c>
      <c r="AA848" s="52">
        <f>IF(P848="","",IF(AND(P848="Gasto",X848="Variable",D848&lt;&gt;catTrading,S848&gt;0,S848&lt;=Umbral),1,0))</f>
        <v/>
      </c>
      <c r="AB848" s="52">
        <f>IF(OR(P848="",Q848=""),"",IFERROR(IF(INDEX(ctaVinc,MATCH(Q848,ctaNombre,0))&amp;""&lt;&gt;"",INDEX(ctaVinc,MATCH(Q848,ctaNombre,0))&amp;"",Q848),Q848))</f>
        <v/>
      </c>
      <c r="AC848" s="52">
        <f>IF(OR(K848="",AND(P848&lt;&gt;"Transferencia",P848&lt;&gt;"Pago tarjeta")),"",IFERROR(IF(INDEX(ctaVinc,MATCH(K848,ctaNombre,0))&amp;""&lt;&gt;"",INDEX(ctaVinc,MATCH(K848,ctaNombre,0))&amp;"",K848),K848))</f>
        <v/>
      </c>
      <c r="AD848" s="52">
        <f>IF(AB848="","",IFERROR(INDEX(ctaTipo,MATCH(AB848,ctaNombre,0))&amp;"",""))</f>
        <v/>
      </c>
      <c r="AE848" s="52">
        <f>IF(AC848="","",IFERROR(INDEX(ctaTipo,MATCH(AC848,ctaNombre,0))&amp;"",""))</f>
        <v/>
      </c>
      <c r="AF848" s="53">
        <f>IF(OR(P848="",AB848=""),"",IF(OR(P848="Gasto",P848="Transferencia",P848="Pago tarjeta"),-1,1)*IF(IFERROR(INDEX(ctaMoneda,MATCH(AB848,ctaNombre,0))&amp;"","DOP")="USD",T848,S848))</f>
        <v/>
      </c>
      <c r="AG848" s="53">
        <f>IF(AC848="","",IF(IFERROR(INDEX(ctaMoneda,MATCH(AC848,ctaNombre,0))&amp;"","DOP")="USD",T848,S848))</f>
        <v/>
      </c>
      <c r="AH848" s="53">
        <f>IF(P848="","",IF(AND(AD848&lt;&gt;"",COUNTIFS(tcTipo,AD848,tcLiq,"Sí")&gt;0),IF(OR(P848="Gasto",P848="Transferencia",P848="Pago tarjeta"),-1,1)*S848,0)+IF(AND(AE848&lt;&gt;"",COUNTIFS(tcTipo,AE848,tcLiq,"Sí")&gt;0),S848,0))</f>
        <v/>
      </c>
      <c r="AI848" s="52">
        <f>IF(OR(L848="",P848=""),"",IF(COUNTIFS(L$6:L848,L848,P$6:P848,"?*")=1,MAX(AI$5:AI847)+1,""))</f>
        <v/>
      </c>
    </row>
    <row r="849">
      <c r="B849" s="47" t="n"/>
      <c r="C849" s="48" t="n"/>
      <c r="D849" s="48" t="n"/>
      <c r="E849" s="48" t="n"/>
      <c r="F849" s="48" t="n"/>
      <c r="G849" s="49" t="n"/>
      <c r="H849" s="48" t="n"/>
      <c r="I849" s="50" t="n"/>
      <c r="J849" s="48" t="n"/>
      <c r="K849" s="48" t="n"/>
      <c r="L849" s="48" t="n"/>
      <c r="M849" s="48" t="n"/>
      <c r="N849" s="48" t="n"/>
      <c r="O849" s="51">
        <f>IF(AND(B849="",G849="",C849="",D849="",J849=""),"",IF(B849="","⚠ Falta fecha",IF(G849="","⚠ Falta monto",IF(Q849="","⚠ Falta cuenta",IF(ISNA(MATCH(Q849,ctaNombre,0)),"⚠ Cuenta no registrada",IF(AND(OR(P849="Gasto",P849="Reembolso"),D849=""),"⚠ Falta categoría",IF(AND(D849&lt;&gt;"",E849&lt;&gt;"",ISNA(MATCH(D849&amp;"|"&amp;E849,catClave,0))),"⚠ Subcategoría no corresponde",IF(AND(OR(P849="Transferencia",P849="Pago tarjeta"),K849=""),"⚠ Falta cuenta destino",IF(AND(K849&lt;&gt;"",P849&lt;&gt;"Transferencia",P849&lt;&gt;"Pago tarjeta"),"⚠ Destino solo aplica a transferencias",IF(AND(K849&lt;&gt;"",K849=Q849),"⚠ Origen igual a destino",IF(AND(K849&lt;&gt;"",ISNA(MATCH(K849,ctaNombre,0))),"⚠ Destino no registrado",IF(AND(P849="Pago tarjeta",AE849&lt;&gt;"Tarjeta de crédito"),"⚠ El destino debe ser tarjeta de crédito",IF(AND(P849="Gasto",E849="Depósitos y retiros"),"⚠ Usa tipo Transferencia",IF(AND(P849="Resultado trading",AD849&lt;&gt;"Cuenta de trading"),"⚠ Usa una cuenta de trading",IF(AND(G849&lt;=0,P849&lt;&gt;"Ajuste",P849&lt;&gt;"Resultado trading"),"⚠ El monto debe ser positivo","✓")))))))))))))))</f>
        <v/>
      </c>
      <c r="P849" s="52">
        <f>IF(OR(B849="",G849=""),"",IF(C849="","Gasto",C849))</f>
        <v/>
      </c>
      <c r="Q849" s="52">
        <f>IF(P849="","",IF(J849&lt;&gt;"",J849,CuentaPred&amp;""))</f>
        <v/>
      </c>
      <c r="R849" s="52">
        <f>IF(P849="","",IF(ISNUMBER(I849),I849,TasaUSD))</f>
        <v/>
      </c>
      <c r="S849" s="53">
        <f>IF(P849="","",IF(H849="USD",G849*R849,G849))</f>
        <v/>
      </c>
      <c r="T849" s="53">
        <f>IF(P849="","",IF(H849="USD",G849,IF(R849&gt;0,G849/R849,0)))</f>
        <v/>
      </c>
      <c r="U849" s="53">
        <f>IF(P849="","",IF(P849="Gasto",S849,IF(P849="Reembolso",-S849,0)))</f>
        <v/>
      </c>
      <c r="V849" s="53">
        <f>IF(P849="","",IF(P849="Ingreso",S849,0))</f>
        <v/>
      </c>
      <c r="W849" s="53">
        <f>IF(P849="","",IF(P849="Resultado trading",S849,0))</f>
        <v/>
      </c>
      <c r="X849" s="52">
        <f>IF(OR(P849="Gasto",P849="Reembolso"),IF(M849&lt;&gt;"",M849,IFERROR(INDEX(catClasif,MATCH(D849&amp;"|"&amp;E849,catClave,0))&amp;"","Variable")),"")</f>
        <v/>
      </c>
      <c r="Y849" s="52">
        <f>IF(P849="","",IFERROR(INDEX(catGrupo,MATCH(D849&amp;"|"&amp;E849,catClave,0))&amp;"",""))</f>
        <v/>
      </c>
      <c r="Z849" s="52">
        <f>IF(P849="","",WEEKDAY(B849,2))</f>
        <v/>
      </c>
      <c r="AA849" s="52">
        <f>IF(P849="","",IF(AND(P849="Gasto",X849="Variable",D849&lt;&gt;catTrading,S849&gt;0,S849&lt;=Umbral),1,0))</f>
        <v/>
      </c>
      <c r="AB849" s="52">
        <f>IF(OR(P849="",Q849=""),"",IFERROR(IF(INDEX(ctaVinc,MATCH(Q849,ctaNombre,0))&amp;""&lt;&gt;"",INDEX(ctaVinc,MATCH(Q849,ctaNombre,0))&amp;"",Q849),Q849))</f>
        <v/>
      </c>
      <c r="AC849" s="52">
        <f>IF(OR(K849="",AND(P849&lt;&gt;"Transferencia",P849&lt;&gt;"Pago tarjeta")),"",IFERROR(IF(INDEX(ctaVinc,MATCH(K849,ctaNombre,0))&amp;""&lt;&gt;"",INDEX(ctaVinc,MATCH(K849,ctaNombre,0))&amp;"",K849),K849))</f>
        <v/>
      </c>
      <c r="AD849" s="52">
        <f>IF(AB849="","",IFERROR(INDEX(ctaTipo,MATCH(AB849,ctaNombre,0))&amp;"",""))</f>
        <v/>
      </c>
      <c r="AE849" s="52">
        <f>IF(AC849="","",IFERROR(INDEX(ctaTipo,MATCH(AC849,ctaNombre,0))&amp;"",""))</f>
        <v/>
      </c>
      <c r="AF849" s="53">
        <f>IF(OR(P849="",AB849=""),"",IF(OR(P849="Gasto",P849="Transferencia",P849="Pago tarjeta"),-1,1)*IF(IFERROR(INDEX(ctaMoneda,MATCH(AB849,ctaNombre,0))&amp;"","DOP")="USD",T849,S849))</f>
        <v/>
      </c>
      <c r="AG849" s="53">
        <f>IF(AC849="","",IF(IFERROR(INDEX(ctaMoneda,MATCH(AC849,ctaNombre,0))&amp;"","DOP")="USD",T849,S849))</f>
        <v/>
      </c>
      <c r="AH849" s="53">
        <f>IF(P849="","",IF(AND(AD849&lt;&gt;"",COUNTIFS(tcTipo,AD849,tcLiq,"Sí")&gt;0),IF(OR(P849="Gasto",P849="Transferencia",P849="Pago tarjeta"),-1,1)*S849,0)+IF(AND(AE849&lt;&gt;"",COUNTIFS(tcTipo,AE849,tcLiq,"Sí")&gt;0),S849,0))</f>
        <v/>
      </c>
      <c r="AI849" s="52">
        <f>IF(OR(L849="",P849=""),"",IF(COUNTIFS(L$6:L849,L849,P$6:P849,"?*")=1,MAX(AI$5:AI848)+1,""))</f>
        <v/>
      </c>
    </row>
    <row r="850">
      <c r="B850" s="47" t="n"/>
      <c r="C850" s="48" t="n"/>
      <c r="D850" s="48" t="n"/>
      <c r="E850" s="48" t="n"/>
      <c r="F850" s="48" t="n"/>
      <c r="G850" s="49" t="n"/>
      <c r="H850" s="48" t="n"/>
      <c r="I850" s="50" t="n"/>
      <c r="J850" s="48" t="n"/>
      <c r="K850" s="48" t="n"/>
      <c r="L850" s="48" t="n"/>
      <c r="M850" s="48" t="n"/>
      <c r="N850" s="48" t="n"/>
      <c r="O850" s="51">
        <f>IF(AND(B850="",G850="",C850="",D850="",J850=""),"",IF(B850="","⚠ Falta fecha",IF(G850="","⚠ Falta monto",IF(Q850="","⚠ Falta cuenta",IF(ISNA(MATCH(Q850,ctaNombre,0)),"⚠ Cuenta no registrada",IF(AND(OR(P850="Gasto",P850="Reembolso"),D850=""),"⚠ Falta categoría",IF(AND(D850&lt;&gt;"",E850&lt;&gt;"",ISNA(MATCH(D850&amp;"|"&amp;E850,catClave,0))),"⚠ Subcategoría no corresponde",IF(AND(OR(P850="Transferencia",P850="Pago tarjeta"),K850=""),"⚠ Falta cuenta destino",IF(AND(K850&lt;&gt;"",P850&lt;&gt;"Transferencia",P850&lt;&gt;"Pago tarjeta"),"⚠ Destino solo aplica a transferencias",IF(AND(K850&lt;&gt;"",K850=Q850),"⚠ Origen igual a destino",IF(AND(K850&lt;&gt;"",ISNA(MATCH(K850,ctaNombre,0))),"⚠ Destino no registrado",IF(AND(P850="Pago tarjeta",AE850&lt;&gt;"Tarjeta de crédito"),"⚠ El destino debe ser tarjeta de crédito",IF(AND(P850="Gasto",E850="Depósitos y retiros"),"⚠ Usa tipo Transferencia",IF(AND(P850="Resultado trading",AD850&lt;&gt;"Cuenta de trading"),"⚠ Usa una cuenta de trading",IF(AND(G850&lt;=0,P850&lt;&gt;"Ajuste",P850&lt;&gt;"Resultado trading"),"⚠ El monto debe ser positivo","✓")))))))))))))))</f>
        <v/>
      </c>
      <c r="P850" s="52">
        <f>IF(OR(B850="",G850=""),"",IF(C850="","Gasto",C850))</f>
        <v/>
      </c>
      <c r="Q850" s="52">
        <f>IF(P850="","",IF(J850&lt;&gt;"",J850,CuentaPred&amp;""))</f>
        <v/>
      </c>
      <c r="R850" s="52">
        <f>IF(P850="","",IF(ISNUMBER(I850),I850,TasaUSD))</f>
        <v/>
      </c>
      <c r="S850" s="53">
        <f>IF(P850="","",IF(H850="USD",G850*R850,G850))</f>
        <v/>
      </c>
      <c r="T850" s="53">
        <f>IF(P850="","",IF(H850="USD",G850,IF(R850&gt;0,G850/R850,0)))</f>
        <v/>
      </c>
      <c r="U850" s="53">
        <f>IF(P850="","",IF(P850="Gasto",S850,IF(P850="Reembolso",-S850,0)))</f>
        <v/>
      </c>
      <c r="V850" s="53">
        <f>IF(P850="","",IF(P850="Ingreso",S850,0))</f>
        <v/>
      </c>
      <c r="W850" s="53">
        <f>IF(P850="","",IF(P850="Resultado trading",S850,0))</f>
        <v/>
      </c>
      <c r="X850" s="52">
        <f>IF(OR(P850="Gasto",P850="Reembolso"),IF(M850&lt;&gt;"",M850,IFERROR(INDEX(catClasif,MATCH(D850&amp;"|"&amp;E850,catClave,0))&amp;"","Variable")),"")</f>
        <v/>
      </c>
      <c r="Y850" s="52">
        <f>IF(P850="","",IFERROR(INDEX(catGrupo,MATCH(D850&amp;"|"&amp;E850,catClave,0))&amp;"",""))</f>
        <v/>
      </c>
      <c r="Z850" s="52">
        <f>IF(P850="","",WEEKDAY(B850,2))</f>
        <v/>
      </c>
      <c r="AA850" s="52">
        <f>IF(P850="","",IF(AND(P850="Gasto",X850="Variable",D850&lt;&gt;catTrading,S850&gt;0,S850&lt;=Umbral),1,0))</f>
        <v/>
      </c>
      <c r="AB850" s="52">
        <f>IF(OR(P850="",Q850=""),"",IFERROR(IF(INDEX(ctaVinc,MATCH(Q850,ctaNombre,0))&amp;""&lt;&gt;"",INDEX(ctaVinc,MATCH(Q850,ctaNombre,0))&amp;"",Q850),Q850))</f>
        <v/>
      </c>
      <c r="AC850" s="52">
        <f>IF(OR(K850="",AND(P850&lt;&gt;"Transferencia",P850&lt;&gt;"Pago tarjeta")),"",IFERROR(IF(INDEX(ctaVinc,MATCH(K850,ctaNombre,0))&amp;""&lt;&gt;"",INDEX(ctaVinc,MATCH(K850,ctaNombre,0))&amp;"",K850),K850))</f>
        <v/>
      </c>
      <c r="AD850" s="52">
        <f>IF(AB850="","",IFERROR(INDEX(ctaTipo,MATCH(AB850,ctaNombre,0))&amp;"",""))</f>
        <v/>
      </c>
      <c r="AE850" s="52">
        <f>IF(AC850="","",IFERROR(INDEX(ctaTipo,MATCH(AC850,ctaNombre,0))&amp;"",""))</f>
        <v/>
      </c>
      <c r="AF850" s="53">
        <f>IF(OR(P850="",AB850=""),"",IF(OR(P850="Gasto",P850="Transferencia",P850="Pago tarjeta"),-1,1)*IF(IFERROR(INDEX(ctaMoneda,MATCH(AB850,ctaNombre,0))&amp;"","DOP")="USD",T850,S850))</f>
        <v/>
      </c>
      <c r="AG850" s="53">
        <f>IF(AC850="","",IF(IFERROR(INDEX(ctaMoneda,MATCH(AC850,ctaNombre,0))&amp;"","DOP")="USD",T850,S850))</f>
        <v/>
      </c>
      <c r="AH850" s="53">
        <f>IF(P850="","",IF(AND(AD850&lt;&gt;"",COUNTIFS(tcTipo,AD850,tcLiq,"Sí")&gt;0),IF(OR(P850="Gasto",P850="Transferencia",P850="Pago tarjeta"),-1,1)*S850,0)+IF(AND(AE850&lt;&gt;"",COUNTIFS(tcTipo,AE850,tcLiq,"Sí")&gt;0),S850,0))</f>
        <v/>
      </c>
      <c r="AI850" s="52">
        <f>IF(OR(L850="",P850=""),"",IF(COUNTIFS(L$6:L850,L850,P$6:P850,"?*")=1,MAX(AI$5:AI849)+1,""))</f>
        <v/>
      </c>
    </row>
    <row r="851">
      <c r="B851" s="47" t="n"/>
      <c r="C851" s="48" t="n"/>
      <c r="D851" s="48" t="n"/>
      <c r="E851" s="48" t="n"/>
      <c r="F851" s="48" t="n"/>
      <c r="G851" s="49" t="n"/>
      <c r="H851" s="48" t="n"/>
      <c r="I851" s="50" t="n"/>
      <c r="J851" s="48" t="n"/>
      <c r="K851" s="48" t="n"/>
      <c r="L851" s="48" t="n"/>
      <c r="M851" s="48" t="n"/>
      <c r="N851" s="48" t="n"/>
      <c r="O851" s="51">
        <f>IF(AND(B851="",G851="",C851="",D851="",J851=""),"",IF(B851="","⚠ Falta fecha",IF(G851="","⚠ Falta monto",IF(Q851="","⚠ Falta cuenta",IF(ISNA(MATCH(Q851,ctaNombre,0)),"⚠ Cuenta no registrada",IF(AND(OR(P851="Gasto",P851="Reembolso"),D851=""),"⚠ Falta categoría",IF(AND(D851&lt;&gt;"",E851&lt;&gt;"",ISNA(MATCH(D851&amp;"|"&amp;E851,catClave,0))),"⚠ Subcategoría no corresponde",IF(AND(OR(P851="Transferencia",P851="Pago tarjeta"),K851=""),"⚠ Falta cuenta destino",IF(AND(K851&lt;&gt;"",P851&lt;&gt;"Transferencia",P851&lt;&gt;"Pago tarjeta"),"⚠ Destino solo aplica a transferencias",IF(AND(K851&lt;&gt;"",K851=Q851),"⚠ Origen igual a destino",IF(AND(K851&lt;&gt;"",ISNA(MATCH(K851,ctaNombre,0))),"⚠ Destino no registrado",IF(AND(P851="Pago tarjeta",AE851&lt;&gt;"Tarjeta de crédito"),"⚠ El destino debe ser tarjeta de crédito",IF(AND(P851="Gasto",E851="Depósitos y retiros"),"⚠ Usa tipo Transferencia",IF(AND(P851="Resultado trading",AD851&lt;&gt;"Cuenta de trading"),"⚠ Usa una cuenta de trading",IF(AND(G851&lt;=0,P851&lt;&gt;"Ajuste",P851&lt;&gt;"Resultado trading"),"⚠ El monto debe ser positivo","✓")))))))))))))))</f>
        <v/>
      </c>
      <c r="P851" s="52">
        <f>IF(OR(B851="",G851=""),"",IF(C851="","Gasto",C851))</f>
        <v/>
      </c>
      <c r="Q851" s="52">
        <f>IF(P851="","",IF(J851&lt;&gt;"",J851,CuentaPred&amp;""))</f>
        <v/>
      </c>
      <c r="R851" s="52">
        <f>IF(P851="","",IF(ISNUMBER(I851),I851,TasaUSD))</f>
        <v/>
      </c>
      <c r="S851" s="53">
        <f>IF(P851="","",IF(H851="USD",G851*R851,G851))</f>
        <v/>
      </c>
      <c r="T851" s="53">
        <f>IF(P851="","",IF(H851="USD",G851,IF(R851&gt;0,G851/R851,0)))</f>
        <v/>
      </c>
      <c r="U851" s="53">
        <f>IF(P851="","",IF(P851="Gasto",S851,IF(P851="Reembolso",-S851,0)))</f>
        <v/>
      </c>
      <c r="V851" s="53">
        <f>IF(P851="","",IF(P851="Ingreso",S851,0))</f>
        <v/>
      </c>
      <c r="W851" s="53">
        <f>IF(P851="","",IF(P851="Resultado trading",S851,0))</f>
        <v/>
      </c>
      <c r="X851" s="52">
        <f>IF(OR(P851="Gasto",P851="Reembolso"),IF(M851&lt;&gt;"",M851,IFERROR(INDEX(catClasif,MATCH(D851&amp;"|"&amp;E851,catClave,0))&amp;"","Variable")),"")</f>
        <v/>
      </c>
      <c r="Y851" s="52">
        <f>IF(P851="","",IFERROR(INDEX(catGrupo,MATCH(D851&amp;"|"&amp;E851,catClave,0))&amp;"",""))</f>
        <v/>
      </c>
      <c r="Z851" s="52">
        <f>IF(P851="","",WEEKDAY(B851,2))</f>
        <v/>
      </c>
      <c r="AA851" s="52">
        <f>IF(P851="","",IF(AND(P851="Gasto",X851="Variable",D851&lt;&gt;catTrading,S851&gt;0,S851&lt;=Umbral),1,0))</f>
        <v/>
      </c>
      <c r="AB851" s="52">
        <f>IF(OR(P851="",Q851=""),"",IFERROR(IF(INDEX(ctaVinc,MATCH(Q851,ctaNombre,0))&amp;""&lt;&gt;"",INDEX(ctaVinc,MATCH(Q851,ctaNombre,0))&amp;"",Q851),Q851))</f>
        <v/>
      </c>
      <c r="AC851" s="52">
        <f>IF(OR(K851="",AND(P851&lt;&gt;"Transferencia",P851&lt;&gt;"Pago tarjeta")),"",IFERROR(IF(INDEX(ctaVinc,MATCH(K851,ctaNombre,0))&amp;""&lt;&gt;"",INDEX(ctaVinc,MATCH(K851,ctaNombre,0))&amp;"",K851),K851))</f>
        <v/>
      </c>
      <c r="AD851" s="52">
        <f>IF(AB851="","",IFERROR(INDEX(ctaTipo,MATCH(AB851,ctaNombre,0))&amp;"",""))</f>
        <v/>
      </c>
      <c r="AE851" s="52">
        <f>IF(AC851="","",IFERROR(INDEX(ctaTipo,MATCH(AC851,ctaNombre,0))&amp;"",""))</f>
        <v/>
      </c>
      <c r="AF851" s="53">
        <f>IF(OR(P851="",AB851=""),"",IF(OR(P851="Gasto",P851="Transferencia",P851="Pago tarjeta"),-1,1)*IF(IFERROR(INDEX(ctaMoneda,MATCH(AB851,ctaNombre,0))&amp;"","DOP")="USD",T851,S851))</f>
        <v/>
      </c>
      <c r="AG851" s="53">
        <f>IF(AC851="","",IF(IFERROR(INDEX(ctaMoneda,MATCH(AC851,ctaNombre,0))&amp;"","DOP")="USD",T851,S851))</f>
        <v/>
      </c>
      <c r="AH851" s="53">
        <f>IF(P851="","",IF(AND(AD851&lt;&gt;"",COUNTIFS(tcTipo,AD851,tcLiq,"Sí")&gt;0),IF(OR(P851="Gasto",P851="Transferencia",P851="Pago tarjeta"),-1,1)*S851,0)+IF(AND(AE851&lt;&gt;"",COUNTIFS(tcTipo,AE851,tcLiq,"Sí")&gt;0),S851,0))</f>
        <v/>
      </c>
      <c r="AI851" s="52">
        <f>IF(OR(L851="",P851=""),"",IF(COUNTIFS(L$6:L851,L851,P$6:P851,"?*")=1,MAX(AI$5:AI850)+1,""))</f>
        <v/>
      </c>
    </row>
    <row r="852">
      <c r="B852" s="47" t="n"/>
      <c r="C852" s="48" t="n"/>
      <c r="D852" s="48" t="n"/>
      <c r="E852" s="48" t="n"/>
      <c r="F852" s="48" t="n"/>
      <c r="G852" s="49" t="n"/>
      <c r="H852" s="48" t="n"/>
      <c r="I852" s="50" t="n"/>
      <c r="J852" s="48" t="n"/>
      <c r="K852" s="48" t="n"/>
      <c r="L852" s="48" t="n"/>
      <c r="M852" s="48" t="n"/>
      <c r="N852" s="48" t="n"/>
      <c r="O852" s="51">
        <f>IF(AND(B852="",G852="",C852="",D852="",J852=""),"",IF(B852="","⚠ Falta fecha",IF(G852="","⚠ Falta monto",IF(Q852="","⚠ Falta cuenta",IF(ISNA(MATCH(Q852,ctaNombre,0)),"⚠ Cuenta no registrada",IF(AND(OR(P852="Gasto",P852="Reembolso"),D852=""),"⚠ Falta categoría",IF(AND(D852&lt;&gt;"",E852&lt;&gt;"",ISNA(MATCH(D852&amp;"|"&amp;E852,catClave,0))),"⚠ Subcategoría no corresponde",IF(AND(OR(P852="Transferencia",P852="Pago tarjeta"),K852=""),"⚠ Falta cuenta destino",IF(AND(K852&lt;&gt;"",P852&lt;&gt;"Transferencia",P852&lt;&gt;"Pago tarjeta"),"⚠ Destino solo aplica a transferencias",IF(AND(K852&lt;&gt;"",K852=Q852),"⚠ Origen igual a destino",IF(AND(K852&lt;&gt;"",ISNA(MATCH(K852,ctaNombre,0))),"⚠ Destino no registrado",IF(AND(P852="Pago tarjeta",AE852&lt;&gt;"Tarjeta de crédito"),"⚠ El destino debe ser tarjeta de crédito",IF(AND(P852="Gasto",E852="Depósitos y retiros"),"⚠ Usa tipo Transferencia",IF(AND(P852="Resultado trading",AD852&lt;&gt;"Cuenta de trading"),"⚠ Usa una cuenta de trading",IF(AND(G852&lt;=0,P852&lt;&gt;"Ajuste",P852&lt;&gt;"Resultado trading"),"⚠ El monto debe ser positivo","✓")))))))))))))))</f>
        <v/>
      </c>
      <c r="P852" s="52">
        <f>IF(OR(B852="",G852=""),"",IF(C852="","Gasto",C852))</f>
        <v/>
      </c>
      <c r="Q852" s="52">
        <f>IF(P852="","",IF(J852&lt;&gt;"",J852,CuentaPred&amp;""))</f>
        <v/>
      </c>
      <c r="R852" s="52">
        <f>IF(P852="","",IF(ISNUMBER(I852),I852,TasaUSD))</f>
        <v/>
      </c>
      <c r="S852" s="53">
        <f>IF(P852="","",IF(H852="USD",G852*R852,G852))</f>
        <v/>
      </c>
      <c r="T852" s="53">
        <f>IF(P852="","",IF(H852="USD",G852,IF(R852&gt;0,G852/R852,0)))</f>
        <v/>
      </c>
      <c r="U852" s="53">
        <f>IF(P852="","",IF(P852="Gasto",S852,IF(P852="Reembolso",-S852,0)))</f>
        <v/>
      </c>
      <c r="V852" s="53">
        <f>IF(P852="","",IF(P852="Ingreso",S852,0))</f>
        <v/>
      </c>
      <c r="W852" s="53">
        <f>IF(P852="","",IF(P852="Resultado trading",S852,0))</f>
        <v/>
      </c>
      <c r="X852" s="52">
        <f>IF(OR(P852="Gasto",P852="Reembolso"),IF(M852&lt;&gt;"",M852,IFERROR(INDEX(catClasif,MATCH(D852&amp;"|"&amp;E852,catClave,0))&amp;"","Variable")),"")</f>
        <v/>
      </c>
      <c r="Y852" s="52">
        <f>IF(P852="","",IFERROR(INDEX(catGrupo,MATCH(D852&amp;"|"&amp;E852,catClave,0))&amp;"",""))</f>
        <v/>
      </c>
      <c r="Z852" s="52">
        <f>IF(P852="","",WEEKDAY(B852,2))</f>
        <v/>
      </c>
      <c r="AA852" s="52">
        <f>IF(P852="","",IF(AND(P852="Gasto",X852="Variable",D852&lt;&gt;catTrading,S852&gt;0,S852&lt;=Umbral),1,0))</f>
        <v/>
      </c>
      <c r="AB852" s="52">
        <f>IF(OR(P852="",Q852=""),"",IFERROR(IF(INDEX(ctaVinc,MATCH(Q852,ctaNombre,0))&amp;""&lt;&gt;"",INDEX(ctaVinc,MATCH(Q852,ctaNombre,0))&amp;"",Q852),Q852))</f>
        <v/>
      </c>
      <c r="AC852" s="52">
        <f>IF(OR(K852="",AND(P852&lt;&gt;"Transferencia",P852&lt;&gt;"Pago tarjeta")),"",IFERROR(IF(INDEX(ctaVinc,MATCH(K852,ctaNombre,0))&amp;""&lt;&gt;"",INDEX(ctaVinc,MATCH(K852,ctaNombre,0))&amp;"",K852),K852))</f>
        <v/>
      </c>
      <c r="AD852" s="52">
        <f>IF(AB852="","",IFERROR(INDEX(ctaTipo,MATCH(AB852,ctaNombre,0))&amp;"",""))</f>
        <v/>
      </c>
      <c r="AE852" s="52">
        <f>IF(AC852="","",IFERROR(INDEX(ctaTipo,MATCH(AC852,ctaNombre,0))&amp;"",""))</f>
        <v/>
      </c>
      <c r="AF852" s="53">
        <f>IF(OR(P852="",AB852=""),"",IF(OR(P852="Gasto",P852="Transferencia",P852="Pago tarjeta"),-1,1)*IF(IFERROR(INDEX(ctaMoneda,MATCH(AB852,ctaNombre,0))&amp;"","DOP")="USD",T852,S852))</f>
        <v/>
      </c>
      <c r="AG852" s="53">
        <f>IF(AC852="","",IF(IFERROR(INDEX(ctaMoneda,MATCH(AC852,ctaNombre,0))&amp;"","DOP")="USD",T852,S852))</f>
        <v/>
      </c>
      <c r="AH852" s="53">
        <f>IF(P852="","",IF(AND(AD852&lt;&gt;"",COUNTIFS(tcTipo,AD852,tcLiq,"Sí")&gt;0),IF(OR(P852="Gasto",P852="Transferencia",P852="Pago tarjeta"),-1,1)*S852,0)+IF(AND(AE852&lt;&gt;"",COUNTIFS(tcTipo,AE852,tcLiq,"Sí")&gt;0),S852,0))</f>
        <v/>
      </c>
      <c r="AI852" s="52">
        <f>IF(OR(L852="",P852=""),"",IF(COUNTIFS(L$6:L852,L852,P$6:P852,"?*")=1,MAX(AI$5:AI851)+1,""))</f>
        <v/>
      </c>
    </row>
    <row r="853">
      <c r="B853" s="47" t="n"/>
      <c r="C853" s="48" t="n"/>
      <c r="D853" s="48" t="n"/>
      <c r="E853" s="48" t="n"/>
      <c r="F853" s="48" t="n"/>
      <c r="G853" s="49" t="n"/>
      <c r="H853" s="48" t="n"/>
      <c r="I853" s="50" t="n"/>
      <c r="J853" s="48" t="n"/>
      <c r="K853" s="48" t="n"/>
      <c r="L853" s="48" t="n"/>
      <c r="M853" s="48" t="n"/>
      <c r="N853" s="48" t="n"/>
      <c r="O853" s="51">
        <f>IF(AND(B853="",G853="",C853="",D853="",J853=""),"",IF(B853="","⚠ Falta fecha",IF(G853="","⚠ Falta monto",IF(Q853="","⚠ Falta cuenta",IF(ISNA(MATCH(Q853,ctaNombre,0)),"⚠ Cuenta no registrada",IF(AND(OR(P853="Gasto",P853="Reembolso"),D853=""),"⚠ Falta categoría",IF(AND(D853&lt;&gt;"",E853&lt;&gt;"",ISNA(MATCH(D853&amp;"|"&amp;E853,catClave,0))),"⚠ Subcategoría no corresponde",IF(AND(OR(P853="Transferencia",P853="Pago tarjeta"),K853=""),"⚠ Falta cuenta destino",IF(AND(K853&lt;&gt;"",P853&lt;&gt;"Transferencia",P853&lt;&gt;"Pago tarjeta"),"⚠ Destino solo aplica a transferencias",IF(AND(K853&lt;&gt;"",K853=Q853),"⚠ Origen igual a destino",IF(AND(K853&lt;&gt;"",ISNA(MATCH(K853,ctaNombre,0))),"⚠ Destino no registrado",IF(AND(P853="Pago tarjeta",AE853&lt;&gt;"Tarjeta de crédito"),"⚠ El destino debe ser tarjeta de crédito",IF(AND(P853="Gasto",E853="Depósitos y retiros"),"⚠ Usa tipo Transferencia",IF(AND(P853="Resultado trading",AD853&lt;&gt;"Cuenta de trading"),"⚠ Usa una cuenta de trading",IF(AND(G853&lt;=0,P853&lt;&gt;"Ajuste",P853&lt;&gt;"Resultado trading"),"⚠ El monto debe ser positivo","✓")))))))))))))))</f>
        <v/>
      </c>
      <c r="P853" s="52">
        <f>IF(OR(B853="",G853=""),"",IF(C853="","Gasto",C853))</f>
        <v/>
      </c>
      <c r="Q853" s="52">
        <f>IF(P853="","",IF(J853&lt;&gt;"",J853,CuentaPred&amp;""))</f>
        <v/>
      </c>
      <c r="R853" s="52">
        <f>IF(P853="","",IF(ISNUMBER(I853),I853,TasaUSD))</f>
        <v/>
      </c>
      <c r="S853" s="53">
        <f>IF(P853="","",IF(H853="USD",G853*R853,G853))</f>
        <v/>
      </c>
      <c r="T853" s="53">
        <f>IF(P853="","",IF(H853="USD",G853,IF(R853&gt;0,G853/R853,0)))</f>
        <v/>
      </c>
      <c r="U853" s="53">
        <f>IF(P853="","",IF(P853="Gasto",S853,IF(P853="Reembolso",-S853,0)))</f>
        <v/>
      </c>
      <c r="V853" s="53">
        <f>IF(P853="","",IF(P853="Ingreso",S853,0))</f>
        <v/>
      </c>
      <c r="W853" s="53">
        <f>IF(P853="","",IF(P853="Resultado trading",S853,0))</f>
        <v/>
      </c>
      <c r="X853" s="52">
        <f>IF(OR(P853="Gasto",P853="Reembolso"),IF(M853&lt;&gt;"",M853,IFERROR(INDEX(catClasif,MATCH(D853&amp;"|"&amp;E853,catClave,0))&amp;"","Variable")),"")</f>
        <v/>
      </c>
      <c r="Y853" s="52">
        <f>IF(P853="","",IFERROR(INDEX(catGrupo,MATCH(D853&amp;"|"&amp;E853,catClave,0))&amp;"",""))</f>
        <v/>
      </c>
      <c r="Z853" s="52">
        <f>IF(P853="","",WEEKDAY(B853,2))</f>
        <v/>
      </c>
      <c r="AA853" s="52">
        <f>IF(P853="","",IF(AND(P853="Gasto",X853="Variable",D853&lt;&gt;catTrading,S853&gt;0,S853&lt;=Umbral),1,0))</f>
        <v/>
      </c>
      <c r="AB853" s="52">
        <f>IF(OR(P853="",Q853=""),"",IFERROR(IF(INDEX(ctaVinc,MATCH(Q853,ctaNombre,0))&amp;""&lt;&gt;"",INDEX(ctaVinc,MATCH(Q853,ctaNombre,0))&amp;"",Q853),Q853))</f>
        <v/>
      </c>
      <c r="AC853" s="52">
        <f>IF(OR(K853="",AND(P853&lt;&gt;"Transferencia",P853&lt;&gt;"Pago tarjeta")),"",IFERROR(IF(INDEX(ctaVinc,MATCH(K853,ctaNombre,0))&amp;""&lt;&gt;"",INDEX(ctaVinc,MATCH(K853,ctaNombre,0))&amp;"",K853),K853))</f>
        <v/>
      </c>
      <c r="AD853" s="52">
        <f>IF(AB853="","",IFERROR(INDEX(ctaTipo,MATCH(AB853,ctaNombre,0))&amp;"",""))</f>
        <v/>
      </c>
      <c r="AE853" s="52">
        <f>IF(AC853="","",IFERROR(INDEX(ctaTipo,MATCH(AC853,ctaNombre,0))&amp;"",""))</f>
        <v/>
      </c>
      <c r="AF853" s="53">
        <f>IF(OR(P853="",AB853=""),"",IF(OR(P853="Gasto",P853="Transferencia",P853="Pago tarjeta"),-1,1)*IF(IFERROR(INDEX(ctaMoneda,MATCH(AB853,ctaNombre,0))&amp;"","DOP")="USD",T853,S853))</f>
        <v/>
      </c>
      <c r="AG853" s="53">
        <f>IF(AC853="","",IF(IFERROR(INDEX(ctaMoneda,MATCH(AC853,ctaNombre,0))&amp;"","DOP")="USD",T853,S853))</f>
        <v/>
      </c>
      <c r="AH853" s="53">
        <f>IF(P853="","",IF(AND(AD853&lt;&gt;"",COUNTIFS(tcTipo,AD853,tcLiq,"Sí")&gt;0),IF(OR(P853="Gasto",P853="Transferencia",P853="Pago tarjeta"),-1,1)*S853,0)+IF(AND(AE853&lt;&gt;"",COUNTIFS(tcTipo,AE853,tcLiq,"Sí")&gt;0),S853,0))</f>
        <v/>
      </c>
      <c r="AI853" s="52">
        <f>IF(OR(L853="",P853=""),"",IF(COUNTIFS(L$6:L853,L853,P$6:P853,"?*")=1,MAX(AI$5:AI852)+1,""))</f>
        <v/>
      </c>
    </row>
    <row r="854">
      <c r="B854" s="47" t="n"/>
      <c r="C854" s="48" t="n"/>
      <c r="D854" s="48" t="n"/>
      <c r="E854" s="48" t="n"/>
      <c r="F854" s="48" t="n"/>
      <c r="G854" s="49" t="n"/>
      <c r="H854" s="48" t="n"/>
      <c r="I854" s="50" t="n"/>
      <c r="J854" s="48" t="n"/>
      <c r="K854" s="48" t="n"/>
      <c r="L854" s="48" t="n"/>
      <c r="M854" s="48" t="n"/>
      <c r="N854" s="48" t="n"/>
      <c r="O854" s="51">
        <f>IF(AND(B854="",G854="",C854="",D854="",J854=""),"",IF(B854="","⚠ Falta fecha",IF(G854="","⚠ Falta monto",IF(Q854="","⚠ Falta cuenta",IF(ISNA(MATCH(Q854,ctaNombre,0)),"⚠ Cuenta no registrada",IF(AND(OR(P854="Gasto",P854="Reembolso"),D854=""),"⚠ Falta categoría",IF(AND(D854&lt;&gt;"",E854&lt;&gt;"",ISNA(MATCH(D854&amp;"|"&amp;E854,catClave,0))),"⚠ Subcategoría no corresponde",IF(AND(OR(P854="Transferencia",P854="Pago tarjeta"),K854=""),"⚠ Falta cuenta destino",IF(AND(K854&lt;&gt;"",P854&lt;&gt;"Transferencia",P854&lt;&gt;"Pago tarjeta"),"⚠ Destino solo aplica a transferencias",IF(AND(K854&lt;&gt;"",K854=Q854),"⚠ Origen igual a destino",IF(AND(K854&lt;&gt;"",ISNA(MATCH(K854,ctaNombre,0))),"⚠ Destino no registrado",IF(AND(P854="Pago tarjeta",AE854&lt;&gt;"Tarjeta de crédito"),"⚠ El destino debe ser tarjeta de crédito",IF(AND(P854="Gasto",E854="Depósitos y retiros"),"⚠ Usa tipo Transferencia",IF(AND(P854="Resultado trading",AD854&lt;&gt;"Cuenta de trading"),"⚠ Usa una cuenta de trading",IF(AND(G854&lt;=0,P854&lt;&gt;"Ajuste",P854&lt;&gt;"Resultado trading"),"⚠ El monto debe ser positivo","✓")))))))))))))))</f>
        <v/>
      </c>
      <c r="P854" s="52">
        <f>IF(OR(B854="",G854=""),"",IF(C854="","Gasto",C854))</f>
        <v/>
      </c>
      <c r="Q854" s="52">
        <f>IF(P854="","",IF(J854&lt;&gt;"",J854,CuentaPred&amp;""))</f>
        <v/>
      </c>
      <c r="R854" s="52">
        <f>IF(P854="","",IF(ISNUMBER(I854),I854,TasaUSD))</f>
        <v/>
      </c>
      <c r="S854" s="53">
        <f>IF(P854="","",IF(H854="USD",G854*R854,G854))</f>
        <v/>
      </c>
      <c r="T854" s="53">
        <f>IF(P854="","",IF(H854="USD",G854,IF(R854&gt;0,G854/R854,0)))</f>
        <v/>
      </c>
      <c r="U854" s="53">
        <f>IF(P854="","",IF(P854="Gasto",S854,IF(P854="Reembolso",-S854,0)))</f>
        <v/>
      </c>
      <c r="V854" s="53">
        <f>IF(P854="","",IF(P854="Ingreso",S854,0))</f>
        <v/>
      </c>
      <c r="W854" s="53">
        <f>IF(P854="","",IF(P854="Resultado trading",S854,0))</f>
        <v/>
      </c>
      <c r="X854" s="52">
        <f>IF(OR(P854="Gasto",P854="Reembolso"),IF(M854&lt;&gt;"",M854,IFERROR(INDEX(catClasif,MATCH(D854&amp;"|"&amp;E854,catClave,0))&amp;"","Variable")),"")</f>
        <v/>
      </c>
      <c r="Y854" s="52">
        <f>IF(P854="","",IFERROR(INDEX(catGrupo,MATCH(D854&amp;"|"&amp;E854,catClave,0))&amp;"",""))</f>
        <v/>
      </c>
      <c r="Z854" s="52">
        <f>IF(P854="","",WEEKDAY(B854,2))</f>
        <v/>
      </c>
      <c r="AA854" s="52">
        <f>IF(P854="","",IF(AND(P854="Gasto",X854="Variable",D854&lt;&gt;catTrading,S854&gt;0,S854&lt;=Umbral),1,0))</f>
        <v/>
      </c>
      <c r="AB854" s="52">
        <f>IF(OR(P854="",Q854=""),"",IFERROR(IF(INDEX(ctaVinc,MATCH(Q854,ctaNombre,0))&amp;""&lt;&gt;"",INDEX(ctaVinc,MATCH(Q854,ctaNombre,0))&amp;"",Q854),Q854))</f>
        <v/>
      </c>
      <c r="AC854" s="52">
        <f>IF(OR(K854="",AND(P854&lt;&gt;"Transferencia",P854&lt;&gt;"Pago tarjeta")),"",IFERROR(IF(INDEX(ctaVinc,MATCH(K854,ctaNombre,0))&amp;""&lt;&gt;"",INDEX(ctaVinc,MATCH(K854,ctaNombre,0))&amp;"",K854),K854))</f>
        <v/>
      </c>
      <c r="AD854" s="52">
        <f>IF(AB854="","",IFERROR(INDEX(ctaTipo,MATCH(AB854,ctaNombre,0))&amp;"",""))</f>
        <v/>
      </c>
      <c r="AE854" s="52">
        <f>IF(AC854="","",IFERROR(INDEX(ctaTipo,MATCH(AC854,ctaNombre,0))&amp;"",""))</f>
        <v/>
      </c>
      <c r="AF854" s="53">
        <f>IF(OR(P854="",AB854=""),"",IF(OR(P854="Gasto",P854="Transferencia",P854="Pago tarjeta"),-1,1)*IF(IFERROR(INDEX(ctaMoneda,MATCH(AB854,ctaNombre,0))&amp;"","DOP")="USD",T854,S854))</f>
        <v/>
      </c>
      <c r="AG854" s="53">
        <f>IF(AC854="","",IF(IFERROR(INDEX(ctaMoneda,MATCH(AC854,ctaNombre,0))&amp;"","DOP")="USD",T854,S854))</f>
        <v/>
      </c>
      <c r="AH854" s="53">
        <f>IF(P854="","",IF(AND(AD854&lt;&gt;"",COUNTIFS(tcTipo,AD854,tcLiq,"Sí")&gt;0),IF(OR(P854="Gasto",P854="Transferencia",P854="Pago tarjeta"),-1,1)*S854,0)+IF(AND(AE854&lt;&gt;"",COUNTIFS(tcTipo,AE854,tcLiq,"Sí")&gt;0),S854,0))</f>
        <v/>
      </c>
      <c r="AI854" s="52">
        <f>IF(OR(L854="",P854=""),"",IF(COUNTIFS(L$6:L854,L854,P$6:P854,"?*")=1,MAX(AI$5:AI853)+1,""))</f>
        <v/>
      </c>
    </row>
    <row r="855">
      <c r="B855" s="47" t="n"/>
      <c r="C855" s="48" t="n"/>
      <c r="D855" s="48" t="n"/>
      <c r="E855" s="48" t="n"/>
      <c r="F855" s="48" t="n"/>
      <c r="G855" s="49" t="n"/>
      <c r="H855" s="48" t="n"/>
      <c r="I855" s="50" t="n"/>
      <c r="J855" s="48" t="n"/>
      <c r="K855" s="48" t="n"/>
      <c r="L855" s="48" t="n"/>
      <c r="M855" s="48" t="n"/>
      <c r="N855" s="48" t="n"/>
      <c r="O855" s="51">
        <f>IF(AND(B855="",G855="",C855="",D855="",J855=""),"",IF(B855="","⚠ Falta fecha",IF(G855="","⚠ Falta monto",IF(Q855="","⚠ Falta cuenta",IF(ISNA(MATCH(Q855,ctaNombre,0)),"⚠ Cuenta no registrada",IF(AND(OR(P855="Gasto",P855="Reembolso"),D855=""),"⚠ Falta categoría",IF(AND(D855&lt;&gt;"",E855&lt;&gt;"",ISNA(MATCH(D855&amp;"|"&amp;E855,catClave,0))),"⚠ Subcategoría no corresponde",IF(AND(OR(P855="Transferencia",P855="Pago tarjeta"),K855=""),"⚠ Falta cuenta destino",IF(AND(K855&lt;&gt;"",P855&lt;&gt;"Transferencia",P855&lt;&gt;"Pago tarjeta"),"⚠ Destino solo aplica a transferencias",IF(AND(K855&lt;&gt;"",K855=Q855),"⚠ Origen igual a destino",IF(AND(K855&lt;&gt;"",ISNA(MATCH(K855,ctaNombre,0))),"⚠ Destino no registrado",IF(AND(P855="Pago tarjeta",AE855&lt;&gt;"Tarjeta de crédito"),"⚠ El destino debe ser tarjeta de crédito",IF(AND(P855="Gasto",E855="Depósitos y retiros"),"⚠ Usa tipo Transferencia",IF(AND(P855="Resultado trading",AD855&lt;&gt;"Cuenta de trading"),"⚠ Usa una cuenta de trading",IF(AND(G855&lt;=0,P855&lt;&gt;"Ajuste",P855&lt;&gt;"Resultado trading"),"⚠ El monto debe ser positivo","✓")))))))))))))))</f>
        <v/>
      </c>
      <c r="P855" s="52">
        <f>IF(OR(B855="",G855=""),"",IF(C855="","Gasto",C855))</f>
        <v/>
      </c>
      <c r="Q855" s="52">
        <f>IF(P855="","",IF(J855&lt;&gt;"",J855,CuentaPred&amp;""))</f>
        <v/>
      </c>
      <c r="R855" s="52">
        <f>IF(P855="","",IF(ISNUMBER(I855),I855,TasaUSD))</f>
        <v/>
      </c>
      <c r="S855" s="53">
        <f>IF(P855="","",IF(H855="USD",G855*R855,G855))</f>
        <v/>
      </c>
      <c r="T855" s="53">
        <f>IF(P855="","",IF(H855="USD",G855,IF(R855&gt;0,G855/R855,0)))</f>
        <v/>
      </c>
      <c r="U855" s="53">
        <f>IF(P855="","",IF(P855="Gasto",S855,IF(P855="Reembolso",-S855,0)))</f>
        <v/>
      </c>
      <c r="V855" s="53">
        <f>IF(P855="","",IF(P855="Ingreso",S855,0))</f>
        <v/>
      </c>
      <c r="W855" s="53">
        <f>IF(P855="","",IF(P855="Resultado trading",S855,0))</f>
        <v/>
      </c>
      <c r="X855" s="52">
        <f>IF(OR(P855="Gasto",P855="Reembolso"),IF(M855&lt;&gt;"",M855,IFERROR(INDEX(catClasif,MATCH(D855&amp;"|"&amp;E855,catClave,0))&amp;"","Variable")),"")</f>
        <v/>
      </c>
      <c r="Y855" s="52">
        <f>IF(P855="","",IFERROR(INDEX(catGrupo,MATCH(D855&amp;"|"&amp;E855,catClave,0))&amp;"",""))</f>
        <v/>
      </c>
      <c r="Z855" s="52">
        <f>IF(P855="","",WEEKDAY(B855,2))</f>
        <v/>
      </c>
      <c r="AA855" s="52">
        <f>IF(P855="","",IF(AND(P855="Gasto",X855="Variable",D855&lt;&gt;catTrading,S855&gt;0,S855&lt;=Umbral),1,0))</f>
        <v/>
      </c>
      <c r="AB855" s="52">
        <f>IF(OR(P855="",Q855=""),"",IFERROR(IF(INDEX(ctaVinc,MATCH(Q855,ctaNombre,0))&amp;""&lt;&gt;"",INDEX(ctaVinc,MATCH(Q855,ctaNombre,0))&amp;"",Q855),Q855))</f>
        <v/>
      </c>
      <c r="AC855" s="52">
        <f>IF(OR(K855="",AND(P855&lt;&gt;"Transferencia",P855&lt;&gt;"Pago tarjeta")),"",IFERROR(IF(INDEX(ctaVinc,MATCH(K855,ctaNombre,0))&amp;""&lt;&gt;"",INDEX(ctaVinc,MATCH(K855,ctaNombre,0))&amp;"",K855),K855))</f>
        <v/>
      </c>
      <c r="AD855" s="52">
        <f>IF(AB855="","",IFERROR(INDEX(ctaTipo,MATCH(AB855,ctaNombre,0))&amp;"",""))</f>
        <v/>
      </c>
      <c r="AE855" s="52">
        <f>IF(AC855="","",IFERROR(INDEX(ctaTipo,MATCH(AC855,ctaNombre,0))&amp;"",""))</f>
        <v/>
      </c>
      <c r="AF855" s="53">
        <f>IF(OR(P855="",AB855=""),"",IF(OR(P855="Gasto",P855="Transferencia",P855="Pago tarjeta"),-1,1)*IF(IFERROR(INDEX(ctaMoneda,MATCH(AB855,ctaNombre,0))&amp;"","DOP")="USD",T855,S855))</f>
        <v/>
      </c>
      <c r="AG855" s="53">
        <f>IF(AC855="","",IF(IFERROR(INDEX(ctaMoneda,MATCH(AC855,ctaNombre,0))&amp;"","DOP")="USD",T855,S855))</f>
        <v/>
      </c>
      <c r="AH855" s="53">
        <f>IF(P855="","",IF(AND(AD855&lt;&gt;"",COUNTIFS(tcTipo,AD855,tcLiq,"Sí")&gt;0),IF(OR(P855="Gasto",P855="Transferencia",P855="Pago tarjeta"),-1,1)*S855,0)+IF(AND(AE855&lt;&gt;"",COUNTIFS(tcTipo,AE855,tcLiq,"Sí")&gt;0),S855,0))</f>
        <v/>
      </c>
      <c r="AI855" s="52">
        <f>IF(OR(L855="",P855=""),"",IF(COUNTIFS(L$6:L855,L855,P$6:P855,"?*")=1,MAX(AI$5:AI854)+1,""))</f>
        <v/>
      </c>
    </row>
    <row r="856">
      <c r="B856" s="47" t="n"/>
      <c r="C856" s="48" t="n"/>
      <c r="D856" s="48" t="n"/>
      <c r="E856" s="48" t="n"/>
      <c r="F856" s="48" t="n"/>
      <c r="G856" s="49" t="n"/>
      <c r="H856" s="48" t="n"/>
      <c r="I856" s="50" t="n"/>
      <c r="J856" s="48" t="n"/>
      <c r="K856" s="48" t="n"/>
      <c r="L856" s="48" t="n"/>
      <c r="M856" s="48" t="n"/>
      <c r="N856" s="48" t="n"/>
      <c r="O856" s="51">
        <f>IF(AND(B856="",G856="",C856="",D856="",J856=""),"",IF(B856="","⚠ Falta fecha",IF(G856="","⚠ Falta monto",IF(Q856="","⚠ Falta cuenta",IF(ISNA(MATCH(Q856,ctaNombre,0)),"⚠ Cuenta no registrada",IF(AND(OR(P856="Gasto",P856="Reembolso"),D856=""),"⚠ Falta categoría",IF(AND(D856&lt;&gt;"",E856&lt;&gt;"",ISNA(MATCH(D856&amp;"|"&amp;E856,catClave,0))),"⚠ Subcategoría no corresponde",IF(AND(OR(P856="Transferencia",P856="Pago tarjeta"),K856=""),"⚠ Falta cuenta destino",IF(AND(K856&lt;&gt;"",P856&lt;&gt;"Transferencia",P856&lt;&gt;"Pago tarjeta"),"⚠ Destino solo aplica a transferencias",IF(AND(K856&lt;&gt;"",K856=Q856),"⚠ Origen igual a destino",IF(AND(K856&lt;&gt;"",ISNA(MATCH(K856,ctaNombre,0))),"⚠ Destino no registrado",IF(AND(P856="Pago tarjeta",AE856&lt;&gt;"Tarjeta de crédito"),"⚠ El destino debe ser tarjeta de crédito",IF(AND(P856="Gasto",E856="Depósitos y retiros"),"⚠ Usa tipo Transferencia",IF(AND(P856="Resultado trading",AD856&lt;&gt;"Cuenta de trading"),"⚠ Usa una cuenta de trading",IF(AND(G856&lt;=0,P856&lt;&gt;"Ajuste",P856&lt;&gt;"Resultado trading"),"⚠ El monto debe ser positivo","✓")))))))))))))))</f>
        <v/>
      </c>
      <c r="P856" s="52">
        <f>IF(OR(B856="",G856=""),"",IF(C856="","Gasto",C856))</f>
        <v/>
      </c>
      <c r="Q856" s="52">
        <f>IF(P856="","",IF(J856&lt;&gt;"",J856,CuentaPred&amp;""))</f>
        <v/>
      </c>
      <c r="R856" s="52">
        <f>IF(P856="","",IF(ISNUMBER(I856),I856,TasaUSD))</f>
        <v/>
      </c>
      <c r="S856" s="53">
        <f>IF(P856="","",IF(H856="USD",G856*R856,G856))</f>
        <v/>
      </c>
      <c r="T856" s="53">
        <f>IF(P856="","",IF(H856="USD",G856,IF(R856&gt;0,G856/R856,0)))</f>
        <v/>
      </c>
      <c r="U856" s="53">
        <f>IF(P856="","",IF(P856="Gasto",S856,IF(P856="Reembolso",-S856,0)))</f>
        <v/>
      </c>
      <c r="V856" s="53">
        <f>IF(P856="","",IF(P856="Ingreso",S856,0))</f>
        <v/>
      </c>
      <c r="W856" s="53">
        <f>IF(P856="","",IF(P856="Resultado trading",S856,0))</f>
        <v/>
      </c>
      <c r="X856" s="52">
        <f>IF(OR(P856="Gasto",P856="Reembolso"),IF(M856&lt;&gt;"",M856,IFERROR(INDEX(catClasif,MATCH(D856&amp;"|"&amp;E856,catClave,0))&amp;"","Variable")),"")</f>
        <v/>
      </c>
      <c r="Y856" s="52">
        <f>IF(P856="","",IFERROR(INDEX(catGrupo,MATCH(D856&amp;"|"&amp;E856,catClave,0))&amp;"",""))</f>
        <v/>
      </c>
      <c r="Z856" s="52">
        <f>IF(P856="","",WEEKDAY(B856,2))</f>
        <v/>
      </c>
      <c r="AA856" s="52">
        <f>IF(P856="","",IF(AND(P856="Gasto",X856="Variable",D856&lt;&gt;catTrading,S856&gt;0,S856&lt;=Umbral),1,0))</f>
        <v/>
      </c>
      <c r="AB856" s="52">
        <f>IF(OR(P856="",Q856=""),"",IFERROR(IF(INDEX(ctaVinc,MATCH(Q856,ctaNombre,0))&amp;""&lt;&gt;"",INDEX(ctaVinc,MATCH(Q856,ctaNombre,0))&amp;"",Q856),Q856))</f>
        <v/>
      </c>
      <c r="AC856" s="52">
        <f>IF(OR(K856="",AND(P856&lt;&gt;"Transferencia",P856&lt;&gt;"Pago tarjeta")),"",IFERROR(IF(INDEX(ctaVinc,MATCH(K856,ctaNombre,0))&amp;""&lt;&gt;"",INDEX(ctaVinc,MATCH(K856,ctaNombre,0))&amp;"",K856),K856))</f>
        <v/>
      </c>
      <c r="AD856" s="52">
        <f>IF(AB856="","",IFERROR(INDEX(ctaTipo,MATCH(AB856,ctaNombre,0))&amp;"",""))</f>
        <v/>
      </c>
      <c r="AE856" s="52">
        <f>IF(AC856="","",IFERROR(INDEX(ctaTipo,MATCH(AC856,ctaNombre,0))&amp;"",""))</f>
        <v/>
      </c>
      <c r="AF856" s="53">
        <f>IF(OR(P856="",AB856=""),"",IF(OR(P856="Gasto",P856="Transferencia",P856="Pago tarjeta"),-1,1)*IF(IFERROR(INDEX(ctaMoneda,MATCH(AB856,ctaNombre,0))&amp;"","DOP")="USD",T856,S856))</f>
        <v/>
      </c>
      <c r="AG856" s="53">
        <f>IF(AC856="","",IF(IFERROR(INDEX(ctaMoneda,MATCH(AC856,ctaNombre,0))&amp;"","DOP")="USD",T856,S856))</f>
        <v/>
      </c>
      <c r="AH856" s="53">
        <f>IF(P856="","",IF(AND(AD856&lt;&gt;"",COUNTIFS(tcTipo,AD856,tcLiq,"Sí")&gt;0),IF(OR(P856="Gasto",P856="Transferencia",P856="Pago tarjeta"),-1,1)*S856,0)+IF(AND(AE856&lt;&gt;"",COUNTIFS(tcTipo,AE856,tcLiq,"Sí")&gt;0),S856,0))</f>
        <v/>
      </c>
      <c r="AI856" s="52">
        <f>IF(OR(L856="",P856=""),"",IF(COUNTIFS(L$6:L856,L856,P$6:P856,"?*")=1,MAX(AI$5:AI855)+1,""))</f>
        <v/>
      </c>
    </row>
    <row r="857">
      <c r="B857" s="47" t="n"/>
      <c r="C857" s="48" t="n"/>
      <c r="D857" s="48" t="n"/>
      <c r="E857" s="48" t="n"/>
      <c r="F857" s="48" t="n"/>
      <c r="G857" s="49" t="n"/>
      <c r="H857" s="48" t="n"/>
      <c r="I857" s="50" t="n"/>
      <c r="J857" s="48" t="n"/>
      <c r="K857" s="48" t="n"/>
      <c r="L857" s="48" t="n"/>
      <c r="M857" s="48" t="n"/>
      <c r="N857" s="48" t="n"/>
      <c r="O857" s="51">
        <f>IF(AND(B857="",G857="",C857="",D857="",J857=""),"",IF(B857="","⚠ Falta fecha",IF(G857="","⚠ Falta monto",IF(Q857="","⚠ Falta cuenta",IF(ISNA(MATCH(Q857,ctaNombre,0)),"⚠ Cuenta no registrada",IF(AND(OR(P857="Gasto",P857="Reembolso"),D857=""),"⚠ Falta categoría",IF(AND(D857&lt;&gt;"",E857&lt;&gt;"",ISNA(MATCH(D857&amp;"|"&amp;E857,catClave,0))),"⚠ Subcategoría no corresponde",IF(AND(OR(P857="Transferencia",P857="Pago tarjeta"),K857=""),"⚠ Falta cuenta destino",IF(AND(K857&lt;&gt;"",P857&lt;&gt;"Transferencia",P857&lt;&gt;"Pago tarjeta"),"⚠ Destino solo aplica a transferencias",IF(AND(K857&lt;&gt;"",K857=Q857),"⚠ Origen igual a destino",IF(AND(K857&lt;&gt;"",ISNA(MATCH(K857,ctaNombre,0))),"⚠ Destino no registrado",IF(AND(P857="Pago tarjeta",AE857&lt;&gt;"Tarjeta de crédito"),"⚠ El destino debe ser tarjeta de crédito",IF(AND(P857="Gasto",E857="Depósitos y retiros"),"⚠ Usa tipo Transferencia",IF(AND(P857="Resultado trading",AD857&lt;&gt;"Cuenta de trading"),"⚠ Usa una cuenta de trading",IF(AND(G857&lt;=0,P857&lt;&gt;"Ajuste",P857&lt;&gt;"Resultado trading"),"⚠ El monto debe ser positivo","✓")))))))))))))))</f>
        <v/>
      </c>
      <c r="P857" s="52">
        <f>IF(OR(B857="",G857=""),"",IF(C857="","Gasto",C857))</f>
        <v/>
      </c>
      <c r="Q857" s="52">
        <f>IF(P857="","",IF(J857&lt;&gt;"",J857,CuentaPred&amp;""))</f>
        <v/>
      </c>
      <c r="R857" s="52">
        <f>IF(P857="","",IF(ISNUMBER(I857),I857,TasaUSD))</f>
        <v/>
      </c>
      <c r="S857" s="53">
        <f>IF(P857="","",IF(H857="USD",G857*R857,G857))</f>
        <v/>
      </c>
      <c r="T857" s="53">
        <f>IF(P857="","",IF(H857="USD",G857,IF(R857&gt;0,G857/R857,0)))</f>
        <v/>
      </c>
      <c r="U857" s="53">
        <f>IF(P857="","",IF(P857="Gasto",S857,IF(P857="Reembolso",-S857,0)))</f>
        <v/>
      </c>
      <c r="V857" s="53">
        <f>IF(P857="","",IF(P857="Ingreso",S857,0))</f>
        <v/>
      </c>
      <c r="W857" s="53">
        <f>IF(P857="","",IF(P857="Resultado trading",S857,0))</f>
        <v/>
      </c>
      <c r="X857" s="52">
        <f>IF(OR(P857="Gasto",P857="Reembolso"),IF(M857&lt;&gt;"",M857,IFERROR(INDEX(catClasif,MATCH(D857&amp;"|"&amp;E857,catClave,0))&amp;"","Variable")),"")</f>
        <v/>
      </c>
      <c r="Y857" s="52">
        <f>IF(P857="","",IFERROR(INDEX(catGrupo,MATCH(D857&amp;"|"&amp;E857,catClave,0))&amp;"",""))</f>
        <v/>
      </c>
      <c r="Z857" s="52">
        <f>IF(P857="","",WEEKDAY(B857,2))</f>
        <v/>
      </c>
      <c r="AA857" s="52">
        <f>IF(P857="","",IF(AND(P857="Gasto",X857="Variable",D857&lt;&gt;catTrading,S857&gt;0,S857&lt;=Umbral),1,0))</f>
        <v/>
      </c>
      <c r="AB857" s="52">
        <f>IF(OR(P857="",Q857=""),"",IFERROR(IF(INDEX(ctaVinc,MATCH(Q857,ctaNombre,0))&amp;""&lt;&gt;"",INDEX(ctaVinc,MATCH(Q857,ctaNombre,0))&amp;"",Q857),Q857))</f>
        <v/>
      </c>
      <c r="AC857" s="52">
        <f>IF(OR(K857="",AND(P857&lt;&gt;"Transferencia",P857&lt;&gt;"Pago tarjeta")),"",IFERROR(IF(INDEX(ctaVinc,MATCH(K857,ctaNombre,0))&amp;""&lt;&gt;"",INDEX(ctaVinc,MATCH(K857,ctaNombre,0))&amp;"",K857),K857))</f>
        <v/>
      </c>
      <c r="AD857" s="52">
        <f>IF(AB857="","",IFERROR(INDEX(ctaTipo,MATCH(AB857,ctaNombre,0))&amp;"",""))</f>
        <v/>
      </c>
      <c r="AE857" s="52">
        <f>IF(AC857="","",IFERROR(INDEX(ctaTipo,MATCH(AC857,ctaNombre,0))&amp;"",""))</f>
        <v/>
      </c>
      <c r="AF857" s="53">
        <f>IF(OR(P857="",AB857=""),"",IF(OR(P857="Gasto",P857="Transferencia",P857="Pago tarjeta"),-1,1)*IF(IFERROR(INDEX(ctaMoneda,MATCH(AB857,ctaNombre,0))&amp;"","DOP")="USD",T857,S857))</f>
        <v/>
      </c>
      <c r="AG857" s="53">
        <f>IF(AC857="","",IF(IFERROR(INDEX(ctaMoneda,MATCH(AC857,ctaNombre,0))&amp;"","DOP")="USD",T857,S857))</f>
        <v/>
      </c>
      <c r="AH857" s="53">
        <f>IF(P857="","",IF(AND(AD857&lt;&gt;"",COUNTIFS(tcTipo,AD857,tcLiq,"Sí")&gt;0),IF(OR(P857="Gasto",P857="Transferencia",P857="Pago tarjeta"),-1,1)*S857,0)+IF(AND(AE857&lt;&gt;"",COUNTIFS(tcTipo,AE857,tcLiq,"Sí")&gt;0),S857,0))</f>
        <v/>
      </c>
      <c r="AI857" s="52">
        <f>IF(OR(L857="",P857=""),"",IF(COUNTIFS(L$6:L857,L857,P$6:P857,"?*")=1,MAX(AI$5:AI856)+1,""))</f>
        <v/>
      </c>
    </row>
    <row r="858">
      <c r="B858" s="47" t="n"/>
      <c r="C858" s="48" t="n"/>
      <c r="D858" s="48" t="n"/>
      <c r="E858" s="48" t="n"/>
      <c r="F858" s="48" t="n"/>
      <c r="G858" s="49" t="n"/>
      <c r="H858" s="48" t="n"/>
      <c r="I858" s="50" t="n"/>
      <c r="J858" s="48" t="n"/>
      <c r="K858" s="48" t="n"/>
      <c r="L858" s="48" t="n"/>
      <c r="M858" s="48" t="n"/>
      <c r="N858" s="48" t="n"/>
      <c r="O858" s="51">
        <f>IF(AND(B858="",G858="",C858="",D858="",J858=""),"",IF(B858="","⚠ Falta fecha",IF(G858="","⚠ Falta monto",IF(Q858="","⚠ Falta cuenta",IF(ISNA(MATCH(Q858,ctaNombre,0)),"⚠ Cuenta no registrada",IF(AND(OR(P858="Gasto",P858="Reembolso"),D858=""),"⚠ Falta categoría",IF(AND(D858&lt;&gt;"",E858&lt;&gt;"",ISNA(MATCH(D858&amp;"|"&amp;E858,catClave,0))),"⚠ Subcategoría no corresponde",IF(AND(OR(P858="Transferencia",P858="Pago tarjeta"),K858=""),"⚠ Falta cuenta destino",IF(AND(K858&lt;&gt;"",P858&lt;&gt;"Transferencia",P858&lt;&gt;"Pago tarjeta"),"⚠ Destino solo aplica a transferencias",IF(AND(K858&lt;&gt;"",K858=Q858),"⚠ Origen igual a destino",IF(AND(K858&lt;&gt;"",ISNA(MATCH(K858,ctaNombre,0))),"⚠ Destino no registrado",IF(AND(P858="Pago tarjeta",AE858&lt;&gt;"Tarjeta de crédito"),"⚠ El destino debe ser tarjeta de crédito",IF(AND(P858="Gasto",E858="Depósitos y retiros"),"⚠ Usa tipo Transferencia",IF(AND(P858="Resultado trading",AD858&lt;&gt;"Cuenta de trading"),"⚠ Usa una cuenta de trading",IF(AND(G858&lt;=0,P858&lt;&gt;"Ajuste",P858&lt;&gt;"Resultado trading"),"⚠ El monto debe ser positivo","✓")))))))))))))))</f>
        <v/>
      </c>
      <c r="P858" s="52">
        <f>IF(OR(B858="",G858=""),"",IF(C858="","Gasto",C858))</f>
        <v/>
      </c>
      <c r="Q858" s="52">
        <f>IF(P858="","",IF(J858&lt;&gt;"",J858,CuentaPred&amp;""))</f>
        <v/>
      </c>
      <c r="R858" s="52">
        <f>IF(P858="","",IF(ISNUMBER(I858),I858,TasaUSD))</f>
        <v/>
      </c>
      <c r="S858" s="53">
        <f>IF(P858="","",IF(H858="USD",G858*R858,G858))</f>
        <v/>
      </c>
      <c r="T858" s="53">
        <f>IF(P858="","",IF(H858="USD",G858,IF(R858&gt;0,G858/R858,0)))</f>
        <v/>
      </c>
      <c r="U858" s="53">
        <f>IF(P858="","",IF(P858="Gasto",S858,IF(P858="Reembolso",-S858,0)))</f>
        <v/>
      </c>
      <c r="V858" s="53">
        <f>IF(P858="","",IF(P858="Ingreso",S858,0))</f>
        <v/>
      </c>
      <c r="W858" s="53">
        <f>IF(P858="","",IF(P858="Resultado trading",S858,0))</f>
        <v/>
      </c>
      <c r="X858" s="52">
        <f>IF(OR(P858="Gasto",P858="Reembolso"),IF(M858&lt;&gt;"",M858,IFERROR(INDEX(catClasif,MATCH(D858&amp;"|"&amp;E858,catClave,0))&amp;"","Variable")),"")</f>
        <v/>
      </c>
      <c r="Y858" s="52">
        <f>IF(P858="","",IFERROR(INDEX(catGrupo,MATCH(D858&amp;"|"&amp;E858,catClave,0))&amp;"",""))</f>
        <v/>
      </c>
      <c r="Z858" s="52">
        <f>IF(P858="","",WEEKDAY(B858,2))</f>
        <v/>
      </c>
      <c r="AA858" s="52">
        <f>IF(P858="","",IF(AND(P858="Gasto",X858="Variable",D858&lt;&gt;catTrading,S858&gt;0,S858&lt;=Umbral),1,0))</f>
        <v/>
      </c>
      <c r="AB858" s="52">
        <f>IF(OR(P858="",Q858=""),"",IFERROR(IF(INDEX(ctaVinc,MATCH(Q858,ctaNombre,0))&amp;""&lt;&gt;"",INDEX(ctaVinc,MATCH(Q858,ctaNombre,0))&amp;"",Q858),Q858))</f>
        <v/>
      </c>
      <c r="AC858" s="52">
        <f>IF(OR(K858="",AND(P858&lt;&gt;"Transferencia",P858&lt;&gt;"Pago tarjeta")),"",IFERROR(IF(INDEX(ctaVinc,MATCH(K858,ctaNombre,0))&amp;""&lt;&gt;"",INDEX(ctaVinc,MATCH(K858,ctaNombre,0))&amp;"",K858),K858))</f>
        <v/>
      </c>
      <c r="AD858" s="52">
        <f>IF(AB858="","",IFERROR(INDEX(ctaTipo,MATCH(AB858,ctaNombre,0))&amp;"",""))</f>
        <v/>
      </c>
      <c r="AE858" s="52">
        <f>IF(AC858="","",IFERROR(INDEX(ctaTipo,MATCH(AC858,ctaNombre,0))&amp;"",""))</f>
        <v/>
      </c>
      <c r="AF858" s="53">
        <f>IF(OR(P858="",AB858=""),"",IF(OR(P858="Gasto",P858="Transferencia",P858="Pago tarjeta"),-1,1)*IF(IFERROR(INDEX(ctaMoneda,MATCH(AB858,ctaNombre,0))&amp;"","DOP")="USD",T858,S858))</f>
        <v/>
      </c>
      <c r="AG858" s="53">
        <f>IF(AC858="","",IF(IFERROR(INDEX(ctaMoneda,MATCH(AC858,ctaNombre,0))&amp;"","DOP")="USD",T858,S858))</f>
        <v/>
      </c>
      <c r="AH858" s="53">
        <f>IF(P858="","",IF(AND(AD858&lt;&gt;"",COUNTIFS(tcTipo,AD858,tcLiq,"Sí")&gt;0),IF(OR(P858="Gasto",P858="Transferencia",P858="Pago tarjeta"),-1,1)*S858,0)+IF(AND(AE858&lt;&gt;"",COUNTIFS(tcTipo,AE858,tcLiq,"Sí")&gt;0),S858,0))</f>
        <v/>
      </c>
      <c r="AI858" s="52">
        <f>IF(OR(L858="",P858=""),"",IF(COUNTIFS(L$6:L858,L858,P$6:P858,"?*")=1,MAX(AI$5:AI857)+1,""))</f>
        <v/>
      </c>
    </row>
    <row r="859">
      <c r="B859" s="47" t="n"/>
      <c r="C859" s="48" t="n"/>
      <c r="D859" s="48" t="n"/>
      <c r="E859" s="48" t="n"/>
      <c r="F859" s="48" t="n"/>
      <c r="G859" s="49" t="n"/>
      <c r="H859" s="48" t="n"/>
      <c r="I859" s="50" t="n"/>
      <c r="J859" s="48" t="n"/>
      <c r="K859" s="48" t="n"/>
      <c r="L859" s="48" t="n"/>
      <c r="M859" s="48" t="n"/>
      <c r="N859" s="48" t="n"/>
      <c r="O859" s="51">
        <f>IF(AND(B859="",G859="",C859="",D859="",J859=""),"",IF(B859="","⚠ Falta fecha",IF(G859="","⚠ Falta monto",IF(Q859="","⚠ Falta cuenta",IF(ISNA(MATCH(Q859,ctaNombre,0)),"⚠ Cuenta no registrada",IF(AND(OR(P859="Gasto",P859="Reembolso"),D859=""),"⚠ Falta categoría",IF(AND(D859&lt;&gt;"",E859&lt;&gt;"",ISNA(MATCH(D859&amp;"|"&amp;E859,catClave,0))),"⚠ Subcategoría no corresponde",IF(AND(OR(P859="Transferencia",P859="Pago tarjeta"),K859=""),"⚠ Falta cuenta destino",IF(AND(K859&lt;&gt;"",P859&lt;&gt;"Transferencia",P859&lt;&gt;"Pago tarjeta"),"⚠ Destino solo aplica a transferencias",IF(AND(K859&lt;&gt;"",K859=Q859),"⚠ Origen igual a destino",IF(AND(K859&lt;&gt;"",ISNA(MATCH(K859,ctaNombre,0))),"⚠ Destino no registrado",IF(AND(P859="Pago tarjeta",AE859&lt;&gt;"Tarjeta de crédito"),"⚠ El destino debe ser tarjeta de crédito",IF(AND(P859="Gasto",E859="Depósitos y retiros"),"⚠ Usa tipo Transferencia",IF(AND(P859="Resultado trading",AD859&lt;&gt;"Cuenta de trading"),"⚠ Usa una cuenta de trading",IF(AND(G859&lt;=0,P859&lt;&gt;"Ajuste",P859&lt;&gt;"Resultado trading"),"⚠ El monto debe ser positivo","✓")))))))))))))))</f>
        <v/>
      </c>
      <c r="P859" s="52">
        <f>IF(OR(B859="",G859=""),"",IF(C859="","Gasto",C859))</f>
        <v/>
      </c>
      <c r="Q859" s="52">
        <f>IF(P859="","",IF(J859&lt;&gt;"",J859,CuentaPred&amp;""))</f>
        <v/>
      </c>
      <c r="R859" s="52">
        <f>IF(P859="","",IF(ISNUMBER(I859),I859,TasaUSD))</f>
        <v/>
      </c>
      <c r="S859" s="53">
        <f>IF(P859="","",IF(H859="USD",G859*R859,G859))</f>
        <v/>
      </c>
      <c r="T859" s="53">
        <f>IF(P859="","",IF(H859="USD",G859,IF(R859&gt;0,G859/R859,0)))</f>
        <v/>
      </c>
      <c r="U859" s="53">
        <f>IF(P859="","",IF(P859="Gasto",S859,IF(P859="Reembolso",-S859,0)))</f>
        <v/>
      </c>
      <c r="V859" s="53">
        <f>IF(P859="","",IF(P859="Ingreso",S859,0))</f>
        <v/>
      </c>
      <c r="W859" s="53">
        <f>IF(P859="","",IF(P859="Resultado trading",S859,0))</f>
        <v/>
      </c>
      <c r="X859" s="52">
        <f>IF(OR(P859="Gasto",P859="Reembolso"),IF(M859&lt;&gt;"",M859,IFERROR(INDEX(catClasif,MATCH(D859&amp;"|"&amp;E859,catClave,0))&amp;"","Variable")),"")</f>
        <v/>
      </c>
      <c r="Y859" s="52">
        <f>IF(P859="","",IFERROR(INDEX(catGrupo,MATCH(D859&amp;"|"&amp;E859,catClave,0))&amp;"",""))</f>
        <v/>
      </c>
      <c r="Z859" s="52">
        <f>IF(P859="","",WEEKDAY(B859,2))</f>
        <v/>
      </c>
      <c r="AA859" s="52">
        <f>IF(P859="","",IF(AND(P859="Gasto",X859="Variable",D859&lt;&gt;catTrading,S859&gt;0,S859&lt;=Umbral),1,0))</f>
        <v/>
      </c>
      <c r="AB859" s="52">
        <f>IF(OR(P859="",Q859=""),"",IFERROR(IF(INDEX(ctaVinc,MATCH(Q859,ctaNombre,0))&amp;""&lt;&gt;"",INDEX(ctaVinc,MATCH(Q859,ctaNombre,0))&amp;"",Q859),Q859))</f>
        <v/>
      </c>
      <c r="AC859" s="52">
        <f>IF(OR(K859="",AND(P859&lt;&gt;"Transferencia",P859&lt;&gt;"Pago tarjeta")),"",IFERROR(IF(INDEX(ctaVinc,MATCH(K859,ctaNombre,0))&amp;""&lt;&gt;"",INDEX(ctaVinc,MATCH(K859,ctaNombre,0))&amp;"",K859),K859))</f>
        <v/>
      </c>
      <c r="AD859" s="52">
        <f>IF(AB859="","",IFERROR(INDEX(ctaTipo,MATCH(AB859,ctaNombre,0))&amp;"",""))</f>
        <v/>
      </c>
      <c r="AE859" s="52">
        <f>IF(AC859="","",IFERROR(INDEX(ctaTipo,MATCH(AC859,ctaNombre,0))&amp;"",""))</f>
        <v/>
      </c>
      <c r="AF859" s="53">
        <f>IF(OR(P859="",AB859=""),"",IF(OR(P859="Gasto",P859="Transferencia",P859="Pago tarjeta"),-1,1)*IF(IFERROR(INDEX(ctaMoneda,MATCH(AB859,ctaNombre,0))&amp;"","DOP")="USD",T859,S859))</f>
        <v/>
      </c>
      <c r="AG859" s="53">
        <f>IF(AC859="","",IF(IFERROR(INDEX(ctaMoneda,MATCH(AC859,ctaNombre,0))&amp;"","DOP")="USD",T859,S859))</f>
        <v/>
      </c>
      <c r="AH859" s="53">
        <f>IF(P859="","",IF(AND(AD859&lt;&gt;"",COUNTIFS(tcTipo,AD859,tcLiq,"Sí")&gt;0),IF(OR(P859="Gasto",P859="Transferencia",P859="Pago tarjeta"),-1,1)*S859,0)+IF(AND(AE859&lt;&gt;"",COUNTIFS(tcTipo,AE859,tcLiq,"Sí")&gt;0),S859,0))</f>
        <v/>
      </c>
      <c r="AI859" s="52">
        <f>IF(OR(L859="",P859=""),"",IF(COUNTIFS(L$6:L859,L859,P$6:P859,"?*")=1,MAX(AI$5:AI858)+1,""))</f>
        <v/>
      </c>
    </row>
    <row r="860">
      <c r="B860" s="47" t="n"/>
      <c r="C860" s="48" t="n"/>
      <c r="D860" s="48" t="n"/>
      <c r="E860" s="48" t="n"/>
      <c r="F860" s="48" t="n"/>
      <c r="G860" s="49" t="n"/>
      <c r="H860" s="48" t="n"/>
      <c r="I860" s="50" t="n"/>
      <c r="J860" s="48" t="n"/>
      <c r="K860" s="48" t="n"/>
      <c r="L860" s="48" t="n"/>
      <c r="M860" s="48" t="n"/>
      <c r="N860" s="48" t="n"/>
      <c r="O860" s="51">
        <f>IF(AND(B860="",G860="",C860="",D860="",J860=""),"",IF(B860="","⚠ Falta fecha",IF(G860="","⚠ Falta monto",IF(Q860="","⚠ Falta cuenta",IF(ISNA(MATCH(Q860,ctaNombre,0)),"⚠ Cuenta no registrada",IF(AND(OR(P860="Gasto",P860="Reembolso"),D860=""),"⚠ Falta categoría",IF(AND(D860&lt;&gt;"",E860&lt;&gt;"",ISNA(MATCH(D860&amp;"|"&amp;E860,catClave,0))),"⚠ Subcategoría no corresponde",IF(AND(OR(P860="Transferencia",P860="Pago tarjeta"),K860=""),"⚠ Falta cuenta destino",IF(AND(K860&lt;&gt;"",P860&lt;&gt;"Transferencia",P860&lt;&gt;"Pago tarjeta"),"⚠ Destino solo aplica a transferencias",IF(AND(K860&lt;&gt;"",K860=Q860),"⚠ Origen igual a destino",IF(AND(K860&lt;&gt;"",ISNA(MATCH(K860,ctaNombre,0))),"⚠ Destino no registrado",IF(AND(P860="Pago tarjeta",AE860&lt;&gt;"Tarjeta de crédito"),"⚠ El destino debe ser tarjeta de crédito",IF(AND(P860="Gasto",E860="Depósitos y retiros"),"⚠ Usa tipo Transferencia",IF(AND(P860="Resultado trading",AD860&lt;&gt;"Cuenta de trading"),"⚠ Usa una cuenta de trading",IF(AND(G860&lt;=0,P860&lt;&gt;"Ajuste",P860&lt;&gt;"Resultado trading"),"⚠ El monto debe ser positivo","✓")))))))))))))))</f>
        <v/>
      </c>
      <c r="P860" s="52">
        <f>IF(OR(B860="",G860=""),"",IF(C860="","Gasto",C860))</f>
        <v/>
      </c>
      <c r="Q860" s="52">
        <f>IF(P860="","",IF(J860&lt;&gt;"",J860,CuentaPred&amp;""))</f>
        <v/>
      </c>
      <c r="R860" s="52">
        <f>IF(P860="","",IF(ISNUMBER(I860),I860,TasaUSD))</f>
        <v/>
      </c>
      <c r="S860" s="53">
        <f>IF(P860="","",IF(H860="USD",G860*R860,G860))</f>
        <v/>
      </c>
      <c r="T860" s="53">
        <f>IF(P860="","",IF(H860="USD",G860,IF(R860&gt;0,G860/R860,0)))</f>
        <v/>
      </c>
      <c r="U860" s="53">
        <f>IF(P860="","",IF(P860="Gasto",S860,IF(P860="Reembolso",-S860,0)))</f>
        <v/>
      </c>
      <c r="V860" s="53">
        <f>IF(P860="","",IF(P860="Ingreso",S860,0))</f>
        <v/>
      </c>
      <c r="W860" s="53">
        <f>IF(P860="","",IF(P860="Resultado trading",S860,0))</f>
        <v/>
      </c>
      <c r="X860" s="52">
        <f>IF(OR(P860="Gasto",P860="Reembolso"),IF(M860&lt;&gt;"",M860,IFERROR(INDEX(catClasif,MATCH(D860&amp;"|"&amp;E860,catClave,0))&amp;"","Variable")),"")</f>
        <v/>
      </c>
      <c r="Y860" s="52">
        <f>IF(P860="","",IFERROR(INDEX(catGrupo,MATCH(D860&amp;"|"&amp;E860,catClave,0))&amp;"",""))</f>
        <v/>
      </c>
      <c r="Z860" s="52">
        <f>IF(P860="","",WEEKDAY(B860,2))</f>
        <v/>
      </c>
      <c r="AA860" s="52">
        <f>IF(P860="","",IF(AND(P860="Gasto",X860="Variable",D860&lt;&gt;catTrading,S860&gt;0,S860&lt;=Umbral),1,0))</f>
        <v/>
      </c>
      <c r="AB860" s="52">
        <f>IF(OR(P860="",Q860=""),"",IFERROR(IF(INDEX(ctaVinc,MATCH(Q860,ctaNombre,0))&amp;""&lt;&gt;"",INDEX(ctaVinc,MATCH(Q860,ctaNombre,0))&amp;"",Q860),Q860))</f>
        <v/>
      </c>
      <c r="AC860" s="52">
        <f>IF(OR(K860="",AND(P860&lt;&gt;"Transferencia",P860&lt;&gt;"Pago tarjeta")),"",IFERROR(IF(INDEX(ctaVinc,MATCH(K860,ctaNombre,0))&amp;""&lt;&gt;"",INDEX(ctaVinc,MATCH(K860,ctaNombre,0))&amp;"",K860),K860))</f>
        <v/>
      </c>
      <c r="AD860" s="52">
        <f>IF(AB860="","",IFERROR(INDEX(ctaTipo,MATCH(AB860,ctaNombre,0))&amp;"",""))</f>
        <v/>
      </c>
      <c r="AE860" s="52">
        <f>IF(AC860="","",IFERROR(INDEX(ctaTipo,MATCH(AC860,ctaNombre,0))&amp;"",""))</f>
        <v/>
      </c>
      <c r="AF860" s="53">
        <f>IF(OR(P860="",AB860=""),"",IF(OR(P860="Gasto",P860="Transferencia",P860="Pago tarjeta"),-1,1)*IF(IFERROR(INDEX(ctaMoneda,MATCH(AB860,ctaNombre,0))&amp;"","DOP")="USD",T860,S860))</f>
        <v/>
      </c>
      <c r="AG860" s="53">
        <f>IF(AC860="","",IF(IFERROR(INDEX(ctaMoneda,MATCH(AC860,ctaNombre,0))&amp;"","DOP")="USD",T860,S860))</f>
        <v/>
      </c>
      <c r="AH860" s="53">
        <f>IF(P860="","",IF(AND(AD860&lt;&gt;"",COUNTIFS(tcTipo,AD860,tcLiq,"Sí")&gt;0),IF(OR(P860="Gasto",P860="Transferencia",P860="Pago tarjeta"),-1,1)*S860,0)+IF(AND(AE860&lt;&gt;"",COUNTIFS(tcTipo,AE860,tcLiq,"Sí")&gt;0),S860,0))</f>
        <v/>
      </c>
      <c r="AI860" s="52">
        <f>IF(OR(L860="",P860=""),"",IF(COUNTIFS(L$6:L860,L860,P$6:P860,"?*")=1,MAX(AI$5:AI859)+1,""))</f>
        <v/>
      </c>
    </row>
    <row r="861">
      <c r="B861" s="47" t="n"/>
      <c r="C861" s="48" t="n"/>
      <c r="D861" s="48" t="n"/>
      <c r="E861" s="48" t="n"/>
      <c r="F861" s="48" t="n"/>
      <c r="G861" s="49" t="n"/>
      <c r="H861" s="48" t="n"/>
      <c r="I861" s="50" t="n"/>
      <c r="J861" s="48" t="n"/>
      <c r="K861" s="48" t="n"/>
      <c r="L861" s="48" t="n"/>
      <c r="M861" s="48" t="n"/>
      <c r="N861" s="48" t="n"/>
      <c r="O861" s="51">
        <f>IF(AND(B861="",G861="",C861="",D861="",J861=""),"",IF(B861="","⚠ Falta fecha",IF(G861="","⚠ Falta monto",IF(Q861="","⚠ Falta cuenta",IF(ISNA(MATCH(Q861,ctaNombre,0)),"⚠ Cuenta no registrada",IF(AND(OR(P861="Gasto",P861="Reembolso"),D861=""),"⚠ Falta categoría",IF(AND(D861&lt;&gt;"",E861&lt;&gt;"",ISNA(MATCH(D861&amp;"|"&amp;E861,catClave,0))),"⚠ Subcategoría no corresponde",IF(AND(OR(P861="Transferencia",P861="Pago tarjeta"),K861=""),"⚠ Falta cuenta destino",IF(AND(K861&lt;&gt;"",P861&lt;&gt;"Transferencia",P861&lt;&gt;"Pago tarjeta"),"⚠ Destino solo aplica a transferencias",IF(AND(K861&lt;&gt;"",K861=Q861),"⚠ Origen igual a destino",IF(AND(K861&lt;&gt;"",ISNA(MATCH(K861,ctaNombre,0))),"⚠ Destino no registrado",IF(AND(P861="Pago tarjeta",AE861&lt;&gt;"Tarjeta de crédito"),"⚠ El destino debe ser tarjeta de crédito",IF(AND(P861="Gasto",E861="Depósitos y retiros"),"⚠ Usa tipo Transferencia",IF(AND(P861="Resultado trading",AD861&lt;&gt;"Cuenta de trading"),"⚠ Usa una cuenta de trading",IF(AND(G861&lt;=0,P861&lt;&gt;"Ajuste",P861&lt;&gt;"Resultado trading"),"⚠ El monto debe ser positivo","✓")))))))))))))))</f>
        <v/>
      </c>
      <c r="P861" s="52">
        <f>IF(OR(B861="",G861=""),"",IF(C861="","Gasto",C861))</f>
        <v/>
      </c>
      <c r="Q861" s="52">
        <f>IF(P861="","",IF(J861&lt;&gt;"",J861,CuentaPred&amp;""))</f>
        <v/>
      </c>
      <c r="R861" s="52">
        <f>IF(P861="","",IF(ISNUMBER(I861),I861,TasaUSD))</f>
        <v/>
      </c>
      <c r="S861" s="53">
        <f>IF(P861="","",IF(H861="USD",G861*R861,G861))</f>
        <v/>
      </c>
      <c r="T861" s="53">
        <f>IF(P861="","",IF(H861="USD",G861,IF(R861&gt;0,G861/R861,0)))</f>
        <v/>
      </c>
      <c r="U861" s="53">
        <f>IF(P861="","",IF(P861="Gasto",S861,IF(P861="Reembolso",-S861,0)))</f>
        <v/>
      </c>
      <c r="V861" s="53">
        <f>IF(P861="","",IF(P861="Ingreso",S861,0))</f>
        <v/>
      </c>
      <c r="W861" s="53">
        <f>IF(P861="","",IF(P861="Resultado trading",S861,0))</f>
        <v/>
      </c>
      <c r="X861" s="52">
        <f>IF(OR(P861="Gasto",P861="Reembolso"),IF(M861&lt;&gt;"",M861,IFERROR(INDEX(catClasif,MATCH(D861&amp;"|"&amp;E861,catClave,0))&amp;"","Variable")),"")</f>
        <v/>
      </c>
      <c r="Y861" s="52">
        <f>IF(P861="","",IFERROR(INDEX(catGrupo,MATCH(D861&amp;"|"&amp;E861,catClave,0))&amp;"",""))</f>
        <v/>
      </c>
      <c r="Z861" s="52">
        <f>IF(P861="","",WEEKDAY(B861,2))</f>
        <v/>
      </c>
      <c r="AA861" s="52">
        <f>IF(P861="","",IF(AND(P861="Gasto",X861="Variable",D861&lt;&gt;catTrading,S861&gt;0,S861&lt;=Umbral),1,0))</f>
        <v/>
      </c>
      <c r="AB861" s="52">
        <f>IF(OR(P861="",Q861=""),"",IFERROR(IF(INDEX(ctaVinc,MATCH(Q861,ctaNombre,0))&amp;""&lt;&gt;"",INDEX(ctaVinc,MATCH(Q861,ctaNombre,0))&amp;"",Q861),Q861))</f>
        <v/>
      </c>
      <c r="AC861" s="52">
        <f>IF(OR(K861="",AND(P861&lt;&gt;"Transferencia",P861&lt;&gt;"Pago tarjeta")),"",IFERROR(IF(INDEX(ctaVinc,MATCH(K861,ctaNombre,0))&amp;""&lt;&gt;"",INDEX(ctaVinc,MATCH(K861,ctaNombre,0))&amp;"",K861),K861))</f>
        <v/>
      </c>
      <c r="AD861" s="52">
        <f>IF(AB861="","",IFERROR(INDEX(ctaTipo,MATCH(AB861,ctaNombre,0))&amp;"",""))</f>
        <v/>
      </c>
      <c r="AE861" s="52">
        <f>IF(AC861="","",IFERROR(INDEX(ctaTipo,MATCH(AC861,ctaNombre,0))&amp;"",""))</f>
        <v/>
      </c>
      <c r="AF861" s="53">
        <f>IF(OR(P861="",AB861=""),"",IF(OR(P861="Gasto",P861="Transferencia",P861="Pago tarjeta"),-1,1)*IF(IFERROR(INDEX(ctaMoneda,MATCH(AB861,ctaNombre,0))&amp;"","DOP")="USD",T861,S861))</f>
        <v/>
      </c>
      <c r="AG861" s="53">
        <f>IF(AC861="","",IF(IFERROR(INDEX(ctaMoneda,MATCH(AC861,ctaNombre,0))&amp;"","DOP")="USD",T861,S861))</f>
        <v/>
      </c>
      <c r="AH861" s="53">
        <f>IF(P861="","",IF(AND(AD861&lt;&gt;"",COUNTIFS(tcTipo,AD861,tcLiq,"Sí")&gt;0),IF(OR(P861="Gasto",P861="Transferencia",P861="Pago tarjeta"),-1,1)*S861,0)+IF(AND(AE861&lt;&gt;"",COUNTIFS(tcTipo,AE861,tcLiq,"Sí")&gt;0),S861,0))</f>
        <v/>
      </c>
      <c r="AI861" s="52">
        <f>IF(OR(L861="",P861=""),"",IF(COUNTIFS(L$6:L861,L861,P$6:P861,"?*")=1,MAX(AI$5:AI860)+1,""))</f>
        <v/>
      </c>
    </row>
    <row r="862">
      <c r="B862" s="47" t="n"/>
      <c r="C862" s="48" t="n"/>
      <c r="D862" s="48" t="n"/>
      <c r="E862" s="48" t="n"/>
      <c r="F862" s="48" t="n"/>
      <c r="G862" s="49" t="n"/>
      <c r="H862" s="48" t="n"/>
      <c r="I862" s="50" t="n"/>
      <c r="J862" s="48" t="n"/>
      <c r="K862" s="48" t="n"/>
      <c r="L862" s="48" t="n"/>
      <c r="M862" s="48" t="n"/>
      <c r="N862" s="48" t="n"/>
      <c r="O862" s="51">
        <f>IF(AND(B862="",G862="",C862="",D862="",J862=""),"",IF(B862="","⚠ Falta fecha",IF(G862="","⚠ Falta monto",IF(Q862="","⚠ Falta cuenta",IF(ISNA(MATCH(Q862,ctaNombre,0)),"⚠ Cuenta no registrada",IF(AND(OR(P862="Gasto",P862="Reembolso"),D862=""),"⚠ Falta categoría",IF(AND(D862&lt;&gt;"",E862&lt;&gt;"",ISNA(MATCH(D862&amp;"|"&amp;E862,catClave,0))),"⚠ Subcategoría no corresponde",IF(AND(OR(P862="Transferencia",P862="Pago tarjeta"),K862=""),"⚠ Falta cuenta destino",IF(AND(K862&lt;&gt;"",P862&lt;&gt;"Transferencia",P862&lt;&gt;"Pago tarjeta"),"⚠ Destino solo aplica a transferencias",IF(AND(K862&lt;&gt;"",K862=Q862),"⚠ Origen igual a destino",IF(AND(K862&lt;&gt;"",ISNA(MATCH(K862,ctaNombre,0))),"⚠ Destino no registrado",IF(AND(P862="Pago tarjeta",AE862&lt;&gt;"Tarjeta de crédito"),"⚠ El destino debe ser tarjeta de crédito",IF(AND(P862="Gasto",E862="Depósitos y retiros"),"⚠ Usa tipo Transferencia",IF(AND(P862="Resultado trading",AD862&lt;&gt;"Cuenta de trading"),"⚠ Usa una cuenta de trading",IF(AND(G862&lt;=0,P862&lt;&gt;"Ajuste",P862&lt;&gt;"Resultado trading"),"⚠ El monto debe ser positivo","✓")))))))))))))))</f>
        <v/>
      </c>
      <c r="P862" s="52">
        <f>IF(OR(B862="",G862=""),"",IF(C862="","Gasto",C862))</f>
        <v/>
      </c>
      <c r="Q862" s="52">
        <f>IF(P862="","",IF(J862&lt;&gt;"",J862,CuentaPred&amp;""))</f>
        <v/>
      </c>
      <c r="R862" s="52">
        <f>IF(P862="","",IF(ISNUMBER(I862),I862,TasaUSD))</f>
        <v/>
      </c>
      <c r="S862" s="53">
        <f>IF(P862="","",IF(H862="USD",G862*R862,G862))</f>
        <v/>
      </c>
      <c r="T862" s="53">
        <f>IF(P862="","",IF(H862="USD",G862,IF(R862&gt;0,G862/R862,0)))</f>
        <v/>
      </c>
      <c r="U862" s="53">
        <f>IF(P862="","",IF(P862="Gasto",S862,IF(P862="Reembolso",-S862,0)))</f>
        <v/>
      </c>
      <c r="V862" s="53">
        <f>IF(P862="","",IF(P862="Ingreso",S862,0))</f>
        <v/>
      </c>
      <c r="W862" s="53">
        <f>IF(P862="","",IF(P862="Resultado trading",S862,0))</f>
        <v/>
      </c>
      <c r="X862" s="52">
        <f>IF(OR(P862="Gasto",P862="Reembolso"),IF(M862&lt;&gt;"",M862,IFERROR(INDEX(catClasif,MATCH(D862&amp;"|"&amp;E862,catClave,0))&amp;"","Variable")),"")</f>
        <v/>
      </c>
      <c r="Y862" s="52">
        <f>IF(P862="","",IFERROR(INDEX(catGrupo,MATCH(D862&amp;"|"&amp;E862,catClave,0))&amp;"",""))</f>
        <v/>
      </c>
      <c r="Z862" s="52">
        <f>IF(P862="","",WEEKDAY(B862,2))</f>
        <v/>
      </c>
      <c r="AA862" s="52">
        <f>IF(P862="","",IF(AND(P862="Gasto",X862="Variable",D862&lt;&gt;catTrading,S862&gt;0,S862&lt;=Umbral),1,0))</f>
        <v/>
      </c>
      <c r="AB862" s="52">
        <f>IF(OR(P862="",Q862=""),"",IFERROR(IF(INDEX(ctaVinc,MATCH(Q862,ctaNombre,0))&amp;""&lt;&gt;"",INDEX(ctaVinc,MATCH(Q862,ctaNombre,0))&amp;"",Q862),Q862))</f>
        <v/>
      </c>
      <c r="AC862" s="52">
        <f>IF(OR(K862="",AND(P862&lt;&gt;"Transferencia",P862&lt;&gt;"Pago tarjeta")),"",IFERROR(IF(INDEX(ctaVinc,MATCH(K862,ctaNombre,0))&amp;""&lt;&gt;"",INDEX(ctaVinc,MATCH(K862,ctaNombre,0))&amp;"",K862),K862))</f>
        <v/>
      </c>
      <c r="AD862" s="52">
        <f>IF(AB862="","",IFERROR(INDEX(ctaTipo,MATCH(AB862,ctaNombre,0))&amp;"",""))</f>
        <v/>
      </c>
      <c r="AE862" s="52">
        <f>IF(AC862="","",IFERROR(INDEX(ctaTipo,MATCH(AC862,ctaNombre,0))&amp;"",""))</f>
        <v/>
      </c>
      <c r="AF862" s="53">
        <f>IF(OR(P862="",AB862=""),"",IF(OR(P862="Gasto",P862="Transferencia",P862="Pago tarjeta"),-1,1)*IF(IFERROR(INDEX(ctaMoneda,MATCH(AB862,ctaNombre,0))&amp;"","DOP")="USD",T862,S862))</f>
        <v/>
      </c>
      <c r="AG862" s="53">
        <f>IF(AC862="","",IF(IFERROR(INDEX(ctaMoneda,MATCH(AC862,ctaNombre,0))&amp;"","DOP")="USD",T862,S862))</f>
        <v/>
      </c>
      <c r="AH862" s="53">
        <f>IF(P862="","",IF(AND(AD862&lt;&gt;"",COUNTIFS(tcTipo,AD862,tcLiq,"Sí")&gt;0),IF(OR(P862="Gasto",P862="Transferencia",P862="Pago tarjeta"),-1,1)*S862,0)+IF(AND(AE862&lt;&gt;"",COUNTIFS(tcTipo,AE862,tcLiq,"Sí")&gt;0),S862,0))</f>
        <v/>
      </c>
      <c r="AI862" s="52">
        <f>IF(OR(L862="",P862=""),"",IF(COUNTIFS(L$6:L862,L862,P$6:P862,"?*")=1,MAX(AI$5:AI861)+1,""))</f>
        <v/>
      </c>
    </row>
    <row r="863">
      <c r="B863" s="47" t="n"/>
      <c r="C863" s="48" t="n"/>
      <c r="D863" s="48" t="n"/>
      <c r="E863" s="48" t="n"/>
      <c r="F863" s="48" t="n"/>
      <c r="G863" s="49" t="n"/>
      <c r="H863" s="48" t="n"/>
      <c r="I863" s="50" t="n"/>
      <c r="J863" s="48" t="n"/>
      <c r="K863" s="48" t="n"/>
      <c r="L863" s="48" t="n"/>
      <c r="M863" s="48" t="n"/>
      <c r="N863" s="48" t="n"/>
      <c r="O863" s="51">
        <f>IF(AND(B863="",G863="",C863="",D863="",J863=""),"",IF(B863="","⚠ Falta fecha",IF(G863="","⚠ Falta monto",IF(Q863="","⚠ Falta cuenta",IF(ISNA(MATCH(Q863,ctaNombre,0)),"⚠ Cuenta no registrada",IF(AND(OR(P863="Gasto",P863="Reembolso"),D863=""),"⚠ Falta categoría",IF(AND(D863&lt;&gt;"",E863&lt;&gt;"",ISNA(MATCH(D863&amp;"|"&amp;E863,catClave,0))),"⚠ Subcategoría no corresponde",IF(AND(OR(P863="Transferencia",P863="Pago tarjeta"),K863=""),"⚠ Falta cuenta destino",IF(AND(K863&lt;&gt;"",P863&lt;&gt;"Transferencia",P863&lt;&gt;"Pago tarjeta"),"⚠ Destino solo aplica a transferencias",IF(AND(K863&lt;&gt;"",K863=Q863),"⚠ Origen igual a destino",IF(AND(K863&lt;&gt;"",ISNA(MATCH(K863,ctaNombre,0))),"⚠ Destino no registrado",IF(AND(P863="Pago tarjeta",AE863&lt;&gt;"Tarjeta de crédito"),"⚠ El destino debe ser tarjeta de crédito",IF(AND(P863="Gasto",E863="Depósitos y retiros"),"⚠ Usa tipo Transferencia",IF(AND(P863="Resultado trading",AD863&lt;&gt;"Cuenta de trading"),"⚠ Usa una cuenta de trading",IF(AND(G863&lt;=0,P863&lt;&gt;"Ajuste",P863&lt;&gt;"Resultado trading"),"⚠ El monto debe ser positivo","✓")))))))))))))))</f>
        <v/>
      </c>
      <c r="P863" s="52">
        <f>IF(OR(B863="",G863=""),"",IF(C863="","Gasto",C863))</f>
        <v/>
      </c>
      <c r="Q863" s="52">
        <f>IF(P863="","",IF(J863&lt;&gt;"",J863,CuentaPred&amp;""))</f>
        <v/>
      </c>
      <c r="R863" s="52">
        <f>IF(P863="","",IF(ISNUMBER(I863),I863,TasaUSD))</f>
        <v/>
      </c>
      <c r="S863" s="53">
        <f>IF(P863="","",IF(H863="USD",G863*R863,G863))</f>
        <v/>
      </c>
      <c r="T863" s="53">
        <f>IF(P863="","",IF(H863="USD",G863,IF(R863&gt;0,G863/R863,0)))</f>
        <v/>
      </c>
      <c r="U863" s="53">
        <f>IF(P863="","",IF(P863="Gasto",S863,IF(P863="Reembolso",-S863,0)))</f>
        <v/>
      </c>
      <c r="V863" s="53">
        <f>IF(P863="","",IF(P863="Ingreso",S863,0))</f>
        <v/>
      </c>
      <c r="W863" s="53">
        <f>IF(P863="","",IF(P863="Resultado trading",S863,0))</f>
        <v/>
      </c>
      <c r="X863" s="52">
        <f>IF(OR(P863="Gasto",P863="Reembolso"),IF(M863&lt;&gt;"",M863,IFERROR(INDEX(catClasif,MATCH(D863&amp;"|"&amp;E863,catClave,0))&amp;"","Variable")),"")</f>
        <v/>
      </c>
      <c r="Y863" s="52">
        <f>IF(P863="","",IFERROR(INDEX(catGrupo,MATCH(D863&amp;"|"&amp;E863,catClave,0))&amp;"",""))</f>
        <v/>
      </c>
      <c r="Z863" s="52">
        <f>IF(P863="","",WEEKDAY(B863,2))</f>
        <v/>
      </c>
      <c r="AA863" s="52">
        <f>IF(P863="","",IF(AND(P863="Gasto",X863="Variable",D863&lt;&gt;catTrading,S863&gt;0,S863&lt;=Umbral),1,0))</f>
        <v/>
      </c>
      <c r="AB863" s="52">
        <f>IF(OR(P863="",Q863=""),"",IFERROR(IF(INDEX(ctaVinc,MATCH(Q863,ctaNombre,0))&amp;""&lt;&gt;"",INDEX(ctaVinc,MATCH(Q863,ctaNombre,0))&amp;"",Q863),Q863))</f>
        <v/>
      </c>
      <c r="AC863" s="52">
        <f>IF(OR(K863="",AND(P863&lt;&gt;"Transferencia",P863&lt;&gt;"Pago tarjeta")),"",IFERROR(IF(INDEX(ctaVinc,MATCH(K863,ctaNombre,0))&amp;""&lt;&gt;"",INDEX(ctaVinc,MATCH(K863,ctaNombre,0))&amp;"",K863),K863))</f>
        <v/>
      </c>
      <c r="AD863" s="52">
        <f>IF(AB863="","",IFERROR(INDEX(ctaTipo,MATCH(AB863,ctaNombre,0))&amp;"",""))</f>
        <v/>
      </c>
      <c r="AE863" s="52">
        <f>IF(AC863="","",IFERROR(INDEX(ctaTipo,MATCH(AC863,ctaNombre,0))&amp;"",""))</f>
        <v/>
      </c>
      <c r="AF863" s="53">
        <f>IF(OR(P863="",AB863=""),"",IF(OR(P863="Gasto",P863="Transferencia",P863="Pago tarjeta"),-1,1)*IF(IFERROR(INDEX(ctaMoneda,MATCH(AB863,ctaNombre,0))&amp;"","DOP")="USD",T863,S863))</f>
        <v/>
      </c>
      <c r="AG863" s="53">
        <f>IF(AC863="","",IF(IFERROR(INDEX(ctaMoneda,MATCH(AC863,ctaNombre,0))&amp;"","DOP")="USD",T863,S863))</f>
        <v/>
      </c>
      <c r="AH863" s="53">
        <f>IF(P863="","",IF(AND(AD863&lt;&gt;"",COUNTIFS(tcTipo,AD863,tcLiq,"Sí")&gt;0),IF(OR(P863="Gasto",P863="Transferencia",P863="Pago tarjeta"),-1,1)*S863,0)+IF(AND(AE863&lt;&gt;"",COUNTIFS(tcTipo,AE863,tcLiq,"Sí")&gt;0),S863,0))</f>
        <v/>
      </c>
      <c r="AI863" s="52">
        <f>IF(OR(L863="",P863=""),"",IF(COUNTIFS(L$6:L863,L863,P$6:P863,"?*")=1,MAX(AI$5:AI862)+1,""))</f>
        <v/>
      </c>
    </row>
    <row r="864">
      <c r="B864" s="47" t="n"/>
      <c r="C864" s="48" t="n"/>
      <c r="D864" s="48" t="n"/>
      <c r="E864" s="48" t="n"/>
      <c r="F864" s="48" t="n"/>
      <c r="G864" s="49" t="n"/>
      <c r="H864" s="48" t="n"/>
      <c r="I864" s="50" t="n"/>
      <c r="J864" s="48" t="n"/>
      <c r="K864" s="48" t="n"/>
      <c r="L864" s="48" t="n"/>
      <c r="M864" s="48" t="n"/>
      <c r="N864" s="48" t="n"/>
      <c r="O864" s="51">
        <f>IF(AND(B864="",G864="",C864="",D864="",J864=""),"",IF(B864="","⚠ Falta fecha",IF(G864="","⚠ Falta monto",IF(Q864="","⚠ Falta cuenta",IF(ISNA(MATCH(Q864,ctaNombre,0)),"⚠ Cuenta no registrada",IF(AND(OR(P864="Gasto",P864="Reembolso"),D864=""),"⚠ Falta categoría",IF(AND(D864&lt;&gt;"",E864&lt;&gt;"",ISNA(MATCH(D864&amp;"|"&amp;E864,catClave,0))),"⚠ Subcategoría no corresponde",IF(AND(OR(P864="Transferencia",P864="Pago tarjeta"),K864=""),"⚠ Falta cuenta destino",IF(AND(K864&lt;&gt;"",P864&lt;&gt;"Transferencia",P864&lt;&gt;"Pago tarjeta"),"⚠ Destino solo aplica a transferencias",IF(AND(K864&lt;&gt;"",K864=Q864),"⚠ Origen igual a destino",IF(AND(K864&lt;&gt;"",ISNA(MATCH(K864,ctaNombre,0))),"⚠ Destino no registrado",IF(AND(P864="Pago tarjeta",AE864&lt;&gt;"Tarjeta de crédito"),"⚠ El destino debe ser tarjeta de crédito",IF(AND(P864="Gasto",E864="Depósitos y retiros"),"⚠ Usa tipo Transferencia",IF(AND(P864="Resultado trading",AD864&lt;&gt;"Cuenta de trading"),"⚠ Usa una cuenta de trading",IF(AND(G864&lt;=0,P864&lt;&gt;"Ajuste",P864&lt;&gt;"Resultado trading"),"⚠ El monto debe ser positivo","✓")))))))))))))))</f>
        <v/>
      </c>
      <c r="P864" s="52">
        <f>IF(OR(B864="",G864=""),"",IF(C864="","Gasto",C864))</f>
        <v/>
      </c>
      <c r="Q864" s="52">
        <f>IF(P864="","",IF(J864&lt;&gt;"",J864,CuentaPred&amp;""))</f>
        <v/>
      </c>
      <c r="R864" s="52">
        <f>IF(P864="","",IF(ISNUMBER(I864),I864,TasaUSD))</f>
        <v/>
      </c>
      <c r="S864" s="53">
        <f>IF(P864="","",IF(H864="USD",G864*R864,G864))</f>
        <v/>
      </c>
      <c r="T864" s="53">
        <f>IF(P864="","",IF(H864="USD",G864,IF(R864&gt;0,G864/R864,0)))</f>
        <v/>
      </c>
      <c r="U864" s="53">
        <f>IF(P864="","",IF(P864="Gasto",S864,IF(P864="Reembolso",-S864,0)))</f>
        <v/>
      </c>
      <c r="V864" s="53">
        <f>IF(P864="","",IF(P864="Ingreso",S864,0))</f>
        <v/>
      </c>
      <c r="W864" s="53">
        <f>IF(P864="","",IF(P864="Resultado trading",S864,0))</f>
        <v/>
      </c>
      <c r="X864" s="52">
        <f>IF(OR(P864="Gasto",P864="Reembolso"),IF(M864&lt;&gt;"",M864,IFERROR(INDEX(catClasif,MATCH(D864&amp;"|"&amp;E864,catClave,0))&amp;"","Variable")),"")</f>
        <v/>
      </c>
      <c r="Y864" s="52">
        <f>IF(P864="","",IFERROR(INDEX(catGrupo,MATCH(D864&amp;"|"&amp;E864,catClave,0))&amp;"",""))</f>
        <v/>
      </c>
      <c r="Z864" s="52">
        <f>IF(P864="","",WEEKDAY(B864,2))</f>
        <v/>
      </c>
      <c r="AA864" s="52">
        <f>IF(P864="","",IF(AND(P864="Gasto",X864="Variable",D864&lt;&gt;catTrading,S864&gt;0,S864&lt;=Umbral),1,0))</f>
        <v/>
      </c>
      <c r="AB864" s="52">
        <f>IF(OR(P864="",Q864=""),"",IFERROR(IF(INDEX(ctaVinc,MATCH(Q864,ctaNombre,0))&amp;""&lt;&gt;"",INDEX(ctaVinc,MATCH(Q864,ctaNombre,0))&amp;"",Q864),Q864))</f>
        <v/>
      </c>
      <c r="AC864" s="52">
        <f>IF(OR(K864="",AND(P864&lt;&gt;"Transferencia",P864&lt;&gt;"Pago tarjeta")),"",IFERROR(IF(INDEX(ctaVinc,MATCH(K864,ctaNombre,0))&amp;""&lt;&gt;"",INDEX(ctaVinc,MATCH(K864,ctaNombre,0))&amp;"",K864),K864))</f>
        <v/>
      </c>
      <c r="AD864" s="52">
        <f>IF(AB864="","",IFERROR(INDEX(ctaTipo,MATCH(AB864,ctaNombre,0))&amp;"",""))</f>
        <v/>
      </c>
      <c r="AE864" s="52">
        <f>IF(AC864="","",IFERROR(INDEX(ctaTipo,MATCH(AC864,ctaNombre,0))&amp;"",""))</f>
        <v/>
      </c>
      <c r="AF864" s="53">
        <f>IF(OR(P864="",AB864=""),"",IF(OR(P864="Gasto",P864="Transferencia",P864="Pago tarjeta"),-1,1)*IF(IFERROR(INDEX(ctaMoneda,MATCH(AB864,ctaNombre,0))&amp;"","DOP")="USD",T864,S864))</f>
        <v/>
      </c>
      <c r="AG864" s="53">
        <f>IF(AC864="","",IF(IFERROR(INDEX(ctaMoneda,MATCH(AC864,ctaNombre,0))&amp;"","DOP")="USD",T864,S864))</f>
        <v/>
      </c>
      <c r="AH864" s="53">
        <f>IF(P864="","",IF(AND(AD864&lt;&gt;"",COUNTIFS(tcTipo,AD864,tcLiq,"Sí")&gt;0),IF(OR(P864="Gasto",P864="Transferencia",P864="Pago tarjeta"),-1,1)*S864,0)+IF(AND(AE864&lt;&gt;"",COUNTIFS(tcTipo,AE864,tcLiq,"Sí")&gt;0),S864,0))</f>
        <v/>
      </c>
      <c r="AI864" s="52">
        <f>IF(OR(L864="",P864=""),"",IF(COUNTIFS(L$6:L864,L864,P$6:P864,"?*")=1,MAX(AI$5:AI863)+1,""))</f>
        <v/>
      </c>
    </row>
    <row r="865">
      <c r="B865" s="47" t="n"/>
      <c r="C865" s="48" t="n"/>
      <c r="D865" s="48" t="n"/>
      <c r="E865" s="48" t="n"/>
      <c r="F865" s="48" t="n"/>
      <c r="G865" s="49" t="n"/>
      <c r="H865" s="48" t="n"/>
      <c r="I865" s="50" t="n"/>
      <c r="J865" s="48" t="n"/>
      <c r="K865" s="48" t="n"/>
      <c r="L865" s="48" t="n"/>
      <c r="M865" s="48" t="n"/>
      <c r="N865" s="48" t="n"/>
      <c r="O865" s="51">
        <f>IF(AND(B865="",G865="",C865="",D865="",J865=""),"",IF(B865="","⚠ Falta fecha",IF(G865="","⚠ Falta monto",IF(Q865="","⚠ Falta cuenta",IF(ISNA(MATCH(Q865,ctaNombre,0)),"⚠ Cuenta no registrada",IF(AND(OR(P865="Gasto",P865="Reembolso"),D865=""),"⚠ Falta categoría",IF(AND(D865&lt;&gt;"",E865&lt;&gt;"",ISNA(MATCH(D865&amp;"|"&amp;E865,catClave,0))),"⚠ Subcategoría no corresponde",IF(AND(OR(P865="Transferencia",P865="Pago tarjeta"),K865=""),"⚠ Falta cuenta destino",IF(AND(K865&lt;&gt;"",P865&lt;&gt;"Transferencia",P865&lt;&gt;"Pago tarjeta"),"⚠ Destino solo aplica a transferencias",IF(AND(K865&lt;&gt;"",K865=Q865),"⚠ Origen igual a destino",IF(AND(K865&lt;&gt;"",ISNA(MATCH(K865,ctaNombre,0))),"⚠ Destino no registrado",IF(AND(P865="Pago tarjeta",AE865&lt;&gt;"Tarjeta de crédito"),"⚠ El destino debe ser tarjeta de crédito",IF(AND(P865="Gasto",E865="Depósitos y retiros"),"⚠ Usa tipo Transferencia",IF(AND(P865="Resultado trading",AD865&lt;&gt;"Cuenta de trading"),"⚠ Usa una cuenta de trading",IF(AND(G865&lt;=0,P865&lt;&gt;"Ajuste",P865&lt;&gt;"Resultado trading"),"⚠ El monto debe ser positivo","✓")))))))))))))))</f>
        <v/>
      </c>
      <c r="P865" s="52">
        <f>IF(OR(B865="",G865=""),"",IF(C865="","Gasto",C865))</f>
        <v/>
      </c>
      <c r="Q865" s="52">
        <f>IF(P865="","",IF(J865&lt;&gt;"",J865,CuentaPred&amp;""))</f>
        <v/>
      </c>
      <c r="R865" s="52">
        <f>IF(P865="","",IF(ISNUMBER(I865),I865,TasaUSD))</f>
        <v/>
      </c>
      <c r="S865" s="53">
        <f>IF(P865="","",IF(H865="USD",G865*R865,G865))</f>
        <v/>
      </c>
      <c r="T865" s="53">
        <f>IF(P865="","",IF(H865="USD",G865,IF(R865&gt;0,G865/R865,0)))</f>
        <v/>
      </c>
      <c r="U865" s="53">
        <f>IF(P865="","",IF(P865="Gasto",S865,IF(P865="Reembolso",-S865,0)))</f>
        <v/>
      </c>
      <c r="V865" s="53">
        <f>IF(P865="","",IF(P865="Ingreso",S865,0))</f>
        <v/>
      </c>
      <c r="W865" s="53">
        <f>IF(P865="","",IF(P865="Resultado trading",S865,0))</f>
        <v/>
      </c>
      <c r="X865" s="52">
        <f>IF(OR(P865="Gasto",P865="Reembolso"),IF(M865&lt;&gt;"",M865,IFERROR(INDEX(catClasif,MATCH(D865&amp;"|"&amp;E865,catClave,0))&amp;"","Variable")),"")</f>
        <v/>
      </c>
      <c r="Y865" s="52">
        <f>IF(P865="","",IFERROR(INDEX(catGrupo,MATCH(D865&amp;"|"&amp;E865,catClave,0))&amp;"",""))</f>
        <v/>
      </c>
      <c r="Z865" s="52">
        <f>IF(P865="","",WEEKDAY(B865,2))</f>
        <v/>
      </c>
      <c r="AA865" s="52">
        <f>IF(P865="","",IF(AND(P865="Gasto",X865="Variable",D865&lt;&gt;catTrading,S865&gt;0,S865&lt;=Umbral),1,0))</f>
        <v/>
      </c>
      <c r="AB865" s="52">
        <f>IF(OR(P865="",Q865=""),"",IFERROR(IF(INDEX(ctaVinc,MATCH(Q865,ctaNombre,0))&amp;""&lt;&gt;"",INDEX(ctaVinc,MATCH(Q865,ctaNombre,0))&amp;"",Q865),Q865))</f>
        <v/>
      </c>
      <c r="AC865" s="52">
        <f>IF(OR(K865="",AND(P865&lt;&gt;"Transferencia",P865&lt;&gt;"Pago tarjeta")),"",IFERROR(IF(INDEX(ctaVinc,MATCH(K865,ctaNombre,0))&amp;""&lt;&gt;"",INDEX(ctaVinc,MATCH(K865,ctaNombre,0))&amp;"",K865),K865))</f>
        <v/>
      </c>
      <c r="AD865" s="52">
        <f>IF(AB865="","",IFERROR(INDEX(ctaTipo,MATCH(AB865,ctaNombre,0))&amp;"",""))</f>
        <v/>
      </c>
      <c r="AE865" s="52">
        <f>IF(AC865="","",IFERROR(INDEX(ctaTipo,MATCH(AC865,ctaNombre,0))&amp;"",""))</f>
        <v/>
      </c>
      <c r="AF865" s="53">
        <f>IF(OR(P865="",AB865=""),"",IF(OR(P865="Gasto",P865="Transferencia",P865="Pago tarjeta"),-1,1)*IF(IFERROR(INDEX(ctaMoneda,MATCH(AB865,ctaNombre,0))&amp;"","DOP")="USD",T865,S865))</f>
        <v/>
      </c>
      <c r="AG865" s="53">
        <f>IF(AC865="","",IF(IFERROR(INDEX(ctaMoneda,MATCH(AC865,ctaNombre,0))&amp;"","DOP")="USD",T865,S865))</f>
        <v/>
      </c>
      <c r="AH865" s="53">
        <f>IF(P865="","",IF(AND(AD865&lt;&gt;"",COUNTIFS(tcTipo,AD865,tcLiq,"Sí")&gt;0),IF(OR(P865="Gasto",P865="Transferencia",P865="Pago tarjeta"),-1,1)*S865,0)+IF(AND(AE865&lt;&gt;"",COUNTIFS(tcTipo,AE865,tcLiq,"Sí")&gt;0),S865,0))</f>
        <v/>
      </c>
      <c r="AI865" s="52">
        <f>IF(OR(L865="",P865=""),"",IF(COUNTIFS(L$6:L865,L865,P$6:P865,"?*")=1,MAX(AI$5:AI864)+1,""))</f>
        <v/>
      </c>
    </row>
    <row r="866">
      <c r="B866" s="47" t="n"/>
      <c r="C866" s="48" t="n"/>
      <c r="D866" s="48" t="n"/>
      <c r="E866" s="48" t="n"/>
      <c r="F866" s="48" t="n"/>
      <c r="G866" s="49" t="n"/>
      <c r="H866" s="48" t="n"/>
      <c r="I866" s="50" t="n"/>
      <c r="J866" s="48" t="n"/>
      <c r="K866" s="48" t="n"/>
      <c r="L866" s="48" t="n"/>
      <c r="M866" s="48" t="n"/>
      <c r="N866" s="48" t="n"/>
      <c r="O866" s="51">
        <f>IF(AND(B866="",G866="",C866="",D866="",J866=""),"",IF(B866="","⚠ Falta fecha",IF(G866="","⚠ Falta monto",IF(Q866="","⚠ Falta cuenta",IF(ISNA(MATCH(Q866,ctaNombre,0)),"⚠ Cuenta no registrada",IF(AND(OR(P866="Gasto",P866="Reembolso"),D866=""),"⚠ Falta categoría",IF(AND(D866&lt;&gt;"",E866&lt;&gt;"",ISNA(MATCH(D866&amp;"|"&amp;E866,catClave,0))),"⚠ Subcategoría no corresponde",IF(AND(OR(P866="Transferencia",P866="Pago tarjeta"),K866=""),"⚠ Falta cuenta destino",IF(AND(K866&lt;&gt;"",P866&lt;&gt;"Transferencia",P866&lt;&gt;"Pago tarjeta"),"⚠ Destino solo aplica a transferencias",IF(AND(K866&lt;&gt;"",K866=Q866),"⚠ Origen igual a destino",IF(AND(K866&lt;&gt;"",ISNA(MATCH(K866,ctaNombre,0))),"⚠ Destino no registrado",IF(AND(P866="Pago tarjeta",AE866&lt;&gt;"Tarjeta de crédito"),"⚠ El destino debe ser tarjeta de crédito",IF(AND(P866="Gasto",E866="Depósitos y retiros"),"⚠ Usa tipo Transferencia",IF(AND(P866="Resultado trading",AD866&lt;&gt;"Cuenta de trading"),"⚠ Usa una cuenta de trading",IF(AND(G866&lt;=0,P866&lt;&gt;"Ajuste",P866&lt;&gt;"Resultado trading"),"⚠ El monto debe ser positivo","✓")))))))))))))))</f>
        <v/>
      </c>
      <c r="P866" s="52">
        <f>IF(OR(B866="",G866=""),"",IF(C866="","Gasto",C866))</f>
        <v/>
      </c>
      <c r="Q866" s="52">
        <f>IF(P866="","",IF(J866&lt;&gt;"",J866,CuentaPred&amp;""))</f>
        <v/>
      </c>
      <c r="R866" s="52">
        <f>IF(P866="","",IF(ISNUMBER(I866),I866,TasaUSD))</f>
        <v/>
      </c>
      <c r="S866" s="53">
        <f>IF(P866="","",IF(H866="USD",G866*R866,G866))</f>
        <v/>
      </c>
      <c r="T866" s="53">
        <f>IF(P866="","",IF(H866="USD",G866,IF(R866&gt;0,G866/R866,0)))</f>
        <v/>
      </c>
      <c r="U866" s="53">
        <f>IF(P866="","",IF(P866="Gasto",S866,IF(P866="Reembolso",-S866,0)))</f>
        <v/>
      </c>
      <c r="V866" s="53">
        <f>IF(P866="","",IF(P866="Ingreso",S866,0))</f>
        <v/>
      </c>
      <c r="W866" s="53">
        <f>IF(P866="","",IF(P866="Resultado trading",S866,0))</f>
        <v/>
      </c>
      <c r="X866" s="52">
        <f>IF(OR(P866="Gasto",P866="Reembolso"),IF(M866&lt;&gt;"",M866,IFERROR(INDEX(catClasif,MATCH(D866&amp;"|"&amp;E866,catClave,0))&amp;"","Variable")),"")</f>
        <v/>
      </c>
      <c r="Y866" s="52">
        <f>IF(P866="","",IFERROR(INDEX(catGrupo,MATCH(D866&amp;"|"&amp;E866,catClave,0))&amp;"",""))</f>
        <v/>
      </c>
      <c r="Z866" s="52">
        <f>IF(P866="","",WEEKDAY(B866,2))</f>
        <v/>
      </c>
      <c r="AA866" s="52">
        <f>IF(P866="","",IF(AND(P866="Gasto",X866="Variable",D866&lt;&gt;catTrading,S866&gt;0,S866&lt;=Umbral),1,0))</f>
        <v/>
      </c>
      <c r="AB866" s="52">
        <f>IF(OR(P866="",Q866=""),"",IFERROR(IF(INDEX(ctaVinc,MATCH(Q866,ctaNombre,0))&amp;""&lt;&gt;"",INDEX(ctaVinc,MATCH(Q866,ctaNombre,0))&amp;"",Q866),Q866))</f>
        <v/>
      </c>
      <c r="AC866" s="52">
        <f>IF(OR(K866="",AND(P866&lt;&gt;"Transferencia",P866&lt;&gt;"Pago tarjeta")),"",IFERROR(IF(INDEX(ctaVinc,MATCH(K866,ctaNombre,0))&amp;""&lt;&gt;"",INDEX(ctaVinc,MATCH(K866,ctaNombre,0))&amp;"",K866),K866))</f>
        <v/>
      </c>
      <c r="AD866" s="52">
        <f>IF(AB866="","",IFERROR(INDEX(ctaTipo,MATCH(AB866,ctaNombre,0))&amp;"",""))</f>
        <v/>
      </c>
      <c r="AE866" s="52">
        <f>IF(AC866="","",IFERROR(INDEX(ctaTipo,MATCH(AC866,ctaNombre,0))&amp;"",""))</f>
        <v/>
      </c>
      <c r="AF866" s="53">
        <f>IF(OR(P866="",AB866=""),"",IF(OR(P866="Gasto",P866="Transferencia",P866="Pago tarjeta"),-1,1)*IF(IFERROR(INDEX(ctaMoneda,MATCH(AB866,ctaNombre,0))&amp;"","DOP")="USD",T866,S866))</f>
        <v/>
      </c>
      <c r="AG866" s="53">
        <f>IF(AC866="","",IF(IFERROR(INDEX(ctaMoneda,MATCH(AC866,ctaNombre,0))&amp;"","DOP")="USD",T866,S866))</f>
        <v/>
      </c>
      <c r="AH866" s="53">
        <f>IF(P866="","",IF(AND(AD866&lt;&gt;"",COUNTIFS(tcTipo,AD866,tcLiq,"Sí")&gt;0),IF(OR(P866="Gasto",P866="Transferencia",P866="Pago tarjeta"),-1,1)*S866,0)+IF(AND(AE866&lt;&gt;"",COUNTIFS(tcTipo,AE866,tcLiq,"Sí")&gt;0),S866,0))</f>
        <v/>
      </c>
      <c r="AI866" s="52">
        <f>IF(OR(L866="",P866=""),"",IF(COUNTIFS(L$6:L866,L866,P$6:P866,"?*")=1,MAX(AI$5:AI865)+1,""))</f>
        <v/>
      </c>
    </row>
    <row r="867">
      <c r="B867" s="47" t="n"/>
      <c r="C867" s="48" t="n"/>
      <c r="D867" s="48" t="n"/>
      <c r="E867" s="48" t="n"/>
      <c r="F867" s="48" t="n"/>
      <c r="G867" s="49" t="n"/>
      <c r="H867" s="48" t="n"/>
      <c r="I867" s="50" t="n"/>
      <c r="J867" s="48" t="n"/>
      <c r="K867" s="48" t="n"/>
      <c r="L867" s="48" t="n"/>
      <c r="M867" s="48" t="n"/>
      <c r="N867" s="48" t="n"/>
      <c r="O867" s="51">
        <f>IF(AND(B867="",G867="",C867="",D867="",J867=""),"",IF(B867="","⚠ Falta fecha",IF(G867="","⚠ Falta monto",IF(Q867="","⚠ Falta cuenta",IF(ISNA(MATCH(Q867,ctaNombre,0)),"⚠ Cuenta no registrada",IF(AND(OR(P867="Gasto",P867="Reembolso"),D867=""),"⚠ Falta categoría",IF(AND(D867&lt;&gt;"",E867&lt;&gt;"",ISNA(MATCH(D867&amp;"|"&amp;E867,catClave,0))),"⚠ Subcategoría no corresponde",IF(AND(OR(P867="Transferencia",P867="Pago tarjeta"),K867=""),"⚠ Falta cuenta destino",IF(AND(K867&lt;&gt;"",P867&lt;&gt;"Transferencia",P867&lt;&gt;"Pago tarjeta"),"⚠ Destino solo aplica a transferencias",IF(AND(K867&lt;&gt;"",K867=Q867),"⚠ Origen igual a destino",IF(AND(K867&lt;&gt;"",ISNA(MATCH(K867,ctaNombre,0))),"⚠ Destino no registrado",IF(AND(P867="Pago tarjeta",AE867&lt;&gt;"Tarjeta de crédito"),"⚠ El destino debe ser tarjeta de crédito",IF(AND(P867="Gasto",E867="Depósitos y retiros"),"⚠ Usa tipo Transferencia",IF(AND(P867="Resultado trading",AD867&lt;&gt;"Cuenta de trading"),"⚠ Usa una cuenta de trading",IF(AND(G867&lt;=0,P867&lt;&gt;"Ajuste",P867&lt;&gt;"Resultado trading"),"⚠ El monto debe ser positivo","✓")))))))))))))))</f>
        <v/>
      </c>
      <c r="P867" s="52">
        <f>IF(OR(B867="",G867=""),"",IF(C867="","Gasto",C867))</f>
        <v/>
      </c>
      <c r="Q867" s="52">
        <f>IF(P867="","",IF(J867&lt;&gt;"",J867,CuentaPred&amp;""))</f>
        <v/>
      </c>
      <c r="R867" s="52">
        <f>IF(P867="","",IF(ISNUMBER(I867),I867,TasaUSD))</f>
        <v/>
      </c>
      <c r="S867" s="53">
        <f>IF(P867="","",IF(H867="USD",G867*R867,G867))</f>
        <v/>
      </c>
      <c r="T867" s="53">
        <f>IF(P867="","",IF(H867="USD",G867,IF(R867&gt;0,G867/R867,0)))</f>
        <v/>
      </c>
      <c r="U867" s="53">
        <f>IF(P867="","",IF(P867="Gasto",S867,IF(P867="Reembolso",-S867,0)))</f>
        <v/>
      </c>
      <c r="V867" s="53">
        <f>IF(P867="","",IF(P867="Ingreso",S867,0))</f>
        <v/>
      </c>
      <c r="W867" s="53">
        <f>IF(P867="","",IF(P867="Resultado trading",S867,0))</f>
        <v/>
      </c>
      <c r="X867" s="52">
        <f>IF(OR(P867="Gasto",P867="Reembolso"),IF(M867&lt;&gt;"",M867,IFERROR(INDEX(catClasif,MATCH(D867&amp;"|"&amp;E867,catClave,0))&amp;"","Variable")),"")</f>
        <v/>
      </c>
      <c r="Y867" s="52">
        <f>IF(P867="","",IFERROR(INDEX(catGrupo,MATCH(D867&amp;"|"&amp;E867,catClave,0))&amp;"",""))</f>
        <v/>
      </c>
      <c r="Z867" s="52">
        <f>IF(P867="","",WEEKDAY(B867,2))</f>
        <v/>
      </c>
      <c r="AA867" s="52">
        <f>IF(P867="","",IF(AND(P867="Gasto",X867="Variable",D867&lt;&gt;catTrading,S867&gt;0,S867&lt;=Umbral),1,0))</f>
        <v/>
      </c>
      <c r="AB867" s="52">
        <f>IF(OR(P867="",Q867=""),"",IFERROR(IF(INDEX(ctaVinc,MATCH(Q867,ctaNombre,0))&amp;""&lt;&gt;"",INDEX(ctaVinc,MATCH(Q867,ctaNombre,0))&amp;"",Q867),Q867))</f>
        <v/>
      </c>
      <c r="AC867" s="52">
        <f>IF(OR(K867="",AND(P867&lt;&gt;"Transferencia",P867&lt;&gt;"Pago tarjeta")),"",IFERROR(IF(INDEX(ctaVinc,MATCH(K867,ctaNombre,0))&amp;""&lt;&gt;"",INDEX(ctaVinc,MATCH(K867,ctaNombre,0))&amp;"",K867),K867))</f>
        <v/>
      </c>
      <c r="AD867" s="52">
        <f>IF(AB867="","",IFERROR(INDEX(ctaTipo,MATCH(AB867,ctaNombre,0))&amp;"",""))</f>
        <v/>
      </c>
      <c r="AE867" s="52">
        <f>IF(AC867="","",IFERROR(INDEX(ctaTipo,MATCH(AC867,ctaNombre,0))&amp;"",""))</f>
        <v/>
      </c>
      <c r="AF867" s="53">
        <f>IF(OR(P867="",AB867=""),"",IF(OR(P867="Gasto",P867="Transferencia",P867="Pago tarjeta"),-1,1)*IF(IFERROR(INDEX(ctaMoneda,MATCH(AB867,ctaNombre,0))&amp;"","DOP")="USD",T867,S867))</f>
        <v/>
      </c>
      <c r="AG867" s="53">
        <f>IF(AC867="","",IF(IFERROR(INDEX(ctaMoneda,MATCH(AC867,ctaNombre,0))&amp;"","DOP")="USD",T867,S867))</f>
        <v/>
      </c>
      <c r="AH867" s="53">
        <f>IF(P867="","",IF(AND(AD867&lt;&gt;"",COUNTIFS(tcTipo,AD867,tcLiq,"Sí")&gt;0),IF(OR(P867="Gasto",P867="Transferencia",P867="Pago tarjeta"),-1,1)*S867,0)+IF(AND(AE867&lt;&gt;"",COUNTIFS(tcTipo,AE867,tcLiq,"Sí")&gt;0),S867,0))</f>
        <v/>
      </c>
      <c r="AI867" s="52">
        <f>IF(OR(L867="",P867=""),"",IF(COUNTIFS(L$6:L867,L867,P$6:P867,"?*")=1,MAX(AI$5:AI866)+1,""))</f>
        <v/>
      </c>
    </row>
    <row r="868">
      <c r="B868" s="47" t="n"/>
      <c r="C868" s="48" t="n"/>
      <c r="D868" s="48" t="n"/>
      <c r="E868" s="48" t="n"/>
      <c r="F868" s="48" t="n"/>
      <c r="G868" s="49" t="n"/>
      <c r="H868" s="48" t="n"/>
      <c r="I868" s="50" t="n"/>
      <c r="J868" s="48" t="n"/>
      <c r="K868" s="48" t="n"/>
      <c r="L868" s="48" t="n"/>
      <c r="M868" s="48" t="n"/>
      <c r="N868" s="48" t="n"/>
      <c r="O868" s="51">
        <f>IF(AND(B868="",G868="",C868="",D868="",J868=""),"",IF(B868="","⚠ Falta fecha",IF(G868="","⚠ Falta monto",IF(Q868="","⚠ Falta cuenta",IF(ISNA(MATCH(Q868,ctaNombre,0)),"⚠ Cuenta no registrada",IF(AND(OR(P868="Gasto",P868="Reembolso"),D868=""),"⚠ Falta categoría",IF(AND(D868&lt;&gt;"",E868&lt;&gt;"",ISNA(MATCH(D868&amp;"|"&amp;E868,catClave,0))),"⚠ Subcategoría no corresponde",IF(AND(OR(P868="Transferencia",P868="Pago tarjeta"),K868=""),"⚠ Falta cuenta destino",IF(AND(K868&lt;&gt;"",P868&lt;&gt;"Transferencia",P868&lt;&gt;"Pago tarjeta"),"⚠ Destino solo aplica a transferencias",IF(AND(K868&lt;&gt;"",K868=Q868),"⚠ Origen igual a destino",IF(AND(K868&lt;&gt;"",ISNA(MATCH(K868,ctaNombre,0))),"⚠ Destino no registrado",IF(AND(P868="Pago tarjeta",AE868&lt;&gt;"Tarjeta de crédito"),"⚠ El destino debe ser tarjeta de crédito",IF(AND(P868="Gasto",E868="Depósitos y retiros"),"⚠ Usa tipo Transferencia",IF(AND(P868="Resultado trading",AD868&lt;&gt;"Cuenta de trading"),"⚠ Usa una cuenta de trading",IF(AND(G868&lt;=0,P868&lt;&gt;"Ajuste",P868&lt;&gt;"Resultado trading"),"⚠ El monto debe ser positivo","✓")))))))))))))))</f>
        <v/>
      </c>
      <c r="P868" s="52">
        <f>IF(OR(B868="",G868=""),"",IF(C868="","Gasto",C868))</f>
        <v/>
      </c>
      <c r="Q868" s="52">
        <f>IF(P868="","",IF(J868&lt;&gt;"",J868,CuentaPred&amp;""))</f>
        <v/>
      </c>
      <c r="R868" s="52">
        <f>IF(P868="","",IF(ISNUMBER(I868),I868,TasaUSD))</f>
        <v/>
      </c>
      <c r="S868" s="53">
        <f>IF(P868="","",IF(H868="USD",G868*R868,G868))</f>
        <v/>
      </c>
      <c r="T868" s="53">
        <f>IF(P868="","",IF(H868="USD",G868,IF(R868&gt;0,G868/R868,0)))</f>
        <v/>
      </c>
      <c r="U868" s="53">
        <f>IF(P868="","",IF(P868="Gasto",S868,IF(P868="Reembolso",-S868,0)))</f>
        <v/>
      </c>
      <c r="V868" s="53">
        <f>IF(P868="","",IF(P868="Ingreso",S868,0))</f>
        <v/>
      </c>
      <c r="W868" s="53">
        <f>IF(P868="","",IF(P868="Resultado trading",S868,0))</f>
        <v/>
      </c>
      <c r="X868" s="52">
        <f>IF(OR(P868="Gasto",P868="Reembolso"),IF(M868&lt;&gt;"",M868,IFERROR(INDEX(catClasif,MATCH(D868&amp;"|"&amp;E868,catClave,0))&amp;"","Variable")),"")</f>
        <v/>
      </c>
      <c r="Y868" s="52">
        <f>IF(P868="","",IFERROR(INDEX(catGrupo,MATCH(D868&amp;"|"&amp;E868,catClave,0))&amp;"",""))</f>
        <v/>
      </c>
      <c r="Z868" s="52">
        <f>IF(P868="","",WEEKDAY(B868,2))</f>
        <v/>
      </c>
      <c r="AA868" s="52">
        <f>IF(P868="","",IF(AND(P868="Gasto",X868="Variable",D868&lt;&gt;catTrading,S868&gt;0,S868&lt;=Umbral),1,0))</f>
        <v/>
      </c>
      <c r="AB868" s="52">
        <f>IF(OR(P868="",Q868=""),"",IFERROR(IF(INDEX(ctaVinc,MATCH(Q868,ctaNombre,0))&amp;""&lt;&gt;"",INDEX(ctaVinc,MATCH(Q868,ctaNombre,0))&amp;"",Q868),Q868))</f>
        <v/>
      </c>
      <c r="AC868" s="52">
        <f>IF(OR(K868="",AND(P868&lt;&gt;"Transferencia",P868&lt;&gt;"Pago tarjeta")),"",IFERROR(IF(INDEX(ctaVinc,MATCH(K868,ctaNombre,0))&amp;""&lt;&gt;"",INDEX(ctaVinc,MATCH(K868,ctaNombre,0))&amp;"",K868),K868))</f>
        <v/>
      </c>
      <c r="AD868" s="52">
        <f>IF(AB868="","",IFERROR(INDEX(ctaTipo,MATCH(AB868,ctaNombre,0))&amp;"",""))</f>
        <v/>
      </c>
      <c r="AE868" s="52">
        <f>IF(AC868="","",IFERROR(INDEX(ctaTipo,MATCH(AC868,ctaNombre,0))&amp;"",""))</f>
        <v/>
      </c>
      <c r="AF868" s="53">
        <f>IF(OR(P868="",AB868=""),"",IF(OR(P868="Gasto",P868="Transferencia",P868="Pago tarjeta"),-1,1)*IF(IFERROR(INDEX(ctaMoneda,MATCH(AB868,ctaNombre,0))&amp;"","DOP")="USD",T868,S868))</f>
        <v/>
      </c>
      <c r="AG868" s="53">
        <f>IF(AC868="","",IF(IFERROR(INDEX(ctaMoneda,MATCH(AC868,ctaNombre,0))&amp;"","DOP")="USD",T868,S868))</f>
        <v/>
      </c>
      <c r="AH868" s="53">
        <f>IF(P868="","",IF(AND(AD868&lt;&gt;"",COUNTIFS(tcTipo,AD868,tcLiq,"Sí")&gt;0),IF(OR(P868="Gasto",P868="Transferencia",P868="Pago tarjeta"),-1,1)*S868,0)+IF(AND(AE868&lt;&gt;"",COUNTIFS(tcTipo,AE868,tcLiq,"Sí")&gt;0),S868,0))</f>
        <v/>
      </c>
      <c r="AI868" s="52">
        <f>IF(OR(L868="",P868=""),"",IF(COUNTIFS(L$6:L868,L868,P$6:P868,"?*")=1,MAX(AI$5:AI867)+1,""))</f>
        <v/>
      </c>
    </row>
    <row r="869">
      <c r="B869" s="47" t="n"/>
      <c r="C869" s="48" t="n"/>
      <c r="D869" s="48" t="n"/>
      <c r="E869" s="48" t="n"/>
      <c r="F869" s="48" t="n"/>
      <c r="G869" s="49" t="n"/>
      <c r="H869" s="48" t="n"/>
      <c r="I869" s="50" t="n"/>
      <c r="J869" s="48" t="n"/>
      <c r="K869" s="48" t="n"/>
      <c r="L869" s="48" t="n"/>
      <c r="M869" s="48" t="n"/>
      <c r="N869" s="48" t="n"/>
      <c r="O869" s="51">
        <f>IF(AND(B869="",G869="",C869="",D869="",J869=""),"",IF(B869="","⚠ Falta fecha",IF(G869="","⚠ Falta monto",IF(Q869="","⚠ Falta cuenta",IF(ISNA(MATCH(Q869,ctaNombre,0)),"⚠ Cuenta no registrada",IF(AND(OR(P869="Gasto",P869="Reembolso"),D869=""),"⚠ Falta categoría",IF(AND(D869&lt;&gt;"",E869&lt;&gt;"",ISNA(MATCH(D869&amp;"|"&amp;E869,catClave,0))),"⚠ Subcategoría no corresponde",IF(AND(OR(P869="Transferencia",P869="Pago tarjeta"),K869=""),"⚠ Falta cuenta destino",IF(AND(K869&lt;&gt;"",P869&lt;&gt;"Transferencia",P869&lt;&gt;"Pago tarjeta"),"⚠ Destino solo aplica a transferencias",IF(AND(K869&lt;&gt;"",K869=Q869),"⚠ Origen igual a destino",IF(AND(K869&lt;&gt;"",ISNA(MATCH(K869,ctaNombre,0))),"⚠ Destino no registrado",IF(AND(P869="Pago tarjeta",AE869&lt;&gt;"Tarjeta de crédito"),"⚠ El destino debe ser tarjeta de crédito",IF(AND(P869="Gasto",E869="Depósitos y retiros"),"⚠ Usa tipo Transferencia",IF(AND(P869="Resultado trading",AD869&lt;&gt;"Cuenta de trading"),"⚠ Usa una cuenta de trading",IF(AND(G869&lt;=0,P869&lt;&gt;"Ajuste",P869&lt;&gt;"Resultado trading"),"⚠ El monto debe ser positivo","✓")))))))))))))))</f>
        <v/>
      </c>
      <c r="P869" s="52">
        <f>IF(OR(B869="",G869=""),"",IF(C869="","Gasto",C869))</f>
        <v/>
      </c>
      <c r="Q869" s="52">
        <f>IF(P869="","",IF(J869&lt;&gt;"",J869,CuentaPred&amp;""))</f>
        <v/>
      </c>
      <c r="R869" s="52">
        <f>IF(P869="","",IF(ISNUMBER(I869),I869,TasaUSD))</f>
        <v/>
      </c>
      <c r="S869" s="53">
        <f>IF(P869="","",IF(H869="USD",G869*R869,G869))</f>
        <v/>
      </c>
      <c r="T869" s="53">
        <f>IF(P869="","",IF(H869="USD",G869,IF(R869&gt;0,G869/R869,0)))</f>
        <v/>
      </c>
      <c r="U869" s="53">
        <f>IF(P869="","",IF(P869="Gasto",S869,IF(P869="Reembolso",-S869,0)))</f>
        <v/>
      </c>
      <c r="V869" s="53">
        <f>IF(P869="","",IF(P869="Ingreso",S869,0))</f>
        <v/>
      </c>
      <c r="W869" s="53">
        <f>IF(P869="","",IF(P869="Resultado trading",S869,0))</f>
        <v/>
      </c>
      <c r="X869" s="52">
        <f>IF(OR(P869="Gasto",P869="Reembolso"),IF(M869&lt;&gt;"",M869,IFERROR(INDEX(catClasif,MATCH(D869&amp;"|"&amp;E869,catClave,0))&amp;"","Variable")),"")</f>
        <v/>
      </c>
      <c r="Y869" s="52">
        <f>IF(P869="","",IFERROR(INDEX(catGrupo,MATCH(D869&amp;"|"&amp;E869,catClave,0))&amp;"",""))</f>
        <v/>
      </c>
      <c r="Z869" s="52">
        <f>IF(P869="","",WEEKDAY(B869,2))</f>
        <v/>
      </c>
      <c r="AA869" s="52">
        <f>IF(P869="","",IF(AND(P869="Gasto",X869="Variable",D869&lt;&gt;catTrading,S869&gt;0,S869&lt;=Umbral),1,0))</f>
        <v/>
      </c>
      <c r="AB869" s="52">
        <f>IF(OR(P869="",Q869=""),"",IFERROR(IF(INDEX(ctaVinc,MATCH(Q869,ctaNombre,0))&amp;""&lt;&gt;"",INDEX(ctaVinc,MATCH(Q869,ctaNombre,0))&amp;"",Q869),Q869))</f>
        <v/>
      </c>
      <c r="AC869" s="52">
        <f>IF(OR(K869="",AND(P869&lt;&gt;"Transferencia",P869&lt;&gt;"Pago tarjeta")),"",IFERROR(IF(INDEX(ctaVinc,MATCH(K869,ctaNombre,0))&amp;""&lt;&gt;"",INDEX(ctaVinc,MATCH(K869,ctaNombre,0))&amp;"",K869),K869))</f>
        <v/>
      </c>
      <c r="AD869" s="52">
        <f>IF(AB869="","",IFERROR(INDEX(ctaTipo,MATCH(AB869,ctaNombre,0))&amp;"",""))</f>
        <v/>
      </c>
      <c r="AE869" s="52">
        <f>IF(AC869="","",IFERROR(INDEX(ctaTipo,MATCH(AC869,ctaNombre,0))&amp;"",""))</f>
        <v/>
      </c>
      <c r="AF869" s="53">
        <f>IF(OR(P869="",AB869=""),"",IF(OR(P869="Gasto",P869="Transferencia",P869="Pago tarjeta"),-1,1)*IF(IFERROR(INDEX(ctaMoneda,MATCH(AB869,ctaNombre,0))&amp;"","DOP")="USD",T869,S869))</f>
        <v/>
      </c>
      <c r="AG869" s="53">
        <f>IF(AC869="","",IF(IFERROR(INDEX(ctaMoneda,MATCH(AC869,ctaNombre,0))&amp;"","DOP")="USD",T869,S869))</f>
        <v/>
      </c>
      <c r="AH869" s="53">
        <f>IF(P869="","",IF(AND(AD869&lt;&gt;"",COUNTIFS(tcTipo,AD869,tcLiq,"Sí")&gt;0),IF(OR(P869="Gasto",P869="Transferencia",P869="Pago tarjeta"),-1,1)*S869,0)+IF(AND(AE869&lt;&gt;"",COUNTIFS(tcTipo,AE869,tcLiq,"Sí")&gt;0),S869,0))</f>
        <v/>
      </c>
      <c r="AI869" s="52">
        <f>IF(OR(L869="",P869=""),"",IF(COUNTIFS(L$6:L869,L869,P$6:P869,"?*")=1,MAX(AI$5:AI868)+1,""))</f>
        <v/>
      </c>
    </row>
    <row r="870">
      <c r="B870" s="47" t="n"/>
      <c r="C870" s="48" t="n"/>
      <c r="D870" s="48" t="n"/>
      <c r="E870" s="48" t="n"/>
      <c r="F870" s="48" t="n"/>
      <c r="G870" s="49" t="n"/>
      <c r="H870" s="48" t="n"/>
      <c r="I870" s="50" t="n"/>
      <c r="J870" s="48" t="n"/>
      <c r="K870" s="48" t="n"/>
      <c r="L870" s="48" t="n"/>
      <c r="M870" s="48" t="n"/>
      <c r="N870" s="48" t="n"/>
      <c r="O870" s="51">
        <f>IF(AND(B870="",G870="",C870="",D870="",J870=""),"",IF(B870="","⚠ Falta fecha",IF(G870="","⚠ Falta monto",IF(Q870="","⚠ Falta cuenta",IF(ISNA(MATCH(Q870,ctaNombre,0)),"⚠ Cuenta no registrada",IF(AND(OR(P870="Gasto",P870="Reembolso"),D870=""),"⚠ Falta categoría",IF(AND(D870&lt;&gt;"",E870&lt;&gt;"",ISNA(MATCH(D870&amp;"|"&amp;E870,catClave,0))),"⚠ Subcategoría no corresponde",IF(AND(OR(P870="Transferencia",P870="Pago tarjeta"),K870=""),"⚠ Falta cuenta destino",IF(AND(K870&lt;&gt;"",P870&lt;&gt;"Transferencia",P870&lt;&gt;"Pago tarjeta"),"⚠ Destino solo aplica a transferencias",IF(AND(K870&lt;&gt;"",K870=Q870),"⚠ Origen igual a destino",IF(AND(K870&lt;&gt;"",ISNA(MATCH(K870,ctaNombre,0))),"⚠ Destino no registrado",IF(AND(P870="Pago tarjeta",AE870&lt;&gt;"Tarjeta de crédito"),"⚠ El destino debe ser tarjeta de crédito",IF(AND(P870="Gasto",E870="Depósitos y retiros"),"⚠ Usa tipo Transferencia",IF(AND(P870="Resultado trading",AD870&lt;&gt;"Cuenta de trading"),"⚠ Usa una cuenta de trading",IF(AND(G870&lt;=0,P870&lt;&gt;"Ajuste",P870&lt;&gt;"Resultado trading"),"⚠ El monto debe ser positivo","✓")))))))))))))))</f>
        <v/>
      </c>
      <c r="P870" s="52">
        <f>IF(OR(B870="",G870=""),"",IF(C870="","Gasto",C870))</f>
        <v/>
      </c>
      <c r="Q870" s="52">
        <f>IF(P870="","",IF(J870&lt;&gt;"",J870,CuentaPred&amp;""))</f>
        <v/>
      </c>
      <c r="R870" s="52">
        <f>IF(P870="","",IF(ISNUMBER(I870),I870,TasaUSD))</f>
        <v/>
      </c>
      <c r="S870" s="53">
        <f>IF(P870="","",IF(H870="USD",G870*R870,G870))</f>
        <v/>
      </c>
      <c r="T870" s="53">
        <f>IF(P870="","",IF(H870="USD",G870,IF(R870&gt;0,G870/R870,0)))</f>
        <v/>
      </c>
      <c r="U870" s="53">
        <f>IF(P870="","",IF(P870="Gasto",S870,IF(P870="Reembolso",-S870,0)))</f>
        <v/>
      </c>
      <c r="V870" s="53">
        <f>IF(P870="","",IF(P870="Ingreso",S870,0))</f>
        <v/>
      </c>
      <c r="W870" s="53">
        <f>IF(P870="","",IF(P870="Resultado trading",S870,0))</f>
        <v/>
      </c>
      <c r="X870" s="52">
        <f>IF(OR(P870="Gasto",P870="Reembolso"),IF(M870&lt;&gt;"",M870,IFERROR(INDEX(catClasif,MATCH(D870&amp;"|"&amp;E870,catClave,0))&amp;"","Variable")),"")</f>
        <v/>
      </c>
      <c r="Y870" s="52">
        <f>IF(P870="","",IFERROR(INDEX(catGrupo,MATCH(D870&amp;"|"&amp;E870,catClave,0))&amp;"",""))</f>
        <v/>
      </c>
      <c r="Z870" s="52">
        <f>IF(P870="","",WEEKDAY(B870,2))</f>
        <v/>
      </c>
      <c r="AA870" s="52">
        <f>IF(P870="","",IF(AND(P870="Gasto",X870="Variable",D870&lt;&gt;catTrading,S870&gt;0,S870&lt;=Umbral),1,0))</f>
        <v/>
      </c>
      <c r="AB870" s="52">
        <f>IF(OR(P870="",Q870=""),"",IFERROR(IF(INDEX(ctaVinc,MATCH(Q870,ctaNombre,0))&amp;""&lt;&gt;"",INDEX(ctaVinc,MATCH(Q870,ctaNombre,0))&amp;"",Q870),Q870))</f>
        <v/>
      </c>
      <c r="AC870" s="52">
        <f>IF(OR(K870="",AND(P870&lt;&gt;"Transferencia",P870&lt;&gt;"Pago tarjeta")),"",IFERROR(IF(INDEX(ctaVinc,MATCH(K870,ctaNombre,0))&amp;""&lt;&gt;"",INDEX(ctaVinc,MATCH(K870,ctaNombre,0))&amp;"",K870),K870))</f>
        <v/>
      </c>
      <c r="AD870" s="52">
        <f>IF(AB870="","",IFERROR(INDEX(ctaTipo,MATCH(AB870,ctaNombre,0))&amp;"",""))</f>
        <v/>
      </c>
      <c r="AE870" s="52">
        <f>IF(AC870="","",IFERROR(INDEX(ctaTipo,MATCH(AC870,ctaNombre,0))&amp;"",""))</f>
        <v/>
      </c>
      <c r="AF870" s="53">
        <f>IF(OR(P870="",AB870=""),"",IF(OR(P870="Gasto",P870="Transferencia",P870="Pago tarjeta"),-1,1)*IF(IFERROR(INDEX(ctaMoneda,MATCH(AB870,ctaNombre,0))&amp;"","DOP")="USD",T870,S870))</f>
        <v/>
      </c>
      <c r="AG870" s="53">
        <f>IF(AC870="","",IF(IFERROR(INDEX(ctaMoneda,MATCH(AC870,ctaNombre,0))&amp;"","DOP")="USD",T870,S870))</f>
        <v/>
      </c>
      <c r="AH870" s="53">
        <f>IF(P870="","",IF(AND(AD870&lt;&gt;"",COUNTIFS(tcTipo,AD870,tcLiq,"Sí")&gt;0),IF(OR(P870="Gasto",P870="Transferencia",P870="Pago tarjeta"),-1,1)*S870,0)+IF(AND(AE870&lt;&gt;"",COUNTIFS(tcTipo,AE870,tcLiq,"Sí")&gt;0),S870,0))</f>
        <v/>
      </c>
      <c r="AI870" s="52">
        <f>IF(OR(L870="",P870=""),"",IF(COUNTIFS(L$6:L870,L870,P$6:P870,"?*")=1,MAX(AI$5:AI869)+1,""))</f>
        <v/>
      </c>
    </row>
    <row r="871">
      <c r="B871" s="47" t="n"/>
      <c r="C871" s="48" t="n"/>
      <c r="D871" s="48" t="n"/>
      <c r="E871" s="48" t="n"/>
      <c r="F871" s="48" t="n"/>
      <c r="G871" s="49" t="n"/>
      <c r="H871" s="48" t="n"/>
      <c r="I871" s="50" t="n"/>
      <c r="J871" s="48" t="n"/>
      <c r="K871" s="48" t="n"/>
      <c r="L871" s="48" t="n"/>
      <c r="M871" s="48" t="n"/>
      <c r="N871" s="48" t="n"/>
      <c r="O871" s="51">
        <f>IF(AND(B871="",G871="",C871="",D871="",J871=""),"",IF(B871="","⚠ Falta fecha",IF(G871="","⚠ Falta monto",IF(Q871="","⚠ Falta cuenta",IF(ISNA(MATCH(Q871,ctaNombre,0)),"⚠ Cuenta no registrada",IF(AND(OR(P871="Gasto",P871="Reembolso"),D871=""),"⚠ Falta categoría",IF(AND(D871&lt;&gt;"",E871&lt;&gt;"",ISNA(MATCH(D871&amp;"|"&amp;E871,catClave,0))),"⚠ Subcategoría no corresponde",IF(AND(OR(P871="Transferencia",P871="Pago tarjeta"),K871=""),"⚠ Falta cuenta destino",IF(AND(K871&lt;&gt;"",P871&lt;&gt;"Transferencia",P871&lt;&gt;"Pago tarjeta"),"⚠ Destino solo aplica a transferencias",IF(AND(K871&lt;&gt;"",K871=Q871),"⚠ Origen igual a destino",IF(AND(K871&lt;&gt;"",ISNA(MATCH(K871,ctaNombre,0))),"⚠ Destino no registrado",IF(AND(P871="Pago tarjeta",AE871&lt;&gt;"Tarjeta de crédito"),"⚠ El destino debe ser tarjeta de crédito",IF(AND(P871="Gasto",E871="Depósitos y retiros"),"⚠ Usa tipo Transferencia",IF(AND(P871="Resultado trading",AD871&lt;&gt;"Cuenta de trading"),"⚠ Usa una cuenta de trading",IF(AND(G871&lt;=0,P871&lt;&gt;"Ajuste",P871&lt;&gt;"Resultado trading"),"⚠ El monto debe ser positivo","✓")))))))))))))))</f>
        <v/>
      </c>
      <c r="P871" s="52">
        <f>IF(OR(B871="",G871=""),"",IF(C871="","Gasto",C871))</f>
        <v/>
      </c>
      <c r="Q871" s="52">
        <f>IF(P871="","",IF(J871&lt;&gt;"",J871,CuentaPred&amp;""))</f>
        <v/>
      </c>
      <c r="R871" s="52">
        <f>IF(P871="","",IF(ISNUMBER(I871),I871,TasaUSD))</f>
        <v/>
      </c>
      <c r="S871" s="53">
        <f>IF(P871="","",IF(H871="USD",G871*R871,G871))</f>
        <v/>
      </c>
      <c r="T871" s="53">
        <f>IF(P871="","",IF(H871="USD",G871,IF(R871&gt;0,G871/R871,0)))</f>
        <v/>
      </c>
      <c r="U871" s="53">
        <f>IF(P871="","",IF(P871="Gasto",S871,IF(P871="Reembolso",-S871,0)))</f>
        <v/>
      </c>
      <c r="V871" s="53">
        <f>IF(P871="","",IF(P871="Ingreso",S871,0))</f>
        <v/>
      </c>
      <c r="W871" s="53">
        <f>IF(P871="","",IF(P871="Resultado trading",S871,0))</f>
        <v/>
      </c>
      <c r="X871" s="52">
        <f>IF(OR(P871="Gasto",P871="Reembolso"),IF(M871&lt;&gt;"",M871,IFERROR(INDEX(catClasif,MATCH(D871&amp;"|"&amp;E871,catClave,0))&amp;"","Variable")),"")</f>
        <v/>
      </c>
      <c r="Y871" s="52">
        <f>IF(P871="","",IFERROR(INDEX(catGrupo,MATCH(D871&amp;"|"&amp;E871,catClave,0))&amp;"",""))</f>
        <v/>
      </c>
      <c r="Z871" s="52">
        <f>IF(P871="","",WEEKDAY(B871,2))</f>
        <v/>
      </c>
      <c r="AA871" s="52">
        <f>IF(P871="","",IF(AND(P871="Gasto",X871="Variable",D871&lt;&gt;catTrading,S871&gt;0,S871&lt;=Umbral),1,0))</f>
        <v/>
      </c>
      <c r="AB871" s="52">
        <f>IF(OR(P871="",Q871=""),"",IFERROR(IF(INDEX(ctaVinc,MATCH(Q871,ctaNombre,0))&amp;""&lt;&gt;"",INDEX(ctaVinc,MATCH(Q871,ctaNombre,0))&amp;"",Q871),Q871))</f>
        <v/>
      </c>
      <c r="AC871" s="52">
        <f>IF(OR(K871="",AND(P871&lt;&gt;"Transferencia",P871&lt;&gt;"Pago tarjeta")),"",IFERROR(IF(INDEX(ctaVinc,MATCH(K871,ctaNombre,0))&amp;""&lt;&gt;"",INDEX(ctaVinc,MATCH(K871,ctaNombre,0))&amp;"",K871),K871))</f>
        <v/>
      </c>
      <c r="AD871" s="52">
        <f>IF(AB871="","",IFERROR(INDEX(ctaTipo,MATCH(AB871,ctaNombre,0))&amp;"",""))</f>
        <v/>
      </c>
      <c r="AE871" s="52">
        <f>IF(AC871="","",IFERROR(INDEX(ctaTipo,MATCH(AC871,ctaNombre,0))&amp;"",""))</f>
        <v/>
      </c>
      <c r="AF871" s="53">
        <f>IF(OR(P871="",AB871=""),"",IF(OR(P871="Gasto",P871="Transferencia",P871="Pago tarjeta"),-1,1)*IF(IFERROR(INDEX(ctaMoneda,MATCH(AB871,ctaNombre,0))&amp;"","DOP")="USD",T871,S871))</f>
        <v/>
      </c>
      <c r="AG871" s="53">
        <f>IF(AC871="","",IF(IFERROR(INDEX(ctaMoneda,MATCH(AC871,ctaNombre,0))&amp;"","DOP")="USD",T871,S871))</f>
        <v/>
      </c>
      <c r="AH871" s="53">
        <f>IF(P871="","",IF(AND(AD871&lt;&gt;"",COUNTIFS(tcTipo,AD871,tcLiq,"Sí")&gt;0),IF(OR(P871="Gasto",P871="Transferencia",P871="Pago tarjeta"),-1,1)*S871,0)+IF(AND(AE871&lt;&gt;"",COUNTIFS(tcTipo,AE871,tcLiq,"Sí")&gt;0),S871,0))</f>
        <v/>
      </c>
      <c r="AI871" s="52">
        <f>IF(OR(L871="",P871=""),"",IF(COUNTIFS(L$6:L871,L871,P$6:P871,"?*")=1,MAX(AI$5:AI870)+1,""))</f>
        <v/>
      </c>
    </row>
    <row r="872">
      <c r="B872" s="47" t="n"/>
      <c r="C872" s="48" t="n"/>
      <c r="D872" s="48" t="n"/>
      <c r="E872" s="48" t="n"/>
      <c r="F872" s="48" t="n"/>
      <c r="G872" s="49" t="n"/>
      <c r="H872" s="48" t="n"/>
      <c r="I872" s="50" t="n"/>
      <c r="J872" s="48" t="n"/>
      <c r="K872" s="48" t="n"/>
      <c r="L872" s="48" t="n"/>
      <c r="M872" s="48" t="n"/>
      <c r="N872" s="48" t="n"/>
      <c r="O872" s="51">
        <f>IF(AND(B872="",G872="",C872="",D872="",J872=""),"",IF(B872="","⚠ Falta fecha",IF(G872="","⚠ Falta monto",IF(Q872="","⚠ Falta cuenta",IF(ISNA(MATCH(Q872,ctaNombre,0)),"⚠ Cuenta no registrada",IF(AND(OR(P872="Gasto",P872="Reembolso"),D872=""),"⚠ Falta categoría",IF(AND(D872&lt;&gt;"",E872&lt;&gt;"",ISNA(MATCH(D872&amp;"|"&amp;E872,catClave,0))),"⚠ Subcategoría no corresponde",IF(AND(OR(P872="Transferencia",P872="Pago tarjeta"),K872=""),"⚠ Falta cuenta destino",IF(AND(K872&lt;&gt;"",P872&lt;&gt;"Transferencia",P872&lt;&gt;"Pago tarjeta"),"⚠ Destino solo aplica a transferencias",IF(AND(K872&lt;&gt;"",K872=Q872),"⚠ Origen igual a destino",IF(AND(K872&lt;&gt;"",ISNA(MATCH(K872,ctaNombre,0))),"⚠ Destino no registrado",IF(AND(P872="Pago tarjeta",AE872&lt;&gt;"Tarjeta de crédito"),"⚠ El destino debe ser tarjeta de crédito",IF(AND(P872="Gasto",E872="Depósitos y retiros"),"⚠ Usa tipo Transferencia",IF(AND(P872="Resultado trading",AD872&lt;&gt;"Cuenta de trading"),"⚠ Usa una cuenta de trading",IF(AND(G872&lt;=0,P872&lt;&gt;"Ajuste",P872&lt;&gt;"Resultado trading"),"⚠ El monto debe ser positivo","✓")))))))))))))))</f>
        <v/>
      </c>
      <c r="P872" s="52">
        <f>IF(OR(B872="",G872=""),"",IF(C872="","Gasto",C872))</f>
        <v/>
      </c>
      <c r="Q872" s="52">
        <f>IF(P872="","",IF(J872&lt;&gt;"",J872,CuentaPred&amp;""))</f>
        <v/>
      </c>
      <c r="R872" s="52">
        <f>IF(P872="","",IF(ISNUMBER(I872),I872,TasaUSD))</f>
        <v/>
      </c>
      <c r="S872" s="53">
        <f>IF(P872="","",IF(H872="USD",G872*R872,G872))</f>
        <v/>
      </c>
      <c r="T872" s="53">
        <f>IF(P872="","",IF(H872="USD",G872,IF(R872&gt;0,G872/R872,0)))</f>
        <v/>
      </c>
      <c r="U872" s="53">
        <f>IF(P872="","",IF(P872="Gasto",S872,IF(P872="Reembolso",-S872,0)))</f>
        <v/>
      </c>
      <c r="V872" s="53">
        <f>IF(P872="","",IF(P872="Ingreso",S872,0))</f>
        <v/>
      </c>
      <c r="W872" s="53">
        <f>IF(P872="","",IF(P872="Resultado trading",S872,0))</f>
        <v/>
      </c>
      <c r="X872" s="52">
        <f>IF(OR(P872="Gasto",P872="Reembolso"),IF(M872&lt;&gt;"",M872,IFERROR(INDEX(catClasif,MATCH(D872&amp;"|"&amp;E872,catClave,0))&amp;"","Variable")),"")</f>
        <v/>
      </c>
      <c r="Y872" s="52">
        <f>IF(P872="","",IFERROR(INDEX(catGrupo,MATCH(D872&amp;"|"&amp;E872,catClave,0))&amp;"",""))</f>
        <v/>
      </c>
      <c r="Z872" s="52">
        <f>IF(P872="","",WEEKDAY(B872,2))</f>
        <v/>
      </c>
      <c r="AA872" s="52">
        <f>IF(P872="","",IF(AND(P872="Gasto",X872="Variable",D872&lt;&gt;catTrading,S872&gt;0,S872&lt;=Umbral),1,0))</f>
        <v/>
      </c>
      <c r="AB872" s="52">
        <f>IF(OR(P872="",Q872=""),"",IFERROR(IF(INDEX(ctaVinc,MATCH(Q872,ctaNombre,0))&amp;""&lt;&gt;"",INDEX(ctaVinc,MATCH(Q872,ctaNombre,0))&amp;"",Q872),Q872))</f>
        <v/>
      </c>
      <c r="AC872" s="52">
        <f>IF(OR(K872="",AND(P872&lt;&gt;"Transferencia",P872&lt;&gt;"Pago tarjeta")),"",IFERROR(IF(INDEX(ctaVinc,MATCH(K872,ctaNombre,0))&amp;""&lt;&gt;"",INDEX(ctaVinc,MATCH(K872,ctaNombre,0))&amp;"",K872),K872))</f>
        <v/>
      </c>
      <c r="AD872" s="52">
        <f>IF(AB872="","",IFERROR(INDEX(ctaTipo,MATCH(AB872,ctaNombre,0))&amp;"",""))</f>
        <v/>
      </c>
      <c r="AE872" s="52">
        <f>IF(AC872="","",IFERROR(INDEX(ctaTipo,MATCH(AC872,ctaNombre,0))&amp;"",""))</f>
        <v/>
      </c>
      <c r="AF872" s="53">
        <f>IF(OR(P872="",AB872=""),"",IF(OR(P872="Gasto",P872="Transferencia",P872="Pago tarjeta"),-1,1)*IF(IFERROR(INDEX(ctaMoneda,MATCH(AB872,ctaNombre,0))&amp;"","DOP")="USD",T872,S872))</f>
        <v/>
      </c>
      <c r="AG872" s="53">
        <f>IF(AC872="","",IF(IFERROR(INDEX(ctaMoneda,MATCH(AC872,ctaNombre,0))&amp;"","DOP")="USD",T872,S872))</f>
        <v/>
      </c>
      <c r="AH872" s="53">
        <f>IF(P872="","",IF(AND(AD872&lt;&gt;"",COUNTIFS(tcTipo,AD872,tcLiq,"Sí")&gt;0),IF(OR(P872="Gasto",P872="Transferencia",P872="Pago tarjeta"),-1,1)*S872,0)+IF(AND(AE872&lt;&gt;"",COUNTIFS(tcTipo,AE872,tcLiq,"Sí")&gt;0),S872,0))</f>
        <v/>
      </c>
      <c r="AI872" s="52">
        <f>IF(OR(L872="",P872=""),"",IF(COUNTIFS(L$6:L872,L872,P$6:P872,"?*")=1,MAX(AI$5:AI871)+1,""))</f>
        <v/>
      </c>
    </row>
    <row r="873">
      <c r="B873" s="47" t="n"/>
      <c r="C873" s="48" t="n"/>
      <c r="D873" s="48" t="n"/>
      <c r="E873" s="48" t="n"/>
      <c r="F873" s="48" t="n"/>
      <c r="G873" s="49" t="n"/>
      <c r="H873" s="48" t="n"/>
      <c r="I873" s="50" t="n"/>
      <c r="J873" s="48" t="n"/>
      <c r="K873" s="48" t="n"/>
      <c r="L873" s="48" t="n"/>
      <c r="M873" s="48" t="n"/>
      <c r="N873" s="48" t="n"/>
      <c r="O873" s="51">
        <f>IF(AND(B873="",G873="",C873="",D873="",J873=""),"",IF(B873="","⚠ Falta fecha",IF(G873="","⚠ Falta monto",IF(Q873="","⚠ Falta cuenta",IF(ISNA(MATCH(Q873,ctaNombre,0)),"⚠ Cuenta no registrada",IF(AND(OR(P873="Gasto",P873="Reembolso"),D873=""),"⚠ Falta categoría",IF(AND(D873&lt;&gt;"",E873&lt;&gt;"",ISNA(MATCH(D873&amp;"|"&amp;E873,catClave,0))),"⚠ Subcategoría no corresponde",IF(AND(OR(P873="Transferencia",P873="Pago tarjeta"),K873=""),"⚠ Falta cuenta destino",IF(AND(K873&lt;&gt;"",P873&lt;&gt;"Transferencia",P873&lt;&gt;"Pago tarjeta"),"⚠ Destino solo aplica a transferencias",IF(AND(K873&lt;&gt;"",K873=Q873),"⚠ Origen igual a destino",IF(AND(K873&lt;&gt;"",ISNA(MATCH(K873,ctaNombre,0))),"⚠ Destino no registrado",IF(AND(P873="Pago tarjeta",AE873&lt;&gt;"Tarjeta de crédito"),"⚠ El destino debe ser tarjeta de crédito",IF(AND(P873="Gasto",E873="Depósitos y retiros"),"⚠ Usa tipo Transferencia",IF(AND(P873="Resultado trading",AD873&lt;&gt;"Cuenta de trading"),"⚠ Usa una cuenta de trading",IF(AND(G873&lt;=0,P873&lt;&gt;"Ajuste",P873&lt;&gt;"Resultado trading"),"⚠ El monto debe ser positivo","✓")))))))))))))))</f>
        <v/>
      </c>
      <c r="P873" s="52">
        <f>IF(OR(B873="",G873=""),"",IF(C873="","Gasto",C873))</f>
        <v/>
      </c>
      <c r="Q873" s="52">
        <f>IF(P873="","",IF(J873&lt;&gt;"",J873,CuentaPred&amp;""))</f>
        <v/>
      </c>
      <c r="R873" s="52">
        <f>IF(P873="","",IF(ISNUMBER(I873),I873,TasaUSD))</f>
        <v/>
      </c>
      <c r="S873" s="53">
        <f>IF(P873="","",IF(H873="USD",G873*R873,G873))</f>
        <v/>
      </c>
      <c r="T873" s="53">
        <f>IF(P873="","",IF(H873="USD",G873,IF(R873&gt;0,G873/R873,0)))</f>
        <v/>
      </c>
      <c r="U873" s="53">
        <f>IF(P873="","",IF(P873="Gasto",S873,IF(P873="Reembolso",-S873,0)))</f>
        <v/>
      </c>
      <c r="V873" s="53">
        <f>IF(P873="","",IF(P873="Ingreso",S873,0))</f>
        <v/>
      </c>
      <c r="W873" s="53">
        <f>IF(P873="","",IF(P873="Resultado trading",S873,0))</f>
        <v/>
      </c>
      <c r="X873" s="52">
        <f>IF(OR(P873="Gasto",P873="Reembolso"),IF(M873&lt;&gt;"",M873,IFERROR(INDEX(catClasif,MATCH(D873&amp;"|"&amp;E873,catClave,0))&amp;"","Variable")),"")</f>
        <v/>
      </c>
      <c r="Y873" s="52">
        <f>IF(P873="","",IFERROR(INDEX(catGrupo,MATCH(D873&amp;"|"&amp;E873,catClave,0))&amp;"",""))</f>
        <v/>
      </c>
      <c r="Z873" s="52">
        <f>IF(P873="","",WEEKDAY(B873,2))</f>
        <v/>
      </c>
      <c r="AA873" s="52">
        <f>IF(P873="","",IF(AND(P873="Gasto",X873="Variable",D873&lt;&gt;catTrading,S873&gt;0,S873&lt;=Umbral),1,0))</f>
        <v/>
      </c>
      <c r="AB873" s="52">
        <f>IF(OR(P873="",Q873=""),"",IFERROR(IF(INDEX(ctaVinc,MATCH(Q873,ctaNombre,0))&amp;""&lt;&gt;"",INDEX(ctaVinc,MATCH(Q873,ctaNombre,0))&amp;"",Q873),Q873))</f>
        <v/>
      </c>
      <c r="AC873" s="52">
        <f>IF(OR(K873="",AND(P873&lt;&gt;"Transferencia",P873&lt;&gt;"Pago tarjeta")),"",IFERROR(IF(INDEX(ctaVinc,MATCH(K873,ctaNombre,0))&amp;""&lt;&gt;"",INDEX(ctaVinc,MATCH(K873,ctaNombre,0))&amp;"",K873),K873))</f>
        <v/>
      </c>
      <c r="AD873" s="52">
        <f>IF(AB873="","",IFERROR(INDEX(ctaTipo,MATCH(AB873,ctaNombre,0))&amp;"",""))</f>
        <v/>
      </c>
      <c r="AE873" s="52">
        <f>IF(AC873="","",IFERROR(INDEX(ctaTipo,MATCH(AC873,ctaNombre,0))&amp;"",""))</f>
        <v/>
      </c>
      <c r="AF873" s="53">
        <f>IF(OR(P873="",AB873=""),"",IF(OR(P873="Gasto",P873="Transferencia",P873="Pago tarjeta"),-1,1)*IF(IFERROR(INDEX(ctaMoneda,MATCH(AB873,ctaNombre,0))&amp;"","DOP")="USD",T873,S873))</f>
        <v/>
      </c>
      <c r="AG873" s="53">
        <f>IF(AC873="","",IF(IFERROR(INDEX(ctaMoneda,MATCH(AC873,ctaNombre,0))&amp;"","DOP")="USD",T873,S873))</f>
        <v/>
      </c>
      <c r="AH873" s="53">
        <f>IF(P873="","",IF(AND(AD873&lt;&gt;"",COUNTIFS(tcTipo,AD873,tcLiq,"Sí")&gt;0),IF(OR(P873="Gasto",P873="Transferencia",P873="Pago tarjeta"),-1,1)*S873,0)+IF(AND(AE873&lt;&gt;"",COUNTIFS(tcTipo,AE873,tcLiq,"Sí")&gt;0),S873,0))</f>
        <v/>
      </c>
      <c r="AI873" s="52">
        <f>IF(OR(L873="",P873=""),"",IF(COUNTIFS(L$6:L873,L873,P$6:P873,"?*")=1,MAX(AI$5:AI872)+1,""))</f>
        <v/>
      </c>
    </row>
    <row r="874">
      <c r="B874" s="47" t="n"/>
      <c r="C874" s="48" t="n"/>
      <c r="D874" s="48" t="n"/>
      <c r="E874" s="48" t="n"/>
      <c r="F874" s="48" t="n"/>
      <c r="G874" s="49" t="n"/>
      <c r="H874" s="48" t="n"/>
      <c r="I874" s="50" t="n"/>
      <c r="J874" s="48" t="n"/>
      <c r="K874" s="48" t="n"/>
      <c r="L874" s="48" t="n"/>
      <c r="M874" s="48" t="n"/>
      <c r="N874" s="48" t="n"/>
      <c r="O874" s="51">
        <f>IF(AND(B874="",G874="",C874="",D874="",J874=""),"",IF(B874="","⚠ Falta fecha",IF(G874="","⚠ Falta monto",IF(Q874="","⚠ Falta cuenta",IF(ISNA(MATCH(Q874,ctaNombre,0)),"⚠ Cuenta no registrada",IF(AND(OR(P874="Gasto",P874="Reembolso"),D874=""),"⚠ Falta categoría",IF(AND(D874&lt;&gt;"",E874&lt;&gt;"",ISNA(MATCH(D874&amp;"|"&amp;E874,catClave,0))),"⚠ Subcategoría no corresponde",IF(AND(OR(P874="Transferencia",P874="Pago tarjeta"),K874=""),"⚠ Falta cuenta destino",IF(AND(K874&lt;&gt;"",P874&lt;&gt;"Transferencia",P874&lt;&gt;"Pago tarjeta"),"⚠ Destino solo aplica a transferencias",IF(AND(K874&lt;&gt;"",K874=Q874),"⚠ Origen igual a destino",IF(AND(K874&lt;&gt;"",ISNA(MATCH(K874,ctaNombre,0))),"⚠ Destino no registrado",IF(AND(P874="Pago tarjeta",AE874&lt;&gt;"Tarjeta de crédito"),"⚠ El destino debe ser tarjeta de crédito",IF(AND(P874="Gasto",E874="Depósitos y retiros"),"⚠ Usa tipo Transferencia",IF(AND(P874="Resultado trading",AD874&lt;&gt;"Cuenta de trading"),"⚠ Usa una cuenta de trading",IF(AND(G874&lt;=0,P874&lt;&gt;"Ajuste",P874&lt;&gt;"Resultado trading"),"⚠ El monto debe ser positivo","✓")))))))))))))))</f>
        <v/>
      </c>
      <c r="P874" s="52">
        <f>IF(OR(B874="",G874=""),"",IF(C874="","Gasto",C874))</f>
        <v/>
      </c>
      <c r="Q874" s="52">
        <f>IF(P874="","",IF(J874&lt;&gt;"",J874,CuentaPred&amp;""))</f>
        <v/>
      </c>
      <c r="R874" s="52">
        <f>IF(P874="","",IF(ISNUMBER(I874),I874,TasaUSD))</f>
        <v/>
      </c>
      <c r="S874" s="53">
        <f>IF(P874="","",IF(H874="USD",G874*R874,G874))</f>
        <v/>
      </c>
      <c r="T874" s="53">
        <f>IF(P874="","",IF(H874="USD",G874,IF(R874&gt;0,G874/R874,0)))</f>
        <v/>
      </c>
      <c r="U874" s="53">
        <f>IF(P874="","",IF(P874="Gasto",S874,IF(P874="Reembolso",-S874,0)))</f>
        <v/>
      </c>
      <c r="V874" s="53">
        <f>IF(P874="","",IF(P874="Ingreso",S874,0))</f>
        <v/>
      </c>
      <c r="W874" s="53">
        <f>IF(P874="","",IF(P874="Resultado trading",S874,0))</f>
        <v/>
      </c>
      <c r="X874" s="52">
        <f>IF(OR(P874="Gasto",P874="Reembolso"),IF(M874&lt;&gt;"",M874,IFERROR(INDEX(catClasif,MATCH(D874&amp;"|"&amp;E874,catClave,0))&amp;"","Variable")),"")</f>
        <v/>
      </c>
      <c r="Y874" s="52">
        <f>IF(P874="","",IFERROR(INDEX(catGrupo,MATCH(D874&amp;"|"&amp;E874,catClave,0))&amp;"",""))</f>
        <v/>
      </c>
      <c r="Z874" s="52">
        <f>IF(P874="","",WEEKDAY(B874,2))</f>
        <v/>
      </c>
      <c r="AA874" s="52">
        <f>IF(P874="","",IF(AND(P874="Gasto",X874="Variable",D874&lt;&gt;catTrading,S874&gt;0,S874&lt;=Umbral),1,0))</f>
        <v/>
      </c>
      <c r="AB874" s="52">
        <f>IF(OR(P874="",Q874=""),"",IFERROR(IF(INDEX(ctaVinc,MATCH(Q874,ctaNombre,0))&amp;""&lt;&gt;"",INDEX(ctaVinc,MATCH(Q874,ctaNombre,0))&amp;"",Q874),Q874))</f>
        <v/>
      </c>
      <c r="AC874" s="52">
        <f>IF(OR(K874="",AND(P874&lt;&gt;"Transferencia",P874&lt;&gt;"Pago tarjeta")),"",IFERROR(IF(INDEX(ctaVinc,MATCH(K874,ctaNombre,0))&amp;""&lt;&gt;"",INDEX(ctaVinc,MATCH(K874,ctaNombre,0))&amp;"",K874),K874))</f>
        <v/>
      </c>
      <c r="AD874" s="52">
        <f>IF(AB874="","",IFERROR(INDEX(ctaTipo,MATCH(AB874,ctaNombre,0))&amp;"",""))</f>
        <v/>
      </c>
      <c r="AE874" s="52">
        <f>IF(AC874="","",IFERROR(INDEX(ctaTipo,MATCH(AC874,ctaNombre,0))&amp;"",""))</f>
        <v/>
      </c>
      <c r="AF874" s="53">
        <f>IF(OR(P874="",AB874=""),"",IF(OR(P874="Gasto",P874="Transferencia",P874="Pago tarjeta"),-1,1)*IF(IFERROR(INDEX(ctaMoneda,MATCH(AB874,ctaNombre,0))&amp;"","DOP")="USD",T874,S874))</f>
        <v/>
      </c>
      <c r="AG874" s="53">
        <f>IF(AC874="","",IF(IFERROR(INDEX(ctaMoneda,MATCH(AC874,ctaNombre,0))&amp;"","DOP")="USD",T874,S874))</f>
        <v/>
      </c>
      <c r="AH874" s="53">
        <f>IF(P874="","",IF(AND(AD874&lt;&gt;"",COUNTIFS(tcTipo,AD874,tcLiq,"Sí")&gt;0),IF(OR(P874="Gasto",P874="Transferencia",P874="Pago tarjeta"),-1,1)*S874,0)+IF(AND(AE874&lt;&gt;"",COUNTIFS(tcTipo,AE874,tcLiq,"Sí")&gt;0),S874,0))</f>
        <v/>
      </c>
      <c r="AI874" s="52">
        <f>IF(OR(L874="",P874=""),"",IF(COUNTIFS(L$6:L874,L874,P$6:P874,"?*")=1,MAX(AI$5:AI873)+1,""))</f>
        <v/>
      </c>
    </row>
    <row r="875">
      <c r="B875" s="47" t="n"/>
      <c r="C875" s="48" t="n"/>
      <c r="D875" s="48" t="n"/>
      <c r="E875" s="48" t="n"/>
      <c r="F875" s="48" t="n"/>
      <c r="G875" s="49" t="n"/>
      <c r="H875" s="48" t="n"/>
      <c r="I875" s="50" t="n"/>
      <c r="J875" s="48" t="n"/>
      <c r="K875" s="48" t="n"/>
      <c r="L875" s="48" t="n"/>
      <c r="M875" s="48" t="n"/>
      <c r="N875" s="48" t="n"/>
      <c r="O875" s="51">
        <f>IF(AND(B875="",G875="",C875="",D875="",J875=""),"",IF(B875="","⚠ Falta fecha",IF(G875="","⚠ Falta monto",IF(Q875="","⚠ Falta cuenta",IF(ISNA(MATCH(Q875,ctaNombre,0)),"⚠ Cuenta no registrada",IF(AND(OR(P875="Gasto",P875="Reembolso"),D875=""),"⚠ Falta categoría",IF(AND(D875&lt;&gt;"",E875&lt;&gt;"",ISNA(MATCH(D875&amp;"|"&amp;E875,catClave,0))),"⚠ Subcategoría no corresponde",IF(AND(OR(P875="Transferencia",P875="Pago tarjeta"),K875=""),"⚠ Falta cuenta destino",IF(AND(K875&lt;&gt;"",P875&lt;&gt;"Transferencia",P875&lt;&gt;"Pago tarjeta"),"⚠ Destino solo aplica a transferencias",IF(AND(K875&lt;&gt;"",K875=Q875),"⚠ Origen igual a destino",IF(AND(K875&lt;&gt;"",ISNA(MATCH(K875,ctaNombre,0))),"⚠ Destino no registrado",IF(AND(P875="Pago tarjeta",AE875&lt;&gt;"Tarjeta de crédito"),"⚠ El destino debe ser tarjeta de crédito",IF(AND(P875="Gasto",E875="Depósitos y retiros"),"⚠ Usa tipo Transferencia",IF(AND(P875="Resultado trading",AD875&lt;&gt;"Cuenta de trading"),"⚠ Usa una cuenta de trading",IF(AND(G875&lt;=0,P875&lt;&gt;"Ajuste",P875&lt;&gt;"Resultado trading"),"⚠ El monto debe ser positivo","✓")))))))))))))))</f>
        <v/>
      </c>
      <c r="P875" s="52">
        <f>IF(OR(B875="",G875=""),"",IF(C875="","Gasto",C875))</f>
        <v/>
      </c>
      <c r="Q875" s="52">
        <f>IF(P875="","",IF(J875&lt;&gt;"",J875,CuentaPred&amp;""))</f>
        <v/>
      </c>
      <c r="R875" s="52">
        <f>IF(P875="","",IF(ISNUMBER(I875),I875,TasaUSD))</f>
        <v/>
      </c>
      <c r="S875" s="53">
        <f>IF(P875="","",IF(H875="USD",G875*R875,G875))</f>
        <v/>
      </c>
      <c r="T875" s="53">
        <f>IF(P875="","",IF(H875="USD",G875,IF(R875&gt;0,G875/R875,0)))</f>
        <v/>
      </c>
      <c r="U875" s="53">
        <f>IF(P875="","",IF(P875="Gasto",S875,IF(P875="Reembolso",-S875,0)))</f>
        <v/>
      </c>
      <c r="V875" s="53">
        <f>IF(P875="","",IF(P875="Ingreso",S875,0))</f>
        <v/>
      </c>
      <c r="W875" s="53">
        <f>IF(P875="","",IF(P875="Resultado trading",S875,0))</f>
        <v/>
      </c>
      <c r="X875" s="52">
        <f>IF(OR(P875="Gasto",P875="Reembolso"),IF(M875&lt;&gt;"",M875,IFERROR(INDEX(catClasif,MATCH(D875&amp;"|"&amp;E875,catClave,0))&amp;"","Variable")),"")</f>
        <v/>
      </c>
      <c r="Y875" s="52">
        <f>IF(P875="","",IFERROR(INDEX(catGrupo,MATCH(D875&amp;"|"&amp;E875,catClave,0))&amp;"",""))</f>
        <v/>
      </c>
      <c r="Z875" s="52">
        <f>IF(P875="","",WEEKDAY(B875,2))</f>
        <v/>
      </c>
      <c r="AA875" s="52">
        <f>IF(P875="","",IF(AND(P875="Gasto",X875="Variable",D875&lt;&gt;catTrading,S875&gt;0,S875&lt;=Umbral),1,0))</f>
        <v/>
      </c>
      <c r="AB875" s="52">
        <f>IF(OR(P875="",Q875=""),"",IFERROR(IF(INDEX(ctaVinc,MATCH(Q875,ctaNombre,0))&amp;""&lt;&gt;"",INDEX(ctaVinc,MATCH(Q875,ctaNombre,0))&amp;"",Q875),Q875))</f>
        <v/>
      </c>
      <c r="AC875" s="52">
        <f>IF(OR(K875="",AND(P875&lt;&gt;"Transferencia",P875&lt;&gt;"Pago tarjeta")),"",IFERROR(IF(INDEX(ctaVinc,MATCH(K875,ctaNombre,0))&amp;""&lt;&gt;"",INDEX(ctaVinc,MATCH(K875,ctaNombre,0))&amp;"",K875),K875))</f>
        <v/>
      </c>
      <c r="AD875" s="52">
        <f>IF(AB875="","",IFERROR(INDEX(ctaTipo,MATCH(AB875,ctaNombre,0))&amp;"",""))</f>
        <v/>
      </c>
      <c r="AE875" s="52">
        <f>IF(AC875="","",IFERROR(INDEX(ctaTipo,MATCH(AC875,ctaNombre,0))&amp;"",""))</f>
        <v/>
      </c>
      <c r="AF875" s="53">
        <f>IF(OR(P875="",AB875=""),"",IF(OR(P875="Gasto",P875="Transferencia",P875="Pago tarjeta"),-1,1)*IF(IFERROR(INDEX(ctaMoneda,MATCH(AB875,ctaNombre,0))&amp;"","DOP")="USD",T875,S875))</f>
        <v/>
      </c>
      <c r="AG875" s="53">
        <f>IF(AC875="","",IF(IFERROR(INDEX(ctaMoneda,MATCH(AC875,ctaNombre,0))&amp;"","DOP")="USD",T875,S875))</f>
        <v/>
      </c>
      <c r="AH875" s="53">
        <f>IF(P875="","",IF(AND(AD875&lt;&gt;"",COUNTIFS(tcTipo,AD875,tcLiq,"Sí")&gt;0),IF(OR(P875="Gasto",P875="Transferencia",P875="Pago tarjeta"),-1,1)*S875,0)+IF(AND(AE875&lt;&gt;"",COUNTIFS(tcTipo,AE875,tcLiq,"Sí")&gt;0),S875,0))</f>
        <v/>
      </c>
      <c r="AI875" s="52">
        <f>IF(OR(L875="",P875=""),"",IF(COUNTIFS(L$6:L875,L875,P$6:P875,"?*")=1,MAX(AI$5:AI874)+1,""))</f>
        <v/>
      </c>
    </row>
    <row r="876">
      <c r="B876" s="47" t="n"/>
      <c r="C876" s="48" t="n"/>
      <c r="D876" s="48" t="n"/>
      <c r="E876" s="48" t="n"/>
      <c r="F876" s="48" t="n"/>
      <c r="G876" s="49" t="n"/>
      <c r="H876" s="48" t="n"/>
      <c r="I876" s="50" t="n"/>
      <c r="J876" s="48" t="n"/>
      <c r="K876" s="48" t="n"/>
      <c r="L876" s="48" t="n"/>
      <c r="M876" s="48" t="n"/>
      <c r="N876" s="48" t="n"/>
      <c r="O876" s="51">
        <f>IF(AND(B876="",G876="",C876="",D876="",J876=""),"",IF(B876="","⚠ Falta fecha",IF(G876="","⚠ Falta monto",IF(Q876="","⚠ Falta cuenta",IF(ISNA(MATCH(Q876,ctaNombre,0)),"⚠ Cuenta no registrada",IF(AND(OR(P876="Gasto",P876="Reembolso"),D876=""),"⚠ Falta categoría",IF(AND(D876&lt;&gt;"",E876&lt;&gt;"",ISNA(MATCH(D876&amp;"|"&amp;E876,catClave,0))),"⚠ Subcategoría no corresponde",IF(AND(OR(P876="Transferencia",P876="Pago tarjeta"),K876=""),"⚠ Falta cuenta destino",IF(AND(K876&lt;&gt;"",P876&lt;&gt;"Transferencia",P876&lt;&gt;"Pago tarjeta"),"⚠ Destino solo aplica a transferencias",IF(AND(K876&lt;&gt;"",K876=Q876),"⚠ Origen igual a destino",IF(AND(K876&lt;&gt;"",ISNA(MATCH(K876,ctaNombre,0))),"⚠ Destino no registrado",IF(AND(P876="Pago tarjeta",AE876&lt;&gt;"Tarjeta de crédito"),"⚠ El destino debe ser tarjeta de crédito",IF(AND(P876="Gasto",E876="Depósitos y retiros"),"⚠ Usa tipo Transferencia",IF(AND(P876="Resultado trading",AD876&lt;&gt;"Cuenta de trading"),"⚠ Usa una cuenta de trading",IF(AND(G876&lt;=0,P876&lt;&gt;"Ajuste",P876&lt;&gt;"Resultado trading"),"⚠ El monto debe ser positivo","✓")))))))))))))))</f>
        <v/>
      </c>
      <c r="P876" s="52">
        <f>IF(OR(B876="",G876=""),"",IF(C876="","Gasto",C876))</f>
        <v/>
      </c>
      <c r="Q876" s="52">
        <f>IF(P876="","",IF(J876&lt;&gt;"",J876,CuentaPred&amp;""))</f>
        <v/>
      </c>
      <c r="R876" s="52">
        <f>IF(P876="","",IF(ISNUMBER(I876),I876,TasaUSD))</f>
        <v/>
      </c>
      <c r="S876" s="53">
        <f>IF(P876="","",IF(H876="USD",G876*R876,G876))</f>
        <v/>
      </c>
      <c r="T876" s="53">
        <f>IF(P876="","",IF(H876="USD",G876,IF(R876&gt;0,G876/R876,0)))</f>
        <v/>
      </c>
      <c r="U876" s="53">
        <f>IF(P876="","",IF(P876="Gasto",S876,IF(P876="Reembolso",-S876,0)))</f>
        <v/>
      </c>
      <c r="V876" s="53">
        <f>IF(P876="","",IF(P876="Ingreso",S876,0))</f>
        <v/>
      </c>
      <c r="W876" s="53">
        <f>IF(P876="","",IF(P876="Resultado trading",S876,0))</f>
        <v/>
      </c>
      <c r="X876" s="52">
        <f>IF(OR(P876="Gasto",P876="Reembolso"),IF(M876&lt;&gt;"",M876,IFERROR(INDEX(catClasif,MATCH(D876&amp;"|"&amp;E876,catClave,0))&amp;"","Variable")),"")</f>
        <v/>
      </c>
      <c r="Y876" s="52">
        <f>IF(P876="","",IFERROR(INDEX(catGrupo,MATCH(D876&amp;"|"&amp;E876,catClave,0))&amp;"",""))</f>
        <v/>
      </c>
      <c r="Z876" s="52">
        <f>IF(P876="","",WEEKDAY(B876,2))</f>
        <v/>
      </c>
      <c r="AA876" s="52">
        <f>IF(P876="","",IF(AND(P876="Gasto",X876="Variable",D876&lt;&gt;catTrading,S876&gt;0,S876&lt;=Umbral),1,0))</f>
        <v/>
      </c>
      <c r="AB876" s="52">
        <f>IF(OR(P876="",Q876=""),"",IFERROR(IF(INDEX(ctaVinc,MATCH(Q876,ctaNombre,0))&amp;""&lt;&gt;"",INDEX(ctaVinc,MATCH(Q876,ctaNombre,0))&amp;"",Q876),Q876))</f>
        <v/>
      </c>
      <c r="AC876" s="52">
        <f>IF(OR(K876="",AND(P876&lt;&gt;"Transferencia",P876&lt;&gt;"Pago tarjeta")),"",IFERROR(IF(INDEX(ctaVinc,MATCH(K876,ctaNombre,0))&amp;""&lt;&gt;"",INDEX(ctaVinc,MATCH(K876,ctaNombre,0))&amp;"",K876),K876))</f>
        <v/>
      </c>
      <c r="AD876" s="52">
        <f>IF(AB876="","",IFERROR(INDEX(ctaTipo,MATCH(AB876,ctaNombre,0))&amp;"",""))</f>
        <v/>
      </c>
      <c r="AE876" s="52">
        <f>IF(AC876="","",IFERROR(INDEX(ctaTipo,MATCH(AC876,ctaNombre,0))&amp;"",""))</f>
        <v/>
      </c>
      <c r="AF876" s="53">
        <f>IF(OR(P876="",AB876=""),"",IF(OR(P876="Gasto",P876="Transferencia",P876="Pago tarjeta"),-1,1)*IF(IFERROR(INDEX(ctaMoneda,MATCH(AB876,ctaNombre,0))&amp;"","DOP")="USD",T876,S876))</f>
        <v/>
      </c>
      <c r="AG876" s="53">
        <f>IF(AC876="","",IF(IFERROR(INDEX(ctaMoneda,MATCH(AC876,ctaNombre,0))&amp;"","DOP")="USD",T876,S876))</f>
        <v/>
      </c>
      <c r="AH876" s="53">
        <f>IF(P876="","",IF(AND(AD876&lt;&gt;"",COUNTIFS(tcTipo,AD876,tcLiq,"Sí")&gt;0),IF(OR(P876="Gasto",P876="Transferencia",P876="Pago tarjeta"),-1,1)*S876,0)+IF(AND(AE876&lt;&gt;"",COUNTIFS(tcTipo,AE876,tcLiq,"Sí")&gt;0),S876,0))</f>
        <v/>
      </c>
      <c r="AI876" s="52">
        <f>IF(OR(L876="",P876=""),"",IF(COUNTIFS(L$6:L876,L876,P$6:P876,"?*")=1,MAX(AI$5:AI875)+1,""))</f>
        <v/>
      </c>
    </row>
    <row r="877">
      <c r="B877" s="47" t="n"/>
      <c r="C877" s="48" t="n"/>
      <c r="D877" s="48" t="n"/>
      <c r="E877" s="48" t="n"/>
      <c r="F877" s="48" t="n"/>
      <c r="G877" s="49" t="n"/>
      <c r="H877" s="48" t="n"/>
      <c r="I877" s="50" t="n"/>
      <c r="J877" s="48" t="n"/>
      <c r="K877" s="48" t="n"/>
      <c r="L877" s="48" t="n"/>
      <c r="M877" s="48" t="n"/>
      <c r="N877" s="48" t="n"/>
      <c r="O877" s="51">
        <f>IF(AND(B877="",G877="",C877="",D877="",J877=""),"",IF(B877="","⚠ Falta fecha",IF(G877="","⚠ Falta monto",IF(Q877="","⚠ Falta cuenta",IF(ISNA(MATCH(Q877,ctaNombre,0)),"⚠ Cuenta no registrada",IF(AND(OR(P877="Gasto",P877="Reembolso"),D877=""),"⚠ Falta categoría",IF(AND(D877&lt;&gt;"",E877&lt;&gt;"",ISNA(MATCH(D877&amp;"|"&amp;E877,catClave,0))),"⚠ Subcategoría no corresponde",IF(AND(OR(P877="Transferencia",P877="Pago tarjeta"),K877=""),"⚠ Falta cuenta destino",IF(AND(K877&lt;&gt;"",P877&lt;&gt;"Transferencia",P877&lt;&gt;"Pago tarjeta"),"⚠ Destino solo aplica a transferencias",IF(AND(K877&lt;&gt;"",K877=Q877),"⚠ Origen igual a destino",IF(AND(K877&lt;&gt;"",ISNA(MATCH(K877,ctaNombre,0))),"⚠ Destino no registrado",IF(AND(P877="Pago tarjeta",AE877&lt;&gt;"Tarjeta de crédito"),"⚠ El destino debe ser tarjeta de crédito",IF(AND(P877="Gasto",E877="Depósitos y retiros"),"⚠ Usa tipo Transferencia",IF(AND(P877="Resultado trading",AD877&lt;&gt;"Cuenta de trading"),"⚠ Usa una cuenta de trading",IF(AND(G877&lt;=0,P877&lt;&gt;"Ajuste",P877&lt;&gt;"Resultado trading"),"⚠ El monto debe ser positivo","✓")))))))))))))))</f>
        <v/>
      </c>
      <c r="P877" s="52">
        <f>IF(OR(B877="",G877=""),"",IF(C877="","Gasto",C877))</f>
        <v/>
      </c>
      <c r="Q877" s="52">
        <f>IF(P877="","",IF(J877&lt;&gt;"",J877,CuentaPred&amp;""))</f>
        <v/>
      </c>
      <c r="R877" s="52">
        <f>IF(P877="","",IF(ISNUMBER(I877),I877,TasaUSD))</f>
        <v/>
      </c>
      <c r="S877" s="53">
        <f>IF(P877="","",IF(H877="USD",G877*R877,G877))</f>
        <v/>
      </c>
      <c r="T877" s="53">
        <f>IF(P877="","",IF(H877="USD",G877,IF(R877&gt;0,G877/R877,0)))</f>
        <v/>
      </c>
      <c r="U877" s="53">
        <f>IF(P877="","",IF(P877="Gasto",S877,IF(P877="Reembolso",-S877,0)))</f>
        <v/>
      </c>
      <c r="V877" s="53">
        <f>IF(P877="","",IF(P877="Ingreso",S877,0))</f>
        <v/>
      </c>
      <c r="W877" s="53">
        <f>IF(P877="","",IF(P877="Resultado trading",S877,0))</f>
        <v/>
      </c>
      <c r="X877" s="52">
        <f>IF(OR(P877="Gasto",P877="Reembolso"),IF(M877&lt;&gt;"",M877,IFERROR(INDEX(catClasif,MATCH(D877&amp;"|"&amp;E877,catClave,0))&amp;"","Variable")),"")</f>
        <v/>
      </c>
      <c r="Y877" s="52">
        <f>IF(P877="","",IFERROR(INDEX(catGrupo,MATCH(D877&amp;"|"&amp;E877,catClave,0))&amp;"",""))</f>
        <v/>
      </c>
      <c r="Z877" s="52">
        <f>IF(P877="","",WEEKDAY(B877,2))</f>
        <v/>
      </c>
      <c r="AA877" s="52">
        <f>IF(P877="","",IF(AND(P877="Gasto",X877="Variable",D877&lt;&gt;catTrading,S877&gt;0,S877&lt;=Umbral),1,0))</f>
        <v/>
      </c>
      <c r="AB877" s="52">
        <f>IF(OR(P877="",Q877=""),"",IFERROR(IF(INDEX(ctaVinc,MATCH(Q877,ctaNombre,0))&amp;""&lt;&gt;"",INDEX(ctaVinc,MATCH(Q877,ctaNombre,0))&amp;"",Q877),Q877))</f>
        <v/>
      </c>
      <c r="AC877" s="52">
        <f>IF(OR(K877="",AND(P877&lt;&gt;"Transferencia",P877&lt;&gt;"Pago tarjeta")),"",IFERROR(IF(INDEX(ctaVinc,MATCH(K877,ctaNombre,0))&amp;""&lt;&gt;"",INDEX(ctaVinc,MATCH(K877,ctaNombre,0))&amp;"",K877),K877))</f>
        <v/>
      </c>
      <c r="AD877" s="52">
        <f>IF(AB877="","",IFERROR(INDEX(ctaTipo,MATCH(AB877,ctaNombre,0))&amp;"",""))</f>
        <v/>
      </c>
      <c r="AE877" s="52">
        <f>IF(AC877="","",IFERROR(INDEX(ctaTipo,MATCH(AC877,ctaNombre,0))&amp;"",""))</f>
        <v/>
      </c>
      <c r="AF877" s="53">
        <f>IF(OR(P877="",AB877=""),"",IF(OR(P877="Gasto",P877="Transferencia",P877="Pago tarjeta"),-1,1)*IF(IFERROR(INDEX(ctaMoneda,MATCH(AB877,ctaNombre,0))&amp;"","DOP")="USD",T877,S877))</f>
        <v/>
      </c>
      <c r="AG877" s="53">
        <f>IF(AC877="","",IF(IFERROR(INDEX(ctaMoneda,MATCH(AC877,ctaNombre,0))&amp;"","DOP")="USD",T877,S877))</f>
        <v/>
      </c>
      <c r="AH877" s="53">
        <f>IF(P877="","",IF(AND(AD877&lt;&gt;"",COUNTIFS(tcTipo,AD877,tcLiq,"Sí")&gt;0),IF(OR(P877="Gasto",P877="Transferencia",P877="Pago tarjeta"),-1,1)*S877,0)+IF(AND(AE877&lt;&gt;"",COUNTIFS(tcTipo,AE877,tcLiq,"Sí")&gt;0),S877,0))</f>
        <v/>
      </c>
      <c r="AI877" s="52">
        <f>IF(OR(L877="",P877=""),"",IF(COUNTIFS(L$6:L877,L877,P$6:P877,"?*")=1,MAX(AI$5:AI876)+1,""))</f>
        <v/>
      </c>
    </row>
    <row r="878">
      <c r="B878" s="47" t="n"/>
      <c r="C878" s="48" t="n"/>
      <c r="D878" s="48" t="n"/>
      <c r="E878" s="48" t="n"/>
      <c r="F878" s="48" t="n"/>
      <c r="G878" s="49" t="n"/>
      <c r="H878" s="48" t="n"/>
      <c r="I878" s="50" t="n"/>
      <c r="J878" s="48" t="n"/>
      <c r="K878" s="48" t="n"/>
      <c r="L878" s="48" t="n"/>
      <c r="M878" s="48" t="n"/>
      <c r="N878" s="48" t="n"/>
      <c r="O878" s="51">
        <f>IF(AND(B878="",G878="",C878="",D878="",J878=""),"",IF(B878="","⚠ Falta fecha",IF(G878="","⚠ Falta monto",IF(Q878="","⚠ Falta cuenta",IF(ISNA(MATCH(Q878,ctaNombre,0)),"⚠ Cuenta no registrada",IF(AND(OR(P878="Gasto",P878="Reembolso"),D878=""),"⚠ Falta categoría",IF(AND(D878&lt;&gt;"",E878&lt;&gt;"",ISNA(MATCH(D878&amp;"|"&amp;E878,catClave,0))),"⚠ Subcategoría no corresponde",IF(AND(OR(P878="Transferencia",P878="Pago tarjeta"),K878=""),"⚠ Falta cuenta destino",IF(AND(K878&lt;&gt;"",P878&lt;&gt;"Transferencia",P878&lt;&gt;"Pago tarjeta"),"⚠ Destino solo aplica a transferencias",IF(AND(K878&lt;&gt;"",K878=Q878),"⚠ Origen igual a destino",IF(AND(K878&lt;&gt;"",ISNA(MATCH(K878,ctaNombre,0))),"⚠ Destino no registrado",IF(AND(P878="Pago tarjeta",AE878&lt;&gt;"Tarjeta de crédito"),"⚠ El destino debe ser tarjeta de crédito",IF(AND(P878="Gasto",E878="Depósitos y retiros"),"⚠ Usa tipo Transferencia",IF(AND(P878="Resultado trading",AD878&lt;&gt;"Cuenta de trading"),"⚠ Usa una cuenta de trading",IF(AND(G878&lt;=0,P878&lt;&gt;"Ajuste",P878&lt;&gt;"Resultado trading"),"⚠ El monto debe ser positivo","✓")))))))))))))))</f>
        <v/>
      </c>
      <c r="P878" s="52">
        <f>IF(OR(B878="",G878=""),"",IF(C878="","Gasto",C878))</f>
        <v/>
      </c>
      <c r="Q878" s="52">
        <f>IF(P878="","",IF(J878&lt;&gt;"",J878,CuentaPred&amp;""))</f>
        <v/>
      </c>
      <c r="R878" s="52">
        <f>IF(P878="","",IF(ISNUMBER(I878),I878,TasaUSD))</f>
        <v/>
      </c>
      <c r="S878" s="53">
        <f>IF(P878="","",IF(H878="USD",G878*R878,G878))</f>
        <v/>
      </c>
      <c r="T878" s="53">
        <f>IF(P878="","",IF(H878="USD",G878,IF(R878&gt;0,G878/R878,0)))</f>
        <v/>
      </c>
      <c r="U878" s="53">
        <f>IF(P878="","",IF(P878="Gasto",S878,IF(P878="Reembolso",-S878,0)))</f>
        <v/>
      </c>
      <c r="V878" s="53">
        <f>IF(P878="","",IF(P878="Ingreso",S878,0))</f>
        <v/>
      </c>
      <c r="W878" s="53">
        <f>IF(P878="","",IF(P878="Resultado trading",S878,0))</f>
        <v/>
      </c>
      <c r="X878" s="52">
        <f>IF(OR(P878="Gasto",P878="Reembolso"),IF(M878&lt;&gt;"",M878,IFERROR(INDEX(catClasif,MATCH(D878&amp;"|"&amp;E878,catClave,0))&amp;"","Variable")),"")</f>
        <v/>
      </c>
      <c r="Y878" s="52">
        <f>IF(P878="","",IFERROR(INDEX(catGrupo,MATCH(D878&amp;"|"&amp;E878,catClave,0))&amp;"",""))</f>
        <v/>
      </c>
      <c r="Z878" s="52">
        <f>IF(P878="","",WEEKDAY(B878,2))</f>
        <v/>
      </c>
      <c r="AA878" s="52">
        <f>IF(P878="","",IF(AND(P878="Gasto",X878="Variable",D878&lt;&gt;catTrading,S878&gt;0,S878&lt;=Umbral),1,0))</f>
        <v/>
      </c>
      <c r="AB878" s="52">
        <f>IF(OR(P878="",Q878=""),"",IFERROR(IF(INDEX(ctaVinc,MATCH(Q878,ctaNombre,0))&amp;""&lt;&gt;"",INDEX(ctaVinc,MATCH(Q878,ctaNombre,0))&amp;"",Q878),Q878))</f>
        <v/>
      </c>
      <c r="AC878" s="52">
        <f>IF(OR(K878="",AND(P878&lt;&gt;"Transferencia",P878&lt;&gt;"Pago tarjeta")),"",IFERROR(IF(INDEX(ctaVinc,MATCH(K878,ctaNombre,0))&amp;""&lt;&gt;"",INDEX(ctaVinc,MATCH(K878,ctaNombre,0))&amp;"",K878),K878))</f>
        <v/>
      </c>
      <c r="AD878" s="52">
        <f>IF(AB878="","",IFERROR(INDEX(ctaTipo,MATCH(AB878,ctaNombre,0))&amp;"",""))</f>
        <v/>
      </c>
      <c r="AE878" s="52">
        <f>IF(AC878="","",IFERROR(INDEX(ctaTipo,MATCH(AC878,ctaNombre,0))&amp;"",""))</f>
        <v/>
      </c>
      <c r="AF878" s="53">
        <f>IF(OR(P878="",AB878=""),"",IF(OR(P878="Gasto",P878="Transferencia",P878="Pago tarjeta"),-1,1)*IF(IFERROR(INDEX(ctaMoneda,MATCH(AB878,ctaNombre,0))&amp;"","DOP")="USD",T878,S878))</f>
        <v/>
      </c>
      <c r="AG878" s="53">
        <f>IF(AC878="","",IF(IFERROR(INDEX(ctaMoneda,MATCH(AC878,ctaNombre,0))&amp;"","DOP")="USD",T878,S878))</f>
        <v/>
      </c>
      <c r="AH878" s="53">
        <f>IF(P878="","",IF(AND(AD878&lt;&gt;"",COUNTIFS(tcTipo,AD878,tcLiq,"Sí")&gt;0),IF(OR(P878="Gasto",P878="Transferencia",P878="Pago tarjeta"),-1,1)*S878,0)+IF(AND(AE878&lt;&gt;"",COUNTIFS(tcTipo,AE878,tcLiq,"Sí")&gt;0),S878,0))</f>
        <v/>
      </c>
      <c r="AI878" s="52">
        <f>IF(OR(L878="",P878=""),"",IF(COUNTIFS(L$6:L878,L878,P$6:P878,"?*")=1,MAX(AI$5:AI877)+1,""))</f>
        <v/>
      </c>
    </row>
    <row r="879">
      <c r="B879" s="47" t="n"/>
      <c r="C879" s="48" t="n"/>
      <c r="D879" s="48" t="n"/>
      <c r="E879" s="48" t="n"/>
      <c r="F879" s="48" t="n"/>
      <c r="G879" s="49" t="n"/>
      <c r="H879" s="48" t="n"/>
      <c r="I879" s="50" t="n"/>
      <c r="J879" s="48" t="n"/>
      <c r="K879" s="48" t="n"/>
      <c r="L879" s="48" t="n"/>
      <c r="M879" s="48" t="n"/>
      <c r="N879" s="48" t="n"/>
      <c r="O879" s="51">
        <f>IF(AND(B879="",G879="",C879="",D879="",J879=""),"",IF(B879="","⚠ Falta fecha",IF(G879="","⚠ Falta monto",IF(Q879="","⚠ Falta cuenta",IF(ISNA(MATCH(Q879,ctaNombre,0)),"⚠ Cuenta no registrada",IF(AND(OR(P879="Gasto",P879="Reembolso"),D879=""),"⚠ Falta categoría",IF(AND(D879&lt;&gt;"",E879&lt;&gt;"",ISNA(MATCH(D879&amp;"|"&amp;E879,catClave,0))),"⚠ Subcategoría no corresponde",IF(AND(OR(P879="Transferencia",P879="Pago tarjeta"),K879=""),"⚠ Falta cuenta destino",IF(AND(K879&lt;&gt;"",P879&lt;&gt;"Transferencia",P879&lt;&gt;"Pago tarjeta"),"⚠ Destino solo aplica a transferencias",IF(AND(K879&lt;&gt;"",K879=Q879),"⚠ Origen igual a destino",IF(AND(K879&lt;&gt;"",ISNA(MATCH(K879,ctaNombre,0))),"⚠ Destino no registrado",IF(AND(P879="Pago tarjeta",AE879&lt;&gt;"Tarjeta de crédito"),"⚠ El destino debe ser tarjeta de crédito",IF(AND(P879="Gasto",E879="Depósitos y retiros"),"⚠ Usa tipo Transferencia",IF(AND(P879="Resultado trading",AD879&lt;&gt;"Cuenta de trading"),"⚠ Usa una cuenta de trading",IF(AND(G879&lt;=0,P879&lt;&gt;"Ajuste",P879&lt;&gt;"Resultado trading"),"⚠ El monto debe ser positivo","✓")))))))))))))))</f>
        <v/>
      </c>
      <c r="P879" s="52">
        <f>IF(OR(B879="",G879=""),"",IF(C879="","Gasto",C879))</f>
        <v/>
      </c>
      <c r="Q879" s="52">
        <f>IF(P879="","",IF(J879&lt;&gt;"",J879,CuentaPred&amp;""))</f>
        <v/>
      </c>
      <c r="R879" s="52">
        <f>IF(P879="","",IF(ISNUMBER(I879),I879,TasaUSD))</f>
        <v/>
      </c>
      <c r="S879" s="53">
        <f>IF(P879="","",IF(H879="USD",G879*R879,G879))</f>
        <v/>
      </c>
      <c r="T879" s="53">
        <f>IF(P879="","",IF(H879="USD",G879,IF(R879&gt;0,G879/R879,0)))</f>
        <v/>
      </c>
      <c r="U879" s="53">
        <f>IF(P879="","",IF(P879="Gasto",S879,IF(P879="Reembolso",-S879,0)))</f>
        <v/>
      </c>
      <c r="V879" s="53">
        <f>IF(P879="","",IF(P879="Ingreso",S879,0))</f>
        <v/>
      </c>
      <c r="W879" s="53">
        <f>IF(P879="","",IF(P879="Resultado trading",S879,0))</f>
        <v/>
      </c>
      <c r="X879" s="52">
        <f>IF(OR(P879="Gasto",P879="Reembolso"),IF(M879&lt;&gt;"",M879,IFERROR(INDEX(catClasif,MATCH(D879&amp;"|"&amp;E879,catClave,0))&amp;"","Variable")),"")</f>
        <v/>
      </c>
      <c r="Y879" s="52">
        <f>IF(P879="","",IFERROR(INDEX(catGrupo,MATCH(D879&amp;"|"&amp;E879,catClave,0))&amp;"",""))</f>
        <v/>
      </c>
      <c r="Z879" s="52">
        <f>IF(P879="","",WEEKDAY(B879,2))</f>
        <v/>
      </c>
      <c r="AA879" s="52">
        <f>IF(P879="","",IF(AND(P879="Gasto",X879="Variable",D879&lt;&gt;catTrading,S879&gt;0,S879&lt;=Umbral),1,0))</f>
        <v/>
      </c>
      <c r="AB879" s="52">
        <f>IF(OR(P879="",Q879=""),"",IFERROR(IF(INDEX(ctaVinc,MATCH(Q879,ctaNombre,0))&amp;""&lt;&gt;"",INDEX(ctaVinc,MATCH(Q879,ctaNombre,0))&amp;"",Q879),Q879))</f>
        <v/>
      </c>
      <c r="AC879" s="52">
        <f>IF(OR(K879="",AND(P879&lt;&gt;"Transferencia",P879&lt;&gt;"Pago tarjeta")),"",IFERROR(IF(INDEX(ctaVinc,MATCH(K879,ctaNombre,0))&amp;""&lt;&gt;"",INDEX(ctaVinc,MATCH(K879,ctaNombre,0))&amp;"",K879),K879))</f>
        <v/>
      </c>
      <c r="AD879" s="52">
        <f>IF(AB879="","",IFERROR(INDEX(ctaTipo,MATCH(AB879,ctaNombre,0))&amp;"",""))</f>
        <v/>
      </c>
      <c r="AE879" s="52">
        <f>IF(AC879="","",IFERROR(INDEX(ctaTipo,MATCH(AC879,ctaNombre,0))&amp;"",""))</f>
        <v/>
      </c>
      <c r="AF879" s="53">
        <f>IF(OR(P879="",AB879=""),"",IF(OR(P879="Gasto",P879="Transferencia",P879="Pago tarjeta"),-1,1)*IF(IFERROR(INDEX(ctaMoneda,MATCH(AB879,ctaNombre,0))&amp;"","DOP")="USD",T879,S879))</f>
        <v/>
      </c>
      <c r="AG879" s="53">
        <f>IF(AC879="","",IF(IFERROR(INDEX(ctaMoneda,MATCH(AC879,ctaNombre,0))&amp;"","DOP")="USD",T879,S879))</f>
        <v/>
      </c>
      <c r="AH879" s="53">
        <f>IF(P879="","",IF(AND(AD879&lt;&gt;"",COUNTIFS(tcTipo,AD879,tcLiq,"Sí")&gt;0),IF(OR(P879="Gasto",P879="Transferencia",P879="Pago tarjeta"),-1,1)*S879,0)+IF(AND(AE879&lt;&gt;"",COUNTIFS(tcTipo,AE879,tcLiq,"Sí")&gt;0),S879,0))</f>
        <v/>
      </c>
      <c r="AI879" s="52">
        <f>IF(OR(L879="",P879=""),"",IF(COUNTIFS(L$6:L879,L879,P$6:P879,"?*")=1,MAX(AI$5:AI878)+1,""))</f>
        <v/>
      </c>
    </row>
    <row r="880">
      <c r="B880" s="47" t="n"/>
      <c r="C880" s="48" t="n"/>
      <c r="D880" s="48" t="n"/>
      <c r="E880" s="48" t="n"/>
      <c r="F880" s="48" t="n"/>
      <c r="G880" s="49" t="n"/>
      <c r="H880" s="48" t="n"/>
      <c r="I880" s="50" t="n"/>
      <c r="J880" s="48" t="n"/>
      <c r="K880" s="48" t="n"/>
      <c r="L880" s="48" t="n"/>
      <c r="M880" s="48" t="n"/>
      <c r="N880" s="48" t="n"/>
      <c r="O880" s="51">
        <f>IF(AND(B880="",G880="",C880="",D880="",J880=""),"",IF(B880="","⚠ Falta fecha",IF(G880="","⚠ Falta monto",IF(Q880="","⚠ Falta cuenta",IF(ISNA(MATCH(Q880,ctaNombre,0)),"⚠ Cuenta no registrada",IF(AND(OR(P880="Gasto",P880="Reembolso"),D880=""),"⚠ Falta categoría",IF(AND(D880&lt;&gt;"",E880&lt;&gt;"",ISNA(MATCH(D880&amp;"|"&amp;E880,catClave,0))),"⚠ Subcategoría no corresponde",IF(AND(OR(P880="Transferencia",P880="Pago tarjeta"),K880=""),"⚠ Falta cuenta destino",IF(AND(K880&lt;&gt;"",P880&lt;&gt;"Transferencia",P880&lt;&gt;"Pago tarjeta"),"⚠ Destino solo aplica a transferencias",IF(AND(K880&lt;&gt;"",K880=Q880),"⚠ Origen igual a destino",IF(AND(K880&lt;&gt;"",ISNA(MATCH(K880,ctaNombre,0))),"⚠ Destino no registrado",IF(AND(P880="Pago tarjeta",AE880&lt;&gt;"Tarjeta de crédito"),"⚠ El destino debe ser tarjeta de crédito",IF(AND(P880="Gasto",E880="Depósitos y retiros"),"⚠ Usa tipo Transferencia",IF(AND(P880="Resultado trading",AD880&lt;&gt;"Cuenta de trading"),"⚠ Usa una cuenta de trading",IF(AND(G880&lt;=0,P880&lt;&gt;"Ajuste",P880&lt;&gt;"Resultado trading"),"⚠ El monto debe ser positivo","✓")))))))))))))))</f>
        <v/>
      </c>
      <c r="P880" s="52">
        <f>IF(OR(B880="",G880=""),"",IF(C880="","Gasto",C880))</f>
        <v/>
      </c>
      <c r="Q880" s="52">
        <f>IF(P880="","",IF(J880&lt;&gt;"",J880,CuentaPred&amp;""))</f>
        <v/>
      </c>
      <c r="R880" s="52">
        <f>IF(P880="","",IF(ISNUMBER(I880),I880,TasaUSD))</f>
        <v/>
      </c>
      <c r="S880" s="53">
        <f>IF(P880="","",IF(H880="USD",G880*R880,G880))</f>
        <v/>
      </c>
      <c r="T880" s="53">
        <f>IF(P880="","",IF(H880="USD",G880,IF(R880&gt;0,G880/R880,0)))</f>
        <v/>
      </c>
      <c r="U880" s="53">
        <f>IF(P880="","",IF(P880="Gasto",S880,IF(P880="Reembolso",-S880,0)))</f>
        <v/>
      </c>
      <c r="V880" s="53">
        <f>IF(P880="","",IF(P880="Ingreso",S880,0))</f>
        <v/>
      </c>
      <c r="W880" s="53">
        <f>IF(P880="","",IF(P880="Resultado trading",S880,0))</f>
        <v/>
      </c>
      <c r="X880" s="52">
        <f>IF(OR(P880="Gasto",P880="Reembolso"),IF(M880&lt;&gt;"",M880,IFERROR(INDEX(catClasif,MATCH(D880&amp;"|"&amp;E880,catClave,0))&amp;"","Variable")),"")</f>
        <v/>
      </c>
      <c r="Y880" s="52">
        <f>IF(P880="","",IFERROR(INDEX(catGrupo,MATCH(D880&amp;"|"&amp;E880,catClave,0))&amp;"",""))</f>
        <v/>
      </c>
      <c r="Z880" s="52">
        <f>IF(P880="","",WEEKDAY(B880,2))</f>
        <v/>
      </c>
      <c r="AA880" s="52">
        <f>IF(P880="","",IF(AND(P880="Gasto",X880="Variable",D880&lt;&gt;catTrading,S880&gt;0,S880&lt;=Umbral),1,0))</f>
        <v/>
      </c>
      <c r="AB880" s="52">
        <f>IF(OR(P880="",Q880=""),"",IFERROR(IF(INDEX(ctaVinc,MATCH(Q880,ctaNombre,0))&amp;""&lt;&gt;"",INDEX(ctaVinc,MATCH(Q880,ctaNombre,0))&amp;"",Q880),Q880))</f>
        <v/>
      </c>
      <c r="AC880" s="52">
        <f>IF(OR(K880="",AND(P880&lt;&gt;"Transferencia",P880&lt;&gt;"Pago tarjeta")),"",IFERROR(IF(INDEX(ctaVinc,MATCH(K880,ctaNombre,0))&amp;""&lt;&gt;"",INDEX(ctaVinc,MATCH(K880,ctaNombre,0))&amp;"",K880),K880))</f>
        <v/>
      </c>
      <c r="AD880" s="52">
        <f>IF(AB880="","",IFERROR(INDEX(ctaTipo,MATCH(AB880,ctaNombre,0))&amp;"",""))</f>
        <v/>
      </c>
      <c r="AE880" s="52">
        <f>IF(AC880="","",IFERROR(INDEX(ctaTipo,MATCH(AC880,ctaNombre,0))&amp;"",""))</f>
        <v/>
      </c>
      <c r="AF880" s="53">
        <f>IF(OR(P880="",AB880=""),"",IF(OR(P880="Gasto",P880="Transferencia",P880="Pago tarjeta"),-1,1)*IF(IFERROR(INDEX(ctaMoneda,MATCH(AB880,ctaNombre,0))&amp;"","DOP")="USD",T880,S880))</f>
        <v/>
      </c>
      <c r="AG880" s="53">
        <f>IF(AC880="","",IF(IFERROR(INDEX(ctaMoneda,MATCH(AC880,ctaNombre,0))&amp;"","DOP")="USD",T880,S880))</f>
        <v/>
      </c>
      <c r="AH880" s="53">
        <f>IF(P880="","",IF(AND(AD880&lt;&gt;"",COUNTIFS(tcTipo,AD880,tcLiq,"Sí")&gt;0),IF(OR(P880="Gasto",P880="Transferencia",P880="Pago tarjeta"),-1,1)*S880,0)+IF(AND(AE880&lt;&gt;"",COUNTIFS(tcTipo,AE880,tcLiq,"Sí")&gt;0),S880,0))</f>
        <v/>
      </c>
      <c r="AI880" s="52">
        <f>IF(OR(L880="",P880=""),"",IF(COUNTIFS(L$6:L880,L880,P$6:P880,"?*")=1,MAX(AI$5:AI879)+1,""))</f>
        <v/>
      </c>
    </row>
    <row r="881">
      <c r="B881" s="47" t="n"/>
      <c r="C881" s="48" t="n"/>
      <c r="D881" s="48" t="n"/>
      <c r="E881" s="48" t="n"/>
      <c r="F881" s="48" t="n"/>
      <c r="G881" s="49" t="n"/>
      <c r="H881" s="48" t="n"/>
      <c r="I881" s="50" t="n"/>
      <c r="J881" s="48" t="n"/>
      <c r="K881" s="48" t="n"/>
      <c r="L881" s="48" t="n"/>
      <c r="M881" s="48" t="n"/>
      <c r="N881" s="48" t="n"/>
      <c r="O881" s="51">
        <f>IF(AND(B881="",G881="",C881="",D881="",J881=""),"",IF(B881="","⚠ Falta fecha",IF(G881="","⚠ Falta monto",IF(Q881="","⚠ Falta cuenta",IF(ISNA(MATCH(Q881,ctaNombre,0)),"⚠ Cuenta no registrada",IF(AND(OR(P881="Gasto",P881="Reembolso"),D881=""),"⚠ Falta categoría",IF(AND(D881&lt;&gt;"",E881&lt;&gt;"",ISNA(MATCH(D881&amp;"|"&amp;E881,catClave,0))),"⚠ Subcategoría no corresponde",IF(AND(OR(P881="Transferencia",P881="Pago tarjeta"),K881=""),"⚠ Falta cuenta destino",IF(AND(K881&lt;&gt;"",P881&lt;&gt;"Transferencia",P881&lt;&gt;"Pago tarjeta"),"⚠ Destino solo aplica a transferencias",IF(AND(K881&lt;&gt;"",K881=Q881),"⚠ Origen igual a destino",IF(AND(K881&lt;&gt;"",ISNA(MATCH(K881,ctaNombre,0))),"⚠ Destino no registrado",IF(AND(P881="Pago tarjeta",AE881&lt;&gt;"Tarjeta de crédito"),"⚠ El destino debe ser tarjeta de crédito",IF(AND(P881="Gasto",E881="Depósitos y retiros"),"⚠ Usa tipo Transferencia",IF(AND(P881="Resultado trading",AD881&lt;&gt;"Cuenta de trading"),"⚠ Usa una cuenta de trading",IF(AND(G881&lt;=0,P881&lt;&gt;"Ajuste",P881&lt;&gt;"Resultado trading"),"⚠ El monto debe ser positivo","✓")))))))))))))))</f>
        <v/>
      </c>
      <c r="P881" s="52">
        <f>IF(OR(B881="",G881=""),"",IF(C881="","Gasto",C881))</f>
        <v/>
      </c>
      <c r="Q881" s="52">
        <f>IF(P881="","",IF(J881&lt;&gt;"",J881,CuentaPred&amp;""))</f>
        <v/>
      </c>
      <c r="R881" s="52">
        <f>IF(P881="","",IF(ISNUMBER(I881),I881,TasaUSD))</f>
        <v/>
      </c>
      <c r="S881" s="53">
        <f>IF(P881="","",IF(H881="USD",G881*R881,G881))</f>
        <v/>
      </c>
      <c r="T881" s="53">
        <f>IF(P881="","",IF(H881="USD",G881,IF(R881&gt;0,G881/R881,0)))</f>
        <v/>
      </c>
      <c r="U881" s="53">
        <f>IF(P881="","",IF(P881="Gasto",S881,IF(P881="Reembolso",-S881,0)))</f>
        <v/>
      </c>
      <c r="V881" s="53">
        <f>IF(P881="","",IF(P881="Ingreso",S881,0))</f>
        <v/>
      </c>
      <c r="W881" s="53">
        <f>IF(P881="","",IF(P881="Resultado trading",S881,0))</f>
        <v/>
      </c>
      <c r="X881" s="52">
        <f>IF(OR(P881="Gasto",P881="Reembolso"),IF(M881&lt;&gt;"",M881,IFERROR(INDEX(catClasif,MATCH(D881&amp;"|"&amp;E881,catClave,0))&amp;"","Variable")),"")</f>
        <v/>
      </c>
      <c r="Y881" s="52">
        <f>IF(P881="","",IFERROR(INDEX(catGrupo,MATCH(D881&amp;"|"&amp;E881,catClave,0))&amp;"",""))</f>
        <v/>
      </c>
      <c r="Z881" s="52">
        <f>IF(P881="","",WEEKDAY(B881,2))</f>
        <v/>
      </c>
      <c r="AA881" s="52">
        <f>IF(P881="","",IF(AND(P881="Gasto",X881="Variable",D881&lt;&gt;catTrading,S881&gt;0,S881&lt;=Umbral),1,0))</f>
        <v/>
      </c>
      <c r="AB881" s="52">
        <f>IF(OR(P881="",Q881=""),"",IFERROR(IF(INDEX(ctaVinc,MATCH(Q881,ctaNombre,0))&amp;""&lt;&gt;"",INDEX(ctaVinc,MATCH(Q881,ctaNombre,0))&amp;"",Q881),Q881))</f>
        <v/>
      </c>
      <c r="AC881" s="52">
        <f>IF(OR(K881="",AND(P881&lt;&gt;"Transferencia",P881&lt;&gt;"Pago tarjeta")),"",IFERROR(IF(INDEX(ctaVinc,MATCH(K881,ctaNombre,0))&amp;""&lt;&gt;"",INDEX(ctaVinc,MATCH(K881,ctaNombre,0))&amp;"",K881),K881))</f>
        <v/>
      </c>
      <c r="AD881" s="52">
        <f>IF(AB881="","",IFERROR(INDEX(ctaTipo,MATCH(AB881,ctaNombre,0))&amp;"",""))</f>
        <v/>
      </c>
      <c r="AE881" s="52">
        <f>IF(AC881="","",IFERROR(INDEX(ctaTipo,MATCH(AC881,ctaNombre,0))&amp;"",""))</f>
        <v/>
      </c>
      <c r="AF881" s="53">
        <f>IF(OR(P881="",AB881=""),"",IF(OR(P881="Gasto",P881="Transferencia",P881="Pago tarjeta"),-1,1)*IF(IFERROR(INDEX(ctaMoneda,MATCH(AB881,ctaNombre,0))&amp;"","DOP")="USD",T881,S881))</f>
        <v/>
      </c>
      <c r="AG881" s="53">
        <f>IF(AC881="","",IF(IFERROR(INDEX(ctaMoneda,MATCH(AC881,ctaNombre,0))&amp;"","DOP")="USD",T881,S881))</f>
        <v/>
      </c>
      <c r="AH881" s="53">
        <f>IF(P881="","",IF(AND(AD881&lt;&gt;"",COUNTIFS(tcTipo,AD881,tcLiq,"Sí")&gt;0),IF(OR(P881="Gasto",P881="Transferencia",P881="Pago tarjeta"),-1,1)*S881,0)+IF(AND(AE881&lt;&gt;"",COUNTIFS(tcTipo,AE881,tcLiq,"Sí")&gt;0),S881,0))</f>
        <v/>
      </c>
      <c r="AI881" s="52">
        <f>IF(OR(L881="",P881=""),"",IF(COUNTIFS(L$6:L881,L881,P$6:P881,"?*")=1,MAX(AI$5:AI880)+1,""))</f>
        <v/>
      </c>
    </row>
    <row r="882">
      <c r="B882" s="47" t="n"/>
      <c r="C882" s="48" t="n"/>
      <c r="D882" s="48" t="n"/>
      <c r="E882" s="48" t="n"/>
      <c r="F882" s="48" t="n"/>
      <c r="G882" s="49" t="n"/>
      <c r="H882" s="48" t="n"/>
      <c r="I882" s="50" t="n"/>
      <c r="J882" s="48" t="n"/>
      <c r="K882" s="48" t="n"/>
      <c r="L882" s="48" t="n"/>
      <c r="M882" s="48" t="n"/>
      <c r="N882" s="48" t="n"/>
      <c r="O882" s="51">
        <f>IF(AND(B882="",G882="",C882="",D882="",J882=""),"",IF(B882="","⚠ Falta fecha",IF(G882="","⚠ Falta monto",IF(Q882="","⚠ Falta cuenta",IF(ISNA(MATCH(Q882,ctaNombre,0)),"⚠ Cuenta no registrada",IF(AND(OR(P882="Gasto",P882="Reembolso"),D882=""),"⚠ Falta categoría",IF(AND(D882&lt;&gt;"",E882&lt;&gt;"",ISNA(MATCH(D882&amp;"|"&amp;E882,catClave,0))),"⚠ Subcategoría no corresponde",IF(AND(OR(P882="Transferencia",P882="Pago tarjeta"),K882=""),"⚠ Falta cuenta destino",IF(AND(K882&lt;&gt;"",P882&lt;&gt;"Transferencia",P882&lt;&gt;"Pago tarjeta"),"⚠ Destino solo aplica a transferencias",IF(AND(K882&lt;&gt;"",K882=Q882),"⚠ Origen igual a destino",IF(AND(K882&lt;&gt;"",ISNA(MATCH(K882,ctaNombre,0))),"⚠ Destino no registrado",IF(AND(P882="Pago tarjeta",AE882&lt;&gt;"Tarjeta de crédito"),"⚠ El destino debe ser tarjeta de crédito",IF(AND(P882="Gasto",E882="Depósitos y retiros"),"⚠ Usa tipo Transferencia",IF(AND(P882="Resultado trading",AD882&lt;&gt;"Cuenta de trading"),"⚠ Usa una cuenta de trading",IF(AND(G882&lt;=0,P882&lt;&gt;"Ajuste",P882&lt;&gt;"Resultado trading"),"⚠ El monto debe ser positivo","✓")))))))))))))))</f>
        <v/>
      </c>
      <c r="P882" s="52">
        <f>IF(OR(B882="",G882=""),"",IF(C882="","Gasto",C882))</f>
        <v/>
      </c>
      <c r="Q882" s="52">
        <f>IF(P882="","",IF(J882&lt;&gt;"",J882,CuentaPred&amp;""))</f>
        <v/>
      </c>
      <c r="R882" s="52">
        <f>IF(P882="","",IF(ISNUMBER(I882),I882,TasaUSD))</f>
        <v/>
      </c>
      <c r="S882" s="53">
        <f>IF(P882="","",IF(H882="USD",G882*R882,G882))</f>
        <v/>
      </c>
      <c r="T882" s="53">
        <f>IF(P882="","",IF(H882="USD",G882,IF(R882&gt;0,G882/R882,0)))</f>
        <v/>
      </c>
      <c r="U882" s="53">
        <f>IF(P882="","",IF(P882="Gasto",S882,IF(P882="Reembolso",-S882,0)))</f>
        <v/>
      </c>
      <c r="V882" s="53">
        <f>IF(P882="","",IF(P882="Ingreso",S882,0))</f>
        <v/>
      </c>
      <c r="W882" s="53">
        <f>IF(P882="","",IF(P882="Resultado trading",S882,0))</f>
        <v/>
      </c>
      <c r="X882" s="52">
        <f>IF(OR(P882="Gasto",P882="Reembolso"),IF(M882&lt;&gt;"",M882,IFERROR(INDEX(catClasif,MATCH(D882&amp;"|"&amp;E882,catClave,0))&amp;"","Variable")),"")</f>
        <v/>
      </c>
      <c r="Y882" s="52">
        <f>IF(P882="","",IFERROR(INDEX(catGrupo,MATCH(D882&amp;"|"&amp;E882,catClave,0))&amp;"",""))</f>
        <v/>
      </c>
      <c r="Z882" s="52">
        <f>IF(P882="","",WEEKDAY(B882,2))</f>
        <v/>
      </c>
      <c r="AA882" s="52">
        <f>IF(P882="","",IF(AND(P882="Gasto",X882="Variable",D882&lt;&gt;catTrading,S882&gt;0,S882&lt;=Umbral),1,0))</f>
        <v/>
      </c>
      <c r="AB882" s="52">
        <f>IF(OR(P882="",Q882=""),"",IFERROR(IF(INDEX(ctaVinc,MATCH(Q882,ctaNombre,0))&amp;""&lt;&gt;"",INDEX(ctaVinc,MATCH(Q882,ctaNombre,0))&amp;"",Q882),Q882))</f>
        <v/>
      </c>
      <c r="AC882" s="52">
        <f>IF(OR(K882="",AND(P882&lt;&gt;"Transferencia",P882&lt;&gt;"Pago tarjeta")),"",IFERROR(IF(INDEX(ctaVinc,MATCH(K882,ctaNombre,0))&amp;""&lt;&gt;"",INDEX(ctaVinc,MATCH(K882,ctaNombre,0))&amp;"",K882),K882))</f>
        <v/>
      </c>
      <c r="AD882" s="52">
        <f>IF(AB882="","",IFERROR(INDEX(ctaTipo,MATCH(AB882,ctaNombre,0))&amp;"",""))</f>
        <v/>
      </c>
      <c r="AE882" s="52">
        <f>IF(AC882="","",IFERROR(INDEX(ctaTipo,MATCH(AC882,ctaNombre,0))&amp;"",""))</f>
        <v/>
      </c>
      <c r="AF882" s="53">
        <f>IF(OR(P882="",AB882=""),"",IF(OR(P882="Gasto",P882="Transferencia",P882="Pago tarjeta"),-1,1)*IF(IFERROR(INDEX(ctaMoneda,MATCH(AB882,ctaNombre,0))&amp;"","DOP")="USD",T882,S882))</f>
        <v/>
      </c>
      <c r="AG882" s="53">
        <f>IF(AC882="","",IF(IFERROR(INDEX(ctaMoneda,MATCH(AC882,ctaNombre,0))&amp;"","DOP")="USD",T882,S882))</f>
        <v/>
      </c>
      <c r="AH882" s="53">
        <f>IF(P882="","",IF(AND(AD882&lt;&gt;"",COUNTIFS(tcTipo,AD882,tcLiq,"Sí")&gt;0),IF(OR(P882="Gasto",P882="Transferencia",P882="Pago tarjeta"),-1,1)*S882,0)+IF(AND(AE882&lt;&gt;"",COUNTIFS(tcTipo,AE882,tcLiq,"Sí")&gt;0),S882,0))</f>
        <v/>
      </c>
      <c r="AI882" s="52">
        <f>IF(OR(L882="",P882=""),"",IF(COUNTIFS(L$6:L882,L882,P$6:P882,"?*")=1,MAX(AI$5:AI881)+1,""))</f>
        <v/>
      </c>
    </row>
    <row r="883">
      <c r="B883" s="47" t="n"/>
      <c r="C883" s="48" t="n"/>
      <c r="D883" s="48" t="n"/>
      <c r="E883" s="48" t="n"/>
      <c r="F883" s="48" t="n"/>
      <c r="G883" s="49" t="n"/>
      <c r="H883" s="48" t="n"/>
      <c r="I883" s="50" t="n"/>
      <c r="J883" s="48" t="n"/>
      <c r="K883" s="48" t="n"/>
      <c r="L883" s="48" t="n"/>
      <c r="M883" s="48" t="n"/>
      <c r="N883" s="48" t="n"/>
      <c r="O883" s="51">
        <f>IF(AND(B883="",G883="",C883="",D883="",J883=""),"",IF(B883="","⚠ Falta fecha",IF(G883="","⚠ Falta monto",IF(Q883="","⚠ Falta cuenta",IF(ISNA(MATCH(Q883,ctaNombre,0)),"⚠ Cuenta no registrada",IF(AND(OR(P883="Gasto",P883="Reembolso"),D883=""),"⚠ Falta categoría",IF(AND(D883&lt;&gt;"",E883&lt;&gt;"",ISNA(MATCH(D883&amp;"|"&amp;E883,catClave,0))),"⚠ Subcategoría no corresponde",IF(AND(OR(P883="Transferencia",P883="Pago tarjeta"),K883=""),"⚠ Falta cuenta destino",IF(AND(K883&lt;&gt;"",P883&lt;&gt;"Transferencia",P883&lt;&gt;"Pago tarjeta"),"⚠ Destino solo aplica a transferencias",IF(AND(K883&lt;&gt;"",K883=Q883),"⚠ Origen igual a destino",IF(AND(K883&lt;&gt;"",ISNA(MATCH(K883,ctaNombre,0))),"⚠ Destino no registrado",IF(AND(P883="Pago tarjeta",AE883&lt;&gt;"Tarjeta de crédito"),"⚠ El destino debe ser tarjeta de crédito",IF(AND(P883="Gasto",E883="Depósitos y retiros"),"⚠ Usa tipo Transferencia",IF(AND(P883="Resultado trading",AD883&lt;&gt;"Cuenta de trading"),"⚠ Usa una cuenta de trading",IF(AND(G883&lt;=0,P883&lt;&gt;"Ajuste",P883&lt;&gt;"Resultado trading"),"⚠ El monto debe ser positivo","✓")))))))))))))))</f>
        <v/>
      </c>
      <c r="P883" s="52">
        <f>IF(OR(B883="",G883=""),"",IF(C883="","Gasto",C883))</f>
        <v/>
      </c>
      <c r="Q883" s="52">
        <f>IF(P883="","",IF(J883&lt;&gt;"",J883,CuentaPred&amp;""))</f>
        <v/>
      </c>
      <c r="R883" s="52">
        <f>IF(P883="","",IF(ISNUMBER(I883),I883,TasaUSD))</f>
        <v/>
      </c>
      <c r="S883" s="53">
        <f>IF(P883="","",IF(H883="USD",G883*R883,G883))</f>
        <v/>
      </c>
      <c r="T883" s="53">
        <f>IF(P883="","",IF(H883="USD",G883,IF(R883&gt;0,G883/R883,0)))</f>
        <v/>
      </c>
      <c r="U883" s="53">
        <f>IF(P883="","",IF(P883="Gasto",S883,IF(P883="Reembolso",-S883,0)))</f>
        <v/>
      </c>
      <c r="V883" s="53">
        <f>IF(P883="","",IF(P883="Ingreso",S883,0))</f>
        <v/>
      </c>
      <c r="W883" s="53">
        <f>IF(P883="","",IF(P883="Resultado trading",S883,0))</f>
        <v/>
      </c>
      <c r="X883" s="52">
        <f>IF(OR(P883="Gasto",P883="Reembolso"),IF(M883&lt;&gt;"",M883,IFERROR(INDEX(catClasif,MATCH(D883&amp;"|"&amp;E883,catClave,0))&amp;"","Variable")),"")</f>
        <v/>
      </c>
      <c r="Y883" s="52">
        <f>IF(P883="","",IFERROR(INDEX(catGrupo,MATCH(D883&amp;"|"&amp;E883,catClave,0))&amp;"",""))</f>
        <v/>
      </c>
      <c r="Z883" s="52">
        <f>IF(P883="","",WEEKDAY(B883,2))</f>
        <v/>
      </c>
      <c r="AA883" s="52">
        <f>IF(P883="","",IF(AND(P883="Gasto",X883="Variable",D883&lt;&gt;catTrading,S883&gt;0,S883&lt;=Umbral),1,0))</f>
        <v/>
      </c>
      <c r="AB883" s="52">
        <f>IF(OR(P883="",Q883=""),"",IFERROR(IF(INDEX(ctaVinc,MATCH(Q883,ctaNombre,0))&amp;""&lt;&gt;"",INDEX(ctaVinc,MATCH(Q883,ctaNombre,0))&amp;"",Q883),Q883))</f>
        <v/>
      </c>
      <c r="AC883" s="52">
        <f>IF(OR(K883="",AND(P883&lt;&gt;"Transferencia",P883&lt;&gt;"Pago tarjeta")),"",IFERROR(IF(INDEX(ctaVinc,MATCH(K883,ctaNombre,0))&amp;""&lt;&gt;"",INDEX(ctaVinc,MATCH(K883,ctaNombre,0))&amp;"",K883),K883))</f>
        <v/>
      </c>
      <c r="AD883" s="52">
        <f>IF(AB883="","",IFERROR(INDEX(ctaTipo,MATCH(AB883,ctaNombre,0))&amp;"",""))</f>
        <v/>
      </c>
      <c r="AE883" s="52">
        <f>IF(AC883="","",IFERROR(INDEX(ctaTipo,MATCH(AC883,ctaNombre,0))&amp;"",""))</f>
        <v/>
      </c>
      <c r="AF883" s="53">
        <f>IF(OR(P883="",AB883=""),"",IF(OR(P883="Gasto",P883="Transferencia",P883="Pago tarjeta"),-1,1)*IF(IFERROR(INDEX(ctaMoneda,MATCH(AB883,ctaNombre,0))&amp;"","DOP")="USD",T883,S883))</f>
        <v/>
      </c>
      <c r="AG883" s="53">
        <f>IF(AC883="","",IF(IFERROR(INDEX(ctaMoneda,MATCH(AC883,ctaNombre,0))&amp;"","DOP")="USD",T883,S883))</f>
        <v/>
      </c>
      <c r="AH883" s="53">
        <f>IF(P883="","",IF(AND(AD883&lt;&gt;"",COUNTIFS(tcTipo,AD883,tcLiq,"Sí")&gt;0),IF(OR(P883="Gasto",P883="Transferencia",P883="Pago tarjeta"),-1,1)*S883,0)+IF(AND(AE883&lt;&gt;"",COUNTIFS(tcTipo,AE883,tcLiq,"Sí")&gt;0),S883,0))</f>
        <v/>
      </c>
      <c r="AI883" s="52">
        <f>IF(OR(L883="",P883=""),"",IF(COUNTIFS(L$6:L883,L883,P$6:P883,"?*")=1,MAX(AI$5:AI882)+1,""))</f>
        <v/>
      </c>
    </row>
    <row r="884">
      <c r="B884" s="47" t="n"/>
      <c r="C884" s="48" t="n"/>
      <c r="D884" s="48" t="n"/>
      <c r="E884" s="48" t="n"/>
      <c r="F884" s="48" t="n"/>
      <c r="G884" s="49" t="n"/>
      <c r="H884" s="48" t="n"/>
      <c r="I884" s="50" t="n"/>
      <c r="J884" s="48" t="n"/>
      <c r="K884" s="48" t="n"/>
      <c r="L884" s="48" t="n"/>
      <c r="M884" s="48" t="n"/>
      <c r="N884" s="48" t="n"/>
      <c r="O884" s="51">
        <f>IF(AND(B884="",G884="",C884="",D884="",J884=""),"",IF(B884="","⚠ Falta fecha",IF(G884="","⚠ Falta monto",IF(Q884="","⚠ Falta cuenta",IF(ISNA(MATCH(Q884,ctaNombre,0)),"⚠ Cuenta no registrada",IF(AND(OR(P884="Gasto",P884="Reembolso"),D884=""),"⚠ Falta categoría",IF(AND(D884&lt;&gt;"",E884&lt;&gt;"",ISNA(MATCH(D884&amp;"|"&amp;E884,catClave,0))),"⚠ Subcategoría no corresponde",IF(AND(OR(P884="Transferencia",P884="Pago tarjeta"),K884=""),"⚠ Falta cuenta destino",IF(AND(K884&lt;&gt;"",P884&lt;&gt;"Transferencia",P884&lt;&gt;"Pago tarjeta"),"⚠ Destino solo aplica a transferencias",IF(AND(K884&lt;&gt;"",K884=Q884),"⚠ Origen igual a destino",IF(AND(K884&lt;&gt;"",ISNA(MATCH(K884,ctaNombre,0))),"⚠ Destino no registrado",IF(AND(P884="Pago tarjeta",AE884&lt;&gt;"Tarjeta de crédito"),"⚠ El destino debe ser tarjeta de crédito",IF(AND(P884="Gasto",E884="Depósitos y retiros"),"⚠ Usa tipo Transferencia",IF(AND(P884="Resultado trading",AD884&lt;&gt;"Cuenta de trading"),"⚠ Usa una cuenta de trading",IF(AND(G884&lt;=0,P884&lt;&gt;"Ajuste",P884&lt;&gt;"Resultado trading"),"⚠ El monto debe ser positivo","✓")))))))))))))))</f>
        <v/>
      </c>
      <c r="P884" s="52">
        <f>IF(OR(B884="",G884=""),"",IF(C884="","Gasto",C884))</f>
        <v/>
      </c>
      <c r="Q884" s="52">
        <f>IF(P884="","",IF(J884&lt;&gt;"",J884,CuentaPred&amp;""))</f>
        <v/>
      </c>
      <c r="R884" s="52">
        <f>IF(P884="","",IF(ISNUMBER(I884),I884,TasaUSD))</f>
        <v/>
      </c>
      <c r="S884" s="53">
        <f>IF(P884="","",IF(H884="USD",G884*R884,G884))</f>
        <v/>
      </c>
      <c r="T884" s="53">
        <f>IF(P884="","",IF(H884="USD",G884,IF(R884&gt;0,G884/R884,0)))</f>
        <v/>
      </c>
      <c r="U884" s="53">
        <f>IF(P884="","",IF(P884="Gasto",S884,IF(P884="Reembolso",-S884,0)))</f>
        <v/>
      </c>
      <c r="V884" s="53">
        <f>IF(P884="","",IF(P884="Ingreso",S884,0))</f>
        <v/>
      </c>
      <c r="W884" s="53">
        <f>IF(P884="","",IF(P884="Resultado trading",S884,0))</f>
        <v/>
      </c>
      <c r="X884" s="52">
        <f>IF(OR(P884="Gasto",P884="Reembolso"),IF(M884&lt;&gt;"",M884,IFERROR(INDEX(catClasif,MATCH(D884&amp;"|"&amp;E884,catClave,0))&amp;"","Variable")),"")</f>
        <v/>
      </c>
      <c r="Y884" s="52">
        <f>IF(P884="","",IFERROR(INDEX(catGrupo,MATCH(D884&amp;"|"&amp;E884,catClave,0))&amp;"",""))</f>
        <v/>
      </c>
      <c r="Z884" s="52">
        <f>IF(P884="","",WEEKDAY(B884,2))</f>
        <v/>
      </c>
      <c r="AA884" s="52">
        <f>IF(P884="","",IF(AND(P884="Gasto",X884="Variable",D884&lt;&gt;catTrading,S884&gt;0,S884&lt;=Umbral),1,0))</f>
        <v/>
      </c>
      <c r="AB884" s="52">
        <f>IF(OR(P884="",Q884=""),"",IFERROR(IF(INDEX(ctaVinc,MATCH(Q884,ctaNombre,0))&amp;""&lt;&gt;"",INDEX(ctaVinc,MATCH(Q884,ctaNombre,0))&amp;"",Q884),Q884))</f>
        <v/>
      </c>
      <c r="AC884" s="52">
        <f>IF(OR(K884="",AND(P884&lt;&gt;"Transferencia",P884&lt;&gt;"Pago tarjeta")),"",IFERROR(IF(INDEX(ctaVinc,MATCH(K884,ctaNombre,0))&amp;""&lt;&gt;"",INDEX(ctaVinc,MATCH(K884,ctaNombre,0))&amp;"",K884),K884))</f>
        <v/>
      </c>
      <c r="AD884" s="52">
        <f>IF(AB884="","",IFERROR(INDEX(ctaTipo,MATCH(AB884,ctaNombre,0))&amp;"",""))</f>
        <v/>
      </c>
      <c r="AE884" s="52">
        <f>IF(AC884="","",IFERROR(INDEX(ctaTipo,MATCH(AC884,ctaNombre,0))&amp;"",""))</f>
        <v/>
      </c>
      <c r="AF884" s="53">
        <f>IF(OR(P884="",AB884=""),"",IF(OR(P884="Gasto",P884="Transferencia",P884="Pago tarjeta"),-1,1)*IF(IFERROR(INDEX(ctaMoneda,MATCH(AB884,ctaNombre,0))&amp;"","DOP")="USD",T884,S884))</f>
        <v/>
      </c>
      <c r="AG884" s="53">
        <f>IF(AC884="","",IF(IFERROR(INDEX(ctaMoneda,MATCH(AC884,ctaNombre,0))&amp;"","DOP")="USD",T884,S884))</f>
        <v/>
      </c>
      <c r="AH884" s="53">
        <f>IF(P884="","",IF(AND(AD884&lt;&gt;"",COUNTIFS(tcTipo,AD884,tcLiq,"Sí")&gt;0),IF(OR(P884="Gasto",P884="Transferencia",P884="Pago tarjeta"),-1,1)*S884,0)+IF(AND(AE884&lt;&gt;"",COUNTIFS(tcTipo,AE884,tcLiq,"Sí")&gt;0),S884,0))</f>
        <v/>
      </c>
      <c r="AI884" s="52">
        <f>IF(OR(L884="",P884=""),"",IF(COUNTIFS(L$6:L884,L884,P$6:P884,"?*")=1,MAX(AI$5:AI883)+1,""))</f>
        <v/>
      </c>
    </row>
    <row r="885">
      <c r="B885" s="47" t="n"/>
      <c r="C885" s="48" t="n"/>
      <c r="D885" s="48" t="n"/>
      <c r="E885" s="48" t="n"/>
      <c r="F885" s="48" t="n"/>
      <c r="G885" s="49" t="n"/>
      <c r="H885" s="48" t="n"/>
      <c r="I885" s="50" t="n"/>
      <c r="J885" s="48" t="n"/>
      <c r="K885" s="48" t="n"/>
      <c r="L885" s="48" t="n"/>
      <c r="M885" s="48" t="n"/>
      <c r="N885" s="48" t="n"/>
      <c r="O885" s="51">
        <f>IF(AND(B885="",G885="",C885="",D885="",J885=""),"",IF(B885="","⚠ Falta fecha",IF(G885="","⚠ Falta monto",IF(Q885="","⚠ Falta cuenta",IF(ISNA(MATCH(Q885,ctaNombre,0)),"⚠ Cuenta no registrada",IF(AND(OR(P885="Gasto",P885="Reembolso"),D885=""),"⚠ Falta categoría",IF(AND(D885&lt;&gt;"",E885&lt;&gt;"",ISNA(MATCH(D885&amp;"|"&amp;E885,catClave,0))),"⚠ Subcategoría no corresponde",IF(AND(OR(P885="Transferencia",P885="Pago tarjeta"),K885=""),"⚠ Falta cuenta destino",IF(AND(K885&lt;&gt;"",P885&lt;&gt;"Transferencia",P885&lt;&gt;"Pago tarjeta"),"⚠ Destino solo aplica a transferencias",IF(AND(K885&lt;&gt;"",K885=Q885),"⚠ Origen igual a destino",IF(AND(K885&lt;&gt;"",ISNA(MATCH(K885,ctaNombre,0))),"⚠ Destino no registrado",IF(AND(P885="Pago tarjeta",AE885&lt;&gt;"Tarjeta de crédito"),"⚠ El destino debe ser tarjeta de crédito",IF(AND(P885="Gasto",E885="Depósitos y retiros"),"⚠ Usa tipo Transferencia",IF(AND(P885="Resultado trading",AD885&lt;&gt;"Cuenta de trading"),"⚠ Usa una cuenta de trading",IF(AND(G885&lt;=0,P885&lt;&gt;"Ajuste",P885&lt;&gt;"Resultado trading"),"⚠ El monto debe ser positivo","✓")))))))))))))))</f>
        <v/>
      </c>
      <c r="P885" s="52">
        <f>IF(OR(B885="",G885=""),"",IF(C885="","Gasto",C885))</f>
        <v/>
      </c>
      <c r="Q885" s="52">
        <f>IF(P885="","",IF(J885&lt;&gt;"",J885,CuentaPred&amp;""))</f>
        <v/>
      </c>
      <c r="R885" s="52">
        <f>IF(P885="","",IF(ISNUMBER(I885),I885,TasaUSD))</f>
        <v/>
      </c>
      <c r="S885" s="53">
        <f>IF(P885="","",IF(H885="USD",G885*R885,G885))</f>
        <v/>
      </c>
      <c r="T885" s="53">
        <f>IF(P885="","",IF(H885="USD",G885,IF(R885&gt;0,G885/R885,0)))</f>
        <v/>
      </c>
      <c r="U885" s="53">
        <f>IF(P885="","",IF(P885="Gasto",S885,IF(P885="Reembolso",-S885,0)))</f>
        <v/>
      </c>
      <c r="V885" s="53">
        <f>IF(P885="","",IF(P885="Ingreso",S885,0))</f>
        <v/>
      </c>
      <c r="W885" s="53">
        <f>IF(P885="","",IF(P885="Resultado trading",S885,0))</f>
        <v/>
      </c>
      <c r="X885" s="52">
        <f>IF(OR(P885="Gasto",P885="Reembolso"),IF(M885&lt;&gt;"",M885,IFERROR(INDEX(catClasif,MATCH(D885&amp;"|"&amp;E885,catClave,0))&amp;"","Variable")),"")</f>
        <v/>
      </c>
      <c r="Y885" s="52">
        <f>IF(P885="","",IFERROR(INDEX(catGrupo,MATCH(D885&amp;"|"&amp;E885,catClave,0))&amp;"",""))</f>
        <v/>
      </c>
      <c r="Z885" s="52">
        <f>IF(P885="","",WEEKDAY(B885,2))</f>
        <v/>
      </c>
      <c r="AA885" s="52">
        <f>IF(P885="","",IF(AND(P885="Gasto",X885="Variable",D885&lt;&gt;catTrading,S885&gt;0,S885&lt;=Umbral),1,0))</f>
        <v/>
      </c>
      <c r="AB885" s="52">
        <f>IF(OR(P885="",Q885=""),"",IFERROR(IF(INDEX(ctaVinc,MATCH(Q885,ctaNombre,0))&amp;""&lt;&gt;"",INDEX(ctaVinc,MATCH(Q885,ctaNombre,0))&amp;"",Q885),Q885))</f>
        <v/>
      </c>
      <c r="AC885" s="52">
        <f>IF(OR(K885="",AND(P885&lt;&gt;"Transferencia",P885&lt;&gt;"Pago tarjeta")),"",IFERROR(IF(INDEX(ctaVinc,MATCH(K885,ctaNombre,0))&amp;""&lt;&gt;"",INDEX(ctaVinc,MATCH(K885,ctaNombre,0))&amp;"",K885),K885))</f>
        <v/>
      </c>
      <c r="AD885" s="52">
        <f>IF(AB885="","",IFERROR(INDEX(ctaTipo,MATCH(AB885,ctaNombre,0))&amp;"",""))</f>
        <v/>
      </c>
      <c r="AE885" s="52">
        <f>IF(AC885="","",IFERROR(INDEX(ctaTipo,MATCH(AC885,ctaNombre,0))&amp;"",""))</f>
        <v/>
      </c>
      <c r="AF885" s="53">
        <f>IF(OR(P885="",AB885=""),"",IF(OR(P885="Gasto",P885="Transferencia",P885="Pago tarjeta"),-1,1)*IF(IFERROR(INDEX(ctaMoneda,MATCH(AB885,ctaNombre,0))&amp;"","DOP")="USD",T885,S885))</f>
        <v/>
      </c>
      <c r="AG885" s="53">
        <f>IF(AC885="","",IF(IFERROR(INDEX(ctaMoneda,MATCH(AC885,ctaNombre,0))&amp;"","DOP")="USD",T885,S885))</f>
        <v/>
      </c>
      <c r="AH885" s="53">
        <f>IF(P885="","",IF(AND(AD885&lt;&gt;"",COUNTIFS(tcTipo,AD885,tcLiq,"Sí")&gt;0),IF(OR(P885="Gasto",P885="Transferencia",P885="Pago tarjeta"),-1,1)*S885,0)+IF(AND(AE885&lt;&gt;"",COUNTIFS(tcTipo,AE885,tcLiq,"Sí")&gt;0),S885,0))</f>
        <v/>
      </c>
      <c r="AI885" s="52">
        <f>IF(OR(L885="",P885=""),"",IF(COUNTIFS(L$6:L885,L885,P$6:P885,"?*")=1,MAX(AI$5:AI884)+1,""))</f>
        <v/>
      </c>
    </row>
    <row r="886">
      <c r="B886" s="47" t="n"/>
      <c r="C886" s="48" t="n"/>
      <c r="D886" s="48" t="n"/>
      <c r="E886" s="48" t="n"/>
      <c r="F886" s="48" t="n"/>
      <c r="G886" s="49" t="n"/>
      <c r="H886" s="48" t="n"/>
      <c r="I886" s="50" t="n"/>
      <c r="J886" s="48" t="n"/>
      <c r="K886" s="48" t="n"/>
      <c r="L886" s="48" t="n"/>
      <c r="M886" s="48" t="n"/>
      <c r="N886" s="48" t="n"/>
      <c r="O886" s="51">
        <f>IF(AND(B886="",G886="",C886="",D886="",J886=""),"",IF(B886="","⚠ Falta fecha",IF(G886="","⚠ Falta monto",IF(Q886="","⚠ Falta cuenta",IF(ISNA(MATCH(Q886,ctaNombre,0)),"⚠ Cuenta no registrada",IF(AND(OR(P886="Gasto",P886="Reembolso"),D886=""),"⚠ Falta categoría",IF(AND(D886&lt;&gt;"",E886&lt;&gt;"",ISNA(MATCH(D886&amp;"|"&amp;E886,catClave,0))),"⚠ Subcategoría no corresponde",IF(AND(OR(P886="Transferencia",P886="Pago tarjeta"),K886=""),"⚠ Falta cuenta destino",IF(AND(K886&lt;&gt;"",P886&lt;&gt;"Transferencia",P886&lt;&gt;"Pago tarjeta"),"⚠ Destino solo aplica a transferencias",IF(AND(K886&lt;&gt;"",K886=Q886),"⚠ Origen igual a destino",IF(AND(K886&lt;&gt;"",ISNA(MATCH(K886,ctaNombre,0))),"⚠ Destino no registrado",IF(AND(P886="Pago tarjeta",AE886&lt;&gt;"Tarjeta de crédito"),"⚠ El destino debe ser tarjeta de crédito",IF(AND(P886="Gasto",E886="Depósitos y retiros"),"⚠ Usa tipo Transferencia",IF(AND(P886="Resultado trading",AD886&lt;&gt;"Cuenta de trading"),"⚠ Usa una cuenta de trading",IF(AND(G886&lt;=0,P886&lt;&gt;"Ajuste",P886&lt;&gt;"Resultado trading"),"⚠ El monto debe ser positivo","✓")))))))))))))))</f>
        <v/>
      </c>
      <c r="P886" s="52">
        <f>IF(OR(B886="",G886=""),"",IF(C886="","Gasto",C886))</f>
        <v/>
      </c>
      <c r="Q886" s="52">
        <f>IF(P886="","",IF(J886&lt;&gt;"",J886,CuentaPred&amp;""))</f>
        <v/>
      </c>
      <c r="R886" s="52">
        <f>IF(P886="","",IF(ISNUMBER(I886),I886,TasaUSD))</f>
        <v/>
      </c>
      <c r="S886" s="53">
        <f>IF(P886="","",IF(H886="USD",G886*R886,G886))</f>
        <v/>
      </c>
      <c r="T886" s="53">
        <f>IF(P886="","",IF(H886="USD",G886,IF(R886&gt;0,G886/R886,0)))</f>
        <v/>
      </c>
      <c r="U886" s="53">
        <f>IF(P886="","",IF(P886="Gasto",S886,IF(P886="Reembolso",-S886,0)))</f>
        <v/>
      </c>
      <c r="V886" s="53">
        <f>IF(P886="","",IF(P886="Ingreso",S886,0))</f>
        <v/>
      </c>
      <c r="W886" s="53">
        <f>IF(P886="","",IF(P886="Resultado trading",S886,0))</f>
        <v/>
      </c>
      <c r="X886" s="52">
        <f>IF(OR(P886="Gasto",P886="Reembolso"),IF(M886&lt;&gt;"",M886,IFERROR(INDEX(catClasif,MATCH(D886&amp;"|"&amp;E886,catClave,0))&amp;"","Variable")),"")</f>
        <v/>
      </c>
      <c r="Y886" s="52">
        <f>IF(P886="","",IFERROR(INDEX(catGrupo,MATCH(D886&amp;"|"&amp;E886,catClave,0))&amp;"",""))</f>
        <v/>
      </c>
      <c r="Z886" s="52">
        <f>IF(P886="","",WEEKDAY(B886,2))</f>
        <v/>
      </c>
      <c r="AA886" s="52">
        <f>IF(P886="","",IF(AND(P886="Gasto",X886="Variable",D886&lt;&gt;catTrading,S886&gt;0,S886&lt;=Umbral),1,0))</f>
        <v/>
      </c>
      <c r="AB886" s="52">
        <f>IF(OR(P886="",Q886=""),"",IFERROR(IF(INDEX(ctaVinc,MATCH(Q886,ctaNombre,0))&amp;""&lt;&gt;"",INDEX(ctaVinc,MATCH(Q886,ctaNombre,0))&amp;"",Q886),Q886))</f>
        <v/>
      </c>
      <c r="AC886" s="52">
        <f>IF(OR(K886="",AND(P886&lt;&gt;"Transferencia",P886&lt;&gt;"Pago tarjeta")),"",IFERROR(IF(INDEX(ctaVinc,MATCH(K886,ctaNombre,0))&amp;""&lt;&gt;"",INDEX(ctaVinc,MATCH(K886,ctaNombre,0))&amp;"",K886),K886))</f>
        <v/>
      </c>
      <c r="AD886" s="52">
        <f>IF(AB886="","",IFERROR(INDEX(ctaTipo,MATCH(AB886,ctaNombre,0))&amp;"",""))</f>
        <v/>
      </c>
      <c r="AE886" s="52">
        <f>IF(AC886="","",IFERROR(INDEX(ctaTipo,MATCH(AC886,ctaNombre,0))&amp;"",""))</f>
        <v/>
      </c>
      <c r="AF886" s="53">
        <f>IF(OR(P886="",AB886=""),"",IF(OR(P886="Gasto",P886="Transferencia",P886="Pago tarjeta"),-1,1)*IF(IFERROR(INDEX(ctaMoneda,MATCH(AB886,ctaNombre,0))&amp;"","DOP")="USD",T886,S886))</f>
        <v/>
      </c>
      <c r="AG886" s="53">
        <f>IF(AC886="","",IF(IFERROR(INDEX(ctaMoneda,MATCH(AC886,ctaNombre,0))&amp;"","DOP")="USD",T886,S886))</f>
        <v/>
      </c>
      <c r="AH886" s="53">
        <f>IF(P886="","",IF(AND(AD886&lt;&gt;"",COUNTIFS(tcTipo,AD886,tcLiq,"Sí")&gt;0),IF(OR(P886="Gasto",P886="Transferencia",P886="Pago tarjeta"),-1,1)*S886,0)+IF(AND(AE886&lt;&gt;"",COUNTIFS(tcTipo,AE886,tcLiq,"Sí")&gt;0),S886,0))</f>
        <v/>
      </c>
      <c r="AI886" s="52">
        <f>IF(OR(L886="",P886=""),"",IF(COUNTIFS(L$6:L886,L886,P$6:P886,"?*")=1,MAX(AI$5:AI885)+1,""))</f>
        <v/>
      </c>
    </row>
    <row r="887">
      <c r="B887" s="47" t="n"/>
      <c r="C887" s="48" t="n"/>
      <c r="D887" s="48" t="n"/>
      <c r="E887" s="48" t="n"/>
      <c r="F887" s="48" t="n"/>
      <c r="G887" s="49" t="n"/>
      <c r="H887" s="48" t="n"/>
      <c r="I887" s="50" t="n"/>
      <c r="J887" s="48" t="n"/>
      <c r="K887" s="48" t="n"/>
      <c r="L887" s="48" t="n"/>
      <c r="M887" s="48" t="n"/>
      <c r="N887" s="48" t="n"/>
      <c r="O887" s="51">
        <f>IF(AND(B887="",G887="",C887="",D887="",J887=""),"",IF(B887="","⚠ Falta fecha",IF(G887="","⚠ Falta monto",IF(Q887="","⚠ Falta cuenta",IF(ISNA(MATCH(Q887,ctaNombre,0)),"⚠ Cuenta no registrada",IF(AND(OR(P887="Gasto",P887="Reembolso"),D887=""),"⚠ Falta categoría",IF(AND(D887&lt;&gt;"",E887&lt;&gt;"",ISNA(MATCH(D887&amp;"|"&amp;E887,catClave,0))),"⚠ Subcategoría no corresponde",IF(AND(OR(P887="Transferencia",P887="Pago tarjeta"),K887=""),"⚠ Falta cuenta destino",IF(AND(K887&lt;&gt;"",P887&lt;&gt;"Transferencia",P887&lt;&gt;"Pago tarjeta"),"⚠ Destino solo aplica a transferencias",IF(AND(K887&lt;&gt;"",K887=Q887),"⚠ Origen igual a destino",IF(AND(K887&lt;&gt;"",ISNA(MATCH(K887,ctaNombre,0))),"⚠ Destino no registrado",IF(AND(P887="Pago tarjeta",AE887&lt;&gt;"Tarjeta de crédito"),"⚠ El destino debe ser tarjeta de crédito",IF(AND(P887="Gasto",E887="Depósitos y retiros"),"⚠ Usa tipo Transferencia",IF(AND(P887="Resultado trading",AD887&lt;&gt;"Cuenta de trading"),"⚠ Usa una cuenta de trading",IF(AND(G887&lt;=0,P887&lt;&gt;"Ajuste",P887&lt;&gt;"Resultado trading"),"⚠ El monto debe ser positivo","✓")))))))))))))))</f>
        <v/>
      </c>
      <c r="P887" s="52">
        <f>IF(OR(B887="",G887=""),"",IF(C887="","Gasto",C887))</f>
        <v/>
      </c>
      <c r="Q887" s="52">
        <f>IF(P887="","",IF(J887&lt;&gt;"",J887,CuentaPred&amp;""))</f>
        <v/>
      </c>
      <c r="R887" s="52">
        <f>IF(P887="","",IF(ISNUMBER(I887),I887,TasaUSD))</f>
        <v/>
      </c>
      <c r="S887" s="53">
        <f>IF(P887="","",IF(H887="USD",G887*R887,G887))</f>
        <v/>
      </c>
      <c r="T887" s="53">
        <f>IF(P887="","",IF(H887="USD",G887,IF(R887&gt;0,G887/R887,0)))</f>
        <v/>
      </c>
      <c r="U887" s="53">
        <f>IF(P887="","",IF(P887="Gasto",S887,IF(P887="Reembolso",-S887,0)))</f>
        <v/>
      </c>
      <c r="V887" s="53">
        <f>IF(P887="","",IF(P887="Ingreso",S887,0))</f>
        <v/>
      </c>
      <c r="W887" s="53">
        <f>IF(P887="","",IF(P887="Resultado trading",S887,0))</f>
        <v/>
      </c>
      <c r="X887" s="52">
        <f>IF(OR(P887="Gasto",P887="Reembolso"),IF(M887&lt;&gt;"",M887,IFERROR(INDEX(catClasif,MATCH(D887&amp;"|"&amp;E887,catClave,0))&amp;"","Variable")),"")</f>
        <v/>
      </c>
      <c r="Y887" s="52">
        <f>IF(P887="","",IFERROR(INDEX(catGrupo,MATCH(D887&amp;"|"&amp;E887,catClave,0))&amp;"",""))</f>
        <v/>
      </c>
      <c r="Z887" s="52">
        <f>IF(P887="","",WEEKDAY(B887,2))</f>
        <v/>
      </c>
      <c r="AA887" s="52">
        <f>IF(P887="","",IF(AND(P887="Gasto",X887="Variable",D887&lt;&gt;catTrading,S887&gt;0,S887&lt;=Umbral),1,0))</f>
        <v/>
      </c>
      <c r="AB887" s="52">
        <f>IF(OR(P887="",Q887=""),"",IFERROR(IF(INDEX(ctaVinc,MATCH(Q887,ctaNombre,0))&amp;""&lt;&gt;"",INDEX(ctaVinc,MATCH(Q887,ctaNombre,0))&amp;"",Q887),Q887))</f>
        <v/>
      </c>
      <c r="AC887" s="52">
        <f>IF(OR(K887="",AND(P887&lt;&gt;"Transferencia",P887&lt;&gt;"Pago tarjeta")),"",IFERROR(IF(INDEX(ctaVinc,MATCH(K887,ctaNombre,0))&amp;""&lt;&gt;"",INDEX(ctaVinc,MATCH(K887,ctaNombre,0))&amp;"",K887),K887))</f>
        <v/>
      </c>
      <c r="AD887" s="52">
        <f>IF(AB887="","",IFERROR(INDEX(ctaTipo,MATCH(AB887,ctaNombre,0))&amp;"",""))</f>
        <v/>
      </c>
      <c r="AE887" s="52">
        <f>IF(AC887="","",IFERROR(INDEX(ctaTipo,MATCH(AC887,ctaNombre,0))&amp;"",""))</f>
        <v/>
      </c>
      <c r="AF887" s="53">
        <f>IF(OR(P887="",AB887=""),"",IF(OR(P887="Gasto",P887="Transferencia",P887="Pago tarjeta"),-1,1)*IF(IFERROR(INDEX(ctaMoneda,MATCH(AB887,ctaNombre,0))&amp;"","DOP")="USD",T887,S887))</f>
        <v/>
      </c>
      <c r="AG887" s="53">
        <f>IF(AC887="","",IF(IFERROR(INDEX(ctaMoneda,MATCH(AC887,ctaNombre,0))&amp;"","DOP")="USD",T887,S887))</f>
        <v/>
      </c>
      <c r="AH887" s="53">
        <f>IF(P887="","",IF(AND(AD887&lt;&gt;"",COUNTIFS(tcTipo,AD887,tcLiq,"Sí")&gt;0),IF(OR(P887="Gasto",P887="Transferencia",P887="Pago tarjeta"),-1,1)*S887,0)+IF(AND(AE887&lt;&gt;"",COUNTIFS(tcTipo,AE887,tcLiq,"Sí")&gt;0),S887,0))</f>
        <v/>
      </c>
      <c r="AI887" s="52">
        <f>IF(OR(L887="",P887=""),"",IF(COUNTIFS(L$6:L887,L887,P$6:P887,"?*")=1,MAX(AI$5:AI886)+1,""))</f>
        <v/>
      </c>
    </row>
    <row r="888">
      <c r="B888" s="47" t="n"/>
      <c r="C888" s="48" t="n"/>
      <c r="D888" s="48" t="n"/>
      <c r="E888" s="48" t="n"/>
      <c r="F888" s="48" t="n"/>
      <c r="G888" s="49" t="n"/>
      <c r="H888" s="48" t="n"/>
      <c r="I888" s="50" t="n"/>
      <c r="J888" s="48" t="n"/>
      <c r="K888" s="48" t="n"/>
      <c r="L888" s="48" t="n"/>
      <c r="M888" s="48" t="n"/>
      <c r="N888" s="48" t="n"/>
      <c r="O888" s="51">
        <f>IF(AND(B888="",G888="",C888="",D888="",J888=""),"",IF(B888="","⚠ Falta fecha",IF(G888="","⚠ Falta monto",IF(Q888="","⚠ Falta cuenta",IF(ISNA(MATCH(Q888,ctaNombre,0)),"⚠ Cuenta no registrada",IF(AND(OR(P888="Gasto",P888="Reembolso"),D888=""),"⚠ Falta categoría",IF(AND(D888&lt;&gt;"",E888&lt;&gt;"",ISNA(MATCH(D888&amp;"|"&amp;E888,catClave,0))),"⚠ Subcategoría no corresponde",IF(AND(OR(P888="Transferencia",P888="Pago tarjeta"),K888=""),"⚠ Falta cuenta destino",IF(AND(K888&lt;&gt;"",P888&lt;&gt;"Transferencia",P888&lt;&gt;"Pago tarjeta"),"⚠ Destino solo aplica a transferencias",IF(AND(K888&lt;&gt;"",K888=Q888),"⚠ Origen igual a destino",IF(AND(K888&lt;&gt;"",ISNA(MATCH(K888,ctaNombre,0))),"⚠ Destino no registrado",IF(AND(P888="Pago tarjeta",AE888&lt;&gt;"Tarjeta de crédito"),"⚠ El destino debe ser tarjeta de crédito",IF(AND(P888="Gasto",E888="Depósitos y retiros"),"⚠ Usa tipo Transferencia",IF(AND(P888="Resultado trading",AD888&lt;&gt;"Cuenta de trading"),"⚠ Usa una cuenta de trading",IF(AND(G888&lt;=0,P888&lt;&gt;"Ajuste",P888&lt;&gt;"Resultado trading"),"⚠ El monto debe ser positivo","✓")))))))))))))))</f>
        <v/>
      </c>
      <c r="P888" s="52">
        <f>IF(OR(B888="",G888=""),"",IF(C888="","Gasto",C888))</f>
        <v/>
      </c>
      <c r="Q888" s="52">
        <f>IF(P888="","",IF(J888&lt;&gt;"",J888,CuentaPred&amp;""))</f>
        <v/>
      </c>
      <c r="R888" s="52">
        <f>IF(P888="","",IF(ISNUMBER(I888),I888,TasaUSD))</f>
        <v/>
      </c>
      <c r="S888" s="53">
        <f>IF(P888="","",IF(H888="USD",G888*R888,G888))</f>
        <v/>
      </c>
      <c r="T888" s="53">
        <f>IF(P888="","",IF(H888="USD",G888,IF(R888&gt;0,G888/R888,0)))</f>
        <v/>
      </c>
      <c r="U888" s="53">
        <f>IF(P888="","",IF(P888="Gasto",S888,IF(P888="Reembolso",-S888,0)))</f>
        <v/>
      </c>
      <c r="V888" s="53">
        <f>IF(P888="","",IF(P888="Ingreso",S888,0))</f>
        <v/>
      </c>
      <c r="W888" s="53">
        <f>IF(P888="","",IF(P888="Resultado trading",S888,0))</f>
        <v/>
      </c>
      <c r="X888" s="52">
        <f>IF(OR(P888="Gasto",P888="Reembolso"),IF(M888&lt;&gt;"",M888,IFERROR(INDEX(catClasif,MATCH(D888&amp;"|"&amp;E888,catClave,0))&amp;"","Variable")),"")</f>
        <v/>
      </c>
      <c r="Y888" s="52">
        <f>IF(P888="","",IFERROR(INDEX(catGrupo,MATCH(D888&amp;"|"&amp;E888,catClave,0))&amp;"",""))</f>
        <v/>
      </c>
      <c r="Z888" s="52">
        <f>IF(P888="","",WEEKDAY(B888,2))</f>
        <v/>
      </c>
      <c r="AA888" s="52">
        <f>IF(P888="","",IF(AND(P888="Gasto",X888="Variable",D888&lt;&gt;catTrading,S888&gt;0,S888&lt;=Umbral),1,0))</f>
        <v/>
      </c>
      <c r="AB888" s="52">
        <f>IF(OR(P888="",Q888=""),"",IFERROR(IF(INDEX(ctaVinc,MATCH(Q888,ctaNombre,0))&amp;""&lt;&gt;"",INDEX(ctaVinc,MATCH(Q888,ctaNombre,0))&amp;"",Q888),Q888))</f>
        <v/>
      </c>
      <c r="AC888" s="52">
        <f>IF(OR(K888="",AND(P888&lt;&gt;"Transferencia",P888&lt;&gt;"Pago tarjeta")),"",IFERROR(IF(INDEX(ctaVinc,MATCH(K888,ctaNombre,0))&amp;""&lt;&gt;"",INDEX(ctaVinc,MATCH(K888,ctaNombre,0))&amp;"",K888),K888))</f>
        <v/>
      </c>
      <c r="AD888" s="52">
        <f>IF(AB888="","",IFERROR(INDEX(ctaTipo,MATCH(AB888,ctaNombre,0))&amp;"",""))</f>
        <v/>
      </c>
      <c r="AE888" s="52">
        <f>IF(AC888="","",IFERROR(INDEX(ctaTipo,MATCH(AC888,ctaNombre,0))&amp;"",""))</f>
        <v/>
      </c>
      <c r="AF888" s="53">
        <f>IF(OR(P888="",AB888=""),"",IF(OR(P888="Gasto",P888="Transferencia",P888="Pago tarjeta"),-1,1)*IF(IFERROR(INDEX(ctaMoneda,MATCH(AB888,ctaNombre,0))&amp;"","DOP")="USD",T888,S888))</f>
        <v/>
      </c>
      <c r="AG888" s="53">
        <f>IF(AC888="","",IF(IFERROR(INDEX(ctaMoneda,MATCH(AC888,ctaNombre,0))&amp;"","DOP")="USD",T888,S888))</f>
        <v/>
      </c>
      <c r="AH888" s="53">
        <f>IF(P888="","",IF(AND(AD888&lt;&gt;"",COUNTIFS(tcTipo,AD888,tcLiq,"Sí")&gt;0),IF(OR(P888="Gasto",P888="Transferencia",P888="Pago tarjeta"),-1,1)*S888,0)+IF(AND(AE888&lt;&gt;"",COUNTIFS(tcTipo,AE888,tcLiq,"Sí")&gt;0),S888,0))</f>
        <v/>
      </c>
      <c r="AI888" s="52">
        <f>IF(OR(L888="",P888=""),"",IF(COUNTIFS(L$6:L888,L888,P$6:P888,"?*")=1,MAX(AI$5:AI887)+1,""))</f>
        <v/>
      </c>
    </row>
    <row r="889">
      <c r="B889" s="47" t="n"/>
      <c r="C889" s="48" t="n"/>
      <c r="D889" s="48" t="n"/>
      <c r="E889" s="48" t="n"/>
      <c r="F889" s="48" t="n"/>
      <c r="G889" s="49" t="n"/>
      <c r="H889" s="48" t="n"/>
      <c r="I889" s="50" t="n"/>
      <c r="J889" s="48" t="n"/>
      <c r="K889" s="48" t="n"/>
      <c r="L889" s="48" t="n"/>
      <c r="M889" s="48" t="n"/>
      <c r="N889" s="48" t="n"/>
      <c r="O889" s="51">
        <f>IF(AND(B889="",G889="",C889="",D889="",J889=""),"",IF(B889="","⚠ Falta fecha",IF(G889="","⚠ Falta monto",IF(Q889="","⚠ Falta cuenta",IF(ISNA(MATCH(Q889,ctaNombre,0)),"⚠ Cuenta no registrada",IF(AND(OR(P889="Gasto",P889="Reembolso"),D889=""),"⚠ Falta categoría",IF(AND(D889&lt;&gt;"",E889&lt;&gt;"",ISNA(MATCH(D889&amp;"|"&amp;E889,catClave,0))),"⚠ Subcategoría no corresponde",IF(AND(OR(P889="Transferencia",P889="Pago tarjeta"),K889=""),"⚠ Falta cuenta destino",IF(AND(K889&lt;&gt;"",P889&lt;&gt;"Transferencia",P889&lt;&gt;"Pago tarjeta"),"⚠ Destino solo aplica a transferencias",IF(AND(K889&lt;&gt;"",K889=Q889),"⚠ Origen igual a destino",IF(AND(K889&lt;&gt;"",ISNA(MATCH(K889,ctaNombre,0))),"⚠ Destino no registrado",IF(AND(P889="Pago tarjeta",AE889&lt;&gt;"Tarjeta de crédito"),"⚠ El destino debe ser tarjeta de crédito",IF(AND(P889="Gasto",E889="Depósitos y retiros"),"⚠ Usa tipo Transferencia",IF(AND(P889="Resultado trading",AD889&lt;&gt;"Cuenta de trading"),"⚠ Usa una cuenta de trading",IF(AND(G889&lt;=0,P889&lt;&gt;"Ajuste",P889&lt;&gt;"Resultado trading"),"⚠ El monto debe ser positivo","✓")))))))))))))))</f>
        <v/>
      </c>
      <c r="P889" s="52">
        <f>IF(OR(B889="",G889=""),"",IF(C889="","Gasto",C889))</f>
        <v/>
      </c>
      <c r="Q889" s="52">
        <f>IF(P889="","",IF(J889&lt;&gt;"",J889,CuentaPred&amp;""))</f>
        <v/>
      </c>
      <c r="R889" s="52">
        <f>IF(P889="","",IF(ISNUMBER(I889),I889,TasaUSD))</f>
        <v/>
      </c>
      <c r="S889" s="53">
        <f>IF(P889="","",IF(H889="USD",G889*R889,G889))</f>
        <v/>
      </c>
      <c r="T889" s="53">
        <f>IF(P889="","",IF(H889="USD",G889,IF(R889&gt;0,G889/R889,0)))</f>
        <v/>
      </c>
      <c r="U889" s="53">
        <f>IF(P889="","",IF(P889="Gasto",S889,IF(P889="Reembolso",-S889,0)))</f>
        <v/>
      </c>
      <c r="V889" s="53">
        <f>IF(P889="","",IF(P889="Ingreso",S889,0))</f>
        <v/>
      </c>
      <c r="W889" s="53">
        <f>IF(P889="","",IF(P889="Resultado trading",S889,0))</f>
        <v/>
      </c>
      <c r="X889" s="52">
        <f>IF(OR(P889="Gasto",P889="Reembolso"),IF(M889&lt;&gt;"",M889,IFERROR(INDEX(catClasif,MATCH(D889&amp;"|"&amp;E889,catClave,0))&amp;"","Variable")),"")</f>
        <v/>
      </c>
      <c r="Y889" s="52">
        <f>IF(P889="","",IFERROR(INDEX(catGrupo,MATCH(D889&amp;"|"&amp;E889,catClave,0))&amp;"",""))</f>
        <v/>
      </c>
      <c r="Z889" s="52">
        <f>IF(P889="","",WEEKDAY(B889,2))</f>
        <v/>
      </c>
      <c r="AA889" s="52">
        <f>IF(P889="","",IF(AND(P889="Gasto",X889="Variable",D889&lt;&gt;catTrading,S889&gt;0,S889&lt;=Umbral),1,0))</f>
        <v/>
      </c>
      <c r="AB889" s="52">
        <f>IF(OR(P889="",Q889=""),"",IFERROR(IF(INDEX(ctaVinc,MATCH(Q889,ctaNombre,0))&amp;""&lt;&gt;"",INDEX(ctaVinc,MATCH(Q889,ctaNombre,0))&amp;"",Q889),Q889))</f>
        <v/>
      </c>
      <c r="AC889" s="52">
        <f>IF(OR(K889="",AND(P889&lt;&gt;"Transferencia",P889&lt;&gt;"Pago tarjeta")),"",IFERROR(IF(INDEX(ctaVinc,MATCH(K889,ctaNombre,0))&amp;""&lt;&gt;"",INDEX(ctaVinc,MATCH(K889,ctaNombre,0))&amp;"",K889),K889))</f>
        <v/>
      </c>
      <c r="AD889" s="52">
        <f>IF(AB889="","",IFERROR(INDEX(ctaTipo,MATCH(AB889,ctaNombre,0))&amp;"",""))</f>
        <v/>
      </c>
      <c r="AE889" s="52">
        <f>IF(AC889="","",IFERROR(INDEX(ctaTipo,MATCH(AC889,ctaNombre,0))&amp;"",""))</f>
        <v/>
      </c>
      <c r="AF889" s="53">
        <f>IF(OR(P889="",AB889=""),"",IF(OR(P889="Gasto",P889="Transferencia",P889="Pago tarjeta"),-1,1)*IF(IFERROR(INDEX(ctaMoneda,MATCH(AB889,ctaNombre,0))&amp;"","DOP")="USD",T889,S889))</f>
        <v/>
      </c>
      <c r="AG889" s="53">
        <f>IF(AC889="","",IF(IFERROR(INDEX(ctaMoneda,MATCH(AC889,ctaNombre,0))&amp;"","DOP")="USD",T889,S889))</f>
        <v/>
      </c>
      <c r="AH889" s="53">
        <f>IF(P889="","",IF(AND(AD889&lt;&gt;"",COUNTIFS(tcTipo,AD889,tcLiq,"Sí")&gt;0),IF(OR(P889="Gasto",P889="Transferencia",P889="Pago tarjeta"),-1,1)*S889,0)+IF(AND(AE889&lt;&gt;"",COUNTIFS(tcTipo,AE889,tcLiq,"Sí")&gt;0),S889,0))</f>
        <v/>
      </c>
      <c r="AI889" s="52">
        <f>IF(OR(L889="",P889=""),"",IF(COUNTIFS(L$6:L889,L889,P$6:P889,"?*")=1,MAX(AI$5:AI888)+1,""))</f>
        <v/>
      </c>
    </row>
    <row r="890">
      <c r="B890" s="47" t="n"/>
      <c r="C890" s="48" t="n"/>
      <c r="D890" s="48" t="n"/>
      <c r="E890" s="48" t="n"/>
      <c r="F890" s="48" t="n"/>
      <c r="G890" s="49" t="n"/>
      <c r="H890" s="48" t="n"/>
      <c r="I890" s="50" t="n"/>
      <c r="J890" s="48" t="n"/>
      <c r="K890" s="48" t="n"/>
      <c r="L890" s="48" t="n"/>
      <c r="M890" s="48" t="n"/>
      <c r="N890" s="48" t="n"/>
      <c r="O890" s="51">
        <f>IF(AND(B890="",G890="",C890="",D890="",J890=""),"",IF(B890="","⚠ Falta fecha",IF(G890="","⚠ Falta monto",IF(Q890="","⚠ Falta cuenta",IF(ISNA(MATCH(Q890,ctaNombre,0)),"⚠ Cuenta no registrada",IF(AND(OR(P890="Gasto",P890="Reembolso"),D890=""),"⚠ Falta categoría",IF(AND(D890&lt;&gt;"",E890&lt;&gt;"",ISNA(MATCH(D890&amp;"|"&amp;E890,catClave,0))),"⚠ Subcategoría no corresponde",IF(AND(OR(P890="Transferencia",P890="Pago tarjeta"),K890=""),"⚠ Falta cuenta destino",IF(AND(K890&lt;&gt;"",P890&lt;&gt;"Transferencia",P890&lt;&gt;"Pago tarjeta"),"⚠ Destino solo aplica a transferencias",IF(AND(K890&lt;&gt;"",K890=Q890),"⚠ Origen igual a destino",IF(AND(K890&lt;&gt;"",ISNA(MATCH(K890,ctaNombre,0))),"⚠ Destino no registrado",IF(AND(P890="Pago tarjeta",AE890&lt;&gt;"Tarjeta de crédito"),"⚠ El destino debe ser tarjeta de crédito",IF(AND(P890="Gasto",E890="Depósitos y retiros"),"⚠ Usa tipo Transferencia",IF(AND(P890="Resultado trading",AD890&lt;&gt;"Cuenta de trading"),"⚠ Usa una cuenta de trading",IF(AND(G890&lt;=0,P890&lt;&gt;"Ajuste",P890&lt;&gt;"Resultado trading"),"⚠ El monto debe ser positivo","✓")))))))))))))))</f>
        <v/>
      </c>
      <c r="P890" s="52">
        <f>IF(OR(B890="",G890=""),"",IF(C890="","Gasto",C890))</f>
        <v/>
      </c>
      <c r="Q890" s="52">
        <f>IF(P890="","",IF(J890&lt;&gt;"",J890,CuentaPred&amp;""))</f>
        <v/>
      </c>
      <c r="R890" s="52">
        <f>IF(P890="","",IF(ISNUMBER(I890),I890,TasaUSD))</f>
        <v/>
      </c>
      <c r="S890" s="53">
        <f>IF(P890="","",IF(H890="USD",G890*R890,G890))</f>
        <v/>
      </c>
      <c r="T890" s="53">
        <f>IF(P890="","",IF(H890="USD",G890,IF(R890&gt;0,G890/R890,0)))</f>
        <v/>
      </c>
      <c r="U890" s="53">
        <f>IF(P890="","",IF(P890="Gasto",S890,IF(P890="Reembolso",-S890,0)))</f>
        <v/>
      </c>
      <c r="V890" s="53">
        <f>IF(P890="","",IF(P890="Ingreso",S890,0))</f>
        <v/>
      </c>
      <c r="W890" s="53">
        <f>IF(P890="","",IF(P890="Resultado trading",S890,0))</f>
        <v/>
      </c>
      <c r="X890" s="52">
        <f>IF(OR(P890="Gasto",P890="Reembolso"),IF(M890&lt;&gt;"",M890,IFERROR(INDEX(catClasif,MATCH(D890&amp;"|"&amp;E890,catClave,0))&amp;"","Variable")),"")</f>
        <v/>
      </c>
      <c r="Y890" s="52">
        <f>IF(P890="","",IFERROR(INDEX(catGrupo,MATCH(D890&amp;"|"&amp;E890,catClave,0))&amp;"",""))</f>
        <v/>
      </c>
      <c r="Z890" s="52">
        <f>IF(P890="","",WEEKDAY(B890,2))</f>
        <v/>
      </c>
      <c r="AA890" s="52">
        <f>IF(P890="","",IF(AND(P890="Gasto",X890="Variable",D890&lt;&gt;catTrading,S890&gt;0,S890&lt;=Umbral),1,0))</f>
        <v/>
      </c>
      <c r="AB890" s="52">
        <f>IF(OR(P890="",Q890=""),"",IFERROR(IF(INDEX(ctaVinc,MATCH(Q890,ctaNombre,0))&amp;""&lt;&gt;"",INDEX(ctaVinc,MATCH(Q890,ctaNombre,0))&amp;"",Q890),Q890))</f>
        <v/>
      </c>
      <c r="AC890" s="52">
        <f>IF(OR(K890="",AND(P890&lt;&gt;"Transferencia",P890&lt;&gt;"Pago tarjeta")),"",IFERROR(IF(INDEX(ctaVinc,MATCH(K890,ctaNombre,0))&amp;""&lt;&gt;"",INDEX(ctaVinc,MATCH(K890,ctaNombre,0))&amp;"",K890),K890))</f>
        <v/>
      </c>
      <c r="AD890" s="52">
        <f>IF(AB890="","",IFERROR(INDEX(ctaTipo,MATCH(AB890,ctaNombre,0))&amp;"",""))</f>
        <v/>
      </c>
      <c r="AE890" s="52">
        <f>IF(AC890="","",IFERROR(INDEX(ctaTipo,MATCH(AC890,ctaNombre,0))&amp;"",""))</f>
        <v/>
      </c>
      <c r="AF890" s="53">
        <f>IF(OR(P890="",AB890=""),"",IF(OR(P890="Gasto",P890="Transferencia",P890="Pago tarjeta"),-1,1)*IF(IFERROR(INDEX(ctaMoneda,MATCH(AB890,ctaNombre,0))&amp;"","DOP")="USD",T890,S890))</f>
        <v/>
      </c>
      <c r="AG890" s="53">
        <f>IF(AC890="","",IF(IFERROR(INDEX(ctaMoneda,MATCH(AC890,ctaNombre,0))&amp;"","DOP")="USD",T890,S890))</f>
        <v/>
      </c>
      <c r="AH890" s="53">
        <f>IF(P890="","",IF(AND(AD890&lt;&gt;"",COUNTIFS(tcTipo,AD890,tcLiq,"Sí")&gt;0),IF(OR(P890="Gasto",P890="Transferencia",P890="Pago tarjeta"),-1,1)*S890,0)+IF(AND(AE890&lt;&gt;"",COUNTIFS(tcTipo,AE890,tcLiq,"Sí")&gt;0),S890,0))</f>
        <v/>
      </c>
      <c r="AI890" s="52">
        <f>IF(OR(L890="",P890=""),"",IF(COUNTIFS(L$6:L890,L890,P$6:P890,"?*")=1,MAX(AI$5:AI889)+1,""))</f>
        <v/>
      </c>
    </row>
    <row r="891">
      <c r="B891" s="47" t="n"/>
      <c r="C891" s="48" t="n"/>
      <c r="D891" s="48" t="n"/>
      <c r="E891" s="48" t="n"/>
      <c r="F891" s="48" t="n"/>
      <c r="G891" s="49" t="n"/>
      <c r="H891" s="48" t="n"/>
      <c r="I891" s="50" t="n"/>
      <c r="J891" s="48" t="n"/>
      <c r="K891" s="48" t="n"/>
      <c r="L891" s="48" t="n"/>
      <c r="M891" s="48" t="n"/>
      <c r="N891" s="48" t="n"/>
      <c r="O891" s="51">
        <f>IF(AND(B891="",G891="",C891="",D891="",J891=""),"",IF(B891="","⚠ Falta fecha",IF(G891="","⚠ Falta monto",IF(Q891="","⚠ Falta cuenta",IF(ISNA(MATCH(Q891,ctaNombre,0)),"⚠ Cuenta no registrada",IF(AND(OR(P891="Gasto",P891="Reembolso"),D891=""),"⚠ Falta categoría",IF(AND(D891&lt;&gt;"",E891&lt;&gt;"",ISNA(MATCH(D891&amp;"|"&amp;E891,catClave,0))),"⚠ Subcategoría no corresponde",IF(AND(OR(P891="Transferencia",P891="Pago tarjeta"),K891=""),"⚠ Falta cuenta destino",IF(AND(K891&lt;&gt;"",P891&lt;&gt;"Transferencia",P891&lt;&gt;"Pago tarjeta"),"⚠ Destino solo aplica a transferencias",IF(AND(K891&lt;&gt;"",K891=Q891),"⚠ Origen igual a destino",IF(AND(K891&lt;&gt;"",ISNA(MATCH(K891,ctaNombre,0))),"⚠ Destino no registrado",IF(AND(P891="Pago tarjeta",AE891&lt;&gt;"Tarjeta de crédito"),"⚠ El destino debe ser tarjeta de crédito",IF(AND(P891="Gasto",E891="Depósitos y retiros"),"⚠ Usa tipo Transferencia",IF(AND(P891="Resultado trading",AD891&lt;&gt;"Cuenta de trading"),"⚠ Usa una cuenta de trading",IF(AND(G891&lt;=0,P891&lt;&gt;"Ajuste",P891&lt;&gt;"Resultado trading"),"⚠ El monto debe ser positivo","✓")))))))))))))))</f>
        <v/>
      </c>
      <c r="P891" s="52">
        <f>IF(OR(B891="",G891=""),"",IF(C891="","Gasto",C891))</f>
        <v/>
      </c>
      <c r="Q891" s="52">
        <f>IF(P891="","",IF(J891&lt;&gt;"",J891,CuentaPred&amp;""))</f>
        <v/>
      </c>
      <c r="R891" s="52">
        <f>IF(P891="","",IF(ISNUMBER(I891),I891,TasaUSD))</f>
        <v/>
      </c>
      <c r="S891" s="53">
        <f>IF(P891="","",IF(H891="USD",G891*R891,G891))</f>
        <v/>
      </c>
      <c r="T891" s="53">
        <f>IF(P891="","",IF(H891="USD",G891,IF(R891&gt;0,G891/R891,0)))</f>
        <v/>
      </c>
      <c r="U891" s="53">
        <f>IF(P891="","",IF(P891="Gasto",S891,IF(P891="Reembolso",-S891,0)))</f>
        <v/>
      </c>
      <c r="V891" s="53">
        <f>IF(P891="","",IF(P891="Ingreso",S891,0))</f>
        <v/>
      </c>
      <c r="W891" s="53">
        <f>IF(P891="","",IF(P891="Resultado trading",S891,0))</f>
        <v/>
      </c>
      <c r="X891" s="52">
        <f>IF(OR(P891="Gasto",P891="Reembolso"),IF(M891&lt;&gt;"",M891,IFERROR(INDEX(catClasif,MATCH(D891&amp;"|"&amp;E891,catClave,0))&amp;"","Variable")),"")</f>
        <v/>
      </c>
      <c r="Y891" s="52">
        <f>IF(P891="","",IFERROR(INDEX(catGrupo,MATCH(D891&amp;"|"&amp;E891,catClave,0))&amp;"",""))</f>
        <v/>
      </c>
      <c r="Z891" s="52">
        <f>IF(P891="","",WEEKDAY(B891,2))</f>
        <v/>
      </c>
      <c r="AA891" s="52">
        <f>IF(P891="","",IF(AND(P891="Gasto",X891="Variable",D891&lt;&gt;catTrading,S891&gt;0,S891&lt;=Umbral),1,0))</f>
        <v/>
      </c>
      <c r="AB891" s="52">
        <f>IF(OR(P891="",Q891=""),"",IFERROR(IF(INDEX(ctaVinc,MATCH(Q891,ctaNombre,0))&amp;""&lt;&gt;"",INDEX(ctaVinc,MATCH(Q891,ctaNombre,0))&amp;"",Q891),Q891))</f>
        <v/>
      </c>
      <c r="AC891" s="52">
        <f>IF(OR(K891="",AND(P891&lt;&gt;"Transferencia",P891&lt;&gt;"Pago tarjeta")),"",IFERROR(IF(INDEX(ctaVinc,MATCH(K891,ctaNombre,0))&amp;""&lt;&gt;"",INDEX(ctaVinc,MATCH(K891,ctaNombre,0))&amp;"",K891),K891))</f>
        <v/>
      </c>
      <c r="AD891" s="52">
        <f>IF(AB891="","",IFERROR(INDEX(ctaTipo,MATCH(AB891,ctaNombre,0))&amp;"",""))</f>
        <v/>
      </c>
      <c r="AE891" s="52">
        <f>IF(AC891="","",IFERROR(INDEX(ctaTipo,MATCH(AC891,ctaNombre,0))&amp;"",""))</f>
        <v/>
      </c>
      <c r="AF891" s="53">
        <f>IF(OR(P891="",AB891=""),"",IF(OR(P891="Gasto",P891="Transferencia",P891="Pago tarjeta"),-1,1)*IF(IFERROR(INDEX(ctaMoneda,MATCH(AB891,ctaNombre,0))&amp;"","DOP")="USD",T891,S891))</f>
        <v/>
      </c>
      <c r="AG891" s="53">
        <f>IF(AC891="","",IF(IFERROR(INDEX(ctaMoneda,MATCH(AC891,ctaNombre,0))&amp;"","DOP")="USD",T891,S891))</f>
        <v/>
      </c>
      <c r="AH891" s="53">
        <f>IF(P891="","",IF(AND(AD891&lt;&gt;"",COUNTIFS(tcTipo,AD891,tcLiq,"Sí")&gt;0),IF(OR(P891="Gasto",P891="Transferencia",P891="Pago tarjeta"),-1,1)*S891,0)+IF(AND(AE891&lt;&gt;"",COUNTIFS(tcTipo,AE891,tcLiq,"Sí")&gt;0),S891,0))</f>
        <v/>
      </c>
      <c r="AI891" s="52">
        <f>IF(OR(L891="",P891=""),"",IF(COUNTIFS(L$6:L891,L891,P$6:P891,"?*")=1,MAX(AI$5:AI890)+1,""))</f>
        <v/>
      </c>
    </row>
    <row r="892">
      <c r="B892" s="47" t="n"/>
      <c r="C892" s="48" t="n"/>
      <c r="D892" s="48" t="n"/>
      <c r="E892" s="48" t="n"/>
      <c r="F892" s="48" t="n"/>
      <c r="G892" s="49" t="n"/>
      <c r="H892" s="48" t="n"/>
      <c r="I892" s="50" t="n"/>
      <c r="J892" s="48" t="n"/>
      <c r="K892" s="48" t="n"/>
      <c r="L892" s="48" t="n"/>
      <c r="M892" s="48" t="n"/>
      <c r="N892" s="48" t="n"/>
      <c r="O892" s="51">
        <f>IF(AND(B892="",G892="",C892="",D892="",J892=""),"",IF(B892="","⚠ Falta fecha",IF(G892="","⚠ Falta monto",IF(Q892="","⚠ Falta cuenta",IF(ISNA(MATCH(Q892,ctaNombre,0)),"⚠ Cuenta no registrada",IF(AND(OR(P892="Gasto",P892="Reembolso"),D892=""),"⚠ Falta categoría",IF(AND(D892&lt;&gt;"",E892&lt;&gt;"",ISNA(MATCH(D892&amp;"|"&amp;E892,catClave,0))),"⚠ Subcategoría no corresponde",IF(AND(OR(P892="Transferencia",P892="Pago tarjeta"),K892=""),"⚠ Falta cuenta destino",IF(AND(K892&lt;&gt;"",P892&lt;&gt;"Transferencia",P892&lt;&gt;"Pago tarjeta"),"⚠ Destino solo aplica a transferencias",IF(AND(K892&lt;&gt;"",K892=Q892),"⚠ Origen igual a destino",IF(AND(K892&lt;&gt;"",ISNA(MATCH(K892,ctaNombre,0))),"⚠ Destino no registrado",IF(AND(P892="Pago tarjeta",AE892&lt;&gt;"Tarjeta de crédito"),"⚠ El destino debe ser tarjeta de crédito",IF(AND(P892="Gasto",E892="Depósitos y retiros"),"⚠ Usa tipo Transferencia",IF(AND(P892="Resultado trading",AD892&lt;&gt;"Cuenta de trading"),"⚠ Usa una cuenta de trading",IF(AND(G892&lt;=0,P892&lt;&gt;"Ajuste",P892&lt;&gt;"Resultado trading"),"⚠ El monto debe ser positivo","✓")))))))))))))))</f>
        <v/>
      </c>
      <c r="P892" s="52">
        <f>IF(OR(B892="",G892=""),"",IF(C892="","Gasto",C892))</f>
        <v/>
      </c>
      <c r="Q892" s="52">
        <f>IF(P892="","",IF(J892&lt;&gt;"",J892,CuentaPred&amp;""))</f>
        <v/>
      </c>
      <c r="R892" s="52">
        <f>IF(P892="","",IF(ISNUMBER(I892),I892,TasaUSD))</f>
        <v/>
      </c>
      <c r="S892" s="53">
        <f>IF(P892="","",IF(H892="USD",G892*R892,G892))</f>
        <v/>
      </c>
      <c r="T892" s="53">
        <f>IF(P892="","",IF(H892="USD",G892,IF(R892&gt;0,G892/R892,0)))</f>
        <v/>
      </c>
      <c r="U892" s="53">
        <f>IF(P892="","",IF(P892="Gasto",S892,IF(P892="Reembolso",-S892,0)))</f>
        <v/>
      </c>
      <c r="V892" s="53">
        <f>IF(P892="","",IF(P892="Ingreso",S892,0))</f>
        <v/>
      </c>
      <c r="W892" s="53">
        <f>IF(P892="","",IF(P892="Resultado trading",S892,0))</f>
        <v/>
      </c>
      <c r="X892" s="52">
        <f>IF(OR(P892="Gasto",P892="Reembolso"),IF(M892&lt;&gt;"",M892,IFERROR(INDEX(catClasif,MATCH(D892&amp;"|"&amp;E892,catClave,0))&amp;"","Variable")),"")</f>
        <v/>
      </c>
      <c r="Y892" s="52">
        <f>IF(P892="","",IFERROR(INDEX(catGrupo,MATCH(D892&amp;"|"&amp;E892,catClave,0))&amp;"",""))</f>
        <v/>
      </c>
      <c r="Z892" s="52">
        <f>IF(P892="","",WEEKDAY(B892,2))</f>
        <v/>
      </c>
      <c r="AA892" s="52">
        <f>IF(P892="","",IF(AND(P892="Gasto",X892="Variable",D892&lt;&gt;catTrading,S892&gt;0,S892&lt;=Umbral),1,0))</f>
        <v/>
      </c>
      <c r="AB892" s="52">
        <f>IF(OR(P892="",Q892=""),"",IFERROR(IF(INDEX(ctaVinc,MATCH(Q892,ctaNombre,0))&amp;""&lt;&gt;"",INDEX(ctaVinc,MATCH(Q892,ctaNombre,0))&amp;"",Q892),Q892))</f>
        <v/>
      </c>
      <c r="AC892" s="52">
        <f>IF(OR(K892="",AND(P892&lt;&gt;"Transferencia",P892&lt;&gt;"Pago tarjeta")),"",IFERROR(IF(INDEX(ctaVinc,MATCH(K892,ctaNombre,0))&amp;""&lt;&gt;"",INDEX(ctaVinc,MATCH(K892,ctaNombre,0))&amp;"",K892),K892))</f>
        <v/>
      </c>
      <c r="AD892" s="52">
        <f>IF(AB892="","",IFERROR(INDEX(ctaTipo,MATCH(AB892,ctaNombre,0))&amp;"",""))</f>
        <v/>
      </c>
      <c r="AE892" s="52">
        <f>IF(AC892="","",IFERROR(INDEX(ctaTipo,MATCH(AC892,ctaNombre,0))&amp;"",""))</f>
        <v/>
      </c>
      <c r="AF892" s="53">
        <f>IF(OR(P892="",AB892=""),"",IF(OR(P892="Gasto",P892="Transferencia",P892="Pago tarjeta"),-1,1)*IF(IFERROR(INDEX(ctaMoneda,MATCH(AB892,ctaNombre,0))&amp;"","DOP")="USD",T892,S892))</f>
        <v/>
      </c>
      <c r="AG892" s="53">
        <f>IF(AC892="","",IF(IFERROR(INDEX(ctaMoneda,MATCH(AC892,ctaNombre,0))&amp;"","DOP")="USD",T892,S892))</f>
        <v/>
      </c>
      <c r="AH892" s="53">
        <f>IF(P892="","",IF(AND(AD892&lt;&gt;"",COUNTIFS(tcTipo,AD892,tcLiq,"Sí")&gt;0),IF(OR(P892="Gasto",P892="Transferencia",P892="Pago tarjeta"),-1,1)*S892,0)+IF(AND(AE892&lt;&gt;"",COUNTIFS(tcTipo,AE892,tcLiq,"Sí")&gt;0),S892,0))</f>
        <v/>
      </c>
      <c r="AI892" s="52">
        <f>IF(OR(L892="",P892=""),"",IF(COUNTIFS(L$6:L892,L892,P$6:P892,"?*")=1,MAX(AI$5:AI891)+1,""))</f>
        <v/>
      </c>
    </row>
    <row r="893">
      <c r="B893" s="47" t="n"/>
      <c r="C893" s="48" t="n"/>
      <c r="D893" s="48" t="n"/>
      <c r="E893" s="48" t="n"/>
      <c r="F893" s="48" t="n"/>
      <c r="G893" s="49" t="n"/>
      <c r="H893" s="48" t="n"/>
      <c r="I893" s="50" t="n"/>
      <c r="J893" s="48" t="n"/>
      <c r="K893" s="48" t="n"/>
      <c r="L893" s="48" t="n"/>
      <c r="M893" s="48" t="n"/>
      <c r="N893" s="48" t="n"/>
      <c r="O893" s="51">
        <f>IF(AND(B893="",G893="",C893="",D893="",J893=""),"",IF(B893="","⚠ Falta fecha",IF(G893="","⚠ Falta monto",IF(Q893="","⚠ Falta cuenta",IF(ISNA(MATCH(Q893,ctaNombre,0)),"⚠ Cuenta no registrada",IF(AND(OR(P893="Gasto",P893="Reembolso"),D893=""),"⚠ Falta categoría",IF(AND(D893&lt;&gt;"",E893&lt;&gt;"",ISNA(MATCH(D893&amp;"|"&amp;E893,catClave,0))),"⚠ Subcategoría no corresponde",IF(AND(OR(P893="Transferencia",P893="Pago tarjeta"),K893=""),"⚠ Falta cuenta destino",IF(AND(K893&lt;&gt;"",P893&lt;&gt;"Transferencia",P893&lt;&gt;"Pago tarjeta"),"⚠ Destino solo aplica a transferencias",IF(AND(K893&lt;&gt;"",K893=Q893),"⚠ Origen igual a destino",IF(AND(K893&lt;&gt;"",ISNA(MATCH(K893,ctaNombre,0))),"⚠ Destino no registrado",IF(AND(P893="Pago tarjeta",AE893&lt;&gt;"Tarjeta de crédito"),"⚠ El destino debe ser tarjeta de crédito",IF(AND(P893="Gasto",E893="Depósitos y retiros"),"⚠ Usa tipo Transferencia",IF(AND(P893="Resultado trading",AD893&lt;&gt;"Cuenta de trading"),"⚠ Usa una cuenta de trading",IF(AND(G893&lt;=0,P893&lt;&gt;"Ajuste",P893&lt;&gt;"Resultado trading"),"⚠ El monto debe ser positivo","✓")))))))))))))))</f>
        <v/>
      </c>
      <c r="P893" s="52">
        <f>IF(OR(B893="",G893=""),"",IF(C893="","Gasto",C893))</f>
        <v/>
      </c>
      <c r="Q893" s="52">
        <f>IF(P893="","",IF(J893&lt;&gt;"",J893,CuentaPred&amp;""))</f>
        <v/>
      </c>
      <c r="R893" s="52">
        <f>IF(P893="","",IF(ISNUMBER(I893),I893,TasaUSD))</f>
        <v/>
      </c>
      <c r="S893" s="53">
        <f>IF(P893="","",IF(H893="USD",G893*R893,G893))</f>
        <v/>
      </c>
      <c r="T893" s="53">
        <f>IF(P893="","",IF(H893="USD",G893,IF(R893&gt;0,G893/R893,0)))</f>
        <v/>
      </c>
      <c r="U893" s="53">
        <f>IF(P893="","",IF(P893="Gasto",S893,IF(P893="Reembolso",-S893,0)))</f>
        <v/>
      </c>
      <c r="V893" s="53">
        <f>IF(P893="","",IF(P893="Ingreso",S893,0))</f>
        <v/>
      </c>
      <c r="W893" s="53">
        <f>IF(P893="","",IF(P893="Resultado trading",S893,0))</f>
        <v/>
      </c>
      <c r="X893" s="52">
        <f>IF(OR(P893="Gasto",P893="Reembolso"),IF(M893&lt;&gt;"",M893,IFERROR(INDEX(catClasif,MATCH(D893&amp;"|"&amp;E893,catClave,0))&amp;"","Variable")),"")</f>
        <v/>
      </c>
      <c r="Y893" s="52">
        <f>IF(P893="","",IFERROR(INDEX(catGrupo,MATCH(D893&amp;"|"&amp;E893,catClave,0))&amp;"",""))</f>
        <v/>
      </c>
      <c r="Z893" s="52">
        <f>IF(P893="","",WEEKDAY(B893,2))</f>
        <v/>
      </c>
      <c r="AA893" s="52">
        <f>IF(P893="","",IF(AND(P893="Gasto",X893="Variable",D893&lt;&gt;catTrading,S893&gt;0,S893&lt;=Umbral),1,0))</f>
        <v/>
      </c>
      <c r="AB893" s="52">
        <f>IF(OR(P893="",Q893=""),"",IFERROR(IF(INDEX(ctaVinc,MATCH(Q893,ctaNombre,0))&amp;""&lt;&gt;"",INDEX(ctaVinc,MATCH(Q893,ctaNombre,0))&amp;"",Q893),Q893))</f>
        <v/>
      </c>
      <c r="AC893" s="52">
        <f>IF(OR(K893="",AND(P893&lt;&gt;"Transferencia",P893&lt;&gt;"Pago tarjeta")),"",IFERROR(IF(INDEX(ctaVinc,MATCH(K893,ctaNombre,0))&amp;""&lt;&gt;"",INDEX(ctaVinc,MATCH(K893,ctaNombre,0))&amp;"",K893),K893))</f>
        <v/>
      </c>
      <c r="AD893" s="52">
        <f>IF(AB893="","",IFERROR(INDEX(ctaTipo,MATCH(AB893,ctaNombre,0))&amp;"",""))</f>
        <v/>
      </c>
      <c r="AE893" s="52">
        <f>IF(AC893="","",IFERROR(INDEX(ctaTipo,MATCH(AC893,ctaNombre,0))&amp;"",""))</f>
        <v/>
      </c>
      <c r="AF893" s="53">
        <f>IF(OR(P893="",AB893=""),"",IF(OR(P893="Gasto",P893="Transferencia",P893="Pago tarjeta"),-1,1)*IF(IFERROR(INDEX(ctaMoneda,MATCH(AB893,ctaNombre,0))&amp;"","DOP")="USD",T893,S893))</f>
        <v/>
      </c>
      <c r="AG893" s="53">
        <f>IF(AC893="","",IF(IFERROR(INDEX(ctaMoneda,MATCH(AC893,ctaNombre,0))&amp;"","DOP")="USD",T893,S893))</f>
        <v/>
      </c>
      <c r="AH893" s="53">
        <f>IF(P893="","",IF(AND(AD893&lt;&gt;"",COUNTIFS(tcTipo,AD893,tcLiq,"Sí")&gt;0),IF(OR(P893="Gasto",P893="Transferencia",P893="Pago tarjeta"),-1,1)*S893,0)+IF(AND(AE893&lt;&gt;"",COUNTIFS(tcTipo,AE893,tcLiq,"Sí")&gt;0),S893,0))</f>
        <v/>
      </c>
      <c r="AI893" s="52">
        <f>IF(OR(L893="",P893=""),"",IF(COUNTIFS(L$6:L893,L893,P$6:P893,"?*")=1,MAX(AI$5:AI892)+1,""))</f>
        <v/>
      </c>
    </row>
    <row r="894">
      <c r="B894" s="47" t="n"/>
      <c r="C894" s="48" t="n"/>
      <c r="D894" s="48" t="n"/>
      <c r="E894" s="48" t="n"/>
      <c r="F894" s="48" t="n"/>
      <c r="G894" s="49" t="n"/>
      <c r="H894" s="48" t="n"/>
      <c r="I894" s="50" t="n"/>
      <c r="J894" s="48" t="n"/>
      <c r="K894" s="48" t="n"/>
      <c r="L894" s="48" t="n"/>
      <c r="M894" s="48" t="n"/>
      <c r="N894" s="48" t="n"/>
      <c r="O894" s="51">
        <f>IF(AND(B894="",G894="",C894="",D894="",J894=""),"",IF(B894="","⚠ Falta fecha",IF(G894="","⚠ Falta monto",IF(Q894="","⚠ Falta cuenta",IF(ISNA(MATCH(Q894,ctaNombre,0)),"⚠ Cuenta no registrada",IF(AND(OR(P894="Gasto",P894="Reembolso"),D894=""),"⚠ Falta categoría",IF(AND(D894&lt;&gt;"",E894&lt;&gt;"",ISNA(MATCH(D894&amp;"|"&amp;E894,catClave,0))),"⚠ Subcategoría no corresponde",IF(AND(OR(P894="Transferencia",P894="Pago tarjeta"),K894=""),"⚠ Falta cuenta destino",IF(AND(K894&lt;&gt;"",P894&lt;&gt;"Transferencia",P894&lt;&gt;"Pago tarjeta"),"⚠ Destino solo aplica a transferencias",IF(AND(K894&lt;&gt;"",K894=Q894),"⚠ Origen igual a destino",IF(AND(K894&lt;&gt;"",ISNA(MATCH(K894,ctaNombre,0))),"⚠ Destino no registrado",IF(AND(P894="Pago tarjeta",AE894&lt;&gt;"Tarjeta de crédito"),"⚠ El destino debe ser tarjeta de crédito",IF(AND(P894="Gasto",E894="Depósitos y retiros"),"⚠ Usa tipo Transferencia",IF(AND(P894="Resultado trading",AD894&lt;&gt;"Cuenta de trading"),"⚠ Usa una cuenta de trading",IF(AND(G894&lt;=0,P894&lt;&gt;"Ajuste",P894&lt;&gt;"Resultado trading"),"⚠ El monto debe ser positivo","✓")))))))))))))))</f>
        <v/>
      </c>
      <c r="P894" s="52">
        <f>IF(OR(B894="",G894=""),"",IF(C894="","Gasto",C894))</f>
        <v/>
      </c>
      <c r="Q894" s="52">
        <f>IF(P894="","",IF(J894&lt;&gt;"",J894,CuentaPred&amp;""))</f>
        <v/>
      </c>
      <c r="R894" s="52">
        <f>IF(P894="","",IF(ISNUMBER(I894),I894,TasaUSD))</f>
        <v/>
      </c>
      <c r="S894" s="53">
        <f>IF(P894="","",IF(H894="USD",G894*R894,G894))</f>
        <v/>
      </c>
      <c r="T894" s="53">
        <f>IF(P894="","",IF(H894="USD",G894,IF(R894&gt;0,G894/R894,0)))</f>
        <v/>
      </c>
      <c r="U894" s="53">
        <f>IF(P894="","",IF(P894="Gasto",S894,IF(P894="Reembolso",-S894,0)))</f>
        <v/>
      </c>
      <c r="V894" s="53">
        <f>IF(P894="","",IF(P894="Ingreso",S894,0))</f>
        <v/>
      </c>
      <c r="W894" s="53">
        <f>IF(P894="","",IF(P894="Resultado trading",S894,0))</f>
        <v/>
      </c>
      <c r="X894" s="52">
        <f>IF(OR(P894="Gasto",P894="Reembolso"),IF(M894&lt;&gt;"",M894,IFERROR(INDEX(catClasif,MATCH(D894&amp;"|"&amp;E894,catClave,0))&amp;"","Variable")),"")</f>
        <v/>
      </c>
      <c r="Y894" s="52">
        <f>IF(P894="","",IFERROR(INDEX(catGrupo,MATCH(D894&amp;"|"&amp;E894,catClave,0))&amp;"",""))</f>
        <v/>
      </c>
      <c r="Z894" s="52">
        <f>IF(P894="","",WEEKDAY(B894,2))</f>
        <v/>
      </c>
      <c r="AA894" s="52">
        <f>IF(P894="","",IF(AND(P894="Gasto",X894="Variable",D894&lt;&gt;catTrading,S894&gt;0,S894&lt;=Umbral),1,0))</f>
        <v/>
      </c>
      <c r="AB894" s="52">
        <f>IF(OR(P894="",Q894=""),"",IFERROR(IF(INDEX(ctaVinc,MATCH(Q894,ctaNombre,0))&amp;""&lt;&gt;"",INDEX(ctaVinc,MATCH(Q894,ctaNombre,0))&amp;"",Q894),Q894))</f>
        <v/>
      </c>
      <c r="AC894" s="52">
        <f>IF(OR(K894="",AND(P894&lt;&gt;"Transferencia",P894&lt;&gt;"Pago tarjeta")),"",IFERROR(IF(INDEX(ctaVinc,MATCH(K894,ctaNombre,0))&amp;""&lt;&gt;"",INDEX(ctaVinc,MATCH(K894,ctaNombre,0))&amp;"",K894),K894))</f>
        <v/>
      </c>
      <c r="AD894" s="52">
        <f>IF(AB894="","",IFERROR(INDEX(ctaTipo,MATCH(AB894,ctaNombre,0))&amp;"",""))</f>
        <v/>
      </c>
      <c r="AE894" s="52">
        <f>IF(AC894="","",IFERROR(INDEX(ctaTipo,MATCH(AC894,ctaNombre,0))&amp;"",""))</f>
        <v/>
      </c>
      <c r="AF894" s="53">
        <f>IF(OR(P894="",AB894=""),"",IF(OR(P894="Gasto",P894="Transferencia",P894="Pago tarjeta"),-1,1)*IF(IFERROR(INDEX(ctaMoneda,MATCH(AB894,ctaNombre,0))&amp;"","DOP")="USD",T894,S894))</f>
        <v/>
      </c>
      <c r="AG894" s="53">
        <f>IF(AC894="","",IF(IFERROR(INDEX(ctaMoneda,MATCH(AC894,ctaNombre,0))&amp;"","DOP")="USD",T894,S894))</f>
        <v/>
      </c>
      <c r="AH894" s="53">
        <f>IF(P894="","",IF(AND(AD894&lt;&gt;"",COUNTIFS(tcTipo,AD894,tcLiq,"Sí")&gt;0),IF(OR(P894="Gasto",P894="Transferencia",P894="Pago tarjeta"),-1,1)*S894,0)+IF(AND(AE894&lt;&gt;"",COUNTIFS(tcTipo,AE894,tcLiq,"Sí")&gt;0),S894,0))</f>
        <v/>
      </c>
      <c r="AI894" s="52">
        <f>IF(OR(L894="",P894=""),"",IF(COUNTIFS(L$6:L894,L894,P$6:P894,"?*")=1,MAX(AI$5:AI893)+1,""))</f>
        <v/>
      </c>
    </row>
    <row r="895">
      <c r="B895" s="47" t="n"/>
      <c r="C895" s="48" t="n"/>
      <c r="D895" s="48" t="n"/>
      <c r="E895" s="48" t="n"/>
      <c r="F895" s="48" t="n"/>
      <c r="G895" s="49" t="n"/>
      <c r="H895" s="48" t="n"/>
      <c r="I895" s="50" t="n"/>
      <c r="J895" s="48" t="n"/>
      <c r="K895" s="48" t="n"/>
      <c r="L895" s="48" t="n"/>
      <c r="M895" s="48" t="n"/>
      <c r="N895" s="48" t="n"/>
      <c r="O895" s="51">
        <f>IF(AND(B895="",G895="",C895="",D895="",J895=""),"",IF(B895="","⚠ Falta fecha",IF(G895="","⚠ Falta monto",IF(Q895="","⚠ Falta cuenta",IF(ISNA(MATCH(Q895,ctaNombre,0)),"⚠ Cuenta no registrada",IF(AND(OR(P895="Gasto",P895="Reembolso"),D895=""),"⚠ Falta categoría",IF(AND(D895&lt;&gt;"",E895&lt;&gt;"",ISNA(MATCH(D895&amp;"|"&amp;E895,catClave,0))),"⚠ Subcategoría no corresponde",IF(AND(OR(P895="Transferencia",P895="Pago tarjeta"),K895=""),"⚠ Falta cuenta destino",IF(AND(K895&lt;&gt;"",P895&lt;&gt;"Transferencia",P895&lt;&gt;"Pago tarjeta"),"⚠ Destino solo aplica a transferencias",IF(AND(K895&lt;&gt;"",K895=Q895),"⚠ Origen igual a destino",IF(AND(K895&lt;&gt;"",ISNA(MATCH(K895,ctaNombre,0))),"⚠ Destino no registrado",IF(AND(P895="Pago tarjeta",AE895&lt;&gt;"Tarjeta de crédito"),"⚠ El destino debe ser tarjeta de crédito",IF(AND(P895="Gasto",E895="Depósitos y retiros"),"⚠ Usa tipo Transferencia",IF(AND(P895="Resultado trading",AD895&lt;&gt;"Cuenta de trading"),"⚠ Usa una cuenta de trading",IF(AND(G895&lt;=0,P895&lt;&gt;"Ajuste",P895&lt;&gt;"Resultado trading"),"⚠ El monto debe ser positivo","✓")))))))))))))))</f>
        <v/>
      </c>
      <c r="P895" s="52">
        <f>IF(OR(B895="",G895=""),"",IF(C895="","Gasto",C895))</f>
        <v/>
      </c>
      <c r="Q895" s="52">
        <f>IF(P895="","",IF(J895&lt;&gt;"",J895,CuentaPred&amp;""))</f>
        <v/>
      </c>
      <c r="R895" s="52">
        <f>IF(P895="","",IF(ISNUMBER(I895),I895,TasaUSD))</f>
        <v/>
      </c>
      <c r="S895" s="53">
        <f>IF(P895="","",IF(H895="USD",G895*R895,G895))</f>
        <v/>
      </c>
      <c r="T895" s="53">
        <f>IF(P895="","",IF(H895="USD",G895,IF(R895&gt;0,G895/R895,0)))</f>
        <v/>
      </c>
      <c r="U895" s="53">
        <f>IF(P895="","",IF(P895="Gasto",S895,IF(P895="Reembolso",-S895,0)))</f>
        <v/>
      </c>
      <c r="V895" s="53">
        <f>IF(P895="","",IF(P895="Ingreso",S895,0))</f>
        <v/>
      </c>
      <c r="W895" s="53">
        <f>IF(P895="","",IF(P895="Resultado trading",S895,0))</f>
        <v/>
      </c>
      <c r="X895" s="52">
        <f>IF(OR(P895="Gasto",P895="Reembolso"),IF(M895&lt;&gt;"",M895,IFERROR(INDEX(catClasif,MATCH(D895&amp;"|"&amp;E895,catClave,0))&amp;"","Variable")),"")</f>
        <v/>
      </c>
      <c r="Y895" s="52">
        <f>IF(P895="","",IFERROR(INDEX(catGrupo,MATCH(D895&amp;"|"&amp;E895,catClave,0))&amp;"",""))</f>
        <v/>
      </c>
      <c r="Z895" s="52">
        <f>IF(P895="","",WEEKDAY(B895,2))</f>
        <v/>
      </c>
      <c r="AA895" s="52">
        <f>IF(P895="","",IF(AND(P895="Gasto",X895="Variable",D895&lt;&gt;catTrading,S895&gt;0,S895&lt;=Umbral),1,0))</f>
        <v/>
      </c>
      <c r="AB895" s="52">
        <f>IF(OR(P895="",Q895=""),"",IFERROR(IF(INDEX(ctaVinc,MATCH(Q895,ctaNombre,0))&amp;""&lt;&gt;"",INDEX(ctaVinc,MATCH(Q895,ctaNombre,0))&amp;"",Q895),Q895))</f>
        <v/>
      </c>
      <c r="AC895" s="52">
        <f>IF(OR(K895="",AND(P895&lt;&gt;"Transferencia",P895&lt;&gt;"Pago tarjeta")),"",IFERROR(IF(INDEX(ctaVinc,MATCH(K895,ctaNombre,0))&amp;""&lt;&gt;"",INDEX(ctaVinc,MATCH(K895,ctaNombre,0))&amp;"",K895),K895))</f>
        <v/>
      </c>
      <c r="AD895" s="52">
        <f>IF(AB895="","",IFERROR(INDEX(ctaTipo,MATCH(AB895,ctaNombre,0))&amp;"",""))</f>
        <v/>
      </c>
      <c r="AE895" s="52">
        <f>IF(AC895="","",IFERROR(INDEX(ctaTipo,MATCH(AC895,ctaNombre,0))&amp;"",""))</f>
        <v/>
      </c>
      <c r="AF895" s="53">
        <f>IF(OR(P895="",AB895=""),"",IF(OR(P895="Gasto",P895="Transferencia",P895="Pago tarjeta"),-1,1)*IF(IFERROR(INDEX(ctaMoneda,MATCH(AB895,ctaNombre,0))&amp;"","DOP")="USD",T895,S895))</f>
        <v/>
      </c>
      <c r="AG895" s="53">
        <f>IF(AC895="","",IF(IFERROR(INDEX(ctaMoneda,MATCH(AC895,ctaNombre,0))&amp;"","DOP")="USD",T895,S895))</f>
        <v/>
      </c>
      <c r="AH895" s="53">
        <f>IF(P895="","",IF(AND(AD895&lt;&gt;"",COUNTIFS(tcTipo,AD895,tcLiq,"Sí")&gt;0),IF(OR(P895="Gasto",P895="Transferencia",P895="Pago tarjeta"),-1,1)*S895,0)+IF(AND(AE895&lt;&gt;"",COUNTIFS(tcTipo,AE895,tcLiq,"Sí")&gt;0),S895,0))</f>
        <v/>
      </c>
      <c r="AI895" s="52">
        <f>IF(OR(L895="",P895=""),"",IF(COUNTIFS(L$6:L895,L895,P$6:P895,"?*")=1,MAX(AI$5:AI894)+1,""))</f>
        <v/>
      </c>
    </row>
    <row r="896">
      <c r="B896" s="47" t="n"/>
      <c r="C896" s="48" t="n"/>
      <c r="D896" s="48" t="n"/>
      <c r="E896" s="48" t="n"/>
      <c r="F896" s="48" t="n"/>
      <c r="G896" s="49" t="n"/>
      <c r="H896" s="48" t="n"/>
      <c r="I896" s="50" t="n"/>
      <c r="J896" s="48" t="n"/>
      <c r="K896" s="48" t="n"/>
      <c r="L896" s="48" t="n"/>
      <c r="M896" s="48" t="n"/>
      <c r="N896" s="48" t="n"/>
      <c r="O896" s="51">
        <f>IF(AND(B896="",G896="",C896="",D896="",J896=""),"",IF(B896="","⚠ Falta fecha",IF(G896="","⚠ Falta monto",IF(Q896="","⚠ Falta cuenta",IF(ISNA(MATCH(Q896,ctaNombre,0)),"⚠ Cuenta no registrada",IF(AND(OR(P896="Gasto",P896="Reembolso"),D896=""),"⚠ Falta categoría",IF(AND(D896&lt;&gt;"",E896&lt;&gt;"",ISNA(MATCH(D896&amp;"|"&amp;E896,catClave,0))),"⚠ Subcategoría no corresponde",IF(AND(OR(P896="Transferencia",P896="Pago tarjeta"),K896=""),"⚠ Falta cuenta destino",IF(AND(K896&lt;&gt;"",P896&lt;&gt;"Transferencia",P896&lt;&gt;"Pago tarjeta"),"⚠ Destino solo aplica a transferencias",IF(AND(K896&lt;&gt;"",K896=Q896),"⚠ Origen igual a destino",IF(AND(K896&lt;&gt;"",ISNA(MATCH(K896,ctaNombre,0))),"⚠ Destino no registrado",IF(AND(P896="Pago tarjeta",AE896&lt;&gt;"Tarjeta de crédito"),"⚠ El destino debe ser tarjeta de crédito",IF(AND(P896="Gasto",E896="Depósitos y retiros"),"⚠ Usa tipo Transferencia",IF(AND(P896="Resultado trading",AD896&lt;&gt;"Cuenta de trading"),"⚠ Usa una cuenta de trading",IF(AND(G896&lt;=0,P896&lt;&gt;"Ajuste",P896&lt;&gt;"Resultado trading"),"⚠ El monto debe ser positivo","✓")))))))))))))))</f>
        <v/>
      </c>
      <c r="P896" s="52">
        <f>IF(OR(B896="",G896=""),"",IF(C896="","Gasto",C896))</f>
        <v/>
      </c>
      <c r="Q896" s="52">
        <f>IF(P896="","",IF(J896&lt;&gt;"",J896,CuentaPred&amp;""))</f>
        <v/>
      </c>
      <c r="R896" s="52">
        <f>IF(P896="","",IF(ISNUMBER(I896),I896,TasaUSD))</f>
        <v/>
      </c>
      <c r="S896" s="53">
        <f>IF(P896="","",IF(H896="USD",G896*R896,G896))</f>
        <v/>
      </c>
      <c r="T896" s="53">
        <f>IF(P896="","",IF(H896="USD",G896,IF(R896&gt;0,G896/R896,0)))</f>
        <v/>
      </c>
      <c r="U896" s="53">
        <f>IF(P896="","",IF(P896="Gasto",S896,IF(P896="Reembolso",-S896,0)))</f>
        <v/>
      </c>
      <c r="V896" s="53">
        <f>IF(P896="","",IF(P896="Ingreso",S896,0))</f>
        <v/>
      </c>
      <c r="W896" s="53">
        <f>IF(P896="","",IF(P896="Resultado trading",S896,0))</f>
        <v/>
      </c>
      <c r="X896" s="52">
        <f>IF(OR(P896="Gasto",P896="Reembolso"),IF(M896&lt;&gt;"",M896,IFERROR(INDEX(catClasif,MATCH(D896&amp;"|"&amp;E896,catClave,0))&amp;"","Variable")),"")</f>
        <v/>
      </c>
      <c r="Y896" s="52">
        <f>IF(P896="","",IFERROR(INDEX(catGrupo,MATCH(D896&amp;"|"&amp;E896,catClave,0))&amp;"",""))</f>
        <v/>
      </c>
      <c r="Z896" s="52">
        <f>IF(P896="","",WEEKDAY(B896,2))</f>
        <v/>
      </c>
      <c r="AA896" s="52">
        <f>IF(P896="","",IF(AND(P896="Gasto",X896="Variable",D896&lt;&gt;catTrading,S896&gt;0,S896&lt;=Umbral),1,0))</f>
        <v/>
      </c>
      <c r="AB896" s="52">
        <f>IF(OR(P896="",Q896=""),"",IFERROR(IF(INDEX(ctaVinc,MATCH(Q896,ctaNombre,0))&amp;""&lt;&gt;"",INDEX(ctaVinc,MATCH(Q896,ctaNombre,0))&amp;"",Q896),Q896))</f>
        <v/>
      </c>
      <c r="AC896" s="52">
        <f>IF(OR(K896="",AND(P896&lt;&gt;"Transferencia",P896&lt;&gt;"Pago tarjeta")),"",IFERROR(IF(INDEX(ctaVinc,MATCH(K896,ctaNombre,0))&amp;""&lt;&gt;"",INDEX(ctaVinc,MATCH(K896,ctaNombre,0))&amp;"",K896),K896))</f>
        <v/>
      </c>
      <c r="AD896" s="52">
        <f>IF(AB896="","",IFERROR(INDEX(ctaTipo,MATCH(AB896,ctaNombre,0))&amp;"",""))</f>
        <v/>
      </c>
      <c r="AE896" s="52">
        <f>IF(AC896="","",IFERROR(INDEX(ctaTipo,MATCH(AC896,ctaNombre,0))&amp;"",""))</f>
        <v/>
      </c>
      <c r="AF896" s="53">
        <f>IF(OR(P896="",AB896=""),"",IF(OR(P896="Gasto",P896="Transferencia",P896="Pago tarjeta"),-1,1)*IF(IFERROR(INDEX(ctaMoneda,MATCH(AB896,ctaNombre,0))&amp;"","DOP")="USD",T896,S896))</f>
        <v/>
      </c>
      <c r="AG896" s="53">
        <f>IF(AC896="","",IF(IFERROR(INDEX(ctaMoneda,MATCH(AC896,ctaNombre,0))&amp;"","DOP")="USD",T896,S896))</f>
        <v/>
      </c>
      <c r="AH896" s="53">
        <f>IF(P896="","",IF(AND(AD896&lt;&gt;"",COUNTIFS(tcTipo,AD896,tcLiq,"Sí")&gt;0),IF(OR(P896="Gasto",P896="Transferencia",P896="Pago tarjeta"),-1,1)*S896,0)+IF(AND(AE896&lt;&gt;"",COUNTIFS(tcTipo,AE896,tcLiq,"Sí")&gt;0),S896,0))</f>
        <v/>
      </c>
      <c r="AI896" s="52">
        <f>IF(OR(L896="",P896=""),"",IF(COUNTIFS(L$6:L896,L896,P$6:P896,"?*")=1,MAX(AI$5:AI895)+1,""))</f>
        <v/>
      </c>
    </row>
    <row r="897">
      <c r="B897" s="47" t="n"/>
      <c r="C897" s="48" t="n"/>
      <c r="D897" s="48" t="n"/>
      <c r="E897" s="48" t="n"/>
      <c r="F897" s="48" t="n"/>
      <c r="G897" s="49" t="n"/>
      <c r="H897" s="48" t="n"/>
      <c r="I897" s="50" t="n"/>
      <c r="J897" s="48" t="n"/>
      <c r="K897" s="48" t="n"/>
      <c r="L897" s="48" t="n"/>
      <c r="M897" s="48" t="n"/>
      <c r="N897" s="48" t="n"/>
      <c r="O897" s="51">
        <f>IF(AND(B897="",G897="",C897="",D897="",J897=""),"",IF(B897="","⚠ Falta fecha",IF(G897="","⚠ Falta monto",IF(Q897="","⚠ Falta cuenta",IF(ISNA(MATCH(Q897,ctaNombre,0)),"⚠ Cuenta no registrada",IF(AND(OR(P897="Gasto",P897="Reembolso"),D897=""),"⚠ Falta categoría",IF(AND(D897&lt;&gt;"",E897&lt;&gt;"",ISNA(MATCH(D897&amp;"|"&amp;E897,catClave,0))),"⚠ Subcategoría no corresponde",IF(AND(OR(P897="Transferencia",P897="Pago tarjeta"),K897=""),"⚠ Falta cuenta destino",IF(AND(K897&lt;&gt;"",P897&lt;&gt;"Transferencia",P897&lt;&gt;"Pago tarjeta"),"⚠ Destino solo aplica a transferencias",IF(AND(K897&lt;&gt;"",K897=Q897),"⚠ Origen igual a destino",IF(AND(K897&lt;&gt;"",ISNA(MATCH(K897,ctaNombre,0))),"⚠ Destino no registrado",IF(AND(P897="Pago tarjeta",AE897&lt;&gt;"Tarjeta de crédito"),"⚠ El destino debe ser tarjeta de crédito",IF(AND(P897="Gasto",E897="Depósitos y retiros"),"⚠ Usa tipo Transferencia",IF(AND(P897="Resultado trading",AD897&lt;&gt;"Cuenta de trading"),"⚠ Usa una cuenta de trading",IF(AND(G897&lt;=0,P897&lt;&gt;"Ajuste",P897&lt;&gt;"Resultado trading"),"⚠ El monto debe ser positivo","✓")))))))))))))))</f>
        <v/>
      </c>
      <c r="P897" s="52">
        <f>IF(OR(B897="",G897=""),"",IF(C897="","Gasto",C897))</f>
        <v/>
      </c>
      <c r="Q897" s="52">
        <f>IF(P897="","",IF(J897&lt;&gt;"",J897,CuentaPred&amp;""))</f>
        <v/>
      </c>
      <c r="R897" s="52">
        <f>IF(P897="","",IF(ISNUMBER(I897),I897,TasaUSD))</f>
        <v/>
      </c>
      <c r="S897" s="53">
        <f>IF(P897="","",IF(H897="USD",G897*R897,G897))</f>
        <v/>
      </c>
      <c r="T897" s="53">
        <f>IF(P897="","",IF(H897="USD",G897,IF(R897&gt;0,G897/R897,0)))</f>
        <v/>
      </c>
      <c r="U897" s="53">
        <f>IF(P897="","",IF(P897="Gasto",S897,IF(P897="Reembolso",-S897,0)))</f>
        <v/>
      </c>
      <c r="V897" s="53">
        <f>IF(P897="","",IF(P897="Ingreso",S897,0))</f>
        <v/>
      </c>
      <c r="W897" s="53">
        <f>IF(P897="","",IF(P897="Resultado trading",S897,0))</f>
        <v/>
      </c>
      <c r="X897" s="52">
        <f>IF(OR(P897="Gasto",P897="Reembolso"),IF(M897&lt;&gt;"",M897,IFERROR(INDEX(catClasif,MATCH(D897&amp;"|"&amp;E897,catClave,0))&amp;"","Variable")),"")</f>
        <v/>
      </c>
      <c r="Y897" s="52">
        <f>IF(P897="","",IFERROR(INDEX(catGrupo,MATCH(D897&amp;"|"&amp;E897,catClave,0))&amp;"",""))</f>
        <v/>
      </c>
      <c r="Z897" s="52">
        <f>IF(P897="","",WEEKDAY(B897,2))</f>
        <v/>
      </c>
      <c r="AA897" s="52">
        <f>IF(P897="","",IF(AND(P897="Gasto",X897="Variable",D897&lt;&gt;catTrading,S897&gt;0,S897&lt;=Umbral),1,0))</f>
        <v/>
      </c>
      <c r="AB897" s="52">
        <f>IF(OR(P897="",Q897=""),"",IFERROR(IF(INDEX(ctaVinc,MATCH(Q897,ctaNombre,0))&amp;""&lt;&gt;"",INDEX(ctaVinc,MATCH(Q897,ctaNombre,0))&amp;"",Q897),Q897))</f>
        <v/>
      </c>
      <c r="AC897" s="52">
        <f>IF(OR(K897="",AND(P897&lt;&gt;"Transferencia",P897&lt;&gt;"Pago tarjeta")),"",IFERROR(IF(INDEX(ctaVinc,MATCH(K897,ctaNombre,0))&amp;""&lt;&gt;"",INDEX(ctaVinc,MATCH(K897,ctaNombre,0))&amp;"",K897),K897))</f>
        <v/>
      </c>
      <c r="AD897" s="52">
        <f>IF(AB897="","",IFERROR(INDEX(ctaTipo,MATCH(AB897,ctaNombre,0))&amp;"",""))</f>
        <v/>
      </c>
      <c r="AE897" s="52">
        <f>IF(AC897="","",IFERROR(INDEX(ctaTipo,MATCH(AC897,ctaNombre,0))&amp;"",""))</f>
        <v/>
      </c>
      <c r="AF897" s="53">
        <f>IF(OR(P897="",AB897=""),"",IF(OR(P897="Gasto",P897="Transferencia",P897="Pago tarjeta"),-1,1)*IF(IFERROR(INDEX(ctaMoneda,MATCH(AB897,ctaNombre,0))&amp;"","DOP")="USD",T897,S897))</f>
        <v/>
      </c>
      <c r="AG897" s="53">
        <f>IF(AC897="","",IF(IFERROR(INDEX(ctaMoneda,MATCH(AC897,ctaNombre,0))&amp;"","DOP")="USD",T897,S897))</f>
        <v/>
      </c>
      <c r="AH897" s="53">
        <f>IF(P897="","",IF(AND(AD897&lt;&gt;"",COUNTIFS(tcTipo,AD897,tcLiq,"Sí")&gt;0),IF(OR(P897="Gasto",P897="Transferencia",P897="Pago tarjeta"),-1,1)*S897,0)+IF(AND(AE897&lt;&gt;"",COUNTIFS(tcTipo,AE897,tcLiq,"Sí")&gt;0),S897,0))</f>
        <v/>
      </c>
      <c r="AI897" s="52">
        <f>IF(OR(L897="",P897=""),"",IF(COUNTIFS(L$6:L897,L897,P$6:P897,"?*")=1,MAX(AI$5:AI896)+1,""))</f>
        <v/>
      </c>
    </row>
    <row r="898">
      <c r="B898" s="47" t="n"/>
      <c r="C898" s="48" t="n"/>
      <c r="D898" s="48" t="n"/>
      <c r="E898" s="48" t="n"/>
      <c r="F898" s="48" t="n"/>
      <c r="G898" s="49" t="n"/>
      <c r="H898" s="48" t="n"/>
      <c r="I898" s="50" t="n"/>
      <c r="J898" s="48" t="n"/>
      <c r="K898" s="48" t="n"/>
      <c r="L898" s="48" t="n"/>
      <c r="M898" s="48" t="n"/>
      <c r="N898" s="48" t="n"/>
      <c r="O898" s="51">
        <f>IF(AND(B898="",G898="",C898="",D898="",J898=""),"",IF(B898="","⚠ Falta fecha",IF(G898="","⚠ Falta monto",IF(Q898="","⚠ Falta cuenta",IF(ISNA(MATCH(Q898,ctaNombre,0)),"⚠ Cuenta no registrada",IF(AND(OR(P898="Gasto",P898="Reembolso"),D898=""),"⚠ Falta categoría",IF(AND(D898&lt;&gt;"",E898&lt;&gt;"",ISNA(MATCH(D898&amp;"|"&amp;E898,catClave,0))),"⚠ Subcategoría no corresponde",IF(AND(OR(P898="Transferencia",P898="Pago tarjeta"),K898=""),"⚠ Falta cuenta destino",IF(AND(K898&lt;&gt;"",P898&lt;&gt;"Transferencia",P898&lt;&gt;"Pago tarjeta"),"⚠ Destino solo aplica a transferencias",IF(AND(K898&lt;&gt;"",K898=Q898),"⚠ Origen igual a destino",IF(AND(K898&lt;&gt;"",ISNA(MATCH(K898,ctaNombre,0))),"⚠ Destino no registrado",IF(AND(P898="Pago tarjeta",AE898&lt;&gt;"Tarjeta de crédito"),"⚠ El destino debe ser tarjeta de crédito",IF(AND(P898="Gasto",E898="Depósitos y retiros"),"⚠ Usa tipo Transferencia",IF(AND(P898="Resultado trading",AD898&lt;&gt;"Cuenta de trading"),"⚠ Usa una cuenta de trading",IF(AND(G898&lt;=0,P898&lt;&gt;"Ajuste",P898&lt;&gt;"Resultado trading"),"⚠ El monto debe ser positivo","✓")))))))))))))))</f>
        <v/>
      </c>
      <c r="P898" s="52">
        <f>IF(OR(B898="",G898=""),"",IF(C898="","Gasto",C898))</f>
        <v/>
      </c>
      <c r="Q898" s="52">
        <f>IF(P898="","",IF(J898&lt;&gt;"",J898,CuentaPred&amp;""))</f>
        <v/>
      </c>
      <c r="R898" s="52">
        <f>IF(P898="","",IF(ISNUMBER(I898),I898,TasaUSD))</f>
        <v/>
      </c>
      <c r="S898" s="53">
        <f>IF(P898="","",IF(H898="USD",G898*R898,G898))</f>
        <v/>
      </c>
      <c r="T898" s="53">
        <f>IF(P898="","",IF(H898="USD",G898,IF(R898&gt;0,G898/R898,0)))</f>
        <v/>
      </c>
      <c r="U898" s="53">
        <f>IF(P898="","",IF(P898="Gasto",S898,IF(P898="Reembolso",-S898,0)))</f>
        <v/>
      </c>
      <c r="V898" s="53">
        <f>IF(P898="","",IF(P898="Ingreso",S898,0))</f>
        <v/>
      </c>
      <c r="W898" s="53">
        <f>IF(P898="","",IF(P898="Resultado trading",S898,0))</f>
        <v/>
      </c>
      <c r="X898" s="52">
        <f>IF(OR(P898="Gasto",P898="Reembolso"),IF(M898&lt;&gt;"",M898,IFERROR(INDEX(catClasif,MATCH(D898&amp;"|"&amp;E898,catClave,0))&amp;"","Variable")),"")</f>
        <v/>
      </c>
      <c r="Y898" s="52">
        <f>IF(P898="","",IFERROR(INDEX(catGrupo,MATCH(D898&amp;"|"&amp;E898,catClave,0))&amp;"",""))</f>
        <v/>
      </c>
      <c r="Z898" s="52">
        <f>IF(P898="","",WEEKDAY(B898,2))</f>
        <v/>
      </c>
      <c r="AA898" s="52">
        <f>IF(P898="","",IF(AND(P898="Gasto",X898="Variable",D898&lt;&gt;catTrading,S898&gt;0,S898&lt;=Umbral),1,0))</f>
        <v/>
      </c>
      <c r="AB898" s="52">
        <f>IF(OR(P898="",Q898=""),"",IFERROR(IF(INDEX(ctaVinc,MATCH(Q898,ctaNombre,0))&amp;""&lt;&gt;"",INDEX(ctaVinc,MATCH(Q898,ctaNombre,0))&amp;"",Q898),Q898))</f>
        <v/>
      </c>
      <c r="AC898" s="52">
        <f>IF(OR(K898="",AND(P898&lt;&gt;"Transferencia",P898&lt;&gt;"Pago tarjeta")),"",IFERROR(IF(INDEX(ctaVinc,MATCH(K898,ctaNombre,0))&amp;""&lt;&gt;"",INDEX(ctaVinc,MATCH(K898,ctaNombre,0))&amp;"",K898),K898))</f>
        <v/>
      </c>
      <c r="AD898" s="52">
        <f>IF(AB898="","",IFERROR(INDEX(ctaTipo,MATCH(AB898,ctaNombre,0))&amp;"",""))</f>
        <v/>
      </c>
      <c r="AE898" s="52">
        <f>IF(AC898="","",IFERROR(INDEX(ctaTipo,MATCH(AC898,ctaNombre,0))&amp;"",""))</f>
        <v/>
      </c>
      <c r="AF898" s="53">
        <f>IF(OR(P898="",AB898=""),"",IF(OR(P898="Gasto",P898="Transferencia",P898="Pago tarjeta"),-1,1)*IF(IFERROR(INDEX(ctaMoneda,MATCH(AB898,ctaNombre,0))&amp;"","DOP")="USD",T898,S898))</f>
        <v/>
      </c>
      <c r="AG898" s="53">
        <f>IF(AC898="","",IF(IFERROR(INDEX(ctaMoneda,MATCH(AC898,ctaNombre,0))&amp;"","DOP")="USD",T898,S898))</f>
        <v/>
      </c>
      <c r="AH898" s="53">
        <f>IF(P898="","",IF(AND(AD898&lt;&gt;"",COUNTIFS(tcTipo,AD898,tcLiq,"Sí")&gt;0),IF(OR(P898="Gasto",P898="Transferencia",P898="Pago tarjeta"),-1,1)*S898,0)+IF(AND(AE898&lt;&gt;"",COUNTIFS(tcTipo,AE898,tcLiq,"Sí")&gt;0),S898,0))</f>
        <v/>
      </c>
      <c r="AI898" s="52">
        <f>IF(OR(L898="",P898=""),"",IF(COUNTIFS(L$6:L898,L898,P$6:P898,"?*")=1,MAX(AI$5:AI897)+1,""))</f>
        <v/>
      </c>
    </row>
    <row r="899">
      <c r="B899" s="47" t="n"/>
      <c r="C899" s="48" t="n"/>
      <c r="D899" s="48" t="n"/>
      <c r="E899" s="48" t="n"/>
      <c r="F899" s="48" t="n"/>
      <c r="G899" s="49" t="n"/>
      <c r="H899" s="48" t="n"/>
      <c r="I899" s="50" t="n"/>
      <c r="J899" s="48" t="n"/>
      <c r="K899" s="48" t="n"/>
      <c r="L899" s="48" t="n"/>
      <c r="M899" s="48" t="n"/>
      <c r="N899" s="48" t="n"/>
      <c r="O899" s="51">
        <f>IF(AND(B899="",G899="",C899="",D899="",J899=""),"",IF(B899="","⚠ Falta fecha",IF(G899="","⚠ Falta monto",IF(Q899="","⚠ Falta cuenta",IF(ISNA(MATCH(Q899,ctaNombre,0)),"⚠ Cuenta no registrada",IF(AND(OR(P899="Gasto",P899="Reembolso"),D899=""),"⚠ Falta categoría",IF(AND(D899&lt;&gt;"",E899&lt;&gt;"",ISNA(MATCH(D899&amp;"|"&amp;E899,catClave,0))),"⚠ Subcategoría no corresponde",IF(AND(OR(P899="Transferencia",P899="Pago tarjeta"),K899=""),"⚠ Falta cuenta destino",IF(AND(K899&lt;&gt;"",P899&lt;&gt;"Transferencia",P899&lt;&gt;"Pago tarjeta"),"⚠ Destino solo aplica a transferencias",IF(AND(K899&lt;&gt;"",K899=Q899),"⚠ Origen igual a destino",IF(AND(K899&lt;&gt;"",ISNA(MATCH(K899,ctaNombre,0))),"⚠ Destino no registrado",IF(AND(P899="Pago tarjeta",AE899&lt;&gt;"Tarjeta de crédito"),"⚠ El destino debe ser tarjeta de crédito",IF(AND(P899="Gasto",E899="Depósitos y retiros"),"⚠ Usa tipo Transferencia",IF(AND(P899="Resultado trading",AD899&lt;&gt;"Cuenta de trading"),"⚠ Usa una cuenta de trading",IF(AND(G899&lt;=0,P899&lt;&gt;"Ajuste",P899&lt;&gt;"Resultado trading"),"⚠ El monto debe ser positivo","✓")))))))))))))))</f>
        <v/>
      </c>
      <c r="P899" s="52">
        <f>IF(OR(B899="",G899=""),"",IF(C899="","Gasto",C899))</f>
        <v/>
      </c>
      <c r="Q899" s="52">
        <f>IF(P899="","",IF(J899&lt;&gt;"",J899,CuentaPred&amp;""))</f>
        <v/>
      </c>
      <c r="R899" s="52">
        <f>IF(P899="","",IF(ISNUMBER(I899),I899,TasaUSD))</f>
        <v/>
      </c>
      <c r="S899" s="53">
        <f>IF(P899="","",IF(H899="USD",G899*R899,G899))</f>
        <v/>
      </c>
      <c r="T899" s="53">
        <f>IF(P899="","",IF(H899="USD",G899,IF(R899&gt;0,G899/R899,0)))</f>
        <v/>
      </c>
      <c r="U899" s="53">
        <f>IF(P899="","",IF(P899="Gasto",S899,IF(P899="Reembolso",-S899,0)))</f>
        <v/>
      </c>
      <c r="V899" s="53">
        <f>IF(P899="","",IF(P899="Ingreso",S899,0))</f>
        <v/>
      </c>
      <c r="W899" s="53">
        <f>IF(P899="","",IF(P899="Resultado trading",S899,0))</f>
        <v/>
      </c>
      <c r="X899" s="52">
        <f>IF(OR(P899="Gasto",P899="Reembolso"),IF(M899&lt;&gt;"",M899,IFERROR(INDEX(catClasif,MATCH(D899&amp;"|"&amp;E899,catClave,0))&amp;"","Variable")),"")</f>
        <v/>
      </c>
      <c r="Y899" s="52">
        <f>IF(P899="","",IFERROR(INDEX(catGrupo,MATCH(D899&amp;"|"&amp;E899,catClave,0))&amp;"",""))</f>
        <v/>
      </c>
      <c r="Z899" s="52">
        <f>IF(P899="","",WEEKDAY(B899,2))</f>
        <v/>
      </c>
      <c r="AA899" s="52">
        <f>IF(P899="","",IF(AND(P899="Gasto",X899="Variable",D899&lt;&gt;catTrading,S899&gt;0,S899&lt;=Umbral),1,0))</f>
        <v/>
      </c>
      <c r="AB899" s="52">
        <f>IF(OR(P899="",Q899=""),"",IFERROR(IF(INDEX(ctaVinc,MATCH(Q899,ctaNombre,0))&amp;""&lt;&gt;"",INDEX(ctaVinc,MATCH(Q899,ctaNombre,0))&amp;"",Q899),Q899))</f>
        <v/>
      </c>
      <c r="AC899" s="52">
        <f>IF(OR(K899="",AND(P899&lt;&gt;"Transferencia",P899&lt;&gt;"Pago tarjeta")),"",IFERROR(IF(INDEX(ctaVinc,MATCH(K899,ctaNombre,0))&amp;""&lt;&gt;"",INDEX(ctaVinc,MATCH(K899,ctaNombre,0))&amp;"",K899),K899))</f>
        <v/>
      </c>
      <c r="AD899" s="52">
        <f>IF(AB899="","",IFERROR(INDEX(ctaTipo,MATCH(AB899,ctaNombre,0))&amp;"",""))</f>
        <v/>
      </c>
      <c r="AE899" s="52">
        <f>IF(AC899="","",IFERROR(INDEX(ctaTipo,MATCH(AC899,ctaNombre,0))&amp;"",""))</f>
        <v/>
      </c>
      <c r="AF899" s="53">
        <f>IF(OR(P899="",AB899=""),"",IF(OR(P899="Gasto",P899="Transferencia",P899="Pago tarjeta"),-1,1)*IF(IFERROR(INDEX(ctaMoneda,MATCH(AB899,ctaNombre,0))&amp;"","DOP")="USD",T899,S899))</f>
        <v/>
      </c>
      <c r="AG899" s="53">
        <f>IF(AC899="","",IF(IFERROR(INDEX(ctaMoneda,MATCH(AC899,ctaNombre,0))&amp;"","DOP")="USD",T899,S899))</f>
        <v/>
      </c>
      <c r="AH899" s="53">
        <f>IF(P899="","",IF(AND(AD899&lt;&gt;"",COUNTIFS(tcTipo,AD899,tcLiq,"Sí")&gt;0),IF(OR(P899="Gasto",P899="Transferencia",P899="Pago tarjeta"),-1,1)*S899,0)+IF(AND(AE899&lt;&gt;"",COUNTIFS(tcTipo,AE899,tcLiq,"Sí")&gt;0),S899,0))</f>
        <v/>
      </c>
      <c r="AI899" s="52">
        <f>IF(OR(L899="",P899=""),"",IF(COUNTIFS(L$6:L899,L899,P$6:P899,"?*")=1,MAX(AI$5:AI898)+1,""))</f>
        <v/>
      </c>
    </row>
    <row r="900">
      <c r="B900" s="47" t="n"/>
      <c r="C900" s="48" t="n"/>
      <c r="D900" s="48" t="n"/>
      <c r="E900" s="48" t="n"/>
      <c r="F900" s="48" t="n"/>
      <c r="G900" s="49" t="n"/>
      <c r="H900" s="48" t="n"/>
      <c r="I900" s="50" t="n"/>
      <c r="J900" s="48" t="n"/>
      <c r="K900" s="48" t="n"/>
      <c r="L900" s="48" t="n"/>
      <c r="M900" s="48" t="n"/>
      <c r="N900" s="48" t="n"/>
      <c r="O900" s="51">
        <f>IF(AND(B900="",G900="",C900="",D900="",J900=""),"",IF(B900="","⚠ Falta fecha",IF(G900="","⚠ Falta monto",IF(Q900="","⚠ Falta cuenta",IF(ISNA(MATCH(Q900,ctaNombre,0)),"⚠ Cuenta no registrada",IF(AND(OR(P900="Gasto",P900="Reembolso"),D900=""),"⚠ Falta categoría",IF(AND(D900&lt;&gt;"",E900&lt;&gt;"",ISNA(MATCH(D900&amp;"|"&amp;E900,catClave,0))),"⚠ Subcategoría no corresponde",IF(AND(OR(P900="Transferencia",P900="Pago tarjeta"),K900=""),"⚠ Falta cuenta destino",IF(AND(K900&lt;&gt;"",P900&lt;&gt;"Transferencia",P900&lt;&gt;"Pago tarjeta"),"⚠ Destino solo aplica a transferencias",IF(AND(K900&lt;&gt;"",K900=Q900),"⚠ Origen igual a destino",IF(AND(K900&lt;&gt;"",ISNA(MATCH(K900,ctaNombre,0))),"⚠ Destino no registrado",IF(AND(P900="Pago tarjeta",AE900&lt;&gt;"Tarjeta de crédito"),"⚠ El destino debe ser tarjeta de crédito",IF(AND(P900="Gasto",E900="Depósitos y retiros"),"⚠ Usa tipo Transferencia",IF(AND(P900="Resultado trading",AD900&lt;&gt;"Cuenta de trading"),"⚠ Usa una cuenta de trading",IF(AND(G900&lt;=0,P900&lt;&gt;"Ajuste",P900&lt;&gt;"Resultado trading"),"⚠ El monto debe ser positivo","✓")))))))))))))))</f>
        <v/>
      </c>
      <c r="P900" s="52">
        <f>IF(OR(B900="",G900=""),"",IF(C900="","Gasto",C900))</f>
        <v/>
      </c>
      <c r="Q900" s="52">
        <f>IF(P900="","",IF(J900&lt;&gt;"",J900,CuentaPred&amp;""))</f>
        <v/>
      </c>
      <c r="R900" s="52">
        <f>IF(P900="","",IF(ISNUMBER(I900),I900,TasaUSD))</f>
        <v/>
      </c>
      <c r="S900" s="53">
        <f>IF(P900="","",IF(H900="USD",G900*R900,G900))</f>
        <v/>
      </c>
      <c r="T900" s="53">
        <f>IF(P900="","",IF(H900="USD",G900,IF(R900&gt;0,G900/R900,0)))</f>
        <v/>
      </c>
      <c r="U900" s="53">
        <f>IF(P900="","",IF(P900="Gasto",S900,IF(P900="Reembolso",-S900,0)))</f>
        <v/>
      </c>
      <c r="V900" s="53">
        <f>IF(P900="","",IF(P900="Ingreso",S900,0))</f>
        <v/>
      </c>
      <c r="W900" s="53">
        <f>IF(P900="","",IF(P900="Resultado trading",S900,0))</f>
        <v/>
      </c>
      <c r="X900" s="52">
        <f>IF(OR(P900="Gasto",P900="Reembolso"),IF(M900&lt;&gt;"",M900,IFERROR(INDEX(catClasif,MATCH(D900&amp;"|"&amp;E900,catClave,0))&amp;"","Variable")),"")</f>
        <v/>
      </c>
      <c r="Y900" s="52">
        <f>IF(P900="","",IFERROR(INDEX(catGrupo,MATCH(D900&amp;"|"&amp;E900,catClave,0))&amp;"",""))</f>
        <v/>
      </c>
      <c r="Z900" s="52">
        <f>IF(P900="","",WEEKDAY(B900,2))</f>
        <v/>
      </c>
      <c r="AA900" s="52">
        <f>IF(P900="","",IF(AND(P900="Gasto",X900="Variable",D900&lt;&gt;catTrading,S900&gt;0,S900&lt;=Umbral),1,0))</f>
        <v/>
      </c>
      <c r="AB900" s="52">
        <f>IF(OR(P900="",Q900=""),"",IFERROR(IF(INDEX(ctaVinc,MATCH(Q900,ctaNombre,0))&amp;""&lt;&gt;"",INDEX(ctaVinc,MATCH(Q900,ctaNombre,0))&amp;"",Q900),Q900))</f>
        <v/>
      </c>
      <c r="AC900" s="52">
        <f>IF(OR(K900="",AND(P900&lt;&gt;"Transferencia",P900&lt;&gt;"Pago tarjeta")),"",IFERROR(IF(INDEX(ctaVinc,MATCH(K900,ctaNombre,0))&amp;""&lt;&gt;"",INDEX(ctaVinc,MATCH(K900,ctaNombre,0))&amp;"",K900),K900))</f>
        <v/>
      </c>
      <c r="AD900" s="52">
        <f>IF(AB900="","",IFERROR(INDEX(ctaTipo,MATCH(AB900,ctaNombre,0))&amp;"",""))</f>
        <v/>
      </c>
      <c r="AE900" s="52">
        <f>IF(AC900="","",IFERROR(INDEX(ctaTipo,MATCH(AC900,ctaNombre,0))&amp;"",""))</f>
        <v/>
      </c>
      <c r="AF900" s="53">
        <f>IF(OR(P900="",AB900=""),"",IF(OR(P900="Gasto",P900="Transferencia",P900="Pago tarjeta"),-1,1)*IF(IFERROR(INDEX(ctaMoneda,MATCH(AB900,ctaNombre,0))&amp;"","DOP")="USD",T900,S900))</f>
        <v/>
      </c>
      <c r="AG900" s="53">
        <f>IF(AC900="","",IF(IFERROR(INDEX(ctaMoneda,MATCH(AC900,ctaNombre,0))&amp;"","DOP")="USD",T900,S900))</f>
        <v/>
      </c>
      <c r="AH900" s="53">
        <f>IF(P900="","",IF(AND(AD900&lt;&gt;"",COUNTIFS(tcTipo,AD900,tcLiq,"Sí")&gt;0),IF(OR(P900="Gasto",P900="Transferencia",P900="Pago tarjeta"),-1,1)*S900,0)+IF(AND(AE900&lt;&gt;"",COUNTIFS(tcTipo,AE900,tcLiq,"Sí")&gt;0),S900,0))</f>
        <v/>
      </c>
      <c r="AI900" s="52">
        <f>IF(OR(L900="",P900=""),"",IF(COUNTIFS(L$6:L900,L900,P$6:P900,"?*")=1,MAX(AI$5:AI899)+1,""))</f>
        <v/>
      </c>
    </row>
    <row r="901">
      <c r="B901" s="47" t="n"/>
      <c r="C901" s="48" t="n"/>
      <c r="D901" s="48" t="n"/>
      <c r="E901" s="48" t="n"/>
      <c r="F901" s="48" t="n"/>
      <c r="G901" s="49" t="n"/>
      <c r="H901" s="48" t="n"/>
      <c r="I901" s="50" t="n"/>
      <c r="J901" s="48" t="n"/>
      <c r="K901" s="48" t="n"/>
      <c r="L901" s="48" t="n"/>
      <c r="M901" s="48" t="n"/>
      <c r="N901" s="48" t="n"/>
      <c r="O901" s="51">
        <f>IF(AND(B901="",G901="",C901="",D901="",J901=""),"",IF(B901="","⚠ Falta fecha",IF(G901="","⚠ Falta monto",IF(Q901="","⚠ Falta cuenta",IF(ISNA(MATCH(Q901,ctaNombre,0)),"⚠ Cuenta no registrada",IF(AND(OR(P901="Gasto",P901="Reembolso"),D901=""),"⚠ Falta categoría",IF(AND(D901&lt;&gt;"",E901&lt;&gt;"",ISNA(MATCH(D901&amp;"|"&amp;E901,catClave,0))),"⚠ Subcategoría no corresponde",IF(AND(OR(P901="Transferencia",P901="Pago tarjeta"),K901=""),"⚠ Falta cuenta destino",IF(AND(K901&lt;&gt;"",P901&lt;&gt;"Transferencia",P901&lt;&gt;"Pago tarjeta"),"⚠ Destino solo aplica a transferencias",IF(AND(K901&lt;&gt;"",K901=Q901),"⚠ Origen igual a destino",IF(AND(K901&lt;&gt;"",ISNA(MATCH(K901,ctaNombre,0))),"⚠ Destino no registrado",IF(AND(P901="Pago tarjeta",AE901&lt;&gt;"Tarjeta de crédito"),"⚠ El destino debe ser tarjeta de crédito",IF(AND(P901="Gasto",E901="Depósitos y retiros"),"⚠ Usa tipo Transferencia",IF(AND(P901="Resultado trading",AD901&lt;&gt;"Cuenta de trading"),"⚠ Usa una cuenta de trading",IF(AND(G901&lt;=0,P901&lt;&gt;"Ajuste",P901&lt;&gt;"Resultado trading"),"⚠ El monto debe ser positivo","✓")))))))))))))))</f>
        <v/>
      </c>
      <c r="P901" s="52">
        <f>IF(OR(B901="",G901=""),"",IF(C901="","Gasto",C901))</f>
        <v/>
      </c>
      <c r="Q901" s="52">
        <f>IF(P901="","",IF(J901&lt;&gt;"",J901,CuentaPred&amp;""))</f>
        <v/>
      </c>
      <c r="R901" s="52">
        <f>IF(P901="","",IF(ISNUMBER(I901),I901,TasaUSD))</f>
        <v/>
      </c>
      <c r="S901" s="53">
        <f>IF(P901="","",IF(H901="USD",G901*R901,G901))</f>
        <v/>
      </c>
      <c r="T901" s="53">
        <f>IF(P901="","",IF(H901="USD",G901,IF(R901&gt;0,G901/R901,0)))</f>
        <v/>
      </c>
      <c r="U901" s="53">
        <f>IF(P901="","",IF(P901="Gasto",S901,IF(P901="Reembolso",-S901,0)))</f>
        <v/>
      </c>
      <c r="V901" s="53">
        <f>IF(P901="","",IF(P901="Ingreso",S901,0))</f>
        <v/>
      </c>
      <c r="W901" s="53">
        <f>IF(P901="","",IF(P901="Resultado trading",S901,0))</f>
        <v/>
      </c>
      <c r="X901" s="52">
        <f>IF(OR(P901="Gasto",P901="Reembolso"),IF(M901&lt;&gt;"",M901,IFERROR(INDEX(catClasif,MATCH(D901&amp;"|"&amp;E901,catClave,0))&amp;"","Variable")),"")</f>
        <v/>
      </c>
      <c r="Y901" s="52">
        <f>IF(P901="","",IFERROR(INDEX(catGrupo,MATCH(D901&amp;"|"&amp;E901,catClave,0))&amp;"",""))</f>
        <v/>
      </c>
      <c r="Z901" s="52">
        <f>IF(P901="","",WEEKDAY(B901,2))</f>
        <v/>
      </c>
      <c r="AA901" s="52">
        <f>IF(P901="","",IF(AND(P901="Gasto",X901="Variable",D901&lt;&gt;catTrading,S901&gt;0,S901&lt;=Umbral),1,0))</f>
        <v/>
      </c>
      <c r="AB901" s="52">
        <f>IF(OR(P901="",Q901=""),"",IFERROR(IF(INDEX(ctaVinc,MATCH(Q901,ctaNombre,0))&amp;""&lt;&gt;"",INDEX(ctaVinc,MATCH(Q901,ctaNombre,0))&amp;"",Q901),Q901))</f>
        <v/>
      </c>
      <c r="AC901" s="52">
        <f>IF(OR(K901="",AND(P901&lt;&gt;"Transferencia",P901&lt;&gt;"Pago tarjeta")),"",IFERROR(IF(INDEX(ctaVinc,MATCH(K901,ctaNombre,0))&amp;""&lt;&gt;"",INDEX(ctaVinc,MATCH(K901,ctaNombre,0))&amp;"",K901),K901))</f>
        <v/>
      </c>
      <c r="AD901" s="52">
        <f>IF(AB901="","",IFERROR(INDEX(ctaTipo,MATCH(AB901,ctaNombre,0))&amp;"",""))</f>
        <v/>
      </c>
      <c r="AE901" s="52">
        <f>IF(AC901="","",IFERROR(INDEX(ctaTipo,MATCH(AC901,ctaNombre,0))&amp;"",""))</f>
        <v/>
      </c>
      <c r="AF901" s="53">
        <f>IF(OR(P901="",AB901=""),"",IF(OR(P901="Gasto",P901="Transferencia",P901="Pago tarjeta"),-1,1)*IF(IFERROR(INDEX(ctaMoneda,MATCH(AB901,ctaNombre,0))&amp;"","DOP")="USD",T901,S901))</f>
        <v/>
      </c>
      <c r="AG901" s="53">
        <f>IF(AC901="","",IF(IFERROR(INDEX(ctaMoneda,MATCH(AC901,ctaNombre,0))&amp;"","DOP")="USD",T901,S901))</f>
        <v/>
      </c>
      <c r="AH901" s="53">
        <f>IF(P901="","",IF(AND(AD901&lt;&gt;"",COUNTIFS(tcTipo,AD901,tcLiq,"Sí")&gt;0),IF(OR(P901="Gasto",P901="Transferencia",P901="Pago tarjeta"),-1,1)*S901,0)+IF(AND(AE901&lt;&gt;"",COUNTIFS(tcTipo,AE901,tcLiq,"Sí")&gt;0),S901,0))</f>
        <v/>
      </c>
      <c r="AI901" s="52">
        <f>IF(OR(L901="",P901=""),"",IF(COUNTIFS(L$6:L901,L901,P$6:P901,"?*")=1,MAX(AI$5:AI900)+1,""))</f>
        <v/>
      </c>
    </row>
    <row r="902">
      <c r="B902" s="47" t="n"/>
      <c r="C902" s="48" t="n"/>
      <c r="D902" s="48" t="n"/>
      <c r="E902" s="48" t="n"/>
      <c r="F902" s="48" t="n"/>
      <c r="G902" s="49" t="n"/>
      <c r="H902" s="48" t="n"/>
      <c r="I902" s="50" t="n"/>
      <c r="J902" s="48" t="n"/>
      <c r="K902" s="48" t="n"/>
      <c r="L902" s="48" t="n"/>
      <c r="M902" s="48" t="n"/>
      <c r="N902" s="48" t="n"/>
      <c r="O902" s="51">
        <f>IF(AND(B902="",G902="",C902="",D902="",J902=""),"",IF(B902="","⚠ Falta fecha",IF(G902="","⚠ Falta monto",IF(Q902="","⚠ Falta cuenta",IF(ISNA(MATCH(Q902,ctaNombre,0)),"⚠ Cuenta no registrada",IF(AND(OR(P902="Gasto",P902="Reembolso"),D902=""),"⚠ Falta categoría",IF(AND(D902&lt;&gt;"",E902&lt;&gt;"",ISNA(MATCH(D902&amp;"|"&amp;E902,catClave,0))),"⚠ Subcategoría no corresponde",IF(AND(OR(P902="Transferencia",P902="Pago tarjeta"),K902=""),"⚠ Falta cuenta destino",IF(AND(K902&lt;&gt;"",P902&lt;&gt;"Transferencia",P902&lt;&gt;"Pago tarjeta"),"⚠ Destino solo aplica a transferencias",IF(AND(K902&lt;&gt;"",K902=Q902),"⚠ Origen igual a destino",IF(AND(K902&lt;&gt;"",ISNA(MATCH(K902,ctaNombre,0))),"⚠ Destino no registrado",IF(AND(P902="Pago tarjeta",AE902&lt;&gt;"Tarjeta de crédito"),"⚠ El destino debe ser tarjeta de crédito",IF(AND(P902="Gasto",E902="Depósitos y retiros"),"⚠ Usa tipo Transferencia",IF(AND(P902="Resultado trading",AD902&lt;&gt;"Cuenta de trading"),"⚠ Usa una cuenta de trading",IF(AND(G902&lt;=0,P902&lt;&gt;"Ajuste",P902&lt;&gt;"Resultado trading"),"⚠ El monto debe ser positivo","✓")))))))))))))))</f>
        <v/>
      </c>
      <c r="P902" s="52">
        <f>IF(OR(B902="",G902=""),"",IF(C902="","Gasto",C902))</f>
        <v/>
      </c>
      <c r="Q902" s="52">
        <f>IF(P902="","",IF(J902&lt;&gt;"",J902,CuentaPred&amp;""))</f>
        <v/>
      </c>
      <c r="R902" s="52">
        <f>IF(P902="","",IF(ISNUMBER(I902),I902,TasaUSD))</f>
        <v/>
      </c>
      <c r="S902" s="53">
        <f>IF(P902="","",IF(H902="USD",G902*R902,G902))</f>
        <v/>
      </c>
      <c r="T902" s="53">
        <f>IF(P902="","",IF(H902="USD",G902,IF(R902&gt;0,G902/R902,0)))</f>
        <v/>
      </c>
      <c r="U902" s="53">
        <f>IF(P902="","",IF(P902="Gasto",S902,IF(P902="Reembolso",-S902,0)))</f>
        <v/>
      </c>
      <c r="V902" s="53">
        <f>IF(P902="","",IF(P902="Ingreso",S902,0))</f>
        <v/>
      </c>
      <c r="W902" s="53">
        <f>IF(P902="","",IF(P902="Resultado trading",S902,0))</f>
        <v/>
      </c>
      <c r="X902" s="52">
        <f>IF(OR(P902="Gasto",P902="Reembolso"),IF(M902&lt;&gt;"",M902,IFERROR(INDEX(catClasif,MATCH(D902&amp;"|"&amp;E902,catClave,0))&amp;"","Variable")),"")</f>
        <v/>
      </c>
      <c r="Y902" s="52">
        <f>IF(P902="","",IFERROR(INDEX(catGrupo,MATCH(D902&amp;"|"&amp;E902,catClave,0))&amp;"",""))</f>
        <v/>
      </c>
      <c r="Z902" s="52">
        <f>IF(P902="","",WEEKDAY(B902,2))</f>
        <v/>
      </c>
      <c r="AA902" s="52">
        <f>IF(P902="","",IF(AND(P902="Gasto",X902="Variable",D902&lt;&gt;catTrading,S902&gt;0,S902&lt;=Umbral),1,0))</f>
        <v/>
      </c>
      <c r="AB902" s="52">
        <f>IF(OR(P902="",Q902=""),"",IFERROR(IF(INDEX(ctaVinc,MATCH(Q902,ctaNombre,0))&amp;""&lt;&gt;"",INDEX(ctaVinc,MATCH(Q902,ctaNombre,0))&amp;"",Q902),Q902))</f>
        <v/>
      </c>
      <c r="AC902" s="52">
        <f>IF(OR(K902="",AND(P902&lt;&gt;"Transferencia",P902&lt;&gt;"Pago tarjeta")),"",IFERROR(IF(INDEX(ctaVinc,MATCH(K902,ctaNombre,0))&amp;""&lt;&gt;"",INDEX(ctaVinc,MATCH(K902,ctaNombre,0))&amp;"",K902),K902))</f>
        <v/>
      </c>
      <c r="AD902" s="52">
        <f>IF(AB902="","",IFERROR(INDEX(ctaTipo,MATCH(AB902,ctaNombre,0))&amp;"",""))</f>
        <v/>
      </c>
      <c r="AE902" s="52">
        <f>IF(AC902="","",IFERROR(INDEX(ctaTipo,MATCH(AC902,ctaNombre,0))&amp;"",""))</f>
        <v/>
      </c>
      <c r="AF902" s="53">
        <f>IF(OR(P902="",AB902=""),"",IF(OR(P902="Gasto",P902="Transferencia",P902="Pago tarjeta"),-1,1)*IF(IFERROR(INDEX(ctaMoneda,MATCH(AB902,ctaNombre,0))&amp;"","DOP")="USD",T902,S902))</f>
        <v/>
      </c>
      <c r="AG902" s="53">
        <f>IF(AC902="","",IF(IFERROR(INDEX(ctaMoneda,MATCH(AC902,ctaNombre,0))&amp;"","DOP")="USD",T902,S902))</f>
        <v/>
      </c>
      <c r="AH902" s="53">
        <f>IF(P902="","",IF(AND(AD902&lt;&gt;"",COUNTIFS(tcTipo,AD902,tcLiq,"Sí")&gt;0),IF(OR(P902="Gasto",P902="Transferencia",P902="Pago tarjeta"),-1,1)*S902,0)+IF(AND(AE902&lt;&gt;"",COUNTIFS(tcTipo,AE902,tcLiq,"Sí")&gt;0),S902,0))</f>
        <v/>
      </c>
      <c r="AI902" s="52">
        <f>IF(OR(L902="",P902=""),"",IF(COUNTIFS(L$6:L902,L902,P$6:P902,"?*")=1,MAX(AI$5:AI901)+1,""))</f>
        <v/>
      </c>
    </row>
    <row r="903">
      <c r="B903" s="47" t="n"/>
      <c r="C903" s="48" t="n"/>
      <c r="D903" s="48" t="n"/>
      <c r="E903" s="48" t="n"/>
      <c r="F903" s="48" t="n"/>
      <c r="G903" s="49" t="n"/>
      <c r="H903" s="48" t="n"/>
      <c r="I903" s="50" t="n"/>
      <c r="J903" s="48" t="n"/>
      <c r="K903" s="48" t="n"/>
      <c r="L903" s="48" t="n"/>
      <c r="M903" s="48" t="n"/>
      <c r="N903" s="48" t="n"/>
      <c r="O903" s="51">
        <f>IF(AND(B903="",G903="",C903="",D903="",J903=""),"",IF(B903="","⚠ Falta fecha",IF(G903="","⚠ Falta monto",IF(Q903="","⚠ Falta cuenta",IF(ISNA(MATCH(Q903,ctaNombre,0)),"⚠ Cuenta no registrada",IF(AND(OR(P903="Gasto",P903="Reembolso"),D903=""),"⚠ Falta categoría",IF(AND(D903&lt;&gt;"",E903&lt;&gt;"",ISNA(MATCH(D903&amp;"|"&amp;E903,catClave,0))),"⚠ Subcategoría no corresponde",IF(AND(OR(P903="Transferencia",P903="Pago tarjeta"),K903=""),"⚠ Falta cuenta destino",IF(AND(K903&lt;&gt;"",P903&lt;&gt;"Transferencia",P903&lt;&gt;"Pago tarjeta"),"⚠ Destino solo aplica a transferencias",IF(AND(K903&lt;&gt;"",K903=Q903),"⚠ Origen igual a destino",IF(AND(K903&lt;&gt;"",ISNA(MATCH(K903,ctaNombre,0))),"⚠ Destino no registrado",IF(AND(P903="Pago tarjeta",AE903&lt;&gt;"Tarjeta de crédito"),"⚠ El destino debe ser tarjeta de crédito",IF(AND(P903="Gasto",E903="Depósitos y retiros"),"⚠ Usa tipo Transferencia",IF(AND(P903="Resultado trading",AD903&lt;&gt;"Cuenta de trading"),"⚠ Usa una cuenta de trading",IF(AND(G903&lt;=0,P903&lt;&gt;"Ajuste",P903&lt;&gt;"Resultado trading"),"⚠ El monto debe ser positivo","✓")))))))))))))))</f>
        <v/>
      </c>
      <c r="P903" s="52">
        <f>IF(OR(B903="",G903=""),"",IF(C903="","Gasto",C903))</f>
        <v/>
      </c>
      <c r="Q903" s="52">
        <f>IF(P903="","",IF(J903&lt;&gt;"",J903,CuentaPred&amp;""))</f>
        <v/>
      </c>
      <c r="R903" s="52">
        <f>IF(P903="","",IF(ISNUMBER(I903),I903,TasaUSD))</f>
        <v/>
      </c>
      <c r="S903" s="53">
        <f>IF(P903="","",IF(H903="USD",G903*R903,G903))</f>
        <v/>
      </c>
      <c r="T903" s="53">
        <f>IF(P903="","",IF(H903="USD",G903,IF(R903&gt;0,G903/R903,0)))</f>
        <v/>
      </c>
      <c r="U903" s="53">
        <f>IF(P903="","",IF(P903="Gasto",S903,IF(P903="Reembolso",-S903,0)))</f>
        <v/>
      </c>
      <c r="V903" s="53">
        <f>IF(P903="","",IF(P903="Ingreso",S903,0))</f>
        <v/>
      </c>
      <c r="W903" s="53">
        <f>IF(P903="","",IF(P903="Resultado trading",S903,0))</f>
        <v/>
      </c>
      <c r="X903" s="52">
        <f>IF(OR(P903="Gasto",P903="Reembolso"),IF(M903&lt;&gt;"",M903,IFERROR(INDEX(catClasif,MATCH(D903&amp;"|"&amp;E903,catClave,0))&amp;"","Variable")),"")</f>
        <v/>
      </c>
      <c r="Y903" s="52">
        <f>IF(P903="","",IFERROR(INDEX(catGrupo,MATCH(D903&amp;"|"&amp;E903,catClave,0))&amp;"",""))</f>
        <v/>
      </c>
      <c r="Z903" s="52">
        <f>IF(P903="","",WEEKDAY(B903,2))</f>
        <v/>
      </c>
      <c r="AA903" s="52">
        <f>IF(P903="","",IF(AND(P903="Gasto",X903="Variable",D903&lt;&gt;catTrading,S903&gt;0,S903&lt;=Umbral),1,0))</f>
        <v/>
      </c>
      <c r="AB903" s="52">
        <f>IF(OR(P903="",Q903=""),"",IFERROR(IF(INDEX(ctaVinc,MATCH(Q903,ctaNombre,0))&amp;""&lt;&gt;"",INDEX(ctaVinc,MATCH(Q903,ctaNombre,0))&amp;"",Q903),Q903))</f>
        <v/>
      </c>
      <c r="AC903" s="52">
        <f>IF(OR(K903="",AND(P903&lt;&gt;"Transferencia",P903&lt;&gt;"Pago tarjeta")),"",IFERROR(IF(INDEX(ctaVinc,MATCH(K903,ctaNombre,0))&amp;""&lt;&gt;"",INDEX(ctaVinc,MATCH(K903,ctaNombre,0))&amp;"",K903),K903))</f>
        <v/>
      </c>
      <c r="AD903" s="52">
        <f>IF(AB903="","",IFERROR(INDEX(ctaTipo,MATCH(AB903,ctaNombre,0))&amp;"",""))</f>
        <v/>
      </c>
      <c r="AE903" s="52">
        <f>IF(AC903="","",IFERROR(INDEX(ctaTipo,MATCH(AC903,ctaNombre,0))&amp;"",""))</f>
        <v/>
      </c>
      <c r="AF903" s="53">
        <f>IF(OR(P903="",AB903=""),"",IF(OR(P903="Gasto",P903="Transferencia",P903="Pago tarjeta"),-1,1)*IF(IFERROR(INDEX(ctaMoneda,MATCH(AB903,ctaNombre,0))&amp;"","DOP")="USD",T903,S903))</f>
        <v/>
      </c>
      <c r="AG903" s="53">
        <f>IF(AC903="","",IF(IFERROR(INDEX(ctaMoneda,MATCH(AC903,ctaNombre,0))&amp;"","DOP")="USD",T903,S903))</f>
        <v/>
      </c>
      <c r="AH903" s="53">
        <f>IF(P903="","",IF(AND(AD903&lt;&gt;"",COUNTIFS(tcTipo,AD903,tcLiq,"Sí")&gt;0),IF(OR(P903="Gasto",P903="Transferencia",P903="Pago tarjeta"),-1,1)*S903,0)+IF(AND(AE903&lt;&gt;"",COUNTIFS(tcTipo,AE903,tcLiq,"Sí")&gt;0),S903,0))</f>
        <v/>
      </c>
      <c r="AI903" s="52">
        <f>IF(OR(L903="",P903=""),"",IF(COUNTIFS(L$6:L903,L903,P$6:P903,"?*")=1,MAX(AI$5:AI902)+1,""))</f>
        <v/>
      </c>
    </row>
    <row r="904">
      <c r="B904" s="47" t="n"/>
      <c r="C904" s="48" t="n"/>
      <c r="D904" s="48" t="n"/>
      <c r="E904" s="48" t="n"/>
      <c r="F904" s="48" t="n"/>
      <c r="G904" s="49" t="n"/>
      <c r="H904" s="48" t="n"/>
      <c r="I904" s="50" t="n"/>
      <c r="J904" s="48" t="n"/>
      <c r="K904" s="48" t="n"/>
      <c r="L904" s="48" t="n"/>
      <c r="M904" s="48" t="n"/>
      <c r="N904" s="48" t="n"/>
      <c r="O904" s="51">
        <f>IF(AND(B904="",G904="",C904="",D904="",J904=""),"",IF(B904="","⚠ Falta fecha",IF(G904="","⚠ Falta monto",IF(Q904="","⚠ Falta cuenta",IF(ISNA(MATCH(Q904,ctaNombre,0)),"⚠ Cuenta no registrada",IF(AND(OR(P904="Gasto",P904="Reembolso"),D904=""),"⚠ Falta categoría",IF(AND(D904&lt;&gt;"",E904&lt;&gt;"",ISNA(MATCH(D904&amp;"|"&amp;E904,catClave,0))),"⚠ Subcategoría no corresponde",IF(AND(OR(P904="Transferencia",P904="Pago tarjeta"),K904=""),"⚠ Falta cuenta destino",IF(AND(K904&lt;&gt;"",P904&lt;&gt;"Transferencia",P904&lt;&gt;"Pago tarjeta"),"⚠ Destino solo aplica a transferencias",IF(AND(K904&lt;&gt;"",K904=Q904),"⚠ Origen igual a destino",IF(AND(K904&lt;&gt;"",ISNA(MATCH(K904,ctaNombre,0))),"⚠ Destino no registrado",IF(AND(P904="Pago tarjeta",AE904&lt;&gt;"Tarjeta de crédito"),"⚠ El destino debe ser tarjeta de crédito",IF(AND(P904="Gasto",E904="Depósitos y retiros"),"⚠ Usa tipo Transferencia",IF(AND(P904="Resultado trading",AD904&lt;&gt;"Cuenta de trading"),"⚠ Usa una cuenta de trading",IF(AND(G904&lt;=0,P904&lt;&gt;"Ajuste",P904&lt;&gt;"Resultado trading"),"⚠ El monto debe ser positivo","✓")))))))))))))))</f>
        <v/>
      </c>
      <c r="P904" s="52">
        <f>IF(OR(B904="",G904=""),"",IF(C904="","Gasto",C904))</f>
        <v/>
      </c>
      <c r="Q904" s="52">
        <f>IF(P904="","",IF(J904&lt;&gt;"",J904,CuentaPred&amp;""))</f>
        <v/>
      </c>
      <c r="R904" s="52">
        <f>IF(P904="","",IF(ISNUMBER(I904),I904,TasaUSD))</f>
        <v/>
      </c>
      <c r="S904" s="53">
        <f>IF(P904="","",IF(H904="USD",G904*R904,G904))</f>
        <v/>
      </c>
      <c r="T904" s="53">
        <f>IF(P904="","",IF(H904="USD",G904,IF(R904&gt;0,G904/R904,0)))</f>
        <v/>
      </c>
      <c r="U904" s="53">
        <f>IF(P904="","",IF(P904="Gasto",S904,IF(P904="Reembolso",-S904,0)))</f>
        <v/>
      </c>
      <c r="V904" s="53">
        <f>IF(P904="","",IF(P904="Ingreso",S904,0))</f>
        <v/>
      </c>
      <c r="W904" s="53">
        <f>IF(P904="","",IF(P904="Resultado trading",S904,0))</f>
        <v/>
      </c>
      <c r="X904" s="52">
        <f>IF(OR(P904="Gasto",P904="Reembolso"),IF(M904&lt;&gt;"",M904,IFERROR(INDEX(catClasif,MATCH(D904&amp;"|"&amp;E904,catClave,0))&amp;"","Variable")),"")</f>
        <v/>
      </c>
      <c r="Y904" s="52">
        <f>IF(P904="","",IFERROR(INDEX(catGrupo,MATCH(D904&amp;"|"&amp;E904,catClave,0))&amp;"",""))</f>
        <v/>
      </c>
      <c r="Z904" s="52">
        <f>IF(P904="","",WEEKDAY(B904,2))</f>
        <v/>
      </c>
      <c r="AA904" s="52">
        <f>IF(P904="","",IF(AND(P904="Gasto",X904="Variable",D904&lt;&gt;catTrading,S904&gt;0,S904&lt;=Umbral),1,0))</f>
        <v/>
      </c>
      <c r="AB904" s="52">
        <f>IF(OR(P904="",Q904=""),"",IFERROR(IF(INDEX(ctaVinc,MATCH(Q904,ctaNombre,0))&amp;""&lt;&gt;"",INDEX(ctaVinc,MATCH(Q904,ctaNombre,0))&amp;"",Q904),Q904))</f>
        <v/>
      </c>
      <c r="AC904" s="52">
        <f>IF(OR(K904="",AND(P904&lt;&gt;"Transferencia",P904&lt;&gt;"Pago tarjeta")),"",IFERROR(IF(INDEX(ctaVinc,MATCH(K904,ctaNombre,0))&amp;""&lt;&gt;"",INDEX(ctaVinc,MATCH(K904,ctaNombre,0))&amp;"",K904),K904))</f>
        <v/>
      </c>
      <c r="AD904" s="52">
        <f>IF(AB904="","",IFERROR(INDEX(ctaTipo,MATCH(AB904,ctaNombre,0))&amp;"",""))</f>
        <v/>
      </c>
      <c r="AE904" s="52">
        <f>IF(AC904="","",IFERROR(INDEX(ctaTipo,MATCH(AC904,ctaNombre,0))&amp;"",""))</f>
        <v/>
      </c>
      <c r="AF904" s="53">
        <f>IF(OR(P904="",AB904=""),"",IF(OR(P904="Gasto",P904="Transferencia",P904="Pago tarjeta"),-1,1)*IF(IFERROR(INDEX(ctaMoneda,MATCH(AB904,ctaNombre,0))&amp;"","DOP")="USD",T904,S904))</f>
        <v/>
      </c>
      <c r="AG904" s="53">
        <f>IF(AC904="","",IF(IFERROR(INDEX(ctaMoneda,MATCH(AC904,ctaNombre,0))&amp;"","DOP")="USD",T904,S904))</f>
        <v/>
      </c>
      <c r="AH904" s="53">
        <f>IF(P904="","",IF(AND(AD904&lt;&gt;"",COUNTIFS(tcTipo,AD904,tcLiq,"Sí")&gt;0),IF(OR(P904="Gasto",P904="Transferencia",P904="Pago tarjeta"),-1,1)*S904,0)+IF(AND(AE904&lt;&gt;"",COUNTIFS(tcTipo,AE904,tcLiq,"Sí")&gt;0),S904,0))</f>
        <v/>
      </c>
      <c r="AI904" s="52">
        <f>IF(OR(L904="",P904=""),"",IF(COUNTIFS(L$6:L904,L904,P$6:P904,"?*")=1,MAX(AI$5:AI903)+1,""))</f>
        <v/>
      </c>
    </row>
    <row r="905">
      <c r="B905" s="47" t="n"/>
      <c r="C905" s="48" t="n"/>
      <c r="D905" s="48" t="n"/>
      <c r="E905" s="48" t="n"/>
      <c r="F905" s="48" t="n"/>
      <c r="G905" s="49" t="n"/>
      <c r="H905" s="48" t="n"/>
      <c r="I905" s="50" t="n"/>
      <c r="J905" s="48" t="n"/>
      <c r="K905" s="48" t="n"/>
      <c r="L905" s="48" t="n"/>
      <c r="M905" s="48" t="n"/>
      <c r="N905" s="48" t="n"/>
      <c r="O905" s="51">
        <f>IF(AND(B905="",G905="",C905="",D905="",J905=""),"",IF(B905="","⚠ Falta fecha",IF(G905="","⚠ Falta monto",IF(Q905="","⚠ Falta cuenta",IF(ISNA(MATCH(Q905,ctaNombre,0)),"⚠ Cuenta no registrada",IF(AND(OR(P905="Gasto",P905="Reembolso"),D905=""),"⚠ Falta categoría",IF(AND(D905&lt;&gt;"",E905&lt;&gt;"",ISNA(MATCH(D905&amp;"|"&amp;E905,catClave,0))),"⚠ Subcategoría no corresponde",IF(AND(OR(P905="Transferencia",P905="Pago tarjeta"),K905=""),"⚠ Falta cuenta destino",IF(AND(K905&lt;&gt;"",P905&lt;&gt;"Transferencia",P905&lt;&gt;"Pago tarjeta"),"⚠ Destino solo aplica a transferencias",IF(AND(K905&lt;&gt;"",K905=Q905),"⚠ Origen igual a destino",IF(AND(K905&lt;&gt;"",ISNA(MATCH(K905,ctaNombre,0))),"⚠ Destino no registrado",IF(AND(P905="Pago tarjeta",AE905&lt;&gt;"Tarjeta de crédito"),"⚠ El destino debe ser tarjeta de crédito",IF(AND(P905="Gasto",E905="Depósitos y retiros"),"⚠ Usa tipo Transferencia",IF(AND(P905="Resultado trading",AD905&lt;&gt;"Cuenta de trading"),"⚠ Usa una cuenta de trading",IF(AND(G905&lt;=0,P905&lt;&gt;"Ajuste",P905&lt;&gt;"Resultado trading"),"⚠ El monto debe ser positivo","✓")))))))))))))))</f>
        <v/>
      </c>
      <c r="P905" s="52">
        <f>IF(OR(B905="",G905=""),"",IF(C905="","Gasto",C905))</f>
        <v/>
      </c>
      <c r="Q905" s="52">
        <f>IF(P905="","",IF(J905&lt;&gt;"",J905,CuentaPred&amp;""))</f>
        <v/>
      </c>
      <c r="R905" s="52">
        <f>IF(P905="","",IF(ISNUMBER(I905),I905,TasaUSD))</f>
        <v/>
      </c>
      <c r="S905" s="53">
        <f>IF(P905="","",IF(H905="USD",G905*R905,G905))</f>
        <v/>
      </c>
      <c r="T905" s="53">
        <f>IF(P905="","",IF(H905="USD",G905,IF(R905&gt;0,G905/R905,0)))</f>
        <v/>
      </c>
      <c r="U905" s="53">
        <f>IF(P905="","",IF(P905="Gasto",S905,IF(P905="Reembolso",-S905,0)))</f>
        <v/>
      </c>
      <c r="V905" s="53">
        <f>IF(P905="","",IF(P905="Ingreso",S905,0))</f>
        <v/>
      </c>
      <c r="W905" s="53">
        <f>IF(P905="","",IF(P905="Resultado trading",S905,0))</f>
        <v/>
      </c>
      <c r="X905" s="52">
        <f>IF(OR(P905="Gasto",P905="Reembolso"),IF(M905&lt;&gt;"",M905,IFERROR(INDEX(catClasif,MATCH(D905&amp;"|"&amp;E905,catClave,0))&amp;"","Variable")),"")</f>
        <v/>
      </c>
      <c r="Y905" s="52">
        <f>IF(P905="","",IFERROR(INDEX(catGrupo,MATCH(D905&amp;"|"&amp;E905,catClave,0))&amp;"",""))</f>
        <v/>
      </c>
      <c r="Z905" s="52">
        <f>IF(P905="","",WEEKDAY(B905,2))</f>
        <v/>
      </c>
      <c r="AA905" s="52">
        <f>IF(P905="","",IF(AND(P905="Gasto",X905="Variable",D905&lt;&gt;catTrading,S905&gt;0,S905&lt;=Umbral),1,0))</f>
        <v/>
      </c>
      <c r="AB905" s="52">
        <f>IF(OR(P905="",Q905=""),"",IFERROR(IF(INDEX(ctaVinc,MATCH(Q905,ctaNombre,0))&amp;""&lt;&gt;"",INDEX(ctaVinc,MATCH(Q905,ctaNombre,0))&amp;"",Q905),Q905))</f>
        <v/>
      </c>
      <c r="AC905" s="52">
        <f>IF(OR(K905="",AND(P905&lt;&gt;"Transferencia",P905&lt;&gt;"Pago tarjeta")),"",IFERROR(IF(INDEX(ctaVinc,MATCH(K905,ctaNombre,0))&amp;""&lt;&gt;"",INDEX(ctaVinc,MATCH(K905,ctaNombre,0))&amp;"",K905),K905))</f>
        <v/>
      </c>
      <c r="AD905" s="52">
        <f>IF(AB905="","",IFERROR(INDEX(ctaTipo,MATCH(AB905,ctaNombre,0))&amp;"",""))</f>
        <v/>
      </c>
      <c r="AE905" s="52">
        <f>IF(AC905="","",IFERROR(INDEX(ctaTipo,MATCH(AC905,ctaNombre,0))&amp;"",""))</f>
        <v/>
      </c>
      <c r="AF905" s="53">
        <f>IF(OR(P905="",AB905=""),"",IF(OR(P905="Gasto",P905="Transferencia",P905="Pago tarjeta"),-1,1)*IF(IFERROR(INDEX(ctaMoneda,MATCH(AB905,ctaNombre,0))&amp;"","DOP")="USD",T905,S905))</f>
        <v/>
      </c>
      <c r="AG905" s="53">
        <f>IF(AC905="","",IF(IFERROR(INDEX(ctaMoneda,MATCH(AC905,ctaNombre,0))&amp;"","DOP")="USD",T905,S905))</f>
        <v/>
      </c>
      <c r="AH905" s="53">
        <f>IF(P905="","",IF(AND(AD905&lt;&gt;"",COUNTIFS(tcTipo,AD905,tcLiq,"Sí")&gt;0),IF(OR(P905="Gasto",P905="Transferencia",P905="Pago tarjeta"),-1,1)*S905,0)+IF(AND(AE905&lt;&gt;"",COUNTIFS(tcTipo,AE905,tcLiq,"Sí")&gt;0),S905,0))</f>
        <v/>
      </c>
      <c r="AI905" s="52">
        <f>IF(OR(L905="",P905=""),"",IF(COUNTIFS(L$6:L905,L905,P$6:P905,"?*")=1,MAX(AI$5:AI904)+1,""))</f>
        <v/>
      </c>
    </row>
    <row r="906">
      <c r="B906" s="47" t="n"/>
      <c r="C906" s="48" t="n"/>
      <c r="D906" s="48" t="n"/>
      <c r="E906" s="48" t="n"/>
      <c r="F906" s="48" t="n"/>
      <c r="G906" s="49" t="n"/>
      <c r="H906" s="48" t="n"/>
      <c r="I906" s="50" t="n"/>
      <c r="J906" s="48" t="n"/>
      <c r="K906" s="48" t="n"/>
      <c r="L906" s="48" t="n"/>
      <c r="M906" s="48" t="n"/>
      <c r="N906" s="48" t="n"/>
      <c r="O906" s="51">
        <f>IF(AND(B906="",G906="",C906="",D906="",J906=""),"",IF(B906="","⚠ Falta fecha",IF(G906="","⚠ Falta monto",IF(Q906="","⚠ Falta cuenta",IF(ISNA(MATCH(Q906,ctaNombre,0)),"⚠ Cuenta no registrada",IF(AND(OR(P906="Gasto",P906="Reembolso"),D906=""),"⚠ Falta categoría",IF(AND(D906&lt;&gt;"",E906&lt;&gt;"",ISNA(MATCH(D906&amp;"|"&amp;E906,catClave,0))),"⚠ Subcategoría no corresponde",IF(AND(OR(P906="Transferencia",P906="Pago tarjeta"),K906=""),"⚠ Falta cuenta destino",IF(AND(K906&lt;&gt;"",P906&lt;&gt;"Transferencia",P906&lt;&gt;"Pago tarjeta"),"⚠ Destino solo aplica a transferencias",IF(AND(K906&lt;&gt;"",K906=Q906),"⚠ Origen igual a destino",IF(AND(K906&lt;&gt;"",ISNA(MATCH(K906,ctaNombre,0))),"⚠ Destino no registrado",IF(AND(P906="Pago tarjeta",AE906&lt;&gt;"Tarjeta de crédito"),"⚠ El destino debe ser tarjeta de crédito",IF(AND(P906="Gasto",E906="Depósitos y retiros"),"⚠ Usa tipo Transferencia",IF(AND(P906="Resultado trading",AD906&lt;&gt;"Cuenta de trading"),"⚠ Usa una cuenta de trading",IF(AND(G906&lt;=0,P906&lt;&gt;"Ajuste",P906&lt;&gt;"Resultado trading"),"⚠ El monto debe ser positivo","✓")))))))))))))))</f>
        <v/>
      </c>
      <c r="P906" s="52">
        <f>IF(OR(B906="",G906=""),"",IF(C906="","Gasto",C906))</f>
        <v/>
      </c>
      <c r="Q906" s="52">
        <f>IF(P906="","",IF(J906&lt;&gt;"",J906,CuentaPred&amp;""))</f>
        <v/>
      </c>
      <c r="R906" s="52">
        <f>IF(P906="","",IF(ISNUMBER(I906),I906,TasaUSD))</f>
        <v/>
      </c>
      <c r="S906" s="53">
        <f>IF(P906="","",IF(H906="USD",G906*R906,G906))</f>
        <v/>
      </c>
      <c r="T906" s="53">
        <f>IF(P906="","",IF(H906="USD",G906,IF(R906&gt;0,G906/R906,0)))</f>
        <v/>
      </c>
      <c r="U906" s="53">
        <f>IF(P906="","",IF(P906="Gasto",S906,IF(P906="Reembolso",-S906,0)))</f>
        <v/>
      </c>
      <c r="V906" s="53">
        <f>IF(P906="","",IF(P906="Ingreso",S906,0))</f>
        <v/>
      </c>
      <c r="W906" s="53">
        <f>IF(P906="","",IF(P906="Resultado trading",S906,0))</f>
        <v/>
      </c>
      <c r="X906" s="52">
        <f>IF(OR(P906="Gasto",P906="Reembolso"),IF(M906&lt;&gt;"",M906,IFERROR(INDEX(catClasif,MATCH(D906&amp;"|"&amp;E906,catClave,0))&amp;"","Variable")),"")</f>
        <v/>
      </c>
      <c r="Y906" s="52">
        <f>IF(P906="","",IFERROR(INDEX(catGrupo,MATCH(D906&amp;"|"&amp;E906,catClave,0))&amp;"",""))</f>
        <v/>
      </c>
      <c r="Z906" s="52">
        <f>IF(P906="","",WEEKDAY(B906,2))</f>
        <v/>
      </c>
      <c r="AA906" s="52">
        <f>IF(P906="","",IF(AND(P906="Gasto",X906="Variable",D906&lt;&gt;catTrading,S906&gt;0,S906&lt;=Umbral),1,0))</f>
        <v/>
      </c>
      <c r="AB906" s="52">
        <f>IF(OR(P906="",Q906=""),"",IFERROR(IF(INDEX(ctaVinc,MATCH(Q906,ctaNombre,0))&amp;""&lt;&gt;"",INDEX(ctaVinc,MATCH(Q906,ctaNombre,0))&amp;"",Q906),Q906))</f>
        <v/>
      </c>
      <c r="AC906" s="52">
        <f>IF(OR(K906="",AND(P906&lt;&gt;"Transferencia",P906&lt;&gt;"Pago tarjeta")),"",IFERROR(IF(INDEX(ctaVinc,MATCH(K906,ctaNombre,0))&amp;""&lt;&gt;"",INDEX(ctaVinc,MATCH(K906,ctaNombre,0))&amp;"",K906),K906))</f>
        <v/>
      </c>
      <c r="AD906" s="52">
        <f>IF(AB906="","",IFERROR(INDEX(ctaTipo,MATCH(AB906,ctaNombre,0))&amp;"",""))</f>
        <v/>
      </c>
      <c r="AE906" s="52">
        <f>IF(AC906="","",IFERROR(INDEX(ctaTipo,MATCH(AC906,ctaNombre,0))&amp;"",""))</f>
        <v/>
      </c>
      <c r="AF906" s="53">
        <f>IF(OR(P906="",AB906=""),"",IF(OR(P906="Gasto",P906="Transferencia",P906="Pago tarjeta"),-1,1)*IF(IFERROR(INDEX(ctaMoneda,MATCH(AB906,ctaNombre,0))&amp;"","DOP")="USD",T906,S906))</f>
        <v/>
      </c>
      <c r="AG906" s="53">
        <f>IF(AC906="","",IF(IFERROR(INDEX(ctaMoneda,MATCH(AC906,ctaNombre,0))&amp;"","DOP")="USD",T906,S906))</f>
        <v/>
      </c>
      <c r="AH906" s="53">
        <f>IF(P906="","",IF(AND(AD906&lt;&gt;"",COUNTIFS(tcTipo,AD906,tcLiq,"Sí")&gt;0),IF(OR(P906="Gasto",P906="Transferencia",P906="Pago tarjeta"),-1,1)*S906,0)+IF(AND(AE906&lt;&gt;"",COUNTIFS(tcTipo,AE906,tcLiq,"Sí")&gt;0),S906,0))</f>
        <v/>
      </c>
      <c r="AI906" s="52">
        <f>IF(OR(L906="",P906=""),"",IF(COUNTIFS(L$6:L906,L906,P$6:P906,"?*")=1,MAX(AI$5:AI905)+1,""))</f>
        <v/>
      </c>
    </row>
    <row r="907">
      <c r="B907" s="47" t="n"/>
      <c r="C907" s="48" t="n"/>
      <c r="D907" s="48" t="n"/>
      <c r="E907" s="48" t="n"/>
      <c r="F907" s="48" t="n"/>
      <c r="G907" s="49" t="n"/>
      <c r="H907" s="48" t="n"/>
      <c r="I907" s="50" t="n"/>
      <c r="J907" s="48" t="n"/>
      <c r="K907" s="48" t="n"/>
      <c r="L907" s="48" t="n"/>
      <c r="M907" s="48" t="n"/>
      <c r="N907" s="48" t="n"/>
      <c r="O907" s="51">
        <f>IF(AND(B907="",G907="",C907="",D907="",J907=""),"",IF(B907="","⚠ Falta fecha",IF(G907="","⚠ Falta monto",IF(Q907="","⚠ Falta cuenta",IF(ISNA(MATCH(Q907,ctaNombre,0)),"⚠ Cuenta no registrada",IF(AND(OR(P907="Gasto",P907="Reembolso"),D907=""),"⚠ Falta categoría",IF(AND(D907&lt;&gt;"",E907&lt;&gt;"",ISNA(MATCH(D907&amp;"|"&amp;E907,catClave,0))),"⚠ Subcategoría no corresponde",IF(AND(OR(P907="Transferencia",P907="Pago tarjeta"),K907=""),"⚠ Falta cuenta destino",IF(AND(K907&lt;&gt;"",P907&lt;&gt;"Transferencia",P907&lt;&gt;"Pago tarjeta"),"⚠ Destino solo aplica a transferencias",IF(AND(K907&lt;&gt;"",K907=Q907),"⚠ Origen igual a destino",IF(AND(K907&lt;&gt;"",ISNA(MATCH(K907,ctaNombre,0))),"⚠ Destino no registrado",IF(AND(P907="Pago tarjeta",AE907&lt;&gt;"Tarjeta de crédito"),"⚠ El destino debe ser tarjeta de crédito",IF(AND(P907="Gasto",E907="Depósitos y retiros"),"⚠ Usa tipo Transferencia",IF(AND(P907="Resultado trading",AD907&lt;&gt;"Cuenta de trading"),"⚠ Usa una cuenta de trading",IF(AND(G907&lt;=0,P907&lt;&gt;"Ajuste",P907&lt;&gt;"Resultado trading"),"⚠ El monto debe ser positivo","✓")))))))))))))))</f>
        <v/>
      </c>
      <c r="P907" s="52">
        <f>IF(OR(B907="",G907=""),"",IF(C907="","Gasto",C907))</f>
        <v/>
      </c>
      <c r="Q907" s="52">
        <f>IF(P907="","",IF(J907&lt;&gt;"",J907,CuentaPred&amp;""))</f>
        <v/>
      </c>
      <c r="R907" s="52">
        <f>IF(P907="","",IF(ISNUMBER(I907),I907,TasaUSD))</f>
        <v/>
      </c>
      <c r="S907" s="53">
        <f>IF(P907="","",IF(H907="USD",G907*R907,G907))</f>
        <v/>
      </c>
      <c r="T907" s="53">
        <f>IF(P907="","",IF(H907="USD",G907,IF(R907&gt;0,G907/R907,0)))</f>
        <v/>
      </c>
      <c r="U907" s="53">
        <f>IF(P907="","",IF(P907="Gasto",S907,IF(P907="Reembolso",-S907,0)))</f>
        <v/>
      </c>
      <c r="V907" s="53">
        <f>IF(P907="","",IF(P907="Ingreso",S907,0))</f>
        <v/>
      </c>
      <c r="W907" s="53">
        <f>IF(P907="","",IF(P907="Resultado trading",S907,0))</f>
        <v/>
      </c>
      <c r="X907" s="52">
        <f>IF(OR(P907="Gasto",P907="Reembolso"),IF(M907&lt;&gt;"",M907,IFERROR(INDEX(catClasif,MATCH(D907&amp;"|"&amp;E907,catClave,0))&amp;"","Variable")),"")</f>
        <v/>
      </c>
      <c r="Y907" s="52">
        <f>IF(P907="","",IFERROR(INDEX(catGrupo,MATCH(D907&amp;"|"&amp;E907,catClave,0))&amp;"",""))</f>
        <v/>
      </c>
      <c r="Z907" s="52">
        <f>IF(P907="","",WEEKDAY(B907,2))</f>
        <v/>
      </c>
      <c r="AA907" s="52">
        <f>IF(P907="","",IF(AND(P907="Gasto",X907="Variable",D907&lt;&gt;catTrading,S907&gt;0,S907&lt;=Umbral),1,0))</f>
        <v/>
      </c>
      <c r="AB907" s="52">
        <f>IF(OR(P907="",Q907=""),"",IFERROR(IF(INDEX(ctaVinc,MATCH(Q907,ctaNombre,0))&amp;""&lt;&gt;"",INDEX(ctaVinc,MATCH(Q907,ctaNombre,0))&amp;"",Q907),Q907))</f>
        <v/>
      </c>
      <c r="AC907" s="52">
        <f>IF(OR(K907="",AND(P907&lt;&gt;"Transferencia",P907&lt;&gt;"Pago tarjeta")),"",IFERROR(IF(INDEX(ctaVinc,MATCH(K907,ctaNombre,0))&amp;""&lt;&gt;"",INDEX(ctaVinc,MATCH(K907,ctaNombre,0))&amp;"",K907),K907))</f>
        <v/>
      </c>
      <c r="AD907" s="52">
        <f>IF(AB907="","",IFERROR(INDEX(ctaTipo,MATCH(AB907,ctaNombre,0))&amp;"",""))</f>
        <v/>
      </c>
      <c r="AE907" s="52">
        <f>IF(AC907="","",IFERROR(INDEX(ctaTipo,MATCH(AC907,ctaNombre,0))&amp;"",""))</f>
        <v/>
      </c>
      <c r="AF907" s="53">
        <f>IF(OR(P907="",AB907=""),"",IF(OR(P907="Gasto",P907="Transferencia",P907="Pago tarjeta"),-1,1)*IF(IFERROR(INDEX(ctaMoneda,MATCH(AB907,ctaNombre,0))&amp;"","DOP")="USD",T907,S907))</f>
        <v/>
      </c>
      <c r="AG907" s="53">
        <f>IF(AC907="","",IF(IFERROR(INDEX(ctaMoneda,MATCH(AC907,ctaNombre,0))&amp;"","DOP")="USD",T907,S907))</f>
        <v/>
      </c>
      <c r="AH907" s="53">
        <f>IF(P907="","",IF(AND(AD907&lt;&gt;"",COUNTIFS(tcTipo,AD907,tcLiq,"Sí")&gt;0),IF(OR(P907="Gasto",P907="Transferencia",P907="Pago tarjeta"),-1,1)*S907,0)+IF(AND(AE907&lt;&gt;"",COUNTIFS(tcTipo,AE907,tcLiq,"Sí")&gt;0),S907,0))</f>
        <v/>
      </c>
      <c r="AI907" s="52">
        <f>IF(OR(L907="",P907=""),"",IF(COUNTIFS(L$6:L907,L907,P$6:P907,"?*")=1,MAX(AI$5:AI906)+1,""))</f>
        <v/>
      </c>
    </row>
    <row r="908">
      <c r="B908" s="47" t="n"/>
      <c r="C908" s="48" t="n"/>
      <c r="D908" s="48" t="n"/>
      <c r="E908" s="48" t="n"/>
      <c r="F908" s="48" t="n"/>
      <c r="G908" s="49" t="n"/>
      <c r="H908" s="48" t="n"/>
      <c r="I908" s="50" t="n"/>
      <c r="J908" s="48" t="n"/>
      <c r="K908" s="48" t="n"/>
      <c r="L908" s="48" t="n"/>
      <c r="M908" s="48" t="n"/>
      <c r="N908" s="48" t="n"/>
      <c r="O908" s="51">
        <f>IF(AND(B908="",G908="",C908="",D908="",J908=""),"",IF(B908="","⚠ Falta fecha",IF(G908="","⚠ Falta monto",IF(Q908="","⚠ Falta cuenta",IF(ISNA(MATCH(Q908,ctaNombre,0)),"⚠ Cuenta no registrada",IF(AND(OR(P908="Gasto",P908="Reembolso"),D908=""),"⚠ Falta categoría",IF(AND(D908&lt;&gt;"",E908&lt;&gt;"",ISNA(MATCH(D908&amp;"|"&amp;E908,catClave,0))),"⚠ Subcategoría no corresponde",IF(AND(OR(P908="Transferencia",P908="Pago tarjeta"),K908=""),"⚠ Falta cuenta destino",IF(AND(K908&lt;&gt;"",P908&lt;&gt;"Transferencia",P908&lt;&gt;"Pago tarjeta"),"⚠ Destino solo aplica a transferencias",IF(AND(K908&lt;&gt;"",K908=Q908),"⚠ Origen igual a destino",IF(AND(K908&lt;&gt;"",ISNA(MATCH(K908,ctaNombre,0))),"⚠ Destino no registrado",IF(AND(P908="Pago tarjeta",AE908&lt;&gt;"Tarjeta de crédito"),"⚠ El destino debe ser tarjeta de crédito",IF(AND(P908="Gasto",E908="Depósitos y retiros"),"⚠ Usa tipo Transferencia",IF(AND(P908="Resultado trading",AD908&lt;&gt;"Cuenta de trading"),"⚠ Usa una cuenta de trading",IF(AND(G908&lt;=0,P908&lt;&gt;"Ajuste",P908&lt;&gt;"Resultado trading"),"⚠ El monto debe ser positivo","✓")))))))))))))))</f>
        <v/>
      </c>
      <c r="P908" s="52">
        <f>IF(OR(B908="",G908=""),"",IF(C908="","Gasto",C908))</f>
        <v/>
      </c>
      <c r="Q908" s="52">
        <f>IF(P908="","",IF(J908&lt;&gt;"",J908,CuentaPred&amp;""))</f>
        <v/>
      </c>
      <c r="R908" s="52">
        <f>IF(P908="","",IF(ISNUMBER(I908),I908,TasaUSD))</f>
        <v/>
      </c>
      <c r="S908" s="53">
        <f>IF(P908="","",IF(H908="USD",G908*R908,G908))</f>
        <v/>
      </c>
      <c r="T908" s="53">
        <f>IF(P908="","",IF(H908="USD",G908,IF(R908&gt;0,G908/R908,0)))</f>
        <v/>
      </c>
      <c r="U908" s="53">
        <f>IF(P908="","",IF(P908="Gasto",S908,IF(P908="Reembolso",-S908,0)))</f>
        <v/>
      </c>
      <c r="V908" s="53">
        <f>IF(P908="","",IF(P908="Ingreso",S908,0))</f>
        <v/>
      </c>
      <c r="W908" s="53">
        <f>IF(P908="","",IF(P908="Resultado trading",S908,0))</f>
        <v/>
      </c>
      <c r="X908" s="52">
        <f>IF(OR(P908="Gasto",P908="Reembolso"),IF(M908&lt;&gt;"",M908,IFERROR(INDEX(catClasif,MATCH(D908&amp;"|"&amp;E908,catClave,0))&amp;"","Variable")),"")</f>
        <v/>
      </c>
      <c r="Y908" s="52">
        <f>IF(P908="","",IFERROR(INDEX(catGrupo,MATCH(D908&amp;"|"&amp;E908,catClave,0))&amp;"",""))</f>
        <v/>
      </c>
      <c r="Z908" s="52">
        <f>IF(P908="","",WEEKDAY(B908,2))</f>
        <v/>
      </c>
      <c r="AA908" s="52">
        <f>IF(P908="","",IF(AND(P908="Gasto",X908="Variable",D908&lt;&gt;catTrading,S908&gt;0,S908&lt;=Umbral),1,0))</f>
        <v/>
      </c>
      <c r="AB908" s="52">
        <f>IF(OR(P908="",Q908=""),"",IFERROR(IF(INDEX(ctaVinc,MATCH(Q908,ctaNombre,0))&amp;""&lt;&gt;"",INDEX(ctaVinc,MATCH(Q908,ctaNombre,0))&amp;"",Q908),Q908))</f>
        <v/>
      </c>
      <c r="AC908" s="52">
        <f>IF(OR(K908="",AND(P908&lt;&gt;"Transferencia",P908&lt;&gt;"Pago tarjeta")),"",IFERROR(IF(INDEX(ctaVinc,MATCH(K908,ctaNombre,0))&amp;""&lt;&gt;"",INDEX(ctaVinc,MATCH(K908,ctaNombre,0))&amp;"",K908),K908))</f>
        <v/>
      </c>
      <c r="AD908" s="52">
        <f>IF(AB908="","",IFERROR(INDEX(ctaTipo,MATCH(AB908,ctaNombre,0))&amp;"",""))</f>
        <v/>
      </c>
      <c r="AE908" s="52">
        <f>IF(AC908="","",IFERROR(INDEX(ctaTipo,MATCH(AC908,ctaNombre,0))&amp;"",""))</f>
        <v/>
      </c>
      <c r="AF908" s="53">
        <f>IF(OR(P908="",AB908=""),"",IF(OR(P908="Gasto",P908="Transferencia",P908="Pago tarjeta"),-1,1)*IF(IFERROR(INDEX(ctaMoneda,MATCH(AB908,ctaNombre,0))&amp;"","DOP")="USD",T908,S908))</f>
        <v/>
      </c>
      <c r="AG908" s="53">
        <f>IF(AC908="","",IF(IFERROR(INDEX(ctaMoneda,MATCH(AC908,ctaNombre,0))&amp;"","DOP")="USD",T908,S908))</f>
        <v/>
      </c>
      <c r="AH908" s="53">
        <f>IF(P908="","",IF(AND(AD908&lt;&gt;"",COUNTIFS(tcTipo,AD908,tcLiq,"Sí")&gt;0),IF(OR(P908="Gasto",P908="Transferencia",P908="Pago tarjeta"),-1,1)*S908,0)+IF(AND(AE908&lt;&gt;"",COUNTIFS(tcTipo,AE908,tcLiq,"Sí")&gt;0),S908,0))</f>
        <v/>
      </c>
      <c r="AI908" s="52">
        <f>IF(OR(L908="",P908=""),"",IF(COUNTIFS(L$6:L908,L908,P$6:P908,"?*")=1,MAX(AI$5:AI907)+1,""))</f>
        <v/>
      </c>
    </row>
    <row r="909">
      <c r="B909" s="47" t="n"/>
      <c r="C909" s="48" t="n"/>
      <c r="D909" s="48" t="n"/>
      <c r="E909" s="48" t="n"/>
      <c r="F909" s="48" t="n"/>
      <c r="G909" s="49" t="n"/>
      <c r="H909" s="48" t="n"/>
      <c r="I909" s="50" t="n"/>
      <c r="J909" s="48" t="n"/>
      <c r="K909" s="48" t="n"/>
      <c r="L909" s="48" t="n"/>
      <c r="M909" s="48" t="n"/>
      <c r="N909" s="48" t="n"/>
      <c r="O909" s="51">
        <f>IF(AND(B909="",G909="",C909="",D909="",J909=""),"",IF(B909="","⚠ Falta fecha",IF(G909="","⚠ Falta monto",IF(Q909="","⚠ Falta cuenta",IF(ISNA(MATCH(Q909,ctaNombre,0)),"⚠ Cuenta no registrada",IF(AND(OR(P909="Gasto",P909="Reembolso"),D909=""),"⚠ Falta categoría",IF(AND(D909&lt;&gt;"",E909&lt;&gt;"",ISNA(MATCH(D909&amp;"|"&amp;E909,catClave,0))),"⚠ Subcategoría no corresponde",IF(AND(OR(P909="Transferencia",P909="Pago tarjeta"),K909=""),"⚠ Falta cuenta destino",IF(AND(K909&lt;&gt;"",P909&lt;&gt;"Transferencia",P909&lt;&gt;"Pago tarjeta"),"⚠ Destino solo aplica a transferencias",IF(AND(K909&lt;&gt;"",K909=Q909),"⚠ Origen igual a destino",IF(AND(K909&lt;&gt;"",ISNA(MATCH(K909,ctaNombre,0))),"⚠ Destino no registrado",IF(AND(P909="Pago tarjeta",AE909&lt;&gt;"Tarjeta de crédito"),"⚠ El destino debe ser tarjeta de crédito",IF(AND(P909="Gasto",E909="Depósitos y retiros"),"⚠ Usa tipo Transferencia",IF(AND(P909="Resultado trading",AD909&lt;&gt;"Cuenta de trading"),"⚠ Usa una cuenta de trading",IF(AND(G909&lt;=0,P909&lt;&gt;"Ajuste",P909&lt;&gt;"Resultado trading"),"⚠ El monto debe ser positivo","✓")))))))))))))))</f>
        <v/>
      </c>
      <c r="P909" s="52">
        <f>IF(OR(B909="",G909=""),"",IF(C909="","Gasto",C909))</f>
        <v/>
      </c>
      <c r="Q909" s="52">
        <f>IF(P909="","",IF(J909&lt;&gt;"",J909,CuentaPred&amp;""))</f>
        <v/>
      </c>
      <c r="R909" s="52">
        <f>IF(P909="","",IF(ISNUMBER(I909),I909,TasaUSD))</f>
        <v/>
      </c>
      <c r="S909" s="53">
        <f>IF(P909="","",IF(H909="USD",G909*R909,G909))</f>
        <v/>
      </c>
      <c r="T909" s="53">
        <f>IF(P909="","",IF(H909="USD",G909,IF(R909&gt;0,G909/R909,0)))</f>
        <v/>
      </c>
      <c r="U909" s="53">
        <f>IF(P909="","",IF(P909="Gasto",S909,IF(P909="Reembolso",-S909,0)))</f>
        <v/>
      </c>
      <c r="V909" s="53">
        <f>IF(P909="","",IF(P909="Ingreso",S909,0))</f>
        <v/>
      </c>
      <c r="W909" s="53">
        <f>IF(P909="","",IF(P909="Resultado trading",S909,0))</f>
        <v/>
      </c>
      <c r="X909" s="52">
        <f>IF(OR(P909="Gasto",P909="Reembolso"),IF(M909&lt;&gt;"",M909,IFERROR(INDEX(catClasif,MATCH(D909&amp;"|"&amp;E909,catClave,0))&amp;"","Variable")),"")</f>
        <v/>
      </c>
      <c r="Y909" s="52">
        <f>IF(P909="","",IFERROR(INDEX(catGrupo,MATCH(D909&amp;"|"&amp;E909,catClave,0))&amp;"",""))</f>
        <v/>
      </c>
      <c r="Z909" s="52">
        <f>IF(P909="","",WEEKDAY(B909,2))</f>
        <v/>
      </c>
      <c r="AA909" s="52">
        <f>IF(P909="","",IF(AND(P909="Gasto",X909="Variable",D909&lt;&gt;catTrading,S909&gt;0,S909&lt;=Umbral),1,0))</f>
        <v/>
      </c>
      <c r="AB909" s="52">
        <f>IF(OR(P909="",Q909=""),"",IFERROR(IF(INDEX(ctaVinc,MATCH(Q909,ctaNombre,0))&amp;""&lt;&gt;"",INDEX(ctaVinc,MATCH(Q909,ctaNombre,0))&amp;"",Q909),Q909))</f>
        <v/>
      </c>
      <c r="AC909" s="52">
        <f>IF(OR(K909="",AND(P909&lt;&gt;"Transferencia",P909&lt;&gt;"Pago tarjeta")),"",IFERROR(IF(INDEX(ctaVinc,MATCH(K909,ctaNombre,0))&amp;""&lt;&gt;"",INDEX(ctaVinc,MATCH(K909,ctaNombre,0))&amp;"",K909),K909))</f>
        <v/>
      </c>
      <c r="AD909" s="52">
        <f>IF(AB909="","",IFERROR(INDEX(ctaTipo,MATCH(AB909,ctaNombre,0))&amp;"",""))</f>
        <v/>
      </c>
      <c r="AE909" s="52">
        <f>IF(AC909="","",IFERROR(INDEX(ctaTipo,MATCH(AC909,ctaNombre,0))&amp;"",""))</f>
        <v/>
      </c>
      <c r="AF909" s="53">
        <f>IF(OR(P909="",AB909=""),"",IF(OR(P909="Gasto",P909="Transferencia",P909="Pago tarjeta"),-1,1)*IF(IFERROR(INDEX(ctaMoneda,MATCH(AB909,ctaNombre,0))&amp;"","DOP")="USD",T909,S909))</f>
        <v/>
      </c>
      <c r="AG909" s="53">
        <f>IF(AC909="","",IF(IFERROR(INDEX(ctaMoneda,MATCH(AC909,ctaNombre,0))&amp;"","DOP")="USD",T909,S909))</f>
        <v/>
      </c>
      <c r="AH909" s="53">
        <f>IF(P909="","",IF(AND(AD909&lt;&gt;"",COUNTIFS(tcTipo,AD909,tcLiq,"Sí")&gt;0),IF(OR(P909="Gasto",P909="Transferencia",P909="Pago tarjeta"),-1,1)*S909,0)+IF(AND(AE909&lt;&gt;"",COUNTIFS(tcTipo,AE909,tcLiq,"Sí")&gt;0),S909,0))</f>
        <v/>
      </c>
      <c r="AI909" s="52">
        <f>IF(OR(L909="",P909=""),"",IF(COUNTIFS(L$6:L909,L909,P$6:P909,"?*")=1,MAX(AI$5:AI908)+1,""))</f>
        <v/>
      </c>
    </row>
    <row r="910">
      <c r="B910" s="47" t="n"/>
      <c r="C910" s="48" t="n"/>
      <c r="D910" s="48" t="n"/>
      <c r="E910" s="48" t="n"/>
      <c r="F910" s="48" t="n"/>
      <c r="G910" s="49" t="n"/>
      <c r="H910" s="48" t="n"/>
      <c r="I910" s="50" t="n"/>
      <c r="J910" s="48" t="n"/>
      <c r="K910" s="48" t="n"/>
      <c r="L910" s="48" t="n"/>
      <c r="M910" s="48" t="n"/>
      <c r="N910" s="48" t="n"/>
      <c r="O910" s="51">
        <f>IF(AND(B910="",G910="",C910="",D910="",J910=""),"",IF(B910="","⚠ Falta fecha",IF(G910="","⚠ Falta monto",IF(Q910="","⚠ Falta cuenta",IF(ISNA(MATCH(Q910,ctaNombre,0)),"⚠ Cuenta no registrada",IF(AND(OR(P910="Gasto",P910="Reembolso"),D910=""),"⚠ Falta categoría",IF(AND(D910&lt;&gt;"",E910&lt;&gt;"",ISNA(MATCH(D910&amp;"|"&amp;E910,catClave,0))),"⚠ Subcategoría no corresponde",IF(AND(OR(P910="Transferencia",P910="Pago tarjeta"),K910=""),"⚠ Falta cuenta destino",IF(AND(K910&lt;&gt;"",P910&lt;&gt;"Transferencia",P910&lt;&gt;"Pago tarjeta"),"⚠ Destino solo aplica a transferencias",IF(AND(K910&lt;&gt;"",K910=Q910),"⚠ Origen igual a destino",IF(AND(K910&lt;&gt;"",ISNA(MATCH(K910,ctaNombre,0))),"⚠ Destino no registrado",IF(AND(P910="Pago tarjeta",AE910&lt;&gt;"Tarjeta de crédito"),"⚠ El destino debe ser tarjeta de crédito",IF(AND(P910="Gasto",E910="Depósitos y retiros"),"⚠ Usa tipo Transferencia",IF(AND(P910="Resultado trading",AD910&lt;&gt;"Cuenta de trading"),"⚠ Usa una cuenta de trading",IF(AND(G910&lt;=0,P910&lt;&gt;"Ajuste",P910&lt;&gt;"Resultado trading"),"⚠ El monto debe ser positivo","✓")))))))))))))))</f>
        <v/>
      </c>
      <c r="P910" s="52">
        <f>IF(OR(B910="",G910=""),"",IF(C910="","Gasto",C910))</f>
        <v/>
      </c>
      <c r="Q910" s="52">
        <f>IF(P910="","",IF(J910&lt;&gt;"",J910,CuentaPred&amp;""))</f>
        <v/>
      </c>
      <c r="R910" s="52">
        <f>IF(P910="","",IF(ISNUMBER(I910),I910,TasaUSD))</f>
        <v/>
      </c>
      <c r="S910" s="53">
        <f>IF(P910="","",IF(H910="USD",G910*R910,G910))</f>
        <v/>
      </c>
      <c r="T910" s="53">
        <f>IF(P910="","",IF(H910="USD",G910,IF(R910&gt;0,G910/R910,0)))</f>
        <v/>
      </c>
      <c r="U910" s="53">
        <f>IF(P910="","",IF(P910="Gasto",S910,IF(P910="Reembolso",-S910,0)))</f>
        <v/>
      </c>
      <c r="V910" s="53">
        <f>IF(P910="","",IF(P910="Ingreso",S910,0))</f>
        <v/>
      </c>
      <c r="W910" s="53">
        <f>IF(P910="","",IF(P910="Resultado trading",S910,0))</f>
        <v/>
      </c>
      <c r="X910" s="52">
        <f>IF(OR(P910="Gasto",P910="Reembolso"),IF(M910&lt;&gt;"",M910,IFERROR(INDEX(catClasif,MATCH(D910&amp;"|"&amp;E910,catClave,0))&amp;"","Variable")),"")</f>
        <v/>
      </c>
      <c r="Y910" s="52">
        <f>IF(P910="","",IFERROR(INDEX(catGrupo,MATCH(D910&amp;"|"&amp;E910,catClave,0))&amp;"",""))</f>
        <v/>
      </c>
      <c r="Z910" s="52">
        <f>IF(P910="","",WEEKDAY(B910,2))</f>
        <v/>
      </c>
      <c r="AA910" s="52">
        <f>IF(P910="","",IF(AND(P910="Gasto",X910="Variable",D910&lt;&gt;catTrading,S910&gt;0,S910&lt;=Umbral),1,0))</f>
        <v/>
      </c>
      <c r="AB910" s="52">
        <f>IF(OR(P910="",Q910=""),"",IFERROR(IF(INDEX(ctaVinc,MATCH(Q910,ctaNombre,0))&amp;""&lt;&gt;"",INDEX(ctaVinc,MATCH(Q910,ctaNombre,0))&amp;"",Q910),Q910))</f>
        <v/>
      </c>
      <c r="AC910" s="52">
        <f>IF(OR(K910="",AND(P910&lt;&gt;"Transferencia",P910&lt;&gt;"Pago tarjeta")),"",IFERROR(IF(INDEX(ctaVinc,MATCH(K910,ctaNombre,0))&amp;""&lt;&gt;"",INDEX(ctaVinc,MATCH(K910,ctaNombre,0))&amp;"",K910),K910))</f>
        <v/>
      </c>
      <c r="AD910" s="52">
        <f>IF(AB910="","",IFERROR(INDEX(ctaTipo,MATCH(AB910,ctaNombre,0))&amp;"",""))</f>
        <v/>
      </c>
      <c r="AE910" s="52">
        <f>IF(AC910="","",IFERROR(INDEX(ctaTipo,MATCH(AC910,ctaNombre,0))&amp;"",""))</f>
        <v/>
      </c>
      <c r="AF910" s="53">
        <f>IF(OR(P910="",AB910=""),"",IF(OR(P910="Gasto",P910="Transferencia",P910="Pago tarjeta"),-1,1)*IF(IFERROR(INDEX(ctaMoneda,MATCH(AB910,ctaNombre,0))&amp;"","DOP")="USD",T910,S910))</f>
        <v/>
      </c>
      <c r="AG910" s="53">
        <f>IF(AC910="","",IF(IFERROR(INDEX(ctaMoneda,MATCH(AC910,ctaNombre,0))&amp;"","DOP")="USD",T910,S910))</f>
        <v/>
      </c>
      <c r="AH910" s="53">
        <f>IF(P910="","",IF(AND(AD910&lt;&gt;"",COUNTIFS(tcTipo,AD910,tcLiq,"Sí")&gt;0),IF(OR(P910="Gasto",P910="Transferencia",P910="Pago tarjeta"),-1,1)*S910,0)+IF(AND(AE910&lt;&gt;"",COUNTIFS(tcTipo,AE910,tcLiq,"Sí")&gt;0),S910,0))</f>
        <v/>
      </c>
      <c r="AI910" s="52">
        <f>IF(OR(L910="",P910=""),"",IF(COUNTIFS(L$6:L910,L910,P$6:P910,"?*")=1,MAX(AI$5:AI909)+1,""))</f>
        <v/>
      </c>
    </row>
    <row r="911">
      <c r="B911" s="47" t="n"/>
      <c r="C911" s="48" t="n"/>
      <c r="D911" s="48" t="n"/>
      <c r="E911" s="48" t="n"/>
      <c r="F911" s="48" t="n"/>
      <c r="G911" s="49" t="n"/>
      <c r="H911" s="48" t="n"/>
      <c r="I911" s="50" t="n"/>
      <c r="J911" s="48" t="n"/>
      <c r="K911" s="48" t="n"/>
      <c r="L911" s="48" t="n"/>
      <c r="M911" s="48" t="n"/>
      <c r="N911" s="48" t="n"/>
      <c r="O911" s="51">
        <f>IF(AND(B911="",G911="",C911="",D911="",J911=""),"",IF(B911="","⚠ Falta fecha",IF(G911="","⚠ Falta monto",IF(Q911="","⚠ Falta cuenta",IF(ISNA(MATCH(Q911,ctaNombre,0)),"⚠ Cuenta no registrada",IF(AND(OR(P911="Gasto",P911="Reembolso"),D911=""),"⚠ Falta categoría",IF(AND(D911&lt;&gt;"",E911&lt;&gt;"",ISNA(MATCH(D911&amp;"|"&amp;E911,catClave,0))),"⚠ Subcategoría no corresponde",IF(AND(OR(P911="Transferencia",P911="Pago tarjeta"),K911=""),"⚠ Falta cuenta destino",IF(AND(K911&lt;&gt;"",P911&lt;&gt;"Transferencia",P911&lt;&gt;"Pago tarjeta"),"⚠ Destino solo aplica a transferencias",IF(AND(K911&lt;&gt;"",K911=Q911),"⚠ Origen igual a destino",IF(AND(K911&lt;&gt;"",ISNA(MATCH(K911,ctaNombre,0))),"⚠ Destino no registrado",IF(AND(P911="Pago tarjeta",AE911&lt;&gt;"Tarjeta de crédito"),"⚠ El destino debe ser tarjeta de crédito",IF(AND(P911="Gasto",E911="Depósitos y retiros"),"⚠ Usa tipo Transferencia",IF(AND(P911="Resultado trading",AD911&lt;&gt;"Cuenta de trading"),"⚠ Usa una cuenta de trading",IF(AND(G911&lt;=0,P911&lt;&gt;"Ajuste",P911&lt;&gt;"Resultado trading"),"⚠ El monto debe ser positivo","✓")))))))))))))))</f>
        <v/>
      </c>
      <c r="P911" s="52">
        <f>IF(OR(B911="",G911=""),"",IF(C911="","Gasto",C911))</f>
        <v/>
      </c>
      <c r="Q911" s="52">
        <f>IF(P911="","",IF(J911&lt;&gt;"",J911,CuentaPred&amp;""))</f>
        <v/>
      </c>
      <c r="R911" s="52">
        <f>IF(P911="","",IF(ISNUMBER(I911),I911,TasaUSD))</f>
        <v/>
      </c>
      <c r="S911" s="53">
        <f>IF(P911="","",IF(H911="USD",G911*R911,G911))</f>
        <v/>
      </c>
      <c r="T911" s="53">
        <f>IF(P911="","",IF(H911="USD",G911,IF(R911&gt;0,G911/R911,0)))</f>
        <v/>
      </c>
      <c r="U911" s="53">
        <f>IF(P911="","",IF(P911="Gasto",S911,IF(P911="Reembolso",-S911,0)))</f>
        <v/>
      </c>
      <c r="V911" s="53">
        <f>IF(P911="","",IF(P911="Ingreso",S911,0))</f>
        <v/>
      </c>
      <c r="W911" s="53">
        <f>IF(P911="","",IF(P911="Resultado trading",S911,0))</f>
        <v/>
      </c>
      <c r="X911" s="52">
        <f>IF(OR(P911="Gasto",P911="Reembolso"),IF(M911&lt;&gt;"",M911,IFERROR(INDEX(catClasif,MATCH(D911&amp;"|"&amp;E911,catClave,0))&amp;"","Variable")),"")</f>
        <v/>
      </c>
      <c r="Y911" s="52">
        <f>IF(P911="","",IFERROR(INDEX(catGrupo,MATCH(D911&amp;"|"&amp;E911,catClave,0))&amp;"",""))</f>
        <v/>
      </c>
      <c r="Z911" s="52">
        <f>IF(P911="","",WEEKDAY(B911,2))</f>
        <v/>
      </c>
      <c r="AA911" s="52">
        <f>IF(P911="","",IF(AND(P911="Gasto",X911="Variable",D911&lt;&gt;catTrading,S911&gt;0,S911&lt;=Umbral),1,0))</f>
        <v/>
      </c>
      <c r="AB911" s="52">
        <f>IF(OR(P911="",Q911=""),"",IFERROR(IF(INDEX(ctaVinc,MATCH(Q911,ctaNombre,0))&amp;""&lt;&gt;"",INDEX(ctaVinc,MATCH(Q911,ctaNombre,0))&amp;"",Q911),Q911))</f>
        <v/>
      </c>
      <c r="AC911" s="52">
        <f>IF(OR(K911="",AND(P911&lt;&gt;"Transferencia",P911&lt;&gt;"Pago tarjeta")),"",IFERROR(IF(INDEX(ctaVinc,MATCH(K911,ctaNombre,0))&amp;""&lt;&gt;"",INDEX(ctaVinc,MATCH(K911,ctaNombre,0))&amp;"",K911),K911))</f>
        <v/>
      </c>
      <c r="AD911" s="52">
        <f>IF(AB911="","",IFERROR(INDEX(ctaTipo,MATCH(AB911,ctaNombre,0))&amp;"",""))</f>
        <v/>
      </c>
      <c r="AE911" s="52">
        <f>IF(AC911="","",IFERROR(INDEX(ctaTipo,MATCH(AC911,ctaNombre,0))&amp;"",""))</f>
        <v/>
      </c>
      <c r="AF911" s="53">
        <f>IF(OR(P911="",AB911=""),"",IF(OR(P911="Gasto",P911="Transferencia",P911="Pago tarjeta"),-1,1)*IF(IFERROR(INDEX(ctaMoneda,MATCH(AB911,ctaNombre,0))&amp;"","DOP")="USD",T911,S911))</f>
        <v/>
      </c>
      <c r="AG911" s="53">
        <f>IF(AC911="","",IF(IFERROR(INDEX(ctaMoneda,MATCH(AC911,ctaNombre,0))&amp;"","DOP")="USD",T911,S911))</f>
        <v/>
      </c>
      <c r="AH911" s="53">
        <f>IF(P911="","",IF(AND(AD911&lt;&gt;"",COUNTIFS(tcTipo,AD911,tcLiq,"Sí")&gt;0),IF(OR(P911="Gasto",P911="Transferencia",P911="Pago tarjeta"),-1,1)*S911,0)+IF(AND(AE911&lt;&gt;"",COUNTIFS(tcTipo,AE911,tcLiq,"Sí")&gt;0),S911,0))</f>
        <v/>
      </c>
      <c r="AI911" s="52">
        <f>IF(OR(L911="",P911=""),"",IF(COUNTIFS(L$6:L911,L911,P$6:P911,"?*")=1,MAX(AI$5:AI910)+1,""))</f>
        <v/>
      </c>
    </row>
    <row r="912">
      <c r="B912" s="47" t="n"/>
      <c r="C912" s="48" t="n"/>
      <c r="D912" s="48" t="n"/>
      <c r="E912" s="48" t="n"/>
      <c r="F912" s="48" t="n"/>
      <c r="G912" s="49" t="n"/>
      <c r="H912" s="48" t="n"/>
      <c r="I912" s="50" t="n"/>
      <c r="J912" s="48" t="n"/>
      <c r="K912" s="48" t="n"/>
      <c r="L912" s="48" t="n"/>
      <c r="M912" s="48" t="n"/>
      <c r="N912" s="48" t="n"/>
      <c r="O912" s="51">
        <f>IF(AND(B912="",G912="",C912="",D912="",J912=""),"",IF(B912="","⚠ Falta fecha",IF(G912="","⚠ Falta monto",IF(Q912="","⚠ Falta cuenta",IF(ISNA(MATCH(Q912,ctaNombre,0)),"⚠ Cuenta no registrada",IF(AND(OR(P912="Gasto",P912="Reembolso"),D912=""),"⚠ Falta categoría",IF(AND(D912&lt;&gt;"",E912&lt;&gt;"",ISNA(MATCH(D912&amp;"|"&amp;E912,catClave,0))),"⚠ Subcategoría no corresponde",IF(AND(OR(P912="Transferencia",P912="Pago tarjeta"),K912=""),"⚠ Falta cuenta destino",IF(AND(K912&lt;&gt;"",P912&lt;&gt;"Transferencia",P912&lt;&gt;"Pago tarjeta"),"⚠ Destino solo aplica a transferencias",IF(AND(K912&lt;&gt;"",K912=Q912),"⚠ Origen igual a destino",IF(AND(K912&lt;&gt;"",ISNA(MATCH(K912,ctaNombre,0))),"⚠ Destino no registrado",IF(AND(P912="Pago tarjeta",AE912&lt;&gt;"Tarjeta de crédito"),"⚠ El destino debe ser tarjeta de crédito",IF(AND(P912="Gasto",E912="Depósitos y retiros"),"⚠ Usa tipo Transferencia",IF(AND(P912="Resultado trading",AD912&lt;&gt;"Cuenta de trading"),"⚠ Usa una cuenta de trading",IF(AND(G912&lt;=0,P912&lt;&gt;"Ajuste",P912&lt;&gt;"Resultado trading"),"⚠ El monto debe ser positivo","✓")))))))))))))))</f>
        <v/>
      </c>
      <c r="P912" s="52">
        <f>IF(OR(B912="",G912=""),"",IF(C912="","Gasto",C912))</f>
        <v/>
      </c>
      <c r="Q912" s="52">
        <f>IF(P912="","",IF(J912&lt;&gt;"",J912,CuentaPred&amp;""))</f>
        <v/>
      </c>
      <c r="R912" s="52">
        <f>IF(P912="","",IF(ISNUMBER(I912),I912,TasaUSD))</f>
        <v/>
      </c>
      <c r="S912" s="53">
        <f>IF(P912="","",IF(H912="USD",G912*R912,G912))</f>
        <v/>
      </c>
      <c r="T912" s="53">
        <f>IF(P912="","",IF(H912="USD",G912,IF(R912&gt;0,G912/R912,0)))</f>
        <v/>
      </c>
      <c r="U912" s="53">
        <f>IF(P912="","",IF(P912="Gasto",S912,IF(P912="Reembolso",-S912,0)))</f>
        <v/>
      </c>
      <c r="V912" s="53">
        <f>IF(P912="","",IF(P912="Ingreso",S912,0))</f>
        <v/>
      </c>
      <c r="W912" s="53">
        <f>IF(P912="","",IF(P912="Resultado trading",S912,0))</f>
        <v/>
      </c>
      <c r="X912" s="52">
        <f>IF(OR(P912="Gasto",P912="Reembolso"),IF(M912&lt;&gt;"",M912,IFERROR(INDEX(catClasif,MATCH(D912&amp;"|"&amp;E912,catClave,0))&amp;"","Variable")),"")</f>
        <v/>
      </c>
      <c r="Y912" s="52">
        <f>IF(P912="","",IFERROR(INDEX(catGrupo,MATCH(D912&amp;"|"&amp;E912,catClave,0))&amp;"",""))</f>
        <v/>
      </c>
      <c r="Z912" s="52">
        <f>IF(P912="","",WEEKDAY(B912,2))</f>
        <v/>
      </c>
      <c r="AA912" s="52">
        <f>IF(P912="","",IF(AND(P912="Gasto",X912="Variable",D912&lt;&gt;catTrading,S912&gt;0,S912&lt;=Umbral),1,0))</f>
        <v/>
      </c>
      <c r="AB912" s="52">
        <f>IF(OR(P912="",Q912=""),"",IFERROR(IF(INDEX(ctaVinc,MATCH(Q912,ctaNombre,0))&amp;""&lt;&gt;"",INDEX(ctaVinc,MATCH(Q912,ctaNombre,0))&amp;"",Q912),Q912))</f>
        <v/>
      </c>
      <c r="AC912" s="52">
        <f>IF(OR(K912="",AND(P912&lt;&gt;"Transferencia",P912&lt;&gt;"Pago tarjeta")),"",IFERROR(IF(INDEX(ctaVinc,MATCH(K912,ctaNombre,0))&amp;""&lt;&gt;"",INDEX(ctaVinc,MATCH(K912,ctaNombre,0))&amp;"",K912),K912))</f>
        <v/>
      </c>
      <c r="AD912" s="52">
        <f>IF(AB912="","",IFERROR(INDEX(ctaTipo,MATCH(AB912,ctaNombre,0))&amp;"",""))</f>
        <v/>
      </c>
      <c r="AE912" s="52">
        <f>IF(AC912="","",IFERROR(INDEX(ctaTipo,MATCH(AC912,ctaNombre,0))&amp;"",""))</f>
        <v/>
      </c>
      <c r="AF912" s="53">
        <f>IF(OR(P912="",AB912=""),"",IF(OR(P912="Gasto",P912="Transferencia",P912="Pago tarjeta"),-1,1)*IF(IFERROR(INDEX(ctaMoneda,MATCH(AB912,ctaNombre,0))&amp;"","DOP")="USD",T912,S912))</f>
        <v/>
      </c>
      <c r="AG912" s="53">
        <f>IF(AC912="","",IF(IFERROR(INDEX(ctaMoneda,MATCH(AC912,ctaNombre,0))&amp;"","DOP")="USD",T912,S912))</f>
        <v/>
      </c>
      <c r="AH912" s="53">
        <f>IF(P912="","",IF(AND(AD912&lt;&gt;"",COUNTIFS(tcTipo,AD912,tcLiq,"Sí")&gt;0),IF(OR(P912="Gasto",P912="Transferencia",P912="Pago tarjeta"),-1,1)*S912,0)+IF(AND(AE912&lt;&gt;"",COUNTIFS(tcTipo,AE912,tcLiq,"Sí")&gt;0),S912,0))</f>
        <v/>
      </c>
      <c r="AI912" s="52">
        <f>IF(OR(L912="",P912=""),"",IF(COUNTIFS(L$6:L912,L912,P$6:P912,"?*")=1,MAX(AI$5:AI911)+1,""))</f>
        <v/>
      </c>
    </row>
    <row r="913">
      <c r="B913" s="47" t="n"/>
      <c r="C913" s="48" t="n"/>
      <c r="D913" s="48" t="n"/>
      <c r="E913" s="48" t="n"/>
      <c r="F913" s="48" t="n"/>
      <c r="G913" s="49" t="n"/>
      <c r="H913" s="48" t="n"/>
      <c r="I913" s="50" t="n"/>
      <c r="J913" s="48" t="n"/>
      <c r="K913" s="48" t="n"/>
      <c r="L913" s="48" t="n"/>
      <c r="M913" s="48" t="n"/>
      <c r="N913" s="48" t="n"/>
      <c r="O913" s="51">
        <f>IF(AND(B913="",G913="",C913="",D913="",J913=""),"",IF(B913="","⚠ Falta fecha",IF(G913="","⚠ Falta monto",IF(Q913="","⚠ Falta cuenta",IF(ISNA(MATCH(Q913,ctaNombre,0)),"⚠ Cuenta no registrada",IF(AND(OR(P913="Gasto",P913="Reembolso"),D913=""),"⚠ Falta categoría",IF(AND(D913&lt;&gt;"",E913&lt;&gt;"",ISNA(MATCH(D913&amp;"|"&amp;E913,catClave,0))),"⚠ Subcategoría no corresponde",IF(AND(OR(P913="Transferencia",P913="Pago tarjeta"),K913=""),"⚠ Falta cuenta destino",IF(AND(K913&lt;&gt;"",P913&lt;&gt;"Transferencia",P913&lt;&gt;"Pago tarjeta"),"⚠ Destino solo aplica a transferencias",IF(AND(K913&lt;&gt;"",K913=Q913),"⚠ Origen igual a destino",IF(AND(K913&lt;&gt;"",ISNA(MATCH(K913,ctaNombre,0))),"⚠ Destino no registrado",IF(AND(P913="Pago tarjeta",AE913&lt;&gt;"Tarjeta de crédito"),"⚠ El destino debe ser tarjeta de crédito",IF(AND(P913="Gasto",E913="Depósitos y retiros"),"⚠ Usa tipo Transferencia",IF(AND(P913="Resultado trading",AD913&lt;&gt;"Cuenta de trading"),"⚠ Usa una cuenta de trading",IF(AND(G913&lt;=0,P913&lt;&gt;"Ajuste",P913&lt;&gt;"Resultado trading"),"⚠ El monto debe ser positivo","✓")))))))))))))))</f>
        <v/>
      </c>
      <c r="P913" s="52">
        <f>IF(OR(B913="",G913=""),"",IF(C913="","Gasto",C913))</f>
        <v/>
      </c>
      <c r="Q913" s="52">
        <f>IF(P913="","",IF(J913&lt;&gt;"",J913,CuentaPred&amp;""))</f>
        <v/>
      </c>
      <c r="R913" s="52">
        <f>IF(P913="","",IF(ISNUMBER(I913),I913,TasaUSD))</f>
        <v/>
      </c>
      <c r="S913" s="53">
        <f>IF(P913="","",IF(H913="USD",G913*R913,G913))</f>
        <v/>
      </c>
      <c r="T913" s="53">
        <f>IF(P913="","",IF(H913="USD",G913,IF(R913&gt;0,G913/R913,0)))</f>
        <v/>
      </c>
      <c r="U913" s="53">
        <f>IF(P913="","",IF(P913="Gasto",S913,IF(P913="Reembolso",-S913,0)))</f>
        <v/>
      </c>
      <c r="V913" s="53">
        <f>IF(P913="","",IF(P913="Ingreso",S913,0))</f>
        <v/>
      </c>
      <c r="W913" s="53">
        <f>IF(P913="","",IF(P913="Resultado trading",S913,0))</f>
        <v/>
      </c>
      <c r="X913" s="52">
        <f>IF(OR(P913="Gasto",P913="Reembolso"),IF(M913&lt;&gt;"",M913,IFERROR(INDEX(catClasif,MATCH(D913&amp;"|"&amp;E913,catClave,0))&amp;"","Variable")),"")</f>
        <v/>
      </c>
      <c r="Y913" s="52">
        <f>IF(P913="","",IFERROR(INDEX(catGrupo,MATCH(D913&amp;"|"&amp;E913,catClave,0))&amp;"",""))</f>
        <v/>
      </c>
      <c r="Z913" s="52">
        <f>IF(P913="","",WEEKDAY(B913,2))</f>
        <v/>
      </c>
      <c r="AA913" s="52">
        <f>IF(P913="","",IF(AND(P913="Gasto",X913="Variable",D913&lt;&gt;catTrading,S913&gt;0,S913&lt;=Umbral),1,0))</f>
        <v/>
      </c>
      <c r="AB913" s="52">
        <f>IF(OR(P913="",Q913=""),"",IFERROR(IF(INDEX(ctaVinc,MATCH(Q913,ctaNombre,0))&amp;""&lt;&gt;"",INDEX(ctaVinc,MATCH(Q913,ctaNombre,0))&amp;"",Q913),Q913))</f>
        <v/>
      </c>
      <c r="AC913" s="52">
        <f>IF(OR(K913="",AND(P913&lt;&gt;"Transferencia",P913&lt;&gt;"Pago tarjeta")),"",IFERROR(IF(INDEX(ctaVinc,MATCH(K913,ctaNombre,0))&amp;""&lt;&gt;"",INDEX(ctaVinc,MATCH(K913,ctaNombre,0))&amp;"",K913),K913))</f>
        <v/>
      </c>
      <c r="AD913" s="52">
        <f>IF(AB913="","",IFERROR(INDEX(ctaTipo,MATCH(AB913,ctaNombre,0))&amp;"",""))</f>
        <v/>
      </c>
      <c r="AE913" s="52">
        <f>IF(AC913="","",IFERROR(INDEX(ctaTipo,MATCH(AC913,ctaNombre,0))&amp;"",""))</f>
        <v/>
      </c>
      <c r="AF913" s="53">
        <f>IF(OR(P913="",AB913=""),"",IF(OR(P913="Gasto",P913="Transferencia",P913="Pago tarjeta"),-1,1)*IF(IFERROR(INDEX(ctaMoneda,MATCH(AB913,ctaNombre,0))&amp;"","DOP")="USD",T913,S913))</f>
        <v/>
      </c>
      <c r="AG913" s="53">
        <f>IF(AC913="","",IF(IFERROR(INDEX(ctaMoneda,MATCH(AC913,ctaNombre,0))&amp;"","DOP")="USD",T913,S913))</f>
        <v/>
      </c>
      <c r="AH913" s="53">
        <f>IF(P913="","",IF(AND(AD913&lt;&gt;"",COUNTIFS(tcTipo,AD913,tcLiq,"Sí")&gt;0),IF(OR(P913="Gasto",P913="Transferencia",P913="Pago tarjeta"),-1,1)*S913,0)+IF(AND(AE913&lt;&gt;"",COUNTIFS(tcTipo,AE913,tcLiq,"Sí")&gt;0),S913,0))</f>
        <v/>
      </c>
      <c r="AI913" s="52">
        <f>IF(OR(L913="",P913=""),"",IF(COUNTIFS(L$6:L913,L913,P$6:P913,"?*")=1,MAX(AI$5:AI912)+1,""))</f>
        <v/>
      </c>
    </row>
    <row r="914">
      <c r="B914" s="47" t="n"/>
      <c r="C914" s="48" t="n"/>
      <c r="D914" s="48" t="n"/>
      <c r="E914" s="48" t="n"/>
      <c r="F914" s="48" t="n"/>
      <c r="G914" s="49" t="n"/>
      <c r="H914" s="48" t="n"/>
      <c r="I914" s="50" t="n"/>
      <c r="J914" s="48" t="n"/>
      <c r="K914" s="48" t="n"/>
      <c r="L914" s="48" t="n"/>
      <c r="M914" s="48" t="n"/>
      <c r="N914" s="48" t="n"/>
      <c r="O914" s="51">
        <f>IF(AND(B914="",G914="",C914="",D914="",J914=""),"",IF(B914="","⚠ Falta fecha",IF(G914="","⚠ Falta monto",IF(Q914="","⚠ Falta cuenta",IF(ISNA(MATCH(Q914,ctaNombre,0)),"⚠ Cuenta no registrada",IF(AND(OR(P914="Gasto",P914="Reembolso"),D914=""),"⚠ Falta categoría",IF(AND(D914&lt;&gt;"",E914&lt;&gt;"",ISNA(MATCH(D914&amp;"|"&amp;E914,catClave,0))),"⚠ Subcategoría no corresponde",IF(AND(OR(P914="Transferencia",P914="Pago tarjeta"),K914=""),"⚠ Falta cuenta destino",IF(AND(K914&lt;&gt;"",P914&lt;&gt;"Transferencia",P914&lt;&gt;"Pago tarjeta"),"⚠ Destino solo aplica a transferencias",IF(AND(K914&lt;&gt;"",K914=Q914),"⚠ Origen igual a destino",IF(AND(K914&lt;&gt;"",ISNA(MATCH(K914,ctaNombre,0))),"⚠ Destino no registrado",IF(AND(P914="Pago tarjeta",AE914&lt;&gt;"Tarjeta de crédito"),"⚠ El destino debe ser tarjeta de crédito",IF(AND(P914="Gasto",E914="Depósitos y retiros"),"⚠ Usa tipo Transferencia",IF(AND(P914="Resultado trading",AD914&lt;&gt;"Cuenta de trading"),"⚠ Usa una cuenta de trading",IF(AND(G914&lt;=0,P914&lt;&gt;"Ajuste",P914&lt;&gt;"Resultado trading"),"⚠ El monto debe ser positivo","✓")))))))))))))))</f>
        <v/>
      </c>
      <c r="P914" s="52">
        <f>IF(OR(B914="",G914=""),"",IF(C914="","Gasto",C914))</f>
        <v/>
      </c>
      <c r="Q914" s="52">
        <f>IF(P914="","",IF(J914&lt;&gt;"",J914,CuentaPred&amp;""))</f>
        <v/>
      </c>
      <c r="R914" s="52">
        <f>IF(P914="","",IF(ISNUMBER(I914),I914,TasaUSD))</f>
        <v/>
      </c>
      <c r="S914" s="53">
        <f>IF(P914="","",IF(H914="USD",G914*R914,G914))</f>
        <v/>
      </c>
      <c r="T914" s="53">
        <f>IF(P914="","",IF(H914="USD",G914,IF(R914&gt;0,G914/R914,0)))</f>
        <v/>
      </c>
      <c r="U914" s="53">
        <f>IF(P914="","",IF(P914="Gasto",S914,IF(P914="Reembolso",-S914,0)))</f>
        <v/>
      </c>
      <c r="V914" s="53">
        <f>IF(P914="","",IF(P914="Ingreso",S914,0))</f>
        <v/>
      </c>
      <c r="W914" s="53">
        <f>IF(P914="","",IF(P914="Resultado trading",S914,0))</f>
        <v/>
      </c>
      <c r="X914" s="52">
        <f>IF(OR(P914="Gasto",P914="Reembolso"),IF(M914&lt;&gt;"",M914,IFERROR(INDEX(catClasif,MATCH(D914&amp;"|"&amp;E914,catClave,0))&amp;"","Variable")),"")</f>
        <v/>
      </c>
      <c r="Y914" s="52">
        <f>IF(P914="","",IFERROR(INDEX(catGrupo,MATCH(D914&amp;"|"&amp;E914,catClave,0))&amp;"",""))</f>
        <v/>
      </c>
      <c r="Z914" s="52">
        <f>IF(P914="","",WEEKDAY(B914,2))</f>
        <v/>
      </c>
      <c r="AA914" s="52">
        <f>IF(P914="","",IF(AND(P914="Gasto",X914="Variable",D914&lt;&gt;catTrading,S914&gt;0,S914&lt;=Umbral),1,0))</f>
        <v/>
      </c>
      <c r="AB914" s="52">
        <f>IF(OR(P914="",Q914=""),"",IFERROR(IF(INDEX(ctaVinc,MATCH(Q914,ctaNombre,0))&amp;""&lt;&gt;"",INDEX(ctaVinc,MATCH(Q914,ctaNombre,0))&amp;"",Q914),Q914))</f>
        <v/>
      </c>
      <c r="AC914" s="52">
        <f>IF(OR(K914="",AND(P914&lt;&gt;"Transferencia",P914&lt;&gt;"Pago tarjeta")),"",IFERROR(IF(INDEX(ctaVinc,MATCH(K914,ctaNombre,0))&amp;""&lt;&gt;"",INDEX(ctaVinc,MATCH(K914,ctaNombre,0))&amp;"",K914),K914))</f>
        <v/>
      </c>
      <c r="AD914" s="52">
        <f>IF(AB914="","",IFERROR(INDEX(ctaTipo,MATCH(AB914,ctaNombre,0))&amp;"",""))</f>
        <v/>
      </c>
      <c r="AE914" s="52">
        <f>IF(AC914="","",IFERROR(INDEX(ctaTipo,MATCH(AC914,ctaNombre,0))&amp;"",""))</f>
        <v/>
      </c>
      <c r="AF914" s="53">
        <f>IF(OR(P914="",AB914=""),"",IF(OR(P914="Gasto",P914="Transferencia",P914="Pago tarjeta"),-1,1)*IF(IFERROR(INDEX(ctaMoneda,MATCH(AB914,ctaNombre,0))&amp;"","DOP")="USD",T914,S914))</f>
        <v/>
      </c>
      <c r="AG914" s="53">
        <f>IF(AC914="","",IF(IFERROR(INDEX(ctaMoneda,MATCH(AC914,ctaNombre,0))&amp;"","DOP")="USD",T914,S914))</f>
        <v/>
      </c>
      <c r="AH914" s="53">
        <f>IF(P914="","",IF(AND(AD914&lt;&gt;"",COUNTIFS(tcTipo,AD914,tcLiq,"Sí")&gt;0),IF(OR(P914="Gasto",P914="Transferencia",P914="Pago tarjeta"),-1,1)*S914,0)+IF(AND(AE914&lt;&gt;"",COUNTIFS(tcTipo,AE914,tcLiq,"Sí")&gt;0),S914,0))</f>
        <v/>
      </c>
      <c r="AI914" s="52">
        <f>IF(OR(L914="",P914=""),"",IF(COUNTIFS(L$6:L914,L914,P$6:P914,"?*")=1,MAX(AI$5:AI913)+1,""))</f>
        <v/>
      </c>
    </row>
    <row r="915">
      <c r="B915" s="47" t="n"/>
      <c r="C915" s="48" t="n"/>
      <c r="D915" s="48" t="n"/>
      <c r="E915" s="48" t="n"/>
      <c r="F915" s="48" t="n"/>
      <c r="G915" s="49" t="n"/>
      <c r="H915" s="48" t="n"/>
      <c r="I915" s="50" t="n"/>
      <c r="J915" s="48" t="n"/>
      <c r="K915" s="48" t="n"/>
      <c r="L915" s="48" t="n"/>
      <c r="M915" s="48" t="n"/>
      <c r="N915" s="48" t="n"/>
      <c r="O915" s="51">
        <f>IF(AND(B915="",G915="",C915="",D915="",J915=""),"",IF(B915="","⚠ Falta fecha",IF(G915="","⚠ Falta monto",IF(Q915="","⚠ Falta cuenta",IF(ISNA(MATCH(Q915,ctaNombre,0)),"⚠ Cuenta no registrada",IF(AND(OR(P915="Gasto",P915="Reembolso"),D915=""),"⚠ Falta categoría",IF(AND(D915&lt;&gt;"",E915&lt;&gt;"",ISNA(MATCH(D915&amp;"|"&amp;E915,catClave,0))),"⚠ Subcategoría no corresponde",IF(AND(OR(P915="Transferencia",P915="Pago tarjeta"),K915=""),"⚠ Falta cuenta destino",IF(AND(K915&lt;&gt;"",P915&lt;&gt;"Transferencia",P915&lt;&gt;"Pago tarjeta"),"⚠ Destino solo aplica a transferencias",IF(AND(K915&lt;&gt;"",K915=Q915),"⚠ Origen igual a destino",IF(AND(K915&lt;&gt;"",ISNA(MATCH(K915,ctaNombre,0))),"⚠ Destino no registrado",IF(AND(P915="Pago tarjeta",AE915&lt;&gt;"Tarjeta de crédito"),"⚠ El destino debe ser tarjeta de crédito",IF(AND(P915="Gasto",E915="Depósitos y retiros"),"⚠ Usa tipo Transferencia",IF(AND(P915="Resultado trading",AD915&lt;&gt;"Cuenta de trading"),"⚠ Usa una cuenta de trading",IF(AND(G915&lt;=0,P915&lt;&gt;"Ajuste",P915&lt;&gt;"Resultado trading"),"⚠ El monto debe ser positivo","✓")))))))))))))))</f>
        <v/>
      </c>
      <c r="P915" s="52">
        <f>IF(OR(B915="",G915=""),"",IF(C915="","Gasto",C915))</f>
        <v/>
      </c>
      <c r="Q915" s="52">
        <f>IF(P915="","",IF(J915&lt;&gt;"",J915,CuentaPred&amp;""))</f>
        <v/>
      </c>
      <c r="R915" s="52">
        <f>IF(P915="","",IF(ISNUMBER(I915),I915,TasaUSD))</f>
        <v/>
      </c>
      <c r="S915" s="53">
        <f>IF(P915="","",IF(H915="USD",G915*R915,G915))</f>
        <v/>
      </c>
      <c r="T915" s="53">
        <f>IF(P915="","",IF(H915="USD",G915,IF(R915&gt;0,G915/R915,0)))</f>
        <v/>
      </c>
      <c r="U915" s="53">
        <f>IF(P915="","",IF(P915="Gasto",S915,IF(P915="Reembolso",-S915,0)))</f>
        <v/>
      </c>
      <c r="V915" s="53">
        <f>IF(P915="","",IF(P915="Ingreso",S915,0))</f>
        <v/>
      </c>
      <c r="W915" s="53">
        <f>IF(P915="","",IF(P915="Resultado trading",S915,0))</f>
        <v/>
      </c>
      <c r="X915" s="52">
        <f>IF(OR(P915="Gasto",P915="Reembolso"),IF(M915&lt;&gt;"",M915,IFERROR(INDEX(catClasif,MATCH(D915&amp;"|"&amp;E915,catClave,0))&amp;"","Variable")),"")</f>
        <v/>
      </c>
      <c r="Y915" s="52">
        <f>IF(P915="","",IFERROR(INDEX(catGrupo,MATCH(D915&amp;"|"&amp;E915,catClave,0))&amp;"",""))</f>
        <v/>
      </c>
      <c r="Z915" s="52">
        <f>IF(P915="","",WEEKDAY(B915,2))</f>
        <v/>
      </c>
      <c r="AA915" s="52">
        <f>IF(P915="","",IF(AND(P915="Gasto",X915="Variable",D915&lt;&gt;catTrading,S915&gt;0,S915&lt;=Umbral),1,0))</f>
        <v/>
      </c>
      <c r="AB915" s="52">
        <f>IF(OR(P915="",Q915=""),"",IFERROR(IF(INDEX(ctaVinc,MATCH(Q915,ctaNombre,0))&amp;""&lt;&gt;"",INDEX(ctaVinc,MATCH(Q915,ctaNombre,0))&amp;"",Q915),Q915))</f>
        <v/>
      </c>
      <c r="AC915" s="52">
        <f>IF(OR(K915="",AND(P915&lt;&gt;"Transferencia",P915&lt;&gt;"Pago tarjeta")),"",IFERROR(IF(INDEX(ctaVinc,MATCH(K915,ctaNombre,0))&amp;""&lt;&gt;"",INDEX(ctaVinc,MATCH(K915,ctaNombre,0))&amp;"",K915),K915))</f>
        <v/>
      </c>
      <c r="AD915" s="52">
        <f>IF(AB915="","",IFERROR(INDEX(ctaTipo,MATCH(AB915,ctaNombre,0))&amp;"",""))</f>
        <v/>
      </c>
      <c r="AE915" s="52">
        <f>IF(AC915="","",IFERROR(INDEX(ctaTipo,MATCH(AC915,ctaNombre,0))&amp;"",""))</f>
        <v/>
      </c>
      <c r="AF915" s="53">
        <f>IF(OR(P915="",AB915=""),"",IF(OR(P915="Gasto",P915="Transferencia",P915="Pago tarjeta"),-1,1)*IF(IFERROR(INDEX(ctaMoneda,MATCH(AB915,ctaNombre,0))&amp;"","DOP")="USD",T915,S915))</f>
        <v/>
      </c>
      <c r="AG915" s="53">
        <f>IF(AC915="","",IF(IFERROR(INDEX(ctaMoneda,MATCH(AC915,ctaNombre,0))&amp;"","DOP")="USD",T915,S915))</f>
        <v/>
      </c>
      <c r="AH915" s="53">
        <f>IF(P915="","",IF(AND(AD915&lt;&gt;"",COUNTIFS(tcTipo,AD915,tcLiq,"Sí")&gt;0),IF(OR(P915="Gasto",P915="Transferencia",P915="Pago tarjeta"),-1,1)*S915,0)+IF(AND(AE915&lt;&gt;"",COUNTIFS(tcTipo,AE915,tcLiq,"Sí")&gt;0),S915,0))</f>
        <v/>
      </c>
      <c r="AI915" s="52">
        <f>IF(OR(L915="",P915=""),"",IF(COUNTIFS(L$6:L915,L915,P$6:P915,"?*")=1,MAX(AI$5:AI914)+1,""))</f>
        <v/>
      </c>
    </row>
    <row r="916">
      <c r="B916" s="47" t="n"/>
      <c r="C916" s="48" t="n"/>
      <c r="D916" s="48" t="n"/>
      <c r="E916" s="48" t="n"/>
      <c r="F916" s="48" t="n"/>
      <c r="G916" s="49" t="n"/>
      <c r="H916" s="48" t="n"/>
      <c r="I916" s="50" t="n"/>
      <c r="J916" s="48" t="n"/>
      <c r="K916" s="48" t="n"/>
      <c r="L916" s="48" t="n"/>
      <c r="M916" s="48" t="n"/>
      <c r="N916" s="48" t="n"/>
      <c r="O916" s="51">
        <f>IF(AND(B916="",G916="",C916="",D916="",J916=""),"",IF(B916="","⚠ Falta fecha",IF(G916="","⚠ Falta monto",IF(Q916="","⚠ Falta cuenta",IF(ISNA(MATCH(Q916,ctaNombre,0)),"⚠ Cuenta no registrada",IF(AND(OR(P916="Gasto",P916="Reembolso"),D916=""),"⚠ Falta categoría",IF(AND(D916&lt;&gt;"",E916&lt;&gt;"",ISNA(MATCH(D916&amp;"|"&amp;E916,catClave,0))),"⚠ Subcategoría no corresponde",IF(AND(OR(P916="Transferencia",P916="Pago tarjeta"),K916=""),"⚠ Falta cuenta destino",IF(AND(K916&lt;&gt;"",P916&lt;&gt;"Transferencia",P916&lt;&gt;"Pago tarjeta"),"⚠ Destino solo aplica a transferencias",IF(AND(K916&lt;&gt;"",K916=Q916),"⚠ Origen igual a destino",IF(AND(K916&lt;&gt;"",ISNA(MATCH(K916,ctaNombre,0))),"⚠ Destino no registrado",IF(AND(P916="Pago tarjeta",AE916&lt;&gt;"Tarjeta de crédito"),"⚠ El destino debe ser tarjeta de crédito",IF(AND(P916="Gasto",E916="Depósitos y retiros"),"⚠ Usa tipo Transferencia",IF(AND(P916="Resultado trading",AD916&lt;&gt;"Cuenta de trading"),"⚠ Usa una cuenta de trading",IF(AND(G916&lt;=0,P916&lt;&gt;"Ajuste",P916&lt;&gt;"Resultado trading"),"⚠ El monto debe ser positivo","✓")))))))))))))))</f>
        <v/>
      </c>
      <c r="P916" s="52">
        <f>IF(OR(B916="",G916=""),"",IF(C916="","Gasto",C916))</f>
        <v/>
      </c>
      <c r="Q916" s="52">
        <f>IF(P916="","",IF(J916&lt;&gt;"",J916,CuentaPred&amp;""))</f>
        <v/>
      </c>
      <c r="R916" s="52">
        <f>IF(P916="","",IF(ISNUMBER(I916),I916,TasaUSD))</f>
        <v/>
      </c>
      <c r="S916" s="53">
        <f>IF(P916="","",IF(H916="USD",G916*R916,G916))</f>
        <v/>
      </c>
      <c r="T916" s="53">
        <f>IF(P916="","",IF(H916="USD",G916,IF(R916&gt;0,G916/R916,0)))</f>
        <v/>
      </c>
      <c r="U916" s="53">
        <f>IF(P916="","",IF(P916="Gasto",S916,IF(P916="Reembolso",-S916,0)))</f>
        <v/>
      </c>
      <c r="V916" s="53">
        <f>IF(P916="","",IF(P916="Ingreso",S916,0))</f>
        <v/>
      </c>
      <c r="W916" s="53">
        <f>IF(P916="","",IF(P916="Resultado trading",S916,0))</f>
        <v/>
      </c>
      <c r="X916" s="52">
        <f>IF(OR(P916="Gasto",P916="Reembolso"),IF(M916&lt;&gt;"",M916,IFERROR(INDEX(catClasif,MATCH(D916&amp;"|"&amp;E916,catClave,0))&amp;"","Variable")),"")</f>
        <v/>
      </c>
      <c r="Y916" s="52">
        <f>IF(P916="","",IFERROR(INDEX(catGrupo,MATCH(D916&amp;"|"&amp;E916,catClave,0))&amp;"",""))</f>
        <v/>
      </c>
      <c r="Z916" s="52">
        <f>IF(P916="","",WEEKDAY(B916,2))</f>
        <v/>
      </c>
      <c r="AA916" s="52">
        <f>IF(P916="","",IF(AND(P916="Gasto",X916="Variable",D916&lt;&gt;catTrading,S916&gt;0,S916&lt;=Umbral),1,0))</f>
        <v/>
      </c>
      <c r="AB916" s="52">
        <f>IF(OR(P916="",Q916=""),"",IFERROR(IF(INDEX(ctaVinc,MATCH(Q916,ctaNombre,0))&amp;""&lt;&gt;"",INDEX(ctaVinc,MATCH(Q916,ctaNombre,0))&amp;"",Q916),Q916))</f>
        <v/>
      </c>
      <c r="AC916" s="52">
        <f>IF(OR(K916="",AND(P916&lt;&gt;"Transferencia",P916&lt;&gt;"Pago tarjeta")),"",IFERROR(IF(INDEX(ctaVinc,MATCH(K916,ctaNombre,0))&amp;""&lt;&gt;"",INDEX(ctaVinc,MATCH(K916,ctaNombre,0))&amp;"",K916),K916))</f>
        <v/>
      </c>
      <c r="AD916" s="52">
        <f>IF(AB916="","",IFERROR(INDEX(ctaTipo,MATCH(AB916,ctaNombre,0))&amp;"",""))</f>
        <v/>
      </c>
      <c r="AE916" s="52">
        <f>IF(AC916="","",IFERROR(INDEX(ctaTipo,MATCH(AC916,ctaNombre,0))&amp;"",""))</f>
        <v/>
      </c>
      <c r="AF916" s="53">
        <f>IF(OR(P916="",AB916=""),"",IF(OR(P916="Gasto",P916="Transferencia",P916="Pago tarjeta"),-1,1)*IF(IFERROR(INDEX(ctaMoneda,MATCH(AB916,ctaNombre,0))&amp;"","DOP")="USD",T916,S916))</f>
        <v/>
      </c>
      <c r="AG916" s="53">
        <f>IF(AC916="","",IF(IFERROR(INDEX(ctaMoneda,MATCH(AC916,ctaNombre,0))&amp;"","DOP")="USD",T916,S916))</f>
        <v/>
      </c>
      <c r="AH916" s="53">
        <f>IF(P916="","",IF(AND(AD916&lt;&gt;"",COUNTIFS(tcTipo,AD916,tcLiq,"Sí")&gt;0),IF(OR(P916="Gasto",P916="Transferencia",P916="Pago tarjeta"),-1,1)*S916,0)+IF(AND(AE916&lt;&gt;"",COUNTIFS(tcTipo,AE916,tcLiq,"Sí")&gt;0),S916,0))</f>
        <v/>
      </c>
      <c r="AI916" s="52">
        <f>IF(OR(L916="",P916=""),"",IF(COUNTIFS(L$6:L916,L916,P$6:P916,"?*")=1,MAX(AI$5:AI915)+1,""))</f>
        <v/>
      </c>
    </row>
    <row r="917">
      <c r="B917" s="47" t="n"/>
      <c r="C917" s="48" t="n"/>
      <c r="D917" s="48" t="n"/>
      <c r="E917" s="48" t="n"/>
      <c r="F917" s="48" t="n"/>
      <c r="G917" s="49" t="n"/>
      <c r="H917" s="48" t="n"/>
      <c r="I917" s="50" t="n"/>
      <c r="J917" s="48" t="n"/>
      <c r="K917" s="48" t="n"/>
      <c r="L917" s="48" t="n"/>
      <c r="M917" s="48" t="n"/>
      <c r="N917" s="48" t="n"/>
      <c r="O917" s="51">
        <f>IF(AND(B917="",G917="",C917="",D917="",J917=""),"",IF(B917="","⚠ Falta fecha",IF(G917="","⚠ Falta monto",IF(Q917="","⚠ Falta cuenta",IF(ISNA(MATCH(Q917,ctaNombre,0)),"⚠ Cuenta no registrada",IF(AND(OR(P917="Gasto",P917="Reembolso"),D917=""),"⚠ Falta categoría",IF(AND(D917&lt;&gt;"",E917&lt;&gt;"",ISNA(MATCH(D917&amp;"|"&amp;E917,catClave,0))),"⚠ Subcategoría no corresponde",IF(AND(OR(P917="Transferencia",P917="Pago tarjeta"),K917=""),"⚠ Falta cuenta destino",IF(AND(K917&lt;&gt;"",P917&lt;&gt;"Transferencia",P917&lt;&gt;"Pago tarjeta"),"⚠ Destino solo aplica a transferencias",IF(AND(K917&lt;&gt;"",K917=Q917),"⚠ Origen igual a destino",IF(AND(K917&lt;&gt;"",ISNA(MATCH(K917,ctaNombre,0))),"⚠ Destino no registrado",IF(AND(P917="Pago tarjeta",AE917&lt;&gt;"Tarjeta de crédito"),"⚠ El destino debe ser tarjeta de crédito",IF(AND(P917="Gasto",E917="Depósitos y retiros"),"⚠ Usa tipo Transferencia",IF(AND(P917="Resultado trading",AD917&lt;&gt;"Cuenta de trading"),"⚠ Usa una cuenta de trading",IF(AND(G917&lt;=0,P917&lt;&gt;"Ajuste",P917&lt;&gt;"Resultado trading"),"⚠ El monto debe ser positivo","✓")))))))))))))))</f>
        <v/>
      </c>
      <c r="P917" s="52">
        <f>IF(OR(B917="",G917=""),"",IF(C917="","Gasto",C917))</f>
        <v/>
      </c>
      <c r="Q917" s="52">
        <f>IF(P917="","",IF(J917&lt;&gt;"",J917,CuentaPred&amp;""))</f>
        <v/>
      </c>
      <c r="R917" s="52">
        <f>IF(P917="","",IF(ISNUMBER(I917),I917,TasaUSD))</f>
        <v/>
      </c>
      <c r="S917" s="53">
        <f>IF(P917="","",IF(H917="USD",G917*R917,G917))</f>
        <v/>
      </c>
      <c r="T917" s="53">
        <f>IF(P917="","",IF(H917="USD",G917,IF(R917&gt;0,G917/R917,0)))</f>
        <v/>
      </c>
      <c r="U917" s="53">
        <f>IF(P917="","",IF(P917="Gasto",S917,IF(P917="Reembolso",-S917,0)))</f>
        <v/>
      </c>
      <c r="V917" s="53">
        <f>IF(P917="","",IF(P917="Ingreso",S917,0))</f>
        <v/>
      </c>
      <c r="W917" s="53">
        <f>IF(P917="","",IF(P917="Resultado trading",S917,0))</f>
        <v/>
      </c>
      <c r="X917" s="52">
        <f>IF(OR(P917="Gasto",P917="Reembolso"),IF(M917&lt;&gt;"",M917,IFERROR(INDEX(catClasif,MATCH(D917&amp;"|"&amp;E917,catClave,0))&amp;"","Variable")),"")</f>
        <v/>
      </c>
      <c r="Y917" s="52">
        <f>IF(P917="","",IFERROR(INDEX(catGrupo,MATCH(D917&amp;"|"&amp;E917,catClave,0))&amp;"",""))</f>
        <v/>
      </c>
      <c r="Z917" s="52">
        <f>IF(P917="","",WEEKDAY(B917,2))</f>
        <v/>
      </c>
      <c r="AA917" s="52">
        <f>IF(P917="","",IF(AND(P917="Gasto",X917="Variable",D917&lt;&gt;catTrading,S917&gt;0,S917&lt;=Umbral),1,0))</f>
        <v/>
      </c>
      <c r="AB917" s="52">
        <f>IF(OR(P917="",Q917=""),"",IFERROR(IF(INDEX(ctaVinc,MATCH(Q917,ctaNombre,0))&amp;""&lt;&gt;"",INDEX(ctaVinc,MATCH(Q917,ctaNombre,0))&amp;"",Q917),Q917))</f>
        <v/>
      </c>
      <c r="AC917" s="52">
        <f>IF(OR(K917="",AND(P917&lt;&gt;"Transferencia",P917&lt;&gt;"Pago tarjeta")),"",IFERROR(IF(INDEX(ctaVinc,MATCH(K917,ctaNombre,0))&amp;""&lt;&gt;"",INDEX(ctaVinc,MATCH(K917,ctaNombre,0))&amp;"",K917),K917))</f>
        <v/>
      </c>
      <c r="AD917" s="52">
        <f>IF(AB917="","",IFERROR(INDEX(ctaTipo,MATCH(AB917,ctaNombre,0))&amp;"",""))</f>
        <v/>
      </c>
      <c r="AE917" s="52">
        <f>IF(AC917="","",IFERROR(INDEX(ctaTipo,MATCH(AC917,ctaNombre,0))&amp;"",""))</f>
        <v/>
      </c>
      <c r="AF917" s="53">
        <f>IF(OR(P917="",AB917=""),"",IF(OR(P917="Gasto",P917="Transferencia",P917="Pago tarjeta"),-1,1)*IF(IFERROR(INDEX(ctaMoneda,MATCH(AB917,ctaNombre,0))&amp;"","DOP")="USD",T917,S917))</f>
        <v/>
      </c>
      <c r="AG917" s="53">
        <f>IF(AC917="","",IF(IFERROR(INDEX(ctaMoneda,MATCH(AC917,ctaNombre,0))&amp;"","DOP")="USD",T917,S917))</f>
        <v/>
      </c>
      <c r="AH917" s="53">
        <f>IF(P917="","",IF(AND(AD917&lt;&gt;"",COUNTIFS(tcTipo,AD917,tcLiq,"Sí")&gt;0),IF(OR(P917="Gasto",P917="Transferencia",P917="Pago tarjeta"),-1,1)*S917,0)+IF(AND(AE917&lt;&gt;"",COUNTIFS(tcTipo,AE917,tcLiq,"Sí")&gt;0),S917,0))</f>
        <v/>
      </c>
      <c r="AI917" s="52">
        <f>IF(OR(L917="",P917=""),"",IF(COUNTIFS(L$6:L917,L917,P$6:P917,"?*")=1,MAX(AI$5:AI916)+1,""))</f>
        <v/>
      </c>
    </row>
    <row r="918">
      <c r="B918" s="47" t="n"/>
      <c r="C918" s="48" t="n"/>
      <c r="D918" s="48" t="n"/>
      <c r="E918" s="48" t="n"/>
      <c r="F918" s="48" t="n"/>
      <c r="G918" s="49" t="n"/>
      <c r="H918" s="48" t="n"/>
      <c r="I918" s="50" t="n"/>
      <c r="J918" s="48" t="n"/>
      <c r="K918" s="48" t="n"/>
      <c r="L918" s="48" t="n"/>
      <c r="M918" s="48" t="n"/>
      <c r="N918" s="48" t="n"/>
      <c r="O918" s="51">
        <f>IF(AND(B918="",G918="",C918="",D918="",J918=""),"",IF(B918="","⚠ Falta fecha",IF(G918="","⚠ Falta monto",IF(Q918="","⚠ Falta cuenta",IF(ISNA(MATCH(Q918,ctaNombre,0)),"⚠ Cuenta no registrada",IF(AND(OR(P918="Gasto",P918="Reembolso"),D918=""),"⚠ Falta categoría",IF(AND(D918&lt;&gt;"",E918&lt;&gt;"",ISNA(MATCH(D918&amp;"|"&amp;E918,catClave,0))),"⚠ Subcategoría no corresponde",IF(AND(OR(P918="Transferencia",P918="Pago tarjeta"),K918=""),"⚠ Falta cuenta destino",IF(AND(K918&lt;&gt;"",P918&lt;&gt;"Transferencia",P918&lt;&gt;"Pago tarjeta"),"⚠ Destino solo aplica a transferencias",IF(AND(K918&lt;&gt;"",K918=Q918),"⚠ Origen igual a destino",IF(AND(K918&lt;&gt;"",ISNA(MATCH(K918,ctaNombre,0))),"⚠ Destino no registrado",IF(AND(P918="Pago tarjeta",AE918&lt;&gt;"Tarjeta de crédito"),"⚠ El destino debe ser tarjeta de crédito",IF(AND(P918="Gasto",E918="Depósitos y retiros"),"⚠ Usa tipo Transferencia",IF(AND(P918="Resultado trading",AD918&lt;&gt;"Cuenta de trading"),"⚠ Usa una cuenta de trading",IF(AND(G918&lt;=0,P918&lt;&gt;"Ajuste",P918&lt;&gt;"Resultado trading"),"⚠ El monto debe ser positivo","✓")))))))))))))))</f>
        <v/>
      </c>
      <c r="P918" s="52">
        <f>IF(OR(B918="",G918=""),"",IF(C918="","Gasto",C918))</f>
        <v/>
      </c>
      <c r="Q918" s="52">
        <f>IF(P918="","",IF(J918&lt;&gt;"",J918,CuentaPred&amp;""))</f>
        <v/>
      </c>
      <c r="R918" s="52">
        <f>IF(P918="","",IF(ISNUMBER(I918),I918,TasaUSD))</f>
        <v/>
      </c>
      <c r="S918" s="53">
        <f>IF(P918="","",IF(H918="USD",G918*R918,G918))</f>
        <v/>
      </c>
      <c r="T918" s="53">
        <f>IF(P918="","",IF(H918="USD",G918,IF(R918&gt;0,G918/R918,0)))</f>
        <v/>
      </c>
      <c r="U918" s="53">
        <f>IF(P918="","",IF(P918="Gasto",S918,IF(P918="Reembolso",-S918,0)))</f>
        <v/>
      </c>
      <c r="V918" s="53">
        <f>IF(P918="","",IF(P918="Ingreso",S918,0))</f>
        <v/>
      </c>
      <c r="W918" s="53">
        <f>IF(P918="","",IF(P918="Resultado trading",S918,0))</f>
        <v/>
      </c>
      <c r="X918" s="52">
        <f>IF(OR(P918="Gasto",P918="Reembolso"),IF(M918&lt;&gt;"",M918,IFERROR(INDEX(catClasif,MATCH(D918&amp;"|"&amp;E918,catClave,0))&amp;"","Variable")),"")</f>
        <v/>
      </c>
      <c r="Y918" s="52">
        <f>IF(P918="","",IFERROR(INDEX(catGrupo,MATCH(D918&amp;"|"&amp;E918,catClave,0))&amp;"",""))</f>
        <v/>
      </c>
      <c r="Z918" s="52">
        <f>IF(P918="","",WEEKDAY(B918,2))</f>
        <v/>
      </c>
      <c r="AA918" s="52">
        <f>IF(P918="","",IF(AND(P918="Gasto",X918="Variable",D918&lt;&gt;catTrading,S918&gt;0,S918&lt;=Umbral),1,0))</f>
        <v/>
      </c>
      <c r="AB918" s="52">
        <f>IF(OR(P918="",Q918=""),"",IFERROR(IF(INDEX(ctaVinc,MATCH(Q918,ctaNombre,0))&amp;""&lt;&gt;"",INDEX(ctaVinc,MATCH(Q918,ctaNombre,0))&amp;"",Q918),Q918))</f>
        <v/>
      </c>
      <c r="AC918" s="52">
        <f>IF(OR(K918="",AND(P918&lt;&gt;"Transferencia",P918&lt;&gt;"Pago tarjeta")),"",IFERROR(IF(INDEX(ctaVinc,MATCH(K918,ctaNombre,0))&amp;""&lt;&gt;"",INDEX(ctaVinc,MATCH(K918,ctaNombre,0))&amp;"",K918),K918))</f>
        <v/>
      </c>
      <c r="AD918" s="52">
        <f>IF(AB918="","",IFERROR(INDEX(ctaTipo,MATCH(AB918,ctaNombre,0))&amp;"",""))</f>
        <v/>
      </c>
      <c r="AE918" s="52">
        <f>IF(AC918="","",IFERROR(INDEX(ctaTipo,MATCH(AC918,ctaNombre,0))&amp;"",""))</f>
        <v/>
      </c>
      <c r="AF918" s="53">
        <f>IF(OR(P918="",AB918=""),"",IF(OR(P918="Gasto",P918="Transferencia",P918="Pago tarjeta"),-1,1)*IF(IFERROR(INDEX(ctaMoneda,MATCH(AB918,ctaNombre,0))&amp;"","DOP")="USD",T918,S918))</f>
        <v/>
      </c>
      <c r="AG918" s="53">
        <f>IF(AC918="","",IF(IFERROR(INDEX(ctaMoneda,MATCH(AC918,ctaNombre,0))&amp;"","DOP")="USD",T918,S918))</f>
        <v/>
      </c>
      <c r="AH918" s="53">
        <f>IF(P918="","",IF(AND(AD918&lt;&gt;"",COUNTIFS(tcTipo,AD918,tcLiq,"Sí")&gt;0),IF(OR(P918="Gasto",P918="Transferencia",P918="Pago tarjeta"),-1,1)*S918,0)+IF(AND(AE918&lt;&gt;"",COUNTIFS(tcTipo,AE918,tcLiq,"Sí")&gt;0),S918,0))</f>
        <v/>
      </c>
      <c r="AI918" s="52">
        <f>IF(OR(L918="",P918=""),"",IF(COUNTIFS(L$6:L918,L918,P$6:P918,"?*")=1,MAX(AI$5:AI917)+1,""))</f>
        <v/>
      </c>
    </row>
    <row r="919">
      <c r="B919" s="47" t="n"/>
      <c r="C919" s="48" t="n"/>
      <c r="D919" s="48" t="n"/>
      <c r="E919" s="48" t="n"/>
      <c r="F919" s="48" t="n"/>
      <c r="G919" s="49" t="n"/>
      <c r="H919" s="48" t="n"/>
      <c r="I919" s="50" t="n"/>
      <c r="J919" s="48" t="n"/>
      <c r="K919" s="48" t="n"/>
      <c r="L919" s="48" t="n"/>
      <c r="M919" s="48" t="n"/>
      <c r="N919" s="48" t="n"/>
      <c r="O919" s="51">
        <f>IF(AND(B919="",G919="",C919="",D919="",J919=""),"",IF(B919="","⚠ Falta fecha",IF(G919="","⚠ Falta monto",IF(Q919="","⚠ Falta cuenta",IF(ISNA(MATCH(Q919,ctaNombre,0)),"⚠ Cuenta no registrada",IF(AND(OR(P919="Gasto",P919="Reembolso"),D919=""),"⚠ Falta categoría",IF(AND(D919&lt;&gt;"",E919&lt;&gt;"",ISNA(MATCH(D919&amp;"|"&amp;E919,catClave,0))),"⚠ Subcategoría no corresponde",IF(AND(OR(P919="Transferencia",P919="Pago tarjeta"),K919=""),"⚠ Falta cuenta destino",IF(AND(K919&lt;&gt;"",P919&lt;&gt;"Transferencia",P919&lt;&gt;"Pago tarjeta"),"⚠ Destino solo aplica a transferencias",IF(AND(K919&lt;&gt;"",K919=Q919),"⚠ Origen igual a destino",IF(AND(K919&lt;&gt;"",ISNA(MATCH(K919,ctaNombre,0))),"⚠ Destino no registrado",IF(AND(P919="Pago tarjeta",AE919&lt;&gt;"Tarjeta de crédito"),"⚠ El destino debe ser tarjeta de crédito",IF(AND(P919="Gasto",E919="Depósitos y retiros"),"⚠ Usa tipo Transferencia",IF(AND(P919="Resultado trading",AD919&lt;&gt;"Cuenta de trading"),"⚠ Usa una cuenta de trading",IF(AND(G919&lt;=0,P919&lt;&gt;"Ajuste",P919&lt;&gt;"Resultado trading"),"⚠ El monto debe ser positivo","✓")))))))))))))))</f>
        <v/>
      </c>
      <c r="P919" s="52">
        <f>IF(OR(B919="",G919=""),"",IF(C919="","Gasto",C919))</f>
        <v/>
      </c>
      <c r="Q919" s="52">
        <f>IF(P919="","",IF(J919&lt;&gt;"",J919,CuentaPred&amp;""))</f>
        <v/>
      </c>
      <c r="R919" s="52">
        <f>IF(P919="","",IF(ISNUMBER(I919),I919,TasaUSD))</f>
        <v/>
      </c>
      <c r="S919" s="53">
        <f>IF(P919="","",IF(H919="USD",G919*R919,G919))</f>
        <v/>
      </c>
      <c r="T919" s="53">
        <f>IF(P919="","",IF(H919="USD",G919,IF(R919&gt;0,G919/R919,0)))</f>
        <v/>
      </c>
      <c r="U919" s="53">
        <f>IF(P919="","",IF(P919="Gasto",S919,IF(P919="Reembolso",-S919,0)))</f>
        <v/>
      </c>
      <c r="V919" s="53">
        <f>IF(P919="","",IF(P919="Ingreso",S919,0))</f>
        <v/>
      </c>
      <c r="W919" s="53">
        <f>IF(P919="","",IF(P919="Resultado trading",S919,0))</f>
        <v/>
      </c>
      <c r="X919" s="52">
        <f>IF(OR(P919="Gasto",P919="Reembolso"),IF(M919&lt;&gt;"",M919,IFERROR(INDEX(catClasif,MATCH(D919&amp;"|"&amp;E919,catClave,0))&amp;"","Variable")),"")</f>
        <v/>
      </c>
      <c r="Y919" s="52">
        <f>IF(P919="","",IFERROR(INDEX(catGrupo,MATCH(D919&amp;"|"&amp;E919,catClave,0))&amp;"",""))</f>
        <v/>
      </c>
      <c r="Z919" s="52">
        <f>IF(P919="","",WEEKDAY(B919,2))</f>
        <v/>
      </c>
      <c r="AA919" s="52">
        <f>IF(P919="","",IF(AND(P919="Gasto",X919="Variable",D919&lt;&gt;catTrading,S919&gt;0,S919&lt;=Umbral),1,0))</f>
        <v/>
      </c>
      <c r="AB919" s="52">
        <f>IF(OR(P919="",Q919=""),"",IFERROR(IF(INDEX(ctaVinc,MATCH(Q919,ctaNombre,0))&amp;""&lt;&gt;"",INDEX(ctaVinc,MATCH(Q919,ctaNombre,0))&amp;"",Q919),Q919))</f>
        <v/>
      </c>
      <c r="AC919" s="52">
        <f>IF(OR(K919="",AND(P919&lt;&gt;"Transferencia",P919&lt;&gt;"Pago tarjeta")),"",IFERROR(IF(INDEX(ctaVinc,MATCH(K919,ctaNombre,0))&amp;""&lt;&gt;"",INDEX(ctaVinc,MATCH(K919,ctaNombre,0))&amp;"",K919),K919))</f>
        <v/>
      </c>
      <c r="AD919" s="52">
        <f>IF(AB919="","",IFERROR(INDEX(ctaTipo,MATCH(AB919,ctaNombre,0))&amp;"",""))</f>
        <v/>
      </c>
      <c r="AE919" s="52">
        <f>IF(AC919="","",IFERROR(INDEX(ctaTipo,MATCH(AC919,ctaNombre,0))&amp;"",""))</f>
        <v/>
      </c>
      <c r="AF919" s="53">
        <f>IF(OR(P919="",AB919=""),"",IF(OR(P919="Gasto",P919="Transferencia",P919="Pago tarjeta"),-1,1)*IF(IFERROR(INDEX(ctaMoneda,MATCH(AB919,ctaNombre,0))&amp;"","DOP")="USD",T919,S919))</f>
        <v/>
      </c>
      <c r="AG919" s="53">
        <f>IF(AC919="","",IF(IFERROR(INDEX(ctaMoneda,MATCH(AC919,ctaNombre,0))&amp;"","DOP")="USD",T919,S919))</f>
        <v/>
      </c>
      <c r="AH919" s="53">
        <f>IF(P919="","",IF(AND(AD919&lt;&gt;"",COUNTIFS(tcTipo,AD919,tcLiq,"Sí")&gt;0),IF(OR(P919="Gasto",P919="Transferencia",P919="Pago tarjeta"),-1,1)*S919,0)+IF(AND(AE919&lt;&gt;"",COUNTIFS(tcTipo,AE919,tcLiq,"Sí")&gt;0),S919,0))</f>
        <v/>
      </c>
      <c r="AI919" s="52">
        <f>IF(OR(L919="",P919=""),"",IF(COUNTIFS(L$6:L919,L919,P$6:P919,"?*")=1,MAX(AI$5:AI918)+1,""))</f>
        <v/>
      </c>
    </row>
    <row r="920">
      <c r="B920" s="47" t="n"/>
      <c r="C920" s="48" t="n"/>
      <c r="D920" s="48" t="n"/>
      <c r="E920" s="48" t="n"/>
      <c r="F920" s="48" t="n"/>
      <c r="G920" s="49" t="n"/>
      <c r="H920" s="48" t="n"/>
      <c r="I920" s="50" t="n"/>
      <c r="J920" s="48" t="n"/>
      <c r="K920" s="48" t="n"/>
      <c r="L920" s="48" t="n"/>
      <c r="M920" s="48" t="n"/>
      <c r="N920" s="48" t="n"/>
      <c r="O920" s="51">
        <f>IF(AND(B920="",G920="",C920="",D920="",J920=""),"",IF(B920="","⚠ Falta fecha",IF(G920="","⚠ Falta monto",IF(Q920="","⚠ Falta cuenta",IF(ISNA(MATCH(Q920,ctaNombre,0)),"⚠ Cuenta no registrada",IF(AND(OR(P920="Gasto",P920="Reembolso"),D920=""),"⚠ Falta categoría",IF(AND(D920&lt;&gt;"",E920&lt;&gt;"",ISNA(MATCH(D920&amp;"|"&amp;E920,catClave,0))),"⚠ Subcategoría no corresponde",IF(AND(OR(P920="Transferencia",P920="Pago tarjeta"),K920=""),"⚠ Falta cuenta destino",IF(AND(K920&lt;&gt;"",P920&lt;&gt;"Transferencia",P920&lt;&gt;"Pago tarjeta"),"⚠ Destino solo aplica a transferencias",IF(AND(K920&lt;&gt;"",K920=Q920),"⚠ Origen igual a destino",IF(AND(K920&lt;&gt;"",ISNA(MATCH(K920,ctaNombre,0))),"⚠ Destino no registrado",IF(AND(P920="Pago tarjeta",AE920&lt;&gt;"Tarjeta de crédito"),"⚠ El destino debe ser tarjeta de crédito",IF(AND(P920="Gasto",E920="Depósitos y retiros"),"⚠ Usa tipo Transferencia",IF(AND(P920="Resultado trading",AD920&lt;&gt;"Cuenta de trading"),"⚠ Usa una cuenta de trading",IF(AND(G920&lt;=0,P920&lt;&gt;"Ajuste",P920&lt;&gt;"Resultado trading"),"⚠ El monto debe ser positivo","✓")))))))))))))))</f>
        <v/>
      </c>
      <c r="P920" s="52">
        <f>IF(OR(B920="",G920=""),"",IF(C920="","Gasto",C920))</f>
        <v/>
      </c>
      <c r="Q920" s="52">
        <f>IF(P920="","",IF(J920&lt;&gt;"",J920,CuentaPred&amp;""))</f>
        <v/>
      </c>
      <c r="R920" s="52">
        <f>IF(P920="","",IF(ISNUMBER(I920),I920,TasaUSD))</f>
        <v/>
      </c>
      <c r="S920" s="53">
        <f>IF(P920="","",IF(H920="USD",G920*R920,G920))</f>
        <v/>
      </c>
      <c r="T920" s="53">
        <f>IF(P920="","",IF(H920="USD",G920,IF(R920&gt;0,G920/R920,0)))</f>
        <v/>
      </c>
      <c r="U920" s="53">
        <f>IF(P920="","",IF(P920="Gasto",S920,IF(P920="Reembolso",-S920,0)))</f>
        <v/>
      </c>
      <c r="V920" s="53">
        <f>IF(P920="","",IF(P920="Ingreso",S920,0))</f>
        <v/>
      </c>
      <c r="W920" s="53">
        <f>IF(P920="","",IF(P920="Resultado trading",S920,0))</f>
        <v/>
      </c>
      <c r="X920" s="52">
        <f>IF(OR(P920="Gasto",P920="Reembolso"),IF(M920&lt;&gt;"",M920,IFERROR(INDEX(catClasif,MATCH(D920&amp;"|"&amp;E920,catClave,0))&amp;"","Variable")),"")</f>
        <v/>
      </c>
      <c r="Y920" s="52">
        <f>IF(P920="","",IFERROR(INDEX(catGrupo,MATCH(D920&amp;"|"&amp;E920,catClave,0))&amp;"",""))</f>
        <v/>
      </c>
      <c r="Z920" s="52">
        <f>IF(P920="","",WEEKDAY(B920,2))</f>
        <v/>
      </c>
      <c r="AA920" s="52">
        <f>IF(P920="","",IF(AND(P920="Gasto",X920="Variable",D920&lt;&gt;catTrading,S920&gt;0,S920&lt;=Umbral),1,0))</f>
        <v/>
      </c>
      <c r="AB920" s="52">
        <f>IF(OR(P920="",Q920=""),"",IFERROR(IF(INDEX(ctaVinc,MATCH(Q920,ctaNombre,0))&amp;""&lt;&gt;"",INDEX(ctaVinc,MATCH(Q920,ctaNombre,0))&amp;"",Q920),Q920))</f>
        <v/>
      </c>
      <c r="AC920" s="52">
        <f>IF(OR(K920="",AND(P920&lt;&gt;"Transferencia",P920&lt;&gt;"Pago tarjeta")),"",IFERROR(IF(INDEX(ctaVinc,MATCH(K920,ctaNombre,0))&amp;""&lt;&gt;"",INDEX(ctaVinc,MATCH(K920,ctaNombre,0))&amp;"",K920),K920))</f>
        <v/>
      </c>
      <c r="AD920" s="52">
        <f>IF(AB920="","",IFERROR(INDEX(ctaTipo,MATCH(AB920,ctaNombre,0))&amp;"",""))</f>
        <v/>
      </c>
      <c r="AE920" s="52">
        <f>IF(AC920="","",IFERROR(INDEX(ctaTipo,MATCH(AC920,ctaNombre,0))&amp;"",""))</f>
        <v/>
      </c>
      <c r="AF920" s="53">
        <f>IF(OR(P920="",AB920=""),"",IF(OR(P920="Gasto",P920="Transferencia",P920="Pago tarjeta"),-1,1)*IF(IFERROR(INDEX(ctaMoneda,MATCH(AB920,ctaNombre,0))&amp;"","DOP")="USD",T920,S920))</f>
        <v/>
      </c>
      <c r="AG920" s="53">
        <f>IF(AC920="","",IF(IFERROR(INDEX(ctaMoneda,MATCH(AC920,ctaNombre,0))&amp;"","DOP")="USD",T920,S920))</f>
        <v/>
      </c>
      <c r="AH920" s="53">
        <f>IF(P920="","",IF(AND(AD920&lt;&gt;"",COUNTIFS(tcTipo,AD920,tcLiq,"Sí")&gt;0),IF(OR(P920="Gasto",P920="Transferencia",P920="Pago tarjeta"),-1,1)*S920,0)+IF(AND(AE920&lt;&gt;"",COUNTIFS(tcTipo,AE920,tcLiq,"Sí")&gt;0),S920,0))</f>
        <v/>
      </c>
      <c r="AI920" s="52">
        <f>IF(OR(L920="",P920=""),"",IF(COUNTIFS(L$6:L920,L920,P$6:P920,"?*")=1,MAX(AI$5:AI919)+1,""))</f>
        <v/>
      </c>
    </row>
    <row r="921">
      <c r="B921" s="47" t="n"/>
      <c r="C921" s="48" t="n"/>
      <c r="D921" s="48" t="n"/>
      <c r="E921" s="48" t="n"/>
      <c r="F921" s="48" t="n"/>
      <c r="G921" s="49" t="n"/>
      <c r="H921" s="48" t="n"/>
      <c r="I921" s="50" t="n"/>
      <c r="J921" s="48" t="n"/>
      <c r="K921" s="48" t="n"/>
      <c r="L921" s="48" t="n"/>
      <c r="M921" s="48" t="n"/>
      <c r="N921" s="48" t="n"/>
      <c r="O921" s="51">
        <f>IF(AND(B921="",G921="",C921="",D921="",J921=""),"",IF(B921="","⚠ Falta fecha",IF(G921="","⚠ Falta monto",IF(Q921="","⚠ Falta cuenta",IF(ISNA(MATCH(Q921,ctaNombre,0)),"⚠ Cuenta no registrada",IF(AND(OR(P921="Gasto",P921="Reembolso"),D921=""),"⚠ Falta categoría",IF(AND(D921&lt;&gt;"",E921&lt;&gt;"",ISNA(MATCH(D921&amp;"|"&amp;E921,catClave,0))),"⚠ Subcategoría no corresponde",IF(AND(OR(P921="Transferencia",P921="Pago tarjeta"),K921=""),"⚠ Falta cuenta destino",IF(AND(K921&lt;&gt;"",P921&lt;&gt;"Transferencia",P921&lt;&gt;"Pago tarjeta"),"⚠ Destino solo aplica a transferencias",IF(AND(K921&lt;&gt;"",K921=Q921),"⚠ Origen igual a destino",IF(AND(K921&lt;&gt;"",ISNA(MATCH(K921,ctaNombre,0))),"⚠ Destino no registrado",IF(AND(P921="Pago tarjeta",AE921&lt;&gt;"Tarjeta de crédito"),"⚠ El destino debe ser tarjeta de crédito",IF(AND(P921="Gasto",E921="Depósitos y retiros"),"⚠ Usa tipo Transferencia",IF(AND(P921="Resultado trading",AD921&lt;&gt;"Cuenta de trading"),"⚠ Usa una cuenta de trading",IF(AND(G921&lt;=0,P921&lt;&gt;"Ajuste",P921&lt;&gt;"Resultado trading"),"⚠ El monto debe ser positivo","✓")))))))))))))))</f>
        <v/>
      </c>
      <c r="P921" s="52">
        <f>IF(OR(B921="",G921=""),"",IF(C921="","Gasto",C921))</f>
        <v/>
      </c>
      <c r="Q921" s="52">
        <f>IF(P921="","",IF(J921&lt;&gt;"",J921,CuentaPred&amp;""))</f>
        <v/>
      </c>
      <c r="R921" s="52">
        <f>IF(P921="","",IF(ISNUMBER(I921),I921,TasaUSD))</f>
        <v/>
      </c>
      <c r="S921" s="53">
        <f>IF(P921="","",IF(H921="USD",G921*R921,G921))</f>
        <v/>
      </c>
      <c r="T921" s="53">
        <f>IF(P921="","",IF(H921="USD",G921,IF(R921&gt;0,G921/R921,0)))</f>
        <v/>
      </c>
      <c r="U921" s="53">
        <f>IF(P921="","",IF(P921="Gasto",S921,IF(P921="Reembolso",-S921,0)))</f>
        <v/>
      </c>
      <c r="V921" s="53">
        <f>IF(P921="","",IF(P921="Ingreso",S921,0))</f>
        <v/>
      </c>
      <c r="W921" s="53">
        <f>IF(P921="","",IF(P921="Resultado trading",S921,0))</f>
        <v/>
      </c>
      <c r="X921" s="52">
        <f>IF(OR(P921="Gasto",P921="Reembolso"),IF(M921&lt;&gt;"",M921,IFERROR(INDEX(catClasif,MATCH(D921&amp;"|"&amp;E921,catClave,0))&amp;"","Variable")),"")</f>
        <v/>
      </c>
      <c r="Y921" s="52">
        <f>IF(P921="","",IFERROR(INDEX(catGrupo,MATCH(D921&amp;"|"&amp;E921,catClave,0))&amp;"",""))</f>
        <v/>
      </c>
      <c r="Z921" s="52">
        <f>IF(P921="","",WEEKDAY(B921,2))</f>
        <v/>
      </c>
      <c r="AA921" s="52">
        <f>IF(P921="","",IF(AND(P921="Gasto",X921="Variable",D921&lt;&gt;catTrading,S921&gt;0,S921&lt;=Umbral),1,0))</f>
        <v/>
      </c>
      <c r="AB921" s="52">
        <f>IF(OR(P921="",Q921=""),"",IFERROR(IF(INDEX(ctaVinc,MATCH(Q921,ctaNombre,0))&amp;""&lt;&gt;"",INDEX(ctaVinc,MATCH(Q921,ctaNombre,0))&amp;"",Q921),Q921))</f>
        <v/>
      </c>
      <c r="AC921" s="52">
        <f>IF(OR(K921="",AND(P921&lt;&gt;"Transferencia",P921&lt;&gt;"Pago tarjeta")),"",IFERROR(IF(INDEX(ctaVinc,MATCH(K921,ctaNombre,0))&amp;""&lt;&gt;"",INDEX(ctaVinc,MATCH(K921,ctaNombre,0))&amp;"",K921),K921))</f>
        <v/>
      </c>
      <c r="AD921" s="52">
        <f>IF(AB921="","",IFERROR(INDEX(ctaTipo,MATCH(AB921,ctaNombre,0))&amp;"",""))</f>
        <v/>
      </c>
      <c r="AE921" s="52">
        <f>IF(AC921="","",IFERROR(INDEX(ctaTipo,MATCH(AC921,ctaNombre,0))&amp;"",""))</f>
        <v/>
      </c>
      <c r="AF921" s="53">
        <f>IF(OR(P921="",AB921=""),"",IF(OR(P921="Gasto",P921="Transferencia",P921="Pago tarjeta"),-1,1)*IF(IFERROR(INDEX(ctaMoneda,MATCH(AB921,ctaNombre,0))&amp;"","DOP")="USD",T921,S921))</f>
        <v/>
      </c>
      <c r="AG921" s="53">
        <f>IF(AC921="","",IF(IFERROR(INDEX(ctaMoneda,MATCH(AC921,ctaNombre,0))&amp;"","DOP")="USD",T921,S921))</f>
        <v/>
      </c>
      <c r="AH921" s="53">
        <f>IF(P921="","",IF(AND(AD921&lt;&gt;"",COUNTIFS(tcTipo,AD921,tcLiq,"Sí")&gt;0),IF(OR(P921="Gasto",P921="Transferencia",P921="Pago tarjeta"),-1,1)*S921,0)+IF(AND(AE921&lt;&gt;"",COUNTIFS(tcTipo,AE921,tcLiq,"Sí")&gt;0),S921,0))</f>
        <v/>
      </c>
      <c r="AI921" s="52">
        <f>IF(OR(L921="",P921=""),"",IF(COUNTIFS(L$6:L921,L921,P$6:P921,"?*")=1,MAX(AI$5:AI920)+1,""))</f>
        <v/>
      </c>
    </row>
    <row r="922">
      <c r="B922" s="47" t="n"/>
      <c r="C922" s="48" t="n"/>
      <c r="D922" s="48" t="n"/>
      <c r="E922" s="48" t="n"/>
      <c r="F922" s="48" t="n"/>
      <c r="G922" s="49" t="n"/>
      <c r="H922" s="48" t="n"/>
      <c r="I922" s="50" t="n"/>
      <c r="J922" s="48" t="n"/>
      <c r="K922" s="48" t="n"/>
      <c r="L922" s="48" t="n"/>
      <c r="M922" s="48" t="n"/>
      <c r="N922" s="48" t="n"/>
      <c r="O922" s="51">
        <f>IF(AND(B922="",G922="",C922="",D922="",J922=""),"",IF(B922="","⚠ Falta fecha",IF(G922="","⚠ Falta monto",IF(Q922="","⚠ Falta cuenta",IF(ISNA(MATCH(Q922,ctaNombre,0)),"⚠ Cuenta no registrada",IF(AND(OR(P922="Gasto",P922="Reembolso"),D922=""),"⚠ Falta categoría",IF(AND(D922&lt;&gt;"",E922&lt;&gt;"",ISNA(MATCH(D922&amp;"|"&amp;E922,catClave,0))),"⚠ Subcategoría no corresponde",IF(AND(OR(P922="Transferencia",P922="Pago tarjeta"),K922=""),"⚠ Falta cuenta destino",IF(AND(K922&lt;&gt;"",P922&lt;&gt;"Transferencia",P922&lt;&gt;"Pago tarjeta"),"⚠ Destino solo aplica a transferencias",IF(AND(K922&lt;&gt;"",K922=Q922),"⚠ Origen igual a destino",IF(AND(K922&lt;&gt;"",ISNA(MATCH(K922,ctaNombre,0))),"⚠ Destino no registrado",IF(AND(P922="Pago tarjeta",AE922&lt;&gt;"Tarjeta de crédito"),"⚠ El destino debe ser tarjeta de crédito",IF(AND(P922="Gasto",E922="Depósitos y retiros"),"⚠ Usa tipo Transferencia",IF(AND(P922="Resultado trading",AD922&lt;&gt;"Cuenta de trading"),"⚠ Usa una cuenta de trading",IF(AND(G922&lt;=0,P922&lt;&gt;"Ajuste",P922&lt;&gt;"Resultado trading"),"⚠ El monto debe ser positivo","✓")))))))))))))))</f>
        <v/>
      </c>
      <c r="P922" s="52">
        <f>IF(OR(B922="",G922=""),"",IF(C922="","Gasto",C922))</f>
        <v/>
      </c>
      <c r="Q922" s="52">
        <f>IF(P922="","",IF(J922&lt;&gt;"",J922,CuentaPred&amp;""))</f>
        <v/>
      </c>
      <c r="R922" s="52">
        <f>IF(P922="","",IF(ISNUMBER(I922),I922,TasaUSD))</f>
        <v/>
      </c>
      <c r="S922" s="53">
        <f>IF(P922="","",IF(H922="USD",G922*R922,G922))</f>
        <v/>
      </c>
      <c r="T922" s="53">
        <f>IF(P922="","",IF(H922="USD",G922,IF(R922&gt;0,G922/R922,0)))</f>
        <v/>
      </c>
      <c r="U922" s="53">
        <f>IF(P922="","",IF(P922="Gasto",S922,IF(P922="Reembolso",-S922,0)))</f>
        <v/>
      </c>
      <c r="V922" s="53">
        <f>IF(P922="","",IF(P922="Ingreso",S922,0))</f>
        <v/>
      </c>
      <c r="W922" s="53">
        <f>IF(P922="","",IF(P922="Resultado trading",S922,0))</f>
        <v/>
      </c>
      <c r="X922" s="52">
        <f>IF(OR(P922="Gasto",P922="Reembolso"),IF(M922&lt;&gt;"",M922,IFERROR(INDEX(catClasif,MATCH(D922&amp;"|"&amp;E922,catClave,0))&amp;"","Variable")),"")</f>
        <v/>
      </c>
      <c r="Y922" s="52">
        <f>IF(P922="","",IFERROR(INDEX(catGrupo,MATCH(D922&amp;"|"&amp;E922,catClave,0))&amp;"",""))</f>
        <v/>
      </c>
      <c r="Z922" s="52">
        <f>IF(P922="","",WEEKDAY(B922,2))</f>
        <v/>
      </c>
      <c r="AA922" s="52">
        <f>IF(P922="","",IF(AND(P922="Gasto",X922="Variable",D922&lt;&gt;catTrading,S922&gt;0,S922&lt;=Umbral),1,0))</f>
        <v/>
      </c>
      <c r="AB922" s="52">
        <f>IF(OR(P922="",Q922=""),"",IFERROR(IF(INDEX(ctaVinc,MATCH(Q922,ctaNombre,0))&amp;""&lt;&gt;"",INDEX(ctaVinc,MATCH(Q922,ctaNombre,0))&amp;"",Q922),Q922))</f>
        <v/>
      </c>
      <c r="AC922" s="52">
        <f>IF(OR(K922="",AND(P922&lt;&gt;"Transferencia",P922&lt;&gt;"Pago tarjeta")),"",IFERROR(IF(INDEX(ctaVinc,MATCH(K922,ctaNombre,0))&amp;""&lt;&gt;"",INDEX(ctaVinc,MATCH(K922,ctaNombre,0))&amp;"",K922),K922))</f>
        <v/>
      </c>
      <c r="AD922" s="52">
        <f>IF(AB922="","",IFERROR(INDEX(ctaTipo,MATCH(AB922,ctaNombre,0))&amp;"",""))</f>
        <v/>
      </c>
      <c r="AE922" s="52">
        <f>IF(AC922="","",IFERROR(INDEX(ctaTipo,MATCH(AC922,ctaNombre,0))&amp;"",""))</f>
        <v/>
      </c>
      <c r="AF922" s="53">
        <f>IF(OR(P922="",AB922=""),"",IF(OR(P922="Gasto",P922="Transferencia",P922="Pago tarjeta"),-1,1)*IF(IFERROR(INDEX(ctaMoneda,MATCH(AB922,ctaNombre,0))&amp;"","DOP")="USD",T922,S922))</f>
        <v/>
      </c>
      <c r="AG922" s="53">
        <f>IF(AC922="","",IF(IFERROR(INDEX(ctaMoneda,MATCH(AC922,ctaNombre,0))&amp;"","DOP")="USD",T922,S922))</f>
        <v/>
      </c>
      <c r="AH922" s="53">
        <f>IF(P922="","",IF(AND(AD922&lt;&gt;"",COUNTIFS(tcTipo,AD922,tcLiq,"Sí")&gt;0),IF(OR(P922="Gasto",P922="Transferencia",P922="Pago tarjeta"),-1,1)*S922,0)+IF(AND(AE922&lt;&gt;"",COUNTIFS(tcTipo,AE922,tcLiq,"Sí")&gt;0),S922,0))</f>
        <v/>
      </c>
      <c r="AI922" s="52">
        <f>IF(OR(L922="",P922=""),"",IF(COUNTIFS(L$6:L922,L922,P$6:P922,"?*")=1,MAX(AI$5:AI921)+1,""))</f>
        <v/>
      </c>
    </row>
    <row r="923">
      <c r="B923" s="47" t="n"/>
      <c r="C923" s="48" t="n"/>
      <c r="D923" s="48" t="n"/>
      <c r="E923" s="48" t="n"/>
      <c r="F923" s="48" t="n"/>
      <c r="G923" s="49" t="n"/>
      <c r="H923" s="48" t="n"/>
      <c r="I923" s="50" t="n"/>
      <c r="J923" s="48" t="n"/>
      <c r="K923" s="48" t="n"/>
      <c r="L923" s="48" t="n"/>
      <c r="M923" s="48" t="n"/>
      <c r="N923" s="48" t="n"/>
      <c r="O923" s="51">
        <f>IF(AND(B923="",G923="",C923="",D923="",J923=""),"",IF(B923="","⚠ Falta fecha",IF(G923="","⚠ Falta monto",IF(Q923="","⚠ Falta cuenta",IF(ISNA(MATCH(Q923,ctaNombre,0)),"⚠ Cuenta no registrada",IF(AND(OR(P923="Gasto",P923="Reembolso"),D923=""),"⚠ Falta categoría",IF(AND(D923&lt;&gt;"",E923&lt;&gt;"",ISNA(MATCH(D923&amp;"|"&amp;E923,catClave,0))),"⚠ Subcategoría no corresponde",IF(AND(OR(P923="Transferencia",P923="Pago tarjeta"),K923=""),"⚠ Falta cuenta destino",IF(AND(K923&lt;&gt;"",P923&lt;&gt;"Transferencia",P923&lt;&gt;"Pago tarjeta"),"⚠ Destino solo aplica a transferencias",IF(AND(K923&lt;&gt;"",K923=Q923),"⚠ Origen igual a destino",IF(AND(K923&lt;&gt;"",ISNA(MATCH(K923,ctaNombre,0))),"⚠ Destino no registrado",IF(AND(P923="Pago tarjeta",AE923&lt;&gt;"Tarjeta de crédito"),"⚠ El destino debe ser tarjeta de crédito",IF(AND(P923="Gasto",E923="Depósitos y retiros"),"⚠ Usa tipo Transferencia",IF(AND(P923="Resultado trading",AD923&lt;&gt;"Cuenta de trading"),"⚠ Usa una cuenta de trading",IF(AND(G923&lt;=0,P923&lt;&gt;"Ajuste",P923&lt;&gt;"Resultado trading"),"⚠ El monto debe ser positivo","✓")))))))))))))))</f>
        <v/>
      </c>
      <c r="P923" s="52">
        <f>IF(OR(B923="",G923=""),"",IF(C923="","Gasto",C923))</f>
        <v/>
      </c>
      <c r="Q923" s="52">
        <f>IF(P923="","",IF(J923&lt;&gt;"",J923,CuentaPred&amp;""))</f>
        <v/>
      </c>
      <c r="R923" s="52">
        <f>IF(P923="","",IF(ISNUMBER(I923),I923,TasaUSD))</f>
        <v/>
      </c>
      <c r="S923" s="53">
        <f>IF(P923="","",IF(H923="USD",G923*R923,G923))</f>
        <v/>
      </c>
      <c r="T923" s="53">
        <f>IF(P923="","",IF(H923="USD",G923,IF(R923&gt;0,G923/R923,0)))</f>
        <v/>
      </c>
      <c r="U923" s="53">
        <f>IF(P923="","",IF(P923="Gasto",S923,IF(P923="Reembolso",-S923,0)))</f>
        <v/>
      </c>
      <c r="V923" s="53">
        <f>IF(P923="","",IF(P923="Ingreso",S923,0))</f>
        <v/>
      </c>
      <c r="W923" s="53">
        <f>IF(P923="","",IF(P923="Resultado trading",S923,0))</f>
        <v/>
      </c>
      <c r="X923" s="52">
        <f>IF(OR(P923="Gasto",P923="Reembolso"),IF(M923&lt;&gt;"",M923,IFERROR(INDEX(catClasif,MATCH(D923&amp;"|"&amp;E923,catClave,0))&amp;"","Variable")),"")</f>
        <v/>
      </c>
      <c r="Y923" s="52">
        <f>IF(P923="","",IFERROR(INDEX(catGrupo,MATCH(D923&amp;"|"&amp;E923,catClave,0))&amp;"",""))</f>
        <v/>
      </c>
      <c r="Z923" s="52">
        <f>IF(P923="","",WEEKDAY(B923,2))</f>
        <v/>
      </c>
      <c r="AA923" s="52">
        <f>IF(P923="","",IF(AND(P923="Gasto",X923="Variable",D923&lt;&gt;catTrading,S923&gt;0,S923&lt;=Umbral),1,0))</f>
        <v/>
      </c>
      <c r="AB923" s="52">
        <f>IF(OR(P923="",Q923=""),"",IFERROR(IF(INDEX(ctaVinc,MATCH(Q923,ctaNombre,0))&amp;""&lt;&gt;"",INDEX(ctaVinc,MATCH(Q923,ctaNombre,0))&amp;"",Q923),Q923))</f>
        <v/>
      </c>
      <c r="AC923" s="52">
        <f>IF(OR(K923="",AND(P923&lt;&gt;"Transferencia",P923&lt;&gt;"Pago tarjeta")),"",IFERROR(IF(INDEX(ctaVinc,MATCH(K923,ctaNombre,0))&amp;""&lt;&gt;"",INDEX(ctaVinc,MATCH(K923,ctaNombre,0))&amp;"",K923),K923))</f>
        <v/>
      </c>
      <c r="AD923" s="52">
        <f>IF(AB923="","",IFERROR(INDEX(ctaTipo,MATCH(AB923,ctaNombre,0))&amp;"",""))</f>
        <v/>
      </c>
      <c r="AE923" s="52">
        <f>IF(AC923="","",IFERROR(INDEX(ctaTipo,MATCH(AC923,ctaNombre,0))&amp;"",""))</f>
        <v/>
      </c>
      <c r="AF923" s="53">
        <f>IF(OR(P923="",AB923=""),"",IF(OR(P923="Gasto",P923="Transferencia",P923="Pago tarjeta"),-1,1)*IF(IFERROR(INDEX(ctaMoneda,MATCH(AB923,ctaNombre,0))&amp;"","DOP")="USD",T923,S923))</f>
        <v/>
      </c>
      <c r="AG923" s="53">
        <f>IF(AC923="","",IF(IFERROR(INDEX(ctaMoneda,MATCH(AC923,ctaNombre,0))&amp;"","DOP")="USD",T923,S923))</f>
        <v/>
      </c>
      <c r="AH923" s="53">
        <f>IF(P923="","",IF(AND(AD923&lt;&gt;"",COUNTIFS(tcTipo,AD923,tcLiq,"Sí")&gt;0),IF(OR(P923="Gasto",P923="Transferencia",P923="Pago tarjeta"),-1,1)*S923,0)+IF(AND(AE923&lt;&gt;"",COUNTIFS(tcTipo,AE923,tcLiq,"Sí")&gt;0),S923,0))</f>
        <v/>
      </c>
      <c r="AI923" s="52">
        <f>IF(OR(L923="",P923=""),"",IF(COUNTIFS(L$6:L923,L923,P$6:P923,"?*")=1,MAX(AI$5:AI922)+1,""))</f>
        <v/>
      </c>
    </row>
    <row r="924">
      <c r="B924" s="47" t="n"/>
      <c r="C924" s="48" t="n"/>
      <c r="D924" s="48" t="n"/>
      <c r="E924" s="48" t="n"/>
      <c r="F924" s="48" t="n"/>
      <c r="G924" s="49" t="n"/>
      <c r="H924" s="48" t="n"/>
      <c r="I924" s="50" t="n"/>
      <c r="J924" s="48" t="n"/>
      <c r="K924" s="48" t="n"/>
      <c r="L924" s="48" t="n"/>
      <c r="M924" s="48" t="n"/>
      <c r="N924" s="48" t="n"/>
      <c r="O924" s="51">
        <f>IF(AND(B924="",G924="",C924="",D924="",J924=""),"",IF(B924="","⚠ Falta fecha",IF(G924="","⚠ Falta monto",IF(Q924="","⚠ Falta cuenta",IF(ISNA(MATCH(Q924,ctaNombre,0)),"⚠ Cuenta no registrada",IF(AND(OR(P924="Gasto",P924="Reembolso"),D924=""),"⚠ Falta categoría",IF(AND(D924&lt;&gt;"",E924&lt;&gt;"",ISNA(MATCH(D924&amp;"|"&amp;E924,catClave,0))),"⚠ Subcategoría no corresponde",IF(AND(OR(P924="Transferencia",P924="Pago tarjeta"),K924=""),"⚠ Falta cuenta destino",IF(AND(K924&lt;&gt;"",P924&lt;&gt;"Transferencia",P924&lt;&gt;"Pago tarjeta"),"⚠ Destino solo aplica a transferencias",IF(AND(K924&lt;&gt;"",K924=Q924),"⚠ Origen igual a destino",IF(AND(K924&lt;&gt;"",ISNA(MATCH(K924,ctaNombre,0))),"⚠ Destino no registrado",IF(AND(P924="Pago tarjeta",AE924&lt;&gt;"Tarjeta de crédito"),"⚠ El destino debe ser tarjeta de crédito",IF(AND(P924="Gasto",E924="Depósitos y retiros"),"⚠ Usa tipo Transferencia",IF(AND(P924="Resultado trading",AD924&lt;&gt;"Cuenta de trading"),"⚠ Usa una cuenta de trading",IF(AND(G924&lt;=0,P924&lt;&gt;"Ajuste",P924&lt;&gt;"Resultado trading"),"⚠ El monto debe ser positivo","✓")))))))))))))))</f>
        <v/>
      </c>
      <c r="P924" s="52">
        <f>IF(OR(B924="",G924=""),"",IF(C924="","Gasto",C924))</f>
        <v/>
      </c>
      <c r="Q924" s="52">
        <f>IF(P924="","",IF(J924&lt;&gt;"",J924,CuentaPred&amp;""))</f>
        <v/>
      </c>
      <c r="R924" s="52">
        <f>IF(P924="","",IF(ISNUMBER(I924),I924,TasaUSD))</f>
        <v/>
      </c>
      <c r="S924" s="53">
        <f>IF(P924="","",IF(H924="USD",G924*R924,G924))</f>
        <v/>
      </c>
      <c r="T924" s="53">
        <f>IF(P924="","",IF(H924="USD",G924,IF(R924&gt;0,G924/R924,0)))</f>
        <v/>
      </c>
      <c r="U924" s="53">
        <f>IF(P924="","",IF(P924="Gasto",S924,IF(P924="Reembolso",-S924,0)))</f>
        <v/>
      </c>
      <c r="V924" s="53">
        <f>IF(P924="","",IF(P924="Ingreso",S924,0))</f>
        <v/>
      </c>
      <c r="W924" s="53">
        <f>IF(P924="","",IF(P924="Resultado trading",S924,0))</f>
        <v/>
      </c>
      <c r="X924" s="52">
        <f>IF(OR(P924="Gasto",P924="Reembolso"),IF(M924&lt;&gt;"",M924,IFERROR(INDEX(catClasif,MATCH(D924&amp;"|"&amp;E924,catClave,0))&amp;"","Variable")),"")</f>
        <v/>
      </c>
      <c r="Y924" s="52">
        <f>IF(P924="","",IFERROR(INDEX(catGrupo,MATCH(D924&amp;"|"&amp;E924,catClave,0))&amp;"",""))</f>
        <v/>
      </c>
      <c r="Z924" s="52">
        <f>IF(P924="","",WEEKDAY(B924,2))</f>
        <v/>
      </c>
      <c r="AA924" s="52">
        <f>IF(P924="","",IF(AND(P924="Gasto",X924="Variable",D924&lt;&gt;catTrading,S924&gt;0,S924&lt;=Umbral),1,0))</f>
        <v/>
      </c>
      <c r="AB924" s="52">
        <f>IF(OR(P924="",Q924=""),"",IFERROR(IF(INDEX(ctaVinc,MATCH(Q924,ctaNombre,0))&amp;""&lt;&gt;"",INDEX(ctaVinc,MATCH(Q924,ctaNombre,0))&amp;"",Q924),Q924))</f>
        <v/>
      </c>
      <c r="AC924" s="52">
        <f>IF(OR(K924="",AND(P924&lt;&gt;"Transferencia",P924&lt;&gt;"Pago tarjeta")),"",IFERROR(IF(INDEX(ctaVinc,MATCH(K924,ctaNombre,0))&amp;""&lt;&gt;"",INDEX(ctaVinc,MATCH(K924,ctaNombre,0))&amp;"",K924),K924))</f>
        <v/>
      </c>
      <c r="AD924" s="52">
        <f>IF(AB924="","",IFERROR(INDEX(ctaTipo,MATCH(AB924,ctaNombre,0))&amp;"",""))</f>
        <v/>
      </c>
      <c r="AE924" s="52">
        <f>IF(AC924="","",IFERROR(INDEX(ctaTipo,MATCH(AC924,ctaNombre,0))&amp;"",""))</f>
        <v/>
      </c>
      <c r="AF924" s="53">
        <f>IF(OR(P924="",AB924=""),"",IF(OR(P924="Gasto",P924="Transferencia",P924="Pago tarjeta"),-1,1)*IF(IFERROR(INDEX(ctaMoneda,MATCH(AB924,ctaNombre,0))&amp;"","DOP")="USD",T924,S924))</f>
        <v/>
      </c>
      <c r="AG924" s="53">
        <f>IF(AC924="","",IF(IFERROR(INDEX(ctaMoneda,MATCH(AC924,ctaNombre,0))&amp;"","DOP")="USD",T924,S924))</f>
        <v/>
      </c>
      <c r="AH924" s="53">
        <f>IF(P924="","",IF(AND(AD924&lt;&gt;"",COUNTIFS(tcTipo,AD924,tcLiq,"Sí")&gt;0),IF(OR(P924="Gasto",P924="Transferencia",P924="Pago tarjeta"),-1,1)*S924,0)+IF(AND(AE924&lt;&gt;"",COUNTIFS(tcTipo,AE924,tcLiq,"Sí")&gt;0),S924,0))</f>
        <v/>
      </c>
      <c r="AI924" s="52">
        <f>IF(OR(L924="",P924=""),"",IF(COUNTIFS(L$6:L924,L924,P$6:P924,"?*")=1,MAX(AI$5:AI923)+1,""))</f>
        <v/>
      </c>
    </row>
    <row r="925">
      <c r="B925" s="47" t="n"/>
      <c r="C925" s="48" t="n"/>
      <c r="D925" s="48" t="n"/>
      <c r="E925" s="48" t="n"/>
      <c r="F925" s="48" t="n"/>
      <c r="G925" s="49" t="n"/>
      <c r="H925" s="48" t="n"/>
      <c r="I925" s="50" t="n"/>
      <c r="J925" s="48" t="n"/>
      <c r="K925" s="48" t="n"/>
      <c r="L925" s="48" t="n"/>
      <c r="M925" s="48" t="n"/>
      <c r="N925" s="48" t="n"/>
      <c r="O925" s="51">
        <f>IF(AND(B925="",G925="",C925="",D925="",J925=""),"",IF(B925="","⚠ Falta fecha",IF(G925="","⚠ Falta monto",IF(Q925="","⚠ Falta cuenta",IF(ISNA(MATCH(Q925,ctaNombre,0)),"⚠ Cuenta no registrada",IF(AND(OR(P925="Gasto",P925="Reembolso"),D925=""),"⚠ Falta categoría",IF(AND(D925&lt;&gt;"",E925&lt;&gt;"",ISNA(MATCH(D925&amp;"|"&amp;E925,catClave,0))),"⚠ Subcategoría no corresponde",IF(AND(OR(P925="Transferencia",P925="Pago tarjeta"),K925=""),"⚠ Falta cuenta destino",IF(AND(K925&lt;&gt;"",P925&lt;&gt;"Transferencia",P925&lt;&gt;"Pago tarjeta"),"⚠ Destino solo aplica a transferencias",IF(AND(K925&lt;&gt;"",K925=Q925),"⚠ Origen igual a destino",IF(AND(K925&lt;&gt;"",ISNA(MATCH(K925,ctaNombre,0))),"⚠ Destino no registrado",IF(AND(P925="Pago tarjeta",AE925&lt;&gt;"Tarjeta de crédito"),"⚠ El destino debe ser tarjeta de crédito",IF(AND(P925="Gasto",E925="Depósitos y retiros"),"⚠ Usa tipo Transferencia",IF(AND(P925="Resultado trading",AD925&lt;&gt;"Cuenta de trading"),"⚠ Usa una cuenta de trading",IF(AND(G925&lt;=0,P925&lt;&gt;"Ajuste",P925&lt;&gt;"Resultado trading"),"⚠ El monto debe ser positivo","✓")))))))))))))))</f>
        <v/>
      </c>
      <c r="P925" s="52">
        <f>IF(OR(B925="",G925=""),"",IF(C925="","Gasto",C925))</f>
        <v/>
      </c>
      <c r="Q925" s="52">
        <f>IF(P925="","",IF(J925&lt;&gt;"",J925,CuentaPred&amp;""))</f>
        <v/>
      </c>
      <c r="R925" s="52">
        <f>IF(P925="","",IF(ISNUMBER(I925),I925,TasaUSD))</f>
        <v/>
      </c>
      <c r="S925" s="53">
        <f>IF(P925="","",IF(H925="USD",G925*R925,G925))</f>
        <v/>
      </c>
      <c r="T925" s="53">
        <f>IF(P925="","",IF(H925="USD",G925,IF(R925&gt;0,G925/R925,0)))</f>
        <v/>
      </c>
      <c r="U925" s="53">
        <f>IF(P925="","",IF(P925="Gasto",S925,IF(P925="Reembolso",-S925,0)))</f>
        <v/>
      </c>
      <c r="V925" s="53">
        <f>IF(P925="","",IF(P925="Ingreso",S925,0))</f>
        <v/>
      </c>
      <c r="W925" s="53">
        <f>IF(P925="","",IF(P925="Resultado trading",S925,0))</f>
        <v/>
      </c>
      <c r="X925" s="52">
        <f>IF(OR(P925="Gasto",P925="Reembolso"),IF(M925&lt;&gt;"",M925,IFERROR(INDEX(catClasif,MATCH(D925&amp;"|"&amp;E925,catClave,0))&amp;"","Variable")),"")</f>
        <v/>
      </c>
      <c r="Y925" s="52">
        <f>IF(P925="","",IFERROR(INDEX(catGrupo,MATCH(D925&amp;"|"&amp;E925,catClave,0))&amp;"",""))</f>
        <v/>
      </c>
      <c r="Z925" s="52">
        <f>IF(P925="","",WEEKDAY(B925,2))</f>
        <v/>
      </c>
      <c r="AA925" s="52">
        <f>IF(P925="","",IF(AND(P925="Gasto",X925="Variable",D925&lt;&gt;catTrading,S925&gt;0,S925&lt;=Umbral),1,0))</f>
        <v/>
      </c>
      <c r="AB925" s="52">
        <f>IF(OR(P925="",Q925=""),"",IFERROR(IF(INDEX(ctaVinc,MATCH(Q925,ctaNombre,0))&amp;""&lt;&gt;"",INDEX(ctaVinc,MATCH(Q925,ctaNombre,0))&amp;"",Q925),Q925))</f>
        <v/>
      </c>
      <c r="AC925" s="52">
        <f>IF(OR(K925="",AND(P925&lt;&gt;"Transferencia",P925&lt;&gt;"Pago tarjeta")),"",IFERROR(IF(INDEX(ctaVinc,MATCH(K925,ctaNombre,0))&amp;""&lt;&gt;"",INDEX(ctaVinc,MATCH(K925,ctaNombre,0))&amp;"",K925),K925))</f>
        <v/>
      </c>
      <c r="AD925" s="52">
        <f>IF(AB925="","",IFERROR(INDEX(ctaTipo,MATCH(AB925,ctaNombre,0))&amp;"",""))</f>
        <v/>
      </c>
      <c r="AE925" s="52">
        <f>IF(AC925="","",IFERROR(INDEX(ctaTipo,MATCH(AC925,ctaNombre,0))&amp;"",""))</f>
        <v/>
      </c>
      <c r="AF925" s="53">
        <f>IF(OR(P925="",AB925=""),"",IF(OR(P925="Gasto",P925="Transferencia",P925="Pago tarjeta"),-1,1)*IF(IFERROR(INDEX(ctaMoneda,MATCH(AB925,ctaNombre,0))&amp;"","DOP")="USD",T925,S925))</f>
        <v/>
      </c>
      <c r="AG925" s="53">
        <f>IF(AC925="","",IF(IFERROR(INDEX(ctaMoneda,MATCH(AC925,ctaNombre,0))&amp;"","DOP")="USD",T925,S925))</f>
        <v/>
      </c>
      <c r="AH925" s="53">
        <f>IF(P925="","",IF(AND(AD925&lt;&gt;"",COUNTIFS(tcTipo,AD925,tcLiq,"Sí")&gt;0),IF(OR(P925="Gasto",P925="Transferencia",P925="Pago tarjeta"),-1,1)*S925,0)+IF(AND(AE925&lt;&gt;"",COUNTIFS(tcTipo,AE925,tcLiq,"Sí")&gt;0),S925,0))</f>
        <v/>
      </c>
      <c r="AI925" s="52">
        <f>IF(OR(L925="",P925=""),"",IF(COUNTIFS(L$6:L925,L925,P$6:P925,"?*")=1,MAX(AI$5:AI924)+1,""))</f>
        <v/>
      </c>
    </row>
    <row r="926">
      <c r="B926" s="47" t="n"/>
      <c r="C926" s="48" t="n"/>
      <c r="D926" s="48" t="n"/>
      <c r="E926" s="48" t="n"/>
      <c r="F926" s="48" t="n"/>
      <c r="G926" s="49" t="n"/>
      <c r="H926" s="48" t="n"/>
      <c r="I926" s="50" t="n"/>
      <c r="J926" s="48" t="n"/>
      <c r="K926" s="48" t="n"/>
      <c r="L926" s="48" t="n"/>
      <c r="M926" s="48" t="n"/>
      <c r="N926" s="48" t="n"/>
      <c r="O926" s="51">
        <f>IF(AND(B926="",G926="",C926="",D926="",J926=""),"",IF(B926="","⚠ Falta fecha",IF(G926="","⚠ Falta monto",IF(Q926="","⚠ Falta cuenta",IF(ISNA(MATCH(Q926,ctaNombre,0)),"⚠ Cuenta no registrada",IF(AND(OR(P926="Gasto",P926="Reembolso"),D926=""),"⚠ Falta categoría",IF(AND(D926&lt;&gt;"",E926&lt;&gt;"",ISNA(MATCH(D926&amp;"|"&amp;E926,catClave,0))),"⚠ Subcategoría no corresponde",IF(AND(OR(P926="Transferencia",P926="Pago tarjeta"),K926=""),"⚠ Falta cuenta destino",IF(AND(K926&lt;&gt;"",P926&lt;&gt;"Transferencia",P926&lt;&gt;"Pago tarjeta"),"⚠ Destino solo aplica a transferencias",IF(AND(K926&lt;&gt;"",K926=Q926),"⚠ Origen igual a destino",IF(AND(K926&lt;&gt;"",ISNA(MATCH(K926,ctaNombre,0))),"⚠ Destino no registrado",IF(AND(P926="Pago tarjeta",AE926&lt;&gt;"Tarjeta de crédito"),"⚠ El destino debe ser tarjeta de crédito",IF(AND(P926="Gasto",E926="Depósitos y retiros"),"⚠ Usa tipo Transferencia",IF(AND(P926="Resultado trading",AD926&lt;&gt;"Cuenta de trading"),"⚠ Usa una cuenta de trading",IF(AND(G926&lt;=0,P926&lt;&gt;"Ajuste",P926&lt;&gt;"Resultado trading"),"⚠ El monto debe ser positivo","✓")))))))))))))))</f>
        <v/>
      </c>
      <c r="P926" s="52">
        <f>IF(OR(B926="",G926=""),"",IF(C926="","Gasto",C926))</f>
        <v/>
      </c>
      <c r="Q926" s="52">
        <f>IF(P926="","",IF(J926&lt;&gt;"",J926,CuentaPred&amp;""))</f>
        <v/>
      </c>
      <c r="R926" s="52">
        <f>IF(P926="","",IF(ISNUMBER(I926),I926,TasaUSD))</f>
        <v/>
      </c>
      <c r="S926" s="53">
        <f>IF(P926="","",IF(H926="USD",G926*R926,G926))</f>
        <v/>
      </c>
      <c r="T926" s="53">
        <f>IF(P926="","",IF(H926="USD",G926,IF(R926&gt;0,G926/R926,0)))</f>
        <v/>
      </c>
      <c r="U926" s="53">
        <f>IF(P926="","",IF(P926="Gasto",S926,IF(P926="Reembolso",-S926,0)))</f>
        <v/>
      </c>
      <c r="V926" s="53">
        <f>IF(P926="","",IF(P926="Ingreso",S926,0))</f>
        <v/>
      </c>
      <c r="W926" s="53">
        <f>IF(P926="","",IF(P926="Resultado trading",S926,0))</f>
        <v/>
      </c>
      <c r="X926" s="52">
        <f>IF(OR(P926="Gasto",P926="Reembolso"),IF(M926&lt;&gt;"",M926,IFERROR(INDEX(catClasif,MATCH(D926&amp;"|"&amp;E926,catClave,0))&amp;"","Variable")),"")</f>
        <v/>
      </c>
      <c r="Y926" s="52">
        <f>IF(P926="","",IFERROR(INDEX(catGrupo,MATCH(D926&amp;"|"&amp;E926,catClave,0))&amp;"",""))</f>
        <v/>
      </c>
      <c r="Z926" s="52">
        <f>IF(P926="","",WEEKDAY(B926,2))</f>
        <v/>
      </c>
      <c r="AA926" s="52">
        <f>IF(P926="","",IF(AND(P926="Gasto",X926="Variable",D926&lt;&gt;catTrading,S926&gt;0,S926&lt;=Umbral),1,0))</f>
        <v/>
      </c>
      <c r="AB926" s="52">
        <f>IF(OR(P926="",Q926=""),"",IFERROR(IF(INDEX(ctaVinc,MATCH(Q926,ctaNombre,0))&amp;""&lt;&gt;"",INDEX(ctaVinc,MATCH(Q926,ctaNombre,0))&amp;"",Q926),Q926))</f>
        <v/>
      </c>
      <c r="AC926" s="52">
        <f>IF(OR(K926="",AND(P926&lt;&gt;"Transferencia",P926&lt;&gt;"Pago tarjeta")),"",IFERROR(IF(INDEX(ctaVinc,MATCH(K926,ctaNombre,0))&amp;""&lt;&gt;"",INDEX(ctaVinc,MATCH(K926,ctaNombre,0))&amp;"",K926),K926))</f>
        <v/>
      </c>
      <c r="AD926" s="52">
        <f>IF(AB926="","",IFERROR(INDEX(ctaTipo,MATCH(AB926,ctaNombre,0))&amp;"",""))</f>
        <v/>
      </c>
      <c r="AE926" s="52">
        <f>IF(AC926="","",IFERROR(INDEX(ctaTipo,MATCH(AC926,ctaNombre,0))&amp;"",""))</f>
        <v/>
      </c>
      <c r="AF926" s="53">
        <f>IF(OR(P926="",AB926=""),"",IF(OR(P926="Gasto",P926="Transferencia",P926="Pago tarjeta"),-1,1)*IF(IFERROR(INDEX(ctaMoneda,MATCH(AB926,ctaNombre,0))&amp;"","DOP")="USD",T926,S926))</f>
        <v/>
      </c>
      <c r="AG926" s="53">
        <f>IF(AC926="","",IF(IFERROR(INDEX(ctaMoneda,MATCH(AC926,ctaNombre,0))&amp;"","DOP")="USD",T926,S926))</f>
        <v/>
      </c>
      <c r="AH926" s="53">
        <f>IF(P926="","",IF(AND(AD926&lt;&gt;"",COUNTIFS(tcTipo,AD926,tcLiq,"Sí")&gt;0),IF(OR(P926="Gasto",P926="Transferencia",P926="Pago tarjeta"),-1,1)*S926,0)+IF(AND(AE926&lt;&gt;"",COUNTIFS(tcTipo,AE926,tcLiq,"Sí")&gt;0),S926,0))</f>
        <v/>
      </c>
      <c r="AI926" s="52">
        <f>IF(OR(L926="",P926=""),"",IF(COUNTIFS(L$6:L926,L926,P$6:P926,"?*")=1,MAX(AI$5:AI925)+1,""))</f>
        <v/>
      </c>
    </row>
    <row r="927">
      <c r="B927" s="47" t="n"/>
      <c r="C927" s="48" t="n"/>
      <c r="D927" s="48" t="n"/>
      <c r="E927" s="48" t="n"/>
      <c r="F927" s="48" t="n"/>
      <c r="G927" s="49" t="n"/>
      <c r="H927" s="48" t="n"/>
      <c r="I927" s="50" t="n"/>
      <c r="J927" s="48" t="n"/>
      <c r="K927" s="48" t="n"/>
      <c r="L927" s="48" t="n"/>
      <c r="M927" s="48" t="n"/>
      <c r="N927" s="48" t="n"/>
      <c r="O927" s="51">
        <f>IF(AND(B927="",G927="",C927="",D927="",J927=""),"",IF(B927="","⚠ Falta fecha",IF(G927="","⚠ Falta monto",IF(Q927="","⚠ Falta cuenta",IF(ISNA(MATCH(Q927,ctaNombre,0)),"⚠ Cuenta no registrada",IF(AND(OR(P927="Gasto",P927="Reembolso"),D927=""),"⚠ Falta categoría",IF(AND(D927&lt;&gt;"",E927&lt;&gt;"",ISNA(MATCH(D927&amp;"|"&amp;E927,catClave,0))),"⚠ Subcategoría no corresponde",IF(AND(OR(P927="Transferencia",P927="Pago tarjeta"),K927=""),"⚠ Falta cuenta destino",IF(AND(K927&lt;&gt;"",P927&lt;&gt;"Transferencia",P927&lt;&gt;"Pago tarjeta"),"⚠ Destino solo aplica a transferencias",IF(AND(K927&lt;&gt;"",K927=Q927),"⚠ Origen igual a destino",IF(AND(K927&lt;&gt;"",ISNA(MATCH(K927,ctaNombre,0))),"⚠ Destino no registrado",IF(AND(P927="Pago tarjeta",AE927&lt;&gt;"Tarjeta de crédito"),"⚠ El destino debe ser tarjeta de crédito",IF(AND(P927="Gasto",E927="Depósitos y retiros"),"⚠ Usa tipo Transferencia",IF(AND(P927="Resultado trading",AD927&lt;&gt;"Cuenta de trading"),"⚠ Usa una cuenta de trading",IF(AND(G927&lt;=0,P927&lt;&gt;"Ajuste",P927&lt;&gt;"Resultado trading"),"⚠ El monto debe ser positivo","✓")))))))))))))))</f>
        <v/>
      </c>
      <c r="P927" s="52">
        <f>IF(OR(B927="",G927=""),"",IF(C927="","Gasto",C927))</f>
        <v/>
      </c>
      <c r="Q927" s="52">
        <f>IF(P927="","",IF(J927&lt;&gt;"",J927,CuentaPred&amp;""))</f>
        <v/>
      </c>
      <c r="R927" s="52">
        <f>IF(P927="","",IF(ISNUMBER(I927),I927,TasaUSD))</f>
        <v/>
      </c>
      <c r="S927" s="53">
        <f>IF(P927="","",IF(H927="USD",G927*R927,G927))</f>
        <v/>
      </c>
      <c r="T927" s="53">
        <f>IF(P927="","",IF(H927="USD",G927,IF(R927&gt;0,G927/R927,0)))</f>
        <v/>
      </c>
      <c r="U927" s="53">
        <f>IF(P927="","",IF(P927="Gasto",S927,IF(P927="Reembolso",-S927,0)))</f>
        <v/>
      </c>
      <c r="V927" s="53">
        <f>IF(P927="","",IF(P927="Ingreso",S927,0))</f>
        <v/>
      </c>
      <c r="W927" s="53">
        <f>IF(P927="","",IF(P927="Resultado trading",S927,0))</f>
        <v/>
      </c>
      <c r="X927" s="52">
        <f>IF(OR(P927="Gasto",P927="Reembolso"),IF(M927&lt;&gt;"",M927,IFERROR(INDEX(catClasif,MATCH(D927&amp;"|"&amp;E927,catClave,0))&amp;"","Variable")),"")</f>
        <v/>
      </c>
      <c r="Y927" s="52">
        <f>IF(P927="","",IFERROR(INDEX(catGrupo,MATCH(D927&amp;"|"&amp;E927,catClave,0))&amp;"",""))</f>
        <v/>
      </c>
      <c r="Z927" s="52">
        <f>IF(P927="","",WEEKDAY(B927,2))</f>
        <v/>
      </c>
      <c r="AA927" s="52">
        <f>IF(P927="","",IF(AND(P927="Gasto",X927="Variable",D927&lt;&gt;catTrading,S927&gt;0,S927&lt;=Umbral),1,0))</f>
        <v/>
      </c>
      <c r="AB927" s="52">
        <f>IF(OR(P927="",Q927=""),"",IFERROR(IF(INDEX(ctaVinc,MATCH(Q927,ctaNombre,0))&amp;""&lt;&gt;"",INDEX(ctaVinc,MATCH(Q927,ctaNombre,0))&amp;"",Q927),Q927))</f>
        <v/>
      </c>
      <c r="AC927" s="52">
        <f>IF(OR(K927="",AND(P927&lt;&gt;"Transferencia",P927&lt;&gt;"Pago tarjeta")),"",IFERROR(IF(INDEX(ctaVinc,MATCH(K927,ctaNombre,0))&amp;""&lt;&gt;"",INDEX(ctaVinc,MATCH(K927,ctaNombre,0))&amp;"",K927),K927))</f>
        <v/>
      </c>
      <c r="AD927" s="52">
        <f>IF(AB927="","",IFERROR(INDEX(ctaTipo,MATCH(AB927,ctaNombre,0))&amp;"",""))</f>
        <v/>
      </c>
      <c r="AE927" s="52">
        <f>IF(AC927="","",IFERROR(INDEX(ctaTipo,MATCH(AC927,ctaNombre,0))&amp;"",""))</f>
        <v/>
      </c>
      <c r="AF927" s="53">
        <f>IF(OR(P927="",AB927=""),"",IF(OR(P927="Gasto",P927="Transferencia",P927="Pago tarjeta"),-1,1)*IF(IFERROR(INDEX(ctaMoneda,MATCH(AB927,ctaNombre,0))&amp;"","DOP")="USD",T927,S927))</f>
        <v/>
      </c>
      <c r="AG927" s="53">
        <f>IF(AC927="","",IF(IFERROR(INDEX(ctaMoneda,MATCH(AC927,ctaNombre,0))&amp;"","DOP")="USD",T927,S927))</f>
        <v/>
      </c>
      <c r="AH927" s="53">
        <f>IF(P927="","",IF(AND(AD927&lt;&gt;"",COUNTIFS(tcTipo,AD927,tcLiq,"Sí")&gt;0),IF(OR(P927="Gasto",P927="Transferencia",P927="Pago tarjeta"),-1,1)*S927,0)+IF(AND(AE927&lt;&gt;"",COUNTIFS(tcTipo,AE927,tcLiq,"Sí")&gt;0),S927,0))</f>
        <v/>
      </c>
      <c r="AI927" s="52">
        <f>IF(OR(L927="",P927=""),"",IF(COUNTIFS(L$6:L927,L927,P$6:P927,"?*")=1,MAX(AI$5:AI926)+1,""))</f>
        <v/>
      </c>
    </row>
    <row r="928">
      <c r="B928" s="47" t="n"/>
      <c r="C928" s="48" t="n"/>
      <c r="D928" s="48" t="n"/>
      <c r="E928" s="48" t="n"/>
      <c r="F928" s="48" t="n"/>
      <c r="G928" s="49" t="n"/>
      <c r="H928" s="48" t="n"/>
      <c r="I928" s="50" t="n"/>
      <c r="J928" s="48" t="n"/>
      <c r="K928" s="48" t="n"/>
      <c r="L928" s="48" t="n"/>
      <c r="M928" s="48" t="n"/>
      <c r="N928" s="48" t="n"/>
      <c r="O928" s="51">
        <f>IF(AND(B928="",G928="",C928="",D928="",J928=""),"",IF(B928="","⚠ Falta fecha",IF(G928="","⚠ Falta monto",IF(Q928="","⚠ Falta cuenta",IF(ISNA(MATCH(Q928,ctaNombre,0)),"⚠ Cuenta no registrada",IF(AND(OR(P928="Gasto",P928="Reembolso"),D928=""),"⚠ Falta categoría",IF(AND(D928&lt;&gt;"",E928&lt;&gt;"",ISNA(MATCH(D928&amp;"|"&amp;E928,catClave,0))),"⚠ Subcategoría no corresponde",IF(AND(OR(P928="Transferencia",P928="Pago tarjeta"),K928=""),"⚠ Falta cuenta destino",IF(AND(K928&lt;&gt;"",P928&lt;&gt;"Transferencia",P928&lt;&gt;"Pago tarjeta"),"⚠ Destino solo aplica a transferencias",IF(AND(K928&lt;&gt;"",K928=Q928),"⚠ Origen igual a destino",IF(AND(K928&lt;&gt;"",ISNA(MATCH(K928,ctaNombre,0))),"⚠ Destino no registrado",IF(AND(P928="Pago tarjeta",AE928&lt;&gt;"Tarjeta de crédito"),"⚠ El destino debe ser tarjeta de crédito",IF(AND(P928="Gasto",E928="Depósitos y retiros"),"⚠ Usa tipo Transferencia",IF(AND(P928="Resultado trading",AD928&lt;&gt;"Cuenta de trading"),"⚠ Usa una cuenta de trading",IF(AND(G928&lt;=0,P928&lt;&gt;"Ajuste",P928&lt;&gt;"Resultado trading"),"⚠ El monto debe ser positivo","✓")))))))))))))))</f>
        <v/>
      </c>
      <c r="P928" s="52">
        <f>IF(OR(B928="",G928=""),"",IF(C928="","Gasto",C928))</f>
        <v/>
      </c>
      <c r="Q928" s="52">
        <f>IF(P928="","",IF(J928&lt;&gt;"",J928,CuentaPred&amp;""))</f>
        <v/>
      </c>
      <c r="R928" s="52">
        <f>IF(P928="","",IF(ISNUMBER(I928),I928,TasaUSD))</f>
        <v/>
      </c>
      <c r="S928" s="53">
        <f>IF(P928="","",IF(H928="USD",G928*R928,G928))</f>
        <v/>
      </c>
      <c r="T928" s="53">
        <f>IF(P928="","",IF(H928="USD",G928,IF(R928&gt;0,G928/R928,0)))</f>
        <v/>
      </c>
      <c r="U928" s="53">
        <f>IF(P928="","",IF(P928="Gasto",S928,IF(P928="Reembolso",-S928,0)))</f>
        <v/>
      </c>
      <c r="V928" s="53">
        <f>IF(P928="","",IF(P928="Ingreso",S928,0))</f>
        <v/>
      </c>
      <c r="W928" s="53">
        <f>IF(P928="","",IF(P928="Resultado trading",S928,0))</f>
        <v/>
      </c>
      <c r="X928" s="52">
        <f>IF(OR(P928="Gasto",P928="Reembolso"),IF(M928&lt;&gt;"",M928,IFERROR(INDEX(catClasif,MATCH(D928&amp;"|"&amp;E928,catClave,0))&amp;"","Variable")),"")</f>
        <v/>
      </c>
      <c r="Y928" s="52">
        <f>IF(P928="","",IFERROR(INDEX(catGrupo,MATCH(D928&amp;"|"&amp;E928,catClave,0))&amp;"",""))</f>
        <v/>
      </c>
      <c r="Z928" s="52">
        <f>IF(P928="","",WEEKDAY(B928,2))</f>
        <v/>
      </c>
      <c r="AA928" s="52">
        <f>IF(P928="","",IF(AND(P928="Gasto",X928="Variable",D928&lt;&gt;catTrading,S928&gt;0,S928&lt;=Umbral),1,0))</f>
        <v/>
      </c>
      <c r="AB928" s="52">
        <f>IF(OR(P928="",Q928=""),"",IFERROR(IF(INDEX(ctaVinc,MATCH(Q928,ctaNombre,0))&amp;""&lt;&gt;"",INDEX(ctaVinc,MATCH(Q928,ctaNombre,0))&amp;"",Q928),Q928))</f>
        <v/>
      </c>
      <c r="AC928" s="52">
        <f>IF(OR(K928="",AND(P928&lt;&gt;"Transferencia",P928&lt;&gt;"Pago tarjeta")),"",IFERROR(IF(INDEX(ctaVinc,MATCH(K928,ctaNombre,0))&amp;""&lt;&gt;"",INDEX(ctaVinc,MATCH(K928,ctaNombre,0))&amp;"",K928),K928))</f>
        <v/>
      </c>
      <c r="AD928" s="52">
        <f>IF(AB928="","",IFERROR(INDEX(ctaTipo,MATCH(AB928,ctaNombre,0))&amp;"",""))</f>
        <v/>
      </c>
      <c r="AE928" s="52">
        <f>IF(AC928="","",IFERROR(INDEX(ctaTipo,MATCH(AC928,ctaNombre,0))&amp;"",""))</f>
        <v/>
      </c>
      <c r="AF928" s="53">
        <f>IF(OR(P928="",AB928=""),"",IF(OR(P928="Gasto",P928="Transferencia",P928="Pago tarjeta"),-1,1)*IF(IFERROR(INDEX(ctaMoneda,MATCH(AB928,ctaNombre,0))&amp;"","DOP")="USD",T928,S928))</f>
        <v/>
      </c>
      <c r="AG928" s="53">
        <f>IF(AC928="","",IF(IFERROR(INDEX(ctaMoneda,MATCH(AC928,ctaNombre,0))&amp;"","DOP")="USD",T928,S928))</f>
        <v/>
      </c>
      <c r="AH928" s="53">
        <f>IF(P928="","",IF(AND(AD928&lt;&gt;"",COUNTIFS(tcTipo,AD928,tcLiq,"Sí")&gt;0),IF(OR(P928="Gasto",P928="Transferencia",P928="Pago tarjeta"),-1,1)*S928,0)+IF(AND(AE928&lt;&gt;"",COUNTIFS(tcTipo,AE928,tcLiq,"Sí")&gt;0),S928,0))</f>
        <v/>
      </c>
      <c r="AI928" s="52">
        <f>IF(OR(L928="",P928=""),"",IF(COUNTIFS(L$6:L928,L928,P$6:P928,"?*")=1,MAX(AI$5:AI927)+1,""))</f>
        <v/>
      </c>
    </row>
    <row r="929">
      <c r="B929" s="47" t="n"/>
      <c r="C929" s="48" t="n"/>
      <c r="D929" s="48" t="n"/>
      <c r="E929" s="48" t="n"/>
      <c r="F929" s="48" t="n"/>
      <c r="G929" s="49" t="n"/>
      <c r="H929" s="48" t="n"/>
      <c r="I929" s="50" t="n"/>
      <c r="J929" s="48" t="n"/>
      <c r="K929" s="48" t="n"/>
      <c r="L929" s="48" t="n"/>
      <c r="M929" s="48" t="n"/>
      <c r="N929" s="48" t="n"/>
      <c r="O929" s="51">
        <f>IF(AND(B929="",G929="",C929="",D929="",J929=""),"",IF(B929="","⚠ Falta fecha",IF(G929="","⚠ Falta monto",IF(Q929="","⚠ Falta cuenta",IF(ISNA(MATCH(Q929,ctaNombre,0)),"⚠ Cuenta no registrada",IF(AND(OR(P929="Gasto",P929="Reembolso"),D929=""),"⚠ Falta categoría",IF(AND(D929&lt;&gt;"",E929&lt;&gt;"",ISNA(MATCH(D929&amp;"|"&amp;E929,catClave,0))),"⚠ Subcategoría no corresponde",IF(AND(OR(P929="Transferencia",P929="Pago tarjeta"),K929=""),"⚠ Falta cuenta destino",IF(AND(K929&lt;&gt;"",P929&lt;&gt;"Transferencia",P929&lt;&gt;"Pago tarjeta"),"⚠ Destino solo aplica a transferencias",IF(AND(K929&lt;&gt;"",K929=Q929),"⚠ Origen igual a destino",IF(AND(K929&lt;&gt;"",ISNA(MATCH(K929,ctaNombre,0))),"⚠ Destino no registrado",IF(AND(P929="Pago tarjeta",AE929&lt;&gt;"Tarjeta de crédito"),"⚠ El destino debe ser tarjeta de crédito",IF(AND(P929="Gasto",E929="Depósitos y retiros"),"⚠ Usa tipo Transferencia",IF(AND(P929="Resultado trading",AD929&lt;&gt;"Cuenta de trading"),"⚠ Usa una cuenta de trading",IF(AND(G929&lt;=0,P929&lt;&gt;"Ajuste",P929&lt;&gt;"Resultado trading"),"⚠ El monto debe ser positivo","✓")))))))))))))))</f>
        <v/>
      </c>
      <c r="P929" s="52">
        <f>IF(OR(B929="",G929=""),"",IF(C929="","Gasto",C929))</f>
        <v/>
      </c>
      <c r="Q929" s="52">
        <f>IF(P929="","",IF(J929&lt;&gt;"",J929,CuentaPred&amp;""))</f>
        <v/>
      </c>
      <c r="R929" s="52">
        <f>IF(P929="","",IF(ISNUMBER(I929),I929,TasaUSD))</f>
        <v/>
      </c>
      <c r="S929" s="53">
        <f>IF(P929="","",IF(H929="USD",G929*R929,G929))</f>
        <v/>
      </c>
      <c r="T929" s="53">
        <f>IF(P929="","",IF(H929="USD",G929,IF(R929&gt;0,G929/R929,0)))</f>
        <v/>
      </c>
      <c r="U929" s="53">
        <f>IF(P929="","",IF(P929="Gasto",S929,IF(P929="Reembolso",-S929,0)))</f>
        <v/>
      </c>
      <c r="V929" s="53">
        <f>IF(P929="","",IF(P929="Ingreso",S929,0))</f>
        <v/>
      </c>
      <c r="W929" s="53">
        <f>IF(P929="","",IF(P929="Resultado trading",S929,0))</f>
        <v/>
      </c>
      <c r="X929" s="52">
        <f>IF(OR(P929="Gasto",P929="Reembolso"),IF(M929&lt;&gt;"",M929,IFERROR(INDEX(catClasif,MATCH(D929&amp;"|"&amp;E929,catClave,0))&amp;"","Variable")),"")</f>
        <v/>
      </c>
      <c r="Y929" s="52">
        <f>IF(P929="","",IFERROR(INDEX(catGrupo,MATCH(D929&amp;"|"&amp;E929,catClave,0))&amp;"",""))</f>
        <v/>
      </c>
      <c r="Z929" s="52">
        <f>IF(P929="","",WEEKDAY(B929,2))</f>
        <v/>
      </c>
      <c r="AA929" s="52">
        <f>IF(P929="","",IF(AND(P929="Gasto",X929="Variable",D929&lt;&gt;catTrading,S929&gt;0,S929&lt;=Umbral),1,0))</f>
        <v/>
      </c>
      <c r="AB929" s="52">
        <f>IF(OR(P929="",Q929=""),"",IFERROR(IF(INDEX(ctaVinc,MATCH(Q929,ctaNombre,0))&amp;""&lt;&gt;"",INDEX(ctaVinc,MATCH(Q929,ctaNombre,0))&amp;"",Q929),Q929))</f>
        <v/>
      </c>
      <c r="AC929" s="52">
        <f>IF(OR(K929="",AND(P929&lt;&gt;"Transferencia",P929&lt;&gt;"Pago tarjeta")),"",IFERROR(IF(INDEX(ctaVinc,MATCH(K929,ctaNombre,0))&amp;""&lt;&gt;"",INDEX(ctaVinc,MATCH(K929,ctaNombre,0))&amp;"",K929),K929))</f>
        <v/>
      </c>
      <c r="AD929" s="52">
        <f>IF(AB929="","",IFERROR(INDEX(ctaTipo,MATCH(AB929,ctaNombre,0))&amp;"",""))</f>
        <v/>
      </c>
      <c r="AE929" s="52">
        <f>IF(AC929="","",IFERROR(INDEX(ctaTipo,MATCH(AC929,ctaNombre,0))&amp;"",""))</f>
        <v/>
      </c>
      <c r="AF929" s="53">
        <f>IF(OR(P929="",AB929=""),"",IF(OR(P929="Gasto",P929="Transferencia",P929="Pago tarjeta"),-1,1)*IF(IFERROR(INDEX(ctaMoneda,MATCH(AB929,ctaNombre,0))&amp;"","DOP")="USD",T929,S929))</f>
        <v/>
      </c>
      <c r="AG929" s="53">
        <f>IF(AC929="","",IF(IFERROR(INDEX(ctaMoneda,MATCH(AC929,ctaNombre,0))&amp;"","DOP")="USD",T929,S929))</f>
        <v/>
      </c>
      <c r="AH929" s="53">
        <f>IF(P929="","",IF(AND(AD929&lt;&gt;"",COUNTIFS(tcTipo,AD929,tcLiq,"Sí")&gt;0),IF(OR(P929="Gasto",P929="Transferencia",P929="Pago tarjeta"),-1,1)*S929,0)+IF(AND(AE929&lt;&gt;"",COUNTIFS(tcTipo,AE929,tcLiq,"Sí")&gt;0),S929,0))</f>
        <v/>
      </c>
      <c r="AI929" s="52">
        <f>IF(OR(L929="",P929=""),"",IF(COUNTIFS(L$6:L929,L929,P$6:P929,"?*")=1,MAX(AI$5:AI928)+1,""))</f>
        <v/>
      </c>
    </row>
    <row r="930">
      <c r="B930" s="47" t="n"/>
      <c r="C930" s="48" t="n"/>
      <c r="D930" s="48" t="n"/>
      <c r="E930" s="48" t="n"/>
      <c r="F930" s="48" t="n"/>
      <c r="G930" s="49" t="n"/>
      <c r="H930" s="48" t="n"/>
      <c r="I930" s="50" t="n"/>
      <c r="J930" s="48" t="n"/>
      <c r="K930" s="48" t="n"/>
      <c r="L930" s="48" t="n"/>
      <c r="M930" s="48" t="n"/>
      <c r="N930" s="48" t="n"/>
      <c r="O930" s="51">
        <f>IF(AND(B930="",G930="",C930="",D930="",J930=""),"",IF(B930="","⚠ Falta fecha",IF(G930="","⚠ Falta monto",IF(Q930="","⚠ Falta cuenta",IF(ISNA(MATCH(Q930,ctaNombre,0)),"⚠ Cuenta no registrada",IF(AND(OR(P930="Gasto",P930="Reembolso"),D930=""),"⚠ Falta categoría",IF(AND(D930&lt;&gt;"",E930&lt;&gt;"",ISNA(MATCH(D930&amp;"|"&amp;E930,catClave,0))),"⚠ Subcategoría no corresponde",IF(AND(OR(P930="Transferencia",P930="Pago tarjeta"),K930=""),"⚠ Falta cuenta destino",IF(AND(K930&lt;&gt;"",P930&lt;&gt;"Transferencia",P930&lt;&gt;"Pago tarjeta"),"⚠ Destino solo aplica a transferencias",IF(AND(K930&lt;&gt;"",K930=Q930),"⚠ Origen igual a destino",IF(AND(K930&lt;&gt;"",ISNA(MATCH(K930,ctaNombre,0))),"⚠ Destino no registrado",IF(AND(P930="Pago tarjeta",AE930&lt;&gt;"Tarjeta de crédito"),"⚠ El destino debe ser tarjeta de crédito",IF(AND(P930="Gasto",E930="Depósitos y retiros"),"⚠ Usa tipo Transferencia",IF(AND(P930="Resultado trading",AD930&lt;&gt;"Cuenta de trading"),"⚠ Usa una cuenta de trading",IF(AND(G930&lt;=0,P930&lt;&gt;"Ajuste",P930&lt;&gt;"Resultado trading"),"⚠ El monto debe ser positivo","✓")))))))))))))))</f>
        <v/>
      </c>
      <c r="P930" s="52">
        <f>IF(OR(B930="",G930=""),"",IF(C930="","Gasto",C930))</f>
        <v/>
      </c>
      <c r="Q930" s="52">
        <f>IF(P930="","",IF(J930&lt;&gt;"",J930,CuentaPred&amp;""))</f>
        <v/>
      </c>
      <c r="R930" s="52">
        <f>IF(P930="","",IF(ISNUMBER(I930),I930,TasaUSD))</f>
        <v/>
      </c>
      <c r="S930" s="53">
        <f>IF(P930="","",IF(H930="USD",G930*R930,G930))</f>
        <v/>
      </c>
      <c r="T930" s="53">
        <f>IF(P930="","",IF(H930="USD",G930,IF(R930&gt;0,G930/R930,0)))</f>
        <v/>
      </c>
      <c r="U930" s="53">
        <f>IF(P930="","",IF(P930="Gasto",S930,IF(P930="Reembolso",-S930,0)))</f>
        <v/>
      </c>
      <c r="V930" s="53">
        <f>IF(P930="","",IF(P930="Ingreso",S930,0))</f>
        <v/>
      </c>
      <c r="W930" s="53">
        <f>IF(P930="","",IF(P930="Resultado trading",S930,0))</f>
        <v/>
      </c>
      <c r="X930" s="52">
        <f>IF(OR(P930="Gasto",P930="Reembolso"),IF(M930&lt;&gt;"",M930,IFERROR(INDEX(catClasif,MATCH(D930&amp;"|"&amp;E930,catClave,0))&amp;"","Variable")),"")</f>
        <v/>
      </c>
      <c r="Y930" s="52">
        <f>IF(P930="","",IFERROR(INDEX(catGrupo,MATCH(D930&amp;"|"&amp;E930,catClave,0))&amp;"",""))</f>
        <v/>
      </c>
      <c r="Z930" s="52">
        <f>IF(P930="","",WEEKDAY(B930,2))</f>
        <v/>
      </c>
      <c r="AA930" s="52">
        <f>IF(P930="","",IF(AND(P930="Gasto",X930="Variable",D930&lt;&gt;catTrading,S930&gt;0,S930&lt;=Umbral),1,0))</f>
        <v/>
      </c>
      <c r="AB930" s="52">
        <f>IF(OR(P930="",Q930=""),"",IFERROR(IF(INDEX(ctaVinc,MATCH(Q930,ctaNombre,0))&amp;""&lt;&gt;"",INDEX(ctaVinc,MATCH(Q930,ctaNombre,0))&amp;"",Q930),Q930))</f>
        <v/>
      </c>
      <c r="AC930" s="52">
        <f>IF(OR(K930="",AND(P930&lt;&gt;"Transferencia",P930&lt;&gt;"Pago tarjeta")),"",IFERROR(IF(INDEX(ctaVinc,MATCH(K930,ctaNombre,0))&amp;""&lt;&gt;"",INDEX(ctaVinc,MATCH(K930,ctaNombre,0))&amp;"",K930),K930))</f>
        <v/>
      </c>
      <c r="AD930" s="52">
        <f>IF(AB930="","",IFERROR(INDEX(ctaTipo,MATCH(AB930,ctaNombre,0))&amp;"",""))</f>
        <v/>
      </c>
      <c r="AE930" s="52">
        <f>IF(AC930="","",IFERROR(INDEX(ctaTipo,MATCH(AC930,ctaNombre,0))&amp;"",""))</f>
        <v/>
      </c>
      <c r="AF930" s="53">
        <f>IF(OR(P930="",AB930=""),"",IF(OR(P930="Gasto",P930="Transferencia",P930="Pago tarjeta"),-1,1)*IF(IFERROR(INDEX(ctaMoneda,MATCH(AB930,ctaNombre,0))&amp;"","DOP")="USD",T930,S930))</f>
        <v/>
      </c>
      <c r="AG930" s="53">
        <f>IF(AC930="","",IF(IFERROR(INDEX(ctaMoneda,MATCH(AC930,ctaNombre,0))&amp;"","DOP")="USD",T930,S930))</f>
        <v/>
      </c>
      <c r="AH930" s="53">
        <f>IF(P930="","",IF(AND(AD930&lt;&gt;"",COUNTIFS(tcTipo,AD930,tcLiq,"Sí")&gt;0),IF(OR(P930="Gasto",P930="Transferencia",P930="Pago tarjeta"),-1,1)*S930,0)+IF(AND(AE930&lt;&gt;"",COUNTIFS(tcTipo,AE930,tcLiq,"Sí")&gt;0),S930,0))</f>
        <v/>
      </c>
      <c r="AI930" s="52">
        <f>IF(OR(L930="",P930=""),"",IF(COUNTIFS(L$6:L930,L930,P$6:P930,"?*")=1,MAX(AI$5:AI929)+1,""))</f>
        <v/>
      </c>
    </row>
    <row r="931">
      <c r="B931" s="47" t="n"/>
      <c r="C931" s="48" t="n"/>
      <c r="D931" s="48" t="n"/>
      <c r="E931" s="48" t="n"/>
      <c r="F931" s="48" t="n"/>
      <c r="G931" s="49" t="n"/>
      <c r="H931" s="48" t="n"/>
      <c r="I931" s="50" t="n"/>
      <c r="J931" s="48" t="n"/>
      <c r="K931" s="48" t="n"/>
      <c r="L931" s="48" t="n"/>
      <c r="M931" s="48" t="n"/>
      <c r="N931" s="48" t="n"/>
      <c r="O931" s="51">
        <f>IF(AND(B931="",G931="",C931="",D931="",J931=""),"",IF(B931="","⚠ Falta fecha",IF(G931="","⚠ Falta monto",IF(Q931="","⚠ Falta cuenta",IF(ISNA(MATCH(Q931,ctaNombre,0)),"⚠ Cuenta no registrada",IF(AND(OR(P931="Gasto",P931="Reembolso"),D931=""),"⚠ Falta categoría",IF(AND(D931&lt;&gt;"",E931&lt;&gt;"",ISNA(MATCH(D931&amp;"|"&amp;E931,catClave,0))),"⚠ Subcategoría no corresponde",IF(AND(OR(P931="Transferencia",P931="Pago tarjeta"),K931=""),"⚠ Falta cuenta destino",IF(AND(K931&lt;&gt;"",P931&lt;&gt;"Transferencia",P931&lt;&gt;"Pago tarjeta"),"⚠ Destino solo aplica a transferencias",IF(AND(K931&lt;&gt;"",K931=Q931),"⚠ Origen igual a destino",IF(AND(K931&lt;&gt;"",ISNA(MATCH(K931,ctaNombre,0))),"⚠ Destino no registrado",IF(AND(P931="Pago tarjeta",AE931&lt;&gt;"Tarjeta de crédito"),"⚠ El destino debe ser tarjeta de crédito",IF(AND(P931="Gasto",E931="Depósitos y retiros"),"⚠ Usa tipo Transferencia",IF(AND(P931="Resultado trading",AD931&lt;&gt;"Cuenta de trading"),"⚠ Usa una cuenta de trading",IF(AND(G931&lt;=0,P931&lt;&gt;"Ajuste",P931&lt;&gt;"Resultado trading"),"⚠ El monto debe ser positivo","✓")))))))))))))))</f>
        <v/>
      </c>
      <c r="P931" s="52">
        <f>IF(OR(B931="",G931=""),"",IF(C931="","Gasto",C931))</f>
        <v/>
      </c>
      <c r="Q931" s="52">
        <f>IF(P931="","",IF(J931&lt;&gt;"",J931,CuentaPred&amp;""))</f>
        <v/>
      </c>
      <c r="R931" s="52">
        <f>IF(P931="","",IF(ISNUMBER(I931),I931,TasaUSD))</f>
        <v/>
      </c>
      <c r="S931" s="53">
        <f>IF(P931="","",IF(H931="USD",G931*R931,G931))</f>
        <v/>
      </c>
      <c r="T931" s="53">
        <f>IF(P931="","",IF(H931="USD",G931,IF(R931&gt;0,G931/R931,0)))</f>
        <v/>
      </c>
      <c r="U931" s="53">
        <f>IF(P931="","",IF(P931="Gasto",S931,IF(P931="Reembolso",-S931,0)))</f>
        <v/>
      </c>
      <c r="V931" s="53">
        <f>IF(P931="","",IF(P931="Ingreso",S931,0))</f>
        <v/>
      </c>
      <c r="W931" s="53">
        <f>IF(P931="","",IF(P931="Resultado trading",S931,0))</f>
        <v/>
      </c>
      <c r="X931" s="52">
        <f>IF(OR(P931="Gasto",P931="Reembolso"),IF(M931&lt;&gt;"",M931,IFERROR(INDEX(catClasif,MATCH(D931&amp;"|"&amp;E931,catClave,0))&amp;"","Variable")),"")</f>
        <v/>
      </c>
      <c r="Y931" s="52">
        <f>IF(P931="","",IFERROR(INDEX(catGrupo,MATCH(D931&amp;"|"&amp;E931,catClave,0))&amp;"",""))</f>
        <v/>
      </c>
      <c r="Z931" s="52">
        <f>IF(P931="","",WEEKDAY(B931,2))</f>
        <v/>
      </c>
      <c r="AA931" s="52">
        <f>IF(P931="","",IF(AND(P931="Gasto",X931="Variable",D931&lt;&gt;catTrading,S931&gt;0,S931&lt;=Umbral),1,0))</f>
        <v/>
      </c>
      <c r="AB931" s="52">
        <f>IF(OR(P931="",Q931=""),"",IFERROR(IF(INDEX(ctaVinc,MATCH(Q931,ctaNombre,0))&amp;""&lt;&gt;"",INDEX(ctaVinc,MATCH(Q931,ctaNombre,0))&amp;"",Q931),Q931))</f>
        <v/>
      </c>
      <c r="AC931" s="52">
        <f>IF(OR(K931="",AND(P931&lt;&gt;"Transferencia",P931&lt;&gt;"Pago tarjeta")),"",IFERROR(IF(INDEX(ctaVinc,MATCH(K931,ctaNombre,0))&amp;""&lt;&gt;"",INDEX(ctaVinc,MATCH(K931,ctaNombre,0))&amp;"",K931),K931))</f>
        <v/>
      </c>
      <c r="AD931" s="52">
        <f>IF(AB931="","",IFERROR(INDEX(ctaTipo,MATCH(AB931,ctaNombre,0))&amp;"",""))</f>
        <v/>
      </c>
      <c r="AE931" s="52">
        <f>IF(AC931="","",IFERROR(INDEX(ctaTipo,MATCH(AC931,ctaNombre,0))&amp;"",""))</f>
        <v/>
      </c>
      <c r="AF931" s="53">
        <f>IF(OR(P931="",AB931=""),"",IF(OR(P931="Gasto",P931="Transferencia",P931="Pago tarjeta"),-1,1)*IF(IFERROR(INDEX(ctaMoneda,MATCH(AB931,ctaNombre,0))&amp;"","DOP")="USD",T931,S931))</f>
        <v/>
      </c>
      <c r="AG931" s="53">
        <f>IF(AC931="","",IF(IFERROR(INDEX(ctaMoneda,MATCH(AC931,ctaNombre,0))&amp;"","DOP")="USD",T931,S931))</f>
        <v/>
      </c>
      <c r="AH931" s="53">
        <f>IF(P931="","",IF(AND(AD931&lt;&gt;"",COUNTIFS(tcTipo,AD931,tcLiq,"Sí")&gt;0),IF(OR(P931="Gasto",P931="Transferencia",P931="Pago tarjeta"),-1,1)*S931,0)+IF(AND(AE931&lt;&gt;"",COUNTIFS(tcTipo,AE931,tcLiq,"Sí")&gt;0),S931,0))</f>
        <v/>
      </c>
      <c r="AI931" s="52">
        <f>IF(OR(L931="",P931=""),"",IF(COUNTIFS(L$6:L931,L931,P$6:P931,"?*")=1,MAX(AI$5:AI930)+1,""))</f>
        <v/>
      </c>
    </row>
    <row r="932">
      <c r="B932" s="47" t="n"/>
      <c r="C932" s="48" t="n"/>
      <c r="D932" s="48" t="n"/>
      <c r="E932" s="48" t="n"/>
      <c r="F932" s="48" t="n"/>
      <c r="G932" s="49" t="n"/>
      <c r="H932" s="48" t="n"/>
      <c r="I932" s="50" t="n"/>
      <c r="J932" s="48" t="n"/>
      <c r="K932" s="48" t="n"/>
      <c r="L932" s="48" t="n"/>
      <c r="M932" s="48" t="n"/>
      <c r="N932" s="48" t="n"/>
      <c r="O932" s="51">
        <f>IF(AND(B932="",G932="",C932="",D932="",J932=""),"",IF(B932="","⚠ Falta fecha",IF(G932="","⚠ Falta monto",IF(Q932="","⚠ Falta cuenta",IF(ISNA(MATCH(Q932,ctaNombre,0)),"⚠ Cuenta no registrada",IF(AND(OR(P932="Gasto",P932="Reembolso"),D932=""),"⚠ Falta categoría",IF(AND(D932&lt;&gt;"",E932&lt;&gt;"",ISNA(MATCH(D932&amp;"|"&amp;E932,catClave,0))),"⚠ Subcategoría no corresponde",IF(AND(OR(P932="Transferencia",P932="Pago tarjeta"),K932=""),"⚠ Falta cuenta destino",IF(AND(K932&lt;&gt;"",P932&lt;&gt;"Transferencia",P932&lt;&gt;"Pago tarjeta"),"⚠ Destino solo aplica a transferencias",IF(AND(K932&lt;&gt;"",K932=Q932),"⚠ Origen igual a destino",IF(AND(K932&lt;&gt;"",ISNA(MATCH(K932,ctaNombre,0))),"⚠ Destino no registrado",IF(AND(P932="Pago tarjeta",AE932&lt;&gt;"Tarjeta de crédito"),"⚠ El destino debe ser tarjeta de crédito",IF(AND(P932="Gasto",E932="Depósitos y retiros"),"⚠ Usa tipo Transferencia",IF(AND(P932="Resultado trading",AD932&lt;&gt;"Cuenta de trading"),"⚠ Usa una cuenta de trading",IF(AND(G932&lt;=0,P932&lt;&gt;"Ajuste",P932&lt;&gt;"Resultado trading"),"⚠ El monto debe ser positivo","✓")))))))))))))))</f>
        <v/>
      </c>
      <c r="P932" s="52">
        <f>IF(OR(B932="",G932=""),"",IF(C932="","Gasto",C932))</f>
        <v/>
      </c>
      <c r="Q932" s="52">
        <f>IF(P932="","",IF(J932&lt;&gt;"",J932,CuentaPred&amp;""))</f>
        <v/>
      </c>
      <c r="R932" s="52">
        <f>IF(P932="","",IF(ISNUMBER(I932),I932,TasaUSD))</f>
        <v/>
      </c>
      <c r="S932" s="53">
        <f>IF(P932="","",IF(H932="USD",G932*R932,G932))</f>
        <v/>
      </c>
      <c r="T932" s="53">
        <f>IF(P932="","",IF(H932="USD",G932,IF(R932&gt;0,G932/R932,0)))</f>
        <v/>
      </c>
      <c r="U932" s="53">
        <f>IF(P932="","",IF(P932="Gasto",S932,IF(P932="Reembolso",-S932,0)))</f>
        <v/>
      </c>
      <c r="V932" s="53">
        <f>IF(P932="","",IF(P932="Ingreso",S932,0))</f>
        <v/>
      </c>
      <c r="W932" s="53">
        <f>IF(P932="","",IF(P932="Resultado trading",S932,0))</f>
        <v/>
      </c>
      <c r="X932" s="52">
        <f>IF(OR(P932="Gasto",P932="Reembolso"),IF(M932&lt;&gt;"",M932,IFERROR(INDEX(catClasif,MATCH(D932&amp;"|"&amp;E932,catClave,0))&amp;"","Variable")),"")</f>
        <v/>
      </c>
      <c r="Y932" s="52">
        <f>IF(P932="","",IFERROR(INDEX(catGrupo,MATCH(D932&amp;"|"&amp;E932,catClave,0))&amp;"",""))</f>
        <v/>
      </c>
      <c r="Z932" s="52">
        <f>IF(P932="","",WEEKDAY(B932,2))</f>
        <v/>
      </c>
      <c r="AA932" s="52">
        <f>IF(P932="","",IF(AND(P932="Gasto",X932="Variable",D932&lt;&gt;catTrading,S932&gt;0,S932&lt;=Umbral),1,0))</f>
        <v/>
      </c>
      <c r="AB932" s="52">
        <f>IF(OR(P932="",Q932=""),"",IFERROR(IF(INDEX(ctaVinc,MATCH(Q932,ctaNombre,0))&amp;""&lt;&gt;"",INDEX(ctaVinc,MATCH(Q932,ctaNombre,0))&amp;"",Q932),Q932))</f>
        <v/>
      </c>
      <c r="AC932" s="52">
        <f>IF(OR(K932="",AND(P932&lt;&gt;"Transferencia",P932&lt;&gt;"Pago tarjeta")),"",IFERROR(IF(INDEX(ctaVinc,MATCH(K932,ctaNombre,0))&amp;""&lt;&gt;"",INDEX(ctaVinc,MATCH(K932,ctaNombre,0))&amp;"",K932),K932))</f>
        <v/>
      </c>
      <c r="AD932" s="52">
        <f>IF(AB932="","",IFERROR(INDEX(ctaTipo,MATCH(AB932,ctaNombre,0))&amp;"",""))</f>
        <v/>
      </c>
      <c r="AE932" s="52">
        <f>IF(AC932="","",IFERROR(INDEX(ctaTipo,MATCH(AC932,ctaNombre,0))&amp;"",""))</f>
        <v/>
      </c>
      <c r="AF932" s="53">
        <f>IF(OR(P932="",AB932=""),"",IF(OR(P932="Gasto",P932="Transferencia",P932="Pago tarjeta"),-1,1)*IF(IFERROR(INDEX(ctaMoneda,MATCH(AB932,ctaNombre,0))&amp;"","DOP")="USD",T932,S932))</f>
        <v/>
      </c>
      <c r="AG932" s="53">
        <f>IF(AC932="","",IF(IFERROR(INDEX(ctaMoneda,MATCH(AC932,ctaNombre,0))&amp;"","DOP")="USD",T932,S932))</f>
        <v/>
      </c>
      <c r="AH932" s="53">
        <f>IF(P932="","",IF(AND(AD932&lt;&gt;"",COUNTIFS(tcTipo,AD932,tcLiq,"Sí")&gt;0),IF(OR(P932="Gasto",P932="Transferencia",P932="Pago tarjeta"),-1,1)*S932,0)+IF(AND(AE932&lt;&gt;"",COUNTIFS(tcTipo,AE932,tcLiq,"Sí")&gt;0),S932,0))</f>
        <v/>
      </c>
      <c r="AI932" s="52">
        <f>IF(OR(L932="",P932=""),"",IF(COUNTIFS(L$6:L932,L932,P$6:P932,"?*")=1,MAX(AI$5:AI931)+1,""))</f>
        <v/>
      </c>
    </row>
    <row r="933">
      <c r="B933" s="47" t="n"/>
      <c r="C933" s="48" t="n"/>
      <c r="D933" s="48" t="n"/>
      <c r="E933" s="48" t="n"/>
      <c r="F933" s="48" t="n"/>
      <c r="G933" s="49" t="n"/>
      <c r="H933" s="48" t="n"/>
      <c r="I933" s="50" t="n"/>
      <c r="J933" s="48" t="n"/>
      <c r="K933" s="48" t="n"/>
      <c r="L933" s="48" t="n"/>
      <c r="M933" s="48" t="n"/>
      <c r="N933" s="48" t="n"/>
      <c r="O933" s="51">
        <f>IF(AND(B933="",G933="",C933="",D933="",J933=""),"",IF(B933="","⚠ Falta fecha",IF(G933="","⚠ Falta monto",IF(Q933="","⚠ Falta cuenta",IF(ISNA(MATCH(Q933,ctaNombre,0)),"⚠ Cuenta no registrada",IF(AND(OR(P933="Gasto",P933="Reembolso"),D933=""),"⚠ Falta categoría",IF(AND(D933&lt;&gt;"",E933&lt;&gt;"",ISNA(MATCH(D933&amp;"|"&amp;E933,catClave,0))),"⚠ Subcategoría no corresponde",IF(AND(OR(P933="Transferencia",P933="Pago tarjeta"),K933=""),"⚠ Falta cuenta destino",IF(AND(K933&lt;&gt;"",P933&lt;&gt;"Transferencia",P933&lt;&gt;"Pago tarjeta"),"⚠ Destino solo aplica a transferencias",IF(AND(K933&lt;&gt;"",K933=Q933),"⚠ Origen igual a destino",IF(AND(K933&lt;&gt;"",ISNA(MATCH(K933,ctaNombre,0))),"⚠ Destino no registrado",IF(AND(P933="Pago tarjeta",AE933&lt;&gt;"Tarjeta de crédito"),"⚠ El destino debe ser tarjeta de crédito",IF(AND(P933="Gasto",E933="Depósitos y retiros"),"⚠ Usa tipo Transferencia",IF(AND(P933="Resultado trading",AD933&lt;&gt;"Cuenta de trading"),"⚠ Usa una cuenta de trading",IF(AND(G933&lt;=0,P933&lt;&gt;"Ajuste",P933&lt;&gt;"Resultado trading"),"⚠ El monto debe ser positivo","✓")))))))))))))))</f>
        <v/>
      </c>
      <c r="P933" s="52">
        <f>IF(OR(B933="",G933=""),"",IF(C933="","Gasto",C933))</f>
        <v/>
      </c>
      <c r="Q933" s="52">
        <f>IF(P933="","",IF(J933&lt;&gt;"",J933,CuentaPred&amp;""))</f>
        <v/>
      </c>
      <c r="R933" s="52">
        <f>IF(P933="","",IF(ISNUMBER(I933),I933,TasaUSD))</f>
        <v/>
      </c>
      <c r="S933" s="53">
        <f>IF(P933="","",IF(H933="USD",G933*R933,G933))</f>
        <v/>
      </c>
      <c r="T933" s="53">
        <f>IF(P933="","",IF(H933="USD",G933,IF(R933&gt;0,G933/R933,0)))</f>
        <v/>
      </c>
      <c r="U933" s="53">
        <f>IF(P933="","",IF(P933="Gasto",S933,IF(P933="Reembolso",-S933,0)))</f>
        <v/>
      </c>
      <c r="V933" s="53">
        <f>IF(P933="","",IF(P933="Ingreso",S933,0))</f>
        <v/>
      </c>
      <c r="W933" s="53">
        <f>IF(P933="","",IF(P933="Resultado trading",S933,0))</f>
        <v/>
      </c>
      <c r="X933" s="52">
        <f>IF(OR(P933="Gasto",P933="Reembolso"),IF(M933&lt;&gt;"",M933,IFERROR(INDEX(catClasif,MATCH(D933&amp;"|"&amp;E933,catClave,0))&amp;"","Variable")),"")</f>
        <v/>
      </c>
      <c r="Y933" s="52">
        <f>IF(P933="","",IFERROR(INDEX(catGrupo,MATCH(D933&amp;"|"&amp;E933,catClave,0))&amp;"",""))</f>
        <v/>
      </c>
      <c r="Z933" s="52">
        <f>IF(P933="","",WEEKDAY(B933,2))</f>
        <v/>
      </c>
      <c r="AA933" s="52">
        <f>IF(P933="","",IF(AND(P933="Gasto",X933="Variable",D933&lt;&gt;catTrading,S933&gt;0,S933&lt;=Umbral),1,0))</f>
        <v/>
      </c>
      <c r="AB933" s="52">
        <f>IF(OR(P933="",Q933=""),"",IFERROR(IF(INDEX(ctaVinc,MATCH(Q933,ctaNombre,0))&amp;""&lt;&gt;"",INDEX(ctaVinc,MATCH(Q933,ctaNombre,0))&amp;"",Q933),Q933))</f>
        <v/>
      </c>
      <c r="AC933" s="52">
        <f>IF(OR(K933="",AND(P933&lt;&gt;"Transferencia",P933&lt;&gt;"Pago tarjeta")),"",IFERROR(IF(INDEX(ctaVinc,MATCH(K933,ctaNombre,0))&amp;""&lt;&gt;"",INDEX(ctaVinc,MATCH(K933,ctaNombre,0))&amp;"",K933),K933))</f>
        <v/>
      </c>
      <c r="AD933" s="52">
        <f>IF(AB933="","",IFERROR(INDEX(ctaTipo,MATCH(AB933,ctaNombre,0))&amp;"",""))</f>
        <v/>
      </c>
      <c r="AE933" s="52">
        <f>IF(AC933="","",IFERROR(INDEX(ctaTipo,MATCH(AC933,ctaNombre,0))&amp;"",""))</f>
        <v/>
      </c>
      <c r="AF933" s="53">
        <f>IF(OR(P933="",AB933=""),"",IF(OR(P933="Gasto",P933="Transferencia",P933="Pago tarjeta"),-1,1)*IF(IFERROR(INDEX(ctaMoneda,MATCH(AB933,ctaNombre,0))&amp;"","DOP")="USD",T933,S933))</f>
        <v/>
      </c>
      <c r="AG933" s="53">
        <f>IF(AC933="","",IF(IFERROR(INDEX(ctaMoneda,MATCH(AC933,ctaNombre,0))&amp;"","DOP")="USD",T933,S933))</f>
        <v/>
      </c>
      <c r="AH933" s="53">
        <f>IF(P933="","",IF(AND(AD933&lt;&gt;"",COUNTIFS(tcTipo,AD933,tcLiq,"Sí")&gt;0),IF(OR(P933="Gasto",P933="Transferencia",P933="Pago tarjeta"),-1,1)*S933,0)+IF(AND(AE933&lt;&gt;"",COUNTIFS(tcTipo,AE933,tcLiq,"Sí")&gt;0),S933,0))</f>
        <v/>
      </c>
      <c r="AI933" s="52">
        <f>IF(OR(L933="",P933=""),"",IF(COUNTIFS(L$6:L933,L933,P$6:P933,"?*")=1,MAX(AI$5:AI932)+1,""))</f>
        <v/>
      </c>
    </row>
    <row r="934">
      <c r="B934" s="47" t="n"/>
      <c r="C934" s="48" t="n"/>
      <c r="D934" s="48" t="n"/>
      <c r="E934" s="48" t="n"/>
      <c r="F934" s="48" t="n"/>
      <c r="G934" s="49" t="n"/>
      <c r="H934" s="48" t="n"/>
      <c r="I934" s="50" t="n"/>
      <c r="J934" s="48" t="n"/>
      <c r="K934" s="48" t="n"/>
      <c r="L934" s="48" t="n"/>
      <c r="M934" s="48" t="n"/>
      <c r="N934" s="48" t="n"/>
      <c r="O934" s="51">
        <f>IF(AND(B934="",G934="",C934="",D934="",J934=""),"",IF(B934="","⚠ Falta fecha",IF(G934="","⚠ Falta monto",IF(Q934="","⚠ Falta cuenta",IF(ISNA(MATCH(Q934,ctaNombre,0)),"⚠ Cuenta no registrada",IF(AND(OR(P934="Gasto",P934="Reembolso"),D934=""),"⚠ Falta categoría",IF(AND(D934&lt;&gt;"",E934&lt;&gt;"",ISNA(MATCH(D934&amp;"|"&amp;E934,catClave,0))),"⚠ Subcategoría no corresponde",IF(AND(OR(P934="Transferencia",P934="Pago tarjeta"),K934=""),"⚠ Falta cuenta destino",IF(AND(K934&lt;&gt;"",P934&lt;&gt;"Transferencia",P934&lt;&gt;"Pago tarjeta"),"⚠ Destino solo aplica a transferencias",IF(AND(K934&lt;&gt;"",K934=Q934),"⚠ Origen igual a destino",IF(AND(K934&lt;&gt;"",ISNA(MATCH(K934,ctaNombre,0))),"⚠ Destino no registrado",IF(AND(P934="Pago tarjeta",AE934&lt;&gt;"Tarjeta de crédito"),"⚠ El destino debe ser tarjeta de crédito",IF(AND(P934="Gasto",E934="Depósitos y retiros"),"⚠ Usa tipo Transferencia",IF(AND(P934="Resultado trading",AD934&lt;&gt;"Cuenta de trading"),"⚠ Usa una cuenta de trading",IF(AND(G934&lt;=0,P934&lt;&gt;"Ajuste",P934&lt;&gt;"Resultado trading"),"⚠ El monto debe ser positivo","✓")))))))))))))))</f>
        <v/>
      </c>
      <c r="P934" s="52">
        <f>IF(OR(B934="",G934=""),"",IF(C934="","Gasto",C934))</f>
        <v/>
      </c>
      <c r="Q934" s="52">
        <f>IF(P934="","",IF(J934&lt;&gt;"",J934,CuentaPred&amp;""))</f>
        <v/>
      </c>
      <c r="R934" s="52">
        <f>IF(P934="","",IF(ISNUMBER(I934),I934,TasaUSD))</f>
        <v/>
      </c>
      <c r="S934" s="53">
        <f>IF(P934="","",IF(H934="USD",G934*R934,G934))</f>
        <v/>
      </c>
      <c r="T934" s="53">
        <f>IF(P934="","",IF(H934="USD",G934,IF(R934&gt;0,G934/R934,0)))</f>
        <v/>
      </c>
      <c r="U934" s="53">
        <f>IF(P934="","",IF(P934="Gasto",S934,IF(P934="Reembolso",-S934,0)))</f>
        <v/>
      </c>
      <c r="V934" s="53">
        <f>IF(P934="","",IF(P934="Ingreso",S934,0))</f>
        <v/>
      </c>
      <c r="W934" s="53">
        <f>IF(P934="","",IF(P934="Resultado trading",S934,0))</f>
        <v/>
      </c>
      <c r="X934" s="52">
        <f>IF(OR(P934="Gasto",P934="Reembolso"),IF(M934&lt;&gt;"",M934,IFERROR(INDEX(catClasif,MATCH(D934&amp;"|"&amp;E934,catClave,0))&amp;"","Variable")),"")</f>
        <v/>
      </c>
      <c r="Y934" s="52">
        <f>IF(P934="","",IFERROR(INDEX(catGrupo,MATCH(D934&amp;"|"&amp;E934,catClave,0))&amp;"",""))</f>
        <v/>
      </c>
      <c r="Z934" s="52">
        <f>IF(P934="","",WEEKDAY(B934,2))</f>
        <v/>
      </c>
      <c r="AA934" s="52">
        <f>IF(P934="","",IF(AND(P934="Gasto",X934="Variable",D934&lt;&gt;catTrading,S934&gt;0,S934&lt;=Umbral),1,0))</f>
        <v/>
      </c>
      <c r="AB934" s="52">
        <f>IF(OR(P934="",Q934=""),"",IFERROR(IF(INDEX(ctaVinc,MATCH(Q934,ctaNombre,0))&amp;""&lt;&gt;"",INDEX(ctaVinc,MATCH(Q934,ctaNombre,0))&amp;"",Q934),Q934))</f>
        <v/>
      </c>
      <c r="AC934" s="52">
        <f>IF(OR(K934="",AND(P934&lt;&gt;"Transferencia",P934&lt;&gt;"Pago tarjeta")),"",IFERROR(IF(INDEX(ctaVinc,MATCH(K934,ctaNombre,0))&amp;""&lt;&gt;"",INDEX(ctaVinc,MATCH(K934,ctaNombre,0))&amp;"",K934),K934))</f>
        <v/>
      </c>
      <c r="AD934" s="52">
        <f>IF(AB934="","",IFERROR(INDEX(ctaTipo,MATCH(AB934,ctaNombre,0))&amp;"",""))</f>
        <v/>
      </c>
      <c r="AE934" s="52">
        <f>IF(AC934="","",IFERROR(INDEX(ctaTipo,MATCH(AC934,ctaNombre,0))&amp;"",""))</f>
        <v/>
      </c>
      <c r="AF934" s="53">
        <f>IF(OR(P934="",AB934=""),"",IF(OR(P934="Gasto",P934="Transferencia",P934="Pago tarjeta"),-1,1)*IF(IFERROR(INDEX(ctaMoneda,MATCH(AB934,ctaNombre,0))&amp;"","DOP")="USD",T934,S934))</f>
        <v/>
      </c>
      <c r="AG934" s="53">
        <f>IF(AC934="","",IF(IFERROR(INDEX(ctaMoneda,MATCH(AC934,ctaNombre,0))&amp;"","DOP")="USD",T934,S934))</f>
        <v/>
      </c>
      <c r="AH934" s="53">
        <f>IF(P934="","",IF(AND(AD934&lt;&gt;"",COUNTIFS(tcTipo,AD934,tcLiq,"Sí")&gt;0),IF(OR(P934="Gasto",P934="Transferencia",P934="Pago tarjeta"),-1,1)*S934,0)+IF(AND(AE934&lt;&gt;"",COUNTIFS(tcTipo,AE934,tcLiq,"Sí")&gt;0),S934,0))</f>
        <v/>
      </c>
      <c r="AI934" s="52">
        <f>IF(OR(L934="",P934=""),"",IF(COUNTIFS(L$6:L934,L934,P$6:P934,"?*")=1,MAX(AI$5:AI933)+1,""))</f>
        <v/>
      </c>
    </row>
    <row r="935">
      <c r="B935" s="47" t="n"/>
      <c r="C935" s="48" t="n"/>
      <c r="D935" s="48" t="n"/>
      <c r="E935" s="48" t="n"/>
      <c r="F935" s="48" t="n"/>
      <c r="G935" s="49" t="n"/>
      <c r="H935" s="48" t="n"/>
      <c r="I935" s="50" t="n"/>
      <c r="J935" s="48" t="n"/>
      <c r="K935" s="48" t="n"/>
      <c r="L935" s="48" t="n"/>
      <c r="M935" s="48" t="n"/>
      <c r="N935" s="48" t="n"/>
      <c r="O935" s="51">
        <f>IF(AND(B935="",G935="",C935="",D935="",J935=""),"",IF(B935="","⚠ Falta fecha",IF(G935="","⚠ Falta monto",IF(Q935="","⚠ Falta cuenta",IF(ISNA(MATCH(Q935,ctaNombre,0)),"⚠ Cuenta no registrada",IF(AND(OR(P935="Gasto",P935="Reembolso"),D935=""),"⚠ Falta categoría",IF(AND(D935&lt;&gt;"",E935&lt;&gt;"",ISNA(MATCH(D935&amp;"|"&amp;E935,catClave,0))),"⚠ Subcategoría no corresponde",IF(AND(OR(P935="Transferencia",P935="Pago tarjeta"),K935=""),"⚠ Falta cuenta destino",IF(AND(K935&lt;&gt;"",P935&lt;&gt;"Transferencia",P935&lt;&gt;"Pago tarjeta"),"⚠ Destino solo aplica a transferencias",IF(AND(K935&lt;&gt;"",K935=Q935),"⚠ Origen igual a destino",IF(AND(K935&lt;&gt;"",ISNA(MATCH(K935,ctaNombre,0))),"⚠ Destino no registrado",IF(AND(P935="Pago tarjeta",AE935&lt;&gt;"Tarjeta de crédito"),"⚠ El destino debe ser tarjeta de crédito",IF(AND(P935="Gasto",E935="Depósitos y retiros"),"⚠ Usa tipo Transferencia",IF(AND(P935="Resultado trading",AD935&lt;&gt;"Cuenta de trading"),"⚠ Usa una cuenta de trading",IF(AND(G935&lt;=0,P935&lt;&gt;"Ajuste",P935&lt;&gt;"Resultado trading"),"⚠ El monto debe ser positivo","✓")))))))))))))))</f>
        <v/>
      </c>
      <c r="P935" s="52">
        <f>IF(OR(B935="",G935=""),"",IF(C935="","Gasto",C935))</f>
        <v/>
      </c>
      <c r="Q935" s="52">
        <f>IF(P935="","",IF(J935&lt;&gt;"",J935,CuentaPred&amp;""))</f>
        <v/>
      </c>
      <c r="R935" s="52">
        <f>IF(P935="","",IF(ISNUMBER(I935),I935,TasaUSD))</f>
        <v/>
      </c>
      <c r="S935" s="53">
        <f>IF(P935="","",IF(H935="USD",G935*R935,G935))</f>
        <v/>
      </c>
      <c r="T935" s="53">
        <f>IF(P935="","",IF(H935="USD",G935,IF(R935&gt;0,G935/R935,0)))</f>
        <v/>
      </c>
      <c r="U935" s="53">
        <f>IF(P935="","",IF(P935="Gasto",S935,IF(P935="Reembolso",-S935,0)))</f>
        <v/>
      </c>
      <c r="V935" s="53">
        <f>IF(P935="","",IF(P935="Ingreso",S935,0))</f>
        <v/>
      </c>
      <c r="W935" s="53">
        <f>IF(P935="","",IF(P935="Resultado trading",S935,0))</f>
        <v/>
      </c>
      <c r="X935" s="52">
        <f>IF(OR(P935="Gasto",P935="Reembolso"),IF(M935&lt;&gt;"",M935,IFERROR(INDEX(catClasif,MATCH(D935&amp;"|"&amp;E935,catClave,0))&amp;"","Variable")),"")</f>
        <v/>
      </c>
      <c r="Y935" s="52">
        <f>IF(P935="","",IFERROR(INDEX(catGrupo,MATCH(D935&amp;"|"&amp;E935,catClave,0))&amp;"",""))</f>
        <v/>
      </c>
      <c r="Z935" s="52">
        <f>IF(P935="","",WEEKDAY(B935,2))</f>
        <v/>
      </c>
      <c r="AA935" s="52">
        <f>IF(P935="","",IF(AND(P935="Gasto",X935="Variable",D935&lt;&gt;catTrading,S935&gt;0,S935&lt;=Umbral),1,0))</f>
        <v/>
      </c>
      <c r="AB935" s="52">
        <f>IF(OR(P935="",Q935=""),"",IFERROR(IF(INDEX(ctaVinc,MATCH(Q935,ctaNombre,0))&amp;""&lt;&gt;"",INDEX(ctaVinc,MATCH(Q935,ctaNombre,0))&amp;"",Q935),Q935))</f>
        <v/>
      </c>
      <c r="AC935" s="52">
        <f>IF(OR(K935="",AND(P935&lt;&gt;"Transferencia",P935&lt;&gt;"Pago tarjeta")),"",IFERROR(IF(INDEX(ctaVinc,MATCH(K935,ctaNombre,0))&amp;""&lt;&gt;"",INDEX(ctaVinc,MATCH(K935,ctaNombre,0))&amp;"",K935),K935))</f>
        <v/>
      </c>
      <c r="AD935" s="52">
        <f>IF(AB935="","",IFERROR(INDEX(ctaTipo,MATCH(AB935,ctaNombre,0))&amp;"",""))</f>
        <v/>
      </c>
      <c r="AE935" s="52">
        <f>IF(AC935="","",IFERROR(INDEX(ctaTipo,MATCH(AC935,ctaNombre,0))&amp;"",""))</f>
        <v/>
      </c>
      <c r="AF935" s="53">
        <f>IF(OR(P935="",AB935=""),"",IF(OR(P935="Gasto",P935="Transferencia",P935="Pago tarjeta"),-1,1)*IF(IFERROR(INDEX(ctaMoneda,MATCH(AB935,ctaNombre,0))&amp;"","DOP")="USD",T935,S935))</f>
        <v/>
      </c>
      <c r="AG935" s="53">
        <f>IF(AC935="","",IF(IFERROR(INDEX(ctaMoneda,MATCH(AC935,ctaNombre,0))&amp;"","DOP")="USD",T935,S935))</f>
        <v/>
      </c>
      <c r="AH935" s="53">
        <f>IF(P935="","",IF(AND(AD935&lt;&gt;"",COUNTIFS(tcTipo,AD935,tcLiq,"Sí")&gt;0),IF(OR(P935="Gasto",P935="Transferencia",P935="Pago tarjeta"),-1,1)*S935,0)+IF(AND(AE935&lt;&gt;"",COUNTIFS(tcTipo,AE935,tcLiq,"Sí")&gt;0),S935,0))</f>
        <v/>
      </c>
      <c r="AI935" s="52">
        <f>IF(OR(L935="",P935=""),"",IF(COUNTIFS(L$6:L935,L935,P$6:P935,"?*")=1,MAX(AI$5:AI934)+1,""))</f>
        <v/>
      </c>
    </row>
    <row r="936">
      <c r="B936" s="47" t="n"/>
      <c r="C936" s="48" t="n"/>
      <c r="D936" s="48" t="n"/>
      <c r="E936" s="48" t="n"/>
      <c r="F936" s="48" t="n"/>
      <c r="G936" s="49" t="n"/>
      <c r="H936" s="48" t="n"/>
      <c r="I936" s="50" t="n"/>
      <c r="J936" s="48" t="n"/>
      <c r="K936" s="48" t="n"/>
      <c r="L936" s="48" t="n"/>
      <c r="M936" s="48" t="n"/>
      <c r="N936" s="48" t="n"/>
      <c r="O936" s="51">
        <f>IF(AND(B936="",G936="",C936="",D936="",J936=""),"",IF(B936="","⚠ Falta fecha",IF(G936="","⚠ Falta monto",IF(Q936="","⚠ Falta cuenta",IF(ISNA(MATCH(Q936,ctaNombre,0)),"⚠ Cuenta no registrada",IF(AND(OR(P936="Gasto",P936="Reembolso"),D936=""),"⚠ Falta categoría",IF(AND(D936&lt;&gt;"",E936&lt;&gt;"",ISNA(MATCH(D936&amp;"|"&amp;E936,catClave,0))),"⚠ Subcategoría no corresponde",IF(AND(OR(P936="Transferencia",P936="Pago tarjeta"),K936=""),"⚠ Falta cuenta destino",IF(AND(K936&lt;&gt;"",P936&lt;&gt;"Transferencia",P936&lt;&gt;"Pago tarjeta"),"⚠ Destino solo aplica a transferencias",IF(AND(K936&lt;&gt;"",K936=Q936),"⚠ Origen igual a destino",IF(AND(K936&lt;&gt;"",ISNA(MATCH(K936,ctaNombre,0))),"⚠ Destino no registrado",IF(AND(P936="Pago tarjeta",AE936&lt;&gt;"Tarjeta de crédito"),"⚠ El destino debe ser tarjeta de crédito",IF(AND(P936="Gasto",E936="Depósitos y retiros"),"⚠ Usa tipo Transferencia",IF(AND(P936="Resultado trading",AD936&lt;&gt;"Cuenta de trading"),"⚠ Usa una cuenta de trading",IF(AND(G936&lt;=0,P936&lt;&gt;"Ajuste",P936&lt;&gt;"Resultado trading"),"⚠ El monto debe ser positivo","✓")))))))))))))))</f>
        <v/>
      </c>
      <c r="P936" s="52">
        <f>IF(OR(B936="",G936=""),"",IF(C936="","Gasto",C936))</f>
        <v/>
      </c>
      <c r="Q936" s="52">
        <f>IF(P936="","",IF(J936&lt;&gt;"",J936,CuentaPred&amp;""))</f>
        <v/>
      </c>
      <c r="R936" s="52">
        <f>IF(P936="","",IF(ISNUMBER(I936),I936,TasaUSD))</f>
        <v/>
      </c>
      <c r="S936" s="53">
        <f>IF(P936="","",IF(H936="USD",G936*R936,G936))</f>
        <v/>
      </c>
      <c r="T936" s="53">
        <f>IF(P936="","",IF(H936="USD",G936,IF(R936&gt;0,G936/R936,0)))</f>
        <v/>
      </c>
      <c r="U936" s="53">
        <f>IF(P936="","",IF(P936="Gasto",S936,IF(P936="Reembolso",-S936,0)))</f>
        <v/>
      </c>
      <c r="V936" s="53">
        <f>IF(P936="","",IF(P936="Ingreso",S936,0))</f>
        <v/>
      </c>
      <c r="W936" s="53">
        <f>IF(P936="","",IF(P936="Resultado trading",S936,0))</f>
        <v/>
      </c>
      <c r="X936" s="52">
        <f>IF(OR(P936="Gasto",P936="Reembolso"),IF(M936&lt;&gt;"",M936,IFERROR(INDEX(catClasif,MATCH(D936&amp;"|"&amp;E936,catClave,0))&amp;"","Variable")),"")</f>
        <v/>
      </c>
      <c r="Y936" s="52">
        <f>IF(P936="","",IFERROR(INDEX(catGrupo,MATCH(D936&amp;"|"&amp;E936,catClave,0))&amp;"",""))</f>
        <v/>
      </c>
      <c r="Z936" s="52">
        <f>IF(P936="","",WEEKDAY(B936,2))</f>
        <v/>
      </c>
      <c r="AA936" s="52">
        <f>IF(P936="","",IF(AND(P936="Gasto",X936="Variable",D936&lt;&gt;catTrading,S936&gt;0,S936&lt;=Umbral),1,0))</f>
        <v/>
      </c>
      <c r="AB936" s="52">
        <f>IF(OR(P936="",Q936=""),"",IFERROR(IF(INDEX(ctaVinc,MATCH(Q936,ctaNombre,0))&amp;""&lt;&gt;"",INDEX(ctaVinc,MATCH(Q936,ctaNombre,0))&amp;"",Q936),Q936))</f>
        <v/>
      </c>
      <c r="AC936" s="52">
        <f>IF(OR(K936="",AND(P936&lt;&gt;"Transferencia",P936&lt;&gt;"Pago tarjeta")),"",IFERROR(IF(INDEX(ctaVinc,MATCH(K936,ctaNombre,0))&amp;""&lt;&gt;"",INDEX(ctaVinc,MATCH(K936,ctaNombre,0))&amp;"",K936),K936))</f>
        <v/>
      </c>
      <c r="AD936" s="52">
        <f>IF(AB936="","",IFERROR(INDEX(ctaTipo,MATCH(AB936,ctaNombre,0))&amp;"",""))</f>
        <v/>
      </c>
      <c r="AE936" s="52">
        <f>IF(AC936="","",IFERROR(INDEX(ctaTipo,MATCH(AC936,ctaNombre,0))&amp;"",""))</f>
        <v/>
      </c>
      <c r="AF936" s="53">
        <f>IF(OR(P936="",AB936=""),"",IF(OR(P936="Gasto",P936="Transferencia",P936="Pago tarjeta"),-1,1)*IF(IFERROR(INDEX(ctaMoneda,MATCH(AB936,ctaNombre,0))&amp;"","DOP")="USD",T936,S936))</f>
        <v/>
      </c>
      <c r="AG936" s="53">
        <f>IF(AC936="","",IF(IFERROR(INDEX(ctaMoneda,MATCH(AC936,ctaNombre,0))&amp;"","DOP")="USD",T936,S936))</f>
        <v/>
      </c>
      <c r="AH936" s="53">
        <f>IF(P936="","",IF(AND(AD936&lt;&gt;"",COUNTIFS(tcTipo,AD936,tcLiq,"Sí")&gt;0),IF(OR(P936="Gasto",P936="Transferencia",P936="Pago tarjeta"),-1,1)*S936,0)+IF(AND(AE936&lt;&gt;"",COUNTIFS(tcTipo,AE936,tcLiq,"Sí")&gt;0),S936,0))</f>
        <v/>
      </c>
      <c r="AI936" s="52">
        <f>IF(OR(L936="",P936=""),"",IF(COUNTIFS(L$6:L936,L936,P$6:P936,"?*")=1,MAX(AI$5:AI935)+1,""))</f>
        <v/>
      </c>
    </row>
    <row r="937">
      <c r="B937" s="47" t="n"/>
      <c r="C937" s="48" t="n"/>
      <c r="D937" s="48" t="n"/>
      <c r="E937" s="48" t="n"/>
      <c r="F937" s="48" t="n"/>
      <c r="G937" s="49" t="n"/>
      <c r="H937" s="48" t="n"/>
      <c r="I937" s="50" t="n"/>
      <c r="J937" s="48" t="n"/>
      <c r="K937" s="48" t="n"/>
      <c r="L937" s="48" t="n"/>
      <c r="M937" s="48" t="n"/>
      <c r="N937" s="48" t="n"/>
      <c r="O937" s="51">
        <f>IF(AND(B937="",G937="",C937="",D937="",J937=""),"",IF(B937="","⚠ Falta fecha",IF(G937="","⚠ Falta monto",IF(Q937="","⚠ Falta cuenta",IF(ISNA(MATCH(Q937,ctaNombre,0)),"⚠ Cuenta no registrada",IF(AND(OR(P937="Gasto",P937="Reembolso"),D937=""),"⚠ Falta categoría",IF(AND(D937&lt;&gt;"",E937&lt;&gt;"",ISNA(MATCH(D937&amp;"|"&amp;E937,catClave,0))),"⚠ Subcategoría no corresponde",IF(AND(OR(P937="Transferencia",P937="Pago tarjeta"),K937=""),"⚠ Falta cuenta destino",IF(AND(K937&lt;&gt;"",P937&lt;&gt;"Transferencia",P937&lt;&gt;"Pago tarjeta"),"⚠ Destino solo aplica a transferencias",IF(AND(K937&lt;&gt;"",K937=Q937),"⚠ Origen igual a destino",IF(AND(K937&lt;&gt;"",ISNA(MATCH(K937,ctaNombre,0))),"⚠ Destino no registrado",IF(AND(P937="Pago tarjeta",AE937&lt;&gt;"Tarjeta de crédito"),"⚠ El destino debe ser tarjeta de crédito",IF(AND(P937="Gasto",E937="Depósitos y retiros"),"⚠ Usa tipo Transferencia",IF(AND(P937="Resultado trading",AD937&lt;&gt;"Cuenta de trading"),"⚠ Usa una cuenta de trading",IF(AND(G937&lt;=0,P937&lt;&gt;"Ajuste",P937&lt;&gt;"Resultado trading"),"⚠ El monto debe ser positivo","✓")))))))))))))))</f>
        <v/>
      </c>
      <c r="P937" s="52">
        <f>IF(OR(B937="",G937=""),"",IF(C937="","Gasto",C937))</f>
        <v/>
      </c>
      <c r="Q937" s="52">
        <f>IF(P937="","",IF(J937&lt;&gt;"",J937,CuentaPred&amp;""))</f>
        <v/>
      </c>
      <c r="R937" s="52">
        <f>IF(P937="","",IF(ISNUMBER(I937),I937,TasaUSD))</f>
        <v/>
      </c>
      <c r="S937" s="53">
        <f>IF(P937="","",IF(H937="USD",G937*R937,G937))</f>
        <v/>
      </c>
      <c r="T937" s="53">
        <f>IF(P937="","",IF(H937="USD",G937,IF(R937&gt;0,G937/R937,0)))</f>
        <v/>
      </c>
      <c r="U937" s="53">
        <f>IF(P937="","",IF(P937="Gasto",S937,IF(P937="Reembolso",-S937,0)))</f>
        <v/>
      </c>
      <c r="V937" s="53">
        <f>IF(P937="","",IF(P937="Ingreso",S937,0))</f>
        <v/>
      </c>
      <c r="W937" s="53">
        <f>IF(P937="","",IF(P937="Resultado trading",S937,0))</f>
        <v/>
      </c>
      <c r="X937" s="52">
        <f>IF(OR(P937="Gasto",P937="Reembolso"),IF(M937&lt;&gt;"",M937,IFERROR(INDEX(catClasif,MATCH(D937&amp;"|"&amp;E937,catClave,0))&amp;"","Variable")),"")</f>
        <v/>
      </c>
      <c r="Y937" s="52">
        <f>IF(P937="","",IFERROR(INDEX(catGrupo,MATCH(D937&amp;"|"&amp;E937,catClave,0))&amp;"",""))</f>
        <v/>
      </c>
      <c r="Z937" s="52">
        <f>IF(P937="","",WEEKDAY(B937,2))</f>
        <v/>
      </c>
      <c r="AA937" s="52">
        <f>IF(P937="","",IF(AND(P937="Gasto",X937="Variable",D937&lt;&gt;catTrading,S937&gt;0,S937&lt;=Umbral),1,0))</f>
        <v/>
      </c>
      <c r="AB937" s="52">
        <f>IF(OR(P937="",Q937=""),"",IFERROR(IF(INDEX(ctaVinc,MATCH(Q937,ctaNombre,0))&amp;""&lt;&gt;"",INDEX(ctaVinc,MATCH(Q937,ctaNombre,0))&amp;"",Q937),Q937))</f>
        <v/>
      </c>
      <c r="AC937" s="52">
        <f>IF(OR(K937="",AND(P937&lt;&gt;"Transferencia",P937&lt;&gt;"Pago tarjeta")),"",IFERROR(IF(INDEX(ctaVinc,MATCH(K937,ctaNombre,0))&amp;""&lt;&gt;"",INDEX(ctaVinc,MATCH(K937,ctaNombre,0))&amp;"",K937),K937))</f>
        <v/>
      </c>
      <c r="AD937" s="52">
        <f>IF(AB937="","",IFERROR(INDEX(ctaTipo,MATCH(AB937,ctaNombre,0))&amp;"",""))</f>
        <v/>
      </c>
      <c r="AE937" s="52">
        <f>IF(AC937="","",IFERROR(INDEX(ctaTipo,MATCH(AC937,ctaNombre,0))&amp;"",""))</f>
        <v/>
      </c>
      <c r="AF937" s="53">
        <f>IF(OR(P937="",AB937=""),"",IF(OR(P937="Gasto",P937="Transferencia",P937="Pago tarjeta"),-1,1)*IF(IFERROR(INDEX(ctaMoneda,MATCH(AB937,ctaNombre,0))&amp;"","DOP")="USD",T937,S937))</f>
        <v/>
      </c>
      <c r="AG937" s="53">
        <f>IF(AC937="","",IF(IFERROR(INDEX(ctaMoneda,MATCH(AC937,ctaNombre,0))&amp;"","DOP")="USD",T937,S937))</f>
        <v/>
      </c>
      <c r="AH937" s="53">
        <f>IF(P937="","",IF(AND(AD937&lt;&gt;"",COUNTIFS(tcTipo,AD937,tcLiq,"Sí")&gt;0),IF(OR(P937="Gasto",P937="Transferencia",P937="Pago tarjeta"),-1,1)*S937,0)+IF(AND(AE937&lt;&gt;"",COUNTIFS(tcTipo,AE937,tcLiq,"Sí")&gt;0),S937,0))</f>
        <v/>
      </c>
      <c r="AI937" s="52">
        <f>IF(OR(L937="",P937=""),"",IF(COUNTIFS(L$6:L937,L937,P$6:P937,"?*")=1,MAX(AI$5:AI936)+1,""))</f>
        <v/>
      </c>
    </row>
    <row r="938">
      <c r="B938" s="47" t="n"/>
      <c r="C938" s="48" t="n"/>
      <c r="D938" s="48" t="n"/>
      <c r="E938" s="48" t="n"/>
      <c r="F938" s="48" t="n"/>
      <c r="G938" s="49" t="n"/>
      <c r="H938" s="48" t="n"/>
      <c r="I938" s="50" t="n"/>
      <c r="J938" s="48" t="n"/>
      <c r="K938" s="48" t="n"/>
      <c r="L938" s="48" t="n"/>
      <c r="M938" s="48" t="n"/>
      <c r="N938" s="48" t="n"/>
      <c r="O938" s="51">
        <f>IF(AND(B938="",G938="",C938="",D938="",J938=""),"",IF(B938="","⚠ Falta fecha",IF(G938="","⚠ Falta monto",IF(Q938="","⚠ Falta cuenta",IF(ISNA(MATCH(Q938,ctaNombre,0)),"⚠ Cuenta no registrada",IF(AND(OR(P938="Gasto",P938="Reembolso"),D938=""),"⚠ Falta categoría",IF(AND(D938&lt;&gt;"",E938&lt;&gt;"",ISNA(MATCH(D938&amp;"|"&amp;E938,catClave,0))),"⚠ Subcategoría no corresponde",IF(AND(OR(P938="Transferencia",P938="Pago tarjeta"),K938=""),"⚠ Falta cuenta destino",IF(AND(K938&lt;&gt;"",P938&lt;&gt;"Transferencia",P938&lt;&gt;"Pago tarjeta"),"⚠ Destino solo aplica a transferencias",IF(AND(K938&lt;&gt;"",K938=Q938),"⚠ Origen igual a destino",IF(AND(K938&lt;&gt;"",ISNA(MATCH(K938,ctaNombre,0))),"⚠ Destino no registrado",IF(AND(P938="Pago tarjeta",AE938&lt;&gt;"Tarjeta de crédito"),"⚠ El destino debe ser tarjeta de crédito",IF(AND(P938="Gasto",E938="Depósitos y retiros"),"⚠ Usa tipo Transferencia",IF(AND(P938="Resultado trading",AD938&lt;&gt;"Cuenta de trading"),"⚠ Usa una cuenta de trading",IF(AND(G938&lt;=0,P938&lt;&gt;"Ajuste",P938&lt;&gt;"Resultado trading"),"⚠ El monto debe ser positivo","✓")))))))))))))))</f>
        <v/>
      </c>
      <c r="P938" s="52">
        <f>IF(OR(B938="",G938=""),"",IF(C938="","Gasto",C938))</f>
        <v/>
      </c>
      <c r="Q938" s="52">
        <f>IF(P938="","",IF(J938&lt;&gt;"",J938,CuentaPred&amp;""))</f>
        <v/>
      </c>
      <c r="R938" s="52">
        <f>IF(P938="","",IF(ISNUMBER(I938),I938,TasaUSD))</f>
        <v/>
      </c>
      <c r="S938" s="53">
        <f>IF(P938="","",IF(H938="USD",G938*R938,G938))</f>
        <v/>
      </c>
      <c r="T938" s="53">
        <f>IF(P938="","",IF(H938="USD",G938,IF(R938&gt;0,G938/R938,0)))</f>
        <v/>
      </c>
      <c r="U938" s="53">
        <f>IF(P938="","",IF(P938="Gasto",S938,IF(P938="Reembolso",-S938,0)))</f>
        <v/>
      </c>
      <c r="V938" s="53">
        <f>IF(P938="","",IF(P938="Ingreso",S938,0))</f>
        <v/>
      </c>
      <c r="W938" s="53">
        <f>IF(P938="","",IF(P938="Resultado trading",S938,0))</f>
        <v/>
      </c>
      <c r="X938" s="52">
        <f>IF(OR(P938="Gasto",P938="Reembolso"),IF(M938&lt;&gt;"",M938,IFERROR(INDEX(catClasif,MATCH(D938&amp;"|"&amp;E938,catClave,0))&amp;"","Variable")),"")</f>
        <v/>
      </c>
      <c r="Y938" s="52">
        <f>IF(P938="","",IFERROR(INDEX(catGrupo,MATCH(D938&amp;"|"&amp;E938,catClave,0))&amp;"",""))</f>
        <v/>
      </c>
      <c r="Z938" s="52">
        <f>IF(P938="","",WEEKDAY(B938,2))</f>
        <v/>
      </c>
      <c r="AA938" s="52">
        <f>IF(P938="","",IF(AND(P938="Gasto",X938="Variable",D938&lt;&gt;catTrading,S938&gt;0,S938&lt;=Umbral),1,0))</f>
        <v/>
      </c>
      <c r="AB938" s="52">
        <f>IF(OR(P938="",Q938=""),"",IFERROR(IF(INDEX(ctaVinc,MATCH(Q938,ctaNombre,0))&amp;""&lt;&gt;"",INDEX(ctaVinc,MATCH(Q938,ctaNombre,0))&amp;"",Q938),Q938))</f>
        <v/>
      </c>
      <c r="AC938" s="52">
        <f>IF(OR(K938="",AND(P938&lt;&gt;"Transferencia",P938&lt;&gt;"Pago tarjeta")),"",IFERROR(IF(INDEX(ctaVinc,MATCH(K938,ctaNombre,0))&amp;""&lt;&gt;"",INDEX(ctaVinc,MATCH(K938,ctaNombre,0))&amp;"",K938),K938))</f>
        <v/>
      </c>
      <c r="AD938" s="52">
        <f>IF(AB938="","",IFERROR(INDEX(ctaTipo,MATCH(AB938,ctaNombre,0))&amp;"",""))</f>
        <v/>
      </c>
      <c r="AE938" s="52">
        <f>IF(AC938="","",IFERROR(INDEX(ctaTipo,MATCH(AC938,ctaNombre,0))&amp;"",""))</f>
        <v/>
      </c>
      <c r="AF938" s="53">
        <f>IF(OR(P938="",AB938=""),"",IF(OR(P938="Gasto",P938="Transferencia",P938="Pago tarjeta"),-1,1)*IF(IFERROR(INDEX(ctaMoneda,MATCH(AB938,ctaNombre,0))&amp;"","DOP")="USD",T938,S938))</f>
        <v/>
      </c>
      <c r="AG938" s="53">
        <f>IF(AC938="","",IF(IFERROR(INDEX(ctaMoneda,MATCH(AC938,ctaNombre,0))&amp;"","DOP")="USD",T938,S938))</f>
        <v/>
      </c>
      <c r="AH938" s="53">
        <f>IF(P938="","",IF(AND(AD938&lt;&gt;"",COUNTIFS(tcTipo,AD938,tcLiq,"Sí")&gt;0),IF(OR(P938="Gasto",P938="Transferencia",P938="Pago tarjeta"),-1,1)*S938,0)+IF(AND(AE938&lt;&gt;"",COUNTIFS(tcTipo,AE938,tcLiq,"Sí")&gt;0),S938,0))</f>
        <v/>
      </c>
      <c r="AI938" s="52">
        <f>IF(OR(L938="",P938=""),"",IF(COUNTIFS(L$6:L938,L938,P$6:P938,"?*")=1,MAX(AI$5:AI937)+1,""))</f>
        <v/>
      </c>
    </row>
    <row r="939">
      <c r="B939" s="47" t="n"/>
      <c r="C939" s="48" t="n"/>
      <c r="D939" s="48" t="n"/>
      <c r="E939" s="48" t="n"/>
      <c r="F939" s="48" t="n"/>
      <c r="G939" s="49" t="n"/>
      <c r="H939" s="48" t="n"/>
      <c r="I939" s="50" t="n"/>
      <c r="J939" s="48" t="n"/>
      <c r="K939" s="48" t="n"/>
      <c r="L939" s="48" t="n"/>
      <c r="M939" s="48" t="n"/>
      <c r="N939" s="48" t="n"/>
      <c r="O939" s="51">
        <f>IF(AND(B939="",G939="",C939="",D939="",J939=""),"",IF(B939="","⚠ Falta fecha",IF(G939="","⚠ Falta monto",IF(Q939="","⚠ Falta cuenta",IF(ISNA(MATCH(Q939,ctaNombre,0)),"⚠ Cuenta no registrada",IF(AND(OR(P939="Gasto",P939="Reembolso"),D939=""),"⚠ Falta categoría",IF(AND(D939&lt;&gt;"",E939&lt;&gt;"",ISNA(MATCH(D939&amp;"|"&amp;E939,catClave,0))),"⚠ Subcategoría no corresponde",IF(AND(OR(P939="Transferencia",P939="Pago tarjeta"),K939=""),"⚠ Falta cuenta destino",IF(AND(K939&lt;&gt;"",P939&lt;&gt;"Transferencia",P939&lt;&gt;"Pago tarjeta"),"⚠ Destino solo aplica a transferencias",IF(AND(K939&lt;&gt;"",K939=Q939),"⚠ Origen igual a destino",IF(AND(K939&lt;&gt;"",ISNA(MATCH(K939,ctaNombre,0))),"⚠ Destino no registrado",IF(AND(P939="Pago tarjeta",AE939&lt;&gt;"Tarjeta de crédito"),"⚠ El destino debe ser tarjeta de crédito",IF(AND(P939="Gasto",E939="Depósitos y retiros"),"⚠ Usa tipo Transferencia",IF(AND(P939="Resultado trading",AD939&lt;&gt;"Cuenta de trading"),"⚠ Usa una cuenta de trading",IF(AND(G939&lt;=0,P939&lt;&gt;"Ajuste",P939&lt;&gt;"Resultado trading"),"⚠ El monto debe ser positivo","✓")))))))))))))))</f>
        <v/>
      </c>
      <c r="P939" s="52">
        <f>IF(OR(B939="",G939=""),"",IF(C939="","Gasto",C939))</f>
        <v/>
      </c>
      <c r="Q939" s="52">
        <f>IF(P939="","",IF(J939&lt;&gt;"",J939,CuentaPred&amp;""))</f>
        <v/>
      </c>
      <c r="R939" s="52">
        <f>IF(P939="","",IF(ISNUMBER(I939),I939,TasaUSD))</f>
        <v/>
      </c>
      <c r="S939" s="53">
        <f>IF(P939="","",IF(H939="USD",G939*R939,G939))</f>
        <v/>
      </c>
      <c r="T939" s="53">
        <f>IF(P939="","",IF(H939="USD",G939,IF(R939&gt;0,G939/R939,0)))</f>
        <v/>
      </c>
      <c r="U939" s="53">
        <f>IF(P939="","",IF(P939="Gasto",S939,IF(P939="Reembolso",-S939,0)))</f>
        <v/>
      </c>
      <c r="V939" s="53">
        <f>IF(P939="","",IF(P939="Ingreso",S939,0))</f>
        <v/>
      </c>
      <c r="W939" s="53">
        <f>IF(P939="","",IF(P939="Resultado trading",S939,0))</f>
        <v/>
      </c>
      <c r="X939" s="52">
        <f>IF(OR(P939="Gasto",P939="Reembolso"),IF(M939&lt;&gt;"",M939,IFERROR(INDEX(catClasif,MATCH(D939&amp;"|"&amp;E939,catClave,0))&amp;"","Variable")),"")</f>
        <v/>
      </c>
      <c r="Y939" s="52">
        <f>IF(P939="","",IFERROR(INDEX(catGrupo,MATCH(D939&amp;"|"&amp;E939,catClave,0))&amp;"",""))</f>
        <v/>
      </c>
      <c r="Z939" s="52">
        <f>IF(P939="","",WEEKDAY(B939,2))</f>
        <v/>
      </c>
      <c r="AA939" s="52">
        <f>IF(P939="","",IF(AND(P939="Gasto",X939="Variable",D939&lt;&gt;catTrading,S939&gt;0,S939&lt;=Umbral),1,0))</f>
        <v/>
      </c>
      <c r="AB939" s="52">
        <f>IF(OR(P939="",Q939=""),"",IFERROR(IF(INDEX(ctaVinc,MATCH(Q939,ctaNombre,0))&amp;""&lt;&gt;"",INDEX(ctaVinc,MATCH(Q939,ctaNombre,0))&amp;"",Q939),Q939))</f>
        <v/>
      </c>
      <c r="AC939" s="52">
        <f>IF(OR(K939="",AND(P939&lt;&gt;"Transferencia",P939&lt;&gt;"Pago tarjeta")),"",IFERROR(IF(INDEX(ctaVinc,MATCH(K939,ctaNombre,0))&amp;""&lt;&gt;"",INDEX(ctaVinc,MATCH(K939,ctaNombre,0))&amp;"",K939),K939))</f>
        <v/>
      </c>
      <c r="AD939" s="52">
        <f>IF(AB939="","",IFERROR(INDEX(ctaTipo,MATCH(AB939,ctaNombre,0))&amp;"",""))</f>
        <v/>
      </c>
      <c r="AE939" s="52">
        <f>IF(AC939="","",IFERROR(INDEX(ctaTipo,MATCH(AC939,ctaNombre,0))&amp;"",""))</f>
        <v/>
      </c>
      <c r="AF939" s="53">
        <f>IF(OR(P939="",AB939=""),"",IF(OR(P939="Gasto",P939="Transferencia",P939="Pago tarjeta"),-1,1)*IF(IFERROR(INDEX(ctaMoneda,MATCH(AB939,ctaNombre,0))&amp;"","DOP")="USD",T939,S939))</f>
        <v/>
      </c>
      <c r="AG939" s="53">
        <f>IF(AC939="","",IF(IFERROR(INDEX(ctaMoneda,MATCH(AC939,ctaNombre,0))&amp;"","DOP")="USD",T939,S939))</f>
        <v/>
      </c>
      <c r="AH939" s="53">
        <f>IF(P939="","",IF(AND(AD939&lt;&gt;"",COUNTIFS(tcTipo,AD939,tcLiq,"Sí")&gt;0),IF(OR(P939="Gasto",P939="Transferencia",P939="Pago tarjeta"),-1,1)*S939,0)+IF(AND(AE939&lt;&gt;"",COUNTIFS(tcTipo,AE939,tcLiq,"Sí")&gt;0),S939,0))</f>
        <v/>
      </c>
      <c r="AI939" s="52">
        <f>IF(OR(L939="",P939=""),"",IF(COUNTIFS(L$6:L939,L939,P$6:P939,"?*")=1,MAX(AI$5:AI938)+1,""))</f>
        <v/>
      </c>
    </row>
    <row r="940">
      <c r="B940" s="47" t="n"/>
      <c r="C940" s="48" t="n"/>
      <c r="D940" s="48" t="n"/>
      <c r="E940" s="48" t="n"/>
      <c r="F940" s="48" t="n"/>
      <c r="G940" s="49" t="n"/>
      <c r="H940" s="48" t="n"/>
      <c r="I940" s="50" t="n"/>
      <c r="J940" s="48" t="n"/>
      <c r="K940" s="48" t="n"/>
      <c r="L940" s="48" t="n"/>
      <c r="M940" s="48" t="n"/>
      <c r="N940" s="48" t="n"/>
      <c r="O940" s="51">
        <f>IF(AND(B940="",G940="",C940="",D940="",J940=""),"",IF(B940="","⚠ Falta fecha",IF(G940="","⚠ Falta monto",IF(Q940="","⚠ Falta cuenta",IF(ISNA(MATCH(Q940,ctaNombre,0)),"⚠ Cuenta no registrada",IF(AND(OR(P940="Gasto",P940="Reembolso"),D940=""),"⚠ Falta categoría",IF(AND(D940&lt;&gt;"",E940&lt;&gt;"",ISNA(MATCH(D940&amp;"|"&amp;E940,catClave,0))),"⚠ Subcategoría no corresponde",IF(AND(OR(P940="Transferencia",P940="Pago tarjeta"),K940=""),"⚠ Falta cuenta destino",IF(AND(K940&lt;&gt;"",P940&lt;&gt;"Transferencia",P940&lt;&gt;"Pago tarjeta"),"⚠ Destino solo aplica a transferencias",IF(AND(K940&lt;&gt;"",K940=Q940),"⚠ Origen igual a destino",IF(AND(K940&lt;&gt;"",ISNA(MATCH(K940,ctaNombre,0))),"⚠ Destino no registrado",IF(AND(P940="Pago tarjeta",AE940&lt;&gt;"Tarjeta de crédito"),"⚠ El destino debe ser tarjeta de crédito",IF(AND(P940="Gasto",E940="Depósitos y retiros"),"⚠ Usa tipo Transferencia",IF(AND(P940="Resultado trading",AD940&lt;&gt;"Cuenta de trading"),"⚠ Usa una cuenta de trading",IF(AND(G940&lt;=0,P940&lt;&gt;"Ajuste",P940&lt;&gt;"Resultado trading"),"⚠ El monto debe ser positivo","✓")))))))))))))))</f>
        <v/>
      </c>
      <c r="P940" s="52">
        <f>IF(OR(B940="",G940=""),"",IF(C940="","Gasto",C940))</f>
        <v/>
      </c>
      <c r="Q940" s="52">
        <f>IF(P940="","",IF(J940&lt;&gt;"",J940,CuentaPred&amp;""))</f>
        <v/>
      </c>
      <c r="R940" s="52">
        <f>IF(P940="","",IF(ISNUMBER(I940),I940,TasaUSD))</f>
        <v/>
      </c>
      <c r="S940" s="53">
        <f>IF(P940="","",IF(H940="USD",G940*R940,G940))</f>
        <v/>
      </c>
      <c r="T940" s="53">
        <f>IF(P940="","",IF(H940="USD",G940,IF(R940&gt;0,G940/R940,0)))</f>
        <v/>
      </c>
      <c r="U940" s="53">
        <f>IF(P940="","",IF(P940="Gasto",S940,IF(P940="Reembolso",-S940,0)))</f>
        <v/>
      </c>
      <c r="V940" s="53">
        <f>IF(P940="","",IF(P940="Ingreso",S940,0))</f>
        <v/>
      </c>
      <c r="W940" s="53">
        <f>IF(P940="","",IF(P940="Resultado trading",S940,0))</f>
        <v/>
      </c>
      <c r="X940" s="52">
        <f>IF(OR(P940="Gasto",P940="Reembolso"),IF(M940&lt;&gt;"",M940,IFERROR(INDEX(catClasif,MATCH(D940&amp;"|"&amp;E940,catClave,0))&amp;"","Variable")),"")</f>
        <v/>
      </c>
      <c r="Y940" s="52">
        <f>IF(P940="","",IFERROR(INDEX(catGrupo,MATCH(D940&amp;"|"&amp;E940,catClave,0))&amp;"",""))</f>
        <v/>
      </c>
      <c r="Z940" s="52">
        <f>IF(P940="","",WEEKDAY(B940,2))</f>
        <v/>
      </c>
      <c r="AA940" s="52">
        <f>IF(P940="","",IF(AND(P940="Gasto",X940="Variable",D940&lt;&gt;catTrading,S940&gt;0,S940&lt;=Umbral),1,0))</f>
        <v/>
      </c>
      <c r="AB940" s="52">
        <f>IF(OR(P940="",Q940=""),"",IFERROR(IF(INDEX(ctaVinc,MATCH(Q940,ctaNombre,0))&amp;""&lt;&gt;"",INDEX(ctaVinc,MATCH(Q940,ctaNombre,0))&amp;"",Q940),Q940))</f>
        <v/>
      </c>
      <c r="AC940" s="52">
        <f>IF(OR(K940="",AND(P940&lt;&gt;"Transferencia",P940&lt;&gt;"Pago tarjeta")),"",IFERROR(IF(INDEX(ctaVinc,MATCH(K940,ctaNombre,0))&amp;""&lt;&gt;"",INDEX(ctaVinc,MATCH(K940,ctaNombre,0))&amp;"",K940),K940))</f>
        <v/>
      </c>
      <c r="AD940" s="52">
        <f>IF(AB940="","",IFERROR(INDEX(ctaTipo,MATCH(AB940,ctaNombre,0))&amp;"",""))</f>
        <v/>
      </c>
      <c r="AE940" s="52">
        <f>IF(AC940="","",IFERROR(INDEX(ctaTipo,MATCH(AC940,ctaNombre,0))&amp;"",""))</f>
        <v/>
      </c>
      <c r="AF940" s="53">
        <f>IF(OR(P940="",AB940=""),"",IF(OR(P940="Gasto",P940="Transferencia",P940="Pago tarjeta"),-1,1)*IF(IFERROR(INDEX(ctaMoneda,MATCH(AB940,ctaNombre,0))&amp;"","DOP")="USD",T940,S940))</f>
        <v/>
      </c>
      <c r="AG940" s="53">
        <f>IF(AC940="","",IF(IFERROR(INDEX(ctaMoneda,MATCH(AC940,ctaNombre,0))&amp;"","DOP")="USD",T940,S940))</f>
        <v/>
      </c>
      <c r="AH940" s="53">
        <f>IF(P940="","",IF(AND(AD940&lt;&gt;"",COUNTIFS(tcTipo,AD940,tcLiq,"Sí")&gt;0),IF(OR(P940="Gasto",P940="Transferencia",P940="Pago tarjeta"),-1,1)*S940,0)+IF(AND(AE940&lt;&gt;"",COUNTIFS(tcTipo,AE940,tcLiq,"Sí")&gt;0),S940,0))</f>
        <v/>
      </c>
      <c r="AI940" s="52">
        <f>IF(OR(L940="",P940=""),"",IF(COUNTIFS(L$6:L940,L940,P$6:P940,"?*")=1,MAX(AI$5:AI939)+1,""))</f>
        <v/>
      </c>
    </row>
    <row r="941">
      <c r="B941" s="47" t="n"/>
      <c r="C941" s="48" t="n"/>
      <c r="D941" s="48" t="n"/>
      <c r="E941" s="48" t="n"/>
      <c r="F941" s="48" t="n"/>
      <c r="G941" s="49" t="n"/>
      <c r="H941" s="48" t="n"/>
      <c r="I941" s="50" t="n"/>
      <c r="J941" s="48" t="n"/>
      <c r="K941" s="48" t="n"/>
      <c r="L941" s="48" t="n"/>
      <c r="M941" s="48" t="n"/>
      <c r="N941" s="48" t="n"/>
      <c r="O941" s="51">
        <f>IF(AND(B941="",G941="",C941="",D941="",J941=""),"",IF(B941="","⚠ Falta fecha",IF(G941="","⚠ Falta monto",IF(Q941="","⚠ Falta cuenta",IF(ISNA(MATCH(Q941,ctaNombre,0)),"⚠ Cuenta no registrada",IF(AND(OR(P941="Gasto",P941="Reembolso"),D941=""),"⚠ Falta categoría",IF(AND(D941&lt;&gt;"",E941&lt;&gt;"",ISNA(MATCH(D941&amp;"|"&amp;E941,catClave,0))),"⚠ Subcategoría no corresponde",IF(AND(OR(P941="Transferencia",P941="Pago tarjeta"),K941=""),"⚠ Falta cuenta destino",IF(AND(K941&lt;&gt;"",P941&lt;&gt;"Transferencia",P941&lt;&gt;"Pago tarjeta"),"⚠ Destino solo aplica a transferencias",IF(AND(K941&lt;&gt;"",K941=Q941),"⚠ Origen igual a destino",IF(AND(K941&lt;&gt;"",ISNA(MATCH(K941,ctaNombre,0))),"⚠ Destino no registrado",IF(AND(P941="Pago tarjeta",AE941&lt;&gt;"Tarjeta de crédito"),"⚠ El destino debe ser tarjeta de crédito",IF(AND(P941="Gasto",E941="Depósitos y retiros"),"⚠ Usa tipo Transferencia",IF(AND(P941="Resultado trading",AD941&lt;&gt;"Cuenta de trading"),"⚠ Usa una cuenta de trading",IF(AND(G941&lt;=0,P941&lt;&gt;"Ajuste",P941&lt;&gt;"Resultado trading"),"⚠ El monto debe ser positivo","✓")))))))))))))))</f>
        <v/>
      </c>
      <c r="P941" s="52">
        <f>IF(OR(B941="",G941=""),"",IF(C941="","Gasto",C941))</f>
        <v/>
      </c>
      <c r="Q941" s="52">
        <f>IF(P941="","",IF(J941&lt;&gt;"",J941,CuentaPred&amp;""))</f>
        <v/>
      </c>
      <c r="R941" s="52">
        <f>IF(P941="","",IF(ISNUMBER(I941),I941,TasaUSD))</f>
        <v/>
      </c>
      <c r="S941" s="53">
        <f>IF(P941="","",IF(H941="USD",G941*R941,G941))</f>
        <v/>
      </c>
      <c r="T941" s="53">
        <f>IF(P941="","",IF(H941="USD",G941,IF(R941&gt;0,G941/R941,0)))</f>
        <v/>
      </c>
      <c r="U941" s="53">
        <f>IF(P941="","",IF(P941="Gasto",S941,IF(P941="Reembolso",-S941,0)))</f>
        <v/>
      </c>
      <c r="V941" s="53">
        <f>IF(P941="","",IF(P941="Ingreso",S941,0))</f>
        <v/>
      </c>
      <c r="W941" s="53">
        <f>IF(P941="","",IF(P941="Resultado trading",S941,0))</f>
        <v/>
      </c>
      <c r="X941" s="52">
        <f>IF(OR(P941="Gasto",P941="Reembolso"),IF(M941&lt;&gt;"",M941,IFERROR(INDEX(catClasif,MATCH(D941&amp;"|"&amp;E941,catClave,0))&amp;"","Variable")),"")</f>
        <v/>
      </c>
      <c r="Y941" s="52">
        <f>IF(P941="","",IFERROR(INDEX(catGrupo,MATCH(D941&amp;"|"&amp;E941,catClave,0))&amp;"",""))</f>
        <v/>
      </c>
      <c r="Z941" s="52">
        <f>IF(P941="","",WEEKDAY(B941,2))</f>
        <v/>
      </c>
      <c r="AA941" s="52">
        <f>IF(P941="","",IF(AND(P941="Gasto",X941="Variable",D941&lt;&gt;catTrading,S941&gt;0,S941&lt;=Umbral),1,0))</f>
        <v/>
      </c>
      <c r="AB941" s="52">
        <f>IF(OR(P941="",Q941=""),"",IFERROR(IF(INDEX(ctaVinc,MATCH(Q941,ctaNombre,0))&amp;""&lt;&gt;"",INDEX(ctaVinc,MATCH(Q941,ctaNombre,0))&amp;"",Q941),Q941))</f>
        <v/>
      </c>
      <c r="AC941" s="52">
        <f>IF(OR(K941="",AND(P941&lt;&gt;"Transferencia",P941&lt;&gt;"Pago tarjeta")),"",IFERROR(IF(INDEX(ctaVinc,MATCH(K941,ctaNombre,0))&amp;""&lt;&gt;"",INDEX(ctaVinc,MATCH(K941,ctaNombre,0))&amp;"",K941),K941))</f>
        <v/>
      </c>
      <c r="AD941" s="52">
        <f>IF(AB941="","",IFERROR(INDEX(ctaTipo,MATCH(AB941,ctaNombre,0))&amp;"",""))</f>
        <v/>
      </c>
      <c r="AE941" s="52">
        <f>IF(AC941="","",IFERROR(INDEX(ctaTipo,MATCH(AC941,ctaNombre,0))&amp;"",""))</f>
        <v/>
      </c>
      <c r="AF941" s="53">
        <f>IF(OR(P941="",AB941=""),"",IF(OR(P941="Gasto",P941="Transferencia",P941="Pago tarjeta"),-1,1)*IF(IFERROR(INDEX(ctaMoneda,MATCH(AB941,ctaNombre,0))&amp;"","DOP")="USD",T941,S941))</f>
        <v/>
      </c>
      <c r="AG941" s="53">
        <f>IF(AC941="","",IF(IFERROR(INDEX(ctaMoneda,MATCH(AC941,ctaNombre,0))&amp;"","DOP")="USD",T941,S941))</f>
        <v/>
      </c>
      <c r="AH941" s="53">
        <f>IF(P941="","",IF(AND(AD941&lt;&gt;"",COUNTIFS(tcTipo,AD941,tcLiq,"Sí")&gt;0),IF(OR(P941="Gasto",P941="Transferencia",P941="Pago tarjeta"),-1,1)*S941,0)+IF(AND(AE941&lt;&gt;"",COUNTIFS(tcTipo,AE941,tcLiq,"Sí")&gt;0),S941,0))</f>
        <v/>
      </c>
      <c r="AI941" s="52">
        <f>IF(OR(L941="",P941=""),"",IF(COUNTIFS(L$6:L941,L941,P$6:P941,"?*")=1,MAX(AI$5:AI940)+1,""))</f>
        <v/>
      </c>
    </row>
    <row r="942">
      <c r="B942" s="47" t="n"/>
      <c r="C942" s="48" t="n"/>
      <c r="D942" s="48" t="n"/>
      <c r="E942" s="48" t="n"/>
      <c r="F942" s="48" t="n"/>
      <c r="G942" s="49" t="n"/>
      <c r="H942" s="48" t="n"/>
      <c r="I942" s="50" t="n"/>
      <c r="J942" s="48" t="n"/>
      <c r="K942" s="48" t="n"/>
      <c r="L942" s="48" t="n"/>
      <c r="M942" s="48" t="n"/>
      <c r="N942" s="48" t="n"/>
      <c r="O942" s="51">
        <f>IF(AND(B942="",G942="",C942="",D942="",J942=""),"",IF(B942="","⚠ Falta fecha",IF(G942="","⚠ Falta monto",IF(Q942="","⚠ Falta cuenta",IF(ISNA(MATCH(Q942,ctaNombre,0)),"⚠ Cuenta no registrada",IF(AND(OR(P942="Gasto",P942="Reembolso"),D942=""),"⚠ Falta categoría",IF(AND(D942&lt;&gt;"",E942&lt;&gt;"",ISNA(MATCH(D942&amp;"|"&amp;E942,catClave,0))),"⚠ Subcategoría no corresponde",IF(AND(OR(P942="Transferencia",P942="Pago tarjeta"),K942=""),"⚠ Falta cuenta destino",IF(AND(K942&lt;&gt;"",P942&lt;&gt;"Transferencia",P942&lt;&gt;"Pago tarjeta"),"⚠ Destino solo aplica a transferencias",IF(AND(K942&lt;&gt;"",K942=Q942),"⚠ Origen igual a destino",IF(AND(K942&lt;&gt;"",ISNA(MATCH(K942,ctaNombre,0))),"⚠ Destino no registrado",IF(AND(P942="Pago tarjeta",AE942&lt;&gt;"Tarjeta de crédito"),"⚠ El destino debe ser tarjeta de crédito",IF(AND(P942="Gasto",E942="Depósitos y retiros"),"⚠ Usa tipo Transferencia",IF(AND(P942="Resultado trading",AD942&lt;&gt;"Cuenta de trading"),"⚠ Usa una cuenta de trading",IF(AND(G942&lt;=0,P942&lt;&gt;"Ajuste",P942&lt;&gt;"Resultado trading"),"⚠ El monto debe ser positivo","✓")))))))))))))))</f>
        <v/>
      </c>
      <c r="P942" s="52">
        <f>IF(OR(B942="",G942=""),"",IF(C942="","Gasto",C942))</f>
        <v/>
      </c>
      <c r="Q942" s="52">
        <f>IF(P942="","",IF(J942&lt;&gt;"",J942,CuentaPred&amp;""))</f>
        <v/>
      </c>
      <c r="R942" s="52">
        <f>IF(P942="","",IF(ISNUMBER(I942),I942,TasaUSD))</f>
        <v/>
      </c>
      <c r="S942" s="53">
        <f>IF(P942="","",IF(H942="USD",G942*R942,G942))</f>
        <v/>
      </c>
      <c r="T942" s="53">
        <f>IF(P942="","",IF(H942="USD",G942,IF(R942&gt;0,G942/R942,0)))</f>
        <v/>
      </c>
      <c r="U942" s="53">
        <f>IF(P942="","",IF(P942="Gasto",S942,IF(P942="Reembolso",-S942,0)))</f>
        <v/>
      </c>
      <c r="V942" s="53">
        <f>IF(P942="","",IF(P942="Ingreso",S942,0))</f>
        <v/>
      </c>
      <c r="W942" s="53">
        <f>IF(P942="","",IF(P942="Resultado trading",S942,0))</f>
        <v/>
      </c>
      <c r="X942" s="52">
        <f>IF(OR(P942="Gasto",P942="Reembolso"),IF(M942&lt;&gt;"",M942,IFERROR(INDEX(catClasif,MATCH(D942&amp;"|"&amp;E942,catClave,0))&amp;"","Variable")),"")</f>
        <v/>
      </c>
      <c r="Y942" s="52">
        <f>IF(P942="","",IFERROR(INDEX(catGrupo,MATCH(D942&amp;"|"&amp;E942,catClave,0))&amp;"",""))</f>
        <v/>
      </c>
      <c r="Z942" s="52">
        <f>IF(P942="","",WEEKDAY(B942,2))</f>
        <v/>
      </c>
      <c r="AA942" s="52">
        <f>IF(P942="","",IF(AND(P942="Gasto",X942="Variable",D942&lt;&gt;catTrading,S942&gt;0,S942&lt;=Umbral),1,0))</f>
        <v/>
      </c>
      <c r="AB942" s="52">
        <f>IF(OR(P942="",Q942=""),"",IFERROR(IF(INDEX(ctaVinc,MATCH(Q942,ctaNombre,0))&amp;""&lt;&gt;"",INDEX(ctaVinc,MATCH(Q942,ctaNombre,0))&amp;"",Q942),Q942))</f>
        <v/>
      </c>
      <c r="AC942" s="52">
        <f>IF(OR(K942="",AND(P942&lt;&gt;"Transferencia",P942&lt;&gt;"Pago tarjeta")),"",IFERROR(IF(INDEX(ctaVinc,MATCH(K942,ctaNombre,0))&amp;""&lt;&gt;"",INDEX(ctaVinc,MATCH(K942,ctaNombre,0))&amp;"",K942),K942))</f>
        <v/>
      </c>
      <c r="AD942" s="52">
        <f>IF(AB942="","",IFERROR(INDEX(ctaTipo,MATCH(AB942,ctaNombre,0))&amp;"",""))</f>
        <v/>
      </c>
      <c r="AE942" s="52">
        <f>IF(AC942="","",IFERROR(INDEX(ctaTipo,MATCH(AC942,ctaNombre,0))&amp;"",""))</f>
        <v/>
      </c>
      <c r="AF942" s="53">
        <f>IF(OR(P942="",AB942=""),"",IF(OR(P942="Gasto",P942="Transferencia",P942="Pago tarjeta"),-1,1)*IF(IFERROR(INDEX(ctaMoneda,MATCH(AB942,ctaNombre,0))&amp;"","DOP")="USD",T942,S942))</f>
        <v/>
      </c>
      <c r="AG942" s="53">
        <f>IF(AC942="","",IF(IFERROR(INDEX(ctaMoneda,MATCH(AC942,ctaNombre,0))&amp;"","DOP")="USD",T942,S942))</f>
        <v/>
      </c>
      <c r="AH942" s="53">
        <f>IF(P942="","",IF(AND(AD942&lt;&gt;"",COUNTIFS(tcTipo,AD942,tcLiq,"Sí")&gt;0),IF(OR(P942="Gasto",P942="Transferencia",P942="Pago tarjeta"),-1,1)*S942,0)+IF(AND(AE942&lt;&gt;"",COUNTIFS(tcTipo,AE942,tcLiq,"Sí")&gt;0),S942,0))</f>
        <v/>
      </c>
      <c r="AI942" s="52">
        <f>IF(OR(L942="",P942=""),"",IF(COUNTIFS(L$6:L942,L942,P$6:P942,"?*")=1,MAX(AI$5:AI941)+1,""))</f>
        <v/>
      </c>
    </row>
    <row r="943">
      <c r="B943" s="47" t="n"/>
      <c r="C943" s="48" t="n"/>
      <c r="D943" s="48" t="n"/>
      <c r="E943" s="48" t="n"/>
      <c r="F943" s="48" t="n"/>
      <c r="G943" s="49" t="n"/>
      <c r="H943" s="48" t="n"/>
      <c r="I943" s="50" t="n"/>
      <c r="J943" s="48" t="n"/>
      <c r="K943" s="48" t="n"/>
      <c r="L943" s="48" t="n"/>
      <c r="M943" s="48" t="n"/>
      <c r="N943" s="48" t="n"/>
      <c r="O943" s="51">
        <f>IF(AND(B943="",G943="",C943="",D943="",J943=""),"",IF(B943="","⚠ Falta fecha",IF(G943="","⚠ Falta monto",IF(Q943="","⚠ Falta cuenta",IF(ISNA(MATCH(Q943,ctaNombre,0)),"⚠ Cuenta no registrada",IF(AND(OR(P943="Gasto",P943="Reembolso"),D943=""),"⚠ Falta categoría",IF(AND(D943&lt;&gt;"",E943&lt;&gt;"",ISNA(MATCH(D943&amp;"|"&amp;E943,catClave,0))),"⚠ Subcategoría no corresponde",IF(AND(OR(P943="Transferencia",P943="Pago tarjeta"),K943=""),"⚠ Falta cuenta destino",IF(AND(K943&lt;&gt;"",P943&lt;&gt;"Transferencia",P943&lt;&gt;"Pago tarjeta"),"⚠ Destino solo aplica a transferencias",IF(AND(K943&lt;&gt;"",K943=Q943),"⚠ Origen igual a destino",IF(AND(K943&lt;&gt;"",ISNA(MATCH(K943,ctaNombre,0))),"⚠ Destino no registrado",IF(AND(P943="Pago tarjeta",AE943&lt;&gt;"Tarjeta de crédito"),"⚠ El destino debe ser tarjeta de crédito",IF(AND(P943="Gasto",E943="Depósitos y retiros"),"⚠ Usa tipo Transferencia",IF(AND(P943="Resultado trading",AD943&lt;&gt;"Cuenta de trading"),"⚠ Usa una cuenta de trading",IF(AND(G943&lt;=0,P943&lt;&gt;"Ajuste",P943&lt;&gt;"Resultado trading"),"⚠ El monto debe ser positivo","✓")))))))))))))))</f>
        <v/>
      </c>
      <c r="P943" s="52">
        <f>IF(OR(B943="",G943=""),"",IF(C943="","Gasto",C943))</f>
        <v/>
      </c>
      <c r="Q943" s="52">
        <f>IF(P943="","",IF(J943&lt;&gt;"",J943,CuentaPred&amp;""))</f>
        <v/>
      </c>
      <c r="R943" s="52">
        <f>IF(P943="","",IF(ISNUMBER(I943),I943,TasaUSD))</f>
        <v/>
      </c>
      <c r="S943" s="53">
        <f>IF(P943="","",IF(H943="USD",G943*R943,G943))</f>
        <v/>
      </c>
      <c r="T943" s="53">
        <f>IF(P943="","",IF(H943="USD",G943,IF(R943&gt;0,G943/R943,0)))</f>
        <v/>
      </c>
      <c r="U943" s="53">
        <f>IF(P943="","",IF(P943="Gasto",S943,IF(P943="Reembolso",-S943,0)))</f>
        <v/>
      </c>
      <c r="V943" s="53">
        <f>IF(P943="","",IF(P943="Ingreso",S943,0))</f>
        <v/>
      </c>
      <c r="W943" s="53">
        <f>IF(P943="","",IF(P943="Resultado trading",S943,0))</f>
        <v/>
      </c>
      <c r="X943" s="52">
        <f>IF(OR(P943="Gasto",P943="Reembolso"),IF(M943&lt;&gt;"",M943,IFERROR(INDEX(catClasif,MATCH(D943&amp;"|"&amp;E943,catClave,0))&amp;"","Variable")),"")</f>
        <v/>
      </c>
      <c r="Y943" s="52">
        <f>IF(P943="","",IFERROR(INDEX(catGrupo,MATCH(D943&amp;"|"&amp;E943,catClave,0))&amp;"",""))</f>
        <v/>
      </c>
      <c r="Z943" s="52">
        <f>IF(P943="","",WEEKDAY(B943,2))</f>
        <v/>
      </c>
      <c r="AA943" s="52">
        <f>IF(P943="","",IF(AND(P943="Gasto",X943="Variable",D943&lt;&gt;catTrading,S943&gt;0,S943&lt;=Umbral),1,0))</f>
        <v/>
      </c>
      <c r="AB943" s="52">
        <f>IF(OR(P943="",Q943=""),"",IFERROR(IF(INDEX(ctaVinc,MATCH(Q943,ctaNombre,0))&amp;""&lt;&gt;"",INDEX(ctaVinc,MATCH(Q943,ctaNombre,0))&amp;"",Q943),Q943))</f>
        <v/>
      </c>
      <c r="AC943" s="52">
        <f>IF(OR(K943="",AND(P943&lt;&gt;"Transferencia",P943&lt;&gt;"Pago tarjeta")),"",IFERROR(IF(INDEX(ctaVinc,MATCH(K943,ctaNombre,0))&amp;""&lt;&gt;"",INDEX(ctaVinc,MATCH(K943,ctaNombre,0))&amp;"",K943),K943))</f>
        <v/>
      </c>
      <c r="AD943" s="52">
        <f>IF(AB943="","",IFERROR(INDEX(ctaTipo,MATCH(AB943,ctaNombre,0))&amp;"",""))</f>
        <v/>
      </c>
      <c r="AE943" s="52">
        <f>IF(AC943="","",IFERROR(INDEX(ctaTipo,MATCH(AC943,ctaNombre,0))&amp;"",""))</f>
        <v/>
      </c>
      <c r="AF943" s="53">
        <f>IF(OR(P943="",AB943=""),"",IF(OR(P943="Gasto",P943="Transferencia",P943="Pago tarjeta"),-1,1)*IF(IFERROR(INDEX(ctaMoneda,MATCH(AB943,ctaNombre,0))&amp;"","DOP")="USD",T943,S943))</f>
        <v/>
      </c>
      <c r="AG943" s="53">
        <f>IF(AC943="","",IF(IFERROR(INDEX(ctaMoneda,MATCH(AC943,ctaNombre,0))&amp;"","DOP")="USD",T943,S943))</f>
        <v/>
      </c>
      <c r="AH943" s="53">
        <f>IF(P943="","",IF(AND(AD943&lt;&gt;"",COUNTIFS(tcTipo,AD943,tcLiq,"Sí")&gt;0),IF(OR(P943="Gasto",P943="Transferencia",P943="Pago tarjeta"),-1,1)*S943,0)+IF(AND(AE943&lt;&gt;"",COUNTIFS(tcTipo,AE943,tcLiq,"Sí")&gt;0),S943,0))</f>
        <v/>
      </c>
      <c r="AI943" s="52">
        <f>IF(OR(L943="",P943=""),"",IF(COUNTIFS(L$6:L943,L943,P$6:P943,"?*")=1,MAX(AI$5:AI942)+1,""))</f>
        <v/>
      </c>
    </row>
    <row r="944">
      <c r="B944" s="47" t="n"/>
      <c r="C944" s="48" t="n"/>
      <c r="D944" s="48" t="n"/>
      <c r="E944" s="48" t="n"/>
      <c r="F944" s="48" t="n"/>
      <c r="G944" s="49" t="n"/>
      <c r="H944" s="48" t="n"/>
      <c r="I944" s="50" t="n"/>
      <c r="J944" s="48" t="n"/>
      <c r="K944" s="48" t="n"/>
      <c r="L944" s="48" t="n"/>
      <c r="M944" s="48" t="n"/>
      <c r="N944" s="48" t="n"/>
      <c r="O944" s="51">
        <f>IF(AND(B944="",G944="",C944="",D944="",J944=""),"",IF(B944="","⚠ Falta fecha",IF(G944="","⚠ Falta monto",IF(Q944="","⚠ Falta cuenta",IF(ISNA(MATCH(Q944,ctaNombre,0)),"⚠ Cuenta no registrada",IF(AND(OR(P944="Gasto",P944="Reembolso"),D944=""),"⚠ Falta categoría",IF(AND(D944&lt;&gt;"",E944&lt;&gt;"",ISNA(MATCH(D944&amp;"|"&amp;E944,catClave,0))),"⚠ Subcategoría no corresponde",IF(AND(OR(P944="Transferencia",P944="Pago tarjeta"),K944=""),"⚠ Falta cuenta destino",IF(AND(K944&lt;&gt;"",P944&lt;&gt;"Transferencia",P944&lt;&gt;"Pago tarjeta"),"⚠ Destino solo aplica a transferencias",IF(AND(K944&lt;&gt;"",K944=Q944),"⚠ Origen igual a destino",IF(AND(K944&lt;&gt;"",ISNA(MATCH(K944,ctaNombre,0))),"⚠ Destino no registrado",IF(AND(P944="Pago tarjeta",AE944&lt;&gt;"Tarjeta de crédito"),"⚠ El destino debe ser tarjeta de crédito",IF(AND(P944="Gasto",E944="Depósitos y retiros"),"⚠ Usa tipo Transferencia",IF(AND(P944="Resultado trading",AD944&lt;&gt;"Cuenta de trading"),"⚠ Usa una cuenta de trading",IF(AND(G944&lt;=0,P944&lt;&gt;"Ajuste",P944&lt;&gt;"Resultado trading"),"⚠ El monto debe ser positivo","✓")))))))))))))))</f>
        <v/>
      </c>
      <c r="P944" s="52">
        <f>IF(OR(B944="",G944=""),"",IF(C944="","Gasto",C944))</f>
        <v/>
      </c>
      <c r="Q944" s="52">
        <f>IF(P944="","",IF(J944&lt;&gt;"",J944,CuentaPred&amp;""))</f>
        <v/>
      </c>
      <c r="R944" s="52">
        <f>IF(P944="","",IF(ISNUMBER(I944),I944,TasaUSD))</f>
        <v/>
      </c>
      <c r="S944" s="53">
        <f>IF(P944="","",IF(H944="USD",G944*R944,G944))</f>
        <v/>
      </c>
      <c r="T944" s="53">
        <f>IF(P944="","",IF(H944="USD",G944,IF(R944&gt;0,G944/R944,0)))</f>
        <v/>
      </c>
      <c r="U944" s="53">
        <f>IF(P944="","",IF(P944="Gasto",S944,IF(P944="Reembolso",-S944,0)))</f>
        <v/>
      </c>
      <c r="V944" s="53">
        <f>IF(P944="","",IF(P944="Ingreso",S944,0))</f>
        <v/>
      </c>
      <c r="W944" s="53">
        <f>IF(P944="","",IF(P944="Resultado trading",S944,0))</f>
        <v/>
      </c>
      <c r="X944" s="52">
        <f>IF(OR(P944="Gasto",P944="Reembolso"),IF(M944&lt;&gt;"",M944,IFERROR(INDEX(catClasif,MATCH(D944&amp;"|"&amp;E944,catClave,0))&amp;"","Variable")),"")</f>
        <v/>
      </c>
      <c r="Y944" s="52">
        <f>IF(P944="","",IFERROR(INDEX(catGrupo,MATCH(D944&amp;"|"&amp;E944,catClave,0))&amp;"",""))</f>
        <v/>
      </c>
      <c r="Z944" s="52">
        <f>IF(P944="","",WEEKDAY(B944,2))</f>
        <v/>
      </c>
      <c r="AA944" s="52">
        <f>IF(P944="","",IF(AND(P944="Gasto",X944="Variable",D944&lt;&gt;catTrading,S944&gt;0,S944&lt;=Umbral),1,0))</f>
        <v/>
      </c>
      <c r="AB944" s="52">
        <f>IF(OR(P944="",Q944=""),"",IFERROR(IF(INDEX(ctaVinc,MATCH(Q944,ctaNombre,0))&amp;""&lt;&gt;"",INDEX(ctaVinc,MATCH(Q944,ctaNombre,0))&amp;"",Q944),Q944))</f>
        <v/>
      </c>
      <c r="AC944" s="52">
        <f>IF(OR(K944="",AND(P944&lt;&gt;"Transferencia",P944&lt;&gt;"Pago tarjeta")),"",IFERROR(IF(INDEX(ctaVinc,MATCH(K944,ctaNombre,0))&amp;""&lt;&gt;"",INDEX(ctaVinc,MATCH(K944,ctaNombre,0))&amp;"",K944),K944))</f>
        <v/>
      </c>
      <c r="AD944" s="52">
        <f>IF(AB944="","",IFERROR(INDEX(ctaTipo,MATCH(AB944,ctaNombre,0))&amp;"",""))</f>
        <v/>
      </c>
      <c r="AE944" s="52">
        <f>IF(AC944="","",IFERROR(INDEX(ctaTipo,MATCH(AC944,ctaNombre,0))&amp;"",""))</f>
        <v/>
      </c>
      <c r="AF944" s="53">
        <f>IF(OR(P944="",AB944=""),"",IF(OR(P944="Gasto",P944="Transferencia",P944="Pago tarjeta"),-1,1)*IF(IFERROR(INDEX(ctaMoneda,MATCH(AB944,ctaNombre,0))&amp;"","DOP")="USD",T944,S944))</f>
        <v/>
      </c>
      <c r="AG944" s="53">
        <f>IF(AC944="","",IF(IFERROR(INDEX(ctaMoneda,MATCH(AC944,ctaNombre,0))&amp;"","DOP")="USD",T944,S944))</f>
        <v/>
      </c>
      <c r="AH944" s="53">
        <f>IF(P944="","",IF(AND(AD944&lt;&gt;"",COUNTIFS(tcTipo,AD944,tcLiq,"Sí")&gt;0),IF(OR(P944="Gasto",P944="Transferencia",P944="Pago tarjeta"),-1,1)*S944,0)+IF(AND(AE944&lt;&gt;"",COUNTIFS(tcTipo,AE944,tcLiq,"Sí")&gt;0),S944,0))</f>
        <v/>
      </c>
      <c r="AI944" s="52">
        <f>IF(OR(L944="",P944=""),"",IF(COUNTIFS(L$6:L944,L944,P$6:P944,"?*")=1,MAX(AI$5:AI943)+1,""))</f>
        <v/>
      </c>
    </row>
    <row r="945">
      <c r="B945" s="47" t="n"/>
      <c r="C945" s="48" t="n"/>
      <c r="D945" s="48" t="n"/>
      <c r="E945" s="48" t="n"/>
      <c r="F945" s="48" t="n"/>
      <c r="G945" s="49" t="n"/>
      <c r="H945" s="48" t="n"/>
      <c r="I945" s="50" t="n"/>
      <c r="J945" s="48" t="n"/>
      <c r="K945" s="48" t="n"/>
      <c r="L945" s="48" t="n"/>
      <c r="M945" s="48" t="n"/>
      <c r="N945" s="48" t="n"/>
      <c r="O945" s="51">
        <f>IF(AND(B945="",G945="",C945="",D945="",J945=""),"",IF(B945="","⚠ Falta fecha",IF(G945="","⚠ Falta monto",IF(Q945="","⚠ Falta cuenta",IF(ISNA(MATCH(Q945,ctaNombre,0)),"⚠ Cuenta no registrada",IF(AND(OR(P945="Gasto",P945="Reembolso"),D945=""),"⚠ Falta categoría",IF(AND(D945&lt;&gt;"",E945&lt;&gt;"",ISNA(MATCH(D945&amp;"|"&amp;E945,catClave,0))),"⚠ Subcategoría no corresponde",IF(AND(OR(P945="Transferencia",P945="Pago tarjeta"),K945=""),"⚠ Falta cuenta destino",IF(AND(K945&lt;&gt;"",P945&lt;&gt;"Transferencia",P945&lt;&gt;"Pago tarjeta"),"⚠ Destino solo aplica a transferencias",IF(AND(K945&lt;&gt;"",K945=Q945),"⚠ Origen igual a destino",IF(AND(K945&lt;&gt;"",ISNA(MATCH(K945,ctaNombre,0))),"⚠ Destino no registrado",IF(AND(P945="Pago tarjeta",AE945&lt;&gt;"Tarjeta de crédito"),"⚠ El destino debe ser tarjeta de crédito",IF(AND(P945="Gasto",E945="Depósitos y retiros"),"⚠ Usa tipo Transferencia",IF(AND(P945="Resultado trading",AD945&lt;&gt;"Cuenta de trading"),"⚠ Usa una cuenta de trading",IF(AND(G945&lt;=0,P945&lt;&gt;"Ajuste",P945&lt;&gt;"Resultado trading"),"⚠ El monto debe ser positivo","✓")))))))))))))))</f>
        <v/>
      </c>
      <c r="P945" s="52">
        <f>IF(OR(B945="",G945=""),"",IF(C945="","Gasto",C945))</f>
        <v/>
      </c>
      <c r="Q945" s="52">
        <f>IF(P945="","",IF(J945&lt;&gt;"",J945,CuentaPred&amp;""))</f>
        <v/>
      </c>
      <c r="R945" s="52">
        <f>IF(P945="","",IF(ISNUMBER(I945),I945,TasaUSD))</f>
        <v/>
      </c>
      <c r="S945" s="53">
        <f>IF(P945="","",IF(H945="USD",G945*R945,G945))</f>
        <v/>
      </c>
      <c r="T945" s="53">
        <f>IF(P945="","",IF(H945="USD",G945,IF(R945&gt;0,G945/R945,0)))</f>
        <v/>
      </c>
      <c r="U945" s="53">
        <f>IF(P945="","",IF(P945="Gasto",S945,IF(P945="Reembolso",-S945,0)))</f>
        <v/>
      </c>
      <c r="V945" s="53">
        <f>IF(P945="","",IF(P945="Ingreso",S945,0))</f>
        <v/>
      </c>
      <c r="W945" s="53">
        <f>IF(P945="","",IF(P945="Resultado trading",S945,0))</f>
        <v/>
      </c>
      <c r="X945" s="52">
        <f>IF(OR(P945="Gasto",P945="Reembolso"),IF(M945&lt;&gt;"",M945,IFERROR(INDEX(catClasif,MATCH(D945&amp;"|"&amp;E945,catClave,0))&amp;"","Variable")),"")</f>
        <v/>
      </c>
      <c r="Y945" s="52">
        <f>IF(P945="","",IFERROR(INDEX(catGrupo,MATCH(D945&amp;"|"&amp;E945,catClave,0))&amp;"",""))</f>
        <v/>
      </c>
      <c r="Z945" s="52">
        <f>IF(P945="","",WEEKDAY(B945,2))</f>
        <v/>
      </c>
      <c r="AA945" s="52">
        <f>IF(P945="","",IF(AND(P945="Gasto",X945="Variable",D945&lt;&gt;catTrading,S945&gt;0,S945&lt;=Umbral),1,0))</f>
        <v/>
      </c>
      <c r="AB945" s="52">
        <f>IF(OR(P945="",Q945=""),"",IFERROR(IF(INDEX(ctaVinc,MATCH(Q945,ctaNombre,0))&amp;""&lt;&gt;"",INDEX(ctaVinc,MATCH(Q945,ctaNombre,0))&amp;"",Q945),Q945))</f>
        <v/>
      </c>
      <c r="AC945" s="52">
        <f>IF(OR(K945="",AND(P945&lt;&gt;"Transferencia",P945&lt;&gt;"Pago tarjeta")),"",IFERROR(IF(INDEX(ctaVinc,MATCH(K945,ctaNombre,0))&amp;""&lt;&gt;"",INDEX(ctaVinc,MATCH(K945,ctaNombre,0))&amp;"",K945),K945))</f>
        <v/>
      </c>
      <c r="AD945" s="52">
        <f>IF(AB945="","",IFERROR(INDEX(ctaTipo,MATCH(AB945,ctaNombre,0))&amp;"",""))</f>
        <v/>
      </c>
      <c r="AE945" s="52">
        <f>IF(AC945="","",IFERROR(INDEX(ctaTipo,MATCH(AC945,ctaNombre,0))&amp;"",""))</f>
        <v/>
      </c>
      <c r="AF945" s="53">
        <f>IF(OR(P945="",AB945=""),"",IF(OR(P945="Gasto",P945="Transferencia",P945="Pago tarjeta"),-1,1)*IF(IFERROR(INDEX(ctaMoneda,MATCH(AB945,ctaNombre,0))&amp;"","DOP")="USD",T945,S945))</f>
        <v/>
      </c>
      <c r="AG945" s="53">
        <f>IF(AC945="","",IF(IFERROR(INDEX(ctaMoneda,MATCH(AC945,ctaNombre,0))&amp;"","DOP")="USD",T945,S945))</f>
        <v/>
      </c>
      <c r="AH945" s="53">
        <f>IF(P945="","",IF(AND(AD945&lt;&gt;"",COUNTIFS(tcTipo,AD945,tcLiq,"Sí")&gt;0),IF(OR(P945="Gasto",P945="Transferencia",P945="Pago tarjeta"),-1,1)*S945,0)+IF(AND(AE945&lt;&gt;"",COUNTIFS(tcTipo,AE945,tcLiq,"Sí")&gt;0),S945,0))</f>
        <v/>
      </c>
      <c r="AI945" s="52">
        <f>IF(OR(L945="",P945=""),"",IF(COUNTIFS(L$6:L945,L945,P$6:P945,"?*")=1,MAX(AI$5:AI944)+1,""))</f>
        <v/>
      </c>
    </row>
    <row r="946">
      <c r="B946" s="47" t="n"/>
      <c r="C946" s="48" t="n"/>
      <c r="D946" s="48" t="n"/>
      <c r="E946" s="48" t="n"/>
      <c r="F946" s="48" t="n"/>
      <c r="G946" s="49" t="n"/>
      <c r="H946" s="48" t="n"/>
      <c r="I946" s="50" t="n"/>
      <c r="J946" s="48" t="n"/>
      <c r="K946" s="48" t="n"/>
      <c r="L946" s="48" t="n"/>
      <c r="M946" s="48" t="n"/>
      <c r="N946" s="48" t="n"/>
      <c r="O946" s="51">
        <f>IF(AND(B946="",G946="",C946="",D946="",J946=""),"",IF(B946="","⚠ Falta fecha",IF(G946="","⚠ Falta monto",IF(Q946="","⚠ Falta cuenta",IF(ISNA(MATCH(Q946,ctaNombre,0)),"⚠ Cuenta no registrada",IF(AND(OR(P946="Gasto",P946="Reembolso"),D946=""),"⚠ Falta categoría",IF(AND(D946&lt;&gt;"",E946&lt;&gt;"",ISNA(MATCH(D946&amp;"|"&amp;E946,catClave,0))),"⚠ Subcategoría no corresponde",IF(AND(OR(P946="Transferencia",P946="Pago tarjeta"),K946=""),"⚠ Falta cuenta destino",IF(AND(K946&lt;&gt;"",P946&lt;&gt;"Transferencia",P946&lt;&gt;"Pago tarjeta"),"⚠ Destino solo aplica a transferencias",IF(AND(K946&lt;&gt;"",K946=Q946),"⚠ Origen igual a destino",IF(AND(K946&lt;&gt;"",ISNA(MATCH(K946,ctaNombre,0))),"⚠ Destino no registrado",IF(AND(P946="Pago tarjeta",AE946&lt;&gt;"Tarjeta de crédito"),"⚠ El destino debe ser tarjeta de crédito",IF(AND(P946="Gasto",E946="Depósitos y retiros"),"⚠ Usa tipo Transferencia",IF(AND(P946="Resultado trading",AD946&lt;&gt;"Cuenta de trading"),"⚠ Usa una cuenta de trading",IF(AND(G946&lt;=0,P946&lt;&gt;"Ajuste",P946&lt;&gt;"Resultado trading"),"⚠ El monto debe ser positivo","✓")))))))))))))))</f>
        <v/>
      </c>
      <c r="P946" s="52">
        <f>IF(OR(B946="",G946=""),"",IF(C946="","Gasto",C946))</f>
        <v/>
      </c>
      <c r="Q946" s="52">
        <f>IF(P946="","",IF(J946&lt;&gt;"",J946,CuentaPred&amp;""))</f>
        <v/>
      </c>
      <c r="R946" s="52">
        <f>IF(P946="","",IF(ISNUMBER(I946),I946,TasaUSD))</f>
        <v/>
      </c>
      <c r="S946" s="53">
        <f>IF(P946="","",IF(H946="USD",G946*R946,G946))</f>
        <v/>
      </c>
      <c r="T946" s="53">
        <f>IF(P946="","",IF(H946="USD",G946,IF(R946&gt;0,G946/R946,0)))</f>
        <v/>
      </c>
      <c r="U946" s="53">
        <f>IF(P946="","",IF(P946="Gasto",S946,IF(P946="Reembolso",-S946,0)))</f>
        <v/>
      </c>
      <c r="V946" s="53">
        <f>IF(P946="","",IF(P946="Ingreso",S946,0))</f>
        <v/>
      </c>
      <c r="W946" s="53">
        <f>IF(P946="","",IF(P946="Resultado trading",S946,0))</f>
        <v/>
      </c>
      <c r="X946" s="52">
        <f>IF(OR(P946="Gasto",P946="Reembolso"),IF(M946&lt;&gt;"",M946,IFERROR(INDEX(catClasif,MATCH(D946&amp;"|"&amp;E946,catClave,0))&amp;"","Variable")),"")</f>
        <v/>
      </c>
      <c r="Y946" s="52">
        <f>IF(P946="","",IFERROR(INDEX(catGrupo,MATCH(D946&amp;"|"&amp;E946,catClave,0))&amp;"",""))</f>
        <v/>
      </c>
      <c r="Z946" s="52">
        <f>IF(P946="","",WEEKDAY(B946,2))</f>
        <v/>
      </c>
      <c r="AA946" s="52">
        <f>IF(P946="","",IF(AND(P946="Gasto",X946="Variable",D946&lt;&gt;catTrading,S946&gt;0,S946&lt;=Umbral),1,0))</f>
        <v/>
      </c>
      <c r="AB946" s="52">
        <f>IF(OR(P946="",Q946=""),"",IFERROR(IF(INDEX(ctaVinc,MATCH(Q946,ctaNombre,0))&amp;""&lt;&gt;"",INDEX(ctaVinc,MATCH(Q946,ctaNombre,0))&amp;"",Q946),Q946))</f>
        <v/>
      </c>
      <c r="AC946" s="52">
        <f>IF(OR(K946="",AND(P946&lt;&gt;"Transferencia",P946&lt;&gt;"Pago tarjeta")),"",IFERROR(IF(INDEX(ctaVinc,MATCH(K946,ctaNombre,0))&amp;""&lt;&gt;"",INDEX(ctaVinc,MATCH(K946,ctaNombre,0))&amp;"",K946),K946))</f>
        <v/>
      </c>
      <c r="AD946" s="52">
        <f>IF(AB946="","",IFERROR(INDEX(ctaTipo,MATCH(AB946,ctaNombre,0))&amp;"",""))</f>
        <v/>
      </c>
      <c r="AE946" s="52">
        <f>IF(AC946="","",IFERROR(INDEX(ctaTipo,MATCH(AC946,ctaNombre,0))&amp;"",""))</f>
        <v/>
      </c>
      <c r="AF946" s="53">
        <f>IF(OR(P946="",AB946=""),"",IF(OR(P946="Gasto",P946="Transferencia",P946="Pago tarjeta"),-1,1)*IF(IFERROR(INDEX(ctaMoneda,MATCH(AB946,ctaNombre,0))&amp;"","DOP")="USD",T946,S946))</f>
        <v/>
      </c>
      <c r="AG946" s="53">
        <f>IF(AC946="","",IF(IFERROR(INDEX(ctaMoneda,MATCH(AC946,ctaNombre,0))&amp;"","DOP")="USD",T946,S946))</f>
        <v/>
      </c>
      <c r="AH946" s="53">
        <f>IF(P946="","",IF(AND(AD946&lt;&gt;"",COUNTIFS(tcTipo,AD946,tcLiq,"Sí")&gt;0),IF(OR(P946="Gasto",P946="Transferencia",P946="Pago tarjeta"),-1,1)*S946,0)+IF(AND(AE946&lt;&gt;"",COUNTIFS(tcTipo,AE946,tcLiq,"Sí")&gt;0),S946,0))</f>
        <v/>
      </c>
      <c r="AI946" s="52">
        <f>IF(OR(L946="",P946=""),"",IF(COUNTIFS(L$6:L946,L946,P$6:P946,"?*")=1,MAX(AI$5:AI945)+1,""))</f>
        <v/>
      </c>
    </row>
    <row r="947">
      <c r="B947" s="47" t="n"/>
      <c r="C947" s="48" t="n"/>
      <c r="D947" s="48" t="n"/>
      <c r="E947" s="48" t="n"/>
      <c r="F947" s="48" t="n"/>
      <c r="G947" s="49" t="n"/>
      <c r="H947" s="48" t="n"/>
      <c r="I947" s="50" t="n"/>
      <c r="J947" s="48" t="n"/>
      <c r="K947" s="48" t="n"/>
      <c r="L947" s="48" t="n"/>
      <c r="M947" s="48" t="n"/>
      <c r="N947" s="48" t="n"/>
      <c r="O947" s="51">
        <f>IF(AND(B947="",G947="",C947="",D947="",J947=""),"",IF(B947="","⚠ Falta fecha",IF(G947="","⚠ Falta monto",IF(Q947="","⚠ Falta cuenta",IF(ISNA(MATCH(Q947,ctaNombre,0)),"⚠ Cuenta no registrada",IF(AND(OR(P947="Gasto",P947="Reembolso"),D947=""),"⚠ Falta categoría",IF(AND(D947&lt;&gt;"",E947&lt;&gt;"",ISNA(MATCH(D947&amp;"|"&amp;E947,catClave,0))),"⚠ Subcategoría no corresponde",IF(AND(OR(P947="Transferencia",P947="Pago tarjeta"),K947=""),"⚠ Falta cuenta destino",IF(AND(K947&lt;&gt;"",P947&lt;&gt;"Transferencia",P947&lt;&gt;"Pago tarjeta"),"⚠ Destino solo aplica a transferencias",IF(AND(K947&lt;&gt;"",K947=Q947),"⚠ Origen igual a destino",IF(AND(K947&lt;&gt;"",ISNA(MATCH(K947,ctaNombre,0))),"⚠ Destino no registrado",IF(AND(P947="Pago tarjeta",AE947&lt;&gt;"Tarjeta de crédito"),"⚠ El destino debe ser tarjeta de crédito",IF(AND(P947="Gasto",E947="Depósitos y retiros"),"⚠ Usa tipo Transferencia",IF(AND(P947="Resultado trading",AD947&lt;&gt;"Cuenta de trading"),"⚠ Usa una cuenta de trading",IF(AND(G947&lt;=0,P947&lt;&gt;"Ajuste",P947&lt;&gt;"Resultado trading"),"⚠ El monto debe ser positivo","✓")))))))))))))))</f>
        <v/>
      </c>
      <c r="P947" s="52">
        <f>IF(OR(B947="",G947=""),"",IF(C947="","Gasto",C947))</f>
        <v/>
      </c>
      <c r="Q947" s="52">
        <f>IF(P947="","",IF(J947&lt;&gt;"",J947,CuentaPred&amp;""))</f>
        <v/>
      </c>
      <c r="R947" s="52">
        <f>IF(P947="","",IF(ISNUMBER(I947),I947,TasaUSD))</f>
        <v/>
      </c>
      <c r="S947" s="53">
        <f>IF(P947="","",IF(H947="USD",G947*R947,G947))</f>
        <v/>
      </c>
      <c r="T947" s="53">
        <f>IF(P947="","",IF(H947="USD",G947,IF(R947&gt;0,G947/R947,0)))</f>
        <v/>
      </c>
      <c r="U947" s="53">
        <f>IF(P947="","",IF(P947="Gasto",S947,IF(P947="Reembolso",-S947,0)))</f>
        <v/>
      </c>
      <c r="V947" s="53">
        <f>IF(P947="","",IF(P947="Ingreso",S947,0))</f>
        <v/>
      </c>
      <c r="W947" s="53">
        <f>IF(P947="","",IF(P947="Resultado trading",S947,0))</f>
        <v/>
      </c>
      <c r="X947" s="52">
        <f>IF(OR(P947="Gasto",P947="Reembolso"),IF(M947&lt;&gt;"",M947,IFERROR(INDEX(catClasif,MATCH(D947&amp;"|"&amp;E947,catClave,0))&amp;"","Variable")),"")</f>
        <v/>
      </c>
      <c r="Y947" s="52">
        <f>IF(P947="","",IFERROR(INDEX(catGrupo,MATCH(D947&amp;"|"&amp;E947,catClave,0))&amp;"",""))</f>
        <v/>
      </c>
      <c r="Z947" s="52">
        <f>IF(P947="","",WEEKDAY(B947,2))</f>
        <v/>
      </c>
      <c r="AA947" s="52">
        <f>IF(P947="","",IF(AND(P947="Gasto",X947="Variable",D947&lt;&gt;catTrading,S947&gt;0,S947&lt;=Umbral),1,0))</f>
        <v/>
      </c>
      <c r="AB947" s="52">
        <f>IF(OR(P947="",Q947=""),"",IFERROR(IF(INDEX(ctaVinc,MATCH(Q947,ctaNombre,0))&amp;""&lt;&gt;"",INDEX(ctaVinc,MATCH(Q947,ctaNombre,0))&amp;"",Q947),Q947))</f>
        <v/>
      </c>
      <c r="AC947" s="52">
        <f>IF(OR(K947="",AND(P947&lt;&gt;"Transferencia",P947&lt;&gt;"Pago tarjeta")),"",IFERROR(IF(INDEX(ctaVinc,MATCH(K947,ctaNombre,0))&amp;""&lt;&gt;"",INDEX(ctaVinc,MATCH(K947,ctaNombre,0))&amp;"",K947),K947))</f>
        <v/>
      </c>
      <c r="AD947" s="52">
        <f>IF(AB947="","",IFERROR(INDEX(ctaTipo,MATCH(AB947,ctaNombre,0))&amp;"",""))</f>
        <v/>
      </c>
      <c r="AE947" s="52">
        <f>IF(AC947="","",IFERROR(INDEX(ctaTipo,MATCH(AC947,ctaNombre,0))&amp;"",""))</f>
        <v/>
      </c>
      <c r="AF947" s="53">
        <f>IF(OR(P947="",AB947=""),"",IF(OR(P947="Gasto",P947="Transferencia",P947="Pago tarjeta"),-1,1)*IF(IFERROR(INDEX(ctaMoneda,MATCH(AB947,ctaNombre,0))&amp;"","DOP")="USD",T947,S947))</f>
        <v/>
      </c>
      <c r="AG947" s="53">
        <f>IF(AC947="","",IF(IFERROR(INDEX(ctaMoneda,MATCH(AC947,ctaNombre,0))&amp;"","DOP")="USD",T947,S947))</f>
        <v/>
      </c>
      <c r="AH947" s="53">
        <f>IF(P947="","",IF(AND(AD947&lt;&gt;"",COUNTIFS(tcTipo,AD947,tcLiq,"Sí")&gt;0),IF(OR(P947="Gasto",P947="Transferencia",P947="Pago tarjeta"),-1,1)*S947,0)+IF(AND(AE947&lt;&gt;"",COUNTIFS(tcTipo,AE947,tcLiq,"Sí")&gt;0),S947,0))</f>
        <v/>
      </c>
      <c r="AI947" s="52">
        <f>IF(OR(L947="",P947=""),"",IF(COUNTIFS(L$6:L947,L947,P$6:P947,"?*")=1,MAX(AI$5:AI946)+1,""))</f>
        <v/>
      </c>
    </row>
    <row r="948">
      <c r="B948" s="47" t="n"/>
      <c r="C948" s="48" t="n"/>
      <c r="D948" s="48" t="n"/>
      <c r="E948" s="48" t="n"/>
      <c r="F948" s="48" t="n"/>
      <c r="G948" s="49" t="n"/>
      <c r="H948" s="48" t="n"/>
      <c r="I948" s="50" t="n"/>
      <c r="J948" s="48" t="n"/>
      <c r="K948" s="48" t="n"/>
      <c r="L948" s="48" t="n"/>
      <c r="M948" s="48" t="n"/>
      <c r="N948" s="48" t="n"/>
      <c r="O948" s="51">
        <f>IF(AND(B948="",G948="",C948="",D948="",J948=""),"",IF(B948="","⚠ Falta fecha",IF(G948="","⚠ Falta monto",IF(Q948="","⚠ Falta cuenta",IF(ISNA(MATCH(Q948,ctaNombre,0)),"⚠ Cuenta no registrada",IF(AND(OR(P948="Gasto",P948="Reembolso"),D948=""),"⚠ Falta categoría",IF(AND(D948&lt;&gt;"",E948&lt;&gt;"",ISNA(MATCH(D948&amp;"|"&amp;E948,catClave,0))),"⚠ Subcategoría no corresponde",IF(AND(OR(P948="Transferencia",P948="Pago tarjeta"),K948=""),"⚠ Falta cuenta destino",IF(AND(K948&lt;&gt;"",P948&lt;&gt;"Transferencia",P948&lt;&gt;"Pago tarjeta"),"⚠ Destino solo aplica a transferencias",IF(AND(K948&lt;&gt;"",K948=Q948),"⚠ Origen igual a destino",IF(AND(K948&lt;&gt;"",ISNA(MATCH(K948,ctaNombre,0))),"⚠ Destino no registrado",IF(AND(P948="Pago tarjeta",AE948&lt;&gt;"Tarjeta de crédito"),"⚠ El destino debe ser tarjeta de crédito",IF(AND(P948="Gasto",E948="Depósitos y retiros"),"⚠ Usa tipo Transferencia",IF(AND(P948="Resultado trading",AD948&lt;&gt;"Cuenta de trading"),"⚠ Usa una cuenta de trading",IF(AND(G948&lt;=0,P948&lt;&gt;"Ajuste",P948&lt;&gt;"Resultado trading"),"⚠ El monto debe ser positivo","✓")))))))))))))))</f>
        <v/>
      </c>
      <c r="P948" s="52">
        <f>IF(OR(B948="",G948=""),"",IF(C948="","Gasto",C948))</f>
        <v/>
      </c>
      <c r="Q948" s="52">
        <f>IF(P948="","",IF(J948&lt;&gt;"",J948,CuentaPred&amp;""))</f>
        <v/>
      </c>
      <c r="R948" s="52">
        <f>IF(P948="","",IF(ISNUMBER(I948),I948,TasaUSD))</f>
        <v/>
      </c>
      <c r="S948" s="53">
        <f>IF(P948="","",IF(H948="USD",G948*R948,G948))</f>
        <v/>
      </c>
      <c r="T948" s="53">
        <f>IF(P948="","",IF(H948="USD",G948,IF(R948&gt;0,G948/R948,0)))</f>
        <v/>
      </c>
      <c r="U948" s="53">
        <f>IF(P948="","",IF(P948="Gasto",S948,IF(P948="Reembolso",-S948,0)))</f>
        <v/>
      </c>
      <c r="V948" s="53">
        <f>IF(P948="","",IF(P948="Ingreso",S948,0))</f>
        <v/>
      </c>
      <c r="W948" s="53">
        <f>IF(P948="","",IF(P948="Resultado trading",S948,0))</f>
        <v/>
      </c>
      <c r="X948" s="52">
        <f>IF(OR(P948="Gasto",P948="Reembolso"),IF(M948&lt;&gt;"",M948,IFERROR(INDEX(catClasif,MATCH(D948&amp;"|"&amp;E948,catClave,0))&amp;"","Variable")),"")</f>
        <v/>
      </c>
      <c r="Y948" s="52">
        <f>IF(P948="","",IFERROR(INDEX(catGrupo,MATCH(D948&amp;"|"&amp;E948,catClave,0))&amp;"",""))</f>
        <v/>
      </c>
      <c r="Z948" s="52">
        <f>IF(P948="","",WEEKDAY(B948,2))</f>
        <v/>
      </c>
      <c r="AA948" s="52">
        <f>IF(P948="","",IF(AND(P948="Gasto",X948="Variable",D948&lt;&gt;catTrading,S948&gt;0,S948&lt;=Umbral),1,0))</f>
        <v/>
      </c>
      <c r="AB948" s="52">
        <f>IF(OR(P948="",Q948=""),"",IFERROR(IF(INDEX(ctaVinc,MATCH(Q948,ctaNombre,0))&amp;""&lt;&gt;"",INDEX(ctaVinc,MATCH(Q948,ctaNombre,0))&amp;"",Q948),Q948))</f>
        <v/>
      </c>
      <c r="AC948" s="52">
        <f>IF(OR(K948="",AND(P948&lt;&gt;"Transferencia",P948&lt;&gt;"Pago tarjeta")),"",IFERROR(IF(INDEX(ctaVinc,MATCH(K948,ctaNombre,0))&amp;""&lt;&gt;"",INDEX(ctaVinc,MATCH(K948,ctaNombre,0))&amp;"",K948),K948))</f>
        <v/>
      </c>
      <c r="AD948" s="52">
        <f>IF(AB948="","",IFERROR(INDEX(ctaTipo,MATCH(AB948,ctaNombre,0))&amp;"",""))</f>
        <v/>
      </c>
      <c r="AE948" s="52">
        <f>IF(AC948="","",IFERROR(INDEX(ctaTipo,MATCH(AC948,ctaNombre,0))&amp;"",""))</f>
        <v/>
      </c>
      <c r="AF948" s="53">
        <f>IF(OR(P948="",AB948=""),"",IF(OR(P948="Gasto",P948="Transferencia",P948="Pago tarjeta"),-1,1)*IF(IFERROR(INDEX(ctaMoneda,MATCH(AB948,ctaNombre,0))&amp;"","DOP")="USD",T948,S948))</f>
        <v/>
      </c>
      <c r="AG948" s="53">
        <f>IF(AC948="","",IF(IFERROR(INDEX(ctaMoneda,MATCH(AC948,ctaNombre,0))&amp;"","DOP")="USD",T948,S948))</f>
        <v/>
      </c>
      <c r="AH948" s="53">
        <f>IF(P948="","",IF(AND(AD948&lt;&gt;"",COUNTIFS(tcTipo,AD948,tcLiq,"Sí")&gt;0),IF(OR(P948="Gasto",P948="Transferencia",P948="Pago tarjeta"),-1,1)*S948,0)+IF(AND(AE948&lt;&gt;"",COUNTIFS(tcTipo,AE948,tcLiq,"Sí")&gt;0),S948,0))</f>
        <v/>
      </c>
      <c r="AI948" s="52">
        <f>IF(OR(L948="",P948=""),"",IF(COUNTIFS(L$6:L948,L948,P$6:P948,"?*")=1,MAX(AI$5:AI947)+1,""))</f>
        <v/>
      </c>
    </row>
    <row r="949">
      <c r="B949" s="47" t="n"/>
      <c r="C949" s="48" t="n"/>
      <c r="D949" s="48" t="n"/>
      <c r="E949" s="48" t="n"/>
      <c r="F949" s="48" t="n"/>
      <c r="G949" s="49" t="n"/>
      <c r="H949" s="48" t="n"/>
      <c r="I949" s="50" t="n"/>
      <c r="J949" s="48" t="n"/>
      <c r="K949" s="48" t="n"/>
      <c r="L949" s="48" t="n"/>
      <c r="M949" s="48" t="n"/>
      <c r="N949" s="48" t="n"/>
      <c r="O949" s="51">
        <f>IF(AND(B949="",G949="",C949="",D949="",J949=""),"",IF(B949="","⚠ Falta fecha",IF(G949="","⚠ Falta monto",IF(Q949="","⚠ Falta cuenta",IF(ISNA(MATCH(Q949,ctaNombre,0)),"⚠ Cuenta no registrada",IF(AND(OR(P949="Gasto",P949="Reembolso"),D949=""),"⚠ Falta categoría",IF(AND(D949&lt;&gt;"",E949&lt;&gt;"",ISNA(MATCH(D949&amp;"|"&amp;E949,catClave,0))),"⚠ Subcategoría no corresponde",IF(AND(OR(P949="Transferencia",P949="Pago tarjeta"),K949=""),"⚠ Falta cuenta destino",IF(AND(K949&lt;&gt;"",P949&lt;&gt;"Transferencia",P949&lt;&gt;"Pago tarjeta"),"⚠ Destino solo aplica a transferencias",IF(AND(K949&lt;&gt;"",K949=Q949),"⚠ Origen igual a destino",IF(AND(K949&lt;&gt;"",ISNA(MATCH(K949,ctaNombre,0))),"⚠ Destino no registrado",IF(AND(P949="Pago tarjeta",AE949&lt;&gt;"Tarjeta de crédito"),"⚠ El destino debe ser tarjeta de crédito",IF(AND(P949="Gasto",E949="Depósitos y retiros"),"⚠ Usa tipo Transferencia",IF(AND(P949="Resultado trading",AD949&lt;&gt;"Cuenta de trading"),"⚠ Usa una cuenta de trading",IF(AND(G949&lt;=0,P949&lt;&gt;"Ajuste",P949&lt;&gt;"Resultado trading"),"⚠ El monto debe ser positivo","✓")))))))))))))))</f>
        <v/>
      </c>
      <c r="P949" s="52">
        <f>IF(OR(B949="",G949=""),"",IF(C949="","Gasto",C949))</f>
        <v/>
      </c>
      <c r="Q949" s="52">
        <f>IF(P949="","",IF(J949&lt;&gt;"",J949,CuentaPred&amp;""))</f>
        <v/>
      </c>
      <c r="R949" s="52">
        <f>IF(P949="","",IF(ISNUMBER(I949),I949,TasaUSD))</f>
        <v/>
      </c>
      <c r="S949" s="53">
        <f>IF(P949="","",IF(H949="USD",G949*R949,G949))</f>
        <v/>
      </c>
      <c r="T949" s="53">
        <f>IF(P949="","",IF(H949="USD",G949,IF(R949&gt;0,G949/R949,0)))</f>
        <v/>
      </c>
      <c r="U949" s="53">
        <f>IF(P949="","",IF(P949="Gasto",S949,IF(P949="Reembolso",-S949,0)))</f>
        <v/>
      </c>
      <c r="V949" s="53">
        <f>IF(P949="","",IF(P949="Ingreso",S949,0))</f>
        <v/>
      </c>
      <c r="W949" s="53">
        <f>IF(P949="","",IF(P949="Resultado trading",S949,0))</f>
        <v/>
      </c>
      <c r="X949" s="52">
        <f>IF(OR(P949="Gasto",P949="Reembolso"),IF(M949&lt;&gt;"",M949,IFERROR(INDEX(catClasif,MATCH(D949&amp;"|"&amp;E949,catClave,0))&amp;"","Variable")),"")</f>
        <v/>
      </c>
      <c r="Y949" s="52">
        <f>IF(P949="","",IFERROR(INDEX(catGrupo,MATCH(D949&amp;"|"&amp;E949,catClave,0))&amp;"",""))</f>
        <v/>
      </c>
      <c r="Z949" s="52">
        <f>IF(P949="","",WEEKDAY(B949,2))</f>
        <v/>
      </c>
      <c r="AA949" s="52">
        <f>IF(P949="","",IF(AND(P949="Gasto",X949="Variable",D949&lt;&gt;catTrading,S949&gt;0,S949&lt;=Umbral),1,0))</f>
        <v/>
      </c>
      <c r="AB949" s="52">
        <f>IF(OR(P949="",Q949=""),"",IFERROR(IF(INDEX(ctaVinc,MATCH(Q949,ctaNombre,0))&amp;""&lt;&gt;"",INDEX(ctaVinc,MATCH(Q949,ctaNombre,0))&amp;"",Q949),Q949))</f>
        <v/>
      </c>
      <c r="AC949" s="52">
        <f>IF(OR(K949="",AND(P949&lt;&gt;"Transferencia",P949&lt;&gt;"Pago tarjeta")),"",IFERROR(IF(INDEX(ctaVinc,MATCH(K949,ctaNombre,0))&amp;""&lt;&gt;"",INDEX(ctaVinc,MATCH(K949,ctaNombre,0))&amp;"",K949),K949))</f>
        <v/>
      </c>
      <c r="AD949" s="52">
        <f>IF(AB949="","",IFERROR(INDEX(ctaTipo,MATCH(AB949,ctaNombre,0))&amp;"",""))</f>
        <v/>
      </c>
      <c r="AE949" s="52">
        <f>IF(AC949="","",IFERROR(INDEX(ctaTipo,MATCH(AC949,ctaNombre,0))&amp;"",""))</f>
        <v/>
      </c>
      <c r="AF949" s="53">
        <f>IF(OR(P949="",AB949=""),"",IF(OR(P949="Gasto",P949="Transferencia",P949="Pago tarjeta"),-1,1)*IF(IFERROR(INDEX(ctaMoneda,MATCH(AB949,ctaNombre,0))&amp;"","DOP")="USD",T949,S949))</f>
        <v/>
      </c>
      <c r="AG949" s="53">
        <f>IF(AC949="","",IF(IFERROR(INDEX(ctaMoneda,MATCH(AC949,ctaNombre,0))&amp;"","DOP")="USD",T949,S949))</f>
        <v/>
      </c>
      <c r="AH949" s="53">
        <f>IF(P949="","",IF(AND(AD949&lt;&gt;"",COUNTIFS(tcTipo,AD949,tcLiq,"Sí")&gt;0),IF(OR(P949="Gasto",P949="Transferencia",P949="Pago tarjeta"),-1,1)*S949,0)+IF(AND(AE949&lt;&gt;"",COUNTIFS(tcTipo,AE949,tcLiq,"Sí")&gt;0),S949,0))</f>
        <v/>
      </c>
      <c r="AI949" s="52">
        <f>IF(OR(L949="",P949=""),"",IF(COUNTIFS(L$6:L949,L949,P$6:P949,"?*")=1,MAX(AI$5:AI948)+1,""))</f>
        <v/>
      </c>
    </row>
    <row r="950">
      <c r="B950" s="47" t="n"/>
      <c r="C950" s="48" t="n"/>
      <c r="D950" s="48" t="n"/>
      <c r="E950" s="48" t="n"/>
      <c r="F950" s="48" t="n"/>
      <c r="G950" s="49" t="n"/>
      <c r="H950" s="48" t="n"/>
      <c r="I950" s="50" t="n"/>
      <c r="J950" s="48" t="n"/>
      <c r="K950" s="48" t="n"/>
      <c r="L950" s="48" t="n"/>
      <c r="M950" s="48" t="n"/>
      <c r="N950" s="48" t="n"/>
      <c r="O950" s="51">
        <f>IF(AND(B950="",G950="",C950="",D950="",J950=""),"",IF(B950="","⚠ Falta fecha",IF(G950="","⚠ Falta monto",IF(Q950="","⚠ Falta cuenta",IF(ISNA(MATCH(Q950,ctaNombre,0)),"⚠ Cuenta no registrada",IF(AND(OR(P950="Gasto",P950="Reembolso"),D950=""),"⚠ Falta categoría",IF(AND(D950&lt;&gt;"",E950&lt;&gt;"",ISNA(MATCH(D950&amp;"|"&amp;E950,catClave,0))),"⚠ Subcategoría no corresponde",IF(AND(OR(P950="Transferencia",P950="Pago tarjeta"),K950=""),"⚠ Falta cuenta destino",IF(AND(K950&lt;&gt;"",P950&lt;&gt;"Transferencia",P950&lt;&gt;"Pago tarjeta"),"⚠ Destino solo aplica a transferencias",IF(AND(K950&lt;&gt;"",K950=Q950),"⚠ Origen igual a destino",IF(AND(K950&lt;&gt;"",ISNA(MATCH(K950,ctaNombre,0))),"⚠ Destino no registrado",IF(AND(P950="Pago tarjeta",AE950&lt;&gt;"Tarjeta de crédito"),"⚠ El destino debe ser tarjeta de crédito",IF(AND(P950="Gasto",E950="Depósitos y retiros"),"⚠ Usa tipo Transferencia",IF(AND(P950="Resultado trading",AD950&lt;&gt;"Cuenta de trading"),"⚠ Usa una cuenta de trading",IF(AND(G950&lt;=0,P950&lt;&gt;"Ajuste",P950&lt;&gt;"Resultado trading"),"⚠ El monto debe ser positivo","✓")))))))))))))))</f>
        <v/>
      </c>
      <c r="P950" s="52">
        <f>IF(OR(B950="",G950=""),"",IF(C950="","Gasto",C950))</f>
        <v/>
      </c>
      <c r="Q950" s="52">
        <f>IF(P950="","",IF(J950&lt;&gt;"",J950,CuentaPred&amp;""))</f>
        <v/>
      </c>
      <c r="R950" s="52">
        <f>IF(P950="","",IF(ISNUMBER(I950),I950,TasaUSD))</f>
        <v/>
      </c>
      <c r="S950" s="53">
        <f>IF(P950="","",IF(H950="USD",G950*R950,G950))</f>
        <v/>
      </c>
      <c r="T950" s="53">
        <f>IF(P950="","",IF(H950="USD",G950,IF(R950&gt;0,G950/R950,0)))</f>
        <v/>
      </c>
      <c r="U950" s="53">
        <f>IF(P950="","",IF(P950="Gasto",S950,IF(P950="Reembolso",-S950,0)))</f>
        <v/>
      </c>
      <c r="V950" s="53">
        <f>IF(P950="","",IF(P950="Ingreso",S950,0))</f>
        <v/>
      </c>
      <c r="W950" s="53">
        <f>IF(P950="","",IF(P950="Resultado trading",S950,0))</f>
        <v/>
      </c>
      <c r="X950" s="52">
        <f>IF(OR(P950="Gasto",P950="Reembolso"),IF(M950&lt;&gt;"",M950,IFERROR(INDEX(catClasif,MATCH(D950&amp;"|"&amp;E950,catClave,0))&amp;"","Variable")),"")</f>
        <v/>
      </c>
      <c r="Y950" s="52">
        <f>IF(P950="","",IFERROR(INDEX(catGrupo,MATCH(D950&amp;"|"&amp;E950,catClave,0))&amp;"",""))</f>
        <v/>
      </c>
      <c r="Z950" s="52">
        <f>IF(P950="","",WEEKDAY(B950,2))</f>
        <v/>
      </c>
      <c r="AA950" s="52">
        <f>IF(P950="","",IF(AND(P950="Gasto",X950="Variable",D950&lt;&gt;catTrading,S950&gt;0,S950&lt;=Umbral),1,0))</f>
        <v/>
      </c>
      <c r="AB950" s="52">
        <f>IF(OR(P950="",Q950=""),"",IFERROR(IF(INDEX(ctaVinc,MATCH(Q950,ctaNombre,0))&amp;""&lt;&gt;"",INDEX(ctaVinc,MATCH(Q950,ctaNombre,0))&amp;"",Q950),Q950))</f>
        <v/>
      </c>
      <c r="AC950" s="52">
        <f>IF(OR(K950="",AND(P950&lt;&gt;"Transferencia",P950&lt;&gt;"Pago tarjeta")),"",IFERROR(IF(INDEX(ctaVinc,MATCH(K950,ctaNombre,0))&amp;""&lt;&gt;"",INDEX(ctaVinc,MATCH(K950,ctaNombre,0))&amp;"",K950),K950))</f>
        <v/>
      </c>
      <c r="AD950" s="52">
        <f>IF(AB950="","",IFERROR(INDEX(ctaTipo,MATCH(AB950,ctaNombre,0))&amp;"",""))</f>
        <v/>
      </c>
      <c r="AE950" s="52">
        <f>IF(AC950="","",IFERROR(INDEX(ctaTipo,MATCH(AC950,ctaNombre,0))&amp;"",""))</f>
        <v/>
      </c>
      <c r="AF950" s="53">
        <f>IF(OR(P950="",AB950=""),"",IF(OR(P950="Gasto",P950="Transferencia",P950="Pago tarjeta"),-1,1)*IF(IFERROR(INDEX(ctaMoneda,MATCH(AB950,ctaNombre,0))&amp;"","DOP")="USD",T950,S950))</f>
        <v/>
      </c>
      <c r="AG950" s="53">
        <f>IF(AC950="","",IF(IFERROR(INDEX(ctaMoneda,MATCH(AC950,ctaNombre,0))&amp;"","DOP")="USD",T950,S950))</f>
        <v/>
      </c>
      <c r="AH950" s="53">
        <f>IF(P950="","",IF(AND(AD950&lt;&gt;"",COUNTIFS(tcTipo,AD950,tcLiq,"Sí")&gt;0),IF(OR(P950="Gasto",P950="Transferencia",P950="Pago tarjeta"),-1,1)*S950,0)+IF(AND(AE950&lt;&gt;"",COUNTIFS(tcTipo,AE950,tcLiq,"Sí")&gt;0),S950,0))</f>
        <v/>
      </c>
      <c r="AI950" s="52">
        <f>IF(OR(L950="",P950=""),"",IF(COUNTIFS(L$6:L950,L950,P$6:P950,"?*")=1,MAX(AI$5:AI949)+1,""))</f>
        <v/>
      </c>
    </row>
    <row r="951">
      <c r="B951" s="47" t="n"/>
      <c r="C951" s="48" t="n"/>
      <c r="D951" s="48" t="n"/>
      <c r="E951" s="48" t="n"/>
      <c r="F951" s="48" t="n"/>
      <c r="G951" s="49" t="n"/>
      <c r="H951" s="48" t="n"/>
      <c r="I951" s="50" t="n"/>
      <c r="J951" s="48" t="n"/>
      <c r="K951" s="48" t="n"/>
      <c r="L951" s="48" t="n"/>
      <c r="M951" s="48" t="n"/>
      <c r="N951" s="48" t="n"/>
      <c r="O951" s="51">
        <f>IF(AND(B951="",G951="",C951="",D951="",J951=""),"",IF(B951="","⚠ Falta fecha",IF(G951="","⚠ Falta monto",IF(Q951="","⚠ Falta cuenta",IF(ISNA(MATCH(Q951,ctaNombre,0)),"⚠ Cuenta no registrada",IF(AND(OR(P951="Gasto",P951="Reembolso"),D951=""),"⚠ Falta categoría",IF(AND(D951&lt;&gt;"",E951&lt;&gt;"",ISNA(MATCH(D951&amp;"|"&amp;E951,catClave,0))),"⚠ Subcategoría no corresponde",IF(AND(OR(P951="Transferencia",P951="Pago tarjeta"),K951=""),"⚠ Falta cuenta destino",IF(AND(K951&lt;&gt;"",P951&lt;&gt;"Transferencia",P951&lt;&gt;"Pago tarjeta"),"⚠ Destino solo aplica a transferencias",IF(AND(K951&lt;&gt;"",K951=Q951),"⚠ Origen igual a destino",IF(AND(K951&lt;&gt;"",ISNA(MATCH(K951,ctaNombre,0))),"⚠ Destino no registrado",IF(AND(P951="Pago tarjeta",AE951&lt;&gt;"Tarjeta de crédito"),"⚠ El destino debe ser tarjeta de crédito",IF(AND(P951="Gasto",E951="Depósitos y retiros"),"⚠ Usa tipo Transferencia",IF(AND(P951="Resultado trading",AD951&lt;&gt;"Cuenta de trading"),"⚠ Usa una cuenta de trading",IF(AND(G951&lt;=0,P951&lt;&gt;"Ajuste",P951&lt;&gt;"Resultado trading"),"⚠ El monto debe ser positivo","✓")))))))))))))))</f>
        <v/>
      </c>
      <c r="P951" s="52">
        <f>IF(OR(B951="",G951=""),"",IF(C951="","Gasto",C951))</f>
        <v/>
      </c>
      <c r="Q951" s="52">
        <f>IF(P951="","",IF(J951&lt;&gt;"",J951,CuentaPred&amp;""))</f>
        <v/>
      </c>
      <c r="R951" s="52">
        <f>IF(P951="","",IF(ISNUMBER(I951),I951,TasaUSD))</f>
        <v/>
      </c>
      <c r="S951" s="53">
        <f>IF(P951="","",IF(H951="USD",G951*R951,G951))</f>
        <v/>
      </c>
      <c r="T951" s="53">
        <f>IF(P951="","",IF(H951="USD",G951,IF(R951&gt;0,G951/R951,0)))</f>
        <v/>
      </c>
      <c r="U951" s="53">
        <f>IF(P951="","",IF(P951="Gasto",S951,IF(P951="Reembolso",-S951,0)))</f>
        <v/>
      </c>
      <c r="V951" s="53">
        <f>IF(P951="","",IF(P951="Ingreso",S951,0))</f>
        <v/>
      </c>
      <c r="W951" s="53">
        <f>IF(P951="","",IF(P951="Resultado trading",S951,0))</f>
        <v/>
      </c>
      <c r="X951" s="52">
        <f>IF(OR(P951="Gasto",P951="Reembolso"),IF(M951&lt;&gt;"",M951,IFERROR(INDEX(catClasif,MATCH(D951&amp;"|"&amp;E951,catClave,0))&amp;"","Variable")),"")</f>
        <v/>
      </c>
      <c r="Y951" s="52">
        <f>IF(P951="","",IFERROR(INDEX(catGrupo,MATCH(D951&amp;"|"&amp;E951,catClave,0))&amp;"",""))</f>
        <v/>
      </c>
      <c r="Z951" s="52">
        <f>IF(P951="","",WEEKDAY(B951,2))</f>
        <v/>
      </c>
      <c r="AA951" s="52">
        <f>IF(P951="","",IF(AND(P951="Gasto",X951="Variable",D951&lt;&gt;catTrading,S951&gt;0,S951&lt;=Umbral),1,0))</f>
        <v/>
      </c>
      <c r="AB951" s="52">
        <f>IF(OR(P951="",Q951=""),"",IFERROR(IF(INDEX(ctaVinc,MATCH(Q951,ctaNombre,0))&amp;""&lt;&gt;"",INDEX(ctaVinc,MATCH(Q951,ctaNombre,0))&amp;"",Q951),Q951))</f>
        <v/>
      </c>
      <c r="AC951" s="52">
        <f>IF(OR(K951="",AND(P951&lt;&gt;"Transferencia",P951&lt;&gt;"Pago tarjeta")),"",IFERROR(IF(INDEX(ctaVinc,MATCH(K951,ctaNombre,0))&amp;""&lt;&gt;"",INDEX(ctaVinc,MATCH(K951,ctaNombre,0))&amp;"",K951),K951))</f>
        <v/>
      </c>
      <c r="AD951" s="52">
        <f>IF(AB951="","",IFERROR(INDEX(ctaTipo,MATCH(AB951,ctaNombre,0))&amp;"",""))</f>
        <v/>
      </c>
      <c r="AE951" s="52">
        <f>IF(AC951="","",IFERROR(INDEX(ctaTipo,MATCH(AC951,ctaNombre,0))&amp;"",""))</f>
        <v/>
      </c>
      <c r="AF951" s="53">
        <f>IF(OR(P951="",AB951=""),"",IF(OR(P951="Gasto",P951="Transferencia",P951="Pago tarjeta"),-1,1)*IF(IFERROR(INDEX(ctaMoneda,MATCH(AB951,ctaNombre,0))&amp;"","DOP")="USD",T951,S951))</f>
        <v/>
      </c>
      <c r="AG951" s="53">
        <f>IF(AC951="","",IF(IFERROR(INDEX(ctaMoneda,MATCH(AC951,ctaNombre,0))&amp;"","DOP")="USD",T951,S951))</f>
        <v/>
      </c>
      <c r="AH951" s="53">
        <f>IF(P951="","",IF(AND(AD951&lt;&gt;"",COUNTIFS(tcTipo,AD951,tcLiq,"Sí")&gt;0),IF(OR(P951="Gasto",P951="Transferencia",P951="Pago tarjeta"),-1,1)*S951,0)+IF(AND(AE951&lt;&gt;"",COUNTIFS(tcTipo,AE951,tcLiq,"Sí")&gt;0),S951,0))</f>
        <v/>
      </c>
      <c r="AI951" s="52">
        <f>IF(OR(L951="",P951=""),"",IF(COUNTIFS(L$6:L951,L951,P$6:P951,"?*")=1,MAX(AI$5:AI950)+1,""))</f>
        <v/>
      </c>
    </row>
    <row r="952">
      <c r="B952" s="47" t="n"/>
      <c r="C952" s="48" t="n"/>
      <c r="D952" s="48" t="n"/>
      <c r="E952" s="48" t="n"/>
      <c r="F952" s="48" t="n"/>
      <c r="G952" s="49" t="n"/>
      <c r="H952" s="48" t="n"/>
      <c r="I952" s="50" t="n"/>
      <c r="J952" s="48" t="n"/>
      <c r="K952" s="48" t="n"/>
      <c r="L952" s="48" t="n"/>
      <c r="M952" s="48" t="n"/>
      <c r="N952" s="48" t="n"/>
      <c r="O952" s="51">
        <f>IF(AND(B952="",G952="",C952="",D952="",J952=""),"",IF(B952="","⚠ Falta fecha",IF(G952="","⚠ Falta monto",IF(Q952="","⚠ Falta cuenta",IF(ISNA(MATCH(Q952,ctaNombre,0)),"⚠ Cuenta no registrada",IF(AND(OR(P952="Gasto",P952="Reembolso"),D952=""),"⚠ Falta categoría",IF(AND(D952&lt;&gt;"",E952&lt;&gt;"",ISNA(MATCH(D952&amp;"|"&amp;E952,catClave,0))),"⚠ Subcategoría no corresponde",IF(AND(OR(P952="Transferencia",P952="Pago tarjeta"),K952=""),"⚠ Falta cuenta destino",IF(AND(K952&lt;&gt;"",P952&lt;&gt;"Transferencia",P952&lt;&gt;"Pago tarjeta"),"⚠ Destino solo aplica a transferencias",IF(AND(K952&lt;&gt;"",K952=Q952),"⚠ Origen igual a destino",IF(AND(K952&lt;&gt;"",ISNA(MATCH(K952,ctaNombre,0))),"⚠ Destino no registrado",IF(AND(P952="Pago tarjeta",AE952&lt;&gt;"Tarjeta de crédito"),"⚠ El destino debe ser tarjeta de crédito",IF(AND(P952="Gasto",E952="Depósitos y retiros"),"⚠ Usa tipo Transferencia",IF(AND(P952="Resultado trading",AD952&lt;&gt;"Cuenta de trading"),"⚠ Usa una cuenta de trading",IF(AND(G952&lt;=0,P952&lt;&gt;"Ajuste",P952&lt;&gt;"Resultado trading"),"⚠ El monto debe ser positivo","✓")))))))))))))))</f>
        <v/>
      </c>
      <c r="P952" s="52">
        <f>IF(OR(B952="",G952=""),"",IF(C952="","Gasto",C952))</f>
        <v/>
      </c>
      <c r="Q952" s="52">
        <f>IF(P952="","",IF(J952&lt;&gt;"",J952,CuentaPred&amp;""))</f>
        <v/>
      </c>
      <c r="R952" s="52">
        <f>IF(P952="","",IF(ISNUMBER(I952),I952,TasaUSD))</f>
        <v/>
      </c>
      <c r="S952" s="53">
        <f>IF(P952="","",IF(H952="USD",G952*R952,G952))</f>
        <v/>
      </c>
      <c r="T952" s="53">
        <f>IF(P952="","",IF(H952="USD",G952,IF(R952&gt;0,G952/R952,0)))</f>
        <v/>
      </c>
      <c r="U952" s="53">
        <f>IF(P952="","",IF(P952="Gasto",S952,IF(P952="Reembolso",-S952,0)))</f>
        <v/>
      </c>
      <c r="V952" s="53">
        <f>IF(P952="","",IF(P952="Ingreso",S952,0))</f>
        <v/>
      </c>
      <c r="W952" s="53">
        <f>IF(P952="","",IF(P952="Resultado trading",S952,0))</f>
        <v/>
      </c>
      <c r="X952" s="52">
        <f>IF(OR(P952="Gasto",P952="Reembolso"),IF(M952&lt;&gt;"",M952,IFERROR(INDEX(catClasif,MATCH(D952&amp;"|"&amp;E952,catClave,0))&amp;"","Variable")),"")</f>
        <v/>
      </c>
      <c r="Y952" s="52">
        <f>IF(P952="","",IFERROR(INDEX(catGrupo,MATCH(D952&amp;"|"&amp;E952,catClave,0))&amp;"",""))</f>
        <v/>
      </c>
      <c r="Z952" s="52">
        <f>IF(P952="","",WEEKDAY(B952,2))</f>
        <v/>
      </c>
      <c r="AA952" s="52">
        <f>IF(P952="","",IF(AND(P952="Gasto",X952="Variable",D952&lt;&gt;catTrading,S952&gt;0,S952&lt;=Umbral),1,0))</f>
        <v/>
      </c>
      <c r="AB952" s="52">
        <f>IF(OR(P952="",Q952=""),"",IFERROR(IF(INDEX(ctaVinc,MATCH(Q952,ctaNombre,0))&amp;""&lt;&gt;"",INDEX(ctaVinc,MATCH(Q952,ctaNombre,0))&amp;"",Q952),Q952))</f>
        <v/>
      </c>
      <c r="AC952" s="52">
        <f>IF(OR(K952="",AND(P952&lt;&gt;"Transferencia",P952&lt;&gt;"Pago tarjeta")),"",IFERROR(IF(INDEX(ctaVinc,MATCH(K952,ctaNombre,0))&amp;""&lt;&gt;"",INDEX(ctaVinc,MATCH(K952,ctaNombre,0))&amp;"",K952),K952))</f>
        <v/>
      </c>
      <c r="AD952" s="52">
        <f>IF(AB952="","",IFERROR(INDEX(ctaTipo,MATCH(AB952,ctaNombre,0))&amp;"",""))</f>
        <v/>
      </c>
      <c r="AE952" s="52">
        <f>IF(AC952="","",IFERROR(INDEX(ctaTipo,MATCH(AC952,ctaNombre,0))&amp;"",""))</f>
        <v/>
      </c>
      <c r="AF952" s="53">
        <f>IF(OR(P952="",AB952=""),"",IF(OR(P952="Gasto",P952="Transferencia",P952="Pago tarjeta"),-1,1)*IF(IFERROR(INDEX(ctaMoneda,MATCH(AB952,ctaNombre,0))&amp;"","DOP")="USD",T952,S952))</f>
        <v/>
      </c>
      <c r="AG952" s="53">
        <f>IF(AC952="","",IF(IFERROR(INDEX(ctaMoneda,MATCH(AC952,ctaNombre,0))&amp;"","DOP")="USD",T952,S952))</f>
        <v/>
      </c>
      <c r="AH952" s="53">
        <f>IF(P952="","",IF(AND(AD952&lt;&gt;"",COUNTIFS(tcTipo,AD952,tcLiq,"Sí")&gt;0),IF(OR(P952="Gasto",P952="Transferencia",P952="Pago tarjeta"),-1,1)*S952,0)+IF(AND(AE952&lt;&gt;"",COUNTIFS(tcTipo,AE952,tcLiq,"Sí")&gt;0),S952,0))</f>
        <v/>
      </c>
      <c r="AI952" s="52">
        <f>IF(OR(L952="",P952=""),"",IF(COUNTIFS(L$6:L952,L952,P$6:P952,"?*")=1,MAX(AI$5:AI951)+1,""))</f>
        <v/>
      </c>
    </row>
    <row r="953">
      <c r="B953" s="47" t="n"/>
      <c r="C953" s="48" t="n"/>
      <c r="D953" s="48" t="n"/>
      <c r="E953" s="48" t="n"/>
      <c r="F953" s="48" t="n"/>
      <c r="G953" s="49" t="n"/>
      <c r="H953" s="48" t="n"/>
      <c r="I953" s="50" t="n"/>
      <c r="J953" s="48" t="n"/>
      <c r="K953" s="48" t="n"/>
      <c r="L953" s="48" t="n"/>
      <c r="M953" s="48" t="n"/>
      <c r="N953" s="48" t="n"/>
      <c r="O953" s="51">
        <f>IF(AND(B953="",G953="",C953="",D953="",J953=""),"",IF(B953="","⚠ Falta fecha",IF(G953="","⚠ Falta monto",IF(Q953="","⚠ Falta cuenta",IF(ISNA(MATCH(Q953,ctaNombre,0)),"⚠ Cuenta no registrada",IF(AND(OR(P953="Gasto",P953="Reembolso"),D953=""),"⚠ Falta categoría",IF(AND(D953&lt;&gt;"",E953&lt;&gt;"",ISNA(MATCH(D953&amp;"|"&amp;E953,catClave,0))),"⚠ Subcategoría no corresponde",IF(AND(OR(P953="Transferencia",P953="Pago tarjeta"),K953=""),"⚠ Falta cuenta destino",IF(AND(K953&lt;&gt;"",P953&lt;&gt;"Transferencia",P953&lt;&gt;"Pago tarjeta"),"⚠ Destino solo aplica a transferencias",IF(AND(K953&lt;&gt;"",K953=Q953),"⚠ Origen igual a destino",IF(AND(K953&lt;&gt;"",ISNA(MATCH(K953,ctaNombre,0))),"⚠ Destino no registrado",IF(AND(P953="Pago tarjeta",AE953&lt;&gt;"Tarjeta de crédito"),"⚠ El destino debe ser tarjeta de crédito",IF(AND(P953="Gasto",E953="Depósitos y retiros"),"⚠ Usa tipo Transferencia",IF(AND(P953="Resultado trading",AD953&lt;&gt;"Cuenta de trading"),"⚠ Usa una cuenta de trading",IF(AND(G953&lt;=0,P953&lt;&gt;"Ajuste",P953&lt;&gt;"Resultado trading"),"⚠ El monto debe ser positivo","✓")))))))))))))))</f>
        <v/>
      </c>
      <c r="P953" s="52">
        <f>IF(OR(B953="",G953=""),"",IF(C953="","Gasto",C953))</f>
        <v/>
      </c>
      <c r="Q953" s="52">
        <f>IF(P953="","",IF(J953&lt;&gt;"",J953,CuentaPred&amp;""))</f>
        <v/>
      </c>
      <c r="R953" s="52">
        <f>IF(P953="","",IF(ISNUMBER(I953),I953,TasaUSD))</f>
        <v/>
      </c>
      <c r="S953" s="53">
        <f>IF(P953="","",IF(H953="USD",G953*R953,G953))</f>
        <v/>
      </c>
      <c r="T953" s="53">
        <f>IF(P953="","",IF(H953="USD",G953,IF(R953&gt;0,G953/R953,0)))</f>
        <v/>
      </c>
      <c r="U953" s="53">
        <f>IF(P953="","",IF(P953="Gasto",S953,IF(P953="Reembolso",-S953,0)))</f>
        <v/>
      </c>
      <c r="V953" s="53">
        <f>IF(P953="","",IF(P953="Ingreso",S953,0))</f>
        <v/>
      </c>
      <c r="W953" s="53">
        <f>IF(P953="","",IF(P953="Resultado trading",S953,0))</f>
        <v/>
      </c>
      <c r="X953" s="52">
        <f>IF(OR(P953="Gasto",P953="Reembolso"),IF(M953&lt;&gt;"",M953,IFERROR(INDEX(catClasif,MATCH(D953&amp;"|"&amp;E953,catClave,0))&amp;"","Variable")),"")</f>
        <v/>
      </c>
      <c r="Y953" s="52">
        <f>IF(P953="","",IFERROR(INDEX(catGrupo,MATCH(D953&amp;"|"&amp;E953,catClave,0))&amp;"",""))</f>
        <v/>
      </c>
      <c r="Z953" s="52">
        <f>IF(P953="","",WEEKDAY(B953,2))</f>
        <v/>
      </c>
      <c r="AA953" s="52">
        <f>IF(P953="","",IF(AND(P953="Gasto",X953="Variable",D953&lt;&gt;catTrading,S953&gt;0,S953&lt;=Umbral),1,0))</f>
        <v/>
      </c>
      <c r="AB953" s="52">
        <f>IF(OR(P953="",Q953=""),"",IFERROR(IF(INDEX(ctaVinc,MATCH(Q953,ctaNombre,0))&amp;""&lt;&gt;"",INDEX(ctaVinc,MATCH(Q953,ctaNombre,0))&amp;"",Q953),Q953))</f>
        <v/>
      </c>
      <c r="AC953" s="52">
        <f>IF(OR(K953="",AND(P953&lt;&gt;"Transferencia",P953&lt;&gt;"Pago tarjeta")),"",IFERROR(IF(INDEX(ctaVinc,MATCH(K953,ctaNombre,0))&amp;""&lt;&gt;"",INDEX(ctaVinc,MATCH(K953,ctaNombre,0))&amp;"",K953),K953))</f>
        <v/>
      </c>
      <c r="AD953" s="52">
        <f>IF(AB953="","",IFERROR(INDEX(ctaTipo,MATCH(AB953,ctaNombre,0))&amp;"",""))</f>
        <v/>
      </c>
      <c r="AE953" s="52">
        <f>IF(AC953="","",IFERROR(INDEX(ctaTipo,MATCH(AC953,ctaNombre,0))&amp;"",""))</f>
        <v/>
      </c>
      <c r="AF953" s="53">
        <f>IF(OR(P953="",AB953=""),"",IF(OR(P953="Gasto",P953="Transferencia",P953="Pago tarjeta"),-1,1)*IF(IFERROR(INDEX(ctaMoneda,MATCH(AB953,ctaNombre,0))&amp;"","DOP")="USD",T953,S953))</f>
        <v/>
      </c>
      <c r="AG953" s="53">
        <f>IF(AC953="","",IF(IFERROR(INDEX(ctaMoneda,MATCH(AC953,ctaNombre,0))&amp;"","DOP")="USD",T953,S953))</f>
        <v/>
      </c>
      <c r="AH953" s="53">
        <f>IF(P953="","",IF(AND(AD953&lt;&gt;"",COUNTIFS(tcTipo,AD953,tcLiq,"Sí")&gt;0),IF(OR(P953="Gasto",P953="Transferencia",P953="Pago tarjeta"),-1,1)*S953,0)+IF(AND(AE953&lt;&gt;"",COUNTIFS(tcTipo,AE953,tcLiq,"Sí")&gt;0),S953,0))</f>
        <v/>
      </c>
      <c r="AI953" s="52">
        <f>IF(OR(L953="",P953=""),"",IF(COUNTIFS(L$6:L953,L953,P$6:P953,"?*")=1,MAX(AI$5:AI952)+1,""))</f>
        <v/>
      </c>
    </row>
    <row r="954">
      <c r="B954" s="47" t="n"/>
      <c r="C954" s="48" t="n"/>
      <c r="D954" s="48" t="n"/>
      <c r="E954" s="48" t="n"/>
      <c r="F954" s="48" t="n"/>
      <c r="G954" s="49" t="n"/>
      <c r="H954" s="48" t="n"/>
      <c r="I954" s="50" t="n"/>
      <c r="J954" s="48" t="n"/>
      <c r="K954" s="48" t="n"/>
      <c r="L954" s="48" t="n"/>
      <c r="M954" s="48" t="n"/>
      <c r="N954" s="48" t="n"/>
      <c r="O954" s="51">
        <f>IF(AND(B954="",G954="",C954="",D954="",J954=""),"",IF(B954="","⚠ Falta fecha",IF(G954="","⚠ Falta monto",IF(Q954="","⚠ Falta cuenta",IF(ISNA(MATCH(Q954,ctaNombre,0)),"⚠ Cuenta no registrada",IF(AND(OR(P954="Gasto",P954="Reembolso"),D954=""),"⚠ Falta categoría",IF(AND(D954&lt;&gt;"",E954&lt;&gt;"",ISNA(MATCH(D954&amp;"|"&amp;E954,catClave,0))),"⚠ Subcategoría no corresponde",IF(AND(OR(P954="Transferencia",P954="Pago tarjeta"),K954=""),"⚠ Falta cuenta destino",IF(AND(K954&lt;&gt;"",P954&lt;&gt;"Transferencia",P954&lt;&gt;"Pago tarjeta"),"⚠ Destino solo aplica a transferencias",IF(AND(K954&lt;&gt;"",K954=Q954),"⚠ Origen igual a destino",IF(AND(K954&lt;&gt;"",ISNA(MATCH(K954,ctaNombre,0))),"⚠ Destino no registrado",IF(AND(P954="Pago tarjeta",AE954&lt;&gt;"Tarjeta de crédito"),"⚠ El destino debe ser tarjeta de crédito",IF(AND(P954="Gasto",E954="Depósitos y retiros"),"⚠ Usa tipo Transferencia",IF(AND(P954="Resultado trading",AD954&lt;&gt;"Cuenta de trading"),"⚠ Usa una cuenta de trading",IF(AND(G954&lt;=0,P954&lt;&gt;"Ajuste",P954&lt;&gt;"Resultado trading"),"⚠ El monto debe ser positivo","✓")))))))))))))))</f>
        <v/>
      </c>
      <c r="P954" s="52">
        <f>IF(OR(B954="",G954=""),"",IF(C954="","Gasto",C954))</f>
        <v/>
      </c>
      <c r="Q954" s="52">
        <f>IF(P954="","",IF(J954&lt;&gt;"",J954,CuentaPred&amp;""))</f>
        <v/>
      </c>
      <c r="R954" s="52">
        <f>IF(P954="","",IF(ISNUMBER(I954),I954,TasaUSD))</f>
        <v/>
      </c>
      <c r="S954" s="53">
        <f>IF(P954="","",IF(H954="USD",G954*R954,G954))</f>
        <v/>
      </c>
      <c r="T954" s="53">
        <f>IF(P954="","",IF(H954="USD",G954,IF(R954&gt;0,G954/R954,0)))</f>
        <v/>
      </c>
      <c r="U954" s="53">
        <f>IF(P954="","",IF(P954="Gasto",S954,IF(P954="Reembolso",-S954,0)))</f>
        <v/>
      </c>
      <c r="V954" s="53">
        <f>IF(P954="","",IF(P954="Ingreso",S954,0))</f>
        <v/>
      </c>
      <c r="W954" s="53">
        <f>IF(P954="","",IF(P954="Resultado trading",S954,0))</f>
        <v/>
      </c>
      <c r="X954" s="52">
        <f>IF(OR(P954="Gasto",P954="Reembolso"),IF(M954&lt;&gt;"",M954,IFERROR(INDEX(catClasif,MATCH(D954&amp;"|"&amp;E954,catClave,0))&amp;"","Variable")),"")</f>
        <v/>
      </c>
      <c r="Y954" s="52">
        <f>IF(P954="","",IFERROR(INDEX(catGrupo,MATCH(D954&amp;"|"&amp;E954,catClave,0))&amp;"",""))</f>
        <v/>
      </c>
      <c r="Z954" s="52">
        <f>IF(P954="","",WEEKDAY(B954,2))</f>
        <v/>
      </c>
      <c r="AA954" s="52">
        <f>IF(P954="","",IF(AND(P954="Gasto",X954="Variable",D954&lt;&gt;catTrading,S954&gt;0,S954&lt;=Umbral),1,0))</f>
        <v/>
      </c>
      <c r="AB954" s="52">
        <f>IF(OR(P954="",Q954=""),"",IFERROR(IF(INDEX(ctaVinc,MATCH(Q954,ctaNombre,0))&amp;""&lt;&gt;"",INDEX(ctaVinc,MATCH(Q954,ctaNombre,0))&amp;"",Q954),Q954))</f>
        <v/>
      </c>
      <c r="AC954" s="52">
        <f>IF(OR(K954="",AND(P954&lt;&gt;"Transferencia",P954&lt;&gt;"Pago tarjeta")),"",IFERROR(IF(INDEX(ctaVinc,MATCH(K954,ctaNombre,0))&amp;""&lt;&gt;"",INDEX(ctaVinc,MATCH(K954,ctaNombre,0))&amp;"",K954),K954))</f>
        <v/>
      </c>
      <c r="AD954" s="52">
        <f>IF(AB954="","",IFERROR(INDEX(ctaTipo,MATCH(AB954,ctaNombre,0))&amp;"",""))</f>
        <v/>
      </c>
      <c r="AE954" s="52">
        <f>IF(AC954="","",IFERROR(INDEX(ctaTipo,MATCH(AC954,ctaNombre,0))&amp;"",""))</f>
        <v/>
      </c>
      <c r="AF954" s="53">
        <f>IF(OR(P954="",AB954=""),"",IF(OR(P954="Gasto",P954="Transferencia",P954="Pago tarjeta"),-1,1)*IF(IFERROR(INDEX(ctaMoneda,MATCH(AB954,ctaNombre,0))&amp;"","DOP")="USD",T954,S954))</f>
        <v/>
      </c>
      <c r="AG954" s="53">
        <f>IF(AC954="","",IF(IFERROR(INDEX(ctaMoneda,MATCH(AC954,ctaNombre,0))&amp;"","DOP")="USD",T954,S954))</f>
        <v/>
      </c>
      <c r="AH954" s="53">
        <f>IF(P954="","",IF(AND(AD954&lt;&gt;"",COUNTIFS(tcTipo,AD954,tcLiq,"Sí")&gt;0),IF(OR(P954="Gasto",P954="Transferencia",P954="Pago tarjeta"),-1,1)*S954,0)+IF(AND(AE954&lt;&gt;"",COUNTIFS(tcTipo,AE954,tcLiq,"Sí")&gt;0),S954,0))</f>
        <v/>
      </c>
      <c r="AI954" s="52">
        <f>IF(OR(L954="",P954=""),"",IF(COUNTIFS(L$6:L954,L954,P$6:P954,"?*")=1,MAX(AI$5:AI953)+1,""))</f>
        <v/>
      </c>
    </row>
    <row r="955">
      <c r="B955" s="47" t="n"/>
      <c r="C955" s="48" t="n"/>
      <c r="D955" s="48" t="n"/>
      <c r="E955" s="48" t="n"/>
      <c r="F955" s="48" t="n"/>
      <c r="G955" s="49" t="n"/>
      <c r="H955" s="48" t="n"/>
      <c r="I955" s="50" t="n"/>
      <c r="J955" s="48" t="n"/>
      <c r="K955" s="48" t="n"/>
      <c r="L955" s="48" t="n"/>
      <c r="M955" s="48" t="n"/>
      <c r="N955" s="48" t="n"/>
      <c r="O955" s="51">
        <f>IF(AND(B955="",G955="",C955="",D955="",J955=""),"",IF(B955="","⚠ Falta fecha",IF(G955="","⚠ Falta monto",IF(Q955="","⚠ Falta cuenta",IF(ISNA(MATCH(Q955,ctaNombre,0)),"⚠ Cuenta no registrada",IF(AND(OR(P955="Gasto",P955="Reembolso"),D955=""),"⚠ Falta categoría",IF(AND(D955&lt;&gt;"",E955&lt;&gt;"",ISNA(MATCH(D955&amp;"|"&amp;E955,catClave,0))),"⚠ Subcategoría no corresponde",IF(AND(OR(P955="Transferencia",P955="Pago tarjeta"),K955=""),"⚠ Falta cuenta destino",IF(AND(K955&lt;&gt;"",P955&lt;&gt;"Transferencia",P955&lt;&gt;"Pago tarjeta"),"⚠ Destino solo aplica a transferencias",IF(AND(K955&lt;&gt;"",K955=Q955),"⚠ Origen igual a destino",IF(AND(K955&lt;&gt;"",ISNA(MATCH(K955,ctaNombre,0))),"⚠ Destino no registrado",IF(AND(P955="Pago tarjeta",AE955&lt;&gt;"Tarjeta de crédito"),"⚠ El destino debe ser tarjeta de crédito",IF(AND(P955="Gasto",E955="Depósitos y retiros"),"⚠ Usa tipo Transferencia",IF(AND(P955="Resultado trading",AD955&lt;&gt;"Cuenta de trading"),"⚠ Usa una cuenta de trading",IF(AND(G955&lt;=0,P955&lt;&gt;"Ajuste",P955&lt;&gt;"Resultado trading"),"⚠ El monto debe ser positivo","✓")))))))))))))))</f>
        <v/>
      </c>
      <c r="P955" s="52">
        <f>IF(OR(B955="",G955=""),"",IF(C955="","Gasto",C955))</f>
        <v/>
      </c>
      <c r="Q955" s="52">
        <f>IF(P955="","",IF(J955&lt;&gt;"",J955,CuentaPred&amp;""))</f>
        <v/>
      </c>
      <c r="R955" s="52">
        <f>IF(P955="","",IF(ISNUMBER(I955),I955,TasaUSD))</f>
        <v/>
      </c>
      <c r="S955" s="53">
        <f>IF(P955="","",IF(H955="USD",G955*R955,G955))</f>
        <v/>
      </c>
      <c r="T955" s="53">
        <f>IF(P955="","",IF(H955="USD",G955,IF(R955&gt;0,G955/R955,0)))</f>
        <v/>
      </c>
      <c r="U955" s="53">
        <f>IF(P955="","",IF(P955="Gasto",S955,IF(P955="Reembolso",-S955,0)))</f>
        <v/>
      </c>
      <c r="V955" s="53">
        <f>IF(P955="","",IF(P955="Ingreso",S955,0))</f>
        <v/>
      </c>
      <c r="W955" s="53">
        <f>IF(P955="","",IF(P955="Resultado trading",S955,0))</f>
        <v/>
      </c>
      <c r="X955" s="52">
        <f>IF(OR(P955="Gasto",P955="Reembolso"),IF(M955&lt;&gt;"",M955,IFERROR(INDEX(catClasif,MATCH(D955&amp;"|"&amp;E955,catClave,0))&amp;"","Variable")),"")</f>
        <v/>
      </c>
      <c r="Y955" s="52">
        <f>IF(P955="","",IFERROR(INDEX(catGrupo,MATCH(D955&amp;"|"&amp;E955,catClave,0))&amp;"",""))</f>
        <v/>
      </c>
      <c r="Z955" s="52">
        <f>IF(P955="","",WEEKDAY(B955,2))</f>
        <v/>
      </c>
      <c r="AA955" s="52">
        <f>IF(P955="","",IF(AND(P955="Gasto",X955="Variable",D955&lt;&gt;catTrading,S955&gt;0,S955&lt;=Umbral),1,0))</f>
        <v/>
      </c>
      <c r="AB955" s="52">
        <f>IF(OR(P955="",Q955=""),"",IFERROR(IF(INDEX(ctaVinc,MATCH(Q955,ctaNombre,0))&amp;""&lt;&gt;"",INDEX(ctaVinc,MATCH(Q955,ctaNombre,0))&amp;"",Q955),Q955))</f>
        <v/>
      </c>
      <c r="AC955" s="52">
        <f>IF(OR(K955="",AND(P955&lt;&gt;"Transferencia",P955&lt;&gt;"Pago tarjeta")),"",IFERROR(IF(INDEX(ctaVinc,MATCH(K955,ctaNombre,0))&amp;""&lt;&gt;"",INDEX(ctaVinc,MATCH(K955,ctaNombre,0))&amp;"",K955),K955))</f>
        <v/>
      </c>
      <c r="AD955" s="52">
        <f>IF(AB955="","",IFERROR(INDEX(ctaTipo,MATCH(AB955,ctaNombre,0))&amp;"",""))</f>
        <v/>
      </c>
      <c r="AE955" s="52">
        <f>IF(AC955="","",IFERROR(INDEX(ctaTipo,MATCH(AC955,ctaNombre,0))&amp;"",""))</f>
        <v/>
      </c>
      <c r="AF955" s="53">
        <f>IF(OR(P955="",AB955=""),"",IF(OR(P955="Gasto",P955="Transferencia",P955="Pago tarjeta"),-1,1)*IF(IFERROR(INDEX(ctaMoneda,MATCH(AB955,ctaNombre,0))&amp;"","DOP")="USD",T955,S955))</f>
        <v/>
      </c>
      <c r="AG955" s="53">
        <f>IF(AC955="","",IF(IFERROR(INDEX(ctaMoneda,MATCH(AC955,ctaNombre,0))&amp;"","DOP")="USD",T955,S955))</f>
        <v/>
      </c>
      <c r="AH955" s="53">
        <f>IF(P955="","",IF(AND(AD955&lt;&gt;"",COUNTIFS(tcTipo,AD955,tcLiq,"Sí")&gt;0),IF(OR(P955="Gasto",P955="Transferencia",P955="Pago tarjeta"),-1,1)*S955,0)+IF(AND(AE955&lt;&gt;"",COUNTIFS(tcTipo,AE955,tcLiq,"Sí")&gt;0),S955,0))</f>
        <v/>
      </c>
      <c r="AI955" s="52">
        <f>IF(OR(L955="",P955=""),"",IF(COUNTIFS(L$6:L955,L955,P$6:P955,"?*")=1,MAX(AI$5:AI954)+1,""))</f>
        <v/>
      </c>
    </row>
    <row r="956">
      <c r="B956" s="47" t="n"/>
      <c r="C956" s="48" t="n"/>
      <c r="D956" s="48" t="n"/>
      <c r="E956" s="48" t="n"/>
      <c r="F956" s="48" t="n"/>
      <c r="G956" s="49" t="n"/>
      <c r="H956" s="48" t="n"/>
      <c r="I956" s="50" t="n"/>
      <c r="J956" s="48" t="n"/>
      <c r="K956" s="48" t="n"/>
      <c r="L956" s="48" t="n"/>
      <c r="M956" s="48" t="n"/>
      <c r="N956" s="48" t="n"/>
      <c r="O956" s="51">
        <f>IF(AND(B956="",G956="",C956="",D956="",J956=""),"",IF(B956="","⚠ Falta fecha",IF(G956="","⚠ Falta monto",IF(Q956="","⚠ Falta cuenta",IF(ISNA(MATCH(Q956,ctaNombre,0)),"⚠ Cuenta no registrada",IF(AND(OR(P956="Gasto",P956="Reembolso"),D956=""),"⚠ Falta categoría",IF(AND(D956&lt;&gt;"",E956&lt;&gt;"",ISNA(MATCH(D956&amp;"|"&amp;E956,catClave,0))),"⚠ Subcategoría no corresponde",IF(AND(OR(P956="Transferencia",P956="Pago tarjeta"),K956=""),"⚠ Falta cuenta destino",IF(AND(K956&lt;&gt;"",P956&lt;&gt;"Transferencia",P956&lt;&gt;"Pago tarjeta"),"⚠ Destino solo aplica a transferencias",IF(AND(K956&lt;&gt;"",K956=Q956),"⚠ Origen igual a destino",IF(AND(K956&lt;&gt;"",ISNA(MATCH(K956,ctaNombre,0))),"⚠ Destino no registrado",IF(AND(P956="Pago tarjeta",AE956&lt;&gt;"Tarjeta de crédito"),"⚠ El destino debe ser tarjeta de crédito",IF(AND(P956="Gasto",E956="Depósitos y retiros"),"⚠ Usa tipo Transferencia",IF(AND(P956="Resultado trading",AD956&lt;&gt;"Cuenta de trading"),"⚠ Usa una cuenta de trading",IF(AND(G956&lt;=0,P956&lt;&gt;"Ajuste",P956&lt;&gt;"Resultado trading"),"⚠ El monto debe ser positivo","✓")))))))))))))))</f>
        <v/>
      </c>
      <c r="P956" s="52">
        <f>IF(OR(B956="",G956=""),"",IF(C956="","Gasto",C956))</f>
        <v/>
      </c>
      <c r="Q956" s="52">
        <f>IF(P956="","",IF(J956&lt;&gt;"",J956,CuentaPred&amp;""))</f>
        <v/>
      </c>
      <c r="R956" s="52">
        <f>IF(P956="","",IF(ISNUMBER(I956),I956,TasaUSD))</f>
        <v/>
      </c>
      <c r="S956" s="53">
        <f>IF(P956="","",IF(H956="USD",G956*R956,G956))</f>
        <v/>
      </c>
      <c r="T956" s="53">
        <f>IF(P956="","",IF(H956="USD",G956,IF(R956&gt;0,G956/R956,0)))</f>
        <v/>
      </c>
      <c r="U956" s="53">
        <f>IF(P956="","",IF(P956="Gasto",S956,IF(P956="Reembolso",-S956,0)))</f>
        <v/>
      </c>
      <c r="V956" s="53">
        <f>IF(P956="","",IF(P956="Ingreso",S956,0))</f>
        <v/>
      </c>
      <c r="W956" s="53">
        <f>IF(P956="","",IF(P956="Resultado trading",S956,0))</f>
        <v/>
      </c>
      <c r="X956" s="52">
        <f>IF(OR(P956="Gasto",P956="Reembolso"),IF(M956&lt;&gt;"",M956,IFERROR(INDEX(catClasif,MATCH(D956&amp;"|"&amp;E956,catClave,0))&amp;"","Variable")),"")</f>
        <v/>
      </c>
      <c r="Y956" s="52">
        <f>IF(P956="","",IFERROR(INDEX(catGrupo,MATCH(D956&amp;"|"&amp;E956,catClave,0))&amp;"",""))</f>
        <v/>
      </c>
      <c r="Z956" s="52">
        <f>IF(P956="","",WEEKDAY(B956,2))</f>
        <v/>
      </c>
      <c r="AA956" s="52">
        <f>IF(P956="","",IF(AND(P956="Gasto",X956="Variable",D956&lt;&gt;catTrading,S956&gt;0,S956&lt;=Umbral),1,0))</f>
        <v/>
      </c>
      <c r="AB956" s="52">
        <f>IF(OR(P956="",Q956=""),"",IFERROR(IF(INDEX(ctaVinc,MATCH(Q956,ctaNombre,0))&amp;""&lt;&gt;"",INDEX(ctaVinc,MATCH(Q956,ctaNombre,0))&amp;"",Q956),Q956))</f>
        <v/>
      </c>
      <c r="AC956" s="52">
        <f>IF(OR(K956="",AND(P956&lt;&gt;"Transferencia",P956&lt;&gt;"Pago tarjeta")),"",IFERROR(IF(INDEX(ctaVinc,MATCH(K956,ctaNombre,0))&amp;""&lt;&gt;"",INDEX(ctaVinc,MATCH(K956,ctaNombre,0))&amp;"",K956),K956))</f>
        <v/>
      </c>
      <c r="AD956" s="52">
        <f>IF(AB956="","",IFERROR(INDEX(ctaTipo,MATCH(AB956,ctaNombre,0))&amp;"",""))</f>
        <v/>
      </c>
      <c r="AE956" s="52">
        <f>IF(AC956="","",IFERROR(INDEX(ctaTipo,MATCH(AC956,ctaNombre,0))&amp;"",""))</f>
        <v/>
      </c>
      <c r="AF956" s="53">
        <f>IF(OR(P956="",AB956=""),"",IF(OR(P956="Gasto",P956="Transferencia",P956="Pago tarjeta"),-1,1)*IF(IFERROR(INDEX(ctaMoneda,MATCH(AB956,ctaNombre,0))&amp;"","DOP")="USD",T956,S956))</f>
        <v/>
      </c>
      <c r="AG956" s="53">
        <f>IF(AC956="","",IF(IFERROR(INDEX(ctaMoneda,MATCH(AC956,ctaNombre,0))&amp;"","DOP")="USD",T956,S956))</f>
        <v/>
      </c>
      <c r="AH956" s="53">
        <f>IF(P956="","",IF(AND(AD956&lt;&gt;"",COUNTIFS(tcTipo,AD956,tcLiq,"Sí")&gt;0),IF(OR(P956="Gasto",P956="Transferencia",P956="Pago tarjeta"),-1,1)*S956,0)+IF(AND(AE956&lt;&gt;"",COUNTIFS(tcTipo,AE956,tcLiq,"Sí")&gt;0),S956,0))</f>
        <v/>
      </c>
      <c r="AI956" s="52">
        <f>IF(OR(L956="",P956=""),"",IF(COUNTIFS(L$6:L956,L956,P$6:P956,"?*")=1,MAX(AI$5:AI955)+1,""))</f>
        <v/>
      </c>
    </row>
    <row r="957">
      <c r="B957" s="47" t="n"/>
      <c r="C957" s="48" t="n"/>
      <c r="D957" s="48" t="n"/>
      <c r="E957" s="48" t="n"/>
      <c r="F957" s="48" t="n"/>
      <c r="G957" s="49" t="n"/>
      <c r="H957" s="48" t="n"/>
      <c r="I957" s="50" t="n"/>
      <c r="J957" s="48" t="n"/>
      <c r="K957" s="48" t="n"/>
      <c r="L957" s="48" t="n"/>
      <c r="M957" s="48" t="n"/>
      <c r="N957" s="48" t="n"/>
      <c r="O957" s="51">
        <f>IF(AND(B957="",G957="",C957="",D957="",J957=""),"",IF(B957="","⚠ Falta fecha",IF(G957="","⚠ Falta monto",IF(Q957="","⚠ Falta cuenta",IF(ISNA(MATCH(Q957,ctaNombre,0)),"⚠ Cuenta no registrada",IF(AND(OR(P957="Gasto",P957="Reembolso"),D957=""),"⚠ Falta categoría",IF(AND(D957&lt;&gt;"",E957&lt;&gt;"",ISNA(MATCH(D957&amp;"|"&amp;E957,catClave,0))),"⚠ Subcategoría no corresponde",IF(AND(OR(P957="Transferencia",P957="Pago tarjeta"),K957=""),"⚠ Falta cuenta destino",IF(AND(K957&lt;&gt;"",P957&lt;&gt;"Transferencia",P957&lt;&gt;"Pago tarjeta"),"⚠ Destino solo aplica a transferencias",IF(AND(K957&lt;&gt;"",K957=Q957),"⚠ Origen igual a destino",IF(AND(K957&lt;&gt;"",ISNA(MATCH(K957,ctaNombre,0))),"⚠ Destino no registrado",IF(AND(P957="Pago tarjeta",AE957&lt;&gt;"Tarjeta de crédito"),"⚠ El destino debe ser tarjeta de crédito",IF(AND(P957="Gasto",E957="Depósitos y retiros"),"⚠ Usa tipo Transferencia",IF(AND(P957="Resultado trading",AD957&lt;&gt;"Cuenta de trading"),"⚠ Usa una cuenta de trading",IF(AND(G957&lt;=0,P957&lt;&gt;"Ajuste",P957&lt;&gt;"Resultado trading"),"⚠ El monto debe ser positivo","✓")))))))))))))))</f>
        <v/>
      </c>
      <c r="P957" s="52">
        <f>IF(OR(B957="",G957=""),"",IF(C957="","Gasto",C957))</f>
        <v/>
      </c>
      <c r="Q957" s="52">
        <f>IF(P957="","",IF(J957&lt;&gt;"",J957,CuentaPred&amp;""))</f>
        <v/>
      </c>
      <c r="R957" s="52">
        <f>IF(P957="","",IF(ISNUMBER(I957),I957,TasaUSD))</f>
        <v/>
      </c>
      <c r="S957" s="53">
        <f>IF(P957="","",IF(H957="USD",G957*R957,G957))</f>
        <v/>
      </c>
      <c r="T957" s="53">
        <f>IF(P957="","",IF(H957="USD",G957,IF(R957&gt;0,G957/R957,0)))</f>
        <v/>
      </c>
      <c r="U957" s="53">
        <f>IF(P957="","",IF(P957="Gasto",S957,IF(P957="Reembolso",-S957,0)))</f>
        <v/>
      </c>
      <c r="V957" s="53">
        <f>IF(P957="","",IF(P957="Ingreso",S957,0))</f>
        <v/>
      </c>
      <c r="W957" s="53">
        <f>IF(P957="","",IF(P957="Resultado trading",S957,0))</f>
        <v/>
      </c>
      <c r="X957" s="52">
        <f>IF(OR(P957="Gasto",P957="Reembolso"),IF(M957&lt;&gt;"",M957,IFERROR(INDEX(catClasif,MATCH(D957&amp;"|"&amp;E957,catClave,0))&amp;"","Variable")),"")</f>
        <v/>
      </c>
      <c r="Y957" s="52">
        <f>IF(P957="","",IFERROR(INDEX(catGrupo,MATCH(D957&amp;"|"&amp;E957,catClave,0))&amp;"",""))</f>
        <v/>
      </c>
      <c r="Z957" s="52">
        <f>IF(P957="","",WEEKDAY(B957,2))</f>
        <v/>
      </c>
      <c r="AA957" s="52">
        <f>IF(P957="","",IF(AND(P957="Gasto",X957="Variable",D957&lt;&gt;catTrading,S957&gt;0,S957&lt;=Umbral),1,0))</f>
        <v/>
      </c>
      <c r="AB957" s="52">
        <f>IF(OR(P957="",Q957=""),"",IFERROR(IF(INDEX(ctaVinc,MATCH(Q957,ctaNombre,0))&amp;""&lt;&gt;"",INDEX(ctaVinc,MATCH(Q957,ctaNombre,0))&amp;"",Q957),Q957))</f>
        <v/>
      </c>
      <c r="AC957" s="52">
        <f>IF(OR(K957="",AND(P957&lt;&gt;"Transferencia",P957&lt;&gt;"Pago tarjeta")),"",IFERROR(IF(INDEX(ctaVinc,MATCH(K957,ctaNombre,0))&amp;""&lt;&gt;"",INDEX(ctaVinc,MATCH(K957,ctaNombre,0))&amp;"",K957),K957))</f>
        <v/>
      </c>
      <c r="AD957" s="52">
        <f>IF(AB957="","",IFERROR(INDEX(ctaTipo,MATCH(AB957,ctaNombre,0))&amp;"",""))</f>
        <v/>
      </c>
      <c r="AE957" s="52">
        <f>IF(AC957="","",IFERROR(INDEX(ctaTipo,MATCH(AC957,ctaNombre,0))&amp;"",""))</f>
        <v/>
      </c>
      <c r="AF957" s="53">
        <f>IF(OR(P957="",AB957=""),"",IF(OR(P957="Gasto",P957="Transferencia",P957="Pago tarjeta"),-1,1)*IF(IFERROR(INDEX(ctaMoneda,MATCH(AB957,ctaNombre,0))&amp;"","DOP")="USD",T957,S957))</f>
        <v/>
      </c>
      <c r="AG957" s="53">
        <f>IF(AC957="","",IF(IFERROR(INDEX(ctaMoneda,MATCH(AC957,ctaNombre,0))&amp;"","DOP")="USD",T957,S957))</f>
        <v/>
      </c>
      <c r="AH957" s="53">
        <f>IF(P957="","",IF(AND(AD957&lt;&gt;"",COUNTIFS(tcTipo,AD957,tcLiq,"Sí")&gt;0),IF(OR(P957="Gasto",P957="Transferencia",P957="Pago tarjeta"),-1,1)*S957,0)+IF(AND(AE957&lt;&gt;"",COUNTIFS(tcTipo,AE957,tcLiq,"Sí")&gt;0),S957,0))</f>
        <v/>
      </c>
      <c r="AI957" s="52">
        <f>IF(OR(L957="",P957=""),"",IF(COUNTIFS(L$6:L957,L957,P$6:P957,"?*")=1,MAX(AI$5:AI956)+1,""))</f>
        <v/>
      </c>
    </row>
    <row r="958">
      <c r="B958" s="47" t="n"/>
      <c r="C958" s="48" t="n"/>
      <c r="D958" s="48" t="n"/>
      <c r="E958" s="48" t="n"/>
      <c r="F958" s="48" t="n"/>
      <c r="G958" s="49" t="n"/>
      <c r="H958" s="48" t="n"/>
      <c r="I958" s="50" t="n"/>
      <c r="J958" s="48" t="n"/>
      <c r="K958" s="48" t="n"/>
      <c r="L958" s="48" t="n"/>
      <c r="M958" s="48" t="n"/>
      <c r="N958" s="48" t="n"/>
      <c r="O958" s="51">
        <f>IF(AND(B958="",G958="",C958="",D958="",J958=""),"",IF(B958="","⚠ Falta fecha",IF(G958="","⚠ Falta monto",IF(Q958="","⚠ Falta cuenta",IF(ISNA(MATCH(Q958,ctaNombre,0)),"⚠ Cuenta no registrada",IF(AND(OR(P958="Gasto",P958="Reembolso"),D958=""),"⚠ Falta categoría",IF(AND(D958&lt;&gt;"",E958&lt;&gt;"",ISNA(MATCH(D958&amp;"|"&amp;E958,catClave,0))),"⚠ Subcategoría no corresponde",IF(AND(OR(P958="Transferencia",P958="Pago tarjeta"),K958=""),"⚠ Falta cuenta destino",IF(AND(K958&lt;&gt;"",P958&lt;&gt;"Transferencia",P958&lt;&gt;"Pago tarjeta"),"⚠ Destino solo aplica a transferencias",IF(AND(K958&lt;&gt;"",K958=Q958),"⚠ Origen igual a destino",IF(AND(K958&lt;&gt;"",ISNA(MATCH(K958,ctaNombre,0))),"⚠ Destino no registrado",IF(AND(P958="Pago tarjeta",AE958&lt;&gt;"Tarjeta de crédito"),"⚠ El destino debe ser tarjeta de crédito",IF(AND(P958="Gasto",E958="Depósitos y retiros"),"⚠ Usa tipo Transferencia",IF(AND(P958="Resultado trading",AD958&lt;&gt;"Cuenta de trading"),"⚠ Usa una cuenta de trading",IF(AND(G958&lt;=0,P958&lt;&gt;"Ajuste",P958&lt;&gt;"Resultado trading"),"⚠ El monto debe ser positivo","✓")))))))))))))))</f>
        <v/>
      </c>
      <c r="P958" s="52">
        <f>IF(OR(B958="",G958=""),"",IF(C958="","Gasto",C958))</f>
        <v/>
      </c>
      <c r="Q958" s="52">
        <f>IF(P958="","",IF(J958&lt;&gt;"",J958,CuentaPred&amp;""))</f>
        <v/>
      </c>
      <c r="R958" s="52">
        <f>IF(P958="","",IF(ISNUMBER(I958),I958,TasaUSD))</f>
        <v/>
      </c>
      <c r="S958" s="53">
        <f>IF(P958="","",IF(H958="USD",G958*R958,G958))</f>
        <v/>
      </c>
      <c r="T958" s="53">
        <f>IF(P958="","",IF(H958="USD",G958,IF(R958&gt;0,G958/R958,0)))</f>
        <v/>
      </c>
      <c r="U958" s="53">
        <f>IF(P958="","",IF(P958="Gasto",S958,IF(P958="Reembolso",-S958,0)))</f>
        <v/>
      </c>
      <c r="V958" s="53">
        <f>IF(P958="","",IF(P958="Ingreso",S958,0))</f>
        <v/>
      </c>
      <c r="W958" s="53">
        <f>IF(P958="","",IF(P958="Resultado trading",S958,0))</f>
        <v/>
      </c>
      <c r="X958" s="52">
        <f>IF(OR(P958="Gasto",P958="Reembolso"),IF(M958&lt;&gt;"",M958,IFERROR(INDEX(catClasif,MATCH(D958&amp;"|"&amp;E958,catClave,0))&amp;"","Variable")),"")</f>
        <v/>
      </c>
      <c r="Y958" s="52">
        <f>IF(P958="","",IFERROR(INDEX(catGrupo,MATCH(D958&amp;"|"&amp;E958,catClave,0))&amp;"",""))</f>
        <v/>
      </c>
      <c r="Z958" s="52">
        <f>IF(P958="","",WEEKDAY(B958,2))</f>
        <v/>
      </c>
      <c r="AA958" s="52">
        <f>IF(P958="","",IF(AND(P958="Gasto",X958="Variable",D958&lt;&gt;catTrading,S958&gt;0,S958&lt;=Umbral),1,0))</f>
        <v/>
      </c>
      <c r="AB958" s="52">
        <f>IF(OR(P958="",Q958=""),"",IFERROR(IF(INDEX(ctaVinc,MATCH(Q958,ctaNombre,0))&amp;""&lt;&gt;"",INDEX(ctaVinc,MATCH(Q958,ctaNombre,0))&amp;"",Q958),Q958))</f>
        <v/>
      </c>
      <c r="AC958" s="52">
        <f>IF(OR(K958="",AND(P958&lt;&gt;"Transferencia",P958&lt;&gt;"Pago tarjeta")),"",IFERROR(IF(INDEX(ctaVinc,MATCH(K958,ctaNombre,0))&amp;""&lt;&gt;"",INDEX(ctaVinc,MATCH(K958,ctaNombre,0))&amp;"",K958),K958))</f>
        <v/>
      </c>
      <c r="AD958" s="52">
        <f>IF(AB958="","",IFERROR(INDEX(ctaTipo,MATCH(AB958,ctaNombre,0))&amp;"",""))</f>
        <v/>
      </c>
      <c r="AE958" s="52">
        <f>IF(AC958="","",IFERROR(INDEX(ctaTipo,MATCH(AC958,ctaNombre,0))&amp;"",""))</f>
        <v/>
      </c>
      <c r="AF958" s="53">
        <f>IF(OR(P958="",AB958=""),"",IF(OR(P958="Gasto",P958="Transferencia",P958="Pago tarjeta"),-1,1)*IF(IFERROR(INDEX(ctaMoneda,MATCH(AB958,ctaNombre,0))&amp;"","DOP")="USD",T958,S958))</f>
        <v/>
      </c>
      <c r="AG958" s="53">
        <f>IF(AC958="","",IF(IFERROR(INDEX(ctaMoneda,MATCH(AC958,ctaNombre,0))&amp;"","DOP")="USD",T958,S958))</f>
        <v/>
      </c>
      <c r="AH958" s="53">
        <f>IF(P958="","",IF(AND(AD958&lt;&gt;"",COUNTIFS(tcTipo,AD958,tcLiq,"Sí")&gt;0),IF(OR(P958="Gasto",P958="Transferencia",P958="Pago tarjeta"),-1,1)*S958,0)+IF(AND(AE958&lt;&gt;"",COUNTIFS(tcTipo,AE958,tcLiq,"Sí")&gt;0),S958,0))</f>
        <v/>
      </c>
      <c r="AI958" s="52">
        <f>IF(OR(L958="",P958=""),"",IF(COUNTIFS(L$6:L958,L958,P$6:P958,"?*")=1,MAX(AI$5:AI957)+1,""))</f>
        <v/>
      </c>
    </row>
    <row r="959">
      <c r="B959" s="47" t="n"/>
      <c r="C959" s="48" t="n"/>
      <c r="D959" s="48" t="n"/>
      <c r="E959" s="48" t="n"/>
      <c r="F959" s="48" t="n"/>
      <c r="G959" s="49" t="n"/>
      <c r="H959" s="48" t="n"/>
      <c r="I959" s="50" t="n"/>
      <c r="J959" s="48" t="n"/>
      <c r="K959" s="48" t="n"/>
      <c r="L959" s="48" t="n"/>
      <c r="M959" s="48" t="n"/>
      <c r="N959" s="48" t="n"/>
      <c r="O959" s="51">
        <f>IF(AND(B959="",G959="",C959="",D959="",J959=""),"",IF(B959="","⚠ Falta fecha",IF(G959="","⚠ Falta monto",IF(Q959="","⚠ Falta cuenta",IF(ISNA(MATCH(Q959,ctaNombre,0)),"⚠ Cuenta no registrada",IF(AND(OR(P959="Gasto",P959="Reembolso"),D959=""),"⚠ Falta categoría",IF(AND(D959&lt;&gt;"",E959&lt;&gt;"",ISNA(MATCH(D959&amp;"|"&amp;E959,catClave,0))),"⚠ Subcategoría no corresponde",IF(AND(OR(P959="Transferencia",P959="Pago tarjeta"),K959=""),"⚠ Falta cuenta destino",IF(AND(K959&lt;&gt;"",P959&lt;&gt;"Transferencia",P959&lt;&gt;"Pago tarjeta"),"⚠ Destino solo aplica a transferencias",IF(AND(K959&lt;&gt;"",K959=Q959),"⚠ Origen igual a destino",IF(AND(K959&lt;&gt;"",ISNA(MATCH(K959,ctaNombre,0))),"⚠ Destino no registrado",IF(AND(P959="Pago tarjeta",AE959&lt;&gt;"Tarjeta de crédito"),"⚠ El destino debe ser tarjeta de crédito",IF(AND(P959="Gasto",E959="Depósitos y retiros"),"⚠ Usa tipo Transferencia",IF(AND(P959="Resultado trading",AD959&lt;&gt;"Cuenta de trading"),"⚠ Usa una cuenta de trading",IF(AND(G959&lt;=0,P959&lt;&gt;"Ajuste",P959&lt;&gt;"Resultado trading"),"⚠ El monto debe ser positivo","✓")))))))))))))))</f>
        <v/>
      </c>
      <c r="P959" s="52">
        <f>IF(OR(B959="",G959=""),"",IF(C959="","Gasto",C959))</f>
        <v/>
      </c>
      <c r="Q959" s="52">
        <f>IF(P959="","",IF(J959&lt;&gt;"",J959,CuentaPred&amp;""))</f>
        <v/>
      </c>
      <c r="R959" s="52">
        <f>IF(P959="","",IF(ISNUMBER(I959),I959,TasaUSD))</f>
        <v/>
      </c>
      <c r="S959" s="53">
        <f>IF(P959="","",IF(H959="USD",G959*R959,G959))</f>
        <v/>
      </c>
      <c r="T959" s="53">
        <f>IF(P959="","",IF(H959="USD",G959,IF(R959&gt;0,G959/R959,0)))</f>
        <v/>
      </c>
      <c r="U959" s="53">
        <f>IF(P959="","",IF(P959="Gasto",S959,IF(P959="Reembolso",-S959,0)))</f>
        <v/>
      </c>
      <c r="V959" s="53">
        <f>IF(P959="","",IF(P959="Ingreso",S959,0))</f>
        <v/>
      </c>
      <c r="W959" s="53">
        <f>IF(P959="","",IF(P959="Resultado trading",S959,0))</f>
        <v/>
      </c>
      <c r="X959" s="52">
        <f>IF(OR(P959="Gasto",P959="Reembolso"),IF(M959&lt;&gt;"",M959,IFERROR(INDEX(catClasif,MATCH(D959&amp;"|"&amp;E959,catClave,0))&amp;"","Variable")),"")</f>
        <v/>
      </c>
      <c r="Y959" s="52">
        <f>IF(P959="","",IFERROR(INDEX(catGrupo,MATCH(D959&amp;"|"&amp;E959,catClave,0))&amp;"",""))</f>
        <v/>
      </c>
      <c r="Z959" s="52">
        <f>IF(P959="","",WEEKDAY(B959,2))</f>
        <v/>
      </c>
      <c r="AA959" s="52">
        <f>IF(P959="","",IF(AND(P959="Gasto",X959="Variable",D959&lt;&gt;catTrading,S959&gt;0,S959&lt;=Umbral),1,0))</f>
        <v/>
      </c>
      <c r="AB959" s="52">
        <f>IF(OR(P959="",Q959=""),"",IFERROR(IF(INDEX(ctaVinc,MATCH(Q959,ctaNombre,0))&amp;""&lt;&gt;"",INDEX(ctaVinc,MATCH(Q959,ctaNombre,0))&amp;"",Q959),Q959))</f>
        <v/>
      </c>
      <c r="AC959" s="52">
        <f>IF(OR(K959="",AND(P959&lt;&gt;"Transferencia",P959&lt;&gt;"Pago tarjeta")),"",IFERROR(IF(INDEX(ctaVinc,MATCH(K959,ctaNombre,0))&amp;""&lt;&gt;"",INDEX(ctaVinc,MATCH(K959,ctaNombre,0))&amp;"",K959),K959))</f>
        <v/>
      </c>
      <c r="AD959" s="52">
        <f>IF(AB959="","",IFERROR(INDEX(ctaTipo,MATCH(AB959,ctaNombre,0))&amp;"",""))</f>
        <v/>
      </c>
      <c r="AE959" s="52">
        <f>IF(AC959="","",IFERROR(INDEX(ctaTipo,MATCH(AC959,ctaNombre,0))&amp;"",""))</f>
        <v/>
      </c>
      <c r="AF959" s="53">
        <f>IF(OR(P959="",AB959=""),"",IF(OR(P959="Gasto",P959="Transferencia",P959="Pago tarjeta"),-1,1)*IF(IFERROR(INDEX(ctaMoneda,MATCH(AB959,ctaNombre,0))&amp;"","DOP")="USD",T959,S959))</f>
        <v/>
      </c>
      <c r="AG959" s="53">
        <f>IF(AC959="","",IF(IFERROR(INDEX(ctaMoneda,MATCH(AC959,ctaNombre,0))&amp;"","DOP")="USD",T959,S959))</f>
        <v/>
      </c>
      <c r="AH959" s="53">
        <f>IF(P959="","",IF(AND(AD959&lt;&gt;"",COUNTIFS(tcTipo,AD959,tcLiq,"Sí")&gt;0),IF(OR(P959="Gasto",P959="Transferencia",P959="Pago tarjeta"),-1,1)*S959,0)+IF(AND(AE959&lt;&gt;"",COUNTIFS(tcTipo,AE959,tcLiq,"Sí")&gt;0),S959,0))</f>
        <v/>
      </c>
      <c r="AI959" s="52">
        <f>IF(OR(L959="",P959=""),"",IF(COUNTIFS(L$6:L959,L959,P$6:P959,"?*")=1,MAX(AI$5:AI958)+1,""))</f>
        <v/>
      </c>
    </row>
    <row r="960">
      <c r="B960" s="47" t="n"/>
      <c r="C960" s="48" t="n"/>
      <c r="D960" s="48" t="n"/>
      <c r="E960" s="48" t="n"/>
      <c r="F960" s="48" t="n"/>
      <c r="G960" s="49" t="n"/>
      <c r="H960" s="48" t="n"/>
      <c r="I960" s="50" t="n"/>
      <c r="J960" s="48" t="n"/>
      <c r="K960" s="48" t="n"/>
      <c r="L960" s="48" t="n"/>
      <c r="M960" s="48" t="n"/>
      <c r="N960" s="48" t="n"/>
      <c r="O960" s="51">
        <f>IF(AND(B960="",G960="",C960="",D960="",J960=""),"",IF(B960="","⚠ Falta fecha",IF(G960="","⚠ Falta monto",IF(Q960="","⚠ Falta cuenta",IF(ISNA(MATCH(Q960,ctaNombre,0)),"⚠ Cuenta no registrada",IF(AND(OR(P960="Gasto",P960="Reembolso"),D960=""),"⚠ Falta categoría",IF(AND(D960&lt;&gt;"",E960&lt;&gt;"",ISNA(MATCH(D960&amp;"|"&amp;E960,catClave,0))),"⚠ Subcategoría no corresponde",IF(AND(OR(P960="Transferencia",P960="Pago tarjeta"),K960=""),"⚠ Falta cuenta destino",IF(AND(K960&lt;&gt;"",P960&lt;&gt;"Transferencia",P960&lt;&gt;"Pago tarjeta"),"⚠ Destino solo aplica a transferencias",IF(AND(K960&lt;&gt;"",K960=Q960),"⚠ Origen igual a destino",IF(AND(K960&lt;&gt;"",ISNA(MATCH(K960,ctaNombre,0))),"⚠ Destino no registrado",IF(AND(P960="Pago tarjeta",AE960&lt;&gt;"Tarjeta de crédito"),"⚠ El destino debe ser tarjeta de crédito",IF(AND(P960="Gasto",E960="Depósitos y retiros"),"⚠ Usa tipo Transferencia",IF(AND(P960="Resultado trading",AD960&lt;&gt;"Cuenta de trading"),"⚠ Usa una cuenta de trading",IF(AND(G960&lt;=0,P960&lt;&gt;"Ajuste",P960&lt;&gt;"Resultado trading"),"⚠ El monto debe ser positivo","✓")))))))))))))))</f>
        <v/>
      </c>
      <c r="P960" s="52">
        <f>IF(OR(B960="",G960=""),"",IF(C960="","Gasto",C960))</f>
        <v/>
      </c>
      <c r="Q960" s="52">
        <f>IF(P960="","",IF(J960&lt;&gt;"",J960,CuentaPred&amp;""))</f>
        <v/>
      </c>
      <c r="R960" s="52">
        <f>IF(P960="","",IF(ISNUMBER(I960),I960,TasaUSD))</f>
        <v/>
      </c>
      <c r="S960" s="53">
        <f>IF(P960="","",IF(H960="USD",G960*R960,G960))</f>
        <v/>
      </c>
      <c r="T960" s="53">
        <f>IF(P960="","",IF(H960="USD",G960,IF(R960&gt;0,G960/R960,0)))</f>
        <v/>
      </c>
      <c r="U960" s="53">
        <f>IF(P960="","",IF(P960="Gasto",S960,IF(P960="Reembolso",-S960,0)))</f>
        <v/>
      </c>
      <c r="V960" s="53">
        <f>IF(P960="","",IF(P960="Ingreso",S960,0))</f>
        <v/>
      </c>
      <c r="W960" s="53">
        <f>IF(P960="","",IF(P960="Resultado trading",S960,0))</f>
        <v/>
      </c>
      <c r="X960" s="52">
        <f>IF(OR(P960="Gasto",P960="Reembolso"),IF(M960&lt;&gt;"",M960,IFERROR(INDEX(catClasif,MATCH(D960&amp;"|"&amp;E960,catClave,0))&amp;"","Variable")),"")</f>
        <v/>
      </c>
      <c r="Y960" s="52">
        <f>IF(P960="","",IFERROR(INDEX(catGrupo,MATCH(D960&amp;"|"&amp;E960,catClave,0))&amp;"",""))</f>
        <v/>
      </c>
      <c r="Z960" s="52">
        <f>IF(P960="","",WEEKDAY(B960,2))</f>
        <v/>
      </c>
      <c r="AA960" s="52">
        <f>IF(P960="","",IF(AND(P960="Gasto",X960="Variable",D960&lt;&gt;catTrading,S960&gt;0,S960&lt;=Umbral),1,0))</f>
        <v/>
      </c>
      <c r="AB960" s="52">
        <f>IF(OR(P960="",Q960=""),"",IFERROR(IF(INDEX(ctaVinc,MATCH(Q960,ctaNombre,0))&amp;""&lt;&gt;"",INDEX(ctaVinc,MATCH(Q960,ctaNombre,0))&amp;"",Q960),Q960))</f>
        <v/>
      </c>
      <c r="AC960" s="52">
        <f>IF(OR(K960="",AND(P960&lt;&gt;"Transferencia",P960&lt;&gt;"Pago tarjeta")),"",IFERROR(IF(INDEX(ctaVinc,MATCH(K960,ctaNombre,0))&amp;""&lt;&gt;"",INDEX(ctaVinc,MATCH(K960,ctaNombre,0))&amp;"",K960),K960))</f>
        <v/>
      </c>
      <c r="AD960" s="52">
        <f>IF(AB960="","",IFERROR(INDEX(ctaTipo,MATCH(AB960,ctaNombre,0))&amp;"",""))</f>
        <v/>
      </c>
      <c r="AE960" s="52">
        <f>IF(AC960="","",IFERROR(INDEX(ctaTipo,MATCH(AC960,ctaNombre,0))&amp;"",""))</f>
        <v/>
      </c>
      <c r="AF960" s="53">
        <f>IF(OR(P960="",AB960=""),"",IF(OR(P960="Gasto",P960="Transferencia",P960="Pago tarjeta"),-1,1)*IF(IFERROR(INDEX(ctaMoneda,MATCH(AB960,ctaNombre,0))&amp;"","DOP")="USD",T960,S960))</f>
        <v/>
      </c>
      <c r="AG960" s="53">
        <f>IF(AC960="","",IF(IFERROR(INDEX(ctaMoneda,MATCH(AC960,ctaNombre,0))&amp;"","DOP")="USD",T960,S960))</f>
        <v/>
      </c>
      <c r="AH960" s="53">
        <f>IF(P960="","",IF(AND(AD960&lt;&gt;"",COUNTIFS(tcTipo,AD960,tcLiq,"Sí")&gt;0),IF(OR(P960="Gasto",P960="Transferencia",P960="Pago tarjeta"),-1,1)*S960,0)+IF(AND(AE960&lt;&gt;"",COUNTIFS(tcTipo,AE960,tcLiq,"Sí")&gt;0),S960,0))</f>
        <v/>
      </c>
      <c r="AI960" s="52">
        <f>IF(OR(L960="",P960=""),"",IF(COUNTIFS(L$6:L960,L960,P$6:P960,"?*")=1,MAX(AI$5:AI959)+1,""))</f>
        <v/>
      </c>
    </row>
    <row r="961">
      <c r="B961" s="47" t="n"/>
      <c r="C961" s="48" t="n"/>
      <c r="D961" s="48" t="n"/>
      <c r="E961" s="48" t="n"/>
      <c r="F961" s="48" t="n"/>
      <c r="G961" s="49" t="n"/>
      <c r="H961" s="48" t="n"/>
      <c r="I961" s="50" t="n"/>
      <c r="J961" s="48" t="n"/>
      <c r="K961" s="48" t="n"/>
      <c r="L961" s="48" t="n"/>
      <c r="M961" s="48" t="n"/>
      <c r="N961" s="48" t="n"/>
      <c r="O961" s="51">
        <f>IF(AND(B961="",G961="",C961="",D961="",J961=""),"",IF(B961="","⚠ Falta fecha",IF(G961="","⚠ Falta monto",IF(Q961="","⚠ Falta cuenta",IF(ISNA(MATCH(Q961,ctaNombre,0)),"⚠ Cuenta no registrada",IF(AND(OR(P961="Gasto",P961="Reembolso"),D961=""),"⚠ Falta categoría",IF(AND(D961&lt;&gt;"",E961&lt;&gt;"",ISNA(MATCH(D961&amp;"|"&amp;E961,catClave,0))),"⚠ Subcategoría no corresponde",IF(AND(OR(P961="Transferencia",P961="Pago tarjeta"),K961=""),"⚠ Falta cuenta destino",IF(AND(K961&lt;&gt;"",P961&lt;&gt;"Transferencia",P961&lt;&gt;"Pago tarjeta"),"⚠ Destino solo aplica a transferencias",IF(AND(K961&lt;&gt;"",K961=Q961),"⚠ Origen igual a destino",IF(AND(K961&lt;&gt;"",ISNA(MATCH(K961,ctaNombre,0))),"⚠ Destino no registrado",IF(AND(P961="Pago tarjeta",AE961&lt;&gt;"Tarjeta de crédito"),"⚠ El destino debe ser tarjeta de crédito",IF(AND(P961="Gasto",E961="Depósitos y retiros"),"⚠ Usa tipo Transferencia",IF(AND(P961="Resultado trading",AD961&lt;&gt;"Cuenta de trading"),"⚠ Usa una cuenta de trading",IF(AND(G961&lt;=0,P961&lt;&gt;"Ajuste",P961&lt;&gt;"Resultado trading"),"⚠ El monto debe ser positivo","✓")))))))))))))))</f>
        <v/>
      </c>
      <c r="P961" s="52">
        <f>IF(OR(B961="",G961=""),"",IF(C961="","Gasto",C961))</f>
        <v/>
      </c>
      <c r="Q961" s="52">
        <f>IF(P961="","",IF(J961&lt;&gt;"",J961,CuentaPred&amp;""))</f>
        <v/>
      </c>
      <c r="R961" s="52">
        <f>IF(P961="","",IF(ISNUMBER(I961),I961,TasaUSD))</f>
        <v/>
      </c>
      <c r="S961" s="53">
        <f>IF(P961="","",IF(H961="USD",G961*R961,G961))</f>
        <v/>
      </c>
      <c r="T961" s="53">
        <f>IF(P961="","",IF(H961="USD",G961,IF(R961&gt;0,G961/R961,0)))</f>
        <v/>
      </c>
      <c r="U961" s="53">
        <f>IF(P961="","",IF(P961="Gasto",S961,IF(P961="Reembolso",-S961,0)))</f>
        <v/>
      </c>
      <c r="V961" s="53">
        <f>IF(P961="","",IF(P961="Ingreso",S961,0))</f>
        <v/>
      </c>
      <c r="W961" s="53">
        <f>IF(P961="","",IF(P961="Resultado trading",S961,0))</f>
        <v/>
      </c>
      <c r="X961" s="52">
        <f>IF(OR(P961="Gasto",P961="Reembolso"),IF(M961&lt;&gt;"",M961,IFERROR(INDEX(catClasif,MATCH(D961&amp;"|"&amp;E961,catClave,0))&amp;"","Variable")),"")</f>
        <v/>
      </c>
      <c r="Y961" s="52">
        <f>IF(P961="","",IFERROR(INDEX(catGrupo,MATCH(D961&amp;"|"&amp;E961,catClave,0))&amp;"",""))</f>
        <v/>
      </c>
      <c r="Z961" s="52">
        <f>IF(P961="","",WEEKDAY(B961,2))</f>
        <v/>
      </c>
      <c r="AA961" s="52">
        <f>IF(P961="","",IF(AND(P961="Gasto",X961="Variable",D961&lt;&gt;catTrading,S961&gt;0,S961&lt;=Umbral),1,0))</f>
        <v/>
      </c>
      <c r="AB961" s="52">
        <f>IF(OR(P961="",Q961=""),"",IFERROR(IF(INDEX(ctaVinc,MATCH(Q961,ctaNombre,0))&amp;""&lt;&gt;"",INDEX(ctaVinc,MATCH(Q961,ctaNombre,0))&amp;"",Q961),Q961))</f>
        <v/>
      </c>
      <c r="AC961" s="52">
        <f>IF(OR(K961="",AND(P961&lt;&gt;"Transferencia",P961&lt;&gt;"Pago tarjeta")),"",IFERROR(IF(INDEX(ctaVinc,MATCH(K961,ctaNombre,0))&amp;""&lt;&gt;"",INDEX(ctaVinc,MATCH(K961,ctaNombre,0))&amp;"",K961),K961))</f>
        <v/>
      </c>
      <c r="AD961" s="52">
        <f>IF(AB961="","",IFERROR(INDEX(ctaTipo,MATCH(AB961,ctaNombre,0))&amp;"",""))</f>
        <v/>
      </c>
      <c r="AE961" s="52">
        <f>IF(AC961="","",IFERROR(INDEX(ctaTipo,MATCH(AC961,ctaNombre,0))&amp;"",""))</f>
        <v/>
      </c>
      <c r="AF961" s="53">
        <f>IF(OR(P961="",AB961=""),"",IF(OR(P961="Gasto",P961="Transferencia",P961="Pago tarjeta"),-1,1)*IF(IFERROR(INDEX(ctaMoneda,MATCH(AB961,ctaNombre,0))&amp;"","DOP")="USD",T961,S961))</f>
        <v/>
      </c>
      <c r="AG961" s="53">
        <f>IF(AC961="","",IF(IFERROR(INDEX(ctaMoneda,MATCH(AC961,ctaNombre,0))&amp;"","DOP")="USD",T961,S961))</f>
        <v/>
      </c>
      <c r="AH961" s="53">
        <f>IF(P961="","",IF(AND(AD961&lt;&gt;"",COUNTIFS(tcTipo,AD961,tcLiq,"Sí")&gt;0),IF(OR(P961="Gasto",P961="Transferencia",P961="Pago tarjeta"),-1,1)*S961,0)+IF(AND(AE961&lt;&gt;"",COUNTIFS(tcTipo,AE961,tcLiq,"Sí")&gt;0),S961,0))</f>
        <v/>
      </c>
      <c r="AI961" s="52">
        <f>IF(OR(L961="",P961=""),"",IF(COUNTIFS(L$6:L961,L961,P$6:P961,"?*")=1,MAX(AI$5:AI960)+1,""))</f>
        <v/>
      </c>
    </row>
    <row r="962">
      <c r="B962" s="47" t="n"/>
      <c r="C962" s="48" t="n"/>
      <c r="D962" s="48" t="n"/>
      <c r="E962" s="48" t="n"/>
      <c r="F962" s="48" t="n"/>
      <c r="G962" s="49" t="n"/>
      <c r="H962" s="48" t="n"/>
      <c r="I962" s="50" t="n"/>
      <c r="J962" s="48" t="n"/>
      <c r="K962" s="48" t="n"/>
      <c r="L962" s="48" t="n"/>
      <c r="M962" s="48" t="n"/>
      <c r="N962" s="48" t="n"/>
      <c r="O962" s="51">
        <f>IF(AND(B962="",G962="",C962="",D962="",J962=""),"",IF(B962="","⚠ Falta fecha",IF(G962="","⚠ Falta monto",IF(Q962="","⚠ Falta cuenta",IF(ISNA(MATCH(Q962,ctaNombre,0)),"⚠ Cuenta no registrada",IF(AND(OR(P962="Gasto",P962="Reembolso"),D962=""),"⚠ Falta categoría",IF(AND(D962&lt;&gt;"",E962&lt;&gt;"",ISNA(MATCH(D962&amp;"|"&amp;E962,catClave,0))),"⚠ Subcategoría no corresponde",IF(AND(OR(P962="Transferencia",P962="Pago tarjeta"),K962=""),"⚠ Falta cuenta destino",IF(AND(K962&lt;&gt;"",P962&lt;&gt;"Transferencia",P962&lt;&gt;"Pago tarjeta"),"⚠ Destino solo aplica a transferencias",IF(AND(K962&lt;&gt;"",K962=Q962),"⚠ Origen igual a destino",IF(AND(K962&lt;&gt;"",ISNA(MATCH(K962,ctaNombre,0))),"⚠ Destino no registrado",IF(AND(P962="Pago tarjeta",AE962&lt;&gt;"Tarjeta de crédito"),"⚠ El destino debe ser tarjeta de crédito",IF(AND(P962="Gasto",E962="Depósitos y retiros"),"⚠ Usa tipo Transferencia",IF(AND(P962="Resultado trading",AD962&lt;&gt;"Cuenta de trading"),"⚠ Usa una cuenta de trading",IF(AND(G962&lt;=0,P962&lt;&gt;"Ajuste",P962&lt;&gt;"Resultado trading"),"⚠ El monto debe ser positivo","✓")))))))))))))))</f>
        <v/>
      </c>
      <c r="P962" s="52">
        <f>IF(OR(B962="",G962=""),"",IF(C962="","Gasto",C962))</f>
        <v/>
      </c>
      <c r="Q962" s="52">
        <f>IF(P962="","",IF(J962&lt;&gt;"",J962,CuentaPred&amp;""))</f>
        <v/>
      </c>
      <c r="R962" s="52">
        <f>IF(P962="","",IF(ISNUMBER(I962),I962,TasaUSD))</f>
        <v/>
      </c>
      <c r="S962" s="53">
        <f>IF(P962="","",IF(H962="USD",G962*R962,G962))</f>
        <v/>
      </c>
      <c r="T962" s="53">
        <f>IF(P962="","",IF(H962="USD",G962,IF(R962&gt;0,G962/R962,0)))</f>
        <v/>
      </c>
      <c r="U962" s="53">
        <f>IF(P962="","",IF(P962="Gasto",S962,IF(P962="Reembolso",-S962,0)))</f>
        <v/>
      </c>
      <c r="V962" s="53">
        <f>IF(P962="","",IF(P962="Ingreso",S962,0))</f>
        <v/>
      </c>
      <c r="W962" s="53">
        <f>IF(P962="","",IF(P962="Resultado trading",S962,0))</f>
        <v/>
      </c>
      <c r="X962" s="52">
        <f>IF(OR(P962="Gasto",P962="Reembolso"),IF(M962&lt;&gt;"",M962,IFERROR(INDEX(catClasif,MATCH(D962&amp;"|"&amp;E962,catClave,0))&amp;"","Variable")),"")</f>
        <v/>
      </c>
      <c r="Y962" s="52">
        <f>IF(P962="","",IFERROR(INDEX(catGrupo,MATCH(D962&amp;"|"&amp;E962,catClave,0))&amp;"",""))</f>
        <v/>
      </c>
      <c r="Z962" s="52">
        <f>IF(P962="","",WEEKDAY(B962,2))</f>
        <v/>
      </c>
      <c r="AA962" s="52">
        <f>IF(P962="","",IF(AND(P962="Gasto",X962="Variable",D962&lt;&gt;catTrading,S962&gt;0,S962&lt;=Umbral),1,0))</f>
        <v/>
      </c>
      <c r="AB962" s="52">
        <f>IF(OR(P962="",Q962=""),"",IFERROR(IF(INDEX(ctaVinc,MATCH(Q962,ctaNombre,0))&amp;""&lt;&gt;"",INDEX(ctaVinc,MATCH(Q962,ctaNombre,0))&amp;"",Q962),Q962))</f>
        <v/>
      </c>
      <c r="AC962" s="52">
        <f>IF(OR(K962="",AND(P962&lt;&gt;"Transferencia",P962&lt;&gt;"Pago tarjeta")),"",IFERROR(IF(INDEX(ctaVinc,MATCH(K962,ctaNombre,0))&amp;""&lt;&gt;"",INDEX(ctaVinc,MATCH(K962,ctaNombre,0))&amp;"",K962),K962))</f>
        <v/>
      </c>
      <c r="AD962" s="52">
        <f>IF(AB962="","",IFERROR(INDEX(ctaTipo,MATCH(AB962,ctaNombre,0))&amp;"",""))</f>
        <v/>
      </c>
      <c r="AE962" s="52">
        <f>IF(AC962="","",IFERROR(INDEX(ctaTipo,MATCH(AC962,ctaNombre,0))&amp;"",""))</f>
        <v/>
      </c>
      <c r="AF962" s="53">
        <f>IF(OR(P962="",AB962=""),"",IF(OR(P962="Gasto",P962="Transferencia",P962="Pago tarjeta"),-1,1)*IF(IFERROR(INDEX(ctaMoneda,MATCH(AB962,ctaNombre,0))&amp;"","DOP")="USD",T962,S962))</f>
        <v/>
      </c>
      <c r="AG962" s="53">
        <f>IF(AC962="","",IF(IFERROR(INDEX(ctaMoneda,MATCH(AC962,ctaNombre,0))&amp;"","DOP")="USD",T962,S962))</f>
        <v/>
      </c>
      <c r="AH962" s="53">
        <f>IF(P962="","",IF(AND(AD962&lt;&gt;"",COUNTIFS(tcTipo,AD962,tcLiq,"Sí")&gt;0),IF(OR(P962="Gasto",P962="Transferencia",P962="Pago tarjeta"),-1,1)*S962,0)+IF(AND(AE962&lt;&gt;"",COUNTIFS(tcTipo,AE962,tcLiq,"Sí")&gt;0),S962,0))</f>
        <v/>
      </c>
      <c r="AI962" s="52">
        <f>IF(OR(L962="",P962=""),"",IF(COUNTIFS(L$6:L962,L962,P$6:P962,"?*")=1,MAX(AI$5:AI961)+1,""))</f>
        <v/>
      </c>
    </row>
    <row r="963">
      <c r="B963" s="47" t="n"/>
      <c r="C963" s="48" t="n"/>
      <c r="D963" s="48" t="n"/>
      <c r="E963" s="48" t="n"/>
      <c r="F963" s="48" t="n"/>
      <c r="G963" s="49" t="n"/>
      <c r="H963" s="48" t="n"/>
      <c r="I963" s="50" t="n"/>
      <c r="J963" s="48" t="n"/>
      <c r="K963" s="48" t="n"/>
      <c r="L963" s="48" t="n"/>
      <c r="M963" s="48" t="n"/>
      <c r="N963" s="48" t="n"/>
      <c r="O963" s="51">
        <f>IF(AND(B963="",G963="",C963="",D963="",J963=""),"",IF(B963="","⚠ Falta fecha",IF(G963="","⚠ Falta monto",IF(Q963="","⚠ Falta cuenta",IF(ISNA(MATCH(Q963,ctaNombre,0)),"⚠ Cuenta no registrada",IF(AND(OR(P963="Gasto",P963="Reembolso"),D963=""),"⚠ Falta categoría",IF(AND(D963&lt;&gt;"",E963&lt;&gt;"",ISNA(MATCH(D963&amp;"|"&amp;E963,catClave,0))),"⚠ Subcategoría no corresponde",IF(AND(OR(P963="Transferencia",P963="Pago tarjeta"),K963=""),"⚠ Falta cuenta destino",IF(AND(K963&lt;&gt;"",P963&lt;&gt;"Transferencia",P963&lt;&gt;"Pago tarjeta"),"⚠ Destino solo aplica a transferencias",IF(AND(K963&lt;&gt;"",K963=Q963),"⚠ Origen igual a destino",IF(AND(K963&lt;&gt;"",ISNA(MATCH(K963,ctaNombre,0))),"⚠ Destino no registrado",IF(AND(P963="Pago tarjeta",AE963&lt;&gt;"Tarjeta de crédito"),"⚠ El destino debe ser tarjeta de crédito",IF(AND(P963="Gasto",E963="Depósitos y retiros"),"⚠ Usa tipo Transferencia",IF(AND(P963="Resultado trading",AD963&lt;&gt;"Cuenta de trading"),"⚠ Usa una cuenta de trading",IF(AND(G963&lt;=0,P963&lt;&gt;"Ajuste",P963&lt;&gt;"Resultado trading"),"⚠ El monto debe ser positivo","✓")))))))))))))))</f>
        <v/>
      </c>
      <c r="P963" s="52">
        <f>IF(OR(B963="",G963=""),"",IF(C963="","Gasto",C963))</f>
        <v/>
      </c>
      <c r="Q963" s="52">
        <f>IF(P963="","",IF(J963&lt;&gt;"",J963,CuentaPred&amp;""))</f>
        <v/>
      </c>
      <c r="R963" s="52">
        <f>IF(P963="","",IF(ISNUMBER(I963),I963,TasaUSD))</f>
        <v/>
      </c>
      <c r="S963" s="53">
        <f>IF(P963="","",IF(H963="USD",G963*R963,G963))</f>
        <v/>
      </c>
      <c r="T963" s="53">
        <f>IF(P963="","",IF(H963="USD",G963,IF(R963&gt;0,G963/R963,0)))</f>
        <v/>
      </c>
      <c r="U963" s="53">
        <f>IF(P963="","",IF(P963="Gasto",S963,IF(P963="Reembolso",-S963,0)))</f>
        <v/>
      </c>
      <c r="V963" s="53">
        <f>IF(P963="","",IF(P963="Ingreso",S963,0))</f>
        <v/>
      </c>
      <c r="W963" s="53">
        <f>IF(P963="","",IF(P963="Resultado trading",S963,0))</f>
        <v/>
      </c>
      <c r="X963" s="52">
        <f>IF(OR(P963="Gasto",P963="Reembolso"),IF(M963&lt;&gt;"",M963,IFERROR(INDEX(catClasif,MATCH(D963&amp;"|"&amp;E963,catClave,0))&amp;"","Variable")),"")</f>
        <v/>
      </c>
      <c r="Y963" s="52">
        <f>IF(P963="","",IFERROR(INDEX(catGrupo,MATCH(D963&amp;"|"&amp;E963,catClave,0))&amp;"",""))</f>
        <v/>
      </c>
      <c r="Z963" s="52">
        <f>IF(P963="","",WEEKDAY(B963,2))</f>
        <v/>
      </c>
      <c r="AA963" s="52">
        <f>IF(P963="","",IF(AND(P963="Gasto",X963="Variable",D963&lt;&gt;catTrading,S963&gt;0,S963&lt;=Umbral),1,0))</f>
        <v/>
      </c>
      <c r="AB963" s="52">
        <f>IF(OR(P963="",Q963=""),"",IFERROR(IF(INDEX(ctaVinc,MATCH(Q963,ctaNombre,0))&amp;""&lt;&gt;"",INDEX(ctaVinc,MATCH(Q963,ctaNombre,0))&amp;"",Q963),Q963))</f>
        <v/>
      </c>
      <c r="AC963" s="52">
        <f>IF(OR(K963="",AND(P963&lt;&gt;"Transferencia",P963&lt;&gt;"Pago tarjeta")),"",IFERROR(IF(INDEX(ctaVinc,MATCH(K963,ctaNombre,0))&amp;""&lt;&gt;"",INDEX(ctaVinc,MATCH(K963,ctaNombre,0))&amp;"",K963),K963))</f>
        <v/>
      </c>
      <c r="AD963" s="52">
        <f>IF(AB963="","",IFERROR(INDEX(ctaTipo,MATCH(AB963,ctaNombre,0))&amp;"",""))</f>
        <v/>
      </c>
      <c r="AE963" s="52">
        <f>IF(AC963="","",IFERROR(INDEX(ctaTipo,MATCH(AC963,ctaNombre,0))&amp;"",""))</f>
        <v/>
      </c>
      <c r="AF963" s="53">
        <f>IF(OR(P963="",AB963=""),"",IF(OR(P963="Gasto",P963="Transferencia",P963="Pago tarjeta"),-1,1)*IF(IFERROR(INDEX(ctaMoneda,MATCH(AB963,ctaNombre,0))&amp;"","DOP")="USD",T963,S963))</f>
        <v/>
      </c>
      <c r="AG963" s="53">
        <f>IF(AC963="","",IF(IFERROR(INDEX(ctaMoneda,MATCH(AC963,ctaNombre,0))&amp;"","DOP")="USD",T963,S963))</f>
        <v/>
      </c>
      <c r="AH963" s="53">
        <f>IF(P963="","",IF(AND(AD963&lt;&gt;"",COUNTIFS(tcTipo,AD963,tcLiq,"Sí")&gt;0),IF(OR(P963="Gasto",P963="Transferencia",P963="Pago tarjeta"),-1,1)*S963,0)+IF(AND(AE963&lt;&gt;"",COUNTIFS(tcTipo,AE963,tcLiq,"Sí")&gt;0),S963,0))</f>
        <v/>
      </c>
      <c r="AI963" s="52">
        <f>IF(OR(L963="",P963=""),"",IF(COUNTIFS(L$6:L963,L963,P$6:P963,"?*")=1,MAX(AI$5:AI962)+1,""))</f>
        <v/>
      </c>
    </row>
    <row r="964">
      <c r="B964" s="47" t="n"/>
      <c r="C964" s="48" t="n"/>
      <c r="D964" s="48" t="n"/>
      <c r="E964" s="48" t="n"/>
      <c r="F964" s="48" t="n"/>
      <c r="G964" s="49" t="n"/>
      <c r="H964" s="48" t="n"/>
      <c r="I964" s="50" t="n"/>
      <c r="J964" s="48" t="n"/>
      <c r="K964" s="48" t="n"/>
      <c r="L964" s="48" t="n"/>
      <c r="M964" s="48" t="n"/>
      <c r="N964" s="48" t="n"/>
      <c r="O964" s="51">
        <f>IF(AND(B964="",G964="",C964="",D964="",J964=""),"",IF(B964="","⚠ Falta fecha",IF(G964="","⚠ Falta monto",IF(Q964="","⚠ Falta cuenta",IF(ISNA(MATCH(Q964,ctaNombre,0)),"⚠ Cuenta no registrada",IF(AND(OR(P964="Gasto",P964="Reembolso"),D964=""),"⚠ Falta categoría",IF(AND(D964&lt;&gt;"",E964&lt;&gt;"",ISNA(MATCH(D964&amp;"|"&amp;E964,catClave,0))),"⚠ Subcategoría no corresponde",IF(AND(OR(P964="Transferencia",P964="Pago tarjeta"),K964=""),"⚠ Falta cuenta destino",IF(AND(K964&lt;&gt;"",P964&lt;&gt;"Transferencia",P964&lt;&gt;"Pago tarjeta"),"⚠ Destino solo aplica a transferencias",IF(AND(K964&lt;&gt;"",K964=Q964),"⚠ Origen igual a destino",IF(AND(K964&lt;&gt;"",ISNA(MATCH(K964,ctaNombre,0))),"⚠ Destino no registrado",IF(AND(P964="Pago tarjeta",AE964&lt;&gt;"Tarjeta de crédito"),"⚠ El destino debe ser tarjeta de crédito",IF(AND(P964="Gasto",E964="Depósitos y retiros"),"⚠ Usa tipo Transferencia",IF(AND(P964="Resultado trading",AD964&lt;&gt;"Cuenta de trading"),"⚠ Usa una cuenta de trading",IF(AND(G964&lt;=0,P964&lt;&gt;"Ajuste",P964&lt;&gt;"Resultado trading"),"⚠ El monto debe ser positivo","✓")))))))))))))))</f>
        <v/>
      </c>
      <c r="P964" s="52">
        <f>IF(OR(B964="",G964=""),"",IF(C964="","Gasto",C964))</f>
        <v/>
      </c>
      <c r="Q964" s="52">
        <f>IF(P964="","",IF(J964&lt;&gt;"",J964,CuentaPred&amp;""))</f>
        <v/>
      </c>
      <c r="R964" s="52">
        <f>IF(P964="","",IF(ISNUMBER(I964),I964,TasaUSD))</f>
        <v/>
      </c>
      <c r="S964" s="53">
        <f>IF(P964="","",IF(H964="USD",G964*R964,G964))</f>
        <v/>
      </c>
      <c r="T964" s="53">
        <f>IF(P964="","",IF(H964="USD",G964,IF(R964&gt;0,G964/R964,0)))</f>
        <v/>
      </c>
      <c r="U964" s="53">
        <f>IF(P964="","",IF(P964="Gasto",S964,IF(P964="Reembolso",-S964,0)))</f>
        <v/>
      </c>
      <c r="V964" s="53">
        <f>IF(P964="","",IF(P964="Ingreso",S964,0))</f>
        <v/>
      </c>
      <c r="W964" s="53">
        <f>IF(P964="","",IF(P964="Resultado trading",S964,0))</f>
        <v/>
      </c>
      <c r="X964" s="52">
        <f>IF(OR(P964="Gasto",P964="Reembolso"),IF(M964&lt;&gt;"",M964,IFERROR(INDEX(catClasif,MATCH(D964&amp;"|"&amp;E964,catClave,0))&amp;"","Variable")),"")</f>
        <v/>
      </c>
      <c r="Y964" s="52">
        <f>IF(P964="","",IFERROR(INDEX(catGrupo,MATCH(D964&amp;"|"&amp;E964,catClave,0))&amp;"",""))</f>
        <v/>
      </c>
      <c r="Z964" s="52">
        <f>IF(P964="","",WEEKDAY(B964,2))</f>
        <v/>
      </c>
      <c r="AA964" s="52">
        <f>IF(P964="","",IF(AND(P964="Gasto",X964="Variable",D964&lt;&gt;catTrading,S964&gt;0,S964&lt;=Umbral),1,0))</f>
        <v/>
      </c>
      <c r="AB964" s="52">
        <f>IF(OR(P964="",Q964=""),"",IFERROR(IF(INDEX(ctaVinc,MATCH(Q964,ctaNombre,0))&amp;""&lt;&gt;"",INDEX(ctaVinc,MATCH(Q964,ctaNombre,0))&amp;"",Q964),Q964))</f>
        <v/>
      </c>
      <c r="AC964" s="52">
        <f>IF(OR(K964="",AND(P964&lt;&gt;"Transferencia",P964&lt;&gt;"Pago tarjeta")),"",IFERROR(IF(INDEX(ctaVinc,MATCH(K964,ctaNombre,0))&amp;""&lt;&gt;"",INDEX(ctaVinc,MATCH(K964,ctaNombre,0))&amp;"",K964),K964))</f>
        <v/>
      </c>
      <c r="AD964" s="52">
        <f>IF(AB964="","",IFERROR(INDEX(ctaTipo,MATCH(AB964,ctaNombre,0))&amp;"",""))</f>
        <v/>
      </c>
      <c r="AE964" s="52">
        <f>IF(AC964="","",IFERROR(INDEX(ctaTipo,MATCH(AC964,ctaNombre,0))&amp;"",""))</f>
        <v/>
      </c>
      <c r="AF964" s="53">
        <f>IF(OR(P964="",AB964=""),"",IF(OR(P964="Gasto",P964="Transferencia",P964="Pago tarjeta"),-1,1)*IF(IFERROR(INDEX(ctaMoneda,MATCH(AB964,ctaNombre,0))&amp;"","DOP")="USD",T964,S964))</f>
        <v/>
      </c>
      <c r="AG964" s="53">
        <f>IF(AC964="","",IF(IFERROR(INDEX(ctaMoneda,MATCH(AC964,ctaNombre,0))&amp;"","DOP")="USD",T964,S964))</f>
        <v/>
      </c>
      <c r="AH964" s="53">
        <f>IF(P964="","",IF(AND(AD964&lt;&gt;"",COUNTIFS(tcTipo,AD964,tcLiq,"Sí")&gt;0),IF(OR(P964="Gasto",P964="Transferencia",P964="Pago tarjeta"),-1,1)*S964,0)+IF(AND(AE964&lt;&gt;"",COUNTIFS(tcTipo,AE964,tcLiq,"Sí")&gt;0),S964,0))</f>
        <v/>
      </c>
      <c r="AI964" s="52">
        <f>IF(OR(L964="",P964=""),"",IF(COUNTIFS(L$6:L964,L964,P$6:P964,"?*")=1,MAX(AI$5:AI963)+1,""))</f>
        <v/>
      </c>
    </row>
    <row r="965">
      <c r="B965" s="47" t="n"/>
      <c r="C965" s="48" t="n"/>
      <c r="D965" s="48" t="n"/>
      <c r="E965" s="48" t="n"/>
      <c r="F965" s="48" t="n"/>
      <c r="G965" s="49" t="n"/>
      <c r="H965" s="48" t="n"/>
      <c r="I965" s="50" t="n"/>
      <c r="J965" s="48" t="n"/>
      <c r="K965" s="48" t="n"/>
      <c r="L965" s="48" t="n"/>
      <c r="M965" s="48" t="n"/>
      <c r="N965" s="48" t="n"/>
      <c r="O965" s="51">
        <f>IF(AND(B965="",G965="",C965="",D965="",J965=""),"",IF(B965="","⚠ Falta fecha",IF(G965="","⚠ Falta monto",IF(Q965="","⚠ Falta cuenta",IF(ISNA(MATCH(Q965,ctaNombre,0)),"⚠ Cuenta no registrada",IF(AND(OR(P965="Gasto",P965="Reembolso"),D965=""),"⚠ Falta categoría",IF(AND(D965&lt;&gt;"",E965&lt;&gt;"",ISNA(MATCH(D965&amp;"|"&amp;E965,catClave,0))),"⚠ Subcategoría no corresponde",IF(AND(OR(P965="Transferencia",P965="Pago tarjeta"),K965=""),"⚠ Falta cuenta destino",IF(AND(K965&lt;&gt;"",P965&lt;&gt;"Transferencia",P965&lt;&gt;"Pago tarjeta"),"⚠ Destino solo aplica a transferencias",IF(AND(K965&lt;&gt;"",K965=Q965),"⚠ Origen igual a destino",IF(AND(K965&lt;&gt;"",ISNA(MATCH(K965,ctaNombre,0))),"⚠ Destino no registrado",IF(AND(P965="Pago tarjeta",AE965&lt;&gt;"Tarjeta de crédito"),"⚠ El destino debe ser tarjeta de crédito",IF(AND(P965="Gasto",E965="Depósitos y retiros"),"⚠ Usa tipo Transferencia",IF(AND(P965="Resultado trading",AD965&lt;&gt;"Cuenta de trading"),"⚠ Usa una cuenta de trading",IF(AND(G965&lt;=0,P965&lt;&gt;"Ajuste",P965&lt;&gt;"Resultado trading"),"⚠ El monto debe ser positivo","✓")))))))))))))))</f>
        <v/>
      </c>
      <c r="P965" s="52">
        <f>IF(OR(B965="",G965=""),"",IF(C965="","Gasto",C965))</f>
        <v/>
      </c>
      <c r="Q965" s="52">
        <f>IF(P965="","",IF(J965&lt;&gt;"",J965,CuentaPred&amp;""))</f>
        <v/>
      </c>
      <c r="R965" s="52">
        <f>IF(P965="","",IF(ISNUMBER(I965),I965,TasaUSD))</f>
        <v/>
      </c>
      <c r="S965" s="53">
        <f>IF(P965="","",IF(H965="USD",G965*R965,G965))</f>
        <v/>
      </c>
      <c r="T965" s="53">
        <f>IF(P965="","",IF(H965="USD",G965,IF(R965&gt;0,G965/R965,0)))</f>
        <v/>
      </c>
      <c r="U965" s="53">
        <f>IF(P965="","",IF(P965="Gasto",S965,IF(P965="Reembolso",-S965,0)))</f>
        <v/>
      </c>
      <c r="V965" s="53">
        <f>IF(P965="","",IF(P965="Ingreso",S965,0))</f>
        <v/>
      </c>
      <c r="W965" s="53">
        <f>IF(P965="","",IF(P965="Resultado trading",S965,0))</f>
        <v/>
      </c>
      <c r="X965" s="52">
        <f>IF(OR(P965="Gasto",P965="Reembolso"),IF(M965&lt;&gt;"",M965,IFERROR(INDEX(catClasif,MATCH(D965&amp;"|"&amp;E965,catClave,0))&amp;"","Variable")),"")</f>
        <v/>
      </c>
      <c r="Y965" s="52">
        <f>IF(P965="","",IFERROR(INDEX(catGrupo,MATCH(D965&amp;"|"&amp;E965,catClave,0))&amp;"",""))</f>
        <v/>
      </c>
      <c r="Z965" s="52">
        <f>IF(P965="","",WEEKDAY(B965,2))</f>
        <v/>
      </c>
      <c r="AA965" s="52">
        <f>IF(P965="","",IF(AND(P965="Gasto",X965="Variable",D965&lt;&gt;catTrading,S965&gt;0,S965&lt;=Umbral),1,0))</f>
        <v/>
      </c>
      <c r="AB965" s="52">
        <f>IF(OR(P965="",Q965=""),"",IFERROR(IF(INDEX(ctaVinc,MATCH(Q965,ctaNombre,0))&amp;""&lt;&gt;"",INDEX(ctaVinc,MATCH(Q965,ctaNombre,0))&amp;"",Q965),Q965))</f>
        <v/>
      </c>
      <c r="AC965" s="52">
        <f>IF(OR(K965="",AND(P965&lt;&gt;"Transferencia",P965&lt;&gt;"Pago tarjeta")),"",IFERROR(IF(INDEX(ctaVinc,MATCH(K965,ctaNombre,0))&amp;""&lt;&gt;"",INDEX(ctaVinc,MATCH(K965,ctaNombre,0))&amp;"",K965),K965))</f>
        <v/>
      </c>
      <c r="AD965" s="52">
        <f>IF(AB965="","",IFERROR(INDEX(ctaTipo,MATCH(AB965,ctaNombre,0))&amp;"",""))</f>
        <v/>
      </c>
      <c r="AE965" s="52">
        <f>IF(AC965="","",IFERROR(INDEX(ctaTipo,MATCH(AC965,ctaNombre,0))&amp;"",""))</f>
        <v/>
      </c>
      <c r="AF965" s="53">
        <f>IF(OR(P965="",AB965=""),"",IF(OR(P965="Gasto",P965="Transferencia",P965="Pago tarjeta"),-1,1)*IF(IFERROR(INDEX(ctaMoneda,MATCH(AB965,ctaNombre,0))&amp;"","DOP")="USD",T965,S965))</f>
        <v/>
      </c>
      <c r="AG965" s="53">
        <f>IF(AC965="","",IF(IFERROR(INDEX(ctaMoneda,MATCH(AC965,ctaNombre,0))&amp;"","DOP")="USD",T965,S965))</f>
        <v/>
      </c>
      <c r="AH965" s="53">
        <f>IF(P965="","",IF(AND(AD965&lt;&gt;"",COUNTIFS(tcTipo,AD965,tcLiq,"Sí")&gt;0),IF(OR(P965="Gasto",P965="Transferencia",P965="Pago tarjeta"),-1,1)*S965,0)+IF(AND(AE965&lt;&gt;"",COUNTIFS(tcTipo,AE965,tcLiq,"Sí")&gt;0),S965,0))</f>
        <v/>
      </c>
      <c r="AI965" s="52">
        <f>IF(OR(L965="",P965=""),"",IF(COUNTIFS(L$6:L965,L965,P$6:P965,"?*")=1,MAX(AI$5:AI964)+1,""))</f>
        <v/>
      </c>
    </row>
    <row r="966">
      <c r="B966" s="47" t="n"/>
      <c r="C966" s="48" t="n"/>
      <c r="D966" s="48" t="n"/>
      <c r="E966" s="48" t="n"/>
      <c r="F966" s="48" t="n"/>
      <c r="G966" s="49" t="n"/>
      <c r="H966" s="48" t="n"/>
      <c r="I966" s="50" t="n"/>
      <c r="J966" s="48" t="n"/>
      <c r="K966" s="48" t="n"/>
      <c r="L966" s="48" t="n"/>
      <c r="M966" s="48" t="n"/>
      <c r="N966" s="48" t="n"/>
      <c r="O966" s="51">
        <f>IF(AND(B966="",G966="",C966="",D966="",J966=""),"",IF(B966="","⚠ Falta fecha",IF(G966="","⚠ Falta monto",IF(Q966="","⚠ Falta cuenta",IF(ISNA(MATCH(Q966,ctaNombre,0)),"⚠ Cuenta no registrada",IF(AND(OR(P966="Gasto",P966="Reembolso"),D966=""),"⚠ Falta categoría",IF(AND(D966&lt;&gt;"",E966&lt;&gt;"",ISNA(MATCH(D966&amp;"|"&amp;E966,catClave,0))),"⚠ Subcategoría no corresponde",IF(AND(OR(P966="Transferencia",P966="Pago tarjeta"),K966=""),"⚠ Falta cuenta destino",IF(AND(K966&lt;&gt;"",P966&lt;&gt;"Transferencia",P966&lt;&gt;"Pago tarjeta"),"⚠ Destino solo aplica a transferencias",IF(AND(K966&lt;&gt;"",K966=Q966),"⚠ Origen igual a destino",IF(AND(K966&lt;&gt;"",ISNA(MATCH(K966,ctaNombre,0))),"⚠ Destino no registrado",IF(AND(P966="Pago tarjeta",AE966&lt;&gt;"Tarjeta de crédito"),"⚠ El destino debe ser tarjeta de crédito",IF(AND(P966="Gasto",E966="Depósitos y retiros"),"⚠ Usa tipo Transferencia",IF(AND(P966="Resultado trading",AD966&lt;&gt;"Cuenta de trading"),"⚠ Usa una cuenta de trading",IF(AND(G966&lt;=0,P966&lt;&gt;"Ajuste",P966&lt;&gt;"Resultado trading"),"⚠ El monto debe ser positivo","✓")))))))))))))))</f>
        <v/>
      </c>
      <c r="P966" s="52">
        <f>IF(OR(B966="",G966=""),"",IF(C966="","Gasto",C966))</f>
        <v/>
      </c>
      <c r="Q966" s="52">
        <f>IF(P966="","",IF(J966&lt;&gt;"",J966,CuentaPred&amp;""))</f>
        <v/>
      </c>
      <c r="R966" s="52">
        <f>IF(P966="","",IF(ISNUMBER(I966),I966,TasaUSD))</f>
        <v/>
      </c>
      <c r="S966" s="53">
        <f>IF(P966="","",IF(H966="USD",G966*R966,G966))</f>
        <v/>
      </c>
      <c r="T966" s="53">
        <f>IF(P966="","",IF(H966="USD",G966,IF(R966&gt;0,G966/R966,0)))</f>
        <v/>
      </c>
      <c r="U966" s="53">
        <f>IF(P966="","",IF(P966="Gasto",S966,IF(P966="Reembolso",-S966,0)))</f>
        <v/>
      </c>
      <c r="V966" s="53">
        <f>IF(P966="","",IF(P966="Ingreso",S966,0))</f>
        <v/>
      </c>
      <c r="W966" s="53">
        <f>IF(P966="","",IF(P966="Resultado trading",S966,0))</f>
        <v/>
      </c>
      <c r="X966" s="52">
        <f>IF(OR(P966="Gasto",P966="Reembolso"),IF(M966&lt;&gt;"",M966,IFERROR(INDEX(catClasif,MATCH(D966&amp;"|"&amp;E966,catClave,0))&amp;"","Variable")),"")</f>
        <v/>
      </c>
      <c r="Y966" s="52">
        <f>IF(P966="","",IFERROR(INDEX(catGrupo,MATCH(D966&amp;"|"&amp;E966,catClave,0))&amp;"",""))</f>
        <v/>
      </c>
      <c r="Z966" s="52">
        <f>IF(P966="","",WEEKDAY(B966,2))</f>
        <v/>
      </c>
      <c r="AA966" s="52">
        <f>IF(P966="","",IF(AND(P966="Gasto",X966="Variable",D966&lt;&gt;catTrading,S966&gt;0,S966&lt;=Umbral),1,0))</f>
        <v/>
      </c>
      <c r="AB966" s="52">
        <f>IF(OR(P966="",Q966=""),"",IFERROR(IF(INDEX(ctaVinc,MATCH(Q966,ctaNombre,0))&amp;""&lt;&gt;"",INDEX(ctaVinc,MATCH(Q966,ctaNombre,0))&amp;"",Q966),Q966))</f>
        <v/>
      </c>
      <c r="AC966" s="52">
        <f>IF(OR(K966="",AND(P966&lt;&gt;"Transferencia",P966&lt;&gt;"Pago tarjeta")),"",IFERROR(IF(INDEX(ctaVinc,MATCH(K966,ctaNombre,0))&amp;""&lt;&gt;"",INDEX(ctaVinc,MATCH(K966,ctaNombre,0))&amp;"",K966),K966))</f>
        <v/>
      </c>
      <c r="AD966" s="52">
        <f>IF(AB966="","",IFERROR(INDEX(ctaTipo,MATCH(AB966,ctaNombre,0))&amp;"",""))</f>
        <v/>
      </c>
      <c r="AE966" s="52">
        <f>IF(AC966="","",IFERROR(INDEX(ctaTipo,MATCH(AC966,ctaNombre,0))&amp;"",""))</f>
        <v/>
      </c>
      <c r="AF966" s="53">
        <f>IF(OR(P966="",AB966=""),"",IF(OR(P966="Gasto",P966="Transferencia",P966="Pago tarjeta"),-1,1)*IF(IFERROR(INDEX(ctaMoneda,MATCH(AB966,ctaNombre,0))&amp;"","DOP")="USD",T966,S966))</f>
        <v/>
      </c>
      <c r="AG966" s="53">
        <f>IF(AC966="","",IF(IFERROR(INDEX(ctaMoneda,MATCH(AC966,ctaNombre,0))&amp;"","DOP")="USD",T966,S966))</f>
        <v/>
      </c>
      <c r="AH966" s="53">
        <f>IF(P966="","",IF(AND(AD966&lt;&gt;"",COUNTIFS(tcTipo,AD966,tcLiq,"Sí")&gt;0),IF(OR(P966="Gasto",P966="Transferencia",P966="Pago tarjeta"),-1,1)*S966,0)+IF(AND(AE966&lt;&gt;"",COUNTIFS(tcTipo,AE966,tcLiq,"Sí")&gt;0),S966,0))</f>
        <v/>
      </c>
      <c r="AI966" s="52">
        <f>IF(OR(L966="",P966=""),"",IF(COUNTIFS(L$6:L966,L966,P$6:P966,"?*")=1,MAX(AI$5:AI965)+1,""))</f>
        <v/>
      </c>
    </row>
    <row r="967">
      <c r="B967" s="47" t="n"/>
      <c r="C967" s="48" t="n"/>
      <c r="D967" s="48" t="n"/>
      <c r="E967" s="48" t="n"/>
      <c r="F967" s="48" t="n"/>
      <c r="G967" s="49" t="n"/>
      <c r="H967" s="48" t="n"/>
      <c r="I967" s="50" t="n"/>
      <c r="J967" s="48" t="n"/>
      <c r="K967" s="48" t="n"/>
      <c r="L967" s="48" t="n"/>
      <c r="M967" s="48" t="n"/>
      <c r="N967" s="48" t="n"/>
      <c r="O967" s="51">
        <f>IF(AND(B967="",G967="",C967="",D967="",J967=""),"",IF(B967="","⚠ Falta fecha",IF(G967="","⚠ Falta monto",IF(Q967="","⚠ Falta cuenta",IF(ISNA(MATCH(Q967,ctaNombre,0)),"⚠ Cuenta no registrada",IF(AND(OR(P967="Gasto",P967="Reembolso"),D967=""),"⚠ Falta categoría",IF(AND(D967&lt;&gt;"",E967&lt;&gt;"",ISNA(MATCH(D967&amp;"|"&amp;E967,catClave,0))),"⚠ Subcategoría no corresponde",IF(AND(OR(P967="Transferencia",P967="Pago tarjeta"),K967=""),"⚠ Falta cuenta destino",IF(AND(K967&lt;&gt;"",P967&lt;&gt;"Transferencia",P967&lt;&gt;"Pago tarjeta"),"⚠ Destino solo aplica a transferencias",IF(AND(K967&lt;&gt;"",K967=Q967),"⚠ Origen igual a destino",IF(AND(K967&lt;&gt;"",ISNA(MATCH(K967,ctaNombre,0))),"⚠ Destino no registrado",IF(AND(P967="Pago tarjeta",AE967&lt;&gt;"Tarjeta de crédito"),"⚠ El destino debe ser tarjeta de crédito",IF(AND(P967="Gasto",E967="Depósitos y retiros"),"⚠ Usa tipo Transferencia",IF(AND(P967="Resultado trading",AD967&lt;&gt;"Cuenta de trading"),"⚠ Usa una cuenta de trading",IF(AND(G967&lt;=0,P967&lt;&gt;"Ajuste",P967&lt;&gt;"Resultado trading"),"⚠ El monto debe ser positivo","✓")))))))))))))))</f>
        <v/>
      </c>
      <c r="P967" s="52">
        <f>IF(OR(B967="",G967=""),"",IF(C967="","Gasto",C967))</f>
        <v/>
      </c>
      <c r="Q967" s="52">
        <f>IF(P967="","",IF(J967&lt;&gt;"",J967,CuentaPred&amp;""))</f>
        <v/>
      </c>
      <c r="R967" s="52">
        <f>IF(P967="","",IF(ISNUMBER(I967),I967,TasaUSD))</f>
        <v/>
      </c>
      <c r="S967" s="53">
        <f>IF(P967="","",IF(H967="USD",G967*R967,G967))</f>
        <v/>
      </c>
      <c r="T967" s="53">
        <f>IF(P967="","",IF(H967="USD",G967,IF(R967&gt;0,G967/R967,0)))</f>
        <v/>
      </c>
      <c r="U967" s="53">
        <f>IF(P967="","",IF(P967="Gasto",S967,IF(P967="Reembolso",-S967,0)))</f>
        <v/>
      </c>
      <c r="V967" s="53">
        <f>IF(P967="","",IF(P967="Ingreso",S967,0))</f>
        <v/>
      </c>
      <c r="W967" s="53">
        <f>IF(P967="","",IF(P967="Resultado trading",S967,0))</f>
        <v/>
      </c>
      <c r="X967" s="52">
        <f>IF(OR(P967="Gasto",P967="Reembolso"),IF(M967&lt;&gt;"",M967,IFERROR(INDEX(catClasif,MATCH(D967&amp;"|"&amp;E967,catClave,0))&amp;"","Variable")),"")</f>
        <v/>
      </c>
      <c r="Y967" s="52">
        <f>IF(P967="","",IFERROR(INDEX(catGrupo,MATCH(D967&amp;"|"&amp;E967,catClave,0))&amp;"",""))</f>
        <v/>
      </c>
      <c r="Z967" s="52">
        <f>IF(P967="","",WEEKDAY(B967,2))</f>
        <v/>
      </c>
      <c r="AA967" s="52">
        <f>IF(P967="","",IF(AND(P967="Gasto",X967="Variable",D967&lt;&gt;catTrading,S967&gt;0,S967&lt;=Umbral),1,0))</f>
        <v/>
      </c>
      <c r="AB967" s="52">
        <f>IF(OR(P967="",Q967=""),"",IFERROR(IF(INDEX(ctaVinc,MATCH(Q967,ctaNombre,0))&amp;""&lt;&gt;"",INDEX(ctaVinc,MATCH(Q967,ctaNombre,0))&amp;"",Q967),Q967))</f>
        <v/>
      </c>
      <c r="AC967" s="52">
        <f>IF(OR(K967="",AND(P967&lt;&gt;"Transferencia",P967&lt;&gt;"Pago tarjeta")),"",IFERROR(IF(INDEX(ctaVinc,MATCH(K967,ctaNombre,0))&amp;""&lt;&gt;"",INDEX(ctaVinc,MATCH(K967,ctaNombre,0))&amp;"",K967),K967))</f>
        <v/>
      </c>
      <c r="AD967" s="52">
        <f>IF(AB967="","",IFERROR(INDEX(ctaTipo,MATCH(AB967,ctaNombre,0))&amp;"",""))</f>
        <v/>
      </c>
      <c r="AE967" s="52">
        <f>IF(AC967="","",IFERROR(INDEX(ctaTipo,MATCH(AC967,ctaNombre,0))&amp;"",""))</f>
        <v/>
      </c>
      <c r="AF967" s="53">
        <f>IF(OR(P967="",AB967=""),"",IF(OR(P967="Gasto",P967="Transferencia",P967="Pago tarjeta"),-1,1)*IF(IFERROR(INDEX(ctaMoneda,MATCH(AB967,ctaNombre,0))&amp;"","DOP")="USD",T967,S967))</f>
        <v/>
      </c>
      <c r="AG967" s="53">
        <f>IF(AC967="","",IF(IFERROR(INDEX(ctaMoneda,MATCH(AC967,ctaNombre,0))&amp;"","DOP")="USD",T967,S967))</f>
        <v/>
      </c>
      <c r="AH967" s="53">
        <f>IF(P967="","",IF(AND(AD967&lt;&gt;"",COUNTIFS(tcTipo,AD967,tcLiq,"Sí")&gt;0),IF(OR(P967="Gasto",P967="Transferencia",P967="Pago tarjeta"),-1,1)*S967,0)+IF(AND(AE967&lt;&gt;"",COUNTIFS(tcTipo,AE967,tcLiq,"Sí")&gt;0),S967,0))</f>
        <v/>
      </c>
      <c r="AI967" s="52">
        <f>IF(OR(L967="",P967=""),"",IF(COUNTIFS(L$6:L967,L967,P$6:P967,"?*")=1,MAX(AI$5:AI966)+1,""))</f>
        <v/>
      </c>
    </row>
    <row r="968">
      <c r="B968" s="47" t="n"/>
      <c r="C968" s="48" t="n"/>
      <c r="D968" s="48" t="n"/>
      <c r="E968" s="48" t="n"/>
      <c r="F968" s="48" t="n"/>
      <c r="G968" s="49" t="n"/>
      <c r="H968" s="48" t="n"/>
      <c r="I968" s="50" t="n"/>
      <c r="J968" s="48" t="n"/>
      <c r="K968" s="48" t="n"/>
      <c r="L968" s="48" t="n"/>
      <c r="M968" s="48" t="n"/>
      <c r="N968" s="48" t="n"/>
      <c r="O968" s="51">
        <f>IF(AND(B968="",G968="",C968="",D968="",J968=""),"",IF(B968="","⚠ Falta fecha",IF(G968="","⚠ Falta monto",IF(Q968="","⚠ Falta cuenta",IF(ISNA(MATCH(Q968,ctaNombre,0)),"⚠ Cuenta no registrada",IF(AND(OR(P968="Gasto",P968="Reembolso"),D968=""),"⚠ Falta categoría",IF(AND(D968&lt;&gt;"",E968&lt;&gt;"",ISNA(MATCH(D968&amp;"|"&amp;E968,catClave,0))),"⚠ Subcategoría no corresponde",IF(AND(OR(P968="Transferencia",P968="Pago tarjeta"),K968=""),"⚠ Falta cuenta destino",IF(AND(K968&lt;&gt;"",P968&lt;&gt;"Transferencia",P968&lt;&gt;"Pago tarjeta"),"⚠ Destino solo aplica a transferencias",IF(AND(K968&lt;&gt;"",K968=Q968),"⚠ Origen igual a destino",IF(AND(K968&lt;&gt;"",ISNA(MATCH(K968,ctaNombre,0))),"⚠ Destino no registrado",IF(AND(P968="Pago tarjeta",AE968&lt;&gt;"Tarjeta de crédito"),"⚠ El destino debe ser tarjeta de crédito",IF(AND(P968="Gasto",E968="Depósitos y retiros"),"⚠ Usa tipo Transferencia",IF(AND(P968="Resultado trading",AD968&lt;&gt;"Cuenta de trading"),"⚠ Usa una cuenta de trading",IF(AND(G968&lt;=0,P968&lt;&gt;"Ajuste",P968&lt;&gt;"Resultado trading"),"⚠ El monto debe ser positivo","✓")))))))))))))))</f>
        <v/>
      </c>
      <c r="P968" s="52">
        <f>IF(OR(B968="",G968=""),"",IF(C968="","Gasto",C968))</f>
        <v/>
      </c>
      <c r="Q968" s="52">
        <f>IF(P968="","",IF(J968&lt;&gt;"",J968,CuentaPred&amp;""))</f>
        <v/>
      </c>
      <c r="R968" s="52">
        <f>IF(P968="","",IF(ISNUMBER(I968),I968,TasaUSD))</f>
        <v/>
      </c>
      <c r="S968" s="53">
        <f>IF(P968="","",IF(H968="USD",G968*R968,G968))</f>
        <v/>
      </c>
      <c r="T968" s="53">
        <f>IF(P968="","",IF(H968="USD",G968,IF(R968&gt;0,G968/R968,0)))</f>
        <v/>
      </c>
      <c r="U968" s="53">
        <f>IF(P968="","",IF(P968="Gasto",S968,IF(P968="Reembolso",-S968,0)))</f>
        <v/>
      </c>
      <c r="V968" s="53">
        <f>IF(P968="","",IF(P968="Ingreso",S968,0))</f>
        <v/>
      </c>
      <c r="W968" s="53">
        <f>IF(P968="","",IF(P968="Resultado trading",S968,0))</f>
        <v/>
      </c>
      <c r="X968" s="52">
        <f>IF(OR(P968="Gasto",P968="Reembolso"),IF(M968&lt;&gt;"",M968,IFERROR(INDEX(catClasif,MATCH(D968&amp;"|"&amp;E968,catClave,0))&amp;"","Variable")),"")</f>
        <v/>
      </c>
      <c r="Y968" s="52">
        <f>IF(P968="","",IFERROR(INDEX(catGrupo,MATCH(D968&amp;"|"&amp;E968,catClave,0))&amp;"",""))</f>
        <v/>
      </c>
      <c r="Z968" s="52">
        <f>IF(P968="","",WEEKDAY(B968,2))</f>
        <v/>
      </c>
      <c r="AA968" s="52">
        <f>IF(P968="","",IF(AND(P968="Gasto",X968="Variable",D968&lt;&gt;catTrading,S968&gt;0,S968&lt;=Umbral),1,0))</f>
        <v/>
      </c>
      <c r="AB968" s="52">
        <f>IF(OR(P968="",Q968=""),"",IFERROR(IF(INDEX(ctaVinc,MATCH(Q968,ctaNombre,0))&amp;""&lt;&gt;"",INDEX(ctaVinc,MATCH(Q968,ctaNombre,0))&amp;"",Q968),Q968))</f>
        <v/>
      </c>
      <c r="AC968" s="52">
        <f>IF(OR(K968="",AND(P968&lt;&gt;"Transferencia",P968&lt;&gt;"Pago tarjeta")),"",IFERROR(IF(INDEX(ctaVinc,MATCH(K968,ctaNombre,0))&amp;""&lt;&gt;"",INDEX(ctaVinc,MATCH(K968,ctaNombre,0))&amp;"",K968),K968))</f>
        <v/>
      </c>
      <c r="AD968" s="52">
        <f>IF(AB968="","",IFERROR(INDEX(ctaTipo,MATCH(AB968,ctaNombre,0))&amp;"",""))</f>
        <v/>
      </c>
      <c r="AE968" s="52">
        <f>IF(AC968="","",IFERROR(INDEX(ctaTipo,MATCH(AC968,ctaNombre,0))&amp;"",""))</f>
        <v/>
      </c>
      <c r="AF968" s="53">
        <f>IF(OR(P968="",AB968=""),"",IF(OR(P968="Gasto",P968="Transferencia",P968="Pago tarjeta"),-1,1)*IF(IFERROR(INDEX(ctaMoneda,MATCH(AB968,ctaNombre,0))&amp;"","DOP")="USD",T968,S968))</f>
        <v/>
      </c>
      <c r="AG968" s="53">
        <f>IF(AC968="","",IF(IFERROR(INDEX(ctaMoneda,MATCH(AC968,ctaNombre,0))&amp;"","DOP")="USD",T968,S968))</f>
        <v/>
      </c>
      <c r="AH968" s="53">
        <f>IF(P968="","",IF(AND(AD968&lt;&gt;"",COUNTIFS(tcTipo,AD968,tcLiq,"Sí")&gt;0),IF(OR(P968="Gasto",P968="Transferencia",P968="Pago tarjeta"),-1,1)*S968,0)+IF(AND(AE968&lt;&gt;"",COUNTIFS(tcTipo,AE968,tcLiq,"Sí")&gt;0),S968,0))</f>
        <v/>
      </c>
      <c r="AI968" s="52">
        <f>IF(OR(L968="",P968=""),"",IF(COUNTIFS(L$6:L968,L968,P$6:P968,"?*")=1,MAX(AI$5:AI967)+1,""))</f>
        <v/>
      </c>
    </row>
    <row r="969">
      <c r="B969" s="47" t="n"/>
      <c r="C969" s="48" t="n"/>
      <c r="D969" s="48" t="n"/>
      <c r="E969" s="48" t="n"/>
      <c r="F969" s="48" t="n"/>
      <c r="G969" s="49" t="n"/>
      <c r="H969" s="48" t="n"/>
      <c r="I969" s="50" t="n"/>
      <c r="J969" s="48" t="n"/>
      <c r="K969" s="48" t="n"/>
      <c r="L969" s="48" t="n"/>
      <c r="M969" s="48" t="n"/>
      <c r="N969" s="48" t="n"/>
      <c r="O969" s="51">
        <f>IF(AND(B969="",G969="",C969="",D969="",J969=""),"",IF(B969="","⚠ Falta fecha",IF(G969="","⚠ Falta monto",IF(Q969="","⚠ Falta cuenta",IF(ISNA(MATCH(Q969,ctaNombre,0)),"⚠ Cuenta no registrada",IF(AND(OR(P969="Gasto",P969="Reembolso"),D969=""),"⚠ Falta categoría",IF(AND(D969&lt;&gt;"",E969&lt;&gt;"",ISNA(MATCH(D969&amp;"|"&amp;E969,catClave,0))),"⚠ Subcategoría no corresponde",IF(AND(OR(P969="Transferencia",P969="Pago tarjeta"),K969=""),"⚠ Falta cuenta destino",IF(AND(K969&lt;&gt;"",P969&lt;&gt;"Transferencia",P969&lt;&gt;"Pago tarjeta"),"⚠ Destino solo aplica a transferencias",IF(AND(K969&lt;&gt;"",K969=Q969),"⚠ Origen igual a destino",IF(AND(K969&lt;&gt;"",ISNA(MATCH(K969,ctaNombre,0))),"⚠ Destino no registrado",IF(AND(P969="Pago tarjeta",AE969&lt;&gt;"Tarjeta de crédito"),"⚠ El destino debe ser tarjeta de crédito",IF(AND(P969="Gasto",E969="Depósitos y retiros"),"⚠ Usa tipo Transferencia",IF(AND(P969="Resultado trading",AD969&lt;&gt;"Cuenta de trading"),"⚠ Usa una cuenta de trading",IF(AND(G969&lt;=0,P969&lt;&gt;"Ajuste",P969&lt;&gt;"Resultado trading"),"⚠ El monto debe ser positivo","✓")))))))))))))))</f>
        <v/>
      </c>
      <c r="P969" s="52">
        <f>IF(OR(B969="",G969=""),"",IF(C969="","Gasto",C969))</f>
        <v/>
      </c>
      <c r="Q969" s="52">
        <f>IF(P969="","",IF(J969&lt;&gt;"",J969,CuentaPred&amp;""))</f>
        <v/>
      </c>
      <c r="R969" s="52">
        <f>IF(P969="","",IF(ISNUMBER(I969),I969,TasaUSD))</f>
        <v/>
      </c>
      <c r="S969" s="53">
        <f>IF(P969="","",IF(H969="USD",G969*R969,G969))</f>
        <v/>
      </c>
      <c r="T969" s="53">
        <f>IF(P969="","",IF(H969="USD",G969,IF(R969&gt;0,G969/R969,0)))</f>
        <v/>
      </c>
      <c r="U969" s="53">
        <f>IF(P969="","",IF(P969="Gasto",S969,IF(P969="Reembolso",-S969,0)))</f>
        <v/>
      </c>
      <c r="V969" s="53">
        <f>IF(P969="","",IF(P969="Ingreso",S969,0))</f>
        <v/>
      </c>
      <c r="W969" s="53">
        <f>IF(P969="","",IF(P969="Resultado trading",S969,0))</f>
        <v/>
      </c>
      <c r="X969" s="52">
        <f>IF(OR(P969="Gasto",P969="Reembolso"),IF(M969&lt;&gt;"",M969,IFERROR(INDEX(catClasif,MATCH(D969&amp;"|"&amp;E969,catClave,0))&amp;"","Variable")),"")</f>
        <v/>
      </c>
      <c r="Y969" s="52">
        <f>IF(P969="","",IFERROR(INDEX(catGrupo,MATCH(D969&amp;"|"&amp;E969,catClave,0))&amp;"",""))</f>
        <v/>
      </c>
      <c r="Z969" s="52">
        <f>IF(P969="","",WEEKDAY(B969,2))</f>
        <v/>
      </c>
      <c r="AA969" s="52">
        <f>IF(P969="","",IF(AND(P969="Gasto",X969="Variable",D969&lt;&gt;catTrading,S969&gt;0,S969&lt;=Umbral),1,0))</f>
        <v/>
      </c>
      <c r="AB969" s="52">
        <f>IF(OR(P969="",Q969=""),"",IFERROR(IF(INDEX(ctaVinc,MATCH(Q969,ctaNombre,0))&amp;""&lt;&gt;"",INDEX(ctaVinc,MATCH(Q969,ctaNombre,0))&amp;"",Q969),Q969))</f>
        <v/>
      </c>
      <c r="AC969" s="52">
        <f>IF(OR(K969="",AND(P969&lt;&gt;"Transferencia",P969&lt;&gt;"Pago tarjeta")),"",IFERROR(IF(INDEX(ctaVinc,MATCH(K969,ctaNombre,0))&amp;""&lt;&gt;"",INDEX(ctaVinc,MATCH(K969,ctaNombre,0))&amp;"",K969),K969))</f>
        <v/>
      </c>
      <c r="AD969" s="52">
        <f>IF(AB969="","",IFERROR(INDEX(ctaTipo,MATCH(AB969,ctaNombre,0))&amp;"",""))</f>
        <v/>
      </c>
      <c r="AE969" s="52">
        <f>IF(AC969="","",IFERROR(INDEX(ctaTipo,MATCH(AC969,ctaNombre,0))&amp;"",""))</f>
        <v/>
      </c>
      <c r="AF969" s="53">
        <f>IF(OR(P969="",AB969=""),"",IF(OR(P969="Gasto",P969="Transferencia",P969="Pago tarjeta"),-1,1)*IF(IFERROR(INDEX(ctaMoneda,MATCH(AB969,ctaNombre,0))&amp;"","DOP")="USD",T969,S969))</f>
        <v/>
      </c>
      <c r="AG969" s="53">
        <f>IF(AC969="","",IF(IFERROR(INDEX(ctaMoneda,MATCH(AC969,ctaNombre,0))&amp;"","DOP")="USD",T969,S969))</f>
        <v/>
      </c>
      <c r="AH969" s="53">
        <f>IF(P969="","",IF(AND(AD969&lt;&gt;"",COUNTIFS(tcTipo,AD969,tcLiq,"Sí")&gt;0),IF(OR(P969="Gasto",P969="Transferencia",P969="Pago tarjeta"),-1,1)*S969,0)+IF(AND(AE969&lt;&gt;"",COUNTIFS(tcTipo,AE969,tcLiq,"Sí")&gt;0),S969,0))</f>
        <v/>
      </c>
      <c r="AI969" s="52">
        <f>IF(OR(L969="",P969=""),"",IF(COUNTIFS(L$6:L969,L969,P$6:P969,"?*")=1,MAX(AI$5:AI968)+1,""))</f>
        <v/>
      </c>
    </row>
    <row r="970">
      <c r="B970" s="47" t="n"/>
      <c r="C970" s="48" t="n"/>
      <c r="D970" s="48" t="n"/>
      <c r="E970" s="48" t="n"/>
      <c r="F970" s="48" t="n"/>
      <c r="G970" s="49" t="n"/>
      <c r="H970" s="48" t="n"/>
      <c r="I970" s="50" t="n"/>
      <c r="J970" s="48" t="n"/>
      <c r="K970" s="48" t="n"/>
      <c r="L970" s="48" t="n"/>
      <c r="M970" s="48" t="n"/>
      <c r="N970" s="48" t="n"/>
      <c r="O970" s="51">
        <f>IF(AND(B970="",G970="",C970="",D970="",J970=""),"",IF(B970="","⚠ Falta fecha",IF(G970="","⚠ Falta monto",IF(Q970="","⚠ Falta cuenta",IF(ISNA(MATCH(Q970,ctaNombre,0)),"⚠ Cuenta no registrada",IF(AND(OR(P970="Gasto",P970="Reembolso"),D970=""),"⚠ Falta categoría",IF(AND(D970&lt;&gt;"",E970&lt;&gt;"",ISNA(MATCH(D970&amp;"|"&amp;E970,catClave,0))),"⚠ Subcategoría no corresponde",IF(AND(OR(P970="Transferencia",P970="Pago tarjeta"),K970=""),"⚠ Falta cuenta destino",IF(AND(K970&lt;&gt;"",P970&lt;&gt;"Transferencia",P970&lt;&gt;"Pago tarjeta"),"⚠ Destino solo aplica a transferencias",IF(AND(K970&lt;&gt;"",K970=Q970),"⚠ Origen igual a destino",IF(AND(K970&lt;&gt;"",ISNA(MATCH(K970,ctaNombre,0))),"⚠ Destino no registrado",IF(AND(P970="Pago tarjeta",AE970&lt;&gt;"Tarjeta de crédito"),"⚠ El destino debe ser tarjeta de crédito",IF(AND(P970="Gasto",E970="Depósitos y retiros"),"⚠ Usa tipo Transferencia",IF(AND(P970="Resultado trading",AD970&lt;&gt;"Cuenta de trading"),"⚠ Usa una cuenta de trading",IF(AND(G970&lt;=0,P970&lt;&gt;"Ajuste",P970&lt;&gt;"Resultado trading"),"⚠ El monto debe ser positivo","✓")))))))))))))))</f>
        <v/>
      </c>
      <c r="P970" s="52">
        <f>IF(OR(B970="",G970=""),"",IF(C970="","Gasto",C970))</f>
        <v/>
      </c>
      <c r="Q970" s="52">
        <f>IF(P970="","",IF(J970&lt;&gt;"",J970,CuentaPred&amp;""))</f>
        <v/>
      </c>
      <c r="R970" s="52">
        <f>IF(P970="","",IF(ISNUMBER(I970),I970,TasaUSD))</f>
        <v/>
      </c>
      <c r="S970" s="53">
        <f>IF(P970="","",IF(H970="USD",G970*R970,G970))</f>
        <v/>
      </c>
      <c r="T970" s="53">
        <f>IF(P970="","",IF(H970="USD",G970,IF(R970&gt;0,G970/R970,0)))</f>
        <v/>
      </c>
      <c r="U970" s="53">
        <f>IF(P970="","",IF(P970="Gasto",S970,IF(P970="Reembolso",-S970,0)))</f>
        <v/>
      </c>
      <c r="V970" s="53">
        <f>IF(P970="","",IF(P970="Ingreso",S970,0))</f>
        <v/>
      </c>
      <c r="W970" s="53">
        <f>IF(P970="","",IF(P970="Resultado trading",S970,0))</f>
        <v/>
      </c>
      <c r="X970" s="52">
        <f>IF(OR(P970="Gasto",P970="Reembolso"),IF(M970&lt;&gt;"",M970,IFERROR(INDEX(catClasif,MATCH(D970&amp;"|"&amp;E970,catClave,0))&amp;"","Variable")),"")</f>
        <v/>
      </c>
      <c r="Y970" s="52">
        <f>IF(P970="","",IFERROR(INDEX(catGrupo,MATCH(D970&amp;"|"&amp;E970,catClave,0))&amp;"",""))</f>
        <v/>
      </c>
      <c r="Z970" s="52">
        <f>IF(P970="","",WEEKDAY(B970,2))</f>
        <v/>
      </c>
      <c r="AA970" s="52">
        <f>IF(P970="","",IF(AND(P970="Gasto",X970="Variable",D970&lt;&gt;catTrading,S970&gt;0,S970&lt;=Umbral),1,0))</f>
        <v/>
      </c>
      <c r="AB970" s="52">
        <f>IF(OR(P970="",Q970=""),"",IFERROR(IF(INDEX(ctaVinc,MATCH(Q970,ctaNombre,0))&amp;""&lt;&gt;"",INDEX(ctaVinc,MATCH(Q970,ctaNombre,0))&amp;"",Q970),Q970))</f>
        <v/>
      </c>
      <c r="AC970" s="52">
        <f>IF(OR(K970="",AND(P970&lt;&gt;"Transferencia",P970&lt;&gt;"Pago tarjeta")),"",IFERROR(IF(INDEX(ctaVinc,MATCH(K970,ctaNombre,0))&amp;""&lt;&gt;"",INDEX(ctaVinc,MATCH(K970,ctaNombre,0))&amp;"",K970),K970))</f>
        <v/>
      </c>
      <c r="AD970" s="52">
        <f>IF(AB970="","",IFERROR(INDEX(ctaTipo,MATCH(AB970,ctaNombre,0))&amp;"",""))</f>
        <v/>
      </c>
      <c r="AE970" s="52">
        <f>IF(AC970="","",IFERROR(INDEX(ctaTipo,MATCH(AC970,ctaNombre,0))&amp;"",""))</f>
        <v/>
      </c>
      <c r="AF970" s="53">
        <f>IF(OR(P970="",AB970=""),"",IF(OR(P970="Gasto",P970="Transferencia",P970="Pago tarjeta"),-1,1)*IF(IFERROR(INDEX(ctaMoneda,MATCH(AB970,ctaNombre,0))&amp;"","DOP")="USD",T970,S970))</f>
        <v/>
      </c>
      <c r="AG970" s="53">
        <f>IF(AC970="","",IF(IFERROR(INDEX(ctaMoneda,MATCH(AC970,ctaNombre,0))&amp;"","DOP")="USD",T970,S970))</f>
        <v/>
      </c>
      <c r="AH970" s="53">
        <f>IF(P970="","",IF(AND(AD970&lt;&gt;"",COUNTIFS(tcTipo,AD970,tcLiq,"Sí")&gt;0),IF(OR(P970="Gasto",P970="Transferencia",P970="Pago tarjeta"),-1,1)*S970,0)+IF(AND(AE970&lt;&gt;"",COUNTIFS(tcTipo,AE970,tcLiq,"Sí")&gt;0),S970,0))</f>
        <v/>
      </c>
      <c r="AI970" s="52">
        <f>IF(OR(L970="",P970=""),"",IF(COUNTIFS(L$6:L970,L970,P$6:P970,"?*")=1,MAX(AI$5:AI969)+1,""))</f>
        <v/>
      </c>
    </row>
    <row r="971">
      <c r="B971" s="47" t="n"/>
      <c r="C971" s="48" t="n"/>
      <c r="D971" s="48" t="n"/>
      <c r="E971" s="48" t="n"/>
      <c r="F971" s="48" t="n"/>
      <c r="G971" s="49" t="n"/>
      <c r="H971" s="48" t="n"/>
      <c r="I971" s="50" t="n"/>
      <c r="J971" s="48" t="n"/>
      <c r="K971" s="48" t="n"/>
      <c r="L971" s="48" t="n"/>
      <c r="M971" s="48" t="n"/>
      <c r="N971" s="48" t="n"/>
      <c r="O971" s="51">
        <f>IF(AND(B971="",G971="",C971="",D971="",J971=""),"",IF(B971="","⚠ Falta fecha",IF(G971="","⚠ Falta monto",IF(Q971="","⚠ Falta cuenta",IF(ISNA(MATCH(Q971,ctaNombre,0)),"⚠ Cuenta no registrada",IF(AND(OR(P971="Gasto",P971="Reembolso"),D971=""),"⚠ Falta categoría",IF(AND(D971&lt;&gt;"",E971&lt;&gt;"",ISNA(MATCH(D971&amp;"|"&amp;E971,catClave,0))),"⚠ Subcategoría no corresponde",IF(AND(OR(P971="Transferencia",P971="Pago tarjeta"),K971=""),"⚠ Falta cuenta destino",IF(AND(K971&lt;&gt;"",P971&lt;&gt;"Transferencia",P971&lt;&gt;"Pago tarjeta"),"⚠ Destino solo aplica a transferencias",IF(AND(K971&lt;&gt;"",K971=Q971),"⚠ Origen igual a destino",IF(AND(K971&lt;&gt;"",ISNA(MATCH(K971,ctaNombre,0))),"⚠ Destino no registrado",IF(AND(P971="Pago tarjeta",AE971&lt;&gt;"Tarjeta de crédito"),"⚠ El destino debe ser tarjeta de crédito",IF(AND(P971="Gasto",E971="Depósitos y retiros"),"⚠ Usa tipo Transferencia",IF(AND(P971="Resultado trading",AD971&lt;&gt;"Cuenta de trading"),"⚠ Usa una cuenta de trading",IF(AND(G971&lt;=0,P971&lt;&gt;"Ajuste",P971&lt;&gt;"Resultado trading"),"⚠ El monto debe ser positivo","✓")))))))))))))))</f>
        <v/>
      </c>
      <c r="P971" s="52">
        <f>IF(OR(B971="",G971=""),"",IF(C971="","Gasto",C971))</f>
        <v/>
      </c>
      <c r="Q971" s="52">
        <f>IF(P971="","",IF(J971&lt;&gt;"",J971,CuentaPred&amp;""))</f>
        <v/>
      </c>
      <c r="R971" s="52">
        <f>IF(P971="","",IF(ISNUMBER(I971),I971,TasaUSD))</f>
        <v/>
      </c>
      <c r="S971" s="53">
        <f>IF(P971="","",IF(H971="USD",G971*R971,G971))</f>
        <v/>
      </c>
      <c r="T971" s="53">
        <f>IF(P971="","",IF(H971="USD",G971,IF(R971&gt;0,G971/R971,0)))</f>
        <v/>
      </c>
      <c r="U971" s="53">
        <f>IF(P971="","",IF(P971="Gasto",S971,IF(P971="Reembolso",-S971,0)))</f>
        <v/>
      </c>
      <c r="V971" s="53">
        <f>IF(P971="","",IF(P971="Ingreso",S971,0))</f>
        <v/>
      </c>
      <c r="W971" s="53">
        <f>IF(P971="","",IF(P971="Resultado trading",S971,0))</f>
        <v/>
      </c>
      <c r="X971" s="52">
        <f>IF(OR(P971="Gasto",P971="Reembolso"),IF(M971&lt;&gt;"",M971,IFERROR(INDEX(catClasif,MATCH(D971&amp;"|"&amp;E971,catClave,0))&amp;"","Variable")),"")</f>
        <v/>
      </c>
      <c r="Y971" s="52">
        <f>IF(P971="","",IFERROR(INDEX(catGrupo,MATCH(D971&amp;"|"&amp;E971,catClave,0))&amp;"",""))</f>
        <v/>
      </c>
      <c r="Z971" s="52">
        <f>IF(P971="","",WEEKDAY(B971,2))</f>
        <v/>
      </c>
      <c r="AA971" s="52">
        <f>IF(P971="","",IF(AND(P971="Gasto",X971="Variable",D971&lt;&gt;catTrading,S971&gt;0,S971&lt;=Umbral),1,0))</f>
        <v/>
      </c>
      <c r="AB971" s="52">
        <f>IF(OR(P971="",Q971=""),"",IFERROR(IF(INDEX(ctaVinc,MATCH(Q971,ctaNombre,0))&amp;""&lt;&gt;"",INDEX(ctaVinc,MATCH(Q971,ctaNombre,0))&amp;"",Q971),Q971))</f>
        <v/>
      </c>
      <c r="AC971" s="52">
        <f>IF(OR(K971="",AND(P971&lt;&gt;"Transferencia",P971&lt;&gt;"Pago tarjeta")),"",IFERROR(IF(INDEX(ctaVinc,MATCH(K971,ctaNombre,0))&amp;""&lt;&gt;"",INDEX(ctaVinc,MATCH(K971,ctaNombre,0))&amp;"",K971),K971))</f>
        <v/>
      </c>
      <c r="AD971" s="52">
        <f>IF(AB971="","",IFERROR(INDEX(ctaTipo,MATCH(AB971,ctaNombre,0))&amp;"",""))</f>
        <v/>
      </c>
      <c r="AE971" s="52">
        <f>IF(AC971="","",IFERROR(INDEX(ctaTipo,MATCH(AC971,ctaNombre,0))&amp;"",""))</f>
        <v/>
      </c>
      <c r="AF971" s="53">
        <f>IF(OR(P971="",AB971=""),"",IF(OR(P971="Gasto",P971="Transferencia",P971="Pago tarjeta"),-1,1)*IF(IFERROR(INDEX(ctaMoneda,MATCH(AB971,ctaNombre,0))&amp;"","DOP")="USD",T971,S971))</f>
        <v/>
      </c>
      <c r="AG971" s="53">
        <f>IF(AC971="","",IF(IFERROR(INDEX(ctaMoneda,MATCH(AC971,ctaNombre,0))&amp;"","DOP")="USD",T971,S971))</f>
        <v/>
      </c>
      <c r="AH971" s="53">
        <f>IF(P971="","",IF(AND(AD971&lt;&gt;"",COUNTIFS(tcTipo,AD971,tcLiq,"Sí")&gt;0),IF(OR(P971="Gasto",P971="Transferencia",P971="Pago tarjeta"),-1,1)*S971,0)+IF(AND(AE971&lt;&gt;"",COUNTIFS(tcTipo,AE971,tcLiq,"Sí")&gt;0),S971,0))</f>
        <v/>
      </c>
      <c r="AI971" s="52">
        <f>IF(OR(L971="",P971=""),"",IF(COUNTIFS(L$6:L971,L971,P$6:P971,"?*")=1,MAX(AI$5:AI970)+1,""))</f>
        <v/>
      </c>
    </row>
    <row r="972">
      <c r="B972" s="47" t="n"/>
      <c r="C972" s="48" t="n"/>
      <c r="D972" s="48" t="n"/>
      <c r="E972" s="48" t="n"/>
      <c r="F972" s="48" t="n"/>
      <c r="G972" s="49" t="n"/>
      <c r="H972" s="48" t="n"/>
      <c r="I972" s="50" t="n"/>
      <c r="J972" s="48" t="n"/>
      <c r="K972" s="48" t="n"/>
      <c r="L972" s="48" t="n"/>
      <c r="M972" s="48" t="n"/>
      <c r="N972" s="48" t="n"/>
      <c r="O972" s="51">
        <f>IF(AND(B972="",G972="",C972="",D972="",J972=""),"",IF(B972="","⚠ Falta fecha",IF(G972="","⚠ Falta monto",IF(Q972="","⚠ Falta cuenta",IF(ISNA(MATCH(Q972,ctaNombre,0)),"⚠ Cuenta no registrada",IF(AND(OR(P972="Gasto",P972="Reembolso"),D972=""),"⚠ Falta categoría",IF(AND(D972&lt;&gt;"",E972&lt;&gt;"",ISNA(MATCH(D972&amp;"|"&amp;E972,catClave,0))),"⚠ Subcategoría no corresponde",IF(AND(OR(P972="Transferencia",P972="Pago tarjeta"),K972=""),"⚠ Falta cuenta destino",IF(AND(K972&lt;&gt;"",P972&lt;&gt;"Transferencia",P972&lt;&gt;"Pago tarjeta"),"⚠ Destino solo aplica a transferencias",IF(AND(K972&lt;&gt;"",K972=Q972),"⚠ Origen igual a destino",IF(AND(K972&lt;&gt;"",ISNA(MATCH(K972,ctaNombre,0))),"⚠ Destino no registrado",IF(AND(P972="Pago tarjeta",AE972&lt;&gt;"Tarjeta de crédito"),"⚠ El destino debe ser tarjeta de crédito",IF(AND(P972="Gasto",E972="Depósitos y retiros"),"⚠ Usa tipo Transferencia",IF(AND(P972="Resultado trading",AD972&lt;&gt;"Cuenta de trading"),"⚠ Usa una cuenta de trading",IF(AND(G972&lt;=0,P972&lt;&gt;"Ajuste",P972&lt;&gt;"Resultado trading"),"⚠ El monto debe ser positivo","✓")))))))))))))))</f>
        <v/>
      </c>
      <c r="P972" s="52">
        <f>IF(OR(B972="",G972=""),"",IF(C972="","Gasto",C972))</f>
        <v/>
      </c>
      <c r="Q972" s="52">
        <f>IF(P972="","",IF(J972&lt;&gt;"",J972,CuentaPred&amp;""))</f>
        <v/>
      </c>
      <c r="R972" s="52">
        <f>IF(P972="","",IF(ISNUMBER(I972),I972,TasaUSD))</f>
        <v/>
      </c>
      <c r="S972" s="53">
        <f>IF(P972="","",IF(H972="USD",G972*R972,G972))</f>
        <v/>
      </c>
      <c r="T972" s="53">
        <f>IF(P972="","",IF(H972="USD",G972,IF(R972&gt;0,G972/R972,0)))</f>
        <v/>
      </c>
      <c r="U972" s="53">
        <f>IF(P972="","",IF(P972="Gasto",S972,IF(P972="Reembolso",-S972,0)))</f>
        <v/>
      </c>
      <c r="V972" s="53">
        <f>IF(P972="","",IF(P972="Ingreso",S972,0))</f>
        <v/>
      </c>
      <c r="W972" s="53">
        <f>IF(P972="","",IF(P972="Resultado trading",S972,0))</f>
        <v/>
      </c>
      <c r="X972" s="52">
        <f>IF(OR(P972="Gasto",P972="Reembolso"),IF(M972&lt;&gt;"",M972,IFERROR(INDEX(catClasif,MATCH(D972&amp;"|"&amp;E972,catClave,0))&amp;"","Variable")),"")</f>
        <v/>
      </c>
      <c r="Y972" s="52">
        <f>IF(P972="","",IFERROR(INDEX(catGrupo,MATCH(D972&amp;"|"&amp;E972,catClave,0))&amp;"",""))</f>
        <v/>
      </c>
      <c r="Z972" s="52">
        <f>IF(P972="","",WEEKDAY(B972,2))</f>
        <v/>
      </c>
      <c r="AA972" s="52">
        <f>IF(P972="","",IF(AND(P972="Gasto",X972="Variable",D972&lt;&gt;catTrading,S972&gt;0,S972&lt;=Umbral),1,0))</f>
        <v/>
      </c>
      <c r="AB972" s="52">
        <f>IF(OR(P972="",Q972=""),"",IFERROR(IF(INDEX(ctaVinc,MATCH(Q972,ctaNombre,0))&amp;""&lt;&gt;"",INDEX(ctaVinc,MATCH(Q972,ctaNombre,0))&amp;"",Q972),Q972))</f>
        <v/>
      </c>
      <c r="AC972" s="52">
        <f>IF(OR(K972="",AND(P972&lt;&gt;"Transferencia",P972&lt;&gt;"Pago tarjeta")),"",IFERROR(IF(INDEX(ctaVinc,MATCH(K972,ctaNombre,0))&amp;""&lt;&gt;"",INDEX(ctaVinc,MATCH(K972,ctaNombre,0))&amp;"",K972),K972))</f>
        <v/>
      </c>
      <c r="AD972" s="52">
        <f>IF(AB972="","",IFERROR(INDEX(ctaTipo,MATCH(AB972,ctaNombre,0))&amp;"",""))</f>
        <v/>
      </c>
      <c r="AE972" s="52">
        <f>IF(AC972="","",IFERROR(INDEX(ctaTipo,MATCH(AC972,ctaNombre,0))&amp;"",""))</f>
        <v/>
      </c>
      <c r="AF972" s="53">
        <f>IF(OR(P972="",AB972=""),"",IF(OR(P972="Gasto",P972="Transferencia",P972="Pago tarjeta"),-1,1)*IF(IFERROR(INDEX(ctaMoneda,MATCH(AB972,ctaNombre,0))&amp;"","DOP")="USD",T972,S972))</f>
        <v/>
      </c>
      <c r="AG972" s="53">
        <f>IF(AC972="","",IF(IFERROR(INDEX(ctaMoneda,MATCH(AC972,ctaNombre,0))&amp;"","DOP")="USD",T972,S972))</f>
        <v/>
      </c>
      <c r="AH972" s="53">
        <f>IF(P972="","",IF(AND(AD972&lt;&gt;"",COUNTIFS(tcTipo,AD972,tcLiq,"Sí")&gt;0),IF(OR(P972="Gasto",P972="Transferencia",P972="Pago tarjeta"),-1,1)*S972,0)+IF(AND(AE972&lt;&gt;"",COUNTIFS(tcTipo,AE972,tcLiq,"Sí")&gt;0),S972,0))</f>
        <v/>
      </c>
      <c r="AI972" s="52">
        <f>IF(OR(L972="",P972=""),"",IF(COUNTIFS(L$6:L972,L972,P$6:P972,"?*")=1,MAX(AI$5:AI971)+1,""))</f>
        <v/>
      </c>
    </row>
    <row r="973">
      <c r="B973" s="47" t="n"/>
      <c r="C973" s="48" t="n"/>
      <c r="D973" s="48" t="n"/>
      <c r="E973" s="48" t="n"/>
      <c r="F973" s="48" t="n"/>
      <c r="G973" s="49" t="n"/>
      <c r="H973" s="48" t="n"/>
      <c r="I973" s="50" t="n"/>
      <c r="J973" s="48" t="n"/>
      <c r="K973" s="48" t="n"/>
      <c r="L973" s="48" t="n"/>
      <c r="M973" s="48" t="n"/>
      <c r="N973" s="48" t="n"/>
      <c r="O973" s="51">
        <f>IF(AND(B973="",G973="",C973="",D973="",J973=""),"",IF(B973="","⚠ Falta fecha",IF(G973="","⚠ Falta monto",IF(Q973="","⚠ Falta cuenta",IF(ISNA(MATCH(Q973,ctaNombre,0)),"⚠ Cuenta no registrada",IF(AND(OR(P973="Gasto",P973="Reembolso"),D973=""),"⚠ Falta categoría",IF(AND(D973&lt;&gt;"",E973&lt;&gt;"",ISNA(MATCH(D973&amp;"|"&amp;E973,catClave,0))),"⚠ Subcategoría no corresponde",IF(AND(OR(P973="Transferencia",P973="Pago tarjeta"),K973=""),"⚠ Falta cuenta destino",IF(AND(K973&lt;&gt;"",P973&lt;&gt;"Transferencia",P973&lt;&gt;"Pago tarjeta"),"⚠ Destino solo aplica a transferencias",IF(AND(K973&lt;&gt;"",K973=Q973),"⚠ Origen igual a destino",IF(AND(K973&lt;&gt;"",ISNA(MATCH(K973,ctaNombre,0))),"⚠ Destino no registrado",IF(AND(P973="Pago tarjeta",AE973&lt;&gt;"Tarjeta de crédito"),"⚠ El destino debe ser tarjeta de crédito",IF(AND(P973="Gasto",E973="Depósitos y retiros"),"⚠ Usa tipo Transferencia",IF(AND(P973="Resultado trading",AD973&lt;&gt;"Cuenta de trading"),"⚠ Usa una cuenta de trading",IF(AND(G973&lt;=0,P973&lt;&gt;"Ajuste",P973&lt;&gt;"Resultado trading"),"⚠ El monto debe ser positivo","✓")))))))))))))))</f>
        <v/>
      </c>
      <c r="P973" s="52">
        <f>IF(OR(B973="",G973=""),"",IF(C973="","Gasto",C973))</f>
        <v/>
      </c>
      <c r="Q973" s="52">
        <f>IF(P973="","",IF(J973&lt;&gt;"",J973,CuentaPred&amp;""))</f>
        <v/>
      </c>
      <c r="R973" s="52">
        <f>IF(P973="","",IF(ISNUMBER(I973),I973,TasaUSD))</f>
        <v/>
      </c>
      <c r="S973" s="53">
        <f>IF(P973="","",IF(H973="USD",G973*R973,G973))</f>
        <v/>
      </c>
      <c r="T973" s="53">
        <f>IF(P973="","",IF(H973="USD",G973,IF(R973&gt;0,G973/R973,0)))</f>
        <v/>
      </c>
      <c r="U973" s="53">
        <f>IF(P973="","",IF(P973="Gasto",S973,IF(P973="Reembolso",-S973,0)))</f>
        <v/>
      </c>
      <c r="V973" s="53">
        <f>IF(P973="","",IF(P973="Ingreso",S973,0))</f>
        <v/>
      </c>
      <c r="W973" s="53">
        <f>IF(P973="","",IF(P973="Resultado trading",S973,0))</f>
        <v/>
      </c>
      <c r="X973" s="52">
        <f>IF(OR(P973="Gasto",P973="Reembolso"),IF(M973&lt;&gt;"",M973,IFERROR(INDEX(catClasif,MATCH(D973&amp;"|"&amp;E973,catClave,0))&amp;"","Variable")),"")</f>
        <v/>
      </c>
      <c r="Y973" s="52">
        <f>IF(P973="","",IFERROR(INDEX(catGrupo,MATCH(D973&amp;"|"&amp;E973,catClave,0))&amp;"",""))</f>
        <v/>
      </c>
      <c r="Z973" s="52">
        <f>IF(P973="","",WEEKDAY(B973,2))</f>
        <v/>
      </c>
      <c r="AA973" s="52">
        <f>IF(P973="","",IF(AND(P973="Gasto",X973="Variable",D973&lt;&gt;catTrading,S973&gt;0,S973&lt;=Umbral),1,0))</f>
        <v/>
      </c>
      <c r="AB973" s="52">
        <f>IF(OR(P973="",Q973=""),"",IFERROR(IF(INDEX(ctaVinc,MATCH(Q973,ctaNombre,0))&amp;""&lt;&gt;"",INDEX(ctaVinc,MATCH(Q973,ctaNombre,0))&amp;"",Q973),Q973))</f>
        <v/>
      </c>
      <c r="AC973" s="52">
        <f>IF(OR(K973="",AND(P973&lt;&gt;"Transferencia",P973&lt;&gt;"Pago tarjeta")),"",IFERROR(IF(INDEX(ctaVinc,MATCH(K973,ctaNombre,0))&amp;""&lt;&gt;"",INDEX(ctaVinc,MATCH(K973,ctaNombre,0))&amp;"",K973),K973))</f>
        <v/>
      </c>
      <c r="AD973" s="52">
        <f>IF(AB973="","",IFERROR(INDEX(ctaTipo,MATCH(AB973,ctaNombre,0))&amp;"",""))</f>
        <v/>
      </c>
      <c r="AE973" s="52">
        <f>IF(AC973="","",IFERROR(INDEX(ctaTipo,MATCH(AC973,ctaNombre,0))&amp;"",""))</f>
        <v/>
      </c>
      <c r="AF973" s="53">
        <f>IF(OR(P973="",AB973=""),"",IF(OR(P973="Gasto",P973="Transferencia",P973="Pago tarjeta"),-1,1)*IF(IFERROR(INDEX(ctaMoneda,MATCH(AB973,ctaNombre,0))&amp;"","DOP")="USD",T973,S973))</f>
        <v/>
      </c>
      <c r="AG973" s="53">
        <f>IF(AC973="","",IF(IFERROR(INDEX(ctaMoneda,MATCH(AC973,ctaNombre,0))&amp;"","DOP")="USD",T973,S973))</f>
        <v/>
      </c>
      <c r="AH973" s="53">
        <f>IF(P973="","",IF(AND(AD973&lt;&gt;"",COUNTIFS(tcTipo,AD973,tcLiq,"Sí")&gt;0),IF(OR(P973="Gasto",P973="Transferencia",P973="Pago tarjeta"),-1,1)*S973,0)+IF(AND(AE973&lt;&gt;"",COUNTIFS(tcTipo,AE973,tcLiq,"Sí")&gt;0),S973,0))</f>
        <v/>
      </c>
      <c r="AI973" s="52">
        <f>IF(OR(L973="",P973=""),"",IF(COUNTIFS(L$6:L973,L973,P$6:P973,"?*")=1,MAX(AI$5:AI972)+1,""))</f>
        <v/>
      </c>
    </row>
    <row r="974">
      <c r="B974" s="47" t="n"/>
      <c r="C974" s="48" t="n"/>
      <c r="D974" s="48" t="n"/>
      <c r="E974" s="48" t="n"/>
      <c r="F974" s="48" t="n"/>
      <c r="G974" s="49" t="n"/>
      <c r="H974" s="48" t="n"/>
      <c r="I974" s="50" t="n"/>
      <c r="J974" s="48" t="n"/>
      <c r="K974" s="48" t="n"/>
      <c r="L974" s="48" t="n"/>
      <c r="M974" s="48" t="n"/>
      <c r="N974" s="48" t="n"/>
      <c r="O974" s="51">
        <f>IF(AND(B974="",G974="",C974="",D974="",J974=""),"",IF(B974="","⚠ Falta fecha",IF(G974="","⚠ Falta monto",IF(Q974="","⚠ Falta cuenta",IF(ISNA(MATCH(Q974,ctaNombre,0)),"⚠ Cuenta no registrada",IF(AND(OR(P974="Gasto",P974="Reembolso"),D974=""),"⚠ Falta categoría",IF(AND(D974&lt;&gt;"",E974&lt;&gt;"",ISNA(MATCH(D974&amp;"|"&amp;E974,catClave,0))),"⚠ Subcategoría no corresponde",IF(AND(OR(P974="Transferencia",P974="Pago tarjeta"),K974=""),"⚠ Falta cuenta destino",IF(AND(K974&lt;&gt;"",P974&lt;&gt;"Transferencia",P974&lt;&gt;"Pago tarjeta"),"⚠ Destino solo aplica a transferencias",IF(AND(K974&lt;&gt;"",K974=Q974),"⚠ Origen igual a destino",IF(AND(K974&lt;&gt;"",ISNA(MATCH(K974,ctaNombre,0))),"⚠ Destino no registrado",IF(AND(P974="Pago tarjeta",AE974&lt;&gt;"Tarjeta de crédito"),"⚠ El destino debe ser tarjeta de crédito",IF(AND(P974="Gasto",E974="Depósitos y retiros"),"⚠ Usa tipo Transferencia",IF(AND(P974="Resultado trading",AD974&lt;&gt;"Cuenta de trading"),"⚠ Usa una cuenta de trading",IF(AND(G974&lt;=0,P974&lt;&gt;"Ajuste",P974&lt;&gt;"Resultado trading"),"⚠ El monto debe ser positivo","✓")))))))))))))))</f>
        <v/>
      </c>
      <c r="P974" s="52">
        <f>IF(OR(B974="",G974=""),"",IF(C974="","Gasto",C974))</f>
        <v/>
      </c>
      <c r="Q974" s="52">
        <f>IF(P974="","",IF(J974&lt;&gt;"",J974,CuentaPred&amp;""))</f>
        <v/>
      </c>
      <c r="R974" s="52">
        <f>IF(P974="","",IF(ISNUMBER(I974),I974,TasaUSD))</f>
        <v/>
      </c>
      <c r="S974" s="53">
        <f>IF(P974="","",IF(H974="USD",G974*R974,G974))</f>
        <v/>
      </c>
      <c r="T974" s="53">
        <f>IF(P974="","",IF(H974="USD",G974,IF(R974&gt;0,G974/R974,0)))</f>
        <v/>
      </c>
      <c r="U974" s="53">
        <f>IF(P974="","",IF(P974="Gasto",S974,IF(P974="Reembolso",-S974,0)))</f>
        <v/>
      </c>
      <c r="V974" s="53">
        <f>IF(P974="","",IF(P974="Ingreso",S974,0))</f>
        <v/>
      </c>
      <c r="W974" s="53">
        <f>IF(P974="","",IF(P974="Resultado trading",S974,0))</f>
        <v/>
      </c>
      <c r="X974" s="52">
        <f>IF(OR(P974="Gasto",P974="Reembolso"),IF(M974&lt;&gt;"",M974,IFERROR(INDEX(catClasif,MATCH(D974&amp;"|"&amp;E974,catClave,0))&amp;"","Variable")),"")</f>
        <v/>
      </c>
      <c r="Y974" s="52">
        <f>IF(P974="","",IFERROR(INDEX(catGrupo,MATCH(D974&amp;"|"&amp;E974,catClave,0))&amp;"",""))</f>
        <v/>
      </c>
      <c r="Z974" s="52">
        <f>IF(P974="","",WEEKDAY(B974,2))</f>
        <v/>
      </c>
      <c r="AA974" s="52">
        <f>IF(P974="","",IF(AND(P974="Gasto",X974="Variable",D974&lt;&gt;catTrading,S974&gt;0,S974&lt;=Umbral),1,0))</f>
        <v/>
      </c>
      <c r="AB974" s="52">
        <f>IF(OR(P974="",Q974=""),"",IFERROR(IF(INDEX(ctaVinc,MATCH(Q974,ctaNombre,0))&amp;""&lt;&gt;"",INDEX(ctaVinc,MATCH(Q974,ctaNombre,0))&amp;"",Q974),Q974))</f>
        <v/>
      </c>
      <c r="AC974" s="52">
        <f>IF(OR(K974="",AND(P974&lt;&gt;"Transferencia",P974&lt;&gt;"Pago tarjeta")),"",IFERROR(IF(INDEX(ctaVinc,MATCH(K974,ctaNombre,0))&amp;""&lt;&gt;"",INDEX(ctaVinc,MATCH(K974,ctaNombre,0))&amp;"",K974),K974))</f>
        <v/>
      </c>
      <c r="AD974" s="52">
        <f>IF(AB974="","",IFERROR(INDEX(ctaTipo,MATCH(AB974,ctaNombre,0))&amp;"",""))</f>
        <v/>
      </c>
      <c r="AE974" s="52">
        <f>IF(AC974="","",IFERROR(INDEX(ctaTipo,MATCH(AC974,ctaNombre,0))&amp;"",""))</f>
        <v/>
      </c>
      <c r="AF974" s="53">
        <f>IF(OR(P974="",AB974=""),"",IF(OR(P974="Gasto",P974="Transferencia",P974="Pago tarjeta"),-1,1)*IF(IFERROR(INDEX(ctaMoneda,MATCH(AB974,ctaNombre,0))&amp;"","DOP")="USD",T974,S974))</f>
        <v/>
      </c>
      <c r="AG974" s="53">
        <f>IF(AC974="","",IF(IFERROR(INDEX(ctaMoneda,MATCH(AC974,ctaNombre,0))&amp;"","DOP")="USD",T974,S974))</f>
        <v/>
      </c>
      <c r="AH974" s="53">
        <f>IF(P974="","",IF(AND(AD974&lt;&gt;"",COUNTIFS(tcTipo,AD974,tcLiq,"Sí")&gt;0),IF(OR(P974="Gasto",P974="Transferencia",P974="Pago tarjeta"),-1,1)*S974,0)+IF(AND(AE974&lt;&gt;"",COUNTIFS(tcTipo,AE974,tcLiq,"Sí")&gt;0),S974,0))</f>
        <v/>
      </c>
      <c r="AI974" s="52">
        <f>IF(OR(L974="",P974=""),"",IF(COUNTIFS(L$6:L974,L974,P$6:P974,"?*")=1,MAX(AI$5:AI973)+1,""))</f>
        <v/>
      </c>
    </row>
    <row r="975">
      <c r="B975" s="47" t="n"/>
      <c r="C975" s="48" t="n"/>
      <c r="D975" s="48" t="n"/>
      <c r="E975" s="48" t="n"/>
      <c r="F975" s="48" t="n"/>
      <c r="G975" s="49" t="n"/>
      <c r="H975" s="48" t="n"/>
      <c r="I975" s="50" t="n"/>
      <c r="J975" s="48" t="n"/>
      <c r="K975" s="48" t="n"/>
      <c r="L975" s="48" t="n"/>
      <c r="M975" s="48" t="n"/>
      <c r="N975" s="48" t="n"/>
      <c r="O975" s="51">
        <f>IF(AND(B975="",G975="",C975="",D975="",J975=""),"",IF(B975="","⚠ Falta fecha",IF(G975="","⚠ Falta monto",IF(Q975="","⚠ Falta cuenta",IF(ISNA(MATCH(Q975,ctaNombre,0)),"⚠ Cuenta no registrada",IF(AND(OR(P975="Gasto",P975="Reembolso"),D975=""),"⚠ Falta categoría",IF(AND(D975&lt;&gt;"",E975&lt;&gt;"",ISNA(MATCH(D975&amp;"|"&amp;E975,catClave,0))),"⚠ Subcategoría no corresponde",IF(AND(OR(P975="Transferencia",P975="Pago tarjeta"),K975=""),"⚠ Falta cuenta destino",IF(AND(K975&lt;&gt;"",P975&lt;&gt;"Transferencia",P975&lt;&gt;"Pago tarjeta"),"⚠ Destino solo aplica a transferencias",IF(AND(K975&lt;&gt;"",K975=Q975),"⚠ Origen igual a destino",IF(AND(K975&lt;&gt;"",ISNA(MATCH(K975,ctaNombre,0))),"⚠ Destino no registrado",IF(AND(P975="Pago tarjeta",AE975&lt;&gt;"Tarjeta de crédito"),"⚠ El destino debe ser tarjeta de crédito",IF(AND(P975="Gasto",E975="Depósitos y retiros"),"⚠ Usa tipo Transferencia",IF(AND(P975="Resultado trading",AD975&lt;&gt;"Cuenta de trading"),"⚠ Usa una cuenta de trading",IF(AND(G975&lt;=0,P975&lt;&gt;"Ajuste",P975&lt;&gt;"Resultado trading"),"⚠ El monto debe ser positivo","✓")))))))))))))))</f>
        <v/>
      </c>
      <c r="P975" s="52">
        <f>IF(OR(B975="",G975=""),"",IF(C975="","Gasto",C975))</f>
        <v/>
      </c>
      <c r="Q975" s="52">
        <f>IF(P975="","",IF(J975&lt;&gt;"",J975,CuentaPred&amp;""))</f>
        <v/>
      </c>
      <c r="R975" s="52">
        <f>IF(P975="","",IF(ISNUMBER(I975),I975,TasaUSD))</f>
        <v/>
      </c>
      <c r="S975" s="53">
        <f>IF(P975="","",IF(H975="USD",G975*R975,G975))</f>
        <v/>
      </c>
      <c r="T975" s="53">
        <f>IF(P975="","",IF(H975="USD",G975,IF(R975&gt;0,G975/R975,0)))</f>
        <v/>
      </c>
      <c r="U975" s="53">
        <f>IF(P975="","",IF(P975="Gasto",S975,IF(P975="Reembolso",-S975,0)))</f>
        <v/>
      </c>
      <c r="V975" s="53">
        <f>IF(P975="","",IF(P975="Ingreso",S975,0))</f>
        <v/>
      </c>
      <c r="W975" s="53">
        <f>IF(P975="","",IF(P975="Resultado trading",S975,0))</f>
        <v/>
      </c>
      <c r="X975" s="52">
        <f>IF(OR(P975="Gasto",P975="Reembolso"),IF(M975&lt;&gt;"",M975,IFERROR(INDEX(catClasif,MATCH(D975&amp;"|"&amp;E975,catClave,0))&amp;"","Variable")),"")</f>
        <v/>
      </c>
      <c r="Y975" s="52">
        <f>IF(P975="","",IFERROR(INDEX(catGrupo,MATCH(D975&amp;"|"&amp;E975,catClave,0))&amp;"",""))</f>
        <v/>
      </c>
      <c r="Z975" s="52">
        <f>IF(P975="","",WEEKDAY(B975,2))</f>
        <v/>
      </c>
      <c r="AA975" s="52">
        <f>IF(P975="","",IF(AND(P975="Gasto",X975="Variable",D975&lt;&gt;catTrading,S975&gt;0,S975&lt;=Umbral),1,0))</f>
        <v/>
      </c>
      <c r="AB975" s="52">
        <f>IF(OR(P975="",Q975=""),"",IFERROR(IF(INDEX(ctaVinc,MATCH(Q975,ctaNombre,0))&amp;""&lt;&gt;"",INDEX(ctaVinc,MATCH(Q975,ctaNombre,0))&amp;"",Q975),Q975))</f>
        <v/>
      </c>
      <c r="AC975" s="52">
        <f>IF(OR(K975="",AND(P975&lt;&gt;"Transferencia",P975&lt;&gt;"Pago tarjeta")),"",IFERROR(IF(INDEX(ctaVinc,MATCH(K975,ctaNombre,0))&amp;""&lt;&gt;"",INDEX(ctaVinc,MATCH(K975,ctaNombre,0))&amp;"",K975),K975))</f>
        <v/>
      </c>
      <c r="AD975" s="52">
        <f>IF(AB975="","",IFERROR(INDEX(ctaTipo,MATCH(AB975,ctaNombre,0))&amp;"",""))</f>
        <v/>
      </c>
      <c r="AE975" s="52">
        <f>IF(AC975="","",IFERROR(INDEX(ctaTipo,MATCH(AC975,ctaNombre,0))&amp;"",""))</f>
        <v/>
      </c>
      <c r="AF975" s="53">
        <f>IF(OR(P975="",AB975=""),"",IF(OR(P975="Gasto",P975="Transferencia",P975="Pago tarjeta"),-1,1)*IF(IFERROR(INDEX(ctaMoneda,MATCH(AB975,ctaNombre,0))&amp;"","DOP")="USD",T975,S975))</f>
        <v/>
      </c>
      <c r="AG975" s="53">
        <f>IF(AC975="","",IF(IFERROR(INDEX(ctaMoneda,MATCH(AC975,ctaNombre,0))&amp;"","DOP")="USD",T975,S975))</f>
        <v/>
      </c>
      <c r="AH975" s="53">
        <f>IF(P975="","",IF(AND(AD975&lt;&gt;"",COUNTIFS(tcTipo,AD975,tcLiq,"Sí")&gt;0),IF(OR(P975="Gasto",P975="Transferencia",P975="Pago tarjeta"),-1,1)*S975,0)+IF(AND(AE975&lt;&gt;"",COUNTIFS(tcTipo,AE975,tcLiq,"Sí")&gt;0),S975,0))</f>
        <v/>
      </c>
      <c r="AI975" s="52">
        <f>IF(OR(L975="",P975=""),"",IF(COUNTIFS(L$6:L975,L975,P$6:P975,"?*")=1,MAX(AI$5:AI974)+1,""))</f>
        <v/>
      </c>
    </row>
    <row r="976">
      <c r="B976" s="47" t="n"/>
      <c r="C976" s="48" t="n"/>
      <c r="D976" s="48" t="n"/>
      <c r="E976" s="48" t="n"/>
      <c r="F976" s="48" t="n"/>
      <c r="G976" s="49" t="n"/>
      <c r="H976" s="48" t="n"/>
      <c r="I976" s="50" t="n"/>
      <c r="J976" s="48" t="n"/>
      <c r="K976" s="48" t="n"/>
      <c r="L976" s="48" t="n"/>
      <c r="M976" s="48" t="n"/>
      <c r="N976" s="48" t="n"/>
      <c r="O976" s="51">
        <f>IF(AND(B976="",G976="",C976="",D976="",J976=""),"",IF(B976="","⚠ Falta fecha",IF(G976="","⚠ Falta monto",IF(Q976="","⚠ Falta cuenta",IF(ISNA(MATCH(Q976,ctaNombre,0)),"⚠ Cuenta no registrada",IF(AND(OR(P976="Gasto",P976="Reembolso"),D976=""),"⚠ Falta categoría",IF(AND(D976&lt;&gt;"",E976&lt;&gt;"",ISNA(MATCH(D976&amp;"|"&amp;E976,catClave,0))),"⚠ Subcategoría no corresponde",IF(AND(OR(P976="Transferencia",P976="Pago tarjeta"),K976=""),"⚠ Falta cuenta destino",IF(AND(K976&lt;&gt;"",P976&lt;&gt;"Transferencia",P976&lt;&gt;"Pago tarjeta"),"⚠ Destino solo aplica a transferencias",IF(AND(K976&lt;&gt;"",K976=Q976),"⚠ Origen igual a destino",IF(AND(K976&lt;&gt;"",ISNA(MATCH(K976,ctaNombre,0))),"⚠ Destino no registrado",IF(AND(P976="Pago tarjeta",AE976&lt;&gt;"Tarjeta de crédito"),"⚠ El destino debe ser tarjeta de crédito",IF(AND(P976="Gasto",E976="Depósitos y retiros"),"⚠ Usa tipo Transferencia",IF(AND(P976="Resultado trading",AD976&lt;&gt;"Cuenta de trading"),"⚠ Usa una cuenta de trading",IF(AND(G976&lt;=0,P976&lt;&gt;"Ajuste",P976&lt;&gt;"Resultado trading"),"⚠ El monto debe ser positivo","✓")))))))))))))))</f>
        <v/>
      </c>
      <c r="P976" s="52">
        <f>IF(OR(B976="",G976=""),"",IF(C976="","Gasto",C976))</f>
        <v/>
      </c>
      <c r="Q976" s="52">
        <f>IF(P976="","",IF(J976&lt;&gt;"",J976,CuentaPred&amp;""))</f>
        <v/>
      </c>
      <c r="R976" s="52">
        <f>IF(P976="","",IF(ISNUMBER(I976),I976,TasaUSD))</f>
        <v/>
      </c>
      <c r="S976" s="53">
        <f>IF(P976="","",IF(H976="USD",G976*R976,G976))</f>
        <v/>
      </c>
      <c r="T976" s="53">
        <f>IF(P976="","",IF(H976="USD",G976,IF(R976&gt;0,G976/R976,0)))</f>
        <v/>
      </c>
      <c r="U976" s="53">
        <f>IF(P976="","",IF(P976="Gasto",S976,IF(P976="Reembolso",-S976,0)))</f>
        <v/>
      </c>
      <c r="V976" s="53">
        <f>IF(P976="","",IF(P976="Ingreso",S976,0))</f>
        <v/>
      </c>
      <c r="W976" s="53">
        <f>IF(P976="","",IF(P976="Resultado trading",S976,0))</f>
        <v/>
      </c>
      <c r="X976" s="52">
        <f>IF(OR(P976="Gasto",P976="Reembolso"),IF(M976&lt;&gt;"",M976,IFERROR(INDEX(catClasif,MATCH(D976&amp;"|"&amp;E976,catClave,0))&amp;"","Variable")),"")</f>
        <v/>
      </c>
      <c r="Y976" s="52">
        <f>IF(P976="","",IFERROR(INDEX(catGrupo,MATCH(D976&amp;"|"&amp;E976,catClave,0))&amp;"",""))</f>
        <v/>
      </c>
      <c r="Z976" s="52">
        <f>IF(P976="","",WEEKDAY(B976,2))</f>
        <v/>
      </c>
      <c r="AA976" s="52">
        <f>IF(P976="","",IF(AND(P976="Gasto",X976="Variable",D976&lt;&gt;catTrading,S976&gt;0,S976&lt;=Umbral),1,0))</f>
        <v/>
      </c>
      <c r="AB976" s="52">
        <f>IF(OR(P976="",Q976=""),"",IFERROR(IF(INDEX(ctaVinc,MATCH(Q976,ctaNombre,0))&amp;""&lt;&gt;"",INDEX(ctaVinc,MATCH(Q976,ctaNombre,0))&amp;"",Q976),Q976))</f>
        <v/>
      </c>
      <c r="AC976" s="52">
        <f>IF(OR(K976="",AND(P976&lt;&gt;"Transferencia",P976&lt;&gt;"Pago tarjeta")),"",IFERROR(IF(INDEX(ctaVinc,MATCH(K976,ctaNombre,0))&amp;""&lt;&gt;"",INDEX(ctaVinc,MATCH(K976,ctaNombre,0))&amp;"",K976),K976))</f>
        <v/>
      </c>
      <c r="AD976" s="52">
        <f>IF(AB976="","",IFERROR(INDEX(ctaTipo,MATCH(AB976,ctaNombre,0))&amp;"",""))</f>
        <v/>
      </c>
      <c r="AE976" s="52">
        <f>IF(AC976="","",IFERROR(INDEX(ctaTipo,MATCH(AC976,ctaNombre,0))&amp;"",""))</f>
        <v/>
      </c>
      <c r="AF976" s="53">
        <f>IF(OR(P976="",AB976=""),"",IF(OR(P976="Gasto",P976="Transferencia",P976="Pago tarjeta"),-1,1)*IF(IFERROR(INDEX(ctaMoneda,MATCH(AB976,ctaNombre,0))&amp;"","DOP")="USD",T976,S976))</f>
        <v/>
      </c>
      <c r="AG976" s="53">
        <f>IF(AC976="","",IF(IFERROR(INDEX(ctaMoneda,MATCH(AC976,ctaNombre,0))&amp;"","DOP")="USD",T976,S976))</f>
        <v/>
      </c>
      <c r="AH976" s="53">
        <f>IF(P976="","",IF(AND(AD976&lt;&gt;"",COUNTIFS(tcTipo,AD976,tcLiq,"Sí")&gt;0),IF(OR(P976="Gasto",P976="Transferencia",P976="Pago tarjeta"),-1,1)*S976,0)+IF(AND(AE976&lt;&gt;"",COUNTIFS(tcTipo,AE976,tcLiq,"Sí")&gt;0),S976,0))</f>
        <v/>
      </c>
      <c r="AI976" s="52">
        <f>IF(OR(L976="",P976=""),"",IF(COUNTIFS(L$6:L976,L976,P$6:P976,"?*")=1,MAX(AI$5:AI975)+1,""))</f>
        <v/>
      </c>
    </row>
    <row r="977">
      <c r="B977" s="47" t="n"/>
      <c r="C977" s="48" t="n"/>
      <c r="D977" s="48" t="n"/>
      <c r="E977" s="48" t="n"/>
      <c r="F977" s="48" t="n"/>
      <c r="G977" s="49" t="n"/>
      <c r="H977" s="48" t="n"/>
      <c r="I977" s="50" t="n"/>
      <c r="J977" s="48" t="n"/>
      <c r="K977" s="48" t="n"/>
      <c r="L977" s="48" t="n"/>
      <c r="M977" s="48" t="n"/>
      <c r="N977" s="48" t="n"/>
      <c r="O977" s="51">
        <f>IF(AND(B977="",G977="",C977="",D977="",J977=""),"",IF(B977="","⚠ Falta fecha",IF(G977="","⚠ Falta monto",IF(Q977="","⚠ Falta cuenta",IF(ISNA(MATCH(Q977,ctaNombre,0)),"⚠ Cuenta no registrada",IF(AND(OR(P977="Gasto",P977="Reembolso"),D977=""),"⚠ Falta categoría",IF(AND(D977&lt;&gt;"",E977&lt;&gt;"",ISNA(MATCH(D977&amp;"|"&amp;E977,catClave,0))),"⚠ Subcategoría no corresponde",IF(AND(OR(P977="Transferencia",P977="Pago tarjeta"),K977=""),"⚠ Falta cuenta destino",IF(AND(K977&lt;&gt;"",P977&lt;&gt;"Transferencia",P977&lt;&gt;"Pago tarjeta"),"⚠ Destino solo aplica a transferencias",IF(AND(K977&lt;&gt;"",K977=Q977),"⚠ Origen igual a destino",IF(AND(K977&lt;&gt;"",ISNA(MATCH(K977,ctaNombre,0))),"⚠ Destino no registrado",IF(AND(P977="Pago tarjeta",AE977&lt;&gt;"Tarjeta de crédito"),"⚠ El destino debe ser tarjeta de crédito",IF(AND(P977="Gasto",E977="Depósitos y retiros"),"⚠ Usa tipo Transferencia",IF(AND(P977="Resultado trading",AD977&lt;&gt;"Cuenta de trading"),"⚠ Usa una cuenta de trading",IF(AND(G977&lt;=0,P977&lt;&gt;"Ajuste",P977&lt;&gt;"Resultado trading"),"⚠ El monto debe ser positivo","✓")))))))))))))))</f>
        <v/>
      </c>
      <c r="P977" s="52">
        <f>IF(OR(B977="",G977=""),"",IF(C977="","Gasto",C977))</f>
        <v/>
      </c>
      <c r="Q977" s="52">
        <f>IF(P977="","",IF(J977&lt;&gt;"",J977,CuentaPred&amp;""))</f>
        <v/>
      </c>
      <c r="R977" s="52">
        <f>IF(P977="","",IF(ISNUMBER(I977),I977,TasaUSD))</f>
        <v/>
      </c>
      <c r="S977" s="53">
        <f>IF(P977="","",IF(H977="USD",G977*R977,G977))</f>
        <v/>
      </c>
      <c r="T977" s="53">
        <f>IF(P977="","",IF(H977="USD",G977,IF(R977&gt;0,G977/R977,0)))</f>
        <v/>
      </c>
      <c r="U977" s="53">
        <f>IF(P977="","",IF(P977="Gasto",S977,IF(P977="Reembolso",-S977,0)))</f>
        <v/>
      </c>
      <c r="V977" s="53">
        <f>IF(P977="","",IF(P977="Ingreso",S977,0))</f>
        <v/>
      </c>
      <c r="W977" s="53">
        <f>IF(P977="","",IF(P977="Resultado trading",S977,0))</f>
        <v/>
      </c>
      <c r="X977" s="52">
        <f>IF(OR(P977="Gasto",P977="Reembolso"),IF(M977&lt;&gt;"",M977,IFERROR(INDEX(catClasif,MATCH(D977&amp;"|"&amp;E977,catClave,0))&amp;"","Variable")),"")</f>
        <v/>
      </c>
      <c r="Y977" s="52">
        <f>IF(P977="","",IFERROR(INDEX(catGrupo,MATCH(D977&amp;"|"&amp;E977,catClave,0))&amp;"",""))</f>
        <v/>
      </c>
      <c r="Z977" s="52">
        <f>IF(P977="","",WEEKDAY(B977,2))</f>
        <v/>
      </c>
      <c r="AA977" s="52">
        <f>IF(P977="","",IF(AND(P977="Gasto",X977="Variable",D977&lt;&gt;catTrading,S977&gt;0,S977&lt;=Umbral),1,0))</f>
        <v/>
      </c>
      <c r="AB977" s="52">
        <f>IF(OR(P977="",Q977=""),"",IFERROR(IF(INDEX(ctaVinc,MATCH(Q977,ctaNombre,0))&amp;""&lt;&gt;"",INDEX(ctaVinc,MATCH(Q977,ctaNombre,0))&amp;"",Q977),Q977))</f>
        <v/>
      </c>
      <c r="AC977" s="52">
        <f>IF(OR(K977="",AND(P977&lt;&gt;"Transferencia",P977&lt;&gt;"Pago tarjeta")),"",IFERROR(IF(INDEX(ctaVinc,MATCH(K977,ctaNombre,0))&amp;""&lt;&gt;"",INDEX(ctaVinc,MATCH(K977,ctaNombre,0))&amp;"",K977),K977))</f>
        <v/>
      </c>
      <c r="AD977" s="52">
        <f>IF(AB977="","",IFERROR(INDEX(ctaTipo,MATCH(AB977,ctaNombre,0))&amp;"",""))</f>
        <v/>
      </c>
      <c r="AE977" s="52">
        <f>IF(AC977="","",IFERROR(INDEX(ctaTipo,MATCH(AC977,ctaNombre,0))&amp;"",""))</f>
        <v/>
      </c>
      <c r="AF977" s="53">
        <f>IF(OR(P977="",AB977=""),"",IF(OR(P977="Gasto",P977="Transferencia",P977="Pago tarjeta"),-1,1)*IF(IFERROR(INDEX(ctaMoneda,MATCH(AB977,ctaNombre,0))&amp;"","DOP")="USD",T977,S977))</f>
        <v/>
      </c>
      <c r="AG977" s="53">
        <f>IF(AC977="","",IF(IFERROR(INDEX(ctaMoneda,MATCH(AC977,ctaNombre,0))&amp;"","DOP")="USD",T977,S977))</f>
        <v/>
      </c>
      <c r="AH977" s="53">
        <f>IF(P977="","",IF(AND(AD977&lt;&gt;"",COUNTIFS(tcTipo,AD977,tcLiq,"Sí")&gt;0),IF(OR(P977="Gasto",P977="Transferencia",P977="Pago tarjeta"),-1,1)*S977,0)+IF(AND(AE977&lt;&gt;"",COUNTIFS(tcTipo,AE977,tcLiq,"Sí")&gt;0),S977,0))</f>
        <v/>
      </c>
      <c r="AI977" s="52">
        <f>IF(OR(L977="",P977=""),"",IF(COUNTIFS(L$6:L977,L977,P$6:P977,"?*")=1,MAX(AI$5:AI976)+1,""))</f>
        <v/>
      </c>
    </row>
    <row r="978">
      <c r="B978" s="47" t="n"/>
      <c r="C978" s="48" t="n"/>
      <c r="D978" s="48" t="n"/>
      <c r="E978" s="48" t="n"/>
      <c r="F978" s="48" t="n"/>
      <c r="G978" s="49" t="n"/>
      <c r="H978" s="48" t="n"/>
      <c r="I978" s="50" t="n"/>
      <c r="J978" s="48" t="n"/>
      <c r="K978" s="48" t="n"/>
      <c r="L978" s="48" t="n"/>
      <c r="M978" s="48" t="n"/>
      <c r="N978" s="48" t="n"/>
      <c r="O978" s="51">
        <f>IF(AND(B978="",G978="",C978="",D978="",J978=""),"",IF(B978="","⚠ Falta fecha",IF(G978="","⚠ Falta monto",IF(Q978="","⚠ Falta cuenta",IF(ISNA(MATCH(Q978,ctaNombre,0)),"⚠ Cuenta no registrada",IF(AND(OR(P978="Gasto",P978="Reembolso"),D978=""),"⚠ Falta categoría",IF(AND(D978&lt;&gt;"",E978&lt;&gt;"",ISNA(MATCH(D978&amp;"|"&amp;E978,catClave,0))),"⚠ Subcategoría no corresponde",IF(AND(OR(P978="Transferencia",P978="Pago tarjeta"),K978=""),"⚠ Falta cuenta destino",IF(AND(K978&lt;&gt;"",P978&lt;&gt;"Transferencia",P978&lt;&gt;"Pago tarjeta"),"⚠ Destino solo aplica a transferencias",IF(AND(K978&lt;&gt;"",K978=Q978),"⚠ Origen igual a destino",IF(AND(K978&lt;&gt;"",ISNA(MATCH(K978,ctaNombre,0))),"⚠ Destino no registrado",IF(AND(P978="Pago tarjeta",AE978&lt;&gt;"Tarjeta de crédito"),"⚠ El destino debe ser tarjeta de crédito",IF(AND(P978="Gasto",E978="Depósitos y retiros"),"⚠ Usa tipo Transferencia",IF(AND(P978="Resultado trading",AD978&lt;&gt;"Cuenta de trading"),"⚠ Usa una cuenta de trading",IF(AND(G978&lt;=0,P978&lt;&gt;"Ajuste",P978&lt;&gt;"Resultado trading"),"⚠ El monto debe ser positivo","✓")))))))))))))))</f>
        <v/>
      </c>
      <c r="P978" s="52">
        <f>IF(OR(B978="",G978=""),"",IF(C978="","Gasto",C978))</f>
        <v/>
      </c>
      <c r="Q978" s="52">
        <f>IF(P978="","",IF(J978&lt;&gt;"",J978,CuentaPred&amp;""))</f>
        <v/>
      </c>
      <c r="R978" s="52">
        <f>IF(P978="","",IF(ISNUMBER(I978),I978,TasaUSD))</f>
        <v/>
      </c>
      <c r="S978" s="53">
        <f>IF(P978="","",IF(H978="USD",G978*R978,G978))</f>
        <v/>
      </c>
      <c r="T978" s="53">
        <f>IF(P978="","",IF(H978="USD",G978,IF(R978&gt;0,G978/R978,0)))</f>
        <v/>
      </c>
      <c r="U978" s="53">
        <f>IF(P978="","",IF(P978="Gasto",S978,IF(P978="Reembolso",-S978,0)))</f>
        <v/>
      </c>
      <c r="V978" s="53">
        <f>IF(P978="","",IF(P978="Ingreso",S978,0))</f>
        <v/>
      </c>
      <c r="W978" s="53">
        <f>IF(P978="","",IF(P978="Resultado trading",S978,0))</f>
        <v/>
      </c>
      <c r="X978" s="52">
        <f>IF(OR(P978="Gasto",P978="Reembolso"),IF(M978&lt;&gt;"",M978,IFERROR(INDEX(catClasif,MATCH(D978&amp;"|"&amp;E978,catClave,0))&amp;"","Variable")),"")</f>
        <v/>
      </c>
      <c r="Y978" s="52">
        <f>IF(P978="","",IFERROR(INDEX(catGrupo,MATCH(D978&amp;"|"&amp;E978,catClave,0))&amp;"",""))</f>
        <v/>
      </c>
      <c r="Z978" s="52">
        <f>IF(P978="","",WEEKDAY(B978,2))</f>
        <v/>
      </c>
      <c r="AA978" s="52">
        <f>IF(P978="","",IF(AND(P978="Gasto",X978="Variable",D978&lt;&gt;catTrading,S978&gt;0,S978&lt;=Umbral),1,0))</f>
        <v/>
      </c>
      <c r="AB978" s="52">
        <f>IF(OR(P978="",Q978=""),"",IFERROR(IF(INDEX(ctaVinc,MATCH(Q978,ctaNombre,0))&amp;""&lt;&gt;"",INDEX(ctaVinc,MATCH(Q978,ctaNombre,0))&amp;"",Q978),Q978))</f>
        <v/>
      </c>
      <c r="AC978" s="52">
        <f>IF(OR(K978="",AND(P978&lt;&gt;"Transferencia",P978&lt;&gt;"Pago tarjeta")),"",IFERROR(IF(INDEX(ctaVinc,MATCH(K978,ctaNombre,0))&amp;""&lt;&gt;"",INDEX(ctaVinc,MATCH(K978,ctaNombre,0))&amp;"",K978),K978))</f>
        <v/>
      </c>
      <c r="AD978" s="52">
        <f>IF(AB978="","",IFERROR(INDEX(ctaTipo,MATCH(AB978,ctaNombre,0))&amp;"",""))</f>
        <v/>
      </c>
      <c r="AE978" s="52">
        <f>IF(AC978="","",IFERROR(INDEX(ctaTipo,MATCH(AC978,ctaNombre,0))&amp;"",""))</f>
        <v/>
      </c>
      <c r="AF978" s="53">
        <f>IF(OR(P978="",AB978=""),"",IF(OR(P978="Gasto",P978="Transferencia",P978="Pago tarjeta"),-1,1)*IF(IFERROR(INDEX(ctaMoneda,MATCH(AB978,ctaNombre,0))&amp;"","DOP")="USD",T978,S978))</f>
        <v/>
      </c>
      <c r="AG978" s="53">
        <f>IF(AC978="","",IF(IFERROR(INDEX(ctaMoneda,MATCH(AC978,ctaNombre,0))&amp;"","DOP")="USD",T978,S978))</f>
        <v/>
      </c>
      <c r="AH978" s="53">
        <f>IF(P978="","",IF(AND(AD978&lt;&gt;"",COUNTIFS(tcTipo,AD978,tcLiq,"Sí")&gt;0),IF(OR(P978="Gasto",P978="Transferencia",P978="Pago tarjeta"),-1,1)*S978,0)+IF(AND(AE978&lt;&gt;"",COUNTIFS(tcTipo,AE978,tcLiq,"Sí")&gt;0),S978,0))</f>
        <v/>
      </c>
      <c r="AI978" s="52">
        <f>IF(OR(L978="",P978=""),"",IF(COUNTIFS(L$6:L978,L978,P$6:P978,"?*")=1,MAX(AI$5:AI977)+1,""))</f>
        <v/>
      </c>
    </row>
    <row r="979">
      <c r="B979" s="47" t="n"/>
      <c r="C979" s="48" t="n"/>
      <c r="D979" s="48" t="n"/>
      <c r="E979" s="48" t="n"/>
      <c r="F979" s="48" t="n"/>
      <c r="G979" s="49" t="n"/>
      <c r="H979" s="48" t="n"/>
      <c r="I979" s="50" t="n"/>
      <c r="J979" s="48" t="n"/>
      <c r="K979" s="48" t="n"/>
      <c r="L979" s="48" t="n"/>
      <c r="M979" s="48" t="n"/>
      <c r="N979" s="48" t="n"/>
      <c r="O979" s="51">
        <f>IF(AND(B979="",G979="",C979="",D979="",J979=""),"",IF(B979="","⚠ Falta fecha",IF(G979="","⚠ Falta monto",IF(Q979="","⚠ Falta cuenta",IF(ISNA(MATCH(Q979,ctaNombre,0)),"⚠ Cuenta no registrada",IF(AND(OR(P979="Gasto",P979="Reembolso"),D979=""),"⚠ Falta categoría",IF(AND(D979&lt;&gt;"",E979&lt;&gt;"",ISNA(MATCH(D979&amp;"|"&amp;E979,catClave,0))),"⚠ Subcategoría no corresponde",IF(AND(OR(P979="Transferencia",P979="Pago tarjeta"),K979=""),"⚠ Falta cuenta destino",IF(AND(K979&lt;&gt;"",P979&lt;&gt;"Transferencia",P979&lt;&gt;"Pago tarjeta"),"⚠ Destino solo aplica a transferencias",IF(AND(K979&lt;&gt;"",K979=Q979),"⚠ Origen igual a destino",IF(AND(K979&lt;&gt;"",ISNA(MATCH(K979,ctaNombre,0))),"⚠ Destino no registrado",IF(AND(P979="Pago tarjeta",AE979&lt;&gt;"Tarjeta de crédito"),"⚠ El destino debe ser tarjeta de crédito",IF(AND(P979="Gasto",E979="Depósitos y retiros"),"⚠ Usa tipo Transferencia",IF(AND(P979="Resultado trading",AD979&lt;&gt;"Cuenta de trading"),"⚠ Usa una cuenta de trading",IF(AND(G979&lt;=0,P979&lt;&gt;"Ajuste",P979&lt;&gt;"Resultado trading"),"⚠ El monto debe ser positivo","✓")))))))))))))))</f>
        <v/>
      </c>
      <c r="P979" s="52">
        <f>IF(OR(B979="",G979=""),"",IF(C979="","Gasto",C979))</f>
        <v/>
      </c>
      <c r="Q979" s="52">
        <f>IF(P979="","",IF(J979&lt;&gt;"",J979,CuentaPred&amp;""))</f>
        <v/>
      </c>
      <c r="R979" s="52">
        <f>IF(P979="","",IF(ISNUMBER(I979),I979,TasaUSD))</f>
        <v/>
      </c>
      <c r="S979" s="53">
        <f>IF(P979="","",IF(H979="USD",G979*R979,G979))</f>
        <v/>
      </c>
      <c r="T979" s="53">
        <f>IF(P979="","",IF(H979="USD",G979,IF(R979&gt;0,G979/R979,0)))</f>
        <v/>
      </c>
      <c r="U979" s="53">
        <f>IF(P979="","",IF(P979="Gasto",S979,IF(P979="Reembolso",-S979,0)))</f>
        <v/>
      </c>
      <c r="V979" s="53">
        <f>IF(P979="","",IF(P979="Ingreso",S979,0))</f>
        <v/>
      </c>
      <c r="W979" s="53">
        <f>IF(P979="","",IF(P979="Resultado trading",S979,0))</f>
        <v/>
      </c>
      <c r="X979" s="52">
        <f>IF(OR(P979="Gasto",P979="Reembolso"),IF(M979&lt;&gt;"",M979,IFERROR(INDEX(catClasif,MATCH(D979&amp;"|"&amp;E979,catClave,0))&amp;"","Variable")),"")</f>
        <v/>
      </c>
      <c r="Y979" s="52">
        <f>IF(P979="","",IFERROR(INDEX(catGrupo,MATCH(D979&amp;"|"&amp;E979,catClave,0))&amp;"",""))</f>
        <v/>
      </c>
      <c r="Z979" s="52">
        <f>IF(P979="","",WEEKDAY(B979,2))</f>
        <v/>
      </c>
      <c r="AA979" s="52">
        <f>IF(P979="","",IF(AND(P979="Gasto",X979="Variable",D979&lt;&gt;catTrading,S979&gt;0,S979&lt;=Umbral),1,0))</f>
        <v/>
      </c>
      <c r="AB979" s="52">
        <f>IF(OR(P979="",Q979=""),"",IFERROR(IF(INDEX(ctaVinc,MATCH(Q979,ctaNombre,0))&amp;""&lt;&gt;"",INDEX(ctaVinc,MATCH(Q979,ctaNombre,0))&amp;"",Q979),Q979))</f>
        <v/>
      </c>
      <c r="AC979" s="52">
        <f>IF(OR(K979="",AND(P979&lt;&gt;"Transferencia",P979&lt;&gt;"Pago tarjeta")),"",IFERROR(IF(INDEX(ctaVinc,MATCH(K979,ctaNombre,0))&amp;""&lt;&gt;"",INDEX(ctaVinc,MATCH(K979,ctaNombre,0))&amp;"",K979),K979))</f>
        <v/>
      </c>
      <c r="AD979" s="52">
        <f>IF(AB979="","",IFERROR(INDEX(ctaTipo,MATCH(AB979,ctaNombre,0))&amp;"",""))</f>
        <v/>
      </c>
      <c r="AE979" s="52">
        <f>IF(AC979="","",IFERROR(INDEX(ctaTipo,MATCH(AC979,ctaNombre,0))&amp;"",""))</f>
        <v/>
      </c>
      <c r="AF979" s="53">
        <f>IF(OR(P979="",AB979=""),"",IF(OR(P979="Gasto",P979="Transferencia",P979="Pago tarjeta"),-1,1)*IF(IFERROR(INDEX(ctaMoneda,MATCH(AB979,ctaNombre,0))&amp;"","DOP")="USD",T979,S979))</f>
        <v/>
      </c>
      <c r="AG979" s="53">
        <f>IF(AC979="","",IF(IFERROR(INDEX(ctaMoneda,MATCH(AC979,ctaNombre,0))&amp;"","DOP")="USD",T979,S979))</f>
        <v/>
      </c>
      <c r="AH979" s="53">
        <f>IF(P979="","",IF(AND(AD979&lt;&gt;"",COUNTIFS(tcTipo,AD979,tcLiq,"Sí")&gt;0),IF(OR(P979="Gasto",P979="Transferencia",P979="Pago tarjeta"),-1,1)*S979,0)+IF(AND(AE979&lt;&gt;"",COUNTIFS(tcTipo,AE979,tcLiq,"Sí")&gt;0),S979,0))</f>
        <v/>
      </c>
      <c r="AI979" s="52">
        <f>IF(OR(L979="",P979=""),"",IF(COUNTIFS(L$6:L979,L979,P$6:P979,"?*")=1,MAX(AI$5:AI978)+1,""))</f>
        <v/>
      </c>
    </row>
    <row r="980">
      <c r="B980" s="47" t="n"/>
      <c r="C980" s="48" t="n"/>
      <c r="D980" s="48" t="n"/>
      <c r="E980" s="48" t="n"/>
      <c r="F980" s="48" t="n"/>
      <c r="G980" s="49" t="n"/>
      <c r="H980" s="48" t="n"/>
      <c r="I980" s="50" t="n"/>
      <c r="J980" s="48" t="n"/>
      <c r="K980" s="48" t="n"/>
      <c r="L980" s="48" t="n"/>
      <c r="M980" s="48" t="n"/>
      <c r="N980" s="48" t="n"/>
      <c r="O980" s="51">
        <f>IF(AND(B980="",G980="",C980="",D980="",J980=""),"",IF(B980="","⚠ Falta fecha",IF(G980="","⚠ Falta monto",IF(Q980="","⚠ Falta cuenta",IF(ISNA(MATCH(Q980,ctaNombre,0)),"⚠ Cuenta no registrada",IF(AND(OR(P980="Gasto",P980="Reembolso"),D980=""),"⚠ Falta categoría",IF(AND(D980&lt;&gt;"",E980&lt;&gt;"",ISNA(MATCH(D980&amp;"|"&amp;E980,catClave,0))),"⚠ Subcategoría no corresponde",IF(AND(OR(P980="Transferencia",P980="Pago tarjeta"),K980=""),"⚠ Falta cuenta destino",IF(AND(K980&lt;&gt;"",P980&lt;&gt;"Transferencia",P980&lt;&gt;"Pago tarjeta"),"⚠ Destino solo aplica a transferencias",IF(AND(K980&lt;&gt;"",K980=Q980),"⚠ Origen igual a destino",IF(AND(K980&lt;&gt;"",ISNA(MATCH(K980,ctaNombre,0))),"⚠ Destino no registrado",IF(AND(P980="Pago tarjeta",AE980&lt;&gt;"Tarjeta de crédito"),"⚠ El destino debe ser tarjeta de crédito",IF(AND(P980="Gasto",E980="Depósitos y retiros"),"⚠ Usa tipo Transferencia",IF(AND(P980="Resultado trading",AD980&lt;&gt;"Cuenta de trading"),"⚠ Usa una cuenta de trading",IF(AND(G980&lt;=0,P980&lt;&gt;"Ajuste",P980&lt;&gt;"Resultado trading"),"⚠ El monto debe ser positivo","✓")))))))))))))))</f>
        <v/>
      </c>
      <c r="P980" s="52">
        <f>IF(OR(B980="",G980=""),"",IF(C980="","Gasto",C980))</f>
        <v/>
      </c>
      <c r="Q980" s="52">
        <f>IF(P980="","",IF(J980&lt;&gt;"",J980,CuentaPred&amp;""))</f>
        <v/>
      </c>
      <c r="R980" s="52">
        <f>IF(P980="","",IF(ISNUMBER(I980),I980,TasaUSD))</f>
        <v/>
      </c>
      <c r="S980" s="53">
        <f>IF(P980="","",IF(H980="USD",G980*R980,G980))</f>
        <v/>
      </c>
      <c r="T980" s="53">
        <f>IF(P980="","",IF(H980="USD",G980,IF(R980&gt;0,G980/R980,0)))</f>
        <v/>
      </c>
      <c r="U980" s="53">
        <f>IF(P980="","",IF(P980="Gasto",S980,IF(P980="Reembolso",-S980,0)))</f>
        <v/>
      </c>
      <c r="V980" s="53">
        <f>IF(P980="","",IF(P980="Ingreso",S980,0))</f>
        <v/>
      </c>
      <c r="W980" s="53">
        <f>IF(P980="","",IF(P980="Resultado trading",S980,0))</f>
        <v/>
      </c>
      <c r="X980" s="52">
        <f>IF(OR(P980="Gasto",P980="Reembolso"),IF(M980&lt;&gt;"",M980,IFERROR(INDEX(catClasif,MATCH(D980&amp;"|"&amp;E980,catClave,0))&amp;"","Variable")),"")</f>
        <v/>
      </c>
      <c r="Y980" s="52">
        <f>IF(P980="","",IFERROR(INDEX(catGrupo,MATCH(D980&amp;"|"&amp;E980,catClave,0))&amp;"",""))</f>
        <v/>
      </c>
      <c r="Z980" s="52">
        <f>IF(P980="","",WEEKDAY(B980,2))</f>
        <v/>
      </c>
      <c r="AA980" s="52">
        <f>IF(P980="","",IF(AND(P980="Gasto",X980="Variable",D980&lt;&gt;catTrading,S980&gt;0,S980&lt;=Umbral),1,0))</f>
        <v/>
      </c>
      <c r="AB980" s="52">
        <f>IF(OR(P980="",Q980=""),"",IFERROR(IF(INDEX(ctaVinc,MATCH(Q980,ctaNombre,0))&amp;""&lt;&gt;"",INDEX(ctaVinc,MATCH(Q980,ctaNombre,0))&amp;"",Q980),Q980))</f>
        <v/>
      </c>
      <c r="AC980" s="52">
        <f>IF(OR(K980="",AND(P980&lt;&gt;"Transferencia",P980&lt;&gt;"Pago tarjeta")),"",IFERROR(IF(INDEX(ctaVinc,MATCH(K980,ctaNombre,0))&amp;""&lt;&gt;"",INDEX(ctaVinc,MATCH(K980,ctaNombre,0))&amp;"",K980),K980))</f>
        <v/>
      </c>
      <c r="AD980" s="52">
        <f>IF(AB980="","",IFERROR(INDEX(ctaTipo,MATCH(AB980,ctaNombre,0))&amp;"",""))</f>
        <v/>
      </c>
      <c r="AE980" s="52">
        <f>IF(AC980="","",IFERROR(INDEX(ctaTipo,MATCH(AC980,ctaNombre,0))&amp;"",""))</f>
        <v/>
      </c>
      <c r="AF980" s="53">
        <f>IF(OR(P980="",AB980=""),"",IF(OR(P980="Gasto",P980="Transferencia",P980="Pago tarjeta"),-1,1)*IF(IFERROR(INDEX(ctaMoneda,MATCH(AB980,ctaNombre,0))&amp;"","DOP")="USD",T980,S980))</f>
        <v/>
      </c>
      <c r="AG980" s="53">
        <f>IF(AC980="","",IF(IFERROR(INDEX(ctaMoneda,MATCH(AC980,ctaNombre,0))&amp;"","DOP")="USD",T980,S980))</f>
        <v/>
      </c>
      <c r="AH980" s="53">
        <f>IF(P980="","",IF(AND(AD980&lt;&gt;"",COUNTIFS(tcTipo,AD980,tcLiq,"Sí")&gt;0),IF(OR(P980="Gasto",P980="Transferencia",P980="Pago tarjeta"),-1,1)*S980,0)+IF(AND(AE980&lt;&gt;"",COUNTIFS(tcTipo,AE980,tcLiq,"Sí")&gt;0),S980,0))</f>
        <v/>
      </c>
      <c r="AI980" s="52">
        <f>IF(OR(L980="",P980=""),"",IF(COUNTIFS(L$6:L980,L980,P$6:P980,"?*")=1,MAX(AI$5:AI979)+1,""))</f>
        <v/>
      </c>
    </row>
    <row r="981">
      <c r="B981" s="47" t="n"/>
      <c r="C981" s="48" t="n"/>
      <c r="D981" s="48" t="n"/>
      <c r="E981" s="48" t="n"/>
      <c r="F981" s="48" t="n"/>
      <c r="G981" s="49" t="n"/>
      <c r="H981" s="48" t="n"/>
      <c r="I981" s="50" t="n"/>
      <c r="J981" s="48" t="n"/>
      <c r="K981" s="48" t="n"/>
      <c r="L981" s="48" t="n"/>
      <c r="M981" s="48" t="n"/>
      <c r="N981" s="48" t="n"/>
      <c r="O981" s="51">
        <f>IF(AND(B981="",G981="",C981="",D981="",J981=""),"",IF(B981="","⚠ Falta fecha",IF(G981="","⚠ Falta monto",IF(Q981="","⚠ Falta cuenta",IF(ISNA(MATCH(Q981,ctaNombre,0)),"⚠ Cuenta no registrada",IF(AND(OR(P981="Gasto",P981="Reembolso"),D981=""),"⚠ Falta categoría",IF(AND(D981&lt;&gt;"",E981&lt;&gt;"",ISNA(MATCH(D981&amp;"|"&amp;E981,catClave,0))),"⚠ Subcategoría no corresponde",IF(AND(OR(P981="Transferencia",P981="Pago tarjeta"),K981=""),"⚠ Falta cuenta destino",IF(AND(K981&lt;&gt;"",P981&lt;&gt;"Transferencia",P981&lt;&gt;"Pago tarjeta"),"⚠ Destino solo aplica a transferencias",IF(AND(K981&lt;&gt;"",K981=Q981),"⚠ Origen igual a destino",IF(AND(K981&lt;&gt;"",ISNA(MATCH(K981,ctaNombre,0))),"⚠ Destino no registrado",IF(AND(P981="Pago tarjeta",AE981&lt;&gt;"Tarjeta de crédito"),"⚠ El destino debe ser tarjeta de crédito",IF(AND(P981="Gasto",E981="Depósitos y retiros"),"⚠ Usa tipo Transferencia",IF(AND(P981="Resultado trading",AD981&lt;&gt;"Cuenta de trading"),"⚠ Usa una cuenta de trading",IF(AND(G981&lt;=0,P981&lt;&gt;"Ajuste",P981&lt;&gt;"Resultado trading"),"⚠ El monto debe ser positivo","✓")))))))))))))))</f>
        <v/>
      </c>
      <c r="P981" s="52">
        <f>IF(OR(B981="",G981=""),"",IF(C981="","Gasto",C981))</f>
        <v/>
      </c>
      <c r="Q981" s="52">
        <f>IF(P981="","",IF(J981&lt;&gt;"",J981,CuentaPred&amp;""))</f>
        <v/>
      </c>
      <c r="R981" s="52">
        <f>IF(P981="","",IF(ISNUMBER(I981),I981,TasaUSD))</f>
        <v/>
      </c>
      <c r="S981" s="53">
        <f>IF(P981="","",IF(H981="USD",G981*R981,G981))</f>
        <v/>
      </c>
      <c r="T981" s="53">
        <f>IF(P981="","",IF(H981="USD",G981,IF(R981&gt;0,G981/R981,0)))</f>
        <v/>
      </c>
      <c r="U981" s="53">
        <f>IF(P981="","",IF(P981="Gasto",S981,IF(P981="Reembolso",-S981,0)))</f>
        <v/>
      </c>
      <c r="V981" s="53">
        <f>IF(P981="","",IF(P981="Ingreso",S981,0))</f>
        <v/>
      </c>
      <c r="W981" s="53">
        <f>IF(P981="","",IF(P981="Resultado trading",S981,0))</f>
        <v/>
      </c>
      <c r="X981" s="52">
        <f>IF(OR(P981="Gasto",P981="Reembolso"),IF(M981&lt;&gt;"",M981,IFERROR(INDEX(catClasif,MATCH(D981&amp;"|"&amp;E981,catClave,0))&amp;"","Variable")),"")</f>
        <v/>
      </c>
      <c r="Y981" s="52">
        <f>IF(P981="","",IFERROR(INDEX(catGrupo,MATCH(D981&amp;"|"&amp;E981,catClave,0))&amp;"",""))</f>
        <v/>
      </c>
      <c r="Z981" s="52">
        <f>IF(P981="","",WEEKDAY(B981,2))</f>
        <v/>
      </c>
      <c r="AA981" s="52">
        <f>IF(P981="","",IF(AND(P981="Gasto",X981="Variable",D981&lt;&gt;catTrading,S981&gt;0,S981&lt;=Umbral),1,0))</f>
        <v/>
      </c>
      <c r="AB981" s="52">
        <f>IF(OR(P981="",Q981=""),"",IFERROR(IF(INDEX(ctaVinc,MATCH(Q981,ctaNombre,0))&amp;""&lt;&gt;"",INDEX(ctaVinc,MATCH(Q981,ctaNombre,0))&amp;"",Q981),Q981))</f>
        <v/>
      </c>
      <c r="AC981" s="52">
        <f>IF(OR(K981="",AND(P981&lt;&gt;"Transferencia",P981&lt;&gt;"Pago tarjeta")),"",IFERROR(IF(INDEX(ctaVinc,MATCH(K981,ctaNombre,0))&amp;""&lt;&gt;"",INDEX(ctaVinc,MATCH(K981,ctaNombre,0))&amp;"",K981),K981))</f>
        <v/>
      </c>
      <c r="AD981" s="52">
        <f>IF(AB981="","",IFERROR(INDEX(ctaTipo,MATCH(AB981,ctaNombre,0))&amp;"",""))</f>
        <v/>
      </c>
      <c r="AE981" s="52">
        <f>IF(AC981="","",IFERROR(INDEX(ctaTipo,MATCH(AC981,ctaNombre,0))&amp;"",""))</f>
        <v/>
      </c>
      <c r="AF981" s="53">
        <f>IF(OR(P981="",AB981=""),"",IF(OR(P981="Gasto",P981="Transferencia",P981="Pago tarjeta"),-1,1)*IF(IFERROR(INDEX(ctaMoneda,MATCH(AB981,ctaNombre,0))&amp;"","DOP")="USD",T981,S981))</f>
        <v/>
      </c>
      <c r="AG981" s="53">
        <f>IF(AC981="","",IF(IFERROR(INDEX(ctaMoneda,MATCH(AC981,ctaNombre,0))&amp;"","DOP")="USD",T981,S981))</f>
        <v/>
      </c>
      <c r="AH981" s="53">
        <f>IF(P981="","",IF(AND(AD981&lt;&gt;"",COUNTIFS(tcTipo,AD981,tcLiq,"Sí")&gt;0),IF(OR(P981="Gasto",P981="Transferencia",P981="Pago tarjeta"),-1,1)*S981,0)+IF(AND(AE981&lt;&gt;"",COUNTIFS(tcTipo,AE981,tcLiq,"Sí")&gt;0),S981,0))</f>
        <v/>
      </c>
      <c r="AI981" s="52">
        <f>IF(OR(L981="",P981=""),"",IF(COUNTIFS(L$6:L981,L981,P$6:P981,"?*")=1,MAX(AI$5:AI980)+1,""))</f>
        <v/>
      </c>
    </row>
    <row r="982">
      <c r="B982" s="47" t="n"/>
      <c r="C982" s="48" t="n"/>
      <c r="D982" s="48" t="n"/>
      <c r="E982" s="48" t="n"/>
      <c r="F982" s="48" t="n"/>
      <c r="G982" s="49" t="n"/>
      <c r="H982" s="48" t="n"/>
      <c r="I982" s="50" t="n"/>
      <c r="J982" s="48" t="n"/>
      <c r="K982" s="48" t="n"/>
      <c r="L982" s="48" t="n"/>
      <c r="M982" s="48" t="n"/>
      <c r="N982" s="48" t="n"/>
      <c r="O982" s="51">
        <f>IF(AND(B982="",G982="",C982="",D982="",J982=""),"",IF(B982="","⚠ Falta fecha",IF(G982="","⚠ Falta monto",IF(Q982="","⚠ Falta cuenta",IF(ISNA(MATCH(Q982,ctaNombre,0)),"⚠ Cuenta no registrada",IF(AND(OR(P982="Gasto",P982="Reembolso"),D982=""),"⚠ Falta categoría",IF(AND(D982&lt;&gt;"",E982&lt;&gt;"",ISNA(MATCH(D982&amp;"|"&amp;E982,catClave,0))),"⚠ Subcategoría no corresponde",IF(AND(OR(P982="Transferencia",P982="Pago tarjeta"),K982=""),"⚠ Falta cuenta destino",IF(AND(K982&lt;&gt;"",P982&lt;&gt;"Transferencia",P982&lt;&gt;"Pago tarjeta"),"⚠ Destino solo aplica a transferencias",IF(AND(K982&lt;&gt;"",K982=Q982),"⚠ Origen igual a destino",IF(AND(K982&lt;&gt;"",ISNA(MATCH(K982,ctaNombre,0))),"⚠ Destino no registrado",IF(AND(P982="Pago tarjeta",AE982&lt;&gt;"Tarjeta de crédito"),"⚠ El destino debe ser tarjeta de crédito",IF(AND(P982="Gasto",E982="Depósitos y retiros"),"⚠ Usa tipo Transferencia",IF(AND(P982="Resultado trading",AD982&lt;&gt;"Cuenta de trading"),"⚠ Usa una cuenta de trading",IF(AND(G982&lt;=0,P982&lt;&gt;"Ajuste",P982&lt;&gt;"Resultado trading"),"⚠ El monto debe ser positivo","✓")))))))))))))))</f>
        <v/>
      </c>
      <c r="P982" s="52">
        <f>IF(OR(B982="",G982=""),"",IF(C982="","Gasto",C982))</f>
        <v/>
      </c>
      <c r="Q982" s="52">
        <f>IF(P982="","",IF(J982&lt;&gt;"",J982,CuentaPred&amp;""))</f>
        <v/>
      </c>
      <c r="R982" s="52">
        <f>IF(P982="","",IF(ISNUMBER(I982),I982,TasaUSD))</f>
        <v/>
      </c>
      <c r="S982" s="53">
        <f>IF(P982="","",IF(H982="USD",G982*R982,G982))</f>
        <v/>
      </c>
      <c r="T982" s="53">
        <f>IF(P982="","",IF(H982="USD",G982,IF(R982&gt;0,G982/R982,0)))</f>
        <v/>
      </c>
      <c r="U982" s="53">
        <f>IF(P982="","",IF(P982="Gasto",S982,IF(P982="Reembolso",-S982,0)))</f>
        <v/>
      </c>
      <c r="V982" s="53">
        <f>IF(P982="","",IF(P982="Ingreso",S982,0))</f>
        <v/>
      </c>
      <c r="W982" s="53">
        <f>IF(P982="","",IF(P982="Resultado trading",S982,0))</f>
        <v/>
      </c>
      <c r="X982" s="52">
        <f>IF(OR(P982="Gasto",P982="Reembolso"),IF(M982&lt;&gt;"",M982,IFERROR(INDEX(catClasif,MATCH(D982&amp;"|"&amp;E982,catClave,0))&amp;"","Variable")),"")</f>
        <v/>
      </c>
      <c r="Y982" s="52">
        <f>IF(P982="","",IFERROR(INDEX(catGrupo,MATCH(D982&amp;"|"&amp;E982,catClave,0))&amp;"",""))</f>
        <v/>
      </c>
      <c r="Z982" s="52">
        <f>IF(P982="","",WEEKDAY(B982,2))</f>
        <v/>
      </c>
      <c r="AA982" s="52">
        <f>IF(P982="","",IF(AND(P982="Gasto",X982="Variable",D982&lt;&gt;catTrading,S982&gt;0,S982&lt;=Umbral),1,0))</f>
        <v/>
      </c>
      <c r="AB982" s="52">
        <f>IF(OR(P982="",Q982=""),"",IFERROR(IF(INDEX(ctaVinc,MATCH(Q982,ctaNombre,0))&amp;""&lt;&gt;"",INDEX(ctaVinc,MATCH(Q982,ctaNombre,0))&amp;"",Q982),Q982))</f>
        <v/>
      </c>
      <c r="AC982" s="52">
        <f>IF(OR(K982="",AND(P982&lt;&gt;"Transferencia",P982&lt;&gt;"Pago tarjeta")),"",IFERROR(IF(INDEX(ctaVinc,MATCH(K982,ctaNombre,0))&amp;""&lt;&gt;"",INDEX(ctaVinc,MATCH(K982,ctaNombre,0))&amp;"",K982),K982))</f>
        <v/>
      </c>
      <c r="AD982" s="52">
        <f>IF(AB982="","",IFERROR(INDEX(ctaTipo,MATCH(AB982,ctaNombre,0))&amp;"",""))</f>
        <v/>
      </c>
      <c r="AE982" s="52">
        <f>IF(AC982="","",IFERROR(INDEX(ctaTipo,MATCH(AC982,ctaNombre,0))&amp;"",""))</f>
        <v/>
      </c>
      <c r="AF982" s="53">
        <f>IF(OR(P982="",AB982=""),"",IF(OR(P982="Gasto",P982="Transferencia",P982="Pago tarjeta"),-1,1)*IF(IFERROR(INDEX(ctaMoneda,MATCH(AB982,ctaNombre,0))&amp;"","DOP")="USD",T982,S982))</f>
        <v/>
      </c>
      <c r="AG982" s="53">
        <f>IF(AC982="","",IF(IFERROR(INDEX(ctaMoneda,MATCH(AC982,ctaNombre,0))&amp;"","DOP")="USD",T982,S982))</f>
        <v/>
      </c>
      <c r="AH982" s="53">
        <f>IF(P982="","",IF(AND(AD982&lt;&gt;"",COUNTIFS(tcTipo,AD982,tcLiq,"Sí")&gt;0),IF(OR(P982="Gasto",P982="Transferencia",P982="Pago tarjeta"),-1,1)*S982,0)+IF(AND(AE982&lt;&gt;"",COUNTIFS(tcTipo,AE982,tcLiq,"Sí")&gt;0),S982,0))</f>
        <v/>
      </c>
      <c r="AI982" s="52">
        <f>IF(OR(L982="",P982=""),"",IF(COUNTIFS(L$6:L982,L982,P$6:P982,"?*")=1,MAX(AI$5:AI981)+1,""))</f>
        <v/>
      </c>
    </row>
    <row r="983">
      <c r="B983" s="47" t="n"/>
      <c r="C983" s="48" t="n"/>
      <c r="D983" s="48" t="n"/>
      <c r="E983" s="48" t="n"/>
      <c r="F983" s="48" t="n"/>
      <c r="G983" s="49" t="n"/>
      <c r="H983" s="48" t="n"/>
      <c r="I983" s="50" t="n"/>
      <c r="J983" s="48" t="n"/>
      <c r="K983" s="48" t="n"/>
      <c r="L983" s="48" t="n"/>
      <c r="M983" s="48" t="n"/>
      <c r="N983" s="48" t="n"/>
      <c r="O983" s="51">
        <f>IF(AND(B983="",G983="",C983="",D983="",J983=""),"",IF(B983="","⚠ Falta fecha",IF(G983="","⚠ Falta monto",IF(Q983="","⚠ Falta cuenta",IF(ISNA(MATCH(Q983,ctaNombre,0)),"⚠ Cuenta no registrada",IF(AND(OR(P983="Gasto",P983="Reembolso"),D983=""),"⚠ Falta categoría",IF(AND(D983&lt;&gt;"",E983&lt;&gt;"",ISNA(MATCH(D983&amp;"|"&amp;E983,catClave,0))),"⚠ Subcategoría no corresponde",IF(AND(OR(P983="Transferencia",P983="Pago tarjeta"),K983=""),"⚠ Falta cuenta destino",IF(AND(K983&lt;&gt;"",P983&lt;&gt;"Transferencia",P983&lt;&gt;"Pago tarjeta"),"⚠ Destino solo aplica a transferencias",IF(AND(K983&lt;&gt;"",K983=Q983),"⚠ Origen igual a destino",IF(AND(K983&lt;&gt;"",ISNA(MATCH(K983,ctaNombre,0))),"⚠ Destino no registrado",IF(AND(P983="Pago tarjeta",AE983&lt;&gt;"Tarjeta de crédito"),"⚠ El destino debe ser tarjeta de crédito",IF(AND(P983="Gasto",E983="Depósitos y retiros"),"⚠ Usa tipo Transferencia",IF(AND(P983="Resultado trading",AD983&lt;&gt;"Cuenta de trading"),"⚠ Usa una cuenta de trading",IF(AND(G983&lt;=0,P983&lt;&gt;"Ajuste",P983&lt;&gt;"Resultado trading"),"⚠ El monto debe ser positivo","✓")))))))))))))))</f>
        <v/>
      </c>
      <c r="P983" s="52">
        <f>IF(OR(B983="",G983=""),"",IF(C983="","Gasto",C983))</f>
        <v/>
      </c>
      <c r="Q983" s="52">
        <f>IF(P983="","",IF(J983&lt;&gt;"",J983,CuentaPred&amp;""))</f>
        <v/>
      </c>
      <c r="R983" s="52">
        <f>IF(P983="","",IF(ISNUMBER(I983),I983,TasaUSD))</f>
        <v/>
      </c>
      <c r="S983" s="53">
        <f>IF(P983="","",IF(H983="USD",G983*R983,G983))</f>
        <v/>
      </c>
      <c r="T983" s="53">
        <f>IF(P983="","",IF(H983="USD",G983,IF(R983&gt;0,G983/R983,0)))</f>
        <v/>
      </c>
      <c r="U983" s="53">
        <f>IF(P983="","",IF(P983="Gasto",S983,IF(P983="Reembolso",-S983,0)))</f>
        <v/>
      </c>
      <c r="V983" s="53">
        <f>IF(P983="","",IF(P983="Ingreso",S983,0))</f>
        <v/>
      </c>
      <c r="W983" s="53">
        <f>IF(P983="","",IF(P983="Resultado trading",S983,0))</f>
        <v/>
      </c>
      <c r="X983" s="52">
        <f>IF(OR(P983="Gasto",P983="Reembolso"),IF(M983&lt;&gt;"",M983,IFERROR(INDEX(catClasif,MATCH(D983&amp;"|"&amp;E983,catClave,0))&amp;"","Variable")),"")</f>
        <v/>
      </c>
      <c r="Y983" s="52">
        <f>IF(P983="","",IFERROR(INDEX(catGrupo,MATCH(D983&amp;"|"&amp;E983,catClave,0))&amp;"",""))</f>
        <v/>
      </c>
      <c r="Z983" s="52">
        <f>IF(P983="","",WEEKDAY(B983,2))</f>
        <v/>
      </c>
      <c r="AA983" s="52">
        <f>IF(P983="","",IF(AND(P983="Gasto",X983="Variable",D983&lt;&gt;catTrading,S983&gt;0,S983&lt;=Umbral),1,0))</f>
        <v/>
      </c>
      <c r="AB983" s="52">
        <f>IF(OR(P983="",Q983=""),"",IFERROR(IF(INDEX(ctaVinc,MATCH(Q983,ctaNombre,0))&amp;""&lt;&gt;"",INDEX(ctaVinc,MATCH(Q983,ctaNombre,0))&amp;"",Q983),Q983))</f>
        <v/>
      </c>
      <c r="AC983" s="52">
        <f>IF(OR(K983="",AND(P983&lt;&gt;"Transferencia",P983&lt;&gt;"Pago tarjeta")),"",IFERROR(IF(INDEX(ctaVinc,MATCH(K983,ctaNombre,0))&amp;""&lt;&gt;"",INDEX(ctaVinc,MATCH(K983,ctaNombre,0))&amp;"",K983),K983))</f>
        <v/>
      </c>
      <c r="AD983" s="52">
        <f>IF(AB983="","",IFERROR(INDEX(ctaTipo,MATCH(AB983,ctaNombre,0))&amp;"",""))</f>
        <v/>
      </c>
      <c r="AE983" s="52">
        <f>IF(AC983="","",IFERROR(INDEX(ctaTipo,MATCH(AC983,ctaNombre,0))&amp;"",""))</f>
        <v/>
      </c>
      <c r="AF983" s="53">
        <f>IF(OR(P983="",AB983=""),"",IF(OR(P983="Gasto",P983="Transferencia",P983="Pago tarjeta"),-1,1)*IF(IFERROR(INDEX(ctaMoneda,MATCH(AB983,ctaNombre,0))&amp;"","DOP")="USD",T983,S983))</f>
        <v/>
      </c>
      <c r="AG983" s="53">
        <f>IF(AC983="","",IF(IFERROR(INDEX(ctaMoneda,MATCH(AC983,ctaNombre,0))&amp;"","DOP")="USD",T983,S983))</f>
        <v/>
      </c>
      <c r="AH983" s="53">
        <f>IF(P983="","",IF(AND(AD983&lt;&gt;"",COUNTIFS(tcTipo,AD983,tcLiq,"Sí")&gt;0),IF(OR(P983="Gasto",P983="Transferencia",P983="Pago tarjeta"),-1,1)*S983,0)+IF(AND(AE983&lt;&gt;"",COUNTIFS(tcTipo,AE983,tcLiq,"Sí")&gt;0),S983,0))</f>
        <v/>
      </c>
      <c r="AI983" s="52">
        <f>IF(OR(L983="",P983=""),"",IF(COUNTIFS(L$6:L983,L983,P$6:P983,"?*")=1,MAX(AI$5:AI982)+1,""))</f>
        <v/>
      </c>
    </row>
    <row r="984">
      <c r="B984" s="47" t="n"/>
      <c r="C984" s="48" t="n"/>
      <c r="D984" s="48" t="n"/>
      <c r="E984" s="48" t="n"/>
      <c r="F984" s="48" t="n"/>
      <c r="G984" s="49" t="n"/>
      <c r="H984" s="48" t="n"/>
      <c r="I984" s="50" t="n"/>
      <c r="J984" s="48" t="n"/>
      <c r="K984" s="48" t="n"/>
      <c r="L984" s="48" t="n"/>
      <c r="M984" s="48" t="n"/>
      <c r="N984" s="48" t="n"/>
      <c r="O984" s="51">
        <f>IF(AND(B984="",G984="",C984="",D984="",J984=""),"",IF(B984="","⚠ Falta fecha",IF(G984="","⚠ Falta monto",IF(Q984="","⚠ Falta cuenta",IF(ISNA(MATCH(Q984,ctaNombre,0)),"⚠ Cuenta no registrada",IF(AND(OR(P984="Gasto",P984="Reembolso"),D984=""),"⚠ Falta categoría",IF(AND(D984&lt;&gt;"",E984&lt;&gt;"",ISNA(MATCH(D984&amp;"|"&amp;E984,catClave,0))),"⚠ Subcategoría no corresponde",IF(AND(OR(P984="Transferencia",P984="Pago tarjeta"),K984=""),"⚠ Falta cuenta destino",IF(AND(K984&lt;&gt;"",P984&lt;&gt;"Transferencia",P984&lt;&gt;"Pago tarjeta"),"⚠ Destino solo aplica a transferencias",IF(AND(K984&lt;&gt;"",K984=Q984),"⚠ Origen igual a destino",IF(AND(K984&lt;&gt;"",ISNA(MATCH(K984,ctaNombre,0))),"⚠ Destino no registrado",IF(AND(P984="Pago tarjeta",AE984&lt;&gt;"Tarjeta de crédito"),"⚠ El destino debe ser tarjeta de crédito",IF(AND(P984="Gasto",E984="Depósitos y retiros"),"⚠ Usa tipo Transferencia",IF(AND(P984="Resultado trading",AD984&lt;&gt;"Cuenta de trading"),"⚠ Usa una cuenta de trading",IF(AND(G984&lt;=0,P984&lt;&gt;"Ajuste",P984&lt;&gt;"Resultado trading"),"⚠ El monto debe ser positivo","✓")))))))))))))))</f>
        <v/>
      </c>
      <c r="P984" s="52">
        <f>IF(OR(B984="",G984=""),"",IF(C984="","Gasto",C984))</f>
        <v/>
      </c>
      <c r="Q984" s="52">
        <f>IF(P984="","",IF(J984&lt;&gt;"",J984,CuentaPred&amp;""))</f>
        <v/>
      </c>
      <c r="R984" s="52">
        <f>IF(P984="","",IF(ISNUMBER(I984),I984,TasaUSD))</f>
        <v/>
      </c>
      <c r="S984" s="53">
        <f>IF(P984="","",IF(H984="USD",G984*R984,G984))</f>
        <v/>
      </c>
      <c r="T984" s="53">
        <f>IF(P984="","",IF(H984="USD",G984,IF(R984&gt;0,G984/R984,0)))</f>
        <v/>
      </c>
      <c r="U984" s="53">
        <f>IF(P984="","",IF(P984="Gasto",S984,IF(P984="Reembolso",-S984,0)))</f>
        <v/>
      </c>
      <c r="V984" s="53">
        <f>IF(P984="","",IF(P984="Ingreso",S984,0))</f>
        <v/>
      </c>
      <c r="W984" s="53">
        <f>IF(P984="","",IF(P984="Resultado trading",S984,0))</f>
        <v/>
      </c>
      <c r="X984" s="52">
        <f>IF(OR(P984="Gasto",P984="Reembolso"),IF(M984&lt;&gt;"",M984,IFERROR(INDEX(catClasif,MATCH(D984&amp;"|"&amp;E984,catClave,0))&amp;"","Variable")),"")</f>
        <v/>
      </c>
      <c r="Y984" s="52">
        <f>IF(P984="","",IFERROR(INDEX(catGrupo,MATCH(D984&amp;"|"&amp;E984,catClave,0))&amp;"",""))</f>
        <v/>
      </c>
      <c r="Z984" s="52">
        <f>IF(P984="","",WEEKDAY(B984,2))</f>
        <v/>
      </c>
      <c r="AA984" s="52">
        <f>IF(P984="","",IF(AND(P984="Gasto",X984="Variable",D984&lt;&gt;catTrading,S984&gt;0,S984&lt;=Umbral),1,0))</f>
        <v/>
      </c>
      <c r="AB984" s="52">
        <f>IF(OR(P984="",Q984=""),"",IFERROR(IF(INDEX(ctaVinc,MATCH(Q984,ctaNombre,0))&amp;""&lt;&gt;"",INDEX(ctaVinc,MATCH(Q984,ctaNombre,0))&amp;"",Q984),Q984))</f>
        <v/>
      </c>
      <c r="AC984" s="52">
        <f>IF(OR(K984="",AND(P984&lt;&gt;"Transferencia",P984&lt;&gt;"Pago tarjeta")),"",IFERROR(IF(INDEX(ctaVinc,MATCH(K984,ctaNombre,0))&amp;""&lt;&gt;"",INDEX(ctaVinc,MATCH(K984,ctaNombre,0))&amp;"",K984),K984))</f>
        <v/>
      </c>
      <c r="AD984" s="52">
        <f>IF(AB984="","",IFERROR(INDEX(ctaTipo,MATCH(AB984,ctaNombre,0))&amp;"",""))</f>
        <v/>
      </c>
      <c r="AE984" s="52">
        <f>IF(AC984="","",IFERROR(INDEX(ctaTipo,MATCH(AC984,ctaNombre,0))&amp;"",""))</f>
        <v/>
      </c>
      <c r="AF984" s="53">
        <f>IF(OR(P984="",AB984=""),"",IF(OR(P984="Gasto",P984="Transferencia",P984="Pago tarjeta"),-1,1)*IF(IFERROR(INDEX(ctaMoneda,MATCH(AB984,ctaNombre,0))&amp;"","DOP")="USD",T984,S984))</f>
        <v/>
      </c>
      <c r="AG984" s="53">
        <f>IF(AC984="","",IF(IFERROR(INDEX(ctaMoneda,MATCH(AC984,ctaNombre,0))&amp;"","DOP")="USD",T984,S984))</f>
        <v/>
      </c>
      <c r="AH984" s="53">
        <f>IF(P984="","",IF(AND(AD984&lt;&gt;"",COUNTIFS(tcTipo,AD984,tcLiq,"Sí")&gt;0),IF(OR(P984="Gasto",P984="Transferencia",P984="Pago tarjeta"),-1,1)*S984,0)+IF(AND(AE984&lt;&gt;"",COUNTIFS(tcTipo,AE984,tcLiq,"Sí")&gt;0),S984,0))</f>
        <v/>
      </c>
      <c r="AI984" s="52">
        <f>IF(OR(L984="",P984=""),"",IF(COUNTIFS(L$6:L984,L984,P$6:P984,"?*")=1,MAX(AI$5:AI983)+1,""))</f>
        <v/>
      </c>
    </row>
    <row r="985">
      <c r="B985" s="47" t="n"/>
      <c r="C985" s="48" t="n"/>
      <c r="D985" s="48" t="n"/>
      <c r="E985" s="48" t="n"/>
      <c r="F985" s="48" t="n"/>
      <c r="G985" s="49" t="n"/>
      <c r="H985" s="48" t="n"/>
      <c r="I985" s="50" t="n"/>
      <c r="J985" s="48" t="n"/>
      <c r="K985" s="48" t="n"/>
      <c r="L985" s="48" t="n"/>
      <c r="M985" s="48" t="n"/>
      <c r="N985" s="48" t="n"/>
      <c r="O985" s="51">
        <f>IF(AND(B985="",G985="",C985="",D985="",J985=""),"",IF(B985="","⚠ Falta fecha",IF(G985="","⚠ Falta monto",IF(Q985="","⚠ Falta cuenta",IF(ISNA(MATCH(Q985,ctaNombre,0)),"⚠ Cuenta no registrada",IF(AND(OR(P985="Gasto",P985="Reembolso"),D985=""),"⚠ Falta categoría",IF(AND(D985&lt;&gt;"",E985&lt;&gt;"",ISNA(MATCH(D985&amp;"|"&amp;E985,catClave,0))),"⚠ Subcategoría no corresponde",IF(AND(OR(P985="Transferencia",P985="Pago tarjeta"),K985=""),"⚠ Falta cuenta destino",IF(AND(K985&lt;&gt;"",P985&lt;&gt;"Transferencia",P985&lt;&gt;"Pago tarjeta"),"⚠ Destino solo aplica a transferencias",IF(AND(K985&lt;&gt;"",K985=Q985),"⚠ Origen igual a destino",IF(AND(K985&lt;&gt;"",ISNA(MATCH(K985,ctaNombre,0))),"⚠ Destino no registrado",IF(AND(P985="Pago tarjeta",AE985&lt;&gt;"Tarjeta de crédito"),"⚠ El destino debe ser tarjeta de crédito",IF(AND(P985="Gasto",E985="Depósitos y retiros"),"⚠ Usa tipo Transferencia",IF(AND(P985="Resultado trading",AD985&lt;&gt;"Cuenta de trading"),"⚠ Usa una cuenta de trading",IF(AND(G985&lt;=0,P985&lt;&gt;"Ajuste",P985&lt;&gt;"Resultado trading"),"⚠ El monto debe ser positivo","✓")))))))))))))))</f>
        <v/>
      </c>
      <c r="P985" s="52">
        <f>IF(OR(B985="",G985=""),"",IF(C985="","Gasto",C985))</f>
        <v/>
      </c>
      <c r="Q985" s="52">
        <f>IF(P985="","",IF(J985&lt;&gt;"",J985,CuentaPred&amp;""))</f>
        <v/>
      </c>
      <c r="R985" s="52">
        <f>IF(P985="","",IF(ISNUMBER(I985),I985,TasaUSD))</f>
        <v/>
      </c>
      <c r="S985" s="53">
        <f>IF(P985="","",IF(H985="USD",G985*R985,G985))</f>
        <v/>
      </c>
      <c r="T985" s="53">
        <f>IF(P985="","",IF(H985="USD",G985,IF(R985&gt;0,G985/R985,0)))</f>
        <v/>
      </c>
      <c r="U985" s="53">
        <f>IF(P985="","",IF(P985="Gasto",S985,IF(P985="Reembolso",-S985,0)))</f>
        <v/>
      </c>
      <c r="V985" s="53">
        <f>IF(P985="","",IF(P985="Ingreso",S985,0))</f>
        <v/>
      </c>
      <c r="W985" s="53">
        <f>IF(P985="","",IF(P985="Resultado trading",S985,0))</f>
        <v/>
      </c>
      <c r="X985" s="52">
        <f>IF(OR(P985="Gasto",P985="Reembolso"),IF(M985&lt;&gt;"",M985,IFERROR(INDEX(catClasif,MATCH(D985&amp;"|"&amp;E985,catClave,0))&amp;"","Variable")),"")</f>
        <v/>
      </c>
      <c r="Y985" s="52">
        <f>IF(P985="","",IFERROR(INDEX(catGrupo,MATCH(D985&amp;"|"&amp;E985,catClave,0))&amp;"",""))</f>
        <v/>
      </c>
      <c r="Z985" s="52">
        <f>IF(P985="","",WEEKDAY(B985,2))</f>
        <v/>
      </c>
      <c r="AA985" s="52">
        <f>IF(P985="","",IF(AND(P985="Gasto",X985="Variable",D985&lt;&gt;catTrading,S985&gt;0,S985&lt;=Umbral),1,0))</f>
        <v/>
      </c>
      <c r="AB985" s="52">
        <f>IF(OR(P985="",Q985=""),"",IFERROR(IF(INDEX(ctaVinc,MATCH(Q985,ctaNombre,0))&amp;""&lt;&gt;"",INDEX(ctaVinc,MATCH(Q985,ctaNombre,0))&amp;"",Q985),Q985))</f>
        <v/>
      </c>
      <c r="AC985" s="52">
        <f>IF(OR(K985="",AND(P985&lt;&gt;"Transferencia",P985&lt;&gt;"Pago tarjeta")),"",IFERROR(IF(INDEX(ctaVinc,MATCH(K985,ctaNombre,0))&amp;""&lt;&gt;"",INDEX(ctaVinc,MATCH(K985,ctaNombre,0))&amp;"",K985),K985))</f>
        <v/>
      </c>
      <c r="AD985" s="52">
        <f>IF(AB985="","",IFERROR(INDEX(ctaTipo,MATCH(AB985,ctaNombre,0))&amp;"",""))</f>
        <v/>
      </c>
      <c r="AE985" s="52">
        <f>IF(AC985="","",IFERROR(INDEX(ctaTipo,MATCH(AC985,ctaNombre,0))&amp;"",""))</f>
        <v/>
      </c>
      <c r="AF985" s="53">
        <f>IF(OR(P985="",AB985=""),"",IF(OR(P985="Gasto",P985="Transferencia",P985="Pago tarjeta"),-1,1)*IF(IFERROR(INDEX(ctaMoneda,MATCH(AB985,ctaNombre,0))&amp;"","DOP")="USD",T985,S985))</f>
        <v/>
      </c>
      <c r="AG985" s="53">
        <f>IF(AC985="","",IF(IFERROR(INDEX(ctaMoneda,MATCH(AC985,ctaNombre,0))&amp;"","DOP")="USD",T985,S985))</f>
        <v/>
      </c>
      <c r="AH985" s="53">
        <f>IF(P985="","",IF(AND(AD985&lt;&gt;"",COUNTIFS(tcTipo,AD985,tcLiq,"Sí")&gt;0),IF(OR(P985="Gasto",P985="Transferencia",P985="Pago tarjeta"),-1,1)*S985,0)+IF(AND(AE985&lt;&gt;"",COUNTIFS(tcTipo,AE985,tcLiq,"Sí")&gt;0),S985,0))</f>
        <v/>
      </c>
      <c r="AI985" s="52">
        <f>IF(OR(L985="",P985=""),"",IF(COUNTIFS(L$6:L985,L985,P$6:P985,"?*")=1,MAX(AI$5:AI984)+1,""))</f>
        <v/>
      </c>
    </row>
    <row r="986">
      <c r="B986" s="47" t="n"/>
      <c r="C986" s="48" t="n"/>
      <c r="D986" s="48" t="n"/>
      <c r="E986" s="48" t="n"/>
      <c r="F986" s="48" t="n"/>
      <c r="G986" s="49" t="n"/>
      <c r="H986" s="48" t="n"/>
      <c r="I986" s="50" t="n"/>
      <c r="J986" s="48" t="n"/>
      <c r="K986" s="48" t="n"/>
      <c r="L986" s="48" t="n"/>
      <c r="M986" s="48" t="n"/>
      <c r="N986" s="48" t="n"/>
      <c r="O986" s="51">
        <f>IF(AND(B986="",G986="",C986="",D986="",J986=""),"",IF(B986="","⚠ Falta fecha",IF(G986="","⚠ Falta monto",IF(Q986="","⚠ Falta cuenta",IF(ISNA(MATCH(Q986,ctaNombre,0)),"⚠ Cuenta no registrada",IF(AND(OR(P986="Gasto",P986="Reembolso"),D986=""),"⚠ Falta categoría",IF(AND(D986&lt;&gt;"",E986&lt;&gt;"",ISNA(MATCH(D986&amp;"|"&amp;E986,catClave,0))),"⚠ Subcategoría no corresponde",IF(AND(OR(P986="Transferencia",P986="Pago tarjeta"),K986=""),"⚠ Falta cuenta destino",IF(AND(K986&lt;&gt;"",P986&lt;&gt;"Transferencia",P986&lt;&gt;"Pago tarjeta"),"⚠ Destino solo aplica a transferencias",IF(AND(K986&lt;&gt;"",K986=Q986),"⚠ Origen igual a destino",IF(AND(K986&lt;&gt;"",ISNA(MATCH(K986,ctaNombre,0))),"⚠ Destino no registrado",IF(AND(P986="Pago tarjeta",AE986&lt;&gt;"Tarjeta de crédito"),"⚠ El destino debe ser tarjeta de crédito",IF(AND(P986="Gasto",E986="Depósitos y retiros"),"⚠ Usa tipo Transferencia",IF(AND(P986="Resultado trading",AD986&lt;&gt;"Cuenta de trading"),"⚠ Usa una cuenta de trading",IF(AND(G986&lt;=0,P986&lt;&gt;"Ajuste",P986&lt;&gt;"Resultado trading"),"⚠ El monto debe ser positivo","✓")))))))))))))))</f>
        <v/>
      </c>
      <c r="P986" s="52">
        <f>IF(OR(B986="",G986=""),"",IF(C986="","Gasto",C986))</f>
        <v/>
      </c>
      <c r="Q986" s="52">
        <f>IF(P986="","",IF(J986&lt;&gt;"",J986,CuentaPred&amp;""))</f>
        <v/>
      </c>
      <c r="R986" s="52">
        <f>IF(P986="","",IF(ISNUMBER(I986),I986,TasaUSD))</f>
        <v/>
      </c>
      <c r="S986" s="53">
        <f>IF(P986="","",IF(H986="USD",G986*R986,G986))</f>
        <v/>
      </c>
      <c r="T986" s="53">
        <f>IF(P986="","",IF(H986="USD",G986,IF(R986&gt;0,G986/R986,0)))</f>
        <v/>
      </c>
      <c r="U986" s="53">
        <f>IF(P986="","",IF(P986="Gasto",S986,IF(P986="Reembolso",-S986,0)))</f>
        <v/>
      </c>
      <c r="V986" s="53">
        <f>IF(P986="","",IF(P986="Ingreso",S986,0))</f>
        <v/>
      </c>
      <c r="W986" s="53">
        <f>IF(P986="","",IF(P986="Resultado trading",S986,0))</f>
        <v/>
      </c>
      <c r="X986" s="52">
        <f>IF(OR(P986="Gasto",P986="Reembolso"),IF(M986&lt;&gt;"",M986,IFERROR(INDEX(catClasif,MATCH(D986&amp;"|"&amp;E986,catClave,0))&amp;"","Variable")),"")</f>
        <v/>
      </c>
      <c r="Y986" s="52">
        <f>IF(P986="","",IFERROR(INDEX(catGrupo,MATCH(D986&amp;"|"&amp;E986,catClave,0))&amp;"",""))</f>
        <v/>
      </c>
      <c r="Z986" s="52">
        <f>IF(P986="","",WEEKDAY(B986,2))</f>
        <v/>
      </c>
      <c r="AA986" s="52">
        <f>IF(P986="","",IF(AND(P986="Gasto",X986="Variable",D986&lt;&gt;catTrading,S986&gt;0,S986&lt;=Umbral),1,0))</f>
        <v/>
      </c>
      <c r="AB986" s="52">
        <f>IF(OR(P986="",Q986=""),"",IFERROR(IF(INDEX(ctaVinc,MATCH(Q986,ctaNombre,0))&amp;""&lt;&gt;"",INDEX(ctaVinc,MATCH(Q986,ctaNombre,0))&amp;"",Q986),Q986))</f>
        <v/>
      </c>
      <c r="AC986" s="52">
        <f>IF(OR(K986="",AND(P986&lt;&gt;"Transferencia",P986&lt;&gt;"Pago tarjeta")),"",IFERROR(IF(INDEX(ctaVinc,MATCH(K986,ctaNombre,0))&amp;""&lt;&gt;"",INDEX(ctaVinc,MATCH(K986,ctaNombre,0))&amp;"",K986),K986))</f>
        <v/>
      </c>
      <c r="AD986" s="52">
        <f>IF(AB986="","",IFERROR(INDEX(ctaTipo,MATCH(AB986,ctaNombre,0))&amp;"",""))</f>
        <v/>
      </c>
      <c r="AE986" s="52">
        <f>IF(AC986="","",IFERROR(INDEX(ctaTipo,MATCH(AC986,ctaNombre,0))&amp;"",""))</f>
        <v/>
      </c>
      <c r="AF986" s="53">
        <f>IF(OR(P986="",AB986=""),"",IF(OR(P986="Gasto",P986="Transferencia",P986="Pago tarjeta"),-1,1)*IF(IFERROR(INDEX(ctaMoneda,MATCH(AB986,ctaNombre,0))&amp;"","DOP")="USD",T986,S986))</f>
        <v/>
      </c>
      <c r="AG986" s="53">
        <f>IF(AC986="","",IF(IFERROR(INDEX(ctaMoneda,MATCH(AC986,ctaNombre,0))&amp;"","DOP")="USD",T986,S986))</f>
        <v/>
      </c>
      <c r="AH986" s="53">
        <f>IF(P986="","",IF(AND(AD986&lt;&gt;"",COUNTIFS(tcTipo,AD986,tcLiq,"Sí")&gt;0),IF(OR(P986="Gasto",P986="Transferencia",P986="Pago tarjeta"),-1,1)*S986,0)+IF(AND(AE986&lt;&gt;"",COUNTIFS(tcTipo,AE986,tcLiq,"Sí")&gt;0),S986,0))</f>
        <v/>
      </c>
      <c r="AI986" s="52">
        <f>IF(OR(L986="",P986=""),"",IF(COUNTIFS(L$6:L986,L986,P$6:P986,"?*")=1,MAX(AI$5:AI985)+1,""))</f>
        <v/>
      </c>
    </row>
    <row r="987">
      <c r="B987" s="47" t="n"/>
      <c r="C987" s="48" t="n"/>
      <c r="D987" s="48" t="n"/>
      <c r="E987" s="48" t="n"/>
      <c r="F987" s="48" t="n"/>
      <c r="G987" s="49" t="n"/>
      <c r="H987" s="48" t="n"/>
      <c r="I987" s="50" t="n"/>
      <c r="J987" s="48" t="n"/>
      <c r="K987" s="48" t="n"/>
      <c r="L987" s="48" t="n"/>
      <c r="M987" s="48" t="n"/>
      <c r="N987" s="48" t="n"/>
      <c r="O987" s="51">
        <f>IF(AND(B987="",G987="",C987="",D987="",J987=""),"",IF(B987="","⚠ Falta fecha",IF(G987="","⚠ Falta monto",IF(Q987="","⚠ Falta cuenta",IF(ISNA(MATCH(Q987,ctaNombre,0)),"⚠ Cuenta no registrada",IF(AND(OR(P987="Gasto",P987="Reembolso"),D987=""),"⚠ Falta categoría",IF(AND(D987&lt;&gt;"",E987&lt;&gt;"",ISNA(MATCH(D987&amp;"|"&amp;E987,catClave,0))),"⚠ Subcategoría no corresponde",IF(AND(OR(P987="Transferencia",P987="Pago tarjeta"),K987=""),"⚠ Falta cuenta destino",IF(AND(K987&lt;&gt;"",P987&lt;&gt;"Transferencia",P987&lt;&gt;"Pago tarjeta"),"⚠ Destino solo aplica a transferencias",IF(AND(K987&lt;&gt;"",K987=Q987),"⚠ Origen igual a destino",IF(AND(K987&lt;&gt;"",ISNA(MATCH(K987,ctaNombre,0))),"⚠ Destino no registrado",IF(AND(P987="Pago tarjeta",AE987&lt;&gt;"Tarjeta de crédito"),"⚠ El destino debe ser tarjeta de crédito",IF(AND(P987="Gasto",E987="Depósitos y retiros"),"⚠ Usa tipo Transferencia",IF(AND(P987="Resultado trading",AD987&lt;&gt;"Cuenta de trading"),"⚠ Usa una cuenta de trading",IF(AND(G987&lt;=0,P987&lt;&gt;"Ajuste",P987&lt;&gt;"Resultado trading"),"⚠ El monto debe ser positivo","✓")))))))))))))))</f>
        <v/>
      </c>
      <c r="P987" s="52">
        <f>IF(OR(B987="",G987=""),"",IF(C987="","Gasto",C987))</f>
        <v/>
      </c>
      <c r="Q987" s="52">
        <f>IF(P987="","",IF(J987&lt;&gt;"",J987,CuentaPred&amp;""))</f>
        <v/>
      </c>
      <c r="R987" s="52">
        <f>IF(P987="","",IF(ISNUMBER(I987),I987,TasaUSD))</f>
        <v/>
      </c>
      <c r="S987" s="53">
        <f>IF(P987="","",IF(H987="USD",G987*R987,G987))</f>
        <v/>
      </c>
      <c r="T987" s="53">
        <f>IF(P987="","",IF(H987="USD",G987,IF(R987&gt;0,G987/R987,0)))</f>
        <v/>
      </c>
      <c r="U987" s="53">
        <f>IF(P987="","",IF(P987="Gasto",S987,IF(P987="Reembolso",-S987,0)))</f>
        <v/>
      </c>
      <c r="V987" s="53">
        <f>IF(P987="","",IF(P987="Ingreso",S987,0))</f>
        <v/>
      </c>
      <c r="W987" s="53">
        <f>IF(P987="","",IF(P987="Resultado trading",S987,0))</f>
        <v/>
      </c>
      <c r="X987" s="52">
        <f>IF(OR(P987="Gasto",P987="Reembolso"),IF(M987&lt;&gt;"",M987,IFERROR(INDEX(catClasif,MATCH(D987&amp;"|"&amp;E987,catClave,0))&amp;"","Variable")),"")</f>
        <v/>
      </c>
      <c r="Y987" s="52">
        <f>IF(P987="","",IFERROR(INDEX(catGrupo,MATCH(D987&amp;"|"&amp;E987,catClave,0))&amp;"",""))</f>
        <v/>
      </c>
      <c r="Z987" s="52">
        <f>IF(P987="","",WEEKDAY(B987,2))</f>
        <v/>
      </c>
      <c r="AA987" s="52">
        <f>IF(P987="","",IF(AND(P987="Gasto",X987="Variable",D987&lt;&gt;catTrading,S987&gt;0,S987&lt;=Umbral),1,0))</f>
        <v/>
      </c>
      <c r="AB987" s="52">
        <f>IF(OR(P987="",Q987=""),"",IFERROR(IF(INDEX(ctaVinc,MATCH(Q987,ctaNombre,0))&amp;""&lt;&gt;"",INDEX(ctaVinc,MATCH(Q987,ctaNombre,0))&amp;"",Q987),Q987))</f>
        <v/>
      </c>
      <c r="AC987" s="52">
        <f>IF(OR(K987="",AND(P987&lt;&gt;"Transferencia",P987&lt;&gt;"Pago tarjeta")),"",IFERROR(IF(INDEX(ctaVinc,MATCH(K987,ctaNombre,0))&amp;""&lt;&gt;"",INDEX(ctaVinc,MATCH(K987,ctaNombre,0))&amp;"",K987),K987))</f>
        <v/>
      </c>
      <c r="AD987" s="52">
        <f>IF(AB987="","",IFERROR(INDEX(ctaTipo,MATCH(AB987,ctaNombre,0))&amp;"",""))</f>
        <v/>
      </c>
      <c r="AE987" s="52">
        <f>IF(AC987="","",IFERROR(INDEX(ctaTipo,MATCH(AC987,ctaNombre,0))&amp;"",""))</f>
        <v/>
      </c>
      <c r="AF987" s="53">
        <f>IF(OR(P987="",AB987=""),"",IF(OR(P987="Gasto",P987="Transferencia",P987="Pago tarjeta"),-1,1)*IF(IFERROR(INDEX(ctaMoneda,MATCH(AB987,ctaNombre,0))&amp;"","DOP")="USD",T987,S987))</f>
        <v/>
      </c>
      <c r="AG987" s="53">
        <f>IF(AC987="","",IF(IFERROR(INDEX(ctaMoneda,MATCH(AC987,ctaNombre,0))&amp;"","DOP")="USD",T987,S987))</f>
        <v/>
      </c>
      <c r="AH987" s="53">
        <f>IF(P987="","",IF(AND(AD987&lt;&gt;"",COUNTIFS(tcTipo,AD987,tcLiq,"Sí")&gt;0),IF(OR(P987="Gasto",P987="Transferencia",P987="Pago tarjeta"),-1,1)*S987,0)+IF(AND(AE987&lt;&gt;"",COUNTIFS(tcTipo,AE987,tcLiq,"Sí")&gt;0),S987,0))</f>
        <v/>
      </c>
      <c r="AI987" s="52">
        <f>IF(OR(L987="",P987=""),"",IF(COUNTIFS(L$6:L987,L987,P$6:P987,"?*")=1,MAX(AI$5:AI986)+1,""))</f>
        <v/>
      </c>
    </row>
    <row r="988">
      <c r="B988" s="47" t="n"/>
      <c r="C988" s="48" t="n"/>
      <c r="D988" s="48" t="n"/>
      <c r="E988" s="48" t="n"/>
      <c r="F988" s="48" t="n"/>
      <c r="G988" s="49" t="n"/>
      <c r="H988" s="48" t="n"/>
      <c r="I988" s="50" t="n"/>
      <c r="J988" s="48" t="n"/>
      <c r="K988" s="48" t="n"/>
      <c r="L988" s="48" t="n"/>
      <c r="M988" s="48" t="n"/>
      <c r="N988" s="48" t="n"/>
      <c r="O988" s="51">
        <f>IF(AND(B988="",G988="",C988="",D988="",J988=""),"",IF(B988="","⚠ Falta fecha",IF(G988="","⚠ Falta monto",IF(Q988="","⚠ Falta cuenta",IF(ISNA(MATCH(Q988,ctaNombre,0)),"⚠ Cuenta no registrada",IF(AND(OR(P988="Gasto",P988="Reembolso"),D988=""),"⚠ Falta categoría",IF(AND(D988&lt;&gt;"",E988&lt;&gt;"",ISNA(MATCH(D988&amp;"|"&amp;E988,catClave,0))),"⚠ Subcategoría no corresponde",IF(AND(OR(P988="Transferencia",P988="Pago tarjeta"),K988=""),"⚠ Falta cuenta destino",IF(AND(K988&lt;&gt;"",P988&lt;&gt;"Transferencia",P988&lt;&gt;"Pago tarjeta"),"⚠ Destino solo aplica a transferencias",IF(AND(K988&lt;&gt;"",K988=Q988),"⚠ Origen igual a destino",IF(AND(K988&lt;&gt;"",ISNA(MATCH(K988,ctaNombre,0))),"⚠ Destino no registrado",IF(AND(P988="Pago tarjeta",AE988&lt;&gt;"Tarjeta de crédito"),"⚠ El destino debe ser tarjeta de crédito",IF(AND(P988="Gasto",E988="Depósitos y retiros"),"⚠ Usa tipo Transferencia",IF(AND(P988="Resultado trading",AD988&lt;&gt;"Cuenta de trading"),"⚠ Usa una cuenta de trading",IF(AND(G988&lt;=0,P988&lt;&gt;"Ajuste",P988&lt;&gt;"Resultado trading"),"⚠ El monto debe ser positivo","✓")))))))))))))))</f>
        <v/>
      </c>
      <c r="P988" s="52">
        <f>IF(OR(B988="",G988=""),"",IF(C988="","Gasto",C988))</f>
        <v/>
      </c>
      <c r="Q988" s="52">
        <f>IF(P988="","",IF(J988&lt;&gt;"",J988,CuentaPred&amp;""))</f>
        <v/>
      </c>
      <c r="R988" s="52">
        <f>IF(P988="","",IF(ISNUMBER(I988),I988,TasaUSD))</f>
        <v/>
      </c>
      <c r="S988" s="53">
        <f>IF(P988="","",IF(H988="USD",G988*R988,G988))</f>
        <v/>
      </c>
      <c r="T988" s="53">
        <f>IF(P988="","",IF(H988="USD",G988,IF(R988&gt;0,G988/R988,0)))</f>
        <v/>
      </c>
      <c r="U988" s="53">
        <f>IF(P988="","",IF(P988="Gasto",S988,IF(P988="Reembolso",-S988,0)))</f>
        <v/>
      </c>
      <c r="V988" s="53">
        <f>IF(P988="","",IF(P988="Ingreso",S988,0))</f>
        <v/>
      </c>
      <c r="W988" s="53">
        <f>IF(P988="","",IF(P988="Resultado trading",S988,0))</f>
        <v/>
      </c>
      <c r="X988" s="52">
        <f>IF(OR(P988="Gasto",P988="Reembolso"),IF(M988&lt;&gt;"",M988,IFERROR(INDEX(catClasif,MATCH(D988&amp;"|"&amp;E988,catClave,0))&amp;"","Variable")),"")</f>
        <v/>
      </c>
      <c r="Y988" s="52">
        <f>IF(P988="","",IFERROR(INDEX(catGrupo,MATCH(D988&amp;"|"&amp;E988,catClave,0))&amp;"",""))</f>
        <v/>
      </c>
      <c r="Z988" s="52">
        <f>IF(P988="","",WEEKDAY(B988,2))</f>
        <v/>
      </c>
      <c r="AA988" s="52">
        <f>IF(P988="","",IF(AND(P988="Gasto",X988="Variable",D988&lt;&gt;catTrading,S988&gt;0,S988&lt;=Umbral),1,0))</f>
        <v/>
      </c>
      <c r="AB988" s="52">
        <f>IF(OR(P988="",Q988=""),"",IFERROR(IF(INDEX(ctaVinc,MATCH(Q988,ctaNombre,0))&amp;""&lt;&gt;"",INDEX(ctaVinc,MATCH(Q988,ctaNombre,0))&amp;"",Q988),Q988))</f>
        <v/>
      </c>
      <c r="AC988" s="52">
        <f>IF(OR(K988="",AND(P988&lt;&gt;"Transferencia",P988&lt;&gt;"Pago tarjeta")),"",IFERROR(IF(INDEX(ctaVinc,MATCH(K988,ctaNombre,0))&amp;""&lt;&gt;"",INDEX(ctaVinc,MATCH(K988,ctaNombre,0))&amp;"",K988),K988))</f>
        <v/>
      </c>
      <c r="AD988" s="52">
        <f>IF(AB988="","",IFERROR(INDEX(ctaTipo,MATCH(AB988,ctaNombre,0))&amp;"",""))</f>
        <v/>
      </c>
      <c r="AE988" s="52">
        <f>IF(AC988="","",IFERROR(INDEX(ctaTipo,MATCH(AC988,ctaNombre,0))&amp;"",""))</f>
        <v/>
      </c>
      <c r="AF988" s="53">
        <f>IF(OR(P988="",AB988=""),"",IF(OR(P988="Gasto",P988="Transferencia",P988="Pago tarjeta"),-1,1)*IF(IFERROR(INDEX(ctaMoneda,MATCH(AB988,ctaNombre,0))&amp;"","DOP")="USD",T988,S988))</f>
        <v/>
      </c>
      <c r="AG988" s="53">
        <f>IF(AC988="","",IF(IFERROR(INDEX(ctaMoneda,MATCH(AC988,ctaNombre,0))&amp;"","DOP")="USD",T988,S988))</f>
        <v/>
      </c>
      <c r="AH988" s="53">
        <f>IF(P988="","",IF(AND(AD988&lt;&gt;"",COUNTIFS(tcTipo,AD988,tcLiq,"Sí")&gt;0),IF(OR(P988="Gasto",P988="Transferencia",P988="Pago tarjeta"),-1,1)*S988,0)+IF(AND(AE988&lt;&gt;"",COUNTIFS(tcTipo,AE988,tcLiq,"Sí")&gt;0),S988,0))</f>
        <v/>
      </c>
      <c r="AI988" s="52">
        <f>IF(OR(L988="",P988=""),"",IF(COUNTIFS(L$6:L988,L988,P$6:P988,"?*")=1,MAX(AI$5:AI987)+1,""))</f>
        <v/>
      </c>
    </row>
    <row r="989">
      <c r="B989" s="47" t="n"/>
      <c r="C989" s="48" t="n"/>
      <c r="D989" s="48" t="n"/>
      <c r="E989" s="48" t="n"/>
      <c r="F989" s="48" t="n"/>
      <c r="G989" s="49" t="n"/>
      <c r="H989" s="48" t="n"/>
      <c r="I989" s="50" t="n"/>
      <c r="J989" s="48" t="n"/>
      <c r="K989" s="48" t="n"/>
      <c r="L989" s="48" t="n"/>
      <c r="M989" s="48" t="n"/>
      <c r="N989" s="48" t="n"/>
      <c r="O989" s="51">
        <f>IF(AND(B989="",G989="",C989="",D989="",J989=""),"",IF(B989="","⚠ Falta fecha",IF(G989="","⚠ Falta monto",IF(Q989="","⚠ Falta cuenta",IF(ISNA(MATCH(Q989,ctaNombre,0)),"⚠ Cuenta no registrada",IF(AND(OR(P989="Gasto",P989="Reembolso"),D989=""),"⚠ Falta categoría",IF(AND(D989&lt;&gt;"",E989&lt;&gt;"",ISNA(MATCH(D989&amp;"|"&amp;E989,catClave,0))),"⚠ Subcategoría no corresponde",IF(AND(OR(P989="Transferencia",P989="Pago tarjeta"),K989=""),"⚠ Falta cuenta destino",IF(AND(K989&lt;&gt;"",P989&lt;&gt;"Transferencia",P989&lt;&gt;"Pago tarjeta"),"⚠ Destino solo aplica a transferencias",IF(AND(K989&lt;&gt;"",K989=Q989),"⚠ Origen igual a destino",IF(AND(K989&lt;&gt;"",ISNA(MATCH(K989,ctaNombre,0))),"⚠ Destino no registrado",IF(AND(P989="Pago tarjeta",AE989&lt;&gt;"Tarjeta de crédito"),"⚠ El destino debe ser tarjeta de crédito",IF(AND(P989="Gasto",E989="Depósitos y retiros"),"⚠ Usa tipo Transferencia",IF(AND(P989="Resultado trading",AD989&lt;&gt;"Cuenta de trading"),"⚠ Usa una cuenta de trading",IF(AND(G989&lt;=0,P989&lt;&gt;"Ajuste",P989&lt;&gt;"Resultado trading"),"⚠ El monto debe ser positivo","✓")))))))))))))))</f>
        <v/>
      </c>
      <c r="P989" s="52">
        <f>IF(OR(B989="",G989=""),"",IF(C989="","Gasto",C989))</f>
        <v/>
      </c>
      <c r="Q989" s="52">
        <f>IF(P989="","",IF(J989&lt;&gt;"",J989,CuentaPred&amp;""))</f>
        <v/>
      </c>
      <c r="R989" s="52">
        <f>IF(P989="","",IF(ISNUMBER(I989),I989,TasaUSD))</f>
        <v/>
      </c>
      <c r="S989" s="53">
        <f>IF(P989="","",IF(H989="USD",G989*R989,G989))</f>
        <v/>
      </c>
      <c r="T989" s="53">
        <f>IF(P989="","",IF(H989="USD",G989,IF(R989&gt;0,G989/R989,0)))</f>
        <v/>
      </c>
      <c r="U989" s="53">
        <f>IF(P989="","",IF(P989="Gasto",S989,IF(P989="Reembolso",-S989,0)))</f>
        <v/>
      </c>
      <c r="V989" s="53">
        <f>IF(P989="","",IF(P989="Ingreso",S989,0))</f>
        <v/>
      </c>
      <c r="W989" s="53">
        <f>IF(P989="","",IF(P989="Resultado trading",S989,0))</f>
        <v/>
      </c>
      <c r="X989" s="52">
        <f>IF(OR(P989="Gasto",P989="Reembolso"),IF(M989&lt;&gt;"",M989,IFERROR(INDEX(catClasif,MATCH(D989&amp;"|"&amp;E989,catClave,0))&amp;"","Variable")),"")</f>
        <v/>
      </c>
      <c r="Y989" s="52">
        <f>IF(P989="","",IFERROR(INDEX(catGrupo,MATCH(D989&amp;"|"&amp;E989,catClave,0))&amp;"",""))</f>
        <v/>
      </c>
      <c r="Z989" s="52">
        <f>IF(P989="","",WEEKDAY(B989,2))</f>
        <v/>
      </c>
      <c r="AA989" s="52">
        <f>IF(P989="","",IF(AND(P989="Gasto",X989="Variable",D989&lt;&gt;catTrading,S989&gt;0,S989&lt;=Umbral),1,0))</f>
        <v/>
      </c>
      <c r="AB989" s="52">
        <f>IF(OR(P989="",Q989=""),"",IFERROR(IF(INDEX(ctaVinc,MATCH(Q989,ctaNombre,0))&amp;""&lt;&gt;"",INDEX(ctaVinc,MATCH(Q989,ctaNombre,0))&amp;"",Q989),Q989))</f>
        <v/>
      </c>
      <c r="AC989" s="52">
        <f>IF(OR(K989="",AND(P989&lt;&gt;"Transferencia",P989&lt;&gt;"Pago tarjeta")),"",IFERROR(IF(INDEX(ctaVinc,MATCH(K989,ctaNombre,0))&amp;""&lt;&gt;"",INDEX(ctaVinc,MATCH(K989,ctaNombre,0))&amp;"",K989),K989))</f>
        <v/>
      </c>
      <c r="AD989" s="52">
        <f>IF(AB989="","",IFERROR(INDEX(ctaTipo,MATCH(AB989,ctaNombre,0))&amp;"",""))</f>
        <v/>
      </c>
      <c r="AE989" s="52">
        <f>IF(AC989="","",IFERROR(INDEX(ctaTipo,MATCH(AC989,ctaNombre,0))&amp;"",""))</f>
        <v/>
      </c>
      <c r="AF989" s="53">
        <f>IF(OR(P989="",AB989=""),"",IF(OR(P989="Gasto",P989="Transferencia",P989="Pago tarjeta"),-1,1)*IF(IFERROR(INDEX(ctaMoneda,MATCH(AB989,ctaNombre,0))&amp;"","DOP")="USD",T989,S989))</f>
        <v/>
      </c>
      <c r="AG989" s="53">
        <f>IF(AC989="","",IF(IFERROR(INDEX(ctaMoneda,MATCH(AC989,ctaNombre,0))&amp;"","DOP")="USD",T989,S989))</f>
        <v/>
      </c>
      <c r="AH989" s="53">
        <f>IF(P989="","",IF(AND(AD989&lt;&gt;"",COUNTIFS(tcTipo,AD989,tcLiq,"Sí")&gt;0),IF(OR(P989="Gasto",P989="Transferencia",P989="Pago tarjeta"),-1,1)*S989,0)+IF(AND(AE989&lt;&gt;"",COUNTIFS(tcTipo,AE989,tcLiq,"Sí")&gt;0),S989,0))</f>
        <v/>
      </c>
      <c r="AI989" s="52">
        <f>IF(OR(L989="",P989=""),"",IF(COUNTIFS(L$6:L989,L989,P$6:P989,"?*")=1,MAX(AI$5:AI988)+1,""))</f>
        <v/>
      </c>
    </row>
    <row r="990">
      <c r="B990" s="47" t="n"/>
      <c r="C990" s="48" t="n"/>
      <c r="D990" s="48" t="n"/>
      <c r="E990" s="48" t="n"/>
      <c r="F990" s="48" t="n"/>
      <c r="G990" s="49" t="n"/>
      <c r="H990" s="48" t="n"/>
      <c r="I990" s="50" t="n"/>
      <c r="J990" s="48" t="n"/>
      <c r="K990" s="48" t="n"/>
      <c r="L990" s="48" t="n"/>
      <c r="M990" s="48" t="n"/>
      <c r="N990" s="48" t="n"/>
      <c r="O990" s="51">
        <f>IF(AND(B990="",G990="",C990="",D990="",J990=""),"",IF(B990="","⚠ Falta fecha",IF(G990="","⚠ Falta monto",IF(Q990="","⚠ Falta cuenta",IF(ISNA(MATCH(Q990,ctaNombre,0)),"⚠ Cuenta no registrada",IF(AND(OR(P990="Gasto",P990="Reembolso"),D990=""),"⚠ Falta categoría",IF(AND(D990&lt;&gt;"",E990&lt;&gt;"",ISNA(MATCH(D990&amp;"|"&amp;E990,catClave,0))),"⚠ Subcategoría no corresponde",IF(AND(OR(P990="Transferencia",P990="Pago tarjeta"),K990=""),"⚠ Falta cuenta destino",IF(AND(K990&lt;&gt;"",P990&lt;&gt;"Transferencia",P990&lt;&gt;"Pago tarjeta"),"⚠ Destino solo aplica a transferencias",IF(AND(K990&lt;&gt;"",K990=Q990),"⚠ Origen igual a destino",IF(AND(K990&lt;&gt;"",ISNA(MATCH(K990,ctaNombre,0))),"⚠ Destino no registrado",IF(AND(P990="Pago tarjeta",AE990&lt;&gt;"Tarjeta de crédito"),"⚠ El destino debe ser tarjeta de crédito",IF(AND(P990="Gasto",E990="Depósitos y retiros"),"⚠ Usa tipo Transferencia",IF(AND(P990="Resultado trading",AD990&lt;&gt;"Cuenta de trading"),"⚠ Usa una cuenta de trading",IF(AND(G990&lt;=0,P990&lt;&gt;"Ajuste",P990&lt;&gt;"Resultado trading"),"⚠ El monto debe ser positivo","✓")))))))))))))))</f>
        <v/>
      </c>
      <c r="P990" s="52">
        <f>IF(OR(B990="",G990=""),"",IF(C990="","Gasto",C990))</f>
        <v/>
      </c>
      <c r="Q990" s="52">
        <f>IF(P990="","",IF(J990&lt;&gt;"",J990,CuentaPred&amp;""))</f>
        <v/>
      </c>
      <c r="R990" s="52">
        <f>IF(P990="","",IF(ISNUMBER(I990),I990,TasaUSD))</f>
        <v/>
      </c>
      <c r="S990" s="53">
        <f>IF(P990="","",IF(H990="USD",G990*R990,G990))</f>
        <v/>
      </c>
      <c r="T990" s="53">
        <f>IF(P990="","",IF(H990="USD",G990,IF(R990&gt;0,G990/R990,0)))</f>
        <v/>
      </c>
      <c r="U990" s="53">
        <f>IF(P990="","",IF(P990="Gasto",S990,IF(P990="Reembolso",-S990,0)))</f>
        <v/>
      </c>
      <c r="V990" s="53">
        <f>IF(P990="","",IF(P990="Ingreso",S990,0))</f>
        <v/>
      </c>
      <c r="W990" s="53">
        <f>IF(P990="","",IF(P990="Resultado trading",S990,0))</f>
        <v/>
      </c>
      <c r="X990" s="52">
        <f>IF(OR(P990="Gasto",P990="Reembolso"),IF(M990&lt;&gt;"",M990,IFERROR(INDEX(catClasif,MATCH(D990&amp;"|"&amp;E990,catClave,0))&amp;"","Variable")),"")</f>
        <v/>
      </c>
      <c r="Y990" s="52">
        <f>IF(P990="","",IFERROR(INDEX(catGrupo,MATCH(D990&amp;"|"&amp;E990,catClave,0))&amp;"",""))</f>
        <v/>
      </c>
      <c r="Z990" s="52">
        <f>IF(P990="","",WEEKDAY(B990,2))</f>
        <v/>
      </c>
      <c r="AA990" s="52">
        <f>IF(P990="","",IF(AND(P990="Gasto",X990="Variable",D990&lt;&gt;catTrading,S990&gt;0,S990&lt;=Umbral),1,0))</f>
        <v/>
      </c>
      <c r="AB990" s="52">
        <f>IF(OR(P990="",Q990=""),"",IFERROR(IF(INDEX(ctaVinc,MATCH(Q990,ctaNombre,0))&amp;""&lt;&gt;"",INDEX(ctaVinc,MATCH(Q990,ctaNombre,0))&amp;"",Q990),Q990))</f>
        <v/>
      </c>
      <c r="AC990" s="52">
        <f>IF(OR(K990="",AND(P990&lt;&gt;"Transferencia",P990&lt;&gt;"Pago tarjeta")),"",IFERROR(IF(INDEX(ctaVinc,MATCH(K990,ctaNombre,0))&amp;""&lt;&gt;"",INDEX(ctaVinc,MATCH(K990,ctaNombre,0))&amp;"",K990),K990))</f>
        <v/>
      </c>
      <c r="AD990" s="52">
        <f>IF(AB990="","",IFERROR(INDEX(ctaTipo,MATCH(AB990,ctaNombre,0))&amp;"",""))</f>
        <v/>
      </c>
      <c r="AE990" s="52">
        <f>IF(AC990="","",IFERROR(INDEX(ctaTipo,MATCH(AC990,ctaNombre,0))&amp;"",""))</f>
        <v/>
      </c>
      <c r="AF990" s="53">
        <f>IF(OR(P990="",AB990=""),"",IF(OR(P990="Gasto",P990="Transferencia",P990="Pago tarjeta"),-1,1)*IF(IFERROR(INDEX(ctaMoneda,MATCH(AB990,ctaNombre,0))&amp;"","DOP")="USD",T990,S990))</f>
        <v/>
      </c>
      <c r="AG990" s="53">
        <f>IF(AC990="","",IF(IFERROR(INDEX(ctaMoneda,MATCH(AC990,ctaNombre,0))&amp;"","DOP")="USD",T990,S990))</f>
        <v/>
      </c>
      <c r="AH990" s="53">
        <f>IF(P990="","",IF(AND(AD990&lt;&gt;"",COUNTIFS(tcTipo,AD990,tcLiq,"Sí")&gt;0),IF(OR(P990="Gasto",P990="Transferencia",P990="Pago tarjeta"),-1,1)*S990,0)+IF(AND(AE990&lt;&gt;"",COUNTIFS(tcTipo,AE990,tcLiq,"Sí")&gt;0),S990,0))</f>
        <v/>
      </c>
      <c r="AI990" s="52">
        <f>IF(OR(L990="",P990=""),"",IF(COUNTIFS(L$6:L990,L990,P$6:P990,"?*")=1,MAX(AI$5:AI989)+1,""))</f>
        <v/>
      </c>
    </row>
    <row r="991">
      <c r="B991" s="47" t="n"/>
      <c r="C991" s="48" t="n"/>
      <c r="D991" s="48" t="n"/>
      <c r="E991" s="48" t="n"/>
      <c r="F991" s="48" t="n"/>
      <c r="G991" s="49" t="n"/>
      <c r="H991" s="48" t="n"/>
      <c r="I991" s="50" t="n"/>
      <c r="J991" s="48" t="n"/>
      <c r="K991" s="48" t="n"/>
      <c r="L991" s="48" t="n"/>
      <c r="M991" s="48" t="n"/>
      <c r="N991" s="48" t="n"/>
      <c r="O991" s="51">
        <f>IF(AND(B991="",G991="",C991="",D991="",J991=""),"",IF(B991="","⚠ Falta fecha",IF(G991="","⚠ Falta monto",IF(Q991="","⚠ Falta cuenta",IF(ISNA(MATCH(Q991,ctaNombre,0)),"⚠ Cuenta no registrada",IF(AND(OR(P991="Gasto",P991="Reembolso"),D991=""),"⚠ Falta categoría",IF(AND(D991&lt;&gt;"",E991&lt;&gt;"",ISNA(MATCH(D991&amp;"|"&amp;E991,catClave,0))),"⚠ Subcategoría no corresponde",IF(AND(OR(P991="Transferencia",P991="Pago tarjeta"),K991=""),"⚠ Falta cuenta destino",IF(AND(K991&lt;&gt;"",P991&lt;&gt;"Transferencia",P991&lt;&gt;"Pago tarjeta"),"⚠ Destino solo aplica a transferencias",IF(AND(K991&lt;&gt;"",K991=Q991),"⚠ Origen igual a destino",IF(AND(K991&lt;&gt;"",ISNA(MATCH(K991,ctaNombre,0))),"⚠ Destino no registrado",IF(AND(P991="Pago tarjeta",AE991&lt;&gt;"Tarjeta de crédito"),"⚠ El destino debe ser tarjeta de crédito",IF(AND(P991="Gasto",E991="Depósitos y retiros"),"⚠ Usa tipo Transferencia",IF(AND(P991="Resultado trading",AD991&lt;&gt;"Cuenta de trading"),"⚠ Usa una cuenta de trading",IF(AND(G991&lt;=0,P991&lt;&gt;"Ajuste",P991&lt;&gt;"Resultado trading"),"⚠ El monto debe ser positivo","✓")))))))))))))))</f>
        <v/>
      </c>
      <c r="P991" s="52">
        <f>IF(OR(B991="",G991=""),"",IF(C991="","Gasto",C991))</f>
        <v/>
      </c>
      <c r="Q991" s="52">
        <f>IF(P991="","",IF(J991&lt;&gt;"",J991,CuentaPred&amp;""))</f>
        <v/>
      </c>
      <c r="R991" s="52">
        <f>IF(P991="","",IF(ISNUMBER(I991),I991,TasaUSD))</f>
        <v/>
      </c>
      <c r="S991" s="53">
        <f>IF(P991="","",IF(H991="USD",G991*R991,G991))</f>
        <v/>
      </c>
      <c r="T991" s="53">
        <f>IF(P991="","",IF(H991="USD",G991,IF(R991&gt;0,G991/R991,0)))</f>
        <v/>
      </c>
      <c r="U991" s="53">
        <f>IF(P991="","",IF(P991="Gasto",S991,IF(P991="Reembolso",-S991,0)))</f>
        <v/>
      </c>
      <c r="V991" s="53">
        <f>IF(P991="","",IF(P991="Ingreso",S991,0))</f>
        <v/>
      </c>
      <c r="W991" s="53">
        <f>IF(P991="","",IF(P991="Resultado trading",S991,0))</f>
        <v/>
      </c>
      <c r="X991" s="52">
        <f>IF(OR(P991="Gasto",P991="Reembolso"),IF(M991&lt;&gt;"",M991,IFERROR(INDEX(catClasif,MATCH(D991&amp;"|"&amp;E991,catClave,0))&amp;"","Variable")),"")</f>
        <v/>
      </c>
      <c r="Y991" s="52">
        <f>IF(P991="","",IFERROR(INDEX(catGrupo,MATCH(D991&amp;"|"&amp;E991,catClave,0))&amp;"",""))</f>
        <v/>
      </c>
      <c r="Z991" s="52">
        <f>IF(P991="","",WEEKDAY(B991,2))</f>
        <v/>
      </c>
      <c r="AA991" s="52">
        <f>IF(P991="","",IF(AND(P991="Gasto",X991="Variable",D991&lt;&gt;catTrading,S991&gt;0,S991&lt;=Umbral),1,0))</f>
        <v/>
      </c>
      <c r="AB991" s="52">
        <f>IF(OR(P991="",Q991=""),"",IFERROR(IF(INDEX(ctaVinc,MATCH(Q991,ctaNombre,0))&amp;""&lt;&gt;"",INDEX(ctaVinc,MATCH(Q991,ctaNombre,0))&amp;"",Q991),Q991))</f>
        <v/>
      </c>
      <c r="AC991" s="52">
        <f>IF(OR(K991="",AND(P991&lt;&gt;"Transferencia",P991&lt;&gt;"Pago tarjeta")),"",IFERROR(IF(INDEX(ctaVinc,MATCH(K991,ctaNombre,0))&amp;""&lt;&gt;"",INDEX(ctaVinc,MATCH(K991,ctaNombre,0))&amp;"",K991),K991))</f>
        <v/>
      </c>
      <c r="AD991" s="52">
        <f>IF(AB991="","",IFERROR(INDEX(ctaTipo,MATCH(AB991,ctaNombre,0))&amp;"",""))</f>
        <v/>
      </c>
      <c r="AE991" s="52">
        <f>IF(AC991="","",IFERROR(INDEX(ctaTipo,MATCH(AC991,ctaNombre,0))&amp;"",""))</f>
        <v/>
      </c>
      <c r="AF991" s="53">
        <f>IF(OR(P991="",AB991=""),"",IF(OR(P991="Gasto",P991="Transferencia",P991="Pago tarjeta"),-1,1)*IF(IFERROR(INDEX(ctaMoneda,MATCH(AB991,ctaNombre,0))&amp;"","DOP")="USD",T991,S991))</f>
        <v/>
      </c>
      <c r="AG991" s="53">
        <f>IF(AC991="","",IF(IFERROR(INDEX(ctaMoneda,MATCH(AC991,ctaNombre,0))&amp;"","DOP")="USD",T991,S991))</f>
        <v/>
      </c>
      <c r="AH991" s="53">
        <f>IF(P991="","",IF(AND(AD991&lt;&gt;"",COUNTIFS(tcTipo,AD991,tcLiq,"Sí")&gt;0),IF(OR(P991="Gasto",P991="Transferencia",P991="Pago tarjeta"),-1,1)*S991,0)+IF(AND(AE991&lt;&gt;"",COUNTIFS(tcTipo,AE991,tcLiq,"Sí")&gt;0),S991,0))</f>
        <v/>
      </c>
      <c r="AI991" s="52">
        <f>IF(OR(L991="",P991=""),"",IF(COUNTIFS(L$6:L991,L991,P$6:P991,"?*")=1,MAX(AI$5:AI990)+1,""))</f>
        <v/>
      </c>
    </row>
    <row r="992">
      <c r="B992" s="47" t="n"/>
      <c r="C992" s="48" t="n"/>
      <c r="D992" s="48" t="n"/>
      <c r="E992" s="48" t="n"/>
      <c r="F992" s="48" t="n"/>
      <c r="G992" s="49" t="n"/>
      <c r="H992" s="48" t="n"/>
      <c r="I992" s="50" t="n"/>
      <c r="J992" s="48" t="n"/>
      <c r="K992" s="48" t="n"/>
      <c r="L992" s="48" t="n"/>
      <c r="M992" s="48" t="n"/>
      <c r="N992" s="48" t="n"/>
      <c r="O992" s="51">
        <f>IF(AND(B992="",G992="",C992="",D992="",J992=""),"",IF(B992="","⚠ Falta fecha",IF(G992="","⚠ Falta monto",IF(Q992="","⚠ Falta cuenta",IF(ISNA(MATCH(Q992,ctaNombre,0)),"⚠ Cuenta no registrada",IF(AND(OR(P992="Gasto",P992="Reembolso"),D992=""),"⚠ Falta categoría",IF(AND(D992&lt;&gt;"",E992&lt;&gt;"",ISNA(MATCH(D992&amp;"|"&amp;E992,catClave,0))),"⚠ Subcategoría no corresponde",IF(AND(OR(P992="Transferencia",P992="Pago tarjeta"),K992=""),"⚠ Falta cuenta destino",IF(AND(K992&lt;&gt;"",P992&lt;&gt;"Transferencia",P992&lt;&gt;"Pago tarjeta"),"⚠ Destino solo aplica a transferencias",IF(AND(K992&lt;&gt;"",K992=Q992),"⚠ Origen igual a destino",IF(AND(K992&lt;&gt;"",ISNA(MATCH(K992,ctaNombre,0))),"⚠ Destino no registrado",IF(AND(P992="Pago tarjeta",AE992&lt;&gt;"Tarjeta de crédito"),"⚠ El destino debe ser tarjeta de crédito",IF(AND(P992="Gasto",E992="Depósitos y retiros"),"⚠ Usa tipo Transferencia",IF(AND(P992="Resultado trading",AD992&lt;&gt;"Cuenta de trading"),"⚠ Usa una cuenta de trading",IF(AND(G992&lt;=0,P992&lt;&gt;"Ajuste",P992&lt;&gt;"Resultado trading"),"⚠ El monto debe ser positivo","✓")))))))))))))))</f>
        <v/>
      </c>
      <c r="P992" s="52">
        <f>IF(OR(B992="",G992=""),"",IF(C992="","Gasto",C992))</f>
        <v/>
      </c>
      <c r="Q992" s="52">
        <f>IF(P992="","",IF(J992&lt;&gt;"",J992,CuentaPred&amp;""))</f>
        <v/>
      </c>
      <c r="R992" s="52">
        <f>IF(P992="","",IF(ISNUMBER(I992),I992,TasaUSD))</f>
        <v/>
      </c>
      <c r="S992" s="53">
        <f>IF(P992="","",IF(H992="USD",G992*R992,G992))</f>
        <v/>
      </c>
      <c r="T992" s="53">
        <f>IF(P992="","",IF(H992="USD",G992,IF(R992&gt;0,G992/R992,0)))</f>
        <v/>
      </c>
      <c r="U992" s="53">
        <f>IF(P992="","",IF(P992="Gasto",S992,IF(P992="Reembolso",-S992,0)))</f>
        <v/>
      </c>
      <c r="V992" s="53">
        <f>IF(P992="","",IF(P992="Ingreso",S992,0))</f>
        <v/>
      </c>
      <c r="W992" s="53">
        <f>IF(P992="","",IF(P992="Resultado trading",S992,0))</f>
        <v/>
      </c>
      <c r="X992" s="52">
        <f>IF(OR(P992="Gasto",P992="Reembolso"),IF(M992&lt;&gt;"",M992,IFERROR(INDEX(catClasif,MATCH(D992&amp;"|"&amp;E992,catClave,0))&amp;"","Variable")),"")</f>
        <v/>
      </c>
      <c r="Y992" s="52">
        <f>IF(P992="","",IFERROR(INDEX(catGrupo,MATCH(D992&amp;"|"&amp;E992,catClave,0))&amp;"",""))</f>
        <v/>
      </c>
      <c r="Z992" s="52">
        <f>IF(P992="","",WEEKDAY(B992,2))</f>
        <v/>
      </c>
      <c r="AA992" s="52">
        <f>IF(P992="","",IF(AND(P992="Gasto",X992="Variable",D992&lt;&gt;catTrading,S992&gt;0,S992&lt;=Umbral),1,0))</f>
        <v/>
      </c>
      <c r="AB992" s="52">
        <f>IF(OR(P992="",Q992=""),"",IFERROR(IF(INDEX(ctaVinc,MATCH(Q992,ctaNombre,0))&amp;""&lt;&gt;"",INDEX(ctaVinc,MATCH(Q992,ctaNombre,0))&amp;"",Q992),Q992))</f>
        <v/>
      </c>
      <c r="AC992" s="52">
        <f>IF(OR(K992="",AND(P992&lt;&gt;"Transferencia",P992&lt;&gt;"Pago tarjeta")),"",IFERROR(IF(INDEX(ctaVinc,MATCH(K992,ctaNombre,0))&amp;""&lt;&gt;"",INDEX(ctaVinc,MATCH(K992,ctaNombre,0))&amp;"",K992),K992))</f>
        <v/>
      </c>
      <c r="AD992" s="52">
        <f>IF(AB992="","",IFERROR(INDEX(ctaTipo,MATCH(AB992,ctaNombre,0))&amp;"",""))</f>
        <v/>
      </c>
      <c r="AE992" s="52">
        <f>IF(AC992="","",IFERROR(INDEX(ctaTipo,MATCH(AC992,ctaNombre,0))&amp;"",""))</f>
        <v/>
      </c>
      <c r="AF992" s="53">
        <f>IF(OR(P992="",AB992=""),"",IF(OR(P992="Gasto",P992="Transferencia",P992="Pago tarjeta"),-1,1)*IF(IFERROR(INDEX(ctaMoneda,MATCH(AB992,ctaNombre,0))&amp;"","DOP")="USD",T992,S992))</f>
        <v/>
      </c>
      <c r="AG992" s="53">
        <f>IF(AC992="","",IF(IFERROR(INDEX(ctaMoneda,MATCH(AC992,ctaNombre,0))&amp;"","DOP")="USD",T992,S992))</f>
        <v/>
      </c>
      <c r="AH992" s="53">
        <f>IF(P992="","",IF(AND(AD992&lt;&gt;"",COUNTIFS(tcTipo,AD992,tcLiq,"Sí")&gt;0),IF(OR(P992="Gasto",P992="Transferencia",P992="Pago tarjeta"),-1,1)*S992,0)+IF(AND(AE992&lt;&gt;"",COUNTIFS(tcTipo,AE992,tcLiq,"Sí")&gt;0),S992,0))</f>
        <v/>
      </c>
      <c r="AI992" s="52">
        <f>IF(OR(L992="",P992=""),"",IF(COUNTIFS(L$6:L992,L992,P$6:P992,"?*")=1,MAX(AI$5:AI991)+1,""))</f>
        <v/>
      </c>
    </row>
    <row r="993">
      <c r="B993" s="47" t="n"/>
      <c r="C993" s="48" t="n"/>
      <c r="D993" s="48" t="n"/>
      <c r="E993" s="48" t="n"/>
      <c r="F993" s="48" t="n"/>
      <c r="G993" s="49" t="n"/>
      <c r="H993" s="48" t="n"/>
      <c r="I993" s="50" t="n"/>
      <c r="J993" s="48" t="n"/>
      <c r="K993" s="48" t="n"/>
      <c r="L993" s="48" t="n"/>
      <c r="M993" s="48" t="n"/>
      <c r="N993" s="48" t="n"/>
      <c r="O993" s="51">
        <f>IF(AND(B993="",G993="",C993="",D993="",J993=""),"",IF(B993="","⚠ Falta fecha",IF(G993="","⚠ Falta monto",IF(Q993="","⚠ Falta cuenta",IF(ISNA(MATCH(Q993,ctaNombre,0)),"⚠ Cuenta no registrada",IF(AND(OR(P993="Gasto",P993="Reembolso"),D993=""),"⚠ Falta categoría",IF(AND(D993&lt;&gt;"",E993&lt;&gt;"",ISNA(MATCH(D993&amp;"|"&amp;E993,catClave,0))),"⚠ Subcategoría no corresponde",IF(AND(OR(P993="Transferencia",P993="Pago tarjeta"),K993=""),"⚠ Falta cuenta destino",IF(AND(K993&lt;&gt;"",P993&lt;&gt;"Transferencia",P993&lt;&gt;"Pago tarjeta"),"⚠ Destino solo aplica a transferencias",IF(AND(K993&lt;&gt;"",K993=Q993),"⚠ Origen igual a destino",IF(AND(K993&lt;&gt;"",ISNA(MATCH(K993,ctaNombre,0))),"⚠ Destino no registrado",IF(AND(P993="Pago tarjeta",AE993&lt;&gt;"Tarjeta de crédito"),"⚠ El destino debe ser tarjeta de crédito",IF(AND(P993="Gasto",E993="Depósitos y retiros"),"⚠ Usa tipo Transferencia",IF(AND(P993="Resultado trading",AD993&lt;&gt;"Cuenta de trading"),"⚠ Usa una cuenta de trading",IF(AND(G993&lt;=0,P993&lt;&gt;"Ajuste",P993&lt;&gt;"Resultado trading"),"⚠ El monto debe ser positivo","✓")))))))))))))))</f>
        <v/>
      </c>
      <c r="P993" s="52">
        <f>IF(OR(B993="",G993=""),"",IF(C993="","Gasto",C993))</f>
        <v/>
      </c>
      <c r="Q993" s="52">
        <f>IF(P993="","",IF(J993&lt;&gt;"",J993,CuentaPred&amp;""))</f>
        <v/>
      </c>
      <c r="R993" s="52">
        <f>IF(P993="","",IF(ISNUMBER(I993),I993,TasaUSD))</f>
        <v/>
      </c>
      <c r="S993" s="53">
        <f>IF(P993="","",IF(H993="USD",G993*R993,G993))</f>
        <v/>
      </c>
      <c r="T993" s="53">
        <f>IF(P993="","",IF(H993="USD",G993,IF(R993&gt;0,G993/R993,0)))</f>
        <v/>
      </c>
      <c r="U993" s="53">
        <f>IF(P993="","",IF(P993="Gasto",S993,IF(P993="Reembolso",-S993,0)))</f>
        <v/>
      </c>
      <c r="V993" s="53">
        <f>IF(P993="","",IF(P993="Ingreso",S993,0))</f>
        <v/>
      </c>
      <c r="W993" s="53">
        <f>IF(P993="","",IF(P993="Resultado trading",S993,0))</f>
        <v/>
      </c>
      <c r="X993" s="52">
        <f>IF(OR(P993="Gasto",P993="Reembolso"),IF(M993&lt;&gt;"",M993,IFERROR(INDEX(catClasif,MATCH(D993&amp;"|"&amp;E993,catClave,0))&amp;"","Variable")),"")</f>
        <v/>
      </c>
      <c r="Y993" s="52">
        <f>IF(P993="","",IFERROR(INDEX(catGrupo,MATCH(D993&amp;"|"&amp;E993,catClave,0))&amp;"",""))</f>
        <v/>
      </c>
      <c r="Z993" s="52">
        <f>IF(P993="","",WEEKDAY(B993,2))</f>
        <v/>
      </c>
      <c r="AA993" s="52">
        <f>IF(P993="","",IF(AND(P993="Gasto",X993="Variable",D993&lt;&gt;catTrading,S993&gt;0,S993&lt;=Umbral),1,0))</f>
        <v/>
      </c>
      <c r="AB993" s="52">
        <f>IF(OR(P993="",Q993=""),"",IFERROR(IF(INDEX(ctaVinc,MATCH(Q993,ctaNombre,0))&amp;""&lt;&gt;"",INDEX(ctaVinc,MATCH(Q993,ctaNombre,0))&amp;"",Q993),Q993))</f>
        <v/>
      </c>
      <c r="AC993" s="52">
        <f>IF(OR(K993="",AND(P993&lt;&gt;"Transferencia",P993&lt;&gt;"Pago tarjeta")),"",IFERROR(IF(INDEX(ctaVinc,MATCH(K993,ctaNombre,0))&amp;""&lt;&gt;"",INDEX(ctaVinc,MATCH(K993,ctaNombre,0))&amp;"",K993),K993))</f>
        <v/>
      </c>
      <c r="AD993" s="52">
        <f>IF(AB993="","",IFERROR(INDEX(ctaTipo,MATCH(AB993,ctaNombre,0))&amp;"",""))</f>
        <v/>
      </c>
      <c r="AE993" s="52">
        <f>IF(AC993="","",IFERROR(INDEX(ctaTipo,MATCH(AC993,ctaNombre,0))&amp;"",""))</f>
        <v/>
      </c>
      <c r="AF993" s="53">
        <f>IF(OR(P993="",AB993=""),"",IF(OR(P993="Gasto",P993="Transferencia",P993="Pago tarjeta"),-1,1)*IF(IFERROR(INDEX(ctaMoneda,MATCH(AB993,ctaNombre,0))&amp;"","DOP")="USD",T993,S993))</f>
        <v/>
      </c>
      <c r="AG993" s="53">
        <f>IF(AC993="","",IF(IFERROR(INDEX(ctaMoneda,MATCH(AC993,ctaNombre,0))&amp;"","DOP")="USD",T993,S993))</f>
        <v/>
      </c>
      <c r="AH993" s="53">
        <f>IF(P993="","",IF(AND(AD993&lt;&gt;"",COUNTIFS(tcTipo,AD993,tcLiq,"Sí")&gt;0),IF(OR(P993="Gasto",P993="Transferencia",P993="Pago tarjeta"),-1,1)*S993,0)+IF(AND(AE993&lt;&gt;"",COUNTIFS(tcTipo,AE993,tcLiq,"Sí")&gt;0),S993,0))</f>
        <v/>
      </c>
      <c r="AI993" s="52">
        <f>IF(OR(L993="",P993=""),"",IF(COUNTIFS(L$6:L993,L993,P$6:P993,"?*")=1,MAX(AI$5:AI992)+1,""))</f>
        <v/>
      </c>
    </row>
    <row r="994">
      <c r="B994" s="47" t="n"/>
      <c r="C994" s="48" t="n"/>
      <c r="D994" s="48" t="n"/>
      <c r="E994" s="48" t="n"/>
      <c r="F994" s="48" t="n"/>
      <c r="G994" s="49" t="n"/>
      <c r="H994" s="48" t="n"/>
      <c r="I994" s="50" t="n"/>
      <c r="J994" s="48" t="n"/>
      <c r="K994" s="48" t="n"/>
      <c r="L994" s="48" t="n"/>
      <c r="M994" s="48" t="n"/>
      <c r="N994" s="48" t="n"/>
      <c r="O994" s="51">
        <f>IF(AND(B994="",G994="",C994="",D994="",J994=""),"",IF(B994="","⚠ Falta fecha",IF(G994="","⚠ Falta monto",IF(Q994="","⚠ Falta cuenta",IF(ISNA(MATCH(Q994,ctaNombre,0)),"⚠ Cuenta no registrada",IF(AND(OR(P994="Gasto",P994="Reembolso"),D994=""),"⚠ Falta categoría",IF(AND(D994&lt;&gt;"",E994&lt;&gt;"",ISNA(MATCH(D994&amp;"|"&amp;E994,catClave,0))),"⚠ Subcategoría no corresponde",IF(AND(OR(P994="Transferencia",P994="Pago tarjeta"),K994=""),"⚠ Falta cuenta destino",IF(AND(K994&lt;&gt;"",P994&lt;&gt;"Transferencia",P994&lt;&gt;"Pago tarjeta"),"⚠ Destino solo aplica a transferencias",IF(AND(K994&lt;&gt;"",K994=Q994),"⚠ Origen igual a destino",IF(AND(K994&lt;&gt;"",ISNA(MATCH(K994,ctaNombre,0))),"⚠ Destino no registrado",IF(AND(P994="Pago tarjeta",AE994&lt;&gt;"Tarjeta de crédito"),"⚠ El destino debe ser tarjeta de crédito",IF(AND(P994="Gasto",E994="Depósitos y retiros"),"⚠ Usa tipo Transferencia",IF(AND(P994="Resultado trading",AD994&lt;&gt;"Cuenta de trading"),"⚠ Usa una cuenta de trading",IF(AND(G994&lt;=0,P994&lt;&gt;"Ajuste",P994&lt;&gt;"Resultado trading"),"⚠ El monto debe ser positivo","✓")))))))))))))))</f>
        <v/>
      </c>
      <c r="P994" s="52">
        <f>IF(OR(B994="",G994=""),"",IF(C994="","Gasto",C994))</f>
        <v/>
      </c>
      <c r="Q994" s="52">
        <f>IF(P994="","",IF(J994&lt;&gt;"",J994,CuentaPred&amp;""))</f>
        <v/>
      </c>
      <c r="R994" s="52">
        <f>IF(P994="","",IF(ISNUMBER(I994),I994,TasaUSD))</f>
        <v/>
      </c>
      <c r="S994" s="53">
        <f>IF(P994="","",IF(H994="USD",G994*R994,G994))</f>
        <v/>
      </c>
      <c r="T994" s="53">
        <f>IF(P994="","",IF(H994="USD",G994,IF(R994&gt;0,G994/R994,0)))</f>
        <v/>
      </c>
      <c r="U994" s="53">
        <f>IF(P994="","",IF(P994="Gasto",S994,IF(P994="Reembolso",-S994,0)))</f>
        <v/>
      </c>
      <c r="V994" s="53">
        <f>IF(P994="","",IF(P994="Ingreso",S994,0))</f>
        <v/>
      </c>
      <c r="W994" s="53">
        <f>IF(P994="","",IF(P994="Resultado trading",S994,0))</f>
        <v/>
      </c>
      <c r="X994" s="52">
        <f>IF(OR(P994="Gasto",P994="Reembolso"),IF(M994&lt;&gt;"",M994,IFERROR(INDEX(catClasif,MATCH(D994&amp;"|"&amp;E994,catClave,0))&amp;"","Variable")),"")</f>
        <v/>
      </c>
      <c r="Y994" s="52">
        <f>IF(P994="","",IFERROR(INDEX(catGrupo,MATCH(D994&amp;"|"&amp;E994,catClave,0))&amp;"",""))</f>
        <v/>
      </c>
      <c r="Z994" s="52">
        <f>IF(P994="","",WEEKDAY(B994,2))</f>
        <v/>
      </c>
      <c r="AA994" s="52">
        <f>IF(P994="","",IF(AND(P994="Gasto",X994="Variable",D994&lt;&gt;catTrading,S994&gt;0,S994&lt;=Umbral),1,0))</f>
        <v/>
      </c>
      <c r="AB994" s="52">
        <f>IF(OR(P994="",Q994=""),"",IFERROR(IF(INDEX(ctaVinc,MATCH(Q994,ctaNombre,0))&amp;""&lt;&gt;"",INDEX(ctaVinc,MATCH(Q994,ctaNombre,0))&amp;"",Q994),Q994))</f>
        <v/>
      </c>
      <c r="AC994" s="52">
        <f>IF(OR(K994="",AND(P994&lt;&gt;"Transferencia",P994&lt;&gt;"Pago tarjeta")),"",IFERROR(IF(INDEX(ctaVinc,MATCH(K994,ctaNombre,0))&amp;""&lt;&gt;"",INDEX(ctaVinc,MATCH(K994,ctaNombre,0))&amp;"",K994),K994))</f>
        <v/>
      </c>
      <c r="AD994" s="52">
        <f>IF(AB994="","",IFERROR(INDEX(ctaTipo,MATCH(AB994,ctaNombre,0))&amp;"",""))</f>
        <v/>
      </c>
      <c r="AE994" s="52">
        <f>IF(AC994="","",IFERROR(INDEX(ctaTipo,MATCH(AC994,ctaNombre,0))&amp;"",""))</f>
        <v/>
      </c>
      <c r="AF994" s="53">
        <f>IF(OR(P994="",AB994=""),"",IF(OR(P994="Gasto",P994="Transferencia",P994="Pago tarjeta"),-1,1)*IF(IFERROR(INDEX(ctaMoneda,MATCH(AB994,ctaNombre,0))&amp;"","DOP")="USD",T994,S994))</f>
        <v/>
      </c>
      <c r="AG994" s="53">
        <f>IF(AC994="","",IF(IFERROR(INDEX(ctaMoneda,MATCH(AC994,ctaNombre,0))&amp;"","DOP")="USD",T994,S994))</f>
        <v/>
      </c>
      <c r="AH994" s="53">
        <f>IF(P994="","",IF(AND(AD994&lt;&gt;"",COUNTIFS(tcTipo,AD994,tcLiq,"Sí")&gt;0),IF(OR(P994="Gasto",P994="Transferencia",P994="Pago tarjeta"),-1,1)*S994,0)+IF(AND(AE994&lt;&gt;"",COUNTIFS(tcTipo,AE994,tcLiq,"Sí")&gt;0),S994,0))</f>
        <v/>
      </c>
      <c r="AI994" s="52">
        <f>IF(OR(L994="",P994=""),"",IF(COUNTIFS(L$6:L994,L994,P$6:P994,"?*")=1,MAX(AI$5:AI993)+1,""))</f>
        <v/>
      </c>
    </row>
    <row r="995">
      <c r="B995" s="47" t="n"/>
      <c r="C995" s="48" t="n"/>
      <c r="D995" s="48" t="n"/>
      <c r="E995" s="48" t="n"/>
      <c r="F995" s="48" t="n"/>
      <c r="G995" s="49" t="n"/>
      <c r="H995" s="48" t="n"/>
      <c r="I995" s="50" t="n"/>
      <c r="J995" s="48" t="n"/>
      <c r="K995" s="48" t="n"/>
      <c r="L995" s="48" t="n"/>
      <c r="M995" s="48" t="n"/>
      <c r="N995" s="48" t="n"/>
      <c r="O995" s="51">
        <f>IF(AND(B995="",G995="",C995="",D995="",J995=""),"",IF(B995="","⚠ Falta fecha",IF(G995="","⚠ Falta monto",IF(Q995="","⚠ Falta cuenta",IF(ISNA(MATCH(Q995,ctaNombre,0)),"⚠ Cuenta no registrada",IF(AND(OR(P995="Gasto",P995="Reembolso"),D995=""),"⚠ Falta categoría",IF(AND(D995&lt;&gt;"",E995&lt;&gt;"",ISNA(MATCH(D995&amp;"|"&amp;E995,catClave,0))),"⚠ Subcategoría no corresponde",IF(AND(OR(P995="Transferencia",P995="Pago tarjeta"),K995=""),"⚠ Falta cuenta destino",IF(AND(K995&lt;&gt;"",P995&lt;&gt;"Transferencia",P995&lt;&gt;"Pago tarjeta"),"⚠ Destino solo aplica a transferencias",IF(AND(K995&lt;&gt;"",K995=Q995),"⚠ Origen igual a destino",IF(AND(K995&lt;&gt;"",ISNA(MATCH(K995,ctaNombre,0))),"⚠ Destino no registrado",IF(AND(P995="Pago tarjeta",AE995&lt;&gt;"Tarjeta de crédito"),"⚠ El destino debe ser tarjeta de crédito",IF(AND(P995="Gasto",E995="Depósitos y retiros"),"⚠ Usa tipo Transferencia",IF(AND(P995="Resultado trading",AD995&lt;&gt;"Cuenta de trading"),"⚠ Usa una cuenta de trading",IF(AND(G995&lt;=0,P995&lt;&gt;"Ajuste",P995&lt;&gt;"Resultado trading"),"⚠ El monto debe ser positivo","✓")))))))))))))))</f>
        <v/>
      </c>
      <c r="P995" s="52">
        <f>IF(OR(B995="",G995=""),"",IF(C995="","Gasto",C995))</f>
        <v/>
      </c>
      <c r="Q995" s="52">
        <f>IF(P995="","",IF(J995&lt;&gt;"",J995,CuentaPred&amp;""))</f>
        <v/>
      </c>
      <c r="R995" s="52">
        <f>IF(P995="","",IF(ISNUMBER(I995),I995,TasaUSD))</f>
        <v/>
      </c>
      <c r="S995" s="53">
        <f>IF(P995="","",IF(H995="USD",G995*R995,G995))</f>
        <v/>
      </c>
      <c r="T995" s="53">
        <f>IF(P995="","",IF(H995="USD",G995,IF(R995&gt;0,G995/R995,0)))</f>
        <v/>
      </c>
      <c r="U995" s="53">
        <f>IF(P995="","",IF(P995="Gasto",S995,IF(P995="Reembolso",-S995,0)))</f>
        <v/>
      </c>
      <c r="V995" s="53">
        <f>IF(P995="","",IF(P995="Ingreso",S995,0))</f>
        <v/>
      </c>
      <c r="W995" s="53">
        <f>IF(P995="","",IF(P995="Resultado trading",S995,0))</f>
        <v/>
      </c>
      <c r="X995" s="52">
        <f>IF(OR(P995="Gasto",P995="Reembolso"),IF(M995&lt;&gt;"",M995,IFERROR(INDEX(catClasif,MATCH(D995&amp;"|"&amp;E995,catClave,0))&amp;"","Variable")),"")</f>
        <v/>
      </c>
      <c r="Y995" s="52">
        <f>IF(P995="","",IFERROR(INDEX(catGrupo,MATCH(D995&amp;"|"&amp;E995,catClave,0))&amp;"",""))</f>
        <v/>
      </c>
      <c r="Z995" s="52">
        <f>IF(P995="","",WEEKDAY(B995,2))</f>
        <v/>
      </c>
      <c r="AA995" s="52">
        <f>IF(P995="","",IF(AND(P995="Gasto",X995="Variable",D995&lt;&gt;catTrading,S995&gt;0,S995&lt;=Umbral),1,0))</f>
        <v/>
      </c>
      <c r="AB995" s="52">
        <f>IF(OR(P995="",Q995=""),"",IFERROR(IF(INDEX(ctaVinc,MATCH(Q995,ctaNombre,0))&amp;""&lt;&gt;"",INDEX(ctaVinc,MATCH(Q995,ctaNombre,0))&amp;"",Q995),Q995))</f>
        <v/>
      </c>
      <c r="AC995" s="52">
        <f>IF(OR(K995="",AND(P995&lt;&gt;"Transferencia",P995&lt;&gt;"Pago tarjeta")),"",IFERROR(IF(INDEX(ctaVinc,MATCH(K995,ctaNombre,0))&amp;""&lt;&gt;"",INDEX(ctaVinc,MATCH(K995,ctaNombre,0))&amp;"",K995),K995))</f>
        <v/>
      </c>
      <c r="AD995" s="52">
        <f>IF(AB995="","",IFERROR(INDEX(ctaTipo,MATCH(AB995,ctaNombre,0))&amp;"",""))</f>
        <v/>
      </c>
      <c r="AE995" s="52">
        <f>IF(AC995="","",IFERROR(INDEX(ctaTipo,MATCH(AC995,ctaNombre,0))&amp;"",""))</f>
        <v/>
      </c>
      <c r="AF995" s="53">
        <f>IF(OR(P995="",AB995=""),"",IF(OR(P995="Gasto",P995="Transferencia",P995="Pago tarjeta"),-1,1)*IF(IFERROR(INDEX(ctaMoneda,MATCH(AB995,ctaNombre,0))&amp;"","DOP")="USD",T995,S995))</f>
        <v/>
      </c>
      <c r="AG995" s="53">
        <f>IF(AC995="","",IF(IFERROR(INDEX(ctaMoneda,MATCH(AC995,ctaNombre,0))&amp;"","DOP")="USD",T995,S995))</f>
        <v/>
      </c>
      <c r="AH995" s="53">
        <f>IF(P995="","",IF(AND(AD995&lt;&gt;"",COUNTIFS(tcTipo,AD995,tcLiq,"Sí")&gt;0),IF(OR(P995="Gasto",P995="Transferencia",P995="Pago tarjeta"),-1,1)*S995,0)+IF(AND(AE995&lt;&gt;"",COUNTIFS(tcTipo,AE995,tcLiq,"Sí")&gt;0),S995,0))</f>
        <v/>
      </c>
      <c r="AI995" s="52">
        <f>IF(OR(L995="",P995=""),"",IF(COUNTIFS(L$6:L995,L995,P$6:P995,"?*")=1,MAX(AI$5:AI994)+1,""))</f>
        <v/>
      </c>
    </row>
    <row r="996">
      <c r="B996" s="47" t="n"/>
      <c r="C996" s="48" t="n"/>
      <c r="D996" s="48" t="n"/>
      <c r="E996" s="48" t="n"/>
      <c r="F996" s="48" t="n"/>
      <c r="G996" s="49" t="n"/>
      <c r="H996" s="48" t="n"/>
      <c r="I996" s="50" t="n"/>
      <c r="J996" s="48" t="n"/>
      <c r="K996" s="48" t="n"/>
      <c r="L996" s="48" t="n"/>
      <c r="M996" s="48" t="n"/>
      <c r="N996" s="48" t="n"/>
      <c r="O996" s="51">
        <f>IF(AND(B996="",G996="",C996="",D996="",J996=""),"",IF(B996="","⚠ Falta fecha",IF(G996="","⚠ Falta monto",IF(Q996="","⚠ Falta cuenta",IF(ISNA(MATCH(Q996,ctaNombre,0)),"⚠ Cuenta no registrada",IF(AND(OR(P996="Gasto",P996="Reembolso"),D996=""),"⚠ Falta categoría",IF(AND(D996&lt;&gt;"",E996&lt;&gt;"",ISNA(MATCH(D996&amp;"|"&amp;E996,catClave,0))),"⚠ Subcategoría no corresponde",IF(AND(OR(P996="Transferencia",P996="Pago tarjeta"),K996=""),"⚠ Falta cuenta destino",IF(AND(K996&lt;&gt;"",P996&lt;&gt;"Transferencia",P996&lt;&gt;"Pago tarjeta"),"⚠ Destino solo aplica a transferencias",IF(AND(K996&lt;&gt;"",K996=Q996),"⚠ Origen igual a destino",IF(AND(K996&lt;&gt;"",ISNA(MATCH(K996,ctaNombre,0))),"⚠ Destino no registrado",IF(AND(P996="Pago tarjeta",AE996&lt;&gt;"Tarjeta de crédito"),"⚠ El destino debe ser tarjeta de crédito",IF(AND(P996="Gasto",E996="Depósitos y retiros"),"⚠ Usa tipo Transferencia",IF(AND(P996="Resultado trading",AD996&lt;&gt;"Cuenta de trading"),"⚠ Usa una cuenta de trading",IF(AND(G996&lt;=0,P996&lt;&gt;"Ajuste",P996&lt;&gt;"Resultado trading"),"⚠ El monto debe ser positivo","✓")))))))))))))))</f>
        <v/>
      </c>
      <c r="P996" s="52">
        <f>IF(OR(B996="",G996=""),"",IF(C996="","Gasto",C996))</f>
        <v/>
      </c>
      <c r="Q996" s="52">
        <f>IF(P996="","",IF(J996&lt;&gt;"",J996,CuentaPred&amp;""))</f>
        <v/>
      </c>
      <c r="R996" s="52">
        <f>IF(P996="","",IF(ISNUMBER(I996),I996,TasaUSD))</f>
        <v/>
      </c>
      <c r="S996" s="53">
        <f>IF(P996="","",IF(H996="USD",G996*R996,G996))</f>
        <v/>
      </c>
      <c r="T996" s="53">
        <f>IF(P996="","",IF(H996="USD",G996,IF(R996&gt;0,G996/R996,0)))</f>
        <v/>
      </c>
      <c r="U996" s="53">
        <f>IF(P996="","",IF(P996="Gasto",S996,IF(P996="Reembolso",-S996,0)))</f>
        <v/>
      </c>
      <c r="V996" s="53">
        <f>IF(P996="","",IF(P996="Ingreso",S996,0))</f>
        <v/>
      </c>
      <c r="W996" s="53">
        <f>IF(P996="","",IF(P996="Resultado trading",S996,0))</f>
        <v/>
      </c>
      <c r="X996" s="52">
        <f>IF(OR(P996="Gasto",P996="Reembolso"),IF(M996&lt;&gt;"",M996,IFERROR(INDEX(catClasif,MATCH(D996&amp;"|"&amp;E996,catClave,0))&amp;"","Variable")),"")</f>
        <v/>
      </c>
      <c r="Y996" s="52">
        <f>IF(P996="","",IFERROR(INDEX(catGrupo,MATCH(D996&amp;"|"&amp;E996,catClave,0))&amp;"",""))</f>
        <v/>
      </c>
      <c r="Z996" s="52">
        <f>IF(P996="","",WEEKDAY(B996,2))</f>
        <v/>
      </c>
      <c r="AA996" s="52">
        <f>IF(P996="","",IF(AND(P996="Gasto",X996="Variable",D996&lt;&gt;catTrading,S996&gt;0,S996&lt;=Umbral),1,0))</f>
        <v/>
      </c>
      <c r="AB996" s="52">
        <f>IF(OR(P996="",Q996=""),"",IFERROR(IF(INDEX(ctaVinc,MATCH(Q996,ctaNombre,0))&amp;""&lt;&gt;"",INDEX(ctaVinc,MATCH(Q996,ctaNombre,0))&amp;"",Q996),Q996))</f>
        <v/>
      </c>
      <c r="AC996" s="52">
        <f>IF(OR(K996="",AND(P996&lt;&gt;"Transferencia",P996&lt;&gt;"Pago tarjeta")),"",IFERROR(IF(INDEX(ctaVinc,MATCH(K996,ctaNombre,0))&amp;""&lt;&gt;"",INDEX(ctaVinc,MATCH(K996,ctaNombre,0))&amp;"",K996),K996))</f>
        <v/>
      </c>
      <c r="AD996" s="52">
        <f>IF(AB996="","",IFERROR(INDEX(ctaTipo,MATCH(AB996,ctaNombre,0))&amp;"",""))</f>
        <v/>
      </c>
      <c r="AE996" s="52">
        <f>IF(AC996="","",IFERROR(INDEX(ctaTipo,MATCH(AC996,ctaNombre,0))&amp;"",""))</f>
        <v/>
      </c>
      <c r="AF996" s="53">
        <f>IF(OR(P996="",AB996=""),"",IF(OR(P996="Gasto",P996="Transferencia",P996="Pago tarjeta"),-1,1)*IF(IFERROR(INDEX(ctaMoneda,MATCH(AB996,ctaNombre,0))&amp;"","DOP")="USD",T996,S996))</f>
        <v/>
      </c>
      <c r="AG996" s="53">
        <f>IF(AC996="","",IF(IFERROR(INDEX(ctaMoneda,MATCH(AC996,ctaNombre,0))&amp;"","DOP")="USD",T996,S996))</f>
        <v/>
      </c>
      <c r="AH996" s="53">
        <f>IF(P996="","",IF(AND(AD996&lt;&gt;"",COUNTIFS(tcTipo,AD996,tcLiq,"Sí")&gt;0),IF(OR(P996="Gasto",P996="Transferencia",P996="Pago tarjeta"),-1,1)*S996,0)+IF(AND(AE996&lt;&gt;"",COUNTIFS(tcTipo,AE996,tcLiq,"Sí")&gt;0),S996,0))</f>
        <v/>
      </c>
      <c r="AI996" s="52">
        <f>IF(OR(L996="",P996=""),"",IF(COUNTIFS(L$6:L996,L996,P$6:P996,"?*")=1,MAX(AI$5:AI995)+1,""))</f>
        <v/>
      </c>
    </row>
    <row r="997">
      <c r="B997" s="47" t="n"/>
      <c r="C997" s="48" t="n"/>
      <c r="D997" s="48" t="n"/>
      <c r="E997" s="48" t="n"/>
      <c r="F997" s="48" t="n"/>
      <c r="G997" s="49" t="n"/>
      <c r="H997" s="48" t="n"/>
      <c r="I997" s="50" t="n"/>
      <c r="J997" s="48" t="n"/>
      <c r="K997" s="48" t="n"/>
      <c r="L997" s="48" t="n"/>
      <c r="M997" s="48" t="n"/>
      <c r="N997" s="48" t="n"/>
      <c r="O997" s="51">
        <f>IF(AND(B997="",G997="",C997="",D997="",J997=""),"",IF(B997="","⚠ Falta fecha",IF(G997="","⚠ Falta monto",IF(Q997="","⚠ Falta cuenta",IF(ISNA(MATCH(Q997,ctaNombre,0)),"⚠ Cuenta no registrada",IF(AND(OR(P997="Gasto",P997="Reembolso"),D997=""),"⚠ Falta categoría",IF(AND(D997&lt;&gt;"",E997&lt;&gt;"",ISNA(MATCH(D997&amp;"|"&amp;E997,catClave,0))),"⚠ Subcategoría no corresponde",IF(AND(OR(P997="Transferencia",P997="Pago tarjeta"),K997=""),"⚠ Falta cuenta destino",IF(AND(K997&lt;&gt;"",P997&lt;&gt;"Transferencia",P997&lt;&gt;"Pago tarjeta"),"⚠ Destino solo aplica a transferencias",IF(AND(K997&lt;&gt;"",K997=Q997),"⚠ Origen igual a destino",IF(AND(K997&lt;&gt;"",ISNA(MATCH(K997,ctaNombre,0))),"⚠ Destino no registrado",IF(AND(P997="Pago tarjeta",AE997&lt;&gt;"Tarjeta de crédito"),"⚠ El destino debe ser tarjeta de crédito",IF(AND(P997="Gasto",E997="Depósitos y retiros"),"⚠ Usa tipo Transferencia",IF(AND(P997="Resultado trading",AD997&lt;&gt;"Cuenta de trading"),"⚠ Usa una cuenta de trading",IF(AND(G997&lt;=0,P997&lt;&gt;"Ajuste",P997&lt;&gt;"Resultado trading"),"⚠ El monto debe ser positivo","✓")))))))))))))))</f>
        <v/>
      </c>
      <c r="P997" s="52">
        <f>IF(OR(B997="",G997=""),"",IF(C997="","Gasto",C997))</f>
        <v/>
      </c>
      <c r="Q997" s="52">
        <f>IF(P997="","",IF(J997&lt;&gt;"",J997,CuentaPred&amp;""))</f>
        <v/>
      </c>
      <c r="R997" s="52">
        <f>IF(P997="","",IF(ISNUMBER(I997),I997,TasaUSD))</f>
        <v/>
      </c>
      <c r="S997" s="53">
        <f>IF(P997="","",IF(H997="USD",G997*R997,G997))</f>
        <v/>
      </c>
      <c r="T997" s="53">
        <f>IF(P997="","",IF(H997="USD",G997,IF(R997&gt;0,G997/R997,0)))</f>
        <v/>
      </c>
      <c r="U997" s="53">
        <f>IF(P997="","",IF(P997="Gasto",S997,IF(P997="Reembolso",-S997,0)))</f>
        <v/>
      </c>
      <c r="V997" s="53">
        <f>IF(P997="","",IF(P997="Ingreso",S997,0))</f>
        <v/>
      </c>
      <c r="W997" s="53">
        <f>IF(P997="","",IF(P997="Resultado trading",S997,0))</f>
        <v/>
      </c>
      <c r="X997" s="52">
        <f>IF(OR(P997="Gasto",P997="Reembolso"),IF(M997&lt;&gt;"",M997,IFERROR(INDEX(catClasif,MATCH(D997&amp;"|"&amp;E997,catClave,0))&amp;"","Variable")),"")</f>
        <v/>
      </c>
      <c r="Y997" s="52">
        <f>IF(P997="","",IFERROR(INDEX(catGrupo,MATCH(D997&amp;"|"&amp;E997,catClave,0))&amp;"",""))</f>
        <v/>
      </c>
      <c r="Z997" s="52">
        <f>IF(P997="","",WEEKDAY(B997,2))</f>
        <v/>
      </c>
      <c r="AA997" s="52">
        <f>IF(P997="","",IF(AND(P997="Gasto",X997="Variable",D997&lt;&gt;catTrading,S997&gt;0,S997&lt;=Umbral),1,0))</f>
        <v/>
      </c>
      <c r="AB997" s="52">
        <f>IF(OR(P997="",Q997=""),"",IFERROR(IF(INDEX(ctaVinc,MATCH(Q997,ctaNombre,0))&amp;""&lt;&gt;"",INDEX(ctaVinc,MATCH(Q997,ctaNombre,0))&amp;"",Q997),Q997))</f>
        <v/>
      </c>
      <c r="AC997" s="52">
        <f>IF(OR(K997="",AND(P997&lt;&gt;"Transferencia",P997&lt;&gt;"Pago tarjeta")),"",IFERROR(IF(INDEX(ctaVinc,MATCH(K997,ctaNombre,0))&amp;""&lt;&gt;"",INDEX(ctaVinc,MATCH(K997,ctaNombre,0))&amp;"",K997),K997))</f>
        <v/>
      </c>
      <c r="AD997" s="52">
        <f>IF(AB997="","",IFERROR(INDEX(ctaTipo,MATCH(AB997,ctaNombre,0))&amp;"",""))</f>
        <v/>
      </c>
      <c r="AE997" s="52">
        <f>IF(AC997="","",IFERROR(INDEX(ctaTipo,MATCH(AC997,ctaNombre,0))&amp;"",""))</f>
        <v/>
      </c>
      <c r="AF997" s="53">
        <f>IF(OR(P997="",AB997=""),"",IF(OR(P997="Gasto",P997="Transferencia",P997="Pago tarjeta"),-1,1)*IF(IFERROR(INDEX(ctaMoneda,MATCH(AB997,ctaNombre,0))&amp;"","DOP")="USD",T997,S997))</f>
        <v/>
      </c>
      <c r="AG997" s="53">
        <f>IF(AC997="","",IF(IFERROR(INDEX(ctaMoneda,MATCH(AC997,ctaNombre,0))&amp;"","DOP")="USD",T997,S997))</f>
        <v/>
      </c>
      <c r="AH997" s="53">
        <f>IF(P997="","",IF(AND(AD997&lt;&gt;"",COUNTIFS(tcTipo,AD997,tcLiq,"Sí")&gt;0),IF(OR(P997="Gasto",P997="Transferencia",P997="Pago tarjeta"),-1,1)*S997,0)+IF(AND(AE997&lt;&gt;"",COUNTIFS(tcTipo,AE997,tcLiq,"Sí")&gt;0),S997,0))</f>
        <v/>
      </c>
      <c r="AI997" s="52">
        <f>IF(OR(L997="",P997=""),"",IF(COUNTIFS(L$6:L997,L997,P$6:P997,"?*")=1,MAX(AI$5:AI996)+1,""))</f>
        <v/>
      </c>
    </row>
    <row r="998">
      <c r="B998" s="47" t="n"/>
      <c r="C998" s="48" t="n"/>
      <c r="D998" s="48" t="n"/>
      <c r="E998" s="48" t="n"/>
      <c r="F998" s="48" t="n"/>
      <c r="G998" s="49" t="n"/>
      <c r="H998" s="48" t="n"/>
      <c r="I998" s="50" t="n"/>
      <c r="J998" s="48" t="n"/>
      <c r="K998" s="48" t="n"/>
      <c r="L998" s="48" t="n"/>
      <c r="M998" s="48" t="n"/>
      <c r="N998" s="48" t="n"/>
      <c r="O998" s="51">
        <f>IF(AND(B998="",G998="",C998="",D998="",J998=""),"",IF(B998="","⚠ Falta fecha",IF(G998="","⚠ Falta monto",IF(Q998="","⚠ Falta cuenta",IF(ISNA(MATCH(Q998,ctaNombre,0)),"⚠ Cuenta no registrada",IF(AND(OR(P998="Gasto",P998="Reembolso"),D998=""),"⚠ Falta categoría",IF(AND(D998&lt;&gt;"",E998&lt;&gt;"",ISNA(MATCH(D998&amp;"|"&amp;E998,catClave,0))),"⚠ Subcategoría no corresponde",IF(AND(OR(P998="Transferencia",P998="Pago tarjeta"),K998=""),"⚠ Falta cuenta destino",IF(AND(K998&lt;&gt;"",P998&lt;&gt;"Transferencia",P998&lt;&gt;"Pago tarjeta"),"⚠ Destino solo aplica a transferencias",IF(AND(K998&lt;&gt;"",K998=Q998),"⚠ Origen igual a destino",IF(AND(K998&lt;&gt;"",ISNA(MATCH(K998,ctaNombre,0))),"⚠ Destino no registrado",IF(AND(P998="Pago tarjeta",AE998&lt;&gt;"Tarjeta de crédito"),"⚠ El destino debe ser tarjeta de crédito",IF(AND(P998="Gasto",E998="Depósitos y retiros"),"⚠ Usa tipo Transferencia",IF(AND(P998="Resultado trading",AD998&lt;&gt;"Cuenta de trading"),"⚠ Usa una cuenta de trading",IF(AND(G998&lt;=0,P998&lt;&gt;"Ajuste",P998&lt;&gt;"Resultado trading"),"⚠ El monto debe ser positivo","✓")))))))))))))))</f>
        <v/>
      </c>
      <c r="P998" s="52">
        <f>IF(OR(B998="",G998=""),"",IF(C998="","Gasto",C998))</f>
        <v/>
      </c>
      <c r="Q998" s="52">
        <f>IF(P998="","",IF(J998&lt;&gt;"",J998,CuentaPred&amp;""))</f>
        <v/>
      </c>
      <c r="R998" s="52">
        <f>IF(P998="","",IF(ISNUMBER(I998),I998,TasaUSD))</f>
        <v/>
      </c>
      <c r="S998" s="53">
        <f>IF(P998="","",IF(H998="USD",G998*R998,G998))</f>
        <v/>
      </c>
      <c r="T998" s="53">
        <f>IF(P998="","",IF(H998="USD",G998,IF(R998&gt;0,G998/R998,0)))</f>
        <v/>
      </c>
      <c r="U998" s="53">
        <f>IF(P998="","",IF(P998="Gasto",S998,IF(P998="Reembolso",-S998,0)))</f>
        <v/>
      </c>
      <c r="V998" s="53">
        <f>IF(P998="","",IF(P998="Ingreso",S998,0))</f>
        <v/>
      </c>
      <c r="W998" s="53">
        <f>IF(P998="","",IF(P998="Resultado trading",S998,0))</f>
        <v/>
      </c>
      <c r="X998" s="52">
        <f>IF(OR(P998="Gasto",P998="Reembolso"),IF(M998&lt;&gt;"",M998,IFERROR(INDEX(catClasif,MATCH(D998&amp;"|"&amp;E998,catClave,0))&amp;"","Variable")),"")</f>
        <v/>
      </c>
      <c r="Y998" s="52">
        <f>IF(P998="","",IFERROR(INDEX(catGrupo,MATCH(D998&amp;"|"&amp;E998,catClave,0))&amp;"",""))</f>
        <v/>
      </c>
      <c r="Z998" s="52">
        <f>IF(P998="","",WEEKDAY(B998,2))</f>
        <v/>
      </c>
      <c r="AA998" s="52">
        <f>IF(P998="","",IF(AND(P998="Gasto",X998="Variable",D998&lt;&gt;catTrading,S998&gt;0,S998&lt;=Umbral),1,0))</f>
        <v/>
      </c>
      <c r="AB998" s="52">
        <f>IF(OR(P998="",Q998=""),"",IFERROR(IF(INDEX(ctaVinc,MATCH(Q998,ctaNombre,0))&amp;""&lt;&gt;"",INDEX(ctaVinc,MATCH(Q998,ctaNombre,0))&amp;"",Q998),Q998))</f>
        <v/>
      </c>
      <c r="AC998" s="52">
        <f>IF(OR(K998="",AND(P998&lt;&gt;"Transferencia",P998&lt;&gt;"Pago tarjeta")),"",IFERROR(IF(INDEX(ctaVinc,MATCH(K998,ctaNombre,0))&amp;""&lt;&gt;"",INDEX(ctaVinc,MATCH(K998,ctaNombre,0))&amp;"",K998),K998))</f>
        <v/>
      </c>
      <c r="AD998" s="52">
        <f>IF(AB998="","",IFERROR(INDEX(ctaTipo,MATCH(AB998,ctaNombre,0))&amp;"",""))</f>
        <v/>
      </c>
      <c r="AE998" s="52">
        <f>IF(AC998="","",IFERROR(INDEX(ctaTipo,MATCH(AC998,ctaNombre,0))&amp;"",""))</f>
        <v/>
      </c>
      <c r="AF998" s="53">
        <f>IF(OR(P998="",AB998=""),"",IF(OR(P998="Gasto",P998="Transferencia",P998="Pago tarjeta"),-1,1)*IF(IFERROR(INDEX(ctaMoneda,MATCH(AB998,ctaNombre,0))&amp;"","DOP")="USD",T998,S998))</f>
        <v/>
      </c>
      <c r="AG998" s="53">
        <f>IF(AC998="","",IF(IFERROR(INDEX(ctaMoneda,MATCH(AC998,ctaNombre,0))&amp;"","DOP")="USD",T998,S998))</f>
        <v/>
      </c>
      <c r="AH998" s="53">
        <f>IF(P998="","",IF(AND(AD998&lt;&gt;"",COUNTIFS(tcTipo,AD998,tcLiq,"Sí")&gt;0),IF(OR(P998="Gasto",P998="Transferencia",P998="Pago tarjeta"),-1,1)*S998,0)+IF(AND(AE998&lt;&gt;"",COUNTIFS(tcTipo,AE998,tcLiq,"Sí")&gt;0),S998,0))</f>
        <v/>
      </c>
      <c r="AI998" s="52">
        <f>IF(OR(L998="",P998=""),"",IF(COUNTIFS(L$6:L998,L998,P$6:P998,"?*")=1,MAX(AI$5:AI997)+1,""))</f>
        <v/>
      </c>
    </row>
    <row r="999">
      <c r="B999" s="47" t="n"/>
      <c r="C999" s="48" t="n"/>
      <c r="D999" s="48" t="n"/>
      <c r="E999" s="48" t="n"/>
      <c r="F999" s="48" t="n"/>
      <c r="G999" s="49" t="n"/>
      <c r="H999" s="48" t="n"/>
      <c r="I999" s="50" t="n"/>
      <c r="J999" s="48" t="n"/>
      <c r="K999" s="48" t="n"/>
      <c r="L999" s="48" t="n"/>
      <c r="M999" s="48" t="n"/>
      <c r="N999" s="48" t="n"/>
      <c r="O999" s="51">
        <f>IF(AND(B999="",G999="",C999="",D999="",J999=""),"",IF(B999="","⚠ Falta fecha",IF(G999="","⚠ Falta monto",IF(Q999="","⚠ Falta cuenta",IF(ISNA(MATCH(Q999,ctaNombre,0)),"⚠ Cuenta no registrada",IF(AND(OR(P999="Gasto",P999="Reembolso"),D999=""),"⚠ Falta categoría",IF(AND(D999&lt;&gt;"",E999&lt;&gt;"",ISNA(MATCH(D999&amp;"|"&amp;E999,catClave,0))),"⚠ Subcategoría no corresponde",IF(AND(OR(P999="Transferencia",P999="Pago tarjeta"),K999=""),"⚠ Falta cuenta destino",IF(AND(K999&lt;&gt;"",P999&lt;&gt;"Transferencia",P999&lt;&gt;"Pago tarjeta"),"⚠ Destino solo aplica a transferencias",IF(AND(K999&lt;&gt;"",K999=Q999),"⚠ Origen igual a destino",IF(AND(K999&lt;&gt;"",ISNA(MATCH(K999,ctaNombre,0))),"⚠ Destino no registrado",IF(AND(P999="Pago tarjeta",AE999&lt;&gt;"Tarjeta de crédito"),"⚠ El destino debe ser tarjeta de crédito",IF(AND(P999="Gasto",E999="Depósitos y retiros"),"⚠ Usa tipo Transferencia",IF(AND(P999="Resultado trading",AD999&lt;&gt;"Cuenta de trading"),"⚠ Usa una cuenta de trading",IF(AND(G999&lt;=0,P999&lt;&gt;"Ajuste",P999&lt;&gt;"Resultado trading"),"⚠ El monto debe ser positivo","✓")))))))))))))))</f>
        <v/>
      </c>
      <c r="P999" s="52">
        <f>IF(OR(B999="",G999=""),"",IF(C999="","Gasto",C999))</f>
        <v/>
      </c>
      <c r="Q999" s="52">
        <f>IF(P999="","",IF(J999&lt;&gt;"",J999,CuentaPred&amp;""))</f>
        <v/>
      </c>
      <c r="R999" s="52">
        <f>IF(P999="","",IF(ISNUMBER(I999),I999,TasaUSD))</f>
        <v/>
      </c>
      <c r="S999" s="53">
        <f>IF(P999="","",IF(H999="USD",G999*R999,G999))</f>
        <v/>
      </c>
      <c r="T999" s="53">
        <f>IF(P999="","",IF(H999="USD",G999,IF(R999&gt;0,G999/R999,0)))</f>
        <v/>
      </c>
      <c r="U999" s="53">
        <f>IF(P999="","",IF(P999="Gasto",S999,IF(P999="Reembolso",-S999,0)))</f>
        <v/>
      </c>
      <c r="V999" s="53">
        <f>IF(P999="","",IF(P999="Ingreso",S999,0))</f>
        <v/>
      </c>
      <c r="W999" s="53">
        <f>IF(P999="","",IF(P999="Resultado trading",S999,0))</f>
        <v/>
      </c>
      <c r="X999" s="52">
        <f>IF(OR(P999="Gasto",P999="Reembolso"),IF(M999&lt;&gt;"",M999,IFERROR(INDEX(catClasif,MATCH(D999&amp;"|"&amp;E999,catClave,0))&amp;"","Variable")),"")</f>
        <v/>
      </c>
      <c r="Y999" s="52">
        <f>IF(P999="","",IFERROR(INDEX(catGrupo,MATCH(D999&amp;"|"&amp;E999,catClave,0))&amp;"",""))</f>
        <v/>
      </c>
      <c r="Z999" s="52">
        <f>IF(P999="","",WEEKDAY(B999,2))</f>
        <v/>
      </c>
      <c r="AA999" s="52">
        <f>IF(P999="","",IF(AND(P999="Gasto",X999="Variable",D999&lt;&gt;catTrading,S999&gt;0,S999&lt;=Umbral),1,0))</f>
        <v/>
      </c>
      <c r="AB999" s="52">
        <f>IF(OR(P999="",Q999=""),"",IFERROR(IF(INDEX(ctaVinc,MATCH(Q999,ctaNombre,0))&amp;""&lt;&gt;"",INDEX(ctaVinc,MATCH(Q999,ctaNombre,0))&amp;"",Q999),Q999))</f>
        <v/>
      </c>
      <c r="AC999" s="52">
        <f>IF(OR(K999="",AND(P999&lt;&gt;"Transferencia",P999&lt;&gt;"Pago tarjeta")),"",IFERROR(IF(INDEX(ctaVinc,MATCH(K999,ctaNombre,0))&amp;""&lt;&gt;"",INDEX(ctaVinc,MATCH(K999,ctaNombre,0))&amp;"",K999),K999))</f>
        <v/>
      </c>
      <c r="AD999" s="52">
        <f>IF(AB999="","",IFERROR(INDEX(ctaTipo,MATCH(AB999,ctaNombre,0))&amp;"",""))</f>
        <v/>
      </c>
      <c r="AE999" s="52">
        <f>IF(AC999="","",IFERROR(INDEX(ctaTipo,MATCH(AC999,ctaNombre,0))&amp;"",""))</f>
        <v/>
      </c>
      <c r="AF999" s="53">
        <f>IF(OR(P999="",AB999=""),"",IF(OR(P999="Gasto",P999="Transferencia",P999="Pago tarjeta"),-1,1)*IF(IFERROR(INDEX(ctaMoneda,MATCH(AB999,ctaNombre,0))&amp;"","DOP")="USD",T999,S999))</f>
        <v/>
      </c>
      <c r="AG999" s="53">
        <f>IF(AC999="","",IF(IFERROR(INDEX(ctaMoneda,MATCH(AC999,ctaNombre,0))&amp;"","DOP")="USD",T999,S999))</f>
        <v/>
      </c>
      <c r="AH999" s="53">
        <f>IF(P999="","",IF(AND(AD999&lt;&gt;"",COUNTIFS(tcTipo,AD999,tcLiq,"Sí")&gt;0),IF(OR(P999="Gasto",P999="Transferencia",P999="Pago tarjeta"),-1,1)*S999,0)+IF(AND(AE999&lt;&gt;"",COUNTIFS(tcTipo,AE999,tcLiq,"Sí")&gt;0),S999,0))</f>
        <v/>
      </c>
      <c r="AI999" s="52">
        <f>IF(OR(L999="",P999=""),"",IF(COUNTIFS(L$6:L999,L999,P$6:P999,"?*")=1,MAX(AI$5:AI998)+1,""))</f>
        <v/>
      </c>
    </row>
    <row r="1000">
      <c r="B1000" s="47" t="n"/>
      <c r="C1000" s="48" t="n"/>
      <c r="D1000" s="48" t="n"/>
      <c r="E1000" s="48" t="n"/>
      <c r="F1000" s="48" t="n"/>
      <c r="G1000" s="49" t="n"/>
      <c r="H1000" s="48" t="n"/>
      <c r="I1000" s="50" t="n"/>
      <c r="J1000" s="48" t="n"/>
      <c r="K1000" s="48" t="n"/>
      <c r="L1000" s="48" t="n"/>
      <c r="M1000" s="48" t="n"/>
      <c r="N1000" s="48" t="n"/>
      <c r="O1000" s="51">
        <f>IF(AND(B1000="",G1000="",C1000="",D1000="",J1000=""),"",IF(B1000="","⚠ Falta fecha",IF(G1000="","⚠ Falta monto",IF(Q1000="","⚠ Falta cuenta",IF(ISNA(MATCH(Q1000,ctaNombre,0)),"⚠ Cuenta no registrada",IF(AND(OR(P1000="Gasto",P1000="Reembolso"),D1000=""),"⚠ Falta categoría",IF(AND(D1000&lt;&gt;"",E1000&lt;&gt;"",ISNA(MATCH(D1000&amp;"|"&amp;E1000,catClave,0))),"⚠ Subcategoría no corresponde",IF(AND(OR(P1000="Transferencia",P1000="Pago tarjeta"),K1000=""),"⚠ Falta cuenta destino",IF(AND(K1000&lt;&gt;"",P1000&lt;&gt;"Transferencia",P1000&lt;&gt;"Pago tarjeta"),"⚠ Destino solo aplica a transferencias",IF(AND(K1000&lt;&gt;"",K1000=Q1000),"⚠ Origen igual a destino",IF(AND(K1000&lt;&gt;"",ISNA(MATCH(K1000,ctaNombre,0))),"⚠ Destino no registrado",IF(AND(P1000="Pago tarjeta",AE1000&lt;&gt;"Tarjeta de crédito"),"⚠ El destino debe ser tarjeta de crédito",IF(AND(P1000="Gasto",E1000="Depósitos y retiros"),"⚠ Usa tipo Transferencia",IF(AND(P1000="Resultado trading",AD1000&lt;&gt;"Cuenta de trading"),"⚠ Usa una cuenta de trading",IF(AND(G1000&lt;=0,P1000&lt;&gt;"Ajuste",P1000&lt;&gt;"Resultado trading"),"⚠ El monto debe ser positivo","✓")))))))))))))))</f>
        <v/>
      </c>
      <c r="P1000" s="52">
        <f>IF(OR(B1000="",G1000=""),"",IF(C1000="","Gasto",C1000))</f>
        <v/>
      </c>
      <c r="Q1000" s="52">
        <f>IF(P1000="","",IF(J1000&lt;&gt;"",J1000,CuentaPred&amp;""))</f>
        <v/>
      </c>
      <c r="R1000" s="52">
        <f>IF(P1000="","",IF(ISNUMBER(I1000),I1000,TasaUSD))</f>
        <v/>
      </c>
      <c r="S1000" s="53">
        <f>IF(P1000="","",IF(H1000="USD",G1000*R1000,G1000))</f>
        <v/>
      </c>
      <c r="T1000" s="53">
        <f>IF(P1000="","",IF(H1000="USD",G1000,IF(R1000&gt;0,G1000/R1000,0)))</f>
        <v/>
      </c>
      <c r="U1000" s="53">
        <f>IF(P1000="","",IF(P1000="Gasto",S1000,IF(P1000="Reembolso",-S1000,0)))</f>
        <v/>
      </c>
      <c r="V1000" s="53">
        <f>IF(P1000="","",IF(P1000="Ingreso",S1000,0))</f>
        <v/>
      </c>
      <c r="W1000" s="53">
        <f>IF(P1000="","",IF(P1000="Resultado trading",S1000,0))</f>
        <v/>
      </c>
      <c r="X1000" s="52">
        <f>IF(OR(P1000="Gasto",P1000="Reembolso"),IF(M1000&lt;&gt;"",M1000,IFERROR(INDEX(catClasif,MATCH(D1000&amp;"|"&amp;E1000,catClave,0))&amp;"","Variable")),"")</f>
        <v/>
      </c>
      <c r="Y1000" s="52">
        <f>IF(P1000="","",IFERROR(INDEX(catGrupo,MATCH(D1000&amp;"|"&amp;E1000,catClave,0))&amp;"",""))</f>
        <v/>
      </c>
      <c r="Z1000" s="52">
        <f>IF(P1000="","",WEEKDAY(B1000,2))</f>
        <v/>
      </c>
      <c r="AA1000" s="52">
        <f>IF(P1000="","",IF(AND(P1000="Gasto",X1000="Variable",D1000&lt;&gt;catTrading,S1000&gt;0,S1000&lt;=Umbral),1,0))</f>
        <v/>
      </c>
      <c r="AB1000" s="52">
        <f>IF(OR(P1000="",Q1000=""),"",IFERROR(IF(INDEX(ctaVinc,MATCH(Q1000,ctaNombre,0))&amp;""&lt;&gt;"",INDEX(ctaVinc,MATCH(Q1000,ctaNombre,0))&amp;"",Q1000),Q1000))</f>
        <v/>
      </c>
      <c r="AC1000" s="52">
        <f>IF(OR(K1000="",AND(P1000&lt;&gt;"Transferencia",P1000&lt;&gt;"Pago tarjeta")),"",IFERROR(IF(INDEX(ctaVinc,MATCH(K1000,ctaNombre,0))&amp;""&lt;&gt;"",INDEX(ctaVinc,MATCH(K1000,ctaNombre,0))&amp;"",K1000),K1000))</f>
        <v/>
      </c>
      <c r="AD1000" s="52">
        <f>IF(AB1000="","",IFERROR(INDEX(ctaTipo,MATCH(AB1000,ctaNombre,0))&amp;"",""))</f>
        <v/>
      </c>
      <c r="AE1000" s="52">
        <f>IF(AC1000="","",IFERROR(INDEX(ctaTipo,MATCH(AC1000,ctaNombre,0))&amp;"",""))</f>
        <v/>
      </c>
      <c r="AF1000" s="53">
        <f>IF(OR(P1000="",AB1000=""),"",IF(OR(P1000="Gasto",P1000="Transferencia",P1000="Pago tarjeta"),-1,1)*IF(IFERROR(INDEX(ctaMoneda,MATCH(AB1000,ctaNombre,0))&amp;"","DOP")="USD",T1000,S1000))</f>
        <v/>
      </c>
      <c r="AG1000" s="53">
        <f>IF(AC1000="","",IF(IFERROR(INDEX(ctaMoneda,MATCH(AC1000,ctaNombre,0))&amp;"","DOP")="USD",T1000,S1000))</f>
        <v/>
      </c>
      <c r="AH1000" s="53">
        <f>IF(P1000="","",IF(AND(AD1000&lt;&gt;"",COUNTIFS(tcTipo,AD1000,tcLiq,"Sí")&gt;0),IF(OR(P1000="Gasto",P1000="Transferencia",P1000="Pago tarjeta"),-1,1)*S1000,0)+IF(AND(AE1000&lt;&gt;"",COUNTIFS(tcTipo,AE1000,tcLiq,"Sí")&gt;0),S1000,0))</f>
        <v/>
      </c>
      <c r="AI1000" s="52">
        <f>IF(OR(L1000="",P1000=""),"",IF(COUNTIFS(L$6:L1000,L1000,P$6:P1000,"?*")=1,MAX(AI$5:AI999)+1,""))</f>
        <v/>
      </c>
    </row>
    <row r="1001">
      <c r="B1001" s="47" t="n"/>
      <c r="C1001" s="48" t="n"/>
      <c r="D1001" s="48" t="n"/>
      <c r="E1001" s="48" t="n"/>
      <c r="F1001" s="48" t="n"/>
      <c r="G1001" s="49" t="n"/>
      <c r="H1001" s="48" t="n"/>
      <c r="I1001" s="50" t="n"/>
      <c r="J1001" s="48" t="n"/>
      <c r="K1001" s="48" t="n"/>
      <c r="L1001" s="48" t="n"/>
      <c r="M1001" s="48" t="n"/>
      <c r="N1001" s="48" t="n"/>
      <c r="O1001" s="51">
        <f>IF(AND(B1001="",G1001="",C1001="",D1001="",J1001=""),"",IF(B1001="","⚠ Falta fecha",IF(G1001="","⚠ Falta monto",IF(Q1001="","⚠ Falta cuenta",IF(ISNA(MATCH(Q1001,ctaNombre,0)),"⚠ Cuenta no registrada",IF(AND(OR(P1001="Gasto",P1001="Reembolso"),D1001=""),"⚠ Falta categoría",IF(AND(D1001&lt;&gt;"",E1001&lt;&gt;"",ISNA(MATCH(D1001&amp;"|"&amp;E1001,catClave,0))),"⚠ Subcategoría no corresponde",IF(AND(OR(P1001="Transferencia",P1001="Pago tarjeta"),K1001=""),"⚠ Falta cuenta destino",IF(AND(K1001&lt;&gt;"",P1001&lt;&gt;"Transferencia",P1001&lt;&gt;"Pago tarjeta"),"⚠ Destino solo aplica a transferencias",IF(AND(K1001&lt;&gt;"",K1001=Q1001),"⚠ Origen igual a destino",IF(AND(K1001&lt;&gt;"",ISNA(MATCH(K1001,ctaNombre,0))),"⚠ Destino no registrado",IF(AND(P1001="Pago tarjeta",AE1001&lt;&gt;"Tarjeta de crédito"),"⚠ El destino debe ser tarjeta de crédito",IF(AND(P1001="Gasto",E1001="Depósitos y retiros"),"⚠ Usa tipo Transferencia",IF(AND(P1001="Resultado trading",AD1001&lt;&gt;"Cuenta de trading"),"⚠ Usa una cuenta de trading",IF(AND(G1001&lt;=0,P1001&lt;&gt;"Ajuste",P1001&lt;&gt;"Resultado trading"),"⚠ El monto debe ser positivo","✓")))))))))))))))</f>
        <v/>
      </c>
      <c r="P1001" s="52">
        <f>IF(OR(B1001="",G1001=""),"",IF(C1001="","Gasto",C1001))</f>
        <v/>
      </c>
      <c r="Q1001" s="52">
        <f>IF(P1001="","",IF(J1001&lt;&gt;"",J1001,CuentaPred&amp;""))</f>
        <v/>
      </c>
      <c r="R1001" s="52">
        <f>IF(P1001="","",IF(ISNUMBER(I1001),I1001,TasaUSD))</f>
        <v/>
      </c>
      <c r="S1001" s="53">
        <f>IF(P1001="","",IF(H1001="USD",G1001*R1001,G1001))</f>
        <v/>
      </c>
      <c r="T1001" s="53">
        <f>IF(P1001="","",IF(H1001="USD",G1001,IF(R1001&gt;0,G1001/R1001,0)))</f>
        <v/>
      </c>
      <c r="U1001" s="53">
        <f>IF(P1001="","",IF(P1001="Gasto",S1001,IF(P1001="Reembolso",-S1001,0)))</f>
        <v/>
      </c>
      <c r="V1001" s="53">
        <f>IF(P1001="","",IF(P1001="Ingreso",S1001,0))</f>
        <v/>
      </c>
      <c r="W1001" s="53">
        <f>IF(P1001="","",IF(P1001="Resultado trading",S1001,0))</f>
        <v/>
      </c>
      <c r="X1001" s="52">
        <f>IF(OR(P1001="Gasto",P1001="Reembolso"),IF(M1001&lt;&gt;"",M1001,IFERROR(INDEX(catClasif,MATCH(D1001&amp;"|"&amp;E1001,catClave,0))&amp;"","Variable")),"")</f>
        <v/>
      </c>
      <c r="Y1001" s="52">
        <f>IF(P1001="","",IFERROR(INDEX(catGrupo,MATCH(D1001&amp;"|"&amp;E1001,catClave,0))&amp;"",""))</f>
        <v/>
      </c>
      <c r="Z1001" s="52">
        <f>IF(P1001="","",WEEKDAY(B1001,2))</f>
        <v/>
      </c>
      <c r="AA1001" s="52">
        <f>IF(P1001="","",IF(AND(P1001="Gasto",X1001="Variable",D1001&lt;&gt;catTrading,S1001&gt;0,S1001&lt;=Umbral),1,0))</f>
        <v/>
      </c>
      <c r="AB1001" s="52">
        <f>IF(OR(P1001="",Q1001=""),"",IFERROR(IF(INDEX(ctaVinc,MATCH(Q1001,ctaNombre,0))&amp;""&lt;&gt;"",INDEX(ctaVinc,MATCH(Q1001,ctaNombre,0))&amp;"",Q1001),Q1001))</f>
        <v/>
      </c>
      <c r="AC1001" s="52">
        <f>IF(OR(K1001="",AND(P1001&lt;&gt;"Transferencia",P1001&lt;&gt;"Pago tarjeta")),"",IFERROR(IF(INDEX(ctaVinc,MATCH(K1001,ctaNombre,0))&amp;""&lt;&gt;"",INDEX(ctaVinc,MATCH(K1001,ctaNombre,0))&amp;"",K1001),K1001))</f>
        <v/>
      </c>
      <c r="AD1001" s="52">
        <f>IF(AB1001="","",IFERROR(INDEX(ctaTipo,MATCH(AB1001,ctaNombre,0))&amp;"",""))</f>
        <v/>
      </c>
      <c r="AE1001" s="52">
        <f>IF(AC1001="","",IFERROR(INDEX(ctaTipo,MATCH(AC1001,ctaNombre,0))&amp;"",""))</f>
        <v/>
      </c>
      <c r="AF1001" s="53">
        <f>IF(OR(P1001="",AB1001=""),"",IF(OR(P1001="Gasto",P1001="Transferencia",P1001="Pago tarjeta"),-1,1)*IF(IFERROR(INDEX(ctaMoneda,MATCH(AB1001,ctaNombre,0))&amp;"","DOP")="USD",T1001,S1001))</f>
        <v/>
      </c>
      <c r="AG1001" s="53">
        <f>IF(AC1001="","",IF(IFERROR(INDEX(ctaMoneda,MATCH(AC1001,ctaNombre,0))&amp;"","DOP")="USD",T1001,S1001))</f>
        <v/>
      </c>
      <c r="AH1001" s="53">
        <f>IF(P1001="","",IF(AND(AD1001&lt;&gt;"",COUNTIFS(tcTipo,AD1001,tcLiq,"Sí")&gt;0),IF(OR(P1001="Gasto",P1001="Transferencia",P1001="Pago tarjeta"),-1,1)*S1001,0)+IF(AND(AE1001&lt;&gt;"",COUNTIFS(tcTipo,AE1001,tcLiq,"Sí")&gt;0),S1001,0))</f>
        <v/>
      </c>
      <c r="AI1001" s="52">
        <f>IF(OR(L1001="",P1001=""),"",IF(COUNTIFS(L$6:L1001,L1001,P$6:P1001,"?*")=1,MAX(AI$5:AI1000)+1,""))</f>
        <v/>
      </c>
    </row>
    <row r="1002">
      <c r="B1002" s="47" t="n"/>
      <c r="C1002" s="48" t="n"/>
      <c r="D1002" s="48" t="n"/>
      <c r="E1002" s="48" t="n"/>
      <c r="F1002" s="48" t="n"/>
      <c r="G1002" s="49" t="n"/>
      <c r="H1002" s="48" t="n"/>
      <c r="I1002" s="50" t="n"/>
      <c r="J1002" s="48" t="n"/>
      <c r="K1002" s="48" t="n"/>
      <c r="L1002" s="48" t="n"/>
      <c r="M1002" s="48" t="n"/>
      <c r="N1002" s="48" t="n"/>
      <c r="O1002" s="51">
        <f>IF(AND(B1002="",G1002="",C1002="",D1002="",J1002=""),"",IF(B1002="","⚠ Falta fecha",IF(G1002="","⚠ Falta monto",IF(Q1002="","⚠ Falta cuenta",IF(ISNA(MATCH(Q1002,ctaNombre,0)),"⚠ Cuenta no registrada",IF(AND(OR(P1002="Gasto",P1002="Reembolso"),D1002=""),"⚠ Falta categoría",IF(AND(D1002&lt;&gt;"",E1002&lt;&gt;"",ISNA(MATCH(D1002&amp;"|"&amp;E1002,catClave,0))),"⚠ Subcategoría no corresponde",IF(AND(OR(P1002="Transferencia",P1002="Pago tarjeta"),K1002=""),"⚠ Falta cuenta destino",IF(AND(K1002&lt;&gt;"",P1002&lt;&gt;"Transferencia",P1002&lt;&gt;"Pago tarjeta"),"⚠ Destino solo aplica a transferencias",IF(AND(K1002&lt;&gt;"",K1002=Q1002),"⚠ Origen igual a destino",IF(AND(K1002&lt;&gt;"",ISNA(MATCH(K1002,ctaNombre,0))),"⚠ Destino no registrado",IF(AND(P1002="Pago tarjeta",AE1002&lt;&gt;"Tarjeta de crédito"),"⚠ El destino debe ser tarjeta de crédito",IF(AND(P1002="Gasto",E1002="Depósitos y retiros"),"⚠ Usa tipo Transferencia",IF(AND(P1002="Resultado trading",AD1002&lt;&gt;"Cuenta de trading"),"⚠ Usa una cuenta de trading",IF(AND(G1002&lt;=0,P1002&lt;&gt;"Ajuste",P1002&lt;&gt;"Resultado trading"),"⚠ El monto debe ser positivo","✓")))))))))))))))</f>
        <v/>
      </c>
      <c r="P1002" s="52">
        <f>IF(OR(B1002="",G1002=""),"",IF(C1002="","Gasto",C1002))</f>
        <v/>
      </c>
      <c r="Q1002" s="52">
        <f>IF(P1002="","",IF(J1002&lt;&gt;"",J1002,CuentaPred&amp;""))</f>
        <v/>
      </c>
      <c r="R1002" s="52">
        <f>IF(P1002="","",IF(ISNUMBER(I1002),I1002,TasaUSD))</f>
        <v/>
      </c>
      <c r="S1002" s="53">
        <f>IF(P1002="","",IF(H1002="USD",G1002*R1002,G1002))</f>
        <v/>
      </c>
      <c r="T1002" s="53">
        <f>IF(P1002="","",IF(H1002="USD",G1002,IF(R1002&gt;0,G1002/R1002,0)))</f>
        <v/>
      </c>
      <c r="U1002" s="53">
        <f>IF(P1002="","",IF(P1002="Gasto",S1002,IF(P1002="Reembolso",-S1002,0)))</f>
        <v/>
      </c>
      <c r="V1002" s="53">
        <f>IF(P1002="","",IF(P1002="Ingreso",S1002,0))</f>
        <v/>
      </c>
      <c r="W1002" s="53">
        <f>IF(P1002="","",IF(P1002="Resultado trading",S1002,0))</f>
        <v/>
      </c>
      <c r="X1002" s="52">
        <f>IF(OR(P1002="Gasto",P1002="Reembolso"),IF(M1002&lt;&gt;"",M1002,IFERROR(INDEX(catClasif,MATCH(D1002&amp;"|"&amp;E1002,catClave,0))&amp;"","Variable")),"")</f>
        <v/>
      </c>
      <c r="Y1002" s="52">
        <f>IF(P1002="","",IFERROR(INDEX(catGrupo,MATCH(D1002&amp;"|"&amp;E1002,catClave,0))&amp;"",""))</f>
        <v/>
      </c>
      <c r="Z1002" s="52">
        <f>IF(P1002="","",WEEKDAY(B1002,2))</f>
        <v/>
      </c>
      <c r="AA1002" s="52">
        <f>IF(P1002="","",IF(AND(P1002="Gasto",X1002="Variable",D1002&lt;&gt;catTrading,S1002&gt;0,S1002&lt;=Umbral),1,0))</f>
        <v/>
      </c>
      <c r="AB1002" s="52">
        <f>IF(OR(P1002="",Q1002=""),"",IFERROR(IF(INDEX(ctaVinc,MATCH(Q1002,ctaNombre,0))&amp;""&lt;&gt;"",INDEX(ctaVinc,MATCH(Q1002,ctaNombre,0))&amp;"",Q1002),Q1002))</f>
        <v/>
      </c>
      <c r="AC1002" s="52">
        <f>IF(OR(K1002="",AND(P1002&lt;&gt;"Transferencia",P1002&lt;&gt;"Pago tarjeta")),"",IFERROR(IF(INDEX(ctaVinc,MATCH(K1002,ctaNombre,0))&amp;""&lt;&gt;"",INDEX(ctaVinc,MATCH(K1002,ctaNombre,0))&amp;"",K1002),K1002))</f>
        <v/>
      </c>
      <c r="AD1002" s="52">
        <f>IF(AB1002="","",IFERROR(INDEX(ctaTipo,MATCH(AB1002,ctaNombre,0))&amp;"",""))</f>
        <v/>
      </c>
      <c r="AE1002" s="52">
        <f>IF(AC1002="","",IFERROR(INDEX(ctaTipo,MATCH(AC1002,ctaNombre,0))&amp;"",""))</f>
        <v/>
      </c>
      <c r="AF1002" s="53">
        <f>IF(OR(P1002="",AB1002=""),"",IF(OR(P1002="Gasto",P1002="Transferencia",P1002="Pago tarjeta"),-1,1)*IF(IFERROR(INDEX(ctaMoneda,MATCH(AB1002,ctaNombre,0))&amp;"","DOP")="USD",T1002,S1002))</f>
        <v/>
      </c>
      <c r="AG1002" s="53">
        <f>IF(AC1002="","",IF(IFERROR(INDEX(ctaMoneda,MATCH(AC1002,ctaNombre,0))&amp;"","DOP")="USD",T1002,S1002))</f>
        <v/>
      </c>
      <c r="AH1002" s="53">
        <f>IF(P1002="","",IF(AND(AD1002&lt;&gt;"",COUNTIFS(tcTipo,AD1002,tcLiq,"Sí")&gt;0),IF(OR(P1002="Gasto",P1002="Transferencia",P1002="Pago tarjeta"),-1,1)*S1002,0)+IF(AND(AE1002&lt;&gt;"",COUNTIFS(tcTipo,AE1002,tcLiq,"Sí")&gt;0),S1002,0))</f>
        <v/>
      </c>
      <c r="AI1002" s="52">
        <f>IF(OR(L1002="",P1002=""),"",IF(COUNTIFS(L$6:L1002,L1002,P$6:P1002,"?*")=1,MAX(AI$5:AI1001)+1,""))</f>
        <v/>
      </c>
    </row>
    <row r="1003">
      <c r="B1003" s="47" t="n"/>
      <c r="C1003" s="48" t="n"/>
      <c r="D1003" s="48" t="n"/>
      <c r="E1003" s="48" t="n"/>
      <c r="F1003" s="48" t="n"/>
      <c r="G1003" s="49" t="n"/>
      <c r="H1003" s="48" t="n"/>
      <c r="I1003" s="50" t="n"/>
      <c r="J1003" s="48" t="n"/>
      <c r="K1003" s="48" t="n"/>
      <c r="L1003" s="48" t="n"/>
      <c r="M1003" s="48" t="n"/>
      <c r="N1003" s="48" t="n"/>
      <c r="O1003" s="51">
        <f>IF(AND(B1003="",G1003="",C1003="",D1003="",J1003=""),"",IF(B1003="","⚠ Falta fecha",IF(G1003="","⚠ Falta monto",IF(Q1003="","⚠ Falta cuenta",IF(ISNA(MATCH(Q1003,ctaNombre,0)),"⚠ Cuenta no registrada",IF(AND(OR(P1003="Gasto",P1003="Reembolso"),D1003=""),"⚠ Falta categoría",IF(AND(D1003&lt;&gt;"",E1003&lt;&gt;"",ISNA(MATCH(D1003&amp;"|"&amp;E1003,catClave,0))),"⚠ Subcategoría no corresponde",IF(AND(OR(P1003="Transferencia",P1003="Pago tarjeta"),K1003=""),"⚠ Falta cuenta destino",IF(AND(K1003&lt;&gt;"",P1003&lt;&gt;"Transferencia",P1003&lt;&gt;"Pago tarjeta"),"⚠ Destino solo aplica a transferencias",IF(AND(K1003&lt;&gt;"",K1003=Q1003),"⚠ Origen igual a destino",IF(AND(K1003&lt;&gt;"",ISNA(MATCH(K1003,ctaNombre,0))),"⚠ Destino no registrado",IF(AND(P1003="Pago tarjeta",AE1003&lt;&gt;"Tarjeta de crédito"),"⚠ El destino debe ser tarjeta de crédito",IF(AND(P1003="Gasto",E1003="Depósitos y retiros"),"⚠ Usa tipo Transferencia",IF(AND(P1003="Resultado trading",AD1003&lt;&gt;"Cuenta de trading"),"⚠ Usa una cuenta de trading",IF(AND(G1003&lt;=0,P1003&lt;&gt;"Ajuste",P1003&lt;&gt;"Resultado trading"),"⚠ El monto debe ser positivo","✓")))))))))))))))</f>
        <v/>
      </c>
      <c r="P1003" s="52">
        <f>IF(OR(B1003="",G1003=""),"",IF(C1003="","Gasto",C1003))</f>
        <v/>
      </c>
      <c r="Q1003" s="52">
        <f>IF(P1003="","",IF(J1003&lt;&gt;"",J1003,CuentaPred&amp;""))</f>
        <v/>
      </c>
      <c r="R1003" s="52">
        <f>IF(P1003="","",IF(ISNUMBER(I1003),I1003,TasaUSD))</f>
        <v/>
      </c>
      <c r="S1003" s="53">
        <f>IF(P1003="","",IF(H1003="USD",G1003*R1003,G1003))</f>
        <v/>
      </c>
      <c r="T1003" s="53">
        <f>IF(P1003="","",IF(H1003="USD",G1003,IF(R1003&gt;0,G1003/R1003,0)))</f>
        <v/>
      </c>
      <c r="U1003" s="53">
        <f>IF(P1003="","",IF(P1003="Gasto",S1003,IF(P1003="Reembolso",-S1003,0)))</f>
        <v/>
      </c>
      <c r="V1003" s="53">
        <f>IF(P1003="","",IF(P1003="Ingreso",S1003,0))</f>
        <v/>
      </c>
      <c r="W1003" s="53">
        <f>IF(P1003="","",IF(P1003="Resultado trading",S1003,0))</f>
        <v/>
      </c>
      <c r="X1003" s="52">
        <f>IF(OR(P1003="Gasto",P1003="Reembolso"),IF(M1003&lt;&gt;"",M1003,IFERROR(INDEX(catClasif,MATCH(D1003&amp;"|"&amp;E1003,catClave,0))&amp;"","Variable")),"")</f>
        <v/>
      </c>
      <c r="Y1003" s="52">
        <f>IF(P1003="","",IFERROR(INDEX(catGrupo,MATCH(D1003&amp;"|"&amp;E1003,catClave,0))&amp;"",""))</f>
        <v/>
      </c>
      <c r="Z1003" s="52">
        <f>IF(P1003="","",WEEKDAY(B1003,2))</f>
        <v/>
      </c>
      <c r="AA1003" s="52">
        <f>IF(P1003="","",IF(AND(P1003="Gasto",X1003="Variable",D1003&lt;&gt;catTrading,S1003&gt;0,S1003&lt;=Umbral),1,0))</f>
        <v/>
      </c>
      <c r="AB1003" s="52">
        <f>IF(OR(P1003="",Q1003=""),"",IFERROR(IF(INDEX(ctaVinc,MATCH(Q1003,ctaNombre,0))&amp;""&lt;&gt;"",INDEX(ctaVinc,MATCH(Q1003,ctaNombre,0))&amp;"",Q1003),Q1003))</f>
        <v/>
      </c>
      <c r="AC1003" s="52">
        <f>IF(OR(K1003="",AND(P1003&lt;&gt;"Transferencia",P1003&lt;&gt;"Pago tarjeta")),"",IFERROR(IF(INDEX(ctaVinc,MATCH(K1003,ctaNombre,0))&amp;""&lt;&gt;"",INDEX(ctaVinc,MATCH(K1003,ctaNombre,0))&amp;"",K1003),K1003))</f>
        <v/>
      </c>
      <c r="AD1003" s="52">
        <f>IF(AB1003="","",IFERROR(INDEX(ctaTipo,MATCH(AB1003,ctaNombre,0))&amp;"",""))</f>
        <v/>
      </c>
      <c r="AE1003" s="52">
        <f>IF(AC1003="","",IFERROR(INDEX(ctaTipo,MATCH(AC1003,ctaNombre,0))&amp;"",""))</f>
        <v/>
      </c>
      <c r="AF1003" s="53">
        <f>IF(OR(P1003="",AB1003=""),"",IF(OR(P1003="Gasto",P1003="Transferencia",P1003="Pago tarjeta"),-1,1)*IF(IFERROR(INDEX(ctaMoneda,MATCH(AB1003,ctaNombre,0))&amp;"","DOP")="USD",T1003,S1003))</f>
        <v/>
      </c>
      <c r="AG1003" s="53">
        <f>IF(AC1003="","",IF(IFERROR(INDEX(ctaMoneda,MATCH(AC1003,ctaNombre,0))&amp;"","DOP")="USD",T1003,S1003))</f>
        <v/>
      </c>
      <c r="AH1003" s="53">
        <f>IF(P1003="","",IF(AND(AD1003&lt;&gt;"",COUNTIFS(tcTipo,AD1003,tcLiq,"Sí")&gt;0),IF(OR(P1003="Gasto",P1003="Transferencia",P1003="Pago tarjeta"),-1,1)*S1003,0)+IF(AND(AE1003&lt;&gt;"",COUNTIFS(tcTipo,AE1003,tcLiq,"Sí")&gt;0),S1003,0))</f>
        <v/>
      </c>
      <c r="AI1003" s="52">
        <f>IF(OR(L1003="",P1003=""),"",IF(COUNTIFS(L$6:L1003,L1003,P$6:P1003,"?*")=1,MAX(AI$5:AI1002)+1,""))</f>
        <v/>
      </c>
    </row>
    <row r="1004">
      <c r="B1004" s="47" t="n"/>
      <c r="C1004" s="48" t="n"/>
      <c r="D1004" s="48" t="n"/>
      <c r="E1004" s="48" t="n"/>
      <c r="F1004" s="48" t="n"/>
      <c r="G1004" s="49" t="n"/>
      <c r="H1004" s="48" t="n"/>
      <c r="I1004" s="50" t="n"/>
      <c r="J1004" s="48" t="n"/>
      <c r="K1004" s="48" t="n"/>
      <c r="L1004" s="48" t="n"/>
      <c r="M1004" s="48" t="n"/>
      <c r="N1004" s="48" t="n"/>
      <c r="O1004" s="51">
        <f>IF(AND(B1004="",G1004="",C1004="",D1004="",J1004=""),"",IF(B1004="","⚠ Falta fecha",IF(G1004="","⚠ Falta monto",IF(Q1004="","⚠ Falta cuenta",IF(ISNA(MATCH(Q1004,ctaNombre,0)),"⚠ Cuenta no registrada",IF(AND(OR(P1004="Gasto",P1004="Reembolso"),D1004=""),"⚠ Falta categoría",IF(AND(D1004&lt;&gt;"",E1004&lt;&gt;"",ISNA(MATCH(D1004&amp;"|"&amp;E1004,catClave,0))),"⚠ Subcategoría no corresponde",IF(AND(OR(P1004="Transferencia",P1004="Pago tarjeta"),K1004=""),"⚠ Falta cuenta destino",IF(AND(K1004&lt;&gt;"",P1004&lt;&gt;"Transferencia",P1004&lt;&gt;"Pago tarjeta"),"⚠ Destino solo aplica a transferencias",IF(AND(K1004&lt;&gt;"",K1004=Q1004),"⚠ Origen igual a destino",IF(AND(K1004&lt;&gt;"",ISNA(MATCH(K1004,ctaNombre,0))),"⚠ Destino no registrado",IF(AND(P1004="Pago tarjeta",AE1004&lt;&gt;"Tarjeta de crédito"),"⚠ El destino debe ser tarjeta de crédito",IF(AND(P1004="Gasto",E1004="Depósitos y retiros"),"⚠ Usa tipo Transferencia",IF(AND(P1004="Resultado trading",AD1004&lt;&gt;"Cuenta de trading"),"⚠ Usa una cuenta de trading",IF(AND(G1004&lt;=0,P1004&lt;&gt;"Ajuste",P1004&lt;&gt;"Resultado trading"),"⚠ El monto debe ser positivo","✓")))))))))))))))</f>
        <v/>
      </c>
      <c r="P1004" s="52">
        <f>IF(OR(B1004="",G1004=""),"",IF(C1004="","Gasto",C1004))</f>
        <v/>
      </c>
      <c r="Q1004" s="52">
        <f>IF(P1004="","",IF(J1004&lt;&gt;"",J1004,CuentaPred&amp;""))</f>
        <v/>
      </c>
      <c r="R1004" s="52">
        <f>IF(P1004="","",IF(ISNUMBER(I1004),I1004,TasaUSD))</f>
        <v/>
      </c>
      <c r="S1004" s="53">
        <f>IF(P1004="","",IF(H1004="USD",G1004*R1004,G1004))</f>
        <v/>
      </c>
      <c r="T1004" s="53">
        <f>IF(P1004="","",IF(H1004="USD",G1004,IF(R1004&gt;0,G1004/R1004,0)))</f>
        <v/>
      </c>
      <c r="U1004" s="53">
        <f>IF(P1004="","",IF(P1004="Gasto",S1004,IF(P1004="Reembolso",-S1004,0)))</f>
        <v/>
      </c>
      <c r="V1004" s="53">
        <f>IF(P1004="","",IF(P1004="Ingreso",S1004,0))</f>
        <v/>
      </c>
      <c r="W1004" s="53">
        <f>IF(P1004="","",IF(P1004="Resultado trading",S1004,0))</f>
        <v/>
      </c>
      <c r="X1004" s="52">
        <f>IF(OR(P1004="Gasto",P1004="Reembolso"),IF(M1004&lt;&gt;"",M1004,IFERROR(INDEX(catClasif,MATCH(D1004&amp;"|"&amp;E1004,catClave,0))&amp;"","Variable")),"")</f>
        <v/>
      </c>
      <c r="Y1004" s="52">
        <f>IF(P1004="","",IFERROR(INDEX(catGrupo,MATCH(D1004&amp;"|"&amp;E1004,catClave,0))&amp;"",""))</f>
        <v/>
      </c>
      <c r="Z1004" s="52">
        <f>IF(P1004="","",WEEKDAY(B1004,2))</f>
        <v/>
      </c>
      <c r="AA1004" s="52">
        <f>IF(P1004="","",IF(AND(P1004="Gasto",X1004="Variable",D1004&lt;&gt;catTrading,S1004&gt;0,S1004&lt;=Umbral),1,0))</f>
        <v/>
      </c>
      <c r="AB1004" s="52">
        <f>IF(OR(P1004="",Q1004=""),"",IFERROR(IF(INDEX(ctaVinc,MATCH(Q1004,ctaNombre,0))&amp;""&lt;&gt;"",INDEX(ctaVinc,MATCH(Q1004,ctaNombre,0))&amp;"",Q1004),Q1004))</f>
        <v/>
      </c>
      <c r="AC1004" s="52">
        <f>IF(OR(K1004="",AND(P1004&lt;&gt;"Transferencia",P1004&lt;&gt;"Pago tarjeta")),"",IFERROR(IF(INDEX(ctaVinc,MATCH(K1004,ctaNombre,0))&amp;""&lt;&gt;"",INDEX(ctaVinc,MATCH(K1004,ctaNombre,0))&amp;"",K1004),K1004))</f>
        <v/>
      </c>
      <c r="AD1004" s="52">
        <f>IF(AB1004="","",IFERROR(INDEX(ctaTipo,MATCH(AB1004,ctaNombre,0))&amp;"",""))</f>
        <v/>
      </c>
      <c r="AE1004" s="52">
        <f>IF(AC1004="","",IFERROR(INDEX(ctaTipo,MATCH(AC1004,ctaNombre,0))&amp;"",""))</f>
        <v/>
      </c>
      <c r="AF1004" s="53">
        <f>IF(OR(P1004="",AB1004=""),"",IF(OR(P1004="Gasto",P1004="Transferencia",P1004="Pago tarjeta"),-1,1)*IF(IFERROR(INDEX(ctaMoneda,MATCH(AB1004,ctaNombre,0))&amp;"","DOP")="USD",T1004,S1004))</f>
        <v/>
      </c>
      <c r="AG1004" s="53">
        <f>IF(AC1004="","",IF(IFERROR(INDEX(ctaMoneda,MATCH(AC1004,ctaNombre,0))&amp;"","DOP")="USD",T1004,S1004))</f>
        <v/>
      </c>
      <c r="AH1004" s="53">
        <f>IF(P1004="","",IF(AND(AD1004&lt;&gt;"",COUNTIFS(tcTipo,AD1004,tcLiq,"Sí")&gt;0),IF(OR(P1004="Gasto",P1004="Transferencia",P1004="Pago tarjeta"),-1,1)*S1004,0)+IF(AND(AE1004&lt;&gt;"",COUNTIFS(tcTipo,AE1004,tcLiq,"Sí")&gt;0),S1004,0))</f>
        <v/>
      </c>
      <c r="AI1004" s="52">
        <f>IF(OR(L1004="",P1004=""),"",IF(COUNTIFS(L$6:L1004,L1004,P$6:P1004,"?*")=1,MAX(AI$5:AI1003)+1,""))</f>
        <v/>
      </c>
    </row>
    <row r="1005">
      <c r="B1005" s="47" t="n"/>
      <c r="C1005" s="48" t="n"/>
      <c r="D1005" s="48" t="n"/>
      <c r="E1005" s="48" t="n"/>
      <c r="F1005" s="48" t="n"/>
      <c r="G1005" s="49" t="n"/>
      <c r="H1005" s="48" t="n"/>
      <c r="I1005" s="50" t="n"/>
      <c r="J1005" s="48" t="n"/>
      <c r="K1005" s="48" t="n"/>
      <c r="L1005" s="48" t="n"/>
      <c r="M1005" s="48" t="n"/>
      <c r="N1005" s="48" t="n"/>
      <c r="O1005" s="51">
        <f>IF(AND(B1005="",G1005="",C1005="",D1005="",J1005=""),"",IF(B1005="","⚠ Falta fecha",IF(G1005="","⚠ Falta monto",IF(Q1005="","⚠ Falta cuenta",IF(ISNA(MATCH(Q1005,ctaNombre,0)),"⚠ Cuenta no registrada",IF(AND(OR(P1005="Gasto",P1005="Reembolso"),D1005=""),"⚠ Falta categoría",IF(AND(D1005&lt;&gt;"",E1005&lt;&gt;"",ISNA(MATCH(D1005&amp;"|"&amp;E1005,catClave,0))),"⚠ Subcategoría no corresponde",IF(AND(OR(P1005="Transferencia",P1005="Pago tarjeta"),K1005=""),"⚠ Falta cuenta destino",IF(AND(K1005&lt;&gt;"",P1005&lt;&gt;"Transferencia",P1005&lt;&gt;"Pago tarjeta"),"⚠ Destino solo aplica a transferencias",IF(AND(K1005&lt;&gt;"",K1005=Q1005),"⚠ Origen igual a destino",IF(AND(K1005&lt;&gt;"",ISNA(MATCH(K1005,ctaNombre,0))),"⚠ Destino no registrado",IF(AND(P1005="Pago tarjeta",AE1005&lt;&gt;"Tarjeta de crédito"),"⚠ El destino debe ser tarjeta de crédito",IF(AND(P1005="Gasto",E1005="Depósitos y retiros"),"⚠ Usa tipo Transferencia",IF(AND(P1005="Resultado trading",AD1005&lt;&gt;"Cuenta de trading"),"⚠ Usa una cuenta de trading",IF(AND(G1005&lt;=0,P1005&lt;&gt;"Ajuste",P1005&lt;&gt;"Resultado trading"),"⚠ El monto debe ser positivo","✓")))))))))))))))</f>
        <v/>
      </c>
      <c r="P1005" s="52">
        <f>IF(OR(B1005="",G1005=""),"",IF(C1005="","Gasto",C1005))</f>
        <v/>
      </c>
      <c r="Q1005" s="52">
        <f>IF(P1005="","",IF(J1005&lt;&gt;"",J1005,CuentaPred&amp;""))</f>
        <v/>
      </c>
      <c r="R1005" s="52">
        <f>IF(P1005="","",IF(ISNUMBER(I1005),I1005,TasaUSD))</f>
        <v/>
      </c>
      <c r="S1005" s="53">
        <f>IF(P1005="","",IF(H1005="USD",G1005*R1005,G1005))</f>
        <v/>
      </c>
      <c r="T1005" s="53">
        <f>IF(P1005="","",IF(H1005="USD",G1005,IF(R1005&gt;0,G1005/R1005,0)))</f>
        <v/>
      </c>
      <c r="U1005" s="53">
        <f>IF(P1005="","",IF(P1005="Gasto",S1005,IF(P1005="Reembolso",-S1005,0)))</f>
        <v/>
      </c>
      <c r="V1005" s="53">
        <f>IF(P1005="","",IF(P1005="Ingreso",S1005,0))</f>
        <v/>
      </c>
      <c r="W1005" s="53">
        <f>IF(P1005="","",IF(P1005="Resultado trading",S1005,0))</f>
        <v/>
      </c>
      <c r="X1005" s="52">
        <f>IF(OR(P1005="Gasto",P1005="Reembolso"),IF(M1005&lt;&gt;"",M1005,IFERROR(INDEX(catClasif,MATCH(D1005&amp;"|"&amp;E1005,catClave,0))&amp;"","Variable")),"")</f>
        <v/>
      </c>
      <c r="Y1005" s="52">
        <f>IF(P1005="","",IFERROR(INDEX(catGrupo,MATCH(D1005&amp;"|"&amp;E1005,catClave,0))&amp;"",""))</f>
        <v/>
      </c>
      <c r="Z1005" s="52">
        <f>IF(P1005="","",WEEKDAY(B1005,2))</f>
        <v/>
      </c>
      <c r="AA1005" s="52">
        <f>IF(P1005="","",IF(AND(P1005="Gasto",X1005="Variable",D1005&lt;&gt;catTrading,S1005&gt;0,S1005&lt;=Umbral),1,0))</f>
        <v/>
      </c>
      <c r="AB1005" s="52">
        <f>IF(OR(P1005="",Q1005=""),"",IFERROR(IF(INDEX(ctaVinc,MATCH(Q1005,ctaNombre,0))&amp;""&lt;&gt;"",INDEX(ctaVinc,MATCH(Q1005,ctaNombre,0))&amp;"",Q1005),Q1005))</f>
        <v/>
      </c>
      <c r="AC1005" s="52">
        <f>IF(OR(K1005="",AND(P1005&lt;&gt;"Transferencia",P1005&lt;&gt;"Pago tarjeta")),"",IFERROR(IF(INDEX(ctaVinc,MATCH(K1005,ctaNombre,0))&amp;""&lt;&gt;"",INDEX(ctaVinc,MATCH(K1005,ctaNombre,0))&amp;"",K1005),K1005))</f>
        <v/>
      </c>
      <c r="AD1005" s="52">
        <f>IF(AB1005="","",IFERROR(INDEX(ctaTipo,MATCH(AB1005,ctaNombre,0))&amp;"",""))</f>
        <v/>
      </c>
      <c r="AE1005" s="52">
        <f>IF(AC1005="","",IFERROR(INDEX(ctaTipo,MATCH(AC1005,ctaNombre,0))&amp;"",""))</f>
        <v/>
      </c>
      <c r="AF1005" s="53">
        <f>IF(OR(P1005="",AB1005=""),"",IF(OR(P1005="Gasto",P1005="Transferencia",P1005="Pago tarjeta"),-1,1)*IF(IFERROR(INDEX(ctaMoneda,MATCH(AB1005,ctaNombre,0))&amp;"","DOP")="USD",T1005,S1005))</f>
        <v/>
      </c>
      <c r="AG1005" s="53">
        <f>IF(AC1005="","",IF(IFERROR(INDEX(ctaMoneda,MATCH(AC1005,ctaNombre,0))&amp;"","DOP")="USD",T1005,S1005))</f>
        <v/>
      </c>
      <c r="AH1005" s="53">
        <f>IF(P1005="","",IF(AND(AD1005&lt;&gt;"",COUNTIFS(tcTipo,AD1005,tcLiq,"Sí")&gt;0),IF(OR(P1005="Gasto",P1005="Transferencia",P1005="Pago tarjeta"),-1,1)*S1005,0)+IF(AND(AE1005&lt;&gt;"",COUNTIFS(tcTipo,AE1005,tcLiq,"Sí")&gt;0),S1005,0))</f>
        <v/>
      </c>
      <c r="AI1005" s="52">
        <f>IF(OR(L1005="",P1005=""),"",IF(COUNTIFS(L$6:L1005,L1005,P$6:P1005,"?*")=1,MAX(AI$5:AI1004)+1,""))</f>
        <v/>
      </c>
    </row>
    <row r="1006">
      <c r="B1006" s="47" t="n"/>
      <c r="C1006" s="48" t="n"/>
      <c r="D1006" s="48" t="n"/>
      <c r="E1006" s="48" t="n"/>
      <c r="F1006" s="48" t="n"/>
      <c r="G1006" s="49" t="n"/>
      <c r="H1006" s="48" t="n"/>
      <c r="I1006" s="50" t="n"/>
      <c r="J1006" s="48" t="n"/>
      <c r="K1006" s="48" t="n"/>
      <c r="L1006" s="48" t="n"/>
      <c r="M1006" s="48" t="n"/>
      <c r="N1006" s="48" t="n"/>
      <c r="O1006" s="51">
        <f>IF(AND(B1006="",G1006="",C1006="",D1006="",J1006=""),"",IF(B1006="","⚠ Falta fecha",IF(G1006="","⚠ Falta monto",IF(Q1006="","⚠ Falta cuenta",IF(ISNA(MATCH(Q1006,ctaNombre,0)),"⚠ Cuenta no registrada",IF(AND(OR(P1006="Gasto",P1006="Reembolso"),D1006=""),"⚠ Falta categoría",IF(AND(D1006&lt;&gt;"",E1006&lt;&gt;"",ISNA(MATCH(D1006&amp;"|"&amp;E1006,catClave,0))),"⚠ Subcategoría no corresponde",IF(AND(OR(P1006="Transferencia",P1006="Pago tarjeta"),K1006=""),"⚠ Falta cuenta destino",IF(AND(K1006&lt;&gt;"",P1006&lt;&gt;"Transferencia",P1006&lt;&gt;"Pago tarjeta"),"⚠ Destino solo aplica a transferencias",IF(AND(K1006&lt;&gt;"",K1006=Q1006),"⚠ Origen igual a destino",IF(AND(K1006&lt;&gt;"",ISNA(MATCH(K1006,ctaNombre,0))),"⚠ Destino no registrado",IF(AND(P1006="Pago tarjeta",AE1006&lt;&gt;"Tarjeta de crédito"),"⚠ El destino debe ser tarjeta de crédito",IF(AND(P1006="Gasto",E1006="Depósitos y retiros"),"⚠ Usa tipo Transferencia",IF(AND(P1006="Resultado trading",AD1006&lt;&gt;"Cuenta de trading"),"⚠ Usa una cuenta de trading",IF(AND(G1006&lt;=0,P1006&lt;&gt;"Ajuste",P1006&lt;&gt;"Resultado trading"),"⚠ El monto debe ser positivo","✓")))))))))))))))</f>
        <v/>
      </c>
      <c r="P1006" s="52">
        <f>IF(OR(B1006="",G1006=""),"",IF(C1006="","Gasto",C1006))</f>
        <v/>
      </c>
      <c r="Q1006" s="52">
        <f>IF(P1006="","",IF(J1006&lt;&gt;"",J1006,CuentaPred&amp;""))</f>
        <v/>
      </c>
      <c r="R1006" s="52">
        <f>IF(P1006="","",IF(ISNUMBER(I1006),I1006,TasaUSD))</f>
        <v/>
      </c>
      <c r="S1006" s="53">
        <f>IF(P1006="","",IF(H1006="USD",G1006*R1006,G1006))</f>
        <v/>
      </c>
      <c r="T1006" s="53">
        <f>IF(P1006="","",IF(H1006="USD",G1006,IF(R1006&gt;0,G1006/R1006,0)))</f>
        <v/>
      </c>
      <c r="U1006" s="53">
        <f>IF(P1006="","",IF(P1006="Gasto",S1006,IF(P1006="Reembolso",-S1006,0)))</f>
        <v/>
      </c>
      <c r="V1006" s="53">
        <f>IF(P1006="","",IF(P1006="Ingreso",S1006,0))</f>
        <v/>
      </c>
      <c r="W1006" s="53">
        <f>IF(P1006="","",IF(P1006="Resultado trading",S1006,0))</f>
        <v/>
      </c>
      <c r="X1006" s="52">
        <f>IF(OR(P1006="Gasto",P1006="Reembolso"),IF(M1006&lt;&gt;"",M1006,IFERROR(INDEX(catClasif,MATCH(D1006&amp;"|"&amp;E1006,catClave,0))&amp;"","Variable")),"")</f>
        <v/>
      </c>
      <c r="Y1006" s="52">
        <f>IF(P1006="","",IFERROR(INDEX(catGrupo,MATCH(D1006&amp;"|"&amp;E1006,catClave,0))&amp;"",""))</f>
        <v/>
      </c>
      <c r="Z1006" s="52">
        <f>IF(P1006="","",WEEKDAY(B1006,2))</f>
        <v/>
      </c>
      <c r="AA1006" s="52">
        <f>IF(P1006="","",IF(AND(P1006="Gasto",X1006="Variable",D1006&lt;&gt;catTrading,S1006&gt;0,S1006&lt;=Umbral),1,0))</f>
        <v/>
      </c>
      <c r="AB1006" s="52">
        <f>IF(OR(P1006="",Q1006=""),"",IFERROR(IF(INDEX(ctaVinc,MATCH(Q1006,ctaNombre,0))&amp;""&lt;&gt;"",INDEX(ctaVinc,MATCH(Q1006,ctaNombre,0))&amp;"",Q1006),Q1006))</f>
        <v/>
      </c>
      <c r="AC1006" s="52">
        <f>IF(OR(K1006="",AND(P1006&lt;&gt;"Transferencia",P1006&lt;&gt;"Pago tarjeta")),"",IFERROR(IF(INDEX(ctaVinc,MATCH(K1006,ctaNombre,0))&amp;""&lt;&gt;"",INDEX(ctaVinc,MATCH(K1006,ctaNombre,0))&amp;"",K1006),K1006))</f>
        <v/>
      </c>
      <c r="AD1006" s="52">
        <f>IF(AB1006="","",IFERROR(INDEX(ctaTipo,MATCH(AB1006,ctaNombre,0))&amp;"",""))</f>
        <v/>
      </c>
      <c r="AE1006" s="52">
        <f>IF(AC1006="","",IFERROR(INDEX(ctaTipo,MATCH(AC1006,ctaNombre,0))&amp;"",""))</f>
        <v/>
      </c>
      <c r="AF1006" s="53">
        <f>IF(OR(P1006="",AB1006=""),"",IF(OR(P1006="Gasto",P1006="Transferencia",P1006="Pago tarjeta"),-1,1)*IF(IFERROR(INDEX(ctaMoneda,MATCH(AB1006,ctaNombre,0))&amp;"","DOP")="USD",T1006,S1006))</f>
        <v/>
      </c>
      <c r="AG1006" s="53">
        <f>IF(AC1006="","",IF(IFERROR(INDEX(ctaMoneda,MATCH(AC1006,ctaNombre,0))&amp;"","DOP")="USD",T1006,S1006))</f>
        <v/>
      </c>
      <c r="AH1006" s="53">
        <f>IF(P1006="","",IF(AND(AD1006&lt;&gt;"",COUNTIFS(tcTipo,AD1006,tcLiq,"Sí")&gt;0),IF(OR(P1006="Gasto",P1006="Transferencia",P1006="Pago tarjeta"),-1,1)*S1006,0)+IF(AND(AE1006&lt;&gt;"",COUNTIFS(tcTipo,AE1006,tcLiq,"Sí")&gt;0),S1006,0))</f>
        <v/>
      </c>
      <c r="AI1006" s="52">
        <f>IF(OR(L1006="",P1006=""),"",IF(COUNTIFS(L$6:L1006,L1006,P$6:P1006,"?*")=1,MAX(AI$5:AI1005)+1,""))</f>
        <v/>
      </c>
    </row>
    <row r="1007">
      <c r="B1007" s="47" t="n"/>
      <c r="C1007" s="48" t="n"/>
      <c r="D1007" s="48" t="n"/>
      <c r="E1007" s="48" t="n"/>
      <c r="F1007" s="48" t="n"/>
      <c r="G1007" s="49" t="n"/>
      <c r="H1007" s="48" t="n"/>
      <c r="I1007" s="50" t="n"/>
      <c r="J1007" s="48" t="n"/>
      <c r="K1007" s="48" t="n"/>
      <c r="L1007" s="48" t="n"/>
      <c r="M1007" s="48" t="n"/>
      <c r="N1007" s="48" t="n"/>
      <c r="O1007" s="51">
        <f>IF(AND(B1007="",G1007="",C1007="",D1007="",J1007=""),"",IF(B1007="","⚠ Falta fecha",IF(G1007="","⚠ Falta monto",IF(Q1007="","⚠ Falta cuenta",IF(ISNA(MATCH(Q1007,ctaNombre,0)),"⚠ Cuenta no registrada",IF(AND(OR(P1007="Gasto",P1007="Reembolso"),D1007=""),"⚠ Falta categoría",IF(AND(D1007&lt;&gt;"",E1007&lt;&gt;"",ISNA(MATCH(D1007&amp;"|"&amp;E1007,catClave,0))),"⚠ Subcategoría no corresponde",IF(AND(OR(P1007="Transferencia",P1007="Pago tarjeta"),K1007=""),"⚠ Falta cuenta destino",IF(AND(K1007&lt;&gt;"",P1007&lt;&gt;"Transferencia",P1007&lt;&gt;"Pago tarjeta"),"⚠ Destino solo aplica a transferencias",IF(AND(K1007&lt;&gt;"",K1007=Q1007),"⚠ Origen igual a destino",IF(AND(K1007&lt;&gt;"",ISNA(MATCH(K1007,ctaNombre,0))),"⚠ Destino no registrado",IF(AND(P1007="Pago tarjeta",AE1007&lt;&gt;"Tarjeta de crédito"),"⚠ El destino debe ser tarjeta de crédito",IF(AND(P1007="Gasto",E1007="Depósitos y retiros"),"⚠ Usa tipo Transferencia",IF(AND(P1007="Resultado trading",AD1007&lt;&gt;"Cuenta de trading"),"⚠ Usa una cuenta de trading",IF(AND(G1007&lt;=0,P1007&lt;&gt;"Ajuste",P1007&lt;&gt;"Resultado trading"),"⚠ El monto debe ser positivo","✓")))))))))))))))</f>
        <v/>
      </c>
      <c r="P1007" s="52">
        <f>IF(OR(B1007="",G1007=""),"",IF(C1007="","Gasto",C1007))</f>
        <v/>
      </c>
      <c r="Q1007" s="52">
        <f>IF(P1007="","",IF(J1007&lt;&gt;"",J1007,CuentaPred&amp;""))</f>
        <v/>
      </c>
      <c r="R1007" s="52">
        <f>IF(P1007="","",IF(ISNUMBER(I1007),I1007,TasaUSD))</f>
        <v/>
      </c>
      <c r="S1007" s="53">
        <f>IF(P1007="","",IF(H1007="USD",G1007*R1007,G1007))</f>
        <v/>
      </c>
      <c r="T1007" s="53">
        <f>IF(P1007="","",IF(H1007="USD",G1007,IF(R1007&gt;0,G1007/R1007,0)))</f>
        <v/>
      </c>
      <c r="U1007" s="53">
        <f>IF(P1007="","",IF(P1007="Gasto",S1007,IF(P1007="Reembolso",-S1007,0)))</f>
        <v/>
      </c>
      <c r="V1007" s="53">
        <f>IF(P1007="","",IF(P1007="Ingreso",S1007,0))</f>
        <v/>
      </c>
      <c r="W1007" s="53">
        <f>IF(P1007="","",IF(P1007="Resultado trading",S1007,0))</f>
        <v/>
      </c>
      <c r="X1007" s="52">
        <f>IF(OR(P1007="Gasto",P1007="Reembolso"),IF(M1007&lt;&gt;"",M1007,IFERROR(INDEX(catClasif,MATCH(D1007&amp;"|"&amp;E1007,catClave,0))&amp;"","Variable")),"")</f>
        <v/>
      </c>
      <c r="Y1007" s="52">
        <f>IF(P1007="","",IFERROR(INDEX(catGrupo,MATCH(D1007&amp;"|"&amp;E1007,catClave,0))&amp;"",""))</f>
        <v/>
      </c>
      <c r="Z1007" s="52">
        <f>IF(P1007="","",WEEKDAY(B1007,2))</f>
        <v/>
      </c>
      <c r="AA1007" s="52">
        <f>IF(P1007="","",IF(AND(P1007="Gasto",X1007="Variable",D1007&lt;&gt;catTrading,S1007&gt;0,S1007&lt;=Umbral),1,0))</f>
        <v/>
      </c>
      <c r="AB1007" s="52">
        <f>IF(OR(P1007="",Q1007=""),"",IFERROR(IF(INDEX(ctaVinc,MATCH(Q1007,ctaNombre,0))&amp;""&lt;&gt;"",INDEX(ctaVinc,MATCH(Q1007,ctaNombre,0))&amp;"",Q1007),Q1007))</f>
        <v/>
      </c>
      <c r="AC1007" s="52">
        <f>IF(OR(K1007="",AND(P1007&lt;&gt;"Transferencia",P1007&lt;&gt;"Pago tarjeta")),"",IFERROR(IF(INDEX(ctaVinc,MATCH(K1007,ctaNombre,0))&amp;""&lt;&gt;"",INDEX(ctaVinc,MATCH(K1007,ctaNombre,0))&amp;"",K1007),K1007))</f>
        <v/>
      </c>
      <c r="AD1007" s="52">
        <f>IF(AB1007="","",IFERROR(INDEX(ctaTipo,MATCH(AB1007,ctaNombre,0))&amp;"",""))</f>
        <v/>
      </c>
      <c r="AE1007" s="52">
        <f>IF(AC1007="","",IFERROR(INDEX(ctaTipo,MATCH(AC1007,ctaNombre,0))&amp;"",""))</f>
        <v/>
      </c>
      <c r="AF1007" s="53">
        <f>IF(OR(P1007="",AB1007=""),"",IF(OR(P1007="Gasto",P1007="Transferencia",P1007="Pago tarjeta"),-1,1)*IF(IFERROR(INDEX(ctaMoneda,MATCH(AB1007,ctaNombre,0))&amp;"","DOP")="USD",T1007,S1007))</f>
        <v/>
      </c>
      <c r="AG1007" s="53">
        <f>IF(AC1007="","",IF(IFERROR(INDEX(ctaMoneda,MATCH(AC1007,ctaNombre,0))&amp;"","DOP")="USD",T1007,S1007))</f>
        <v/>
      </c>
      <c r="AH1007" s="53">
        <f>IF(P1007="","",IF(AND(AD1007&lt;&gt;"",COUNTIFS(tcTipo,AD1007,tcLiq,"Sí")&gt;0),IF(OR(P1007="Gasto",P1007="Transferencia",P1007="Pago tarjeta"),-1,1)*S1007,0)+IF(AND(AE1007&lt;&gt;"",COUNTIFS(tcTipo,AE1007,tcLiq,"Sí")&gt;0),S1007,0))</f>
        <v/>
      </c>
      <c r="AI1007" s="52">
        <f>IF(OR(L1007="",P1007=""),"",IF(COUNTIFS(L$6:L1007,L1007,P$6:P1007,"?*")=1,MAX(AI$5:AI1006)+1,""))</f>
        <v/>
      </c>
    </row>
    <row r="1008">
      <c r="B1008" s="47" t="n"/>
      <c r="C1008" s="48" t="n"/>
      <c r="D1008" s="48" t="n"/>
      <c r="E1008" s="48" t="n"/>
      <c r="F1008" s="48" t="n"/>
      <c r="G1008" s="49" t="n"/>
      <c r="H1008" s="48" t="n"/>
      <c r="I1008" s="50" t="n"/>
      <c r="J1008" s="48" t="n"/>
      <c r="K1008" s="48" t="n"/>
      <c r="L1008" s="48" t="n"/>
      <c r="M1008" s="48" t="n"/>
      <c r="N1008" s="48" t="n"/>
      <c r="O1008" s="51">
        <f>IF(AND(B1008="",G1008="",C1008="",D1008="",J1008=""),"",IF(B1008="","⚠ Falta fecha",IF(G1008="","⚠ Falta monto",IF(Q1008="","⚠ Falta cuenta",IF(ISNA(MATCH(Q1008,ctaNombre,0)),"⚠ Cuenta no registrada",IF(AND(OR(P1008="Gasto",P1008="Reembolso"),D1008=""),"⚠ Falta categoría",IF(AND(D1008&lt;&gt;"",E1008&lt;&gt;"",ISNA(MATCH(D1008&amp;"|"&amp;E1008,catClave,0))),"⚠ Subcategoría no corresponde",IF(AND(OR(P1008="Transferencia",P1008="Pago tarjeta"),K1008=""),"⚠ Falta cuenta destino",IF(AND(K1008&lt;&gt;"",P1008&lt;&gt;"Transferencia",P1008&lt;&gt;"Pago tarjeta"),"⚠ Destino solo aplica a transferencias",IF(AND(K1008&lt;&gt;"",K1008=Q1008),"⚠ Origen igual a destino",IF(AND(K1008&lt;&gt;"",ISNA(MATCH(K1008,ctaNombre,0))),"⚠ Destino no registrado",IF(AND(P1008="Pago tarjeta",AE1008&lt;&gt;"Tarjeta de crédito"),"⚠ El destino debe ser tarjeta de crédito",IF(AND(P1008="Gasto",E1008="Depósitos y retiros"),"⚠ Usa tipo Transferencia",IF(AND(P1008="Resultado trading",AD1008&lt;&gt;"Cuenta de trading"),"⚠ Usa una cuenta de trading",IF(AND(G1008&lt;=0,P1008&lt;&gt;"Ajuste",P1008&lt;&gt;"Resultado trading"),"⚠ El monto debe ser positivo","✓")))))))))))))))</f>
        <v/>
      </c>
      <c r="P1008" s="52">
        <f>IF(OR(B1008="",G1008=""),"",IF(C1008="","Gasto",C1008))</f>
        <v/>
      </c>
      <c r="Q1008" s="52">
        <f>IF(P1008="","",IF(J1008&lt;&gt;"",J1008,CuentaPred&amp;""))</f>
        <v/>
      </c>
      <c r="R1008" s="52">
        <f>IF(P1008="","",IF(ISNUMBER(I1008),I1008,TasaUSD))</f>
        <v/>
      </c>
      <c r="S1008" s="53">
        <f>IF(P1008="","",IF(H1008="USD",G1008*R1008,G1008))</f>
        <v/>
      </c>
      <c r="T1008" s="53">
        <f>IF(P1008="","",IF(H1008="USD",G1008,IF(R1008&gt;0,G1008/R1008,0)))</f>
        <v/>
      </c>
      <c r="U1008" s="53">
        <f>IF(P1008="","",IF(P1008="Gasto",S1008,IF(P1008="Reembolso",-S1008,0)))</f>
        <v/>
      </c>
      <c r="V1008" s="53">
        <f>IF(P1008="","",IF(P1008="Ingreso",S1008,0))</f>
        <v/>
      </c>
      <c r="W1008" s="53">
        <f>IF(P1008="","",IF(P1008="Resultado trading",S1008,0))</f>
        <v/>
      </c>
      <c r="X1008" s="52">
        <f>IF(OR(P1008="Gasto",P1008="Reembolso"),IF(M1008&lt;&gt;"",M1008,IFERROR(INDEX(catClasif,MATCH(D1008&amp;"|"&amp;E1008,catClave,0))&amp;"","Variable")),"")</f>
        <v/>
      </c>
      <c r="Y1008" s="52">
        <f>IF(P1008="","",IFERROR(INDEX(catGrupo,MATCH(D1008&amp;"|"&amp;E1008,catClave,0))&amp;"",""))</f>
        <v/>
      </c>
      <c r="Z1008" s="52">
        <f>IF(P1008="","",WEEKDAY(B1008,2))</f>
        <v/>
      </c>
      <c r="AA1008" s="52">
        <f>IF(P1008="","",IF(AND(P1008="Gasto",X1008="Variable",D1008&lt;&gt;catTrading,S1008&gt;0,S1008&lt;=Umbral),1,0))</f>
        <v/>
      </c>
      <c r="AB1008" s="52">
        <f>IF(OR(P1008="",Q1008=""),"",IFERROR(IF(INDEX(ctaVinc,MATCH(Q1008,ctaNombre,0))&amp;""&lt;&gt;"",INDEX(ctaVinc,MATCH(Q1008,ctaNombre,0))&amp;"",Q1008),Q1008))</f>
        <v/>
      </c>
      <c r="AC1008" s="52">
        <f>IF(OR(K1008="",AND(P1008&lt;&gt;"Transferencia",P1008&lt;&gt;"Pago tarjeta")),"",IFERROR(IF(INDEX(ctaVinc,MATCH(K1008,ctaNombre,0))&amp;""&lt;&gt;"",INDEX(ctaVinc,MATCH(K1008,ctaNombre,0))&amp;"",K1008),K1008))</f>
        <v/>
      </c>
      <c r="AD1008" s="52">
        <f>IF(AB1008="","",IFERROR(INDEX(ctaTipo,MATCH(AB1008,ctaNombre,0))&amp;"",""))</f>
        <v/>
      </c>
      <c r="AE1008" s="52">
        <f>IF(AC1008="","",IFERROR(INDEX(ctaTipo,MATCH(AC1008,ctaNombre,0))&amp;"",""))</f>
        <v/>
      </c>
      <c r="AF1008" s="53">
        <f>IF(OR(P1008="",AB1008=""),"",IF(OR(P1008="Gasto",P1008="Transferencia",P1008="Pago tarjeta"),-1,1)*IF(IFERROR(INDEX(ctaMoneda,MATCH(AB1008,ctaNombre,0))&amp;"","DOP")="USD",T1008,S1008))</f>
        <v/>
      </c>
      <c r="AG1008" s="53">
        <f>IF(AC1008="","",IF(IFERROR(INDEX(ctaMoneda,MATCH(AC1008,ctaNombre,0))&amp;"","DOP")="USD",T1008,S1008))</f>
        <v/>
      </c>
      <c r="AH1008" s="53">
        <f>IF(P1008="","",IF(AND(AD1008&lt;&gt;"",COUNTIFS(tcTipo,AD1008,tcLiq,"Sí")&gt;0),IF(OR(P1008="Gasto",P1008="Transferencia",P1008="Pago tarjeta"),-1,1)*S1008,0)+IF(AND(AE1008&lt;&gt;"",COUNTIFS(tcTipo,AE1008,tcLiq,"Sí")&gt;0),S1008,0))</f>
        <v/>
      </c>
      <c r="AI1008" s="52">
        <f>IF(OR(L1008="",P1008=""),"",IF(COUNTIFS(L$6:L1008,L1008,P$6:P1008,"?*")=1,MAX(AI$5:AI1007)+1,""))</f>
        <v/>
      </c>
    </row>
    <row r="1009">
      <c r="B1009" s="47" t="n"/>
      <c r="C1009" s="48" t="n"/>
      <c r="D1009" s="48" t="n"/>
      <c r="E1009" s="48" t="n"/>
      <c r="F1009" s="48" t="n"/>
      <c r="G1009" s="49" t="n"/>
      <c r="H1009" s="48" t="n"/>
      <c r="I1009" s="50" t="n"/>
      <c r="J1009" s="48" t="n"/>
      <c r="K1009" s="48" t="n"/>
      <c r="L1009" s="48" t="n"/>
      <c r="M1009" s="48" t="n"/>
      <c r="N1009" s="48" t="n"/>
      <c r="O1009" s="51">
        <f>IF(AND(B1009="",G1009="",C1009="",D1009="",J1009=""),"",IF(B1009="","⚠ Falta fecha",IF(G1009="","⚠ Falta monto",IF(Q1009="","⚠ Falta cuenta",IF(ISNA(MATCH(Q1009,ctaNombre,0)),"⚠ Cuenta no registrada",IF(AND(OR(P1009="Gasto",P1009="Reembolso"),D1009=""),"⚠ Falta categoría",IF(AND(D1009&lt;&gt;"",E1009&lt;&gt;"",ISNA(MATCH(D1009&amp;"|"&amp;E1009,catClave,0))),"⚠ Subcategoría no corresponde",IF(AND(OR(P1009="Transferencia",P1009="Pago tarjeta"),K1009=""),"⚠ Falta cuenta destino",IF(AND(K1009&lt;&gt;"",P1009&lt;&gt;"Transferencia",P1009&lt;&gt;"Pago tarjeta"),"⚠ Destino solo aplica a transferencias",IF(AND(K1009&lt;&gt;"",K1009=Q1009),"⚠ Origen igual a destino",IF(AND(K1009&lt;&gt;"",ISNA(MATCH(K1009,ctaNombre,0))),"⚠ Destino no registrado",IF(AND(P1009="Pago tarjeta",AE1009&lt;&gt;"Tarjeta de crédito"),"⚠ El destino debe ser tarjeta de crédito",IF(AND(P1009="Gasto",E1009="Depósitos y retiros"),"⚠ Usa tipo Transferencia",IF(AND(P1009="Resultado trading",AD1009&lt;&gt;"Cuenta de trading"),"⚠ Usa una cuenta de trading",IF(AND(G1009&lt;=0,P1009&lt;&gt;"Ajuste",P1009&lt;&gt;"Resultado trading"),"⚠ El monto debe ser positivo","✓")))))))))))))))</f>
        <v/>
      </c>
      <c r="P1009" s="52">
        <f>IF(OR(B1009="",G1009=""),"",IF(C1009="","Gasto",C1009))</f>
        <v/>
      </c>
      <c r="Q1009" s="52">
        <f>IF(P1009="","",IF(J1009&lt;&gt;"",J1009,CuentaPred&amp;""))</f>
        <v/>
      </c>
      <c r="R1009" s="52">
        <f>IF(P1009="","",IF(ISNUMBER(I1009),I1009,TasaUSD))</f>
        <v/>
      </c>
      <c r="S1009" s="53">
        <f>IF(P1009="","",IF(H1009="USD",G1009*R1009,G1009))</f>
        <v/>
      </c>
      <c r="T1009" s="53">
        <f>IF(P1009="","",IF(H1009="USD",G1009,IF(R1009&gt;0,G1009/R1009,0)))</f>
        <v/>
      </c>
      <c r="U1009" s="53">
        <f>IF(P1009="","",IF(P1009="Gasto",S1009,IF(P1009="Reembolso",-S1009,0)))</f>
        <v/>
      </c>
      <c r="V1009" s="53">
        <f>IF(P1009="","",IF(P1009="Ingreso",S1009,0))</f>
        <v/>
      </c>
      <c r="W1009" s="53">
        <f>IF(P1009="","",IF(P1009="Resultado trading",S1009,0))</f>
        <v/>
      </c>
      <c r="X1009" s="52">
        <f>IF(OR(P1009="Gasto",P1009="Reembolso"),IF(M1009&lt;&gt;"",M1009,IFERROR(INDEX(catClasif,MATCH(D1009&amp;"|"&amp;E1009,catClave,0))&amp;"","Variable")),"")</f>
        <v/>
      </c>
      <c r="Y1009" s="52">
        <f>IF(P1009="","",IFERROR(INDEX(catGrupo,MATCH(D1009&amp;"|"&amp;E1009,catClave,0))&amp;"",""))</f>
        <v/>
      </c>
      <c r="Z1009" s="52">
        <f>IF(P1009="","",WEEKDAY(B1009,2))</f>
        <v/>
      </c>
      <c r="AA1009" s="52">
        <f>IF(P1009="","",IF(AND(P1009="Gasto",X1009="Variable",D1009&lt;&gt;catTrading,S1009&gt;0,S1009&lt;=Umbral),1,0))</f>
        <v/>
      </c>
      <c r="AB1009" s="52">
        <f>IF(OR(P1009="",Q1009=""),"",IFERROR(IF(INDEX(ctaVinc,MATCH(Q1009,ctaNombre,0))&amp;""&lt;&gt;"",INDEX(ctaVinc,MATCH(Q1009,ctaNombre,0))&amp;"",Q1009),Q1009))</f>
        <v/>
      </c>
      <c r="AC1009" s="52">
        <f>IF(OR(K1009="",AND(P1009&lt;&gt;"Transferencia",P1009&lt;&gt;"Pago tarjeta")),"",IFERROR(IF(INDEX(ctaVinc,MATCH(K1009,ctaNombre,0))&amp;""&lt;&gt;"",INDEX(ctaVinc,MATCH(K1009,ctaNombre,0))&amp;"",K1009),K1009))</f>
        <v/>
      </c>
      <c r="AD1009" s="52">
        <f>IF(AB1009="","",IFERROR(INDEX(ctaTipo,MATCH(AB1009,ctaNombre,0))&amp;"",""))</f>
        <v/>
      </c>
      <c r="AE1009" s="52">
        <f>IF(AC1009="","",IFERROR(INDEX(ctaTipo,MATCH(AC1009,ctaNombre,0))&amp;"",""))</f>
        <v/>
      </c>
      <c r="AF1009" s="53">
        <f>IF(OR(P1009="",AB1009=""),"",IF(OR(P1009="Gasto",P1009="Transferencia",P1009="Pago tarjeta"),-1,1)*IF(IFERROR(INDEX(ctaMoneda,MATCH(AB1009,ctaNombre,0))&amp;"","DOP")="USD",T1009,S1009))</f>
        <v/>
      </c>
      <c r="AG1009" s="53">
        <f>IF(AC1009="","",IF(IFERROR(INDEX(ctaMoneda,MATCH(AC1009,ctaNombre,0))&amp;"","DOP")="USD",T1009,S1009))</f>
        <v/>
      </c>
      <c r="AH1009" s="53">
        <f>IF(P1009="","",IF(AND(AD1009&lt;&gt;"",COUNTIFS(tcTipo,AD1009,tcLiq,"Sí")&gt;0),IF(OR(P1009="Gasto",P1009="Transferencia",P1009="Pago tarjeta"),-1,1)*S1009,0)+IF(AND(AE1009&lt;&gt;"",COUNTIFS(tcTipo,AE1009,tcLiq,"Sí")&gt;0),S1009,0))</f>
        <v/>
      </c>
      <c r="AI1009" s="52">
        <f>IF(OR(L1009="",P1009=""),"",IF(COUNTIFS(L$6:L1009,L1009,P$6:P1009,"?*")=1,MAX(AI$5:AI1008)+1,""))</f>
        <v/>
      </c>
    </row>
    <row r="1010">
      <c r="B1010" s="47" t="n"/>
      <c r="C1010" s="48" t="n"/>
      <c r="D1010" s="48" t="n"/>
      <c r="E1010" s="48" t="n"/>
      <c r="F1010" s="48" t="n"/>
      <c r="G1010" s="49" t="n"/>
      <c r="H1010" s="48" t="n"/>
      <c r="I1010" s="50" t="n"/>
      <c r="J1010" s="48" t="n"/>
      <c r="K1010" s="48" t="n"/>
      <c r="L1010" s="48" t="n"/>
      <c r="M1010" s="48" t="n"/>
      <c r="N1010" s="48" t="n"/>
      <c r="O1010" s="51">
        <f>IF(AND(B1010="",G1010="",C1010="",D1010="",J1010=""),"",IF(B1010="","⚠ Falta fecha",IF(G1010="","⚠ Falta monto",IF(Q1010="","⚠ Falta cuenta",IF(ISNA(MATCH(Q1010,ctaNombre,0)),"⚠ Cuenta no registrada",IF(AND(OR(P1010="Gasto",P1010="Reembolso"),D1010=""),"⚠ Falta categoría",IF(AND(D1010&lt;&gt;"",E1010&lt;&gt;"",ISNA(MATCH(D1010&amp;"|"&amp;E1010,catClave,0))),"⚠ Subcategoría no corresponde",IF(AND(OR(P1010="Transferencia",P1010="Pago tarjeta"),K1010=""),"⚠ Falta cuenta destino",IF(AND(K1010&lt;&gt;"",P1010&lt;&gt;"Transferencia",P1010&lt;&gt;"Pago tarjeta"),"⚠ Destino solo aplica a transferencias",IF(AND(K1010&lt;&gt;"",K1010=Q1010),"⚠ Origen igual a destino",IF(AND(K1010&lt;&gt;"",ISNA(MATCH(K1010,ctaNombre,0))),"⚠ Destino no registrado",IF(AND(P1010="Pago tarjeta",AE1010&lt;&gt;"Tarjeta de crédito"),"⚠ El destino debe ser tarjeta de crédito",IF(AND(P1010="Gasto",E1010="Depósitos y retiros"),"⚠ Usa tipo Transferencia",IF(AND(P1010="Resultado trading",AD1010&lt;&gt;"Cuenta de trading"),"⚠ Usa una cuenta de trading",IF(AND(G1010&lt;=0,P1010&lt;&gt;"Ajuste",P1010&lt;&gt;"Resultado trading"),"⚠ El monto debe ser positivo","✓")))))))))))))))</f>
        <v/>
      </c>
      <c r="P1010" s="52">
        <f>IF(OR(B1010="",G1010=""),"",IF(C1010="","Gasto",C1010))</f>
        <v/>
      </c>
      <c r="Q1010" s="52">
        <f>IF(P1010="","",IF(J1010&lt;&gt;"",J1010,CuentaPred&amp;""))</f>
        <v/>
      </c>
      <c r="R1010" s="52">
        <f>IF(P1010="","",IF(ISNUMBER(I1010),I1010,TasaUSD))</f>
        <v/>
      </c>
      <c r="S1010" s="53">
        <f>IF(P1010="","",IF(H1010="USD",G1010*R1010,G1010))</f>
        <v/>
      </c>
      <c r="T1010" s="53">
        <f>IF(P1010="","",IF(H1010="USD",G1010,IF(R1010&gt;0,G1010/R1010,0)))</f>
        <v/>
      </c>
      <c r="U1010" s="53">
        <f>IF(P1010="","",IF(P1010="Gasto",S1010,IF(P1010="Reembolso",-S1010,0)))</f>
        <v/>
      </c>
      <c r="V1010" s="53">
        <f>IF(P1010="","",IF(P1010="Ingreso",S1010,0))</f>
        <v/>
      </c>
      <c r="W1010" s="53">
        <f>IF(P1010="","",IF(P1010="Resultado trading",S1010,0))</f>
        <v/>
      </c>
      <c r="X1010" s="52">
        <f>IF(OR(P1010="Gasto",P1010="Reembolso"),IF(M1010&lt;&gt;"",M1010,IFERROR(INDEX(catClasif,MATCH(D1010&amp;"|"&amp;E1010,catClave,0))&amp;"","Variable")),"")</f>
        <v/>
      </c>
      <c r="Y1010" s="52">
        <f>IF(P1010="","",IFERROR(INDEX(catGrupo,MATCH(D1010&amp;"|"&amp;E1010,catClave,0))&amp;"",""))</f>
        <v/>
      </c>
      <c r="Z1010" s="52">
        <f>IF(P1010="","",WEEKDAY(B1010,2))</f>
        <v/>
      </c>
      <c r="AA1010" s="52">
        <f>IF(P1010="","",IF(AND(P1010="Gasto",X1010="Variable",D1010&lt;&gt;catTrading,S1010&gt;0,S1010&lt;=Umbral),1,0))</f>
        <v/>
      </c>
      <c r="AB1010" s="52">
        <f>IF(OR(P1010="",Q1010=""),"",IFERROR(IF(INDEX(ctaVinc,MATCH(Q1010,ctaNombre,0))&amp;""&lt;&gt;"",INDEX(ctaVinc,MATCH(Q1010,ctaNombre,0))&amp;"",Q1010),Q1010))</f>
        <v/>
      </c>
      <c r="AC1010" s="52">
        <f>IF(OR(K1010="",AND(P1010&lt;&gt;"Transferencia",P1010&lt;&gt;"Pago tarjeta")),"",IFERROR(IF(INDEX(ctaVinc,MATCH(K1010,ctaNombre,0))&amp;""&lt;&gt;"",INDEX(ctaVinc,MATCH(K1010,ctaNombre,0))&amp;"",K1010),K1010))</f>
        <v/>
      </c>
      <c r="AD1010" s="52">
        <f>IF(AB1010="","",IFERROR(INDEX(ctaTipo,MATCH(AB1010,ctaNombre,0))&amp;"",""))</f>
        <v/>
      </c>
      <c r="AE1010" s="52">
        <f>IF(AC1010="","",IFERROR(INDEX(ctaTipo,MATCH(AC1010,ctaNombre,0))&amp;"",""))</f>
        <v/>
      </c>
      <c r="AF1010" s="53">
        <f>IF(OR(P1010="",AB1010=""),"",IF(OR(P1010="Gasto",P1010="Transferencia",P1010="Pago tarjeta"),-1,1)*IF(IFERROR(INDEX(ctaMoneda,MATCH(AB1010,ctaNombre,0))&amp;"","DOP")="USD",T1010,S1010))</f>
        <v/>
      </c>
      <c r="AG1010" s="53">
        <f>IF(AC1010="","",IF(IFERROR(INDEX(ctaMoneda,MATCH(AC1010,ctaNombre,0))&amp;"","DOP")="USD",T1010,S1010))</f>
        <v/>
      </c>
      <c r="AH1010" s="53">
        <f>IF(P1010="","",IF(AND(AD1010&lt;&gt;"",COUNTIFS(tcTipo,AD1010,tcLiq,"Sí")&gt;0),IF(OR(P1010="Gasto",P1010="Transferencia",P1010="Pago tarjeta"),-1,1)*S1010,0)+IF(AND(AE1010&lt;&gt;"",COUNTIFS(tcTipo,AE1010,tcLiq,"Sí")&gt;0),S1010,0))</f>
        <v/>
      </c>
      <c r="AI1010" s="52">
        <f>IF(OR(L1010="",P1010=""),"",IF(COUNTIFS(L$6:L1010,L1010,P$6:P1010,"?*")=1,MAX(AI$5:AI1009)+1,""))</f>
        <v/>
      </c>
    </row>
    <row r="1011">
      <c r="B1011" s="47" t="n"/>
      <c r="C1011" s="48" t="n"/>
      <c r="D1011" s="48" t="n"/>
      <c r="E1011" s="48" t="n"/>
      <c r="F1011" s="48" t="n"/>
      <c r="G1011" s="49" t="n"/>
      <c r="H1011" s="48" t="n"/>
      <c r="I1011" s="50" t="n"/>
      <c r="J1011" s="48" t="n"/>
      <c r="K1011" s="48" t="n"/>
      <c r="L1011" s="48" t="n"/>
      <c r="M1011" s="48" t="n"/>
      <c r="N1011" s="48" t="n"/>
      <c r="O1011" s="51">
        <f>IF(AND(B1011="",G1011="",C1011="",D1011="",J1011=""),"",IF(B1011="","⚠ Falta fecha",IF(G1011="","⚠ Falta monto",IF(Q1011="","⚠ Falta cuenta",IF(ISNA(MATCH(Q1011,ctaNombre,0)),"⚠ Cuenta no registrada",IF(AND(OR(P1011="Gasto",P1011="Reembolso"),D1011=""),"⚠ Falta categoría",IF(AND(D1011&lt;&gt;"",E1011&lt;&gt;"",ISNA(MATCH(D1011&amp;"|"&amp;E1011,catClave,0))),"⚠ Subcategoría no corresponde",IF(AND(OR(P1011="Transferencia",P1011="Pago tarjeta"),K1011=""),"⚠ Falta cuenta destino",IF(AND(K1011&lt;&gt;"",P1011&lt;&gt;"Transferencia",P1011&lt;&gt;"Pago tarjeta"),"⚠ Destino solo aplica a transferencias",IF(AND(K1011&lt;&gt;"",K1011=Q1011),"⚠ Origen igual a destino",IF(AND(K1011&lt;&gt;"",ISNA(MATCH(K1011,ctaNombre,0))),"⚠ Destino no registrado",IF(AND(P1011="Pago tarjeta",AE1011&lt;&gt;"Tarjeta de crédito"),"⚠ El destino debe ser tarjeta de crédito",IF(AND(P1011="Gasto",E1011="Depósitos y retiros"),"⚠ Usa tipo Transferencia",IF(AND(P1011="Resultado trading",AD1011&lt;&gt;"Cuenta de trading"),"⚠ Usa una cuenta de trading",IF(AND(G1011&lt;=0,P1011&lt;&gt;"Ajuste",P1011&lt;&gt;"Resultado trading"),"⚠ El monto debe ser positivo","✓")))))))))))))))</f>
        <v/>
      </c>
      <c r="P1011" s="52">
        <f>IF(OR(B1011="",G1011=""),"",IF(C1011="","Gasto",C1011))</f>
        <v/>
      </c>
      <c r="Q1011" s="52">
        <f>IF(P1011="","",IF(J1011&lt;&gt;"",J1011,CuentaPred&amp;""))</f>
        <v/>
      </c>
      <c r="R1011" s="52">
        <f>IF(P1011="","",IF(ISNUMBER(I1011),I1011,TasaUSD))</f>
        <v/>
      </c>
      <c r="S1011" s="53">
        <f>IF(P1011="","",IF(H1011="USD",G1011*R1011,G1011))</f>
        <v/>
      </c>
      <c r="T1011" s="53">
        <f>IF(P1011="","",IF(H1011="USD",G1011,IF(R1011&gt;0,G1011/R1011,0)))</f>
        <v/>
      </c>
      <c r="U1011" s="53">
        <f>IF(P1011="","",IF(P1011="Gasto",S1011,IF(P1011="Reembolso",-S1011,0)))</f>
        <v/>
      </c>
      <c r="V1011" s="53">
        <f>IF(P1011="","",IF(P1011="Ingreso",S1011,0))</f>
        <v/>
      </c>
      <c r="W1011" s="53">
        <f>IF(P1011="","",IF(P1011="Resultado trading",S1011,0))</f>
        <v/>
      </c>
      <c r="X1011" s="52">
        <f>IF(OR(P1011="Gasto",P1011="Reembolso"),IF(M1011&lt;&gt;"",M1011,IFERROR(INDEX(catClasif,MATCH(D1011&amp;"|"&amp;E1011,catClave,0))&amp;"","Variable")),"")</f>
        <v/>
      </c>
      <c r="Y1011" s="52">
        <f>IF(P1011="","",IFERROR(INDEX(catGrupo,MATCH(D1011&amp;"|"&amp;E1011,catClave,0))&amp;"",""))</f>
        <v/>
      </c>
      <c r="Z1011" s="52">
        <f>IF(P1011="","",WEEKDAY(B1011,2))</f>
        <v/>
      </c>
      <c r="AA1011" s="52">
        <f>IF(P1011="","",IF(AND(P1011="Gasto",X1011="Variable",D1011&lt;&gt;catTrading,S1011&gt;0,S1011&lt;=Umbral),1,0))</f>
        <v/>
      </c>
      <c r="AB1011" s="52">
        <f>IF(OR(P1011="",Q1011=""),"",IFERROR(IF(INDEX(ctaVinc,MATCH(Q1011,ctaNombre,0))&amp;""&lt;&gt;"",INDEX(ctaVinc,MATCH(Q1011,ctaNombre,0))&amp;"",Q1011),Q1011))</f>
        <v/>
      </c>
      <c r="AC1011" s="52">
        <f>IF(OR(K1011="",AND(P1011&lt;&gt;"Transferencia",P1011&lt;&gt;"Pago tarjeta")),"",IFERROR(IF(INDEX(ctaVinc,MATCH(K1011,ctaNombre,0))&amp;""&lt;&gt;"",INDEX(ctaVinc,MATCH(K1011,ctaNombre,0))&amp;"",K1011),K1011))</f>
        <v/>
      </c>
      <c r="AD1011" s="52">
        <f>IF(AB1011="","",IFERROR(INDEX(ctaTipo,MATCH(AB1011,ctaNombre,0))&amp;"",""))</f>
        <v/>
      </c>
      <c r="AE1011" s="52">
        <f>IF(AC1011="","",IFERROR(INDEX(ctaTipo,MATCH(AC1011,ctaNombre,0))&amp;"",""))</f>
        <v/>
      </c>
      <c r="AF1011" s="53">
        <f>IF(OR(P1011="",AB1011=""),"",IF(OR(P1011="Gasto",P1011="Transferencia",P1011="Pago tarjeta"),-1,1)*IF(IFERROR(INDEX(ctaMoneda,MATCH(AB1011,ctaNombre,0))&amp;"","DOP")="USD",T1011,S1011))</f>
        <v/>
      </c>
      <c r="AG1011" s="53">
        <f>IF(AC1011="","",IF(IFERROR(INDEX(ctaMoneda,MATCH(AC1011,ctaNombre,0))&amp;"","DOP")="USD",T1011,S1011))</f>
        <v/>
      </c>
      <c r="AH1011" s="53">
        <f>IF(P1011="","",IF(AND(AD1011&lt;&gt;"",COUNTIFS(tcTipo,AD1011,tcLiq,"Sí")&gt;0),IF(OR(P1011="Gasto",P1011="Transferencia",P1011="Pago tarjeta"),-1,1)*S1011,0)+IF(AND(AE1011&lt;&gt;"",COUNTIFS(tcTipo,AE1011,tcLiq,"Sí")&gt;0),S1011,0))</f>
        <v/>
      </c>
      <c r="AI1011" s="52">
        <f>IF(OR(L1011="",P1011=""),"",IF(COUNTIFS(L$6:L1011,L1011,P$6:P1011,"?*")=1,MAX(AI$5:AI1010)+1,""))</f>
        <v/>
      </c>
    </row>
    <row r="1012">
      <c r="B1012" s="47" t="n"/>
      <c r="C1012" s="48" t="n"/>
      <c r="D1012" s="48" t="n"/>
      <c r="E1012" s="48" t="n"/>
      <c r="F1012" s="48" t="n"/>
      <c r="G1012" s="49" t="n"/>
      <c r="H1012" s="48" t="n"/>
      <c r="I1012" s="50" t="n"/>
      <c r="J1012" s="48" t="n"/>
      <c r="K1012" s="48" t="n"/>
      <c r="L1012" s="48" t="n"/>
      <c r="M1012" s="48" t="n"/>
      <c r="N1012" s="48" t="n"/>
      <c r="O1012" s="51">
        <f>IF(AND(B1012="",G1012="",C1012="",D1012="",J1012=""),"",IF(B1012="","⚠ Falta fecha",IF(G1012="","⚠ Falta monto",IF(Q1012="","⚠ Falta cuenta",IF(ISNA(MATCH(Q1012,ctaNombre,0)),"⚠ Cuenta no registrada",IF(AND(OR(P1012="Gasto",P1012="Reembolso"),D1012=""),"⚠ Falta categoría",IF(AND(D1012&lt;&gt;"",E1012&lt;&gt;"",ISNA(MATCH(D1012&amp;"|"&amp;E1012,catClave,0))),"⚠ Subcategoría no corresponde",IF(AND(OR(P1012="Transferencia",P1012="Pago tarjeta"),K1012=""),"⚠ Falta cuenta destino",IF(AND(K1012&lt;&gt;"",P1012&lt;&gt;"Transferencia",P1012&lt;&gt;"Pago tarjeta"),"⚠ Destino solo aplica a transferencias",IF(AND(K1012&lt;&gt;"",K1012=Q1012),"⚠ Origen igual a destino",IF(AND(K1012&lt;&gt;"",ISNA(MATCH(K1012,ctaNombre,0))),"⚠ Destino no registrado",IF(AND(P1012="Pago tarjeta",AE1012&lt;&gt;"Tarjeta de crédito"),"⚠ El destino debe ser tarjeta de crédito",IF(AND(P1012="Gasto",E1012="Depósitos y retiros"),"⚠ Usa tipo Transferencia",IF(AND(P1012="Resultado trading",AD1012&lt;&gt;"Cuenta de trading"),"⚠ Usa una cuenta de trading",IF(AND(G1012&lt;=0,P1012&lt;&gt;"Ajuste",P1012&lt;&gt;"Resultado trading"),"⚠ El monto debe ser positivo","✓")))))))))))))))</f>
        <v/>
      </c>
      <c r="P1012" s="52">
        <f>IF(OR(B1012="",G1012=""),"",IF(C1012="","Gasto",C1012))</f>
        <v/>
      </c>
      <c r="Q1012" s="52">
        <f>IF(P1012="","",IF(J1012&lt;&gt;"",J1012,CuentaPred&amp;""))</f>
        <v/>
      </c>
      <c r="R1012" s="52">
        <f>IF(P1012="","",IF(ISNUMBER(I1012),I1012,TasaUSD))</f>
        <v/>
      </c>
      <c r="S1012" s="53">
        <f>IF(P1012="","",IF(H1012="USD",G1012*R1012,G1012))</f>
        <v/>
      </c>
      <c r="T1012" s="53">
        <f>IF(P1012="","",IF(H1012="USD",G1012,IF(R1012&gt;0,G1012/R1012,0)))</f>
        <v/>
      </c>
      <c r="U1012" s="53">
        <f>IF(P1012="","",IF(P1012="Gasto",S1012,IF(P1012="Reembolso",-S1012,0)))</f>
        <v/>
      </c>
      <c r="V1012" s="53">
        <f>IF(P1012="","",IF(P1012="Ingreso",S1012,0))</f>
        <v/>
      </c>
      <c r="W1012" s="53">
        <f>IF(P1012="","",IF(P1012="Resultado trading",S1012,0))</f>
        <v/>
      </c>
      <c r="X1012" s="52">
        <f>IF(OR(P1012="Gasto",P1012="Reembolso"),IF(M1012&lt;&gt;"",M1012,IFERROR(INDEX(catClasif,MATCH(D1012&amp;"|"&amp;E1012,catClave,0))&amp;"","Variable")),"")</f>
        <v/>
      </c>
      <c r="Y1012" s="52">
        <f>IF(P1012="","",IFERROR(INDEX(catGrupo,MATCH(D1012&amp;"|"&amp;E1012,catClave,0))&amp;"",""))</f>
        <v/>
      </c>
      <c r="Z1012" s="52">
        <f>IF(P1012="","",WEEKDAY(B1012,2))</f>
        <v/>
      </c>
      <c r="AA1012" s="52">
        <f>IF(P1012="","",IF(AND(P1012="Gasto",X1012="Variable",D1012&lt;&gt;catTrading,S1012&gt;0,S1012&lt;=Umbral),1,0))</f>
        <v/>
      </c>
      <c r="AB1012" s="52">
        <f>IF(OR(P1012="",Q1012=""),"",IFERROR(IF(INDEX(ctaVinc,MATCH(Q1012,ctaNombre,0))&amp;""&lt;&gt;"",INDEX(ctaVinc,MATCH(Q1012,ctaNombre,0))&amp;"",Q1012),Q1012))</f>
        <v/>
      </c>
      <c r="AC1012" s="52">
        <f>IF(OR(K1012="",AND(P1012&lt;&gt;"Transferencia",P1012&lt;&gt;"Pago tarjeta")),"",IFERROR(IF(INDEX(ctaVinc,MATCH(K1012,ctaNombre,0))&amp;""&lt;&gt;"",INDEX(ctaVinc,MATCH(K1012,ctaNombre,0))&amp;"",K1012),K1012))</f>
        <v/>
      </c>
      <c r="AD1012" s="52">
        <f>IF(AB1012="","",IFERROR(INDEX(ctaTipo,MATCH(AB1012,ctaNombre,0))&amp;"",""))</f>
        <v/>
      </c>
      <c r="AE1012" s="52">
        <f>IF(AC1012="","",IFERROR(INDEX(ctaTipo,MATCH(AC1012,ctaNombre,0))&amp;"",""))</f>
        <v/>
      </c>
      <c r="AF1012" s="53">
        <f>IF(OR(P1012="",AB1012=""),"",IF(OR(P1012="Gasto",P1012="Transferencia",P1012="Pago tarjeta"),-1,1)*IF(IFERROR(INDEX(ctaMoneda,MATCH(AB1012,ctaNombre,0))&amp;"","DOP")="USD",T1012,S1012))</f>
        <v/>
      </c>
      <c r="AG1012" s="53">
        <f>IF(AC1012="","",IF(IFERROR(INDEX(ctaMoneda,MATCH(AC1012,ctaNombre,0))&amp;"","DOP")="USD",T1012,S1012))</f>
        <v/>
      </c>
      <c r="AH1012" s="53">
        <f>IF(P1012="","",IF(AND(AD1012&lt;&gt;"",COUNTIFS(tcTipo,AD1012,tcLiq,"Sí")&gt;0),IF(OR(P1012="Gasto",P1012="Transferencia",P1012="Pago tarjeta"),-1,1)*S1012,0)+IF(AND(AE1012&lt;&gt;"",COUNTIFS(tcTipo,AE1012,tcLiq,"Sí")&gt;0),S1012,0))</f>
        <v/>
      </c>
      <c r="AI1012" s="52">
        <f>IF(OR(L1012="",P1012=""),"",IF(COUNTIFS(L$6:L1012,L1012,P$6:P1012,"?*")=1,MAX(AI$5:AI1011)+1,""))</f>
        <v/>
      </c>
    </row>
    <row r="1013">
      <c r="B1013" s="47" t="n"/>
      <c r="C1013" s="48" t="n"/>
      <c r="D1013" s="48" t="n"/>
      <c r="E1013" s="48" t="n"/>
      <c r="F1013" s="48" t="n"/>
      <c r="G1013" s="49" t="n"/>
      <c r="H1013" s="48" t="n"/>
      <c r="I1013" s="50" t="n"/>
      <c r="J1013" s="48" t="n"/>
      <c r="K1013" s="48" t="n"/>
      <c r="L1013" s="48" t="n"/>
      <c r="M1013" s="48" t="n"/>
      <c r="N1013" s="48" t="n"/>
      <c r="O1013" s="51">
        <f>IF(AND(B1013="",G1013="",C1013="",D1013="",J1013=""),"",IF(B1013="","⚠ Falta fecha",IF(G1013="","⚠ Falta monto",IF(Q1013="","⚠ Falta cuenta",IF(ISNA(MATCH(Q1013,ctaNombre,0)),"⚠ Cuenta no registrada",IF(AND(OR(P1013="Gasto",P1013="Reembolso"),D1013=""),"⚠ Falta categoría",IF(AND(D1013&lt;&gt;"",E1013&lt;&gt;"",ISNA(MATCH(D1013&amp;"|"&amp;E1013,catClave,0))),"⚠ Subcategoría no corresponde",IF(AND(OR(P1013="Transferencia",P1013="Pago tarjeta"),K1013=""),"⚠ Falta cuenta destino",IF(AND(K1013&lt;&gt;"",P1013&lt;&gt;"Transferencia",P1013&lt;&gt;"Pago tarjeta"),"⚠ Destino solo aplica a transferencias",IF(AND(K1013&lt;&gt;"",K1013=Q1013),"⚠ Origen igual a destino",IF(AND(K1013&lt;&gt;"",ISNA(MATCH(K1013,ctaNombre,0))),"⚠ Destino no registrado",IF(AND(P1013="Pago tarjeta",AE1013&lt;&gt;"Tarjeta de crédito"),"⚠ El destino debe ser tarjeta de crédito",IF(AND(P1013="Gasto",E1013="Depósitos y retiros"),"⚠ Usa tipo Transferencia",IF(AND(P1013="Resultado trading",AD1013&lt;&gt;"Cuenta de trading"),"⚠ Usa una cuenta de trading",IF(AND(G1013&lt;=0,P1013&lt;&gt;"Ajuste",P1013&lt;&gt;"Resultado trading"),"⚠ El monto debe ser positivo","✓")))))))))))))))</f>
        <v/>
      </c>
      <c r="P1013" s="52">
        <f>IF(OR(B1013="",G1013=""),"",IF(C1013="","Gasto",C1013))</f>
        <v/>
      </c>
      <c r="Q1013" s="52">
        <f>IF(P1013="","",IF(J1013&lt;&gt;"",J1013,CuentaPred&amp;""))</f>
        <v/>
      </c>
      <c r="R1013" s="52">
        <f>IF(P1013="","",IF(ISNUMBER(I1013),I1013,TasaUSD))</f>
        <v/>
      </c>
      <c r="S1013" s="53">
        <f>IF(P1013="","",IF(H1013="USD",G1013*R1013,G1013))</f>
        <v/>
      </c>
      <c r="T1013" s="53">
        <f>IF(P1013="","",IF(H1013="USD",G1013,IF(R1013&gt;0,G1013/R1013,0)))</f>
        <v/>
      </c>
      <c r="U1013" s="53">
        <f>IF(P1013="","",IF(P1013="Gasto",S1013,IF(P1013="Reembolso",-S1013,0)))</f>
        <v/>
      </c>
      <c r="V1013" s="53">
        <f>IF(P1013="","",IF(P1013="Ingreso",S1013,0))</f>
        <v/>
      </c>
      <c r="W1013" s="53">
        <f>IF(P1013="","",IF(P1013="Resultado trading",S1013,0))</f>
        <v/>
      </c>
      <c r="X1013" s="52">
        <f>IF(OR(P1013="Gasto",P1013="Reembolso"),IF(M1013&lt;&gt;"",M1013,IFERROR(INDEX(catClasif,MATCH(D1013&amp;"|"&amp;E1013,catClave,0))&amp;"","Variable")),"")</f>
        <v/>
      </c>
      <c r="Y1013" s="52">
        <f>IF(P1013="","",IFERROR(INDEX(catGrupo,MATCH(D1013&amp;"|"&amp;E1013,catClave,0))&amp;"",""))</f>
        <v/>
      </c>
      <c r="Z1013" s="52">
        <f>IF(P1013="","",WEEKDAY(B1013,2))</f>
        <v/>
      </c>
      <c r="AA1013" s="52">
        <f>IF(P1013="","",IF(AND(P1013="Gasto",X1013="Variable",D1013&lt;&gt;catTrading,S1013&gt;0,S1013&lt;=Umbral),1,0))</f>
        <v/>
      </c>
      <c r="AB1013" s="52">
        <f>IF(OR(P1013="",Q1013=""),"",IFERROR(IF(INDEX(ctaVinc,MATCH(Q1013,ctaNombre,0))&amp;""&lt;&gt;"",INDEX(ctaVinc,MATCH(Q1013,ctaNombre,0))&amp;"",Q1013),Q1013))</f>
        <v/>
      </c>
      <c r="AC1013" s="52">
        <f>IF(OR(K1013="",AND(P1013&lt;&gt;"Transferencia",P1013&lt;&gt;"Pago tarjeta")),"",IFERROR(IF(INDEX(ctaVinc,MATCH(K1013,ctaNombre,0))&amp;""&lt;&gt;"",INDEX(ctaVinc,MATCH(K1013,ctaNombre,0))&amp;"",K1013),K1013))</f>
        <v/>
      </c>
      <c r="AD1013" s="52">
        <f>IF(AB1013="","",IFERROR(INDEX(ctaTipo,MATCH(AB1013,ctaNombre,0))&amp;"",""))</f>
        <v/>
      </c>
      <c r="AE1013" s="52">
        <f>IF(AC1013="","",IFERROR(INDEX(ctaTipo,MATCH(AC1013,ctaNombre,0))&amp;"",""))</f>
        <v/>
      </c>
      <c r="AF1013" s="53">
        <f>IF(OR(P1013="",AB1013=""),"",IF(OR(P1013="Gasto",P1013="Transferencia",P1013="Pago tarjeta"),-1,1)*IF(IFERROR(INDEX(ctaMoneda,MATCH(AB1013,ctaNombre,0))&amp;"","DOP")="USD",T1013,S1013))</f>
        <v/>
      </c>
      <c r="AG1013" s="53">
        <f>IF(AC1013="","",IF(IFERROR(INDEX(ctaMoneda,MATCH(AC1013,ctaNombre,0))&amp;"","DOP")="USD",T1013,S1013))</f>
        <v/>
      </c>
      <c r="AH1013" s="53">
        <f>IF(P1013="","",IF(AND(AD1013&lt;&gt;"",COUNTIFS(tcTipo,AD1013,tcLiq,"Sí")&gt;0),IF(OR(P1013="Gasto",P1013="Transferencia",P1013="Pago tarjeta"),-1,1)*S1013,0)+IF(AND(AE1013&lt;&gt;"",COUNTIFS(tcTipo,AE1013,tcLiq,"Sí")&gt;0),S1013,0))</f>
        <v/>
      </c>
      <c r="AI1013" s="52">
        <f>IF(OR(L1013="",P1013=""),"",IF(COUNTIFS(L$6:L1013,L1013,P$6:P1013,"?*")=1,MAX(AI$5:AI1012)+1,""))</f>
        <v/>
      </c>
    </row>
    <row r="1014">
      <c r="B1014" s="47" t="n"/>
      <c r="C1014" s="48" t="n"/>
      <c r="D1014" s="48" t="n"/>
      <c r="E1014" s="48" t="n"/>
      <c r="F1014" s="48" t="n"/>
      <c r="G1014" s="49" t="n"/>
      <c r="H1014" s="48" t="n"/>
      <c r="I1014" s="50" t="n"/>
      <c r="J1014" s="48" t="n"/>
      <c r="K1014" s="48" t="n"/>
      <c r="L1014" s="48" t="n"/>
      <c r="M1014" s="48" t="n"/>
      <c r="N1014" s="48" t="n"/>
      <c r="O1014" s="51">
        <f>IF(AND(B1014="",G1014="",C1014="",D1014="",J1014=""),"",IF(B1014="","⚠ Falta fecha",IF(G1014="","⚠ Falta monto",IF(Q1014="","⚠ Falta cuenta",IF(ISNA(MATCH(Q1014,ctaNombre,0)),"⚠ Cuenta no registrada",IF(AND(OR(P1014="Gasto",P1014="Reembolso"),D1014=""),"⚠ Falta categoría",IF(AND(D1014&lt;&gt;"",E1014&lt;&gt;"",ISNA(MATCH(D1014&amp;"|"&amp;E1014,catClave,0))),"⚠ Subcategoría no corresponde",IF(AND(OR(P1014="Transferencia",P1014="Pago tarjeta"),K1014=""),"⚠ Falta cuenta destino",IF(AND(K1014&lt;&gt;"",P1014&lt;&gt;"Transferencia",P1014&lt;&gt;"Pago tarjeta"),"⚠ Destino solo aplica a transferencias",IF(AND(K1014&lt;&gt;"",K1014=Q1014),"⚠ Origen igual a destino",IF(AND(K1014&lt;&gt;"",ISNA(MATCH(K1014,ctaNombre,0))),"⚠ Destino no registrado",IF(AND(P1014="Pago tarjeta",AE1014&lt;&gt;"Tarjeta de crédito"),"⚠ El destino debe ser tarjeta de crédito",IF(AND(P1014="Gasto",E1014="Depósitos y retiros"),"⚠ Usa tipo Transferencia",IF(AND(P1014="Resultado trading",AD1014&lt;&gt;"Cuenta de trading"),"⚠ Usa una cuenta de trading",IF(AND(G1014&lt;=0,P1014&lt;&gt;"Ajuste",P1014&lt;&gt;"Resultado trading"),"⚠ El monto debe ser positivo","✓")))))))))))))))</f>
        <v/>
      </c>
      <c r="P1014" s="52">
        <f>IF(OR(B1014="",G1014=""),"",IF(C1014="","Gasto",C1014))</f>
        <v/>
      </c>
      <c r="Q1014" s="52">
        <f>IF(P1014="","",IF(J1014&lt;&gt;"",J1014,CuentaPred&amp;""))</f>
        <v/>
      </c>
      <c r="R1014" s="52">
        <f>IF(P1014="","",IF(ISNUMBER(I1014),I1014,TasaUSD))</f>
        <v/>
      </c>
      <c r="S1014" s="53">
        <f>IF(P1014="","",IF(H1014="USD",G1014*R1014,G1014))</f>
        <v/>
      </c>
      <c r="T1014" s="53">
        <f>IF(P1014="","",IF(H1014="USD",G1014,IF(R1014&gt;0,G1014/R1014,0)))</f>
        <v/>
      </c>
      <c r="U1014" s="53">
        <f>IF(P1014="","",IF(P1014="Gasto",S1014,IF(P1014="Reembolso",-S1014,0)))</f>
        <v/>
      </c>
      <c r="V1014" s="53">
        <f>IF(P1014="","",IF(P1014="Ingreso",S1014,0))</f>
        <v/>
      </c>
      <c r="W1014" s="53">
        <f>IF(P1014="","",IF(P1014="Resultado trading",S1014,0))</f>
        <v/>
      </c>
      <c r="X1014" s="52">
        <f>IF(OR(P1014="Gasto",P1014="Reembolso"),IF(M1014&lt;&gt;"",M1014,IFERROR(INDEX(catClasif,MATCH(D1014&amp;"|"&amp;E1014,catClave,0))&amp;"","Variable")),"")</f>
        <v/>
      </c>
      <c r="Y1014" s="52">
        <f>IF(P1014="","",IFERROR(INDEX(catGrupo,MATCH(D1014&amp;"|"&amp;E1014,catClave,0))&amp;"",""))</f>
        <v/>
      </c>
      <c r="Z1014" s="52">
        <f>IF(P1014="","",WEEKDAY(B1014,2))</f>
        <v/>
      </c>
      <c r="AA1014" s="52">
        <f>IF(P1014="","",IF(AND(P1014="Gasto",X1014="Variable",D1014&lt;&gt;catTrading,S1014&gt;0,S1014&lt;=Umbral),1,0))</f>
        <v/>
      </c>
      <c r="AB1014" s="52">
        <f>IF(OR(P1014="",Q1014=""),"",IFERROR(IF(INDEX(ctaVinc,MATCH(Q1014,ctaNombre,0))&amp;""&lt;&gt;"",INDEX(ctaVinc,MATCH(Q1014,ctaNombre,0))&amp;"",Q1014),Q1014))</f>
        <v/>
      </c>
      <c r="AC1014" s="52">
        <f>IF(OR(K1014="",AND(P1014&lt;&gt;"Transferencia",P1014&lt;&gt;"Pago tarjeta")),"",IFERROR(IF(INDEX(ctaVinc,MATCH(K1014,ctaNombre,0))&amp;""&lt;&gt;"",INDEX(ctaVinc,MATCH(K1014,ctaNombre,0))&amp;"",K1014),K1014))</f>
        <v/>
      </c>
      <c r="AD1014" s="52">
        <f>IF(AB1014="","",IFERROR(INDEX(ctaTipo,MATCH(AB1014,ctaNombre,0))&amp;"",""))</f>
        <v/>
      </c>
      <c r="AE1014" s="52">
        <f>IF(AC1014="","",IFERROR(INDEX(ctaTipo,MATCH(AC1014,ctaNombre,0))&amp;"",""))</f>
        <v/>
      </c>
      <c r="AF1014" s="53">
        <f>IF(OR(P1014="",AB1014=""),"",IF(OR(P1014="Gasto",P1014="Transferencia",P1014="Pago tarjeta"),-1,1)*IF(IFERROR(INDEX(ctaMoneda,MATCH(AB1014,ctaNombre,0))&amp;"","DOP")="USD",T1014,S1014))</f>
        <v/>
      </c>
      <c r="AG1014" s="53">
        <f>IF(AC1014="","",IF(IFERROR(INDEX(ctaMoneda,MATCH(AC1014,ctaNombre,0))&amp;"","DOP")="USD",T1014,S1014))</f>
        <v/>
      </c>
      <c r="AH1014" s="53">
        <f>IF(P1014="","",IF(AND(AD1014&lt;&gt;"",COUNTIFS(tcTipo,AD1014,tcLiq,"Sí")&gt;0),IF(OR(P1014="Gasto",P1014="Transferencia",P1014="Pago tarjeta"),-1,1)*S1014,0)+IF(AND(AE1014&lt;&gt;"",COUNTIFS(tcTipo,AE1014,tcLiq,"Sí")&gt;0),S1014,0))</f>
        <v/>
      </c>
      <c r="AI1014" s="52">
        <f>IF(OR(L1014="",P1014=""),"",IF(COUNTIFS(L$6:L1014,L1014,P$6:P1014,"?*")=1,MAX(AI$5:AI1013)+1,""))</f>
        <v/>
      </c>
    </row>
    <row r="1015">
      <c r="B1015" s="47" t="n"/>
      <c r="C1015" s="48" t="n"/>
      <c r="D1015" s="48" t="n"/>
      <c r="E1015" s="48" t="n"/>
      <c r="F1015" s="48" t="n"/>
      <c r="G1015" s="49" t="n"/>
      <c r="H1015" s="48" t="n"/>
      <c r="I1015" s="50" t="n"/>
      <c r="J1015" s="48" t="n"/>
      <c r="K1015" s="48" t="n"/>
      <c r="L1015" s="48" t="n"/>
      <c r="M1015" s="48" t="n"/>
      <c r="N1015" s="48" t="n"/>
      <c r="O1015" s="51">
        <f>IF(AND(B1015="",G1015="",C1015="",D1015="",J1015=""),"",IF(B1015="","⚠ Falta fecha",IF(G1015="","⚠ Falta monto",IF(Q1015="","⚠ Falta cuenta",IF(ISNA(MATCH(Q1015,ctaNombre,0)),"⚠ Cuenta no registrada",IF(AND(OR(P1015="Gasto",P1015="Reembolso"),D1015=""),"⚠ Falta categoría",IF(AND(D1015&lt;&gt;"",E1015&lt;&gt;"",ISNA(MATCH(D1015&amp;"|"&amp;E1015,catClave,0))),"⚠ Subcategoría no corresponde",IF(AND(OR(P1015="Transferencia",P1015="Pago tarjeta"),K1015=""),"⚠ Falta cuenta destino",IF(AND(K1015&lt;&gt;"",P1015&lt;&gt;"Transferencia",P1015&lt;&gt;"Pago tarjeta"),"⚠ Destino solo aplica a transferencias",IF(AND(K1015&lt;&gt;"",K1015=Q1015),"⚠ Origen igual a destino",IF(AND(K1015&lt;&gt;"",ISNA(MATCH(K1015,ctaNombre,0))),"⚠ Destino no registrado",IF(AND(P1015="Pago tarjeta",AE1015&lt;&gt;"Tarjeta de crédito"),"⚠ El destino debe ser tarjeta de crédito",IF(AND(P1015="Gasto",E1015="Depósitos y retiros"),"⚠ Usa tipo Transferencia",IF(AND(P1015="Resultado trading",AD1015&lt;&gt;"Cuenta de trading"),"⚠ Usa una cuenta de trading",IF(AND(G1015&lt;=0,P1015&lt;&gt;"Ajuste",P1015&lt;&gt;"Resultado trading"),"⚠ El monto debe ser positivo","✓")))))))))))))))</f>
        <v/>
      </c>
      <c r="P1015" s="52">
        <f>IF(OR(B1015="",G1015=""),"",IF(C1015="","Gasto",C1015))</f>
        <v/>
      </c>
      <c r="Q1015" s="52">
        <f>IF(P1015="","",IF(J1015&lt;&gt;"",J1015,CuentaPred&amp;""))</f>
        <v/>
      </c>
      <c r="R1015" s="52">
        <f>IF(P1015="","",IF(ISNUMBER(I1015),I1015,TasaUSD))</f>
        <v/>
      </c>
      <c r="S1015" s="53">
        <f>IF(P1015="","",IF(H1015="USD",G1015*R1015,G1015))</f>
        <v/>
      </c>
      <c r="T1015" s="53">
        <f>IF(P1015="","",IF(H1015="USD",G1015,IF(R1015&gt;0,G1015/R1015,0)))</f>
        <v/>
      </c>
      <c r="U1015" s="53">
        <f>IF(P1015="","",IF(P1015="Gasto",S1015,IF(P1015="Reembolso",-S1015,0)))</f>
        <v/>
      </c>
      <c r="V1015" s="53">
        <f>IF(P1015="","",IF(P1015="Ingreso",S1015,0))</f>
        <v/>
      </c>
      <c r="W1015" s="53">
        <f>IF(P1015="","",IF(P1015="Resultado trading",S1015,0))</f>
        <v/>
      </c>
      <c r="X1015" s="52">
        <f>IF(OR(P1015="Gasto",P1015="Reembolso"),IF(M1015&lt;&gt;"",M1015,IFERROR(INDEX(catClasif,MATCH(D1015&amp;"|"&amp;E1015,catClave,0))&amp;"","Variable")),"")</f>
        <v/>
      </c>
      <c r="Y1015" s="52">
        <f>IF(P1015="","",IFERROR(INDEX(catGrupo,MATCH(D1015&amp;"|"&amp;E1015,catClave,0))&amp;"",""))</f>
        <v/>
      </c>
      <c r="Z1015" s="52">
        <f>IF(P1015="","",WEEKDAY(B1015,2))</f>
        <v/>
      </c>
      <c r="AA1015" s="52">
        <f>IF(P1015="","",IF(AND(P1015="Gasto",X1015="Variable",D1015&lt;&gt;catTrading,S1015&gt;0,S1015&lt;=Umbral),1,0))</f>
        <v/>
      </c>
      <c r="AB1015" s="52">
        <f>IF(OR(P1015="",Q1015=""),"",IFERROR(IF(INDEX(ctaVinc,MATCH(Q1015,ctaNombre,0))&amp;""&lt;&gt;"",INDEX(ctaVinc,MATCH(Q1015,ctaNombre,0))&amp;"",Q1015),Q1015))</f>
        <v/>
      </c>
      <c r="AC1015" s="52">
        <f>IF(OR(K1015="",AND(P1015&lt;&gt;"Transferencia",P1015&lt;&gt;"Pago tarjeta")),"",IFERROR(IF(INDEX(ctaVinc,MATCH(K1015,ctaNombre,0))&amp;""&lt;&gt;"",INDEX(ctaVinc,MATCH(K1015,ctaNombre,0))&amp;"",K1015),K1015))</f>
        <v/>
      </c>
      <c r="AD1015" s="52">
        <f>IF(AB1015="","",IFERROR(INDEX(ctaTipo,MATCH(AB1015,ctaNombre,0))&amp;"",""))</f>
        <v/>
      </c>
      <c r="AE1015" s="52">
        <f>IF(AC1015="","",IFERROR(INDEX(ctaTipo,MATCH(AC1015,ctaNombre,0))&amp;"",""))</f>
        <v/>
      </c>
      <c r="AF1015" s="53">
        <f>IF(OR(P1015="",AB1015=""),"",IF(OR(P1015="Gasto",P1015="Transferencia",P1015="Pago tarjeta"),-1,1)*IF(IFERROR(INDEX(ctaMoneda,MATCH(AB1015,ctaNombre,0))&amp;"","DOP")="USD",T1015,S1015))</f>
        <v/>
      </c>
      <c r="AG1015" s="53">
        <f>IF(AC1015="","",IF(IFERROR(INDEX(ctaMoneda,MATCH(AC1015,ctaNombre,0))&amp;"","DOP")="USD",T1015,S1015))</f>
        <v/>
      </c>
      <c r="AH1015" s="53">
        <f>IF(P1015="","",IF(AND(AD1015&lt;&gt;"",COUNTIFS(tcTipo,AD1015,tcLiq,"Sí")&gt;0),IF(OR(P1015="Gasto",P1015="Transferencia",P1015="Pago tarjeta"),-1,1)*S1015,0)+IF(AND(AE1015&lt;&gt;"",COUNTIFS(tcTipo,AE1015,tcLiq,"Sí")&gt;0),S1015,0))</f>
        <v/>
      </c>
      <c r="AI1015" s="52">
        <f>IF(OR(L1015="",P1015=""),"",IF(COUNTIFS(L$6:L1015,L1015,P$6:P1015,"?*")=1,MAX(AI$5:AI1014)+1,""))</f>
        <v/>
      </c>
    </row>
    <row r="1016">
      <c r="B1016" s="47" t="n"/>
      <c r="C1016" s="48" t="n"/>
      <c r="D1016" s="48" t="n"/>
      <c r="E1016" s="48" t="n"/>
      <c r="F1016" s="48" t="n"/>
      <c r="G1016" s="49" t="n"/>
      <c r="H1016" s="48" t="n"/>
      <c r="I1016" s="50" t="n"/>
      <c r="J1016" s="48" t="n"/>
      <c r="K1016" s="48" t="n"/>
      <c r="L1016" s="48" t="n"/>
      <c r="M1016" s="48" t="n"/>
      <c r="N1016" s="48" t="n"/>
      <c r="O1016" s="51">
        <f>IF(AND(B1016="",G1016="",C1016="",D1016="",J1016=""),"",IF(B1016="","⚠ Falta fecha",IF(G1016="","⚠ Falta monto",IF(Q1016="","⚠ Falta cuenta",IF(ISNA(MATCH(Q1016,ctaNombre,0)),"⚠ Cuenta no registrada",IF(AND(OR(P1016="Gasto",P1016="Reembolso"),D1016=""),"⚠ Falta categoría",IF(AND(D1016&lt;&gt;"",E1016&lt;&gt;"",ISNA(MATCH(D1016&amp;"|"&amp;E1016,catClave,0))),"⚠ Subcategoría no corresponde",IF(AND(OR(P1016="Transferencia",P1016="Pago tarjeta"),K1016=""),"⚠ Falta cuenta destino",IF(AND(K1016&lt;&gt;"",P1016&lt;&gt;"Transferencia",P1016&lt;&gt;"Pago tarjeta"),"⚠ Destino solo aplica a transferencias",IF(AND(K1016&lt;&gt;"",K1016=Q1016),"⚠ Origen igual a destino",IF(AND(K1016&lt;&gt;"",ISNA(MATCH(K1016,ctaNombre,0))),"⚠ Destino no registrado",IF(AND(P1016="Pago tarjeta",AE1016&lt;&gt;"Tarjeta de crédito"),"⚠ El destino debe ser tarjeta de crédito",IF(AND(P1016="Gasto",E1016="Depósitos y retiros"),"⚠ Usa tipo Transferencia",IF(AND(P1016="Resultado trading",AD1016&lt;&gt;"Cuenta de trading"),"⚠ Usa una cuenta de trading",IF(AND(G1016&lt;=0,P1016&lt;&gt;"Ajuste",P1016&lt;&gt;"Resultado trading"),"⚠ El monto debe ser positivo","✓")))))))))))))))</f>
        <v/>
      </c>
      <c r="P1016" s="52">
        <f>IF(OR(B1016="",G1016=""),"",IF(C1016="","Gasto",C1016))</f>
        <v/>
      </c>
      <c r="Q1016" s="52">
        <f>IF(P1016="","",IF(J1016&lt;&gt;"",J1016,CuentaPred&amp;""))</f>
        <v/>
      </c>
      <c r="R1016" s="52">
        <f>IF(P1016="","",IF(ISNUMBER(I1016),I1016,TasaUSD))</f>
        <v/>
      </c>
      <c r="S1016" s="53">
        <f>IF(P1016="","",IF(H1016="USD",G1016*R1016,G1016))</f>
        <v/>
      </c>
      <c r="T1016" s="53">
        <f>IF(P1016="","",IF(H1016="USD",G1016,IF(R1016&gt;0,G1016/R1016,0)))</f>
        <v/>
      </c>
      <c r="U1016" s="53">
        <f>IF(P1016="","",IF(P1016="Gasto",S1016,IF(P1016="Reembolso",-S1016,0)))</f>
        <v/>
      </c>
      <c r="V1016" s="53">
        <f>IF(P1016="","",IF(P1016="Ingreso",S1016,0))</f>
        <v/>
      </c>
      <c r="W1016" s="53">
        <f>IF(P1016="","",IF(P1016="Resultado trading",S1016,0))</f>
        <v/>
      </c>
      <c r="X1016" s="52">
        <f>IF(OR(P1016="Gasto",P1016="Reembolso"),IF(M1016&lt;&gt;"",M1016,IFERROR(INDEX(catClasif,MATCH(D1016&amp;"|"&amp;E1016,catClave,0))&amp;"","Variable")),"")</f>
        <v/>
      </c>
      <c r="Y1016" s="52">
        <f>IF(P1016="","",IFERROR(INDEX(catGrupo,MATCH(D1016&amp;"|"&amp;E1016,catClave,0))&amp;"",""))</f>
        <v/>
      </c>
      <c r="Z1016" s="52">
        <f>IF(P1016="","",WEEKDAY(B1016,2))</f>
        <v/>
      </c>
      <c r="AA1016" s="52">
        <f>IF(P1016="","",IF(AND(P1016="Gasto",X1016="Variable",D1016&lt;&gt;catTrading,S1016&gt;0,S1016&lt;=Umbral),1,0))</f>
        <v/>
      </c>
      <c r="AB1016" s="52">
        <f>IF(OR(P1016="",Q1016=""),"",IFERROR(IF(INDEX(ctaVinc,MATCH(Q1016,ctaNombre,0))&amp;""&lt;&gt;"",INDEX(ctaVinc,MATCH(Q1016,ctaNombre,0))&amp;"",Q1016),Q1016))</f>
        <v/>
      </c>
      <c r="AC1016" s="52">
        <f>IF(OR(K1016="",AND(P1016&lt;&gt;"Transferencia",P1016&lt;&gt;"Pago tarjeta")),"",IFERROR(IF(INDEX(ctaVinc,MATCH(K1016,ctaNombre,0))&amp;""&lt;&gt;"",INDEX(ctaVinc,MATCH(K1016,ctaNombre,0))&amp;"",K1016),K1016))</f>
        <v/>
      </c>
      <c r="AD1016" s="52">
        <f>IF(AB1016="","",IFERROR(INDEX(ctaTipo,MATCH(AB1016,ctaNombre,0))&amp;"",""))</f>
        <v/>
      </c>
      <c r="AE1016" s="52">
        <f>IF(AC1016="","",IFERROR(INDEX(ctaTipo,MATCH(AC1016,ctaNombre,0))&amp;"",""))</f>
        <v/>
      </c>
      <c r="AF1016" s="53">
        <f>IF(OR(P1016="",AB1016=""),"",IF(OR(P1016="Gasto",P1016="Transferencia",P1016="Pago tarjeta"),-1,1)*IF(IFERROR(INDEX(ctaMoneda,MATCH(AB1016,ctaNombre,0))&amp;"","DOP")="USD",T1016,S1016))</f>
        <v/>
      </c>
      <c r="AG1016" s="53">
        <f>IF(AC1016="","",IF(IFERROR(INDEX(ctaMoneda,MATCH(AC1016,ctaNombre,0))&amp;"","DOP")="USD",T1016,S1016))</f>
        <v/>
      </c>
      <c r="AH1016" s="53">
        <f>IF(P1016="","",IF(AND(AD1016&lt;&gt;"",COUNTIFS(tcTipo,AD1016,tcLiq,"Sí")&gt;0),IF(OR(P1016="Gasto",P1016="Transferencia",P1016="Pago tarjeta"),-1,1)*S1016,0)+IF(AND(AE1016&lt;&gt;"",COUNTIFS(tcTipo,AE1016,tcLiq,"Sí")&gt;0),S1016,0))</f>
        <v/>
      </c>
      <c r="AI1016" s="52">
        <f>IF(OR(L1016="",P1016=""),"",IF(COUNTIFS(L$6:L1016,L1016,P$6:P1016,"?*")=1,MAX(AI$5:AI1015)+1,""))</f>
        <v/>
      </c>
    </row>
    <row r="1017">
      <c r="B1017" s="47" t="n"/>
      <c r="C1017" s="48" t="n"/>
      <c r="D1017" s="48" t="n"/>
      <c r="E1017" s="48" t="n"/>
      <c r="F1017" s="48" t="n"/>
      <c r="G1017" s="49" t="n"/>
      <c r="H1017" s="48" t="n"/>
      <c r="I1017" s="50" t="n"/>
      <c r="J1017" s="48" t="n"/>
      <c r="K1017" s="48" t="n"/>
      <c r="L1017" s="48" t="n"/>
      <c r="M1017" s="48" t="n"/>
      <c r="N1017" s="48" t="n"/>
      <c r="O1017" s="51">
        <f>IF(AND(B1017="",G1017="",C1017="",D1017="",J1017=""),"",IF(B1017="","⚠ Falta fecha",IF(G1017="","⚠ Falta monto",IF(Q1017="","⚠ Falta cuenta",IF(ISNA(MATCH(Q1017,ctaNombre,0)),"⚠ Cuenta no registrada",IF(AND(OR(P1017="Gasto",P1017="Reembolso"),D1017=""),"⚠ Falta categoría",IF(AND(D1017&lt;&gt;"",E1017&lt;&gt;"",ISNA(MATCH(D1017&amp;"|"&amp;E1017,catClave,0))),"⚠ Subcategoría no corresponde",IF(AND(OR(P1017="Transferencia",P1017="Pago tarjeta"),K1017=""),"⚠ Falta cuenta destino",IF(AND(K1017&lt;&gt;"",P1017&lt;&gt;"Transferencia",P1017&lt;&gt;"Pago tarjeta"),"⚠ Destino solo aplica a transferencias",IF(AND(K1017&lt;&gt;"",K1017=Q1017),"⚠ Origen igual a destino",IF(AND(K1017&lt;&gt;"",ISNA(MATCH(K1017,ctaNombre,0))),"⚠ Destino no registrado",IF(AND(P1017="Pago tarjeta",AE1017&lt;&gt;"Tarjeta de crédito"),"⚠ El destino debe ser tarjeta de crédito",IF(AND(P1017="Gasto",E1017="Depósitos y retiros"),"⚠ Usa tipo Transferencia",IF(AND(P1017="Resultado trading",AD1017&lt;&gt;"Cuenta de trading"),"⚠ Usa una cuenta de trading",IF(AND(G1017&lt;=0,P1017&lt;&gt;"Ajuste",P1017&lt;&gt;"Resultado trading"),"⚠ El monto debe ser positivo","✓")))))))))))))))</f>
        <v/>
      </c>
      <c r="P1017" s="52">
        <f>IF(OR(B1017="",G1017=""),"",IF(C1017="","Gasto",C1017))</f>
        <v/>
      </c>
      <c r="Q1017" s="52">
        <f>IF(P1017="","",IF(J1017&lt;&gt;"",J1017,CuentaPred&amp;""))</f>
        <v/>
      </c>
      <c r="R1017" s="52">
        <f>IF(P1017="","",IF(ISNUMBER(I1017),I1017,TasaUSD))</f>
        <v/>
      </c>
      <c r="S1017" s="53">
        <f>IF(P1017="","",IF(H1017="USD",G1017*R1017,G1017))</f>
        <v/>
      </c>
      <c r="T1017" s="53">
        <f>IF(P1017="","",IF(H1017="USD",G1017,IF(R1017&gt;0,G1017/R1017,0)))</f>
        <v/>
      </c>
      <c r="U1017" s="53">
        <f>IF(P1017="","",IF(P1017="Gasto",S1017,IF(P1017="Reembolso",-S1017,0)))</f>
        <v/>
      </c>
      <c r="V1017" s="53">
        <f>IF(P1017="","",IF(P1017="Ingreso",S1017,0))</f>
        <v/>
      </c>
      <c r="W1017" s="53">
        <f>IF(P1017="","",IF(P1017="Resultado trading",S1017,0))</f>
        <v/>
      </c>
      <c r="X1017" s="52">
        <f>IF(OR(P1017="Gasto",P1017="Reembolso"),IF(M1017&lt;&gt;"",M1017,IFERROR(INDEX(catClasif,MATCH(D1017&amp;"|"&amp;E1017,catClave,0))&amp;"","Variable")),"")</f>
        <v/>
      </c>
      <c r="Y1017" s="52">
        <f>IF(P1017="","",IFERROR(INDEX(catGrupo,MATCH(D1017&amp;"|"&amp;E1017,catClave,0))&amp;"",""))</f>
        <v/>
      </c>
      <c r="Z1017" s="52">
        <f>IF(P1017="","",WEEKDAY(B1017,2))</f>
        <v/>
      </c>
      <c r="AA1017" s="52">
        <f>IF(P1017="","",IF(AND(P1017="Gasto",X1017="Variable",D1017&lt;&gt;catTrading,S1017&gt;0,S1017&lt;=Umbral),1,0))</f>
        <v/>
      </c>
      <c r="AB1017" s="52">
        <f>IF(OR(P1017="",Q1017=""),"",IFERROR(IF(INDEX(ctaVinc,MATCH(Q1017,ctaNombre,0))&amp;""&lt;&gt;"",INDEX(ctaVinc,MATCH(Q1017,ctaNombre,0))&amp;"",Q1017),Q1017))</f>
        <v/>
      </c>
      <c r="AC1017" s="52">
        <f>IF(OR(K1017="",AND(P1017&lt;&gt;"Transferencia",P1017&lt;&gt;"Pago tarjeta")),"",IFERROR(IF(INDEX(ctaVinc,MATCH(K1017,ctaNombre,0))&amp;""&lt;&gt;"",INDEX(ctaVinc,MATCH(K1017,ctaNombre,0))&amp;"",K1017),K1017))</f>
        <v/>
      </c>
      <c r="AD1017" s="52">
        <f>IF(AB1017="","",IFERROR(INDEX(ctaTipo,MATCH(AB1017,ctaNombre,0))&amp;"",""))</f>
        <v/>
      </c>
      <c r="AE1017" s="52">
        <f>IF(AC1017="","",IFERROR(INDEX(ctaTipo,MATCH(AC1017,ctaNombre,0))&amp;"",""))</f>
        <v/>
      </c>
      <c r="AF1017" s="53">
        <f>IF(OR(P1017="",AB1017=""),"",IF(OR(P1017="Gasto",P1017="Transferencia",P1017="Pago tarjeta"),-1,1)*IF(IFERROR(INDEX(ctaMoneda,MATCH(AB1017,ctaNombre,0))&amp;"","DOP")="USD",T1017,S1017))</f>
        <v/>
      </c>
      <c r="AG1017" s="53">
        <f>IF(AC1017="","",IF(IFERROR(INDEX(ctaMoneda,MATCH(AC1017,ctaNombre,0))&amp;"","DOP")="USD",T1017,S1017))</f>
        <v/>
      </c>
      <c r="AH1017" s="53">
        <f>IF(P1017="","",IF(AND(AD1017&lt;&gt;"",COUNTIFS(tcTipo,AD1017,tcLiq,"Sí")&gt;0),IF(OR(P1017="Gasto",P1017="Transferencia",P1017="Pago tarjeta"),-1,1)*S1017,0)+IF(AND(AE1017&lt;&gt;"",COUNTIFS(tcTipo,AE1017,tcLiq,"Sí")&gt;0),S1017,0))</f>
        <v/>
      </c>
      <c r="AI1017" s="52">
        <f>IF(OR(L1017="",P1017=""),"",IF(COUNTIFS(L$6:L1017,L1017,P$6:P1017,"?*")=1,MAX(AI$5:AI1016)+1,""))</f>
        <v/>
      </c>
    </row>
    <row r="1018">
      <c r="B1018" s="47" t="n"/>
      <c r="C1018" s="48" t="n"/>
      <c r="D1018" s="48" t="n"/>
      <c r="E1018" s="48" t="n"/>
      <c r="F1018" s="48" t="n"/>
      <c r="G1018" s="49" t="n"/>
      <c r="H1018" s="48" t="n"/>
      <c r="I1018" s="50" t="n"/>
      <c r="J1018" s="48" t="n"/>
      <c r="K1018" s="48" t="n"/>
      <c r="L1018" s="48" t="n"/>
      <c r="M1018" s="48" t="n"/>
      <c r="N1018" s="48" t="n"/>
      <c r="O1018" s="51">
        <f>IF(AND(B1018="",G1018="",C1018="",D1018="",J1018=""),"",IF(B1018="","⚠ Falta fecha",IF(G1018="","⚠ Falta monto",IF(Q1018="","⚠ Falta cuenta",IF(ISNA(MATCH(Q1018,ctaNombre,0)),"⚠ Cuenta no registrada",IF(AND(OR(P1018="Gasto",P1018="Reembolso"),D1018=""),"⚠ Falta categoría",IF(AND(D1018&lt;&gt;"",E1018&lt;&gt;"",ISNA(MATCH(D1018&amp;"|"&amp;E1018,catClave,0))),"⚠ Subcategoría no corresponde",IF(AND(OR(P1018="Transferencia",P1018="Pago tarjeta"),K1018=""),"⚠ Falta cuenta destino",IF(AND(K1018&lt;&gt;"",P1018&lt;&gt;"Transferencia",P1018&lt;&gt;"Pago tarjeta"),"⚠ Destino solo aplica a transferencias",IF(AND(K1018&lt;&gt;"",K1018=Q1018),"⚠ Origen igual a destino",IF(AND(K1018&lt;&gt;"",ISNA(MATCH(K1018,ctaNombre,0))),"⚠ Destino no registrado",IF(AND(P1018="Pago tarjeta",AE1018&lt;&gt;"Tarjeta de crédito"),"⚠ El destino debe ser tarjeta de crédito",IF(AND(P1018="Gasto",E1018="Depósitos y retiros"),"⚠ Usa tipo Transferencia",IF(AND(P1018="Resultado trading",AD1018&lt;&gt;"Cuenta de trading"),"⚠ Usa una cuenta de trading",IF(AND(G1018&lt;=0,P1018&lt;&gt;"Ajuste",P1018&lt;&gt;"Resultado trading"),"⚠ El monto debe ser positivo","✓")))))))))))))))</f>
        <v/>
      </c>
      <c r="P1018" s="52">
        <f>IF(OR(B1018="",G1018=""),"",IF(C1018="","Gasto",C1018))</f>
        <v/>
      </c>
      <c r="Q1018" s="52">
        <f>IF(P1018="","",IF(J1018&lt;&gt;"",J1018,CuentaPred&amp;""))</f>
        <v/>
      </c>
      <c r="R1018" s="52">
        <f>IF(P1018="","",IF(ISNUMBER(I1018),I1018,TasaUSD))</f>
        <v/>
      </c>
      <c r="S1018" s="53">
        <f>IF(P1018="","",IF(H1018="USD",G1018*R1018,G1018))</f>
        <v/>
      </c>
      <c r="T1018" s="53">
        <f>IF(P1018="","",IF(H1018="USD",G1018,IF(R1018&gt;0,G1018/R1018,0)))</f>
        <v/>
      </c>
      <c r="U1018" s="53">
        <f>IF(P1018="","",IF(P1018="Gasto",S1018,IF(P1018="Reembolso",-S1018,0)))</f>
        <v/>
      </c>
      <c r="V1018" s="53">
        <f>IF(P1018="","",IF(P1018="Ingreso",S1018,0))</f>
        <v/>
      </c>
      <c r="W1018" s="53">
        <f>IF(P1018="","",IF(P1018="Resultado trading",S1018,0))</f>
        <v/>
      </c>
      <c r="X1018" s="52">
        <f>IF(OR(P1018="Gasto",P1018="Reembolso"),IF(M1018&lt;&gt;"",M1018,IFERROR(INDEX(catClasif,MATCH(D1018&amp;"|"&amp;E1018,catClave,0))&amp;"","Variable")),"")</f>
        <v/>
      </c>
      <c r="Y1018" s="52">
        <f>IF(P1018="","",IFERROR(INDEX(catGrupo,MATCH(D1018&amp;"|"&amp;E1018,catClave,0))&amp;"",""))</f>
        <v/>
      </c>
      <c r="Z1018" s="52">
        <f>IF(P1018="","",WEEKDAY(B1018,2))</f>
        <v/>
      </c>
      <c r="AA1018" s="52">
        <f>IF(P1018="","",IF(AND(P1018="Gasto",X1018="Variable",D1018&lt;&gt;catTrading,S1018&gt;0,S1018&lt;=Umbral),1,0))</f>
        <v/>
      </c>
      <c r="AB1018" s="52">
        <f>IF(OR(P1018="",Q1018=""),"",IFERROR(IF(INDEX(ctaVinc,MATCH(Q1018,ctaNombre,0))&amp;""&lt;&gt;"",INDEX(ctaVinc,MATCH(Q1018,ctaNombre,0))&amp;"",Q1018),Q1018))</f>
        <v/>
      </c>
      <c r="AC1018" s="52">
        <f>IF(OR(K1018="",AND(P1018&lt;&gt;"Transferencia",P1018&lt;&gt;"Pago tarjeta")),"",IFERROR(IF(INDEX(ctaVinc,MATCH(K1018,ctaNombre,0))&amp;""&lt;&gt;"",INDEX(ctaVinc,MATCH(K1018,ctaNombre,0))&amp;"",K1018),K1018))</f>
        <v/>
      </c>
      <c r="AD1018" s="52">
        <f>IF(AB1018="","",IFERROR(INDEX(ctaTipo,MATCH(AB1018,ctaNombre,0))&amp;"",""))</f>
        <v/>
      </c>
      <c r="AE1018" s="52">
        <f>IF(AC1018="","",IFERROR(INDEX(ctaTipo,MATCH(AC1018,ctaNombre,0))&amp;"",""))</f>
        <v/>
      </c>
      <c r="AF1018" s="53">
        <f>IF(OR(P1018="",AB1018=""),"",IF(OR(P1018="Gasto",P1018="Transferencia",P1018="Pago tarjeta"),-1,1)*IF(IFERROR(INDEX(ctaMoneda,MATCH(AB1018,ctaNombre,0))&amp;"","DOP")="USD",T1018,S1018))</f>
        <v/>
      </c>
      <c r="AG1018" s="53">
        <f>IF(AC1018="","",IF(IFERROR(INDEX(ctaMoneda,MATCH(AC1018,ctaNombre,0))&amp;"","DOP")="USD",T1018,S1018))</f>
        <v/>
      </c>
      <c r="AH1018" s="53">
        <f>IF(P1018="","",IF(AND(AD1018&lt;&gt;"",COUNTIFS(tcTipo,AD1018,tcLiq,"Sí")&gt;0),IF(OR(P1018="Gasto",P1018="Transferencia",P1018="Pago tarjeta"),-1,1)*S1018,0)+IF(AND(AE1018&lt;&gt;"",COUNTIFS(tcTipo,AE1018,tcLiq,"Sí")&gt;0),S1018,0))</f>
        <v/>
      </c>
      <c r="AI1018" s="52">
        <f>IF(OR(L1018="",P1018=""),"",IF(COUNTIFS(L$6:L1018,L1018,P$6:P1018,"?*")=1,MAX(AI$5:AI1017)+1,""))</f>
        <v/>
      </c>
    </row>
    <row r="1019">
      <c r="B1019" s="47" t="n"/>
      <c r="C1019" s="48" t="n"/>
      <c r="D1019" s="48" t="n"/>
      <c r="E1019" s="48" t="n"/>
      <c r="F1019" s="48" t="n"/>
      <c r="G1019" s="49" t="n"/>
      <c r="H1019" s="48" t="n"/>
      <c r="I1019" s="50" t="n"/>
      <c r="J1019" s="48" t="n"/>
      <c r="K1019" s="48" t="n"/>
      <c r="L1019" s="48" t="n"/>
      <c r="M1019" s="48" t="n"/>
      <c r="N1019" s="48" t="n"/>
      <c r="O1019" s="51">
        <f>IF(AND(B1019="",G1019="",C1019="",D1019="",J1019=""),"",IF(B1019="","⚠ Falta fecha",IF(G1019="","⚠ Falta monto",IF(Q1019="","⚠ Falta cuenta",IF(ISNA(MATCH(Q1019,ctaNombre,0)),"⚠ Cuenta no registrada",IF(AND(OR(P1019="Gasto",P1019="Reembolso"),D1019=""),"⚠ Falta categoría",IF(AND(D1019&lt;&gt;"",E1019&lt;&gt;"",ISNA(MATCH(D1019&amp;"|"&amp;E1019,catClave,0))),"⚠ Subcategoría no corresponde",IF(AND(OR(P1019="Transferencia",P1019="Pago tarjeta"),K1019=""),"⚠ Falta cuenta destino",IF(AND(K1019&lt;&gt;"",P1019&lt;&gt;"Transferencia",P1019&lt;&gt;"Pago tarjeta"),"⚠ Destino solo aplica a transferencias",IF(AND(K1019&lt;&gt;"",K1019=Q1019),"⚠ Origen igual a destino",IF(AND(K1019&lt;&gt;"",ISNA(MATCH(K1019,ctaNombre,0))),"⚠ Destino no registrado",IF(AND(P1019="Pago tarjeta",AE1019&lt;&gt;"Tarjeta de crédito"),"⚠ El destino debe ser tarjeta de crédito",IF(AND(P1019="Gasto",E1019="Depósitos y retiros"),"⚠ Usa tipo Transferencia",IF(AND(P1019="Resultado trading",AD1019&lt;&gt;"Cuenta de trading"),"⚠ Usa una cuenta de trading",IF(AND(G1019&lt;=0,P1019&lt;&gt;"Ajuste",P1019&lt;&gt;"Resultado trading"),"⚠ El monto debe ser positivo","✓")))))))))))))))</f>
        <v/>
      </c>
      <c r="P1019" s="52">
        <f>IF(OR(B1019="",G1019=""),"",IF(C1019="","Gasto",C1019))</f>
        <v/>
      </c>
      <c r="Q1019" s="52">
        <f>IF(P1019="","",IF(J1019&lt;&gt;"",J1019,CuentaPred&amp;""))</f>
        <v/>
      </c>
      <c r="R1019" s="52">
        <f>IF(P1019="","",IF(ISNUMBER(I1019),I1019,TasaUSD))</f>
        <v/>
      </c>
      <c r="S1019" s="53">
        <f>IF(P1019="","",IF(H1019="USD",G1019*R1019,G1019))</f>
        <v/>
      </c>
      <c r="T1019" s="53">
        <f>IF(P1019="","",IF(H1019="USD",G1019,IF(R1019&gt;0,G1019/R1019,0)))</f>
        <v/>
      </c>
      <c r="U1019" s="53">
        <f>IF(P1019="","",IF(P1019="Gasto",S1019,IF(P1019="Reembolso",-S1019,0)))</f>
        <v/>
      </c>
      <c r="V1019" s="53">
        <f>IF(P1019="","",IF(P1019="Ingreso",S1019,0))</f>
        <v/>
      </c>
      <c r="W1019" s="53">
        <f>IF(P1019="","",IF(P1019="Resultado trading",S1019,0))</f>
        <v/>
      </c>
      <c r="X1019" s="52">
        <f>IF(OR(P1019="Gasto",P1019="Reembolso"),IF(M1019&lt;&gt;"",M1019,IFERROR(INDEX(catClasif,MATCH(D1019&amp;"|"&amp;E1019,catClave,0))&amp;"","Variable")),"")</f>
        <v/>
      </c>
      <c r="Y1019" s="52">
        <f>IF(P1019="","",IFERROR(INDEX(catGrupo,MATCH(D1019&amp;"|"&amp;E1019,catClave,0))&amp;"",""))</f>
        <v/>
      </c>
      <c r="Z1019" s="52">
        <f>IF(P1019="","",WEEKDAY(B1019,2))</f>
        <v/>
      </c>
      <c r="AA1019" s="52">
        <f>IF(P1019="","",IF(AND(P1019="Gasto",X1019="Variable",D1019&lt;&gt;catTrading,S1019&gt;0,S1019&lt;=Umbral),1,0))</f>
        <v/>
      </c>
      <c r="AB1019" s="52">
        <f>IF(OR(P1019="",Q1019=""),"",IFERROR(IF(INDEX(ctaVinc,MATCH(Q1019,ctaNombre,0))&amp;""&lt;&gt;"",INDEX(ctaVinc,MATCH(Q1019,ctaNombre,0))&amp;"",Q1019),Q1019))</f>
        <v/>
      </c>
      <c r="AC1019" s="52">
        <f>IF(OR(K1019="",AND(P1019&lt;&gt;"Transferencia",P1019&lt;&gt;"Pago tarjeta")),"",IFERROR(IF(INDEX(ctaVinc,MATCH(K1019,ctaNombre,0))&amp;""&lt;&gt;"",INDEX(ctaVinc,MATCH(K1019,ctaNombre,0))&amp;"",K1019),K1019))</f>
        <v/>
      </c>
      <c r="AD1019" s="52">
        <f>IF(AB1019="","",IFERROR(INDEX(ctaTipo,MATCH(AB1019,ctaNombre,0))&amp;"",""))</f>
        <v/>
      </c>
      <c r="AE1019" s="52">
        <f>IF(AC1019="","",IFERROR(INDEX(ctaTipo,MATCH(AC1019,ctaNombre,0))&amp;"",""))</f>
        <v/>
      </c>
      <c r="AF1019" s="53">
        <f>IF(OR(P1019="",AB1019=""),"",IF(OR(P1019="Gasto",P1019="Transferencia",P1019="Pago tarjeta"),-1,1)*IF(IFERROR(INDEX(ctaMoneda,MATCH(AB1019,ctaNombre,0))&amp;"","DOP")="USD",T1019,S1019))</f>
        <v/>
      </c>
      <c r="AG1019" s="53">
        <f>IF(AC1019="","",IF(IFERROR(INDEX(ctaMoneda,MATCH(AC1019,ctaNombre,0))&amp;"","DOP")="USD",T1019,S1019))</f>
        <v/>
      </c>
      <c r="AH1019" s="53">
        <f>IF(P1019="","",IF(AND(AD1019&lt;&gt;"",COUNTIFS(tcTipo,AD1019,tcLiq,"Sí")&gt;0),IF(OR(P1019="Gasto",P1019="Transferencia",P1019="Pago tarjeta"),-1,1)*S1019,0)+IF(AND(AE1019&lt;&gt;"",COUNTIFS(tcTipo,AE1019,tcLiq,"Sí")&gt;0),S1019,0))</f>
        <v/>
      </c>
      <c r="AI1019" s="52">
        <f>IF(OR(L1019="",P1019=""),"",IF(COUNTIFS(L$6:L1019,L1019,P$6:P1019,"?*")=1,MAX(AI$5:AI1018)+1,""))</f>
        <v/>
      </c>
    </row>
    <row r="1020">
      <c r="B1020" s="47" t="n"/>
      <c r="C1020" s="48" t="n"/>
      <c r="D1020" s="48" t="n"/>
      <c r="E1020" s="48" t="n"/>
      <c r="F1020" s="48" t="n"/>
      <c r="G1020" s="49" t="n"/>
      <c r="H1020" s="48" t="n"/>
      <c r="I1020" s="50" t="n"/>
      <c r="J1020" s="48" t="n"/>
      <c r="K1020" s="48" t="n"/>
      <c r="L1020" s="48" t="n"/>
      <c r="M1020" s="48" t="n"/>
      <c r="N1020" s="48" t="n"/>
      <c r="O1020" s="51">
        <f>IF(AND(B1020="",G1020="",C1020="",D1020="",J1020=""),"",IF(B1020="","⚠ Falta fecha",IF(G1020="","⚠ Falta monto",IF(Q1020="","⚠ Falta cuenta",IF(ISNA(MATCH(Q1020,ctaNombre,0)),"⚠ Cuenta no registrada",IF(AND(OR(P1020="Gasto",P1020="Reembolso"),D1020=""),"⚠ Falta categoría",IF(AND(D1020&lt;&gt;"",E1020&lt;&gt;"",ISNA(MATCH(D1020&amp;"|"&amp;E1020,catClave,0))),"⚠ Subcategoría no corresponde",IF(AND(OR(P1020="Transferencia",P1020="Pago tarjeta"),K1020=""),"⚠ Falta cuenta destino",IF(AND(K1020&lt;&gt;"",P1020&lt;&gt;"Transferencia",P1020&lt;&gt;"Pago tarjeta"),"⚠ Destino solo aplica a transferencias",IF(AND(K1020&lt;&gt;"",K1020=Q1020),"⚠ Origen igual a destino",IF(AND(K1020&lt;&gt;"",ISNA(MATCH(K1020,ctaNombre,0))),"⚠ Destino no registrado",IF(AND(P1020="Pago tarjeta",AE1020&lt;&gt;"Tarjeta de crédito"),"⚠ El destino debe ser tarjeta de crédito",IF(AND(P1020="Gasto",E1020="Depósitos y retiros"),"⚠ Usa tipo Transferencia",IF(AND(P1020="Resultado trading",AD1020&lt;&gt;"Cuenta de trading"),"⚠ Usa una cuenta de trading",IF(AND(G1020&lt;=0,P1020&lt;&gt;"Ajuste",P1020&lt;&gt;"Resultado trading"),"⚠ El monto debe ser positivo","✓")))))))))))))))</f>
        <v/>
      </c>
      <c r="P1020" s="52">
        <f>IF(OR(B1020="",G1020=""),"",IF(C1020="","Gasto",C1020))</f>
        <v/>
      </c>
      <c r="Q1020" s="52">
        <f>IF(P1020="","",IF(J1020&lt;&gt;"",J1020,CuentaPred&amp;""))</f>
        <v/>
      </c>
      <c r="R1020" s="52">
        <f>IF(P1020="","",IF(ISNUMBER(I1020),I1020,TasaUSD))</f>
        <v/>
      </c>
      <c r="S1020" s="53">
        <f>IF(P1020="","",IF(H1020="USD",G1020*R1020,G1020))</f>
        <v/>
      </c>
      <c r="T1020" s="53">
        <f>IF(P1020="","",IF(H1020="USD",G1020,IF(R1020&gt;0,G1020/R1020,0)))</f>
        <v/>
      </c>
      <c r="U1020" s="53">
        <f>IF(P1020="","",IF(P1020="Gasto",S1020,IF(P1020="Reembolso",-S1020,0)))</f>
        <v/>
      </c>
      <c r="V1020" s="53">
        <f>IF(P1020="","",IF(P1020="Ingreso",S1020,0))</f>
        <v/>
      </c>
      <c r="W1020" s="53">
        <f>IF(P1020="","",IF(P1020="Resultado trading",S1020,0))</f>
        <v/>
      </c>
      <c r="X1020" s="52">
        <f>IF(OR(P1020="Gasto",P1020="Reembolso"),IF(M1020&lt;&gt;"",M1020,IFERROR(INDEX(catClasif,MATCH(D1020&amp;"|"&amp;E1020,catClave,0))&amp;"","Variable")),"")</f>
        <v/>
      </c>
      <c r="Y1020" s="52">
        <f>IF(P1020="","",IFERROR(INDEX(catGrupo,MATCH(D1020&amp;"|"&amp;E1020,catClave,0))&amp;"",""))</f>
        <v/>
      </c>
      <c r="Z1020" s="52">
        <f>IF(P1020="","",WEEKDAY(B1020,2))</f>
        <v/>
      </c>
      <c r="AA1020" s="52">
        <f>IF(P1020="","",IF(AND(P1020="Gasto",X1020="Variable",D1020&lt;&gt;catTrading,S1020&gt;0,S1020&lt;=Umbral),1,0))</f>
        <v/>
      </c>
      <c r="AB1020" s="52">
        <f>IF(OR(P1020="",Q1020=""),"",IFERROR(IF(INDEX(ctaVinc,MATCH(Q1020,ctaNombre,0))&amp;""&lt;&gt;"",INDEX(ctaVinc,MATCH(Q1020,ctaNombre,0))&amp;"",Q1020),Q1020))</f>
        <v/>
      </c>
      <c r="AC1020" s="52">
        <f>IF(OR(K1020="",AND(P1020&lt;&gt;"Transferencia",P1020&lt;&gt;"Pago tarjeta")),"",IFERROR(IF(INDEX(ctaVinc,MATCH(K1020,ctaNombre,0))&amp;""&lt;&gt;"",INDEX(ctaVinc,MATCH(K1020,ctaNombre,0))&amp;"",K1020),K1020))</f>
        <v/>
      </c>
      <c r="AD1020" s="52">
        <f>IF(AB1020="","",IFERROR(INDEX(ctaTipo,MATCH(AB1020,ctaNombre,0))&amp;"",""))</f>
        <v/>
      </c>
      <c r="AE1020" s="52">
        <f>IF(AC1020="","",IFERROR(INDEX(ctaTipo,MATCH(AC1020,ctaNombre,0))&amp;"",""))</f>
        <v/>
      </c>
      <c r="AF1020" s="53">
        <f>IF(OR(P1020="",AB1020=""),"",IF(OR(P1020="Gasto",P1020="Transferencia",P1020="Pago tarjeta"),-1,1)*IF(IFERROR(INDEX(ctaMoneda,MATCH(AB1020,ctaNombre,0))&amp;"","DOP")="USD",T1020,S1020))</f>
        <v/>
      </c>
      <c r="AG1020" s="53">
        <f>IF(AC1020="","",IF(IFERROR(INDEX(ctaMoneda,MATCH(AC1020,ctaNombre,0))&amp;"","DOP")="USD",T1020,S1020))</f>
        <v/>
      </c>
      <c r="AH1020" s="53">
        <f>IF(P1020="","",IF(AND(AD1020&lt;&gt;"",COUNTIFS(tcTipo,AD1020,tcLiq,"Sí")&gt;0),IF(OR(P1020="Gasto",P1020="Transferencia",P1020="Pago tarjeta"),-1,1)*S1020,0)+IF(AND(AE1020&lt;&gt;"",COUNTIFS(tcTipo,AE1020,tcLiq,"Sí")&gt;0),S1020,0))</f>
        <v/>
      </c>
      <c r="AI1020" s="52">
        <f>IF(OR(L1020="",P1020=""),"",IF(COUNTIFS(L$6:L1020,L1020,P$6:P1020,"?*")=1,MAX(AI$5:AI1019)+1,""))</f>
        <v/>
      </c>
    </row>
    <row r="1021">
      <c r="B1021" s="47" t="n"/>
      <c r="C1021" s="48" t="n"/>
      <c r="D1021" s="48" t="n"/>
      <c r="E1021" s="48" t="n"/>
      <c r="F1021" s="48" t="n"/>
      <c r="G1021" s="49" t="n"/>
      <c r="H1021" s="48" t="n"/>
      <c r="I1021" s="50" t="n"/>
      <c r="J1021" s="48" t="n"/>
      <c r="K1021" s="48" t="n"/>
      <c r="L1021" s="48" t="n"/>
      <c r="M1021" s="48" t="n"/>
      <c r="N1021" s="48" t="n"/>
      <c r="O1021" s="51">
        <f>IF(AND(B1021="",G1021="",C1021="",D1021="",J1021=""),"",IF(B1021="","⚠ Falta fecha",IF(G1021="","⚠ Falta monto",IF(Q1021="","⚠ Falta cuenta",IF(ISNA(MATCH(Q1021,ctaNombre,0)),"⚠ Cuenta no registrada",IF(AND(OR(P1021="Gasto",P1021="Reembolso"),D1021=""),"⚠ Falta categoría",IF(AND(D1021&lt;&gt;"",E1021&lt;&gt;"",ISNA(MATCH(D1021&amp;"|"&amp;E1021,catClave,0))),"⚠ Subcategoría no corresponde",IF(AND(OR(P1021="Transferencia",P1021="Pago tarjeta"),K1021=""),"⚠ Falta cuenta destino",IF(AND(K1021&lt;&gt;"",P1021&lt;&gt;"Transferencia",P1021&lt;&gt;"Pago tarjeta"),"⚠ Destino solo aplica a transferencias",IF(AND(K1021&lt;&gt;"",K1021=Q1021),"⚠ Origen igual a destino",IF(AND(K1021&lt;&gt;"",ISNA(MATCH(K1021,ctaNombre,0))),"⚠ Destino no registrado",IF(AND(P1021="Pago tarjeta",AE1021&lt;&gt;"Tarjeta de crédito"),"⚠ El destino debe ser tarjeta de crédito",IF(AND(P1021="Gasto",E1021="Depósitos y retiros"),"⚠ Usa tipo Transferencia",IF(AND(P1021="Resultado trading",AD1021&lt;&gt;"Cuenta de trading"),"⚠ Usa una cuenta de trading",IF(AND(G1021&lt;=0,P1021&lt;&gt;"Ajuste",P1021&lt;&gt;"Resultado trading"),"⚠ El monto debe ser positivo","✓")))))))))))))))</f>
        <v/>
      </c>
      <c r="P1021" s="52">
        <f>IF(OR(B1021="",G1021=""),"",IF(C1021="","Gasto",C1021))</f>
        <v/>
      </c>
      <c r="Q1021" s="52">
        <f>IF(P1021="","",IF(J1021&lt;&gt;"",J1021,CuentaPred&amp;""))</f>
        <v/>
      </c>
      <c r="R1021" s="52">
        <f>IF(P1021="","",IF(ISNUMBER(I1021),I1021,TasaUSD))</f>
        <v/>
      </c>
      <c r="S1021" s="53">
        <f>IF(P1021="","",IF(H1021="USD",G1021*R1021,G1021))</f>
        <v/>
      </c>
      <c r="T1021" s="53">
        <f>IF(P1021="","",IF(H1021="USD",G1021,IF(R1021&gt;0,G1021/R1021,0)))</f>
        <v/>
      </c>
      <c r="U1021" s="53">
        <f>IF(P1021="","",IF(P1021="Gasto",S1021,IF(P1021="Reembolso",-S1021,0)))</f>
        <v/>
      </c>
      <c r="V1021" s="53">
        <f>IF(P1021="","",IF(P1021="Ingreso",S1021,0))</f>
        <v/>
      </c>
      <c r="W1021" s="53">
        <f>IF(P1021="","",IF(P1021="Resultado trading",S1021,0))</f>
        <v/>
      </c>
      <c r="X1021" s="52">
        <f>IF(OR(P1021="Gasto",P1021="Reembolso"),IF(M1021&lt;&gt;"",M1021,IFERROR(INDEX(catClasif,MATCH(D1021&amp;"|"&amp;E1021,catClave,0))&amp;"","Variable")),"")</f>
        <v/>
      </c>
      <c r="Y1021" s="52">
        <f>IF(P1021="","",IFERROR(INDEX(catGrupo,MATCH(D1021&amp;"|"&amp;E1021,catClave,0))&amp;"",""))</f>
        <v/>
      </c>
      <c r="Z1021" s="52">
        <f>IF(P1021="","",WEEKDAY(B1021,2))</f>
        <v/>
      </c>
      <c r="AA1021" s="52">
        <f>IF(P1021="","",IF(AND(P1021="Gasto",X1021="Variable",D1021&lt;&gt;catTrading,S1021&gt;0,S1021&lt;=Umbral),1,0))</f>
        <v/>
      </c>
      <c r="AB1021" s="52">
        <f>IF(OR(P1021="",Q1021=""),"",IFERROR(IF(INDEX(ctaVinc,MATCH(Q1021,ctaNombre,0))&amp;""&lt;&gt;"",INDEX(ctaVinc,MATCH(Q1021,ctaNombre,0))&amp;"",Q1021),Q1021))</f>
        <v/>
      </c>
      <c r="AC1021" s="52">
        <f>IF(OR(K1021="",AND(P1021&lt;&gt;"Transferencia",P1021&lt;&gt;"Pago tarjeta")),"",IFERROR(IF(INDEX(ctaVinc,MATCH(K1021,ctaNombre,0))&amp;""&lt;&gt;"",INDEX(ctaVinc,MATCH(K1021,ctaNombre,0))&amp;"",K1021),K1021))</f>
        <v/>
      </c>
      <c r="AD1021" s="52">
        <f>IF(AB1021="","",IFERROR(INDEX(ctaTipo,MATCH(AB1021,ctaNombre,0))&amp;"",""))</f>
        <v/>
      </c>
      <c r="AE1021" s="52">
        <f>IF(AC1021="","",IFERROR(INDEX(ctaTipo,MATCH(AC1021,ctaNombre,0))&amp;"",""))</f>
        <v/>
      </c>
      <c r="AF1021" s="53">
        <f>IF(OR(P1021="",AB1021=""),"",IF(OR(P1021="Gasto",P1021="Transferencia",P1021="Pago tarjeta"),-1,1)*IF(IFERROR(INDEX(ctaMoneda,MATCH(AB1021,ctaNombre,0))&amp;"","DOP")="USD",T1021,S1021))</f>
        <v/>
      </c>
      <c r="AG1021" s="53">
        <f>IF(AC1021="","",IF(IFERROR(INDEX(ctaMoneda,MATCH(AC1021,ctaNombre,0))&amp;"","DOP")="USD",T1021,S1021))</f>
        <v/>
      </c>
      <c r="AH1021" s="53">
        <f>IF(P1021="","",IF(AND(AD1021&lt;&gt;"",COUNTIFS(tcTipo,AD1021,tcLiq,"Sí")&gt;0),IF(OR(P1021="Gasto",P1021="Transferencia",P1021="Pago tarjeta"),-1,1)*S1021,0)+IF(AND(AE1021&lt;&gt;"",COUNTIFS(tcTipo,AE1021,tcLiq,"Sí")&gt;0),S1021,0))</f>
        <v/>
      </c>
      <c r="AI1021" s="52">
        <f>IF(OR(L1021="",P1021=""),"",IF(COUNTIFS(L$6:L1021,L1021,P$6:P1021,"?*")=1,MAX(AI$5:AI1020)+1,""))</f>
        <v/>
      </c>
    </row>
    <row r="1022">
      <c r="B1022" s="47" t="n"/>
      <c r="C1022" s="48" t="n"/>
      <c r="D1022" s="48" t="n"/>
      <c r="E1022" s="48" t="n"/>
      <c r="F1022" s="48" t="n"/>
      <c r="G1022" s="49" t="n"/>
      <c r="H1022" s="48" t="n"/>
      <c r="I1022" s="50" t="n"/>
      <c r="J1022" s="48" t="n"/>
      <c r="K1022" s="48" t="n"/>
      <c r="L1022" s="48" t="n"/>
      <c r="M1022" s="48" t="n"/>
      <c r="N1022" s="48" t="n"/>
      <c r="O1022" s="51">
        <f>IF(AND(B1022="",G1022="",C1022="",D1022="",J1022=""),"",IF(B1022="","⚠ Falta fecha",IF(G1022="","⚠ Falta monto",IF(Q1022="","⚠ Falta cuenta",IF(ISNA(MATCH(Q1022,ctaNombre,0)),"⚠ Cuenta no registrada",IF(AND(OR(P1022="Gasto",P1022="Reembolso"),D1022=""),"⚠ Falta categoría",IF(AND(D1022&lt;&gt;"",E1022&lt;&gt;"",ISNA(MATCH(D1022&amp;"|"&amp;E1022,catClave,0))),"⚠ Subcategoría no corresponde",IF(AND(OR(P1022="Transferencia",P1022="Pago tarjeta"),K1022=""),"⚠ Falta cuenta destino",IF(AND(K1022&lt;&gt;"",P1022&lt;&gt;"Transferencia",P1022&lt;&gt;"Pago tarjeta"),"⚠ Destino solo aplica a transferencias",IF(AND(K1022&lt;&gt;"",K1022=Q1022),"⚠ Origen igual a destino",IF(AND(K1022&lt;&gt;"",ISNA(MATCH(K1022,ctaNombre,0))),"⚠ Destino no registrado",IF(AND(P1022="Pago tarjeta",AE1022&lt;&gt;"Tarjeta de crédito"),"⚠ El destino debe ser tarjeta de crédito",IF(AND(P1022="Gasto",E1022="Depósitos y retiros"),"⚠ Usa tipo Transferencia",IF(AND(P1022="Resultado trading",AD1022&lt;&gt;"Cuenta de trading"),"⚠ Usa una cuenta de trading",IF(AND(G1022&lt;=0,P1022&lt;&gt;"Ajuste",P1022&lt;&gt;"Resultado trading"),"⚠ El monto debe ser positivo","✓")))))))))))))))</f>
        <v/>
      </c>
      <c r="P1022" s="52">
        <f>IF(OR(B1022="",G1022=""),"",IF(C1022="","Gasto",C1022))</f>
        <v/>
      </c>
      <c r="Q1022" s="52">
        <f>IF(P1022="","",IF(J1022&lt;&gt;"",J1022,CuentaPred&amp;""))</f>
        <v/>
      </c>
      <c r="R1022" s="52">
        <f>IF(P1022="","",IF(ISNUMBER(I1022),I1022,TasaUSD))</f>
        <v/>
      </c>
      <c r="S1022" s="53">
        <f>IF(P1022="","",IF(H1022="USD",G1022*R1022,G1022))</f>
        <v/>
      </c>
      <c r="T1022" s="53">
        <f>IF(P1022="","",IF(H1022="USD",G1022,IF(R1022&gt;0,G1022/R1022,0)))</f>
        <v/>
      </c>
      <c r="U1022" s="53">
        <f>IF(P1022="","",IF(P1022="Gasto",S1022,IF(P1022="Reembolso",-S1022,0)))</f>
        <v/>
      </c>
      <c r="V1022" s="53">
        <f>IF(P1022="","",IF(P1022="Ingreso",S1022,0))</f>
        <v/>
      </c>
      <c r="W1022" s="53">
        <f>IF(P1022="","",IF(P1022="Resultado trading",S1022,0))</f>
        <v/>
      </c>
      <c r="X1022" s="52">
        <f>IF(OR(P1022="Gasto",P1022="Reembolso"),IF(M1022&lt;&gt;"",M1022,IFERROR(INDEX(catClasif,MATCH(D1022&amp;"|"&amp;E1022,catClave,0))&amp;"","Variable")),"")</f>
        <v/>
      </c>
      <c r="Y1022" s="52">
        <f>IF(P1022="","",IFERROR(INDEX(catGrupo,MATCH(D1022&amp;"|"&amp;E1022,catClave,0))&amp;"",""))</f>
        <v/>
      </c>
      <c r="Z1022" s="52">
        <f>IF(P1022="","",WEEKDAY(B1022,2))</f>
        <v/>
      </c>
      <c r="AA1022" s="52">
        <f>IF(P1022="","",IF(AND(P1022="Gasto",X1022="Variable",D1022&lt;&gt;catTrading,S1022&gt;0,S1022&lt;=Umbral),1,0))</f>
        <v/>
      </c>
      <c r="AB1022" s="52">
        <f>IF(OR(P1022="",Q1022=""),"",IFERROR(IF(INDEX(ctaVinc,MATCH(Q1022,ctaNombre,0))&amp;""&lt;&gt;"",INDEX(ctaVinc,MATCH(Q1022,ctaNombre,0))&amp;"",Q1022),Q1022))</f>
        <v/>
      </c>
      <c r="AC1022" s="52">
        <f>IF(OR(K1022="",AND(P1022&lt;&gt;"Transferencia",P1022&lt;&gt;"Pago tarjeta")),"",IFERROR(IF(INDEX(ctaVinc,MATCH(K1022,ctaNombre,0))&amp;""&lt;&gt;"",INDEX(ctaVinc,MATCH(K1022,ctaNombre,0))&amp;"",K1022),K1022))</f>
        <v/>
      </c>
      <c r="AD1022" s="52">
        <f>IF(AB1022="","",IFERROR(INDEX(ctaTipo,MATCH(AB1022,ctaNombre,0))&amp;"",""))</f>
        <v/>
      </c>
      <c r="AE1022" s="52">
        <f>IF(AC1022="","",IFERROR(INDEX(ctaTipo,MATCH(AC1022,ctaNombre,0))&amp;"",""))</f>
        <v/>
      </c>
      <c r="AF1022" s="53">
        <f>IF(OR(P1022="",AB1022=""),"",IF(OR(P1022="Gasto",P1022="Transferencia",P1022="Pago tarjeta"),-1,1)*IF(IFERROR(INDEX(ctaMoneda,MATCH(AB1022,ctaNombre,0))&amp;"","DOP")="USD",T1022,S1022))</f>
        <v/>
      </c>
      <c r="AG1022" s="53">
        <f>IF(AC1022="","",IF(IFERROR(INDEX(ctaMoneda,MATCH(AC1022,ctaNombre,0))&amp;"","DOP")="USD",T1022,S1022))</f>
        <v/>
      </c>
      <c r="AH1022" s="53">
        <f>IF(P1022="","",IF(AND(AD1022&lt;&gt;"",COUNTIFS(tcTipo,AD1022,tcLiq,"Sí")&gt;0),IF(OR(P1022="Gasto",P1022="Transferencia",P1022="Pago tarjeta"),-1,1)*S1022,0)+IF(AND(AE1022&lt;&gt;"",COUNTIFS(tcTipo,AE1022,tcLiq,"Sí")&gt;0),S1022,0))</f>
        <v/>
      </c>
      <c r="AI1022" s="52">
        <f>IF(OR(L1022="",P1022=""),"",IF(COUNTIFS(L$6:L1022,L1022,P$6:P1022,"?*")=1,MAX(AI$5:AI1021)+1,""))</f>
        <v/>
      </c>
    </row>
    <row r="1023">
      <c r="B1023" s="47" t="n"/>
      <c r="C1023" s="48" t="n"/>
      <c r="D1023" s="48" t="n"/>
      <c r="E1023" s="48" t="n"/>
      <c r="F1023" s="48" t="n"/>
      <c r="G1023" s="49" t="n"/>
      <c r="H1023" s="48" t="n"/>
      <c r="I1023" s="50" t="n"/>
      <c r="J1023" s="48" t="n"/>
      <c r="K1023" s="48" t="n"/>
      <c r="L1023" s="48" t="n"/>
      <c r="M1023" s="48" t="n"/>
      <c r="N1023" s="48" t="n"/>
      <c r="O1023" s="51">
        <f>IF(AND(B1023="",G1023="",C1023="",D1023="",J1023=""),"",IF(B1023="","⚠ Falta fecha",IF(G1023="","⚠ Falta monto",IF(Q1023="","⚠ Falta cuenta",IF(ISNA(MATCH(Q1023,ctaNombre,0)),"⚠ Cuenta no registrada",IF(AND(OR(P1023="Gasto",P1023="Reembolso"),D1023=""),"⚠ Falta categoría",IF(AND(D1023&lt;&gt;"",E1023&lt;&gt;"",ISNA(MATCH(D1023&amp;"|"&amp;E1023,catClave,0))),"⚠ Subcategoría no corresponde",IF(AND(OR(P1023="Transferencia",P1023="Pago tarjeta"),K1023=""),"⚠ Falta cuenta destino",IF(AND(K1023&lt;&gt;"",P1023&lt;&gt;"Transferencia",P1023&lt;&gt;"Pago tarjeta"),"⚠ Destino solo aplica a transferencias",IF(AND(K1023&lt;&gt;"",K1023=Q1023),"⚠ Origen igual a destino",IF(AND(K1023&lt;&gt;"",ISNA(MATCH(K1023,ctaNombre,0))),"⚠ Destino no registrado",IF(AND(P1023="Pago tarjeta",AE1023&lt;&gt;"Tarjeta de crédito"),"⚠ El destino debe ser tarjeta de crédito",IF(AND(P1023="Gasto",E1023="Depósitos y retiros"),"⚠ Usa tipo Transferencia",IF(AND(P1023="Resultado trading",AD1023&lt;&gt;"Cuenta de trading"),"⚠ Usa una cuenta de trading",IF(AND(G1023&lt;=0,P1023&lt;&gt;"Ajuste",P1023&lt;&gt;"Resultado trading"),"⚠ El monto debe ser positivo","✓")))))))))))))))</f>
        <v/>
      </c>
      <c r="P1023" s="52">
        <f>IF(OR(B1023="",G1023=""),"",IF(C1023="","Gasto",C1023))</f>
        <v/>
      </c>
      <c r="Q1023" s="52">
        <f>IF(P1023="","",IF(J1023&lt;&gt;"",J1023,CuentaPred&amp;""))</f>
        <v/>
      </c>
      <c r="R1023" s="52">
        <f>IF(P1023="","",IF(ISNUMBER(I1023),I1023,TasaUSD))</f>
        <v/>
      </c>
      <c r="S1023" s="53">
        <f>IF(P1023="","",IF(H1023="USD",G1023*R1023,G1023))</f>
        <v/>
      </c>
      <c r="T1023" s="53">
        <f>IF(P1023="","",IF(H1023="USD",G1023,IF(R1023&gt;0,G1023/R1023,0)))</f>
        <v/>
      </c>
      <c r="U1023" s="53">
        <f>IF(P1023="","",IF(P1023="Gasto",S1023,IF(P1023="Reembolso",-S1023,0)))</f>
        <v/>
      </c>
      <c r="V1023" s="53">
        <f>IF(P1023="","",IF(P1023="Ingreso",S1023,0))</f>
        <v/>
      </c>
      <c r="W1023" s="53">
        <f>IF(P1023="","",IF(P1023="Resultado trading",S1023,0))</f>
        <v/>
      </c>
      <c r="X1023" s="52">
        <f>IF(OR(P1023="Gasto",P1023="Reembolso"),IF(M1023&lt;&gt;"",M1023,IFERROR(INDEX(catClasif,MATCH(D1023&amp;"|"&amp;E1023,catClave,0))&amp;"","Variable")),"")</f>
        <v/>
      </c>
      <c r="Y1023" s="52">
        <f>IF(P1023="","",IFERROR(INDEX(catGrupo,MATCH(D1023&amp;"|"&amp;E1023,catClave,0))&amp;"",""))</f>
        <v/>
      </c>
      <c r="Z1023" s="52">
        <f>IF(P1023="","",WEEKDAY(B1023,2))</f>
        <v/>
      </c>
      <c r="AA1023" s="52">
        <f>IF(P1023="","",IF(AND(P1023="Gasto",X1023="Variable",D1023&lt;&gt;catTrading,S1023&gt;0,S1023&lt;=Umbral),1,0))</f>
        <v/>
      </c>
      <c r="AB1023" s="52">
        <f>IF(OR(P1023="",Q1023=""),"",IFERROR(IF(INDEX(ctaVinc,MATCH(Q1023,ctaNombre,0))&amp;""&lt;&gt;"",INDEX(ctaVinc,MATCH(Q1023,ctaNombre,0))&amp;"",Q1023),Q1023))</f>
        <v/>
      </c>
      <c r="AC1023" s="52">
        <f>IF(OR(K1023="",AND(P1023&lt;&gt;"Transferencia",P1023&lt;&gt;"Pago tarjeta")),"",IFERROR(IF(INDEX(ctaVinc,MATCH(K1023,ctaNombre,0))&amp;""&lt;&gt;"",INDEX(ctaVinc,MATCH(K1023,ctaNombre,0))&amp;"",K1023),K1023))</f>
        <v/>
      </c>
      <c r="AD1023" s="52">
        <f>IF(AB1023="","",IFERROR(INDEX(ctaTipo,MATCH(AB1023,ctaNombre,0))&amp;"",""))</f>
        <v/>
      </c>
      <c r="AE1023" s="52">
        <f>IF(AC1023="","",IFERROR(INDEX(ctaTipo,MATCH(AC1023,ctaNombre,0))&amp;"",""))</f>
        <v/>
      </c>
      <c r="AF1023" s="53">
        <f>IF(OR(P1023="",AB1023=""),"",IF(OR(P1023="Gasto",P1023="Transferencia",P1023="Pago tarjeta"),-1,1)*IF(IFERROR(INDEX(ctaMoneda,MATCH(AB1023,ctaNombre,0))&amp;"","DOP")="USD",T1023,S1023))</f>
        <v/>
      </c>
      <c r="AG1023" s="53">
        <f>IF(AC1023="","",IF(IFERROR(INDEX(ctaMoneda,MATCH(AC1023,ctaNombre,0))&amp;"","DOP")="USD",T1023,S1023))</f>
        <v/>
      </c>
      <c r="AH1023" s="53">
        <f>IF(P1023="","",IF(AND(AD1023&lt;&gt;"",COUNTIFS(tcTipo,AD1023,tcLiq,"Sí")&gt;0),IF(OR(P1023="Gasto",P1023="Transferencia",P1023="Pago tarjeta"),-1,1)*S1023,0)+IF(AND(AE1023&lt;&gt;"",COUNTIFS(tcTipo,AE1023,tcLiq,"Sí")&gt;0),S1023,0))</f>
        <v/>
      </c>
      <c r="AI1023" s="52">
        <f>IF(OR(L1023="",P1023=""),"",IF(COUNTIFS(L$6:L1023,L1023,P$6:P1023,"?*")=1,MAX(AI$5:AI1022)+1,""))</f>
        <v/>
      </c>
    </row>
    <row r="1024">
      <c r="B1024" s="47" t="n"/>
      <c r="C1024" s="48" t="n"/>
      <c r="D1024" s="48" t="n"/>
      <c r="E1024" s="48" t="n"/>
      <c r="F1024" s="48" t="n"/>
      <c r="G1024" s="49" t="n"/>
      <c r="H1024" s="48" t="n"/>
      <c r="I1024" s="50" t="n"/>
      <c r="J1024" s="48" t="n"/>
      <c r="K1024" s="48" t="n"/>
      <c r="L1024" s="48" t="n"/>
      <c r="M1024" s="48" t="n"/>
      <c r="N1024" s="48" t="n"/>
      <c r="O1024" s="51">
        <f>IF(AND(B1024="",G1024="",C1024="",D1024="",J1024=""),"",IF(B1024="","⚠ Falta fecha",IF(G1024="","⚠ Falta monto",IF(Q1024="","⚠ Falta cuenta",IF(ISNA(MATCH(Q1024,ctaNombre,0)),"⚠ Cuenta no registrada",IF(AND(OR(P1024="Gasto",P1024="Reembolso"),D1024=""),"⚠ Falta categoría",IF(AND(D1024&lt;&gt;"",E1024&lt;&gt;"",ISNA(MATCH(D1024&amp;"|"&amp;E1024,catClave,0))),"⚠ Subcategoría no corresponde",IF(AND(OR(P1024="Transferencia",P1024="Pago tarjeta"),K1024=""),"⚠ Falta cuenta destino",IF(AND(K1024&lt;&gt;"",P1024&lt;&gt;"Transferencia",P1024&lt;&gt;"Pago tarjeta"),"⚠ Destino solo aplica a transferencias",IF(AND(K1024&lt;&gt;"",K1024=Q1024),"⚠ Origen igual a destino",IF(AND(K1024&lt;&gt;"",ISNA(MATCH(K1024,ctaNombre,0))),"⚠ Destino no registrado",IF(AND(P1024="Pago tarjeta",AE1024&lt;&gt;"Tarjeta de crédito"),"⚠ El destino debe ser tarjeta de crédito",IF(AND(P1024="Gasto",E1024="Depósitos y retiros"),"⚠ Usa tipo Transferencia",IF(AND(P1024="Resultado trading",AD1024&lt;&gt;"Cuenta de trading"),"⚠ Usa una cuenta de trading",IF(AND(G1024&lt;=0,P1024&lt;&gt;"Ajuste",P1024&lt;&gt;"Resultado trading"),"⚠ El monto debe ser positivo","✓")))))))))))))))</f>
        <v/>
      </c>
      <c r="P1024" s="52">
        <f>IF(OR(B1024="",G1024=""),"",IF(C1024="","Gasto",C1024))</f>
        <v/>
      </c>
      <c r="Q1024" s="52">
        <f>IF(P1024="","",IF(J1024&lt;&gt;"",J1024,CuentaPred&amp;""))</f>
        <v/>
      </c>
      <c r="R1024" s="52">
        <f>IF(P1024="","",IF(ISNUMBER(I1024),I1024,TasaUSD))</f>
        <v/>
      </c>
      <c r="S1024" s="53">
        <f>IF(P1024="","",IF(H1024="USD",G1024*R1024,G1024))</f>
        <v/>
      </c>
      <c r="T1024" s="53">
        <f>IF(P1024="","",IF(H1024="USD",G1024,IF(R1024&gt;0,G1024/R1024,0)))</f>
        <v/>
      </c>
      <c r="U1024" s="53">
        <f>IF(P1024="","",IF(P1024="Gasto",S1024,IF(P1024="Reembolso",-S1024,0)))</f>
        <v/>
      </c>
      <c r="V1024" s="53">
        <f>IF(P1024="","",IF(P1024="Ingreso",S1024,0))</f>
        <v/>
      </c>
      <c r="W1024" s="53">
        <f>IF(P1024="","",IF(P1024="Resultado trading",S1024,0))</f>
        <v/>
      </c>
      <c r="X1024" s="52">
        <f>IF(OR(P1024="Gasto",P1024="Reembolso"),IF(M1024&lt;&gt;"",M1024,IFERROR(INDEX(catClasif,MATCH(D1024&amp;"|"&amp;E1024,catClave,0))&amp;"","Variable")),"")</f>
        <v/>
      </c>
      <c r="Y1024" s="52">
        <f>IF(P1024="","",IFERROR(INDEX(catGrupo,MATCH(D1024&amp;"|"&amp;E1024,catClave,0))&amp;"",""))</f>
        <v/>
      </c>
      <c r="Z1024" s="52">
        <f>IF(P1024="","",WEEKDAY(B1024,2))</f>
        <v/>
      </c>
      <c r="AA1024" s="52">
        <f>IF(P1024="","",IF(AND(P1024="Gasto",X1024="Variable",D1024&lt;&gt;catTrading,S1024&gt;0,S1024&lt;=Umbral),1,0))</f>
        <v/>
      </c>
      <c r="AB1024" s="52">
        <f>IF(OR(P1024="",Q1024=""),"",IFERROR(IF(INDEX(ctaVinc,MATCH(Q1024,ctaNombre,0))&amp;""&lt;&gt;"",INDEX(ctaVinc,MATCH(Q1024,ctaNombre,0))&amp;"",Q1024),Q1024))</f>
        <v/>
      </c>
      <c r="AC1024" s="52">
        <f>IF(OR(K1024="",AND(P1024&lt;&gt;"Transferencia",P1024&lt;&gt;"Pago tarjeta")),"",IFERROR(IF(INDEX(ctaVinc,MATCH(K1024,ctaNombre,0))&amp;""&lt;&gt;"",INDEX(ctaVinc,MATCH(K1024,ctaNombre,0))&amp;"",K1024),K1024))</f>
        <v/>
      </c>
      <c r="AD1024" s="52">
        <f>IF(AB1024="","",IFERROR(INDEX(ctaTipo,MATCH(AB1024,ctaNombre,0))&amp;"",""))</f>
        <v/>
      </c>
      <c r="AE1024" s="52">
        <f>IF(AC1024="","",IFERROR(INDEX(ctaTipo,MATCH(AC1024,ctaNombre,0))&amp;"",""))</f>
        <v/>
      </c>
      <c r="AF1024" s="53">
        <f>IF(OR(P1024="",AB1024=""),"",IF(OR(P1024="Gasto",P1024="Transferencia",P1024="Pago tarjeta"),-1,1)*IF(IFERROR(INDEX(ctaMoneda,MATCH(AB1024,ctaNombre,0))&amp;"","DOP")="USD",T1024,S1024))</f>
        <v/>
      </c>
      <c r="AG1024" s="53">
        <f>IF(AC1024="","",IF(IFERROR(INDEX(ctaMoneda,MATCH(AC1024,ctaNombre,0))&amp;"","DOP")="USD",T1024,S1024))</f>
        <v/>
      </c>
      <c r="AH1024" s="53">
        <f>IF(P1024="","",IF(AND(AD1024&lt;&gt;"",COUNTIFS(tcTipo,AD1024,tcLiq,"Sí")&gt;0),IF(OR(P1024="Gasto",P1024="Transferencia",P1024="Pago tarjeta"),-1,1)*S1024,0)+IF(AND(AE1024&lt;&gt;"",COUNTIFS(tcTipo,AE1024,tcLiq,"Sí")&gt;0),S1024,0))</f>
        <v/>
      </c>
      <c r="AI1024" s="52">
        <f>IF(OR(L1024="",P1024=""),"",IF(COUNTIFS(L$6:L1024,L1024,P$6:P1024,"?*")=1,MAX(AI$5:AI1023)+1,""))</f>
        <v/>
      </c>
    </row>
    <row r="1025">
      <c r="B1025" s="47" t="n"/>
      <c r="C1025" s="48" t="n"/>
      <c r="D1025" s="48" t="n"/>
      <c r="E1025" s="48" t="n"/>
      <c r="F1025" s="48" t="n"/>
      <c r="G1025" s="49" t="n"/>
      <c r="H1025" s="48" t="n"/>
      <c r="I1025" s="50" t="n"/>
      <c r="J1025" s="48" t="n"/>
      <c r="K1025" s="48" t="n"/>
      <c r="L1025" s="48" t="n"/>
      <c r="M1025" s="48" t="n"/>
      <c r="N1025" s="48" t="n"/>
      <c r="O1025" s="51">
        <f>IF(AND(B1025="",G1025="",C1025="",D1025="",J1025=""),"",IF(B1025="","⚠ Falta fecha",IF(G1025="","⚠ Falta monto",IF(Q1025="","⚠ Falta cuenta",IF(ISNA(MATCH(Q1025,ctaNombre,0)),"⚠ Cuenta no registrada",IF(AND(OR(P1025="Gasto",P1025="Reembolso"),D1025=""),"⚠ Falta categoría",IF(AND(D1025&lt;&gt;"",E1025&lt;&gt;"",ISNA(MATCH(D1025&amp;"|"&amp;E1025,catClave,0))),"⚠ Subcategoría no corresponde",IF(AND(OR(P1025="Transferencia",P1025="Pago tarjeta"),K1025=""),"⚠ Falta cuenta destino",IF(AND(K1025&lt;&gt;"",P1025&lt;&gt;"Transferencia",P1025&lt;&gt;"Pago tarjeta"),"⚠ Destino solo aplica a transferencias",IF(AND(K1025&lt;&gt;"",K1025=Q1025),"⚠ Origen igual a destino",IF(AND(K1025&lt;&gt;"",ISNA(MATCH(K1025,ctaNombre,0))),"⚠ Destino no registrado",IF(AND(P1025="Pago tarjeta",AE1025&lt;&gt;"Tarjeta de crédito"),"⚠ El destino debe ser tarjeta de crédito",IF(AND(P1025="Gasto",E1025="Depósitos y retiros"),"⚠ Usa tipo Transferencia",IF(AND(P1025="Resultado trading",AD1025&lt;&gt;"Cuenta de trading"),"⚠ Usa una cuenta de trading",IF(AND(G1025&lt;=0,P1025&lt;&gt;"Ajuste",P1025&lt;&gt;"Resultado trading"),"⚠ El monto debe ser positivo","✓")))))))))))))))</f>
        <v/>
      </c>
      <c r="P1025" s="52">
        <f>IF(OR(B1025="",G1025=""),"",IF(C1025="","Gasto",C1025))</f>
        <v/>
      </c>
      <c r="Q1025" s="52">
        <f>IF(P1025="","",IF(J1025&lt;&gt;"",J1025,CuentaPred&amp;""))</f>
        <v/>
      </c>
      <c r="R1025" s="52">
        <f>IF(P1025="","",IF(ISNUMBER(I1025),I1025,TasaUSD))</f>
        <v/>
      </c>
      <c r="S1025" s="53">
        <f>IF(P1025="","",IF(H1025="USD",G1025*R1025,G1025))</f>
        <v/>
      </c>
      <c r="T1025" s="53">
        <f>IF(P1025="","",IF(H1025="USD",G1025,IF(R1025&gt;0,G1025/R1025,0)))</f>
        <v/>
      </c>
      <c r="U1025" s="53">
        <f>IF(P1025="","",IF(P1025="Gasto",S1025,IF(P1025="Reembolso",-S1025,0)))</f>
        <v/>
      </c>
      <c r="V1025" s="53">
        <f>IF(P1025="","",IF(P1025="Ingreso",S1025,0))</f>
        <v/>
      </c>
      <c r="W1025" s="53">
        <f>IF(P1025="","",IF(P1025="Resultado trading",S1025,0))</f>
        <v/>
      </c>
      <c r="X1025" s="52">
        <f>IF(OR(P1025="Gasto",P1025="Reembolso"),IF(M1025&lt;&gt;"",M1025,IFERROR(INDEX(catClasif,MATCH(D1025&amp;"|"&amp;E1025,catClave,0))&amp;"","Variable")),"")</f>
        <v/>
      </c>
      <c r="Y1025" s="52">
        <f>IF(P1025="","",IFERROR(INDEX(catGrupo,MATCH(D1025&amp;"|"&amp;E1025,catClave,0))&amp;"",""))</f>
        <v/>
      </c>
      <c r="Z1025" s="52">
        <f>IF(P1025="","",WEEKDAY(B1025,2))</f>
        <v/>
      </c>
      <c r="AA1025" s="52">
        <f>IF(P1025="","",IF(AND(P1025="Gasto",X1025="Variable",D1025&lt;&gt;catTrading,S1025&gt;0,S1025&lt;=Umbral),1,0))</f>
        <v/>
      </c>
      <c r="AB1025" s="52">
        <f>IF(OR(P1025="",Q1025=""),"",IFERROR(IF(INDEX(ctaVinc,MATCH(Q1025,ctaNombre,0))&amp;""&lt;&gt;"",INDEX(ctaVinc,MATCH(Q1025,ctaNombre,0))&amp;"",Q1025),Q1025))</f>
        <v/>
      </c>
      <c r="AC1025" s="52">
        <f>IF(OR(K1025="",AND(P1025&lt;&gt;"Transferencia",P1025&lt;&gt;"Pago tarjeta")),"",IFERROR(IF(INDEX(ctaVinc,MATCH(K1025,ctaNombre,0))&amp;""&lt;&gt;"",INDEX(ctaVinc,MATCH(K1025,ctaNombre,0))&amp;"",K1025),K1025))</f>
        <v/>
      </c>
      <c r="AD1025" s="52">
        <f>IF(AB1025="","",IFERROR(INDEX(ctaTipo,MATCH(AB1025,ctaNombre,0))&amp;"",""))</f>
        <v/>
      </c>
      <c r="AE1025" s="52">
        <f>IF(AC1025="","",IFERROR(INDEX(ctaTipo,MATCH(AC1025,ctaNombre,0))&amp;"",""))</f>
        <v/>
      </c>
      <c r="AF1025" s="53">
        <f>IF(OR(P1025="",AB1025=""),"",IF(OR(P1025="Gasto",P1025="Transferencia",P1025="Pago tarjeta"),-1,1)*IF(IFERROR(INDEX(ctaMoneda,MATCH(AB1025,ctaNombre,0))&amp;"","DOP")="USD",T1025,S1025))</f>
        <v/>
      </c>
      <c r="AG1025" s="53">
        <f>IF(AC1025="","",IF(IFERROR(INDEX(ctaMoneda,MATCH(AC1025,ctaNombre,0))&amp;"","DOP")="USD",T1025,S1025))</f>
        <v/>
      </c>
      <c r="AH1025" s="53">
        <f>IF(P1025="","",IF(AND(AD1025&lt;&gt;"",COUNTIFS(tcTipo,AD1025,tcLiq,"Sí")&gt;0),IF(OR(P1025="Gasto",P1025="Transferencia",P1025="Pago tarjeta"),-1,1)*S1025,0)+IF(AND(AE1025&lt;&gt;"",COUNTIFS(tcTipo,AE1025,tcLiq,"Sí")&gt;0),S1025,0))</f>
        <v/>
      </c>
      <c r="AI1025" s="52">
        <f>IF(OR(L1025="",P1025=""),"",IF(COUNTIFS(L$6:L1025,L1025,P$6:P1025,"?*")=1,MAX(AI$5:AI1024)+1,""))</f>
        <v/>
      </c>
    </row>
    <row r="1026">
      <c r="B1026" s="47" t="n"/>
      <c r="C1026" s="48" t="n"/>
      <c r="D1026" s="48" t="n"/>
      <c r="E1026" s="48" t="n"/>
      <c r="F1026" s="48" t="n"/>
      <c r="G1026" s="49" t="n"/>
      <c r="H1026" s="48" t="n"/>
      <c r="I1026" s="50" t="n"/>
      <c r="J1026" s="48" t="n"/>
      <c r="K1026" s="48" t="n"/>
      <c r="L1026" s="48" t="n"/>
      <c r="M1026" s="48" t="n"/>
      <c r="N1026" s="48" t="n"/>
      <c r="O1026" s="51">
        <f>IF(AND(B1026="",G1026="",C1026="",D1026="",J1026=""),"",IF(B1026="","⚠ Falta fecha",IF(G1026="","⚠ Falta monto",IF(Q1026="","⚠ Falta cuenta",IF(ISNA(MATCH(Q1026,ctaNombre,0)),"⚠ Cuenta no registrada",IF(AND(OR(P1026="Gasto",P1026="Reembolso"),D1026=""),"⚠ Falta categoría",IF(AND(D1026&lt;&gt;"",E1026&lt;&gt;"",ISNA(MATCH(D1026&amp;"|"&amp;E1026,catClave,0))),"⚠ Subcategoría no corresponde",IF(AND(OR(P1026="Transferencia",P1026="Pago tarjeta"),K1026=""),"⚠ Falta cuenta destino",IF(AND(K1026&lt;&gt;"",P1026&lt;&gt;"Transferencia",P1026&lt;&gt;"Pago tarjeta"),"⚠ Destino solo aplica a transferencias",IF(AND(K1026&lt;&gt;"",K1026=Q1026),"⚠ Origen igual a destino",IF(AND(K1026&lt;&gt;"",ISNA(MATCH(K1026,ctaNombre,0))),"⚠ Destino no registrado",IF(AND(P1026="Pago tarjeta",AE1026&lt;&gt;"Tarjeta de crédito"),"⚠ El destino debe ser tarjeta de crédito",IF(AND(P1026="Gasto",E1026="Depósitos y retiros"),"⚠ Usa tipo Transferencia",IF(AND(P1026="Resultado trading",AD1026&lt;&gt;"Cuenta de trading"),"⚠ Usa una cuenta de trading",IF(AND(G1026&lt;=0,P1026&lt;&gt;"Ajuste",P1026&lt;&gt;"Resultado trading"),"⚠ El monto debe ser positivo","✓")))))))))))))))</f>
        <v/>
      </c>
      <c r="P1026" s="52">
        <f>IF(OR(B1026="",G1026=""),"",IF(C1026="","Gasto",C1026))</f>
        <v/>
      </c>
      <c r="Q1026" s="52">
        <f>IF(P1026="","",IF(J1026&lt;&gt;"",J1026,CuentaPred&amp;""))</f>
        <v/>
      </c>
      <c r="R1026" s="52">
        <f>IF(P1026="","",IF(ISNUMBER(I1026),I1026,TasaUSD))</f>
        <v/>
      </c>
      <c r="S1026" s="53">
        <f>IF(P1026="","",IF(H1026="USD",G1026*R1026,G1026))</f>
        <v/>
      </c>
      <c r="T1026" s="53">
        <f>IF(P1026="","",IF(H1026="USD",G1026,IF(R1026&gt;0,G1026/R1026,0)))</f>
        <v/>
      </c>
      <c r="U1026" s="53">
        <f>IF(P1026="","",IF(P1026="Gasto",S1026,IF(P1026="Reembolso",-S1026,0)))</f>
        <v/>
      </c>
      <c r="V1026" s="53">
        <f>IF(P1026="","",IF(P1026="Ingreso",S1026,0))</f>
        <v/>
      </c>
      <c r="W1026" s="53">
        <f>IF(P1026="","",IF(P1026="Resultado trading",S1026,0))</f>
        <v/>
      </c>
      <c r="X1026" s="52">
        <f>IF(OR(P1026="Gasto",P1026="Reembolso"),IF(M1026&lt;&gt;"",M1026,IFERROR(INDEX(catClasif,MATCH(D1026&amp;"|"&amp;E1026,catClave,0))&amp;"","Variable")),"")</f>
        <v/>
      </c>
      <c r="Y1026" s="52">
        <f>IF(P1026="","",IFERROR(INDEX(catGrupo,MATCH(D1026&amp;"|"&amp;E1026,catClave,0))&amp;"",""))</f>
        <v/>
      </c>
      <c r="Z1026" s="52">
        <f>IF(P1026="","",WEEKDAY(B1026,2))</f>
        <v/>
      </c>
      <c r="AA1026" s="52">
        <f>IF(P1026="","",IF(AND(P1026="Gasto",X1026="Variable",D1026&lt;&gt;catTrading,S1026&gt;0,S1026&lt;=Umbral),1,0))</f>
        <v/>
      </c>
      <c r="AB1026" s="52">
        <f>IF(OR(P1026="",Q1026=""),"",IFERROR(IF(INDEX(ctaVinc,MATCH(Q1026,ctaNombre,0))&amp;""&lt;&gt;"",INDEX(ctaVinc,MATCH(Q1026,ctaNombre,0))&amp;"",Q1026),Q1026))</f>
        <v/>
      </c>
      <c r="AC1026" s="52">
        <f>IF(OR(K1026="",AND(P1026&lt;&gt;"Transferencia",P1026&lt;&gt;"Pago tarjeta")),"",IFERROR(IF(INDEX(ctaVinc,MATCH(K1026,ctaNombre,0))&amp;""&lt;&gt;"",INDEX(ctaVinc,MATCH(K1026,ctaNombre,0))&amp;"",K1026),K1026))</f>
        <v/>
      </c>
      <c r="AD1026" s="52">
        <f>IF(AB1026="","",IFERROR(INDEX(ctaTipo,MATCH(AB1026,ctaNombre,0))&amp;"",""))</f>
        <v/>
      </c>
      <c r="AE1026" s="52">
        <f>IF(AC1026="","",IFERROR(INDEX(ctaTipo,MATCH(AC1026,ctaNombre,0))&amp;"",""))</f>
        <v/>
      </c>
      <c r="AF1026" s="53">
        <f>IF(OR(P1026="",AB1026=""),"",IF(OR(P1026="Gasto",P1026="Transferencia",P1026="Pago tarjeta"),-1,1)*IF(IFERROR(INDEX(ctaMoneda,MATCH(AB1026,ctaNombre,0))&amp;"","DOP")="USD",T1026,S1026))</f>
        <v/>
      </c>
      <c r="AG1026" s="53">
        <f>IF(AC1026="","",IF(IFERROR(INDEX(ctaMoneda,MATCH(AC1026,ctaNombre,0))&amp;"","DOP")="USD",T1026,S1026))</f>
        <v/>
      </c>
      <c r="AH1026" s="53">
        <f>IF(P1026="","",IF(AND(AD1026&lt;&gt;"",COUNTIFS(tcTipo,AD1026,tcLiq,"Sí")&gt;0),IF(OR(P1026="Gasto",P1026="Transferencia",P1026="Pago tarjeta"),-1,1)*S1026,0)+IF(AND(AE1026&lt;&gt;"",COUNTIFS(tcTipo,AE1026,tcLiq,"Sí")&gt;0),S1026,0))</f>
        <v/>
      </c>
      <c r="AI1026" s="52">
        <f>IF(OR(L1026="",P1026=""),"",IF(COUNTIFS(L$6:L1026,L1026,P$6:P1026,"?*")=1,MAX(AI$5:AI1025)+1,""))</f>
        <v/>
      </c>
    </row>
    <row r="1027">
      <c r="B1027" s="47" t="n"/>
      <c r="C1027" s="48" t="n"/>
      <c r="D1027" s="48" t="n"/>
      <c r="E1027" s="48" t="n"/>
      <c r="F1027" s="48" t="n"/>
      <c r="G1027" s="49" t="n"/>
      <c r="H1027" s="48" t="n"/>
      <c r="I1027" s="50" t="n"/>
      <c r="J1027" s="48" t="n"/>
      <c r="K1027" s="48" t="n"/>
      <c r="L1027" s="48" t="n"/>
      <c r="M1027" s="48" t="n"/>
      <c r="N1027" s="48" t="n"/>
      <c r="O1027" s="51">
        <f>IF(AND(B1027="",G1027="",C1027="",D1027="",J1027=""),"",IF(B1027="","⚠ Falta fecha",IF(G1027="","⚠ Falta monto",IF(Q1027="","⚠ Falta cuenta",IF(ISNA(MATCH(Q1027,ctaNombre,0)),"⚠ Cuenta no registrada",IF(AND(OR(P1027="Gasto",P1027="Reembolso"),D1027=""),"⚠ Falta categoría",IF(AND(D1027&lt;&gt;"",E1027&lt;&gt;"",ISNA(MATCH(D1027&amp;"|"&amp;E1027,catClave,0))),"⚠ Subcategoría no corresponde",IF(AND(OR(P1027="Transferencia",P1027="Pago tarjeta"),K1027=""),"⚠ Falta cuenta destino",IF(AND(K1027&lt;&gt;"",P1027&lt;&gt;"Transferencia",P1027&lt;&gt;"Pago tarjeta"),"⚠ Destino solo aplica a transferencias",IF(AND(K1027&lt;&gt;"",K1027=Q1027),"⚠ Origen igual a destino",IF(AND(K1027&lt;&gt;"",ISNA(MATCH(K1027,ctaNombre,0))),"⚠ Destino no registrado",IF(AND(P1027="Pago tarjeta",AE1027&lt;&gt;"Tarjeta de crédito"),"⚠ El destino debe ser tarjeta de crédito",IF(AND(P1027="Gasto",E1027="Depósitos y retiros"),"⚠ Usa tipo Transferencia",IF(AND(P1027="Resultado trading",AD1027&lt;&gt;"Cuenta de trading"),"⚠ Usa una cuenta de trading",IF(AND(G1027&lt;=0,P1027&lt;&gt;"Ajuste",P1027&lt;&gt;"Resultado trading"),"⚠ El monto debe ser positivo","✓")))))))))))))))</f>
        <v/>
      </c>
      <c r="P1027" s="52">
        <f>IF(OR(B1027="",G1027=""),"",IF(C1027="","Gasto",C1027))</f>
        <v/>
      </c>
      <c r="Q1027" s="52">
        <f>IF(P1027="","",IF(J1027&lt;&gt;"",J1027,CuentaPred&amp;""))</f>
        <v/>
      </c>
      <c r="R1027" s="52">
        <f>IF(P1027="","",IF(ISNUMBER(I1027),I1027,TasaUSD))</f>
        <v/>
      </c>
      <c r="S1027" s="53">
        <f>IF(P1027="","",IF(H1027="USD",G1027*R1027,G1027))</f>
        <v/>
      </c>
      <c r="T1027" s="53">
        <f>IF(P1027="","",IF(H1027="USD",G1027,IF(R1027&gt;0,G1027/R1027,0)))</f>
        <v/>
      </c>
      <c r="U1027" s="53">
        <f>IF(P1027="","",IF(P1027="Gasto",S1027,IF(P1027="Reembolso",-S1027,0)))</f>
        <v/>
      </c>
      <c r="V1027" s="53">
        <f>IF(P1027="","",IF(P1027="Ingreso",S1027,0))</f>
        <v/>
      </c>
      <c r="W1027" s="53">
        <f>IF(P1027="","",IF(P1027="Resultado trading",S1027,0))</f>
        <v/>
      </c>
      <c r="X1027" s="52">
        <f>IF(OR(P1027="Gasto",P1027="Reembolso"),IF(M1027&lt;&gt;"",M1027,IFERROR(INDEX(catClasif,MATCH(D1027&amp;"|"&amp;E1027,catClave,0))&amp;"","Variable")),"")</f>
        <v/>
      </c>
      <c r="Y1027" s="52">
        <f>IF(P1027="","",IFERROR(INDEX(catGrupo,MATCH(D1027&amp;"|"&amp;E1027,catClave,0))&amp;"",""))</f>
        <v/>
      </c>
      <c r="Z1027" s="52">
        <f>IF(P1027="","",WEEKDAY(B1027,2))</f>
        <v/>
      </c>
      <c r="AA1027" s="52">
        <f>IF(P1027="","",IF(AND(P1027="Gasto",X1027="Variable",D1027&lt;&gt;catTrading,S1027&gt;0,S1027&lt;=Umbral),1,0))</f>
        <v/>
      </c>
      <c r="AB1027" s="52">
        <f>IF(OR(P1027="",Q1027=""),"",IFERROR(IF(INDEX(ctaVinc,MATCH(Q1027,ctaNombre,0))&amp;""&lt;&gt;"",INDEX(ctaVinc,MATCH(Q1027,ctaNombre,0))&amp;"",Q1027),Q1027))</f>
        <v/>
      </c>
      <c r="AC1027" s="52">
        <f>IF(OR(K1027="",AND(P1027&lt;&gt;"Transferencia",P1027&lt;&gt;"Pago tarjeta")),"",IFERROR(IF(INDEX(ctaVinc,MATCH(K1027,ctaNombre,0))&amp;""&lt;&gt;"",INDEX(ctaVinc,MATCH(K1027,ctaNombre,0))&amp;"",K1027),K1027))</f>
        <v/>
      </c>
      <c r="AD1027" s="52">
        <f>IF(AB1027="","",IFERROR(INDEX(ctaTipo,MATCH(AB1027,ctaNombre,0))&amp;"",""))</f>
        <v/>
      </c>
      <c r="AE1027" s="52">
        <f>IF(AC1027="","",IFERROR(INDEX(ctaTipo,MATCH(AC1027,ctaNombre,0))&amp;"",""))</f>
        <v/>
      </c>
      <c r="AF1027" s="53">
        <f>IF(OR(P1027="",AB1027=""),"",IF(OR(P1027="Gasto",P1027="Transferencia",P1027="Pago tarjeta"),-1,1)*IF(IFERROR(INDEX(ctaMoneda,MATCH(AB1027,ctaNombre,0))&amp;"","DOP")="USD",T1027,S1027))</f>
        <v/>
      </c>
      <c r="AG1027" s="53">
        <f>IF(AC1027="","",IF(IFERROR(INDEX(ctaMoneda,MATCH(AC1027,ctaNombre,0))&amp;"","DOP")="USD",T1027,S1027))</f>
        <v/>
      </c>
      <c r="AH1027" s="53">
        <f>IF(P1027="","",IF(AND(AD1027&lt;&gt;"",COUNTIFS(tcTipo,AD1027,tcLiq,"Sí")&gt;0),IF(OR(P1027="Gasto",P1027="Transferencia",P1027="Pago tarjeta"),-1,1)*S1027,0)+IF(AND(AE1027&lt;&gt;"",COUNTIFS(tcTipo,AE1027,tcLiq,"Sí")&gt;0),S1027,0))</f>
        <v/>
      </c>
      <c r="AI1027" s="52">
        <f>IF(OR(L1027="",P1027=""),"",IF(COUNTIFS(L$6:L1027,L1027,P$6:P1027,"?*")=1,MAX(AI$5:AI1026)+1,""))</f>
        <v/>
      </c>
    </row>
    <row r="1028">
      <c r="B1028" s="47" t="n"/>
      <c r="C1028" s="48" t="n"/>
      <c r="D1028" s="48" t="n"/>
      <c r="E1028" s="48" t="n"/>
      <c r="F1028" s="48" t="n"/>
      <c r="G1028" s="49" t="n"/>
      <c r="H1028" s="48" t="n"/>
      <c r="I1028" s="50" t="n"/>
      <c r="J1028" s="48" t="n"/>
      <c r="K1028" s="48" t="n"/>
      <c r="L1028" s="48" t="n"/>
      <c r="M1028" s="48" t="n"/>
      <c r="N1028" s="48" t="n"/>
      <c r="O1028" s="51">
        <f>IF(AND(B1028="",G1028="",C1028="",D1028="",J1028=""),"",IF(B1028="","⚠ Falta fecha",IF(G1028="","⚠ Falta monto",IF(Q1028="","⚠ Falta cuenta",IF(ISNA(MATCH(Q1028,ctaNombre,0)),"⚠ Cuenta no registrada",IF(AND(OR(P1028="Gasto",P1028="Reembolso"),D1028=""),"⚠ Falta categoría",IF(AND(D1028&lt;&gt;"",E1028&lt;&gt;"",ISNA(MATCH(D1028&amp;"|"&amp;E1028,catClave,0))),"⚠ Subcategoría no corresponde",IF(AND(OR(P1028="Transferencia",P1028="Pago tarjeta"),K1028=""),"⚠ Falta cuenta destino",IF(AND(K1028&lt;&gt;"",P1028&lt;&gt;"Transferencia",P1028&lt;&gt;"Pago tarjeta"),"⚠ Destino solo aplica a transferencias",IF(AND(K1028&lt;&gt;"",K1028=Q1028),"⚠ Origen igual a destino",IF(AND(K1028&lt;&gt;"",ISNA(MATCH(K1028,ctaNombre,0))),"⚠ Destino no registrado",IF(AND(P1028="Pago tarjeta",AE1028&lt;&gt;"Tarjeta de crédito"),"⚠ El destino debe ser tarjeta de crédito",IF(AND(P1028="Gasto",E1028="Depósitos y retiros"),"⚠ Usa tipo Transferencia",IF(AND(P1028="Resultado trading",AD1028&lt;&gt;"Cuenta de trading"),"⚠ Usa una cuenta de trading",IF(AND(G1028&lt;=0,P1028&lt;&gt;"Ajuste",P1028&lt;&gt;"Resultado trading"),"⚠ El monto debe ser positivo","✓")))))))))))))))</f>
        <v/>
      </c>
      <c r="P1028" s="52">
        <f>IF(OR(B1028="",G1028=""),"",IF(C1028="","Gasto",C1028))</f>
        <v/>
      </c>
      <c r="Q1028" s="52">
        <f>IF(P1028="","",IF(J1028&lt;&gt;"",J1028,CuentaPred&amp;""))</f>
        <v/>
      </c>
      <c r="R1028" s="52">
        <f>IF(P1028="","",IF(ISNUMBER(I1028),I1028,TasaUSD))</f>
        <v/>
      </c>
      <c r="S1028" s="53">
        <f>IF(P1028="","",IF(H1028="USD",G1028*R1028,G1028))</f>
        <v/>
      </c>
      <c r="T1028" s="53">
        <f>IF(P1028="","",IF(H1028="USD",G1028,IF(R1028&gt;0,G1028/R1028,0)))</f>
        <v/>
      </c>
      <c r="U1028" s="53">
        <f>IF(P1028="","",IF(P1028="Gasto",S1028,IF(P1028="Reembolso",-S1028,0)))</f>
        <v/>
      </c>
      <c r="V1028" s="53">
        <f>IF(P1028="","",IF(P1028="Ingreso",S1028,0))</f>
        <v/>
      </c>
      <c r="W1028" s="53">
        <f>IF(P1028="","",IF(P1028="Resultado trading",S1028,0))</f>
        <v/>
      </c>
      <c r="X1028" s="52">
        <f>IF(OR(P1028="Gasto",P1028="Reembolso"),IF(M1028&lt;&gt;"",M1028,IFERROR(INDEX(catClasif,MATCH(D1028&amp;"|"&amp;E1028,catClave,0))&amp;"","Variable")),"")</f>
        <v/>
      </c>
      <c r="Y1028" s="52">
        <f>IF(P1028="","",IFERROR(INDEX(catGrupo,MATCH(D1028&amp;"|"&amp;E1028,catClave,0))&amp;"",""))</f>
        <v/>
      </c>
      <c r="Z1028" s="52">
        <f>IF(P1028="","",WEEKDAY(B1028,2))</f>
        <v/>
      </c>
      <c r="AA1028" s="52">
        <f>IF(P1028="","",IF(AND(P1028="Gasto",X1028="Variable",D1028&lt;&gt;catTrading,S1028&gt;0,S1028&lt;=Umbral),1,0))</f>
        <v/>
      </c>
      <c r="AB1028" s="52">
        <f>IF(OR(P1028="",Q1028=""),"",IFERROR(IF(INDEX(ctaVinc,MATCH(Q1028,ctaNombre,0))&amp;""&lt;&gt;"",INDEX(ctaVinc,MATCH(Q1028,ctaNombre,0))&amp;"",Q1028),Q1028))</f>
        <v/>
      </c>
      <c r="AC1028" s="52">
        <f>IF(OR(K1028="",AND(P1028&lt;&gt;"Transferencia",P1028&lt;&gt;"Pago tarjeta")),"",IFERROR(IF(INDEX(ctaVinc,MATCH(K1028,ctaNombre,0))&amp;""&lt;&gt;"",INDEX(ctaVinc,MATCH(K1028,ctaNombre,0))&amp;"",K1028),K1028))</f>
        <v/>
      </c>
      <c r="AD1028" s="52">
        <f>IF(AB1028="","",IFERROR(INDEX(ctaTipo,MATCH(AB1028,ctaNombre,0))&amp;"",""))</f>
        <v/>
      </c>
      <c r="AE1028" s="52">
        <f>IF(AC1028="","",IFERROR(INDEX(ctaTipo,MATCH(AC1028,ctaNombre,0))&amp;"",""))</f>
        <v/>
      </c>
      <c r="AF1028" s="53">
        <f>IF(OR(P1028="",AB1028=""),"",IF(OR(P1028="Gasto",P1028="Transferencia",P1028="Pago tarjeta"),-1,1)*IF(IFERROR(INDEX(ctaMoneda,MATCH(AB1028,ctaNombre,0))&amp;"","DOP")="USD",T1028,S1028))</f>
        <v/>
      </c>
      <c r="AG1028" s="53">
        <f>IF(AC1028="","",IF(IFERROR(INDEX(ctaMoneda,MATCH(AC1028,ctaNombre,0))&amp;"","DOP")="USD",T1028,S1028))</f>
        <v/>
      </c>
      <c r="AH1028" s="53">
        <f>IF(P1028="","",IF(AND(AD1028&lt;&gt;"",COUNTIFS(tcTipo,AD1028,tcLiq,"Sí")&gt;0),IF(OR(P1028="Gasto",P1028="Transferencia",P1028="Pago tarjeta"),-1,1)*S1028,0)+IF(AND(AE1028&lt;&gt;"",COUNTIFS(tcTipo,AE1028,tcLiq,"Sí")&gt;0),S1028,0))</f>
        <v/>
      </c>
      <c r="AI1028" s="52">
        <f>IF(OR(L1028="",P1028=""),"",IF(COUNTIFS(L$6:L1028,L1028,P$6:P1028,"?*")=1,MAX(AI$5:AI1027)+1,""))</f>
        <v/>
      </c>
    </row>
    <row r="1029">
      <c r="B1029" s="47" t="n"/>
      <c r="C1029" s="48" t="n"/>
      <c r="D1029" s="48" t="n"/>
      <c r="E1029" s="48" t="n"/>
      <c r="F1029" s="48" t="n"/>
      <c r="G1029" s="49" t="n"/>
      <c r="H1029" s="48" t="n"/>
      <c r="I1029" s="50" t="n"/>
      <c r="J1029" s="48" t="n"/>
      <c r="K1029" s="48" t="n"/>
      <c r="L1029" s="48" t="n"/>
      <c r="M1029" s="48" t="n"/>
      <c r="N1029" s="48" t="n"/>
      <c r="O1029" s="51">
        <f>IF(AND(B1029="",G1029="",C1029="",D1029="",J1029=""),"",IF(B1029="","⚠ Falta fecha",IF(G1029="","⚠ Falta monto",IF(Q1029="","⚠ Falta cuenta",IF(ISNA(MATCH(Q1029,ctaNombre,0)),"⚠ Cuenta no registrada",IF(AND(OR(P1029="Gasto",P1029="Reembolso"),D1029=""),"⚠ Falta categoría",IF(AND(D1029&lt;&gt;"",E1029&lt;&gt;"",ISNA(MATCH(D1029&amp;"|"&amp;E1029,catClave,0))),"⚠ Subcategoría no corresponde",IF(AND(OR(P1029="Transferencia",P1029="Pago tarjeta"),K1029=""),"⚠ Falta cuenta destino",IF(AND(K1029&lt;&gt;"",P1029&lt;&gt;"Transferencia",P1029&lt;&gt;"Pago tarjeta"),"⚠ Destino solo aplica a transferencias",IF(AND(K1029&lt;&gt;"",K1029=Q1029),"⚠ Origen igual a destino",IF(AND(K1029&lt;&gt;"",ISNA(MATCH(K1029,ctaNombre,0))),"⚠ Destino no registrado",IF(AND(P1029="Pago tarjeta",AE1029&lt;&gt;"Tarjeta de crédito"),"⚠ El destino debe ser tarjeta de crédito",IF(AND(P1029="Gasto",E1029="Depósitos y retiros"),"⚠ Usa tipo Transferencia",IF(AND(P1029="Resultado trading",AD1029&lt;&gt;"Cuenta de trading"),"⚠ Usa una cuenta de trading",IF(AND(G1029&lt;=0,P1029&lt;&gt;"Ajuste",P1029&lt;&gt;"Resultado trading"),"⚠ El monto debe ser positivo","✓")))))))))))))))</f>
        <v/>
      </c>
      <c r="P1029" s="52">
        <f>IF(OR(B1029="",G1029=""),"",IF(C1029="","Gasto",C1029))</f>
        <v/>
      </c>
      <c r="Q1029" s="52">
        <f>IF(P1029="","",IF(J1029&lt;&gt;"",J1029,CuentaPred&amp;""))</f>
        <v/>
      </c>
      <c r="R1029" s="52">
        <f>IF(P1029="","",IF(ISNUMBER(I1029),I1029,TasaUSD))</f>
        <v/>
      </c>
      <c r="S1029" s="53">
        <f>IF(P1029="","",IF(H1029="USD",G1029*R1029,G1029))</f>
        <v/>
      </c>
      <c r="T1029" s="53">
        <f>IF(P1029="","",IF(H1029="USD",G1029,IF(R1029&gt;0,G1029/R1029,0)))</f>
        <v/>
      </c>
      <c r="U1029" s="53">
        <f>IF(P1029="","",IF(P1029="Gasto",S1029,IF(P1029="Reembolso",-S1029,0)))</f>
        <v/>
      </c>
      <c r="V1029" s="53">
        <f>IF(P1029="","",IF(P1029="Ingreso",S1029,0))</f>
        <v/>
      </c>
      <c r="W1029" s="53">
        <f>IF(P1029="","",IF(P1029="Resultado trading",S1029,0))</f>
        <v/>
      </c>
      <c r="X1029" s="52">
        <f>IF(OR(P1029="Gasto",P1029="Reembolso"),IF(M1029&lt;&gt;"",M1029,IFERROR(INDEX(catClasif,MATCH(D1029&amp;"|"&amp;E1029,catClave,0))&amp;"","Variable")),"")</f>
        <v/>
      </c>
      <c r="Y1029" s="52">
        <f>IF(P1029="","",IFERROR(INDEX(catGrupo,MATCH(D1029&amp;"|"&amp;E1029,catClave,0))&amp;"",""))</f>
        <v/>
      </c>
      <c r="Z1029" s="52">
        <f>IF(P1029="","",WEEKDAY(B1029,2))</f>
        <v/>
      </c>
      <c r="AA1029" s="52">
        <f>IF(P1029="","",IF(AND(P1029="Gasto",X1029="Variable",D1029&lt;&gt;catTrading,S1029&gt;0,S1029&lt;=Umbral),1,0))</f>
        <v/>
      </c>
      <c r="AB1029" s="52">
        <f>IF(OR(P1029="",Q1029=""),"",IFERROR(IF(INDEX(ctaVinc,MATCH(Q1029,ctaNombre,0))&amp;""&lt;&gt;"",INDEX(ctaVinc,MATCH(Q1029,ctaNombre,0))&amp;"",Q1029),Q1029))</f>
        <v/>
      </c>
      <c r="AC1029" s="52">
        <f>IF(OR(K1029="",AND(P1029&lt;&gt;"Transferencia",P1029&lt;&gt;"Pago tarjeta")),"",IFERROR(IF(INDEX(ctaVinc,MATCH(K1029,ctaNombre,0))&amp;""&lt;&gt;"",INDEX(ctaVinc,MATCH(K1029,ctaNombre,0))&amp;"",K1029),K1029))</f>
        <v/>
      </c>
      <c r="AD1029" s="52">
        <f>IF(AB1029="","",IFERROR(INDEX(ctaTipo,MATCH(AB1029,ctaNombre,0))&amp;"",""))</f>
        <v/>
      </c>
      <c r="AE1029" s="52">
        <f>IF(AC1029="","",IFERROR(INDEX(ctaTipo,MATCH(AC1029,ctaNombre,0))&amp;"",""))</f>
        <v/>
      </c>
      <c r="AF1029" s="53">
        <f>IF(OR(P1029="",AB1029=""),"",IF(OR(P1029="Gasto",P1029="Transferencia",P1029="Pago tarjeta"),-1,1)*IF(IFERROR(INDEX(ctaMoneda,MATCH(AB1029,ctaNombre,0))&amp;"","DOP")="USD",T1029,S1029))</f>
        <v/>
      </c>
      <c r="AG1029" s="53">
        <f>IF(AC1029="","",IF(IFERROR(INDEX(ctaMoneda,MATCH(AC1029,ctaNombre,0))&amp;"","DOP")="USD",T1029,S1029))</f>
        <v/>
      </c>
      <c r="AH1029" s="53">
        <f>IF(P1029="","",IF(AND(AD1029&lt;&gt;"",COUNTIFS(tcTipo,AD1029,tcLiq,"Sí")&gt;0),IF(OR(P1029="Gasto",P1029="Transferencia",P1029="Pago tarjeta"),-1,1)*S1029,0)+IF(AND(AE1029&lt;&gt;"",COUNTIFS(tcTipo,AE1029,tcLiq,"Sí")&gt;0),S1029,0))</f>
        <v/>
      </c>
      <c r="AI1029" s="52">
        <f>IF(OR(L1029="",P1029=""),"",IF(COUNTIFS(L$6:L1029,L1029,P$6:P1029,"?*")=1,MAX(AI$5:AI1028)+1,""))</f>
        <v/>
      </c>
    </row>
    <row r="1030">
      <c r="B1030" s="47" t="n"/>
      <c r="C1030" s="48" t="n"/>
      <c r="D1030" s="48" t="n"/>
      <c r="E1030" s="48" t="n"/>
      <c r="F1030" s="48" t="n"/>
      <c r="G1030" s="49" t="n"/>
      <c r="H1030" s="48" t="n"/>
      <c r="I1030" s="50" t="n"/>
      <c r="J1030" s="48" t="n"/>
      <c r="K1030" s="48" t="n"/>
      <c r="L1030" s="48" t="n"/>
      <c r="M1030" s="48" t="n"/>
      <c r="N1030" s="48" t="n"/>
      <c r="O1030" s="51">
        <f>IF(AND(B1030="",G1030="",C1030="",D1030="",J1030=""),"",IF(B1030="","⚠ Falta fecha",IF(G1030="","⚠ Falta monto",IF(Q1030="","⚠ Falta cuenta",IF(ISNA(MATCH(Q1030,ctaNombre,0)),"⚠ Cuenta no registrada",IF(AND(OR(P1030="Gasto",P1030="Reembolso"),D1030=""),"⚠ Falta categoría",IF(AND(D1030&lt;&gt;"",E1030&lt;&gt;"",ISNA(MATCH(D1030&amp;"|"&amp;E1030,catClave,0))),"⚠ Subcategoría no corresponde",IF(AND(OR(P1030="Transferencia",P1030="Pago tarjeta"),K1030=""),"⚠ Falta cuenta destino",IF(AND(K1030&lt;&gt;"",P1030&lt;&gt;"Transferencia",P1030&lt;&gt;"Pago tarjeta"),"⚠ Destino solo aplica a transferencias",IF(AND(K1030&lt;&gt;"",K1030=Q1030),"⚠ Origen igual a destino",IF(AND(K1030&lt;&gt;"",ISNA(MATCH(K1030,ctaNombre,0))),"⚠ Destino no registrado",IF(AND(P1030="Pago tarjeta",AE1030&lt;&gt;"Tarjeta de crédito"),"⚠ El destino debe ser tarjeta de crédito",IF(AND(P1030="Gasto",E1030="Depósitos y retiros"),"⚠ Usa tipo Transferencia",IF(AND(P1030="Resultado trading",AD1030&lt;&gt;"Cuenta de trading"),"⚠ Usa una cuenta de trading",IF(AND(G1030&lt;=0,P1030&lt;&gt;"Ajuste",P1030&lt;&gt;"Resultado trading"),"⚠ El monto debe ser positivo","✓")))))))))))))))</f>
        <v/>
      </c>
      <c r="P1030" s="52">
        <f>IF(OR(B1030="",G1030=""),"",IF(C1030="","Gasto",C1030))</f>
        <v/>
      </c>
      <c r="Q1030" s="52">
        <f>IF(P1030="","",IF(J1030&lt;&gt;"",J1030,CuentaPred&amp;""))</f>
        <v/>
      </c>
      <c r="R1030" s="52">
        <f>IF(P1030="","",IF(ISNUMBER(I1030),I1030,TasaUSD))</f>
        <v/>
      </c>
      <c r="S1030" s="53">
        <f>IF(P1030="","",IF(H1030="USD",G1030*R1030,G1030))</f>
        <v/>
      </c>
      <c r="T1030" s="53">
        <f>IF(P1030="","",IF(H1030="USD",G1030,IF(R1030&gt;0,G1030/R1030,0)))</f>
        <v/>
      </c>
      <c r="U1030" s="53">
        <f>IF(P1030="","",IF(P1030="Gasto",S1030,IF(P1030="Reembolso",-S1030,0)))</f>
        <v/>
      </c>
      <c r="V1030" s="53">
        <f>IF(P1030="","",IF(P1030="Ingreso",S1030,0))</f>
        <v/>
      </c>
      <c r="W1030" s="53">
        <f>IF(P1030="","",IF(P1030="Resultado trading",S1030,0))</f>
        <v/>
      </c>
      <c r="X1030" s="52">
        <f>IF(OR(P1030="Gasto",P1030="Reembolso"),IF(M1030&lt;&gt;"",M1030,IFERROR(INDEX(catClasif,MATCH(D1030&amp;"|"&amp;E1030,catClave,0))&amp;"","Variable")),"")</f>
        <v/>
      </c>
      <c r="Y1030" s="52">
        <f>IF(P1030="","",IFERROR(INDEX(catGrupo,MATCH(D1030&amp;"|"&amp;E1030,catClave,0))&amp;"",""))</f>
        <v/>
      </c>
      <c r="Z1030" s="52">
        <f>IF(P1030="","",WEEKDAY(B1030,2))</f>
        <v/>
      </c>
      <c r="AA1030" s="52">
        <f>IF(P1030="","",IF(AND(P1030="Gasto",X1030="Variable",D1030&lt;&gt;catTrading,S1030&gt;0,S1030&lt;=Umbral),1,0))</f>
        <v/>
      </c>
      <c r="AB1030" s="52">
        <f>IF(OR(P1030="",Q1030=""),"",IFERROR(IF(INDEX(ctaVinc,MATCH(Q1030,ctaNombre,0))&amp;""&lt;&gt;"",INDEX(ctaVinc,MATCH(Q1030,ctaNombre,0))&amp;"",Q1030),Q1030))</f>
        <v/>
      </c>
      <c r="AC1030" s="52">
        <f>IF(OR(K1030="",AND(P1030&lt;&gt;"Transferencia",P1030&lt;&gt;"Pago tarjeta")),"",IFERROR(IF(INDEX(ctaVinc,MATCH(K1030,ctaNombre,0))&amp;""&lt;&gt;"",INDEX(ctaVinc,MATCH(K1030,ctaNombre,0))&amp;"",K1030),K1030))</f>
        <v/>
      </c>
      <c r="AD1030" s="52">
        <f>IF(AB1030="","",IFERROR(INDEX(ctaTipo,MATCH(AB1030,ctaNombre,0))&amp;"",""))</f>
        <v/>
      </c>
      <c r="AE1030" s="52">
        <f>IF(AC1030="","",IFERROR(INDEX(ctaTipo,MATCH(AC1030,ctaNombre,0))&amp;"",""))</f>
        <v/>
      </c>
      <c r="AF1030" s="53">
        <f>IF(OR(P1030="",AB1030=""),"",IF(OR(P1030="Gasto",P1030="Transferencia",P1030="Pago tarjeta"),-1,1)*IF(IFERROR(INDEX(ctaMoneda,MATCH(AB1030,ctaNombre,0))&amp;"","DOP")="USD",T1030,S1030))</f>
        <v/>
      </c>
      <c r="AG1030" s="53">
        <f>IF(AC1030="","",IF(IFERROR(INDEX(ctaMoneda,MATCH(AC1030,ctaNombre,0))&amp;"","DOP")="USD",T1030,S1030))</f>
        <v/>
      </c>
      <c r="AH1030" s="53">
        <f>IF(P1030="","",IF(AND(AD1030&lt;&gt;"",COUNTIFS(tcTipo,AD1030,tcLiq,"Sí")&gt;0),IF(OR(P1030="Gasto",P1030="Transferencia",P1030="Pago tarjeta"),-1,1)*S1030,0)+IF(AND(AE1030&lt;&gt;"",COUNTIFS(tcTipo,AE1030,tcLiq,"Sí")&gt;0),S1030,0))</f>
        <v/>
      </c>
      <c r="AI1030" s="52">
        <f>IF(OR(L1030="",P1030=""),"",IF(COUNTIFS(L$6:L1030,L1030,P$6:P1030,"?*")=1,MAX(AI$5:AI1029)+1,""))</f>
        <v/>
      </c>
    </row>
    <row r="1031">
      <c r="B1031" s="47" t="n"/>
      <c r="C1031" s="48" t="n"/>
      <c r="D1031" s="48" t="n"/>
      <c r="E1031" s="48" t="n"/>
      <c r="F1031" s="48" t="n"/>
      <c r="G1031" s="49" t="n"/>
      <c r="H1031" s="48" t="n"/>
      <c r="I1031" s="50" t="n"/>
      <c r="J1031" s="48" t="n"/>
      <c r="K1031" s="48" t="n"/>
      <c r="L1031" s="48" t="n"/>
      <c r="M1031" s="48" t="n"/>
      <c r="N1031" s="48" t="n"/>
      <c r="O1031" s="51">
        <f>IF(AND(B1031="",G1031="",C1031="",D1031="",J1031=""),"",IF(B1031="","⚠ Falta fecha",IF(G1031="","⚠ Falta monto",IF(Q1031="","⚠ Falta cuenta",IF(ISNA(MATCH(Q1031,ctaNombre,0)),"⚠ Cuenta no registrada",IF(AND(OR(P1031="Gasto",P1031="Reembolso"),D1031=""),"⚠ Falta categoría",IF(AND(D1031&lt;&gt;"",E1031&lt;&gt;"",ISNA(MATCH(D1031&amp;"|"&amp;E1031,catClave,0))),"⚠ Subcategoría no corresponde",IF(AND(OR(P1031="Transferencia",P1031="Pago tarjeta"),K1031=""),"⚠ Falta cuenta destino",IF(AND(K1031&lt;&gt;"",P1031&lt;&gt;"Transferencia",P1031&lt;&gt;"Pago tarjeta"),"⚠ Destino solo aplica a transferencias",IF(AND(K1031&lt;&gt;"",K1031=Q1031),"⚠ Origen igual a destino",IF(AND(K1031&lt;&gt;"",ISNA(MATCH(K1031,ctaNombre,0))),"⚠ Destino no registrado",IF(AND(P1031="Pago tarjeta",AE1031&lt;&gt;"Tarjeta de crédito"),"⚠ El destino debe ser tarjeta de crédito",IF(AND(P1031="Gasto",E1031="Depósitos y retiros"),"⚠ Usa tipo Transferencia",IF(AND(P1031="Resultado trading",AD1031&lt;&gt;"Cuenta de trading"),"⚠ Usa una cuenta de trading",IF(AND(G1031&lt;=0,P1031&lt;&gt;"Ajuste",P1031&lt;&gt;"Resultado trading"),"⚠ El monto debe ser positivo","✓")))))))))))))))</f>
        <v/>
      </c>
      <c r="P1031" s="52">
        <f>IF(OR(B1031="",G1031=""),"",IF(C1031="","Gasto",C1031))</f>
        <v/>
      </c>
      <c r="Q1031" s="52">
        <f>IF(P1031="","",IF(J1031&lt;&gt;"",J1031,CuentaPred&amp;""))</f>
        <v/>
      </c>
      <c r="R1031" s="52">
        <f>IF(P1031="","",IF(ISNUMBER(I1031),I1031,TasaUSD))</f>
        <v/>
      </c>
      <c r="S1031" s="53">
        <f>IF(P1031="","",IF(H1031="USD",G1031*R1031,G1031))</f>
        <v/>
      </c>
      <c r="T1031" s="53">
        <f>IF(P1031="","",IF(H1031="USD",G1031,IF(R1031&gt;0,G1031/R1031,0)))</f>
        <v/>
      </c>
      <c r="U1031" s="53">
        <f>IF(P1031="","",IF(P1031="Gasto",S1031,IF(P1031="Reembolso",-S1031,0)))</f>
        <v/>
      </c>
      <c r="V1031" s="53">
        <f>IF(P1031="","",IF(P1031="Ingreso",S1031,0))</f>
        <v/>
      </c>
      <c r="W1031" s="53">
        <f>IF(P1031="","",IF(P1031="Resultado trading",S1031,0))</f>
        <v/>
      </c>
      <c r="X1031" s="52">
        <f>IF(OR(P1031="Gasto",P1031="Reembolso"),IF(M1031&lt;&gt;"",M1031,IFERROR(INDEX(catClasif,MATCH(D1031&amp;"|"&amp;E1031,catClave,0))&amp;"","Variable")),"")</f>
        <v/>
      </c>
      <c r="Y1031" s="52">
        <f>IF(P1031="","",IFERROR(INDEX(catGrupo,MATCH(D1031&amp;"|"&amp;E1031,catClave,0))&amp;"",""))</f>
        <v/>
      </c>
      <c r="Z1031" s="52">
        <f>IF(P1031="","",WEEKDAY(B1031,2))</f>
        <v/>
      </c>
      <c r="AA1031" s="52">
        <f>IF(P1031="","",IF(AND(P1031="Gasto",X1031="Variable",D1031&lt;&gt;catTrading,S1031&gt;0,S1031&lt;=Umbral),1,0))</f>
        <v/>
      </c>
      <c r="AB1031" s="52">
        <f>IF(OR(P1031="",Q1031=""),"",IFERROR(IF(INDEX(ctaVinc,MATCH(Q1031,ctaNombre,0))&amp;""&lt;&gt;"",INDEX(ctaVinc,MATCH(Q1031,ctaNombre,0))&amp;"",Q1031),Q1031))</f>
        <v/>
      </c>
      <c r="AC1031" s="52">
        <f>IF(OR(K1031="",AND(P1031&lt;&gt;"Transferencia",P1031&lt;&gt;"Pago tarjeta")),"",IFERROR(IF(INDEX(ctaVinc,MATCH(K1031,ctaNombre,0))&amp;""&lt;&gt;"",INDEX(ctaVinc,MATCH(K1031,ctaNombre,0))&amp;"",K1031),K1031))</f>
        <v/>
      </c>
      <c r="AD1031" s="52">
        <f>IF(AB1031="","",IFERROR(INDEX(ctaTipo,MATCH(AB1031,ctaNombre,0))&amp;"",""))</f>
        <v/>
      </c>
      <c r="AE1031" s="52">
        <f>IF(AC1031="","",IFERROR(INDEX(ctaTipo,MATCH(AC1031,ctaNombre,0))&amp;"",""))</f>
        <v/>
      </c>
      <c r="AF1031" s="53">
        <f>IF(OR(P1031="",AB1031=""),"",IF(OR(P1031="Gasto",P1031="Transferencia",P1031="Pago tarjeta"),-1,1)*IF(IFERROR(INDEX(ctaMoneda,MATCH(AB1031,ctaNombre,0))&amp;"","DOP")="USD",T1031,S1031))</f>
        <v/>
      </c>
      <c r="AG1031" s="53">
        <f>IF(AC1031="","",IF(IFERROR(INDEX(ctaMoneda,MATCH(AC1031,ctaNombre,0))&amp;"","DOP")="USD",T1031,S1031))</f>
        <v/>
      </c>
      <c r="AH1031" s="53">
        <f>IF(P1031="","",IF(AND(AD1031&lt;&gt;"",COUNTIFS(tcTipo,AD1031,tcLiq,"Sí")&gt;0),IF(OR(P1031="Gasto",P1031="Transferencia",P1031="Pago tarjeta"),-1,1)*S1031,0)+IF(AND(AE1031&lt;&gt;"",COUNTIFS(tcTipo,AE1031,tcLiq,"Sí")&gt;0),S1031,0))</f>
        <v/>
      </c>
      <c r="AI1031" s="52">
        <f>IF(OR(L1031="",P1031=""),"",IF(COUNTIFS(L$6:L1031,L1031,P$6:P1031,"?*")=1,MAX(AI$5:AI1030)+1,""))</f>
        <v/>
      </c>
    </row>
    <row r="1032">
      <c r="B1032" s="47" t="n"/>
      <c r="C1032" s="48" t="n"/>
      <c r="D1032" s="48" t="n"/>
      <c r="E1032" s="48" t="n"/>
      <c r="F1032" s="48" t="n"/>
      <c r="G1032" s="49" t="n"/>
      <c r="H1032" s="48" t="n"/>
      <c r="I1032" s="50" t="n"/>
      <c r="J1032" s="48" t="n"/>
      <c r="K1032" s="48" t="n"/>
      <c r="L1032" s="48" t="n"/>
      <c r="M1032" s="48" t="n"/>
      <c r="N1032" s="48" t="n"/>
      <c r="O1032" s="51">
        <f>IF(AND(B1032="",G1032="",C1032="",D1032="",J1032=""),"",IF(B1032="","⚠ Falta fecha",IF(G1032="","⚠ Falta monto",IF(Q1032="","⚠ Falta cuenta",IF(ISNA(MATCH(Q1032,ctaNombre,0)),"⚠ Cuenta no registrada",IF(AND(OR(P1032="Gasto",P1032="Reembolso"),D1032=""),"⚠ Falta categoría",IF(AND(D1032&lt;&gt;"",E1032&lt;&gt;"",ISNA(MATCH(D1032&amp;"|"&amp;E1032,catClave,0))),"⚠ Subcategoría no corresponde",IF(AND(OR(P1032="Transferencia",P1032="Pago tarjeta"),K1032=""),"⚠ Falta cuenta destino",IF(AND(K1032&lt;&gt;"",P1032&lt;&gt;"Transferencia",P1032&lt;&gt;"Pago tarjeta"),"⚠ Destino solo aplica a transferencias",IF(AND(K1032&lt;&gt;"",K1032=Q1032),"⚠ Origen igual a destino",IF(AND(K1032&lt;&gt;"",ISNA(MATCH(K1032,ctaNombre,0))),"⚠ Destino no registrado",IF(AND(P1032="Pago tarjeta",AE1032&lt;&gt;"Tarjeta de crédito"),"⚠ El destino debe ser tarjeta de crédito",IF(AND(P1032="Gasto",E1032="Depósitos y retiros"),"⚠ Usa tipo Transferencia",IF(AND(P1032="Resultado trading",AD1032&lt;&gt;"Cuenta de trading"),"⚠ Usa una cuenta de trading",IF(AND(G1032&lt;=0,P1032&lt;&gt;"Ajuste",P1032&lt;&gt;"Resultado trading"),"⚠ El monto debe ser positivo","✓")))))))))))))))</f>
        <v/>
      </c>
      <c r="P1032" s="52">
        <f>IF(OR(B1032="",G1032=""),"",IF(C1032="","Gasto",C1032))</f>
        <v/>
      </c>
      <c r="Q1032" s="52">
        <f>IF(P1032="","",IF(J1032&lt;&gt;"",J1032,CuentaPred&amp;""))</f>
        <v/>
      </c>
      <c r="R1032" s="52">
        <f>IF(P1032="","",IF(ISNUMBER(I1032),I1032,TasaUSD))</f>
        <v/>
      </c>
      <c r="S1032" s="53">
        <f>IF(P1032="","",IF(H1032="USD",G1032*R1032,G1032))</f>
        <v/>
      </c>
      <c r="T1032" s="53">
        <f>IF(P1032="","",IF(H1032="USD",G1032,IF(R1032&gt;0,G1032/R1032,0)))</f>
        <v/>
      </c>
      <c r="U1032" s="53">
        <f>IF(P1032="","",IF(P1032="Gasto",S1032,IF(P1032="Reembolso",-S1032,0)))</f>
        <v/>
      </c>
      <c r="V1032" s="53">
        <f>IF(P1032="","",IF(P1032="Ingreso",S1032,0))</f>
        <v/>
      </c>
      <c r="W1032" s="53">
        <f>IF(P1032="","",IF(P1032="Resultado trading",S1032,0))</f>
        <v/>
      </c>
      <c r="X1032" s="52">
        <f>IF(OR(P1032="Gasto",P1032="Reembolso"),IF(M1032&lt;&gt;"",M1032,IFERROR(INDEX(catClasif,MATCH(D1032&amp;"|"&amp;E1032,catClave,0))&amp;"","Variable")),"")</f>
        <v/>
      </c>
      <c r="Y1032" s="52">
        <f>IF(P1032="","",IFERROR(INDEX(catGrupo,MATCH(D1032&amp;"|"&amp;E1032,catClave,0))&amp;"",""))</f>
        <v/>
      </c>
      <c r="Z1032" s="52">
        <f>IF(P1032="","",WEEKDAY(B1032,2))</f>
        <v/>
      </c>
      <c r="AA1032" s="52">
        <f>IF(P1032="","",IF(AND(P1032="Gasto",X1032="Variable",D1032&lt;&gt;catTrading,S1032&gt;0,S1032&lt;=Umbral),1,0))</f>
        <v/>
      </c>
      <c r="AB1032" s="52">
        <f>IF(OR(P1032="",Q1032=""),"",IFERROR(IF(INDEX(ctaVinc,MATCH(Q1032,ctaNombre,0))&amp;""&lt;&gt;"",INDEX(ctaVinc,MATCH(Q1032,ctaNombre,0))&amp;"",Q1032),Q1032))</f>
        <v/>
      </c>
      <c r="AC1032" s="52">
        <f>IF(OR(K1032="",AND(P1032&lt;&gt;"Transferencia",P1032&lt;&gt;"Pago tarjeta")),"",IFERROR(IF(INDEX(ctaVinc,MATCH(K1032,ctaNombre,0))&amp;""&lt;&gt;"",INDEX(ctaVinc,MATCH(K1032,ctaNombre,0))&amp;"",K1032),K1032))</f>
        <v/>
      </c>
      <c r="AD1032" s="52">
        <f>IF(AB1032="","",IFERROR(INDEX(ctaTipo,MATCH(AB1032,ctaNombre,0))&amp;"",""))</f>
        <v/>
      </c>
      <c r="AE1032" s="52">
        <f>IF(AC1032="","",IFERROR(INDEX(ctaTipo,MATCH(AC1032,ctaNombre,0))&amp;"",""))</f>
        <v/>
      </c>
      <c r="AF1032" s="53">
        <f>IF(OR(P1032="",AB1032=""),"",IF(OR(P1032="Gasto",P1032="Transferencia",P1032="Pago tarjeta"),-1,1)*IF(IFERROR(INDEX(ctaMoneda,MATCH(AB1032,ctaNombre,0))&amp;"","DOP")="USD",T1032,S1032))</f>
        <v/>
      </c>
      <c r="AG1032" s="53">
        <f>IF(AC1032="","",IF(IFERROR(INDEX(ctaMoneda,MATCH(AC1032,ctaNombre,0))&amp;"","DOP")="USD",T1032,S1032))</f>
        <v/>
      </c>
      <c r="AH1032" s="53">
        <f>IF(P1032="","",IF(AND(AD1032&lt;&gt;"",COUNTIFS(tcTipo,AD1032,tcLiq,"Sí")&gt;0),IF(OR(P1032="Gasto",P1032="Transferencia",P1032="Pago tarjeta"),-1,1)*S1032,0)+IF(AND(AE1032&lt;&gt;"",COUNTIFS(tcTipo,AE1032,tcLiq,"Sí")&gt;0),S1032,0))</f>
        <v/>
      </c>
      <c r="AI1032" s="52">
        <f>IF(OR(L1032="",P1032=""),"",IF(COUNTIFS(L$6:L1032,L1032,P$6:P1032,"?*")=1,MAX(AI$5:AI1031)+1,""))</f>
        <v/>
      </c>
    </row>
    <row r="1033">
      <c r="B1033" s="47" t="n"/>
      <c r="C1033" s="48" t="n"/>
      <c r="D1033" s="48" t="n"/>
      <c r="E1033" s="48" t="n"/>
      <c r="F1033" s="48" t="n"/>
      <c r="G1033" s="49" t="n"/>
      <c r="H1033" s="48" t="n"/>
      <c r="I1033" s="50" t="n"/>
      <c r="J1033" s="48" t="n"/>
      <c r="K1033" s="48" t="n"/>
      <c r="L1033" s="48" t="n"/>
      <c r="M1033" s="48" t="n"/>
      <c r="N1033" s="48" t="n"/>
      <c r="O1033" s="51">
        <f>IF(AND(B1033="",G1033="",C1033="",D1033="",J1033=""),"",IF(B1033="","⚠ Falta fecha",IF(G1033="","⚠ Falta monto",IF(Q1033="","⚠ Falta cuenta",IF(ISNA(MATCH(Q1033,ctaNombre,0)),"⚠ Cuenta no registrada",IF(AND(OR(P1033="Gasto",P1033="Reembolso"),D1033=""),"⚠ Falta categoría",IF(AND(D1033&lt;&gt;"",E1033&lt;&gt;"",ISNA(MATCH(D1033&amp;"|"&amp;E1033,catClave,0))),"⚠ Subcategoría no corresponde",IF(AND(OR(P1033="Transferencia",P1033="Pago tarjeta"),K1033=""),"⚠ Falta cuenta destino",IF(AND(K1033&lt;&gt;"",P1033&lt;&gt;"Transferencia",P1033&lt;&gt;"Pago tarjeta"),"⚠ Destino solo aplica a transferencias",IF(AND(K1033&lt;&gt;"",K1033=Q1033),"⚠ Origen igual a destino",IF(AND(K1033&lt;&gt;"",ISNA(MATCH(K1033,ctaNombre,0))),"⚠ Destino no registrado",IF(AND(P1033="Pago tarjeta",AE1033&lt;&gt;"Tarjeta de crédito"),"⚠ El destino debe ser tarjeta de crédito",IF(AND(P1033="Gasto",E1033="Depósitos y retiros"),"⚠ Usa tipo Transferencia",IF(AND(P1033="Resultado trading",AD1033&lt;&gt;"Cuenta de trading"),"⚠ Usa una cuenta de trading",IF(AND(G1033&lt;=0,P1033&lt;&gt;"Ajuste",P1033&lt;&gt;"Resultado trading"),"⚠ El monto debe ser positivo","✓")))))))))))))))</f>
        <v/>
      </c>
      <c r="P1033" s="52">
        <f>IF(OR(B1033="",G1033=""),"",IF(C1033="","Gasto",C1033))</f>
        <v/>
      </c>
      <c r="Q1033" s="52">
        <f>IF(P1033="","",IF(J1033&lt;&gt;"",J1033,CuentaPred&amp;""))</f>
        <v/>
      </c>
      <c r="R1033" s="52">
        <f>IF(P1033="","",IF(ISNUMBER(I1033),I1033,TasaUSD))</f>
        <v/>
      </c>
      <c r="S1033" s="53">
        <f>IF(P1033="","",IF(H1033="USD",G1033*R1033,G1033))</f>
        <v/>
      </c>
      <c r="T1033" s="53">
        <f>IF(P1033="","",IF(H1033="USD",G1033,IF(R1033&gt;0,G1033/R1033,0)))</f>
        <v/>
      </c>
      <c r="U1033" s="53">
        <f>IF(P1033="","",IF(P1033="Gasto",S1033,IF(P1033="Reembolso",-S1033,0)))</f>
        <v/>
      </c>
      <c r="V1033" s="53">
        <f>IF(P1033="","",IF(P1033="Ingreso",S1033,0))</f>
        <v/>
      </c>
      <c r="W1033" s="53">
        <f>IF(P1033="","",IF(P1033="Resultado trading",S1033,0))</f>
        <v/>
      </c>
      <c r="X1033" s="52">
        <f>IF(OR(P1033="Gasto",P1033="Reembolso"),IF(M1033&lt;&gt;"",M1033,IFERROR(INDEX(catClasif,MATCH(D1033&amp;"|"&amp;E1033,catClave,0))&amp;"","Variable")),"")</f>
        <v/>
      </c>
      <c r="Y1033" s="52">
        <f>IF(P1033="","",IFERROR(INDEX(catGrupo,MATCH(D1033&amp;"|"&amp;E1033,catClave,0))&amp;"",""))</f>
        <v/>
      </c>
      <c r="Z1033" s="52">
        <f>IF(P1033="","",WEEKDAY(B1033,2))</f>
        <v/>
      </c>
      <c r="AA1033" s="52">
        <f>IF(P1033="","",IF(AND(P1033="Gasto",X1033="Variable",D1033&lt;&gt;catTrading,S1033&gt;0,S1033&lt;=Umbral),1,0))</f>
        <v/>
      </c>
      <c r="AB1033" s="52">
        <f>IF(OR(P1033="",Q1033=""),"",IFERROR(IF(INDEX(ctaVinc,MATCH(Q1033,ctaNombre,0))&amp;""&lt;&gt;"",INDEX(ctaVinc,MATCH(Q1033,ctaNombre,0))&amp;"",Q1033),Q1033))</f>
        <v/>
      </c>
      <c r="AC1033" s="52">
        <f>IF(OR(K1033="",AND(P1033&lt;&gt;"Transferencia",P1033&lt;&gt;"Pago tarjeta")),"",IFERROR(IF(INDEX(ctaVinc,MATCH(K1033,ctaNombre,0))&amp;""&lt;&gt;"",INDEX(ctaVinc,MATCH(K1033,ctaNombre,0))&amp;"",K1033),K1033))</f>
        <v/>
      </c>
      <c r="AD1033" s="52">
        <f>IF(AB1033="","",IFERROR(INDEX(ctaTipo,MATCH(AB1033,ctaNombre,0))&amp;"",""))</f>
        <v/>
      </c>
      <c r="AE1033" s="52">
        <f>IF(AC1033="","",IFERROR(INDEX(ctaTipo,MATCH(AC1033,ctaNombre,0))&amp;"",""))</f>
        <v/>
      </c>
      <c r="AF1033" s="53">
        <f>IF(OR(P1033="",AB1033=""),"",IF(OR(P1033="Gasto",P1033="Transferencia",P1033="Pago tarjeta"),-1,1)*IF(IFERROR(INDEX(ctaMoneda,MATCH(AB1033,ctaNombre,0))&amp;"","DOP")="USD",T1033,S1033))</f>
        <v/>
      </c>
      <c r="AG1033" s="53">
        <f>IF(AC1033="","",IF(IFERROR(INDEX(ctaMoneda,MATCH(AC1033,ctaNombre,0))&amp;"","DOP")="USD",T1033,S1033))</f>
        <v/>
      </c>
      <c r="AH1033" s="53">
        <f>IF(P1033="","",IF(AND(AD1033&lt;&gt;"",COUNTIFS(tcTipo,AD1033,tcLiq,"Sí")&gt;0),IF(OR(P1033="Gasto",P1033="Transferencia",P1033="Pago tarjeta"),-1,1)*S1033,0)+IF(AND(AE1033&lt;&gt;"",COUNTIFS(tcTipo,AE1033,tcLiq,"Sí")&gt;0),S1033,0))</f>
        <v/>
      </c>
      <c r="AI1033" s="52">
        <f>IF(OR(L1033="",P1033=""),"",IF(COUNTIFS(L$6:L1033,L1033,P$6:P1033,"?*")=1,MAX(AI$5:AI1032)+1,""))</f>
        <v/>
      </c>
    </row>
    <row r="1034">
      <c r="B1034" s="47" t="n"/>
      <c r="C1034" s="48" t="n"/>
      <c r="D1034" s="48" t="n"/>
      <c r="E1034" s="48" t="n"/>
      <c r="F1034" s="48" t="n"/>
      <c r="G1034" s="49" t="n"/>
      <c r="H1034" s="48" t="n"/>
      <c r="I1034" s="50" t="n"/>
      <c r="J1034" s="48" t="n"/>
      <c r="K1034" s="48" t="n"/>
      <c r="L1034" s="48" t="n"/>
      <c r="M1034" s="48" t="n"/>
      <c r="N1034" s="48" t="n"/>
      <c r="O1034" s="51">
        <f>IF(AND(B1034="",G1034="",C1034="",D1034="",J1034=""),"",IF(B1034="","⚠ Falta fecha",IF(G1034="","⚠ Falta monto",IF(Q1034="","⚠ Falta cuenta",IF(ISNA(MATCH(Q1034,ctaNombre,0)),"⚠ Cuenta no registrada",IF(AND(OR(P1034="Gasto",P1034="Reembolso"),D1034=""),"⚠ Falta categoría",IF(AND(D1034&lt;&gt;"",E1034&lt;&gt;"",ISNA(MATCH(D1034&amp;"|"&amp;E1034,catClave,0))),"⚠ Subcategoría no corresponde",IF(AND(OR(P1034="Transferencia",P1034="Pago tarjeta"),K1034=""),"⚠ Falta cuenta destino",IF(AND(K1034&lt;&gt;"",P1034&lt;&gt;"Transferencia",P1034&lt;&gt;"Pago tarjeta"),"⚠ Destino solo aplica a transferencias",IF(AND(K1034&lt;&gt;"",K1034=Q1034),"⚠ Origen igual a destino",IF(AND(K1034&lt;&gt;"",ISNA(MATCH(K1034,ctaNombre,0))),"⚠ Destino no registrado",IF(AND(P1034="Pago tarjeta",AE1034&lt;&gt;"Tarjeta de crédito"),"⚠ El destino debe ser tarjeta de crédito",IF(AND(P1034="Gasto",E1034="Depósitos y retiros"),"⚠ Usa tipo Transferencia",IF(AND(P1034="Resultado trading",AD1034&lt;&gt;"Cuenta de trading"),"⚠ Usa una cuenta de trading",IF(AND(G1034&lt;=0,P1034&lt;&gt;"Ajuste",P1034&lt;&gt;"Resultado trading"),"⚠ El monto debe ser positivo","✓")))))))))))))))</f>
        <v/>
      </c>
      <c r="P1034" s="52">
        <f>IF(OR(B1034="",G1034=""),"",IF(C1034="","Gasto",C1034))</f>
        <v/>
      </c>
      <c r="Q1034" s="52">
        <f>IF(P1034="","",IF(J1034&lt;&gt;"",J1034,CuentaPred&amp;""))</f>
        <v/>
      </c>
      <c r="R1034" s="52">
        <f>IF(P1034="","",IF(ISNUMBER(I1034),I1034,TasaUSD))</f>
        <v/>
      </c>
      <c r="S1034" s="53">
        <f>IF(P1034="","",IF(H1034="USD",G1034*R1034,G1034))</f>
        <v/>
      </c>
      <c r="T1034" s="53">
        <f>IF(P1034="","",IF(H1034="USD",G1034,IF(R1034&gt;0,G1034/R1034,0)))</f>
        <v/>
      </c>
      <c r="U1034" s="53">
        <f>IF(P1034="","",IF(P1034="Gasto",S1034,IF(P1034="Reembolso",-S1034,0)))</f>
        <v/>
      </c>
      <c r="V1034" s="53">
        <f>IF(P1034="","",IF(P1034="Ingreso",S1034,0))</f>
        <v/>
      </c>
      <c r="W1034" s="53">
        <f>IF(P1034="","",IF(P1034="Resultado trading",S1034,0))</f>
        <v/>
      </c>
      <c r="X1034" s="52">
        <f>IF(OR(P1034="Gasto",P1034="Reembolso"),IF(M1034&lt;&gt;"",M1034,IFERROR(INDEX(catClasif,MATCH(D1034&amp;"|"&amp;E1034,catClave,0))&amp;"","Variable")),"")</f>
        <v/>
      </c>
      <c r="Y1034" s="52">
        <f>IF(P1034="","",IFERROR(INDEX(catGrupo,MATCH(D1034&amp;"|"&amp;E1034,catClave,0))&amp;"",""))</f>
        <v/>
      </c>
      <c r="Z1034" s="52">
        <f>IF(P1034="","",WEEKDAY(B1034,2))</f>
        <v/>
      </c>
      <c r="AA1034" s="52">
        <f>IF(P1034="","",IF(AND(P1034="Gasto",X1034="Variable",D1034&lt;&gt;catTrading,S1034&gt;0,S1034&lt;=Umbral),1,0))</f>
        <v/>
      </c>
      <c r="AB1034" s="52">
        <f>IF(OR(P1034="",Q1034=""),"",IFERROR(IF(INDEX(ctaVinc,MATCH(Q1034,ctaNombre,0))&amp;""&lt;&gt;"",INDEX(ctaVinc,MATCH(Q1034,ctaNombre,0))&amp;"",Q1034),Q1034))</f>
        <v/>
      </c>
      <c r="AC1034" s="52">
        <f>IF(OR(K1034="",AND(P1034&lt;&gt;"Transferencia",P1034&lt;&gt;"Pago tarjeta")),"",IFERROR(IF(INDEX(ctaVinc,MATCH(K1034,ctaNombre,0))&amp;""&lt;&gt;"",INDEX(ctaVinc,MATCH(K1034,ctaNombre,0))&amp;"",K1034),K1034))</f>
        <v/>
      </c>
      <c r="AD1034" s="52">
        <f>IF(AB1034="","",IFERROR(INDEX(ctaTipo,MATCH(AB1034,ctaNombre,0))&amp;"",""))</f>
        <v/>
      </c>
      <c r="AE1034" s="52">
        <f>IF(AC1034="","",IFERROR(INDEX(ctaTipo,MATCH(AC1034,ctaNombre,0))&amp;"",""))</f>
        <v/>
      </c>
      <c r="AF1034" s="53">
        <f>IF(OR(P1034="",AB1034=""),"",IF(OR(P1034="Gasto",P1034="Transferencia",P1034="Pago tarjeta"),-1,1)*IF(IFERROR(INDEX(ctaMoneda,MATCH(AB1034,ctaNombre,0))&amp;"","DOP")="USD",T1034,S1034))</f>
        <v/>
      </c>
      <c r="AG1034" s="53">
        <f>IF(AC1034="","",IF(IFERROR(INDEX(ctaMoneda,MATCH(AC1034,ctaNombre,0))&amp;"","DOP")="USD",T1034,S1034))</f>
        <v/>
      </c>
      <c r="AH1034" s="53">
        <f>IF(P1034="","",IF(AND(AD1034&lt;&gt;"",COUNTIFS(tcTipo,AD1034,tcLiq,"Sí")&gt;0),IF(OR(P1034="Gasto",P1034="Transferencia",P1034="Pago tarjeta"),-1,1)*S1034,0)+IF(AND(AE1034&lt;&gt;"",COUNTIFS(tcTipo,AE1034,tcLiq,"Sí")&gt;0),S1034,0))</f>
        <v/>
      </c>
      <c r="AI1034" s="52">
        <f>IF(OR(L1034="",P1034=""),"",IF(COUNTIFS(L$6:L1034,L1034,P$6:P1034,"?*")=1,MAX(AI$5:AI1033)+1,""))</f>
        <v/>
      </c>
    </row>
    <row r="1035">
      <c r="B1035" s="47" t="n"/>
      <c r="C1035" s="48" t="n"/>
      <c r="D1035" s="48" t="n"/>
      <c r="E1035" s="48" t="n"/>
      <c r="F1035" s="48" t="n"/>
      <c r="G1035" s="49" t="n"/>
      <c r="H1035" s="48" t="n"/>
      <c r="I1035" s="50" t="n"/>
      <c r="J1035" s="48" t="n"/>
      <c r="K1035" s="48" t="n"/>
      <c r="L1035" s="48" t="n"/>
      <c r="M1035" s="48" t="n"/>
      <c r="N1035" s="48" t="n"/>
      <c r="O1035" s="51">
        <f>IF(AND(B1035="",G1035="",C1035="",D1035="",J1035=""),"",IF(B1035="","⚠ Falta fecha",IF(G1035="","⚠ Falta monto",IF(Q1035="","⚠ Falta cuenta",IF(ISNA(MATCH(Q1035,ctaNombre,0)),"⚠ Cuenta no registrada",IF(AND(OR(P1035="Gasto",P1035="Reembolso"),D1035=""),"⚠ Falta categoría",IF(AND(D1035&lt;&gt;"",E1035&lt;&gt;"",ISNA(MATCH(D1035&amp;"|"&amp;E1035,catClave,0))),"⚠ Subcategoría no corresponde",IF(AND(OR(P1035="Transferencia",P1035="Pago tarjeta"),K1035=""),"⚠ Falta cuenta destino",IF(AND(K1035&lt;&gt;"",P1035&lt;&gt;"Transferencia",P1035&lt;&gt;"Pago tarjeta"),"⚠ Destino solo aplica a transferencias",IF(AND(K1035&lt;&gt;"",K1035=Q1035),"⚠ Origen igual a destino",IF(AND(K1035&lt;&gt;"",ISNA(MATCH(K1035,ctaNombre,0))),"⚠ Destino no registrado",IF(AND(P1035="Pago tarjeta",AE1035&lt;&gt;"Tarjeta de crédito"),"⚠ El destino debe ser tarjeta de crédito",IF(AND(P1035="Gasto",E1035="Depósitos y retiros"),"⚠ Usa tipo Transferencia",IF(AND(P1035="Resultado trading",AD1035&lt;&gt;"Cuenta de trading"),"⚠ Usa una cuenta de trading",IF(AND(G1035&lt;=0,P1035&lt;&gt;"Ajuste",P1035&lt;&gt;"Resultado trading"),"⚠ El monto debe ser positivo","✓")))))))))))))))</f>
        <v/>
      </c>
      <c r="P1035" s="52">
        <f>IF(OR(B1035="",G1035=""),"",IF(C1035="","Gasto",C1035))</f>
        <v/>
      </c>
      <c r="Q1035" s="52">
        <f>IF(P1035="","",IF(J1035&lt;&gt;"",J1035,CuentaPred&amp;""))</f>
        <v/>
      </c>
      <c r="R1035" s="52">
        <f>IF(P1035="","",IF(ISNUMBER(I1035),I1035,TasaUSD))</f>
        <v/>
      </c>
      <c r="S1035" s="53">
        <f>IF(P1035="","",IF(H1035="USD",G1035*R1035,G1035))</f>
        <v/>
      </c>
      <c r="T1035" s="53">
        <f>IF(P1035="","",IF(H1035="USD",G1035,IF(R1035&gt;0,G1035/R1035,0)))</f>
        <v/>
      </c>
      <c r="U1035" s="53">
        <f>IF(P1035="","",IF(P1035="Gasto",S1035,IF(P1035="Reembolso",-S1035,0)))</f>
        <v/>
      </c>
      <c r="V1035" s="53">
        <f>IF(P1035="","",IF(P1035="Ingreso",S1035,0))</f>
        <v/>
      </c>
      <c r="W1035" s="53">
        <f>IF(P1035="","",IF(P1035="Resultado trading",S1035,0))</f>
        <v/>
      </c>
      <c r="X1035" s="52">
        <f>IF(OR(P1035="Gasto",P1035="Reembolso"),IF(M1035&lt;&gt;"",M1035,IFERROR(INDEX(catClasif,MATCH(D1035&amp;"|"&amp;E1035,catClave,0))&amp;"","Variable")),"")</f>
        <v/>
      </c>
      <c r="Y1035" s="52">
        <f>IF(P1035="","",IFERROR(INDEX(catGrupo,MATCH(D1035&amp;"|"&amp;E1035,catClave,0))&amp;"",""))</f>
        <v/>
      </c>
      <c r="Z1035" s="52">
        <f>IF(P1035="","",WEEKDAY(B1035,2))</f>
        <v/>
      </c>
      <c r="AA1035" s="52">
        <f>IF(P1035="","",IF(AND(P1035="Gasto",X1035="Variable",D1035&lt;&gt;catTrading,S1035&gt;0,S1035&lt;=Umbral),1,0))</f>
        <v/>
      </c>
      <c r="AB1035" s="52">
        <f>IF(OR(P1035="",Q1035=""),"",IFERROR(IF(INDEX(ctaVinc,MATCH(Q1035,ctaNombre,0))&amp;""&lt;&gt;"",INDEX(ctaVinc,MATCH(Q1035,ctaNombre,0))&amp;"",Q1035),Q1035))</f>
        <v/>
      </c>
      <c r="AC1035" s="52">
        <f>IF(OR(K1035="",AND(P1035&lt;&gt;"Transferencia",P1035&lt;&gt;"Pago tarjeta")),"",IFERROR(IF(INDEX(ctaVinc,MATCH(K1035,ctaNombre,0))&amp;""&lt;&gt;"",INDEX(ctaVinc,MATCH(K1035,ctaNombre,0))&amp;"",K1035),K1035))</f>
        <v/>
      </c>
      <c r="AD1035" s="52">
        <f>IF(AB1035="","",IFERROR(INDEX(ctaTipo,MATCH(AB1035,ctaNombre,0))&amp;"",""))</f>
        <v/>
      </c>
      <c r="AE1035" s="52">
        <f>IF(AC1035="","",IFERROR(INDEX(ctaTipo,MATCH(AC1035,ctaNombre,0))&amp;"",""))</f>
        <v/>
      </c>
      <c r="AF1035" s="53">
        <f>IF(OR(P1035="",AB1035=""),"",IF(OR(P1035="Gasto",P1035="Transferencia",P1035="Pago tarjeta"),-1,1)*IF(IFERROR(INDEX(ctaMoneda,MATCH(AB1035,ctaNombre,0))&amp;"","DOP")="USD",T1035,S1035))</f>
        <v/>
      </c>
      <c r="AG1035" s="53">
        <f>IF(AC1035="","",IF(IFERROR(INDEX(ctaMoneda,MATCH(AC1035,ctaNombre,0))&amp;"","DOP")="USD",T1035,S1035))</f>
        <v/>
      </c>
      <c r="AH1035" s="53">
        <f>IF(P1035="","",IF(AND(AD1035&lt;&gt;"",COUNTIFS(tcTipo,AD1035,tcLiq,"Sí")&gt;0),IF(OR(P1035="Gasto",P1035="Transferencia",P1035="Pago tarjeta"),-1,1)*S1035,0)+IF(AND(AE1035&lt;&gt;"",COUNTIFS(tcTipo,AE1035,tcLiq,"Sí")&gt;0),S1035,0))</f>
        <v/>
      </c>
      <c r="AI1035" s="52">
        <f>IF(OR(L1035="",P1035=""),"",IF(COUNTIFS(L$6:L1035,L1035,P$6:P1035,"?*")=1,MAX(AI$5:AI1034)+1,""))</f>
        <v/>
      </c>
    </row>
    <row r="1036">
      <c r="B1036" s="47" t="n"/>
      <c r="C1036" s="48" t="n"/>
      <c r="D1036" s="48" t="n"/>
      <c r="E1036" s="48" t="n"/>
      <c r="F1036" s="48" t="n"/>
      <c r="G1036" s="49" t="n"/>
      <c r="H1036" s="48" t="n"/>
      <c r="I1036" s="50" t="n"/>
      <c r="J1036" s="48" t="n"/>
      <c r="K1036" s="48" t="n"/>
      <c r="L1036" s="48" t="n"/>
      <c r="M1036" s="48" t="n"/>
      <c r="N1036" s="48" t="n"/>
      <c r="O1036" s="51">
        <f>IF(AND(B1036="",G1036="",C1036="",D1036="",J1036=""),"",IF(B1036="","⚠ Falta fecha",IF(G1036="","⚠ Falta monto",IF(Q1036="","⚠ Falta cuenta",IF(ISNA(MATCH(Q1036,ctaNombre,0)),"⚠ Cuenta no registrada",IF(AND(OR(P1036="Gasto",P1036="Reembolso"),D1036=""),"⚠ Falta categoría",IF(AND(D1036&lt;&gt;"",E1036&lt;&gt;"",ISNA(MATCH(D1036&amp;"|"&amp;E1036,catClave,0))),"⚠ Subcategoría no corresponde",IF(AND(OR(P1036="Transferencia",P1036="Pago tarjeta"),K1036=""),"⚠ Falta cuenta destino",IF(AND(K1036&lt;&gt;"",P1036&lt;&gt;"Transferencia",P1036&lt;&gt;"Pago tarjeta"),"⚠ Destino solo aplica a transferencias",IF(AND(K1036&lt;&gt;"",K1036=Q1036),"⚠ Origen igual a destino",IF(AND(K1036&lt;&gt;"",ISNA(MATCH(K1036,ctaNombre,0))),"⚠ Destino no registrado",IF(AND(P1036="Pago tarjeta",AE1036&lt;&gt;"Tarjeta de crédito"),"⚠ El destino debe ser tarjeta de crédito",IF(AND(P1036="Gasto",E1036="Depósitos y retiros"),"⚠ Usa tipo Transferencia",IF(AND(P1036="Resultado trading",AD1036&lt;&gt;"Cuenta de trading"),"⚠ Usa una cuenta de trading",IF(AND(G1036&lt;=0,P1036&lt;&gt;"Ajuste",P1036&lt;&gt;"Resultado trading"),"⚠ El monto debe ser positivo","✓")))))))))))))))</f>
        <v/>
      </c>
      <c r="P1036" s="52">
        <f>IF(OR(B1036="",G1036=""),"",IF(C1036="","Gasto",C1036))</f>
        <v/>
      </c>
      <c r="Q1036" s="52">
        <f>IF(P1036="","",IF(J1036&lt;&gt;"",J1036,CuentaPred&amp;""))</f>
        <v/>
      </c>
      <c r="R1036" s="52">
        <f>IF(P1036="","",IF(ISNUMBER(I1036),I1036,TasaUSD))</f>
        <v/>
      </c>
      <c r="S1036" s="53">
        <f>IF(P1036="","",IF(H1036="USD",G1036*R1036,G1036))</f>
        <v/>
      </c>
      <c r="T1036" s="53">
        <f>IF(P1036="","",IF(H1036="USD",G1036,IF(R1036&gt;0,G1036/R1036,0)))</f>
        <v/>
      </c>
      <c r="U1036" s="53">
        <f>IF(P1036="","",IF(P1036="Gasto",S1036,IF(P1036="Reembolso",-S1036,0)))</f>
        <v/>
      </c>
      <c r="V1036" s="53">
        <f>IF(P1036="","",IF(P1036="Ingreso",S1036,0))</f>
        <v/>
      </c>
      <c r="W1036" s="53">
        <f>IF(P1036="","",IF(P1036="Resultado trading",S1036,0))</f>
        <v/>
      </c>
      <c r="X1036" s="52">
        <f>IF(OR(P1036="Gasto",P1036="Reembolso"),IF(M1036&lt;&gt;"",M1036,IFERROR(INDEX(catClasif,MATCH(D1036&amp;"|"&amp;E1036,catClave,0))&amp;"","Variable")),"")</f>
        <v/>
      </c>
      <c r="Y1036" s="52">
        <f>IF(P1036="","",IFERROR(INDEX(catGrupo,MATCH(D1036&amp;"|"&amp;E1036,catClave,0))&amp;"",""))</f>
        <v/>
      </c>
      <c r="Z1036" s="52">
        <f>IF(P1036="","",WEEKDAY(B1036,2))</f>
        <v/>
      </c>
      <c r="AA1036" s="52">
        <f>IF(P1036="","",IF(AND(P1036="Gasto",X1036="Variable",D1036&lt;&gt;catTrading,S1036&gt;0,S1036&lt;=Umbral),1,0))</f>
        <v/>
      </c>
      <c r="AB1036" s="52">
        <f>IF(OR(P1036="",Q1036=""),"",IFERROR(IF(INDEX(ctaVinc,MATCH(Q1036,ctaNombre,0))&amp;""&lt;&gt;"",INDEX(ctaVinc,MATCH(Q1036,ctaNombre,0))&amp;"",Q1036),Q1036))</f>
        <v/>
      </c>
      <c r="AC1036" s="52">
        <f>IF(OR(K1036="",AND(P1036&lt;&gt;"Transferencia",P1036&lt;&gt;"Pago tarjeta")),"",IFERROR(IF(INDEX(ctaVinc,MATCH(K1036,ctaNombre,0))&amp;""&lt;&gt;"",INDEX(ctaVinc,MATCH(K1036,ctaNombre,0))&amp;"",K1036),K1036))</f>
        <v/>
      </c>
      <c r="AD1036" s="52">
        <f>IF(AB1036="","",IFERROR(INDEX(ctaTipo,MATCH(AB1036,ctaNombre,0))&amp;"",""))</f>
        <v/>
      </c>
      <c r="AE1036" s="52">
        <f>IF(AC1036="","",IFERROR(INDEX(ctaTipo,MATCH(AC1036,ctaNombre,0))&amp;"",""))</f>
        <v/>
      </c>
      <c r="AF1036" s="53">
        <f>IF(OR(P1036="",AB1036=""),"",IF(OR(P1036="Gasto",P1036="Transferencia",P1036="Pago tarjeta"),-1,1)*IF(IFERROR(INDEX(ctaMoneda,MATCH(AB1036,ctaNombre,0))&amp;"","DOP")="USD",T1036,S1036))</f>
        <v/>
      </c>
      <c r="AG1036" s="53">
        <f>IF(AC1036="","",IF(IFERROR(INDEX(ctaMoneda,MATCH(AC1036,ctaNombre,0))&amp;"","DOP")="USD",T1036,S1036))</f>
        <v/>
      </c>
      <c r="AH1036" s="53">
        <f>IF(P1036="","",IF(AND(AD1036&lt;&gt;"",COUNTIFS(tcTipo,AD1036,tcLiq,"Sí")&gt;0),IF(OR(P1036="Gasto",P1036="Transferencia",P1036="Pago tarjeta"),-1,1)*S1036,0)+IF(AND(AE1036&lt;&gt;"",COUNTIFS(tcTipo,AE1036,tcLiq,"Sí")&gt;0),S1036,0))</f>
        <v/>
      </c>
      <c r="AI1036" s="52">
        <f>IF(OR(L1036="",P1036=""),"",IF(COUNTIFS(L$6:L1036,L1036,P$6:P1036,"?*")=1,MAX(AI$5:AI1035)+1,""))</f>
        <v/>
      </c>
    </row>
    <row r="1037">
      <c r="B1037" s="47" t="n"/>
      <c r="C1037" s="48" t="n"/>
      <c r="D1037" s="48" t="n"/>
      <c r="E1037" s="48" t="n"/>
      <c r="F1037" s="48" t="n"/>
      <c r="G1037" s="49" t="n"/>
      <c r="H1037" s="48" t="n"/>
      <c r="I1037" s="50" t="n"/>
      <c r="J1037" s="48" t="n"/>
      <c r="K1037" s="48" t="n"/>
      <c r="L1037" s="48" t="n"/>
      <c r="M1037" s="48" t="n"/>
      <c r="N1037" s="48" t="n"/>
      <c r="O1037" s="51">
        <f>IF(AND(B1037="",G1037="",C1037="",D1037="",J1037=""),"",IF(B1037="","⚠ Falta fecha",IF(G1037="","⚠ Falta monto",IF(Q1037="","⚠ Falta cuenta",IF(ISNA(MATCH(Q1037,ctaNombre,0)),"⚠ Cuenta no registrada",IF(AND(OR(P1037="Gasto",P1037="Reembolso"),D1037=""),"⚠ Falta categoría",IF(AND(D1037&lt;&gt;"",E1037&lt;&gt;"",ISNA(MATCH(D1037&amp;"|"&amp;E1037,catClave,0))),"⚠ Subcategoría no corresponde",IF(AND(OR(P1037="Transferencia",P1037="Pago tarjeta"),K1037=""),"⚠ Falta cuenta destino",IF(AND(K1037&lt;&gt;"",P1037&lt;&gt;"Transferencia",P1037&lt;&gt;"Pago tarjeta"),"⚠ Destino solo aplica a transferencias",IF(AND(K1037&lt;&gt;"",K1037=Q1037),"⚠ Origen igual a destino",IF(AND(K1037&lt;&gt;"",ISNA(MATCH(K1037,ctaNombre,0))),"⚠ Destino no registrado",IF(AND(P1037="Pago tarjeta",AE1037&lt;&gt;"Tarjeta de crédito"),"⚠ El destino debe ser tarjeta de crédito",IF(AND(P1037="Gasto",E1037="Depósitos y retiros"),"⚠ Usa tipo Transferencia",IF(AND(P1037="Resultado trading",AD1037&lt;&gt;"Cuenta de trading"),"⚠ Usa una cuenta de trading",IF(AND(G1037&lt;=0,P1037&lt;&gt;"Ajuste",P1037&lt;&gt;"Resultado trading"),"⚠ El monto debe ser positivo","✓")))))))))))))))</f>
        <v/>
      </c>
      <c r="P1037" s="52">
        <f>IF(OR(B1037="",G1037=""),"",IF(C1037="","Gasto",C1037))</f>
        <v/>
      </c>
      <c r="Q1037" s="52">
        <f>IF(P1037="","",IF(J1037&lt;&gt;"",J1037,CuentaPred&amp;""))</f>
        <v/>
      </c>
      <c r="R1037" s="52">
        <f>IF(P1037="","",IF(ISNUMBER(I1037),I1037,TasaUSD))</f>
        <v/>
      </c>
      <c r="S1037" s="53">
        <f>IF(P1037="","",IF(H1037="USD",G1037*R1037,G1037))</f>
        <v/>
      </c>
      <c r="T1037" s="53">
        <f>IF(P1037="","",IF(H1037="USD",G1037,IF(R1037&gt;0,G1037/R1037,0)))</f>
        <v/>
      </c>
      <c r="U1037" s="53">
        <f>IF(P1037="","",IF(P1037="Gasto",S1037,IF(P1037="Reembolso",-S1037,0)))</f>
        <v/>
      </c>
      <c r="V1037" s="53">
        <f>IF(P1037="","",IF(P1037="Ingreso",S1037,0))</f>
        <v/>
      </c>
      <c r="W1037" s="53">
        <f>IF(P1037="","",IF(P1037="Resultado trading",S1037,0))</f>
        <v/>
      </c>
      <c r="X1037" s="52">
        <f>IF(OR(P1037="Gasto",P1037="Reembolso"),IF(M1037&lt;&gt;"",M1037,IFERROR(INDEX(catClasif,MATCH(D1037&amp;"|"&amp;E1037,catClave,0))&amp;"","Variable")),"")</f>
        <v/>
      </c>
      <c r="Y1037" s="52">
        <f>IF(P1037="","",IFERROR(INDEX(catGrupo,MATCH(D1037&amp;"|"&amp;E1037,catClave,0))&amp;"",""))</f>
        <v/>
      </c>
      <c r="Z1037" s="52">
        <f>IF(P1037="","",WEEKDAY(B1037,2))</f>
        <v/>
      </c>
      <c r="AA1037" s="52">
        <f>IF(P1037="","",IF(AND(P1037="Gasto",X1037="Variable",D1037&lt;&gt;catTrading,S1037&gt;0,S1037&lt;=Umbral),1,0))</f>
        <v/>
      </c>
      <c r="AB1037" s="52">
        <f>IF(OR(P1037="",Q1037=""),"",IFERROR(IF(INDEX(ctaVinc,MATCH(Q1037,ctaNombre,0))&amp;""&lt;&gt;"",INDEX(ctaVinc,MATCH(Q1037,ctaNombre,0))&amp;"",Q1037),Q1037))</f>
        <v/>
      </c>
      <c r="AC1037" s="52">
        <f>IF(OR(K1037="",AND(P1037&lt;&gt;"Transferencia",P1037&lt;&gt;"Pago tarjeta")),"",IFERROR(IF(INDEX(ctaVinc,MATCH(K1037,ctaNombre,0))&amp;""&lt;&gt;"",INDEX(ctaVinc,MATCH(K1037,ctaNombre,0))&amp;"",K1037),K1037))</f>
        <v/>
      </c>
      <c r="AD1037" s="52">
        <f>IF(AB1037="","",IFERROR(INDEX(ctaTipo,MATCH(AB1037,ctaNombre,0))&amp;"",""))</f>
        <v/>
      </c>
      <c r="AE1037" s="52">
        <f>IF(AC1037="","",IFERROR(INDEX(ctaTipo,MATCH(AC1037,ctaNombre,0))&amp;"",""))</f>
        <v/>
      </c>
      <c r="AF1037" s="53">
        <f>IF(OR(P1037="",AB1037=""),"",IF(OR(P1037="Gasto",P1037="Transferencia",P1037="Pago tarjeta"),-1,1)*IF(IFERROR(INDEX(ctaMoneda,MATCH(AB1037,ctaNombre,0))&amp;"","DOP")="USD",T1037,S1037))</f>
        <v/>
      </c>
      <c r="AG1037" s="53">
        <f>IF(AC1037="","",IF(IFERROR(INDEX(ctaMoneda,MATCH(AC1037,ctaNombre,0))&amp;"","DOP")="USD",T1037,S1037))</f>
        <v/>
      </c>
      <c r="AH1037" s="53">
        <f>IF(P1037="","",IF(AND(AD1037&lt;&gt;"",COUNTIFS(tcTipo,AD1037,tcLiq,"Sí")&gt;0),IF(OR(P1037="Gasto",P1037="Transferencia",P1037="Pago tarjeta"),-1,1)*S1037,0)+IF(AND(AE1037&lt;&gt;"",COUNTIFS(tcTipo,AE1037,tcLiq,"Sí")&gt;0),S1037,0))</f>
        <v/>
      </c>
      <c r="AI1037" s="52">
        <f>IF(OR(L1037="",P1037=""),"",IF(COUNTIFS(L$6:L1037,L1037,P$6:P1037,"?*")=1,MAX(AI$5:AI1036)+1,""))</f>
        <v/>
      </c>
    </row>
    <row r="1038">
      <c r="B1038" s="47" t="n"/>
      <c r="C1038" s="48" t="n"/>
      <c r="D1038" s="48" t="n"/>
      <c r="E1038" s="48" t="n"/>
      <c r="F1038" s="48" t="n"/>
      <c r="G1038" s="49" t="n"/>
      <c r="H1038" s="48" t="n"/>
      <c r="I1038" s="50" t="n"/>
      <c r="J1038" s="48" t="n"/>
      <c r="K1038" s="48" t="n"/>
      <c r="L1038" s="48" t="n"/>
      <c r="M1038" s="48" t="n"/>
      <c r="N1038" s="48" t="n"/>
      <c r="O1038" s="51">
        <f>IF(AND(B1038="",G1038="",C1038="",D1038="",J1038=""),"",IF(B1038="","⚠ Falta fecha",IF(G1038="","⚠ Falta monto",IF(Q1038="","⚠ Falta cuenta",IF(ISNA(MATCH(Q1038,ctaNombre,0)),"⚠ Cuenta no registrada",IF(AND(OR(P1038="Gasto",P1038="Reembolso"),D1038=""),"⚠ Falta categoría",IF(AND(D1038&lt;&gt;"",E1038&lt;&gt;"",ISNA(MATCH(D1038&amp;"|"&amp;E1038,catClave,0))),"⚠ Subcategoría no corresponde",IF(AND(OR(P1038="Transferencia",P1038="Pago tarjeta"),K1038=""),"⚠ Falta cuenta destino",IF(AND(K1038&lt;&gt;"",P1038&lt;&gt;"Transferencia",P1038&lt;&gt;"Pago tarjeta"),"⚠ Destino solo aplica a transferencias",IF(AND(K1038&lt;&gt;"",K1038=Q1038),"⚠ Origen igual a destino",IF(AND(K1038&lt;&gt;"",ISNA(MATCH(K1038,ctaNombre,0))),"⚠ Destino no registrado",IF(AND(P1038="Pago tarjeta",AE1038&lt;&gt;"Tarjeta de crédito"),"⚠ El destino debe ser tarjeta de crédito",IF(AND(P1038="Gasto",E1038="Depósitos y retiros"),"⚠ Usa tipo Transferencia",IF(AND(P1038="Resultado trading",AD1038&lt;&gt;"Cuenta de trading"),"⚠ Usa una cuenta de trading",IF(AND(G1038&lt;=0,P1038&lt;&gt;"Ajuste",P1038&lt;&gt;"Resultado trading"),"⚠ El monto debe ser positivo","✓")))))))))))))))</f>
        <v/>
      </c>
      <c r="P1038" s="52">
        <f>IF(OR(B1038="",G1038=""),"",IF(C1038="","Gasto",C1038))</f>
        <v/>
      </c>
      <c r="Q1038" s="52">
        <f>IF(P1038="","",IF(J1038&lt;&gt;"",J1038,CuentaPred&amp;""))</f>
        <v/>
      </c>
      <c r="R1038" s="52">
        <f>IF(P1038="","",IF(ISNUMBER(I1038),I1038,TasaUSD))</f>
        <v/>
      </c>
      <c r="S1038" s="53">
        <f>IF(P1038="","",IF(H1038="USD",G1038*R1038,G1038))</f>
        <v/>
      </c>
      <c r="T1038" s="53">
        <f>IF(P1038="","",IF(H1038="USD",G1038,IF(R1038&gt;0,G1038/R1038,0)))</f>
        <v/>
      </c>
      <c r="U1038" s="53">
        <f>IF(P1038="","",IF(P1038="Gasto",S1038,IF(P1038="Reembolso",-S1038,0)))</f>
        <v/>
      </c>
      <c r="V1038" s="53">
        <f>IF(P1038="","",IF(P1038="Ingreso",S1038,0))</f>
        <v/>
      </c>
      <c r="W1038" s="53">
        <f>IF(P1038="","",IF(P1038="Resultado trading",S1038,0))</f>
        <v/>
      </c>
      <c r="X1038" s="52">
        <f>IF(OR(P1038="Gasto",P1038="Reembolso"),IF(M1038&lt;&gt;"",M1038,IFERROR(INDEX(catClasif,MATCH(D1038&amp;"|"&amp;E1038,catClave,0))&amp;"","Variable")),"")</f>
        <v/>
      </c>
      <c r="Y1038" s="52">
        <f>IF(P1038="","",IFERROR(INDEX(catGrupo,MATCH(D1038&amp;"|"&amp;E1038,catClave,0))&amp;"",""))</f>
        <v/>
      </c>
      <c r="Z1038" s="52">
        <f>IF(P1038="","",WEEKDAY(B1038,2))</f>
        <v/>
      </c>
      <c r="AA1038" s="52">
        <f>IF(P1038="","",IF(AND(P1038="Gasto",X1038="Variable",D1038&lt;&gt;catTrading,S1038&gt;0,S1038&lt;=Umbral),1,0))</f>
        <v/>
      </c>
      <c r="AB1038" s="52">
        <f>IF(OR(P1038="",Q1038=""),"",IFERROR(IF(INDEX(ctaVinc,MATCH(Q1038,ctaNombre,0))&amp;""&lt;&gt;"",INDEX(ctaVinc,MATCH(Q1038,ctaNombre,0))&amp;"",Q1038),Q1038))</f>
        <v/>
      </c>
      <c r="AC1038" s="52">
        <f>IF(OR(K1038="",AND(P1038&lt;&gt;"Transferencia",P1038&lt;&gt;"Pago tarjeta")),"",IFERROR(IF(INDEX(ctaVinc,MATCH(K1038,ctaNombre,0))&amp;""&lt;&gt;"",INDEX(ctaVinc,MATCH(K1038,ctaNombre,0))&amp;"",K1038),K1038))</f>
        <v/>
      </c>
      <c r="AD1038" s="52">
        <f>IF(AB1038="","",IFERROR(INDEX(ctaTipo,MATCH(AB1038,ctaNombre,0))&amp;"",""))</f>
        <v/>
      </c>
      <c r="AE1038" s="52">
        <f>IF(AC1038="","",IFERROR(INDEX(ctaTipo,MATCH(AC1038,ctaNombre,0))&amp;"",""))</f>
        <v/>
      </c>
      <c r="AF1038" s="53">
        <f>IF(OR(P1038="",AB1038=""),"",IF(OR(P1038="Gasto",P1038="Transferencia",P1038="Pago tarjeta"),-1,1)*IF(IFERROR(INDEX(ctaMoneda,MATCH(AB1038,ctaNombre,0))&amp;"","DOP")="USD",T1038,S1038))</f>
        <v/>
      </c>
      <c r="AG1038" s="53">
        <f>IF(AC1038="","",IF(IFERROR(INDEX(ctaMoneda,MATCH(AC1038,ctaNombre,0))&amp;"","DOP")="USD",T1038,S1038))</f>
        <v/>
      </c>
      <c r="AH1038" s="53">
        <f>IF(P1038="","",IF(AND(AD1038&lt;&gt;"",COUNTIFS(tcTipo,AD1038,tcLiq,"Sí")&gt;0),IF(OR(P1038="Gasto",P1038="Transferencia",P1038="Pago tarjeta"),-1,1)*S1038,0)+IF(AND(AE1038&lt;&gt;"",COUNTIFS(tcTipo,AE1038,tcLiq,"Sí")&gt;0),S1038,0))</f>
        <v/>
      </c>
      <c r="AI1038" s="52">
        <f>IF(OR(L1038="",P1038=""),"",IF(COUNTIFS(L$6:L1038,L1038,P$6:P1038,"?*")=1,MAX(AI$5:AI1037)+1,""))</f>
        <v/>
      </c>
    </row>
    <row r="1039">
      <c r="B1039" s="47" t="n"/>
      <c r="C1039" s="48" t="n"/>
      <c r="D1039" s="48" t="n"/>
      <c r="E1039" s="48" t="n"/>
      <c r="F1039" s="48" t="n"/>
      <c r="G1039" s="49" t="n"/>
      <c r="H1039" s="48" t="n"/>
      <c r="I1039" s="50" t="n"/>
      <c r="J1039" s="48" t="n"/>
      <c r="K1039" s="48" t="n"/>
      <c r="L1039" s="48" t="n"/>
      <c r="M1039" s="48" t="n"/>
      <c r="N1039" s="48" t="n"/>
      <c r="O1039" s="51">
        <f>IF(AND(B1039="",G1039="",C1039="",D1039="",J1039=""),"",IF(B1039="","⚠ Falta fecha",IF(G1039="","⚠ Falta monto",IF(Q1039="","⚠ Falta cuenta",IF(ISNA(MATCH(Q1039,ctaNombre,0)),"⚠ Cuenta no registrada",IF(AND(OR(P1039="Gasto",P1039="Reembolso"),D1039=""),"⚠ Falta categoría",IF(AND(D1039&lt;&gt;"",E1039&lt;&gt;"",ISNA(MATCH(D1039&amp;"|"&amp;E1039,catClave,0))),"⚠ Subcategoría no corresponde",IF(AND(OR(P1039="Transferencia",P1039="Pago tarjeta"),K1039=""),"⚠ Falta cuenta destino",IF(AND(K1039&lt;&gt;"",P1039&lt;&gt;"Transferencia",P1039&lt;&gt;"Pago tarjeta"),"⚠ Destino solo aplica a transferencias",IF(AND(K1039&lt;&gt;"",K1039=Q1039),"⚠ Origen igual a destino",IF(AND(K1039&lt;&gt;"",ISNA(MATCH(K1039,ctaNombre,0))),"⚠ Destino no registrado",IF(AND(P1039="Pago tarjeta",AE1039&lt;&gt;"Tarjeta de crédito"),"⚠ El destino debe ser tarjeta de crédito",IF(AND(P1039="Gasto",E1039="Depósitos y retiros"),"⚠ Usa tipo Transferencia",IF(AND(P1039="Resultado trading",AD1039&lt;&gt;"Cuenta de trading"),"⚠ Usa una cuenta de trading",IF(AND(G1039&lt;=0,P1039&lt;&gt;"Ajuste",P1039&lt;&gt;"Resultado trading"),"⚠ El monto debe ser positivo","✓")))))))))))))))</f>
        <v/>
      </c>
      <c r="P1039" s="52">
        <f>IF(OR(B1039="",G1039=""),"",IF(C1039="","Gasto",C1039))</f>
        <v/>
      </c>
      <c r="Q1039" s="52">
        <f>IF(P1039="","",IF(J1039&lt;&gt;"",J1039,CuentaPred&amp;""))</f>
        <v/>
      </c>
      <c r="R1039" s="52">
        <f>IF(P1039="","",IF(ISNUMBER(I1039),I1039,TasaUSD))</f>
        <v/>
      </c>
      <c r="S1039" s="53">
        <f>IF(P1039="","",IF(H1039="USD",G1039*R1039,G1039))</f>
        <v/>
      </c>
      <c r="T1039" s="53">
        <f>IF(P1039="","",IF(H1039="USD",G1039,IF(R1039&gt;0,G1039/R1039,0)))</f>
        <v/>
      </c>
      <c r="U1039" s="53">
        <f>IF(P1039="","",IF(P1039="Gasto",S1039,IF(P1039="Reembolso",-S1039,0)))</f>
        <v/>
      </c>
      <c r="V1039" s="53">
        <f>IF(P1039="","",IF(P1039="Ingreso",S1039,0))</f>
        <v/>
      </c>
      <c r="W1039" s="53">
        <f>IF(P1039="","",IF(P1039="Resultado trading",S1039,0))</f>
        <v/>
      </c>
      <c r="X1039" s="52">
        <f>IF(OR(P1039="Gasto",P1039="Reembolso"),IF(M1039&lt;&gt;"",M1039,IFERROR(INDEX(catClasif,MATCH(D1039&amp;"|"&amp;E1039,catClave,0))&amp;"","Variable")),"")</f>
        <v/>
      </c>
      <c r="Y1039" s="52">
        <f>IF(P1039="","",IFERROR(INDEX(catGrupo,MATCH(D1039&amp;"|"&amp;E1039,catClave,0))&amp;"",""))</f>
        <v/>
      </c>
      <c r="Z1039" s="52">
        <f>IF(P1039="","",WEEKDAY(B1039,2))</f>
        <v/>
      </c>
      <c r="AA1039" s="52">
        <f>IF(P1039="","",IF(AND(P1039="Gasto",X1039="Variable",D1039&lt;&gt;catTrading,S1039&gt;0,S1039&lt;=Umbral),1,0))</f>
        <v/>
      </c>
      <c r="AB1039" s="52">
        <f>IF(OR(P1039="",Q1039=""),"",IFERROR(IF(INDEX(ctaVinc,MATCH(Q1039,ctaNombre,0))&amp;""&lt;&gt;"",INDEX(ctaVinc,MATCH(Q1039,ctaNombre,0))&amp;"",Q1039),Q1039))</f>
        <v/>
      </c>
      <c r="AC1039" s="52">
        <f>IF(OR(K1039="",AND(P1039&lt;&gt;"Transferencia",P1039&lt;&gt;"Pago tarjeta")),"",IFERROR(IF(INDEX(ctaVinc,MATCH(K1039,ctaNombre,0))&amp;""&lt;&gt;"",INDEX(ctaVinc,MATCH(K1039,ctaNombre,0))&amp;"",K1039),K1039))</f>
        <v/>
      </c>
      <c r="AD1039" s="52">
        <f>IF(AB1039="","",IFERROR(INDEX(ctaTipo,MATCH(AB1039,ctaNombre,0))&amp;"",""))</f>
        <v/>
      </c>
      <c r="AE1039" s="52">
        <f>IF(AC1039="","",IFERROR(INDEX(ctaTipo,MATCH(AC1039,ctaNombre,0))&amp;"",""))</f>
        <v/>
      </c>
      <c r="AF1039" s="53">
        <f>IF(OR(P1039="",AB1039=""),"",IF(OR(P1039="Gasto",P1039="Transferencia",P1039="Pago tarjeta"),-1,1)*IF(IFERROR(INDEX(ctaMoneda,MATCH(AB1039,ctaNombre,0))&amp;"","DOP")="USD",T1039,S1039))</f>
        <v/>
      </c>
      <c r="AG1039" s="53">
        <f>IF(AC1039="","",IF(IFERROR(INDEX(ctaMoneda,MATCH(AC1039,ctaNombre,0))&amp;"","DOP")="USD",T1039,S1039))</f>
        <v/>
      </c>
      <c r="AH1039" s="53">
        <f>IF(P1039="","",IF(AND(AD1039&lt;&gt;"",COUNTIFS(tcTipo,AD1039,tcLiq,"Sí")&gt;0),IF(OR(P1039="Gasto",P1039="Transferencia",P1039="Pago tarjeta"),-1,1)*S1039,0)+IF(AND(AE1039&lt;&gt;"",COUNTIFS(tcTipo,AE1039,tcLiq,"Sí")&gt;0),S1039,0))</f>
        <v/>
      </c>
      <c r="AI1039" s="52">
        <f>IF(OR(L1039="",P1039=""),"",IF(COUNTIFS(L$6:L1039,L1039,P$6:P1039,"?*")=1,MAX(AI$5:AI1038)+1,""))</f>
        <v/>
      </c>
    </row>
    <row r="1040">
      <c r="B1040" s="47" t="n"/>
      <c r="C1040" s="48" t="n"/>
      <c r="D1040" s="48" t="n"/>
      <c r="E1040" s="48" t="n"/>
      <c r="F1040" s="48" t="n"/>
      <c r="G1040" s="49" t="n"/>
      <c r="H1040" s="48" t="n"/>
      <c r="I1040" s="50" t="n"/>
      <c r="J1040" s="48" t="n"/>
      <c r="K1040" s="48" t="n"/>
      <c r="L1040" s="48" t="n"/>
      <c r="M1040" s="48" t="n"/>
      <c r="N1040" s="48" t="n"/>
      <c r="O1040" s="51">
        <f>IF(AND(B1040="",G1040="",C1040="",D1040="",J1040=""),"",IF(B1040="","⚠ Falta fecha",IF(G1040="","⚠ Falta monto",IF(Q1040="","⚠ Falta cuenta",IF(ISNA(MATCH(Q1040,ctaNombre,0)),"⚠ Cuenta no registrada",IF(AND(OR(P1040="Gasto",P1040="Reembolso"),D1040=""),"⚠ Falta categoría",IF(AND(D1040&lt;&gt;"",E1040&lt;&gt;"",ISNA(MATCH(D1040&amp;"|"&amp;E1040,catClave,0))),"⚠ Subcategoría no corresponde",IF(AND(OR(P1040="Transferencia",P1040="Pago tarjeta"),K1040=""),"⚠ Falta cuenta destino",IF(AND(K1040&lt;&gt;"",P1040&lt;&gt;"Transferencia",P1040&lt;&gt;"Pago tarjeta"),"⚠ Destino solo aplica a transferencias",IF(AND(K1040&lt;&gt;"",K1040=Q1040),"⚠ Origen igual a destino",IF(AND(K1040&lt;&gt;"",ISNA(MATCH(K1040,ctaNombre,0))),"⚠ Destino no registrado",IF(AND(P1040="Pago tarjeta",AE1040&lt;&gt;"Tarjeta de crédito"),"⚠ El destino debe ser tarjeta de crédito",IF(AND(P1040="Gasto",E1040="Depósitos y retiros"),"⚠ Usa tipo Transferencia",IF(AND(P1040="Resultado trading",AD1040&lt;&gt;"Cuenta de trading"),"⚠ Usa una cuenta de trading",IF(AND(G1040&lt;=0,P1040&lt;&gt;"Ajuste",P1040&lt;&gt;"Resultado trading"),"⚠ El monto debe ser positivo","✓")))))))))))))))</f>
        <v/>
      </c>
      <c r="P1040" s="52">
        <f>IF(OR(B1040="",G1040=""),"",IF(C1040="","Gasto",C1040))</f>
        <v/>
      </c>
      <c r="Q1040" s="52">
        <f>IF(P1040="","",IF(J1040&lt;&gt;"",J1040,CuentaPred&amp;""))</f>
        <v/>
      </c>
      <c r="R1040" s="52">
        <f>IF(P1040="","",IF(ISNUMBER(I1040),I1040,TasaUSD))</f>
        <v/>
      </c>
      <c r="S1040" s="53">
        <f>IF(P1040="","",IF(H1040="USD",G1040*R1040,G1040))</f>
        <v/>
      </c>
      <c r="T1040" s="53">
        <f>IF(P1040="","",IF(H1040="USD",G1040,IF(R1040&gt;0,G1040/R1040,0)))</f>
        <v/>
      </c>
      <c r="U1040" s="53">
        <f>IF(P1040="","",IF(P1040="Gasto",S1040,IF(P1040="Reembolso",-S1040,0)))</f>
        <v/>
      </c>
      <c r="V1040" s="53">
        <f>IF(P1040="","",IF(P1040="Ingreso",S1040,0))</f>
        <v/>
      </c>
      <c r="W1040" s="53">
        <f>IF(P1040="","",IF(P1040="Resultado trading",S1040,0))</f>
        <v/>
      </c>
      <c r="X1040" s="52">
        <f>IF(OR(P1040="Gasto",P1040="Reembolso"),IF(M1040&lt;&gt;"",M1040,IFERROR(INDEX(catClasif,MATCH(D1040&amp;"|"&amp;E1040,catClave,0))&amp;"","Variable")),"")</f>
        <v/>
      </c>
      <c r="Y1040" s="52">
        <f>IF(P1040="","",IFERROR(INDEX(catGrupo,MATCH(D1040&amp;"|"&amp;E1040,catClave,0))&amp;"",""))</f>
        <v/>
      </c>
      <c r="Z1040" s="52">
        <f>IF(P1040="","",WEEKDAY(B1040,2))</f>
        <v/>
      </c>
      <c r="AA1040" s="52">
        <f>IF(P1040="","",IF(AND(P1040="Gasto",X1040="Variable",D1040&lt;&gt;catTrading,S1040&gt;0,S1040&lt;=Umbral),1,0))</f>
        <v/>
      </c>
      <c r="AB1040" s="52">
        <f>IF(OR(P1040="",Q1040=""),"",IFERROR(IF(INDEX(ctaVinc,MATCH(Q1040,ctaNombre,0))&amp;""&lt;&gt;"",INDEX(ctaVinc,MATCH(Q1040,ctaNombre,0))&amp;"",Q1040),Q1040))</f>
        <v/>
      </c>
      <c r="AC1040" s="52">
        <f>IF(OR(K1040="",AND(P1040&lt;&gt;"Transferencia",P1040&lt;&gt;"Pago tarjeta")),"",IFERROR(IF(INDEX(ctaVinc,MATCH(K1040,ctaNombre,0))&amp;""&lt;&gt;"",INDEX(ctaVinc,MATCH(K1040,ctaNombre,0))&amp;"",K1040),K1040))</f>
        <v/>
      </c>
      <c r="AD1040" s="52">
        <f>IF(AB1040="","",IFERROR(INDEX(ctaTipo,MATCH(AB1040,ctaNombre,0))&amp;"",""))</f>
        <v/>
      </c>
      <c r="AE1040" s="52">
        <f>IF(AC1040="","",IFERROR(INDEX(ctaTipo,MATCH(AC1040,ctaNombre,0))&amp;"",""))</f>
        <v/>
      </c>
      <c r="AF1040" s="53">
        <f>IF(OR(P1040="",AB1040=""),"",IF(OR(P1040="Gasto",P1040="Transferencia",P1040="Pago tarjeta"),-1,1)*IF(IFERROR(INDEX(ctaMoneda,MATCH(AB1040,ctaNombre,0))&amp;"","DOP")="USD",T1040,S1040))</f>
        <v/>
      </c>
      <c r="AG1040" s="53">
        <f>IF(AC1040="","",IF(IFERROR(INDEX(ctaMoneda,MATCH(AC1040,ctaNombre,0))&amp;"","DOP")="USD",T1040,S1040))</f>
        <v/>
      </c>
      <c r="AH1040" s="53">
        <f>IF(P1040="","",IF(AND(AD1040&lt;&gt;"",COUNTIFS(tcTipo,AD1040,tcLiq,"Sí")&gt;0),IF(OR(P1040="Gasto",P1040="Transferencia",P1040="Pago tarjeta"),-1,1)*S1040,0)+IF(AND(AE1040&lt;&gt;"",COUNTIFS(tcTipo,AE1040,tcLiq,"Sí")&gt;0),S1040,0))</f>
        <v/>
      </c>
      <c r="AI1040" s="52">
        <f>IF(OR(L1040="",P1040=""),"",IF(COUNTIFS(L$6:L1040,L1040,P$6:P1040,"?*")=1,MAX(AI$5:AI1039)+1,""))</f>
        <v/>
      </c>
    </row>
    <row r="1041">
      <c r="B1041" s="47" t="n"/>
      <c r="C1041" s="48" t="n"/>
      <c r="D1041" s="48" t="n"/>
      <c r="E1041" s="48" t="n"/>
      <c r="F1041" s="48" t="n"/>
      <c r="G1041" s="49" t="n"/>
      <c r="H1041" s="48" t="n"/>
      <c r="I1041" s="50" t="n"/>
      <c r="J1041" s="48" t="n"/>
      <c r="K1041" s="48" t="n"/>
      <c r="L1041" s="48" t="n"/>
      <c r="M1041" s="48" t="n"/>
      <c r="N1041" s="48" t="n"/>
      <c r="O1041" s="51">
        <f>IF(AND(B1041="",G1041="",C1041="",D1041="",J1041=""),"",IF(B1041="","⚠ Falta fecha",IF(G1041="","⚠ Falta monto",IF(Q1041="","⚠ Falta cuenta",IF(ISNA(MATCH(Q1041,ctaNombre,0)),"⚠ Cuenta no registrada",IF(AND(OR(P1041="Gasto",P1041="Reembolso"),D1041=""),"⚠ Falta categoría",IF(AND(D1041&lt;&gt;"",E1041&lt;&gt;"",ISNA(MATCH(D1041&amp;"|"&amp;E1041,catClave,0))),"⚠ Subcategoría no corresponde",IF(AND(OR(P1041="Transferencia",P1041="Pago tarjeta"),K1041=""),"⚠ Falta cuenta destino",IF(AND(K1041&lt;&gt;"",P1041&lt;&gt;"Transferencia",P1041&lt;&gt;"Pago tarjeta"),"⚠ Destino solo aplica a transferencias",IF(AND(K1041&lt;&gt;"",K1041=Q1041),"⚠ Origen igual a destino",IF(AND(K1041&lt;&gt;"",ISNA(MATCH(K1041,ctaNombre,0))),"⚠ Destino no registrado",IF(AND(P1041="Pago tarjeta",AE1041&lt;&gt;"Tarjeta de crédito"),"⚠ El destino debe ser tarjeta de crédito",IF(AND(P1041="Gasto",E1041="Depósitos y retiros"),"⚠ Usa tipo Transferencia",IF(AND(P1041="Resultado trading",AD1041&lt;&gt;"Cuenta de trading"),"⚠ Usa una cuenta de trading",IF(AND(G1041&lt;=0,P1041&lt;&gt;"Ajuste",P1041&lt;&gt;"Resultado trading"),"⚠ El monto debe ser positivo","✓")))))))))))))))</f>
        <v/>
      </c>
      <c r="P1041" s="52">
        <f>IF(OR(B1041="",G1041=""),"",IF(C1041="","Gasto",C1041))</f>
        <v/>
      </c>
      <c r="Q1041" s="52">
        <f>IF(P1041="","",IF(J1041&lt;&gt;"",J1041,CuentaPred&amp;""))</f>
        <v/>
      </c>
      <c r="R1041" s="52">
        <f>IF(P1041="","",IF(ISNUMBER(I1041),I1041,TasaUSD))</f>
        <v/>
      </c>
      <c r="S1041" s="53">
        <f>IF(P1041="","",IF(H1041="USD",G1041*R1041,G1041))</f>
        <v/>
      </c>
      <c r="T1041" s="53">
        <f>IF(P1041="","",IF(H1041="USD",G1041,IF(R1041&gt;0,G1041/R1041,0)))</f>
        <v/>
      </c>
      <c r="U1041" s="53">
        <f>IF(P1041="","",IF(P1041="Gasto",S1041,IF(P1041="Reembolso",-S1041,0)))</f>
        <v/>
      </c>
      <c r="V1041" s="53">
        <f>IF(P1041="","",IF(P1041="Ingreso",S1041,0))</f>
        <v/>
      </c>
      <c r="W1041" s="53">
        <f>IF(P1041="","",IF(P1041="Resultado trading",S1041,0))</f>
        <v/>
      </c>
      <c r="X1041" s="52">
        <f>IF(OR(P1041="Gasto",P1041="Reembolso"),IF(M1041&lt;&gt;"",M1041,IFERROR(INDEX(catClasif,MATCH(D1041&amp;"|"&amp;E1041,catClave,0))&amp;"","Variable")),"")</f>
        <v/>
      </c>
      <c r="Y1041" s="52">
        <f>IF(P1041="","",IFERROR(INDEX(catGrupo,MATCH(D1041&amp;"|"&amp;E1041,catClave,0))&amp;"",""))</f>
        <v/>
      </c>
      <c r="Z1041" s="52">
        <f>IF(P1041="","",WEEKDAY(B1041,2))</f>
        <v/>
      </c>
      <c r="AA1041" s="52">
        <f>IF(P1041="","",IF(AND(P1041="Gasto",X1041="Variable",D1041&lt;&gt;catTrading,S1041&gt;0,S1041&lt;=Umbral),1,0))</f>
        <v/>
      </c>
      <c r="AB1041" s="52">
        <f>IF(OR(P1041="",Q1041=""),"",IFERROR(IF(INDEX(ctaVinc,MATCH(Q1041,ctaNombre,0))&amp;""&lt;&gt;"",INDEX(ctaVinc,MATCH(Q1041,ctaNombre,0))&amp;"",Q1041),Q1041))</f>
        <v/>
      </c>
      <c r="AC1041" s="52">
        <f>IF(OR(K1041="",AND(P1041&lt;&gt;"Transferencia",P1041&lt;&gt;"Pago tarjeta")),"",IFERROR(IF(INDEX(ctaVinc,MATCH(K1041,ctaNombre,0))&amp;""&lt;&gt;"",INDEX(ctaVinc,MATCH(K1041,ctaNombre,0))&amp;"",K1041),K1041))</f>
        <v/>
      </c>
      <c r="AD1041" s="52">
        <f>IF(AB1041="","",IFERROR(INDEX(ctaTipo,MATCH(AB1041,ctaNombre,0))&amp;"",""))</f>
        <v/>
      </c>
      <c r="AE1041" s="52">
        <f>IF(AC1041="","",IFERROR(INDEX(ctaTipo,MATCH(AC1041,ctaNombre,0))&amp;"",""))</f>
        <v/>
      </c>
      <c r="AF1041" s="53">
        <f>IF(OR(P1041="",AB1041=""),"",IF(OR(P1041="Gasto",P1041="Transferencia",P1041="Pago tarjeta"),-1,1)*IF(IFERROR(INDEX(ctaMoneda,MATCH(AB1041,ctaNombre,0))&amp;"","DOP")="USD",T1041,S1041))</f>
        <v/>
      </c>
      <c r="AG1041" s="53">
        <f>IF(AC1041="","",IF(IFERROR(INDEX(ctaMoneda,MATCH(AC1041,ctaNombre,0))&amp;"","DOP")="USD",T1041,S1041))</f>
        <v/>
      </c>
      <c r="AH1041" s="53">
        <f>IF(P1041="","",IF(AND(AD1041&lt;&gt;"",COUNTIFS(tcTipo,AD1041,tcLiq,"Sí")&gt;0),IF(OR(P1041="Gasto",P1041="Transferencia",P1041="Pago tarjeta"),-1,1)*S1041,0)+IF(AND(AE1041&lt;&gt;"",COUNTIFS(tcTipo,AE1041,tcLiq,"Sí")&gt;0),S1041,0))</f>
        <v/>
      </c>
      <c r="AI1041" s="52">
        <f>IF(OR(L1041="",P1041=""),"",IF(COUNTIFS(L$6:L1041,L1041,P$6:P1041,"?*")=1,MAX(AI$5:AI1040)+1,""))</f>
        <v/>
      </c>
    </row>
    <row r="1042">
      <c r="B1042" s="47" t="n"/>
      <c r="C1042" s="48" t="n"/>
      <c r="D1042" s="48" t="n"/>
      <c r="E1042" s="48" t="n"/>
      <c r="F1042" s="48" t="n"/>
      <c r="G1042" s="49" t="n"/>
      <c r="H1042" s="48" t="n"/>
      <c r="I1042" s="50" t="n"/>
      <c r="J1042" s="48" t="n"/>
      <c r="K1042" s="48" t="n"/>
      <c r="L1042" s="48" t="n"/>
      <c r="M1042" s="48" t="n"/>
      <c r="N1042" s="48" t="n"/>
      <c r="O1042" s="51">
        <f>IF(AND(B1042="",G1042="",C1042="",D1042="",J1042=""),"",IF(B1042="","⚠ Falta fecha",IF(G1042="","⚠ Falta monto",IF(Q1042="","⚠ Falta cuenta",IF(ISNA(MATCH(Q1042,ctaNombre,0)),"⚠ Cuenta no registrada",IF(AND(OR(P1042="Gasto",P1042="Reembolso"),D1042=""),"⚠ Falta categoría",IF(AND(D1042&lt;&gt;"",E1042&lt;&gt;"",ISNA(MATCH(D1042&amp;"|"&amp;E1042,catClave,0))),"⚠ Subcategoría no corresponde",IF(AND(OR(P1042="Transferencia",P1042="Pago tarjeta"),K1042=""),"⚠ Falta cuenta destino",IF(AND(K1042&lt;&gt;"",P1042&lt;&gt;"Transferencia",P1042&lt;&gt;"Pago tarjeta"),"⚠ Destino solo aplica a transferencias",IF(AND(K1042&lt;&gt;"",K1042=Q1042),"⚠ Origen igual a destino",IF(AND(K1042&lt;&gt;"",ISNA(MATCH(K1042,ctaNombre,0))),"⚠ Destino no registrado",IF(AND(P1042="Pago tarjeta",AE1042&lt;&gt;"Tarjeta de crédito"),"⚠ El destino debe ser tarjeta de crédito",IF(AND(P1042="Gasto",E1042="Depósitos y retiros"),"⚠ Usa tipo Transferencia",IF(AND(P1042="Resultado trading",AD1042&lt;&gt;"Cuenta de trading"),"⚠ Usa una cuenta de trading",IF(AND(G1042&lt;=0,P1042&lt;&gt;"Ajuste",P1042&lt;&gt;"Resultado trading"),"⚠ El monto debe ser positivo","✓")))))))))))))))</f>
        <v/>
      </c>
      <c r="P1042" s="52">
        <f>IF(OR(B1042="",G1042=""),"",IF(C1042="","Gasto",C1042))</f>
        <v/>
      </c>
      <c r="Q1042" s="52">
        <f>IF(P1042="","",IF(J1042&lt;&gt;"",J1042,CuentaPred&amp;""))</f>
        <v/>
      </c>
      <c r="R1042" s="52">
        <f>IF(P1042="","",IF(ISNUMBER(I1042),I1042,TasaUSD))</f>
        <v/>
      </c>
      <c r="S1042" s="53">
        <f>IF(P1042="","",IF(H1042="USD",G1042*R1042,G1042))</f>
        <v/>
      </c>
      <c r="T1042" s="53">
        <f>IF(P1042="","",IF(H1042="USD",G1042,IF(R1042&gt;0,G1042/R1042,0)))</f>
        <v/>
      </c>
      <c r="U1042" s="53">
        <f>IF(P1042="","",IF(P1042="Gasto",S1042,IF(P1042="Reembolso",-S1042,0)))</f>
        <v/>
      </c>
      <c r="V1042" s="53">
        <f>IF(P1042="","",IF(P1042="Ingreso",S1042,0))</f>
        <v/>
      </c>
      <c r="W1042" s="53">
        <f>IF(P1042="","",IF(P1042="Resultado trading",S1042,0))</f>
        <v/>
      </c>
      <c r="X1042" s="52">
        <f>IF(OR(P1042="Gasto",P1042="Reembolso"),IF(M1042&lt;&gt;"",M1042,IFERROR(INDEX(catClasif,MATCH(D1042&amp;"|"&amp;E1042,catClave,0))&amp;"","Variable")),"")</f>
        <v/>
      </c>
      <c r="Y1042" s="52">
        <f>IF(P1042="","",IFERROR(INDEX(catGrupo,MATCH(D1042&amp;"|"&amp;E1042,catClave,0))&amp;"",""))</f>
        <v/>
      </c>
      <c r="Z1042" s="52">
        <f>IF(P1042="","",WEEKDAY(B1042,2))</f>
        <v/>
      </c>
      <c r="AA1042" s="52">
        <f>IF(P1042="","",IF(AND(P1042="Gasto",X1042="Variable",D1042&lt;&gt;catTrading,S1042&gt;0,S1042&lt;=Umbral),1,0))</f>
        <v/>
      </c>
      <c r="AB1042" s="52">
        <f>IF(OR(P1042="",Q1042=""),"",IFERROR(IF(INDEX(ctaVinc,MATCH(Q1042,ctaNombre,0))&amp;""&lt;&gt;"",INDEX(ctaVinc,MATCH(Q1042,ctaNombre,0))&amp;"",Q1042),Q1042))</f>
        <v/>
      </c>
      <c r="AC1042" s="52">
        <f>IF(OR(K1042="",AND(P1042&lt;&gt;"Transferencia",P1042&lt;&gt;"Pago tarjeta")),"",IFERROR(IF(INDEX(ctaVinc,MATCH(K1042,ctaNombre,0))&amp;""&lt;&gt;"",INDEX(ctaVinc,MATCH(K1042,ctaNombre,0))&amp;"",K1042),K1042))</f>
        <v/>
      </c>
      <c r="AD1042" s="52">
        <f>IF(AB1042="","",IFERROR(INDEX(ctaTipo,MATCH(AB1042,ctaNombre,0))&amp;"",""))</f>
        <v/>
      </c>
      <c r="AE1042" s="52">
        <f>IF(AC1042="","",IFERROR(INDEX(ctaTipo,MATCH(AC1042,ctaNombre,0))&amp;"",""))</f>
        <v/>
      </c>
      <c r="AF1042" s="53">
        <f>IF(OR(P1042="",AB1042=""),"",IF(OR(P1042="Gasto",P1042="Transferencia",P1042="Pago tarjeta"),-1,1)*IF(IFERROR(INDEX(ctaMoneda,MATCH(AB1042,ctaNombre,0))&amp;"","DOP")="USD",T1042,S1042))</f>
        <v/>
      </c>
      <c r="AG1042" s="53">
        <f>IF(AC1042="","",IF(IFERROR(INDEX(ctaMoneda,MATCH(AC1042,ctaNombre,0))&amp;"","DOP")="USD",T1042,S1042))</f>
        <v/>
      </c>
      <c r="AH1042" s="53">
        <f>IF(P1042="","",IF(AND(AD1042&lt;&gt;"",COUNTIFS(tcTipo,AD1042,tcLiq,"Sí")&gt;0),IF(OR(P1042="Gasto",P1042="Transferencia",P1042="Pago tarjeta"),-1,1)*S1042,0)+IF(AND(AE1042&lt;&gt;"",COUNTIFS(tcTipo,AE1042,tcLiq,"Sí")&gt;0),S1042,0))</f>
        <v/>
      </c>
      <c r="AI1042" s="52">
        <f>IF(OR(L1042="",P1042=""),"",IF(COUNTIFS(L$6:L1042,L1042,P$6:P1042,"?*")=1,MAX(AI$5:AI1041)+1,""))</f>
        <v/>
      </c>
    </row>
    <row r="1043">
      <c r="B1043" s="47" t="n"/>
      <c r="C1043" s="48" t="n"/>
      <c r="D1043" s="48" t="n"/>
      <c r="E1043" s="48" t="n"/>
      <c r="F1043" s="48" t="n"/>
      <c r="G1043" s="49" t="n"/>
      <c r="H1043" s="48" t="n"/>
      <c r="I1043" s="50" t="n"/>
      <c r="J1043" s="48" t="n"/>
      <c r="K1043" s="48" t="n"/>
      <c r="L1043" s="48" t="n"/>
      <c r="M1043" s="48" t="n"/>
      <c r="N1043" s="48" t="n"/>
      <c r="O1043" s="51">
        <f>IF(AND(B1043="",G1043="",C1043="",D1043="",J1043=""),"",IF(B1043="","⚠ Falta fecha",IF(G1043="","⚠ Falta monto",IF(Q1043="","⚠ Falta cuenta",IF(ISNA(MATCH(Q1043,ctaNombre,0)),"⚠ Cuenta no registrada",IF(AND(OR(P1043="Gasto",P1043="Reembolso"),D1043=""),"⚠ Falta categoría",IF(AND(D1043&lt;&gt;"",E1043&lt;&gt;"",ISNA(MATCH(D1043&amp;"|"&amp;E1043,catClave,0))),"⚠ Subcategoría no corresponde",IF(AND(OR(P1043="Transferencia",P1043="Pago tarjeta"),K1043=""),"⚠ Falta cuenta destino",IF(AND(K1043&lt;&gt;"",P1043&lt;&gt;"Transferencia",P1043&lt;&gt;"Pago tarjeta"),"⚠ Destino solo aplica a transferencias",IF(AND(K1043&lt;&gt;"",K1043=Q1043),"⚠ Origen igual a destino",IF(AND(K1043&lt;&gt;"",ISNA(MATCH(K1043,ctaNombre,0))),"⚠ Destino no registrado",IF(AND(P1043="Pago tarjeta",AE1043&lt;&gt;"Tarjeta de crédito"),"⚠ El destino debe ser tarjeta de crédito",IF(AND(P1043="Gasto",E1043="Depósitos y retiros"),"⚠ Usa tipo Transferencia",IF(AND(P1043="Resultado trading",AD1043&lt;&gt;"Cuenta de trading"),"⚠ Usa una cuenta de trading",IF(AND(G1043&lt;=0,P1043&lt;&gt;"Ajuste",P1043&lt;&gt;"Resultado trading"),"⚠ El monto debe ser positivo","✓")))))))))))))))</f>
        <v/>
      </c>
      <c r="P1043" s="52">
        <f>IF(OR(B1043="",G1043=""),"",IF(C1043="","Gasto",C1043))</f>
        <v/>
      </c>
      <c r="Q1043" s="52">
        <f>IF(P1043="","",IF(J1043&lt;&gt;"",J1043,CuentaPred&amp;""))</f>
        <v/>
      </c>
      <c r="R1043" s="52">
        <f>IF(P1043="","",IF(ISNUMBER(I1043),I1043,TasaUSD))</f>
        <v/>
      </c>
      <c r="S1043" s="53">
        <f>IF(P1043="","",IF(H1043="USD",G1043*R1043,G1043))</f>
        <v/>
      </c>
      <c r="T1043" s="53">
        <f>IF(P1043="","",IF(H1043="USD",G1043,IF(R1043&gt;0,G1043/R1043,0)))</f>
        <v/>
      </c>
      <c r="U1043" s="53">
        <f>IF(P1043="","",IF(P1043="Gasto",S1043,IF(P1043="Reembolso",-S1043,0)))</f>
        <v/>
      </c>
      <c r="V1043" s="53">
        <f>IF(P1043="","",IF(P1043="Ingreso",S1043,0))</f>
        <v/>
      </c>
      <c r="W1043" s="53">
        <f>IF(P1043="","",IF(P1043="Resultado trading",S1043,0))</f>
        <v/>
      </c>
      <c r="X1043" s="52">
        <f>IF(OR(P1043="Gasto",P1043="Reembolso"),IF(M1043&lt;&gt;"",M1043,IFERROR(INDEX(catClasif,MATCH(D1043&amp;"|"&amp;E1043,catClave,0))&amp;"","Variable")),"")</f>
        <v/>
      </c>
      <c r="Y1043" s="52">
        <f>IF(P1043="","",IFERROR(INDEX(catGrupo,MATCH(D1043&amp;"|"&amp;E1043,catClave,0))&amp;"",""))</f>
        <v/>
      </c>
      <c r="Z1043" s="52">
        <f>IF(P1043="","",WEEKDAY(B1043,2))</f>
        <v/>
      </c>
      <c r="AA1043" s="52">
        <f>IF(P1043="","",IF(AND(P1043="Gasto",X1043="Variable",D1043&lt;&gt;catTrading,S1043&gt;0,S1043&lt;=Umbral),1,0))</f>
        <v/>
      </c>
      <c r="AB1043" s="52">
        <f>IF(OR(P1043="",Q1043=""),"",IFERROR(IF(INDEX(ctaVinc,MATCH(Q1043,ctaNombre,0))&amp;""&lt;&gt;"",INDEX(ctaVinc,MATCH(Q1043,ctaNombre,0))&amp;"",Q1043),Q1043))</f>
        <v/>
      </c>
      <c r="AC1043" s="52">
        <f>IF(OR(K1043="",AND(P1043&lt;&gt;"Transferencia",P1043&lt;&gt;"Pago tarjeta")),"",IFERROR(IF(INDEX(ctaVinc,MATCH(K1043,ctaNombre,0))&amp;""&lt;&gt;"",INDEX(ctaVinc,MATCH(K1043,ctaNombre,0))&amp;"",K1043),K1043))</f>
        <v/>
      </c>
      <c r="AD1043" s="52">
        <f>IF(AB1043="","",IFERROR(INDEX(ctaTipo,MATCH(AB1043,ctaNombre,0))&amp;"",""))</f>
        <v/>
      </c>
      <c r="AE1043" s="52">
        <f>IF(AC1043="","",IFERROR(INDEX(ctaTipo,MATCH(AC1043,ctaNombre,0))&amp;"",""))</f>
        <v/>
      </c>
      <c r="AF1043" s="53">
        <f>IF(OR(P1043="",AB1043=""),"",IF(OR(P1043="Gasto",P1043="Transferencia",P1043="Pago tarjeta"),-1,1)*IF(IFERROR(INDEX(ctaMoneda,MATCH(AB1043,ctaNombre,0))&amp;"","DOP")="USD",T1043,S1043))</f>
        <v/>
      </c>
      <c r="AG1043" s="53">
        <f>IF(AC1043="","",IF(IFERROR(INDEX(ctaMoneda,MATCH(AC1043,ctaNombre,0))&amp;"","DOP")="USD",T1043,S1043))</f>
        <v/>
      </c>
      <c r="AH1043" s="53">
        <f>IF(P1043="","",IF(AND(AD1043&lt;&gt;"",COUNTIFS(tcTipo,AD1043,tcLiq,"Sí")&gt;0),IF(OR(P1043="Gasto",P1043="Transferencia",P1043="Pago tarjeta"),-1,1)*S1043,0)+IF(AND(AE1043&lt;&gt;"",COUNTIFS(tcTipo,AE1043,tcLiq,"Sí")&gt;0),S1043,0))</f>
        <v/>
      </c>
      <c r="AI1043" s="52">
        <f>IF(OR(L1043="",P1043=""),"",IF(COUNTIFS(L$6:L1043,L1043,P$6:P1043,"?*")=1,MAX(AI$5:AI1042)+1,""))</f>
        <v/>
      </c>
    </row>
    <row r="1044">
      <c r="B1044" s="47" t="n"/>
      <c r="C1044" s="48" t="n"/>
      <c r="D1044" s="48" t="n"/>
      <c r="E1044" s="48" t="n"/>
      <c r="F1044" s="48" t="n"/>
      <c r="G1044" s="49" t="n"/>
      <c r="H1044" s="48" t="n"/>
      <c r="I1044" s="50" t="n"/>
      <c r="J1044" s="48" t="n"/>
      <c r="K1044" s="48" t="n"/>
      <c r="L1044" s="48" t="n"/>
      <c r="M1044" s="48" t="n"/>
      <c r="N1044" s="48" t="n"/>
      <c r="O1044" s="51">
        <f>IF(AND(B1044="",G1044="",C1044="",D1044="",J1044=""),"",IF(B1044="","⚠ Falta fecha",IF(G1044="","⚠ Falta monto",IF(Q1044="","⚠ Falta cuenta",IF(ISNA(MATCH(Q1044,ctaNombre,0)),"⚠ Cuenta no registrada",IF(AND(OR(P1044="Gasto",P1044="Reembolso"),D1044=""),"⚠ Falta categoría",IF(AND(D1044&lt;&gt;"",E1044&lt;&gt;"",ISNA(MATCH(D1044&amp;"|"&amp;E1044,catClave,0))),"⚠ Subcategoría no corresponde",IF(AND(OR(P1044="Transferencia",P1044="Pago tarjeta"),K1044=""),"⚠ Falta cuenta destino",IF(AND(K1044&lt;&gt;"",P1044&lt;&gt;"Transferencia",P1044&lt;&gt;"Pago tarjeta"),"⚠ Destino solo aplica a transferencias",IF(AND(K1044&lt;&gt;"",K1044=Q1044),"⚠ Origen igual a destino",IF(AND(K1044&lt;&gt;"",ISNA(MATCH(K1044,ctaNombre,0))),"⚠ Destino no registrado",IF(AND(P1044="Pago tarjeta",AE1044&lt;&gt;"Tarjeta de crédito"),"⚠ El destino debe ser tarjeta de crédito",IF(AND(P1044="Gasto",E1044="Depósitos y retiros"),"⚠ Usa tipo Transferencia",IF(AND(P1044="Resultado trading",AD1044&lt;&gt;"Cuenta de trading"),"⚠ Usa una cuenta de trading",IF(AND(G1044&lt;=0,P1044&lt;&gt;"Ajuste",P1044&lt;&gt;"Resultado trading"),"⚠ El monto debe ser positivo","✓")))))))))))))))</f>
        <v/>
      </c>
      <c r="P1044" s="52">
        <f>IF(OR(B1044="",G1044=""),"",IF(C1044="","Gasto",C1044))</f>
        <v/>
      </c>
      <c r="Q1044" s="52">
        <f>IF(P1044="","",IF(J1044&lt;&gt;"",J1044,CuentaPred&amp;""))</f>
        <v/>
      </c>
      <c r="R1044" s="52">
        <f>IF(P1044="","",IF(ISNUMBER(I1044),I1044,TasaUSD))</f>
        <v/>
      </c>
      <c r="S1044" s="53">
        <f>IF(P1044="","",IF(H1044="USD",G1044*R1044,G1044))</f>
        <v/>
      </c>
      <c r="T1044" s="53">
        <f>IF(P1044="","",IF(H1044="USD",G1044,IF(R1044&gt;0,G1044/R1044,0)))</f>
        <v/>
      </c>
      <c r="U1044" s="53">
        <f>IF(P1044="","",IF(P1044="Gasto",S1044,IF(P1044="Reembolso",-S1044,0)))</f>
        <v/>
      </c>
      <c r="V1044" s="53">
        <f>IF(P1044="","",IF(P1044="Ingreso",S1044,0))</f>
        <v/>
      </c>
      <c r="W1044" s="53">
        <f>IF(P1044="","",IF(P1044="Resultado trading",S1044,0))</f>
        <v/>
      </c>
      <c r="X1044" s="52">
        <f>IF(OR(P1044="Gasto",P1044="Reembolso"),IF(M1044&lt;&gt;"",M1044,IFERROR(INDEX(catClasif,MATCH(D1044&amp;"|"&amp;E1044,catClave,0))&amp;"","Variable")),"")</f>
        <v/>
      </c>
      <c r="Y1044" s="52">
        <f>IF(P1044="","",IFERROR(INDEX(catGrupo,MATCH(D1044&amp;"|"&amp;E1044,catClave,0))&amp;"",""))</f>
        <v/>
      </c>
      <c r="Z1044" s="52">
        <f>IF(P1044="","",WEEKDAY(B1044,2))</f>
        <v/>
      </c>
      <c r="AA1044" s="52">
        <f>IF(P1044="","",IF(AND(P1044="Gasto",X1044="Variable",D1044&lt;&gt;catTrading,S1044&gt;0,S1044&lt;=Umbral),1,0))</f>
        <v/>
      </c>
      <c r="AB1044" s="52">
        <f>IF(OR(P1044="",Q1044=""),"",IFERROR(IF(INDEX(ctaVinc,MATCH(Q1044,ctaNombre,0))&amp;""&lt;&gt;"",INDEX(ctaVinc,MATCH(Q1044,ctaNombre,0))&amp;"",Q1044),Q1044))</f>
        <v/>
      </c>
      <c r="AC1044" s="52">
        <f>IF(OR(K1044="",AND(P1044&lt;&gt;"Transferencia",P1044&lt;&gt;"Pago tarjeta")),"",IFERROR(IF(INDEX(ctaVinc,MATCH(K1044,ctaNombre,0))&amp;""&lt;&gt;"",INDEX(ctaVinc,MATCH(K1044,ctaNombre,0))&amp;"",K1044),K1044))</f>
        <v/>
      </c>
      <c r="AD1044" s="52">
        <f>IF(AB1044="","",IFERROR(INDEX(ctaTipo,MATCH(AB1044,ctaNombre,0))&amp;"",""))</f>
        <v/>
      </c>
      <c r="AE1044" s="52">
        <f>IF(AC1044="","",IFERROR(INDEX(ctaTipo,MATCH(AC1044,ctaNombre,0))&amp;"",""))</f>
        <v/>
      </c>
      <c r="AF1044" s="53">
        <f>IF(OR(P1044="",AB1044=""),"",IF(OR(P1044="Gasto",P1044="Transferencia",P1044="Pago tarjeta"),-1,1)*IF(IFERROR(INDEX(ctaMoneda,MATCH(AB1044,ctaNombre,0))&amp;"","DOP")="USD",T1044,S1044))</f>
        <v/>
      </c>
      <c r="AG1044" s="53">
        <f>IF(AC1044="","",IF(IFERROR(INDEX(ctaMoneda,MATCH(AC1044,ctaNombre,0))&amp;"","DOP")="USD",T1044,S1044))</f>
        <v/>
      </c>
      <c r="AH1044" s="53">
        <f>IF(P1044="","",IF(AND(AD1044&lt;&gt;"",COUNTIFS(tcTipo,AD1044,tcLiq,"Sí")&gt;0),IF(OR(P1044="Gasto",P1044="Transferencia",P1044="Pago tarjeta"),-1,1)*S1044,0)+IF(AND(AE1044&lt;&gt;"",COUNTIFS(tcTipo,AE1044,tcLiq,"Sí")&gt;0),S1044,0))</f>
        <v/>
      </c>
      <c r="AI1044" s="52">
        <f>IF(OR(L1044="",P1044=""),"",IF(COUNTIFS(L$6:L1044,L1044,P$6:P1044,"?*")=1,MAX(AI$5:AI1043)+1,""))</f>
        <v/>
      </c>
    </row>
    <row r="1045">
      <c r="B1045" s="47" t="n"/>
      <c r="C1045" s="48" t="n"/>
      <c r="D1045" s="48" t="n"/>
      <c r="E1045" s="48" t="n"/>
      <c r="F1045" s="48" t="n"/>
      <c r="G1045" s="49" t="n"/>
      <c r="H1045" s="48" t="n"/>
      <c r="I1045" s="50" t="n"/>
      <c r="J1045" s="48" t="n"/>
      <c r="K1045" s="48" t="n"/>
      <c r="L1045" s="48" t="n"/>
      <c r="M1045" s="48" t="n"/>
      <c r="N1045" s="48" t="n"/>
      <c r="O1045" s="51">
        <f>IF(AND(B1045="",G1045="",C1045="",D1045="",J1045=""),"",IF(B1045="","⚠ Falta fecha",IF(G1045="","⚠ Falta monto",IF(Q1045="","⚠ Falta cuenta",IF(ISNA(MATCH(Q1045,ctaNombre,0)),"⚠ Cuenta no registrada",IF(AND(OR(P1045="Gasto",P1045="Reembolso"),D1045=""),"⚠ Falta categoría",IF(AND(D1045&lt;&gt;"",E1045&lt;&gt;"",ISNA(MATCH(D1045&amp;"|"&amp;E1045,catClave,0))),"⚠ Subcategoría no corresponde",IF(AND(OR(P1045="Transferencia",P1045="Pago tarjeta"),K1045=""),"⚠ Falta cuenta destino",IF(AND(K1045&lt;&gt;"",P1045&lt;&gt;"Transferencia",P1045&lt;&gt;"Pago tarjeta"),"⚠ Destino solo aplica a transferencias",IF(AND(K1045&lt;&gt;"",K1045=Q1045),"⚠ Origen igual a destino",IF(AND(K1045&lt;&gt;"",ISNA(MATCH(K1045,ctaNombre,0))),"⚠ Destino no registrado",IF(AND(P1045="Pago tarjeta",AE1045&lt;&gt;"Tarjeta de crédito"),"⚠ El destino debe ser tarjeta de crédito",IF(AND(P1045="Gasto",E1045="Depósitos y retiros"),"⚠ Usa tipo Transferencia",IF(AND(P1045="Resultado trading",AD1045&lt;&gt;"Cuenta de trading"),"⚠ Usa una cuenta de trading",IF(AND(G1045&lt;=0,P1045&lt;&gt;"Ajuste",P1045&lt;&gt;"Resultado trading"),"⚠ El monto debe ser positivo","✓")))))))))))))))</f>
        <v/>
      </c>
      <c r="P1045" s="52">
        <f>IF(OR(B1045="",G1045=""),"",IF(C1045="","Gasto",C1045))</f>
        <v/>
      </c>
      <c r="Q1045" s="52">
        <f>IF(P1045="","",IF(J1045&lt;&gt;"",J1045,CuentaPred&amp;""))</f>
        <v/>
      </c>
      <c r="R1045" s="52">
        <f>IF(P1045="","",IF(ISNUMBER(I1045),I1045,TasaUSD))</f>
        <v/>
      </c>
      <c r="S1045" s="53">
        <f>IF(P1045="","",IF(H1045="USD",G1045*R1045,G1045))</f>
        <v/>
      </c>
      <c r="T1045" s="53">
        <f>IF(P1045="","",IF(H1045="USD",G1045,IF(R1045&gt;0,G1045/R1045,0)))</f>
        <v/>
      </c>
      <c r="U1045" s="53">
        <f>IF(P1045="","",IF(P1045="Gasto",S1045,IF(P1045="Reembolso",-S1045,0)))</f>
        <v/>
      </c>
      <c r="V1045" s="53">
        <f>IF(P1045="","",IF(P1045="Ingreso",S1045,0))</f>
        <v/>
      </c>
      <c r="W1045" s="53">
        <f>IF(P1045="","",IF(P1045="Resultado trading",S1045,0))</f>
        <v/>
      </c>
      <c r="X1045" s="52">
        <f>IF(OR(P1045="Gasto",P1045="Reembolso"),IF(M1045&lt;&gt;"",M1045,IFERROR(INDEX(catClasif,MATCH(D1045&amp;"|"&amp;E1045,catClave,0))&amp;"","Variable")),"")</f>
        <v/>
      </c>
      <c r="Y1045" s="52">
        <f>IF(P1045="","",IFERROR(INDEX(catGrupo,MATCH(D1045&amp;"|"&amp;E1045,catClave,0))&amp;"",""))</f>
        <v/>
      </c>
      <c r="Z1045" s="52">
        <f>IF(P1045="","",WEEKDAY(B1045,2))</f>
        <v/>
      </c>
      <c r="AA1045" s="52">
        <f>IF(P1045="","",IF(AND(P1045="Gasto",X1045="Variable",D1045&lt;&gt;catTrading,S1045&gt;0,S1045&lt;=Umbral),1,0))</f>
        <v/>
      </c>
      <c r="AB1045" s="52">
        <f>IF(OR(P1045="",Q1045=""),"",IFERROR(IF(INDEX(ctaVinc,MATCH(Q1045,ctaNombre,0))&amp;""&lt;&gt;"",INDEX(ctaVinc,MATCH(Q1045,ctaNombre,0))&amp;"",Q1045),Q1045))</f>
        <v/>
      </c>
      <c r="AC1045" s="52">
        <f>IF(OR(K1045="",AND(P1045&lt;&gt;"Transferencia",P1045&lt;&gt;"Pago tarjeta")),"",IFERROR(IF(INDEX(ctaVinc,MATCH(K1045,ctaNombre,0))&amp;""&lt;&gt;"",INDEX(ctaVinc,MATCH(K1045,ctaNombre,0))&amp;"",K1045),K1045))</f>
        <v/>
      </c>
      <c r="AD1045" s="52">
        <f>IF(AB1045="","",IFERROR(INDEX(ctaTipo,MATCH(AB1045,ctaNombre,0))&amp;"",""))</f>
        <v/>
      </c>
      <c r="AE1045" s="52">
        <f>IF(AC1045="","",IFERROR(INDEX(ctaTipo,MATCH(AC1045,ctaNombre,0))&amp;"",""))</f>
        <v/>
      </c>
      <c r="AF1045" s="53">
        <f>IF(OR(P1045="",AB1045=""),"",IF(OR(P1045="Gasto",P1045="Transferencia",P1045="Pago tarjeta"),-1,1)*IF(IFERROR(INDEX(ctaMoneda,MATCH(AB1045,ctaNombre,0))&amp;"","DOP")="USD",T1045,S1045))</f>
        <v/>
      </c>
      <c r="AG1045" s="53">
        <f>IF(AC1045="","",IF(IFERROR(INDEX(ctaMoneda,MATCH(AC1045,ctaNombre,0))&amp;"","DOP")="USD",T1045,S1045))</f>
        <v/>
      </c>
      <c r="AH1045" s="53">
        <f>IF(P1045="","",IF(AND(AD1045&lt;&gt;"",COUNTIFS(tcTipo,AD1045,tcLiq,"Sí")&gt;0),IF(OR(P1045="Gasto",P1045="Transferencia",P1045="Pago tarjeta"),-1,1)*S1045,0)+IF(AND(AE1045&lt;&gt;"",COUNTIFS(tcTipo,AE1045,tcLiq,"Sí")&gt;0),S1045,0))</f>
        <v/>
      </c>
      <c r="AI1045" s="52">
        <f>IF(OR(L1045="",P1045=""),"",IF(COUNTIFS(L$6:L1045,L1045,P$6:P1045,"?*")=1,MAX(AI$5:AI1044)+1,""))</f>
        <v/>
      </c>
    </row>
    <row r="1046">
      <c r="B1046" s="47" t="n"/>
      <c r="C1046" s="48" t="n"/>
      <c r="D1046" s="48" t="n"/>
      <c r="E1046" s="48" t="n"/>
      <c r="F1046" s="48" t="n"/>
      <c r="G1046" s="49" t="n"/>
      <c r="H1046" s="48" t="n"/>
      <c r="I1046" s="50" t="n"/>
      <c r="J1046" s="48" t="n"/>
      <c r="K1046" s="48" t="n"/>
      <c r="L1046" s="48" t="n"/>
      <c r="M1046" s="48" t="n"/>
      <c r="N1046" s="48" t="n"/>
      <c r="O1046" s="51">
        <f>IF(AND(B1046="",G1046="",C1046="",D1046="",J1046=""),"",IF(B1046="","⚠ Falta fecha",IF(G1046="","⚠ Falta monto",IF(Q1046="","⚠ Falta cuenta",IF(ISNA(MATCH(Q1046,ctaNombre,0)),"⚠ Cuenta no registrada",IF(AND(OR(P1046="Gasto",P1046="Reembolso"),D1046=""),"⚠ Falta categoría",IF(AND(D1046&lt;&gt;"",E1046&lt;&gt;"",ISNA(MATCH(D1046&amp;"|"&amp;E1046,catClave,0))),"⚠ Subcategoría no corresponde",IF(AND(OR(P1046="Transferencia",P1046="Pago tarjeta"),K1046=""),"⚠ Falta cuenta destino",IF(AND(K1046&lt;&gt;"",P1046&lt;&gt;"Transferencia",P1046&lt;&gt;"Pago tarjeta"),"⚠ Destino solo aplica a transferencias",IF(AND(K1046&lt;&gt;"",K1046=Q1046),"⚠ Origen igual a destino",IF(AND(K1046&lt;&gt;"",ISNA(MATCH(K1046,ctaNombre,0))),"⚠ Destino no registrado",IF(AND(P1046="Pago tarjeta",AE1046&lt;&gt;"Tarjeta de crédito"),"⚠ El destino debe ser tarjeta de crédito",IF(AND(P1046="Gasto",E1046="Depósitos y retiros"),"⚠ Usa tipo Transferencia",IF(AND(P1046="Resultado trading",AD1046&lt;&gt;"Cuenta de trading"),"⚠ Usa una cuenta de trading",IF(AND(G1046&lt;=0,P1046&lt;&gt;"Ajuste",P1046&lt;&gt;"Resultado trading"),"⚠ El monto debe ser positivo","✓")))))))))))))))</f>
        <v/>
      </c>
      <c r="P1046" s="52">
        <f>IF(OR(B1046="",G1046=""),"",IF(C1046="","Gasto",C1046))</f>
        <v/>
      </c>
      <c r="Q1046" s="52">
        <f>IF(P1046="","",IF(J1046&lt;&gt;"",J1046,CuentaPred&amp;""))</f>
        <v/>
      </c>
      <c r="R1046" s="52">
        <f>IF(P1046="","",IF(ISNUMBER(I1046),I1046,TasaUSD))</f>
        <v/>
      </c>
      <c r="S1046" s="53">
        <f>IF(P1046="","",IF(H1046="USD",G1046*R1046,G1046))</f>
        <v/>
      </c>
      <c r="T1046" s="53">
        <f>IF(P1046="","",IF(H1046="USD",G1046,IF(R1046&gt;0,G1046/R1046,0)))</f>
        <v/>
      </c>
      <c r="U1046" s="53">
        <f>IF(P1046="","",IF(P1046="Gasto",S1046,IF(P1046="Reembolso",-S1046,0)))</f>
        <v/>
      </c>
      <c r="V1046" s="53">
        <f>IF(P1046="","",IF(P1046="Ingreso",S1046,0))</f>
        <v/>
      </c>
      <c r="W1046" s="53">
        <f>IF(P1046="","",IF(P1046="Resultado trading",S1046,0))</f>
        <v/>
      </c>
      <c r="X1046" s="52">
        <f>IF(OR(P1046="Gasto",P1046="Reembolso"),IF(M1046&lt;&gt;"",M1046,IFERROR(INDEX(catClasif,MATCH(D1046&amp;"|"&amp;E1046,catClave,0))&amp;"","Variable")),"")</f>
        <v/>
      </c>
      <c r="Y1046" s="52">
        <f>IF(P1046="","",IFERROR(INDEX(catGrupo,MATCH(D1046&amp;"|"&amp;E1046,catClave,0))&amp;"",""))</f>
        <v/>
      </c>
      <c r="Z1046" s="52">
        <f>IF(P1046="","",WEEKDAY(B1046,2))</f>
        <v/>
      </c>
      <c r="AA1046" s="52">
        <f>IF(P1046="","",IF(AND(P1046="Gasto",X1046="Variable",D1046&lt;&gt;catTrading,S1046&gt;0,S1046&lt;=Umbral),1,0))</f>
        <v/>
      </c>
      <c r="AB1046" s="52">
        <f>IF(OR(P1046="",Q1046=""),"",IFERROR(IF(INDEX(ctaVinc,MATCH(Q1046,ctaNombre,0))&amp;""&lt;&gt;"",INDEX(ctaVinc,MATCH(Q1046,ctaNombre,0))&amp;"",Q1046),Q1046))</f>
        <v/>
      </c>
      <c r="AC1046" s="52">
        <f>IF(OR(K1046="",AND(P1046&lt;&gt;"Transferencia",P1046&lt;&gt;"Pago tarjeta")),"",IFERROR(IF(INDEX(ctaVinc,MATCH(K1046,ctaNombre,0))&amp;""&lt;&gt;"",INDEX(ctaVinc,MATCH(K1046,ctaNombre,0))&amp;"",K1046),K1046))</f>
        <v/>
      </c>
      <c r="AD1046" s="52">
        <f>IF(AB1046="","",IFERROR(INDEX(ctaTipo,MATCH(AB1046,ctaNombre,0))&amp;"",""))</f>
        <v/>
      </c>
      <c r="AE1046" s="52">
        <f>IF(AC1046="","",IFERROR(INDEX(ctaTipo,MATCH(AC1046,ctaNombre,0))&amp;"",""))</f>
        <v/>
      </c>
      <c r="AF1046" s="53">
        <f>IF(OR(P1046="",AB1046=""),"",IF(OR(P1046="Gasto",P1046="Transferencia",P1046="Pago tarjeta"),-1,1)*IF(IFERROR(INDEX(ctaMoneda,MATCH(AB1046,ctaNombre,0))&amp;"","DOP")="USD",T1046,S1046))</f>
        <v/>
      </c>
      <c r="AG1046" s="53">
        <f>IF(AC1046="","",IF(IFERROR(INDEX(ctaMoneda,MATCH(AC1046,ctaNombre,0))&amp;"","DOP")="USD",T1046,S1046))</f>
        <v/>
      </c>
      <c r="AH1046" s="53">
        <f>IF(P1046="","",IF(AND(AD1046&lt;&gt;"",COUNTIFS(tcTipo,AD1046,tcLiq,"Sí")&gt;0),IF(OR(P1046="Gasto",P1046="Transferencia",P1046="Pago tarjeta"),-1,1)*S1046,0)+IF(AND(AE1046&lt;&gt;"",COUNTIFS(tcTipo,AE1046,tcLiq,"Sí")&gt;0),S1046,0))</f>
        <v/>
      </c>
      <c r="AI1046" s="52">
        <f>IF(OR(L1046="",P1046=""),"",IF(COUNTIFS(L$6:L1046,L1046,P$6:P1046,"?*")=1,MAX(AI$5:AI1045)+1,""))</f>
        <v/>
      </c>
    </row>
    <row r="1047">
      <c r="B1047" s="47" t="n"/>
      <c r="C1047" s="48" t="n"/>
      <c r="D1047" s="48" t="n"/>
      <c r="E1047" s="48" t="n"/>
      <c r="F1047" s="48" t="n"/>
      <c r="G1047" s="49" t="n"/>
      <c r="H1047" s="48" t="n"/>
      <c r="I1047" s="50" t="n"/>
      <c r="J1047" s="48" t="n"/>
      <c r="K1047" s="48" t="n"/>
      <c r="L1047" s="48" t="n"/>
      <c r="M1047" s="48" t="n"/>
      <c r="N1047" s="48" t="n"/>
      <c r="O1047" s="51">
        <f>IF(AND(B1047="",G1047="",C1047="",D1047="",J1047=""),"",IF(B1047="","⚠ Falta fecha",IF(G1047="","⚠ Falta monto",IF(Q1047="","⚠ Falta cuenta",IF(ISNA(MATCH(Q1047,ctaNombre,0)),"⚠ Cuenta no registrada",IF(AND(OR(P1047="Gasto",P1047="Reembolso"),D1047=""),"⚠ Falta categoría",IF(AND(D1047&lt;&gt;"",E1047&lt;&gt;"",ISNA(MATCH(D1047&amp;"|"&amp;E1047,catClave,0))),"⚠ Subcategoría no corresponde",IF(AND(OR(P1047="Transferencia",P1047="Pago tarjeta"),K1047=""),"⚠ Falta cuenta destino",IF(AND(K1047&lt;&gt;"",P1047&lt;&gt;"Transferencia",P1047&lt;&gt;"Pago tarjeta"),"⚠ Destino solo aplica a transferencias",IF(AND(K1047&lt;&gt;"",K1047=Q1047),"⚠ Origen igual a destino",IF(AND(K1047&lt;&gt;"",ISNA(MATCH(K1047,ctaNombre,0))),"⚠ Destino no registrado",IF(AND(P1047="Pago tarjeta",AE1047&lt;&gt;"Tarjeta de crédito"),"⚠ El destino debe ser tarjeta de crédito",IF(AND(P1047="Gasto",E1047="Depósitos y retiros"),"⚠ Usa tipo Transferencia",IF(AND(P1047="Resultado trading",AD1047&lt;&gt;"Cuenta de trading"),"⚠ Usa una cuenta de trading",IF(AND(G1047&lt;=0,P1047&lt;&gt;"Ajuste",P1047&lt;&gt;"Resultado trading"),"⚠ El monto debe ser positivo","✓")))))))))))))))</f>
        <v/>
      </c>
      <c r="P1047" s="52">
        <f>IF(OR(B1047="",G1047=""),"",IF(C1047="","Gasto",C1047))</f>
        <v/>
      </c>
      <c r="Q1047" s="52">
        <f>IF(P1047="","",IF(J1047&lt;&gt;"",J1047,CuentaPred&amp;""))</f>
        <v/>
      </c>
      <c r="R1047" s="52">
        <f>IF(P1047="","",IF(ISNUMBER(I1047),I1047,TasaUSD))</f>
        <v/>
      </c>
      <c r="S1047" s="53">
        <f>IF(P1047="","",IF(H1047="USD",G1047*R1047,G1047))</f>
        <v/>
      </c>
      <c r="T1047" s="53">
        <f>IF(P1047="","",IF(H1047="USD",G1047,IF(R1047&gt;0,G1047/R1047,0)))</f>
        <v/>
      </c>
      <c r="U1047" s="53">
        <f>IF(P1047="","",IF(P1047="Gasto",S1047,IF(P1047="Reembolso",-S1047,0)))</f>
        <v/>
      </c>
      <c r="V1047" s="53">
        <f>IF(P1047="","",IF(P1047="Ingreso",S1047,0))</f>
        <v/>
      </c>
      <c r="W1047" s="53">
        <f>IF(P1047="","",IF(P1047="Resultado trading",S1047,0))</f>
        <v/>
      </c>
      <c r="X1047" s="52">
        <f>IF(OR(P1047="Gasto",P1047="Reembolso"),IF(M1047&lt;&gt;"",M1047,IFERROR(INDEX(catClasif,MATCH(D1047&amp;"|"&amp;E1047,catClave,0))&amp;"","Variable")),"")</f>
        <v/>
      </c>
      <c r="Y1047" s="52">
        <f>IF(P1047="","",IFERROR(INDEX(catGrupo,MATCH(D1047&amp;"|"&amp;E1047,catClave,0))&amp;"",""))</f>
        <v/>
      </c>
      <c r="Z1047" s="52">
        <f>IF(P1047="","",WEEKDAY(B1047,2))</f>
        <v/>
      </c>
      <c r="AA1047" s="52">
        <f>IF(P1047="","",IF(AND(P1047="Gasto",X1047="Variable",D1047&lt;&gt;catTrading,S1047&gt;0,S1047&lt;=Umbral),1,0))</f>
        <v/>
      </c>
      <c r="AB1047" s="52">
        <f>IF(OR(P1047="",Q1047=""),"",IFERROR(IF(INDEX(ctaVinc,MATCH(Q1047,ctaNombre,0))&amp;""&lt;&gt;"",INDEX(ctaVinc,MATCH(Q1047,ctaNombre,0))&amp;"",Q1047),Q1047))</f>
        <v/>
      </c>
      <c r="AC1047" s="52">
        <f>IF(OR(K1047="",AND(P1047&lt;&gt;"Transferencia",P1047&lt;&gt;"Pago tarjeta")),"",IFERROR(IF(INDEX(ctaVinc,MATCH(K1047,ctaNombre,0))&amp;""&lt;&gt;"",INDEX(ctaVinc,MATCH(K1047,ctaNombre,0))&amp;"",K1047),K1047))</f>
        <v/>
      </c>
      <c r="AD1047" s="52">
        <f>IF(AB1047="","",IFERROR(INDEX(ctaTipo,MATCH(AB1047,ctaNombre,0))&amp;"",""))</f>
        <v/>
      </c>
      <c r="AE1047" s="52">
        <f>IF(AC1047="","",IFERROR(INDEX(ctaTipo,MATCH(AC1047,ctaNombre,0))&amp;"",""))</f>
        <v/>
      </c>
      <c r="AF1047" s="53">
        <f>IF(OR(P1047="",AB1047=""),"",IF(OR(P1047="Gasto",P1047="Transferencia",P1047="Pago tarjeta"),-1,1)*IF(IFERROR(INDEX(ctaMoneda,MATCH(AB1047,ctaNombre,0))&amp;"","DOP")="USD",T1047,S1047))</f>
        <v/>
      </c>
      <c r="AG1047" s="53">
        <f>IF(AC1047="","",IF(IFERROR(INDEX(ctaMoneda,MATCH(AC1047,ctaNombre,0))&amp;"","DOP")="USD",T1047,S1047))</f>
        <v/>
      </c>
      <c r="AH1047" s="53">
        <f>IF(P1047="","",IF(AND(AD1047&lt;&gt;"",COUNTIFS(tcTipo,AD1047,tcLiq,"Sí")&gt;0),IF(OR(P1047="Gasto",P1047="Transferencia",P1047="Pago tarjeta"),-1,1)*S1047,0)+IF(AND(AE1047&lt;&gt;"",COUNTIFS(tcTipo,AE1047,tcLiq,"Sí")&gt;0),S1047,0))</f>
        <v/>
      </c>
      <c r="AI1047" s="52">
        <f>IF(OR(L1047="",P1047=""),"",IF(COUNTIFS(L$6:L1047,L1047,P$6:P1047,"?*")=1,MAX(AI$5:AI1046)+1,""))</f>
        <v/>
      </c>
    </row>
    <row r="1048">
      <c r="B1048" s="47" t="n"/>
      <c r="C1048" s="48" t="n"/>
      <c r="D1048" s="48" t="n"/>
      <c r="E1048" s="48" t="n"/>
      <c r="F1048" s="48" t="n"/>
      <c r="G1048" s="49" t="n"/>
      <c r="H1048" s="48" t="n"/>
      <c r="I1048" s="50" t="n"/>
      <c r="J1048" s="48" t="n"/>
      <c r="K1048" s="48" t="n"/>
      <c r="L1048" s="48" t="n"/>
      <c r="M1048" s="48" t="n"/>
      <c r="N1048" s="48" t="n"/>
      <c r="O1048" s="51">
        <f>IF(AND(B1048="",G1048="",C1048="",D1048="",J1048=""),"",IF(B1048="","⚠ Falta fecha",IF(G1048="","⚠ Falta monto",IF(Q1048="","⚠ Falta cuenta",IF(ISNA(MATCH(Q1048,ctaNombre,0)),"⚠ Cuenta no registrada",IF(AND(OR(P1048="Gasto",P1048="Reembolso"),D1048=""),"⚠ Falta categoría",IF(AND(D1048&lt;&gt;"",E1048&lt;&gt;"",ISNA(MATCH(D1048&amp;"|"&amp;E1048,catClave,0))),"⚠ Subcategoría no corresponde",IF(AND(OR(P1048="Transferencia",P1048="Pago tarjeta"),K1048=""),"⚠ Falta cuenta destino",IF(AND(K1048&lt;&gt;"",P1048&lt;&gt;"Transferencia",P1048&lt;&gt;"Pago tarjeta"),"⚠ Destino solo aplica a transferencias",IF(AND(K1048&lt;&gt;"",K1048=Q1048),"⚠ Origen igual a destino",IF(AND(K1048&lt;&gt;"",ISNA(MATCH(K1048,ctaNombre,0))),"⚠ Destino no registrado",IF(AND(P1048="Pago tarjeta",AE1048&lt;&gt;"Tarjeta de crédito"),"⚠ El destino debe ser tarjeta de crédito",IF(AND(P1048="Gasto",E1048="Depósitos y retiros"),"⚠ Usa tipo Transferencia",IF(AND(P1048="Resultado trading",AD1048&lt;&gt;"Cuenta de trading"),"⚠ Usa una cuenta de trading",IF(AND(G1048&lt;=0,P1048&lt;&gt;"Ajuste",P1048&lt;&gt;"Resultado trading"),"⚠ El monto debe ser positivo","✓")))))))))))))))</f>
        <v/>
      </c>
      <c r="P1048" s="52">
        <f>IF(OR(B1048="",G1048=""),"",IF(C1048="","Gasto",C1048))</f>
        <v/>
      </c>
      <c r="Q1048" s="52">
        <f>IF(P1048="","",IF(J1048&lt;&gt;"",J1048,CuentaPred&amp;""))</f>
        <v/>
      </c>
      <c r="R1048" s="52">
        <f>IF(P1048="","",IF(ISNUMBER(I1048),I1048,TasaUSD))</f>
        <v/>
      </c>
      <c r="S1048" s="53">
        <f>IF(P1048="","",IF(H1048="USD",G1048*R1048,G1048))</f>
        <v/>
      </c>
      <c r="T1048" s="53">
        <f>IF(P1048="","",IF(H1048="USD",G1048,IF(R1048&gt;0,G1048/R1048,0)))</f>
        <v/>
      </c>
      <c r="U1048" s="53">
        <f>IF(P1048="","",IF(P1048="Gasto",S1048,IF(P1048="Reembolso",-S1048,0)))</f>
        <v/>
      </c>
      <c r="V1048" s="53">
        <f>IF(P1048="","",IF(P1048="Ingreso",S1048,0))</f>
        <v/>
      </c>
      <c r="W1048" s="53">
        <f>IF(P1048="","",IF(P1048="Resultado trading",S1048,0))</f>
        <v/>
      </c>
      <c r="X1048" s="52">
        <f>IF(OR(P1048="Gasto",P1048="Reembolso"),IF(M1048&lt;&gt;"",M1048,IFERROR(INDEX(catClasif,MATCH(D1048&amp;"|"&amp;E1048,catClave,0))&amp;"","Variable")),"")</f>
        <v/>
      </c>
      <c r="Y1048" s="52">
        <f>IF(P1048="","",IFERROR(INDEX(catGrupo,MATCH(D1048&amp;"|"&amp;E1048,catClave,0))&amp;"",""))</f>
        <v/>
      </c>
      <c r="Z1048" s="52">
        <f>IF(P1048="","",WEEKDAY(B1048,2))</f>
        <v/>
      </c>
      <c r="AA1048" s="52">
        <f>IF(P1048="","",IF(AND(P1048="Gasto",X1048="Variable",D1048&lt;&gt;catTrading,S1048&gt;0,S1048&lt;=Umbral),1,0))</f>
        <v/>
      </c>
      <c r="AB1048" s="52">
        <f>IF(OR(P1048="",Q1048=""),"",IFERROR(IF(INDEX(ctaVinc,MATCH(Q1048,ctaNombre,0))&amp;""&lt;&gt;"",INDEX(ctaVinc,MATCH(Q1048,ctaNombre,0))&amp;"",Q1048),Q1048))</f>
        <v/>
      </c>
      <c r="AC1048" s="52">
        <f>IF(OR(K1048="",AND(P1048&lt;&gt;"Transferencia",P1048&lt;&gt;"Pago tarjeta")),"",IFERROR(IF(INDEX(ctaVinc,MATCH(K1048,ctaNombre,0))&amp;""&lt;&gt;"",INDEX(ctaVinc,MATCH(K1048,ctaNombre,0))&amp;"",K1048),K1048))</f>
        <v/>
      </c>
      <c r="AD1048" s="52">
        <f>IF(AB1048="","",IFERROR(INDEX(ctaTipo,MATCH(AB1048,ctaNombre,0))&amp;"",""))</f>
        <v/>
      </c>
      <c r="AE1048" s="52">
        <f>IF(AC1048="","",IFERROR(INDEX(ctaTipo,MATCH(AC1048,ctaNombre,0))&amp;"",""))</f>
        <v/>
      </c>
      <c r="AF1048" s="53">
        <f>IF(OR(P1048="",AB1048=""),"",IF(OR(P1048="Gasto",P1048="Transferencia",P1048="Pago tarjeta"),-1,1)*IF(IFERROR(INDEX(ctaMoneda,MATCH(AB1048,ctaNombre,0))&amp;"","DOP")="USD",T1048,S1048))</f>
        <v/>
      </c>
      <c r="AG1048" s="53">
        <f>IF(AC1048="","",IF(IFERROR(INDEX(ctaMoneda,MATCH(AC1048,ctaNombre,0))&amp;"","DOP")="USD",T1048,S1048))</f>
        <v/>
      </c>
      <c r="AH1048" s="53">
        <f>IF(P1048="","",IF(AND(AD1048&lt;&gt;"",COUNTIFS(tcTipo,AD1048,tcLiq,"Sí")&gt;0),IF(OR(P1048="Gasto",P1048="Transferencia",P1048="Pago tarjeta"),-1,1)*S1048,0)+IF(AND(AE1048&lt;&gt;"",COUNTIFS(tcTipo,AE1048,tcLiq,"Sí")&gt;0),S1048,0))</f>
        <v/>
      </c>
      <c r="AI1048" s="52">
        <f>IF(OR(L1048="",P1048=""),"",IF(COUNTIFS(L$6:L1048,L1048,P$6:P1048,"?*")=1,MAX(AI$5:AI1047)+1,""))</f>
        <v/>
      </c>
    </row>
    <row r="1049">
      <c r="B1049" s="47" t="n"/>
      <c r="C1049" s="48" t="n"/>
      <c r="D1049" s="48" t="n"/>
      <c r="E1049" s="48" t="n"/>
      <c r="F1049" s="48" t="n"/>
      <c r="G1049" s="49" t="n"/>
      <c r="H1049" s="48" t="n"/>
      <c r="I1049" s="50" t="n"/>
      <c r="J1049" s="48" t="n"/>
      <c r="K1049" s="48" t="n"/>
      <c r="L1049" s="48" t="n"/>
      <c r="M1049" s="48" t="n"/>
      <c r="N1049" s="48" t="n"/>
      <c r="O1049" s="51">
        <f>IF(AND(B1049="",G1049="",C1049="",D1049="",J1049=""),"",IF(B1049="","⚠ Falta fecha",IF(G1049="","⚠ Falta monto",IF(Q1049="","⚠ Falta cuenta",IF(ISNA(MATCH(Q1049,ctaNombre,0)),"⚠ Cuenta no registrada",IF(AND(OR(P1049="Gasto",P1049="Reembolso"),D1049=""),"⚠ Falta categoría",IF(AND(D1049&lt;&gt;"",E1049&lt;&gt;"",ISNA(MATCH(D1049&amp;"|"&amp;E1049,catClave,0))),"⚠ Subcategoría no corresponde",IF(AND(OR(P1049="Transferencia",P1049="Pago tarjeta"),K1049=""),"⚠ Falta cuenta destino",IF(AND(K1049&lt;&gt;"",P1049&lt;&gt;"Transferencia",P1049&lt;&gt;"Pago tarjeta"),"⚠ Destino solo aplica a transferencias",IF(AND(K1049&lt;&gt;"",K1049=Q1049),"⚠ Origen igual a destino",IF(AND(K1049&lt;&gt;"",ISNA(MATCH(K1049,ctaNombre,0))),"⚠ Destino no registrado",IF(AND(P1049="Pago tarjeta",AE1049&lt;&gt;"Tarjeta de crédito"),"⚠ El destino debe ser tarjeta de crédito",IF(AND(P1049="Gasto",E1049="Depósitos y retiros"),"⚠ Usa tipo Transferencia",IF(AND(P1049="Resultado trading",AD1049&lt;&gt;"Cuenta de trading"),"⚠ Usa una cuenta de trading",IF(AND(G1049&lt;=0,P1049&lt;&gt;"Ajuste",P1049&lt;&gt;"Resultado trading"),"⚠ El monto debe ser positivo","✓")))))))))))))))</f>
        <v/>
      </c>
      <c r="P1049" s="52">
        <f>IF(OR(B1049="",G1049=""),"",IF(C1049="","Gasto",C1049))</f>
        <v/>
      </c>
      <c r="Q1049" s="52">
        <f>IF(P1049="","",IF(J1049&lt;&gt;"",J1049,CuentaPred&amp;""))</f>
        <v/>
      </c>
      <c r="R1049" s="52">
        <f>IF(P1049="","",IF(ISNUMBER(I1049),I1049,TasaUSD))</f>
        <v/>
      </c>
      <c r="S1049" s="53">
        <f>IF(P1049="","",IF(H1049="USD",G1049*R1049,G1049))</f>
        <v/>
      </c>
      <c r="T1049" s="53">
        <f>IF(P1049="","",IF(H1049="USD",G1049,IF(R1049&gt;0,G1049/R1049,0)))</f>
        <v/>
      </c>
      <c r="U1049" s="53">
        <f>IF(P1049="","",IF(P1049="Gasto",S1049,IF(P1049="Reembolso",-S1049,0)))</f>
        <v/>
      </c>
      <c r="V1049" s="53">
        <f>IF(P1049="","",IF(P1049="Ingreso",S1049,0))</f>
        <v/>
      </c>
      <c r="W1049" s="53">
        <f>IF(P1049="","",IF(P1049="Resultado trading",S1049,0))</f>
        <v/>
      </c>
      <c r="X1049" s="52">
        <f>IF(OR(P1049="Gasto",P1049="Reembolso"),IF(M1049&lt;&gt;"",M1049,IFERROR(INDEX(catClasif,MATCH(D1049&amp;"|"&amp;E1049,catClave,0))&amp;"","Variable")),"")</f>
        <v/>
      </c>
      <c r="Y1049" s="52">
        <f>IF(P1049="","",IFERROR(INDEX(catGrupo,MATCH(D1049&amp;"|"&amp;E1049,catClave,0))&amp;"",""))</f>
        <v/>
      </c>
      <c r="Z1049" s="52">
        <f>IF(P1049="","",WEEKDAY(B1049,2))</f>
        <v/>
      </c>
      <c r="AA1049" s="52">
        <f>IF(P1049="","",IF(AND(P1049="Gasto",X1049="Variable",D1049&lt;&gt;catTrading,S1049&gt;0,S1049&lt;=Umbral),1,0))</f>
        <v/>
      </c>
      <c r="AB1049" s="52">
        <f>IF(OR(P1049="",Q1049=""),"",IFERROR(IF(INDEX(ctaVinc,MATCH(Q1049,ctaNombre,0))&amp;""&lt;&gt;"",INDEX(ctaVinc,MATCH(Q1049,ctaNombre,0))&amp;"",Q1049),Q1049))</f>
        <v/>
      </c>
      <c r="AC1049" s="52">
        <f>IF(OR(K1049="",AND(P1049&lt;&gt;"Transferencia",P1049&lt;&gt;"Pago tarjeta")),"",IFERROR(IF(INDEX(ctaVinc,MATCH(K1049,ctaNombre,0))&amp;""&lt;&gt;"",INDEX(ctaVinc,MATCH(K1049,ctaNombre,0))&amp;"",K1049),K1049))</f>
        <v/>
      </c>
      <c r="AD1049" s="52">
        <f>IF(AB1049="","",IFERROR(INDEX(ctaTipo,MATCH(AB1049,ctaNombre,0))&amp;"",""))</f>
        <v/>
      </c>
      <c r="AE1049" s="52">
        <f>IF(AC1049="","",IFERROR(INDEX(ctaTipo,MATCH(AC1049,ctaNombre,0))&amp;"",""))</f>
        <v/>
      </c>
      <c r="AF1049" s="53">
        <f>IF(OR(P1049="",AB1049=""),"",IF(OR(P1049="Gasto",P1049="Transferencia",P1049="Pago tarjeta"),-1,1)*IF(IFERROR(INDEX(ctaMoneda,MATCH(AB1049,ctaNombre,0))&amp;"","DOP")="USD",T1049,S1049))</f>
        <v/>
      </c>
      <c r="AG1049" s="53">
        <f>IF(AC1049="","",IF(IFERROR(INDEX(ctaMoneda,MATCH(AC1049,ctaNombre,0))&amp;"","DOP")="USD",T1049,S1049))</f>
        <v/>
      </c>
      <c r="AH1049" s="53">
        <f>IF(P1049="","",IF(AND(AD1049&lt;&gt;"",COUNTIFS(tcTipo,AD1049,tcLiq,"Sí")&gt;0),IF(OR(P1049="Gasto",P1049="Transferencia",P1049="Pago tarjeta"),-1,1)*S1049,0)+IF(AND(AE1049&lt;&gt;"",COUNTIFS(tcTipo,AE1049,tcLiq,"Sí")&gt;0),S1049,0))</f>
        <v/>
      </c>
      <c r="AI1049" s="52">
        <f>IF(OR(L1049="",P1049=""),"",IF(COUNTIFS(L$6:L1049,L1049,P$6:P1049,"?*")=1,MAX(AI$5:AI1048)+1,""))</f>
        <v/>
      </c>
    </row>
    <row r="1050">
      <c r="B1050" s="47" t="n"/>
      <c r="C1050" s="48" t="n"/>
      <c r="D1050" s="48" t="n"/>
      <c r="E1050" s="48" t="n"/>
      <c r="F1050" s="48" t="n"/>
      <c r="G1050" s="49" t="n"/>
      <c r="H1050" s="48" t="n"/>
      <c r="I1050" s="50" t="n"/>
      <c r="J1050" s="48" t="n"/>
      <c r="K1050" s="48" t="n"/>
      <c r="L1050" s="48" t="n"/>
      <c r="M1050" s="48" t="n"/>
      <c r="N1050" s="48" t="n"/>
      <c r="O1050" s="51">
        <f>IF(AND(B1050="",G1050="",C1050="",D1050="",J1050=""),"",IF(B1050="","⚠ Falta fecha",IF(G1050="","⚠ Falta monto",IF(Q1050="","⚠ Falta cuenta",IF(ISNA(MATCH(Q1050,ctaNombre,0)),"⚠ Cuenta no registrada",IF(AND(OR(P1050="Gasto",P1050="Reembolso"),D1050=""),"⚠ Falta categoría",IF(AND(D1050&lt;&gt;"",E1050&lt;&gt;"",ISNA(MATCH(D1050&amp;"|"&amp;E1050,catClave,0))),"⚠ Subcategoría no corresponde",IF(AND(OR(P1050="Transferencia",P1050="Pago tarjeta"),K1050=""),"⚠ Falta cuenta destino",IF(AND(K1050&lt;&gt;"",P1050&lt;&gt;"Transferencia",P1050&lt;&gt;"Pago tarjeta"),"⚠ Destino solo aplica a transferencias",IF(AND(K1050&lt;&gt;"",K1050=Q1050),"⚠ Origen igual a destino",IF(AND(K1050&lt;&gt;"",ISNA(MATCH(K1050,ctaNombre,0))),"⚠ Destino no registrado",IF(AND(P1050="Pago tarjeta",AE1050&lt;&gt;"Tarjeta de crédito"),"⚠ El destino debe ser tarjeta de crédito",IF(AND(P1050="Gasto",E1050="Depósitos y retiros"),"⚠ Usa tipo Transferencia",IF(AND(P1050="Resultado trading",AD1050&lt;&gt;"Cuenta de trading"),"⚠ Usa una cuenta de trading",IF(AND(G1050&lt;=0,P1050&lt;&gt;"Ajuste",P1050&lt;&gt;"Resultado trading"),"⚠ El monto debe ser positivo","✓")))))))))))))))</f>
        <v/>
      </c>
      <c r="P1050" s="52">
        <f>IF(OR(B1050="",G1050=""),"",IF(C1050="","Gasto",C1050))</f>
        <v/>
      </c>
      <c r="Q1050" s="52">
        <f>IF(P1050="","",IF(J1050&lt;&gt;"",J1050,CuentaPred&amp;""))</f>
        <v/>
      </c>
      <c r="R1050" s="52">
        <f>IF(P1050="","",IF(ISNUMBER(I1050),I1050,TasaUSD))</f>
        <v/>
      </c>
      <c r="S1050" s="53">
        <f>IF(P1050="","",IF(H1050="USD",G1050*R1050,G1050))</f>
        <v/>
      </c>
      <c r="T1050" s="53">
        <f>IF(P1050="","",IF(H1050="USD",G1050,IF(R1050&gt;0,G1050/R1050,0)))</f>
        <v/>
      </c>
      <c r="U1050" s="53">
        <f>IF(P1050="","",IF(P1050="Gasto",S1050,IF(P1050="Reembolso",-S1050,0)))</f>
        <v/>
      </c>
      <c r="V1050" s="53">
        <f>IF(P1050="","",IF(P1050="Ingreso",S1050,0))</f>
        <v/>
      </c>
      <c r="W1050" s="53">
        <f>IF(P1050="","",IF(P1050="Resultado trading",S1050,0))</f>
        <v/>
      </c>
      <c r="X1050" s="52">
        <f>IF(OR(P1050="Gasto",P1050="Reembolso"),IF(M1050&lt;&gt;"",M1050,IFERROR(INDEX(catClasif,MATCH(D1050&amp;"|"&amp;E1050,catClave,0))&amp;"","Variable")),"")</f>
        <v/>
      </c>
      <c r="Y1050" s="52">
        <f>IF(P1050="","",IFERROR(INDEX(catGrupo,MATCH(D1050&amp;"|"&amp;E1050,catClave,0))&amp;"",""))</f>
        <v/>
      </c>
      <c r="Z1050" s="52">
        <f>IF(P1050="","",WEEKDAY(B1050,2))</f>
        <v/>
      </c>
      <c r="AA1050" s="52">
        <f>IF(P1050="","",IF(AND(P1050="Gasto",X1050="Variable",D1050&lt;&gt;catTrading,S1050&gt;0,S1050&lt;=Umbral),1,0))</f>
        <v/>
      </c>
      <c r="AB1050" s="52">
        <f>IF(OR(P1050="",Q1050=""),"",IFERROR(IF(INDEX(ctaVinc,MATCH(Q1050,ctaNombre,0))&amp;""&lt;&gt;"",INDEX(ctaVinc,MATCH(Q1050,ctaNombre,0))&amp;"",Q1050),Q1050))</f>
        <v/>
      </c>
      <c r="AC1050" s="52">
        <f>IF(OR(K1050="",AND(P1050&lt;&gt;"Transferencia",P1050&lt;&gt;"Pago tarjeta")),"",IFERROR(IF(INDEX(ctaVinc,MATCH(K1050,ctaNombre,0))&amp;""&lt;&gt;"",INDEX(ctaVinc,MATCH(K1050,ctaNombre,0))&amp;"",K1050),K1050))</f>
        <v/>
      </c>
      <c r="AD1050" s="52">
        <f>IF(AB1050="","",IFERROR(INDEX(ctaTipo,MATCH(AB1050,ctaNombre,0))&amp;"",""))</f>
        <v/>
      </c>
      <c r="AE1050" s="52">
        <f>IF(AC1050="","",IFERROR(INDEX(ctaTipo,MATCH(AC1050,ctaNombre,0))&amp;"",""))</f>
        <v/>
      </c>
      <c r="AF1050" s="53">
        <f>IF(OR(P1050="",AB1050=""),"",IF(OR(P1050="Gasto",P1050="Transferencia",P1050="Pago tarjeta"),-1,1)*IF(IFERROR(INDEX(ctaMoneda,MATCH(AB1050,ctaNombre,0))&amp;"","DOP")="USD",T1050,S1050))</f>
        <v/>
      </c>
      <c r="AG1050" s="53">
        <f>IF(AC1050="","",IF(IFERROR(INDEX(ctaMoneda,MATCH(AC1050,ctaNombre,0))&amp;"","DOP")="USD",T1050,S1050))</f>
        <v/>
      </c>
      <c r="AH1050" s="53">
        <f>IF(P1050="","",IF(AND(AD1050&lt;&gt;"",COUNTIFS(tcTipo,AD1050,tcLiq,"Sí")&gt;0),IF(OR(P1050="Gasto",P1050="Transferencia",P1050="Pago tarjeta"),-1,1)*S1050,0)+IF(AND(AE1050&lt;&gt;"",COUNTIFS(tcTipo,AE1050,tcLiq,"Sí")&gt;0),S1050,0))</f>
        <v/>
      </c>
      <c r="AI1050" s="52">
        <f>IF(OR(L1050="",P1050=""),"",IF(COUNTIFS(L$6:L1050,L1050,P$6:P1050,"?*")=1,MAX(AI$5:AI1049)+1,""))</f>
        <v/>
      </c>
    </row>
    <row r="1051">
      <c r="B1051" s="47" t="n"/>
      <c r="C1051" s="48" t="n"/>
      <c r="D1051" s="48" t="n"/>
      <c r="E1051" s="48" t="n"/>
      <c r="F1051" s="48" t="n"/>
      <c r="G1051" s="49" t="n"/>
      <c r="H1051" s="48" t="n"/>
      <c r="I1051" s="50" t="n"/>
      <c r="J1051" s="48" t="n"/>
      <c r="K1051" s="48" t="n"/>
      <c r="L1051" s="48" t="n"/>
      <c r="M1051" s="48" t="n"/>
      <c r="N1051" s="48" t="n"/>
      <c r="O1051" s="51">
        <f>IF(AND(B1051="",G1051="",C1051="",D1051="",J1051=""),"",IF(B1051="","⚠ Falta fecha",IF(G1051="","⚠ Falta monto",IF(Q1051="","⚠ Falta cuenta",IF(ISNA(MATCH(Q1051,ctaNombre,0)),"⚠ Cuenta no registrada",IF(AND(OR(P1051="Gasto",P1051="Reembolso"),D1051=""),"⚠ Falta categoría",IF(AND(D1051&lt;&gt;"",E1051&lt;&gt;"",ISNA(MATCH(D1051&amp;"|"&amp;E1051,catClave,0))),"⚠ Subcategoría no corresponde",IF(AND(OR(P1051="Transferencia",P1051="Pago tarjeta"),K1051=""),"⚠ Falta cuenta destino",IF(AND(K1051&lt;&gt;"",P1051&lt;&gt;"Transferencia",P1051&lt;&gt;"Pago tarjeta"),"⚠ Destino solo aplica a transferencias",IF(AND(K1051&lt;&gt;"",K1051=Q1051),"⚠ Origen igual a destino",IF(AND(K1051&lt;&gt;"",ISNA(MATCH(K1051,ctaNombre,0))),"⚠ Destino no registrado",IF(AND(P1051="Pago tarjeta",AE1051&lt;&gt;"Tarjeta de crédito"),"⚠ El destino debe ser tarjeta de crédito",IF(AND(P1051="Gasto",E1051="Depósitos y retiros"),"⚠ Usa tipo Transferencia",IF(AND(P1051="Resultado trading",AD1051&lt;&gt;"Cuenta de trading"),"⚠ Usa una cuenta de trading",IF(AND(G1051&lt;=0,P1051&lt;&gt;"Ajuste",P1051&lt;&gt;"Resultado trading"),"⚠ El monto debe ser positivo","✓")))))))))))))))</f>
        <v/>
      </c>
      <c r="P1051" s="52">
        <f>IF(OR(B1051="",G1051=""),"",IF(C1051="","Gasto",C1051))</f>
        <v/>
      </c>
      <c r="Q1051" s="52">
        <f>IF(P1051="","",IF(J1051&lt;&gt;"",J1051,CuentaPred&amp;""))</f>
        <v/>
      </c>
      <c r="R1051" s="52">
        <f>IF(P1051="","",IF(ISNUMBER(I1051),I1051,TasaUSD))</f>
        <v/>
      </c>
      <c r="S1051" s="53">
        <f>IF(P1051="","",IF(H1051="USD",G1051*R1051,G1051))</f>
        <v/>
      </c>
      <c r="T1051" s="53">
        <f>IF(P1051="","",IF(H1051="USD",G1051,IF(R1051&gt;0,G1051/R1051,0)))</f>
        <v/>
      </c>
      <c r="U1051" s="53">
        <f>IF(P1051="","",IF(P1051="Gasto",S1051,IF(P1051="Reembolso",-S1051,0)))</f>
        <v/>
      </c>
      <c r="V1051" s="53">
        <f>IF(P1051="","",IF(P1051="Ingreso",S1051,0))</f>
        <v/>
      </c>
      <c r="W1051" s="53">
        <f>IF(P1051="","",IF(P1051="Resultado trading",S1051,0))</f>
        <v/>
      </c>
      <c r="X1051" s="52">
        <f>IF(OR(P1051="Gasto",P1051="Reembolso"),IF(M1051&lt;&gt;"",M1051,IFERROR(INDEX(catClasif,MATCH(D1051&amp;"|"&amp;E1051,catClave,0))&amp;"","Variable")),"")</f>
        <v/>
      </c>
      <c r="Y1051" s="52">
        <f>IF(P1051="","",IFERROR(INDEX(catGrupo,MATCH(D1051&amp;"|"&amp;E1051,catClave,0))&amp;"",""))</f>
        <v/>
      </c>
      <c r="Z1051" s="52">
        <f>IF(P1051="","",WEEKDAY(B1051,2))</f>
        <v/>
      </c>
      <c r="AA1051" s="52">
        <f>IF(P1051="","",IF(AND(P1051="Gasto",X1051="Variable",D1051&lt;&gt;catTrading,S1051&gt;0,S1051&lt;=Umbral),1,0))</f>
        <v/>
      </c>
      <c r="AB1051" s="52">
        <f>IF(OR(P1051="",Q1051=""),"",IFERROR(IF(INDEX(ctaVinc,MATCH(Q1051,ctaNombre,0))&amp;""&lt;&gt;"",INDEX(ctaVinc,MATCH(Q1051,ctaNombre,0))&amp;"",Q1051),Q1051))</f>
        <v/>
      </c>
      <c r="AC1051" s="52">
        <f>IF(OR(K1051="",AND(P1051&lt;&gt;"Transferencia",P1051&lt;&gt;"Pago tarjeta")),"",IFERROR(IF(INDEX(ctaVinc,MATCH(K1051,ctaNombre,0))&amp;""&lt;&gt;"",INDEX(ctaVinc,MATCH(K1051,ctaNombre,0))&amp;"",K1051),K1051))</f>
        <v/>
      </c>
      <c r="AD1051" s="52">
        <f>IF(AB1051="","",IFERROR(INDEX(ctaTipo,MATCH(AB1051,ctaNombre,0))&amp;"",""))</f>
        <v/>
      </c>
      <c r="AE1051" s="52">
        <f>IF(AC1051="","",IFERROR(INDEX(ctaTipo,MATCH(AC1051,ctaNombre,0))&amp;"",""))</f>
        <v/>
      </c>
      <c r="AF1051" s="53">
        <f>IF(OR(P1051="",AB1051=""),"",IF(OR(P1051="Gasto",P1051="Transferencia",P1051="Pago tarjeta"),-1,1)*IF(IFERROR(INDEX(ctaMoneda,MATCH(AB1051,ctaNombre,0))&amp;"","DOP")="USD",T1051,S1051))</f>
        <v/>
      </c>
      <c r="AG1051" s="53">
        <f>IF(AC1051="","",IF(IFERROR(INDEX(ctaMoneda,MATCH(AC1051,ctaNombre,0))&amp;"","DOP")="USD",T1051,S1051))</f>
        <v/>
      </c>
      <c r="AH1051" s="53">
        <f>IF(P1051="","",IF(AND(AD1051&lt;&gt;"",COUNTIFS(tcTipo,AD1051,tcLiq,"Sí")&gt;0),IF(OR(P1051="Gasto",P1051="Transferencia",P1051="Pago tarjeta"),-1,1)*S1051,0)+IF(AND(AE1051&lt;&gt;"",COUNTIFS(tcTipo,AE1051,tcLiq,"Sí")&gt;0),S1051,0))</f>
        <v/>
      </c>
      <c r="AI1051" s="52">
        <f>IF(OR(L1051="",P1051=""),"",IF(COUNTIFS(L$6:L1051,L1051,P$6:P1051,"?*")=1,MAX(AI$5:AI1050)+1,""))</f>
        <v/>
      </c>
    </row>
    <row r="1052">
      <c r="B1052" s="47" t="n"/>
      <c r="C1052" s="48" t="n"/>
      <c r="D1052" s="48" t="n"/>
      <c r="E1052" s="48" t="n"/>
      <c r="F1052" s="48" t="n"/>
      <c r="G1052" s="49" t="n"/>
      <c r="H1052" s="48" t="n"/>
      <c r="I1052" s="50" t="n"/>
      <c r="J1052" s="48" t="n"/>
      <c r="K1052" s="48" t="n"/>
      <c r="L1052" s="48" t="n"/>
      <c r="M1052" s="48" t="n"/>
      <c r="N1052" s="48" t="n"/>
      <c r="O1052" s="51">
        <f>IF(AND(B1052="",G1052="",C1052="",D1052="",J1052=""),"",IF(B1052="","⚠ Falta fecha",IF(G1052="","⚠ Falta monto",IF(Q1052="","⚠ Falta cuenta",IF(ISNA(MATCH(Q1052,ctaNombre,0)),"⚠ Cuenta no registrada",IF(AND(OR(P1052="Gasto",P1052="Reembolso"),D1052=""),"⚠ Falta categoría",IF(AND(D1052&lt;&gt;"",E1052&lt;&gt;"",ISNA(MATCH(D1052&amp;"|"&amp;E1052,catClave,0))),"⚠ Subcategoría no corresponde",IF(AND(OR(P1052="Transferencia",P1052="Pago tarjeta"),K1052=""),"⚠ Falta cuenta destino",IF(AND(K1052&lt;&gt;"",P1052&lt;&gt;"Transferencia",P1052&lt;&gt;"Pago tarjeta"),"⚠ Destino solo aplica a transferencias",IF(AND(K1052&lt;&gt;"",K1052=Q1052),"⚠ Origen igual a destino",IF(AND(K1052&lt;&gt;"",ISNA(MATCH(K1052,ctaNombre,0))),"⚠ Destino no registrado",IF(AND(P1052="Pago tarjeta",AE1052&lt;&gt;"Tarjeta de crédito"),"⚠ El destino debe ser tarjeta de crédito",IF(AND(P1052="Gasto",E1052="Depósitos y retiros"),"⚠ Usa tipo Transferencia",IF(AND(P1052="Resultado trading",AD1052&lt;&gt;"Cuenta de trading"),"⚠ Usa una cuenta de trading",IF(AND(G1052&lt;=0,P1052&lt;&gt;"Ajuste",P1052&lt;&gt;"Resultado trading"),"⚠ El monto debe ser positivo","✓")))))))))))))))</f>
        <v/>
      </c>
      <c r="P1052" s="52">
        <f>IF(OR(B1052="",G1052=""),"",IF(C1052="","Gasto",C1052))</f>
        <v/>
      </c>
      <c r="Q1052" s="52">
        <f>IF(P1052="","",IF(J1052&lt;&gt;"",J1052,CuentaPred&amp;""))</f>
        <v/>
      </c>
      <c r="R1052" s="52">
        <f>IF(P1052="","",IF(ISNUMBER(I1052),I1052,TasaUSD))</f>
        <v/>
      </c>
      <c r="S1052" s="53">
        <f>IF(P1052="","",IF(H1052="USD",G1052*R1052,G1052))</f>
        <v/>
      </c>
      <c r="T1052" s="53">
        <f>IF(P1052="","",IF(H1052="USD",G1052,IF(R1052&gt;0,G1052/R1052,0)))</f>
        <v/>
      </c>
      <c r="U1052" s="53">
        <f>IF(P1052="","",IF(P1052="Gasto",S1052,IF(P1052="Reembolso",-S1052,0)))</f>
        <v/>
      </c>
      <c r="V1052" s="53">
        <f>IF(P1052="","",IF(P1052="Ingreso",S1052,0))</f>
        <v/>
      </c>
      <c r="W1052" s="53">
        <f>IF(P1052="","",IF(P1052="Resultado trading",S1052,0))</f>
        <v/>
      </c>
      <c r="X1052" s="52">
        <f>IF(OR(P1052="Gasto",P1052="Reembolso"),IF(M1052&lt;&gt;"",M1052,IFERROR(INDEX(catClasif,MATCH(D1052&amp;"|"&amp;E1052,catClave,0))&amp;"","Variable")),"")</f>
        <v/>
      </c>
      <c r="Y1052" s="52">
        <f>IF(P1052="","",IFERROR(INDEX(catGrupo,MATCH(D1052&amp;"|"&amp;E1052,catClave,0))&amp;"",""))</f>
        <v/>
      </c>
      <c r="Z1052" s="52">
        <f>IF(P1052="","",WEEKDAY(B1052,2))</f>
        <v/>
      </c>
      <c r="AA1052" s="52">
        <f>IF(P1052="","",IF(AND(P1052="Gasto",X1052="Variable",D1052&lt;&gt;catTrading,S1052&gt;0,S1052&lt;=Umbral),1,0))</f>
        <v/>
      </c>
      <c r="AB1052" s="52">
        <f>IF(OR(P1052="",Q1052=""),"",IFERROR(IF(INDEX(ctaVinc,MATCH(Q1052,ctaNombre,0))&amp;""&lt;&gt;"",INDEX(ctaVinc,MATCH(Q1052,ctaNombre,0))&amp;"",Q1052),Q1052))</f>
        <v/>
      </c>
      <c r="AC1052" s="52">
        <f>IF(OR(K1052="",AND(P1052&lt;&gt;"Transferencia",P1052&lt;&gt;"Pago tarjeta")),"",IFERROR(IF(INDEX(ctaVinc,MATCH(K1052,ctaNombre,0))&amp;""&lt;&gt;"",INDEX(ctaVinc,MATCH(K1052,ctaNombre,0))&amp;"",K1052),K1052))</f>
        <v/>
      </c>
      <c r="AD1052" s="52">
        <f>IF(AB1052="","",IFERROR(INDEX(ctaTipo,MATCH(AB1052,ctaNombre,0))&amp;"",""))</f>
        <v/>
      </c>
      <c r="AE1052" s="52">
        <f>IF(AC1052="","",IFERROR(INDEX(ctaTipo,MATCH(AC1052,ctaNombre,0))&amp;"",""))</f>
        <v/>
      </c>
      <c r="AF1052" s="53">
        <f>IF(OR(P1052="",AB1052=""),"",IF(OR(P1052="Gasto",P1052="Transferencia",P1052="Pago tarjeta"),-1,1)*IF(IFERROR(INDEX(ctaMoneda,MATCH(AB1052,ctaNombre,0))&amp;"","DOP")="USD",T1052,S1052))</f>
        <v/>
      </c>
      <c r="AG1052" s="53">
        <f>IF(AC1052="","",IF(IFERROR(INDEX(ctaMoneda,MATCH(AC1052,ctaNombre,0))&amp;"","DOP")="USD",T1052,S1052))</f>
        <v/>
      </c>
      <c r="AH1052" s="53">
        <f>IF(P1052="","",IF(AND(AD1052&lt;&gt;"",COUNTIFS(tcTipo,AD1052,tcLiq,"Sí")&gt;0),IF(OR(P1052="Gasto",P1052="Transferencia",P1052="Pago tarjeta"),-1,1)*S1052,0)+IF(AND(AE1052&lt;&gt;"",COUNTIFS(tcTipo,AE1052,tcLiq,"Sí")&gt;0),S1052,0))</f>
        <v/>
      </c>
      <c r="AI1052" s="52">
        <f>IF(OR(L1052="",P1052=""),"",IF(COUNTIFS(L$6:L1052,L1052,P$6:P1052,"?*")=1,MAX(AI$5:AI1051)+1,""))</f>
        <v/>
      </c>
    </row>
    <row r="1053">
      <c r="B1053" s="47" t="n"/>
      <c r="C1053" s="48" t="n"/>
      <c r="D1053" s="48" t="n"/>
      <c r="E1053" s="48" t="n"/>
      <c r="F1053" s="48" t="n"/>
      <c r="G1053" s="49" t="n"/>
      <c r="H1053" s="48" t="n"/>
      <c r="I1053" s="50" t="n"/>
      <c r="J1053" s="48" t="n"/>
      <c r="K1053" s="48" t="n"/>
      <c r="L1053" s="48" t="n"/>
      <c r="M1053" s="48" t="n"/>
      <c r="N1053" s="48" t="n"/>
      <c r="O1053" s="51">
        <f>IF(AND(B1053="",G1053="",C1053="",D1053="",J1053=""),"",IF(B1053="","⚠ Falta fecha",IF(G1053="","⚠ Falta monto",IF(Q1053="","⚠ Falta cuenta",IF(ISNA(MATCH(Q1053,ctaNombre,0)),"⚠ Cuenta no registrada",IF(AND(OR(P1053="Gasto",P1053="Reembolso"),D1053=""),"⚠ Falta categoría",IF(AND(D1053&lt;&gt;"",E1053&lt;&gt;"",ISNA(MATCH(D1053&amp;"|"&amp;E1053,catClave,0))),"⚠ Subcategoría no corresponde",IF(AND(OR(P1053="Transferencia",P1053="Pago tarjeta"),K1053=""),"⚠ Falta cuenta destino",IF(AND(K1053&lt;&gt;"",P1053&lt;&gt;"Transferencia",P1053&lt;&gt;"Pago tarjeta"),"⚠ Destino solo aplica a transferencias",IF(AND(K1053&lt;&gt;"",K1053=Q1053),"⚠ Origen igual a destino",IF(AND(K1053&lt;&gt;"",ISNA(MATCH(K1053,ctaNombre,0))),"⚠ Destino no registrado",IF(AND(P1053="Pago tarjeta",AE1053&lt;&gt;"Tarjeta de crédito"),"⚠ El destino debe ser tarjeta de crédito",IF(AND(P1053="Gasto",E1053="Depósitos y retiros"),"⚠ Usa tipo Transferencia",IF(AND(P1053="Resultado trading",AD1053&lt;&gt;"Cuenta de trading"),"⚠ Usa una cuenta de trading",IF(AND(G1053&lt;=0,P1053&lt;&gt;"Ajuste",P1053&lt;&gt;"Resultado trading"),"⚠ El monto debe ser positivo","✓")))))))))))))))</f>
        <v/>
      </c>
      <c r="P1053" s="52">
        <f>IF(OR(B1053="",G1053=""),"",IF(C1053="","Gasto",C1053))</f>
        <v/>
      </c>
      <c r="Q1053" s="52">
        <f>IF(P1053="","",IF(J1053&lt;&gt;"",J1053,CuentaPred&amp;""))</f>
        <v/>
      </c>
      <c r="R1053" s="52">
        <f>IF(P1053="","",IF(ISNUMBER(I1053),I1053,TasaUSD))</f>
        <v/>
      </c>
      <c r="S1053" s="53">
        <f>IF(P1053="","",IF(H1053="USD",G1053*R1053,G1053))</f>
        <v/>
      </c>
      <c r="T1053" s="53">
        <f>IF(P1053="","",IF(H1053="USD",G1053,IF(R1053&gt;0,G1053/R1053,0)))</f>
        <v/>
      </c>
      <c r="U1053" s="53">
        <f>IF(P1053="","",IF(P1053="Gasto",S1053,IF(P1053="Reembolso",-S1053,0)))</f>
        <v/>
      </c>
      <c r="V1053" s="53">
        <f>IF(P1053="","",IF(P1053="Ingreso",S1053,0))</f>
        <v/>
      </c>
      <c r="W1053" s="53">
        <f>IF(P1053="","",IF(P1053="Resultado trading",S1053,0))</f>
        <v/>
      </c>
      <c r="X1053" s="52">
        <f>IF(OR(P1053="Gasto",P1053="Reembolso"),IF(M1053&lt;&gt;"",M1053,IFERROR(INDEX(catClasif,MATCH(D1053&amp;"|"&amp;E1053,catClave,0))&amp;"","Variable")),"")</f>
        <v/>
      </c>
      <c r="Y1053" s="52">
        <f>IF(P1053="","",IFERROR(INDEX(catGrupo,MATCH(D1053&amp;"|"&amp;E1053,catClave,0))&amp;"",""))</f>
        <v/>
      </c>
      <c r="Z1053" s="52">
        <f>IF(P1053="","",WEEKDAY(B1053,2))</f>
        <v/>
      </c>
      <c r="AA1053" s="52">
        <f>IF(P1053="","",IF(AND(P1053="Gasto",X1053="Variable",D1053&lt;&gt;catTrading,S1053&gt;0,S1053&lt;=Umbral),1,0))</f>
        <v/>
      </c>
      <c r="AB1053" s="52">
        <f>IF(OR(P1053="",Q1053=""),"",IFERROR(IF(INDEX(ctaVinc,MATCH(Q1053,ctaNombre,0))&amp;""&lt;&gt;"",INDEX(ctaVinc,MATCH(Q1053,ctaNombre,0))&amp;"",Q1053),Q1053))</f>
        <v/>
      </c>
      <c r="AC1053" s="52">
        <f>IF(OR(K1053="",AND(P1053&lt;&gt;"Transferencia",P1053&lt;&gt;"Pago tarjeta")),"",IFERROR(IF(INDEX(ctaVinc,MATCH(K1053,ctaNombre,0))&amp;""&lt;&gt;"",INDEX(ctaVinc,MATCH(K1053,ctaNombre,0))&amp;"",K1053),K1053))</f>
        <v/>
      </c>
      <c r="AD1053" s="52">
        <f>IF(AB1053="","",IFERROR(INDEX(ctaTipo,MATCH(AB1053,ctaNombre,0))&amp;"",""))</f>
        <v/>
      </c>
      <c r="AE1053" s="52">
        <f>IF(AC1053="","",IFERROR(INDEX(ctaTipo,MATCH(AC1053,ctaNombre,0))&amp;"",""))</f>
        <v/>
      </c>
      <c r="AF1053" s="53">
        <f>IF(OR(P1053="",AB1053=""),"",IF(OR(P1053="Gasto",P1053="Transferencia",P1053="Pago tarjeta"),-1,1)*IF(IFERROR(INDEX(ctaMoneda,MATCH(AB1053,ctaNombre,0))&amp;"","DOP")="USD",T1053,S1053))</f>
        <v/>
      </c>
      <c r="AG1053" s="53">
        <f>IF(AC1053="","",IF(IFERROR(INDEX(ctaMoneda,MATCH(AC1053,ctaNombre,0))&amp;"","DOP")="USD",T1053,S1053))</f>
        <v/>
      </c>
      <c r="AH1053" s="53">
        <f>IF(P1053="","",IF(AND(AD1053&lt;&gt;"",COUNTIFS(tcTipo,AD1053,tcLiq,"Sí")&gt;0),IF(OR(P1053="Gasto",P1053="Transferencia",P1053="Pago tarjeta"),-1,1)*S1053,0)+IF(AND(AE1053&lt;&gt;"",COUNTIFS(tcTipo,AE1053,tcLiq,"Sí")&gt;0),S1053,0))</f>
        <v/>
      </c>
      <c r="AI1053" s="52">
        <f>IF(OR(L1053="",P1053=""),"",IF(COUNTIFS(L$6:L1053,L1053,P$6:P1053,"?*")=1,MAX(AI$5:AI1052)+1,""))</f>
        <v/>
      </c>
    </row>
    <row r="1054">
      <c r="B1054" s="47" t="n"/>
      <c r="C1054" s="48" t="n"/>
      <c r="D1054" s="48" t="n"/>
      <c r="E1054" s="48" t="n"/>
      <c r="F1054" s="48" t="n"/>
      <c r="G1054" s="49" t="n"/>
      <c r="H1054" s="48" t="n"/>
      <c r="I1054" s="50" t="n"/>
      <c r="J1054" s="48" t="n"/>
      <c r="K1054" s="48" t="n"/>
      <c r="L1054" s="48" t="n"/>
      <c r="M1054" s="48" t="n"/>
      <c r="N1054" s="48" t="n"/>
      <c r="O1054" s="51">
        <f>IF(AND(B1054="",G1054="",C1054="",D1054="",J1054=""),"",IF(B1054="","⚠ Falta fecha",IF(G1054="","⚠ Falta monto",IF(Q1054="","⚠ Falta cuenta",IF(ISNA(MATCH(Q1054,ctaNombre,0)),"⚠ Cuenta no registrada",IF(AND(OR(P1054="Gasto",P1054="Reembolso"),D1054=""),"⚠ Falta categoría",IF(AND(D1054&lt;&gt;"",E1054&lt;&gt;"",ISNA(MATCH(D1054&amp;"|"&amp;E1054,catClave,0))),"⚠ Subcategoría no corresponde",IF(AND(OR(P1054="Transferencia",P1054="Pago tarjeta"),K1054=""),"⚠ Falta cuenta destino",IF(AND(K1054&lt;&gt;"",P1054&lt;&gt;"Transferencia",P1054&lt;&gt;"Pago tarjeta"),"⚠ Destino solo aplica a transferencias",IF(AND(K1054&lt;&gt;"",K1054=Q1054),"⚠ Origen igual a destino",IF(AND(K1054&lt;&gt;"",ISNA(MATCH(K1054,ctaNombre,0))),"⚠ Destino no registrado",IF(AND(P1054="Pago tarjeta",AE1054&lt;&gt;"Tarjeta de crédito"),"⚠ El destino debe ser tarjeta de crédito",IF(AND(P1054="Gasto",E1054="Depósitos y retiros"),"⚠ Usa tipo Transferencia",IF(AND(P1054="Resultado trading",AD1054&lt;&gt;"Cuenta de trading"),"⚠ Usa una cuenta de trading",IF(AND(G1054&lt;=0,P1054&lt;&gt;"Ajuste",P1054&lt;&gt;"Resultado trading"),"⚠ El monto debe ser positivo","✓")))))))))))))))</f>
        <v/>
      </c>
      <c r="P1054" s="52">
        <f>IF(OR(B1054="",G1054=""),"",IF(C1054="","Gasto",C1054))</f>
        <v/>
      </c>
      <c r="Q1054" s="52">
        <f>IF(P1054="","",IF(J1054&lt;&gt;"",J1054,CuentaPred&amp;""))</f>
        <v/>
      </c>
      <c r="R1054" s="52">
        <f>IF(P1054="","",IF(ISNUMBER(I1054),I1054,TasaUSD))</f>
        <v/>
      </c>
      <c r="S1054" s="53">
        <f>IF(P1054="","",IF(H1054="USD",G1054*R1054,G1054))</f>
        <v/>
      </c>
      <c r="T1054" s="53">
        <f>IF(P1054="","",IF(H1054="USD",G1054,IF(R1054&gt;0,G1054/R1054,0)))</f>
        <v/>
      </c>
      <c r="U1054" s="53">
        <f>IF(P1054="","",IF(P1054="Gasto",S1054,IF(P1054="Reembolso",-S1054,0)))</f>
        <v/>
      </c>
      <c r="V1054" s="53">
        <f>IF(P1054="","",IF(P1054="Ingreso",S1054,0))</f>
        <v/>
      </c>
      <c r="W1054" s="53">
        <f>IF(P1054="","",IF(P1054="Resultado trading",S1054,0))</f>
        <v/>
      </c>
      <c r="X1054" s="52">
        <f>IF(OR(P1054="Gasto",P1054="Reembolso"),IF(M1054&lt;&gt;"",M1054,IFERROR(INDEX(catClasif,MATCH(D1054&amp;"|"&amp;E1054,catClave,0))&amp;"","Variable")),"")</f>
        <v/>
      </c>
      <c r="Y1054" s="52">
        <f>IF(P1054="","",IFERROR(INDEX(catGrupo,MATCH(D1054&amp;"|"&amp;E1054,catClave,0))&amp;"",""))</f>
        <v/>
      </c>
      <c r="Z1054" s="52">
        <f>IF(P1054="","",WEEKDAY(B1054,2))</f>
        <v/>
      </c>
      <c r="AA1054" s="52">
        <f>IF(P1054="","",IF(AND(P1054="Gasto",X1054="Variable",D1054&lt;&gt;catTrading,S1054&gt;0,S1054&lt;=Umbral),1,0))</f>
        <v/>
      </c>
      <c r="AB1054" s="52">
        <f>IF(OR(P1054="",Q1054=""),"",IFERROR(IF(INDEX(ctaVinc,MATCH(Q1054,ctaNombre,0))&amp;""&lt;&gt;"",INDEX(ctaVinc,MATCH(Q1054,ctaNombre,0))&amp;"",Q1054),Q1054))</f>
        <v/>
      </c>
      <c r="AC1054" s="52">
        <f>IF(OR(K1054="",AND(P1054&lt;&gt;"Transferencia",P1054&lt;&gt;"Pago tarjeta")),"",IFERROR(IF(INDEX(ctaVinc,MATCH(K1054,ctaNombre,0))&amp;""&lt;&gt;"",INDEX(ctaVinc,MATCH(K1054,ctaNombre,0))&amp;"",K1054),K1054))</f>
        <v/>
      </c>
      <c r="AD1054" s="52">
        <f>IF(AB1054="","",IFERROR(INDEX(ctaTipo,MATCH(AB1054,ctaNombre,0))&amp;"",""))</f>
        <v/>
      </c>
      <c r="AE1054" s="52">
        <f>IF(AC1054="","",IFERROR(INDEX(ctaTipo,MATCH(AC1054,ctaNombre,0))&amp;"",""))</f>
        <v/>
      </c>
      <c r="AF1054" s="53">
        <f>IF(OR(P1054="",AB1054=""),"",IF(OR(P1054="Gasto",P1054="Transferencia",P1054="Pago tarjeta"),-1,1)*IF(IFERROR(INDEX(ctaMoneda,MATCH(AB1054,ctaNombre,0))&amp;"","DOP")="USD",T1054,S1054))</f>
        <v/>
      </c>
      <c r="AG1054" s="53">
        <f>IF(AC1054="","",IF(IFERROR(INDEX(ctaMoneda,MATCH(AC1054,ctaNombre,0))&amp;"","DOP")="USD",T1054,S1054))</f>
        <v/>
      </c>
      <c r="AH1054" s="53">
        <f>IF(P1054="","",IF(AND(AD1054&lt;&gt;"",COUNTIFS(tcTipo,AD1054,tcLiq,"Sí")&gt;0),IF(OR(P1054="Gasto",P1054="Transferencia",P1054="Pago tarjeta"),-1,1)*S1054,0)+IF(AND(AE1054&lt;&gt;"",COUNTIFS(tcTipo,AE1054,tcLiq,"Sí")&gt;0),S1054,0))</f>
        <v/>
      </c>
      <c r="AI1054" s="52">
        <f>IF(OR(L1054="",P1054=""),"",IF(COUNTIFS(L$6:L1054,L1054,P$6:P1054,"?*")=1,MAX(AI$5:AI1053)+1,""))</f>
        <v/>
      </c>
    </row>
    <row r="1055">
      <c r="B1055" s="47" t="n"/>
      <c r="C1055" s="48" t="n"/>
      <c r="D1055" s="48" t="n"/>
      <c r="E1055" s="48" t="n"/>
      <c r="F1055" s="48" t="n"/>
      <c r="G1055" s="49" t="n"/>
      <c r="H1055" s="48" t="n"/>
      <c r="I1055" s="50" t="n"/>
      <c r="J1055" s="48" t="n"/>
      <c r="K1055" s="48" t="n"/>
      <c r="L1055" s="48" t="n"/>
      <c r="M1055" s="48" t="n"/>
      <c r="N1055" s="48" t="n"/>
      <c r="O1055" s="51">
        <f>IF(AND(B1055="",G1055="",C1055="",D1055="",J1055=""),"",IF(B1055="","⚠ Falta fecha",IF(G1055="","⚠ Falta monto",IF(Q1055="","⚠ Falta cuenta",IF(ISNA(MATCH(Q1055,ctaNombre,0)),"⚠ Cuenta no registrada",IF(AND(OR(P1055="Gasto",P1055="Reembolso"),D1055=""),"⚠ Falta categoría",IF(AND(D1055&lt;&gt;"",E1055&lt;&gt;"",ISNA(MATCH(D1055&amp;"|"&amp;E1055,catClave,0))),"⚠ Subcategoría no corresponde",IF(AND(OR(P1055="Transferencia",P1055="Pago tarjeta"),K1055=""),"⚠ Falta cuenta destino",IF(AND(K1055&lt;&gt;"",P1055&lt;&gt;"Transferencia",P1055&lt;&gt;"Pago tarjeta"),"⚠ Destino solo aplica a transferencias",IF(AND(K1055&lt;&gt;"",K1055=Q1055),"⚠ Origen igual a destino",IF(AND(K1055&lt;&gt;"",ISNA(MATCH(K1055,ctaNombre,0))),"⚠ Destino no registrado",IF(AND(P1055="Pago tarjeta",AE1055&lt;&gt;"Tarjeta de crédito"),"⚠ El destino debe ser tarjeta de crédito",IF(AND(P1055="Gasto",E1055="Depósitos y retiros"),"⚠ Usa tipo Transferencia",IF(AND(P1055="Resultado trading",AD1055&lt;&gt;"Cuenta de trading"),"⚠ Usa una cuenta de trading",IF(AND(G1055&lt;=0,P1055&lt;&gt;"Ajuste",P1055&lt;&gt;"Resultado trading"),"⚠ El monto debe ser positivo","✓")))))))))))))))</f>
        <v/>
      </c>
      <c r="P1055" s="52">
        <f>IF(OR(B1055="",G1055=""),"",IF(C1055="","Gasto",C1055))</f>
        <v/>
      </c>
      <c r="Q1055" s="52">
        <f>IF(P1055="","",IF(J1055&lt;&gt;"",J1055,CuentaPred&amp;""))</f>
        <v/>
      </c>
      <c r="R1055" s="52">
        <f>IF(P1055="","",IF(ISNUMBER(I1055),I1055,TasaUSD))</f>
        <v/>
      </c>
      <c r="S1055" s="53">
        <f>IF(P1055="","",IF(H1055="USD",G1055*R1055,G1055))</f>
        <v/>
      </c>
      <c r="T1055" s="53">
        <f>IF(P1055="","",IF(H1055="USD",G1055,IF(R1055&gt;0,G1055/R1055,0)))</f>
        <v/>
      </c>
      <c r="U1055" s="53">
        <f>IF(P1055="","",IF(P1055="Gasto",S1055,IF(P1055="Reembolso",-S1055,0)))</f>
        <v/>
      </c>
      <c r="V1055" s="53">
        <f>IF(P1055="","",IF(P1055="Ingreso",S1055,0))</f>
        <v/>
      </c>
      <c r="W1055" s="53">
        <f>IF(P1055="","",IF(P1055="Resultado trading",S1055,0))</f>
        <v/>
      </c>
      <c r="X1055" s="52">
        <f>IF(OR(P1055="Gasto",P1055="Reembolso"),IF(M1055&lt;&gt;"",M1055,IFERROR(INDEX(catClasif,MATCH(D1055&amp;"|"&amp;E1055,catClave,0))&amp;"","Variable")),"")</f>
        <v/>
      </c>
      <c r="Y1055" s="52">
        <f>IF(P1055="","",IFERROR(INDEX(catGrupo,MATCH(D1055&amp;"|"&amp;E1055,catClave,0))&amp;"",""))</f>
        <v/>
      </c>
      <c r="Z1055" s="52">
        <f>IF(P1055="","",WEEKDAY(B1055,2))</f>
        <v/>
      </c>
      <c r="AA1055" s="52">
        <f>IF(P1055="","",IF(AND(P1055="Gasto",X1055="Variable",D1055&lt;&gt;catTrading,S1055&gt;0,S1055&lt;=Umbral),1,0))</f>
        <v/>
      </c>
      <c r="AB1055" s="52">
        <f>IF(OR(P1055="",Q1055=""),"",IFERROR(IF(INDEX(ctaVinc,MATCH(Q1055,ctaNombre,0))&amp;""&lt;&gt;"",INDEX(ctaVinc,MATCH(Q1055,ctaNombre,0))&amp;"",Q1055),Q1055))</f>
        <v/>
      </c>
      <c r="AC1055" s="52">
        <f>IF(OR(K1055="",AND(P1055&lt;&gt;"Transferencia",P1055&lt;&gt;"Pago tarjeta")),"",IFERROR(IF(INDEX(ctaVinc,MATCH(K1055,ctaNombre,0))&amp;""&lt;&gt;"",INDEX(ctaVinc,MATCH(K1055,ctaNombre,0))&amp;"",K1055),K1055))</f>
        <v/>
      </c>
      <c r="AD1055" s="52">
        <f>IF(AB1055="","",IFERROR(INDEX(ctaTipo,MATCH(AB1055,ctaNombre,0))&amp;"",""))</f>
        <v/>
      </c>
      <c r="AE1055" s="52">
        <f>IF(AC1055="","",IFERROR(INDEX(ctaTipo,MATCH(AC1055,ctaNombre,0))&amp;"",""))</f>
        <v/>
      </c>
      <c r="AF1055" s="53">
        <f>IF(OR(P1055="",AB1055=""),"",IF(OR(P1055="Gasto",P1055="Transferencia",P1055="Pago tarjeta"),-1,1)*IF(IFERROR(INDEX(ctaMoneda,MATCH(AB1055,ctaNombre,0))&amp;"","DOP")="USD",T1055,S1055))</f>
        <v/>
      </c>
      <c r="AG1055" s="53">
        <f>IF(AC1055="","",IF(IFERROR(INDEX(ctaMoneda,MATCH(AC1055,ctaNombre,0))&amp;"","DOP")="USD",T1055,S1055))</f>
        <v/>
      </c>
      <c r="AH1055" s="53">
        <f>IF(P1055="","",IF(AND(AD1055&lt;&gt;"",COUNTIFS(tcTipo,AD1055,tcLiq,"Sí")&gt;0),IF(OR(P1055="Gasto",P1055="Transferencia",P1055="Pago tarjeta"),-1,1)*S1055,0)+IF(AND(AE1055&lt;&gt;"",COUNTIFS(tcTipo,AE1055,tcLiq,"Sí")&gt;0),S1055,0))</f>
        <v/>
      </c>
      <c r="AI1055" s="52">
        <f>IF(OR(L1055="",P1055=""),"",IF(COUNTIFS(L$6:L1055,L1055,P$6:P1055,"?*")=1,MAX(AI$5:AI1054)+1,""))</f>
        <v/>
      </c>
    </row>
    <row r="1056">
      <c r="B1056" s="47" t="n"/>
      <c r="C1056" s="48" t="n"/>
      <c r="D1056" s="48" t="n"/>
      <c r="E1056" s="48" t="n"/>
      <c r="F1056" s="48" t="n"/>
      <c r="G1056" s="49" t="n"/>
      <c r="H1056" s="48" t="n"/>
      <c r="I1056" s="50" t="n"/>
      <c r="J1056" s="48" t="n"/>
      <c r="K1056" s="48" t="n"/>
      <c r="L1056" s="48" t="n"/>
      <c r="M1056" s="48" t="n"/>
      <c r="N1056" s="48" t="n"/>
      <c r="O1056" s="51">
        <f>IF(AND(B1056="",G1056="",C1056="",D1056="",J1056=""),"",IF(B1056="","⚠ Falta fecha",IF(G1056="","⚠ Falta monto",IF(Q1056="","⚠ Falta cuenta",IF(ISNA(MATCH(Q1056,ctaNombre,0)),"⚠ Cuenta no registrada",IF(AND(OR(P1056="Gasto",P1056="Reembolso"),D1056=""),"⚠ Falta categoría",IF(AND(D1056&lt;&gt;"",E1056&lt;&gt;"",ISNA(MATCH(D1056&amp;"|"&amp;E1056,catClave,0))),"⚠ Subcategoría no corresponde",IF(AND(OR(P1056="Transferencia",P1056="Pago tarjeta"),K1056=""),"⚠ Falta cuenta destino",IF(AND(K1056&lt;&gt;"",P1056&lt;&gt;"Transferencia",P1056&lt;&gt;"Pago tarjeta"),"⚠ Destino solo aplica a transferencias",IF(AND(K1056&lt;&gt;"",K1056=Q1056),"⚠ Origen igual a destino",IF(AND(K1056&lt;&gt;"",ISNA(MATCH(K1056,ctaNombre,0))),"⚠ Destino no registrado",IF(AND(P1056="Pago tarjeta",AE1056&lt;&gt;"Tarjeta de crédito"),"⚠ El destino debe ser tarjeta de crédito",IF(AND(P1056="Gasto",E1056="Depósitos y retiros"),"⚠ Usa tipo Transferencia",IF(AND(P1056="Resultado trading",AD1056&lt;&gt;"Cuenta de trading"),"⚠ Usa una cuenta de trading",IF(AND(G1056&lt;=0,P1056&lt;&gt;"Ajuste",P1056&lt;&gt;"Resultado trading"),"⚠ El monto debe ser positivo","✓")))))))))))))))</f>
        <v/>
      </c>
      <c r="P1056" s="52">
        <f>IF(OR(B1056="",G1056=""),"",IF(C1056="","Gasto",C1056))</f>
        <v/>
      </c>
      <c r="Q1056" s="52">
        <f>IF(P1056="","",IF(J1056&lt;&gt;"",J1056,CuentaPred&amp;""))</f>
        <v/>
      </c>
      <c r="R1056" s="52">
        <f>IF(P1056="","",IF(ISNUMBER(I1056),I1056,TasaUSD))</f>
        <v/>
      </c>
      <c r="S1056" s="53">
        <f>IF(P1056="","",IF(H1056="USD",G1056*R1056,G1056))</f>
        <v/>
      </c>
      <c r="T1056" s="53">
        <f>IF(P1056="","",IF(H1056="USD",G1056,IF(R1056&gt;0,G1056/R1056,0)))</f>
        <v/>
      </c>
      <c r="U1056" s="53">
        <f>IF(P1056="","",IF(P1056="Gasto",S1056,IF(P1056="Reembolso",-S1056,0)))</f>
        <v/>
      </c>
      <c r="V1056" s="53">
        <f>IF(P1056="","",IF(P1056="Ingreso",S1056,0))</f>
        <v/>
      </c>
      <c r="W1056" s="53">
        <f>IF(P1056="","",IF(P1056="Resultado trading",S1056,0))</f>
        <v/>
      </c>
      <c r="X1056" s="52">
        <f>IF(OR(P1056="Gasto",P1056="Reembolso"),IF(M1056&lt;&gt;"",M1056,IFERROR(INDEX(catClasif,MATCH(D1056&amp;"|"&amp;E1056,catClave,0))&amp;"","Variable")),"")</f>
        <v/>
      </c>
      <c r="Y1056" s="52">
        <f>IF(P1056="","",IFERROR(INDEX(catGrupo,MATCH(D1056&amp;"|"&amp;E1056,catClave,0))&amp;"",""))</f>
        <v/>
      </c>
      <c r="Z1056" s="52">
        <f>IF(P1056="","",WEEKDAY(B1056,2))</f>
        <v/>
      </c>
      <c r="AA1056" s="52">
        <f>IF(P1056="","",IF(AND(P1056="Gasto",X1056="Variable",D1056&lt;&gt;catTrading,S1056&gt;0,S1056&lt;=Umbral),1,0))</f>
        <v/>
      </c>
      <c r="AB1056" s="52">
        <f>IF(OR(P1056="",Q1056=""),"",IFERROR(IF(INDEX(ctaVinc,MATCH(Q1056,ctaNombre,0))&amp;""&lt;&gt;"",INDEX(ctaVinc,MATCH(Q1056,ctaNombre,0))&amp;"",Q1056),Q1056))</f>
        <v/>
      </c>
      <c r="AC1056" s="52">
        <f>IF(OR(K1056="",AND(P1056&lt;&gt;"Transferencia",P1056&lt;&gt;"Pago tarjeta")),"",IFERROR(IF(INDEX(ctaVinc,MATCH(K1056,ctaNombre,0))&amp;""&lt;&gt;"",INDEX(ctaVinc,MATCH(K1056,ctaNombre,0))&amp;"",K1056),K1056))</f>
        <v/>
      </c>
      <c r="AD1056" s="52">
        <f>IF(AB1056="","",IFERROR(INDEX(ctaTipo,MATCH(AB1056,ctaNombre,0))&amp;"",""))</f>
        <v/>
      </c>
      <c r="AE1056" s="52">
        <f>IF(AC1056="","",IFERROR(INDEX(ctaTipo,MATCH(AC1056,ctaNombre,0))&amp;"",""))</f>
        <v/>
      </c>
      <c r="AF1056" s="53">
        <f>IF(OR(P1056="",AB1056=""),"",IF(OR(P1056="Gasto",P1056="Transferencia",P1056="Pago tarjeta"),-1,1)*IF(IFERROR(INDEX(ctaMoneda,MATCH(AB1056,ctaNombre,0))&amp;"","DOP")="USD",T1056,S1056))</f>
        <v/>
      </c>
      <c r="AG1056" s="53">
        <f>IF(AC1056="","",IF(IFERROR(INDEX(ctaMoneda,MATCH(AC1056,ctaNombre,0))&amp;"","DOP")="USD",T1056,S1056))</f>
        <v/>
      </c>
      <c r="AH1056" s="53">
        <f>IF(P1056="","",IF(AND(AD1056&lt;&gt;"",COUNTIFS(tcTipo,AD1056,tcLiq,"Sí")&gt;0),IF(OR(P1056="Gasto",P1056="Transferencia",P1056="Pago tarjeta"),-1,1)*S1056,0)+IF(AND(AE1056&lt;&gt;"",COUNTIFS(tcTipo,AE1056,tcLiq,"Sí")&gt;0),S1056,0))</f>
        <v/>
      </c>
      <c r="AI1056" s="52">
        <f>IF(OR(L1056="",P1056=""),"",IF(COUNTIFS(L$6:L1056,L1056,P$6:P1056,"?*")=1,MAX(AI$5:AI1055)+1,""))</f>
        <v/>
      </c>
    </row>
    <row r="1057">
      <c r="B1057" s="47" t="n"/>
      <c r="C1057" s="48" t="n"/>
      <c r="D1057" s="48" t="n"/>
      <c r="E1057" s="48" t="n"/>
      <c r="F1057" s="48" t="n"/>
      <c r="G1057" s="49" t="n"/>
      <c r="H1057" s="48" t="n"/>
      <c r="I1057" s="50" t="n"/>
      <c r="J1057" s="48" t="n"/>
      <c r="K1057" s="48" t="n"/>
      <c r="L1057" s="48" t="n"/>
      <c r="M1057" s="48" t="n"/>
      <c r="N1057" s="48" t="n"/>
      <c r="O1057" s="51">
        <f>IF(AND(B1057="",G1057="",C1057="",D1057="",J1057=""),"",IF(B1057="","⚠ Falta fecha",IF(G1057="","⚠ Falta monto",IF(Q1057="","⚠ Falta cuenta",IF(ISNA(MATCH(Q1057,ctaNombre,0)),"⚠ Cuenta no registrada",IF(AND(OR(P1057="Gasto",P1057="Reembolso"),D1057=""),"⚠ Falta categoría",IF(AND(D1057&lt;&gt;"",E1057&lt;&gt;"",ISNA(MATCH(D1057&amp;"|"&amp;E1057,catClave,0))),"⚠ Subcategoría no corresponde",IF(AND(OR(P1057="Transferencia",P1057="Pago tarjeta"),K1057=""),"⚠ Falta cuenta destino",IF(AND(K1057&lt;&gt;"",P1057&lt;&gt;"Transferencia",P1057&lt;&gt;"Pago tarjeta"),"⚠ Destino solo aplica a transferencias",IF(AND(K1057&lt;&gt;"",K1057=Q1057),"⚠ Origen igual a destino",IF(AND(K1057&lt;&gt;"",ISNA(MATCH(K1057,ctaNombre,0))),"⚠ Destino no registrado",IF(AND(P1057="Pago tarjeta",AE1057&lt;&gt;"Tarjeta de crédito"),"⚠ El destino debe ser tarjeta de crédito",IF(AND(P1057="Gasto",E1057="Depósitos y retiros"),"⚠ Usa tipo Transferencia",IF(AND(P1057="Resultado trading",AD1057&lt;&gt;"Cuenta de trading"),"⚠ Usa una cuenta de trading",IF(AND(G1057&lt;=0,P1057&lt;&gt;"Ajuste",P1057&lt;&gt;"Resultado trading"),"⚠ El monto debe ser positivo","✓")))))))))))))))</f>
        <v/>
      </c>
      <c r="P1057" s="52">
        <f>IF(OR(B1057="",G1057=""),"",IF(C1057="","Gasto",C1057))</f>
        <v/>
      </c>
      <c r="Q1057" s="52">
        <f>IF(P1057="","",IF(J1057&lt;&gt;"",J1057,CuentaPred&amp;""))</f>
        <v/>
      </c>
      <c r="R1057" s="52">
        <f>IF(P1057="","",IF(ISNUMBER(I1057),I1057,TasaUSD))</f>
        <v/>
      </c>
      <c r="S1057" s="53">
        <f>IF(P1057="","",IF(H1057="USD",G1057*R1057,G1057))</f>
        <v/>
      </c>
      <c r="T1057" s="53">
        <f>IF(P1057="","",IF(H1057="USD",G1057,IF(R1057&gt;0,G1057/R1057,0)))</f>
        <v/>
      </c>
      <c r="U1057" s="53">
        <f>IF(P1057="","",IF(P1057="Gasto",S1057,IF(P1057="Reembolso",-S1057,0)))</f>
        <v/>
      </c>
      <c r="V1057" s="53">
        <f>IF(P1057="","",IF(P1057="Ingreso",S1057,0))</f>
        <v/>
      </c>
      <c r="W1057" s="53">
        <f>IF(P1057="","",IF(P1057="Resultado trading",S1057,0))</f>
        <v/>
      </c>
      <c r="X1057" s="52">
        <f>IF(OR(P1057="Gasto",P1057="Reembolso"),IF(M1057&lt;&gt;"",M1057,IFERROR(INDEX(catClasif,MATCH(D1057&amp;"|"&amp;E1057,catClave,0))&amp;"","Variable")),"")</f>
        <v/>
      </c>
      <c r="Y1057" s="52">
        <f>IF(P1057="","",IFERROR(INDEX(catGrupo,MATCH(D1057&amp;"|"&amp;E1057,catClave,0))&amp;"",""))</f>
        <v/>
      </c>
      <c r="Z1057" s="52">
        <f>IF(P1057="","",WEEKDAY(B1057,2))</f>
        <v/>
      </c>
      <c r="AA1057" s="52">
        <f>IF(P1057="","",IF(AND(P1057="Gasto",X1057="Variable",D1057&lt;&gt;catTrading,S1057&gt;0,S1057&lt;=Umbral),1,0))</f>
        <v/>
      </c>
      <c r="AB1057" s="52">
        <f>IF(OR(P1057="",Q1057=""),"",IFERROR(IF(INDEX(ctaVinc,MATCH(Q1057,ctaNombre,0))&amp;""&lt;&gt;"",INDEX(ctaVinc,MATCH(Q1057,ctaNombre,0))&amp;"",Q1057),Q1057))</f>
        <v/>
      </c>
      <c r="AC1057" s="52">
        <f>IF(OR(K1057="",AND(P1057&lt;&gt;"Transferencia",P1057&lt;&gt;"Pago tarjeta")),"",IFERROR(IF(INDEX(ctaVinc,MATCH(K1057,ctaNombre,0))&amp;""&lt;&gt;"",INDEX(ctaVinc,MATCH(K1057,ctaNombre,0))&amp;"",K1057),K1057))</f>
        <v/>
      </c>
      <c r="AD1057" s="52">
        <f>IF(AB1057="","",IFERROR(INDEX(ctaTipo,MATCH(AB1057,ctaNombre,0))&amp;"",""))</f>
        <v/>
      </c>
      <c r="AE1057" s="52">
        <f>IF(AC1057="","",IFERROR(INDEX(ctaTipo,MATCH(AC1057,ctaNombre,0))&amp;"",""))</f>
        <v/>
      </c>
      <c r="AF1057" s="53">
        <f>IF(OR(P1057="",AB1057=""),"",IF(OR(P1057="Gasto",P1057="Transferencia",P1057="Pago tarjeta"),-1,1)*IF(IFERROR(INDEX(ctaMoneda,MATCH(AB1057,ctaNombre,0))&amp;"","DOP")="USD",T1057,S1057))</f>
        <v/>
      </c>
      <c r="AG1057" s="53">
        <f>IF(AC1057="","",IF(IFERROR(INDEX(ctaMoneda,MATCH(AC1057,ctaNombre,0))&amp;"","DOP")="USD",T1057,S1057))</f>
        <v/>
      </c>
      <c r="AH1057" s="53">
        <f>IF(P1057="","",IF(AND(AD1057&lt;&gt;"",COUNTIFS(tcTipo,AD1057,tcLiq,"Sí")&gt;0),IF(OR(P1057="Gasto",P1057="Transferencia",P1057="Pago tarjeta"),-1,1)*S1057,0)+IF(AND(AE1057&lt;&gt;"",COUNTIFS(tcTipo,AE1057,tcLiq,"Sí")&gt;0),S1057,0))</f>
        <v/>
      </c>
      <c r="AI1057" s="52">
        <f>IF(OR(L1057="",P1057=""),"",IF(COUNTIFS(L$6:L1057,L1057,P$6:P1057,"?*")=1,MAX(AI$5:AI1056)+1,""))</f>
        <v/>
      </c>
    </row>
    <row r="1058">
      <c r="B1058" s="47" t="n"/>
      <c r="C1058" s="48" t="n"/>
      <c r="D1058" s="48" t="n"/>
      <c r="E1058" s="48" t="n"/>
      <c r="F1058" s="48" t="n"/>
      <c r="G1058" s="49" t="n"/>
      <c r="H1058" s="48" t="n"/>
      <c r="I1058" s="50" t="n"/>
      <c r="J1058" s="48" t="n"/>
      <c r="K1058" s="48" t="n"/>
      <c r="L1058" s="48" t="n"/>
      <c r="M1058" s="48" t="n"/>
      <c r="N1058" s="48" t="n"/>
      <c r="O1058" s="51">
        <f>IF(AND(B1058="",G1058="",C1058="",D1058="",J1058=""),"",IF(B1058="","⚠ Falta fecha",IF(G1058="","⚠ Falta monto",IF(Q1058="","⚠ Falta cuenta",IF(ISNA(MATCH(Q1058,ctaNombre,0)),"⚠ Cuenta no registrada",IF(AND(OR(P1058="Gasto",P1058="Reembolso"),D1058=""),"⚠ Falta categoría",IF(AND(D1058&lt;&gt;"",E1058&lt;&gt;"",ISNA(MATCH(D1058&amp;"|"&amp;E1058,catClave,0))),"⚠ Subcategoría no corresponde",IF(AND(OR(P1058="Transferencia",P1058="Pago tarjeta"),K1058=""),"⚠ Falta cuenta destino",IF(AND(K1058&lt;&gt;"",P1058&lt;&gt;"Transferencia",P1058&lt;&gt;"Pago tarjeta"),"⚠ Destino solo aplica a transferencias",IF(AND(K1058&lt;&gt;"",K1058=Q1058),"⚠ Origen igual a destino",IF(AND(K1058&lt;&gt;"",ISNA(MATCH(K1058,ctaNombre,0))),"⚠ Destino no registrado",IF(AND(P1058="Pago tarjeta",AE1058&lt;&gt;"Tarjeta de crédito"),"⚠ El destino debe ser tarjeta de crédito",IF(AND(P1058="Gasto",E1058="Depósitos y retiros"),"⚠ Usa tipo Transferencia",IF(AND(P1058="Resultado trading",AD1058&lt;&gt;"Cuenta de trading"),"⚠ Usa una cuenta de trading",IF(AND(G1058&lt;=0,P1058&lt;&gt;"Ajuste",P1058&lt;&gt;"Resultado trading"),"⚠ El monto debe ser positivo","✓")))))))))))))))</f>
        <v/>
      </c>
      <c r="P1058" s="52">
        <f>IF(OR(B1058="",G1058=""),"",IF(C1058="","Gasto",C1058))</f>
        <v/>
      </c>
      <c r="Q1058" s="52">
        <f>IF(P1058="","",IF(J1058&lt;&gt;"",J1058,CuentaPred&amp;""))</f>
        <v/>
      </c>
      <c r="R1058" s="52">
        <f>IF(P1058="","",IF(ISNUMBER(I1058),I1058,TasaUSD))</f>
        <v/>
      </c>
      <c r="S1058" s="53">
        <f>IF(P1058="","",IF(H1058="USD",G1058*R1058,G1058))</f>
        <v/>
      </c>
      <c r="T1058" s="53">
        <f>IF(P1058="","",IF(H1058="USD",G1058,IF(R1058&gt;0,G1058/R1058,0)))</f>
        <v/>
      </c>
      <c r="U1058" s="53">
        <f>IF(P1058="","",IF(P1058="Gasto",S1058,IF(P1058="Reembolso",-S1058,0)))</f>
        <v/>
      </c>
      <c r="V1058" s="53">
        <f>IF(P1058="","",IF(P1058="Ingreso",S1058,0))</f>
        <v/>
      </c>
      <c r="W1058" s="53">
        <f>IF(P1058="","",IF(P1058="Resultado trading",S1058,0))</f>
        <v/>
      </c>
      <c r="X1058" s="52">
        <f>IF(OR(P1058="Gasto",P1058="Reembolso"),IF(M1058&lt;&gt;"",M1058,IFERROR(INDEX(catClasif,MATCH(D1058&amp;"|"&amp;E1058,catClave,0))&amp;"","Variable")),"")</f>
        <v/>
      </c>
      <c r="Y1058" s="52">
        <f>IF(P1058="","",IFERROR(INDEX(catGrupo,MATCH(D1058&amp;"|"&amp;E1058,catClave,0))&amp;"",""))</f>
        <v/>
      </c>
      <c r="Z1058" s="52">
        <f>IF(P1058="","",WEEKDAY(B1058,2))</f>
        <v/>
      </c>
      <c r="AA1058" s="52">
        <f>IF(P1058="","",IF(AND(P1058="Gasto",X1058="Variable",D1058&lt;&gt;catTrading,S1058&gt;0,S1058&lt;=Umbral),1,0))</f>
        <v/>
      </c>
      <c r="AB1058" s="52">
        <f>IF(OR(P1058="",Q1058=""),"",IFERROR(IF(INDEX(ctaVinc,MATCH(Q1058,ctaNombre,0))&amp;""&lt;&gt;"",INDEX(ctaVinc,MATCH(Q1058,ctaNombre,0))&amp;"",Q1058),Q1058))</f>
        <v/>
      </c>
      <c r="AC1058" s="52">
        <f>IF(OR(K1058="",AND(P1058&lt;&gt;"Transferencia",P1058&lt;&gt;"Pago tarjeta")),"",IFERROR(IF(INDEX(ctaVinc,MATCH(K1058,ctaNombre,0))&amp;""&lt;&gt;"",INDEX(ctaVinc,MATCH(K1058,ctaNombre,0))&amp;"",K1058),K1058))</f>
        <v/>
      </c>
      <c r="AD1058" s="52">
        <f>IF(AB1058="","",IFERROR(INDEX(ctaTipo,MATCH(AB1058,ctaNombre,0))&amp;"",""))</f>
        <v/>
      </c>
      <c r="AE1058" s="52">
        <f>IF(AC1058="","",IFERROR(INDEX(ctaTipo,MATCH(AC1058,ctaNombre,0))&amp;"",""))</f>
        <v/>
      </c>
      <c r="AF1058" s="53">
        <f>IF(OR(P1058="",AB1058=""),"",IF(OR(P1058="Gasto",P1058="Transferencia",P1058="Pago tarjeta"),-1,1)*IF(IFERROR(INDEX(ctaMoneda,MATCH(AB1058,ctaNombre,0))&amp;"","DOP")="USD",T1058,S1058))</f>
        <v/>
      </c>
      <c r="AG1058" s="53">
        <f>IF(AC1058="","",IF(IFERROR(INDEX(ctaMoneda,MATCH(AC1058,ctaNombre,0))&amp;"","DOP")="USD",T1058,S1058))</f>
        <v/>
      </c>
      <c r="AH1058" s="53">
        <f>IF(P1058="","",IF(AND(AD1058&lt;&gt;"",COUNTIFS(tcTipo,AD1058,tcLiq,"Sí")&gt;0),IF(OR(P1058="Gasto",P1058="Transferencia",P1058="Pago tarjeta"),-1,1)*S1058,0)+IF(AND(AE1058&lt;&gt;"",COUNTIFS(tcTipo,AE1058,tcLiq,"Sí")&gt;0),S1058,0))</f>
        <v/>
      </c>
      <c r="AI1058" s="52">
        <f>IF(OR(L1058="",P1058=""),"",IF(COUNTIFS(L$6:L1058,L1058,P$6:P1058,"?*")=1,MAX(AI$5:AI1057)+1,""))</f>
        <v/>
      </c>
    </row>
    <row r="1059">
      <c r="B1059" s="47" t="n"/>
      <c r="C1059" s="48" t="n"/>
      <c r="D1059" s="48" t="n"/>
      <c r="E1059" s="48" t="n"/>
      <c r="F1059" s="48" t="n"/>
      <c r="G1059" s="49" t="n"/>
      <c r="H1059" s="48" t="n"/>
      <c r="I1059" s="50" t="n"/>
      <c r="J1059" s="48" t="n"/>
      <c r="K1059" s="48" t="n"/>
      <c r="L1059" s="48" t="n"/>
      <c r="M1059" s="48" t="n"/>
      <c r="N1059" s="48" t="n"/>
      <c r="O1059" s="51">
        <f>IF(AND(B1059="",G1059="",C1059="",D1059="",J1059=""),"",IF(B1059="","⚠ Falta fecha",IF(G1059="","⚠ Falta monto",IF(Q1059="","⚠ Falta cuenta",IF(ISNA(MATCH(Q1059,ctaNombre,0)),"⚠ Cuenta no registrada",IF(AND(OR(P1059="Gasto",P1059="Reembolso"),D1059=""),"⚠ Falta categoría",IF(AND(D1059&lt;&gt;"",E1059&lt;&gt;"",ISNA(MATCH(D1059&amp;"|"&amp;E1059,catClave,0))),"⚠ Subcategoría no corresponde",IF(AND(OR(P1059="Transferencia",P1059="Pago tarjeta"),K1059=""),"⚠ Falta cuenta destino",IF(AND(K1059&lt;&gt;"",P1059&lt;&gt;"Transferencia",P1059&lt;&gt;"Pago tarjeta"),"⚠ Destino solo aplica a transferencias",IF(AND(K1059&lt;&gt;"",K1059=Q1059),"⚠ Origen igual a destino",IF(AND(K1059&lt;&gt;"",ISNA(MATCH(K1059,ctaNombre,0))),"⚠ Destino no registrado",IF(AND(P1059="Pago tarjeta",AE1059&lt;&gt;"Tarjeta de crédito"),"⚠ El destino debe ser tarjeta de crédito",IF(AND(P1059="Gasto",E1059="Depósitos y retiros"),"⚠ Usa tipo Transferencia",IF(AND(P1059="Resultado trading",AD1059&lt;&gt;"Cuenta de trading"),"⚠ Usa una cuenta de trading",IF(AND(G1059&lt;=0,P1059&lt;&gt;"Ajuste",P1059&lt;&gt;"Resultado trading"),"⚠ El monto debe ser positivo","✓")))))))))))))))</f>
        <v/>
      </c>
      <c r="P1059" s="52">
        <f>IF(OR(B1059="",G1059=""),"",IF(C1059="","Gasto",C1059))</f>
        <v/>
      </c>
      <c r="Q1059" s="52">
        <f>IF(P1059="","",IF(J1059&lt;&gt;"",J1059,CuentaPred&amp;""))</f>
        <v/>
      </c>
      <c r="R1059" s="52">
        <f>IF(P1059="","",IF(ISNUMBER(I1059),I1059,TasaUSD))</f>
        <v/>
      </c>
      <c r="S1059" s="53">
        <f>IF(P1059="","",IF(H1059="USD",G1059*R1059,G1059))</f>
        <v/>
      </c>
      <c r="T1059" s="53">
        <f>IF(P1059="","",IF(H1059="USD",G1059,IF(R1059&gt;0,G1059/R1059,0)))</f>
        <v/>
      </c>
      <c r="U1059" s="53">
        <f>IF(P1059="","",IF(P1059="Gasto",S1059,IF(P1059="Reembolso",-S1059,0)))</f>
        <v/>
      </c>
      <c r="V1059" s="53">
        <f>IF(P1059="","",IF(P1059="Ingreso",S1059,0))</f>
        <v/>
      </c>
      <c r="W1059" s="53">
        <f>IF(P1059="","",IF(P1059="Resultado trading",S1059,0))</f>
        <v/>
      </c>
      <c r="X1059" s="52">
        <f>IF(OR(P1059="Gasto",P1059="Reembolso"),IF(M1059&lt;&gt;"",M1059,IFERROR(INDEX(catClasif,MATCH(D1059&amp;"|"&amp;E1059,catClave,0))&amp;"","Variable")),"")</f>
        <v/>
      </c>
      <c r="Y1059" s="52">
        <f>IF(P1059="","",IFERROR(INDEX(catGrupo,MATCH(D1059&amp;"|"&amp;E1059,catClave,0))&amp;"",""))</f>
        <v/>
      </c>
      <c r="Z1059" s="52">
        <f>IF(P1059="","",WEEKDAY(B1059,2))</f>
        <v/>
      </c>
      <c r="AA1059" s="52">
        <f>IF(P1059="","",IF(AND(P1059="Gasto",X1059="Variable",D1059&lt;&gt;catTrading,S1059&gt;0,S1059&lt;=Umbral),1,0))</f>
        <v/>
      </c>
      <c r="AB1059" s="52">
        <f>IF(OR(P1059="",Q1059=""),"",IFERROR(IF(INDEX(ctaVinc,MATCH(Q1059,ctaNombre,0))&amp;""&lt;&gt;"",INDEX(ctaVinc,MATCH(Q1059,ctaNombre,0))&amp;"",Q1059),Q1059))</f>
        <v/>
      </c>
      <c r="AC1059" s="52">
        <f>IF(OR(K1059="",AND(P1059&lt;&gt;"Transferencia",P1059&lt;&gt;"Pago tarjeta")),"",IFERROR(IF(INDEX(ctaVinc,MATCH(K1059,ctaNombre,0))&amp;""&lt;&gt;"",INDEX(ctaVinc,MATCH(K1059,ctaNombre,0))&amp;"",K1059),K1059))</f>
        <v/>
      </c>
      <c r="AD1059" s="52">
        <f>IF(AB1059="","",IFERROR(INDEX(ctaTipo,MATCH(AB1059,ctaNombre,0))&amp;"",""))</f>
        <v/>
      </c>
      <c r="AE1059" s="52">
        <f>IF(AC1059="","",IFERROR(INDEX(ctaTipo,MATCH(AC1059,ctaNombre,0))&amp;"",""))</f>
        <v/>
      </c>
      <c r="AF1059" s="53">
        <f>IF(OR(P1059="",AB1059=""),"",IF(OR(P1059="Gasto",P1059="Transferencia",P1059="Pago tarjeta"),-1,1)*IF(IFERROR(INDEX(ctaMoneda,MATCH(AB1059,ctaNombre,0))&amp;"","DOP")="USD",T1059,S1059))</f>
        <v/>
      </c>
      <c r="AG1059" s="53">
        <f>IF(AC1059="","",IF(IFERROR(INDEX(ctaMoneda,MATCH(AC1059,ctaNombre,0))&amp;"","DOP")="USD",T1059,S1059))</f>
        <v/>
      </c>
      <c r="AH1059" s="53">
        <f>IF(P1059="","",IF(AND(AD1059&lt;&gt;"",COUNTIFS(tcTipo,AD1059,tcLiq,"Sí")&gt;0),IF(OR(P1059="Gasto",P1059="Transferencia",P1059="Pago tarjeta"),-1,1)*S1059,0)+IF(AND(AE1059&lt;&gt;"",COUNTIFS(tcTipo,AE1059,tcLiq,"Sí")&gt;0),S1059,0))</f>
        <v/>
      </c>
      <c r="AI1059" s="52">
        <f>IF(OR(L1059="",P1059=""),"",IF(COUNTIFS(L$6:L1059,L1059,P$6:P1059,"?*")=1,MAX(AI$5:AI1058)+1,""))</f>
        <v/>
      </c>
    </row>
    <row r="1060">
      <c r="B1060" s="47" t="n"/>
      <c r="C1060" s="48" t="n"/>
      <c r="D1060" s="48" t="n"/>
      <c r="E1060" s="48" t="n"/>
      <c r="F1060" s="48" t="n"/>
      <c r="G1060" s="49" t="n"/>
      <c r="H1060" s="48" t="n"/>
      <c r="I1060" s="50" t="n"/>
      <c r="J1060" s="48" t="n"/>
      <c r="K1060" s="48" t="n"/>
      <c r="L1060" s="48" t="n"/>
      <c r="M1060" s="48" t="n"/>
      <c r="N1060" s="48" t="n"/>
      <c r="O1060" s="51">
        <f>IF(AND(B1060="",G1060="",C1060="",D1060="",J1060=""),"",IF(B1060="","⚠ Falta fecha",IF(G1060="","⚠ Falta monto",IF(Q1060="","⚠ Falta cuenta",IF(ISNA(MATCH(Q1060,ctaNombre,0)),"⚠ Cuenta no registrada",IF(AND(OR(P1060="Gasto",P1060="Reembolso"),D1060=""),"⚠ Falta categoría",IF(AND(D1060&lt;&gt;"",E1060&lt;&gt;"",ISNA(MATCH(D1060&amp;"|"&amp;E1060,catClave,0))),"⚠ Subcategoría no corresponde",IF(AND(OR(P1060="Transferencia",P1060="Pago tarjeta"),K1060=""),"⚠ Falta cuenta destino",IF(AND(K1060&lt;&gt;"",P1060&lt;&gt;"Transferencia",P1060&lt;&gt;"Pago tarjeta"),"⚠ Destino solo aplica a transferencias",IF(AND(K1060&lt;&gt;"",K1060=Q1060),"⚠ Origen igual a destino",IF(AND(K1060&lt;&gt;"",ISNA(MATCH(K1060,ctaNombre,0))),"⚠ Destino no registrado",IF(AND(P1060="Pago tarjeta",AE1060&lt;&gt;"Tarjeta de crédito"),"⚠ El destino debe ser tarjeta de crédito",IF(AND(P1060="Gasto",E1060="Depósitos y retiros"),"⚠ Usa tipo Transferencia",IF(AND(P1060="Resultado trading",AD1060&lt;&gt;"Cuenta de trading"),"⚠ Usa una cuenta de trading",IF(AND(G1060&lt;=0,P1060&lt;&gt;"Ajuste",P1060&lt;&gt;"Resultado trading"),"⚠ El monto debe ser positivo","✓")))))))))))))))</f>
        <v/>
      </c>
      <c r="P1060" s="52">
        <f>IF(OR(B1060="",G1060=""),"",IF(C1060="","Gasto",C1060))</f>
        <v/>
      </c>
      <c r="Q1060" s="52">
        <f>IF(P1060="","",IF(J1060&lt;&gt;"",J1060,CuentaPred&amp;""))</f>
        <v/>
      </c>
      <c r="R1060" s="52">
        <f>IF(P1060="","",IF(ISNUMBER(I1060),I1060,TasaUSD))</f>
        <v/>
      </c>
      <c r="S1060" s="53">
        <f>IF(P1060="","",IF(H1060="USD",G1060*R1060,G1060))</f>
        <v/>
      </c>
      <c r="T1060" s="53">
        <f>IF(P1060="","",IF(H1060="USD",G1060,IF(R1060&gt;0,G1060/R1060,0)))</f>
        <v/>
      </c>
      <c r="U1060" s="53">
        <f>IF(P1060="","",IF(P1060="Gasto",S1060,IF(P1060="Reembolso",-S1060,0)))</f>
        <v/>
      </c>
      <c r="V1060" s="53">
        <f>IF(P1060="","",IF(P1060="Ingreso",S1060,0))</f>
        <v/>
      </c>
      <c r="W1060" s="53">
        <f>IF(P1060="","",IF(P1060="Resultado trading",S1060,0))</f>
        <v/>
      </c>
      <c r="X1060" s="52">
        <f>IF(OR(P1060="Gasto",P1060="Reembolso"),IF(M1060&lt;&gt;"",M1060,IFERROR(INDEX(catClasif,MATCH(D1060&amp;"|"&amp;E1060,catClave,0))&amp;"","Variable")),"")</f>
        <v/>
      </c>
      <c r="Y1060" s="52">
        <f>IF(P1060="","",IFERROR(INDEX(catGrupo,MATCH(D1060&amp;"|"&amp;E1060,catClave,0))&amp;"",""))</f>
        <v/>
      </c>
      <c r="Z1060" s="52">
        <f>IF(P1060="","",WEEKDAY(B1060,2))</f>
        <v/>
      </c>
      <c r="AA1060" s="52">
        <f>IF(P1060="","",IF(AND(P1060="Gasto",X1060="Variable",D1060&lt;&gt;catTrading,S1060&gt;0,S1060&lt;=Umbral),1,0))</f>
        <v/>
      </c>
      <c r="AB1060" s="52">
        <f>IF(OR(P1060="",Q1060=""),"",IFERROR(IF(INDEX(ctaVinc,MATCH(Q1060,ctaNombre,0))&amp;""&lt;&gt;"",INDEX(ctaVinc,MATCH(Q1060,ctaNombre,0))&amp;"",Q1060),Q1060))</f>
        <v/>
      </c>
      <c r="AC1060" s="52">
        <f>IF(OR(K1060="",AND(P1060&lt;&gt;"Transferencia",P1060&lt;&gt;"Pago tarjeta")),"",IFERROR(IF(INDEX(ctaVinc,MATCH(K1060,ctaNombre,0))&amp;""&lt;&gt;"",INDEX(ctaVinc,MATCH(K1060,ctaNombre,0))&amp;"",K1060),K1060))</f>
        <v/>
      </c>
      <c r="AD1060" s="52">
        <f>IF(AB1060="","",IFERROR(INDEX(ctaTipo,MATCH(AB1060,ctaNombre,0))&amp;"",""))</f>
        <v/>
      </c>
      <c r="AE1060" s="52">
        <f>IF(AC1060="","",IFERROR(INDEX(ctaTipo,MATCH(AC1060,ctaNombre,0))&amp;"",""))</f>
        <v/>
      </c>
      <c r="AF1060" s="53">
        <f>IF(OR(P1060="",AB1060=""),"",IF(OR(P1060="Gasto",P1060="Transferencia",P1060="Pago tarjeta"),-1,1)*IF(IFERROR(INDEX(ctaMoneda,MATCH(AB1060,ctaNombre,0))&amp;"","DOP")="USD",T1060,S1060))</f>
        <v/>
      </c>
      <c r="AG1060" s="53">
        <f>IF(AC1060="","",IF(IFERROR(INDEX(ctaMoneda,MATCH(AC1060,ctaNombre,0))&amp;"","DOP")="USD",T1060,S1060))</f>
        <v/>
      </c>
      <c r="AH1060" s="53">
        <f>IF(P1060="","",IF(AND(AD1060&lt;&gt;"",COUNTIFS(tcTipo,AD1060,tcLiq,"Sí")&gt;0),IF(OR(P1060="Gasto",P1060="Transferencia",P1060="Pago tarjeta"),-1,1)*S1060,0)+IF(AND(AE1060&lt;&gt;"",COUNTIFS(tcTipo,AE1060,tcLiq,"Sí")&gt;0),S1060,0))</f>
        <v/>
      </c>
      <c r="AI1060" s="52">
        <f>IF(OR(L1060="",P1060=""),"",IF(COUNTIFS(L$6:L1060,L1060,P$6:P1060,"?*")=1,MAX(AI$5:AI1059)+1,""))</f>
        <v/>
      </c>
    </row>
    <row r="1061">
      <c r="B1061" s="47" t="n"/>
      <c r="C1061" s="48" t="n"/>
      <c r="D1061" s="48" t="n"/>
      <c r="E1061" s="48" t="n"/>
      <c r="F1061" s="48" t="n"/>
      <c r="G1061" s="49" t="n"/>
      <c r="H1061" s="48" t="n"/>
      <c r="I1061" s="50" t="n"/>
      <c r="J1061" s="48" t="n"/>
      <c r="K1061" s="48" t="n"/>
      <c r="L1061" s="48" t="n"/>
      <c r="M1061" s="48" t="n"/>
      <c r="N1061" s="48" t="n"/>
      <c r="O1061" s="51">
        <f>IF(AND(B1061="",G1061="",C1061="",D1061="",J1061=""),"",IF(B1061="","⚠ Falta fecha",IF(G1061="","⚠ Falta monto",IF(Q1061="","⚠ Falta cuenta",IF(ISNA(MATCH(Q1061,ctaNombre,0)),"⚠ Cuenta no registrada",IF(AND(OR(P1061="Gasto",P1061="Reembolso"),D1061=""),"⚠ Falta categoría",IF(AND(D1061&lt;&gt;"",E1061&lt;&gt;"",ISNA(MATCH(D1061&amp;"|"&amp;E1061,catClave,0))),"⚠ Subcategoría no corresponde",IF(AND(OR(P1061="Transferencia",P1061="Pago tarjeta"),K1061=""),"⚠ Falta cuenta destino",IF(AND(K1061&lt;&gt;"",P1061&lt;&gt;"Transferencia",P1061&lt;&gt;"Pago tarjeta"),"⚠ Destino solo aplica a transferencias",IF(AND(K1061&lt;&gt;"",K1061=Q1061),"⚠ Origen igual a destino",IF(AND(K1061&lt;&gt;"",ISNA(MATCH(K1061,ctaNombre,0))),"⚠ Destino no registrado",IF(AND(P1061="Pago tarjeta",AE1061&lt;&gt;"Tarjeta de crédito"),"⚠ El destino debe ser tarjeta de crédito",IF(AND(P1061="Gasto",E1061="Depósitos y retiros"),"⚠ Usa tipo Transferencia",IF(AND(P1061="Resultado trading",AD1061&lt;&gt;"Cuenta de trading"),"⚠ Usa una cuenta de trading",IF(AND(G1061&lt;=0,P1061&lt;&gt;"Ajuste",P1061&lt;&gt;"Resultado trading"),"⚠ El monto debe ser positivo","✓")))))))))))))))</f>
        <v/>
      </c>
      <c r="P1061" s="52">
        <f>IF(OR(B1061="",G1061=""),"",IF(C1061="","Gasto",C1061))</f>
        <v/>
      </c>
      <c r="Q1061" s="52">
        <f>IF(P1061="","",IF(J1061&lt;&gt;"",J1061,CuentaPred&amp;""))</f>
        <v/>
      </c>
      <c r="R1061" s="52">
        <f>IF(P1061="","",IF(ISNUMBER(I1061),I1061,TasaUSD))</f>
        <v/>
      </c>
      <c r="S1061" s="53">
        <f>IF(P1061="","",IF(H1061="USD",G1061*R1061,G1061))</f>
        <v/>
      </c>
      <c r="T1061" s="53">
        <f>IF(P1061="","",IF(H1061="USD",G1061,IF(R1061&gt;0,G1061/R1061,0)))</f>
        <v/>
      </c>
      <c r="U1061" s="53">
        <f>IF(P1061="","",IF(P1061="Gasto",S1061,IF(P1061="Reembolso",-S1061,0)))</f>
        <v/>
      </c>
      <c r="V1061" s="53">
        <f>IF(P1061="","",IF(P1061="Ingreso",S1061,0))</f>
        <v/>
      </c>
      <c r="W1061" s="53">
        <f>IF(P1061="","",IF(P1061="Resultado trading",S1061,0))</f>
        <v/>
      </c>
      <c r="X1061" s="52">
        <f>IF(OR(P1061="Gasto",P1061="Reembolso"),IF(M1061&lt;&gt;"",M1061,IFERROR(INDEX(catClasif,MATCH(D1061&amp;"|"&amp;E1061,catClave,0))&amp;"","Variable")),"")</f>
        <v/>
      </c>
      <c r="Y1061" s="52">
        <f>IF(P1061="","",IFERROR(INDEX(catGrupo,MATCH(D1061&amp;"|"&amp;E1061,catClave,0))&amp;"",""))</f>
        <v/>
      </c>
      <c r="Z1061" s="52">
        <f>IF(P1061="","",WEEKDAY(B1061,2))</f>
        <v/>
      </c>
      <c r="AA1061" s="52">
        <f>IF(P1061="","",IF(AND(P1061="Gasto",X1061="Variable",D1061&lt;&gt;catTrading,S1061&gt;0,S1061&lt;=Umbral),1,0))</f>
        <v/>
      </c>
      <c r="AB1061" s="52">
        <f>IF(OR(P1061="",Q1061=""),"",IFERROR(IF(INDEX(ctaVinc,MATCH(Q1061,ctaNombre,0))&amp;""&lt;&gt;"",INDEX(ctaVinc,MATCH(Q1061,ctaNombre,0))&amp;"",Q1061),Q1061))</f>
        <v/>
      </c>
      <c r="AC1061" s="52">
        <f>IF(OR(K1061="",AND(P1061&lt;&gt;"Transferencia",P1061&lt;&gt;"Pago tarjeta")),"",IFERROR(IF(INDEX(ctaVinc,MATCH(K1061,ctaNombre,0))&amp;""&lt;&gt;"",INDEX(ctaVinc,MATCH(K1061,ctaNombre,0))&amp;"",K1061),K1061))</f>
        <v/>
      </c>
      <c r="AD1061" s="52">
        <f>IF(AB1061="","",IFERROR(INDEX(ctaTipo,MATCH(AB1061,ctaNombre,0))&amp;"",""))</f>
        <v/>
      </c>
      <c r="AE1061" s="52">
        <f>IF(AC1061="","",IFERROR(INDEX(ctaTipo,MATCH(AC1061,ctaNombre,0))&amp;"",""))</f>
        <v/>
      </c>
      <c r="AF1061" s="53">
        <f>IF(OR(P1061="",AB1061=""),"",IF(OR(P1061="Gasto",P1061="Transferencia",P1061="Pago tarjeta"),-1,1)*IF(IFERROR(INDEX(ctaMoneda,MATCH(AB1061,ctaNombre,0))&amp;"","DOP")="USD",T1061,S1061))</f>
        <v/>
      </c>
      <c r="AG1061" s="53">
        <f>IF(AC1061="","",IF(IFERROR(INDEX(ctaMoneda,MATCH(AC1061,ctaNombre,0))&amp;"","DOP")="USD",T1061,S1061))</f>
        <v/>
      </c>
      <c r="AH1061" s="53">
        <f>IF(P1061="","",IF(AND(AD1061&lt;&gt;"",COUNTIFS(tcTipo,AD1061,tcLiq,"Sí")&gt;0),IF(OR(P1061="Gasto",P1061="Transferencia",P1061="Pago tarjeta"),-1,1)*S1061,0)+IF(AND(AE1061&lt;&gt;"",COUNTIFS(tcTipo,AE1061,tcLiq,"Sí")&gt;0),S1061,0))</f>
        <v/>
      </c>
      <c r="AI1061" s="52">
        <f>IF(OR(L1061="",P1061=""),"",IF(COUNTIFS(L$6:L1061,L1061,P$6:P1061,"?*")=1,MAX(AI$5:AI1060)+1,""))</f>
        <v/>
      </c>
    </row>
    <row r="1062">
      <c r="B1062" s="47" t="n"/>
      <c r="C1062" s="48" t="n"/>
      <c r="D1062" s="48" t="n"/>
      <c r="E1062" s="48" t="n"/>
      <c r="F1062" s="48" t="n"/>
      <c r="G1062" s="49" t="n"/>
      <c r="H1062" s="48" t="n"/>
      <c r="I1062" s="50" t="n"/>
      <c r="J1062" s="48" t="n"/>
      <c r="K1062" s="48" t="n"/>
      <c r="L1062" s="48" t="n"/>
      <c r="M1062" s="48" t="n"/>
      <c r="N1062" s="48" t="n"/>
      <c r="O1062" s="51">
        <f>IF(AND(B1062="",G1062="",C1062="",D1062="",J1062=""),"",IF(B1062="","⚠ Falta fecha",IF(G1062="","⚠ Falta monto",IF(Q1062="","⚠ Falta cuenta",IF(ISNA(MATCH(Q1062,ctaNombre,0)),"⚠ Cuenta no registrada",IF(AND(OR(P1062="Gasto",P1062="Reembolso"),D1062=""),"⚠ Falta categoría",IF(AND(D1062&lt;&gt;"",E1062&lt;&gt;"",ISNA(MATCH(D1062&amp;"|"&amp;E1062,catClave,0))),"⚠ Subcategoría no corresponde",IF(AND(OR(P1062="Transferencia",P1062="Pago tarjeta"),K1062=""),"⚠ Falta cuenta destino",IF(AND(K1062&lt;&gt;"",P1062&lt;&gt;"Transferencia",P1062&lt;&gt;"Pago tarjeta"),"⚠ Destino solo aplica a transferencias",IF(AND(K1062&lt;&gt;"",K1062=Q1062),"⚠ Origen igual a destino",IF(AND(K1062&lt;&gt;"",ISNA(MATCH(K1062,ctaNombre,0))),"⚠ Destino no registrado",IF(AND(P1062="Pago tarjeta",AE1062&lt;&gt;"Tarjeta de crédito"),"⚠ El destino debe ser tarjeta de crédito",IF(AND(P1062="Gasto",E1062="Depósitos y retiros"),"⚠ Usa tipo Transferencia",IF(AND(P1062="Resultado trading",AD1062&lt;&gt;"Cuenta de trading"),"⚠ Usa una cuenta de trading",IF(AND(G1062&lt;=0,P1062&lt;&gt;"Ajuste",P1062&lt;&gt;"Resultado trading"),"⚠ El monto debe ser positivo","✓")))))))))))))))</f>
        <v/>
      </c>
      <c r="P1062" s="52">
        <f>IF(OR(B1062="",G1062=""),"",IF(C1062="","Gasto",C1062))</f>
        <v/>
      </c>
      <c r="Q1062" s="52">
        <f>IF(P1062="","",IF(J1062&lt;&gt;"",J1062,CuentaPred&amp;""))</f>
        <v/>
      </c>
      <c r="R1062" s="52">
        <f>IF(P1062="","",IF(ISNUMBER(I1062),I1062,TasaUSD))</f>
        <v/>
      </c>
      <c r="S1062" s="53">
        <f>IF(P1062="","",IF(H1062="USD",G1062*R1062,G1062))</f>
        <v/>
      </c>
      <c r="T1062" s="53">
        <f>IF(P1062="","",IF(H1062="USD",G1062,IF(R1062&gt;0,G1062/R1062,0)))</f>
        <v/>
      </c>
      <c r="U1062" s="53">
        <f>IF(P1062="","",IF(P1062="Gasto",S1062,IF(P1062="Reembolso",-S1062,0)))</f>
        <v/>
      </c>
      <c r="V1062" s="53">
        <f>IF(P1062="","",IF(P1062="Ingreso",S1062,0))</f>
        <v/>
      </c>
      <c r="W1062" s="53">
        <f>IF(P1062="","",IF(P1062="Resultado trading",S1062,0))</f>
        <v/>
      </c>
      <c r="X1062" s="52">
        <f>IF(OR(P1062="Gasto",P1062="Reembolso"),IF(M1062&lt;&gt;"",M1062,IFERROR(INDEX(catClasif,MATCH(D1062&amp;"|"&amp;E1062,catClave,0))&amp;"","Variable")),"")</f>
        <v/>
      </c>
      <c r="Y1062" s="52">
        <f>IF(P1062="","",IFERROR(INDEX(catGrupo,MATCH(D1062&amp;"|"&amp;E1062,catClave,0))&amp;"",""))</f>
        <v/>
      </c>
      <c r="Z1062" s="52">
        <f>IF(P1062="","",WEEKDAY(B1062,2))</f>
        <v/>
      </c>
      <c r="AA1062" s="52">
        <f>IF(P1062="","",IF(AND(P1062="Gasto",X1062="Variable",D1062&lt;&gt;catTrading,S1062&gt;0,S1062&lt;=Umbral),1,0))</f>
        <v/>
      </c>
      <c r="AB1062" s="52">
        <f>IF(OR(P1062="",Q1062=""),"",IFERROR(IF(INDEX(ctaVinc,MATCH(Q1062,ctaNombre,0))&amp;""&lt;&gt;"",INDEX(ctaVinc,MATCH(Q1062,ctaNombre,0))&amp;"",Q1062),Q1062))</f>
        <v/>
      </c>
      <c r="AC1062" s="52">
        <f>IF(OR(K1062="",AND(P1062&lt;&gt;"Transferencia",P1062&lt;&gt;"Pago tarjeta")),"",IFERROR(IF(INDEX(ctaVinc,MATCH(K1062,ctaNombre,0))&amp;""&lt;&gt;"",INDEX(ctaVinc,MATCH(K1062,ctaNombre,0))&amp;"",K1062),K1062))</f>
        <v/>
      </c>
      <c r="AD1062" s="52">
        <f>IF(AB1062="","",IFERROR(INDEX(ctaTipo,MATCH(AB1062,ctaNombre,0))&amp;"",""))</f>
        <v/>
      </c>
      <c r="AE1062" s="52">
        <f>IF(AC1062="","",IFERROR(INDEX(ctaTipo,MATCH(AC1062,ctaNombre,0))&amp;"",""))</f>
        <v/>
      </c>
      <c r="AF1062" s="53">
        <f>IF(OR(P1062="",AB1062=""),"",IF(OR(P1062="Gasto",P1062="Transferencia",P1062="Pago tarjeta"),-1,1)*IF(IFERROR(INDEX(ctaMoneda,MATCH(AB1062,ctaNombre,0))&amp;"","DOP")="USD",T1062,S1062))</f>
        <v/>
      </c>
      <c r="AG1062" s="53">
        <f>IF(AC1062="","",IF(IFERROR(INDEX(ctaMoneda,MATCH(AC1062,ctaNombre,0))&amp;"","DOP")="USD",T1062,S1062))</f>
        <v/>
      </c>
      <c r="AH1062" s="53">
        <f>IF(P1062="","",IF(AND(AD1062&lt;&gt;"",COUNTIFS(tcTipo,AD1062,tcLiq,"Sí")&gt;0),IF(OR(P1062="Gasto",P1062="Transferencia",P1062="Pago tarjeta"),-1,1)*S1062,0)+IF(AND(AE1062&lt;&gt;"",COUNTIFS(tcTipo,AE1062,tcLiq,"Sí")&gt;0),S1062,0))</f>
        <v/>
      </c>
      <c r="AI1062" s="52">
        <f>IF(OR(L1062="",P1062=""),"",IF(COUNTIFS(L$6:L1062,L1062,P$6:P1062,"?*")=1,MAX(AI$5:AI1061)+1,""))</f>
        <v/>
      </c>
    </row>
    <row r="1063">
      <c r="B1063" s="47" t="n"/>
      <c r="C1063" s="48" t="n"/>
      <c r="D1063" s="48" t="n"/>
      <c r="E1063" s="48" t="n"/>
      <c r="F1063" s="48" t="n"/>
      <c r="G1063" s="49" t="n"/>
      <c r="H1063" s="48" t="n"/>
      <c r="I1063" s="50" t="n"/>
      <c r="J1063" s="48" t="n"/>
      <c r="K1063" s="48" t="n"/>
      <c r="L1063" s="48" t="n"/>
      <c r="M1063" s="48" t="n"/>
      <c r="N1063" s="48" t="n"/>
      <c r="O1063" s="51">
        <f>IF(AND(B1063="",G1063="",C1063="",D1063="",J1063=""),"",IF(B1063="","⚠ Falta fecha",IF(G1063="","⚠ Falta monto",IF(Q1063="","⚠ Falta cuenta",IF(ISNA(MATCH(Q1063,ctaNombre,0)),"⚠ Cuenta no registrada",IF(AND(OR(P1063="Gasto",P1063="Reembolso"),D1063=""),"⚠ Falta categoría",IF(AND(D1063&lt;&gt;"",E1063&lt;&gt;"",ISNA(MATCH(D1063&amp;"|"&amp;E1063,catClave,0))),"⚠ Subcategoría no corresponde",IF(AND(OR(P1063="Transferencia",P1063="Pago tarjeta"),K1063=""),"⚠ Falta cuenta destino",IF(AND(K1063&lt;&gt;"",P1063&lt;&gt;"Transferencia",P1063&lt;&gt;"Pago tarjeta"),"⚠ Destino solo aplica a transferencias",IF(AND(K1063&lt;&gt;"",K1063=Q1063),"⚠ Origen igual a destino",IF(AND(K1063&lt;&gt;"",ISNA(MATCH(K1063,ctaNombre,0))),"⚠ Destino no registrado",IF(AND(P1063="Pago tarjeta",AE1063&lt;&gt;"Tarjeta de crédito"),"⚠ El destino debe ser tarjeta de crédito",IF(AND(P1063="Gasto",E1063="Depósitos y retiros"),"⚠ Usa tipo Transferencia",IF(AND(P1063="Resultado trading",AD1063&lt;&gt;"Cuenta de trading"),"⚠ Usa una cuenta de trading",IF(AND(G1063&lt;=0,P1063&lt;&gt;"Ajuste",P1063&lt;&gt;"Resultado trading"),"⚠ El monto debe ser positivo","✓")))))))))))))))</f>
        <v/>
      </c>
      <c r="P1063" s="52">
        <f>IF(OR(B1063="",G1063=""),"",IF(C1063="","Gasto",C1063))</f>
        <v/>
      </c>
      <c r="Q1063" s="52">
        <f>IF(P1063="","",IF(J1063&lt;&gt;"",J1063,CuentaPred&amp;""))</f>
        <v/>
      </c>
      <c r="R1063" s="52">
        <f>IF(P1063="","",IF(ISNUMBER(I1063),I1063,TasaUSD))</f>
        <v/>
      </c>
      <c r="S1063" s="53">
        <f>IF(P1063="","",IF(H1063="USD",G1063*R1063,G1063))</f>
        <v/>
      </c>
      <c r="T1063" s="53">
        <f>IF(P1063="","",IF(H1063="USD",G1063,IF(R1063&gt;0,G1063/R1063,0)))</f>
        <v/>
      </c>
      <c r="U1063" s="53">
        <f>IF(P1063="","",IF(P1063="Gasto",S1063,IF(P1063="Reembolso",-S1063,0)))</f>
        <v/>
      </c>
      <c r="V1063" s="53">
        <f>IF(P1063="","",IF(P1063="Ingreso",S1063,0))</f>
        <v/>
      </c>
      <c r="W1063" s="53">
        <f>IF(P1063="","",IF(P1063="Resultado trading",S1063,0))</f>
        <v/>
      </c>
      <c r="X1063" s="52">
        <f>IF(OR(P1063="Gasto",P1063="Reembolso"),IF(M1063&lt;&gt;"",M1063,IFERROR(INDEX(catClasif,MATCH(D1063&amp;"|"&amp;E1063,catClave,0))&amp;"","Variable")),"")</f>
        <v/>
      </c>
      <c r="Y1063" s="52">
        <f>IF(P1063="","",IFERROR(INDEX(catGrupo,MATCH(D1063&amp;"|"&amp;E1063,catClave,0))&amp;"",""))</f>
        <v/>
      </c>
      <c r="Z1063" s="52">
        <f>IF(P1063="","",WEEKDAY(B1063,2))</f>
        <v/>
      </c>
      <c r="AA1063" s="52">
        <f>IF(P1063="","",IF(AND(P1063="Gasto",X1063="Variable",D1063&lt;&gt;catTrading,S1063&gt;0,S1063&lt;=Umbral),1,0))</f>
        <v/>
      </c>
      <c r="AB1063" s="52">
        <f>IF(OR(P1063="",Q1063=""),"",IFERROR(IF(INDEX(ctaVinc,MATCH(Q1063,ctaNombre,0))&amp;""&lt;&gt;"",INDEX(ctaVinc,MATCH(Q1063,ctaNombre,0))&amp;"",Q1063),Q1063))</f>
        <v/>
      </c>
      <c r="AC1063" s="52">
        <f>IF(OR(K1063="",AND(P1063&lt;&gt;"Transferencia",P1063&lt;&gt;"Pago tarjeta")),"",IFERROR(IF(INDEX(ctaVinc,MATCH(K1063,ctaNombre,0))&amp;""&lt;&gt;"",INDEX(ctaVinc,MATCH(K1063,ctaNombre,0))&amp;"",K1063),K1063))</f>
        <v/>
      </c>
      <c r="AD1063" s="52">
        <f>IF(AB1063="","",IFERROR(INDEX(ctaTipo,MATCH(AB1063,ctaNombre,0))&amp;"",""))</f>
        <v/>
      </c>
      <c r="AE1063" s="52">
        <f>IF(AC1063="","",IFERROR(INDEX(ctaTipo,MATCH(AC1063,ctaNombre,0))&amp;"",""))</f>
        <v/>
      </c>
      <c r="AF1063" s="53">
        <f>IF(OR(P1063="",AB1063=""),"",IF(OR(P1063="Gasto",P1063="Transferencia",P1063="Pago tarjeta"),-1,1)*IF(IFERROR(INDEX(ctaMoneda,MATCH(AB1063,ctaNombre,0))&amp;"","DOP")="USD",T1063,S1063))</f>
        <v/>
      </c>
      <c r="AG1063" s="53">
        <f>IF(AC1063="","",IF(IFERROR(INDEX(ctaMoneda,MATCH(AC1063,ctaNombre,0))&amp;"","DOP")="USD",T1063,S1063))</f>
        <v/>
      </c>
      <c r="AH1063" s="53">
        <f>IF(P1063="","",IF(AND(AD1063&lt;&gt;"",COUNTIFS(tcTipo,AD1063,tcLiq,"Sí")&gt;0),IF(OR(P1063="Gasto",P1063="Transferencia",P1063="Pago tarjeta"),-1,1)*S1063,0)+IF(AND(AE1063&lt;&gt;"",COUNTIFS(tcTipo,AE1063,tcLiq,"Sí")&gt;0),S1063,0))</f>
        <v/>
      </c>
      <c r="AI1063" s="52">
        <f>IF(OR(L1063="",P1063=""),"",IF(COUNTIFS(L$6:L1063,L1063,P$6:P1063,"?*")=1,MAX(AI$5:AI1062)+1,""))</f>
        <v/>
      </c>
    </row>
    <row r="1064">
      <c r="B1064" s="47" t="n"/>
      <c r="C1064" s="48" t="n"/>
      <c r="D1064" s="48" t="n"/>
      <c r="E1064" s="48" t="n"/>
      <c r="F1064" s="48" t="n"/>
      <c r="G1064" s="49" t="n"/>
      <c r="H1064" s="48" t="n"/>
      <c r="I1064" s="50" t="n"/>
      <c r="J1064" s="48" t="n"/>
      <c r="K1064" s="48" t="n"/>
      <c r="L1064" s="48" t="n"/>
      <c r="M1064" s="48" t="n"/>
      <c r="N1064" s="48" t="n"/>
      <c r="O1064" s="51">
        <f>IF(AND(B1064="",G1064="",C1064="",D1064="",J1064=""),"",IF(B1064="","⚠ Falta fecha",IF(G1064="","⚠ Falta monto",IF(Q1064="","⚠ Falta cuenta",IF(ISNA(MATCH(Q1064,ctaNombre,0)),"⚠ Cuenta no registrada",IF(AND(OR(P1064="Gasto",P1064="Reembolso"),D1064=""),"⚠ Falta categoría",IF(AND(D1064&lt;&gt;"",E1064&lt;&gt;"",ISNA(MATCH(D1064&amp;"|"&amp;E1064,catClave,0))),"⚠ Subcategoría no corresponde",IF(AND(OR(P1064="Transferencia",P1064="Pago tarjeta"),K1064=""),"⚠ Falta cuenta destino",IF(AND(K1064&lt;&gt;"",P1064&lt;&gt;"Transferencia",P1064&lt;&gt;"Pago tarjeta"),"⚠ Destino solo aplica a transferencias",IF(AND(K1064&lt;&gt;"",K1064=Q1064),"⚠ Origen igual a destino",IF(AND(K1064&lt;&gt;"",ISNA(MATCH(K1064,ctaNombre,0))),"⚠ Destino no registrado",IF(AND(P1064="Pago tarjeta",AE1064&lt;&gt;"Tarjeta de crédito"),"⚠ El destino debe ser tarjeta de crédito",IF(AND(P1064="Gasto",E1064="Depósitos y retiros"),"⚠ Usa tipo Transferencia",IF(AND(P1064="Resultado trading",AD1064&lt;&gt;"Cuenta de trading"),"⚠ Usa una cuenta de trading",IF(AND(G1064&lt;=0,P1064&lt;&gt;"Ajuste",P1064&lt;&gt;"Resultado trading"),"⚠ El monto debe ser positivo","✓")))))))))))))))</f>
        <v/>
      </c>
      <c r="P1064" s="52">
        <f>IF(OR(B1064="",G1064=""),"",IF(C1064="","Gasto",C1064))</f>
        <v/>
      </c>
      <c r="Q1064" s="52">
        <f>IF(P1064="","",IF(J1064&lt;&gt;"",J1064,CuentaPred&amp;""))</f>
        <v/>
      </c>
      <c r="R1064" s="52">
        <f>IF(P1064="","",IF(ISNUMBER(I1064),I1064,TasaUSD))</f>
        <v/>
      </c>
      <c r="S1064" s="53">
        <f>IF(P1064="","",IF(H1064="USD",G1064*R1064,G1064))</f>
        <v/>
      </c>
      <c r="T1064" s="53">
        <f>IF(P1064="","",IF(H1064="USD",G1064,IF(R1064&gt;0,G1064/R1064,0)))</f>
        <v/>
      </c>
      <c r="U1064" s="53">
        <f>IF(P1064="","",IF(P1064="Gasto",S1064,IF(P1064="Reembolso",-S1064,0)))</f>
        <v/>
      </c>
      <c r="V1064" s="53">
        <f>IF(P1064="","",IF(P1064="Ingreso",S1064,0))</f>
        <v/>
      </c>
      <c r="W1064" s="53">
        <f>IF(P1064="","",IF(P1064="Resultado trading",S1064,0))</f>
        <v/>
      </c>
      <c r="X1064" s="52">
        <f>IF(OR(P1064="Gasto",P1064="Reembolso"),IF(M1064&lt;&gt;"",M1064,IFERROR(INDEX(catClasif,MATCH(D1064&amp;"|"&amp;E1064,catClave,0))&amp;"","Variable")),"")</f>
        <v/>
      </c>
      <c r="Y1064" s="52">
        <f>IF(P1064="","",IFERROR(INDEX(catGrupo,MATCH(D1064&amp;"|"&amp;E1064,catClave,0))&amp;"",""))</f>
        <v/>
      </c>
      <c r="Z1064" s="52">
        <f>IF(P1064="","",WEEKDAY(B1064,2))</f>
        <v/>
      </c>
      <c r="AA1064" s="52">
        <f>IF(P1064="","",IF(AND(P1064="Gasto",X1064="Variable",D1064&lt;&gt;catTrading,S1064&gt;0,S1064&lt;=Umbral),1,0))</f>
        <v/>
      </c>
      <c r="AB1064" s="52">
        <f>IF(OR(P1064="",Q1064=""),"",IFERROR(IF(INDEX(ctaVinc,MATCH(Q1064,ctaNombre,0))&amp;""&lt;&gt;"",INDEX(ctaVinc,MATCH(Q1064,ctaNombre,0))&amp;"",Q1064),Q1064))</f>
        <v/>
      </c>
      <c r="AC1064" s="52">
        <f>IF(OR(K1064="",AND(P1064&lt;&gt;"Transferencia",P1064&lt;&gt;"Pago tarjeta")),"",IFERROR(IF(INDEX(ctaVinc,MATCH(K1064,ctaNombre,0))&amp;""&lt;&gt;"",INDEX(ctaVinc,MATCH(K1064,ctaNombre,0))&amp;"",K1064),K1064))</f>
        <v/>
      </c>
      <c r="AD1064" s="52">
        <f>IF(AB1064="","",IFERROR(INDEX(ctaTipo,MATCH(AB1064,ctaNombre,0))&amp;"",""))</f>
        <v/>
      </c>
      <c r="AE1064" s="52">
        <f>IF(AC1064="","",IFERROR(INDEX(ctaTipo,MATCH(AC1064,ctaNombre,0))&amp;"",""))</f>
        <v/>
      </c>
      <c r="AF1064" s="53">
        <f>IF(OR(P1064="",AB1064=""),"",IF(OR(P1064="Gasto",P1064="Transferencia",P1064="Pago tarjeta"),-1,1)*IF(IFERROR(INDEX(ctaMoneda,MATCH(AB1064,ctaNombre,0))&amp;"","DOP")="USD",T1064,S1064))</f>
        <v/>
      </c>
      <c r="AG1064" s="53">
        <f>IF(AC1064="","",IF(IFERROR(INDEX(ctaMoneda,MATCH(AC1064,ctaNombre,0))&amp;"","DOP")="USD",T1064,S1064))</f>
        <v/>
      </c>
      <c r="AH1064" s="53">
        <f>IF(P1064="","",IF(AND(AD1064&lt;&gt;"",COUNTIFS(tcTipo,AD1064,tcLiq,"Sí")&gt;0),IF(OR(P1064="Gasto",P1064="Transferencia",P1064="Pago tarjeta"),-1,1)*S1064,0)+IF(AND(AE1064&lt;&gt;"",COUNTIFS(tcTipo,AE1064,tcLiq,"Sí")&gt;0),S1064,0))</f>
        <v/>
      </c>
      <c r="AI1064" s="52">
        <f>IF(OR(L1064="",P1064=""),"",IF(COUNTIFS(L$6:L1064,L1064,P$6:P1064,"?*")=1,MAX(AI$5:AI1063)+1,""))</f>
        <v/>
      </c>
    </row>
    <row r="1065">
      <c r="B1065" s="47" t="n"/>
      <c r="C1065" s="48" t="n"/>
      <c r="D1065" s="48" t="n"/>
      <c r="E1065" s="48" t="n"/>
      <c r="F1065" s="48" t="n"/>
      <c r="G1065" s="49" t="n"/>
      <c r="H1065" s="48" t="n"/>
      <c r="I1065" s="50" t="n"/>
      <c r="J1065" s="48" t="n"/>
      <c r="K1065" s="48" t="n"/>
      <c r="L1065" s="48" t="n"/>
      <c r="M1065" s="48" t="n"/>
      <c r="N1065" s="48" t="n"/>
      <c r="O1065" s="51">
        <f>IF(AND(B1065="",G1065="",C1065="",D1065="",J1065=""),"",IF(B1065="","⚠ Falta fecha",IF(G1065="","⚠ Falta monto",IF(Q1065="","⚠ Falta cuenta",IF(ISNA(MATCH(Q1065,ctaNombre,0)),"⚠ Cuenta no registrada",IF(AND(OR(P1065="Gasto",P1065="Reembolso"),D1065=""),"⚠ Falta categoría",IF(AND(D1065&lt;&gt;"",E1065&lt;&gt;"",ISNA(MATCH(D1065&amp;"|"&amp;E1065,catClave,0))),"⚠ Subcategoría no corresponde",IF(AND(OR(P1065="Transferencia",P1065="Pago tarjeta"),K1065=""),"⚠ Falta cuenta destino",IF(AND(K1065&lt;&gt;"",P1065&lt;&gt;"Transferencia",P1065&lt;&gt;"Pago tarjeta"),"⚠ Destino solo aplica a transferencias",IF(AND(K1065&lt;&gt;"",K1065=Q1065),"⚠ Origen igual a destino",IF(AND(K1065&lt;&gt;"",ISNA(MATCH(K1065,ctaNombre,0))),"⚠ Destino no registrado",IF(AND(P1065="Pago tarjeta",AE1065&lt;&gt;"Tarjeta de crédito"),"⚠ El destino debe ser tarjeta de crédito",IF(AND(P1065="Gasto",E1065="Depósitos y retiros"),"⚠ Usa tipo Transferencia",IF(AND(P1065="Resultado trading",AD1065&lt;&gt;"Cuenta de trading"),"⚠ Usa una cuenta de trading",IF(AND(G1065&lt;=0,P1065&lt;&gt;"Ajuste",P1065&lt;&gt;"Resultado trading"),"⚠ El monto debe ser positivo","✓")))))))))))))))</f>
        <v/>
      </c>
      <c r="P1065" s="52">
        <f>IF(OR(B1065="",G1065=""),"",IF(C1065="","Gasto",C1065))</f>
        <v/>
      </c>
      <c r="Q1065" s="52">
        <f>IF(P1065="","",IF(J1065&lt;&gt;"",J1065,CuentaPred&amp;""))</f>
        <v/>
      </c>
      <c r="R1065" s="52">
        <f>IF(P1065="","",IF(ISNUMBER(I1065),I1065,TasaUSD))</f>
        <v/>
      </c>
      <c r="S1065" s="53">
        <f>IF(P1065="","",IF(H1065="USD",G1065*R1065,G1065))</f>
        <v/>
      </c>
      <c r="T1065" s="53">
        <f>IF(P1065="","",IF(H1065="USD",G1065,IF(R1065&gt;0,G1065/R1065,0)))</f>
        <v/>
      </c>
      <c r="U1065" s="53">
        <f>IF(P1065="","",IF(P1065="Gasto",S1065,IF(P1065="Reembolso",-S1065,0)))</f>
        <v/>
      </c>
      <c r="V1065" s="53">
        <f>IF(P1065="","",IF(P1065="Ingreso",S1065,0))</f>
        <v/>
      </c>
      <c r="W1065" s="53">
        <f>IF(P1065="","",IF(P1065="Resultado trading",S1065,0))</f>
        <v/>
      </c>
      <c r="X1065" s="52">
        <f>IF(OR(P1065="Gasto",P1065="Reembolso"),IF(M1065&lt;&gt;"",M1065,IFERROR(INDEX(catClasif,MATCH(D1065&amp;"|"&amp;E1065,catClave,0))&amp;"","Variable")),"")</f>
        <v/>
      </c>
      <c r="Y1065" s="52">
        <f>IF(P1065="","",IFERROR(INDEX(catGrupo,MATCH(D1065&amp;"|"&amp;E1065,catClave,0))&amp;"",""))</f>
        <v/>
      </c>
      <c r="Z1065" s="52">
        <f>IF(P1065="","",WEEKDAY(B1065,2))</f>
        <v/>
      </c>
      <c r="AA1065" s="52">
        <f>IF(P1065="","",IF(AND(P1065="Gasto",X1065="Variable",D1065&lt;&gt;catTrading,S1065&gt;0,S1065&lt;=Umbral),1,0))</f>
        <v/>
      </c>
      <c r="AB1065" s="52">
        <f>IF(OR(P1065="",Q1065=""),"",IFERROR(IF(INDEX(ctaVinc,MATCH(Q1065,ctaNombre,0))&amp;""&lt;&gt;"",INDEX(ctaVinc,MATCH(Q1065,ctaNombre,0))&amp;"",Q1065),Q1065))</f>
        <v/>
      </c>
      <c r="AC1065" s="52">
        <f>IF(OR(K1065="",AND(P1065&lt;&gt;"Transferencia",P1065&lt;&gt;"Pago tarjeta")),"",IFERROR(IF(INDEX(ctaVinc,MATCH(K1065,ctaNombre,0))&amp;""&lt;&gt;"",INDEX(ctaVinc,MATCH(K1065,ctaNombre,0))&amp;"",K1065),K1065))</f>
        <v/>
      </c>
      <c r="AD1065" s="52">
        <f>IF(AB1065="","",IFERROR(INDEX(ctaTipo,MATCH(AB1065,ctaNombre,0))&amp;"",""))</f>
        <v/>
      </c>
      <c r="AE1065" s="52">
        <f>IF(AC1065="","",IFERROR(INDEX(ctaTipo,MATCH(AC1065,ctaNombre,0))&amp;"",""))</f>
        <v/>
      </c>
      <c r="AF1065" s="53">
        <f>IF(OR(P1065="",AB1065=""),"",IF(OR(P1065="Gasto",P1065="Transferencia",P1065="Pago tarjeta"),-1,1)*IF(IFERROR(INDEX(ctaMoneda,MATCH(AB1065,ctaNombre,0))&amp;"","DOP")="USD",T1065,S1065))</f>
        <v/>
      </c>
      <c r="AG1065" s="53">
        <f>IF(AC1065="","",IF(IFERROR(INDEX(ctaMoneda,MATCH(AC1065,ctaNombre,0))&amp;"","DOP")="USD",T1065,S1065))</f>
        <v/>
      </c>
      <c r="AH1065" s="53">
        <f>IF(P1065="","",IF(AND(AD1065&lt;&gt;"",COUNTIFS(tcTipo,AD1065,tcLiq,"Sí")&gt;0),IF(OR(P1065="Gasto",P1065="Transferencia",P1065="Pago tarjeta"),-1,1)*S1065,0)+IF(AND(AE1065&lt;&gt;"",COUNTIFS(tcTipo,AE1065,tcLiq,"Sí")&gt;0),S1065,0))</f>
        <v/>
      </c>
      <c r="AI1065" s="52">
        <f>IF(OR(L1065="",P1065=""),"",IF(COUNTIFS(L$6:L1065,L1065,P$6:P1065,"?*")=1,MAX(AI$5:AI1064)+1,""))</f>
        <v/>
      </c>
    </row>
    <row r="1066">
      <c r="B1066" s="47" t="n"/>
      <c r="C1066" s="48" t="n"/>
      <c r="D1066" s="48" t="n"/>
      <c r="E1066" s="48" t="n"/>
      <c r="F1066" s="48" t="n"/>
      <c r="G1066" s="49" t="n"/>
      <c r="H1066" s="48" t="n"/>
      <c r="I1066" s="50" t="n"/>
      <c r="J1066" s="48" t="n"/>
      <c r="K1066" s="48" t="n"/>
      <c r="L1066" s="48" t="n"/>
      <c r="M1066" s="48" t="n"/>
      <c r="N1066" s="48" t="n"/>
      <c r="O1066" s="51">
        <f>IF(AND(B1066="",G1066="",C1066="",D1066="",J1066=""),"",IF(B1066="","⚠ Falta fecha",IF(G1066="","⚠ Falta monto",IF(Q1066="","⚠ Falta cuenta",IF(ISNA(MATCH(Q1066,ctaNombre,0)),"⚠ Cuenta no registrada",IF(AND(OR(P1066="Gasto",P1066="Reembolso"),D1066=""),"⚠ Falta categoría",IF(AND(D1066&lt;&gt;"",E1066&lt;&gt;"",ISNA(MATCH(D1066&amp;"|"&amp;E1066,catClave,0))),"⚠ Subcategoría no corresponde",IF(AND(OR(P1066="Transferencia",P1066="Pago tarjeta"),K1066=""),"⚠ Falta cuenta destino",IF(AND(K1066&lt;&gt;"",P1066&lt;&gt;"Transferencia",P1066&lt;&gt;"Pago tarjeta"),"⚠ Destino solo aplica a transferencias",IF(AND(K1066&lt;&gt;"",K1066=Q1066),"⚠ Origen igual a destino",IF(AND(K1066&lt;&gt;"",ISNA(MATCH(K1066,ctaNombre,0))),"⚠ Destino no registrado",IF(AND(P1066="Pago tarjeta",AE1066&lt;&gt;"Tarjeta de crédito"),"⚠ El destino debe ser tarjeta de crédito",IF(AND(P1066="Gasto",E1066="Depósitos y retiros"),"⚠ Usa tipo Transferencia",IF(AND(P1066="Resultado trading",AD1066&lt;&gt;"Cuenta de trading"),"⚠ Usa una cuenta de trading",IF(AND(G1066&lt;=0,P1066&lt;&gt;"Ajuste",P1066&lt;&gt;"Resultado trading"),"⚠ El monto debe ser positivo","✓")))))))))))))))</f>
        <v/>
      </c>
      <c r="P1066" s="52">
        <f>IF(OR(B1066="",G1066=""),"",IF(C1066="","Gasto",C1066))</f>
        <v/>
      </c>
      <c r="Q1066" s="52">
        <f>IF(P1066="","",IF(J1066&lt;&gt;"",J1066,CuentaPred&amp;""))</f>
        <v/>
      </c>
      <c r="R1066" s="52">
        <f>IF(P1066="","",IF(ISNUMBER(I1066),I1066,TasaUSD))</f>
        <v/>
      </c>
      <c r="S1066" s="53">
        <f>IF(P1066="","",IF(H1066="USD",G1066*R1066,G1066))</f>
        <v/>
      </c>
      <c r="T1066" s="53">
        <f>IF(P1066="","",IF(H1066="USD",G1066,IF(R1066&gt;0,G1066/R1066,0)))</f>
        <v/>
      </c>
      <c r="U1066" s="53">
        <f>IF(P1066="","",IF(P1066="Gasto",S1066,IF(P1066="Reembolso",-S1066,0)))</f>
        <v/>
      </c>
      <c r="V1066" s="53">
        <f>IF(P1066="","",IF(P1066="Ingreso",S1066,0))</f>
        <v/>
      </c>
      <c r="W1066" s="53">
        <f>IF(P1066="","",IF(P1066="Resultado trading",S1066,0))</f>
        <v/>
      </c>
      <c r="X1066" s="52">
        <f>IF(OR(P1066="Gasto",P1066="Reembolso"),IF(M1066&lt;&gt;"",M1066,IFERROR(INDEX(catClasif,MATCH(D1066&amp;"|"&amp;E1066,catClave,0))&amp;"","Variable")),"")</f>
        <v/>
      </c>
      <c r="Y1066" s="52">
        <f>IF(P1066="","",IFERROR(INDEX(catGrupo,MATCH(D1066&amp;"|"&amp;E1066,catClave,0))&amp;"",""))</f>
        <v/>
      </c>
      <c r="Z1066" s="52">
        <f>IF(P1066="","",WEEKDAY(B1066,2))</f>
        <v/>
      </c>
      <c r="AA1066" s="52">
        <f>IF(P1066="","",IF(AND(P1066="Gasto",X1066="Variable",D1066&lt;&gt;catTrading,S1066&gt;0,S1066&lt;=Umbral),1,0))</f>
        <v/>
      </c>
      <c r="AB1066" s="52">
        <f>IF(OR(P1066="",Q1066=""),"",IFERROR(IF(INDEX(ctaVinc,MATCH(Q1066,ctaNombre,0))&amp;""&lt;&gt;"",INDEX(ctaVinc,MATCH(Q1066,ctaNombre,0))&amp;"",Q1066),Q1066))</f>
        <v/>
      </c>
      <c r="AC1066" s="52">
        <f>IF(OR(K1066="",AND(P1066&lt;&gt;"Transferencia",P1066&lt;&gt;"Pago tarjeta")),"",IFERROR(IF(INDEX(ctaVinc,MATCH(K1066,ctaNombre,0))&amp;""&lt;&gt;"",INDEX(ctaVinc,MATCH(K1066,ctaNombre,0))&amp;"",K1066),K1066))</f>
        <v/>
      </c>
      <c r="AD1066" s="52">
        <f>IF(AB1066="","",IFERROR(INDEX(ctaTipo,MATCH(AB1066,ctaNombre,0))&amp;"",""))</f>
        <v/>
      </c>
      <c r="AE1066" s="52">
        <f>IF(AC1066="","",IFERROR(INDEX(ctaTipo,MATCH(AC1066,ctaNombre,0))&amp;"",""))</f>
        <v/>
      </c>
      <c r="AF1066" s="53">
        <f>IF(OR(P1066="",AB1066=""),"",IF(OR(P1066="Gasto",P1066="Transferencia",P1066="Pago tarjeta"),-1,1)*IF(IFERROR(INDEX(ctaMoneda,MATCH(AB1066,ctaNombre,0))&amp;"","DOP")="USD",T1066,S1066))</f>
        <v/>
      </c>
      <c r="AG1066" s="53">
        <f>IF(AC1066="","",IF(IFERROR(INDEX(ctaMoneda,MATCH(AC1066,ctaNombre,0))&amp;"","DOP")="USD",T1066,S1066))</f>
        <v/>
      </c>
      <c r="AH1066" s="53">
        <f>IF(P1066="","",IF(AND(AD1066&lt;&gt;"",COUNTIFS(tcTipo,AD1066,tcLiq,"Sí")&gt;0),IF(OR(P1066="Gasto",P1066="Transferencia",P1066="Pago tarjeta"),-1,1)*S1066,0)+IF(AND(AE1066&lt;&gt;"",COUNTIFS(tcTipo,AE1066,tcLiq,"Sí")&gt;0),S1066,0))</f>
        <v/>
      </c>
      <c r="AI1066" s="52">
        <f>IF(OR(L1066="",P1066=""),"",IF(COUNTIFS(L$6:L1066,L1066,P$6:P1066,"?*")=1,MAX(AI$5:AI1065)+1,""))</f>
        <v/>
      </c>
    </row>
    <row r="1067">
      <c r="B1067" s="47" t="n"/>
      <c r="C1067" s="48" t="n"/>
      <c r="D1067" s="48" t="n"/>
      <c r="E1067" s="48" t="n"/>
      <c r="F1067" s="48" t="n"/>
      <c r="G1067" s="49" t="n"/>
      <c r="H1067" s="48" t="n"/>
      <c r="I1067" s="50" t="n"/>
      <c r="J1067" s="48" t="n"/>
      <c r="K1067" s="48" t="n"/>
      <c r="L1067" s="48" t="n"/>
      <c r="M1067" s="48" t="n"/>
      <c r="N1067" s="48" t="n"/>
      <c r="O1067" s="51">
        <f>IF(AND(B1067="",G1067="",C1067="",D1067="",J1067=""),"",IF(B1067="","⚠ Falta fecha",IF(G1067="","⚠ Falta monto",IF(Q1067="","⚠ Falta cuenta",IF(ISNA(MATCH(Q1067,ctaNombre,0)),"⚠ Cuenta no registrada",IF(AND(OR(P1067="Gasto",P1067="Reembolso"),D1067=""),"⚠ Falta categoría",IF(AND(D1067&lt;&gt;"",E1067&lt;&gt;"",ISNA(MATCH(D1067&amp;"|"&amp;E1067,catClave,0))),"⚠ Subcategoría no corresponde",IF(AND(OR(P1067="Transferencia",P1067="Pago tarjeta"),K1067=""),"⚠ Falta cuenta destino",IF(AND(K1067&lt;&gt;"",P1067&lt;&gt;"Transferencia",P1067&lt;&gt;"Pago tarjeta"),"⚠ Destino solo aplica a transferencias",IF(AND(K1067&lt;&gt;"",K1067=Q1067),"⚠ Origen igual a destino",IF(AND(K1067&lt;&gt;"",ISNA(MATCH(K1067,ctaNombre,0))),"⚠ Destino no registrado",IF(AND(P1067="Pago tarjeta",AE1067&lt;&gt;"Tarjeta de crédito"),"⚠ El destino debe ser tarjeta de crédito",IF(AND(P1067="Gasto",E1067="Depósitos y retiros"),"⚠ Usa tipo Transferencia",IF(AND(P1067="Resultado trading",AD1067&lt;&gt;"Cuenta de trading"),"⚠ Usa una cuenta de trading",IF(AND(G1067&lt;=0,P1067&lt;&gt;"Ajuste",P1067&lt;&gt;"Resultado trading"),"⚠ El monto debe ser positivo","✓")))))))))))))))</f>
        <v/>
      </c>
      <c r="P1067" s="52">
        <f>IF(OR(B1067="",G1067=""),"",IF(C1067="","Gasto",C1067))</f>
        <v/>
      </c>
      <c r="Q1067" s="52">
        <f>IF(P1067="","",IF(J1067&lt;&gt;"",J1067,CuentaPred&amp;""))</f>
        <v/>
      </c>
      <c r="R1067" s="52">
        <f>IF(P1067="","",IF(ISNUMBER(I1067),I1067,TasaUSD))</f>
        <v/>
      </c>
      <c r="S1067" s="53">
        <f>IF(P1067="","",IF(H1067="USD",G1067*R1067,G1067))</f>
        <v/>
      </c>
      <c r="T1067" s="53">
        <f>IF(P1067="","",IF(H1067="USD",G1067,IF(R1067&gt;0,G1067/R1067,0)))</f>
        <v/>
      </c>
      <c r="U1067" s="53">
        <f>IF(P1067="","",IF(P1067="Gasto",S1067,IF(P1067="Reembolso",-S1067,0)))</f>
        <v/>
      </c>
      <c r="V1067" s="53">
        <f>IF(P1067="","",IF(P1067="Ingreso",S1067,0))</f>
        <v/>
      </c>
      <c r="W1067" s="53">
        <f>IF(P1067="","",IF(P1067="Resultado trading",S1067,0))</f>
        <v/>
      </c>
      <c r="X1067" s="52">
        <f>IF(OR(P1067="Gasto",P1067="Reembolso"),IF(M1067&lt;&gt;"",M1067,IFERROR(INDEX(catClasif,MATCH(D1067&amp;"|"&amp;E1067,catClave,0))&amp;"","Variable")),"")</f>
        <v/>
      </c>
      <c r="Y1067" s="52">
        <f>IF(P1067="","",IFERROR(INDEX(catGrupo,MATCH(D1067&amp;"|"&amp;E1067,catClave,0))&amp;"",""))</f>
        <v/>
      </c>
      <c r="Z1067" s="52">
        <f>IF(P1067="","",WEEKDAY(B1067,2))</f>
        <v/>
      </c>
      <c r="AA1067" s="52">
        <f>IF(P1067="","",IF(AND(P1067="Gasto",X1067="Variable",D1067&lt;&gt;catTrading,S1067&gt;0,S1067&lt;=Umbral),1,0))</f>
        <v/>
      </c>
      <c r="AB1067" s="52">
        <f>IF(OR(P1067="",Q1067=""),"",IFERROR(IF(INDEX(ctaVinc,MATCH(Q1067,ctaNombre,0))&amp;""&lt;&gt;"",INDEX(ctaVinc,MATCH(Q1067,ctaNombre,0))&amp;"",Q1067),Q1067))</f>
        <v/>
      </c>
      <c r="AC1067" s="52">
        <f>IF(OR(K1067="",AND(P1067&lt;&gt;"Transferencia",P1067&lt;&gt;"Pago tarjeta")),"",IFERROR(IF(INDEX(ctaVinc,MATCH(K1067,ctaNombre,0))&amp;""&lt;&gt;"",INDEX(ctaVinc,MATCH(K1067,ctaNombre,0))&amp;"",K1067),K1067))</f>
        <v/>
      </c>
      <c r="AD1067" s="52">
        <f>IF(AB1067="","",IFERROR(INDEX(ctaTipo,MATCH(AB1067,ctaNombre,0))&amp;"",""))</f>
        <v/>
      </c>
      <c r="AE1067" s="52">
        <f>IF(AC1067="","",IFERROR(INDEX(ctaTipo,MATCH(AC1067,ctaNombre,0))&amp;"",""))</f>
        <v/>
      </c>
      <c r="AF1067" s="53">
        <f>IF(OR(P1067="",AB1067=""),"",IF(OR(P1067="Gasto",P1067="Transferencia",P1067="Pago tarjeta"),-1,1)*IF(IFERROR(INDEX(ctaMoneda,MATCH(AB1067,ctaNombre,0))&amp;"","DOP")="USD",T1067,S1067))</f>
        <v/>
      </c>
      <c r="AG1067" s="53">
        <f>IF(AC1067="","",IF(IFERROR(INDEX(ctaMoneda,MATCH(AC1067,ctaNombre,0))&amp;"","DOP")="USD",T1067,S1067))</f>
        <v/>
      </c>
      <c r="AH1067" s="53">
        <f>IF(P1067="","",IF(AND(AD1067&lt;&gt;"",COUNTIFS(tcTipo,AD1067,tcLiq,"Sí")&gt;0),IF(OR(P1067="Gasto",P1067="Transferencia",P1067="Pago tarjeta"),-1,1)*S1067,0)+IF(AND(AE1067&lt;&gt;"",COUNTIFS(tcTipo,AE1067,tcLiq,"Sí")&gt;0),S1067,0))</f>
        <v/>
      </c>
      <c r="AI1067" s="52">
        <f>IF(OR(L1067="",P1067=""),"",IF(COUNTIFS(L$6:L1067,L1067,P$6:P1067,"?*")=1,MAX(AI$5:AI1066)+1,""))</f>
        <v/>
      </c>
    </row>
    <row r="1068">
      <c r="B1068" s="47" t="n"/>
      <c r="C1068" s="48" t="n"/>
      <c r="D1068" s="48" t="n"/>
      <c r="E1068" s="48" t="n"/>
      <c r="F1068" s="48" t="n"/>
      <c r="G1068" s="49" t="n"/>
      <c r="H1068" s="48" t="n"/>
      <c r="I1068" s="50" t="n"/>
      <c r="J1068" s="48" t="n"/>
      <c r="K1068" s="48" t="n"/>
      <c r="L1068" s="48" t="n"/>
      <c r="M1068" s="48" t="n"/>
      <c r="N1068" s="48" t="n"/>
      <c r="O1068" s="51">
        <f>IF(AND(B1068="",G1068="",C1068="",D1068="",J1068=""),"",IF(B1068="","⚠ Falta fecha",IF(G1068="","⚠ Falta monto",IF(Q1068="","⚠ Falta cuenta",IF(ISNA(MATCH(Q1068,ctaNombre,0)),"⚠ Cuenta no registrada",IF(AND(OR(P1068="Gasto",P1068="Reembolso"),D1068=""),"⚠ Falta categoría",IF(AND(D1068&lt;&gt;"",E1068&lt;&gt;"",ISNA(MATCH(D1068&amp;"|"&amp;E1068,catClave,0))),"⚠ Subcategoría no corresponde",IF(AND(OR(P1068="Transferencia",P1068="Pago tarjeta"),K1068=""),"⚠ Falta cuenta destino",IF(AND(K1068&lt;&gt;"",P1068&lt;&gt;"Transferencia",P1068&lt;&gt;"Pago tarjeta"),"⚠ Destino solo aplica a transferencias",IF(AND(K1068&lt;&gt;"",K1068=Q1068),"⚠ Origen igual a destino",IF(AND(K1068&lt;&gt;"",ISNA(MATCH(K1068,ctaNombre,0))),"⚠ Destino no registrado",IF(AND(P1068="Pago tarjeta",AE1068&lt;&gt;"Tarjeta de crédito"),"⚠ El destino debe ser tarjeta de crédito",IF(AND(P1068="Gasto",E1068="Depósitos y retiros"),"⚠ Usa tipo Transferencia",IF(AND(P1068="Resultado trading",AD1068&lt;&gt;"Cuenta de trading"),"⚠ Usa una cuenta de trading",IF(AND(G1068&lt;=0,P1068&lt;&gt;"Ajuste",P1068&lt;&gt;"Resultado trading"),"⚠ El monto debe ser positivo","✓")))))))))))))))</f>
        <v/>
      </c>
      <c r="P1068" s="52">
        <f>IF(OR(B1068="",G1068=""),"",IF(C1068="","Gasto",C1068))</f>
        <v/>
      </c>
      <c r="Q1068" s="52">
        <f>IF(P1068="","",IF(J1068&lt;&gt;"",J1068,CuentaPred&amp;""))</f>
        <v/>
      </c>
      <c r="R1068" s="52">
        <f>IF(P1068="","",IF(ISNUMBER(I1068),I1068,TasaUSD))</f>
        <v/>
      </c>
      <c r="S1068" s="53">
        <f>IF(P1068="","",IF(H1068="USD",G1068*R1068,G1068))</f>
        <v/>
      </c>
      <c r="T1068" s="53">
        <f>IF(P1068="","",IF(H1068="USD",G1068,IF(R1068&gt;0,G1068/R1068,0)))</f>
        <v/>
      </c>
      <c r="U1068" s="53">
        <f>IF(P1068="","",IF(P1068="Gasto",S1068,IF(P1068="Reembolso",-S1068,0)))</f>
        <v/>
      </c>
      <c r="V1068" s="53">
        <f>IF(P1068="","",IF(P1068="Ingreso",S1068,0))</f>
        <v/>
      </c>
      <c r="W1068" s="53">
        <f>IF(P1068="","",IF(P1068="Resultado trading",S1068,0))</f>
        <v/>
      </c>
      <c r="X1068" s="52">
        <f>IF(OR(P1068="Gasto",P1068="Reembolso"),IF(M1068&lt;&gt;"",M1068,IFERROR(INDEX(catClasif,MATCH(D1068&amp;"|"&amp;E1068,catClave,0))&amp;"","Variable")),"")</f>
        <v/>
      </c>
      <c r="Y1068" s="52">
        <f>IF(P1068="","",IFERROR(INDEX(catGrupo,MATCH(D1068&amp;"|"&amp;E1068,catClave,0))&amp;"",""))</f>
        <v/>
      </c>
      <c r="Z1068" s="52">
        <f>IF(P1068="","",WEEKDAY(B1068,2))</f>
        <v/>
      </c>
      <c r="AA1068" s="52">
        <f>IF(P1068="","",IF(AND(P1068="Gasto",X1068="Variable",D1068&lt;&gt;catTrading,S1068&gt;0,S1068&lt;=Umbral),1,0))</f>
        <v/>
      </c>
      <c r="AB1068" s="52">
        <f>IF(OR(P1068="",Q1068=""),"",IFERROR(IF(INDEX(ctaVinc,MATCH(Q1068,ctaNombre,0))&amp;""&lt;&gt;"",INDEX(ctaVinc,MATCH(Q1068,ctaNombre,0))&amp;"",Q1068),Q1068))</f>
        <v/>
      </c>
      <c r="AC1068" s="52">
        <f>IF(OR(K1068="",AND(P1068&lt;&gt;"Transferencia",P1068&lt;&gt;"Pago tarjeta")),"",IFERROR(IF(INDEX(ctaVinc,MATCH(K1068,ctaNombre,0))&amp;""&lt;&gt;"",INDEX(ctaVinc,MATCH(K1068,ctaNombre,0))&amp;"",K1068),K1068))</f>
        <v/>
      </c>
      <c r="AD1068" s="52">
        <f>IF(AB1068="","",IFERROR(INDEX(ctaTipo,MATCH(AB1068,ctaNombre,0))&amp;"",""))</f>
        <v/>
      </c>
      <c r="AE1068" s="52">
        <f>IF(AC1068="","",IFERROR(INDEX(ctaTipo,MATCH(AC1068,ctaNombre,0))&amp;"",""))</f>
        <v/>
      </c>
      <c r="AF1068" s="53">
        <f>IF(OR(P1068="",AB1068=""),"",IF(OR(P1068="Gasto",P1068="Transferencia",P1068="Pago tarjeta"),-1,1)*IF(IFERROR(INDEX(ctaMoneda,MATCH(AB1068,ctaNombre,0))&amp;"","DOP")="USD",T1068,S1068))</f>
        <v/>
      </c>
      <c r="AG1068" s="53">
        <f>IF(AC1068="","",IF(IFERROR(INDEX(ctaMoneda,MATCH(AC1068,ctaNombre,0))&amp;"","DOP")="USD",T1068,S1068))</f>
        <v/>
      </c>
      <c r="AH1068" s="53">
        <f>IF(P1068="","",IF(AND(AD1068&lt;&gt;"",COUNTIFS(tcTipo,AD1068,tcLiq,"Sí")&gt;0),IF(OR(P1068="Gasto",P1068="Transferencia",P1068="Pago tarjeta"),-1,1)*S1068,0)+IF(AND(AE1068&lt;&gt;"",COUNTIFS(tcTipo,AE1068,tcLiq,"Sí")&gt;0),S1068,0))</f>
        <v/>
      </c>
      <c r="AI1068" s="52">
        <f>IF(OR(L1068="",P1068=""),"",IF(COUNTIFS(L$6:L1068,L1068,P$6:P1068,"?*")=1,MAX(AI$5:AI1067)+1,""))</f>
        <v/>
      </c>
    </row>
    <row r="1069">
      <c r="B1069" s="47" t="n"/>
      <c r="C1069" s="48" t="n"/>
      <c r="D1069" s="48" t="n"/>
      <c r="E1069" s="48" t="n"/>
      <c r="F1069" s="48" t="n"/>
      <c r="G1069" s="49" t="n"/>
      <c r="H1069" s="48" t="n"/>
      <c r="I1069" s="50" t="n"/>
      <c r="J1069" s="48" t="n"/>
      <c r="K1069" s="48" t="n"/>
      <c r="L1069" s="48" t="n"/>
      <c r="M1069" s="48" t="n"/>
      <c r="N1069" s="48" t="n"/>
      <c r="O1069" s="51">
        <f>IF(AND(B1069="",G1069="",C1069="",D1069="",J1069=""),"",IF(B1069="","⚠ Falta fecha",IF(G1069="","⚠ Falta monto",IF(Q1069="","⚠ Falta cuenta",IF(ISNA(MATCH(Q1069,ctaNombre,0)),"⚠ Cuenta no registrada",IF(AND(OR(P1069="Gasto",P1069="Reembolso"),D1069=""),"⚠ Falta categoría",IF(AND(D1069&lt;&gt;"",E1069&lt;&gt;"",ISNA(MATCH(D1069&amp;"|"&amp;E1069,catClave,0))),"⚠ Subcategoría no corresponde",IF(AND(OR(P1069="Transferencia",P1069="Pago tarjeta"),K1069=""),"⚠ Falta cuenta destino",IF(AND(K1069&lt;&gt;"",P1069&lt;&gt;"Transferencia",P1069&lt;&gt;"Pago tarjeta"),"⚠ Destino solo aplica a transferencias",IF(AND(K1069&lt;&gt;"",K1069=Q1069),"⚠ Origen igual a destino",IF(AND(K1069&lt;&gt;"",ISNA(MATCH(K1069,ctaNombre,0))),"⚠ Destino no registrado",IF(AND(P1069="Pago tarjeta",AE1069&lt;&gt;"Tarjeta de crédito"),"⚠ El destino debe ser tarjeta de crédito",IF(AND(P1069="Gasto",E1069="Depósitos y retiros"),"⚠ Usa tipo Transferencia",IF(AND(P1069="Resultado trading",AD1069&lt;&gt;"Cuenta de trading"),"⚠ Usa una cuenta de trading",IF(AND(G1069&lt;=0,P1069&lt;&gt;"Ajuste",P1069&lt;&gt;"Resultado trading"),"⚠ El monto debe ser positivo","✓")))))))))))))))</f>
        <v/>
      </c>
      <c r="P1069" s="52">
        <f>IF(OR(B1069="",G1069=""),"",IF(C1069="","Gasto",C1069))</f>
        <v/>
      </c>
      <c r="Q1069" s="52">
        <f>IF(P1069="","",IF(J1069&lt;&gt;"",J1069,CuentaPred&amp;""))</f>
        <v/>
      </c>
      <c r="R1069" s="52">
        <f>IF(P1069="","",IF(ISNUMBER(I1069),I1069,TasaUSD))</f>
        <v/>
      </c>
      <c r="S1069" s="53">
        <f>IF(P1069="","",IF(H1069="USD",G1069*R1069,G1069))</f>
        <v/>
      </c>
      <c r="T1069" s="53">
        <f>IF(P1069="","",IF(H1069="USD",G1069,IF(R1069&gt;0,G1069/R1069,0)))</f>
        <v/>
      </c>
      <c r="U1069" s="53">
        <f>IF(P1069="","",IF(P1069="Gasto",S1069,IF(P1069="Reembolso",-S1069,0)))</f>
        <v/>
      </c>
      <c r="V1069" s="53">
        <f>IF(P1069="","",IF(P1069="Ingreso",S1069,0))</f>
        <v/>
      </c>
      <c r="W1069" s="53">
        <f>IF(P1069="","",IF(P1069="Resultado trading",S1069,0))</f>
        <v/>
      </c>
      <c r="X1069" s="52">
        <f>IF(OR(P1069="Gasto",P1069="Reembolso"),IF(M1069&lt;&gt;"",M1069,IFERROR(INDEX(catClasif,MATCH(D1069&amp;"|"&amp;E1069,catClave,0))&amp;"","Variable")),"")</f>
        <v/>
      </c>
      <c r="Y1069" s="52">
        <f>IF(P1069="","",IFERROR(INDEX(catGrupo,MATCH(D1069&amp;"|"&amp;E1069,catClave,0))&amp;"",""))</f>
        <v/>
      </c>
      <c r="Z1069" s="52">
        <f>IF(P1069="","",WEEKDAY(B1069,2))</f>
        <v/>
      </c>
      <c r="AA1069" s="52">
        <f>IF(P1069="","",IF(AND(P1069="Gasto",X1069="Variable",D1069&lt;&gt;catTrading,S1069&gt;0,S1069&lt;=Umbral),1,0))</f>
        <v/>
      </c>
      <c r="AB1069" s="52">
        <f>IF(OR(P1069="",Q1069=""),"",IFERROR(IF(INDEX(ctaVinc,MATCH(Q1069,ctaNombre,0))&amp;""&lt;&gt;"",INDEX(ctaVinc,MATCH(Q1069,ctaNombre,0))&amp;"",Q1069),Q1069))</f>
        <v/>
      </c>
      <c r="AC1069" s="52">
        <f>IF(OR(K1069="",AND(P1069&lt;&gt;"Transferencia",P1069&lt;&gt;"Pago tarjeta")),"",IFERROR(IF(INDEX(ctaVinc,MATCH(K1069,ctaNombre,0))&amp;""&lt;&gt;"",INDEX(ctaVinc,MATCH(K1069,ctaNombre,0))&amp;"",K1069),K1069))</f>
        <v/>
      </c>
      <c r="AD1069" s="52">
        <f>IF(AB1069="","",IFERROR(INDEX(ctaTipo,MATCH(AB1069,ctaNombre,0))&amp;"",""))</f>
        <v/>
      </c>
      <c r="AE1069" s="52">
        <f>IF(AC1069="","",IFERROR(INDEX(ctaTipo,MATCH(AC1069,ctaNombre,0))&amp;"",""))</f>
        <v/>
      </c>
      <c r="AF1069" s="53">
        <f>IF(OR(P1069="",AB1069=""),"",IF(OR(P1069="Gasto",P1069="Transferencia",P1069="Pago tarjeta"),-1,1)*IF(IFERROR(INDEX(ctaMoneda,MATCH(AB1069,ctaNombre,0))&amp;"","DOP")="USD",T1069,S1069))</f>
        <v/>
      </c>
      <c r="AG1069" s="53">
        <f>IF(AC1069="","",IF(IFERROR(INDEX(ctaMoneda,MATCH(AC1069,ctaNombre,0))&amp;"","DOP")="USD",T1069,S1069))</f>
        <v/>
      </c>
      <c r="AH1069" s="53">
        <f>IF(P1069="","",IF(AND(AD1069&lt;&gt;"",COUNTIFS(tcTipo,AD1069,tcLiq,"Sí")&gt;0),IF(OR(P1069="Gasto",P1069="Transferencia",P1069="Pago tarjeta"),-1,1)*S1069,0)+IF(AND(AE1069&lt;&gt;"",COUNTIFS(tcTipo,AE1069,tcLiq,"Sí")&gt;0),S1069,0))</f>
        <v/>
      </c>
      <c r="AI1069" s="52">
        <f>IF(OR(L1069="",P1069=""),"",IF(COUNTIFS(L$6:L1069,L1069,P$6:P1069,"?*")=1,MAX(AI$5:AI1068)+1,""))</f>
        <v/>
      </c>
    </row>
    <row r="1070">
      <c r="B1070" s="47" t="n"/>
      <c r="C1070" s="48" t="n"/>
      <c r="D1070" s="48" t="n"/>
      <c r="E1070" s="48" t="n"/>
      <c r="F1070" s="48" t="n"/>
      <c r="G1070" s="49" t="n"/>
      <c r="H1070" s="48" t="n"/>
      <c r="I1070" s="50" t="n"/>
      <c r="J1070" s="48" t="n"/>
      <c r="K1070" s="48" t="n"/>
      <c r="L1070" s="48" t="n"/>
      <c r="M1070" s="48" t="n"/>
      <c r="N1070" s="48" t="n"/>
      <c r="O1070" s="51">
        <f>IF(AND(B1070="",G1070="",C1070="",D1070="",J1070=""),"",IF(B1070="","⚠ Falta fecha",IF(G1070="","⚠ Falta monto",IF(Q1070="","⚠ Falta cuenta",IF(ISNA(MATCH(Q1070,ctaNombre,0)),"⚠ Cuenta no registrada",IF(AND(OR(P1070="Gasto",P1070="Reembolso"),D1070=""),"⚠ Falta categoría",IF(AND(D1070&lt;&gt;"",E1070&lt;&gt;"",ISNA(MATCH(D1070&amp;"|"&amp;E1070,catClave,0))),"⚠ Subcategoría no corresponde",IF(AND(OR(P1070="Transferencia",P1070="Pago tarjeta"),K1070=""),"⚠ Falta cuenta destino",IF(AND(K1070&lt;&gt;"",P1070&lt;&gt;"Transferencia",P1070&lt;&gt;"Pago tarjeta"),"⚠ Destino solo aplica a transferencias",IF(AND(K1070&lt;&gt;"",K1070=Q1070),"⚠ Origen igual a destino",IF(AND(K1070&lt;&gt;"",ISNA(MATCH(K1070,ctaNombre,0))),"⚠ Destino no registrado",IF(AND(P1070="Pago tarjeta",AE1070&lt;&gt;"Tarjeta de crédito"),"⚠ El destino debe ser tarjeta de crédito",IF(AND(P1070="Gasto",E1070="Depósitos y retiros"),"⚠ Usa tipo Transferencia",IF(AND(P1070="Resultado trading",AD1070&lt;&gt;"Cuenta de trading"),"⚠ Usa una cuenta de trading",IF(AND(G1070&lt;=0,P1070&lt;&gt;"Ajuste",P1070&lt;&gt;"Resultado trading"),"⚠ El monto debe ser positivo","✓")))))))))))))))</f>
        <v/>
      </c>
      <c r="P1070" s="52">
        <f>IF(OR(B1070="",G1070=""),"",IF(C1070="","Gasto",C1070))</f>
        <v/>
      </c>
      <c r="Q1070" s="52">
        <f>IF(P1070="","",IF(J1070&lt;&gt;"",J1070,CuentaPred&amp;""))</f>
        <v/>
      </c>
      <c r="R1070" s="52">
        <f>IF(P1070="","",IF(ISNUMBER(I1070),I1070,TasaUSD))</f>
        <v/>
      </c>
      <c r="S1070" s="53">
        <f>IF(P1070="","",IF(H1070="USD",G1070*R1070,G1070))</f>
        <v/>
      </c>
      <c r="T1070" s="53">
        <f>IF(P1070="","",IF(H1070="USD",G1070,IF(R1070&gt;0,G1070/R1070,0)))</f>
        <v/>
      </c>
      <c r="U1070" s="53">
        <f>IF(P1070="","",IF(P1070="Gasto",S1070,IF(P1070="Reembolso",-S1070,0)))</f>
        <v/>
      </c>
      <c r="V1070" s="53">
        <f>IF(P1070="","",IF(P1070="Ingreso",S1070,0))</f>
        <v/>
      </c>
      <c r="W1070" s="53">
        <f>IF(P1070="","",IF(P1070="Resultado trading",S1070,0))</f>
        <v/>
      </c>
      <c r="X1070" s="52">
        <f>IF(OR(P1070="Gasto",P1070="Reembolso"),IF(M1070&lt;&gt;"",M1070,IFERROR(INDEX(catClasif,MATCH(D1070&amp;"|"&amp;E1070,catClave,0))&amp;"","Variable")),"")</f>
        <v/>
      </c>
      <c r="Y1070" s="52">
        <f>IF(P1070="","",IFERROR(INDEX(catGrupo,MATCH(D1070&amp;"|"&amp;E1070,catClave,0))&amp;"",""))</f>
        <v/>
      </c>
      <c r="Z1070" s="52">
        <f>IF(P1070="","",WEEKDAY(B1070,2))</f>
        <v/>
      </c>
      <c r="AA1070" s="52">
        <f>IF(P1070="","",IF(AND(P1070="Gasto",X1070="Variable",D1070&lt;&gt;catTrading,S1070&gt;0,S1070&lt;=Umbral),1,0))</f>
        <v/>
      </c>
      <c r="AB1070" s="52">
        <f>IF(OR(P1070="",Q1070=""),"",IFERROR(IF(INDEX(ctaVinc,MATCH(Q1070,ctaNombre,0))&amp;""&lt;&gt;"",INDEX(ctaVinc,MATCH(Q1070,ctaNombre,0))&amp;"",Q1070),Q1070))</f>
        <v/>
      </c>
      <c r="AC1070" s="52">
        <f>IF(OR(K1070="",AND(P1070&lt;&gt;"Transferencia",P1070&lt;&gt;"Pago tarjeta")),"",IFERROR(IF(INDEX(ctaVinc,MATCH(K1070,ctaNombre,0))&amp;""&lt;&gt;"",INDEX(ctaVinc,MATCH(K1070,ctaNombre,0))&amp;"",K1070),K1070))</f>
        <v/>
      </c>
      <c r="AD1070" s="52">
        <f>IF(AB1070="","",IFERROR(INDEX(ctaTipo,MATCH(AB1070,ctaNombre,0))&amp;"",""))</f>
        <v/>
      </c>
      <c r="AE1070" s="52">
        <f>IF(AC1070="","",IFERROR(INDEX(ctaTipo,MATCH(AC1070,ctaNombre,0))&amp;"",""))</f>
        <v/>
      </c>
      <c r="AF1070" s="53">
        <f>IF(OR(P1070="",AB1070=""),"",IF(OR(P1070="Gasto",P1070="Transferencia",P1070="Pago tarjeta"),-1,1)*IF(IFERROR(INDEX(ctaMoneda,MATCH(AB1070,ctaNombre,0))&amp;"","DOP")="USD",T1070,S1070))</f>
        <v/>
      </c>
      <c r="AG1070" s="53">
        <f>IF(AC1070="","",IF(IFERROR(INDEX(ctaMoneda,MATCH(AC1070,ctaNombre,0))&amp;"","DOP")="USD",T1070,S1070))</f>
        <v/>
      </c>
      <c r="AH1070" s="53">
        <f>IF(P1070="","",IF(AND(AD1070&lt;&gt;"",COUNTIFS(tcTipo,AD1070,tcLiq,"Sí")&gt;0),IF(OR(P1070="Gasto",P1070="Transferencia",P1070="Pago tarjeta"),-1,1)*S1070,0)+IF(AND(AE1070&lt;&gt;"",COUNTIFS(tcTipo,AE1070,tcLiq,"Sí")&gt;0),S1070,0))</f>
        <v/>
      </c>
      <c r="AI1070" s="52">
        <f>IF(OR(L1070="",P1070=""),"",IF(COUNTIFS(L$6:L1070,L1070,P$6:P1070,"?*")=1,MAX(AI$5:AI1069)+1,""))</f>
        <v/>
      </c>
    </row>
    <row r="1071">
      <c r="B1071" s="47" t="n"/>
      <c r="C1071" s="48" t="n"/>
      <c r="D1071" s="48" t="n"/>
      <c r="E1071" s="48" t="n"/>
      <c r="F1071" s="48" t="n"/>
      <c r="G1071" s="49" t="n"/>
      <c r="H1071" s="48" t="n"/>
      <c r="I1071" s="50" t="n"/>
      <c r="J1071" s="48" t="n"/>
      <c r="K1071" s="48" t="n"/>
      <c r="L1071" s="48" t="n"/>
      <c r="M1071" s="48" t="n"/>
      <c r="N1071" s="48" t="n"/>
      <c r="O1071" s="51">
        <f>IF(AND(B1071="",G1071="",C1071="",D1071="",J1071=""),"",IF(B1071="","⚠ Falta fecha",IF(G1071="","⚠ Falta monto",IF(Q1071="","⚠ Falta cuenta",IF(ISNA(MATCH(Q1071,ctaNombre,0)),"⚠ Cuenta no registrada",IF(AND(OR(P1071="Gasto",P1071="Reembolso"),D1071=""),"⚠ Falta categoría",IF(AND(D1071&lt;&gt;"",E1071&lt;&gt;"",ISNA(MATCH(D1071&amp;"|"&amp;E1071,catClave,0))),"⚠ Subcategoría no corresponde",IF(AND(OR(P1071="Transferencia",P1071="Pago tarjeta"),K1071=""),"⚠ Falta cuenta destino",IF(AND(K1071&lt;&gt;"",P1071&lt;&gt;"Transferencia",P1071&lt;&gt;"Pago tarjeta"),"⚠ Destino solo aplica a transferencias",IF(AND(K1071&lt;&gt;"",K1071=Q1071),"⚠ Origen igual a destino",IF(AND(K1071&lt;&gt;"",ISNA(MATCH(K1071,ctaNombre,0))),"⚠ Destino no registrado",IF(AND(P1071="Pago tarjeta",AE1071&lt;&gt;"Tarjeta de crédito"),"⚠ El destino debe ser tarjeta de crédito",IF(AND(P1071="Gasto",E1071="Depósitos y retiros"),"⚠ Usa tipo Transferencia",IF(AND(P1071="Resultado trading",AD1071&lt;&gt;"Cuenta de trading"),"⚠ Usa una cuenta de trading",IF(AND(G1071&lt;=0,P1071&lt;&gt;"Ajuste",P1071&lt;&gt;"Resultado trading"),"⚠ El monto debe ser positivo","✓")))))))))))))))</f>
        <v/>
      </c>
      <c r="P1071" s="52">
        <f>IF(OR(B1071="",G1071=""),"",IF(C1071="","Gasto",C1071))</f>
        <v/>
      </c>
      <c r="Q1071" s="52">
        <f>IF(P1071="","",IF(J1071&lt;&gt;"",J1071,CuentaPred&amp;""))</f>
        <v/>
      </c>
      <c r="R1071" s="52">
        <f>IF(P1071="","",IF(ISNUMBER(I1071),I1071,TasaUSD))</f>
        <v/>
      </c>
      <c r="S1071" s="53">
        <f>IF(P1071="","",IF(H1071="USD",G1071*R1071,G1071))</f>
        <v/>
      </c>
      <c r="T1071" s="53">
        <f>IF(P1071="","",IF(H1071="USD",G1071,IF(R1071&gt;0,G1071/R1071,0)))</f>
        <v/>
      </c>
      <c r="U1071" s="53">
        <f>IF(P1071="","",IF(P1071="Gasto",S1071,IF(P1071="Reembolso",-S1071,0)))</f>
        <v/>
      </c>
      <c r="V1071" s="53">
        <f>IF(P1071="","",IF(P1071="Ingreso",S1071,0))</f>
        <v/>
      </c>
      <c r="W1071" s="53">
        <f>IF(P1071="","",IF(P1071="Resultado trading",S1071,0))</f>
        <v/>
      </c>
      <c r="X1071" s="52">
        <f>IF(OR(P1071="Gasto",P1071="Reembolso"),IF(M1071&lt;&gt;"",M1071,IFERROR(INDEX(catClasif,MATCH(D1071&amp;"|"&amp;E1071,catClave,0))&amp;"","Variable")),"")</f>
        <v/>
      </c>
      <c r="Y1071" s="52">
        <f>IF(P1071="","",IFERROR(INDEX(catGrupo,MATCH(D1071&amp;"|"&amp;E1071,catClave,0))&amp;"",""))</f>
        <v/>
      </c>
      <c r="Z1071" s="52">
        <f>IF(P1071="","",WEEKDAY(B1071,2))</f>
        <v/>
      </c>
      <c r="AA1071" s="52">
        <f>IF(P1071="","",IF(AND(P1071="Gasto",X1071="Variable",D1071&lt;&gt;catTrading,S1071&gt;0,S1071&lt;=Umbral),1,0))</f>
        <v/>
      </c>
      <c r="AB1071" s="52">
        <f>IF(OR(P1071="",Q1071=""),"",IFERROR(IF(INDEX(ctaVinc,MATCH(Q1071,ctaNombre,0))&amp;""&lt;&gt;"",INDEX(ctaVinc,MATCH(Q1071,ctaNombre,0))&amp;"",Q1071),Q1071))</f>
        <v/>
      </c>
      <c r="AC1071" s="52">
        <f>IF(OR(K1071="",AND(P1071&lt;&gt;"Transferencia",P1071&lt;&gt;"Pago tarjeta")),"",IFERROR(IF(INDEX(ctaVinc,MATCH(K1071,ctaNombre,0))&amp;""&lt;&gt;"",INDEX(ctaVinc,MATCH(K1071,ctaNombre,0))&amp;"",K1071),K1071))</f>
        <v/>
      </c>
      <c r="AD1071" s="52">
        <f>IF(AB1071="","",IFERROR(INDEX(ctaTipo,MATCH(AB1071,ctaNombre,0))&amp;"",""))</f>
        <v/>
      </c>
      <c r="AE1071" s="52">
        <f>IF(AC1071="","",IFERROR(INDEX(ctaTipo,MATCH(AC1071,ctaNombre,0))&amp;"",""))</f>
        <v/>
      </c>
      <c r="AF1071" s="53">
        <f>IF(OR(P1071="",AB1071=""),"",IF(OR(P1071="Gasto",P1071="Transferencia",P1071="Pago tarjeta"),-1,1)*IF(IFERROR(INDEX(ctaMoneda,MATCH(AB1071,ctaNombre,0))&amp;"","DOP")="USD",T1071,S1071))</f>
        <v/>
      </c>
      <c r="AG1071" s="53">
        <f>IF(AC1071="","",IF(IFERROR(INDEX(ctaMoneda,MATCH(AC1071,ctaNombre,0))&amp;"","DOP")="USD",T1071,S1071))</f>
        <v/>
      </c>
      <c r="AH1071" s="53">
        <f>IF(P1071="","",IF(AND(AD1071&lt;&gt;"",COUNTIFS(tcTipo,AD1071,tcLiq,"Sí")&gt;0),IF(OR(P1071="Gasto",P1071="Transferencia",P1071="Pago tarjeta"),-1,1)*S1071,0)+IF(AND(AE1071&lt;&gt;"",COUNTIFS(tcTipo,AE1071,tcLiq,"Sí")&gt;0),S1071,0))</f>
        <v/>
      </c>
      <c r="AI1071" s="52">
        <f>IF(OR(L1071="",P1071=""),"",IF(COUNTIFS(L$6:L1071,L1071,P$6:P1071,"?*")=1,MAX(AI$5:AI1070)+1,""))</f>
        <v/>
      </c>
    </row>
    <row r="1072">
      <c r="B1072" s="47" t="n"/>
      <c r="C1072" s="48" t="n"/>
      <c r="D1072" s="48" t="n"/>
      <c r="E1072" s="48" t="n"/>
      <c r="F1072" s="48" t="n"/>
      <c r="G1072" s="49" t="n"/>
      <c r="H1072" s="48" t="n"/>
      <c r="I1072" s="50" t="n"/>
      <c r="J1072" s="48" t="n"/>
      <c r="K1072" s="48" t="n"/>
      <c r="L1072" s="48" t="n"/>
      <c r="M1072" s="48" t="n"/>
      <c r="N1072" s="48" t="n"/>
      <c r="O1072" s="51">
        <f>IF(AND(B1072="",G1072="",C1072="",D1072="",J1072=""),"",IF(B1072="","⚠ Falta fecha",IF(G1072="","⚠ Falta monto",IF(Q1072="","⚠ Falta cuenta",IF(ISNA(MATCH(Q1072,ctaNombre,0)),"⚠ Cuenta no registrada",IF(AND(OR(P1072="Gasto",P1072="Reembolso"),D1072=""),"⚠ Falta categoría",IF(AND(D1072&lt;&gt;"",E1072&lt;&gt;"",ISNA(MATCH(D1072&amp;"|"&amp;E1072,catClave,0))),"⚠ Subcategoría no corresponde",IF(AND(OR(P1072="Transferencia",P1072="Pago tarjeta"),K1072=""),"⚠ Falta cuenta destino",IF(AND(K1072&lt;&gt;"",P1072&lt;&gt;"Transferencia",P1072&lt;&gt;"Pago tarjeta"),"⚠ Destino solo aplica a transferencias",IF(AND(K1072&lt;&gt;"",K1072=Q1072),"⚠ Origen igual a destino",IF(AND(K1072&lt;&gt;"",ISNA(MATCH(K1072,ctaNombre,0))),"⚠ Destino no registrado",IF(AND(P1072="Pago tarjeta",AE1072&lt;&gt;"Tarjeta de crédito"),"⚠ El destino debe ser tarjeta de crédito",IF(AND(P1072="Gasto",E1072="Depósitos y retiros"),"⚠ Usa tipo Transferencia",IF(AND(P1072="Resultado trading",AD1072&lt;&gt;"Cuenta de trading"),"⚠ Usa una cuenta de trading",IF(AND(G1072&lt;=0,P1072&lt;&gt;"Ajuste",P1072&lt;&gt;"Resultado trading"),"⚠ El monto debe ser positivo","✓")))))))))))))))</f>
        <v/>
      </c>
      <c r="P1072" s="52">
        <f>IF(OR(B1072="",G1072=""),"",IF(C1072="","Gasto",C1072))</f>
        <v/>
      </c>
      <c r="Q1072" s="52">
        <f>IF(P1072="","",IF(J1072&lt;&gt;"",J1072,CuentaPred&amp;""))</f>
        <v/>
      </c>
      <c r="R1072" s="52">
        <f>IF(P1072="","",IF(ISNUMBER(I1072),I1072,TasaUSD))</f>
        <v/>
      </c>
      <c r="S1072" s="53">
        <f>IF(P1072="","",IF(H1072="USD",G1072*R1072,G1072))</f>
        <v/>
      </c>
      <c r="T1072" s="53">
        <f>IF(P1072="","",IF(H1072="USD",G1072,IF(R1072&gt;0,G1072/R1072,0)))</f>
        <v/>
      </c>
      <c r="U1072" s="53">
        <f>IF(P1072="","",IF(P1072="Gasto",S1072,IF(P1072="Reembolso",-S1072,0)))</f>
        <v/>
      </c>
      <c r="V1072" s="53">
        <f>IF(P1072="","",IF(P1072="Ingreso",S1072,0))</f>
        <v/>
      </c>
      <c r="W1072" s="53">
        <f>IF(P1072="","",IF(P1072="Resultado trading",S1072,0))</f>
        <v/>
      </c>
      <c r="X1072" s="52">
        <f>IF(OR(P1072="Gasto",P1072="Reembolso"),IF(M1072&lt;&gt;"",M1072,IFERROR(INDEX(catClasif,MATCH(D1072&amp;"|"&amp;E1072,catClave,0))&amp;"","Variable")),"")</f>
        <v/>
      </c>
      <c r="Y1072" s="52">
        <f>IF(P1072="","",IFERROR(INDEX(catGrupo,MATCH(D1072&amp;"|"&amp;E1072,catClave,0))&amp;"",""))</f>
        <v/>
      </c>
      <c r="Z1072" s="52">
        <f>IF(P1072="","",WEEKDAY(B1072,2))</f>
        <v/>
      </c>
      <c r="AA1072" s="52">
        <f>IF(P1072="","",IF(AND(P1072="Gasto",X1072="Variable",D1072&lt;&gt;catTrading,S1072&gt;0,S1072&lt;=Umbral),1,0))</f>
        <v/>
      </c>
      <c r="AB1072" s="52">
        <f>IF(OR(P1072="",Q1072=""),"",IFERROR(IF(INDEX(ctaVinc,MATCH(Q1072,ctaNombre,0))&amp;""&lt;&gt;"",INDEX(ctaVinc,MATCH(Q1072,ctaNombre,0))&amp;"",Q1072),Q1072))</f>
        <v/>
      </c>
      <c r="AC1072" s="52">
        <f>IF(OR(K1072="",AND(P1072&lt;&gt;"Transferencia",P1072&lt;&gt;"Pago tarjeta")),"",IFERROR(IF(INDEX(ctaVinc,MATCH(K1072,ctaNombre,0))&amp;""&lt;&gt;"",INDEX(ctaVinc,MATCH(K1072,ctaNombre,0))&amp;"",K1072),K1072))</f>
        <v/>
      </c>
      <c r="AD1072" s="52">
        <f>IF(AB1072="","",IFERROR(INDEX(ctaTipo,MATCH(AB1072,ctaNombre,0))&amp;"",""))</f>
        <v/>
      </c>
      <c r="AE1072" s="52">
        <f>IF(AC1072="","",IFERROR(INDEX(ctaTipo,MATCH(AC1072,ctaNombre,0))&amp;"",""))</f>
        <v/>
      </c>
      <c r="AF1072" s="53">
        <f>IF(OR(P1072="",AB1072=""),"",IF(OR(P1072="Gasto",P1072="Transferencia",P1072="Pago tarjeta"),-1,1)*IF(IFERROR(INDEX(ctaMoneda,MATCH(AB1072,ctaNombre,0))&amp;"","DOP")="USD",T1072,S1072))</f>
        <v/>
      </c>
      <c r="AG1072" s="53">
        <f>IF(AC1072="","",IF(IFERROR(INDEX(ctaMoneda,MATCH(AC1072,ctaNombre,0))&amp;"","DOP")="USD",T1072,S1072))</f>
        <v/>
      </c>
      <c r="AH1072" s="53">
        <f>IF(P1072="","",IF(AND(AD1072&lt;&gt;"",COUNTIFS(tcTipo,AD1072,tcLiq,"Sí")&gt;0),IF(OR(P1072="Gasto",P1072="Transferencia",P1072="Pago tarjeta"),-1,1)*S1072,0)+IF(AND(AE1072&lt;&gt;"",COUNTIFS(tcTipo,AE1072,tcLiq,"Sí")&gt;0),S1072,0))</f>
        <v/>
      </c>
      <c r="AI1072" s="52">
        <f>IF(OR(L1072="",P1072=""),"",IF(COUNTIFS(L$6:L1072,L1072,P$6:P1072,"?*")=1,MAX(AI$5:AI1071)+1,""))</f>
        <v/>
      </c>
    </row>
    <row r="1073">
      <c r="B1073" s="47" t="n"/>
      <c r="C1073" s="48" t="n"/>
      <c r="D1073" s="48" t="n"/>
      <c r="E1073" s="48" t="n"/>
      <c r="F1073" s="48" t="n"/>
      <c r="G1073" s="49" t="n"/>
      <c r="H1073" s="48" t="n"/>
      <c r="I1073" s="50" t="n"/>
      <c r="J1073" s="48" t="n"/>
      <c r="K1073" s="48" t="n"/>
      <c r="L1073" s="48" t="n"/>
      <c r="M1073" s="48" t="n"/>
      <c r="N1073" s="48" t="n"/>
      <c r="O1073" s="51">
        <f>IF(AND(B1073="",G1073="",C1073="",D1073="",J1073=""),"",IF(B1073="","⚠ Falta fecha",IF(G1073="","⚠ Falta monto",IF(Q1073="","⚠ Falta cuenta",IF(ISNA(MATCH(Q1073,ctaNombre,0)),"⚠ Cuenta no registrada",IF(AND(OR(P1073="Gasto",P1073="Reembolso"),D1073=""),"⚠ Falta categoría",IF(AND(D1073&lt;&gt;"",E1073&lt;&gt;"",ISNA(MATCH(D1073&amp;"|"&amp;E1073,catClave,0))),"⚠ Subcategoría no corresponde",IF(AND(OR(P1073="Transferencia",P1073="Pago tarjeta"),K1073=""),"⚠ Falta cuenta destino",IF(AND(K1073&lt;&gt;"",P1073&lt;&gt;"Transferencia",P1073&lt;&gt;"Pago tarjeta"),"⚠ Destino solo aplica a transferencias",IF(AND(K1073&lt;&gt;"",K1073=Q1073),"⚠ Origen igual a destino",IF(AND(K1073&lt;&gt;"",ISNA(MATCH(K1073,ctaNombre,0))),"⚠ Destino no registrado",IF(AND(P1073="Pago tarjeta",AE1073&lt;&gt;"Tarjeta de crédito"),"⚠ El destino debe ser tarjeta de crédito",IF(AND(P1073="Gasto",E1073="Depósitos y retiros"),"⚠ Usa tipo Transferencia",IF(AND(P1073="Resultado trading",AD1073&lt;&gt;"Cuenta de trading"),"⚠ Usa una cuenta de trading",IF(AND(G1073&lt;=0,P1073&lt;&gt;"Ajuste",P1073&lt;&gt;"Resultado trading"),"⚠ El monto debe ser positivo","✓")))))))))))))))</f>
        <v/>
      </c>
      <c r="P1073" s="52">
        <f>IF(OR(B1073="",G1073=""),"",IF(C1073="","Gasto",C1073))</f>
        <v/>
      </c>
      <c r="Q1073" s="52">
        <f>IF(P1073="","",IF(J1073&lt;&gt;"",J1073,CuentaPred&amp;""))</f>
        <v/>
      </c>
      <c r="R1073" s="52">
        <f>IF(P1073="","",IF(ISNUMBER(I1073),I1073,TasaUSD))</f>
        <v/>
      </c>
      <c r="S1073" s="53">
        <f>IF(P1073="","",IF(H1073="USD",G1073*R1073,G1073))</f>
        <v/>
      </c>
      <c r="T1073" s="53">
        <f>IF(P1073="","",IF(H1073="USD",G1073,IF(R1073&gt;0,G1073/R1073,0)))</f>
        <v/>
      </c>
      <c r="U1073" s="53">
        <f>IF(P1073="","",IF(P1073="Gasto",S1073,IF(P1073="Reembolso",-S1073,0)))</f>
        <v/>
      </c>
      <c r="V1073" s="53">
        <f>IF(P1073="","",IF(P1073="Ingreso",S1073,0))</f>
        <v/>
      </c>
      <c r="W1073" s="53">
        <f>IF(P1073="","",IF(P1073="Resultado trading",S1073,0))</f>
        <v/>
      </c>
      <c r="X1073" s="52">
        <f>IF(OR(P1073="Gasto",P1073="Reembolso"),IF(M1073&lt;&gt;"",M1073,IFERROR(INDEX(catClasif,MATCH(D1073&amp;"|"&amp;E1073,catClave,0))&amp;"","Variable")),"")</f>
        <v/>
      </c>
      <c r="Y1073" s="52">
        <f>IF(P1073="","",IFERROR(INDEX(catGrupo,MATCH(D1073&amp;"|"&amp;E1073,catClave,0))&amp;"",""))</f>
        <v/>
      </c>
      <c r="Z1073" s="52">
        <f>IF(P1073="","",WEEKDAY(B1073,2))</f>
        <v/>
      </c>
      <c r="AA1073" s="52">
        <f>IF(P1073="","",IF(AND(P1073="Gasto",X1073="Variable",D1073&lt;&gt;catTrading,S1073&gt;0,S1073&lt;=Umbral),1,0))</f>
        <v/>
      </c>
      <c r="AB1073" s="52">
        <f>IF(OR(P1073="",Q1073=""),"",IFERROR(IF(INDEX(ctaVinc,MATCH(Q1073,ctaNombre,0))&amp;""&lt;&gt;"",INDEX(ctaVinc,MATCH(Q1073,ctaNombre,0))&amp;"",Q1073),Q1073))</f>
        <v/>
      </c>
      <c r="AC1073" s="52">
        <f>IF(OR(K1073="",AND(P1073&lt;&gt;"Transferencia",P1073&lt;&gt;"Pago tarjeta")),"",IFERROR(IF(INDEX(ctaVinc,MATCH(K1073,ctaNombre,0))&amp;""&lt;&gt;"",INDEX(ctaVinc,MATCH(K1073,ctaNombre,0))&amp;"",K1073),K1073))</f>
        <v/>
      </c>
      <c r="AD1073" s="52">
        <f>IF(AB1073="","",IFERROR(INDEX(ctaTipo,MATCH(AB1073,ctaNombre,0))&amp;"",""))</f>
        <v/>
      </c>
      <c r="AE1073" s="52">
        <f>IF(AC1073="","",IFERROR(INDEX(ctaTipo,MATCH(AC1073,ctaNombre,0))&amp;"",""))</f>
        <v/>
      </c>
      <c r="AF1073" s="53">
        <f>IF(OR(P1073="",AB1073=""),"",IF(OR(P1073="Gasto",P1073="Transferencia",P1073="Pago tarjeta"),-1,1)*IF(IFERROR(INDEX(ctaMoneda,MATCH(AB1073,ctaNombre,0))&amp;"","DOP")="USD",T1073,S1073))</f>
        <v/>
      </c>
      <c r="AG1073" s="53">
        <f>IF(AC1073="","",IF(IFERROR(INDEX(ctaMoneda,MATCH(AC1073,ctaNombre,0))&amp;"","DOP")="USD",T1073,S1073))</f>
        <v/>
      </c>
      <c r="AH1073" s="53">
        <f>IF(P1073="","",IF(AND(AD1073&lt;&gt;"",COUNTIFS(tcTipo,AD1073,tcLiq,"Sí")&gt;0),IF(OR(P1073="Gasto",P1073="Transferencia",P1073="Pago tarjeta"),-1,1)*S1073,0)+IF(AND(AE1073&lt;&gt;"",COUNTIFS(tcTipo,AE1073,tcLiq,"Sí")&gt;0),S1073,0))</f>
        <v/>
      </c>
      <c r="AI1073" s="52">
        <f>IF(OR(L1073="",P1073=""),"",IF(COUNTIFS(L$6:L1073,L1073,P$6:P1073,"?*")=1,MAX(AI$5:AI1072)+1,""))</f>
        <v/>
      </c>
    </row>
    <row r="1074">
      <c r="B1074" s="47" t="n"/>
      <c r="C1074" s="48" t="n"/>
      <c r="D1074" s="48" t="n"/>
      <c r="E1074" s="48" t="n"/>
      <c r="F1074" s="48" t="n"/>
      <c r="G1074" s="49" t="n"/>
      <c r="H1074" s="48" t="n"/>
      <c r="I1074" s="50" t="n"/>
      <c r="J1074" s="48" t="n"/>
      <c r="K1074" s="48" t="n"/>
      <c r="L1074" s="48" t="n"/>
      <c r="M1074" s="48" t="n"/>
      <c r="N1074" s="48" t="n"/>
      <c r="O1074" s="51">
        <f>IF(AND(B1074="",G1074="",C1074="",D1074="",J1074=""),"",IF(B1074="","⚠ Falta fecha",IF(G1074="","⚠ Falta monto",IF(Q1074="","⚠ Falta cuenta",IF(ISNA(MATCH(Q1074,ctaNombre,0)),"⚠ Cuenta no registrada",IF(AND(OR(P1074="Gasto",P1074="Reembolso"),D1074=""),"⚠ Falta categoría",IF(AND(D1074&lt;&gt;"",E1074&lt;&gt;"",ISNA(MATCH(D1074&amp;"|"&amp;E1074,catClave,0))),"⚠ Subcategoría no corresponde",IF(AND(OR(P1074="Transferencia",P1074="Pago tarjeta"),K1074=""),"⚠ Falta cuenta destino",IF(AND(K1074&lt;&gt;"",P1074&lt;&gt;"Transferencia",P1074&lt;&gt;"Pago tarjeta"),"⚠ Destino solo aplica a transferencias",IF(AND(K1074&lt;&gt;"",K1074=Q1074),"⚠ Origen igual a destino",IF(AND(K1074&lt;&gt;"",ISNA(MATCH(K1074,ctaNombre,0))),"⚠ Destino no registrado",IF(AND(P1074="Pago tarjeta",AE1074&lt;&gt;"Tarjeta de crédito"),"⚠ El destino debe ser tarjeta de crédito",IF(AND(P1074="Gasto",E1074="Depósitos y retiros"),"⚠ Usa tipo Transferencia",IF(AND(P1074="Resultado trading",AD1074&lt;&gt;"Cuenta de trading"),"⚠ Usa una cuenta de trading",IF(AND(G1074&lt;=0,P1074&lt;&gt;"Ajuste",P1074&lt;&gt;"Resultado trading"),"⚠ El monto debe ser positivo","✓")))))))))))))))</f>
        <v/>
      </c>
      <c r="P1074" s="52">
        <f>IF(OR(B1074="",G1074=""),"",IF(C1074="","Gasto",C1074))</f>
        <v/>
      </c>
      <c r="Q1074" s="52">
        <f>IF(P1074="","",IF(J1074&lt;&gt;"",J1074,CuentaPred&amp;""))</f>
        <v/>
      </c>
      <c r="R1074" s="52">
        <f>IF(P1074="","",IF(ISNUMBER(I1074),I1074,TasaUSD))</f>
        <v/>
      </c>
      <c r="S1074" s="53">
        <f>IF(P1074="","",IF(H1074="USD",G1074*R1074,G1074))</f>
        <v/>
      </c>
      <c r="T1074" s="53">
        <f>IF(P1074="","",IF(H1074="USD",G1074,IF(R1074&gt;0,G1074/R1074,0)))</f>
        <v/>
      </c>
      <c r="U1074" s="53">
        <f>IF(P1074="","",IF(P1074="Gasto",S1074,IF(P1074="Reembolso",-S1074,0)))</f>
        <v/>
      </c>
      <c r="V1074" s="53">
        <f>IF(P1074="","",IF(P1074="Ingreso",S1074,0))</f>
        <v/>
      </c>
      <c r="W1074" s="53">
        <f>IF(P1074="","",IF(P1074="Resultado trading",S1074,0))</f>
        <v/>
      </c>
      <c r="X1074" s="52">
        <f>IF(OR(P1074="Gasto",P1074="Reembolso"),IF(M1074&lt;&gt;"",M1074,IFERROR(INDEX(catClasif,MATCH(D1074&amp;"|"&amp;E1074,catClave,0))&amp;"","Variable")),"")</f>
        <v/>
      </c>
      <c r="Y1074" s="52">
        <f>IF(P1074="","",IFERROR(INDEX(catGrupo,MATCH(D1074&amp;"|"&amp;E1074,catClave,0))&amp;"",""))</f>
        <v/>
      </c>
      <c r="Z1074" s="52">
        <f>IF(P1074="","",WEEKDAY(B1074,2))</f>
        <v/>
      </c>
      <c r="AA1074" s="52">
        <f>IF(P1074="","",IF(AND(P1074="Gasto",X1074="Variable",D1074&lt;&gt;catTrading,S1074&gt;0,S1074&lt;=Umbral),1,0))</f>
        <v/>
      </c>
      <c r="AB1074" s="52">
        <f>IF(OR(P1074="",Q1074=""),"",IFERROR(IF(INDEX(ctaVinc,MATCH(Q1074,ctaNombre,0))&amp;""&lt;&gt;"",INDEX(ctaVinc,MATCH(Q1074,ctaNombre,0))&amp;"",Q1074),Q1074))</f>
        <v/>
      </c>
      <c r="AC1074" s="52">
        <f>IF(OR(K1074="",AND(P1074&lt;&gt;"Transferencia",P1074&lt;&gt;"Pago tarjeta")),"",IFERROR(IF(INDEX(ctaVinc,MATCH(K1074,ctaNombre,0))&amp;""&lt;&gt;"",INDEX(ctaVinc,MATCH(K1074,ctaNombre,0))&amp;"",K1074),K1074))</f>
        <v/>
      </c>
      <c r="AD1074" s="52">
        <f>IF(AB1074="","",IFERROR(INDEX(ctaTipo,MATCH(AB1074,ctaNombre,0))&amp;"",""))</f>
        <v/>
      </c>
      <c r="AE1074" s="52">
        <f>IF(AC1074="","",IFERROR(INDEX(ctaTipo,MATCH(AC1074,ctaNombre,0))&amp;"",""))</f>
        <v/>
      </c>
      <c r="AF1074" s="53">
        <f>IF(OR(P1074="",AB1074=""),"",IF(OR(P1074="Gasto",P1074="Transferencia",P1074="Pago tarjeta"),-1,1)*IF(IFERROR(INDEX(ctaMoneda,MATCH(AB1074,ctaNombre,0))&amp;"","DOP")="USD",T1074,S1074))</f>
        <v/>
      </c>
      <c r="AG1074" s="53">
        <f>IF(AC1074="","",IF(IFERROR(INDEX(ctaMoneda,MATCH(AC1074,ctaNombre,0))&amp;"","DOP")="USD",T1074,S1074))</f>
        <v/>
      </c>
      <c r="AH1074" s="53">
        <f>IF(P1074="","",IF(AND(AD1074&lt;&gt;"",COUNTIFS(tcTipo,AD1074,tcLiq,"Sí")&gt;0),IF(OR(P1074="Gasto",P1074="Transferencia",P1074="Pago tarjeta"),-1,1)*S1074,0)+IF(AND(AE1074&lt;&gt;"",COUNTIFS(tcTipo,AE1074,tcLiq,"Sí")&gt;0),S1074,0))</f>
        <v/>
      </c>
      <c r="AI1074" s="52">
        <f>IF(OR(L1074="",P1074=""),"",IF(COUNTIFS(L$6:L1074,L1074,P$6:P1074,"?*")=1,MAX(AI$5:AI1073)+1,""))</f>
        <v/>
      </c>
    </row>
    <row r="1075">
      <c r="B1075" s="47" t="n"/>
      <c r="C1075" s="48" t="n"/>
      <c r="D1075" s="48" t="n"/>
      <c r="E1075" s="48" t="n"/>
      <c r="F1075" s="48" t="n"/>
      <c r="G1075" s="49" t="n"/>
      <c r="H1075" s="48" t="n"/>
      <c r="I1075" s="50" t="n"/>
      <c r="J1075" s="48" t="n"/>
      <c r="K1075" s="48" t="n"/>
      <c r="L1075" s="48" t="n"/>
      <c r="M1075" s="48" t="n"/>
      <c r="N1075" s="48" t="n"/>
      <c r="O1075" s="51">
        <f>IF(AND(B1075="",G1075="",C1075="",D1075="",J1075=""),"",IF(B1075="","⚠ Falta fecha",IF(G1075="","⚠ Falta monto",IF(Q1075="","⚠ Falta cuenta",IF(ISNA(MATCH(Q1075,ctaNombre,0)),"⚠ Cuenta no registrada",IF(AND(OR(P1075="Gasto",P1075="Reembolso"),D1075=""),"⚠ Falta categoría",IF(AND(D1075&lt;&gt;"",E1075&lt;&gt;"",ISNA(MATCH(D1075&amp;"|"&amp;E1075,catClave,0))),"⚠ Subcategoría no corresponde",IF(AND(OR(P1075="Transferencia",P1075="Pago tarjeta"),K1075=""),"⚠ Falta cuenta destino",IF(AND(K1075&lt;&gt;"",P1075&lt;&gt;"Transferencia",P1075&lt;&gt;"Pago tarjeta"),"⚠ Destino solo aplica a transferencias",IF(AND(K1075&lt;&gt;"",K1075=Q1075),"⚠ Origen igual a destino",IF(AND(K1075&lt;&gt;"",ISNA(MATCH(K1075,ctaNombre,0))),"⚠ Destino no registrado",IF(AND(P1075="Pago tarjeta",AE1075&lt;&gt;"Tarjeta de crédito"),"⚠ El destino debe ser tarjeta de crédito",IF(AND(P1075="Gasto",E1075="Depósitos y retiros"),"⚠ Usa tipo Transferencia",IF(AND(P1075="Resultado trading",AD1075&lt;&gt;"Cuenta de trading"),"⚠ Usa una cuenta de trading",IF(AND(G1075&lt;=0,P1075&lt;&gt;"Ajuste",P1075&lt;&gt;"Resultado trading"),"⚠ El monto debe ser positivo","✓")))))))))))))))</f>
        <v/>
      </c>
      <c r="P1075" s="52">
        <f>IF(OR(B1075="",G1075=""),"",IF(C1075="","Gasto",C1075))</f>
        <v/>
      </c>
      <c r="Q1075" s="52">
        <f>IF(P1075="","",IF(J1075&lt;&gt;"",J1075,CuentaPred&amp;""))</f>
        <v/>
      </c>
      <c r="R1075" s="52">
        <f>IF(P1075="","",IF(ISNUMBER(I1075),I1075,TasaUSD))</f>
        <v/>
      </c>
      <c r="S1075" s="53">
        <f>IF(P1075="","",IF(H1075="USD",G1075*R1075,G1075))</f>
        <v/>
      </c>
      <c r="T1075" s="53">
        <f>IF(P1075="","",IF(H1075="USD",G1075,IF(R1075&gt;0,G1075/R1075,0)))</f>
        <v/>
      </c>
      <c r="U1075" s="53">
        <f>IF(P1075="","",IF(P1075="Gasto",S1075,IF(P1075="Reembolso",-S1075,0)))</f>
        <v/>
      </c>
      <c r="V1075" s="53">
        <f>IF(P1075="","",IF(P1075="Ingreso",S1075,0))</f>
        <v/>
      </c>
      <c r="W1075" s="53">
        <f>IF(P1075="","",IF(P1075="Resultado trading",S1075,0))</f>
        <v/>
      </c>
      <c r="X1075" s="52">
        <f>IF(OR(P1075="Gasto",P1075="Reembolso"),IF(M1075&lt;&gt;"",M1075,IFERROR(INDEX(catClasif,MATCH(D1075&amp;"|"&amp;E1075,catClave,0))&amp;"","Variable")),"")</f>
        <v/>
      </c>
      <c r="Y1075" s="52">
        <f>IF(P1075="","",IFERROR(INDEX(catGrupo,MATCH(D1075&amp;"|"&amp;E1075,catClave,0))&amp;"",""))</f>
        <v/>
      </c>
      <c r="Z1075" s="52">
        <f>IF(P1075="","",WEEKDAY(B1075,2))</f>
        <v/>
      </c>
      <c r="AA1075" s="52">
        <f>IF(P1075="","",IF(AND(P1075="Gasto",X1075="Variable",D1075&lt;&gt;catTrading,S1075&gt;0,S1075&lt;=Umbral),1,0))</f>
        <v/>
      </c>
      <c r="AB1075" s="52">
        <f>IF(OR(P1075="",Q1075=""),"",IFERROR(IF(INDEX(ctaVinc,MATCH(Q1075,ctaNombre,0))&amp;""&lt;&gt;"",INDEX(ctaVinc,MATCH(Q1075,ctaNombre,0))&amp;"",Q1075),Q1075))</f>
        <v/>
      </c>
      <c r="AC1075" s="52">
        <f>IF(OR(K1075="",AND(P1075&lt;&gt;"Transferencia",P1075&lt;&gt;"Pago tarjeta")),"",IFERROR(IF(INDEX(ctaVinc,MATCH(K1075,ctaNombre,0))&amp;""&lt;&gt;"",INDEX(ctaVinc,MATCH(K1075,ctaNombre,0))&amp;"",K1075),K1075))</f>
        <v/>
      </c>
      <c r="AD1075" s="52">
        <f>IF(AB1075="","",IFERROR(INDEX(ctaTipo,MATCH(AB1075,ctaNombre,0))&amp;"",""))</f>
        <v/>
      </c>
      <c r="AE1075" s="52">
        <f>IF(AC1075="","",IFERROR(INDEX(ctaTipo,MATCH(AC1075,ctaNombre,0))&amp;"",""))</f>
        <v/>
      </c>
      <c r="AF1075" s="53">
        <f>IF(OR(P1075="",AB1075=""),"",IF(OR(P1075="Gasto",P1075="Transferencia",P1075="Pago tarjeta"),-1,1)*IF(IFERROR(INDEX(ctaMoneda,MATCH(AB1075,ctaNombre,0))&amp;"","DOP")="USD",T1075,S1075))</f>
        <v/>
      </c>
      <c r="AG1075" s="53">
        <f>IF(AC1075="","",IF(IFERROR(INDEX(ctaMoneda,MATCH(AC1075,ctaNombre,0))&amp;"","DOP")="USD",T1075,S1075))</f>
        <v/>
      </c>
      <c r="AH1075" s="53">
        <f>IF(P1075="","",IF(AND(AD1075&lt;&gt;"",COUNTIFS(tcTipo,AD1075,tcLiq,"Sí")&gt;0),IF(OR(P1075="Gasto",P1075="Transferencia",P1075="Pago tarjeta"),-1,1)*S1075,0)+IF(AND(AE1075&lt;&gt;"",COUNTIFS(tcTipo,AE1075,tcLiq,"Sí")&gt;0),S1075,0))</f>
        <v/>
      </c>
      <c r="AI1075" s="52">
        <f>IF(OR(L1075="",P1075=""),"",IF(COUNTIFS(L$6:L1075,L1075,P$6:P1075,"?*")=1,MAX(AI$5:AI1074)+1,""))</f>
        <v/>
      </c>
    </row>
    <row r="1076">
      <c r="B1076" s="47" t="n"/>
      <c r="C1076" s="48" t="n"/>
      <c r="D1076" s="48" t="n"/>
      <c r="E1076" s="48" t="n"/>
      <c r="F1076" s="48" t="n"/>
      <c r="G1076" s="49" t="n"/>
      <c r="H1076" s="48" t="n"/>
      <c r="I1076" s="50" t="n"/>
      <c r="J1076" s="48" t="n"/>
      <c r="K1076" s="48" t="n"/>
      <c r="L1076" s="48" t="n"/>
      <c r="M1076" s="48" t="n"/>
      <c r="N1076" s="48" t="n"/>
      <c r="O1076" s="51">
        <f>IF(AND(B1076="",G1076="",C1076="",D1076="",J1076=""),"",IF(B1076="","⚠ Falta fecha",IF(G1076="","⚠ Falta monto",IF(Q1076="","⚠ Falta cuenta",IF(ISNA(MATCH(Q1076,ctaNombre,0)),"⚠ Cuenta no registrada",IF(AND(OR(P1076="Gasto",P1076="Reembolso"),D1076=""),"⚠ Falta categoría",IF(AND(D1076&lt;&gt;"",E1076&lt;&gt;"",ISNA(MATCH(D1076&amp;"|"&amp;E1076,catClave,0))),"⚠ Subcategoría no corresponde",IF(AND(OR(P1076="Transferencia",P1076="Pago tarjeta"),K1076=""),"⚠ Falta cuenta destino",IF(AND(K1076&lt;&gt;"",P1076&lt;&gt;"Transferencia",P1076&lt;&gt;"Pago tarjeta"),"⚠ Destino solo aplica a transferencias",IF(AND(K1076&lt;&gt;"",K1076=Q1076),"⚠ Origen igual a destino",IF(AND(K1076&lt;&gt;"",ISNA(MATCH(K1076,ctaNombre,0))),"⚠ Destino no registrado",IF(AND(P1076="Pago tarjeta",AE1076&lt;&gt;"Tarjeta de crédito"),"⚠ El destino debe ser tarjeta de crédito",IF(AND(P1076="Gasto",E1076="Depósitos y retiros"),"⚠ Usa tipo Transferencia",IF(AND(P1076="Resultado trading",AD1076&lt;&gt;"Cuenta de trading"),"⚠ Usa una cuenta de trading",IF(AND(G1076&lt;=0,P1076&lt;&gt;"Ajuste",P1076&lt;&gt;"Resultado trading"),"⚠ El monto debe ser positivo","✓")))))))))))))))</f>
        <v/>
      </c>
      <c r="P1076" s="52">
        <f>IF(OR(B1076="",G1076=""),"",IF(C1076="","Gasto",C1076))</f>
        <v/>
      </c>
      <c r="Q1076" s="52">
        <f>IF(P1076="","",IF(J1076&lt;&gt;"",J1076,CuentaPred&amp;""))</f>
        <v/>
      </c>
      <c r="R1076" s="52">
        <f>IF(P1076="","",IF(ISNUMBER(I1076),I1076,TasaUSD))</f>
        <v/>
      </c>
      <c r="S1076" s="53">
        <f>IF(P1076="","",IF(H1076="USD",G1076*R1076,G1076))</f>
        <v/>
      </c>
      <c r="T1076" s="53">
        <f>IF(P1076="","",IF(H1076="USD",G1076,IF(R1076&gt;0,G1076/R1076,0)))</f>
        <v/>
      </c>
      <c r="U1076" s="53">
        <f>IF(P1076="","",IF(P1076="Gasto",S1076,IF(P1076="Reembolso",-S1076,0)))</f>
        <v/>
      </c>
      <c r="V1076" s="53">
        <f>IF(P1076="","",IF(P1076="Ingreso",S1076,0))</f>
        <v/>
      </c>
      <c r="W1076" s="53">
        <f>IF(P1076="","",IF(P1076="Resultado trading",S1076,0))</f>
        <v/>
      </c>
      <c r="X1076" s="52">
        <f>IF(OR(P1076="Gasto",P1076="Reembolso"),IF(M1076&lt;&gt;"",M1076,IFERROR(INDEX(catClasif,MATCH(D1076&amp;"|"&amp;E1076,catClave,0))&amp;"","Variable")),"")</f>
        <v/>
      </c>
      <c r="Y1076" s="52">
        <f>IF(P1076="","",IFERROR(INDEX(catGrupo,MATCH(D1076&amp;"|"&amp;E1076,catClave,0))&amp;"",""))</f>
        <v/>
      </c>
      <c r="Z1076" s="52">
        <f>IF(P1076="","",WEEKDAY(B1076,2))</f>
        <v/>
      </c>
      <c r="AA1076" s="52">
        <f>IF(P1076="","",IF(AND(P1076="Gasto",X1076="Variable",D1076&lt;&gt;catTrading,S1076&gt;0,S1076&lt;=Umbral),1,0))</f>
        <v/>
      </c>
      <c r="AB1076" s="52">
        <f>IF(OR(P1076="",Q1076=""),"",IFERROR(IF(INDEX(ctaVinc,MATCH(Q1076,ctaNombre,0))&amp;""&lt;&gt;"",INDEX(ctaVinc,MATCH(Q1076,ctaNombre,0))&amp;"",Q1076),Q1076))</f>
        <v/>
      </c>
      <c r="AC1076" s="52">
        <f>IF(OR(K1076="",AND(P1076&lt;&gt;"Transferencia",P1076&lt;&gt;"Pago tarjeta")),"",IFERROR(IF(INDEX(ctaVinc,MATCH(K1076,ctaNombre,0))&amp;""&lt;&gt;"",INDEX(ctaVinc,MATCH(K1076,ctaNombre,0))&amp;"",K1076),K1076))</f>
        <v/>
      </c>
      <c r="AD1076" s="52">
        <f>IF(AB1076="","",IFERROR(INDEX(ctaTipo,MATCH(AB1076,ctaNombre,0))&amp;"",""))</f>
        <v/>
      </c>
      <c r="AE1076" s="52">
        <f>IF(AC1076="","",IFERROR(INDEX(ctaTipo,MATCH(AC1076,ctaNombre,0))&amp;"",""))</f>
        <v/>
      </c>
      <c r="AF1076" s="53">
        <f>IF(OR(P1076="",AB1076=""),"",IF(OR(P1076="Gasto",P1076="Transferencia",P1076="Pago tarjeta"),-1,1)*IF(IFERROR(INDEX(ctaMoneda,MATCH(AB1076,ctaNombre,0))&amp;"","DOP")="USD",T1076,S1076))</f>
        <v/>
      </c>
      <c r="AG1076" s="53">
        <f>IF(AC1076="","",IF(IFERROR(INDEX(ctaMoneda,MATCH(AC1076,ctaNombre,0))&amp;"","DOP")="USD",T1076,S1076))</f>
        <v/>
      </c>
      <c r="AH1076" s="53">
        <f>IF(P1076="","",IF(AND(AD1076&lt;&gt;"",COUNTIFS(tcTipo,AD1076,tcLiq,"Sí")&gt;0),IF(OR(P1076="Gasto",P1076="Transferencia",P1076="Pago tarjeta"),-1,1)*S1076,0)+IF(AND(AE1076&lt;&gt;"",COUNTIFS(tcTipo,AE1076,tcLiq,"Sí")&gt;0),S1076,0))</f>
        <v/>
      </c>
      <c r="AI1076" s="52">
        <f>IF(OR(L1076="",P1076=""),"",IF(COUNTIFS(L$6:L1076,L1076,P$6:P1076,"?*")=1,MAX(AI$5:AI1075)+1,""))</f>
        <v/>
      </c>
    </row>
    <row r="1077">
      <c r="B1077" s="47" t="n"/>
      <c r="C1077" s="48" t="n"/>
      <c r="D1077" s="48" t="n"/>
      <c r="E1077" s="48" t="n"/>
      <c r="F1077" s="48" t="n"/>
      <c r="G1077" s="49" t="n"/>
      <c r="H1077" s="48" t="n"/>
      <c r="I1077" s="50" t="n"/>
      <c r="J1077" s="48" t="n"/>
      <c r="K1077" s="48" t="n"/>
      <c r="L1077" s="48" t="n"/>
      <c r="M1077" s="48" t="n"/>
      <c r="N1077" s="48" t="n"/>
      <c r="O1077" s="51">
        <f>IF(AND(B1077="",G1077="",C1077="",D1077="",J1077=""),"",IF(B1077="","⚠ Falta fecha",IF(G1077="","⚠ Falta monto",IF(Q1077="","⚠ Falta cuenta",IF(ISNA(MATCH(Q1077,ctaNombre,0)),"⚠ Cuenta no registrada",IF(AND(OR(P1077="Gasto",P1077="Reembolso"),D1077=""),"⚠ Falta categoría",IF(AND(D1077&lt;&gt;"",E1077&lt;&gt;"",ISNA(MATCH(D1077&amp;"|"&amp;E1077,catClave,0))),"⚠ Subcategoría no corresponde",IF(AND(OR(P1077="Transferencia",P1077="Pago tarjeta"),K1077=""),"⚠ Falta cuenta destino",IF(AND(K1077&lt;&gt;"",P1077&lt;&gt;"Transferencia",P1077&lt;&gt;"Pago tarjeta"),"⚠ Destino solo aplica a transferencias",IF(AND(K1077&lt;&gt;"",K1077=Q1077),"⚠ Origen igual a destino",IF(AND(K1077&lt;&gt;"",ISNA(MATCH(K1077,ctaNombre,0))),"⚠ Destino no registrado",IF(AND(P1077="Pago tarjeta",AE1077&lt;&gt;"Tarjeta de crédito"),"⚠ El destino debe ser tarjeta de crédito",IF(AND(P1077="Gasto",E1077="Depósitos y retiros"),"⚠ Usa tipo Transferencia",IF(AND(P1077="Resultado trading",AD1077&lt;&gt;"Cuenta de trading"),"⚠ Usa una cuenta de trading",IF(AND(G1077&lt;=0,P1077&lt;&gt;"Ajuste",P1077&lt;&gt;"Resultado trading"),"⚠ El monto debe ser positivo","✓")))))))))))))))</f>
        <v/>
      </c>
      <c r="P1077" s="52">
        <f>IF(OR(B1077="",G1077=""),"",IF(C1077="","Gasto",C1077))</f>
        <v/>
      </c>
      <c r="Q1077" s="52">
        <f>IF(P1077="","",IF(J1077&lt;&gt;"",J1077,CuentaPred&amp;""))</f>
        <v/>
      </c>
      <c r="R1077" s="52">
        <f>IF(P1077="","",IF(ISNUMBER(I1077),I1077,TasaUSD))</f>
        <v/>
      </c>
      <c r="S1077" s="53">
        <f>IF(P1077="","",IF(H1077="USD",G1077*R1077,G1077))</f>
        <v/>
      </c>
      <c r="T1077" s="53">
        <f>IF(P1077="","",IF(H1077="USD",G1077,IF(R1077&gt;0,G1077/R1077,0)))</f>
        <v/>
      </c>
      <c r="U1077" s="53">
        <f>IF(P1077="","",IF(P1077="Gasto",S1077,IF(P1077="Reembolso",-S1077,0)))</f>
        <v/>
      </c>
      <c r="V1077" s="53">
        <f>IF(P1077="","",IF(P1077="Ingreso",S1077,0))</f>
        <v/>
      </c>
      <c r="W1077" s="53">
        <f>IF(P1077="","",IF(P1077="Resultado trading",S1077,0))</f>
        <v/>
      </c>
      <c r="X1077" s="52">
        <f>IF(OR(P1077="Gasto",P1077="Reembolso"),IF(M1077&lt;&gt;"",M1077,IFERROR(INDEX(catClasif,MATCH(D1077&amp;"|"&amp;E1077,catClave,0))&amp;"","Variable")),"")</f>
        <v/>
      </c>
      <c r="Y1077" s="52">
        <f>IF(P1077="","",IFERROR(INDEX(catGrupo,MATCH(D1077&amp;"|"&amp;E1077,catClave,0))&amp;"",""))</f>
        <v/>
      </c>
      <c r="Z1077" s="52">
        <f>IF(P1077="","",WEEKDAY(B1077,2))</f>
        <v/>
      </c>
      <c r="AA1077" s="52">
        <f>IF(P1077="","",IF(AND(P1077="Gasto",X1077="Variable",D1077&lt;&gt;catTrading,S1077&gt;0,S1077&lt;=Umbral),1,0))</f>
        <v/>
      </c>
      <c r="AB1077" s="52">
        <f>IF(OR(P1077="",Q1077=""),"",IFERROR(IF(INDEX(ctaVinc,MATCH(Q1077,ctaNombre,0))&amp;""&lt;&gt;"",INDEX(ctaVinc,MATCH(Q1077,ctaNombre,0))&amp;"",Q1077),Q1077))</f>
        <v/>
      </c>
      <c r="AC1077" s="52">
        <f>IF(OR(K1077="",AND(P1077&lt;&gt;"Transferencia",P1077&lt;&gt;"Pago tarjeta")),"",IFERROR(IF(INDEX(ctaVinc,MATCH(K1077,ctaNombre,0))&amp;""&lt;&gt;"",INDEX(ctaVinc,MATCH(K1077,ctaNombre,0))&amp;"",K1077),K1077))</f>
        <v/>
      </c>
      <c r="AD1077" s="52">
        <f>IF(AB1077="","",IFERROR(INDEX(ctaTipo,MATCH(AB1077,ctaNombre,0))&amp;"",""))</f>
        <v/>
      </c>
      <c r="AE1077" s="52">
        <f>IF(AC1077="","",IFERROR(INDEX(ctaTipo,MATCH(AC1077,ctaNombre,0))&amp;"",""))</f>
        <v/>
      </c>
      <c r="AF1077" s="53">
        <f>IF(OR(P1077="",AB1077=""),"",IF(OR(P1077="Gasto",P1077="Transferencia",P1077="Pago tarjeta"),-1,1)*IF(IFERROR(INDEX(ctaMoneda,MATCH(AB1077,ctaNombre,0))&amp;"","DOP")="USD",T1077,S1077))</f>
        <v/>
      </c>
      <c r="AG1077" s="53">
        <f>IF(AC1077="","",IF(IFERROR(INDEX(ctaMoneda,MATCH(AC1077,ctaNombre,0))&amp;"","DOP")="USD",T1077,S1077))</f>
        <v/>
      </c>
      <c r="AH1077" s="53">
        <f>IF(P1077="","",IF(AND(AD1077&lt;&gt;"",COUNTIFS(tcTipo,AD1077,tcLiq,"Sí")&gt;0),IF(OR(P1077="Gasto",P1077="Transferencia",P1077="Pago tarjeta"),-1,1)*S1077,0)+IF(AND(AE1077&lt;&gt;"",COUNTIFS(tcTipo,AE1077,tcLiq,"Sí")&gt;0),S1077,0))</f>
        <v/>
      </c>
      <c r="AI1077" s="52">
        <f>IF(OR(L1077="",P1077=""),"",IF(COUNTIFS(L$6:L1077,L1077,P$6:P1077,"?*")=1,MAX(AI$5:AI1076)+1,""))</f>
        <v/>
      </c>
    </row>
    <row r="1078">
      <c r="B1078" s="47" t="n"/>
      <c r="C1078" s="48" t="n"/>
      <c r="D1078" s="48" t="n"/>
      <c r="E1078" s="48" t="n"/>
      <c r="F1078" s="48" t="n"/>
      <c r="G1078" s="49" t="n"/>
      <c r="H1078" s="48" t="n"/>
      <c r="I1078" s="50" t="n"/>
      <c r="J1078" s="48" t="n"/>
      <c r="K1078" s="48" t="n"/>
      <c r="L1078" s="48" t="n"/>
      <c r="M1078" s="48" t="n"/>
      <c r="N1078" s="48" t="n"/>
      <c r="O1078" s="51">
        <f>IF(AND(B1078="",G1078="",C1078="",D1078="",J1078=""),"",IF(B1078="","⚠ Falta fecha",IF(G1078="","⚠ Falta monto",IF(Q1078="","⚠ Falta cuenta",IF(ISNA(MATCH(Q1078,ctaNombre,0)),"⚠ Cuenta no registrada",IF(AND(OR(P1078="Gasto",P1078="Reembolso"),D1078=""),"⚠ Falta categoría",IF(AND(D1078&lt;&gt;"",E1078&lt;&gt;"",ISNA(MATCH(D1078&amp;"|"&amp;E1078,catClave,0))),"⚠ Subcategoría no corresponde",IF(AND(OR(P1078="Transferencia",P1078="Pago tarjeta"),K1078=""),"⚠ Falta cuenta destino",IF(AND(K1078&lt;&gt;"",P1078&lt;&gt;"Transferencia",P1078&lt;&gt;"Pago tarjeta"),"⚠ Destino solo aplica a transferencias",IF(AND(K1078&lt;&gt;"",K1078=Q1078),"⚠ Origen igual a destino",IF(AND(K1078&lt;&gt;"",ISNA(MATCH(K1078,ctaNombre,0))),"⚠ Destino no registrado",IF(AND(P1078="Pago tarjeta",AE1078&lt;&gt;"Tarjeta de crédito"),"⚠ El destino debe ser tarjeta de crédito",IF(AND(P1078="Gasto",E1078="Depósitos y retiros"),"⚠ Usa tipo Transferencia",IF(AND(P1078="Resultado trading",AD1078&lt;&gt;"Cuenta de trading"),"⚠ Usa una cuenta de trading",IF(AND(G1078&lt;=0,P1078&lt;&gt;"Ajuste",P1078&lt;&gt;"Resultado trading"),"⚠ El monto debe ser positivo","✓")))))))))))))))</f>
        <v/>
      </c>
      <c r="P1078" s="52">
        <f>IF(OR(B1078="",G1078=""),"",IF(C1078="","Gasto",C1078))</f>
        <v/>
      </c>
      <c r="Q1078" s="52">
        <f>IF(P1078="","",IF(J1078&lt;&gt;"",J1078,CuentaPred&amp;""))</f>
        <v/>
      </c>
      <c r="R1078" s="52">
        <f>IF(P1078="","",IF(ISNUMBER(I1078),I1078,TasaUSD))</f>
        <v/>
      </c>
      <c r="S1078" s="53">
        <f>IF(P1078="","",IF(H1078="USD",G1078*R1078,G1078))</f>
        <v/>
      </c>
      <c r="T1078" s="53">
        <f>IF(P1078="","",IF(H1078="USD",G1078,IF(R1078&gt;0,G1078/R1078,0)))</f>
        <v/>
      </c>
      <c r="U1078" s="53">
        <f>IF(P1078="","",IF(P1078="Gasto",S1078,IF(P1078="Reembolso",-S1078,0)))</f>
        <v/>
      </c>
      <c r="V1078" s="53">
        <f>IF(P1078="","",IF(P1078="Ingreso",S1078,0))</f>
        <v/>
      </c>
      <c r="W1078" s="53">
        <f>IF(P1078="","",IF(P1078="Resultado trading",S1078,0))</f>
        <v/>
      </c>
      <c r="X1078" s="52">
        <f>IF(OR(P1078="Gasto",P1078="Reembolso"),IF(M1078&lt;&gt;"",M1078,IFERROR(INDEX(catClasif,MATCH(D1078&amp;"|"&amp;E1078,catClave,0))&amp;"","Variable")),"")</f>
        <v/>
      </c>
      <c r="Y1078" s="52">
        <f>IF(P1078="","",IFERROR(INDEX(catGrupo,MATCH(D1078&amp;"|"&amp;E1078,catClave,0))&amp;"",""))</f>
        <v/>
      </c>
      <c r="Z1078" s="52">
        <f>IF(P1078="","",WEEKDAY(B1078,2))</f>
        <v/>
      </c>
      <c r="AA1078" s="52">
        <f>IF(P1078="","",IF(AND(P1078="Gasto",X1078="Variable",D1078&lt;&gt;catTrading,S1078&gt;0,S1078&lt;=Umbral),1,0))</f>
        <v/>
      </c>
      <c r="AB1078" s="52">
        <f>IF(OR(P1078="",Q1078=""),"",IFERROR(IF(INDEX(ctaVinc,MATCH(Q1078,ctaNombre,0))&amp;""&lt;&gt;"",INDEX(ctaVinc,MATCH(Q1078,ctaNombre,0))&amp;"",Q1078),Q1078))</f>
        <v/>
      </c>
      <c r="AC1078" s="52">
        <f>IF(OR(K1078="",AND(P1078&lt;&gt;"Transferencia",P1078&lt;&gt;"Pago tarjeta")),"",IFERROR(IF(INDEX(ctaVinc,MATCH(K1078,ctaNombre,0))&amp;""&lt;&gt;"",INDEX(ctaVinc,MATCH(K1078,ctaNombre,0))&amp;"",K1078),K1078))</f>
        <v/>
      </c>
      <c r="AD1078" s="52">
        <f>IF(AB1078="","",IFERROR(INDEX(ctaTipo,MATCH(AB1078,ctaNombre,0))&amp;"",""))</f>
        <v/>
      </c>
      <c r="AE1078" s="52">
        <f>IF(AC1078="","",IFERROR(INDEX(ctaTipo,MATCH(AC1078,ctaNombre,0))&amp;"",""))</f>
        <v/>
      </c>
      <c r="AF1078" s="53">
        <f>IF(OR(P1078="",AB1078=""),"",IF(OR(P1078="Gasto",P1078="Transferencia",P1078="Pago tarjeta"),-1,1)*IF(IFERROR(INDEX(ctaMoneda,MATCH(AB1078,ctaNombre,0))&amp;"","DOP")="USD",T1078,S1078))</f>
        <v/>
      </c>
      <c r="AG1078" s="53">
        <f>IF(AC1078="","",IF(IFERROR(INDEX(ctaMoneda,MATCH(AC1078,ctaNombre,0))&amp;"","DOP")="USD",T1078,S1078))</f>
        <v/>
      </c>
      <c r="AH1078" s="53">
        <f>IF(P1078="","",IF(AND(AD1078&lt;&gt;"",COUNTIFS(tcTipo,AD1078,tcLiq,"Sí")&gt;0),IF(OR(P1078="Gasto",P1078="Transferencia",P1078="Pago tarjeta"),-1,1)*S1078,0)+IF(AND(AE1078&lt;&gt;"",COUNTIFS(tcTipo,AE1078,tcLiq,"Sí")&gt;0),S1078,0))</f>
        <v/>
      </c>
      <c r="AI1078" s="52">
        <f>IF(OR(L1078="",P1078=""),"",IF(COUNTIFS(L$6:L1078,L1078,P$6:P1078,"?*")=1,MAX(AI$5:AI1077)+1,""))</f>
        <v/>
      </c>
    </row>
    <row r="1079">
      <c r="B1079" s="47" t="n"/>
      <c r="C1079" s="48" t="n"/>
      <c r="D1079" s="48" t="n"/>
      <c r="E1079" s="48" t="n"/>
      <c r="F1079" s="48" t="n"/>
      <c r="G1079" s="49" t="n"/>
      <c r="H1079" s="48" t="n"/>
      <c r="I1079" s="50" t="n"/>
      <c r="J1079" s="48" t="n"/>
      <c r="K1079" s="48" t="n"/>
      <c r="L1079" s="48" t="n"/>
      <c r="M1079" s="48" t="n"/>
      <c r="N1079" s="48" t="n"/>
      <c r="O1079" s="51">
        <f>IF(AND(B1079="",G1079="",C1079="",D1079="",J1079=""),"",IF(B1079="","⚠ Falta fecha",IF(G1079="","⚠ Falta monto",IF(Q1079="","⚠ Falta cuenta",IF(ISNA(MATCH(Q1079,ctaNombre,0)),"⚠ Cuenta no registrada",IF(AND(OR(P1079="Gasto",P1079="Reembolso"),D1079=""),"⚠ Falta categoría",IF(AND(D1079&lt;&gt;"",E1079&lt;&gt;"",ISNA(MATCH(D1079&amp;"|"&amp;E1079,catClave,0))),"⚠ Subcategoría no corresponde",IF(AND(OR(P1079="Transferencia",P1079="Pago tarjeta"),K1079=""),"⚠ Falta cuenta destino",IF(AND(K1079&lt;&gt;"",P1079&lt;&gt;"Transferencia",P1079&lt;&gt;"Pago tarjeta"),"⚠ Destino solo aplica a transferencias",IF(AND(K1079&lt;&gt;"",K1079=Q1079),"⚠ Origen igual a destino",IF(AND(K1079&lt;&gt;"",ISNA(MATCH(K1079,ctaNombre,0))),"⚠ Destino no registrado",IF(AND(P1079="Pago tarjeta",AE1079&lt;&gt;"Tarjeta de crédito"),"⚠ El destino debe ser tarjeta de crédito",IF(AND(P1079="Gasto",E1079="Depósitos y retiros"),"⚠ Usa tipo Transferencia",IF(AND(P1079="Resultado trading",AD1079&lt;&gt;"Cuenta de trading"),"⚠ Usa una cuenta de trading",IF(AND(G1079&lt;=0,P1079&lt;&gt;"Ajuste",P1079&lt;&gt;"Resultado trading"),"⚠ El monto debe ser positivo","✓")))))))))))))))</f>
        <v/>
      </c>
      <c r="P1079" s="52">
        <f>IF(OR(B1079="",G1079=""),"",IF(C1079="","Gasto",C1079))</f>
        <v/>
      </c>
      <c r="Q1079" s="52">
        <f>IF(P1079="","",IF(J1079&lt;&gt;"",J1079,CuentaPred&amp;""))</f>
        <v/>
      </c>
      <c r="R1079" s="52">
        <f>IF(P1079="","",IF(ISNUMBER(I1079),I1079,TasaUSD))</f>
        <v/>
      </c>
      <c r="S1079" s="53">
        <f>IF(P1079="","",IF(H1079="USD",G1079*R1079,G1079))</f>
        <v/>
      </c>
      <c r="T1079" s="53">
        <f>IF(P1079="","",IF(H1079="USD",G1079,IF(R1079&gt;0,G1079/R1079,0)))</f>
        <v/>
      </c>
      <c r="U1079" s="53">
        <f>IF(P1079="","",IF(P1079="Gasto",S1079,IF(P1079="Reembolso",-S1079,0)))</f>
        <v/>
      </c>
      <c r="V1079" s="53">
        <f>IF(P1079="","",IF(P1079="Ingreso",S1079,0))</f>
        <v/>
      </c>
      <c r="W1079" s="53">
        <f>IF(P1079="","",IF(P1079="Resultado trading",S1079,0))</f>
        <v/>
      </c>
      <c r="X1079" s="52">
        <f>IF(OR(P1079="Gasto",P1079="Reembolso"),IF(M1079&lt;&gt;"",M1079,IFERROR(INDEX(catClasif,MATCH(D1079&amp;"|"&amp;E1079,catClave,0))&amp;"","Variable")),"")</f>
        <v/>
      </c>
      <c r="Y1079" s="52">
        <f>IF(P1079="","",IFERROR(INDEX(catGrupo,MATCH(D1079&amp;"|"&amp;E1079,catClave,0))&amp;"",""))</f>
        <v/>
      </c>
      <c r="Z1079" s="52">
        <f>IF(P1079="","",WEEKDAY(B1079,2))</f>
        <v/>
      </c>
      <c r="AA1079" s="52">
        <f>IF(P1079="","",IF(AND(P1079="Gasto",X1079="Variable",D1079&lt;&gt;catTrading,S1079&gt;0,S1079&lt;=Umbral),1,0))</f>
        <v/>
      </c>
      <c r="AB1079" s="52">
        <f>IF(OR(P1079="",Q1079=""),"",IFERROR(IF(INDEX(ctaVinc,MATCH(Q1079,ctaNombre,0))&amp;""&lt;&gt;"",INDEX(ctaVinc,MATCH(Q1079,ctaNombre,0))&amp;"",Q1079),Q1079))</f>
        <v/>
      </c>
      <c r="AC1079" s="52">
        <f>IF(OR(K1079="",AND(P1079&lt;&gt;"Transferencia",P1079&lt;&gt;"Pago tarjeta")),"",IFERROR(IF(INDEX(ctaVinc,MATCH(K1079,ctaNombre,0))&amp;""&lt;&gt;"",INDEX(ctaVinc,MATCH(K1079,ctaNombre,0))&amp;"",K1079),K1079))</f>
        <v/>
      </c>
      <c r="AD1079" s="52">
        <f>IF(AB1079="","",IFERROR(INDEX(ctaTipo,MATCH(AB1079,ctaNombre,0))&amp;"",""))</f>
        <v/>
      </c>
      <c r="AE1079" s="52">
        <f>IF(AC1079="","",IFERROR(INDEX(ctaTipo,MATCH(AC1079,ctaNombre,0))&amp;"",""))</f>
        <v/>
      </c>
      <c r="AF1079" s="53">
        <f>IF(OR(P1079="",AB1079=""),"",IF(OR(P1079="Gasto",P1079="Transferencia",P1079="Pago tarjeta"),-1,1)*IF(IFERROR(INDEX(ctaMoneda,MATCH(AB1079,ctaNombre,0))&amp;"","DOP")="USD",T1079,S1079))</f>
        <v/>
      </c>
      <c r="AG1079" s="53">
        <f>IF(AC1079="","",IF(IFERROR(INDEX(ctaMoneda,MATCH(AC1079,ctaNombre,0))&amp;"","DOP")="USD",T1079,S1079))</f>
        <v/>
      </c>
      <c r="AH1079" s="53">
        <f>IF(P1079="","",IF(AND(AD1079&lt;&gt;"",COUNTIFS(tcTipo,AD1079,tcLiq,"Sí")&gt;0),IF(OR(P1079="Gasto",P1079="Transferencia",P1079="Pago tarjeta"),-1,1)*S1079,0)+IF(AND(AE1079&lt;&gt;"",COUNTIFS(tcTipo,AE1079,tcLiq,"Sí")&gt;0),S1079,0))</f>
        <v/>
      </c>
      <c r="AI1079" s="52">
        <f>IF(OR(L1079="",P1079=""),"",IF(COUNTIFS(L$6:L1079,L1079,P$6:P1079,"?*")=1,MAX(AI$5:AI1078)+1,""))</f>
        <v/>
      </c>
    </row>
    <row r="1080">
      <c r="B1080" s="47" t="n"/>
      <c r="C1080" s="48" t="n"/>
      <c r="D1080" s="48" t="n"/>
      <c r="E1080" s="48" t="n"/>
      <c r="F1080" s="48" t="n"/>
      <c r="G1080" s="49" t="n"/>
      <c r="H1080" s="48" t="n"/>
      <c r="I1080" s="50" t="n"/>
      <c r="J1080" s="48" t="n"/>
      <c r="K1080" s="48" t="n"/>
      <c r="L1080" s="48" t="n"/>
      <c r="M1080" s="48" t="n"/>
      <c r="N1080" s="48" t="n"/>
      <c r="O1080" s="51">
        <f>IF(AND(B1080="",G1080="",C1080="",D1080="",J1080=""),"",IF(B1080="","⚠ Falta fecha",IF(G1080="","⚠ Falta monto",IF(Q1080="","⚠ Falta cuenta",IF(ISNA(MATCH(Q1080,ctaNombre,0)),"⚠ Cuenta no registrada",IF(AND(OR(P1080="Gasto",P1080="Reembolso"),D1080=""),"⚠ Falta categoría",IF(AND(D1080&lt;&gt;"",E1080&lt;&gt;"",ISNA(MATCH(D1080&amp;"|"&amp;E1080,catClave,0))),"⚠ Subcategoría no corresponde",IF(AND(OR(P1080="Transferencia",P1080="Pago tarjeta"),K1080=""),"⚠ Falta cuenta destino",IF(AND(K1080&lt;&gt;"",P1080&lt;&gt;"Transferencia",P1080&lt;&gt;"Pago tarjeta"),"⚠ Destino solo aplica a transferencias",IF(AND(K1080&lt;&gt;"",K1080=Q1080),"⚠ Origen igual a destino",IF(AND(K1080&lt;&gt;"",ISNA(MATCH(K1080,ctaNombre,0))),"⚠ Destino no registrado",IF(AND(P1080="Pago tarjeta",AE1080&lt;&gt;"Tarjeta de crédito"),"⚠ El destino debe ser tarjeta de crédito",IF(AND(P1080="Gasto",E1080="Depósitos y retiros"),"⚠ Usa tipo Transferencia",IF(AND(P1080="Resultado trading",AD1080&lt;&gt;"Cuenta de trading"),"⚠ Usa una cuenta de trading",IF(AND(G1080&lt;=0,P1080&lt;&gt;"Ajuste",P1080&lt;&gt;"Resultado trading"),"⚠ El monto debe ser positivo","✓")))))))))))))))</f>
        <v/>
      </c>
      <c r="P1080" s="52">
        <f>IF(OR(B1080="",G1080=""),"",IF(C1080="","Gasto",C1080))</f>
        <v/>
      </c>
      <c r="Q1080" s="52">
        <f>IF(P1080="","",IF(J1080&lt;&gt;"",J1080,CuentaPred&amp;""))</f>
        <v/>
      </c>
      <c r="R1080" s="52">
        <f>IF(P1080="","",IF(ISNUMBER(I1080),I1080,TasaUSD))</f>
        <v/>
      </c>
      <c r="S1080" s="53">
        <f>IF(P1080="","",IF(H1080="USD",G1080*R1080,G1080))</f>
        <v/>
      </c>
      <c r="T1080" s="53">
        <f>IF(P1080="","",IF(H1080="USD",G1080,IF(R1080&gt;0,G1080/R1080,0)))</f>
        <v/>
      </c>
      <c r="U1080" s="53">
        <f>IF(P1080="","",IF(P1080="Gasto",S1080,IF(P1080="Reembolso",-S1080,0)))</f>
        <v/>
      </c>
      <c r="V1080" s="53">
        <f>IF(P1080="","",IF(P1080="Ingreso",S1080,0))</f>
        <v/>
      </c>
      <c r="W1080" s="53">
        <f>IF(P1080="","",IF(P1080="Resultado trading",S1080,0))</f>
        <v/>
      </c>
      <c r="X1080" s="52">
        <f>IF(OR(P1080="Gasto",P1080="Reembolso"),IF(M1080&lt;&gt;"",M1080,IFERROR(INDEX(catClasif,MATCH(D1080&amp;"|"&amp;E1080,catClave,0))&amp;"","Variable")),"")</f>
        <v/>
      </c>
      <c r="Y1080" s="52">
        <f>IF(P1080="","",IFERROR(INDEX(catGrupo,MATCH(D1080&amp;"|"&amp;E1080,catClave,0))&amp;"",""))</f>
        <v/>
      </c>
      <c r="Z1080" s="52">
        <f>IF(P1080="","",WEEKDAY(B1080,2))</f>
        <v/>
      </c>
      <c r="AA1080" s="52">
        <f>IF(P1080="","",IF(AND(P1080="Gasto",X1080="Variable",D1080&lt;&gt;catTrading,S1080&gt;0,S1080&lt;=Umbral),1,0))</f>
        <v/>
      </c>
      <c r="AB1080" s="52">
        <f>IF(OR(P1080="",Q1080=""),"",IFERROR(IF(INDEX(ctaVinc,MATCH(Q1080,ctaNombre,0))&amp;""&lt;&gt;"",INDEX(ctaVinc,MATCH(Q1080,ctaNombre,0))&amp;"",Q1080),Q1080))</f>
        <v/>
      </c>
      <c r="AC1080" s="52">
        <f>IF(OR(K1080="",AND(P1080&lt;&gt;"Transferencia",P1080&lt;&gt;"Pago tarjeta")),"",IFERROR(IF(INDEX(ctaVinc,MATCH(K1080,ctaNombre,0))&amp;""&lt;&gt;"",INDEX(ctaVinc,MATCH(K1080,ctaNombre,0))&amp;"",K1080),K1080))</f>
        <v/>
      </c>
      <c r="AD1080" s="52">
        <f>IF(AB1080="","",IFERROR(INDEX(ctaTipo,MATCH(AB1080,ctaNombre,0))&amp;"",""))</f>
        <v/>
      </c>
      <c r="AE1080" s="52">
        <f>IF(AC1080="","",IFERROR(INDEX(ctaTipo,MATCH(AC1080,ctaNombre,0))&amp;"",""))</f>
        <v/>
      </c>
      <c r="AF1080" s="53">
        <f>IF(OR(P1080="",AB1080=""),"",IF(OR(P1080="Gasto",P1080="Transferencia",P1080="Pago tarjeta"),-1,1)*IF(IFERROR(INDEX(ctaMoneda,MATCH(AB1080,ctaNombre,0))&amp;"","DOP")="USD",T1080,S1080))</f>
        <v/>
      </c>
      <c r="AG1080" s="53">
        <f>IF(AC1080="","",IF(IFERROR(INDEX(ctaMoneda,MATCH(AC1080,ctaNombre,0))&amp;"","DOP")="USD",T1080,S1080))</f>
        <v/>
      </c>
      <c r="AH1080" s="53">
        <f>IF(P1080="","",IF(AND(AD1080&lt;&gt;"",COUNTIFS(tcTipo,AD1080,tcLiq,"Sí")&gt;0),IF(OR(P1080="Gasto",P1080="Transferencia",P1080="Pago tarjeta"),-1,1)*S1080,0)+IF(AND(AE1080&lt;&gt;"",COUNTIFS(tcTipo,AE1080,tcLiq,"Sí")&gt;0),S1080,0))</f>
        <v/>
      </c>
      <c r="AI1080" s="52">
        <f>IF(OR(L1080="",P1080=""),"",IF(COUNTIFS(L$6:L1080,L1080,P$6:P1080,"?*")=1,MAX(AI$5:AI1079)+1,""))</f>
        <v/>
      </c>
    </row>
    <row r="1081">
      <c r="B1081" s="47" t="n"/>
      <c r="C1081" s="48" t="n"/>
      <c r="D1081" s="48" t="n"/>
      <c r="E1081" s="48" t="n"/>
      <c r="F1081" s="48" t="n"/>
      <c r="G1081" s="49" t="n"/>
      <c r="H1081" s="48" t="n"/>
      <c r="I1081" s="50" t="n"/>
      <c r="J1081" s="48" t="n"/>
      <c r="K1081" s="48" t="n"/>
      <c r="L1081" s="48" t="n"/>
      <c r="M1081" s="48" t="n"/>
      <c r="N1081" s="48" t="n"/>
      <c r="O1081" s="51">
        <f>IF(AND(B1081="",G1081="",C1081="",D1081="",J1081=""),"",IF(B1081="","⚠ Falta fecha",IF(G1081="","⚠ Falta monto",IF(Q1081="","⚠ Falta cuenta",IF(ISNA(MATCH(Q1081,ctaNombre,0)),"⚠ Cuenta no registrada",IF(AND(OR(P1081="Gasto",P1081="Reembolso"),D1081=""),"⚠ Falta categoría",IF(AND(D1081&lt;&gt;"",E1081&lt;&gt;"",ISNA(MATCH(D1081&amp;"|"&amp;E1081,catClave,0))),"⚠ Subcategoría no corresponde",IF(AND(OR(P1081="Transferencia",P1081="Pago tarjeta"),K1081=""),"⚠ Falta cuenta destino",IF(AND(K1081&lt;&gt;"",P1081&lt;&gt;"Transferencia",P1081&lt;&gt;"Pago tarjeta"),"⚠ Destino solo aplica a transferencias",IF(AND(K1081&lt;&gt;"",K1081=Q1081),"⚠ Origen igual a destino",IF(AND(K1081&lt;&gt;"",ISNA(MATCH(K1081,ctaNombre,0))),"⚠ Destino no registrado",IF(AND(P1081="Pago tarjeta",AE1081&lt;&gt;"Tarjeta de crédito"),"⚠ El destino debe ser tarjeta de crédito",IF(AND(P1081="Gasto",E1081="Depósitos y retiros"),"⚠ Usa tipo Transferencia",IF(AND(P1081="Resultado trading",AD1081&lt;&gt;"Cuenta de trading"),"⚠ Usa una cuenta de trading",IF(AND(G1081&lt;=0,P1081&lt;&gt;"Ajuste",P1081&lt;&gt;"Resultado trading"),"⚠ El monto debe ser positivo","✓")))))))))))))))</f>
        <v/>
      </c>
      <c r="P1081" s="52">
        <f>IF(OR(B1081="",G1081=""),"",IF(C1081="","Gasto",C1081))</f>
        <v/>
      </c>
      <c r="Q1081" s="52">
        <f>IF(P1081="","",IF(J1081&lt;&gt;"",J1081,CuentaPred&amp;""))</f>
        <v/>
      </c>
      <c r="R1081" s="52">
        <f>IF(P1081="","",IF(ISNUMBER(I1081),I1081,TasaUSD))</f>
        <v/>
      </c>
      <c r="S1081" s="53">
        <f>IF(P1081="","",IF(H1081="USD",G1081*R1081,G1081))</f>
        <v/>
      </c>
      <c r="T1081" s="53">
        <f>IF(P1081="","",IF(H1081="USD",G1081,IF(R1081&gt;0,G1081/R1081,0)))</f>
        <v/>
      </c>
      <c r="U1081" s="53">
        <f>IF(P1081="","",IF(P1081="Gasto",S1081,IF(P1081="Reembolso",-S1081,0)))</f>
        <v/>
      </c>
      <c r="V1081" s="53">
        <f>IF(P1081="","",IF(P1081="Ingreso",S1081,0))</f>
        <v/>
      </c>
      <c r="W1081" s="53">
        <f>IF(P1081="","",IF(P1081="Resultado trading",S1081,0))</f>
        <v/>
      </c>
      <c r="X1081" s="52">
        <f>IF(OR(P1081="Gasto",P1081="Reembolso"),IF(M1081&lt;&gt;"",M1081,IFERROR(INDEX(catClasif,MATCH(D1081&amp;"|"&amp;E1081,catClave,0))&amp;"","Variable")),"")</f>
        <v/>
      </c>
      <c r="Y1081" s="52">
        <f>IF(P1081="","",IFERROR(INDEX(catGrupo,MATCH(D1081&amp;"|"&amp;E1081,catClave,0))&amp;"",""))</f>
        <v/>
      </c>
      <c r="Z1081" s="52">
        <f>IF(P1081="","",WEEKDAY(B1081,2))</f>
        <v/>
      </c>
      <c r="AA1081" s="52">
        <f>IF(P1081="","",IF(AND(P1081="Gasto",X1081="Variable",D1081&lt;&gt;catTrading,S1081&gt;0,S1081&lt;=Umbral),1,0))</f>
        <v/>
      </c>
      <c r="AB1081" s="52">
        <f>IF(OR(P1081="",Q1081=""),"",IFERROR(IF(INDEX(ctaVinc,MATCH(Q1081,ctaNombre,0))&amp;""&lt;&gt;"",INDEX(ctaVinc,MATCH(Q1081,ctaNombre,0))&amp;"",Q1081),Q1081))</f>
        <v/>
      </c>
      <c r="AC1081" s="52">
        <f>IF(OR(K1081="",AND(P1081&lt;&gt;"Transferencia",P1081&lt;&gt;"Pago tarjeta")),"",IFERROR(IF(INDEX(ctaVinc,MATCH(K1081,ctaNombre,0))&amp;""&lt;&gt;"",INDEX(ctaVinc,MATCH(K1081,ctaNombre,0))&amp;"",K1081),K1081))</f>
        <v/>
      </c>
      <c r="AD1081" s="52">
        <f>IF(AB1081="","",IFERROR(INDEX(ctaTipo,MATCH(AB1081,ctaNombre,0))&amp;"",""))</f>
        <v/>
      </c>
      <c r="AE1081" s="52">
        <f>IF(AC1081="","",IFERROR(INDEX(ctaTipo,MATCH(AC1081,ctaNombre,0))&amp;"",""))</f>
        <v/>
      </c>
      <c r="AF1081" s="53">
        <f>IF(OR(P1081="",AB1081=""),"",IF(OR(P1081="Gasto",P1081="Transferencia",P1081="Pago tarjeta"),-1,1)*IF(IFERROR(INDEX(ctaMoneda,MATCH(AB1081,ctaNombre,0))&amp;"","DOP")="USD",T1081,S1081))</f>
        <v/>
      </c>
      <c r="AG1081" s="53">
        <f>IF(AC1081="","",IF(IFERROR(INDEX(ctaMoneda,MATCH(AC1081,ctaNombre,0))&amp;"","DOP")="USD",T1081,S1081))</f>
        <v/>
      </c>
      <c r="AH1081" s="53">
        <f>IF(P1081="","",IF(AND(AD1081&lt;&gt;"",COUNTIFS(tcTipo,AD1081,tcLiq,"Sí")&gt;0),IF(OR(P1081="Gasto",P1081="Transferencia",P1081="Pago tarjeta"),-1,1)*S1081,0)+IF(AND(AE1081&lt;&gt;"",COUNTIFS(tcTipo,AE1081,tcLiq,"Sí")&gt;0),S1081,0))</f>
        <v/>
      </c>
      <c r="AI1081" s="52">
        <f>IF(OR(L1081="",P1081=""),"",IF(COUNTIFS(L$6:L1081,L1081,P$6:P1081,"?*")=1,MAX(AI$5:AI1080)+1,""))</f>
        <v/>
      </c>
    </row>
    <row r="1082">
      <c r="B1082" s="47" t="n"/>
      <c r="C1082" s="48" t="n"/>
      <c r="D1082" s="48" t="n"/>
      <c r="E1082" s="48" t="n"/>
      <c r="F1082" s="48" t="n"/>
      <c r="G1082" s="49" t="n"/>
      <c r="H1082" s="48" t="n"/>
      <c r="I1082" s="50" t="n"/>
      <c r="J1082" s="48" t="n"/>
      <c r="K1082" s="48" t="n"/>
      <c r="L1082" s="48" t="n"/>
      <c r="M1082" s="48" t="n"/>
      <c r="N1082" s="48" t="n"/>
      <c r="O1082" s="51">
        <f>IF(AND(B1082="",G1082="",C1082="",D1082="",J1082=""),"",IF(B1082="","⚠ Falta fecha",IF(G1082="","⚠ Falta monto",IF(Q1082="","⚠ Falta cuenta",IF(ISNA(MATCH(Q1082,ctaNombre,0)),"⚠ Cuenta no registrada",IF(AND(OR(P1082="Gasto",P1082="Reembolso"),D1082=""),"⚠ Falta categoría",IF(AND(D1082&lt;&gt;"",E1082&lt;&gt;"",ISNA(MATCH(D1082&amp;"|"&amp;E1082,catClave,0))),"⚠ Subcategoría no corresponde",IF(AND(OR(P1082="Transferencia",P1082="Pago tarjeta"),K1082=""),"⚠ Falta cuenta destino",IF(AND(K1082&lt;&gt;"",P1082&lt;&gt;"Transferencia",P1082&lt;&gt;"Pago tarjeta"),"⚠ Destino solo aplica a transferencias",IF(AND(K1082&lt;&gt;"",K1082=Q1082),"⚠ Origen igual a destino",IF(AND(K1082&lt;&gt;"",ISNA(MATCH(K1082,ctaNombre,0))),"⚠ Destino no registrado",IF(AND(P1082="Pago tarjeta",AE1082&lt;&gt;"Tarjeta de crédito"),"⚠ El destino debe ser tarjeta de crédito",IF(AND(P1082="Gasto",E1082="Depósitos y retiros"),"⚠ Usa tipo Transferencia",IF(AND(P1082="Resultado trading",AD1082&lt;&gt;"Cuenta de trading"),"⚠ Usa una cuenta de trading",IF(AND(G1082&lt;=0,P1082&lt;&gt;"Ajuste",P1082&lt;&gt;"Resultado trading"),"⚠ El monto debe ser positivo","✓")))))))))))))))</f>
        <v/>
      </c>
      <c r="P1082" s="52">
        <f>IF(OR(B1082="",G1082=""),"",IF(C1082="","Gasto",C1082))</f>
        <v/>
      </c>
      <c r="Q1082" s="52">
        <f>IF(P1082="","",IF(J1082&lt;&gt;"",J1082,CuentaPred&amp;""))</f>
        <v/>
      </c>
      <c r="R1082" s="52">
        <f>IF(P1082="","",IF(ISNUMBER(I1082),I1082,TasaUSD))</f>
        <v/>
      </c>
      <c r="S1082" s="53">
        <f>IF(P1082="","",IF(H1082="USD",G1082*R1082,G1082))</f>
        <v/>
      </c>
      <c r="T1082" s="53">
        <f>IF(P1082="","",IF(H1082="USD",G1082,IF(R1082&gt;0,G1082/R1082,0)))</f>
        <v/>
      </c>
      <c r="U1082" s="53">
        <f>IF(P1082="","",IF(P1082="Gasto",S1082,IF(P1082="Reembolso",-S1082,0)))</f>
        <v/>
      </c>
      <c r="V1082" s="53">
        <f>IF(P1082="","",IF(P1082="Ingreso",S1082,0))</f>
        <v/>
      </c>
      <c r="W1082" s="53">
        <f>IF(P1082="","",IF(P1082="Resultado trading",S1082,0))</f>
        <v/>
      </c>
      <c r="X1082" s="52">
        <f>IF(OR(P1082="Gasto",P1082="Reembolso"),IF(M1082&lt;&gt;"",M1082,IFERROR(INDEX(catClasif,MATCH(D1082&amp;"|"&amp;E1082,catClave,0))&amp;"","Variable")),"")</f>
        <v/>
      </c>
      <c r="Y1082" s="52">
        <f>IF(P1082="","",IFERROR(INDEX(catGrupo,MATCH(D1082&amp;"|"&amp;E1082,catClave,0))&amp;"",""))</f>
        <v/>
      </c>
      <c r="Z1082" s="52">
        <f>IF(P1082="","",WEEKDAY(B1082,2))</f>
        <v/>
      </c>
      <c r="AA1082" s="52">
        <f>IF(P1082="","",IF(AND(P1082="Gasto",X1082="Variable",D1082&lt;&gt;catTrading,S1082&gt;0,S1082&lt;=Umbral),1,0))</f>
        <v/>
      </c>
      <c r="AB1082" s="52">
        <f>IF(OR(P1082="",Q1082=""),"",IFERROR(IF(INDEX(ctaVinc,MATCH(Q1082,ctaNombre,0))&amp;""&lt;&gt;"",INDEX(ctaVinc,MATCH(Q1082,ctaNombre,0))&amp;"",Q1082),Q1082))</f>
        <v/>
      </c>
      <c r="AC1082" s="52">
        <f>IF(OR(K1082="",AND(P1082&lt;&gt;"Transferencia",P1082&lt;&gt;"Pago tarjeta")),"",IFERROR(IF(INDEX(ctaVinc,MATCH(K1082,ctaNombre,0))&amp;""&lt;&gt;"",INDEX(ctaVinc,MATCH(K1082,ctaNombre,0))&amp;"",K1082),K1082))</f>
        <v/>
      </c>
      <c r="AD1082" s="52">
        <f>IF(AB1082="","",IFERROR(INDEX(ctaTipo,MATCH(AB1082,ctaNombre,0))&amp;"",""))</f>
        <v/>
      </c>
      <c r="AE1082" s="52">
        <f>IF(AC1082="","",IFERROR(INDEX(ctaTipo,MATCH(AC1082,ctaNombre,0))&amp;"",""))</f>
        <v/>
      </c>
      <c r="AF1082" s="53">
        <f>IF(OR(P1082="",AB1082=""),"",IF(OR(P1082="Gasto",P1082="Transferencia",P1082="Pago tarjeta"),-1,1)*IF(IFERROR(INDEX(ctaMoneda,MATCH(AB1082,ctaNombre,0))&amp;"","DOP")="USD",T1082,S1082))</f>
        <v/>
      </c>
      <c r="AG1082" s="53">
        <f>IF(AC1082="","",IF(IFERROR(INDEX(ctaMoneda,MATCH(AC1082,ctaNombre,0))&amp;"","DOP")="USD",T1082,S1082))</f>
        <v/>
      </c>
      <c r="AH1082" s="53">
        <f>IF(P1082="","",IF(AND(AD1082&lt;&gt;"",COUNTIFS(tcTipo,AD1082,tcLiq,"Sí")&gt;0),IF(OR(P1082="Gasto",P1082="Transferencia",P1082="Pago tarjeta"),-1,1)*S1082,0)+IF(AND(AE1082&lt;&gt;"",COUNTIFS(tcTipo,AE1082,tcLiq,"Sí")&gt;0),S1082,0))</f>
        <v/>
      </c>
      <c r="AI1082" s="52">
        <f>IF(OR(L1082="",P1082=""),"",IF(COUNTIFS(L$6:L1082,L1082,P$6:P1082,"?*")=1,MAX(AI$5:AI1081)+1,""))</f>
        <v/>
      </c>
    </row>
    <row r="1083">
      <c r="B1083" s="47" t="n"/>
      <c r="C1083" s="48" t="n"/>
      <c r="D1083" s="48" t="n"/>
      <c r="E1083" s="48" t="n"/>
      <c r="F1083" s="48" t="n"/>
      <c r="G1083" s="49" t="n"/>
      <c r="H1083" s="48" t="n"/>
      <c r="I1083" s="50" t="n"/>
      <c r="J1083" s="48" t="n"/>
      <c r="K1083" s="48" t="n"/>
      <c r="L1083" s="48" t="n"/>
      <c r="M1083" s="48" t="n"/>
      <c r="N1083" s="48" t="n"/>
      <c r="O1083" s="51">
        <f>IF(AND(B1083="",G1083="",C1083="",D1083="",J1083=""),"",IF(B1083="","⚠ Falta fecha",IF(G1083="","⚠ Falta monto",IF(Q1083="","⚠ Falta cuenta",IF(ISNA(MATCH(Q1083,ctaNombre,0)),"⚠ Cuenta no registrada",IF(AND(OR(P1083="Gasto",P1083="Reembolso"),D1083=""),"⚠ Falta categoría",IF(AND(D1083&lt;&gt;"",E1083&lt;&gt;"",ISNA(MATCH(D1083&amp;"|"&amp;E1083,catClave,0))),"⚠ Subcategoría no corresponde",IF(AND(OR(P1083="Transferencia",P1083="Pago tarjeta"),K1083=""),"⚠ Falta cuenta destino",IF(AND(K1083&lt;&gt;"",P1083&lt;&gt;"Transferencia",P1083&lt;&gt;"Pago tarjeta"),"⚠ Destino solo aplica a transferencias",IF(AND(K1083&lt;&gt;"",K1083=Q1083),"⚠ Origen igual a destino",IF(AND(K1083&lt;&gt;"",ISNA(MATCH(K1083,ctaNombre,0))),"⚠ Destino no registrado",IF(AND(P1083="Pago tarjeta",AE1083&lt;&gt;"Tarjeta de crédito"),"⚠ El destino debe ser tarjeta de crédito",IF(AND(P1083="Gasto",E1083="Depósitos y retiros"),"⚠ Usa tipo Transferencia",IF(AND(P1083="Resultado trading",AD1083&lt;&gt;"Cuenta de trading"),"⚠ Usa una cuenta de trading",IF(AND(G1083&lt;=0,P1083&lt;&gt;"Ajuste",P1083&lt;&gt;"Resultado trading"),"⚠ El monto debe ser positivo","✓")))))))))))))))</f>
        <v/>
      </c>
      <c r="P1083" s="52">
        <f>IF(OR(B1083="",G1083=""),"",IF(C1083="","Gasto",C1083))</f>
        <v/>
      </c>
      <c r="Q1083" s="52">
        <f>IF(P1083="","",IF(J1083&lt;&gt;"",J1083,CuentaPred&amp;""))</f>
        <v/>
      </c>
      <c r="R1083" s="52">
        <f>IF(P1083="","",IF(ISNUMBER(I1083),I1083,TasaUSD))</f>
        <v/>
      </c>
      <c r="S1083" s="53">
        <f>IF(P1083="","",IF(H1083="USD",G1083*R1083,G1083))</f>
        <v/>
      </c>
      <c r="T1083" s="53">
        <f>IF(P1083="","",IF(H1083="USD",G1083,IF(R1083&gt;0,G1083/R1083,0)))</f>
        <v/>
      </c>
      <c r="U1083" s="53">
        <f>IF(P1083="","",IF(P1083="Gasto",S1083,IF(P1083="Reembolso",-S1083,0)))</f>
        <v/>
      </c>
      <c r="V1083" s="53">
        <f>IF(P1083="","",IF(P1083="Ingreso",S1083,0))</f>
        <v/>
      </c>
      <c r="W1083" s="53">
        <f>IF(P1083="","",IF(P1083="Resultado trading",S1083,0))</f>
        <v/>
      </c>
      <c r="X1083" s="52">
        <f>IF(OR(P1083="Gasto",P1083="Reembolso"),IF(M1083&lt;&gt;"",M1083,IFERROR(INDEX(catClasif,MATCH(D1083&amp;"|"&amp;E1083,catClave,0))&amp;"","Variable")),"")</f>
        <v/>
      </c>
      <c r="Y1083" s="52">
        <f>IF(P1083="","",IFERROR(INDEX(catGrupo,MATCH(D1083&amp;"|"&amp;E1083,catClave,0))&amp;"",""))</f>
        <v/>
      </c>
      <c r="Z1083" s="52">
        <f>IF(P1083="","",WEEKDAY(B1083,2))</f>
        <v/>
      </c>
      <c r="AA1083" s="52">
        <f>IF(P1083="","",IF(AND(P1083="Gasto",X1083="Variable",D1083&lt;&gt;catTrading,S1083&gt;0,S1083&lt;=Umbral),1,0))</f>
        <v/>
      </c>
      <c r="AB1083" s="52">
        <f>IF(OR(P1083="",Q1083=""),"",IFERROR(IF(INDEX(ctaVinc,MATCH(Q1083,ctaNombre,0))&amp;""&lt;&gt;"",INDEX(ctaVinc,MATCH(Q1083,ctaNombre,0))&amp;"",Q1083),Q1083))</f>
        <v/>
      </c>
      <c r="AC1083" s="52">
        <f>IF(OR(K1083="",AND(P1083&lt;&gt;"Transferencia",P1083&lt;&gt;"Pago tarjeta")),"",IFERROR(IF(INDEX(ctaVinc,MATCH(K1083,ctaNombre,0))&amp;""&lt;&gt;"",INDEX(ctaVinc,MATCH(K1083,ctaNombre,0))&amp;"",K1083),K1083))</f>
        <v/>
      </c>
      <c r="AD1083" s="52">
        <f>IF(AB1083="","",IFERROR(INDEX(ctaTipo,MATCH(AB1083,ctaNombre,0))&amp;"",""))</f>
        <v/>
      </c>
      <c r="AE1083" s="52">
        <f>IF(AC1083="","",IFERROR(INDEX(ctaTipo,MATCH(AC1083,ctaNombre,0))&amp;"",""))</f>
        <v/>
      </c>
      <c r="AF1083" s="53">
        <f>IF(OR(P1083="",AB1083=""),"",IF(OR(P1083="Gasto",P1083="Transferencia",P1083="Pago tarjeta"),-1,1)*IF(IFERROR(INDEX(ctaMoneda,MATCH(AB1083,ctaNombre,0))&amp;"","DOP")="USD",T1083,S1083))</f>
        <v/>
      </c>
      <c r="AG1083" s="53">
        <f>IF(AC1083="","",IF(IFERROR(INDEX(ctaMoneda,MATCH(AC1083,ctaNombre,0))&amp;"","DOP")="USD",T1083,S1083))</f>
        <v/>
      </c>
      <c r="AH1083" s="53">
        <f>IF(P1083="","",IF(AND(AD1083&lt;&gt;"",COUNTIFS(tcTipo,AD1083,tcLiq,"Sí")&gt;0),IF(OR(P1083="Gasto",P1083="Transferencia",P1083="Pago tarjeta"),-1,1)*S1083,0)+IF(AND(AE1083&lt;&gt;"",COUNTIFS(tcTipo,AE1083,tcLiq,"Sí")&gt;0),S1083,0))</f>
        <v/>
      </c>
      <c r="AI1083" s="52">
        <f>IF(OR(L1083="",P1083=""),"",IF(COUNTIFS(L$6:L1083,L1083,P$6:P1083,"?*")=1,MAX(AI$5:AI1082)+1,""))</f>
        <v/>
      </c>
    </row>
    <row r="1084">
      <c r="B1084" s="47" t="n"/>
      <c r="C1084" s="48" t="n"/>
      <c r="D1084" s="48" t="n"/>
      <c r="E1084" s="48" t="n"/>
      <c r="F1084" s="48" t="n"/>
      <c r="G1084" s="49" t="n"/>
      <c r="H1084" s="48" t="n"/>
      <c r="I1084" s="50" t="n"/>
      <c r="J1084" s="48" t="n"/>
      <c r="K1084" s="48" t="n"/>
      <c r="L1084" s="48" t="n"/>
      <c r="M1084" s="48" t="n"/>
      <c r="N1084" s="48" t="n"/>
      <c r="O1084" s="51">
        <f>IF(AND(B1084="",G1084="",C1084="",D1084="",J1084=""),"",IF(B1084="","⚠ Falta fecha",IF(G1084="","⚠ Falta monto",IF(Q1084="","⚠ Falta cuenta",IF(ISNA(MATCH(Q1084,ctaNombre,0)),"⚠ Cuenta no registrada",IF(AND(OR(P1084="Gasto",P1084="Reembolso"),D1084=""),"⚠ Falta categoría",IF(AND(D1084&lt;&gt;"",E1084&lt;&gt;"",ISNA(MATCH(D1084&amp;"|"&amp;E1084,catClave,0))),"⚠ Subcategoría no corresponde",IF(AND(OR(P1084="Transferencia",P1084="Pago tarjeta"),K1084=""),"⚠ Falta cuenta destino",IF(AND(K1084&lt;&gt;"",P1084&lt;&gt;"Transferencia",P1084&lt;&gt;"Pago tarjeta"),"⚠ Destino solo aplica a transferencias",IF(AND(K1084&lt;&gt;"",K1084=Q1084),"⚠ Origen igual a destino",IF(AND(K1084&lt;&gt;"",ISNA(MATCH(K1084,ctaNombre,0))),"⚠ Destino no registrado",IF(AND(P1084="Pago tarjeta",AE1084&lt;&gt;"Tarjeta de crédito"),"⚠ El destino debe ser tarjeta de crédito",IF(AND(P1084="Gasto",E1084="Depósitos y retiros"),"⚠ Usa tipo Transferencia",IF(AND(P1084="Resultado trading",AD1084&lt;&gt;"Cuenta de trading"),"⚠ Usa una cuenta de trading",IF(AND(G1084&lt;=0,P1084&lt;&gt;"Ajuste",P1084&lt;&gt;"Resultado trading"),"⚠ El monto debe ser positivo","✓")))))))))))))))</f>
        <v/>
      </c>
      <c r="P1084" s="52">
        <f>IF(OR(B1084="",G1084=""),"",IF(C1084="","Gasto",C1084))</f>
        <v/>
      </c>
      <c r="Q1084" s="52">
        <f>IF(P1084="","",IF(J1084&lt;&gt;"",J1084,CuentaPred&amp;""))</f>
        <v/>
      </c>
      <c r="R1084" s="52">
        <f>IF(P1084="","",IF(ISNUMBER(I1084),I1084,TasaUSD))</f>
        <v/>
      </c>
      <c r="S1084" s="53">
        <f>IF(P1084="","",IF(H1084="USD",G1084*R1084,G1084))</f>
        <v/>
      </c>
      <c r="T1084" s="53">
        <f>IF(P1084="","",IF(H1084="USD",G1084,IF(R1084&gt;0,G1084/R1084,0)))</f>
        <v/>
      </c>
      <c r="U1084" s="53">
        <f>IF(P1084="","",IF(P1084="Gasto",S1084,IF(P1084="Reembolso",-S1084,0)))</f>
        <v/>
      </c>
      <c r="V1084" s="53">
        <f>IF(P1084="","",IF(P1084="Ingreso",S1084,0))</f>
        <v/>
      </c>
      <c r="W1084" s="53">
        <f>IF(P1084="","",IF(P1084="Resultado trading",S1084,0))</f>
        <v/>
      </c>
      <c r="X1084" s="52">
        <f>IF(OR(P1084="Gasto",P1084="Reembolso"),IF(M1084&lt;&gt;"",M1084,IFERROR(INDEX(catClasif,MATCH(D1084&amp;"|"&amp;E1084,catClave,0))&amp;"","Variable")),"")</f>
        <v/>
      </c>
      <c r="Y1084" s="52">
        <f>IF(P1084="","",IFERROR(INDEX(catGrupo,MATCH(D1084&amp;"|"&amp;E1084,catClave,0))&amp;"",""))</f>
        <v/>
      </c>
      <c r="Z1084" s="52">
        <f>IF(P1084="","",WEEKDAY(B1084,2))</f>
        <v/>
      </c>
      <c r="AA1084" s="52">
        <f>IF(P1084="","",IF(AND(P1084="Gasto",X1084="Variable",D1084&lt;&gt;catTrading,S1084&gt;0,S1084&lt;=Umbral),1,0))</f>
        <v/>
      </c>
      <c r="AB1084" s="52">
        <f>IF(OR(P1084="",Q1084=""),"",IFERROR(IF(INDEX(ctaVinc,MATCH(Q1084,ctaNombre,0))&amp;""&lt;&gt;"",INDEX(ctaVinc,MATCH(Q1084,ctaNombre,0))&amp;"",Q1084),Q1084))</f>
        <v/>
      </c>
      <c r="AC1084" s="52">
        <f>IF(OR(K1084="",AND(P1084&lt;&gt;"Transferencia",P1084&lt;&gt;"Pago tarjeta")),"",IFERROR(IF(INDEX(ctaVinc,MATCH(K1084,ctaNombre,0))&amp;""&lt;&gt;"",INDEX(ctaVinc,MATCH(K1084,ctaNombre,0))&amp;"",K1084),K1084))</f>
        <v/>
      </c>
      <c r="AD1084" s="52">
        <f>IF(AB1084="","",IFERROR(INDEX(ctaTipo,MATCH(AB1084,ctaNombre,0))&amp;"",""))</f>
        <v/>
      </c>
      <c r="AE1084" s="52">
        <f>IF(AC1084="","",IFERROR(INDEX(ctaTipo,MATCH(AC1084,ctaNombre,0))&amp;"",""))</f>
        <v/>
      </c>
      <c r="AF1084" s="53">
        <f>IF(OR(P1084="",AB1084=""),"",IF(OR(P1084="Gasto",P1084="Transferencia",P1084="Pago tarjeta"),-1,1)*IF(IFERROR(INDEX(ctaMoneda,MATCH(AB1084,ctaNombre,0))&amp;"","DOP")="USD",T1084,S1084))</f>
        <v/>
      </c>
      <c r="AG1084" s="53">
        <f>IF(AC1084="","",IF(IFERROR(INDEX(ctaMoneda,MATCH(AC1084,ctaNombre,0))&amp;"","DOP")="USD",T1084,S1084))</f>
        <v/>
      </c>
      <c r="AH1084" s="53">
        <f>IF(P1084="","",IF(AND(AD1084&lt;&gt;"",COUNTIFS(tcTipo,AD1084,tcLiq,"Sí")&gt;0),IF(OR(P1084="Gasto",P1084="Transferencia",P1084="Pago tarjeta"),-1,1)*S1084,0)+IF(AND(AE1084&lt;&gt;"",COUNTIFS(tcTipo,AE1084,tcLiq,"Sí")&gt;0),S1084,0))</f>
        <v/>
      </c>
      <c r="AI1084" s="52">
        <f>IF(OR(L1084="",P1084=""),"",IF(COUNTIFS(L$6:L1084,L1084,P$6:P1084,"?*")=1,MAX(AI$5:AI1083)+1,""))</f>
        <v/>
      </c>
    </row>
    <row r="1085">
      <c r="B1085" s="47" t="n"/>
      <c r="C1085" s="48" t="n"/>
      <c r="D1085" s="48" t="n"/>
      <c r="E1085" s="48" t="n"/>
      <c r="F1085" s="48" t="n"/>
      <c r="G1085" s="49" t="n"/>
      <c r="H1085" s="48" t="n"/>
      <c r="I1085" s="50" t="n"/>
      <c r="J1085" s="48" t="n"/>
      <c r="K1085" s="48" t="n"/>
      <c r="L1085" s="48" t="n"/>
      <c r="M1085" s="48" t="n"/>
      <c r="N1085" s="48" t="n"/>
      <c r="O1085" s="51">
        <f>IF(AND(B1085="",G1085="",C1085="",D1085="",J1085=""),"",IF(B1085="","⚠ Falta fecha",IF(G1085="","⚠ Falta monto",IF(Q1085="","⚠ Falta cuenta",IF(ISNA(MATCH(Q1085,ctaNombre,0)),"⚠ Cuenta no registrada",IF(AND(OR(P1085="Gasto",P1085="Reembolso"),D1085=""),"⚠ Falta categoría",IF(AND(D1085&lt;&gt;"",E1085&lt;&gt;"",ISNA(MATCH(D1085&amp;"|"&amp;E1085,catClave,0))),"⚠ Subcategoría no corresponde",IF(AND(OR(P1085="Transferencia",P1085="Pago tarjeta"),K1085=""),"⚠ Falta cuenta destino",IF(AND(K1085&lt;&gt;"",P1085&lt;&gt;"Transferencia",P1085&lt;&gt;"Pago tarjeta"),"⚠ Destino solo aplica a transferencias",IF(AND(K1085&lt;&gt;"",K1085=Q1085),"⚠ Origen igual a destino",IF(AND(K1085&lt;&gt;"",ISNA(MATCH(K1085,ctaNombre,0))),"⚠ Destino no registrado",IF(AND(P1085="Pago tarjeta",AE1085&lt;&gt;"Tarjeta de crédito"),"⚠ El destino debe ser tarjeta de crédito",IF(AND(P1085="Gasto",E1085="Depósitos y retiros"),"⚠ Usa tipo Transferencia",IF(AND(P1085="Resultado trading",AD1085&lt;&gt;"Cuenta de trading"),"⚠ Usa una cuenta de trading",IF(AND(G1085&lt;=0,P1085&lt;&gt;"Ajuste",P1085&lt;&gt;"Resultado trading"),"⚠ El monto debe ser positivo","✓")))))))))))))))</f>
        <v/>
      </c>
      <c r="P1085" s="52">
        <f>IF(OR(B1085="",G1085=""),"",IF(C1085="","Gasto",C1085))</f>
        <v/>
      </c>
      <c r="Q1085" s="52">
        <f>IF(P1085="","",IF(J1085&lt;&gt;"",J1085,CuentaPred&amp;""))</f>
        <v/>
      </c>
      <c r="R1085" s="52">
        <f>IF(P1085="","",IF(ISNUMBER(I1085),I1085,TasaUSD))</f>
        <v/>
      </c>
      <c r="S1085" s="53">
        <f>IF(P1085="","",IF(H1085="USD",G1085*R1085,G1085))</f>
        <v/>
      </c>
      <c r="T1085" s="53">
        <f>IF(P1085="","",IF(H1085="USD",G1085,IF(R1085&gt;0,G1085/R1085,0)))</f>
        <v/>
      </c>
      <c r="U1085" s="53">
        <f>IF(P1085="","",IF(P1085="Gasto",S1085,IF(P1085="Reembolso",-S1085,0)))</f>
        <v/>
      </c>
      <c r="V1085" s="53">
        <f>IF(P1085="","",IF(P1085="Ingreso",S1085,0))</f>
        <v/>
      </c>
      <c r="W1085" s="53">
        <f>IF(P1085="","",IF(P1085="Resultado trading",S1085,0))</f>
        <v/>
      </c>
      <c r="X1085" s="52">
        <f>IF(OR(P1085="Gasto",P1085="Reembolso"),IF(M1085&lt;&gt;"",M1085,IFERROR(INDEX(catClasif,MATCH(D1085&amp;"|"&amp;E1085,catClave,0))&amp;"","Variable")),"")</f>
        <v/>
      </c>
      <c r="Y1085" s="52">
        <f>IF(P1085="","",IFERROR(INDEX(catGrupo,MATCH(D1085&amp;"|"&amp;E1085,catClave,0))&amp;"",""))</f>
        <v/>
      </c>
      <c r="Z1085" s="52">
        <f>IF(P1085="","",WEEKDAY(B1085,2))</f>
        <v/>
      </c>
      <c r="AA1085" s="52">
        <f>IF(P1085="","",IF(AND(P1085="Gasto",X1085="Variable",D1085&lt;&gt;catTrading,S1085&gt;0,S1085&lt;=Umbral),1,0))</f>
        <v/>
      </c>
      <c r="AB1085" s="52">
        <f>IF(OR(P1085="",Q1085=""),"",IFERROR(IF(INDEX(ctaVinc,MATCH(Q1085,ctaNombre,0))&amp;""&lt;&gt;"",INDEX(ctaVinc,MATCH(Q1085,ctaNombre,0))&amp;"",Q1085),Q1085))</f>
        <v/>
      </c>
      <c r="AC1085" s="52">
        <f>IF(OR(K1085="",AND(P1085&lt;&gt;"Transferencia",P1085&lt;&gt;"Pago tarjeta")),"",IFERROR(IF(INDEX(ctaVinc,MATCH(K1085,ctaNombre,0))&amp;""&lt;&gt;"",INDEX(ctaVinc,MATCH(K1085,ctaNombre,0))&amp;"",K1085),K1085))</f>
        <v/>
      </c>
      <c r="AD1085" s="52">
        <f>IF(AB1085="","",IFERROR(INDEX(ctaTipo,MATCH(AB1085,ctaNombre,0))&amp;"",""))</f>
        <v/>
      </c>
      <c r="AE1085" s="52">
        <f>IF(AC1085="","",IFERROR(INDEX(ctaTipo,MATCH(AC1085,ctaNombre,0))&amp;"",""))</f>
        <v/>
      </c>
      <c r="AF1085" s="53">
        <f>IF(OR(P1085="",AB1085=""),"",IF(OR(P1085="Gasto",P1085="Transferencia",P1085="Pago tarjeta"),-1,1)*IF(IFERROR(INDEX(ctaMoneda,MATCH(AB1085,ctaNombre,0))&amp;"","DOP")="USD",T1085,S1085))</f>
        <v/>
      </c>
      <c r="AG1085" s="53">
        <f>IF(AC1085="","",IF(IFERROR(INDEX(ctaMoneda,MATCH(AC1085,ctaNombre,0))&amp;"","DOP")="USD",T1085,S1085))</f>
        <v/>
      </c>
      <c r="AH1085" s="53">
        <f>IF(P1085="","",IF(AND(AD1085&lt;&gt;"",COUNTIFS(tcTipo,AD1085,tcLiq,"Sí")&gt;0),IF(OR(P1085="Gasto",P1085="Transferencia",P1085="Pago tarjeta"),-1,1)*S1085,0)+IF(AND(AE1085&lt;&gt;"",COUNTIFS(tcTipo,AE1085,tcLiq,"Sí")&gt;0),S1085,0))</f>
        <v/>
      </c>
      <c r="AI1085" s="52">
        <f>IF(OR(L1085="",P1085=""),"",IF(COUNTIFS(L$6:L1085,L1085,P$6:P1085,"?*")=1,MAX(AI$5:AI1084)+1,""))</f>
        <v/>
      </c>
    </row>
    <row r="1086">
      <c r="B1086" s="47" t="n"/>
      <c r="C1086" s="48" t="n"/>
      <c r="D1086" s="48" t="n"/>
      <c r="E1086" s="48" t="n"/>
      <c r="F1086" s="48" t="n"/>
      <c r="G1086" s="49" t="n"/>
      <c r="H1086" s="48" t="n"/>
      <c r="I1086" s="50" t="n"/>
      <c r="J1086" s="48" t="n"/>
      <c r="K1086" s="48" t="n"/>
      <c r="L1086" s="48" t="n"/>
      <c r="M1086" s="48" t="n"/>
      <c r="N1086" s="48" t="n"/>
      <c r="O1086" s="51">
        <f>IF(AND(B1086="",G1086="",C1086="",D1086="",J1086=""),"",IF(B1086="","⚠ Falta fecha",IF(G1086="","⚠ Falta monto",IF(Q1086="","⚠ Falta cuenta",IF(ISNA(MATCH(Q1086,ctaNombre,0)),"⚠ Cuenta no registrada",IF(AND(OR(P1086="Gasto",P1086="Reembolso"),D1086=""),"⚠ Falta categoría",IF(AND(D1086&lt;&gt;"",E1086&lt;&gt;"",ISNA(MATCH(D1086&amp;"|"&amp;E1086,catClave,0))),"⚠ Subcategoría no corresponde",IF(AND(OR(P1086="Transferencia",P1086="Pago tarjeta"),K1086=""),"⚠ Falta cuenta destino",IF(AND(K1086&lt;&gt;"",P1086&lt;&gt;"Transferencia",P1086&lt;&gt;"Pago tarjeta"),"⚠ Destino solo aplica a transferencias",IF(AND(K1086&lt;&gt;"",K1086=Q1086),"⚠ Origen igual a destino",IF(AND(K1086&lt;&gt;"",ISNA(MATCH(K1086,ctaNombre,0))),"⚠ Destino no registrado",IF(AND(P1086="Pago tarjeta",AE1086&lt;&gt;"Tarjeta de crédito"),"⚠ El destino debe ser tarjeta de crédito",IF(AND(P1086="Gasto",E1086="Depósitos y retiros"),"⚠ Usa tipo Transferencia",IF(AND(P1086="Resultado trading",AD1086&lt;&gt;"Cuenta de trading"),"⚠ Usa una cuenta de trading",IF(AND(G1086&lt;=0,P1086&lt;&gt;"Ajuste",P1086&lt;&gt;"Resultado trading"),"⚠ El monto debe ser positivo","✓")))))))))))))))</f>
        <v/>
      </c>
      <c r="P1086" s="52">
        <f>IF(OR(B1086="",G1086=""),"",IF(C1086="","Gasto",C1086))</f>
        <v/>
      </c>
      <c r="Q1086" s="52">
        <f>IF(P1086="","",IF(J1086&lt;&gt;"",J1086,CuentaPred&amp;""))</f>
        <v/>
      </c>
      <c r="R1086" s="52">
        <f>IF(P1086="","",IF(ISNUMBER(I1086),I1086,TasaUSD))</f>
        <v/>
      </c>
      <c r="S1086" s="53">
        <f>IF(P1086="","",IF(H1086="USD",G1086*R1086,G1086))</f>
        <v/>
      </c>
      <c r="T1086" s="53">
        <f>IF(P1086="","",IF(H1086="USD",G1086,IF(R1086&gt;0,G1086/R1086,0)))</f>
        <v/>
      </c>
      <c r="U1086" s="53">
        <f>IF(P1086="","",IF(P1086="Gasto",S1086,IF(P1086="Reembolso",-S1086,0)))</f>
        <v/>
      </c>
      <c r="V1086" s="53">
        <f>IF(P1086="","",IF(P1086="Ingreso",S1086,0))</f>
        <v/>
      </c>
      <c r="W1086" s="53">
        <f>IF(P1086="","",IF(P1086="Resultado trading",S1086,0))</f>
        <v/>
      </c>
      <c r="X1086" s="52">
        <f>IF(OR(P1086="Gasto",P1086="Reembolso"),IF(M1086&lt;&gt;"",M1086,IFERROR(INDEX(catClasif,MATCH(D1086&amp;"|"&amp;E1086,catClave,0))&amp;"","Variable")),"")</f>
        <v/>
      </c>
      <c r="Y1086" s="52">
        <f>IF(P1086="","",IFERROR(INDEX(catGrupo,MATCH(D1086&amp;"|"&amp;E1086,catClave,0))&amp;"",""))</f>
        <v/>
      </c>
      <c r="Z1086" s="52">
        <f>IF(P1086="","",WEEKDAY(B1086,2))</f>
        <v/>
      </c>
      <c r="AA1086" s="52">
        <f>IF(P1086="","",IF(AND(P1086="Gasto",X1086="Variable",D1086&lt;&gt;catTrading,S1086&gt;0,S1086&lt;=Umbral),1,0))</f>
        <v/>
      </c>
      <c r="AB1086" s="52">
        <f>IF(OR(P1086="",Q1086=""),"",IFERROR(IF(INDEX(ctaVinc,MATCH(Q1086,ctaNombre,0))&amp;""&lt;&gt;"",INDEX(ctaVinc,MATCH(Q1086,ctaNombre,0))&amp;"",Q1086),Q1086))</f>
        <v/>
      </c>
      <c r="AC1086" s="52">
        <f>IF(OR(K1086="",AND(P1086&lt;&gt;"Transferencia",P1086&lt;&gt;"Pago tarjeta")),"",IFERROR(IF(INDEX(ctaVinc,MATCH(K1086,ctaNombre,0))&amp;""&lt;&gt;"",INDEX(ctaVinc,MATCH(K1086,ctaNombre,0))&amp;"",K1086),K1086))</f>
        <v/>
      </c>
      <c r="AD1086" s="52">
        <f>IF(AB1086="","",IFERROR(INDEX(ctaTipo,MATCH(AB1086,ctaNombre,0))&amp;"",""))</f>
        <v/>
      </c>
      <c r="AE1086" s="52">
        <f>IF(AC1086="","",IFERROR(INDEX(ctaTipo,MATCH(AC1086,ctaNombre,0))&amp;"",""))</f>
        <v/>
      </c>
      <c r="AF1086" s="53">
        <f>IF(OR(P1086="",AB1086=""),"",IF(OR(P1086="Gasto",P1086="Transferencia",P1086="Pago tarjeta"),-1,1)*IF(IFERROR(INDEX(ctaMoneda,MATCH(AB1086,ctaNombre,0))&amp;"","DOP")="USD",T1086,S1086))</f>
        <v/>
      </c>
      <c r="AG1086" s="53">
        <f>IF(AC1086="","",IF(IFERROR(INDEX(ctaMoneda,MATCH(AC1086,ctaNombre,0))&amp;"","DOP")="USD",T1086,S1086))</f>
        <v/>
      </c>
      <c r="AH1086" s="53">
        <f>IF(P1086="","",IF(AND(AD1086&lt;&gt;"",COUNTIFS(tcTipo,AD1086,tcLiq,"Sí")&gt;0),IF(OR(P1086="Gasto",P1086="Transferencia",P1086="Pago tarjeta"),-1,1)*S1086,0)+IF(AND(AE1086&lt;&gt;"",COUNTIFS(tcTipo,AE1086,tcLiq,"Sí")&gt;0),S1086,0))</f>
        <v/>
      </c>
      <c r="AI1086" s="52">
        <f>IF(OR(L1086="",P1086=""),"",IF(COUNTIFS(L$6:L1086,L1086,P$6:P1086,"?*")=1,MAX(AI$5:AI1085)+1,""))</f>
        <v/>
      </c>
    </row>
    <row r="1087">
      <c r="B1087" s="47" t="n"/>
      <c r="C1087" s="48" t="n"/>
      <c r="D1087" s="48" t="n"/>
      <c r="E1087" s="48" t="n"/>
      <c r="F1087" s="48" t="n"/>
      <c r="G1087" s="49" t="n"/>
      <c r="H1087" s="48" t="n"/>
      <c r="I1087" s="50" t="n"/>
      <c r="J1087" s="48" t="n"/>
      <c r="K1087" s="48" t="n"/>
      <c r="L1087" s="48" t="n"/>
      <c r="M1087" s="48" t="n"/>
      <c r="N1087" s="48" t="n"/>
      <c r="O1087" s="51">
        <f>IF(AND(B1087="",G1087="",C1087="",D1087="",J1087=""),"",IF(B1087="","⚠ Falta fecha",IF(G1087="","⚠ Falta monto",IF(Q1087="","⚠ Falta cuenta",IF(ISNA(MATCH(Q1087,ctaNombre,0)),"⚠ Cuenta no registrada",IF(AND(OR(P1087="Gasto",P1087="Reembolso"),D1087=""),"⚠ Falta categoría",IF(AND(D1087&lt;&gt;"",E1087&lt;&gt;"",ISNA(MATCH(D1087&amp;"|"&amp;E1087,catClave,0))),"⚠ Subcategoría no corresponde",IF(AND(OR(P1087="Transferencia",P1087="Pago tarjeta"),K1087=""),"⚠ Falta cuenta destino",IF(AND(K1087&lt;&gt;"",P1087&lt;&gt;"Transferencia",P1087&lt;&gt;"Pago tarjeta"),"⚠ Destino solo aplica a transferencias",IF(AND(K1087&lt;&gt;"",K1087=Q1087),"⚠ Origen igual a destino",IF(AND(K1087&lt;&gt;"",ISNA(MATCH(K1087,ctaNombre,0))),"⚠ Destino no registrado",IF(AND(P1087="Pago tarjeta",AE1087&lt;&gt;"Tarjeta de crédito"),"⚠ El destino debe ser tarjeta de crédito",IF(AND(P1087="Gasto",E1087="Depósitos y retiros"),"⚠ Usa tipo Transferencia",IF(AND(P1087="Resultado trading",AD1087&lt;&gt;"Cuenta de trading"),"⚠ Usa una cuenta de trading",IF(AND(G1087&lt;=0,P1087&lt;&gt;"Ajuste",P1087&lt;&gt;"Resultado trading"),"⚠ El monto debe ser positivo","✓")))))))))))))))</f>
        <v/>
      </c>
      <c r="P1087" s="52">
        <f>IF(OR(B1087="",G1087=""),"",IF(C1087="","Gasto",C1087))</f>
        <v/>
      </c>
      <c r="Q1087" s="52">
        <f>IF(P1087="","",IF(J1087&lt;&gt;"",J1087,CuentaPred&amp;""))</f>
        <v/>
      </c>
      <c r="R1087" s="52">
        <f>IF(P1087="","",IF(ISNUMBER(I1087),I1087,TasaUSD))</f>
        <v/>
      </c>
      <c r="S1087" s="53">
        <f>IF(P1087="","",IF(H1087="USD",G1087*R1087,G1087))</f>
        <v/>
      </c>
      <c r="T1087" s="53">
        <f>IF(P1087="","",IF(H1087="USD",G1087,IF(R1087&gt;0,G1087/R1087,0)))</f>
        <v/>
      </c>
      <c r="U1087" s="53">
        <f>IF(P1087="","",IF(P1087="Gasto",S1087,IF(P1087="Reembolso",-S1087,0)))</f>
        <v/>
      </c>
      <c r="V1087" s="53">
        <f>IF(P1087="","",IF(P1087="Ingreso",S1087,0))</f>
        <v/>
      </c>
      <c r="W1087" s="53">
        <f>IF(P1087="","",IF(P1087="Resultado trading",S1087,0))</f>
        <v/>
      </c>
      <c r="X1087" s="52">
        <f>IF(OR(P1087="Gasto",P1087="Reembolso"),IF(M1087&lt;&gt;"",M1087,IFERROR(INDEX(catClasif,MATCH(D1087&amp;"|"&amp;E1087,catClave,0))&amp;"","Variable")),"")</f>
        <v/>
      </c>
      <c r="Y1087" s="52">
        <f>IF(P1087="","",IFERROR(INDEX(catGrupo,MATCH(D1087&amp;"|"&amp;E1087,catClave,0))&amp;"",""))</f>
        <v/>
      </c>
      <c r="Z1087" s="52">
        <f>IF(P1087="","",WEEKDAY(B1087,2))</f>
        <v/>
      </c>
      <c r="AA1087" s="52">
        <f>IF(P1087="","",IF(AND(P1087="Gasto",X1087="Variable",D1087&lt;&gt;catTrading,S1087&gt;0,S1087&lt;=Umbral),1,0))</f>
        <v/>
      </c>
      <c r="AB1087" s="52">
        <f>IF(OR(P1087="",Q1087=""),"",IFERROR(IF(INDEX(ctaVinc,MATCH(Q1087,ctaNombre,0))&amp;""&lt;&gt;"",INDEX(ctaVinc,MATCH(Q1087,ctaNombre,0))&amp;"",Q1087),Q1087))</f>
        <v/>
      </c>
      <c r="AC1087" s="52">
        <f>IF(OR(K1087="",AND(P1087&lt;&gt;"Transferencia",P1087&lt;&gt;"Pago tarjeta")),"",IFERROR(IF(INDEX(ctaVinc,MATCH(K1087,ctaNombre,0))&amp;""&lt;&gt;"",INDEX(ctaVinc,MATCH(K1087,ctaNombre,0))&amp;"",K1087),K1087))</f>
        <v/>
      </c>
      <c r="AD1087" s="52">
        <f>IF(AB1087="","",IFERROR(INDEX(ctaTipo,MATCH(AB1087,ctaNombre,0))&amp;"",""))</f>
        <v/>
      </c>
      <c r="AE1087" s="52">
        <f>IF(AC1087="","",IFERROR(INDEX(ctaTipo,MATCH(AC1087,ctaNombre,0))&amp;"",""))</f>
        <v/>
      </c>
      <c r="AF1087" s="53">
        <f>IF(OR(P1087="",AB1087=""),"",IF(OR(P1087="Gasto",P1087="Transferencia",P1087="Pago tarjeta"),-1,1)*IF(IFERROR(INDEX(ctaMoneda,MATCH(AB1087,ctaNombre,0))&amp;"","DOP")="USD",T1087,S1087))</f>
        <v/>
      </c>
      <c r="AG1087" s="53">
        <f>IF(AC1087="","",IF(IFERROR(INDEX(ctaMoneda,MATCH(AC1087,ctaNombre,0))&amp;"","DOP")="USD",T1087,S1087))</f>
        <v/>
      </c>
      <c r="AH1087" s="53">
        <f>IF(P1087="","",IF(AND(AD1087&lt;&gt;"",COUNTIFS(tcTipo,AD1087,tcLiq,"Sí")&gt;0),IF(OR(P1087="Gasto",P1087="Transferencia",P1087="Pago tarjeta"),-1,1)*S1087,0)+IF(AND(AE1087&lt;&gt;"",COUNTIFS(tcTipo,AE1087,tcLiq,"Sí")&gt;0),S1087,0))</f>
        <v/>
      </c>
      <c r="AI1087" s="52">
        <f>IF(OR(L1087="",P1087=""),"",IF(COUNTIFS(L$6:L1087,L1087,P$6:P1087,"?*")=1,MAX(AI$5:AI1086)+1,""))</f>
        <v/>
      </c>
    </row>
    <row r="1088">
      <c r="B1088" s="47" t="n"/>
      <c r="C1088" s="48" t="n"/>
      <c r="D1088" s="48" t="n"/>
      <c r="E1088" s="48" t="n"/>
      <c r="F1088" s="48" t="n"/>
      <c r="G1088" s="49" t="n"/>
      <c r="H1088" s="48" t="n"/>
      <c r="I1088" s="50" t="n"/>
      <c r="J1088" s="48" t="n"/>
      <c r="K1088" s="48" t="n"/>
      <c r="L1088" s="48" t="n"/>
      <c r="M1088" s="48" t="n"/>
      <c r="N1088" s="48" t="n"/>
      <c r="O1088" s="51">
        <f>IF(AND(B1088="",G1088="",C1088="",D1088="",J1088=""),"",IF(B1088="","⚠ Falta fecha",IF(G1088="","⚠ Falta monto",IF(Q1088="","⚠ Falta cuenta",IF(ISNA(MATCH(Q1088,ctaNombre,0)),"⚠ Cuenta no registrada",IF(AND(OR(P1088="Gasto",P1088="Reembolso"),D1088=""),"⚠ Falta categoría",IF(AND(D1088&lt;&gt;"",E1088&lt;&gt;"",ISNA(MATCH(D1088&amp;"|"&amp;E1088,catClave,0))),"⚠ Subcategoría no corresponde",IF(AND(OR(P1088="Transferencia",P1088="Pago tarjeta"),K1088=""),"⚠ Falta cuenta destino",IF(AND(K1088&lt;&gt;"",P1088&lt;&gt;"Transferencia",P1088&lt;&gt;"Pago tarjeta"),"⚠ Destino solo aplica a transferencias",IF(AND(K1088&lt;&gt;"",K1088=Q1088),"⚠ Origen igual a destino",IF(AND(K1088&lt;&gt;"",ISNA(MATCH(K1088,ctaNombre,0))),"⚠ Destino no registrado",IF(AND(P1088="Pago tarjeta",AE1088&lt;&gt;"Tarjeta de crédito"),"⚠ El destino debe ser tarjeta de crédito",IF(AND(P1088="Gasto",E1088="Depósitos y retiros"),"⚠ Usa tipo Transferencia",IF(AND(P1088="Resultado trading",AD1088&lt;&gt;"Cuenta de trading"),"⚠ Usa una cuenta de trading",IF(AND(G1088&lt;=0,P1088&lt;&gt;"Ajuste",P1088&lt;&gt;"Resultado trading"),"⚠ El monto debe ser positivo","✓")))))))))))))))</f>
        <v/>
      </c>
      <c r="P1088" s="52">
        <f>IF(OR(B1088="",G1088=""),"",IF(C1088="","Gasto",C1088))</f>
        <v/>
      </c>
      <c r="Q1088" s="52">
        <f>IF(P1088="","",IF(J1088&lt;&gt;"",J1088,CuentaPred&amp;""))</f>
        <v/>
      </c>
      <c r="R1088" s="52">
        <f>IF(P1088="","",IF(ISNUMBER(I1088),I1088,TasaUSD))</f>
        <v/>
      </c>
      <c r="S1088" s="53">
        <f>IF(P1088="","",IF(H1088="USD",G1088*R1088,G1088))</f>
        <v/>
      </c>
      <c r="T1088" s="53">
        <f>IF(P1088="","",IF(H1088="USD",G1088,IF(R1088&gt;0,G1088/R1088,0)))</f>
        <v/>
      </c>
      <c r="U1088" s="53">
        <f>IF(P1088="","",IF(P1088="Gasto",S1088,IF(P1088="Reembolso",-S1088,0)))</f>
        <v/>
      </c>
      <c r="V1088" s="53">
        <f>IF(P1088="","",IF(P1088="Ingreso",S1088,0))</f>
        <v/>
      </c>
      <c r="W1088" s="53">
        <f>IF(P1088="","",IF(P1088="Resultado trading",S1088,0))</f>
        <v/>
      </c>
      <c r="X1088" s="52">
        <f>IF(OR(P1088="Gasto",P1088="Reembolso"),IF(M1088&lt;&gt;"",M1088,IFERROR(INDEX(catClasif,MATCH(D1088&amp;"|"&amp;E1088,catClave,0))&amp;"","Variable")),"")</f>
        <v/>
      </c>
      <c r="Y1088" s="52">
        <f>IF(P1088="","",IFERROR(INDEX(catGrupo,MATCH(D1088&amp;"|"&amp;E1088,catClave,0))&amp;"",""))</f>
        <v/>
      </c>
      <c r="Z1088" s="52">
        <f>IF(P1088="","",WEEKDAY(B1088,2))</f>
        <v/>
      </c>
      <c r="AA1088" s="52">
        <f>IF(P1088="","",IF(AND(P1088="Gasto",X1088="Variable",D1088&lt;&gt;catTrading,S1088&gt;0,S1088&lt;=Umbral),1,0))</f>
        <v/>
      </c>
      <c r="AB1088" s="52">
        <f>IF(OR(P1088="",Q1088=""),"",IFERROR(IF(INDEX(ctaVinc,MATCH(Q1088,ctaNombre,0))&amp;""&lt;&gt;"",INDEX(ctaVinc,MATCH(Q1088,ctaNombre,0))&amp;"",Q1088),Q1088))</f>
        <v/>
      </c>
      <c r="AC1088" s="52">
        <f>IF(OR(K1088="",AND(P1088&lt;&gt;"Transferencia",P1088&lt;&gt;"Pago tarjeta")),"",IFERROR(IF(INDEX(ctaVinc,MATCH(K1088,ctaNombre,0))&amp;""&lt;&gt;"",INDEX(ctaVinc,MATCH(K1088,ctaNombre,0))&amp;"",K1088),K1088))</f>
        <v/>
      </c>
      <c r="AD1088" s="52">
        <f>IF(AB1088="","",IFERROR(INDEX(ctaTipo,MATCH(AB1088,ctaNombre,0))&amp;"",""))</f>
        <v/>
      </c>
      <c r="AE1088" s="52">
        <f>IF(AC1088="","",IFERROR(INDEX(ctaTipo,MATCH(AC1088,ctaNombre,0))&amp;"",""))</f>
        <v/>
      </c>
      <c r="AF1088" s="53">
        <f>IF(OR(P1088="",AB1088=""),"",IF(OR(P1088="Gasto",P1088="Transferencia",P1088="Pago tarjeta"),-1,1)*IF(IFERROR(INDEX(ctaMoneda,MATCH(AB1088,ctaNombre,0))&amp;"","DOP")="USD",T1088,S1088))</f>
        <v/>
      </c>
      <c r="AG1088" s="53">
        <f>IF(AC1088="","",IF(IFERROR(INDEX(ctaMoneda,MATCH(AC1088,ctaNombre,0))&amp;"","DOP")="USD",T1088,S1088))</f>
        <v/>
      </c>
      <c r="AH1088" s="53">
        <f>IF(P1088="","",IF(AND(AD1088&lt;&gt;"",COUNTIFS(tcTipo,AD1088,tcLiq,"Sí")&gt;0),IF(OR(P1088="Gasto",P1088="Transferencia",P1088="Pago tarjeta"),-1,1)*S1088,0)+IF(AND(AE1088&lt;&gt;"",COUNTIFS(tcTipo,AE1088,tcLiq,"Sí")&gt;0),S1088,0))</f>
        <v/>
      </c>
      <c r="AI1088" s="52">
        <f>IF(OR(L1088="",P1088=""),"",IF(COUNTIFS(L$6:L1088,L1088,P$6:P1088,"?*")=1,MAX(AI$5:AI1087)+1,""))</f>
        <v/>
      </c>
    </row>
    <row r="1089">
      <c r="B1089" s="47" t="n"/>
      <c r="C1089" s="48" t="n"/>
      <c r="D1089" s="48" t="n"/>
      <c r="E1089" s="48" t="n"/>
      <c r="F1089" s="48" t="n"/>
      <c r="G1089" s="49" t="n"/>
      <c r="H1089" s="48" t="n"/>
      <c r="I1089" s="50" t="n"/>
      <c r="J1089" s="48" t="n"/>
      <c r="K1089" s="48" t="n"/>
      <c r="L1089" s="48" t="n"/>
      <c r="M1089" s="48" t="n"/>
      <c r="N1089" s="48" t="n"/>
      <c r="O1089" s="51">
        <f>IF(AND(B1089="",G1089="",C1089="",D1089="",J1089=""),"",IF(B1089="","⚠ Falta fecha",IF(G1089="","⚠ Falta monto",IF(Q1089="","⚠ Falta cuenta",IF(ISNA(MATCH(Q1089,ctaNombre,0)),"⚠ Cuenta no registrada",IF(AND(OR(P1089="Gasto",P1089="Reembolso"),D1089=""),"⚠ Falta categoría",IF(AND(D1089&lt;&gt;"",E1089&lt;&gt;"",ISNA(MATCH(D1089&amp;"|"&amp;E1089,catClave,0))),"⚠ Subcategoría no corresponde",IF(AND(OR(P1089="Transferencia",P1089="Pago tarjeta"),K1089=""),"⚠ Falta cuenta destino",IF(AND(K1089&lt;&gt;"",P1089&lt;&gt;"Transferencia",P1089&lt;&gt;"Pago tarjeta"),"⚠ Destino solo aplica a transferencias",IF(AND(K1089&lt;&gt;"",K1089=Q1089),"⚠ Origen igual a destino",IF(AND(K1089&lt;&gt;"",ISNA(MATCH(K1089,ctaNombre,0))),"⚠ Destino no registrado",IF(AND(P1089="Pago tarjeta",AE1089&lt;&gt;"Tarjeta de crédito"),"⚠ El destino debe ser tarjeta de crédito",IF(AND(P1089="Gasto",E1089="Depósitos y retiros"),"⚠ Usa tipo Transferencia",IF(AND(P1089="Resultado trading",AD1089&lt;&gt;"Cuenta de trading"),"⚠ Usa una cuenta de trading",IF(AND(G1089&lt;=0,P1089&lt;&gt;"Ajuste",P1089&lt;&gt;"Resultado trading"),"⚠ El monto debe ser positivo","✓")))))))))))))))</f>
        <v/>
      </c>
      <c r="P1089" s="52">
        <f>IF(OR(B1089="",G1089=""),"",IF(C1089="","Gasto",C1089))</f>
        <v/>
      </c>
      <c r="Q1089" s="52">
        <f>IF(P1089="","",IF(J1089&lt;&gt;"",J1089,CuentaPred&amp;""))</f>
        <v/>
      </c>
      <c r="R1089" s="52">
        <f>IF(P1089="","",IF(ISNUMBER(I1089),I1089,TasaUSD))</f>
        <v/>
      </c>
      <c r="S1089" s="53">
        <f>IF(P1089="","",IF(H1089="USD",G1089*R1089,G1089))</f>
        <v/>
      </c>
      <c r="T1089" s="53">
        <f>IF(P1089="","",IF(H1089="USD",G1089,IF(R1089&gt;0,G1089/R1089,0)))</f>
        <v/>
      </c>
      <c r="U1089" s="53">
        <f>IF(P1089="","",IF(P1089="Gasto",S1089,IF(P1089="Reembolso",-S1089,0)))</f>
        <v/>
      </c>
      <c r="V1089" s="53">
        <f>IF(P1089="","",IF(P1089="Ingreso",S1089,0))</f>
        <v/>
      </c>
      <c r="W1089" s="53">
        <f>IF(P1089="","",IF(P1089="Resultado trading",S1089,0))</f>
        <v/>
      </c>
      <c r="X1089" s="52">
        <f>IF(OR(P1089="Gasto",P1089="Reembolso"),IF(M1089&lt;&gt;"",M1089,IFERROR(INDEX(catClasif,MATCH(D1089&amp;"|"&amp;E1089,catClave,0))&amp;"","Variable")),"")</f>
        <v/>
      </c>
      <c r="Y1089" s="52">
        <f>IF(P1089="","",IFERROR(INDEX(catGrupo,MATCH(D1089&amp;"|"&amp;E1089,catClave,0))&amp;"",""))</f>
        <v/>
      </c>
      <c r="Z1089" s="52">
        <f>IF(P1089="","",WEEKDAY(B1089,2))</f>
        <v/>
      </c>
      <c r="AA1089" s="52">
        <f>IF(P1089="","",IF(AND(P1089="Gasto",X1089="Variable",D1089&lt;&gt;catTrading,S1089&gt;0,S1089&lt;=Umbral),1,0))</f>
        <v/>
      </c>
      <c r="AB1089" s="52">
        <f>IF(OR(P1089="",Q1089=""),"",IFERROR(IF(INDEX(ctaVinc,MATCH(Q1089,ctaNombre,0))&amp;""&lt;&gt;"",INDEX(ctaVinc,MATCH(Q1089,ctaNombre,0))&amp;"",Q1089),Q1089))</f>
        <v/>
      </c>
      <c r="AC1089" s="52">
        <f>IF(OR(K1089="",AND(P1089&lt;&gt;"Transferencia",P1089&lt;&gt;"Pago tarjeta")),"",IFERROR(IF(INDEX(ctaVinc,MATCH(K1089,ctaNombre,0))&amp;""&lt;&gt;"",INDEX(ctaVinc,MATCH(K1089,ctaNombre,0))&amp;"",K1089),K1089))</f>
        <v/>
      </c>
      <c r="AD1089" s="52">
        <f>IF(AB1089="","",IFERROR(INDEX(ctaTipo,MATCH(AB1089,ctaNombre,0))&amp;"",""))</f>
        <v/>
      </c>
      <c r="AE1089" s="52">
        <f>IF(AC1089="","",IFERROR(INDEX(ctaTipo,MATCH(AC1089,ctaNombre,0))&amp;"",""))</f>
        <v/>
      </c>
      <c r="AF1089" s="53">
        <f>IF(OR(P1089="",AB1089=""),"",IF(OR(P1089="Gasto",P1089="Transferencia",P1089="Pago tarjeta"),-1,1)*IF(IFERROR(INDEX(ctaMoneda,MATCH(AB1089,ctaNombre,0))&amp;"","DOP")="USD",T1089,S1089))</f>
        <v/>
      </c>
      <c r="AG1089" s="53">
        <f>IF(AC1089="","",IF(IFERROR(INDEX(ctaMoneda,MATCH(AC1089,ctaNombre,0))&amp;"","DOP")="USD",T1089,S1089))</f>
        <v/>
      </c>
      <c r="AH1089" s="53">
        <f>IF(P1089="","",IF(AND(AD1089&lt;&gt;"",COUNTIFS(tcTipo,AD1089,tcLiq,"Sí")&gt;0),IF(OR(P1089="Gasto",P1089="Transferencia",P1089="Pago tarjeta"),-1,1)*S1089,0)+IF(AND(AE1089&lt;&gt;"",COUNTIFS(tcTipo,AE1089,tcLiq,"Sí")&gt;0),S1089,0))</f>
        <v/>
      </c>
      <c r="AI1089" s="52">
        <f>IF(OR(L1089="",P1089=""),"",IF(COUNTIFS(L$6:L1089,L1089,P$6:P1089,"?*")=1,MAX(AI$5:AI1088)+1,""))</f>
        <v/>
      </c>
    </row>
    <row r="1090">
      <c r="B1090" s="47" t="n"/>
      <c r="C1090" s="48" t="n"/>
      <c r="D1090" s="48" t="n"/>
      <c r="E1090" s="48" t="n"/>
      <c r="F1090" s="48" t="n"/>
      <c r="G1090" s="49" t="n"/>
      <c r="H1090" s="48" t="n"/>
      <c r="I1090" s="50" t="n"/>
      <c r="J1090" s="48" t="n"/>
      <c r="K1090" s="48" t="n"/>
      <c r="L1090" s="48" t="n"/>
      <c r="M1090" s="48" t="n"/>
      <c r="N1090" s="48" t="n"/>
      <c r="O1090" s="51">
        <f>IF(AND(B1090="",G1090="",C1090="",D1090="",J1090=""),"",IF(B1090="","⚠ Falta fecha",IF(G1090="","⚠ Falta monto",IF(Q1090="","⚠ Falta cuenta",IF(ISNA(MATCH(Q1090,ctaNombre,0)),"⚠ Cuenta no registrada",IF(AND(OR(P1090="Gasto",P1090="Reembolso"),D1090=""),"⚠ Falta categoría",IF(AND(D1090&lt;&gt;"",E1090&lt;&gt;"",ISNA(MATCH(D1090&amp;"|"&amp;E1090,catClave,0))),"⚠ Subcategoría no corresponde",IF(AND(OR(P1090="Transferencia",P1090="Pago tarjeta"),K1090=""),"⚠ Falta cuenta destino",IF(AND(K1090&lt;&gt;"",P1090&lt;&gt;"Transferencia",P1090&lt;&gt;"Pago tarjeta"),"⚠ Destino solo aplica a transferencias",IF(AND(K1090&lt;&gt;"",K1090=Q1090),"⚠ Origen igual a destino",IF(AND(K1090&lt;&gt;"",ISNA(MATCH(K1090,ctaNombre,0))),"⚠ Destino no registrado",IF(AND(P1090="Pago tarjeta",AE1090&lt;&gt;"Tarjeta de crédito"),"⚠ El destino debe ser tarjeta de crédito",IF(AND(P1090="Gasto",E1090="Depósitos y retiros"),"⚠ Usa tipo Transferencia",IF(AND(P1090="Resultado trading",AD1090&lt;&gt;"Cuenta de trading"),"⚠ Usa una cuenta de trading",IF(AND(G1090&lt;=0,P1090&lt;&gt;"Ajuste",P1090&lt;&gt;"Resultado trading"),"⚠ El monto debe ser positivo","✓")))))))))))))))</f>
        <v/>
      </c>
      <c r="P1090" s="52">
        <f>IF(OR(B1090="",G1090=""),"",IF(C1090="","Gasto",C1090))</f>
        <v/>
      </c>
      <c r="Q1090" s="52">
        <f>IF(P1090="","",IF(J1090&lt;&gt;"",J1090,CuentaPred&amp;""))</f>
        <v/>
      </c>
      <c r="R1090" s="52">
        <f>IF(P1090="","",IF(ISNUMBER(I1090),I1090,TasaUSD))</f>
        <v/>
      </c>
      <c r="S1090" s="53">
        <f>IF(P1090="","",IF(H1090="USD",G1090*R1090,G1090))</f>
        <v/>
      </c>
      <c r="T1090" s="53">
        <f>IF(P1090="","",IF(H1090="USD",G1090,IF(R1090&gt;0,G1090/R1090,0)))</f>
        <v/>
      </c>
      <c r="U1090" s="53">
        <f>IF(P1090="","",IF(P1090="Gasto",S1090,IF(P1090="Reembolso",-S1090,0)))</f>
        <v/>
      </c>
      <c r="V1090" s="53">
        <f>IF(P1090="","",IF(P1090="Ingreso",S1090,0))</f>
        <v/>
      </c>
      <c r="W1090" s="53">
        <f>IF(P1090="","",IF(P1090="Resultado trading",S1090,0))</f>
        <v/>
      </c>
      <c r="X1090" s="52">
        <f>IF(OR(P1090="Gasto",P1090="Reembolso"),IF(M1090&lt;&gt;"",M1090,IFERROR(INDEX(catClasif,MATCH(D1090&amp;"|"&amp;E1090,catClave,0))&amp;"","Variable")),"")</f>
        <v/>
      </c>
      <c r="Y1090" s="52">
        <f>IF(P1090="","",IFERROR(INDEX(catGrupo,MATCH(D1090&amp;"|"&amp;E1090,catClave,0))&amp;"",""))</f>
        <v/>
      </c>
      <c r="Z1090" s="52">
        <f>IF(P1090="","",WEEKDAY(B1090,2))</f>
        <v/>
      </c>
      <c r="AA1090" s="52">
        <f>IF(P1090="","",IF(AND(P1090="Gasto",X1090="Variable",D1090&lt;&gt;catTrading,S1090&gt;0,S1090&lt;=Umbral),1,0))</f>
        <v/>
      </c>
      <c r="AB1090" s="52">
        <f>IF(OR(P1090="",Q1090=""),"",IFERROR(IF(INDEX(ctaVinc,MATCH(Q1090,ctaNombre,0))&amp;""&lt;&gt;"",INDEX(ctaVinc,MATCH(Q1090,ctaNombre,0))&amp;"",Q1090),Q1090))</f>
        <v/>
      </c>
      <c r="AC1090" s="52">
        <f>IF(OR(K1090="",AND(P1090&lt;&gt;"Transferencia",P1090&lt;&gt;"Pago tarjeta")),"",IFERROR(IF(INDEX(ctaVinc,MATCH(K1090,ctaNombre,0))&amp;""&lt;&gt;"",INDEX(ctaVinc,MATCH(K1090,ctaNombre,0))&amp;"",K1090),K1090))</f>
        <v/>
      </c>
      <c r="AD1090" s="52">
        <f>IF(AB1090="","",IFERROR(INDEX(ctaTipo,MATCH(AB1090,ctaNombre,0))&amp;"",""))</f>
        <v/>
      </c>
      <c r="AE1090" s="52">
        <f>IF(AC1090="","",IFERROR(INDEX(ctaTipo,MATCH(AC1090,ctaNombre,0))&amp;"",""))</f>
        <v/>
      </c>
      <c r="AF1090" s="53">
        <f>IF(OR(P1090="",AB1090=""),"",IF(OR(P1090="Gasto",P1090="Transferencia",P1090="Pago tarjeta"),-1,1)*IF(IFERROR(INDEX(ctaMoneda,MATCH(AB1090,ctaNombre,0))&amp;"","DOP")="USD",T1090,S1090))</f>
        <v/>
      </c>
      <c r="AG1090" s="53">
        <f>IF(AC1090="","",IF(IFERROR(INDEX(ctaMoneda,MATCH(AC1090,ctaNombre,0))&amp;"","DOP")="USD",T1090,S1090))</f>
        <v/>
      </c>
      <c r="AH1090" s="53">
        <f>IF(P1090="","",IF(AND(AD1090&lt;&gt;"",COUNTIFS(tcTipo,AD1090,tcLiq,"Sí")&gt;0),IF(OR(P1090="Gasto",P1090="Transferencia",P1090="Pago tarjeta"),-1,1)*S1090,0)+IF(AND(AE1090&lt;&gt;"",COUNTIFS(tcTipo,AE1090,tcLiq,"Sí")&gt;0),S1090,0))</f>
        <v/>
      </c>
      <c r="AI1090" s="52">
        <f>IF(OR(L1090="",P1090=""),"",IF(COUNTIFS(L$6:L1090,L1090,P$6:P1090,"?*")=1,MAX(AI$5:AI1089)+1,""))</f>
        <v/>
      </c>
    </row>
    <row r="1091">
      <c r="B1091" s="47" t="n"/>
      <c r="C1091" s="48" t="n"/>
      <c r="D1091" s="48" t="n"/>
      <c r="E1091" s="48" t="n"/>
      <c r="F1091" s="48" t="n"/>
      <c r="G1091" s="49" t="n"/>
      <c r="H1091" s="48" t="n"/>
      <c r="I1091" s="50" t="n"/>
      <c r="J1091" s="48" t="n"/>
      <c r="K1091" s="48" t="n"/>
      <c r="L1091" s="48" t="n"/>
      <c r="M1091" s="48" t="n"/>
      <c r="N1091" s="48" t="n"/>
      <c r="O1091" s="51">
        <f>IF(AND(B1091="",G1091="",C1091="",D1091="",J1091=""),"",IF(B1091="","⚠ Falta fecha",IF(G1091="","⚠ Falta monto",IF(Q1091="","⚠ Falta cuenta",IF(ISNA(MATCH(Q1091,ctaNombre,0)),"⚠ Cuenta no registrada",IF(AND(OR(P1091="Gasto",P1091="Reembolso"),D1091=""),"⚠ Falta categoría",IF(AND(D1091&lt;&gt;"",E1091&lt;&gt;"",ISNA(MATCH(D1091&amp;"|"&amp;E1091,catClave,0))),"⚠ Subcategoría no corresponde",IF(AND(OR(P1091="Transferencia",P1091="Pago tarjeta"),K1091=""),"⚠ Falta cuenta destino",IF(AND(K1091&lt;&gt;"",P1091&lt;&gt;"Transferencia",P1091&lt;&gt;"Pago tarjeta"),"⚠ Destino solo aplica a transferencias",IF(AND(K1091&lt;&gt;"",K1091=Q1091),"⚠ Origen igual a destino",IF(AND(K1091&lt;&gt;"",ISNA(MATCH(K1091,ctaNombre,0))),"⚠ Destino no registrado",IF(AND(P1091="Pago tarjeta",AE1091&lt;&gt;"Tarjeta de crédito"),"⚠ El destino debe ser tarjeta de crédito",IF(AND(P1091="Gasto",E1091="Depósitos y retiros"),"⚠ Usa tipo Transferencia",IF(AND(P1091="Resultado trading",AD1091&lt;&gt;"Cuenta de trading"),"⚠ Usa una cuenta de trading",IF(AND(G1091&lt;=0,P1091&lt;&gt;"Ajuste",P1091&lt;&gt;"Resultado trading"),"⚠ El monto debe ser positivo","✓")))))))))))))))</f>
        <v/>
      </c>
      <c r="P1091" s="52">
        <f>IF(OR(B1091="",G1091=""),"",IF(C1091="","Gasto",C1091))</f>
        <v/>
      </c>
      <c r="Q1091" s="52">
        <f>IF(P1091="","",IF(J1091&lt;&gt;"",J1091,CuentaPred&amp;""))</f>
        <v/>
      </c>
      <c r="R1091" s="52">
        <f>IF(P1091="","",IF(ISNUMBER(I1091),I1091,TasaUSD))</f>
        <v/>
      </c>
      <c r="S1091" s="53">
        <f>IF(P1091="","",IF(H1091="USD",G1091*R1091,G1091))</f>
        <v/>
      </c>
      <c r="T1091" s="53">
        <f>IF(P1091="","",IF(H1091="USD",G1091,IF(R1091&gt;0,G1091/R1091,0)))</f>
        <v/>
      </c>
      <c r="U1091" s="53">
        <f>IF(P1091="","",IF(P1091="Gasto",S1091,IF(P1091="Reembolso",-S1091,0)))</f>
        <v/>
      </c>
      <c r="V1091" s="53">
        <f>IF(P1091="","",IF(P1091="Ingreso",S1091,0))</f>
        <v/>
      </c>
      <c r="W1091" s="53">
        <f>IF(P1091="","",IF(P1091="Resultado trading",S1091,0))</f>
        <v/>
      </c>
      <c r="X1091" s="52">
        <f>IF(OR(P1091="Gasto",P1091="Reembolso"),IF(M1091&lt;&gt;"",M1091,IFERROR(INDEX(catClasif,MATCH(D1091&amp;"|"&amp;E1091,catClave,0))&amp;"","Variable")),"")</f>
        <v/>
      </c>
      <c r="Y1091" s="52">
        <f>IF(P1091="","",IFERROR(INDEX(catGrupo,MATCH(D1091&amp;"|"&amp;E1091,catClave,0))&amp;"",""))</f>
        <v/>
      </c>
      <c r="Z1091" s="52">
        <f>IF(P1091="","",WEEKDAY(B1091,2))</f>
        <v/>
      </c>
      <c r="AA1091" s="52">
        <f>IF(P1091="","",IF(AND(P1091="Gasto",X1091="Variable",D1091&lt;&gt;catTrading,S1091&gt;0,S1091&lt;=Umbral),1,0))</f>
        <v/>
      </c>
      <c r="AB1091" s="52">
        <f>IF(OR(P1091="",Q1091=""),"",IFERROR(IF(INDEX(ctaVinc,MATCH(Q1091,ctaNombre,0))&amp;""&lt;&gt;"",INDEX(ctaVinc,MATCH(Q1091,ctaNombre,0))&amp;"",Q1091),Q1091))</f>
        <v/>
      </c>
      <c r="AC1091" s="52">
        <f>IF(OR(K1091="",AND(P1091&lt;&gt;"Transferencia",P1091&lt;&gt;"Pago tarjeta")),"",IFERROR(IF(INDEX(ctaVinc,MATCH(K1091,ctaNombre,0))&amp;""&lt;&gt;"",INDEX(ctaVinc,MATCH(K1091,ctaNombre,0))&amp;"",K1091),K1091))</f>
        <v/>
      </c>
      <c r="AD1091" s="52">
        <f>IF(AB1091="","",IFERROR(INDEX(ctaTipo,MATCH(AB1091,ctaNombre,0))&amp;"",""))</f>
        <v/>
      </c>
      <c r="AE1091" s="52">
        <f>IF(AC1091="","",IFERROR(INDEX(ctaTipo,MATCH(AC1091,ctaNombre,0))&amp;"",""))</f>
        <v/>
      </c>
      <c r="AF1091" s="53">
        <f>IF(OR(P1091="",AB1091=""),"",IF(OR(P1091="Gasto",P1091="Transferencia",P1091="Pago tarjeta"),-1,1)*IF(IFERROR(INDEX(ctaMoneda,MATCH(AB1091,ctaNombre,0))&amp;"","DOP")="USD",T1091,S1091))</f>
        <v/>
      </c>
      <c r="AG1091" s="53">
        <f>IF(AC1091="","",IF(IFERROR(INDEX(ctaMoneda,MATCH(AC1091,ctaNombre,0))&amp;"","DOP")="USD",T1091,S1091))</f>
        <v/>
      </c>
      <c r="AH1091" s="53">
        <f>IF(P1091="","",IF(AND(AD1091&lt;&gt;"",COUNTIFS(tcTipo,AD1091,tcLiq,"Sí")&gt;0),IF(OR(P1091="Gasto",P1091="Transferencia",P1091="Pago tarjeta"),-1,1)*S1091,0)+IF(AND(AE1091&lt;&gt;"",COUNTIFS(tcTipo,AE1091,tcLiq,"Sí")&gt;0),S1091,0))</f>
        <v/>
      </c>
      <c r="AI1091" s="52">
        <f>IF(OR(L1091="",P1091=""),"",IF(COUNTIFS(L$6:L1091,L1091,P$6:P1091,"?*")=1,MAX(AI$5:AI1090)+1,""))</f>
        <v/>
      </c>
    </row>
    <row r="1092">
      <c r="B1092" s="47" t="n"/>
      <c r="C1092" s="48" t="n"/>
      <c r="D1092" s="48" t="n"/>
      <c r="E1092" s="48" t="n"/>
      <c r="F1092" s="48" t="n"/>
      <c r="G1092" s="49" t="n"/>
      <c r="H1092" s="48" t="n"/>
      <c r="I1092" s="50" t="n"/>
      <c r="J1092" s="48" t="n"/>
      <c r="K1092" s="48" t="n"/>
      <c r="L1092" s="48" t="n"/>
      <c r="M1092" s="48" t="n"/>
      <c r="N1092" s="48" t="n"/>
      <c r="O1092" s="51">
        <f>IF(AND(B1092="",G1092="",C1092="",D1092="",J1092=""),"",IF(B1092="","⚠ Falta fecha",IF(G1092="","⚠ Falta monto",IF(Q1092="","⚠ Falta cuenta",IF(ISNA(MATCH(Q1092,ctaNombre,0)),"⚠ Cuenta no registrada",IF(AND(OR(P1092="Gasto",P1092="Reembolso"),D1092=""),"⚠ Falta categoría",IF(AND(D1092&lt;&gt;"",E1092&lt;&gt;"",ISNA(MATCH(D1092&amp;"|"&amp;E1092,catClave,0))),"⚠ Subcategoría no corresponde",IF(AND(OR(P1092="Transferencia",P1092="Pago tarjeta"),K1092=""),"⚠ Falta cuenta destino",IF(AND(K1092&lt;&gt;"",P1092&lt;&gt;"Transferencia",P1092&lt;&gt;"Pago tarjeta"),"⚠ Destino solo aplica a transferencias",IF(AND(K1092&lt;&gt;"",K1092=Q1092),"⚠ Origen igual a destino",IF(AND(K1092&lt;&gt;"",ISNA(MATCH(K1092,ctaNombre,0))),"⚠ Destino no registrado",IF(AND(P1092="Pago tarjeta",AE1092&lt;&gt;"Tarjeta de crédito"),"⚠ El destino debe ser tarjeta de crédito",IF(AND(P1092="Gasto",E1092="Depósitos y retiros"),"⚠ Usa tipo Transferencia",IF(AND(P1092="Resultado trading",AD1092&lt;&gt;"Cuenta de trading"),"⚠ Usa una cuenta de trading",IF(AND(G1092&lt;=0,P1092&lt;&gt;"Ajuste",P1092&lt;&gt;"Resultado trading"),"⚠ El monto debe ser positivo","✓")))))))))))))))</f>
        <v/>
      </c>
      <c r="P1092" s="52">
        <f>IF(OR(B1092="",G1092=""),"",IF(C1092="","Gasto",C1092))</f>
        <v/>
      </c>
      <c r="Q1092" s="52">
        <f>IF(P1092="","",IF(J1092&lt;&gt;"",J1092,CuentaPred&amp;""))</f>
        <v/>
      </c>
      <c r="R1092" s="52">
        <f>IF(P1092="","",IF(ISNUMBER(I1092),I1092,TasaUSD))</f>
        <v/>
      </c>
      <c r="S1092" s="53">
        <f>IF(P1092="","",IF(H1092="USD",G1092*R1092,G1092))</f>
        <v/>
      </c>
      <c r="T1092" s="53">
        <f>IF(P1092="","",IF(H1092="USD",G1092,IF(R1092&gt;0,G1092/R1092,0)))</f>
        <v/>
      </c>
      <c r="U1092" s="53">
        <f>IF(P1092="","",IF(P1092="Gasto",S1092,IF(P1092="Reembolso",-S1092,0)))</f>
        <v/>
      </c>
      <c r="V1092" s="53">
        <f>IF(P1092="","",IF(P1092="Ingreso",S1092,0))</f>
        <v/>
      </c>
      <c r="W1092" s="53">
        <f>IF(P1092="","",IF(P1092="Resultado trading",S1092,0))</f>
        <v/>
      </c>
      <c r="X1092" s="52">
        <f>IF(OR(P1092="Gasto",P1092="Reembolso"),IF(M1092&lt;&gt;"",M1092,IFERROR(INDEX(catClasif,MATCH(D1092&amp;"|"&amp;E1092,catClave,0))&amp;"","Variable")),"")</f>
        <v/>
      </c>
      <c r="Y1092" s="52">
        <f>IF(P1092="","",IFERROR(INDEX(catGrupo,MATCH(D1092&amp;"|"&amp;E1092,catClave,0))&amp;"",""))</f>
        <v/>
      </c>
      <c r="Z1092" s="52">
        <f>IF(P1092="","",WEEKDAY(B1092,2))</f>
        <v/>
      </c>
      <c r="AA1092" s="52">
        <f>IF(P1092="","",IF(AND(P1092="Gasto",X1092="Variable",D1092&lt;&gt;catTrading,S1092&gt;0,S1092&lt;=Umbral),1,0))</f>
        <v/>
      </c>
      <c r="AB1092" s="52">
        <f>IF(OR(P1092="",Q1092=""),"",IFERROR(IF(INDEX(ctaVinc,MATCH(Q1092,ctaNombre,0))&amp;""&lt;&gt;"",INDEX(ctaVinc,MATCH(Q1092,ctaNombre,0))&amp;"",Q1092),Q1092))</f>
        <v/>
      </c>
      <c r="AC1092" s="52">
        <f>IF(OR(K1092="",AND(P1092&lt;&gt;"Transferencia",P1092&lt;&gt;"Pago tarjeta")),"",IFERROR(IF(INDEX(ctaVinc,MATCH(K1092,ctaNombre,0))&amp;""&lt;&gt;"",INDEX(ctaVinc,MATCH(K1092,ctaNombre,0))&amp;"",K1092),K1092))</f>
        <v/>
      </c>
      <c r="AD1092" s="52">
        <f>IF(AB1092="","",IFERROR(INDEX(ctaTipo,MATCH(AB1092,ctaNombre,0))&amp;"",""))</f>
        <v/>
      </c>
      <c r="AE1092" s="52">
        <f>IF(AC1092="","",IFERROR(INDEX(ctaTipo,MATCH(AC1092,ctaNombre,0))&amp;"",""))</f>
        <v/>
      </c>
      <c r="AF1092" s="53">
        <f>IF(OR(P1092="",AB1092=""),"",IF(OR(P1092="Gasto",P1092="Transferencia",P1092="Pago tarjeta"),-1,1)*IF(IFERROR(INDEX(ctaMoneda,MATCH(AB1092,ctaNombre,0))&amp;"","DOP")="USD",T1092,S1092))</f>
        <v/>
      </c>
      <c r="AG1092" s="53">
        <f>IF(AC1092="","",IF(IFERROR(INDEX(ctaMoneda,MATCH(AC1092,ctaNombre,0))&amp;"","DOP")="USD",T1092,S1092))</f>
        <v/>
      </c>
      <c r="AH1092" s="53">
        <f>IF(P1092="","",IF(AND(AD1092&lt;&gt;"",COUNTIFS(tcTipo,AD1092,tcLiq,"Sí")&gt;0),IF(OR(P1092="Gasto",P1092="Transferencia",P1092="Pago tarjeta"),-1,1)*S1092,0)+IF(AND(AE1092&lt;&gt;"",COUNTIFS(tcTipo,AE1092,tcLiq,"Sí")&gt;0),S1092,0))</f>
        <v/>
      </c>
      <c r="AI1092" s="52">
        <f>IF(OR(L1092="",P1092=""),"",IF(COUNTIFS(L$6:L1092,L1092,P$6:P1092,"?*")=1,MAX(AI$5:AI1091)+1,""))</f>
        <v/>
      </c>
    </row>
    <row r="1093">
      <c r="B1093" s="47" t="n"/>
      <c r="C1093" s="48" t="n"/>
      <c r="D1093" s="48" t="n"/>
      <c r="E1093" s="48" t="n"/>
      <c r="F1093" s="48" t="n"/>
      <c r="G1093" s="49" t="n"/>
      <c r="H1093" s="48" t="n"/>
      <c r="I1093" s="50" t="n"/>
      <c r="J1093" s="48" t="n"/>
      <c r="K1093" s="48" t="n"/>
      <c r="L1093" s="48" t="n"/>
      <c r="M1093" s="48" t="n"/>
      <c r="N1093" s="48" t="n"/>
      <c r="O1093" s="51">
        <f>IF(AND(B1093="",G1093="",C1093="",D1093="",J1093=""),"",IF(B1093="","⚠ Falta fecha",IF(G1093="","⚠ Falta monto",IF(Q1093="","⚠ Falta cuenta",IF(ISNA(MATCH(Q1093,ctaNombre,0)),"⚠ Cuenta no registrada",IF(AND(OR(P1093="Gasto",P1093="Reembolso"),D1093=""),"⚠ Falta categoría",IF(AND(D1093&lt;&gt;"",E1093&lt;&gt;"",ISNA(MATCH(D1093&amp;"|"&amp;E1093,catClave,0))),"⚠ Subcategoría no corresponde",IF(AND(OR(P1093="Transferencia",P1093="Pago tarjeta"),K1093=""),"⚠ Falta cuenta destino",IF(AND(K1093&lt;&gt;"",P1093&lt;&gt;"Transferencia",P1093&lt;&gt;"Pago tarjeta"),"⚠ Destino solo aplica a transferencias",IF(AND(K1093&lt;&gt;"",K1093=Q1093),"⚠ Origen igual a destino",IF(AND(K1093&lt;&gt;"",ISNA(MATCH(K1093,ctaNombre,0))),"⚠ Destino no registrado",IF(AND(P1093="Pago tarjeta",AE1093&lt;&gt;"Tarjeta de crédito"),"⚠ El destino debe ser tarjeta de crédito",IF(AND(P1093="Gasto",E1093="Depósitos y retiros"),"⚠ Usa tipo Transferencia",IF(AND(P1093="Resultado trading",AD1093&lt;&gt;"Cuenta de trading"),"⚠ Usa una cuenta de trading",IF(AND(G1093&lt;=0,P1093&lt;&gt;"Ajuste",P1093&lt;&gt;"Resultado trading"),"⚠ El monto debe ser positivo","✓")))))))))))))))</f>
        <v/>
      </c>
      <c r="P1093" s="52">
        <f>IF(OR(B1093="",G1093=""),"",IF(C1093="","Gasto",C1093))</f>
        <v/>
      </c>
      <c r="Q1093" s="52">
        <f>IF(P1093="","",IF(J1093&lt;&gt;"",J1093,CuentaPred&amp;""))</f>
        <v/>
      </c>
      <c r="R1093" s="52">
        <f>IF(P1093="","",IF(ISNUMBER(I1093),I1093,TasaUSD))</f>
        <v/>
      </c>
      <c r="S1093" s="53">
        <f>IF(P1093="","",IF(H1093="USD",G1093*R1093,G1093))</f>
        <v/>
      </c>
      <c r="T1093" s="53">
        <f>IF(P1093="","",IF(H1093="USD",G1093,IF(R1093&gt;0,G1093/R1093,0)))</f>
        <v/>
      </c>
      <c r="U1093" s="53">
        <f>IF(P1093="","",IF(P1093="Gasto",S1093,IF(P1093="Reembolso",-S1093,0)))</f>
        <v/>
      </c>
      <c r="V1093" s="53">
        <f>IF(P1093="","",IF(P1093="Ingreso",S1093,0))</f>
        <v/>
      </c>
      <c r="W1093" s="53">
        <f>IF(P1093="","",IF(P1093="Resultado trading",S1093,0))</f>
        <v/>
      </c>
      <c r="X1093" s="52">
        <f>IF(OR(P1093="Gasto",P1093="Reembolso"),IF(M1093&lt;&gt;"",M1093,IFERROR(INDEX(catClasif,MATCH(D1093&amp;"|"&amp;E1093,catClave,0))&amp;"","Variable")),"")</f>
        <v/>
      </c>
      <c r="Y1093" s="52">
        <f>IF(P1093="","",IFERROR(INDEX(catGrupo,MATCH(D1093&amp;"|"&amp;E1093,catClave,0))&amp;"",""))</f>
        <v/>
      </c>
      <c r="Z1093" s="52">
        <f>IF(P1093="","",WEEKDAY(B1093,2))</f>
        <v/>
      </c>
      <c r="AA1093" s="52">
        <f>IF(P1093="","",IF(AND(P1093="Gasto",X1093="Variable",D1093&lt;&gt;catTrading,S1093&gt;0,S1093&lt;=Umbral),1,0))</f>
        <v/>
      </c>
      <c r="AB1093" s="52">
        <f>IF(OR(P1093="",Q1093=""),"",IFERROR(IF(INDEX(ctaVinc,MATCH(Q1093,ctaNombre,0))&amp;""&lt;&gt;"",INDEX(ctaVinc,MATCH(Q1093,ctaNombre,0))&amp;"",Q1093),Q1093))</f>
        <v/>
      </c>
      <c r="AC1093" s="52">
        <f>IF(OR(K1093="",AND(P1093&lt;&gt;"Transferencia",P1093&lt;&gt;"Pago tarjeta")),"",IFERROR(IF(INDEX(ctaVinc,MATCH(K1093,ctaNombre,0))&amp;""&lt;&gt;"",INDEX(ctaVinc,MATCH(K1093,ctaNombre,0))&amp;"",K1093),K1093))</f>
        <v/>
      </c>
      <c r="AD1093" s="52">
        <f>IF(AB1093="","",IFERROR(INDEX(ctaTipo,MATCH(AB1093,ctaNombre,0))&amp;"",""))</f>
        <v/>
      </c>
      <c r="AE1093" s="52">
        <f>IF(AC1093="","",IFERROR(INDEX(ctaTipo,MATCH(AC1093,ctaNombre,0))&amp;"",""))</f>
        <v/>
      </c>
      <c r="AF1093" s="53">
        <f>IF(OR(P1093="",AB1093=""),"",IF(OR(P1093="Gasto",P1093="Transferencia",P1093="Pago tarjeta"),-1,1)*IF(IFERROR(INDEX(ctaMoneda,MATCH(AB1093,ctaNombre,0))&amp;"","DOP")="USD",T1093,S1093))</f>
        <v/>
      </c>
      <c r="AG1093" s="53">
        <f>IF(AC1093="","",IF(IFERROR(INDEX(ctaMoneda,MATCH(AC1093,ctaNombre,0))&amp;"","DOP")="USD",T1093,S1093))</f>
        <v/>
      </c>
      <c r="AH1093" s="53">
        <f>IF(P1093="","",IF(AND(AD1093&lt;&gt;"",COUNTIFS(tcTipo,AD1093,tcLiq,"Sí")&gt;0),IF(OR(P1093="Gasto",P1093="Transferencia",P1093="Pago tarjeta"),-1,1)*S1093,0)+IF(AND(AE1093&lt;&gt;"",COUNTIFS(tcTipo,AE1093,tcLiq,"Sí")&gt;0),S1093,0))</f>
        <v/>
      </c>
      <c r="AI1093" s="52">
        <f>IF(OR(L1093="",P1093=""),"",IF(COUNTIFS(L$6:L1093,L1093,P$6:P1093,"?*")=1,MAX(AI$5:AI1092)+1,""))</f>
        <v/>
      </c>
    </row>
    <row r="1094">
      <c r="B1094" s="47" t="n"/>
      <c r="C1094" s="48" t="n"/>
      <c r="D1094" s="48" t="n"/>
      <c r="E1094" s="48" t="n"/>
      <c r="F1094" s="48" t="n"/>
      <c r="G1094" s="49" t="n"/>
      <c r="H1094" s="48" t="n"/>
      <c r="I1094" s="50" t="n"/>
      <c r="J1094" s="48" t="n"/>
      <c r="K1094" s="48" t="n"/>
      <c r="L1094" s="48" t="n"/>
      <c r="M1094" s="48" t="n"/>
      <c r="N1094" s="48" t="n"/>
      <c r="O1094" s="51">
        <f>IF(AND(B1094="",G1094="",C1094="",D1094="",J1094=""),"",IF(B1094="","⚠ Falta fecha",IF(G1094="","⚠ Falta monto",IF(Q1094="","⚠ Falta cuenta",IF(ISNA(MATCH(Q1094,ctaNombre,0)),"⚠ Cuenta no registrada",IF(AND(OR(P1094="Gasto",P1094="Reembolso"),D1094=""),"⚠ Falta categoría",IF(AND(D1094&lt;&gt;"",E1094&lt;&gt;"",ISNA(MATCH(D1094&amp;"|"&amp;E1094,catClave,0))),"⚠ Subcategoría no corresponde",IF(AND(OR(P1094="Transferencia",P1094="Pago tarjeta"),K1094=""),"⚠ Falta cuenta destino",IF(AND(K1094&lt;&gt;"",P1094&lt;&gt;"Transferencia",P1094&lt;&gt;"Pago tarjeta"),"⚠ Destino solo aplica a transferencias",IF(AND(K1094&lt;&gt;"",K1094=Q1094),"⚠ Origen igual a destino",IF(AND(K1094&lt;&gt;"",ISNA(MATCH(K1094,ctaNombre,0))),"⚠ Destino no registrado",IF(AND(P1094="Pago tarjeta",AE1094&lt;&gt;"Tarjeta de crédito"),"⚠ El destino debe ser tarjeta de crédito",IF(AND(P1094="Gasto",E1094="Depósitos y retiros"),"⚠ Usa tipo Transferencia",IF(AND(P1094="Resultado trading",AD1094&lt;&gt;"Cuenta de trading"),"⚠ Usa una cuenta de trading",IF(AND(G1094&lt;=0,P1094&lt;&gt;"Ajuste",P1094&lt;&gt;"Resultado trading"),"⚠ El monto debe ser positivo","✓")))))))))))))))</f>
        <v/>
      </c>
      <c r="P1094" s="52">
        <f>IF(OR(B1094="",G1094=""),"",IF(C1094="","Gasto",C1094))</f>
        <v/>
      </c>
      <c r="Q1094" s="52">
        <f>IF(P1094="","",IF(J1094&lt;&gt;"",J1094,CuentaPred&amp;""))</f>
        <v/>
      </c>
      <c r="R1094" s="52">
        <f>IF(P1094="","",IF(ISNUMBER(I1094),I1094,TasaUSD))</f>
        <v/>
      </c>
      <c r="S1094" s="53">
        <f>IF(P1094="","",IF(H1094="USD",G1094*R1094,G1094))</f>
        <v/>
      </c>
      <c r="T1094" s="53">
        <f>IF(P1094="","",IF(H1094="USD",G1094,IF(R1094&gt;0,G1094/R1094,0)))</f>
        <v/>
      </c>
      <c r="U1094" s="53">
        <f>IF(P1094="","",IF(P1094="Gasto",S1094,IF(P1094="Reembolso",-S1094,0)))</f>
        <v/>
      </c>
      <c r="V1094" s="53">
        <f>IF(P1094="","",IF(P1094="Ingreso",S1094,0))</f>
        <v/>
      </c>
      <c r="W1094" s="53">
        <f>IF(P1094="","",IF(P1094="Resultado trading",S1094,0))</f>
        <v/>
      </c>
      <c r="X1094" s="52">
        <f>IF(OR(P1094="Gasto",P1094="Reembolso"),IF(M1094&lt;&gt;"",M1094,IFERROR(INDEX(catClasif,MATCH(D1094&amp;"|"&amp;E1094,catClave,0))&amp;"","Variable")),"")</f>
        <v/>
      </c>
      <c r="Y1094" s="52">
        <f>IF(P1094="","",IFERROR(INDEX(catGrupo,MATCH(D1094&amp;"|"&amp;E1094,catClave,0))&amp;"",""))</f>
        <v/>
      </c>
      <c r="Z1094" s="52">
        <f>IF(P1094="","",WEEKDAY(B1094,2))</f>
        <v/>
      </c>
      <c r="AA1094" s="52">
        <f>IF(P1094="","",IF(AND(P1094="Gasto",X1094="Variable",D1094&lt;&gt;catTrading,S1094&gt;0,S1094&lt;=Umbral),1,0))</f>
        <v/>
      </c>
      <c r="AB1094" s="52">
        <f>IF(OR(P1094="",Q1094=""),"",IFERROR(IF(INDEX(ctaVinc,MATCH(Q1094,ctaNombre,0))&amp;""&lt;&gt;"",INDEX(ctaVinc,MATCH(Q1094,ctaNombre,0))&amp;"",Q1094),Q1094))</f>
        <v/>
      </c>
      <c r="AC1094" s="52">
        <f>IF(OR(K1094="",AND(P1094&lt;&gt;"Transferencia",P1094&lt;&gt;"Pago tarjeta")),"",IFERROR(IF(INDEX(ctaVinc,MATCH(K1094,ctaNombre,0))&amp;""&lt;&gt;"",INDEX(ctaVinc,MATCH(K1094,ctaNombre,0))&amp;"",K1094),K1094))</f>
        <v/>
      </c>
      <c r="AD1094" s="52">
        <f>IF(AB1094="","",IFERROR(INDEX(ctaTipo,MATCH(AB1094,ctaNombre,0))&amp;"",""))</f>
        <v/>
      </c>
      <c r="AE1094" s="52">
        <f>IF(AC1094="","",IFERROR(INDEX(ctaTipo,MATCH(AC1094,ctaNombre,0))&amp;"",""))</f>
        <v/>
      </c>
      <c r="AF1094" s="53">
        <f>IF(OR(P1094="",AB1094=""),"",IF(OR(P1094="Gasto",P1094="Transferencia",P1094="Pago tarjeta"),-1,1)*IF(IFERROR(INDEX(ctaMoneda,MATCH(AB1094,ctaNombre,0))&amp;"","DOP")="USD",T1094,S1094))</f>
        <v/>
      </c>
      <c r="AG1094" s="53">
        <f>IF(AC1094="","",IF(IFERROR(INDEX(ctaMoneda,MATCH(AC1094,ctaNombre,0))&amp;"","DOP")="USD",T1094,S1094))</f>
        <v/>
      </c>
      <c r="AH1094" s="53">
        <f>IF(P1094="","",IF(AND(AD1094&lt;&gt;"",COUNTIFS(tcTipo,AD1094,tcLiq,"Sí")&gt;0),IF(OR(P1094="Gasto",P1094="Transferencia",P1094="Pago tarjeta"),-1,1)*S1094,0)+IF(AND(AE1094&lt;&gt;"",COUNTIFS(tcTipo,AE1094,tcLiq,"Sí")&gt;0),S1094,0))</f>
        <v/>
      </c>
      <c r="AI1094" s="52">
        <f>IF(OR(L1094="",P1094=""),"",IF(COUNTIFS(L$6:L1094,L1094,P$6:P1094,"?*")=1,MAX(AI$5:AI1093)+1,""))</f>
        <v/>
      </c>
    </row>
    <row r="1095">
      <c r="B1095" s="47" t="n"/>
      <c r="C1095" s="48" t="n"/>
      <c r="D1095" s="48" t="n"/>
      <c r="E1095" s="48" t="n"/>
      <c r="F1095" s="48" t="n"/>
      <c r="G1095" s="49" t="n"/>
      <c r="H1095" s="48" t="n"/>
      <c r="I1095" s="50" t="n"/>
      <c r="J1095" s="48" t="n"/>
      <c r="K1095" s="48" t="n"/>
      <c r="L1095" s="48" t="n"/>
      <c r="M1095" s="48" t="n"/>
      <c r="N1095" s="48" t="n"/>
      <c r="O1095" s="51">
        <f>IF(AND(B1095="",G1095="",C1095="",D1095="",J1095=""),"",IF(B1095="","⚠ Falta fecha",IF(G1095="","⚠ Falta monto",IF(Q1095="","⚠ Falta cuenta",IF(ISNA(MATCH(Q1095,ctaNombre,0)),"⚠ Cuenta no registrada",IF(AND(OR(P1095="Gasto",P1095="Reembolso"),D1095=""),"⚠ Falta categoría",IF(AND(D1095&lt;&gt;"",E1095&lt;&gt;"",ISNA(MATCH(D1095&amp;"|"&amp;E1095,catClave,0))),"⚠ Subcategoría no corresponde",IF(AND(OR(P1095="Transferencia",P1095="Pago tarjeta"),K1095=""),"⚠ Falta cuenta destino",IF(AND(K1095&lt;&gt;"",P1095&lt;&gt;"Transferencia",P1095&lt;&gt;"Pago tarjeta"),"⚠ Destino solo aplica a transferencias",IF(AND(K1095&lt;&gt;"",K1095=Q1095),"⚠ Origen igual a destino",IF(AND(K1095&lt;&gt;"",ISNA(MATCH(K1095,ctaNombre,0))),"⚠ Destino no registrado",IF(AND(P1095="Pago tarjeta",AE1095&lt;&gt;"Tarjeta de crédito"),"⚠ El destino debe ser tarjeta de crédito",IF(AND(P1095="Gasto",E1095="Depósitos y retiros"),"⚠ Usa tipo Transferencia",IF(AND(P1095="Resultado trading",AD1095&lt;&gt;"Cuenta de trading"),"⚠ Usa una cuenta de trading",IF(AND(G1095&lt;=0,P1095&lt;&gt;"Ajuste",P1095&lt;&gt;"Resultado trading"),"⚠ El monto debe ser positivo","✓")))))))))))))))</f>
        <v/>
      </c>
      <c r="P1095" s="52">
        <f>IF(OR(B1095="",G1095=""),"",IF(C1095="","Gasto",C1095))</f>
        <v/>
      </c>
      <c r="Q1095" s="52">
        <f>IF(P1095="","",IF(J1095&lt;&gt;"",J1095,CuentaPred&amp;""))</f>
        <v/>
      </c>
      <c r="R1095" s="52">
        <f>IF(P1095="","",IF(ISNUMBER(I1095),I1095,TasaUSD))</f>
        <v/>
      </c>
      <c r="S1095" s="53">
        <f>IF(P1095="","",IF(H1095="USD",G1095*R1095,G1095))</f>
        <v/>
      </c>
      <c r="T1095" s="53">
        <f>IF(P1095="","",IF(H1095="USD",G1095,IF(R1095&gt;0,G1095/R1095,0)))</f>
        <v/>
      </c>
      <c r="U1095" s="53">
        <f>IF(P1095="","",IF(P1095="Gasto",S1095,IF(P1095="Reembolso",-S1095,0)))</f>
        <v/>
      </c>
      <c r="V1095" s="53">
        <f>IF(P1095="","",IF(P1095="Ingreso",S1095,0))</f>
        <v/>
      </c>
      <c r="W1095" s="53">
        <f>IF(P1095="","",IF(P1095="Resultado trading",S1095,0))</f>
        <v/>
      </c>
      <c r="X1095" s="52">
        <f>IF(OR(P1095="Gasto",P1095="Reembolso"),IF(M1095&lt;&gt;"",M1095,IFERROR(INDEX(catClasif,MATCH(D1095&amp;"|"&amp;E1095,catClave,0))&amp;"","Variable")),"")</f>
        <v/>
      </c>
      <c r="Y1095" s="52">
        <f>IF(P1095="","",IFERROR(INDEX(catGrupo,MATCH(D1095&amp;"|"&amp;E1095,catClave,0))&amp;"",""))</f>
        <v/>
      </c>
      <c r="Z1095" s="52">
        <f>IF(P1095="","",WEEKDAY(B1095,2))</f>
        <v/>
      </c>
      <c r="AA1095" s="52">
        <f>IF(P1095="","",IF(AND(P1095="Gasto",X1095="Variable",D1095&lt;&gt;catTrading,S1095&gt;0,S1095&lt;=Umbral),1,0))</f>
        <v/>
      </c>
      <c r="AB1095" s="52">
        <f>IF(OR(P1095="",Q1095=""),"",IFERROR(IF(INDEX(ctaVinc,MATCH(Q1095,ctaNombre,0))&amp;""&lt;&gt;"",INDEX(ctaVinc,MATCH(Q1095,ctaNombre,0))&amp;"",Q1095),Q1095))</f>
        <v/>
      </c>
      <c r="AC1095" s="52">
        <f>IF(OR(K1095="",AND(P1095&lt;&gt;"Transferencia",P1095&lt;&gt;"Pago tarjeta")),"",IFERROR(IF(INDEX(ctaVinc,MATCH(K1095,ctaNombre,0))&amp;""&lt;&gt;"",INDEX(ctaVinc,MATCH(K1095,ctaNombre,0))&amp;"",K1095),K1095))</f>
        <v/>
      </c>
      <c r="AD1095" s="52">
        <f>IF(AB1095="","",IFERROR(INDEX(ctaTipo,MATCH(AB1095,ctaNombre,0))&amp;"",""))</f>
        <v/>
      </c>
      <c r="AE1095" s="52">
        <f>IF(AC1095="","",IFERROR(INDEX(ctaTipo,MATCH(AC1095,ctaNombre,0))&amp;"",""))</f>
        <v/>
      </c>
      <c r="AF1095" s="53">
        <f>IF(OR(P1095="",AB1095=""),"",IF(OR(P1095="Gasto",P1095="Transferencia",P1095="Pago tarjeta"),-1,1)*IF(IFERROR(INDEX(ctaMoneda,MATCH(AB1095,ctaNombre,0))&amp;"","DOP")="USD",T1095,S1095))</f>
        <v/>
      </c>
      <c r="AG1095" s="53">
        <f>IF(AC1095="","",IF(IFERROR(INDEX(ctaMoneda,MATCH(AC1095,ctaNombre,0))&amp;"","DOP")="USD",T1095,S1095))</f>
        <v/>
      </c>
      <c r="AH1095" s="53">
        <f>IF(P1095="","",IF(AND(AD1095&lt;&gt;"",COUNTIFS(tcTipo,AD1095,tcLiq,"Sí")&gt;0),IF(OR(P1095="Gasto",P1095="Transferencia",P1095="Pago tarjeta"),-1,1)*S1095,0)+IF(AND(AE1095&lt;&gt;"",COUNTIFS(tcTipo,AE1095,tcLiq,"Sí")&gt;0),S1095,0))</f>
        <v/>
      </c>
      <c r="AI1095" s="52">
        <f>IF(OR(L1095="",P1095=""),"",IF(COUNTIFS(L$6:L1095,L1095,P$6:P1095,"?*")=1,MAX(AI$5:AI1094)+1,""))</f>
        <v/>
      </c>
    </row>
    <row r="1096">
      <c r="B1096" s="47" t="n"/>
      <c r="C1096" s="48" t="n"/>
      <c r="D1096" s="48" t="n"/>
      <c r="E1096" s="48" t="n"/>
      <c r="F1096" s="48" t="n"/>
      <c r="G1096" s="49" t="n"/>
      <c r="H1096" s="48" t="n"/>
      <c r="I1096" s="50" t="n"/>
      <c r="J1096" s="48" t="n"/>
      <c r="K1096" s="48" t="n"/>
      <c r="L1096" s="48" t="n"/>
      <c r="M1096" s="48" t="n"/>
      <c r="N1096" s="48" t="n"/>
      <c r="O1096" s="51">
        <f>IF(AND(B1096="",G1096="",C1096="",D1096="",J1096=""),"",IF(B1096="","⚠ Falta fecha",IF(G1096="","⚠ Falta monto",IF(Q1096="","⚠ Falta cuenta",IF(ISNA(MATCH(Q1096,ctaNombre,0)),"⚠ Cuenta no registrada",IF(AND(OR(P1096="Gasto",P1096="Reembolso"),D1096=""),"⚠ Falta categoría",IF(AND(D1096&lt;&gt;"",E1096&lt;&gt;"",ISNA(MATCH(D1096&amp;"|"&amp;E1096,catClave,0))),"⚠ Subcategoría no corresponde",IF(AND(OR(P1096="Transferencia",P1096="Pago tarjeta"),K1096=""),"⚠ Falta cuenta destino",IF(AND(K1096&lt;&gt;"",P1096&lt;&gt;"Transferencia",P1096&lt;&gt;"Pago tarjeta"),"⚠ Destino solo aplica a transferencias",IF(AND(K1096&lt;&gt;"",K1096=Q1096),"⚠ Origen igual a destino",IF(AND(K1096&lt;&gt;"",ISNA(MATCH(K1096,ctaNombre,0))),"⚠ Destino no registrado",IF(AND(P1096="Pago tarjeta",AE1096&lt;&gt;"Tarjeta de crédito"),"⚠ El destino debe ser tarjeta de crédito",IF(AND(P1096="Gasto",E1096="Depósitos y retiros"),"⚠ Usa tipo Transferencia",IF(AND(P1096="Resultado trading",AD1096&lt;&gt;"Cuenta de trading"),"⚠ Usa una cuenta de trading",IF(AND(G1096&lt;=0,P1096&lt;&gt;"Ajuste",P1096&lt;&gt;"Resultado trading"),"⚠ El monto debe ser positivo","✓")))))))))))))))</f>
        <v/>
      </c>
      <c r="P1096" s="52">
        <f>IF(OR(B1096="",G1096=""),"",IF(C1096="","Gasto",C1096))</f>
        <v/>
      </c>
      <c r="Q1096" s="52">
        <f>IF(P1096="","",IF(J1096&lt;&gt;"",J1096,CuentaPred&amp;""))</f>
        <v/>
      </c>
      <c r="R1096" s="52">
        <f>IF(P1096="","",IF(ISNUMBER(I1096),I1096,TasaUSD))</f>
        <v/>
      </c>
      <c r="S1096" s="53">
        <f>IF(P1096="","",IF(H1096="USD",G1096*R1096,G1096))</f>
        <v/>
      </c>
      <c r="T1096" s="53">
        <f>IF(P1096="","",IF(H1096="USD",G1096,IF(R1096&gt;0,G1096/R1096,0)))</f>
        <v/>
      </c>
      <c r="U1096" s="53">
        <f>IF(P1096="","",IF(P1096="Gasto",S1096,IF(P1096="Reembolso",-S1096,0)))</f>
        <v/>
      </c>
      <c r="V1096" s="53">
        <f>IF(P1096="","",IF(P1096="Ingreso",S1096,0))</f>
        <v/>
      </c>
      <c r="W1096" s="53">
        <f>IF(P1096="","",IF(P1096="Resultado trading",S1096,0))</f>
        <v/>
      </c>
      <c r="X1096" s="52">
        <f>IF(OR(P1096="Gasto",P1096="Reembolso"),IF(M1096&lt;&gt;"",M1096,IFERROR(INDEX(catClasif,MATCH(D1096&amp;"|"&amp;E1096,catClave,0))&amp;"","Variable")),"")</f>
        <v/>
      </c>
      <c r="Y1096" s="52">
        <f>IF(P1096="","",IFERROR(INDEX(catGrupo,MATCH(D1096&amp;"|"&amp;E1096,catClave,0))&amp;"",""))</f>
        <v/>
      </c>
      <c r="Z1096" s="52">
        <f>IF(P1096="","",WEEKDAY(B1096,2))</f>
        <v/>
      </c>
      <c r="AA1096" s="52">
        <f>IF(P1096="","",IF(AND(P1096="Gasto",X1096="Variable",D1096&lt;&gt;catTrading,S1096&gt;0,S1096&lt;=Umbral),1,0))</f>
        <v/>
      </c>
      <c r="AB1096" s="52">
        <f>IF(OR(P1096="",Q1096=""),"",IFERROR(IF(INDEX(ctaVinc,MATCH(Q1096,ctaNombre,0))&amp;""&lt;&gt;"",INDEX(ctaVinc,MATCH(Q1096,ctaNombre,0))&amp;"",Q1096),Q1096))</f>
        <v/>
      </c>
      <c r="AC1096" s="52">
        <f>IF(OR(K1096="",AND(P1096&lt;&gt;"Transferencia",P1096&lt;&gt;"Pago tarjeta")),"",IFERROR(IF(INDEX(ctaVinc,MATCH(K1096,ctaNombre,0))&amp;""&lt;&gt;"",INDEX(ctaVinc,MATCH(K1096,ctaNombre,0))&amp;"",K1096),K1096))</f>
        <v/>
      </c>
      <c r="AD1096" s="52">
        <f>IF(AB1096="","",IFERROR(INDEX(ctaTipo,MATCH(AB1096,ctaNombre,0))&amp;"",""))</f>
        <v/>
      </c>
      <c r="AE1096" s="52">
        <f>IF(AC1096="","",IFERROR(INDEX(ctaTipo,MATCH(AC1096,ctaNombre,0))&amp;"",""))</f>
        <v/>
      </c>
      <c r="AF1096" s="53">
        <f>IF(OR(P1096="",AB1096=""),"",IF(OR(P1096="Gasto",P1096="Transferencia",P1096="Pago tarjeta"),-1,1)*IF(IFERROR(INDEX(ctaMoneda,MATCH(AB1096,ctaNombre,0))&amp;"","DOP")="USD",T1096,S1096))</f>
        <v/>
      </c>
      <c r="AG1096" s="53">
        <f>IF(AC1096="","",IF(IFERROR(INDEX(ctaMoneda,MATCH(AC1096,ctaNombre,0))&amp;"","DOP")="USD",T1096,S1096))</f>
        <v/>
      </c>
      <c r="AH1096" s="53">
        <f>IF(P1096="","",IF(AND(AD1096&lt;&gt;"",COUNTIFS(tcTipo,AD1096,tcLiq,"Sí")&gt;0),IF(OR(P1096="Gasto",P1096="Transferencia",P1096="Pago tarjeta"),-1,1)*S1096,0)+IF(AND(AE1096&lt;&gt;"",COUNTIFS(tcTipo,AE1096,tcLiq,"Sí")&gt;0),S1096,0))</f>
        <v/>
      </c>
      <c r="AI1096" s="52">
        <f>IF(OR(L1096="",P1096=""),"",IF(COUNTIFS(L$6:L1096,L1096,P$6:P1096,"?*")=1,MAX(AI$5:AI1095)+1,""))</f>
        <v/>
      </c>
    </row>
    <row r="1097">
      <c r="B1097" s="47" t="n"/>
      <c r="C1097" s="48" t="n"/>
      <c r="D1097" s="48" t="n"/>
      <c r="E1097" s="48" t="n"/>
      <c r="F1097" s="48" t="n"/>
      <c r="G1097" s="49" t="n"/>
      <c r="H1097" s="48" t="n"/>
      <c r="I1097" s="50" t="n"/>
      <c r="J1097" s="48" t="n"/>
      <c r="K1097" s="48" t="n"/>
      <c r="L1097" s="48" t="n"/>
      <c r="M1097" s="48" t="n"/>
      <c r="N1097" s="48" t="n"/>
      <c r="O1097" s="51">
        <f>IF(AND(B1097="",G1097="",C1097="",D1097="",J1097=""),"",IF(B1097="","⚠ Falta fecha",IF(G1097="","⚠ Falta monto",IF(Q1097="","⚠ Falta cuenta",IF(ISNA(MATCH(Q1097,ctaNombre,0)),"⚠ Cuenta no registrada",IF(AND(OR(P1097="Gasto",P1097="Reembolso"),D1097=""),"⚠ Falta categoría",IF(AND(D1097&lt;&gt;"",E1097&lt;&gt;"",ISNA(MATCH(D1097&amp;"|"&amp;E1097,catClave,0))),"⚠ Subcategoría no corresponde",IF(AND(OR(P1097="Transferencia",P1097="Pago tarjeta"),K1097=""),"⚠ Falta cuenta destino",IF(AND(K1097&lt;&gt;"",P1097&lt;&gt;"Transferencia",P1097&lt;&gt;"Pago tarjeta"),"⚠ Destino solo aplica a transferencias",IF(AND(K1097&lt;&gt;"",K1097=Q1097),"⚠ Origen igual a destino",IF(AND(K1097&lt;&gt;"",ISNA(MATCH(K1097,ctaNombre,0))),"⚠ Destino no registrado",IF(AND(P1097="Pago tarjeta",AE1097&lt;&gt;"Tarjeta de crédito"),"⚠ El destino debe ser tarjeta de crédito",IF(AND(P1097="Gasto",E1097="Depósitos y retiros"),"⚠ Usa tipo Transferencia",IF(AND(P1097="Resultado trading",AD1097&lt;&gt;"Cuenta de trading"),"⚠ Usa una cuenta de trading",IF(AND(G1097&lt;=0,P1097&lt;&gt;"Ajuste",P1097&lt;&gt;"Resultado trading"),"⚠ El monto debe ser positivo","✓")))))))))))))))</f>
        <v/>
      </c>
      <c r="P1097" s="52">
        <f>IF(OR(B1097="",G1097=""),"",IF(C1097="","Gasto",C1097))</f>
        <v/>
      </c>
      <c r="Q1097" s="52">
        <f>IF(P1097="","",IF(J1097&lt;&gt;"",J1097,CuentaPred&amp;""))</f>
        <v/>
      </c>
      <c r="R1097" s="52">
        <f>IF(P1097="","",IF(ISNUMBER(I1097),I1097,TasaUSD))</f>
        <v/>
      </c>
      <c r="S1097" s="53">
        <f>IF(P1097="","",IF(H1097="USD",G1097*R1097,G1097))</f>
        <v/>
      </c>
      <c r="T1097" s="53">
        <f>IF(P1097="","",IF(H1097="USD",G1097,IF(R1097&gt;0,G1097/R1097,0)))</f>
        <v/>
      </c>
      <c r="U1097" s="53">
        <f>IF(P1097="","",IF(P1097="Gasto",S1097,IF(P1097="Reembolso",-S1097,0)))</f>
        <v/>
      </c>
      <c r="V1097" s="53">
        <f>IF(P1097="","",IF(P1097="Ingreso",S1097,0))</f>
        <v/>
      </c>
      <c r="W1097" s="53">
        <f>IF(P1097="","",IF(P1097="Resultado trading",S1097,0))</f>
        <v/>
      </c>
      <c r="X1097" s="52">
        <f>IF(OR(P1097="Gasto",P1097="Reembolso"),IF(M1097&lt;&gt;"",M1097,IFERROR(INDEX(catClasif,MATCH(D1097&amp;"|"&amp;E1097,catClave,0))&amp;"","Variable")),"")</f>
        <v/>
      </c>
      <c r="Y1097" s="52">
        <f>IF(P1097="","",IFERROR(INDEX(catGrupo,MATCH(D1097&amp;"|"&amp;E1097,catClave,0))&amp;"",""))</f>
        <v/>
      </c>
      <c r="Z1097" s="52">
        <f>IF(P1097="","",WEEKDAY(B1097,2))</f>
        <v/>
      </c>
      <c r="AA1097" s="52">
        <f>IF(P1097="","",IF(AND(P1097="Gasto",X1097="Variable",D1097&lt;&gt;catTrading,S1097&gt;0,S1097&lt;=Umbral),1,0))</f>
        <v/>
      </c>
      <c r="AB1097" s="52">
        <f>IF(OR(P1097="",Q1097=""),"",IFERROR(IF(INDEX(ctaVinc,MATCH(Q1097,ctaNombre,0))&amp;""&lt;&gt;"",INDEX(ctaVinc,MATCH(Q1097,ctaNombre,0))&amp;"",Q1097),Q1097))</f>
        <v/>
      </c>
      <c r="AC1097" s="52">
        <f>IF(OR(K1097="",AND(P1097&lt;&gt;"Transferencia",P1097&lt;&gt;"Pago tarjeta")),"",IFERROR(IF(INDEX(ctaVinc,MATCH(K1097,ctaNombre,0))&amp;""&lt;&gt;"",INDEX(ctaVinc,MATCH(K1097,ctaNombre,0))&amp;"",K1097),K1097))</f>
        <v/>
      </c>
      <c r="AD1097" s="52">
        <f>IF(AB1097="","",IFERROR(INDEX(ctaTipo,MATCH(AB1097,ctaNombre,0))&amp;"",""))</f>
        <v/>
      </c>
      <c r="AE1097" s="52">
        <f>IF(AC1097="","",IFERROR(INDEX(ctaTipo,MATCH(AC1097,ctaNombre,0))&amp;"",""))</f>
        <v/>
      </c>
      <c r="AF1097" s="53">
        <f>IF(OR(P1097="",AB1097=""),"",IF(OR(P1097="Gasto",P1097="Transferencia",P1097="Pago tarjeta"),-1,1)*IF(IFERROR(INDEX(ctaMoneda,MATCH(AB1097,ctaNombre,0))&amp;"","DOP")="USD",T1097,S1097))</f>
        <v/>
      </c>
      <c r="AG1097" s="53">
        <f>IF(AC1097="","",IF(IFERROR(INDEX(ctaMoneda,MATCH(AC1097,ctaNombre,0))&amp;"","DOP")="USD",T1097,S1097))</f>
        <v/>
      </c>
      <c r="AH1097" s="53">
        <f>IF(P1097="","",IF(AND(AD1097&lt;&gt;"",COUNTIFS(tcTipo,AD1097,tcLiq,"Sí")&gt;0),IF(OR(P1097="Gasto",P1097="Transferencia",P1097="Pago tarjeta"),-1,1)*S1097,0)+IF(AND(AE1097&lt;&gt;"",COUNTIFS(tcTipo,AE1097,tcLiq,"Sí")&gt;0),S1097,0))</f>
        <v/>
      </c>
      <c r="AI1097" s="52">
        <f>IF(OR(L1097="",P1097=""),"",IF(COUNTIFS(L$6:L1097,L1097,P$6:P1097,"?*")=1,MAX(AI$5:AI1096)+1,""))</f>
        <v/>
      </c>
    </row>
    <row r="1098">
      <c r="B1098" s="47" t="n"/>
      <c r="C1098" s="48" t="n"/>
      <c r="D1098" s="48" t="n"/>
      <c r="E1098" s="48" t="n"/>
      <c r="F1098" s="48" t="n"/>
      <c r="G1098" s="49" t="n"/>
      <c r="H1098" s="48" t="n"/>
      <c r="I1098" s="50" t="n"/>
      <c r="J1098" s="48" t="n"/>
      <c r="K1098" s="48" t="n"/>
      <c r="L1098" s="48" t="n"/>
      <c r="M1098" s="48" t="n"/>
      <c r="N1098" s="48" t="n"/>
      <c r="O1098" s="51">
        <f>IF(AND(B1098="",G1098="",C1098="",D1098="",J1098=""),"",IF(B1098="","⚠ Falta fecha",IF(G1098="","⚠ Falta monto",IF(Q1098="","⚠ Falta cuenta",IF(ISNA(MATCH(Q1098,ctaNombre,0)),"⚠ Cuenta no registrada",IF(AND(OR(P1098="Gasto",P1098="Reembolso"),D1098=""),"⚠ Falta categoría",IF(AND(D1098&lt;&gt;"",E1098&lt;&gt;"",ISNA(MATCH(D1098&amp;"|"&amp;E1098,catClave,0))),"⚠ Subcategoría no corresponde",IF(AND(OR(P1098="Transferencia",P1098="Pago tarjeta"),K1098=""),"⚠ Falta cuenta destino",IF(AND(K1098&lt;&gt;"",P1098&lt;&gt;"Transferencia",P1098&lt;&gt;"Pago tarjeta"),"⚠ Destino solo aplica a transferencias",IF(AND(K1098&lt;&gt;"",K1098=Q1098),"⚠ Origen igual a destino",IF(AND(K1098&lt;&gt;"",ISNA(MATCH(K1098,ctaNombre,0))),"⚠ Destino no registrado",IF(AND(P1098="Pago tarjeta",AE1098&lt;&gt;"Tarjeta de crédito"),"⚠ El destino debe ser tarjeta de crédito",IF(AND(P1098="Gasto",E1098="Depósitos y retiros"),"⚠ Usa tipo Transferencia",IF(AND(P1098="Resultado trading",AD1098&lt;&gt;"Cuenta de trading"),"⚠ Usa una cuenta de trading",IF(AND(G1098&lt;=0,P1098&lt;&gt;"Ajuste",P1098&lt;&gt;"Resultado trading"),"⚠ El monto debe ser positivo","✓")))))))))))))))</f>
        <v/>
      </c>
      <c r="P1098" s="52">
        <f>IF(OR(B1098="",G1098=""),"",IF(C1098="","Gasto",C1098))</f>
        <v/>
      </c>
      <c r="Q1098" s="52">
        <f>IF(P1098="","",IF(J1098&lt;&gt;"",J1098,CuentaPred&amp;""))</f>
        <v/>
      </c>
      <c r="R1098" s="52">
        <f>IF(P1098="","",IF(ISNUMBER(I1098),I1098,TasaUSD))</f>
        <v/>
      </c>
      <c r="S1098" s="53">
        <f>IF(P1098="","",IF(H1098="USD",G1098*R1098,G1098))</f>
        <v/>
      </c>
      <c r="T1098" s="53">
        <f>IF(P1098="","",IF(H1098="USD",G1098,IF(R1098&gt;0,G1098/R1098,0)))</f>
        <v/>
      </c>
      <c r="U1098" s="53">
        <f>IF(P1098="","",IF(P1098="Gasto",S1098,IF(P1098="Reembolso",-S1098,0)))</f>
        <v/>
      </c>
      <c r="V1098" s="53">
        <f>IF(P1098="","",IF(P1098="Ingreso",S1098,0))</f>
        <v/>
      </c>
      <c r="W1098" s="53">
        <f>IF(P1098="","",IF(P1098="Resultado trading",S1098,0))</f>
        <v/>
      </c>
      <c r="X1098" s="52">
        <f>IF(OR(P1098="Gasto",P1098="Reembolso"),IF(M1098&lt;&gt;"",M1098,IFERROR(INDEX(catClasif,MATCH(D1098&amp;"|"&amp;E1098,catClave,0))&amp;"","Variable")),"")</f>
        <v/>
      </c>
      <c r="Y1098" s="52">
        <f>IF(P1098="","",IFERROR(INDEX(catGrupo,MATCH(D1098&amp;"|"&amp;E1098,catClave,0))&amp;"",""))</f>
        <v/>
      </c>
      <c r="Z1098" s="52">
        <f>IF(P1098="","",WEEKDAY(B1098,2))</f>
        <v/>
      </c>
      <c r="AA1098" s="52">
        <f>IF(P1098="","",IF(AND(P1098="Gasto",X1098="Variable",D1098&lt;&gt;catTrading,S1098&gt;0,S1098&lt;=Umbral),1,0))</f>
        <v/>
      </c>
      <c r="AB1098" s="52">
        <f>IF(OR(P1098="",Q1098=""),"",IFERROR(IF(INDEX(ctaVinc,MATCH(Q1098,ctaNombre,0))&amp;""&lt;&gt;"",INDEX(ctaVinc,MATCH(Q1098,ctaNombre,0))&amp;"",Q1098),Q1098))</f>
        <v/>
      </c>
      <c r="AC1098" s="52">
        <f>IF(OR(K1098="",AND(P1098&lt;&gt;"Transferencia",P1098&lt;&gt;"Pago tarjeta")),"",IFERROR(IF(INDEX(ctaVinc,MATCH(K1098,ctaNombre,0))&amp;""&lt;&gt;"",INDEX(ctaVinc,MATCH(K1098,ctaNombre,0))&amp;"",K1098),K1098))</f>
        <v/>
      </c>
      <c r="AD1098" s="52">
        <f>IF(AB1098="","",IFERROR(INDEX(ctaTipo,MATCH(AB1098,ctaNombre,0))&amp;"",""))</f>
        <v/>
      </c>
      <c r="AE1098" s="52">
        <f>IF(AC1098="","",IFERROR(INDEX(ctaTipo,MATCH(AC1098,ctaNombre,0))&amp;"",""))</f>
        <v/>
      </c>
      <c r="AF1098" s="53">
        <f>IF(OR(P1098="",AB1098=""),"",IF(OR(P1098="Gasto",P1098="Transferencia",P1098="Pago tarjeta"),-1,1)*IF(IFERROR(INDEX(ctaMoneda,MATCH(AB1098,ctaNombre,0))&amp;"","DOP")="USD",T1098,S1098))</f>
        <v/>
      </c>
      <c r="AG1098" s="53">
        <f>IF(AC1098="","",IF(IFERROR(INDEX(ctaMoneda,MATCH(AC1098,ctaNombre,0))&amp;"","DOP")="USD",T1098,S1098))</f>
        <v/>
      </c>
      <c r="AH1098" s="53">
        <f>IF(P1098="","",IF(AND(AD1098&lt;&gt;"",COUNTIFS(tcTipo,AD1098,tcLiq,"Sí")&gt;0),IF(OR(P1098="Gasto",P1098="Transferencia",P1098="Pago tarjeta"),-1,1)*S1098,0)+IF(AND(AE1098&lt;&gt;"",COUNTIFS(tcTipo,AE1098,tcLiq,"Sí")&gt;0),S1098,0))</f>
        <v/>
      </c>
      <c r="AI1098" s="52">
        <f>IF(OR(L1098="",P1098=""),"",IF(COUNTIFS(L$6:L1098,L1098,P$6:P1098,"?*")=1,MAX(AI$5:AI1097)+1,""))</f>
        <v/>
      </c>
    </row>
    <row r="1099">
      <c r="B1099" s="47" t="n"/>
      <c r="C1099" s="48" t="n"/>
      <c r="D1099" s="48" t="n"/>
      <c r="E1099" s="48" t="n"/>
      <c r="F1099" s="48" t="n"/>
      <c r="G1099" s="49" t="n"/>
      <c r="H1099" s="48" t="n"/>
      <c r="I1099" s="50" t="n"/>
      <c r="J1099" s="48" t="n"/>
      <c r="K1099" s="48" t="n"/>
      <c r="L1099" s="48" t="n"/>
      <c r="M1099" s="48" t="n"/>
      <c r="N1099" s="48" t="n"/>
      <c r="O1099" s="51">
        <f>IF(AND(B1099="",G1099="",C1099="",D1099="",J1099=""),"",IF(B1099="","⚠ Falta fecha",IF(G1099="","⚠ Falta monto",IF(Q1099="","⚠ Falta cuenta",IF(ISNA(MATCH(Q1099,ctaNombre,0)),"⚠ Cuenta no registrada",IF(AND(OR(P1099="Gasto",P1099="Reembolso"),D1099=""),"⚠ Falta categoría",IF(AND(D1099&lt;&gt;"",E1099&lt;&gt;"",ISNA(MATCH(D1099&amp;"|"&amp;E1099,catClave,0))),"⚠ Subcategoría no corresponde",IF(AND(OR(P1099="Transferencia",P1099="Pago tarjeta"),K1099=""),"⚠ Falta cuenta destino",IF(AND(K1099&lt;&gt;"",P1099&lt;&gt;"Transferencia",P1099&lt;&gt;"Pago tarjeta"),"⚠ Destino solo aplica a transferencias",IF(AND(K1099&lt;&gt;"",K1099=Q1099),"⚠ Origen igual a destino",IF(AND(K1099&lt;&gt;"",ISNA(MATCH(K1099,ctaNombre,0))),"⚠ Destino no registrado",IF(AND(P1099="Pago tarjeta",AE1099&lt;&gt;"Tarjeta de crédito"),"⚠ El destino debe ser tarjeta de crédito",IF(AND(P1099="Gasto",E1099="Depósitos y retiros"),"⚠ Usa tipo Transferencia",IF(AND(P1099="Resultado trading",AD1099&lt;&gt;"Cuenta de trading"),"⚠ Usa una cuenta de trading",IF(AND(G1099&lt;=0,P1099&lt;&gt;"Ajuste",P1099&lt;&gt;"Resultado trading"),"⚠ El monto debe ser positivo","✓")))))))))))))))</f>
        <v/>
      </c>
      <c r="P1099" s="52">
        <f>IF(OR(B1099="",G1099=""),"",IF(C1099="","Gasto",C1099))</f>
        <v/>
      </c>
      <c r="Q1099" s="52">
        <f>IF(P1099="","",IF(J1099&lt;&gt;"",J1099,CuentaPred&amp;""))</f>
        <v/>
      </c>
      <c r="R1099" s="52">
        <f>IF(P1099="","",IF(ISNUMBER(I1099),I1099,TasaUSD))</f>
        <v/>
      </c>
      <c r="S1099" s="53">
        <f>IF(P1099="","",IF(H1099="USD",G1099*R1099,G1099))</f>
        <v/>
      </c>
      <c r="T1099" s="53">
        <f>IF(P1099="","",IF(H1099="USD",G1099,IF(R1099&gt;0,G1099/R1099,0)))</f>
        <v/>
      </c>
      <c r="U1099" s="53">
        <f>IF(P1099="","",IF(P1099="Gasto",S1099,IF(P1099="Reembolso",-S1099,0)))</f>
        <v/>
      </c>
      <c r="V1099" s="53">
        <f>IF(P1099="","",IF(P1099="Ingreso",S1099,0))</f>
        <v/>
      </c>
      <c r="W1099" s="53">
        <f>IF(P1099="","",IF(P1099="Resultado trading",S1099,0))</f>
        <v/>
      </c>
      <c r="X1099" s="52">
        <f>IF(OR(P1099="Gasto",P1099="Reembolso"),IF(M1099&lt;&gt;"",M1099,IFERROR(INDEX(catClasif,MATCH(D1099&amp;"|"&amp;E1099,catClave,0))&amp;"","Variable")),"")</f>
        <v/>
      </c>
      <c r="Y1099" s="52">
        <f>IF(P1099="","",IFERROR(INDEX(catGrupo,MATCH(D1099&amp;"|"&amp;E1099,catClave,0))&amp;"",""))</f>
        <v/>
      </c>
      <c r="Z1099" s="52">
        <f>IF(P1099="","",WEEKDAY(B1099,2))</f>
        <v/>
      </c>
      <c r="AA1099" s="52">
        <f>IF(P1099="","",IF(AND(P1099="Gasto",X1099="Variable",D1099&lt;&gt;catTrading,S1099&gt;0,S1099&lt;=Umbral),1,0))</f>
        <v/>
      </c>
      <c r="AB1099" s="52">
        <f>IF(OR(P1099="",Q1099=""),"",IFERROR(IF(INDEX(ctaVinc,MATCH(Q1099,ctaNombre,0))&amp;""&lt;&gt;"",INDEX(ctaVinc,MATCH(Q1099,ctaNombre,0))&amp;"",Q1099),Q1099))</f>
        <v/>
      </c>
      <c r="AC1099" s="52">
        <f>IF(OR(K1099="",AND(P1099&lt;&gt;"Transferencia",P1099&lt;&gt;"Pago tarjeta")),"",IFERROR(IF(INDEX(ctaVinc,MATCH(K1099,ctaNombre,0))&amp;""&lt;&gt;"",INDEX(ctaVinc,MATCH(K1099,ctaNombre,0))&amp;"",K1099),K1099))</f>
        <v/>
      </c>
      <c r="AD1099" s="52">
        <f>IF(AB1099="","",IFERROR(INDEX(ctaTipo,MATCH(AB1099,ctaNombre,0))&amp;"",""))</f>
        <v/>
      </c>
      <c r="AE1099" s="52">
        <f>IF(AC1099="","",IFERROR(INDEX(ctaTipo,MATCH(AC1099,ctaNombre,0))&amp;"",""))</f>
        <v/>
      </c>
      <c r="AF1099" s="53">
        <f>IF(OR(P1099="",AB1099=""),"",IF(OR(P1099="Gasto",P1099="Transferencia",P1099="Pago tarjeta"),-1,1)*IF(IFERROR(INDEX(ctaMoneda,MATCH(AB1099,ctaNombre,0))&amp;"","DOP")="USD",T1099,S1099))</f>
        <v/>
      </c>
      <c r="AG1099" s="53">
        <f>IF(AC1099="","",IF(IFERROR(INDEX(ctaMoneda,MATCH(AC1099,ctaNombre,0))&amp;"","DOP")="USD",T1099,S1099))</f>
        <v/>
      </c>
      <c r="AH1099" s="53">
        <f>IF(P1099="","",IF(AND(AD1099&lt;&gt;"",COUNTIFS(tcTipo,AD1099,tcLiq,"Sí")&gt;0),IF(OR(P1099="Gasto",P1099="Transferencia",P1099="Pago tarjeta"),-1,1)*S1099,0)+IF(AND(AE1099&lt;&gt;"",COUNTIFS(tcTipo,AE1099,tcLiq,"Sí")&gt;0),S1099,0))</f>
        <v/>
      </c>
      <c r="AI1099" s="52">
        <f>IF(OR(L1099="",P1099=""),"",IF(COUNTIFS(L$6:L1099,L1099,P$6:P1099,"?*")=1,MAX(AI$5:AI1098)+1,""))</f>
        <v/>
      </c>
    </row>
    <row r="1100">
      <c r="B1100" s="47" t="n"/>
      <c r="C1100" s="48" t="n"/>
      <c r="D1100" s="48" t="n"/>
      <c r="E1100" s="48" t="n"/>
      <c r="F1100" s="48" t="n"/>
      <c r="G1100" s="49" t="n"/>
      <c r="H1100" s="48" t="n"/>
      <c r="I1100" s="50" t="n"/>
      <c r="J1100" s="48" t="n"/>
      <c r="K1100" s="48" t="n"/>
      <c r="L1100" s="48" t="n"/>
      <c r="M1100" s="48" t="n"/>
      <c r="N1100" s="48" t="n"/>
      <c r="O1100" s="51">
        <f>IF(AND(B1100="",G1100="",C1100="",D1100="",J1100=""),"",IF(B1100="","⚠ Falta fecha",IF(G1100="","⚠ Falta monto",IF(Q1100="","⚠ Falta cuenta",IF(ISNA(MATCH(Q1100,ctaNombre,0)),"⚠ Cuenta no registrada",IF(AND(OR(P1100="Gasto",P1100="Reembolso"),D1100=""),"⚠ Falta categoría",IF(AND(D1100&lt;&gt;"",E1100&lt;&gt;"",ISNA(MATCH(D1100&amp;"|"&amp;E1100,catClave,0))),"⚠ Subcategoría no corresponde",IF(AND(OR(P1100="Transferencia",P1100="Pago tarjeta"),K1100=""),"⚠ Falta cuenta destino",IF(AND(K1100&lt;&gt;"",P1100&lt;&gt;"Transferencia",P1100&lt;&gt;"Pago tarjeta"),"⚠ Destino solo aplica a transferencias",IF(AND(K1100&lt;&gt;"",K1100=Q1100),"⚠ Origen igual a destino",IF(AND(K1100&lt;&gt;"",ISNA(MATCH(K1100,ctaNombre,0))),"⚠ Destino no registrado",IF(AND(P1100="Pago tarjeta",AE1100&lt;&gt;"Tarjeta de crédito"),"⚠ El destino debe ser tarjeta de crédito",IF(AND(P1100="Gasto",E1100="Depósitos y retiros"),"⚠ Usa tipo Transferencia",IF(AND(P1100="Resultado trading",AD1100&lt;&gt;"Cuenta de trading"),"⚠ Usa una cuenta de trading",IF(AND(G1100&lt;=0,P1100&lt;&gt;"Ajuste",P1100&lt;&gt;"Resultado trading"),"⚠ El monto debe ser positivo","✓")))))))))))))))</f>
        <v/>
      </c>
      <c r="P1100" s="52">
        <f>IF(OR(B1100="",G1100=""),"",IF(C1100="","Gasto",C1100))</f>
        <v/>
      </c>
      <c r="Q1100" s="52">
        <f>IF(P1100="","",IF(J1100&lt;&gt;"",J1100,CuentaPred&amp;""))</f>
        <v/>
      </c>
      <c r="R1100" s="52">
        <f>IF(P1100="","",IF(ISNUMBER(I1100),I1100,TasaUSD))</f>
        <v/>
      </c>
      <c r="S1100" s="53">
        <f>IF(P1100="","",IF(H1100="USD",G1100*R1100,G1100))</f>
        <v/>
      </c>
      <c r="T1100" s="53">
        <f>IF(P1100="","",IF(H1100="USD",G1100,IF(R1100&gt;0,G1100/R1100,0)))</f>
        <v/>
      </c>
      <c r="U1100" s="53">
        <f>IF(P1100="","",IF(P1100="Gasto",S1100,IF(P1100="Reembolso",-S1100,0)))</f>
        <v/>
      </c>
      <c r="V1100" s="53">
        <f>IF(P1100="","",IF(P1100="Ingreso",S1100,0))</f>
        <v/>
      </c>
      <c r="W1100" s="53">
        <f>IF(P1100="","",IF(P1100="Resultado trading",S1100,0))</f>
        <v/>
      </c>
      <c r="X1100" s="52">
        <f>IF(OR(P1100="Gasto",P1100="Reembolso"),IF(M1100&lt;&gt;"",M1100,IFERROR(INDEX(catClasif,MATCH(D1100&amp;"|"&amp;E1100,catClave,0))&amp;"","Variable")),"")</f>
        <v/>
      </c>
      <c r="Y1100" s="52">
        <f>IF(P1100="","",IFERROR(INDEX(catGrupo,MATCH(D1100&amp;"|"&amp;E1100,catClave,0))&amp;"",""))</f>
        <v/>
      </c>
      <c r="Z1100" s="52">
        <f>IF(P1100="","",WEEKDAY(B1100,2))</f>
        <v/>
      </c>
      <c r="AA1100" s="52">
        <f>IF(P1100="","",IF(AND(P1100="Gasto",X1100="Variable",D1100&lt;&gt;catTrading,S1100&gt;0,S1100&lt;=Umbral),1,0))</f>
        <v/>
      </c>
      <c r="AB1100" s="52">
        <f>IF(OR(P1100="",Q1100=""),"",IFERROR(IF(INDEX(ctaVinc,MATCH(Q1100,ctaNombre,0))&amp;""&lt;&gt;"",INDEX(ctaVinc,MATCH(Q1100,ctaNombre,0))&amp;"",Q1100),Q1100))</f>
        <v/>
      </c>
      <c r="AC1100" s="52">
        <f>IF(OR(K1100="",AND(P1100&lt;&gt;"Transferencia",P1100&lt;&gt;"Pago tarjeta")),"",IFERROR(IF(INDEX(ctaVinc,MATCH(K1100,ctaNombre,0))&amp;""&lt;&gt;"",INDEX(ctaVinc,MATCH(K1100,ctaNombre,0))&amp;"",K1100),K1100))</f>
        <v/>
      </c>
      <c r="AD1100" s="52">
        <f>IF(AB1100="","",IFERROR(INDEX(ctaTipo,MATCH(AB1100,ctaNombre,0))&amp;"",""))</f>
        <v/>
      </c>
      <c r="AE1100" s="52">
        <f>IF(AC1100="","",IFERROR(INDEX(ctaTipo,MATCH(AC1100,ctaNombre,0))&amp;"",""))</f>
        <v/>
      </c>
      <c r="AF1100" s="53">
        <f>IF(OR(P1100="",AB1100=""),"",IF(OR(P1100="Gasto",P1100="Transferencia",P1100="Pago tarjeta"),-1,1)*IF(IFERROR(INDEX(ctaMoneda,MATCH(AB1100,ctaNombre,0))&amp;"","DOP")="USD",T1100,S1100))</f>
        <v/>
      </c>
      <c r="AG1100" s="53">
        <f>IF(AC1100="","",IF(IFERROR(INDEX(ctaMoneda,MATCH(AC1100,ctaNombre,0))&amp;"","DOP")="USD",T1100,S1100))</f>
        <v/>
      </c>
      <c r="AH1100" s="53">
        <f>IF(P1100="","",IF(AND(AD1100&lt;&gt;"",COUNTIFS(tcTipo,AD1100,tcLiq,"Sí")&gt;0),IF(OR(P1100="Gasto",P1100="Transferencia",P1100="Pago tarjeta"),-1,1)*S1100,0)+IF(AND(AE1100&lt;&gt;"",COUNTIFS(tcTipo,AE1100,tcLiq,"Sí")&gt;0),S1100,0))</f>
        <v/>
      </c>
      <c r="AI1100" s="52">
        <f>IF(OR(L1100="",P1100=""),"",IF(COUNTIFS(L$6:L1100,L1100,P$6:P1100,"?*")=1,MAX(AI$5:AI1099)+1,""))</f>
        <v/>
      </c>
    </row>
    <row r="1101">
      <c r="B1101" s="47" t="n"/>
      <c r="C1101" s="48" t="n"/>
      <c r="D1101" s="48" t="n"/>
      <c r="E1101" s="48" t="n"/>
      <c r="F1101" s="48" t="n"/>
      <c r="G1101" s="49" t="n"/>
      <c r="H1101" s="48" t="n"/>
      <c r="I1101" s="50" t="n"/>
      <c r="J1101" s="48" t="n"/>
      <c r="K1101" s="48" t="n"/>
      <c r="L1101" s="48" t="n"/>
      <c r="M1101" s="48" t="n"/>
      <c r="N1101" s="48" t="n"/>
      <c r="O1101" s="51">
        <f>IF(AND(B1101="",G1101="",C1101="",D1101="",J1101=""),"",IF(B1101="","⚠ Falta fecha",IF(G1101="","⚠ Falta monto",IF(Q1101="","⚠ Falta cuenta",IF(ISNA(MATCH(Q1101,ctaNombre,0)),"⚠ Cuenta no registrada",IF(AND(OR(P1101="Gasto",P1101="Reembolso"),D1101=""),"⚠ Falta categoría",IF(AND(D1101&lt;&gt;"",E1101&lt;&gt;"",ISNA(MATCH(D1101&amp;"|"&amp;E1101,catClave,0))),"⚠ Subcategoría no corresponde",IF(AND(OR(P1101="Transferencia",P1101="Pago tarjeta"),K1101=""),"⚠ Falta cuenta destino",IF(AND(K1101&lt;&gt;"",P1101&lt;&gt;"Transferencia",P1101&lt;&gt;"Pago tarjeta"),"⚠ Destino solo aplica a transferencias",IF(AND(K1101&lt;&gt;"",K1101=Q1101),"⚠ Origen igual a destino",IF(AND(K1101&lt;&gt;"",ISNA(MATCH(K1101,ctaNombre,0))),"⚠ Destino no registrado",IF(AND(P1101="Pago tarjeta",AE1101&lt;&gt;"Tarjeta de crédito"),"⚠ El destino debe ser tarjeta de crédito",IF(AND(P1101="Gasto",E1101="Depósitos y retiros"),"⚠ Usa tipo Transferencia",IF(AND(P1101="Resultado trading",AD1101&lt;&gt;"Cuenta de trading"),"⚠ Usa una cuenta de trading",IF(AND(G1101&lt;=0,P1101&lt;&gt;"Ajuste",P1101&lt;&gt;"Resultado trading"),"⚠ El monto debe ser positivo","✓")))))))))))))))</f>
        <v/>
      </c>
      <c r="P1101" s="52">
        <f>IF(OR(B1101="",G1101=""),"",IF(C1101="","Gasto",C1101))</f>
        <v/>
      </c>
      <c r="Q1101" s="52">
        <f>IF(P1101="","",IF(J1101&lt;&gt;"",J1101,CuentaPred&amp;""))</f>
        <v/>
      </c>
      <c r="R1101" s="52">
        <f>IF(P1101="","",IF(ISNUMBER(I1101),I1101,TasaUSD))</f>
        <v/>
      </c>
      <c r="S1101" s="53">
        <f>IF(P1101="","",IF(H1101="USD",G1101*R1101,G1101))</f>
        <v/>
      </c>
      <c r="T1101" s="53">
        <f>IF(P1101="","",IF(H1101="USD",G1101,IF(R1101&gt;0,G1101/R1101,0)))</f>
        <v/>
      </c>
      <c r="U1101" s="53">
        <f>IF(P1101="","",IF(P1101="Gasto",S1101,IF(P1101="Reembolso",-S1101,0)))</f>
        <v/>
      </c>
      <c r="V1101" s="53">
        <f>IF(P1101="","",IF(P1101="Ingreso",S1101,0))</f>
        <v/>
      </c>
      <c r="W1101" s="53">
        <f>IF(P1101="","",IF(P1101="Resultado trading",S1101,0))</f>
        <v/>
      </c>
      <c r="X1101" s="52">
        <f>IF(OR(P1101="Gasto",P1101="Reembolso"),IF(M1101&lt;&gt;"",M1101,IFERROR(INDEX(catClasif,MATCH(D1101&amp;"|"&amp;E1101,catClave,0))&amp;"","Variable")),"")</f>
        <v/>
      </c>
      <c r="Y1101" s="52">
        <f>IF(P1101="","",IFERROR(INDEX(catGrupo,MATCH(D1101&amp;"|"&amp;E1101,catClave,0))&amp;"",""))</f>
        <v/>
      </c>
      <c r="Z1101" s="52">
        <f>IF(P1101="","",WEEKDAY(B1101,2))</f>
        <v/>
      </c>
      <c r="AA1101" s="52">
        <f>IF(P1101="","",IF(AND(P1101="Gasto",X1101="Variable",D1101&lt;&gt;catTrading,S1101&gt;0,S1101&lt;=Umbral),1,0))</f>
        <v/>
      </c>
      <c r="AB1101" s="52">
        <f>IF(OR(P1101="",Q1101=""),"",IFERROR(IF(INDEX(ctaVinc,MATCH(Q1101,ctaNombre,0))&amp;""&lt;&gt;"",INDEX(ctaVinc,MATCH(Q1101,ctaNombre,0))&amp;"",Q1101),Q1101))</f>
        <v/>
      </c>
      <c r="AC1101" s="52">
        <f>IF(OR(K1101="",AND(P1101&lt;&gt;"Transferencia",P1101&lt;&gt;"Pago tarjeta")),"",IFERROR(IF(INDEX(ctaVinc,MATCH(K1101,ctaNombre,0))&amp;""&lt;&gt;"",INDEX(ctaVinc,MATCH(K1101,ctaNombre,0))&amp;"",K1101),K1101))</f>
        <v/>
      </c>
      <c r="AD1101" s="52">
        <f>IF(AB1101="","",IFERROR(INDEX(ctaTipo,MATCH(AB1101,ctaNombre,0))&amp;"",""))</f>
        <v/>
      </c>
      <c r="AE1101" s="52">
        <f>IF(AC1101="","",IFERROR(INDEX(ctaTipo,MATCH(AC1101,ctaNombre,0))&amp;"",""))</f>
        <v/>
      </c>
      <c r="AF1101" s="53">
        <f>IF(OR(P1101="",AB1101=""),"",IF(OR(P1101="Gasto",P1101="Transferencia",P1101="Pago tarjeta"),-1,1)*IF(IFERROR(INDEX(ctaMoneda,MATCH(AB1101,ctaNombre,0))&amp;"","DOP")="USD",T1101,S1101))</f>
        <v/>
      </c>
      <c r="AG1101" s="53">
        <f>IF(AC1101="","",IF(IFERROR(INDEX(ctaMoneda,MATCH(AC1101,ctaNombre,0))&amp;"","DOP")="USD",T1101,S1101))</f>
        <v/>
      </c>
      <c r="AH1101" s="53">
        <f>IF(P1101="","",IF(AND(AD1101&lt;&gt;"",COUNTIFS(tcTipo,AD1101,tcLiq,"Sí")&gt;0),IF(OR(P1101="Gasto",P1101="Transferencia",P1101="Pago tarjeta"),-1,1)*S1101,0)+IF(AND(AE1101&lt;&gt;"",COUNTIFS(tcTipo,AE1101,tcLiq,"Sí")&gt;0),S1101,0))</f>
        <v/>
      </c>
      <c r="AI1101" s="52">
        <f>IF(OR(L1101="",P1101=""),"",IF(COUNTIFS(L$6:L1101,L1101,P$6:P1101,"?*")=1,MAX(AI$5:AI1100)+1,""))</f>
        <v/>
      </c>
    </row>
    <row r="1102">
      <c r="B1102" s="47" t="n"/>
      <c r="C1102" s="48" t="n"/>
      <c r="D1102" s="48" t="n"/>
      <c r="E1102" s="48" t="n"/>
      <c r="F1102" s="48" t="n"/>
      <c r="G1102" s="49" t="n"/>
      <c r="H1102" s="48" t="n"/>
      <c r="I1102" s="50" t="n"/>
      <c r="J1102" s="48" t="n"/>
      <c r="K1102" s="48" t="n"/>
      <c r="L1102" s="48" t="n"/>
      <c r="M1102" s="48" t="n"/>
      <c r="N1102" s="48" t="n"/>
      <c r="O1102" s="51">
        <f>IF(AND(B1102="",G1102="",C1102="",D1102="",J1102=""),"",IF(B1102="","⚠ Falta fecha",IF(G1102="","⚠ Falta monto",IF(Q1102="","⚠ Falta cuenta",IF(ISNA(MATCH(Q1102,ctaNombre,0)),"⚠ Cuenta no registrada",IF(AND(OR(P1102="Gasto",P1102="Reembolso"),D1102=""),"⚠ Falta categoría",IF(AND(D1102&lt;&gt;"",E1102&lt;&gt;"",ISNA(MATCH(D1102&amp;"|"&amp;E1102,catClave,0))),"⚠ Subcategoría no corresponde",IF(AND(OR(P1102="Transferencia",P1102="Pago tarjeta"),K1102=""),"⚠ Falta cuenta destino",IF(AND(K1102&lt;&gt;"",P1102&lt;&gt;"Transferencia",P1102&lt;&gt;"Pago tarjeta"),"⚠ Destino solo aplica a transferencias",IF(AND(K1102&lt;&gt;"",K1102=Q1102),"⚠ Origen igual a destino",IF(AND(K1102&lt;&gt;"",ISNA(MATCH(K1102,ctaNombre,0))),"⚠ Destino no registrado",IF(AND(P1102="Pago tarjeta",AE1102&lt;&gt;"Tarjeta de crédito"),"⚠ El destino debe ser tarjeta de crédito",IF(AND(P1102="Gasto",E1102="Depósitos y retiros"),"⚠ Usa tipo Transferencia",IF(AND(P1102="Resultado trading",AD1102&lt;&gt;"Cuenta de trading"),"⚠ Usa una cuenta de trading",IF(AND(G1102&lt;=0,P1102&lt;&gt;"Ajuste",P1102&lt;&gt;"Resultado trading"),"⚠ El monto debe ser positivo","✓")))))))))))))))</f>
        <v/>
      </c>
      <c r="P1102" s="52">
        <f>IF(OR(B1102="",G1102=""),"",IF(C1102="","Gasto",C1102))</f>
        <v/>
      </c>
      <c r="Q1102" s="52">
        <f>IF(P1102="","",IF(J1102&lt;&gt;"",J1102,CuentaPred&amp;""))</f>
        <v/>
      </c>
      <c r="R1102" s="52">
        <f>IF(P1102="","",IF(ISNUMBER(I1102),I1102,TasaUSD))</f>
        <v/>
      </c>
      <c r="S1102" s="53">
        <f>IF(P1102="","",IF(H1102="USD",G1102*R1102,G1102))</f>
        <v/>
      </c>
      <c r="T1102" s="53">
        <f>IF(P1102="","",IF(H1102="USD",G1102,IF(R1102&gt;0,G1102/R1102,0)))</f>
        <v/>
      </c>
      <c r="U1102" s="53">
        <f>IF(P1102="","",IF(P1102="Gasto",S1102,IF(P1102="Reembolso",-S1102,0)))</f>
        <v/>
      </c>
      <c r="V1102" s="53">
        <f>IF(P1102="","",IF(P1102="Ingreso",S1102,0))</f>
        <v/>
      </c>
      <c r="W1102" s="53">
        <f>IF(P1102="","",IF(P1102="Resultado trading",S1102,0))</f>
        <v/>
      </c>
      <c r="X1102" s="52">
        <f>IF(OR(P1102="Gasto",P1102="Reembolso"),IF(M1102&lt;&gt;"",M1102,IFERROR(INDEX(catClasif,MATCH(D1102&amp;"|"&amp;E1102,catClave,0))&amp;"","Variable")),"")</f>
        <v/>
      </c>
      <c r="Y1102" s="52">
        <f>IF(P1102="","",IFERROR(INDEX(catGrupo,MATCH(D1102&amp;"|"&amp;E1102,catClave,0))&amp;"",""))</f>
        <v/>
      </c>
      <c r="Z1102" s="52">
        <f>IF(P1102="","",WEEKDAY(B1102,2))</f>
        <v/>
      </c>
      <c r="AA1102" s="52">
        <f>IF(P1102="","",IF(AND(P1102="Gasto",X1102="Variable",D1102&lt;&gt;catTrading,S1102&gt;0,S1102&lt;=Umbral),1,0))</f>
        <v/>
      </c>
      <c r="AB1102" s="52">
        <f>IF(OR(P1102="",Q1102=""),"",IFERROR(IF(INDEX(ctaVinc,MATCH(Q1102,ctaNombre,0))&amp;""&lt;&gt;"",INDEX(ctaVinc,MATCH(Q1102,ctaNombre,0))&amp;"",Q1102),Q1102))</f>
        <v/>
      </c>
      <c r="AC1102" s="52">
        <f>IF(OR(K1102="",AND(P1102&lt;&gt;"Transferencia",P1102&lt;&gt;"Pago tarjeta")),"",IFERROR(IF(INDEX(ctaVinc,MATCH(K1102,ctaNombre,0))&amp;""&lt;&gt;"",INDEX(ctaVinc,MATCH(K1102,ctaNombre,0))&amp;"",K1102),K1102))</f>
        <v/>
      </c>
      <c r="AD1102" s="52">
        <f>IF(AB1102="","",IFERROR(INDEX(ctaTipo,MATCH(AB1102,ctaNombre,0))&amp;"",""))</f>
        <v/>
      </c>
      <c r="AE1102" s="52">
        <f>IF(AC1102="","",IFERROR(INDEX(ctaTipo,MATCH(AC1102,ctaNombre,0))&amp;"",""))</f>
        <v/>
      </c>
      <c r="AF1102" s="53">
        <f>IF(OR(P1102="",AB1102=""),"",IF(OR(P1102="Gasto",P1102="Transferencia",P1102="Pago tarjeta"),-1,1)*IF(IFERROR(INDEX(ctaMoneda,MATCH(AB1102,ctaNombre,0))&amp;"","DOP")="USD",T1102,S1102))</f>
        <v/>
      </c>
      <c r="AG1102" s="53">
        <f>IF(AC1102="","",IF(IFERROR(INDEX(ctaMoneda,MATCH(AC1102,ctaNombre,0))&amp;"","DOP")="USD",T1102,S1102))</f>
        <v/>
      </c>
      <c r="AH1102" s="53">
        <f>IF(P1102="","",IF(AND(AD1102&lt;&gt;"",COUNTIFS(tcTipo,AD1102,tcLiq,"Sí")&gt;0),IF(OR(P1102="Gasto",P1102="Transferencia",P1102="Pago tarjeta"),-1,1)*S1102,0)+IF(AND(AE1102&lt;&gt;"",COUNTIFS(tcTipo,AE1102,tcLiq,"Sí")&gt;0),S1102,0))</f>
        <v/>
      </c>
      <c r="AI1102" s="52">
        <f>IF(OR(L1102="",P1102=""),"",IF(COUNTIFS(L$6:L1102,L1102,P$6:P1102,"?*")=1,MAX(AI$5:AI1101)+1,""))</f>
        <v/>
      </c>
    </row>
    <row r="1103">
      <c r="B1103" s="47" t="n"/>
      <c r="C1103" s="48" t="n"/>
      <c r="D1103" s="48" t="n"/>
      <c r="E1103" s="48" t="n"/>
      <c r="F1103" s="48" t="n"/>
      <c r="G1103" s="49" t="n"/>
      <c r="H1103" s="48" t="n"/>
      <c r="I1103" s="50" t="n"/>
      <c r="J1103" s="48" t="n"/>
      <c r="K1103" s="48" t="n"/>
      <c r="L1103" s="48" t="n"/>
      <c r="M1103" s="48" t="n"/>
      <c r="N1103" s="48" t="n"/>
      <c r="O1103" s="51">
        <f>IF(AND(B1103="",G1103="",C1103="",D1103="",J1103=""),"",IF(B1103="","⚠ Falta fecha",IF(G1103="","⚠ Falta monto",IF(Q1103="","⚠ Falta cuenta",IF(ISNA(MATCH(Q1103,ctaNombre,0)),"⚠ Cuenta no registrada",IF(AND(OR(P1103="Gasto",P1103="Reembolso"),D1103=""),"⚠ Falta categoría",IF(AND(D1103&lt;&gt;"",E1103&lt;&gt;"",ISNA(MATCH(D1103&amp;"|"&amp;E1103,catClave,0))),"⚠ Subcategoría no corresponde",IF(AND(OR(P1103="Transferencia",P1103="Pago tarjeta"),K1103=""),"⚠ Falta cuenta destino",IF(AND(K1103&lt;&gt;"",P1103&lt;&gt;"Transferencia",P1103&lt;&gt;"Pago tarjeta"),"⚠ Destino solo aplica a transferencias",IF(AND(K1103&lt;&gt;"",K1103=Q1103),"⚠ Origen igual a destino",IF(AND(K1103&lt;&gt;"",ISNA(MATCH(K1103,ctaNombre,0))),"⚠ Destino no registrado",IF(AND(P1103="Pago tarjeta",AE1103&lt;&gt;"Tarjeta de crédito"),"⚠ El destino debe ser tarjeta de crédito",IF(AND(P1103="Gasto",E1103="Depósitos y retiros"),"⚠ Usa tipo Transferencia",IF(AND(P1103="Resultado trading",AD1103&lt;&gt;"Cuenta de trading"),"⚠ Usa una cuenta de trading",IF(AND(G1103&lt;=0,P1103&lt;&gt;"Ajuste",P1103&lt;&gt;"Resultado trading"),"⚠ El monto debe ser positivo","✓")))))))))))))))</f>
        <v/>
      </c>
      <c r="P1103" s="52">
        <f>IF(OR(B1103="",G1103=""),"",IF(C1103="","Gasto",C1103))</f>
        <v/>
      </c>
      <c r="Q1103" s="52">
        <f>IF(P1103="","",IF(J1103&lt;&gt;"",J1103,CuentaPred&amp;""))</f>
        <v/>
      </c>
      <c r="R1103" s="52">
        <f>IF(P1103="","",IF(ISNUMBER(I1103),I1103,TasaUSD))</f>
        <v/>
      </c>
      <c r="S1103" s="53">
        <f>IF(P1103="","",IF(H1103="USD",G1103*R1103,G1103))</f>
        <v/>
      </c>
      <c r="T1103" s="53">
        <f>IF(P1103="","",IF(H1103="USD",G1103,IF(R1103&gt;0,G1103/R1103,0)))</f>
        <v/>
      </c>
      <c r="U1103" s="53">
        <f>IF(P1103="","",IF(P1103="Gasto",S1103,IF(P1103="Reembolso",-S1103,0)))</f>
        <v/>
      </c>
      <c r="V1103" s="53">
        <f>IF(P1103="","",IF(P1103="Ingreso",S1103,0))</f>
        <v/>
      </c>
      <c r="W1103" s="53">
        <f>IF(P1103="","",IF(P1103="Resultado trading",S1103,0))</f>
        <v/>
      </c>
      <c r="X1103" s="52">
        <f>IF(OR(P1103="Gasto",P1103="Reembolso"),IF(M1103&lt;&gt;"",M1103,IFERROR(INDEX(catClasif,MATCH(D1103&amp;"|"&amp;E1103,catClave,0))&amp;"","Variable")),"")</f>
        <v/>
      </c>
      <c r="Y1103" s="52">
        <f>IF(P1103="","",IFERROR(INDEX(catGrupo,MATCH(D1103&amp;"|"&amp;E1103,catClave,0))&amp;"",""))</f>
        <v/>
      </c>
      <c r="Z1103" s="52">
        <f>IF(P1103="","",WEEKDAY(B1103,2))</f>
        <v/>
      </c>
      <c r="AA1103" s="52">
        <f>IF(P1103="","",IF(AND(P1103="Gasto",X1103="Variable",D1103&lt;&gt;catTrading,S1103&gt;0,S1103&lt;=Umbral),1,0))</f>
        <v/>
      </c>
      <c r="AB1103" s="52">
        <f>IF(OR(P1103="",Q1103=""),"",IFERROR(IF(INDEX(ctaVinc,MATCH(Q1103,ctaNombre,0))&amp;""&lt;&gt;"",INDEX(ctaVinc,MATCH(Q1103,ctaNombre,0))&amp;"",Q1103),Q1103))</f>
        <v/>
      </c>
      <c r="AC1103" s="52">
        <f>IF(OR(K1103="",AND(P1103&lt;&gt;"Transferencia",P1103&lt;&gt;"Pago tarjeta")),"",IFERROR(IF(INDEX(ctaVinc,MATCH(K1103,ctaNombre,0))&amp;""&lt;&gt;"",INDEX(ctaVinc,MATCH(K1103,ctaNombre,0))&amp;"",K1103),K1103))</f>
        <v/>
      </c>
      <c r="AD1103" s="52">
        <f>IF(AB1103="","",IFERROR(INDEX(ctaTipo,MATCH(AB1103,ctaNombre,0))&amp;"",""))</f>
        <v/>
      </c>
      <c r="AE1103" s="52">
        <f>IF(AC1103="","",IFERROR(INDEX(ctaTipo,MATCH(AC1103,ctaNombre,0))&amp;"",""))</f>
        <v/>
      </c>
      <c r="AF1103" s="53">
        <f>IF(OR(P1103="",AB1103=""),"",IF(OR(P1103="Gasto",P1103="Transferencia",P1103="Pago tarjeta"),-1,1)*IF(IFERROR(INDEX(ctaMoneda,MATCH(AB1103,ctaNombre,0))&amp;"","DOP")="USD",T1103,S1103))</f>
        <v/>
      </c>
      <c r="AG1103" s="53">
        <f>IF(AC1103="","",IF(IFERROR(INDEX(ctaMoneda,MATCH(AC1103,ctaNombre,0))&amp;"","DOP")="USD",T1103,S1103))</f>
        <v/>
      </c>
      <c r="AH1103" s="53">
        <f>IF(P1103="","",IF(AND(AD1103&lt;&gt;"",COUNTIFS(tcTipo,AD1103,tcLiq,"Sí")&gt;0),IF(OR(P1103="Gasto",P1103="Transferencia",P1103="Pago tarjeta"),-1,1)*S1103,0)+IF(AND(AE1103&lt;&gt;"",COUNTIFS(tcTipo,AE1103,tcLiq,"Sí")&gt;0),S1103,0))</f>
        <v/>
      </c>
      <c r="AI1103" s="52">
        <f>IF(OR(L1103="",P1103=""),"",IF(COUNTIFS(L$6:L1103,L1103,P$6:P1103,"?*")=1,MAX(AI$5:AI1102)+1,""))</f>
        <v/>
      </c>
    </row>
    <row r="1104">
      <c r="B1104" s="47" t="n"/>
      <c r="C1104" s="48" t="n"/>
      <c r="D1104" s="48" t="n"/>
      <c r="E1104" s="48" t="n"/>
      <c r="F1104" s="48" t="n"/>
      <c r="G1104" s="49" t="n"/>
      <c r="H1104" s="48" t="n"/>
      <c r="I1104" s="50" t="n"/>
      <c r="J1104" s="48" t="n"/>
      <c r="K1104" s="48" t="n"/>
      <c r="L1104" s="48" t="n"/>
      <c r="M1104" s="48" t="n"/>
      <c r="N1104" s="48" t="n"/>
      <c r="O1104" s="51">
        <f>IF(AND(B1104="",G1104="",C1104="",D1104="",J1104=""),"",IF(B1104="","⚠ Falta fecha",IF(G1104="","⚠ Falta monto",IF(Q1104="","⚠ Falta cuenta",IF(ISNA(MATCH(Q1104,ctaNombre,0)),"⚠ Cuenta no registrada",IF(AND(OR(P1104="Gasto",P1104="Reembolso"),D1104=""),"⚠ Falta categoría",IF(AND(D1104&lt;&gt;"",E1104&lt;&gt;"",ISNA(MATCH(D1104&amp;"|"&amp;E1104,catClave,0))),"⚠ Subcategoría no corresponde",IF(AND(OR(P1104="Transferencia",P1104="Pago tarjeta"),K1104=""),"⚠ Falta cuenta destino",IF(AND(K1104&lt;&gt;"",P1104&lt;&gt;"Transferencia",P1104&lt;&gt;"Pago tarjeta"),"⚠ Destino solo aplica a transferencias",IF(AND(K1104&lt;&gt;"",K1104=Q1104),"⚠ Origen igual a destino",IF(AND(K1104&lt;&gt;"",ISNA(MATCH(K1104,ctaNombre,0))),"⚠ Destino no registrado",IF(AND(P1104="Pago tarjeta",AE1104&lt;&gt;"Tarjeta de crédito"),"⚠ El destino debe ser tarjeta de crédito",IF(AND(P1104="Gasto",E1104="Depósitos y retiros"),"⚠ Usa tipo Transferencia",IF(AND(P1104="Resultado trading",AD1104&lt;&gt;"Cuenta de trading"),"⚠ Usa una cuenta de trading",IF(AND(G1104&lt;=0,P1104&lt;&gt;"Ajuste",P1104&lt;&gt;"Resultado trading"),"⚠ El monto debe ser positivo","✓")))))))))))))))</f>
        <v/>
      </c>
      <c r="P1104" s="52">
        <f>IF(OR(B1104="",G1104=""),"",IF(C1104="","Gasto",C1104))</f>
        <v/>
      </c>
      <c r="Q1104" s="52">
        <f>IF(P1104="","",IF(J1104&lt;&gt;"",J1104,CuentaPred&amp;""))</f>
        <v/>
      </c>
      <c r="R1104" s="52">
        <f>IF(P1104="","",IF(ISNUMBER(I1104),I1104,TasaUSD))</f>
        <v/>
      </c>
      <c r="S1104" s="53">
        <f>IF(P1104="","",IF(H1104="USD",G1104*R1104,G1104))</f>
        <v/>
      </c>
      <c r="T1104" s="53">
        <f>IF(P1104="","",IF(H1104="USD",G1104,IF(R1104&gt;0,G1104/R1104,0)))</f>
        <v/>
      </c>
      <c r="U1104" s="53">
        <f>IF(P1104="","",IF(P1104="Gasto",S1104,IF(P1104="Reembolso",-S1104,0)))</f>
        <v/>
      </c>
      <c r="V1104" s="53">
        <f>IF(P1104="","",IF(P1104="Ingreso",S1104,0))</f>
        <v/>
      </c>
      <c r="W1104" s="53">
        <f>IF(P1104="","",IF(P1104="Resultado trading",S1104,0))</f>
        <v/>
      </c>
      <c r="X1104" s="52">
        <f>IF(OR(P1104="Gasto",P1104="Reembolso"),IF(M1104&lt;&gt;"",M1104,IFERROR(INDEX(catClasif,MATCH(D1104&amp;"|"&amp;E1104,catClave,0))&amp;"","Variable")),"")</f>
        <v/>
      </c>
      <c r="Y1104" s="52">
        <f>IF(P1104="","",IFERROR(INDEX(catGrupo,MATCH(D1104&amp;"|"&amp;E1104,catClave,0))&amp;"",""))</f>
        <v/>
      </c>
      <c r="Z1104" s="52">
        <f>IF(P1104="","",WEEKDAY(B1104,2))</f>
        <v/>
      </c>
      <c r="AA1104" s="52">
        <f>IF(P1104="","",IF(AND(P1104="Gasto",X1104="Variable",D1104&lt;&gt;catTrading,S1104&gt;0,S1104&lt;=Umbral),1,0))</f>
        <v/>
      </c>
      <c r="AB1104" s="52">
        <f>IF(OR(P1104="",Q1104=""),"",IFERROR(IF(INDEX(ctaVinc,MATCH(Q1104,ctaNombre,0))&amp;""&lt;&gt;"",INDEX(ctaVinc,MATCH(Q1104,ctaNombre,0))&amp;"",Q1104),Q1104))</f>
        <v/>
      </c>
      <c r="AC1104" s="52">
        <f>IF(OR(K1104="",AND(P1104&lt;&gt;"Transferencia",P1104&lt;&gt;"Pago tarjeta")),"",IFERROR(IF(INDEX(ctaVinc,MATCH(K1104,ctaNombre,0))&amp;""&lt;&gt;"",INDEX(ctaVinc,MATCH(K1104,ctaNombre,0))&amp;"",K1104),K1104))</f>
        <v/>
      </c>
      <c r="AD1104" s="52">
        <f>IF(AB1104="","",IFERROR(INDEX(ctaTipo,MATCH(AB1104,ctaNombre,0))&amp;"",""))</f>
        <v/>
      </c>
      <c r="AE1104" s="52">
        <f>IF(AC1104="","",IFERROR(INDEX(ctaTipo,MATCH(AC1104,ctaNombre,0))&amp;"",""))</f>
        <v/>
      </c>
      <c r="AF1104" s="53">
        <f>IF(OR(P1104="",AB1104=""),"",IF(OR(P1104="Gasto",P1104="Transferencia",P1104="Pago tarjeta"),-1,1)*IF(IFERROR(INDEX(ctaMoneda,MATCH(AB1104,ctaNombre,0))&amp;"","DOP")="USD",T1104,S1104))</f>
        <v/>
      </c>
      <c r="AG1104" s="53">
        <f>IF(AC1104="","",IF(IFERROR(INDEX(ctaMoneda,MATCH(AC1104,ctaNombre,0))&amp;"","DOP")="USD",T1104,S1104))</f>
        <v/>
      </c>
      <c r="AH1104" s="53">
        <f>IF(P1104="","",IF(AND(AD1104&lt;&gt;"",COUNTIFS(tcTipo,AD1104,tcLiq,"Sí")&gt;0),IF(OR(P1104="Gasto",P1104="Transferencia",P1104="Pago tarjeta"),-1,1)*S1104,0)+IF(AND(AE1104&lt;&gt;"",COUNTIFS(tcTipo,AE1104,tcLiq,"Sí")&gt;0),S1104,0))</f>
        <v/>
      </c>
      <c r="AI1104" s="52">
        <f>IF(OR(L1104="",P1104=""),"",IF(COUNTIFS(L$6:L1104,L1104,P$6:P1104,"?*")=1,MAX(AI$5:AI1103)+1,""))</f>
        <v/>
      </c>
    </row>
    <row r="1105">
      <c r="B1105" s="47" t="n"/>
      <c r="C1105" s="48" t="n"/>
      <c r="D1105" s="48" t="n"/>
      <c r="E1105" s="48" t="n"/>
      <c r="F1105" s="48" t="n"/>
      <c r="G1105" s="49" t="n"/>
      <c r="H1105" s="48" t="n"/>
      <c r="I1105" s="50" t="n"/>
      <c r="J1105" s="48" t="n"/>
      <c r="K1105" s="48" t="n"/>
      <c r="L1105" s="48" t="n"/>
      <c r="M1105" s="48" t="n"/>
      <c r="N1105" s="48" t="n"/>
      <c r="O1105" s="51">
        <f>IF(AND(B1105="",G1105="",C1105="",D1105="",J1105=""),"",IF(B1105="","⚠ Falta fecha",IF(G1105="","⚠ Falta monto",IF(Q1105="","⚠ Falta cuenta",IF(ISNA(MATCH(Q1105,ctaNombre,0)),"⚠ Cuenta no registrada",IF(AND(OR(P1105="Gasto",P1105="Reembolso"),D1105=""),"⚠ Falta categoría",IF(AND(D1105&lt;&gt;"",E1105&lt;&gt;"",ISNA(MATCH(D1105&amp;"|"&amp;E1105,catClave,0))),"⚠ Subcategoría no corresponde",IF(AND(OR(P1105="Transferencia",P1105="Pago tarjeta"),K1105=""),"⚠ Falta cuenta destino",IF(AND(K1105&lt;&gt;"",P1105&lt;&gt;"Transferencia",P1105&lt;&gt;"Pago tarjeta"),"⚠ Destino solo aplica a transferencias",IF(AND(K1105&lt;&gt;"",K1105=Q1105),"⚠ Origen igual a destino",IF(AND(K1105&lt;&gt;"",ISNA(MATCH(K1105,ctaNombre,0))),"⚠ Destino no registrado",IF(AND(P1105="Pago tarjeta",AE1105&lt;&gt;"Tarjeta de crédito"),"⚠ El destino debe ser tarjeta de crédito",IF(AND(P1105="Gasto",E1105="Depósitos y retiros"),"⚠ Usa tipo Transferencia",IF(AND(P1105="Resultado trading",AD1105&lt;&gt;"Cuenta de trading"),"⚠ Usa una cuenta de trading",IF(AND(G1105&lt;=0,P1105&lt;&gt;"Ajuste",P1105&lt;&gt;"Resultado trading"),"⚠ El monto debe ser positivo","✓")))))))))))))))</f>
        <v/>
      </c>
      <c r="P1105" s="52">
        <f>IF(OR(B1105="",G1105=""),"",IF(C1105="","Gasto",C1105))</f>
        <v/>
      </c>
      <c r="Q1105" s="52">
        <f>IF(P1105="","",IF(J1105&lt;&gt;"",J1105,CuentaPred&amp;""))</f>
        <v/>
      </c>
      <c r="R1105" s="52">
        <f>IF(P1105="","",IF(ISNUMBER(I1105),I1105,TasaUSD))</f>
        <v/>
      </c>
      <c r="S1105" s="53">
        <f>IF(P1105="","",IF(H1105="USD",G1105*R1105,G1105))</f>
        <v/>
      </c>
      <c r="T1105" s="53">
        <f>IF(P1105="","",IF(H1105="USD",G1105,IF(R1105&gt;0,G1105/R1105,0)))</f>
        <v/>
      </c>
      <c r="U1105" s="53">
        <f>IF(P1105="","",IF(P1105="Gasto",S1105,IF(P1105="Reembolso",-S1105,0)))</f>
        <v/>
      </c>
      <c r="V1105" s="53">
        <f>IF(P1105="","",IF(P1105="Ingreso",S1105,0))</f>
        <v/>
      </c>
      <c r="W1105" s="53">
        <f>IF(P1105="","",IF(P1105="Resultado trading",S1105,0))</f>
        <v/>
      </c>
      <c r="X1105" s="52">
        <f>IF(OR(P1105="Gasto",P1105="Reembolso"),IF(M1105&lt;&gt;"",M1105,IFERROR(INDEX(catClasif,MATCH(D1105&amp;"|"&amp;E1105,catClave,0))&amp;"","Variable")),"")</f>
        <v/>
      </c>
      <c r="Y1105" s="52">
        <f>IF(P1105="","",IFERROR(INDEX(catGrupo,MATCH(D1105&amp;"|"&amp;E1105,catClave,0))&amp;"",""))</f>
        <v/>
      </c>
      <c r="Z1105" s="52">
        <f>IF(P1105="","",WEEKDAY(B1105,2))</f>
        <v/>
      </c>
      <c r="AA1105" s="52">
        <f>IF(P1105="","",IF(AND(P1105="Gasto",X1105="Variable",D1105&lt;&gt;catTrading,S1105&gt;0,S1105&lt;=Umbral),1,0))</f>
        <v/>
      </c>
      <c r="AB1105" s="52">
        <f>IF(OR(P1105="",Q1105=""),"",IFERROR(IF(INDEX(ctaVinc,MATCH(Q1105,ctaNombre,0))&amp;""&lt;&gt;"",INDEX(ctaVinc,MATCH(Q1105,ctaNombre,0))&amp;"",Q1105),Q1105))</f>
        <v/>
      </c>
      <c r="AC1105" s="52">
        <f>IF(OR(K1105="",AND(P1105&lt;&gt;"Transferencia",P1105&lt;&gt;"Pago tarjeta")),"",IFERROR(IF(INDEX(ctaVinc,MATCH(K1105,ctaNombre,0))&amp;""&lt;&gt;"",INDEX(ctaVinc,MATCH(K1105,ctaNombre,0))&amp;"",K1105),K1105))</f>
        <v/>
      </c>
      <c r="AD1105" s="52">
        <f>IF(AB1105="","",IFERROR(INDEX(ctaTipo,MATCH(AB1105,ctaNombre,0))&amp;"",""))</f>
        <v/>
      </c>
      <c r="AE1105" s="52">
        <f>IF(AC1105="","",IFERROR(INDEX(ctaTipo,MATCH(AC1105,ctaNombre,0))&amp;"",""))</f>
        <v/>
      </c>
      <c r="AF1105" s="53">
        <f>IF(OR(P1105="",AB1105=""),"",IF(OR(P1105="Gasto",P1105="Transferencia",P1105="Pago tarjeta"),-1,1)*IF(IFERROR(INDEX(ctaMoneda,MATCH(AB1105,ctaNombre,0))&amp;"","DOP")="USD",T1105,S1105))</f>
        <v/>
      </c>
      <c r="AG1105" s="53">
        <f>IF(AC1105="","",IF(IFERROR(INDEX(ctaMoneda,MATCH(AC1105,ctaNombre,0))&amp;"","DOP")="USD",T1105,S1105))</f>
        <v/>
      </c>
      <c r="AH1105" s="53">
        <f>IF(P1105="","",IF(AND(AD1105&lt;&gt;"",COUNTIFS(tcTipo,AD1105,tcLiq,"Sí")&gt;0),IF(OR(P1105="Gasto",P1105="Transferencia",P1105="Pago tarjeta"),-1,1)*S1105,0)+IF(AND(AE1105&lt;&gt;"",COUNTIFS(tcTipo,AE1105,tcLiq,"Sí")&gt;0),S1105,0))</f>
        <v/>
      </c>
      <c r="AI1105" s="52">
        <f>IF(OR(L1105="",P1105=""),"",IF(COUNTIFS(L$6:L1105,L1105,P$6:P1105,"?*")=1,MAX(AI$5:AI1104)+1,""))</f>
        <v/>
      </c>
    </row>
    <row r="1106">
      <c r="B1106" s="47" t="n"/>
      <c r="C1106" s="48" t="n"/>
      <c r="D1106" s="48" t="n"/>
      <c r="E1106" s="48" t="n"/>
      <c r="F1106" s="48" t="n"/>
      <c r="G1106" s="49" t="n"/>
      <c r="H1106" s="48" t="n"/>
      <c r="I1106" s="50" t="n"/>
      <c r="J1106" s="48" t="n"/>
      <c r="K1106" s="48" t="n"/>
      <c r="L1106" s="48" t="n"/>
      <c r="M1106" s="48" t="n"/>
      <c r="N1106" s="48" t="n"/>
      <c r="O1106" s="51">
        <f>IF(AND(B1106="",G1106="",C1106="",D1106="",J1106=""),"",IF(B1106="","⚠ Falta fecha",IF(G1106="","⚠ Falta monto",IF(Q1106="","⚠ Falta cuenta",IF(ISNA(MATCH(Q1106,ctaNombre,0)),"⚠ Cuenta no registrada",IF(AND(OR(P1106="Gasto",P1106="Reembolso"),D1106=""),"⚠ Falta categoría",IF(AND(D1106&lt;&gt;"",E1106&lt;&gt;"",ISNA(MATCH(D1106&amp;"|"&amp;E1106,catClave,0))),"⚠ Subcategoría no corresponde",IF(AND(OR(P1106="Transferencia",P1106="Pago tarjeta"),K1106=""),"⚠ Falta cuenta destino",IF(AND(K1106&lt;&gt;"",P1106&lt;&gt;"Transferencia",P1106&lt;&gt;"Pago tarjeta"),"⚠ Destino solo aplica a transferencias",IF(AND(K1106&lt;&gt;"",K1106=Q1106),"⚠ Origen igual a destino",IF(AND(K1106&lt;&gt;"",ISNA(MATCH(K1106,ctaNombre,0))),"⚠ Destino no registrado",IF(AND(P1106="Pago tarjeta",AE1106&lt;&gt;"Tarjeta de crédito"),"⚠ El destino debe ser tarjeta de crédito",IF(AND(P1106="Gasto",E1106="Depósitos y retiros"),"⚠ Usa tipo Transferencia",IF(AND(P1106="Resultado trading",AD1106&lt;&gt;"Cuenta de trading"),"⚠ Usa una cuenta de trading",IF(AND(G1106&lt;=0,P1106&lt;&gt;"Ajuste",P1106&lt;&gt;"Resultado trading"),"⚠ El monto debe ser positivo","✓")))))))))))))))</f>
        <v/>
      </c>
      <c r="P1106" s="52">
        <f>IF(OR(B1106="",G1106=""),"",IF(C1106="","Gasto",C1106))</f>
        <v/>
      </c>
      <c r="Q1106" s="52">
        <f>IF(P1106="","",IF(J1106&lt;&gt;"",J1106,CuentaPred&amp;""))</f>
        <v/>
      </c>
      <c r="R1106" s="52">
        <f>IF(P1106="","",IF(ISNUMBER(I1106),I1106,TasaUSD))</f>
        <v/>
      </c>
      <c r="S1106" s="53">
        <f>IF(P1106="","",IF(H1106="USD",G1106*R1106,G1106))</f>
        <v/>
      </c>
      <c r="T1106" s="53">
        <f>IF(P1106="","",IF(H1106="USD",G1106,IF(R1106&gt;0,G1106/R1106,0)))</f>
        <v/>
      </c>
      <c r="U1106" s="53">
        <f>IF(P1106="","",IF(P1106="Gasto",S1106,IF(P1106="Reembolso",-S1106,0)))</f>
        <v/>
      </c>
      <c r="V1106" s="53">
        <f>IF(P1106="","",IF(P1106="Ingreso",S1106,0))</f>
        <v/>
      </c>
      <c r="W1106" s="53">
        <f>IF(P1106="","",IF(P1106="Resultado trading",S1106,0))</f>
        <v/>
      </c>
      <c r="X1106" s="52">
        <f>IF(OR(P1106="Gasto",P1106="Reembolso"),IF(M1106&lt;&gt;"",M1106,IFERROR(INDEX(catClasif,MATCH(D1106&amp;"|"&amp;E1106,catClave,0))&amp;"","Variable")),"")</f>
        <v/>
      </c>
      <c r="Y1106" s="52">
        <f>IF(P1106="","",IFERROR(INDEX(catGrupo,MATCH(D1106&amp;"|"&amp;E1106,catClave,0))&amp;"",""))</f>
        <v/>
      </c>
      <c r="Z1106" s="52">
        <f>IF(P1106="","",WEEKDAY(B1106,2))</f>
        <v/>
      </c>
      <c r="AA1106" s="52">
        <f>IF(P1106="","",IF(AND(P1106="Gasto",X1106="Variable",D1106&lt;&gt;catTrading,S1106&gt;0,S1106&lt;=Umbral),1,0))</f>
        <v/>
      </c>
      <c r="AB1106" s="52">
        <f>IF(OR(P1106="",Q1106=""),"",IFERROR(IF(INDEX(ctaVinc,MATCH(Q1106,ctaNombre,0))&amp;""&lt;&gt;"",INDEX(ctaVinc,MATCH(Q1106,ctaNombre,0))&amp;"",Q1106),Q1106))</f>
        <v/>
      </c>
      <c r="AC1106" s="52">
        <f>IF(OR(K1106="",AND(P1106&lt;&gt;"Transferencia",P1106&lt;&gt;"Pago tarjeta")),"",IFERROR(IF(INDEX(ctaVinc,MATCH(K1106,ctaNombre,0))&amp;""&lt;&gt;"",INDEX(ctaVinc,MATCH(K1106,ctaNombre,0))&amp;"",K1106),K1106))</f>
        <v/>
      </c>
      <c r="AD1106" s="52">
        <f>IF(AB1106="","",IFERROR(INDEX(ctaTipo,MATCH(AB1106,ctaNombre,0))&amp;"",""))</f>
        <v/>
      </c>
      <c r="AE1106" s="52">
        <f>IF(AC1106="","",IFERROR(INDEX(ctaTipo,MATCH(AC1106,ctaNombre,0))&amp;"",""))</f>
        <v/>
      </c>
      <c r="AF1106" s="53">
        <f>IF(OR(P1106="",AB1106=""),"",IF(OR(P1106="Gasto",P1106="Transferencia",P1106="Pago tarjeta"),-1,1)*IF(IFERROR(INDEX(ctaMoneda,MATCH(AB1106,ctaNombre,0))&amp;"","DOP")="USD",T1106,S1106))</f>
        <v/>
      </c>
      <c r="AG1106" s="53">
        <f>IF(AC1106="","",IF(IFERROR(INDEX(ctaMoneda,MATCH(AC1106,ctaNombre,0))&amp;"","DOP")="USD",T1106,S1106))</f>
        <v/>
      </c>
      <c r="AH1106" s="53">
        <f>IF(P1106="","",IF(AND(AD1106&lt;&gt;"",COUNTIFS(tcTipo,AD1106,tcLiq,"Sí")&gt;0),IF(OR(P1106="Gasto",P1106="Transferencia",P1106="Pago tarjeta"),-1,1)*S1106,0)+IF(AND(AE1106&lt;&gt;"",COUNTIFS(tcTipo,AE1106,tcLiq,"Sí")&gt;0),S1106,0))</f>
        <v/>
      </c>
      <c r="AI1106" s="52">
        <f>IF(OR(L1106="",P1106=""),"",IF(COUNTIFS(L$6:L1106,L1106,P$6:P1106,"?*")=1,MAX(AI$5:AI1105)+1,""))</f>
        <v/>
      </c>
    </row>
    <row r="1107">
      <c r="B1107" s="47" t="n"/>
      <c r="C1107" s="48" t="n"/>
      <c r="D1107" s="48" t="n"/>
      <c r="E1107" s="48" t="n"/>
      <c r="F1107" s="48" t="n"/>
      <c r="G1107" s="49" t="n"/>
      <c r="H1107" s="48" t="n"/>
      <c r="I1107" s="50" t="n"/>
      <c r="J1107" s="48" t="n"/>
      <c r="K1107" s="48" t="n"/>
      <c r="L1107" s="48" t="n"/>
      <c r="M1107" s="48" t="n"/>
      <c r="N1107" s="48" t="n"/>
      <c r="O1107" s="51">
        <f>IF(AND(B1107="",G1107="",C1107="",D1107="",J1107=""),"",IF(B1107="","⚠ Falta fecha",IF(G1107="","⚠ Falta monto",IF(Q1107="","⚠ Falta cuenta",IF(ISNA(MATCH(Q1107,ctaNombre,0)),"⚠ Cuenta no registrada",IF(AND(OR(P1107="Gasto",P1107="Reembolso"),D1107=""),"⚠ Falta categoría",IF(AND(D1107&lt;&gt;"",E1107&lt;&gt;"",ISNA(MATCH(D1107&amp;"|"&amp;E1107,catClave,0))),"⚠ Subcategoría no corresponde",IF(AND(OR(P1107="Transferencia",P1107="Pago tarjeta"),K1107=""),"⚠ Falta cuenta destino",IF(AND(K1107&lt;&gt;"",P1107&lt;&gt;"Transferencia",P1107&lt;&gt;"Pago tarjeta"),"⚠ Destino solo aplica a transferencias",IF(AND(K1107&lt;&gt;"",K1107=Q1107),"⚠ Origen igual a destino",IF(AND(K1107&lt;&gt;"",ISNA(MATCH(K1107,ctaNombre,0))),"⚠ Destino no registrado",IF(AND(P1107="Pago tarjeta",AE1107&lt;&gt;"Tarjeta de crédito"),"⚠ El destino debe ser tarjeta de crédito",IF(AND(P1107="Gasto",E1107="Depósitos y retiros"),"⚠ Usa tipo Transferencia",IF(AND(P1107="Resultado trading",AD1107&lt;&gt;"Cuenta de trading"),"⚠ Usa una cuenta de trading",IF(AND(G1107&lt;=0,P1107&lt;&gt;"Ajuste",P1107&lt;&gt;"Resultado trading"),"⚠ El monto debe ser positivo","✓")))))))))))))))</f>
        <v/>
      </c>
      <c r="P1107" s="52">
        <f>IF(OR(B1107="",G1107=""),"",IF(C1107="","Gasto",C1107))</f>
        <v/>
      </c>
      <c r="Q1107" s="52">
        <f>IF(P1107="","",IF(J1107&lt;&gt;"",J1107,CuentaPred&amp;""))</f>
        <v/>
      </c>
      <c r="R1107" s="52">
        <f>IF(P1107="","",IF(ISNUMBER(I1107),I1107,TasaUSD))</f>
        <v/>
      </c>
      <c r="S1107" s="53">
        <f>IF(P1107="","",IF(H1107="USD",G1107*R1107,G1107))</f>
        <v/>
      </c>
      <c r="T1107" s="53">
        <f>IF(P1107="","",IF(H1107="USD",G1107,IF(R1107&gt;0,G1107/R1107,0)))</f>
        <v/>
      </c>
      <c r="U1107" s="53">
        <f>IF(P1107="","",IF(P1107="Gasto",S1107,IF(P1107="Reembolso",-S1107,0)))</f>
        <v/>
      </c>
      <c r="V1107" s="53">
        <f>IF(P1107="","",IF(P1107="Ingreso",S1107,0))</f>
        <v/>
      </c>
      <c r="W1107" s="53">
        <f>IF(P1107="","",IF(P1107="Resultado trading",S1107,0))</f>
        <v/>
      </c>
      <c r="X1107" s="52">
        <f>IF(OR(P1107="Gasto",P1107="Reembolso"),IF(M1107&lt;&gt;"",M1107,IFERROR(INDEX(catClasif,MATCH(D1107&amp;"|"&amp;E1107,catClave,0))&amp;"","Variable")),"")</f>
        <v/>
      </c>
      <c r="Y1107" s="52">
        <f>IF(P1107="","",IFERROR(INDEX(catGrupo,MATCH(D1107&amp;"|"&amp;E1107,catClave,0))&amp;"",""))</f>
        <v/>
      </c>
      <c r="Z1107" s="52">
        <f>IF(P1107="","",WEEKDAY(B1107,2))</f>
        <v/>
      </c>
      <c r="AA1107" s="52">
        <f>IF(P1107="","",IF(AND(P1107="Gasto",X1107="Variable",D1107&lt;&gt;catTrading,S1107&gt;0,S1107&lt;=Umbral),1,0))</f>
        <v/>
      </c>
      <c r="AB1107" s="52">
        <f>IF(OR(P1107="",Q1107=""),"",IFERROR(IF(INDEX(ctaVinc,MATCH(Q1107,ctaNombre,0))&amp;""&lt;&gt;"",INDEX(ctaVinc,MATCH(Q1107,ctaNombre,0))&amp;"",Q1107),Q1107))</f>
        <v/>
      </c>
      <c r="AC1107" s="52">
        <f>IF(OR(K1107="",AND(P1107&lt;&gt;"Transferencia",P1107&lt;&gt;"Pago tarjeta")),"",IFERROR(IF(INDEX(ctaVinc,MATCH(K1107,ctaNombre,0))&amp;""&lt;&gt;"",INDEX(ctaVinc,MATCH(K1107,ctaNombre,0))&amp;"",K1107),K1107))</f>
        <v/>
      </c>
      <c r="AD1107" s="52">
        <f>IF(AB1107="","",IFERROR(INDEX(ctaTipo,MATCH(AB1107,ctaNombre,0))&amp;"",""))</f>
        <v/>
      </c>
      <c r="AE1107" s="52">
        <f>IF(AC1107="","",IFERROR(INDEX(ctaTipo,MATCH(AC1107,ctaNombre,0))&amp;"",""))</f>
        <v/>
      </c>
      <c r="AF1107" s="53">
        <f>IF(OR(P1107="",AB1107=""),"",IF(OR(P1107="Gasto",P1107="Transferencia",P1107="Pago tarjeta"),-1,1)*IF(IFERROR(INDEX(ctaMoneda,MATCH(AB1107,ctaNombre,0))&amp;"","DOP")="USD",T1107,S1107))</f>
        <v/>
      </c>
      <c r="AG1107" s="53">
        <f>IF(AC1107="","",IF(IFERROR(INDEX(ctaMoneda,MATCH(AC1107,ctaNombre,0))&amp;"","DOP")="USD",T1107,S1107))</f>
        <v/>
      </c>
      <c r="AH1107" s="53">
        <f>IF(P1107="","",IF(AND(AD1107&lt;&gt;"",COUNTIFS(tcTipo,AD1107,tcLiq,"Sí")&gt;0),IF(OR(P1107="Gasto",P1107="Transferencia",P1107="Pago tarjeta"),-1,1)*S1107,0)+IF(AND(AE1107&lt;&gt;"",COUNTIFS(tcTipo,AE1107,tcLiq,"Sí")&gt;0),S1107,0))</f>
        <v/>
      </c>
      <c r="AI1107" s="52">
        <f>IF(OR(L1107="",P1107=""),"",IF(COUNTIFS(L$6:L1107,L1107,P$6:P1107,"?*")=1,MAX(AI$5:AI1106)+1,""))</f>
        <v/>
      </c>
    </row>
    <row r="1108">
      <c r="B1108" s="47" t="n"/>
      <c r="C1108" s="48" t="n"/>
      <c r="D1108" s="48" t="n"/>
      <c r="E1108" s="48" t="n"/>
      <c r="F1108" s="48" t="n"/>
      <c r="G1108" s="49" t="n"/>
      <c r="H1108" s="48" t="n"/>
      <c r="I1108" s="50" t="n"/>
      <c r="J1108" s="48" t="n"/>
      <c r="K1108" s="48" t="n"/>
      <c r="L1108" s="48" t="n"/>
      <c r="M1108" s="48" t="n"/>
      <c r="N1108" s="48" t="n"/>
      <c r="O1108" s="51">
        <f>IF(AND(B1108="",G1108="",C1108="",D1108="",J1108=""),"",IF(B1108="","⚠ Falta fecha",IF(G1108="","⚠ Falta monto",IF(Q1108="","⚠ Falta cuenta",IF(ISNA(MATCH(Q1108,ctaNombre,0)),"⚠ Cuenta no registrada",IF(AND(OR(P1108="Gasto",P1108="Reembolso"),D1108=""),"⚠ Falta categoría",IF(AND(D1108&lt;&gt;"",E1108&lt;&gt;"",ISNA(MATCH(D1108&amp;"|"&amp;E1108,catClave,0))),"⚠ Subcategoría no corresponde",IF(AND(OR(P1108="Transferencia",P1108="Pago tarjeta"),K1108=""),"⚠ Falta cuenta destino",IF(AND(K1108&lt;&gt;"",P1108&lt;&gt;"Transferencia",P1108&lt;&gt;"Pago tarjeta"),"⚠ Destino solo aplica a transferencias",IF(AND(K1108&lt;&gt;"",K1108=Q1108),"⚠ Origen igual a destino",IF(AND(K1108&lt;&gt;"",ISNA(MATCH(K1108,ctaNombre,0))),"⚠ Destino no registrado",IF(AND(P1108="Pago tarjeta",AE1108&lt;&gt;"Tarjeta de crédito"),"⚠ El destino debe ser tarjeta de crédito",IF(AND(P1108="Gasto",E1108="Depósitos y retiros"),"⚠ Usa tipo Transferencia",IF(AND(P1108="Resultado trading",AD1108&lt;&gt;"Cuenta de trading"),"⚠ Usa una cuenta de trading",IF(AND(G1108&lt;=0,P1108&lt;&gt;"Ajuste",P1108&lt;&gt;"Resultado trading"),"⚠ El monto debe ser positivo","✓")))))))))))))))</f>
        <v/>
      </c>
      <c r="P1108" s="52">
        <f>IF(OR(B1108="",G1108=""),"",IF(C1108="","Gasto",C1108))</f>
        <v/>
      </c>
      <c r="Q1108" s="52">
        <f>IF(P1108="","",IF(J1108&lt;&gt;"",J1108,CuentaPred&amp;""))</f>
        <v/>
      </c>
      <c r="R1108" s="52">
        <f>IF(P1108="","",IF(ISNUMBER(I1108),I1108,TasaUSD))</f>
        <v/>
      </c>
      <c r="S1108" s="53">
        <f>IF(P1108="","",IF(H1108="USD",G1108*R1108,G1108))</f>
        <v/>
      </c>
      <c r="T1108" s="53">
        <f>IF(P1108="","",IF(H1108="USD",G1108,IF(R1108&gt;0,G1108/R1108,0)))</f>
        <v/>
      </c>
      <c r="U1108" s="53">
        <f>IF(P1108="","",IF(P1108="Gasto",S1108,IF(P1108="Reembolso",-S1108,0)))</f>
        <v/>
      </c>
      <c r="V1108" s="53">
        <f>IF(P1108="","",IF(P1108="Ingreso",S1108,0))</f>
        <v/>
      </c>
      <c r="W1108" s="53">
        <f>IF(P1108="","",IF(P1108="Resultado trading",S1108,0))</f>
        <v/>
      </c>
      <c r="X1108" s="52">
        <f>IF(OR(P1108="Gasto",P1108="Reembolso"),IF(M1108&lt;&gt;"",M1108,IFERROR(INDEX(catClasif,MATCH(D1108&amp;"|"&amp;E1108,catClave,0))&amp;"","Variable")),"")</f>
        <v/>
      </c>
      <c r="Y1108" s="52">
        <f>IF(P1108="","",IFERROR(INDEX(catGrupo,MATCH(D1108&amp;"|"&amp;E1108,catClave,0))&amp;"",""))</f>
        <v/>
      </c>
      <c r="Z1108" s="52">
        <f>IF(P1108="","",WEEKDAY(B1108,2))</f>
        <v/>
      </c>
      <c r="AA1108" s="52">
        <f>IF(P1108="","",IF(AND(P1108="Gasto",X1108="Variable",D1108&lt;&gt;catTrading,S1108&gt;0,S1108&lt;=Umbral),1,0))</f>
        <v/>
      </c>
      <c r="AB1108" s="52">
        <f>IF(OR(P1108="",Q1108=""),"",IFERROR(IF(INDEX(ctaVinc,MATCH(Q1108,ctaNombre,0))&amp;""&lt;&gt;"",INDEX(ctaVinc,MATCH(Q1108,ctaNombre,0))&amp;"",Q1108),Q1108))</f>
        <v/>
      </c>
      <c r="AC1108" s="52">
        <f>IF(OR(K1108="",AND(P1108&lt;&gt;"Transferencia",P1108&lt;&gt;"Pago tarjeta")),"",IFERROR(IF(INDEX(ctaVinc,MATCH(K1108,ctaNombre,0))&amp;""&lt;&gt;"",INDEX(ctaVinc,MATCH(K1108,ctaNombre,0))&amp;"",K1108),K1108))</f>
        <v/>
      </c>
      <c r="AD1108" s="52">
        <f>IF(AB1108="","",IFERROR(INDEX(ctaTipo,MATCH(AB1108,ctaNombre,0))&amp;"",""))</f>
        <v/>
      </c>
      <c r="AE1108" s="52">
        <f>IF(AC1108="","",IFERROR(INDEX(ctaTipo,MATCH(AC1108,ctaNombre,0))&amp;"",""))</f>
        <v/>
      </c>
      <c r="AF1108" s="53">
        <f>IF(OR(P1108="",AB1108=""),"",IF(OR(P1108="Gasto",P1108="Transferencia",P1108="Pago tarjeta"),-1,1)*IF(IFERROR(INDEX(ctaMoneda,MATCH(AB1108,ctaNombre,0))&amp;"","DOP")="USD",T1108,S1108))</f>
        <v/>
      </c>
      <c r="AG1108" s="53">
        <f>IF(AC1108="","",IF(IFERROR(INDEX(ctaMoneda,MATCH(AC1108,ctaNombre,0))&amp;"","DOP")="USD",T1108,S1108))</f>
        <v/>
      </c>
      <c r="AH1108" s="53">
        <f>IF(P1108="","",IF(AND(AD1108&lt;&gt;"",COUNTIFS(tcTipo,AD1108,tcLiq,"Sí")&gt;0),IF(OR(P1108="Gasto",P1108="Transferencia",P1108="Pago tarjeta"),-1,1)*S1108,0)+IF(AND(AE1108&lt;&gt;"",COUNTIFS(tcTipo,AE1108,tcLiq,"Sí")&gt;0),S1108,0))</f>
        <v/>
      </c>
      <c r="AI1108" s="52">
        <f>IF(OR(L1108="",P1108=""),"",IF(COUNTIFS(L$6:L1108,L1108,P$6:P1108,"?*")=1,MAX(AI$5:AI1107)+1,""))</f>
        <v/>
      </c>
    </row>
    <row r="1109">
      <c r="B1109" s="47" t="n"/>
      <c r="C1109" s="48" t="n"/>
      <c r="D1109" s="48" t="n"/>
      <c r="E1109" s="48" t="n"/>
      <c r="F1109" s="48" t="n"/>
      <c r="G1109" s="49" t="n"/>
      <c r="H1109" s="48" t="n"/>
      <c r="I1109" s="50" t="n"/>
      <c r="J1109" s="48" t="n"/>
      <c r="K1109" s="48" t="n"/>
      <c r="L1109" s="48" t="n"/>
      <c r="M1109" s="48" t="n"/>
      <c r="N1109" s="48" t="n"/>
      <c r="O1109" s="51">
        <f>IF(AND(B1109="",G1109="",C1109="",D1109="",J1109=""),"",IF(B1109="","⚠ Falta fecha",IF(G1109="","⚠ Falta monto",IF(Q1109="","⚠ Falta cuenta",IF(ISNA(MATCH(Q1109,ctaNombre,0)),"⚠ Cuenta no registrada",IF(AND(OR(P1109="Gasto",P1109="Reembolso"),D1109=""),"⚠ Falta categoría",IF(AND(D1109&lt;&gt;"",E1109&lt;&gt;"",ISNA(MATCH(D1109&amp;"|"&amp;E1109,catClave,0))),"⚠ Subcategoría no corresponde",IF(AND(OR(P1109="Transferencia",P1109="Pago tarjeta"),K1109=""),"⚠ Falta cuenta destino",IF(AND(K1109&lt;&gt;"",P1109&lt;&gt;"Transferencia",P1109&lt;&gt;"Pago tarjeta"),"⚠ Destino solo aplica a transferencias",IF(AND(K1109&lt;&gt;"",K1109=Q1109),"⚠ Origen igual a destino",IF(AND(K1109&lt;&gt;"",ISNA(MATCH(K1109,ctaNombre,0))),"⚠ Destino no registrado",IF(AND(P1109="Pago tarjeta",AE1109&lt;&gt;"Tarjeta de crédito"),"⚠ El destino debe ser tarjeta de crédito",IF(AND(P1109="Gasto",E1109="Depósitos y retiros"),"⚠ Usa tipo Transferencia",IF(AND(P1109="Resultado trading",AD1109&lt;&gt;"Cuenta de trading"),"⚠ Usa una cuenta de trading",IF(AND(G1109&lt;=0,P1109&lt;&gt;"Ajuste",P1109&lt;&gt;"Resultado trading"),"⚠ El monto debe ser positivo","✓")))))))))))))))</f>
        <v/>
      </c>
      <c r="P1109" s="52">
        <f>IF(OR(B1109="",G1109=""),"",IF(C1109="","Gasto",C1109))</f>
        <v/>
      </c>
      <c r="Q1109" s="52">
        <f>IF(P1109="","",IF(J1109&lt;&gt;"",J1109,CuentaPred&amp;""))</f>
        <v/>
      </c>
      <c r="R1109" s="52">
        <f>IF(P1109="","",IF(ISNUMBER(I1109),I1109,TasaUSD))</f>
        <v/>
      </c>
      <c r="S1109" s="53">
        <f>IF(P1109="","",IF(H1109="USD",G1109*R1109,G1109))</f>
        <v/>
      </c>
      <c r="T1109" s="53">
        <f>IF(P1109="","",IF(H1109="USD",G1109,IF(R1109&gt;0,G1109/R1109,0)))</f>
        <v/>
      </c>
      <c r="U1109" s="53">
        <f>IF(P1109="","",IF(P1109="Gasto",S1109,IF(P1109="Reembolso",-S1109,0)))</f>
        <v/>
      </c>
      <c r="V1109" s="53">
        <f>IF(P1109="","",IF(P1109="Ingreso",S1109,0))</f>
        <v/>
      </c>
      <c r="W1109" s="53">
        <f>IF(P1109="","",IF(P1109="Resultado trading",S1109,0))</f>
        <v/>
      </c>
      <c r="X1109" s="52">
        <f>IF(OR(P1109="Gasto",P1109="Reembolso"),IF(M1109&lt;&gt;"",M1109,IFERROR(INDEX(catClasif,MATCH(D1109&amp;"|"&amp;E1109,catClave,0))&amp;"","Variable")),"")</f>
        <v/>
      </c>
      <c r="Y1109" s="52">
        <f>IF(P1109="","",IFERROR(INDEX(catGrupo,MATCH(D1109&amp;"|"&amp;E1109,catClave,0))&amp;"",""))</f>
        <v/>
      </c>
      <c r="Z1109" s="52">
        <f>IF(P1109="","",WEEKDAY(B1109,2))</f>
        <v/>
      </c>
      <c r="AA1109" s="52">
        <f>IF(P1109="","",IF(AND(P1109="Gasto",X1109="Variable",D1109&lt;&gt;catTrading,S1109&gt;0,S1109&lt;=Umbral),1,0))</f>
        <v/>
      </c>
      <c r="AB1109" s="52">
        <f>IF(OR(P1109="",Q1109=""),"",IFERROR(IF(INDEX(ctaVinc,MATCH(Q1109,ctaNombre,0))&amp;""&lt;&gt;"",INDEX(ctaVinc,MATCH(Q1109,ctaNombre,0))&amp;"",Q1109),Q1109))</f>
        <v/>
      </c>
      <c r="AC1109" s="52">
        <f>IF(OR(K1109="",AND(P1109&lt;&gt;"Transferencia",P1109&lt;&gt;"Pago tarjeta")),"",IFERROR(IF(INDEX(ctaVinc,MATCH(K1109,ctaNombre,0))&amp;""&lt;&gt;"",INDEX(ctaVinc,MATCH(K1109,ctaNombre,0))&amp;"",K1109),K1109))</f>
        <v/>
      </c>
      <c r="AD1109" s="52">
        <f>IF(AB1109="","",IFERROR(INDEX(ctaTipo,MATCH(AB1109,ctaNombre,0))&amp;"",""))</f>
        <v/>
      </c>
      <c r="AE1109" s="52">
        <f>IF(AC1109="","",IFERROR(INDEX(ctaTipo,MATCH(AC1109,ctaNombre,0))&amp;"",""))</f>
        <v/>
      </c>
      <c r="AF1109" s="53">
        <f>IF(OR(P1109="",AB1109=""),"",IF(OR(P1109="Gasto",P1109="Transferencia",P1109="Pago tarjeta"),-1,1)*IF(IFERROR(INDEX(ctaMoneda,MATCH(AB1109,ctaNombre,0))&amp;"","DOP")="USD",T1109,S1109))</f>
        <v/>
      </c>
      <c r="AG1109" s="53">
        <f>IF(AC1109="","",IF(IFERROR(INDEX(ctaMoneda,MATCH(AC1109,ctaNombre,0))&amp;"","DOP")="USD",T1109,S1109))</f>
        <v/>
      </c>
      <c r="AH1109" s="53">
        <f>IF(P1109="","",IF(AND(AD1109&lt;&gt;"",COUNTIFS(tcTipo,AD1109,tcLiq,"Sí")&gt;0),IF(OR(P1109="Gasto",P1109="Transferencia",P1109="Pago tarjeta"),-1,1)*S1109,0)+IF(AND(AE1109&lt;&gt;"",COUNTIFS(tcTipo,AE1109,tcLiq,"Sí")&gt;0),S1109,0))</f>
        <v/>
      </c>
      <c r="AI1109" s="52">
        <f>IF(OR(L1109="",P1109=""),"",IF(COUNTIFS(L$6:L1109,L1109,P$6:P1109,"?*")=1,MAX(AI$5:AI1108)+1,""))</f>
        <v/>
      </c>
    </row>
    <row r="1110">
      <c r="B1110" s="47" t="n"/>
      <c r="C1110" s="48" t="n"/>
      <c r="D1110" s="48" t="n"/>
      <c r="E1110" s="48" t="n"/>
      <c r="F1110" s="48" t="n"/>
      <c r="G1110" s="49" t="n"/>
      <c r="H1110" s="48" t="n"/>
      <c r="I1110" s="50" t="n"/>
      <c r="J1110" s="48" t="n"/>
      <c r="K1110" s="48" t="n"/>
      <c r="L1110" s="48" t="n"/>
      <c r="M1110" s="48" t="n"/>
      <c r="N1110" s="48" t="n"/>
      <c r="O1110" s="51">
        <f>IF(AND(B1110="",G1110="",C1110="",D1110="",J1110=""),"",IF(B1110="","⚠ Falta fecha",IF(G1110="","⚠ Falta monto",IF(Q1110="","⚠ Falta cuenta",IF(ISNA(MATCH(Q1110,ctaNombre,0)),"⚠ Cuenta no registrada",IF(AND(OR(P1110="Gasto",P1110="Reembolso"),D1110=""),"⚠ Falta categoría",IF(AND(D1110&lt;&gt;"",E1110&lt;&gt;"",ISNA(MATCH(D1110&amp;"|"&amp;E1110,catClave,0))),"⚠ Subcategoría no corresponde",IF(AND(OR(P1110="Transferencia",P1110="Pago tarjeta"),K1110=""),"⚠ Falta cuenta destino",IF(AND(K1110&lt;&gt;"",P1110&lt;&gt;"Transferencia",P1110&lt;&gt;"Pago tarjeta"),"⚠ Destino solo aplica a transferencias",IF(AND(K1110&lt;&gt;"",K1110=Q1110),"⚠ Origen igual a destino",IF(AND(K1110&lt;&gt;"",ISNA(MATCH(K1110,ctaNombre,0))),"⚠ Destino no registrado",IF(AND(P1110="Pago tarjeta",AE1110&lt;&gt;"Tarjeta de crédito"),"⚠ El destino debe ser tarjeta de crédito",IF(AND(P1110="Gasto",E1110="Depósitos y retiros"),"⚠ Usa tipo Transferencia",IF(AND(P1110="Resultado trading",AD1110&lt;&gt;"Cuenta de trading"),"⚠ Usa una cuenta de trading",IF(AND(G1110&lt;=0,P1110&lt;&gt;"Ajuste",P1110&lt;&gt;"Resultado trading"),"⚠ El monto debe ser positivo","✓")))))))))))))))</f>
        <v/>
      </c>
      <c r="P1110" s="52">
        <f>IF(OR(B1110="",G1110=""),"",IF(C1110="","Gasto",C1110))</f>
        <v/>
      </c>
      <c r="Q1110" s="52">
        <f>IF(P1110="","",IF(J1110&lt;&gt;"",J1110,CuentaPred&amp;""))</f>
        <v/>
      </c>
      <c r="R1110" s="52">
        <f>IF(P1110="","",IF(ISNUMBER(I1110),I1110,TasaUSD))</f>
        <v/>
      </c>
      <c r="S1110" s="53">
        <f>IF(P1110="","",IF(H1110="USD",G1110*R1110,G1110))</f>
        <v/>
      </c>
      <c r="T1110" s="53">
        <f>IF(P1110="","",IF(H1110="USD",G1110,IF(R1110&gt;0,G1110/R1110,0)))</f>
        <v/>
      </c>
      <c r="U1110" s="53">
        <f>IF(P1110="","",IF(P1110="Gasto",S1110,IF(P1110="Reembolso",-S1110,0)))</f>
        <v/>
      </c>
      <c r="V1110" s="53">
        <f>IF(P1110="","",IF(P1110="Ingreso",S1110,0))</f>
        <v/>
      </c>
      <c r="W1110" s="53">
        <f>IF(P1110="","",IF(P1110="Resultado trading",S1110,0))</f>
        <v/>
      </c>
      <c r="X1110" s="52">
        <f>IF(OR(P1110="Gasto",P1110="Reembolso"),IF(M1110&lt;&gt;"",M1110,IFERROR(INDEX(catClasif,MATCH(D1110&amp;"|"&amp;E1110,catClave,0))&amp;"","Variable")),"")</f>
        <v/>
      </c>
      <c r="Y1110" s="52">
        <f>IF(P1110="","",IFERROR(INDEX(catGrupo,MATCH(D1110&amp;"|"&amp;E1110,catClave,0))&amp;"",""))</f>
        <v/>
      </c>
      <c r="Z1110" s="52">
        <f>IF(P1110="","",WEEKDAY(B1110,2))</f>
        <v/>
      </c>
      <c r="AA1110" s="52">
        <f>IF(P1110="","",IF(AND(P1110="Gasto",X1110="Variable",D1110&lt;&gt;catTrading,S1110&gt;0,S1110&lt;=Umbral),1,0))</f>
        <v/>
      </c>
      <c r="AB1110" s="52">
        <f>IF(OR(P1110="",Q1110=""),"",IFERROR(IF(INDEX(ctaVinc,MATCH(Q1110,ctaNombre,0))&amp;""&lt;&gt;"",INDEX(ctaVinc,MATCH(Q1110,ctaNombre,0))&amp;"",Q1110),Q1110))</f>
        <v/>
      </c>
      <c r="AC1110" s="52">
        <f>IF(OR(K1110="",AND(P1110&lt;&gt;"Transferencia",P1110&lt;&gt;"Pago tarjeta")),"",IFERROR(IF(INDEX(ctaVinc,MATCH(K1110,ctaNombre,0))&amp;""&lt;&gt;"",INDEX(ctaVinc,MATCH(K1110,ctaNombre,0))&amp;"",K1110),K1110))</f>
        <v/>
      </c>
      <c r="AD1110" s="52">
        <f>IF(AB1110="","",IFERROR(INDEX(ctaTipo,MATCH(AB1110,ctaNombre,0))&amp;"",""))</f>
        <v/>
      </c>
      <c r="AE1110" s="52">
        <f>IF(AC1110="","",IFERROR(INDEX(ctaTipo,MATCH(AC1110,ctaNombre,0))&amp;"",""))</f>
        <v/>
      </c>
      <c r="AF1110" s="53">
        <f>IF(OR(P1110="",AB1110=""),"",IF(OR(P1110="Gasto",P1110="Transferencia",P1110="Pago tarjeta"),-1,1)*IF(IFERROR(INDEX(ctaMoneda,MATCH(AB1110,ctaNombre,0))&amp;"","DOP")="USD",T1110,S1110))</f>
        <v/>
      </c>
      <c r="AG1110" s="53">
        <f>IF(AC1110="","",IF(IFERROR(INDEX(ctaMoneda,MATCH(AC1110,ctaNombre,0))&amp;"","DOP")="USD",T1110,S1110))</f>
        <v/>
      </c>
      <c r="AH1110" s="53">
        <f>IF(P1110="","",IF(AND(AD1110&lt;&gt;"",COUNTIFS(tcTipo,AD1110,tcLiq,"Sí")&gt;0),IF(OR(P1110="Gasto",P1110="Transferencia",P1110="Pago tarjeta"),-1,1)*S1110,0)+IF(AND(AE1110&lt;&gt;"",COUNTIFS(tcTipo,AE1110,tcLiq,"Sí")&gt;0),S1110,0))</f>
        <v/>
      </c>
      <c r="AI1110" s="52">
        <f>IF(OR(L1110="",P1110=""),"",IF(COUNTIFS(L$6:L1110,L1110,P$6:P1110,"?*")=1,MAX(AI$5:AI1109)+1,""))</f>
        <v/>
      </c>
    </row>
    <row r="1111">
      <c r="B1111" s="47" t="n"/>
      <c r="C1111" s="48" t="n"/>
      <c r="D1111" s="48" t="n"/>
      <c r="E1111" s="48" t="n"/>
      <c r="F1111" s="48" t="n"/>
      <c r="G1111" s="49" t="n"/>
      <c r="H1111" s="48" t="n"/>
      <c r="I1111" s="50" t="n"/>
      <c r="J1111" s="48" t="n"/>
      <c r="K1111" s="48" t="n"/>
      <c r="L1111" s="48" t="n"/>
      <c r="M1111" s="48" t="n"/>
      <c r="N1111" s="48" t="n"/>
      <c r="O1111" s="51">
        <f>IF(AND(B1111="",G1111="",C1111="",D1111="",J1111=""),"",IF(B1111="","⚠ Falta fecha",IF(G1111="","⚠ Falta monto",IF(Q1111="","⚠ Falta cuenta",IF(ISNA(MATCH(Q1111,ctaNombre,0)),"⚠ Cuenta no registrada",IF(AND(OR(P1111="Gasto",P1111="Reembolso"),D1111=""),"⚠ Falta categoría",IF(AND(D1111&lt;&gt;"",E1111&lt;&gt;"",ISNA(MATCH(D1111&amp;"|"&amp;E1111,catClave,0))),"⚠ Subcategoría no corresponde",IF(AND(OR(P1111="Transferencia",P1111="Pago tarjeta"),K1111=""),"⚠ Falta cuenta destino",IF(AND(K1111&lt;&gt;"",P1111&lt;&gt;"Transferencia",P1111&lt;&gt;"Pago tarjeta"),"⚠ Destino solo aplica a transferencias",IF(AND(K1111&lt;&gt;"",K1111=Q1111),"⚠ Origen igual a destino",IF(AND(K1111&lt;&gt;"",ISNA(MATCH(K1111,ctaNombre,0))),"⚠ Destino no registrado",IF(AND(P1111="Pago tarjeta",AE1111&lt;&gt;"Tarjeta de crédito"),"⚠ El destino debe ser tarjeta de crédito",IF(AND(P1111="Gasto",E1111="Depósitos y retiros"),"⚠ Usa tipo Transferencia",IF(AND(P1111="Resultado trading",AD1111&lt;&gt;"Cuenta de trading"),"⚠ Usa una cuenta de trading",IF(AND(G1111&lt;=0,P1111&lt;&gt;"Ajuste",P1111&lt;&gt;"Resultado trading"),"⚠ El monto debe ser positivo","✓")))))))))))))))</f>
        <v/>
      </c>
      <c r="P1111" s="52">
        <f>IF(OR(B1111="",G1111=""),"",IF(C1111="","Gasto",C1111))</f>
        <v/>
      </c>
      <c r="Q1111" s="52">
        <f>IF(P1111="","",IF(J1111&lt;&gt;"",J1111,CuentaPred&amp;""))</f>
        <v/>
      </c>
      <c r="R1111" s="52">
        <f>IF(P1111="","",IF(ISNUMBER(I1111),I1111,TasaUSD))</f>
        <v/>
      </c>
      <c r="S1111" s="53">
        <f>IF(P1111="","",IF(H1111="USD",G1111*R1111,G1111))</f>
        <v/>
      </c>
      <c r="T1111" s="53">
        <f>IF(P1111="","",IF(H1111="USD",G1111,IF(R1111&gt;0,G1111/R1111,0)))</f>
        <v/>
      </c>
      <c r="U1111" s="53">
        <f>IF(P1111="","",IF(P1111="Gasto",S1111,IF(P1111="Reembolso",-S1111,0)))</f>
        <v/>
      </c>
      <c r="V1111" s="53">
        <f>IF(P1111="","",IF(P1111="Ingreso",S1111,0))</f>
        <v/>
      </c>
      <c r="W1111" s="53">
        <f>IF(P1111="","",IF(P1111="Resultado trading",S1111,0))</f>
        <v/>
      </c>
      <c r="X1111" s="52">
        <f>IF(OR(P1111="Gasto",P1111="Reembolso"),IF(M1111&lt;&gt;"",M1111,IFERROR(INDEX(catClasif,MATCH(D1111&amp;"|"&amp;E1111,catClave,0))&amp;"","Variable")),"")</f>
        <v/>
      </c>
      <c r="Y1111" s="52">
        <f>IF(P1111="","",IFERROR(INDEX(catGrupo,MATCH(D1111&amp;"|"&amp;E1111,catClave,0))&amp;"",""))</f>
        <v/>
      </c>
      <c r="Z1111" s="52">
        <f>IF(P1111="","",WEEKDAY(B1111,2))</f>
        <v/>
      </c>
      <c r="AA1111" s="52">
        <f>IF(P1111="","",IF(AND(P1111="Gasto",X1111="Variable",D1111&lt;&gt;catTrading,S1111&gt;0,S1111&lt;=Umbral),1,0))</f>
        <v/>
      </c>
      <c r="AB1111" s="52">
        <f>IF(OR(P1111="",Q1111=""),"",IFERROR(IF(INDEX(ctaVinc,MATCH(Q1111,ctaNombre,0))&amp;""&lt;&gt;"",INDEX(ctaVinc,MATCH(Q1111,ctaNombre,0))&amp;"",Q1111),Q1111))</f>
        <v/>
      </c>
      <c r="AC1111" s="52">
        <f>IF(OR(K1111="",AND(P1111&lt;&gt;"Transferencia",P1111&lt;&gt;"Pago tarjeta")),"",IFERROR(IF(INDEX(ctaVinc,MATCH(K1111,ctaNombre,0))&amp;""&lt;&gt;"",INDEX(ctaVinc,MATCH(K1111,ctaNombre,0))&amp;"",K1111),K1111))</f>
        <v/>
      </c>
      <c r="AD1111" s="52">
        <f>IF(AB1111="","",IFERROR(INDEX(ctaTipo,MATCH(AB1111,ctaNombre,0))&amp;"",""))</f>
        <v/>
      </c>
      <c r="AE1111" s="52">
        <f>IF(AC1111="","",IFERROR(INDEX(ctaTipo,MATCH(AC1111,ctaNombre,0))&amp;"",""))</f>
        <v/>
      </c>
      <c r="AF1111" s="53">
        <f>IF(OR(P1111="",AB1111=""),"",IF(OR(P1111="Gasto",P1111="Transferencia",P1111="Pago tarjeta"),-1,1)*IF(IFERROR(INDEX(ctaMoneda,MATCH(AB1111,ctaNombre,0))&amp;"","DOP")="USD",T1111,S1111))</f>
        <v/>
      </c>
      <c r="AG1111" s="53">
        <f>IF(AC1111="","",IF(IFERROR(INDEX(ctaMoneda,MATCH(AC1111,ctaNombre,0))&amp;"","DOP")="USD",T1111,S1111))</f>
        <v/>
      </c>
      <c r="AH1111" s="53">
        <f>IF(P1111="","",IF(AND(AD1111&lt;&gt;"",COUNTIFS(tcTipo,AD1111,tcLiq,"Sí")&gt;0),IF(OR(P1111="Gasto",P1111="Transferencia",P1111="Pago tarjeta"),-1,1)*S1111,0)+IF(AND(AE1111&lt;&gt;"",COUNTIFS(tcTipo,AE1111,tcLiq,"Sí")&gt;0),S1111,0))</f>
        <v/>
      </c>
      <c r="AI1111" s="52">
        <f>IF(OR(L1111="",P1111=""),"",IF(COUNTIFS(L$6:L1111,L1111,P$6:P1111,"?*")=1,MAX(AI$5:AI1110)+1,""))</f>
        <v/>
      </c>
    </row>
    <row r="1112">
      <c r="B1112" s="47" t="n"/>
      <c r="C1112" s="48" t="n"/>
      <c r="D1112" s="48" t="n"/>
      <c r="E1112" s="48" t="n"/>
      <c r="F1112" s="48" t="n"/>
      <c r="G1112" s="49" t="n"/>
      <c r="H1112" s="48" t="n"/>
      <c r="I1112" s="50" t="n"/>
      <c r="J1112" s="48" t="n"/>
      <c r="K1112" s="48" t="n"/>
      <c r="L1112" s="48" t="n"/>
      <c r="M1112" s="48" t="n"/>
      <c r="N1112" s="48" t="n"/>
      <c r="O1112" s="51">
        <f>IF(AND(B1112="",G1112="",C1112="",D1112="",J1112=""),"",IF(B1112="","⚠ Falta fecha",IF(G1112="","⚠ Falta monto",IF(Q1112="","⚠ Falta cuenta",IF(ISNA(MATCH(Q1112,ctaNombre,0)),"⚠ Cuenta no registrada",IF(AND(OR(P1112="Gasto",P1112="Reembolso"),D1112=""),"⚠ Falta categoría",IF(AND(D1112&lt;&gt;"",E1112&lt;&gt;"",ISNA(MATCH(D1112&amp;"|"&amp;E1112,catClave,0))),"⚠ Subcategoría no corresponde",IF(AND(OR(P1112="Transferencia",P1112="Pago tarjeta"),K1112=""),"⚠ Falta cuenta destino",IF(AND(K1112&lt;&gt;"",P1112&lt;&gt;"Transferencia",P1112&lt;&gt;"Pago tarjeta"),"⚠ Destino solo aplica a transferencias",IF(AND(K1112&lt;&gt;"",K1112=Q1112),"⚠ Origen igual a destino",IF(AND(K1112&lt;&gt;"",ISNA(MATCH(K1112,ctaNombre,0))),"⚠ Destino no registrado",IF(AND(P1112="Pago tarjeta",AE1112&lt;&gt;"Tarjeta de crédito"),"⚠ El destino debe ser tarjeta de crédito",IF(AND(P1112="Gasto",E1112="Depósitos y retiros"),"⚠ Usa tipo Transferencia",IF(AND(P1112="Resultado trading",AD1112&lt;&gt;"Cuenta de trading"),"⚠ Usa una cuenta de trading",IF(AND(G1112&lt;=0,P1112&lt;&gt;"Ajuste",P1112&lt;&gt;"Resultado trading"),"⚠ El monto debe ser positivo","✓")))))))))))))))</f>
        <v/>
      </c>
      <c r="P1112" s="52">
        <f>IF(OR(B1112="",G1112=""),"",IF(C1112="","Gasto",C1112))</f>
        <v/>
      </c>
      <c r="Q1112" s="52">
        <f>IF(P1112="","",IF(J1112&lt;&gt;"",J1112,CuentaPred&amp;""))</f>
        <v/>
      </c>
      <c r="R1112" s="52">
        <f>IF(P1112="","",IF(ISNUMBER(I1112),I1112,TasaUSD))</f>
        <v/>
      </c>
      <c r="S1112" s="53">
        <f>IF(P1112="","",IF(H1112="USD",G1112*R1112,G1112))</f>
        <v/>
      </c>
      <c r="T1112" s="53">
        <f>IF(P1112="","",IF(H1112="USD",G1112,IF(R1112&gt;0,G1112/R1112,0)))</f>
        <v/>
      </c>
      <c r="U1112" s="53">
        <f>IF(P1112="","",IF(P1112="Gasto",S1112,IF(P1112="Reembolso",-S1112,0)))</f>
        <v/>
      </c>
      <c r="V1112" s="53">
        <f>IF(P1112="","",IF(P1112="Ingreso",S1112,0))</f>
        <v/>
      </c>
      <c r="W1112" s="53">
        <f>IF(P1112="","",IF(P1112="Resultado trading",S1112,0))</f>
        <v/>
      </c>
      <c r="X1112" s="52">
        <f>IF(OR(P1112="Gasto",P1112="Reembolso"),IF(M1112&lt;&gt;"",M1112,IFERROR(INDEX(catClasif,MATCH(D1112&amp;"|"&amp;E1112,catClave,0))&amp;"","Variable")),"")</f>
        <v/>
      </c>
      <c r="Y1112" s="52">
        <f>IF(P1112="","",IFERROR(INDEX(catGrupo,MATCH(D1112&amp;"|"&amp;E1112,catClave,0))&amp;"",""))</f>
        <v/>
      </c>
      <c r="Z1112" s="52">
        <f>IF(P1112="","",WEEKDAY(B1112,2))</f>
        <v/>
      </c>
      <c r="AA1112" s="52">
        <f>IF(P1112="","",IF(AND(P1112="Gasto",X1112="Variable",D1112&lt;&gt;catTrading,S1112&gt;0,S1112&lt;=Umbral),1,0))</f>
        <v/>
      </c>
      <c r="AB1112" s="52">
        <f>IF(OR(P1112="",Q1112=""),"",IFERROR(IF(INDEX(ctaVinc,MATCH(Q1112,ctaNombre,0))&amp;""&lt;&gt;"",INDEX(ctaVinc,MATCH(Q1112,ctaNombre,0))&amp;"",Q1112),Q1112))</f>
        <v/>
      </c>
      <c r="AC1112" s="52">
        <f>IF(OR(K1112="",AND(P1112&lt;&gt;"Transferencia",P1112&lt;&gt;"Pago tarjeta")),"",IFERROR(IF(INDEX(ctaVinc,MATCH(K1112,ctaNombre,0))&amp;""&lt;&gt;"",INDEX(ctaVinc,MATCH(K1112,ctaNombre,0))&amp;"",K1112),K1112))</f>
        <v/>
      </c>
      <c r="AD1112" s="52">
        <f>IF(AB1112="","",IFERROR(INDEX(ctaTipo,MATCH(AB1112,ctaNombre,0))&amp;"",""))</f>
        <v/>
      </c>
      <c r="AE1112" s="52">
        <f>IF(AC1112="","",IFERROR(INDEX(ctaTipo,MATCH(AC1112,ctaNombre,0))&amp;"",""))</f>
        <v/>
      </c>
      <c r="AF1112" s="53">
        <f>IF(OR(P1112="",AB1112=""),"",IF(OR(P1112="Gasto",P1112="Transferencia",P1112="Pago tarjeta"),-1,1)*IF(IFERROR(INDEX(ctaMoneda,MATCH(AB1112,ctaNombre,0))&amp;"","DOP")="USD",T1112,S1112))</f>
        <v/>
      </c>
      <c r="AG1112" s="53">
        <f>IF(AC1112="","",IF(IFERROR(INDEX(ctaMoneda,MATCH(AC1112,ctaNombre,0))&amp;"","DOP")="USD",T1112,S1112))</f>
        <v/>
      </c>
      <c r="AH1112" s="53">
        <f>IF(P1112="","",IF(AND(AD1112&lt;&gt;"",COUNTIFS(tcTipo,AD1112,tcLiq,"Sí")&gt;0),IF(OR(P1112="Gasto",P1112="Transferencia",P1112="Pago tarjeta"),-1,1)*S1112,0)+IF(AND(AE1112&lt;&gt;"",COUNTIFS(tcTipo,AE1112,tcLiq,"Sí")&gt;0),S1112,0))</f>
        <v/>
      </c>
      <c r="AI1112" s="52">
        <f>IF(OR(L1112="",P1112=""),"",IF(COUNTIFS(L$6:L1112,L1112,P$6:P1112,"?*")=1,MAX(AI$5:AI1111)+1,""))</f>
        <v/>
      </c>
    </row>
    <row r="1113">
      <c r="B1113" s="47" t="n"/>
      <c r="C1113" s="48" t="n"/>
      <c r="D1113" s="48" t="n"/>
      <c r="E1113" s="48" t="n"/>
      <c r="F1113" s="48" t="n"/>
      <c r="G1113" s="49" t="n"/>
      <c r="H1113" s="48" t="n"/>
      <c r="I1113" s="50" t="n"/>
      <c r="J1113" s="48" t="n"/>
      <c r="K1113" s="48" t="n"/>
      <c r="L1113" s="48" t="n"/>
      <c r="M1113" s="48" t="n"/>
      <c r="N1113" s="48" t="n"/>
      <c r="O1113" s="51">
        <f>IF(AND(B1113="",G1113="",C1113="",D1113="",J1113=""),"",IF(B1113="","⚠ Falta fecha",IF(G1113="","⚠ Falta monto",IF(Q1113="","⚠ Falta cuenta",IF(ISNA(MATCH(Q1113,ctaNombre,0)),"⚠ Cuenta no registrada",IF(AND(OR(P1113="Gasto",P1113="Reembolso"),D1113=""),"⚠ Falta categoría",IF(AND(D1113&lt;&gt;"",E1113&lt;&gt;"",ISNA(MATCH(D1113&amp;"|"&amp;E1113,catClave,0))),"⚠ Subcategoría no corresponde",IF(AND(OR(P1113="Transferencia",P1113="Pago tarjeta"),K1113=""),"⚠ Falta cuenta destino",IF(AND(K1113&lt;&gt;"",P1113&lt;&gt;"Transferencia",P1113&lt;&gt;"Pago tarjeta"),"⚠ Destino solo aplica a transferencias",IF(AND(K1113&lt;&gt;"",K1113=Q1113),"⚠ Origen igual a destino",IF(AND(K1113&lt;&gt;"",ISNA(MATCH(K1113,ctaNombre,0))),"⚠ Destino no registrado",IF(AND(P1113="Pago tarjeta",AE1113&lt;&gt;"Tarjeta de crédito"),"⚠ El destino debe ser tarjeta de crédito",IF(AND(P1113="Gasto",E1113="Depósitos y retiros"),"⚠ Usa tipo Transferencia",IF(AND(P1113="Resultado trading",AD1113&lt;&gt;"Cuenta de trading"),"⚠ Usa una cuenta de trading",IF(AND(G1113&lt;=0,P1113&lt;&gt;"Ajuste",P1113&lt;&gt;"Resultado trading"),"⚠ El monto debe ser positivo","✓")))))))))))))))</f>
        <v/>
      </c>
      <c r="P1113" s="52">
        <f>IF(OR(B1113="",G1113=""),"",IF(C1113="","Gasto",C1113))</f>
        <v/>
      </c>
      <c r="Q1113" s="52">
        <f>IF(P1113="","",IF(J1113&lt;&gt;"",J1113,CuentaPred&amp;""))</f>
        <v/>
      </c>
      <c r="R1113" s="52">
        <f>IF(P1113="","",IF(ISNUMBER(I1113),I1113,TasaUSD))</f>
        <v/>
      </c>
      <c r="S1113" s="53">
        <f>IF(P1113="","",IF(H1113="USD",G1113*R1113,G1113))</f>
        <v/>
      </c>
      <c r="T1113" s="53">
        <f>IF(P1113="","",IF(H1113="USD",G1113,IF(R1113&gt;0,G1113/R1113,0)))</f>
        <v/>
      </c>
      <c r="U1113" s="53">
        <f>IF(P1113="","",IF(P1113="Gasto",S1113,IF(P1113="Reembolso",-S1113,0)))</f>
        <v/>
      </c>
      <c r="V1113" s="53">
        <f>IF(P1113="","",IF(P1113="Ingreso",S1113,0))</f>
        <v/>
      </c>
      <c r="W1113" s="53">
        <f>IF(P1113="","",IF(P1113="Resultado trading",S1113,0))</f>
        <v/>
      </c>
      <c r="X1113" s="52">
        <f>IF(OR(P1113="Gasto",P1113="Reembolso"),IF(M1113&lt;&gt;"",M1113,IFERROR(INDEX(catClasif,MATCH(D1113&amp;"|"&amp;E1113,catClave,0))&amp;"","Variable")),"")</f>
        <v/>
      </c>
      <c r="Y1113" s="52">
        <f>IF(P1113="","",IFERROR(INDEX(catGrupo,MATCH(D1113&amp;"|"&amp;E1113,catClave,0))&amp;"",""))</f>
        <v/>
      </c>
      <c r="Z1113" s="52">
        <f>IF(P1113="","",WEEKDAY(B1113,2))</f>
        <v/>
      </c>
      <c r="AA1113" s="52">
        <f>IF(P1113="","",IF(AND(P1113="Gasto",X1113="Variable",D1113&lt;&gt;catTrading,S1113&gt;0,S1113&lt;=Umbral),1,0))</f>
        <v/>
      </c>
      <c r="AB1113" s="52">
        <f>IF(OR(P1113="",Q1113=""),"",IFERROR(IF(INDEX(ctaVinc,MATCH(Q1113,ctaNombre,0))&amp;""&lt;&gt;"",INDEX(ctaVinc,MATCH(Q1113,ctaNombre,0))&amp;"",Q1113),Q1113))</f>
        <v/>
      </c>
      <c r="AC1113" s="52">
        <f>IF(OR(K1113="",AND(P1113&lt;&gt;"Transferencia",P1113&lt;&gt;"Pago tarjeta")),"",IFERROR(IF(INDEX(ctaVinc,MATCH(K1113,ctaNombre,0))&amp;""&lt;&gt;"",INDEX(ctaVinc,MATCH(K1113,ctaNombre,0))&amp;"",K1113),K1113))</f>
        <v/>
      </c>
      <c r="AD1113" s="52">
        <f>IF(AB1113="","",IFERROR(INDEX(ctaTipo,MATCH(AB1113,ctaNombre,0))&amp;"",""))</f>
        <v/>
      </c>
      <c r="AE1113" s="52">
        <f>IF(AC1113="","",IFERROR(INDEX(ctaTipo,MATCH(AC1113,ctaNombre,0))&amp;"",""))</f>
        <v/>
      </c>
      <c r="AF1113" s="53">
        <f>IF(OR(P1113="",AB1113=""),"",IF(OR(P1113="Gasto",P1113="Transferencia",P1113="Pago tarjeta"),-1,1)*IF(IFERROR(INDEX(ctaMoneda,MATCH(AB1113,ctaNombre,0))&amp;"","DOP")="USD",T1113,S1113))</f>
        <v/>
      </c>
      <c r="AG1113" s="53">
        <f>IF(AC1113="","",IF(IFERROR(INDEX(ctaMoneda,MATCH(AC1113,ctaNombre,0))&amp;"","DOP")="USD",T1113,S1113))</f>
        <v/>
      </c>
      <c r="AH1113" s="53">
        <f>IF(P1113="","",IF(AND(AD1113&lt;&gt;"",COUNTIFS(tcTipo,AD1113,tcLiq,"Sí")&gt;0),IF(OR(P1113="Gasto",P1113="Transferencia",P1113="Pago tarjeta"),-1,1)*S1113,0)+IF(AND(AE1113&lt;&gt;"",COUNTIFS(tcTipo,AE1113,tcLiq,"Sí")&gt;0),S1113,0))</f>
        <v/>
      </c>
      <c r="AI1113" s="52">
        <f>IF(OR(L1113="",P1113=""),"",IF(COUNTIFS(L$6:L1113,L1113,P$6:P1113,"?*")=1,MAX(AI$5:AI1112)+1,""))</f>
        <v/>
      </c>
    </row>
    <row r="1114">
      <c r="B1114" s="47" t="n"/>
      <c r="C1114" s="48" t="n"/>
      <c r="D1114" s="48" t="n"/>
      <c r="E1114" s="48" t="n"/>
      <c r="F1114" s="48" t="n"/>
      <c r="G1114" s="49" t="n"/>
      <c r="H1114" s="48" t="n"/>
      <c r="I1114" s="50" t="n"/>
      <c r="J1114" s="48" t="n"/>
      <c r="K1114" s="48" t="n"/>
      <c r="L1114" s="48" t="n"/>
      <c r="M1114" s="48" t="n"/>
      <c r="N1114" s="48" t="n"/>
      <c r="O1114" s="51">
        <f>IF(AND(B1114="",G1114="",C1114="",D1114="",J1114=""),"",IF(B1114="","⚠ Falta fecha",IF(G1114="","⚠ Falta monto",IF(Q1114="","⚠ Falta cuenta",IF(ISNA(MATCH(Q1114,ctaNombre,0)),"⚠ Cuenta no registrada",IF(AND(OR(P1114="Gasto",P1114="Reembolso"),D1114=""),"⚠ Falta categoría",IF(AND(D1114&lt;&gt;"",E1114&lt;&gt;"",ISNA(MATCH(D1114&amp;"|"&amp;E1114,catClave,0))),"⚠ Subcategoría no corresponde",IF(AND(OR(P1114="Transferencia",P1114="Pago tarjeta"),K1114=""),"⚠ Falta cuenta destino",IF(AND(K1114&lt;&gt;"",P1114&lt;&gt;"Transferencia",P1114&lt;&gt;"Pago tarjeta"),"⚠ Destino solo aplica a transferencias",IF(AND(K1114&lt;&gt;"",K1114=Q1114),"⚠ Origen igual a destino",IF(AND(K1114&lt;&gt;"",ISNA(MATCH(K1114,ctaNombre,0))),"⚠ Destino no registrado",IF(AND(P1114="Pago tarjeta",AE1114&lt;&gt;"Tarjeta de crédito"),"⚠ El destino debe ser tarjeta de crédito",IF(AND(P1114="Gasto",E1114="Depósitos y retiros"),"⚠ Usa tipo Transferencia",IF(AND(P1114="Resultado trading",AD1114&lt;&gt;"Cuenta de trading"),"⚠ Usa una cuenta de trading",IF(AND(G1114&lt;=0,P1114&lt;&gt;"Ajuste",P1114&lt;&gt;"Resultado trading"),"⚠ El monto debe ser positivo","✓")))))))))))))))</f>
        <v/>
      </c>
      <c r="P1114" s="52">
        <f>IF(OR(B1114="",G1114=""),"",IF(C1114="","Gasto",C1114))</f>
        <v/>
      </c>
      <c r="Q1114" s="52">
        <f>IF(P1114="","",IF(J1114&lt;&gt;"",J1114,CuentaPred&amp;""))</f>
        <v/>
      </c>
      <c r="R1114" s="52">
        <f>IF(P1114="","",IF(ISNUMBER(I1114),I1114,TasaUSD))</f>
        <v/>
      </c>
      <c r="S1114" s="53">
        <f>IF(P1114="","",IF(H1114="USD",G1114*R1114,G1114))</f>
        <v/>
      </c>
      <c r="T1114" s="53">
        <f>IF(P1114="","",IF(H1114="USD",G1114,IF(R1114&gt;0,G1114/R1114,0)))</f>
        <v/>
      </c>
      <c r="U1114" s="53">
        <f>IF(P1114="","",IF(P1114="Gasto",S1114,IF(P1114="Reembolso",-S1114,0)))</f>
        <v/>
      </c>
      <c r="V1114" s="53">
        <f>IF(P1114="","",IF(P1114="Ingreso",S1114,0))</f>
        <v/>
      </c>
      <c r="W1114" s="53">
        <f>IF(P1114="","",IF(P1114="Resultado trading",S1114,0))</f>
        <v/>
      </c>
      <c r="X1114" s="52">
        <f>IF(OR(P1114="Gasto",P1114="Reembolso"),IF(M1114&lt;&gt;"",M1114,IFERROR(INDEX(catClasif,MATCH(D1114&amp;"|"&amp;E1114,catClave,0))&amp;"","Variable")),"")</f>
        <v/>
      </c>
      <c r="Y1114" s="52">
        <f>IF(P1114="","",IFERROR(INDEX(catGrupo,MATCH(D1114&amp;"|"&amp;E1114,catClave,0))&amp;"",""))</f>
        <v/>
      </c>
      <c r="Z1114" s="52">
        <f>IF(P1114="","",WEEKDAY(B1114,2))</f>
        <v/>
      </c>
      <c r="AA1114" s="52">
        <f>IF(P1114="","",IF(AND(P1114="Gasto",X1114="Variable",D1114&lt;&gt;catTrading,S1114&gt;0,S1114&lt;=Umbral),1,0))</f>
        <v/>
      </c>
      <c r="AB1114" s="52">
        <f>IF(OR(P1114="",Q1114=""),"",IFERROR(IF(INDEX(ctaVinc,MATCH(Q1114,ctaNombre,0))&amp;""&lt;&gt;"",INDEX(ctaVinc,MATCH(Q1114,ctaNombre,0))&amp;"",Q1114),Q1114))</f>
        <v/>
      </c>
      <c r="AC1114" s="52">
        <f>IF(OR(K1114="",AND(P1114&lt;&gt;"Transferencia",P1114&lt;&gt;"Pago tarjeta")),"",IFERROR(IF(INDEX(ctaVinc,MATCH(K1114,ctaNombre,0))&amp;""&lt;&gt;"",INDEX(ctaVinc,MATCH(K1114,ctaNombre,0))&amp;"",K1114),K1114))</f>
        <v/>
      </c>
      <c r="AD1114" s="52">
        <f>IF(AB1114="","",IFERROR(INDEX(ctaTipo,MATCH(AB1114,ctaNombre,0))&amp;"",""))</f>
        <v/>
      </c>
      <c r="AE1114" s="52">
        <f>IF(AC1114="","",IFERROR(INDEX(ctaTipo,MATCH(AC1114,ctaNombre,0))&amp;"",""))</f>
        <v/>
      </c>
      <c r="AF1114" s="53">
        <f>IF(OR(P1114="",AB1114=""),"",IF(OR(P1114="Gasto",P1114="Transferencia",P1114="Pago tarjeta"),-1,1)*IF(IFERROR(INDEX(ctaMoneda,MATCH(AB1114,ctaNombre,0))&amp;"","DOP")="USD",T1114,S1114))</f>
        <v/>
      </c>
      <c r="AG1114" s="53">
        <f>IF(AC1114="","",IF(IFERROR(INDEX(ctaMoneda,MATCH(AC1114,ctaNombre,0))&amp;"","DOP")="USD",T1114,S1114))</f>
        <v/>
      </c>
      <c r="AH1114" s="53">
        <f>IF(P1114="","",IF(AND(AD1114&lt;&gt;"",COUNTIFS(tcTipo,AD1114,tcLiq,"Sí")&gt;0),IF(OR(P1114="Gasto",P1114="Transferencia",P1114="Pago tarjeta"),-1,1)*S1114,0)+IF(AND(AE1114&lt;&gt;"",COUNTIFS(tcTipo,AE1114,tcLiq,"Sí")&gt;0),S1114,0))</f>
        <v/>
      </c>
      <c r="AI1114" s="52">
        <f>IF(OR(L1114="",P1114=""),"",IF(COUNTIFS(L$6:L1114,L1114,P$6:P1114,"?*")=1,MAX(AI$5:AI1113)+1,""))</f>
        <v/>
      </c>
    </row>
    <row r="1115">
      <c r="B1115" s="47" t="n"/>
      <c r="C1115" s="48" t="n"/>
      <c r="D1115" s="48" t="n"/>
      <c r="E1115" s="48" t="n"/>
      <c r="F1115" s="48" t="n"/>
      <c r="G1115" s="49" t="n"/>
      <c r="H1115" s="48" t="n"/>
      <c r="I1115" s="50" t="n"/>
      <c r="J1115" s="48" t="n"/>
      <c r="K1115" s="48" t="n"/>
      <c r="L1115" s="48" t="n"/>
      <c r="M1115" s="48" t="n"/>
      <c r="N1115" s="48" t="n"/>
      <c r="O1115" s="51">
        <f>IF(AND(B1115="",G1115="",C1115="",D1115="",J1115=""),"",IF(B1115="","⚠ Falta fecha",IF(G1115="","⚠ Falta monto",IF(Q1115="","⚠ Falta cuenta",IF(ISNA(MATCH(Q1115,ctaNombre,0)),"⚠ Cuenta no registrada",IF(AND(OR(P1115="Gasto",P1115="Reembolso"),D1115=""),"⚠ Falta categoría",IF(AND(D1115&lt;&gt;"",E1115&lt;&gt;"",ISNA(MATCH(D1115&amp;"|"&amp;E1115,catClave,0))),"⚠ Subcategoría no corresponde",IF(AND(OR(P1115="Transferencia",P1115="Pago tarjeta"),K1115=""),"⚠ Falta cuenta destino",IF(AND(K1115&lt;&gt;"",P1115&lt;&gt;"Transferencia",P1115&lt;&gt;"Pago tarjeta"),"⚠ Destino solo aplica a transferencias",IF(AND(K1115&lt;&gt;"",K1115=Q1115),"⚠ Origen igual a destino",IF(AND(K1115&lt;&gt;"",ISNA(MATCH(K1115,ctaNombre,0))),"⚠ Destino no registrado",IF(AND(P1115="Pago tarjeta",AE1115&lt;&gt;"Tarjeta de crédito"),"⚠ El destino debe ser tarjeta de crédito",IF(AND(P1115="Gasto",E1115="Depósitos y retiros"),"⚠ Usa tipo Transferencia",IF(AND(P1115="Resultado trading",AD1115&lt;&gt;"Cuenta de trading"),"⚠ Usa una cuenta de trading",IF(AND(G1115&lt;=0,P1115&lt;&gt;"Ajuste",P1115&lt;&gt;"Resultado trading"),"⚠ El monto debe ser positivo","✓")))))))))))))))</f>
        <v/>
      </c>
      <c r="P1115" s="52">
        <f>IF(OR(B1115="",G1115=""),"",IF(C1115="","Gasto",C1115))</f>
        <v/>
      </c>
      <c r="Q1115" s="52">
        <f>IF(P1115="","",IF(J1115&lt;&gt;"",J1115,CuentaPred&amp;""))</f>
        <v/>
      </c>
      <c r="R1115" s="52">
        <f>IF(P1115="","",IF(ISNUMBER(I1115),I1115,TasaUSD))</f>
        <v/>
      </c>
      <c r="S1115" s="53">
        <f>IF(P1115="","",IF(H1115="USD",G1115*R1115,G1115))</f>
        <v/>
      </c>
      <c r="T1115" s="53">
        <f>IF(P1115="","",IF(H1115="USD",G1115,IF(R1115&gt;0,G1115/R1115,0)))</f>
        <v/>
      </c>
      <c r="U1115" s="53">
        <f>IF(P1115="","",IF(P1115="Gasto",S1115,IF(P1115="Reembolso",-S1115,0)))</f>
        <v/>
      </c>
      <c r="V1115" s="53">
        <f>IF(P1115="","",IF(P1115="Ingreso",S1115,0))</f>
        <v/>
      </c>
      <c r="W1115" s="53">
        <f>IF(P1115="","",IF(P1115="Resultado trading",S1115,0))</f>
        <v/>
      </c>
      <c r="X1115" s="52">
        <f>IF(OR(P1115="Gasto",P1115="Reembolso"),IF(M1115&lt;&gt;"",M1115,IFERROR(INDEX(catClasif,MATCH(D1115&amp;"|"&amp;E1115,catClave,0))&amp;"","Variable")),"")</f>
        <v/>
      </c>
      <c r="Y1115" s="52">
        <f>IF(P1115="","",IFERROR(INDEX(catGrupo,MATCH(D1115&amp;"|"&amp;E1115,catClave,0))&amp;"",""))</f>
        <v/>
      </c>
      <c r="Z1115" s="52">
        <f>IF(P1115="","",WEEKDAY(B1115,2))</f>
        <v/>
      </c>
      <c r="AA1115" s="52">
        <f>IF(P1115="","",IF(AND(P1115="Gasto",X1115="Variable",D1115&lt;&gt;catTrading,S1115&gt;0,S1115&lt;=Umbral),1,0))</f>
        <v/>
      </c>
      <c r="AB1115" s="52">
        <f>IF(OR(P1115="",Q1115=""),"",IFERROR(IF(INDEX(ctaVinc,MATCH(Q1115,ctaNombre,0))&amp;""&lt;&gt;"",INDEX(ctaVinc,MATCH(Q1115,ctaNombre,0))&amp;"",Q1115),Q1115))</f>
        <v/>
      </c>
      <c r="AC1115" s="52">
        <f>IF(OR(K1115="",AND(P1115&lt;&gt;"Transferencia",P1115&lt;&gt;"Pago tarjeta")),"",IFERROR(IF(INDEX(ctaVinc,MATCH(K1115,ctaNombre,0))&amp;""&lt;&gt;"",INDEX(ctaVinc,MATCH(K1115,ctaNombre,0))&amp;"",K1115),K1115))</f>
        <v/>
      </c>
      <c r="AD1115" s="52">
        <f>IF(AB1115="","",IFERROR(INDEX(ctaTipo,MATCH(AB1115,ctaNombre,0))&amp;"",""))</f>
        <v/>
      </c>
      <c r="AE1115" s="52">
        <f>IF(AC1115="","",IFERROR(INDEX(ctaTipo,MATCH(AC1115,ctaNombre,0))&amp;"",""))</f>
        <v/>
      </c>
      <c r="AF1115" s="53">
        <f>IF(OR(P1115="",AB1115=""),"",IF(OR(P1115="Gasto",P1115="Transferencia",P1115="Pago tarjeta"),-1,1)*IF(IFERROR(INDEX(ctaMoneda,MATCH(AB1115,ctaNombre,0))&amp;"","DOP")="USD",T1115,S1115))</f>
        <v/>
      </c>
      <c r="AG1115" s="53">
        <f>IF(AC1115="","",IF(IFERROR(INDEX(ctaMoneda,MATCH(AC1115,ctaNombre,0))&amp;"","DOP")="USD",T1115,S1115))</f>
        <v/>
      </c>
      <c r="AH1115" s="53">
        <f>IF(P1115="","",IF(AND(AD1115&lt;&gt;"",COUNTIFS(tcTipo,AD1115,tcLiq,"Sí")&gt;0),IF(OR(P1115="Gasto",P1115="Transferencia",P1115="Pago tarjeta"),-1,1)*S1115,0)+IF(AND(AE1115&lt;&gt;"",COUNTIFS(tcTipo,AE1115,tcLiq,"Sí")&gt;0),S1115,0))</f>
        <v/>
      </c>
      <c r="AI1115" s="52">
        <f>IF(OR(L1115="",P1115=""),"",IF(COUNTIFS(L$6:L1115,L1115,P$6:P1115,"?*")=1,MAX(AI$5:AI1114)+1,""))</f>
        <v/>
      </c>
    </row>
    <row r="1116">
      <c r="B1116" s="47" t="n"/>
      <c r="C1116" s="48" t="n"/>
      <c r="D1116" s="48" t="n"/>
      <c r="E1116" s="48" t="n"/>
      <c r="F1116" s="48" t="n"/>
      <c r="G1116" s="49" t="n"/>
      <c r="H1116" s="48" t="n"/>
      <c r="I1116" s="50" t="n"/>
      <c r="J1116" s="48" t="n"/>
      <c r="K1116" s="48" t="n"/>
      <c r="L1116" s="48" t="n"/>
      <c r="M1116" s="48" t="n"/>
      <c r="N1116" s="48" t="n"/>
      <c r="O1116" s="51">
        <f>IF(AND(B1116="",G1116="",C1116="",D1116="",J1116=""),"",IF(B1116="","⚠ Falta fecha",IF(G1116="","⚠ Falta monto",IF(Q1116="","⚠ Falta cuenta",IF(ISNA(MATCH(Q1116,ctaNombre,0)),"⚠ Cuenta no registrada",IF(AND(OR(P1116="Gasto",P1116="Reembolso"),D1116=""),"⚠ Falta categoría",IF(AND(D1116&lt;&gt;"",E1116&lt;&gt;"",ISNA(MATCH(D1116&amp;"|"&amp;E1116,catClave,0))),"⚠ Subcategoría no corresponde",IF(AND(OR(P1116="Transferencia",P1116="Pago tarjeta"),K1116=""),"⚠ Falta cuenta destino",IF(AND(K1116&lt;&gt;"",P1116&lt;&gt;"Transferencia",P1116&lt;&gt;"Pago tarjeta"),"⚠ Destino solo aplica a transferencias",IF(AND(K1116&lt;&gt;"",K1116=Q1116),"⚠ Origen igual a destino",IF(AND(K1116&lt;&gt;"",ISNA(MATCH(K1116,ctaNombre,0))),"⚠ Destino no registrado",IF(AND(P1116="Pago tarjeta",AE1116&lt;&gt;"Tarjeta de crédito"),"⚠ El destino debe ser tarjeta de crédito",IF(AND(P1116="Gasto",E1116="Depósitos y retiros"),"⚠ Usa tipo Transferencia",IF(AND(P1116="Resultado trading",AD1116&lt;&gt;"Cuenta de trading"),"⚠ Usa una cuenta de trading",IF(AND(G1116&lt;=0,P1116&lt;&gt;"Ajuste",P1116&lt;&gt;"Resultado trading"),"⚠ El monto debe ser positivo","✓")))))))))))))))</f>
        <v/>
      </c>
      <c r="P1116" s="52">
        <f>IF(OR(B1116="",G1116=""),"",IF(C1116="","Gasto",C1116))</f>
        <v/>
      </c>
      <c r="Q1116" s="52">
        <f>IF(P1116="","",IF(J1116&lt;&gt;"",J1116,CuentaPred&amp;""))</f>
        <v/>
      </c>
      <c r="R1116" s="52">
        <f>IF(P1116="","",IF(ISNUMBER(I1116),I1116,TasaUSD))</f>
        <v/>
      </c>
      <c r="S1116" s="53">
        <f>IF(P1116="","",IF(H1116="USD",G1116*R1116,G1116))</f>
        <v/>
      </c>
      <c r="T1116" s="53">
        <f>IF(P1116="","",IF(H1116="USD",G1116,IF(R1116&gt;0,G1116/R1116,0)))</f>
        <v/>
      </c>
      <c r="U1116" s="53">
        <f>IF(P1116="","",IF(P1116="Gasto",S1116,IF(P1116="Reembolso",-S1116,0)))</f>
        <v/>
      </c>
      <c r="V1116" s="53">
        <f>IF(P1116="","",IF(P1116="Ingreso",S1116,0))</f>
        <v/>
      </c>
      <c r="W1116" s="53">
        <f>IF(P1116="","",IF(P1116="Resultado trading",S1116,0))</f>
        <v/>
      </c>
      <c r="X1116" s="52">
        <f>IF(OR(P1116="Gasto",P1116="Reembolso"),IF(M1116&lt;&gt;"",M1116,IFERROR(INDEX(catClasif,MATCH(D1116&amp;"|"&amp;E1116,catClave,0))&amp;"","Variable")),"")</f>
        <v/>
      </c>
      <c r="Y1116" s="52">
        <f>IF(P1116="","",IFERROR(INDEX(catGrupo,MATCH(D1116&amp;"|"&amp;E1116,catClave,0))&amp;"",""))</f>
        <v/>
      </c>
      <c r="Z1116" s="52">
        <f>IF(P1116="","",WEEKDAY(B1116,2))</f>
        <v/>
      </c>
      <c r="AA1116" s="52">
        <f>IF(P1116="","",IF(AND(P1116="Gasto",X1116="Variable",D1116&lt;&gt;catTrading,S1116&gt;0,S1116&lt;=Umbral),1,0))</f>
        <v/>
      </c>
      <c r="AB1116" s="52">
        <f>IF(OR(P1116="",Q1116=""),"",IFERROR(IF(INDEX(ctaVinc,MATCH(Q1116,ctaNombre,0))&amp;""&lt;&gt;"",INDEX(ctaVinc,MATCH(Q1116,ctaNombre,0))&amp;"",Q1116),Q1116))</f>
        <v/>
      </c>
      <c r="AC1116" s="52">
        <f>IF(OR(K1116="",AND(P1116&lt;&gt;"Transferencia",P1116&lt;&gt;"Pago tarjeta")),"",IFERROR(IF(INDEX(ctaVinc,MATCH(K1116,ctaNombre,0))&amp;""&lt;&gt;"",INDEX(ctaVinc,MATCH(K1116,ctaNombre,0))&amp;"",K1116),K1116))</f>
        <v/>
      </c>
      <c r="AD1116" s="52">
        <f>IF(AB1116="","",IFERROR(INDEX(ctaTipo,MATCH(AB1116,ctaNombre,0))&amp;"",""))</f>
        <v/>
      </c>
      <c r="AE1116" s="52">
        <f>IF(AC1116="","",IFERROR(INDEX(ctaTipo,MATCH(AC1116,ctaNombre,0))&amp;"",""))</f>
        <v/>
      </c>
      <c r="AF1116" s="53">
        <f>IF(OR(P1116="",AB1116=""),"",IF(OR(P1116="Gasto",P1116="Transferencia",P1116="Pago tarjeta"),-1,1)*IF(IFERROR(INDEX(ctaMoneda,MATCH(AB1116,ctaNombre,0))&amp;"","DOP")="USD",T1116,S1116))</f>
        <v/>
      </c>
      <c r="AG1116" s="53">
        <f>IF(AC1116="","",IF(IFERROR(INDEX(ctaMoneda,MATCH(AC1116,ctaNombre,0))&amp;"","DOP")="USD",T1116,S1116))</f>
        <v/>
      </c>
      <c r="AH1116" s="53">
        <f>IF(P1116="","",IF(AND(AD1116&lt;&gt;"",COUNTIFS(tcTipo,AD1116,tcLiq,"Sí")&gt;0),IF(OR(P1116="Gasto",P1116="Transferencia",P1116="Pago tarjeta"),-1,1)*S1116,0)+IF(AND(AE1116&lt;&gt;"",COUNTIFS(tcTipo,AE1116,tcLiq,"Sí")&gt;0),S1116,0))</f>
        <v/>
      </c>
      <c r="AI1116" s="52">
        <f>IF(OR(L1116="",P1116=""),"",IF(COUNTIFS(L$6:L1116,L1116,P$6:P1116,"?*")=1,MAX(AI$5:AI1115)+1,""))</f>
        <v/>
      </c>
    </row>
    <row r="1117">
      <c r="B1117" s="47" t="n"/>
      <c r="C1117" s="48" t="n"/>
      <c r="D1117" s="48" t="n"/>
      <c r="E1117" s="48" t="n"/>
      <c r="F1117" s="48" t="n"/>
      <c r="G1117" s="49" t="n"/>
      <c r="H1117" s="48" t="n"/>
      <c r="I1117" s="50" t="n"/>
      <c r="J1117" s="48" t="n"/>
      <c r="K1117" s="48" t="n"/>
      <c r="L1117" s="48" t="n"/>
      <c r="M1117" s="48" t="n"/>
      <c r="N1117" s="48" t="n"/>
      <c r="O1117" s="51">
        <f>IF(AND(B1117="",G1117="",C1117="",D1117="",J1117=""),"",IF(B1117="","⚠ Falta fecha",IF(G1117="","⚠ Falta monto",IF(Q1117="","⚠ Falta cuenta",IF(ISNA(MATCH(Q1117,ctaNombre,0)),"⚠ Cuenta no registrada",IF(AND(OR(P1117="Gasto",P1117="Reembolso"),D1117=""),"⚠ Falta categoría",IF(AND(D1117&lt;&gt;"",E1117&lt;&gt;"",ISNA(MATCH(D1117&amp;"|"&amp;E1117,catClave,0))),"⚠ Subcategoría no corresponde",IF(AND(OR(P1117="Transferencia",P1117="Pago tarjeta"),K1117=""),"⚠ Falta cuenta destino",IF(AND(K1117&lt;&gt;"",P1117&lt;&gt;"Transferencia",P1117&lt;&gt;"Pago tarjeta"),"⚠ Destino solo aplica a transferencias",IF(AND(K1117&lt;&gt;"",K1117=Q1117),"⚠ Origen igual a destino",IF(AND(K1117&lt;&gt;"",ISNA(MATCH(K1117,ctaNombre,0))),"⚠ Destino no registrado",IF(AND(P1117="Pago tarjeta",AE1117&lt;&gt;"Tarjeta de crédito"),"⚠ El destino debe ser tarjeta de crédito",IF(AND(P1117="Gasto",E1117="Depósitos y retiros"),"⚠ Usa tipo Transferencia",IF(AND(P1117="Resultado trading",AD1117&lt;&gt;"Cuenta de trading"),"⚠ Usa una cuenta de trading",IF(AND(G1117&lt;=0,P1117&lt;&gt;"Ajuste",P1117&lt;&gt;"Resultado trading"),"⚠ El monto debe ser positivo","✓")))))))))))))))</f>
        <v/>
      </c>
      <c r="P1117" s="52">
        <f>IF(OR(B1117="",G1117=""),"",IF(C1117="","Gasto",C1117))</f>
        <v/>
      </c>
      <c r="Q1117" s="52">
        <f>IF(P1117="","",IF(J1117&lt;&gt;"",J1117,CuentaPred&amp;""))</f>
        <v/>
      </c>
      <c r="R1117" s="52">
        <f>IF(P1117="","",IF(ISNUMBER(I1117),I1117,TasaUSD))</f>
        <v/>
      </c>
      <c r="S1117" s="53">
        <f>IF(P1117="","",IF(H1117="USD",G1117*R1117,G1117))</f>
        <v/>
      </c>
      <c r="T1117" s="53">
        <f>IF(P1117="","",IF(H1117="USD",G1117,IF(R1117&gt;0,G1117/R1117,0)))</f>
        <v/>
      </c>
      <c r="U1117" s="53">
        <f>IF(P1117="","",IF(P1117="Gasto",S1117,IF(P1117="Reembolso",-S1117,0)))</f>
        <v/>
      </c>
      <c r="V1117" s="53">
        <f>IF(P1117="","",IF(P1117="Ingreso",S1117,0))</f>
        <v/>
      </c>
      <c r="W1117" s="53">
        <f>IF(P1117="","",IF(P1117="Resultado trading",S1117,0))</f>
        <v/>
      </c>
      <c r="X1117" s="52">
        <f>IF(OR(P1117="Gasto",P1117="Reembolso"),IF(M1117&lt;&gt;"",M1117,IFERROR(INDEX(catClasif,MATCH(D1117&amp;"|"&amp;E1117,catClave,0))&amp;"","Variable")),"")</f>
        <v/>
      </c>
      <c r="Y1117" s="52">
        <f>IF(P1117="","",IFERROR(INDEX(catGrupo,MATCH(D1117&amp;"|"&amp;E1117,catClave,0))&amp;"",""))</f>
        <v/>
      </c>
      <c r="Z1117" s="52">
        <f>IF(P1117="","",WEEKDAY(B1117,2))</f>
        <v/>
      </c>
      <c r="AA1117" s="52">
        <f>IF(P1117="","",IF(AND(P1117="Gasto",X1117="Variable",D1117&lt;&gt;catTrading,S1117&gt;0,S1117&lt;=Umbral),1,0))</f>
        <v/>
      </c>
      <c r="AB1117" s="52">
        <f>IF(OR(P1117="",Q1117=""),"",IFERROR(IF(INDEX(ctaVinc,MATCH(Q1117,ctaNombre,0))&amp;""&lt;&gt;"",INDEX(ctaVinc,MATCH(Q1117,ctaNombre,0))&amp;"",Q1117),Q1117))</f>
        <v/>
      </c>
      <c r="AC1117" s="52">
        <f>IF(OR(K1117="",AND(P1117&lt;&gt;"Transferencia",P1117&lt;&gt;"Pago tarjeta")),"",IFERROR(IF(INDEX(ctaVinc,MATCH(K1117,ctaNombre,0))&amp;""&lt;&gt;"",INDEX(ctaVinc,MATCH(K1117,ctaNombre,0))&amp;"",K1117),K1117))</f>
        <v/>
      </c>
      <c r="AD1117" s="52">
        <f>IF(AB1117="","",IFERROR(INDEX(ctaTipo,MATCH(AB1117,ctaNombre,0))&amp;"",""))</f>
        <v/>
      </c>
      <c r="AE1117" s="52">
        <f>IF(AC1117="","",IFERROR(INDEX(ctaTipo,MATCH(AC1117,ctaNombre,0))&amp;"",""))</f>
        <v/>
      </c>
      <c r="AF1117" s="53">
        <f>IF(OR(P1117="",AB1117=""),"",IF(OR(P1117="Gasto",P1117="Transferencia",P1117="Pago tarjeta"),-1,1)*IF(IFERROR(INDEX(ctaMoneda,MATCH(AB1117,ctaNombre,0))&amp;"","DOP")="USD",T1117,S1117))</f>
        <v/>
      </c>
      <c r="AG1117" s="53">
        <f>IF(AC1117="","",IF(IFERROR(INDEX(ctaMoneda,MATCH(AC1117,ctaNombre,0))&amp;"","DOP")="USD",T1117,S1117))</f>
        <v/>
      </c>
      <c r="AH1117" s="53">
        <f>IF(P1117="","",IF(AND(AD1117&lt;&gt;"",COUNTIFS(tcTipo,AD1117,tcLiq,"Sí")&gt;0),IF(OR(P1117="Gasto",P1117="Transferencia",P1117="Pago tarjeta"),-1,1)*S1117,0)+IF(AND(AE1117&lt;&gt;"",COUNTIFS(tcTipo,AE1117,tcLiq,"Sí")&gt;0),S1117,0))</f>
        <v/>
      </c>
      <c r="AI1117" s="52">
        <f>IF(OR(L1117="",P1117=""),"",IF(COUNTIFS(L$6:L1117,L1117,P$6:P1117,"?*")=1,MAX(AI$5:AI1116)+1,""))</f>
        <v/>
      </c>
    </row>
    <row r="1118">
      <c r="B1118" s="47" t="n"/>
      <c r="C1118" s="48" t="n"/>
      <c r="D1118" s="48" t="n"/>
      <c r="E1118" s="48" t="n"/>
      <c r="F1118" s="48" t="n"/>
      <c r="G1118" s="49" t="n"/>
      <c r="H1118" s="48" t="n"/>
      <c r="I1118" s="50" t="n"/>
      <c r="J1118" s="48" t="n"/>
      <c r="K1118" s="48" t="n"/>
      <c r="L1118" s="48" t="n"/>
      <c r="M1118" s="48" t="n"/>
      <c r="N1118" s="48" t="n"/>
      <c r="O1118" s="51">
        <f>IF(AND(B1118="",G1118="",C1118="",D1118="",J1118=""),"",IF(B1118="","⚠ Falta fecha",IF(G1118="","⚠ Falta monto",IF(Q1118="","⚠ Falta cuenta",IF(ISNA(MATCH(Q1118,ctaNombre,0)),"⚠ Cuenta no registrada",IF(AND(OR(P1118="Gasto",P1118="Reembolso"),D1118=""),"⚠ Falta categoría",IF(AND(D1118&lt;&gt;"",E1118&lt;&gt;"",ISNA(MATCH(D1118&amp;"|"&amp;E1118,catClave,0))),"⚠ Subcategoría no corresponde",IF(AND(OR(P1118="Transferencia",P1118="Pago tarjeta"),K1118=""),"⚠ Falta cuenta destino",IF(AND(K1118&lt;&gt;"",P1118&lt;&gt;"Transferencia",P1118&lt;&gt;"Pago tarjeta"),"⚠ Destino solo aplica a transferencias",IF(AND(K1118&lt;&gt;"",K1118=Q1118),"⚠ Origen igual a destino",IF(AND(K1118&lt;&gt;"",ISNA(MATCH(K1118,ctaNombre,0))),"⚠ Destino no registrado",IF(AND(P1118="Pago tarjeta",AE1118&lt;&gt;"Tarjeta de crédito"),"⚠ El destino debe ser tarjeta de crédito",IF(AND(P1118="Gasto",E1118="Depósitos y retiros"),"⚠ Usa tipo Transferencia",IF(AND(P1118="Resultado trading",AD1118&lt;&gt;"Cuenta de trading"),"⚠ Usa una cuenta de trading",IF(AND(G1118&lt;=0,P1118&lt;&gt;"Ajuste",P1118&lt;&gt;"Resultado trading"),"⚠ El monto debe ser positivo","✓")))))))))))))))</f>
        <v/>
      </c>
      <c r="P1118" s="52">
        <f>IF(OR(B1118="",G1118=""),"",IF(C1118="","Gasto",C1118))</f>
        <v/>
      </c>
      <c r="Q1118" s="52">
        <f>IF(P1118="","",IF(J1118&lt;&gt;"",J1118,CuentaPred&amp;""))</f>
        <v/>
      </c>
      <c r="R1118" s="52">
        <f>IF(P1118="","",IF(ISNUMBER(I1118),I1118,TasaUSD))</f>
        <v/>
      </c>
      <c r="S1118" s="53">
        <f>IF(P1118="","",IF(H1118="USD",G1118*R1118,G1118))</f>
        <v/>
      </c>
      <c r="T1118" s="53">
        <f>IF(P1118="","",IF(H1118="USD",G1118,IF(R1118&gt;0,G1118/R1118,0)))</f>
        <v/>
      </c>
      <c r="U1118" s="53">
        <f>IF(P1118="","",IF(P1118="Gasto",S1118,IF(P1118="Reembolso",-S1118,0)))</f>
        <v/>
      </c>
      <c r="V1118" s="53">
        <f>IF(P1118="","",IF(P1118="Ingreso",S1118,0))</f>
        <v/>
      </c>
      <c r="W1118" s="53">
        <f>IF(P1118="","",IF(P1118="Resultado trading",S1118,0))</f>
        <v/>
      </c>
      <c r="X1118" s="52">
        <f>IF(OR(P1118="Gasto",P1118="Reembolso"),IF(M1118&lt;&gt;"",M1118,IFERROR(INDEX(catClasif,MATCH(D1118&amp;"|"&amp;E1118,catClave,0))&amp;"","Variable")),"")</f>
        <v/>
      </c>
      <c r="Y1118" s="52">
        <f>IF(P1118="","",IFERROR(INDEX(catGrupo,MATCH(D1118&amp;"|"&amp;E1118,catClave,0))&amp;"",""))</f>
        <v/>
      </c>
      <c r="Z1118" s="52">
        <f>IF(P1118="","",WEEKDAY(B1118,2))</f>
        <v/>
      </c>
      <c r="AA1118" s="52">
        <f>IF(P1118="","",IF(AND(P1118="Gasto",X1118="Variable",D1118&lt;&gt;catTrading,S1118&gt;0,S1118&lt;=Umbral),1,0))</f>
        <v/>
      </c>
      <c r="AB1118" s="52">
        <f>IF(OR(P1118="",Q1118=""),"",IFERROR(IF(INDEX(ctaVinc,MATCH(Q1118,ctaNombre,0))&amp;""&lt;&gt;"",INDEX(ctaVinc,MATCH(Q1118,ctaNombre,0))&amp;"",Q1118),Q1118))</f>
        <v/>
      </c>
      <c r="AC1118" s="52">
        <f>IF(OR(K1118="",AND(P1118&lt;&gt;"Transferencia",P1118&lt;&gt;"Pago tarjeta")),"",IFERROR(IF(INDEX(ctaVinc,MATCH(K1118,ctaNombre,0))&amp;""&lt;&gt;"",INDEX(ctaVinc,MATCH(K1118,ctaNombre,0))&amp;"",K1118),K1118))</f>
        <v/>
      </c>
      <c r="AD1118" s="52">
        <f>IF(AB1118="","",IFERROR(INDEX(ctaTipo,MATCH(AB1118,ctaNombre,0))&amp;"",""))</f>
        <v/>
      </c>
      <c r="AE1118" s="52">
        <f>IF(AC1118="","",IFERROR(INDEX(ctaTipo,MATCH(AC1118,ctaNombre,0))&amp;"",""))</f>
        <v/>
      </c>
      <c r="AF1118" s="53">
        <f>IF(OR(P1118="",AB1118=""),"",IF(OR(P1118="Gasto",P1118="Transferencia",P1118="Pago tarjeta"),-1,1)*IF(IFERROR(INDEX(ctaMoneda,MATCH(AB1118,ctaNombre,0))&amp;"","DOP")="USD",T1118,S1118))</f>
        <v/>
      </c>
      <c r="AG1118" s="53">
        <f>IF(AC1118="","",IF(IFERROR(INDEX(ctaMoneda,MATCH(AC1118,ctaNombre,0))&amp;"","DOP")="USD",T1118,S1118))</f>
        <v/>
      </c>
      <c r="AH1118" s="53">
        <f>IF(P1118="","",IF(AND(AD1118&lt;&gt;"",COUNTIFS(tcTipo,AD1118,tcLiq,"Sí")&gt;0),IF(OR(P1118="Gasto",P1118="Transferencia",P1118="Pago tarjeta"),-1,1)*S1118,0)+IF(AND(AE1118&lt;&gt;"",COUNTIFS(tcTipo,AE1118,tcLiq,"Sí")&gt;0),S1118,0))</f>
        <v/>
      </c>
      <c r="AI1118" s="52">
        <f>IF(OR(L1118="",P1118=""),"",IF(COUNTIFS(L$6:L1118,L1118,P$6:P1118,"?*")=1,MAX(AI$5:AI1117)+1,""))</f>
        <v/>
      </c>
    </row>
    <row r="1119">
      <c r="B1119" s="47" t="n"/>
      <c r="C1119" s="48" t="n"/>
      <c r="D1119" s="48" t="n"/>
      <c r="E1119" s="48" t="n"/>
      <c r="F1119" s="48" t="n"/>
      <c r="G1119" s="49" t="n"/>
      <c r="H1119" s="48" t="n"/>
      <c r="I1119" s="50" t="n"/>
      <c r="J1119" s="48" t="n"/>
      <c r="K1119" s="48" t="n"/>
      <c r="L1119" s="48" t="n"/>
      <c r="M1119" s="48" t="n"/>
      <c r="N1119" s="48" t="n"/>
      <c r="O1119" s="51">
        <f>IF(AND(B1119="",G1119="",C1119="",D1119="",J1119=""),"",IF(B1119="","⚠ Falta fecha",IF(G1119="","⚠ Falta monto",IF(Q1119="","⚠ Falta cuenta",IF(ISNA(MATCH(Q1119,ctaNombre,0)),"⚠ Cuenta no registrada",IF(AND(OR(P1119="Gasto",P1119="Reembolso"),D1119=""),"⚠ Falta categoría",IF(AND(D1119&lt;&gt;"",E1119&lt;&gt;"",ISNA(MATCH(D1119&amp;"|"&amp;E1119,catClave,0))),"⚠ Subcategoría no corresponde",IF(AND(OR(P1119="Transferencia",P1119="Pago tarjeta"),K1119=""),"⚠ Falta cuenta destino",IF(AND(K1119&lt;&gt;"",P1119&lt;&gt;"Transferencia",P1119&lt;&gt;"Pago tarjeta"),"⚠ Destino solo aplica a transferencias",IF(AND(K1119&lt;&gt;"",K1119=Q1119),"⚠ Origen igual a destino",IF(AND(K1119&lt;&gt;"",ISNA(MATCH(K1119,ctaNombre,0))),"⚠ Destino no registrado",IF(AND(P1119="Pago tarjeta",AE1119&lt;&gt;"Tarjeta de crédito"),"⚠ El destino debe ser tarjeta de crédito",IF(AND(P1119="Gasto",E1119="Depósitos y retiros"),"⚠ Usa tipo Transferencia",IF(AND(P1119="Resultado trading",AD1119&lt;&gt;"Cuenta de trading"),"⚠ Usa una cuenta de trading",IF(AND(G1119&lt;=0,P1119&lt;&gt;"Ajuste",P1119&lt;&gt;"Resultado trading"),"⚠ El monto debe ser positivo","✓")))))))))))))))</f>
        <v/>
      </c>
      <c r="P1119" s="52">
        <f>IF(OR(B1119="",G1119=""),"",IF(C1119="","Gasto",C1119))</f>
        <v/>
      </c>
      <c r="Q1119" s="52">
        <f>IF(P1119="","",IF(J1119&lt;&gt;"",J1119,CuentaPred&amp;""))</f>
        <v/>
      </c>
      <c r="R1119" s="52">
        <f>IF(P1119="","",IF(ISNUMBER(I1119),I1119,TasaUSD))</f>
        <v/>
      </c>
      <c r="S1119" s="53">
        <f>IF(P1119="","",IF(H1119="USD",G1119*R1119,G1119))</f>
        <v/>
      </c>
      <c r="T1119" s="53">
        <f>IF(P1119="","",IF(H1119="USD",G1119,IF(R1119&gt;0,G1119/R1119,0)))</f>
        <v/>
      </c>
      <c r="U1119" s="53">
        <f>IF(P1119="","",IF(P1119="Gasto",S1119,IF(P1119="Reembolso",-S1119,0)))</f>
        <v/>
      </c>
      <c r="V1119" s="53">
        <f>IF(P1119="","",IF(P1119="Ingreso",S1119,0))</f>
        <v/>
      </c>
      <c r="W1119" s="53">
        <f>IF(P1119="","",IF(P1119="Resultado trading",S1119,0))</f>
        <v/>
      </c>
      <c r="X1119" s="52">
        <f>IF(OR(P1119="Gasto",P1119="Reembolso"),IF(M1119&lt;&gt;"",M1119,IFERROR(INDEX(catClasif,MATCH(D1119&amp;"|"&amp;E1119,catClave,0))&amp;"","Variable")),"")</f>
        <v/>
      </c>
      <c r="Y1119" s="52">
        <f>IF(P1119="","",IFERROR(INDEX(catGrupo,MATCH(D1119&amp;"|"&amp;E1119,catClave,0))&amp;"",""))</f>
        <v/>
      </c>
      <c r="Z1119" s="52">
        <f>IF(P1119="","",WEEKDAY(B1119,2))</f>
        <v/>
      </c>
      <c r="AA1119" s="52">
        <f>IF(P1119="","",IF(AND(P1119="Gasto",X1119="Variable",D1119&lt;&gt;catTrading,S1119&gt;0,S1119&lt;=Umbral),1,0))</f>
        <v/>
      </c>
      <c r="AB1119" s="52">
        <f>IF(OR(P1119="",Q1119=""),"",IFERROR(IF(INDEX(ctaVinc,MATCH(Q1119,ctaNombre,0))&amp;""&lt;&gt;"",INDEX(ctaVinc,MATCH(Q1119,ctaNombre,0))&amp;"",Q1119),Q1119))</f>
        <v/>
      </c>
      <c r="AC1119" s="52">
        <f>IF(OR(K1119="",AND(P1119&lt;&gt;"Transferencia",P1119&lt;&gt;"Pago tarjeta")),"",IFERROR(IF(INDEX(ctaVinc,MATCH(K1119,ctaNombre,0))&amp;""&lt;&gt;"",INDEX(ctaVinc,MATCH(K1119,ctaNombre,0))&amp;"",K1119),K1119))</f>
        <v/>
      </c>
      <c r="AD1119" s="52">
        <f>IF(AB1119="","",IFERROR(INDEX(ctaTipo,MATCH(AB1119,ctaNombre,0))&amp;"",""))</f>
        <v/>
      </c>
      <c r="AE1119" s="52">
        <f>IF(AC1119="","",IFERROR(INDEX(ctaTipo,MATCH(AC1119,ctaNombre,0))&amp;"",""))</f>
        <v/>
      </c>
      <c r="AF1119" s="53">
        <f>IF(OR(P1119="",AB1119=""),"",IF(OR(P1119="Gasto",P1119="Transferencia",P1119="Pago tarjeta"),-1,1)*IF(IFERROR(INDEX(ctaMoneda,MATCH(AB1119,ctaNombre,0))&amp;"","DOP")="USD",T1119,S1119))</f>
        <v/>
      </c>
      <c r="AG1119" s="53">
        <f>IF(AC1119="","",IF(IFERROR(INDEX(ctaMoneda,MATCH(AC1119,ctaNombre,0))&amp;"","DOP")="USD",T1119,S1119))</f>
        <v/>
      </c>
      <c r="AH1119" s="53">
        <f>IF(P1119="","",IF(AND(AD1119&lt;&gt;"",COUNTIFS(tcTipo,AD1119,tcLiq,"Sí")&gt;0),IF(OR(P1119="Gasto",P1119="Transferencia",P1119="Pago tarjeta"),-1,1)*S1119,0)+IF(AND(AE1119&lt;&gt;"",COUNTIFS(tcTipo,AE1119,tcLiq,"Sí")&gt;0),S1119,0))</f>
        <v/>
      </c>
      <c r="AI1119" s="52">
        <f>IF(OR(L1119="",P1119=""),"",IF(COUNTIFS(L$6:L1119,L1119,P$6:P1119,"?*")=1,MAX(AI$5:AI1118)+1,""))</f>
        <v/>
      </c>
    </row>
    <row r="1120">
      <c r="B1120" s="47" t="n"/>
      <c r="C1120" s="48" t="n"/>
      <c r="D1120" s="48" t="n"/>
      <c r="E1120" s="48" t="n"/>
      <c r="F1120" s="48" t="n"/>
      <c r="G1120" s="49" t="n"/>
      <c r="H1120" s="48" t="n"/>
      <c r="I1120" s="50" t="n"/>
      <c r="J1120" s="48" t="n"/>
      <c r="K1120" s="48" t="n"/>
      <c r="L1120" s="48" t="n"/>
      <c r="M1120" s="48" t="n"/>
      <c r="N1120" s="48" t="n"/>
      <c r="O1120" s="51">
        <f>IF(AND(B1120="",G1120="",C1120="",D1120="",J1120=""),"",IF(B1120="","⚠ Falta fecha",IF(G1120="","⚠ Falta monto",IF(Q1120="","⚠ Falta cuenta",IF(ISNA(MATCH(Q1120,ctaNombre,0)),"⚠ Cuenta no registrada",IF(AND(OR(P1120="Gasto",P1120="Reembolso"),D1120=""),"⚠ Falta categoría",IF(AND(D1120&lt;&gt;"",E1120&lt;&gt;"",ISNA(MATCH(D1120&amp;"|"&amp;E1120,catClave,0))),"⚠ Subcategoría no corresponde",IF(AND(OR(P1120="Transferencia",P1120="Pago tarjeta"),K1120=""),"⚠ Falta cuenta destino",IF(AND(K1120&lt;&gt;"",P1120&lt;&gt;"Transferencia",P1120&lt;&gt;"Pago tarjeta"),"⚠ Destino solo aplica a transferencias",IF(AND(K1120&lt;&gt;"",K1120=Q1120),"⚠ Origen igual a destino",IF(AND(K1120&lt;&gt;"",ISNA(MATCH(K1120,ctaNombre,0))),"⚠ Destino no registrado",IF(AND(P1120="Pago tarjeta",AE1120&lt;&gt;"Tarjeta de crédito"),"⚠ El destino debe ser tarjeta de crédito",IF(AND(P1120="Gasto",E1120="Depósitos y retiros"),"⚠ Usa tipo Transferencia",IF(AND(P1120="Resultado trading",AD1120&lt;&gt;"Cuenta de trading"),"⚠ Usa una cuenta de trading",IF(AND(G1120&lt;=0,P1120&lt;&gt;"Ajuste",P1120&lt;&gt;"Resultado trading"),"⚠ El monto debe ser positivo","✓")))))))))))))))</f>
        <v/>
      </c>
      <c r="P1120" s="52">
        <f>IF(OR(B1120="",G1120=""),"",IF(C1120="","Gasto",C1120))</f>
        <v/>
      </c>
      <c r="Q1120" s="52">
        <f>IF(P1120="","",IF(J1120&lt;&gt;"",J1120,CuentaPred&amp;""))</f>
        <v/>
      </c>
      <c r="R1120" s="52">
        <f>IF(P1120="","",IF(ISNUMBER(I1120),I1120,TasaUSD))</f>
        <v/>
      </c>
      <c r="S1120" s="53">
        <f>IF(P1120="","",IF(H1120="USD",G1120*R1120,G1120))</f>
        <v/>
      </c>
      <c r="T1120" s="53">
        <f>IF(P1120="","",IF(H1120="USD",G1120,IF(R1120&gt;0,G1120/R1120,0)))</f>
        <v/>
      </c>
      <c r="U1120" s="53">
        <f>IF(P1120="","",IF(P1120="Gasto",S1120,IF(P1120="Reembolso",-S1120,0)))</f>
        <v/>
      </c>
      <c r="V1120" s="53">
        <f>IF(P1120="","",IF(P1120="Ingreso",S1120,0))</f>
        <v/>
      </c>
      <c r="W1120" s="53">
        <f>IF(P1120="","",IF(P1120="Resultado trading",S1120,0))</f>
        <v/>
      </c>
      <c r="X1120" s="52">
        <f>IF(OR(P1120="Gasto",P1120="Reembolso"),IF(M1120&lt;&gt;"",M1120,IFERROR(INDEX(catClasif,MATCH(D1120&amp;"|"&amp;E1120,catClave,0))&amp;"","Variable")),"")</f>
        <v/>
      </c>
      <c r="Y1120" s="52">
        <f>IF(P1120="","",IFERROR(INDEX(catGrupo,MATCH(D1120&amp;"|"&amp;E1120,catClave,0))&amp;"",""))</f>
        <v/>
      </c>
      <c r="Z1120" s="52">
        <f>IF(P1120="","",WEEKDAY(B1120,2))</f>
        <v/>
      </c>
      <c r="AA1120" s="52">
        <f>IF(P1120="","",IF(AND(P1120="Gasto",X1120="Variable",D1120&lt;&gt;catTrading,S1120&gt;0,S1120&lt;=Umbral),1,0))</f>
        <v/>
      </c>
      <c r="AB1120" s="52">
        <f>IF(OR(P1120="",Q1120=""),"",IFERROR(IF(INDEX(ctaVinc,MATCH(Q1120,ctaNombre,0))&amp;""&lt;&gt;"",INDEX(ctaVinc,MATCH(Q1120,ctaNombre,0))&amp;"",Q1120),Q1120))</f>
        <v/>
      </c>
      <c r="AC1120" s="52">
        <f>IF(OR(K1120="",AND(P1120&lt;&gt;"Transferencia",P1120&lt;&gt;"Pago tarjeta")),"",IFERROR(IF(INDEX(ctaVinc,MATCH(K1120,ctaNombre,0))&amp;""&lt;&gt;"",INDEX(ctaVinc,MATCH(K1120,ctaNombre,0))&amp;"",K1120),K1120))</f>
        <v/>
      </c>
      <c r="AD1120" s="52">
        <f>IF(AB1120="","",IFERROR(INDEX(ctaTipo,MATCH(AB1120,ctaNombre,0))&amp;"",""))</f>
        <v/>
      </c>
      <c r="AE1120" s="52">
        <f>IF(AC1120="","",IFERROR(INDEX(ctaTipo,MATCH(AC1120,ctaNombre,0))&amp;"",""))</f>
        <v/>
      </c>
      <c r="AF1120" s="53">
        <f>IF(OR(P1120="",AB1120=""),"",IF(OR(P1120="Gasto",P1120="Transferencia",P1120="Pago tarjeta"),-1,1)*IF(IFERROR(INDEX(ctaMoneda,MATCH(AB1120,ctaNombre,0))&amp;"","DOP")="USD",T1120,S1120))</f>
        <v/>
      </c>
      <c r="AG1120" s="53">
        <f>IF(AC1120="","",IF(IFERROR(INDEX(ctaMoneda,MATCH(AC1120,ctaNombre,0))&amp;"","DOP")="USD",T1120,S1120))</f>
        <v/>
      </c>
      <c r="AH1120" s="53">
        <f>IF(P1120="","",IF(AND(AD1120&lt;&gt;"",COUNTIFS(tcTipo,AD1120,tcLiq,"Sí")&gt;0),IF(OR(P1120="Gasto",P1120="Transferencia",P1120="Pago tarjeta"),-1,1)*S1120,0)+IF(AND(AE1120&lt;&gt;"",COUNTIFS(tcTipo,AE1120,tcLiq,"Sí")&gt;0),S1120,0))</f>
        <v/>
      </c>
      <c r="AI1120" s="52">
        <f>IF(OR(L1120="",P1120=""),"",IF(COUNTIFS(L$6:L1120,L1120,P$6:P1120,"?*")=1,MAX(AI$5:AI1119)+1,""))</f>
        <v/>
      </c>
    </row>
    <row r="1121">
      <c r="B1121" s="47" t="n"/>
      <c r="C1121" s="48" t="n"/>
      <c r="D1121" s="48" t="n"/>
      <c r="E1121" s="48" t="n"/>
      <c r="F1121" s="48" t="n"/>
      <c r="G1121" s="49" t="n"/>
      <c r="H1121" s="48" t="n"/>
      <c r="I1121" s="50" t="n"/>
      <c r="J1121" s="48" t="n"/>
      <c r="K1121" s="48" t="n"/>
      <c r="L1121" s="48" t="n"/>
      <c r="M1121" s="48" t="n"/>
      <c r="N1121" s="48" t="n"/>
      <c r="O1121" s="51">
        <f>IF(AND(B1121="",G1121="",C1121="",D1121="",J1121=""),"",IF(B1121="","⚠ Falta fecha",IF(G1121="","⚠ Falta monto",IF(Q1121="","⚠ Falta cuenta",IF(ISNA(MATCH(Q1121,ctaNombre,0)),"⚠ Cuenta no registrada",IF(AND(OR(P1121="Gasto",P1121="Reembolso"),D1121=""),"⚠ Falta categoría",IF(AND(D1121&lt;&gt;"",E1121&lt;&gt;"",ISNA(MATCH(D1121&amp;"|"&amp;E1121,catClave,0))),"⚠ Subcategoría no corresponde",IF(AND(OR(P1121="Transferencia",P1121="Pago tarjeta"),K1121=""),"⚠ Falta cuenta destino",IF(AND(K1121&lt;&gt;"",P1121&lt;&gt;"Transferencia",P1121&lt;&gt;"Pago tarjeta"),"⚠ Destino solo aplica a transferencias",IF(AND(K1121&lt;&gt;"",K1121=Q1121),"⚠ Origen igual a destino",IF(AND(K1121&lt;&gt;"",ISNA(MATCH(K1121,ctaNombre,0))),"⚠ Destino no registrado",IF(AND(P1121="Pago tarjeta",AE1121&lt;&gt;"Tarjeta de crédito"),"⚠ El destino debe ser tarjeta de crédito",IF(AND(P1121="Gasto",E1121="Depósitos y retiros"),"⚠ Usa tipo Transferencia",IF(AND(P1121="Resultado trading",AD1121&lt;&gt;"Cuenta de trading"),"⚠ Usa una cuenta de trading",IF(AND(G1121&lt;=0,P1121&lt;&gt;"Ajuste",P1121&lt;&gt;"Resultado trading"),"⚠ El monto debe ser positivo","✓")))))))))))))))</f>
        <v/>
      </c>
      <c r="P1121" s="52">
        <f>IF(OR(B1121="",G1121=""),"",IF(C1121="","Gasto",C1121))</f>
        <v/>
      </c>
      <c r="Q1121" s="52">
        <f>IF(P1121="","",IF(J1121&lt;&gt;"",J1121,CuentaPred&amp;""))</f>
        <v/>
      </c>
      <c r="R1121" s="52">
        <f>IF(P1121="","",IF(ISNUMBER(I1121),I1121,TasaUSD))</f>
        <v/>
      </c>
      <c r="S1121" s="53">
        <f>IF(P1121="","",IF(H1121="USD",G1121*R1121,G1121))</f>
        <v/>
      </c>
      <c r="T1121" s="53">
        <f>IF(P1121="","",IF(H1121="USD",G1121,IF(R1121&gt;0,G1121/R1121,0)))</f>
        <v/>
      </c>
      <c r="U1121" s="53">
        <f>IF(P1121="","",IF(P1121="Gasto",S1121,IF(P1121="Reembolso",-S1121,0)))</f>
        <v/>
      </c>
      <c r="V1121" s="53">
        <f>IF(P1121="","",IF(P1121="Ingreso",S1121,0))</f>
        <v/>
      </c>
      <c r="W1121" s="53">
        <f>IF(P1121="","",IF(P1121="Resultado trading",S1121,0))</f>
        <v/>
      </c>
      <c r="X1121" s="52">
        <f>IF(OR(P1121="Gasto",P1121="Reembolso"),IF(M1121&lt;&gt;"",M1121,IFERROR(INDEX(catClasif,MATCH(D1121&amp;"|"&amp;E1121,catClave,0))&amp;"","Variable")),"")</f>
        <v/>
      </c>
      <c r="Y1121" s="52">
        <f>IF(P1121="","",IFERROR(INDEX(catGrupo,MATCH(D1121&amp;"|"&amp;E1121,catClave,0))&amp;"",""))</f>
        <v/>
      </c>
      <c r="Z1121" s="52">
        <f>IF(P1121="","",WEEKDAY(B1121,2))</f>
        <v/>
      </c>
      <c r="AA1121" s="52">
        <f>IF(P1121="","",IF(AND(P1121="Gasto",X1121="Variable",D1121&lt;&gt;catTrading,S1121&gt;0,S1121&lt;=Umbral),1,0))</f>
        <v/>
      </c>
      <c r="AB1121" s="52">
        <f>IF(OR(P1121="",Q1121=""),"",IFERROR(IF(INDEX(ctaVinc,MATCH(Q1121,ctaNombre,0))&amp;""&lt;&gt;"",INDEX(ctaVinc,MATCH(Q1121,ctaNombre,0))&amp;"",Q1121),Q1121))</f>
        <v/>
      </c>
      <c r="AC1121" s="52">
        <f>IF(OR(K1121="",AND(P1121&lt;&gt;"Transferencia",P1121&lt;&gt;"Pago tarjeta")),"",IFERROR(IF(INDEX(ctaVinc,MATCH(K1121,ctaNombre,0))&amp;""&lt;&gt;"",INDEX(ctaVinc,MATCH(K1121,ctaNombre,0))&amp;"",K1121),K1121))</f>
        <v/>
      </c>
      <c r="AD1121" s="52">
        <f>IF(AB1121="","",IFERROR(INDEX(ctaTipo,MATCH(AB1121,ctaNombre,0))&amp;"",""))</f>
        <v/>
      </c>
      <c r="AE1121" s="52">
        <f>IF(AC1121="","",IFERROR(INDEX(ctaTipo,MATCH(AC1121,ctaNombre,0))&amp;"",""))</f>
        <v/>
      </c>
      <c r="AF1121" s="53">
        <f>IF(OR(P1121="",AB1121=""),"",IF(OR(P1121="Gasto",P1121="Transferencia",P1121="Pago tarjeta"),-1,1)*IF(IFERROR(INDEX(ctaMoneda,MATCH(AB1121,ctaNombre,0))&amp;"","DOP")="USD",T1121,S1121))</f>
        <v/>
      </c>
      <c r="AG1121" s="53">
        <f>IF(AC1121="","",IF(IFERROR(INDEX(ctaMoneda,MATCH(AC1121,ctaNombre,0))&amp;"","DOP")="USD",T1121,S1121))</f>
        <v/>
      </c>
      <c r="AH1121" s="53">
        <f>IF(P1121="","",IF(AND(AD1121&lt;&gt;"",COUNTIFS(tcTipo,AD1121,tcLiq,"Sí")&gt;0),IF(OR(P1121="Gasto",P1121="Transferencia",P1121="Pago tarjeta"),-1,1)*S1121,0)+IF(AND(AE1121&lt;&gt;"",COUNTIFS(tcTipo,AE1121,tcLiq,"Sí")&gt;0),S1121,0))</f>
        <v/>
      </c>
      <c r="AI1121" s="52">
        <f>IF(OR(L1121="",P1121=""),"",IF(COUNTIFS(L$6:L1121,L1121,P$6:P1121,"?*")=1,MAX(AI$5:AI1120)+1,""))</f>
        <v/>
      </c>
    </row>
    <row r="1122">
      <c r="B1122" s="47" t="n"/>
      <c r="C1122" s="48" t="n"/>
      <c r="D1122" s="48" t="n"/>
      <c r="E1122" s="48" t="n"/>
      <c r="F1122" s="48" t="n"/>
      <c r="G1122" s="49" t="n"/>
      <c r="H1122" s="48" t="n"/>
      <c r="I1122" s="50" t="n"/>
      <c r="J1122" s="48" t="n"/>
      <c r="K1122" s="48" t="n"/>
      <c r="L1122" s="48" t="n"/>
      <c r="M1122" s="48" t="n"/>
      <c r="N1122" s="48" t="n"/>
      <c r="O1122" s="51">
        <f>IF(AND(B1122="",G1122="",C1122="",D1122="",J1122=""),"",IF(B1122="","⚠ Falta fecha",IF(G1122="","⚠ Falta monto",IF(Q1122="","⚠ Falta cuenta",IF(ISNA(MATCH(Q1122,ctaNombre,0)),"⚠ Cuenta no registrada",IF(AND(OR(P1122="Gasto",P1122="Reembolso"),D1122=""),"⚠ Falta categoría",IF(AND(D1122&lt;&gt;"",E1122&lt;&gt;"",ISNA(MATCH(D1122&amp;"|"&amp;E1122,catClave,0))),"⚠ Subcategoría no corresponde",IF(AND(OR(P1122="Transferencia",P1122="Pago tarjeta"),K1122=""),"⚠ Falta cuenta destino",IF(AND(K1122&lt;&gt;"",P1122&lt;&gt;"Transferencia",P1122&lt;&gt;"Pago tarjeta"),"⚠ Destino solo aplica a transferencias",IF(AND(K1122&lt;&gt;"",K1122=Q1122),"⚠ Origen igual a destino",IF(AND(K1122&lt;&gt;"",ISNA(MATCH(K1122,ctaNombre,0))),"⚠ Destino no registrado",IF(AND(P1122="Pago tarjeta",AE1122&lt;&gt;"Tarjeta de crédito"),"⚠ El destino debe ser tarjeta de crédito",IF(AND(P1122="Gasto",E1122="Depósitos y retiros"),"⚠ Usa tipo Transferencia",IF(AND(P1122="Resultado trading",AD1122&lt;&gt;"Cuenta de trading"),"⚠ Usa una cuenta de trading",IF(AND(G1122&lt;=0,P1122&lt;&gt;"Ajuste",P1122&lt;&gt;"Resultado trading"),"⚠ El monto debe ser positivo","✓")))))))))))))))</f>
        <v/>
      </c>
      <c r="P1122" s="52">
        <f>IF(OR(B1122="",G1122=""),"",IF(C1122="","Gasto",C1122))</f>
        <v/>
      </c>
      <c r="Q1122" s="52">
        <f>IF(P1122="","",IF(J1122&lt;&gt;"",J1122,CuentaPred&amp;""))</f>
        <v/>
      </c>
      <c r="R1122" s="52">
        <f>IF(P1122="","",IF(ISNUMBER(I1122),I1122,TasaUSD))</f>
        <v/>
      </c>
      <c r="S1122" s="53">
        <f>IF(P1122="","",IF(H1122="USD",G1122*R1122,G1122))</f>
        <v/>
      </c>
      <c r="T1122" s="53">
        <f>IF(P1122="","",IF(H1122="USD",G1122,IF(R1122&gt;0,G1122/R1122,0)))</f>
        <v/>
      </c>
      <c r="U1122" s="53">
        <f>IF(P1122="","",IF(P1122="Gasto",S1122,IF(P1122="Reembolso",-S1122,0)))</f>
        <v/>
      </c>
      <c r="V1122" s="53">
        <f>IF(P1122="","",IF(P1122="Ingreso",S1122,0))</f>
        <v/>
      </c>
      <c r="W1122" s="53">
        <f>IF(P1122="","",IF(P1122="Resultado trading",S1122,0))</f>
        <v/>
      </c>
      <c r="X1122" s="52">
        <f>IF(OR(P1122="Gasto",P1122="Reembolso"),IF(M1122&lt;&gt;"",M1122,IFERROR(INDEX(catClasif,MATCH(D1122&amp;"|"&amp;E1122,catClave,0))&amp;"","Variable")),"")</f>
        <v/>
      </c>
      <c r="Y1122" s="52">
        <f>IF(P1122="","",IFERROR(INDEX(catGrupo,MATCH(D1122&amp;"|"&amp;E1122,catClave,0))&amp;"",""))</f>
        <v/>
      </c>
      <c r="Z1122" s="52">
        <f>IF(P1122="","",WEEKDAY(B1122,2))</f>
        <v/>
      </c>
      <c r="AA1122" s="52">
        <f>IF(P1122="","",IF(AND(P1122="Gasto",X1122="Variable",D1122&lt;&gt;catTrading,S1122&gt;0,S1122&lt;=Umbral),1,0))</f>
        <v/>
      </c>
      <c r="AB1122" s="52">
        <f>IF(OR(P1122="",Q1122=""),"",IFERROR(IF(INDEX(ctaVinc,MATCH(Q1122,ctaNombre,0))&amp;""&lt;&gt;"",INDEX(ctaVinc,MATCH(Q1122,ctaNombre,0))&amp;"",Q1122),Q1122))</f>
        <v/>
      </c>
      <c r="AC1122" s="52">
        <f>IF(OR(K1122="",AND(P1122&lt;&gt;"Transferencia",P1122&lt;&gt;"Pago tarjeta")),"",IFERROR(IF(INDEX(ctaVinc,MATCH(K1122,ctaNombre,0))&amp;""&lt;&gt;"",INDEX(ctaVinc,MATCH(K1122,ctaNombre,0))&amp;"",K1122),K1122))</f>
        <v/>
      </c>
      <c r="AD1122" s="52">
        <f>IF(AB1122="","",IFERROR(INDEX(ctaTipo,MATCH(AB1122,ctaNombre,0))&amp;"",""))</f>
        <v/>
      </c>
      <c r="AE1122" s="52">
        <f>IF(AC1122="","",IFERROR(INDEX(ctaTipo,MATCH(AC1122,ctaNombre,0))&amp;"",""))</f>
        <v/>
      </c>
      <c r="AF1122" s="53">
        <f>IF(OR(P1122="",AB1122=""),"",IF(OR(P1122="Gasto",P1122="Transferencia",P1122="Pago tarjeta"),-1,1)*IF(IFERROR(INDEX(ctaMoneda,MATCH(AB1122,ctaNombre,0))&amp;"","DOP")="USD",T1122,S1122))</f>
        <v/>
      </c>
      <c r="AG1122" s="53">
        <f>IF(AC1122="","",IF(IFERROR(INDEX(ctaMoneda,MATCH(AC1122,ctaNombre,0))&amp;"","DOP")="USD",T1122,S1122))</f>
        <v/>
      </c>
      <c r="AH1122" s="53">
        <f>IF(P1122="","",IF(AND(AD1122&lt;&gt;"",COUNTIFS(tcTipo,AD1122,tcLiq,"Sí")&gt;0),IF(OR(P1122="Gasto",P1122="Transferencia",P1122="Pago tarjeta"),-1,1)*S1122,0)+IF(AND(AE1122&lt;&gt;"",COUNTIFS(tcTipo,AE1122,tcLiq,"Sí")&gt;0),S1122,0))</f>
        <v/>
      </c>
      <c r="AI1122" s="52">
        <f>IF(OR(L1122="",P1122=""),"",IF(COUNTIFS(L$6:L1122,L1122,P$6:P1122,"?*")=1,MAX(AI$5:AI1121)+1,""))</f>
        <v/>
      </c>
    </row>
    <row r="1123">
      <c r="B1123" s="47" t="n"/>
      <c r="C1123" s="48" t="n"/>
      <c r="D1123" s="48" t="n"/>
      <c r="E1123" s="48" t="n"/>
      <c r="F1123" s="48" t="n"/>
      <c r="G1123" s="49" t="n"/>
      <c r="H1123" s="48" t="n"/>
      <c r="I1123" s="50" t="n"/>
      <c r="J1123" s="48" t="n"/>
      <c r="K1123" s="48" t="n"/>
      <c r="L1123" s="48" t="n"/>
      <c r="M1123" s="48" t="n"/>
      <c r="N1123" s="48" t="n"/>
      <c r="O1123" s="51">
        <f>IF(AND(B1123="",G1123="",C1123="",D1123="",J1123=""),"",IF(B1123="","⚠ Falta fecha",IF(G1123="","⚠ Falta monto",IF(Q1123="","⚠ Falta cuenta",IF(ISNA(MATCH(Q1123,ctaNombre,0)),"⚠ Cuenta no registrada",IF(AND(OR(P1123="Gasto",P1123="Reembolso"),D1123=""),"⚠ Falta categoría",IF(AND(D1123&lt;&gt;"",E1123&lt;&gt;"",ISNA(MATCH(D1123&amp;"|"&amp;E1123,catClave,0))),"⚠ Subcategoría no corresponde",IF(AND(OR(P1123="Transferencia",P1123="Pago tarjeta"),K1123=""),"⚠ Falta cuenta destino",IF(AND(K1123&lt;&gt;"",P1123&lt;&gt;"Transferencia",P1123&lt;&gt;"Pago tarjeta"),"⚠ Destino solo aplica a transferencias",IF(AND(K1123&lt;&gt;"",K1123=Q1123),"⚠ Origen igual a destino",IF(AND(K1123&lt;&gt;"",ISNA(MATCH(K1123,ctaNombre,0))),"⚠ Destino no registrado",IF(AND(P1123="Pago tarjeta",AE1123&lt;&gt;"Tarjeta de crédito"),"⚠ El destino debe ser tarjeta de crédito",IF(AND(P1123="Gasto",E1123="Depósitos y retiros"),"⚠ Usa tipo Transferencia",IF(AND(P1123="Resultado trading",AD1123&lt;&gt;"Cuenta de trading"),"⚠ Usa una cuenta de trading",IF(AND(G1123&lt;=0,P1123&lt;&gt;"Ajuste",P1123&lt;&gt;"Resultado trading"),"⚠ El monto debe ser positivo","✓")))))))))))))))</f>
        <v/>
      </c>
      <c r="P1123" s="52">
        <f>IF(OR(B1123="",G1123=""),"",IF(C1123="","Gasto",C1123))</f>
        <v/>
      </c>
      <c r="Q1123" s="52">
        <f>IF(P1123="","",IF(J1123&lt;&gt;"",J1123,CuentaPred&amp;""))</f>
        <v/>
      </c>
      <c r="R1123" s="52">
        <f>IF(P1123="","",IF(ISNUMBER(I1123),I1123,TasaUSD))</f>
        <v/>
      </c>
      <c r="S1123" s="53">
        <f>IF(P1123="","",IF(H1123="USD",G1123*R1123,G1123))</f>
        <v/>
      </c>
      <c r="T1123" s="53">
        <f>IF(P1123="","",IF(H1123="USD",G1123,IF(R1123&gt;0,G1123/R1123,0)))</f>
        <v/>
      </c>
      <c r="U1123" s="53">
        <f>IF(P1123="","",IF(P1123="Gasto",S1123,IF(P1123="Reembolso",-S1123,0)))</f>
        <v/>
      </c>
      <c r="V1123" s="53">
        <f>IF(P1123="","",IF(P1123="Ingreso",S1123,0))</f>
        <v/>
      </c>
      <c r="W1123" s="53">
        <f>IF(P1123="","",IF(P1123="Resultado trading",S1123,0))</f>
        <v/>
      </c>
      <c r="X1123" s="52">
        <f>IF(OR(P1123="Gasto",P1123="Reembolso"),IF(M1123&lt;&gt;"",M1123,IFERROR(INDEX(catClasif,MATCH(D1123&amp;"|"&amp;E1123,catClave,0))&amp;"","Variable")),"")</f>
        <v/>
      </c>
      <c r="Y1123" s="52">
        <f>IF(P1123="","",IFERROR(INDEX(catGrupo,MATCH(D1123&amp;"|"&amp;E1123,catClave,0))&amp;"",""))</f>
        <v/>
      </c>
      <c r="Z1123" s="52">
        <f>IF(P1123="","",WEEKDAY(B1123,2))</f>
        <v/>
      </c>
      <c r="AA1123" s="52">
        <f>IF(P1123="","",IF(AND(P1123="Gasto",X1123="Variable",D1123&lt;&gt;catTrading,S1123&gt;0,S1123&lt;=Umbral),1,0))</f>
        <v/>
      </c>
      <c r="AB1123" s="52">
        <f>IF(OR(P1123="",Q1123=""),"",IFERROR(IF(INDEX(ctaVinc,MATCH(Q1123,ctaNombre,0))&amp;""&lt;&gt;"",INDEX(ctaVinc,MATCH(Q1123,ctaNombre,0))&amp;"",Q1123),Q1123))</f>
        <v/>
      </c>
      <c r="AC1123" s="52">
        <f>IF(OR(K1123="",AND(P1123&lt;&gt;"Transferencia",P1123&lt;&gt;"Pago tarjeta")),"",IFERROR(IF(INDEX(ctaVinc,MATCH(K1123,ctaNombre,0))&amp;""&lt;&gt;"",INDEX(ctaVinc,MATCH(K1123,ctaNombre,0))&amp;"",K1123),K1123))</f>
        <v/>
      </c>
      <c r="AD1123" s="52">
        <f>IF(AB1123="","",IFERROR(INDEX(ctaTipo,MATCH(AB1123,ctaNombre,0))&amp;"",""))</f>
        <v/>
      </c>
      <c r="AE1123" s="52">
        <f>IF(AC1123="","",IFERROR(INDEX(ctaTipo,MATCH(AC1123,ctaNombre,0))&amp;"",""))</f>
        <v/>
      </c>
      <c r="AF1123" s="53">
        <f>IF(OR(P1123="",AB1123=""),"",IF(OR(P1123="Gasto",P1123="Transferencia",P1123="Pago tarjeta"),-1,1)*IF(IFERROR(INDEX(ctaMoneda,MATCH(AB1123,ctaNombre,0))&amp;"","DOP")="USD",T1123,S1123))</f>
        <v/>
      </c>
      <c r="AG1123" s="53">
        <f>IF(AC1123="","",IF(IFERROR(INDEX(ctaMoneda,MATCH(AC1123,ctaNombre,0))&amp;"","DOP")="USD",T1123,S1123))</f>
        <v/>
      </c>
      <c r="AH1123" s="53">
        <f>IF(P1123="","",IF(AND(AD1123&lt;&gt;"",COUNTIFS(tcTipo,AD1123,tcLiq,"Sí")&gt;0),IF(OR(P1123="Gasto",P1123="Transferencia",P1123="Pago tarjeta"),-1,1)*S1123,0)+IF(AND(AE1123&lt;&gt;"",COUNTIFS(tcTipo,AE1123,tcLiq,"Sí")&gt;0),S1123,0))</f>
        <v/>
      </c>
      <c r="AI1123" s="52">
        <f>IF(OR(L1123="",P1123=""),"",IF(COUNTIFS(L$6:L1123,L1123,P$6:P1123,"?*")=1,MAX(AI$5:AI1122)+1,""))</f>
        <v/>
      </c>
    </row>
    <row r="1124">
      <c r="B1124" s="47" t="n"/>
      <c r="C1124" s="48" t="n"/>
      <c r="D1124" s="48" t="n"/>
      <c r="E1124" s="48" t="n"/>
      <c r="F1124" s="48" t="n"/>
      <c r="G1124" s="49" t="n"/>
      <c r="H1124" s="48" t="n"/>
      <c r="I1124" s="50" t="n"/>
      <c r="J1124" s="48" t="n"/>
      <c r="K1124" s="48" t="n"/>
      <c r="L1124" s="48" t="n"/>
      <c r="M1124" s="48" t="n"/>
      <c r="N1124" s="48" t="n"/>
      <c r="O1124" s="51">
        <f>IF(AND(B1124="",G1124="",C1124="",D1124="",J1124=""),"",IF(B1124="","⚠ Falta fecha",IF(G1124="","⚠ Falta monto",IF(Q1124="","⚠ Falta cuenta",IF(ISNA(MATCH(Q1124,ctaNombre,0)),"⚠ Cuenta no registrada",IF(AND(OR(P1124="Gasto",P1124="Reembolso"),D1124=""),"⚠ Falta categoría",IF(AND(D1124&lt;&gt;"",E1124&lt;&gt;"",ISNA(MATCH(D1124&amp;"|"&amp;E1124,catClave,0))),"⚠ Subcategoría no corresponde",IF(AND(OR(P1124="Transferencia",P1124="Pago tarjeta"),K1124=""),"⚠ Falta cuenta destino",IF(AND(K1124&lt;&gt;"",P1124&lt;&gt;"Transferencia",P1124&lt;&gt;"Pago tarjeta"),"⚠ Destino solo aplica a transferencias",IF(AND(K1124&lt;&gt;"",K1124=Q1124),"⚠ Origen igual a destino",IF(AND(K1124&lt;&gt;"",ISNA(MATCH(K1124,ctaNombre,0))),"⚠ Destino no registrado",IF(AND(P1124="Pago tarjeta",AE1124&lt;&gt;"Tarjeta de crédito"),"⚠ El destino debe ser tarjeta de crédito",IF(AND(P1124="Gasto",E1124="Depósitos y retiros"),"⚠ Usa tipo Transferencia",IF(AND(P1124="Resultado trading",AD1124&lt;&gt;"Cuenta de trading"),"⚠ Usa una cuenta de trading",IF(AND(G1124&lt;=0,P1124&lt;&gt;"Ajuste",P1124&lt;&gt;"Resultado trading"),"⚠ El monto debe ser positivo","✓")))))))))))))))</f>
        <v/>
      </c>
      <c r="P1124" s="52">
        <f>IF(OR(B1124="",G1124=""),"",IF(C1124="","Gasto",C1124))</f>
        <v/>
      </c>
      <c r="Q1124" s="52">
        <f>IF(P1124="","",IF(J1124&lt;&gt;"",J1124,CuentaPred&amp;""))</f>
        <v/>
      </c>
      <c r="R1124" s="52">
        <f>IF(P1124="","",IF(ISNUMBER(I1124),I1124,TasaUSD))</f>
        <v/>
      </c>
      <c r="S1124" s="53">
        <f>IF(P1124="","",IF(H1124="USD",G1124*R1124,G1124))</f>
        <v/>
      </c>
      <c r="T1124" s="53">
        <f>IF(P1124="","",IF(H1124="USD",G1124,IF(R1124&gt;0,G1124/R1124,0)))</f>
        <v/>
      </c>
      <c r="U1124" s="53">
        <f>IF(P1124="","",IF(P1124="Gasto",S1124,IF(P1124="Reembolso",-S1124,0)))</f>
        <v/>
      </c>
      <c r="V1124" s="53">
        <f>IF(P1124="","",IF(P1124="Ingreso",S1124,0))</f>
        <v/>
      </c>
      <c r="W1124" s="53">
        <f>IF(P1124="","",IF(P1124="Resultado trading",S1124,0))</f>
        <v/>
      </c>
      <c r="X1124" s="52">
        <f>IF(OR(P1124="Gasto",P1124="Reembolso"),IF(M1124&lt;&gt;"",M1124,IFERROR(INDEX(catClasif,MATCH(D1124&amp;"|"&amp;E1124,catClave,0))&amp;"","Variable")),"")</f>
        <v/>
      </c>
      <c r="Y1124" s="52">
        <f>IF(P1124="","",IFERROR(INDEX(catGrupo,MATCH(D1124&amp;"|"&amp;E1124,catClave,0))&amp;"",""))</f>
        <v/>
      </c>
      <c r="Z1124" s="52">
        <f>IF(P1124="","",WEEKDAY(B1124,2))</f>
        <v/>
      </c>
      <c r="AA1124" s="52">
        <f>IF(P1124="","",IF(AND(P1124="Gasto",X1124="Variable",D1124&lt;&gt;catTrading,S1124&gt;0,S1124&lt;=Umbral),1,0))</f>
        <v/>
      </c>
      <c r="AB1124" s="52">
        <f>IF(OR(P1124="",Q1124=""),"",IFERROR(IF(INDEX(ctaVinc,MATCH(Q1124,ctaNombre,0))&amp;""&lt;&gt;"",INDEX(ctaVinc,MATCH(Q1124,ctaNombre,0))&amp;"",Q1124),Q1124))</f>
        <v/>
      </c>
      <c r="AC1124" s="52">
        <f>IF(OR(K1124="",AND(P1124&lt;&gt;"Transferencia",P1124&lt;&gt;"Pago tarjeta")),"",IFERROR(IF(INDEX(ctaVinc,MATCH(K1124,ctaNombre,0))&amp;""&lt;&gt;"",INDEX(ctaVinc,MATCH(K1124,ctaNombre,0))&amp;"",K1124),K1124))</f>
        <v/>
      </c>
      <c r="AD1124" s="52">
        <f>IF(AB1124="","",IFERROR(INDEX(ctaTipo,MATCH(AB1124,ctaNombre,0))&amp;"",""))</f>
        <v/>
      </c>
      <c r="AE1124" s="52">
        <f>IF(AC1124="","",IFERROR(INDEX(ctaTipo,MATCH(AC1124,ctaNombre,0))&amp;"",""))</f>
        <v/>
      </c>
      <c r="AF1124" s="53">
        <f>IF(OR(P1124="",AB1124=""),"",IF(OR(P1124="Gasto",P1124="Transferencia",P1124="Pago tarjeta"),-1,1)*IF(IFERROR(INDEX(ctaMoneda,MATCH(AB1124,ctaNombre,0))&amp;"","DOP")="USD",T1124,S1124))</f>
        <v/>
      </c>
      <c r="AG1124" s="53">
        <f>IF(AC1124="","",IF(IFERROR(INDEX(ctaMoneda,MATCH(AC1124,ctaNombre,0))&amp;"","DOP")="USD",T1124,S1124))</f>
        <v/>
      </c>
      <c r="AH1124" s="53">
        <f>IF(P1124="","",IF(AND(AD1124&lt;&gt;"",COUNTIFS(tcTipo,AD1124,tcLiq,"Sí")&gt;0),IF(OR(P1124="Gasto",P1124="Transferencia",P1124="Pago tarjeta"),-1,1)*S1124,0)+IF(AND(AE1124&lt;&gt;"",COUNTIFS(tcTipo,AE1124,tcLiq,"Sí")&gt;0),S1124,0))</f>
        <v/>
      </c>
      <c r="AI1124" s="52">
        <f>IF(OR(L1124="",P1124=""),"",IF(COUNTIFS(L$6:L1124,L1124,P$6:P1124,"?*")=1,MAX(AI$5:AI1123)+1,""))</f>
        <v/>
      </c>
    </row>
    <row r="1125">
      <c r="B1125" s="47" t="n"/>
      <c r="C1125" s="48" t="n"/>
      <c r="D1125" s="48" t="n"/>
      <c r="E1125" s="48" t="n"/>
      <c r="F1125" s="48" t="n"/>
      <c r="G1125" s="49" t="n"/>
      <c r="H1125" s="48" t="n"/>
      <c r="I1125" s="50" t="n"/>
      <c r="J1125" s="48" t="n"/>
      <c r="K1125" s="48" t="n"/>
      <c r="L1125" s="48" t="n"/>
      <c r="M1125" s="48" t="n"/>
      <c r="N1125" s="48" t="n"/>
      <c r="O1125" s="51">
        <f>IF(AND(B1125="",G1125="",C1125="",D1125="",J1125=""),"",IF(B1125="","⚠ Falta fecha",IF(G1125="","⚠ Falta monto",IF(Q1125="","⚠ Falta cuenta",IF(ISNA(MATCH(Q1125,ctaNombre,0)),"⚠ Cuenta no registrada",IF(AND(OR(P1125="Gasto",P1125="Reembolso"),D1125=""),"⚠ Falta categoría",IF(AND(D1125&lt;&gt;"",E1125&lt;&gt;"",ISNA(MATCH(D1125&amp;"|"&amp;E1125,catClave,0))),"⚠ Subcategoría no corresponde",IF(AND(OR(P1125="Transferencia",P1125="Pago tarjeta"),K1125=""),"⚠ Falta cuenta destino",IF(AND(K1125&lt;&gt;"",P1125&lt;&gt;"Transferencia",P1125&lt;&gt;"Pago tarjeta"),"⚠ Destino solo aplica a transferencias",IF(AND(K1125&lt;&gt;"",K1125=Q1125),"⚠ Origen igual a destino",IF(AND(K1125&lt;&gt;"",ISNA(MATCH(K1125,ctaNombre,0))),"⚠ Destino no registrado",IF(AND(P1125="Pago tarjeta",AE1125&lt;&gt;"Tarjeta de crédito"),"⚠ El destino debe ser tarjeta de crédito",IF(AND(P1125="Gasto",E1125="Depósitos y retiros"),"⚠ Usa tipo Transferencia",IF(AND(P1125="Resultado trading",AD1125&lt;&gt;"Cuenta de trading"),"⚠ Usa una cuenta de trading",IF(AND(G1125&lt;=0,P1125&lt;&gt;"Ajuste",P1125&lt;&gt;"Resultado trading"),"⚠ El monto debe ser positivo","✓")))))))))))))))</f>
        <v/>
      </c>
      <c r="P1125" s="52">
        <f>IF(OR(B1125="",G1125=""),"",IF(C1125="","Gasto",C1125))</f>
        <v/>
      </c>
      <c r="Q1125" s="52">
        <f>IF(P1125="","",IF(J1125&lt;&gt;"",J1125,CuentaPred&amp;""))</f>
        <v/>
      </c>
      <c r="R1125" s="52">
        <f>IF(P1125="","",IF(ISNUMBER(I1125),I1125,TasaUSD))</f>
        <v/>
      </c>
      <c r="S1125" s="53">
        <f>IF(P1125="","",IF(H1125="USD",G1125*R1125,G1125))</f>
        <v/>
      </c>
      <c r="T1125" s="53">
        <f>IF(P1125="","",IF(H1125="USD",G1125,IF(R1125&gt;0,G1125/R1125,0)))</f>
        <v/>
      </c>
      <c r="U1125" s="53">
        <f>IF(P1125="","",IF(P1125="Gasto",S1125,IF(P1125="Reembolso",-S1125,0)))</f>
        <v/>
      </c>
      <c r="V1125" s="53">
        <f>IF(P1125="","",IF(P1125="Ingreso",S1125,0))</f>
        <v/>
      </c>
      <c r="W1125" s="53">
        <f>IF(P1125="","",IF(P1125="Resultado trading",S1125,0))</f>
        <v/>
      </c>
      <c r="X1125" s="52">
        <f>IF(OR(P1125="Gasto",P1125="Reembolso"),IF(M1125&lt;&gt;"",M1125,IFERROR(INDEX(catClasif,MATCH(D1125&amp;"|"&amp;E1125,catClave,0))&amp;"","Variable")),"")</f>
        <v/>
      </c>
      <c r="Y1125" s="52">
        <f>IF(P1125="","",IFERROR(INDEX(catGrupo,MATCH(D1125&amp;"|"&amp;E1125,catClave,0))&amp;"",""))</f>
        <v/>
      </c>
      <c r="Z1125" s="52">
        <f>IF(P1125="","",WEEKDAY(B1125,2))</f>
        <v/>
      </c>
      <c r="AA1125" s="52">
        <f>IF(P1125="","",IF(AND(P1125="Gasto",X1125="Variable",D1125&lt;&gt;catTrading,S1125&gt;0,S1125&lt;=Umbral),1,0))</f>
        <v/>
      </c>
      <c r="AB1125" s="52">
        <f>IF(OR(P1125="",Q1125=""),"",IFERROR(IF(INDEX(ctaVinc,MATCH(Q1125,ctaNombre,0))&amp;""&lt;&gt;"",INDEX(ctaVinc,MATCH(Q1125,ctaNombre,0))&amp;"",Q1125),Q1125))</f>
        <v/>
      </c>
      <c r="AC1125" s="52">
        <f>IF(OR(K1125="",AND(P1125&lt;&gt;"Transferencia",P1125&lt;&gt;"Pago tarjeta")),"",IFERROR(IF(INDEX(ctaVinc,MATCH(K1125,ctaNombre,0))&amp;""&lt;&gt;"",INDEX(ctaVinc,MATCH(K1125,ctaNombre,0))&amp;"",K1125),K1125))</f>
        <v/>
      </c>
      <c r="AD1125" s="52">
        <f>IF(AB1125="","",IFERROR(INDEX(ctaTipo,MATCH(AB1125,ctaNombre,0))&amp;"",""))</f>
        <v/>
      </c>
      <c r="AE1125" s="52">
        <f>IF(AC1125="","",IFERROR(INDEX(ctaTipo,MATCH(AC1125,ctaNombre,0))&amp;"",""))</f>
        <v/>
      </c>
      <c r="AF1125" s="53">
        <f>IF(OR(P1125="",AB1125=""),"",IF(OR(P1125="Gasto",P1125="Transferencia",P1125="Pago tarjeta"),-1,1)*IF(IFERROR(INDEX(ctaMoneda,MATCH(AB1125,ctaNombre,0))&amp;"","DOP")="USD",T1125,S1125))</f>
        <v/>
      </c>
      <c r="AG1125" s="53">
        <f>IF(AC1125="","",IF(IFERROR(INDEX(ctaMoneda,MATCH(AC1125,ctaNombre,0))&amp;"","DOP")="USD",T1125,S1125))</f>
        <v/>
      </c>
      <c r="AH1125" s="53">
        <f>IF(P1125="","",IF(AND(AD1125&lt;&gt;"",COUNTIFS(tcTipo,AD1125,tcLiq,"Sí")&gt;0),IF(OR(P1125="Gasto",P1125="Transferencia",P1125="Pago tarjeta"),-1,1)*S1125,0)+IF(AND(AE1125&lt;&gt;"",COUNTIFS(tcTipo,AE1125,tcLiq,"Sí")&gt;0),S1125,0))</f>
        <v/>
      </c>
      <c r="AI1125" s="52">
        <f>IF(OR(L1125="",P1125=""),"",IF(COUNTIFS(L$6:L1125,L1125,P$6:P1125,"?*")=1,MAX(AI$5:AI1124)+1,""))</f>
        <v/>
      </c>
    </row>
    <row r="1126">
      <c r="B1126" s="47" t="n"/>
      <c r="C1126" s="48" t="n"/>
      <c r="D1126" s="48" t="n"/>
      <c r="E1126" s="48" t="n"/>
      <c r="F1126" s="48" t="n"/>
      <c r="G1126" s="49" t="n"/>
      <c r="H1126" s="48" t="n"/>
      <c r="I1126" s="50" t="n"/>
      <c r="J1126" s="48" t="n"/>
      <c r="K1126" s="48" t="n"/>
      <c r="L1126" s="48" t="n"/>
      <c r="M1126" s="48" t="n"/>
      <c r="N1126" s="48" t="n"/>
      <c r="O1126" s="51">
        <f>IF(AND(B1126="",G1126="",C1126="",D1126="",J1126=""),"",IF(B1126="","⚠ Falta fecha",IF(G1126="","⚠ Falta monto",IF(Q1126="","⚠ Falta cuenta",IF(ISNA(MATCH(Q1126,ctaNombre,0)),"⚠ Cuenta no registrada",IF(AND(OR(P1126="Gasto",P1126="Reembolso"),D1126=""),"⚠ Falta categoría",IF(AND(D1126&lt;&gt;"",E1126&lt;&gt;"",ISNA(MATCH(D1126&amp;"|"&amp;E1126,catClave,0))),"⚠ Subcategoría no corresponde",IF(AND(OR(P1126="Transferencia",P1126="Pago tarjeta"),K1126=""),"⚠ Falta cuenta destino",IF(AND(K1126&lt;&gt;"",P1126&lt;&gt;"Transferencia",P1126&lt;&gt;"Pago tarjeta"),"⚠ Destino solo aplica a transferencias",IF(AND(K1126&lt;&gt;"",K1126=Q1126),"⚠ Origen igual a destino",IF(AND(K1126&lt;&gt;"",ISNA(MATCH(K1126,ctaNombre,0))),"⚠ Destino no registrado",IF(AND(P1126="Pago tarjeta",AE1126&lt;&gt;"Tarjeta de crédito"),"⚠ El destino debe ser tarjeta de crédito",IF(AND(P1126="Gasto",E1126="Depósitos y retiros"),"⚠ Usa tipo Transferencia",IF(AND(P1126="Resultado trading",AD1126&lt;&gt;"Cuenta de trading"),"⚠ Usa una cuenta de trading",IF(AND(G1126&lt;=0,P1126&lt;&gt;"Ajuste",P1126&lt;&gt;"Resultado trading"),"⚠ El monto debe ser positivo","✓")))))))))))))))</f>
        <v/>
      </c>
      <c r="P1126" s="52">
        <f>IF(OR(B1126="",G1126=""),"",IF(C1126="","Gasto",C1126))</f>
        <v/>
      </c>
      <c r="Q1126" s="52">
        <f>IF(P1126="","",IF(J1126&lt;&gt;"",J1126,CuentaPred&amp;""))</f>
        <v/>
      </c>
      <c r="R1126" s="52">
        <f>IF(P1126="","",IF(ISNUMBER(I1126),I1126,TasaUSD))</f>
        <v/>
      </c>
      <c r="S1126" s="53">
        <f>IF(P1126="","",IF(H1126="USD",G1126*R1126,G1126))</f>
        <v/>
      </c>
      <c r="T1126" s="53">
        <f>IF(P1126="","",IF(H1126="USD",G1126,IF(R1126&gt;0,G1126/R1126,0)))</f>
        <v/>
      </c>
      <c r="U1126" s="53">
        <f>IF(P1126="","",IF(P1126="Gasto",S1126,IF(P1126="Reembolso",-S1126,0)))</f>
        <v/>
      </c>
      <c r="V1126" s="53">
        <f>IF(P1126="","",IF(P1126="Ingreso",S1126,0))</f>
        <v/>
      </c>
      <c r="W1126" s="53">
        <f>IF(P1126="","",IF(P1126="Resultado trading",S1126,0))</f>
        <v/>
      </c>
      <c r="X1126" s="52">
        <f>IF(OR(P1126="Gasto",P1126="Reembolso"),IF(M1126&lt;&gt;"",M1126,IFERROR(INDEX(catClasif,MATCH(D1126&amp;"|"&amp;E1126,catClave,0))&amp;"","Variable")),"")</f>
        <v/>
      </c>
      <c r="Y1126" s="52">
        <f>IF(P1126="","",IFERROR(INDEX(catGrupo,MATCH(D1126&amp;"|"&amp;E1126,catClave,0))&amp;"",""))</f>
        <v/>
      </c>
      <c r="Z1126" s="52">
        <f>IF(P1126="","",WEEKDAY(B1126,2))</f>
        <v/>
      </c>
      <c r="AA1126" s="52">
        <f>IF(P1126="","",IF(AND(P1126="Gasto",X1126="Variable",D1126&lt;&gt;catTrading,S1126&gt;0,S1126&lt;=Umbral),1,0))</f>
        <v/>
      </c>
      <c r="AB1126" s="52">
        <f>IF(OR(P1126="",Q1126=""),"",IFERROR(IF(INDEX(ctaVinc,MATCH(Q1126,ctaNombre,0))&amp;""&lt;&gt;"",INDEX(ctaVinc,MATCH(Q1126,ctaNombre,0))&amp;"",Q1126),Q1126))</f>
        <v/>
      </c>
      <c r="AC1126" s="52">
        <f>IF(OR(K1126="",AND(P1126&lt;&gt;"Transferencia",P1126&lt;&gt;"Pago tarjeta")),"",IFERROR(IF(INDEX(ctaVinc,MATCH(K1126,ctaNombre,0))&amp;""&lt;&gt;"",INDEX(ctaVinc,MATCH(K1126,ctaNombre,0))&amp;"",K1126),K1126))</f>
        <v/>
      </c>
      <c r="AD1126" s="52">
        <f>IF(AB1126="","",IFERROR(INDEX(ctaTipo,MATCH(AB1126,ctaNombre,0))&amp;"",""))</f>
        <v/>
      </c>
      <c r="AE1126" s="52">
        <f>IF(AC1126="","",IFERROR(INDEX(ctaTipo,MATCH(AC1126,ctaNombre,0))&amp;"",""))</f>
        <v/>
      </c>
      <c r="AF1126" s="53">
        <f>IF(OR(P1126="",AB1126=""),"",IF(OR(P1126="Gasto",P1126="Transferencia",P1126="Pago tarjeta"),-1,1)*IF(IFERROR(INDEX(ctaMoneda,MATCH(AB1126,ctaNombre,0))&amp;"","DOP")="USD",T1126,S1126))</f>
        <v/>
      </c>
      <c r="AG1126" s="53">
        <f>IF(AC1126="","",IF(IFERROR(INDEX(ctaMoneda,MATCH(AC1126,ctaNombre,0))&amp;"","DOP")="USD",T1126,S1126))</f>
        <v/>
      </c>
      <c r="AH1126" s="53">
        <f>IF(P1126="","",IF(AND(AD1126&lt;&gt;"",COUNTIFS(tcTipo,AD1126,tcLiq,"Sí")&gt;0),IF(OR(P1126="Gasto",P1126="Transferencia",P1126="Pago tarjeta"),-1,1)*S1126,0)+IF(AND(AE1126&lt;&gt;"",COUNTIFS(tcTipo,AE1126,tcLiq,"Sí")&gt;0),S1126,0))</f>
        <v/>
      </c>
      <c r="AI1126" s="52">
        <f>IF(OR(L1126="",P1126=""),"",IF(COUNTIFS(L$6:L1126,L1126,P$6:P1126,"?*")=1,MAX(AI$5:AI1125)+1,""))</f>
        <v/>
      </c>
    </row>
    <row r="1127">
      <c r="B1127" s="47" t="n"/>
      <c r="C1127" s="48" t="n"/>
      <c r="D1127" s="48" t="n"/>
      <c r="E1127" s="48" t="n"/>
      <c r="F1127" s="48" t="n"/>
      <c r="G1127" s="49" t="n"/>
      <c r="H1127" s="48" t="n"/>
      <c r="I1127" s="50" t="n"/>
      <c r="J1127" s="48" t="n"/>
      <c r="K1127" s="48" t="n"/>
      <c r="L1127" s="48" t="n"/>
      <c r="M1127" s="48" t="n"/>
      <c r="N1127" s="48" t="n"/>
      <c r="O1127" s="51">
        <f>IF(AND(B1127="",G1127="",C1127="",D1127="",J1127=""),"",IF(B1127="","⚠ Falta fecha",IF(G1127="","⚠ Falta monto",IF(Q1127="","⚠ Falta cuenta",IF(ISNA(MATCH(Q1127,ctaNombre,0)),"⚠ Cuenta no registrada",IF(AND(OR(P1127="Gasto",P1127="Reembolso"),D1127=""),"⚠ Falta categoría",IF(AND(D1127&lt;&gt;"",E1127&lt;&gt;"",ISNA(MATCH(D1127&amp;"|"&amp;E1127,catClave,0))),"⚠ Subcategoría no corresponde",IF(AND(OR(P1127="Transferencia",P1127="Pago tarjeta"),K1127=""),"⚠ Falta cuenta destino",IF(AND(K1127&lt;&gt;"",P1127&lt;&gt;"Transferencia",P1127&lt;&gt;"Pago tarjeta"),"⚠ Destino solo aplica a transferencias",IF(AND(K1127&lt;&gt;"",K1127=Q1127),"⚠ Origen igual a destino",IF(AND(K1127&lt;&gt;"",ISNA(MATCH(K1127,ctaNombre,0))),"⚠ Destino no registrado",IF(AND(P1127="Pago tarjeta",AE1127&lt;&gt;"Tarjeta de crédito"),"⚠ El destino debe ser tarjeta de crédito",IF(AND(P1127="Gasto",E1127="Depósitos y retiros"),"⚠ Usa tipo Transferencia",IF(AND(P1127="Resultado trading",AD1127&lt;&gt;"Cuenta de trading"),"⚠ Usa una cuenta de trading",IF(AND(G1127&lt;=0,P1127&lt;&gt;"Ajuste",P1127&lt;&gt;"Resultado trading"),"⚠ El monto debe ser positivo","✓")))))))))))))))</f>
        <v/>
      </c>
      <c r="P1127" s="52">
        <f>IF(OR(B1127="",G1127=""),"",IF(C1127="","Gasto",C1127))</f>
        <v/>
      </c>
      <c r="Q1127" s="52">
        <f>IF(P1127="","",IF(J1127&lt;&gt;"",J1127,CuentaPred&amp;""))</f>
        <v/>
      </c>
      <c r="R1127" s="52">
        <f>IF(P1127="","",IF(ISNUMBER(I1127),I1127,TasaUSD))</f>
        <v/>
      </c>
      <c r="S1127" s="53">
        <f>IF(P1127="","",IF(H1127="USD",G1127*R1127,G1127))</f>
        <v/>
      </c>
      <c r="T1127" s="53">
        <f>IF(P1127="","",IF(H1127="USD",G1127,IF(R1127&gt;0,G1127/R1127,0)))</f>
        <v/>
      </c>
      <c r="U1127" s="53">
        <f>IF(P1127="","",IF(P1127="Gasto",S1127,IF(P1127="Reembolso",-S1127,0)))</f>
        <v/>
      </c>
      <c r="V1127" s="53">
        <f>IF(P1127="","",IF(P1127="Ingreso",S1127,0))</f>
        <v/>
      </c>
      <c r="W1127" s="53">
        <f>IF(P1127="","",IF(P1127="Resultado trading",S1127,0))</f>
        <v/>
      </c>
      <c r="X1127" s="52">
        <f>IF(OR(P1127="Gasto",P1127="Reembolso"),IF(M1127&lt;&gt;"",M1127,IFERROR(INDEX(catClasif,MATCH(D1127&amp;"|"&amp;E1127,catClave,0))&amp;"","Variable")),"")</f>
        <v/>
      </c>
      <c r="Y1127" s="52">
        <f>IF(P1127="","",IFERROR(INDEX(catGrupo,MATCH(D1127&amp;"|"&amp;E1127,catClave,0))&amp;"",""))</f>
        <v/>
      </c>
      <c r="Z1127" s="52">
        <f>IF(P1127="","",WEEKDAY(B1127,2))</f>
        <v/>
      </c>
      <c r="AA1127" s="52">
        <f>IF(P1127="","",IF(AND(P1127="Gasto",X1127="Variable",D1127&lt;&gt;catTrading,S1127&gt;0,S1127&lt;=Umbral),1,0))</f>
        <v/>
      </c>
      <c r="AB1127" s="52">
        <f>IF(OR(P1127="",Q1127=""),"",IFERROR(IF(INDEX(ctaVinc,MATCH(Q1127,ctaNombre,0))&amp;""&lt;&gt;"",INDEX(ctaVinc,MATCH(Q1127,ctaNombre,0))&amp;"",Q1127),Q1127))</f>
        <v/>
      </c>
      <c r="AC1127" s="52">
        <f>IF(OR(K1127="",AND(P1127&lt;&gt;"Transferencia",P1127&lt;&gt;"Pago tarjeta")),"",IFERROR(IF(INDEX(ctaVinc,MATCH(K1127,ctaNombre,0))&amp;""&lt;&gt;"",INDEX(ctaVinc,MATCH(K1127,ctaNombre,0))&amp;"",K1127),K1127))</f>
        <v/>
      </c>
      <c r="AD1127" s="52">
        <f>IF(AB1127="","",IFERROR(INDEX(ctaTipo,MATCH(AB1127,ctaNombre,0))&amp;"",""))</f>
        <v/>
      </c>
      <c r="AE1127" s="52">
        <f>IF(AC1127="","",IFERROR(INDEX(ctaTipo,MATCH(AC1127,ctaNombre,0))&amp;"",""))</f>
        <v/>
      </c>
      <c r="AF1127" s="53">
        <f>IF(OR(P1127="",AB1127=""),"",IF(OR(P1127="Gasto",P1127="Transferencia",P1127="Pago tarjeta"),-1,1)*IF(IFERROR(INDEX(ctaMoneda,MATCH(AB1127,ctaNombre,0))&amp;"","DOP")="USD",T1127,S1127))</f>
        <v/>
      </c>
      <c r="AG1127" s="53">
        <f>IF(AC1127="","",IF(IFERROR(INDEX(ctaMoneda,MATCH(AC1127,ctaNombre,0))&amp;"","DOP")="USD",T1127,S1127))</f>
        <v/>
      </c>
      <c r="AH1127" s="53">
        <f>IF(P1127="","",IF(AND(AD1127&lt;&gt;"",COUNTIFS(tcTipo,AD1127,tcLiq,"Sí")&gt;0),IF(OR(P1127="Gasto",P1127="Transferencia",P1127="Pago tarjeta"),-1,1)*S1127,0)+IF(AND(AE1127&lt;&gt;"",COUNTIFS(tcTipo,AE1127,tcLiq,"Sí")&gt;0),S1127,0))</f>
        <v/>
      </c>
      <c r="AI1127" s="52">
        <f>IF(OR(L1127="",P1127=""),"",IF(COUNTIFS(L$6:L1127,L1127,P$6:P1127,"?*")=1,MAX(AI$5:AI1126)+1,""))</f>
        <v/>
      </c>
    </row>
    <row r="1128">
      <c r="B1128" s="47" t="n"/>
      <c r="C1128" s="48" t="n"/>
      <c r="D1128" s="48" t="n"/>
      <c r="E1128" s="48" t="n"/>
      <c r="F1128" s="48" t="n"/>
      <c r="G1128" s="49" t="n"/>
      <c r="H1128" s="48" t="n"/>
      <c r="I1128" s="50" t="n"/>
      <c r="J1128" s="48" t="n"/>
      <c r="K1128" s="48" t="n"/>
      <c r="L1128" s="48" t="n"/>
      <c r="M1128" s="48" t="n"/>
      <c r="N1128" s="48" t="n"/>
      <c r="O1128" s="51">
        <f>IF(AND(B1128="",G1128="",C1128="",D1128="",J1128=""),"",IF(B1128="","⚠ Falta fecha",IF(G1128="","⚠ Falta monto",IF(Q1128="","⚠ Falta cuenta",IF(ISNA(MATCH(Q1128,ctaNombre,0)),"⚠ Cuenta no registrada",IF(AND(OR(P1128="Gasto",P1128="Reembolso"),D1128=""),"⚠ Falta categoría",IF(AND(D1128&lt;&gt;"",E1128&lt;&gt;"",ISNA(MATCH(D1128&amp;"|"&amp;E1128,catClave,0))),"⚠ Subcategoría no corresponde",IF(AND(OR(P1128="Transferencia",P1128="Pago tarjeta"),K1128=""),"⚠ Falta cuenta destino",IF(AND(K1128&lt;&gt;"",P1128&lt;&gt;"Transferencia",P1128&lt;&gt;"Pago tarjeta"),"⚠ Destino solo aplica a transferencias",IF(AND(K1128&lt;&gt;"",K1128=Q1128),"⚠ Origen igual a destino",IF(AND(K1128&lt;&gt;"",ISNA(MATCH(K1128,ctaNombre,0))),"⚠ Destino no registrado",IF(AND(P1128="Pago tarjeta",AE1128&lt;&gt;"Tarjeta de crédito"),"⚠ El destino debe ser tarjeta de crédito",IF(AND(P1128="Gasto",E1128="Depósitos y retiros"),"⚠ Usa tipo Transferencia",IF(AND(P1128="Resultado trading",AD1128&lt;&gt;"Cuenta de trading"),"⚠ Usa una cuenta de trading",IF(AND(G1128&lt;=0,P1128&lt;&gt;"Ajuste",P1128&lt;&gt;"Resultado trading"),"⚠ El monto debe ser positivo","✓")))))))))))))))</f>
        <v/>
      </c>
      <c r="P1128" s="52">
        <f>IF(OR(B1128="",G1128=""),"",IF(C1128="","Gasto",C1128))</f>
        <v/>
      </c>
      <c r="Q1128" s="52">
        <f>IF(P1128="","",IF(J1128&lt;&gt;"",J1128,CuentaPred&amp;""))</f>
        <v/>
      </c>
      <c r="R1128" s="52">
        <f>IF(P1128="","",IF(ISNUMBER(I1128),I1128,TasaUSD))</f>
        <v/>
      </c>
      <c r="S1128" s="53">
        <f>IF(P1128="","",IF(H1128="USD",G1128*R1128,G1128))</f>
        <v/>
      </c>
      <c r="T1128" s="53">
        <f>IF(P1128="","",IF(H1128="USD",G1128,IF(R1128&gt;0,G1128/R1128,0)))</f>
        <v/>
      </c>
      <c r="U1128" s="53">
        <f>IF(P1128="","",IF(P1128="Gasto",S1128,IF(P1128="Reembolso",-S1128,0)))</f>
        <v/>
      </c>
      <c r="V1128" s="53">
        <f>IF(P1128="","",IF(P1128="Ingreso",S1128,0))</f>
        <v/>
      </c>
      <c r="W1128" s="53">
        <f>IF(P1128="","",IF(P1128="Resultado trading",S1128,0))</f>
        <v/>
      </c>
      <c r="X1128" s="52">
        <f>IF(OR(P1128="Gasto",P1128="Reembolso"),IF(M1128&lt;&gt;"",M1128,IFERROR(INDEX(catClasif,MATCH(D1128&amp;"|"&amp;E1128,catClave,0))&amp;"","Variable")),"")</f>
        <v/>
      </c>
      <c r="Y1128" s="52">
        <f>IF(P1128="","",IFERROR(INDEX(catGrupo,MATCH(D1128&amp;"|"&amp;E1128,catClave,0))&amp;"",""))</f>
        <v/>
      </c>
      <c r="Z1128" s="52">
        <f>IF(P1128="","",WEEKDAY(B1128,2))</f>
        <v/>
      </c>
      <c r="AA1128" s="52">
        <f>IF(P1128="","",IF(AND(P1128="Gasto",X1128="Variable",D1128&lt;&gt;catTrading,S1128&gt;0,S1128&lt;=Umbral),1,0))</f>
        <v/>
      </c>
      <c r="AB1128" s="52">
        <f>IF(OR(P1128="",Q1128=""),"",IFERROR(IF(INDEX(ctaVinc,MATCH(Q1128,ctaNombre,0))&amp;""&lt;&gt;"",INDEX(ctaVinc,MATCH(Q1128,ctaNombre,0))&amp;"",Q1128),Q1128))</f>
        <v/>
      </c>
      <c r="AC1128" s="52">
        <f>IF(OR(K1128="",AND(P1128&lt;&gt;"Transferencia",P1128&lt;&gt;"Pago tarjeta")),"",IFERROR(IF(INDEX(ctaVinc,MATCH(K1128,ctaNombre,0))&amp;""&lt;&gt;"",INDEX(ctaVinc,MATCH(K1128,ctaNombre,0))&amp;"",K1128),K1128))</f>
        <v/>
      </c>
      <c r="AD1128" s="52">
        <f>IF(AB1128="","",IFERROR(INDEX(ctaTipo,MATCH(AB1128,ctaNombre,0))&amp;"",""))</f>
        <v/>
      </c>
      <c r="AE1128" s="52">
        <f>IF(AC1128="","",IFERROR(INDEX(ctaTipo,MATCH(AC1128,ctaNombre,0))&amp;"",""))</f>
        <v/>
      </c>
      <c r="AF1128" s="53">
        <f>IF(OR(P1128="",AB1128=""),"",IF(OR(P1128="Gasto",P1128="Transferencia",P1128="Pago tarjeta"),-1,1)*IF(IFERROR(INDEX(ctaMoneda,MATCH(AB1128,ctaNombre,0))&amp;"","DOP")="USD",T1128,S1128))</f>
        <v/>
      </c>
      <c r="AG1128" s="53">
        <f>IF(AC1128="","",IF(IFERROR(INDEX(ctaMoneda,MATCH(AC1128,ctaNombre,0))&amp;"","DOP")="USD",T1128,S1128))</f>
        <v/>
      </c>
      <c r="AH1128" s="53">
        <f>IF(P1128="","",IF(AND(AD1128&lt;&gt;"",COUNTIFS(tcTipo,AD1128,tcLiq,"Sí")&gt;0),IF(OR(P1128="Gasto",P1128="Transferencia",P1128="Pago tarjeta"),-1,1)*S1128,0)+IF(AND(AE1128&lt;&gt;"",COUNTIFS(tcTipo,AE1128,tcLiq,"Sí")&gt;0),S1128,0))</f>
        <v/>
      </c>
      <c r="AI1128" s="52">
        <f>IF(OR(L1128="",P1128=""),"",IF(COUNTIFS(L$6:L1128,L1128,P$6:P1128,"?*")=1,MAX(AI$5:AI1127)+1,""))</f>
        <v/>
      </c>
    </row>
    <row r="1129">
      <c r="B1129" s="47" t="n"/>
      <c r="C1129" s="48" t="n"/>
      <c r="D1129" s="48" t="n"/>
      <c r="E1129" s="48" t="n"/>
      <c r="F1129" s="48" t="n"/>
      <c r="G1129" s="49" t="n"/>
      <c r="H1129" s="48" t="n"/>
      <c r="I1129" s="50" t="n"/>
      <c r="J1129" s="48" t="n"/>
      <c r="K1129" s="48" t="n"/>
      <c r="L1129" s="48" t="n"/>
      <c r="M1129" s="48" t="n"/>
      <c r="N1129" s="48" t="n"/>
      <c r="O1129" s="51">
        <f>IF(AND(B1129="",G1129="",C1129="",D1129="",J1129=""),"",IF(B1129="","⚠ Falta fecha",IF(G1129="","⚠ Falta monto",IF(Q1129="","⚠ Falta cuenta",IF(ISNA(MATCH(Q1129,ctaNombre,0)),"⚠ Cuenta no registrada",IF(AND(OR(P1129="Gasto",P1129="Reembolso"),D1129=""),"⚠ Falta categoría",IF(AND(D1129&lt;&gt;"",E1129&lt;&gt;"",ISNA(MATCH(D1129&amp;"|"&amp;E1129,catClave,0))),"⚠ Subcategoría no corresponde",IF(AND(OR(P1129="Transferencia",P1129="Pago tarjeta"),K1129=""),"⚠ Falta cuenta destino",IF(AND(K1129&lt;&gt;"",P1129&lt;&gt;"Transferencia",P1129&lt;&gt;"Pago tarjeta"),"⚠ Destino solo aplica a transferencias",IF(AND(K1129&lt;&gt;"",K1129=Q1129),"⚠ Origen igual a destino",IF(AND(K1129&lt;&gt;"",ISNA(MATCH(K1129,ctaNombre,0))),"⚠ Destino no registrado",IF(AND(P1129="Pago tarjeta",AE1129&lt;&gt;"Tarjeta de crédito"),"⚠ El destino debe ser tarjeta de crédito",IF(AND(P1129="Gasto",E1129="Depósitos y retiros"),"⚠ Usa tipo Transferencia",IF(AND(P1129="Resultado trading",AD1129&lt;&gt;"Cuenta de trading"),"⚠ Usa una cuenta de trading",IF(AND(G1129&lt;=0,P1129&lt;&gt;"Ajuste",P1129&lt;&gt;"Resultado trading"),"⚠ El monto debe ser positivo","✓")))))))))))))))</f>
        <v/>
      </c>
      <c r="P1129" s="52">
        <f>IF(OR(B1129="",G1129=""),"",IF(C1129="","Gasto",C1129))</f>
        <v/>
      </c>
      <c r="Q1129" s="52">
        <f>IF(P1129="","",IF(J1129&lt;&gt;"",J1129,CuentaPred&amp;""))</f>
        <v/>
      </c>
      <c r="R1129" s="52">
        <f>IF(P1129="","",IF(ISNUMBER(I1129),I1129,TasaUSD))</f>
        <v/>
      </c>
      <c r="S1129" s="53">
        <f>IF(P1129="","",IF(H1129="USD",G1129*R1129,G1129))</f>
        <v/>
      </c>
      <c r="T1129" s="53">
        <f>IF(P1129="","",IF(H1129="USD",G1129,IF(R1129&gt;0,G1129/R1129,0)))</f>
        <v/>
      </c>
      <c r="U1129" s="53">
        <f>IF(P1129="","",IF(P1129="Gasto",S1129,IF(P1129="Reembolso",-S1129,0)))</f>
        <v/>
      </c>
      <c r="V1129" s="53">
        <f>IF(P1129="","",IF(P1129="Ingreso",S1129,0))</f>
        <v/>
      </c>
      <c r="W1129" s="53">
        <f>IF(P1129="","",IF(P1129="Resultado trading",S1129,0))</f>
        <v/>
      </c>
      <c r="X1129" s="52">
        <f>IF(OR(P1129="Gasto",P1129="Reembolso"),IF(M1129&lt;&gt;"",M1129,IFERROR(INDEX(catClasif,MATCH(D1129&amp;"|"&amp;E1129,catClave,0))&amp;"","Variable")),"")</f>
        <v/>
      </c>
      <c r="Y1129" s="52">
        <f>IF(P1129="","",IFERROR(INDEX(catGrupo,MATCH(D1129&amp;"|"&amp;E1129,catClave,0))&amp;"",""))</f>
        <v/>
      </c>
      <c r="Z1129" s="52">
        <f>IF(P1129="","",WEEKDAY(B1129,2))</f>
        <v/>
      </c>
      <c r="AA1129" s="52">
        <f>IF(P1129="","",IF(AND(P1129="Gasto",X1129="Variable",D1129&lt;&gt;catTrading,S1129&gt;0,S1129&lt;=Umbral),1,0))</f>
        <v/>
      </c>
      <c r="AB1129" s="52">
        <f>IF(OR(P1129="",Q1129=""),"",IFERROR(IF(INDEX(ctaVinc,MATCH(Q1129,ctaNombre,0))&amp;""&lt;&gt;"",INDEX(ctaVinc,MATCH(Q1129,ctaNombre,0))&amp;"",Q1129),Q1129))</f>
        <v/>
      </c>
      <c r="AC1129" s="52">
        <f>IF(OR(K1129="",AND(P1129&lt;&gt;"Transferencia",P1129&lt;&gt;"Pago tarjeta")),"",IFERROR(IF(INDEX(ctaVinc,MATCH(K1129,ctaNombre,0))&amp;""&lt;&gt;"",INDEX(ctaVinc,MATCH(K1129,ctaNombre,0))&amp;"",K1129),K1129))</f>
        <v/>
      </c>
      <c r="AD1129" s="52">
        <f>IF(AB1129="","",IFERROR(INDEX(ctaTipo,MATCH(AB1129,ctaNombre,0))&amp;"",""))</f>
        <v/>
      </c>
      <c r="AE1129" s="52">
        <f>IF(AC1129="","",IFERROR(INDEX(ctaTipo,MATCH(AC1129,ctaNombre,0))&amp;"",""))</f>
        <v/>
      </c>
      <c r="AF1129" s="53">
        <f>IF(OR(P1129="",AB1129=""),"",IF(OR(P1129="Gasto",P1129="Transferencia",P1129="Pago tarjeta"),-1,1)*IF(IFERROR(INDEX(ctaMoneda,MATCH(AB1129,ctaNombre,0))&amp;"","DOP")="USD",T1129,S1129))</f>
        <v/>
      </c>
      <c r="AG1129" s="53">
        <f>IF(AC1129="","",IF(IFERROR(INDEX(ctaMoneda,MATCH(AC1129,ctaNombre,0))&amp;"","DOP")="USD",T1129,S1129))</f>
        <v/>
      </c>
      <c r="AH1129" s="53">
        <f>IF(P1129="","",IF(AND(AD1129&lt;&gt;"",COUNTIFS(tcTipo,AD1129,tcLiq,"Sí")&gt;0),IF(OR(P1129="Gasto",P1129="Transferencia",P1129="Pago tarjeta"),-1,1)*S1129,0)+IF(AND(AE1129&lt;&gt;"",COUNTIFS(tcTipo,AE1129,tcLiq,"Sí")&gt;0),S1129,0))</f>
        <v/>
      </c>
      <c r="AI1129" s="52">
        <f>IF(OR(L1129="",P1129=""),"",IF(COUNTIFS(L$6:L1129,L1129,P$6:P1129,"?*")=1,MAX(AI$5:AI1128)+1,""))</f>
        <v/>
      </c>
    </row>
    <row r="1130">
      <c r="B1130" s="47" t="n"/>
      <c r="C1130" s="48" t="n"/>
      <c r="D1130" s="48" t="n"/>
      <c r="E1130" s="48" t="n"/>
      <c r="F1130" s="48" t="n"/>
      <c r="G1130" s="49" t="n"/>
      <c r="H1130" s="48" t="n"/>
      <c r="I1130" s="50" t="n"/>
      <c r="J1130" s="48" t="n"/>
      <c r="K1130" s="48" t="n"/>
      <c r="L1130" s="48" t="n"/>
      <c r="M1130" s="48" t="n"/>
      <c r="N1130" s="48" t="n"/>
      <c r="O1130" s="51">
        <f>IF(AND(B1130="",G1130="",C1130="",D1130="",J1130=""),"",IF(B1130="","⚠ Falta fecha",IF(G1130="","⚠ Falta monto",IF(Q1130="","⚠ Falta cuenta",IF(ISNA(MATCH(Q1130,ctaNombre,0)),"⚠ Cuenta no registrada",IF(AND(OR(P1130="Gasto",P1130="Reembolso"),D1130=""),"⚠ Falta categoría",IF(AND(D1130&lt;&gt;"",E1130&lt;&gt;"",ISNA(MATCH(D1130&amp;"|"&amp;E1130,catClave,0))),"⚠ Subcategoría no corresponde",IF(AND(OR(P1130="Transferencia",P1130="Pago tarjeta"),K1130=""),"⚠ Falta cuenta destino",IF(AND(K1130&lt;&gt;"",P1130&lt;&gt;"Transferencia",P1130&lt;&gt;"Pago tarjeta"),"⚠ Destino solo aplica a transferencias",IF(AND(K1130&lt;&gt;"",K1130=Q1130),"⚠ Origen igual a destino",IF(AND(K1130&lt;&gt;"",ISNA(MATCH(K1130,ctaNombre,0))),"⚠ Destino no registrado",IF(AND(P1130="Pago tarjeta",AE1130&lt;&gt;"Tarjeta de crédito"),"⚠ El destino debe ser tarjeta de crédito",IF(AND(P1130="Gasto",E1130="Depósitos y retiros"),"⚠ Usa tipo Transferencia",IF(AND(P1130="Resultado trading",AD1130&lt;&gt;"Cuenta de trading"),"⚠ Usa una cuenta de trading",IF(AND(G1130&lt;=0,P1130&lt;&gt;"Ajuste",P1130&lt;&gt;"Resultado trading"),"⚠ El monto debe ser positivo","✓")))))))))))))))</f>
        <v/>
      </c>
      <c r="P1130" s="52">
        <f>IF(OR(B1130="",G1130=""),"",IF(C1130="","Gasto",C1130))</f>
        <v/>
      </c>
      <c r="Q1130" s="52">
        <f>IF(P1130="","",IF(J1130&lt;&gt;"",J1130,CuentaPred&amp;""))</f>
        <v/>
      </c>
      <c r="R1130" s="52">
        <f>IF(P1130="","",IF(ISNUMBER(I1130),I1130,TasaUSD))</f>
        <v/>
      </c>
      <c r="S1130" s="53">
        <f>IF(P1130="","",IF(H1130="USD",G1130*R1130,G1130))</f>
        <v/>
      </c>
      <c r="T1130" s="53">
        <f>IF(P1130="","",IF(H1130="USD",G1130,IF(R1130&gt;0,G1130/R1130,0)))</f>
        <v/>
      </c>
      <c r="U1130" s="53">
        <f>IF(P1130="","",IF(P1130="Gasto",S1130,IF(P1130="Reembolso",-S1130,0)))</f>
        <v/>
      </c>
      <c r="V1130" s="53">
        <f>IF(P1130="","",IF(P1130="Ingreso",S1130,0))</f>
        <v/>
      </c>
      <c r="W1130" s="53">
        <f>IF(P1130="","",IF(P1130="Resultado trading",S1130,0))</f>
        <v/>
      </c>
      <c r="X1130" s="52">
        <f>IF(OR(P1130="Gasto",P1130="Reembolso"),IF(M1130&lt;&gt;"",M1130,IFERROR(INDEX(catClasif,MATCH(D1130&amp;"|"&amp;E1130,catClave,0))&amp;"","Variable")),"")</f>
        <v/>
      </c>
      <c r="Y1130" s="52">
        <f>IF(P1130="","",IFERROR(INDEX(catGrupo,MATCH(D1130&amp;"|"&amp;E1130,catClave,0))&amp;"",""))</f>
        <v/>
      </c>
      <c r="Z1130" s="52">
        <f>IF(P1130="","",WEEKDAY(B1130,2))</f>
        <v/>
      </c>
      <c r="AA1130" s="52">
        <f>IF(P1130="","",IF(AND(P1130="Gasto",X1130="Variable",D1130&lt;&gt;catTrading,S1130&gt;0,S1130&lt;=Umbral),1,0))</f>
        <v/>
      </c>
      <c r="AB1130" s="52">
        <f>IF(OR(P1130="",Q1130=""),"",IFERROR(IF(INDEX(ctaVinc,MATCH(Q1130,ctaNombre,0))&amp;""&lt;&gt;"",INDEX(ctaVinc,MATCH(Q1130,ctaNombre,0))&amp;"",Q1130),Q1130))</f>
        <v/>
      </c>
      <c r="AC1130" s="52">
        <f>IF(OR(K1130="",AND(P1130&lt;&gt;"Transferencia",P1130&lt;&gt;"Pago tarjeta")),"",IFERROR(IF(INDEX(ctaVinc,MATCH(K1130,ctaNombre,0))&amp;""&lt;&gt;"",INDEX(ctaVinc,MATCH(K1130,ctaNombre,0))&amp;"",K1130),K1130))</f>
        <v/>
      </c>
      <c r="AD1130" s="52">
        <f>IF(AB1130="","",IFERROR(INDEX(ctaTipo,MATCH(AB1130,ctaNombre,0))&amp;"",""))</f>
        <v/>
      </c>
      <c r="AE1130" s="52">
        <f>IF(AC1130="","",IFERROR(INDEX(ctaTipo,MATCH(AC1130,ctaNombre,0))&amp;"",""))</f>
        <v/>
      </c>
      <c r="AF1130" s="53">
        <f>IF(OR(P1130="",AB1130=""),"",IF(OR(P1130="Gasto",P1130="Transferencia",P1130="Pago tarjeta"),-1,1)*IF(IFERROR(INDEX(ctaMoneda,MATCH(AB1130,ctaNombre,0))&amp;"","DOP")="USD",T1130,S1130))</f>
        <v/>
      </c>
      <c r="AG1130" s="53">
        <f>IF(AC1130="","",IF(IFERROR(INDEX(ctaMoneda,MATCH(AC1130,ctaNombre,0))&amp;"","DOP")="USD",T1130,S1130))</f>
        <v/>
      </c>
      <c r="AH1130" s="53">
        <f>IF(P1130="","",IF(AND(AD1130&lt;&gt;"",COUNTIFS(tcTipo,AD1130,tcLiq,"Sí")&gt;0),IF(OR(P1130="Gasto",P1130="Transferencia",P1130="Pago tarjeta"),-1,1)*S1130,0)+IF(AND(AE1130&lt;&gt;"",COUNTIFS(tcTipo,AE1130,tcLiq,"Sí")&gt;0),S1130,0))</f>
        <v/>
      </c>
      <c r="AI1130" s="52">
        <f>IF(OR(L1130="",P1130=""),"",IF(COUNTIFS(L$6:L1130,L1130,P$6:P1130,"?*")=1,MAX(AI$5:AI1129)+1,""))</f>
        <v/>
      </c>
    </row>
    <row r="1131">
      <c r="B1131" s="47" t="n"/>
      <c r="C1131" s="48" t="n"/>
      <c r="D1131" s="48" t="n"/>
      <c r="E1131" s="48" t="n"/>
      <c r="F1131" s="48" t="n"/>
      <c r="G1131" s="49" t="n"/>
      <c r="H1131" s="48" t="n"/>
      <c r="I1131" s="50" t="n"/>
      <c r="J1131" s="48" t="n"/>
      <c r="K1131" s="48" t="n"/>
      <c r="L1131" s="48" t="n"/>
      <c r="M1131" s="48" t="n"/>
      <c r="N1131" s="48" t="n"/>
      <c r="O1131" s="51">
        <f>IF(AND(B1131="",G1131="",C1131="",D1131="",J1131=""),"",IF(B1131="","⚠ Falta fecha",IF(G1131="","⚠ Falta monto",IF(Q1131="","⚠ Falta cuenta",IF(ISNA(MATCH(Q1131,ctaNombre,0)),"⚠ Cuenta no registrada",IF(AND(OR(P1131="Gasto",P1131="Reembolso"),D1131=""),"⚠ Falta categoría",IF(AND(D1131&lt;&gt;"",E1131&lt;&gt;"",ISNA(MATCH(D1131&amp;"|"&amp;E1131,catClave,0))),"⚠ Subcategoría no corresponde",IF(AND(OR(P1131="Transferencia",P1131="Pago tarjeta"),K1131=""),"⚠ Falta cuenta destino",IF(AND(K1131&lt;&gt;"",P1131&lt;&gt;"Transferencia",P1131&lt;&gt;"Pago tarjeta"),"⚠ Destino solo aplica a transferencias",IF(AND(K1131&lt;&gt;"",K1131=Q1131),"⚠ Origen igual a destino",IF(AND(K1131&lt;&gt;"",ISNA(MATCH(K1131,ctaNombre,0))),"⚠ Destino no registrado",IF(AND(P1131="Pago tarjeta",AE1131&lt;&gt;"Tarjeta de crédito"),"⚠ El destino debe ser tarjeta de crédito",IF(AND(P1131="Gasto",E1131="Depósitos y retiros"),"⚠ Usa tipo Transferencia",IF(AND(P1131="Resultado trading",AD1131&lt;&gt;"Cuenta de trading"),"⚠ Usa una cuenta de trading",IF(AND(G1131&lt;=0,P1131&lt;&gt;"Ajuste",P1131&lt;&gt;"Resultado trading"),"⚠ El monto debe ser positivo","✓")))))))))))))))</f>
        <v/>
      </c>
      <c r="P1131" s="52">
        <f>IF(OR(B1131="",G1131=""),"",IF(C1131="","Gasto",C1131))</f>
        <v/>
      </c>
      <c r="Q1131" s="52">
        <f>IF(P1131="","",IF(J1131&lt;&gt;"",J1131,CuentaPred&amp;""))</f>
        <v/>
      </c>
      <c r="R1131" s="52">
        <f>IF(P1131="","",IF(ISNUMBER(I1131),I1131,TasaUSD))</f>
        <v/>
      </c>
      <c r="S1131" s="53">
        <f>IF(P1131="","",IF(H1131="USD",G1131*R1131,G1131))</f>
        <v/>
      </c>
      <c r="T1131" s="53">
        <f>IF(P1131="","",IF(H1131="USD",G1131,IF(R1131&gt;0,G1131/R1131,0)))</f>
        <v/>
      </c>
      <c r="U1131" s="53">
        <f>IF(P1131="","",IF(P1131="Gasto",S1131,IF(P1131="Reembolso",-S1131,0)))</f>
        <v/>
      </c>
      <c r="V1131" s="53">
        <f>IF(P1131="","",IF(P1131="Ingreso",S1131,0))</f>
        <v/>
      </c>
      <c r="W1131" s="53">
        <f>IF(P1131="","",IF(P1131="Resultado trading",S1131,0))</f>
        <v/>
      </c>
      <c r="X1131" s="52">
        <f>IF(OR(P1131="Gasto",P1131="Reembolso"),IF(M1131&lt;&gt;"",M1131,IFERROR(INDEX(catClasif,MATCH(D1131&amp;"|"&amp;E1131,catClave,0))&amp;"","Variable")),"")</f>
        <v/>
      </c>
      <c r="Y1131" s="52">
        <f>IF(P1131="","",IFERROR(INDEX(catGrupo,MATCH(D1131&amp;"|"&amp;E1131,catClave,0))&amp;"",""))</f>
        <v/>
      </c>
      <c r="Z1131" s="52">
        <f>IF(P1131="","",WEEKDAY(B1131,2))</f>
        <v/>
      </c>
      <c r="AA1131" s="52">
        <f>IF(P1131="","",IF(AND(P1131="Gasto",X1131="Variable",D1131&lt;&gt;catTrading,S1131&gt;0,S1131&lt;=Umbral),1,0))</f>
        <v/>
      </c>
      <c r="AB1131" s="52">
        <f>IF(OR(P1131="",Q1131=""),"",IFERROR(IF(INDEX(ctaVinc,MATCH(Q1131,ctaNombre,0))&amp;""&lt;&gt;"",INDEX(ctaVinc,MATCH(Q1131,ctaNombre,0))&amp;"",Q1131),Q1131))</f>
        <v/>
      </c>
      <c r="AC1131" s="52">
        <f>IF(OR(K1131="",AND(P1131&lt;&gt;"Transferencia",P1131&lt;&gt;"Pago tarjeta")),"",IFERROR(IF(INDEX(ctaVinc,MATCH(K1131,ctaNombre,0))&amp;""&lt;&gt;"",INDEX(ctaVinc,MATCH(K1131,ctaNombre,0))&amp;"",K1131),K1131))</f>
        <v/>
      </c>
      <c r="AD1131" s="52">
        <f>IF(AB1131="","",IFERROR(INDEX(ctaTipo,MATCH(AB1131,ctaNombre,0))&amp;"",""))</f>
        <v/>
      </c>
      <c r="AE1131" s="52">
        <f>IF(AC1131="","",IFERROR(INDEX(ctaTipo,MATCH(AC1131,ctaNombre,0))&amp;"",""))</f>
        <v/>
      </c>
      <c r="AF1131" s="53">
        <f>IF(OR(P1131="",AB1131=""),"",IF(OR(P1131="Gasto",P1131="Transferencia",P1131="Pago tarjeta"),-1,1)*IF(IFERROR(INDEX(ctaMoneda,MATCH(AB1131,ctaNombre,0))&amp;"","DOP")="USD",T1131,S1131))</f>
        <v/>
      </c>
      <c r="AG1131" s="53">
        <f>IF(AC1131="","",IF(IFERROR(INDEX(ctaMoneda,MATCH(AC1131,ctaNombre,0))&amp;"","DOP")="USD",T1131,S1131))</f>
        <v/>
      </c>
      <c r="AH1131" s="53">
        <f>IF(P1131="","",IF(AND(AD1131&lt;&gt;"",COUNTIFS(tcTipo,AD1131,tcLiq,"Sí")&gt;0),IF(OR(P1131="Gasto",P1131="Transferencia",P1131="Pago tarjeta"),-1,1)*S1131,0)+IF(AND(AE1131&lt;&gt;"",COUNTIFS(tcTipo,AE1131,tcLiq,"Sí")&gt;0),S1131,0))</f>
        <v/>
      </c>
      <c r="AI1131" s="52">
        <f>IF(OR(L1131="",P1131=""),"",IF(COUNTIFS(L$6:L1131,L1131,P$6:P1131,"?*")=1,MAX(AI$5:AI1130)+1,""))</f>
        <v/>
      </c>
    </row>
    <row r="1132">
      <c r="B1132" s="47" t="n"/>
      <c r="C1132" s="48" t="n"/>
      <c r="D1132" s="48" t="n"/>
      <c r="E1132" s="48" t="n"/>
      <c r="F1132" s="48" t="n"/>
      <c r="G1132" s="49" t="n"/>
      <c r="H1132" s="48" t="n"/>
      <c r="I1132" s="50" t="n"/>
      <c r="J1132" s="48" t="n"/>
      <c r="K1132" s="48" t="n"/>
      <c r="L1132" s="48" t="n"/>
      <c r="M1132" s="48" t="n"/>
      <c r="N1132" s="48" t="n"/>
      <c r="O1132" s="51">
        <f>IF(AND(B1132="",G1132="",C1132="",D1132="",J1132=""),"",IF(B1132="","⚠ Falta fecha",IF(G1132="","⚠ Falta monto",IF(Q1132="","⚠ Falta cuenta",IF(ISNA(MATCH(Q1132,ctaNombre,0)),"⚠ Cuenta no registrada",IF(AND(OR(P1132="Gasto",P1132="Reembolso"),D1132=""),"⚠ Falta categoría",IF(AND(D1132&lt;&gt;"",E1132&lt;&gt;"",ISNA(MATCH(D1132&amp;"|"&amp;E1132,catClave,0))),"⚠ Subcategoría no corresponde",IF(AND(OR(P1132="Transferencia",P1132="Pago tarjeta"),K1132=""),"⚠ Falta cuenta destino",IF(AND(K1132&lt;&gt;"",P1132&lt;&gt;"Transferencia",P1132&lt;&gt;"Pago tarjeta"),"⚠ Destino solo aplica a transferencias",IF(AND(K1132&lt;&gt;"",K1132=Q1132),"⚠ Origen igual a destino",IF(AND(K1132&lt;&gt;"",ISNA(MATCH(K1132,ctaNombre,0))),"⚠ Destino no registrado",IF(AND(P1132="Pago tarjeta",AE1132&lt;&gt;"Tarjeta de crédito"),"⚠ El destino debe ser tarjeta de crédito",IF(AND(P1132="Gasto",E1132="Depósitos y retiros"),"⚠ Usa tipo Transferencia",IF(AND(P1132="Resultado trading",AD1132&lt;&gt;"Cuenta de trading"),"⚠ Usa una cuenta de trading",IF(AND(G1132&lt;=0,P1132&lt;&gt;"Ajuste",P1132&lt;&gt;"Resultado trading"),"⚠ El monto debe ser positivo","✓")))))))))))))))</f>
        <v/>
      </c>
      <c r="P1132" s="52">
        <f>IF(OR(B1132="",G1132=""),"",IF(C1132="","Gasto",C1132))</f>
        <v/>
      </c>
      <c r="Q1132" s="52">
        <f>IF(P1132="","",IF(J1132&lt;&gt;"",J1132,CuentaPred&amp;""))</f>
        <v/>
      </c>
      <c r="R1132" s="52">
        <f>IF(P1132="","",IF(ISNUMBER(I1132),I1132,TasaUSD))</f>
        <v/>
      </c>
      <c r="S1132" s="53">
        <f>IF(P1132="","",IF(H1132="USD",G1132*R1132,G1132))</f>
        <v/>
      </c>
      <c r="T1132" s="53">
        <f>IF(P1132="","",IF(H1132="USD",G1132,IF(R1132&gt;0,G1132/R1132,0)))</f>
        <v/>
      </c>
      <c r="U1132" s="53">
        <f>IF(P1132="","",IF(P1132="Gasto",S1132,IF(P1132="Reembolso",-S1132,0)))</f>
        <v/>
      </c>
      <c r="V1132" s="53">
        <f>IF(P1132="","",IF(P1132="Ingreso",S1132,0))</f>
        <v/>
      </c>
      <c r="W1132" s="53">
        <f>IF(P1132="","",IF(P1132="Resultado trading",S1132,0))</f>
        <v/>
      </c>
      <c r="X1132" s="52">
        <f>IF(OR(P1132="Gasto",P1132="Reembolso"),IF(M1132&lt;&gt;"",M1132,IFERROR(INDEX(catClasif,MATCH(D1132&amp;"|"&amp;E1132,catClave,0))&amp;"","Variable")),"")</f>
        <v/>
      </c>
      <c r="Y1132" s="52">
        <f>IF(P1132="","",IFERROR(INDEX(catGrupo,MATCH(D1132&amp;"|"&amp;E1132,catClave,0))&amp;"",""))</f>
        <v/>
      </c>
      <c r="Z1132" s="52">
        <f>IF(P1132="","",WEEKDAY(B1132,2))</f>
        <v/>
      </c>
      <c r="AA1132" s="52">
        <f>IF(P1132="","",IF(AND(P1132="Gasto",X1132="Variable",D1132&lt;&gt;catTrading,S1132&gt;0,S1132&lt;=Umbral),1,0))</f>
        <v/>
      </c>
      <c r="AB1132" s="52">
        <f>IF(OR(P1132="",Q1132=""),"",IFERROR(IF(INDEX(ctaVinc,MATCH(Q1132,ctaNombre,0))&amp;""&lt;&gt;"",INDEX(ctaVinc,MATCH(Q1132,ctaNombre,0))&amp;"",Q1132),Q1132))</f>
        <v/>
      </c>
      <c r="AC1132" s="52">
        <f>IF(OR(K1132="",AND(P1132&lt;&gt;"Transferencia",P1132&lt;&gt;"Pago tarjeta")),"",IFERROR(IF(INDEX(ctaVinc,MATCH(K1132,ctaNombre,0))&amp;""&lt;&gt;"",INDEX(ctaVinc,MATCH(K1132,ctaNombre,0))&amp;"",K1132),K1132))</f>
        <v/>
      </c>
      <c r="AD1132" s="52">
        <f>IF(AB1132="","",IFERROR(INDEX(ctaTipo,MATCH(AB1132,ctaNombre,0))&amp;"",""))</f>
        <v/>
      </c>
      <c r="AE1132" s="52">
        <f>IF(AC1132="","",IFERROR(INDEX(ctaTipo,MATCH(AC1132,ctaNombre,0))&amp;"",""))</f>
        <v/>
      </c>
      <c r="AF1132" s="53">
        <f>IF(OR(P1132="",AB1132=""),"",IF(OR(P1132="Gasto",P1132="Transferencia",P1132="Pago tarjeta"),-1,1)*IF(IFERROR(INDEX(ctaMoneda,MATCH(AB1132,ctaNombre,0))&amp;"","DOP")="USD",T1132,S1132))</f>
        <v/>
      </c>
      <c r="AG1132" s="53">
        <f>IF(AC1132="","",IF(IFERROR(INDEX(ctaMoneda,MATCH(AC1132,ctaNombre,0))&amp;"","DOP")="USD",T1132,S1132))</f>
        <v/>
      </c>
      <c r="AH1132" s="53">
        <f>IF(P1132="","",IF(AND(AD1132&lt;&gt;"",COUNTIFS(tcTipo,AD1132,tcLiq,"Sí")&gt;0),IF(OR(P1132="Gasto",P1132="Transferencia",P1132="Pago tarjeta"),-1,1)*S1132,0)+IF(AND(AE1132&lt;&gt;"",COUNTIFS(tcTipo,AE1132,tcLiq,"Sí")&gt;0),S1132,0))</f>
        <v/>
      </c>
      <c r="AI1132" s="52">
        <f>IF(OR(L1132="",P1132=""),"",IF(COUNTIFS(L$6:L1132,L1132,P$6:P1132,"?*")=1,MAX(AI$5:AI1131)+1,""))</f>
        <v/>
      </c>
    </row>
    <row r="1133">
      <c r="B1133" s="47" t="n"/>
      <c r="C1133" s="48" t="n"/>
      <c r="D1133" s="48" t="n"/>
      <c r="E1133" s="48" t="n"/>
      <c r="F1133" s="48" t="n"/>
      <c r="G1133" s="49" t="n"/>
      <c r="H1133" s="48" t="n"/>
      <c r="I1133" s="50" t="n"/>
      <c r="J1133" s="48" t="n"/>
      <c r="K1133" s="48" t="n"/>
      <c r="L1133" s="48" t="n"/>
      <c r="M1133" s="48" t="n"/>
      <c r="N1133" s="48" t="n"/>
      <c r="O1133" s="51">
        <f>IF(AND(B1133="",G1133="",C1133="",D1133="",J1133=""),"",IF(B1133="","⚠ Falta fecha",IF(G1133="","⚠ Falta monto",IF(Q1133="","⚠ Falta cuenta",IF(ISNA(MATCH(Q1133,ctaNombre,0)),"⚠ Cuenta no registrada",IF(AND(OR(P1133="Gasto",P1133="Reembolso"),D1133=""),"⚠ Falta categoría",IF(AND(D1133&lt;&gt;"",E1133&lt;&gt;"",ISNA(MATCH(D1133&amp;"|"&amp;E1133,catClave,0))),"⚠ Subcategoría no corresponde",IF(AND(OR(P1133="Transferencia",P1133="Pago tarjeta"),K1133=""),"⚠ Falta cuenta destino",IF(AND(K1133&lt;&gt;"",P1133&lt;&gt;"Transferencia",P1133&lt;&gt;"Pago tarjeta"),"⚠ Destino solo aplica a transferencias",IF(AND(K1133&lt;&gt;"",K1133=Q1133),"⚠ Origen igual a destino",IF(AND(K1133&lt;&gt;"",ISNA(MATCH(K1133,ctaNombre,0))),"⚠ Destino no registrado",IF(AND(P1133="Pago tarjeta",AE1133&lt;&gt;"Tarjeta de crédito"),"⚠ El destino debe ser tarjeta de crédito",IF(AND(P1133="Gasto",E1133="Depósitos y retiros"),"⚠ Usa tipo Transferencia",IF(AND(P1133="Resultado trading",AD1133&lt;&gt;"Cuenta de trading"),"⚠ Usa una cuenta de trading",IF(AND(G1133&lt;=0,P1133&lt;&gt;"Ajuste",P1133&lt;&gt;"Resultado trading"),"⚠ El monto debe ser positivo","✓")))))))))))))))</f>
        <v/>
      </c>
      <c r="P1133" s="52">
        <f>IF(OR(B1133="",G1133=""),"",IF(C1133="","Gasto",C1133))</f>
        <v/>
      </c>
      <c r="Q1133" s="52">
        <f>IF(P1133="","",IF(J1133&lt;&gt;"",J1133,CuentaPred&amp;""))</f>
        <v/>
      </c>
      <c r="R1133" s="52">
        <f>IF(P1133="","",IF(ISNUMBER(I1133),I1133,TasaUSD))</f>
        <v/>
      </c>
      <c r="S1133" s="53">
        <f>IF(P1133="","",IF(H1133="USD",G1133*R1133,G1133))</f>
        <v/>
      </c>
      <c r="T1133" s="53">
        <f>IF(P1133="","",IF(H1133="USD",G1133,IF(R1133&gt;0,G1133/R1133,0)))</f>
        <v/>
      </c>
      <c r="U1133" s="53">
        <f>IF(P1133="","",IF(P1133="Gasto",S1133,IF(P1133="Reembolso",-S1133,0)))</f>
        <v/>
      </c>
      <c r="V1133" s="53">
        <f>IF(P1133="","",IF(P1133="Ingreso",S1133,0))</f>
        <v/>
      </c>
      <c r="W1133" s="53">
        <f>IF(P1133="","",IF(P1133="Resultado trading",S1133,0))</f>
        <v/>
      </c>
      <c r="X1133" s="52">
        <f>IF(OR(P1133="Gasto",P1133="Reembolso"),IF(M1133&lt;&gt;"",M1133,IFERROR(INDEX(catClasif,MATCH(D1133&amp;"|"&amp;E1133,catClave,0))&amp;"","Variable")),"")</f>
        <v/>
      </c>
      <c r="Y1133" s="52">
        <f>IF(P1133="","",IFERROR(INDEX(catGrupo,MATCH(D1133&amp;"|"&amp;E1133,catClave,0))&amp;"",""))</f>
        <v/>
      </c>
      <c r="Z1133" s="52">
        <f>IF(P1133="","",WEEKDAY(B1133,2))</f>
        <v/>
      </c>
      <c r="AA1133" s="52">
        <f>IF(P1133="","",IF(AND(P1133="Gasto",X1133="Variable",D1133&lt;&gt;catTrading,S1133&gt;0,S1133&lt;=Umbral),1,0))</f>
        <v/>
      </c>
      <c r="AB1133" s="52">
        <f>IF(OR(P1133="",Q1133=""),"",IFERROR(IF(INDEX(ctaVinc,MATCH(Q1133,ctaNombre,0))&amp;""&lt;&gt;"",INDEX(ctaVinc,MATCH(Q1133,ctaNombre,0))&amp;"",Q1133),Q1133))</f>
        <v/>
      </c>
      <c r="AC1133" s="52">
        <f>IF(OR(K1133="",AND(P1133&lt;&gt;"Transferencia",P1133&lt;&gt;"Pago tarjeta")),"",IFERROR(IF(INDEX(ctaVinc,MATCH(K1133,ctaNombre,0))&amp;""&lt;&gt;"",INDEX(ctaVinc,MATCH(K1133,ctaNombre,0))&amp;"",K1133),K1133))</f>
        <v/>
      </c>
      <c r="AD1133" s="52">
        <f>IF(AB1133="","",IFERROR(INDEX(ctaTipo,MATCH(AB1133,ctaNombre,0))&amp;"",""))</f>
        <v/>
      </c>
      <c r="AE1133" s="52">
        <f>IF(AC1133="","",IFERROR(INDEX(ctaTipo,MATCH(AC1133,ctaNombre,0))&amp;"",""))</f>
        <v/>
      </c>
      <c r="AF1133" s="53">
        <f>IF(OR(P1133="",AB1133=""),"",IF(OR(P1133="Gasto",P1133="Transferencia",P1133="Pago tarjeta"),-1,1)*IF(IFERROR(INDEX(ctaMoneda,MATCH(AB1133,ctaNombre,0))&amp;"","DOP")="USD",T1133,S1133))</f>
        <v/>
      </c>
      <c r="AG1133" s="53">
        <f>IF(AC1133="","",IF(IFERROR(INDEX(ctaMoneda,MATCH(AC1133,ctaNombre,0))&amp;"","DOP")="USD",T1133,S1133))</f>
        <v/>
      </c>
      <c r="AH1133" s="53">
        <f>IF(P1133="","",IF(AND(AD1133&lt;&gt;"",COUNTIFS(tcTipo,AD1133,tcLiq,"Sí")&gt;0),IF(OR(P1133="Gasto",P1133="Transferencia",P1133="Pago tarjeta"),-1,1)*S1133,0)+IF(AND(AE1133&lt;&gt;"",COUNTIFS(tcTipo,AE1133,tcLiq,"Sí")&gt;0),S1133,0))</f>
        <v/>
      </c>
      <c r="AI1133" s="52">
        <f>IF(OR(L1133="",P1133=""),"",IF(COUNTIFS(L$6:L1133,L1133,P$6:P1133,"?*")=1,MAX(AI$5:AI1132)+1,""))</f>
        <v/>
      </c>
    </row>
    <row r="1134">
      <c r="B1134" s="47" t="n"/>
      <c r="C1134" s="48" t="n"/>
      <c r="D1134" s="48" t="n"/>
      <c r="E1134" s="48" t="n"/>
      <c r="F1134" s="48" t="n"/>
      <c r="G1134" s="49" t="n"/>
      <c r="H1134" s="48" t="n"/>
      <c r="I1134" s="50" t="n"/>
      <c r="J1134" s="48" t="n"/>
      <c r="K1134" s="48" t="n"/>
      <c r="L1134" s="48" t="n"/>
      <c r="M1134" s="48" t="n"/>
      <c r="N1134" s="48" t="n"/>
      <c r="O1134" s="51">
        <f>IF(AND(B1134="",G1134="",C1134="",D1134="",J1134=""),"",IF(B1134="","⚠ Falta fecha",IF(G1134="","⚠ Falta monto",IF(Q1134="","⚠ Falta cuenta",IF(ISNA(MATCH(Q1134,ctaNombre,0)),"⚠ Cuenta no registrada",IF(AND(OR(P1134="Gasto",P1134="Reembolso"),D1134=""),"⚠ Falta categoría",IF(AND(D1134&lt;&gt;"",E1134&lt;&gt;"",ISNA(MATCH(D1134&amp;"|"&amp;E1134,catClave,0))),"⚠ Subcategoría no corresponde",IF(AND(OR(P1134="Transferencia",P1134="Pago tarjeta"),K1134=""),"⚠ Falta cuenta destino",IF(AND(K1134&lt;&gt;"",P1134&lt;&gt;"Transferencia",P1134&lt;&gt;"Pago tarjeta"),"⚠ Destino solo aplica a transferencias",IF(AND(K1134&lt;&gt;"",K1134=Q1134),"⚠ Origen igual a destino",IF(AND(K1134&lt;&gt;"",ISNA(MATCH(K1134,ctaNombre,0))),"⚠ Destino no registrado",IF(AND(P1134="Pago tarjeta",AE1134&lt;&gt;"Tarjeta de crédito"),"⚠ El destino debe ser tarjeta de crédito",IF(AND(P1134="Gasto",E1134="Depósitos y retiros"),"⚠ Usa tipo Transferencia",IF(AND(P1134="Resultado trading",AD1134&lt;&gt;"Cuenta de trading"),"⚠ Usa una cuenta de trading",IF(AND(G1134&lt;=0,P1134&lt;&gt;"Ajuste",P1134&lt;&gt;"Resultado trading"),"⚠ El monto debe ser positivo","✓")))))))))))))))</f>
        <v/>
      </c>
      <c r="P1134" s="52">
        <f>IF(OR(B1134="",G1134=""),"",IF(C1134="","Gasto",C1134))</f>
        <v/>
      </c>
      <c r="Q1134" s="52">
        <f>IF(P1134="","",IF(J1134&lt;&gt;"",J1134,CuentaPred&amp;""))</f>
        <v/>
      </c>
      <c r="R1134" s="52">
        <f>IF(P1134="","",IF(ISNUMBER(I1134),I1134,TasaUSD))</f>
        <v/>
      </c>
      <c r="S1134" s="53">
        <f>IF(P1134="","",IF(H1134="USD",G1134*R1134,G1134))</f>
        <v/>
      </c>
      <c r="T1134" s="53">
        <f>IF(P1134="","",IF(H1134="USD",G1134,IF(R1134&gt;0,G1134/R1134,0)))</f>
        <v/>
      </c>
      <c r="U1134" s="53">
        <f>IF(P1134="","",IF(P1134="Gasto",S1134,IF(P1134="Reembolso",-S1134,0)))</f>
        <v/>
      </c>
      <c r="V1134" s="53">
        <f>IF(P1134="","",IF(P1134="Ingreso",S1134,0))</f>
        <v/>
      </c>
      <c r="W1134" s="53">
        <f>IF(P1134="","",IF(P1134="Resultado trading",S1134,0))</f>
        <v/>
      </c>
      <c r="X1134" s="52">
        <f>IF(OR(P1134="Gasto",P1134="Reembolso"),IF(M1134&lt;&gt;"",M1134,IFERROR(INDEX(catClasif,MATCH(D1134&amp;"|"&amp;E1134,catClave,0))&amp;"","Variable")),"")</f>
        <v/>
      </c>
      <c r="Y1134" s="52">
        <f>IF(P1134="","",IFERROR(INDEX(catGrupo,MATCH(D1134&amp;"|"&amp;E1134,catClave,0))&amp;"",""))</f>
        <v/>
      </c>
      <c r="Z1134" s="52">
        <f>IF(P1134="","",WEEKDAY(B1134,2))</f>
        <v/>
      </c>
      <c r="AA1134" s="52">
        <f>IF(P1134="","",IF(AND(P1134="Gasto",X1134="Variable",D1134&lt;&gt;catTrading,S1134&gt;0,S1134&lt;=Umbral),1,0))</f>
        <v/>
      </c>
      <c r="AB1134" s="52">
        <f>IF(OR(P1134="",Q1134=""),"",IFERROR(IF(INDEX(ctaVinc,MATCH(Q1134,ctaNombre,0))&amp;""&lt;&gt;"",INDEX(ctaVinc,MATCH(Q1134,ctaNombre,0))&amp;"",Q1134),Q1134))</f>
        <v/>
      </c>
      <c r="AC1134" s="52">
        <f>IF(OR(K1134="",AND(P1134&lt;&gt;"Transferencia",P1134&lt;&gt;"Pago tarjeta")),"",IFERROR(IF(INDEX(ctaVinc,MATCH(K1134,ctaNombre,0))&amp;""&lt;&gt;"",INDEX(ctaVinc,MATCH(K1134,ctaNombre,0))&amp;"",K1134),K1134))</f>
        <v/>
      </c>
      <c r="AD1134" s="52">
        <f>IF(AB1134="","",IFERROR(INDEX(ctaTipo,MATCH(AB1134,ctaNombre,0))&amp;"",""))</f>
        <v/>
      </c>
      <c r="AE1134" s="52">
        <f>IF(AC1134="","",IFERROR(INDEX(ctaTipo,MATCH(AC1134,ctaNombre,0))&amp;"",""))</f>
        <v/>
      </c>
      <c r="AF1134" s="53">
        <f>IF(OR(P1134="",AB1134=""),"",IF(OR(P1134="Gasto",P1134="Transferencia",P1134="Pago tarjeta"),-1,1)*IF(IFERROR(INDEX(ctaMoneda,MATCH(AB1134,ctaNombre,0))&amp;"","DOP")="USD",T1134,S1134))</f>
        <v/>
      </c>
      <c r="AG1134" s="53">
        <f>IF(AC1134="","",IF(IFERROR(INDEX(ctaMoneda,MATCH(AC1134,ctaNombre,0))&amp;"","DOP")="USD",T1134,S1134))</f>
        <v/>
      </c>
      <c r="AH1134" s="53">
        <f>IF(P1134="","",IF(AND(AD1134&lt;&gt;"",COUNTIFS(tcTipo,AD1134,tcLiq,"Sí")&gt;0),IF(OR(P1134="Gasto",P1134="Transferencia",P1134="Pago tarjeta"),-1,1)*S1134,0)+IF(AND(AE1134&lt;&gt;"",COUNTIFS(tcTipo,AE1134,tcLiq,"Sí")&gt;0),S1134,0))</f>
        <v/>
      </c>
      <c r="AI1134" s="52">
        <f>IF(OR(L1134="",P1134=""),"",IF(COUNTIFS(L$6:L1134,L1134,P$6:P1134,"?*")=1,MAX(AI$5:AI1133)+1,""))</f>
        <v/>
      </c>
    </row>
    <row r="1135">
      <c r="B1135" s="47" t="n"/>
      <c r="C1135" s="48" t="n"/>
      <c r="D1135" s="48" t="n"/>
      <c r="E1135" s="48" t="n"/>
      <c r="F1135" s="48" t="n"/>
      <c r="G1135" s="49" t="n"/>
      <c r="H1135" s="48" t="n"/>
      <c r="I1135" s="50" t="n"/>
      <c r="J1135" s="48" t="n"/>
      <c r="K1135" s="48" t="n"/>
      <c r="L1135" s="48" t="n"/>
      <c r="M1135" s="48" t="n"/>
      <c r="N1135" s="48" t="n"/>
      <c r="O1135" s="51">
        <f>IF(AND(B1135="",G1135="",C1135="",D1135="",J1135=""),"",IF(B1135="","⚠ Falta fecha",IF(G1135="","⚠ Falta monto",IF(Q1135="","⚠ Falta cuenta",IF(ISNA(MATCH(Q1135,ctaNombre,0)),"⚠ Cuenta no registrada",IF(AND(OR(P1135="Gasto",P1135="Reembolso"),D1135=""),"⚠ Falta categoría",IF(AND(D1135&lt;&gt;"",E1135&lt;&gt;"",ISNA(MATCH(D1135&amp;"|"&amp;E1135,catClave,0))),"⚠ Subcategoría no corresponde",IF(AND(OR(P1135="Transferencia",P1135="Pago tarjeta"),K1135=""),"⚠ Falta cuenta destino",IF(AND(K1135&lt;&gt;"",P1135&lt;&gt;"Transferencia",P1135&lt;&gt;"Pago tarjeta"),"⚠ Destino solo aplica a transferencias",IF(AND(K1135&lt;&gt;"",K1135=Q1135),"⚠ Origen igual a destino",IF(AND(K1135&lt;&gt;"",ISNA(MATCH(K1135,ctaNombre,0))),"⚠ Destino no registrado",IF(AND(P1135="Pago tarjeta",AE1135&lt;&gt;"Tarjeta de crédito"),"⚠ El destino debe ser tarjeta de crédito",IF(AND(P1135="Gasto",E1135="Depósitos y retiros"),"⚠ Usa tipo Transferencia",IF(AND(P1135="Resultado trading",AD1135&lt;&gt;"Cuenta de trading"),"⚠ Usa una cuenta de trading",IF(AND(G1135&lt;=0,P1135&lt;&gt;"Ajuste",P1135&lt;&gt;"Resultado trading"),"⚠ El monto debe ser positivo","✓")))))))))))))))</f>
        <v/>
      </c>
      <c r="P1135" s="52">
        <f>IF(OR(B1135="",G1135=""),"",IF(C1135="","Gasto",C1135))</f>
        <v/>
      </c>
      <c r="Q1135" s="52">
        <f>IF(P1135="","",IF(J1135&lt;&gt;"",J1135,CuentaPred&amp;""))</f>
        <v/>
      </c>
      <c r="R1135" s="52">
        <f>IF(P1135="","",IF(ISNUMBER(I1135),I1135,TasaUSD))</f>
        <v/>
      </c>
      <c r="S1135" s="53">
        <f>IF(P1135="","",IF(H1135="USD",G1135*R1135,G1135))</f>
        <v/>
      </c>
      <c r="T1135" s="53">
        <f>IF(P1135="","",IF(H1135="USD",G1135,IF(R1135&gt;0,G1135/R1135,0)))</f>
        <v/>
      </c>
      <c r="U1135" s="53">
        <f>IF(P1135="","",IF(P1135="Gasto",S1135,IF(P1135="Reembolso",-S1135,0)))</f>
        <v/>
      </c>
      <c r="V1135" s="53">
        <f>IF(P1135="","",IF(P1135="Ingreso",S1135,0))</f>
        <v/>
      </c>
      <c r="W1135" s="53">
        <f>IF(P1135="","",IF(P1135="Resultado trading",S1135,0))</f>
        <v/>
      </c>
      <c r="X1135" s="52">
        <f>IF(OR(P1135="Gasto",P1135="Reembolso"),IF(M1135&lt;&gt;"",M1135,IFERROR(INDEX(catClasif,MATCH(D1135&amp;"|"&amp;E1135,catClave,0))&amp;"","Variable")),"")</f>
        <v/>
      </c>
      <c r="Y1135" s="52">
        <f>IF(P1135="","",IFERROR(INDEX(catGrupo,MATCH(D1135&amp;"|"&amp;E1135,catClave,0))&amp;"",""))</f>
        <v/>
      </c>
      <c r="Z1135" s="52">
        <f>IF(P1135="","",WEEKDAY(B1135,2))</f>
        <v/>
      </c>
      <c r="AA1135" s="52">
        <f>IF(P1135="","",IF(AND(P1135="Gasto",X1135="Variable",D1135&lt;&gt;catTrading,S1135&gt;0,S1135&lt;=Umbral),1,0))</f>
        <v/>
      </c>
      <c r="AB1135" s="52">
        <f>IF(OR(P1135="",Q1135=""),"",IFERROR(IF(INDEX(ctaVinc,MATCH(Q1135,ctaNombre,0))&amp;""&lt;&gt;"",INDEX(ctaVinc,MATCH(Q1135,ctaNombre,0))&amp;"",Q1135),Q1135))</f>
        <v/>
      </c>
      <c r="AC1135" s="52">
        <f>IF(OR(K1135="",AND(P1135&lt;&gt;"Transferencia",P1135&lt;&gt;"Pago tarjeta")),"",IFERROR(IF(INDEX(ctaVinc,MATCH(K1135,ctaNombre,0))&amp;""&lt;&gt;"",INDEX(ctaVinc,MATCH(K1135,ctaNombre,0))&amp;"",K1135),K1135))</f>
        <v/>
      </c>
      <c r="AD1135" s="52">
        <f>IF(AB1135="","",IFERROR(INDEX(ctaTipo,MATCH(AB1135,ctaNombre,0))&amp;"",""))</f>
        <v/>
      </c>
      <c r="AE1135" s="52">
        <f>IF(AC1135="","",IFERROR(INDEX(ctaTipo,MATCH(AC1135,ctaNombre,0))&amp;"",""))</f>
        <v/>
      </c>
      <c r="AF1135" s="53">
        <f>IF(OR(P1135="",AB1135=""),"",IF(OR(P1135="Gasto",P1135="Transferencia",P1135="Pago tarjeta"),-1,1)*IF(IFERROR(INDEX(ctaMoneda,MATCH(AB1135,ctaNombre,0))&amp;"","DOP")="USD",T1135,S1135))</f>
        <v/>
      </c>
      <c r="AG1135" s="53">
        <f>IF(AC1135="","",IF(IFERROR(INDEX(ctaMoneda,MATCH(AC1135,ctaNombre,0))&amp;"","DOP")="USD",T1135,S1135))</f>
        <v/>
      </c>
      <c r="AH1135" s="53">
        <f>IF(P1135="","",IF(AND(AD1135&lt;&gt;"",COUNTIFS(tcTipo,AD1135,tcLiq,"Sí")&gt;0),IF(OR(P1135="Gasto",P1135="Transferencia",P1135="Pago tarjeta"),-1,1)*S1135,0)+IF(AND(AE1135&lt;&gt;"",COUNTIFS(tcTipo,AE1135,tcLiq,"Sí")&gt;0),S1135,0))</f>
        <v/>
      </c>
      <c r="AI1135" s="52">
        <f>IF(OR(L1135="",P1135=""),"",IF(COUNTIFS(L$6:L1135,L1135,P$6:P1135,"?*")=1,MAX(AI$5:AI1134)+1,""))</f>
        <v/>
      </c>
    </row>
    <row r="1136">
      <c r="B1136" s="47" t="n"/>
      <c r="C1136" s="48" t="n"/>
      <c r="D1136" s="48" t="n"/>
      <c r="E1136" s="48" t="n"/>
      <c r="F1136" s="48" t="n"/>
      <c r="G1136" s="49" t="n"/>
      <c r="H1136" s="48" t="n"/>
      <c r="I1136" s="50" t="n"/>
      <c r="J1136" s="48" t="n"/>
      <c r="K1136" s="48" t="n"/>
      <c r="L1136" s="48" t="n"/>
      <c r="M1136" s="48" t="n"/>
      <c r="N1136" s="48" t="n"/>
      <c r="O1136" s="51">
        <f>IF(AND(B1136="",G1136="",C1136="",D1136="",J1136=""),"",IF(B1136="","⚠ Falta fecha",IF(G1136="","⚠ Falta monto",IF(Q1136="","⚠ Falta cuenta",IF(ISNA(MATCH(Q1136,ctaNombre,0)),"⚠ Cuenta no registrada",IF(AND(OR(P1136="Gasto",P1136="Reembolso"),D1136=""),"⚠ Falta categoría",IF(AND(D1136&lt;&gt;"",E1136&lt;&gt;"",ISNA(MATCH(D1136&amp;"|"&amp;E1136,catClave,0))),"⚠ Subcategoría no corresponde",IF(AND(OR(P1136="Transferencia",P1136="Pago tarjeta"),K1136=""),"⚠ Falta cuenta destino",IF(AND(K1136&lt;&gt;"",P1136&lt;&gt;"Transferencia",P1136&lt;&gt;"Pago tarjeta"),"⚠ Destino solo aplica a transferencias",IF(AND(K1136&lt;&gt;"",K1136=Q1136),"⚠ Origen igual a destino",IF(AND(K1136&lt;&gt;"",ISNA(MATCH(K1136,ctaNombre,0))),"⚠ Destino no registrado",IF(AND(P1136="Pago tarjeta",AE1136&lt;&gt;"Tarjeta de crédito"),"⚠ El destino debe ser tarjeta de crédito",IF(AND(P1136="Gasto",E1136="Depósitos y retiros"),"⚠ Usa tipo Transferencia",IF(AND(P1136="Resultado trading",AD1136&lt;&gt;"Cuenta de trading"),"⚠ Usa una cuenta de trading",IF(AND(G1136&lt;=0,P1136&lt;&gt;"Ajuste",P1136&lt;&gt;"Resultado trading"),"⚠ El monto debe ser positivo","✓")))))))))))))))</f>
        <v/>
      </c>
      <c r="P1136" s="52">
        <f>IF(OR(B1136="",G1136=""),"",IF(C1136="","Gasto",C1136))</f>
        <v/>
      </c>
      <c r="Q1136" s="52">
        <f>IF(P1136="","",IF(J1136&lt;&gt;"",J1136,CuentaPred&amp;""))</f>
        <v/>
      </c>
      <c r="R1136" s="52">
        <f>IF(P1136="","",IF(ISNUMBER(I1136),I1136,TasaUSD))</f>
        <v/>
      </c>
      <c r="S1136" s="53">
        <f>IF(P1136="","",IF(H1136="USD",G1136*R1136,G1136))</f>
        <v/>
      </c>
      <c r="T1136" s="53">
        <f>IF(P1136="","",IF(H1136="USD",G1136,IF(R1136&gt;0,G1136/R1136,0)))</f>
        <v/>
      </c>
      <c r="U1136" s="53">
        <f>IF(P1136="","",IF(P1136="Gasto",S1136,IF(P1136="Reembolso",-S1136,0)))</f>
        <v/>
      </c>
      <c r="V1136" s="53">
        <f>IF(P1136="","",IF(P1136="Ingreso",S1136,0))</f>
        <v/>
      </c>
      <c r="W1136" s="53">
        <f>IF(P1136="","",IF(P1136="Resultado trading",S1136,0))</f>
        <v/>
      </c>
      <c r="X1136" s="52">
        <f>IF(OR(P1136="Gasto",P1136="Reembolso"),IF(M1136&lt;&gt;"",M1136,IFERROR(INDEX(catClasif,MATCH(D1136&amp;"|"&amp;E1136,catClave,0))&amp;"","Variable")),"")</f>
        <v/>
      </c>
      <c r="Y1136" s="52">
        <f>IF(P1136="","",IFERROR(INDEX(catGrupo,MATCH(D1136&amp;"|"&amp;E1136,catClave,0))&amp;"",""))</f>
        <v/>
      </c>
      <c r="Z1136" s="52">
        <f>IF(P1136="","",WEEKDAY(B1136,2))</f>
        <v/>
      </c>
      <c r="AA1136" s="52">
        <f>IF(P1136="","",IF(AND(P1136="Gasto",X1136="Variable",D1136&lt;&gt;catTrading,S1136&gt;0,S1136&lt;=Umbral),1,0))</f>
        <v/>
      </c>
      <c r="AB1136" s="52">
        <f>IF(OR(P1136="",Q1136=""),"",IFERROR(IF(INDEX(ctaVinc,MATCH(Q1136,ctaNombre,0))&amp;""&lt;&gt;"",INDEX(ctaVinc,MATCH(Q1136,ctaNombre,0))&amp;"",Q1136),Q1136))</f>
        <v/>
      </c>
      <c r="AC1136" s="52">
        <f>IF(OR(K1136="",AND(P1136&lt;&gt;"Transferencia",P1136&lt;&gt;"Pago tarjeta")),"",IFERROR(IF(INDEX(ctaVinc,MATCH(K1136,ctaNombre,0))&amp;""&lt;&gt;"",INDEX(ctaVinc,MATCH(K1136,ctaNombre,0))&amp;"",K1136),K1136))</f>
        <v/>
      </c>
      <c r="AD1136" s="52">
        <f>IF(AB1136="","",IFERROR(INDEX(ctaTipo,MATCH(AB1136,ctaNombre,0))&amp;"",""))</f>
        <v/>
      </c>
      <c r="AE1136" s="52">
        <f>IF(AC1136="","",IFERROR(INDEX(ctaTipo,MATCH(AC1136,ctaNombre,0))&amp;"",""))</f>
        <v/>
      </c>
      <c r="AF1136" s="53">
        <f>IF(OR(P1136="",AB1136=""),"",IF(OR(P1136="Gasto",P1136="Transferencia",P1136="Pago tarjeta"),-1,1)*IF(IFERROR(INDEX(ctaMoneda,MATCH(AB1136,ctaNombre,0))&amp;"","DOP")="USD",T1136,S1136))</f>
        <v/>
      </c>
      <c r="AG1136" s="53">
        <f>IF(AC1136="","",IF(IFERROR(INDEX(ctaMoneda,MATCH(AC1136,ctaNombre,0))&amp;"","DOP")="USD",T1136,S1136))</f>
        <v/>
      </c>
      <c r="AH1136" s="53">
        <f>IF(P1136="","",IF(AND(AD1136&lt;&gt;"",COUNTIFS(tcTipo,AD1136,tcLiq,"Sí")&gt;0),IF(OR(P1136="Gasto",P1136="Transferencia",P1136="Pago tarjeta"),-1,1)*S1136,0)+IF(AND(AE1136&lt;&gt;"",COUNTIFS(tcTipo,AE1136,tcLiq,"Sí")&gt;0),S1136,0))</f>
        <v/>
      </c>
      <c r="AI1136" s="52">
        <f>IF(OR(L1136="",P1136=""),"",IF(COUNTIFS(L$6:L1136,L1136,P$6:P1136,"?*")=1,MAX(AI$5:AI1135)+1,""))</f>
        <v/>
      </c>
    </row>
    <row r="1137">
      <c r="B1137" s="47" t="n"/>
      <c r="C1137" s="48" t="n"/>
      <c r="D1137" s="48" t="n"/>
      <c r="E1137" s="48" t="n"/>
      <c r="F1137" s="48" t="n"/>
      <c r="G1137" s="49" t="n"/>
      <c r="H1137" s="48" t="n"/>
      <c r="I1137" s="50" t="n"/>
      <c r="J1137" s="48" t="n"/>
      <c r="K1137" s="48" t="n"/>
      <c r="L1137" s="48" t="n"/>
      <c r="M1137" s="48" t="n"/>
      <c r="N1137" s="48" t="n"/>
      <c r="O1137" s="51">
        <f>IF(AND(B1137="",G1137="",C1137="",D1137="",J1137=""),"",IF(B1137="","⚠ Falta fecha",IF(G1137="","⚠ Falta monto",IF(Q1137="","⚠ Falta cuenta",IF(ISNA(MATCH(Q1137,ctaNombre,0)),"⚠ Cuenta no registrada",IF(AND(OR(P1137="Gasto",P1137="Reembolso"),D1137=""),"⚠ Falta categoría",IF(AND(D1137&lt;&gt;"",E1137&lt;&gt;"",ISNA(MATCH(D1137&amp;"|"&amp;E1137,catClave,0))),"⚠ Subcategoría no corresponde",IF(AND(OR(P1137="Transferencia",P1137="Pago tarjeta"),K1137=""),"⚠ Falta cuenta destino",IF(AND(K1137&lt;&gt;"",P1137&lt;&gt;"Transferencia",P1137&lt;&gt;"Pago tarjeta"),"⚠ Destino solo aplica a transferencias",IF(AND(K1137&lt;&gt;"",K1137=Q1137),"⚠ Origen igual a destino",IF(AND(K1137&lt;&gt;"",ISNA(MATCH(K1137,ctaNombre,0))),"⚠ Destino no registrado",IF(AND(P1137="Pago tarjeta",AE1137&lt;&gt;"Tarjeta de crédito"),"⚠ El destino debe ser tarjeta de crédito",IF(AND(P1137="Gasto",E1137="Depósitos y retiros"),"⚠ Usa tipo Transferencia",IF(AND(P1137="Resultado trading",AD1137&lt;&gt;"Cuenta de trading"),"⚠ Usa una cuenta de trading",IF(AND(G1137&lt;=0,P1137&lt;&gt;"Ajuste",P1137&lt;&gt;"Resultado trading"),"⚠ El monto debe ser positivo","✓")))))))))))))))</f>
        <v/>
      </c>
      <c r="P1137" s="52">
        <f>IF(OR(B1137="",G1137=""),"",IF(C1137="","Gasto",C1137))</f>
        <v/>
      </c>
      <c r="Q1137" s="52">
        <f>IF(P1137="","",IF(J1137&lt;&gt;"",J1137,CuentaPred&amp;""))</f>
        <v/>
      </c>
      <c r="R1137" s="52">
        <f>IF(P1137="","",IF(ISNUMBER(I1137),I1137,TasaUSD))</f>
        <v/>
      </c>
      <c r="S1137" s="53">
        <f>IF(P1137="","",IF(H1137="USD",G1137*R1137,G1137))</f>
        <v/>
      </c>
      <c r="T1137" s="53">
        <f>IF(P1137="","",IF(H1137="USD",G1137,IF(R1137&gt;0,G1137/R1137,0)))</f>
        <v/>
      </c>
      <c r="U1137" s="53">
        <f>IF(P1137="","",IF(P1137="Gasto",S1137,IF(P1137="Reembolso",-S1137,0)))</f>
        <v/>
      </c>
      <c r="V1137" s="53">
        <f>IF(P1137="","",IF(P1137="Ingreso",S1137,0))</f>
        <v/>
      </c>
      <c r="W1137" s="53">
        <f>IF(P1137="","",IF(P1137="Resultado trading",S1137,0))</f>
        <v/>
      </c>
      <c r="X1137" s="52">
        <f>IF(OR(P1137="Gasto",P1137="Reembolso"),IF(M1137&lt;&gt;"",M1137,IFERROR(INDEX(catClasif,MATCH(D1137&amp;"|"&amp;E1137,catClave,0))&amp;"","Variable")),"")</f>
        <v/>
      </c>
      <c r="Y1137" s="52">
        <f>IF(P1137="","",IFERROR(INDEX(catGrupo,MATCH(D1137&amp;"|"&amp;E1137,catClave,0))&amp;"",""))</f>
        <v/>
      </c>
      <c r="Z1137" s="52">
        <f>IF(P1137="","",WEEKDAY(B1137,2))</f>
        <v/>
      </c>
      <c r="AA1137" s="52">
        <f>IF(P1137="","",IF(AND(P1137="Gasto",X1137="Variable",D1137&lt;&gt;catTrading,S1137&gt;0,S1137&lt;=Umbral),1,0))</f>
        <v/>
      </c>
      <c r="AB1137" s="52">
        <f>IF(OR(P1137="",Q1137=""),"",IFERROR(IF(INDEX(ctaVinc,MATCH(Q1137,ctaNombre,0))&amp;""&lt;&gt;"",INDEX(ctaVinc,MATCH(Q1137,ctaNombre,0))&amp;"",Q1137),Q1137))</f>
        <v/>
      </c>
      <c r="AC1137" s="52">
        <f>IF(OR(K1137="",AND(P1137&lt;&gt;"Transferencia",P1137&lt;&gt;"Pago tarjeta")),"",IFERROR(IF(INDEX(ctaVinc,MATCH(K1137,ctaNombre,0))&amp;""&lt;&gt;"",INDEX(ctaVinc,MATCH(K1137,ctaNombre,0))&amp;"",K1137),K1137))</f>
        <v/>
      </c>
      <c r="AD1137" s="52">
        <f>IF(AB1137="","",IFERROR(INDEX(ctaTipo,MATCH(AB1137,ctaNombre,0))&amp;"",""))</f>
        <v/>
      </c>
      <c r="AE1137" s="52">
        <f>IF(AC1137="","",IFERROR(INDEX(ctaTipo,MATCH(AC1137,ctaNombre,0))&amp;"",""))</f>
        <v/>
      </c>
      <c r="AF1137" s="53">
        <f>IF(OR(P1137="",AB1137=""),"",IF(OR(P1137="Gasto",P1137="Transferencia",P1137="Pago tarjeta"),-1,1)*IF(IFERROR(INDEX(ctaMoneda,MATCH(AB1137,ctaNombre,0))&amp;"","DOP")="USD",T1137,S1137))</f>
        <v/>
      </c>
      <c r="AG1137" s="53">
        <f>IF(AC1137="","",IF(IFERROR(INDEX(ctaMoneda,MATCH(AC1137,ctaNombre,0))&amp;"","DOP")="USD",T1137,S1137))</f>
        <v/>
      </c>
      <c r="AH1137" s="53">
        <f>IF(P1137="","",IF(AND(AD1137&lt;&gt;"",COUNTIFS(tcTipo,AD1137,tcLiq,"Sí")&gt;0),IF(OR(P1137="Gasto",P1137="Transferencia",P1137="Pago tarjeta"),-1,1)*S1137,0)+IF(AND(AE1137&lt;&gt;"",COUNTIFS(tcTipo,AE1137,tcLiq,"Sí")&gt;0),S1137,0))</f>
        <v/>
      </c>
      <c r="AI1137" s="52">
        <f>IF(OR(L1137="",P1137=""),"",IF(COUNTIFS(L$6:L1137,L1137,P$6:P1137,"?*")=1,MAX(AI$5:AI1136)+1,""))</f>
        <v/>
      </c>
    </row>
    <row r="1138">
      <c r="B1138" s="47" t="n"/>
      <c r="C1138" s="48" t="n"/>
      <c r="D1138" s="48" t="n"/>
      <c r="E1138" s="48" t="n"/>
      <c r="F1138" s="48" t="n"/>
      <c r="G1138" s="49" t="n"/>
      <c r="H1138" s="48" t="n"/>
      <c r="I1138" s="50" t="n"/>
      <c r="J1138" s="48" t="n"/>
      <c r="K1138" s="48" t="n"/>
      <c r="L1138" s="48" t="n"/>
      <c r="M1138" s="48" t="n"/>
      <c r="N1138" s="48" t="n"/>
      <c r="O1138" s="51">
        <f>IF(AND(B1138="",G1138="",C1138="",D1138="",J1138=""),"",IF(B1138="","⚠ Falta fecha",IF(G1138="","⚠ Falta monto",IF(Q1138="","⚠ Falta cuenta",IF(ISNA(MATCH(Q1138,ctaNombre,0)),"⚠ Cuenta no registrada",IF(AND(OR(P1138="Gasto",P1138="Reembolso"),D1138=""),"⚠ Falta categoría",IF(AND(D1138&lt;&gt;"",E1138&lt;&gt;"",ISNA(MATCH(D1138&amp;"|"&amp;E1138,catClave,0))),"⚠ Subcategoría no corresponde",IF(AND(OR(P1138="Transferencia",P1138="Pago tarjeta"),K1138=""),"⚠ Falta cuenta destino",IF(AND(K1138&lt;&gt;"",P1138&lt;&gt;"Transferencia",P1138&lt;&gt;"Pago tarjeta"),"⚠ Destino solo aplica a transferencias",IF(AND(K1138&lt;&gt;"",K1138=Q1138),"⚠ Origen igual a destino",IF(AND(K1138&lt;&gt;"",ISNA(MATCH(K1138,ctaNombre,0))),"⚠ Destino no registrado",IF(AND(P1138="Pago tarjeta",AE1138&lt;&gt;"Tarjeta de crédito"),"⚠ El destino debe ser tarjeta de crédito",IF(AND(P1138="Gasto",E1138="Depósitos y retiros"),"⚠ Usa tipo Transferencia",IF(AND(P1138="Resultado trading",AD1138&lt;&gt;"Cuenta de trading"),"⚠ Usa una cuenta de trading",IF(AND(G1138&lt;=0,P1138&lt;&gt;"Ajuste",P1138&lt;&gt;"Resultado trading"),"⚠ El monto debe ser positivo","✓")))))))))))))))</f>
        <v/>
      </c>
      <c r="P1138" s="52">
        <f>IF(OR(B1138="",G1138=""),"",IF(C1138="","Gasto",C1138))</f>
        <v/>
      </c>
      <c r="Q1138" s="52">
        <f>IF(P1138="","",IF(J1138&lt;&gt;"",J1138,CuentaPred&amp;""))</f>
        <v/>
      </c>
      <c r="R1138" s="52">
        <f>IF(P1138="","",IF(ISNUMBER(I1138),I1138,TasaUSD))</f>
        <v/>
      </c>
      <c r="S1138" s="53">
        <f>IF(P1138="","",IF(H1138="USD",G1138*R1138,G1138))</f>
        <v/>
      </c>
      <c r="T1138" s="53">
        <f>IF(P1138="","",IF(H1138="USD",G1138,IF(R1138&gt;0,G1138/R1138,0)))</f>
        <v/>
      </c>
      <c r="U1138" s="53">
        <f>IF(P1138="","",IF(P1138="Gasto",S1138,IF(P1138="Reembolso",-S1138,0)))</f>
        <v/>
      </c>
      <c r="V1138" s="53">
        <f>IF(P1138="","",IF(P1138="Ingreso",S1138,0))</f>
        <v/>
      </c>
      <c r="W1138" s="53">
        <f>IF(P1138="","",IF(P1138="Resultado trading",S1138,0))</f>
        <v/>
      </c>
      <c r="X1138" s="52">
        <f>IF(OR(P1138="Gasto",P1138="Reembolso"),IF(M1138&lt;&gt;"",M1138,IFERROR(INDEX(catClasif,MATCH(D1138&amp;"|"&amp;E1138,catClave,0))&amp;"","Variable")),"")</f>
        <v/>
      </c>
      <c r="Y1138" s="52">
        <f>IF(P1138="","",IFERROR(INDEX(catGrupo,MATCH(D1138&amp;"|"&amp;E1138,catClave,0))&amp;"",""))</f>
        <v/>
      </c>
      <c r="Z1138" s="52">
        <f>IF(P1138="","",WEEKDAY(B1138,2))</f>
        <v/>
      </c>
      <c r="AA1138" s="52">
        <f>IF(P1138="","",IF(AND(P1138="Gasto",X1138="Variable",D1138&lt;&gt;catTrading,S1138&gt;0,S1138&lt;=Umbral),1,0))</f>
        <v/>
      </c>
      <c r="AB1138" s="52">
        <f>IF(OR(P1138="",Q1138=""),"",IFERROR(IF(INDEX(ctaVinc,MATCH(Q1138,ctaNombre,0))&amp;""&lt;&gt;"",INDEX(ctaVinc,MATCH(Q1138,ctaNombre,0))&amp;"",Q1138),Q1138))</f>
        <v/>
      </c>
      <c r="AC1138" s="52">
        <f>IF(OR(K1138="",AND(P1138&lt;&gt;"Transferencia",P1138&lt;&gt;"Pago tarjeta")),"",IFERROR(IF(INDEX(ctaVinc,MATCH(K1138,ctaNombre,0))&amp;""&lt;&gt;"",INDEX(ctaVinc,MATCH(K1138,ctaNombre,0))&amp;"",K1138),K1138))</f>
        <v/>
      </c>
      <c r="AD1138" s="52">
        <f>IF(AB1138="","",IFERROR(INDEX(ctaTipo,MATCH(AB1138,ctaNombre,0))&amp;"",""))</f>
        <v/>
      </c>
      <c r="AE1138" s="52">
        <f>IF(AC1138="","",IFERROR(INDEX(ctaTipo,MATCH(AC1138,ctaNombre,0))&amp;"",""))</f>
        <v/>
      </c>
      <c r="AF1138" s="53">
        <f>IF(OR(P1138="",AB1138=""),"",IF(OR(P1138="Gasto",P1138="Transferencia",P1138="Pago tarjeta"),-1,1)*IF(IFERROR(INDEX(ctaMoneda,MATCH(AB1138,ctaNombre,0))&amp;"","DOP")="USD",T1138,S1138))</f>
        <v/>
      </c>
      <c r="AG1138" s="53">
        <f>IF(AC1138="","",IF(IFERROR(INDEX(ctaMoneda,MATCH(AC1138,ctaNombre,0))&amp;"","DOP")="USD",T1138,S1138))</f>
        <v/>
      </c>
      <c r="AH1138" s="53">
        <f>IF(P1138="","",IF(AND(AD1138&lt;&gt;"",COUNTIFS(tcTipo,AD1138,tcLiq,"Sí")&gt;0),IF(OR(P1138="Gasto",P1138="Transferencia",P1138="Pago tarjeta"),-1,1)*S1138,0)+IF(AND(AE1138&lt;&gt;"",COUNTIFS(tcTipo,AE1138,tcLiq,"Sí")&gt;0),S1138,0))</f>
        <v/>
      </c>
      <c r="AI1138" s="52">
        <f>IF(OR(L1138="",P1138=""),"",IF(COUNTIFS(L$6:L1138,L1138,P$6:P1138,"?*")=1,MAX(AI$5:AI1137)+1,""))</f>
        <v/>
      </c>
    </row>
    <row r="1139">
      <c r="B1139" s="47" t="n"/>
      <c r="C1139" s="48" t="n"/>
      <c r="D1139" s="48" t="n"/>
      <c r="E1139" s="48" t="n"/>
      <c r="F1139" s="48" t="n"/>
      <c r="G1139" s="49" t="n"/>
      <c r="H1139" s="48" t="n"/>
      <c r="I1139" s="50" t="n"/>
      <c r="J1139" s="48" t="n"/>
      <c r="K1139" s="48" t="n"/>
      <c r="L1139" s="48" t="n"/>
      <c r="M1139" s="48" t="n"/>
      <c r="N1139" s="48" t="n"/>
      <c r="O1139" s="51">
        <f>IF(AND(B1139="",G1139="",C1139="",D1139="",J1139=""),"",IF(B1139="","⚠ Falta fecha",IF(G1139="","⚠ Falta monto",IF(Q1139="","⚠ Falta cuenta",IF(ISNA(MATCH(Q1139,ctaNombre,0)),"⚠ Cuenta no registrada",IF(AND(OR(P1139="Gasto",P1139="Reembolso"),D1139=""),"⚠ Falta categoría",IF(AND(D1139&lt;&gt;"",E1139&lt;&gt;"",ISNA(MATCH(D1139&amp;"|"&amp;E1139,catClave,0))),"⚠ Subcategoría no corresponde",IF(AND(OR(P1139="Transferencia",P1139="Pago tarjeta"),K1139=""),"⚠ Falta cuenta destino",IF(AND(K1139&lt;&gt;"",P1139&lt;&gt;"Transferencia",P1139&lt;&gt;"Pago tarjeta"),"⚠ Destino solo aplica a transferencias",IF(AND(K1139&lt;&gt;"",K1139=Q1139),"⚠ Origen igual a destino",IF(AND(K1139&lt;&gt;"",ISNA(MATCH(K1139,ctaNombre,0))),"⚠ Destino no registrado",IF(AND(P1139="Pago tarjeta",AE1139&lt;&gt;"Tarjeta de crédito"),"⚠ El destino debe ser tarjeta de crédito",IF(AND(P1139="Gasto",E1139="Depósitos y retiros"),"⚠ Usa tipo Transferencia",IF(AND(P1139="Resultado trading",AD1139&lt;&gt;"Cuenta de trading"),"⚠ Usa una cuenta de trading",IF(AND(G1139&lt;=0,P1139&lt;&gt;"Ajuste",P1139&lt;&gt;"Resultado trading"),"⚠ El monto debe ser positivo","✓")))))))))))))))</f>
        <v/>
      </c>
      <c r="P1139" s="52">
        <f>IF(OR(B1139="",G1139=""),"",IF(C1139="","Gasto",C1139))</f>
        <v/>
      </c>
      <c r="Q1139" s="52">
        <f>IF(P1139="","",IF(J1139&lt;&gt;"",J1139,CuentaPred&amp;""))</f>
        <v/>
      </c>
      <c r="R1139" s="52">
        <f>IF(P1139="","",IF(ISNUMBER(I1139),I1139,TasaUSD))</f>
        <v/>
      </c>
      <c r="S1139" s="53">
        <f>IF(P1139="","",IF(H1139="USD",G1139*R1139,G1139))</f>
        <v/>
      </c>
      <c r="T1139" s="53">
        <f>IF(P1139="","",IF(H1139="USD",G1139,IF(R1139&gt;0,G1139/R1139,0)))</f>
        <v/>
      </c>
      <c r="U1139" s="53">
        <f>IF(P1139="","",IF(P1139="Gasto",S1139,IF(P1139="Reembolso",-S1139,0)))</f>
        <v/>
      </c>
      <c r="V1139" s="53">
        <f>IF(P1139="","",IF(P1139="Ingreso",S1139,0))</f>
        <v/>
      </c>
      <c r="W1139" s="53">
        <f>IF(P1139="","",IF(P1139="Resultado trading",S1139,0))</f>
        <v/>
      </c>
      <c r="X1139" s="52">
        <f>IF(OR(P1139="Gasto",P1139="Reembolso"),IF(M1139&lt;&gt;"",M1139,IFERROR(INDEX(catClasif,MATCH(D1139&amp;"|"&amp;E1139,catClave,0))&amp;"","Variable")),"")</f>
        <v/>
      </c>
      <c r="Y1139" s="52">
        <f>IF(P1139="","",IFERROR(INDEX(catGrupo,MATCH(D1139&amp;"|"&amp;E1139,catClave,0))&amp;"",""))</f>
        <v/>
      </c>
      <c r="Z1139" s="52">
        <f>IF(P1139="","",WEEKDAY(B1139,2))</f>
        <v/>
      </c>
      <c r="AA1139" s="52">
        <f>IF(P1139="","",IF(AND(P1139="Gasto",X1139="Variable",D1139&lt;&gt;catTrading,S1139&gt;0,S1139&lt;=Umbral),1,0))</f>
        <v/>
      </c>
      <c r="AB1139" s="52">
        <f>IF(OR(P1139="",Q1139=""),"",IFERROR(IF(INDEX(ctaVinc,MATCH(Q1139,ctaNombre,0))&amp;""&lt;&gt;"",INDEX(ctaVinc,MATCH(Q1139,ctaNombre,0))&amp;"",Q1139),Q1139))</f>
        <v/>
      </c>
      <c r="AC1139" s="52">
        <f>IF(OR(K1139="",AND(P1139&lt;&gt;"Transferencia",P1139&lt;&gt;"Pago tarjeta")),"",IFERROR(IF(INDEX(ctaVinc,MATCH(K1139,ctaNombre,0))&amp;""&lt;&gt;"",INDEX(ctaVinc,MATCH(K1139,ctaNombre,0))&amp;"",K1139),K1139))</f>
        <v/>
      </c>
      <c r="AD1139" s="52">
        <f>IF(AB1139="","",IFERROR(INDEX(ctaTipo,MATCH(AB1139,ctaNombre,0))&amp;"",""))</f>
        <v/>
      </c>
      <c r="AE1139" s="52">
        <f>IF(AC1139="","",IFERROR(INDEX(ctaTipo,MATCH(AC1139,ctaNombre,0))&amp;"",""))</f>
        <v/>
      </c>
      <c r="AF1139" s="53">
        <f>IF(OR(P1139="",AB1139=""),"",IF(OR(P1139="Gasto",P1139="Transferencia",P1139="Pago tarjeta"),-1,1)*IF(IFERROR(INDEX(ctaMoneda,MATCH(AB1139,ctaNombre,0))&amp;"","DOP")="USD",T1139,S1139))</f>
        <v/>
      </c>
      <c r="AG1139" s="53">
        <f>IF(AC1139="","",IF(IFERROR(INDEX(ctaMoneda,MATCH(AC1139,ctaNombre,0))&amp;"","DOP")="USD",T1139,S1139))</f>
        <v/>
      </c>
      <c r="AH1139" s="53">
        <f>IF(P1139="","",IF(AND(AD1139&lt;&gt;"",COUNTIFS(tcTipo,AD1139,tcLiq,"Sí")&gt;0),IF(OR(P1139="Gasto",P1139="Transferencia",P1139="Pago tarjeta"),-1,1)*S1139,0)+IF(AND(AE1139&lt;&gt;"",COUNTIFS(tcTipo,AE1139,tcLiq,"Sí")&gt;0),S1139,0))</f>
        <v/>
      </c>
      <c r="AI1139" s="52">
        <f>IF(OR(L1139="",P1139=""),"",IF(COUNTIFS(L$6:L1139,L1139,P$6:P1139,"?*")=1,MAX(AI$5:AI1138)+1,""))</f>
        <v/>
      </c>
    </row>
    <row r="1140">
      <c r="B1140" s="47" t="n"/>
      <c r="C1140" s="48" t="n"/>
      <c r="D1140" s="48" t="n"/>
      <c r="E1140" s="48" t="n"/>
      <c r="F1140" s="48" t="n"/>
      <c r="G1140" s="49" t="n"/>
      <c r="H1140" s="48" t="n"/>
      <c r="I1140" s="50" t="n"/>
      <c r="J1140" s="48" t="n"/>
      <c r="K1140" s="48" t="n"/>
      <c r="L1140" s="48" t="n"/>
      <c r="M1140" s="48" t="n"/>
      <c r="N1140" s="48" t="n"/>
      <c r="O1140" s="51">
        <f>IF(AND(B1140="",G1140="",C1140="",D1140="",J1140=""),"",IF(B1140="","⚠ Falta fecha",IF(G1140="","⚠ Falta monto",IF(Q1140="","⚠ Falta cuenta",IF(ISNA(MATCH(Q1140,ctaNombre,0)),"⚠ Cuenta no registrada",IF(AND(OR(P1140="Gasto",P1140="Reembolso"),D1140=""),"⚠ Falta categoría",IF(AND(D1140&lt;&gt;"",E1140&lt;&gt;"",ISNA(MATCH(D1140&amp;"|"&amp;E1140,catClave,0))),"⚠ Subcategoría no corresponde",IF(AND(OR(P1140="Transferencia",P1140="Pago tarjeta"),K1140=""),"⚠ Falta cuenta destino",IF(AND(K1140&lt;&gt;"",P1140&lt;&gt;"Transferencia",P1140&lt;&gt;"Pago tarjeta"),"⚠ Destino solo aplica a transferencias",IF(AND(K1140&lt;&gt;"",K1140=Q1140),"⚠ Origen igual a destino",IF(AND(K1140&lt;&gt;"",ISNA(MATCH(K1140,ctaNombre,0))),"⚠ Destino no registrado",IF(AND(P1140="Pago tarjeta",AE1140&lt;&gt;"Tarjeta de crédito"),"⚠ El destino debe ser tarjeta de crédito",IF(AND(P1140="Gasto",E1140="Depósitos y retiros"),"⚠ Usa tipo Transferencia",IF(AND(P1140="Resultado trading",AD1140&lt;&gt;"Cuenta de trading"),"⚠ Usa una cuenta de trading",IF(AND(G1140&lt;=0,P1140&lt;&gt;"Ajuste",P1140&lt;&gt;"Resultado trading"),"⚠ El monto debe ser positivo","✓")))))))))))))))</f>
        <v/>
      </c>
      <c r="P1140" s="52">
        <f>IF(OR(B1140="",G1140=""),"",IF(C1140="","Gasto",C1140))</f>
        <v/>
      </c>
      <c r="Q1140" s="52">
        <f>IF(P1140="","",IF(J1140&lt;&gt;"",J1140,CuentaPred&amp;""))</f>
        <v/>
      </c>
      <c r="R1140" s="52">
        <f>IF(P1140="","",IF(ISNUMBER(I1140),I1140,TasaUSD))</f>
        <v/>
      </c>
      <c r="S1140" s="53">
        <f>IF(P1140="","",IF(H1140="USD",G1140*R1140,G1140))</f>
        <v/>
      </c>
      <c r="T1140" s="53">
        <f>IF(P1140="","",IF(H1140="USD",G1140,IF(R1140&gt;0,G1140/R1140,0)))</f>
        <v/>
      </c>
      <c r="U1140" s="53">
        <f>IF(P1140="","",IF(P1140="Gasto",S1140,IF(P1140="Reembolso",-S1140,0)))</f>
        <v/>
      </c>
      <c r="V1140" s="53">
        <f>IF(P1140="","",IF(P1140="Ingreso",S1140,0))</f>
        <v/>
      </c>
      <c r="W1140" s="53">
        <f>IF(P1140="","",IF(P1140="Resultado trading",S1140,0))</f>
        <v/>
      </c>
      <c r="X1140" s="52">
        <f>IF(OR(P1140="Gasto",P1140="Reembolso"),IF(M1140&lt;&gt;"",M1140,IFERROR(INDEX(catClasif,MATCH(D1140&amp;"|"&amp;E1140,catClave,0))&amp;"","Variable")),"")</f>
        <v/>
      </c>
      <c r="Y1140" s="52">
        <f>IF(P1140="","",IFERROR(INDEX(catGrupo,MATCH(D1140&amp;"|"&amp;E1140,catClave,0))&amp;"",""))</f>
        <v/>
      </c>
      <c r="Z1140" s="52">
        <f>IF(P1140="","",WEEKDAY(B1140,2))</f>
        <v/>
      </c>
      <c r="AA1140" s="52">
        <f>IF(P1140="","",IF(AND(P1140="Gasto",X1140="Variable",D1140&lt;&gt;catTrading,S1140&gt;0,S1140&lt;=Umbral),1,0))</f>
        <v/>
      </c>
      <c r="AB1140" s="52">
        <f>IF(OR(P1140="",Q1140=""),"",IFERROR(IF(INDEX(ctaVinc,MATCH(Q1140,ctaNombre,0))&amp;""&lt;&gt;"",INDEX(ctaVinc,MATCH(Q1140,ctaNombre,0))&amp;"",Q1140),Q1140))</f>
        <v/>
      </c>
      <c r="AC1140" s="52">
        <f>IF(OR(K1140="",AND(P1140&lt;&gt;"Transferencia",P1140&lt;&gt;"Pago tarjeta")),"",IFERROR(IF(INDEX(ctaVinc,MATCH(K1140,ctaNombre,0))&amp;""&lt;&gt;"",INDEX(ctaVinc,MATCH(K1140,ctaNombre,0))&amp;"",K1140),K1140))</f>
        <v/>
      </c>
      <c r="AD1140" s="52">
        <f>IF(AB1140="","",IFERROR(INDEX(ctaTipo,MATCH(AB1140,ctaNombre,0))&amp;"",""))</f>
        <v/>
      </c>
      <c r="AE1140" s="52">
        <f>IF(AC1140="","",IFERROR(INDEX(ctaTipo,MATCH(AC1140,ctaNombre,0))&amp;"",""))</f>
        <v/>
      </c>
      <c r="AF1140" s="53">
        <f>IF(OR(P1140="",AB1140=""),"",IF(OR(P1140="Gasto",P1140="Transferencia",P1140="Pago tarjeta"),-1,1)*IF(IFERROR(INDEX(ctaMoneda,MATCH(AB1140,ctaNombre,0))&amp;"","DOP")="USD",T1140,S1140))</f>
        <v/>
      </c>
      <c r="AG1140" s="53">
        <f>IF(AC1140="","",IF(IFERROR(INDEX(ctaMoneda,MATCH(AC1140,ctaNombre,0))&amp;"","DOP")="USD",T1140,S1140))</f>
        <v/>
      </c>
      <c r="AH1140" s="53">
        <f>IF(P1140="","",IF(AND(AD1140&lt;&gt;"",COUNTIFS(tcTipo,AD1140,tcLiq,"Sí")&gt;0),IF(OR(P1140="Gasto",P1140="Transferencia",P1140="Pago tarjeta"),-1,1)*S1140,0)+IF(AND(AE1140&lt;&gt;"",COUNTIFS(tcTipo,AE1140,tcLiq,"Sí")&gt;0),S1140,0))</f>
        <v/>
      </c>
      <c r="AI1140" s="52">
        <f>IF(OR(L1140="",P1140=""),"",IF(COUNTIFS(L$6:L1140,L1140,P$6:P1140,"?*")=1,MAX(AI$5:AI1139)+1,""))</f>
        <v/>
      </c>
    </row>
    <row r="1141">
      <c r="B1141" s="47" t="n"/>
      <c r="C1141" s="48" t="n"/>
      <c r="D1141" s="48" t="n"/>
      <c r="E1141" s="48" t="n"/>
      <c r="F1141" s="48" t="n"/>
      <c r="G1141" s="49" t="n"/>
      <c r="H1141" s="48" t="n"/>
      <c r="I1141" s="50" t="n"/>
      <c r="J1141" s="48" t="n"/>
      <c r="K1141" s="48" t="n"/>
      <c r="L1141" s="48" t="n"/>
      <c r="M1141" s="48" t="n"/>
      <c r="N1141" s="48" t="n"/>
      <c r="O1141" s="51">
        <f>IF(AND(B1141="",G1141="",C1141="",D1141="",J1141=""),"",IF(B1141="","⚠ Falta fecha",IF(G1141="","⚠ Falta monto",IF(Q1141="","⚠ Falta cuenta",IF(ISNA(MATCH(Q1141,ctaNombre,0)),"⚠ Cuenta no registrada",IF(AND(OR(P1141="Gasto",P1141="Reembolso"),D1141=""),"⚠ Falta categoría",IF(AND(D1141&lt;&gt;"",E1141&lt;&gt;"",ISNA(MATCH(D1141&amp;"|"&amp;E1141,catClave,0))),"⚠ Subcategoría no corresponde",IF(AND(OR(P1141="Transferencia",P1141="Pago tarjeta"),K1141=""),"⚠ Falta cuenta destino",IF(AND(K1141&lt;&gt;"",P1141&lt;&gt;"Transferencia",P1141&lt;&gt;"Pago tarjeta"),"⚠ Destino solo aplica a transferencias",IF(AND(K1141&lt;&gt;"",K1141=Q1141),"⚠ Origen igual a destino",IF(AND(K1141&lt;&gt;"",ISNA(MATCH(K1141,ctaNombre,0))),"⚠ Destino no registrado",IF(AND(P1141="Pago tarjeta",AE1141&lt;&gt;"Tarjeta de crédito"),"⚠ El destino debe ser tarjeta de crédito",IF(AND(P1141="Gasto",E1141="Depósitos y retiros"),"⚠ Usa tipo Transferencia",IF(AND(P1141="Resultado trading",AD1141&lt;&gt;"Cuenta de trading"),"⚠ Usa una cuenta de trading",IF(AND(G1141&lt;=0,P1141&lt;&gt;"Ajuste",P1141&lt;&gt;"Resultado trading"),"⚠ El monto debe ser positivo","✓")))))))))))))))</f>
        <v/>
      </c>
      <c r="P1141" s="52">
        <f>IF(OR(B1141="",G1141=""),"",IF(C1141="","Gasto",C1141))</f>
        <v/>
      </c>
      <c r="Q1141" s="52">
        <f>IF(P1141="","",IF(J1141&lt;&gt;"",J1141,CuentaPred&amp;""))</f>
        <v/>
      </c>
      <c r="R1141" s="52">
        <f>IF(P1141="","",IF(ISNUMBER(I1141),I1141,TasaUSD))</f>
        <v/>
      </c>
      <c r="S1141" s="53">
        <f>IF(P1141="","",IF(H1141="USD",G1141*R1141,G1141))</f>
        <v/>
      </c>
      <c r="T1141" s="53">
        <f>IF(P1141="","",IF(H1141="USD",G1141,IF(R1141&gt;0,G1141/R1141,0)))</f>
        <v/>
      </c>
      <c r="U1141" s="53">
        <f>IF(P1141="","",IF(P1141="Gasto",S1141,IF(P1141="Reembolso",-S1141,0)))</f>
        <v/>
      </c>
      <c r="V1141" s="53">
        <f>IF(P1141="","",IF(P1141="Ingreso",S1141,0))</f>
        <v/>
      </c>
      <c r="W1141" s="53">
        <f>IF(P1141="","",IF(P1141="Resultado trading",S1141,0))</f>
        <v/>
      </c>
      <c r="X1141" s="52">
        <f>IF(OR(P1141="Gasto",P1141="Reembolso"),IF(M1141&lt;&gt;"",M1141,IFERROR(INDEX(catClasif,MATCH(D1141&amp;"|"&amp;E1141,catClave,0))&amp;"","Variable")),"")</f>
        <v/>
      </c>
      <c r="Y1141" s="52">
        <f>IF(P1141="","",IFERROR(INDEX(catGrupo,MATCH(D1141&amp;"|"&amp;E1141,catClave,0))&amp;"",""))</f>
        <v/>
      </c>
      <c r="Z1141" s="52">
        <f>IF(P1141="","",WEEKDAY(B1141,2))</f>
        <v/>
      </c>
      <c r="AA1141" s="52">
        <f>IF(P1141="","",IF(AND(P1141="Gasto",X1141="Variable",D1141&lt;&gt;catTrading,S1141&gt;0,S1141&lt;=Umbral),1,0))</f>
        <v/>
      </c>
      <c r="AB1141" s="52">
        <f>IF(OR(P1141="",Q1141=""),"",IFERROR(IF(INDEX(ctaVinc,MATCH(Q1141,ctaNombre,0))&amp;""&lt;&gt;"",INDEX(ctaVinc,MATCH(Q1141,ctaNombre,0))&amp;"",Q1141),Q1141))</f>
        <v/>
      </c>
      <c r="AC1141" s="52">
        <f>IF(OR(K1141="",AND(P1141&lt;&gt;"Transferencia",P1141&lt;&gt;"Pago tarjeta")),"",IFERROR(IF(INDEX(ctaVinc,MATCH(K1141,ctaNombre,0))&amp;""&lt;&gt;"",INDEX(ctaVinc,MATCH(K1141,ctaNombre,0))&amp;"",K1141),K1141))</f>
        <v/>
      </c>
      <c r="AD1141" s="52">
        <f>IF(AB1141="","",IFERROR(INDEX(ctaTipo,MATCH(AB1141,ctaNombre,0))&amp;"",""))</f>
        <v/>
      </c>
      <c r="AE1141" s="52">
        <f>IF(AC1141="","",IFERROR(INDEX(ctaTipo,MATCH(AC1141,ctaNombre,0))&amp;"",""))</f>
        <v/>
      </c>
      <c r="AF1141" s="53">
        <f>IF(OR(P1141="",AB1141=""),"",IF(OR(P1141="Gasto",P1141="Transferencia",P1141="Pago tarjeta"),-1,1)*IF(IFERROR(INDEX(ctaMoneda,MATCH(AB1141,ctaNombre,0))&amp;"","DOP")="USD",T1141,S1141))</f>
        <v/>
      </c>
      <c r="AG1141" s="53">
        <f>IF(AC1141="","",IF(IFERROR(INDEX(ctaMoneda,MATCH(AC1141,ctaNombre,0))&amp;"","DOP")="USD",T1141,S1141))</f>
        <v/>
      </c>
      <c r="AH1141" s="53">
        <f>IF(P1141="","",IF(AND(AD1141&lt;&gt;"",COUNTIFS(tcTipo,AD1141,tcLiq,"Sí")&gt;0),IF(OR(P1141="Gasto",P1141="Transferencia",P1141="Pago tarjeta"),-1,1)*S1141,0)+IF(AND(AE1141&lt;&gt;"",COUNTIFS(tcTipo,AE1141,tcLiq,"Sí")&gt;0),S1141,0))</f>
        <v/>
      </c>
      <c r="AI1141" s="52">
        <f>IF(OR(L1141="",P1141=""),"",IF(COUNTIFS(L$6:L1141,L1141,P$6:P1141,"?*")=1,MAX(AI$5:AI1140)+1,""))</f>
        <v/>
      </c>
    </row>
    <row r="1142">
      <c r="B1142" s="47" t="n"/>
      <c r="C1142" s="48" t="n"/>
      <c r="D1142" s="48" t="n"/>
      <c r="E1142" s="48" t="n"/>
      <c r="F1142" s="48" t="n"/>
      <c r="G1142" s="49" t="n"/>
      <c r="H1142" s="48" t="n"/>
      <c r="I1142" s="50" t="n"/>
      <c r="J1142" s="48" t="n"/>
      <c r="K1142" s="48" t="n"/>
      <c r="L1142" s="48" t="n"/>
      <c r="M1142" s="48" t="n"/>
      <c r="N1142" s="48" t="n"/>
      <c r="O1142" s="51">
        <f>IF(AND(B1142="",G1142="",C1142="",D1142="",J1142=""),"",IF(B1142="","⚠ Falta fecha",IF(G1142="","⚠ Falta monto",IF(Q1142="","⚠ Falta cuenta",IF(ISNA(MATCH(Q1142,ctaNombre,0)),"⚠ Cuenta no registrada",IF(AND(OR(P1142="Gasto",P1142="Reembolso"),D1142=""),"⚠ Falta categoría",IF(AND(D1142&lt;&gt;"",E1142&lt;&gt;"",ISNA(MATCH(D1142&amp;"|"&amp;E1142,catClave,0))),"⚠ Subcategoría no corresponde",IF(AND(OR(P1142="Transferencia",P1142="Pago tarjeta"),K1142=""),"⚠ Falta cuenta destino",IF(AND(K1142&lt;&gt;"",P1142&lt;&gt;"Transferencia",P1142&lt;&gt;"Pago tarjeta"),"⚠ Destino solo aplica a transferencias",IF(AND(K1142&lt;&gt;"",K1142=Q1142),"⚠ Origen igual a destino",IF(AND(K1142&lt;&gt;"",ISNA(MATCH(K1142,ctaNombre,0))),"⚠ Destino no registrado",IF(AND(P1142="Pago tarjeta",AE1142&lt;&gt;"Tarjeta de crédito"),"⚠ El destino debe ser tarjeta de crédito",IF(AND(P1142="Gasto",E1142="Depósitos y retiros"),"⚠ Usa tipo Transferencia",IF(AND(P1142="Resultado trading",AD1142&lt;&gt;"Cuenta de trading"),"⚠ Usa una cuenta de trading",IF(AND(G1142&lt;=0,P1142&lt;&gt;"Ajuste",P1142&lt;&gt;"Resultado trading"),"⚠ El monto debe ser positivo","✓")))))))))))))))</f>
        <v/>
      </c>
      <c r="P1142" s="52">
        <f>IF(OR(B1142="",G1142=""),"",IF(C1142="","Gasto",C1142))</f>
        <v/>
      </c>
      <c r="Q1142" s="52">
        <f>IF(P1142="","",IF(J1142&lt;&gt;"",J1142,CuentaPred&amp;""))</f>
        <v/>
      </c>
      <c r="R1142" s="52">
        <f>IF(P1142="","",IF(ISNUMBER(I1142),I1142,TasaUSD))</f>
        <v/>
      </c>
      <c r="S1142" s="53">
        <f>IF(P1142="","",IF(H1142="USD",G1142*R1142,G1142))</f>
        <v/>
      </c>
      <c r="T1142" s="53">
        <f>IF(P1142="","",IF(H1142="USD",G1142,IF(R1142&gt;0,G1142/R1142,0)))</f>
        <v/>
      </c>
      <c r="U1142" s="53">
        <f>IF(P1142="","",IF(P1142="Gasto",S1142,IF(P1142="Reembolso",-S1142,0)))</f>
        <v/>
      </c>
      <c r="V1142" s="53">
        <f>IF(P1142="","",IF(P1142="Ingreso",S1142,0))</f>
        <v/>
      </c>
      <c r="W1142" s="53">
        <f>IF(P1142="","",IF(P1142="Resultado trading",S1142,0))</f>
        <v/>
      </c>
      <c r="X1142" s="52">
        <f>IF(OR(P1142="Gasto",P1142="Reembolso"),IF(M1142&lt;&gt;"",M1142,IFERROR(INDEX(catClasif,MATCH(D1142&amp;"|"&amp;E1142,catClave,0))&amp;"","Variable")),"")</f>
        <v/>
      </c>
      <c r="Y1142" s="52">
        <f>IF(P1142="","",IFERROR(INDEX(catGrupo,MATCH(D1142&amp;"|"&amp;E1142,catClave,0))&amp;"",""))</f>
        <v/>
      </c>
      <c r="Z1142" s="52">
        <f>IF(P1142="","",WEEKDAY(B1142,2))</f>
        <v/>
      </c>
      <c r="AA1142" s="52">
        <f>IF(P1142="","",IF(AND(P1142="Gasto",X1142="Variable",D1142&lt;&gt;catTrading,S1142&gt;0,S1142&lt;=Umbral),1,0))</f>
        <v/>
      </c>
      <c r="AB1142" s="52">
        <f>IF(OR(P1142="",Q1142=""),"",IFERROR(IF(INDEX(ctaVinc,MATCH(Q1142,ctaNombre,0))&amp;""&lt;&gt;"",INDEX(ctaVinc,MATCH(Q1142,ctaNombre,0))&amp;"",Q1142),Q1142))</f>
        <v/>
      </c>
      <c r="AC1142" s="52">
        <f>IF(OR(K1142="",AND(P1142&lt;&gt;"Transferencia",P1142&lt;&gt;"Pago tarjeta")),"",IFERROR(IF(INDEX(ctaVinc,MATCH(K1142,ctaNombre,0))&amp;""&lt;&gt;"",INDEX(ctaVinc,MATCH(K1142,ctaNombre,0))&amp;"",K1142),K1142))</f>
        <v/>
      </c>
      <c r="AD1142" s="52">
        <f>IF(AB1142="","",IFERROR(INDEX(ctaTipo,MATCH(AB1142,ctaNombre,0))&amp;"",""))</f>
        <v/>
      </c>
      <c r="AE1142" s="52">
        <f>IF(AC1142="","",IFERROR(INDEX(ctaTipo,MATCH(AC1142,ctaNombre,0))&amp;"",""))</f>
        <v/>
      </c>
      <c r="AF1142" s="53">
        <f>IF(OR(P1142="",AB1142=""),"",IF(OR(P1142="Gasto",P1142="Transferencia",P1142="Pago tarjeta"),-1,1)*IF(IFERROR(INDEX(ctaMoneda,MATCH(AB1142,ctaNombre,0))&amp;"","DOP")="USD",T1142,S1142))</f>
        <v/>
      </c>
      <c r="AG1142" s="53">
        <f>IF(AC1142="","",IF(IFERROR(INDEX(ctaMoneda,MATCH(AC1142,ctaNombre,0))&amp;"","DOP")="USD",T1142,S1142))</f>
        <v/>
      </c>
      <c r="AH1142" s="53">
        <f>IF(P1142="","",IF(AND(AD1142&lt;&gt;"",COUNTIFS(tcTipo,AD1142,tcLiq,"Sí")&gt;0),IF(OR(P1142="Gasto",P1142="Transferencia",P1142="Pago tarjeta"),-1,1)*S1142,0)+IF(AND(AE1142&lt;&gt;"",COUNTIFS(tcTipo,AE1142,tcLiq,"Sí")&gt;0),S1142,0))</f>
        <v/>
      </c>
      <c r="AI1142" s="52">
        <f>IF(OR(L1142="",P1142=""),"",IF(COUNTIFS(L$6:L1142,L1142,P$6:P1142,"?*")=1,MAX(AI$5:AI1141)+1,""))</f>
        <v/>
      </c>
    </row>
    <row r="1143">
      <c r="B1143" s="47" t="n"/>
      <c r="C1143" s="48" t="n"/>
      <c r="D1143" s="48" t="n"/>
      <c r="E1143" s="48" t="n"/>
      <c r="F1143" s="48" t="n"/>
      <c r="G1143" s="49" t="n"/>
      <c r="H1143" s="48" t="n"/>
      <c r="I1143" s="50" t="n"/>
      <c r="J1143" s="48" t="n"/>
      <c r="K1143" s="48" t="n"/>
      <c r="L1143" s="48" t="n"/>
      <c r="M1143" s="48" t="n"/>
      <c r="N1143" s="48" t="n"/>
      <c r="O1143" s="51">
        <f>IF(AND(B1143="",G1143="",C1143="",D1143="",J1143=""),"",IF(B1143="","⚠ Falta fecha",IF(G1143="","⚠ Falta monto",IF(Q1143="","⚠ Falta cuenta",IF(ISNA(MATCH(Q1143,ctaNombre,0)),"⚠ Cuenta no registrada",IF(AND(OR(P1143="Gasto",P1143="Reembolso"),D1143=""),"⚠ Falta categoría",IF(AND(D1143&lt;&gt;"",E1143&lt;&gt;"",ISNA(MATCH(D1143&amp;"|"&amp;E1143,catClave,0))),"⚠ Subcategoría no corresponde",IF(AND(OR(P1143="Transferencia",P1143="Pago tarjeta"),K1143=""),"⚠ Falta cuenta destino",IF(AND(K1143&lt;&gt;"",P1143&lt;&gt;"Transferencia",P1143&lt;&gt;"Pago tarjeta"),"⚠ Destino solo aplica a transferencias",IF(AND(K1143&lt;&gt;"",K1143=Q1143),"⚠ Origen igual a destino",IF(AND(K1143&lt;&gt;"",ISNA(MATCH(K1143,ctaNombre,0))),"⚠ Destino no registrado",IF(AND(P1143="Pago tarjeta",AE1143&lt;&gt;"Tarjeta de crédito"),"⚠ El destino debe ser tarjeta de crédito",IF(AND(P1143="Gasto",E1143="Depósitos y retiros"),"⚠ Usa tipo Transferencia",IF(AND(P1143="Resultado trading",AD1143&lt;&gt;"Cuenta de trading"),"⚠ Usa una cuenta de trading",IF(AND(G1143&lt;=0,P1143&lt;&gt;"Ajuste",P1143&lt;&gt;"Resultado trading"),"⚠ El monto debe ser positivo","✓")))))))))))))))</f>
        <v/>
      </c>
      <c r="P1143" s="52">
        <f>IF(OR(B1143="",G1143=""),"",IF(C1143="","Gasto",C1143))</f>
        <v/>
      </c>
      <c r="Q1143" s="52">
        <f>IF(P1143="","",IF(J1143&lt;&gt;"",J1143,CuentaPred&amp;""))</f>
        <v/>
      </c>
      <c r="R1143" s="52">
        <f>IF(P1143="","",IF(ISNUMBER(I1143),I1143,TasaUSD))</f>
        <v/>
      </c>
      <c r="S1143" s="53">
        <f>IF(P1143="","",IF(H1143="USD",G1143*R1143,G1143))</f>
        <v/>
      </c>
      <c r="T1143" s="53">
        <f>IF(P1143="","",IF(H1143="USD",G1143,IF(R1143&gt;0,G1143/R1143,0)))</f>
        <v/>
      </c>
      <c r="U1143" s="53">
        <f>IF(P1143="","",IF(P1143="Gasto",S1143,IF(P1143="Reembolso",-S1143,0)))</f>
        <v/>
      </c>
      <c r="V1143" s="53">
        <f>IF(P1143="","",IF(P1143="Ingreso",S1143,0))</f>
        <v/>
      </c>
      <c r="W1143" s="53">
        <f>IF(P1143="","",IF(P1143="Resultado trading",S1143,0))</f>
        <v/>
      </c>
      <c r="X1143" s="52">
        <f>IF(OR(P1143="Gasto",P1143="Reembolso"),IF(M1143&lt;&gt;"",M1143,IFERROR(INDEX(catClasif,MATCH(D1143&amp;"|"&amp;E1143,catClave,0))&amp;"","Variable")),"")</f>
        <v/>
      </c>
      <c r="Y1143" s="52">
        <f>IF(P1143="","",IFERROR(INDEX(catGrupo,MATCH(D1143&amp;"|"&amp;E1143,catClave,0))&amp;"",""))</f>
        <v/>
      </c>
      <c r="Z1143" s="52">
        <f>IF(P1143="","",WEEKDAY(B1143,2))</f>
        <v/>
      </c>
      <c r="AA1143" s="52">
        <f>IF(P1143="","",IF(AND(P1143="Gasto",X1143="Variable",D1143&lt;&gt;catTrading,S1143&gt;0,S1143&lt;=Umbral),1,0))</f>
        <v/>
      </c>
      <c r="AB1143" s="52">
        <f>IF(OR(P1143="",Q1143=""),"",IFERROR(IF(INDEX(ctaVinc,MATCH(Q1143,ctaNombre,0))&amp;""&lt;&gt;"",INDEX(ctaVinc,MATCH(Q1143,ctaNombre,0))&amp;"",Q1143),Q1143))</f>
        <v/>
      </c>
      <c r="AC1143" s="52">
        <f>IF(OR(K1143="",AND(P1143&lt;&gt;"Transferencia",P1143&lt;&gt;"Pago tarjeta")),"",IFERROR(IF(INDEX(ctaVinc,MATCH(K1143,ctaNombre,0))&amp;""&lt;&gt;"",INDEX(ctaVinc,MATCH(K1143,ctaNombre,0))&amp;"",K1143),K1143))</f>
        <v/>
      </c>
      <c r="AD1143" s="52">
        <f>IF(AB1143="","",IFERROR(INDEX(ctaTipo,MATCH(AB1143,ctaNombre,0))&amp;"",""))</f>
        <v/>
      </c>
      <c r="AE1143" s="52">
        <f>IF(AC1143="","",IFERROR(INDEX(ctaTipo,MATCH(AC1143,ctaNombre,0))&amp;"",""))</f>
        <v/>
      </c>
      <c r="AF1143" s="53">
        <f>IF(OR(P1143="",AB1143=""),"",IF(OR(P1143="Gasto",P1143="Transferencia",P1143="Pago tarjeta"),-1,1)*IF(IFERROR(INDEX(ctaMoneda,MATCH(AB1143,ctaNombre,0))&amp;"","DOP")="USD",T1143,S1143))</f>
        <v/>
      </c>
      <c r="AG1143" s="53">
        <f>IF(AC1143="","",IF(IFERROR(INDEX(ctaMoneda,MATCH(AC1143,ctaNombre,0))&amp;"","DOP")="USD",T1143,S1143))</f>
        <v/>
      </c>
      <c r="AH1143" s="53">
        <f>IF(P1143="","",IF(AND(AD1143&lt;&gt;"",COUNTIFS(tcTipo,AD1143,tcLiq,"Sí")&gt;0),IF(OR(P1143="Gasto",P1143="Transferencia",P1143="Pago tarjeta"),-1,1)*S1143,0)+IF(AND(AE1143&lt;&gt;"",COUNTIFS(tcTipo,AE1143,tcLiq,"Sí")&gt;0),S1143,0))</f>
        <v/>
      </c>
      <c r="AI1143" s="52">
        <f>IF(OR(L1143="",P1143=""),"",IF(COUNTIFS(L$6:L1143,L1143,P$6:P1143,"?*")=1,MAX(AI$5:AI1142)+1,""))</f>
        <v/>
      </c>
    </row>
    <row r="1144">
      <c r="B1144" s="47" t="n"/>
      <c r="C1144" s="48" t="n"/>
      <c r="D1144" s="48" t="n"/>
      <c r="E1144" s="48" t="n"/>
      <c r="F1144" s="48" t="n"/>
      <c r="G1144" s="49" t="n"/>
      <c r="H1144" s="48" t="n"/>
      <c r="I1144" s="50" t="n"/>
      <c r="J1144" s="48" t="n"/>
      <c r="K1144" s="48" t="n"/>
      <c r="L1144" s="48" t="n"/>
      <c r="M1144" s="48" t="n"/>
      <c r="N1144" s="48" t="n"/>
      <c r="O1144" s="51">
        <f>IF(AND(B1144="",G1144="",C1144="",D1144="",J1144=""),"",IF(B1144="","⚠ Falta fecha",IF(G1144="","⚠ Falta monto",IF(Q1144="","⚠ Falta cuenta",IF(ISNA(MATCH(Q1144,ctaNombre,0)),"⚠ Cuenta no registrada",IF(AND(OR(P1144="Gasto",P1144="Reembolso"),D1144=""),"⚠ Falta categoría",IF(AND(D1144&lt;&gt;"",E1144&lt;&gt;"",ISNA(MATCH(D1144&amp;"|"&amp;E1144,catClave,0))),"⚠ Subcategoría no corresponde",IF(AND(OR(P1144="Transferencia",P1144="Pago tarjeta"),K1144=""),"⚠ Falta cuenta destino",IF(AND(K1144&lt;&gt;"",P1144&lt;&gt;"Transferencia",P1144&lt;&gt;"Pago tarjeta"),"⚠ Destino solo aplica a transferencias",IF(AND(K1144&lt;&gt;"",K1144=Q1144),"⚠ Origen igual a destino",IF(AND(K1144&lt;&gt;"",ISNA(MATCH(K1144,ctaNombre,0))),"⚠ Destino no registrado",IF(AND(P1144="Pago tarjeta",AE1144&lt;&gt;"Tarjeta de crédito"),"⚠ El destino debe ser tarjeta de crédito",IF(AND(P1144="Gasto",E1144="Depósitos y retiros"),"⚠ Usa tipo Transferencia",IF(AND(P1144="Resultado trading",AD1144&lt;&gt;"Cuenta de trading"),"⚠ Usa una cuenta de trading",IF(AND(G1144&lt;=0,P1144&lt;&gt;"Ajuste",P1144&lt;&gt;"Resultado trading"),"⚠ El monto debe ser positivo","✓")))))))))))))))</f>
        <v/>
      </c>
      <c r="P1144" s="52">
        <f>IF(OR(B1144="",G1144=""),"",IF(C1144="","Gasto",C1144))</f>
        <v/>
      </c>
      <c r="Q1144" s="52">
        <f>IF(P1144="","",IF(J1144&lt;&gt;"",J1144,CuentaPred&amp;""))</f>
        <v/>
      </c>
      <c r="R1144" s="52">
        <f>IF(P1144="","",IF(ISNUMBER(I1144),I1144,TasaUSD))</f>
        <v/>
      </c>
      <c r="S1144" s="53">
        <f>IF(P1144="","",IF(H1144="USD",G1144*R1144,G1144))</f>
        <v/>
      </c>
      <c r="T1144" s="53">
        <f>IF(P1144="","",IF(H1144="USD",G1144,IF(R1144&gt;0,G1144/R1144,0)))</f>
        <v/>
      </c>
      <c r="U1144" s="53">
        <f>IF(P1144="","",IF(P1144="Gasto",S1144,IF(P1144="Reembolso",-S1144,0)))</f>
        <v/>
      </c>
      <c r="V1144" s="53">
        <f>IF(P1144="","",IF(P1144="Ingreso",S1144,0))</f>
        <v/>
      </c>
      <c r="W1144" s="53">
        <f>IF(P1144="","",IF(P1144="Resultado trading",S1144,0))</f>
        <v/>
      </c>
      <c r="X1144" s="52">
        <f>IF(OR(P1144="Gasto",P1144="Reembolso"),IF(M1144&lt;&gt;"",M1144,IFERROR(INDEX(catClasif,MATCH(D1144&amp;"|"&amp;E1144,catClave,0))&amp;"","Variable")),"")</f>
        <v/>
      </c>
      <c r="Y1144" s="52">
        <f>IF(P1144="","",IFERROR(INDEX(catGrupo,MATCH(D1144&amp;"|"&amp;E1144,catClave,0))&amp;"",""))</f>
        <v/>
      </c>
      <c r="Z1144" s="52">
        <f>IF(P1144="","",WEEKDAY(B1144,2))</f>
        <v/>
      </c>
      <c r="AA1144" s="52">
        <f>IF(P1144="","",IF(AND(P1144="Gasto",X1144="Variable",D1144&lt;&gt;catTrading,S1144&gt;0,S1144&lt;=Umbral),1,0))</f>
        <v/>
      </c>
      <c r="AB1144" s="52">
        <f>IF(OR(P1144="",Q1144=""),"",IFERROR(IF(INDEX(ctaVinc,MATCH(Q1144,ctaNombre,0))&amp;""&lt;&gt;"",INDEX(ctaVinc,MATCH(Q1144,ctaNombre,0))&amp;"",Q1144),Q1144))</f>
        <v/>
      </c>
      <c r="AC1144" s="52">
        <f>IF(OR(K1144="",AND(P1144&lt;&gt;"Transferencia",P1144&lt;&gt;"Pago tarjeta")),"",IFERROR(IF(INDEX(ctaVinc,MATCH(K1144,ctaNombre,0))&amp;""&lt;&gt;"",INDEX(ctaVinc,MATCH(K1144,ctaNombre,0))&amp;"",K1144),K1144))</f>
        <v/>
      </c>
      <c r="AD1144" s="52">
        <f>IF(AB1144="","",IFERROR(INDEX(ctaTipo,MATCH(AB1144,ctaNombre,0))&amp;"",""))</f>
        <v/>
      </c>
      <c r="AE1144" s="52">
        <f>IF(AC1144="","",IFERROR(INDEX(ctaTipo,MATCH(AC1144,ctaNombre,0))&amp;"",""))</f>
        <v/>
      </c>
      <c r="AF1144" s="53">
        <f>IF(OR(P1144="",AB1144=""),"",IF(OR(P1144="Gasto",P1144="Transferencia",P1144="Pago tarjeta"),-1,1)*IF(IFERROR(INDEX(ctaMoneda,MATCH(AB1144,ctaNombre,0))&amp;"","DOP")="USD",T1144,S1144))</f>
        <v/>
      </c>
      <c r="AG1144" s="53">
        <f>IF(AC1144="","",IF(IFERROR(INDEX(ctaMoneda,MATCH(AC1144,ctaNombre,0))&amp;"","DOP")="USD",T1144,S1144))</f>
        <v/>
      </c>
      <c r="AH1144" s="53">
        <f>IF(P1144="","",IF(AND(AD1144&lt;&gt;"",COUNTIFS(tcTipo,AD1144,tcLiq,"Sí")&gt;0),IF(OR(P1144="Gasto",P1144="Transferencia",P1144="Pago tarjeta"),-1,1)*S1144,0)+IF(AND(AE1144&lt;&gt;"",COUNTIFS(tcTipo,AE1144,tcLiq,"Sí")&gt;0),S1144,0))</f>
        <v/>
      </c>
      <c r="AI1144" s="52">
        <f>IF(OR(L1144="",P1144=""),"",IF(COUNTIFS(L$6:L1144,L1144,P$6:P1144,"?*")=1,MAX(AI$5:AI1143)+1,""))</f>
        <v/>
      </c>
    </row>
    <row r="1145">
      <c r="B1145" s="47" t="n"/>
      <c r="C1145" s="48" t="n"/>
      <c r="D1145" s="48" t="n"/>
      <c r="E1145" s="48" t="n"/>
      <c r="F1145" s="48" t="n"/>
      <c r="G1145" s="49" t="n"/>
      <c r="H1145" s="48" t="n"/>
      <c r="I1145" s="50" t="n"/>
      <c r="J1145" s="48" t="n"/>
      <c r="K1145" s="48" t="n"/>
      <c r="L1145" s="48" t="n"/>
      <c r="M1145" s="48" t="n"/>
      <c r="N1145" s="48" t="n"/>
      <c r="O1145" s="51">
        <f>IF(AND(B1145="",G1145="",C1145="",D1145="",J1145=""),"",IF(B1145="","⚠ Falta fecha",IF(G1145="","⚠ Falta monto",IF(Q1145="","⚠ Falta cuenta",IF(ISNA(MATCH(Q1145,ctaNombre,0)),"⚠ Cuenta no registrada",IF(AND(OR(P1145="Gasto",P1145="Reembolso"),D1145=""),"⚠ Falta categoría",IF(AND(D1145&lt;&gt;"",E1145&lt;&gt;"",ISNA(MATCH(D1145&amp;"|"&amp;E1145,catClave,0))),"⚠ Subcategoría no corresponde",IF(AND(OR(P1145="Transferencia",P1145="Pago tarjeta"),K1145=""),"⚠ Falta cuenta destino",IF(AND(K1145&lt;&gt;"",P1145&lt;&gt;"Transferencia",P1145&lt;&gt;"Pago tarjeta"),"⚠ Destino solo aplica a transferencias",IF(AND(K1145&lt;&gt;"",K1145=Q1145),"⚠ Origen igual a destino",IF(AND(K1145&lt;&gt;"",ISNA(MATCH(K1145,ctaNombre,0))),"⚠ Destino no registrado",IF(AND(P1145="Pago tarjeta",AE1145&lt;&gt;"Tarjeta de crédito"),"⚠ El destino debe ser tarjeta de crédito",IF(AND(P1145="Gasto",E1145="Depósitos y retiros"),"⚠ Usa tipo Transferencia",IF(AND(P1145="Resultado trading",AD1145&lt;&gt;"Cuenta de trading"),"⚠ Usa una cuenta de trading",IF(AND(G1145&lt;=0,P1145&lt;&gt;"Ajuste",P1145&lt;&gt;"Resultado trading"),"⚠ El monto debe ser positivo","✓")))))))))))))))</f>
        <v/>
      </c>
      <c r="P1145" s="52">
        <f>IF(OR(B1145="",G1145=""),"",IF(C1145="","Gasto",C1145))</f>
        <v/>
      </c>
      <c r="Q1145" s="52">
        <f>IF(P1145="","",IF(J1145&lt;&gt;"",J1145,CuentaPred&amp;""))</f>
        <v/>
      </c>
      <c r="R1145" s="52">
        <f>IF(P1145="","",IF(ISNUMBER(I1145),I1145,TasaUSD))</f>
        <v/>
      </c>
      <c r="S1145" s="53">
        <f>IF(P1145="","",IF(H1145="USD",G1145*R1145,G1145))</f>
        <v/>
      </c>
      <c r="T1145" s="53">
        <f>IF(P1145="","",IF(H1145="USD",G1145,IF(R1145&gt;0,G1145/R1145,0)))</f>
        <v/>
      </c>
      <c r="U1145" s="53">
        <f>IF(P1145="","",IF(P1145="Gasto",S1145,IF(P1145="Reembolso",-S1145,0)))</f>
        <v/>
      </c>
      <c r="V1145" s="53">
        <f>IF(P1145="","",IF(P1145="Ingreso",S1145,0))</f>
        <v/>
      </c>
      <c r="W1145" s="53">
        <f>IF(P1145="","",IF(P1145="Resultado trading",S1145,0))</f>
        <v/>
      </c>
      <c r="X1145" s="52">
        <f>IF(OR(P1145="Gasto",P1145="Reembolso"),IF(M1145&lt;&gt;"",M1145,IFERROR(INDEX(catClasif,MATCH(D1145&amp;"|"&amp;E1145,catClave,0))&amp;"","Variable")),"")</f>
        <v/>
      </c>
      <c r="Y1145" s="52">
        <f>IF(P1145="","",IFERROR(INDEX(catGrupo,MATCH(D1145&amp;"|"&amp;E1145,catClave,0))&amp;"",""))</f>
        <v/>
      </c>
      <c r="Z1145" s="52">
        <f>IF(P1145="","",WEEKDAY(B1145,2))</f>
        <v/>
      </c>
      <c r="AA1145" s="52">
        <f>IF(P1145="","",IF(AND(P1145="Gasto",X1145="Variable",D1145&lt;&gt;catTrading,S1145&gt;0,S1145&lt;=Umbral),1,0))</f>
        <v/>
      </c>
      <c r="AB1145" s="52">
        <f>IF(OR(P1145="",Q1145=""),"",IFERROR(IF(INDEX(ctaVinc,MATCH(Q1145,ctaNombre,0))&amp;""&lt;&gt;"",INDEX(ctaVinc,MATCH(Q1145,ctaNombre,0))&amp;"",Q1145),Q1145))</f>
        <v/>
      </c>
      <c r="AC1145" s="52">
        <f>IF(OR(K1145="",AND(P1145&lt;&gt;"Transferencia",P1145&lt;&gt;"Pago tarjeta")),"",IFERROR(IF(INDEX(ctaVinc,MATCH(K1145,ctaNombre,0))&amp;""&lt;&gt;"",INDEX(ctaVinc,MATCH(K1145,ctaNombre,0))&amp;"",K1145),K1145))</f>
        <v/>
      </c>
      <c r="AD1145" s="52">
        <f>IF(AB1145="","",IFERROR(INDEX(ctaTipo,MATCH(AB1145,ctaNombre,0))&amp;"",""))</f>
        <v/>
      </c>
      <c r="AE1145" s="52">
        <f>IF(AC1145="","",IFERROR(INDEX(ctaTipo,MATCH(AC1145,ctaNombre,0))&amp;"",""))</f>
        <v/>
      </c>
      <c r="AF1145" s="53">
        <f>IF(OR(P1145="",AB1145=""),"",IF(OR(P1145="Gasto",P1145="Transferencia",P1145="Pago tarjeta"),-1,1)*IF(IFERROR(INDEX(ctaMoneda,MATCH(AB1145,ctaNombre,0))&amp;"","DOP")="USD",T1145,S1145))</f>
        <v/>
      </c>
      <c r="AG1145" s="53">
        <f>IF(AC1145="","",IF(IFERROR(INDEX(ctaMoneda,MATCH(AC1145,ctaNombre,0))&amp;"","DOP")="USD",T1145,S1145))</f>
        <v/>
      </c>
      <c r="AH1145" s="53">
        <f>IF(P1145="","",IF(AND(AD1145&lt;&gt;"",COUNTIFS(tcTipo,AD1145,tcLiq,"Sí")&gt;0),IF(OR(P1145="Gasto",P1145="Transferencia",P1145="Pago tarjeta"),-1,1)*S1145,0)+IF(AND(AE1145&lt;&gt;"",COUNTIFS(tcTipo,AE1145,tcLiq,"Sí")&gt;0),S1145,0))</f>
        <v/>
      </c>
      <c r="AI1145" s="52">
        <f>IF(OR(L1145="",P1145=""),"",IF(COUNTIFS(L$6:L1145,L1145,P$6:P1145,"?*")=1,MAX(AI$5:AI1144)+1,""))</f>
        <v/>
      </c>
    </row>
    <row r="1146">
      <c r="B1146" s="47" t="n"/>
      <c r="C1146" s="48" t="n"/>
      <c r="D1146" s="48" t="n"/>
      <c r="E1146" s="48" t="n"/>
      <c r="F1146" s="48" t="n"/>
      <c r="G1146" s="49" t="n"/>
      <c r="H1146" s="48" t="n"/>
      <c r="I1146" s="50" t="n"/>
      <c r="J1146" s="48" t="n"/>
      <c r="K1146" s="48" t="n"/>
      <c r="L1146" s="48" t="n"/>
      <c r="M1146" s="48" t="n"/>
      <c r="N1146" s="48" t="n"/>
      <c r="O1146" s="51">
        <f>IF(AND(B1146="",G1146="",C1146="",D1146="",J1146=""),"",IF(B1146="","⚠ Falta fecha",IF(G1146="","⚠ Falta monto",IF(Q1146="","⚠ Falta cuenta",IF(ISNA(MATCH(Q1146,ctaNombre,0)),"⚠ Cuenta no registrada",IF(AND(OR(P1146="Gasto",P1146="Reembolso"),D1146=""),"⚠ Falta categoría",IF(AND(D1146&lt;&gt;"",E1146&lt;&gt;"",ISNA(MATCH(D1146&amp;"|"&amp;E1146,catClave,0))),"⚠ Subcategoría no corresponde",IF(AND(OR(P1146="Transferencia",P1146="Pago tarjeta"),K1146=""),"⚠ Falta cuenta destino",IF(AND(K1146&lt;&gt;"",P1146&lt;&gt;"Transferencia",P1146&lt;&gt;"Pago tarjeta"),"⚠ Destino solo aplica a transferencias",IF(AND(K1146&lt;&gt;"",K1146=Q1146),"⚠ Origen igual a destino",IF(AND(K1146&lt;&gt;"",ISNA(MATCH(K1146,ctaNombre,0))),"⚠ Destino no registrado",IF(AND(P1146="Pago tarjeta",AE1146&lt;&gt;"Tarjeta de crédito"),"⚠ El destino debe ser tarjeta de crédito",IF(AND(P1146="Gasto",E1146="Depósitos y retiros"),"⚠ Usa tipo Transferencia",IF(AND(P1146="Resultado trading",AD1146&lt;&gt;"Cuenta de trading"),"⚠ Usa una cuenta de trading",IF(AND(G1146&lt;=0,P1146&lt;&gt;"Ajuste",P1146&lt;&gt;"Resultado trading"),"⚠ El monto debe ser positivo","✓")))))))))))))))</f>
        <v/>
      </c>
      <c r="P1146" s="52">
        <f>IF(OR(B1146="",G1146=""),"",IF(C1146="","Gasto",C1146))</f>
        <v/>
      </c>
      <c r="Q1146" s="52">
        <f>IF(P1146="","",IF(J1146&lt;&gt;"",J1146,CuentaPred&amp;""))</f>
        <v/>
      </c>
      <c r="R1146" s="52">
        <f>IF(P1146="","",IF(ISNUMBER(I1146),I1146,TasaUSD))</f>
        <v/>
      </c>
      <c r="S1146" s="53">
        <f>IF(P1146="","",IF(H1146="USD",G1146*R1146,G1146))</f>
        <v/>
      </c>
      <c r="T1146" s="53">
        <f>IF(P1146="","",IF(H1146="USD",G1146,IF(R1146&gt;0,G1146/R1146,0)))</f>
        <v/>
      </c>
      <c r="U1146" s="53">
        <f>IF(P1146="","",IF(P1146="Gasto",S1146,IF(P1146="Reembolso",-S1146,0)))</f>
        <v/>
      </c>
      <c r="V1146" s="53">
        <f>IF(P1146="","",IF(P1146="Ingreso",S1146,0))</f>
        <v/>
      </c>
      <c r="W1146" s="53">
        <f>IF(P1146="","",IF(P1146="Resultado trading",S1146,0))</f>
        <v/>
      </c>
      <c r="X1146" s="52">
        <f>IF(OR(P1146="Gasto",P1146="Reembolso"),IF(M1146&lt;&gt;"",M1146,IFERROR(INDEX(catClasif,MATCH(D1146&amp;"|"&amp;E1146,catClave,0))&amp;"","Variable")),"")</f>
        <v/>
      </c>
      <c r="Y1146" s="52">
        <f>IF(P1146="","",IFERROR(INDEX(catGrupo,MATCH(D1146&amp;"|"&amp;E1146,catClave,0))&amp;"",""))</f>
        <v/>
      </c>
      <c r="Z1146" s="52">
        <f>IF(P1146="","",WEEKDAY(B1146,2))</f>
        <v/>
      </c>
      <c r="AA1146" s="52">
        <f>IF(P1146="","",IF(AND(P1146="Gasto",X1146="Variable",D1146&lt;&gt;catTrading,S1146&gt;0,S1146&lt;=Umbral),1,0))</f>
        <v/>
      </c>
      <c r="AB1146" s="52">
        <f>IF(OR(P1146="",Q1146=""),"",IFERROR(IF(INDEX(ctaVinc,MATCH(Q1146,ctaNombre,0))&amp;""&lt;&gt;"",INDEX(ctaVinc,MATCH(Q1146,ctaNombre,0))&amp;"",Q1146),Q1146))</f>
        <v/>
      </c>
      <c r="AC1146" s="52">
        <f>IF(OR(K1146="",AND(P1146&lt;&gt;"Transferencia",P1146&lt;&gt;"Pago tarjeta")),"",IFERROR(IF(INDEX(ctaVinc,MATCH(K1146,ctaNombre,0))&amp;""&lt;&gt;"",INDEX(ctaVinc,MATCH(K1146,ctaNombre,0))&amp;"",K1146),K1146))</f>
        <v/>
      </c>
      <c r="AD1146" s="52">
        <f>IF(AB1146="","",IFERROR(INDEX(ctaTipo,MATCH(AB1146,ctaNombre,0))&amp;"",""))</f>
        <v/>
      </c>
      <c r="AE1146" s="52">
        <f>IF(AC1146="","",IFERROR(INDEX(ctaTipo,MATCH(AC1146,ctaNombre,0))&amp;"",""))</f>
        <v/>
      </c>
      <c r="AF1146" s="53">
        <f>IF(OR(P1146="",AB1146=""),"",IF(OR(P1146="Gasto",P1146="Transferencia",P1146="Pago tarjeta"),-1,1)*IF(IFERROR(INDEX(ctaMoneda,MATCH(AB1146,ctaNombre,0))&amp;"","DOP")="USD",T1146,S1146))</f>
        <v/>
      </c>
      <c r="AG1146" s="53">
        <f>IF(AC1146="","",IF(IFERROR(INDEX(ctaMoneda,MATCH(AC1146,ctaNombre,0))&amp;"","DOP")="USD",T1146,S1146))</f>
        <v/>
      </c>
      <c r="AH1146" s="53">
        <f>IF(P1146="","",IF(AND(AD1146&lt;&gt;"",COUNTIFS(tcTipo,AD1146,tcLiq,"Sí")&gt;0),IF(OR(P1146="Gasto",P1146="Transferencia",P1146="Pago tarjeta"),-1,1)*S1146,0)+IF(AND(AE1146&lt;&gt;"",COUNTIFS(tcTipo,AE1146,tcLiq,"Sí")&gt;0),S1146,0))</f>
        <v/>
      </c>
      <c r="AI1146" s="52">
        <f>IF(OR(L1146="",P1146=""),"",IF(COUNTIFS(L$6:L1146,L1146,P$6:P1146,"?*")=1,MAX(AI$5:AI1145)+1,""))</f>
        <v/>
      </c>
    </row>
    <row r="1147">
      <c r="B1147" s="47" t="n"/>
      <c r="C1147" s="48" t="n"/>
      <c r="D1147" s="48" t="n"/>
      <c r="E1147" s="48" t="n"/>
      <c r="F1147" s="48" t="n"/>
      <c r="G1147" s="49" t="n"/>
      <c r="H1147" s="48" t="n"/>
      <c r="I1147" s="50" t="n"/>
      <c r="J1147" s="48" t="n"/>
      <c r="K1147" s="48" t="n"/>
      <c r="L1147" s="48" t="n"/>
      <c r="M1147" s="48" t="n"/>
      <c r="N1147" s="48" t="n"/>
      <c r="O1147" s="51">
        <f>IF(AND(B1147="",G1147="",C1147="",D1147="",J1147=""),"",IF(B1147="","⚠ Falta fecha",IF(G1147="","⚠ Falta monto",IF(Q1147="","⚠ Falta cuenta",IF(ISNA(MATCH(Q1147,ctaNombre,0)),"⚠ Cuenta no registrada",IF(AND(OR(P1147="Gasto",P1147="Reembolso"),D1147=""),"⚠ Falta categoría",IF(AND(D1147&lt;&gt;"",E1147&lt;&gt;"",ISNA(MATCH(D1147&amp;"|"&amp;E1147,catClave,0))),"⚠ Subcategoría no corresponde",IF(AND(OR(P1147="Transferencia",P1147="Pago tarjeta"),K1147=""),"⚠ Falta cuenta destino",IF(AND(K1147&lt;&gt;"",P1147&lt;&gt;"Transferencia",P1147&lt;&gt;"Pago tarjeta"),"⚠ Destino solo aplica a transferencias",IF(AND(K1147&lt;&gt;"",K1147=Q1147),"⚠ Origen igual a destino",IF(AND(K1147&lt;&gt;"",ISNA(MATCH(K1147,ctaNombre,0))),"⚠ Destino no registrado",IF(AND(P1147="Pago tarjeta",AE1147&lt;&gt;"Tarjeta de crédito"),"⚠ El destino debe ser tarjeta de crédito",IF(AND(P1147="Gasto",E1147="Depósitos y retiros"),"⚠ Usa tipo Transferencia",IF(AND(P1147="Resultado trading",AD1147&lt;&gt;"Cuenta de trading"),"⚠ Usa una cuenta de trading",IF(AND(G1147&lt;=0,P1147&lt;&gt;"Ajuste",P1147&lt;&gt;"Resultado trading"),"⚠ El monto debe ser positivo","✓")))))))))))))))</f>
        <v/>
      </c>
      <c r="P1147" s="52">
        <f>IF(OR(B1147="",G1147=""),"",IF(C1147="","Gasto",C1147))</f>
        <v/>
      </c>
      <c r="Q1147" s="52">
        <f>IF(P1147="","",IF(J1147&lt;&gt;"",J1147,CuentaPred&amp;""))</f>
        <v/>
      </c>
      <c r="R1147" s="52">
        <f>IF(P1147="","",IF(ISNUMBER(I1147),I1147,TasaUSD))</f>
        <v/>
      </c>
      <c r="S1147" s="53">
        <f>IF(P1147="","",IF(H1147="USD",G1147*R1147,G1147))</f>
        <v/>
      </c>
      <c r="T1147" s="53">
        <f>IF(P1147="","",IF(H1147="USD",G1147,IF(R1147&gt;0,G1147/R1147,0)))</f>
        <v/>
      </c>
      <c r="U1147" s="53">
        <f>IF(P1147="","",IF(P1147="Gasto",S1147,IF(P1147="Reembolso",-S1147,0)))</f>
        <v/>
      </c>
      <c r="V1147" s="53">
        <f>IF(P1147="","",IF(P1147="Ingreso",S1147,0))</f>
        <v/>
      </c>
      <c r="W1147" s="53">
        <f>IF(P1147="","",IF(P1147="Resultado trading",S1147,0))</f>
        <v/>
      </c>
      <c r="X1147" s="52">
        <f>IF(OR(P1147="Gasto",P1147="Reembolso"),IF(M1147&lt;&gt;"",M1147,IFERROR(INDEX(catClasif,MATCH(D1147&amp;"|"&amp;E1147,catClave,0))&amp;"","Variable")),"")</f>
        <v/>
      </c>
      <c r="Y1147" s="52">
        <f>IF(P1147="","",IFERROR(INDEX(catGrupo,MATCH(D1147&amp;"|"&amp;E1147,catClave,0))&amp;"",""))</f>
        <v/>
      </c>
      <c r="Z1147" s="52">
        <f>IF(P1147="","",WEEKDAY(B1147,2))</f>
        <v/>
      </c>
      <c r="AA1147" s="52">
        <f>IF(P1147="","",IF(AND(P1147="Gasto",X1147="Variable",D1147&lt;&gt;catTrading,S1147&gt;0,S1147&lt;=Umbral),1,0))</f>
        <v/>
      </c>
      <c r="AB1147" s="52">
        <f>IF(OR(P1147="",Q1147=""),"",IFERROR(IF(INDEX(ctaVinc,MATCH(Q1147,ctaNombre,0))&amp;""&lt;&gt;"",INDEX(ctaVinc,MATCH(Q1147,ctaNombre,0))&amp;"",Q1147),Q1147))</f>
        <v/>
      </c>
      <c r="AC1147" s="52">
        <f>IF(OR(K1147="",AND(P1147&lt;&gt;"Transferencia",P1147&lt;&gt;"Pago tarjeta")),"",IFERROR(IF(INDEX(ctaVinc,MATCH(K1147,ctaNombre,0))&amp;""&lt;&gt;"",INDEX(ctaVinc,MATCH(K1147,ctaNombre,0))&amp;"",K1147),K1147))</f>
        <v/>
      </c>
      <c r="AD1147" s="52">
        <f>IF(AB1147="","",IFERROR(INDEX(ctaTipo,MATCH(AB1147,ctaNombre,0))&amp;"",""))</f>
        <v/>
      </c>
      <c r="AE1147" s="52">
        <f>IF(AC1147="","",IFERROR(INDEX(ctaTipo,MATCH(AC1147,ctaNombre,0))&amp;"",""))</f>
        <v/>
      </c>
      <c r="AF1147" s="53">
        <f>IF(OR(P1147="",AB1147=""),"",IF(OR(P1147="Gasto",P1147="Transferencia",P1147="Pago tarjeta"),-1,1)*IF(IFERROR(INDEX(ctaMoneda,MATCH(AB1147,ctaNombre,0))&amp;"","DOP")="USD",T1147,S1147))</f>
        <v/>
      </c>
      <c r="AG1147" s="53">
        <f>IF(AC1147="","",IF(IFERROR(INDEX(ctaMoneda,MATCH(AC1147,ctaNombre,0))&amp;"","DOP")="USD",T1147,S1147))</f>
        <v/>
      </c>
      <c r="AH1147" s="53">
        <f>IF(P1147="","",IF(AND(AD1147&lt;&gt;"",COUNTIFS(tcTipo,AD1147,tcLiq,"Sí")&gt;0),IF(OR(P1147="Gasto",P1147="Transferencia",P1147="Pago tarjeta"),-1,1)*S1147,0)+IF(AND(AE1147&lt;&gt;"",COUNTIFS(tcTipo,AE1147,tcLiq,"Sí")&gt;0),S1147,0))</f>
        <v/>
      </c>
      <c r="AI1147" s="52">
        <f>IF(OR(L1147="",P1147=""),"",IF(COUNTIFS(L$6:L1147,L1147,P$6:P1147,"?*")=1,MAX(AI$5:AI1146)+1,""))</f>
        <v/>
      </c>
    </row>
    <row r="1148">
      <c r="B1148" s="47" t="n"/>
      <c r="C1148" s="48" t="n"/>
      <c r="D1148" s="48" t="n"/>
      <c r="E1148" s="48" t="n"/>
      <c r="F1148" s="48" t="n"/>
      <c r="G1148" s="49" t="n"/>
      <c r="H1148" s="48" t="n"/>
      <c r="I1148" s="50" t="n"/>
      <c r="J1148" s="48" t="n"/>
      <c r="K1148" s="48" t="n"/>
      <c r="L1148" s="48" t="n"/>
      <c r="M1148" s="48" t="n"/>
      <c r="N1148" s="48" t="n"/>
      <c r="O1148" s="51">
        <f>IF(AND(B1148="",G1148="",C1148="",D1148="",J1148=""),"",IF(B1148="","⚠ Falta fecha",IF(G1148="","⚠ Falta monto",IF(Q1148="","⚠ Falta cuenta",IF(ISNA(MATCH(Q1148,ctaNombre,0)),"⚠ Cuenta no registrada",IF(AND(OR(P1148="Gasto",P1148="Reembolso"),D1148=""),"⚠ Falta categoría",IF(AND(D1148&lt;&gt;"",E1148&lt;&gt;"",ISNA(MATCH(D1148&amp;"|"&amp;E1148,catClave,0))),"⚠ Subcategoría no corresponde",IF(AND(OR(P1148="Transferencia",P1148="Pago tarjeta"),K1148=""),"⚠ Falta cuenta destino",IF(AND(K1148&lt;&gt;"",P1148&lt;&gt;"Transferencia",P1148&lt;&gt;"Pago tarjeta"),"⚠ Destino solo aplica a transferencias",IF(AND(K1148&lt;&gt;"",K1148=Q1148),"⚠ Origen igual a destino",IF(AND(K1148&lt;&gt;"",ISNA(MATCH(K1148,ctaNombre,0))),"⚠ Destino no registrado",IF(AND(P1148="Pago tarjeta",AE1148&lt;&gt;"Tarjeta de crédito"),"⚠ El destino debe ser tarjeta de crédito",IF(AND(P1148="Gasto",E1148="Depósitos y retiros"),"⚠ Usa tipo Transferencia",IF(AND(P1148="Resultado trading",AD1148&lt;&gt;"Cuenta de trading"),"⚠ Usa una cuenta de trading",IF(AND(G1148&lt;=0,P1148&lt;&gt;"Ajuste",P1148&lt;&gt;"Resultado trading"),"⚠ El monto debe ser positivo","✓")))))))))))))))</f>
        <v/>
      </c>
      <c r="P1148" s="52">
        <f>IF(OR(B1148="",G1148=""),"",IF(C1148="","Gasto",C1148))</f>
        <v/>
      </c>
      <c r="Q1148" s="52">
        <f>IF(P1148="","",IF(J1148&lt;&gt;"",J1148,CuentaPred&amp;""))</f>
        <v/>
      </c>
      <c r="R1148" s="52">
        <f>IF(P1148="","",IF(ISNUMBER(I1148),I1148,TasaUSD))</f>
        <v/>
      </c>
      <c r="S1148" s="53">
        <f>IF(P1148="","",IF(H1148="USD",G1148*R1148,G1148))</f>
        <v/>
      </c>
      <c r="T1148" s="53">
        <f>IF(P1148="","",IF(H1148="USD",G1148,IF(R1148&gt;0,G1148/R1148,0)))</f>
        <v/>
      </c>
      <c r="U1148" s="53">
        <f>IF(P1148="","",IF(P1148="Gasto",S1148,IF(P1148="Reembolso",-S1148,0)))</f>
        <v/>
      </c>
      <c r="V1148" s="53">
        <f>IF(P1148="","",IF(P1148="Ingreso",S1148,0))</f>
        <v/>
      </c>
      <c r="W1148" s="53">
        <f>IF(P1148="","",IF(P1148="Resultado trading",S1148,0))</f>
        <v/>
      </c>
      <c r="X1148" s="52">
        <f>IF(OR(P1148="Gasto",P1148="Reembolso"),IF(M1148&lt;&gt;"",M1148,IFERROR(INDEX(catClasif,MATCH(D1148&amp;"|"&amp;E1148,catClave,0))&amp;"","Variable")),"")</f>
        <v/>
      </c>
      <c r="Y1148" s="52">
        <f>IF(P1148="","",IFERROR(INDEX(catGrupo,MATCH(D1148&amp;"|"&amp;E1148,catClave,0))&amp;"",""))</f>
        <v/>
      </c>
      <c r="Z1148" s="52">
        <f>IF(P1148="","",WEEKDAY(B1148,2))</f>
        <v/>
      </c>
      <c r="AA1148" s="52">
        <f>IF(P1148="","",IF(AND(P1148="Gasto",X1148="Variable",D1148&lt;&gt;catTrading,S1148&gt;0,S1148&lt;=Umbral),1,0))</f>
        <v/>
      </c>
      <c r="AB1148" s="52">
        <f>IF(OR(P1148="",Q1148=""),"",IFERROR(IF(INDEX(ctaVinc,MATCH(Q1148,ctaNombre,0))&amp;""&lt;&gt;"",INDEX(ctaVinc,MATCH(Q1148,ctaNombre,0))&amp;"",Q1148),Q1148))</f>
        <v/>
      </c>
      <c r="AC1148" s="52">
        <f>IF(OR(K1148="",AND(P1148&lt;&gt;"Transferencia",P1148&lt;&gt;"Pago tarjeta")),"",IFERROR(IF(INDEX(ctaVinc,MATCH(K1148,ctaNombre,0))&amp;""&lt;&gt;"",INDEX(ctaVinc,MATCH(K1148,ctaNombre,0))&amp;"",K1148),K1148))</f>
        <v/>
      </c>
      <c r="AD1148" s="52">
        <f>IF(AB1148="","",IFERROR(INDEX(ctaTipo,MATCH(AB1148,ctaNombre,0))&amp;"",""))</f>
        <v/>
      </c>
      <c r="AE1148" s="52">
        <f>IF(AC1148="","",IFERROR(INDEX(ctaTipo,MATCH(AC1148,ctaNombre,0))&amp;"",""))</f>
        <v/>
      </c>
      <c r="AF1148" s="53">
        <f>IF(OR(P1148="",AB1148=""),"",IF(OR(P1148="Gasto",P1148="Transferencia",P1148="Pago tarjeta"),-1,1)*IF(IFERROR(INDEX(ctaMoneda,MATCH(AB1148,ctaNombre,0))&amp;"","DOP")="USD",T1148,S1148))</f>
        <v/>
      </c>
      <c r="AG1148" s="53">
        <f>IF(AC1148="","",IF(IFERROR(INDEX(ctaMoneda,MATCH(AC1148,ctaNombre,0))&amp;"","DOP")="USD",T1148,S1148))</f>
        <v/>
      </c>
      <c r="AH1148" s="53">
        <f>IF(P1148="","",IF(AND(AD1148&lt;&gt;"",COUNTIFS(tcTipo,AD1148,tcLiq,"Sí")&gt;0),IF(OR(P1148="Gasto",P1148="Transferencia",P1148="Pago tarjeta"),-1,1)*S1148,0)+IF(AND(AE1148&lt;&gt;"",COUNTIFS(tcTipo,AE1148,tcLiq,"Sí")&gt;0),S1148,0))</f>
        <v/>
      </c>
      <c r="AI1148" s="52">
        <f>IF(OR(L1148="",P1148=""),"",IF(COUNTIFS(L$6:L1148,L1148,P$6:P1148,"?*")=1,MAX(AI$5:AI1147)+1,""))</f>
        <v/>
      </c>
    </row>
    <row r="1149">
      <c r="B1149" s="47" t="n"/>
      <c r="C1149" s="48" t="n"/>
      <c r="D1149" s="48" t="n"/>
      <c r="E1149" s="48" t="n"/>
      <c r="F1149" s="48" t="n"/>
      <c r="G1149" s="49" t="n"/>
      <c r="H1149" s="48" t="n"/>
      <c r="I1149" s="50" t="n"/>
      <c r="J1149" s="48" t="n"/>
      <c r="K1149" s="48" t="n"/>
      <c r="L1149" s="48" t="n"/>
      <c r="M1149" s="48" t="n"/>
      <c r="N1149" s="48" t="n"/>
      <c r="O1149" s="51">
        <f>IF(AND(B1149="",G1149="",C1149="",D1149="",J1149=""),"",IF(B1149="","⚠ Falta fecha",IF(G1149="","⚠ Falta monto",IF(Q1149="","⚠ Falta cuenta",IF(ISNA(MATCH(Q1149,ctaNombre,0)),"⚠ Cuenta no registrada",IF(AND(OR(P1149="Gasto",P1149="Reembolso"),D1149=""),"⚠ Falta categoría",IF(AND(D1149&lt;&gt;"",E1149&lt;&gt;"",ISNA(MATCH(D1149&amp;"|"&amp;E1149,catClave,0))),"⚠ Subcategoría no corresponde",IF(AND(OR(P1149="Transferencia",P1149="Pago tarjeta"),K1149=""),"⚠ Falta cuenta destino",IF(AND(K1149&lt;&gt;"",P1149&lt;&gt;"Transferencia",P1149&lt;&gt;"Pago tarjeta"),"⚠ Destino solo aplica a transferencias",IF(AND(K1149&lt;&gt;"",K1149=Q1149),"⚠ Origen igual a destino",IF(AND(K1149&lt;&gt;"",ISNA(MATCH(K1149,ctaNombre,0))),"⚠ Destino no registrado",IF(AND(P1149="Pago tarjeta",AE1149&lt;&gt;"Tarjeta de crédito"),"⚠ El destino debe ser tarjeta de crédito",IF(AND(P1149="Gasto",E1149="Depósitos y retiros"),"⚠ Usa tipo Transferencia",IF(AND(P1149="Resultado trading",AD1149&lt;&gt;"Cuenta de trading"),"⚠ Usa una cuenta de trading",IF(AND(G1149&lt;=0,P1149&lt;&gt;"Ajuste",P1149&lt;&gt;"Resultado trading"),"⚠ El monto debe ser positivo","✓")))))))))))))))</f>
        <v/>
      </c>
      <c r="P1149" s="52">
        <f>IF(OR(B1149="",G1149=""),"",IF(C1149="","Gasto",C1149))</f>
        <v/>
      </c>
      <c r="Q1149" s="52">
        <f>IF(P1149="","",IF(J1149&lt;&gt;"",J1149,CuentaPred&amp;""))</f>
        <v/>
      </c>
      <c r="R1149" s="52">
        <f>IF(P1149="","",IF(ISNUMBER(I1149),I1149,TasaUSD))</f>
        <v/>
      </c>
      <c r="S1149" s="53">
        <f>IF(P1149="","",IF(H1149="USD",G1149*R1149,G1149))</f>
        <v/>
      </c>
      <c r="T1149" s="53">
        <f>IF(P1149="","",IF(H1149="USD",G1149,IF(R1149&gt;0,G1149/R1149,0)))</f>
        <v/>
      </c>
      <c r="U1149" s="53">
        <f>IF(P1149="","",IF(P1149="Gasto",S1149,IF(P1149="Reembolso",-S1149,0)))</f>
        <v/>
      </c>
      <c r="V1149" s="53">
        <f>IF(P1149="","",IF(P1149="Ingreso",S1149,0))</f>
        <v/>
      </c>
      <c r="W1149" s="53">
        <f>IF(P1149="","",IF(P1149="Resultado trading",S1149,0))</f>
        <v/>
      </c>
      <c r="X1149" s="52">
        <f>IF(OR(P1149="Gasto",P1149="Reembolso"),IF(M1149&lt;&gt;"",M1149,IFERROR(INDEX(catClasif,MATCH(D1149&amp;"|"&amp;E1149,catClave,0))&amp;"","Variable")),"")</f>
        <v/>
      </c>
      <c r="Y1149" s="52">
        <f>IF(P1149="","",IFERROR(INDEX(catGrupo,MATCH(D1149&amp;"|"&amp;E1149,catClave,0))&amp;"",""))</f>
        <v/>
      </c>
      <c r="Z1149" s="52">
        <f>IF(P1149="","",WEEKDAY(B1149,2))</f>
        <v/>
      </c>
      <c r="AA1149" s="52">
        <f>IF(P1149="","",IF(AND(P1149="Gasto",X1149="Variable",D1149&lt;&gt;catTrading,S1149&gt;0,S1149&lt;=Umbral),1,0))</f>
        <v/>
      </c>
      <c r="AB1149" s="52">
        <f>IF(OR(P1149="",Q1149=""),"",IFERROR(IF(INDEX(ctaVinc,MATCH(Q1149,ctaNombre,0))&amp;""&lt;&gt;"",INDEX(ctaVinc,MATCH(Q1149,ctaNombre,0))&amp;"",Q1149),Q1149))</f>
        <v/>
      </c>
      <c r="AC1149" s="52">
        <f>IF(OR(K1149="",AND(P1149&lt;&gt;"Transferencia",P1149&lt;&gt;"Pago tarjeta")),"",IFERROR(IF(INDEX(ctaVinc,MATCH(K1149,ctaNombre,0))&amp;""&lt;&gt;"",INDEX(ctaVinc,MATCH(K1149,ctaNombre,0))&amp;"",K1149),K1149))</f>
        <v/>
      </c>
      <c r="AD1149" s="52">
        <f>IF(AB1149="","",IFERROR(INDEX(ctaTipo,MATCH(AB1149,ctaNombre,0))&amp;"",""))</f>
        <v/>
      </c>
      <c r="AE1149" s="52">
        <f>IF(AC1149="","",IFERROR(INDEX(ctaTipo,MATCH(AC1149,ctaNombre,0))&amp;"",""))</f>
        <v/>
      </c>
      <c r="AF1149" s="53">
        <f>IF(OR(P1149="",AB1149=""),"",IF(OR(P1149="Gasto",P1149="Transferencia",P1149="Pago tarjeta"),-1,1)*IF(IFERROR(INDEX(ctaMoneda,MATCH(AB1149,ctaNombre,0))&amp;"","DOP")="USD",T1149,S1149))</f>
        <v/>
      </c>
      <c r="AG1149" s="53">
        <f>IF(AC1149="","",IF(IFERROR(INDEX(ctaMoneda,MATCH(AC1149,ctaNombre,0))&amp;"","DOP")="USD",T1149,S1149))</f>
        <v/>
      </c>
      <c r="AH1149" s="53">
        <f>IF(P1149="","",IF(AND(AD1149&lt;&gt;"",COUNTIFS(tcTipo,AD1149,tcLiq,"Sí")&gt;0),IF(OR(P1149="Gasto",P1149="Transferencia",P1149="Pago tarjeta"),-1,1)*S1149,0)+IF(AND(AE1149&lt;&gt;"",COUNTIFS(tcTipo,AE1149,tcLiq,"Sí")&gt;0),S1149,0))</f>
        <v/>
      </c>
      <c r="AI1149" s="52">
        <f>IF(OR(L1149="",P1149=""),"",IF(COUNTIFS(L$6:L1149,L1149,P$6:P1149,"?*")=1,MAX(AI$5:AI1148)+1,""))</f>
        <v/>
      </c>
    </row>
    <row r="1150">
      <c r="B1150" s="47" t="n"/>
      <c r="C1150" s="48" t="n"/>
      <c r="D1150" s="48" t="n"/>
      <c r="E1150" s="48" t="n"/>
      <c r="F1150" s="48" t="n"/>
      <c r="G1150" s="49" t="n"/>
      <c r="H1150" s="48" t="n"/>
      <c r="I1150" s="50" t="n"/>
      <c r="J1150" s="48" t="n"/>
      <c r="K1150" s="48" t="n"/>
      <c r="L1150" s="48" t="n"/>
      <c r="M1150" s="48" t="n"/>
      <c r="N1150" s="48" t="n"/>
      <c r="O1150" s="51">
        <f>IF(AND(B1150="",G1150="",C1150="",D1150="",J1150=""),"",IF(B1150="","⚠ Falta fecha",IF(G1150="","⚠ Falta monto",IF(Q1150="","⚠ Falta cuenta",IF(ISNA(MATCH(Q1150,ctaNombre,0)),"⚠ Cuenta no registrada",IF(AND(OR(P1150="Gasto",P1150="Reembolso"),D1150=""),"⚠ Falta categoría",IF(AND(D1150&lt;&gt;"",E1150&lt;&gt;"",ISNA(MATCH(D1150&amp;"|"&amp;E1150,catClave,0))),"⚠ Subcategoría no corresponde",IF(AND(OR(P1150="Transferencia",P1150="Pago tarjeta"),K1150=""),"⚠ Falta cuenta destino",IF(AND(K1150&lt;&gt;"",P1150&lt;&gt;"Transferencia",P1150&lt;&gt;"Pago tarjeta"),"⚠ Destino solo aplica a transferencias",IF(AND(K1150&lt;&gt;"",K1150=Q1150),"⚠ Origen igual a destino",IF(AND(K1150&lt;&gt;"",ISNA(MATCH(K1150,ctaNombre,0))),"⚠ Destino no registrado",IF(AND(P1150="Pago tarjeta",AE1150&lt;&gt;"Tarjeta de crédito"),"⚠ El destino debe ser tarjeta de crédito",IF(AND(P1150="Gasto",E1150="Depósitos y retiros"),"⚠ Usa tipo Transferencia",IF(AND(P1150="Resultado trading",AD1150&lt;&gt;"Cuenta de trading"),"⚠ Usa una cuenta de trading",IF(AND(G1150&lt;=0,P1150&lt;&gt;"Ajuste",P1150&lt;&gt;"Resultado trading"),"⚠ El monto debe ser positivo","✓")))))))))))))))</f>
        <v/>
      </c>
      <c r="P1150" s="52">
        <f>IF(OR(B1150="",G1150=""),"",IF(C1150="","Gasto",C1150))</f>
        <v/>
      </c>
      <c r="Q1150" s="52">
        <f>IF(P1150="","",IF(J1150&lt;&gt;"",J1150,CuentaPred&amp;""))</f>
        <v/>
      </c>
      <c r="R1150" s="52">
        <f>IF(P1150="","",IF(ISNUMBER(I1150),I1150,TasaUSD))</f>
        <v/>
      </c>
      <c r="S1150" s="53">
        <f>IF(P1150="","",IF(H1150="USD",G1150*R1150,G1150))</f>
        <v/>
      </c>
      <c r="T1150" s="53">
        <f>IF(P1150="","",IF(H1150="USD",G1150,IF(R1150&gt;0,G1150/R1150,0)))</f>
        <v/>
      </c>
      <c r="U1150" s="53">
        <f>IF(P1150="","",IF(P1150="Gasto",S1150,IF(P1150="Reembolso",-S1150,0)))</f>
        <v/>
      </c>
      <c r="V1150" s="53">
        <f>IF(P1150="","",IF(P1150="Ingreso",S1150,0))</f>
        <v/>
      </c>
      <c r="W1150" s="53">
        <f>IF(P1150="","",IF(P1150="Resultado trading",S1150,0))</f>
        <v/>
      </c>
      <c r="X1150" s="52">
        <f>IF(OR(P1150="Gasto",P1150="Reembolso"),IF(M1150&lt;&gt;"",M1150,IFERROR(INDEX(catClasif,MATCH(D1150&amp;"|"&amp;E1150,catClave,0))&amp;"","Variable")),"")</f>
        <v/>
      </c>
      <c r="Y1150" s="52">
        <f>IF(P1150="","",IFERROR(INDEX(catGrupo,MATCH(D1150&amp;"|"&amp;E1150,catClave,0))&amp;"",""))</f>
        <v/>
      </c>
      <c r="Z1150" s="52">
        <f>IF(P1150="","",WEEKDAY(B1150,2))</f>
        <v/>
      </c>
      <c r="AA1150" s="52">
        <f>IF(P1150="","",IF(AND(P1150="Gasto",X1150="Variable",D1150&lt;&gt;catTrading,S1150&gt;0,S1150&lt;=Umbral),1,0))</f>
        <v/>
      </c>
      <c r="AB1150" s="52">
        <f>IF(OR(P1150="",Q1150=""),"",IFERROR(IF(INDEX(ctaVinc,MATCH(Q1150,ctaNombre,0))&amp;""&lt;&gt;"",INDEX(ctaVinc,MATCH(Q1150,ctaNombre,0))&amp;"",Q1150),Q1150))</f>
        <v/>
      </c>
      <c r="AC1150" s="52">
        <f>IF(OR(K1150="",AND(P1150&lt;&gt;"Transferencia",P1150&lt;&gt;"Pago tarjeta")),"",IFERROR(IF(INDEX(ctaVinc,MATCH(K1150,ctaNombre,0))&amp;""&lt;&gt;"",INDEX(ctaVinc,MATCH(K1150,ctaNombre,0))&amp;"",K1150),K1150))</f>
        <v/>
      </c>
      <c r="AD1150" s="52">
        <f>IF(AB1150="","",IFERROR(INDEX(ctaTipo,MATCH(AB1150,ctaNombre,0))&amp;"",""))</f>
        <v/>
      </c>
      <c r="AE1150" s="52">
        <f>IF(AC1150="","",IFERROR(INDEX(ctaTipo,MATCH(AC1150,ctaNombre,0))&amp;"",""))</f>
        <v/>
      </c>
      <c r="AF1150" s="53">
        <f>IF(OR(P1150="",AB1150=""),"",IF(OR(P1150="Gasto",P1150="Transferencia",P1150="Pago tarjeta"),-1,1)*IF(IFERROR(INDEX(ctaMoneda,MATCH(AB1150,ctaNombre,0))&amp;"","DOP")="USD",T1150,S1150))</f>
        <v/>
      </c>
      <c r="AG1150" s="53">
        <f>IF(AC1150="","",IF(IFERROR(INDEX(ctaMoneda,MATCH(AC1150,ctaNombre,0))&amp;"","DOP")="USD",T1150,S1150))</f>
        <v/>
      </c>
      <c r="AH1150" s="53">
        <f>IF(P1150="","",IF(AND(AD1150&lt;&gt;"",COUNTIFS(tcTipo,AD1150,tcLiq,"Sí")&gt;0),IF(OR(P1150="Gasto",P1150="Transferencia",P1150="Pago tarjeta"),-1,1)*S1150,0)+IF(AND(AE1150&lt;&gt;"",COUNTIFS(tcTipo,AE1150,tcLiq,"Sí")&gt;0),S1150,0))</f>
        <v/>
      </c>
      <c r="AI1150" s="52">
        <f>IF(OR(L1150="",P1150=""),"",IF(COUNTIFS(L$6:L1150,L1150,P$6:P1150,"?*")=1,MAX(AI$5:AI1149)+1,""))</f>
        <v/>
      </c>
    </row>
    <row r="1151">
      <c r="B1151" s="47" t="n"/>
      <c r="C1151" s="48" t="n"/>
      <c r="D1151" s="48" t="n"/>
      <c r="E1151" s="48" t="n"/>
      <c r="F1151" s="48" t="n"/>
      <c r="G1151" s="49" t="n"/>
      <c r="H1151" s="48" t="n"/>
      <c r="I1151" s="50" t="n"/>
      <c r="J1151" s="48" t="n"/>
      <c r="K1151" s="48" t="n"/>
      <c r="L1151" s="48" t="n"/>
      <c r="M1151" s="48" t="n"/>
      <c r="N1151" s="48" t="n"/>
      <c r="O1151" s="51">
        <f>IF(AND(B1151="",G1151="",C1151="",D1151="",J1151=""),"",IF(B1151="","⚠ Falta fecha",IF(G1151="","⚠ Falta monto",IF(Q1151="","⚠ Falta cuenta",IF(ISNA(MATCH(Q1151,ctaNombre,0)),"⚠ Cuenta no registrada",IF(AND(OR(P1151="Gasto",P1151="Reembolso"),D1151=""),"⚠ Falta categoría",IF(AND(D1151&lt;&gt;"",E1151&lt;&gt;"",ISNA(MATCH(D1151&amp;"|"&amp;E1151,catClave,0))),"⚠ Subcategoría no corresponde",IF(AND(OR(P1151="Transferencia",P1151="Pago tarjeta"),K1151=""),"⚠ Falta cuenta destino",IF(AND(K1151&lt;&gt;"",P1151&lt;&gt;"Transferencia",P1151&lt;&gt;"Pago tarjeta"),"⚠ Destino solo aplica a transferencias",IF(AND(K1151&lt;&gt;"",K1151=Q1151),"⚠ Origen igual a destino",IF(AND(K1151&lt;&gt;"",ISNA(MATCH(K1151,ctaNombre,0))),"⚠ Destino no registrado",IF(AND(P1151="Pago tarjeta",AE1151&lt;&gt;"Tarjeta de crédito"),"⚠ El destino debe ser tarjeta de crédito",IF(AND(P1151="Gasto",E1151="Depósitos y retiros"),"⚠ Usa tipo Transferencia",IF(AND(P1151="Resultado trading",AD1151&lt;&gt;"Cuenta de trading"),"⚠ Usa una cuenta de trading",IF(AND(G1151&lt;=0,P1151&lt;&gt;"Ajuste",P1151&lt;&gt;"Resultado trading"),"⚠ El monto debe ser positivo","✓")))))))))))))))</f>
        <v/>
      </c>
      <c r="P1151" s="52">
        <f>IF(OR(B1151="",G1151=""),"",IF(C1151="","Gasto",C1151))</f>
        <v/>
      </c>
      <c r="Q1151" s="52">
        <f>IF(P1151="","",IF(J1151&lt;&gt;"",J1151,CuentaPred&amp;""))</f>
        <v/>
      </c>
      <c r="R1151" s="52">
        <f>IF(P1151="","",IF(ISNUMBER(I1151),I1151,TasaUSD))</f>
        <v/>
      </c>
      <c r="S1151" s="53">
        <f>IF(P1151="","",IF(H1151="USD",G1151*R1151,G1151))</f>
        <v/>
      </c>
      <c r="T1151" s="53">
        <f>IF(P1151="","",IF(H1151="USD",G1151,IF(R1151&gt;0,G1151/R1151,0)))</f>
        <v/>
      </c>
      <c r="U1151" s="53">
        <f>IF(P1151="","",IF(P1151="Gasto",S1151,IF(P1151="Reembolso",-S1151,0)))</f>
        <v/>
      </c>
      <c r="V1151" s="53">
        <f>IF(P1151="","",IF(P1151="Ingreso",S1151,0))</f>
        <v/>
      </c>
      <c r="W1151" s="53">
        <f>IF(P1151="","",IF(P1151="Resultado trading",S1151,0))</f>
        <v/>
      </c>
      <c r="X1151" s="52">
        <f>IF(OR(P1151="Gasto",P1151="Reembolso"),IF(M1151&lt;&gt;"",M1151,IFERROR(INDEX(catClasif,MATCH(D1151&amp;"|"&amp;E1151,catClave,0))&amp;"","Variable")),"")</f>
        <v/>
      </c>
      <c r="Y1151" s="52">
        <f>IF(P1151="","",IFERROR(INDEX(catGrupo,MATCH(D1151&amp;"|"&amp;E1151,catClave,0))&amp;"",""))</f>
        <v/>
      </c>
      <c r="Z1151" s="52">
        <f>IF(P1151="","",WEEKDAY(B1151,2))</f>
        <v/>
      </c>
      <c r="AA1151" s="52">
        <f>IF(P1151="","",IF(AND(P1151="Gasto",X1151="Variable",D1151&lt;&gt;catTrading,S1151&gt;0,S1151&lt;=Umbral),1,0))</f>
        <v/>
      </c>
      <c r="AB1151" s="52">
        <f>IF(OR(P1151="",Q1151=""),"",IFERROR(IF(INDEX(ctaVinc,MATCH(Q1151,ctaNombre,0))&amp;""&lt;&gt;"",INDEX(ctaVinc,MATCH(Q1151,ctaNombre,0))&amp;"",Q1151),Q1151))</f>
        <v/>
      </c>
      <c r="AC1151" s="52">
        <f>IF(OR(K1151="",AND(P1151&lt;&gt;"Transferencia",P1151&lt;&gt;"Pago tarjeta")),"",IFERROR(IF(INDEX(ctaVinc,MATCH(K1151,ctaNombre,0))&amp;""&lt;&gt;"",INDEX(ctaVinc,MATCH(K1151,ctaNombre,0))&amp;"",K1151),K1151))</f>
        <v/>
      </c>
      <c r="AD1151" s="52">
        <f>IF(AB1151="","",IFERROR(INDEX(ctaTipo,MATCH(AB1151,ctaNombre,0))&amp;"",""))</f>
        <v/>
      </c>
      <c r="AE1151" s="52">
        <f>IF(AC1151="","",IFERROR(INDEX(ctaTipo,MATCH(AC1151,ctaNombre,0))&amp;"",""))</f>
        <v/>
      </c>
      <c r="AF1151" s="53">
        <f>IF(OR(P1151="",AB1151=""),"",IF(OR(P1151="Gasto",P1151="Transferencia",P1151="Pago tarjeta"),-1,1)*IF(IFERROR(INDEX(ctaMoneda,MATCH(AB1151,ctaNombre,0))&amp;"","DOP")="USD",T1151,S1151))</f>
        <v/>
      </c>
      <c r="AG1151" s="53">
        <f>IF(AC1151="","",IF(IFERROR(INDEX(ctaMoneda,MATCH(AC1151,ctaNombre,0))&amp;"","DOP")="USD",T1151,S1151))</f>
        <v/>
      </c>
      <c r="AH1151" s="53">
        <f>IF(P1151="","",IF(AND(AD1151&lt;&gt;"",COUNTIFS(tcTipo,AD1151,tcLiq,"Sí")&gt;0),IF(OR(P1151="Gasto",P1151="Transferencia",P1151="Pago tarjeta"),-1,1)*S1151,0)+IF(AND(AE1151&lt;&gt;"",COUNTIFS(tcTipo,AE1151,tcLiq,"Sí")&gt;0),S1151,0))</f>
        <v/>
      </c>
      <c r="AI1151" s="52">
        <f>IF(OR(L1151="",P1151=""),"",IF(COUNTIFS(L$6:L1151,L1151,P$6:P1151,"?*")=1,MAX(AI$5:AI1150)+1,""))</f>
        <v/>
      </c>
    </row>
    <row r="1152">
      <c r="B1152" s="47" t="n"/>
      <c r="C1152" s="48" t="n"/>
      <c r="D1152" s="48" t="n"/>
      <c r="E1152" s="48" t="n"/>
      <c r="F1152" s="48" t="n"/>
      <c r="G1152" s="49" t="n"/>
      <c r="H1152" s="48" t="n"/>
      <c r="I1152" s="50" t="n"/>
      <c r="J1152" s="48" t="n"/>
      <c r="K1152" s="48" t="n"/>
      <c r="L1152" s="48" t="n"/>
      <c r="M1152" s="48" t="n"/>
      <c r="N1152" s="48" t="n"/>
      <c r="O1152" s="51">
        <f>IF(AND(B1152="",G1152="",C1152="",D1152="",J1152=""),"",IF(B1152="","⚠ Falta fecha",IF(G1152="","⚠ Falta monto",IF(Q1152="","⚠ Falta cuenta",IF(ISNA(MATCH(Q1152,ctaNombre,0)),"⚠ Cuenta no registrada",IF(AND(OR(P1152="Gasto",P1152="Reembolso"),D1152=""),"⚠ Falta categoría",IF(AND(D1152&lt;&gt;"",E1152&lt;&gt;"",ISNA(MATCH(D1152&amp;"|"&amp;E1152,catClave,0))),"⚠ Subcategoría no corresponde",IF(AND(OR(P1152="Transferencia",P1152="Pago tarjeta"),K1152=""),"⚠ Falta cuenta destino",IF(AND(K1152&lt;&gt;"",P1152&lt;&gt;"Transferencia",P1152&lt;&gt;"Pago tarjeta"),"⚠ Destino solo aplica a transferencias",IF(AND(K1152&lt;&gt;"",K1152=Q1152),"⚠ Origen igual a destino",IF(AND(K1152&lt;&gt;"",ISNA(MATCH(K1152,ctaNombre,0))),"⚠ Destino no registrado",IF(AND(P1152="Pago tarjeta",AE1152&lt;&gt;"Tarjeta de crédito"),"⚠ El destino debe ser tarjeta de crédito",IF(AND(P1152="Gasto",E1152="Depósitos y retiros"),"⚠ Usa tipo Transferencia",IF(AND(P1152="Resultado trading",AD1152&lt;&gt;"Cuenta de trading"),"⚠ Usa una cuenta de trading",IF(AND(G1152&lt;=0,P1152&lt;&gt;"Ajuste",P1152&lt;&gt;"Resultado trading"),"⚠ El monto debe ser positivo","✓")))))))))))))))</f>
        <v/>
      </c>
      <c r="P1152" s="52">
        <f>IF(OR(B1152="",G1152=""),"",IF(C1152="","Gasto",C1152))</f>
        <v/>
      </c>
      <c r="Q1152" s="52">
        <f>IF(P1152="","",IF(J1152&lt;&gt;"",J1152,CuentaPred&amp;""))</f>
        <v/>
      </c>
      <c r="R1152" s="52">
        <f>IF(P1152="","",IF(ISNUMBER(I1152),I1152,TasaUSD))</f>
        <v/>
      </c>
      <c r="S1152" s="53">
        <f>IF(P1152="","",IF(H1152="USD",G1152*R1152,G1152))</f>
        <v/>
      </c>
      <c r="T1152" s="53">
        <f>IF(P1152="","",IF(H1152="USD",G1152,IF(R1152&gt;0,G1152/R1152,0)))</f>
        <v/>
      </c>
      <c r="U1152" s="53">
        <f>IF(P1152="","",IF(P1152="Gasto",S1152,IF(P1152="Reembolso",-S1152,0)))</f>
        <v/>
      </c>
      <c r="V1152" s="53">
        <f>IF(P1152="","",IF(P1152="Ingreso",S1152,0))</f>
        <v/>
      </c>
      <c r="W1152" s="53">
        <f>IF(P1152="","",IF(P1152="Resultado trading",S1152,0))</f>
        <v/>
      </c>
      <c r="X1152" s="52">
        <f>IF(OR(P1152="Gasto",P1152="Reembolso"),IF(M1152&lt;&gt;"",M1152,IFERROR(INDEX(catClasif,MATCH(D1152&amp;"|"&amp;E1152,catClave,0))&amp;"","Variable")),"")</f>
        <v/>
      </c>
      <c r="Y1152" s="52">
        <f>IF(P1152="","",IFERROR(INDEX(catGrupo,MATCH(D1152&amp;"|"&amp;E1152,catClave,0))&amp;"",""))</f>
        <v/>
      </c>
      <c r="Z1152" s="52">
        <f>IF(P1152="","",WEEKDAY(B1152,2))</f>
        <v/>
      </c>
      <c r="AA1152" s="52">
        <f>IF(P1152="","",IF(AND(P1152="Gasto",X1152="Variable",D1152&lt;&gt;catTrading,S1152&gt;0,S1152&lt;=Umbral),1,0))</f>
        <v/>
      </c>
      <c r="AB1152" s="52">
        <f>IF(OR(P1152="",Q1152=""),"",IFERROR(IF(INDEX(ctaVinc,MATCH(Q1152,ctaNombre,0))&amp;""&lt;&gt;"",INDEX(ctaVinc,MATCH(Q1152,ctaNombre,0))&amp;"",Q1152),Q1152))</f>
        <v/>
      </c>
      <c r="AC1152" s="52">
        <f>IF(OR(K1152="",AND(P1152&lt;&gt;"Transferencia",P1152&lt;&gt;"Pago tarjeta")),"",IFERROR(IF(INDEX(ctaVinc,MATCH(K1152,ctaNombre,0))&amp;""&lt;&gt;"",INDEX(ctaVinc,MATCH(K1152,ctaNombre,0))&amp;"",K1152),K1152))</f>
        <v/>
      </c>
      <c r="AD1152" s="52">
        <f>IF(AB1152="","",IFERROR(INDEX(ctaTipo,MATCH(AB1152,ctaNombre,0))&amp;"",""))</f>
        <v/>
      </c>
      <c r="AE1152" s="52">
        <f>IF(AC1152="","",IFERROR(INDEX(ctaTipo,MATCH(AC1152,ctaNombre,0))&amp;"",""))</f>
        <v/>
      </c>
      <c r="AF1152" s="53">
        <f>IF(OR(P1152="",AB1152=""),"",IF(OR(P1152="Gasto",P1152="Transferencia",P1152="Pago tarjeta"),-1,1)*IF(IFERROR(INDEX(ctaMoneda,MATCH(AB1152,ctaNombre,0))&amp;"","DOP")="USD",T1152,S1152))</f>
        <v/>
      </c>
      <c r="AG1152" s="53">
        <f>IF(AC1152="","",IF(IFERROR(INDEX(ctaMoneda,MATCH(AC1152,ctaNombre,0))&amp;"","DOP")="USD",T1152,S1152))</f>
        <v/>
      </c>
      <c r="AH1152" s="53">
        <f>IF(P1152="","",IF(AND(AD1152&lt;&gt;"",COUNTIFS(tcTipo,AD1152,tcLiq,"Sí")&gt;0),IF(OR(P1152="Gasto",P1152="Transferencia",P1152="Pago tarjeta"),-1,1)*S1152,0)+IF(AND(AE1152&lt;&gt;"",COUNTIFS(tcTipo,AE1152,tcLiq,"Sí")&gt;0),S1152,0))</f>
        <v/>
      </c>
      <c r="AI1152" s="52">
        <f>IF(OR(L1152="",P1152=""),"",IF(COUNTIFS(L$6:L1152,L1152,P$6:P1152,"?*")=1,MAX(AI$5:AI1151)+1,""))</f>
        <v/>
      </c>
    </row>
    <row r="1153">
      <c r="B1153" s="47" t="n"/>
      <c r="C1153" s="48" t="n"/>
      <c r="D1153" s="48" t="n"/>
      <c r="E1153" s="48" t="n"/>
      <c r="F1153" s="48" t="n"/>
      <c r="G1153" s="49" t="n"/>
      <c r="H1153" s="48" t="n"/>
      <c r="I1153" s="50" t="n"/>
      <c r="J1153" s="48" t="n"/>
      <c r="K1153" s="48" t="n"/>
      <c r="L1153" s="48" t="n"/>
      <c r="M1153" s="48" t="n"/>
      <c r="N1153" s="48" t="n"/>
      <c r="O1153" s="51">
        <f>IF(AND(B1153="",G1153="",C1153="",D1153="",J1153=""),"",IF(B1153="","⚠ Falta fecha",IF(G1153="","⚠ Falta monto",IF(Q1153="","⚠ Falta cuenta",IF(ISNA(MATCH(Q1153,ctaNombre,0)),"⚠ Cuenta no registrada",IF(AND(OR(P1153="Gasto",P1153="Reembolso"),D1153=""),"⚠ Falta categoría",IF(AND(D1153&lt;&gt;"",E1153&lt;&gt;"",ISNA(MATCH(D1153&amp;"|"&amp;E1153,catClave,0))),"⚠ Subcategoría no corresponde",IF(AND(OR(P1153="Transferencia",P1153="Pago tarjeta"),K1153=""),"⚠ Falta cuenta destino",IF(AND(K1153&lt;&gt;"",P1153&lt;&gt;"Transferencia",P1153&lt;&gt;"Pago tarjeta"),"⚠ Destino solo aplica a transferencias",IF(AND(K1153&lt;&gt;"",K1153=Q1153),"⚠ Origen igual a destino",IF(AND(K1153&lt;&gt;"",ISNA(MATCH(K1153,ctaNombre,0))),"⚠ Destino no registrado",IF(AND(P1153="Pago tarjeta",AE1153&lt;&gt;"Tarjeta de crédito"),"⚠ El destino debe ser tarjeta de crédito",IF(AND(P1153="Gasto",E1153="Depósitos y retiros"),"⚠ Usa tipo Transferencia",IF(AND(P1153="Resultado trading",AD1153&lt;&gt;"Cuenta de trading"),"⚠ Usa una cuenta de trading",IF(AND(G1153&lt;=0,P1153&lt;&gt;"Ajuste",P1153&lt;&gt;"Resultado trading"),"⚠ El monto debe ser positivo","✓")))))))))))))))</f>
        <v/>
      </c>
      <c r="P1153" s="52">
        <f>IF(OR(B1153="",G1153=""),"",IF(C1153="","Gasto",C1153))</f>
        <v/>
      </c>
      <c r="Q1153" s="52">
        <f>IF(P1153="","",IF(J1153&lt;&gt;"",J1153,CuentaPred&amp;""))</f>
        <v/>
      </c>
      <c r="R1153" s="52">
        <f>IF(P1153="","",IF(ISNUMBER(I1153),I1153,TasaUSD))</f>
        <v/>
      </c>
      <c r="S1153" s="53">
        <f>IF(P1153="","",IF(H1153="USD",G1153*R1153,G1153))</f>
        <v/>
      </c>
      <c r="T1153" s="53">
        <f>IF(P1153="","",IF(H1153="USD",G1153,IF(R1153&gt;0,G1153/R1153,0)))</f>
        <v/>
      </c>
      <c r="U1153" s="53">
        <f>IF(P1153="","",IF(P1153="Gasto",S1153,IF(P1153="Reembolso",-S1153,0)))</f>
        <v/>
      </c>
      <c r="V1153" s="53">
        <f>IF(P1153="","",IF(P1153="Ingreso",S1153,0))</f>
        <v/>
      </c>
      <c r="W1153" s="53">
        <f>IF(P1153="","",IF(P1153="Resultado trading",S1153,0))</f>
        <v/>
      </c>
      <c r="X1153" s="52">
        <f>IF(OR(P1153="Gasto",P1153="Reembolso"),IF(M1153&lt;&gt;"",M1153,IFERROR(INDEX(catClasif,MATCH(D1153&amp;"|"&amp;E1153,catClave,0))&amp;"","Variable")),"")</f>
        <v/>
      </c>
      <c r="Y1153" s="52">
        <f>IF(P1153="","",IFERROR(INDEX(catGrupo,MATCH(D1153&amp;"|"&amp;E1153,catClave,0))&amp;"",""))</f>
        <v/>
      </c>
      <c r="Z1153" s="52">
        <f>IF(P1153="","",WEEKDAY(B1153,2))</f>
        <v/>
      </c>
      <c r="AA1153" s="52">
        <f>IF(P1153="","",IF(AND(P1153="Gasto",X1153="Variable",D1153&lt;&gt;catTrading,S1153&gt;0,S1153&lt;=Umbral),1,0))</f>
        <v/>
      </c>
      <c r="AB1153" s="52">
        <f>IF(OR(P1153="",Q1153=""),"",IFERROR(IF(INDEX(ctaVinc,MATCH(Q1153,ctaNombre,0))&amp;""&lt;&gt;"",INDEX(ctaVinc,MATCH(Q1153,ctaNombre,0))&amp;"",Q1153),Q1153))</f>
        <v/>
      </c>
      <c r="AC1153" s="52">
        <f>IF(OR(K1153="",AND(P1153&lt;&gt;"Transferencia",P1153&lt;&gt;"Pago tarjeta")),"",IFERROR(IF(INDEX(ctaVinc,MATCH(K1153,ctaNombre,0))&amp;""&lt;&gt;"",INDEX(ctaVinc,MATCH(K1153,ctaNombre,0))&amp;"",K1153),K1153))</f>
        <v/>
      </c>
      <c r="AD1153" s="52">
        <f>IF(AB1153="","",IFERROR(INDEX(ctaTipo,MATCH(AB1153,ctaNombre,0))&amp;"",""))</f>
        <v/>
      </c>
      <c r="AE1153" s="52">
        <f>IF(AC1153="","",IFERROR(INDEX(ctaTipo,MATCH(AC1153,ctaNombre,0))&amp;"",""))</f>
        <v/>
      </c>
      <c r="AF1153" s="53">
        <f>IF(OR(P1153="",AB1153=""),"",IF(OR(P1153="Gasto",P1153="Transferencia",P1153="Pago tarjeta"),-1,1)*IF(IFERROR(INDEX(ctaMoneda,MATCH(AB1153,ctaNombre,0))&amp;"","DOP")="USD",T1153,S1153))</f>
        <v/>
      </c>
      <c r="AG1153" s="53">
        <f>IF(AC1153="","",IF(IFERROR(INDEX(ctaMoneda,MATCH(AC1153,ctaNombre,0))&amp;"","DOP")="USD",T1153,S1153))</f>
        <v/>
      </c>
      <c r="AH1153" s="53">
        <f>IF(P1153="","",IF(AND(AD1153&lt;&gt;"",COUNTIFS(tcTipo,AD1153,tcLiq,"Sí")&gt;0),IF(OR(P1153="Gasto",P1153="Transferencia",P1153="Pago tarjeta"),-1,1)*S1153,0)+IF(AND(AE1153&lt;&gt;"",COUNTIFS(tcTipo,AE1153,tcLiq,"Sí")&gt;0),S1153,0))</f>
        <v/>
      </c>
      <c r="AI1153" s="52">
        <f>IF(OR(L1153="",P1153=""),"",IF(COUNTIFS(L$6:L1153,L1153,P$6:P1153,"?*")=1,MAX(AI$5:AI1152)+1,""))</f>
        <v/>
      </c>
    </row>
    <row r="1154">
      <c r="B1154" s="47" t="n"/>
      <c r="C1154" s="48" t="n"/>
      <c r="D1154" s="48" t="n"/>
      <c r="E1154" s="48" t="n"/>
      <c r="F1154" s="48" t="n"/>
      <c r="G1154" s="49" t="n"/>
      <c r="H1154" s="48" t="n"/>
      <c r="I1154" s="50" t="n"/>
      <c r="J1154" s="48" t="n"/>
      <c r="K1154" s="48" t="n"/>
      <c r="L1154" s="48" t="n"/>
      <c r="M1154" s="48" t="n"/>
      <c r="N1154" s="48" t="n"/>
      <c r="O1154" s="51">
        <f>IF(AND(B1154="",G1154="",C1154="",D1154="",J1154=""),"",IF(B1154="","⚠ Falta fecha",IF(G1154="","⚠ Falta monto",IF(Q1154="","⚠ Falta cuenta",IF(ISNA(MATCH(Q1154,ctaNombre,0)),"⚠ Cuenta no registrada",IF(AND(OR(P1154="Gasto",P1154="Reembolso"),D1154=""),"⚠ Falta categoría",IF(AND(D1154&lt;&gt;"",E1154&lt;&gt;"",ISNA(MATCH(D1154&amp;"|"&amp;E1154,catClave,0))),"⚠ Subcategoría no corresponde",IF(AND(OR(P1154="Transferencia",P1154="Pago tarjeta"),K1154=""),"⚠ Falta cuenta destino",IF(AND(K1154&lt;&gt;"",P1154&lt;&gt;"Transferencia",P1154&lt;&gt;"Pago tarjeta"),"⚠ Destino solo aplica a transferencias",IF(AND(K1154&lt;&gt;"",K1154=Q1154),"⚠ Origen igual a destino",IF(AND(K1154&lt;&gt;"",ISNA(MATCH(K1154,ctaNombre,0))),"⚠ Destino no registrado",IF(AND(P1154="Pago tarjeta",AE1154&lt;&gt;"Tarjeta de crédito"),"⚠ El destino debe ser tarjeta de crédito",IF(AND(P1154="Gasto",E1154="Depósitos y retiros"),"⚠ Usa tipo Transferencia",IF(AND(P1154="Resultado trading",AD1154&lt;&gt;"Cuenta de trading"),"⚠ Usa una cuenta de trading",IF(AND(G1154&lt;=0,P1154&lt;&gt;"Ajuste",P1154&lt;&gt;"Resultado trading"),"⚠ El monto debe ser positivo","✓")))))))))))))))</f>
        <v/>
      </c>
      <c r="P1154" s="52">
        <f>IF(OR(B1154="",G1154=""),"",IF(C1154="","Gasto",C1154))</f>
        <v/>
      </c>
      <c r="Q1154" s="52">
        <f>IF(P1154="","",IF(J1154&lt;&gt;"",J1154,CuentaPred&amp;""))</f>
        <v/>
      </c>
      <c r="R1154" s="52">
        <f>IF(P1154="","",IF(ISNUMBER(I1154),I1154,TasaUSD))</f>
        <v/>
      </c>
      <c r="S1154" s="53">
        <f>IF(P1154="","",IF(H1154="USD",G1154*R1154,G1154))</f>
        <v/>
      </c>
      <c r="T1154" s="53">
        <f>IF(P1154="","",IF(H1154="USD",G1154,IF(R1154&gt;0,G1154/R1154,0)))</f>
        <v/>
      </c>
      <c r="U1154" s="53">
        <f>IF(P1154="","",IF(P1154="Gasto",S1154,IF(P1154="Reembolso",-S1154,0)))</f>
        <v/>
      </c>
      <c r="V1154" s="53">
        <f>IF(P1154="","",IF(P1154="Ingreso",S1154,0))</f>
        <v/>
      </c>
      <c r="W1154" s="53">
        <f>IF(P1154="","",IF(P1154="Resultado trading",S1154,0))</f>
        <v/>
      </c>
      <c r="X1154" s="52">
        <f>IF(OR(P1154="Gasto",P1154="Reembolso"),IF(M1154&lt;&gt;"",M1154,IFERROR(INDEX(catClasif,MATCH(D1154&amp;"|"&amp;E1154,catClave,0))&amp;"","Variable")),"")</f>
        <v/>
      </c>
      <c r="Y1154" s="52">
        <f>IF(P1154="","",IFERROR(INDEX(catGrupo,MATCH(D1154&amp;"|"&amp;E1154,catClave,0))&amp;"",""))</f>
        <v/>
      </c>
      <c r="Z1154" s="52">
        <f>IF(P1154="","",WEEKDAY(B1154,2))</f>
        <v/>
      </c>
      <c r="AA1154" s="52">
        <f>IF(P1154="","",IF(AND(P1154="Gasto",X1154="Variable",D1154&lt;&gt;catTrading,S1154&gt;0,S1154&lt;=Umbral),1,0))</f>
        <v/>
      </c>
      <c r="AB1154" s="52">
        <f>IF(OR(P1154="",Q1154=""),"",IFERROR(IF(INDEX(ctaVinc,MATCH(Q1154,ctaNombre,0))&amp;""&lt;&gt;"",INDEX(ctaVinc,MATCH(Q1154,ctaNombre,0))&amp;"",Q1154),Q1154))</f>
        <v/>
      </c>
      <c r="AC1154" s="52">
        <f>IF(OR(K1154="",AND(P1154&lt;&gt;"Transferencia",P1154&lt;&gt;"Pago tarjeta")),"",IFERROR(IF(INDEX(ctaVinc,MATCH(K1154,ctaNombre,0))&amp;""&lt;&gt;"",INDEX(ctaVinc,MATCH(K1154,ctaNombre,0))&amp;"",K1154),K1154))</f>
        <v/>
      </c>
      <c r="AD1154" s="52">
        <f>IF(AB1154="","",IFERROR(INDEX(ctaTipo,MATCH(AB1154,ctaNombre,0))&amp;"",""))</f>
        <v/>
      </c>
      <c r="AE1154" s="52">
        <f>IF(AC1154="","",IFERROR(INDEX(ctaTipo,MATCH(AC1154,ctaNombre,0))&amp;"",""))</f>
        <v/>
      </c>
      <c r="AF1154" s="53">
        <f>IF(OR(P1154="",AB1154=""),"",IF(OR(P1154="Gasto",P1154="Transferencia",P1154="Pago tarjeta"),-1,1)*IF(IFERROR(INDEX(ctaMoneda,MATCH(AB1154,ctaNombre,0))&amp;"","DOP")="USD",T1154,S1154))</f>
        <v/>
      </c>
      <c r="AG1154" s="53">
        <f>IF(AC1154="","",IF(IFERROR(INDEX(ctaMoneda,MATCH(AC1154,ctaNombre,0))&amp;"","DOP")="USD",T1154,S1154))</f>
        <v/>
      </c>
      <c r="AH1154" s="53">
        <f>IF(P1154="","",IF(AND(AD1154&lt;&gt;"",COUNTIFS(tcTipo,AD1154,tcLiq,"Sí")&gt;0),IF(OR(P1154="Gasto",P1154="Transferencia",P1154="Pago tarjeta"),-1,1)*S1154,0)+IF(AND(AE1154&lt;&gt;"",COUNTIFS(tcTipo,AE1154,tcLiq,"Sí")&gt;0),S1154,0))</f>
        <v/>
      </c>
      <c r="AI1154" s="52">
        <f>IF(OR(L1154="",P1154=""),"",IF(COUNTIFS(L$6:L1154,L1154,P$6:P1154,"?*")=1,MAX(AI$5:AI1153)+1,""))</f>
        <v/>
      </c>
    </row>
    <row r="1155">
      <c r="B1155" s="47" t="n"/>
      <c r="C1155" s="48" t="n"/>
      <c r="D1155" s="48" t="n"/>
      <c r="E1155" s="48" t="n"/>
      <c r="F1155" s="48" t="n"/>
      <c r="G1155" s="49" t="n"/>
      <c r="H1155" s="48" t="n"/>
      <c r="I1155" s="50" t="n"/>
      <c r="J1155" s="48" t="n"/>
      <c r="K1155" s="48" t="n"/>
      <c r="L1155" s="48" t="n"/>
      <c r="M1155" s="48" t="n"/>
      <c r="N1155" s="48" t="n"/>
      <c r="O1155" s="51">
        <f>IF(AND(B1155="",G1155="",C1155="",D1155="",J1155=""),"",IF(B1155="","⚠ Falta fecha",IF(G1155="","⚠ Falta monto",IF(Q1155="","⚠ Falta cuenta",IF(ISNA(MATCH(Q1155,ctaNombre,0)),"⚠ Cuenta no registrada",IF(AND(OR(P1155="Gasto",P1155="Reembolso"),D1155=""),"⚠ Falta categoría",IF(AND(D1155&lt;&gt;"",E1155&lt;&gt;"",ISNA(MATCH(D1155&amp;"|"&amp;E1155,catClave,0))),"⚠ Subcategoría no corresponde",IF(AND(OR(P1155="Transferencia",P1155="Pago tarjeta"),K1155=""),"⚠ Falta cuenta destino",IF(AND(K1155&lt;&gt;"",P1155&lt;&gt;"Transferencia",P1155&lt;&gt;"Pago tarjeta"),"⚠ Destino solo aplica a transferencias",IF(AND(K1155&lt;&gt;"",K1155=Q1155),"⚠ Origen igual a destino",IF(AND(K1155&lt;&gt;"",ISNA(MATCH(K1155,ctaNombre,0))),"⚠ Destino no registrado",IF(AND(P1155="Pago tarjeta",AE1155&lt;&gt;"Tarjeta de crédito"),"⚠ El destino debe ser tarjeta de crédito",IF(AND(P1155="Gasto",E1155="Depósitos y retiros"),"⚠ Usa tipo Transferencia",IF(AND(P1155="Resultado trading",AD1155&lt;&gt;"Cuenta de trading"),"⚠ Usa una cuenta de trading",IF(AND(G1155&lt;=0,P1155&lt;&gt;"Ajuste",P1155&lt;&gt;"Resultado trading"),"⚠ El monto debe ser positivo","✓")))))))))))))))</f>
        <v/>
      </c>
      <c r="P1155" s="52">
        <f>IF(OR(B1155="",G1155=""),"",IF(C1155="","Gasto",C1155))</f>
        <v/>
      </c>
      <c r="Q1155" s="52">
        <f>IF(P1155="","",IF(J1155&lt;&gt;"",J1155,CuentaPred&amp;""))</f>
        <v/>
      </c>
      <c r="R1155" s="52">
        <f>IF(P1155="","",IF(ISNUMBER(I1155),I1155,TasaUSD))</f>
        <v/>
      </c>
      <c r="S1155" s="53">
        <f>IF(P1155="","",IF(H1155="USD",G1155*R1155,G1155))</f>
        <v/>
      </c>
      <c r="T1155" s="53">
        <f>IF(P1155="","",IF(H1155="USD",G1155,IF(R1155&gt;0,G1155/R1155,0)))</f>
        <v/>
      </c>
      <c r="U1155" s="53">
        <f>IF(P1155="","",IF(P1155="Gasto",S1155,IF(P1155="Reembolso",-S1155,0)))</f>
        <v/>
      </c>
      <c r="V1155" s="53">
        <f>IF(P1155="","",IF(P1155="Ingreso",S1155,0))</f>
        <v/>
      </c>
      <c r="W1155" s="53">
        <f>IF(P1155="","",IF(P1155="Resultado trading",S1155,0))</f>
        <v/>
      </c>
      <c r="X1155" s="52">
        <f>IF(OR(P1155="Gasto",P1155="Reembolso"),IF(M1155&lt;&gt;"",M1155,IFERROR(INDEX(catClasif,MATCH(D1155&amp;"|"&amp;E1155,catClave,0))&amp;"","Variable")),"")</f>
        <v/>
      </c>
      <c r="Y1155" s="52">
        <f>IF(P1155="","",IFERROR(INDEX(catGrupo,MATCH(D1155&amp;"|"&amp;E1155,catClave,0))&amp;"",""))</f>
        <v/>
      </c>
      <c r="Z1155" s="52">
        <f>IF(P1155="","",WEEKDAY(B1155,2))</f>
        <v/>
      </c>
      <c r="AA1155" s="52">
        <f>IF(P1155="","",IF(AND(P1155="Gasto",X1155="Variable",D1155&lt;&gt;catTrading,S1155&gt;0,S1155&lt;=Umbral),1,0))</f>
        <v/>
      </c>
      <c r="AB1155" s="52">
        <f>IF(OR(P1155="",Q1155=""),"",IFERROR(IF(INDEX(ctaVinc,MATCH(Q1155,ctaNombre,0))&amp;""&lt;&gt;"",INDEX(ctaVinc,MATCH(Q1155,ctaNombre,0))&amp;"",Q1155),Q1155))</f>
        <v/>
      </c>
      <c r="AC1155" s="52">
        <f>IF(OR(K1155="",AND(P1155&lt;&gt;"Transferencia",P1155&lt;&gt;"Pago tarjeta")),"",IFERROR(IF(INDEX(ctaVinc,MATCH(K1155,ctaNombre,0))&amp;""&lt;&gt;"",INDEX(ctaVinc,MATCH(K1155,ctaNombre,0))&amp;"",K1155),K1155))</f>
        <v/>
      </c>
      <c r="AD1155" s="52">
        <f>IF(AB1155="","",IFERROR(INDEX(ctaTipo,MATCH(AB1155,ctaNombre,0))&amp;"",""))</f>
        <v/>
      </c>
      <c r="AE1155" s="52">
        <f>IF(AC1155="","",IFERROR(INDEX(ctaTipo,MATCH(AC1155,ctaNombre,0))&amp;"",""))</f>
        <v/>
      </c>
      <c r="AF1155" s="53">
        <f>IF(OR(P1155="",AB1155=""),"",IF(OR(P1155="Gasto",P1155="Transferencia",P1155="Pago tarjeta"),-1,1)*IF(IFERROR(INDEX(ctaMoneda,MATCH(AB1155,ctaNombre,0))&amp;"","DOP")="USD",T1155,S1155))</f>
        <v/>
      </c>
      <c r="AG1155" s="53">
        <f>IF(AC1155="","",IF(IFERROR(INDEX(ctaMoneda,MATCH(AC1155,ctaNombre,0))&amp;"","DOP")="USD",T1155,S1155))</f>
        <v/>
      </c>
      <c r="AH1155" s="53">
        <f>IF(P1155="","",IF(AND(AD1155&lt;&gt;"",COUNTIFS(tcTipo,AD1155,tcLiq,"Sí")&gt;0),IF(OR(P1155="Gasto",P1155="Transferencia",P1155="Pago tarjeta"),-1,1)*S1155,0)+IF(AND(AE1155&lt;&gt;"",COUNTIFS(tcTipo,AE1155,tcLiq,"Sí")&gt;0),S1155,0))</f>
        <v/>
      </c>
      <c r="AI1155" s="52">
        <f>IF(OR(L1155="",P1155=""),"",IF(COUNTIFS(L$6:L1155,L1155,P$6:P1155,"?*")=1,MAX(AI$5:AI1154)+1,""))</f>
        <v/>
      </c>
    </row>
    <row r="1156">
      <c r="B1156" s="47" t="n"/>
      <c r="C1156" s="48" t="n"/>
      <c r="D1156" s="48" t="n"/>
      <c r="E1156" s="48" t="n"/>
      <c r="F1156" s="48" t="n"/>
      <c r="G1156" s="49" t="n"/>
      <c r="H1156" s="48" t="n"/>
      <c r="I1156" s="50" t="n"/>
      <c r="J1156" s="48" t="n"/>
      <c r="K1156" s="48" t="n"/>
      <c r="L1156" s="48" t="n"/>
      <c r="M1156" s="48" t="n"/>
      <c r="N1156" s="48" t="n"/>
      <c r="O1156" s="51">
        <f>IF(AND(B1156="",G1156="",C1156="",D1156="",J1156=""),"",IF(B1156="","⚠ Falta fecha",IF(G1156="","⚠ Falta monto",IF(Q1156="","⚠ Falta cuenta",IF(ISNA(MATCH(Q1156,ctaNombre,0)),"⚠ Cuenta no registrada",IF(AND(OR(P1156="Gasto",P1156="Reembolso"),D1156=""),"⚠ Falta categoría",IF(AND(D1156&lt;&gt;"",E1156&lt;&gt;"",ISNA(MATCH(D1156&amp;"|"&amp;E1156,catClave,0))),"⚠ Subcategoría no corresponde",IF(AND(OR(P1156="Transferencia",P1156="Pago tarjeta"),K1156=""),"⚠ Falta cuenta destino",IF(AND(K1156&lt;&gt;"",P1156&lt;&gt;"Transferencia",P1156&lt;&gt;"Pago tarjeta"),"⚠ Destino solo aplica a transferencias",IF(AND(K1156&lt;&gt;"",K1156=Q1156),"⚠ Origen igual a destino",IF(AND(K1156&lt;&gt;"",ISNA(MATCH(K1156,ctaNombre,0))),"⚠ Destino no registrado",IF(AND(P1156="Pago tarjeta",AE1156&lt;&gt;"Tarjeta de crédito"),"⚠ El destino debe ser tarjeta de crédito",IF(AND(P1156="Gasto",E1156="Depósitos y retiros"),"⚠ Usa tipo Transferencia",IF(AND(P1156="Resultado trading",AD1156&lt;&gt;"Cuenta de trading"),"⚠ Usa una cuenta de trading",IF(AND(G1156&lt;=0,P1156&lt;&gt;"Ajuste",P1156&lt;&gt;"Resultado trading"),"⚠ El monto debe ser positivo","✓")))))))))))))))</f>
        <v/>
      </c>
      <c r="P1156" s="52">
        <f>IF(OR(B1156="",G1156=""),"",IF(C1156="","Gasto",C1156))</f>
        <v/>
      </c>
      <c r="Q1156" s="52">
        <f>IF(P1156="","",IF(J1156&lt;&gt;"",J1156,CuentaPred&amp;""))</f>
        <v/>
      </c>
      <c r="R1156" s="52">
        <f>IF(P1156="","",IF(ISNUMBER(I1156),I1156,TasaUSD))</f>
        <v/>
      </c>
      <c r="S1156" s="53">
        <f>IF(P1156="","",IF(H1156="USD",G1156*R1156,G1156))</f>
        <v/>
      </c>
      <c r="T1156" s="53">
        <f>IF(P1156="","",IF(H1156="USD",G1156,IF(R1156&gt;0,G1156/R1156,0)))</f>
        <v/>
      </c>
      <c r="U1156" s="53">
        <f>IF(P1156="","",IF(P1156="Gasto",S1156,IF(P1156="Reembolso",-S1156,0)))</f>
        <v/>
      </c>
      <c r="V1156" s="53">
        <f>IF(P1156="","",IF(P1156="Ingreso",S1156,0))</f>
        <v/>
      </c>
      <c r="W1156" s="53">
        <f>IF(P1156="","",IF(P1156="Resultado trading",S1156,0))</f>
        <v/>
      </c>
      <c r="X1156" s="52">
        <f>IF(OR(P1156="Gasto",P1156="Reembolso"),IF(M1156&lt;&gt;"",M1156,IFERROR(INDEX(catClasif,MATCH(D1156&amp;"|"&amp;E1156,catClave,0))&amp;"","Variable")),"")</f>
        <v/>
      </c>
      <c r="Y1156" s="52">
        <f>IF(P1156="","",IFERROR(INDEX(catGrupo,MATCH(D1156&amp;"|"&amp;E1156,catClave,0))&amp;"",""))</f>
        <v/>
      </c>
      <c r="Z1156" s="52">
        <f>IF(P1156="","",WEEKDAY(B1156,2))</f>
        <v/>
      </c>
      <c r="AA1156" s="52">
        <f>IF(P1156="","",IF(AND(P1156="Gasto",X1156="Variable",D1156&lt;&gt;catTrading,S1156&gt;0,S1156&lt;=Umbral),1,0))</f>
        <v/>
      </c>
      <c r="AB1156" s="52">
        <f>IF(OR(P1156="",Q1156=""),"",IFERROR(IF(INDEX(ctaVinc,MATCH(Q1156,ctaNombre,0))&amp;""&lt;&gt;"",INDEX(ctaVinc,MATCH(Q1156,ctaNombre,0))&amp;"",Q1156),Q1156))</f>
        <v/>
      </c>
      <c r="AC1156" s="52">
        <f>IF(OR(K1156="",AND(P1156&lt;&gt;"Transferencia",P1156&lt;&gt;"Pago tarjeta")),"",IFERROR(IF(INDEX(ctaVinc,MATCH(K1156,ctaNombre,0))&amp;""&lt;&gt;"",INDEX(ctaVinc,MATCH(K1156,ctaNombre,0))&amp;"",K1156),K1156))</f>
        <v/>
      </c>
      <c r="AD1156" s="52">
        <f>IF(AB1156="","",IFERROR(INDEX(ctaTipo,MATCH(AB1156,ctaNombre,0))&amp;"",""))</f>
        <v/>
      </c>
      <c r="AE1156" s="52">
        <f>IF(AC1156="","",IFERROR(INDEX(ctaTipo,MATCH(AC1156,ctaNombre,0))&amp;"",""))</f>
        <v/>
      </c>
      <c r="AF1156" s="53">
        <f>IF(OR(P1156="",AB1156=""),"",IF(OR(P1156="Gasto",P1156="Transferencia",P1156="Pago tarjeta"),-1,1)*IF(IFERROR(INDEX(ctaMoneda,MATCH(AB1156,ctaNombre,0))&amp;"","DOP")="USD",T1156,S1156))</f>
        <v/>
      </c>
      <c r="AG1156" s="53">
        <f>IF(AC1156="","",IF(IFERROR(INDEX(ctaMoneda,MATCH(AC1156,ctaNombre,0))&amp;"","DOP")="USD",T1156,S1156))</f>
        <v/>
      </c>
      <c r="AH1156" s="53">
        <f>IF(P1156="","",IF(AND(AD1156&lt;&gt;"",COUNTIFS(tcTipo,AD1156,tcLiq,"Sí")&gt;0),IF(OR(P1156="Gasto",P1156="Transferencia",P1156="Pago tarjeta"),-1,1)*S1156,0)+IF(AND(AE1156&lt;&gt;"",COUNTIFS(tcTipo,AE1156,tcLiq,"Sí")&gt;0),S1156,0))</f>
        <v/>
      </c>
      <c r="AI1156" s="52">
        <f>IF(OR(L1156="",P1156=""),"",IF(COUNTIFS(L$6:L1156,L1156,P$6:P1156,"?*")=1,MAX(AI$5:AI1155)+1,""))</f>
        <v/>
      </c>
    </row>
    <row r="1157">
      <c r="B1157" s="47" t="n"/>
      <c r="C1157" s="48" t="n"/>
      <c r="D1157" s="48" t="n"/>
      <c r="E1157" s="48" t="n"/>
      <c r="F1157" s="48" t="n"/>
      <c r="G1157" s="49" t="n"/>
      <c r="H1157" s="48" t="n"/>
      <c r="I1157" s="50" t="n"/>
      <c r="J1157" s="48" t="n"/>
      <c r="K1157" s="48" t="n"/>
      <c r="L1157" s="48" t="n"/>
      <c r="M1157" s="48" t="n"/>
      <c r="N1157" s="48" t="n"/>
      <c r="O1157" s="51">
        <f>IF(AND(B1157="",G1157="",C1157="",D1157="",J1157=""),"",IF(B1157="","⚠ Falta fecha",IF(G1157="","⚠ Falta monto",IF(Q1157="","⚠ Falta cuenta",IF(ISNA(MATCH(Q1157,ctaNombre,0)),"⚠ Cuenta no registrada",IF(AND(OR(P1157="Gasto",P1157="Reembolso"),D1157=""),"⚠ Falta categoría",IF(AND(D1157&lt;&gt;"",E1157&lt;&gt;"",ISNA(MATCH(D1157&amp;"|"&amp;E1157,catClave,0))),"⚠ Subcategoría no corresponde",IF(AND(OR(P1157="Transferencia",P1157="Pago tarjeta"),K1157=""),"⚠ Falta cuenta destino",IF(AND(K1157&lt;&gt;"",P1157&lt;&gt;"Transferencia",P1157&lt;&gt;"Pago tarjeta"),"⚠ Destino solo aplica a transferencias",IF(AND(K1157&lt;&gt;"",K1157=Q1157),"⚠ Origen igual a destino",IF(AND(K1157&lt;&gt;"",ISNA(MATCH(K1157,ctaNombre,0))),"⚠ Destino no registrado",IF(AND(P1157="Pago tarjeta",AE1157&lt;&gt;"Tarjeta de crédito"),"⚠ El destino debe ser tarjeta de crédito",IF(AND(P1157="Gasto",E1157="Depósitos y retiros"),"⚠ Usa tipo Transferencia",IF(AND(P1157="Resultado trading",AD1157&lt;&gt;"Cuenta de trading"),"⚠ Usa una cuenta de trading",IF(AND(G1157&lt;=0,P1157&lt;&gt;"Ajuste",P1157&lt;&gt;"Resultado trading"),"⚠ El monto debe ser positivo","✓")))))))))))))))</f>
        <v/>
      </c>
      <c r="P1157" s="52">
        <f>IF(OR(B1157="",G1157=""),"",IF(C1157="","Gasto",C1157))</f>
        <v/>
      </c>
      <c r="Q1157" s="52">
        <f>IF(P1157="","",IF(J1157&lt;&gt;"",J1157,CuentaPred&amp;""))</f>
        <v/>
      </c>
      <c r="R1157" s="52">
        <f>IF(P1157="","",IF(ISNUMBER(I1157),I1157,TasaUSD))</f>
        <v/>
      </c>
      <c r="S1157" s="53">
        <f>IF(P1157="","",IF(H1157="USD",G1157*R1157,G1157))</f>
        <v/>
      </c>
      <c r="T1157" s="53">
        <f>IF(P1157="","",IF(H1157="USD",G1157,IF(R1157&gt;0,G1157/R1157,0)))</f>
        <v/>
      </c>
      <c r="U1157" s="53">
        <f>IF(P1157="","",IF(P1157="Gasto",S1157,IF(P1157="Reembolso",-S1157,0)))</f>
        <v/>
      </c>
      <c r="V1157" s="53">
        <f>IF(P1157="","",IF(P1157="Ingreso",S1157,0))</f>
        <v/>
      </c>
      <c r="W1157" s="53">
        <f>IF(P1157="","",IF(P1157="Resultado trading",S1157,0))</f>
        <v/>
      </c>
      <c r="X1157" s="52">
        <f>IF(OR(P1157="Gasto",P1157="Reembolso"),IF(M1157&lt;&gt;"",M1157,IFERROR(INDEX(catClasif,MATCH(D1157&amp;"|"&amp;E1157,catClave,0))&amp;"","Variable")),"")</f>
        <v/>
      </c>
      <c r="Y1157" s="52">
        <f>IF(P1157="","",IFERROR(INDEX(catGrupo,MATCH(D1157&amp;"|"&amp;E1157,catClave,0))&amp;"",""))</f>
        <v/>
      </c>
      <c r="Z1157" s="52">
        <f>IF(P1157="","",WEEKDAY(B1157,2))</f>
        <v/>
      </c>
      <c r="AA1157" s="52">
        <f>IF(P1157="","",IF(AND(P1157="Gasto",X1157="Variable",D1157&lt;&gt;catTrading,S1157&gt;0,S1157&lt;=Umbral),1,0))</f>
        <v/>
      </c>
      <c r="AB1157" s="52">
        <f>IF(OR(P1157="",Q1157=""),"",IFERROR(IF(INDEX(ctaVinc,MATCH(Q1157,ctaNombre,0))&amp;""&lt;&gt;"",INDEX(ctaVinc,MATCH(Q1157,ctaNombre,0))&amp;"",Q1157),Q1157))</f>
        <v/>
      </c>
      <c r="AC1157" s="52">
        <f>IF(OR(K1157="",AND(P1157&lt;&gt;"Transferencia",P1157&lt;&gt;"Pago tarjeta")),"",IFERROR(IF(INDEX(ctaVinc,MATCH(K1157,ctaNombre,0))&amp;""&lt;&gt;"",INDEX(ctaVinc,MATCH(K1157,ctaNombre,0))&amp;"",K1157),K1157))</f>
        <v/>
      </c>
      <c r="AD1157" s="52">
        <f>IF(AB1157="","",IFERROR(INDEX(ctaTipo,MATCH(AB1157,ctaNombre,0))&amp;"",""))</f>
        <v/>
      </c>
      <c r="AE1157" s="52">
        <f>IF(AC1157="","",IFERROR(INDEX(ctaTipo,MATCH(AC1157,ctaNombre,0))&amp;"",""))</f>
        <v/>
      </c>
      <c r="AF1157" s="53">
        <f>IF(OR(P1157="",AB1157=""),"",IF(OR(P1157="Gasto",P1157="Transferencia",P1157="Pago tarjeta"),-1,1)*IF(IFERROR(INDEX(ctaMoneda,MATCH(AB1157,ctaNombre,0))&amp;"","DOP")="USD",T1157,S1157))</f>
        <v/>
      </c>
      <c r="AG1157" s="53">
        <f>IF(AC1157="","",IF(IFERROR(INDEX(ctaMoneda,MATCH(AC1157,ctaNombre,0))&amp;"","DOP")="USD",T1157,S1157))</f>
        <v/>
      </c>
      <c r="AH1157" s="53">
        <f>IF(P1157="","",IF(AND(AD1157&lt;&gt;"",COUNTIFS(tcTipo,AD1157,tcLiq,"Sí")&gt;0),IF(OR(P1157="Gasto",P1157="Transferencia",P1157="Pago tarjeta"),-1,1)*S1157,0)+IF(AND(AE1157&lt;&gt;"",COUNTIFS(tcTipo,AE1157,tcLiq,"Sí")&gt;0),S1157,0))</f>
        <v/>
      </c>
      <c r="AI1157" s="52">
        <f>IF(OR(L1157="",P1157=""),"",IF(COUNTIFS(L$6:L1157,L1157,P$6:P1157,"?*")=1,MAX(AI$5:AI1156)+1,""))</f>
        <v/>
      </c>
    </row>
    <row r="1158">
      <c r="B1158" s="47" t="n"/>
      <c r="C1158" s="48" t="n"/>
      <c r="D1158" s="48" t="n"/>
      <c r="E1158" s="48" t="n"/>
      <c r="F1158" s="48" t="n"/>
      <c r="G1158" s="49" t="n"/>
      <c r="H1158" s="48" t="n"/>
      <c r="I1158" s="50" t="n"/>
      <c r="J1158" s="48" t="n"/>
      <c r="K1158" s="48" t="n"/>
      <c r="L1158" s="48" t="n"/>
      <c r="M1158" s="48" t="n"/>
      <c r="N1158" s="48" t="n"/>
      <c r="O1158" s="51">
        <f>IF(AND(B1158="",G1158="",C1158="",D1158="",J1158=""),"",IF(B1158="","⚠ Falta fecha",IF(G1158="","⚠ Falta monto",IF(Q1158="","⚠ Falta cuenta",IF(ISNA(MATCH(Q1158,ctaNombre,0)),"⚠ Cuenta no registrada",IF(AND(OR(P1158="Gasto",P1158="Reembolso"),D1158=""),"⚠ Falta categoría",IF(AND(D1158&lt;&gt;"",E1158&lt;&gt;"",ISNA(MATCH(D1158&amp;"|"&amp;E1158,catClave,0))),"⚠ Subcategoría no corresponde",IF(AND(OR(P1158="Transferencia",P1158="Pago tarjeta"),K1158=""),"⚠ Falta cuenta destino",IF(AND(K1158&lt;&gt;"",P1158&lt;&gt;"Transferencia",P1158&lt;&gt;"Pago tarjeta"),"⚠ Destino solo aplica a transferencias",IF(AND(K1158&lt;&gt;"",K1158=Q1158),"⚠ Origen igual a destino",IF(AND(K1158&lt;&gt;"",ISNA(MATCH(K1158,ctaNombre,0))),"⚠ Destino no registrado",IF(AND(P1158="Pago tarjeta",AE1158&lt;&gt;"Tarjeta de crédito"),"⚠ El destino debe ser tarjeta de crédito",IF(AND(P1158="Gasto",E1158="Depósitos y retiros"),"⚠ Usa tipo Transferencia",IF(AND(P1158="Resultado trading",AD1158&lt;&gt;"Cuenta de trading"),"⚠ Usa una cuenta de trading",IF(AND(G1158&lt;=0,P1158&lt;&gt;"Ajuste",P1158&lt;&gt;"Resultado trading"),"⚠ El monto debe ser positivo","✓")))))))))))))))</f>
        <v/>
      </c>
      <c r="P1158" s="52">
        <f>IF(OR(B1158="",G1158=""),"",IF(C1158="","Gasto",C1158))</f>
        <v/>
      </c>
      <c r="Q1158" s="52">
        <f>IF(P1158="","",IF(J1158&lt;&gt;"",J1158,CuentaPred&amp;""))</f>
        <v/>
      </c>
      <c r="R1158" s="52">
        <f>IF(P1158="","",IF(ISNUMBER(I1158),I1158,TasaUSD))</f>
        <v/>
      </c>
      <c r="S1158" s="53">
        <f>IF(P1158="","",IF(H1158="USD",G1158*R1158,G1158))</f>
        <v/>
      </c>
      <c r="T1158" s="53">
        <f>IF(P1158="","",IF(H1158="USD",G1158,IF(R1158&gt;0,G1158/R1158,0)))</f>
        <v/>
      </c>
      <c r="U1158" s="53">
        <f>IF(P1158="","",IF(P1158="Gasto",S1158,IF(P1158="Reembolso",-S1158,0)))</f>
        <v/>
      </c>
      <c r="V1158" s="53">
        <f>IF(P1158="","",IF(P1158="Ingreso",S1158,0))</f>
        <v/>
      </c>
      <c r="W1158" s="53">
        <f>IF(P1158="","",IF(P1158="Resultado trading",S1158,0))</f>
        <v/>
      </c>
      <c r="X1158" s="52">
        <f>IF(OR(P1158="Gasto",P1158="Reembolso"),IF(M1158&lt;&gt;"",M1158,IFERROR(INDEX(catClasif,MATCH(D1158&amp;"|"&amp;E1158,catClave,0))&amp;"","Variable")),"")</f>
        <v/>
      </c>
      <c r="Y1158" s="52">
        <f>IF(P1158="","",IFERROR(INDEX(catGrupo,MATCH(D1158&amp;"|"&amp;E1158,catClave,0))&amp;"",""))</f>
        <v/>
      </c>
      <c r="Z1158" s="52">
        <f>IF(P1158="","",WEEKDAY(B1158,2))</f>
        <v/>
      </c>
      <c r="AA1158" s="52">
        <f>IF(P1158="","",IF(AND(P1158="Gasto",X1158="Variable",D1158&lt;&gt;catTrading,S1158&gt;0,S1158&lt;=Umbral),1,0))</f>
        <v/>
      </c>
      <c r="AB1158" s="52">
        <f>IF(OR(P1158="",Q1158=""),"",IFERROR(IF(INDEX(ctaVinc,MATCH(Q1158,ctaNombre,0))&amp;""&lt;&gt;"",INDEX(ctaVinc,MATCH(Q1158,ctaNombre,0))&amp;"",Q1158),Q1158))</f>
        <v/>
      </c>
      <c r="AC1158" s="52">
        <f>IF(OR(K1158="",AND(P1158&lt;&gt;"Transferencia",P1158&lt;&gt;"Pago tarjeta")),"",IFERROR(IF(INDEX(ctaVinc,MATCH(K1158,ctaNombre,0))&amp;""&lt;&gt;"",INDEX(ctaVinc,MATCH(K1158,ctaNombre,0))&amp;"",K1158),K1158))</f>
        <v/>
      </c>
      <c r="AD1158" s="52">
        <f>IF(AB1158="","",IFERROR(INDEX(ctaTipo,MATCH(AB1158,ctaNombre,0))&amp;"",""))</f>
        <v/>
      </c>
      <c r="AE1158" s="52">
        <f>IF(AC1158="","",IFERROR(INDEX(ctaTipo,MATCH(AC1158,ctaNombre,0))&amp;"",""))</f>
        <v/>
      </c>
      <c r="AF1158" s="53">
        <f>IF(OR(P1158="",AB1158=""),"",IF(OR(P1158="Gasto",P1158="Transferencia",P1158="Pago tarjeta"),-1,1)*IF(IFERROR(INDEX(ctaMoneda,MATCH(AB1158,ctaNombre,0))&amp;"","DOP")="USD",T1158,S1158))</f>
        <v/>
      </c>
      <c r="AG1158" s="53">
        <f>IF(AC1158="","",IF(IFERROR(INDEX(ctaMoneda,MATCH(AC1158,ctaNombre,0))&amp;"","DOP")="USD",T1158,S1158))</f>
        <v/>
      </c>
      <c r="AH1158" s="53">
        <f>IF(P1158="","",IF(AND(AD1158&lt;&gt;"",COUNTIFS(tcTipo,AD1158,tcLiq,"Sí")&gt;0),IF(OR(P1158="Gasto",P1158="Transferencia",P1158="Pago tarjeta"),-1,1)*S1158,0)+IF(AND(AE1158&lt;&gt;"",COUNTIFS(tcTipo,AE1158,tcLiq,"Sí")&gt;0),S1158,0))</f>
        <v/>
      </c>
      <c r="AI1158" s="52">
        <f>IF(OR(L1158="",P1158=""),"",IF(COUNTIFS(L$6:L1158,L1158,P$6:P1158,"?*")=1,MAX(AI$5:AI1157)+1,""))</f>
        <v/>
      </c>
    </row>
    <row r="1159">
      <c r="B1159" s="47" t="n"/>
      <c r="C1159" s="48" t="n"/>
      <c r="D1159" s="48" t="n"/>
      <c r="E1159" s="48" t="n"/>
      <c r="F1159" s="48" t="n"/>
      <c r="G1159" s="49" t="n"/>
      <c r="H1159" s="48" t="n"/>
      <c r="I1159" s="50" t="n"/>
      <c r="J1159" s="48" t="n"/>
      <c r="K1159" s="48" t="n"/>
      <c r="L1159" s="48" t="n"/>
      <c r="M1159" s="48" t="n"/>
      <c r="N1159" s="48" t="n"/>
      <c r="O1159" s="51">
        <f>IF(AND(B1159="",G1159="",C1159="",D1159="",J1159=""),"",IF(B1159="","⚠ Falta fecha",IF(G1159="","⚠ Falta monto",IF(Q1159="","⚠ Falta cuenta",IF(ISNA(MATCH(Q1159,ctaNombre,0)),"⚠ Cuenta no registrada",IF(AND(OR(P1159="Gasto",P1159="Reembolso"),D1159=""),"⚠ Falta categoría",IF(AND(D1159&lt;&gt;"",E1159&lt;&gt;"",ISNA(MATCH(D1159&amp;"|"&amp;E1159,catClave,0))),"⚠ Subcategoría no corresponde",IF(AND(OR(P1159="Transferencia",P1159="Pago tarjeta"),K1159=""),"⚠ Falta cuenta destino",IF(AND(K1159&lt;&gt;"",P1159&lt;&gt;"Transferencia",P1159&lt;&gt;"Pago tarjeta"),"⚠ Destino solo aplica a transferencias",IF(AND(K1159&lt;&gt;"",K1159=Q1159),"⚠ Origen igual a destino",IF(AND(K1159&lt;&gt;"",ISNA(MATCH(K1159,ctaNombre,0))),"⚠ Destino no registrado",IF(AND(P1159="Pago tarjeta",AE1159&lt;&gt;"Tarjeta de crédito"),"⚠ El destino debe ser tarjeta de crédito",IF(AND(P1159="Gasto",E1159="Depósitos y retiros"),"⚠ Usa tipo Transferencia",IF(AND(P1159="Resultado trading",AD1159&lt;&gt;"Cuenta de trading"),"⚠ Usa una cuenta de trading",IF(AND(G1159&lt;=0,P1159&lt;&gt;"Ajuste",P1159&lt;&gt;"Resultado trading"),"⚠ El monto debe ser positivo","✓")))))))))))))))</f>
        <v/>
      </c>
      <c r="P1159" s="52">
        <f>IF(OR(B1159="",G1159=""),"",IF(C1159="","Gasto",C1159))</f>
        <v/>
      </c>
      <c r="Q1159" s="52">
        <f>IF(P1159="","",IF(J1159&lt;&gt;"",J1159,CuentaPred&amp;""))</f>
        <v/>
      </c>
      <c r="R1159" s="52">
        <f>IF(P1159="","",IF(ISNUMBER(I1159),I1159,TasaUSD))</f>
        <v/>
      </c>
      <c r="S1159" s="53">
        <f>IF(P1159="","",IF(H1159="USD",G1159*R1159,G1159))</f>
        <v/>
      </c>
      <c r="T1159" s="53">
        <f>IF(P1159="","",IF(H1159="USD",G1159,IF(R1159&gt;0,G1159/R1159,0)))</f>
        <v/>
      </c>
      <c r="U1159" s="53">
        <f>IF(P1159="","",IF(P1159="Gasto",S1159,IF(P1159="Reembolso",-S1159,0)))</f>
        <v/>
      </c>
      <c r="V1159" s="53">
        <f>IF(P1159="","",IF(P1159="Ingreso",S1159,0))</f>
        <v/>
      </c>
      <c r="W1159" s="53">
        <f>IF(P1159="","",IF(P1159="Resultado trading",S1159,0))</f>
        <v/>
      </c>
      <c r="X1159" s="52">
        <f>IF(OR(P1159="Gasto",P1159="Reembolso"),IF(M1159&lt;&gt;"",M1159,IFERROR(INDEX(catClasif,MATCH(D1159&amp;"|"&amp;E1159,catClave,0))&amp;"","Variable")),"")</f>
        <v/>
      </c>
      <c r="Y1159" s="52">
        <f>IF(P1159="","",IFERROR(INDEX(catGrupo,MATCH(D1159&amp;"|"&amp;E1159,catClave,0))&amp;"",""))</f>
        <v/>
      </c>
      <c r="Z1159" s="52">
        <f>IF(P1159="","",WEEKDAY(B1159,2))</f>
        <v/>
      </c>
      <c r="AA1159" s="52">
        <f>IF(P1159="","",IF(AND(P1159="Gasto",X1159="Variable",D1159&lt;&gt;catTrading,S1159&gt;0,S1159&lt;=Umbral),1,0))</f>
        <v/>
      </c>
      <c r="AB1159" s="52">
        <f>IF(OR(P1159="",Q1159=""),"",IFERROR(IF(INDEX(ctaVinc,MATCH(Q1159,ctaNombre,0))&amp;""&lt;&gt;"",INDEX(ctaVinc,MATCH(Q1159,ctaNombre,0))&amp;"",Q1159),Q1159))</f>
        <v/>
      </c>
      <c r="AC1159" s="52">
        <f>IF(OR(K1159="",AND(P1159&lt;&gt;"Transferencia",P1159&lt;&gt;"Pago tarjeta")),"",IFERROR(IF(INDEX(ctaVinc,MATCH(K1159,ctaNombre,0))&amp;""&lt;&gt;"",INDEX(ctaVinc,MATCH(K1159,ctaNombre,0))&amp;"",K1159),K1159))</f>
        <v/>
      </c>
      <c r="AD1159" s="52">
        <f>IF(AB1159="","",IFERROR(INDEX(ctaTipo,MATCH(AB1159,ctaNombre,0))&amp;"",""))</f>
        <v/>
      </c>
      <c r="AE1159" s="52">
        <f>IF(AC1159="","",IFERROR(INDEX(ctaTipo,MATCH(AC1159,ctaNombre,0))&amp;"",""))</f>
        <v/>
      </c>
      <c r="AF1159" s="53">
        <f>IF(OR(P1159="",AB1159=""),"",IF(OR(P1159="Gasto",P1159="Transferencia",P1159="Pago tarjeta"),-1,1)*IF(IFERROR(INDEX(ctaMoneda,MATCH(AB1159,ctaNombre,0))&amp;"","DOP")="USD",T1159,S1159))</f>
        <v/>
      </c>
      <c r="AG1159" s="53">
        <f>IF(AC1159="","",IF(IFERROR(INDEX(ctaMoneda,MATCH(AC1159,ctaNombre,0))&amp;"","DOP")="USD",T1159,S1159))</f>
        <v/>
      </c>
      <c r="AH1159" s="53">
        <f>IF(P1159="","",IF(AND(AD1159&lt;&gt;"",COUNTIFS(tcTipo,AD1159,tcLiq,"Sí")&gt;0),IF(OR(P1159="Gasto",P1159="Transferencia",P1159="Pago tarjeta"),-1,1)*S1159,0)+IF(AND(AE1159&lt;&gt;"",COUNTIFS(tcTipo,AE1159,tcLiq,"Sí")&gt;0),S1159,0))</f>
        <v/>
      </c>
      <c r="AI1159" s="52">
        <f>IF(OR(L1159="",P1159=""),"",IF(COUNTIFS(L$6:L1159,L1159,P$6:P1159,"?*")=1,MAX(AI$5:AI1158)+1,""))</f>
        <v/>
      </c>
    </row>
    <row r="1160">
      <c r="B1160" s="47" t="n"/>
      <c r="C1160" s="48" t="n"/>
      <c r="D1160" s="48" t="n"/>
      <c r="E1160" s="48" t="n"/>
      <c r="F1160" s="48" t="n"/>
      <c r="G1160" s="49" t="n"/>
      <c r="H1160" s="48" t="n"/>
      <c r="I1160" s="50" t="n"/>
      <c r="J1160" s="48" t="n"/>
      <c r="K1160" s="48" t="n"/>
      <c r="L1160" s="48" t="n"/>
      <c r="M1160" s="48" t="n"/>
      <c r="N1160" s="48" t="n"/>
      <c r="O1160" s="51">
        <f>IF(AND(B1160="",G1160="",C1160="",D1160="",J1160=""),"",IF(B1160="","⚠ Falta fecha",IF(G1160="","⚠ Falta monto",IF(Q1160="","⚠ Falta cuenta",IF(ISNA(MATCH(Q1160,ctaNombre,0)),"⚠ Cuenta no registrada",IF(AND(OR(P1160="Gasto",P1160="Reembolso"),D1160=""),"⚠ Falta categoría",IF(AND(D1160&lt;&gt;"",E1160&lt;&gt;"",ISNA(MATCH(D1160&amp;"|"&amp;E1160,catClave,0))),"⚠ Subcategoría no corresponde",IF(AND(OR(P1160="Transferencia",P1160="Pago tarjeta"),K1160=""),"⚠ Falta cuenta destino",IF(AND(K1160&lt;&gt;"",P1160&lt;&gt;"Transferencia",P1160&lt;&gt;"Pago tarjeta"),"⚠ Destino solo aplica a transferencias",IF(AND(K1160&lt;&gt;"",K1160=Q1160),"⚠ Origen igual a destino",IF(AND(K1160&lt;&gt;"",ISNA(MATCH(K1160,ctaNombre,0))),"⚠ Destino no registrado",IF(AND(P1160="Pago tarjeta",AE1160&lt;&gt;"Tarjeta de crédito"),"⚠ El destino debe ser tarjeta de crédito",IF(AND(P1160="Gasto",E1160="Depósitos y retiros"),"⚠ Usa tipo Transferencia",IF(AND(P1160="Resultado trading",AD1160&lt;&gt;"Cuenta de trading"),"⚠ Usa una cuenta de trading",IF(AND(G1160&lt;=0,P1160&lt;&gt;"Ajuste",P1160&lt;&gt;"Resultado trading"),"⚠ El monto debe ser positivo","✓")))))))))))))))</f>
        <v/>
      </c>
      <c r="P1160" s="52">
        <f>IF(OR(B1160="",G1160=""),"",IF(C1160="","Gasto",C1160))</f>
        <v/>
      </c>
      <c r="Q1160" s="52">
        <f>IF(P1160="","",IF(J1160&lt;&gt;"",J1160,CuentaPred&amp;""))</f>
        <v/>
      </c>
      <c r="R1160" s="52">
        <f>IF(P1160="","",IF(ISNUMBER(I1160),I1160,TasaUSD))</f>
        <v/>
      </c>
      <c r="S1160" s="53">
        <f>IF(P1160="","",IF(H1160="USD",G1160*R1160,G1160))</f>
        <v/>
      </c>
      <c r="T1160" s="53">
        <f>IF(P1160="","",IF(H1160="USD",G1160,IF(R1160&gt;0,G1160/R1160,0)))</f>
        <v/>
      </c>
      <c r="U1160" s="53">
        <f>IF(P1160="","",IF(P1160="Gasto",S1160,IF(P1160="Reembolso",-S1160,0)))</f>
        <v/>
      </c>
      <c r="V1160" s="53">
        <f>IF(P1160="","",IF(P1160="Ingreso",S1160,0))</f>
        <v/>
      </c>
      <c r="W1160" s="53">
        <f>IF(P1160="","",IF(P1160="Resultado trading",S1160,0))</f>
        <v/>
      </c>
      <c r="X1160" s="52">
        <f>IF(OR(P1160="Gasto",P1160="Reembolso"),IF(M1160&lt;&gt;"",M1160,IFERROR(INDEX(catClasif,MATCH(D1160&amp;"|"&amp;E1160,catClave,0))&amp;"","Variable")),"")</f>
        <v/>
      </c>
      <c r="Y1160" s="52">
        <f>IF(P1160="","",IFERROR(INDEX(catGrupo,MATCH(D1160&amp;"|"&amp;E1160,catClave,0))&amp;"",""))</f>
        <v/>
      </c>
      <c r="Z1160" s="52">
        <f>IF(P1160="","",WEEKDAY(B1160,2))</f>
        <v/>
      </c>
      <c r="AA1160" s="52">
        <f>IF(P1160="","",IF(AND(P1160="Gasto",X1160="Variable",D1160&lt;&gt;catTrading,S1160&gt;0,S1160&lt;=Umbral),1,0))</f>
        <v/>
      </c>
      <c r="AB1160" s="52">
        <f>IF(OR(P1160="",Q1160=""),"",IFERROR(IF(INDEX(ctaVinc,MATCH(Q1160,ctaNombre,0))&amp;""&lt;&gt;"",INDEX(ctaVinc,MATCH(Q1160,ctaNombre,0))&amp;"",Q1160),Q1160))</f>
        <v/>
      </c>
      <c r="AC1160" s="52">
        <f>IF(OR(K1160="",AND(P1160&lt;&gt;"Transferencia",P1160&lt;&gt;"Pago tarjeta")),"",IFERROR(IF(INDEX(ctaVinc,MATCH(K1160,ctaNombre,0))&amp;""&lt;&gt;"",INDEX(ctaVinc,MATCH(K1160,ctaNombre,0))&amp;"",K1160),K1160))</f>
        <v/>
      </c>
      <c r="AD1160" s="52">
        <f>IF(AB1160="","",IFERROR(INDEX(ctaTipo,MATCH(AB1160,ctaNombre,0))&amp;"",""))</f>
        <v/>
      </c>
      <c r="AE1160" s="52">
        <f>IF(AC1160="","",IFERROR(INDEX(ctaTipo,MATCH(AC1160,ctaNombre,0))&amp;"",""))</f>
        <v/>
      </c>
      <c r="AF1160" s="53">
        <f>IF(OR(P1160="",AB1160=""),"",IF(OR(P1160="Gasto",P1160="Transferencia",P1160="Pago tarjeta"),-1,1)*IF(IFERROR(INDEX(ctaMoneda,MATCH(AB1160,ctaNombre,0))&amp;"","DOP")="USD",T1160,S1160))</f>
        <v/>
      </c>
      <c r="AG1160" s="53">
        <f>IF(AC1160="","",IF(IFERROR(INDEX(ctaMoneda,MATCH(AC1160,ctaNombre,0))&amp;"","DOP")="USD",T1160,S1160))</f>
        <v/>
      </c>
      <c r="AH1160" s="53">
        <f>IF(P1160="","",IF(AND(AD1160&lt;&gt;"",COUNTIFS(tcTipo,AD1160,tcLiq,"Sí")&gt;0),IF(OR(P1160="Gasto",P1160="Transferencia",P1160="Pago tarjeta"),-1,1)*S1160,0)+IF(AND(AE1160&lt;&gt;"",COUNTIFS(tcTipo,AE1160,tcLiq,"Sí")&gt;0),S1160,0))</f>
        <v/>
      </c>
      <c r="AI1160" s="52">
        <f>IF(OR(L1160="",P1160=""),"",IF(COUNTIFS(L$6:L1160,L1160,P$6:P1160,"?*")=1,MAX(AI$5:AI1159)+1,""))</f>
        <v/>
      </c>
    </row>
    <row r="1161">
      <c r="B1161" s="47" t="n"/>
      <c r="C1161" s="48" t="n"/>
      <c r="D1161" s="48" t="n"/>
      <c r="E1161" s="48" t="n"/>
      <c r="F1161" s="48" t="n"/>
      <c r="G1161" s="49" t="n"/>
      <c r="H1161" s="48" t="n"/>
      <c r="I1161" s="50" t="n"/>
      <c r="J1161" s="48" t="n"/>
      <c r="K1161" s="48" t="n"/>
      <c r="L1161" s="48" t="n"/>
      <c r="M1161" s="48" t="n"/>
      <c r="N1161" s="48" t="n"/>
      <c r="O1161" s="51">
        <f>IF(AND(B1161="",G1161="",C1161="",D1161="",J1161=""),"",IF(B1161="","⚠ Falta fecha",IF(G1161="","⚠ Falta monto",IF(Q1161="","⚠ Falta cuenta",IF(ISNA(MATCH(Q1161,ctaNombre,0)),"⚠ Cuenta no registrada",IF(AND(OR(P1161="Gasto",P1161="Reembolso"),D1161=""),"⚠ Falta categoría",IF(AND(D1161&lt;&gt;"",E1161&lt;&gt;"",ISNA(MATCH(D1161&amp;"|"&amp;E1161,catClave,0))),"⚠ Subcategoría no corresponde",IF(AND(OR(P1161="Transferencia",P1161="Pago tarjeta"),K1161=""),"⚠ Falta cuenta destino",IF(AND(K1161&lt;&gt;"",P1161&lt;&gt;"Transferencia",P1161&lt;&gt;"Pago tarjeta"),"⚠ Destino solo aplica a transferencias",IF(AND(K1161&lt;&gt;"",K1161=Q1161),"⚠ Origen igual a destino",IF(AND(K1161&lt;&gt;"",ISNA(MATCH(K1161,ctaNombre,0))),"⚠ Destino no registrado",IF(AND(P1161="Pago tarjeta",AE1161&lt;&gt;"Tarjeta de crédito"),"⚠ El destino debe ser tarjeta de crédito",IF(AND(P1161="Gasto",E1161="Depósitos y retiros"),"⚠ Usa tipo Transferencia",IF(AND(P1161="Resultado trading",AD1161&lt;&gt;"Cuenta de trading"),"⚠ Usa una cuenta de trading",IF(AND(G1161&lt;=0,P1161&lt;&gt;"Ajuste",P1161&lt;&gt;"Resultado trading"),"⚠ El monto debe ser positivo","✓")))))))))))))))</f>
        <v/>
      </c>
      <c r="P1161" s="52">
        <f>IF(OR(B1161="",G1161=""),"",IF(C1161="","Gasto",C1161))</f>
        <v/>
      </c>
      <c r="Q1161" s="52">
        <f>IF(P1161="","",IF(J1161&lt;&gt;"",J1161,CuentaPred&amp;""))</f>
        <v/>
      </c>
      <c r="R1161" s="52">
        <f>IF(P1161="","",IF(ISNUMBER(I1161),I1161,TasaUSD))</f>
        <v/>
      </c>
      <c r="S1161" s="53">
        <f>IF(P1161="","",IF(H1161="USD",G1161*R1161,G1161))</f>
        <v/>
      </c>
      <c r="T1161" s="53">
        <f>IF(P1161="","",IF(H1161="USD",G1161,IF(R1161&gt;0,G1161/R1161,0)))</f>
        <v/>
      </c>
      <c r="U1161" s="53">
        <f>IF(P1161="","",IF(P1161="Gasto",S1161,IF(P1161="Reembolso",-S1161,0)))</f>
        <v/>
      </c>
      <c r="V1161" s="53">
        <f>IF(P1161="","",IF(P1161="Ingreso",S1161,0))</f>
        <v/>
      </c>
      <c r="W1161" s="53">
        <f>IF(P1161="","",IF(P1161="Resultado trading",S1161,0))</f>
        <v/>
      </c>
      <c r="X1161" s="52">
        <f>IF(OR(P1161="Gasto",P1161="Reembolso"),IF(M1161&lt;&gt;"",M1161,IFERROR(INDEX(catClasif,MATCH(D1161&amp;"|"&amp;E1161,catClave,0))&amp;"","Variable")),"")</f>
        <v/>
      </c>
      <c r="Y1161" s="52">
        <f>IF(P1161="","",IFERROR(INDEX(catGrupo,MATCH(D1161&amp;"|"&amp;E1161,catClave,0))&amp;"",""))</f>
        <v/>
      </c>
      <c r="Z1161" s="52">
        <f>IF(P1161="","",WEEKDAY(B1161,2))</f>
        <v/>
      </c>
      <c r="AA1161" s="52">
        <f>IF(P1161="","",IF(AND(P1161="Gasto",X1161="Variable",D1161&lt;&gt;catTrading,S1161&gt;0,S1161&lt;=Umbral),1,0))</f>
        <v/>
      </c>
      <c r="AB1161" s="52">
        <f>IF(OR(P1161="",Q1161=""),"",IFERROR(IF(INDEX(ctaVinc,MATCH(Q1161,ctaNombre,0))&amp;""&lt;&gt;"",INDEX(ctaVinc,MATCH(Q1161,ctaNombre,0))&amp;"",Q1161),Q1161))</f>
        <v/>
      </c>
      <c r="AC1161" s="52">
        <f>IF(OR(K1161="",AND(P1161&lt;&gt;"Transferencia",P1161&lt;&gt;"Pago tarjeta")),"",IFERROR(IF(INDEX(ctaVinc,MATCH(K1161,ctaNombre,0))&amp;""&lt;&gt;"",INDEX(ctaVinc,MATCH(K1161,ctaNombre,0))&amp;"",K1161),K1161))</f>
        <v/>
      </c>
      <c r="AD1161" s="52">
        <f>IF(AB1161="","",IFERROR(INDEX(ctaTipo,MATCH(AB1161,ctaNombre,0))&amp;"",""))</f>
        <v/>
      </c>
      <c r="AE1161" s="52">
        <f>IF(AC1161="","",IFERROR(INDEX(ctaTipo,MATCH(AC1161,ctaNombre,0))&amp;"",""))</f>
        <v/>
      </c>
      <c r="AF1161" s="53">
        <f>IF(OR(P1161="",AB1161=""),"",IF(OR(P1161="Gasto",P1161="Transferencia",P1161="Pago tarjeta"),-1,1)*IF(IFERROR(INDEX(ctaMoneda,MATCH(AB1161,ctaNombre,0))&amp;"","DOP")="USD",T1161,S1161))</f>
        <v/>
      </c>
      <c r="AG1161" s="53">
        <f>IF(AC1161="","",IF(IFERROR(INDEX(ctaMoneda,MATCH(AC1161,ctaNombre,0))&amp;"","DOP")="USD",T1161,S1161))</f>
        <v/>
      </c>
      <c r="AH1161" s="53">
        <f>IF(P1161="","",IF(AND(AD1161&lt;&gt;"",COUNTIFS(tcTipo,AD1161,tcLiq,"Sí")&gt;0),IF(OR(P1161="Gasto",P1161="Transferencia",P1161="Pago tarjeta"),-1,1)*S1161,0)+IF(AND(AE1161&lt;&gt;"",COUNTIFS(tcTipo,AE1161,tcLiq,"Sí")&gt;0),S1161,0))</f>
        <v/>
      </c>
      <c r="AI1161" s="52">
        <f>IF(OR(L1161="",P1161=""),"",IF(COUNTIFS(L$6:L1161,L1161,P$6:P1161,"?*")=1,MAX(AI$5:AI1160)+1,""))</f>
        <v/>
      </c>
    </row>
    <row r="1162">
      <c r="B1162" s="47" t="n"/>
      <c r="C1162" s="48" t="n"/>
      <c r="D1162" s="48" t="n"/>
      <c r="E1162" s="48" t="n"/>
      <c r="F1162" s="48" t="n"/>
      <c r="G1162" s="49" t="n"/>
      <c r="H1162" s="48" t="n"/>
      <c r="I1162" s="50" t="n"/>
      <c r="J1162" s="48" t="n"/>
      <c r="K1162" s="48" t="n"/>
      <c r="L1162" s="48" t="n"/>
      <c r="M1162" s="48" t="n"/>
      <c r="N1162" s="48" t="n"/>
      <c r="O1162" s="51">
        <f>IF(AND(B1162="",G1162="",C1162="",D1162="",J1162=""),"",IF(B1162="","⚠ Falta fecha",IF(G1162="","⚠ Falta monto",IF(Q1162="","⚠ Falta cuenta",IF(ISNA(MATCH(Q1162,ctaNombre,0)),"⚠ Cuenta no registrada",IF(AND(OR(P1162="Gasto",P1162="Reembolso"),D1162=""),"⚠ Falta categoría",IF(AND(D1162&lt;&gt;"",E1162&lt;&gt;"",ISNA(MATCH(D1162&amp;"|"&amp;E1162,catClave,0))),"⚠ Subcategoría no corresponde",IF(AND(OR(P1162="Transferencia",P1162="Pago tarjeta"),K1162=""),"⚠ Falta cuenta destino",IF(AND(K1162&lt;&gt;"",P1162&lt;&gt;"Transferencia",P1162&lt;&gt;"Pago tarjeta"),"⚠ Destino solo aplica a transferencias",IF(AND(K1162&lt;&gt;"",K1162=Q1162),"⚠ Origen igual a destino",IF(AND(K1162&lt;&gt;"",ISNA(MATCH(K1162,ctaNombre,0))),"⚠ Destino no registrado",IF(AND(P1162="Pago tarjeta",AE1162&lt;&gt;"Tarjeta de crédito"),"⚠ El destino debe ser tarjeta de crédito",IF(AND(P1162="Gasto",E1162="Depósitos y retiros"),"⚠ Usa tipo Transferencia",IF(AND(P1162="Resultado trading",AD1162&lt;&gt;"Cuenta de trading"),"⚠ Usa una cuenta de trading",IF(AND(G1162&lt;=0,P1162&lt;&gt;"Ajuste",P1162&lt;&gt;"Resultado trading"),"⚠ El monto debe ser positivo","✓")))))))))))))))</f>
        <v/>
      </c>
      <c r="P1162" s="52">
        <f>IF(OR(B1162="",G1162=""),"",IF(C1162="","Gasto",C1162))</f>
        <v/>
      </c>
      <c r="Q1162" s="52">
        <f>IF(P1162="","",IF(J1162&lt;&gt;"",J1162,CuentaPred&amp;""))</f>
        <v/>
      </c>
      <c r="R1162" s="52">
        <f>IF(P1162="","",IF(ISNUMBER(I1162),I1162,TasaUSD))</f>
        <v/>
      </c>
      <c r="S1162" s="53">
        <f>IF(P1162="","",IF(H1162="USD",G1162*R1162,G1162))</f>
        <v/>
      </c>
      <c r="T1162" s="53">
        <f>IF(P1162="","",IF(H1162="USD",G1162,IF(R1162&gt;0,G1162/R1162,0)))</f>
        <v/>
      </c>
      <c r="U1162" s="53">
        <f>IF(P1162="","",IF(P1162="Gasto",S1162,IF(P1162="Reembolso",-S1162,0)))</f>
        <v/>
      </c>
      <c r="V1162" s="53">
        <f>IF(P1162="","",IF(P1162="Ingreso",S1162,0))</f>
        <v/>
      </c>
      <c r="W1162" s="53">
        <f>IF(P1162="","",IF(P1162="Resultado trading",S1162,0))</f>
        <v/>
      </c>
      <c r="X1162" s="52">
        <f>IF(OR(P1162="Gasto",P1162="Reembolso"),IF(M1162&lt;&gt;"",M1162,IFERROR(INDEX(catClasif,MATCH(D1162&amp;"|"&amp;E1162,catClave,0))&amp;"","Variable")),"")</f>
        <v/>
      </c>
      <c r="Y1162" s="52">
        <f>IF(P1162="","",IFERROR(INDEX(catGrupo,MATCH(D1162&amp;"|"&amp;E1162,catClave,0))&amp;"",""))</f>
        <v/>
      </c>
      <c r="Z1162" s="52">
        <f>IF(P1162="","",WEEKDAY(B1162,2))</f>
        <v/>
      </c>
      <c r="AA1162" s="52">
        <f>IF(P1162="","",IF(AND(P1162="Gasto",X1162="Variable",D1162&lt;&gt;catTrading,S1162&gt;0,S1162&lt;=Umbral),1,0))</f>
        <v/>
      </c>
      <c r="AB1162" s="52">
        <f>IF(OR(P1162="",Q1162=""),"",IFERROR(IF(INDEX(ctaVinc,MATCH(Q1162,ctaNombre,0))&amp;""&lt;&gt;"",INDEX(ctaVinc,MATCH(Q1162,ctaNombre,0))&amp;"",Q1162),Q1162))</f>
        <v/>
      </c>
      <c r="AC1162" s="52">
        <f>IF(OR(K1162="",AND(P1162&lt;&gt;"Transferencia",P1162&lt;&gt;"Pago tarjeta")),"",IFERROR(IF(INDEX(ctaVinc,MATCH(K1162,ctaNombre,0))&amp;""&lt;&gt;"",INDEX(ctaVinc,MATCH(K1162,ctaNombre,0))&amp;"",K1162),K1162))</f>
        <v/>
      </c>
      <c r="AD1162" s="52">
        <f>IF(AB1162="","",IFERROR(INDEX(ctaTipo,MATCH(AB1162,ctaNombre,0))&amp;"",""))</f>
        <v/>
      </c>
      <c r="AE1162" s="52">
        <f>IF(AC1162="","",IFERROR(INDEX(ctaTipo,MATCH(AC1162,ctaNombre,0))&amp;"",""))</f>
        <v/>
      </c>
      <c r="AF1162" s="53">
        <f>IF(OR(P1162="",AB1162=""),"",IF(OR(P1162="Gasto",P1162="Transferencia",P1162="Pago tarjeta"),-1,1)*IF(IFERROR(INDEX(ctaMoneda,MATCH(AB1162,ctaNombre,0))&amp;"","DOP")="USD",T1162,S1162))</f>
        <v/>
      </c>
      <c r="AG1162" s="53">
        <f>IF(AC1162="","",IF(IFERROR(INDEX(ctaMoneda,MATCH(AC1162,ctaNombre,0))&amp;"","DOP")="USD",T1162,S1162))</f>
        <v/>
      </c>
      <c r="AH1162" s="53">
        <f>IF(P1162="","",IF(AND(AD1162&lt;&gt;"",COUNTIFS(tcTipo,AD1162,tcLiq,"Sí")&gt;0),IF(OR(P1162="Gasto",P1162="Transferencia",P1162="Pago tarjeta"),-1,1)*S1162,0)+IF(AND(AE1162&lt;&gt;"",COUNTIFS(tcTipo,AE1162,tcLiq,"Sí")&gt;0),S1162,0))</f>
        <v/>
      </c>
      <c r="AI1162" s="52">
        <f>IF(OR(L1162="",P1162=""),"",IF(COUNTIFS(L$6:L1162,L1162,P$6:P1162,"?*")=1,MAX(AI$5:AI1161)+1,""))</f>
        <v/>
      </c>
    </row>
    <row r="1163">
      <c r="B1163" s="47" t="n"/>
      <c r="C1163" s="48" t="n"/>
      <c r="D1163" s="48" t="n"/>
      <c r="E1163" s="48" t="n"/>
      <c r="F1163" s="48" t="n"/>
      <c r="G1163" s="49" t="n"/>
      <c r="H1163" s="48" t="n"/>
      <c r="I1163" s="50" t="n"/>
      <c r="J1163" s="48" t="n"/>
      <c r="K1163" s="48" t="n"/>
      <c r="L1163" s="48" t="n"/>
      <c r="M1163" s="48" t="n"/>
      <c r="N1163" s="48" t="n"/>
      <c r="O1163" s="51">
        <f>IF(AND(B1163="",G1163="",C1163="",D1163="",J1163=""),"",IF(B1163="","⚠ Falta fecha",IF(G1163="","⚠ Falta monto",IF(Q1163="","⚠ Falta cuenta",IF(ISNA(MATCH(Q1163,ctaNombre,0)),"⚠ Cuenta no registrada",IF(AND(OR(P1163="Gasto",P1163="Reembolso"),D1163=""),"⚠ Falta categoría",IF(AND(D1163&lt;&gt;"",E1163&lt;&gt;"",ISNA(MATCH(D1163&amp;"|"&amp;E1163,catClave,0))),"⚠ Subcategoría no corresponde",IF(AND(OR(P1163="Transferencia",P1163="Pago tarjeta"),K1163=""),"⚠ Falta cuenta destino",IF(AND(K1163&lt;&gt;"",P1163&lt;&gt;"Transferencia",P1163&lt;&gt;"Pago tarjeta"),"⚠ Destino solo aplica a transferencias",IF(AND(K1163&lt;&gt;"",K1163=Q1163),"⚠ Origen igual a destino",IF(AND(K1163&lt;&gt;"",ISNA(MATCH(K1163,ctaNombre,0))),"⚠ Destino no registrado",IF(AND(P1163="Pago tarjeta",AE1163&lt;&gt;"Tarjeta de crédito"),"⚠ El destino debe ser tarjeta de crédito",IF(AND(P1163="Gasto",E1163="Depósitos y retiros"),"⚠ Usa tipo Transferencia",IF(AND(P1163="Resultado trading",AD1163&lt;&gt;"Cuenta de trading"),"⚠ Usa una cuenta de trading",IF(AND(G1163&lt;=0,P1163&lt;&gt;"Ajuste",P1163&lt;&gt;"Resultado trading"),"⚠ El monto debe ser positivo","✓")))))))))))))))</f>
        <v/>
      </c>
      <c r="P1163" s="52">
        <f>IF(OR(B1163="",G1163=""),"",IF(C1163="","Gasto",C1163))</f>
        <v/>
      </c>
      <c r="Q1163" s="52">
        <f>IF(P1163="","",IF(J1163&lt;&gt;"",J1163,CuentaPred&amp;""))</f>
        <v/>
      </c>
      <c r="R1163" s="52">
        <f>IF(P1163="","",IF(ISNUMBER(I1163),I1163,TasaUSD))</f>
        <v/>
      </c>
      <c r="S1163" s="53">
        <f>IF(P1163="","",IF(H1163="USD",G1163*R1163,G1163))</f>
        <v/>
      </c>
      <c r="T1163" s="53">
        <f>IF(P1163="","",IF(H1163="USD",G1163,IF(R1163&gt;0,G1163/R1163,0)))</f>
        <v/>
      </c>
      <c r="U1163" s="53">
        <f>IF(P1163="","",IF(P1163="Gasto",S1163,IF(P1163="Reembolso",-S1163,0)))</f>
        <v/>
      </c>
      <c r="V1163" s="53">
        <f>IF(P1163="","",IF(P1163="Ingreso",S1163,0))</f>
        <v/>
      </c>
      <c r="W1163" s="53">
        <f>IF(P1163="","",IF(P1163="Resultado trading",S1163,0))</f>
        <v/>
      </c>
      <c r="X1163" s="52">
        <f>IF(OR(P1163="Gasto",P1163="Reembolso"),IF(M1163&lt;&gt;"",M1163,IFERROR(INDEX(catClasif,MATCH(D1163&amp;"|"&amp;E1163,catClave,0))&amp;"","Variable")),"")</f>
        <v/>
      </c>
      <c r="Y1163" s="52">
        <f>IF(P1163="","",IFERROR(INDEX(catGrupo,MATCH(D1163&amp;"|"&amp;E1163,catClave,0))&amp;"",""))</f>
        <v/>
      </c>
      <c r="Z1163" s="52">
        <f>IF(P1163="","",WEEKDAY(B1163,2))</f>
        <v/>
      </c>
      <c r="AA1163" s="52">
        <f>IF(P1163="","",IF(AND(P1163="Gasto",X1163="Variable",D1163&lt;&gt;catTrading,S1163&gt;0,S1163&lt;=Umbral),1,0))</f>
        <v/>
      </c>
      <c r="AB1163" s="52">
        <f>IF(OR(P1163="",Q1163=""),"",IFERROR(IF(INDEX(ctaVinc,MATCH(Q1163,ctaNombre,0))&amp;""&lt;&gt;"",INDEX(ctaVinc,MATCH(Q1163,ctaNombre,0))&amp;"",Q1163),Q1163))</f>
        <v/>
      </c>
      <c r="AC1163" s="52">
        <f>IF(OR(K1163="",AND(P1163&lt;&gt;"Transferencia",P1163&lt;&gt;"Pago tarjeta")),"",IFERROR(IF(INDEX(ctaVinc,MATCH(K1163,ctaNombre,0))&amp;""&lt;&gt;"",INDEX(ctaVinc,MATCH(K1163,ctaNombre,0))&amp;"",K1163),K1163))</f>
        <v/>
      </c>
      <c r="AD1163" s="52">
        <f>IF(AB1163="","",IFERROR(INDEX(ctaTipo,MATCH(AB1163,ctaNombre,0))&amp;"",""))</f>
        <v/>
      </c>
      <c r="AE1163" s="52">
        <f>IF(AC1163="","",IFERROR(INDEX(ctaTipo,MATCH(AC1163,ctaNombre,0))&amp;"",""))</f>
        <v/>
      </c>
      <c r="AF1163" s="53">
        <f>IF(OR(P1163="",AB1163=""),"",IF(OR(P1163="Gasto",P1163="Transferencia",P1163="Pago tarjeta"),-1,1)*IF(IFERROR(INDEX(ctaMoneda,MATCH(AB1163,ctaNombre,0))&amp;"","DOP")="USD",T1163,S1163))</f>
        <v/>
      </c>
      <c r="AG1163" s="53">
        <f>IF(AC1163="","",IF(IFERROR(INDEX(ctaMoneda,MATCH(AC1163,ctaNombre,0))&amp;"","DOP")="USD",T1163,S1163))</f>
        <v/>
      </c>
      <c r="AH1163" s="53">
        <f>IF(P1163="","",IF(AND(AD1163&lt;&gt;"",COUNTIFS(tcTipo,AD1163,tcLiq,"Sí")&gt;0),IF(OR(P1163="Gasto",P1163="Transferencia",P1163="Pago tarjeta"),-1,1)*S1163,0)+IF(AND(AE1163&lt;&gt;"",COUNTIFS(tcTipo,AE1163,tcLiq,"Sí")&gt;0),S1163,0))</f>
        <v/>
      </c>
      <c r="AI1163" s="52">
        <f>IF(OR(L1163="",P1163=""),"",IF(COUNTIFS(L$6:L1163,L1163,P$6:P1163,"?*")=1,MAX(AI$5:AI1162)+1,""))</f>
        <v/>
      </c>
    </row>
    <row r="1164">
      <c r="B1164" s="47" t="n"/>
      <c r="C1164" s="48" t="n"/>
      <c r="D1164" s="48" t="n"/>
      <c r="E1164" s="48" t="n"/>
      <c r="F1164" s="48" t="n"/>
      <c r="G1164" s="49" t="n"/>
      <c r="H1164" s="48" t="n"/>
      <c r="I1164" s="50" t="n"/>
      <c r="J1164" s="48" t="n"/>
      <c r="K1164" s="48" t="n"/>
      <c r="L1164" s="48" t="n"/>
      <c r="M1164" s="48" t="n"/>
      <c r="N1164" s="48" t="n"/>
      <c r="O1164" s="51">
        <f>IF(AND(B1164="",G1164="",C1164="",D1164="",J1164=""),"",IF(B1164="","⚠ Falta fecha",IF(G1164="","⚠ Falta monto",IF(Q1164="","⚠ Falta cuenta",IF(ISNA(MATCH(Q1164,ctaNombre,0)),"⚠ Cuenta no registrada",IF(AND(OR(P1164="Gasto",P1164="Reembolso"),D1164=""),"⚠ Falta categoría",IF(AND(D1164&lt;&gt;"",E1164&lt;&gt;"",ISNA(MATCH(D1164&amp;"|"&amp;E1164,catClave,0))),"⚠ Subcategoría no corresponde",IF(AND(OR(P1164="Transferencia",P1164="Pago tarjeta"),K1164=""),"⚠ Falta cuenta destino",IF(AND(K1164&lt;&gt;"",P1164&lt;&gt;"Transferencia",P1164&lt;&gt;"Pago tarjeta"),"⚠ Destino solo aplica a transferencias",IF(AND(K1164&lt;&gt;"",K1164=Q1164),"⚠ Origen igual a destino",IF(AND(K1164&lt;&gt;"",ISNA(MATCH(K1164,ctaNombre,0))),"⚠ Destino no registrado",IF(AND(P1164="Pago tarjeta",AE1164&lt;&gt;"Tarjeta de crédito"),"⚠ El destino debe ser tarjeta de crédito",IF(AND(P1164="Gasto",E1164="Depósitos y retiros"),"⚠ Usa tipo Transferencia",IF(AND(P1164="Resultado trading",AD1164&lt;&gt;"Cuenta de trading"),"⚠ Usa una cuenta de trading",IF(AND(G1164&lt;=0,P1164&lt;&gt;"Ajuste",P1164&lt;&gt;"Resultado trading"),"⚠ El monto debe ser positivo","✓")))))))))))))))</f>
        <v/>
      </c>
      <c r="P1164" s="52">
        <f>IF(OR(B1164="",G1164=""),"",IF(C1164="","Gasto",C1164))</f>
        <v/>
      </c>
      <c r="Q1164" s="52">
        <f>IF(P1164="","",IF(J1164&lt;&gt;"",J1164,CuentaPred&amp;""))</f>
        <v/>
      </c>
      <c r="R1164" s="52">
        <f>IF(P1164="","",IF(ISNUMBER(I1164),I1164,TasaUSD))</f>
        <v/>
      </c>
      <c r="S1164" s="53">
        <f>IF(P1164="","",IF(H1164="USD",G1164*R1164,G1164))</f>
        <v/>
      </c>
      <c r="T1164" s="53">
        <f>IF(P1164="","",IF(H1164="USD",G1164,IF(R1164&gt;0,G1164/R1164,0)))</f>
        <v/>
      </c>
      <c r="U1164" s="53">
        <f>IF(P1164="","",IF(P1164="Gasto",S1164,IF(P1164="Reembolso",-S1164,0)))</f>
        <v/>
      </c>
      <c r="V1164" s="53">
        <f>IF(P1164="","",IF(P1164="Ingreso",S1164,0))</f>
        <v/>
      </c>
      <c r="W1164" s="53">
        <f>IF(P1164="","",IF(P1164="Resultado trading",S1164,0))</f>
        <v/>
      </c>
      <c r="X1164" s="52">
        <f>IF(OR(P1164="Gasto",P1164="Reembolso"),IF(M1164&lt;&gt;"",M1164,IFERROR(INDEX(catClasif,MATCH(D1164&amp;"|"&amp;E1164,catClave,0))&amp;"","Variable")),"")</f>
        <v/>
      </c>
      <c r="Y1164" s="52">
        <f>IF(P1164="","",IFERROR(INDEX(catGrupo,MATCH(D1164&amp;"|"&amp;E1164,catClave,0))&amp;"",""))</f>
        <v/>
      </c>
      <c r="Z1164" s="52">
        <f>IF(P1164="","",WEEKDAY(B1164,2))</f>
        <v/>
      </c>
      <c r="AA1164" s="52">
        <f>IF(P1164="","",IF(AND(P1164="Gasto",X1164="Variable",D1164&lt;&gt;catTrading,S1164&gt;0,S1164&lt;=Umbral),1,0))</f>
        <v/>
      </c>
      <c r="AB1164" s="52">
        <f>IF(OR(P1164="",Q1164=""),"",IFERROR(IF(INDEX(ctaVinc,MATCH(Q1164,ctaNombre,0))&amp;""&lt;&gt;"",INDEX(ctaVinc,MATCH(Q1164,ctaNombre,0))&amp;"",Q1164),Q1164))</f>
        <v/>
      </c>
      <c r="AC1164" s="52">
        <f>IF(OR(K1164="",AND(P1164&lt;&gt;"Transferencia",P1164&lt;&gt;"Pago tarjeta")),"",IFERROR(IF(INDEX(ctaVinc,MATCH(K1164,ctaNombre,0))&amp;""&lt;&gt;"",INDEX(ctaVinc,MATCH(K1164,ctaNombre,0))&amp;"",K1164),K1164))</f>
        <v/>
      </c>
      <c r="AD1164" s="52">
        <f>IF(AB1164="","",IFERROR(INDEX(ctaTipo,MATCH(AB1164,ctaNombre,0))&amp;"",""))</f>
        <v/>
      </c>
      <c r="AE1164" s="52">
        <f>IF(AC1164="","",IFERROR(INDEX(ctaTipo,MATCH(AC1164,ctaNombre,0))&amp;"",""))</f>
        <v/>
      </c>
      <c r="AF1164" s="53">
        <f>IF(OR(P1164="",AB1164=""),"",IF(OR(P1164="Gasto",P1164="Transferencia",P1164="Pago tarjeta"),-1,1)*IF(IFERROR(INDEX(ctaMoneda,MATCH(AB1164,ctaNombre,0))&amp;"","DOP")="USD",T1164,S1164))</f>
        <v/>
      </c>
      <c r="AG1164" s="53">
        <f>IF(AC1164="","",IF(IFERROR(INDEX(ctaMoneda,MATCH(AC1164,ctaNombre,0))&amp;"","DOP")="USD",T1164,S1164))</f>
        <v/>
      </c>
      <c r="AH1164" s="53">
        <f>IF(P1164="","",IF(AND(AD1164&lt;&gt;"",COUNTIFS(tcTipo,AD1164,tcLiq,"Sí")&gt;0),IF(OR(P1164="Gasto",P1164="Transferencia",P1164="Pago tarjeta"),-1,1)*S1164,0)+IF(AND(AE1164&lt;&gt;"",COUNTIFS(tcTipo,AE1164,tcLiq,"Sí")&gt;0),S1164,0))</f>
        <v/>
      </c>
      <c r="AI1164" s="52">
        <f>IF(OR(L1164="",P1164=""),"",IF(COUNTIFS(L$6:L1164,L1164,P$6:P1164,"?*")=1,MAX(AI$5:AI1163)+1,""))</f>
        <v/>
      </c>
    </row>
    <row r="1165">
      <c r="B1165" s="47" t="n"/>
      <c r="C1165" s="48" t="n"/>
      <c r="D1165" s="48" t="n"/>
      <c r="E1165" s="48" t="n"/>
      <c r="F1165" s="48" t="n"/>
      <c r="G1165" s="49" t="n"/>
      <c r="H1165" s="48" t="n"/>
      <c r="I1165" s="50" t="n"/>
      <c r="J1165" s="48" t="n"/>
      <c r="K1165" s="48" t="n"/>
      <c r="L1165" s="48" t="n"/>
      <c r="M1165" s="48" t="n"/>
      <c r="N1165" s="48" t="n"/>
      <c r="O1165" s="51">
        <f>IF(AND(B1165="",G1165="",C1165="",D1165="",J1165=""),"",IF(B1165="","⚠ Falta fecha",IF(G1165="","⚠ Falta monto",IF(Q1165="","⚠ Falta cuenta",IF(ISNA(MATCH(Q1165,ctaNombre,0)),"⚠ Cuenta no registrada",IF(AND(OR(P1165="Gasto",P1165="Reembolso"),D1165=""),"⚠ Falta categoría",IF(AND(D1165&lt;&gt;"",E1165&lt;&gt;"",ISNA(MATCH(D1165&amp;"|"&amp;E1165,catClave,0))),"⚠ Subcategoría no corresponde",IF(AND(OR(P1165="Transferencia",P1165="Pago tarjeta"),K1165=""),"⚠ Falta cuenta destino",IF(AND(K1165&lt;&gt;"",P1165&lt;&gt;"Transferencia",P1165&lt;&gt;"Pago tarjeta"),"⚠ Destino solo aplica a transferencias",IF(AND(K1165&lt;&gt;"",K1165=Q1165),"⚠ Origen igual a destino",IF(AND(K1165&lt;&gt;"",ISNA(MATCH(K1165,ctaNombre,0))),"⚠ Destino no registrado",IF(AND(P1165="Pago tarjeta",AE1165&lt;&gt;"Tarjeta de crédito"),"⚠ El destino debe ser tarjeta de crédito",IF(AND(P1165="Gasto",E1165="Depósitos y retiros"),"⚠ Usa tipo Transferencia",IF(AND(P1165="Resultado trading",AD1165&lt;&gt;"Cuenta de trading"),"⚠ Usa una cuenta de trading",IF(AND(G1165&lt;=0,P1165&lt;&gt;"Ajuste",P1165&lt;&gt;"Resultado trading"),"⚠ El monto debe ser positivo","✓")))))))))))))))</f>
        <v/>
      </c>
      <c r="P1165" s="52">
        <f>IF(OR(B1165="",G1165=""),"",IF(C1165="","Gasto",C1165))</f>
        <v/>
      </c>
      <c r="Q1165" s="52">
        <f>IF(P1165="","",IF(J1165&lt;&gt;"",J1165,CuentaPred&amp;""))</f>
        <v/>
      </c>
      <c r="R1165" s="52">
        <f>IF(P1165="","",IF(ISNUMBER(I1165),I1165,TasaUSD))</f>
        <v/>
      </c>
      <c r="S1165" s="53">
        <f>IF(P1165="","",IF(H1165="USD",G1165*R1165,G1165))</f>
        <v/>
      </c>
      <c r="T1165" s="53">
        <f>IF(P1165="","",IF(H1165="USD",G1165,IF(R1165&gt;0,G1165/R1165,0)))</f>
        <v/>
      </c>
      <c r="U1165" s="53">
        <f>IF(P1165="","",IF(P1165="Gasto",S1165,IF(P1165="Reembolso",-S1165,0)))</f>
        <v/>
      </c>
      <c r="V1165" s="53">
        <f>IF(P1165="","",IF(P1165="Ingreso",S1165,0))</f>
        <v/>
      </c>
      <c r="W1165" s="53">
        <f>IF(P1165="","",IF(P1165="Resultado trading",S1165,0))</f>
        <v/>
      </c>
      <c r="X1165" s="52">
        <f>IF(OR(P1165="Gasto",P1165="Reembolso"),IF(M1165&lt;&gt;"",M1165,IFERROR(INDEX(catClasif,MATCH(D1165&amp;"|"&amp;E1165,catClave,0))&amp;"","Variable")),"")</f>
        <v/>
      </c>
      <c r="Y1165" s="52">
        <f>IF(P1165="","",IFERROR(INDEX(catGrupo,MATCH(D1165&amp;"|"&amp;E1165,catClave,0))&amp;"",""))</f>
        <v/>
      </c>
      <c r="Z1165" s="52">
        <f>IF(P1165="","",WEEKDAY(B1165,2))</f>
        <v/>
      </c>
      <c r="AA1165" s="52">
        <f>IF(P1165="","",IF(AND(P1165="Gasto",X1165="Variable",D1165&lt;&gt;catTrading,S1165&gt;0,S1165&lt;=Umbral),1,0))</f>
        <v/>
      </c>
      <c r="AB1165" s="52">
        <f>IF(OR(P1165="",Q1165=""),"",IFERROR(IF(INDEX(ctaVinc,MATCH(Q1165,ctaNombre,0))&amp;""&lt;&gt;"",INDEX(ctaVinc,MATCH(Q1165,ctaNombre,0))&amp;"",Q1165),Q1165))</f>
        <v/>
      </c>
      <c r="AC1165" s="52">
        <f>IF(OR(K1165="",AND(P1165&lt;&gt;"Transferencia",P1165&lt;&gt;"Pago tarjeta")),"",IFERROR(IF(INDEX(ctaVinc,MATCH(K1165,ctaNombre,0))&amp;""&lt;&gt;"",INDEX(ctaVinc,MATCH(K1165,ctaNombre,0))&amp;"",K1165),K1165))</f>
        <v/>
      </c>
      <c r="AD1165" s="52">
        <f>IF(AB1165="","",IFERROR(INDEX(ctaTipo,MATCH(AB1165,ctaNombre,0))&amp;"",""))</f>
        <v/>
      </c>
      <c r="AE1165" s="52">
        <f>IF(AC1165="","",IFERROR(INDEX(ctaTipo,MATCH(AC1165,ctaNombre,0))&amp;"",""))</f>
        <v/>
      </c>
      <c r="AF1165" s="53">
        <f>IF(OR(P1165="",AB1165=""),"",IF(OR(P1165="Gasto",P1165="Transferencia",P1165="Pago tarjeta"),-1,1)*IF(IFERROR(INDEX(ctaMoneda,MATCH(AB1165,ctaNombre,0))&amp;"","DOP")="USD",T1165,S1165))</f>
        <v/>
      </c>
      <c r="AG1165" s="53">
        <f>IF(AC1165="","",IF(IFERROR(INDEX(ctaMoneda,MATCH(AC1165,ctaNombre,0))&amp;"","DOP")="USD",T1165,S1165))</f>
        <v/>
      </c>
      <c r="AH1165" s="53">
        <f>IF(P1165="","",IF(AND(AD1165&lt;&gt;"",COUNTIFS(tcTipo,AD1165,tcLiq,"Sí")&gt;0),IF(OR(P1165="Gasto",P1165="Transferencia",P1165="Pago tarjeta"),-1,1)*S1165,0)+IF(AND(AE1165&lt;&gt;"",COUNTIFS(tcTipo,AE1165,tcLiq,"Sí")&gt;0),S1165,0))</f>
        <v/>
      </c>
      <c r="AI1165" s="52">
        <f>IF(OR(L1165="",P1165=""),"",IF(COUNTIFS(L$6:L1165,L1165,P$6:P1165,"?*")=1,MAX(AI$5:AI1164)+1,""))</f>
        <v/>
      </c>
    </row>
    <row r="1166">
      <c r="B1166" s="47" t="n"/>
      <c r="C1166" s="48" t="n"/>
      <c r="D1166" s="48" t="n"/>
      <c r="E1166" s="48" t="n"/>
      <c r="F1166" s="48" t="n"/>
      <c r="G1166" s="49" t="n"/>
      <c r="H1166" s="48" t="n"/>
      <c r="I1166" s="50" t="n"/>
      <c r="J1166" s="48" t="n"/>
      <c r="K1166" s="48" t="n"/>
      <c r="L1166" s="48" t="n"/>
      <c r="M1166" s="48" t="n"/>
      <c r="N1166" s="48" t="n"/>
      <c r="O1166" s="51">
        <f>IF(AND(B1166="",G1166="",C1166="",D1166="",J1166=""),"",IF(B1166="","⚠ Falta fecha",IF(G1166="","⚠ Falta monto",IF(Q1166="","⚠ Falta cuenta",IF(ISNA(MATCH(Q1166,ctaNombre,0)),"⚠ Cuenta no registrada",IF(AND(OR(P1166="Gasto",P1166="Reembolso"),D1166=""),"⚠ Falta categoría",IF(AND(D1166&lt;&gt;"",E1166&lt;&gt;"",ISNA(MATCH(D1166&amp;"|"&amp;E1166,catClave,0))),"⚠ Subcategoría no corresponde",IF(AND(OR(P1166="Transferencia",P1166="Pago tarjeta"),K1166=""),"⚠ Falta cuenta destino",IF(AND(K1166&lt;&gt;"",P1166&lt;&gt;"Transferencia",P1166&lt;&gt;"Pago tarjeta"),"⚠ Destino solo aplica a transferencias",IF(AND(K1166&lt;&gt;"",K1166=Q1166),"⚠ Origen igual a destino",IF(AND(K1166&lt;&gt;"",ISNA(MATCH(K1166,ctaNombre,0))),"⚠ Destino no registrado",IF(AND(P1166="Pago tarjeta",AE1166&lt;&gt;"Tarjeta de crédito"),"⚠ El destino debe ser tarjeta de crédito",IF(AND(P1166="Gasto",E1166="Depósitos y retiros"),"⚠ Usa tipo Transferencia",IF(AND(P1166="Resultado trading",AD1166&lt;&gt;"Cuenta de trading"),"⚠ Usa una cuenta de trading",IF(AND(G1166&lt;=0,P1166&lt;&gt;"Ajuste",P1166&lt;&gt;"Resultado trading"),"⚠ El monto debe ser positivo","✓")))))))))))))))</f>
        <v/>
      </c>
      <c r="P1166" s="52">
        <f>IF(OR(B1166="",G1166=""),"",IF(C1166="","Gasto",C1166))</f>
        <v/>
      </c>
      <c r="Q1166" s="52">
        <f>IF(P1166="","",IF(J1166&lt;&gt;"",J1166,CuentaPred&amp;""))</f>
        <v/>
      </c>
      <c r="R1166" s="52">
        <f>IF(P1166="","",IF(ISNUMBER(I1166),I1166,TasaUSD))</f>
        <v/>
      </c>
      <c r="S1166" s="53">
        <f>IF(P1166="","",IF(H1166="USD",G1166*R1166,G1166))</f>
        <v/>
      </c>
      <c r="T1166" s="53">
        <f>IF(P1166="","",IF(H1166="USD",G1166,IF(R1166&gt;0,G1166/R1166,0)))</f>
        <v/>
      </c>
      <c r="U1166" s="53">
        <f>IF(P1166="","",IF(P1166="Gasto",S1166,IF(P1166="Reembolso",-S1166,0)))</f>
        <v/>
      </c>
      <c r="V1166" s="53">
        <f>IF(P1166="","",IF(P1166="Ingreso",S1166,0))</f>
        <v/>
      </c>
      <c r="W1166" s="53">
        <f>IF(P1166="","",IF(P1166="Resultado trading",S1166,0))</f>
        <v/>
      </c>
      <c r="X1166" s="52">
        <f>IF(OR(P1166="Gasto",P1166="Reembolso"),IF(M1166&lt;&gt;"",M1166,IFERROR(INDEX(catClasif,MATCH(D1166&amp;"|"&amp;E1166,catClave,0))&amp;"","Variable")),"")</f>
        <v/>
      </c>
      <c r="Y1166" s="52">
        <f>IF(P1166="","",IFERROR(INDEX(catGrupo,MATCH(D1166&amp;"|"&amp;E1166,catClave,0))&amp;"",""))</f>
        <v/>
      </c>
      <c r="Z1166" s="52">
        <f>IF(P1166="","",WEEKDAY(B1166,2))</f>
        <v/>
      </c>
      <c r="AA1166" s="52">
        <f>IF(P1166="","",IF(AND(P1166="Gasto",X1166="Variable",D1166&lt;&gt;catTrading,S1166&gt;0,S1166&lt;=Umbral),1,0))</f>
        <v/>
      </c>
      <c r="AB1166" s="52">
        <f>IF(OR(P1166="",Q1166=""),"",IFERROR(IF(INDEX(ctaVinc,MATCH(Q1166,ctaNombre,0))&amp;""&lt;&gt;"",INDEX(ctaVinc,MATCH(Q1166,ctaNombre,0))&amp;"",Q1166),Q1166))</f>
        <v/>
      </c>
      <c r="AC1166" s="52">
        <f>IF(OR(K1166="",AND(P1166&lt;&gt;"Transferencia",P1166&lt;&gt;"Pago tarjeta")),"",IFERROR(IF(INDEX(ctaVinc,MATCH(K1166,ctaNombre,0))&amp;""&lt;&gt;"",INDEX(ctaVinc,MATCH(K1166,ctaNombre,0))&amp;"",K1166),K1166))</f>
        <v/>
      </c>
      <c r="AD1166" s="52">
        <f>IF(AB1166="","",IFERROR(INDEX(ctaTipo,MATCH(AB1166,ctaNombre,0))&amp;"",""))</f>
        <v/>
      </c>
      <c r="AE1166" s="52">
        <f>IF(AC1166="","",IFERROR(INDEX(ctaTipo,MATCH(AC1166,ctaNombre,0))&amp;"",""))</f>
        <v/>
      </c>
      <c r="AF1166" s="53">
        <f>IF(OR(P1166="",AB1166=""),"",IF(OR(P1166="Gasto",P1166="Transferencia",P1166="Pago tarjeta"),-1,1)*IF(IFERROR(INDEX(ctaMoneda,MATCH(AB1166,ctaNombre,0))&amp;"","DOP")="USD",T1166,S1166))</f>
        <v/>
      </c>
      <c r="AG1166" s="53">
        <f>IF(AC1166="","",IF(IFERROR(INDEX(ctaMoneda,MATCH(AC1166,ctaNombre,0))&amp;"","DOP")="USD",T1166,S1166))</f>
        <v/>
      </c>
      <c r="AH1166" s="53">
        <f>IF(P1166="","",IF(AND(AD1166&lt;&gt;"",COUNTIFS(tcTipo,AD1166,tcLiq,"Sí")&gt;0),IF(OR(P1166="Gasto",P1166="Transferencia",P1166="Pago tarjeta"),-1,1)*S1166,0)+IF(AND(AE1166&lt;&gt;"",COUNTIFS(tcTipo,AE1166,tcLiq,"Sí")&gt;0),S1166,0))</f>
        <v/>
      </c>
      <c r="AI1166" s="52">
        <f>IF(OR(L1166="",P1166=""),"",IF(COUNTIFS(L$6:L1166,L1166,P$6:P1166,"?*")=1,MAX(AI$5:AI1165)+1,""))</f>
        <v/>
      </c>
    </row>
    <row r="1167">
      <c r="B1167" s="47" t="n"/>
      <c r="C1167" s="48" t="n"/>
      <c r="D1167" s="48" t="n"/>
      <c r="E1167" s="48" t="n"/>
      <c r="F1167" s="48" t="n"/>
      <c r="G1167" s="49" t="n"/>
      <c r="H1167" s="48" t="n"/>
      <c r="I1167" s="50" t="n"/>
      <c r="J1167" s="48" t="n"/>
      <c r="K1167" s="48" t="n"/>
      <c r="L1167" s="48" t="n"/>
      <c r="M1167" s="48" t="n"/>
      <c r="N1167" s="48" t="n"/>
      <c r="O1167" s="51">
        <f>IF(AND(B1167="",G1167="",C1167="",D1167="",J1167=""),"",IF(B1167="","⚠ Falta fecha",IF(G1167="","⚠ Falta monto",IF(Q1167="","⚠ Falta cuenta",IF(ISNA(MATCH(Q1167,ctaNombre,0)),"⚠ Cuenta no registrada",IF(AND(OR(P1167="Gasto",P1167="Reembolso"),D1167=""),"⚠ Falta categoría",IF(AND(D1167&lt;&gt;"",E1167&lt;&gt;"",ISNA(MATCH(D1167&amp;"|"&amp;E1167,catClave,0))),"⚠ Subcategoría no corresponde",IF(AND(OR(P1167="Transferencia",P1167="Pago tarjeta"),K1167=""),"⚠ Falta cuenta destino",IF(AND(K1167&lt;&gt;"",P1167&lt;&gt;"Transferencia",P1167&lt;&gt;"Pago tarjeta"),"⚠ Destino solo aplica a transferencias",IF(AND(K1167&lt;&gt;"",K1167=Q1167),"⚠ Origen igual a destino",IF(AND(K1167&lt;&gt;"",ISNA(MATCH(K1167,ctaNombre,0))),"⚠ Destino no registrado",IF(AND(P1167="Pago tarjeta",AE1167&lt;&gt;"Tarjeta de crédito"),"⚠ El destino debe ser tarjeta de crédito",IF(AND(P1167="Gasto",E1167="Depósitos y retiros"),"⚠ Usa tipo Transferencia",IF(AND(P1167="Resultado trading",AD1167&lt;&gt;"Cuenta de trading"),"⚠ Usa una cuenta de trading",IF(AND(G1167&lt;=0,P1167&lt;&gt;"Ajuste",P1167&lt;&gt;"Resultado trading"),"⚠ El monto debe ser positivo","✓")))))))))))))))</f>
        <v/>
      </c>
      <c r="P1167" s="52">
        <f>IF(OR(B1167="",G1167=""),"",IF(C1167="","Gasto",C1167))</f>
        <v/>
      </c>
      <c r="Q1167" s="52">
        <f>IF(P1167="","",IF(J1167&lt;&gt;"",J1167,CuentaPred&amp;""))</f>
        <v/>
      </c>
      <c r="R1167" s="52">
        <f>IF(P1167="","",IF(ISNUMBER(I1167),I1167,TasaUSD))</f>
        <v/>
      </c>
      <c r="S1167" s="53">
        <f>IF(P1167="","",IF(H1167="USD",G1167*R1167,G1167))</f>
        <v/>
      </c>
      <c r="T1167" s="53">
        <f>IF(P1167="","",IF(H1167="USD",G1167,IF(R1167&gt;0,G1167/R1167,0)))</f>
        <v/>
      </c>
      <c r="U1167" s="53">
        <f>IF(P1167="","",IF(P1167="Gasto",S1167,IF(P1167="Reembolso",-S1167,0)))</f>
        <v/>
      </c>
      <c r="V1167" s="53">
        <f>IF(P1167="","",IF(P1167="Ingreso",S1167,0))</f>
        <v/>
      </c>
      <c r="W1167" s="53">
        <f>IF(P1167="","",IF(P1167="Resultado trading",S1167,0))</f>
        <v/>
      </c>
      <c r="X1167" s="52">
        <f>IF(OR(P1167="Gasto",P1167="Reembolso"),IF(M1167&lt;&gt;"",M1167,IFERROR(INDEX(catClasif,MATCH(D1167&amp;"|"&amp;E1167,catClave,0))&amp;"","Variable")),"")</f>
        <v/>
      </c>
      <c r="Y1167" s="52">
        <f>IF(P1167="","",IFERROR(INDEX(catGrupo,MATCH(D1167&amp;"|"&amp;E1167,catClave,0))&amp;"",""))</f>
        <v/>
      </c>
      <c r="Z1167" s="52">
        <f>IF(P1167="","",WEEKDAY(B1167,2))</f>
        <v/>
      </c>
      <c r="AA1167" s="52">
        <f>IF(P1167="","",IF(AND(P1167="Gasto",X1167="Variable",D1167&lt;&gt;catTrading,S1167&gt;0,S1167&lt;=Umbral),1,0))</f>
        <v/>
      </c>
      <c r="AB1167" s="52">
        <f>IF(OR(P1167="",Q1167=""),"",IFERROR(IF(INDEX(ctaVinc,MATCH(Q1167,ctaNombre,0))&amp;""&lt;&gt;"",INDEX(ctaVinc,MATCH(Q1167,ctaNombre,0))&amp;"",Q1167),Q1167))</f>
        <v/>
      </c>
      <c r="AC1167" s="52">
        <f>IF(OR(K1167="",AND(P1167&lt;&gt;"Transferencia",P1167&lt;&gt;"Pago tarjeta")),"",IFERROR(IF(INDEX(ctaVinc,MATCH(K1167,ctaNombre,0))&amp;""&lt;&gt;"",INDEX(ctaVinc,MATCH(K1167,ctaNombre,0))&amp;"",K1167),K1167))</f>
        <v/>
      </c>
      <c r="AD1167" s="52">
        <f>IF(AB1167="","",IFERROR(INDEX(ctaTipo,MATCH(AB1167,ctaNombre,0))&amp;"",""))</f>
        <v/>
      </c>
      <c r="AE1167" s="52">
        <f>IF(AC1167="","",IFERROR(INDEX(ctaTipo,MATCH(AC1167,ctaNombre,0))&amp;"",""))</f>
        <v/>
      </c>
      <c r="AF1167" s="53">
        <f>IF(OR(P1167="",AB1167=""),"",IF(OR(P1167="Gasto",P1167="Transferencia",P1167="Pago tarjeta"),-1,1)*IF(IFERROR(INDEX(ctaMoneda,MATCH(AB1167,ctaNombre,0))&amp;"","DOP")="USD",T1167,S1167))</f>
        <v/>
      </c>
      <c r="AG1167" s="53">
        <f>IF(AC1167="","",IF(IFERROR(INDEX(ctaMoneda,MATCH(AC1167,ctaNombre,0))&amp;"","DOP")="USD",T1167,S1167))</f>
        <v/>
      </c>
      <c r="AH1167" s="53">
        <f>IF(P1167="","",IF(AND(AD1167&lt;&gt;"",COUNTIFS(tcTipo,AD1167,tcLiq,"Sí")&gt;0),IF(OR(P1167="Gasto",P1167="Transferencia",P1167="Pago tarjeta"),-1,1)*S1167,0)+IF(AND(AE1167&lt;&gt;"",COUNTIFS(tcTipo,AE1167,tcLiq,"Sí")&gt;0),S1167,0))</f>
        <v/>
      </c>
      <c r="AI1167" s="52">
        <f>IF(OR(L1167="",P1167=""),"",IF(COUNTIFS(L$6:L1167,L1167,P$6:P1167,"?*")=1,MAX(AI$5:AI1166)+1,""))</f>
        <v/>
      </c>
    </row>
    <row r="1168">
      <c r="B1168" s="47" t="n"/>
      <c r="C1168" s="48" t="n"/>
      <c r="D1168" s="48" t="n"/>
      <c r="E1168" s="48" t="n"/>
      <c r="F1168" s="48" t="n"/>
      <c r="G1168" s="49" t="n"/>
      <c r="H1168" s="48" t="n"/>
      <c r="I1168" s="50" t="n"/>
      <c r="J1168" s="48" t="n"/>
      <c r="K1168" s="48" t="n"/>
      <c r="L1168" s="48" t="n"/>
      <c r="M1168" s="48" t="n"/>
      <c r="N1168" s="48" t="n"/>
      <c r="O1168" s="51">
        <f>IF(AND(B1168="",G1168="",C1168="",D1168="",J1168=""),"",IF(B1168="","⚠ Falta fecha",IF(G1168="","⚠ Falta monto",IF(Q1168="","⚠ Falta cuenta",IF(ISNA(MATCH(Q1168,ctaNombre,0)),"⚠ Cuenta no registrada",IF(AND(OR(P1168="Gasto",P1168="Reembolso"),D1168=""),"⚠ Falta categoría",IF(AND(D1168&lt;&gt;"",E1168&lt;&gt;"",ISNA(MATCH(D1168&amp;"|"&amp;E1168,catClave,0))),"⚠ Subcategoría no corresponde",IF(AND(OR(P1168="Transferencia",P1168="Pago tarjeta"),K1168=""),"⚠ Falta cuenta destino",IF(AND(K1168&lt;&gt;"",P1168&lt;&gt;"Transferencia",P1168&lt;&gt;"Pago tarjeta"),"⚠ Destino solo aplica a transferencias",IF(AND(K1168&lt;&gt;"",K1168=Q1168),"⚠ Origen igual a destino",IF(AND(K1168&lt;&gt;"",ISNA(MATCH(K1168,ctaNombre,0))),"⚠ Destino no registrado",IF(AND(P1168="Pago tarjeta",AE1168&lt;&gt;"Tarjeta de crédito"),"⚠ El destino debe ser tarjeta de crédito",IF(AND(P1168="Gasto",E1168="Depósitos y retiros"),"⚠ Usa tipo Transferencia",IF(AND(P1168="Resultado trading",AD1168&lt;&gt;"Cuenta de trading"),"⚠ Usa una cuenta de trading",IF(AND(G1168&lt;=0,P1168&lt;&gt;"Ajuste",P1168&lt;&gt;"Resultado trading"),"⚠ El monto debe ser positivo","✓")))))))))))))))</f>
        <v/>
      </c>
      <c r="P1168" s="52">
        <f>IF(OR(B1168="",G1168=""),"",IF(C1168="","Gasto",C1168))</f>
        <v/>
      </c>
      <c r="Q1168" s="52">
        <f>IF(P1168="","",IF(J1168&lt;&gt;"",J1168,CuentaPred&amp;""))</f>
        <v/>
      </c>
      <c r="R1168" s="52">
        <f>IF(P1168="","",IF(ISNUMBER(I1168),I1168,TasaUSD))</f>
        <v/>
      </c>
      <c r="S1168" s="53">
        <f>IF(P1168="","",IF(H1168="USD",G1168*R1168,G1168))</f>
        <v/>
      </c>
      <c r="T1168" s="53">
        <f>IF(P1168="","",IF(H1168="USD",G1168,IF(R1168&gt;0,G1168/R1168,0)))</f>
        <v/>
      </c>
      <c r="U1168" s="53">
        <f>IF(P1168="","",IF(P1168="Gasto",S1168,IF(P1168="Reembolso",-S1168,0)))</f>
        <v/>
      </c>
      <c r="V1168" s="53">
        <f>IF(P1168="","",IF(P1168="Ingreso",S1168,0))</f>
        <v/>
      </c>
      <c r="W1168" s="53">
        <f>IF(P1168="","",IF(P1168="Resultado trading",S1168,0))</f>
        <v/>
      </c>
      <c r="X1168" s="52">
        <f>IF(OR(P1168="Gasto",P1168="Reembolso"),IF(M1168&lt;&gt;"",M1168,IFERROR(INDEX(catClasif,MATCH(D1168&amp;"|"&amp;E1168,catClave,0))&amp;"","Variable")),"")</f>
        <v/>
      </c>
      <c r="Y1168" s="52">
        <f>IF(P1168="","",IFERROR(INDEX(catGrupo,MATCH(D1168&amp;"|"&amp;E1168,catClave,0))&amp;"",""))</f>
        <v/>
      </c>
      <c r="Z1168" s="52">
        <f>IF(P1168="","",WEEKDAY(B1168,2))</f>
        <v/>
      </c>
      <c r="AA1168" s="52">
        <f>IF(P1168="","",IF(AND(P1168="Gasto",X1168="Variable",D1168&lt;&gt;catTrading,S1168&gt;0,S1168&lt;=Umbral),1,0))</f>
        <v/>
      </c>
      <c r="AB1168" s="52">
        <f>IF(OR(P1168="",Q1168=""),"",IFERROR(IF(INDEX(ctaVinc,MATCH(Q1168,ctaNombre,0))&amp;""&lt;&gt;"",INDEX(ctaVinc,MATCH(Q1168,ctaNombre,0))&amp;"",Q1168),Q1168))</f>
        <v/>
      </c>
      <c r="AC1168" s="52">
        <f>IF(OR(K1168="",AND(P1168&lt;&gt;"Transferencia",P1168&lt;&gt;"Pago tarjeta")),"",IFERROR(IF(INDEX(ctaVinc,MATCH(K1168,ctaNombre,0))&amp;""&lt;&gt;"",INDEX(ctaVinc,MATCH(K1168,ctaNombre,0))&amp;"",K1168),K1168))</f>
        <v/>
      </c>
      <c r="AD1168" s="52">
        <f>IF(AB1168="","",IFERROR(INDEX(ctaTipo,MATCH(AB1168,ctaNombre,0))&amp;"",""))</f>
        <v/>
      </c>
      <c r="AE1168" s="52">
        <f>IF(AC1168="","",IFERROR(INDEX(ctaTipo,MATCH(AC1168,ctaNombre,0))&amp;"",""))</f>
        <v/>
      </c>
      <c r="AF1168" s="53">
        <f>IF(OR(P1168="",AB1168=""),"",IF(OR(P1168="Gasto",P1168="Transferencia",P1168="Pago tarjeta"),-1,1)*IF(IFERROR(INDEX(ctaMoneda,MATCH(AB1168,ctaNombre,0))&amp;"","DOP")="USD",T1168,S1168))</f>
        <v/>
      </c>
      <c r="AG1168" s="53">
        <f>IF(AC1168="","",IF(IFERROR(INDEX(ctaMoneda,MATCH(AC1168,ctaNombre,0))&amp;"","DOP")="USD",T1168,S1168))</f>
        <v/>
      </c>
      <c r="AH1168" s="53">
        <f>IF(P1168="","",IF(AND(AD1168&lt;&gt;"",COUNTIFS(tcTipo,AD1168,tcLiq,"Sí")&gt;0),IF(OR(P1168="Gasto",P1168="Transferencia",P1168="Pago tarjeta"),-1,1)*S1168,0)+IF(AND(AE1168&lt;&gt;"",COUNTIFS(tcTipo,AE1168,tcLiq,"Sí")&gt;0),S1168,0))</f>
        <v/>
      </c>
      <c r="AI1168" s="52">
        <f>IF(OR(L1168="",P1168=""),"",IF(COUNTIFS(L$6:L1168,L1168,P$6:P1168,"?*")=1,MAX(AI$5:AI1167)+1,""))</f>
        <v/>
      </c>
    </row>
    <row r="1169">
      <c r="B1169" s="47" t="n"/>
      <c r="C1169" s="48" t="n"/>
      <c r="D1169" s="48" t="n"/>
      <c r="E1169" s="48" t="n"/>
      <c r="F1169" s="48" t="n"/>
      <c r="G1169" s="49" t="n"/>
      <c r="H1169" s="48" t="n"/>
      <c r="I1169" s="50" t="n"/>
      <c r="J1169" s="48" t="n"/>
      <c r="K1169" s="48" t="n"/>
      <c r="L1169" s="48" t="n"/>
      <c r="M1169" s="48" t="n"/>
      <c r="N1169" s="48" t="n"/>
      <c r="O1169" s="51">
        <f>IF(AND(B1169="",G1169="",C1169="",D1169="",J1169=""),"",IF(B1169="","⚠ Falta fecha",IF(G1169="","⚠ Falta monto",IF(Q1169="","⚠ Falta cuenta",IF(ISNA(MATCH(Q1169,ctaNombre,0)),"⚠ Cuenta no registrada",IF(AND(OR(P1169="Gasto",P1169="Reembolso"),D1169=""),"⚠ Falta categoría",IF(AND(D1169&lt;&gt;"",E1169&lt;&gt;"",ISNA(MATCH(D1169&amp;"|"&amp;E1169,catClave,0))),"⚠ Subcategoría no corresponde",IF(AND(OR(P1169="Transferencia",P1169="Pago tarjeta"),K1169=""),"⚠ Falta cuenta destino",IF(AND(K1169&lt;&gt;"",P1169&lt;&gt;"Transferencia",P1169&lt;&gt;"Pago tarjeta"),"⚠ Destino solo aplica a transferencias",IF(AND(K1169&lt;&gt;"",K1169=Q1169),"⚠ Origen igual a destino",IF(AND(K1169&lt;&gt;"",ISNA(MATCH(K1169,ctaNombre,0))),"⚠ Destino no registrado",IF(AND(P1169="Pago tarjeta",AE1169&lt;&gt;"Tarjeta de crédito"),"⚠ El destino debe ser tarjeta de crédito",IF(AND(P1169="Gasto",E1169="Depósitos y retiros"),"⚠ Usa tipo Transferencia",IF(AND(P1169="Resultado trading",AD1169&lt;&gt;"Cuenta de trading"),"⚠ Usa una cuenta de trading",IF(AND(G1169&lt;=0,P1169&lt;&gt;"Ajuste",P1169&lt;&gt;"Resultado trading"),"⚠ El monto debe ser positivo","✓")))))))))))))))</f>
        <v/>
      </c>
      <c r="P1169" s="52">
        <f>IF(OR(B1169="",G1169=""),"",IF(C1169="","Gasto",C1169))</f>
        <v/>
      </c>
      <c r="Q1169" s="52">
        <f>IF(P1169="","",IF(J1169&lt;&gt;"",J1169,CuentaPred&amp;""))</f>
        <v/>
      </c>
      <c r="R1169" s="52">
        <f>IF(P1169="","",IF(ISNUMBER(I1169),I1169,TasaUSD))</f>
        <v/>
      </c>
      <c r="S1169" s="53">
        <f>IF(P1169="","",IF(H1169="USD",G1169*R1169,G1169))</f>
        <v/>
      </c>
      <c r="T1169" s="53">
        <f>IF(P1169="","",IF(H1169="USD",G1169,IF(R1169&gt;0,G1169/R1169,0)))</f>
        <v/>
      </c>
      <c r="U1169" s="53">
        <f>IF(P1169="","",IF(P1169="Gasto",S1169,IF(P1169="Reembolso",-S1169,0)))</f>
        <v/>
      </c>
      <c r="V1169" s="53">
        <f>IF(P1169="","",IF(P1169="Ingreso",S1169,0))</f>
        <v/>
      </c>
      <c r="W1169" s="53">
        <f>IF(P1169="","",IF(P1169="Resultado trading",S1169,0))</f>
        <v/>
      </c>
      <c r="X1169" s="52">
        <f>IF(OR(P1169="Gasto",P1169="Reembolso"),IF(M1169&lt;&gt;"",M1169,IFERROR(INDEX(catClasif,MATCH(D1169&amp;"|"&amp;E1169,catClave,0))&amp;"","Variable")),"")</f>
        <v/>
      </c>
      <c r="Y1169" s="52">
        <f>IF(P1169="","",IFERROR(INDEX(catGrupo,MATCH(D1169&amp;"|"&amp;E1169,catClave,0))&amp;"",""))</f>
        <v/>
      </c>
      <c r="Z1169" s="52">
        <f>IF(P1169="","",WEEKDAY(B1169,2))</f>
        <v/>
      </c>
      <c r="AA1169" s="52">
        <f>IF(P1169="","",IF(AND(P1169="Gasto",X1169="Variable",D1169&lt;&gt;catTrading,S1169&gt;0,S1169&lt;=Umbral),1,0))</f>
        <v/>
      </c>
      <c r="AB1169" s="52">
        <f>IF(OR(P1169="",Q1169=""),"",IFERROR(IF(INDEX(ctaVinc,MATCH(Q1169,ctaNombre,0))&amp;""&lt;&gt;"",INDEX(ctaVinc,MATCH(Q1169,ctaNombre,0))&amp;"",Q1169),Q1169))</f>
        <v/>
      </c>
      <c r="AC1169" s="52">
        <f>IF(OR(K1169="",AND(P1169&lt;&gt;"Transferencia",P1169&lt;&gt;"Pago tarjeta")),"",IFERROR(IF(INDEX(ctaVinc,MATCH(K1169,ctaNombre,0))&amp;""&lt;&gt;"",INDEX(ctaVinc,MATCH(K1169,ctaNombre,0))&amp;"",K1169),K1169))</f>
        <v/>
      </c>
      <c r="AD1169" s="52">
        <f>IF(AB1169="","",IFERROR(INDEX(ctaTipo,MATCH(AB1169,ctaNombre,0))&amp;"",""))</f>
        <v/>
      </c>
      <c r="AE1169" s="52">
        <f>IF(AC1169="","",IFERROR(INDEX(ctaTipo,MATCH(AC1169,ctaNombre,0))&amp;"",""))</f>
        <v/>
      </c>
      <c r="AF1169" s="53">
        <f>IF(OR(P1169="",AB1169=""),"",IF(OR(P1169="Gasto",P1169="Transferencia",P1169="Pago tarjeta"),-1,1)*IF(IFERROR(INDEX(ctaMoneda,MATCH(AB1169,ctaNombre,0))&amp;"","DOP")="USD",T1169,S1169))</f>
        <v/>
      </c>
      <c r="AG1169" s="53">
        <f>IF(AC1169="","",IF(IFERROR(INDEX(ctaMoneda,MATCH(AC1169,ctaNombre,0))&amp;"","DOP")="USD",T1169,S1169))</f>
        <v/>
      </c>
      <c r="AH1169" s="53">
        <f>IF(P1169="","",IF(AND(AD1169&lt;&gt;"",COUNTIFS(tcTipo,AD1169,tcLiq,"Sí")&gt;0),IF(OR(P1169="Gasto",P1169="Transferencia",P1169="Pago tarjeta"),-1,1)*S1169,0)+IF(AND(AE1169&lt;&gt;"",COUNTIFS(tcTipo,AE1169,tcLiq,"Sí")&gt;0),S1169,0))</f>
        <v/>
      </c>
      <c r="AI1169" s="52">
        <f>IF(OR(L1169="",P1169=""),"",IF(COUNTIFS(L$6:L1169,L1169,P$6:P1169,"?*")=1,MAX(AI$5:AI1168)+1,""))</f>
        <v/>
      </c>
    </row>
    <row r="1170">
      <c r="B1170" s="47" t="n"/>
      <c r="C1170" s="48" t="n"/>
      <c r="D1170" s="48" t="n"/>
      <c r="E1170" s="48" t="n"/>
      <c r="F1170" s="48" t="n"/>
      <c r="G1170" s="49" t="n"/>
      <c r="H1170" s="48" t="n"/>
      <c r="I1170" s="50" t="n"/>
      <c r="J1170" s="48" t="n"/>
      <c r="K1170" s="48" t="n"/>
      <c r="L1170" s="48" t="n"/>
      <c r="M1170" s="48" t="n"/>
      <c r="N1170" s="48" t="n"/>
      <c r="O1170" s="51">
        <f>IF(AND(B1170="",G1170="",C1170="",D1170="",J1170=""),"",IF(B1170="","⚠ Falta fecha",IF(G1170="","⚠ Falta monto",IF(Q1170="","⚠ Falta cuenta",IF(ISNA(MATCH(Q1170,ctaNombre,0)),"⚠ Cuenta no registrada",IF(AND(OR(P1170="Gasto",P1170="Reembolso"),D1170=""),"⚠ Falta categoría",IF(AND(D1170&lt;&gt;"",E1170&lt;&gt;"",ISNA(MATCH(D1170&amp;"|"&amp;E1170,catClave,0))),"⚠ Subcategoría no corresponde",IF(AND(OR(P1170="Transferencia",P1170="Pago tarjeta"),K1170=""),"⚠ Falta cuenta destino",IF(AND(K1170&lt;&gt;"",P1170&lt;&gt;"Transferencia",P1170&lt;&gt;"Pago tarjeta"),"⚠ Destino solo aplica a transferencias",IF(AND(K1170&lt;&gt;"",K1170=Q1170),"⚠ Origen igual a destino",IF(AND(K1170&lt;&gt;"",ISNA(MATCH(K1170,ctaNombre,0))),"⚠ Destino no registrado",IF(AND(P1170="Pago tarjeta",AE1170&lt;&gt;"Tarjeta de crédito"),"⚠ El destino debe ser tarjeta de crédito",IF(AND(P1170="Gasto",E1170="Depósitos y retiros"),"⚠ Usa tipo Transferencia",IF(AND(P1170="Resultado trading",AD1170&lt;&gt;"Cuenta de trading"),"⚠ Usa una cuenta de trading",IF(AND(G1170&lt;=0,P1170&lt;&gt;"Ajuste",P1170&lt;&gt;"Resultado trading"),"⚠ El monto debe ser positivo","✓")))))))))))))))</f>
        <v/>
      </c>
      <c r="P1170" s="52">
        <f>IF(OR(B1170="",G1170=""),"",IF(C1170="","Gasto",C1170))</f>
        <v/>
      </c>
      <c r="Q1170" s="52">
        <f>IF(P1170="","",IF(J1170&lt;&gt;"",J1170,CuentaPred&amp;""))</f>
        <v/>
      </c>
      <c r="R1170" s="52">
        <f>IF(P1170="","",IF(ISNUMBER(I1170),I1170,TasaUSD))</f>
        <v/>
      </c>
      <c r="S1170" s="53">
        <f>IF(P1170="","",IF(H1170="USD",G1170*R1170,G1170))</f>
        <v/>
      </c>
      <c r="T1170" s="53">
        <f>IF(P1170="","",IF(H1170="USD",G1170,IF(R1170&gt;0,G1170/R1170,0)))</f>
        <v/>
      </c>
      <c r="U1170" s="53">
        <f>IF(P1170="","",IF(P1170="Gasto",S1170,IF(P1170="Reembolso",-S1170,0)))</f>
        <v/>
      </c>
      <c r="V1170" s="53">
        <f>IF(P1170="","",IF(P1170="Ingreso",S1170,0))</f>
        <v/>
      </c>
      <c r="W1170" s="53">
        <f>IF(P1170="","",IF(P1170="Resultado trading",S1170,0))</f>
        <v/>
      </c>
      <c r="X1170" s="52">
        <f>IF(OR(P1170="Gasto",P1170="Reembolso"),IF(M1170&lt;&gt;"",M1170,IFERROR(INDEX(catClasif,MATCH(D1170&amp;"|"&amp;E1170,catClave,0))&amp;"","Variable")),"")</f>
        <v/>
      </c>
      <c r="Y1170" s="52">
        <f>IF(P1170="","",IFERROR(INDEX(catGrupo,MATCH(D1170&amp;"|"&amp;E1170,catClave,0))&amp;"",""))</f>
        <v/>
      </c>
      <c r="Z1170" s="52">
        <f>IF(P1170="","",WEEKDAY(B1170,2))</f>
        <v/>
      </c>
      <c r="AA1170" s="52">
        <f>IF(P1170="","",IF(AND(P1170="Gasto",X1170="Variable",D1170&lt;&gt;catTrading,S1170&gt;0,S1170&lt;=Umbral),1,0))</f>
        <v/>
      </c>
      <c r="AB1170" s="52">
        <f>IF(OR(P1170="",Q1170=""),"",IFERROR(IF(INDEX(ctaVinc,MATCH(Q1170,ctaNombre,0))&amp;""&lt;&gt;"",INDEX(ctaVinc,MATCH(Q1170,ctaNombre,0))&amp;"",Q1170),Q1170))</f>
        <v/>
      </c>
      <c r="AC1170" s="52">
        <f>IF(OR(K1170="",AND(P1170&lt;&gt;"Transferencia",P1170&lt;&gt;"Pago tarjeta")),"",IFERROR(IF(INDEX(ctaVinc,MATCH(K1170,ctaNombre,0))&amp;""&lt;&gt;"",INDEX(ctaVinc,MATCH(K1170,ctaNombre,0))&amp;"",K1170),K1170))</f>
        <v/>
      </c>
      <c r="AD1170" s="52">
        <f>IF(AB1170="","",IFERROR(INDEX(ctaTipo,MATCH(AB1170,ctaNombre,0))&amp;"",""))</f>
        <v/>
      </c>
      <c r="AE1170" s="52">
        <f>IF(AC1170="","",IFERROR(INDEX(ctaTipo,MATCH(AC1170,ctaNombre,0))&amp;"",""))</f>
        <v/>
      </c>
      <c r="AF1170" s="53">
        <f>IF(OR(P1170="",AB1170=""),"",IF(OR(P1170="Gasto",P1170="Transferencia",P1170="Pago tarjeta"),-1,1)*IF(IFERROR(INDEX(ctaMoneda,MATCH(AB1170,ctaNombre,0))&amp;"","DOP")="USD",T1170,S1170))</f>
        <v/>
      </c>
      <c r="AG1170" s="53">
        <f>IF(AC1170="","",IF(IFERROR(INDEX(ctaMoneda,MATCH(AC1170,ctaNombre,0))&amp;"","DOP")="USD",T1170,S1170))</f>
        <v/>
      </c>
      <c r="AH1170" s="53">
        <f>IF(P1170="","",IF(AND(AD1170&lt;&gt;"",COUNTIFS(tcTipo,AD1170,tcLiq,"Sí")&gt;0),IF(OR(P1170="Gasto",P1170="Transferencia",P1170="Pago tarjeta"),-1,1)*S1170,0)+IF(AND(AE1170&lt;&gt;"",COUNTIFS(tcTipo,AE1170,tcLiq,"Sí")&gt;0),S1170,0))</f>
        <v/>
      </c>
      <c r="AI1170" s="52">
        <f>IF(OR(L1170="",P1170=""),"",IF(COUNTIFS(L$6:L1170,L1170,P$6:P1170,"?*")=1,MAX(AI$5:AI1169)+1,""))</f>
        <v/>
      </c>
    </row>
    <row r="1171">
      <c r="B1171" s="47" t="n"/>
      <c r="C1171" s="48" t="n"/>
      <c r="D1171" s="48" t="n"/>
      <c r="E1171" s="48" t="n"/>
      <c r="F1171" s="48" t="n"/>
      <c r="G1171" s="49" t="n"/>
      <c r="H1171" s="48" t="n"/>
      <c r="I1171" s="50" t="n"/>
      <c r="J1171" s="48" t="n"/>
      <c r="K1171" s="48" t="n"/>
      <c r="L1171" s="48" t="n"/>
      <c r="M1171" s="48" t="n"/>
      <c r="N1171" s="48" t="n"/>
      <c r="O1171" s="51">
        <f>IF(AND(B1171="",G1171="",C1171="",D1171="",J1171=""),"",IF(B1171="","⚠ Falta fecha",IF(G1171="","⚠ Falta monto",IF(Q1171="","⚠ Falta cuenta",IF(ISNA(MATCH(Q1171,ctaNombre,0)),"⚠ Cuenta no registrada",IF(AND(OR(P1171="Gasto",P1171="Reembolso"),D1171=""),"⚠ Falta categoría",IF(AND(D1171&lt;&gt;"",E1171&lt;&gt;"",ISNA(MATCH(D1171&amp;"|"&amp;E1171,catClave,0))),"⚠ Subcategoría no corresponde",IF(AND(OR(P1171="Transferencia",P1171="Pago tarjeta"),K1171=""),"⚠ Falta cuenta destino",IF(AND(K1171&lt;&gt;"",P1171&lt;&gt;"Transferencia",P1171&lt;&gt;"Pago tarjeta"),"⚠ Destino solo aplica a transferencias",IF(AND(K1171&lt;&gt;"",K1171=Q1171),"⚠ Origen igual a destino",IF(AND(K1171&lt;&gt;"",ISNA(MATCH(K1171,ctaNombre,0))),"⚠ Destino no registrado",IF(AND(P1171="Pago tarjeta",AE1171&lt;&gt;"Tarjeta de crédito"),"⚠ El destino debe ser tarjeta de crédito",IF(AND(P1171="Gasto",E1171="Depósitos y retiros"),"⚠ Usa tipo Transferencia",IF(AND(P1171="Resultado trading",AD1171&lt;&gt;"Cuenta de trading"),"⚠ Usa una cuenta de trading",IF(AND(G1171&lt;=0,P1171&lt;&gt;"Ajuste",P1171&lt;&gt;"Resultado trading"),"⚠ El monto debe ser positivo","✓")))))))))))))))</f>
        <v/>
      </c>
      <c r="P1171" s="52">
        <f>IF(OR(B1171="",G1171=""),"",IF(C1171="","Gasto",C1171))</f>
        <v/>
      </c>
      <c r="Q1171" s="52">
        <f>IF(P1171="","",IF(J1171&lt;&gt;"",J1171,CuentaPred&amp;""))</f>
        <v/>
      </c>
      <c r="R1171" s="52">
        <f>IF(P1171="","",IF(ISNUMBER(I1171),I1171,TasaUSD))</f>
        <v/>
      </c>
      <c r="S1171" s="53">
        <f>IF(P1171="","",IF(H1171="USD",G1171*R1171,G1171))</f>
        <v/>
      </c>
      <c r="T1171" s="53">
        <f>IF(P1171="","",IF(H1171="USD",G1171,IF(R1171&gt;0,G1171/R1171,0)))</f>
        <v/>
      </c>
      <c r="U1171" s="53">
        <f>IF(P1171="","",IF(P1171="Gasto",S1171,IF(P1171="Reembolso",-S1171,0)))</f>
        <v/>
      </c>
      <c r="V1171" s="53">
        <f>IF(P1171="","",IF(P1171="Ingreso",S1171,0))</f>
        <v/>
      </c>
      <c r="W1171" s="53">
        <f>IF(P1171="","",IF(P1171="Resultado trading",S1171,0))</f>
        <v/>
      </c>
      <c r="X1171" s="52">
        <f>IF(OR(P1171="Gasto",P1171="Reembolso"),IF(M1171&lt;&gt;"",M1171,IFERROR(INDEX(catClasif,MATCH(D1171&amp;"|"&amp;E1171,catClave,0))&amp;"","Variable")),"")</f>
        <v/>
      </c>
      <c r="Y1171" s="52">
        <f>IF(P1171="","",IFERROR(INDEX(catGrupo,MATCH(D1171&amp;"|"&amp;E1171,catClave,0))&amp;"",""))</f>
        <v/>
      </c>
      <c r="Z1171" s="52">
        <f>IF(P1171="","",WEEKDAY(B1171,2))</f>
        <v/>
      </c>
      <c r="AA1171" s="52">
        <f>IF(P1171="","",IF(AND(P1171="Gasto",X1171="Variable",D1171&lt;&gt;catTrading,S1171&gt;0,S1171&lt;=Umbral),1,0))</f>
        <v/>
      </c>
      <c r="AB1171" s="52">
        <f>IF(OR(P1171="",Q1171=""),"",IFERROR(IF(INDEX(ctaVinc,MATCH(Q1171,ctaNombre,0))&amp;""&lt;&gt;"",INDEX(ctaVinc,MATCH(Q1171,ctaNombre,0))&amp;"",Q1171),Q1171))</f>
        <v/>
      </c>
      <c r="AC1171" s="52">
        <f>IF(OR(K1171="",AND(P1171&lt;&gt;"Transferencia",P1171&lt;&gt;"Pago tarjeta")),"",IFERROR(IF(INDEX(ctaVinc,MATCH(K1171,ctaNombre,0))&amp;""&lt;&gt;"",INDEX(ctaVinc,MATCH(K1171,ctaNombre,0))&amp;"",K1171),K1171))</f>
        <v/>
      </c>
      <c r="AD1171" s="52">
        <f>IF(AB1171="","",IFERROR(INDEX(ctaTipo,MATCH(AB1171,ctaNombre,0))&amp;"",""))</f>
        <v/>
      </c>
      <c r="AE1171" s="52">
        <f>IF(AC1171="","",IFERROR(INDEX(ctaTipo,MATCH(AC1171,ctaNombre,0))&amp;"",""))</f>
        <v/>
      </c>
      <c r="AF1171" s="53">
        <f>IF(OR(P1171="",AB1171=""),"",IF(OR(P1171="Gasto",P1171="Transferencia",P1171="Pago tarjeta"),-1,1)*IF(IFERROR(INDEX(ctaMoneda,MATCH(AB1171,ctaNombre,0))&amp;"","DOP")="USD",T1171,S1171))</f>
        <v/>
      </c>
      <c r="AG1171" s="53">
        <f>IF(AC1171="","",IF(IFERROR(INDEX(ctaMoneda,MATCH(AC1171,ctaNombre,0))&amp;"","DOP")="USD",T1171,S1171))</f>
        <v/>
      </c>
      <c r="AH1171" s="53">
        <f>IF(P1171="","",IF(AND(AD1171&lt;&gt;"",COUNTIFS(tcTipo,AD1171,tcLiq,"Sí")&gt;0),IF(OR(P1171="Gasto",P1171="Transferencia",P1171="Pago tarjeta"),-1,1)*S1171,0)+IF(AND(AE1171&lt;&gt;"",COUNTIFS(tcTipo,AE1171,tcLiq,"Sí")&gt;0),S1171,0))</f>
        <v/>
      </c>
      <c r="AI1171" s="52">
        <f>IF(OR(L1171="",P1171=""),"",IF(COUNTIFS(L$6:L1171,L1171,P$6:P1171,"?*")=1,MAX(AI$5:AI1170)+1,""))</f>
        <v/>
      </c>
    </row>
    <row r="1172">
      <c r="B1172" s="47" t="n"/>
      <c r="C1172" s="48" t="n"/>
      <c r="D1172" s="48" t="n"/>
      <c r="E1172" s="48" t="n"/>
      <c r="F1172" s="48" t="n"/>
      <c r="G1172" s="49" t="n"/>
      <c r="H1172" s="48" t="n"/>
      <c r="I1172" s="50" t="n"/>
      <c r="J1172" s="48" t="n"/>
      <c r="K1172" s="48" t="n"/>
      <c r="L1172" s="48" t="n"/>
      <c r="M1172" s="48" t="n"/>
      <c r="N1172" s="48" t="n"/>
      <c r="O1172" s="51">
        <f>IF(AND(B1172="",G1172="",C1172="",D1172="",J1172=""),"",IF(B1172="","⚠ Falta fecha",IF(G1172="","⚠ Falta monto",IF(Q1172="","⚠ Falta cuenta",IF(ISNA(MATCH(Q1172,ctaNombre,0)),"⚠ Cuenta no registrada",IF(AND(OR(P1172="Gasto",P1172="Reembolso"),D1172=""),"⚠ Falta categoría",IF(AND(D1172&lt;&gt;"",E1172&lt;&gt;"",ISNA(MATCH(D1172&amp;"|"&amp;E1172,catClave,0))),"⚠ Subcategoría no corresponde",IF(AND(OR(P1172="Transferencia",P1172="Pago tarjeta"),K1172=""),"⚠ Falta cuenta destino",IF(AND(K1172&lt;&gt;"",P1172&lt;&gt;"Transferencia",P1172&lt;&gt;"Pago tarjeta"),"⚠ Destino solo aplica a transferencias",IF(AND(K1172&lt;&gt;"",K1172=Q1172),"⚠ Origen igual a destino",IF(AND(K1172&lt;&gt;"",ISNA(MATCH(K1172,ctaNombre,0))),"⚠ Destino no registrado",IF(AND(P1172="Pago tarjeta",AE1172&lt;&gt;"Tarjeta de crédito"),"⚠ El destino debe ser tarjeta de crédito",IF(AND(P1172="Gasto",E1172="Depósitos y retiros"),"⚠ Usa tipo Transferencia",IF(AND(P1172="Resultado trading",AD1172&lt;&gt;"Cuenta de trading"),"⚠ Usa una cuenta de trading",IF(AND(G1172&lt;=0,P1172&lt;&gt;"Ajuste",P1172&lt;&gt;"Resultado trading"),"⚠ El monto debe ser positivo","✓")))))))))))))))</f>
        <v/>
      </c>
      <c r="P1172" s="52">
        <f>IF(OR(B1172="",G1172=""),"",IF(C1172="","Gasto",C1172))</f>
        <v/>
      </c>
      <c r="Q1172" s="52">
        <f>IF(P1172="","",IF(J1172&lt;&gt;"",J1172,CuentaPred&amp;""))</f>
        <v/>
      </c>
      <c r="R1172" s="52">
        <f>IF(P1172="","",IF(ISNUMBER(I1172),I1172,TasaUSD))</f>
        <v/>
      </c>
      <c r="S1172" s="53">
        <f>IF(P1172="","",IF(H1172="USD",G1172*R1172,G1172))</f>
        <v/>
      </c>
      <c r="T1172" s="53">
        <f>IF(P1172="","",IF(H1172="USD",G1172,IF(R1172&gt;0,G1172/R1172,0)))</f>
        <v/>
      </c>
      <c r="U1172" s="53">
        <f>IF(P1172="","",IF(P1172="Gasto",S1172,IF(P1172="Reembolso",-S1172,0)))</f>
        <v/>
      </c>
      <c r="V1172" s="53">
        <f>IF(P1172="","",IF(P1172="Ingreso",S1172,0))</f>
        <v/>
      </c>
      <c r="W1172" s="53">
        <f>IF(P1172="","",IF(P1172="Resultado trading",S1172,0))</f>
        <v/>
      </c>
      <c r="X1172" s="52">
        <f>IF(OR(P1172="Gasto",P1172="Reembolso"),IF(M1172&lt;&gt;"",M1172,IFERROR(INDEX(catClasif,MATCH(D1172&amp;"|"&amp;E1172,catClave,0))&amp;"","Variable")),"")</f>
        <v/>
      </c>
      <c r="Y1172" s="52">
        <f>IF(P1172="","",IFERROR(INDEX(catGrupo,MATCH(D1172&amp;"|"&amp;E1172,catClave,0))&amp;"",""))</f>
        <v/>
      </c>
      <c r="Z1172" s="52">
        <f>IF(P1172="","",WEEKDAY(B1172,2))</f>
        <v/>
      </c>
      <c r="AA1172" s="52">
        <f>IF(P1172="","",IF(AND(P1172="Gasto",X1172="Variable",D1172&lt;&gt;catTrading,S1172&gt;0,S1172&lt;=Umbral),1,0))</f>
        <v/>
      </c>
      <c r="AB1172" s="52">
        <f>IF(OR(P1172="",Q1172=""),"",IFERROR(IF(INDEX(ctaVinc,MATCH(Q1172,ctaNombre,0))&amp;""&lt;&gt;"",INDEX(ctaVinc,MATCH(Q1172,ctaNombre,0))&amp;"",Q1172),Q1172))</f>
        <v/>
      </c>
      <c r="AC1172" s="52">
        <f>IF(OR(K1172="",AND(P1172&lt;&gt;"Transferencia",P1172&lt;&gt;"Pago tarjeta")),"",IFERROR(IF(INDEX(ctaVinc,MATCH(K1172,ctaNombre,0))&amp;""&lt;&gt;"",INDEX(ctaVinc,MATCH(K1172,ctaNombre,0))&amp;"",K1172),K1172))</f>
        <v/>
      </c>
      <c r="AD1172" s="52">
        <f>IF(AB1172="","",IFERROR(INDEX(ctaTipo,MATCH(AB1172,ctaNombre,0))&amp;"",""))</f>
        <v/>
      </c>
      <c r="AE1172" s="52">
        <f>IF(AC1172="","",IFERROR(INDEX(ctaTipo,MATCH(AC1172,ctaNombre,0))&amp;"",""))</f>
        <v/>
      </c>
      <c r="AF1172" s="53">
        <f>IF(OR(P1172="",AB1172=""),"",IF(OR(P1172="Gasto",P1172="Transferencia",P1172="Pago tarjeta"),-1,1)*IF(IFERROR(INDEX(ctaMoneda,MATCH(AB1172,ctaNombre,0))&amp;"","DOP")="USD",T1172,S1172))</f>
        <v/>
      </c>
      <c r="AG1172" s="53">
        <f>IF(AC1172="","",IF(IFERROR(INDEX(ctaMoneda,MATCH(AC1172,ctaNombre,0))&amp;"","DOP")="USD",T1172,S1172))</f>
        <v/>
      </c>
      <c r="AH1172" s="53">
        <f>IF(P1172="","",IF(AND(AD1172&lt;&gt;"",COUNTIFS(tcTipo,AD1172,tcLiq,"Sí")&gt;0),IF(OR(P1172="Gasto",P1172="Transferencia",P1172="Pago tarjeta"),-1,1)*S1172,0)+IF(AND(AE1172&lt;&gt;"",COUNTIFS(tcTipo,AE1172,tcLiq,"Sí")&gt;0),S1172,0))</f>
        <v/>
      </c>
      <c r="AI1172" s="52">
        <f>IF(OR(L1172="",P1172=""),"",IF(COUNTIFS(L$6:L1172,L1172,P$6:P1172,"?*")=1,MAX(AI$5:AI1171)+1,""))</f>
        <v/>
      </c>
    </row>
    <row r="1173">
      <c r="B1173" s="47" t="n"/>
      <c r="C1173" s="48" t="n"/>
      <c r="D1173" s="48" t="n"/>
      <c r="E1173" s="48" t="n"/>
      <c r="F1173" s="48" t="n"/>
      <c r="G1173" s="49" t="n"/>
      <c r="H1173" s="48" t="n"/>
      <c r="I1173" s="50" t="n"/>
      <c r="J1173" s="48" t="n"/>
      <c r="K1173" s="48" t="n"/>
      <c r="L1173" s="48" t="n"/>
      <c r="M1173" s="48" t="n"/>
      <c r="N1173" s="48" t="n"/>
      <c r="O1173" s="51">
        <f>IF(AND(B1173="",G1173="",C1173="",D1173="",J1173=""),"",IF(B1173="","⚠ Falta fecha",IF(G1173="","⚠ Falta monto",IF(Q1173="","⚠ Falta cuenta",IF(ISNA(MATCH(Q1173,ctaNombre,0)),"⚠ Cuenta no registrada",IF(AND(OR(P1173="Gasto",P1173="Reembolso"),D1173=""),"⚠ Falta categoría",IF(AND(D1173&lt;&gt;"",E1173&lt;&gt;"",ISNA(MATCH(D1173&amp;"|"&amp;E1173,catClave,0))),"⚠ Subcategoría no corresponde",IF(AND(OR(P1173="Transferencia",P1173="Pago tarjeta"),K1173=""),"⚠ Falta cuenta destino",IF(AND(K1173&lt;&gt;"",P1173&lt;&gt;"Transferencia",P1173&lt;&gt;"Pago tarjeta"),"⚠ Destino solo aplica a transferencias",IF(AND(K1173&lt;&gt;"",K1173=Q1173),"⚠ Origen igual a destino",IF(AND(K1173&lt;&gt;"",ISNA(MATCH(K1173,ctaNombre,0))),"⚠ Destino no registrado",IF(AND(P1173="Pago tarjeta",AE1173&lt;&gt;"Tarjeta de crédito"),"⚠ El destino debe ser tarjeta de crédito",IF(AND(P1173="Gasto",E1173="Depósitos y retiros"),"⚠ Usa tipo Transferencia",IF(AND(P1173="Resultado trading",AD1173&lt;&gt;"Cuenta de trading"),"⚠ Usa una cuenta de trading",IF(AND(G1173&lt;=0,P1173&lt;&gt;"Ajuste",P1173&lt;&gt;"Resultado trading"),"⚠ El monto debe ser positivo","✓")))))))))))))))</f>
        <v/>
      </c>
      <c r="P1173" s="52">
        <f>IF(OR(B1173="",G1173=""),"",IF(C1173="","Gasto",C1173))</f>
        <v/>
      </c>
      <c r="Q1173" s="52">
        <f>IF(P1173="","",IF(J1173&lt;&gt;"",J1173,CuentaPred&amp;""))</f>
        <v/>
      </c>
      <c r="R1173" s="52">
        <f>IF(P1173="","",IF(ISNUMBER(I1173),I1173,TasaUSD))</f>
        <v/>
      </c>
      <c r="S1173" s="53">
        <f>IF(P1173="","",IF(H1173="USD",G1173*R1173,G1173))</f>
        <v/>
      </c>
      <c r="T1173" s="53">
        <f>IF(P1173="","",IF(H1173="USD",G1173,IF(R1173&gt;0,G1173/R1173,0)))</f>
        <v/>
      </c>
      <c r="U1173" s="53">
        <f>IF(P1173="","",IF(P1173="Gasto",S1173,IF(P1173="Reembolso",-S1173,0)))</f>
        <v/>
      </c>
      <c r="V1173" s="53">
        <f>IF(P1173="","",IF(P1173="Ingreso",S1173,0))</f>
        <v/>
      </c>
      <c r="W1173" s="53">
        <f>IF(P1173="","",IF(P1173="Resultado trading",S1173,0))</f>
        <v/>
      </c>
      <c r="X1173" s="52">
        <f>IF(OR(P1173="Gasto",P1173="Reembolso"),IF(M1173&lt;&gt;"",M1173,IFERROR(INDEX(catClasif,MATCH(D1173&amp;"|"&amp;E1173,catClave,0))&amp;"","Variable")),"")</f>
        <v/>
      </c>
      <c r="Y1173" s="52">
        <f>IF(P1173="","",IFERROR(INDEX(catGrupo,MATCH(D1173&amp;"|"&amp;E1173,catClave,0))&amp;"",""))</f>
        <v/>
      </c>
      <c r="Z1173" s="52">
        <f>IF(P1173="","",WEEKDAY(B1173,2))</f>
        <v/>
      </c>
      <c r="AA1173" s="52">
        <f>IF(P1173="","",IF(AND(P1173="Gasto",X1173="Variable",D1173&lt;&gt;catTrading,S1173&gt;0,S1173&lt;=Umbral),1,0))</f>
        <v/>
      </c>
      <c r="AB1173" s="52">
        <f>IF(OR(P1173="",Q1173=""),"",IFERROR(IF(INDEX(ctaVinc,MATCH(Q1173,ctaNombre,0))&amp;""&lt;&gt;"",INDEX(ctaVinc,MATCH(Q1173,ctaNombre,0))&amp;"",Q1173),Q1173))</f>
        <v/>
      </c>
      <c r="AC1173" s="52">
        <f>IF(OR(K1173="",AND(P1173&lt;&gt;"Transferencia",P1173&lt;&gt;"Pago tarjeta")),"",IFERROR(IF(INDEX(ctaVinc,MATCH(K1173,ctaNombre,0))&amp;""&lt;&gt;"",INDEX(ctaVinc,MATCH(K1173,ctaNombre,0))&amp;"",K1173),K1173))</f>
        <v/>
      </c>
      <c r="AD1173" s="52">
        <f>IF(AB1173="","",IFERROR(INDEX(ctaTipo,MATCH(AB1173,ctaNombre,0))&amp;"",""))</f>
        <v/>
      </c>
      <c r="AE1173" s="52">
        <f>IF(AC1173="","",IFERROR(INDEX(ctaTipo,MATCH(AC1173,ctaNombre,0))&amp;"",""))</f>
        <v/>
      </c>
      <c r="AF1173" s="53">
        <f>IF(OR(P1173="",AB1173=""),"",IF(OR(P1173="Gasto",P1173="Transferencia",P1173="Pago tarjeta"),-1,1)*IF(IFERROR(INDEX(ctaMoneda,MATCH(AB1173,ctaNombre,0))&amp;"","DOP")="USD",T1173,S1173))</f>
        <v/>
      </c>
      <c r="AG1173" s="53">
        <f>IF(AC1173="","",IF(IFERROR(INDEX(ctaMoneda,MATCH(AC1173,ctaNombre,0))&amp;"","DOP")="USD",T1173,S1173))</f>
        <v/>
      </c>
      <c r="AH1173" s="53">
        <f>IF(P1173="","",IF(AND(AD1173&lt;&gt;"",COUNTIFS(tcTipo,AD1173,tcLiq,"Sí")&gt;0),IF(OR(P1173="Gasto",P1173="Transferencia",P1173="Pago tarjeta"),-1,1)*S1173,0)+IF(AND(AE1173&lt;&gt;"",COUNTIFS(tcTipo,AE1173,tcLiq,"Sí")&gt;0),S1173,0))</f>
        <v/>
      </c>
      <c r="AI1173" s="52">
        <f>IF(OR(L1173="",P1173=""),"",IF(COUNTIFS(L$6:L1173,L1173,P$6:P1173,"?*")=1,MAX(AI$5:AI1172)+1,""))</f>
        <v/>
      </c>
    </row>
    <row r="1174">
      <c r="B1174" s="47" t="n"/>
      <c r="C1174" s="48" t="n"/>
      <c r="D1174" s="48" t="n"/>
      <c r="E1174" s="48" t="n"/>
      <c r="F1174" s="48" t="n"/>
      <c r="G1174" s="49" t="n"/>
      <c r="H1174" s="48" t="n"/>
      <c r="I1174" s="50" t="n"/>
      <c r="J1174" s="48" t="n"/>
      <c r="K1174" s="48" t="n"/>
      <c r="L1174" s="48" t="n"/>
      <c r="M1174" s="48" t="n"/>
      <c r="N1174" s="48" t="n"/>
      <c r="O1174" s="51">
        <f>IF(AND(B1174="",G1174="",C1174="",D1174="",J1174=""),"",IF(B1174="","⚠ Falta fecha",IF(G1174="","⚠ Falta monto",IF(Q1174="","⚠ Falta cuenta",IF(ISNA(MATCH(Q1174,ctaNombre,0)),"⚠ Cuenta no registrada",IF(AND(OR(P1174="Gasto",P1174="Reembolso"),D1174=""),"⚠ Falta categoría",IF(AND(D1174&lt;&gt;"",E1174&lt;&gt;"",ISNA(MATCH(D1174&amp;"|"&amp;E1174,catClave,0))),"⚠ Subcategoría no corresponde",IF(AND(OR(P1174="Transferencia",P1174="Pago tarjeta"),K1174=""),"⚠ Falta cuenta destino",IF(AND(K1174&lt;&gt;"",P1174&lt;&gt;"Transferencia",P1174&lt;&gt;"Pago tarjeta"),"⚠ Destino solo aplica a transferencias",IF(AND(K1174&lt;&gt;"",K1174=Q1174),"⚠ Origen igual a destino",IF(AND(K1174&lt;&gt;"",ISNA(MATCH(K1174,ctaNombre,0))),"⚠ Destino no registrado",IF(AND(P1174="Pago tarjeta",AE1174&lt;&gt;"Tarjeta de crédito"),"⚠ El destino debe ser tarjeta de crédito",IF(AND(P1174="Gasto",E1174="Depósitos y retiros"),"⚠ Usa tipo Transferencia",IF(AND(P1174="Resultado trading",AD1174&lt;&gt;"Cuenta de trading"),"⚠ Usa una cuenta de trading",IF(AND(G1174&lt;=0,P1174&lt;&gt;"Ajuste",P1174&lt;&gt;"Resultado trading"),"⚠ El monto debe ser positivo","✓")))))))))))))))</f>
        <v/>
      </c>
      <c r="P1174" s="52">
        <f>IF(OR(B1174="",G1174=""),"",IF(C1174="","Gasto",C1174))</f>
        <v/>
      </c>
      <c r="Q1174" s="52">
        <f>IF(P1174="","",IF(J1174&lt;&gt;"",J1174,CuentaPred&amp;""))</f>
        <v/>
      </c>
      <c r="R1174" s="52">
        <f>IF(P1174="","",IF(ISNUMBER(I1174),I1174,TasaUSD))</f>
        <v/>
      </c>
      <c r="S1174" s="53">
        <f>IF(P1174="","",IF(H1174="USD",G1174*R1174,G1174))</f>
        <v/>
      </c>
      <c r="T1174" s="53">
        <f>IF(P1174="","",IF(H1174="USD",G1174,IF(R1174&gt;0,G1174/R1174,0)))</f>
        <v/>
      </c>
      <c r="U1174" s="53">
        <f>IF(P1174="","",IF(P1174="Gasto",S1174,IF(P1174="Reembolso",-S1174,0)))</f>
        <v/>
      </c>
      <c r="V1174" s="53">
        <f>IF(P1174="","",IF(P1174="Ingreso",S1174,0))</f>
        <v/>
      </c>
      <c r="W1174" s="53">
        <f>IF(P1174="","",IF(P1174="Resultado trading",S1174,0))</f>
        <v/>
      </c>
      <c r="X1174" s="52">
        <f>IF(OR(P1174="Gasto",P1174="Reembolso"),IF(M1174&lt;&gt;"",M1174,IFERROR(INDEX(catClasif,MATCH(D1174&amp;"|"&amp;E1174,catClave,0))&amp;"","Variable")),"")</f>
        <v/>
      </c>
      <c r="Y1174" s="52">
        <f>IF(P1174="","",IFERROR(INDEX(catGrupo,MATCH(D1174&amp;"|"&amp;E1174,catClave,0))&amp;"",""))</f>
        <v/>
      </c>
      <c r="Z1174" s="52">
        <f>IF(P1174="","",WEEKDAY(B1174,2))</f>
        <v/>
      </c>
      <c r="AA1174" s="52">
        <f>IF(P1174="","",IF(AND(P1174="Gasto",X1174="Variable",D1174&lt;&gt;catTrading,S1174&gt;0,S1174&lt;=Umbral),1,0))</f>
        <v/>
      </c>
      <c r="AB1174" s="52">
        <f>IF(OR(P1174="",Q1174=""),"",IFERROR(IF(INDEX(ctaVinc,MATCH(Q1174,ctaNombre,0))&amp;""&lt;&gt;"",INDEX(ctaVinc,MATCH(Q1174,ctaNombre,0))&amp;"",Q1174),Q1174))</f>
        <v/>
      </c>
      <c r="AC1174" s="52">
        <f>IF(OR(K1174="",AND(P1174&lt;&gt;"Transferencia",P1174&lt;&gt;"Pago tarjeta")),"",IFERROR(IF(INDEX(ctaVinc,MATCH(K1174,ctaNombre,0))&amp;""&lt;&gt;"",INDEX(ctaVinc,MATCH(K1174,ctaNombre,0))&amp;"",K1174),K1174))</f>
        <v/>
      </c>
      <c r="AD1174" s="52">
        <f>IF(AB1174="","",IFERROR(INDEX(ctaTipo,MATCH(AB1174,ctaNombre,0))&amp;"",""))</f>
        <v/>
      </c>
      <c r="AE1174" s="52">
        <f>IF(AC1174="","",IFERROR(INDEX(ctaTipo,MATCH(AC1174,ctaNombre,0))&amp;"",""))</f>
        <v/>
      </c>
      <c r="AF1174" s="53">
        <f>IF(OR(P1174="",AB1174=""),"",IF(OR(P1174="Gasto",P1174="Transferencia",P1174="Pago tarjeta"),-1,1)*IF(IFERROR(INDEX(ctaMoneda,MATCH(AB1174,ctaNombre,0))&amp;"","DOP")="USD",T1174,S1174))</f>
        <v/>
      </c>
      <c r="AG1174" s="53">
        <f>IF(AC1174="","",IF(IFERROR(INDEX(ctaMoneda,MATCH(AC1174,ctaNombre,0))&amp;"","DOP")="USD",T1174,S1174))</f>
        <v/>
      </c>
      <c r="AH1174" s="53">
        <f>IF(P1174="","",IF(AND(AD1174&lt;&gt;"",COUNTIFS(tcTipo,AD1174,tcLiq,"Sí")&gt;0),IF(OR(P1174="Gasto",P1174="Transferencia",P1174="Pago tarjeta"),-1,1)*S1174,0)+IF(AND(AE1174&lt;&gt;"",COUNTIFS(tcTipo,AE1174,tcLiq,"Sí")&gt;0),S1174,0))</f>
        <v/>
      </c>
      <c r="AI1174" s="52">
        <f>IF(OR(L1174="",P1174=""),"",IF(COUNTIFS(L$6:L1174,L1174,P$6:P1174,"?*")=1,MAX(AI$5:AI1173)+1,""))</f>
        <v/>
      </c>
    </row>
    <row r="1175">
      <c r="B1175" s="47" t="n"/>
      <c r="C1175" s="48" t="n"/>
      <c r="D1175" s="48" t="n"/>
      <c r="E1175" s="48" t="n"/>
      <c r="F1175" s="48" t="n"/>
      <c r="G1175" s="49" t="n"/>
      <c r="H1175" s="48" t="n"/>
      <c r="I1175" s="50" t="n"/>
      <c r="J1175" s="48" t="n"/>
      <c r="K1175" s="48" t="n"/>
      <c r="L1175" s="48" t="n"/>
      <c r="M1175" s="48" t="n"/>
      <c r="N1175" s="48" t="n"/>
      <c r="O1175" s="51">
        <f>IF(AND(B1175="",G1175="",C1175="",D1175="",J1175=""),"",IF(B1175="","⚠ Falta fecha",IF(G1175="","⚠ Falta monto",IF(Q1175="","⚠ Falta cuenta",IF(ISNA(MATCH(Q1175,ctaNombre,0)),"⚠ Cuenta no registrada",IF(AND(OR(P1175="Gasto",P1175="Reembolso"),D1175=""),"⚠ Falta categoría",IF(AND(D1175&lt;&gt;"",E1175&lt;&gt;"",ISNA(MATCH(D1175&amp;"|"&amp;E1175,catClave,0))),"⚠ Subcategoría no corresponde",IF(AND(OR(P1175="Transferencia",P1175="Pago tarjeta"),K1175=""),"⚠ Falta cuenta destino",IF(AND(K1175&lt;&gt;"",P1175&lt;&gt;"Transferencia",P1175&lt;&gt;"Pago tarjeta"),"⚠ Destino solo aplica a transferencias",IF(AND(K1175&lt;&gt;"",K1175=Q1175),"⚠ Origen igual a destino",IF(AND(K1175&lt;&gt;"",ISNA(MATCH(K1175,ctaNombre,0))),"⚠ Destino no registrado",IF(AND(P1175="Pago tarjeta",AE1175&lt;&gt;"Tarjeta de crédito"),"⚠ El destino debe ser tarjeta de crédito",IF(AND(P1175="Gasto",E1175="Depósitos y retiros"),"⚠ Usa tipo Transferencia",IF(AND(P1175="Resultado trading",AD1175&lt;&gt;"Cuenta de trading"),"⚠ Usa una cuenta de trading",IF(AND(G1175&lt;=0,P1175&lt;&gt;"Ajuste",P1175&lt;&gt;"Resultado trading"),"⚠ El monto debe ser positivo","✓")))))))))))))))</f>
        <v/>
      </c>
      <c r="P1175" s="52">
        <f>IF(OR(B1175="",G1175=""),"",IF(C1175="","Gasto",C1175))</f>
        <v/>
      </c>
      <c r="Q1175" s="52">
        <f>IF(P1175="","",IF(J1175&lt;&gt;"",J1175,CuentaPred&amp;""))</f>
        <v/>
      </c>
      <c r="R1175" s="52">
        <f>IF(P1175="","",IF(ISNUMBER(I1175),I1175,TasaUSD))</f>
        <v/>
      </c>
      <c r="S1175" s="53">
        <f>IF(P1175="","",IF(H1175="USD",G1175*R1175,G1175))</f>
        <v/>
      </c>
      <c r="T1175" s="53">
        <f>IF(P1175="","",IF(H1175="USD",G1175,IF(R1175&gt;0,G1175/R1175,0)))</f>
        <v/>
      </c>
      <c r="U1175" s="53">
        <f>IF(P1175="","",IF(P1175="Gasto",S1175,IF(P1175="Reembolso",-S1175,0)))</f>
        <v/>
      </c>
      <c r="V1175" s="53">
        <f>IF(P1175="","",IF(P1175="Ingreso",S1175,0))</f>
        <v/>
      </c>
      <c r="W1175" s="53">
        <f>IF(P1175="","",IF(P1175="Resultado trading",S1175,0))</f>
        <v/>
      </c>
      <c r="X1175" s="52">
        <f>IF(OR(P1175="Gasto",P1175="Reembolso"),IF(M1175&lt;&gt;"",M1175,IFERROR(INDEX(catClasif,MATCH(D1175&amp;"|"&amp;E1175,catClave,0))&amp;"","Variable")),"")</f>
        <v/>
      </c>
      <c r="Y1175" s="52">
        <f>IF(P1175="","",IFERROR(INDEX(catGrupo,MATCH(D1175&amp;"|"&amp;E1175,catClave,0))&amp;"",""))</f>
        <v/>
      </c>
      <c r="Z1175" s="52">
        <f>IF(P1175="","",WEEKDAY(B1175,2))</f>
        <v/>
      </c>
      <c r="AA1175" s="52">
        <f>IF(P1175="","",IF(AND(P1175="Gasto",X1175="Variable",D1175&lt;&gt;catTrading,S1175&gt;0,S1175&lt;=Umbral),1,0))</f>
        <v/>
      </c>
      <c r="AB1175" s="52">
        <f>IF(OR(P1175="",Q1175=""),"",IFERROR(IF(INDEX(ctaVinc,MATCH(Q1175,ctaNombre,0))&amp;""&lt;&gt;"",INDEX(ctaVinc,MATCH(Q1175,ctaNombre,0))&amp;"",Q1175),Q1175))</f>
        <v/>
      </c>
      <c r="AC1175" s="52">
        <f>IF(OR(K1175="",AND(P1175&lt;&gt;"Transferencia",P1175&lt;&gt;"Pago tarjeta")),"",IFERROR(IF(INDEX(ctaVinc,MATCH(K1175,ctaNombre,0))&amp;""&lt;&gt;"",INDEX(ctaVinc,MATCH(K1175,ctaNombre,0))&amp;"",K1175),K1175))</f>
        <v/>
      </c>
      <c r="AD1175" s="52">
        <f>IF(AB1175="","",IFERROR(INDEX(ctaTipo,MATCH(AB1175,ctaNombre,0))&amp;"",""))</f>
        <v/>
      </c>
      <c r="AE1175" s="52">
        <f>IF(AC1175="","",IFERROR(INDEX(ctaTipo,MATCH(AC1175,ctaNombre,0))&amp;"",""))</f>
        <v/>
      </c>
      <c r="AF1175" s="53">
        <f>IF(OR(P1175="",AB1175=""),"",IF(OR(P1175="Gasto",P1175="Transferencia",P1175="Pago tarjeta"),-1,1)*IF(IFERROR(INDEX(ctaMoneda,MATCH(AB1175,ctaNombre,0))&amp;"","DOP")="USD",T1175,S1175))</f>
        <v/>
      </c>
      <c r="AG1175" s="53">
        <f>IF(AC1175="","",IF(IFERROR(INDEX(ctaMoneda,MATCH(AC1175,ctaNombre,0))&amp;"","DOP")="USD",T1175,S1175))</f>
        <v/>
      </c>
      <c r="AH1175" s="53">
        <f>IF(P1175="","",IF(AND(AD1175&lt;&gt;"",COUNTIFS(tcTipo,AD1175,tcLiq,"Sí")&gt;0),IF(OR(P1175="Gasto",P1175="Transferencia",P1175="Pago tarjeta"),-1,1)*S1175,0)+IF(AND(AE1175&lt;&gt;"",COUNTIFS(tcTipo,AE1175,tcLiq,"Sí")&gt;0),S1175,0))</f>
        <v/>
      </c>
      <c r="AI1175" s="52">
        <f>IF(OR(L1175="",P1175=""),"",IF(COUNTIFS(L$6:L1175,L1175,P$6:P1175,"?*")=1,MAX(AI$5:AI1174)+1,""))</f>
        <v/>
      </c>
    </row>
    <row r="1176">
      <c r="B1176" s="47" t="n"/>
      <c r="C1176" s="48" t="n"/>
      <c r="D1176" s="48" t="n"/>
      <c r="E1176" s="48" t="n"/>
      <c r="F1176" s="48" t="n"/>
      <c r="G1176" s="49" t="n"/>
      <c r="H1176" s="48" t="n"/>
      <c r="I1176" s="50" t="n"/>
      <c r="J1176" s="48" t="n"/>
      <c r="K1176" s="48" t="n"/>
      <c r="L1176" s="48" t="n"/>
      <c r="M1176" s="48" t="n"/>
      <c r="N1176" s="48" t="n"/>
      <c r="O1176" s="51">
        <f>IF(AND(B1176="",G1176="",C1176="",D1176="",J1176=""),"",IF(B1176="","⚠ Falta fecha",IF(G1176="","⚠ Falta monto",IF(Q1176="","⚠ Falta cuenta",IF(ISNA(MATCH(Q1176,ctaNombre,0)),"⚠ Cuenta no registrada",IF(AND(OR(P1176="Gasto",P1176="Reembolso"),D1176=""),"⚠ Falta categoría",IF(AND(D1176&lt;&gt;"",E1176&lt;&gt;"",ISNA(MATCH(D1176&amp;"|"&amp;E1176,catClave,0))),"⚠ Subcategoría no corresponde",IF(AND(OR(P1176="Transferencia",P1176="Pago tarjeta"),K1176=""),"⚠ Falta cuenta destino",IF(AND(K1176&lt;&gt;"",P1176&lt;&gt;"Transferencia",P1176&lt;&gt;"Pago tarjeta"),"⚠ Destino solo aplica a transferencias",IF(AND(K1176&lt;&gt;"",K1176=Q1176),"⚠ Origen igual a destino",IF(AND(K1176&lt;&gt;"",ISNA(MATCH(K1176,ctaNombre,0))),"⚠ Destino no registrado",IF(AND(P1176="Pago tarjeta",AE1176&lt;&gt;"Tarjeta de crédito"),"⚠ El destino debe ser tarjeta de crédito",IF(AND(P1176="Gasto",E1176="Depósitos y retiros"),"⚠ Usa tipo Transferencia",IF(AND(P1176="Resultado trading",AD1176&lt;&gt;"Cuenta de trading"),"⚠ Usa una cuenta de trading",IF(AND(G1176&lt;=0,P1176&lt;&gt;"Ajuste",P1176&lt;&gt;"Resultado trading"),"⚠ El monto debe ser positivo","✓")))))))))))))))</f>
        <v/>
      </c>
      <c r="P1176" s="52">
        <f>IF(OR(B1176="",G1176=""),"",IF(C1176="","Gasto",C1176))</f>
        <v/>
      </c>
      <c r="Q1176" s="52">
        <f>IF(P1176="","",IF(J1176&lt;&gt;"",J1176,CuentaPred&amp;""))</f>
        <v/>
      </c>
      <c r="R1176" s="52">
        <f>IF(P1176="","",IF(ISNUMBER(I1176),I1176,TasaUSD))</f>
        <v/>
      </c>
      <c r="S1176" s="53">
        <f>IF(P1176="","",IF(H1176="USD",G1176*R1176,G1176))</f>
        <v/>
      </c>
      <c r="T1176" s="53">
        <f>IF(P1176="","",IF(H1176="USD",G1176,IF(R1176&gt;0,G1176/R1176,0)))</f>
        <v/>
      </c>
      <c r="U1176" s="53">
        <f>IF(P1176="","",IF(P1176="Gasto",S1176,IF(P1176="Reembolso",-S1176,0)))</f>
        <v/>
      </c>
      <c r="V1176" s="53">
        <f>IF(P1176="","",IF(P1176="Ingreso",S1176,0))</f>
        <v/>
      </c>
      <c r="W1176" s="53">
        <f>IF(P1176="","",IF(P1176="Resultado trading",S1176,0))</f>
        <v/>
      </c>
      <c r="X1176" s="52">
        <f>IF(OR(P1176="Gasto",P1176="Reembolso"),IF(M1176&lt;&gt;"",M1176,IFERROR(INDEX(catClasif,MATCH(D1176&amp;"|"&amp;E1176,catClave,0))&amp;"","Variable")),"")</f>
        <v/>
      </c>
      <c r="Y1176" s="52">
        <f>IF(P1176="","",IFERROR(INDEX(catGrupo,MATCH(D1176&amp;"|"&amp;E1176,catClave,0))&amp;"",""))</f>
        <v/>
      </c>
      <c r="Z1176" s="52">
        <f>IF(P1176="","",WEEKDAY(B1176,2))</f>
        <v/>
      </c>
      <c r="AA1176" s="52">
        <f>IF(P1176="","",IF(AND(P1176="Gasto",X1176="Variable",D1176&lt;&gt;catTrading,S1176&gt;0,S1176&lt;=Umbral),1,0))</f>
        <v/>
      </c>
      <c r="AB1176" s="52">
        <f>IF(OR(P1176="",Q1176=""),"",IFERROR(IF(INDEX(ctaVinc,MATCH(Q1176,ctaNombre,0))&amp;""&lt;&gt;"",INDEX(ctaVinc,MATCH(Q1176,ctaNombre,0))&amp;"",Q1176),Q1176))</f>
        <v/>
      </c>
      <c r="AC1176" s="52">
        <f>IF(OR(K1176="",AND(P1176&lt;&gt;"Transferencia",P1176&lt;&gt;"Pago tarjeta")),"",IFERROR(IF(INDEX(ctaVinc,MATCH(K1176,ctaNombre,0))&amp;""&lt;&gt;"",INDEX(ctaVinc,MATCH(K1176,ctaNombre,0))&amp;"",K1176),K1176))</f>
        <v/>
      </c>
      <c r="AD1176" s="52">
        <f>IF(AB1176="","",IFERROR(INDEX(ctaTipo,MATCH(AB1176,ctaNombre,0))&amp;"",""))</f>
        <v/>
      </c>
      <c r="AE1176" s="52">
        <f>IF(AC1176="","",IFERROR(INDEX(ctaTipo,MATCH(AC1176,ctaNombre,0))&amp;"",""))</f>
        <v/>
      </c>
      <c r="AF1176" s="53">
        <f>IF(OR(P1176="",AB1176=""),"",IF(OR(P1176="Gasto",P1176="Transferencia",P1176="Pago tarjeta"),-1,1)*IF(IFERROR(INDEX(ctaMoneda,MATCH(AB1176,ctaNombre,0))&amp;"","DOP")="USD",T1176,S1176))</f>
        <v/>
      </c>
      <c r="AG1176" s="53">
        <f>IF(AC1176="","",IF(IFERROR(INDEX(ctaMoneda,MATCH(AC1176,ctaNombre,0))&amp;"","DOP")="USD",T1176,S1176))</f>
        <v/>
      </c>
      <c r="AH1176" s="53">
        <f>IF(P1176="","",IF(AND(AD1176&lt;&gt;"",COUNTIFS(tcTipo,AD1176,tcLiq,"Sí")&gt;0),IF(OR(P1176="Gasto",P1176="Transferencia",P1176="Pago tarjeta"),-1,1)*S1176,0)+IF(AND(AE1176&lt;&gt;"",COUNTIFS(tcTipo,AE1176,tcLiq,"Sí")&gt;0),S1176,0))</f>
        <v/>
      </c>
      <c r="AI1176" s="52">
        <f>IF(OR(L1176="",P1176=""),"",IF(COUNTIFS(L$6:L1176,L1176,P$6:P1176,"?*")=1,MAX(AI$5:AI1175)+1,""))</f>
        <v/>
      </c>
    </row>
    <row r="1177">
      <c r="B1177" s="47" t="n"/>
      <c r="C1177" s="48" t="n"/>
      <c r="D1177" s="48" t="n"/>
      <c r="E1177" s="48" t="n"/>
      <c r="F1177" s="48" t="n"/>
      <c r="G1177" s="49" t="n"/>
      <c r="H1177" s="48" t="n"/>
      <c r="I1177" s="50" t="n"/>
      <c r="J1177" s="48" t="n"/>
      <c r="K1177" s="48" t="n"/>
      <c r="L1177" s="48" t="n"/>
      <c r="M1177" s="48" t="n"/>
      <c r="N1177" s="48" t="n"/>
      <c r="O1177" s="51">
        <f>IF(AND(B1177="",G1177="",C1177="",D1177="",J1177=""),"",IF(B1177="","⚠ Falta fecha",IF(G1177="","⚠ Falta monto",IF(Q1177="","⚠ Falta cuenta",IF(ISNA(MATCH(Q1177,ctaNombre,0)),"⚠ Cuenta no registrada",IF(AND(OR(P1177="Gasto",P1177="Reembolso"),D1177=""),"⚠ Falta categoría",IF(AND(D1177&lt;&gt;"",E1177&lt;&gt;"",ISNA(MATCH(D1177&amp;"|"&amp;E1177,catClave,0))),"⚠ Subcategoría no corresponde",IF(AND(OR(P1177="Transferencia",P1177="Pago tarjeta"),K1177=""),"⚠ Falta cuenta destino",IF(AND(K1177&lt;&gt;"",P1177&lt;&gt;"Transferencia",P1177&lt;&gt;"Pago tarjeta"),"⚠ Destino solo aplica a transferencias",IF(AND(K1177&lt;&gt;"",K1177=Q1177),"⚠ Origen igual a destino",IF(AND(K1177&lt;&gt;"",ISNA(MATCH(K1177,ctaNombre,0))),"⚠ Destino no registrado",IF(AND(P1177="Pago tarjeta",AE1177&lt;&gt;"Tarjeta de crédito"),"⚠ El destino debe ser tarjeta de crédito",IF(AND(P1177="Gasto",E1177="Depósitos y retiros"),"⚠ Usa tipo Transferencia",IF(AND(P1177="Resultado trading",AD1177&lt;&gt;"Cuenta de trading"),"⚠ Usa una cuenta de trading",IF(AND(G1177&lt;=0,P1177&lt;&gt;"Ajuste",P1177&lt;&gt;"Resultado trading"),"⚠ El monto debe ser positivo","✓")))))))))))))))</f>
        <v/>
      </c>
      <c r="P1177" s="52">
        <f>IF(OR(B1177="",G1177=""),"",IF(C1177="","Gasto",C1177))</f>
        <v/>
      </c>
      <c r="Q1177" s="52">
        <f>IF(P1177="","",IF(J1177&lt;&gt;"",J1177,CuentaPred&amp;""))</f>
        <v/>
      </c>
      <c r="R1177" s="52">
        <f>IF(P1177="","",IF(ISNUMBER(I1177),I1177,TasaUSD))</f>
        <v/>
      </c>
      <c r="S1177" s="53">
        <f>IF(P1177="","",IF(H1177="USD",G1177*R1177,G1177))</f>
        <v/>
      </c>
      <c r="T1177" s="53">
        <f>IF(P1177="","",IF(H1177="USD",G1177,IF(R1177&gt;0,G1177/R1177,0)))</f>
        <v/>
      </c>
      <c r="U1177" s="53">
        <f>IF(P1177="","",IF(P1177="Gasto",S1177,IF(P1177="Reembolso",-S1177,0)))</f>
        <v/>
      </c>
      <c r="V1177" s="53">
        <f>IF(P1177="","",IF(P1177="Ingreso",S1177,0))</f>
        <v/>
      </c>
      <c r="W1177" s="53">
        <f>IF(P1177="","",IF(P1177="Resultado trading",S1177,0))</f>
        <v/>
      </c>
      <c r="X1177" s="52">
        <f>IF(OR(P1177="Gasto",P1177="Reembolso"),IF(M1177&lt;&gt;"",M1177,IFERROR(INDEX(catClasif,MATCH(D1177&amp;"|"&amp;E1177,catClave,0))&amp;"","Variable")),"")</f>
        <v/>
      </c>
      <c r="Y1177" s="52">
        <f>IF(P1177="","",IFERROR(INDEX(catGrupo,MATCH(D1177&amp;"|"&amp;E1177,catClave,0))&amp;"",""))</f>
        <v/>
      </c>
      <c r="Z1177" s="52">
        <f>IF(P1177="","",WEEKDAY(B1177,2))</f>
        <v/>
      </c>
      <c r="AA1177" s="52">
        <f>IF(P1177="","",IF(AND(P1177="Gasto",X1177="Variable",D1177&lt;&gt;catTrading,S1177&gt;0,S1177&lt;=Umbral),1,0))</f>
        <v/>
      </c>
      <c r="AB1177" s="52">
        <f>IF(OR(P1177="",Q1177=""),"",IFERROR(IF(INDEX(ctaVinc,MATCH(Q1177,ctaNombre,0))&amp;""&lt;&gt;"",INDEX(ctaVinc,MATCH(Q1177,ctaNombre,0))&amp;"",Q1177),Q1177))</f>
        <v/>
      </c>
      <c r="AC1177" s="52">
        <f>IF(OR(K1177="",AND(P1177&lt;&gt;"Transferencia",P1177&lt;&gt;"Pago tarjeta")),"",IFERROR(IF(INDEX(ctaVinc,MATCH(K1177,ctaNombre,0))&amp;""&lt;&gt;"",INDEX(ctaVinc,MATCH(K1177,ctaNombre,0))&amp;"",K1177),K1177))</f>
        <v/>
      </c>
      <c r="AD1177" s="52">
        <f>IF(AB1177="","",IFERROR(INDEX(ctaTipo,MATCH(AB1177,ctaNombre,0))&amp;"",""))</f>
        <v/>
      </c>
      <c r="AE1177" s="52">
        <f>IF(AC1177="","",IFERROR(INDEX(ctaTipo,MATCH(AC1177,ctaNombre,0))&amp;"",""))</f>
        <v/>
      </c>
      <c r="AF1177" s="53">
        <f>IF(OR(P1177="",AB1177=""),"",IF(OR(P1177="Gasto",P1177="Transferencia",P1177="Pago tarjeta"),-1,1)*IF(IFERROR(INDEX(ctaMoneda,MATCH(AB1177,ctaNombre,0))&amp;"","DOP")="USD",T1177,S1177))</f>
        <v/>
      </c>
      <c r="AG1177" s="53">
        <f>IF(AC1177="","",IF(IFERROR(INDEX(ctaMoneda,MATCH(AC1177,ctaNombre,0))&amp;"","DOP")="USD",T1177,S1177))</f>
        <v/>
      </c>
      <c r="AH1177" s="53">
        <f>IF(P1177="","",IF(AND(AD1177&lt;&gt;"",COUNTIFS(tcTipo,AD1177,tcLiq,"Sí")&gt;0),IF(OR(P1177="Gasto",P1177="Transferencia",P1177="Pago tarjeta"),-1,1)*S1177,0)+IF(AND(AE1177&lt;&gt;"",COUNTIFS(tcTipo,AE1177,tcLiq,"Sí")&gt;0),S1177,0))</f>
        <v/>
      </c>
      <c r="AI1177" s="52">
        <f>IF(OR(L1177="",P1177=""),"",IF(COUNTIFS(L$6:L1177,L1177,P$6:P1177,"?*")=1,MAX(AI$5:AI1176)+1,""))</f>
        <v/>
      </c>
    </row>
    <row r="1178">
      <c r="B1178" s="47" t="n"/>
      <c r="C1178" s="48" t="n"/>
      <c r="D1178" s="48" t="n"/>
      <c r="E1178" s="48" t="n"/>
      <c r="F1178" s="48" t="n"/>
      <c r="G1178" s="49" t="n"/>
      <c r="H1178" s="48" t="n"/>
      <c r="I1178" s="50" t="n"/>
      <c r="J1178" s="48" t="n"/>
      <c r="K1178" s="48" t="n"/>
      <c r="L1178" s="48" t="n"/>
      <c r="M1178" s="48" t="n"/>
      <c r="N1178" s="48" t="n"/>
      <c r="O1178" s="51">
        <f>IF(AND(B1178="",G1178="",C1178="",D1178="",J1178=""),"",IF(B1178="","⚠ Falta fecha",IF(G1178="","⚠ Falta monto",IF(Q1178="","⚠ Falta cuenta",IF(ISNA(MATCH(Q1178,ctaNombre,0)),"⚠ Cuenta no registrada",IF(AND(OR(P1178="Gasto",P1178="Reembolso"),D1178=""),"⚠ Falta categoría",IF(AND(D1178&lt;&gt;"",E1178&lt;&gt;"",ISNA(MATCH(D1178&amp;"|"&amp;E1178,catClave,0))),"⚠ Subcategoría no corresponde",IF(AND(OR(P1178="Transferencia",P1178="Pago tarjeta"),K1178=""),"⚠ Falta cuenta destino",IF(AND(K1178&lt;&gt;"",P1178&lt;&gt;"Transferencia",P1178&lt;&gt;"Pago tarjeta"),"⚠ Destino solo aplica a transferencias",IF(AND(K1178&lt;&gt;"",K1178=Q1178),"⚠ Origen igual a destino",IF(AND(K1178&lt;&gt;"",ISNA(MATCH(K1178,ctaNombre,0))),"⚠ Destino no registrado",IF(AND(P1178="Pago tarjeta",AE1178&lt;&gt;"Tarjeta de crédito"),"⚠ El destino debe ser tarjeta de crédito",IF(AND(P1178="Gasto",E1178="Depósitos y retiros"),"⚠ Usa tipo Transferencia",IF(AND(P1178="Resultado trading",AD1178&lt;&gt;"Cuenta de trading"),"⚠ Usa una cuenta de trading",IF(AND(G1178&lt;=0,P1178&lt;&gt;"Ajuste",P1178&lt;&gt;"Resultado trading"),"⚠ El monto debe ser positivo","✓")))))))))))))))</f>
        <v/>
      </c>
      <c r="P1178" s="52">
        <f>IF(OR(B1178="",G1178=""),"",IF(C1178="","Gasto",C1178))</f>
        <v/>
      </c>
      <c r="Q1178" s="52">
        <f>IF(P1178="","",IF(J1178&lt;&gt;"",J1178,CuentaPred&amp;""))</f>
        <v/>
      </c>
      <c r="R1178" s="52">
        <f>IF(P1178="","",IF(ISNUMBER(I1178),I1178,TasaUSD))</f>
        <v/>
      </c>
      <c r="S1178" s="53">
        <f>IF(P1178="","",IF(H1178="USD",G1178*R1178,G1178))</f>
        <v/>
      </c>
      <c r="T1178" s="53">
        <f>IF(P1178="","",IF(H1178="USD",G1178,IF(R1178&gt;0,G1178/R1178,0)))</f>
        <v/>
      </c>
      <c r="U1178" s="53">
        <f>IF(P1178="","",IF(P1178="Gasto",S1178,IF(P1178="Reembolso",-S1178,0)))</f>
        <v/>
      </c>
      <c r="V1178" s="53">
        <f>IF(P1178="","",IF(P1178="Ingreso",S1178,0))</f>
        <v/>
      </c>
      <c r="W1178" s="53">
        <f>IF(P1178="","",IF(P1178="Resultado trading",S1178,0))</f>
        <v/>
      </c>
      <c r="X1178" s="52">
        <f>IF(OR(P1178="Gasto",P1178="Reembolso"),IF(M1178&lt;&gt;"",M1178,IFERROR(INDEX(catClasif,MATCH(D1178&amp;"|"&amp;E1178,catClave,0))&amp;"","Variable")),"")</f>
        <v/>
      </c>
      <c r="Y1178" s="52">
        <f>IF(P1178="","",IFERROR(INDEX(catGrupo,MATCH(D1178&amp;"|"&amp;E1178,catClave,0))&amp;"",""))</f>
        <v/>
      </c>
      <c r="Z1178" s="52">
        <f>IF(P1178="","",WEEKDAY(B1178,2))</f>
        <v/>
      </c>
      <c r="AA1178" s="52">
        <f>IF(P1178="","",IF(AND(P1178="Gasto",X1178="Variable",D1178&lt;&gt;catTrading,S1178&gt;0,S1178&lt;=Umbral),1,0))</f>
        <v/>
      </c>
      <c r="AB1178" s="52">
        <f>IF(OR(P1178="",Q1178=""),"",IFERROR(IF(INDEX(ctaVinc,MATCH(Q1178,ctaNombre,0))&amp;""&lt;&gt;"",INDEX(ctaVinc,MATCH(Q1178,ctaNombre,0))&amp;"",Q1178),Q1178))</f>
        <v/>
      </c>
      <c r="AC1178" s="52">
        <f>IF(OR(K1178="",AND(P1178&lt;&gt;"Transferencia",P1178&lt;&gt;"Pago tarjeta")),"",IFERROR(IF(INDEX(ctaVinc,MATCH(K1178,ctaNombre,0))&amp;""&lt;&gt;"",INDEX(ctaVinc,MATCH(K1178,ctaNombre,0))&amp;"",K1178),K1178))</f>
        <v/>
      </c>
      <c r="AD1178" s="52">
        <f>IF(AB1178="","",IFERROR(INDEX(ctaTipo,MATCH(AB1178,ctaNombre,0))&amp;"",""))</f>
        <v/>
      </c>
      <c r="AE1178" s="52">
        <f>IF(AC1178="","",IFERROR(INDEX(ctaTipo,MATCH(AC1178,ctaNombre,0))&amp;"",""))</f>
        <v/>
      </c>
      <c r="AF1178" s="53">
        <f>IF(OR(P1178="",AB1178=""),"",IF(OR(P1178="Gasto",P1178="Transferencia",P1178="Pago tarjeta"),-1,1)*IF(IFERROR(INDEX(ctaMoneda,MATCH(AB1178,ctaNombre,0))&amp;"","DOP")="USD",T1178,S1178))</f>
        <v/>
      </c>
      <c r="AG1178" s="53">
        <f>IF(AC1178="","",IF(IFERROR(INDEX(ctaMoneda,MATCH(AC1178,ctaNombre,0))&amp;"","DOP")="USD",T1178,S1178))</f>
        <v/>
      </c>
      <c r="AH1178" s="53">
        <f>IF(P1178="","",IF(AND(AD1178&lt;&gt;"",COUNTIFS(tcTipo,AD1178,tcLiq,"Sí")&gt;0),IF(OR(P1178="Gasto",P1178="Transferencia",P1178="Pago tarjeta"),-1,1)*S1178,0)+IF(AND(AE1178&lt;&gt;"",COUNTIFS(tcTipo,AE1178,tcLiq,"Sí")&gt;0),S1178,0))</f>
        <v/>
      </c>
      <c r="AI1178" s="52">
        <f>IF(OR(L1178="",P1178=""),"",IF(COUNTIFS(L$6:L1178,L1178,P$6:P1178,"?*")=1,MAX(AI$5:AI1177)+1,""))</f>
        <v/>
      </c>
    </row>
    <row r="1179">
      <c r="B1179" s="47" t="n"/>
      <c r="C1179" s="48" t="n"/>
      <c r="D1179" s="48" t="n"/>
      <c r="E1179" s="48" t="n"/>
      <c r="F1179" s="48" t="n"/>
      <c r="G1179" s="49" t="n"/>
      <c r="H1179" s="48" t="n"/>
      <c r="I1179" s="50" t="n"/>
      <c r="J1179" s="48" t="n"/>
      <c r="K1179" s="48" t="n"/>
      <c r="L1179" s="48" t="n"/>
      <c r="M1179" s="48" t="n"/>
      <c r="N1179" s="48" t="n"/>
      <c r="O1179" s="51">
        <f>IF(AND(B1179="",G1179="",C1179="",D1179="",J1179=""),"",IF(B1179="","⚠ Falta fecha",IF(G1179="","⚠ Falta monto",IF(Q1179="","⚠ Falta cuenta",IF(ISNA(MATCH(Q1179,ctaNombre,0)),"⚠ Cuenta no registrada",IF(AND(OR(P1179="Gasto",P1179="Reembolso"),D1179=""),"⚠ Falta categoría",IF(AND(D1179&lt;&gt;"",E1179&lt;&gt;"",ISNA(MATCH(D1179&amp;"|"&amp;E1179,catClave,0))),"⚠ Subcategoría no corresponde",IF(AND(OR(P1179="Transferencia",P1179="Pago tarjeta"),K1179=""),"⚠ Falta cuenta destino",IF(AND(K1179&lt;&gt;"",P1179&lt;&gt;"Transferencia",P1179&lt;&gt;"Pago tarjeta"),"⚠ Destino solo aplica a transferencias",IF(AND(K1179&lt;&gt;"",K1179=Q1179),"⚠ Origen igual a destino",IF(AND(K1179&lt;&gt;"",ISNA(MATCH(K1179,ctaNombre,0))),"⚠ Destino no registrado",IF(AND(P1179="Pago tarjeta",AE1179&lt;&gt;"Tarjeta de crédito"),"⚠ El destino debe ser tarjeta de crédito",IF(AND(P1179="Gasto",E1179="Depósitos y retiros"),"⚠ Usa tipo Transferencia",IF(AND(P1179="Resultado trading",AD1179&lt;&gt;"Cuenta de trading"),"⚠ Usa una cuenta de trading",IF(AND(G1179&lt;=0,P1179&lt;&gt;"Ajuste",P1179&lt;&gt;"Resultado trading"),"⚠ El monto debe ser positivo","✓")))))))))))))))</f>
        <v/>
      </c>
      <c r="P1179" s="52">
        <f>IF(OR(B1179="",G1179=""),"",IF(C1179="","Gasto",C1179))</f>
        <v/>
      </c>
      <c r="Q1179" s="52">
        <f>IF(P1179="","",IF(J1179&lt;&gt;"",J1179,CuentaPred&amp;""))</f>
        <v/>
      </c>
      <c r="R1179" s="52">
        <f>IF(P1179="","",IF(ISNUMBER(I1179),I1179,TasaUSD))</f>
        <v/>
      </c>
      <c r="S1179" s="53">
        <f>IF(P1179="","",IF(H1179="USD",G1179*R1179,G1179))</f>
        <v/>
      </c>
      <c r="T1179" s="53">
        <f>IF(P1179="","",IF(H1179="USD",G1179,IF(R1179&gt;0,G1179/R1179,0)))</f>
        <v/>
      </c>
      <c r="U1179" s="53">
        <f>IF(P1179="","",IF(P1179="Gasto",S1179,IF(P1179="Reembolso",-S1179,0)))</f>
        <v/>
      </c>
      <c r="V1179" s="53">
        <f>IF(P1179="","",IF(P1179="Ingreso",S1179,0))</f>
        <v/>
      </c>
      <c r="W1179" s="53">
        <f>IF(P1179="","",IF(P1179="Resultado trading",S1179,0))</f>
        <v/>
      </c>
      <c r="X1179" s="52">
        <f>IF(OR(P1179="Gasto",P1179="Reembolso"),IF(M1179&lt;&gt;"",M1179,IFERROR(INDEX(catClasif,MATCH(D1179&amp;"|"&amp;E1179,catClave,0))&amp;"","Variable")),"")</f>
        <v/>
      </c>
      <c r="Y1179" s="52">
        <f>IF(P1179="","",IFERROR(INDEX(catGrupo,MATCH(D1179&amp;"|"&amp;E1179,catClave,0))&amp;"",""))</f>
        <v/>
      </c>
      <c r="Z1179" s="52">
        <f>IF(P1179="","",WEEKDAY(B1179,2))</f>
        <v/>
      </c>
      <c r="AA1179" s="52">
        <f>IF(P1179="","",IF(AND(P1179="Gasto",X1179="Variable",D1179&lt;&gt;catTrading,S1179&gt;0,S1179&lt;=Umbral),1,0))</f>
        <v/>
      </c>
      <c r="AB1179" s="52">
        <f>IF(OR(P1179="",Q1179=""),"",IFERROR(IF(INDEX(ctaVinc,MATCH(Q1179,ctaNombre,0))&amp;""&lt;&gt;"",INDEX(ctaVinc,MATCH(Q1179,ctaNombre,0))&amp;"",Q1179),Q1179))</f>
        <v/>
      </c>
      <c r="AC1179" s="52">
        <f>IF(OR(K1179="",AND(P1179&lt;&gt;"Transferencia",P1179&lt;&gt;"Pago tarjeta")),"",IFERROR(IF(INDEX(ctaVinc,MATCH(K1179,ctaNombre,0))&amp;""&lt;&gt;"",INDEX(ctaVinc,MATCH(K1179,ctaNombre,0))&amp;"",K1179),K1179))</f>
        <v/>
      </c>
      <c r="AD1179" s="52">
        <f>IF(AB1179="","",IFERROR(INDEX(ctaTipo,MATCH(AB1179,ctaNombre,0))&amp;"",""))</f>
        <v/>
      </c>
      <c r="AE1179" s="52">
        <f>IF(AC1179="","",IFERROR(INDEX(ctaTipo,MATCH(AC1179,ctaNombre,0))&amp;"",""))</f>
        <v/>
      </c>
      <c r="AF1179" s="53">
        <f>IF(OR(P1179="",AB1179=""),"",IF(OR(P1179="Gasto",P1179="Transferencia",P1179="Pago tarjeta"),-1,1)*IF(IFERROR(INDEX(ctaMoneda,MATCH(AB1179,ctaNombre,0))&amp;"","DOP")="USD",T1179,S1179))</f>
        <v/>
      </c>
      <c r="AG1179" s="53">
        <f>IF(AC1179="","",IF(IFERROR(INDEX(ctaMoneda,MATCH(AC1179,ctaNombre,0))&amp;"","DOP")="USD",T1179,S1179))</f>
        <v/>
      </c>
      <c r="AH1179" s="53">
        <f>IF(P1179="","",IF(AND(AD1179&lt;&gt;"",COUNTIFS(tcTipo,AD1179,tcLiq,"Sí")&gt;0),IF(OR(P1179="Gasto",P1179="Transferencia",P1179="Pago tarjeta"),-1,1)*S1179,0)+IF(AND(AE1179&lt;&gt;"",COUNTIFS(tcTipo,AE1179,tcLiq,"Sí")&gt;0),S1179,0))</f>
        <v/>
      </c>
      <c r="AI1179" s="52">
        <f>IF(OR(L1179="",P1179=""),"",IF(COUNTIFS(L$6:L1179,L1179,P$6:P1179,"?*")=1,MAX(AI$5:AI1178)+1,""))</f>
        <v/>
      </c>
    </row>
    <row r="1180">
      <c r="B1180" s="47" t="n"/>
      <c r="C1180" s="48" t="n"/>
      <c r="D1180" s="48" t="n"/>
      <c r="E1180" s="48" t="n"/>
      <c r="F1180" s="48" t="n"/>
      <c r="G1180" s="49" t="n"/>
      <c r="H1180" s="48" t="n"/>
      <c r="I1180" s="50" t="n"/>
      <c r="J1180" s="48" t="n"/>
      <c r="K1180" s="48" t="n"/>
      <c r="L1180" s="48" t="n"/>
      <c r="M1180" s="48" t="n"/>
      <c r="N1180" s="48" t="n"/>
      <c r="O1180" s="51">
        <f>IF(AND(B1180="",G1180="",C1180="",D1180="",J1180=""),"",IF(B1180="","⚠ Falta fecha",IF(G1180="","⚠ Falta monto",IF(Q1180="","⚠ Falta cuenta",IF(ISNA(MATCH(Q1180,ctaNombre,0)),"⚠ Cuenta no registrada",IF(AND(OR(P1180="Gasto",P1180="Reembolso"),D1180=""),"⚠ Falta categoría",IF(AND(D1180&lt;&gt;"",E1180&lt;&gt;"",ISNA(MATCH(D1180&amp;"|"&amp;E1180,catClave,0))),"⚠ Subcategoría no corresponde",IF(AND(OR(P1180="Transferencia",P1180="Pago tarjeta"),K1180=""),"⚠ Falta cuenta destino",IF(AND(K1180&lt;&gt;"",P1180&lt;&gt;"Transferencia",P1180&lt;&gt;"Pago tarjeta"),"⚠ Destino solo aplica a transferencias",IF(AND(K1180&lt;&gt;"",K1180=Q1180),"⚠ Origen igual a destino",IF(AND(K1180&lt;&gt;"",ISNA(MATCH(K1180,ctaNombre,0))),"⚠ Destino no registrado",IF(AND(P1180="Pago tarjeta",AE1180&lt;&gt;"Tarjeta de crédito"),"⚠ El destino debe ser tarjeta de crédito",IF(AND(P1180="Gasto",E1180="Depósitos y retiros"),"⚠ Usa tipo Transferencia",IF(AND(P1180="Resultado trading",AD1180&lt;&gt;"Cuenta de trading"),"⚠ Usa una cuenta de trading",IF(AND(G1180&lt;=0,P1180&lt;&gt;"Ajuste",P1180&lt;&gt;"Resultado trading"),"⚠ El monto debe ser positivo","✓")))))))))))))))</f>
        <v/>
      </c>
      <c r="P1180" s="52">
        <f>IF(OR(B1180="",G1180=""),"",IF(C1180="","Gasto",C1180))</f>
        <v/>
      </c>
      <c r="Q1180" s="52">
        <f>IF(P1180="","",IF(J1180&lt;&gt;"",J1180,CuentaPred&amp;""))</f>
        <v/>
      </c>
      <c r="R1180" s="52">
        <f>IF(P1180="","",IF(ISNUMBER(I1180),I1180,TasaUSD))</f>
        <v/>
      </c>
      <c r="S1180" s="53">
        <f>IF(P1180="","",IF(H1180="USD",G1180*R1180,G1180))</f>
        <v/>
      </c>
      <c r="T1180" s="53">
        <f>IF(P1180="","",IF(H1180="USD",G1180,IF(R1180&gt;0,G1180/R1180,0)))</f>
        <v/>
      </c>
      <c r="U1180" s="53">
        <f>IF(P1180="","",IF(P1180="Gasto",S1180,IF(P1180="Reembolso",-S1180,0)))</f>
        <v/>
      </c>
      <c r="V1180" s="53">
        <f>IF(P1180="","",IF(P1180="Ingreso",S1180,0))</f>
        <v/>
      </c>
      <c r="W1180" s="53">
        <f>IF(P1180="","",IF(P1180="Resultado trading",S1180,0))</f>
        <v/>
      </c>
      <c r="X1180" s="52">
        <f>IF(OR(P1180="Gasto",P1180="Reembolso"),IF(M1180&lt;&gt;"",M1180,IFERROR(INDEX(catClasif,MATCH(D1180&amp;"|"&amp;E1180,catClave,0))&amp;"","Variable")),"")</f>
        <v/>
      </c>
      <c r="Y1180" s="52">
        <f>IF(P1180="","",IFERROR(INDEX(catGrupo,MATCH(D1180&amp;"|"&amp;E1180,catClave,0))&amp;"",""))</f>
        <v/>
      </c>
      <c r="Z1180" s="52">
        <f>IF(P1180="","",WEEKDAY(B1180,2))</f>
        <v/>
      </c>
      <c r="AA1180" s="52">
        <f>IF(P1180="","",IF(AND(P1180="Gasto",X1180="Variable",D1180&lt;&gt;catTrading,S1180&gt;0,S1180&lt;=Umbral),1,0))</f>
        <v/>
      </c>
      <c r="AB1180" s="52">
        <f>IF(OR(P1180="",Q1180=""),"",IFERROR(IF(INDEX(ctaVinc,MATCH(Q1180,ctaNombre,0))&amp;""&lt;&gt;"",INDEX(ctaVinc,MATCH(Q1180,ctaNombre,0))&amp;"",Q1180),Q1180))</f>
        <v/>
      </c>
      <c r="AC1180" s="52">
        <f>IF(OR(K1180="",AND(P1180&lt;&gt;"Transferencia",P1180&lt;&gt;"Pago tarjeta")),"",IFERROR(IF(INDEX(ctaVinc,MATCH(K1180,ctaNombre,0))&amp;""&lt;&gt;"",INDEX(ctaVinc,MATCH(K1180,ctaNombre,0))&amp;"",K1180),K1180))</f>
        <v/>
      </c>
      <c r="AD1180" s="52">
        <f>IF(AB1180="","",IFERROR(INDEX(ctaTipo,MATCH(AB1180,ctaNombre,0))&amp;"",""))</f>
        <v/>
      </c>
      <c r="AE1180" s="52">
        <f>IF(AC1180="","",IFERROR(INDEX(ctaTipo,MATCH(AC1180,ctaNombre,0))&amp;"",""))</f>
        <v/>
      </c>
      <c r="AF1180" s="53">
        <f>IF(OR(P1180="",AB1180=""),"",IF(OR(P1180="Gasto",P1180="Transferencia",P1180="Pago tarjeta"),-1,1)*IF(IFERROR(INDEX(ctaMoneda,MATCH(AB1180,ctaNombre,0))&amp;"","DOP")="USD",T1180,S1180))</f>
        <v/>
      </c>
      <c r="AG1180" s="53">
        <f>IF(AC1180="","",IF(IFERROR(INDEX(ctaMoneda,MATCH(AC1180,ctaNombre,0))&amp;"","DOP")="USD",T1180,S1180))</f>
        <v/>
      </c>
      <c r="AH1180" s="53">
        <f>IF(P1180="","",IF(AND(AD1180&lt;&gt;"",COUNTIFS(tcTipo,AD1180,tcLiq,"Sí")&gt;0),IF(OR(P1180="Gasto",P1180="Transferencia",P1180="Pago tarjeta"),-1,1)*S1180,0)+IF(AND(AE1180&lt;&gt;"",COUNTIFS(tcTipo,AE1180,tcLiq,"Sí")&gt;0),S1180,0))</f>
        <v/>
      </c>
      <c r="AI1180" s="52">
        <f>IF(OR(L1180="",P1180=""),"",IF(COUNTIFS(L$6:L1180,L1180,P$6:P1180,"?*")=1,MAX(AI$5:AI1179)+1,""))</f>
        <v/>
      </c>
    </row>
    <row r="1181">
      <c r="B1181" s="47" t="n"/>
      <c r="C1181" s="48" t="n"/>
      <c r="D1181" s="48" t="n"/>
      <c r="E1181" s="48" t="n"/>
      <c r="F1181" s="48" t="n"/>
      <c r="G1181" s="49" t="n"/>
      <c r="H1181" s="48" t="n"/>
      <c r="I1181" s="50" t="n"/>
      <c r="J1181" s="48" t="n"/>
      <c r="K1181" s="48" t="n"/>
      <c r="L1181" s="48" t="n"/>
      <c r="M1181" s="48" t="n"/>
      <c r="N1181" s="48" t="n"/>
      <c r="O1181" s="51">
        <f>IF(AND(B1181="",G1181="",C1181="",D1181="",J1181=""),"",IF(B1181="","⚠ Falta fecha",IF(G1181="","⚠ Falta monto",IF(Q1181="","⚠ Falta cuenta",IF(ISNA(MATCH(Q1181,ctaNombre,0)),"⚠ Cuenta no registrada",IF(AND(OR(P1181="Gasto",P1181="Reembolso"),D1181=""),"⚠ Falta categoría",IF(AND(D1181&lt;&gt;"",E1181&lt;&gt;"",ISNA(MATCH(D1181&amp;"|"&amp;E1181,catClave,0))),"⚠ Subcategoría no corresponde",IF(AND(OR(P1181="Transferencia",P1181="Pago tarjeta"),K1181=""),"⚠ Falta cuenta destino",IF(AND(K1181&lt;&gt;"",P1181&lt;&gt;"Transferencia",P1181&lt;&gt;"Pago tarjeta"),"⚠ Destino solo aplica a transferencias",IF(AND(K1181&lt;&gt;"",K1181=Q1181),"⚠ Origen igual a destino",IF(AND(K1181&lt;&gt;"",ISNA(MATCH(K1181,ctaNombre,0))),"⚠ Destino no registrado",IF(AND(P1181="Pago tarjeta",AE1181&lt;&gt;"Tarjeta de crédito"),"⚠ El destino debe ser tarjeta de crédito",IF(AND(P1181="Gasto",E1181="Depósitos y retiros"),"⚠ Usa tipo Transferencia",IF(AND(P1181="Resultado trading",AD1181&lt;&gt;"Cuenta de trading"),"⚠ Usa una cuenta de trading",IF(AND(G1181&lt;=0,P1181&lt;&gt;"Ajuste",P1181&lt;&gt;"Resultado trading"),"⚠ El monto debe ser positivo","✓")))))))))))))))</f>
        <v/>
      </c>
      <c r="P1181" s="52">
        <f>IF(OR(B1181="",G1181=""),"",IF(C1181="","Gasto",C1181))</f>
        <v/>
      </c>
      <c r="Q1181" s="52">
        <f>IF(P1181="","",IF(J1181&lt;&gt;"",J1181,CuentaPred&amp;""))</f>
        <v/>
      </c>
      <c r="R1181" s="52">
        <f>IF(P1181="","",IF(ISNUMBER(I1181),I1181,TasaUSD))</f>
        <v/>
      </c>
      <c r="S1181" s="53">
        <f>IF(P1181="","",IF(H1181="USD",G1181*R1181,G1181))</f>
        <v/>
      </c>
      <c r="T1181" s="53">
        <f>IF(P1181="","",IF(H1181="USD",G1181,IF(R1181&gt;0,G1181/R1181,0)))</f>
        <v/>
      </c>
      <c r="U1181" s="53">
        <f>IF(P1181="","",IF(P1181="Gasto",S1181,IF(P1181="Reembolso",-S1181,0)))</f>
        <v/>
      </c>
      <c r="V1181" s="53">
        <f>IF(P1181="","",IF(P1181="Ingreso",S1181,0))</f>
        <v/>
      </c>
      <c r="W1181" s="53">
        <f>IF(P1181="","",IF(P1181="Resultado trading",S1181,0))</f>
        <v/>
      </c>
      <c r="X1181" s="52">
        <f>IF(OR(P1181="Gasto",P1181="Reembolso"),IF(M1181&lt;&gt;"",M1181,IFERROR(INDEX(catClasif,MATCH(D1181&amp;"|"&amp;E1181,catClave,0))&amp;"","Variable")),"")</f>
        <v/>
      </c>
      <c r="Y1181" s="52">
        <f>IF(P1181="","",IFERROR(INDEX(catGrupo,MATCH(D1181&amp;"|"&amp;E1181,catClave,0))&amp;"",""))</f>
        <v/>
      </c>
      <c r="Z1181" s="52">
        <f>IF(P1181="","",WEEKDAY(B1181,2))</f>
        <v/>
      </c>
      <c r="AA1181" s="52">
        <f>IF(P1181="","",IF(AND(P1181="Gasto",X1181="Variable",D1181&lt;&gt;catTrading,S1181&gt;0,S1181&lt;=Umbral),1,0))</f>
        <v/>
      </c>
      <c r="AB1181" s="52">
        <f>IF(OR(P1181="",Q1181=""),"",IFERROR(IF(INDEX(ctaVinc,MATCH(Q1181,ctaNombre,0))&amp;""&lt;&gt;"",INDEX(ctaVinc,MATCH(Q1181,ctaNombre,0))&amp;"",Q1181),Q1181))</f>
        <v/>
      </c>
      <c r="AC1181" s="52">
        <f>IF(OR(K1181="",AND(P1181&lt;&gt;"Transferencia",P1181&lt;&gt;"Pago tarjeta")),"",IFERROR(IF(INDEX(ctaVinc,MATCH(K1181,ctaNombre,0))&amp;""&lt;&gt;"",INDEX(ctaVinc,MATCH(K1181,ctaNombre,0))&amp;"",K1181),K1181))</f>
        <v/>
      </c>
      <c r="AD1181" s="52">
        <f>IF(AB1181="","",IFERROR(INDEX(ctaTipo,MATCH(AB1181,ctaNombre,0))&amp;"",""))</f>
        <v/>
      </c>
      <c r="AE1181" s="52">
        <f>IF(AC1181="","",IFERROR(INDEX(ctaTipo,MATCH(AC1181,ctaNombre,0))&amp;"",""))</f>
        <v/>
      </c>
      <c r="AF1181" s="53">
        <f>IF(OR(P1181="",AB1181=""),"",IF(OR(P1181="Gasto",P1181="Transferencia",P1181="Pago tarjeta"),-1,1)*IF(IFERROR(INDEX(ctaMoneda,MATCH(AB1181,ctaNombre,0))&amp;"","DOP")="USD",T1181,S1181))</f>
        <v/>
      </c>
      <c r="AG1181" s="53">
        <f>IF(AC1181="","",IF(IFERROR(INDEX(ctaMoneda,MATCH(AC1181,ctaNombre,0))&amp;"","DOP")="USD",T1181,S1181))</f>
        <v/>
      </c>
      <c r="AH1181" s="53">
        <f>IF(P1181="","",IF(AND(AD1181&lt;&gt;"",COUNTIFS(tcTipo,AD1181,tcLiq,"Sí")&gt;0),IF(OR(P1181="Gasto",P1181="Transferencia",P1181="Pago tarjeta"),-1,1)*S1181,0)+IF(AND(AE1181&lt;&gt;"",COUNTIFS(tcTipo,AE1181,tcLiq,"Sí")&gt;0),S1181,0))</f>
        <v/>
      </c>
      <c r="AI1181" s="52">
        <f>IF(OR(L1181="",P1181=""),"",IF(COUNTIFS(L$6:L1181,L1181,P$6:P1181,"?*")=1,MAX(AI$5:AI1180)+1,""))</f>
        <v/>
      </c>
    </row>
    <row r="1182">
      <c r="B1182" s="47" t="n"/>
      <c r="C1182" s="48" t="n"/>
      <c r="D1182" s="48" t="n"/>
      <c r="E1182" s="48" t="n"/>
      <c r="F1182" s="48" t="n"/>
      <c r="G1182" s="49" t="n"/>
      <c r="H1182" s="48" t="n"/>
      <c r="I1182" s="50" t="n"/>
      <c r="J1182" s="48" t="n"/>
      <c r="K1182" s="48" t="n"/>
      <c r="L1182" s="48" t="n"/>
      <c r="M1182" s="48" t="n"/>
      <c r="N1182" s="48" t="n"/>
      <c r="O1182" s="51">
        <f>IF(AND(B1182="",G1182="",C1182="",D1182="",J1182=""),"",IF(B1182="","⚠ Falta fecha",IF(G1182="","⚠ Falta monto",IF(Q1182="","⚠ Falta cuenta",IF(ISNA(MATCH(Q1182,ctaNombre,0)),"⚠ Cuenta no registrada",IF(AND(OR(P1182="Gasto",P1182="Reembolso"),D1182=""),"⚠ Falta categoría",IF(AND(D1182&lt;&gt;"",E1182&lt;&gt;"",ISNA(MATCH(D1182&amp;"|"&amp;E1182,catClave,0))),"⚠ Subcategoría no corresponde",IF(AND(OR(P1182="Transferencia",P1182="Pago tarjeta"),K1182=""),"⚠ Falta cuenta destino",IF(AND(K1182&lt;&gt;"",P1182&lt;&gt;"Transferencia",P1182&lt;&gt;"Pago tarjeta"),"⚠ Destino solo aplica a transferencias",IF(AND(K1182&lt;&gt;"",K1182=Q1182),"⚠ Origen igual a destino",IF(AND(K1182&lt;&gt;"",ISNA(MATCH(K1182,ctaNombre,0))),"⚠ Destino no registrado",IF(AND(P1182="Pago tarjeta",AE1182&lt;&gt;"Tarjeta de crédito"),"⚠ El destino debe ser tarjeta de crédito",IF(AND(P1182="Gasto",E1182="Depósitos y retiros"),"⚠ Usa tipo Transferencia",IF(AND(P1182="Resultado trading",AD1182&lt;&gt;"Cuenta de trading"),"⚠ Usa una cuenta de trading",IF(AND(G1182&lt;=0,P1182&lt;&gt;"Ajuste",P1182&lt;&gt;"Resultado trading"),"⚠ El monto debe ser positivo","✓")))))))))))))))</f>
        <v/>
      </c>
      <c r="P1182" s="52">
        <f>IF(OR(B1182="",G1182=""),"",IF(C1182="","Gasto",C1182))</f>
        <v/>
      </c>
      <c r="Q1182" s="52">
        <f>IF(P1182="","",IF(J1182&lt;&gt;"",J1182,CuentaPred&amp;""))</f>
        <v/>
      </c>
      <c r="R1182" s="52">
        <f>IF(P1182="","",IF(ISNUMBER(I1182),I1182,TasaUSD))</f>
        <v/>
      </c>
      <c r="S1182" s="53">
        <f>IF(P1182="","",IF(H1182="USD",G1182*R1182,G1182))</f>
        <v/>
      </c>
      <c r="T1182" s="53">
        <f>IF(P1182="","",IF(H1182="USD",G1182,IF(R1182&gt;0,G1182/R1182,0)))</f>
        <v/>
      </c>
      <c r="U1182" s="53">
        <f>IF(P1182="","",IF(P1182="Gasto",S1182,IF(P1182="Reembolso",-S1182,0)))</f>
        <v/>
      </c>
      <c r="V1182" s="53">
        <f>IF(P1182="","",IF(P1182="Ingreso",S1182,0))</f>
        <v/>
      </c>
      <c r="W1182" s="53">
        <f>IF(P1182="","",IF(P1182="Resultado trading",S1182,0))</f>
        <v/>
      </c>
      <c r="X1182" s="52">
        <f>IF(OR(P1182="Gasto",P1182="Reembolso"),IF(M1182&lt;&gt;"",M1182,IFERROR(INDEX(catClasif,MATCH(D1182&amp;"|"&amp;E1182,catClave,0))&amp;"","Variable")),"")</f>
        <v/>
      </c>
      <c r="Y1182" s="52">
        <f>IF(P1182="","",IFERROR(INDEX(catGrupo,MATCH(D1182&amp;"|"&amp;E1182,catClave,0))&amp;"",""))</f>
        <v/>
      </c>
      <c r="Z1182" s="52">
        <f>IF(P1182="","",WEEKDAY(B1182,2))</f>
        <v/>
      </c>
      <c r="AA1182" s="52">
        <f>IF(P1182="","",IF(AND(P1182="Gasto",X1182="Variable",D1182&lt;&gt;catTrading,S1182&gt;0,S1182&lt;=Umbral),1,0))</f>
        <v/>
      </c>
      <c r="AB1182" s="52">
        <f>IF(OR(P1182="",Q1182=""),"",IFERROR(IF(INDEX(ctaVinc,MATCH(Q1182,ctaNombre,0))&amp;""&lt;&gt;"",INDEX(ctaVinc,MATCH(Q1182,ctaNombre,0))&amp;"",Q1182),Q1182))</f>
        <v/>
      </c>
      <c r="AC1182" s="52">
        <f>IF(OR(K1182="",AND(P1182&lt;&gt;"Transferencia",P1182&lt;&gt;"Pago tarjeta")),"",IFERROR(IF(INDEX(ctaVinc,MATCH(K1182,ctaNombre,0))&amp;""&lt;&gt;"",INDEX(ctaVinc,MATCH(K1182,ctaNombre,0))&amp;"",K1182),K1182))</f>
        <v/>
      </c>
      <c r="AD1182" s="52">
        <f>IF(AB1182="","",IFERROR(INDEX(ctaTipo,MATCH(AB1182,ctaNombre,0))&amp;"",""))</f>
        <v/>
      </c>
      <c r="AE1182" s="52">
        <f>IF(AC1182="","",IFERROR(INDEX(ctaTipo,MATCH(AC1182,ctaNombre,0))&amp;"",""))</f>
        <v/>
      </c>
      <c r="AF1182" s="53">
        <f>IF(OR(P1182="",AB1182=""),"",IF(OR(P1182="Gasto",P1182="Transferencia",P1182="Pago tarjeta"),-1,1)*IF(IFERROR(INDEX(ctaMoneda,MATCH(AB1182,ctaNombre,0))&amp;"","DOP")="USD",T1182,S1182))</f>
        <v/>
      </c>
      <c r="AG1182" s="53">
        <f>IF(AC1182="","",IF(IFERROR(INDEX(ctaMoneda,MATCH(AC1182,ctaNombre,0))&amp;"","DOP")="USD",T1182,S1182))</f>
        <v/>
      </c>
      <c r="AH1182" s="53">
        <f>IF(P1182="","",IF(AND(AD1182&lt;&gt;"",COUNTIFS(tcTipo,AD1182,tcLiq,"Sí")&gt;0),IF(OR(P1182="Gasto",P1182="Transferencia",P1182="Pago tarjeta"),-1,1)*S1182,0)+IF(AND(AE1182&lt;&gt;"",COUNTIFS(tcTipo,AE1182,tcLiq,"Sí")&gt;0),S1182,0))</f>
        <v/>
      </c>
      <c r="AI1182" s="52">
        <f>IF(OR(L1182="",P1182=""),"",IF(COUNTIFS(L$6:L1182,L1182,P$6:P1182,"?*")=1,MAX(AI$5:AI1181)+1,""))</f>
        <v/>
      </c>
    </row>
    <row r="1183">
      <c r="B1183" s="47" t="n"/>
      <c r="C1183" s="48" t="n"/>
      <c r="D1183" s="48" t="n"/>
      <c r="E1183" s="48" t="n"/>
      <c r="F1183" s="48" t="n"/>
      <c r="G1183" s="49" t="n"/>
      <c r="H1183" s="48" t="n"/>
      <c r="I1183" s="50" t="n"/>
      <c r="J1183" s="48" t="n"/>
      <c r="K1183" s="48" t="n"/>
      <c r="L1183" s="48" t="n"/>
      <c r="M1183" s="48" t="n"/>
      <c r="N1183" s="48" t="n"/>
      <c r="O1183" s="51">
        <f>IF(AND(B1183="",G1183="",C1183="",D1183="",J1183=""),"",IF(B1183="","⚠ Falta fecha",IF(G1183="","⚠ Falta monto",IF(Q1183="","⚠ Falta cuenta",IF(ISNA(MATCH(Q1183,ctaNombre,0)),"⚠ Cuenta no registrada",IF(AND(OR(P1183="Gasto",P1183="Reembolso"),D1183=""),"⚠ Falta categoría",IF(AND(D1183&lt;&gt;"",E1183&lt;&gt;"",ISNA(MATCH(D1183&amp;"|"&amp;E1183,catClave,0))),"⚠ Subcategoría no corresponde",IF(AND(OR(P1183="Transferencia",P1183="Pago tarjeta"),K1183=""),"⚠ Falta cuenta destino",IF(AND(K1183&lt;&gt;"",P1183&lt;&gt;"Transferencia",P1183&lt;&gt;"Pago tarjeta"),"⚠ Destino solo aplica a transferencias",IF(AND(K1183&lt;&gt;"",K1183=Q1183),"⚠ Origen igual a destino",IF(AND(K1183&lt;&gt;"",ISNA(MATCH(K1183,ctaNombre,0))),"⚠ Destino no registrado",IF(AND(P1183="Pago tarjeta",AE1183&lt;&gt;"Tarjeta de crédito"),"⚠ El destino debe ser tarjeta de crédito",IF(AND(P1183="Gasto",E1183="Depósitos y retiros"),"⚠ Usa tipo Transferencia",IF(AND(P1183="Resultado trading",AD1183&lt;&gt;"Cuenta de trading"),"⚠ Usa una cuenta de trading",IF(AND(G1183&lt;=0,P1183&lt;&gt;"Ajuste",P1183&lt;&gt;"Resultado trading"),"⚠ El monto debe ser positivo","✓")))))))))))))))</f>
        <v/>
      </c>
      <c r="P1183" s="52">
        <f>IF(OR(B1183="",G1183=""),"",IF(C1183="","Gasto",C1183))</f>
        <v/>
      </c>
      <c r="Q1183" s="52">
        <f>IF(P1183="","",IF(J1183&lt;&gt;"",J1183,CuentaPred&amp;""))</f>
        <v/>
      </c>
      <c r="R1183" s="52">
        <f>IF(P1183="","",IF(ISNUMBER(I1183),I1183,TasaUSD))</f>
        <v/>
      </c>
      <c r="S1183" s="53">
        <f>IF(P1183="","",IF(H1183="USD",G1183*R1183,G1183))</f>
        <v/>
      </c>
      <c r="T1183" s="53">
        <f>IF(P1183="","",IF(H1183="USD",G1183,IF(R1183&gt;0,G1183/R1183,0)))</f>
        <v/>
      </c>
      <c r="U1183" s="53">
        <f>IF(P1183="","",IF(P1183="Gasto",S1183,IF(P1183="Reembolso",-S1183,0)))</f>
        <v/>
      </c>
      <c r="V1183" s="53">
        <f>IF(P1183="","",IF(P1183="Ingreso",S1183,0))</f>
        <v/>
      </c>
      <c r="W1183" s="53">
        <f>IF(P1183="","",IF(P1183="Resultado trading",S1183,0))</f>
        <v/>
      </c>
      <c r="X1183" s="52">
        <f>IF(OR(P1183="Gasto",P1183="Reembolso"),IF(M1183&lt;&gt;"",M1183,IFERROR(INDEX(catClasif,MATCH(D1183&amp;"|"&amp;E1183,catClave,0))&amp;"","Variable")),"")</f>
        <v/>
      </c>
      <c r="Y1183" s="52">
        <f>IF(P1183="","",IFERROR(INDEX(catGrupo,MATCH(D1183&amp;"|"&amp;E1183,catClave,0))&amp;"",""))</f>
        <v/>
      </c>
      <c r="Z1183" s="52">
        <f>IF(P1183="","",WEEKDAY(B1183,2))</f>
        <v/>
      </c>
      <c r="AA1183" s="52">
        <f>IF(P1183="","",IF(AND(P1183="Gasto",X1183="Variable",D1183&lt;&gt;catTrading,S1183&gt;0,S1183&lt;=Umbral),1,0))</f>
        <v/>
      </c>
      <c r="AB1183" s="52">
        <f>IF(OR(P1183="",Q1183=""),"",IFERROR(IF(INDEX(ctaVinc,MATCH(Q1183,ctaNombre,0))&amp;""&lt;&gt;"",INDEX(ctaVinc,MATCH(Q1183,ctaNombre,0))&amp;"",Q1183),Q1183))</f>
        <v/>
      </c>
      <c r="AC1183" s="52">
        <f>IF(OR(K1183="",AND(P1183&lt;&gt;"Transferencia",P1183&lt;&gt;"Pago tarjeta")),"",IFERROR(IF(INDEX(ctaVinc,MATCH(K1183,ctaNombre,0))&amp;""&lt;&gt;"",INDEX(ctaVinc,MATCH(K1183,ctaNombre,0))&amp;"",K1183),K1183))</f>
        <v/>
      </c>
      <c r="AD1183" s="52">
        <f>IF(AB1183="","",IFERROR(INDEX(ctaTipo,MATCH(AB1183,ctaNombre,0))&amp;"",""))</f>
        <v/>
      </c>
      <c r="AE1183" s="52">
        <f>IF(AC1183="","",IFERROR(INDEX(ctaTipo,MATCH(AC1183,ctaNombre,0))&amp;"",""))</f>
        <v/>
      </c>
      <c r="AF1183" s="53">
        <f>IF(OR(P1183="",AB1183=""),"",IF(OR(P1183="Gasto",P1183="Transferencia",P1183="Pago tarjeta"),-1,1)*IF(IFERROR(INDEX(ctaMoneda,MATCH(AB1183,ctaNombre,0))&amp;"","DOP")="USD",T1183,S1183))</f>
        <v/>
      </c>
      <c r="AG1183" s="53">
        <f>IF(AC1183="","",IF(IFERROR(INDEX(ctaMoneda,MATCH(AC1183,ctaNombre,0))&amp;"","DOP")="USD",T1183,S1183))</f>
        <v/>
      </c>
      <c r="AH1183" s="53">
        <f>IF(P1183="","",IF(AND(AD1183&lt;&gt;"",COUNTIFS(tcTipo,AD1183,tcLiq,"Sí")&gt;0),IF(OR(P1183="Gasto",P1183="Transferencia",P1183="Pago tarjeta"),-1,1)*S1183,0)+IF(AND(AE1183&lt;&gt;"",COUNTIFS(tcTipo,AE1183,tcLiq,"Sí")&gt;0),S1183,0))</f>
        <v/>
      </c>
      <c r="AI1183" s="52">
        <f>IF(OR(L1183="",P1183=""),"",IF(COUNTIFS(L$6:L1183,L1183,P$6:P1183,"?*")=1,MAX(AI$5:AI1182)+1,""))</f>
        <v/>
      </c>
    </row>
    <row r="1184">
      <c r="B1184" s="47" t="n"/>
      <c r="C1184" s="48" t="n"/>
      <c r="D1184" s="48" t="n"/>
      <c r="E1184" s="48" t="n"/>
      <c r="F1184" s="48" t="n"/>
      <c r="G1184" s="49" t="n"/>
      <c r="H1184" s="48" t="n"/>
      <c r="I1184" s="50" t="n"/>
      <c r="J1184" s="48" t="n"/>
      <c r="K1184" s="48" t="n"/>
      <c r="L1184" s="48" t="n"/>
      <c r="M1184" s="48" t="n"/>
      <c r="N1184" s="48" t="n"/>
      <c r="O1184" s="51">
        <f>IF(AND(B1184="",G1184="",C1184="",D1184="",J1184=""),"",IF(B1184="","⚠ Falta fecha",IF(G1184="","⚠ Falta monto",IF(Q1184="","⚠ Falta cuenta",IF(ISNA(MATCH(Q1184,ctaNombre,0)),"⚠ Cuenta no registrada",IF(AND(OR(P1184="Gasto",P1184="Reembolso"),D1184=""),"⚠ Falta categoría",IF(AND(D1184&lt;&gt;"",E1184&lt;&gt;"",ISNA(MATCH(D1184&amp;"|"&amp;E1184,catClave,0))),"⚠ Subcategoría no corresponde",IF(AND(OR(P1184="Transferencia",P1184="Pago tarjeta"),K1184=""),"⚠ Falta cuenta destino",IF(AND(K1184&lt;&gt;"",P1184&lt;&gt;"Transferencia",P1184&lt;&gt;"Pago tarjeta"),"⚠ Destino solo aplica a transferencias",IF(AND(K1184&lt;&gt;"",K1184=Q1184),"⚠ Origen igual a destino",IF(AND(K1184&lt;&gt;"",ISNA(MATCH(K1184,ctaNombre,0))),"⚠ Destino no registrado",IF(AND(P1184="Pago tarjeta",AE1184&lt;&gt;"Tarjeta de crédito"),"⚠ El destino debe ser tarjeta de crédito",IF(AND(P1184="Gasto",E1184="Depósitos y retiros"),"⚠ Usa tipo Transferencia",IF(AND(P1184="Resultado trading",AD1184&lt;&gt;"Cuenta de trading"),"⚠ Usa una cuenta de trading",IF(AND(G1184&lt;=0,P1184&lt;&gt;"Ajuste",P1184&lt;&gt;"Resultado trading"),"⚠ El monto debe ser positivo","✓")))))))))))))))</f>
        <v/>
      </c>
      <c r="P1184" s="52">
        <f>IF(OR(B1184="",G1184=""),"",IF(C1184="","Gasto",C1184))</f>
        <v/>
      </c>
      <c r="Q1184" s="52">
        <f>IF(P1184="","",IF(J1184&lt;&gt;"",J1184,CuentaPred&amp;""))</f>
        <v/>
      </c>
      <c r="R1184" s="52">
        <f>IF(P1184="","",IF(ISNUMBER(I1184),I1184,TasaUSD))</f>
        <v/>
      </c>
      <c r="S1184" s="53">
        <f>IF(P1184="","",IF(H1184="USD",G1184*R1184,G1184))</f>
        <v/>
      </c>
      <c r="T1184" s="53">
        <f>IF(P1184="","",IF(H1184="USD",G1184,IF(R1184&gt;0,G1184/R1184,0)))</f>
        <v/>
      </c>
      <c r="U1184" s="53">
        <f>IF(P1184="","",IF(P1184="Gasto",S1184,IF(P1184="Reembolso",-S1184,0)))</f>
        <v/>
      </c>
      <c r="V1184" s="53">
        <f>IF(P1184="","",IF(P1184="Ingreso",S1184,0))</f>
        <v/>
      </c>
      <c r="W1184" s="53">
        <f>IF(P1184="","",IF(P1184="Resultado trading",S1184,0))</f>
        <v/>
      </c>
      <c r="X1184" s="52">
        <f>IF(OR(P1184="Gasto",P1184="Reembolso"),IF(M1184&lt;&gt;"",M1184,IFERROR(INDEX(catClasif,MATCH(D1184&amp;"|"&amp;E1184,catClave,0))&amp;"","Variable")),"")</f>
        <v/>
      </c>
      <c r="Y1184" s="52">
        <f>IF(P1184="","",IFERROR(INDEX(catGrupo,MATCH(D1184&amp;"|"&amp;E1184,catClave,0))&amp;"",""))</f>
        <v/>
      </c>
      <c r="Z1184" s="52">
        <f>IF(P1184="","",WEEKDAY(B1184,2))</f>
        <v/>
      </c>
      <c r="AA1184" s="52">
        <f>IF(P1184="","",IF(AND(P1184="Gasto",X1184="Variable",D1184&lt;&gt;catTrading,S1184&gt;0,S1184&lt;=Umbral),1,0))</f>
        <v/>
      </c>
      <c r="AB1184" s="52">
        <f>IF(OR(P1184="",Q1184=""),"",IFERROR(IF(INDEX(ctaVinc,MATCH(Q1184,ctaNombre,0))&amp;""&lt;&gt;"",INDEX(ctaVinc,MATCH(Q1184,ctaNombre,0))&amp;"",Q1184),Q1184))</f>
        <v/>
      </c>
      <c r="AC1184" s="52">
        <f>IF(OR(K1184="",AND(P1184&lt;&gt;"Transferencia",P1184&lt;&gt;"Pago tarjeta")),"",IFERROR(IF(INDEX(ctaVinc,MATCH(K1184,ctaNombre,0))&amp;""&lt;&gt;"",INDEX(ctaVinc,MATCH(K1184,ctaNombre,0))&amp;"",K1184),K1184))</f>
        <v/>
      </c>
      <c r="AD1184" s="52">
        <f>IF(AB1184="","",IFERROR(INDEX(ctaTipo,MATCH(AB1184,ctaNombre,0))&amp;"",""))</f>
        <v/>
      </c>
      <c r="AE1184" s="52">
        <f>IF(AC1184="","",IFERROR(INDEX(ctaTipo,MATCH(AC1184,ctaNombre,0))&amp;"",""))</f>
        <v/>
      </c>
      <c r="AF1184" s="53">
        <f>IF(OR(P1184="",AB1184=""),"",IF(OR(P1184="Gasto",P1184="Transferencia",P1184="Pago tarjeta"),-1,1)*IF(IFERROR(INDEX(ctaMoneda,MATCH(AB1184,ctaNombre,0))&amp;"","DOP")="USD",T1184,S1184))</f>
        <v/>
      </c>
      <c r="AG1184" s="53">
        <f>IF(AC1184="","",IF(IFERROR(INDEX(ctaMoneda,MATCH(AC1184,ctaNombre,0))&amp;"","DOP")="USD",T1184,S1184))</f>
        <v/>
      </c>
      <c r="AH1184" s="53">
        <f>IF(P1184="","",IF(AND(AD1184&lt;&gt;"",COUNTIFS(tcTipo,AD1184,tcLiq,"Sí")&gt;0),IF(OR(P1184="Gasto",P1184="Transferencia",P1184="Pago tarjeta"),-1,1)*S1184,0)+IF(AND(AE1184&lt;&gt;"",COUNTIFS(tcTipo,AE1184,tcLiq,"Sí")&gt;0),S1184,0))</f>
        <v/>
      </c>
      <c r="AI1184" s="52">
        <f>IF(OR(L1184="",P1184=""),"",IF(COUNTIFS(L$6:L1184,L1184,P$6:P1184,"?*")=1,MAX(AI$5:AI1183)+1,""))</f>
        <v/>
      </c>
    </row>
    <row r="1185">
      <c r="B1185" s="47" t="n"/>
      <c r="C1185" s="48" t="n"/>
      <c r="D1185" s="48" t="n"/>
      <c r="E1185" s="48" t="n"/>
      <c r="F1185" s="48" t="n"/>
      <c r="G1185" s="49" t="n"/>
      <c r="H1185" s="48" t="n"/>
      <c r="I1185" s="50" t="n"/>
      <c r="J1185" s="48" t="n"/>
      <c r="K1185" s="48" t="n"/>
      <c r="L1185" s="48" t="n"/>
      <c r="M1185" s="48" t="n"/>
      <c r="N1185" s="48" t="n"/>
      <c r="O1185" s="51">
        <f>IF(AND(B1185="",G1185="",C1185="",D1185="",J1185=""),"",IF(B1185="","⚠ Falta fecha",IF(G1185="","⚠ Falta monto",IF(Q1185="","⚠ Falta cuenta",IF(ISNA(MATCH(Q1185,ctaNombre,0)),"⚠ Cuenta no registrada",IF(AND(OR(P1185="Gasto",P1185="Reembolso"),D1185=""),"⚠ Falta categoría",IF(AND(D1185&lt;&gt;"",E1185&lt;&gt;"",ISNA(MATCH(D1185&amp;"|"&amp;E1185,catClave,0))),"⚠ Subcategoría no corresponde",IF(AND(OR(P1185="Transferencia",P1185="Pago tarjeta"),K1185=""),"⚠ Falta cuenta destino",IF(AND(K1185&lt;&gt;"",P1185&lt;&gt;"Transferencia",P1185&lt;&gt;"Pago tarjeta"),"⚠ Destino solo aplica a transferencias",IF(AND(K1185&lt;&gt;"",K1185=Q1185),"⚠ Origen igual a destino",IF(AND(K1185&lt;&gt;"",ISNA(MATCH(K1185,ctaNombre,0))),"⚠ Destino no registrado",IF(AND(P1185="Pago tarjeta",AE1185&lt;&gt;"Tarjeta de crédito"),"⚠ El destino debe ser tarjeta de crédito",IF(AND(P1185="Gasto",E1185="Depósitos y retiros"),"⚠ Usa tipo Transferencia",IF(AND(P1185="Resultado trading",AD1185&lt;&gt;"Cuenta de trading"),"⚠ Usa una cuenta de trading",IF(AND(G1185&lt;=0,P1185&lt;&gt;"Ajuste",P1185&lt;&gt;"Resultado trading"),"⚠ El monto debe ser positivo","✓")))))))))))))))</f>
        <v/>
      </c>
      <c r="P1185" s="52">
        <f>IF(OR(B1185="",G1185=""),"",IF(C1185="","Gasto",C1185))</f>
        <v/>
      </c>
      <c r="Q1185" s="52">
        <f>IF(P1185="","",IF(J1185&lt;&gt;"",J1185,CuentaPred&amp;""))</f>
        <v/>
      </c>
      <c r="R1185" s="52">
        <f>IF(P1185="","",IF(ISNUMBER(I1185),I1185,TasaUSD))</f>
        <v/>
      </c>
      <c r="S1185" s="53">
        <f>IF(P1185="","",IF(H1185="USD",G1185*R1185,G1185))</f>
        <v/>
      </c>
      <c r="T1185" s="53">
        <f>IF(P1185="","",IF(H1185="USD",G1185,IF(R1185&gt;0,G1185/R1185,0)))</f>
        <v/>
      </c>
      <c r="U1185" s="53">
        <f>IF(P1185="","",IF(P1185="Gasto",S1185,IF(P1185="Reembolso",-S1185,0)))</f>
        <v/>
      </c>
      <c r="V1185" s="53">
        <f>IF(P1185="","",IF(P1185="Ingreso",S1185,0))</f>
        <v/>
      </c>
      <c r="W1185" s="53">
        <f>IF(P1185="","",IF(P1185="Resultado trading",S1185,0))</f>
        <v/>
      </c>
      <c r="X1185" s="52">
        <f>IF(OR(P1185="Gasto",P1185="Reembolso"),IF(M1185&lt;&gt;"",M1185,IFERROR(INDEX(catClasif,MATCH(D1185&amp;"|"&amp;E1185,catClave,0))&amp;"","Variable")),"")</f>
        <v/>
      </c>
      <c r="Y1185" s="52">
        <f>IF(P1185="","",IFERROR(INDEX(catGrupo,MATCH(D1185&amp;"|"&amp;E1185,catClave,0))&amp;"",""))</f>
        <v/>
      </c>
      <c r="Z1185" s="52">
        <f>IF(P1185="","",WEEKDAY(B1185,2))</f>
        <v/>
      </c>
      <c r="AA1185" s="52">
        <f>IF(P1185="","",IF(AND(P1185="Gasto",X1185="Variable",D1185&lt;&gt;catTrading,S1185&gt;0,S1185&lt;=Umbral),1,0))</f>
        <v/>
      </c>
      <c r="AB1185" s="52">
        <f>IF(OR(P1185="",Q1185=""),"",IFERROR(IF(INDEX(ctaVinc,MATCH(Q1185,ctaNombre,0))&amp;""&lt;&gt;"",INDEX(ctaVinc,MATCH(Q1185,ctaNombre,0))&amp;"",Q1185),Q1185))</f>
        <v/>
      </c>
      <c r="AC1185" s="52">
        <f>IF(OR(K1185="",AND(P1185&lt;&gt;"Transferencia",P1185&lt;&gt;"Pago tarjeta")),"",IFERROR(IF(INDEX(ctaVinc,MATCH(K1185,ctaNombre,0))&amp;""&lt;&gt;"",INDEX(ctaVinc,MATCH(K1185,ctaNombre,0))&amp;"",K1185),K1185))</f>
        <v/>
      </c>
      <c r="AD1185" s="52">
        <f>IF(AB1185="","",IFERROR(INDEX(ctaTipo,MATCH(AB1185,ctaNombre,0))&amp;"",""))</f>
        <v/>
      </c>
      <c r="AE1185" s="52">
        <f>IF(AC1185="","",IFERROR(INDEX(ctaTipo,MATCH(AC1185,ctaNombre,0))&amp;"",""))</f>
        <v/>
      </c>
      <c r="AF1185" s="53">
        <f>IF(OR(P1185="",AB1185=""),"",IF(OR(P1185="Gasto",P1185="Transferencia",P1185="Pago tarjeta"),-1,1)*IF(IFERROR(INDEX(ctaMoneda,MATCH(AB1185,ctaNombre,0))&amp;"","DOP")="USD",T1185,S1185))</f>
        <v/>
      </c>
      <c r="AG1185" s="53">
        <f>IF(AC1185="","",IF(IFERROR(INDEX(ctaMoneda,MATCH(AC1185,ctaNombre,0))&amp;"","DOP")="USD",T1185,S1185))</f>
        <v/>
      </c>
      <c r="AH1185" s="53">
        <f>IF(P1185="","",IF(AND(AD1185&lt;&gt;"",COUNTIFS(tcTipo,AD1185,tcLiq,"Sí")&gt;0),IF(OR(P1185="Gasto",P1185="Transferencia",P1185="Pago tarjeta"),-1,1)*S1185,0)+IF(AND(AE1185&lt;&gt;"",COUNTIFS(tcTipo,AE1185,tcLiq,"Sí")&gt;0),S1185,0))</f>
        <v/>
      </c>
      <c r="AI1185" s="52">
        <f>IF(OR(L1185="",P1185=""),"",IF(COUNTIFS(L$6:L1185,L1185,P$6:P1185,"?*")=1,MAX(AI$5:AI1184)+1,""))</f>
        <v/>
      </c>
    </row>
    <row r="1186">
      <c r="B1186" s="47" t="n"/>
      <c r="C1186" s="48" t="n"/>
      <c r="D1186" s="48" t="n"/>
      <c r="E1186" s="48" t="n"/>
      <c r="F1186" s="48" t="n"/>
      <c r="G1186" s="49" t="n"/>
      <c r="H1186" s="48" t="n"/>
      <c r="I1186" s="50" t="n"/>
      <c r="J1186" s="48" t="n"/>
      <c r="K1186" s="48" t="n"/>
      <c r="L1186" s="48" t="n"/>
      <c r="M1186" s="48" t="n"/>
      <c r="N1186" s="48" t="n"/>
      <c r="O1186" s="51">
        <f>IF(AND(B1186="",G1186="",C1186="",D1186="",J1186=""),"",IF(B1186="","⚠ Falta fecha",IF(G1186="","⚠ Falta monto",IF(Q1186="","⚠ Falta cuenta",IF(ISNA(MATCH(Q1186,ctaNombre,0)),"⚠ Cuenta no registrada",IF(AND(OR(P1186="Gasto",P1186="Reembolso"),D1186=""),"⚠ Falta categoría",IF(AND(D1186&lt;&gt;"",E1186&lt;&gt;"",ISNA(MATCH(D1186&amp;"|"&amp;E1186,catClave,0))),"⚠ Subcategoría no corresponde",IF(AND(OR(P1186="Transferencia",P1186="Pago tarjeta"),K1186=""),"⚠ Falta cuenta destino",IF(AND(K1186&lt;&gt;"",P1186&lt;&gt;"Transferencia",P1186&lt;&gt;"Pago tarjeta"),"⚠ Destino solo aplica a transferencias",IF(AND(K1186&lt;&gt;"",K1186=Q1186),"⚠ Origen igual a destino",IF(AND(K1186&lt;&gt;"",ISNA(MATCH(K1186,ctaNombre,0))),"⚠ Destino no registrado",IF(AND(P1186="Pago tarjeta",AE1186&lt;&gt;"Tarjeta de crédito"),"⚠ El destino debe ser tarjeta de crédito",IF(AND(P1186="Gasto",E1186="Depósitos y retiros"),"⚠ Usa tipo Transferencia",IF(AND(P1186="Resultado trading",AD1186&lt;&gt;"Cuenta de trading"),"⚠ Usa una cuenta de trading",IF(AND(G1186&lt;=0,P1186&lt;&gt;"Ajuste",P1186&lt;&gt;"Resultado trading"),"⚠ El monto debe ser positivo","✓")))))))))))))))</f>
        <v/>
      </c>
      <c r="P1186" s="52">
        <f>IF(OR(B1186="",G1186=""),"",IF(C1186="","Gasto",C1186))</f>
        <v/>
      </c>
      <c r="Q1186" s="52">
        <f>IF(P1186="","",IF(J1186&lt;&gt;"",J1186,CuentaPred&amp;""))</f>
        <v/>
      </c>
      <c r="R1186" s="52">
        <f>IF(P1186="","",IF(ISNUMBER(I1186),I1186,TasaUSD))</f>
        <v/>
      </c>
      <c r="S1186" s="53">
        <f>IF(P1186="","",IF(H1186="USD",G1186*R1186,G1186))</f>
        <v/>
      </c>
      <c r="T1186" s="53">
        <f>IF(P1186="","",IF(H1186="USD",G1186,IF(R1186&gt;0,G1186/R1186,0)))</f>
        <v/>
      </c>
      <c r="U1186" s="53">
        <f>IF(P1186="","",IF(P1186="Gasto",S1186,IF(P1186="Reembolso",-S1186,0)))</f>
        <v/>
      </c>
      <c r="V1186" s="53">
        <f>IF(P1186="","",IF(P1186="Ingreso",S1186,0))</f>
        <v/>
      </c>
      <c r="W1186" s="53">
        <f>IF(P1186="","",IF(P1186="Resultado trading",S1186,0))</f>
        <v/>
      </c>
      <c r="X1186" s="52">
        <f>IF(OR(P1186="Gasto",P1186="Reembolso"),IF(M1186&lt;&gt;"",M1186,IFERROR(INDEX(catClasif,MATCH(D1186&amp;"|"&amp;E1186,catClave,0))&amp;"","Variable")),"")</f>
        <v/>
      </c>
      <c r="Y1186" s="52">
        <f>IF(P1186="","",IFERROR(INDEX(catGrupo,MATCH(D1186&amp;"|"&amp;E1186,catClave,0))&amp;"",""))</f>
        <v/>
      </c>
      <c r="Z1186" s="52">
        <f>IF(P1186="","",WEEKDAY(B1186,2))</f>
        <v/>
      </c>
      <c r="AA1186" s="52">
        <f>IF(P1186="","",IF(AND(P1186="Gasto",X1186="Variable",D1186&lt;&gt;catTrading,S1186&gt;0,S1186&lt;=Umbral),1,0))</f>
        <v/>
      </c>
      <c r="AB1186" s="52">
        <f>IF(OR(P1186="",Q1186=""),"",IFERROR(IF(INDEX(ctaVinc,MATCH(Q1186,ctaNombre,0))&amp;""&lt;&gt;"",INDEX(ctaVinc,MATCH(Q1186,ctaNombre,0))&amp;"",Q1186),Q1186))</f>
        <v/>
      </c>
      <c r="AC1186" s="52">
        <f>IF(OR(K1186="",AND(P1186&lt;&gt;"Transferencia",P1186&lt;&gt;"Pago tarjeta")),"",IFERROR(IF(INDEX(ctaVinc,MATCH(K1186,ctaNombre,0))&amp;""&lt;&gt;"",INDEX(ctaVinc,MATCH(K1186,ctaNombre,0))&amp;"",K1186),K1186))</f>
        <v/>
      </c>
      <c r="AD1186" s="52">
        <f>IF(AB1186="","",IFERROR(INDEX(ctaTipo,MATCH(AB1186,ctaNombre,0))&amp;"",""))</f>
        <v/>
      </c>
      <c r="AE1186" s="52">
        <f>IF(AC1186="","",IFERROR(INDEX(ctaTipo,MATCH(AC1186,ctaNombre,0))&amp;"",""))</f>
        <v/>
      </c>
      <c r="AF1186" s="53">
        <f>IF(OR(P1186="",AB1186=""),"",IF(OR(P1186="Gasto",P1186="Transferencia",P1186="Pago tarjeta"),-1,1)*IF(IFERROR(INDEX(ctaMoneda,MATCH(AB1186,ctaNombre,0))&amp;"","DOP")="USD",T1186,S1186))</f>
        <v/>
      </c>
      <c r="AG1186" s="53">
        <f>IF(AC1186="","",IF(IFERROR(INDEX(ctaMoneda,MATCH(AC1186,ctaNombre,0))&amp;"","DOP")="USD",T1186,S1186))</f>
        <v/>
      </c>
      <c r="AH1186" s="53">
        <f>IF(P1186="","",IF(AND(AD1186&lt;&gt;"",COUNTIFS(tcTipo,AD1186,tcLiq,"Sí")&gt;0),IF(OR(P1186="Gasto",P1186="Transferencia",P1186="Pago tarjeta"),-1,1)*S1186,0)+IF(AND(AE1186&lt;&gt;"",COUNTIFS(tcTipo,AE1186,tcLiq,"Sí")&gt;0),S1186,0))</f>
        <v/>
      </c>
      <c r="AI1186" s="52">
        <f>IF(OR(L1186="",P1186=""),"",IF(COUNTIFS(L$6:L1186,L1186,P$6:P1186,"?*")=1,MAX(AI$5:AI1185)+1,""))</f>
        <v/>
      </c>
    </row>
    <row r="1187">
      <c r="B1187" s="47" t="n"/>
      <c r="C1187" s="48" t="n"/>
      <c r="D1187" s="48" t="n"/>
      <c r="E1187" s="48" t="n"/>
      <c r="F1187" s="48" t="n"/>
      <c r="G1187" s="49" t="n"/>
      <c r="H1187" s="48" t="n"/>
      <c r="I1187" s="50" t="n"/>
      <c r="J1187" s="48" t="n"/>
      <c r="K1187" s="48" t="n"/>
      <c r="L1187" s="48" t="n"/>
      <c r="M1187" s="48" t="n"/>
      <c r="N1187" s="48" t="n"/>
      <c r="O1187" s="51">
        <f>IF(AND(B1187="",G1187="",C1187="",D1187="",J1187=""),"",IF(B1187="","⚠ Falta fecha",IF(G1187="","⚠ Falta monto",IF(Q1187="","⚠ Falta cuenta",IF(ISNA(MATCH(Q1187,ctaNombre,0)),"⚠ Cuenta no registrada",IF(AND(OR(P1187="Gasto",P1187="Reembolso"),D1187=""),"⚠ Falta categoría",IF(AND(D1187&lt;&gt;"",E1187&lt;&gt;"",ISNA(MATCH(D1187&amp;"|"&amp;E1187,catClave,0))),"⚠ Subcategoría no corresponde",IF(AND(OR(P1187="Transferencia",P1187="Pago tarjeta"),K1187=""),"⚠ Falta cuenta destino",IF(AND(K1187&lt;&gt;"",P1187&lt;&gt;"Transferencia",P1187&lt;&gt;"Pago tarjeta"),"⚠ Destino solo aplica a transferencias",IF(AND(K1187&lt;&gt;"",K1187=Q1187),"⚠ Origen igual a destino",IF(AND(K1187&lt;&gt;"",ISNA(MATCH(K1187,ctaNombre,0))),"⚠ Destino no registrado",IF(AND(P1187="Pago tarjeta",AE1187&lt;&gt;"Tarjeta de crédito"),"⚠ El destino debe ser tarjeta de crédito",IF(AND(P1187="Gasto",E1187="Depósitos y retiros"),"⚠ Usa tipo Transferencia",IF(AND(P1187="Resultado trading",AD1187&lt;&gt;"Cuenta de trading"),"⚠ Usa una cuenta de trading",IF(AND(G1187&lt;=0,P1187&lt;&gt;"Ajuste",P1187&lt;&gt;"Resultado trading"),"⚠ El monto debe ser positivo","✓")))))))))))))))</f>
        <v/>
      </c>
      <c r="P1187" s="52">
        <f>IF(OR(B1187="",G1187=""),"",IF(C1187="","Gasto",C1187))</f>
        <v/>
      </c>
      <c r="Q1187" s="52">
        <f>IF(P1187="","",IF(J1187&lt;&gt;"",J1187,CuentaPred&amp;""))</f>
        <v/>
      </c>
      <c r="R1187" s="52">
        <f>IF(P1187="","",IF(ISNUMBER(I1187),I1187,TasaUSD))</f>
        <v/>
      </c>
      <c r="S1187" s="53">
        <f>IF(P1187="","",IF(H1187="USD",G1187*R1187,G1187))</f>
        <v/>
      </c>
      <c r="T1187" s="53">
        <f>IF(P1187="","",IF(H1187="USD",G1187,IF(R1187&gt;0,G1187/R1187,0)))</f>
        <v/>
      </c>
      <c r="U1187" s="53">
        <f>IF(P1187="","",IF(P1187="Gasto",S1187,IF(P1187="Reembolso",-S1187,0)))</f>
        <v/>
      </c>
      <c r="V1187" s="53">
        <f>IF(P1187="","",IF(P1187="Ingreso",S1187,0))</f>
        <v/>
      </c>
      <c r="W1187" s="53">
        <f>IF(P1187="","",IF(P1187="Resultado trading",S1187,0))</f>
        <v/>
      </c>
      <c r="X1187" s="52">
        <f>IF(OR(P1187="Gasto",P1187="Reembolso"),IF(M1187&lt;&gt;"",M1187,IFERROR(INDEX(catClasif,MATCH(D1187&amp;"|"&amp;E1187,catClave,0))&amp;"","Variable")),"")</f>
        <v/>
      </c>
      <c r="Y1187" s="52">
        <f>IF(P1187="","",IFERROR(INDEX(catGrupo,MATCH(D1187&amp;"|"&amp;E1187,catClave,0))&amp;"",""))</f>
        <v/>
      </c>
      <c r="Z1187" s="52">
        <f>IF(P1187="","",WEEKDAY(B1187,2))</f>
        <v/>
      </c>
      <c r="AA1187" s="52">
        <f>IF(P1187="","",IF(AND(P1187="Gasto",X1187="Variable",D1187&lt;&gt;catTrading,S1187&gt;0,S1187&lt;=Umbral),1,0))</f>
        <v/>
      </c>
      <c r="AB1187" s="52">
        <f>IF(OR(P1187="",Q1187=""),"",IFERROR(IF(INDEX(ctaVinc,MATCH(Q1187,ctaNombre,0))&amp;""&lt;&gt;"",INDEX(ctaVinc,MATCH(Q1187,ctaNombre,0))&amp;"",Q1187),Q1187))</f>
        <v/>
      </c>
      <c r="AC1187" s="52">
        <f>IF(OR(K1187="",AND(P1187&lt;&gt;"Transferencia",P1187&lt;&gt;"Pago tarjeta")),"",IFERROR(IF(INDEX(ctaVinc,MATCH(K1187,ctaNombre,0))&amp;""&lt;&gt;"",INDEX(ctaVinc,MATCH(K1187,ctaNombre,0))&amp;"",K1187),K1187))</f>
        <v/>
      </c>
      <c r="AD1187" s="52">
        <f>IF(AB1187="","",IFERROR(INDEX(ctaTipo,MATCH(AB1187,ctaNombre,0))&amp;"",""))</f>
        <v/>
      </c>
      <c r="AE1187" s="52">
        <f>IF(AC1187="","",IFERROR(INDEX(ctaTipo,MATCH(AC1187,ctaNombre,0))&amp;"",""))</f>
        <v/>
      </c>
      <c r="AF1187" s="53">
        <f>IF(OR(P1187="",AB1187=""),"",IF(OR(P1187="Gasto",P1187="Transferencia",P1187="Pago tarjeta"),-1,1)*IF(IFERROR(INDEX(ctaMoneda,MATCH(AB1187,ctaNombre,0))&amp;"","DOP")="USD",T1187,S1187))</f>
        <v/>
      </c>
      <c r="AG1187" s="53">
        <f>IF(AC1187="","",IF(IFERROR(INDEX(ctaMoneda,MATCH(AC1187,ctaNombre,0))&amp;"","DOP")="USD",T1187,S1187))</f>
        <v/>
      </c>
      <c r="AH1187" s="53">
        <f>IF(P1187="","",IF(AND(AD1187&lt;&gt;"",COUNTIFS(tcTipo,AD1187,tcLiq,"Sí")&gt;0),IF(OR(P1187="Gasto",P1187="Transferencia",P1187="Pago tarjeta"),-1,1)*S1187,0)+IF(AND(AE1187&lt;&gt;"",COUNTIFS(tcTipo,AE1187,tcLiq,"Sí")&gt;0),S1187,0))</f>
        <v/>
      </c>
      <c r="AI1187" s="52">
        <f>IF(OR(L1187="",P1187=""),"",IF(COUNTIFS(L$6:L1187,L1187,P$6:P1187,"?*")=1,MAX(AI$5:AI1186)+1,""))</f>
        <v/>
      </c>
    </row>
    <row r="1188">
      <c r="B1188" s="47" t="n"/>
      <c r="C1188" s="48" t="n"/>
      <c r="D1188" s="48" t="n"/>
      <c r="E1188" s="48" t="n"/>
      <c r="F1188" s="48" t="n"/>
      <c r="G1188" s="49" t="n"/>
      <c r="H1188" s="48" t="n"/>
      <c r="I1188" s="50" t="n"/>
      <c r="J1188" s="48" t="n"/>
      <c r="K1188" s="48" t="n"/>
      <c r="L1188" s="48" t="n"/>
      <c r="M1188" s="48" t="n"/>
      <c r="N1188" s="48" t="n"/>
      <c r="O1188" s="51">
        <f>IF(AND(B1188="",G1188="",C1188="",D1188="",J1188=""),"",IF(B1188="","⚠ Falta fecha",IF(G1188="","⚠ Falta monto",IF(Q1188="","⚠ Falta cuenta",IF(ISNA(MATCH(Q1188,ctaNombre,0)),"⚠ Cuenta no registrada",IF(AND(OR(P1188="Gasto",P1188="Reembolso"),D1188=""),"⚠ Falta categoría",IF(AND(D1188&lt;&gt;"",E1188&lt;&gt;"",ISNA(MATCH(D1188&amp;"|"&amp;E1188,catClave,0))),"⚠ Subcategoría no corresponde",IF(AND(OR(P1188="Transferencia",P1188="Pago tarjeta"),K1188=""),"⚠ Falta cuenta destino",IF(AND(K1188&lt;&gt;"",P1188&lt;&gt;"Transferencia",P1188&lt;&gt;"Pago tarjeta"),"⚠ Destino solo aplica a transferencias",IF(AND(K1188&lt;&gt;"",K1188=Q1188),"⚠ Origen igual a destino",IF(AND(K1188&lt;&gt;"",ISNA(MATCH(K1188,ctaNombre,0))),"⚠ Destino no registrado",IF(AND(P1188="Pago tarjeta",AE1188&lt;&gt;"Tarjeta de crédito"),"⚠ El destino debe ser tarjeta de crédito",IF(AND(P1188="Gasto",E1188="Depósitos y retiros"),"⚠ Usa tipo Transferencia",IF(AND(P1188="Resultado trading",AD1188&lt;&gt;"Cuenta de trading"),"⚠ Usa una cuenta de trading",IF(AND(G1188&lt;=0,P1188&lt;&gt;"Ajuste",P1188&lt;&gt;"Resultado trading"),"⚠ El monto debe ser positivo","✓")))))))))))))))</f>
        <v/>
      </c>
      <c r="P1188" s="52">
        <f>IF(OR(B1188="",G1188=""),"",IF(C1188="","Gasto",C1188))</f>
        <v/>
      </c>
      <c r="Q1188" s="52">
        <f>IF(P1188="","",IF(J1188&lt;&gt;"",J1188,CuentaPred&amp;""))</f>
        <v/>
      </c>
      <c r="R1188" s="52">
        <f>IF(P1188="","",IF(ISNUMBER(I1188),I1188,TasaUSD))</f>
        <v/>
      </c>
      <c r="S1188" s="53">
        <f>IF(P1188="","",IF(H1188="USD",G1188*R1188,G1188))</f>
        <v/>
      </c>
      <c r="T1188" s="53">
        <f>IF(P1188="","",IF(H1188="USD",G1188,IF(R1188&gt;0,G1188/R1188,0)))</f>
        <v/>
      </c>
      <c r="U1188" s="53">
        <f>IF(P1188="","",IF(P1188="Gasto",S1188,IF(P1188="Reembolso",-S1188,0)))</f>
        <v/>
      </c>
      <c r="V1188" s="53">
        <f>IF(P1188="","",IF(P1188="Ingreso",S1188,0))</f>
        <v/>
      </c>
      <c r="W1188" s="53">
        <f>IF(P1188="","",IF(P1188="Resultado trading",S1188,0))</f>
        <v/>
      </c>
      <c r="X1188" s="52">
        <f>IF(OR(P1188="Gasto",P1188="Reembolso"),IF(M1188&lt;&gt;"",M1188,IFERROR(INDEX(catClasif,MATCH(D1188&amp;"|"&amp;E1188,catClave,0))&amp;"","Variable")),"")</f>
        <v/>
      </c>
      <c r="Y1188" s="52">
        <f>IF(P1188="","",IFERROR(INDEX(catGrupo,MATCH(D1188&amp;"|"&amp;E1188,catClave,0))&amp;"",""))</f>
        <v/>
      </c>
      <c r="Z1188" s="52">
        <f>IF(P1188="","",WEEKDAY(B1188,2))</f>
        <v/>
      </c>
      <c r="AA1188" s="52">
        <f>IF(P1188="","",IF(AND(P1188="Gasto",X1188="Variable",D1188&lt;&gt;catTrading,S1188&gt;0,S1188&lt;=Umbral),1,0))</f>
        <v/>
      </c>
      <c r="AB1188" s="52">
        <f>IF(OR(P1188="",Q1188=""),"",IFERROR(IF(INDEX(ctaVinc,MATCH(Q1188,ctaNombre,0))&amp;""&lt;&gt;"",INDEX(ctaVinc,MATCH(Q1188,ctaNombre,0))&amp;"",Q1188),Q1188))</f>
        <v/>
      </c>
      <c r="AC1188" s="52">
        <f>IF(OR(K1188="",AND(P1188&lt;&gt;"Transferencia",P1188&lt;&gt;"Pago tarjeta")),"",IFERROR(IF(INDEX(ctaVinc,MATCH(K1188,ctaNombre,0))&amp;""&lt;&gt;"",INDEX(ctaVinc,MATCH(K1188,ctaNombre,0))&amp;"",K1188),K1188))</f>
        <v/>
      </c>
      <c r="AD1188" s="52">
        <f>IF(AB1188="","",IFERROR(INDEX(ctaTipo,MATCH(AB1188,ctaNombre,0))&amp;"",""))</f>
        <v/>
      </c>
      <c r="AE1188" s="52">
        <f>IF(AC1188="","",IFERROR(INDEX(ctaTipo,MATCH(AC1188,ctaNombre,0))&amp;"",""))</f>
        <v/>
      </c>
      <c r="AF1188" s="53">
        <f>IF(OR(P1188="",AB1188=""),"",IF(OR(P1188="Gasto",P1188="Transferencia",P1188="Pago tarjeta"),-1,1)*IF(IFERROR(INDEX(ctaMoneda,MATCH(AB1188,ctaNombre,0))&amp;"","DOP")="USD",T1188,S1188))</f>
        <v/>
      </c>
      <c r="AG1188" s="53">
        <f>IF(AC1188="","",IF(IFERROR(INDEX(ctaMoneda,MATCH(AC1188,ctaNombre,0))&amp;"","DOP")="USD",T1188,S1188))</f>
        <v/>
      </c>
      <c r="AH1188" s="53">
        <f>IF(P1188="","",IF(AND(AD1188&lt;&gt;"",COUNTIFS(tcTipo,AD1188,tcLiq,"Sí")&gt;0),IF(OR(P1188="Gasto",P1188="Transferencia",P1188="Pago tarjeta"),-1,1)*S1188,0)+IF(AND(AE1188&lt;&gt;"",COUNTIFS(tcTipo,AE1188,tcLiq,"Sí")&gt;0),S1188,0))</f>
        <v/>
      </c>
      <c r="AI1188" s="52">
        <f>IF(OR(L1188="",P1188=""),"",IF(COUNTIFS(L$6:L1188,L1188,P$6:P1188,"?*")=1,MAX(AI$5:AI1187)+1,""))</f>
        <v/>
      </c>
    </row>
    <row r="1189">
      <c r="B1189" s="47" t="n"/>
      <c r="C1189" s="48" t="n"/>
      <c r="D1189" s="48" t="n"/>
      <c r="E1189" s="48" t="n"/>
      <c r="F1189" s="48" t="n"/>
      <c r="G1189" s="49" t="n"/>
      <c r="H1189" s="48" t="n"/>
      <c r="I1189" s="50" t="n"/>
      <c r="J1189" s="48" t="n"/>
      <c r="K1189" s="48" t="n"/>
      <c r="L1189" s="48" t="n"/>
      <c r="M1189" s="48" t="n"/>
      <c r="N1189" s="48" t="n"/>
      <c r="O1189" s="51">
        <f>IF(AND(B1189="",G1189="",C1189="",D1189="",J1189=""),"",IF(B1189="","⚠ Falta fecha",IF(G1189="","⚠ Falta monto",IF(Q1189="","⚠ Falta cuenta",IF(ISNA(MATCH(Q1189,ctaNombre,0)),"⚠ Cuenta no registrada",IF(AND(OR(P1189="Gasto",P1189="Reembolso"),D1189=""),"⚠ Falta categoría",IF(AND(D1189&lt;&gt;"",E1189&lt;&gt;"",ISNA(MATCH(D1189&amp;"|"&amp;E1189,catClave,0))),"⚠ Subcategoría no corresponde",IF(AND(OR(P1189="Transferencia",P1189="Pago tarjeta"),K1189=""),"⚠ Falta cuenta destino",IF(AND(K1189&lt;&gt;"",P1189&lt;&gt;"Transferencia",P1189&lt;&gt;"Pago tarjeta"),"⚠ Destino solo aplica a transferencias",IF(AND(K1189&lt;&gt;"",K1189=Q1189),"⚠ Origen igual a destino",IF(AND(K1189&lt;&gt;"",ISNA(MATCH(K1189,ctaNombre,0))),"⚠ Destino no registrado",IF(AND(P1189="Pago tarjeta",AE1189&lt;&gt;"Tarjeta de crédito"),"⚠ El destino debe ser tarjeta de crédito",IF(AND(P1189="Gasto",E1189="Depósitos y retiros"),"⚠ Usa tipo Transferencia",IF(AND(P1189="Resultado trading",AD1189&lt;&gt;"Cuenta de trading"),"⚠ Usa una cuenta de trading",IF(AND(G1189&lt;=0,P1189&lt;&gt;"Ajuste",P1189&lt;&gt;"Resultado trading"),"⚠ El monto debe ser positivo","✓")))))))))))))))</f>
        <v/>
      </c>
      <c r="P1189" s="52">
        <f>IF(OR(B1189="",G1189=""),"",IF(C1189="","Gasto",C1189))</f>
        <v/>
      </c>
      <c r="Q1189" s="52">
        <f>IF(P1189="","",IF(J1189&lt;&gt;"",J1189,CuentaPred&amp;""))</f>
        <v/>
      </c>
      <c r="R1189" s="52">
        <f>IF(P1189="","",IF(ISNUMBER(I1189),I1189,TasaUSD))</f>
        <v/>
      </c>
      <c r="S1189" s="53">
        <f>IF(P1189="","",IF(H1189="USD",G1189*R1189,G1189))</f>
        <v/>
      </c>
      <c r="T1189" s="53">
        <f>IF(P1189="","",IF(H1189="USD",G1189,IF(R1189&gt;0,G1189/R1189,0)))</f>
        <v/>
      </c>
      <c r="U1189" s="53">
        <f>IF(P1189="","",IF(P1189="Gasto",S1189,IF(P1189="Reembolso",-S1189,0)))</f>
        <v/>
      </c>
      <c r="V1189" s="53">
        <f>IF(P1189="","",IF(P1189="Ingreso",S1189,0))</f>
        <v/>
      </c>
      <c r="W1189" s="53">
        <f>IF(P1189="","",IF(P1189="Resultado trading",S1189,0))</f>
        <v/>
      </c>
      <c r="X1189" s="52">
        <f>IF(OR(P1189="Gasto",P1189="Reembolso"),IF(M1189&lt;&gt;"",M1189,IFERROR(INDEX(catClasif,MATCH(D1189&amp;"|"&amp;E1189,catClave,0))&amp;"","Variable")),"")</f>
        <v/>
      </c>
      <c r="Y1189" s="52">
        <f>IF(P1189="","",IFERROR(INDEX(catGrupo,MATCH(D1189&amp;"|"&amp;E1189,catClave,0))&amp;"",""))</f>
        <v/>
      </c>
      <c r="Z1189" s="52">
        <f>IF(P1189="","",WEEKDAY(B1189,2))</f>
        <v/>
      </c>
      <c r="AA1189" s="52">
        <f>IF(P1189="","",IF(AND(P1189="Gasto",X1189="Variable",D1189&lt;&gt;catTrading,S1189&gt;0,S1189&lt;=Umbral),1,0))</f>
        <v/>
      </c>
      <c r="AB1189" s="52">
        <f>IF(OR(P1189="",Q1189=""),"",IFERROR(IF(INDEX(ctaVinc,MATCH(Q1189,ctaNombre,0))&amp;""&lt;&gt;"",INDEX(ctaVinc,MATCH(Q1189,ctaNombre,0))&amp;"",Q1189),Q1189))</f>
        <v/>
      </c>
      <c r="AC1189" s="52">
        <f>IF(OR(K1189="",AND(P1189&lt;&gt;"Transferencia",P1189&lt;&gt;"Pago tarjeta")),"",IFERROR(IF(INDEX(ctaVinc,MATCH(K1189,ctaNombre,0))&amp;""&lt;&gt;"",INDEX(ctaVinc,MATCH(K1189,ctaNombre,0))&amp;"",K1189),K1189))</f>
        <v/>
      </c>
      <c r="AD1189" s="52">
        <f>IF(AB1189="","",IFERROR(INDEX(ctaTipo,MATCH(AB1189,ctaNombre,0))&amp;"",""))</f>
        <v/>
      </c>
      <c r="AE1189" s="52">
        <f>IF(AC1189="","",IFERROR(INDEX(ctaTipo,MATCH(AC1189,ctaNombre,0))&amp;"",""))</f>
        <v/>
      </c>
      <c r="AF1189" s="53">
        <f>IF(OR(P1189="",AB1189=""),"",IF(OR(P1189="Gasto",P1189="Transferencia",P1189="Pago tarjeta"),-1,1)*IF(IFERROR(INDEX(ctaMoneda,MATCH(AB1189,ctaNombre,0))&amp;"","DOP")="USD",T1189,S1189))</f>
        <v/>
      </c>
      <c r="AG1189" s="53">
        <f>IF(AC1189="","",IF(IFERROR(INDEX(ctaMoneda,MATCH(AC1189,ctaNombre,0))&amp;"","DOP")="USD",T1189,S1189))</f>
        <v/>
      </c>
      <c r="AH1189" s="53">
        <f>IF(P1189="","",IF(AND(AD1189&lt;&gt;"",COUNTIFS(tcTipo,AD1189,tcLiq,"Sí")&gt;0),IF(OR(P1189="Gasto",P1189="Transferencia",P1189="Pago tarjeta"),-1,1)*S1189,0)+IF(AND(AE1189&lt;&gt;"",COUNTIFS(tcTipo,AE1189,tcLiq,"Sí")&gt;0),S1189,0))</f>
        <v/>
      </c>
      <c r="AI1189" s="52">
        <f>IF(OR(L1189="",P1189=""),"",IF(COUNTIFS(L$6:L1189,L1189,P$6:P1189,"?*")=1,MAX(AI$5:AI1188)+1,""))</f>
        <v/>
      </c>
    </row>
    <row r="1190">
      <c r="B1190" s="47" t="n"/>
      <c r="C1190" s="48" t="n"/>
      <c r="D1190" s="48" t="n"/>
      <c r="E1190" s="48" t="n"/>
      <c r="F1190" s="48" t="n"/>
      <c r="G1190" s="49" t="n"/>
      <c r="H1190" s="48" t="n"/>
      <c r="I1190" s="50" t="n"/>
      <c r="J1190" s="48" t="n"/>
      <c r="K1190" s="48" t="n"/>
      <c r="L1190" s="48" t="n"/>
      <c r="M1190" s="48" t="n"/>
      <c r="N1190" s="48" t="n"/>
      <c r="O1190" s="51">
        <f>IF(AND(B1190="",G1190="",C1190="",D1190="",J1190=""),"",IF(B1190="","⚠ Falta fecha",IF(G1190="","⚠ Falta monto",IF(Q1190="","⚠ Falta cuenta",IF(ISNA(MATCH(Q1190,ctaNombre,0)),"⚠ Cuenta no registrada",IF(AND(OR(P1190="Gasto",P1190="Reembolso"),D1190=""),"⚠ Falta categoría",IF(AND(D1190&lt;&gt;"",E1190&lt;&gt;"",ISNA(MATCH(D1190&amp;"|"&amp;E1190,catClave,0))),"⚠ Subcategoría no corresponde",IF(AND(OR(P1190="Transferencia",P1190="Pago tarjeta"),K1190=""),"⚠ Falta cuenta destino",IF(AND(K1190&lt;&gt;"",P1190&lt;&gt;"Transferencia",P1190&lt;&gt;"Pago tarjeta"),"⚠ Destino solo aplica a transferencias",IF(AND(K1190&lt;&gt;"",K1190=Q1190),"⚠ Origen igual a destino",IF(AND(K1190&lt;&gt;"",ISNA(MATCH(K1190,ctaNombre,0))),"⚠ Destino no registrado",IF(AND(P1190="Pago tarjeta",AE1190&lt;&gt;"Tarjeta de crédito"),"⚠ El destino debe ser tarjeta de crédito",IF(AND(P1190="Gasto",E1190="Depósitos y retiros"),"⚠ Usa tipo Transferencia",IF(AND(P1190="Resultado trading",AD1190&lt;&gt;"Cuenta de trading"),"⚠ Usa una cuenta de trading",IF(AND(G1190&lt;=0,P1190&lt;&gt;"Ajuste",P1190&lt;&gt;"Resultado trading"),"⚠ El monto debe ser positivo","✓")))))))))))))))</f>
        <v/>
      </c>
      <c r="P1190" s="52">
        <f>IF(OR(B1190="",G1190=""),"",IF(C1190="","Gasto",C1190))</f>
        <v/>
      </c>
      <c r="Q1190" s="52">
        <f>IF(P1190="","",IF(J1190&lt;&gt;"",J1190,CuentaPred&amp;""))</f>
        <v/>
      </c>
      <c r="R1190" s="52">
        <f>IF(P1190="","",IF(ISNUMBER(I1190),I1190,TasaUSD))</f>
        <v/>
      </c>
      <c r="S1190" s="53">
        <f>IF(P1190="","",IF(H1190="USD",G1190*R1190,G1190))</f>
        <v/>
      </c>
      <c r="T1190" s="53">
        <f>IF(P1190="","",IF(H1190="USD",G1190,IF(R1190&gt;0,G1190/R1190,0)))</f>
        <v/>
      </c>
      <c r="U1190" s="53">
        <f>IF(P1190="","",IF(P1190="Gasto",S1190,IF(P1190="Reembolso",-S1190,0)))</f>
        <v/>
      </c>
      <c r="V1190" s="53">
        <f>IF(P1190="","",IF(P1190="Ingreso",S1190,0))</f>
        <v/>
      </c>
      <c r="W1190" s="53">
        <f>IF(P1190="","",IF(P1190="Resultado trading",S1190,0))</f>
        <v/>
      </c>
      <c r="X1190" s="52">
        <f>IF(OR(P1190="Gasto",P1190="Reembolso"),IF(M1190&lt;&gt;"",M1190,IFERROR(INDEX(catClasif,MATCH(D1190&amp;"|"&amp;E1190,catClave,0))&amp;"","Variable")),"")</f>
        <v/>
      </c>
      <c r="Y1190" s="52">
        <f>IF(P1190="","",IFERROR(INDEX(catGrupo,MATCH(D1190&amp;"|"&amp;E1190,catClave,0))&amp;"",""))</f>
        <v/>
      </c>
      <c r="Z1190" s="52">
        <f>IF(P1190="","",WEEKDAY(B1190,2))</f>
        <v/>
      </c>
      <c r="AA1190" s="52">
        <f>IF(P1190="","",IF(AND(P1190="Gasto",X1190="Variable",D1190&lt;&gt;catTrading,S1190&gt;0,S1190&lt;=Umbral),1,0))</f>
        <v/>
      </c>
      <c r="AB1190" s="52">
        <f>IF(OR(P1190="",Q1190=""),"",IFERROR(IF(INDEX(ctaVinc,MATCH(Q1190,ctaNombre,0))&amp;""&lt;&gt;"",INDEX(ctaVinc,MATCH(Q1190,ctaNombre,0))&amp;"",Q1190),Q1190))</f>
        <v/>
      </c>
      <c r="AC1190" s="52">
        <f>IF(OR(K1190="",AND(P1190&lt;&gt;"Transferencia",P1190&lt;&gt;"Pago tarjeta")),"",IFERROR(IF(INDEX(ctaVinc,MATCH(K1190,ctaNombre,0))&amp;""&lt;&gt;"",INDEX(ctaVinc,MATCH(K1190,ctaNombre,0))&amp;"",K1190),K1190))</f>
        <v/>
      </c>
      <c r="AD1190" s="52">
        <f>IF(AB1190="","",IFERROR(INDEX(ctaTipo,MATCH(AB1190,ctaNombre,0))&amp;"",""))</f>
        <v/>
      </c>
      <c r="AE1190" s="52">
        <f>IF(AC1190="","",IFERROR(INDEX(ctaTipo,MATCH(AC1190,ctaNombre,0))&amp;"",""))</f>
        <v/>
      </c>
      <c r="AF1190" s="53">
        <f>IF(OR(P1190="",AB1190=""),"",IF(OR(P1190="Gasto",P1190="Transferencia",P1190="Pago tarjeta"),-1,1)*IF(IFERROR(INDEX(ctaMoneda,MATCH(AB1190,ctaNombre,0))&amp;"","DOP")="USD",T1190,S1190))</f>
        <v/>
      </c>
      <c r="AG1190" s="53">
        <f>IF(AC1190="","",IF(IFERROR(INDEX(ctaMoneda,MATCH(AC1190,ctaNombre,0))&amp;"","DOP")="USD",T1190,S1190))</f>
        <v/>
      </c>
      <c r="AH1190" s="53">
        <f>IF(P1190="","",IF(AND(AD1190&lt;&gt;"",COUNTIFS(tcTipo,AD1190,tcLiq,"Sí")&gt;0),IF(OR(P1190="Gasto",P1190="Transferencia",P1190="Pago tarjeta"),-1,1)*S1190,0)+IF(AND(AE1190&lt;&gt;"",COUNTIFS(tcTipo,AE1190,tcLiq,"Sí")&gt;0),S1190,0))</f>
        <v/>
      </c>
      <c r="AI1190" s="52">
        <f>IF(OR(L1190="",P1190=""),"",IF(COUNTIFS(L$6:L1190,L1190,P$6:P1190,"?*")=1,MAX(AI$5:AI1189)+1,""))</f>
        <v/>
      </c>
    </row>
    <row r="1191">
      <c r="B1191" s="47" t="n"/>
      <c r="C1191" s="48" t="n"/>
      <c r="D1191" s="48" t="n"/>
      <c r="E1191" s="48" t="n"/>
      <c r="F1191" s="48" t="n"/>
      <c r="G1191" s="49" t="n"/>
      <c r="H1191" s="48" t="n"/>
      <c r="I1191" s="50" t="n"/>
      <c r="J1191" s="48" t="n"/>
      <c r="K1191" s="48" t="n"/>
      <c r="L1191" s="48" t="n"/>
      <c r="M1191" s="48" t="n"/>
      <c r="N1191" s="48" t="n"/>
      <c r="O1191" s="51">
        <f>IF(AND(B1191="",G1191="",C1191="",D1191="",J1191=""),"",IF(B1191="","⚠ Falta fecha",IF(G1191="","⚠ Falta monto",IF(Q1191="","⚠ Falta cuenta",IF(ISNA(MATCH(Q1191,ctaNombre,0)),"⚠ Cuenta no registrada",IF(AND(OR(P1191="Gasto",P1191="Reembolso"),D1191=""),"⚠ Falta categoría",IF(AND(D1191&lt;&gt;"",E1191&lt;&gt;"",ISNA(MATCH(D1191&amp;"|"&amp;E1191,catClave,0))),"⚠ Subcategoría no corresponde",IF(AND(OR(P1191="Transferencia",P1191="Pago tarjeta"),K1191=""),"⚠ Falta cuenta destino",IF(AND(K1191&lt;&gt;"",P1191&lt;&gt;"Transferencia",P1191&lt;&gt;"Pago tarjeta"),"⚠ Destino solo aplica a transferencias",IF(AND(K1191&lt;&gt;"",K1191=Q1191),"⚠ Origen igual a destino",IF(AND(K1191&lt;&gt;"",ISNA(MATCH(K1191,ctaNombre,0))),"⚠ Destino no registrado",IF(AND(P1191="Pago tarjeta",AE1191&lt;&gt;"Tarjeta de crédito"),"⚠ El destino debe ser tarjeta de crédito",IF(AND(P1191="Gasto",E1191="Depósitos y retiros"),"⚠ Usa tipo Transferencia",IF(AND(P1191="Resultado trading",AD1191&lt;&gt;"Cuenta de trading"),"⚠ Usa una cuenta de trading",IF(AND(G1191&lt;=0,P1191&lt;&gt;"Ajuste",P1191&lt;&gt;"Resultado trading"),"⚠ El monto debe ser positivo","✓")))))))))))))))</f>
        <v/>
      </c>
      <c r="P1191" s="52">
        <f>IF(OR(B1191="",G1191=""),"",IF(C1191="","Gasto",C1191))</f>
        <v/>
      </c>
      <c r="Q1191" s="52">
        <f>IF(P1191="","",IF(J1191&lt;&gt;"",J1191,CuentaPred&amp;""))</f>
        <v/>
      </c>
      <c r="R1191" s="52">
        <f>IF(P1191="","",IF(ISNUMBER(I1191),I1191,TasaUSD))</f>
        <v/>
      </c>
      <c r="S1191" s="53">
        <f>IF(P1191="","",IF(H1191="USD",G1191*R1191,G1191))</f>
        <v/>
      </c>
      <c r="T1191" s="53">
        <f>IF(P1191="","",IF(H1191="USD",G1191,IF(R1191&gt;0,G1191/R1191,0)))</f>
        <v/>
      </c>
      <c r="U1191" s="53">
        <f>IF(P1191="","",IF(P1191="Gasto",S1191,IF(P1191="Reembolso",-S1191,0)))</f>
        <v/>
      </c>
      <c r="V1191" s="53">
        <f>IF(P1191="","",IF(P1191="Ingreso",S1191,0))</f>
        <v/>
      </c>
      <c r="W1191" s="53">
        <f>IF(P1191="","",IF(P1191="Resultado trading",S1191,0))</f>
        <v/>
      </c>
      <c r="X1191" s="52">
        <f>IF(OR(P1191="Gasto",P1191="Reembolso"),IF(M1191&lt;&gt;"",M1191,IFERROR(INDEX(catClasif,MATCH(D1191&amp;"|"&amp;E1191,catClave,0))&amp;"","Variable")),"")</f>
        <v/>
      </c>
      <c r="Y1191" s="52">
        <f>IF(P1191="","",IFERROR(INDEX(catGrupo,MATCH(D1191&amp;"|"&amp;E1191,catClave,0))&amp;"",""))</f>
        <v/>
      </c>
      <c r="Z1191" s="52">
        <f>IF(P1191="","",WEEKDAY(B1191,2))</f>
        <v/>
      </c>
      <c r="AA1191" s="52">
        <f>IF(P1191="","",IF(AND(P1191="Gasto",X1191="Variable",D1191&lt;&gt;catTrading,S1191&gt;0,S1191&lt;=Umbral),1,0))</f>
        <v/>
      </c>
      <c r="AB1191" s="52">
        <f>IF(OR(P1191="",Q1191=""),"",IFERROR(IF(INDEX(ctaVinc,MATCH(Q1191,ctaNombre,0))&amp;""&lt;&gt;"",INDEX(ctaVinc,MATCH(Q1191,ctaNombre,0))&amp;"",Q1191),Q1191))</f>
        <v/>
      </c>
      <c r="AC1191" s="52">
        <f>IF(OR(K1191="",AND(P1191&lt;&gt;"Transferencia",P1191&lt;&gt;"Pago tarjeta")),"",IFERROR(IF(INDEX(ctaVinc,MATCH(K1191,ctaNombre,0))&amp;""&lt;&gt;"",INDEX(ctaVinc,MATCH(K1191,ctaNombre,0))&amp;"",K1191),K1191))</f>
        <v/>
      </c>
      <c r="AD1191" s="52">
        <f>IF(AB1191="","",IFERROR(INDEX(ctaTipo,MATCH(AB1191,ctaNombre,0))&amp;"",""))</f>
        <v/>
      </c>
      <c r="AE1191" s="52">
        <f>IF(AC1191="","",IFERROR(INDEX(ctaTipo,MATCH(AC1191,ctaNombre,0))&amp;"",""))</f>
        <v/>
      </c>
      <c r="AF1191" s="53">
        <f>IF(OR(P1191="",AB1191=""),"",IF(OR(P1191="Gasto",P1191="Transferencia",P1191="Pago tarjeta"),-1,1)*IF(IFERROR(INDEX(ctaMoneda,MATCH(AB1191,ctaNombre,0))&amp;"","DOP")="USD",T1191,S1191))</f>
        <v/>
      </c>
      <c r="AG1191" s="53">
        <f>IF(AC1191="","",IF(IFERROR(INDEX(ctaMoneda,MATCH(AC1191,ctaNombre,0))&amp;"","DOP")="USD",T1191,S1191))</f>
        <v/>
      </c>
      <c r="AH1191" s="53">
        <f>IF(P1191="","",IF(AND(AD1191&lt;&gt;"",COUNTIFS(tcTipo,AD1191,tcLiq,"Sí")&gt;0),IF(OR(P1191="Gasto",P1191="Transferencia",P1191="Pago tarjeta"),-1,1)*S1191,0)+IF(AND(AE1191&lt;&gt;"",COUNTIFS(tcTipo,AE1191,tcLiq,"Sí")&gt;0),S1191,0))</f>
        <v/>
      </c>
      <c r="AI1191" s="52">
        <f>IF(OR(L1191="",P1191=""),"",IF(COUNTIFS(L$6:L1191,L1191,P$6:P1191,"?*")=1,MAX(AI$5:AI1190)+1,""))</f>
        <v/>
      </c>
    </row>
    <row r="1192">
      <c r="B1192" s="47" t="n"/>
      <c r="C1192" s="48" t="n"/>
      <c r="D1192" s="48" t="n"/>
      <c r="E1192" s="48" t="n"/>
      <c r="F1192" s="48" t="n"/>
      <c r="G1192" s="49" t="n"/>
      <c r="H1192" s="48" t="n"/>
      <c r="I1192" s="50" t="n"/>
      <c r="J1192" s="48" t="n"/>
      <c r="K1192" s="48" t="n"/>
      <c r="L1192" s="48" t="n"/>
      <c r="M1192" s="48" t="n"/>
      <c r="N1192" s="48" t="n"/>
      <c r="O1192" s="51">
        <f>IF(AND(B1192="",G1192="",C1192="",D1192="",J1192=""),"",IF(B1192="","⚠ Falta fecha",IF(G1192="","⚠ Falta monto",IF(Q1192="","⚠ Falta cuenta",IF(ISNA(MATCH(Q1192,ctaNombre,0)),"⚠ Cuenta no registrada",IF(AND(OR(P1192="Gasto",P1192="Reembolso"),D1192=""),"⚠ Falta categoría",IF(AND(D1192&lt;&gt;"",E1192&lt;&gt;"",ISNA(MATCH(D1192&amp;"|"&amp;E1192,catClave,0))),"⚠ Subcategoría no corresponde",IF(AND(OR(P1192="Transferencia",P1192="Pago tarjeta"),K1192=""),"⚠ Falta cuenta destino",IF(AND(K1192&lt;&gt;"",P1192&lt;&gt;"Transferencia",P1192&lt;&gt;"Pago tarjeta"),"⚠ Destino solo aplica a transferencias",IF(AND(K1192&lt;&gt;"",K1192=Q1192),"⚠ Origen igual a destino",IF(AND(K1192&lt;&gt;"",ISNA(MATCH(K1192,ctaNombre,0))),"⚠ Destino no registrado",IF(AND(P1192="Pago tarjeta",AE1192&lt;&gt;"Tarjeta de crédito"),"⚠ El destino debe ser tarjeta de crédito",IF(AND(P1192="Gasto",E1192="Depósitos y retiros"),"⚠ Usa tipo Transferencia",IF(AND(P1192="Resultado trading",AD1192&lt;&gt;"Cuenta de trading"),"⚠ Usa una cuenta de trading",IF(AND(G1192&lt;=0,P1192&lt;&gt;"Ajuste",P1192&lt;&gt;"Resultado trading"),"⚠ El monto debe ser positivo","✓")))))))))))))))</f>
        <v/>
      </c>
      <c r="P1192" s="52">
        <f>IF(OR(B1192="",G1192=""),"",IF(C1192="","Gasto",C1192))</f>
        <v/>
      </c>
      <c r="Q1192" s="52">
        <f>IF(P1192="","",IF(J1192&lt;&gt;"",J1192,CuentaPred&amp;""))</f>
        <v/>
      </c>
      <c r="R1192" s="52">
        <f>IF(P1192="","",IF(ISNUMBER(I1192),I1192,TasaUSD))</f>
        <v/>
      </c>
      <c r="S1192" s="53">
        <f>IF(P1192="","",IF(H1192="USD",G1192*R1192,G1192))</f>
        <v/>
      </c>
      <c r="T1192" s="53">
        <f>IF(P1192="","",IF(H1192="USD",G1192,IF(R1192&gt;0,G1192/R1192,0)))</f>
        <v/>
      </c>
      <c r="U1192" s="53">
        <f>IF(P1192="","",IF(P1192="Gasto",S1192,IF(P1192="Reembolso",-S1192,0)))</f>
        <v/>
      </c>
      <c r="V1192" s="53">
        <f>IF(P1192="","",IF(P1192="Ingreso",S1192,0))</f>
        <v/>
      </c>
      <c r="W1192" s="53">
        <f>IF(P1192="","",IF(P1192="Resultado trading",S1192,0))</f>
        <v/>
      </c>
      <c r="X1192" s="52">
        <f>IF(OR(P1192="Gasto",P1192="Reembolso"),IF(M1192&lt;&gt;"",M1192,IFERROR(INDEX(catClasif,MATCH(D1192&amp;"|"&amp;E1192,catClave,0))&amp;"","Variable")),"")</f>
        <v/>
      </c>
      <c r="Y1192" s="52">
        <f>IF(P1192="","",IFERROR(INDEX(catGrupo,MATCH(D1192&amp;"|"&amp;E1192,catClave,0))&amp;"",""))</f>
        <v/>
      </c>
      <c r="Z1192" s="52">
        <f>IF(P1192="","",WEEKDAY(B1192,2))</f>
        <v/>
      </c>
      <c r="AA1192" s="52">
        <f>IF(P1192="","",IF(AND(P1192="Gasto",X1192="Variable",D1192&lt;&gt;catTrading,S1192&gt;0,S1192&lt;=Umbral),1,0))</f>
        <v/>
      </c>
      <c r="AB1192" s="52">
        <f>IF(OR(P1192="",Q1192=""),"",IFERROR(IF(INDEX(ctaVinc,MATCH(Q1192,ctaNombre,0))&amp;""&lt;&gt;"",INDEX(ctaVinc,MATCH(Q1192,ctaNombre,0))&amp;"",Q1192),Q1192))</f>
        <v/>
      </c>
      <c r="AC1192" s="52">
        <f>IF(OR(K1192="",AND(P1192&lt;&gt;"Transferencia",P1192&lt;&gt;"Pago tarjeta")),"",IFERROR(IF(INDEX(ctaVinc,MATCH(K1192,ctaNombre,0))&amp;""&lt;&gt;"",INDEX(ctaVinc,MATCH(K1192,ctaNombre,0))&amp;"",K1192),K1192))</f>
        <v/>
      </c>
      <c r="AD1192" s="52">
        <f>IF(AB1192="","",IFERROR(INDEX(ctaTipo,MATCH(AB1192,ctaNombre,0))&amp;"",""))</f>
        <v/>
      </c>
      <c r="AE1192" s="52">
        <f>IF(AC1192="","",IFERROR(INDEX(ctaTipo,MATCH(AC1192,ctaNombre,0))&amp;"",""))</f>
        <v/>
      </c>
      <c r="AF1192" s="53">
        <f>IF(OR(P1192="",AB1192=""),"",IF(OR(P1192="Gasto",P1192="Transferencia",P1192="Pago tarjeta"),-1,1)*IF(IFERROR(INDEX(ctaMoneda,MATCH(AB1192,ctaNombre,0))&amp;"","DOP")="USD",T1192,S1192))</f>
        <v/>
      </c>
      <c r="AG1192" s="53">
        <f>IF(AC1192="","",IF(IFERROR(INDEX(ctaMoneda,MATCH(AC1192,ctaNombre,0))&amp;"","DOP")="USD",T1192,S1192))</f>
        <v/>
      </c>
      <c r="AH1192" s="53">
        <f>IF(P1192="","",IF(AND(AD1192&lt;&gt;"",COUNTIFS(tcTipo,AD1192,tcLiq,"Sí")&gt;0),IF(OR(P1192="Gasto",P1192="Transferencia",P1192="Pago tarjeta"),-1,1)*S1192,0)+IF(AND(AE1192&lt;&gt;"",COUNTIFS(tcTipo,AE1192,tcLiq,"Sí")&gt;0),S1192,0))</f>
        <v/>
      </c>
      <c r="AI1192" s="52">
        <f>IF(OR(L1192="",P1192=""),"",IF(COUNTIFS(L$6:L1192,L1192,P$6:P1192,"?*")=1,MAX(AI$5:AI1191)+1,""))</f>
        <v/>
      </c>
    </row>
    <row r="1193">
      <c r="B1193" s="47" t="n"/>
      <c r="C1193" s="48" t="n"/>
      <c r="D1193" s="48" t="n"/>
      <c r="E1193" s="48" t="n"/>
      <c r="F1193" s="48" t="n"/>
      <c r="G1193" s="49" t="n"/>
      <c r="H1193" s="48" t="n"/>
      <c r="I1193" s="50" t="n"/>
      <c r="J1193" s="48" t="n"/>
      <c r="K1193" s="48" t="n"/>
      <c r="L1193" s="48" t="n"/>
      <c r="M1193" s="48" t="n"/>
      <c r="N1193" s="48" t="n"/>
      <c r="O1193" s="51">
        <f>IF(AND(B1193="",G1193="",C1193="",D1193="",J1193=""),"",IF(B1193="","⚠ Falta fecha",IF(G1193="","⚠ Falta monto",IF(Q1193="","⚠ Falta cuenta",IF(ISNA(MATCH(Q1193,ctaNombre,0)),"⚠ Cuenta no registrada",IF(AND(OR(P1193="Gasto",P1193="Reembolso"),D1193=""),"⚠ Falta categoría",IF(AND(D1193&lt;&gt;"",E1193&lt;&gt;"",ISNA(MATCH(D1193&amp;"|"&amp;E1193,catClave,0))),"⚠ Subcategoría no corresponde",IF(AND(OR(P1193="Transferencia",P1193="Pago tarjeta"),K1193=""),"⚠ Falta cuenta destino",IF(AND(K1193&lt;&gt;"",P1193&lt;&gt;"Transferencia",P1193&lt;&gt;"Pago tarjeta"),"⚠ Destino solo aplica a transferencias",IF(AND(K1193&lt;&gt;"",K1193=Q1193),"⚠ Origen igual a destino",IF(AND(K1193&lt;&gt;"",ISNA(MATCH(K1193,ctaNombre,0))),"⚠ Destino no registrado",IF(AND(P1193="Pago tarjeta",AE1193&lt;&gt;"Tarjeta de crédito"),"⚠ El destino debe ser tarjeta de crédito",IF(AND(P1193="Gasto",E1193="Depósitos y retiros"),"⚠ Usa tipo Transferencia",IF(AND(P1193="Resultado trading",AD1193&lt;&gt;"Cuenta de trading"),"⚠ Usa una cuenta de trading",IF(AND(G1193&lt;=0,P1193&lt;&gt;"Ajuste",P1193&lt;&gt;"Resultado trading"),"⚠ El monto debe ser positivo","✓")))))))))))))))</f>
        <v/>
      </c>
      <c r="P1193" s="52">
        <f>IF(OR(B1193="",G1193=""),"",IF(C1193="","Gasto",C1193))</f>
        <v/>
      </c>
      <c r="Q1193" s="52">
        <f>IF(P1193="","",IF(J1193&lt;&gt;"",J1193,CuentaPred&amp;""))</f>
        <v/>
      </c>
      <c r="R1193" s="52">
        <f>IF(P1193="","",IF(ISNUMBER(I1193),I1193,TasaUSD))</f>
        <v/>
      </c>
      <c r="S1193" s="53">
        <f>IF(P1193="","",IF(H1193="USD",G1193*R1193,G1193))</f>
        <v/>
      </c>
      <c r="T1193" s="53">
        <f>IF(P1193="","",IF(H1193="USD",G1193,IF(R1193&gt;0,G1193/R1193,0)))</f>
        <v/>
      </c>
      <c r="U1193" s="53">
        <f>IF(P1193="","",IF(P1193="Gasto",S1193,IF(P1193="Reembolso",-S1193,0)))</f>
        <v/>
      </c>
      <c r="V1193" s="53">
        <f>IF(P1193="","",IF(P1193="Ingreso",S1193,0))</f>
        <v/>
      </c>
      <c r="W1193" s="53">
        <f>IF(P1193="","",IF(P1193="Resultado trading",S1193,0))</f>
        <v/>
      </c>
      <c r="X1193" s="52">
        <f>IF(OR(P1193="Gasto",P1193="Reembolso"),IF(M1193&lt;&gt;"",M1193,IFERROR(INDEX(catClasif,MATCH(D1193&amp;"|"&amp;E1193,catClave,0))&amp;"","Variable")),"")</f>
        <v/>
      </c>
      <c r="Y1193" s="52">
        <f>IF(P1193="","",IFERROR(INDEX(catGrupo,MATCH(D1193&amp;"|"&amp;E1193,catClave,0))&amp;"",""))</f>
        <v/>
      </c>
      <c r="Z1193" s="52">
        <f>IF(P1193="","",WEEKDAY(B1193,2))</f>
        <v/>
      </c>
      <c r="AA1193" s="52">
        <f>IF(P1193="","",IF(AND(P1193="Gasto",X1193="Variable",D1193&lt;&gt;catTrading,S1193&gt;0,S1193&lt;=Umbral),1,0))</f>
        <v/>
      </c>
      <c r="AB1193" s="52">
        <f>IF(OR(P1193="",Q1193=""),"",IFERROR(IF(INDEX(ctaVinc,MATCH(Q1193,ctaNombre,0))&amp;""&lt;&gt;"",INDEX(ctaVinc,MATCH(Q1193,ctaNombre,0))&amp;"",Q1193),Q1193))</f>
        <v/>
      </c>
      <c r="AC1193" s="52">
        <f>IF(OR(K1193="",AND(P1193&lt;&gt;"Transferencia",P1193&lt;&gt;"Pago tarjeta")),"",IFERROR(IF(INDEX(ctaVinc,MATCH(K1193,ctaNombre,0))&amp;""&lt;&gt;"",INDEX(ctaVinc,MATCH(K1193,ctaNombre,0))&amp;"",K1193),K1193))</f>
        <v/>
      </c>
      <c r="AD1193" s="52">
        <f>IF(AB1193="","",IFERROR(INDEX(ctaTipo,MATCH(AB1193,ctaNombre,0))&amp;"",""))</f>
        <v/>
      </c>
      <c r="AE1193" s="52">
        <f>IF(AC1193="","",IFERROR(INDEX(ctaTipo,MATCH(AC1193,ctaNombre,0))&amp;"",""))</f>
        <v/>
      </c>
      <c r="AF1193" s="53">
        <f>IF(OR(P1193="",AB1193=""),"",IF(OR(P1193="Gasto",P1193="Transferencia",P1193="Pago tarjeta"),-1,1)*IF(IFERROR(INDEX(ctaMoneda,MATCH(AB1193,ctaNombre,0))&amp;"","DOP")="USD",T1193,S1193))</f>
        <v/>
      </c>
      <c r="AG1193" s="53">
        <f>IF(AC1193="","",IF(IFERROR(INDEX(ctaMoneda,MATCH(AC1193,ctaNombre,0))&amp;"","DOP")="USD",T1193,S1193))</f>
        <v/>
      </c>
      <c r="AH1193" s="53">
        <f>IF(P1193="","",IF(AND(AD1193&lt;&gt;"",COUNTIFS(tcTipo,AD1193,tcLiq,"Sí")&gt;0),IF(OR(P1193="Gasto",P1193="Transferencia",P1193="Pago tarjeta"),-1,1)*S1193,0)+IF(AND(AE1193&lt;&gt;"",COUNTIFS(tcTipo,AE1193,tcLiq,"Sí")&gt;0),S1193,0))</f>
        <v/>
      </c>
      <c r="AI1193" s="52">
        <f>IF(OR(L1193="",P1193=""),"",IF(COUNTIFS(L$6:L1193,L1193,P$6:P1193,"?*")=1,MAX(AI$5:AI1192)+1,""))</f>
        <v/>
      </c>
    </row>
    <row r="1194">
      <c r="B1194" s="47" t="n"/>
      <c r="C1194" s="48" t="n"/>
      <c r="D1194" s="48" t="n"/>
      <c r="E1194" s="48" t="n"/>
      <c r="F1194" s="48" t="n"/>
      <c r="G1194" s="49" t="n"/>
      <c r="H1194" s="48" t="n"/>
      <c r="I1194" s="50" t="n"/>
      <c r="J1194" s="48" t="n"/>
      <c r="K1194" s="48" t="n"/>
      <c r="L1194" s="48" t="n"/>
      <c r="M1194" s="48" t="n"/>
      <c r="N1194" s="48" t="n"/>
      <c r="O1194" s="51">
        <f>IF(AND(B1194="",G1194="",C1194="",D1194="",J1194=""),"",IF(B1194="","⚠ Falta fecha",IF(G1194="","⚠ Falta monto",IF(Q1194="","⚠ Falta cuenta",IF(ISNA(MATCH(Q1194,ctaNombre,0)),"⚠ Cuenta no registrada",IF(AND(OR(P1194="Gasto",P1194="Reembolso"),D1194=""),"⚠ Falta categoría",IF(AND(D1194&lt;&gt;"",E1194&lt;&gt;"",ISNA(MATCH(D1194&amp;"|"&amp;E1194,catClave,0))),"⚠ Subcategoría no corresponde",IF(AND(OR(P1194="Transferencia",P1194="Pago tarjeta"),K1194=""),"⚠ Falta cuenta destino",IF(AND(K1194&lt;&gt;"",P1194&lt;&gt;"Transferencia",P1194&lt;&gt;"Pago tarjeta"),"⚠ Destino solo aplica a transferencias",IF(AND(K1194&lt;&gt;"",K1194=Q1194),"⚠ Origen igual a destino",IF(AND(K1194&lt;&gt;"",ISNA(MATCH(K1194,ctaNombre,0))),"⚠ Destino no registrado",IF(AND(P1194="Pago tarjeta",AE1194&lt;&gt;"Tarjeta de crédito"),"⚠ El destino debe ser tarjeta de crédito",IF(AND(P1194="Gasto",E1194="Depósitos y retiros"),"⚠ Usa tipo Transferencia",IF(AND(P1194="Resultado trading",AD1194&lt;&gt;"Cuenta de trading"),"⚠ Usa una cuenta de trading",IF(AND(G1194&lt;=0,P1194&lt;&gt;"Ajuste",P1194&lt;&gt;"Resultado trading"),"⚠ El monto debe ser positivo","✓")))))))))))))))</f>
        <v/>
      </c>
      <c r="P1194" s="52">
        <f>IF(OR(B1194="",G1194=""),"",IF(C1194="","Gasto",C1194))</f>
        <v/>
      </c>
      <c r="Q1194" s="52">
        <f>IF(P1194="","",IF(J1194&lt;&gt;"",J1194,CuentaPred&amp;""))</f>
        <v/>
      </c>
      <c r="R1194" s="52">
        <f>IF(P1194="","",IF(ISNUMBER(I1194),I1194,TasaUSD))</f>
        <v/>
      </c>
      <c r="S1194" s="53">
        <f>IF(P1194="","",IF(H1194="USD",G1194*R1194,G1194))</f>
        <v/>
      </c>
      <c r="T1194" s="53">
        <f>IF(P1194="","",IF(H1194="USD",G1194,IF(R1194&gt;0,G1194/R1194,0)))</f>
        <v/>
      </c>
      <c r="U1194" s="53">
        <f>IF(P1194="","",IF(P1194="Gasto",S1194,IF(P1194="Reembolso",-S1194,0)))</f>
        <v/>
      </c>
      <c r="V1194" s="53">
        <f>IF(P1194="","",IF(P1194="Ingreso",S1194,0))</f>
        <v/>
      </c>
      <c r="W1194" s="53">
        <f>IF(P1194="","",IF(P1194="Resultado trading",S1194,0))</f>
        <v/>
      </c>
      <c r="X1194" s="52">
        <f>IF(OR(P1194="Gasto",P1194="Reembolso"),IF(M1194&lt;&gt;"",M1194,IFERROR(INDEX(catClasif,MATCH(D1194&amp;"|"&amp;E1194,catClave,0))&amp;"","Variable")),"")</f>
        <v/>
      </c>
      <c r="Y1194" s="52">
        <f>IF(P1194="","",IFERROR(INDEX(catGrupo,MATCH(D1194&amp;"|"&amp;E1194,catClave,0))&amp;"",""))</f>
        <v/>
      </c>
      <c r="Z1194" s="52">
        <f>IF(P1194="","",WEEKDAY(B1194,2))</f>
        <v/>
      </c>
      <c r="AA1194" s="52">
        <f>IF(P1194="","",IF(AND(P1194="Gasto",X1194="Variable",D1194&lt;&gt;catTrading,S1194&gt;0,S1194&lt;=Umbral),1,0))</f>
        <v/>
      </c>
      <c r="AB1194" s="52">
        <f>IF(OR(P1194="",Q1194=""),"",IFERROR(IF(INDEX(ctaVinc,MATCH(Q1194,ctaNombre,0))&amp;""&lt;&gt;"",INDEX(ctaVinc,MATCH(Q1194,ctaNombre,0))&amp;"",Q1194),Q1194))</f>
        <v/>
      </c>
      <c r="AC1194" s="52">
        <f>IF(OR(K1194="",AND(P1194&lt;&gt;"Transferencia",P1194&lt;&gt;"Pago tarjeta")),"",IFERROR(IF(INDEX(ctaVinc,MATCH(K1194,ctaNombre,0))&amp;""&lt;&gt;"",INDEX(ctaVinc,MATCH(K1194,ctaNombre,0))&amp;"",K1194),K1194))</f>
        <v/>
      </c>
      <c r="AD1194" s="52">
        <f>IF(AB1194="","",IFERROR(INDEX(ctaTipo,MATCH(AB1194,ctaNombre,0))&amp;"",""))</f>
        <v/>
      </c>
      <c r="AE1194" s="52">
        <f>IF(AC1194="","",IFERROR(INDEX(ctaTipo,MATCH(AC1194,ctaNombre,0))&amp;"",""))</f>
        <v/>
      </c>
      <c r="AF1194" s="53">
        <f>IF(OR(P1194="",AB1194=""),"",IF(OR(P1194="Gasto",P1194="Transferencia",P1194="Pago tarjeta"),-1,1)*IF(IFERROR(INDEX(ctaMoneda,MATCH(AB1194,ctaNombre,0))&amp;"","DOP")="USD",T1194,S1194))</f>
        <v/>
      </c>
      <c r="AG1194" s="53">
        <f>IF(AC1194="","",IF(IFERROR(INDEX(ctaMoneda,MATCH(AC1194,ctaNombre,0))&amp;"","DOP")="USD",T1194,S1194))</f>
        <v/>
      </c>
      <c r="AH1194" s="53">
        <f>IF(P1194="","",IF(AND(AD1194&lt;&gt;"",COUNTIFS(tcTipo,AD1194,tcLiq,"Sí")&gt;0),IF(OR(P1194="Gasto",P1194="Transferencia",P1194="Pago tarjeta"),-1,1)*S1194,0)+IF(AND(AE1194&lt;&gt;"",COUNTIFS(tcTipo,AE1194,tcLiq,"Sí")&gt;0),S1194,0))</f>
        <v/>
      </c>
      <c r="AI1194" s="52">
        <f>IF(OR(L1194="",P1194=""),"",IF(COUNTIFS(L$6:L1194,L1194,P$6:P1194,"?*")=1,MAX(AI$5:AI1193)+1,""))</f>
        <v/>
      </c>
    </row>
    <row r="1195">
      <c r="B1195" s="47" t="n"/>
      <c r="C1195" s="48" t="n"/>
      <c r="D1195" s="48" t="n"/>
      <c r="E1195" s="48" t="n"/>
      <c r="F1195" s="48" t="n"/>
      <c r="G1195" s="49" t="n"/>
      <c r="H1195" s="48" t="n"/>
      <c r="I1195" s="50" t="n"/>
      <c r="J1195" s="48" t="n"/>
      <c r="K1195" s="48" t="n"/>
      <c r="L1195" s="48" t="n"/>
      <c r="M1195" s="48" t="n"/>
      <c r="N1195" s="48" t="n"/>
      <c r="O1195" s="51">
        <f>IF(AND(B1195="",G1195="",C1195="",D1195="",J1195=""),"",IF(B1195="","⚠ Falta fecha",IF(G1195="","⚠ Falta monto",IF(Q1195="","⚠ Falta cuenta",IF(ISNA(MATCH(Q1195,ctaNombre,0)),"⚠ Cuenta no registrada",IF(AND(OR(P1195="Gasto",P1195="Reembolso"),D1195=""),"⚠ Falta categoría",IF(AND(D1195&lt;&gt;"",E1195&lt;&gt;"",ISNA(MATCH(D1195&amp;"|"&amp;E1195,catClave,0))),"⚠ Subcategoría no corresponde",IF(AND(OR(P1195="Transferencia",P1195="Pago tarjeta"),K1195=""),"⚠ Falta cuenta destino",IF(AND(K1195&lt;&gt;"",P1195&lt;&gt;"Transferencia",P1195&lt;&gt;"Pago tarjeta"),"⚠ Destino solo aplica a transferencias",IF(AND(K1195&lt;&gt;"",K1195=Q1195),"⚠ Origen igual a destino",IF(AND(K1195&lt;&gt;"",ISNA(MATCH(K1195,ctaNombre,0))),"⚠ Destino no registrado",IF(AND(P1195="Pago tarjeta",AE1195&lt;&gt;"Tarjeta de crédito"),"⚠ El destino debe ser tarjeta de crédito",IF(AND(P1195="Gasto",E1195="Depósitos y retiros"),"⚠ Usa tipo Transferencia",IF(AND(P1195="Resultado trading",AD1195&lt;&gt;"Cuenta de trading"),"⚠ Usa una cuenta de trading",IF(AND(G1195&lt;=0,P1195&lt;&gt;"Ajuste",P1195&lt;&gt;"Resultado trading"),"⚠ El monto debe ser positivo","✓")))))))))))))))</f>
        <v/>
      </c>
      <c r="P1195" s="52">
        <f>IF(OR(B1195="",G1195=""),"",IF(C1195="","Gasto",C1195))</f>
        <v/>
      </c>
      <c r="Q1195" s="52">
        <f>IF(P1195="","",IF(J1195&lt;&gt;"",J1195,CuentaPred&amp;""))</f>
        <v/>
      </c>
      <c r="R1195" s="52">
        <f>IF(P1195="","",IF(ISNUMBER(I1195),I1195,TasaUSD))</f>
        <v/>
      </c>
      <c r="S1195" s="53">
        <f>IF(P1195="","",IF(H1195="USD",G1195*R1195,G1195))</f>
        <v/>
      </c>
      <c r="T1195" s="53">
        <f>IF(P1195="","",IF(H1195="USD",G1195,IF(R1195&gt;0,G1195/R1195,0)))</f>
        <v/>
      </c>
      <c r="U1195" s="53">
        <f>IF(P1195="","",IF(P1195="Gasto",S1195,IF(P1195="Reembolso",-S1195,0)))</f>
        <v/>
      </c>
      <c r="V1195" s="53">
        <f>IF(P1195="","",IF(P1195="Ingreso",S1195,0))</f>
        <v/>
      </c>
      <c r="W1195" s="53">
        <f>IF(P1195="","",IF(P1195="Resultado trading",S1195,0))</f>
        <v/>
      </c>
      <c r="X1195" s="52">
        <f>IF(OR(P1195="Gasto",P1195="Reembolso"),IF(M1195&lt;&gt;"",M1195,IFERROR(INDEX(catClasif,MATCH(D1195&amp;"|"&amp;E1195,catClave,0))&amp;"","Variable")),"")</f>
        <v/>
      </c>
      <c r="Y1195" s="52">
        <f>IF(P1195="","",IFERROR(INDEX(catGrupo,MATCH(D1195&amp;"|"&amp;E1195,catClave,0))&amp;"",""))</f>
        <v/>
      </c>
      <c r="Z1195" s="52">
        <f>IF(P1195="","",WEEKDAY(B1195,2))</f>
        <v/>
      </c>
      <c r="AA1195" s="52">
        <f>IF(P1195="","",IF(AND(P1195="Gasto",X1195="Variable",D1195&lt;&gt;catTrading,S1195&gt;0,S1195&lt;=Umbral),1,0))</f>
        <v/>
      </c>
      <c r="AB1195" s="52">
        <f>IF(OR(P1195="",Q1195=""),"",IFERROR(IF(INDEX(ctaVinc,MATCH(Q1195,ctaNombre,0))&amp;""&lt;&gt;"",INDEX(ctaVinc,MATCH(Q1195,ctaNombre,0))&amp;"",Q1195),Q1195))</f>
        <v/>
      </c>
      <c r="AC1195" s="52">
        <f>IF(OR(K1195="",AND(P1195&lt;&gt;"Transferencia",P1195&lt;&gt;"Pago tarjeta")),"",IFERROR(IF(INDEX(ctaVinc,MATCH(K1195,ctaNombre,0))&amp;""&lt;&gt;"",INDEX(ctaVinc,MATCH(K1195,ctaNombre,0))&amp;"",K1195),K1195))</f>
        <v/>
      </c>
      <c r="AD1195" s="52">
        <f>IF(AB1195="","",IFERROR(INDEX(ctaTipo,MATCH(AB1195,ctaNombre,0))&amp;"",""))</f>
        <v/>
      </c>
      <c r="AE1195" s="52">
        <f>IF(AC1195="","",IFERROR(INDEX(ctaTipo,MATCH(AC1195,ctaNombre,0))&amp;"",""))</f>
        <v/>
      </c>
      <c r="AF1195" s="53">
        <f>IF(OR(P1195="",AB1195=""),"",IF(OR(P1195="Gasto",P1195="Transferencia",P1195="Pago tarjeta"),-1,1)*IF(IFERROR(INDEX(ctaMoneda,MATCH(AB1195,ctaNombre,0))&amp;"","DOP")="USD",T1195,S1195))</f>
        <v/>
      </c>
      <c r="AG1195" s="53">
        <f>IF(AC1195="","",IF(IFERROR(INDEX(ctaMoneda,MATCH(AC1195,ctaNombre,0))&amp;"","DOP")="USD",T1195,S1195))</f>
        <v/>
      </c>
      <c r="AH1195" s="53">
        <f>IF(P1195="","",IF(AND(AD1195&lt;&gt;"",COUNTIFS(tcTipo,AD1195,tcLiq,"Sí")&gt;0),IF(OR(P1195="Gasto",P1195="Transferencia",P1195="Pago tarjeta"),-1,1)*S1195,0)+IF(AND(AE1195&lt;&gt;"",COUNTIFS(tcTipo,AE1195,tcLiq,"Sí")&gt;0),S1195,0))</f>
        <v/>
      </c>
      <c r="AI1195" s="52">
        <f>IF(OR(L1195="",P1195=""),"",IF(COUNTIFS(L$6:L1195,L1195,P$6:P1195,"?*")=1,MAX(AI$5:AI1194)+1,""))</f>
        <v/>
      </c>
    </row>
    <row r="1196">
      <c r="B1196" s="47" t="n"/>
      <c r="C1196" s="48" t="n"/>
      <c r="D1196" s="48" t="n"/>
      <c r="E1196" s="48" t="n"/>
      <c r="F1196" s="48" t="n"/>
      <c r="G1196" s="49" t="n"/>
      <c r="H1196" s="48" t="n"/>
      <c r="I1196" s="50" t="n"/>
      <c r="J1196" s="48" t="n"/>
      <c r="K1196" s="48" t="n"/>
      <c r="L1196" s="48" t="n"/>
      <c r="M1196" s="48" t="n"/>
      <c r="N1196" s="48" t="n"/>
      <c r="O1196" s="51">
        <f>IF(AND(B1196="",G1196="",C1196="",D1196="",J1196=""),"",IF(B1196="","⚠ Falta fecha",IF(G1196="","⚠ Falta monto",IF(Q1196="","⚠ Falta cuenta",IF(ISNA(MATCH(Q1196,ctaNombre,0)),"⚠ Cuenta no registrada",IF(AND(OR(P1196="Gasto",P1196="Reembolso"),D1196=""),"⚠ Falta categoría",IF(AND(D1196&lt;&gt;"",E1196&lt;&gt;"",ISNA(MATCH(D1196&amp;"|"&amp;E1196,catClave,0))),"⚠ Subcategoría no corresponde",IF(AND(OR(P1196="Transferencia",P1196="Pago tarjeta"),K1196=""),"⚠ Falta cuenta destino",IF(AND(K1196&lt;&gt;"",P1196&lt;&gt;"Transferencia",P1196&lt;&gt;"Pago tarjeta"),"⚠ Destino solo aplica a transferencias",IF(AND(K1196&lt;&gt;"",K1196=Q1196),"⚠ Origen igual a destino",IF(AND(K1196&lt;&gt;"",ISNA(MATCH(K1196,ctaNombre,0))),"⚠ Destino no registrado",IF(AND(P1196="Pago tarjeta",AE1196&lt;&gt;"Tarjeta de crédito"),"⚠ El destino debe ser tarjeta de crédito",IF(AND(P1196="Gasto",E1196="Depósitos y retiros"),"⚠ Usa tipo Transferencia",IF(AND(P1196="Resultado trading",AD1196&lt;&gt;"Cuenta de trading"),"⚠ Usa una cuenta de trading",IF(AND(G1196&lt;=0,P1196&lt;&gt;"Ajuste",P1196&lt;&gt;"Resultado trading"),"⚠ El monto debe ser positivo","✓")))))))))))))))</f>
        <v/>
      </c>
      <c r="P1196" s="52">
        <f>IF(OR(B1196="",G1196=""),"",IF(C1196="","Gasto",C1196))</f>
        <v/>
      </c>
      <c r="Q1196" s="52">
        <f>IF(P1196="","",IF(J1196&lt;&gt;"",J1196,CuentaPred&amp;""))</f>
        <v/>
      </c>
      <c r="R1196" s="52">
        <f>IF(P1196="","",IF(ISNUMBER(I1196),I1196,TasaUSD))</f>
        <v/>
      </c>
      <c r="S1196" s="53">
        <f>IF(P1196="","",IF(H1196="USD",G1196*R1196,G1196))</f>
        <v/>
      </c>
      <c r="T1196" s="53">
        <f>IF(P1196="","",IF(H1196="USD",G1196,IF(R1196&gt;0,G1196/R1196,0)))</f>
        <v/>
      </c>
      <c r="U1196" s="53">
        <f>IF(P1196="","",IF(P1196="Gasto",S1196,IF(P1196="Reembolso",-S1196,0)))</f>
        <v/>
      </c>
      <c r="V1196" s="53">
        <f>IF(P1196="","",IF(P1196="Ingreso",S1196,0))</f>
        <v/>
      </c>
      <c r="W1196" s="53">
        <f>IF(P1196="","",IF(P1196="Resultado trading",S1196,0))</f>
        <v/>
      </c>
      <c r="X1196" s="52">
        <f>IF(OR(P1196="Gasto",P1196="Reembolso"),IF(M1196&lt;&gt;"",M1196,IFERROR(INDEX(catClasif,MATCH(D1196&amp;"|"&amp;E1196,catClave,0))&amp;"","Variable")),"")</f>
        <v/>
      </c>
      <c r="Y1196" s="52">
        <f>IF(P1196="","",IFERROR(INDEX(catGrupo,MATCH(D1196&amp;"|"&amp;E1196,catClave,0))&amp;"",""))</f>
        <v/>
      </c>
      <c r="Z1196" s="52">
        <f>IF(P1196="","",WEEKDAY(B1196,2))</f>
        <v/>
      </c>
      <c r="AA1196" s="52">
        <f>IF(P1196="","",IF(AND(P1196="Gasto",X1196="Variable",D1196&lt;&gt;catTrading,S1196&gt;0,S1196&lt;=Umbral),1,0))</f>
        <v/>
      </c>
      <c r="AB1196" s="52">
        <f>IF(OR(P1196="",Q1196=""),"",IFERROR(IF(INDEX(ctaVinc,MATCH(Q1196,ctaNombre,0))&amp;""&lt;&gt;"",INDEX(ctaVinc,MATCH(Q1196,ctaNombre,0))&amp;"",Q1196),Q1196))</f>
        <v/>
      </c>
      <c r="AC1196" s="52">
        <f>IF(OR(K1196="",AND(P1196&lt;&gt;"Transferencia",P1196&lt;&gt;"Pago tarjeta")),"",IFERROR(IF(INDEX(ctaVinc,MATCH(K1196,ctaNombre,0))&amp;""&lt;&gt;"",INDEX(ctaVinc,MATCH(K1196,ctaNombre,0))&amp;"",K1196),K1196))</f>
        <v/>
      </c>
      <c r="AD1196" s="52">
        <f>IF(AB1196="","",IFERROR(INDEX(ctaTipo,MATCH(AB1196,ctaNombre,0))&amp;"",""))</f>
        <v/>
      </c>
      <c r="AE1196" s="52">
        <f>IF(AC1196="","",IFERROR(INDEX(ctaTipo,MATCH(AC1196,ctaNombre,0))&amp;"",""))</f>
        <v/>
      </c>
      <c r="AF1196" s="53">
        <f>IF(OR(P1196="",AB1196=""),"",IF(OR(P1196="Gasto",P1196="Transferencia",P1196="Pago tarjeta"),-1,1)*IF(IFERROR(INDEX(ctaMoneda,MATCH(AB1196,ctaNombre,0))&amp;"","DOP")="USD",T1196,S1196))</f>
        <v/>
      </c>
      <c r="AG1196" s="53">
        <f>IF(AC1196="","",IF(IFERROR(INDEX(ctaMoneda,MATCH(AC1196,ctaNombre,0))&amp;"","DOP")="USD",T1196,S1196))</f>
        <v/>
      </c>
      <c r="AH1196" s="53">
        <f>IF(P1196="","",IF(AND(AD1196&lt;&gt;"",COUNTIFS(tcTipo,AD1196,tcLiq,"Sí")&gt;0),IF(OR(P1196="Gasto",P1196="Transferencia",P1196="Pago tarjeta"),-1,1)*S1196,0)+IF(AND(AE1196&lt;&gt;"",COUNTIFS(tcTipo,AE1196,tcLiq,"Sí")&gt;0),S1196,0))</f>
        <v/>
      </c>
      <c r="AI1196" s="52">
        <f>IF(OR(L1196="",P1196=""),"",IF(COUNTIFS(L$6:L1196,L1196,P$6:P1196,"?*")=1,MAX(AI$5:AI1195)+1,""))</f>
        <v/>
      </c>
    </row>
    <row r="1197">
      <c r="B1197" s="47" t="n"/>
      <c r="C1197" s="48" t="n"/>
      <c r="D1197" s="48" t="n"/>
      <c r="E1197" s="48" t="n"/>
      <c r="F1197" s="48" t="n"/>
      <c r="G1197" s="49" t="n"/>
      <c r="H1197" s="48" t="n"/>
      <c r="I1197" s="50" t="n"/>
      <c r="J1197" s="48" t="n"/>
      <c r="K1197" s="48" t="n"/>
      <c r="L1197" s="48" t="n"/>
      <c r="M1197" s="48" t="n"/>
      <c r="N1197" s="48" t="n"/>
      <c r="O1197" s="51">
        <f>IF(AND(B1197="",G1197="",C1197="",D1197="",J1197=""),"",IF(B1197="","⚠ Falta fecha",IF(G1197="","⚠ Falta monto",IF(Q1197="","⚠ Falta cuenta",IF(ISNA(MATCH(Q1197,ctaNombre,0)),"⚠ Cuenta no registrada",IF(AND(OR(P1197="Gasto",P1197="Reembolso"),D1197=""),"⚠ Falta categoría",IF(AND(D1197&lt;&gt;"",E1197&lt;&gt;"",ISNA(MATCH(D1197&amp;"|"&amp;E1197,catClave,0))),"⚠ Subcategoría no corresponde",IF(AND(OR(P1197="Transferencia",P1197="Pago tarjeta"),K1197=""),"⚠ Falta cuenta destino",IF(AND(K1197&lt;&gt;"",P1197&lt;&gt;"Transferencia",P1197&lt;&gt;"Pago tarjeta"),"⚠ Destino solo aplica a transferencias",IF(AND(K1197&lt;&gt;"",K1197=Q1197),"⚠ Origen igual a destino",IF(AND(K1197&lt;&gt;"",ISNA(MATCH(K1197,ctaNombre,0))),"⚠ Destino no registrado",IF(AND(P1197="Pago tarjeta",AE1197&lt;&gt;"Tarjeta de crédito"),"⚠ El destino debe ser tarjeta de crédito",IF(AND(P1197="Gasto",E1197="Depósitos y retiros"),"⚠ Usa tipo Transferencia",IF(AND(P1197="Resultado trading",AD1197&lt;&gt;"Cuenta de trading"),"⚠ Usa una cuenta de trading",IF(AND(G1197&lt;=0,P1197&lt;&gt;"Ajuste",P1197&lt;&gt;"Resultado trading"),"⚠ El monto debe ser positivo","✓")))))))))))))))</f>
        <v/>
      </c>
      <c r="P1197" s="52">
        <f>IF(OR(B1197="",G1197=""),"",IF(C1197="","Gasto",C1197))</f>
        <v/>
      </c>
      <c r="Q1197" s="52">
        <f>IF(P1197="","",IF(J1197&lt;&gt;"",J1197,CuentaPred&amp;""))</f>
        <v/>
      </c>
      <c r="R1197" s="52">
        <f>IF(P1197="","",IF(ISNUMBER(I1197),I1197,TasaUSD))</f>
        <v/>
      </c>
      <c r="S1197" s="53">
        <f>IF(P1197="","",IF(H1197="USD",G1197*R1197,G1197))</f>
        <v/>
      </c>
      <c r="T1197" s="53">
        <f>IF(P1197="","",IF(H1197="USD",G1197,IF(R1197&gt;0,G1197/R1197,0)))</f>
        <v/>
      </c>
      <c r="U1197" s="53">
        <f>IF(P1197="","",IF(P1197="Gasto",S1197,IF(P1197="Reembolso",-S1197,0)))</f>
        <v/>
      </c>
      <c r="V1197" s="53">
        <f>IF(P1197="","",IF(P1197="Ingreso",S1197,0))</f>
        <v/>
      </c>
      <c r="W1197" s="53">
        <f>IF(P1197="","",IF(P1197="Resultado trading",S1197,0))</f>
        <v/>
      </c>
      <c r="X1197" s="52">
        <f>IF(OR(P1197="Gasto",P1197="Reembolso"),IF(M1197&lt;&gt;"",M1197,IFERROR(INDEX(catClasif,MATCH(D1197&amp;"|"&amp;E1197,catClave,0))&amp;"","Variable")),"")</f>
        <v/>
      </c>
      <c r="Y1197" s="52">
        <f>IF(P1197="","",IFERROR(INDEX(catGrupo,MATCH(D1197&amp;"|"&amp;E1197,catClave,0))&amp;"",""))</f>
        <v/>
      </c>
      <c r="Z1197" s="52">
        <f>IF(P1197="","",WEEKDAY(B1197,2))</f>
        <v/>
      </c>
      <c r="AA1197" s="52">
        <f>IF(P1197="","",IF(AND(P1197="Gasto",X1197="Variable",D1197&lt;&gt;catTrading,S1197&gt;0,S1197&lt;=Umbral),1,0))</f>
        <v/>
      </c>
      <c r="AB1197" s="52">
        <f>IF(OR(P1197="",Q1197=""),"",IFERROR(IF(INDEX(ctaVinc,MATCH(Q1197,ctaNombre,0))&amp;""&lt;&gt;"",INDEX(ctaVinc,MATCH(Q1197,ctaNombre,0))&amp;"",Q1197),Q1197))</f>
        <v/>
      </c>
      <c r="AC1197" s="52">
        <f>IF(OR(K1197="",AND(P1197&lt;&gt;"Transferencia",P1197&lt;&gt;"Pago tarjeta")),"",IFERROR(IF(INDEX(ctaVinc,MATCH(K1197,ctaNombre,0))&amp;""&lt;&gt;"",INDEX(ctaVinc,MATCH(K1197,ctaNombre,0))&amp;"",K1197),K1197))</f>
        <v/>
      </c>
      <c r="AD1197" s="52">
        <f>IF(AB1197="","",IFERROR(INDEX(ctaTipo,MATCH(AB1197,ctaNombre,0))&amp;"",""))</f>
        <v/>
      </c>
      <c r="AE1197" s="52">
        <f>IF(AC1197="","",IFERROR(INDEX(ctaTipo,MATCH(AC1197,ctaNombre,0))&amp;"",""))</f>
        <v/>
      </c>
      <c r="AF1197" s="53">
        <f>IF(OR(P1197="",AB1197=""),"",IF(OR(P1197="Gasto",P1197="Transferencia",P1197="Pago tarjeta"),-1,1)*IF(IFERROR(INDEX(ctaMoneda,MATCH(AB1197,ctaNombre,0))&amp;"","DOP")="USD",T1197,S1197))</f>
        <v/>
      </c>
      <c r="AG1197" s="53">
        <f>IF(AC1197="","",IF(IFERROR(INDEX(ctaMoneda,MATCH(AC1197,ctaNombre,0))&amp;"","DOP")="USD",T1197,S1197))</f>
        <v/>
      </c>
      <c r="AH1197" s="53">
        <f>IF(P1197="","",IF(AND(AD1197&lt;&gt;"",COUNTIFS(tcTipo,AD1197,tcLiq,"Sí")&gt;0),IF(OR(P1197="Gasto",P1197="Transferencia",P1197="Pago tarjeta"),-1,1)*S1197,0)+IF(AND(AE1197&lt;&gt;"",COUNTIFS(tcTipo,AE1197,tcLiq,"Sí")&gt;0),S1197,0))</f>
        <v/>
      </c>
      <c r="AI1197" s="52">
        <f>IF(OR(L1197="",P1197=""),"",IF(COUNTIFS(L$6:L1197,L1197,P$6:P1197,"?*")=1,MAX(AI$5:AI1196)+1,""))</f>
        <v/>
      </c>
    </row>
    <row r="1198">
      <c r="B1198" s="47" t="n"/>
      <c r="C1198" s="48" t="n"/>
      <c r="D1198" s="48" t="n"/>
      <c r="E1198" s="48" t="n"/>
      <c r="F1198" s="48" t="n"/>
      <c r="G1198" s="49" t="n"/>
      <c r="H1198" s="48" t="n"/>
      <c r="I1198" s="50" t="n"/>
      <c r="J1198" s="48" t="n"/>
      <c r="K1198" s="48" t="n"/>
      <c r="L1198" s="48" t="n"/>
      <c r="M1198" s="48" t="n"/>
      <c r="N1198" s="48" t="n"/>
      <c r="O1198" s="51">
        <f>IF(AND(B1198="",G1198="",C1198="",D1198="",J1198=""),"",IF(B1198="","⚠ Falta fecha",IF(G1198="","⚠ Falta monto",IF(Q1198="","⚠ Falta cuenta",IF(ISNA(MATCH(Q1198,ctaNombre,0)),"⚠ Cuenta no registrada",IF(AND(OR(P1198="Gasto",P1198="Reembolso"),D1198=""),"⚠ Falta categoría",IF(AND(D1198&lt;&gt;"",E1198&lt;&gt;"",ISNA(MATCH(D1198&amp;"|"&amp;E1198,catClave,0))),"⚠ Subcategoría no corresponde",IF(AND(OR(P1198="Transferencia",P1198="Pago tarjeta"),K1198=""),"⚠ Falta cuenta destino",IF(AND(K1198&lt;&gt;"",P1198&lt;&gt;"Transferencia",P1198&lt;&gt;"Pago tarjeta"),"⚠ Destino solo aplica a transferencias",IF(AND(K1198&lt;&gt;"",K1198=Q1198),"⚠ Origen igual a destino",IF(AND(K1198&lt;&gt;"",ISNA(MATCH(K1198,ctaNombre,0))),"⚠ Destino no registrado",IF(AND(P1198="Pago tarjeta",AE1198&lt;&gt;"Tarjeta de crédito"),"⚠ El destino debe ser tarjeta de crédito",IF(AND(P1198="Gasto",E1198="Depósitos y retiros"),"⚠ Usa tipo Transferencia",IF(AND(P1198="Resultado trading",AD1198&lt;&gt;"Cuenta de trading"),"⚠ Usa una cuenta de trading",IF(AND(G1198&lt;=0,P1198&lt;&gt;"Ajuste",P1198&lt;&gt;"Resultado trading"),"⚠ El monto debe ser positivo","✓")))))))))))))))</f>
        <v/>
      </c>
      <c r="P1198" s="52">
        <f>IF(OR(B1198="",G1198=""),"",IF(C1198="","Gasto",C1198))</f>
        <v/>
      </c>
      <c r="Q1198" s="52">
        <f>IF(P1198="","",IF(J1198&lt;&gt;"",J1198,CuentaPred&amp;""))</f>
        <v/>
      </c>
      <c r="R1198" s="52">
        <f>IF(P1198="","",IF(ISNUMBER(I1198),I1198,TasaUSD))</f>
        <v/>
      </c>
      <c r="S1198" s="53">
        <f>IF(P1198="","",IF(H1198="USD",G1198*R1198,G1198))</f>
        <v/>
      </c>
      <c r="T1198" s="53">
        <f>IF(P1198="","",IF(H1198="USD",G1198,IF(R1198&gt;0,G1198/R1198,0)))</f>
        <v/>
      </c>
      <c r="U1198" s="53">
        <f>IF(P1198="","",IF(P1198="Gasto",S1198,IF(P1198="Reembolso",-S1198,0)))</f>
        <v/>
      </c>
      <c r="V1198" s="53">
        <f>IF(P1198="","",IF(P1198="Ingreso",S1198,0))</f>
        <v/>
      </c>
      <c r="W1198" s="53">
        <f>IF(P1198="","",IF(P1198="Resultado trading",S1198,0))</f>
        <v/>
      </c>
      <c r="X1198" s="52">
        <f>IF(OR(P1198="Gasto",P1198="Reembolso"),IF(M1198&lt;&gt;"",M1198,IFERROR(INDEX(catClasif,MATCH(D1198&amp;"|"&amp;E1198,catClave,0))&amp;"","Variable")),"")</f>
        <v/>
      </c>
      <c r="Y1198" s="52">
        <f>IF(P1198="","",IFERROR(INDEX(catGrupo,MATCH(D1198&amp;"|"&amp;E1198,catClave,0))&amp;"",""))</f>
        <v/>
      </c>
      <c r="Z1198" s="52">
        <f>IF(P1198="","",WEEKDAY(B1198,2))</f>
        <v/>
      </c>
      <c r="AA1198" s="52">
        <f>IF(P1198="","",IF(AND(P1198="Gasto",X1198="Variable",D1198&lt;&gt;catTrading,S1198&gt;0,S1198&lt;=Umbral),1,0))</f>
        <v/>
      </c>
      <c r="AB1198" s="52">
        <f>IF(OR(P1198="",Q1198=""),"",IFERROR(IF(INDEX(ctaVinc,MATCH(Q1198,ctaNombre,0))&amp;""&lt;&gt;"",INDEX(ctaVinc,MATCH(Q1198,ctaNombre,0))&amp;"",Q1198),Q1198))</f>
        <v/>
      </c>
      <c r="AC1198" s="52">
        <f>IF(OR(K1198="",AND(P1198&lt;&gt;"Transferencia",P1198&lt;&gt;"Pago tarjeta")),"",IFERROR(IF(INDEX(ctaVinc,MATCH(K1198,ctaNombre,0))&amp;""&lt;&gt;"",INDEX(ctaVinc,MATCH(K1198,ctaNombre,0))&amp;"",K1198),K1198))</f>
        <v/>
      </c>
      <c r="AD1198" s="52">
        <f>IF(AB1198="","",IFERROR(INDEX(ctaTipo,MATCH(AB1198,ctaNombre,0))&amp;"",""))</f>
        <v/>
      </c>
      <c r="AE1198" s="52">
        <f>IF(AC1198="","",IFERROR(INDEX(ctaTipo,MATCH(AC1198,ctaNombre,0))&amp;"",""))</f>
        <v/>
      </c>
      <c r="AF1198" s="53">
        <f>IF(OR(P1198="",AB1198=""),"",IF(OR(P1198="Gasto",P1198="Transferencia",P1198="Pago tarjeta"),-1,1)*IF(IFERROR(INDEX(ctaMoneda,MATCH(AB1198,ctaNombre,0))&amp;"","DOP")="USD",T1198,S1198))</f>
        <v/>
      </c>
      <c r="AG1198" s="53">
        <f>IF(AC1198="","",IF(IFERROR(INDEX(ctaMoneda,MATCH(AC1198,ctaNombre,0))&amp;"","DOP")="USD",T1198,S1198))</f>
        <v/>
      </c>
      <c r="AH1198" s="53">
        <f>IF(P1198="","",IF(AND(AD1198&lt;&gt;"",COUNTIFS(tcTipo,AD1198,tcLiq,"Sí")&gt;0),IF(OR(P1198="Gasto",P1198="Transferencia",P1198="Pago tarjeta"),-1,1)*S1198,0)+IF(AND(AE1198&lt;&gt;"",COUNTIFS(tcTipo,AE1198,tcLiq,"Sí")&gt;0),S1198,0))</f>
        <v/>
      </c>
      <c r="AI1198" s="52">
        <f>IF(OR(L1198="",P1198=""),"",IF(COUNTIFS(L$6:L1198,L1198,P$6:P1198,"?*")=1,MAX(AI$5:AI1197)+1,""))</f>
        <v/>
      </c>
    </row>
    <row r="1199">
      <c r="B1199" s="47" t="n"/>
      <c r="C1199" s="48" t="n"/>
      <c r="D1199" s="48" t="n"/>
      <c r="E1199" s="48" t="n"/>
      <c r="F1199" s="48" t="n"/>
      <c r="G1199" s="49" t="n"/>
      <c r="H1199" s="48" t="n"/>
      <c r="I1199" s="50" t="n"/>
      <c r="J1199" s="48" t="n"/>
      <c r="K1199" s="48" t="n"/>
      <c r="L1199" s="48" t="n"/>
      <c r="M1199" s="48" t="n"/>
      <c r="N1199" s="48" t="n"/>
      <c r="O1199" s="51">
        <f>IF(AND(B1199="",G1199="",C1199="",D1199="",J1199=""),"",IF(B1199="","⚠ Falta fecha",IF(G1199="","⚠ Falta monto",IF(Q1199="","⚠ Falta cuenta",IF(ISNA(MATCH(Q1199,ctaNombre,0)),"⚠ Cuenta no registrada",IF(AND(OR(P1199="Gasto",P1199="Reembolso"),D1199=""),"⚠ Falta categoría",IF(AND(D1199&lt;&gt;"",E1199&lt;&gt;"",ISNA(MATCH(D1199&amp;"|"&amp;E1199,catClave,0))),"⚠ Subcategoría no corresponde",IF(AND(OR(P1199="Transferencia",P1199="Pago tarjeta"),K1199=""),"⚠ Falta cuenta destino",IF(AND(K1199&lt;&gt;"",P1199&lt;&gt;"Transferencia",P1199&lt;&gt;"Pago tarjeta"),"⚠ Destino solo aplica a transferencias",IF(AND(K1199&lt;&gt;"",K1199=Q1199),"⚠ Origen igual a destino",IF(AND(K1199&lt;&gt;"",ISNA(MATCH(K1199,ctaNombre,0))),"⚠ Destino no registrado",IF(AND(P1199="Pago tarjeta",AE1199&lt;&gt;"Tarjeta de crédito"),"⚠ El destino debe ser tarjeta de crédito",IF(AND(P1199="Gasto",E1199="Depósitos y retiros"),"⚠ Usa tipo Transferencia",IF(AND(P1199="Resultado trading",AD1199&lt;&gt;"Cuenta de trading"),"⚠ Usa una cuenta de trading",IF(AND(G1199&lt;=0,P1199&lt;&gt;"Ajuste",P1199&lt;&gt;"Resultado trading"),"⚠ El monto debe ser positivo","✓")))))))))))))))</f>
        <v/>
      </c>
      <c r="P1199" s="52">
        <f>IF(OR(B1199="",G1199=""),"",IF(C1199="","Gasto",C1199))</f>
        <v/>
      </c>
      <c r="Q1199" s="52">
        <f>IF(P1199="","",IF(J1199&lt;&gt;"",J1199,CuentaPred&amp;""))</f>
        <v/>
      </c>
      <c r="R1199" s="52">
        <f>IF(P1199="","",IF(ISNUMBER(I1199),I1199,TasaUSD))</f>
        <v/>
      </c>
      <c r="S1199" s="53">
        <f>IF(P1199="","",IF(H1199="USD",G1199*R1199,G1199))</f>
        <v/>
      </c>
      <c r="T1199" s="53">
        <f>IF(P1199="","",IF(H1199="USD",G1199,IF(R1199&gt;0,G1199/R1199,0)))</f>
        <v/>
      </c>
      <c r="U1199" s="53">
        <f>IF(P1199="","",IF(P1199="Gasto",S1199,IF(P1199="Reembolso",-S1199,0)))</f>
        <v/>
      </c>
      <c r="V1199" s="53">
        <f>IF(P1199="","",IF(P1199="Ingreso",S1199,0))</f>
        <v/>
      </c>
      <c r="W1199" s="53">
        <f>IF(P1199="","",IF(P1199="Resultado trading",S1199,0))</f>
        <v/>
      </c>
      <c r="X1199" s="52">
        <f>IF(OR(P1199="Gasto",P1199="Reembolso"),IF(M1199&lt;&gt;"",M1199,IFERROR(INDEX(catClasif,MATCH(D1199&amp;"|"&amp;E1199,catClave,0))&amp;"","Variable")),"")</f>
        <v/>
      </c>
      <c r="Y1199" s="52">
        <f>IF(P1199="","",IFERROR(INDEX(catGrupo,MATCH(D1199&amp;"|"&amp;E1199,catClave,0))&amp;"",""))</f>
        <v/>
      </c>
      <c r="Z1199" s="52">
        <f>IF(P1199="","",WEEKDAY(B1199,2))</f>
        <v/>
      </c>
      <c r="AA1199" s="52">
        <f>IF(P1199="","",IF(AND(P1199="Gasto",X1199="Variable",D1199&lt;&gt;catTrading,S1199&gt;0,S1199&lt;=Umbral),1,0))</f>
        <v/>
      </c>
      <c r="AB1199" s="52">
        <f>IF(OR(P1199="",Q1199=""),"",IFERROR(IF(INDEX(ctaVinc,MATCH(Q1199,ctaNombre,0))&amp;""&lt;&gt;"",INDEX(ctaVinc,MATCH(Q1199,ctaNombre,0))&amp;"",Q1199),Q1199))</f>
        <v/>
      </c>
      <c r="AC1199" s="52">
        <f>IF(OR(K1199="",AND(P1199&lt;&gt;"Transferencia",P1199&lt;&gt;"Pago tarjeta")),"",IFERROR(IF(INDEX(ctaVinc,MATCH(K1199,ctaNombre,0))&amp;""&lt;&gt;"",INDEX(ctaVinc,MATCH(K1199,ctaNombre,0))&amp;"",K1199),K1199))</f>
        <v/>
      </c>
      <c r="AD1199" s="52">
        <f>IF(AB1199="","",IFERROR(INDEX(ctaTipo,MATCH(AB1199,ctaNombre,0))&amp;"",""))</f>
        <v/>
      </c>
      <c r="AE1199" s="52">
        <f>IF(AC1199="","",IFERROR(INDEX(ctaTipo,MATCH(AC1199,ctaNombre,0))&amp;"",""))</f>
        <v/>
      </c>
      <c r="AF1199" s="53">
        <f>IF(OR(P1199="",AB1199=""),"",IF(OR(P1199="Gasto",P1199="Transferencia",P1199="Pago tarjeta"),-1,1)*IF(IFERROR(INDEX(ctaMoneda,MATCH(AB1199,ctaNombre,0))&amp;"","DOP")="USD",T1199,S1199))</f>
        <v/>
      </c>
      <c r="AG1199" s="53">
        <f>IF(AC1199="","",IF(IFERROR(INDEX(ctaMoneda,MATCH(AC1199,ctaNombre,0))&amp;"","DOP")="USD",T1199,S1199))</f>
        <v/>
      </c>
      <c r="AH1199" s="53">
        <f>IF(P1199="","",IF(AND(AD1199&lt;&gt;"",COUNTIFS(tcTipo,AD1199,tcLiq,"Sí")&gt;0),IF(OR(P1199="Gasto",P1199="Transferencia",P1199="Pago tarjeta"),-1,1)*S1199,0)+IF(AND(AE1199&lt;&gt;"",COUNTIFS(tcTipo,AE1199,tcLiq,"Sí")&gt;0),S1199,0))</f>
        <v/>
      </c>
      <c r="AI1199" s="52">
        <f>IF(OR(L1199="",P1199=""),"",IF(COUNTIFS(L$6:L1199,L1199,P$6:P1199,"?*")=1,MAX(AI$5:AI1198)+1,""))</f>
        <v/>
      </c>
    </row>
    <row r="1200">
      <c r="B1200" s="47" t="n"/>
      <c r="C1200" s="48" t="n"/>
      <c r="D1200" s="48" t="n"/>
      <c r="E1200" s="48" t="n"/>
      <c r="F1200" s="48" t="n"/>
      <c r="G1200" s="49" t="n"/>
      <c r="H1200" s="48" t="n"/>
      <c r="I1200" s="50" t="n"/>
      <c r="J1200" s="48" t="n"/>
      <c r="K1200" s="48" t="n"/>
      <c r="L1200" s="48" t="n"/>
      <c r="M1200" s="48" t="n"/>
      <c r="N1200" s="48" t="n"/>
      <c r="O1200" s="51">
        <f>IF(AND(B1200="",G1200="",C1200="",D1200="",J1200=""),"",IF(B1200="","⚠ Falta fecha",IF(G1200="","⚠ Falta monto",IF(Q1200="","⚠ Falta cuenta",IF(ISNA(MATCH(Q1200,ctaNombre,0)),"⚠ Cuenta no registrada",IF(AND(OR(P1200="Gasto",P1200="Reembolso"),D1200=""),"⚠ Falta categoría",IF(AND(D1200&lt;&gt;"",E1200&lt;&gt;"",ISNA(MATCH(D1200&amp;"|"&amp;E1200,catClave,0))),"⚠ Subcategoría no corresponde",IF(AND(OR(P1200="Transferencia",P1200="Pago tarjeta"),K1200=""),"⚠ Falta cuenta destino",IF(AND(K1200&lt;&gt;"",P1200&lt;&gt;"Transferencia",P1200&lt;&gt;"Pago tarjeta"),"⚠ Destino solo aplica a transferencias",IF(AND(K1200&lt;&gt;"",K1200=Q1200),"⚠ Origen igual a destino",IF(AND(K1200&lt;&gt;"",ISNA(MATCH(K1200,ctaNombre,0))),"⚠ Destino no registrado",IF(AND(P1200="Pago tarjeta",AE1200&lt;&gt;"Tarjeta de crédito"),"⚠ El destino debe ser tarjeta de crédito",IF(AND(P1200="Gasto",E1200="Depósitos y retiros"),"⚠ Usa tipo Transferencia",IF(AND(P1200="Resultado trading",AD1200&lt;&gt;"Cuenta de trading"),"⚠ Usa una cuenta de trading",IF(AND(G1200&lt;=0,P1200&lt;&gt;"Ajuste",P1200&lt;&gt;"Resultado trading"),"⚠ El monto debe ser positivo","✓")))))))))))))))</f>
        <v/>
      </c>
      <c r="P1200" s="52">
        <f>IF(OR(B1200="",G1200=""),"",IF(C1200="","Gasto",C1200))</f>
        <v/>
      </c>
      <c r="Q1200" s="52">
        <f>IF(P1200="","",IF(J1200&lt;&gt;"",J1200,CuentaPred&amp;""))</f>
        <v/>
      </c>
      <c r="R1200" s="52">
        <f>IF(P1200="","",IF(ISNUMBER(I1200),I1200,TasaUSD))</f>
        <v/>
      </c>
      <c r="S1200" s="53">
        <f>IF(P1200="","",IF(H1200="USD",G1200*R1200,G1200))</f>
        <v/>
      </c>
      <c r="T1200" s="53">
        <f>IF(P1200="","",IF(H1200="USD",G1200,IF(R1200&gt;0,G1200/R1200,0)))</f>
        <v/>
      </c>
      <c r="U1200" s="53">
        <f>IF(P1200="","",IF(P1200="Gasto",S1200,IF(P1200="Reembolso",-S1200,0)))</f>
        <v/>
      </c>
      <c r="V1200" s="53">
        <f>IF(P1200="","",IF(P1200="Ingreso",S1200,0))</f>
        <v/>
      </c>
      <c r="W1200" s="53">
        <f>IF(P1200="","",IF(P1200="Resultado trading",S1200,0))</f>
        <v/>
      </c>
      <c r="X1200" s="52">
        <f>IF(OR(P1200="Gasto",P1200="Reembolso"),IF(M1200&lt;&gt;"",M1200,IFERROR(INDEX(catClasif,MATCH(D1200&amp;"|"&amp;E1200,catClave,0))&amp;"","Variable")),"")</f>
        <v/>
      </c>
      <c r="Y1200" s="52">
        <f>IF(P1200="","",IFERROR(INDEX(catGrupo,MATCH(D1200&amp;"|"&amp;E1200,catClave,0))&amp;"",""))</f>
        <v/>
      </c>
      <c r="Z1200" s="52">
        <f>IF(P1200="","",WEEKDAY(B1200,2))</f>
        <v/>
      </c>
      <c r="AA1200" s="52">
        <f>IF(P1200="","",IF(AND(P1200="Gasto",X1200="Variable",D1200&lt;&gt;catTrading,S1200&gt;0,S1200&lt;=Umbral),1,0))</f>
        <v/>
      </c>
      <c r="AB1200" s="52">
        <f>IF(OR(P1200="",Q1200=""),"",IFERROR(IF(INDEX(ctaVinc,MATCH(Q1200,ctaNombre,0))&amp;""&lt;&gt;"",INDEX(ctaVinc,MATCH(Q1200,ctaNombre,0))&amp;"",Q1200),Q1200))</f>
        <v/>
      </c>
      <c r="AC1200" s="52">
        <f>IF(OR(K1200="",AND(P1200&lt;&gt;"Transferencia",P1200&lt;&gt;"Pago tarjeta")),"",IFERROR(IF(INDEX(ctaVinc,MATCH(K1200,ctaNombre,0))&amp;""&lt;&gt;"",INDEX(ctaVinc,MATCH(K1200,ctaNombre,0))&amp;"",K1200),K1200))</f>
        <v/>
      </c>
      <c r="AD1200" s="52">
        <f>IF(AB1200="","",IFERROR(INDEX(ctaTipo,MATCH(AB1200,ctaNombre,0))&amp;"",""))</f>
        <v/>
      </c>
      <c r="AE1200" s="52">
        <f>IF(AC1200="","",IFERROR(INDEX(ctaTipo,MATCH(AC1200,ctaNombre,0))&amp;"",""))</f>
        <v/>
      </c>
      <c r="AF1200" s="53">
        <f>IF(OR(P1200="",AB1200=""),"",IF(OR(P1200="Gasto",P1200="Transferencia",P1200="Pago tarjeta"),-1,1)*IF(IFERROR(INDEX(ctaMoneda,MATCH(AB1200,ctaNombre,0))&amp;"","DOP")="USD",T1200,S1200))</f>
        <v/>
      </c>
      <c r="AG1200" s="53">
        <f>IF(AC1200="","",IF(IFERROR(INDEX(ctaMoneda,MATCH(AC1200,ctaNombre,0))&amp;"","DOP")="USD",T1200,S1200))</f>
        <v/>
      </c>
      <c r="AH1200" s="53">
        <f>IF(P1200="","",IF(AND(AD1200&lt;&gt;"",COUNTIFS(tcTipo,AD1200,tcLiq,"Sí")&gt;0),IF(OR(P1200="Gasto",P1200="Transferencia",P1200="Pago tarjeta"),-1,1)*S1200,0)+IF(AND(AE1200&lt;&gt;"",COUNTIFS(tcTipo,AE1200,tcLiq,"Sí")&gt;0),S1200,0))</f>
        <v/>
      </c>
      <c r="AI1200" s="52">
        <f>IF(OR(L1200="",P1200=""),"",IF(COUNTIFS(L$6:L1200,L1200,P$6:P1200,"?*")=1,MAX(AI$5:AI1199)+1,""))</f>
        <v/>
      </c>
    </row>
    <row r="1201">
      <c r="B1201" s="47" t="n"/>
      <c r="C1201" s="48" t="n"/>
      <c r="D1201" s="48" t="n"/>
      <c r="E1201" s="48" t="n"/>
      <c r="F1201" s="48" t="n"/>
      <c r="G1201" s="49" t="n"/>
      <c r="H1201" s="48" t="n"/>
      <c r="I1201" s="50" t="n"/>
      <c r="J1201" s="48" t="n"/>
      <c r="K1201" s="48" t="n"/>
      <c r="L1201" s="48" t="n"/>
      <c r="M1201" s="48" t="n"/>
      <c r="N1201" s="48" t="n"/>
      <c r="O1201" s="51">
        <f>IF(AND(B1201="",G1201="",C1201="",D1201="",J1201=""),"",IF(B1201="","⚠ Falta fecha",IF(G1201="","⚠ Falta monto",IF(Q1201="","⚠ Falta cuenta",IF(ISNA(MATCH(Q1201,ctaNombre,0)),"⚠ Cuenta no registrada",IF(AND(OR(P1201="Gasto",P1201="Reembolso"),D1201=""),"⚠ Falta categoría",IF(AND(D1201&lt;&gt;"",E1201&lt;&gt;"",ISNA(MATCH(D1201&amp;"|"&amp;E1201,catClave,0))),"⚠ Subcategoría no corresponde",IF(AND(OR(P1201="Transferencia",P1201="Pago tarjeta"),K1201=""),"⚠ Falta cuenta destino",IF(AND(K1201&lt;&gt;"",P1201&lt;&gt;"Transferencia",P1201&lt;&gt;"Pago tarjeta"),"⚠ Destino solo aplica a transferencias",IF(AND(K1201&lt;&gt;"",K1201=Q1201),"⚠ Origen igual a destino",IF(AND(K1201&lt;&gt;"",ISNA(MATCH(K1201,ctaNombre,0))),"⚠ Destino no registrado",IF(AND(P1201="Pago tarjeta",AE1201&lt;&gt;"Tarjeta de crédito"),"⚠ El destino debe ser tarjeta de crédito",IF(AND(P1201="Gasto",E1201="Depósitos y retiros"),"⚠ Usa tipo Transferencia",IF(AND(P1201="Resultado trading",AD1201&lt;&gt;"Cuenta de trading"),"⚠ Usa una cuenta de trading",IF(AND(G1201&lt;=0,P1201&lt;&gt;"Ajuste",P1201&lt;&gt;"Resultado trading"),"⚠ El monto debe ser positivo","✓")))))))))))))))</f>
        <v/>
      </c>
      <c r="P1201" s="52">
        <f>IF(OR(B1201="",G1201=""),"",IF(C1201="","Gasto",C1201))</f>
        <v/>
      </c>
      <c r="Q1201" s="52">
        <f>IF(P1201="","",IF(J1201&lt;&gt;"",J1201,CuentaPred&amp;""))</f>
        <v/>
      </c>
      <c r="R1201" s="52">
        <f>IF(P1201="","",IF(ISNUMBER(I1201),I1201,TasaUSD))</f>
        <v/>
      </c>
      <c r="S1201" s="53">
        <f>IF(P1201="","",IF(H1201="USD",G1201*R1201,G1201))</f>
        <v/>
      </c>
      <c r="T1201" s="53">
        <f>IF(P1201="","",IF(H1201="USD",G1201,IF(R1201&gt;0,G1201/R1201,0)))</f>
        <v/>
      </c>
      <c r="U1201" s="53">
        <f>IF(P1201="","",IF(P1201="Gasto",S1201,IF(P1201="Reembolso",-S1201,0)))</f>
        <v/>
      </c>
      <c r="V1201" s="53">
        <f>IF(P1201="","",IF(P1201="Ingreso",S1201,0))</f>
        <v/>
      </c>
      <c r="W1201" s="53">
        <f>IF(P1201="","",IF(P1201="Resultado trading",S1201,0))</f>
        <v/>
      </c>
      <c r="X1201" s="52">
        <f>IF(OR(P1201="Gasto",P1201="Reembolso"),IF(M1201&lt;&gt;"",M1201,IFERROR(INDEX(catClasif,MATCH(D1201&amp;"|"&amp;E1201,catClave,0))&amp;"","Variable")),"")</f>
        <v/>
      </c>
      <c r="Y1201" s="52">
        <f>IF(P1201="","",IFERROR(INDEX(catGrupo,MATCH(D1201&amp;"|"&amp;E1201,catClave,0))&amp;"",""))</f>
        <v/>
      </c>
      <c r="Z1201" s="52">
        <f>IF(P1201="","",WEEKDAY(B1201,2))</f>
        <v/>
      </c>
      <c r="AA1201" s="52">
        <f>IF(P1201="","",IF(AND(P1201="Gasto",X1201="Variable",D1201&lt;&gt;catTrading,S1201&gt;0,S1201&lt;=Umbral),1,0))</f>
        <v/>
      </c>
      <c r="AB1201" s="52">
        <f>IF(OR(P1201="",Q1201=""),"",IFERROR(IF(INDEX(ctaVinc,MATCH(Q1201,ctaNombre,0))&amp;""&lt;&gt;"",INDEX(ctaVinc,MATCH(Q1201,ctaNombre,0))&amp;"",Q1201),Q1201))</f>
        <v/>
      </c>
      <c r="AC1201" s="52">
        <f>IF(OR(K1201="",AND(P1201&lt;&gt;"Transferencia",P1201&lt;&gt;"Pago tarjeta")),"",IFERROR(IF(INDEX(ctaVinc,MATCH(K1201,ctaNombre,0))&amp;""&lt;&gt;"",INDEX(ctaVinc,MATCH(K1201,ctaNombre,0))&amp;"",K1201),K1201))</f>
        <v/>
      </c>
      <c r="AD1201" s="52">
        <f>IF(AB1201="","",IFERROR(INDEX(ctaTipo,MATCH(AB1201,ctaNombre,0))&amp;"",""))</f>
        <v/>
      </c>
      <c r="AE1201" s="52">
        <f>IF(AC1201="","",IFERROR(INDEX(ctaTipo,MATCH(AC1201,ctaNombre,0))&amp;"",""))</f>
        <v/>
      </c>
      <c r="AF1201" s="53">
        <f>IF(OR(P1201="",AB1201=""),"",IF(OR(P1201="Gasto",P1201="Transferencia",P1201="Pago tarjeta"),-1,1)*IF(IFERROR(INDEX(ctaMoneda,MATCH(AB1201,ctaNombre,0))&amp;"","DOP")="USD",T1201,S1201))</f>
        <v/>
      </c>
      <c r="AG1201" s="53">
        <f>IF(AC1201="","",IF(IFERROR(INDEX(ctaMoneda,MATCH(AC1201,ctaNombre,0))&amp;"","DOP")="USD",T1201,S1201))</f>
        <v/>
      </c>
      <c r="AH1201" s="53">
        <f>IF(P1201="","",IF(AND(AD1201&lt;&gt;"",COUNTIFS(tcTipo,AD1201,tcLiq,"Sí")&gt;0),IF(OR(P1201="Gasto",P1201="Transferencia",P1201="Pago tarjeta"),-1,1)*S1201,0)+IF(AND(AE1201&lt;&gt;"",COUNTIFS(tcTipo,AE1201,tcLiq,"Sí")&gt;0),S1201,0))</f>
        <v/>
      </c>
      <c r="AI1201" s="52">
        <f>IF(OR(L1201="",P1201=""),"",IF(COUNTIFS(L$6:L1201,L1201,P$6:P1201,"?*")=1,MAX(AI$5:AI1200)+1,""))</f>
        <v/>
      </c>
    </row>
    <row r="1202">
      <c r="B1202" s="47" t="n"/>
      <c r="C1202" s="48" t="n"/>
      <c r="D1202" s="48" t="n"/>
      <c r="E1202" s="48" t="n"/>
      <c r="F1202" s="48" t="n"/>
      <c r="G1202" s="49" t="n"/>
      <c r="H1202" s="48" t="n"/>
      <c r="I1202" s="50" t="n"/>
      <c r="J1202" s="48" t="n"/>
      <c r="K1202" s="48" t="n"/>
      <c r="L1202" s="48" t="n"/>
      <c r="M1202" s="48" t="n"/>
      <c r="N1202" s="48" t="n"/>
      <c r="O1202" s="51">
        <f>IF(AND(B1202="",G1202="",C1202="",D1202="",J1202=""),"",IF(B1202="","⚠ Falta fecha",IF(G1202="","⚠ Falta monto",IF(Q1202="","⚠ Falta cuenta",IF(ISNA(MATCH(Q1202,ctaNombre,0)),"⚠ Cuenta no registrada",IF(AND(OR(P1202="Gasto",P1202="Reembolso"),D1202=""),"⚠ Falta categoría",IF(AND(D1202&lt;&gt;"",E1202&lt;&gt;"",ISNA(MATCH(D1202&amp;"|"&amp;E1202,catClave,0))),"⚠ Subcategoría no corresponde",IF(AND(OR(P1202="Transferencia",P1202="Pago tarjeta"),K1202=""),"⚠ Falta cuenta destino",IF(AND(K1202&lt;&gt;"",P1202&lt;&gt;"Transferencia",P1202&lt;&gt;"Pago tarjeta"),"⚠ Destino solo aplica a transferencias",IF(AND(K1202&lt;&gt;"",K1202=Q1202),"⚠ Origen igual a destino",IF(AND(K1202&lt;&gt;"",ISNA(MATCH(K1202,ctaNombre,0))),"⚠ Destino no registrado",IF(AND(P1202="Pago tarjeta",AE1202&lt;&gt;"Tarjeta de crédito"),"⚠ El destino debe ser tarjeta de crédito",IF(AND(P1202="Gasto",E1202="Depósitos y retiros"),"⚠ Usa tipo Transferencia",IF(AND(P1202="Resultado trading",AD1202&lt;&gt;"Cuenta de trading"),"⚠ Usa una cuenta de trading",IF(AND(G1202&lt;=0,P1202&lt;&gt;"Ajuste",P1202&lt;&gt;"Resultado trading"),"⚠ El monto debe ser positivo","✓")))))))))))))))</f>
        <v/>
      </c>
      <c r="P1202" s="52">
        <f>IF(OR(B1202="",G1202=""),"",IF(C1202="","Gasto",C1202))</f>
        <v/>
      </c>
      <c r="Q1202" s="52">
        <f>IF(P1202="","",IF(J1202&lt;&gt;"",J1202,CuentaPred&amp;""))</f>
        <v/>
      </c>
      <c r="R1202" s="52">
        <f>IF(P1202="","",IF(ISNUMBER(I1202),I1202,TasaUSD))</f>
        <v/>
      </c>
      <c r="S1202" s="53">
        <f>IF(P1202="","",IF(H1202="USD",G1202*R1202,G1202))</f>
        <v/>
      </c>
      <c r="T1202" s="53">
        <f>IF(P1202="","",IF(H1202="USD",G1202,IF(R1202&gt;0,G1202/R1202,0)))</f>
        <v/>
      </c>
      <c r="U1202" s="53">
        <f>IF(P1202="","",IF(P1202="Gasto",S1202,IF(P1202="Reembolso",-S1202,0)))</f>
        <v/>
      </c>
      <c r="V1202" s="53">
        <f>IF(P1202="","",IF(P1202="Ingreso",S1202,0))</f>
        <v/>
      </c>
      <c r="W1202" s="53">
        <f>IF(P1202="","",IF(P1202="Resultado trading",S1202,0))</f>
        <v/>
      </c>
      <c r="X1202" s="52">
        <f>IF(OR(P1202="Gasto",P1202="Reembolso"),IF(M1202&lt;&gt;"",M1202,IFERROR(INDEX(catClasif,MATCH(D1202&amp;"|"&amp;E1202,catClave,0))&amp;"","Variable")),"")</f>
        <v/>
      </c>
      <c r="Y1202" s="52">
        <f>IF(P1202="","",IFERROR(INDEX(catGrupo,MATCH(D1202&amp;"|"&amp;E1202,catClave,0))&amp;"",""))</f>
        <v/>
      </c>
      <c r="Z1202" s="52">
        <f>IF(P1202="","",WEEKDAY(B1202,2))</f>
        <v/>
      </c>
      <c r="AA1202" s="52">
        <f>IF(P1202="","",IF(AND(P1202="Gasto",X1202="Variable",D1202&lt;&gt;catTrading,S1202&gt;0,S1202&lt;=Umbral),1,0))</f>
        <v/>
      </c>
      <c r="AB1202" s="52">
        <f>IF(OR(P1202="",Q1202=""),"",IFERROR(IF(INDEX(ctaVinc,MATCH(Q1202,ctaNombre,0))&amp;""&lt;&gt;"",INDEX(ctaVinc,MATCH(Q1202,ctaNombre,0))&amp;"",Q1202),Q1202))</f>
        <v/>
      </c>
      <c r="AC1202" s="52">
        <f>IF(OR(K1202="",AND(P1202&lt;&gt;"Transferencia",P1202&lt;&gt;"Pago tarjeta")),"",IFERROR(IF(INDEX(ctaVinc,MATCH(K1202,ctaNombre,0))&amp;""&lt;&gt;"",INDEX(ctaVinc,MATCH(K1202,ctaNombre,0))&amp;"",K1202),K1202))</f>
        <v/>
      </c>
      <c r="AD1202" s="52">
        <f>IF(AB1202="","",IFERROR(INDEX(ctaTipo,MATCH(AB1202,ctaNombre,0))&amp;"",""))</f>
        <v/>
      </c>
      <c r="AE1202" s="52">
        <f>IF(AC1202="","",IFERROR(INDEX(ctaTipo,MATCH(AC1202,ctaNombre,0))&amp;"",""))</f>
        <v/>
      </c>
      <c r="AF1202" s="53">
        <f>IF(OR(P1202="",AB1202=""),"",IF(OR(P1202="Gasto",P1202="Transferencia",P1202="Pago tarjeta"),-1,1)*IF(IFERROR(INDEX(ctaMoneda,MATCH(AB1202,ctaNombre,0))&amp;"","DOP")="USD",T1202,S1202))</f>
        <v/>
      </c>
      <c r="AG1202" s="53">
        <f>IF(AC1202="","",IF(IFERROR(INDEX(ctaMoneda,MATCH(AC1202,ctaNombre,0))&amp;"","DOP")="USD",T1202,S1202))</f>
        <v/>
      </c>
      <c r="AH1202" s="53">
        <f>IF(P1202="","",IF(AND(AD1202&lt;&gt;"",COUNTIFS(tcTipo,AD1202,tcLiq,"Sí")&gt;0),IF(OR(P1202="Gasto",P1202="Transferencia",P1202="Pago tarjeta"),-1,1)*S1202,0)+IF(AND(AE1202&lt;&gt;"",COUNTIFS(tcTipo,AE1202,tcLiq,"Sí")&gt;0),S1202,0))</f>
        <v/>
      </c>
      <c r="AI1202" s="52">
        <f>IF(OR(L1202="",P1202=""),"",IF(COUNTIFS(L$6:L1202,L1202,P$6:P1202,"?*")=1,MAX(AI$5:AI1201)+1,""))</f>
        <v/>
      </c>
    </row>
    <row r="1203">
      <c r="B1203" s="47" t="n"/>
      <c r="C1203" s="48" t="n"/>
      <c r="D1203" s="48" t="n"/>
      <c r="E1203" s="48" t="n"/>
      <c r="F1203" s="48" t="n"/>
      <c r="G1203" s="49" t="n"/>
      <c r="H1203" s="48" t="n"/>
      <c r="I1203" s="50" t="n"/>
      <c r="J1203" s="48" t="n"/>
      <c r="K1203" s="48" t="n"/>
      <c r="L1203" s="48" t="n"/>
      <c r="M1203" s="48" t="n"/>
      <c r="N1203" s="48" t="n"/>
      <c r="O1203" s="51">
        <f>IF(AND(B1203="",G1203="",C1203="",D1203="",J1203=""),"",IF(B1203="","⚠ Falta fecha",IF(G1203="","⚠ Falta monto",IF(Q1203="","⚠ Falta cuenta",IF(ISNA(MATCH(Q1203,ctaNombre,0)),"⚠ Cuenta no registrada",IF(AND(OR(P1203="Gasto",P1203="Reembolso"),D1203=""),"⚠ Falta categoría",IF(AND(D1203&lt;&gt;"",E1203&lt;&gt;"",ISNA(MATCH(D1203&amp;"|"&amp;E1203,catClave,0))),"⚠ Subcategoría no corresponde",IF(AND(OR(P1203="Transferencia",P1203="Pago tarjeta"),K1203=""),"⚠ Falta cuenta destino",IF(AND(K1203&lt;&gt;"",P1203&lt;&gt;"Transferencia",P1203&lt;&gt;"Pago tarjeta"),"⚠ Destino solo aplica a transferencias",IF(AND(K1203&lt;&gt;"",K1203=Q1203),"⚠ Origen igual a destino",IF(AND(K1203&lt;&gt;"",ISNA(MATCH(K1203,ctaNombre,0))),"⚠ Destino no registrado",IF(AND(P1203="Pago tarjeta",AE1203&lt;&gt;"Tarjeta de crédito"),"⚠ El destino debe ser tarjeta de crédito",IF(AND(P1203="Gasto",E1203="Depósitos y retiros"),"⚠ Usa tipo Transferencia",IF(AND(P1203="Resultado trading",AD1203&lt;&gt;"Cuenta de trading"),"⚠ Usa una cuenta de trading",IF(AND(G1203&lt;=0,P1203&lt;&gt;"Ajuste",P1203&lt;&gt;"Resultado trading"),"⚠ El monto debe ser positivo","✓")))))))))))))))</f>
        <v/>
      </c>
      <c r="P1203" s="52">
        <f>IF(OR(B1203="",G1203=""),"",IF(C1203="","Gasto",C1203))</f>
        <v/>
      </c>
      <c r="Q1203" s="52">
        <f>IF(P1203="","",IF(J1203&lt;&gt;"",J1203,CuentaPred&amp;""))</f>
        <v/>
      </c>
      <c r="R1203" s="52">
        <f>IF(P1203="","",IF(ISNUMBER(I1203),I1203,TasaUSD))</f>
        <v/>
      </c>
      <c r="S1203" s="53">
        <f>IF(P1203="","",IF(H1203="USD",G1203*R1203,G1203))</f>
        <v/>
      </c>
      <c r="T1203" s="53">
        <f>IF(P1203="","",IF(H1203="USD",G1203,IF(R1203&gt;0,G1203/R1203,0)))</f>
        <v/>
      </c>
      <c r="U1203" s="53">
        <f>IF(P1203="","",IF(P1203="Gasto",S1203,IF(P1203="Reembolso",-S1203,0)))</f>
        <v/>
      </c>
      <c r="V1203" s="53">
        <f>IF(P1203="","",IF(P1203="Ingreso",S1203,0))</f>
        <v/>
      </c>
      <c r="W1203" s="53">
        <f>IF(P1203="","",IF(P1203="Resultado trading",S1203,0))</f>
        <v/>
      </c>
      <c r="X1203" s="52">
        <f>IF(OR(P1203="Gasto",P1203="Reembolso"),IF(M1203&lt;&gt;"",M1203,IFERROR(INDEX(catClasif,MATCH(D1203&amp;"|"&amp;E1203,catClave,0))&amp;"","Variable")),"")</f>
        <v/>
      </c>
      <c r="Y1203" s="52">
        <f>IF(P1203="","",IFERROR(INDEX(catGrupo,MATCH(D1203&amp;"|"&amp;E1203,catClave,0))&amp;"",""))</f>
        <v/>
      </c>
      <c r="Z1203" s="52">
        <f>IF(P1203="","",WEEKDAY(B1203,2))</f>
        <v/>
      </c>
      <c r="AA1203" s="52">
        <f>IF(P1203="","",IF(AND(P1203="Gasto",X1203="Variable",D1203&lt;&gt;catTrading,S1203&gt;0,S1203&lt;=Umbral),1,0))</f>
        <v/>
      </c>
      <c r="AB1203" s="52">
        <f>IF(OR(P1203="",Q1203=""),"",IFERROR(IF(INDEX(ctaVinc,MATCH(Q1203,ctaNombre,0))&amp;""&lt;&gt;"",INDEX(ctaVinc,MATCH(Q1203,ctaNombre,0))&amp;"",Q1203),Q1203))</f>
        <v/>
      </c>
      <c r="AC1203" s="52">
        <f>IF(OR(K1203="",AND(P1203&lt;&gt;"Transferencia",P1203&lt;&gt;"Pago tarjeta")),"",IFERROR(IF(INDEX(ctaVinc,MATCH(K1203,ctaNombre,0))&amp;""&lt;&gt;"",INDEX(ctaVinc,MATCH(K1203,ctaNombre,0))&amp;"",K1203),K1203))</f>
        <v/>
      </c>
      <c r="AD1203" s="52">
        <f>IF(AB1203="","",IFERROR(INDEX(ctaTipo,MATCH(AB1203,ctaNombre,0))&amp;"",""))</f>
        <v/>
      </c>
      <c r="AE1203" s="52">
        <f>IF(AC1203="","",IFERROR(INDEX(ctaTipo,MATCH(AC1203,ctaNombre,0))&amp;"",""))</f>
        <v/>
      </c>
      <c r="AF1203" s="53">
        <f>IF(OR(P1203="",AB1203=""),"",IF(OR(P1203="Gasto",P1203="Transferencia",P1203="Pago tarjeta"),-1,1)*IF(IFERROR(INDEX(ctaMoneda,MATCH(AB1203,ctaNombre,0))&amp;"","DOP")="USD",T1203,S1203))</f>
        <v/>
      </c>
      <c r="AG1203" s="53">
        <f>IF(AC1203="","",IF(IFERROR(INDEX(ctaMoneda,MATCH(AC1203,ctaNombre,0))&amp;"","DOP")="USD",T1203,S1203))</f>
        <v/>
      </c>
      <c r="AH1203" s="53">
        <f>IF(P1203="","",IF(AND(AD1203&lt;&gt;"",COUNTIFS(tcTipo,AD1203,tcLiq,"Sí")&gt;0),IF(OR(P1203="Gasto",P1203="Transferencia",P1203="Pago tarjeta"),-1,1)*S1203,0)+IF(AND(AE1203&lt;&gt;"",COUNTIFS(tcTipo,AE1203,tcLiq,"Sí")&gt;0),S1203,0))</f>
        <v/>
      </c>
      <c r="AI1203" s="52">
        <f>IF(OR(L1203="",P1203=""),"",IF(COUNTIFS(L$6:L1203,L1203,P$6:P1203,"?*")=1,MAX(AI$5:AI1202)+1,""))</f>
        <v/>
      </c>
    </row>
    <row r="1204">
      <c r="B1204" s="47" t="n"/>
      <c r="C1204" s="48" t="n"/>
      <c r="D1204" s="48" t="n"/>
      <c r="E1204" s="48" t="n"/>
      <c r="F1204" s="48" t="n"/>
      <c r="G1204" s="49" t="n"/>
      <c r="H1204" s="48" t="n"/>
      <c r="I1204" s="50" t="n"/>
      <c r="J1204" s="48" t="n"/>
      <c r="K1204" s="48" t="n"/>
      <c r="L1204" s="48" t="n"/>
      <c r="M1204" s="48" t="n"/>
      <c r="N1204" s="48" t="n"/>
      <c r="O1204" s="51">
        <f>IF(AND(B1204="",G1204="",C1204="",D1204="",J1204=""),"",IF(B1204="","⚠ Falta fecha",IF(G1204="","⚠ Falta monto",IF(Q1204="","⚠ Falta cuenta",IF(ISNA(MATCH(Q1204,ctaNombre,0)),"⚠ Cuenta no registrada",IF(AND(OR(P1204="Gasto",P1204="Reembolso"),D1204=""),"⚠ Falta categoría",IF(AND(D1204&lt;&gt;"",E1204&lt;&gt;"",ISNA(MATCH(D1204&amp;"|"&amp;E1204,catClave,0))),"⚠ Subcategoría no corresponde",IF(AND(OR(P1204="Transferencia",P1204="Pago tarjeta"),K1204=""),"⚠ Falta cuenta destino",IF(AND(K1204&lt;&gt;"",P1204&lt;&gt;"Transferencia",P1204&lt;&gt;"Pago tarjeta"),"⚠ Destino solo aplica a transferencias",IF(AND(K1204&lt;&gt;"",K1204=Q1204),"⚠ Origen igual a destino",IF(AND(K1204&lt;&gt;"",ISNA(MATCH(K1204,ctaNombre,0))),"⚠ Destino no registrado",IF(AND(P1204="Pago tarjeta",AE1204&lt;&gt;"Tarjeta de crédito"),"⚠ El destino debe ser tarjeta de crédito",IF(AND(P1204="Gasto",E1204="Depósitos y retiros"),"⚠ Usa tipo Transferencia",IF(AND(P1204="Resultado trading",AD1204&lt;&gt;"Cuenta de trading"),"⚠ Usa una cuenta de trading",IF(AND(G1204&lt;=0,P1204&lt;&gt;"Ajuste",P1204&lt;&gt;"Resultado trading"),"⚠ El monto debe ser positivo","✓")))))))))))))))</f>
        <v/>
      </c>
      <c r="P1204" s="52">
        <f>IF(OR(B1204="",G1204=""),"",IF(C1204="","Gasto",C1204))</f>
        <v/>
      </c>
      <c r="Q1204" s="52">
        <f>IF(P1204="","",IF(J1204&lt;&gt;"",J1204,CuentaPred&amp;""))</f>
        <v/>
      </c>
      <c r="R1204" s="52">
        <f>IF(P1204="","",IF(ISNUMBER(I1204),I1204,TasaUSD))</f>
        <v/>
      </c>
      <c r="S1204" s="53">
        <f>IF(P1204="","",IF(H1204="USD",G1204*R1204,G1204))</f>
        <v/>
      </c>
      <c r="T1204" s="53">
        <f>IF(P1204="","",IF(H1204="USD",G1204,IF(R1204&gt;0,G1204/R1204,0)))</f>
        <v/>
      </c>
      <c r="U1204" s="53">
        <f>IF(P1204="","",IF(P1204="Gasto",S1204,IF(P1204="Reembolso",-S1204,0)))</f>
        <v/>
      </c>
      <c r="V1204" s="53">
        <f>IF(P1204="","",IF(P1204="Ingreso",S1204,0))</f>
        <v/>
      </c>
      <c r="W1204" s="53">
        <f>IF(P1204="","",IF(P1204="Resultado trading",S1204,0))</f>
        <v/>
      </c>
      <c r="X1204" s="52">
        <f>IF(OR(P1204="Gasto",P1204="Reembolso"),IF(M1204&lt;&gt;"",M1204,IFERROR(INDEX(catClasif,MATCH(D1204&amp;"|"&amp;E1204,catClave,0))&amp;"","Variable")),"")</f>
        <v/>
      </c>
      <c r="Y1204" s="52">
        <f>IF(P1204="","",IFERROR(INDEX(catGrupo,MATCH(D1204&amp;"|"&amp;E1204,catClave,0))&amp;"",""))</f>
        <v/>
      </c>
      <c r="Z1204" s="52">
        <f>IF(P1204="","",WEEKDAY(B1204,2))</f>
        <v/>
      </c>
      <c r="AA1204" s="52">
        <f>IF(P1204="","",IF(AND(P1204="Gasto",X1204="Variable",D1204&lt;&gt;catTrading,S1204&gt;0,S1204&lt;=Umbral),1,0))</f>
        <v/>
      </c>
      <c r="AB1204" s="52">
        <f>IF(OR(P1204="",Q1204=""),"",IFERROR(IF(INDEX(ctaVinc,MATCH(Q1204,ctaNombre,0))&amp;""&lt;&gt;"",INDEX(ctaVinc,MATCH(Q1204,ctaNombre,0))&amp;"",Q1204),Q1204))</f>
        <v/>
      </c>
      <c r="AC1204" s="52">
        <f>IF(OR(K1204="",AND(P1204&lt;&gt;"Transferencia",P1204&lt;&gt;"Pago tarjeta")),"",IFERROR(IF(INDEX(ctaVinc,MATCH(K1204,ctaNombre,0))&amp;""&lt;&gt;"",INDEX(ctaVinc,MATCH(K1204,ctaNombre,0))&amp;"",K1204),K1204))</f>
        <v/>
      </c>
      <c r="AD1204" s="52">
        <f>IF(AB1204="","",IFERROR(INDEX(ctaTipo,MATCH(AB1204,ctaNombre,0))&amp;"",""))</f>
        <v/>
      </c>
      <c r="AE1204" s="52">
        <f>IF(AC1204="","",IFERROR(INDEX(ctaTipo,MATCH(AC1204,ctaNombre,0))&amp;"",""))</f>
        <v/>
      </c>
      <c r="AF1204" s="53">
        <f>IF(OR(P1204="",AB1204=""),"",IF(OR(P1204="Gasto",P1204="Transferencia",P1204="Pago tarjeta"),-1,1)*IF(IFERROR(INDEX(ctaMoneda,MATCH(AB1204,ctaNombre,0))&amp;"","DOP")="USD",T1204,S1204))</f>
        <v/>
      </c>
      <c r="AG1204" s="53">
        <f>IF(AC1204="","",IF(IFERROR(INDEX(ctaMoneda,MATCH(AC1204,ctaNombre,0))&amp;"","DOP")="USD",T1204,S1204))</f>
        <v/>
      </c>
      <c r="AH1204" s="53">
        <f>IF(P1204="","",IF(AND(AD1204&lt;&gt;"",COUNTIFS(tcTipo,AD1204,tcLiq,"Sí")&gt;0),IF(OR(P1204="Gasto",P1204="Transferencia",P1204="Pago tarjeta"),-1,1)*S1204,0)+IF(AND(AE1204&lt;&gt;"",COUNTIFS(tcTipo,AE1204,tcLiq,"Sí")&gt;0),S1204,0))</f>
        <v/>
      </c>
      <c r="AI1204" s="52">
        <f>IF(OR(L1204="",P1204=""),"",IF(COUNTIFS(L$6:L1204,L1204,P$6:P1204,"?*")=1,MAX(AI$5:AI1203)+1,""))</f>
        <v/>
      </c>
    </row>
    <row r="1205">
      <c r="B1205" s="47" t="n"/>
      <c r="C1205" s="48" t="n"/>
      <c r="D1205" s="48" t="n"/>
      <c r="E1205" s="48" t="n"/>
      <c r="F1205" s="48" t="n"/>
      <c r="G1205" s="49" t="n"/>
      <c r="H1205" s="48" t="n"/>
      <c r="I1205" s="50" t="n"/>
      <c r="J1205" s="48" t="n"/>
      <c r="K1205" s="48" t="n"/>
      <c r="L1205" s="48" t="n"/>
      <c r="M1205" s="48" t="n"/>
      <c r="N1205" s="48" t="n"/>
      <c r="O1205" s="51">
        <f>IF(AND(B1205="",G1205="",C1205="",D1205="",J1205=""),"",IF(B1205="","⚠ Falta fecha",IF(G1205="","⚠ Falta monto",IF(Q1205="","⚠ Falta cuenta",IF(ISNA(MATCH(Q1205,ctaNombre,0)),"⚠ Cuenta no registrada",IF(AND(OR(P1205="Gasto",P1205="Reembolso"),D1205=""),"⚠ Falta categoría",IF(AND(D1205&lt;&gt;"",E1205&lt;&gt;"",ISNA(MATCH(D1205&amp;"|"&amp;E1205,catClave,0))),"⚠ Subcategoría no corresponde",IF(AND(OR(P1205="Transferencia",P1205="Pago tarjeta"),K1205=""),"⚠ Falta cuenta destino",IF(AND(K1205&lt;&gt;"",P1205&lt;&gt;"Transferencia",P1205&lt;&gt;"Pago tarjeta"),"⚠ Destino solo aplica a transferencias",IF(AND(K1205&lt;&gt;"",K1205=Q1205),"⚠ Origen igual a destino",IF(AND(K1205&lt;&gt;"",ISNA(MATCH(K1205,ctaNombre,0))),"⚠ Destino no registrado",IF(AND(P1205="Pago tarjeta",AE1205&lt;&gt;"Tarjeta de crédito"),"⚠ El destino debe ser tarjeta de crédito",IF(AND(P1205="Gasto",E1205="Depósitos y retiros"),"⚠ Usa tipo Transferencia",IF(AND(P1205="Resultado trading",AD1205&lt;&gt;"Cuenta de trading"),"⚠ Usa una cuenta de trading",IF(AND(G1205&lt;=0,P1205&lt;&gt;"Ajuste",P1205&lt;&gt;"Resultado trading"),"⚠ El monto debe ser positivo","✓")))))))))))))))</f>
        <v/>
      </c>
      <c r="P1205" s="52">
        <f>IF(OR(B1205="",G1205=""),"",IF(C1205="","Gasto",C1205))</f>
        <v/>
      </c>
      <c r="Q1205" s="52">
        <f>IF(P1205="","",IF(J1205&lt;&gt;"",J1205,CuentaPred&amp;""))</f>
        <v/>
      </c>
      <c r="R1205" s="52">
        <f>IF(P1205="","",IF(ISNUMBER(I1205),I1205,TasaUSD))</f>
        <v/>
      </c>
      <c r="S1205" s="53">
        <f>IF(P1205="","",IF(H1205="USD",G1205*R1205,G1205))</f>
        <v/>
      </c>
      <c r="T1205" s="53">
        <f>IF(P1205="","",IF(H1205="USD",G1205,IF(R1205&gt;0,G1205/R1205,0)))</f>
        <v/>
      </c>
      <c r="U1205" s="53">
        <f>IF(P1205="","",IF(P1205="Gasto",S1205,IF(P1205="Reembolso",-S1205,0)))</f>
        <v/>
      </c>
      <c r="V1205" s="53">
        <f>IF(P1205="","",IF(P1205="Ingreso",S1205,0))</f>
        <v/>
      </c>
      <c r="W1205" s="53">
        <f>IF(P1205="","",IF(P1205="Resultado trading",S1205,0))</f>
        <v/>
      </c>
      <c r="X1205" s="52">
        <f>IF(OR(P1205="Gasto",P1205="Reembolso"),IF(M1205&lt;&gt;"",M1205,IFERROR(INDEX(catClasif,MATCH(D1205&amp;"|"&amp;E1205,catClave,0))&amp;"","Variable")),"")</f>
        <v/>
      </c>
      <c r="Y1205" s="52">
        <f>IF(P1205="","",IFERROR(INDEX(catGrupo,MATCH(D1205&amp;"|"&amp;E1205,catClave,0))&amp;"",""))</f>
        <v/>
      </c>
      <c r="Z1205" s="52">
        <f>IF(P1205="","",WEEKDAY(B1205,2))</f>
        <v/>
      </c>
      <c r="AA1205" s="52">
        <f>IF(P1205="","",IF(AND(P1205="Gasto",X1205="Variable",D1205&lt;&gt;catTrading,S1205&gt;0,S1205&lt;=Umbral),1,0))</f>
        <v/>
      </c>
      <c r="AB1205" s="52">
        <f>IF(OR(P1205="",Q1205=""),"",IFERROR(IF(INDEX(ctaVinc,MATCH(Q1205,ctaNombre,0))&amp;""&lt;&gt;"",INDEX(ctaVinc,MATCH(Q1205,ctaNombre,0))&amp;"",Q1205),Q1205))</f>
        <v/>
      </c>
      <c r="AC1205" s="52">
        <f>IF(OR(K1205="",AND(P1205&lt;&gt;"Transferencia",P1205&lt;&gt;"Pago tarjeta")),"",IFERROR(IF(INDEX(ctaVinc,MATCH(K1205,ctaNombre,0))&amp;""&lt;&gt;"",INDEX(ctaVinc,MATCH(K1205,ctaNombre,0))&amp;"",K1205),K1205))</f>
        <v/>
      </c>
      <c r="AD1205" s="52">
        <f>IF(AB1205="","",IFERROR(INDEX(ctaTipo,MATCH(AB1205,ctaNombre,0))&amp;"",""))</f>
        <v/>
      </c>
      <c r="AE1205" s="52">
        <f>IF(AC1205="","",IFERROR(INDEX(ctaTipo,MATCH(AC1205,ctaNombre,0))&amp;"",""))</f>
        <v/>
      </c>
      <c r="AF1205" s="53">
        <f>IF(OR(P1205="",AB1205=""),"",IF(OR(P1205="Gasto",P1205="Transferencia",P1205="Pago tarjeta"),-1,1)*IF(IFERROR(INDEX(ctaMoneda,MATCH(AB1205,ctaNombre,0))&amp;"","DOP")="USD",T1205,S1205))</f>
        <v/>
      </c>
      <c r="AG1205" s="53">
        <f>IF(AC1205="","",IF(IFERROR(INDEX(ctaMoneda,MATCH(AC1205,ctaNombre,0))&amp;"","DOP")="USD",T1205,S1205))</f>
        <v/>
      </c>
      <c r="AH1205" s="53">
        <f>IF(P1205="","",IF(AND(AD1205&lt;&gt;"",COUNTIFS(tcTipo,AD1205,tcLiq,"Sí")&gt;0),IF(OR(P1205="Gasto",P1205="Transferencia",P1205="Pago tarjeta"),-1,1)*S1205,0)+IF(AND(AE1205&lt;&gt;"",COUNTIFS(tcTipo,AE1205,tcLiq,"Sí")&gt;0),S1205,0))</f>
        <v/>
      </c>
      <c r="AI1205" s="52">
        <f>IF(OR(L1205="",P1205=""),"",IF(COUNTIFS(L$6:L1205,L1205,P$6:P1205,"?*")=1,MAX(AI$5:AI1204)+1,""))</f>
        <v/>
      </c>
    </row>
    <row r="1206">
      <c r="B1206" s="47" t="n"/>
      <c r="C1206" s="48" t="n"/>
      <c r="D1206" s="48" t="n"/>
      <c r="E1206" s="48" t="n"/>
      <c r="F1206" s="48" t="n"/>
      <c r="G1206" s="49" t="n"/>
      <c r="H1206" s="48" t="n"/>
      <c r="I1206" s="50" t="n"/>
      <c r="J1206" s="48" t="n"/>
      <c r="K1206" s="48" t="n"/>
      <c r="L1206" s="48" t="n"/>
      <c r="M1206" s="48" t="n"/>
      <c r="N1206" s="48" t="n"/>
      <c r="O1206" s="51">
        <f>IF(AND(B1206="",G1206="",C1206="",D1206="",J1206=""),"",IF(B1206="","⚠ Falta fecha",IF(G1206="","⚠ Falta monto",IF(Q1206="","⚠ Falta cuenta",IF(ISNA(MATCH(Q1206,ctaNombre,0)),"⚠ Cuenta no registrada",IF(AND(OR(P1206="Gasto",P1206="Reembolso"),D1206=""),"⚠ Falta categoría",IF(AND(D1206&lt;&gt;"",E1206&lt;&gt;"",ISNA(MATCH(D1206&amp;"|"&amp;E1206,catClave,0))),"⚠ Subcategoría no corresponde",IF(AND(OR(P1206="Transferencia",P1206="Pago tarjeta"),K1206=""),"⚠ Falta cuenta destino",IF(AND(K1206&lt;&gt;"",P1206&lt;&gt;"Transferencia",P1206&lt;&gt;"Pago tarjeta"),"⚠ Destino solo aplica a transferencias",IF(AND(K1206&lt;&gt;"",K1206=Q1206),"⚠ Origen igual a destino",IF(AND(K1206&lt;&gt;"",ISNA(MATCH(K1206,ctaNombre,0))),"⚠ Destino no registrado",IF(AND(P1206="Pago tarjeta",AE1206&lt;&gt;"Tarjeta de crédito"),"⚠ El destino debe ser tarjeta de crédito",IF(AND(P1206="Gasto",E1206="Depósitos y retiros"),"⚠ Usa tipo Transferencia",IF(AND(P1206="Resultado trading",AD1206&lt;&gt;"Cuenta de trading"),"⚠ Usa una cuenta de trading",IF(AND(G1206&lt;=0,P1206&lt;&gt;"Ajuste",P1206&lt;&gt;"Resultado trading"),"⚠ El monto debe ser positivo","✓")))))))))))))))</f>
        <v/>
      </c>
      <c r="P1206" s="52">
        <f>IF(OR(B1206="",G1206=""),"",IF(C1206="","Gasto",C1206))</f>
        <v/>
      </c>
      <c r="Q1206" s="52">
        <f>IF(P1206="","",IF(J1206&lt;&gt;"",J1206,CuentaPred&amp;""))</f>
        <v/>
      </c>
      <c r="R1206" s="52">
        <f>IF(P1206="","",IF(ISNUMBER(I1206),I1206,TasaUSD))</f>
        <v/>
      </c>
      <c r="S1206" s="53">
        <f>IF(P1206="","",IF(H1206="USD",G1206*R1206,G1206))</f>
        <v/>
      </c>
      <c r="T1206" s="53">
        <f>IF(P1206="","",IF(H1206="USD",G1206,IF(R1206&gt;0,G1206/R1206,0)))</f>
        <v/>
      </c>
      <c r="U1206" s="53">
        <f>IF(P1206="","",IF(P1206="Gasto",S1206,IF(P1206="Reembolso",-S1206,0)))</f>
        <v/>
      </c>
      <c r="V1206" s="53">
        <f>IF(P1206="","",IF(P1206="Ingreso",S1206,0))</f>
        <v/>
      </c>
      <c r="W1206" s="53">
        <f>IF(P1206="","",IF(P1206="Resultado trading",S1206,0))</f>
        <v/>
      </c>
      <c r="X1206" s="52">
        <f>IF(OR(P1206="Gasto",P1206="Reembolso"),IF(M1206&lt;&gt;"",M1206,IFERROR(INDEX(catClasif,MATCH(D1206&amp;"|"&amp;E1206,catClave,0))&amp;"","Variable")),"")</f>
        <v/>
      </c>
      <c r="Y1206" s="52">
        <f>IF(P1206="","",IFERROR(INDEX(catGrupo,MATCH(D1206&amp;"|"&amp;E1206,catClave,0))&amp;"",""))</f>
        <v/>
      </c>
      <c r="Z1206" s="52">
        <f>IF(P1206="","",WEEKDAY(B1206,2))</f>
        <v/>
      </c>
      <c r="AA1206" s="52">
        <f>IF(P1206="","",IF(AND(P1206="Gasto",X1206="Variable",D1206&lt;&gt;catTrading,S1206&gt;0,S1206&lt;=Umbral),1,0))</f>
        <v/>
      </c>
      <c r="AB1206" s="52">
        <f>IF(OR(P1206="",Q1206=""),"",IFERROR(IF(INDEX(ctaVinc,MATCH(Q1206,ctaNombre,0))&amp;""&lt;&gt;"",INDEX(ctaVinc,MATCH(Q1206,ctaNombre,0))&amp;"",Q1206),Q1206))</f>
        <v/>
      </c>
      <c r="AC1206" s="52">
        <f>IF(OR(K1206="",AND(P1206&lt;&gt;"Transferencia",P1206&lt;&gt;"Pago tarjeta")),"",IFERROR(IF(INDEX(ctaVinc,MATCH(K1206,ctaNombre,0))&amp;""&lt;&gt;"",INDEX(ctaVinc,MATCH(K1206,ctaNombre,0))&amp;"",K1206),K1206))</f>
        <v/>
      </c>
      <c r="AD1206" s="52">
        <f>IF(AB1206="","",IFERROR(INDEX(ctaTipo,MATCH(AB1206,ctaNombre,0))&amp;"",""))</f>
        <v/>
      </c>
      <c r="AE1206" s="52">
        <f>IF(AC1206="","",IFERROR(INDEX(ctaTipo,MATCH(AC1206,ctaNombre,0))&amp;"",""))</f>
        <v/>
      </c>
      <c r="AF1206" s="53">
        <f>IF(OR(P1206="",AB1206=""),"",IF(OR(P1206="Gasto",P1206="Transferencia",P1206="Pago tarjeta"),-1,1)*IF(IFERROR(INDEX(ctaMoneda,MATCH(AB1206,ctaNombre,0))&amp;"","DOP")="USD",T1206,S1206))</f>
        <v/>
      </c>
      <c r="AG1206" s="53">
        <f>IF(AC1206="","",IF(IFERROR(INDEX(ctaMoneda,MATCH(AC1206,ctaNombre,0))&amp;"","DOP")="USD",T1206,S1206))</f>
        <v/>
      </c>
      <c r="AH1206" s="53">
        <f>IF(P1206="","",IF(AND(AD1206&lt;&gt;"",COUNTIFS(tcTipo,AD1206,tcLiq,"Sí")&gt;0),IF(OR(P1206="Gasto",P1206="Transferencia",P1206="Pago tarjeta"),-1,1)*S1206,0)+IF(AND(AE1206&lt;&gt;"",COUNTIFS(tcTipo,AE1206,tcLiq,"Sí")&gt;0),S1206,0))</f>
        <v/>
      </c>
      <c r="AI1206" s="52">
        <f>IF(OR(L1206="",P1206=""),"",IF(COUNTIFS(L$6:L1206,L1206,P$6:P1206,"?*")=1,MAX(AI$5:AI1205)+1,""))</f>
        <v/>
      </c>
    </row>
    <row r="1207">
      <c r="B1207" s="47" t="n"/>
      <c r="C1207" s="48" t="n"/>
      <c r="D1207" s="48" t="n"/>
      <c r="E1207" s="48" t="n"/>
      <c r="F1207" s="48" t="n"/>
      <c r="G1207" s="49" t="n"/>
      <c r="H1207" s="48" t="n"/>
      <c r="I1207" s="50" t="n"/>
      <c r="J1207" s="48" t="n"/>
      <c r="K1207" s="48" t="n"/>
      <c r="L1207" s="48" t="n"/>
      <c r="M1207" s="48" t="n"/>
      <c r="N1207" s="48" t="n"/>
      <c r="O1207" s="51">
        <f>IF(AND(B1207="",G1207="",C1207="",D1207="",J1207=""),"",IF(B1207="","⚠ Falta fecha",IF(G1207="","⚠ Falta monto",IF(Q1207="","⚠ Falta cuenta",IF(ISNA(MATCH(Q1207,ctaNombre,0)),"⚠ Cuenta no registrada",IF(AND(OR(P1207="Gasto",P1207="Reembolso"),D1207=""),"⚠ Falta categoría",IF(AND(D1207&lt;&gt;"",E1207&lt;&gt;"",ISNA(MATCH(D1207&amp;"|"&amp;E1207,catClave,0))),"⚠ Subcategoría no corresponde",IF(AND(OR(P1207="Transferencia",P1207="Pago tarjeta"),K1207=""),"⚠ Falta cuenta destino",IF(AND(K1207&lt;&gt;"",P1207&lt;&gt;"Transferencia",P1207&lt;&gt;"Pago tarjeta"),"⚠ Destino solo aplica a transferencias",IF(AND(K1207&lt;&gt;"",K1207=Q1207),"⚠ Origen igual a destino",IF(AND(K1207&lt;&gt;"",ISNA(MATCH(K1207,ctaNombre,0))),"⚠ Destino no registrado",IF(AND(P1207="Pago tarjeta",AE1207&lt;&gt;"Tarjeta de crédito"),"⚠ El destino debe ser tarjeta de crédito",IF(AND(P1207="Gasto",E1207="Depósitos y retiros"),"⚠ Usa tipo Transferencia",IF(AND(P1207="Resultado trading",AD1207&lt;&gt;"Cuenta de trading"),"⚠ Usa una cuenta de trading",IF(AND(G1207&lt;=0,P1207&lt;&gt;"Ajuste",P1207&lt;&gt;"Resultado trading"),"⚠ El monto debe ser positivo","✓")))))))))))))))</f>
        <v/>
      </c>
      <c r="P1207" s="52">
        <f>IF(OR(B1207="",G1207=""),"",IF(C1207="","Gasto",C1207))</f>
        <v/>
      </c>
      <c r="Q1207" s="52">
        <f>IF(P1207="","",IF(J1207&lt;&gt;"",J1207,CuentaPred&amp;""))</f>
        <v/>
      </c>
      <c r="R1207" s="52">
        <f>IF(P1207="","",IF(ISNUMBER(I1207),I1207,TasaUSD))</f>
        <v/>
      </c>
      <c r="S1207" s="53">
        <f>IF(P1207="","",IF(H1207="USD",G1207*R1207,G1207))</f>
        <v/>
      </c>
      <c r="T1207" s="53">
        <f>IF(P1207="","",IF(H1207="USD",G1207,IF(R1207&gt;0,G1207/R1207,0)))</f>
        <v/>
      </c>
      <c r="U1207" s="53">
        <f>IF(P1207="","",IF(P1207="Gasto",S1207,IF(P1207="Reembolso",-S1207,0)))</f>
        <v/>
      </c>
      <c r="V1207" s="53">
        <f>IF(P1207="","",IF(P1207="Ingreso",S1207,0))</f>
        <v/>
      </c>
      <c r="W1207" s="53">
        <f>IF(P1207="","",IF(P1207="Resultado trading",S1207,0))</f>
        <v/>
      </c>
      <c r="X1207" s="52">
        <f>IF(OR(P1207="Gasto",P1207="Reembolso"),IF(M1207&lt;&gt;"",M1207,IFERROR(INDEX(catClasif,MATCH(D1207&amp;"|"&amp;E1207,catClave,0))&amp;"","Variable")),"")</f>
        <v/>
      </c>
      <c r="Y1207" s="52">
        <f>IF(P1207="","",IFERROR(INDEX(catGrupo,MATCH(D1207&amp;"|"&amp;E1207,catClave,0))&amp;"",""))</f>
        <v/>
      </c>
      <c r="Z1207" s="52">
        <f>IF(P1207="","",WEEKDAY(B1207,2))</f>
        <v/>
      </c>
      <c r="AA1207" s="52">
        <f>IF(P1207="","",IF(AND(P1207="Gasto",X1207="Variable",D1207&lt;&gt;catTrading,S1207&gt;0,S1207&lt;=Umbral),1,0))</f>
        <v/>
      </c>
      <c r="AB1207" s="52">
        <f>IF(OR(P1207="",Q1207=""),"",IFERROR(IF(INDEX(ctaVinc,MATCH(Q1207,ctaNombre,0))&amp;""&lt;&gt;"",INDEX(ctaVinc,MATCH(Q1207,ctaNombre,0))&amp;"",Q1207),Q1207))</f>
        <v/>
      </c>
      <c r="AC1207" s="52">
        <f>IF(OR(K1207="",AND(P1207&lt;&gt;"Transferencia",P1207&lt;&gt;"Pago tarjeta")),"",IFERROR(IF(INDEX(ctaVinc,MATCH(K1207,ctaNombre,0))&amp;""&lt;&gt;"",INDEX(ctaVinc,MATCH(K1207,ctaNombre,0))&amp;"",K1207),K1207))</f>
        <v/>
      </c>
      <c r="AD1207" s="52">
        <f>IF(AB1207="","",IFERROR(INDEX(ctaTipo,MATCH(AB1207,ctaNombre,0))&amp;"",""))</f>
        <v/>
      </c>
      <c r="AE1207" s="52">
        <f>IF(AC1207="","",IFERROR(INDEX(ctaTipo,MATCH(AC1207,ctaNombre,0))&amp;"",""))</f>
        <v/>
      </c>
      <c r="AF1207" s="53">
        <f>IF(OR(P1207="",AB1207=""),"",IF(OR(P1207="Gasto",P1207="Transferencia",P1207="Pago tarjeta"),-1,1)*IF(IFERROR(INDEX(ctaMoneda,MATCH(AB1207,ctaNombre,0))&amp;"","DOP")="USD",T1207,S1207))</f>
        <v/>
      </c>
      <c r="AG1207" s="53">
        <f>IF(AC1207="","",IF(IFERROR(INDEX(ctaMoneda,MATCH(AC1207,ctaNombre,0))&amp;"","DOP")="USD",T1207,S1207))</f>
        <v/>
      </c>
      <c r="AH1207" s="53">
        <f>IF(P1207="","",IF(AND(AD1207&lt;&gt;"",COUNTIFS(tcTipo,AD1207,tcLiq,"Sí")&gt;0),IF(OR(P1207="Gasto",P1207="Transferencia",P1207="Pago tarjeta"),-1,1)*S1207,0)+IF(AND(AE1207&lt;&gt;"",COUNTIFS(tcTipo,AE1207,tcLiq,"Sí")&gt;0),S1207,0))</f>
        <v/>
      </c>
      <c r="AI1207" s="52">
        <f>IF(OR(L1207="",P1207=""),"",IF(COUNTIFS(L$6:L1207,L1207,P$6:P1207,"?*")=1,MAX(AI$5:AI1206)+1,""))</f>
        <v/>
      </c>
    </row>
    <row r="1208">
      <c r="B1208" s="47" t="n"/>
      <c r="C1208" s="48" t="n"/>
      <c r="D1208" s="48" t="n"/>
      <c r="E1208" s="48" t="n"/>
      <c r="F1208" s="48" t="n"/>
      <c r="G1208" s="49" t="n"/>
      <c r="H1208" s="48" t="n"/>
      <c r="I1208" s="50" t="n"/>
      <c r="J1208" s="48" t="n"/>
      <c r="K1208" s="48" t="n"/>
      <c r="L1208" s="48" t="n"/>
      <c r="M1208" s="48" t="n"/>
      <c r="N1208" s="48" t="n"/>
      <c r="O1208" s="51">
        <f>IF(AND(B1208="",G1208="",C1208="",D1208="",J1208=""),"",IF(B1208="","⚠ Falta fecha",IF(G1208="","⚠ Falta monto",IF(Q1208="","⚠ Falta cuenta",IF(ISNA(MATCH(Q1208,ctaNombre,0)),"⚠ Cuenta no registrada",IF(AND(OR(P1208="Gasto",P1208="Reembolso"),D1208=""),"⚠ Falta categoría",IF(AND(D1208&lt;&gt;"",E1208&lt;&gt;"",ISNA(MATCH(D1208&amp;"|"&amp;E1208,catClave,0))),"⚠ Subcategoría no corresponde",IF(AND(OR(P1208="Transferencia",P1208="Pago tarjeta"),K1208=""),"⚠ Falta cuenta destino",IF(AND(K1208&lt;&gt;"",P1208&lt;&gt;"Transferencia",P1208&lt;&gt;"Pago tarjeta"),"⚠ Destino solo aplica a transferencias",IF(AND(K1208&lt;&gt;"",K1208=Q1208),"⚠ Origen igual a destino",IF(AND(K1208&lt;&gt;"",ISNA(MATCH(K1208,ctaNombre,0))),"⚠ Destino no registrado",IF(AND(P1208="Pago tarjeta",AE1208&lt;&gt;"Tarjeta de crédito"),"⚠ El destino debe ser tarjeta de crédito",IF(AND(P1208="Gasto",E1208="Depósitos y retiros"),"⚠ Usa tipo Transferencia",IF(AND(P1208="Resultado trading",AD1208&lt;&gt;"Cuenta de trading"),"⚠ Usa una cuenta de trading",IF(AND(G1208&lt;=0,P1208&lt;&gt;"Ajuste",P1208&lt;&gt;"Resultado trading"),"⚠ El monto debe ser positivo","✓")))))))))))))))</f>
        <v/>
      </c>
      <c r="P1208" s="52">
        <f>IF(OR(B1208="",G1208=""),"",IF(C1208="","Gasto",C1208))</f>
        <v/>
      </c>
      <c r="Q1208" s="52">
        <f>IF(P1208="","",IF(J1208&lt;&gt;"",J1208,CuentaPred&amp;""))</f>
        <v/>
      </c>
      <c r="R1208" s="52">
        <f>IF(P1208="","",IF(ISNUMBER(I1208),I1208,TasaUSD))</f>
        <v/>
      </c>
      <c r="S1208" s="53">
        <f>IF(P1208="","",IF(H1208="USD",G1208*R1208,G1208))</f>
        <v/>
      </c>
      <c r="T1208" s="53">
        <f>IF(P1208="","",IF(H1208="USD",G1208,IF(R1208&gt;0,G1208/R1208,0)))</f>
        <v/>
      </c>
      <c r="U1208" s="53">
        <f>IF(P1208="","",IF(P1208="Gasto",S1208,IF(P1208="Reembolso",-S1208,0)))</f>
        <v/>
      </c>
      <c r="V1208" s="53">
        <f>IF(P1208="","",IF(P1208="Ingreso",S1208,0))</f>
        <v/>
      </c>
      <c r="W1208" s="53">
        <f>IF(P1208="","",IF(P1208="Resultado trading",S1208,0))</f>
        <v/>
      </c>
      <c r="X1208" s="52">
        <f>IF(OR(P1208="Gasto",P1208="Reembolso"),IF(M1208&lt;&gt;"",M1208,IFERROR(INDEX(catClasif,MATCH(D1208&amp;"|"&amp;E1208,catClave,0))&amp;"","Variable")),"")</f>
        <v/>
      </c>
      <c r="Y1208" s="52">
        <f>IF(P1208="","",IFERROR(INDEX(catGrupo,MATCH(D1208&amp;"|"&amp;E1208,catClave,0))&amp;"",""))</f>
        <v/>
      </c>
      <c r="Z1208" s="52">
        <f>IF(P1208="","",WEEKDAY(B1208,2))</f>
        <v/>
      </c>
      <c r="AA1208" s="52">
        <f>IF(P1208="","",IF(AND(P1208="Gasto",X1208="Variable",D1208&lt;&gt;catTrading,S1208&gt;0,S1208&lt;=Umbral),1,0))</f>
        <v/>
      </c>
      <c r="AB1208" s="52">
        <f>IF(OR(P1208="",Q1208=""),"",IFERROR(IF(INDEX(ctaVinc,MATCH(Q1208,ctaNombre,0))&amp;""&lt;&gt;"",INDEX(ctaVinc,MATCH(Q1208,ctaNombre,0))&amp;"",Q1208),Q1208))</f>
        <v/>
      </c>
      <c r="AC1208" s="52">
        <f>IF(OR(K1208="",AND(P1208&lt;&gt;"Transferencia",P1208&lt;&gt;"Pago tarjeta")),"",IFERROR(IF(INDEX(ctaVinc,MATCH(K1208,ctaNombre,0))&amp;""&lt;&gt;"",INDEX(ctaVinc,MATCH(K1208,ctaNombre,0))&amp;"",K1208),K1208))</f>
        <v/>
      </c>
      <c r="AD1208" s="52">
        <f>IF(AB1208="","",IFERROR(INDEX(ctaTipo,MATCH(AB1208,ctaNombre,0))&amp;"",""))</f>
        <v/>
      </c>
      <c r="AE1208" s="52">
        <f>IF(AC1208="","",IFERROR(INDEX(ctaTipo,MATCH(AC1208,ctaNombre,0))&amp;"",""))</f>
        <v/>
      </c>
      <c r="AF1208" s="53">
        <f>IF(OR(P1208="",AB1208=""),"",IF(OR(P1208="Gasto",P1208="Transferencia",P1208="Pago tarjeta"),-1,1)*IF(IFERROR(INDEX(ctaMoneda,MATCH(AB1208,ctaNombre,0))&amp;"","DOP")="USD",T1208,S1208))</f>
        <v/>
      </c>
      <c r="AG1208" s="53">
        <f>IF(AC1208="","",IF(IFERROR(INDEX(ctaMoneda,MATCH(AC1208,ctaNombre,0))&amp;"","DOP")="USD",T1208,S1208))</f>
        <v/>
      </c>
      <c r="AH1208" s="53">
        <f>IF(P1208="","",IF(AND(AD1208&lt;&gt;"",COUNTIFS(tcTipo,AD1208,tcLiq,"Sí")&gt;0),IF(OR(P1208="Gasto",P1208="Transferencia",P1208="Pago tarjeta"),-1,1)*S1208,0)+IF(AND(AE1208&lt;&gt;"",COUNTIFS(tcTipo,AE1208,tcLiq,"Sí")&gt;0),S1208,0))</f>
        <v/>
      </c>
      <c r="AI1208" s="52">
        <f>IF(OR(L1208="",P1208=""),"",IF(COUNTIFS(L$6:L1208,L1208,P$6:P1208,"?*")=1,MAX(AI$5:AI1207)+1,""))</f>
        <v/>
      </c>
    </row>
    <row r="1209">
      <c r="B1209" s="47" t="n"/>
      <c r="C1209" s="48" t="n"/>
      <c r="D1209" s="48" t="n"/>
      <c r="E1209" s="48" t="n"/>
      <c r="F1209" s="48" t="n"/>
      <c r="G1209" s="49" t="n"/>
      <c r="H1209" s="48" t="n"/>
      <c r="I1209" s="50" t="n"/>
      <c r="J1209" s="48" t="n"/>
      <c r="K1209" s="48" t="n"/>
      <c r="L1209" s="48" t="n"/>
      <c r="M1209" s="48" t="n"/>
      <c r="N1209" s="48" t="n"/>
      <c r="O1209" s="51">
        <f>IF(AND(B1209="",G1209="",C1209="",D1209="",J1209=""),"",IF(B1209="","⚠ Falta fecha",IF(G1209="","⚠ Falta monto",IF(Q1209="","⚠ Falta cuenta",IF(ISNA(MATCH(Q1209,ctaNombre,0)),"⚠ Cuenta no registrada",IF(AND(OR(P1209="Gasto",P1209="Reembolso"),D1209=""),"⚠ Falta categoría",IF(AND(D1209&lt;&gt;"",E1209&lt;&gt;"",ISNA(MATCH(D1209&amp;"|"&amp;E1209,catClave,0))),"⚠ Subcategoría no corresponde",IF(AND(OR(P1209="Transferencia",P1209="Pago tarjeta"),K1209=""),"⚠ Falta cuenta destino",IF(AND(K1209&lt;&gt;"",P1209&lt;&gt;"Transferencia",P1209&lt;&gt;"Pago tarjeta"),"⚠ Destino solo aplica a transferencias",IF(AND(K1209&lt;&gt;"",K1209=Q1209),"⚠ Origen igual a destino",IF(AND(K1209&lt;&gt;"",ISNA(MATCH(K1209,ctaNombre,0))),"⚠ Destino no registrado",IF(AND(P1209="Pago tarjeta",AE1209&lt;&gt;"Tarjeta de crédito"),"⚠ El destino debe ser tarjeta de crédito",IF(AND(P1209="Gasto",E1209="Depósitos y retiros"),"⚠ Usa tipo Transferencia",IF(AND(P1209="Resultado trading",AD1209&lt;&gt;"Cuenta de trading"),"⚠ Usa una cuenta de trading",IF(AND(G1209&lt;=0,P1209&lt;&gt;"Ajuste",P1209&lt;&gt;"Resultado trading"),"⚠ El monto debe ser positivo","✓")))))))))))))))</f>
        <v/>
      </c>
      <c r="P1209" s="52">
        <f>IF(OR(B1209="",G1209=""),"",IF(C1209="","Gasto",C1209))</f>
        <v/>
      </c>
      <c r="Q1209" s="52">
        <f>IF(P1209="","",IF(J1209&lt;&gt;"",J1209,CuentaPred&amp;""))</f>
        <v/>
      </c>
      <c r="R1209" s="52">
        <f>IF(P1209="","",IF(ISNUMBER(I1209),I1209,TasaUSD))</f>
        <v/>
      </c>
      <c r="S1209" s="53">
        <f>IF(P1209="","",IF(H1209="USD",G1209*R1209,G1209))</f>
        <v/>
      </c>
      <c r="T1209" s="53">
        <f>IF(P1209="","",IF(H1209="USD",G1209,IF(R1209&gt;0,G1209/R1209,0)))</f>
        <v/>
      </c>
      <c r="U1209" s="53">
        <f>IF(P1209="","",IF(P1209="Gasto",S1209,IF(P1209="Reembolso",-S1209,0)))</f>
        <v/>
      </c>
      <c r="V1209" s="53">
        <f>IF(P1209="","",IF(P1209="Ingreso",S1209,0))</f>
        <v/>
      </c>
      <c r="W1209" s="53">
        <f>IF(P1209="","",IF(P1209="Resultado trading",S1209,0))</f>
        <v/>
      </c>
      <c r="X1209" s="52">
        <f>IF(OR(P1209="Gasto",P1209="Reembolso"),IF(M1209&lt;&gt;"",M1209,IFERROR(INDEX(catClasif,MATCH(D1209&amp;"|"&amp;E1209,catClave,0))&amp;"","Variable")),"")</f>
        <v/>
      </c>
      <c r="Y1209" s="52">
        <f>IF(P1209="","",IFERROR(INDEX(catGrupo,MATCH(D1209&amp;"|"&amp;E1209,catClave,0))&amp;"",""))</f>
        <v/>
      </c>
      <c r="Z1209" s="52">
        <f>IF(P1209="","",WEEKDAY(B1209,2))</f>
        <v/>
      </c>
      <c r="AA1209" s="52">
        <f>IF(P1209="","",IF(AND(P1209="Gasto",X1209="Variable",D1209&lt;&gt;catTrading,S1209&gt;0,S1209&lt;=Umbral),1,0))</f>
        <v/>
      </c>
      <c r="AB1209" s="52">
        <f>IF(OR(P1209="",Q1209=""),"",IFERROR(IF(INDEX(ctaVinc,MATCH(Q1209,ctaNombre,0))&amp;""&lt;&gt;"",INDEX(ctaVinc,MATCH(Q1209,ctaNombre,0))&amp;"",Q1209),Q1209))</f>
        <v/>
      </c>
      <c r="AC1209" s="52">
        <f>IF(OR(K1209="",AND(P1209&lt;&gt;"Transferencia",P1209&lt;&gt;"Pago tarjeta")),"",IFERROR(IF(INDEX(ctaVinc,MATCH(K1209,ctaNombre,0))&amp;""&lt;&gt;"",INDEX(ctaVinc,MATCH(K1209,ctaNombre,0))&amp;"",K1209),K1209))</f>
        <v/>
      </c>
      <c r="AD1209" s="52">
        <f>IF(AB1209="","",IFERROR(INDEX(ctaTipo,MATCH(AB1209,ctaNombre,0))&amp;"",""))</f>
        <v/>
      </c>
      <c r="AE1209" s="52">
        <f>IF(AC1209="","",IFERROR(INDEX(ctaTipo,MATCH(AC1209,ctaNombre,0))&amp;"",""))</f>
        <v/>
      </c>
      <c r="AF1209" s="53">
        <f>IF(OR(P1209="",AB1209=""),"",IF(OR(P1209="Gasto",P1209="Transferencia",P1209="Pago tarjeta"),-1,1)*IF(IFERROR(INDEX(ctaMoneda,MATCH(AB1209,ctaNombre,0))&amp;"","DOP")="USD",T1209,S1209))</f>
        <v/>
      </c>
      <c r="AG1209" s="53">
        <f>IF(AC1209="","",IF(IFERROR(INDEX(ctaMoneda,MATCH(AC1209,ctaNombre,0))&amp;"","DOP")="USD",T1209,S1209))</f>
        <v/>
      </c>
      <c r="AH1209" s="53">
        <f>IF(P1209="","",IF(AND(AD1209&lt;&gt;"",COUNTIFS(tcTipo,AD1209,tcLiq,"Sí")&gt;0),IF(OR(P1209="Gasto",P1209="Transferencia",P1209="Pago tarjeta"),-1,1)*S1209,0)+IF(AND(AE1209&lt;&gt;"",COUNTIFS(tcTipo,AE1209,tcLiq,"Sí")&gt;0),S1209,0))</f>
        <v/>
      </c>
      <c r="AI1209" s="52">
        <f>IF(OR(L1209="",P1209=""),"",IF(COUNTIFS(L$6:L1209,L1209,P$6:P1209,"?*")=1,MAX(AI$5:AI1208)+1,""))</f>
        <v/>
      </c>
    </row>
    <row r="1210">
      <c r="B1210" s="47" t="n"/>
      <c r="C1210" s="48" t="n"/>
      <c r="D1210" s="48" t="n"/>
      <c r="E1210" s="48" t="n"/>
      <c r="F1210" s="48" t="n"/>
      <c r="G1210" s="49" t="n"/>
      <c r="H1210" s="48" t="n"/>
      <c r="I1210" s="50" t="n"/>
      <c r="J1210" s="48" t="n"/>
      <c r="K1210" s="48" t="n"/>
      <c r="L1210" s="48" t="n"/>
      <c r="M1210" s="48" t="n"/>
      <c r="N1210" s="48" t="n"/>
      <c r="O1210" s="51">
        <f>IF(AND(B1210="",G1210="",C1210="",D1210="",J1210=""),"",IF(B1210="","⚠ Falta fecha",IF(G1210="","⚠ Falta monto",IF(Q1210="","⚠ Falta cuenta",IF(ISNA(MATCH(Q1210,ctaNombre,0)),"⚠ Cuenta no registrada",IF(AND(OR(P1210="Gasto",P1210="Reembolso"),D1210=""),"⚠ Falta categoría",IF(AND(D1210&lt;&gt;"",E1210&lt;&gt;"",ISNA(MATCH(D1210&amp;"|"&amp;E1210,catClave,0))),"⚠ Subcategoría no corresponde",IF(AND(OR(P1210="Transferencia",P1210="Pago tarjeta"),K1210=""),"⚠ Falta cuenta destino",IF(AND(K1210&lt;&gt;"",P1210&lt;&gt;"Transferencia",P1210&lt;&gt;"Pago tarjeta"),"⚠ Destino solo aplica a transferencias",IF(AND(K1210&lt;&gt;"",K1210=Q1210),"⚠ Origen igual a destino",IF(AND(K1210&lt;&gt;"",ISNA(MATCH(K1210,ctaNombre,0))),"⚠ Destino no registrado",IF(AND(P1210="Pago tarjeta",AE1210&lt;&gt;"Tarjeta de crédito"),"⚠ El destino debe ser tarjeta de crédito",IF(AND(P1210="Gasto",E1210="Depósitos y retiros"),"⚠ Usa tipo Transferencia",IF(AND(P1210="Resultado trading",AD1210&lt;&gt;"Cuenta de trading"),"⚠ Usa una cuenta de trading",IF(AND(G1210&lt;=0,P1210&lt;&gt;"Ajuste",P1210&lt;&gt;"Resultado trading"),"⚠ El monto debe ser positivo","✓")))))))))))))))</f>
        <v/>
      </c>
      <c r="P1210" s="52">
        <f>IF(OR(B1210="",G1210=""),"",IF(C1210="","Gasto",C1210))</f>
        <v/>
      </c>
      <c r="Q1210" s="52">
        <f>IF(P1210="","",IF(J1210&lt;&gt;"",J1210,CuentaPred&amp;""))</f>
        <v/>
      </c>
      <c r="R1210" s="52">
        <f>IF(P1210="","",IF(ISNUMBER(I1210),I1210,TasaUSD))</f>
        <v/>
      </c>
      <c r="S1210" s="53">
        <f>IF(P1210="","",IF(H1210="USD",G1210*R1210,G1210))</f>
        <v/>
      </c>
      <c r="T1210" s="53">
        <f>IF(P1210="","",IF(H1210="USD",G1210,IF(R1210&gt;0,G1210/R1210,0)))</f>
        <v/>
      </c>
      <c r="U1210" s="53">
        <f>IF(P1210="","",IF(P1210="Gasto",S1210,IF(P1210="Reembolso",-S1210,0)))</f>
        <v/>
      </c>
      <c r="V1210" s="53">
        <f>IF(P1210="","",IF(P1210="Ingreso",S1210,0))</f>
        <v/>
      </c>
      <c r="W1210" s="53">
        <f>IF(P1210="","",IF(P1210="Resultado trading",S1210,0))</f>
        <v/>
      </c>
      <c r="X1210" s="52">
        <f>IF(OR(P1210="Gasto",P1210="Reembolso"),IF(M1210&lt;&gt;"",M1210,IFERROR(INDEX(catClasif,MATCH(D1210&amp;"|"&amp;E1210,catClave,0))&amp;"","Variable")),"")</f>
        <v/>
      </c>
      <c r="Y1210" s="52">
        <f>IF(P1210="","",IFERROR(INDEX(catGrupo,MATCH(D1210&amp;"|"&amp;E1210,catClave,0))&amp;"",""))</f>
        <v/>
      </c>
      <c r="Z1210" s="52">
        <f>IF(P1210="","",WEEKDAY(B1210,2))</f>
        <v/>
      </c>
      <c r="AA1210" s="52">
        <f>IF(P1210="","",IF(AND(P1210="Gasto",X1210="Variable",D1210&lt;&gt;catTrading,S1210&gt;0,S1210&lt;=Umbral),1,0))</f>
        <v/>
      </c>
      <c r="AB1210" s="52">
        <f>IF(OR(P1210="",Q1210=""),"",IFERROR(IF(INDEX(ctaVinc,MATCH(Q1210,ctaNombre,0))&amp;""&lt;&gt;"",INDEX(ctaVinc,MATCH(Q1210,ctaNombre,0))&amp;"",Q1210),Q1210))</f>
        <v/>
      </c>
      <c r="AC1210" s="52">
        <f>IF(OR(K1210="",AND(P1210&lt;&gt;"Transferencia",P1210&lt;&gt;"Pago tarjeta")),"",IFERROR(IF(INDEX(ctaVinc,MATCH(K1210,ctaNombre,0))&amp;""&lt;&gt;"",INDEX(ctaVinc,MATCH(K1210,ctaNombre,0))&amp;"",K1210),K1210))</f>
        <v/>
      </c>
      <c r="AD1210" s="52">
        <f>IF(AB1210="","",IFERROR(INDEX(ctaTipo,MATCH(AB1210,ctaNombre,0))&amp;"",""))</f>
        <v/>
      </c>
      <c r="AE1210" s="52">
        <f>IF(AC1210="","",IFERROR(INDEX(ctaTipo,MATCH(AC1210,ctaNombre,0))&amp;"",""))</f>
        <v/>
      </c>
      <c r="AF1210" s="53">
        <f>IF(OR(P1210="",AB1210=""),"",IF(OR(P1210="Gasto",P1210="Transferencia",P1210="Pago tarjeta"),-1,1)*IF(IFERROR(INDEX(ctaMoneda,MATCH(AB1210,ctaNombre,0))&amp;"","DOP")="USD",T1210,S1210))</f>
        <v/>
      </c>
      <c r="AG1210" s="53">
        <f>IF(AC1210="","",IF(IFERROR(INDEX(ctaMoneda,MATCH(AC1210,ctaNombre,0))&amp;"","DOP")="USD",T1210,S1210))</f>
        <v/>
      </c>
      <c r="AH1210" s="53">
        <f>IF(P1210="","",IF(AND(AD1210&lt;&gt;"",COUNTIFS(tcTipo,AD1210,tcLiq,"Sí")&gt;0),IF(OR(P1210="Gasto",P1210="Transferencia",P1210="Pago tarjeta"),-1,1)*S1210,0)+IF(AND(AE1210&lt;&gt;"",COUNTIFS(tcTipo,AE1210,tcLiq,"Sí")&gt;0),S1210,0))</f>
        <v/>
      </c>
      <c r="AI1210" s="52">
        <f>IF(OR(L1210="",P1210=""),"",IF(COUNTIFS(L$6:L1210,L1210,P$6:P1210,"?*")=1,MAX(AI$5:AI1209)+1,""))</f>
        <v/>
      </c>
    </row>
    <row r="1211">
      <c r="B1211" s="47" t="n"/>
      <c r="C1211" s="48" t="n"/>
      <c r="D1211" s="48" t="n"/>
      <c r="E1211" s="48" t="n"/>
      <c r="F1211" s="48" t="n"/>
      <c r="G1211" s="49" t="n"/>
      <c r="H1211" s="48" t="n"/>
      <c r="I1211" s="50" t="n"/>
      <c r="J1211" s="48" t="n"/>
      <c r="K1211" s="48" t="n"/>
      <c r="L1211" s="48" t="n"/>
      <c r="M1211" s="48" t="n"/>
      <c r="N1211" s="48" t="n"/>
      <c r="O1211" s="51">
        <f>IF(AND(B1211="",G1211="",C1211="",D1211="",J1211=""),"",IF(B1211="","⚠ Falta fecha",IF(G1211="","⚠ Falta monto",IF(Q1211="","⚠ Falta cuenta",IF(ISNA(MATCH(Q1211,ctaNombre,0)),"⚠ Cuenta no registrada",IF(AND(OR(P1211="Gasto",P1211="Reembolso"),D1211=""),"⚠ Falta categoría",IF(AND(D1211&lt;&gt;"",E1211&lt;&gt;"",ISNA(MATCH(D1211&amp;"|"&amp;E1211,catClave,0))),"⚠ Subcategoría no corresponde",IF(AND(OR(P1211="Transferencia",P1211="Pago tarjeta"),K1211=""),"⚠ Falta cuenta destino",IF(AND(K1211&lt;&gt;"",P1211&lt;&gt;"Transferencia",P1211&lt;&gt;"Pago tarjeta"),"⚠ Destino solo aplica a transferencias",IF(AND(K1211&lt;&gt;"",K1211=Q1211),"⚠ Origen igual a destino",IF(AND(K1211&lt;&gt;"",ISNA(MATCH(K1211,ctaNombre,0))),"⚠ Destino no registrado",IF(AND(P1211="Pago tarjeta",AE1211&lt;&gt;"Tarjeta de crédito"),"⚠ El destino debe ser tarjeta de crédito",IF(AND(P1211="Gasto",E1211="Depósitos y retiros"),"⚠ Usa tipo Transferencia",IF(AND(P1211="Resultado trading",AD1211&lt;&gt;"Cuenta de trading"),"⚠ Usa una cuenta de trading",IF(AND(G1211&lt;=0,P1211&lt;&gt;"Ajuste",P1211&lt;&gt;"Resultado trading"),"⚠ El monto debe ser positivo","✓")))))))))))))))</f>
        <v/>
      </c>
      <c r="P1211" s="52">
        <f>IF(OR(B1211="",G1211=""),"",IF(C1211="","Gasto",C1211))</f>
        <v/>
      </c>
      <c r="Q1211" s="52">
        <f>IF(P1211="","",IF(J1211&lt;&gt;"",J1211,CuentaPred&amp;""))</f>
        <v/>
      </c>
      <c r="R1211" s="52">
        <f>IF(P1211="","",IF(ISNUMBER(I1211),I1211,TasaUSD))</f>
        <v/>
      </c>
      <c r="S1211" s="53">
        <f>IF(P1211="","",IF(H1211="USD",G1211*R1211,G1211))</f>
        <v/>
      </c>
      <c r="T1211" s="53">
        <f>IF(P1211="","",IF(H1211="USD",G1211,IF(R1211&gt;0,G1211/R1211,0)))</f>
        <v/>
      </c>
      <c r="U1211" s="53">
        <f>IF(P1211="","",IF(P1211="Gasto",S1211,IF(P1211="Reembolso",-S1211,0)))</f>
        <v/>
      </c>
      <c r="V1211" s="53">
        <f>IF(P1211="","",IF(P1211="Ingreso",S1211,0))</f>
        <v/>
      </c>
      <c r="W1211" s="53">
        <f>IF(P1211="","",IF(P1211="Resultado trading",S1211,0))</f>
        <v/>
      </c>
      <c r="X1211" s="52">
        <f>IF(OR(P1211="Gasto",P1211="Reembolso"),IF(M1211&lt;&gt;"",M1211,IFERROR(INDEX(catClasif,MATCH(D1211&amp;"|"&amp;E1211,catClave,0))&amp;"","Variable")),"")</f>
        <v/>
      </c>
      <c r="Y1211" s="52">
        <f>IF(P1211="","",IFERROR(INDEX(catGrupo,MATCH(D1211&amp;"|"&amp;E1211,catClave,0))&amp;"",""))</f>
        <v/>
      </c>
      <c r="Z1211" s="52">
        <f>IF(P1211="","",WEEKDAY(B1211,2))</f>
        <v/>
      </c>
      <c r="AA1211" s="52">
        <f>IF(P1211="","",IF(AND(P1211="Gasto",X1211="Variable",D1211&lt;&gt;catTrading,S1211&gt;0,S1211&lt;=Umbral),1,0))</f>
        <v/>
      </c>
      <c r="AB1211" s="52">
        <f>IF(OR(P1211="",Q1211=""),"",IFERROR(IF(INDEX(ctaVinc,MATCH(Q1211,ctaNombre,0))&amp;""&lt;&gt;"",INDEX(ctaVinc,MATCH(Q1211,ctaNombre,0))&amp;"",Q1211),Q1211))</f>
        <v/>
      </c>
      <c r="AC1211" s="52">
        <f>IF(OR(K1211="",AND(P1211&lt;&gt;"Transferencia",P1211&lt;&gt;"Pago tarjeta")),"",IFERROR(IF(INDEX(ctaVinc,MATCH(K1211,ctaNombre,0))&amp;""&lt;&gt;"",INDEX(ctaVinc,MATCH(K1211,ctaNombre,0))&amp;"",K1211),K1211))</f>
        <v/>
      </c>
      <c r="AD1211" s="52">
        <f>IF(AB1211="","",IFERROR(INDEX(ctaTipo,MATCH(AB1211,ctaNombre,0))&amp;"",""))</f>
        <v/>
      </c>
      <c r="AE1211" s="52">
        <f>IF(AC1211="","",IFERROR(INDEX(ctaTipo,MATCH(AC1211,ctaNombre,0))&amp;"",""))</f>
        <v/>
      </c>
      <c r="AF1211" s="53">
        <f>IF(OR(P1211="",AB1211=""),"",IF(OR(P1211="Gasto",P1211="Transferencia",P1211="Pago tarjeta"),-1,1)*IF(IFERROR(INDEX(ctaMoneda,MATCH(AB1211,ctaNombre,0))&amp;"","DOP")="USD",T1211,S1211))</f>
        <v/>
      </c>
      <c r="AG1211" s="53">
        <f>IF(AC1211="","",IF(IFERROR(INDEX(ctaMoneda,MATCH(AC1211,ctaNombre,0))&amp;"","DOP")="USD",T1211,S1211))</f>
        <v/>
      </c>
      <c r="AH1211" s="53">
        <f>IF(P1211="","",IF(AND(AD1211&lt;&gt;"",COUNTIFS(tcTipo,AD1211,tcLiq,"Sí")&gt;0),IF(OR(P1211="Gasto",P1211="Transferencia",P1211="Pago tarjeta"),-1,1)*S1211,0)+IF(AND(AE1211&lt;&gt;"",COUNTIFS(tcTipo,AE1211,tcLiq,"Sí")&gt;0),S1211,0))</f>
        <v/>
      </c>
      <c r="AI1211" s="52">
        <f>IF(OR(L1211="",P1211=""),"",IF(COUNTIFS(L$6:L1211,L1211,P$6:P1211,"?*")=1,MAX(AI$5:AI1210)+1,""))</f>
        <v/>
      </c>
    </row>
    <row r="1212">
      <c r="B1212" s="47" t="n"/>
      <c r="C1212" s="48" t="n"/>
      <c r="D1212" s="48" t="n"/>
      <c r="E1212" s="48" t="n"/>
      <c r="F1212" s="48" t="n"/>
      <c r="G1212" s="49" t="n"/>
      <c r="H1212" s="48" t="n"/>
      <c r="I1212" s="50" t="n"/>
      <c r="J1212" s="48" t="n"/>
      <c r="K1212" s="48" t="n"/>
      <c r="L1212" s="48" t="n"/>
      <c r="M1212" s="48" t="n"/>
      <c r="N1212" s="48" t="n"/>
      <c r="O1212" s="51">
        <f>IF(AND(B1212="",G1212="",C1212="",D1212="",J1212=""),"",IF(B1212="","⚠ Falta fecha",IF(G1212="","⚠ Falta monto",IF(Q1212="","⚠ Falta cuenta",IF(ISNA(MATCH(Q1212,ctaNombre,0)),"⚠ Cuenta no registrada",IF(AND(OR(P1212="Gasto",P1212="Reembolso"),D1212=""),"⚠ Falta categoría",IF(AND(D1212&lt;&gt;"",E1212&lt;&gt;"",ISNA(MATCH(D1212&amp;"|"&amp;E1212,catClave,0))),"⚠ Subcategoría no corresponde",IF(AND(OR(P1212="Transferencia",P1212="Pago tarjeta"),K1212=""),"⚠ Falta cuenta destino",IF(AND(K1212&lt;&gt;"",P1212&lt;&gt;"Transferencia",P1212&lt;&gt;"Pago tarjeta"),"⚠ Destino solo aplica a transferencias",IF(AND(K1212&lt;&gt;"",K1212=Q1212),"⚠ Origen igual a destino",IF(AND(K1212&lt;&gt;"",ISNA(MATCH(K1212,ctaNombre,0))),"⚠ Destino no registrado",IF(AND(P1212="Pago tarjeta",AE1212&lt;&gt;"Tarjeta de crédito"),"⚠ El destino debe ser tarjeta de crédito",IF(AND(P1212="Gasto",E1212="Depósitos y retiros"),"⚠ Usa tipo Transferencia",IF(AND(P1212="Resultado trading",AD1212&lt;&gt;"Cuenta de trading"),"⚠ Usa una cuenta de trading",IF(AND(G1212&lt;=0,P1212&lt;&gt;"Ajuste",P1212&lt;&gt;"Resultado trading"),"⚠ El monto debe ser positivo","✓")))))))))))))))</f>
        <v/>
      </c>
      <c r="P1212" s="52">
        <f>IF(OR(B1212="",G1212=""),"",IF(C1212="","Gasto",C1212))</f>
        <v/>
      </c>
      <c r="Q1212" s="52">
        <f>IF(P1212="","",IF(J1212&lt;&gt;"",J1212,CuentaPred&amp;""))</f>
        <v/>
      </c>
      <c r="R1212" s="52">
        <f>IF(P1212="","",IF(ISNUMBER(I1212),I1212,TasaUSD))</f>
        <v/>
      </c>
      <c r="S1212" s="53">
        <f>IF(P1212="","",IF(H1212="USD",G1212*R1212,G1212))</f>
        <v/>
      </c>
      <c r="T1212" s="53">
        <f>IF(P1212="","",IF(H1212="USD",G1212,IF(R1212&gt;0,G1212/R1212,0)))</f>
        <v/>
      </c>
      <c r="U1212" s="53">
        <f>IF(P1212="","",IF(P1212="Gasto",S1212,IF(P1212="Reembolso",-S1212,0)))</f>
        <v/>
      </c>
      <c r="V1212" s="53">
        <f>IF(P1212="","",IF(P1212="Ingreso",S1212,0))</f>
        <v/>
      </c>
      <c r="W1212" s="53">
        <f>IF(P1212="","",IF(P1212="Resultado trading",S1212,0))</f>
        <v/>
      </c>
      <c r="X1212" s="52">
        <f>IF(OR(P1212="Gasto",P1212="Reembolso"),IF(M1212&lt;&gt;"",M1212,IFERROR(INDEX(catClasif,MATCH(D1212&amp;"|"&amp;E1212,catClave,0))&amp;"","Variable")),"")</f>
        <v/>
      </c>
      <c r="Y1212" s="52">
        <f>IF(P1212="","",IFERROR(INDEX(catGrupo,MATCH(D1212&amp;"|"&amp;E1212,catClave,0))&amp;"",""))</f>
        <v/>
      </c>
      <c r="Z1212" s="52">
        <f>IF(P1212="","",WEEKDAY(B1212,2))</f>
        <v/>
      </c>
      <c r="AA1212" s="52">
        <f>IF(P1212="","",IF(AND(P1212="Gasto",X1212="Variable",D1212&lt;&gt;catTrading,S1212&gt;0,S1212&lt;=Umbral),1,0))</f>
        <v/>
      </c>
      <c r="AB1212" s="52">
        <f>IF(OR(P1212="",Q1212=""),"",IFERROR(IF(INDEX(ctaVinc,MATCH(Q1212,ctaNombre,0))&amp;""&lt;&gt;"",INDEX(ctaVinc,MATCH(Q1212,ctaNombre,0))&amp;"",Q1212),Q1212))</f>
        <v/>
      </c>
      <c r="AC1212" s="52">
        <f>IF(OR(K1212="",AND(P1212&lt;&gt;"Transferencia",P1212&lt;&gt;"Pago tarjeta")),"",IFERROR(IF(INDEX(ctaVinc,MATCH(K1212,ctaNombre,0))&amp;""&lt;&gt;"",INDEX(ctaVinc,MATCH(K1212,ctaNombre,0))&amp;"",K1212),K1212))</f>
        <v/>
      </c>
      <c r="AD1212" s="52">
        <f>IF(AB1212="","",IFERROR(INDEX(ctaTipo,MATCH(AB1212,ctaNombre,0))&amp;"",""))</f>
        <v/>
      </c>
      <c r="AE1212" s="52">
        <f>IF(AC1212="","",IFERROR(INDEX(ctaTipo,MATCH(AC1212,ctaNombre,0))&amp;"",""))</f>
        <v/>
      </c>
      <c r="AF1212" s="53">
        <f>IF(OR(P1212="",AB1212=""),"",IF(OR(P1212="Gasto",P1212="Transferencia",P1212="Pago tarjeta"),-1,1)*IF(IFERROR(INDEX(ctaMoneda,MATCH(AB1212,ctaNombre,0))&amp;"","DOP")="USD",T1212,S1212))</f>
        <v/>
      </c>
      <c r="AG1212" s="53">
        <f>IF(AC1212="","",IF(IFERROR(INDEX(ctaMoneda,MATCH(AC1212,ctaNombre,0))&amp;"","DOP")="USD",T1212,S1212))</f>
        <v/>
      </c>
      <c r="AH1212" s="53">
        <f>IF(P1212="","",IF(AND(AD1212&lt;&gt;"",COUNTIFS(tcTipo,AD1212,tcLiq,"Sí")&gt;0),IF(OR(P1212="Gasto",P1212="Transferencia",P1212="Pago tarjeta"),-1,1)*S1212,0)+IF(AND(AE1212&lt;&gt;"",COUNTIFS(tcTipo,AE1212,tcLiq,"Sí")&gt;0),S1212,0))</f>
        <v/>
      </c>
      <c r="AI1212" s="52">
        <f>IF(OR(L1212="",P1212=""),"",IF(COUNTIFS(L$6:L1212,L1212,P$6:P1212,"?*")=1,MAX(AI$5:AI1211)+1,""))</f>
        <v/>
      </c>
    </row>
    <row r="1213">
      <c r="B1213" s="47" t="n"/>
      <c r="C1213" s="48" t="n"/>
      <c r="D1213" s="48" t="n"/>
      <c r="E1213" s="48" t="n"/>
      <c r="F1213" s="48" t="n"/>
      <c r="G1213" s="49" t="n"/>
      <c r="H1213" s="48" t="n"/>
      <c r="I1213" s="50" t="n"/>
      <c r="J1213" s="48" t="n"/>
      <c r="K1213" s="48" t="n"/>
      <c r="L1213" s="48" t="n"/>
      <c r="M1213" s="48" t="n"/>
      <c r="N1213" s="48" t="n"/>
      <c r="O1213" s="51">
        <f>IF(AND(B1213="",G1213="",C1213="",D1213="",J1213=""),"",IF(B1213="","⚠ Falta fecha",IF(G1213="","⚠ Falta monto",IF(Q1213="","⚠ Falta cuenta",IF(ISNA(MATCH(Q1213,ctaNombre,0)),"⚠ Cuenta no registrada",IF(AND(OR(P1213="Gasto",P1213="Reembolso"),D1213=""),"⚠ Falta categoría",IF(AND(D1213&lt;&gt;"",E1213&lt;&gt;"",ISNA(MATCH(D1213&amp;"|"&amp;E1213,catClave,0))),"⚠ Subcategoría no corresponde",IF(AND(OR(P1213="Transferencia",P1213="Pago tarjeta"),K1213=""),"⚠ Falta cuenta destino",IF(AND(K1213&lt;&gt;"",P1213&lt;&gt;"Transferencia",P1213&lt;&gt;"Pago tarjeta"),"⚠ Destino solo aplica a transferencias",IF(AND(K1213&lt;&gt;"",K1213=Q1213),"⚠ Origen igual a destino",IF(AND(K1213&lt;&gt;"",ISNA(MATCH(K1213,ctaNombre,0))),"⚠ Destino no registrado",IF(AND(P1213="Pago tarjeta",AE1213&lt;&gt;"Tarjeta de crédito"),"⚠ El destino debe ser tarjeta de crédito",IF(AND(P1213="Gasto",E1213="Depósitos y retiros"),"⚠ Usa tipo Transferencia",IF(AND(P1213="Resultado trading",AD1213&lt;&gt;"Cuenta de trading"),"⚠ Usa una cuenta de trading",IF(AND(G1213&lt;=0,P1213&lt;&gt;"Ajuste",P1213&lt;&gt;"Resultado trading"),"⚠ El monto debe ser positivo","✓")))))))))))))))</f>
        <v/>
      </c>
      <c r="P1213" s="52">
        <f>IF(OR(B1213="",G1213=""),"",IF(C1213="","Gasto",C1213))</f>
        <v/>
      </c>
      <c r="Q1213" s="52">
        <f>IF(P1213="","",IF(J1213&lt;&gt;"",J1213,CuentaPred&amp;""))</f>
        <v/>
      </c>
      <c r="R1213" s="52">
        <f>IF(P1213="","",IF(ISNUMBER(I1213),I1213,TasaUSD))</f>
        <v/>
      </c>
      <c r="S1213" s="53">
        <f>IF(P1213="","",IF(H1213="USD",G1213*R1213,G1213))</f>
        <v/>
      </c>
      <c r="T1213" s="53">
        <f>IF(P1213="","",IF(H1213="USD",G1213,IF(R1213&gt;0,G1213/R1213,0)))</f>
        <v/>
      </c>
      <c r="U1213" s="53">
        <f>IF(P1213="","",IF(P1213="Gasto",S1213,IF(P1213="Reembolso",-S1213,0)))</f>
        <v/>
      </c>
      <c r="V1213" s="53">
        <f>IF(P1213="","",IF(P1213="Ingreso",S1213,0))</f>
        <v/>
      </c>
      <c r="W1213" s="53">
        <f>IF(P1213="","",IF(P1213="Resultado trading",S1213,0))</f>
        <v/>
      </c>
      <c r="X1213" s="52">
        <f>IF(OR(P1213="Gasto",P1213="Reembolso"),IF(M1213&lt;&gt;"",M1213,IFERROR(INDEX(catClasif,MATCH(D1213&amp;"|"&amp;E1213,catClave,0))&amp;"","Variable")),"")</f>
        <v/>
      </c>
      <c r="Y1213" s="52">
        <f>IF(P1213="","",IFERROR(INDEX(catGrupo,MATCH(D1213&amp;"|"&amp;E1213,catClave,0))&amp;"",""))</f>
        <v/>
      </c>
      <c r="Z1213" s="52">
        <f>IF(P1213="","",WEEKDAY(B1213,2))</f>
        <v/>
      </c>
      <c r="AA1213" s="52">
        <f>IF(P1213="","",IF(AND(P1213="Gasto",X1213="Variable",D1213&lt;&gt;catTrading,S1213&gt;0,S1213&lt;=Umbral),1,0))</f>
        <v/>
      </c>
      <c r="AB1213" s="52">
        <f>IF(OR(P1213="",Q1213=""),"",IFERROR(IF(INDEX(ctaVinc,MATCH(Q1213,ctaNombre,0))&amp;""&lt;&gt;"",INDEX(ctaVinc,MATCH(Q1213,ctaNombre,0))&amp;"",Q1213),Q1213))</f>
        <v/>
      </c>
      <c r="AC1213" s="52">
        <f>IF(OR(K1213="",AND(P1213&lt;&gt;"Transferencia",P1213&lt;&gt;"Pago tarjeta")),"",IFERROR(IF(INDEX(ctaVinc,MATCH(K1213,ctaNombre,0))&amp;""&lt;&gt;"",INDEX(ctaVinc,MATCH(K1213,ctaNombre,0))&amp;"",K1213),K1213))</f>
        <v/>
      </c>
      <c r="AD1213" s="52">
        <f>IF(AB1213="","",IFERROR(INDEX(ctaTipo,MATCH(AB1213,ctaNombre,0))&amp;"",""))</f>
        <v/>
      </c>
      <c r="AE1213" s="52">
        <f>IF(AC1213="","",IFERROR(INDEX(ctaTipo,MATCH(AC1213,ctaNombre,0))&amp;"",""))</f>
        <v/>
      </c>
      <c r="AF1213" s="53">
        <f>IF(OR(P1213="",AB1213=""),"",IF(OR(P1213="Gasto",P1213="Transferencia",P1213="Pago tarjeta"),-1,1)*IF(IFERROR(INDEX(ctaMoneda,MATCH(AB1213,ctaNombre,0))&amp;"","DOP")="USD",T1213,S1213))</f>
        <v/>
      </c>
      <c r="AG1213" s="53">
        <f>IF(AC1213="","",IF(IFERROR(INDEX(ctaMoneda,MATCH(AC1213,ctaNombre,0))&amp;"","DOP")="USD",T1213,S1213))</f>
        <v/>
      </c>
      <c r="AH1213" s="53">
        <f>IF(P1213="","",IF(AND(AD1213&lt;&gt;"",COUNTIFS(tcTipo,AD1213,tcLiq,"Sí")&gt;0),IF(OR(P1213="Gasto",P1213="Transferencia",P1213="Pago tarjeta"),-1,1)*S1213,0)+IF(AND(AE1213&lt;&gt;"",COUNTIFS(tcTipo,AE1213,tcLiq,"Sí")&gt;0),S1213,0))</f>
        <v/>
      </c>
      <c r="AI1213" s="52">
        <f>IF(OR(L1213="",P1213=""),"",IF(COUNTIFS(L$6:L1213,L1213,P$6:P1213,"?*")=1,MAX(AI$5:AI1212)+1,""))</f>
        <v/>
      </c>
    </row>
    <row r="1214">
      <c r="B1214" s="47" t="n"/>
      <c r="C1214" s="48" t="n"/>
      <c r="D1214" s="48" t="n"/>
      <c r="E1214" s="48" t="n"/>
      <c r="F1214" s="48" t="n"/>
      <c r="G1214" s="49" t="n"/>
      <c r="H1214" s="48" t="n"/>
      <c r="I1214" s="50" t="n"/>
      <c r="J1214" s="48" t="n"/>
      <c r="K1214" s="48" t="n"/>
      <c r="L1214" s="48" t="n"/>
      <c r="M1214" s="48" t="n"/>
      <c r="N1214" s="48" t="n"/>
      <c r="O1214" s="51">
        <f>IF(AND(B1214="",G1214="",C1214="",D1214="",J1214=""),"",IF(B1214="","⚠ Falta fecha",IF(G1214="","⚠ Falta monto",IF(Q1214="","⚠ Falta cuenta",IF(ISNA(MATCH(Q1214,ctaNombre,0)),"⚠ Cuenta no registrada",IF(AND(OR(P1214="Gasto",P1214="Reembolso"),D1214=""),"⚠ Falta categoría",IF(AND(D1214&lt;&gt;"",E1214&lt;&gt;"",ISNA(MATCH(D1214&amp;"|"&amp;E1214,catClave,0))),"⚠ Subcategoría no corresponde",IF(AND(OR(P1214="Transferencia",P1214="Pago tarjeta"),K1214=""),"⚠ Falta cuenta destino",IF(AND(K1214&lt;&gt;"",P1214&lt;&gt;"Transferencia",P1214&lt;&gt;"Pago tarjeta"),"⚠ Destino solo aplica a transferencias",IF(AND(K1214&lt;&gt;"",K1214=Q1214),"⚠ Origen igual a destino",IF(AND(K1214&lt;&gt;"",ISNA(MATCH(K1214,ctaNombre,0))),"⚠ Destino no registrado",IF(AND(P1214="Pago tarjeta",AE1214&lt;&gt;"Tarjeta de crédito"),"⚠ El destino debe ser tarjeta de crédito",IF(AND(P1214="Gasto",E1214="Depósitos y retiros"),"⚠ Usa tipo Transferencia",IF(AND(P1214="Resultado trading",AD1214&lt;&gt;"Cuenta de trading"),"⚠ Usa una cuenta de trading",IF(AND(G1214&lt;=0,P1214&lt;&gt;"Ajuste",P1214&lt;&gt;"Resultado trading"),"⚠ El monto debe ser positivo","✓")))))))))))))))</f>
        <v/>
      </c>
      <c r="P1214" s="52">
        <f>IF(OR(B1214="",G1214=""),"",IF(C1214="","Gasto",C1214))</f>
        <v/>
      </c>
      <c r="Q1214" s="52">
        <f>IF(P1214="","",IF(J1214&lt;&gt;"",J1214,CuentaPred&amp;""))</f>
        <v/>
      </c>
      <c r="R1214" s="52">
        <f>IF(P1214="","",IF(ISNUMBER(I1214),I1214,TasaUSD))</f>
        <v/>
      </c>
      <c r="S1214" s="53">
        <f>IF(P1214="","",IF(H1214="USD",G1214*R1214,G1214))</f>
        <v/>
      </c>
      <c r="T1214" s="53">
        <f>IF(P1214="","",IF(H1214="USD",G1214,IF(R1214&gt;0,G1214/R1214,0)))</f>
        <v/>
      </c>
      <c r="U1214" s="53">
        <f>IF(P1214="","",IF(P1214="Gasto",S1214,IF(P1214="Reembolso",-S1214,0)))</f>
        <v/>
      </c>
      <c r="V1214" s="53">
        <f>IF(P1214="","",IF(P1214="Ingreso",S1214,0))</f>
        <v/>
      </c>
      <c r="W1214" s="53">
        <f>IF(P1214="","",IF(P1214="Resultado trading",S1214,0))</f>
        <v/>
      </c>
      <c r="X1214" s="52">
        <f>IF(OR(P1214="Gasto",P1214="Reembolso"),IF(M1214&lt;&gt;"",M1214,IFERROR(INDEX(catClasif,MATCH(D1214&amp;"|"&amp;E1214,catClave,0))&amp;"","Variable")),"")</f>
        <v/>
      </c>
      <c r="Y1214" s="52">
        <f>IF(P1214="","",IFERROR(INDEX(catGrupo,MATCH(D1214&amp;"|"&amp;E1214,catClave,0))&amp;"",""))</f>
        <v/>
      </c>
      <c r="Z1214" s="52">
        <f>IF(P1214="","",WEEKDAY(B1214,2))</f>
        <v/>
      </c>
      <c r="AA1214" s="52">
        <f>IF(P1214="","",IF(AND(P1214="Gasto",X1214="Variable",D1214&lt;&gt;catTrading,S1214&gt;0,S1214&lt;=Umbral),1,0))</f>
        <v/>
      </c>
      <c r="AB1214" s="52">
        <f>IF(OR(P1214="",Q1214=""),"",IFERROR(IF(INDEX(ctaVinc,MATCH(Q1214,ctaNombre,0))&amp;""&lt;&gt;"",INDEX(ctaVinc,MATCH(Q1214,ctaNombre,0))&amp;"",Q1214),Q1214))</f>
        <v/>
      </c>
      <c r="AC1214" s="52">
        <f>IF(OR(K1214="",AND(P1214&lt;&gt;"Transferencia",P1214&lt;&gt;"Pago tarjeta")),"",IFERROR(IF(INDEX(ctaVinc,MATCH(K1214,ctaNombre,0))&amp;""&lt;&gt;"",INDEX(ctaVinc,MATCH(K1214,ctaNombre,0))&amp;"",K1214),K1214))</f>
        <v/>
      </c>
      <c r="AD1214" s="52">
        <f>IF(AB1214="","",IFERROR(INDEX(ctaTipo,MATCH(AB1214,ctaNombre,0))&amp;"",""))</f>
        <v/>
      </c>
      <c r="AE1214" s="52">
        <f>IF(AC1214="","",IFERROR(INDEX(ctaTipo,MATCH(AC1214,ctaNombre,0))&amp;"",""))</f>
        <v/>
      </c>
      <c r="AF1214" s="53">
        <f>IF(OR(P1214="",AB1214=""),"",IF(OR(P1214="Gasto",P1214="Transferencia",P1214="Pago tarjeta"),-1,1)*IF(IFERROR(INDEX(ctaMoneda,MATCH(AB1214,ctaNombre,0))&amp;"","DOP")="USD",T1214,S1214))</f>
        <v/>
      </c>
      <c r="AG1214" s="53">
        <f>IF(AC1214="","",IF(IFERROR(INDEX(ctaMoneda,MATCH(AC1214,ctaNombre,0))&amp;"","DOP")="USD",T1214,S1214))</f>
        <v/>
      </c>
      <c r="AH1214" s="53">
        <f>IF(P1214="","",IF(AND(AD1214&lt;&gt;"",COUNTIFS(tcTipo,AD1214,tcLiq,"Sí")&gt;0),IF(OR(P1214="Gasto",P1214="Transferencia",P1214="Pago tarjeta"),-1,1)*S1214,0)+IF(AND(AE1214&lt;&gt;"",COUNTIFS(tcTipo,AE1214,tcLiq,"Sí")&gt;0),S1214,0))</f>
        <v/>
      </c>
      <c r="AI1214" s="52">
        <f>IF(OR(L1214="",P1214=""),"",IF(COUNTIFS(L$6:L1214,L1214,P$6:P1214,"?*")=1,MAX(AI$5:AI1213)+1,""))</f>
        <v/>
      </c>
    </row>
    <row r="1215">
      <c r="B1215" s="47" t="n"/>
      <c r="C1215" s="48" t="n"/>
      <c r="D1215" s="48" t="n"/>
      <c r="E1215" s="48" t="n"/>
      <c r="F1215" s="48" t="n"/>
      <c r="G1215" s="49" t="n"/>
      <c r="H1215" s="48" t="n"/>
      <c r="I1215" s="50" t="n"/>
      <c r="J1215" s="48" t="n"/>
      <c r="K1215" s="48" t="n"/>
      <c r="L1215" s="48" t="n"/>
      <c r="M1215" s="48" t="n"/>
      <c r="N1215" s="48" t="n"/>
      <c r="O1215" s="51">
        <f>IF(AND(B1215="",G1215="",C1215="",D1215="",J1215=""),"",IF(B1215="","⚠ Falta fecha",IF(G1215="","⚠ Falta monto",IF(Q1215="","⚠ Falta cuenta",IF(ISNA(MATCH(Q1215,ctaNombre,0)),"⚠ Cuenta no registrada",IF(AND(OR(P1215="Gasto",P1215="Reembolso"),D1215=""),"⚠ Falta categoría",IF(AND(D1215&lt;&gt;"",E1215&lt;&gt;"",ISNA(MATCH(D1215&amp;"|"&amp;E1215,catClave,0))),"⚠ Subcategoría no corresponde",IF(AND(OR(P1215="Transferencia",P1215="Pago tarjeta"),K1215=""),"⚠ Falta cuenta destino",IF(AND(K1215&lt;&gt;"",P1215&lt;&gt;"Transferencia",P1215&lt;&gt;"Pago tarjeta"),"⚠ Destino solo aplica a transferencias",IF(AND(K1215&lt;&gt;"",K1215=Q1215),"⚠ Origen igual a destino",IF(AND(K1215&lt;&gt;"",ISNA(MATCH(K1215,ctaNombre,0))),"⚠ Destino no registrado",IF(AND(P1215="Pago tarjeta",AE1215&lt;&gt;"Tarjeta de crédito"),"⚠ El destino debe ser tarjeta de crédito",IF(AND(P1215="Gasto",E1215="Depósitos y retiros"),"⚠ Usa tipo Transferencia",IF(AND(P1215="Resultado trading",AD1215&lt;&gt;"Cuenta de trading"),"⚠ Usa una cuenta de trading",IF(AND(G1215&lt;=0,P1215&lt;&gt;"Ajuste",P1215&lt;&gt;"Resultado trading"),"⚠ El monto debe ser positivo","✓")))))))))))))))</f>
        <v/>
      </c>
      <c r="P1215" s="52">
        <f>IF(OR(B1215="",G1215=""),"",IF(C1215="","Gasto",C1215))</f>
        <v/>
      </c>
      <c r="Q1215" s="52">
        <f>IF(P1215="","",IF(J1215&lt;&gt;"",J1215,CuentaPred&amp;""))</f>
        <v/>
      </c>
      <c r="R1215" s="52">
        <f>IF(P1215="","",IF(ISNUMBER(I1215),I1215,TasaUSD))</f>
        <v/>
      </c>
      <c r="S1215" s="53">
        <f>IF(P1215="","",IF(H1215="USD",G1215*R1215,G1215))</f>
        <v/>
      </c>
      <c r="T1215" s="53">
        <f>IF(P1215="","",IF(H1215="USD",G1215,IF(R1215&gt;0,G1215/R1215,0)))</f>
        <v/>
      </c>
      <c r="U1215" s="53">
        <f>IF(P1215="","",IF(P1215="Gasto",S1215,IF(P1215="Reembolso",-S1215,0)))</f>
        <v/>
      </c>
      <c r="V1215" s="53">
        <f>IF(P1215="","",IF(P1215="Ingreso",S1215,0))</f>
        <v/>
      </c>
      <c r="W1215" s="53">
        <f>IF(P1215="","",IF(P1215="Resultado trading",S1215,0))</f>
        <v/>
      </c>
      <c r="X1215" s="52">
        <f>IF(OR(P1215="Gasto",P1215="Reembolso"),IF(M1215&lt;&gt;"",M1215,IFERROR(INDEX(catClasif,MATCH(D1215&amp;"|"&amp;E1215,catClave,0))&amp;"","Variable")),"")</f>
        <v/>
      </c>
      <c r="Y1215" s="52">
        <f>IF(P1215="","",IFERROR(INDEX(catGrupo,MATCH(D1215&amp;"|"&amp;E1215,catClave,0))&amp;"",""))</f>
        <v/>
      </c>
      <c r="Z1215" s="52">
        <f>IF(P1215="","",WEEKDAY(B1215,2))</f>
        <v/>
      </c>
      <c r="AA1215" s="52">
        <f>IF(P1215="","",IF(AND(P1215="Gasto",X1215="Variable",D1215&lt;&gt;catTrading,S1215&gt;0,S1215&lt;=Umbral),1,0))</f>
        <v/>
      </c>
      <c r="AB1215" s="52">
        <f>IF(OR(P1215="",Q1215=""),"",IFERROR(IF(INDEX(ctaVinc,MATCH(Q1215,ctaNombre,0))&amp;""&lt;&gt;"",INDEX(ctaVinc,MATCH(Q1215,ctaNombre,0))&amp;"",Q1215),Q1215))</f>
        <v/>
      </c>
      <c r="AC1215" s="52">
        <f>IF(OR(K1215="",AND(P1215&lt;&gt;"Transferencia",P1215&lt;&gt;"Pago tarjeta")),"",IFERROR(IF(INDEX(ctaVinc,MATCH(K1215,ctaNombre,0))&amp;""&lt;&gt;"",INDEX(ctaVinc,MATCH(K1215,ctaNombre,0))&amp;"",K1215),K1215))</f>
        <v/>
      </c>
      <c r="AD1215" s="52">
        <f>IF(AB1215="","",IFERROR(INDEX(ctaTipo,MATCH(AB1215,ctaNombre,0))&amp;"",""))</f>
        <v/>
      </c>
      <c r="AE1215" s="52">
        <f>IF(AC1215="","",IFERROR(INDEX(ctaTipo,MATCH(AC1215,ctaNombre,0))&amp;"",""))</f>
        <v/>
      </c>
      <c r="AF1215" s="53">
        <f>IF(OR(P1215="",AB1215=""),"",IF(OR(P1215="Gasto",P1215="Transferencia",P1215="Pago tarjeta"),-1,1)*IF(IFERROR(INDEX(ctaMoneda,MATCH(AB1215,ctaNombre,0))&amp;"","DOP")="USD",T1215,S1215))</f>
        <v/>
      </c>
      <c r="AG1215" s="53">
        <f>IF(AC1215="","",IF(IFERROR(INDEX(ctaMoneda,MATCH(AC1215,ctaNombre,0))&amp;"","DOP")="USD",T1215,S1215))</f>
        <v/>
      </c>
      <c r="AH1215" s="53">
        <f>IF(P1215="","",IF(AND(AD1215&lt;&gt;"",COUNTIFS(tcTipo,AD1215,tcLiq,"Sí")&gt;0),IF(OR(P1215="Gasto",P1215="Transferencia",P1215="Pago tarjeta"),-1,1)*S1215,0)+IF(AND(AE1215&lt;&gt;"",COUNTIFS(tcTipo,AE1215,tcLiq,"Sí")&gt;0),S1215,0))</f>
        <v/>
      </c>
      <c r="AI1215" s="52">
        <f>IF(OR(L1215="",P1215=""),"",IF(COUNTIFS(L$6:L1215,L1215,P$6:P1215,"?*")=1,MAX(AI$5:AI1214)+1,""))</f>
        <v/>
      </c>
    </row>
    <row r="1216">
      <c r="B1216" s="47" t="n"/>
      <c r="C1216" s="48" t="n"/>
      <c r="D1216" s="48" t="n"/>
      <c r="E1216" s="48" t="n"/>
      <c r="F1216" s="48" t="n"/>
      <c r="G1216" s="49" t="n"/>
      <c r="H1216" s="48" t="n"/>
      <c r="I1216" s="50" t="n"/>
      <c r="J1216" s="48" t="n"/>
      <c r="K1216" s="48" t="n"/>
      <c r="L1216" s="48" t="n"/>
      <c r="M1216" s="48" t="n"/>
      <c r="N1216" s="48" t="n"/>
      <c r="O1216" s="51">
        <f>IF(AND(B1216="",G1216="",C1216="",D1216="",J1216=""),"",IF(B1216="","⚠ Falta fecha",IF(G1216="","⚠ Falta monto",IF(Q1216="","⚠ Falta cuenta",IF(ISNA(MATCH(Q1216,ctaNombre,0)),"⚠ Cuenta no registrada",IF(AND(OR(P1216="Gasto",P1216="Reembolso"),D1216=""),"⚠ Falta categoría",IF(AND(D1216&lt;&gt;"",E1216&lt;&gt;"",ISNA(MATCH(D1216&amp;"|"&amp;E1216,catClave,0))),"⚠ Subcategoría no corresponde",IF(AND(OR(P1216="Transferencia",P1216="Pago tarjeta"),K1216=""),"⚠ Falta cuenta destino",IF(AND(K1216&lt;&gt;"",P1216&lt;&gt;"Transferencia",P1216&lt;&gt;"Pago tarjeta"),"⚠ Destino solo aplica a transferencias",IF(AND(K1216&lt;&gt;"",K1216=Q1216),"⚠ Origen igual a destino",IF(AND(K1216&lt;&gt;"",ISNA(MATCH(K1216,ctaNombre,0))),"⚠ Destino no registrado",IF(AND(P1216="Pago tarjeta",AE1216&lt;&gt;"Tarjeta de crédito"),"⚠ El destino debe ser tarjeta de crédito",IF(AND(P1216="Gasto",E1216="Depósitos y retiros"),"⚠ Usa tipo Transferencia",IF(AND(P1216="Resultado trading",AD1216&lt;&gt;"Cuenta de trading"),"⚠ Usa una cuenta de trading",IF(AND(G1216&lt;=0,P1216&lt;&gt;"Ajuste",P1216&lt;&gt;"Resultado trading"),"⚠ El monto debe ser positivo","✓")))))))))))))))</f>
        <v/>
      </c>
      <c r="P1216" s="52">
        <f>IF(OR(B1216="",G1216=""),"",IF(C1216="","Gasto",C1216))</f>
        <v/>
      </c>
      <c r="Q1216" s="52">
        <f>IF(P1216="","",IF(J1216&lt;&gt;"",J1216,CuentaPred&amp;""))</f>
        <v/>
      </c>
      <c r="R1216" s="52">
        <f>IF(P1216="","",IF(ISNUMBER(I1216),I1216,TasaUSD))</f>
        <v/>
      </c>
      <c r="S1216" s="53">
        <f>IF(P1216="","",IF(H1216="USD",G1216*R1216,G1216))</f>
        <v/>
      </c>
      <c r="T1216" s="53">
        <f>IF(P1216="","",IF(H1216="USD",G1216,IF(R1216&gt;0,G1216/R1216,0)))</f>
        <v/>
      </c>
      <c r="U1216" s="53">
        <f>IF(P1216="","",IF(P1216="Gasto",S1216,IF(P1216="Reembolso",-S1216,0)))</f>
        <v/>
      </c>
      <c r="V1216" s="53">
        <f>IF(P1216="","",IF(P1216="Ingreso",S1216,0))</f>
        <v/>
      </c>
      <c r="W1216" s="53">
        <f>IF(P1216="","",IF(P1216="Resultado trading",S1216,0))</f>
        <v/>
      </c>
      <c r="X1216" s="52">
        <f>IF(OR(P1216="Gasto",P1216="Reembolso"),IF(M1216&lt;&gt;"",M1216,IFERROR(INDEX(catClasif,MATCH(D1216&amp;"|"&amp;E1216,catClave,0))&amp;"","Variable")),"")</f>
        <v/>
      </c>
      <c r="Y1216" s="52">
        <f>IF(P1216="","",IFERROR(INDEX(catGrupo,MATCH(D1216&amp;"|"&amp;E1216,catClave,0))&amp;"",""))</f>
        <v/>
      </c>
      <c r="Z1216" s="52">
        <f>IF(P1216="","",WEEKDAY(B1216,2))</f>
        <v/>
      </c>
      <c r="AA1216" s="52">
        <f>IF(P1216="","",IF(AND(P1216="Gasto",X1216="Variable",D1216&lt;&gt;catTrading,S1216&gt;0,S1216&lt;=Umbral),1,0))</f>
        <v/>
      </c>
      <c r="AB1216" s="52">
        <f>IF(OR(P1216="",Q1216=""),"",IFERROR(IF(INDEX(ctaVinc,MATCH(Q1216,ctaNombre,0))&amp;""&lt;&gt;"",INDEX(ctaVinc,MATCH(Q1216,ctaNombre,0))&amp;"",Q1216),Q1216))</f>
        <v/>
      </c>
      <c r="AC1216" s="52">
        <f>IF(OR(K1216="",AND(P1216&lt;&gt;"Transferencia",P1216&lt;&gt;"Pago tarjeta")),"",IFERROR(IF(INDEX(ctaVinc,MATCH(K1216,ctaNombre,0))&amp;""&lt;&gt;"",INDEX(ctaVinc,MATCH(K1216,ctaNombre,0))&amp;"",K1216),K1216))</f>
        <v/>
      </c>
      <c r="AD1216" s="52">
        <f>IF(AB1216="","",IFERROR(INDEX(ctaTipo,MATCH(AB1216,ctaNombre,0))&amp;"",""))</f>
        <v/>
      </c>
      <c r="AE1216" s="52">
        <f>IF(AC1216="","",IFERROR(INDEX(ctaTipo,MATCH(AC1216,ctaNombre,0))&amp;"",""))</f>
        <v/>
      </c>
      <c r="AF1216" s="53">
        <f>IF(OR(P1216="",AB1216=""),"",IF(OR(P1216="Gasto",P1216="Transferencia",P1216="Pago tarjeta"),-1,1)*IF(IFERROR(INDEX(ctaMoneda,MATCH(AB1216,ctaNombre,0))&amp;"","DOP")="USD",T1216,S1216))</f>
        <v/>
      </c>
      <c r="AG1216" s="53">
        <f>IF(AC1216="","",IF(IFERROR(INDEX(ctaMoneda,MATCH(AC1216,ctaNombre,0))&amp;"","DOP")="USD",T1216,S1216))</f>
        <v/>
      </c>
      <c r="AH1216" s="53">
        <f>IF(P1216="","",IF(AND(AD1216&lt;&gt;"",COUNTIFS(tcTipo,AD1216,tcLiq,"Sí")&gt;0),IF(OR(P1216="Gasto",P1216="Transferencia",P1216="Pago tarjeta"),-1,1)*S1216,0)+IF(AND(AE1216&lt;&gt;"",COUNTIFS(tcTipo,AE1216,tcLiq,"Sí")&gt;0),S1216,0))</f>
        <v/>
      </c>
      <c r="AI1216" s="52">
        <f>IF(OR(L1216="",P1216=""),"",IF(COUNTIFS(L$6:L1216,L1216,P$6:P1216,"?*")=1,MAX(AI$5:AI1215)+1,""))</f>
        <v/>
      </c>
    </row>
    <row r="1217">
      <c r="B1217" s="47" t="n"/>
      <c r="C1217" s="48" t="n"/>
      <c r="D1217" s="48" t="n"/>
      <c r="E1217" s="48" t="n"/>
      <c r="F1217" s="48" t="n"/>
      <c r="G1217" s="49" t="n"/>
      <c r="H1217" s="48" t="n"/>
      <c r="I1217" s="50" t="n"/>
      <c r="J1217" s="48" t="n"/>
      <c r="K1217" s="48" t="n"/>
      <c r="L1217" s="48" t="n"/>
      <c r="M1217" s="48" t="n"/>
      <c r="N1217" s="48" t="n"/>
      <c r="O1217" s="51">
        <f>IF(AND(B1217="",G1217="",C1217="",D1217="",J1217=""),"",IF(B1217="","⚠ Falta fecha",IF(G1217="","⚠ Falta monto",IF(Q1217="","⚠ Falta cuenta",IF(ISNA(MATCH(Q1217,ctaNombre,0)),"⚠ Cuenta no registrada",IF(AND(OR(P1217="Gasto",P1217="Reembolso"),D1217=""),"⚠ Falta categoría",IF(AND(D1217&lt;&gt;"",E1217&lt;&gt;"",ISNA(MATCH(D1217&amp;"|"&amp;E1217,catClave,0))),"⚠ Subcategoría no corresponde",IF(AND(OR(P1217="Transferencia",P1217="Pago tarjeta"),K1217=""),"⚠ Falta cuenta destino",IF(AND(K1217&lt;&gt;"",P1217&lt;&gt;"Transferencia",P1217&lt;&gt;"Pago tarjeta"),"⚠ Destino solo aplica a transferencias",IF(AND(K1217&lt;&gt;"",K1217=Q1217),"⚠ Origen igual a destino",IF(AND(K1217&lt;&gt;"",ISNA(MATCH(K1217,ctaNombre,0))),"⚠ Destino no registrado",IF(AND(P1217="Pago tarjeta",AE1217&lt;&gt;"Tarjeta de crédito"),"⚠ El destino debe ser tarjeta de crédito",IF(AND(P1217="Gasto",E1217="Depósitos y retiros"),"⚠ Usa tipo Transferencia",IF(AND(P1217="Resultado trading",AD1217&lt;&gt;"Cuenta de trading"),"⚠ Usa una cuenta de trading",IF(AND(G1217&lt;=0,P1217&lt;&gt;"Ajuste",P1217&lt;&gt;"Resultado trading"),"⚠ El monto debe ser positivo","✓")))))))))))))))</f>
        <v/>
      </c>
      <c r="P1217" s="52">
        <f>IF(OR(B1217="",G1217=""),"",IF(C1217="","Gasto",C1217))</f>
        <v/>
      </c>
      <c r="Q1217" s="52">
        <f>IF(P1217="","",IF(J1217&lt;&gt;"",J1217,CuentaPred&amp;""))</f>
        <v/>
      </c>
      <c r="R1217" s="52">
        <f>IF(P1217="","",IF(ISNUMBER(I1217),I1217,TasaUSD))</f>
        <v/>
      </c>
      <c r="S1217" s="53">
        <f>IF(P1217="","",IF(H1217="USD",G1217*R1217,G1217))</f>
        <v/>
      </c>
      <c r="T1217" s="53">
        <f>IF(P1217="","",IF(H1217="USD",G1217,IF(R1217&gt;0,G1217/R1217,0)))</f>
        <v/>
      </c>
      <c r="U1217" s="53">
        <f>IF(P1217="","",IF(P1217="Gasto",S1217,IF(P1217="Reembolso",-S1217,0)))</f>
        <v/>
      </c>
      <c r="V1217" s="53">
        <f>IF(P1217="","",IF(P1217="Ingreso",S1217,0))</f>
        <v/>
      </c>
      <c r="W1217" s="53">
        <f>IF(P1217="","",IF(P1217="Resultado trading",S1217,0))</f>
        <v/>
      </c>
      <c r="X1217" s="52">
        <f>IF(OR(P1217="Gasto",P1217="Reembolso"),IF(M1217&lt;&gt;"",M1217,IFERROR(INDEX(catClasif,MATCH(D1217&amp;"|"&amp;E1217,catClave,0))&amp;"","Variable")),"")</f>
        <v/>
      </c>
      <c r="Y1217" s="52">
        <f>IF(P1217="","",IFERROR(INDEX(catGrupo,MATCH(D1217&amp;"|"&amp;E1217,catClave,0))&amp;"",""))</f>
        <v/>
      </c>
      <c r="Z1217" s="52">
        <f>IF(P1217="","",WEEKDAY(B1217,2))</f>
        <v/>
      </c>
      <c r="AA1217" s="52">
        <f>IF(P1217="","",IF(AND(P1217="Gasto",X1217="Variable",D1217&lt;&gt;catTrading,S1217&gt;0,S1217&lt;=Umbral),1,0))</f>
        <v/>
      </c>
      <c r="AB1217" s="52">
        <f>IF(OR(P1217="",Q1217=""),"",IFERROR(IF(INDEX(ctaVinc,MATCH(Q1217,ctaNombre,0))&amp;""&lt;&gt;"",INDEX(ctaVinc,MATCH(Q1217,ctaNombre,0))&amp;"",Q1217),Q1217))</f>
        <v/>
      </c>
      <c r="AC1217" s="52">
        <f>IF(OR(K1217="",AND(P1217&lt;&gt;"Transferencia",P1217&lt;&gt;"Pago tarjeta")),"",IFERROR(IF(INDEX(ctaVinc,MATCH(K1217,ctaNombre,0))&amp;""&lt;&gt;"",INDEX(ctaVinc,MATCH(K1217,ctaNombre,0))&amp;"",K1217),K1217))</f>
        <v/>
      </c>
      <c r="AD1217" s="52">
        <f>IF(AB1217="","",IFERROR(INDEX(ctaTipo,MATCH(AB1217,ctaNombre,0))&amp;"",""))</f>
        <v/>
      </c>
      <c r="AE1217" s="52">
        <f>IF(AC1217="","",IFERROR(INDEX(ctaTipo,MATCH(AC1217,ctaNombre,0))&amp;"",""))</f>
        <v/>
      </c>
      <c r="AF1217" s="53">
        <f>IF(OR(P1217="",AB1217=""),"",IF(OR(P1217="Gasto",P1217="Transferencia",P1217="Pago tarjeta"),-1,1)*IF(IFERROR(INDEX(ctaMoneda,MATCH(AB1217,ctaNombre,0))&amp;"","DOP")="USD",T1217,S1217))</f>
        <v/>
      </c>
      <c r="AG1217" s="53">
        <f>IF(AC1217="","",IF(IFERROR(INDEX(ctaMoneda,MATCH(AC1217,ctaNombre,0))&amp;"","DOP")="USD",T1217,S1217))</f>
        <v/>
      </c>
      <c r="AH1217" s="53">
        <f>IF(P1217="","",IF(AND(AD1217&lt;&gt;"",COUNTIFS(tcTipo,AD1217,tcLiq,"Sí")&gt;0),IF(OR(P1217="Gasto",P1217="Transferencia",P1217="Pago tarjeta"),-1,1)*S1217,0)+IF(AND(AE1217&lt;&gt;"",COUNTIFS(tcTipo,AE1217,tcLiq,"Sí")&gt;0),S1217,0))</f>
        <v/>
      </c>
      <c r="AI1217" s="52">
        <f>IF(OR(L1217="",P1217=""),"",IF(COUNTIFS(L$6:L1217,L1217,P$6:P1217,"?*")=1,MAX(AI$5:AI1216)+1,""))</f>
        <v/>
      </c>
    </row>
    <row r="1218">
      <c r="B1218" s="47" t="n"/>
      <c r="C1218" s="48" t="n"/>
      <c r="D1218" s="48" t="n"/>
      <c r="E1218" s="48" t="n"/>
      <c r="F1218" s="48" t="n"/>
      <c r="G1218" s="49" t="n"/>
      <c r="H1218" s="48" t="n"/>
      <c r="I1218" s="50" t="n"/>
      <c r="J1218" s="48" t="n"/>
      <c r="K1218" s="48" t="n"/>
      <c r="L1218" s="48" t="n"/>
      <c r="M1218" s="48" t="n"/>
      <c r="N1218" s="48" t="n"/>
      <c r="O1218" s="51">
        <f>IF(AND(B1218="",G1218="",C1218="",D1218="",J1218=""),"",IF(B1218="","⚠ Falta fecha",IF(G1218="","⚠ Falta monto",IF(Q1218="","⚠ Falta cuenta",IF(ISNA(MATCH(Q1218,ctaNombre,0)),"⚠ Cuenta no registrada",IF(AND(OR(P1218="Gasto",P1218="Reembolso"),D1218=""),"⚠ Falta categoría",IF(AND(D1218&lt;&gt;"",E1218&lt;&gt;"",ISNA(MATCH(D1218&amp;"|"&amp;E1218,catClave,0))),"⚠ Subcategoría no corresponde",IF(AND(OR(P1218="Transferencia",P1218="Pago tarjeta"),K1218=""),"⚠ Falta cuenta destino",IF(AND(K1218&lt;&gt;"",P1218&lt;&gt;"Transferencia",P1218&lt;&gt;"Pago tarjeta"),"⚠ Destino solo aplica a transferencias",IF(AND(K1218&lt;&gt;"",K1218=Q1218),"⚠ Origen igual a destino",IF(AND(K1218&lt;&gt;"",ISNA(MATCH(K1218,ctaNombre,0))),"⚠ Destino no registrado",IF(AND(P1218="Pago tarjeta",AE1218&lt;&gt;"Tarjeta de crédito"),"⚠ El destino debe ser tarjeta de crédito",IF(AND(P1218="Gasto",E1218="Depósitos y retiros"),"⚠ Usa tipo Transferencia",IF(AND(P1218="Resultado trading",AD1218&lt;&gt;"Cuenta de trading"),"⚠ Usa una cuenta de trading",IF(AND(G1218&lt;=0,P1218&lt;&gt;"Ajuste",P1218&lt;&gt;"Resultado trading"),"⚠ El monto debe ser positivo","✓")))))))))))))))</f>
        <v/>
      </c>
      <c r="P1218" s="52">
        <f>IF(OR(B1218="",G1218=""),"",IF(C1218="","Gasto",C1218))</f>
        <v/>
      </c>
      <c r="Q1218" s="52">
        <f>IF(P1218="","",IF(J1218&lt;&gt;"",J1218,CuentaPred&amp;""))</f>
        <v/>
      </c>
      <c r="R1218" s="52">
        <f>IF(P1218="","",IF(ISNUMBER(I1218),I1218,TasaUSD))</f>
        <v/>
      </c>
      <c r="S1218" s="53">
        <f>IF(P1218="","",IF(H1218="USD",G1218*R1218,G1218))</f>
        <v/>
      </c>
      <c r="T1218" s="53">
        <f>IF(P1218="","",IF(H1218="USD",G1218,IF(R1218&gt;0,G1218/R1218,0)))</f>
        <v/>
      </c>
      <c r="U1218" s="53">
        <f>IF(P1218="","",IF(P1218="Gasto",S1218,IF(P1218="Reembolso",-S1218,0)))</f>
        <v/>
      </c>
      <c r="V1218" s="53">
        <f>IF(P1218="","",IF(P1218="Ingreso",S1218,0))</f>
        <v/>
      </c>
      <c r="W1218" s="53">
        <f>IF(P1218="","",IF(P1218="Resultado trading",S1218,0))</f>
        <v/>
      </c>
      <c r="X1218" s="52">
        <f>IF(OR(P1218="Gasto",P1218="Reembolso"),IF(M1218&lt;&gt;"",M1218,IFERROR(INDEX(catClasif,MATCH(D1218&amp;"|"&amp;E1218,catClave,0))&amp;"","Variable")),"")</f>
        <v/>
      </c>
      <c r="Y1218" s="52">
        <f>IF(P1218="","",IFERROR(INDEX(catGrupo,MATCH(D1218&amp;"|"&amp;E1218,catClave,0))&amp;"",""))</f>
        <v/>
      </c>
      <c r="Z1218" s="52">
        <f>IF(P1218="","",WEEKDAY(B1218,2))</f>
        <v/>
      </c>
      <c r="AA1218" s="52">
        <f>IF(P1218="","",IF(AND(P1218="Gasto",X1218="Variable",D1218&lt;&gt;catTrading,S1218&gt;0,S1218&lt;=Umbral),1,0))</f>
        <v/>
      </c>
      <c r="AB1218" s="52">
        <f>IF(OR(P1218="",Q1218=""),"",IFERROR(IF(INDEX(ctaVinc,MATCH(Q1218,ctaNombre,0))&amp;""&lt;&gt;"",INDEX(ctaVinc,MATCH(Q1218,ctaNombre,0))&amp;"",Q1218),Q1218))</f>
        <v/>
      </c>
      <c r="AC1218" s="52">
        <f>IF(OR(K1218="",AND(P1218&lt;&gt;"Transferencia",P1218&lt;&gt;"Pago tarjeta")),"",IFERROR(IF(INDEX(ctaVinc,MATCH(K1218,ctaNombre,0))&amp;""&lt;&gt;"",INDEX(ctaVinc,MATCH(K1218,ctaNombre,0))&amp;"",K1218),K1218))</f>
        <v/>
      </c>
      <c r="AD1218" s="52">
        <f>IF(AB1218="","",IFERROR(INDEX(ctaTipo,MATCH(AB1218,ctaNombre,0))&amp;"",""))</f>
        <v/>
      </c>
      <c r="AE1218" s="52">
        <f>IF(AC1218="","",IFERROR(INDEX(ctaTipo,MATCH(AC1218,ctaNombre,0))&amp;"",""))</f>
        <v/>
      </c>
      <c r="AF1218" s="53">
        <f>IF(OR(P1218="",AB1218=""),"",IF(OR(P1218="Gasto",P1218="Transferencia",P1218="Pago tarjeta"),-1,1)*IF(IFERROR(INDEX(ctaMoneda,MATCH(AB1218,ctaNombre,0))&amp;"","DOP")="USD",T1218,S1218))</f>
        <v/>
      </c>
      <c r="AG1218" s="53">
        <f>IF(AC1218="","",IF(IFERROR(INDEX(ctaMoneda,MATCH(AC1218,ctaNombre,0))&amp;"","DOP")="USD",T1218,S1218))</f>
        <v/>
      </c>
      <c r="AH1218" s="53">
        <f>IF(P1218="","",IF(AND(AD1218&lt;&gt;"",COUNTIFS(tcTipo,AD1218,tcLiq,"Sí")&gt;0),IF(OR(P1218="Gasto",P1218="Transferencia",P1218="Pago tarjeta"),-1,1)*S1218,0)+IF(AND(AE1218&lt;&gt;"",COUNTIFS(tcTipo,AE1218,tcLiq,"Sí")&gt;0),S1218,0))</f>
        <v/>
      </c>
      <c r="AI1218" s="52">
        <f>IF(OR(L1218="",P1218=""),"",IF(COUNTIFS(L$6:L1218,L1218,P$6:P1218,"?*")=1,MAX(AI$5:AI1217)+1,""))</f>
        <v/>
      </c>
    </row>
    <row r="1219">
      <c r="B1219" s="47" t="n"/>
      <c r="C1219" s="48" t="n"/>
      <c r="D1219" s="48" t="n"/>
      <c r="E1219" s="48" t="n"/>
      <c r="F1219" s="48" t="n"/>
      <c r="G1219" s="49" t="n"/>
      <c r="H1219" s="48" t="n"/>
      <c r="I1219" s="50" t="n"/>
      <c r="J1219" s="48" t="n"/>
      <c r="K1219" s="48" t="n"/>
      <c r="L1219" s="48" t="n"/>
      <c r="M1219" s="48" t="n"/>
      <c r="N1219" s="48" t="n"/>
      <c r="O1219" s="51">
        <f>IF(AND(B1219="",G1219="",C1219="",D1219="",J1219=""),"",IF(B1219="","⚠ Falta fecha",IF(G1219="","⚠ Falta monto",IF(Q1219="","⚠ Falta cuenta",IF(ISNA(MATCH(Q1219,ctaNombre,0)),"⚠ Cuenta no registrada",IF(AND(OR(P1219="Gasto",P1219="Reembolso"),D1219=""),"⚠ Falta categoría",IF(AND(D1219&lt;&gt;"",E1219&lt;&gt;"",ISNA(MATCH(D1219&amp;"|"&amp;E1219,catClave,0))),"⚠ Subcategoría no corresponde",IF(AND(OR(P1219="Transferencia",P1219="Pago tarjeta"),K1219=""),"⚠ Falta cuenta destino",IF(AND(K1219&lt;&gt;"",P1219&lt;&gt;"Transferencia",P1219&lt;&gt;"Pago tarjeta"),"⚠ Destino solo aplica a transferencias",IF(AND(K1219&lt;&gt;"",K1219=Q1219),"⚠ Origen igual a destino",IF(AND(K1219&lt;&gt;"",ISNA(MATCH(K1219,ctaNombre,0))),"⚠ Destino no registrado",IF(AND(P1219="Pago tarjeta",AE1219&lt;&gt;"Tarjeta de crédito"),"⚠ El destino debe ser tarjeta de crédito",IF(AND(P1219="Gasto",E1219="Depósitos y retiros"),"⚠ Usa tipo Transferencia",IF(AND(P1219="Resultado trading",AD1219&lt;&gt;"Cuenta de trading"),"⚠ Usa una cuenta de trading",IF(AND(G1219&lt;=0,P1219&lt;&gt;"Ajuste",P1219&lt;&gt;"Resultado trading"),"⚠ El monto debe ser positivo","✓")))))))))))))))</f>
        <v/>
      </c>
      <c r="P1219" s="52">
        <f>IF(OR(B1219="",G1219=""),"",IF(C1219="","Gasto",C1219))</f>
        <v/>
      </c>
      <c r="Q1219" s="52">
        <f>IF(P1219="","",IF(J1219&lt;&gt;"",J1219,CuentaPred&amp;""))</f>
        <v/>
      </c>
      <c r="R1219" s="52">
        <f>IF(P1219="","",IF(ISNUMBER(I1219),I1219,TasaUSD))</f>
        <v/>
      </c>
      <c r="S1219" s="53">
        <f>IF(P1219="","",IF(H1219="USD",G1219*R1219,G1219))</f>
        <v/>
      </c>
      <c r="T1219" s="53">
        <f>IF(P1219="","",IF(H1219="USD",G1219,IF(R1219&gt;0,G1219/R1219,0)))</f>
        <v/>
      </c>
      <c r="U1219" s="53">
        <f>IF(P1219="","",IF(P1219="Gasto",S1219,IF(P1219="Reembolso",-S1219,0)))</f>
        <v/>
      </c>
      <c r="V1219" s="53">
        <f>IF(P1219="","",IF(P1219="Ingreso",S1219,0))</f>
        <v/>
      </c>
      <c r="W1219" s="53">
        <f>IF(P1219="","",IF(P1219="Resultado trading",S1219,0))</f>
        <v/>
      </c>
      <c r="X1219" s="52">
        <f>IF(OR(P1219="Gasto",P1219="Reembolso"),IF(M1219&lt;&gt;"",M1219,IFERROR(INDEX(catClasif,MATCH(D1219&amp;"|"&amp;E1219,catClave,0))&amp;"","Variable")),"")</f>
        <v/>
      </c>
      <c r="Y1219" s="52">
        <f>IF(P1219="","",IFERROR(INDEX(catGrupo,MATCH(D1219&amp;"|"&amp;E1219,catClave,0))&amp;"",""))</f>
        <v/>
      </c>
      <c r="Z1219" s="52">
        <f>IF(P1219="","",WEEKDAY(B1219,2))</f>
        <v/>
      </c>
      <c r="AA1219" s="52">
        <f>IF(P1219="","",IF(AND(P1219="Gasto",X1219="Variable",D1219&lt;&gt;catTrading,S1219&gt;0,S1219&lt;=Umbral),1,0))</f>
        <v/>
      </c>
      <c r="AB1219" s="52">
        <f>IF(OR(P1219="",Q1219=""),"",IFERROR(IF(INDEX(ctaVinc,MATCH(Q1219,ctaNombre,0))&amp;""&lt;&gt;"",INDEX(ctaVinc,MATCH(Q1219,ctaNombre,0))&amp;"",Q1219),Q1219))</f>
        <v/>
      </c>
      <c r="AC1219" s="52">
        <f>IF(OR(K1219="",AND(P1219&lt;&gt;"Transferencia",P1219&lt;&gt;"Pago tarjeta")),"",IFERROR(IF(INDEX(ctaVinc,MATCH(K1219,ctaNombre,0))&amp;""&lt;&gt;"",INDEX(ctaVinc,MATCH(K1219,ctaNombre,0))&amp;"",K1219),K1219))</f>
        <v/>
      </c>
      <c r="AD1219" s="52">
        <f>IF(AB1219="","",IFERROR(INDEX(ctaTipo,MATCH(AB1219,ctaNombre,0))&amp;"",""))</f>
        <v/>
      </c>
      <c r="AE1219" s="52">
        <f>IF(AC1219="","",IFERROR(INDEX(ctaTipo,MATCH(AC1219,ctaNombre,0))&amp;"",""))</f>
        <v/>
      </c>
      <c r="AF1219" s="53">
        <f>IF(OR(P1219="",AB1219=""),"",IF(OR(P1219="Gasto",P1219="Transferencia",P1219="Pago tarjeta"),-1,1)*IF(IFERROR(INDEX(ctaMoneda,MATCH(AB1219,ctaNombre,0))&amp;"","DOP")="USD",T1219,S1219))</f>
        <v/>
      </c>
      <c r="AG1219" s="53">
        <f>IF(AC1219="","",IF(IFERROR(INDEX(ctaMoneda,MATCH(AC1219,ctaNombre,0))&amp;"","DOP")="USD",T1219,S1219))</f>
        <v/>
      </c>
      <c r="AH1219" s="53">
        <f>IF(P1219="","",IF(AND(AD1219&lt;&gt;"",COUNTIFS(tcTipo,AD1219,tcLiq,"Sí")&gt;0),IF(OR(P1219="Gasto",P1219="Transferencia",P1219="Pago tarjeta"),-1,1)*S1219,0)+IF(AND(AE1219&lt;&gt;"",COUNTIFS(tcTipo,AE1219,tcLiq,"Sí")&gt;0),S1219,0))</f>
        <v/>
      </c>
      <c r="AI1219" s="52">
        <f>IF(OR(L1219="",P1219=""),"",IF(COUNTIFS(L$6:L1219,L1219,P$6:P1219,"?*")=1,MAX(AI$5:AI1218)+1,""))</f>
        <v/>
      </c>
    </row>
    <row r="1220">
      <c r="B1220" s="47" t="n"/>
      <c r="C1220" s="48" t="n"/>
      <c r="D1220" s="48" t="n"/>
      <c r="E1220" s="48" t="n"/>
      <c r="F1220" s="48" t="n"/>
      <c r="G1220" s="49" t="n"/>
      <c r="H1220" s="48" t="n"/>
      <c r="I1220" s="50" t="n"/>
      <c r="J1220" s="48" t="n"/>
      <c r="K1220" s="48" t="n"/>
      <c r="L1220" s="48" t="n"/>
      <c r="M1220" s="48" t="n"/>
      <c r="N1220" s="48" t="n"/>
      <c r="O1220" s="51">
        <f>IF(AND(B1220="",G1220="",C1220="",D1220="",J1220=""),"",IF(B1220="","⚠ Falta fecha",IF(G1220="","⚠ Falta monto",IF(Q1220="","⚠ Falta cuenta",IF(ISNA(MATCH(Q1220,ctaNombre,0)),"⚠ Cuenta no registrada",IF(AND(OR(P1220="Gasto",P1220="Reembolso"),D1220=""),"⚠ Falta categoría",IF(AND(D1220&lt;&gt;"",E1220&lt;&gt;"",ISNA(MATCH(D1220&amp;"|"&amp;E1220,catClave,0))),"⚠ Subcategoría no corresponde",IF(AND(OR(P1220="Transferencia",P1220="Pago tarjeta"),K1220=""),"⚠ Falta cuenta destino",IF(AND(K1220&lt;&gt;"",P1220&lt;&gt;"Transferencia",P1220&lt;&gt;"Pago tarjeta"),"⚠ Destino solo aplica a transferencias",IF(AND(K1220&lt;&gt;"",K1220=Q1220),"⚠ Origen igual a destino",IF(AND(K1220&lt;&gt;"",ISNA(MATCH(K1220,ctaNombre,0))),"⚠ Destino no registrado",IF(AND(P1220="Pago tarjeta",AE1220&lt;&gt;"Tarjeta de crédito"),"⚠ El destino debe ser tarjeta de crédito",IF(AND(P1220="Gasto",E1220="Depósitos y retiros"),"⚠ Usa tipo Transferencia",IF(AND(P1220="Resultado trading",AD1220&lt;&gt;"Cuenta de trading"),"⚠ Usa una cuenta de trading",IF(AND(G1220&lt;=0,P1220&lt;&gt;"Ajuste",P1220&lt;&gt;"Resultado trading"),"⚠ El monto debe ser positivo","✓")))))))))))))))</f>
        <v/>
      </c>
      <c r="P1220" s="52">
        <f>IF(OR(B1220="",G1220=""),"",IF(C1220="","Gasto",C1220))</f>
        <v/>
      </c>
      <c r="Q1220" s="52">
        <f>IF(P1220="","",IF(J1220&lt;&gt;"",J1220,CuentaPred&amp;""))</f>
        <v/>
      </c>
      <c r="R1220" s="52">
        <f>IF(P1220="","",IF(ISNUMBER(I1220),I1220,TasaUSD))</f>
        <v/>
      </c>
      <c r="S1220" s="53">
        <f>IF(P1220="","",IF(H1220="USD",G1220*R1220,G1220))</f>
        <v/>
      </c>
      <c r="T1220" s="53">
        <f>IF(P1220="","",IF(H1220="USD",G1220,IF(R1220&gt;0,G1220/R1220,0)))</f>
        <v/>
      </c>
      <c r="U1220" s="53">
        <f>IF(P1220="","",IF(P1220="Gasto",S1220,IF(P1220="Reembolso",-S1220,0)))</f>
        <v/>
      </c>
      <c r="V1220" s="53">
        <f>IF(P1220="","",IF(P1220="Ingreso",S1220,0))</f>
        <v/>
      </c>
      <c r="W1220" s="53">
        <f>IF(P1220="","",IF(P1220="Resultado trading",S1220,0))</f>
        <v/>
      </c>
      <c r="X1220" s="52">
        <f>IF(OR(P1220="Gasto",P1220="Reembolso"),IF(M1220&lt;&gt;"",M1220,IFERROR(INDEX(catClasif,MATCH(D1220&amp;"|"&amp;E1220,catClave,0))&amp;"","Variable")),"")</f>
        <v/>
      </c>
      <c r="Y1220" s="52">
        <f>IF(P1220="","",IFERROR(INDEX(catGrupo,MATCH(D1220&amp;"|"&amp;E1220,catClave,0))&amp;"",""))</f>
        <v/>
      </c>
      <c r="Z1220" s="52">
        <f>IF(P1220="","",WEEKDAY(B1220,2))</f>
        <v/>
      </c>
      <c r="AA1220" s="52">
        <f>IF(P1220="","",IF(AND(P1220="Gasto",X1220="Variable",D1220&lt;&gt;catTrading,S1220&gt;0,S1220&lt;=Umbral),1,0))</f>
        <v/>
      </c>
      <c r="AB1220" s="52">
        <f>IF(OR(P1220="",Q1220=""),"",IFERROR(IF(INDEX(ctaVinc,MATCH(Q1220,ctaNombre,0))&amp;""&lt;&gt;"",INDEX(ctaVinc,MATCH(Q1220,ctaNombre,0))&amp;"",Q1220),Q1220))</f>
        <v/>
      </c>
      <c r="AC1220" s="52">
        <f>IF(OR(K1220="",AND(P1220&lt;&gt;"Transferencia",P1220&lt;&gt;"Pago tarjeta")),"",IFERROR(IF(INDEX(ctaVinc,MATCH(K1220,ctaNombre,0))&amp;""&lt;&gt;"",INDEX(ctaVinc,MATCH(K1220,ctaNombre,0))&amp;"",K1220),K1220))</f>
        <v/>
      </c>
      <c r="AD1220" s="52">
        <f>IF(AB1220="","",IFERROR(INDEX(ctaTipo,MATCH(AB1220,ctaNombre,0))&amp;"",""))</f>
        <v/>
      </c>
      <c r="AE1220" s="52">
        <f>IF(AC1220="","",IFERROR(INDEX(ctaTipo,MATCH(AC1220,ctaNombre,0))&amp;"",""))</f>
        <v/>
      </c>
      <c r="AF1220" s="53">
        <f>IF(OR(P1220="",AB1220=""),"",IF(OR(P1220="Gasto",P1220="Transferencia",P1220="Pago tarjeta"),-1,1)*IF(IFERROR(INDEX(ctaMoneda,MATCH(AB1220,ctaNombre,0))&amp;"","DOP")="USD",T1220,S1220))</f>
        <v/>
      </c>
      <c r="AG1220" s="53">
        <f>IF(AC1220="","",IF(IFERROR(INDEX(ctaMoneda,MATCH(AC1220,ctaNombre,0))&amp;"","DOP")="USD",T1220,S1220))</f>
        <v/>
      </c>
      <c r="AH1220" s="53">
        <f>IF(P1220="","",IF(AND(AD1220&lt;&gt;"",COUNTIFS(tcTipo,AD1220,tcLiq,"Sí")&gt;0),IF(OR(P1220="Gasto",P1220="Transferencia",P1220="Pago tarjeta"),-1,1)*S1220,0)+IF(AND(AE1220&lt;&gt;"",COUNTIFS(tcTipo,AE1220,tcLiq,"Sí")&gt;0),S1220,0))</f>
        <v/>
      </c>
      <c r="AI1220" s="52">
        <f>IF(OR(L1220="",P1220=""),"",IF(COUNTIFS(L$6:L1220,L1220,P$6:P1220,"?*")=1,MAX(AI$5:AI1219)+1,""))</f>
        <v/>
      </c>
    </row>
    <row r="1221">
      <c r="B1221" s="47" t="n"/>
      <c r="C1221" s="48" t="n"/>
      <c r="D1221" s="48" t="n"/>
      <c r="E1221" s="48" t="n"/>
      <c r="F1221" s="48" t="n"/>
      <c r="G1221" s="49" t="n"/>
      <c r="H1221" s="48" t="n"/>
      <c r="I1221" s="50" t="n"/>
      <c r="J1221" s="48" t="n"/>
      <c r="K1221" s="48" t="n"/>
      <c r="L1221" s="48" t="n"/>
      <c r="M1221" s="48" t="n"/>
      <c r="N1221" s="48" t="n"/>
      <c r="O1221" s="51">
        <f>IF(AND(B1221="",G1221="",C1221="",D1221="",J1221=""),"",IF(B1221="","⚠ Falta fecha",IF(G1221="","⚠ Falta monto",IF(Q1221="","⚠ Falta cuenta",IF(ISNA(MATCH(Q1221,ctaNombre,0)),"⚠ Cuenta no registrada",IF(AND(OR(P1221="Gasto",P1221="Reembolso"),D1221=""),"⚠ Falta categoría",IF(AND(D1221&lt;&gt;"",E1221&lt;&gt;"",ISNA(MATCH(D1221&amp;"|"&amp;E1221,catClave,0))),"⚠ Subcategoría no corresponde",IF(AND(OR(P1221="Transferencia",P1221="Pago tarjeta"),K1221=""),"⚠ Falta cuenta destino",IF(AND(K1221&lt;&gt;"",P1221&lt;&gt;"Transferencia",P1221&lt;&gt;"Pago tarjeta"),"⚠ Destino solo aplica a transferencias",IF(AND(K1221&lt;&gt;"",K1221=Q1221),"⚠ Origen igual a destino",IF(AND(K1221&lt;&gt;"",ISNA(MATCH(K1221,ctaNombre,0))),"⚠ Destino no registrado",IF(AND(P1221="Pago tarjeta",AE1221&lt;&gt;"Tarjeta de crédito"),"⚠ El destino debe ser tarjeta de crédito",IF(AND(P1221="Gasto",E1221="Depósitos y retiros"),"⚠ Usa tipo Transferencia",IF(AND(P1221="Resultado trading",AD1221&lt;&gt;"Cuenta de trading"),"⚠ Usa una cuenta de trading",IF(AND(G1221&lt;=0,P1221&lt;&gt;"Ajuste",P1221&lt;&gt;"Resultado trading"),"⚠ El monto debe ser positivo","✓")))))))))))))))</f>
        <v/>
      </c>
      <c r="P1221" s="52">
        <f>IF(OR(B1221="",G1221=""),"",IF(C1221="","Gasto",C1221))</f>
        <v/>
      </c>
      <c r="Q1221" s="52">
        <f>IF(P1221="","",IF(J1221&lt;&gt;"",J1221,CuentaPred&amp;""))</f>
        <v/>
      </c>
      <c r="R1221" s="52">
        <f>IF(P1221="","",IF(ISNUMBER(I1221),I1221,TasaUSD))</f>
        <v/>
      </c>
      <c r="S1221" s="53">
        <f>IF(P1221="","",IF(H1221="USD",G1221*R1221,G1221))</f>
        <v/>
      </c>
      <c r="T1221" s="53">
        <f>IF(P1221="","",IF(H1221="USD",G1221,IF(R1221&gt;0,G1221/R1221,0)))</f>
        <v/>
      </c>
      <c r="U1221" s="53">
        <f>IF(P1221="","",IF(P1221="Gasto",S1221,IF(P1221="Reembolso",-S1221,0)))</f>
        <v/>
      </c>
      <c r="V1221" s="53">
        <f>IF(P1221="","",IF(P1221="Ingreso",S1221,0))</f>
        <v/>
      </c>
      <c r="W1221" s="53">
        <f>IF(P1221="","",IF(P1221="Resultado trading",S1221,0))</f>
        <v/>
      </c>
      <c r="X1221" s="52">
        <f>IF(OR(P1221="Gasto",P1221="Reembolso"),IF(M1221&lt;&gt;"",M1221,IFERROR(INDEX(catClasif,MATCH(D1221&amp;"|"&amp;E1221,catClave,0))&amp;"","Variable")),"")</f>
        <v/>
      </c>
      <c r="Y1221" s="52">
        <f>IF(P1221="","",IFERROR(INDEX(catGrupo,MATCH(D1221&amp;"|"&amp;E1221,catClave,0))&amp;"",""))</f>
        <v/>
      </c>
      <c r="Z1221" s="52">
        <f>IF(P1221="","",WEEKDAY(B1221,2))</f>
        <v/>
      </c>
      <c r="AA1221" s="52">
        <f>IF(P1221="","",IF(AND(P1221="Gasto",X1221="Variable",D1221&lt;&gt;catTrading,S1221&gt;0,S1221&lt;=Umbral),1,0))</f>
        <v/>
      </c>
      <c r="AB1221" s="52">
        <f>IF(OR(P1221="",Q1221=""),"",IFERROR(IF(INDEX(ctaVinc,MATCH(Q1221,ctaNombre,0))&amp;""&lt;&gt;"",INDEX(ctaVinc,MATCH(Q1221,ctaNombre,0))&amp;"",Q1221),Q1221))</f>
        <v/>
      </c>
      <c r="AC1221" s="52">
        <f>IF(OR(K1221="",AND(P1221&lt;&gt;"Transferencia",P1221&lt;&gt;"Pago tarjeta")),"",IFERROR(IF(INDEX(ctaVinc,MATCH(K1221,ctaNombre,0))&amp;""&lt;&gt;"",INDEX(ctaVinc,MATCH(K1221,ctaNombre,0))&amp;"",K1221),K1221))</f>
        <v/>
      </c>
      <c r="AD1221" s="52">
        <f>IF(AB1221="","",IFERROR(INDEX(ctaTipo,MATCH(AB1221,ctaNombre,0))&amp;"",""))</f>
        <v/>
      </c>
      <c r="AE1221" s="52">
        <f>IF(AC1221="","",IFERROR(INDEX(ctaTipo,MATCH(AC1221,ctaNombre,0))&amp;"",""))</f>
        <v/>
      </c>
      <c r="AF1221" s="53">
        <f>IF(OR(P1221="",AB1221=""),"",IF(OR(P1221="Gasto",P1221="Transferencia",P1221="Pago tarjeta"),-1,1)*IF(IFERROR(INDEX(ctaMoneda,MATCH(AB1221,ctaNombre,0))&amp;"","DOP")="USD",T1221,S1221))</f>
        <v/>
      </c>
      <c r="AG1221" s="53">
        <f>IF(AC1221="","",IF(IFERROR(INDEX(ctaMoneda,MATCH(AC1221,ctaNombre,0))&amp;"","DOP")="USD",T1221,S1221))</f>
        <v/>
      </c>
      <c r="AH1221" s="53">
        <f>IF(P1221="","",IF(AND(AD1221&lt;&gt;"",COUNTIFS(tcTipo,AD1221,tcLiq,"Sí")&gt;0),IF(OR(P1221="Gasto",P1221="Transferencia",P1221="Pago tarjeta"),-1,1)*S1221,0)+IF(AND(AE1221&lt;&gt;"",COUNTIFS(tcTipo,AE1221,tcLiq,"Sí")&gt;0),S1221,0))</f>
        <v/>
      </c>
      <c r="AI1221" s="52">
        <f>IF(OR(L1221="",P1221=""),"",IF(COUNTIFS(L$6:L1221,L1221,P$6:P1221,"?*")=1,MAX(AI$5:AI1220)+1,""))</f>
        <v/>
      </c>
    </row>
    <row r="1222">
      <c r="B1222" s="47" t="n"/>
      <c r="C1222" s="48" t="n"/>
      <c r="D1222" s="48" t="n"/>
      <c r="E1222" s="48" t="n"/>
      <c r="F1222" s="48" t="n"/>
      <c r="G1222" s="49" t="n"/>
      <c r="H1222" s="48" t="n"/>
      <c r="I1222" s="50" t="n"/>
      <c r="J1222" s="48" t="n"/>
      <c r="K1222" s="48" t="n"/>
      <c r="L1222" s="48" t="n"/>
      <c r="M1222" s="48" t="n"/>
      <c r="N1222" s="48" t="n"/>
      <c r="O1222" s="51">
        <f>IF(AND(B1222="",G1222="",C1222="",D1222="",J1222=""),"",IF(B1222="","⚠ Falta fecha",IF(G1222="","⚠ Falta monto",IF(Q1222="","⚠ Falta cuenta",IF(ISNA(MATCH(Q1222,ctaNombre,0)),"⚠ Cuenta no registrada",IF(AND(OR(P1222="Gasto",P1222="Reembolso"),D1222=""),"⚠ Falta categoría",IF(AND(D1222&lt;&gt;"",E1222&lt;&gt;"",ISNA(MATCH(D1222&amp;"|"&amp;E1222,catClave,0))),"⚠ Subcategoría no corresponde",IF(AND(OR(P1222="Transferencia",P1222="Pago tarjeta"),K1222=""),"⚠ Falta cuenta destino",IF(AND(K1222&lt;&gt;"",P1222&lt;&gt;"Transferencia",P1222&lt;&gt;"Pago tarjeta"),"⚠ Destino solo aplica a transferencias",IF(AND(K1222&lt;&gt;"",K1222=Q1222),"⚠ Origen igual a destino",IF(AND(K1222&lt;&gt;"",ISNA(MATCH(K1222,ctaNombre,0))),"⚠ Destino no registrado",IF(AND(P1222="Pago tarjeta",AE1222&lt;&gt;"Tarjeta de crédito"),"⚠ El destino debe ser tarjeta de crédito",IF(AND(P1222="Gasto",E1222="Depósitos y retiros"),"⚠ Usa tipo Transferencia",IF(AND(P1222="Resultado trading",AD1222&lt;&gt;"Cuenta de trading"),"⚠ Usa una cuenta de trading",IF(AND(G1222&lt;=0,P1222&lt;&gt;"Ajuste",P1222&lt;&gt;"Resultado trading"),"⚠ El monto debe ser positivo","✓")))))))))))))))</f>
        <v/>
      </c>
      <c r="P1222" s="52">
        <f>IF(OR(B1222="",G1222=""),"",IF(C1222="","Gasto",C1222))</f>
        <v/>
      </c>
      <c r="Q1222" s="52">
        <f>IF(P1222="","",IF(J1222&lt;&gt;"",J1222,CuentaPred&amp;""))</f>
        <v/>
      </c>
      <c r="R1222" s="52">
        <f>IF(P1222="","",IF(ISNUMBER(I1222),I1222,TasaUSD))</f>
        <v/>
      </c>
      <c r="S1222" s="53">
        <f>IF(P1222="","",IF(H1222="USD",G1222*R1222,G1222))</f>
        <v/>
      </c>
      <c r="T1222" s="53">
        <f>IF(P1222="","",IF(H1222="USD",G1222,IF(R1222&gt;0,G1222/R1222,0)))</f>
        <v/>
      </c>
      <c r="U1222" s="53">
        <f>IF(P1222="","",IF(P1222="Gasto",S1222,IF(P1222="Reembolso",-S1222,0)))</f>
        <v/>
      </c>
      <c r="V1222" s="53">
        <f>IF(P1222="","",IF(P1222="Ingreso",S1222,0))</f>
        <v/>
      </c>
      <c r="W1222" s="53">
        <f>IF(P1222="","",IF(P1222="Resultado trading",S1222,0))</f>
        <v/>
      </c>
      <c r="X1222" s="52">
        <f>IF(OR(P1222="Gasto",P1222="Reembolso"),IF(M1222&lt;&gt;"",M1222,IFERROR(INDEX(catClasif,MATCH(D1222&amp;"|"&amp;E1222,catClave,0))&amp;"","Variable")),"")</f>
        <v/>
      </c>
      <c r="Y1222" s="52">
        <f>IF(P1222="","",IFERROR(INDEX(catGrupo,MATCH(D1222&amp;"|"&amp;E1222,catClave,0))&amp;"",""))</f>
        <v/>
      </c>
      <c r="Z1222" s="52">
        <f>IF(P1222="","",WEEKDAY(B1222,2))</f>
        <v/>
      </c>
      <c r="AA1222" s="52">
        <f>IF(P1222="","",IF(AND(P1222="Gasto",X1222="Variable",D1222&lt;&gt;catTrading,S1222&gt;0,S1222&lt;=Umbral),1,0))</f>
        <v/>
      </c>
      <c r="AB1222" s="52">
        <f>IF(OR(P1222="",Q1222=""),"",IFERROR(IF(INDEX(ctaVinc,MATCH(Q1222,ctaNombre,0))&amp;""&lt;&gt;"",INDEX(ctaVinc,MATCH(Q1222,ctaNombre,0))&amp;"",Q1222),Q1222))</f>
        <v/>
      </c>
      <c r="AC1222" s="52">
        <f>IF(OR(K1222="",AND(P1222&lt;&gt;"Transferencia",P1222&lt;&gt;"Pago tarjeta")),"",IFERROR(IF(INDEX(ctaVinc,MATCH(K1222,ctaNombre,0))&amp;""&lt;&gt;"",INDEX(ctaVinc,MATCH(K1222,ctaNombre,0))&amp;"",K1222),K1222))</f>
        <v/>
      </c>
      <c r="AD1222" s="52">
        <f>IF(AB1222="","",IFERROR(INDEX(ctaTipo,MATCH(AB1222,ctaNombre,0))&amp;"",""))</f>
        <v/>
      </c>
      <c r="AE1222" s="52">
        <f>IF(AC1222="","",IFERROR(INDEX(ctaTipo,MATCH(AC1222,ctaNombre,0))&amp;"",""))</f>
        <v/>
      </c>
      <c r="AF1222" s="53">
        <f>IF(OR(P1222="",AB1222=""),"",IF(OR(P1222="Gasto",P1222="Transferencia",P1222="Pago tarjeta"),-1,1)*IF(IFERROR(INDEX(ctaMoneda,MATCH(AB1222,ctaNombre,0))&amp;"","DOP")="USD",T1222,S1222))</f>
        <v/>
      </c>
      <c r="AG1222" s="53">
        <f>IF(AC1222="","",IF(IFERROR(INDEX(ctaMoneda,MATCH(AC1222,ctaNombre,0))&amp;"","DOP")="USD",T1222,S1222))</f>
        <v/>
      </c>
      <c r="AH1222" s="53">
        <f>IF(P1222="","",IF(AND(AD1222&lt;&gt;"",COUNTIFS(tcTipo,AD1222,tcLiq,"Sí")&gt;0),IF(OR(P1222="Gasto",P1222="Transferencia",P1222="Pago tarjeta"),-1,1)*S1222,0)+IF(AND(AE1222&lt;&gt;"",COUNTIFS(tcTipo,AE1222,tcLiq,"Sí")&gt;0),S1222,0))</f>
        <v/>
      </c>
      <c r="AI1222" s="52">
        <f>IF(OR(L1222="",P1222=""),"",IF(COUNTIFS(L$6:L1222,L1222,P$6:P1222,"?*")=1,MAX(AI$5:AI1221)+1,""))</f>
        <v/>
      </c>
    </row>
    <row r="1223">
      <c r="B1223" s="47" t="n"/>
      <c r="C1223" s="48" t="n"/>
      <c r="D1223" s="48" t="n"/>
      <c r="E1223" s="48" t="n"/>
      <c r="F1223" s="48" t="n"/>
      <c r="G1223" s="49" t="n"/>
      <c r="H1223" s="48" t="n"/>
      <c r="I1223" s="50" t="n"/>
      <c r="J1223" s="48" t="n"/>
      <c r="K1223" s="48" t="n"/>
      <c r="L1223" s="48" t="n"/>
      <c r="M1223" s="48" t="n"/>
      <c r="N1223" s="48" t="n"/>
      <c r="O1223" s="51">
        <f>IF(AND(B1223="",G1223="",C1223="",D1223="",J1223=""),"",IF(B1223="","⚠ Falta fecha",IF(G1223="","⚠ Falta monto",IF(Q1223="","⚠ Falta cuenta",IF(ISNA(MATCH(Q1223,ctaNombre,0)),"⚠ Cuenta no registrada",IF(AND(OR(P1223="Gasto",P1223="Reembolso"),D1223=""),"⚠ Falta categoría",IF(AND(D1223&lt;&gt;"",E1223&lt;&gt;"",ISNA(MATCH(D1223&amp;"|"&amp;E1223,catClave,0))),"⚠ Subcategoría no corresponde",IF(AND(OR(P1223="Transferencia",P1223="Pago tarjeta"),K1223=""),"⚠ Falta cuenta destino",IF(AND(K1223&lt;&gt;"",P1223&lt;&gt;"Transferencia",P1223&lt;&gt;"Pago tarjeta"),"⚠ Destino solo aplica a transferencias",IF(AND(K1223&lt;&gt;"",K1223=Q1223),"⚠ Origen igual a destino",IF(AND(K1223&lt;&gt;"",ISNA(MATCH(K1223,ctaNombre,0))),"⚠ Destino no registrado",IF(AND(P1223="Pago tarjeta",AE1223&lt;&gt;"Tarjeta de crédito"),"⚠ El destino debe ser tarjeta de crédito",IF(AND(P1223="Gasto",E1223="Depósitos y retiros"),"⚠ Usa tipo Transferencia",IF(AND(P1223="Resultado trading",AD1223&lt;&gt;"Cuenta de trading"),"⚠ Usa una cuenta de trading",IF(AND(G1223&lt;=0,P1223&lt;&gt;"Ajuste",P1223&lt;&gt;"Resultado trading"),"⚠ El monto debe ser positivo","✓")))))))))))))))</f>
        <v/>
      </c>
      <c r="P1223" s="52">
        <f>IF(OR(B1223="",G1223=""),"",IF(C1223="","Gasto",C1223))</f>
        <v/>
      </c>
      <c r="Q1223" s="52">
        <f>IF(P1223="","",IF(J1223&lt;&gt;"",J1223,CuentaPred&amp;""))</f>
        <v/>
      </c>
      <c r="R1223" s="52">
        <f>IF(P1223="","",IF(ISNUMBER(I1223),I1223,TasaUSD))</f>
        <v/>
      </c>
      <c r="S1223" s="53">
        <f>IF(P1223="","",IF(H1223="USD",G1223*R1223,G1223))</f>
        <v/>
      </c>
      <c r="T1223" s="53">
        <f>IF(P1223="","",IF(H1223="USD",G1223,IF(R1223&gt;0,G1223/R1223,0)))</f>
        <v/>
      </c>
      <c r="U1223" s="53">
        <f>IF(P1223="","",IF(P1223="Gasto",S1223,IF(P1223="Reembolso",-S1223,0)))</f>
        <v/>
      </c>
      <c r="V1223" s="53">
        <f>IF(P1223="","",IF(P1223="Ingreso",S1223,0))</f>
        <v/>
      </c>
      <c r="W1223" s="53">
        <f>IF(P1223="","",IF(P1223="Resultado trading",S1223,0))</f>
        <v/>
      </c>
      <c r="X1223" s="52">
        <f>IF(OR(P1223="Gasto",P1223="Reembolso"),IF(M1223&lt;&gt;"",M1223,IFERROR(INDEX(catClasif,MATCH(D1223&amp;"|"&amp;E1223,catClave,0))&amp;"","Variable")),"")</f>
        <v/>
      </c>
      <c r="Y1223" s="52">
        <f>IF(P1223="","",IFERROR(INDEX(catGrupo,MATCH(D1223&amp;"|"&amp;E1223,catClave,0))&amp;"",""))</f>
        <v/>
      </c>
      <c r="Z1223" s="52">
        <f>IF(P1223="","",WEEKDAY(B1223,2))</f>
        <v/>
      </c>
      <c r="AA1223" s="52">
        <f>IF(P1223="","",IF(AND(P1223="Gasto",X1223="Variable",D1223&lt;&gt;catTrading,S1223&gt;0,S1223&lt;=Umbral),1,0))</f>
        <v/>
      </c>
      <c r="AB1223" s="52">
        <f>IF(OR(P1223="",Q1223=""),"",IFERROR(IF(INDEX(ctaVinc,MATCH(Q1223,ctaNombre,0))&amp;""&lt;&gt;"",INDEX(ctaVinc,MATCH(Q1223,ctaNombre,0))&amp;"",Q1223),Q1223))</f>
        <v/>
      </c>
      <c r="AC1223" s="52">
        <f>IF(OR(K1223="",AND(P1223&lt;&gt;"Transferencia",P1223&lt;&gt;"Pago tarjeta")),"",IFERROR(IF(INDEX(ctaVinc,MATCH(K1223,ctaNombre,0))&amp;""&lt;&gt;"",INDEX(ctaVinc,MATCH(K1223,ctaNombre,0))&amp;"",K1223),K1223))</f>
        <v/>
      </c>
      <c r="AD1223" s="52">
        <f>IF(AB1223="","",IFERROR(INDEX(ctaTipo,MATCH(AB1223,ctaNombre,0))&amp;"",""))</f>
        <v/>
      </c>
      <c r="AE1223" s="52">
        <f>IF(AC1223="","",IFERROR(INDEX(ctaTipo,MATCH(AC1223,ctaNombre,0))&amp;"",""))</f>
        <v/>
      </c>
      <c r="AF1223" s="53">
        <f>IF(OR(P1223="",AB1223=""),"",IF(OR(P1223="Gasto",P1223="Transferencia",P1223="Pago tarjeta"),-1,1)*IF(IFERROR(INDEX(ctaMoneda,MATCH(AB1223,ctaNombre,0))&amp;"","DOP")="USD",T1223,S1223))</f>
        <v/>
      </c>
      <c r="AG1223" s="53">
        <f>IF(AC1223="","",IF(IFERROR(INDEX(ctaMoneda,MATCH(AC1223,ctaNombre,0))&amp;"","DOP")="USD",T1223,S1223))</f>
        <v/>
      </c>
      <c r="AH1223" s="53">
        <f>IF(P1223="","",IF(AND(AD1223&lt;&gt;"",COUNTIFS(tcTipo,AD1223,tcLiq,"Sí")&gt;0),IF(OR(P1223="Gasto",P1223="Transferencia",P1223="Pago tarjeta"),-1,1)*S1223,0)+IF(AND(AE1223&lt;&gt;"",COUNTIFS(tcTipo,AE1223,tcLiq,"Sí")&gt;0),S1223,0))</f>
        <v/>
      </c>
      <c r="AI1223" s="52">
        <f>IF(OR(L1223="",P1223=""),"",IF(COUNTIFS(L$6:L1223,L1223,P$6:P1223,"?*")=1,MAX(AI$5:AI1222)+1,""))</f>
        <v/>
      </c>
    </row>
    <row r="1224">
      <c r="B1224" s="47" t="n"/>
      <c r="C1224" s="48" t="n"/>
      <c r="D1224" s="48" t="n"/>
      <c r="E1224" s="48" t="n"/>
      <c r="F1224" s="48" t="n"/>
      <c r="G1224" s="49" t="n"/>
      <c r="H1224" s="48" t="n"/>
      <c r="I1224" s="50" t="n"/>
      <c r="J1224" s="48" t="n"/>
      <c r="K1224" s="48" t="n"/>
      <c r="L1224" s="48" t="n"/>
      <c r="M1224" s="48" t="n"/>
      <c r="N1224" s="48" t="n"/>
      <c r="O1224" s="51">
        <f>IF(AND(B1224="",G1224="",C1224="",D1224="",J1224=""),"",IF(B1224="","⚠ Falta fecha",IF(G1224="","⚠ Falta monto",IF(Q1224="","⚠ Falta cuenta",IF(ISNA(MATCH(Q1224,ctaNombre,0)),"⚠ Cuenta no registrada",IF(AND(OR(P1224="Gasto",P1224="Reembolso"),D1224=""),"⚠ Falta categoría",IF(AND(D1224&lt;&gt;"",E1224&lt;&gt;"",ISNA(MATCH(D1224&amp;"|"&amp;E1224,catClave,0))),"⚠ Subcategoría no corresponde",IF(AND(OR(P1224="Transferencia",P1224="Pago tarjeta"),K1224=""),"⚠ Falta cuenta destino",IF(AND(K1224&lt;&gt;"",P1224&lt;&gt;"Transferencia",P1224&lt;&gt;"Pago tarjeta"),"⚠ Destino solo aplica a transferencias",IF(AND(K1224&lt;&gt;"",K1224=Q1224),"⚠ Origen igual a destino",IF(AND(K1224&lt;&gt;"",ISNA(MATCH(K1224,ctaNombre,0))),"⚠ Destino no registrado",IF(AND(P1224="Pago tarjeta",AE1224&lt;&gt;"Tarjeta de crédito"),"⚠ El destino debe ser tarjeta de crédito",IF(AND(P1224="Gasto",E1224="Depósitos y retiros"),"⚠ Usa tipo Transferencia",IF(AND(P1224="Resultado trading",AD1224&lt;&gt;"Cuenta de trading"),"⚠ Usa una cuenta de trading",IF(AND(G1224&lt;=0,P1224&lt;&gt;"Ajuste",P1224&lt;&gt;"Resultado trading"),"⚠ El monto debe ser positivo","✓")))))))))))))))</f>
        <v/>
      </c>
      <c r="P1224" s="52">
        <f>IF(OR(B1224="",G1224=""),"",IF(C1224="","Gasto",C1224))</f>
        <v/>
      </c>
      <c r="Q1224" s="52">
        <f>IF(P1224="","",IF(J1224&lt;&gt;"",J1224,CuentaPred&amp;""))</f>
        <v/>
      </c>
      <c r="R1224" s="52">
        <f>IF(P1224="","",IF(ISNUMBER(I1224),I1224,TasaUSD))</f>
        <v/>
      </c>
      <c r="S1224" s="53">
        <f>IF(P1224="","",IF(H1224="USD",G1224*R1224,G1224))</f>
        <v/>
      </c>
      <c r="T1224" s="53">
        <f>IF(P1224="","",IF(H1224="USD",G1224,IF(R1224&gt;0,G1224/R1224,0)))</f>
        <v/>
      </c>
      <c r="U1224" s="53">
        <f>IF(P1224="","",IF(P1224="Gasto",S1224,IF(P1224="Reembolso",-S1224,0)))</f>
        <v/>
      </c>
      <c r="V1224" s="53">
        <f>IF(P1224="","",IF(P1224="Ingreso",S1224,0))</f>
        <v/>
      </c>
      <c r="W1224" s="53">
        <f>IF(P1224="","",IF(P1224="Resultado trading",S1224,0))</f>
        <v/>
      </c>
      <c r="X1224" s="52">
        <f>IF(OR(P1224="Gasto",P1224="Reembolso"),IF(M1224&lt;&gt;"",M1224,IFERROR(INDEX(catClasif,MATCH(D1224&amp;"|"&amp;E1224,catClave,0))&amp;"","Variable")),"")</f>
        <v/>
      </c>
      <c r="Y1224" s="52">
        <f>IF(P1224="","",IFERROR(INDEX(catGrupo,MATCH(D1224&amp;"|"&amp;E1224,catClave,0))&amp;"",""))</f>
        <v/>
      </c>
      <c r="Z1224" s="52">
        <f>IF(P1224="","",WEEKDAY(B1224,2))</f>
        <v/>
      </c>
      <c r="AA1224" s="52">
        <f>IF(P1224="","",IF(AND(P1224="Gasto",X1224="Variable",D1224&lt;&gt;catTrading,S1224&gt;0,S1224&lt;=Umbral),1,0))</f>
        <v/>
      </c>
      <c r="AB1224" s="52">
        <f>IF(OR(P1224="",Q1224=""),"",IFERROR(IF(INDEX(ctaVinc,MATCH(Q1224,ctaNombre,0))&amp;""&lt;&gt;"",INDEX(ctaVinc,MATCH(Q1224,ctaNombre,0))&amp;"",Q1224),Q1224))</f>
        <v/>
      </c>
      <c r="AC1224" s="52">
        <f>IF(OR(K1224="",AND(P1224&lt;&gt;"Transferencia",P1224&lt;&gt;"Pago tarjeta")),"",IFERROR(IF(INDEX(ctaVinc,MATCH(K1224,ctaNombre,0))&amp;""&lt;&gt;"",INDEX(ctaVinc,MATCH(K1224,ctaNombre,0))&amp;"",K1224),K1224))</f>
        <v/>
      </c>
      <c r="AD1224" s="52">
        <f>IF(AB1224="","",IFERROR(INDEX(ctaTipo,MATCH(AB1224,ctaNombre,0))&amp;"",""))</f>
        <v/>
      </c>
      <c r="AE1224" s="52">
        <f>IF(AC1224="","",IFERROR(INDEX(ctaTipo,MATCH(AC1224,ctaNombre,0))&amp;"",""))</f>
        <v/>
      </c>
      <c r="AF1224" s="53">
        <f>IF(OR(P1224="",AB1224=""),"",IF(OR(P1224="Gasto",P1224="Transferencia",P1224="Pago tarjeta"),-1,1)*IF(IFERROR(INDEX(ctaMoneda,MATCH(AB1224,ctaNombre,0))&amp;"","DOP")="USD",T1224,S1224))</f>
        <v/>
      </c>
      <c r="AG1224" s="53">
        <f>IF(AC1224="","",IF(IFERROR(INDEX(ctaMoneda,MATCH(AC1224,ctaNombre,0))&amp;"","DOP")="USD",T1224,S1224))</f>
        <v/>
      </c>
      <c r="AH1224" s="53">
        <f>IF(P1224="","",IF(AND(AD1224&lt;&gt;"",COUNTIFS(tcTipo,AD1224,tcLiq,"Sí")&gt;0),IF(OR(P1224="Gasto",P1224="Transferencia",P1224="Pago tarjeta"),-1,1)*S1224,0)+IF(AND(AE1224&lt;&gt;"",COUNTIFS(tcTipo,AE1224,tcLiq,"Sí")&gt;0),S1224,0))</f>
        <v/>
      </c>
      <c r="AI1224" s="52">
        <f>IF(OR(L1224="",P1224=""),"",IF(COUNTIFS(L$6:L1224,L1224,P$6:P1224,"?*")=1,MAX(AI$5:AI1223)+1,""))</f>
        <v/>
      </c>
    </row>
    <row r="1225">
      <c r="B1225" s="47" t="n"/>
      <c r="C1225" s="48" t="n"/>
      <c r="D1225" s="48" t="n"/>
      <c r="E1225" s="48" t="n"/>
      <c r="F1225" s="48" t="n"/>
      <c r="G1225" s="49" t="n"/>
      <c r="H1225" s="48" t="n"/>
      <c r="I1225" s="50" t="n"/>
      <c r="J1225" s="48" t="n"/>
      <c r="K1225" s="48" t="n"/>
      <c r="L1225" s="48" t="n"/>
      <c r="M1225" s="48" t="n"/>
      <c r="N1225" s="48" t="n"/>
      <c r="O1225" s="51">
        <f>IF(AND(B1225="",G1225="",C1225="",D1225="",J1225=""),"",IF(B1225="","⚠ Falta fecha",IF(G1225="","⚠ Falta monto",IF(Q1225="","⚠ Falta cuenta",IF(ISNA(MATCH(Q1225,ctaNombre,0)),"⚠ Cuenta no registrada",IF(AND(OR(P1225="Gasto",P1225="Reembolso"),D1225=""),"⚠ Falta categoría",IF(AND(D1225&lt;&gt;"",E1225&lt;&gt;"",ISNA(MATCH(D1225&amp;"|"&amp;E1225,catClave,0))),"⚠ Subcategoría no corresponde",IF(AND(OR(P1225="Transferencia",P1225="Pago tarjeta"),K1225=""),"⚠ Falta cuenta destino",IF(AND(K1225&lt;&gt;"",P1225&lt;&gt;"Transferencia",P1225&lt;&gt;"Pago tarjeta"),"⚠ Destino solo aplica a transferencias",IF(AND(K1225&lt;&gt;"",K1225=Q1225),"⚠ Origen igual a destino",IF(AND(K1225&lt;&gt;"",ISNA(MATCH(K1225,ctaNombre,0))),"⚠ Destino no registrado",IF(AND(P1225="Pago tarjeta",AE1225&lt;&gt;"Tarjeta de crédito"),"⚠ El destino debe ser tarjeta de crédito",IF(AND(P1225="Gasto",E1225="Depósitos y retiros"),"⚠ Usa tipo Transferencia",IF(AND(P1225="Resultado trading",AD1225&lt;&gt;"Cuenta de trading"),"⚠ Usa una cuenta de trading",IF(AND(G1225&lt;=0,P1225&lt;&gt;"Ajuste",P1225&lt;&gt;"Resultado trading"),"⚠ El monto debe ser positivo","✓")))))))))))))))</f>
        <v/>
      </c>
      <c r="P1225" s="52">
        <f>IF(OR(B1225="",G1225=""),"",IF(C1225="","Gasto",C1225))</f>
        <v/>
      </c>
      <c r="Q1225" s="52">
        <f>IF(P1225="","",IF(J1225&lt;&gt;"",J1225,CuentaPred&amp;""))</f>
        <v/>
      </c>
      <c r="R1225" s="52">
        <f>IF(P1225="","",IF(ISNUMBER(I1225),I1225,TasaUSD))</f>
        <v/>
      </c>
      <c r="S1225" s="53">
        <f>IF(P1225="","",IF(H1225="USD",G1225*R1225,G1225))</f>
        <v/>
      </c>
      <c r="T1225" s="53">
        <f>IF(P1225="","",IF(H1225="USD",G1225,IF(R1225&gt;0,G1225/R1225,0)))</f>
        <v/>
      </c>
      <c r="U1225" s="53">
        <f>IF(P1225="","",IF(P1225="Gasto",S1225,IF(P1225="Reembolso",-S1225,0)))</f>
        <v/>
      </c>
      <c r="V1225" s="53">
        <f>IF(P1225="","",IF(P1225="Ingreso",S1225,0))</f>
        <v/>
      </c>
      <c r="W1225" s="53">
        <f>IF(P1225="","",IF(P1225="Resultado trading",S1225,0))</f>
        <v/>
      </c>
      <c r="X1225" s="52">
        <f>IF(OR(P1225="Gasto",P1225="Reembolso"),IF(M1225&lt;&gt;"",M1225,IFERROR(INDEX(catClasif,MATCH(D1225&amp;"|"&amp;E1225,catClave,0))&amp;"","Variable")),"")</f>
        <v/>
      </c>
      <c r="Y1225" s="52">
        <f>IF(P1225="","",IFERROR(INDEX(catGrupo,MATCH(D1225&amp;"|"&amp;E1225,catClave,0))&amp;"",""))</f>
        <v/>
      </c>
      <c r="Z1225" s="52">
        <f>IF(P1225="","",WEEKDAY(B1225,2))</f>
        <v/>
      </c>
      <c r="AA1225" s="52">
        <f>IF(P1225="","",IF(AND(P1225="Gasto",X1225="Variable",D1225&lt;&gt;catTrading,S1225&gt;0,S1225&lt;=Umbral),1,0))</f>
        <v/>
      </c>
      <c r="AB1225" s="52">
        <f>IF(OR(P1225="",Q1225=""),"",IFERROR(IF(INDEX(ctaVinc,MATCH(Q1225,ctaNombre,0))&amp;""&lt;&gt;"",INDEX(ctaVinc,MATCH(Q1225,ctaNombre,0))&amp;"",Q1225),Q1225))</f>
        <v/>
      </c>
      <c r="AC1225" s="52">
        <f>IF(OR(K1225="",AND(P1225&lt;&gt;"Transferencia",P1225&lt;&gt;"Pago tarjeta")),"",IFERROR(IF(INDEX(ctaVinc,MATCH(K1225,ctaNombre,0))&amp;""&lt;&gt;"",INDEX(ctaVinc,MATCH(K1225,ctaNombre,0))&amp;"",K1225),K1225))</f>
        <v/>
      </c>
      <c r="AD1225" s="52">
        <f>IF(AB1225="","",IFERROR(INDEX(ctaTipo,MATCH(AB1225,ctaNombre,0))&amp;"",""))</f>
        <v/>
      </c>
      <c r="AE1225" s="52">
        <f>IF(AC1225="","",IFERROR(INDEX(ctaTipo,MATCH(AC1225,ctaNombre,0))&amp;"",""))</f>
        <v/>
      </c>
      <c r="AF1225" s="53">
        <f>IF(OR(P1225="",AB1225=""),"",IF(OR(P1225="Gasto",P1225="Transferencia",P1225="Pago tarjeta"),-1,1)*IF(IFERROR(INDEX(ctaMoneda,MATCH(AB1225,ctaNombre,0))&amp;"","DOP")="USD",T1225,S1225))</f>
        <v/>
      </c>
      <c r="AG1225" s="53">
        <f>IF(AC1225="","",IF(IFERROR(INDEX(ctaMoneda,MATCH(AC1225,ctaNombre,0))&amp;"","DOP")="USD",T1225,S1225))</f>
        <v/>
      </c>
      <c r="AH1225" s="53">
        <f>IF(P1225="","",IF(AND(AD1225&lt;&gt;"",COUNTIFS(tcTipo,AD1225,tcLiq,"Sí")&gt;0),IF(OR(P1225="Gasto",P1225="Transferencia",P1225="Pago tarjeta"),-1,1)*S1225,0)+IF(AND(AE1225&lt;&gt;"",COUNTIFS(tcTipo,AE1225,tcLiq,"Sí")&gt;0),S1225,0))</f>
        <v/>
      </c>
      <c r="AI1225" s="52">
        <f>IF(OR(L1225="",P1225=""),"",IF(COUNTIFS(L$6:L1225,L1225,P$6:P1225,"?*")=1,MAX(AI$5:AI1224)+1,""))</f>
        <v/>
      </c>
    </row>
    <row r="1226">
      <c r="B1226" s="47" t="n"/>
      <c r="C1226" s="48" t="n"/>
      <c r="D1226" s="48" t="n"/>
      <c r="E1226" s="48" t="n"/>
      <c r="F1226" s="48" t="n"/>
      <c r="G1226" s="49" t="n"/>
      <c r="H1226" s="48" t="n"/>
      <c r="I1226" s="50" t="n"/>
      <c r="J1226" s="48" t="n"/>
      <c r="K1226" s="48" t="n"/>
      <c r="L1226" s="48" t="n"/>
      <c r="M1226" s="48" t="n"/>
      <c r="N1226" s="48" t="n"/>
      <c r="O1226" s="51">
        <f>IF(AND(B1226="",G1226="",C1226="",D1226="",J1226=""),"",IF(B1226="","⚠ Falta fecha",IF(G1226="","⚠ Falta monto",IF(Q1226="","⚠ Falta cuenta",IF(ISNA(MATCH(Q1226,ctaNombre,0)),"⚠ Cuenta no registrada",IF(AND(OR(P1226="Gasto",P1226="Reembolso"),D1226=""),"⚠ Falta categoría",IF(AND(D1226&lt;&gt;"",E1226&lt;&gt;"",ISNA(MATCH(D1226&amp;"|"&amp;E1226,catClave,0))),"⚠ Subcategoría no corresponde",IF(AND(OR(P1226="Transferencia",P1226="Pago tarjeta"),K1226=""),"⚠ Falta cuenta destino",IF(AND(K1226&lt;&gt;"",P1226&lt;&gt;"Transferencia",P1226&lt;&gt;"Pago tarjeta"),"⚠ Destino solo aplica a transferencias",IF(AND(K1226&lt;&gt;"",K1226=Q1226),"⚠ Origen igual a destino",IF(AND(K1226&lt;&gt;"",ISNA(MATCH(K1226,ctaNombre,0))),"⚠ Destino no registrado",IF(AND(P1226="Pago tarjeta",AE1226&lt;&gt;"Tarjeta de crédito"),"⚠ El destino debe ser tarjeta de crédito",IF(AND(P1226="Gasto",E1226="Depósitos y retiros"),"⚠ Usa tipo Transferencia",IF(AND(P1226="Resultado trading",AD1226&lt;&gt;"Cuenta de trading"),"⚠ Usa una cuenta de trading",IF(AND(G1226&lt;=0,P1226&lt;&gt;"Ajuste",P1226&lt;&gt;"Resultado trading"),"⚠ El monto debe ser positivo","✓")))))))))))))))</f>
        <v/>
      </c>
      <c r="P1226" s="52">
        <f>IF(OR(B1226="",G1226=""),"",IF(C1226="","Gasto",C1226))</f>
        <v/>
      </c>
      <c r="Q1226" s="52">
        <f>IF(P1226="","",IF(J1226&lt;&gt;"",J1226,CuentaPred&amp;""))</f>
        <v/>
      </c>
      <c r="R1226" s="52">
        <f>IF(P1226="","",IF(ISNUMBER(I1226),I1226,TasaUSD))</f>
        <v/>
      </c>
      <c r="S1226" s="53">
        <f>IF(P1226="","",IF(H1226="USD",G1226*R1226,G1226))</f>
        <v/>
      </c>
      <c r="T1226" s="53">
        <f>IF(P1226="","",IF(H1226="USD",G1226,IF(R1226&gt;0,G1226/R1226,0)))</f>
        <v/>
      </c>
      <c r="U1226" s="53">
        <f>IF(P1226="","",IF(P1226="Gasto",S1226,IF(P1226="Reembolso",-S1226,0)))</f>
        <v/>
      </c>
      <c r="V1226" s="53">
        <f>IF(P1226="","",IF(P1226="Ingreso",S1226,0))</f>
        <v/>
      </c>
      <c r="W1226" s="53">
        <f>IF(P1226="","",IF(P1226="Resultado trading",S1226,0))</f>
        <v/>
      </c>
      <c r="X1226" s="52">
        <f>IF(OR(P1226="Gasto",P1226="Reembolso"),IF(M1226&lt;&gt;"",M1226,IFERROR(INDEX(catClasif,MATCH(D1226&amp;"|"&amp;E1226,catClave,0))&amp;"","Variable")),"")</f>
        <v/>
      </c>
      <c r="Y1226" s="52">
        <f>IF(P1226="","",IFERROR(INDEX(catGrupo,MATCH(D1226&amp;"|"&amp;E1226,catClave,0))&amp;"",""))</f>
        <v/>
      </c>
      <c r="Z1226" s="52">
        <f>IF(P1226="","",WEEKDAY(B1226,2))</f>
        <v/>
      </c>
      <c r="AA1226" s="52">
        <f>IF(P1226="","",IF(AND(P1226="Gasto",X1226="Variable",D1226&lt;&gt;catTrading,S1226&gt;0,S1226&lt;=Umbral),1,0))</f>
        <v/>
      </c>
      <c r="AB1226" s="52">
        <f>IF(OR(P1226="",Q1226=""),"",IFERROR(IF(INDEX(ctaVinc,MATCH(Q1226,ctaNombre,0))&amp;""&lt;&gt;"",INDEX(ctaVinc,MATCH(Q1226,ctaNombre,0))&amp;"",Q1226),Q1226))</f>
        <v/>
      </c>
      <c r="AC1226" s="52">
        <f>IF(OR(K1226="",AND(P1226&lt;&gt;"Transferencia",P1226&lt;&gt;"Pago tarjeta")),"",IFERROR(IF(INDEX(ctaVinc,MATCH(K1226,ctaNombre,0))&amp;""&lt;&gt;"",INDEX(ctaVinc,MATCH(K1226,ctaNombre,0))&amp;"",K1226),K1226))</f>
        <v/>
      </c>
      <c r="AD1226" s="52">
        <f>IF(AB1226="","",IFERROR(INDEX(ctaTipo,MATCH(AB1226,ctaNombre,0))&amp;"",""))</f>
        <v/>
      </c>
      <c r="AE1226" s="52">
        <f>IF(AC1226="","",IFERROR(INDEX(ctaTipo,MATCH(AC1226,ctaNombre,0))&amp;"",""))</f>
        <v/>
      </c>
      <c r="AF1226" s="53">
        <f>IF(OR(P1226="",AB1226=""),"",IF(OR(P1226="Gasto",P1226="Transferencia",P1226="Pago tarjeta"),-1,1)*IF(IFERROR(INDEX(ctaMoneda,MATCH(AB1226,ctaNombre,0))&amp;"","DOP")="USD",T1226,S1226))</f>
        <v/>
      </c>
      <c r="AG1226" s="53">
        <f>IF(AC1226="","",IF(IFERROR(INDEX(ctaMoneda,MATCH(AC1226,ctaNombre,0))&amp;"","DOP")="USD",T1226,S1226))</f>
        <v/>
      </c>
      <c r="AH1226" s="53">
        <f>IF(P1226="","",IF(AND(AD1226&lt;&gt;"",COUNTIFS(tcTipo,AD1226,tcLiq,"Sí")&gt;0),IF(OR(P1226="Gasto",P1226="Transferencia",P1226="Pago tarjeta"),-1,1)*S1226,0)+IF(AND(AE1226&lt;&gt;"",COUNTIFS(tcTipo,AE1226,tcLiq,"Sí")&gt;0),S1226,0))</f>
        <v/>
      </c>
      <c r="AI1226" s="52">
        <f>IF(OR(L1226="",P1226=""),"",IF(COUNTIFS(L$6:L1226,L1226,P$6:P1226,"?*")=1,MAX(AI$5:AI1225)+1,""))</f>
        <v/>
      </c>
    </row>
    <row r="1227">
      <c r="B1227" s="47" t="n"/>
      <c r="C1227" s="48" t="n"/>
      <c r="D1227" s="48" t="n"/>
      <c r="E1227" s="48" t="n"/>
      <c r="F1227" s="48" t="n"/>
      <c r="G1227" s="49" t="n"/>
      <c r="H1227" s="48" t="n"/>
      <c r="I1227" s="50" t="n"/>
      <c r="J1227" s="48" t="n"/>
      <c r="K1227" s="48" t="n"/>
      <c r="L1227" s="48" t="n"/>
      <c r="M1227" s="48" t="n"/>
      <c r="N1227" s="48" t="n"/>
      <c r="O1227" s="51">
        <f>IF(AND(B1227="",G1227="",C1227="",D1227="",J1227=""),"",IF(B1227="","⚠ Falta fecha",IF(G1227="","⚠ Falta monto",IF(Q1227="","⚠ Falta cuenta",IF(ISNA(MATCH(Q1227,ctaNombre,0)),"⚠ Cuenta no registrada",IF(AND(OR(P1227="Gasto",P1227="Reembolso"),D1227=""),"⚠ Falta categoría",IF(AND(D1227&lt;&gt;"",E1227&lt;&gt;"",ISNA(MATCH(D1227&amp;"|"&amp;E1227,catClave,0))),"⚠ Subcategoría no corresponde",IF(AND(OR(P1227="Transferencia",P1227="Pago tarjeta"),K1227=""),"⚠ Falta cuenta destino",IF(AND(K1227&lt;&gt;"",P1227&lt;&gt;"Transferencia",P1227&lt;&gt;"Pago tarjeta"),"⚠ Destino solo aplica a transferencias",IF(AND(K1227&lt;&gt;"",K1227=Q1227),"⚠ Origen igual a destino",IF(AND(K1227&lt;&gt;"",ISNA(MATCH(K1227,ctaNombre,0))),"⚠ Destino no registrado",IF(AND(P1227="Pago tarjeta",AE1227&lt;&gt;"Tarjeta de crédito"),"⚠ El destino debe ser tarjeta de crédito",IF(AND(P1227="Gasto",E1227="Depósitos y retiros"),"⚠ Usa tipo Transferencia",IF(AND(P1227="Resultado trading",AD1227&lt;&gt;"Cuenta de trading"),"⚠ Usa una cuenta de trading",IF(AND(G1227&lt;=0,P1227&lt;&gt;"Ajuste",P1227&lt;&gt;"Resultado trading"),"⚠ El monto debe ser positivo","✓")))))))))))))))</f>
        <v/>
      </c>
      <c r="P1227" s="52">
        <f>IF(OR(B1227="",G1227=""),"",IF(C1227="","Gasto",C1227))</f>
        <v/>
      </c>
      <c r="Q1227" s="52">
        <f>IF(P1227="","",IF(J1227&lt;&gt;"",J1227,CuentaPred&amp;""))</f>
        <v/>
      </c>
      <c r="R1227" s="52">
        <f>IF(P1227="","",IF(ISNUMBER(I1227),I1227,TasaUSD))</f>
        <v/>
      </c>
      <c r="S1227" s="53">
        <f>IF(P1227="","",IF(H1227="USD",G1227*R1227,G1227))</f>
        <v/>
      </c>
      <c r="T1227" s="53">
        <f>IF(P1227="","",IF(H1227="USD",G1227,IF(R1227&gt;0,G1227/R1227,0)))</f>
        <v/>
      </c>
      <c r="U1227" s="53">
        <f>IF(P1227="","",IF(P1227="Gasto",S1227,IF(P1227="Reembolso",-S1227,0)))</f>
        <v/>
      </c>
      <c r="V1227" s="53">
        <f>IF(P1227="","",IF(P1227="Ingreso",S1227,0))</f>
        <v/>
      </c>
      <c r="W1227" s="53">
        <f>IF(P1227="","",IF(P1227="Resultado trading",S1227,0))</f>
        <v/>
      </c>
      <c r="X1227" s="52">
        <f>IF(OR(P1227="Gasto",P1227="Reembolso"),IF(M1227&lt;&gt;"",M1227,IFERROR(INDEX(catClasif,MATCH(D1227&amp;"|"&amp;E1227,catClave,0))&amp;"","Variable")),"")</f>
        <v/>
      </c>
      <c r="Y1227" s="52">
        <f>IF(P1227="","",IFERROR(INDEX(catGrupo,MATCH(D1227&amp;"|"&amp;E1227,catClave,0))&amp;"",""))</f>
        <v/>
      </c>
      <c r="Z1227" s="52">
        <f>IF(P1227="","",WEEKDAY(B1227,2))</f>
        <v/>
      </c>
      <c r="AA1227" s="52">
        <f>IF(P1227="","",IF(AND(P1227="Gasto",X1227="Variable",D1227&lt;&gt;catTrading,S1227&gt;0,S1227&lt;=Umbral),1,0))</f>
        <v/>
      </c>
      <c r="AB1227" s="52">
        <f>IF(OR(P1227="",Q1227=""),"",IFERROR(IF(INDEX(ctaVinc,MATCH(Q1227,ctaNombre,0))&amp;""&lt;&gt;"",INDEX(ctaVinc,MATCH(Q1227,ctaNombre,0))&amp;"",Q1227),Q1227))</f>
        <v/>
      </c>
      <c r="AC1227" s="52">
        <f>IF(OR(K1227="",AND(P1227&lt;&gt;"Transferencia",P1227&lt;&gt;"Pago tarjeta")),"",IFERROR(IF(INDEX(ctaVinc,MATCH(K1227,ctaNombre,0))&amp;""&lt;&gt;"",INDEX(ctaVinc,MATCH(K1227,ctaNombre,0))&amp;"",K1227),K1227))</f>
        <v/>
      </c>
      <c r="AD1227" s="52">
        <f>IF(AB1227="","",IFERROR(INDEX(ctaTipo,MATCH(AB1227,ctaNombre,0))&amp;"",""))</f>
        <v/>
      </c>
      <c r="AE1227" s="52">
        <f>IF(AC1227="","",IFERROR(INDEX(ctaTipo,MATCH(AC1227,ctaNombre,0))&amp;"",""))</f>
        <v/>
      </c>
      <c r="AF1227" s="53">
        <f>IF(OR(P1227="",AB1227=""),"",IF(OR(P1227="Gasto",P1227="Transferencia",P1227="Pago tarjeta"),-1,1)*IF(IFERROR(INDEX(ctaMoneda,MATCH(AB1227,ctaNombre,0))&amp;"","DOP")="USD",T1227,S1227))</f>
        <v/>
      </c>
      <c r="AG1227" s="53">
        <f>IF(AC1227="","",IF(IFERROR(INDEX(ctaMoneda,MATCH(AC1227,ctaNombre,0))&amp;"","DOP")="USD",T1227,S1227))</f>
        <v/>
      </c>
      <c r="AH1227" s="53">
        <f>IF(P1227="","",IF(AND(AD1227&lt;&gt;"",COUNTIFS(tcTipo,AD1227,tcLiq,"Sí")&gt;0),IF(OR(P1227="Gasto",P1227="Transferencia",P1227="Pago tarjeta"),-1,1)*S1227,0)+IF(AND(AE1227&lt;&gt;"",COUNTIFS(tcTipo,AE1227,tcLiq,"Sí")&gt;0),S1227,0))</f>
        <v/>
      </c>
      <c r="AI1227" s="52">
        <f>IF(OR(L1227="",P1227=""),"",IF(COUNTIFS(L$6:L1227,L1227,P$6:P1227,"?*")=1,MAX(AI$5:AI1226)+1,""))</f>
        <v/>
      </c>
    </row>
    <row r="1228">
      <c r="B1228" s="47" t="n"/>
      <c r="C1228" s="48" t="n"/>
      <c r="D1228" s="48" t="n"/>
      <c r="E1228" s="48" t="n"/>
      <c r="F1228" s="48" t="n"/>
      <c r="G1228" s="49" t="n"/>
      <c r="H1228" s="48" t="n"/>
      <c r="I1228" s="50" t="n"/>
      <c r="J1228" s="48" t="n"/>
      <c r="K1228" s="48" t="n"/>
      <c r="L1228" s="48" t="n"/>
      <c r="M1228" s="48" t="n"/>
      <c r="N1228" s="48" t="n"/>
      <c r="O1228" s="51">
        <f>IF(AND(B1228="",G1228="",C1228="",D1228="",J1228=""),"",IF(B1228="","⚠ Falta fecha",IF(G1228="","⚠ Falta monto",IF(Q1228="","⚠ Falta cuenta",IF(ISNA(MATCH(Q1228,ctaNombre,0)),"⚠ Cuenta no registrada",IF(AND(OR(P1228="Gasto",P1228="Reembolso"),D1228=""),"⚠ Falta categoría",IF(AND(D1228&lt;&gt;"",E1228&lt;&gt;"",ISNA(MATCH(D1228&amp;"|"&amp;E1228,catClave,0))),"⚠ Subcategoría no corresponde",IF(AND(OR(P1228="Transferencia",P1228="Pago tarjeta"),K1228=""),"⚠ Falta cuenta destino",IF(AND(K1228&lt;&gt;"",P1228&lt;&gt;"Transferencia",P1228&lt;&gt;"Pago tarjeta"),"⚠ Destino solo aplica a transferencias",IF(AND(K1228&lt;&gt;"",K1228=Q1228),"⚠ Origen igual a destino",IF(AND(K1228&lt;&gt;"",ISNA(MATCH(K1228,ctaNombre,0))),"⚠ Destino no registrado",IF(AND(P1228="Pago tarjeta",AE1228&lt;&gt;"Tarjeta de crédito"),"⚠ El destino debe ser tarjeta de crédito",IF(AND(P1228="Gasto",E1228="Depósitos y retiros"),"⚠ Usa tipo Transferencia",IF(AND(P1228="Resultado trading",AD1228&lt;&gt;"Cuenta de trading"),"⚠ Usa una cuenta de trading",IF(AND(G1228&lt;=0,P1228&lt;&gt;"Ajuste",P1228&lt;&gt;"Resultado trading"),"⚠ El monto debe ser positivo","✓")))))))))))))))</f>
        <v/>
      </c>
      <c r="P1228" s="52">
        <f>IF(OR(B1228="",G1228=""),"",IF(C1228="","Gasto",C1228))</f>
        <v/>
      </c>
      <c r="Q1228" s="52">
        <f>IF(P1228="","",IF(J1228&lt;&gt;"",J1228,CuentaPred&amp;""))</f>
        <v/>
      </c>
      <c r="R1228" s="52">
        <f>IF(P1228="","",IF(ISNUMBER(I1228),I1228,TasaUSD))</f>
        <v/>
      </c>
      <c r="S1228" s="53">
        <f>IF(P1228="","",IF(H1228="USD",G1228*R1228,G1228))</f>
        <v/>
      </c>
      <c r="T1228" s="53">
        <f>IF(P1228="","",IF(H1228="USD",G1228,IF(R1228&gt;0,G1228/R1228,0)))</f>
        <v/>
      </c>
      <c r="U1228" s="53">
        <f>IF(P1228="","",IF(P1228="Gasto",S1228,IF(P1228="Reembolso",-S1228,0)))</f>
        <v/>
      </c>
      <c r="V1228" s="53">
        <f>IF(P1228="","",IF(P1228="Ingreso",S1228,0))</f>
        <v/>
      </c>
      <c r="W1228" s="53">
        <f>IF(P1228="","",IF(P1228="Resultado trading",S1228,0))</f>
        <v/>
      </c>
      <c r="X1228" s="52">
        <f>IF(OR(P1228="Gasto",P1228="Reembolso"),IF(M1228&lt;&gt;"",M1228,IFERROR(INDEX(catClasif,MATCH(D1228&amp;"|"&amp;E1228,catClave,0))&amp;"","Variable")),"")</f>
        <v/>
      </c>
      <c r="Y1228" s="52">
        <f>IF(P1228="","",IFERROR(INDEX(catGrupo,MATCH(D1228&amp;"|"&amp;E1228,catClave,0))&amp;"",""))</f>
        <v/>
      </c>
      <c r="Z1228" s="52">
        <f>IF(P1228="","",WEEKDAY(B1228,2))</f>
        <v/>
      </c>
      <c r="AA1228" s="52">
        <f>IF(P1228="","",IF(AND(P1228="Gasto",X1228="Variable",D1228&lt;&gt;catTrading,S1228&gt;0,S1228&lt;=Umbral),1,0))</f>
        <v/>
      </c>
      <c r="AB1228" s="52">
        <f>IF(OR(P1228="",Q1228=""),"",IFERROR(IF(INDEX(ctaVinc,MATCH(Q1228,ctaNombre,0))&amp;""&lt;&gt;"",INDEX(ctaVinc,MATCH(Q1228,ctaNombre,0))&amp;"",Q1228),Q1228))</f>
        <v/>
      </c>
      <c r="AC1228" s="52">
        <f>IF(OR(K1228="",AND(P1228&lt;&gt;"Transferencia",P1228&lt;&gt;"Pago tarjeta")),"",IFERROR(IF(INDEX(ctaVinc,MATCH(K1228,ctaNombre,0))&amp;""&lt;&gt;"",INDEX(ctaVinc,MATCH(K1228,ctaNombre,0))&amp;"",K1228),K1228))</f>
        <v/>
      </c>
      <c r="AD1228" s="52">
        <f>IF(AB1228="","",IFERROR(INDEX(ctaTipo,MATCH(AB1228,ctaNombre,0))&amp;"",""))</f>
        <v/>
      </c>
      <c r="AE1228" s="52">
        <f>IF(AC1228="","",IFERROR(INDEX(ctaTipo,MATCH(AC1228,ctaNombre,0))&amp;"",""))</f>
        <v/>
      </c>
      <c r="AF1228" s="53">
        <f>IF(OR(P1228="",AB1228=""),"",IF(OR(P1228="Gasto",P1228="Transferencia",P1228="Pago tarjeta"),-1,1)*IF(IFERROR(INDEX(ctaMoneda,MATCH(AB1228,ctaNombre,0))&amp;"","DOP")="USD",T1228,S1228))</f>
        <v/>
      </c>
      <c r="AG1228" s="53">
        <f>IF(AC1228="","",IF(IFERROR(INDEX(ctaMoneda,MATCH(AC1228,ctaNombre,0))&amp;"","DOP")="USD",T1228,S1228))</f>
        <v/>
      </c>
      <c r="AH1228" s="53">
        <f>IF(P1228="","",IF(AND(AD1228&lt;&gt;"",COUNTIFS(tcTipo,AD1228,tcLiq,"Sí")&gt;0),IF(OR(P1228="Gasto",P1228="Transferencia",P1228="Pago tarjeta"),-1,1)*S1228,0)+IF(AND(AE1228&lt;&gt;"",COUNTIFS(tcTipo,AE1228,tcLiq,"Sí")&gt;0),S1228,0))</f>
        <v/>
      </c>
      <c r="AI1228" s="52">
        <f>IF(OR(L1228="",P1228=""),"",IF(COUNTIFS(L$6:L1228,L1228,P$6:P1228,"?*")=1,MAX(AI$5:AI1227)+1,""))</f>
        <v/>
      </c>
    </row>
    <row r="1229">
      <c r="B1229" s="47" t="n"/>
      <c r="C1229" s="48" t="n"/>
      <c r="D1229" s="48" t="n"/>
      <c r="E1229" s="48" t="n"/>
      <c r="F1229" s="48" t="n"/>
      <c r="G1229" s="49" t="n"/>
      <c r="H1229" s="48" t="n"/>
      <c r="I1229" s="50" t="n"/>
      <c r="J1229" s="48" t="n"/>
      <c r="K1229" s="48" t="n"/>
      <c r="L1229" s="48" t="n"/>
      <c r="M1229" s="48" t="n"/>
      <c r="N1229" s="48" t="n"/>
      <c r="O1229" s="51">
        <f>IF(AND(B1229="",G1229="",C1229="",D1229="",J1229=""),"",IF(B1229="","⚠ Falta fecha",IF(G1229="","⚠ Falta monto",IF(Q1229="","⚠ Falta cuenta",IF(ISNA(MATCH(Q1229,ctaNombre,0)),"⚠ Cuenta no registrada",IF(AND(OR(P1229="Gasto",P1229="Reembolso"),D1229=""),"⚠ Falta categoría",IF(AND(D1229&lt;&gt;"",E1229&lt;&gt;"",ISNA(MATCH(D1229&amp;"|"&amp;E1229,catClave,0))),"⚠ Subcategoría no corresponde",IF(AND(OR(P1229="Transferencia",P1229="Pago tarjeta"),K1229=""),"⚠ Falta cuenta destino",IF(AND(K1229&lt;&gt;"",P1229&lt;&gt;"Transferencia",P1229&lt;&gt;"Pago tarjeta"),"⚠ Destino solo aplica a transferencias",IF(AND(K1229&lt;&gt;"",K1229=Q1229),"⚠ Origen igual a destino",IF(AND(K1229&lt;&gt;"",ISNA(MATCH(K1229,ctaNombre,0))),"⚠ Destino no registrado",IF(AND(P1229="Pago tarjeta",AE1229&lt;&gt;"Tarjeta de crédito"),"⚠ El destino debe ser tarjeta de crédito",IF(AND(P1229="Gasto",E1229="Depósitos y retiros"),"⚠ Usa tipo Transferencia",IF(AND(P1229="Resultado trading",AD1229&lt;&gt;"Cuenta de trading"),"⚠ Usa una cuenta de trading",IF(AND(G1229&lt;=0,P1229&lt;&gt;"Ajuste",P1229&lt;&gt;"Resultado trading"),"⚠ El monto debe ser positivo","✓")))))))))))))))</f>
        <v/>
      </c>
      <c r="P1229" s="52">
        <f>IF(OR(B1229="",G1229=""),"",IF(C1229="","Gasto",C1229))</f>
        <v/>
      </c>
      <c r="Q1229" s="52">
        <f>IF(P1229="","",IF(J1229&lt;&gt;"",J1229,CuentaPred&amp;""))</f>
        <v/>
      </c>
      <c r="R1229" s="52">
        <f>IF(P1229="","",IF(ISNUMBER(I1229),I1229,TasaUSD))</f>
        <v/>
      </c>
      <c r="S1229" s="53">
        <f>IF(P1229="","",IF(H1229="USD",G1229*R1229,G1229))</f>
        <v/>
      </c>
      <c r="T1229" s="53">
        <f>IF(P1229="","",IF(H1229="USD",G1229,IF(R1229&gt;0,G1229/R1229,0)))</f>
        <v/>
      </c>
      <c r="U1229" s="53">
        <f>IF(P1229="","",IF(P1229="Gasto",S1229,IF(P1229="Reembolso",-S1229,0)))</f>
        <v/>
      </c>
      <c r="V1229" s="53">
        <f>IF(P1229="","",IF(P1229="Ingreso",S1229,0))</f>
        <v/>
      </c>
      <c r="W1229" s="53">
        <f>IF(P1229="","",IF(P1229="Resultado trading",S1229,0))</f>
        <v/>
      </c>
      <c r="X1229" s="52">
        <f>IF(OR(P1229="Gasto",P1229="Reembolso"),IF(M1229&lt;&gt;"",M1229,IFERROR(INDEX(catClasif,MATCH(D1229&amp;"|"&amp;E1229,catClave,0))&amp;"","Variable")),"")</f>
        <v/>
      </c>
      <c r="Y1229" s="52">
        <f>IF(P1229="","",IFERROR(INDEX(catGrupo,MATCH(D1229&amp;"|"&amp;E1229,catClave,0))&amp;"",""))</f>
        <v/>
      </c>
      <c r="Z1229" s="52">
        <f>IF(P1229="","",WEEKDAY(B1229,2))</f>
        <v/>
      </c>
      <c r="AA1229" s="52">
        <f>IF(P1229="","",IF(AND(P1229="Gasto",X1229="Variable",D1229&lt;&gt;catTrading,S1229&gt;0,S1229&lt;=Umbral),1,0))</f>
        <v/>
      </c>
      <c r="AB1229" s="52">
        <f>IF(OR(P1229="",Q1229=""),"",IFERROR(IF(INDEX(ctaVinc,MATCH(Q1229,ctaNombre,0))&amp;""&lt;&gt;"",INDEX(ctaVinc,MATCH(Q1229,ctaNombre,0))&amp;"",Q1229),Q1229))</f>
        <v/>
      </c>
      <c r="AC1229" s="52">
        <f>IF(OR(K1229="",AND(P1229&lt;&gt;"Transferencia",P1229&lt;&gt;"Pago tarjeta")),"",IFERROR(IF(INDEX(ctaVinc,MATCH(K1229,ctaNombre,0))&amp;""&lt;&gt;"",INDEX(ctaVinc,MATCH(K1229,ctaNombre,0))&amp;"",K1229),K1229))</f>
        <v/>
      </c>
      <c r="AD1229" s="52">
        <f>IF(AB1229="","",IFERROR(INDEX(ctaTipo,MATCH(AB1229,ctaNombre,0))&amp;"",""))</f>
        <v/>
      </c>
      <c r="AE1229" s="52">
        <f>IF(AC1229="","",IFERROR(INDEX(ctaTipo,MATCH(AC1229,ctaNombre,0))&amp;"",""))</f>
        <v/>
      </c>
      <c r="AF1229" s="53">
        <f>IF(OR(P1229="",AB1229=""),"",IF(OR(P1229="Gasto",P1229="Transferencia",P1229="Pago tarjeta"),-1,1)*IF(IFERROR(INDEX(ctaMoneda,MATCH(AB1229,ctaNombre,0))&amp;"","DOP")="USD",T1229,S1229))</f>
        <v/>
      </c>
      <c r="AG1229" s="53">
        <f>IF(AC1229="","",IF(IFERROR(INDEX(ctaMoneda,MATCH(AC1229,ctaNombre,0))&amp;"","DOP")="USD",T1229,S1229))</f>
        <v/>
      </c>
      <c r="AH1229" s="53">
        <f>IF(P1229="","",IF(AND(AD1229&lt;&gt;"",COUNTIFS(tcTipo,AD1229,tcLiq,"Sí")&gt;0),IF(OR(P1229="Gasto",P1229="Transferencia",P1229="Pago tarjeta"),-1,1)*S1229,0)+IF(AND(AE1229&lt;&gt;"",COUNTIFS(tcTipo,AE1229,tcLiq,"Sí")&gt;0),S1229,0))</f>
        <v/>
      </c>
      <c r="AI1229" s="52">
        <f>IF(OR(L1229="",P1229=""),"",IF(COUNTIFS(L$6:L1229,L1229,P$6:P1229,"?*")=1,MAX(AI$5:AI1228)+1,""))</f>
        <v/>
      </c>
    </row>
    <row r="1230">
      <c r="B1230" s="47" t="n"/>
      <c r="C1230" s="48" t="n"/>
      <c r="D1230" s="48" t="n"/>
      <c r="E1230" s="48" t="n"/>
      <c r="F1230" s="48" t="n"/>
      <c r="G1230" s="49" t="n"/>
      <c r="H1230" s="48" t="n"/>
      <c r="I1230" s="50" t="n"/>
      <c r="J1230" s="48" t="n"/>
      <c r="K1230" s="48" t="n"/>
      <c r="L1230" s="48" t="n"/>
      <c r="M1230" s="48" t="n"/>
      <c r="N1230" s="48" t="n"/>
      <c r="O1230" s="51">
        <f>IF(AND(B1230="",G1230="",C1230="",D1230="",J1230=""),"",IF(B1230="","⚠ Falta fecha",IF(G1230="","⚠ Falta monto",IF(Q1230="","⚠ Falta cuenta",IF(ISNA(MATCH(Q1230,ctaNombre,0)),"⚠ Cuenta no registrada",IF(AND(OR(P1230="Gasto",P1230="Reembolso"),D1230=""),"⚠ Falta categoría",IF(AND(D1230&lt;&gt;"",E1230&lt;&gt;"",ISNA(MATCH(D1230&amp;"|"&amp;E1230,catClave,0))),"⚠ Subcategoría no corresponde",IF(AND(OR(P1230="Transferencia",P1230="Pago tarjeta"),K1230=""),"⚠ Falta cuenta destino",IF(AND(K1230&lt;&gt;"",P1230&lt;&gt;"Transferencia",P1230&lt;&gt;"Pago tarjeta"),"⚠ Destino solo aplica a transferencias",IF(AND(K1230&lt;&gt;"",K1230=Q1230),"⚠ Origen igual a destino",IF(AND(K1230&lt;&gt;"",ISNA(MATCH(K1230,ctaNombre,0))),"⚠ Destino no registrado",IF(AND(P1230="Pago tarjeta",AE1230&lt;&gt;"Tarjeta de crédito"),"⚠ El destino debe ser tarjeta de crédito",IF(AND(P1230="Gasto",E1230="Depósitos y retiros"),"⚠ Usa tipo Transferencia",IF(AND(P1230="Resultado trading",AD1230&lt;&gt;"Cuenta de trading"),"⚠ Usa una cuenta de trading",IF(AND(G1230&lt;=0,P1230&lt;&gt;"Ajuste",P1230&lt;&gt;"Resultado trading"),"⚠ El monto debe ser positivo","✓")))))))))))))))</f>
        <v/>
      </c>
      <c r="P1230" s="52">
        <f>IF(OR(B1230="",G1230=""),"",IF(C1230="","Gasto",C1230))</f>
        <v/>
      </c>
      <c r="Q1230" s="52">
        <f>IF(P1230="","",IF(J1230&lt;&gt;"",J1230,CuentaPred&amp;""))</f>
        <v/>
      </c>
      <c r="R1230" s="52">
        <f>IF(P1230="","",IF(ISNUMBER(I1230),I1230,TasaUSD))</f>
        <v/>
      </c>
      <c r="S1230" s="53">
        <f>IF(P1230="","",IF(H1230="USD",G1230*R1230,G1230))</f>
        <v/>
      </c>
      <c r="T1230" s="53">
        <f>IF(P1230="","",IF(H1230="USD",G1230,IF(R1230&gt;0,G1230/R1230,0)))</f>
        <v/>
      </c>
      <c r="U1230" s="53">
        <f>IF(P1230="","",IF(P1230="Gasto",S1230,IF(P1230="Reembolso",-S1230,0)))</f>
        <v/>
      </c>
      <c r="V1230" s="53">
        <f>IF(P1230="","",IF(P1230="Ingreso",S1230,0))</f>
        <v/>
      </c>
      <c r="W1230" s="53">
        <f>IF(P1230="","",IF(P1230="Resultado trading",S1230,0))</f>
        <v/>
      </c>
      <c r="X1230" s="52">
        <f>IF(OR(P1230="Gasto",P1230="Reembolso"),IF(M1230&lt;&gt;"",M1230,IFERROR(INDEX(catClasif,MATCH(D1230&amp;"|"&amp;E1230,catClave,0))&amp;"","Variable")),"")</f>
        <v/>
      </c>
      <c r="Y1230" s="52">
        <f>IF(P1230="","",IFERROR(INDEX(catGrupo,MATCH(D1230&amp;"|"&amp;E1230,catClave,0))&amp;"",""))</f>
        <v/>
      </c>
      <c r="Z1230" s="52">
        <f>IF(P1230="","",WEEKDAY(B1230,2))</f>
        <v/>
      </c>
      <c r="AA1230" s="52">
        <f>IF(P1230="","",IF(AND(P1230="Gasto",X1230="Variable",D1230&lt;&gt;catTrading,S1230&gt;0,S1230&lt;=Umbral),1,0))</f>
        <v/>
      </c>
      <c r="AB1230" s="52">
        <f>IF(OR(P1230="",Q1230=""),"",IFERROR(IF(INDEX(ctaVinc,MATCH(Q1230,ctaNombre,0))&amp;""&lt;&gt;"",INDEX(ctaVinc,MATCH(Q1230,ctaNombre,0))&amp;"",Q1230),Q1230))</f>
        <v/>
      </c>
      <c r="AC1230" s="52">
        <f>IF(OR(K1230="",AND(P1230&lt;&gt;"Transferencia",P1230&lt;&gt;"Pago tarjeta")),"",IFERROR(IF(INDEX(ctaVinc,MATCH(K1230,ctaNombre,0))&amp;""&lt;&gt;"",INDEX(ctaVinc,MATCH(K1230,ctaNombre,0))&amp;"",K1230),K1230))</f>
        <v/>
      </c>
      <c r="AD1230" s="52">
        <f>IF(AB1230="","",IFERROR(INDEX(ctaTipo,MATCH(AB1230,ctaNombre,0))&amp;"",""))</f>
        <v/>
      </c>
      <c r="AE1230" s="52">
        <f>IF(AC1230="","",IFERROR(INDEX(ctaTipo,MATCH(AC1230,ctaNombre,0))&amp;"",""))</f>
        <v/>
      </c>
      <c r="AF1230" s="53">
        <f>IF(OR(P1230="",AB1230=""),"",IF(OR(P1230="Gasto",P1230="Transferencia",P1230="Pago tarjeta"),-1,1)*IF(IFERROR(INDEX(ctaMoneda,MATCH(AB1230,ctaNombre,0))&amp;"","DOP")="USD",T1230,S1230))</f>
        <v/>
      </c>
      <c r="AG1230" s="53">
        <f>IF(AC1230="","",IF(IFERROR(INDEX(ctaMoneda,MATCH(AC1230,ctaNombre,0))&amp;"","DOP")="USD",T1230,S1230))</f>
        <v/>
      </c>
      <c r="AH1230" s="53">
        <f>IF(P1230="","",IF(AND(AD1230&lt;&gt;"",COUNTIFS(tcTipo,AD1230,tcLiq,"Sí")&gt;0),IF(OR(P1230="Gasto",P1230="Transferencia",P1230="Pago tarjeta"),-1,1)*S1230,0)+IF(AND(AE1230&lt;&gt;"",COUNTIFS(tcTipo,AE1230,tcLiq,"Sí")&gt;0),S1230,0))</f>
        <v/>
      </c>
      <c r="AI1230" s="52">
        <f>IF(OR(L1230="",P1230=""),"",IF(COUNTIFS(L$6:L1230,L1230,P$6:P1230,"?*")=1,MAX(AI$5:AI1229)+1,""))</f>
        <v/>
      </c>
    </row>
    <row r="1231">
      <c r="B1231" s="47" t="n"/>
      <c r="C1231" s="48" t="n"/>
      <c r="D1231" s="48" t="n"/>
      <c r="E1231" s="48" t="n"/>
      <c r="F1231" s="48" t="n"/>
      <c r="G1231" s="49" t="n"/>
      <c r="H1231" s="48" t="n"/>
      <c r="I1231" s="50" t="n"/>
      <c r="J1231" s="48" t="n"/>
      <c r="K1231" s="48" t="n"/>
      <c r="L1231" s="48" t="n"/>
      <c r="M1231" s="48" t="n"/>
      <c r="N1231" s="48" t="n"/>
      <c r="O1231" s="51">
        <f>IF(AND(B1231="",G1231="",C1231="",D1231="",J1231=""),"",IF(B1231="","⚠ Falta fecha",IF(G1231="","⚠ Falta monto",IF(Q1231="","⚠ Falta cuenta",IF(ISNA(MATCH(Q1231,ctaNombre,0)),"⚠ Cuenta no registrada",IF(AND(OR(P1231="Gasto",P1231="Reembolso"),D1231=""),"⚠ Falta categoría",IF(AND(D1231&lt;&gt;"",E1231&lt;&gt;"",ISNA(MATCH(D1231&amp;"|"&amp;E1231,catClave,0))),"⚠ Subcategoría no corresponde",IF(AND(OR(P1231="Transferencia",P1231="Pago tarjeta"),K1231=""),"⚠ Falta cuenta destino",IF(AND(K1231&lt;&gt;"",P1231&lt;&gt;"Transferencia",P1231&lt;&gt;"Pago tarjeta"),"⚠ Destino solo aplica a transferencias",IF(AND(K1231&lt;&gt;"",K1231=Q1231),"⚠ Origen igual a destino",IF(AND(K1231&lt;&gt;"",ISNA(MATCH(K1231,ctaNombre,0))),"⚠ Destino no registrado",IF(AND(P1231="Pago tarjeta",AE1231&lt;&gt;"Tarjeta de crédito"),"⚠ El destino debe ser tarjeta de crédito",IF(AND(P1231="Gasto",E1231="Depósitos y retiros"),"⚠ Usa tipo Transferencia",IF(AND(P1231="Resultado trading",AD1231&lt;&gt;"Cuenta de trading"),"⚠ Usa una cuenta de trading",IF(AND(G1231&lt;=0,P1231&lt;&gt;"Ajuste",P1231&lt;&gt;"Resultado trading"),"⚠ El monto debe ser positivo","✓")))))))))))))))</f>
        <v/>
      </c>
      <c r="P1231" s="52">
        <f>IF(OR(B1231="",G1231=""),"",IF(C1231="","Gasto",C1231))</f>
        <v/>
      </c>
      <c r="Q1231" s="52">
        <f>IF(P1231="","",IF(J1231&lt;&gt;"",J1231,CuentaPred&amp;""))</f>
        <v/>
      </c>
      <c r="R1231" s="52">
        <f>IF(P1231="","",IF(ISNUMBER(I1231),I1231,TasaUSD))</f>
        <v/>
      </c>
      <c r="S1231" s="53">
        <f>IF(P1231="","",IF(H1231="USD",G1231*R1231,G1231))</f>
        <v/>
      </c>
      <c r="T1231" s="53">
        <f>IF(P1231="","",IF(H1231="USD",G1231,IF(R1231&gt;0,G1231/R1231,0)))</f>
        <v/>
      </c>
      <c r="U1231" s="53">
        <f>IF(P1231="","",IF(P1231="Gasto",S1231,IF(P1231="Reembolso",-S1231,0)))</f>
        <v/>
      </c>
      <c r="V1231" s="53">
        <f>IF(P1231="","",IF(P1231="Ingreso",S1231,0))</f>
        <v/>
      </c>
      <c r="W1231" s="53">
        <f>IF(P1231="","",IF(P1231="Resultado trading",S1231,0))</f>
        <v/>
      </c>
      <c r="X1231" s="52">
        <f>IF(OR(P1231="Gasto",P1231="Reembolso"),IF(M1231&lt;&gt;"",M1231,IFERROR(INDEX(catClasif,MATCH(D1231&amp;"|"&amp;E1231,catClave,0))&amp;"","Variable")),"")</f>
        <v/>
      </c>
      <c r="Y1231" s="52">
        <f>IF(P1231="","",IFERROR(INDEX(catGrupo,MATCH(D1231&amp;"|"&amp;E1231,catClave,0))&amp;"",""))</f>
        <v/>
      </c>
      <c r="Z1231" s="52">
        <f>IF(P1231="","",WEEKDAY(B1231,2))</f>
        <v/>
      </c>
      <c r="AA1231" s="52">
        <f>IF(P1231="","",IF(AND(P1231="Gasto",X1231="Variable",D1231&lt;&gt;catTrading,S1231&gt;0,S1231&lt;=Umbral),1,0))</f>
        <v/>
      </c>
      <c r="AB1231" s="52">
        <f>IF(OR(P1231="",Q1231=""),"",IFERROR(IF(INDEX(ctaVinc,MATCH(Q1231,ctaNombre,0))&amp;""&lt;&gt;"",INDEX(ctaVinc,MATCH(Q1231,ctaNombre,0))&amp;"",Q1231),Q1231))</f>
        <v/>
      </c>
      <c r="AC1231" s="52">
        <f>IF(OR(K1231="",AND(P1231&lt;&gt;"Transferencia",P1231&lt;&gt;"Pago tarjeta")),"",IFERROR(IF(INDEX(ctaVinc,MATCH(K1231,ctaNombre,0))&amp;""&lt;&gt;"",INDEX(ctaVinc,MATCH(K1231,ctaNombre,0))&amp;"",K1231),K1231))</f>
        <v/>
      </c>
      <c r="AD1231" s="52">
        <f>IF(AB1231="","",IFERROR(INDEX(ctaTipo,MATCH(AB1231,ctaNombre,0))&amp;"",""))</f>
        <v/>
      </c>
      <c r="AE1231" s="52">
        <f>IF(AC1231="","",IFERROR(INDEX(ctaTipo,MATCH(AC1231,ctaNombre,0))&amp;"",""))</f>
        <v/>
      </c>
      <c r="AF1231" s="53">
        <f>IF(OR(P1231="",AB1231=""),"",IF(OR(P1231="Gasto",P1231="Transferencia",P1231="Pago tarjeta"),-1,1)*IF(IFERROR(INDEX(ctaMoneda,MATCH(AB1231,ctaNombre,0))&amp;"","DOP")="USD",T1231,S1231))</f>
        <v/>
      </c>
      <c r="AG1231" s="53">
        <f>IF(AC1231="","",IF(IFERROR(INDEX(ctaMoneda,MATCH(AC1231,ctaNombre,0))&amp;"","DOP")="USD",T1231,S1231))</f>
        <v/>
      </c>
      <c r="AH1231" s="53">
        <f>IF(P1231="","",IF(AND(AD1231&lt;&gt;"",COUNTIFS(tcTipo,AD1231,tcLiq,"Sí")&gt;0),IF(OR(P1231="Gasto",P1231="Transferencia",P1231="Pago tarjeta"),-1,1)*S1231,0)+IF(AND(AE1231&lt;&gt;"",COUNTIFS(tcTipo,AE1231,tcLiq,"Sí")&gt;0),S1231,0))</f>
        <v/>
      </c>
      <c r="AI1231" s="52">
        <f>IF(OR(L1231="",P1231=""),"",IF(COUNTIFS(L$6:L1231,L1231,P$6:P1231,"?*")=1,MAX(AI$5:AI1230)+1,""))</f>
        <v/>
      </c>
    </row>
    <row r="1232">
      <c r="B1232" s="47" t="n"/>
      <c r="C1232" s="48" t="n"/>
      <c r="D1232" s="48" t="n"/>
      <c r="E1232" s="48" t="n"/>
      <c r="F1232" s="48" t="n"/>
      <c r="G1232" s="49" t="n"/>
      <c r="H1232" s="48" t="n"/>
      <c r="I1232" s="50" t="n"/>
      <c r="J1232" s="48" t="n"/>
      <c r="K1232" s="48" t="n"/>
      <c r="L1232" s="48" t="n"/>
      <c r="M1232" s="48" t="n"/>
      <c r="N1232" s="48" t="n"/>
      <c r="O1232" s="51">
        <f>IF(AND(B1232="",G1232="",C1232="",D1232="",J1232=""),"",IF(B1232="","⚠ Falta fecha",IF(G1232="","⚠ Falta monto",IF(Q1232="","⚠ Falta cuenta",IF(ISNA(MATCH(Q1232,ctaNombre,0)),"⚠ Cuenta no registrada",IF(AND(OR(P1232="Gasto",P1232="Reembolso"),D1232=""),"⚠ Falta categoría",IF(AND(D1232&lt;&gt;"",E1232&lt;&gt;"",ISNA(MATCH(D1232&amp;"|"&amp;E1232,catClave,0))),"⚠ Subcategoría no corresponde",IF(AND(OR(P1232="Transferencia",P1232="Pago tarjeta"),K1232=""),"⚠ Falta cuenta destino",IF(AND(K1232&lt;&gt;"",P1232&lt;&gt;"Transferencia",P1232&lt;&gt;"Pago tarjeta"),"⚠ Destino solo aplica a transferencias",IF(AND(K1232&lt;&gt;"",K1232=Q1232),"⚠ Origen igual a destino",IF(AND(K1232&lt;&gt;"",ISNA(MATCH(K1232,ctaNombre,0))),"⚠ Destino no registrado",IF(AND(P1232="Pago tarjeta",AE1232&lt;&gt;"Tarjeta de crédito"),"⚠ El destino debe ser tarjeta de crédito",IF(AND(P1232="Gasto",E1232="Depósitos y retiros"),"⚠ Usa tipo Transferencia",IF(AND(P1232="Resultado trading",AD1232&lt;&gt;"Cuenta de trading"),"⚠ Usa una cuenta de trading",IF(AND(G1232&lt;=0,P1232&lt;&gt;"Ajuste",P1232&lt;&gt;"Resultado trading"),"⚠ El monto debe ser positivo","✓")))))))))))))))</f>
        <v/>
      </c>
      <c r="P1232" s="52">
        <f>IF(OR(B1232="",G1232=""),"",IF(C1232="","Gasto",C1232))</f>
        <v/>
      </c>
      <c r="Q1232" s="52">
        <f>IF(P1232="","",IF(J1232&lt;&gt;"",J1232,CuentaPred&amp;""))</f>
        <v/>
      </c>
      <c r="R1232" s="52">
        <f>IF(P1232="","",IF(ISNUMBER(I1232),I1232,TasaUSD))</f>
        <v/>
      </c>
      <c r="S1232" s="53">
        <f>IF(P1232="","",IF(H1232="USD",G1232*R1232,G1232))</f>
        <v/>
      </c>
      <c r="T1232" s="53">
        <f>IF(P1232="","",IF(H1232="USD",G1232,IF(R1232&gt;0,G1232/R1232,0)))</f>
        <v/>
      </c>
      <c r="U1232" s="53">
        <f>IF(P1232="","",IF(P1232="Gasto",S1232,IF(P1232="Reembolso",-S1232,0)))</f>
        <v/>
      </c>
      <c r="V1232" s="53">
        <f>IF(P1232="","",IF(P1232="Ingreso",S1232,0))</f>
        <v/>
      </c>
      <c r="W1232" s="53">
        <f>IF(P1232="","",IF(P1232="Resultado trading",S1232,0))</f>
        <v/>
      </c>
      <c r="X1232" s="52">
        <f>IF(OR(P1232="Gasto",P1232="Reembolso"),IF(M1232&lt;&gt;"",M1232,IFERROR(INDEX(catClasif,MATCH(D1232&amp;"|"&amp;E1232,catClave,0))&amp;"","Variable")),"")</f>
        <v/>
      </c>
      <c r="Y1232" s="52">
        <f>IF(P1232="","",IFERROR(INDEX(catGrupo,MATCH(D1232&amp;"|"&amp;E1232,catClave,0))&amp;"",""))</f>
        <v/>
      </c>
      <c r="Z1232" s="52">
        <f>IF(P1232="","",WEEKDAY(B1232,2))</f>
        <v/>
      </c>
      <c r="AA1232" s="52">
        <f>IF(P1232="","",IF(AND(P1232="Gasto",X1232="Variable",D1232&lt;&gt;catTrading,S1232&gt;0,S1232&lt;=Umbral),1,0))</f>
        <v/>
      </c>
      <c r="AB1232" s="52">
        <f>IF(OR(P1232="",Q1232=""),"",IFERROR(IF(INDEX(ctaVinc,MATCH(Q1232,ctaNombre,0))&amp;""&lt;&gt;"",INDEX(ctaVinc,MATCH(Q1232,ctaNombre,0))&amp;"",Q1232),Q1232))</f>
        <v/>
      </c>
      <c r="AC1232" s="52">
        <f>IF(OR(K1232="",AND(P1232&lt;&gt;"Transferencia",P1232&lt;&gt;"Pago tarjeta")),"",IFERROR(IF(INDEX(ctaVinc,MATCH(K1232,ctaNombre,0))&amp;""&lt;&gt;"",INDEX(ctaVinc,MATCH(K1232,ctaNombre,0))&amp;"",K1232),K1232))</f>
        <v/>
      </c>
      <c r="AD1232" s="52">
        <f>IF(AB1232="","",IFERROR(INDEX(ctaTipo,MATCH(AB1232,ctaNombre,0))&amp;"",""))</f>
        <v/>
      </c>
      <c r="AE1232" s="52">
        <f>IF(AC1232="","",IFERROR(INDEX(ctaTipo,MATCH(AC1232,ctaNombre,0))&amp;"",""))</f>
        <v/>
      </c>
      <c r="AF1232" s="53">
        <f>IF(OR(P1232="",AB1232=""),"",IF(OR(P1232="Gasto",P1232="Transferencia",P1232="Pago tarjeta"),-1,1)*IF(IFERROR(INDEX(ctaMoneda,MATCH(AB1232,ctaNombre,0))&amp;"","DOP")="USD",T1232,S1232))</f>
        <v/>
      </c>
      <c r="AG1232" s="53">
        <f>IF(AC1232="","",IF(IFERROR(INDEX(ctaMoneda,MATCH(AC1232,ctaNombre,0))&amp;"","DOP")="USD",T1232,S1232))</f>
        <v/>
      </c>
      <c r="AH1232" s="53">
        <f>IF(P1232="","",IF(AND(AD1232&lt;&gt;"",COUNTIFS(tcTipo,AD1232,tcLiq,"Sí")&gt;0),IF(OR(P1232="Gasto",P1232="Transferencia",P1232="Pago tarjeta"),-1,1)*S1232,0)+IF(AND(AE1232&lt;&gt;"",COUNTIFS(tcTipo,AE1232,tcLiq,"Sí")&gt;0),S1232,0))</f>
        <v/>
      </c>
      <c r="AI1232" s="52">
        <f>IF(OR(L1232="",P1232=""),"",IF(COUNTIFS(L$6:L1232,L1232,P$6:P1232,"?*")=1,MAX(AI$5:AI1231)+1,""))</f>
        <v/>
      </c>
    </row>
    <row r="1233">
      <c r="B1233" s="47" t="n"/>
      <c r="C1233" s="48" t="n"/>
      <c r="D1233" s="48" t="n"/>
      <c r="E1233" s="48" t="n"/>
      <c r="F1233" s="48" t="n"/>
      <c r="G1233" s="49" t="n"/>
      <c r="H1233" s="48" t="n"/>
      <c r="I1233" s="50" t="n"/>
      <c r="J1233" s="48" t="n"/>
      <c r="K1233" s="48" t="n"/>
      <c r="L1233" s="48" t="n"/>
      <c r="M1233" s="48" t="n"/>
      <c r="N1233" s="48" t="n"/>
      <c r="O1233" s="51">
        <f>IF(AND(B1233="",G1233="",C1233="",D1233="",J1233=""),"",IF(B1233="","⚠ Falta fecha",IF(G1233="","⚠ Falta monto",IF(Q1233="","⚠ Falta cuenta",IF(ISNA(MATCH(Q1233,ctaNombre,0)),"⚠ Cuenta no registrada",IF(AND(OR(P1233="Gasto",P1233="Reembolso"),D1233=""),"⚠ Falta categoría",IF(AND(D1233&lt;&gt;"",E1233&lt;&gt;"",ISNA(MATCH(D1233&amp;"|"&amp;E1233,catClave,0))),"⚠ Subcategoría no corresponde",IF(AND(OR(P1233="Transferencia",P1233="Pago tarjeta"),K1233=""),"⚠ Falta cuenta destino",IF(AND(K1233&lt;&gt;"",P1233&lt;&gt;"Transferencia",P1233&lt;&gt;"Pago tarjeta"),"⚠ Destino solo aplica a transferencias",IF(AND(K1233&lt;&gt;"",K1233=Q1233),"⚠ Origen igual a destino",IF(AND(K1233&lt;&gt;"",ISNA(MATCH(K1233,ctaNombre,0))),"⚠ Destino no registrado",IF(AND(P1233="Pago tarjeta",AE1233&lt;&gt;"Tarjeta de crédito"),"⚠ El destino debe ser tarjeta de crédito",IF(AND(P1233="Gasto",E1233="Depósitos y retiros"),"⚠ Usa tipo Transferencia",IF(AND(P1233="Resultado trading",AD1233&lt;&gt;"Cuenta de trading"),"⚠ Usa una cuenta de trading",IF(AND(G1233&lt;=0,P1233&lt;&gt;"Ajuste",P1233&lt;&gt;"Resultado trading"),"⚠ El monto debe ser positivo","✓")))))))))))))))</f>
        <v/>
      </c>
      <c r="P1233" s="52">
        <f>IF(OR(B1233="",G1233=""),"",IF(C1233="","Gasto",C1233))</f>
        <v/>
      </c>
      <c r="Q1233" s="52">
        <f>IF(P1233="","",IF(J1233&lt;&gt;"",J1233,CuentaPred&amp;""))</f>
        <v/>
      </c>
      <c r="R1233" s="52">
        <f>IF(P1233="","",IF(ISNUMBER(I1233),I1233,TasaUSD))</f>
        <v/>
      </c>
      <c r="S1233" s="53">
        <f>IF(P1233="","",IF(H1233="USD",G1233*R1233,G1233))</f>
        <v/>
      </c>
      <c r="T1233" s="53">
        <f>IF(P1233="","",IF(H1233="USD",G1233,IF(R1233&gt;0,G1233/R1233,0)))</f>
        <v/>
      </c>
      <c r="U1233" s="53">
        <f>IF(P1233="","",IF(P1233="Gasto",S1233,IF(P1233="Reembolso",-S1233,0)))</f>
        <v/>
      </c>
      <c r="V1233" s="53">
        <f>IF(P1233="","",IF(P1233="Ingreso",S1233,0))</f>
        <v/>
      </c>
      <c r="W1233" s="53">
        <f>IF(P1233="","",IF(P1233="Resultado trading",S1233,0))</f>
        <v/>
      </c>
      <c r="X1233" s="52">
        <f>IF(OR(P1233="Gasto",P1233="Reembolso"),IF(M1233&lt;&gt;"",M1233,IFERROR(INDEX(catClasif,MATCH(D1233&amp;"|"&amp;E1233,catClave,0))&amp;"","Variable")),"")</f>
        <v/>
      </c>
      <c r="Y1233" s="52">
        <f>IF(P1233="","",IFERROR(INDEX(catGrupo,MATCH(D1233&amp;"|"&amp;E1233,catClave,0))&amp;"",""))</f>
        <v/>
      </c>
      <c r="Z1233" s="52">
        <f>IF(P1233="","",WEEKDAY(B1233,2))</f>
        <v/>
      </c>
      <c r="AA1233" s="52">
        <f>IF(P1233="","",IF(AND(P1233="Gasto",X1233="Variable",D1233&lt;&gt;catTrading,S1233&gt;0,S1233&lt;=Umbral),1,0))</f>
        <v/>
      </c>
      <c r="AB1233" s="52">
        <f>IF(OR(P1233="",Q1233=""),"",IFERROR(IF(INDEX(ctaVinc,MATCH(Q1233,ctaNombre,0))&amp;""&lt;&gt;"",INDEX(ctaVinc,MATCH(Q1233,ctaNombre,0))&amp;"",Q1233),Q1233))</f>
        <v/>
      </c>
      <c r="AC1233" s="52">
        <f>IF(OR(K1233="",AND(P1233&lt;&gt;"Transferencia",P1233&lt;&gt;"Pago tarjeta")),"",IFERROR(IF(INDEX(ctaVinc,MATCH(K1233,ctaNombre,0))&amp;""&lt;&gt;"",INDEX(ctaVinc,MATCH(K1233,ctaNombre,0))&amp;"",K1233),K1233))</f>
        <v/>
      </c>
      <c r="AD1233" s="52">
        <f>IF(AB1233="","",IFERROR(INDEX(ctaTipo,MATCH(AB1233,ctaNombre,0))&amp;"",""))</f>
        <v/>
      </c>
      <c r="AE1233" s="52">
        <f>IF(AC1233="","",IFERROR(INDEX(ctaTipo,MATCH(AC1233,ctaNombre,0))&amp;"",""))</f>
        <v/>
      </c>
      <c r="AF1233" s="53">
        <f>IF(OR(P1233="",AB1233=""),"",IF(OR(P1233="Gasto",P1233="Transferencia",P1233="Pago tarjeta"),-1,1)*IF(IFERROR(INDEX(ctaMoneda,MATCH(AB1233,ctaNombre,0))&amp;"","DOP")="USD",T1233,S1233))</f>
        <v/>
      </c>
      <c r="AG1233" s="53">
        <f>IF(AC1233="","",IF(IFERROR(INDEX(ctaMoneda,MATCH(AC1233,ctaNombre,0))&amp;"","DOP")="USD",T1233,S1233))</f>
        <v/>
      </c>
      <c r="AH1233" s="53">
        <f>IF(P1233="","",IF(AND(AD1233&lt;&gt;"",COUNTIFS(tcTipo,AD1233,tcLiq,"Sí")&gt;0),IF(OR(P1233="Gasto",P1233="Transferencia",P1233="Pago tarjeta"),-1,1)*S1233,0)+IF(AND(AE1233&lt;&gt;"",COUNTIFS(tcTipo,AE1233,tcLiq,"Sí")&gt;0),S1233,0))</f>
        <v/>
      </c>
      <c r="AI1233" s="52">
        <f>IF(OR(L1233="",P1233=""),"",IF(COUNTIFS(L$6:L1233,L1233,P$6:P1233,"?*")=1,MAX(AI$5:AI1232)+1,""))</f>
        <v/>
      </c>
    </row>
    <row r="1234">
      <c r="B1234" s="47" t="n"/>
      <c r="C1234" s="48" t="n"/>
      <c r="D1234" s="48" t="n"/>
      <c r="E1234" s="48" t="n"/>
      <c r="F1234" s="48" t="n"/>
      <c r="G1234" s="49" t="n"/>
      <c r="H1234" s="48" t="n"/>
      <c r="I1234" s="50" t="n"/>
      <c r="J1234" s="48" t="n"/>
      <c r="K1234" s="48" t="n"/>
      <c r="L1234" s="48" t="n"/>
      <c r="M1234" s="48" t="n"/>
      <c r="N1234" s="48" t="n"/>
      <c r="O1234" s="51">
        <f>IF(AND(B1234="",G1234="",C1234="",D1234="",J1234=""),"",IF(B1234="","⚠ Falta fecha",IF(G1234="","⚠ Falta monto",IF(Q1234="","⚠ Falta cuenta",IF(ISNA(MATCH(Q1234,ctaNombre,0)),"⚠ Cuenta no registrada",IF(AND(OR(P1234="Gasto",P1234="Reembolso"),D1234=""),"⚠ Falta categoría",IF(AND(D1234&lt;&gt;"",E1234&lt;&gt;"",ISNA(MATCH(D1234&amp;"|"&amp;E1234,catClave,0))),"⚠ Subcategoría no corresponde",IF(AND(OR(P1234="Transferencia",P1234="Pago tarjeta"),K1234=""),"⚠ Falta cuenta destino",IF(AND(K1234&lt;&gt;"",P1234&lt;&gt;"Transferencia",P1234&lt;&gt;"Pago tarjeta"),"⚠ Destino solo aplica a transferencias",IF(AND(K1234&lt;&gt;"",K1234=Q1234),"⚠ Origen igual a destino",IF(AND(K1234&lt;&gt;"",ISNA(MATCH(K1234,ctaNombre,0))),"⚠ Destino no registrado",IF(AND(P1234="Pago tarjeta",AE1234&lt;&gt;"Tarjeta de crédito"),"⚠ El destino debe ser tarjeta de crédito",IF(AND(P1234="Gasto",E1234="Depósitos y retiros"),"⚠ Usa tipo Transferencia",IF(AND(P1234="Resultado trading",AD1234&lt;&gt;"Cuenta de trading"),"⚠ Usa una cuenta de trading",IF(AND(G1234&lt;=0,P1234&lt;&gt;"Ajuste",P1234&lt;&gt;"Resultado trading"),"⚠ El monto debe ser positivo","✓")))))))))))))))</f>
        <v/>
      </c>
      <c r="P1234" s="52">
        <f>IF(OR(B1234="",G1234=""),"",IF(C1234="","Gasto",C1234))</f>
        <v/>
      </c>
      <c r="Q1234" s="52">
        <f>IF(P1234="","",IF(J1234&lt;&gt;"",J1234,CuentaPred&amp;""))</f>
        <v/>
      </c>
      <c r="R1234" s="52">
        <f>IF(P1234="","",IF(ISNUMBER(I1234),I1234,TasaUSD))</f>
        <v/>
      </c>
      <c r="S1234" s="53">
        <f>IF(P1234="","",IF(H1234="USD",G1234*R1234,G1234))</f>
        <v/>
      </c>
      <c r="T1234" s="53">
        <f>IF(P1234="","",IF(H1234="USD",G1234,IF(R1234&gt;0,G1234/R1234,0)))</f>
        <v/>
      </c>
      <c r="U1234" s="53">
        <f>IF(P1234="","",IF(P1234="Gasto",S1234,IF(P1234="Reembolso",-S1234,0)))</f>
        <v/>
      </c>
      <c r="V1234" s="53">
        <f>IF(P1234="","",IF(P1234="Ingreso",S1234,0))</f>
        <v/>
      </c>
      <c r="W1234" s="53">
        <f>IF(P1234="","",IF(P1234="Resultado trading",S1234,0))</f>
        <v/>
      </c>
      <c r="X1234" s="52">
        <f>IF(OR(P1234="Gasto",P1234="Reembolso"),IF(M1234&lt;&gt;"",M1234,IFERROR(INDEX(catClasif,MATCH(D1234&amp;"|"&amp;E1234,catClave,0))&amp;"","Variable")),"")</f>
        <v/>
      </c>
      <c r="Y1234" s="52">
        <f>IF(P1234="","",IFERROR(INDEX(catGrupo,MATCH(D1234&amp;"|"&amp;E1234,catClave,0))&amp;"",""))</f>
        <v/>
      </c>
      <c r="Z1234" s="52">
        <f>IF(P1234="","",WEEKDAY(B1234,2))</f>
        <v/>
      </c>
      <c r="AA1234" s="52">
        <f>IF(P1234="","",IF(AND(P1234="Gasto",X1234="Variable",D1234&lt;&gt;catTrading,S1234&gt;0,S1234&lt;=Umbral),1,0))</f>
        <v/>
      </c>
      <c r="AB1234" s="52">
        <f>IF(OR(P1234="",Q1234=""),"",IFERROR(IF(INDEX(ctaVinc,MATCH(Q1234,ctaNombre,0))&amp;""&lt;&gt;"",INDEX(ctaVinc,MATCH(Q1234,ctaNombre,0))&amp;"",Q1234),Q1234))</f>
        <v/>
      </c>
      <c r="AC1234" s="52">
        <f>IF(OR(K1234="",AND(P1234&lt;&gt;"Transferencia",P1234&lt;&gt;"Pago tarjeta")),"",IFERROR(IF(INDEX(ctaVinc,MATCH(K1234,ctaNombre,0))&amp;""&lt;&gt;"",INDEX(ctaVinc,MATCH(K1234,ctaNombre,0))&amp;"",K1234),K1234))</f>
        <v/>
      </c>
      <c r="AD1234" s="52">
        <f>IF(AB1234="","",IFERROR(INDEX(ctaTipo,MATCH(AB1234,ctaNombre,0))&amp;"",""))</f>
        <v/>
      </c>
      <c r="AE1234" s="52">
        <f>IF(AC1234="","",IFERROR(INDEX(ctaTipo,MATCH(AC1234,ctaNombre,0))&amp;"",""))</f>
        <v/>
      </c>
      <c r="AF1234" s="53">
        <f>IF(OR(P1234="",AB1234=""),"",IF(OR(P1234="Gasto",P1234="Transferencia",P1234="Pago tarjeta"),-1,1)*IF(IFERROR(INDEX(ctaMoneda,MATCH(AB1234,ctaNombre,0))&amp;"","DOP")="USD",T1234,S1234))</f>
        <v/>
      </c>
      <c r="AG1234" s="53">
        <f>IF(AC1234="","",IF(IFERROR(INDEX(ctaMoneda,MATCH(AC1234,ctaNombre,0))&amp;"","DOP")="USD",T1234,S1234))</f>
        <v/>
      </c>
      <c r="AH1234" s="53">
        <f>IF(P1234="","",IF(AND(AD1234&lt;&gt;"",COUNTIFS(tcTipo,AD1234,tcLiq,"Sí")&gt;0),IF(OR(P1234="Gasto",P1234="Transferencia",P1234="Pago tarjeta"),-1,1)*S1234,0)+IF(AND(AE1234&lt;&gt;"",COUNTIFS(tcTipo,AE1234,tcLiq,"Sí")&gt;0),S1234,0))</f>
        <v/>
      </c>
      <c r="AI1234" s="52">
        <f>IF(OR(L1234="",P1234=""),"",IF(COUNTIFS(L$6:L1234,L1234,P$6:P1234,"?*")=1,MAX(AI$5:AI1233)+1,""))</f>
        <v/>
      </c>
    </row>
    <row r="1235">
      <c r="B1235" s="47" t="n"/>
      <c r="C1235" s="48" t="n"/>
      <c r="D1235" s="48" t="n"/>
      <c r="E1235" s="48" t="n"/>
      <c r="F1235" s="48" t="n"/>
      <c r="G1235" s="49" t="n"/>
      <c r="H1235" s="48" t="n"/>
      <c r="I1235" s="50" t="n"/>
      <c r="J1235" s="48" t="n"/>
      <c r="K1235" s="48" t="n"/>
      <c r="L1235" s="48" t="n"/>
      <c r="M1235" s="48" t="n"/>
      <c r="N1235" s="48" t="n"/>
      <c r="O1235" s="51">
        <f>IF(AND(B1235="",G1235="",C1235="",D1235="",J1235=""),"",IF(B1235="","⚠ Falta fecha",IF(G1235="","⚠ Falta monto",IF(Q1235="","⚠ Falta cuenta",IF(ISNA(MATCH(Q1235,ctaNombre,0)),"⚠ Cuenta no registrada",IF(AND(OR(P1235="Gasto",P1235="Reembolso"),D1235=""),"⚠ Falta categoría",IF(AND(D1235&lt;&gt;"",E1235&lt;&gt;"",ISNA(MATCH(D1235&amp;"|"&amp;E1235,catClave,0))),"⚠ Subcategoría no corresponde",IF(AND(OR(P1235="Transferencia",P1235="Pago tarjeta"),K1235=""),"⚠ Falta cuenta destino",IF(AND(K1235&lt;&gt;"",P1235&lt;&gt;"Transferencia",P1235&lt;&gt;"Pago tarjeta"),"⚠ Destino solo aplica a transferencias",IF(AND(K1235&lt;&gt;"",K1235=Q1235),"⚠ Origen igual a destino",IF(AND(K1235&lt;&gt;"",ISNA(MATCH(K1235,ctaNombre,0))),"⚠ Destino no registrado",IF(AND(P1235="Pago tarjeta",AE1235&lt;&gt;"Tarjeta de crédito"),"⚠ El destino debe ser tarjeta de crédito",IF(AND(P1235="Gasto",E1235="Depósitos y retiros"),"⚠ Usa tipo Transferencia",IF(AND(P1235="Resultado trading",AD1235&lt;&gt;"Cuenta de trading"),"⚠ Usa una cuenta de trading",IF(AND(G1235&lt;=0,P1235&lt;&gt;"Ajuste",P1235&lt;&gt;"Resultado trading"),"⚠ El monto debe ser positivo","✓")))))))))))))))</f>
        <v/>
      </c>
      <c r="P1235" s="52">
        <f>IF(OR(B1235="",G1235=""),"",IF(C1235="","Gasto",C1235))</f>
        <v/>
      </c>
      <c r="Q1235" s="52">
        <f>IF(P1235="","",IF(J1235&lt;&gt;"",J1235,CuentaPred&amp;""))</f>
        <v/>
      </c>
      <c r="R1235" s="52">
        <f>IF(P1235="","",IF(ISNUMBER(I1235),I1235,TasaUSD))</f>
        <v/>
      </c>
      <c r="S1235" s="53">
        <f>IF(P1235="","",IF(H1235="USD",G1235*R1235,G1235))</f>
        <v/>
      </c>
      <c r="T1235" s="53">
        <f>IF(P1235="","",IF(H1235="USD",G1235,IF(R1235&gt;0,G1235/R1235,0)))</f>
        <v/>
      </c>
      <c r="U1235" s="53">
        <f>IF(P1235="","",IF(P1235="Gasto",S1235,IF(P1235="Reembolso",-S1235,0)))</f>
        <v/>
      </c>
      <c r="V1235" s="53">
        <f>IF(P1235="","",IF(P1235="Ingreso",S1235,0))</f>
        <v/>
      </c>
      <c r="W1235" s="53">
        <f>IF(P1235="","",IF(P1235="Resultado trading",S1235,0))</f>
        <v/>
      </c>
      <c r="X1235" s="52">
        <f>IF(OR(P1235="Gasto",P1235="Reembolso"),IF(M1235&lt;&gt;"",M1235,IFERROR(INDEX(catClasif,MATCH(D1235&amp;"|"&amp;E1235,catClave,0))&amp;"","Variable")),"")</f>
        <v/>
      </c>
      <c r="Y1235" s="52">
        <f>IF(P1235="","",IFERROR(INDEX(catGrupo,MATCH(D1235&amp;"|"&amp;E1235,catClave,0))&amp;"",""))</f>
        <v/>
      </c>
      <c r="Z1235" s="52">
        <f>IF(P1235="","",WEEKDAY(B1235,2))</f>
        <v/>
      </c>
      <c r="AA1235" s="52">
        <f>IF(P1235="","",IF(AND(P1235="Gasto",X1235="Variable",D1235&lt;&gt;catTrading,S1235&gt;0,S1235&lt;=Umbral),1,0))</f>
        <v/>
      </c>
      <c r="AB1235" s="52">
        <f>IF(OR(P1235="",Q1235=""),"",IFERROR(IF(INDEX(ctaVinc,MATCH(Q1235,ctaNombre,0))&amp;""&lt;&gt;"",INDEX(ctaVinc,MATCH(Q1235,ctaNombre,0))&amp;"",Q1235),Q1235))</f>
        <v/>
      </c>
      <c r="AC1235" s="52">
        <f>IF(OR(K1235="",AND(P1235&lt;&gt;"Transferencia",P1235&lt;&gt;"Pago tarjeta")),"",IFERROR(IF(INDEX(ctaVinc,MATCH(K1235,ctaNombre,0))&amp;""&lt;&gt;"",INDEX(ctaVinc,MATCH(K1235,ctaNombre,0))&amp;"",K1235),K1235))</f>
        <v/>
      </c>
      <c r="AD1235" s="52">
        <f>IF(AB1235="","",IFERROR(INDEX(ctaTipo,MATCH(AB1235,ctaNombre,0))&amp;"",""))</f>
        <v/>
      </c>
      <c r="AE1235" s="52">
        <f>IF(AC1235="","",IFERROR(INDEX(ctaTipo,MATCH(AC1235,ctaNombre,0))&amp;"",""))</f>
        <v/>
      </c>
      <c r="AF1235" s="53">
        <f>IF(OR(P1235="",AB1235=""),"",IF(OR(P1235="Gasto",P1235="Transferencia",P1235="Pago tarjeta"),-1,1)*IF(IFERROR(INDEX(ctaMoneda,MATCH(AB1235,ctaNombre,0))&amp;"","DOP")="USD",T1235,S1235))</f>
        <v/>
      </c>
      <c r="AG1235" s="53">
        <f>IF(AC1235="","",IF(IFERROR(INDEX(ctaMoneda,MATCH(AC1235,ctaNombre,0))&amp;"","DOP")="USD",T1235,S1235))</f>
        <v/>
      </c>
      <c r="AH1235" s="53">
        <f>IF(P1235="","",IF(AND(AD1235&lt;&gt;"",COUNTIFS(tcTipo,AD1235,tcLiq,"Sí")&gt;0),IF(OR(P1235="Gasto",P1235="Transferencia",P1235="Pago tarjeta"),-1,1)*S1235,0)+IF(AND(AE1235&lt;&gt;"",COUNTIFS(tcTipo,AE1235,tcLiq,"Sí")&gt;0),S1235,0))</f>
        <v/>
      </c>
      <c r="AI1235" s="52">
        <f>IF(OR(L1235="",P1235=""),"",IF(COUNTIFS(L$6:L1235,L1235,P$6:P1235,"?*")=1,MAX(AI$5:AI1234)+1,""))</f>
        <v/>
      </c>
    </row>
    <row r="1236">
      <c r="B1236" s="47" t="n"/>
      <c r="C1236" s="48" t="n"/>
      <c r="D1236" s="48" t="n"/>
      <c r="E1236" s="48" t="n"/>
      <c r="F1236" s="48" t="n"/>
      <c r="G1236" s="49" t="n"/>
      <c r="H1236" s="48" t="n"/>
      <c r="I1236" s="50" t="n"/>
      <c r="J1236" s="48" t="n"/>
      <c r="K1236" s="48" t="n"/>
      <c r="L1236" s="48" t="n"/>
      <c r="M1236" s="48" t="n"/>
      <c r="N1236" s="48" t="n"/>
      <c r="O1236" s="51">
        <f>IF(AND(B1236="",G1236="",C1236="",D1236="",J1236=""),"",IF(B1236="","⚠ Falta fecha",IF(G1236="","⚠ Falta monto",IF(Q1236="","⚠ Falta cuenta",IF(ISNA(MATCH(Q1236,ctaNombre,0)),"⚠ Cuenta no registrada",IF(AND(OR(P1236="Gasto",P1236="Reembolso"),D1236=""),"⚠ Falta categoría",IF(AND(D1236&lt;&gt;"",E1236&lt;&gt;"",ISNA(MATCH(D1236&amp;"|"&amp;E1236,catClave,0))),"⚠ Subcategoría no corresponde",IF(AND(OR(P1236="Transferencia",P1236="Pago tarjeta"),K1236=""),"⚠ Falta cuenta destino",IF(AND(K1236&lt;&gt;"",P1236&lt;&gt;"Transferencia",P1236&lt;&gt;"Pago tarjeta"),"⚠ Destino solo aplica a transferencias",IF(AND(K1236&lt;&gt;"",K1236=Q1236),"⚠ Origen igual a destino",IF(AND(K1236&lt;&gt;"",ISNA(MATCH(K1236,ctaNombre,0))),"⚠ Destino no registrado",IF(AND(P1236="Pago tarjeta",AE1236&lt;&gt;"Tarjeta de crédito"),"⚠ El destino debe ser tarjeta de crédito",IF(AND(P1236="Gasto",E1236="Depósitos y retiros"),"⚠ Usa tipo Transferencia",IF(AND(P1236="Resultado trading",AD1236&lt;&gt;"Cuenta de trading"),"⚠ Usa una cuenta de trading",IF(AND(G1236&lt;=0,P1236&lt;&gt;"Ajuste",P1236&lt;&gt;"Resultado trading"),"⚠ El monto debe ser positivo","✓")))))))))))))))</f>
        <v/>
      </c>
      <c r="P1236" s="52">
        <f>IF(OR(B1236="",G1236=""),"",IF(C1236="","Gasto",C1236))</f>
        <v/>
      </c>
      <c r="Q1236" s="52">
        <f>IF(P1236="","",IF(J1236&lt;&gt;"",J1236,CuentaPred&amp;""))</f>
        <v/>
      </c>
      <c r="R1236" s="52">
        <f>IF(P1236="","",IF(ISNUMBER(I1236),I1236,TasaUSD))</f>
        <v/>
      </c>
      <c r="S1236" s="53">
        <f>IF(P1236="","",IF(H1236="USD",G1236*R1236,G1236))</f>
        <v/>
      </c>
      <c r="T1236" s="53">
        <f>IF(P1236="","",IF(H1236="USD",G1236,IF(R1236&gt;0,G1236/R1236,0)))</f>
        <v/>
      </c>
      <c r="U1236" s="53">
        <f>IF(P1236="","",IF(P1236="Gasto",S1236,IF(P1236="Reembolso",-S1236,0)))</f>
        <v/>
      </c>
      <c r="V1236" s="53">
        <f>IF(P1236="","",IF(P1236="Ingreso",S1236,0))</f>
        <v/>
      </c>
      <c r="W1236" s="53">
        <f>IF(P1236="","",IF(P1236="Resultado trading",S1236,0))</f>
        <v/>
      </c>
      <c r="X1236" s="52">
        <f>IF(OR(P1236="Gasto",P1236="Reembolso"),IF(M1236&lt;&gt;"",M1236,IFERROR(INDEX(catClasif,MATCH(D1236&amp;"|"&amp;E1236,catClave,0))&amp;"","Variable")),"")</f>
        <v/>
      </c>
      <c r="Y1236" s="52">
        <f>IF(P1236="","",IFERROR(INDEX(catGrupo,MATCH(D1236&amp;"|"&amp;E1236,catClave,0))&amp;"",""))</f>
        <v/>
      </c>
      <c r="Z1236" s="52">
        <f>IF(P1236="","",WEEKDAY(B1236,2))</f>
        <v/>
      </c>
      <c r="AA1236" s="52">
        <f>IF(P1236="","",IF(AND(P1236="Gasto",X1236="Variable",D1236&lt;&gt;catTrading,S1236&gt;0,S1236&lt;=Umbral),1,0))</f>
        <v/>
      </c>
      <c r="AB1236" s="52">
        <f>IF(OR(P1236="",Q1236=""),"",IFERROR(IF(INDEX(ctaVinc,MATCH(Q1236,ctaNombre,0))&amp;""&lt;&gt;"",INDEX(ctaVinc,MATCH(Q1236,ctaNombre,0))&amp;"",Q1236),Q1236))</f>
        <v/>
      </c>
      <c r="AC1236" s="52">
        <f>IF(OR(K1236="",AND(P1236&lt;&gt;"Transferencia",P1236&lt;&gt;"Pago tarjeta")),"",IFERROR(IF(INDEX(ctaVinc,MATCH(K1236,ctaNombre,0))&amp;""&lt;&gt;"",INDEX(ctaVinc,MATCH(K1236,ctaNombre,0))&amp;"",K1236),K1236))</f>
        <v/>
      </c>
      <c r="AD1236" s="52">
        <f>IF(AB1236="","",IFERROR(INDEX(ctaTipo,MATCH(AB1236,ctaNombre,0))&amp;"",""))</f>
        <v/>
      </c>
      <c r="AE1236" s="52">
        <f>IF(AC1236="","",IFERROR(INDEX(ctaTipo,MATCH(AC1236,ctaNombre,0))&amp;"",""))</f>
        <v/>
      </c>
      <c r="AF1236" s="53">
        <f>IF(OR(P1236="",AB1236=""),"",IF(OR(P1236="Gasto",P1236="Transferencia",P1236="Pago tarjeta"),-1,1)*IF(IFERROR(INDEX(ctaMoneda,MATCH(AB1236,ctaNombre,0))&amp;"","DOP")="USD",T1236,S1236))</f>
        <v/>
      </c>
      <c r="AG1236" s="53">
        <f>IF(AC1236="","",IF(IFERROR(INDEX(ctaMoneda,MATCH(AC1236,ctaNombre,0))&amp;"","DOP")="USD",T1236,S1236))</f>
        <v/>
      </c>
      <c r="AH1236" s="53">
        <f>IF(P1236="","",IF(AND(AD1236&lt;&gt;"",COUNTIFS(tcTipo,AD1236,tcLiq,"Sí")&gt;0),IF(OR(P1236="Gasto",P1236="Transferencia",P1236="Pago tarjeta"),-1,1)*S1236,0)+IF(AND(AE1236&lt;&gt;"",COUNTIFS(tcTipo,AE1236,tcLiq,"Sí")&gt;0),S1236,0))</f>
        <v/>
      </c>
      <c r="AI1236" s="52">
        <f>IF(OR(L1236="",P1236=""),"",IF(COUNTIFS(L$6:L1236,L1236,P$6:P1236,"?*")=1,MAX(AI$5:AI1235)+1,""))</f>
        <v/>
      </c>
    </row>
    <row r="1237">
      <c r="B1237" s="47" t="n"/>
      <c r="C1237" s="48" t="n"/>
      <c r="D1237" s="48" t="n"/>
      <c r="E1237" s="48" t="n"/>
      <c r="F1237" s="48" t="n"/>
      <c r="G1237" s="49" t="n"/>
      <c r="H1237" s="48" t="n"/>
      <c r="I1237" s="50" t="n"/>
      <c r="J1237" s="48" t="n"/>
      <c r="K1237" s="48" t="n"/>
      <c r="L1237" s="48" t="n"/>
      <c r="M1237" s="48" t="n"/>
      <c r="N1237" s="48" t="n"/>
      <c r="O1237" s="51">
        <f>IF(AND(B1237="",G1237="",C1237="",D1237="",J1237=""),"",IF(B1237="","⚠ Falta fecha",IF(G1237="","⚠ Falta monto",IF(Q1237="","⚠ Falta cuenta",IF(ISNA(MATCH(Q1237,ctaNombre,0)),"⚠ Cuenta no registrada",IF(AND(OR(P1237="Gasto",P1237="Reembolso"),D1237=""),"⚠ Falta categoría",IF(AND(D1237&lt;&gt;"",E1237&lt;&gt;"",ISNA(MATCH(D1237&amp;"|"&amp;E1237,catClave,0))),"⚠ Subcategoría no corresponde",IF(AND(OR(P1237="Transferencia",P1237="Pago tarjeta"),K1237=""),"⚠ Falta cuenta destino",IF(AND(K1237&lt;&gt;"",P1237&lt;&gt;"Transferencia",P1237&lt;&gt;"Pago tarjeta"),"⚠ Destino solo aplica a transferencias",IF(AND(K1237&lt;&gt;"",K1237=Q1237),"⚠ Origen igual a destino",IF(AND(K1237&lt;&gt;"",ISNA(MATCH(K1237,ctaNombre,0))),"⚠ Destino no registrado",IF(AND(P1237="Pago tarjeta",AE1237&lt;&gt;"Tarjeta de crédito"),"⚠ El destino debe ser tarjeta de crédito",IF(AND(P1237="Gasto",E1237="Depósitos y retiros"),"⚠ Usa tipo Transferencia",IF(AND(P1237="Resultado trading",AD1237&lt;&gt;"Cuenta de trading"),"⚠ Usa una cuenta de trading",IF(AND(G1237&lt;=0,P1237&lt;&gt;"Ajuste",P1237&lt;&gt;"Resultado trading"),"⚠ El monto debe ser positivo","✓")))))))))))))))</f>
        <v/>
      </c>
      <c r="P1237" s="52">
        <f>IF(OR(B1237="",G1237=""),"",IF(C1237="","Gasto",C1237))</f>
        <v/>
      </c>
      <c r="Q1237" s="52">
        <f>IF(P1237="","",IF(J1237&lt;&gt;"",J1237,CuentaPred&amp;""))</f>
        <v/>
      </c>
      <c r="R1237" s="52">
        <f>IF(P1237="","",IF(ISNUMBER(I1237),I1237,TasaUSD))</f>
        <v/>
      </c>
      <c r="S1237" s="53">
        <f>IF(P1237="","",IF(H1237="USD",G1237*R1237,G1237))</f>
        <v/>
      </c>
      <c r="T1237" s="53">
        <f>IF(P1237="","",IF(H1237="USD",G1237,IF(R1237&gt;0,G1237/R1237,0)))</f>
        <v/>
      </c>
      <c r="U1237" s="53">
        <f>IF(P1237="","",IF(P1237="Gasto",S1237,IF(P1237="Reembolso",-S1237,0)))</f>
        <v/>
      </c>
      <c r="V1237" s="53">
        <f>IF(P1237="","",IF(P1237="Ingreso",S1237,0))</f>
        <v/>
      </c>
      <c r="W1237" s="53">
        <f>IF(P1237="","",IF(P1237="Resultado trading",S1237,0))</f>
        <v/>
      </c>
      <c r="X1237" s="52">
        <f>IF(OR(P1237="Gasto",P1237="Reembolso"),IF(M1237&lt;&gt;"",M1237,IFERROR(INDEX(catClasif,MATCH(D1237&amp;"|"&amp;E1237,catClave,0))&amp;"","Variable")),"")</f>
        <v/>
      </c>
      <c r="Y1237" s="52">
        <f>IF(P1237="","",IFERROR(INDEX(catGrupo,MATCH(D1237&amp;"|"&amp;E1237,catClave,0))&amp;"",""))</f>
        <v/>
      </c>
      <c r="Z1237" s="52">
        <f>IF(P1237="","",WEEKDAY(B1237,2))</f>
        <v/>
      </c>
      <c r="AA1237" s="52">
        <f>IF(P1237="","",IF(AND(P1237="Gasto",X1237="Variable",D1237&lt;&gt;catTrading,S1237&gt;0,S1237&lt;=Umbral),1,0))</f>
        <v/>
      </c>
      <c r="AB1237" s="52">
        <f>IF(OR(P1237="",Q1237=""),"",IFERROR(IF(INDEX(ctaVinc,MATCH(Q1237,ctaNombre,0))&amp;""&lt;&gt;"",INDEX(ctaVinc,MATCH(Q1237,ctaNombre,0))&amp;"",Q1237),Q1237))</f>
        <v/>
      </c>
      <c r="AC1237" s="52">
        <f>IF(OR(K1237="",AND(P1237&lt;&gt;"Transferencia",P1237&lt;&gt;"Pago tarjeta")),"",IFERROR(IF(INDEX(ctaVinc,MATCH(K1237,ctaNombre,0))&amp;""&lt;&gt;"",INDEX(ctaVinc,MATCH(K1237,ctaNombre,0))&amp;"",K1237),K1237))</f>
        <v/>
      </c>
      <c r="AD1237" s="52">
        <f>IF(AB1237="","",IFERROR(INDEX(ctaTipo,MATCH(AB1237,ctaNombre,0))&amp;"",""))</f>
        <v/>
      </c>
      <c r="AE1237" s="52">
        <f>IF(AC1237="","",IFERROR(INDEX(ctaTipo,MATCH(AC1237,ctaNombre,0))&amp;"",""))</f>
        <v/>
      </c>
      <c r="AF1237" s="53">
        <f>IF(OR(P1237="",AB1237=""),"",IF(OR(P1237="Gasto",P1237="Transferencia",P1237="Pago tarjeta"),-1,1)*IF(IFERROR(INDEX(ctaMoneda,MATCH(AB1237,ctaNombre,0))&amp;"","DOP")="USD",T1237,S1237))</f>
        <v/>
      </c>
      <c r="AG1237" s="53">
        <f>IF(AC1237="","",IF(IFERROR(INDEX(ctaMoneda,MATCH(AC1237,ctaNombre,0))&amp;"","DOP")="USD",T1237,S1237))</f>
        <v/>
      </c>
      <c r="AH1237" s="53">
        <f>IF(P1237="","",IF(AND(AD1237&lt;&gt;"",COUNTIFS(tcTipo,AD1237,tcLiq,"Sí")&gt;0),IF(OR(P1237="Gasto",P1237="Transferencia",P1237="Pago tarjeta"),-1,1)*S1237,0)+IF(AND(AE1237&lt;&gt;"",COUNTIFS(tcTipo,AE1237,tcLiq,"Sí")&gt;0),S1237,0))</f>
        <v/>
      </c>
      <c r="AI1237" s="52">
        <f>IF(OR(L1237="",P1237=""),"",IF(COUNTIFS(L$6:L1237,L1237,P$6:P1237,"?*")=1,MAX(AI$5:AI1236)+1,""))</f>
        <v/>
      </c>
    </row>
    <row r="1238">
      <c r="B1238" s="47" t="n"/>
      <c r="C1238" s="48" t="n"/>
      <c r="D1238" s="48" t="n"/>
      <c r="E1238" s="48" t="n"/>
      <c r="F1238" s="48" t="n"/>
      <c r="G1238" s="49" t="n"/>
      <c r="H1238" s="48" t="n"/>
      <c r="I1238" s="50" t="n"/>
      <c r="J1238" s="48" t="n"/>
      <c r="K1238" s="48" t="n"/>
      <c r="L1238" s="48" t="n"/>
      <c r="M1238" s="48" t="n"/>
      <c r="N1238" s="48" t="n"/>
      <c r="O1238" s="51">
        <f>IF(AND(B1238="",G1238="",C1238="",D1238="",J1238=""),"",IF(B1238="","⚠ Falta fecha",IF(G1238="","⚠ Falta monto",IF(Q1238="","⚠ Falta cuenta",IF(ISNA(MATCH(Q1238,ctaNombre,0)),"⚠ Cuenta no registrada",IF(AND(OR(P1238="Gasto",P1238="Reembolso"),D1238=""),"⚠ Falta categoría",IF(AND(D1238&lt;&gt;"",E1238&lt;&gt;"",ISNA(MATCH(D1238&amp;"|"&amp;E1238,catClave,0))),"⚠ Subcategoría no corresponde",IF(AND(OR(P1238="Transferencia",P1238="Pago tarjeta"),K1238=""),"⚠ Falta cuenta destino",IF(AND(K1238&lt;&gt;"",P1238&lt;&gt;"Transferencia",P1238&lt;&gt;"Pago tarjeta"),"⚠ Destino solo aplica a transferencias",IF(AND(K1238&lt;&gt;"",K1238=Q1238),"⚠ Origen igual a destino",IF(AND(K1238&lt;&gt;"",ISNA(MATCH(K1238,ctaNombre,0))),"⚠ Destino no registrado",IF(AND(P1238="Pago tarjeta",AE1238&lt;&gt;"Tarjeta de crédito"),"⚠ El destino debe ser tarjeta de crédito",IF(AND(P1238="Gasto",E1238="Depósitos y retiros"),"⚠ Usa tipo Transferencia",IF(AND(P1238="Resultado trading",AD1238&lt;&gt;"Cuenta de trading"),"⚠ Usa una cuenta de trading",IF(AND(G1238&lt;=0,P1238&lt;&gt;"Ajuste",P1238&lt;&gt;"Resultado trading"),"⚠ El monto debe ser positivo","✓")))))))))))))))</f>
        <v/>
      </c>
      <c r="P1238" s="52">
        <f>IF(OR(B1238="",G1238=""),"",IF(C1238="","Gasto",C1238))</f>
        <v/>
      </c>
      <c r="Q1238" s="52">
        <f>IF(P1238="","",IF(J1238&lt;&gt;"",J1238,CuentaPred&amp;""))</f>
        <v/>
      </c>
      <c r="R1238" s="52">
        <f>IF(P1238="","",IF(ISNUMBER(I1238),I1238,TasaUSD))</f>
        <v/>
      </c>
      <c r="S1238" s="53">
        <f>IF(P1238="","",IF(H1238="USD",G1238*R1238,G1238))</f>
        <v/>
      </c>
      <c r="T1238" s="53">
        <f>IF(P1238="","",IF(H1238="USD",G1238,IF(R1238&gt;0,G1238/R1238,0)))</f>
        <v/>
      </c>
      <c r="U1238" s="53">
        <f>IF(P1238="","",IF(P1238="Gasto",S1238,IF(P1238="Reembolso",-S1238,0)))</f>
        <v/>
      </c>
      <c r="V1238" s="53">
        <f>IF(P1238="","",IF(P1238="Ingreso",S1238,0))</f>
        <v/>
      </c>
      <c r="W1238" s="53">
        <f>IF(P1238="","",IF(P1238="Resultado trading",S1238,0))</f>
        <v/>
      </c>
      <c r="X1238" s="52">
        <f>IF(OR(P1238="Gasto",P1238="Reembolso"),IF(M1238&lt;&gt;"",M1238,IFERROR(INDEX(catClasif,MATCH(D1238&amp;"|"&amp;E1238,catClave,0))&amp;"","Variable")),"")</f>
        <v/>
      </c>
      <c r="Y1238" s="52">
        <f>IF(P1238="","",IFERROR(INDEX(catGrupo,MATCH(D1238&amp;"|"&amp;E1238,catClave,0))&amp;"",""))</f>
        <v/>
      </c>
      <c r="Z1238" s="52">
        <f>IF(P1238="","",WEEKDAY(B1238,2))</f>
        <v/>
      </c>
      <c r="AA1238" s="52">
        <f>IF(P1238="","",IF(AND(P1238="Gasto",X1238="Variable",D1238&lt;&gt;catTrading,S1238&gt;0,S1238&lt;=Umbral),1,0))</f>
        <v/>
      </c>
      <c r="AB1238" s="52">
        <f>IF(OR(P1238="",Q1238=""),"",IFERROR(IF(INDEX(ctaVinc,MATCH(Q1238,ctaNombre,0))&amp;""&lt;&gt;"",INDEX(ctaVinc,MATCH(Q1238,ctaNombre,0))&amp;"",Q1238),Q1238))</f>
        <v/>
      </c>
      <c r="AC1238" s="52">
        <f>IF(OR(K1238="",AND(P1238&lt;&gt;"Transferencia",P1238&lt;&gt;"Pago tarjeta")),"",IFERROR(IF(INDEX(ctaVinc,MATCH(K1238,ctaNombre,0))&amp;""&lt;&gt;"",INDEX(ctaVinc,MATCH(K1238,ctaNombre,0))&amp;"",K1238),K1238))</f>
        <v/>
      </c>
      <c r="AD1238" s="52">
        <f>IF(AB1238="","",IFERROR(INDEX(ctaTipo,MATCH(AB1238,ctaNombre,0))&amp;"",""))</f>
        <v/>
      </c>
      <c r="AE1238" s="52">
        <f>IF(AC1238="","",IFERROR(INDEX(ctaTipo,MATCH(AC1238,ctaNombre,0))&amp;"",""))</f>
        <v/>
      </c>
      <c r="AF1238" s="53">
        <f>IF(OR(P1238="",AB1238=""),"",IF(OR(P1238="Gasto",P1238="Transferencia",P1238="Pago tarjeta"),-1,1)*IF(IFERROR(INDEX(ctaMoneda,MATCH(AB1238,ctaNombre,0))&amp;"","DOP")="USD",T1238,S1238))</f>
        <v/>
      </c>
      <c r="AG1238" s="53">
        <f>IF(AC1238="","",IF(IFERROR(INDEX(ctaMoneda,MATCH(AC1238,ctaNombre,0))&amp;"","DOP")="USD",T1238,S1238))</f>
        <v/>
      </c>
      <c r="AH1238" s="53">
        <f>IF(P1238="","",IF(AND(AD1238&lt;&gt;"",COUNTIFS(tcTipo,AD1238,tcLiq,"Sí")&gt;0),IF(OR(P1238="Gasto",P1238="Transferencia",P1238="Pago tarjeta"),-1,1)*S1238,0)+IF(AND(AE1238&lt;&gt;"",COUNTIFS(tcTipo,AE1238,tcLiq,"Sí")&gt;0),S1238,0))</f>
        <v/>
      </c>
      <c r="AI1238" s="52">
        <f>IF(OR(L1238="",P1238=""),"",IF(COUNTIFS(L$6:L1238,L1238,P$6:P1238,"?*")=1,MAX(AI$5:AI1237)+1,""))</f>
        <v/>
      </c>
    </row>
    <row r="1239">
      <c r="B1239" s="47" t="n"/>
      <c r="C1239" s="48" t="n"/>
      <c r="D1239" s="48" t="n"/>
      <c r="E1239" s="48" t="n"/>
      <c r="F1239" s="48" t="n"/>
      <c r="G1239" s="49" t="n"/>
      <c r="H1239" s="48" t="n"/>
      <c r="I1239" s="50" t="n"/>
      <c r="J1239" s="48" t="n"/>
      <c r="K1239" s="48" t="n"/>
      <c r="L1239" s="48" t="n"/>
      <c r="M1239" s="48" t="n"/>
      <c r="N1239" s="48" t="n"/>
      <c r="O1239" s="51">
        <f>IF(AND(B1239="",G1239="",C1239="",D1239="",J1239=""),"",IF(B1239="","⚠ Falta fecha",IF(G1239="","⚠ Falta monto",IF(Q1239="","⚠ Falta cuenta",IF(ISNA(MATCH(Q1239,ctaNombre,0)),"⚠ Cuenta no registrada",IF(AND(OR(P1239="Gasto",P1239="Reembolso"),D1239=""),"⚠ Falta categoría",IF(AND(D1239&lt;&gt;"",E1239&lt;&gt;"",ISNA(MATCH(D1239&amp;"|"&amp;E1239,catClave,0))),"⚠ Subcategoría no corresponde",IF(AND(OR(P1239="Transferencia",P1239="Pago tarjeta"),K1239=""),"⚠ Falta cuenta destino",IF(AND(K1239&lt;&gt;"",P1239&lt;&gt;"Transferencia",P1239&lt;&gt;"Pago tarjeta"),"⚠ Destino solo aplica a transferencias",IF(AND(K1239&lt;&gt;"",K1239=Q1239),"⚠ Origen igual a destino",IF(AND(K1239&lt;&gt;"",ISNA(MATCH(K1239,ctaNombre,0))),"⚠ Destino no registrado",IF(AND(P1239="Pago tarjeta",AE1239&lt;&gt;"Tarjeta de crédito"),"⚠ El destino debe ser tarjeta de crédito",IF(AND(P1239="Gasto",E1239="Depósitos y retiros"),"⚠ Usa tipo Transferencia",IF(AND(P1239="Resultado trading",AD1239&lt;&gt;"Cuenta de trading"),"⚠ Usa una cuenta de trading",IF(AND(G1239&lt;=0,P1239&lt;&gt;"Ajuste",P1239&lt;&gt;"Resultado trading"),"⚠ El monto debe ser positivo","✓")))))))))))))))</f>
        <v/>
      </c>
      <c r="P1239" s="52">
        <f>IF(OR(B1239="",G1239=""),"",IF(C1239="","Gasto",C1239))</f>
        <v/>
      </c>
      <c r="Q1239" s="52">
        <f>IF(P1239="","",IF(J1239&lt;&gt;"",J1239,CuentaPred&amp;""))</f>
        <v/>
      </c>
      <c r="R1239" s="52">
        <f>IF(P1239="","",IF(ISNUMBER(I1239),I1239,TasaUSD))</f>
        <v/>
      </c>
      <c r="S1239" s="53">
        <f>IF(P1239="","",IF(H1239="USD",G1239*R1239,G1239))</f>
        <v/>
      </c>
      <c r="T1239" s="53">
        <f>IF(P1239="","",IF(H1239="USD",G1239,IF(R1239&gt;0,G1239/R1239,0)))</f>
        <v/>
      </c>
      <c r="U1239" s="53">
        <f>IF(P1239="","",IF(P1239="Gasto",S1239,IF(P1239="Reembolso",-S1239,0)))</f>
        <v/>
      </c>
      <c r="V1239" s="53">
        <f>IF(P1239="","",IF(P1239="Ingreso",S1239,0))</f>
        <v/>
      </c>
      <c r="W1239" s="53">
        <f>IF(P1239="","",IF(P1239="Resultado trading",S1239,0))</f>
        <v/>
      </c>
      <c r="X1239" s="52">
        <f>IF(OR(P1239="Gasto",P1239="Reembolso"),IF(M1239&lt;&gt;"",M1239,IFERROR(INDEX(catClasif,MATCH(D1239&amp;"|"&amp;E1239,catClave,0))&amp;"","Variable")),"")</f>
        <v/>
      </c>
      <c r="Y1239" s="52">
        <f>IF(P1239="","",IFERROR(INDEX(catGrupo,MATCH(D1239&amp;"|"&amp;E1239,catClave,0))&amp;"",""))</f>
        <v/>
      </c>
      <c r="Z1239" s="52">
        <f>IF(P1239="","",WEEKDAY(B1239,2))</f>
        <v/>
      </c>
      <c r="AA1239" s="52">
        <f>IF(P1239="","",IF(AND(P1239="Gasto",X1239="Variable",D1239&lt;&gt;catTrading,S1239&gt;0,S1239&lt;=Umbral),1,0))</f>
        <v/>
      </c>
      <c r="AB1239" s="52">
        <f>IF(OR(P1239="",Q1239=""),"",IFERROR(IF(INDEX(ctaVinc,MATCH(Q1239,ctaNombre,0))&amp;""&lt;&gt;"",INDEX(ctaVinc,MATCH(Q1239,ctaNombre,0))&amp;"",Q1239),Q1239))</f>
        <v/>
      </c>
      <c r="AC1239" s="52">
        <f>IF(OR(K1239="",AND(P1239&lt;&gt;"Transferencia",P1239&lt;&gt;"Pago tarjeta")),"",IFERROR(IF(INDEX(ctaVinc,MATCH(K1239,ctaNombre,0))&amp;""&lt;&gt;"",INDEX(ctaVinc,MATCH(K1239,ctaNombre,0))&amp;"",K1239),K1239))</f>
        <v/>
      </c>
      <c r="AD1239" s="52">
        <f>IF(AB1239="","",IFERROR(INDEX(ctaTipo,MATCH(AB1239,ctaNombre,0))&amp;"",""))</f>
        <v/>
      </c>
      <c r="AE1239" s="52">
        <f>IF(AC1239="","",IFERROR(INDEX(ctaTipo,MATCH(AC1239,ctaNombre,0))&amp;"",""))</f>
        <v/>
      </c>
      <c r="AF1239" s="53">
        <f>IF(OR(P1239="",AB1239=""),"",IF(OR(P1239="Gasto",P1239="Transferencia",P1239="Pago tarjeta"),-1,1)*IF(IFERROR(INDEX(ctaMoneda,MATCH(AB1239,ctaNombre,0))&amp;"","DOP")="USD",T1239,S1239))</f>
        <v/>
      </c>
      <c r="AG1239" s="53">
        <f>IF(AC1239="","",IF(IFERROR(INDEX(ctaMoneda,MATCH(AC1239,ctaNombre,0))&amp;"","DOP")="USD",T1239,S1239))</f>
        <v/>
      </c>
      <c r="AH1239" s="53">
        <f>IF(P1239="","",IF(AND(AD1239&lt;&gt;"",COUNTIFS(tcTipo,AD1239,tcLiq,"Sí")&gt;0),IF(OR(P1239="Gasto",P1239="Transferencia",P1239="Pago tarjeta"),-1,1)*S1239,0)+IF(AND(AE1239&lt;&gt;"",COUNTIFS(tcTipo,AE1239,tcLiq,"Sí")&gt;0),S1239,0))</f>
        <v/>
      </c>
      <c r="AI1239" s="52">
        <f>IF(OR(L1239="",P1239=""),"",IF(COUNTIFS(L$6:L1239,L1239,P$6:P1239,"?*")=1,MAX(AI$5:AI1238)+1,""))</f>
        <v/>
      </c>
    </row>
    <row r="1240">
      <c r="B1240" s="47" t="n"/>
      <c r="C1240" s="48" t="n"/>
      <c r="D1240" s="48" t="n"/>
      <c r="E1240" s="48" t="n"/>
      <c r="F1240" s="48" t="n"/>
      <c r="G1240" s="49" t="n"/>
      <c r="H1240" s="48" t="n"/>
      <c r="I1240" s="50" t="n"/>
      <c r="J1240" s="48" t="n"/>
      <c r="K1240" s="48" t="n"/>
      <c r="L1240" s="48" t="n"/>
      <c r="M1240" s="48" t="n"/>
      <c r="N1240" s="48" t="n"/>
      <c r="O1240" s="51">
        <f>IF(AND(B1240="",G1240="",C1240="",D1240="",J1240=""),"",IF(B1240="","⚠ Falta fecha",IF(G1240="","⚠ Falta monto",IF(Q1240="","⚠ Falta cuenta",IF(ISNA(MATCH(Q1240,ctaNombre,0)),"⚠ Cuenta no registrada",IF(AND(OR(P1240="Gasto",P1240="Reembolso"),D1240=""),"⚠ Falta categoría",IF(AND(D1240&lt;&gt;"",E1240&lt;&gt;"",ISNA(MATCH(D1240&amp;"|"&amp;E1240,catClave,0))),"⚠ Subcategoría no corresponde",IF(AND(OR(P1240="Transferencia",P1240="Pago tarjeta"),K1240=""),"⚠ Falta cuenta destino",IF(AND(K1240&lt;&gt;"",P1240&lt;&gt;"Transferencia",P1240&lt;&gt;"Pago tarjeta"),"⚠ Destino solo aplica a transferencias",IF(AND(K1240&lt;&gt;"",K1240=Q1240),"⚠ Origen igual a destino",IF(AND(K1240&lt;&gt;"",ISNA(MATCH(K1240,ctaNombre,0))),"⚠ Destino no registrado",IF(AND(P1240="Pago tarjeta",AE1240&lt;&gt;"Tarjeta de crédito"),"⚠ El destino debe ser tarjeta de crédito",IF(AND(P1240="Gasto",E1240="Depósitos y retiros"),"⚠ Usa tipo Transferencia",IF(AND(P1240="Resultado trading",AD1240&lt;&gt;"Cuenta de trading"),"⚠ Usa una cuenta de trading",IF(AND(G1240&lt;=0,P1240&lt;&gt;"Ajuste",P1240&lt;&gt;"Resultado trading"),"⚠ El monto debe ser positivo","✓")))))))))))))))</f>
        <v/>
      </c>
      <c r="P1240" s="52">
        <f>IF(OR(B1240="",G1240=""),"",IF(C1240="","Gasto",C1240))</f>
        <v/>
      </c>
      <c r="Q1240" s="52">
        <f>IF(P1240="","",IF(J1240&lt;&gt;"",J1240,CuentaPred&amp;""))</f>
        <v/>
      </c>
      <c r="R1240" s="52">
        <f>IF(P1240="","",IF(ISNUMBER(I1240),I1240,TasaUSD))</f>
        <v/>
      </c>
      <c r="S1240" s="53">
        <f>IF(P1240="","",IF(H1240="USD",G1240*R1240,G1240))</f>
        <v/>
      </c>
      <c r="T1240" s="53">
        <f>IF(P1240="","",IF(H1240="USD",G1240,IF(R1240&gt;0,G1240/R1240,0)))</f>
        <v/>
      </c>
      <c r="U1240" s="53">
        <f>IF(P1240="","",IF(P1240="Gasto",S1240,IF(P1240="Reembolso",-S1240,0)))</f>
        <v/>
      </c>
      <c r="V1240" s="53">
        <f>IF(P1240="","",IF(P1240="Ingreso",S1240,0))</f>
        <v/>
      </c>
      <c r="W1240" s="53">
        <f>IF(P1240="","",IF(P1240="Resultado trading",S1240,0))</f>
        <v/>
      </c>
      <c r="X1240" s="52">
        <f>IF(OR(P1240="Gasto",P1240="Reembolso"),IF(M1240&lt;&gt;"",M1240,IFERROR(INDEX(catClasif,MATCH(D1240&amp;"|"&amp;E1240,catClave,0))&amp;"","Variable")),"")</f>
        <v/>
      </c>
      <c r="Y1240" s="52">
        <f>IF(P1240="","",IFERROR(INDEX(catGrupo,MATCH(D1240&amp;"|"&amp;E1240,catClave,0))&amp;"",""))</f>
        <v/>
      </c>
      <c r="Z1240" s="52">
        <f>IF(P1240="","",WEEKDAY(B1240,2))</f>
        <v/>
      </c>
      <c r="AA1240" s="52">
        <f>IF(P1240="","",IF(AND(P1240="Gasto",X1240="Variable",D1240&lt;&gt;catTrading,S1240&gt;0,S1240&lt;=Umbral),1,0))</f>
        <v/>
      </c>
      <c r="AB1240" s="52">
        <f>IF(OR(P1240="",Q1240=""),"",IFERROR(IF(INDEX(ctaVinc,MATCH(Q1240,ctaNombre,0))&amp;""&lt;&gt;"",INDEX(ctaVinc,MATCH(Q1240,ctaNombre,0))&amp;"",Q1240),Q1240))</f>
        <v/>
      </c>
      <c r="AC1240" s="52">
        <f>IF(OR(K1240="",AND(P1240&lt;&gt;"Transferencia",P1240&lt;&gt;"Pago tarjeta")),"",IFERROR(IF(INDEX(ctaVinc,MATCH(K1240,ctaNombre,0))&amp;""&lt;&gt;"",INDEX(ctaVinc,MATCH(K1240,ctaNombre,0))&amp;"",K1240),K1240))</f>
        <v/>
      </c>
      <c r="AD1240" s="52">
        <f>IF(AB1240="","",IFERROR(INDEX(ctaTipo,MATCH(AB1240,ctaNombre,0))&amp;"",""))</f>
        <v/>
      </c>
      <c r="AE1240" s="52">
        <f>IF(AC1240="","",IFERROR(INDEX(ctaTipo,MATCH(AC1240,ctaNombre,0))&amp;"",""))</f>
        <v/>
      </c>
      <c r="AF1240" s="53">
        <f>IF(OR(P1240="",AB1240=""),"",IF(OR(P1240="Gasto",P1240="Transferencia",P1240="Pago tarjeta"),-1,1)*IF(IFERROR(INDEX(ctaMoneda,MATCH(AB1240,ctaNombre,0))&amp;"","DOP")="USD",T1240,S1240))</f>
        <v/>
      </c>
      <c r="AG1240" s="53">
        <f>IF(AC1240="","",IF(IFERROR(INDEX(ctaMoneda,MATCH(AC1240,ctaNombre,0))&amp;"","DOP")="USD",T1240,S1240))</f>
        <v/>
      </c>
      <c r="AH1240" s="53">
        <f>IF(P1240="","",IF(AND(AD1240&lt;&gt;"",COUNTIFS(tcTipo,AD1240,tcLiq,"Sí")&gt;0),IF(OR(P1240="Gasto",P1240="Transferencia",P1240="Pago tarjeta"),-1,1)*S1240,0)+IF(AND(AE1240&lt;&gt;"",COUNTIFS(tcTipo,AE1240,tcLiq,"Sí")&gt;0),S1240,0))</f>
        <v/>
      </c>
      <c r="AI1240" s="52">
        <f>IF(OR(L1240="",P1240=""),"",IF(COUNTIFS(L$6:L1240,L1240,P$6:P1240,"?*")=1,MAX(AI$5:AI1239)+1,""))</f>
        <v/>
      </c>
    </row>
    <row r="1241">
      <c r="B1241" s="47" t="n"/>
      <c r="C1241" s="48" t="n"/>
      <c r="D1241" s="48" t="n"/>
      <c r="E1241" s="48" t="n"/>
      <c r="F1241" s="48" t="n"/>
      <c r="G1241" s="49" t="n"/>
      <c r="H1241" s="48" t="n"/>
      <c r="I1241" s="50" t="n"/>
      <c r="J1241" s="48" t="n"/>
      <c r="K1241" s="48" t="n"/>
      <c r="L1241" s="48" t="n"/>
      <c r="M1241" s="48" t="n"/>
      <c r="N1241" s="48" t="n"/>
      <c r="O1241" s="51">
        <f>IF(AND(B1241="",G1241="",C1241="",D1241="",J1241=""),"",IF(B1241="","⚠ Falta fecha",IF(G1241="","⚠ Falta monto",IF(Q1241="","⚠ Falta cuenta",IF(ISNA(MATCH(Q1241,ctaNombre,0)),"⚠ Cuenta no registrada",IF(AND(OR(P1241="Gasto",P1241="Reembolso"),D1241=""),"⚠ Falta categoría",IF(AND(D1241&lt;&gt;"",E1241&lt;&gt;"",ISNA(MATCH(D1241&amp;"|"&amp;E1241,catClave,0))),"⚠ Subcategoría no corresponde",IF(AND(OR(P1241="Transferencia",P1241="Pago tarjeta"),K1241=""),"⚠ Falta cuenta destino",IF(AND(K1241&lt;&gt;"",P1241&lt;&gt;"Transferencia",P1241&lt;&gt;"Pago tarjeta"),"⚠ Destino solo aplica a transferencias",IF(AND(K1241&lt;&gt;"",K1241=Q1241),"⚠ Origen igual a destino",IF(AND(K1241&lt;&gt;"",ISNA(MATCH(K1241,ctaNombre,0))),"⚠ Destino no registrado",IF(AND(P1241="Pago tarjeta",AE1241&lt;&gt;"Tarjeta de crédito"),"⚠ El destino debe ser tarjeta de crédito",IF(AND(P1241="Gasto",E1241="Depósitos y retiros"),"⚠ Usa tipo Transferencia",IF(AND(P1241="Resultado trading",AD1241&lt;&gt;"Cuenta de trading"),"⚠ Usa una cuenta de trading",IF(AND(G1241&lt;=0,P1241&lt;&gt;"Ajuste",P1241&lt;&gt;"Resultado trading"),"⚠ El monto debe ser positivo","✓")))))))))))))))</f>
        <v/>
      </c>
      <c r="P1241" s="52">
        <f>IF(OR(B1241="",G1241=""),"",IF(C1241="","Gasto",C1241))</f>
        <v/>
      </c>
      <c r="Q1241" s="52">
        <f>IF(P1241="","",IF(J1241&lt;&gt;"",J1241,CuentaPred&amp;""))</f>
        <v/>
      </c>
      <c r="R1241" s="52">
        <f>IF(P1241="","",IF(ISNUMBER(I1241),I1241,TasaUSD))</f>
        <v/>
      </c>
      <c r="S1241" s="53">
        <f>IF(P1241="","",IF(H1241="USD",G1241*R1241,G1241))</f>
        <v/>
      </c>
      <c r="T1241" s="53">
        <f>IF(P1241="","",IF(H1241="USD",G1241,IF(R1241&gt;0,G1241/R1241,0)))</f>
        <v/>
      </c>
      <c r="U1241" s="53">
        <f>IF(P1241="","",IF(P1241="Gasto",S1241,IF(P1241="Reembolso",-S1241,0)))</f>
        <v/>
      </c>
      <c r="V1241" s="53">
        <f>IF(P1241="","",IF(P1241="Ingreso",S1241,0))</f>
        <v/>
      </c>
      <c r="W1241" s="53">
        <f>IF(P1241="","",IF(P1241="Resultado trading",S1241,0))</f>
        <v/>
      </c>
      <c r="X1241" s="52">
        <f>IF(OR(P1241="Gasto",P1241="Reembolso"),IF(M1241&lt;&gt;"",M1241,IFERROR(INDEX(catClasif,MATCH(D1241&amp;"|"&amp;E1241,catClave,0))&amp;"","Variable")),"")</f>
        <v/>
      </c>
      <c r="Y1241" s="52">
        <f>IF(P1241="","",IFERROR(INDEX(catGrupo,MATCH(D1241&amp;"|"&amp;E1241,catClave,0))&amp;"",""))</f>
        <v/>
      </c>
      <c r="Z1241" s="52">
        <f>IF(P1241="","",WEEKDAY(B1241,2))</f>
        <v/>
      </c>
      <c r="AA1241" s="52">
        <f>IF(P1241="","",IF(AND(P1241="Gasto",X1241="Variable",D1241&lt;&gt;catTrading,S1241&gt;0,S1241&lt;=Umbral),1,0))</f>
        <v/>
      </c>
      <c r="AB1241" s="52">
        <f>IF(OR(P1241="",Q1241=""),"",IFERROR(IF(INDEX(ctaVinc,MATCH(Q1241,ctaNombre,0))&amp;""&lt;&gt;"",INDEX(ctaVinc,MATCH(Q1241,ctaNombre,0))&amp;"",Q1241),Q1241))</f>
        <v/>
      </c>
      <c r="AC1241" s="52">
        <f>IF(OR(K1241="",AND(P1241&lt;&gt;"Transferencia",P1241&lt;&gt;"Pago tarjeta")),"",IFERROR(IF(INDEX(ctaVinc,MATCH(K1241,ctaNombre,0))&amp;""&lt;&gt;"",INDEX(ctaVinc,MATCH(K1241,ctaNombre,0))&amp;"",K1241),K1241))</f>
        <v/>
      </c>
      <c r="AD1241" s="52">
        <f>IF(AB1241="","",IFERROR(INDEX(ctaTipo,MATCH(AB1241,ctaNombre,0))&amp;"",""))</f>
        <v/>
      </c>
      <c r="AE1241" s="52">
        <f>IF(AC1241="","",IFERROR(INDEX(ctaTipo,MATCH(AC1241,ctaNombre,0))&amp;"",""))</f>
        <v/>
      </c>
      <c r="AF1241" s="53">
        <f>IF(OR(P1241="",AB1241=""),"",IF(OR(P1241="Gasto",P1241="Transferencia",P1241="Pago tarjeta"),-1,1)*IF(IFERROR(INDEX(ctaMoneda,MATCH(AB1241,ctaNombre,0))&amp;"","DOP")="USD",T1241,S1241))</f>
        <v/>
      </c>
      <c r="AG1241" s="53">
        <f>IF(AC1241="","",IF(IFERROR(INDEX(ctaMoneda,MATCH(AC1241,ctaNombre,0))&amp;"","DOP")="USD",T1241,S1241))</f>
        <v/>
      </c>
      <c r="AH1241" s="53">
        <f>IF(P1241="","",IF(AND(AD1241&lt;&gt;"",COUNTIFS(tcTipo,AD1241,tcLiq,"Sí")&gt;0),IF(OR(P1241="Gasto",P1241="Transferencia",P1241="Pago tarjeta"),-1,1)*S1241,0)+IF(AND(AE1241&lt;&gt;"",COUNTIFS(tcTipo,AE1241,tcLiq,"Sí")&gt;0),S1241,0))</f>
        <v/>
      </c>
      <c r="AI1241" s="52">
        <f>IF(OR(L1241="",P1241=""),"",IF(COUNTIFS(L$6:L1241,L1241,P$6:P1241,"?*")=1,MAX(AI$5:AI1240)+1,""))</f>
        <v/>
      </c>
    </row>
    <row r="1242">
      <c r="B1242" s="47" t="n"/>
      <c r="C1242" s="48" t="n"/>
      <c r="D1242" s="48" t="n"/>
      <c r="E1242" s="48" t="n"/>
      <c r="F1242" s="48" t="n"/>
      <c r="G1242" s="49" t="n"/>
      <c r="H1242" s="48" t="n"/>
      <c r="I1242" s="50" t="n"/>
      <c r="J1242" s="48" t="n"/>
      <c r="K1242" s="48" t="n"/>
      <c r="L1242" s="48" t="n"/>
      <c r="M1242" s="48" t="n"/>
      <c r="N1242" s="48" t="n"/>
      <c r="O1242" s="51">
        <f>IF(AND(B1242="",G1242="",C1242="",D1242="",J1242=""),"",IF(B1242="","⚠ Falta fecha",IF(G1242="","⚠ Falta monto",IF(Q1242="","⚠ Falta cuenta",IF(ISNA(MATCH(Q1242,ctaNombre,0)),"⚠ Cuenta no registrada",IF(AND(OR(P1242="Gasto",P1242="Reembolso"),D1242=""),"⚠ Falta categoría",IF(AND(D1242&lt;&gt;"",E1242&lt;&gt;"",ISNA(MATCH(D1242&amp;"|"&amp;E1242,catClave,0))),"⚠ Subcategoría no corresponde",IF(AND(OR(P1242="Transferencia",P1242="Pago tarjeta"),K1242=""),"⚠ Falta cuenta destino",IF(AND(K1242&lt;&gt;"",P1242&lt;&gt;"Transferencia",P1242&lt;&gt;"Pago tarjeta"),"⚠ Destino solo aplica a transferencias",IF(AND(K1242&lt;&gt;"",K1242=Q1242),"⚠ Origen igual a destino",IF(AND(K1242&lt;&gt;"",ISNA(MATCH(K1242,ctaNombre,0))),"⚠ Destino no registrado",IF(AND(P1242="Pago tarjeta",AE1242&lt;&gt;"Tarjeta de crédito"),"⚠ El destino debe ser tarjeta de crédito",IF(AND(P1242="Gasto",E1242="Depósitos y retiros"),"⚠ Usa tipo Transferencia",IF(AND(P1242="Resultado trading",AD1242&lt;&gt;"Cuenta de trading"),"⚠ Usa una cuenta de trading",IF(AND(G1242&lt;=0,P1242&lt;&gt;"Ajuste",P1242&lt;&gt;"Resultado trading"),"⚠ El monto debe ser positivo","✓")))))))))))))))</f>
        <v/>
      </c>
      <c r="P1242" s="52">
        <f>IF(OR(B1242="",G1242=""),"",IF(C1242="","Gasto",C1242))</f>
        <v/>
      </c>
      <c r="Q1242" s="52">
        <f>IF(P1242="","",IF(J1242&lt;&gt;"",J1242,CuentaPred&amp;""))</f>
        <v/>
      </c>
      <c r="R1242" s="52">
        <f>IF(P1242="","",IF(ISNUMBER(I1242),I1242,TasaUSD))</f>
        <v/>
      </c>
      <c r="S1242" s="53">
        <f>IF(P1242="","",IF(H1242="USD",G1242*R1242,G1242))</f>
        <v/>
      </c>
      <c r="T1242" s="53">
        <f>IF(P1242="","",IF(H1242="USD",G1242,IF(R1242&gt;0,G1242/R1242,0)))</f>
        <v/>
      </c>
      <c r="U1242" s="53">
        <f>IF(P1242="","",IF(P1242="Gasto",S1242,IF(P1242="Reembolso",-S1242,0)))</f>
        <v/>
      </c>
      <c r="V1242" s="53">
        <f>IF(P1242="","",IF(P1242="Ingreso",S1242,0))</f>
        <v/>
      </c>
      <c r="W1242" s="53">
        <f>IF(P1242="","",IF(P1242="Resultado trading",S1242,0))</f>
        <v/>
      </c>
      <c r="X1242" s="52">
        <f>IF(OR(P1242="Gasto",P1242="Reembolso"),IF(M1242&lt;&gt;"",M1242,IFERROR(INDEX(catClasif,MATCH(D1242&amp;"|"&amp;E1242,catClave,0))&amp;"","Variable")),"")</f>
        <v/>
      </c>
      <c r="Y1242" s="52">
        <f>IF(P1242="","",IFERROR(INDEX(catGrupo,MATCH(D1242&amp;"|"&amp;E1242,catClave,0))&amp;"",""))</f>
        <v/>
      </c>
      <c r="Z1242" s="52">
        <f>IF(P1242="","",WEEKDAY(B1242,2))</f>
        <v/>
      </c>
      <c r="AA1242" s="52">
        <f>IF(P1242="","",IF(AND(P1242="Gasto",X1242="Variable",D1242&lt;&gt;catTrading,S1242&gt;0,S1242&lt;=Umbral),1,0))</f>
        <v/>
      </c>
      <c r="AB1242" s="52">
        <f>IF(OR(P1242="",Q1242=""),"",IFERROR(IF(INDEX(ctaVinc,MATCH(Q1242,ctaNombre,0))&amp;""&lt;&gt;"",INDEX(ctaVinc,MATCH(Q1242,ctaNombre,0))&amp;"",Q1242),Q1242))</f>
        <v/>
      </c>
      <c r="AC1242" s="52">
        <f>IF(OR(K1242="",AND(P1242&lt;&gt;"Transferencia",P1242&lt;&gt;"Pago tarjeta")),"",IFERROR(IF(INDEX(ctaVinc,MATCH(K1242,ctaNombre,0))&amp;""&lt;&gt;"",INDEX(ctaVinc,MATCH(K1242,ctaNombre,0))&amp;"",K1242),K1242))</f>
        <v/>
      </c>
      <c r="AD1242" s="52">
        <f>IF(AB1242="","",IFERROR(INDEX(ctaTipo,MATCH(AB1242,ctaNombre,0))&amp;"",""))</f>
        <v/>
      </c>
      <c r="AE1242" s="52">
        <f>IF(AC1242="","",IFERROR(INDEX(ctaTipo,MATCH(AC1242,ctaNombre,0))&amp;"",""))</f>
        <v/>
      </c>
      <c r="AF1242" s="53">
        <f>IF(OR(P1242="",AB1242=""),"",IF(OR(P1242="Gasto",P1242="Transferencia",P1242="Pago tarjeta"),-1,1)*IF(IFERROR(INDEX(ctaMoneda,MATCH(AB1242,ctaNombre,0))&amp;"","DOP")="USD",T1242,S1242))</f>
        <v/>
      </c>
      <c r="AG1242" s="53">
        <f>IF(AC1242="","",IF(IFERROR(INDEX(ctaMoneda,MATCH(AC1242,ctaNombre,0))&amp;"","DOP")="USD",T1242,S1242))</f>
        <v/>
      </c>
      <c r="AH1242" s="53">
        <f>IF(P1242="","",IF(AND(AD1242&lt;&gt;"",COUNTIFS(tcTipo,AD1242,tcLiq,"Sí")&gt;0),IF(OR(P1242="Gasto",P1242="Transferencia",P1242="Pago tarjeta"),-1,1)*S1242,0)+IF(AND(AE1242&lt;&gt;"",COUNTIFS(tcTipo,AE1242,tcLiq,"Sí")&gt;0),S1242,0))</f>
        <v/>
      </c>
      <c r="AI1242" s="52">
        <f>IF(OR(L1242="",P1242=""),"",IF(COUNTIFS(L$6:L1242,L1242,P$6:P1242,"?*")=1,MAX(AI$5:AI1241)+1,""))</f>
        <v/>
      </c>
    </row>
    <row r="1243">
      <c r="B1243" s="47" t="n"/>
      <c r="C1243" s="48" t="n"/>
      <c r="D1243" s="48" t="n"/>
      <c r="E1243" s="48" t="n"/>
      <c r="F1243" s="48" t="n"/>
      <c r="G1243" s="49" t="n"/>
      <c r="H1243" s="48" t="n"/>
      <c r="I1243" s="50" t="n"/>
      <c r="J1243" s="48" t="n"/>
      <c r="K1243" s="48" t="n"/>
      <c r="L1243" s="48" t="n"/>
      <c r="M1243" s="48" t="n"/>
      <c r="N1243" s="48" t="n"/>
      <c r="O1243" s="51">
        <f>IF(AND(B1243="",G1243="",C1243="",D1243="",J1243=""),"",IF(B1243="","⚠ Falta fecha",IF(G1243="","⚠ Falta monto",IF(Q1243="","⚠ Falta cuenta",IF(ISNA(MATCH(Q1243,ctaNombre,0)),"⚠ Cuenta no registrada",IF(AND(OR(P1243="Gasto",P1243="Reembolso"),D1243=""),"⚠ Falta categoría",IF(AND(D1243&lt;&gt;"",E1243&lt;&gt;"",ISNA(MATCH(D1243&amp;"|"&amp;E1243,catClave,0))),"⚠ Subcategoría no corresponde",IF(AND(OR(P1243="Transferencia",P1243="Pago tarjeta"),K1243=""),"⚠ Falta cuenta destino",IF(AND(K1243&lt;&gt;"",P1243&lt;&gt;"Transferencia",P1243&lt;&gt;"Pago tarjeta"),"⚠ Destino solo aplica a transferencias",IF(AND(K1243&lt;&gt;"",K1243=Q1243),"⚠ Origen igual a destino",IF(AND(K1243&lt;&gt;"",ISNA(MATCH(K1243,ctaNombre,0))),"⚠ Destino no registrado",IF(AND(P1243="Pago tarjeta",AE1243&lt;&gt;"Tarjeta de crédito"),"⚠ El destino debe ser tarjeta de crédito",IF(AND(P1243="Gasto",E1243="Depósitos y retiros"),"⚠ Usa tipo Transferencia",IF(AND(P1243="Resultado trading",AD1243&lt;&gt;"Cuenta de trading"),"⚠ Usa una cuenta de trading",IF(AND(G1243&lt;=0,P1243&lt;&gt;"Ajuste",P1243&lt;&gt;"Resultado trading"),"⚠ El monto debe ser positivo","✓")))))))))))))))</f>
        <v/>
      </c>
      <c r="P1243" s="52">
        <f>IF(OR(B1243="",G1243=""),"",IF(C1243="","Gasto",C1243))</f>
        <v/>
      </c>
      <c r="Q1243" s="52">
        <f>IF(P1243="","",IF(J1243&lt;&gt;"",J1243,CuentaPred&amp;""))</f>
        <v/>
      </c>
      <c r="R1243" s="52">
        <f>IF(P1243="","",IF(ISNUMBER(I1243),I1243,TasaUSD))</f>
        <v/>
      </c>
      <c r="S1243" s="53">
        <f>IF(P1243="","",IF(H1243="USD",G1243*R1243,G1243))</f>
        <v/>
      </c>
      <c r="T1243" s="53">
        <f>IF(P1243="","",IF(H1243="USD",G1243,IF(R1243&gt;0,G1243/R1243,0)))</f>
        <v/>
      </c>
      <c r="U1243" s="53">
        <f>IF(P1243="","",IF(P1243="Gasto",S1243,IF(P1243="Reembolso",-S1243,0)))</f>
        <v/>
      </c>
      <c r="V1243" s="53">
        <f>IF(P1243="","",IF(P1243="Ingreso",S1243,0))</f>
        <v/>
      </c>
      <c r="W1243" s="53">
        <f>IF(P1243="","",IF(P1243="Resultado trading",S1243,0))</f>
        <v/>
      </c>
      <c r="X1243" s="52">
        <f>IF(OR(P1243="Gasto",P1243="Reembolso"),IF(M1243&lt;&gt;"",M1243,IFERROR(INDEX(catClasif,MATCH(D1243&amp;"|"&amp;E1243,catClave,0))&amp;"","Variable")),"")</f>
        <v/>
      </c>
      <c r="Y1243" s="52">
        <f>IF(P1243="","",IFERROR(INDEX(catGrupo,MATCH(D1243&amp;"|"&amp;E1243,catClave,0))&amp;"",""))</f>
        <v/>
      </c>
      <c r="Z1243" s="52">
        <f>IF(P1243="","",WEEKDAY(B1243,2))</f>
        <v/>
      </c>
      <c r="AA1243" s="52">
        <f>IF(P1243="","",IF(AND(P1243="Gasto",X1243="Variable",D1243&lt;&gt;catTrading,S1243&gt;0,S1243&lt;=Umbral),1,0))</f>
        <v/>
      </c>
      <c r="AB1243" s="52">
        <f>IF(OR(P1243="",Q1243=""),"",IFERROR(IF(INDEX(ctaVinc,MATCH(Q1243,ctaNombre,0))&amp;""&lt;&gt;"",INDEX(ctaVinc,MATCH(Q1243,ctaNombre,0))&amp;"",Q1243),Q1243))</f>
        <v/>
      </c>
      <c r="AC1243" s="52">
        <f>IF(OR(K1243="",AND(P1243&lt;&gt;"Transferencia",P1243&lt;&gt;"Pago tarjeta")),"",IFERROR(IF(INDEX(ctaVinc,MATCH(K1243,ctaNombre,0))&amp;""&lt;&gt;"",INDEX(ctaVinc,MATCH(K1243,ctaNombre,0))&amp;"",K1243),K1243))</f>
        <v/>
      </c>
      <c r="AD1243" s="52">
        <f>IF(AB1243="","",IFERROR(INDEX(ctaTipo,MATCH(AB1243,ctaNombre,0))&amp;"",""))</f>
        <v/>
      </c>
      <c r="AE1243" s="52">
        <f>IF(AC1243="","",IFERROR(INDEX(ctaTipo,MATCH(AC1243,ctaNombre,0))&amp;"",""))</f>
        <v/>
      </c>
      <c r="AF1243" s="53">
        <f>IF(OR(P1243="",AB1243=""),"",IF(OR(P1243="Gasto",P1243="Transferencia",P1243="Pago tarjeta"),-1,1)*IF(IFERROR(INDEX(ctaMoneda,MATCH(AB1243,ctaNombre,0))&amp;"","DOP")="USD",T1243,S1243))</f>
        <v/>
      </c>
      <c r="AG1243" s="53">
        <f>IF(AC1243="","",IF(IFERROR(INDEX(ctaMoneda,MATCH(AC1243,ctaNombre,0))&amp;"","DOP")="USD",T1243,S1243))</f>
        <v/>
      </c>
      <c r="AH1243" s="53">
        <f>IF(P1243="","",IF(AND(AD1243&lt;&gt;"",COUNTIFS(tcTipo,AD1243,tcLiq,"Sí")&gt;0),IF(OR(P1243="Gasto",P1243="Transferencia",P1243="Pago tarjeta"),-1,1)*S1243,0)+IF(AND(AE1243&lt;&gt;"",COUNTIFS(tcTipo,AE1243,tcLiq,"Sí")&gt;0),S1243,0))</f>
        <v/>
      </c>
      <c r="AI1243" s="52">
        <f>IF(OR(L1243="",P1243=""),"",IF(COUNTIFS(L$6:L1243,L1243,P$6:P1243,"?*")=1,MAX(AI$5:AI1242)+1,""))</f>
        <v/>
      </c>
    </row>
    <row r="1244">
      <c r="B1244" s="47" t="n"/>
      <c r="C1244" s="48" t="n"/>
      <c r="D1244" s="48" t="n"/>
      <c r="E1244" s="48" t="n"/>
      <c r="F1244" s="48" t="n"/>
      <c r="G1244" s="49" t="n"/>
      <c r="H1244" s="48" t="n"/>
      <c r="I1244" s="50" t="n"/>
      <c r="J1244" s="48" t="n"/>
      <c r="K1244" s="48" t="n"/>
      <c r="L1244" s="48" t="n"/>
      <c r="M1244" s="48" t="n"/>
      <c r="N1244" s="48" t="n"/>
      <c r="O1244" s="51">
        <f>IF(AND(B1244="",G1244="",C1244="",D1244="",J1244=""),"",IF(B1244="","⚠ Falta fecha",IF(G1244="","⚠ Falta monto",IF(Q1244="","⚠ Falta cuenta",IF(ISNA(MATCH(Q1244,ctaNombre,0)),"⚠ Cuenta no registrada",IF(AND(OR(P1244="Gasto",P1244="Reembolso"),D1244=""),"⚠ Falta categoría",IF(AND(D1244&lt;&gt;"",E1244&lt;&gt;"",ISNA(MATCH(D1244&amp;"|"&amp;E1244,catClave,0))),"⚠ Subcategoría no corresponde",IF(AND(OR(P1244="Transferencia",P1244="Pago tarjeta"),K1244=""),"⚠ Falta cuenta destino",IF(AND(K1244&lt;&gt;"",P1244&lt;&gt;"Transferencia",P1244&lt;&gt;"Pago tarjeta"),"⚠ Destino solo aplica a transferencias",IF(AND(K1244&lt;&gt;"",K1244=Q1244),"⚠ Origen igual a destino",IF(AND(K1244&lt;&gt;"",ISNA(MATCH(K1244,ctaNombre,0))),"⚠ Destino no registrado",IF(AND(P1244="Pago tarjeta",AE1244&lt;&gt;"Tarjeta de crédito"),"⚠ El destino debe ser tarjeta de crédito",IF(AND(P1244="Gasto",E1244="Depósitos y retiros"),"⚠ Usa tipo Transferencia",IF(AND(P1244="Resultado trading",AD1244&lt;&gt;"Cuenta de trading"),"⚠ Usa una cuenta de trading",IF(AND(G1244&lt;=0,P1244&lt;&gt;"Ajuste",P1244&lt;&gt;"Resultado trading"),"⚠ El monto debe ser positivo","✓")))))))))))))))</f>
        <v/>
      </c>
      <c r="P1244" s="52">
        <f>IF(OR(B1244="",G1244=""),"",IF(C1244="","Gasto",C1244))</f>
        <v/>
      </c>
      <c r="Q1244" s="52">
        <f>IF(P1244="","",IF(J1244&lt;&gt;"",J1244,CuentaPred&amp;""))</f>
        <v/>
      </c>
      <c r="R1244" s="52">
        <f>IF(P1244="","",IF(ISNUMBER(I1244),I1244,TasaUSD))</f>
        <v/>
      </c>
      <c r="S1244" s="53">
        <f>IF(P1244="","",IF(H1244="USD",G1244*R1244,G1244))</f>
        <v/>
      </c>
      <c r="T1244" s="53">
        <f>IF(P1244="","",IF(H1244="USD",G1244,IF(R1244&gt;0,G1244/R1244,0)))</f>
        <v/>
      </c>
      <c r="U1244" s="53">
        <f>IF(P1244="","",IF(P1244="Gasto",S1244,IF(P1244="Reembolso",-S1244,0)))</f>
        <v/>
      </c>
      <c r="V1244" s="53">
        <f>IF(P1244="","",IF(P1244="Ingreso",S1244,0))</f>
        <v/>
      </c>
      <c r="W1244" s="53">
        <f>IF(P1244="","",IF(P1244="Resultado trading",S1244,0))</f>
        <v/>
      </c>
      <c r="X1244" s="52">
        <f>IF(OR(P1244="Gasto",P1244="Reembolso"),IF(M1244&lt;&gt;"",M1244,IFERROR(INDEX(catClasif,MATCH(D1244&amp;"|"&amp;E1244,catClave,0))&amp;"","Variable")),"")</f>
        <v/>
      </c>
      <c r="Y1244" s="52">
        <f>IF(P1244="","",IFERROR(INDEX(catGrupo,MATCH(D1244&amp;"|"&amp;E1244,catClave,0))&amp;"",""))</f>
        <v/>
      </c>
      <c r="Z1244" s="52">
        <f>IF(P1244="","",WEEKDAY(B1244,2))</f>
        <v/>
      </c>
      <c r="AA1244" s="52">
        <f>IF(P1244="","",IF(AND(P1244="Gasto",X1244="Variable",D1244&lt;&gt;catTrading,S1244&gt;0,S1244&lt;=Umbral),1,0))</f>
        <v/>
      </c>
      <c r="AB1244" s="52">
        <f>IF(OR(P1244="",Q1244=""),"",IFERROR(IF(INDEX(ctaVinc,MATCH(Q1244,ctaNombre,0))&amp;""&lt;&gt;"",INDEX(ctaVinc,MATCH(Q1244,ctaNombre,0))&amp;"",Q1244),Q1244))</f>
        <v/>
      </c>
      <c r="AC1244" s="52">
        <f>IF(OR(K1244="",AND(P1244&lt;&gt;"Transferencia",P1244&lt;&gt;"Pago tarjeta")),"",IFERROR(IF(INDEX(ctaVinc,MATCH(K1244,ctaNombre,0))&amp;""&lt;&gt;"",INDEX(ctaVinc,MATCH(K1244,ctaNombre,0))&amp;"",K1244),K1244))</f>
        <v/>
      </c>
      <c r="AD1244" s="52">
        <f>IF(AB1244="","",IFERROR(INDEX(ctaTipo,MATCH(AB1244,ctaNombre,0))&amp;"",""))</f>
        <v/>
      </c>
      <c r="AE1244" s="52">
        <f>IF(AC1244="","",IFERROR(INDEX(ctaTipo,MATCH(AC1244,ctaNombre,0))&amp;"",""))</f>
        <v/>
      </c>
      <c r="AF1244" s="53">
        <f>IF(OR(P1244="",AB1244=""),"",IF(OR(P1244="Gasto",P1244="Transferencia",P1244="Pago tarjeta"),-1,1)*IF(IFERROR(INDEX(ctaMoneda,MATCH(AB1244,ctaNombre,0))&amp;"","DOP")="USD",T1244,S1244))</f>
        <v/>
      </c>
      <c r="AG1244" s="53">
        <f>IF(AC1244="","",IF(IFERROR(INDEX(ctaMoneda,MATCH(AC1244,ctaNombre,0))&amp;"","DOP")="USD",T1244,S1244))</f>
        <v/>
      </c>
      <c r="AH1244" s="53">
        <f>IF(P1244="","",IF(AND(AD1244&lt;&gt;"",COUNTIFS(tcTipo,AD1244,tcLiq,"Sí")&gt;0),IF(OR(P1244="Gasto",P1244="Transferencia",P1244="Pago tarjeta"),-1,1)*S1244,0)+IF(AND(AE1244&lt;&gt;"",COUNTIFS(tcTipo,AE1244,tcLiq,"Sí")&gt;0),S1244,0))</f>
        <v/>
      </c>
      <c r="AI1244" s="52">
        <f>IF(OR(L1244="",P1244=""),"",IF(COUNTIFS(L$6:L1244,L1244,P$6:P1244,"?*")=1,MAX(AI$5:AI1243)+1,""))</f>
        <v/>
      </c>
    </row>
    <row r="1245">
      <c r="B1245" s="47" t="n"/>
      <c r="C1245" s="48" t="n"/>
      <c r="D1245" s="48" t="n"/>
      <c r="E1245" s="48" t="n"/>
      <c r="F1245" s="48" t="n"/>
      <c r="G1245" s="49" t="n"/>
      <c r="H1245" s="48" t="n"/>
      <c r="I1245" s="50" t="n"/>
      <c r="J1245" s="48" t="n"/>
      <c r="K1245" s="48" t="n"/>
      <c r="L1245" s="48" t="n"/>
      <c r="M1245" s="48" t="n"/>
      <c r="N1245" s="48" t="n"/>
      <c r="O1245" s="51">
        <f>IF(AND(B1245="",G1245="",C1245="",D1245="",J1245=""),"",IF(B1245="","⚠ Falta fecha",IF(G1245="","⚠ Falta monto",IF(Q1245="","⚠ Falta cuenta",IF(ISNA(MATCH(Q1245,ctaNombre,0)),"⚠ Cuenta no registrada",IF(AND(OR(P1245="Gasto",P1245="Reembolso"),D1245=""),"⚠ Falta categoría",IF(AND(D1245&lt;&gt;"",E1245&lt;&gt;"",ISNA(MATCH(D1245&amp;"|"&amp;E1245,catClave,0))),"⚠ Subcategoría no corresponde",IF(AND(OR(P1245="Transferencia",P1245="Pago tarjeta"),K1245=""),"⚠ Falta cuenta destino",IF(AND(K1245&lt;&gt;"",P1245&lt;&gt;"Transferencia",P1245&lt;&gt;"Pago tarjeta"),"⚠ Destino solo aplica a transferencias",IF(AND(K1245&lt;&gt;"",K1245=Q1245),"⚠ Origen igual a destino",IF(AND(K1245&lt;&gt;"",ISNA(MATCH(K1245,ctaNombre,0))),"⚠ Destino no registrado",IF(AND(P1245="Pago tarjeta",AE1245&lt;&gt;"Tarjeta de crédito"),"⚠ El destino debe ser tarjeta de crédito",IF(AND(P1245="Gasto",E1245="Depósitos y retiros"),"⚠ Usa tipo Transferencia",IF(AND(P1245="Resultado trading",AD1245&lt;&gt;"Cuenta de trading"),"⚠ Usa una cuenta de trading",IF(AND(G1245&lt;=0,P1245&lt;&gt;"Ajuste",P1245&lt;&gt;"Resultado trading"),"⚠ El monto debe ser positivo","✓")))))))))))))))</f>
        <v/>
      </c>
      <c r="P1245" s="52">
        <f>IF(OR(B1245="",G1245=""),"",IF(C1245="","Gasto",C1245))</f>
        <v/>
      </c>
      <c r="Q1245" s="52">
        <f>IF(P1245="","",IF(J1245&lt;&gt;"",J1245,CuentaPred&amp;""))</f>
        <v/>
      </c>
      <c r="R1245" s="52">
        <f>IF(P1245="","",IF(ISNUMBER(I1245),I1245,TasaUSD))</f>
        <v/>
      </c>
      <c r="S1245" s="53">
        <f>IF(P1245="","",IF(H1245="USD",G1245*R1245,G1245))</f>
        <v/>
      </c>
      <c r="T1245" s="53">
        <f>IF(P1245="","",IF(H1245="USD",G1245,IF(R1245&gt;0,G1245/R1245,0)))</f>
        <v/>
      </c>
      <c r="U1245" s="53">
        <f>IF(P1245="","",IF(P1245="Gasto",S1245,IF(P1245="Reembolso",-S1245,0)))</f>
        <v/>
      </c>
      <c r="V1245" s="53">
        <f>IF(P1245="","",IF(P1245="Ingreso",S1245,0))</f>
        <v/>
      </c>
      <c r="W1245" s="53">
        <f>IF(P1245="","",IF(P1245="Resultado trading",S1245,0))</f>
        <v/>
      </c>
      <c r="X1245" s="52">
        <f>IF(OR(P1245="Gasto",P1245="Reembolso"),IF(M1245&lt;&gt;"",M1245,IFERROR(INDEX(catClasif,MATCH(D1245&amp;"|"&amp;E1245,catClave,0))&amp;"","Variable")),"")</f>
        <v/>
      </c>
      <c r="Y1245" s="52">
        <f>IF(P1245="","",IFERROR(INDEX(catGrupo,MATCH(D1245&amp;"|"&amp;E1245,catClave,0))&amp;"",""))</f>
        <v/>
      </c>
      <c r="Z1245" s="52">
        <f>IF(P1245="","",WEEKDAY(B1245,2))</f>
        <v/>
      </c>
      <c r="AA1245" s="52">
        <f>IF(P1245="","",IF(AND(P1245="Gasto",X1245="Variable",D1245&lt;&gt;catTrading,S1245&gt;0,S1245&lt;=Umbral),1,0))</f>
        <v/>
      </c>
      <c r="AB1245" s="52">
        <f>IF(OR(P1245="",Q1245=""),"",IFERROR(IF(INDEX(ctaVinc,MATCH(Q1245,ctaNombre,0))&amp;""&lt;&gt;"",INDEX(ctaVinc,MATCH(Q1245,ctaNombre,0))&amp;"",Q1245),Q1245))</f>
        <v/>
      </c>
      <c r="AC1245" s="52">
        <f>IF(OR(K1245="",AND(P1245&lt;&gt;"Transferencia",P1245&lt;&gt;"Pago tarjeta")),"",IFERROR(IF(INDEX(ctaVinc,MATCH(K1245,ctaNombre,0))&amp;""&lt;&gt;"",INDEX(ctaVinc,MATCH(K1245,ctaNombre,0))&amp;"",K1245),K1245))</f>
        <v/>
      </c>
      <c r="AD1245" s="52">
        <f>IF(AB1245="","",IFERROR(INDEX(ctaTipo,MATCH(AB1245,ctaNombre,0))&amp;"",""))</f>
        <v/>
      </c>
      <c r="AE1245" s="52">
        <f>IF(AC1245="","",IFERROR(INDEX(ctaTipo,MATCH(AC1245,ctaNombre,0))&amp;"",""))</f>
        <v/>
      </c>
      <c r="AF1245" s="53">
        <f>IF(OR(P1245="",AB1245=""),"",IF(OR(P1245="Gasto",P1245="Transferencia",P1245="Pago tarjeta"),-1,1)*IF(IFERROR(INDEX(ctaMoneda,MATCH(AB1245,ctaNombre,0))&amp;"","DOP")="USD",T1245,S1245))</f>
        <v/>
      </c>
      <c r="AG1245" s="53">
        <f>IF(AC1245="","",IF(IFERROR(INDEX(ctaMoneda,MATCH(AC1245,ctaNombre,0))&amp;"","DOP")="USD",T1245,S1245))</f>
        <v/>
      </c>
      <c r="AH1245" s="53">
        <f>IF(P1245="","",IF(AND(AD1245&lt;&gt;"",COUNTIFS(tcTipo,AD1245,tcLiq,"Sí")&gt;0),IF(OR(P1245="Gasto",P1245="Transferencia",P1245="Pago tarjeta"),-1,1)*S1245,0)+IF(AND(AE1245&lt;&gt;"",COUNTIFS(tcTipo,AE1245,tcLiq,"Sí")&gt;0),S1245,0))</f>
        <v/>
      </c>
      <c r="AI1245" s="52">
        <f>IF(OR(L1245="",P1245=""),"",IF(COUNTIFS(L$6:L1245,L1245,P$6:P1245,"?*")=1,MAX(AI$5:AI1244)+1,""))</f>
        <v/>
      </c>
    </row>
    <row r="1246">
      <c r="B1246" s="47" t="n"/>
      <c r="C1246" s="48" t="n"/>
      <c r="D1246" s="48" t="n"/>
      <c r="E1246" s="48" t="n"/>
      <c r="F1246" s="48" t="n"/>
      <c r="G1246" s="49" t="n"/>
      <c r="H1246" s="48" t="n"/>
      <c r="I1246" s="50" t="n"/>
      <c r="J1246" s="48" t="n"/>
      <c r="K1246" s="48" t="n"/>
      <c r="L1246" s="48" t="n"/>
      <c r="M1246" s="48" t="n"/>
      <c r="N1246" s="48" t="n"/>
      <c r="O1246" s="51">
        <f>IF(AND(B1246="",G1246="",C1246="",D1246="",J1246=""),"",IF(B1246="","⚠ Falta fecha",IF(G1246="","⚠ Falta monto",IF(Q1246="","⚠ Falta cuenta",IF(ISNA(MATCH(Q1246,ctaNombre,0)),"⚠ Cuenta no registrada",IF(AND(OR(P1246="Gasto",P1246="Reembolso"),D1246=""),"⚠ Falta categoría",IF(AND(D1246&lt;&gt;"",E1246&lt;&gt;"",ISNA(MATCH(D1246&amp;"|"&amp;E1246,catClave,0))),"⚠ Subcategoría no corresponde",IF(AND(OR(P1246="Transferencia",P1246="Pago tarjeta"),K1246=""),"⚠ Falta cuenta destino",IF(AND(K1246&lt;&gt;"",P1246&lt;&gt;"Transferencia",P1246&lt;&gt;"Pago tarjeta"),"⚠ Destino solo aplica a transferencias",IF(AND(K1246&lt;&gt;"",K1246=Q1246),"⚠ Origen igual a destino",IF(AND(K1246&lt;&gt;"",ISNA(MATCH(K1246,ctaNombre,0))),"⚠ Destino no registrado",IF(AND(P1246="Pago tarjeta",AE1246&lt;&gt;"Tarjeta de crédito"),"⚠ El destino debe ser tarjeta de crédito",IF(AND(P1246="Gasto",E1246="Depósitos y retiros"),"⚠ Usa tipo Transferencia",IF(AND(P1246="Resultado trading",AD1246&lt;&gt;"Cuenta de trading"),"⚠ Usa una cuenta de trading",IF(AND(G1246&lt;=0,P1246&lt;&gt;"Ajuste",P1246&lt;&gt;"Resultado trading"),"⚠ El monto debe ser positivo","✓")))))))))))))))</f>
        <v/>
      </c>
      <c r="P1246" s="52">
        <f>IF(OR(B1246="",G1246=""),"",IF(C1246="","Gasto",C1246))</f>
        <v/>
      </c>
      <c r="Q1246" s="52">
        <f>IF(P1246="","",IF(J1246&lt;&gt;"",J1246,CuentaPred&amp;""))</f>
        <v/>
      </c>
      <c r="R1246" s="52">
        <f>IF(P1246="","",IF(ISNUMBER(I1246),I1246,TasaUSD))</f>
        <v/>
      </c>
      <c r="S1246" s="53">
        <f>IF(P1246="","",IF(H1246="USD",G1246*R1246,G1246))</f>
        <v/>
      </c>
      <c r="T1246" s="53">
        <f>IF(P1246="","",IF(H1246="USD",G1246,IF(R1246&gt;0,G1246/R1246,0)))</f>
        <v/>
      </c>
      <c r="U1246" s="53">
        <f>IF(P1246="","",IF(P1246="Gasto",S1246,IF(P1246="Reembolso",-S1246,0)))</f>
        <v/>
      </c>
      <c r="V1246" s="53">
        <f>IF(P1246="","",IF(P1246="Ingreso",S1246,0))</f>
        <v/>
      </c>
      <c r="W1246" s="53">
        <f>IF(P1246="","",IF(P1246="Resultado trading",S1246,0))</f>
        <v/>
      </c>
      <c r="X1246" s="52">
        <f>IF(OR(P1246="Gasto",P1246="Reembolso"),IF(M1246&lt;&gt;"",M1246,IFERROR(INDEX(catClasif,MATCH(D1246&amp;"|"&amp;E1246,catClave,0))&amp;"","Variable")),"")</f>
        <v/>
      </c>
      <c r="Y1246" s="52">
        <f>IF(P1246="","",IFERROR(INDEX(catGrupo,MATCH(D1246&amp;"|"&amp;E1246,catClave,0))&amp;"",""))</f>
        <v/>
      </c>
      <c r="Z1246" s="52">
        <f>IF(P1246="","",WEEKDAY(B1246,2))</f>
        <v/>
      </c>
      <c r="AA1246" s="52">
        <f>IF(P1246="","",IF(AND(P1246="Gasto",X1246="Variable",D1246&lt;&gt;catTrading,S1246&gt;0,S1246&lt;=Umbral),1,0))</f>
        <v/>
      </c>
      <c r="AB1246" s="52">
        <f>IF(OR(P1246="",Q1246=""),"",IFERROR(IF(INDEX(ctaVinc,MATCH(Q1246,ctaNombre,0))&amp;""&lt;&gt;"",INDEX(ctaVinc,MATCH(Q1246,ctaNombre,0))&amp;"",Q1246),Q1246))</f>
        <v/>
      </c>
      <c r="AC1246" s="52">
        <f>IF(OR(K1246="",AND(P1246&lt;&gt;"Transferencia",P1246&lt;&gt;"Pago tarjeta")),"",IFERROR(IF(INDEX(ctaVinc,MATCH(K1246,ctaNombre,0))&amp;""&lt;&gt;"",INDEX(ctaVinc,MATCH(K1246,ctaNombre,0))&amp;"",K1246),K1246))</f>
        <v/>
      </c>
      <c r="AD1246" s="52">
        <f>IF(AB1246="","",IFERROR(INDEX(ctaTipo,MATCH(AB1246,ctaNombre,0))&amp;"",""))</f>
        <v/>
      </c>
      <c r="AE1246" s="52">
        <f>IF(AC1246="","",IFERROR(INDEX(ctaTipo,MATCH(AC1246,ctaNombre,0))&amp;"",""))</f>
        <v/>
      </c>
      <c r="AF1246" s="53">
        <f>IF(OR(P1246="",AB1246=""),"",IF(OR(P1246="Gasto",P1246="Transferencia",P1246="Pago tarjeta"),-1,1)*IF(IFERROR(INDEX(ctaMoneda,MATCH(AB1246,ctaNombre,0))&amp;"","DOP")="USD",T1246,S1246))</f>
        <v/>
      </c>
      <c r="AG1246" s="53">
        <f>IF(AC1246="","",IF(IFERROR(INDEX(ctaMoneda,MATCH(AC1246,ctaNombre,0))&amp;"","DOP")="USD",T1246,S1246))</f>
        <v/>
      </c>
      <c r="AH1246" s="53">
        <f>IF(P1246="","",IF(AND(AD1246&lt;&gt;"",COUNTIFS(tcTipo,AD1246,tcLiq,"Sí")&gt;0),IF(OR(P1246="Gasto",P1246="Transferencia",P1246="Pago tarjeta"),-1,1)*S1246,0)+IF(AND(AE1246&lt;&gt;"",COUNTIFS(tcTipo,AE1246,tcLiq,"Sí")&gt;0),S1246,0))</f>
        <v/>
      </c>
      <c r="AI1246" s="52">
        <f>IF(OR(L1246="",P1246=""),"",IF(COUNTIFS(L$6:L1246,L1246,P$6:P1246,"?*")=1,MAX(AI$5:AI1245)+1,""))</f>
        <v/>
      </c>
    </row>
    <row r="1247">
      <c r="B1247" s="47" t="n"/>
      <c r="C1247" s="48" t="n"/>
      <c r="D1247" s="48" t="n"/>
      <c r="E1247" s="48" t="n"/>
      <c r="F1247" s="48" t="n"/>
      <c r="G1247" s="49" t="n"/>
      <c r="H1247" s="48" t="n"/>
      <c r="I1247" s="50" t="n"/>
      <c r="J1247" s="48" t="n"/>
      <c r="K1247" s="48" t="n"/>
      <c r="L1247" s="48" t="n"/>
      <c r="M1247" s="48" t="n"/>
      <c r="N1247" s="48" t="n"/>
      <c r="O1247" s="51">
        <f>IF(AND(B1247="",G1247="",C1247="",D1247="",J1247=""),"",IF(B1247="","⚠ Falta fecha",IF(G1247="","⚠ Falta monto",IF(Q1247="","⚠ Falta cuenta",IF(ISNA(MATCH(Q1247,ctaNombre,0)),"⚠ Cuenta no registrada",IF(AND(OR(P1247="Gasto",P1247="Reembolso"),D1247=""),"⚠ Falta categoría",IF(AND(D1247&lt;&gt;"",E1247&lt;&gt;"",ISNA(MATCH(D1247&amp;"|"&amp;E1247,catClave,0))),"⚠ Subcategoría no corresponde",IF(AND(OR(P1247="Transferencia",P1247="Pago tarjeta"),K1247=""),"⚠ Falta cuenta destino",IF(AND(K1247&lt;&gt;"",P1247&lt;&gt;"Transferencia",P1247&lt;&gt;"Pago tarjeta"),"⚠ Destino solo aplica a transferencias",IF(AND(K1247&lt;&gt;"",K1247=Q1247),"⚠ Origen igual a destino",IF(AND(K1247&lt;&gt;"",ISNA(MATCH(K1247,ctaNombre,0))),"⚠ Destino no registrado",IF(AND(P1247="Pago tarjeta",AE1247&lt;&gt;"Tarjeta de crédito"),"⚠ El destino debe ser tarjeta de crédito",IF(AND(P1247="Gasto",E1247="Depósitos y retiros"),"⚠ Usa tipo Transferencia",IF(AND(P1247="Resultado trading",AD1247&lt;&gt;"Cuenta de trading"),"⚠ Usa una cuenta de trading",IF(AND(G1247&lt;=0,P1247&lt;&gt;"Ajuste",P1247&lt;&gt;"Resultado trading"),"⚠ El monto debe ser positivo","✓")))))))))))))))</f>
        <v/>
      </c>
      <c r="P1247" s="52">
        <f>IF(OR(B1247="",G1247=""),"",IF(C1247="","Gasto",C1247))</f>
        <v/>
      </c>
      <c r="Q1247" s="52">
        <f>IF(P1247="","",IF(J1247&lt;&gt;"",J1247,CuentaPred&amp;""))</f>
        <v/>
      </c>
      <c r="R1247" s="52">
        <f>IF(P1247="","",IF(ISNUMBER(I1247),I1247,TasaUSD))</f>
        <v/>
      </c>
      <c r="S1247" s="53">
        <f>IF(P1247="","",IF(H1247="USD",G1247*R1247,G1247))</f>
        <v/>
      </c>
      <c r="T1247" s="53">
        <f>IF(P1247="","",IF(H1247="USD",G1247,IF(R1247&gt;0,G1247/R1247,0)))</f>
        <v/>
      </c>
      <c r="U1247" s="53">
        <f>IF(P1247="","",IF(P1247="Gasto",S1247,IF(P1247="Reembolso",-S1247,0)))</f>
        <v/>
      </c>
      <c r="V1247" s="53">
        <f>IF(P1247="","",IF(P1247="Ingreso",S1247,0))</f>
        <v/>
      </c>
      <c r="W1247" s="53">
        <f>IF(P1247="","",IF(P1247="Resultado trading",S1247,0))</f>
        <v/>
      </c>
      <c r="X1247" s="52">
        <f>IF(OR(P1247="Gasto",P1247="Reembolso"),IF(M1247&lt;&gt;"",M1247,IFERROR(INDEX(catClasif,MATCH(D1247&amp;"|"&amp;E1247,catClave,0))&amp;"","Variable")),"")</f>
        <v/>
      </c>
      <c r="Y1247" s="52">
        <f>IF(P1247="","",IFERROR(INDEX(catGrupo,MATCH(D1247&amp;"|"&amp;E1247,catClave,0))&amp;"",""))</f>
        <v/>
      </c>
      <c r="Z1247" s="52">
        <f>IF(P1247="","",WEEKDAY(B1247,2))</f>
        <v/>
      </c>
      <c r="AA1247" s="52">
        <f>IF(P1247="","",IF(AND(P1247="Gasto",X1247="Variable",D1247&lt;&gt;catTrading,S1247&gt;0,S1247&lt;=Umbral),1,0))</f>
        <v/>
      </c>
      <c r="AB1247" s="52">
        <f>IF(OR(P1247="",Q1247=""),"",IFERROR(IF(INDEX(ctaVinc,MATCH(Q1247,ctaNombre,0))&amp;""&lt;&gt;"",INDEX(ctaVinc,MATCH(Q1247,ctaNombre,0))&amp;"",Q1247),Q1247))</f>
        <v/>
      </c>
      <c r="AC1247" s="52">
        <f>IF(OR(K1247="",AND(P1247&lt;&gt;"Transferencia",P1247&lt;&gt;"Pago tarjeta")),"",IFERROR(IF(INDEX(ctaVinc,MATCH(K1247,ctaNombre,0))&amp;""&lt;&gt;"",INDEX(ctaVinc,MATCH(K1247,ctaNombre,0))&amp;"",K1247),K1247))</f>
        <v/>
      </c>
      <c r="AD1247" s="52">
        <f>IF(AB1247="","",IFERROR(INDEX(ctaTipo,MATCH(AB1247,ctaNombre,0))&amp;"",""))</f>
        <v/>
      </c>
      <c r="AE1247" s="52">
        <f>IF(AC1247="","",IFERROR(INDEX(ctaTipo,MATCH(AC1247,ctaNombre,0))&amp;"",""))</f>
        <v/>
      </c>
      <c r="AF1247" s="53">
        <f>IF(OR(P1247="",AB1247=""),"",IF(OR(P1247="Gasto",P1247="Transferencia",P1247="Pago tarjeta"),-1,1)*IF(IFERROR(INDEX(ctaMoneda,MATCH(AB1247,ctaNombre,0))&amp;"","DOP")="USD",T1247,S1247))</f>
        <v/>
      </c>
      <c r="AG1247" s="53">
        <f>IF(AC1247="","",IF(IFERROR(INDEX(ctaMoneda,MATCH(AC1247,ctaNombre,0))&amp;"","DOP")="USD",T1247,S1247))</f>
        <v/>
      </c>
      <c r="AH1247" s="53">
        <f>IF(P1247="","",IF(AND(AD1247&lt;&gt;"",COUNTIFS(tcTipo,AD1247,tcLiq,"Sí")&gt;0),IF(OR(P1247="Gasto",P1247="Transferencia",P1247="Pago tarjeta"),-1,1)*S1247,0)+IF(AND(AE1247&lt;&gt;"",COUNTIFS(tcTipo,AE1247,tcLiq,"Sí")&gt;0),S1247,0))</f>
        <v/>
      </c>
      <c r="AI1247" s="52">
        <f>IF(OR(L1247="",P1247=""),"",IF(COUNTIFS(L$6:L1247,L1247,P$6:P1247,"?*")=1,MAX(AI$5:AI1246)+1,""))</f>
        <v/>
      </c>
    </row>
    <row r="1248">
      <c r="B1248" s="47" t="n"/>
      <c r="C1248" s="48" t="n"/>
      <c r="D1248" s="48" t="n"/>
      <c r="E1248" s="48" t="n"/>
      <c r="F1248" s="48" t="n"/>
      <c r="G1248" s="49" t="n"/>
      <c r="H1248" s="48" t="n"/>
      <c r="I1248" s="50" t="n"/>
      <c r="J1248" s="48" t="n"/>
      <c r="K1248" s="48" t="n"/>
      <c r="L1248" s="48" t="n"/>
      <c r="M1248" s="48" t="n"/>
      <c r="N1248" s="48" t="n"/>
      <c r="O1248" s="51">
        <f>IF(AND(B1248="",G1248="",C1248="",D1248="",J1248=""),"",IF(B1248="","⚠ Falta fecha",IF(G1248="","⚠ Falta monto",IF(Q1248="","⚠ Falta cuenta",IF(ISNA(MATCH(Q1248,ctaNombre,0)),"⚠ Cuenta no registrada",IF(AND(OR(P1248="Gasto",P1248="Reembolso"),D1248=""),"⚠ Falta categoría",IF(AND(D1248&lt;&gt;"",E1248&lt;&gt;"",ISNA(MATCH(D1248&amp;"|"&amp;E1248,catClave,0))),"⚠ Subcategoría no corresponde",IF(AND(OR(P1248="Transferencia",P1248="Pago tarjeta"),K1248=""),"⚠ Falta cuenta destino",IF(AND(K1248&lt;&gt;"",P1248&lt;&gt;"Transferencia",P1248&lt;&gt;"Pago tarjeta"),"⚠ Destino solo aplica a transferencias",IF(AND(K1248&lt;&gt;"",K1248=Q1248),"⚠ Origen igual a destino",IF(AND(K1248&lt;&gt;"",ISNA(MATCH(K1248,ctaNombre,0))),"⚠ Destino no registrado",IF(AND(P1248="Pago tarjeta",AE1248&lt;&gt;"Tarjeta de crédito"),"⚠ El destino debe ser tarjeta de crédito",IF(AND(P1248="Gasto",E1248="Depósitos y retiros"),"⚠ Usa tipo Transferencia",IF(AND(P1248="Resultado trading",AD1248&lt;&gt;"Cuenta de trading"),"⚠ Usa una cuenta de trading",IF(AND(G1248&lt;=0,P1248&lt;&gt;"Ajuste",P1248&lt;&gt;"Resultado trading"),"⚠ El monto debe ser positivo","✓")))))))))))))))</f>
        <v/>
      </c>
      <c r="P1248" s="52">
        <f>IF(OR(B1248="",G1248=""),"",IF(C1248="","Gasto",C1248))</f>
        <v/>
      </c>
      <c r="Q1248" s="52">
        <f>IF(P1248="","",IF(J1248&lt;&gt;"",J1248,CuentaPred&amp;""))</f>
        <v/>
      </c>
      <c r="R1248" s="52">
        <f>IF(P1248="","",IF(ISNUMBER(I1248),I1248,TasaUSD))</f>
        <v/>
      </c>
      <c r="S1248" s="53">
        <f>IF(P1248="","",IF(H1248="USD",G1248*R1248,G1248))</f>
        <v/>
      </c>
      <c r="T1248" s="53">
        <f>IF(P1248="","",IF(H1248="USD",G1248,IF(R1248&gt;0,G1248/R1248,0)))</f>
        <v/>
      </c>
      <c r="U1248" s="53">
        <f>IF(P1248="","",IF(P1248="Gasto",S1248,IF(P1248="Reembolso",-S1248,0)))</f>
        <v/>
      </c>
      <c r="V1248" s="53">
        <f>IF(P1248="","",IF(P1248="Ingreso",S1248,0))</f>
        <v/>
      </c>
      <c r="W1248" s="53">
        <f>IF(P1248="","",IF(P1248="Resultado trading",S1248,0))</f>
        <v/>
      </c>
      <c r="X1248" s="52">
        <f>IF(OR(P1248="Gasto",P1248="Reembolso"),IF(M1248&lt;&gt;"",M1248,IFERROR(INDEX(catClasif,MATCH(D1248&amp;"|"&amp;E1248,catClave,0))&amp;"","Variable")),"")</f>
        <v/>
      </c>
      <c r="Y1248" s="52">
        <f>IF(P1248="","",IFERROR(INDEX(catGrupo,MATCH(D1248&amp;"|"&amp;E1248,catClave,0))&amp;"",""))</f>
        <v/>
      </c>
      <c r="Z1248" s="52">
        <f>IF(P1248="","",WEEKDAY(B1248,2))</f>
        <v/>
      </c>
      <c r="AA1248" s="52">
        <f>IF(P1248="","",IF(AND(P1248="Gasto",X1248="Variable",D1248&lt;&gt;catTrading,S1248&gt;0,S1248&lt;=Umbral),1,0))</f>
        <v/>
      </c>
      <c r="AB1248" s="52">
        <f>IF(OR(P1248="",Q1248=""),"",IFERROR(IF(INDEX(ctaVinc,MATCH(Q1248,ctaNombre,0))&amp;""&lt;&gt;"",INDEX(ctaVinc,MATCH(Q1248,ctaNombre,0))&amp;"",Q1248),Q1248))</f>
        <v/>
      </c>
      <c r="AC1248" s="52">
        <f>IF(OR(K1248="",AND(P1248&lt;&gt;"Transferencia",P1248&lt;&gt;"Pago tarjeta")),"",IFERROR(IF(INDEX(ctaVinc,MATCH(K1248,ctaNombre,0))&amp;""&lt;&gt;"",INDEX(ctaVinc,MATCH(K1248,ctaNombre,0))&amp;"",K1248),K1248))</f>
        <v/>
      </c>
      <c r="AD1248" s="52">
        <f>IF(AB1248="","",IFERROR(INDEX(ctaTipo,MATCH(AB1248,ctaNombre,0))&amp;"",""))</f>
        <v/>
      </c>
      <c r="AE1248" s="52">
        <f>IF(AC1248="","",IFERROR(INDEX(ctaTipo,MATCH(AC1248,ctaNombre,0))&amp;"",""))</f>
        <v/>
      </c>
      <c r="AF1248" s="53">
        <f>IF(OR(P1248="",AB1248=""),"",IF(OR(P1248="Gasto",P1248="Transferencia",P1248="Pago tarjeta"),-1,1)*IF(IFERROR(INDEX(ctaMoneda,MATCH(AB1248,ctaNombre,0))&amp;"","DOP")="USD",T1248,S1248))</f>
        <v/>
      </c>
      <c r="AG1248" s="53">
        <f>IF(AC1248="","",IF(IFERROR(INDEX(ctaMoneda,MATCH(AC1248,ctaNombre,0))&amp;"","DOP")="USD",T1248,S1248))</f>
        <v/>
      </c>
      <c r="AH1248" s="53">
        <f>IF(P1248="","",IF(AND(AD1248&lt;&gt;"",COUNTIFS(tcTipo,AD1248,tcLiq,"Sí")&gt;0),IF(OR(P1248="Gasto",P1248="Transferencia",P1248="Pago tarjeta"),-1,1)*S1248,0)+IF(AND(AE1248&lt;&gt;"",COUNTIFS(tcTipo,AE1248,tcLiq,"Sí")&gt;0),S1248,0))</f>
        <v/>
      </c>
      <c r="AI1248" s="52">
        <f>IF(OR(L1248="",P1248=""),"",IF(COUNTIFS(L$6:L1248,L1248,P$6:P1248,"?*")=1,MAX(AI$5:AI1247)+1,""))</f>
        <v/>
      </c>
    </row>
    <row r="1249">
      <c r="B1249" s="47" t="n"/>
      <c r="C1249" s="48" t="n"/>
      <c r="D1249" s="48" t="n"/>
      <c r="E1249" s="48" t="n"/>
      <c r="F1249" s="48" t="n"/>
      <c r="G1249" s="49" t="n"/>
      <c r="H1249" s="48" t="n"/>
      <c r="I1249" s="50" t="n"/>
      <c r="J1249" s="48" t="n"/>
      <c r="K1249" s="48" t="n"/>
      <c r="L1249" s="48" t="n"/>
      <c r="M1249" s="48" t="n"/>
      <c r="N1249" s="48" t="n"/>
      <c r="O1249" s="51">
        <f>IF(AND(B1249="",G1249="",C1249="",D1249="",J1249=""),"",IF(B1249="","⚠ Falta fecha",IF(G1249="","⚠ Falta monto",IF(Q1249="","⚠ Falta cuenta",IF(ISNA(MATCH(Q1249,ctaNombre,0)),"⚠ Cuenta no registrada",IF(AND(OR(P1249="Gasto",P1249="Reembolso"),D1249=""),"⚠ Falta categoría",IF(AND(D1249&lt;&gt;"",E1249&lt;&gt;"",ISNA(MATCH(D1249&amp;"|"&amp;E1249,catClave,0))),"⚠ Subcategoría no corresponde",IF(AND(OR(P1249="Transferencia",P1249="Pago tarjeta"),K1249=""),"⚠ Falta cuenta destino",IF(AND(K1249&lt;&gt;"",P1249&lt;&gt;"Transferencia",P1249&lt;&gt;"Pago tarjeta"),"⚠ Destino solo aplica a transferencias",IF(AND(K1249&lt;&gt;"",K1249=Q1249),"⚠ Origen igual a destino",IF(AND(K1249&lt;&gt;"",ISNA(MATCH(K1249,ctaNombre,0))),"⚠ Destino no registrado",IF(AND(P1249="Pago tarjeta",AE1249&lt;&gt;"Tarjeta de crédito"),"⚠ El destino debe ser tarjeta de crédito",IF(AND(P1249="Gasto",E1249="Depósitos y retiros"),"⚠ Usa tipo Transferencia",IF(AND(P1249="Resultado trading",AD1249&lt;&gt;"Cuenta de trading"),"⚠ Usa una cuenta de trading",IF(AND(G1249&lt;=0,P1249&lt;&gt;"Ajuste",P1249&lt;&gt;"Resultado trading"),"⚠ El monto debe ser positivo","✓")))))))))))))))</f>
        <v/>
      </c>
      <c r="P1249" s="52">
        <f>IF(OR(B1249="",G1249=""),"",IF(C1249="","Gasto",C1249))</f>
        <v/>
      </c>
      <c r="Q1249" s="52">
        <f>IF(P1249="","",IF(J1249&lt;&gt;"",J1249,CuentaPred&amp;""))</f>
        <v/>
      </c>
      <c r="R1249" s="52">
        <f>IF(P1249="","",IF(ISNUMBER(I1249),I1249,TasaUSD))</f>
        <v/>
      </c>
      <c r="S1249" s="53">
        <f>IF(P1249="","",IF(H1249="USD",G1249*R1249,G1249))</f>
        <v/>
      </c>
      <c r="T1249" s="53">
        <f>IF(P1249="","",IF(H1249="USD",G1249,IF(R1249&gt;0,G1249/R1249,0)))</f>
        <v/>
      </c>
      <c r="U1249" s="53">
        <f>IF(P1249="","",IF(P1249="Gasto",S1249,IF(P1249="Reembolso",-S1249,0)))</f>
        <v/>
      </c>
      <c r="V1249" s="53">
        <f>IF(P1249="","",IF(P1249="Ingreso",S1249,0))</f>
        <v/>
      </c>
      <c r="W1249" s="53">
        <f>IF(P1249="","",IF(P1249="Resultado trading",S1249,0))</f>
        <v/>
      </c>
      <c r="X1249" s="52">
        <f>IF(OR(P1249="Gasto",P1249="Reembolso"),IF(M1249&lt;&gt;"",M1249,IFERROR(INDEX(catClasif,MATCH(D1249&amp;"|"&amp;E1249,catClave,0))&amp;"","Variable")),"")</f>
        <v/>
      </c>
      <c r="Y1249" s="52">
        <f>IF(P1249="","",IFERROR(INDEX(catGrupo,MATCH(D1249&amp;"|"&amp;E1249,catClave,0))&amp;"",""))</f>
        <v/>
      </c>
      <c r="Z1249" s="52">
        <f>IF(P1249="","",WEEKDAY(B1249,2))</f>
        <v/>
      </c>
      <c r="AA1249" s="52">
        <f>IF(P1249="","",IF(AND(P1249="Gasto",X1249="Variable",D1249&lt;&gt;catTrading,S1249&gt;0,S1249&lt;=Umbral),1,0))</f>
        <v/>
      </c>
      <c r="AB1249" s="52">
        <f>IF(OR(P1249="",Q1249=""),"",IFERROR(IF(INDEX(ctaVinc,MATCH(Q1249,ctaNombre,0))&amp;""&lt;&gt;"",INDEX(ctaVinc,MATCH(Q1249,ctaNombre,0))&amp;"",Q1249),Q1249))</f>
        <v/>
      </c>
      <c r="AC1249" s="52">
        <f>IF(OR(K1249="",AND(P1249&lt;&gt;"Transferencia",P1249&lt;&gt;"Pago tarjeta")),"",IFERROR(IF(INDEX(ctaVinc,MATCH(K1249,ctaNombre,0))&amp;""&lt;&gt;"",INDEX(ctaVinc,MATCH(K1249,ctaNombre,0))&amp;"",K1249),K1249))</f>
        <v/>
      </c>
      <c r="AD1249" s="52">
        <f>IF(AB1249="","",IFERROR(INDEX(ctaTipo,MATCH(AB1249,ctaNombre,0))&amp;"",""))</f>
        <v/>
      </c>
      <c r="AE1249" s="52">
        <f>IF(AC1249="","",IFERROR(INDEX(ctaTipo,MATCH(AC1249,ctaNombre,0))&amp;"",""))</f>
        <v/>
      </c>
      <c r="AF1249" s="53">
        <f>IF(OR(P1249="",AB1249=""),"",IF(OR(P1249="Gasto",P1249="Transferencia",P1249="Pago tarjeta"),-1,1)*IF(IFERROR(INDEX(ctaMoneda,MATCH(AB1249,ctaNombre,0))&amp;"","DOP")="USD",T1249,S1249))</f>
        <v/>
      </c>
      <c r="AG1249" s="53">
        <f>IF(AC1249="","",IF(IFERROR(INDEX(ctaMoneda,MATCH(AC1249,ctaNombre,0))&amp;"","DOP")="USD",T1249,S1249))</f>
        <v/>
      </c>
      <c r="AH1249" s="53">
        <f>IF(P1249="","",IF(AND(AD1249&lt;&gt;"",COUNTIFS(tcTipo,AD1249,tcLiq,"Sí")&gt;0),IF(OR(P1249="Gasto",P1249="Transferencia",P1249="Pago tarjeta"),-1,1)*S1249,0)+IF(AND(AE1249&lt;&gt;"",COUNTIFS(tcTipo,AE1249,tcLiq,"Sí")&gt;0),S1249,0))</f>
        <v/>
      </c>
      <c r="AI1249" s="52">
        <f>IF(OR(L1249="",P1249=""),"",IF(COUNTIFS(L$6:L1249,L1249,P$6:P1249,"?*")=1,MAX(AI$5:AI1248)+1,""))</f>
        <v/>
      </c>
    </row>
    <row r="1250">
      <c r="B1250" s="47" t="n"/>
      <c r="C1250" s="48" t="n"/>
      <c r="D1250" s="48" t="n"/>
      <c r="E1250" s="48" t="n"/>
      <c r="F1250" s="48" t="n"/>
      <c r="G1250" s="49" t="n"/>
      <c r="H1250" s="48" t="n"/>
      <c r="I1250" s="50" t="n"/>
      <c r="J1250" s="48" t="n"/>
      <c r="K1250" s="48" t="n"/>
      <c r="L1250" s="48" t="n"/>
      <c r="M1250" s="48" t="n"/>
      <c r="N1250" s="48" t="n"/>
      <c r="O1250" s="51">
        <f>IF(AND(B1250="",G1250="",C1250="",D1250="",J1250=""),"",IF(B1250="","⚠ Falta fecha",IF(G1250="","⚠ Falta monto",IF(Q1250="","⚠ Falta cuenta",IF(ISNA(MATCH(Q1250,ctaNombre,0)),"⚠ Cuenta no registrada",IF(AND(OR(P1250="Gasto",P1250="Reembolso"),D1250=""),"⚠ Falta categoría",IF(AND(D1250&lt;&gt;"",E1250&lt;&gt;"",ISNA(MATCH(D1250&amp;"|"&amp;E1250,catClave,0))),"⚠ Subcategoría no corresponde",IF(AND(OR(P1250="Transferencia",P1250="Pago tarjeta"),K1250=""),"⚠ Falta cuenta destino",IF(AND(K1250&lt;&gt;"",P1250&lt;&gt;"Transferencia",P1250&lt;&gt;"Pago tarjeta"),"⚠ Destino solo aplica a transferencias",IF(AND(K1250&lt;&gt;"",K1250=Q1250),"⚠ Origen igual a destino",IF(AND(K1250&lt;&gt;"",ISNA(MATCH(K1250,ctaNombre,0))),"⚠ Destino no registrado",IF(AND(P1250="Pago tarjeta",AE1250&lt;&gt;"Tarjeta de crédito"),"⚠ El destino debe ser tarjeta de crédito",IF(AND(P1250="Gasto",E1250="Depósitos y retiros"),"⚠ Usa tipo Transferencia",IF(AND(P1250="Resultado trading",AD1250&lt;&gt;"Cuenta de trading"),"⚠ Usa una cuenta de trading",IF(AND(G1250&lt;=0,P1250&lt;&gt;"Ajuste",P1250&lt;&gt;"Resultado trading"),"⚠ El monto debe ser positivo","✓")))))))))))))))</f>
        <v/>
      </c>
      <c r="P1250" s="52">
        <f>IF(OR(B1250="",G1250=""),"",IF(C1250="","Gasto",C1250))</f>
        <v/>
      </c>
      <c r="Q1250" s="52">
        <f>IF(P1250="","",IF(J1250&lt;&gt;"",J1250,CuentaPred&amp;""))</f>
        <v/>
      </c>
      <c r="R1250" s="52">
        <f>IF(P1250="","",IF(ISNUMBER(I1250),I1250,TasaUSD))</f>
        <v/>
      </c>
      <c r="S1250" s="53">
        <f>IF(P1250="","",IF(H1250="USD",G1250*R1250,G1250))</f>
        <v/>
      </c>
      <c r="T1250" s="53">
        <f>IF(P1250="","",IF(H1250="USD",G1250,IF(R1250&gt;0,G1250/R1250,0)))</f>
        <v/>
      </c>
      <c r="U1250" s="53">
        <f>IF(P1250="","",IF(P1250="Gasto",S1250,IF(P1250="Reembolso",-S1250,0)))</f>
        <v/>
      </c>
      <c r="V1250" s="53">
        <f>IF(P1250="","",IF(P1250="Ingreso",S1250,0))</f>
        <v/>
      </c>
      <c r="W1250" s="53">
        <f>IF(P1250="","",IF(P1250="Resultado trading",S1250,0))</f>
        <v/>
      </c>
      <c r="X1250" s="52">
        <f>IF(OR(P1250="Gasto",P1250="Reembolso"),IF(M1250&lt;&gt;"",M1250,IFERROR(INDEX(catClasif,MATCH(D1250&amp;"|"&amp;E1250,catClave,0))&amp;"","Variable")),"")</f>
        <v/>
      </c>
      <c r="Y1250" s="52">
        <f>IF(P1250="","",IFERROR(INDEX(catGrupo,MATCH(D1250&amp;"|"&amp;E1250,catClave,0))&amp;"",""))</f>
        <v/>
      </c>
      <c r="Z1250" s="52">
        <f>IF(P1250="","",WEEKDAY(B1250,2))</f>
        <v/>
      </c>
      <c r="AA1250" s="52">
        <f>IF(P1250="","",IF(AND(P1250="Gasto",X1250="Variable",D1250&lt;&gt;catTrading,S1250&gt;0,S1250&lt;=Umbral),1,0))</f>
        <v/>
      </c>
      <c r="AB1250" s="52">
        <f>IF(OR(P1250="",Q1250=""),"",IFERROR(IF(INDEX(ctaVinc,MATCH(Q1250,ctaNombre,0))&amp;""&lt;&gt;"",INDEX(ctaVinc,MATCH(Q1250,ctaNombre,0))&amp;"",Q1250),Q1250))</f>
        <v/>
      </c>
      <c r="AC1250" s="52">
        <f>IF(OR(K1250="",AND(P1250&lt;&gt;"Transferencia",P1250&lt;&gt;"Pago tarjeta")),"",IFERROR(IF(INDEX(ctaVinc,MATCH(K1250,ctaNombre,0))&amp;""&lt;&gt;"",INDEX(ctaVinc,MATCH(K1250,ctaNombre,0))&amp;"",K1250),K1250))</f>
        <v/>
      </c>
      <c r="AD1250" s="52">
        <f>IF(AB1250="","",IFERROR(INDEX(ctaTipo,MATCH(AB1250,ctaNombre,0))&amp;"",""))</f>
        <v/>
      </c>
      <c r="AE1250" s="52">
        <f>IF(AC1250="","",IFERROR(INDEX(ctaTipo,MATCH(AC1250,ctaNombre,0))&amp;"",""))</f>
        <v/>
      </c>
      <c r="AF1250" s="53">
        <f>IF(OR(P1250="",AB1250=""),"",IF(OR(P1250="Gasto",P1250="Transferencia",P1250="Pago tarjeta"),-1,1)*IF(IFERROR(INDEX(ctaMoneda,MATCH(AB1250,ctaNombre,0))&amp;"","DOP")="USD",T1250,S1250))</f>
        <v/>
      </c>
      <c r="AG1250" s="53">
        <f>IF(AC1250="","",IF(IFERROR(INDEX(ctaMoneda,MATCH(AC1250,ctaNombre,0))&amp;"","DOP")="USD",T1250,S1250))</f>
        <v/>
      </c>
      <c r="AH1250" s="53">
        <f>IF(P1250="","",IF(AND(AD1250&lt;&gt;"",COUNTIFS(tcTipo,AD1250,tcLiq,"Sí")&gt;0),IF(OR(P1250="Gasto",P1250="Transferencia",P1250="Pago tarjeta"),-1,1)*S1250,0)+IF(AND(AE1250&lt;&gt;"",COUNTIFS(tcTipo,AE1250,tcLiq,"Sí")&gt;0),S1250,0))</f>
        <v/>
      </c>
      <c r="AI1250" s="52">
        <f>IF(OR(L1250="",P1250=""),"",IF(COUNTIFS(L$6:L1250,L1250,P$6:P1250,"?*")=1,MAX(AI$5:AI1249)+1,""))</f>
        <v/>
      </c>
    </row>
    <row r="1251">
      <c r="B1251" s="47" t="n"/>
      <c r="C1251" s="48" t="n"/>
      <c r="D1251" s="48" t="n"/>
      <c r="E1251" s="48" t="n"/>
      <c r="F1251" s="48" t="n"/>
      <c r="G1251" s="49" t="n"/>
      <c r="H1251" s="48" t="n"/>
      <c r="I1251" s="50" t="n"/>
      <c r="J1251" s="48" t="n"/>
      <c r="K1251" s="48" t="n"/>
      <c r="L1251" s="48" t="n"/>
      <c r="M1251" s="48" t="n"/>
      <c r="N1251" s="48" t="n"/>
      <c r="O1251" s="51">
        <f>IF(AND(B1251="",G1251="",C1251="",D1251="",J1251=""),"",IF(B1251="","⚠ Falta fecha",IF(G1251="","⚠ Falta monto",IF(Q1251="","⚠ Falta cuenta",IF(ISNA(MATCH(Q1251,ctaNombre,0)),"⚠ Cuenta no registrada",IF(AND(OR(P1251="Gasto",P1251="Reembolso"),D1251=""),"⚠ Falta categoría",IF(AND(D1251&lt;&gt;"",E1251&lt;&gt;"",ISNA(MATCH(D1251&amp;"|"&amp;E1251,catClave,0))),"⚠ Subcategoría no corresponde",IF(AND(OR(P1251="Transferencia",P1251="Pago tarjeta"),K1251=""),"⚠ Falta cuenta destino",IF(AND(K1251&lt;&gt;"",P1251&lt;&gt;"Transferencia",P1251&lt;&gt;"Pago tarjeta"),"⚠ Destino solo aplica a transferencias",IF(AND(K1251&lt;&gt;"",K1251=Q1251),"⚠ Origen igual a destino",IF(AND(K1251&lt;&gt;"",ISNA(MATCH(K1251,ctaNombre,0))),"⚠ Destino no registrado",IF(AND(P1251="Pago tarjeta",AE1251&lt;&gt;"Tarjeta de crédito"),"⚠ El destino debe ser tarjeta de crédito",IF(AND(P1251="Gasto",E1251="Depósitos y retiros"),"⚠ Usa tipo Transferencia",IF(AND(P1251="Resultado trading",AD1251&lt;&gt;"Cuenta de trading"),"⚠ Usa una cuenta de trading",IF(AND(G1251&lt;=0,P1251&lt;&gt;"Ajuste",P1251&lt;&gt;"Resultado trading"),"⚠ El monto debe ser positivo","✓")))))))))))))))</f>
        <v/>
      </c>
      <c r="P1251" s="52">
        <f>IF(OR(B1251="",G1251=""),"",IF(C1251="","Gasto",C1251))</f>
        <v/>
      </c>
      <c r="Q1251" s="52">
        <f>IF(P1251="","",IF(J1251&lt;&gt;"",J1251,CuentaPred&amp;""))</f>
        <v/>
      </c>
      <c r="R1251" s="52">
        <f>IF(P1251="","",IF(ISNUMBER(I1251),I1251,TasaUSD))</f>
        <v/>
      </c>
      <c r="S1251" s="53">
        <f>IF(P1251="","",IF(H1251="USD",G1251*R1251,G1251))</f>
        <v/>
      </c>
      <c r="T1251" s="53">
        <f>IF(P1251="","",IF(H1251="USD",G1251,IF(R1251&gt;0,G1251/R1251,0)))</f>
        <v/>
      </c>
      <c r="U1251" s="53">
        <f>IF(P1251="","",IF(P1251="Gasto",S1251,IF(P1251="Reembolso",-S1251,0)))</f>
        <v/>
      </c>
      <c r="V1251" s="53">
        <f>IF(P1251="","",IF(P1251="Ingreso",S1251,0))</f>
        <v/>
      </c>
      <c r="W1251" s="53">
        <f>IF(P1251="","",IF(P1251="Resultado trading",S1251,0))</f>
        <v/>
      </c>
      <c r="X1251" s="52">
        <f>IF(OR(P1251="Gasto",P1251="Reembolso"),IF(M1251&lt;&gt;"",M1251,IFERROR(INDEX(catClasif,MATCH(D1251&amp;"|"&amp;E1251,catClave,0))&amp;"","Variable")),"")</f>
        <v/>
      </c>
      <c r="Y1251" s="52">
        <f>IF(P1251="","",IFERROR(INDEX(catGrupo,MATCH(D1251&amp;"|"&amp;E1251,catClave,0))&amp;"",""))</f>
        <v/>
      </c>
      <c r="Z1251" s="52">
        <f>IF(P1251="","",WEEKDAY(B1251,2))</f>
        <v/>
      </c>
      <c r="AA1251" s="52">
        <f>IF(P1251="","",IF(AND(P1251="Gasto",X1251="Variable",D1251&lt;&gt;catTrading,S1251&gt;0,S1251&lt;=Umbral),1,0))</f>
        <v/>
      </c>
      <c r="AB1251" s="52">
        <f>IF(OR(P1251="",Q1251=""),"",IFERROR(IF(INDEX(ctaVinc,MATCH(Q1251,ctaNombre,0))&amp;""&lt;&gt;"",INDEX(ctaVinc,MATCH(Q1251,ctaNombre,0))&amp;"",Q1251),Q1251))</f>
        <v/>
      </c>
      <c r="AC1251" s="52">
        <f>IF(OR(K1251="",AND(P1251&lt;&gt;"Transferencia",P1251&lt;&gt;"Pago tarjeta")),"",IFERROR(IF(INDEX(ctaVinc,MATCH(K1251,ctaNombre,0))&amp;""&lt;&gt;"",INDEX(ctaVinc,MATCH(K1251,ctaNombre,0))&amp;"",K1251),K1251))</f>
        <v/>
      </c>
      <c r="AD1251" s="52">
        <f>IF(AB1251="","",IFERROR(INDEX(ctaTipo,MATCH(AB1251,ctaNombre,0))&amp;"",""))</f>
        <v/>
      </c>
      <c r="AE1251" s="52">
        <f>IF(AC1251="","",IFERROR(INDEX(ctaTipo,MATCH(AC1251,ctaNombre,0))&amp;"",""))</f>
        <v/>
      </c>
      <c r="AF1251" s="53">
        <f>IF(OR(P1251="",AB1251=""),"",IF(OR(P1251="Gasto",P1251="Transferencia",P1251="Pago tarjeta"),-1,1)*IF(IFERROR(INDEX(ctaMoneda,MATCH(AB1251,ctaNombre,0))&amp;"","DOP")="USD",T1251,S1251))</f>
        <v/>
      </c>
      <c r="AG1251" s="53">
        <f>IF(AC1251="","",IF(IFERROR(INDEX(ctaMoneda,MATCH(AC1251,ctaNombre,0))&amp;"","DOP")="USD",T1251,S1251))</f>
        <v/>
      </c>
      <c r="AH1251" s="53">
        <f>IF(P1251="","",IF(AND(AD1251&lt;&gt;"",COUNTIFS(tcTipo,AD1251,tcLiq,"Sí")&gt;0),IF(OR(P1251="Gasto",P1251="Transferencia",P1251="Pago tarjeta"),-1,1)*S1251,0)+IF(AND(AE1251&lt;&gt;"",COUNTIFS(tcTipo,AE1251,tcLiq,"Sí")&gt;0),S1251,0))</f>
        <v/>
      </c>
      <c r="AI1251" s="52">
        <f>IF(OR(L1251="",P1251=""),"",IF(COUNTIFS(L$6:L1251,L1251,P$6:P1251,"?*")=1,MAX(AI$5:AI1250)+1,""))</f>
        <v/>
      </c>
    </row>
    <row r="1252">
      <c r="B1252" s="47" t="n"/>
      <c r="C1252" s="48" t="n"/>
      <c r="D1252" s="48" t="n"/>
      <c r="E1252" s="48" t="n"/>
      <c r="F1252" s="48" t="n"/>
      <c r="G1252" s="49" t="n"/>
      <c r="H1252" s="48" t="n"/>
      <c r="I1252" s="50" t="n"/>
      <c r="J1252" s="48" t="n"/>
      <c r="K1252" s="48" t="n"/>
      <c r="L1252" s="48" t="n"/>
      <c r="M1252" s="48" t="n"/>
      <c r="N1252" s="48" t="n"/>
      <c r="O1252" s="51">
        <f>IF(AND(B1252="",G1252="",C1252="",D1252="",J1252=""),"",IF(B1252="","⚠ Falta fecha",IF(G1252="","⚠ Falta monto",IF(Q1252="","⚠ Falta cuenta",IF(ISNA(MATCH(Q1252,ctaNombre,0)),"⚠ Cuenta no registrada",IF(AND(OR(P1252="Gasto",P1252="Reembolso"),D1252=""),"⚠ Falta categoría",IF(AND(D1252&lt;&gt;"",E1252&lt;&gt;"",ISNA(MATCH(D1252&amp;"|"&amp;E1252,catClave,0))),"⚠ Subcategoría no corresponde",IF(AND(OR(P1252="Transferencia",P1252="Pago tarjeta"),K1252=""),"⚠ Falta cuenta destino",IF(AND(K1252&lt;&gt;"",P1252&lt;&gt;"Transferencia",P1252&lt;&gt;"Pago tarjeta"),"⚠ Destino solo aplica a transferencias",IF(AND(K1252&lt;&gt;"",K1252=Q1252),"⚠ Origen igual a destino",IF(AND(K1252&lt;&gt;"",ISNA(MATCH(K1252,ctaNombre,0))),"⚠ Destino no registrado",IF(AND(P1252="Pago tarjeta",AE1252&lt;&gt;"Tarjeta de crédito"),"⚠ El destino debe ser tarjeta de crédito",IF(AND(P1252="Gasto",E1252="Depósitos y retiros"),"⚠ Usa tipo Transferencia",IF(AND(P1252="Resultado trading",AD1252&lt;&gt;"Cuenta de trading"),"⚠ Usa una cuenta de trading",IF(AND(G1252&lt;=0,P1252&lt;&gt;"Ajuste",P1252&lt;&gt;"Resultado trading"),"⚠ El monto debe ser positivo","✓")))))))))))))))</f>
        <v/>
      </c>
      <c r="P1252" s="52">
        <f>IF(OR(B1252="",G1252=""),"",IF(C1252="","Gasto",C1252))</f>
        <v/>
      </c>
      <c r="Q1252" s="52">
        <f>IF(P1252="","",IF(J1252&lt;&gt;"",J1252,CuentaPred&amp;""))</f>
        <v/>
      </c>
      <c r="R1252" s="52">
        <f>IF(P1252="","",IF(ISNUMBER(I1252),I1252,TasaUSD))</f>
        <v/>
      </c>
      <c r="S1252" s="53">
        <f>IF(P1252="","",IF(H1252="USD",G1252*R1252,G1252))</f>
        <v/>
      </c>
      <c r="T1252" s="53">
        <f>IF(P1252="","",IF(H1252="USD",G1252,IF(R1252&gt;0,G1252/R1252,0)))</f>
        <v/>
      </c>
      <c r="U1252" s="53">
        <f>IF(P1252="","",IF(P1252="Gasto",S1252,IF(P1252="Reembolso",-S1252,0)))</f>
        <v/>
      </c>
      <c r="V1252" s="53">
        <f>IF(P1252="","",IF(P1252="Ingreso",S1252,0))</f>
        <v/>
      </c>
      <c r="W1252" s="53">
        <f>IF(P1252="","",IF(P1252="Resultado trading",S1252,0))</f>
        <v/>
      </c>
      <c r="X1252" s="52">
        <f>IF(OR(P1252="Gasto",P1252="Reembolso"),IF(M1252&lt;&gt;"",M1252,IFERROR(INDEX(catClasif,MATCH(D1252&amp;"|"&amp;E1252,catClave,0))&amp;"","Variable")),"")</f>
        <v/>
      </c>
      <c r="Y1252" s="52">
        <f>IF(P1252="","",IFERROR(INDEX(catGrupo,MATCH(D1252&amp;"|"&amp;E1252,catClave,0))&amp;"",""))</f>
        <v/>
      </c>
      <c r="Z1252" s="52">
        <f>IF(P1252="","",WEEKDAY(B1252,2))</f>
        <v/>
      </c>
      <c r="AA1252" s="52">
        <f>IF(P1252="","",IF(AND(P1252="Gasto",X1252="Variable",D1252&lt;&gt;catTrading,S1252&gt;0,S1252&lt;=Umbral),1,0))</f>
        <v/>
      </c>
      <c r="AB1252" s="52">
        <f>IF(OR(P1252="",Q1252=""),"",IFERROR(IF(INDEX(ctaVinc,MATCH(Q1252,ctaNombre,0))&amp;""&lt;&gt;"",INDEX(ctaVinc,MATCH(Q1252,ctaNombre,0))&amp;"",Q1252),Q1252))</f>
        <v/>
      </c>
      <c r="AC1252" s="52">
        <f>IF(OR(K1252="",AND(P1252&lt;&gt;"Transferencia",P1252&lt;&gt;"Pago tarjeta")),"",IFERROR(IF(INDEX(ctaVinc,MATCH(K1252,ctaNombre,0))&amp;""&lt;&gt;"",INDEX(ctaVinc,MATCH(K1252,ctaNombre,0))&amp;"",K1252),K1252))</f>
        <v/>
      </c>
      <c r="AD1252" s="52">
        <f>IF(AB1252="","",IFERROR(INDEX(ctaTipo,MATCH(AB1252,ctaNombre,0))&amp;"",""))</f>
        <v/>
      </c>
      <c r="AE1252" s="52">
        <f>IF(AC1252="","",IFERROR(INDEX(ctaTipo,MATCH(AC1252,ctaNombre,0))&amp;"",""))</f>
        <v/>
      </c>
      <c r="AF1252" s="53">
        <f>IF(OR(P1252="",AB1252=""),"",IF(OR(P1252="Gasto",P1252="Transferencia",P1252="Pago tarjeta"),-1,1)*IF(IFERROR(INDEX(ctaMoneda,MATCH(AB1252,ctaNombre,0))&amp;"","DOP")="USD",T1252,S1252))</f>
        <v/>
      </c>
      <c r="AG1252" s="53">
        <f>IF(AC1252="","",IF(IFERROR(INDEX(ctaMoneda,MATCH(AC1252,ctaNombre,0))&amp;"","DOP")="USD",T1252,S1252))</f>
        <v/>
      </c>
      <c r="AH1252" s="53">
        <f>IF(P1252="","",IF(AND(AD1252&lt;&gt;"",COUNTIFS(tcTipo,AD1252,tcLiq,"Sí")&gt;0),IF(OR(P1252="Gasto",P1252="Transferencia",P1252="Pago tarjeta"),-1,1)*S1252,0)+IF(AND(AE1252&lt;&gt;"",COUNTIFS(tcTipo,AE1252,tcLiq,"Sí")&gt;0),S1252,0))</f>
        <v/>
      </c>
      <c r="AI1252" s="52">
        <f>IF(OR(L1252="",P1252=""),"",IF(COUNTIFS(L$6:L1252,L1252,P$6:P1252,"?*")=1,MAX(AI$5:AI1251)+1,""))</f>
        <v/>
      </c>
    </row>
    <row r="1253">
      <c r="B1253" s="47" t="n"/>
      <c r="C1253" s="48" t="n"/>
      <c r="D1253" s="48" t="n"/>
      <c r="E1253" s="48" t="n"/>
      <c r="F1253" s="48" t="n"/>
      <c r="G1253" s="49" t="n"/>
      <c r="H1253" s="48" t="n"/>
      <c r="I1253" s="50" t="n"/>
      <c r="J1253" s="48" t="n"/>
      <c r="K1253" s="48" t="n"/>
      <c r="L1253" s="48" t="n"/>
      <c r="M1253" s="48" t="n"/>
      <c r="N1253" s="48" t="n"/>
      <c r="O1253" s="51">
        <f>IF(AND(B1253="",G1253="",C1253="",D1253="",J1253=""),"",IF(B1253="","⚠ Falta fecha",IF(G1253="","⚠ Falta monto",IF(Q1253="","⚠ Falta cuenta",IF(ISNA(MATCH(Q1253,ctaNombre,0)),"⚠ Cuenta no registrada",IF(AND(OR(P1253="Gasto",P1253="Reembolso"),D1253=""),"⚠ Falta categoría",IF(AND(D1253&lt;&gt;"",E1253&lt;&gt;"",ISNA(MATCH(D1253&amp;"|"&amp;E1253,catClave,0))),"⚠ Subcategoría no corresponde",IF(AND(OR(P1253="Transferencia",P1253="Pago tarjeta"),K1253=""),"⚠ Falta cuenta destino",IF(AND(K1253&lt;&gt;"",P1253&lt;&gt;"Transferencia",P1253&lt;&gt;"Pago tarjeta"),"⚠ Destino solo aplica a transferencias",IF(AND(K1253&lt;&gt;"",K1253=Q1253),"⚠ Origen igual a destino",IF(AND(K1253&lt;&gt;"",ISNA(MATCH(K1253,ctaNombre,0))),"⚠ Destino no registrado",IF(AND(P1253="Pago tarjeta",AE1253&lt;&gt;"Tarjeta de crédito"),"⚠ El destino debe ser tarjeta de crédito",IF(AND(P1253="Gasto",E1253="Depósitos y retiros"),"⚠ Usa tipo Transferencia",IF(AND(P1253="Resultado trading",AD1253&lt;&gt;"Cuenta de trading"),"⚠ Usa una cuenta de trading",IF(AND(G1253&lt;=0,P1253&lt;&gt;"Ajuste",P1253&lt;&gt;"Resultado trading"),"⚠ El monto debe ser positivo","✓")))))))))))))))</f>
        <v/>
      </c>
      <c r="P1253" s="52">
        <f>IF(OR(B1253="",G1253=""),"",IF(C1253="","Gasto",C1253))</f>
        <v/>
      </c>
      <c r="Q1253" s="52">
        <f>IF(P1253="","",IF(J1253&lt;&gt;"",J1253,CuentaPred&amp;""))</f>
        <v/>
      </c>
      <c r="R1253" s="52">
        <f>IF(P1253="","",IF(ISNUMBER(I1253),I1253,TasaUSD))</f>
        <v/>
      </c>
      <c r="S1253" s="53">
        <f>IF(P1253="","",IF(H1253="USD",G1253*R1253,G1253))</f>
        <v/>
      </c>
      <c r="T1253" s="53">
        <f>IF(P1253="","",IF(H1253="USD",G1253,IF(R1253&gt;0,G1253/R1253,0)))</f>
        <v/>
      </c>
      <c r="U1253" s="53">
        <f>IF(P1253="","",IF(P1253="Gasto",S1253,IF(P1253="Reembolso",-S1253,0)))</f>
        <v/>
      </c>
      <c r="V1253" s="53">
        <f>IF(P1253="","",IF(P1253="Ingreso",S1253,0))</f>
        <v/>
      </c>
      <c r="W1253" s="53">
        <f>IF(P1253="","",IF(P1253="Resultado trading",S1253,0))</f>
        <v/>
      </c>
      <c r="X1253" s="52">
        <f>IF(OR(P1253="Gasto",P1253="Reembolso"),IF(M1253&lt;&gt;"",M1253,IFERROR(INDEX(catClasif,MATCH(D1253&amp;"|"&amp;E1253,catClave,0))&amp;"","Variable")),"")</f>
        <v/>
      </c>
      <c r="Y1253" s="52">
        <f>IF(P1253="","",IFERROR(INDEX(catGrupo,MATCH(D1253&amp;"|"&amp;E1253,catClave,0))&amp;"",""))</f>
        <v/>
      </c>
      <c r="Z1253" s="52">
        <f>IF(P1253="","",WEEKDAY(B1253,2))</f>
        <v/>
      </c>
      <c r="AA1253" s="52">
        <f>IF(P1253="","",IF(AND(P1253="Gasto",X1253="Variable",D1253&lt;&gt;catTrading,S1253&gt;0,S1253&lt;=Umbral),1,0))</f>
        <v/>
      </c>
      <c r="AB1253" s="52">
        <f>IF(OR(P1253="",Q1253=""),"",IFERROR(IF(INDEX(ctaVinc,MATCH(Q1253,ctaNombre,0))&amp;""&lt;&gt;"",INDEX(ctaVinc,MATCH(Q1253,ctaNombre,0))&amp;"",Q1253),Q1253))</f>
        <v/>
      </c>
      <c r="AC1253" s="52">
        <f>IF(OR(K1253="",AND(P1253&lt;&gt;"Transferencia",P1253&lt;&gt;"Pago tarjeta")),"",IFERROR(IF(INDEX(ctaVinc,MATCH(K1253,ctaNombre,0))&amp;""&lt;&gt;"",INDEX(ctaVinc,MATCH(K1253,ctaNombre,0))&amp;"",K1253),K1253))</f>
        <v/>
      </c>
      <c r="AD1253" s="52">
        <f>IF(AB1253="","",IFERROR(INDEX(ctaTipo,MATCH(AB1253,ctaNombre,0))&amp;"",""))</f>
        <v/>
      </c>
      <c r="AE1253" s="52">
        <f>IF(AC1253="","",IFERROR(INDEX(ctaTipo,MATCH(AC1253,ctaNombre,0))&amp;"",""))</f>
        <v/>
      </c>
      <c r="AF1253" s="53">
        <f>IF(OR(P1253="",AB1253=""),"",IF(OR(P1253="Gasto",P1253="Transferencia",P1253="Pago tarjeta"),-1,1)*IF(IFERROR(INDEX(ctaMoneda,MATCH(AB1253,ctaNombre,0))&amp;"","DOP")="USD",T1253,S1253))</f>
        <v/>
      </c>
      <c r="AG1253" s="53">
        <f>IF(AC1253="","",IF(IFERROR(INDEX(ctaMoneda,MATCH(AC1253,ctaNombre,0))&amp;"","DOP")="USD",T1253,S1253))</f>
        <v/>
      </c>
      <c r="AH1253" s="53">
        <f>IF(P1253="","",IF(AND(AD1253&lt;&gt;"",COUNTIFS(tcTipo,AD1253,tcLiq,"Sí")&gt;0),IF(OR(P1253="Gasto",P1253="Transferencia",P1253="Pago tarjeta"),-1,1)*S1253,0)+IF(AND(AE1253&lt;&gt;"",COUNTIFS(tcTipo,AE1253,tcLiq,"Sí")&gt;0),S1253,0))</f>
        <v/>
      </c>
      <c r="AI1253" s="52">
        <f>IF(OR(L1253="",P1253=""),"",IF(COUNTIFS(L$6:L1253,L1253,P$6:P1253,"?*")=1,MAX(AI$5:AI1252)+1,""))</f>
        <v/>
      </c>
    </row>
    <row r="1254">
      <c r="B1254" s="47" t="n"/>
      <c r="C1254" s="48" t="n"/>
      <c r="D1254" s="48" t="n"/>
      <c r="E1254" s="48" t="n"/>
      <c r="F1254" s="48" t="n"/>
      <c r="G1254" s="49" t="n"/>
      <c r="H1254" s="48" t="n"/>
      <c r="I1254" s="50" t="n"/>
      <c r="J1254" s="48" t="n"/>
      <c r="K1254" s="48" t="n"/>
      <c r="L1254" s="48" t="n"/>
      <c r="M1254" s="48" t="n"/>
      <c r="N1254" s="48" t="n"/>
      <c r="O1254" s="51">
        <f>IF(AND(B1254="",G1254="",C1254="",D1254="",J1254=""),"",IF(B1254="","⚠ Falta fecha",IF(G1254="","⚠ Falta monto",IF(Q1254="","⚠ Falta cuenta",IF(ISNA(MATCH(Q1254,ctaNombre,0)),"⚠ Cuenta no registrada",IF(AND(OR(P1254="Gasto",P1254="Reembolso"),D1254=""),"⚠ Falta categoría",IF(AND(D1254&lt;&gt;"",E1254&lt;&gt;"",ISNA(MATCH(D1254&amp;"|"&amp;E1254,catClave,0))),"⚠ Subcategoría no corresponde",IF(AND(OR(P1254="Transferencia",P1254="Pago tarjeta"),K1254=""),"⚠ Falta cuenta destino",IF(AND(K1254&lt;&gt;"",P1254&lt;&gt;"Transferencia",P1254&lt;&gt;"Pago tarjeta"),"⚠ Destino solo aplica a transferencias",IF(AND(K1254&lt;&gt;"",K1254=Q1254),"⚠ Origen igual a destino",IF(AND(K1254&lt;&gt;"",ISNA(MATCH(K1254,ctaNombre,0))),"⚠ Destino no registrado",IF(AND(P1254="Pago tarjeta",AE1254&lt;&gt;"Tarjeta de crédito"),"⚠ El destino debe ser tarjeta de crédito",IF(AND(P1254="Gasto",E1254="Depósitos y retiros"),"⚠ Usa tipo Transferencia",IF(AND(P1254="Resultado trading",AD1254&lt;&gt;"Cuenta de trading"),"⚠ Usa una cuenta de trading",IF(AND(G1254&lt;=0,P1254&lt;&gt;"Ajuste",P1254&lt;&gt;"Resultado trading"),"⚠ El monto debe ser positivo","✓")))))))))))))))</f>
        <v/>
      </c>
      <c r="P1254" s="52">
        <f>IF(OR(B1254="",G1254=""),"",IF(C1254="","Gasto",C1254))</f>
        <v/>
      </c>
      <c r="Q1254" s="52">
        <f>IF(P1254="","",IF(J1254&lt;&gt;"",J1254,CuentaPred&amp;""))</f>
        <v/>
      </c>
      <c r="R1254" s="52">
        <f>IF(P1254="","",IF(ISNUMBER(I1254),I1254,TasaUSD))</f>
        <v/>
      </c>
      <c r="S1254" s="53">
        <f>IF(P1254="","",IF(H1254="USD",G1254*R1254,G1254))</f>
        <v/>
      </c>
      <c r="T1254" s="53">
        <f>IF(P1254="","",IF(H1254="USD",G1254,IF(R1254&gt;0,G1254/R1254,0)))</f>
        <v/>
      </c>
      <c r="U1254" s="53">
        <f>IF(P1254="","",IF(P1254="Gasto",S1254,IF(P1254="Reembolso",-S1254,0)))</f>
        <v/>
      </c>
      <c r="V1254" s="53">
        <f>IF(P1254="","",IF(P1254="Ingreso",S1254,0))</f>
        <v/>
      </c>
      <c r="W1254" s="53">
        <f>IF(P1254="","",IF(P1254="Resultado trading",S1254,0))</f>
        <v/>
      </c>
      <c r="X1254" s="52">
        <f>IF(OR(P1254="Gasto",P1254="Reembolso"),IF(M1254&lt;&gt;"",M1254,IFERROR(INDEX(catClasif,MATCH(D1254&amp;"|"&amp;E1254,catClave,0))&amp;"","Variable")),"")</f>
        <v/>
      </c>
      <c r="Y1254" s="52">
        <f>IF(P1254="","",IFERROR(INDEX(catGrupo,MATCH(D1254&amp;"|"&amp;E1254,catClave,0))&amp;"",""))</f>
        <v/>
      </c>
      <c r="Z1254" s="52">
        <f>IF(P1254="","",WEEKDAY(B1254,2))</f>
        <v/>
      </c>
      <c r="AA1254" s="52">
        <f>IF(P1254="","",IF(AND(P1254="Gasto",X1254="Variable",D1254&lt;&gt;catTrading,S1254&gt;0,S1254&lt;=Umbral),1,0))</f>
        <v/>
      </c>
      <c r="AB1254" s="52">
        <f>IF(OR(P1254="",Q1254=""),"",IFERROR(IF(INDEX(ctaVinc,MATCH(Q1254,ctaNombre,0))&amp;""&lt;&gt;"",INDEX(ctaVinc,MATCH(Q1254,ctaNombre,0))&amp;"",Q1254),Q1254))</f>
        <v/>
      </c>
      <c r="AC1254" s="52">
        <f>IF(OR(K1254="",AND(P1254&lt;&gt;"Transferencia",P1254&lt;&gt;"Pago tarjeta")),"",IFERROR(IF(INDEX(ctaVinc,MATCH(K1254,ctaNombre,0))&amp;""&lt;&gt;"",INDEX(ctaVinc,MATCH(K1254,ctaNombre,0))&amp;"",K1254),K1254))</f>
        <v/>
      </c>
      <c r="AD1254" s="52">
        <f>IF(AB1254="","",IFERROR(INDEX(ctaTipo,MATCH(AB1254,ctaNombre,0))&amp;"",""))</f>
        <v/>
      </c>
      <c r="AE1254" s="52">
        <f>IF(AC1254="","",IFERROR(INDEX(ctaTipo,MATCH(AC1254,ctaNombre,0))&amp;"",""))</f>
        <v/>
      </c>
      <c r="AF1254" s="53">
        <f>IF(OR(P1254="",AB1254=""),"",IF(OR(P1254="Gasto",P1254="Transferencia",P1254="Pago tarjeta"),-1,1)*IF(IFERROR(INDEX(ctaMoneda,MATCH(AB1254,ctaNombre,0))&amp;"","DOP")="USD",T1254,S1254))</f>
        <v/>
      </c>
      <c r="AG1254" s="53">
        <f>IF(AC1254="","",IF(IFERROR(INDEX(ctaMoneda,MATCH(AC1254,ctaNombre,0))&amp;"","DOP")="USD",T1254,S1254))</f>
        <v/>
      </c>
      <c r="AH1254" s="53">
        <f>IF(P1254="","",IF(AND(AD1254&lt;&gt;"",COUNTIFS(tcTipo,AD1254,tcLiq,"Sí")&gt;0),IF(OR(P1254="Gasto",P1254="Transferencia",P1254="Pago tarjeta"),-1,1)*S1254,0)+IF(AND(AE1254&lt;&gt;"",COUNTIFS(tcTipo,AE1254,tcLiq,"Sí")&gt;0),S1254,0))</f>
        <v/>
      </c>
      <c r="AI1254" s="52">
        <f>IF(OR(L1254="",P1254=""),"",IF(COUNTIFS(L$6:L1254,L1254,P$6:P1254,"?*")=1,MAX(AI$5:AI1253)+1,""))</f>
        <v/>
      </c>
    </row>
    <row r="1255">
      <c r="B1255" s="47" t="n"/>
      <c r="C1255" s="48" t="n"/>
      <c r="D1255" s="48" t="n"/>
      <c r="E1255" s="48" t="n"/>
      <c r="F1255" s="48" t="n"/>
      <c r="G1255" s="49" t="n"/>
      <c r="H1255" s="48" t="n"/>
      <c r="I1255" s="50" t="n"/>
      <c r="J1255" s="48" t="n"/>
      <c r="K1255" s="48" t="n"/>
      <c r="L1255" s="48" t="n"/>
      <c r="M1255" s="48" t="n"/>
      <c r="N1255" s="48" t="n"/>
      <c r="O1255" s="51">
        <f>IF(AND(B1255="",G1255="",C1255="",D1255="",J1255=""),"",IF(B1255="","⚠ Falta fecha",IF(G1255="","⚠ Falta monto",IF(Q1255="","⚠ Falta cuenta",IF(ISNA(MATCH(Q1255,ctaNombre,0)),"⚠ Cuenta no registrada",IF(AND(OR(P1255="Gasto",P1255="Reembolso"),D1255=""),"⚠ Falta categoría",IF(AND(D1255&lt;&gt;"",E1255&lt;&gt;"",ISNA(MATCH(D1255&amp;"|"&amp;E1255,catClave,0))),"⚠ Subcategoría no corresponde",IF(AND(OR(P1255="Transferencia",P1255="Pago tarjeta"),K1255=""),"⚠ Falta cuenta destino",IF(AND(K1255&lt;&gt;"",P1255&lt;&gt;"Transferencia",P1255&lt;&gt;"Pago tarjeta"),"⚠ Destino solo aplica a transferencias",IF(AND(K1255&lt;&gt;"",K1255=Q1255),"⚠ Origen igual a destino",IF(AND(K1255&lt;&gt;"",ISNA(MATCH(K1255,ctaNombre,0))),"⚠ Destino no registrado",IF(AND(P1255="Pago tarjeta",AE1255&lt;&gt;"Tarjeta de crédito"),"⚠ El destino debe ser tarjeta de crédito",IF(AND(P1255="Gasto",E1255="Depósitos y retiros"),"⚠ Usa tipo Transferencia",IF(AND(P1255="Resultado trading",AD1255&lt;&gt;"Cuenta de trading"),"⚠ Usa una cuenta de trading",IF(AND(G1255&lt;=0,P1255&lt;&gt;"Ajuste",P1255&lt;&gt;"Resultado trading"),"⚠ El monto debe ser positivo","✓")))))))))))))))</f>
        <v/>
      </c>
      <c r="P1255" s="52">
        <f>IF(OR(B1255="",G1255=""),"",IF(C1255="","Gasto",C1255))</f>
        <v/>
      </c>
      <c r="Q1255" s="52">
        <f>IF(P1255="","",IF(J1255&lt;&gt;"",J1255,CuentaPred&amp;""))</f>
        <v/>
      </c>
      <c r="R1255" s="52">
        <f>IF(P1255="","",IF(ISNUMBER(I1255),I1255,TasaUSD))</f>
        <v/>
      </c>
      <c r="S1255" s="53">
        <f>IF(P1255="","",IF(H1255="USD",G1255*R1255,G1255))</f>
        <v/>
      </c>
      <c r="T1255" s="53">
        <f>IF(P1255="","",IF(H1255="USD",G1255,IF(R1255&gt;0,G1255/R1255,0)))</f>
        <v/>
      </c>
      <c r="U1255" s="53">
        <f>IF(P1255="","",IF(P1255="Gasto",S1255,IF(P1255="Reembolso",-S1255,0)))</f>
        <v/>
      </c>
      <c r="V1255" s="53">
        <f>IF(P1255="","",IF(P1255="Ingreso",S1255,0))</f>
        <v/>
      </c>
      <c r="W1255" s="53">
        <f>IF(P1255="","",IF(P1255="Resultado trading",S1255,0))</f>
        <v/>
      </c>
      <c r="X1255" s="52">
        <f>IF(OR(P1255="Gasto",P1255="Reembolso"),IF(M1255&lt;&gt;"",M1255,IFERROR(INDEX(catClasif,MATCH(D1255&amp;"|"&amp;E1255,catClave,0))&amp;"","Variable")),"")</f>
        <v/>
      </c>
      <c r="Y1255" s="52">
        <f>IF(P1255="","",IFERROR(INDEX(catGrupo,MATCH(D1255&amp;"|"&amp;E1255,catClave,0))&amp;"",""))</f>
        <v/>
      </c>
      <c r="Z1255" s="52">
        <f>IF(P1255="","",WEEKDAY(B1255,2))</f>
        <v/>
      </c>
      <c r="AA1255" s="52">
        <f>IF(P1255="","",IF(AND(P1255="Gasto",X1255="Variable",D1255&lt;&gt;catTrading,S1255&gt;0,S1255&lt;=Umbral),1,0))</f>
        <v/>
      </c>
      <c r="AB1255" s="52">
        <f>IF(OR(P1255="",Q1255=""),"",IFERROR(IF(INDEX(ctaVinc,MATCH(Q1255,ctaNombre,0))&amp;""&lt;&gt;"",INDEX(ctaVinc,MATCH(Q1255,ctaNombre,0))&amp;"",Q1255),Q1255))</f>
        <v/>
      </c>
      <c r="AC1255" s="52">
        <f>IF(OR(K1255="",AND(P1255&lt;&gt;"Transferencia",P1255&lt;&gt;"Pago tarjeta")),"",IFERROR(IF(INDEX(ctaVinc,MATCH(K1255,ctaNombre,0))&amp;""&lt;&gt;"",INDEX(ctaVinc,MATCH(K1255,ctaNombre,0))&amp;"",K1255),K1255))</f>
        <v/>
      </c>
      <c r="AD1255" s="52">
        <f>IF(AB1255="","",IFERROR(INDEX(ctaTipo,MATCH(AB1255,ctaNombre,0))&amp;"",""))</f>
        <v/>
      </c>
      <c r="AE1255" s="52">
        <f>IF(AC1255="","",IFERROR(INDEX(ctaTipo,MATCH(AC1255,ctaNombre,0))&amp;"",""))</f>
        <v/>
      </c>
      <c r="AF1255" s="53">
        <f>IF(OR(P1255="",AB1255=""),"",IF(OR(P1255="Gasto",P1255="Transferencia",P1255="Pago tarjeta"),-1,1)*IF(IFERROR(INDEX(ctaMoneda,MATCH(AB1255,ctaNombre,0))&amp;"","DOP")="USD",T1255,S1255))</f>
        <v/>
      </c>
      <c r="AG1255" s="53">
        <f>IF(AC1255="","",IF(IFERROR(INDEX(ctaMoneda,MATCH(AC1255,ctaNombre,0))&amp;"","DOP")="USD",T1255,S1255))</f>
        <v/>
      </c>
      <c r="AH1255" s="53">
        <f>IF(P1255="","",IF(AND(AD1255&lt;&gt;"",COUNTIFS(tcTipo,AD1255,tcLiq,"Sí")&gt;0),IF(OR(P1255="Gasto",P1255="Transferencia",P1255="Pago tarjeta"),-1,1)*S1255,0)+IF(AND(AE1255&lt;&gt;"",COUNTIFS(tcTipo,AE1255,tcLiq,"Sí")&gt;0),S1255,0))</f>
        <v/>
      </c>
      <c r="AI1255" s="52">
        <f>IF(OR(L1255="",P1255=""),"",IF(COUNTIFS(L$6:L1255,L1255,P$6:P1255,"?*")=1,MAX(AI$5:AI1254)+1,""))</f>
        <v/>
      </c>
    </row>
    <row r="1256">
      <c r="B1256" s="47" t="n"/>
      <c r="C1256" s="48" t="n"/>
      <c r="D1256" s="48" t="n"/>
      <c r="E1256" s="48" t="n"/>
      <c r="F1256" s="48" t="n"/>
      <c r="G1256" s="49" t="n"/>
      <c r="H1256" s="48" t="n"/>
      <c r="I1256" s="50" t="n"/>
      <c r="J1256" s="48" t="n"/>
      <c r="K1256" s="48" t="n"/>
      <c r="L1256" s="48" t="n"/>
      <c r="M1256" s="48" t="n"/>
      <c r="N1256" s="48" t="n"/>
      <c r="O1256" s="51">
        <f>IF(AND(B1256="",G1256="",C1256="",D1256="",J1256=""),"",IF(B1256="","⚠ Falta fecha",IF(G1256="","⚠ Falta monto",IF(Q1256="","⚠ Falta cuenta",IF(ISNA(MATCH(Q1256,ctaNombre,0)),"⚠ Cuenta no registrada",IF(AND(OR(P1256="Gasto",P1256="Reembolso"),D1256=""),"⚠ Falta categoría",IF(AND(D1256&lt;&gt;"",E1256&lt;&gt;"",ISNA(MATCH(D1256&amp;"|"&amp;E1256,catClave,0))),"⚠ Subcategoría no corresponde",IF(AND(OR(P1256="Transferencia",P1256="Pago tarjeta"),K1256=""),"⚠ Falta cuenta destino",IF(AND(K1256&lt;&gt;"",P1256&lt;&gt;"Transferencia",P1256&lt;&gt;"Pago tarjeta"),"⚠ Destino solo aplica a transferencias",IF(AND(K1256&lt;&gt;"",K1256=Q1256),"⚠ Origen igual a destino",IF(AND(K1256&lt;&gt;"",ISNA(MATCH(K1256,ctaNombre,0))),"⚠ Destino no registrado",IF(AND(P1256="Pago tarjeta",AE1256&lt;&gt;"Tarjeta de crédito"),"⚠ El destino debe ser tarjeta de crédito",IF(AND(P1256="Gasto",E1256="Depósitos y retiros"),"⚠ Usa tipo Transferencia",IF(AND(P1256="Resultado trading",AD1256&lt;&gt;"Cuenta de trading"),"⚠ Usa una cuenta de trading",IF(AND(G1256&lt;=0,P1256&lt;&gt;"Ajuste",P1256&lt;&gt;"Resultado trading"),"⚠ El monto debe ser positivo","✓")))))))))))))))</f>
        <v/>
      </c>
      <c r="P1256" s="52">
        <f>IF(OR(B1256="",G1256=""),"",IF(C1256="","Gasto",C1256))</f>
        <v/>
      </c>
      <c r="Q1256" s="52">
        <f>IF(P1256="","",IF(J1256&lt;&gt;"",J1256,CuentaPred&amp;""))</f>
        <v/>
      </c>
      <c r="R1256" s="52">
        <f>IF(P1256="","",IF(ISNUMBER(I1256),I1256,TasaUSD))</f>
        <v/>
      </c>
      <c r="S1256" s="53">
        <f>IF(P1256="","",IF(H1256="USD",G1256*R1256,G1256))</f>
        <v/>
      </c>
      <c r="T1256" s="53">
        <f>IF(P1256="","",IF(H1256="USD",G1256,IF(R1256&gt;0,G1256/R1256,0)))</f>
        <v/>
      </c>
      <c r="U1256" s="53">
        <f>IF(P1256="","",IF(P1256="Gasto",S1256,IF(P1256="Reembolso",-S1256,0)))</f>
        <v/>
      </c>
      <c r="V1256" s="53">
        <f>IF(P1256="","",IF(P1256="Ingreso",S1256,0))</f>
        <v/>
      </c>
      <c r="W1256" s="53">
        <f>IF(P1256="","",IF(P1256="Resultado trading",S1256,0))</f>
        <v/>
      </c>
      <c r="X1256" s="52">
        <f>IF(OR(P1256="Gasto",P1256="Reembolso"),IF(M1256&lt;&gt;"",M1256,IFERROR(INDEX(catClasif,MATCH(D1256&amp;"|"&amp;E1256,catClave,0))&amp;"","Variable")),"")</f>
        <v/>
      </c>
      <c r="Y1256" s="52">
        <f>IF(P1256="","",IFERROR(INDEX(catGrupo,MATCH(D1256&amp;"|"&amp;E1256,catClave,0))&amp;"",""))</f>
        <v/>
      </c>
      <c r="Z1256" s="52">
        <f>IF(P1256="","",WEEKDAY(B1256,2))</f>
        <v/>
      </c>
      <c r="AA1256" s="52">
        <f>IF(P1256="","",IF(AND(P1256="Gasto",X1256="Variable",D1256&lt;&gt;catTrading,S1256&gt;0,S1256&lt;=Umbral),1,0))</f>
        <v/>
      </c>
      <c r="AB1256" s="52">
        <f>IF(OR(P1256="",Q1256=""),"",IFERROR(IF(INDEX(ctaVinc,MATCH(Q1256,ctaNombre,0))&amp;""&lt;&gt;"",INDEX(ctaVinc,MATCH(Q1256,ctaNombre,0))&amp;"",Q1256),Q1256))</f>
        <v/>
      </c>
      <c r="AC1256" s="52">
        <f>IF(OR(K1256="",AND(P1256&lt;&gt;"Transferencia",P1256&lt;&gt;"Pago tarjeta")),"",IFERROR(IF(INDEX(ctaVinc,MATCH(K1256,ctaNombre,0))&amp;""&lt;&gt;"",INDEX(ctaVinc,MATCH(K1256,ctaNombre,0))&amp;"",K1256),K1256))</f>
        <v/>
      </c>
      <c r="AD1256" s="52">
        <f>IF(AB1256="","",IFERROR(INDEX(ctaTipo,MATCH(AB1256,ctaNombre,0))&amp;"",""))</f>
        <v/>
      </c>
      <c r="AE1256" s="52">
        <f>IF(AC1256="","",IFERROR(INDEX(ctaTipo,MATCH(AC1256,ctaNombre,0))&amp;"",""))</f>
        <v/>
      </c>
      <c r="AF1256" s="53">
        <f>IF(OR(P1256="",AB1256=""),"",IF(OR(P1256="Gasto",P1256="Transferencia",P1256="Pago tarjeta"),-1,1)*IF(IFERROR(INDEX(ctaMoneda,MATCH(AB1256,ctaNombre,0))&amp;"","DOP")="USD",T1256,S1256))</f>
        <v/>
      </c>
      <c r="AG1256" s="53">
        <f>IF(AC1256="","",IF(IFERROR(INDEX(ctaMoneda,MATCH(AC1256,ctaNombre,0))&amp;"","DOP")="USD",T1256,S1256))</f>
        <v/>
      </c>
      <c r="AH1256" s="53">
        <f>IF(P1256="","",IF(AND(AD1256&lt;&gt;"",COUNTIFS(tcTipo,AD1256,tcLiq,"Sí")&gt;0),IF(OR(P1256="Gasto",P1256="Transferencia",P1256="Pago tarjeta"),-1,1)*S1256,0)+IF(AND(AE1256&lt;&gt;"",COUNTIFS(tcTipo,AE1256,tcLiq,"Sí")&gt;0),S1256,0))</f>
        <v/>
      </c>
      <c r="AI1256" s="52">
        <f>IF(OR(L1256="",P1256=""),"",IF(COUNTIFS(L$6:L1256,L1256,P$6:P1256,"?*")=1,MAX(AI$5:AI1255)+1,""))</f>
        <v/>
      </c>
    </row>
    <row r="1257">
      <c r="B1257" s="47" t="n"/>
      <c r="C1257" s="48" t="n"/>
      <c r="D1257" s="48" t="n"/>
      <c r="E1257" s="48" t="n"/>
      <c r="F1257" s="48" t="n"/>
      <c r="G1257" s="49" t="n"/>
      <c r="H1257" s="48" t="n"/>
      <c r="I1257" s="50" t="n"/>
      <c r="J1257" s="48" t="n"/>
      <c r="K1257" s="48" t="n"/>
      <c r="L1257" s="48" t="n"/>
      <c r="M1257" s="48" t="n"/>
      <c r="N1257" s="48" t="n"/>
      <c r="O1257" s="51">
        <f>IF(AND(B1257="",G1257="",C1257="",D1257="",J1257=""),"",IF(B1257="","⚠ Falta fecha",IF(G1257="","⚠ Falta monto",IF(Q1257="","⚠ Falta cuenta",IF(ISNA(MATCH(Q1257,ctaNombre,0)),"⚠ Cuenta no registrada",IF(AND(OR(P1257="Gasto",P1257="Reembolso"),D1257=""),"⚠ Falta categoría",IF(AND(D1257&lt;&gt;"",E1257&lt;&gt;"",ISNA(MATCH(D1257&amp;"|"&amp;E1257,catClave,0))),"⚠ Subcategoría no corresponde",IF(AND(OR(P1257="Transferencia",P1257="Pago tarjeta"),K1257=""),"⚠ Falta cuenta destino",IF(AND(K1257&lt;&gt;"",P1257&lt;&gt;"Transferencia",P1257&lt;&gt;"Pago tarjeta"),"⚠ Destino solo aplica a transferencias",IF(AND(K1257&lt;&gt;"",K1257=Q1257),"⚠ Origen igual a destino",IF(AND(K1257&lt;&gt;"",ISNA(MATCH(K1257,ctaNombre,0))),"⚠ Destino no registrado",IF(AND(P1257="Pago tarjeta",AE1257&lt;&gt;"Tarjeta de crédito"),"⚠ El destino debe ser tarjeta de crédito",IF(AND(P1257="Gasto",E1257="Depósitos y retiros"),"⚠ Usa tipo Transferencia",IF(AND(P1257="Resultado trading",AD1257&lt;&gt;"Cuenta de trading"),"⚠ Usa una cuenta de trading",IF(AND(G1257&lt;=0,P1257&lt;&gt;"Ajuste",P1257&lt;&gt;"Resultado trading"),"⚠ El monto debe ser positivo","✓")))))))))))))))</f>
        <v/>
      </c>
      <c r="P1257" s="52">
        <f>IF(OR(B1257="",G1257=""),"",IF(C1257="","Gasto",C1257))</f>
        <v/>
      </c>
      <c r="Q1257" s="52">
        <f>IF(P1257="","",IF(J1257&lt;&gt;"",J1257,CuentaPred&amp;""))</f>
        <v/>
      </c>
      <c r="R1257" s="52">
        <f>IF(P1257="","",IF(ISNUMBER(I1257),I1257,TasaUSD))</f>
        <v/>
      </c>
      <c r="S1257" s="53">
        <f>IF(P1257="","",IF(H1257="USD",G1257*R1257,G1257))</f>
        <v/>
      </c>
      <c r="T1257" s="53">
        <f>IF(P1257="","",IF(H1257="USD",G1257,IF(R1257&gt;0,G1257/R1257,0)))</f>
        <v/>
      </c>
      <c r="U1257" s="53">
        <f>IF(P1257="","",IF(P1257="Gasto",S1257,IF(P1257="Reembolso",-S1257,0)))</f>
        <v/>
      </c>
      <c r="V1257" s="53">
        <f>IF(P1257="","",IF(P1257="Ingreso",S1257,0))</f>
        <v/>
      </c>
      <c r="W1257" s="53">
        <f>IF(P1257="","",IF(P1257="Resultado trading",S1257,0))</f>
        <v/>
      </c>
      <c r="X1257" s="52">
        <f>IF(OR(P1257="Gasto",P1257="Reembolso"),IF(M1257&lt;&gt;"",M1257,IFERROR(INDEX(catClasif,MATCH(D1257&amp;"|"&amp;E1257,catClave,0))&amp;"","Variable")),"")</f>
        <v/>
      </c>
      <c r="Y1257" s="52">
        <f>IF(P1257="","",IFERROR(INDEX(catGrupo,MATCH(D1257&amp;"|"&amp;E1257,catClave,0))&amp;"",""))</f>
        <v/>
      </c>
      <c r="Z1257" s="52">
        <f>IF(P1257="","",WEEKDAY(B1257,2))</f>
        <v/>
      </c>
      <c r="AA1257" s="52">
        <f>IF(P1257="","",IF(AND(P1257="Gasto",X1257="Variable",D1257&lt;&gt;catTrading,S1257&gt;0,S1257&lt;=Umbral),1,0))</f>
        <v/>
      </c>
      <c r="AB1257" s="52">
        <f>IF(OR(P1257="",Q1257=""),"",IFERROR(IF(INDEX(ctaVinc,MATCH(Q1257,ctaNombre,0))&amp;""&lt;&gt;"",INDEX(ctaVinc,MATCH(Q1257,ctaNombre,0))&amp;"",Q1257),Q1257))</f>
        <v/>
      </c>
      <c r="AC1257" s="52">
        <f>IF(OR(K1257="",AND(P1257&lt;&gt;"Transferencia",P1257&lt;&gt;"Pago tarjeta")),"",IFERROR(IF(INDEX(ctaVinc,MATCH(K1257,ctaNombre,0))&amp;""&lt;&gt;"",INDEX(ctaVinc,MATCH(K1257,ctaNombre,0))&amp;"",K1257),K1257))</f>
        <v/>
      </c>
      <c r="AD1257" s="52">
        <f>IF(AB1257="","",IFERROR(INDEX(ctaTipo,MATCH(AB1257,ctaNombre,0))&amp;"",""))</f>
        <v/>
      </c>
      <c r="AE1257" s="52">
        <f>IF(AC1257="","",IFERROR(INDEX(ctaTipo,MATCH(AC1257,ctaNombre,0))&amp;"",""))</f>
        <v/>
      </c>
      <c r="AF1257" s="53">
        <f>IF(OR(P1257="",AB1257=""),"",IF(OR(P1257="Gasto",P1257="Transferencia",P1257="Pago tarjeta"),-1,1)*IF(IFERROR(INDEX(ctaMoneda,MATCH(AB1257,ctaNombre,0))&amp;"","DOP")="USD",T1257,S1257))</f>
        <v/>
      </c>
      <c r="AG1257" s="53">
        <f>IF(AC1257="","",IF(IFERROR(INDEX(ctaMoneda,MATCH(AC1257,ctaNombre,0))&amp;"","DOP")="USD",T1257,S1257))</f>
        <v/>
      </c>
      <c r="AH1257" s="53">
        <f>IF(P1257="","",IF(AND(AD1257&lt;&gt;"",COUNTIFS(tcTipo,AD1257,tcLiq,"Sí")&gt;0),IF(OR(P1257="Gasto",P1257="Transferencia",P1257="Pago tarjeta"),-1,1)*S1257,0)+IF(AND(AE1257&lt;&gt;"",COUNTIFS(tcTipo,AE1257,tcLiq,"Sí")&gt;0),S1257,0))</f>
        <v/>
      </c>
      <c r="AI1257" s="52">
        <f>IF(OR(L1257="",P1257=""),"",IF(COUNTIFS(L$6:L1257,L1257,P$6:P1257,"?*")=1,MAX(AI$5:AI1256)+1,""))</f>
        <v/>
      </c>
    </row>
    <row r="1258">
      <c r="B1258" s="47" t="n"/>
      <c r="C1258" s="48" t="n"/>
      <c r="D1258" s="48" t="n"/>
      <c r="E1258" s="48" t="n"/>
      <c r="F1258" s="48" t="n"/>
      <c r="G1258" s="49" t="n"/>
      <c r="H1258" s="48" t="n"/>
      <c r="I1258" s="50" t="n"/>
      <c r="J1258" s="48" t="n"/>
      <c r="K1258" s="48" t="n"/>
      <c r="L1258" s="48" t="n"/>
      <c r="M1258" s="48" t="n"/>
      <c r="N1258" s="48" t="n"/>
      <c r="O1258" s="51">
        <f>IF(AND(B1258="",G1258="",C1258="",D1258="",J1258=""),"",IF(B1258="","⚠ Falta fecha",IF(G1258="","⚠ Falta monto",IF(Q1258="","⚠ Falta cuenta",IF(ISNA(MATCH(Q1258,ctaNombre,0)),"⚠ Cuenta no registrada",IF(AND(OR(P1258="Gasto",P1258="Reembolso"),D1258=""),"⚠ Falta categoría",IF(AND(D1258&lt;&gt;"",E1258&lt;&gt;"",ISNA(MATCH(D1258&amp;"|"&amp;E1258,catClave,0))),"⚠ Subcategoría no corresponde",IF(AND(OR(P1258="Transferencia",P1258="Pago tarjeta"),K1258=""),"⚠ Falta cuenta destino",IF(AND(K1258&lt;&gt;"",P1258&lt;&gt;"Transferencia",P1258&lt;&gt;"Pago tarjeta"),"⚠ Destino solo aplica a transferencias",IF(AND(K1258&lt;&gt;"",K1258=Q1258),"⚠ Origen igual a destino",IF(AND(K1258&lt;&gt;"",ISNA(MATCH(K1258,ctaNombre,0))),"⚠ Destino no registrado",IF(AND(P1258="Pago tarjeta",AE1258&lt;&gt;"Tarjeta de crédito"),"⚠ El destino debe ser tarjeta de crédito",IF(AND(P1258="Gasto",E1258="Depósitos y retiros"),"⚠ Usa tipo Transferencia",IF(AND(P1258="Resultado trading",AD1258&lt;&gt;"Cuenta de trading"),"⚠ Usa una cuenta de trading",IF(AND(G1258&lt;=0,P1258&lt;&gt;"Ajuste",P1258&lt;&gt;"Resultado trading"),"⚠ El monto debe ser positivo","✓")))))))))))))))</f>
        <v/>
      </c>
      <c r="P1258" s="52">
        <f>IF(OR(B1258="",G1258=""),"",IF(C1258="","Gasto",C1258))</f>
        <v/>
      </c>
      <c r="Q1258" s="52">
        <f>IF(P1258="","",IF(J1258&lt;&gt;"",J1258,CuentaPred&amp;""))</f>
        <v/>
      </c>
      <c r="R1258" s="52">
        <f>IF(P1258="","",IF(ISNUMBER(I1258),I1258,TasaUSD))</f>
        <v/>
      </c>
      <c r="S1258" s="53">
        <f>IF(P1258="","",IF(H1258="USD",G1258*R1258,G1258))</f>
        <v/>
      </c>
      <c r="T1258" s="53">
        <f>IF(P1258="","",IF(H1258="USD",G1258,IF(R1258&gt;0,G1258/R1258,0)))</f>
        <v/>
      </c>
      <c r="U1258" s="53">
        <f>IF(P1258="","",IF(P1258="Gasto",S1258,IF(P1258="Reembolso",-S1258,0)))</f>
        <v/>
      </c>
      <c r="V1258" s="53">
        <f>IF(P1258="","",IF(P1258="Ingreso",S1258,0))</f>
        <v/>
      </c>
      <c r="W1258" s="53">
        <f>IF(P1258="","",IF(P1258="Resultado trading",S1258,0))</f>
        <v/>
      </c>
      <c r="X1258" s="52">
        <f>IF(OR(P1258="Gasto",P1258="Reembolso"),IF(M1258&lt;&gt;"",M1258,IFERROR(INDEX(catClasif,MATCH(D1258&amp;"|"&amp;E1258,catClave,0))&amp;"","Variable")),"")</f>
        <v/>
      </c>
      <c r="Y1258" s="52">
        <f>IF(P1258="","",IFERROR(INDEX(catGrupo,MATCH(D1258&amp;"|"&amp;E1258,catClave,0))&amp;"",""))</f>
        <v/>
      </c>
      <c r="Z1258" s="52">
        <f>IF(P1258="","",WEEKDAY(B1258,2))</f>
        <v/>
      </c>
      <c r="AA1258" s="52">
        <f>IF(P1258="","",IF(AND(P1258="Gasto",X1258="Variable",D1258&lt;&gt;catTrading,S1258&gt;0,S1258&lt;=Umbral),1,0))</f>
        <v/>
      </c>
      <c r="AB1258" s="52">
        <f>IF(OR(P1258="",Q1258=""),"",IFERROR(IF(INDEX(ctaVinc,MATCH(Q1258,ctaNombre,0))&amp;""&lt;&gt;"",INDEX(ctaVinc,MATCH(Q1258,ctaNombre,0))&amp;"",Q1258),Q1258))</f>
        <v/>
      </c>
      <c r="AC1258" s="52">
        <f>IF(OR(K1258="",AND(P1258&lt;&gt;"Transferencia",P1258&lt;&gt;"Pago tarjeta")),"",IFERROR(IF(INDEX(ctaVinc,MATCH(K1258,ctaNombre,0))&amp;""&lt;&gt;"",INDEX(ctaVinc,MATCH(K1258,ctaNombre,0))&amp;"",K1258),K1258))</f>
        <v/>
      </c>
      <c r="AD1258" s="52">
        <f>IF(AB1258="","",IFERROR(INDEX(ctaTipo,MATCH(AB1258,ctaNombre,0))&amp;"",""))</f>
        <v/>
      </c>
      <c r="AE1258" s="52">
        <f>IF(AC1258="","",IFERROR(INDEX(ctaTipo,MATCH(AC1258,ctaNombre,0))&amp;"",""))</f>
        <v/>
      </c>
      <c r="AF1258" s="53">
        <f>IF(OR(P1258="",AB1258=""),"",IF(OR(P1258="Gasto",P1258="Transferencia",P1258="Pago tarjeta"),-1,1)*IF(IFERROR(INDEX(ctaMoneda,MATCH(AB1258,ctaNombre,0))&amp;"","DOP")="USD",T1258,S1258))</f>
        <v/>
      </c>
      <c r="AG1258" s="53">
        <f>IF(AC1258="","",IF(IFERROR(INDEX(ctaMoneda,MATCH(AC1258,ctaNombre,0))&amp;"","DOP")="USD",T1258,S1258))</f>
        <v/>
      </c>
      <c r="AH1258" s="53">
        <f>IF(P1258="","",IF(AND(AD1258&lt;&gt;"",COUNTIFS(tcTipo,AD1258,tcLiq,"Sí")&gt;0),IF(OR(P1258="Gasto",P1258="Transferencia",P1258="Pago tarjeta"),-1,1)*S1258,0)+IF(AND(AE1258&lt;&gt;"",COUNTIFS(tcTipo,AE1258,tcLiq,"Sí")&gt;0),S1258,0))</f>
        <v/>
      </c>
      <c r="AI1258" s="52">
        <f>IF(OR(L1258="",P1258=""),"",IF(COUNTIFS(L$6:L1258,L1258,P$6:P1258,"?*")=1,MAX(AI$5:AI1257)+1,""))</f>
        <v/>
      </c>
    </row>
    <row r="1259">
      <c r="B1259" s="47" t="n"/>
      <c r="C1259" s="48" t="n"/>
      <c r="D1259" s="48" t="n"/>
      <c r="E1259" s="48" t="n"/>
      <c r="F1259" s="48" t="n"/>
      <c r="G1259" s="49" t="n"/>
      <c r="H1259" s="48" t="n"/>
      <c r="I1259" s="50" t="n"/>
      <c r="J1259" s="48" t="n"/>
      <c r="K1259" s="48" t="n"/>
      <c r="L1259" s="48" t="n"/>
      <c r="M1259" s="48" t="n"/>
      <c r="N1259" s="48" t="n"/>
      <c r="O1259" s="51">
        <f>IF(AND(B1259="",G1259="",C1259="",D1259="",J1259=""),"",IF(B1259="","⚠ Falta fecha",IF(G1259="","⚠ Falta monto",IF(Q1259="","⚠ Falta cuenta",IF(ISNA(MATCH(Q1259,ctaNombre,0)),"⚠ Cuenta no registrada",IF(AND(OR(P1259="Gasto",P1259="Reembolso"),D1259=""),"⚠ Falta categoría",IF(AND(D1259&lt;&gt;"",E1259&lt;&gt;"",ISNA(MATCH(D1259&amp;"|"&amp;E1259,catClave,0))),"⚠ Subcategoría no corresponde",IF(AND(OR(P1259="Transferencia",P1259="Pago tarjeta"),K1259=""),"⚠ Falta cuenta destino",IF(AND(K1259&lt;&gt;"",P1259&lt;&gt;"Transferencia",P1259&lt;&gt;"Pago tarjeta"),"⚠ Destino solo aplica a transferencias",IF(AND(K1259&lt;&gt;"",K1259=Q1259),"⚠ Origen igual a destino",IF(AND(K1259&lt;&gt;"",ISNA(MATCH(K1259,ctaNombre,0))),"⚠ Destino no registrado",IF(AND(P1259="Pago tarjeta",AE1259&lt;&gt;"Tarjeta de crédito"),"⚠ El destino debe ser tarjeta de crédito",IF(AND(P1259="Gasto",E1259="Depósitos y retiros"),"⚠ Usa tipo Transferencia",IF(AND(P1259="Resultado trading",AD1259&lt;&gt;"Cuenta de trading"),"⚠ Usa una cuenta de trading",IF(AND(G1259&lt;=0,P1259&lt;&gt;"Ajuste",P1259&lt;&gt;"Resultado trading"),"⚠ El monto debe ser positivo","✓")))))))))))))))</f>
        <v/>
      </c>
      <c r="P1259" s="52">
        <f>IF(OR(B1259="",G1259=""),"",IF(C1259="","Gasto",C1259))</f>
        <v/>
      </c>
      <c r="Q1259" s="52">
        <f>IF(P1259="","",IF(J1259&lt;&gt;"",J1259,CuentaPred&amp;""))</f>
        <v/>
      </c>
      <c r="R1259" s="52">
        <f>IF(P1259="","",IF(ISNUMBER(I1259),I1259,TasaUSD))</f>
        <v/>
      </c>
      <c r="S1259" s="53">
        <f>IF(P1259="","",IF(H1259="USD",G1259*R1259,G1259))</f>
        <v/>
      </c>
      <c r="T1259" s="53">
        <f>IF(P1259="","",IF(H1259="USD",G1259,IF(R1259&gt;0,G1259/R1259,0)))</f>
        <v/>
      </c>
      <c r="U1259" s="53">
        <f>IF(P1259="","",IF(P1259="Gasto",S1259,IF(P1259="Reembolso",-S1259,0)))</f>
        <v/>
      </c>
      <c r="V1259" s="53">
        <f>IF(P1259="","",IF(P1259="Ingreso",S1259,0))</f>
        <v/>
      </c>
      <c r="W1259" s="53">
        <f>IF(P1259="","",IF(P1259="Resultado trading",S1259,0))</f>
        <v/>
      </c>
      <c r="X1259" s="52">
        <f>IF(OR(P1259="Gasto",P1259="Reembolso"),IF(M1259&lt;&gt;"",M1259,IFERROR(INDEX(catClasif,MATCH(D1259&amp;"|"&amp;E1259,catClave,0))&amp;"","Variable")),"")</f>
        <v/>
      </c>
      <c r="Y1259" s="52">
        <f>IF(P1259="","",IFERROR(INDEX(catGrupo,MATCH(D1259&amp;"|"&amp;E1259,catClave,0))&amp;"",""))</f>
        <v/>
      </c>
      <c r="Z1259" s="52">
        <f>IF(P1259="","",WEEKDAY(B1259,2))</f>
        <v/>
      </c>
      <c r="AA1259" s="52">
        <f>IF(P1259="","",IF(AND(P1259="Gasto",X1259="Variable",D1259&lt;&gt;catTrading,S1259&gt;0,S1259&lt;=Umbral),1,0))</f>
        <v/>
      </c>
      <c r="AB1259" s="52">
        <f>IF(OR(P1259="",Q1259=""),"",IFERROR(IF(INDEX(ctaVinc,MATCH(Q1259,ctaNombre,0))&amp;""&lt;&gt;"",INDEX(ctaVinc,MATCH(Q1259,ctaNombre,0))&amp;"",Q1259),Q1259))</f>
        <v/>
      </c>
      <c r="AC1259" s="52">
        <f>IF(OR(K1259="",AND(P1259&lt;&gt;"Transferencia",P1259&lt;&gt;"Pago tarjeta")),"",IFERROR(IF(INDEX(ctaVinc,MATCH(K1259,ctaNombre,0))&amp;""&lt;&gt;"",INDEX(ctaVinc,MATCH(K1259,ctaNombre,0))&amp;"",K1259),K1259))</f>
        <v/>
      </c>
      <c r="AD1259" s="52">
        <f>IF(AB1259="","",IFERROR(INDEX(ctaTipo,MATCH(AB1259,ctaNombre,0))&amp;"",""))</f>
        <v/>
      </c>
      <c r="AE1259" s="52">
        <f>IF(AC1259="","",IFERROR(INDEX(ctaTipo,MATCH(AC1259,ctaNombre,0))&amp;"",""))</f>
        <v/>
      </c>
      <c r="AF1259" s="53">
        <f>IF(OR(P1259="",AB1259=""),"",IF(OR(P1259="Gasto",P1259="Transferencia",P1259="Pago tarjeta"),-1,1)*IF(IFERROR(INDEX(ctaMoneda,MATCH(AB1259,ctaNombre,0))&amp;"","DOP")="USD",T1259,S1259))</f>
        <v/>
      </c>
      <c r="AG1259" s="53">
        <f>IF(AC1259="","",IF(IFERROR(INDEX(ctaMoneda,MATCH(AC1259,ctaNombre,0))&amp;"","DOP")="USD",T1259,S1259))</f>
        <v/>
      </c>
      <c r="AH1259" s="53">
        <f>IF(P1259="","",IF(AND(AD1259&lt;&gt;"",COUNTIFS(tcTipo,AD1259,tcLiq,"Sí")&gt;0),IF(OR(P1259="Gasto",P1259="Transferencia",P1259="Pago tarjeta"),-1,1)*S1259,0)+IF(AND(AE1259&lt;&gt;"",COUNTIFS(tcTipo,AE1259,tcLiq,"Sí")&gt;0),S1259,0))</f>
        <v/>
      </c>
      <c r="AI1259" s="52">
        <f>IF(OR(L1259="",P1259=""),"",IF(COUNTIFS(L$6:L1259,L1259,P$6:P1259,"?*")=1,MAX(AI$5:AI1258)+1,""))</f>
        <v/>
      </c>
    </row>
    <row r="1260">
      <c r="B1260" s="47" t="n"/>
      <c r="C1260" s="48" t="n"/>
      <c r="D1260" s="48" t="n"/>
      <c r="E1260" s="48" t="n"/>
      <c r="F1260" s="48" t="n"/>
      <c r="G1260" s="49" t="n"/>
      <c r="H1260" s="48" t="n"/>
      <c r="I1260" s="50" t="n"/>
      <c r="J1260" s="48" t="n"/>
      <c r="K1260" s="48" t="n"/>
      <c r="L1260" s="48" t="n"/>
      <c r="M1260" s="48" t="n"/>
      <c r="N1260" s="48" t="n"/>
      <c r="O1260" s="51">
        <f>IF(AND(B1260="",G1260="",C1260="",D1260="",J1260=""),"",IF(B1260="","⚠ Falta fecha",IF(G1260="","⚠ Falta monto",IF(Q1260="","⚠ Falta cuenta",IF(ISNA(MATCH(Q1260,ctaNombre,0)),"⚠ Cuenta no registrada",IF(AND(OR(P1260="Gasto",P1260="Reembolso"),D1260=""),"⚠ Falta categoría",IF(AND(D1260&lt;&gt;"",E1260&lt;&gt;"",ISNA(MATCH(D1260&amp;"|"&amp;E1260,catClave,0))),"⚠ Subcategoría no corresponde",IF(AND(OR(P1260="Transferencia",P1260="Pago tarjeta"),K1260=""),"⚠ Falta cuenta destino",IF(AND(K1260&lt;&gt;"",P1260&lt;&gt;"Transferencia",P1260&lt;&gt;"Pago tarjeta"),"⚠ Destino solo aplica a transferencias",IF(AND(K1260&lt;&gt;"",K1260=Q1260),"⚠ Origen igual a destino",IF(AND(K1260&lt;&gt;"",ISNA(MATCH(K1260,ctaNombre,0))),"⚠ Destino no registrado",IF(AND(P1260="Pago tarjeta",AE1260&lt;&gt;"Tarjeta de crédito"),"⚠ El destino debe ser tarjeta de crédito",IF(AND(P1260="Gasto",E1260="Depósitos y retiros"),"⚠ Usa tipo Transferencia",IF(AND(P1260="Resultado trading",AD1260&lt;&gt;"Cuenta de trading"),"⚠ Usa una cuenta de trading",IF(AND(G1260&lt;=0,P1260&lt;&gt;"Ajuste",P1260&lt;&gt;"Resultado trading"),"⚠ El monto debe ser positivo","✓")))))))))))))))</f>
        <v/>
      </c>
      <c r="P1260" s="52">
        <f>IF(OR(B1260="",G1260=""),"",IF(C1260="","Gasto",C1260))</f>
        <v/>
      </c>
      <c r="Q1260" s="52">
        <f>IF(P1260="","",IF(J1260&lt;&gt;"",J1260,CuentaPred&amp;""))</f>
        <v/>
      </c>
      <c r="R1260" s="52">
        <f>IF(P1260="","",IF(ISNUMBER(I1260),I1260,TasaUSD))</f>
        <v/>
      </c>
      <c r="S1260" s="53">
        <f>IF(P1260="","",IF(H1260="USD",G1260*R1260,G1260))</f>
        <v/>
      </c>
      <c r="T1260" s="53">
        <f>IF(P1260="","",IF(H1260="USD",G1260,IF(R1260&gt;0,G1260/R1260,0)))</f>
        <v/>
      </c>
      <c r="U1260" s="53">
        <f>IF(P1260="","",IF(P1260="Gasto",S1260,IF(P1260="Reembolso",-S1260,0)))</f>
        <v/>
      </c>
      <c r="V1260" s="53">
        <f>IF(P1260="","",IF(P1260="Ingreso",S1260,0))</f>
        <v/>
      </c>
      <c r="W1260" s="53">
        <f>IF(P1260="","",IF(P1260="Resultado trading",S1260,0))</f>
        <v/>
      </c>
      <c r="X1260" s="52">
        <f>IF(OR(P1260="Gasto",P1260="Reembolso"),IF(M1260&lt;&gt;"",M1260,IFERROR(INDEX(catClasif,MATCH(D1260&amp;"|"&amp;E1260,catClave,0))&amp;"","Variable")),"")</f>
        <v/>
      </c>
      <c r="Y1260" s="52">
        <f>IF(P1260="","",IFERROR(INDEX(catGrupo,MATCH(D1260&amp;"|"&amp;E1260,catClave,0))&amp;"",""))</f>
        <v/>
      </c>
      <c r="Z1260" s="52">
        <f>IF(P1260="","",WEEKDAY(B1260,2))</f>
        <v/>
      </c>
      <c r="AA1260" s="52">
        <f>IF(P1260="","",IF(AND(P1260="Gasto",X1260="Variable",D1260&lt;&gt;catTrading,S1260&gt;0,S1260&lt;=Umbral),1,0))</f>
        <v/>
      </c>
      <c r="AB1260" s="52">
        <f>IF(OR(P1260="",Q1260=""),"",IFERROR(IF(INDEX(ctaVinc,MATCH(Q1260,ctaNombre,0))&amp;""&lt;&gt;"",INDEX(ctaVinc,MATCH(Q1260,ctaNombre,0))&amp;"",Q1260),Q1260))</f>
        <v/>
      </c>
      <c r="AC1260" s="52">
        <f>IF(OR(K1260="",AND(P1260&lt;&gt;"Transferencia",P1260&lt;&gt;"Pago tarjeta")),"",IFERROR(IF(INDEX(ctaVinc,MATCH(K1260,ctaNombre,0))&amp;""&lt;&gt;"",INDEX(ctaVinc,MATCH(K1260,ctaNombre,0))&amp;"",K1260),K1260))</f>
        <v/>
      </c>
      <c r="AD1260" s="52">
        <f>IF(AB1260="","",IFERROR(INDEX(ctaTipo,MATCH(AB1260,ctaNombre,0))&amp;"",""))</f>
        <v/>
      </c>
      <c r="AE1260" s="52">
        <f>IF(AC1260="","",IFERROR(INDEX(ctaTipo,MATCH(AC1260,ctaNombre,0))&amp;"",""))</f>
        <v/>
      </c>
      <c r="AF1260" s="53">
        <f>IF(OR(P1260="",AB1260=""),"",IF(OR(P1260="Gasto",P1260="Transferencia",P1260="Pago tarjeta"),-1,1)*IF(IFERROR(INDEX(ctaMoneda,MATCH(AB1260,ctaNombre,0))&amp;"","DOP")="USD",T1260,S1260))</f>
        <v/>
      </c>
      <c r="AG1260" s="53">
        <f>IF(AC1260="","",IF(IFERROR(INDEX(ctaMoneda,MATCH(AC1260,ctaNombre,0))&amp;"","DOP")="USD",T1260,S1260))</f>
        <v/>
      </c>
      <c r="AH1260" s="53">
        <f>IF(P1260="","",IF(AND(AD1260&lt;&gt;"",COUNTIFS(tcTipo,AD1260,tcLiq,"Sí")&gt;0),IF(OR(P1260="Gasto",P1260="Transferencia",P1260="Pago tarjeta"),-1,1)*S1260,0)+IF(AND(AE1260&lt;&gt;"",COUNTIFS(tcTipo,AE1260,tcLiq,"Sí")&gt;0),S1260,0))</f>
        <v/>
      </c>
      <c r="AI1260" s="52">
        <f>IF(OR(L1260="",P1260=""),"",IF(COUNTIFS(L$6:L1260,L1260,P$6:P1260,"?*")=1,MAX(AI$5:AI1259)+1,""))</f>
        <v/>
      </c>
    </row>
    <row r="1261">
      <c r="B1261" s="47" t="n"/>
      <c r="C1261" s="48" t="n"/>
      <c r="D1261" s="48" t="n"/>
      <c r="E1261" s="48" t="n"/>
      <c r="F1261" s="48" t="n"/>
      <c r="G1261" s="49" t="n"/>
      <c r="H1261" s="48" t="n"/>
      <c r="I1261" s="50" t="n"/>
      <c r="J1261" s="48" t="n"/>
      <c r="K1261" s="48" t="n"/>
      <c r="L1261" s="48" t="n"/>
      <c r="M1261" s="48" t="n"/>
      <c r="N1261" s="48" t="n"/>
      <c r="O1261" s="51">
        <f>IF(AND(B1261="",G1261="",C1261="",D1261="",J1261=""),"",IF(B1261="","⚠ Falta fecha",IF(G1261="","⚠ Falta monto",IF(Q1261="","⚠ Falta cuenta",IF(ISNA(MATCH(Q1261,ctaNombre,0)),"⚠ Cuenta no registrada",IF(AND(OR(P1261="Gasto",P1261="Reembolso"),D1261=""),"⚠ Falta categoría",IF(AND(D1261&lt;&gt;"",E1261&lt;&gt;"",ISNA(MATCH(D1261&amp;"|"&amp;E1261,catClave,0))),"⚠ Subcategoría no corresponde",IF(AND(OR(P1261="Transferencia",P1261="Pago tarjeta"),K1261=""),"⚠ Falta cuenta destino",IF(AND(K1261&lt;&gt;"",P1261&lt;&gt;"Transferencia",P1261&lt;&gt;"Pago tarjeta"),"⚠ Destino solo aplica a transferencias",IF(AND(K1261&lt;&gt;"",K1261=Q1261),"⚠ Origen igual a destino",IF(AND(K1261&lt;&gt;"",ISNA(MATCH(K1261,ctaNombre,0))),"⚠ Destino no registrado",IF(AND(P1261="Pago tarjeta",AE1261&lt;&gt;"Tarjeta de crédito"),"⚠ El destino debe ser tarjeta de crédito",IF(AND(P1261="Gasto",E1261="Depósitos y retiros"),"⚠ Usa tipo Transferencia",IF(AND(P1261="Resultado trading",AD1261&lt;&gt;"Cuenta de trading"),"⚠ Usa una cuenta de trading",IF(AND(G1261&lt;=0,P1261&lt;&gt;"Ajuste",P1261&lt;&gt;"Resultado trading"),"⚠ El monto debe ser positivo","✓")))))))))))))))</f>
        <v/>
      </c>
      <c r="P1261" s="52">
        <f>IF(OR(B1261="",G1261=""),"",IF(C1261="","Gasto",C1261))</f>
        <v/>
      </c>
      <c r="Q1261" s="52">
        <f>IF(P1261="","",IF(J1261&lt;&gt;"",J1261,CuentaPred&amp;""))</f>
        <v/>
      </c>
      <c r="R1261" s="52">
        <f>IF(P1261="","",IF(ISNUMBER(I1261),I1261,TasaUSD))</f>
        <v/>
      </c>
      <c r="S1261" s="53">
        <f>IF(P1261="","",IF(H1261="USD",G1261*R1261,G1261))</f>
        <v/>
      </c>
      <c r="T1261" s="53">
        <f>IF(P1261="","",IF(H1261="USD",G1261,IF(R1261&gt;0,G1261/R1261,0)))</f>
        <v/>
      </c>
      <c r="U1261" s="53">
        <f>IF(P1261="","",IF(P1261="Gasto",S1261,IF(P1261="Reembolso",-S1261,0)))</f>
        <v/>
      </c>
      <c r="V1261" s="53">
        <f>IF(P1261="","",IF(P1261="Ingreso",S1261,0))</f>
        <v/>
      </c>
      <c r="W1261" s="53">
        <f>IF(P1261="","",IF(P1261="Resultado trading",S1261,0))</f>
        <v/>
      </c>
      <c r="X1261" s="52">
        <f>IF(OR(P1261="Gasto",P1261="Reembolso"),IF(M1261&lt;&gt;"",M1261,IFERROR(INDEX(catClasif,MATCH(D1261&amp;"|"&amp;E1261,catClave,0))&amp;"","Variable")),"")</f>
        <v/>
      </c>
      <c r="Y1261" s="52">
        <f>IF(P1261="","",IFERROR(INDEX(catGrupo,MATCH(D1261&amp;"|"&amp;E1261,catClave,0))&amp;"",""))</f>
        <v/>
      </c>
      <c r="Z1261" s="52">
        <f>IF(P1261="","",WEEKDAY(B1261,2))</f>
        <v/>
      </c>
      <c r="AA1261" s="52">
        <f>IF(P1261="","",IF(AND(P1261="Gasto",X1261="Variable",D1261&lt;&gt;catTrading,S1261&gt;0,S1261&lt;=Umbral),1,0))</f>
        <v/>
      </c>
      <c r="AB1261" s="52">
        <f>IF(OR(P1261="",Q1261=""),"",IFERROR(IF(INDEX(ctaVinc,MATCH(Q1261,ctaNombre,0))&amp;""&lt;&gt;"",INDEX(ctaVinc,MATCH(Q1261,ctaNombre,0))&amp;"",Q1261),Q1261))</f>
        <v/>
      </c>
      <c r="AC1261" s="52">
        <f>IF(OR(K1261="",AND(P1261&lt;&gt;"Transferencia",P1261&lt;&gt;"Pago tarjeta")),"",IFERROR(IF(INDEX(ctaVinc,MATCH(K1261,ctaNombre,0))&amp;""&lt;&gt;"",INDEX(ctaVinc,MATCH(K1261,ctaNombre,0))&amp;"",K1261),K1261))</f>
        <v/>
      </c>
      <c r="AD1261" s="52">
        <f>IF(AB1261="","",IFERROR(INDEX(ctaTipo,MATCH(AB1261,ctaNombre,0))&amp;"",""))</f>
        <v/>
      </c>
      <c r="AE1261" s="52">
        <f>IF(AC1261="","",IFERROR(INDEX(ctaTipo,MATCH(AC1261,ctaNombre,0))&amp;"",""))</f>
        <v/>
      </c>
      <c r="AF1261" s="53">
        <f>IF(OR(P1261="",AB1261=""),"",IF(OR(P1261="Gasto",P1261="Transferencia",P1261="Pago tarjeta"),-1,1)*IF(IFERROR(INDEX(ctaMoneda,MATCH(AB1261,ctaNombre,0))&amp;"","DOP")="USD",T1261,S1261))</f>
        <v/>
      </c>
      <c r="AG1261" s="53">
        <f>IF(AC1261="","",IF(IFERROR(INDEX(ctaMoneda,MATCH(AC1261,ctaNombre,0))&amp;"","DOP")="USD",T1261,S1261))</f>
        <v/>
      </c>
      <c r="AH1261" s="53">
        <f>IF(P1261="","",IF(AND(AD1261&lt;&gt;"",COUNTIFS(tcTipo,AD1261,tcLiq,"Sí")&gt;0),IF(OR(P1261="Gasto",P1261="Transferencia",P1261="Pago tarjeta"),-1,1)*S1261,0)+IF(AND(AE1261&lt;&gt;"",COUNTIFS(tcTipo,AE1261,tcLiq,"Sí")&gt;0),S1261,0))</f>
        <v/>
      </c>
      <c r="AI1261" s="52">
        <f>IF(OR(L1261="",P1261=""),"",IF(COUNTIFS(L$6:L1261,L1261,P$6:P1261,"?*")=1,MAX(AI$5:AI1260)+1,""))</f>
        <v/>
      </c>
    </row>
    <row r="1262">
      <c r="B1262" s="47" t="n"/>
      <c r="C1262" s="48" t="n"/>
      <c r="D1262" s="48" t="n"/>
      <c r="E1262" s="48" t="n"/>
      <c r="F1262" s="48" t="n"/>
      <c r="G1262" s="49" t="n"/>
      <c r="H1262" s="48" t="n"/>
      <c r="I1262" s="50" t="n"/>
      <c r="J1262" s="48" t="n"/>
      <c r="K1262" s="48" t="n"/>
      <c r="L1262" s="48" t="n"/>
      <c r="M1262" s="48" t="n"/>
      <c r="N1262" s="48" t="n"/>
      <c r="O1262" s="51">
        <f>IF(AND(B1262="",G1262="",C1262="",D1262="",J1262=""),"",IF(B1262="","⚠ Falta fecha",IF(G1262="","⚠ Falta monto",IF(Q1262="","⚠ Falta cuenta",IF(ISNA(MATCH(Q1262,ctaNombre,0)),"⚠ Cuenta no registrada",IF(AND(OR(P1262="Gasto",P1262="Reembolso"),D1262=""),"⚠ Falta categoría",IF(AND(D1262&lt;&gt;"",E1262&lt;&gt;"",ISNA(MATCH(D1262&amp;"|"&amp;E1262,catClave,0))),"⚠ Subcategoría no corresponde",IF(AND(OR(P1262="Transferencia",P1262="Pago tarjeta"),K1262=""),"⚠ Falta cuenta destino",IF(AND(K1262&lt;&gt;"",P1262&lt;&gt;"Transferencia",P1262&lt;&gt;"Pago tarjeta"),"⚠ Destino solo aplica a transferencias",IF(AND(K1262&lt;&gt;"",K1262=Q1262),"⚠ Origen igual a destino",IF(AND(K1262&lt;&gt;"",ISNA(MATCH(K1262,ctaNombre,0))),"⚠ Destino no registrado",IF(AND(P1262="Pago tarjeta",AE1262&lt;&gt;"Tarjeta de crédito"),"⚠ El destino debe ser tarjeta de crédito",IF(AND(P1262="Gasto",E1262="Depósitos y retiros"),"⚠ Usa tipo Transferencia",IF(AND(P1262="Resultado trading",AD1262&lt;&gt;"Cuenta de trading"),"⚠ Usa una cuenta de trading",IF(AND(G1262&lt;=0,P1262&lt;&gt;"Ajuste",P1262&lt;&gt;"Resultado trading"),"⚠ El monto debe ser positivo","✓")))))))))))))))</f>
        <v/>
      </c>
      <c r="P1262" s="52">
        <f>IF(OR(B1262="",G1262=""),"",IF(C1262="","Gasto",C1262))</f>
        <v/>
      </c>
      <c r="Q1262" s="52">
        <f>IF(P1262="","",IF(J1262&lt;&gt;"",J1262,CuentaPred&amp;""))</f>
        <v/>
      </c>
      <c r="R1262" s="52">
        <f>IF(P1262="","",IF(ISNUMBER(I1262),I1262,TasaUSD))</f>
        <v/>
      </c>
      <c r="S1262" s="53">
        <f>IF(P1262="","",IF(H1262="USD",G1262*R1262,G1262))</f>
        <v/>
      </c>
      <c r="T1262" s="53">
        <f>IF(P1262="","",IF(H1262="USD",G1262,IF(R1262&gt;0,G1262/R1262,0)))</f>
        <v/>
      </c>
      <c r="U1262" s="53">
        <f>IF(P1262="","",IF(P1262="Gasto",S1262,IF(P1262="Reembolso",-S1262,0)))</f>
        <v/>
      </c>
      <c r="V1262" s="53">
        <f>IF(P1262="","",IF(P1262="Ingreso",S1262,0))</f>
        <v/>
      </c>
      <c r="W1262" s="53">
        <f>IF(P1262="","",IF(P1262="Resultado trading",S1262,0))</f>
        <v/>
      </c>
      <c r="X1262" s="52">
        <f>IF(OR(P1262="Gasto",P1262="Reembolso"),IF(M1262&lt;&gt;"",M1262,IFERROR(INDEX(catClasif,MATCH(D1262&amp;"|"&amp;E1262,catClave,0))&amp;"","Variable")),"")</f>
        <v/>
      </c>
      <c r="Y1262" s="52">
        <f>IF(P1262="","",IFERROR(INDEX(catGrupo,MATCH(D1262&amp;"|"&amp;E1262,catClave,0))&amp;"",""))</f>
        <v/>
      </c>
      <c r="Z1262" s="52">
        <f>IF(P1262="","",WEEKDAY(B1262,2))</f>
        <v/>
      </c>
      <c r="AA1262" s="52">
        <f>IF(P1262="","",IF(AND(P1262="Gasto",X1262="Variable",D1262&lt;&gt;catTrading,S1262&gt;0,S1262&lt;=Umbral),1,0))</f>
        <v/>
      </c>
      <c r="AB1262" s="52">
        <f>IF(OR(P1262="",Q1262=""),"",IFERROR(IF(INDEX(ctaVinc,MATCH(Q1262,ctaNombre,0))&amp;""&lt;&gt;"",INDEX(ctaVinc,MATCH(Q1262,ctaNombre,0))&amp;"",Q1262),Q1262))</f>
        <v/>
      </c>
      <c r="AC1262" s="52">
        <f>IF(OR(K1262="",AND(P1262&lt;&gt;"Transferencia",P1262&lt;&gt;"Pago tarjeta")),"",IFERROR(IF(INDEX(ctaVinc,MATCH(K1262,ctaNombre,0))&amp;""&lt;&gt;"",INDEX(ctaVinc,MATCH(K1262,ctaNombre,0))&amp;"",K1262),K1262))</f>
        <v/>
      </c>
      <c r="AD1262" s="52">
        <f>IF(AB1262="","",IFERROR(INDEX(ctaTipo,MATCH(AB1262,ctaNombre,0))&amp;"",""))</f>
        <v/>
      </c>
      <c r="AE1262" s="52">
        <f>IF(AC1262="","",IFERROR(INDEX(ctaTipo,MATCH(AC1262,ctaNombre,0))&amp;"",""))</f>
        <v/>
      </c>
      <c r="AF1262" s="53">
        <f>IF(OR(P1262="",AB1262=""),"",IF(OR(P1262="Gasto",P1262="Transferencia",P1262="Pago tarjeta"),-1,1)*IF(IFERROR(INDEX(ctaMoneda,MATCH(AB1262,ctaNombre,0))&amp;"","DOP")="USD",T1262,S1262))</f>
        <v/>
      </c>
      <c r="AG1262" s="53">
        <f>IF(AC1262="","",IF(IFERROR(INDEX(ctaMoneda,MATCH(AC1262,ctaNombre,0))&amp;"","DOP")="USD",T1262,S1262))</f>
        <v/>
      </c>
      <c r="AH1262" s="53">
        <f>IF(P1262="","",IF(AND(AD1262&lt;&gt;"",COUNTIFS(tcTipo,AD1262,tcLiq,"Sí")&gt;0),IF(OR(P1262="Gasto",P1262="Transferencia",P1262="Pago tarjeta"),-1,1)*S1262,0)+IF(AND(AE1262&lt;&gt;"",COUNTIFS(tcTipo,AE1262,tcLiq,"Sí")&gt;0),S1262,0))</f>
        <v/>
      </c>
      <c r="AI1262" s="52">
        <f>IF(OR(L1262="",P1262=""),"",IF(COUNTIFS(L$6:L1262,L1262,P$6:P1262,"?*")=1,MAX(AI$5:AI1261)+1,""))</f>
        <v/>
      </c>
    </row>
    <row r="1263">
      <c r="B1263" s="47" t="n"/>
      <c r="C1263" s="48" t="n"/>
      <c r="D1263" s="48" t="n"/>
      <c r="E1263" s="48" t="n"/>
      <c r="F1263" s="48" t="n"/>
      <c r="G1263" s="49" t="n"/>
      <c r="H1263" s="48" t="n"/>
      <c r="I1263" s="50" t="n"/>
      <c r="J1263" s="48" t="n"/>
      <c r="K1263" s="48" t="n"/>
      <c r="L1263" s="48" t="n"/>
      <c r="M1263" s="48" t="n"/>
      <c r="N1263" s="48" t="n"/>
      <c r="O1263" s="51">
        <f>IF(AND(B1263="",G1263="",C1263="",D1263="",J1263=""),"",IF(B1263="","⚠ Falta fecha",IF(G1263="","⚠ Falta monto",IF(Q1263="","⚠ Falta cuenta",IF(ISNA(MATCH(Q1263,ctaNombre,0)),"⚠ Cuenta no registrada",IF(AND(OR(P1263="Gasto",P1263="Reembolso"),D1263=""),"⚠ Falta categoría",IF(AND(D1263&lt;&gt;"",E1263&lt;&gt;"",ISNA(MATCH(D1263&amp;"|"&amp;E1263,catClave,0))),"⚠ Subcategoría no corresponde",IF(AND(OR(P1263="Transferencia",P1263="Pago tarjeta"),K1263=""),"⚠ Falta cuenta destino",IF(AND(K1263&lt;&gt;"",P1263&lt;&gt;"Transferencia",P1263&lt;&gt;"Pago tarjeta"),"⚠ Destino solo aplica a transferencias",IF(AND(K1263&lt;&gt;"",K1263=Q1263),"⚠ Origen igual a destino",IF(AND(K1263&lt;&gt;"",ISNA(MATCH(K1263,ctaNombre,0))),"⚠ Destino no registrado",IF(AND(P1263="Pago tarjeta",AE1263&lt;&gt;"Tarjeta de crédito"),"⚠ El destino debe ser tarjeta de crédito",IF(AND(P1263="Gasto",E1263="Depósitos y retiros"),"⚠ Usa tipo Transferencia",IF(AND(P1263="Resultado trading",AD1263&lt;&gt;"Cuenta de trading"),"⚠ Usa una cuenta de trading",IF(AND(G1263&lt;=0,P1263&lt;&gt;"Ajuste",P1263&lt;&gt;"Resultado trading"),"⚠ El monto debe ser positivo","✓")))))))))))))))</f>
        <v/>
      </c>
      <c r="P1263" s="52">
        <f>IF(OR(B1263="",G1263=""),"",IF(C1263="","Gasto",C1263))</f>
        <v/>
      </c>
      <c r="Q1263" s="52">
        <f>IF(P1263="","",IF(J1263&lt;&gt;"",J1263,CuentaPred&amp;""))</f>
        <v/>
      </c>
      <c r="R1263" s="52">
        <f>IF(P1263="","",IF(ISNUMBER(I1263),I1263,TasaUSD))</f>
        <v/>
      </c>
      <c r="S1263" s="53">
        <f>IF(P1263="","",IF(H1263="USD",G1263*R1263,G1263))</f>
        <v/>
      </c>
      <c r="T1263" s="53">
        <f>IF(P1263="","",IF(H1263="USD",G1263,IF(R1263&gt;0,G1263/R1263,0)))</f>
        <v/>
      </c>
      <c r="U1263" s="53">
        <f>IF(P1263="","",IF(P1263="Gasto",S1263,IF(P1263="Reembolso",-S1263,0)))</f>
        <v/>
      </c>
      <c r="V1263" s="53">
        <f>IF(P1263="","",IF(P1263="Ingreso",S1263,0))</f>
        <v/>
      </c>
      <c r="W1263" s="53">
        <f>IF(P1263="","",IF(P1263="Resultado trading",S1263,0))</f>
        <v/>
      </c>
      <c r="X1263" s="52">
        <f>IF(OR(P1263="Gasto",P1263="Reembolso"),IF(M1263&lt;&gt;"",M1263,IFERROR(INDEX(catClasif,MATCH(D1263&amp;"|"&amp;E1263,catClave,0))&amp;"","Variable")),"")</f>
        <v/>
      </c>
      <c r="Y1263" s="52">
        <f>IF(P1263="","",IFERROR(INDEX(catGrupo,MATCH(D1263&amp;"|"&amp;E1263,catClave,0))&amp;"",""))</f>
        <v/>
      </c>
      <c r="Z1263" s="52">
        <f>IF(P1263="","",WEEKDAY(B1263,2))</f>
        <v/>
      </c>
      <c r="AA1263" s="52">
        <f>IF(P1263="","",IF(AND(P1263="Gasto",X1263="Variable",D1263&lt;&gt;catTrading,S1263&gt;0,S1263&lt;=Umbral),1,0))</f>
        <v/>
      </c>
      <c r="AB1263" s="52">
        <f>IF(OR(P1263="",Q1263=""),"",IFERROR(IF(INDEX(ctaVinc,MATCH(Q1263,ctaNombre,0))&amp;""&lt;&gt;"",INDEX(ctaVinc,MATCH(Q1263,ctaNombre,0))&amp;"",Q1263),Q1263))</f>
        <v/>
      </c>
      <c r="AC1263" s="52">
        <f>IF(OR(K1263="",AND(P1263&lt;&gt;"Transferencia",P1263&lt;&gt;"Pago tarjeta")),"",IFERROR(IF(INDEX(ctaVinc,MATCH(K1263,ctaNombre,0))&amp;""&lt;&gt;"",INDEX(ctaVinc,MATCH(K1263,ctaNombre,0))&amp;"",K1263),K1263))</f>
        <v/>
      </c>
      <c r="AD1263" s="52">
        <f>IF(AB1263="","",IFERROR(INDEX(ctaTipo,MATCH(AB1263,ctaNombre,0))&amp;"",""))</f>
        <v/>
      </c>
      <c r="AE1263" s="52">
        <f>IF(AC1263="","",IFERROR(INDEX(ctaTipo,MATCH(AC1263,ctaNombre,0))&amp;"",""))</f>
        <v/>
      </c>
      <c r="AF1263" s="53">
        <f>IF(OR(P1263="",AB1263=""),"",IF(OR(P1263="Gasto",P1263="Transferencia",P1263="Pago tarjeta"),-1,1)*IF(IFERROR(INDEX(ctaMoneda,MATCH(AB1263,ctaNombre,0))&amp;"","DOP")="USD",T1263,S1263))</f>
        <v/>
      </c>
      <c r="AG1263" s="53">
        <f>IF(AC1263="","",IF(IFERROR(INDEX(ctaMoneda,MATCH(AC1263,ctaNombre,0))&amp;"","DOP")="USD",T1263,S1263))</f>
        <v/>
      </c>
      <c r="AH1263" s="53">
        <f>IF(P1263="","",IF(AND(AD1263&lt;&gt;"",COUNTIFS(tcTipo,AD1263,tcLiq,"Sí")&gt;0),IF(OR(P1263="Gasto",P1263="Transferencia",P1263="Pago tarjeta"),-1,1)*S1263,0)+IF(AND(AE1263&lt;&gt;"",COUNTIFS(tcTipo,AE1263,tcLiq,"Sí")&gt;0),S1263,0))</f>
        <v/>
      </c>
      <c r="AI1263" s="52">
        <f>IF(OR(L1263="",P1263=""),"",IF(COUNTIFS(L$6:L1263,L1263,P$6:P1263,"?*")=1,MAX(AI$5:AI1262)+1,""))</f>
        <v/>
      </c>
    </row>
    <row r="1264">
      <c r="B1264" s="47" t="n"/>
      <c r="C1264" s="48" t="n"/>
      <c r="D1264" s="48" t="n"/>
      <c r="E1264" s="48" t="n"/>
      <c r="F1264" s="48" t="n"/>
      <c r="G1264" s="49" t="n"/>
      <c r="H1264" s="48" t="n"/>
      <c r="I1264" s="50" t="n"/>
      <c r="J1264" s="48" t="n"/>
      <c r="K1264" s="48" t="n"/>
      <c r="L1264" s="48" t="n"/>
      <c r="M1264" s="48" t="n"/>
      <c r="N1264" s="48" t="n"/>
      <c r="O1264" s="51">
        <f>IF(AND(B1264="",G1264="",C1264="",D1264="",J1264=""),"",IF(B1264="","⚠ Falta fecha",IF(G1264="","⚠ Falta monto",IF(Q1264="","⚠ Falta cuenta",IF(ISNA(MATCH(Q1264,ctaNombre,0)),"⚠ Cuenta no registrada",IF(AND(OR(P1264="Gasto",P1264="Reembolso"),D1264=""),"⚠ Falta categoría",IF(AND(D1264&lt;&gt;"",E1264&lt;&gt;"",ISNA(MATCH(D1264&amp;"|"&amp;E1264,catClave,0))),"⚠ Subcategoría no corresponde",IF(AND(OR(P1264="Transferencia",P1264="Pago tarjeta"),K1264=""),"⚠ Falta cuenta destino",IF(AND(K1264&lt;&gt;"",P1264&lt;&gt;"Transferencia",P1264&lt;&gt;"Pago tarjeta"),"⚠ Destino solo aplica a transferencias",IF(AND(K1264&lt;&gt;"",K1264=Q1264),"⚠ Origen igual a destino",IF(AND(K1264&lt;&gt;"",ISNA(MATCH(K1264,ctaNombre,0))),"⚠ Destino no registrado",IF(AND(P1264="Pago tarjeta",AE1264&lt;&gt;"Tarjeta de crédito"),"⚠ El destino debe ser tarjeta de crédito",IF(AND(P1264="Gasto",E1264="Depósitos y retiros"),"⚠ Usa tipo Transferencia",IF(AND(P1264="Resultado trading",AD1264&lt;&gt;"Cuenta de trading"),"⚠ Usa una cuenta de trading",IF(AND(G1264&lt;=0,P1264&lt;&gt;"Ajuste",P1264&lt;&gt;"Resultado trading"),"⚠ El monto debe ser positivo","✓")))))))))))))))</f>
        <v/>
      </c>
      <c r="P1264" s="52">
        <f>IF(OR(B1264="",G1264=""),"",IF(C1264="","Gasto",C1264))</f>
        <v/>
      </c>
      <c r="Q1264" s="52">
        <f>IF(P1264="","",IF(J1264&lt;&gt;"",J1264,CuentaPred&amp;""))</f>
        <v/>
      </c>
      <c r="R1264" s="52">
        <f>IF(P1264="","",IF(ISNUMBER(I1264),I1264,TasaUSD))</f>
        <v/>
      </c>
      <c r="S1264" s="53">
        <f>IF(P1264="","",IF(H1264="USD",G1264*R1264,G1264))</f>
        <v/>
      </c>
      <c r="T1264" s="53">
        <f>IF(P1264="","",IF(H1264="USD",G1264,IF(R1264&gt;0,G1264/R1264,0)))</f>
        <v/>
      </c>
      <c r="U1264" s="53">
        <f>IF(P1264="","",IF(P1264="Gasto",S1264,IF(P1264="Reembolso",-S1264,0)))</f>
        <v/>
      </c>
      <c r="V1264" s="53">
        <f>IF(P1264="","",IF(P1264="Ingreso",S1264,0))</f>
        <v/>
      </c>
      <c r="W1264" s="53">
        <f>IF(P1264="","",IF(P1264="Resultado trading",S1264,0))</f>
        <v/>
      </c>
      <c r="X1264" s="52">
        <f>IF(OR(P1264="Gasto",P1264="Reembolso"),IF(M1264&lt;&gt;"",M1264,IFERROR(INDEX(catClasif,MATCH(D1264&amp;"|"&amp;E1264,catClave,0))&amp;"","Variable")),"")</f>
        <v/>
      </c>
      <c r="Y1264" s="52">
        <f>IF(P1264="","",IFERROR(INDEX(catGrupo,MATCH(D1264&amp;"|"&amp;E1264,catClave,0))&amp;"",""))</f>
        <v/>
      </c>
      <c r="Z1264" s="52">
        <f>IF(P1264="","",WEEKDAY(B1264,2))</f>
        <v/>
      </c>
      <c r="AA1264" s="52">
        <f>IF(P1264="","",IF(AND(P1264="Gasto",X1264="Variable",D1264&lt;&gt;catTrading,S1264&gt;0,S1264&lt;=Umbral),1,0))</f>
        <v/>
      </c>
      <c r="AB1264" s="52">
        <f>IF(OR(P1264="",Q1264=""),"",IFERROR(IF(INDEX(ctaVinc,MATCH(Q1264,ctaNombre,0))&amp;""&lt;&gt;"",INDEX(ctaVinc,MATCH(Q1264,ctaNombre,0))&amp;"",Q1264),Q1264))</f>
        <v/>
      </c>
      <c r="AC1264" s="52">
        <f>IF(OR(K1264="",AND(P1264&lt;&gt;"Transferencia",P1264&lt;&gt;"Pago tarjeta")),"",IFERROR(IF(INDEX(ctaVinc,MATCH(K1264,ctaNombre,0))&amp;""&lt;&gt;"",INDEX(ctaVinc,MATCH(K1264,ctaNombre,0))&amp;"",K1264),K1264))</f>
        <v/>
      </c>
      <c r="AD1264" s="52">
        <f>IF(AB1264="","",IFERROR(INDEX(ctaTipo,MATCH(AB1264,ctaNombre,0))&amp;"",""))</f>
        <v/>
      </c>
      <c r="AE1264" s="52">
        <f>IF(AC1264="","",IFERROR(INDEX(ctaTipo,MATCH(AC1264,ctaNombre,0))&amp;"",""))</f>
        <v/>
      </c>
      <c r="AF1264" s="53">
        <f>IF(OR(P1264="",AB1264=""),"",IF(OR(P1264="Gasto",P1264="Transferencia",P1264="Pago tarjeta"),-1,1)*IF(IFERROR(INDEX(ctaMoneda,MATCH(AB1264,ctaNombre,0))&amp;"","DOP")="USD",T1264,S1264))</f>
        <v/>
      </c>
      <c r="AG1264" s="53">
        <f>IF(AC1264="","",IF(IFERROR(INDEX(ctaMoneda,MATCH(AC1264,ctaNombre,0))&amp;"","DOP")="USD",T1264,S1264))</f>
        <v/>
      </c>
      <c r="AH1264" s="53">
        <f>IF(P1264="","",IF(AND(AD1264&lt;&gt;"",COUNTIFS(tcTipo,AD1264,tcLiq,"Sí")&gt;0),IF(OR(P1264="Gasto",P1264="Transferencia",P1264="Pago tarjeta"),-1,1)*S1264,0)+IF(AND(AE1264&lt;&gt;"",COUNTIFS(tcTipo,AE1264,tcLiq,"Sí")&gt;0),S1264,0))</f>
        <v/>
      </c>
      <c r="AI1264" s="52">
        <f>IF(OR(L1264="",P1264=""),"",IF(COUNTIFS(L$6:L1264,L1264,P$6:P1264,"?*")=1,MAX(AI$5:AI1263)+1,""))</f>
        <v/>
      </c>
    </row>
    <row r="1265">
      <c r="B1265" s="47" t="n"/>
      <c r="C1265" s="48" t="n"/>
      <c r="D1265" s="48" t="n"/>
      <c r="E1265" s="48" t="n"/>
      <c r="F1265" s="48" t="n"/>
      <c r="G1265" s="49" t="n"/>
      <c r="H1265" s="48" t="n"/>
      <c r="I1265" s="50" t="n"/>
      <c r="J1265" s="48" t="n"/>
      <c r="K1265" s="48" t="n"/>
      <c r="L1265" s="48" t="n"/>
      <c r="M1265" s="48" t="n"/>
      <c r="N1265" s="48" t="n"/>
      <c r="O1265" s="51">
        <f>IF(AND(B1265="",G1265="",C1265="",D1265="",J1265=""),"",IF(B1265="","⚠ Falta fecha",IF(G1265="","⚠ Falta monto",IF(Q1265="","⚠ Falta cuenta",IF(ISNA(MATCH(Q1265,ctaNombre,0)),"⚠ Cuenta no registrada",IF(AND(OR(P1265="Gasto",P1265="Reembolso"),D1265=""),"⚠ Falta categoría",IF(AND(D1265&lt;&gt;"",E1265&lt;&gt;"",ISNA(MATCH(D1265&amp;"|"&amp;E1265,catClave,0))),"⚠ Subcategoría no corresponde",IF(AND(OR(P1265="Transferencia",P1265="Pago tarjeta"),K1265=""),"⚠ Falta cuenta destino",IF(AND(K1265&lt;&gt;"",P1265&lt;&gt;"Transferencia",P1265&lt;&gt;"Pago tarjeta"),"⚠ Destino solo aplica a transferencias",IF(AND(K1265&lt;&gt;"",K1265=Q1265),"⚠ Origen igual a destino",IF(AND(K1265&lt;&gt;"",ISNA(MATCH(K1265,ctaNombre,0))),"⚠ Destino no registrado",IF(AND(P1265="Pago tarjeta",AE1265&lt;&gt;"Tarjeta de crédito"),"⚠ El destino debe ser tarjeta de crédito",IF(AND(P1265="Gasto",E1265="Depósitos y retiros"),"⚠ Usa tipo Transferencia",IF(AND(P1265="Resultado trading",AD1265&lt;&gt;"Cuenta de trading"),"⚠ Usa una cuenta de trading",IF(AND(G1265&lt;=0,P1265&lt;&gt;"Ajuste",P1265&lt;&gt;"Resultado trading"),"⚠ El monto debe ser positivo","✓")))))))))))))))</f>
        <v/>
      </c>
      <c r="P1265" s="52">
        <f>IF(OR(B1265="",G1265=""),"",IF(C1265="","Gasto",C1265))</f>
        <v/>
      </c>
      <c r="Q1265" s="52">
        <f>IF(P1265="","",IF(J1265&lt;&gt;"",J1265,CuentaPred&amp;""))</f>
        <v/>
      </c>
      <c r="R1265" s="52">
        <f>IF(P1265="","",IF(ISNUMBER(I1265),I1265,TasaUSD))</f>
        <v/>
      </c>
      <c r="S1265" s="53">
        <f>IF(P1265="","",IF(H1265="USD",G1265*R1265,G1265))</f>
        <v/>
      </c>
      <c r="T1265" s="53">
        <f>IF(P1265="","",IF(H1265="USD",G1265,IF(R1265&gt;0,G1265/R1265,0)))</f>
        <v/>
      </c>
      <c r="U1265" s="53">
        <f>IF(P1265="","",IF(P1265="Gasto",S1265,IF(P1265="Reembolso",-S1265,0)))</f>
        <v/>
      </c>
      <c r="V1265" s="53">
        <f>IF(P1265="","",IF(P1265="Ingreso",S1265,0))</f>
        <v/>
      </c>
      <c r="W1265" s="53">
        <f>IF(P1265="","",IF(P1265="Resultado trading",S1265,0))</f>
        <v/>
      </c>
      <c r="X1265" s="52">
        <f>IF(OR(P1265="Gasto",P1265="Reembolso"),IF(M1265&lt;&gt;"",M1265,IFERROR(INDEX(catClasif,MATCH(D1265&amp;"|"&amp;E1265,catClave,0))&amp;"","Variable")),"")</f>
        <v/>
      </c>
      <c r="Y1265" s="52">
        <f>IF(P1265="","",IFERROR(INDEX(catGrupo,MATCH(D1265&amp;"|"&amp;E1265,catClave,0))&amp;"",""))</f>
        <v/>
      </c>
      <c r="Z1265" s="52">
        <f>IF(P1265="","",WEEKDAY(B1265,2))</f>
        <v/>
      </c>
      <c r="AA1265" s="52">
        <f>IF(P1265="","",IF(AND(P1265="Gasto",X1265="Variable",D1265&lt;&gt;catTrading,S1265&gt;0,S1265&lt;=Umbral),1,0))</f>
        <v/>
      </c>
      <c r="AB1265" s="52">
        <f>IF(OR(P1265="",Q1265=""),"",IFERROR(IF(INDEX(ctaVinc,MATCH(Q1265,ctaNombre,0))&amp;""&lt;&gt;"",INDEX(ctaVinc,MATCH(Q1265,ctaNombre,0))&amp;"",Q1265),Q1265))</f>
        <v/>
      </c>
      <c r="AC1265" s="52">
        <f>IF(OR(K1265="",AND(P1265&lt;&gt;"Transferencia",P1265&lt;&gt;"Pago tarjeta")),"",IFERROR(IF(INDEX(ctaVinc,MATCH(K1265,ctaNombre,0))&amp;""&lt;&gt;"",INDEX(ctaVinc,MATCH(K1265,ctaNombre,0))&amp;"",K1265),K1265))</f>
        <v/>
      </c>
      <c r="AD1265" s="52">
        <f>IF(AB1265="","",IFERROR(INDEX(ctaTipo,MATCH(AB1265,ctaNombre,0))&amp;"",""))</f>
        <v/>
      </c>
      <c r="AE1265" s="52">
        <f>IF(AC1265="","",IFERROR(INDEX(ctaTipo,MATCH(AC1265,ctaNombre,0))&amp;"",""))</f>
        <v/>
      </c>
      <c r="AF1265" s="53">
        <f>IF(OR(P1265="",AB1265=""),"",IF(OR(P1265="Gasto",P1265="Transferencia",P1265="Pago tarjeta"),-1,1)*IF(IFERROR(INDEX(ctaMoneda,MATCH(AB1265,ctaNombre,0))&amp;"","DOP")="USD",T1265,S1265))</f>
        <v/>
      </c>
      <c r="AG1265" s="53">
        <f>IF(AC1265="","",IF(IFERROR(INDEX(ctaMoneda,MATCH(AC1265,ctaNombre,0))&amp;"","DOP")="USD",T1265,S1265))</f>
        <v/>
      </c>
      <c r="AH1265" s="53">
        <f>IF(P1265="","",IF(AND(AD1265&lt;&gt;"",COUNTIFS(tcTipo,AD1265,tcLiq,"Sí")&gt;0),IF(OR(P1265="Gasto",P1265="Transferencia",P1265="Pago tarjeta"),-1,1)*S1265,0)+IF(AND(AE1265&lt;&gt;"",COUNTIFS(tcTipo,AE1265,tcLiq,"Sí")&gt;0),S1265,0))</f>
        <v/>
      </c>
      <c r="AI1265" s="52">
        <f>IF(OR(L1265="",P1265=""),"",IF(COUNTIFS(L$6:L1265,L1265,P$6:P1265,"?*")=1,MAX(AI$5:AI1264)+1,""))</f>
        <v/>
      </c>
    </row>
    <row r="1266">
      <c r="B1266" s="47" t="n"/>
      <c r="C1266" s="48" t="n"/>
      <c r="D1266" s="48" t="n"/>
      <c r="E1266" s="48" t="n"/>
      <c r="F1266" s="48" t="n"/>
      <c r="G1266" s="49" t="n"/>
      <c r="H1266" s="48" t="n"/>
      <c r="I1266" s="50" t="n"/>
      <c r="J1266" s="48" t="n"/>
      <c r="K1266" s="48" t="n"/>
      <c r="L1266" s="48" t="n"/>
      <c r="M1266" s="48" t="n"/>
      <c r="N1266" s="48" t="n"/>
      <c r="O1266" s="51">
        <f>IF(AND(B1266="",G1266="",C1266="",D1266="",J1266=""),"",IF(B1266="","⚠ Falta fecha",IF(G1266="","⚠ Falta monto",IF(Q1266="","⚠ Falta cuenta",IF(ISNA(MATCH(Q1266,ctaNombre,0)),"⚠ Cuenta no registrada",IF(AND(OR(P1266="Gasto",P1266="Reembolso"),D1266=""),"⚠ Falta categoría",IF(AND(D1266&lt;&gt;"",E1266&lt;&gt;"",ISNA(MATCH(D1266&amp;"|"&amp;E1266,catClave,0))),"⚠ Subcategoría no corresponde",IF(AND(OR(P1266="Transferencia",P1266="Pago tarjeta"),K1266=""),"⚠ Falta cuenta destino",IF(AND(K1266&lt;&gt;"",P1266&lt;&gt;"Transferencia",P1266&lt;&gt;"Pago tarjeta"),"⚠ Destino solo aplica a transferencias",IF(AND(K1266&lt;&gt;"",K1266=Q1266),"⚠ Origen igual a destino",IF(AND(K1266&lt;&gt;"",ISNA(MATCH(K1266,ctaNombre,0))),"⚠ Destino no registrado",IF(AND(P1266="Pago tarjeta",AE1266&lt;&gt;"Tarjeta de crédito"),"⚠ El destino debe ser tarjeta de crédito",IF(AND(P1266="Gasto",E1266="Depósitos y retiros"),"⚠ Usa tipo Transferencia",IF(AND(P1266="Resultado trading",AD1266&lt;&gt;"Cuenta de trading"),"⚠ Usa una cuenta de trading",IF(AND(G1266&lt;=0,P1266&lt;&gt;"Ajuste",P1266&lt;&gt;"Resultado trading"),"⚠ El monto debe ser positivo","✓")))))))))))))))</f>
        <v/>
      </c>
      <c r="P1266" s="52">
        <f>IF(OR(B1266="",G1266=""),"",IF(C1266="","Gasto",C1266))</f>
        <v/>
      </c>
      <c r="Q1266" s="52">
        <f>IF(P1266="","",IF(J1266&lt;&gt;"",J1266,CuentaPred&amp;""))</f>
        <v/>
      </c>
      <c r="R1266" s="52">
        <f>IF(P1266="","",IF(ISNUMBER(I1266),I1266,TasaUSD))</f>
        <v/>
      </c>
      <c r="S1266" s="53">
        <f>IF(P1266="","",IF(H1266="USD",G1266*R1266,G1266))</f>
        <v/>
      </c>
      <c r="T1266" s="53">
        <f>IF(P1266="","",IF(H1266="USD",G1266,IF(R1266&gt;0,G1266/R1266,0)))</f>
        <v/>
      </c>
      <c r="U1266" s="53">
        <f>IF(P1266="","",IF(P1266="Gasto",S1266,IF(P1266="Reembolso",-S1266,0)))</f>
        <v/>
      </c>
      <c r="V1266" s="53">
        <f>IF(P1266="","",IF(P1266="Ingreso",S1266,0))</f>
        <v/>
      </c>
      <c r="W1266" s="53">
        <f>IF(P1266="","",IF(P1266="Resultado trading",S1266,0))</f>
        <v/>
      </c>
      <c r="X1266" s="52">
        <f>IF(OR(P1266="Gasto",P1266="Reembolso"),IF(M1266&lt;&gt;"",M1266,IFERROR(INDEX(catClasif,MATCH(D1266&amp;"|"&amp;E1266,catClave,0))&amp;"","Variable")),"")</f>
        <v/>
      </c>
      <c r="Y1266" s="52">
        <f>IF(P1266="","",IFERROR(INDEX(catGrupo,MATCH(D1266&amp;"|"&amp;E1266,catClave,0))&amp;"",""))</f>
        <v/>
      </c>
      <c r="Z1266" s="52">
        <f>IF(P1266="","",WEEKDAY(B1266,2))</f>
        <v/>
      </c>
      <c r="AA1266" s="52">
        <f>IF(P1266="","",IF(AND(P1266="Gasto",X1266="Variable",D1266&lt;&gt;catTrading,S1266&gt;0,S1266&lt;=Umbral),1,0))</f>
        <v/>
      </c>
      <c r="AB1266" s="52">
        <f>IF(OR(P1266="",Q1266=""),"",IFERROR(IF(INDEX(ctaVinc,MATCH(Q1266,ctaNombre,0))&amp;""&lt;&gt;"",INDEX(ctaVinc,MATCH(Q1266,ctaNombre,0))&amp;"",Q1266),Q1266))</f>
        <v/>
      </c>
      <c r="AC1266" s="52">
        <f>IF(OR(K1266="",AND(P1266&lt;&gt;"Transferencia",P1266&lt;&gt;"Pago tarjeta")),"",IFERROR(IF(INDEX(ctaVinc,MATCH(K1266,ctaNombre,0))&amp;""&lt;&gt;"",INDEX(ctaVinc,MATCH(K1266,ctaNombre,0))&amp;"",K1266),K1266))</f>
        <v/>
      </c>
      <c r="AD1266" s="52">
        <f>IF(AB1266="","",IFERROR(INDEX(ctaTipo,MATCH(AB1266,ctaNombre,0))&amp;"",""))</f>
        <v/>
      </c>
      <c r="AE1266" s="52">
        <f>IF(AC1266="","",IFERROR(INDEX(ctaTipo,MATCH(AC1266,ctaNombre,0))&amp;"",""))</f>
        <v/>
      </c>
      <c r="AF1266" s="53">
        <f>IF(OR(P1266="",AB1266=""),"",IF(OR(P1266="Gasto",P1266="Transferencia",P1266="Pago tarjeta"),-1,1)*IF(IFERROR(INDEX(ctaMoneda,MATCH(AB1266,ctaNombre,0))&amp;"","DOP")="USD",T1266,S1266))</f>
        <v/>
      </c>
      <c r="AG1266" s="53">
        <f>IF(AC1266="","",IF(IFERROR(INDEX(ctaMoneda,MATCH(AC1266,ctaNombre,0))&amp;"","DOP")="USD",T1266,S1266))</f>
        <v/>
      </c>
      <c r="AH1266" s="53">
        <f>IF(P1266="","",IF(AND(AD1266&lt;&gt;"",COUNTIFS(tcTipo,AD1266,tcLiq,"Sí")&gt;0),IF(OR(P1266="Gasto",P1266="Transferencia",P1266="Pago tarjeta"),-1,1)*S1266,0)+IF(AND(AE1266&lt;&gt;"",COUNTIFS(tcTipo,AE1266,tcLiq,"Sí")&gt;0),S1266,0))</f>
        <v/>
      </c>
      <c r="AI1266" s="52">
        <f>IF(OR(L1266="",P1266=""),"",IF(COUNTIFS(L$6:L1266,L1266,P$6:P1266,"?*")=1,MAX(AI$5:AI1265)+1,""))</f>
        <v/>
      </c>
    </row>
    <row r="1267">
      <c r="B1267" s="47" t="n"/>
      <c r="C1267" s="48" t="n"/>
      <c r="D1267" s="48" t="n"/>
      <c r="E1267" s="48" t="n"/>
      <c r="F1267" s="48" t="n"/>
      <c r="G1267" s="49" t="n"/>
      <c r="H1267" s="48" t="n"/>
      <c r="I1267" s="50" t="n"/>
      <c r="J1267" s="48" t="n"/>
      <c r="K1267" s="48" t="n"/>
      <c r="L1267" s="48" t="n"/>
      <c r="M1267" s="48" t="n"/>
      <c r="N1267" s="48" t="n"/>
      <c r="O1267" s="51">
        <f>IF(AND(B1267="",G1267="",C1267="",D1267="",J1267=""),"",IF(B1267="","⚠ Falta fecha",IF(G1267="","⚠ Falta monto",IF(Q1267="","⚠ Falta cuenta",IF(ISNA(MATCH(Q1267,ctaNombre,0)),"⚠ Cuenta no registrada",IF(AND(OR(P1267="Gasto",P1267="Reembolso"),D1267=""),"⚠ Falta categoría",IF(AND(D1267&lt;&gt;"",E1267&lt;&gt;"",ISNA(MATCH(D1267&amp;"|"&amp;E1267,catClave,0))),"⚠ Subcategoría no corresponde",IF(AND(OR(P1267="Transferencia",P1267="Pago tarjeta"),K1267=""),"⚠ Falta cuenta destino",IF(AND(K1267&lt;&gt;"",P1267&lt;&gt;"Transferencia",P1267&lt;&gt;"Pago tarjeta"),"⚠ Destino solo aplica a transferencias",IF(AND(K1267&lt;&gt;"",K1267=Q1267),"⚠ Origen igual a destino",IF(AND(K1267&lt;&gt;"",ISNA(MATCH(K1267,ctaNombre,0))),"⚠ Destino no registrado",IF(AND(P1267="Pago tarjeta",AE1267&lt;&gt;"Tarjeta de crédito"),"⚠ El destino debe ser tarjeta de crédito",IF(AND(P1267="Gasto",E1267="Depósitos y retiros"),"⚠ Usa tipo Transferencia",IF(AND(P1267="Resultado trading",AD1267&lt;&gt;"Cuenta de trading"),"⚠ Usa una cuenta de trading",IF(AND(G1267&lt;=0,P1267&lt;&gt;"Ajuste",P1267&lt;&gt;"Resultado trading"),"⚠ El monto debe ser positivo","✓")))))))))))))))</f>
        <v/>
      </c>
      <c r="P1267" s="52">
        <f>IF(OR(B1267="",G1267=""),"",IF(C1267="","Gasto",C1267))</f>
        <v/>
      </c>
      <c r="Q1267" s="52">
        <f>IF(P1267="","",IF(J1267&lt;&gt;"",J1267,CuentaPred&amp;""))</f>
        <v/>
      </c>
      <c r="R1267" s="52">
        <f>IF(P1267="","",IF(ISNUMBER(I1267),I1267,TasaUSD))</f>
        <v/>
      </c>
      <c r="S1267" s="53">
        <f>IF(P1267="","",IF(H1267="USD",G1267*R1267,G1267))</f>
        <v/>
      </c>
      <c r="T1267" s="53">
        <f>IF(P1267="","",IF(H1267="USD",G1267,IF(R1267&gt;0,G1267/R1267,0)))</f>
        <v/>
      </c>
      <c r="U1267" s="53">
        <f>IF(P1267="","",IF(P1267="Gasto",S1267,IF(P1267="Reembolso",-S1267,0)))</f>
        <v/>
      </c>
      <c r="V1267" s="53">
        <f>IF(P1267="","",IF(P1267="Ingreso",S1267,0))</f>
        <v/>
      </c>
      <c r="W1267" s="53">
        <f>IF(P1267="","",IF(P1267="Resultado trading",S1267,0))</f>
        <v/>
      </c>
      <c r="X1267" s="52">
        <f>IF(OR(P1267="Gasto",P1267="Reembolso"),IF(M1267&lt;&gt;"",M1267,IFERROR(INDEX(catClasif,MATCH(D1267&amp;"|"&amp;E1267,catClave,0))&amp;"","Variable")),"")</f>
        <v/>
      </c>
      <c r="Y1267" s="52">
        <f>IF(P1267="","",IFERROR(INDEX(catGrupo,MATCH(D1267&amp;"|"&amp;E1267,catClave,0))&amp;"",""))</f>
        <v/>
      </c>
      <c r="Z1267" s="52">
        <f>IF(P1267="","",WEEKDAY(B1267,2))</f>
        <v/>
      </c>
      <c r="AA1267" s="52">
        <f>IF(P1267="","",IF(AND(P1267="Gasto",X1267="Variable",D1267&lt;&gt;catTrading,S1267&gt;0,S1267&lt;=Umbral),1,0))</f>
        <v/>
      </c>
      <c r="AB1267" s="52">
        <f>IF(OR(P1267="",Q1267=""),"",IFERROR(IF(INDEX(ctaVinc,MATCH(Q1267,ctaNombre,0))&amp;""&lt;&gt;"",INDEX(ctaVinc,MATCH(Q1267,ctaNombre,0))&amp;"",Q1267),Q1267))</f>
        <v/>
      </c>
      <c r="AC1267" s="52">
        <f>IF(OR(K1267="",AND(P1267&lt;&gt;"Transferencia",P1267&lt;&gt;"Pago tarjeta")),"",IFERROR(IF(INDEX(ctaVinc,MATCH(K1267,ctaNombre,0))&amp;""&lt;&gt;"",INDEX(ctaVinc,MATCH(K1267,ctaNombre,0))&amp;"",K1267),K1267))</f>
        <v/>
      </c>
      <c r="AD1267" s="52">
        <f>IF(AB1267="","",IFERROR(INDEX(ctaTipo,MATCH(AB1267,ctaNombre,0))&amp;"",""))</f>
        <v/>
      </c>
      <c r="AE1267" s="52">
        <f>IF(AC1267="","",IFERROR(INDEX(ctaTipo,MATCH(AC1267,ctaNombre,0))&amp;"",""))</f>
        <v/>
      </c>
      <c r="AF1267" s="53">
        <f>IF(OR(P1267="",AB1267=""),"",IF(OR(P1267="Gasto",P1267="Transferencia",P1267="Pago tarjeta"),-1,1)*IF(IFERROR(INDEX(ctaMoneda,MATCH(AB1267,ctaNombre,0))&amp;"","DOP")="USD",T1267,S1267))</f>
        <v/>
      </c>
      <c r="AG1267" s="53">
        <f>IF(AC1267="","",IF(IFERROR(INDEX(ctaMoneda,MATCH(AC1267,ctaNombre,0))&amp;"","DOP")="USD",T1267,S1267))</f>
        <v/>
      </c>
      <c r="AH1267" s="53">
        <f>IF(P1267="","",IF(AND(AD1267&lt;&gt;"",COUNTIFS(tcTipo,AD1267,tcLiq,"Sí")&gt;0),IF(OR(P1267="Gasto",P1267="Transferencia",P1267="Pago tarjeta"),-1,1)*S1267,0)+IF(AND(AE1267&lt;&gt;"",COUNTIFS(tcTipo,AE1267,tcLiq,"Sí")&gt;0),S1267,0))</f>
        <v/>
      </c>
      <c r="AI1267" s="52">
        <f>IF(OR(L1267="",P1267=""),"",IF(COUNTIFS(L$6:L1267,L1267,P$6:P1267,"?*")=1,MAX(AI$5:AI1266)+1,""))</f>
        <v/>
      </c>
    </row>
    <row r="1268">
      <c r="B1268" s="47" t="n"/>
      <c r="C1268" s="48" t="n"/>
      <c r="D1268" s="48" t="n"/>
      <c r="E1268" s="48" t="n"/>
      <c r="F1268" s="48" t="n"/>
      <c r="G1268" s="49" t="n"/>
      <c r="H1268" s="48" t="n"/>
      <c r="I1268" s="50" t="n"/>
      <c r="J1268" s="48" t="n"/>
      <c r="K1268" s="48" t="n"/>
      <c r="L1268" s="48" t="n"/>
      <c r="M1268" s="48" t="n"/>
      <c r="N1268" s="48" t="n"/>
      <c r="O1268" s="51">
        <f>IF(AND(B1268="",G1268="",C1268="",D1268="",J1268=""),"",IF(B1268="","⚠ Falta fecha",IF(G1268="","⚠ Falta monto",IF(Q1268="","⚠ Falta cuenta",IF(ISNA(MATCH(Q1268,ctaNombre,0)),"⚠ Cuenta no registrada",IF(AND(OR(P1268="Gasto",P1268="Reembolso"),D1268=""),"⚠ Falta categoría",IF(AND(D1268&lt;&gt;"",E1268&lt;&gt;"",ISNA(MATCH(D1268&amp;"|"&amp;E1268,catClave,0))),"⚠ Subcategoría no corresponde",IF(AND(OR(P1268="Transferencia",P1268="Pago tarjeta"),K1268=""),"⚠ Falta cuenta destino",IF(AND(K1268&lt;&gt;"",P1268&lt;&gt;"Transferencia",P1268&lt;&gt;"Pago tarjeta"),"⚠ Destino solo aplica a transferencias",IF(AND(K1268&lt;&gt;"",K1268=Q1268),"⚠ Origen igual a destino",IF(AND(K1268&lt;&gt;"",ISNA(MATCH(K1268,ctaNombre,0))),"⚠ Destino no registrado",IF(AND(P1268="Pago tarjeta",AE1268&lt;&gt;"Tarjeta de crédito"),"⚠ El destino debe ser tarjeta de crédito",IF(AND(P1268="Gasto",E1268="Depósitos y retiros"),"⚠ Usa tipo Transferencia",IF(AND(P1268="Resultado trading",AD1268&lt;&gt;"Cuenta de trading"),"⚠ Usa una cuenta de trading",IF(AND(G1268&lt;=0,P1268&lt;&gt;"Ajuste",P1268&lt;&gt;"Resultado trading"),"⚠ El monto debe ser positivo","✓")))))))))))))))</f>
        <v/>
      </c>
      <c r="P1268" s="52">
        <f>IF(OR(B1268="",G1268=""),"",IF(C1268="","Gasto",C1268))</f>
        <v/>
      </c>
      <c r="Q1268" s="52">
        <f>IF(P1268="","",IF(J1268&lt;&gt;"",J1268,CuentaPred&amp;""))</f>
        <v/>
      </c>
      <c r="R1268" s="52">
        <f>IF(P1268="","",IF(ISNUMBER(I1268),I1268,TasaUSD))</f>
        <v/>
      </c>
      <c r="S1268" s="53">
        <f>IF(P1268="","",IF(H1268="USD",G1268*R1268,G1268))</f>
        <v/>
      </c>
      <c r="T1268" s="53">
        <f>IF(P1268="","",IF(H1268="USD",G1268,IF(R1268&gt;0,G1268/R1268,0)))</f>
        <v/>
      </c>
      <c r="U1268" s="53">
        <f>IF(P1268="","",IF(P1268="Gasto",S1268,IF(P1268="Reembolso",-S1268,0)))</f>
        <v/>
      </c>
      <c r="V1268" s="53">
        <f>IF(P1268="","",IF(P1268="Ingreso",S1268,0))</f>
        <v/>
      </c>
      <c r="W1268" s="53">
        <f>IF(P1268="","",IF(P1268="Resultado trading",S1268,0))</f>
        <v/>
      </c>
      <c r="X1268" s="52">
        <f>IF(OR(P1268="Gasto",P1268="Reembolso"),IF(M1268&lt;&gt;"",M1268,IFERROR(INDEX(catClasif,MATCH(D1268&amp;"|"&amp;E1268,catClave,0))&amp;"","Variable")),"")</f>
        <v/>
      </c>
      <c r="Y1268" s="52">
        <f>IF(P1268="","",IFERROR(INDEX(catGrupo,MATCH(D1268&amp;"|"&amp;E1268,catClave,0))&amp;"",""))</f>
        <v/>
      </c>
      <c r="Z1268" s="52">
        <f>IF(P1268="","",WEEKDAY(B1268,2))</f>
        <v/>
      </c>
      <c r="AA1268" s="52">
        <f>IF(P1268="","",IF(AND(P1268="Gasto",X1268="Variable",D1268&lt;&gt;catTrading,S1268&gt;0,S1268&lt;=Umbral),1,0))</f>
        <v/>
      </c>
      <c r="AB1268" s="52">
        <f>IF(OR(P1268="",Q1268=""),"",IFERROR(IF(INDEX(ctaVinc,MATCH(Q1268,ctaNombre,0))&amp;""&lt;&gt;"",INDEX(ctaVinc,MATCH(Q1268,ctaNombre,0))&amp;"",Q1268),Q1268))</f>
        <v/>
      </c>
      <c r="AC1268" s="52">
        <f>IF(OR(K1268="",AND(P1268&lt;&gt;"Transferencia",P1268&lt;&gt;"Pago tarjeta")),"",IFERROR(IF(INDEX(ctaVinc,MATCH(K1268,ctaNombre,0))&amp;""&lt;&gt;"",INDEX(ctaVinc,MATCH(K1268,ctaNombre,0))&amp;"",K1268),K1268))</f>
        <v/>
      </c>
      <c r="AD1268" s="52">
        <f>IF(AB1268="","",IFERROR(INDEX(ctaTipo,MATCH(AB1268,ctaNombre,0))&amp;"",""))</f>
        <v/>
      </c>
      <c r="AE1268" s="52">
        <f>IF(AC1268="","",IFERROR(INDEX(ctaTipo,MATCH(AC1268,ctaNombre,0))&amp;"",""))</f>
        <v/>
      </c>
      <c r="AF1268" s="53">
        <f>IF(OR(P1268="",AB1268=""),"",IF(OR(P1268="Gasto",P1268="Transferencia",P1268="Pago tarjeta"),-1,1)*IF(IFERROR(INDEX(ctaMoneda,MATCH(AB1268,ctaNombre,0))&amp;"","DOP")="USD",T1268,S1268))</f>
        <v/>
      </c>
      <c r="AG1268" s="53">
        <f>IF(AC1268="","",IF(IFERROR(INDEX(ctaMoneda,MATCH(AC1268,ctaNombre,0))&amp;"","DOP")="USD",T1268,S1268))</f>
        <v/>
      </c>
      <c r="AH1268" s="53">
        <f>IF(P1268="","",IF(AND(AD1268&lt;&gt;"",COUNTIFS(tcTipo,AD1268,tcLiq,"Sí")&gt;0),IF(OR(P1268="Gasto",P1268="Transferencia",P1268="Pago tarjeta"),-1,1)*S1268,0)+IF(AND(AE1268&lt;&gt;"",COUNTIFS(tcTipo,AE1268,tcLiq,"Sí")&gt;0),S1268,0))</f>
        <v/>
      </c>
      <c r="AI1268" s="52">
        <f>IF(OR(L1268="",P1268=""),"",IF(COUNTIFS(L$6:L1268,L1268,P$6:P1268,"?*")=1,MAX(AI$5:AI1267)+1,""))</f>
        <v/>
      </c>
    </row>
    <row r="1269">
      <c r="B1269" s="47" t="n"/>
      <c r="C1269" s="48" t="n"/>
      <c r="D1269" s="48" t="n"/>
      <c r="E1269" s="48" t="n"/>
      <c r="F1269" s="48" t="n"/>
      <c r="G1269" s="49" t="n"/>
      <c r="H1269" s="48" t="n"/>
      <c r="I1269" s="50" t="n"/>
      <c r="J1269" s="48" t="n"/>
      <c r="K1269" s="48" t="n"/>
      <c r="L1269" s="48" t="n"/>
      <c r="M1269" s="48" t="n"/>
      <c r="N1269" s="48" t="n"/>
      <c r="O1269" s="51">
        <f>IF(AND(B1269="",G1269="",C1269="",D1269="",J1269=""),"",IF(B1269="","⚠ Falta fecha",IF(G1269="","⚠ Falta monto",IF(Q1269="","⚠ Falta cuenta",IF(ISNA(MATCH(Q1269,ctaNombre,0)),"⚠ Cuenta no registrada",IF(AND(OR(P1269="Gasto",P1269="Reembolso"),D1269=""),"⚠ Falta categoría",IF(AND(D1269&lt;&gt;"",E1269&lt;&gt;"",ISNA(MATCH(D1269&amp;"|"&amp;E1269,catClave,0))),"⚠ Subcategoría no corresponde",IF(AND(OR(P1269="Transferencia",P1269="Pago tarjeta"),K1269=""),"⚠ Falta cuenta destino",IF(AND(K1269&lt;&gt;"",P1269&lt;&gt;"Transferencia",P1269&lt;&gt;"Pago tarjeta"),"⚠ Destino solo aplica a transferencias",IF(AND(K1269&lt;&gt;"",K1269=Q1269),"⚠ Origen igual a destino",IF(AND(K1269&lt;&gt;"",ISNA(MATCH(K1269,ctaNombre,0))),"⚠ Destino no registrado",IF(AND(P1269="Pago tarjeta",AE1269&lt;&gt;"Tarjeta de crédito"),"⚠ El destino debe ser tarjeta de crédito",IF(AND(P1269="Gasto",E1269="Depósitos y retiros"),"⚠ Usa tipo Transferencia",IF(AND(P1269="Resultado trading",AD1269&lt;&gt;"Cuenta de trading"),"⚠ Usa una cuenta de trading",IF(AND(G1269&lt;=0,P1269&lt;&gt;"Ajuste",P1269&lt;&gt;"Resultado trading"),"⚠ El monto debe ser positivo","✓")))))))))))))))</f>
        <v/>
      </c>
      <c r="P1269" s="52">
        <f>IF(OR(B1269="",G1269=""),"",IF(C1269="","Gasto",C1269))</f>
        <v/>
      </c>
      <c r="Q1269" s="52">
        <f>IF(P1269="","",IF(J1269&lt;&gt;"",J1269,CuentaPred&amp;""))</f>
        <v/>
      </c>
      <c r="R1269" s="52">
        <f>IF(P1269="","",IF(ISNUMBER(I1269),I1269,TasaUSD))</f>
        <v/>
      </c>
      <c r="S1269" s="53">
        <f>IF(P1269="","",IF(H1269="USD",G1269*R1269,G1269))</f>
        <v/>
      </c>
      <c r="T1269" s="53">
        <f>IF(P1269="","",IF(H1269="USD",G1269,IF(R1269&gt;0,G1269/R1269,0)))</f>
        <v/>
      </c>
      <c r="U1269" s="53">
        <f>IF(P1269="","",IF(P1269="Gasto",S1269,IF(P1269="Reembolso",-S1269,0)))</f>
        <v/>
      </c>
      <c r="V1269" s="53">
        <f>IF(P1269="","",IF(P1269="Ingreso",S1269,0))</f>
        <v/>
      </c>
      <c r="W1269" s="53">
        <f>IF(P1269="","",IF(P1269="Resultado trading",S1269,0))</f>
        <v/>
      </c>
      <c r="X1269" s="52">
        <f>IF(OR(P1269="Gasto",P1269="Reembolso"),IF(M1269&lt;&gt;"",M1269,IFERROR(INDEX(catClasif,MATCH(D1269&amp;"|"&amp;E1269,catClave,0))&amp;"","Variable")),"")</f>
        <v/>
      </c>
      <c r="Y1269" s="52">
        <f>IF(P1269="","",IFERROR(INDEX(catGrupo,MATCH(D1269&amp;"|"&amp;E1269,catClave,0))&amp;"",""))</f>
        <v/>
      </c>
      <c r="Z1269" s="52">
        <f>IF(P1269="","",WEEKDAY(B1269,2))</f>
        <v/>
      </c>
      <c r="AA1269" s="52">
        <f>IF(P1269="","",IF(AND(P1269="Gasto",X1269="Variable",D1269&lt;&gt;catTrading,S1269&gt;0,S1269&lt;=Umbral),1,0))</f>
        <v/>
      </c>
      <c r="AB1269" s="52">
        <f>IF(OR(P1269="",Q1269=""),"",IFERROR(IF(INDEX(ctaVinc,MATCH(Q1269,ctaNombre,0))&amp;""&lt;&gt;"",INDEX(ctaVinc,MATCH(Q1269,ctaNombre,0))&amp;"",Q1269),Q1269))</f>
        <v/>
      </c>
      <c r="AC1269" s="52">
        <f>IF(OR(K1269="",AND(P1269&lt;&gt;"Transferencia",P1269&lt;&gt;"Pago tarjeta")),"",IFERROR(IF(INDEX(ctaVinc,MATCH(K1269,ctaNombre,0))&amp;""&lt;&gt;"",INDEX(ctaVinc,MATCH(K1269,ctaNombre,0))&amp;"",K1269),K1269))</f>
        <v/>
      </c>
      <c r="AD1269" s="52">
        <f>IF(AB1269="","",IFERROR(INDEX(ctaTipo,MATCH(AB1269,ctaNombre,0))&amp;"",""))</f>
        <v/>
      </c>
      <c r="AE1269" s="52">
        <f>IF(AC1269="","",IFERROR(INDEX(ctaTipo,MATCH(AC1269,ctaNombre,0))&amp;"",""))</f>
        <v/>
      </c>
      <c r="AF1269" s="53">
        <f>IF(OR(P1269="",AB1269=""),"",IF(OR(P1269="Gasto",P1269="Transferencia",P1269="Pago tarjeta"),-1,1)*IF(IFERROR(INDEX(ctaMoneda,MATCH(AB1269,ctaNombre,0))&amp;"","DOP")="USD",T1269,S1269))</f>
        <v/>
      </c>
      <c r="AG1269" s="53">
        <f>IF(AC1269="","",IF(IFERROR(INDEX(ctaMoneda,MATCH(AC1269,ctaNombre,0))&amp;"","DOP")="USD",T1269,S1269))</f>
        <v/>
      </c>
      <c r="AH1269" s="53">
        <f>IF(P1269="","",IF(AND(AD1269&lt;&gt;"",COUNTIFS(tcTipo,AD1269,tcLiq,"Sí")&gt;0),IF(OR(P1269="Gasto",P1269="Transferencia",P1269="Pago tarjeta"),-1,1)*S1269,0)+IF(AND(AE1269&lt;&gt;"",COUNTIFS(tcTipo,AE1269,tcLiq,"Sí")&gt;0),S1269,0))</f>
        <v/>
      </c>
      <c r="AI1269" s="52">
        <f>IF(OR(L1269="",P1269=""),"",IF(COUNTIFS(L$6:L1269,L1269,P$6:P1269,"?*")=1,MAX(AI$5:AI1268)+1,""))</f>
        <v/>
      </c>
    </row>
    <row r="1270">
      <c r="B1270" s="47" t="n"/>
      <c r="C1270" s="48" t="n"/>
      <c r="D1270" s="48" t="n"/>
      <c r="E1270" s="48" t="n"/>
      <c r="F1270" s="48" t="n"/>
      <c r="G1270" s="49" t="n"/>
      <c r="H1270" s="48" t="n"/>
      <c r="I1270" s="50" t="n"/>
      <c r="J1270" s="48" t="n"/>
      <c r="K1270" s="48" t="n"/>
      <c r="L1270" s="48" t="n"/>
      <c r="M1270" s="48" t="n"/>
      <c r="N1270" s="48" t="n"/>
      <c r="O1270" s="51">
        <f>IF(AND(B1270="",G1270="",C1270="",D1270="",J1270=""),"",IF(B1270="","⚠ Falta fecha",IF(G1270="","⚠ Falta monto",IF(Q1270="","⚠ Falta cuenta",IF(ISNA(MATCH(Q1270,ctaNombre,0)),"⚠ Cuenta no registrada",IF(AND(OR(P1270="Gasto",P1270="Reembolso"),D1270=""),"⚠ Falta categoría",IF(AND(D1270&lt;&gt;"",E1270&lt;&gt;"",ISNA(MATCH(D1270&amp;"|"&amp;E1270,catClave,0))),"⚠ Subcategoría no corresponde",IF(AND(OR(P1270="Transferencia",P1270="Pago tarjeta"),K1270=""),"⚠ Falta cuenta destino",IF(AND(K1270&lt;&gt;"",P1270&lt;&gt;"Transferencia",P1270&lt;&gt;"Pago tarjeta"),"⚠ Destino solo aplica a transferencias",IF(AND(K1270&lt;&gt;"",K1270=Q1270),"⚠ Origen igual a destino",IF(AND(K1270&lt;&gt;"",ISNA(MATCH(K1270,ctaNombre,0))),"⚠ Destino no registrado",IF(AND(P1270="Pago tarjeta",AE1270&lt;&gt;"Tarjeta de crédito"),"⚠ El destino debe ser tarjeta de crédito",IF(AND(P1270="Gasto",E1270="Depósitos y retiros"),"⚠ Usa tipo Transferencia",IF(AND(P1270="Resultado trading",AD1270&lt;&gt;"Cuenta de trading"),"⚠ Usa una cuenta de trading",IF(AND(G1270&lt;=0,P1270&lt;&gt;"Ajuste",P1270&lt;&gt;"Resultado trading"),"⚠ El monto debe ser positivo","✓")))))))))))))))</f>
        <v/>
      </c>
      <c r="P1270" s="52">
        <f>IF(OR(B1270="",G1270=""),"",IF(C1270="","Gasto",C1270))</f>
        <v/>
      </c>
      <c r="Q1270" s="52">
        <f>IF(P1270="","",IF(J1270&lt;&gt;"",J1270,CuentaPred&amp;""))</f>
        <v/>
      </c>
      <c r="R1270" s="52">
        <f>IF(P1270="","",IF(ISNUMBER(I1270),I1270,TasaUSD))</f>
        <v/>
      </c>
      <c r="S1270" s="53">
        <f>IF(P1270="","",IF(H1270="USD",G1270*R1270,G1270))</f>
        <v/>
      </c>
      <c r="T1270" s="53">
        <f>IF(P1270="","",IF(H1270="USD",G1270,IF(R1270&gt;0,G1270/R1270,0)))</f>
        <v/>
      </c>
      <c r="U1270" s="53">
        <f>IF(P1270="","",IF(P1270="Gasto",S1270,IF(P1270="Reembolso",-S1270,0)))</f>
        <v/>
      </c>
      <c r="V1270" s="53">
        <f>IF(P1270="","",IF(P1270="Ingreso",S1270,0))</f>
        <v/>
      </c>
      <c r="W1270" s="53">
        <f>IF(P1270="","",IF(P1270="Resultado trading",S1270,0))</f>
        <v/>
      </c>
      <c r="X1270" s="52">
        <f>IF(OR(P1270="Gasto",P1270="Reembolso"),IF(M1270&lt;&gt;"",M1270,IFERROR(INDEX(catClasif,MATCH(D1270&amp;"|"&amp;E1270,catClave,0))&amp;"","Variable")),"")</f>
        <v/>
      </c>
      <c r="Y1270" s="52">
        <f>IF(P1270="","",IFERROR(INDEX(catGrupo,MATCH(D1270&amp;"|"&amp;E1270,catClave,0))&amp;"",""))</f>
        <v/>
      </c>
      <c r="Z1270" s="52">
        <f>IF(P1270="","",WEEKDAY(B1270,2))</f>
        <v/>
      </c>
      <c r="AA1270" s="52">
        <f>IF(P1270="","",IF(AND(P1270="Gasto",X1270="Variable",D1270&lt;&gt;catTrading,S1270&gt;0,S1270&lt;=Umbral),1,0))</f>
        <v/>
      </c>
      <c r="AB1270" s="52">
        <f>IF(OR(P1270="",Q1270=""),"",IFERROR(IF(INDEX(ctaVinc,MATCH(Q1270,ctaNombre,0))&amp;""&lt;&gt;"",INDEX(ctaVinc,MATCH(Q1270,ctaNombre,0))&amp;"",Q1270),Q1270))</f>
        <v/>
      </c>
      <c r="AC1270" s="52">
        <f>IF(OR(K1270="",AND(P1270&lt;&gt;"Transferencia",P1270&lt;&gt;"Pago tarjeta")),"",IFERROR(IF(INDEX(ctaVinc,MATCH(K1270,ctaNombre,0))&amp;""&lt;&gt;"",INDEX(ctaVinc,MATCH(K1270,ctaNombre,0))&amp;"",K1270),K1270))</f>
        <v/>
      </c>
      <c r="AD1270" s="52">
        <f>IF(AB1270="","",IFERROR(INDEX(ctaTipo,MATCH(AB1270,ctaNombre,0))&amp;"",""))</f>
        <v/>
      </c>
      <c r="AE1270" s="52">
        <f>IF(AC1270="","",IFERROR(INDEX(ctaTipo,MATCH(AC1270,ctaNombre,0))&amp;"",""))</f>
        <v/>
      </c>
      <c r="AF1270" s="53">
        <f>IF(OR(P1270="",AB1270=""),"",IF(OR(P1270="Gasto",P1270="Transferencia",P1270="Pago tarjeta"),-1,1)*IF(IFERROR(INDEX(ctaMoneda,MATCH(AB1270,ctaNombre,0))&amp;"","DOP")="USD",T1270,S1270))</f>
        <v/>
      </c>
      <c r="AG1270" s="53">
        <f>IF(AC1270="","",IF(IFERROR(INDEX(ctaMoneda,MATCH(AC1270,ctaNombre,0))&amp;"","DOP")="USD",T1270,S1270))</f>
        <v/>
      </c>
      <c r="AH1270" s="53">
        <f>IF(P1270="","",IF(AND(AD1270&lt;&gt;"",COUNTIFS(tcTipo,AD1270,tcLiq,"Sí")&gt;0),IF(OR(P1270="Gasto",P1270="Transferencia",P1270="Pago tarjeta"),-1,1)*S1270,0)+IF(AND(AE1270&lt;&gt;"",COUNTIFS(tcTipo,AE1270,tcLiq,"Sí")&gt;0),S1270,0))</f>
        <v/>
      </c>
      <c r="AI1270" s="52">
        <f>IF(OR(L1270="",P1270=""),"",IF(COUNTIFS(L$6:L1270,L1270,P$6:P1270,"?*")=1,MAX(AI$5:AI1269)+1,""))</f>
        <v/>
      </c>
    </row>
    <row r="1271">
      <c r="B1271" s="47" t="n"/>
      <c r="C1271" s="48" t="n"/>
      <c r="D1271" s="48" t="n"/>
      <c r="E1271" s="48" t="n"/>
      <c r="F1271" s="48" t="n"/>
      <c r="G1271" s="49" t="n"/>
      <c r="H1271" s="48" t="n"/>
      <c r="I1271" s="50" t="n"/>
      <c r="J1271" s="48" t="n"/>
      <c r="K1271" s="48" t="n"/>
      <c r="L1271" s="48" t="n"/>
      <c r="M1271" s="48" t="n"/>
      <c r="N1271" s="48" t="n"/>
      <c r="O1271" s="51">
        <f>IF(AND(B1271="",G1271="",C1271="",D1271="",J1271=""),"",IF(B1271="","⚠ Falta fecha",IF(G1271="","⚠ Falta monto",IF(Q1271="","⚠ Falta cuenta",IF(ISNA(MATCH(Q1271,ctaNombre,0)),"⚠ Cuenta no registrada",IF(AND(OR(P1271="Gasto",P1271="Reembolso"),D1271=""),"⚠ Falta categoría",IF(AND(D1271&lt;&gt;"",E1271&lt;&gt;"",ISNA(MATCH(D1271&amp;"|"&amp;E1271,catClave,0))),"⚠ Subcategoría no corresponde",IF(AND(OR(P1271="Transferencia",P1271="Pago tarjeta"),K1271=""),"⚠ Falta cuenta destino",IF(AND(K1271&lt;&gt;"",P1271&lt;&gt;"Transferencia",P1271&lt;&gt;"Pago tarjeta"),"⚠ Destino solo aplica a transferencias",IF(AND(K1271&lt;&gt;"",K1271=Q1271),"⚠ Origen igual a destino",IF(AND(K1271&lt;&gt;"",ISNA(MATCH(K1271,ctaNombre,0))),"⚠ Destino no registrado",IF(AND(P1271="Pago tarjeta",AE1271&lt;&gt;"Tarjeta de crédito"),"⚠ El destino debe ser tarjeta de crédito",IF(AND(P1271="Gasto",E1271="Depósitos y retiros"),"⚠ Usa tipo Transferencia",IF(AND(P1271="Resultado trading",AD1271&lt;&gt;"Cuenta de trading"),"⚠ Usa una cuenta de trading",IF(AND(G1271&lt;=0,P1271&lt;&gt;"Ajuste",P1271&lt;&gt;"Resultado trading"),"⚠ El monto debe ser positivo","✓")))))))))))))))</f>
        <v/>
      </c>
      <c r="P1271" s="52">
        <f>IF(OR(B1271="",G1271=""),"",IF(C1271="","Gasto",C1271))</f>
        <v/>
      </c>
      <c r="Q1271" s="52">
        <f>IF(P1271="","",IF(J1271&lt;&gt;"",J1271,CuentaPred&amp;""))</f>
        <v/>
      </c>
      <c r="R1271" s="52">
        <f>IF(P1271="","",IF(ISNUMBER(I1271),I1271,TasaUSD))</f>
        <v/>
      </c>
      <c r="S1271" s="53">
        <f>IF(P1271="","",IF(H1271="USD",G1271*R1271,G1271))</f>
        <v/>
      </c>
      <c r="T1271" s="53">
        <f>IF(P1271="","",IF(H1271="USD",G1271,IF(R1271&gt;0,G1271/R1271,0)))</f>
        <v/>
      </c>
      <c r="U1271" s="53">
        <f>IF(P1271="","",IF(P1271="Gasto",S1271,IF(P1271="Reembolso",-S1271,0)))</f>
        <v/>
      </c>
      <c r="V1271" s="53">
        <f>IF(P1271="","",IF(P1271="Ingreso",S1271,0))</f>
        <v/>
      </c>
      <c r="W1271" s="53">
        <f>IF(P1271="","",IF(P1271="Resultado trading",S1271,0))</f>
        <v/>
      </c>
      <c r="X1271" s="52">
        <f>IF(OR(P1271="Gasto",P1271="Reembolso"),IF(M1271&lt;&gt;"",M1271,IFERROR(INDEX(catClasif,MATCH(D1271&amp;"|"&amp;E1271,catClave,0))&amp;"","Variable")),"")</f>
        <v/>
      </c>
      <c r="Y1271" s="52">
        <f>IF(P1271="","",IFERROR(INDEX(catGrupo,MATCH(D1271&amp;"|"&amp;E1271,catClave,0))&amp;"",""))</f>
        <v/>
      </c>
      <c r="Z1271" s="52">
        <f>IF(P1271="","",WEEKDAY(B1271,2))</f>
        <v/>
      </c>
      <c r="AA1271" s="52">
        <f>IF(P1271="","",IF(AND(P1271="Gasto",X1271="Variable",D1271&lt;&gt;catTrading,S1271&gt;0,S1271&lt;=Umbral),1,0))</f>
        <v/>
      </c>
      <c r="AB1271" s="52">
        <f>IF(OR(P1271="",Q1271=""),"",IFERROR(IF(INDEX(ctaVinc,MATCH(Q1271,ctaNombre,0))&amp;""&lt;&gt;"",INDEX(ctaVinc,MATCH(Q1271,ctaNombre,0))&amp;"",Q1271),Q1271))</f>
        <v/>
      </c>
      <c r="AC1271" s="52">
        <f>IF(OR(K1271="",AND(P1271&lt;&gt;"Transferencia",P1271&lt;&gt;"Pago tarjeta")),"",IFERROR(IF(INDEX(ctaVinc,MATCH(K1271,ctaNombre,0))&amp;""&lt;&gt;"",INDEX(ctaVinc,MATCH(K1271,ctaNombre,0))&amp;"",K1271),K1271))</f>
        <v/>
      </c>
      <c r="AD1271" s="52">
        <f>IF(AB1271="","",IFERROR(INDEX(ctaTipo,MATCH(AB1271,ctaNombre,0))&amp;"",""))</f>
        <v/>
      </c>
      <c r="AE1271" s="52">
        <f>IF(AC1271="","",IFERROR(INDEX(ctaTipo,MATCH(AC1271,ctaNombre,0))&amp;"",""))</f>
        <v/>
      </c>
      <c r="AF1271" s="53">
        <f>IF(OR(P1271="",AB1271=""),"",IF(OR(P1271="Gasto",P1271="Transferencia",P1271="Pago tarjeta"),-1,1)*IF(IFERROR(INDEX(ctaMoneda,MATCH(AB1271,ctaNombre,0))&amp;"","DOP")="USD",T1271,S1271))</f>
        <v/>
      </c>
      <c r="AG1271" s="53">
        <f>IF(AC1271="","",IF(IFERROR(INDEX(ctaMoneda,MATCH(AC1271,ctaNombre,0))&amp;"","DOP")="USD",T1271,S1271))</f>
        <v/>
      </c>
      <c r="AH1271" s="53">
        <f>IF(P1271="","",IF(AND(AD1271&lt;&gt;"",COUNTIFS(tcTipo,AD1271,tcLiq,"Sí")&gt;0),IF(OR(P1271="Gasto",P1271="Transferencia",P1271="Pago tarjeta"),-1,1)*S1271,0)+IF(AND(AE1271&lt;&gt;"",COUNTIFS(tcTipo,AE1271,tcLiq,"Sí")&gt;0),S1271,0))</f>
        <v/>
      </c>
      <c r="AI1271" s="52">
        <f>IF(OR(L1271="",P1271=""),"",IF(COUNTIFS(L$6:L1271,L1271,P$6:P1271,"?*")=1,MAX(AI$5:AI1270)+1,""))</f>
        <v/>
      </c>
    </row>
    <row r="1272">
      <c r="B1272" s="47" t="n"/>
      <c r="C1272" s="48" t="n"/>
      <c r="D1272" s="48" t="n"/>
      <c r="E1272" s="48" t="n"/>
      <c r="F1272" s="48" t="n"/>
      <c r="G1272" s="49" t="n"/>
      <c r="H1272" s="48" t="n"/>
      <c r="I1272" s="50" t="n"/>
      <c r="J1272" s="48" t="n"/>
      <c r="K1272" s="48" t="n"/>
      <c r="L1272" s="48" t="n"/>
      <c r="M1272" s="48" t="n"/>
      <c r="N1272" s="48" t="n"/>
      <c r="O1272" s="51">
        <f>IF(AND(B1272="",G1272="",C1272="",D1272="",J1272=""),"",IF(B1272="","⚠ Falta fecha",IF(G1272="","⚠ Falta monto",IF(Q1272="","⚠ Falta cuenta",IF(ISNA(MATCH(Q1272,ctaNombre,0)),"⚠ Cuenta no registrada",IF(AND(OR(P1272="Gasto",P1272="Reembolso"),D1272=""),"⚠ Falta categoría",IF(AND(D1272&lt;&gt;"",E1272&lt;&gt;"",ISNA(MATCH(D1272&amp;"|"&amp;E1272,catClave,0))),"⚠ Subcategoría no corresponde",IF(AND(OR(P1272="Transferencia",P1272="Pago tarjeta"),K1272=""),"⚠ Falta cuenta destino",IF(AND(K1272&lt;&gt;"",P1272&lt;&gt;"Transferencia",P1272&lt;&gt;"Pago tarjeta"),"⚠ Destino solo aplica a transferencias",IF(AND(K1272&lt;&gt;"",K1272=Q1272),"⚠ Origen igual a destino",IF(AND(K1272&lt;&gt;"",ISNA(MATCH(K1272,ctaNombre,0))),"⚠ Destino no registrado",IF(AND(P1272="Pago tarjeta",AE1272&lt;&gt;"Tarjeta de crédito"),"⚠ El destino debe ser tarjeta de crédito",IF(AND(P1272="Gasto",E1272="Depósitos y retiros"),"⚠ Usa tipo Transferencia",IF(AND(P1272="Resultado trading",AD1272&lt;&gt;"Cuenta de trading"),"⚠ Usa una cuenta de trading",IF(AND(G1272&lt;=0,P1272&lt;&gt;"Ajuste",P1272&lt;&gt;"Resultado trading"),"⚠ El monto debe ser positivo","✓")))))))))))))))</f>
        <v/>
      </c>
      <c r="P1272" s="52">
        <f>IF(OR(B1272="",G1272=""),"",IF(C1272="","Gasto",C1272))</f>
        <v/>
      </c>
      <c r="Q1272" s="52">
        <f>IF(P1272="","",IF(J1272&lt;&gt;"",J1272,CuentaPred&amp;""))</f>
        <v/>
      </c>
      <c r="R1272" s="52">
        <f>IF(P1272="","",IF(ISNUMBER(I1272),I1272,TasaUSD))</f>
        <v/>
      </c>
      <c r="S1272" s="53">
        <f>IF(P1272="","",IF(H1272="USD",G1272*R1272,G1272))</f>
        <v/>
      </c>
      <c r="T1272" s="53">
        <f>IF(P1272="","",IF(H1272="USD",G1272,IF(R1272&gt;0,G1272/R1272,0)))</f>
        <v/>
      </c>
      <c r="U1272" s="53">
        <f>IF(P1272="","",IF(P1272="Gasto",S1272,IF(P1272="Reembolso",-S1272,0)))</f>
        <v/>
      </c>
      <c r="V1272" s="53">
        <f>IF(P1272="","",IF(P1272="Ingreso",S1272,0))</f>
        <v/>
      </c>
      <c r="W1272" s="53">
        <f>IF(P1272="","",IF(P1272="Resultado trading",S1272,0))</f>
        <v/>
      </c>
      <c r="X1272" s="52">
        <f>IF(OR(P1272="Gasto",P1272="Reembolso"),IF(M1272&lt;&gt;"",M1272,IFERROR(INDEX(catClasif,MATCH(D1272&amp;"|"&amp;E1272,catClave,0))&amp;"","Variable")),"")</f>
        <v/>
      </c>
      <c r="Y1272" s="52">
        <f>IF(P1272="","",IFERROR(INDEX(catGrupo,MATCH(D1272&amp;"|"&amp;E1272,catClave,0))&amp;"",""))</f>
        <v/>
      </c>
      <c r="Z1272" s="52">
        <f>IF(P1272="","",WEEKDAY(B1272,2))</f>
        <v/>
      </c>
      <c r="AA1272" s="52">
        <f>IF(P1272="","",IF(AND(P1272="Gasto",X1272="Variable",D1272&lt;&gt;catTrading,S1272&gt;0,S1272&lt;=Umbral),1,0))</f>
        <v/>
      </c>
      <c r="AB1272" s="52">
        <f>IF(OR(P1272="",Q1272=""),"",IFERROR(IF(INDEX(ctaVinc,MATCH(Q1272,ctaNombre,0))&amp;""&lt;&gt;"",INDEX(ctaVinc,MATCH(Q1272,ctaNombre,0))&amp;"",Q1272),Q1272))</f>
        <v/>
      </c>
      <c r="AC1272" s="52">
        <f>IF(OR(K1272="",AND(P1272&lt;&gt;"Transferencia",P1272&lt;&gt;"Pago tarjeta")),"",IFERROR(IF(INDEX(ctaVinc,MATCH(K1272,ctaNombre,0))&amp;""&lt;&gt;"",INDEX(ctaVinc,MATCH(K1272,ctaNombre,0))&amp;"",K1272),K1272))</f>
        <v/>
      </c>
      <c r="AD1272" s="52">
        <f>IF(AB1272="","",IFERROR(INDEX(ctaTipo,MATCH(AB1272,ctaNombre,0))&amp;"",""))</f>
        <v/>
      </c>
      <c r="AE1272" s="52">
        <f>IF(AC1272="","",IFERROR(INDEX(ctaTipo,MATCH(AC1272,ctaNombre,0))&amp;"",""))</f>
        <v/>
      </c>
      <c r="AF1272" s="53">
        <f>IF(OR(P1272="",AB1272=""),"",IF(OR(P1272="Gasto",P1272="Transferencia",P1272="Pago tarjeta"),-1,1)*IF(IFERROR(INDEX(ctaMoneda,MATCH(AB1272,ctaNombre,0))&amp;"","DOP")="USD",T1272,S1272))</f>
        <v/>
      </c>
      <c r="AG1272" s="53">
        <f>IF(AC1272="","",IF(IFERROR(INDEX(ctaMoneda,MATCH(AC1272,ctaNombre,0))&amp;"","DOP")="USD",T1272,S1272))</f>
        <v/>
      </c>
      <c r="AH1272" s="53">
        <f>IF(P1272="","",IF(AND(AD1272&lt;&gt;"",COUNTIFS(tcTipo,AD1272,tcLiq,"Sí")&gt;0),IF(OR(P1272="Gasto",P1272="Transferencia",P1272="Pago tarjeta"),-1,1)*S1272,0)+IF(AND(AE1272&lt;&gt;"",COUNTIFS(tcTipo,AE1272,tcLiq,"Sí")&gt;0),S1272,0))</f>
        <v/>
      </c>
      <c r="AI1272" s="52">
        <f>IF(OR(L1272="",P1272=""),"",IF(COUNTIFS(L$6:L1272,L1272,P$6:P1272,"?*")=1,MAX(AI$5:AI1271)+1,""))</f>
        <v/>
      </c>
    </row>
    <row r="1273">
      <c r="B1273" s="47" t="n"/>
      <c r="C1273" s="48" t="n"/>
      <c r="D1273" s="48" t="n"/>
      <c r="E1273" s="48" t="n"/>
      <c r="F1273" s="48" t="n"/>
      <c r="G1273" s="49" t="n"/>
      <c r="H1273" s="48" t="n"/>
      <c r="I1273" s="50" t="n"/>
      <c r="J1273" s="48" t="n"/>
      <c r="K1273" s="48" t="n"/>
      <c r="L1273" s="48" t="n"/>
      <c r="M1273" s="48" t="n"/>
      <c r="N1273" s="48" t="n"/>
      <c r="O1273" s="51">
        <f>IF(AND(B1273="",G1273="",C1273="",D1273="",J1273=""),"",IF(B1273="","⚠ Falta fecha",IF(G1273="","⚠ Falta monto",IF(Q1273="","⚠ Falta cuenta",IF(ISNA(MATCH(Q1273,ctaNombre,0)),"⚠ Cuenta no registrada",IF(AND(OR(P1273="Gasto",P1273="Reembolso"),D1273=""),"⚠ Falta categoría",IF(AND(D1273&lt;&gt;"",E1273&lt;&gt;"",ISNA(MATCH(D1273&amp;"|"&amp;E1273,catClave,0))),"⚠ Subcategoría no corresponde",IF(AND(OR(P1273="Transferencia",P1273="Pago tarjeta"),K1273=""),"⚠ Falta cuenta destino",IF(AND(K1273&lt;&gt;"",P1273&lt;&gt;"Transferencia",P1273&lt;&gt;"Pago tarjeta"),"⚠ Destino solo aplica a transferencias",IF(AND(K1273&lt;&gt;"",K1273=Q1273),"⚠ Origen igual a destino",IF(AND(K1273&lt;&gt;"",ISNA(MATCH(K1273,ctaNombre,0))),"⚠ Destino no registrado",IF(AND(P1273="Pago tarjeta",AE1273&lt;&gt;"Tarjeta de crédito"),"⚠ El destino debe ser tarjeta de crédito",IF(AND(P1273="Gasto",E1273="Depósitos y retiros"),"⚠ Usa tipo Transferencia",IF(AND(P1273="Resultado trading",AD1273&lt;&gt;"Cuenta de trading"),"⚠ Usa una cuenta de trading",IF(AND(G1273&lt;=0,P1273&lt;&gt;"Ajuste",P1273&lt;&gt;"Resultado trading"),"⚠ El monto debe ser positivo","✓")))))))))))))))</f>
        <v/>
      </c>
      <c r="P1273" s="52">
        <f>IF(OR(B1273="",G1273=""),"",IF(C1273="","Gasto",C1273))</f>
        <v/>
      </c>
      <c r="Q1273" s="52">
        <f>IF(P1273="","",IF(J1273&lt;&gt;"",J1273,CuentaPred&amp;""))</f>
        <v/>
      </c>
      <c r="R1273" s="52">
        <f>IF(P1273="","",IF(ISNUMBER(I1273),I1273,TasaUSD))</f>
        <v/>
      </c>
      <c r="S1273" s="53">
        <f>IF(P1273="","",IF(H1273="USD",G1273*R1273,G1273))</f>
        <v/>
      </c>
      <c r="T1273" s="53">
        <f>IF(P1273="","",IF(H1273="USD",G1273,IF(R1273&gt;0,G1273/R1273,0)))</f>
        <v/>
      </c>
      <c r="U1273" s="53">
        <f>IF(P1273="","",IF(P1273="Gasto",S1273,IF(P1273="Reembolso",-S1273,0)))</f>
        <v/>
      </c>
      <c r="V1273" s="53">
        <f>IF(P1273="","",IF(P1273="Ingreso",S1273,0))</f>
        <v/>
      </c>
      <c r="W1273" s="53">
        <f>IF(P1273="","",IF(P1273="Resultado trading",S1273,0))</f>
        <v/>
      </c>
      <c r="X1273" s="52">
        <f>IF(OR(P1273="Gasto",P1273="Reembolso"),IF(M1273&lt;&gt;"",M1273,IFERROR(INDEX(catClasif,MATCH(D1273&amp;"|"&amp;E1273,catClave,0))&amp;"","Variable")),"")</f>
        <v/>
      </c>
      <c r="Y1273" s="52">
        <f>IF(P1273="","",IFERROR(INDEX(catGrupo,MATCH(D1273&amp;"|"&amp;E1273,catClave,0))&amp;"",""))</f>
        <v/>
      </c>
      <c r="Z1273" s="52">
        <f>IF(P1273="","",WEEKDAY(B1273,2))</f>
        <v/>
      </c>
      <c r="AA1273" s="52">
        <f>IF(P1273="","",IF(AND(P1273="Gasto",X1273="Variable",D1273&lt;&gt;catTrading,S1273&gt;0,S1273&lt;=Umbral),1,0))</f>
        <v/>
      </c>
      <c r="AB1273" s="52">
        <f>IF(OR(P1273="",Q1273=""),"",IFERROR(IF(INDEX(ctaVinc,MATCH(Q1273,ctaNombre,0))&amp;""&lt;&gt;"",INDEX(ctaVinc,MATCH(Q1273,ctaNombre,0))&amp;"",Q1273),Q1273))</f>
        <v/>
      </c>
      <c r="AC1273" s="52">
        <f>IF(OR(K1273="",AND(P1273&lt;&gt;"Transferencia",P1273&lt;&gt;"Pago tarjeta")),"",IFERROR(IF(INDEX(ctaVinc,MATCH(K1273,ctaNombre,0))&amp;""&lt;&gt;"",INDEX(ctaVinc,MATCH(K1273,ctaNombre,0))&amp;"",K1273),K1273))</f>
        <v/>
      </c>
      <c r="AD1273" s="52">
        <f>IF(AB1273="","",IFERROR(INDEX(ctaTipo,MATCH(AB1273,ctaNombre,0))&amp;"",""))</f>
        <v/>
      </c>
      <c r="AE1273" s="52">
        <f>IF(AC1273="","",IFERROR(INDEX(ctaTipo,MATCH(AC1273,ctaNombre,0))&amp;"",""))</f>
        <v/>
      </c>
      <c r="AF1273" s="53">
        <f>IF(OR(P1273="",AB1273=""),"",IF(OR(P1273="Gasto",P1273="Transferencia",P1273="Pago tarjeta"),-1,1)*IF(IFERROR(INDEX(ctaMoneda,MATCH(AB1273,ctaNombre,0))&amp;"","DOP")="USD",T1273,S1273))</f>
        <v/>
      </c>
      <c r="AG1273" s="53">
        <f>IF(AC1273="","",IF(IFERROR(INDEX(ctaMoneda,MATCH(AC1273,ctaNombre,0))&amp;"","DOP")="USD",T1273,S1273))</f>
        <v/>
      </c>
      <c r="AH1273" s="53">
        <f>IF(P1273="","",IF(AND(AD1273&lt;&gt;"",COUNTIFS(tcTipo,AD1273,tcLiq,"Sí")&gt;0),IF(OR(P1273="Gasto",P1273="Transferencia",P1273="Pago tarjeta"),-1,1)*S1273,0)+IF(AND(AE1273&lt;&gt;"",COUNTIFS(tcTipo,AE1273,tcLiq,"Sí")&gt;0),S1273,0))</f>
        <v/>
      </c>
      <c r="AI1273" s="52">
        <f>IF(OR(L1273="",P1273=""),"",IF(COUNTIFS(L$6:L1273,L1273,P$6:P1273,"?*")=1,MAX(AI$5:AI1272)+1,""))</f>
        <v/>
      </c>
    </row>
    <row r="1274">
      <c r="B1274" s="47" t="n"/>
      <c r="C1274" s="48" t="n"/>
      <c r="D1274" s="48" t="n"/>
      <c r="E1274" s="48" t="n"/>
      <c r="F1274" s="48" t="n"/>
      <c r="G1274" s="49" t="n"/>
      <c r="H1274" s="48" t="n"/>
      <c r="I1274" s="50" t="n"/>
      <c r="J1274" s="48" t="n"/>
      <c r="K1274" s="48" t="n"/>
      <c r="L1274" s="48" t="n"/>
      <c r="M1274" s="48" t="n"/>
      <c r="N1274" s="48" t="n"/>
      <c r="O1274" s="51">
        <f>IF(AND(B1274="",G1274="",C1274="",D1274="",J1274=""),"",IF(B1274="","⚠ Falta fecha",IF(G1274="","⚠ Falta monto",IF(Q1274="","⚠ Falta cuenta",IF(ISNA(MATCH(Q1274,ctaNombre,0)),"⚠ Cuenta no registrada",IF(AND(OR(P1274="Gasto",P1274="Reembolso"),D1274=""),"⚠ Falta categoría",IF(AND(D1274&lt;&gt;"",E1274&lt;&gt;"",ISNA(MATCH(D1274&amp;"|"&amp;E1274,catClave,0))),"⚠ Subcategoría no corresponde",IF(AND(OR(P1274="Transferencia",P1274="Pago tarjeta"),K1274=""),"⚠ Falta cuenta destino",IF(AND(K1274&lt;&gt;"",P1274&lt;&gt;"Transferencia",P1274&lt;&gt;"Pago tarjeta"),"⚠ Destino solo aplica a transferencias",IF(AND(K1274&lt;&gt;"",K1274=Q1274),"⚠ Origen igual a destino",IF(AND(K1274&lt;&gt;"",ISNA(MATCH(K1274,ctaNombre,0))),"⚠ Destino no registrado",IF(AND(P1274="Pago tarjeta",AE1274&lt;&gt;"Tarjeta de crédito"),"⚠ El destino debe ser tarjeta de crédito",IF(AND(P1274="Gasto",E1274="Depósitos y retiros"),"⚠ Usa tipo Transferencia",IF(AND(P1274="Resultado trading",AD1274&lt;&gt;"Cuenta de trading"),"⚠ Usa una cuenta de trading",IF(AND(G1274&lt;=0,P1274&lt;&gt;"Ajuste",P1274&lt;&gt;"Resultado trading"),"⚠ El monto debe ser positivo","✓")))))))))))))))</f>
        <v/>
      </c>
      <c r="P1274" s="52">
        <f>IF(OR(B1274="",G1274=""),"",IF(C1274="","Gasto",C1274))</f>
        <v/>
      </c>
      <c r="Q1274" s="52">
        <f>IF(P1274="","",IF(J1274&lt;&gt;"",J1274,CuentaPred&amp;""))</f>
        <v/>
      </c>
      <c r="R1274" s="52">
        <f>IF(P1274="","",IF(ISNUMBER(I1274),I1274,TasaUSD))</f>
        <v/>
      </c>
      <c r="S1274" s="53">
        <f>IF(P1274="","",IF(H1274="USD",G1274*R1274,G1274))</f>
        <v/>
      </c>
      <c r="T1274" s="53">
        <f>IF(P1274="","",IF(H1274="USD",G1274,IF(R1274&gt;0,G1274/R1274,0)))</f>
        <v/>
      </c>
      <c r="U1274" s="53">
        <f>IF(P1274="","",IF(P1274="Gasto",S1274,IF(P1274="Reembolso",-S1274,0)))</f>
        <v/>
      </c>
      <c r="V1274" s="53">
        <f>IF(P1274="","",IF(P1274="Ingreso",S1274,0))</f>
        <v/>
      </c>
      <c r="W1274" s="53">
        <f>IF(P1274="","",IF(P1274="Resultado trading",S1274,0))</f>
        <v/>
      </c>
      <c r="X1274" s="52">
        <f>IF(OR(P1274="Gasto",P1274="Reembolso"),IF(M1274&lt;&gt;"",M1274,IFERROR(INDEX(catClasif,MATCH(D1274&amp;"|"&amp;E1274,catClave,0))&amp;"","Variable")),"")</f>
        <v/>
      </c>
      <c r="Y1274" s="52">
        <f>IF(P1274="","",IFERROR(INDEX(catGrupo,MATCH(D1274&amp;"|"&amp;E1274,catClave,0))&amp;"",""))</f>
        <v/>
      </c>
      <c r="Z1274" s="52">
        <f>IF(P1274="","",WEEKDAY(B1274,2))</f>
        <v/>
      </c>
      <c r="AA1274" s="52">
        <f>IF(P1274="","",IF(AND(P1274="Gasto",X1274="Variable",D1274&lt;&gt;catTrading,S1274&gt;0,S1274&lt;=Umbral),1,0))</f>
        <v/>
      </c>
      <c r="AB1274" s="52">
        <f>IF(OR(P1274="",Q1274=""),"",IFERROR(IF(INDEX(ctaVinc,MATCH(Q1274,ctaNombre,0))&amp;""&lt;&gt;"",INDEX(ctaVinc,MATCH(Q1274,ctaNombre,0))&amp;"",Q1274),Q1274))</f>
        <v/>
      </c>
      <c r="AC1274" s="52">
        <f>IF(OR(K1274="",AND(P1274&lt;&gt;"Transferencia",P1274&lt;&gt;"Pago tarjeta")),"",IFERROR(IF(INDEX(ctaVinc,MATCH(K1274,ctaNombre,0))&amp;""&lt;&gt;"",INDEX(ctaVinc,MATCH(K1274,ctaNombre,0))&amp;"",K1274),K1274))</f>
        <v/>
      </c>
      <c r="AD1274" s="52">
        <f>IF(AB1274="","",IFERROR(INDEX(ctaTipo,MATCH(AB1274,ctaNombre,0))&amp;"",""))</f>
        <v/>
      </c>
      <c r="AE1274" s="52">
        <f>IF(AC1274="","",IFERROR(INDEX(ctaTipo,MATCH(AC1274,ctaNombre,0))&amp;"",""))</f>
        <v/>
      </c>
      <c r="AF1274" s="53">
        <f>IF(OR(P1274="",AB1274=""),"",IF(OR(P1274="Gasto",P1274="Transferencia",P1274="Pago tarjeta"),-1,1)*IF(IFERROR(INDEX(ctaMoneda,MATCH(AB1274,ctaNombre,0))&amp;"","DOP")="USD",T1274,S1274))</f>
        <v/>
      </c>
      <c r="AG1274" s="53">
        <f>IF(AC1274="","",IF(IFERROR(INDEX(ctaMoneda,MATCH(AC1274,ctaNombre,0))&amp;"","DOP")="USD",T1274,S1274))</f>
        <v/>
      </c>
      <c r="AH1274" s="53">
        <f>IF(P1274="","",IF(AND(AD1274&lt;&gt;"",COUNTIFS(tcTipo,AD1274,tcLiq,"Sí")&gt;0),IF(OR(P1274="Gasto",P1274="Transferencia",P1274="Pago tarjeta"),-1,1)*S1274,0)+IF(AND(AE1274&lt;&gt;"",COUNTIFS(tcTipo,AE1274,tcLiq,"Sí")&gt;0),S1274,0))</f>
        <v/>
      </c>
      <c r="AI1274" s="52">
        <f>IF(OR(L1274="",P1274=""),"",IF(COUNTIFS(L$6:L1274,L1274,P$6:P1274,"?*")=1,MAX(AI$5:AI1273)+1,""))</f>
        <v/>
      </c>
    </row>
    <row r="1275">
      <c r="B1275" s="47" t="n"/>
      <c r="C1275" s="48" t="n"/>
      <c r="D1275" s="48" t="n"/>
      <c r="E1275" s="48" t="n"/>
      <c r="F1275" s="48" t="n"/>
      <c r="G1275" s="49" t="n"/>
      <c r="H1275" s="48" t="n"/>
      <c r="I1275" s="50" t="n"/>
      <c r="J1275" s="48" t="n"/>
      <c r="K1275" s="48" t="n"/>
      <c r="L1275" s="48" t="n"/>
      <c r="M1275" s="48" t="n"/>
      <c r="N1275" s="48" t="n"/>
      <c r="O1275" s="51">
        <f>IF(AND(B1275="",G1275="",C1275="",D1275="",J1275=""),"",IF(B1275="","⚠ Falta fecha",IF(G1275="","⚠ Falta monto",IF(Q1275="","⚠ Falta cuenta",IF(ISNA(MATCH(Q1275,ctaNombre,0)),"⚠ Cuenta no registrada",IF(AND(OR(P1275="Gasto",P1275="Reembolso"),D1275=""),"⚠ Falta categoría",IF(AND(D1275&lt;&gt;"",E1275&lt;&gt;"",ISNA(MATCH(D1275&amp;"|"&amp;E1275,catClave,0))),"⚠ Subcategoría no corresponde",IF(AND(OR(P1275="Transferencia",P1275="Pago tarjeta"),K1275=""),"⚠ Falta cuenta destino",IF(AND(K1275&lt;&gt;"",P1275&lt;&gt;"Transferencia",P1275&lt;&gt;"Pago tarjeta"),"⚠ Destino solo aplica a transferencias",IF(AND(K1275&lt;&gt;"",K1275=Q1275),"⚠ Origen igual a destino",IF(AND(K1275&lt;&gt;"",ISNA(MATCH(K1275,ctaNombre,0))),"⚠ Destino no registrado",IF(AND(P1275="Pago tarjeta",AE1275&lt;&gt;"Tarjeta de crédito"),"⚠ El destino debe ser tarjeta de crédito",IF(AND(P1275="Gasto",E1275="Depósitos y retiros"),"⚠ Usa tipo Transferencia",IF(AND(P1275="Resultado trading",AD1275&lt;&gt;"Cuenta de trading"),"⚠ Usa una cuenta de trading",IF(AND(G1275&lt;=0,P1275&lt;&gt;"Ajuste",P1275&lt;&gt;"Resultado trading"),"⚠ El monto debe ser positivo","✓")))))))))))))))</f>
        <v/>
      </c>
      <c r="P1275" s="52">
        <f>IF(OR(B1275="",G1275=""),"",IF(C1275="","Gasto",C1275))</f>
        <v/>
      </c>
      <c r="Q1275" s="52">
        <f>IF(P1275="","",IF(J1275&lt;&gt;"",J1275,CuentaPred&amp;""))</f>
        <v/>
      </c>
      <c r="R1275" s="52">
        <f>IF(P1275="","",IF(ISNUMBER(I1275),I1275,TasaUSD))</f>
        <v/>
      </c>
      <c r="S1275" s="53">
        <f>IF(P1275="","",IF(H1275="USD",G1275*R1275,G1275))</f>
        <v/>
      </c>
      <c r="T1275" s="53">
        <f>IF(P1275="","",IF(H1275="USD",G1275,IF(R1275&gt;0,G1275/R1275,0)))</f>
        <v/>
      </c>
      <c r="U1275" s="53">
        <f>IF(P1275="","",IF(P1275="Gasto",S1275,IF(P1275="Reembolso",-S1275,0)))</f>
        <v/>
      </c>
      <c r="V1275" s="53">
        <f>IF(P1275="","",IF(P1275="Ingreso",S1275,0))</f>
        <v/>
      </c>
      <c r="W1275" s="53">
        <f>IF(P1275="","",IF(P1275="Resultado trading",S1275,0))</f>
        <v/>
      </c>
      <c r="X1275" s="52">
        <f>IF(OR(P1275="Gasto",P1275="Reembolso"),IF(M1275&lt;&gt;"",M1275,IFERROR(INDEX(catClasif,MATCH(D1275&amp;"|"&amp;E1275,catClave,0))&amp;"","Variable")),"")</f>
        <v/>
      </c>
      <c r="Y1275" s="52">
        <f>IF(P1275="","",IFERROR(INDEX(catGrupo,MATCH(D1275&amp;"|"&amp;E1275,catClave,0))&amp;"",""))</f>
        <v/>
      </c>
      <c r="Z1275" s="52">
        <f>IF(P1275="","",WEEKDAY(B1275,2))</f>
        <v/>
      </c>
      <c r="AA1275" s="52">
        <f>IF(P1275="","",IF(AND(P1275="Gasto",X1275="Variable",D1275&lt;&gt;catTrading,S1275&gt;0,S1275&lt;=Umbral),1,0))</f>
        <v/>
      </c>
      <c r="AB1275" s="52">
        <f>IF(OR(P1275="",Q1275=""),"",IFERROR(IF(INDEX(ctaVinc,MATCH(Q1275,ctaNombre,0))&amp;""&lt;&gt;"",INDEX(ctaVinc,MATCH(Q1275,ctaNombre,0))&amp;"",Q1275),Q1275))</f>
        <v/>
      </c>
      <c r="AC1275" s="52">
        <f>IF(OR(K1275="",AND(P1275&lt;&gt;"Transferencia",P1275&lt;&gt;"Pago tarjeta")),"",IFERROR(IF(INDEX(ctaVinc,MATCH(K1275,ctaNombre,0))&amp;""&lt;&gt;"",INDEX(ctaVinc,MATCH(K1275,ctaNombre,0))&amp;"",K1275),K1275))</f>
        <v/>
      </c>
      <c r="AD1275" s="52">
        <f>IF(AB1275="","",IFERROR(INDEX(ctaTipo,MATCH(AB1275,ctaNombre,0))&amp;"",""))</f>
        <v/>
      </c>
      <c r="AE1275" s="52">
        <f>IF(AC1275="","",IFERROR(INDEX(ctaTipo,MATCH(AC1275,ctaNombre,0))&amp;"",""))</f>
        <v/>
      </c>
      <c r="AF1275" s="53">
        <f>IF(OR(P1275="",AB1275=""),"",IF(OR(P1275="Gasto",P1275="Transferencia",P1275="Pago tarjeta"),-1,1)*IF(IFERROR(INDEX(ctaMoneda,MATCH(AB1275,ctaNombre,0))&amp;"","DOP")="USD",T1275,S1275))</f>
        <v/>
      </c>
      <c r="AG1275" s="53">
        <f>IF(AC1275="","",IF(IFERROR(INDEX(ctaMoneda,MATCH(AC1275,ctaNombre,0))&amp;"","DOP")="USD",T1275,S1275))</f>
        <v/>
      </c>
      <c r="AH1275" s="53">
        <f>IF(P1275="","",IF(AND(AD1275&lt;&gt;"",COUNTIFS(tcTipo,AD1275,tcLiq,"Sí")&gt;0),IF(OR(P1275="Gasto",P1275="Transferencia",P1275="Pago tarjeta"),-1,1)*S1275,0)+IF(AND(AE1275&lt;&gt;"",COUNTIFS(tcTipo,AE1275,tcLiq,"Sí")&gt;0),S1275,0))</f>
        <v/>
      </c>
      <c r="AI1275" s="52">
        <f>IF(OR(L1275="",P1275=""),"",IF(COUNTIFS(L$6:L1275,L1275,P$6:P1275,"?*")=1,MAX(AI$5:AI1274)+1,""))</f>
        <v/>
      </c>
    </row>
    <row r="1276">
      <c r="B1276" s="47" t="n"/>
      <c r="C1276" s="48" t="n"/>
      <c r="D1276" s="48" t="n"/>
      <c r="E1276" s="48" t="n"/>
      <c r="F1276" s="48" t="n"/>
      <c r="G1276" s="49" t="n"/>
      <c r="H1276" s="48" t="n"/>
      <c r="I1276" s="50" t="n"/>
      <c r="J1276" s="48" t="n"/>
      <c r="K1276" s="48" t="n"/>
      <c r="L1276" s="48" t="n"/>
      <c r="M1276" s="48" t="n"/>
      <c r="N1276" s="48" t="n"/>
      <c r="O1276" s="51">
        <f>IF(AND(B1276="",G1276="",C1276="",D1276="",J1276=""),"",IF(B1276="","⚠ Falta fecha",IF(G1276="","⚠ Falta monto",IF(Q1276="","⚠ Falta cuenta",IF(ISNA(MATCH(Q1276,ctaNombre,0)),"⚠ Cuenta no registrada",IF(AND(OR(P1276="Gasto",P1276="Reembolso"),D1276=""),"⚠ Falta categoría",IF(AND(D1276&lt;&gt;"",E1276&lt;&gt;"",ISNA(MATCH(D1276&amp;"|"&amp;E1276,catClave,0))),"⚠ Subcategoría no corresponde",IF(AND(OR(P1276="Transferencia",P1276="Pago tarjeta"),K1276=""),"⚠ Falta cuenta destino",IF(AND(K1276&lt;&gt;"",P1276&lt;&gt;"Transferencia",P1276&lt;&gt;"Pago tarjeta"),"⚠ Destino solo aplica a transferencias",IF(AND(K1276&lt;&gt;"",K1276=Q1276),"⚠ Origen igual a destino",IF(AND(K1276&lt;&gt;"",ISNA(MATCH(K1276,ctaNombre,0))),"⚠ Destino no registrado",IF(AND(P1276="Pago tarjeta",AE1276&lt;&gt;"Tarjeta de crédito"),"⚠ El destino debe ser tarjeta de crédito",IF(AND(P1276="Gasto",E1276="Depósitos y retiros"),"⚠ Usa tipo Transferencia",IF(AND(P1276="Resultado trading",AD1276&lt;&gt;"Cuenta de trading"),"⚠ Usa una cuenta de trading",IF(AND(G1276&lt;=0,P1276&lt;&gt;"Ajuste",P1276&lt;&gt;"Resultado trading"),"⚠ El monto debe ser positivo","✓")))))))))))))))</f>
        <v/>
      </c>
      <c r="P1276" s="52">
        <f>IF(OR(B1276="",G1276=""),"",IF(C1276="","Gasto",C1276))</f>
        <v/>
      </c>
      <c r="Q1276" s="52">
        <f>IF(P1276="","",IF(J1276&lt;&gt;"",J1276,CuentaPred&amp;""))</f>
        <v/>
      </c>
      <c r="R1276" s="52">
        <f>IF(P1276="","",IF(ISNUMBER(I1276),I1276,TasaUSD))</f>
        <v/>
      </c>
      <c r="S1276" s="53">
        <f>IF(P1276="","",IF(H1276="USD",G1276*R1276,G1276))</f>
        <v/>
      </c>
      <c r="T1276" s="53">
        <f>IF(P1276="","",IF(H1276="USD",G1276,IF(R1276&gt;0,G1276/R1276,0)))</f>
        <v/>
      </c>
      <c r="U1276" s="53">
        <f>IF(P1276="","",IF(P1276="Gasto",S1276,IF(P1276="Reembolso",-S1276,0)))</f>
        <v/>
      </c>
      <c r="V1276" s="53">
        <f>IF(P1276="","",IF(P1276="Ingreso",S1276,0))</f>
        <v/>
      </c>
      <c r="W1276" s="53">
        <f>IF(P1276="","",IF(P1276="Resultado trading",S1276,0))</f>
        <v/>
      </c>
      <c r="X1276" s="52">
        <f>IF(OR(P1276="Gasto",P1276="Reembolso"),IF(M1276&lt;&gt;"",M1276,IFERROR(INDEX(catClasif,MATCH(D1276&amp;"|"&amp;E1276,catClave,0))&amp;"","Variable")),"")</f>
        <v/>
      </c>
      <c r="Y1276" s="52">
        <f>IF(P1276="","",IFERROR(INDEX(catGrupo,MATCH(D1276&amp;"|"&amp;E1276,catClave,0))&amp;"",""))</f>
        <v/>
      </c>
      <c r="Z1276" s="52">
        <f>IF(P1276="","",WEEKDAY(B1276,2))</f>
        <v/>
      </c>
      <c r="AA1276" s="52">
        <f>IF(P1276="","",IF(AND(P1276="Gasto",X1276="Variable",D1276&lt;&gt;catTrading,S1276&gt;0,S1276&lt;=Umbral),1,0))</f>
        <v/>
      </c>
      <c r="AB1276" s="52">
        <f>IF(OR(P1276="",Q1276=""),"",IFERROR(IF(INDEX(ctaVinc,MATCH(Q1276,ctaNombre,0))&amp;""&lt;&gt;"",INDEX(ctaVinc,MATCH(Q1276,ctaNombre,0))&amp;"",Q1276),Q1276))</f>
        <v/>
      </c>
      <c r="AC1276" s="52">
        <f>IF(OR(K1276="",AND(P1276&lt;&gt;"Transferencia",P1276&lt;&gt;"Pago tarjeta")),"",IFERROR(IF(INDEX(ctaVinc,MATCH(K1276,ctaNombre,0))&amp;""&lt;&gt;"",INDEX(ctaVinc,MATCH(K1276,ctaNombre,0))&amp;"",K1276),K1276))</f>
        <v/>
      </c>
      <c r="AD1276" s="52">
        <f>IF(AB1276="","",IFERROR(INDEX(ctaTipo,MATCH(AB1276,ctaNombre,0))&amp;"",""))</f>
        <v/>
      </c>
      <c r="AE1276" s="52">
        <f>IF(AC1276="","",IFERROR(INDEX(ctaTipo,MATCH(AC1276,ctaNombre,0))&amp;"",""))</f>
        <v/>
      </c>
      <c r="AF1276" s="53">
        <f>IF(OR(P1276="",AB1276=""),"",IF(OR(P1276="Gasto",P1276="Transferencia",P1276="Pago tarjeta"),-1,1)*IF(IFERROR(INDEX(ctaMoneda,MATCH(AB1276,ctaNombre,0))&amp;"","DOP")="USD",T1276,S1276))</f>
        <v/>
      </c>
      <c r="AG1276" s="53">
        <f>IF(AC1276="","",IF(IFERROR(INDEX(ctaMoneda,MATCH(AC1276,ctaNombre,0))&amp;"","DOP")="USD",T1276,S1276))</f>
        <v/>
      </c>
      <c r="AH1276" s="53">
        <f>IF(P1276="","",IF(AND(AD1276&lt;&gt;"",COUNTIFS(tcTipo,AD1276,tcLiq,"Sí")&gt;0),IF(OR(P1276="Gasto",P1276="Transferencia",P1276="Pago tarjeta"),-1,1)*S1276,0)+IF(AND(AE1276&lt;&gt;"",COUNTIFS(tcTipo,AE1276,tcLiq,"Sí")&gt;0),S1276,0))</f>
        <v/>
      </c>
      <c r="AI1276" s="52">
        <f>IF(OR(L1276="",P1276=""),"",IF(COUNTIFS(L$6:L1276,L1276,P$6:P1276,"?*")=1,MAX(AI$5:AI1275)+1,""))</f>
        <v/>
      </c>
    </row>
    <row r="1277">
      <c r="B1277" s="47" t="n"/>
      <c r="C1277" s="48" t="n"/>
      <c r="D1277" s="48" t="n"/>
      <c r="E1277" s="48" t="n"/>
      <c r="F1277" s="48" t="n"/>
      <c r="G1277" s="49" t="n"/>
      <c r="H1277" s="48" t="n"/>
      <c r="I1277" s="50" t="n"/>
      <c r="J1277" s="48" t="n"/>
      <c r="K1277" s="48" t="n"/>
      <c r="L1277" s="48" t="n"/>
      <c r="M1277" s="48" t="n"/>
      <c r="N1277" s="48" t="n"/>
      <c r="O1277" s="51">
        <f>IF(AND(B1277="",G1277="",C1277="",D1277="",J1277=""),"",IF(B1277="","⚠ Falta fecha",IF(G1277="","⚠ Falta monto",IF(Q1277="","⚠ Falta cuenta",IF(ISNA(MATCH(Q1277,ctaNombre,0)),"⚠ Cuenta no registrada",IF(AND(OR(P1277="Gasto",P1277="Reembolso"),D1277=""),"⚠ Falta categoría",IF(AND(D1277&lt;&gt;"",E1277&lt;&gt;"",ISNA(MATCH(D1277&amp;"|"&amp;E1277,catClave,0))),"⚠ Subcategoría no corresponde",IF(AND(OR(P1277="Transferencia",P1277="Pago tarjeta"),K1277=""),"⚠ Falta cuenta destino",IF(AND(K1277&lt;&gt;"",P1277&lt;&gt;"Transferencia",P1277&lt;&gt;"Pago tarjeta"),"⚠ Destino solo aplica a transferencias",IF(AND(K1277&lt;&gt;"",K1277=Q1277),"⚠ Origen igual a destino",IF(AND(K1277&lt;&gt;"",ISNA(MATCH(K1277,ctaNombre,0))),"⚠ Destino no registrado",IF(AND(P1277="Pago tarjeta",AE1277&lt;&gt;"Tarjeta de crédito"),"⚠ El destino debe ser tarjeta de crédito",IF(AND(P1277="Gasto",E1277="Depósitos y retiros"),"⚠ Usa tipo Transferencia",IF(AND(P1277="Resultado trading",AD1277&lt;&gt;"Cuenta de trading"),"⚠ Usa una cuenta de trading",IF(AND(G1277&lt;=0,P1277&lt;&gt;"Ajuste",P1277&lt;&gt;"Resultado trading"),"⚠ El monto debe ser positivo","✓")))))))))))))))</f>
        <v/>
      </c>
      <c r="P1277" s="52">
        <f>IF(OR(B1277="",G1277=""),"",IF(C1277="","Gasto",C1277))</f>
        <v/>
      </c>
      <c r="Q1277" s="52">
        <f>IF(P1277="","",IF(J1277&lt;&gt;"",J1277,CuentaPred&amp;""))</f>
        <v/>
      </c>
      <c r="R1277" s="52">
        <f>IF(P1277="","",IF(ISNUMBER(I1277),I1277,TasaUSD))</f>
        <v/>
      </c>
      <c r="S1277" s="53">
        <f>IF(P1277="","",IF(H1277="USD",G1277*R1277,G1277))</f>
        <v/>
      </c>
      <c r="T1277" s="53">
        <f>IF(P1277="","",IF(H1277="USD",G1277,IF(R1277&gt;0,G1277/R1277,0)))</f>
        <v/>
      </c>
      <c r="U1277" s="53">
        <f>IF(P1277="","",IF(P1277="Gasto",S1277,IF(P1277="Reembolso",-S1277,0)))</f>
        <v/>
      </c>
      <c r="V1277" s="53">
        <f>IF(P1277="","",IF(P1277="Ingreso",S1277,0))</f>
        <v/>
      </c>
      <c r="W1277" s="53">
        <f>IF(P1277="","",IF(P1277="Resultado trading",S1277,0))</f>
        <v/>
      </c>
      <c r="X1277" s="52">
        <f>IF(OR(P1277="Gasto",P1277="Reembolso"),IF(M1277&lt;&gt;"",M1277,IFERROR(INDEX(catClasif,MATCH(D1277&amp;"|"&amp;E1277,catClave,0))&amp;"","Variable")),"")</f>
        <v/>
      </c>
      <c r="Y1277" s="52">
        <f>IF(P1277="","",IFERROR(INDEX(catGrupo,MATCH(D1277&amp;"|"&amp;E1277,catClave,0))&amp;"",""))</f>
        <v/>
      </c>
      <c r="Z1277" s="52">
        <f>IF(P1277="","",WEEKDAY(B1277,2))</f>
        <v/>
      </c>
      <c r="AA1277" s="52">
        <f>IF(P1277="","",IF(AND(P1277="Gasto",X1277="Variable",D1277&lt;&gt;catTrading,S1277&gt;0,S1277&lt;=Umbral),1,0))</f>
        <v/>
      </c>
      <c r="AB1277" s="52">
        <f>IF(OR(P1277="",Q1277=""),"",IFERROR(IF(INDEX(ctaVinc,MATCH(Q1277,ctaNombre,0))&amp;""&lt;&gt;"",INDEX(ctaVinc,MATCH(Q1277,ctaNombre,0))&amp;"",Q1277),Q1277))</f>
        <v/>
      </c>
      <c r="AC1277" s="52">
        <f>IF(OR(K1277="",AND(P1277&lt;&gt;"Transferencia",P1277&lt;&gt;"Pago tarjeta")),"",IFERROR(IF(INDEX(ctaVinc,MATCH(K1277,ctaNombre,0))&amp;""&lt;&gt;"",INDEX(ctaVinc,MATCH(K1277,ctaNombre,0))&amp;"",K1277),K1277))</f>
        <v/>
      </c>
      <c r="AD1277" s="52">
        <f>IF(AB1277="","",IFERROR(INDEX(ctaTipo,MATCH(AB1277,ctaNombre,0))&amp;"",""))</f>
        <v/>
      </c>
      <c r="AE1277" s="52">
        <f>IF(AC1277="","",IFERROR(INDEX(ctaTipo,MATCH(AC1277,ctaNombre,0))&amp;"",""))</f>
        <v/>
      </c>
      <c r="AF1277" s="53">
        <f>IF(OR(P1277="",AB1277=""),"",IF(OR(P1277="Gasto",P1277="Transferencia",P1277="Pago tarjeta"),-1,1)*IF(IFERROR(INDEX(ctaMoneda,MATCH(AB1277,ctaNombre,0))&amp;"","DOP")="USD",T1277,S1277))</f>
        <v/>
      </c>
      <c r="AG1277" s="53">
        <f>IF(AC1277="","",IF(IFERROR(INDEX(ctaMoneda,MATCH(AC1277,ctaNombre,0))&amp;"","DOP")="USD",T1277,S1277))</f>
        <v/>
      </c>
      <c r="AH1277" s="53">
        <f>IF(P1277="","",IF(AND(AD1277&lt;&gt;"",COUNTIFS(tcTipo,AD1277,tcLiq,"Sí")&gt;0),IF(OR(P1277="Gasto",P1277="Transferencia",P1277="Pago tarjeta"),-1,1)*S1277,0)+IF(AND(AE1277&lt;&gt;"",COUNTIFS(tcTipo,AE1277,tcLiq,"Sí")&gt;0),S1277,0))</f>
        <v/>
      </c>
      <c r="AI1277" s="52">
        <f>IF(OR(L1277="",P1277=""),"",IF(COUNTIFS(L$6:L1277,L1277,P$6:P1277,"?*")=1,MAX(AI$5:AI1276)+1,""))</f>
        <v/>
      </c>
    </row>
    <row r="1278">
      <c r="B1278" s="47" t="n"/>
      <c r="C1278" s="48" t="n"/>
      <c r="D1278" s="48" t="n"/>
      <c r="E1278" s="48" t="n"/>
      <c r="F1278" s="48" t="n"/>
      <c r="G1278" s="49" t="n"/>
      <c r="H1278" s="48" t="n"/>
      <c r="I1278" s="50" t="n"/>
      <c r="J1278" s="48" t="n"/>
      <c r="K1278" s="48" t="n"/>
      <c r="L1278" s="48" t="n"/>
      <c r="M1278" s="48" t="n"/>
      <c r="N1278" s="48" t="n"/>
      <c r="O1278" s="51">
        <f>IF(AND(B1278="",G1278="",C1278="",D1278="",J1278=""),"",IF(B1278="","⚠ Falta fecha",IF(G1278="","⚠ Falta monto",IF(Q1278="","⚠ Falta cuenta",IF(ISNA(MATCH(Q1278,ctaNombre,0)),"⚠ Cuenta no registrada",IF(AND(OR(P1278="Gasto",P1278="Reembolso"),D1278=""),"⚠ Falta categoría",IF(AND(D1278&lt;&gt;"",E1278&lt;&gt;"",ISNA(MATCH(D1278&amp;"|"&amp;E1278,catClave,0))),"⚠ Subcategoría no corresponde",IF(AND(OR(P1278="Transferencia",P1278="Pago tarjeta"),K1278=""),"⚠ Falta cuenta destino",IF(AND(K1278&lt;&gt;"",P1278&lt;&gt;"Transferencia",P1278&lt;&gt;"Pago tarjeta"),"⚠ Destino solo aplica a transferencias",IF(AND(K1278&lt;&gt;"",K1278=Q1278),"⚠ Origen igual a destino",IF(AND(K1278&lt;&gt;"",ISNA(MATCH(K1278,ctaNombre,0))),"⚠ Destino no registrado",IF(AND(P1278="Pago tarjeta",AE1278&lt;&gt;"Tarjeta de crédito"),"⚠ El destino debe ser tarjeta de crédito",IF(AND(P1278="Gasto",E1278="Depósitos y retiros"),"⚠ Usa tipo Transferencia",IF(AND(P1278="Resultado trading",AD1278&lt;&gt;"Cuenta de trading"),"⚠ Usa una cuenta de trading",IF(AND(G1278&lt;=0,P1278&lt;&gt;"Ajuste",P1278&lt;&gt;"Resultado trading"),"⚠ El monto debe ser positivo","✓")))))))))))))))</f>
        <v/>
      </c>
      <c r="P1278" s="52">
        <f>IF(OR(B1278="",G1278=""),"",IF(C1278="","Gasto",C1278))</f>
        <v/>
      </c>
      <c r="Q1278" s="52">
        <f>IF(P1278="","",IF(J1278&lt;&gt;"",J1278,CuentaPred&amp;""))</f>
        <v/>
      </c>
      <c r="R1278" s="52">
        <f>IF(P1278="","",IF(ISNUMBER(I1278),I1278,TasaUSD))</f>
        <v/>
      </c>
      <c r="S1278" s="53">
        <f>IF(P1278="","",IF(H1278="USD",G1278*R1278,G1278))</f>
        <v/>
      </c>
      <c r="T1278" s="53">
        <f>IF(P1278="","",IF(H1278="USD",G1278,IF(R1278&gt;0,G1278/R1278,0)))</f>
        <v/>
      </c>
      <c r="U1278" s="53">
        <f>IF(P1278="","",IF(P1278="Gasto",S1278,IF(P1278="Reembolso",-S1278,0)))</f>
        <v/>
      </c>
      <c r="V1278" s="53">
        <f>IF(P1278="","",IF(P1278="Ingreso",S1278,0))</f>
        <v/>
      </c>
      <c r="W1278" s="53">
        <f>IF(P1278="","",IF(P1278="Resultado trading",S1278,0))</f>
        <v/>
      </c>
      <c r="X1278" s="52">
        <f>IF(OR(P1278="Gasto",P1278="Reembolso"),IF(M1278&lt;&gt;"",M1278,IFERROR(INDEX(catClasif,MATCH(D1278&amp;"|"&amp;E1278,catClave,0))&amp;"","Variable")),"")</f>
        <v/>
      </c>
      <c r="Y1278" s="52">
        <f>IF(P1278="","",IFERROR(INDEX(catGrupo,MATCH(D1278&amp;"|"&amp;E1278,catClave,0))&amp;"",""))</f>
        <v/>
      </c>
      <c r="Z1278" s="52">
        <f>IF(P1278="","",WEEKDAY(B1278,2))</f>
        <v/>
      </c>
      <c r="AA1278" s="52">
        <f>IF(P1278="","",IF(AND(P1278="Gasto",X1278="Variable",D1278&lt;&gt;catTrading,S1278&gt;0,S1278&lt;=Umbral),1,0))</f>
        <v/>
      </c>
      <c r="AB1278" s="52">
        <f>IF(OR(P1278="",Q1278=""),"",IFERROR(IF(INDEX(ctaVinc,MATCH(Q1278,ctaNombre,0))&amp;""&lt;&gt;"",INDEX(ctaVinc,MATCH(Q1278,ctaNombre,0))&amp;"",Q1278),Q1278))</f>
        <v/>
      </c>
      <c r="AC1278" s="52">
        <f>IF(OR(K1278="",AND(P1278&lt;&gt;"Transferencia",P1278&lt;&gt;"Pago tarjeta")),"",IFERROR(IF(INDEX(ctaVinc,MATCH(K1278,ctaNombre,0))&amp;""&lt;&gt;"",INDEX(ctaVinc,MATCH(K1278,ctaNombre,0))&amp;"",K1278),K1278))</f>
        <v/>
      </c>
      <c r="AD1278" s="52">
        <f>IF(AB1278="","",IFERROR(INDEX(ctaTipo,MATCH(AB1278,ctaNombre,0))&amp;"",""))</f>
        <v/>
      </c>
      <c r="AE1278" s="52">
        <f>IF(AC1278="","",IFERROR(INDEX(ctaTipo,MATCH(AC1278,ctaNombre,0))&amp;"",""))</f>
        <v/>
      </c>
      <c r="AF1278" s="53">
        <f>IF(OR(P1278="",AB1278=""),"",IF(OR(P1278="Gasto",P1278="Transferencia",P1278="Pago tarjeta"),-1,1)*IF(IFERROR(INDEX(ctaMoneda,MATCH(AB1278,ctaNombre,0))&amp;"","DOP")="USD",T1278,S1278))</f>
        <v/>
      </c>
      <c r="AG1278" s="53">
        <f>IF(AC1278="","",IF(IFERROR(INDEX(ctaMoneda,MATCH(AC1278,ctaNombre,0))&amp;"","DOP")="USD",T1278,S1278))</f>
        <v/>
      </c>
      <c r="AH1278" s="53">
        <f>IF(P1278="","",IF(AND(AD1278&lt;&gt;"",COUNTIFS(tcTipo,AD1278,tcLiq,"Sí")&gt;0),IF(OR(P1278="Gasto",P1278="Transferencia",P1278="Pago tarjeta"),-1,1)*S1278,0)+IF(AND(AE1278&lt;&gt;"",COUNTIFS(tcTipo,AE1278,tcLiq,"Sí")&gt;0),S1278,0))</f>
        <v/>
      </c>
      <c r="AI1278" s="52">
        <f>IF(OR(L1278="",P1278=""),"",IF(COUNTIFS(L$6:L1278,L1278,P$6:P1278,"?*")=1,MAX(AI$5:AI1277)+1,""))</f>
        <v/>
      </c>
    </row>
    <row r="1279">
      <c r="B1279" s="47" t="n"/>
      <c r="C1279" s="48" t="n"/>
      <c r="D1279" s="48" t="n"/>
      <c r="E1279" s="48" t="n"/>
      <c r="F1279" s="48" t="n"/>
      <c r="G1279" s="49" t="n"/>
      <c r="H1279" s="48" t="n"/>
      <c r="I1279" s="50" t="n"/>
      <c r="J1279" s="48" t="n"/>
      <c r="K1279" s="48" t="n"/>
      <c r="L1279" s="48" t="n"/>
      <c r="M1279" s="48" t="n"/>
      <c r="N1279" s="48" t="n"/>
      <c r="O1279" s="51">
        <f>IF(AND(B1279="",G1279="",C1279="",D1279="",J1279=""),"",IF(B1279="","⚠ Falta fecha",IF(G1279="","⚠ Falta monto",IF(Q1279="","⚠ Falta cuenta",IF(ISNA(MATCH(Q1279,ctaNombre,0)),"⚠ Cuenta no registrada",IF(AND(OR(P1279="Gasto",P1279="Reembolso"),D1279=""),"⚠ Falta categoría",IF(AND(D1279&lt;&gt;"",E1279&lt;&gt;"",ISNA(MATCH(D1279&amp;"|"&amp;E1279,catClave,0))),"⚠ Subcategoría no corresponde",IF(AND(OR(P1279="Transferencia",P1279="Pago tarjeta"),K1279=""),"⚠ Falta cuenta destino",IF(AND(K1279&lt;&gt;"",P1279&lt;&gt;"Transferencia",P1279&lt;&gt;"Pago tarjeta"),"⚠ Destino solo aplica a transferencias",IF(AND(K1279&lt;&gt;"",K1279=Q1279),"⚠ Origen igual a destino",IF(AND(K1279&lt;&gt;"",ISNA(MATCH(K1279,ctaNombre,0))),"⚠ Destino no registrado",IF(AND(P1279="Pago tarjeta",AE1279&lt;&gt;"Tarjeta de crédito"),"⚠ El destino debe ser tarjeta de crédito",IF(AND(P1279="Gasto",E1279="Depósitos y retiros"),"⚠ Usa tipo Transferencia",IF(AND(P1279="Resultado trading",AD1279&lt;&gt;"Cuenta de trading"),"⚠ Usa una cuenta de trading",IF(AND(G1279&lt;=0,P1279&lt;&gt;"Ajuste",P1279&lt;&gt;"Resultado trading"),"⚠ El monto debe ser positivo","✓")))))))))))))))</f>
        <v/>
      </c>
      <c r="P1279" s="52">
        <f>IF(OR(B1279="",G1279=""),"",IF(C1279="","Gasto",C1279))</f>
        <v/>
      </c>
      <c r="Q1279" s="52">
        <f>IF(P1279="","",IF(J1279&lt;&gt;"",J1279,CuentaPred&amp;""))</f>
        <v/>
      </c>
      <c r="R1279" s="52">
        <f>IF(P1279="","",IF(ISNUMBER(I1279),I1279,TasaUSD))</f>
        <v/>
      </c>
      <c r="S1279" s="53">
        <f>IF(P1279="","",IF(H1279="USD",G1279*R1279,G1279))</f>
        <v/>
      </c>
      <c r="T1279" s="53">
        <f>IF(P1279="","",IF(H1279="USD",G1279,IF(R1279&gt;0,G1279/R1279,0)))</f>
        <v/>
      </c>
      <c r="U1279" s="53">
        <f>IF(P1279="","",IF(P1279="Gasto",S1279,IF(P1279="Reembolso",-S1279,0)))</f>
        <v/>
      </c>
      <c r="V1279" s="53">
        <f>IF(P1279="","",IF(P1279="Ingreso",S1279,0))</f>
        <v/>
      </c>
      <c r="W1279" s="53">
        <f>IF(P1279="","",IF(P1279="Resultado trading",S1279,0))</f>
        <v/>
      </c>
      <c r="X1279" s="52">
        <f>IF(OR(P1279="Gasto",P1279="Reembolso"),IF(M1279&lt;&gt;"",M1279,IFERROR(INDEX(catClasif,MATCH(D1279&amp;"|"&amp;E1279,catClave,0))&amp;"","Variable")),"")</f>
        <v/>
      </c>
      <c r="Y1279" s="52">
        <f>IF(P1279="","",IFERROR(INDEX(catGrupo,MATCH(D1279&amp;"|"&amp;E1279,catClave,0))&amp;"",""))</f>
        <v/>
      </c>
      <c r="Z1279" s="52">
        <f>IF(P1279="","",WEEKDAY(B1279,2))</f>
        <v/>
      </c>
      <c r="AA1279" s="52">
        <f>IF(P1279="","",IF(AND(P1279="Gasto",X1279="Variable",D1279&lt;&gt;catTrading,S1279&gt;0,S1279&lt;=Umbral),1,0))</f>
        <v/>
      </c>
      <c r="AB1279" s="52">
        <f>IF(OR(P1279="",Q1279=""),"",IFERROR(IF(INDEX(ctaVinc,MATCH(Q1279,ctaNombre,0))&amp;""&lt;&gt;"",INDEX(ctaVinc,MATCH(Q1279,ctaNombre,0))&amp;"",Q1279),Q1279))</f>
        <v/>
      </c>
      <c r="AC1279" s="52">
        <f>IF(OR(K1279="",AND(P1279&lt;&gt;"Transferencia",P1279&lt;&gt;"Pago tarjeta")),"",IFERROR(IF(INDEX(ctaVinc,MATCH(K1279,ctaNombre,0))&amp;""&lt;&gt;"",INDEX(ctaVinc,MATCH(K1279,ctaNombre,0))&amp;"",K1279),K1279))</f>
        <v/>
      </c>
      <c r="AD1279" s="52">
        <f>IF(AB1279="","",IFERROR(INDEX(ctaTipo,MATCH(AB1279,ctaNombre,0))&amp;"",""))</f>
        <v/>
      </c>
      <c r="AE1279" s="52">
        <f>IF(AC1279="","",IFERROR(INDEX(ctaTipo,MATCH(AC1279,ctaNombre,0))&amp;"",""))</f>
        <v/>
      </c>
      <c r="AF1279" s="53">
        <f>IF(OR(P1279="",AB1279=""),"",IF(OR(P1279="Gasto",P1279="Transferencia",P1279="Pago tarjeta"),-1,1)*IF(IFERROR(INDEX(ctaMoneda,MATCH(AB1279,ctaNombre,0))&amp;"","DOP")="USD",T1279,S1279))</f>
        <v/>
      </c>
      <c r="AG1279" s="53">
        <f>IF(AC1279="","",IF(IFERROR(INDEX(ctaMoneda,MATCH(AC1279,ctaNombre,0))&amp;"","DOP")="USD",T1279,S1279))</f>
        <v/>
      </c>
      <c r="AH1279" s="53">
        <f>IF(P1279="","",IF(AND(AD1279&lt;&gt;"",COUNTIFS(tcTipo,AD1279,tcLiq,"Sí")&gt;0),IF(OR(P1279="Gasto",P1279="Transferencia",P1279="Pago tarjeta"),-1,1)*S1279,0)+IF(AND(AE1279&lt;&gt;"",COUNTIFS(tcTipo,AE1279,tcLiq,"Sí")&gt;0),S1279,0))</f>
        <v/>
      </c>
      <c r="AI1279" s="52">
        <f>IF(OR(L1279="",P1279=""),"",IF(COUNTIFS(L$6:L1279,L1279,P$6:P1279,"?*")=1,MAX(AI$5:AI1278)+1,""))</f>
        <v/>
      </c>
    </row>
    <row r="1280">
      <c r="B1280" s="47" t="n"/>
      <c r="C1280" s="48" t="n"/>
      <c r="D1280" s="48" t="n"/>
      <c r="E1280" s="48" t="n"/>
      <c r="F1280" s="48" t="n"/>
      <c r="G1280" s="49" t="n"/>
      <c r="H1280" s="48" t="n"/>
      <c r="I1280" s="50" t="n"/>
      <c r="J1280" s="48" t="n"/>
      <c r="K1280" s="48" t="n"/>
      <c r="L1280" s="48" t="n"/>
      <c r="M1280" s="48" t="n"/>
      <c r="N1280" s="48" t="n"/>
      <c r="O1280" s="51">
        <f>IF(AND(B1280="",G1280="",C1280="",D1280="",J1280=""),"",IF(B1280="","⚠ Falta fecha",IF(G1280="","⚠ Falta monto",IF(Q1280="","⚠ Falta cuenta",IF(ISNA(MATCH(Q1280,ctaNombre,0)),"⚠ Cuenta no registrada",IF(AND(OR(P1280="Gasto",P1280="Reembolso"),D1280=""),"⚠ Falta categoría",IF(AND(D1280&lt;&gt;"",E1280&lt;&gt;"",ISNA(MATCH(D1280&amp;"|"&amp;E1280,catClave,0))),"⚠ Subcategoría no corresponde",IF(AND(OR(P1280="Transferencia",P1280="Pago tarjeta"),K1280=""),"⚠ Falta cuenta destino",IF(AND(K1280&lt;&gt;"",P1280&lt;&gt;"Transferencia",P1280&lt;&gt;"Pago tarjeta"),"⚠ Destino solo aplica a transferencias",IF(AND(K1280&lt;&gt;"",K1280=Q1280),"⚠ Origen igual a destino",IF(AND(K1280&lt;&gt;"",ISNA(MATCH(K1280,ctaNombre,0))),"⚠ Destino no registrado",IF(AND(P1280="Pago tarjeta",AE1280&lt;&gt;"Tarjeta de crédito"),"⚠ El destino debe ser tarjeta de crédito",IF(AND(P1280="Gasto",E1280="Depósitos y retiros"),"⚠ Usa tipo Transferencia",IF(AND(P1280="Resultado trading",AD1280&lt;&gt;"Cuenta de trading"),"⚠ Usa una cuenta de trading",IF(AND(G1280&lt;=0,P1280&lt;&gt;"Ajuste",P1280&lt;&gt;"Resultado trading"),"⚠ El monto debe ser positivo","✓")))))))))))))))</f>
        <v/>
      </c>
      <c r="P1280" s="52">
        <f>IF(OR(B1280="",G1280=""),"",IF(C1280="","Gasto",C1280))</f>
        <v/>
      </c>
      <c r="Q1280" s="52">
        <f>IF(P1280="","",IF(J1280&lt;&gt;"",J1280,CuentaPred&amp;""))</f>
        <v/>
      </c>
      <c r="R1280" s="52">
        <f>IF(P1280="","",IF(ISNUMBER(I1280),I1280,TasaUSD))</f>
        <v/>
      </c>
      <c r="S1280" s="53">
        <f>IF(P1280="","",IF(H1280="USD",G1280*R1280,G1280))</f>
        <v/>
      </c>
      <c r="T1280" s="53">
        <f>IF(P1280="","",IF(H1280="USD",G1280,IF(R1280&gt;0,G1280/R1280,0)))</f>
        <v/>
      </c>
      <c r="U1280" s="53">
        <f>IF(P1280="","",IF(P1280="Gasto",S1280,IF(P1280="Reembolso",-S1280,0)))</f>
        <v/>
      </c>
      <c r="V1280" s="53">
        <f>IF(P1280="","",IF(P1280="Ingreso",S1280,0))</f>
        <v/>
      </c>
      <c r="W1280" s="53">
        <f>IF(P1280="","",IF(P1280="Resultado trading",S1280,0))</f>
        <v/>
      </c>
      <c r="X1280" s="52">
        <f>IF(OR(P1280="Gasto",P1280="Reembolso"),IF(M1280&lt;&gt;"",M1280,IFERROR(INDEX(catClasif,MATCH(D1280&amp;"|"&amp;E1280,catClave,0))&amp;"","Variable")),"")</f>
        <v/>
      </c>
      <c r="Y1280" s="52">
        <f>IF(P1280="","",IFERROR(INDEX(catGrupo,MATCH(D1280&amp;"|"&amp;E1280,catClave,0))&amp;"",""))</f>
        <v/>
      </c>
      <c r="Z1280" s="52">
        <f>IF(P1280="","",WEEKDAY(B1280,2))</f>
        <v/>
      </c>
      <c r="AA1280" s="52">
        <f>IF(P1280="","",IF(AND(P1280="Gasto",X1280="Variable",D1280&lt;&gt;catTrading,S1280&gt;0,S1280&lt;=Umbral),1,0))</f>
        <v/>
      </c>
      <c r="AB1280" s="52">
        <f>IF(OR(P1280="",Q1280=""),"",IFERROR(IF(INDEX(ctaVinc,MATCH(Q1280,ctaNombre,0))&amp;""&lt;&gt;"",INDEX(ctaVinc,MATCH(Q1280,ctaNombre,0))&amp;"",Q1280),Q1280))</f>
        <v/>
      </c>
      <c r="AC1280" s="52">
        <f>IF(OR(K1280="",AND(P1280&lt;&gt;"Transferencia",P1280&lt;&gt;"Pago tarjeta")),"",IFERROR(IF(INDEX(ctaVinc,MATCH(K1280,ctaNombre,0))&amp;""&lt;&gt;"",INDEX(ctaVinc,MATCH(K1280,ctaNombre,0))&amp;"",K1280),K1280))</f>
        <v/>
      </c>
      <c r="AD1280" s="52">
        <f>IF(AB1280="","",IFERROR(INDEX(ctaTipo,MATCH(AB1280,ctaNombre,0))&amp;"",""))</f>
        <v/>
      </c>
      <c r="AE1280" s="52">
        <f>IF(AC1280="","",IFERROR(INDEX(ctaTipo,MATCH(AC1280,ctaNombre,0))&amp;"",""))</f>
        <v/>
      </c>
      <c r="AF1280" s="53">
        <f>IF(OR(P1280="",AB1280=""),"",IF(OR(P1280="Gasto",P1280="Transferencia",P1280="Pago tarjeta"),-1,1)*IF(IFERROR(INDEX(ctaMoneda,MATCH(AB1280,ctaNombre,0))&amp;"","DOP")="USD",T1280,S1280))</f>
        <v/>
      </c>
      <c r="AG1280" s="53">
        <f>IF(AC1280="","",IF(IFERROR(INDEX(ctaMoneda,MATCH(AC1280,ctaNombre,0))&amp;"","DOP")="USD",T1280,S1280))</f>
        <v/>
      </c>
      <c r="AH1280" s="53">
        <f>IF(P1280="","",IF(AND(AD1280&lt;&gt;"",COUNTIFS(tcTipo,AD1280,tcLiq,"Sí")&gt;0),IF(OR(P1280="Gasto",P1280="Transferencia",P1280="Pago tarjeta"),-1,1)*S1280,0)+IF(AND(AE1280&lt;&gt;"",COUNTIFS(tcTipo,AE1280,tcLiq,"Sí")&gt;0),S1280,0))</f>
        <v/>
      </c>
      <c r="AI1280" s="52">
        <f>IF(OR(L1280="",P1280=""),"",IF(COUNTIFS(L$6:L1280,L1280,P$6:P1280,"?*")=1,MAX(AI$5:AI1279)+1,""))</f>
        <v/>
      </c>
    </row>
    <row r="1281">
      <c r="B1281" s="47" t="n"/>
      <c r="C1281" s="48" t="n"/>
      <c r="D1281" s="48" t="n"/>
      <c r="E1281" s="48" t="n"/>
      <c r="F1281" s="48" t="n"/>
      <c r="G1281" s="49" t="n"/>
      <c r="H1281" s="48" t="n"/>
      <c r="I1281" s="50" t="n"/>
      <c r="J1281" s="48" t="n"/>
      <c r="K1281" s="48" t="n"/>
      <c r="L1281" s="48" t="n"/>
      <c r="M1281" s="48" t="n"/>
      <c r="N1281" s="48" t="n"/>
      <c r="O1281" s="51">
        <f>IF(AND(B1281="",G1281="",C1281="",D1281="",J1281=""),"",IF(B1281="","⚠ Falta fecha",IF(G1281="","⚠ Falta monto",IF(Q1281="","⚠ Falta cuenta",IF(ISNA(MATCH(Q1281,ctaNombre,0)),"⚠ Cuenta no registrada",IF(AND(OR(P1281="Gasto",P1281="Reembolso"),D1281=""),"⚠ Falta categoría",IF(AND(D1281&lt;&gt;"",E1281&lt;&gt;"",ISNA(MATCH(D1281&amp;"|"&amp;E1281,catClave,0))),"⚠ Subcategoría no corresponde",IF(AND(OR(P1281="Transferencia",P1281="Pago tarjeta"),K1281=""),"⚠ Falta cuenta destino",IF(AND(K1281&lt;&gt;"",P1281&lt;&gt;"Transferencia",P1281&lt;&gt;"Pago tarjeta"),"⚠ Destino solo aplica a transferencias",IF(AND(K1281&lt;&gt;"",K1281=Q1281),"⚠ Origen igual a destino",IF(AND(K1281&lt;&gt;"",ISNA(MATCH(K1281,ctaNombre,0))),"⚠ Destino no registrado",IF(AND(P1281="Pago tarjeta",AE1281&lt;&gt;"Tarjeta de crédito"),"⚠ El destino debe ser tarjeta de crédito",IF(AND(P1281="Gasto",E1281="Depósitos y retiros"),"⚠ Usa tipo Transferencia",IF(AND(P1281="Resultado trading",AD1281&lt;&gt;"Cuenta de trading"),"⚠ Usa una cuenta de trading",IF(AND(G1281&lt;=0,P1281&lt;&gt;"Ajuste",P1281&lt;&gt;"Resultado trading"),"⚠ El monto debe ser positivo","✓")))))))))))))))</f>
        <v/>
      </c>
      <c r="P1281" s="52">
        <f>IF(OR(B1281="",G1281=""),"",IF(C1281="","Gasto",C1281))</f>
        <v/>
      </c>
      <c r="Q1281" s="52">
        <f>IF(P1281="","",IF(J1281&lt;&gt;"",J1281,CuentaPred&amp;""))</f>
        <v/>
      </c>
      <c r="R1281" s="52">
        <f>IF(P1281="","",IF(ISNUMBER(I1281),I1281,TasaUSD))</f>
        <v/>
      </c>
      <c r="S1281" s="53">
        <f>IF(P1281="","",IF(H1281="USD",G1281*R1281,G1281))</f>
        <v/>
      </c>
      <c r="T1281" s="53">
        <f>IF(P1281="","",IF(H1281="USD",G1281,IF(R1281&gt;0,G1281/R1281,0)))</f>
        <v/>
      </c>
      <c r="U1281" s="53">
        <f>IF(P1281="","",IF(P1281="Gasto",S1281,IF(P1281="Reembolso",-S1281,0)))</f>
        <v/>
      </c>
      <c r="V1281" s="53">
        <f>IF(P1281="","",IF(P1281="Ingreso",S1281,0))</f>
        <v/>
      </c>
      <c r="W1281" s="53">
        <f>IF(P1281="","",IF(P1281="Resultado trading",S1281,0))</f>
        <v/>
      </c>
      <c r="X1281" s="52">
        <f>IF(OR(P1281="Gasto",P1281="Reembolso"),IF(M1281&lt;&gt;"",M1281,IFERROR(INDEX(catClasif,MATCH(D1281&amp;"|"&amp;E1281,catClave,0))&amp;"","Variable")),"")</f>
        <v/>
      </c>
      <c r="Y1281" s="52">
        <f>IF(P1281="","",IFERROR(INDEX(catGrupo,MATCH(D1281&amp;"|"&amp;E1281,catClave,0))&amp;"",""))</f>
        <v/>
      </c>
      <c r="Z1281" s="52">
        <f>IF(P1281="","",WEEKDAY(B1281,2))</f>
        <v/>
      </c>
      <c r="AA1281" s="52">
        <f>IF(P1281="","",IF(AND(P1281="Gasto",X1281="Variable",D1281&lt;&gt;catTrading,S1281&gt;0,S1281&lt;=Umbral),1,0))</f>
        <v/>
      </c>
      <c r="AB1281" s="52">
        <f>IF(OR(P1281="",Q1281=""),"",IFERROR(IF(INDEX(ctaVinc,MATCH(Q1281,ctaNombre,0))&amp;""&lt;&gt;"",INDEX(ctaVinc,MATCH(Q1281,ctaNombre,0))&amp;"",Q1281),Q1281))</f>
        <v/>
      </c>
      <c r="AC1281" s="52">
        <f>IF(OR(K1281="",AND(P1281&lt;&gt;"Transferencia",P1281&lt;&gt;"Pago tarjeta")),"",IFERROR(IF(INDEX(ctaVinc,MATCH(K1281,ctaNombre,0))&amp;""&lt;&gt;"",INDEX(ctaVinc,MATCH(K1281,ctaNombre,0))&amp;"",K1281),K1281))</f>
        <v/>
      </c>
      <c r="AD1281" s="52">
        <f>IF(AB1281="","",IFERROR(INDEX(ctaTipo,MATCH(AB1281,ctaNombre,0))&amp;"",""))</f>
        <v/>
      </c>
      <c r="AE1281" s="52">
        <f>IF(AC1281="","",IFERROR(INDEX(ctaTipo,MATCH(AC1281,ctaNombre,0))&amp;"",""))</f>
        <v/>
      </c>
      <c r="AF1281" s="53">
        <f>IF(OR(P1281="",AB1281=""),"",IF(OR(P1281="Gasto",P1281="Transferencia",P1281="Pago tarjeta"),-1,1)*IF(IFERROR(INDEX(ctaMoneda,MATCH(AB1281,ctaNombre,0))&amp;"","DOP")="USD",T1281,S1281))</f>
        <v/>
      </c>
      <c r="AG1281" s="53">
        <f>IF(AC1281="","",IF(IFERROR(INDEX(ctaMoneda,MATCH(AC1281,ctaNombre,0))&amp;"","DOP")="USD",T1281,S1281))</f>
        <v/>
      </c>
      <c r="AH1281" s="53">
        <f>IF(P1281="","",IF(AND(AD1281&lt;&gt;"",COUNTIFS(tcTipo,AD1281,tcLiq,"Sí")&gt;0),IF(OR(P1281="Gasto",P1281="Transferencia",P1281="Pago tarjeta"),-1,1)*S1281,0)+IF(AND(AE1281&lt;&gt;"",COUNTIFS(tcTipo,AE1281,tcLiq,"Sí")&gt;0),S1281,0))</f>
        <v/>
      </c>
      <c r="AI1281" s="52">
        <f>IF(OR(L1281="",P1281=""),"",IF(COUNTIFS(L$6:L1281,L1281,P$6:P1281,"?*")=1,MAX(AI$5:AI1280)+1,""))</f>
        <v/>
      </c>
    </row>
    <row r="1282">
      <c r="B1282" s="47" t="n"/>
      <c r="C1282" s="48" t="n"/>
      <c r="D1282" s="48" t="n"/>
      <c r="E1282" s="48" t="n"/>
      <c r="F1282" s="48" t="n"/>
      <c r="G1282" s="49" t="n"/>
      <c r="H1282" s="48" t="n"/>
      <c r="I1282" s="50" t="n"/>
      <c r="J1282" s="48" t="n"/>
      <c r="K1282" s="48" t="n"/>
      <c r="L1282" s="48" t="n"/>
      <c r="M1282" s="48" t="n"/>
      <c r="N1282" s="48" t="n"/>
      <c r="O1282" s="51">
        <f>IF(AND(B1282="",G1282="",C1282="",D1282="",J1282=""),"",IF(B1282="","⚠ Falta fecha",IF(G1282="","⚠ Falta monto",IF(Q1282="","⚠ Falta cuenta",IF(ISNA(MATCH(Q1282,ctaNombre,0)),"⚠ Cuenta no registrada",IF(AND(OR(P1282="Gasto",P1282="Reembolso"),D1282=""),"⚠ Falta categoría",IF(AND(D1282&lt;&gt;"",E1282&lt;&gt;"",ISNA(MATCH(D1282&amp;"|"&amp;E1282,catClave,0))),"⚠ Subcategoría no corresponde",IF(AND(OR(P1282="Transferencia",P1282="Pago tarjeta"),K1282=""),"⚠ Falta cuenta destino",IF(AND(K1282&lt;&gt;"",P1282&lt;&gt;"Transferencia",P1282&lt;&gt;"Pago tarjeta"),"⚠ Destino solo aplica a transferencias",IF(AND(K1282&lt;&gt;"",K1282=Q1282),"⚠ Origen igual a destino",IF(AND(K1282&lt;&gt;"",ISNA(MATCH(K1282,ctaNombre,0))),"⚠ Destino no registrado",IF(AND(P1282="Pago tarjeta",AE1282&lt;&gt;"Tarjeta de crédito"),"⚠ El destino debe ser tarjeta de crédito",IF(AND(P1282="Gasto",E1282="Depósitos y retiros"),"⚠ Usa tipo Transferencia",IF(AND(P1282="Resultado trading",AD1282&lt;&gt;"Cuenta de trading"),"⚠ Usa una cuenta de trading",IF(AND(G1282&lt;=0,P1282&lt;&gt;"Ajuste",P1282&lt;&gt;"Resultado trading"),"⚠ El monto debe ser positivo","✓")))))))))))))))</f>
        <v/>
      </c>
      <c r="P1282" s="52">
        <f>IF(OR(B1282="",G1282=""),"",IF(C1282="","Gasto",C1282))</f>
        <v/>
      </c>
      <c r="Q1282" s="52">
        <f>IF(P1282="","",IF(J1282&lt;&gt;"",J1282,CuentaPred&amp;""))</f>
        <v/>
      </c>
      <c r="R1282" s="52">
        <f>IF(P1282="","",IF(ISNUMBER(I1282),I1282,TasaUSD))</f>
        <v/>
      </c>
      <c r="S1282" s="53">
        <f>IF(P1282="","",IF(H1282="USD",G1282*R1282,G1282))</f>
        <v/>
      </c>
      <c r="T1282" s="53">
        <f>IF(P1282="","",IF(H1282="USD",G1282,IF(R1282&gt;0,G1282/R1282,0)))</f>
        <v/>
      </c>
      <c r="U1282" s="53">
        <f>IF(P1282="","",IF(P1282="Gasto",S1282,IF(P1282="Reembolso",-S1282,0)))</f>
        <v/>
      </c>
      <c r="V1282" s="53">
        <f>IF(P1282="","",IF(P1282="Ingreso",S1282,0))</f>
        <v/>
      </c>
      <c r="W1282" s="53">
        <f>IF(P1282="","",IF(P1282="Resultado trading",S1282,0))</f>
        <v/>
      </c>
      <c r="X1282" s="52">
        <f>IF(OR(P1282="Gasto",P1282="Reembolso"),IF(M1282&lt;&gt;"",M1282,IFERROR(INDEX(catClasif,MATCH(D1282&amp;"|"&amp;E1282,catClave,0))&amp;"","Variable")),"")</f>
        <v/>
      </c>
      <c r="Y1282" s="52">
        <f>IF(P1282="","",IFERROR(INDEX(catGrupo,MATCH(D1282&amp;"|"&amp;E1282,catClave,0))&amp;"",""))</f>
        <v/>
      </c>
      <c r="Z1282" s="52">
        <f>IF(P1282="","",WEEKDAY(B1282,2))</f>
        <v/>
      </c>
      <c r="AA1282" s="52">
        <f>IF(P1282="","",IF(AND(P1282="Gasto",X1282="Variable",D1282&lt;&gt;catTrading,S1282&gt;0,S1282&lt;=Umbral),1,0))</f>
        <v/>
      </c>
      <c r="AB1282" s="52">
        <f>IF(OR(P1282="",Q1282=""),"",IFERROR(IF(INDEX(ctaVinc,MATCH(Q1282,ctaNombre,0))&amp;""&lt;&gt;"",INDEX(ctaVinc,MATCH(Q1282,ctaNombre,0))&amp;"",Q1282),Q1282))</f>
        <v/>
      </c>
      <c r="AC1282" s="52">
        <f>IF(OR(K1282="",AND(P1282&lt;&gt;"Transferencia",P1282&lt;&gt;"Pago tarjeta")),"",IFERROR(IF(INDEX(ctaVinc,MATCH(K1282,ctaNombre,0))&amp;""&lt;&gt;"",INDEX(ctaVinc,MATCH(K1282,ctaNombre,0))&amp;"",K1282),K1282))</f>
        <v/>
      </c>
      <c r="AD1282" s="52">
        <f>IF(AB1282="","",IFERROR(INDEX(ctaTipo,MATCH(AB1282,ctaNombre,0))&amp;"",""))</f>
        <v/>
      </c>
      <c r="AE1282" s="52">
        <f>IF(AC1282="","",IFERROR(INDEX(ctaTipo,MATCH(AC1282,ctaNombre,0))&amp;"",""))</f>
        <v/>
      </c>
      <c r="AF1282" s="53">
        <f>IF(OR(P1282="",AB1282=""),"",IF(OR(P1282="Gasto",P1282="Transferencia",P1282="Pago tarjeta"),-1,1)*IF(IFERROR(INDEX(ctaMoneda,MATCH(AB1282,ctaNombre,0))&amp;"","DOP")="USD",T1282,S1282))</f>
        <v/>
      </c>
      <c r="AG1282" s="53">
        <f>IF(AC1282="","",IF(IFERROR(INDEX(ctaMoneda,MATCH(AC1282,ctaNombre,0))&amp;"","DOP")="USD",T1282,S1282))</f>
        <v/>
      </c>
      <c r="AH1282" s="53">
        <f>IF(P1282="","",IF(AND(AD1282&lt;&gt;"",COUNTIFS(tcTipo,AD1282,tcLiq,"Sí")&gt;0),IF(OR(P1282="Gasto",P1282="Transferencia",P1282="Pago tarjeta"),-1,1)*S1282,0)+IF(AND(AE1282&lt;&gt;"",COUNTIFS(tcTipo,AE1282,tcLiq,"Sí")&gt;0),S1282,0))</f>
        <v/>
      </c>
      <c r="AI1282" s="52">
        <f>IF(OR(L1282="",P1282=""),"",IF(COUNTIFS(L$6:L1282,L1282,P$6:P1282,"?*")=1,MAX(AI$5:AI1281)+1,""))</f>
        <v/>
      </c>
    </row>
    <row r="1283">
      <c r="B1283" s="47" t="n"/>
      <c r="C1283" s="48" t="n"/>
      <c r="D1283" s="48" t="n"/>
      <c r="E1283" s="48" t="n"/>
      <c r="F1283" s="48" t="n"/>
      <c r="G1283" s="49" t="n"/>
      <c r="H1283" s="48" t="n"/>
      <c r="I1283" s="50" t="n"/>
      <c r="J1283" s="48" t="n"/>
      <c r="K1283" s="48" t="n"/>
      <c r="L1283" s="48" t="n"/>
      <c r="M1283" s="48" t="n"/>
      <c r="N1283" s="48" t="n"/>
      <c r="O1283" s="51">
        <f>IF(AND(B1283="",G1283="",C1283="",D1283="",J1283=""),"",IF(B1283="","⚠ Falta fecha",IF(G1283="","⚠ Falta monto",IF(Q1283="","⚠ Falta cuenta",IF(ISNA(MATCH(Q1283,ctaNombre,0)),"⚠ Cuenta no registrada",IF(AND(OR(P1283="Gasto",P1283="Reembolso"),D1283=""),"⚠ Falta categoría",IF(AND(D1283&lt;&gt;"",E1283&lt;&gt;"",ISNA(MATCH(D1283&amp;"|"&amp;E1283,catClave,0))),"⚠ Subcategoría no corresponde",IF(AND(OR(P1283="Transferencia",P1283="Pago tarjeta"),K1283=""),"⚠ Falta cuenta destino",IF(AND(K1283&lt;&gt;"",P1283&lt;&gt;"Transferencia",P1283&lt;&gt;"Pago tarjeta"),"⚠ Destino solo aplica a transferencias",IF(AND(K1283&lt;&gt;"",K1283=Q1283),"⚠ Origen igual a destino",IF(AND(K1283&lt;&gt;"",ISNA(MATCH(K1283,ctaNombre,0))),"⚠ Destino no registrado",IF(AND(P1283="Pago tarjeta",AE1283&lt;&gt;"Tarjeta de crédito"),"⚠ El destino debe ser tarjeta de crédito",IF(AND(P1283="Gasto",E1283="Depósitos y retiros"),"⚠ Usa tipo Transferencia",IF(AND(P1283="Resultado trading",AD1283&lt;&gt;"Cuenta de trading"),"⚠ Usa una cuenta de trading",IF(AND(G1283&lt;=0,P1283&lt;&gt;"Ajuste",P1283&lt;&gt;"Resultado trading"),"⚠ El monto debe ser positivo","✓")))))))))))))))</f>
        <v/>
      </c>
      <c r="P1283" s="52">
        <f>IF(OR(B1283="",G1283=""),"",IF(C1283="","Gasto",C1283))</f>
        <v/>
      </c>
      <c r="Q1283" s="52">
        <f>IF(P1283="","",IF(J1283&lt;&gt;"",J1283,CuentaPred&amp;""))</f>
        <v/>
      </c>
      <c r="R1283" s="52">
        <f>IF(P1283="","",IF(ISNUMBER(I1283),I1283,TasaUSD))</f>
        <v/>
      </c>
      <c r="S1283" s="53">
        <f>IF(P1283="","",IF(H1283="USD",G1283*R1283,G1283))</f>
        <v/>
      </c>
      <c r="T1283" s="53">
        <f>IF(P1283="","",IF(H1283="USD",G1283,IF(R1283&gt;0,G1283/R1283,0)))</f>
        <v/>
      </c>
      <c r="U1283" s="53">
        <f>IF(P1283="","",IF(P1283="Gasto",S1283,IF(P1283="Reembolso",-S1283,0)))</f>
        <v/>
      </c>
      <c r="V1283" s="53">
        <f>IF(P1283="","",IF(P1283="Ingreso",S1283,0))</f>
        <v/>
      </c>
      <c r="W1283" s="53">
        <f>IF(P1283="","",IF(P1283="Resultado trading",S1283,0))</f>
        <v/>
      </c>
      <c r="X1283" s="52">
        <f>IF(OR(P1283="Gasto",P1283="Reembolso"),IF(M1283&lt;&gt;"",M1283,IFERROR(INDEX(catClasif,MATCH(D1283&amp;"|"&amp;E1283,catClave,0))&amp;"","Variable")),"")</f>
        <v/>
      </c>
      <c r="Y1283" s="52">
        <f>IF(P1283="","",IFERROR(INDEX(catGrupo,MATCH(D1283&amp;"|"&amp;E1283,catClave,0))&amp;"",""))</f>
        <v/>
      </c>
      <c r="Z1283" s="52">
        <f>IF(P1283="","",WEEKDAY(B1283,2))</f>
        <v/>
      </c>
      <c r="AA1283" s="52">
        <f>IF(P1283="","",IF(AND(P1283="Gasto",X1283="Variable",D1283&lt;&gt;catTrading,S1283&gt;0,S1283&lt;=Umbral),1,0))</f>
        <v/>
      </c>
      <c r="AB1283" s="52">
        <f>IF(OR(P1283="",Q1283=""),"",IFERROR(IF(INDEX(ctaVinc,MATCH(Q1283,ctaNombre,0))&amp;""&lt;&gt;"",INDEX(ctaVinc,MATCH(Q1283,ctaNombre,0))&amp;"",Q1283),Q1283))</f>
        <v/>
      </c>
      <c r="AC1283" s="52">
        <f>IF(OR(K1283="",AND(P1283&lt;&gt;"Transferencia",P1283&lt;&gt;"Pago tarjeta")),"",IFERROR(IF(INDEX(ctaVinc,MATCH(K1283,ctaNombre,0))&amp;""&lt;&gt;"",INDEX(ctaVinc,MATCH(K1283,ctaNombre,0))&amp;"",K1283),K1283))</f>
        <v/>
      </c>
      <c r="AD1283" s="52">
        <f>IF(AB1283="","",IFERROR(INDEX(ctaTipo,MATCH(AB1283,ctaNombre,0))&amp;"",""))</f>
        <v/>
      </c>
      <c r="AE1283" s="52">
        <f>IF(AC1283="","",IFERROR(INDEX(ctaTipo,MATCH(AC1283,ctaNombre,0))&amp;"",""))</f>
        <v/>
      </c>
      <c r="AF1283" s="53">
        <f>IF(OR(P1283="",AB1283=""),"",IF(OR(P1283="Gasto",P1283="Transferencia",P1283="Pago tarjeta"),-1,1)*IF(IFERROR(INDEX(ctaMoneda,MATCH(AB1283,ctaNombre,0))&amp;"","DOP")="USD",T1283,S1283))</f>
        <v/>
      </c>
      <c r="AG1283" s="53">
        <f>IF(AC1283="","",IF(IFERROR(INDEX(ctaMoneda,MATCH(AC1283,ctaNombre,0))&amp;"","DOP")="USD",T1283,S1283))</f>
        <v/>
      </c>
      <c r="AH1283" s="53">
        <f>IF(P1283="","",IF(AND(AD1283&lt;&gt;"",COUNTIFS(tcTipo,AD1283,tcLiq,"Sí")&gt;0),IF(OR(P1283="Gasto",P1283="Transferencia",P1283="Pago tarjeta"),-1,1)*S1283,0)+IF(AND(AE1283&lt;&gt;"",COUNTIFS(tcTipo,AE1283,tcLiq,"Sí")&gt;0),S1283,0))</f>
        <v/>
      </c>
      <c r="AI1283" s="52">
        <f>IF(OR(L1283="",P1283=""),"",IF(COUNTIFS(L$6:L1283,L1283,P$6:P1283,"?*")=1,MAX(AI$5:AI1282)+1,""))</f>
        <v/>
      </c>
    </row>
    <row r="1284">
      <c r="B1284" s="47" t="n"/>
      <c r="C1284" s="48" t="n"/>
      <c r="D1284" s="48" t="n"/>
      <c r="E1284" s="48" t="n"/>
      <c r="F1284" s="48" t="n"/>
      <c r="G1284" s="49" t="n"/>
      <c r="H1284" s="48" t="n"/>
      <c r="I1284" s="50" t="n"/>
      <c r="J1284" s="48" t="n"/>
      <c r="K1284" s="48" t="n"/>
      <c r="L1284" s="48" t="n"/>
      <c r="M1284" s="48" t="n"/>
      <c r="N1284" s="48" t="n"/>
      <c r="O1284" s="51">
        <f>IF(AND(B1284="",G1284="",C1284="",D1284="",J1284=""),"",IF(B1284="","⚠ Falta fecha",IF(G1284="","⚠ Falta monto",IF(Q1284="","⚠ Falta cuenta",IF(ISNA(MATCH(Q1284,ctaNombre,0)),"⚠ Cuenta no registrada",IF(AND(OR(P1284="Gasto",P1284="Reembolso"),D1284=""),"⚠ Falta categoría",IF(AND(D1284&lt;&gt;"",E1284&lt;&gt;"",ISNA(MATCH(D1284&amp;"|"&amp;E1284,catClave,0))),"⚠ Subcategoría no corresponde",IF(AND(OR(P1284="Transferencia",P1284="Pago tarjeta"),K1284=""),"⚠ Falta cuenta destino",IF(AND(K1284&lt;&gt;"",P1284&lt;&gt;"Transferencia",P1284&lt;&gt;"Pago tarjeta"),"⚠ Destino solo aplica a transferencias",IF(AND(K1284&lt;&gt;"",K1284=Q1284),"⚠ Origen igual a destino",IF(AND(K1284&lt;&gt;"",ISNA(MATCH(K1284,ctaNombre,0))),"⚠ Destino no registrado",IF(AND(P1284="Pago tarjeta",AE1284&lt;&gt;"Tarjeta de crédito"),"⚠ El destino debe ser tarjeta de crédito",IF(AND(P1284="Gasto",E1284="Depósitos y retiros"),"⚠ Usa tipo Transferencia",IF(AND(P1284="Resultado trading",AD1284&lt;&gt;"Cuenta de trading"),"⚠ Usa una cuenta de trading",IF(AND(G1284&lt;=0,P1284&lt;&gt;"Ajuste",P1284&lt;&gt;"Resultado trading"),"⚠ El monto debe ser positivo","✓")))))))))))))))</f>
        <v/>
      </c>
      <c r="P1284" s="52">
        <f>IF(OR(B1284="",G1284=""),"",IF(C1284="","Gasto",C1284))</f>
        <v/>
      </c>
      <c r="Q1284" s="52">
        <f>IF(P1284="","",IF(J1284&lt;&gt;"",J1284,CuentaPred&amp;""))</f>
        <v/>
      </c>
      <c r="R1284" s="52">
        <f>IF(P1284="","",IF(ISNUMBER(I1284),I1284,TasaUSD))</f>
        <v/>
      </c>
      <c r="S1284" s="53">
        <f>IF(P1284="","",IF(H1284="USD",G1284*R1284,G1284))</f>
        <v/>
      </c>
      <c r="T1284" s="53">
        <f>IF(P1284="","",IF(H1284="USD",G1284,IF(R1284&gt;0,G1284/R1284,0)))</f>
        <v/>
      </c>
      <c r="U1284" s="53">
        <f>IF(P1284="","",IF(P1284="Gasto",S1284,IF(P1284="Reembolso",-S1284,0)))</f>
        <v/>
      </c>
      <c r="V1284" s="53">
        <f>IF(P1284="","",IF(P1284="Ingreso",S1284,0))</f>
        <v/>
      </c>
      <c r="W1284" s="53">
        <f>IF(P1284="","",IF(P1284="Resultado trading",S1284,0))</f>
        <v/>
      </c>
      <c r="X1284" s="52">
        <f>IF(OR(P1284="Gasto",P1284="Reembolso"),IF(M1284&lt;&gt;"",M1284,IFERROR(INDEX(catClasif,MATCH(D1284&amp;"|"&amp;E1284,catClave,0))&amp;"","Variable")),"")</f>
        <v/>
      </c>
      <c r="Y1284" s="52">
        <f>IF(P1284="","",IFERROR(INDEX(catGrupo,MATCH(D1284&amp;"|"&amp;E1284,catClave,0))&amp;"",""))</f>
        <v/>
      </c>
      <c r="Z1284" s="52">
        <f>IF(P1284="","",WEEKDAY(B1284,2))</f>
        <v/>
      </c>
      <c r="AA1284" s="52">
        <f>IF(P1284="","",IF(AND(P1284="Gasto",X1284="Variable",D1284&lt;&gt;catTrading,S1284&gt;0,S1284&lt;=Umbral),1,0))</f>
        <v/>
      </c>
      <c r="AB1284" s="52">
        <f>IF(OR(P1284="",Q1284=""),"",IFERROR(IF(INDEX(ctaVinc,MATCH(Q1284,ctaNombre,0))&amp;""&lt;&gt;"",INDEX(ctaVinc,MATCH(Q1284,ctaNombre,0))&amp;"",Q1284),Q1284))</f>
        <v/>
      </c>
      <c r="AC1284" s="52">
        <f>IF(OR(K1284="",AND(P1284&lt;&gt;"Transferencia",P1284&lt;&gt;"Pago tarjeta")),"",IFERROR(IF(INDEX(ctaVinc,MATCH(K1284,ctaNombre,0))&amp;""&lt;&gt;"",INDEX(ctaVinc,MATCH(K1284,ctaNombre,0))&amp;"",K1284),K1284))</f>
        <v/>
      </c>
      <c r="AD1284" s="52">
        <f>IF(AB1284="","",IFERROR(INDEX(ctaTipo,MATCH(AB1284,ctaNombre,0))&amp;"",""))</f>
        <v/>
      </c>
      <c r="AE1284" s="52">
        <f>IF(AC1284="","",IFERROR(INDEX(ctaTipo,MATCH(AC1284,ctaNombre,0))&amp;"",""))</f>
        <v/>
      </c>
      <c r="AF1284" s="53">
        <f>IF(OR(P1284="",AB1284=""),"",IF(OR(P1284="Gasto",P1284="Transferencia",P1284="Pago tarjeta"),-1,1)*IF(IFERROR(INDEX(ctaMoneda,MATCH(AB1284,ctaNombre,0))&amp;"","DOP")="USD",T1284,S1284))</f>
        <v/>
      </c>
      <c r="AG1284" s="53">
        <f>IF(AC1284="","",IF(IFERROR(INDEX(ctaMoneda,MATCH(AC1284,ctaNombre,0))&amp;"","DOP")="USD",T1284,S1284))</f>
        <v/>
      </c>
      <c r="AH1284" s="53">
        <f>IF(P1284="","",IF(AND(AD1284&lt;&gt;"",COUNTIFS(tcTipo,AD1284,tcLiq,"Sí")&gt;0),IF(OR(P1284="Gasto",P1284="Transferencia",P1284="Pago tarjeta"),-1,1)*S1284,0)+IF(AND(AE1284&lt;&gt;"",COUNTIFS(tcTipo,AE1284,tcLiq,"Sí")&gt;0),S1284,0))</f>
        <v/>
      </c>
      <c r="AI1284" s="52">
        <f>IF(OR(L1284="",P1284=""),"",IF(COUNTIFS(L$6:L1284,L1284,P$6:P1284,"?*")=1,MAX(AI$5:AI1283)+1,""))</f>
        <v/>
      </c>
    </row>
    <row r="1285">
      <c r="B1285" s="47" t="n"/>
      <c r="C1285" s="48" t="n"/>
      <c r="D1285" s="48" t="n"/>
      <c r="E1285" s="48" t="n"/>
      <c r="F1285" s="48" t="n"/>
      <c r="G1285" s="49" t="n"/>
      <c r="H1285" s="48" t="n"/>
      <c r="I1285" s="50" t="n"/>
      <c r="J1285" s="48" t="n"/>
      <c r="K1285" s="48" t="n"/>
      <c r="L1285" s="48" t="n"/>
      <c r="M1285" s="48" t="n"/>
      <c r="N1285" s="48" t="n"/>
      <c r="O1285" s="51">
        <f>IF(AND(B1285="",G1285="",C1285="",D1285="",J1285=""),"",IF(B1285="","⚠ Falta fecha",IF(G1285="","⚠ Falta monto",IF(Q1285="","⚠ Falta cuenta",IF(ISNA(MATCH(Q1285,ctaNombre,0)),"⚠ Cuenta no registrada",IF(AND(OR(P1285="Gasto",P1285="Reembolso"),D1285=""),"⚠ Falta categoría",IF(AND(D1285&lt;&gt;"",E1285&lt;&gt;"",ISNA(MATCH(D1285&amp;"|"&amp;E1285,catClave,0))),"⚠ Subcategoría no corresponde",IF(AND(OR(P1285="Transferencia",P1285="Pago tarjeta"),K1285=""),"⚠ Falta cuenta destino",IF(AND(K1285&lt;&gt;"",P1285&lt;&gt;"Transferencia",P1285&lt;&gt;"Pago tarjeta"),"⚠ Destino solo aplica a transferencias",IF(AND(K1285&lt;&gt;"",K1285=Q1285),"⚠ Origen igual a destino",IF(AND(K1285&lt;&gt;"",ISNA(MATCH(K1285,ctaNombre,0))),"⚠ Destino no registrado",IF(AND(P1285="Pago tarjeta",AE1285&lt;&gt;"Tarjeta de crédito"),"⚠ El destino debe ser tarjeta de crédito",IF(AND(P1285="Gasto",E1285="Depósitos y retiros"),"⚠ Usa tipo Transferencia",IF(AND(P1285="Resultado trading",AD1285&lt;&gt;"Cuenta de trading"),"⚠ Usa una cuenta de trading",IF(AND(G1285&lt;=0,P1285&lt;&gt;"Ajuste",P1285&lt;&gt;"Resultado trading"),"⚠ El monto debe ser positivo","✓")))))))))))))))</f>
        <v/>
      </c>
      <c r="P1285" s="52">
        <f>IF(OR(B1285="",G1285=""),"",IF(C1285="","Gasto",C1285))</f>
        <v/>
      </c>
      <c r="Q1285" s="52">
        <f>IF(P1285="","",IF(J1285&lt;&gt;"",J1285,CuentaPred&amp;""))</f>
        <v/>
      </c>
      <c r="R1285" s="52">
        <f>IF(P1285="","",IF(ISNUMBER(I1285),I1285,TasaUSD))</f>
        <v/>
      </c>
      <c r="S1285" s="53">
        <f>IF(P1285="","",IF(H1285="USD",G1285*R1285,G1285))</f>
        <v/>
      </c>
      <c r="T1285" s="53">
        <f>IF(P1285="","",IF(H1285="USD",G1285,IF(R1285&gt;0,G1285/R1285,0)))</f>
        <v/>
      </c>
      <c r="U1285" s="53">
        <f>IF(P1285="","",IF(P1285="Gasto",S1285,IF(P1285="Reembolso",-S1285,0)))</f>
        <v/>
      </c>
      <c r="V1285" s="53">
        <f>IF(P1285="","",IF(P1285="Ingreso",S1285,0))</f>
        <v/>
      </c>
      <c r="W1285" s="53">
        <f>IF(P1285="","",IF(P1285="Resultado trading",S1285,0))</f>
        <v/>
      </c>
      <c r="X1285" s="52">
        <f>IF(OR(P1285="Gasto",P1285="Reembolso"),IF(M1285&lt;&gt;"",M1285,IFERROR(INDEX(catClasif,MATCH(D1285&amp;"|"&amp;E1285,catClave,0))&amp;"","Variable")),"")</f>
        <v/>
      </c>
      <c r="Y1285" s="52">
        <f>IF(P1285="","",IFERROR(INDEX(catGrupo,MATCH(D1285&amp;"|"&amp;E1285,catClave,0))&amp;"",""))</f>
        <v/>
      </c>
      <c r="Z1285" s="52">
        <f>IF(P1285="","",WEEKDAY(B1285,2))</f>
        <v/>
      </c>
      <c r="AA1285" s="52">
        <f>IF(P1285="","",IF(AND(P1285="Gasto",X1285="Variable",D1285&lt;&gt;catTrading,S1285&gt;0,S1285&lt;=Umbral),1,0))</f>
        <v/>
      </c>
      <c r="AB1285" s="52">
        <f>IF(OR(P1285="",Q1285=""),"",IFERROR(IF(INDEX(ctaVinc,MATCH(Q1285,ctaNombre,0))&amp;""&lt;&gt;"",INDEX(ctaVinc,MATCH(Q1285,ctaNombre,0))&amp;"",Q1285),Q1285))</f>
        <v/>
      </c>
      <c r="AC1285" s="52">
        <f>IF(OR(K1285="",AND(P1285&lt;&gt;"Transferencia",P1285&lt;&gt;"Pago tarjeta")),"",IFERROR(IF(INDEX(ctaVinc,MATCH(K1285,ctaNombre,0))&amp;""&lt;&gt;"",INDEX(ctaVinc,MATCH(K1285,ctaNombre,0))&amp;"",K1285),K1285))</f>
        <v/>
      </c>
      <c r="AD1285" s="52">
        <f>IF(AB1285="","",IFERROR(INDEX(ctaTipo,MATCH(AB1285,ctaNombre,0))&amp;"",""))</f>
        <v/>
      </c>
      <c r="AE1285" s="52">
        <f>IF(AC1285="","",IFERROR(INDEX(ctaTipo,MATCH(AC1285,ctaNombre,0))&amp;"",""))</f>
        <v/>
      </c>
      <c r="AF1285" s="53">
        <f>IF(OR(P1285="",AB1285=""),"",IF(OR(P1285="Gasto",P1285="Transferencia",P1285="Pago tarjeta"),-1,1)*IF(IFERROR(INDEX(ctaMoneda,MATCH(AB1285,ctaNombre,0))&amp;"","DOP")="USD",T1285,S1285))</f>
        <v/>
      </c>
      <c r="AG1285" s="53">
        <f>IF(AC1285="","",IF(IFERROR(INDEX(ctaMoneda,MATCH(AC1285,ctaNombre,0))&amp;"","DOP")="USD",T1285,S1285))</f>
        <v/>
      </c>
      <c r="AH1285" s="53">
        <f>IF(P1285="","",IF(AND(AD1285&lt;&gt;"",COUNTIFS(tcTipo,AD1285,tcLiq,"Sí")&gt;0),IF(OR(P1285="Gasto",P1285="Transferencia",P1285="Pago tarjeta"),-1,1)*S1285,0)+IF(AND(AE1285&lt;&gt;"",COUNTIFS(tcTipo,AE1285,tcLiq,"Sí")&gt;0),S1285,0))</f>
        <v/>
      </c>
      <c r="AI1285" s="52">
        <f>IF(OR(L1285="",P1285=""),"",IF(COUNTIFS(L$6:L1285,L1285,P$6:P1285,"?*")=1,MAX(AI$5:AI1284)+1,""))</f>
        <v/>
      </c>
    </row>
    <row r="1286">
      <c r="B1286" s="47" t="n"/>
      <c r="C1286" s="48" t="n"/>
      <c r="D1286" s="48" t="n"/>
      <c r="E1286" s="48" t="n"/>
      <c r="F1286" s="48" t="n"/>
      <c r="G1286" s="49" t="n"/>
      <c r="H1286" s="48" t="n"/>
      <c r="I1286" s="50" t="n"/>
      <c r="J1286" s="48" t="n"/>
      <c r="K1286" s="48" t="n"/>
      <c r="L1286" s="48" t="n"/>
      <c r="M1286" s="48" t="n"/>
      <c r="N1286" s="48" t="n"/>
      <c r="O1286" s="51">
        <f>IF(AND(B1286="",G1286="",C1286="",D1286="",J1286=""),"",IF(B1286="","⚠ Falta fecha",IF(G1286="","⚠ Falta monto",IF(Q1286="","⚠ Falta cuenta",IF(ISNA(MATCH(Q1286,ctaNombre,0)),"⚠ Cuenta no registrada",IF(AND(OR(P1286="Gasto",P1286="Reembolso"),D1286=""),"⚠ Falta categoría",IF(AND(D1286&lt;&gt;"",E1286&lt;&gt;"",ISNA(MATCH(D1286&amp;"|"&amp;E1286,catClave,0))),"⚠ Subcategoría no corresponde",IF(AND(OR(P1286="Transferencia",P1286="Pago tarjeta"),K1286=""),"⚠ Falta cuenta destino",IF(AND(K1286&lt;&gt;"",P1286&lt;&gt;"Transferencia",P1286&lt;&gt;"Pago tarjeta"),"⚠ Destino solo aplica a transferencias",IF(AND(K1286&lt;&gt;"",K1286=Q1286),"⚠ Origen igual a destino",IF(AND(K1286&lt;&gt;"",ISNA(MATCH(K1286,ctaNombre,0))),"⚠ Destino no registrado",IF(AND(P1286="Pago tarjeta",AE1286&lt;&gt;"Tarjeta de crédito"),"⚠ El destino debe ser tarjeta de crédito",IF(AND(P1286="Gasto",E1286="Depósitos y retiros"),"⚠ Usa tipo Transferencia",IF(AND(P1286="Resultado trading",AD1286&lt;&gt;"Cuenta de trading"),"⚠ Usa una cuenta de trading",IF(AND(G1286&lt;=0,P1286&lt;&gt;"Ajuste",P1286&lt;&gt;"Resultado trading"),"⚠ El monto debe ser positivo","✓")))))))))))))))</f>
        <v/>
      </c>
      <c r="P1286" s="52">
        <f>IF(OR(B1286="",G1286=""),"",IF(C1286="","Gasto",C1286))</f>
        <v/>
      </c>
      <c r="Q1286" s="52">
        <f>IF(P1286="","",IF(J1286&lt;&gt;"",J1286,CuentaPred&amp;""))</f>
        <v/>
      </c>
      <c r="R1286" s="52">
        <f>IF(P1286="","",IF(ISNUMBER(I1286),I1286,TasaUSD))</f>
        <v/>
      </c>
      <c r="S1286" s="53">
        <f>IF(P1286="","",IF(H1286="USD",G1286*R1286,G1286))</f>
        <v/>
      </c>
      <c r="T1286" s="53">
        <f>IF(P1286="","",IF(H1286="USD",G1286,IF(R1286&gt;0,G1286/R1286,0)))</f>
        <v/>
      </c>
      <c r="U1286" s="53">
        <f>IF(P1286="","",IF(P1286="Gasto",S1286,IF(P1286="Reembolso",-S1286,0)))</f>
        <v/>
      </c>
      <c r="V1286" s="53">
        <f>IF(P1286="","",IF(P1286="Ingreso",S1286,0))</f>
        <v/>
      </c>
      <c r="W1286" s="53">
        <f>IF(P1286="","",IF(P1286="Resultado trading",S1286,0))</f>
        <v/>
      </c>
      <c r="X1286" s="52">
        <f>IF(OR(P1286="Gasto",P1286="Reembolso"),IF(M1286&lt;&gt;"",M1286,IFERROR(INDEX(catClasif,MATCH(D1286&amp;"|"&amp;E1286,catClave,0))&amp;"","Variable")),"")</f>
        <v/>
      </c>
      <c r="Y1286" s="52">
        <f>IF(P1286="","",IFERROR(INDEX(catGrupo,MATCH(D1286&amp;"|"&amp;E1286,catClave,0))&amp;"",""))</f>
        <v/>
      </c>
      <c r="Z1286" s="52">
        <f>IF(P1286="","",WEEKDAY(B1286,2))</f>
        <v/>
      </c>
      <c r="AA1286" s="52">
        <f>IF(P1286="","",IF(AND(P1286="Gasto",X1286="Variable",D1286&lt;&gt;catTrading,S1286&gt;0,S1286&lt;=Umbral),1,0))</f>
        <v/>
      </c>
      <c r="AB1286" s="52">
        <f>IF(OR(P1286="",Q1286=""),"",IFERROR(IF(INDEX(ctaVinc,MATCH(Q1286,ctaNombre,0))&amp;""&lt;&gt;"",INDEX(ctaVinc,MATCH(Q1286,ctaNombre,0))&amp;"",Q1286),Q1286))</f>
        <v/>
      </c>
      <c r="AC1286" s="52">
        <f>IF(OR(K1286="",AND(P1286&lt;&gt;"Transferencia",P1286&lt;&gt;"Pago tarjeta")),"",IFERROR(IF(INDEX(ctaVinc,MATCH(K1286,ctaNombre,0))&amp;""&lt;&gt;"",INDEX(ctaVinc,MATCH(K1286,ctaNombre,0))&amp;"",K1286),K1286))</f>
        <v/>
      </c>
      <c r="AD1286" s="52">
        <f>IF(AB1286="","",IFERROR(INDEX(ctaTipo,MATCH(AB1286,ctaNombre,0))&amp;"",""))</f>
        <v/>
      </c>
      <c r="AE1286" s="52">
        <f>IF(AC1286="","",IFERROR(INDEX(ctaTipo,MATCH(AC1286,ctaNombre,0))&amp;"",""))</f>
        <v/>
      </c>
      <c r="AF1286" s="53">
        <f>IF(OR(P1286="",AB1286=""),"",IF(OR(P1286="Gasto",P1286="Transferencia",P1286="Pago tarjeta"),-1,1)*IF(IFERROR(INDEX(ctaMoneda,MATCH(AB1286,ctaNombre,0))&amp;"","DOP")="USD",T1286,S1286))</f>
        <v/>
      </c>
      <c r="AG1286" s="53">
        <f>IF(AC1286="","",IF(IFERROR(INDEX(ctaMoneda,MATCH(AC1286,ctaNombre,0))&amp;"","DOP")="USD",T1286,S1286))</f>
        <v/>
      </c>
      <c r="AH1286" s="53">
        <f>IF(P1286="","",IF(AND(AD1286&lt;&gt;"",COUNTIFS(tcTipo,AD1286,tcLiq,"Sí")&gt;0),IF(OR(P1286="Gasto",P1286="Transferencia",P1286="Pago tarjeta"),-1,1)*S1286,0)+IF(AND(AE1286&lt;&gt;"",COUNTIFS(tcTipo,AE1286,tcLiq,"Sí")&gt;0),S1286,0))</f>
        <v/>
      </c>
      <c r="AI1286" s="52">
        <f>IF(OR(L1286="",P1286=""),"",IF(COUNTIFS(L$6:L1286,L1286,P$6:P1286,"?*")=1,MAX(AI$5:AI1285)+1,""))</f>
        <v/>
      </c>
    </row>
    <row r="1287">
      <c r="B1287" s="47" t="n"/>
      <c r="C1287" s="48" t="n"/>
      <c r="D1287" s="48" t="n"/>
      <c r="E1287" s="48" t="n"/>
      <c r="F1287" s="48" t="n"/>
      <c r="G1287" s="49" t="n"/>
      <c r="H1287" s="48" t="n"/>
      <c r="I1287" s="50" t="n"/>
      <c r="J1287" s="48" t="n"/>
      <c r="K1287" s="48" t="n"/>
      <c r="L1287" s="48" t="n"/>
      <c r="M1287" s="48" t="n"/>
      <c r="N1287" s="48" t="n"/>
      <c r="O1287" s="51">
        <f>IF(AND(B1287="",G1287="",C1287="",D1287="",J1287=""),"",IF(B1287="","⚠ Falta fecha",IF(G1287="","⚠ Falta monto",IF(Q1287="","⚠ Falta cuenta",IF(ISNA(MATCH(Q1287,ctaNombre,0)),"⚠ Cuenta no registrada",IF(AND(OR(P1287="Gasto",P1287="Reembolso"),D1287=""),"⚠ Falta categoría",IF(AND(D1287&lt;&gt;"",E1287&lt;&gt;"",ISNA(MATCH(D1287&amp;"|"&amp;E1287,catClave,0))),"⚠ Subcategoría no corresponde",IF(AND(OR(P1287="Transferencia",P1287="Pago tarjeta"),K1287=""),"⚠ Falta cuenta destino",IF(AND(K1287&lt;&gt;"",P1287&lt;&gt;"Transferencia",P1287&lt;&gt;"Pago tarjeta"),"⚠ Destino solo aplica a transferencias",IF(AND(K1287&lt;&gt;"",K1287=Q1287),"⚠ Origen igual a destino",IF(AND(K1287&lt;&gt;"",ISNA(MATCH(K1287,ctaNombre,0))),"⚠ Destino no registrado",IF(AND(P1287="Pago tarjeta",AE1287&lt;&gt;"Tarjeta de crédito"),"⚠ El destino debe ser tarjeta de crédito",IF(AND(P1287="Gasto",E1287="Depósitos y retiros"),"⚠ Usa tipo Transferencia",IF(AND(P1287="Resultado trading",AD1287&lt;&gt;"Cuenta de trading"),"⚠ Usa una cuenta de trading",IF(AND(G1287&lt;=0,P1287&lt;&gt;"Ajuste",P1287&lt;&gt;"Resultado trading"),"⚠ El monto debe ser positivo","✓")))))))))))))))</f>
        <v/>
      </c>
      <c r="P1287" s="52">
        <f>IF(OR(B1287="",G1287=""),"",IF(C1287="","Gasto",C1287))</f>
        <v/>
      </c>
      <c r="Q1287" s="52">
        <f>IF(P1287="","",IF(J1287&lt;&gt;"",J1287,CuentaPred&amp;""))</f>
        <v/>
      </c>
      <c r="R1287" s="52">
        <f>IF(P1287="","",IF(ISNUMBER(I1287),I1287,TasaUSD))</f>
        <v/>
      </c>
      <c r="S1287" s="53">
        <f>IF(P1287="","",IF(H1287="USD",G1287*R1287,G1287))</f>
        <v/>
      </c>
      <c r="T1287" s="53">
        <f>IF(P1287="","",IF(H1287="USD",G1287,IF(R1287&gt;0,G1287/R1287,0)))</f>
        <v/>
      </c>
      <c r="U1287" s="53">
        <f>IF(P1287="","",IF(P1287="Gasto",S1287,IF(P1287="Reembolso",-S1287,0)))</f>
        <v/>
      </c>
      <c r="V1287" s="53">
        <f>IF(P1287="","",IF(P1287="Ingreso",S1287,0))</f>
        <v/>
      </c>
      <c r="W1287" s="53">
        <f>IF(P1287="","",IF(P1287="Resultado trading",S1287,0))</f>
        <v/>
      </c>
      <c r="X1287" s="52">
        <f>IF(OR(P1287="Gasto",P1287="Reembolso"),IF(M1287&lt;&gt;"",M1287,IFERROR(INDEX(catClasif,MATCH(D1287&amp;"|"&amp;E1287,catClave,0))&amp;"","Variable")),"")</f>
        <v/>
      </c>
      <c r="Y1287" s="52">
        <f>IF(P1287="","",IFERROR(INDEX(catGrupo,MATCH(D1287&amp;"|"&amp;E1287,catClave,0))&amp;"",""))</f>
        <v/>
      </c>
      <c r="Z1287" s="52">
        <f>IF(P1287="","",WEEKDAY(B1287,2))</f>
        <v/>
      </c>
      <c r="AA1287" s="52">
        <f>IF(P1287="","",IF(AND(P1287="Gasto",X1287="Variable",D1287&lt;&gt;catTrading,S1287&gt;0,S1287&lt;=Umbral),1,0))</f>
        <v/>
      </c>
      <c r="AB1287" s="52">
        <f>IF(OR(P1287="",Q1287=""),"",IFERROR(IF(INDEX(ctaVinc,MATCH(Q1287,ctaNombre,0))&amp;""&lt;&gt;"",INDEX(ctaVinc,MATCH(Q1287,ctaNombre,0))&amp;"",Q1287),Q1287))</f>
        <v/>
      </c>
      <c r="AC1287" s="52">
        <f>IF(OR(K1287="",AND(P1287&lt;&gt;"Transferencia",P1287&lt;&gt;"Pago tarjeta")),"",IFERROR(IF(INDEX(ctaVinc,MATCH(K1287,ctaNombre,0))&amp;""&lt;&gt;"",INDEX(ctaVinc,MATCH(K1287,ctaNombre,0))&amp;"",K1287),K1287))</f>
        <v/>
      </c>
      <c r="AD1287" s="52">
        <f>IF(AB1287="","",IFERROR(INDEX(ctaTipo,MATCH(AB1287,ctaNombre,0))&amp;"",""))</f>
        <v/>
      </c>
      <c r="AE1287" s="52">
        <f>IF(AC1287="","",IFERROR(INDEX(ctaTipo,MATCH(AC1287,ctaNombre,0))&amp;"",""))</f>
        <v/>
      </c>
      <c r="AF1287" s="53">
        <f>IF(OR(P1287="",AB1287=""),"",IF(OR(P1287="Gasto",P1287="Transferencia",P1287="Pago tarjeta"),-1,1)*IF(IFERROR(INDEX(ctaMoneda,MATCH(AB1287,ctaNombre,0))&amp;"","DOP")="USD",T1287,S1287))</f>
        <v/>
      </c>
      <c r="AG1287" s="53">
        <f>IF(AC1287="","",IF(IFERROR(INDEX(ctaMoneda,MATCH(AC1287,ctaNombre,0))&amp;"","DOP")="USD",T1287,S1287))</f>
        <v/>
      </c>
      <c r="AH1287" s="53">
        <f>IF(P1287="","",IF(AND(AD1287&lt;&gt;"",COUNTIFS(tcTipo,AD1287,tcLiq,"Sí")&gt;0),IF(OR(P1287="Gasto",P1287="Transferencia",P1287="Pago tarjeta"),-1,1)*S1287,0)+IF(AND(AE1287&lt;&gt;"",COUNTIFS(tcTipo,AE1287,tcLiq,"Sí")&gt;0),S1287,0))</f>
        <v/>
      </c>
      <c r="AI1287" s="52">
        <f>IF(OR(L1287="",P1287=""),"",IF(COUNTIFS(L$6:L1287,L1287,P$6:P1287,"?*")=1,MAX(AI$5:AI1286)+1,""))</f>
        <v/>
      </c>
    </row>
    <row r="1288">
      <c r="B1288" s="47" t="n"/>
      <c r="C1288" s="48" t="n"/>
      <c r="D1288" s="48" t="n"/>
      <c r="E1288" s="48" t="n"/>
      <c r="F1288" s="48" t="n"/>
      <c r="G1288" s="49" t="n"/>
      <c r="H1288" s="48" t="n"/>
      <c r="I1288" s="50" t="n"/>
      <c r="J1288" s="48" t="n"/>
      <c r="K1288" s="48" t="n"/>
      <c r="L1288" s="48" t="n"/>
      <c r="M1288" s="48" t="n"/>
      <c r="N1288" s="48" t="n"/>
      <c r="O1288" s="51">
        <f>IF(AND(B1288="",G1288="",C1288="",D1288="",J1288=""),"",IF(B1288="","⚠ Falta fecha",IF(G1288="","⚠ Falta monto",IF(Q1288="","⚠ Falta cuenta",IF(ISNA(MATCH(Q1288,ctaNombre,0)),"⚠ Cuenta no registrada",IF(AND(OR(P1288="Gasto",P1288="Reembolso"),D1288=""),"⚠ Falta categoría",IF(AND(D1288&lt;&gt;"",E1288&lt;&gt;"",ISNA(MATCH(D1288&amp;"|"&amp;E1288,catClave,0))),"⚠ Subcategoría no corresponde",IF(AND(OR(P1288="Transferencia",P1288="Pago tarjeta"),K1288=""),"⚠ Falta cuenta destino",IF(AND(K1288&lt;&gt;"",P1288&lt;&gt;"Transferencia",P1288&lt;&gt;"Pago tarjeta"),"⚠ Destino solo aplica a transferencias",IF(AND(K1288&lt;&gt;"",K1288=Q1288),"⚠ Origen igual a destino",IF(AND(K1288&lt;&gt;"",ISNA(MATCH(K1288,ctaNombre,0))),"⚠ Destino no registrado",IF(AND(P1288="Pago tarjeta",AE1288&lt;&gt;"Tarjeta de crédito"),"⚠ El destino debe ser tarjeta de crédito",IF(AND(P1288="Gasto",E1288="Depósitos y retiros"),"⚠ Usa tipo Transferencia",IF(AND(P1288="Resultado trading",AD1288&lt;&gt;"Cuenta de trading"),"⚠ Usa una cuenta de trading",IF(AND(G1288&lt;=0,P1288&lt;&gt;"Ajuste",P1288&lt;&gt;"Resultado trading"),"⚠ El monto debe ser positivo","✓")))))))))))))))</f>
        <v/>
      </c>
      <c r="P1288" s="52">
        <f>IF(OR(B1288="",G1288=""),"",IF(C1288="","Gasto",C1288))</f>
        <v/>
      </c>
      <c r="Q1288" s="52">
        <f>IF(P1288="","",IF(J1288&lt;&gt;"",J1288,CuentaPred&amp;""))</f>
        <v/>
      </c>
      <c r="R1288" s="52">
        <f>IF(P1288="","",IF(ISNUMBER(I1288),I1288,TasaUSD))</f>
        <v/>
      </c>
      <c r="S1288" s="53">
        <f>IF(P1288="","",IF(H1288="USD",G1288*R1288,G1288))</f>
        <v/>
      </c>
      <c r="T1288" s="53">
        <f>IF(P1288="","",IF(H1288="USD",G1288,IF(R1288&gt;0,G1288/R1288,0)))</f>
        <v/>
      </c>
      <c r="U1288" s="53">
        <f>IF(P1288="","",IF(P1288="Gasto",S1288,IF(P1288="Reembolso",-S1288,0)))</f>
        <v/>
      </c>
      <c r="V1288" s="53">
        <f>IF(P1288="","",IF(P1288="Ingreso",S1288,0))</f>
        <v/>
      </c>
      <c r="W1288" s="53">
        <f>IF(P1288="","",IF(P1288="Resultado trading",S1288,0))</f>
        <v/>
      </c>
      <c r="X1288" s="52">
        <f>IF(OR(P1288="Gasto",P1288="Reembolso"),IF(M1288&lt;&gt;"",M1288,IFERROR(INDEX(catClasif,MATCH(D1288&amp;"|"&amp;E1288,catClave,0))&amp;"","Variable")),"")</f>
        <v/>
      </c>
      <c r="Y1288" s="52">
        <f>IF(P1288="","",IFERROR(INDEX(catGrupo,MATCH(D1288&amp;"|"&amp;E1288,catClave,0))&amp;"",""))</f>
        <v/>
      </c>
      <c r="Z1288" s="52">
        <f>IF(P1288="","",WEEKDAY(B1288,2))</f>
        <v/>
      </c>
      <c r="AA1288" s="52">
        <f>IF(P1288="","",IF(AND(P1288="Gasto",X1288="Variable",D1288&lt;&gt;catTrading,S1288&gt;0,S1288&lt;=Umbral),1,0))</f>
        <v/>
      </c>
      <c r="AB1288" s="52">
        <f>IF(OR(P1288="",Q1288=""),"",IFERROR(IF(INDEX(ctaVinc,MATCH(Q1288,ctaNombre,0))&amp;""&lt;&gt;"",INDEX(ctaVinc,MATCH(Q1288,ctaNombre,0))&amp;"",Q1288),Q1288))</f>
        <v/>
      </c>
      <c r="AC1288" s="52">
        <f>IF(OR(K1288="",AND(P1288&lt;&gt;"Transferencia",P1288&lt;&gt;"Pago tarjeta")),"",IFERROR(IF(INDEX(ctaVinc,MATCH(K1288,ctaNombre,0))&amp;""&lt;&gt;"",INDEX(ctaVinc,MATCH(K1288,ctaNombre,0))&amp;"",K1288),K1288))</f>
        <v/>
      </c>
      <c r="AD1288" s="52">
        <f>IF(AB1288="","",IFERROR(INDEX(ctaTipo,MATCH(AB1288,ctaNombre,0))&amp;"",""))</f>
        <v/>
      </c>
      <c r="AE1288" s="52">
        <f>IF(AC1288="","",IFERROR(INDEX(ctaTipo,MATCH(AC1288,ctaNombre,0))&amp;"",""))</f>
        <v/>
      </c>
      <c r="AF1288" s="53">
        <f>IF(OR(P1288="",AB1288=""),"",IF(OR(P1288="Gasto",P1288="Transferencia",P1288="Pago tarjeta"),-1,1)*IF(IFERROR(INDEX(ctaMoneda,MATCH(AB1288,ctaNombre,0))&amp;"","DOP")="USD",T1288,S1288))</f>
        <v/>
      </c>
      <c r="AG1288" s="53">
        <f>IF(AC1288="","",IF(IFERROR(INDEX(ctaMoneda,MATCH(AC1288,ctaNombre,0))&amp;"","DOP")="USD",T1288,S1288))</f>
        <v/>
      </c>
      <c r="AH1288" s="53">
        <f>IF(P1288="","",IF(AND(AD1288&lt;&gt;"",COUNTIFS(tcTipo,AD1288,tcLiq,"Sí")&gt;0),IF(OR(P1288="Gasto",P1288="Transferencia",P1288="Pago tarjeta"),-1,1)*S1288,0)+IF(AND(AE1288&lt;&gt;"",COUNTIFS(tcTipo,AE1288,tcLiq,"Sí")&gt;0),S1288,0))</f>
        <v/>
      </c>
      <c r="AI1288" s="52">
        <f>IF(OR(L1288="",P1288=""),"",IF(COUNTIFS(L$6:L1288,L1288,P$6:P1288,"?*")=1,MAX(AI$5:AI1287)+1,""))</f>
        <v/>
      </c>
    </row>
    <row r="1289">
      <c r="B1289" s="47" t="n"/>
      <c r="C1289" s="48" t="n"/>
      <c r="D1289" s="48" t="n"/>
      <c r="E1289" s="48" t="n"/>
      <c r="F1289" s="48" t="n"/>
      <c r="G1289" s="49" t="n"/>
      <c r="H1289" s="48" t="n"/>
      <c r="I1289" s="50" t="n"/>
      <c r="J1289" s="48" t="n"/>
      <c r="K1289" s="48" t="n"/>
      <c r="L1289" s="48" t="n"/>
      <c r="M1289" s="48" t="n"/>
      <c r="N1289" s="48" t="n"/>
      <c r="O1289" s="51">
        <f>IF(AND(B1289="",G1289="",C1289="",D1289="",J1289=""),"",IF(B1289="","⚠ Falta fecha",IF(G1289="","⚠ Falta monto",IF(Q1289="","⚠ Falta cuenta",IF(ISNA(MATCH(Q1289,ctaNombre,0)),"⚠ Cuenta no registrada",IF(AND(OR(P1289="Gasto",P1289="Reembolso"),D1289=""),"⚠ Falta categoría",IF(AND(D1289&lt;&gt;"",E1289&lt;&gt;"",ISNA(MATCH(D1289&amp;"|"&amp;E1289,catClave,0))),"⚠ Subcategoría no corresponde",IF(AND(OR(P1289="Transferencia",P1289="Pago tarjeta"),K1289=""),"⚠ Falta cuenta destino",IF(AND(K1289&lt;&gt;"",P1289&lt;&gt;"Transferencia",P1289&lt;&gt;"Pago tarjeta"),"⚠ Destino solo aplica a transferencias",IF(AND(K1289&lt;&gt;"",K1289=Q1289),"⚠ Origen igual a destino",IF(AND(K1289&lt;&gt;"",ISNA(MATCH(K1289,ctaNombre,0))),"⚠ Destino no registrado",IF(AND(P1289="Pago tarjeta",AE1289&lt;&gt;"Tarjeta de crédito"),"⚠ El destino debe ser tarjeta de crédito",IF(AND(P1289="Gasto",E1289="Depósitos y retiros"),"⚠ Usa tipo Transferencia",IF(AND(P1289="Resultado trading",AD1289&lt;&gt;"Cuenta de trading"),"⚠ Usa una cuenta de trading",IF(AND(G1289&lt;=0,P1289&lt;&gt;"Ajuste",P1289&lt;&gt;"Resultado trading"),"⚠ El monto debe ser positivo","✓")))))))))))))))</f>
        <v/>
      </c>
      <c r="P1289" s="52">
        <f>IF(OR(B1289="",G1289=""),"",IF(C1289="","Gasto",C1289))</f>
        <v/>
      </c>
      <c r="Q1289" s="52">
        <f>IF(P1289="","",IF(J1289&lt;&gt;"",J1289,CuentaPred&amp;""))</f>
        <v/>
      </c>
      <c r="R1289" s="52">
        <f>IF(P1289="","",IF(ISNUMBER(I1289),I1289,TasaUSD))</f>
        <v/>
      </c>
      <c r="S1289" s="53">
        <f>IF(P1289="","",IF(H1289="USD",G1289*R1289,G1289))</f>
        <v/>
      </c>
      <c r="T1289" s="53">
        <f>IF(P1289="","",IF(H1289="USD",G1289,IF(R1289&gt;0,G1289/R1289,0)))</f>
        <v/>
      </c>
      <c r="U1289" s="53">
        <f>IF(P1289="","",IF(P1289="Gasto",S1289,IF(P1289="Reembolso",-S1289,0)))</f>
        <v/>
      </c>
      <c r="V1289" s="53">
        <f>IF(P1289="","",IF(P1289="Ingreso",S1289,0))</f>
        <v/>
      </c>
      <c r="W1289" s="53">
        <f>IF(P1289="","",IF(P1289="Resultado trading",S1289,0))</f>
        <v/>
      </c>
      <c r="X1289" s="52">
        <f>IF(OR(P1289="Gasto",P1289="Reembolso"),IF(M1289&lt;&gt;"",M1289,IFERROR(INDEX(catClasif,MATCH(D1289&amp;"|"&amp;E1289,catClave,0))&amp;"","Variable")),"")</f>
        <v/>
      </c>
      <c r="Y1289" s="52">
        <f>IF(P1289="","",IFERROR(INDEX(catGrupo,MATCH(D1289&amp;"|"&amp;E1289,catClave,0))&amp;"",""))</f>
        <v/>
      </c>
      <c r="Z1289" s="52">
        <f>IF(P1289="","",WEEKDAY(B1289,2))</f>
        <v/>
      </c>
      <c r="AA1289" s="52">
        <f>IF(P1289="","",IF(AND(P1289="Gasto",X1289="Variable",D1289&lt;&gt;catTrading,S1289&gt;0,S1289&lt;=Umbral),1,0))</f>
        <v/>
      </c>
      <c r="AB1289" s="52">
        <f>IF(OR(P1289="",Q1289=""),"",IFERROR(IF(INDEX(ctaVinc,MATCH(Q1289,ctaNombre,0))&amp;""&lt;&gt;"",INDEX(ctaVinc,MATCH(Q1289,ctaNombre,0))&amp;"",Q1289),Q1289))</f>
        <v/>
      </c>
      <c r="AC1289" s="52">
        <f>IF(OR(K1289="",AND(P1289&lt;&gt;"Transferencia",P1289&lt;&gt;"Pago tarjeta")),"",IFERROR(IF(INDEX(ctaVinc,MATCH(K1289,ctaNombre,0))&amp;""&lt;&gt;"",INDEX(ctaVinc,MATCH(K1289,ctaNombre,0))&amp;"",K1289),K1289))</f>
        <v/>
      </c>
      <c r="AD1289" s="52">
        <f>IF(AB1289="","",IFERROR(INDEX(ctaTipo,MATCH(AB1289,ctaNombre,0))&amp;"",""))</f>
        <v/>
      </c>
      <c r="AE1289" s="52">
        <f>IF(AC1289="","",IFERROR(INDEX(ctaTipo,MATCH(AC1289,ctaNombre,0))&amp;"",""))</f>
        <v/>
      </c>
      <c r="AF1289" s="53">
        <f>IF(OR(P1289="",AB1289=""),"",IF(OR(P1289="Gasto",P1289="Transferencia",P1289="Pago tarjeta"),-1,1)*IF(IFERROR(INDEX(ctaMoneda,MATCH(AB1289,ctaNombre,0))&amp;"","DOP")="USD",T1289,S1289))</f>
        <v/>
      </c>
      <c r="AG1289" s="53">
        <f>IF(AC1289="","",IF(IFERROR(INDEX(ctaMoneda,MATCH(AC1289,ctaNombre,0))&amp;"","DOP")="USD",T1289,S1289))</f>
        <v/>
      </c>
      <c r="AH1289" s="53">
        <f>IF(P1289="","",IF(AND(AD1289&lt;&gt;"",COUNTIFS(tcTipo,AD1289,tcLiq,"Sí")&gt;0),IF(OR(P1289="Gasto",P1289="Transferencia",P1289="Pago tarjeta"),-1,1)*S1289,0)+IF(AND(AE1289&lt;&gt;"",COUNTIFS(tcTipo,AE1289,tcLiq,"Sí")&gt;0),S1289,0))</f>
        <v/>
      </c>
      <c r="AI1289" s="52">
        <f>IF(OR(L1289="",P1289=""),"",IF(COUNTIFS(L$6:L1289,L1289,P$6:P1289,"?*")=1,MAX(AI$5:AI1288)+1,""))</f>
        <v/>
      </c>
    </row>
    <row r="1290">
      <c r="B1290" s="47" t="n"/>
      <c r="C1290" s="48" t="n"/>
      <c r="D1290" s="48" t="n"/>
      <c r="E1290" s="48" t="n"/>
      <c r="F1290" s="48" t="n"/>
      <c r="G1290" s="49" t="n"/>
      <c r="H1290" s="48" t="n"/>
      <c r="I1290" s="50" t="n"/>
      <c r="J1290" s="48" t="n"/>
      <c r="K1290" s="48" t="n"/>
      <c r="L1290" s="48" t="n"/>
      <c r="M1290" s="48" t="n"/>
      <c r="N1290" s="48" t="n"/>
      <c r="O1290" s="51">
        <f>IF(AND(B1290="",G1290="",C1290="",D1290="",J1290=""),"",IF(B1290="","⚠ Falta fecha",IF(G1290="","⚠ Falta monto",IF(Q1290="","⚠ Falta cuenta",IF(ISNA(MATCH(Q1290,ctaNombre,0)),"⚠ Cuenta no registrada",IF(AND(OR(P1290="Gasto",P1290="Reembolso"),D1290=""),"⚠ Falta categoría",IF(AND(D1290&lt;&gt;"",E1290&lt;&gt;"",ISNA(MATCH(D1290&amp;"|"&amp;E1290,catClave,0))),"⚠ Subcategoría no corresponde",IF(AND(OR(P1290="Transferencia",P1290="Pago tarjeta"),K1290=""),"⚠ Falta cuenta destino",IF(AND(K1290&lt;&gt;"",P1290&lt;&gt;"Transferencia",P1290&lt;&gt;"Pago tarjeta"),"⚠ Destino solo aplica a transferencias",IF(AND(K1290&lt;&gt;"",K1290=Q1290),"⚠ Origen igual a destino",IF(AND(K1290&lt;&gt;"",ISNA(MATCH(K1290,ctaNombre,0))),"⚠ Destino no registrado",IF(AND(P1290="Pago tarjeta",AE1290&lt;&gt;"Tarjeta de crédito"),"⚠ El destino debe ser tarjeta de crédito",IF(AND(P1290="Gasto",E1290="Depósitos y retiros"),"⚠ Usa tipo Transferencia",IF(AND(P1290="Resultado trading",AD1290&lt;&gt;"Cuenta de trading"),"⚠ Usa una cuenta de trading",IF(AND(G1290&lt;=0,P1290&lt;&gt;"Ajuste",P1290&lt;&gt;"Resultado trading"),"⚠ El monto debe ser positivo","✓")))))))))))))))</f>
        <v/>
      </c>
      <c r="P1290" s="52">
        <f>IF(OR(B1290="",G1290=""),"",IF(C1290="","Gasto",C1290))</f>
        <v/>
      </c>
      <c r="Q1290" s="52">
        <f>IF(P1290="","",IF(J1290&lt;&gt;"",J1290,CuentaPred&amp;""))</f>
        <v/>
      </c>
      <c r="R1290" s="52">
        <f>IF(P1290="","",IF(ISNUMBER(I1290),I1290,TasaUSD))</f>
        <v/>
      </c>
      <c r="S1290" s="53">
        <f>IF(P1290="","",IF(H1290="USD",G1290*R1290,G1290))</f>
        <v/>
      </c>
      <c r="T1290" s="53">
        <f>IF(P1290="","",IF(H1290="USD",G1290,IF(R1290&gt;0,G1290/R1290,0)))</f>
        <v/>
      </c>
      <c r="U1290" s="53">
        <f>IF(P1290="","",IF(P1290="Gasto",S1290,IF(P1290="Reembolso",-S1290,0)))</f>
        <v/>
      </c>
      <c r="V1290" s="53">
        <f>IF(P1290="","",IF(P1290="Ingreso",S1290,0))</f>
        <v/>
      </c>
      <c r="W1290" s="53">
        <f>IF(P1290="","",IF(P1290="Resultado trading",S1290,0))</f>
        <v/>
      </c>
      <c r="X1290" s="52">
        <f>IF(OR(P1290="Gasto",P1290="Reembolso"),IF(M1290&lt;&gt;"",M1290,IFERROR(INDEX(catClasif,MATCH(D1290&amp;"|"&amp;E1290,catClave,0))&amp;"","Variable")),"")</f>
        <v/>
      </c>
      <c r="Y1290" s="52">
        <f>IF(P1290="","",IFERROR(INDEX(catGrupo,MATCH(D1290&amp;"|"&amp;E1290,catClave,0))&amp;"",""))</f>
        <v/>
      </c>
      <c r="Z1290" s="52">
        <f>IF(P1290="","",WEEKDAY(B1290,2))</f>
        <v/>
      </c>
      <c r="AA1290" s="52">
        <f>IF(P1290="","",IF(AND(P1290="Gasto",X1290="Variable",D1290&lt;&gt;catTrading,S1290&gt;0,S1290&lt;=Umbral),1,0))</f>
        <v/>
      </c>
      <c r="AB1290" s="52">
        <f>IF(OR(P1290="",Q1290=""),"",IFERROR(IF(INDEX(ctaVinc,MATCH(Q1290,ctaNombre,0))&amp;""&lt;&gt;"",INDEX(ctaVinc,MATCH(Q1290,ctaNombre,0))&amp;"",Q1290),Q1290))</f>
        <v/>
      </c>
      <c r="AC1290" s="52">
        <f>IF(OR(K1290="",AND(P1290&lt;&gt;"Transferencia",P1290&lt;&gt;"Pago tarjeta")),"",IFERROR(IF(INDEX(ctaVinc,MATCH(K1290,ctaNombre,0))&amp;""&lt;&gt;"",INDEX(ctaVinc,MATCH(K1290,ctaNombre,0))&amp;"",K1290),K1290))</f>
        <v/>
      </c>
      <c r="AD1290" s="52">
        <f>IF(AB1290="","",IFERROR(INDEX(ctaTipo,MATCH(AB1290,ctaNombre,0))&amp;"",""))</f>
        <v/>
      </c>
      <c r="AE1290" s="52">
        <f>IF(AC1290="","",IFERROR(INDEX(ctaTipo,MATCH(AC1290,ctaNombre,0))&amp;"",""))</f>
        <v/>
      </c>
      <c r="AF1290" s="53">
        <f>IF(OR(P1290="",AB1290=""),"",IF(OR(P1290="Gasto",P1290="Transferencia",P1290="Pago tarjeta"),-1,1)*IF(IFERROR(INDEX(ctaMoneda,MATCH(AB1290,ctaNombre,0))&amp;"","DOP")="USD",T1290,S1290))</f>
        <v/>
      </c>
      <c r="AG1290" s="53">
        <f>IF(AC1290="","",IF(IFERROR(INDEX(ctaMoneda,MATCH(AC1290,ctaNombre,0))&amp;"","DOP")="USD",T1290,S1290))</f>
        <v/>
      </c>
      <c r="AH1290" s="53">
        <f>IF(P1290="","",IF(AND(AD1290&lt;&gt;"",COUNTIFS(tcTipo,AD1290,tcLiq,"Sí")&gt;0),IF(OR(P1290="Gasto",P1290="Transferencia",P1290="Pago tarjeta"),-1,1)*S1290,0)+IF(AND(AE1290&lt;&gt;"",COUNTIFS(tcTipo,AE1290,tcLiq,"Sí")&gt;0),S1290,0))</f>
        <v/>
      </c>
      <c r="AI1290" s="52">
        <f>IF(OR(L1290="",P1290=""),"",IF(COUNTIFS(L$6:L1290,L1290,P$6:P1290,"?*")=1,MAX(AI$5:AI1289)+1,""))</f>
        <v/>
      </c>
    </row>
    <row r="1291">
      <c r="B1291" s="47" t="n"/>
      <c r="C1291" s="48" t="n"/>
      <c r="D1291" s="48" t="n"/>
      <c r="E1291" s="48" t="n"/>
      <c r="F1291" s="48" t="n"/>
      <c r="G1291" s="49" t="n"/>
      <c r="H1291" s="48" t="n"/>
      <c r="I1291" s="50" t="n"/>
      <c r="J1291" s="48" t="n"/>
      <c r="K1291" s="48" t="n"/>
      <c r="L1291" s="48" t="n"/>
      <c r="M1291" s="48" t="n"/>
      <c r="N1291" s="48" t="n"/>
      <c r="O1291" s="51">
        <f>IF(AND(B1291="",G1291="",C1291="",D1291="",J1291=""),"",IF(B1291="","⚠ Falta fecha",IF(G1291="","⚠ Falta monto",IF(Q1291="","⚠ Falta cuenta",IF(ISNA(MATCH(Q1291,ctaNombre,0)),"⚠ Cuenta no registrada",IF(AND(OR(P1291="Gasto",P1291="Reembolso"),D1291=""),"⚠ Falta categoría",IF(AND(D1291&lt;&gt;"",E1291&lt;&gt;"",ISNA(MATCH(D1291&amp;"|"&amp;E1291,catClave,0))),"⚠ Subcategoría no corresponde",IF(AND(OR(P1291="Transferencia",P1291="Pago tarjeta"),K1291=""),"⚠ Falta cuenta destino",IF(AND(K1291&lt;&gt;"",P1291&lt;&gt;"Transferencia",P1291&lt;&gt;"Pago tarjeta"),"⚠ Destino solo aplica a transferencias",IF(AND(K1291&lt;&gt;"",K1291=Q1291),"⚠ Origen igual a destino",IF(AND(K1291&lt;&gt;"",ISNA(MATCH(K1291,ctaNombre,0))),"⚠ Destino no registrado",IF(AND(P1291="Pago tarjeta",AE1291&lt;&gt;"Tarjeta de crédito"),"⚠ El destino debe ser tarjeta de crédito",IF(AND(P1291="Gasto",E1291="Depósitos y retiros"),"⚠ Usa tipo Transferencia",IF(AND(P1291="Resultado trading",AD1291&lt;&gt;"Cuenta de trading"),"⚠ Usa una cuenta de trading",IF(AND(G1291&lt;=0,P1291&lt;&gt;"Ajuste",P1291&lt;&gt;"Resultado trading"),"⚠ El monto debe ser positivo","✓")))))))))))))))</f>
        <v/>
      </c>
      <c r="P1291" s="52">
        <f>IF(OR(B1291="",G1291=""),"",IF(C1291="","Gasto",C1291))</f>
        <v/>
      </c>
      <c r="Q1291" s="52">
        <f>IF(P1291="","",IF(J1291&lt;&gt;"",J1291,CuentaPred&amp;""))</f>
        <v/>
      </c>
      <c r="R1291" s="52">
        <f>IF(P1291="","",IF(ISNUMBER(I1291),I1291,TasaUSD))</f>
        <v/>
      </c>
      <c r="S1291" s="53">
        <f>IF(P1291="","",IF(H1291="USD",G1291*R1291,G1291))</f>
        <v/>
      </c>
      <c r="T1291" s="53">
        <f>IF(P1291="","",IF(H1291="USD",G1291,IF(R1291&gt;0,G1291/R1291,0)))</f>
        <v/>
      </c>
      <c r="U1291" s="53">
        <f>IF(P1291="","",IF(P1291="Gasto",S1291,IF(P1291="Reembolso",-S1291,0)))</f>
        <v/>
      </c>
      <c r="V1291" s="53">
        <f>IF(P1291="","",IF(P1291="Ingreso",S1291,0))</f>
        <v/>
      </c>
      <c r="W1291" s="53">
        <f>IF(P1291="","",IF(P1291="Resultado trading",S1291,0))</f>
        <v/>
      </c>
      <c r="X1291" s="52">
        <f>IF(OR(P1291="Gasto",P1291="Reembolso"),IF(M1291&lt;&gt;"",M1291,IFERROR(INDEX(catClasif,MATCH(D1291&amp;"|"&amp;E1291,catClave,0))&amp;"","Variable")),"")</f>
        <v/>
      </c>
      <c r="Y1291" s="52">
        <f>IF(P1291="","",IFERROR(INDEX(catGrupo,MATCH(D1291&amp;"|"&amp;E1291,catClave,0))&amp;"",""))</f>
        <v/>
      </c>
      <c r="Z1291" s="52">
        <f>IF(P1291="","",WEEKDAY(B1291,2))</f>
        <v/>
      </c>
      <c r="AA1291" s="52">
        <f>IF(P1291="","",IF(AND(P1291="Gasto",X1291="Variable",D1291&lt;&gt;catTrading,S1291&gt;0,S1291&lt;=Umbral),1,0))</f>
        <v/>
      </c>
      <c r="AB1291" s="52">
        <f>IF(OR(P1291="",Q1291=""),"",IFERROR(IF(INDEX(ctaVinc,MATCH(Q1291,ctaNombre,0))&amp;""&lt;&gt;"",INDEX(ctaVinc,MATCH(Q1291,ctaNombre,0))&amp;"",Q1291),Q1291))</f>
        <v/>
      </c>
      <c r="AC1291" s="52">
        <f>IF(OR(K1291="",AND(P1291&lt;&gt;"Transferencia",P1291&lt;&gt;"Pago tarjeta")),"",IFERROR(IF(INDEX(ctaVinc,MATCH(K1291,ctaNombre,0))&amp;""&lt;&gt;"",INDEX(ctaVinc,MATCH(K1291,ctaNombre,0))&amp;"",K1291),K1291))</f>
        <v/>
      </c>
      <c r="AD1291" s="52">
        <f>IF(AB1291="","",IFERROR(INDEX(ctaTipo,MATCH(AB1291,ctaNombre,0))&amp;"",""))</f>
        <v/>
      </c>
      <c r="AE1291" s="52">
        <f>IF(AC1291="","",IFERROR(INDEX(ctaTipo,MATCH(AC1291,ctaNombre,0))&amp;"",""))</f>
        <v/>
      </c>
      <c r="AF1291" s="53">
        <f>IF(OR(P1291="",AB1291=""),"",IF(OR(P1291="Gasto",P1291="Transferencia",P1291="Pago tarjeta"),-1,1)*IF(IFERROR(INDEX(ctaMoneda,MATCH(AB1291,ctaNombre,0))&amp;"","DOP")="USD",T1291,S1291))</f>
        <v/>
      </c>
      <c r="AG1291" s="53">
        <f>IF(AC1291="","",IF(IFERROR(INDEX(ctaMoneda,MATCH(AC1291,ctaNombre,0))&amp;"","DOP")="USD",T1291,S1291))</f>
        <v/>
      </c>
      <c r="AH1291" s="53">
        <f>IF(P1291="","",IF(AND(AD1291&lt;&gt;"",COUNTIFS(tcTipo,AD1291,tcLiq,"Sí")&gt;0),IF(OR(P1291="Gasto",P1291="Transferencia",P1291="Pago tarjeta"),-1,1)*S1291,0)+IF(AND(AE1291&lt;&gt;"",COUNTIFS(tcTipo,AE1291,tcLiq,"Sí")&gt;0),S1291,0))</f>
        <v/>
      </c>
      <c r="AI1291" s="52">
        <f>IF(OR(L1291="",P1291=""),"",IF(COUNTIFS(L$6:L1291,L1291,P$6:P1291,"?*")=1,MAX(AI$5:AI1290)+1,""))</f>
        <v/>
      </c>
    </row>
    <row r="1292">
      <c r="B1292" s="47" t="n"/>
      <c r="C1292" s="48" t="n"/>
      <c r="D1292" s="48" t="n"/>
      <c r="E1292" s="48" t="n"/>
      <c r="F1292" s="48" t="n"/>
      <c r="G1292" s="49" t="n"/>
      <c r="H1292" s="48" t="n"/>
      <c r="I1292" s="50" t="n"/>
      <c r="J1292" s="48" t="n"/>
      <c r="K1292" s="48" t="n"/>
      <c r="L1292" s="48" t="n"/>
      <c r="M1292" s="48" t="n"/>
      <c r="N1292" s="48" t="n"/>
      <c r="O1292" s="51">
        <f>IF(AND(B1292="",G1292="",C1292="",D1292="",J1292=""),"",IF(B1292="","⚠ Falta fecha",IF(G1292="","⚠ Falta monto",IF(Q1292="","⚠ Falta cuenta",IF(ISNA(MATCH(Q1292,ctaNombre,0)),"⚠ Cuenta no registrada",IF(AND(OR(P1292="Gasto",P1292="Reembolso"),D1292=""),"⚠ Falta categoría",IF(AND(D1292&lt;&gt;"",E1292&lt;&gt;"",ISNA(MATCH(D1292&amp;"|"&amp;E1292,catClave,0))),"⚠ Subcategoría no corresponde",IF(AND(OR(P1292="Transferencia",P1292="Pago tarjeta"),K1292=""),"⚠ Falta cuenta destino",IF(AND(K1292&lt;&gt;"",P1292&lt;&gt;"Transferencia",P1292&lt;&gt;"Pago tarjeta"),"⚠ Destino solo aplica a transferencias",IF(AND(K1292&lt;&gt;"",K1292=Q1292),"⚠ Origen igual a destino",IF(AND(K1292&lt;&gt;"",ISNA(MATCH(K1292,ctaNombre,0))),"⚠ Destino no registrado",IF(AND(P1292="Pago tarjeta",AE1292&lt;&gt;"Tarjeta de crédito"),"⚠ El destino debe ser tarjeta de crédito",IF(AND(P1292="Gasto",E1292="Depósitos y retiros"),"⚠ Usa tipo Transferencia",IF(AND(P1292="Resultado trading",AD1292&lt;&gt;"Cuenta de trading"),"⚠ Usa una cuenta de trading",IF(AND(G1292&lt;=0,P1292&lt;&gt;"Ajuste",P1292&lt;&gt;"Resultado trading"),"⚠ El monto debe ser positivo","✓")))))))))))))))</f>
        <v/>
      </c>
      <c r="P1292" s="52">
        <f>IF(OR(B1292="",G1292=""),"",IF(C1292="","Gasto",C1292))</f>
        <v/>
      </c>
      <c r="Q1292" s="52">
        <f>IF(P1292="","",IF(J1292&lt;&gt;"",J1292,CuentaPred&amp;""))</f>
        <v/>
      </c>
      <c r="R1292" s="52">
        <f>IF(P1292="","",IF(ISNUMBER(I1292),I1292,TasaUSD))</f>
        <v/>
      </c>
      <c r="S1292" s="53">
        <f>IF(P1292="","",IF(H1292="USD",G1292*R1292,G1292))</f>
        <v/>
      </c>
      <c r="T1292" s="53">
        <f>IF(P1292="","",IF(H1292="USD",G1292,IF(R1292&gt;0,G1292/R1292,0)))</f>
        <v/>
      </c>
      <c r="U1292" s="53">
        <f>IF(P1292="","",IF(P1292="Gasto",S1292,IF(P1292="Reembolso",-S1292,0)))</f>
        <v/>
      </c>
      <c r="V1292" s="53">
        <f>IF(P1292="","",IF(P1292="Ingreso",S1292,0))</f>
        <v/>
      </c>
      <c r="W1292" s="53">
        <f>IF(P1292="","",IF(P1292="Resultado trading",S1292,0))</f>
        <v/>
      </c>
      <c r="X1292" s="52">
        <f>IF(OR(P1292="Gasto",P1292="Reembolso"),IF(M1292&lt;&gt;"",M1292,IFERROR(INDEX(catClasif,MATCH(D1292&amp;"|"&amp;E1292,catClave,0))&amp;"","Variable")),"")</f>
        <v/>
      </c>
      <c r="Y1292" s="52">
        <f>IF(P1292="","",IFERROR(INDEX(catGrupo,MATCH(D1292&amp;"|"&amp;E1292,catClave,0))&amp;"",""))</f>
        <v/>
      </c>
      <c r="Z1292" s="52">
        <f>IF(P1292="","",WEEKDAY(B1292,2))</f>
        <v/>
      </c>
      <c r="AA1292" s="52">
        <f>IF(P1292="","",IF(AND(P1292="Gasto",X1292="Variable",D1292&lt;&gt;catTrading,S1292&gt;0,S1292&lt;=Umbral),1,0))</f>
        <v/>
      </c>
      <c r="AB1292" s="52">
        <f>IF(OR(P1292="",Q1292=""),"",IFERROR(IF(INDEX(ctaVinc,MATCH(Q1292,ctaNombre,0))&amp;""&lt;&gt;"",INDEX(ctaVinc,MATCH(Q1292,ctaNombre,0))&amp;"",Q1292),Q1292))</f>
        <v/>
      </c>
      <c r="AC1292" s="52">
        <f>IF(OR(K1292="",AND(P1292&lt;&gt;"Transferencia",P1292&lt;&gt;"Pago tarjeta")),"",IFERROR(IF(INDEX(ctaVinc,MATCH(K1292,ctaNombre,0))&amp;""&lt;&gt;"",INDEX(ctaVinc,MATCH(K1292,ctaNombre,0))&amp;"",K1292),K1292))</f>
        <v/>
      </c>
      <c r="AD1292" s="52">
        <f>IF(AB1292="","",IFERROR(INDEX(ctaTipo,MATCH(AB1292,ctaNombre,0))&amp;"",""))</f>
        <v/>
      </c>
      <c r="AE1292" s="52">
        <f>IF(AC1292="","",IFERROR(INDEX(ctaTipo,MATCH(AC1292,ctaNombre,0))&amp;"",""))</f>
        <v/>
      </c>
      <c r="AF1292" s="53">
        <f>IF(OR(P1292="",AB1292=""),"",IF(OR(P1292="Gasto",P1292="Transferencia",P1292="Pago tarjeta"),-1,1)*IF(IFERROR(INDEX(ctaMoneda,MATCH(AB1292,ctaNombre,0))&amp;"","DOP")="USD",T1292,S1292))</f>
        <v/>
      </c>
      <c r="AG1292" s="53">
        <f>IF(AC1292="","",IF(IFERROR(INDEX(ctaMoneda,MATCH(AC1292,ctaNombre,0))&amp;"","DOP")="USD",T1292,S1292))</f>
        <v/>
      </c>
      <c r="AH1292" s="53">
        <f>IF(P1292="","",IF(AND(AD1292&lt;&gt;"",COUNTIFS(tcTipo,AD1292,tcLiq,"Sí")&gt;0),IF(OR(P1292="Gasto",P1292="Transferencia",P1292="Pago tarjeta"),-1,1)*S1292,0)+IF(AND(AE1292&lt;&gt;"",COUNTIFS(tcTipo,AE1292,tcLiq,"Sí")&gt;0),S1292,0))</f>
        <v/>
      </c>
      <c r="AI1292" s="52">
        <f>IF(OR(L1292="",P1292=""),"",IF(COUNTIFS(L$6:L1292,L1292,P$6:P1292,"?*")=1,MAX(AI$5:AI1291)+1,""))</f>
        <v/>
      </c>
    </row>
    <row r="1293">
      <c r="B1293" s="47" t="n"/>
      <c r="C1293" s="48" t="n"/>
      <c r="D1293" s="48" t="n"/>
      <c r="E1293" s="48" t="n"/>
      <c r="F1293" s="48" t="n"/>
      <c r="G1293" s="49" t="n"/>
      <c r="H1293" s="48" t="n"/>
      <c r="I1293" s="50" t="n"/>
      <c r="J1293" s="48" t="n"/>
      <c r="K1293" s="48" t="n"/>
      <c r="L1293" s="48" t="n"/>
      <c r="M1293" s="48" t="n"/>
      <c r="N1293" s="48" t="n"/>
      <c r="O1293" s="51">
        <f>IF(AND(B1293="",G1293="",C1293="",D1293="",J1293=""),"",IF(B1293="","⚠ Falta fecha",IF(G1293="","⚠ Falta monto",IF(Q1293="","⚠ Falta cuenta",IF(ISNA(MATCH(Q1293,ctaNombre,0)),"⚠ Cuenta no registrada",IF(AND(OR(P1293="Gasto",P1293="Reembolso"),D1293=""),"⚠ Falta categoría",IF(AND(D1293&lt;&gt;"",E1293&lt;&gt;"",ISNA(MATCH(D1293&amp;"|"&amp;E1293,catClave,0))),"⚠ Subcategoría no corresponde",IF(AND(OR(P1293="Transferencia",P1293="Pago tarjeta"),K1293=""),"⚠ Falta cuenta destino",IF(AND(K1293&lt;&gt;"",P1293&lt;&gt;"Transferencia",P1293&lt;&gt;"Pago tarjeta"),"⚠ Destino solo aplica a transferencias",IF(AND(K1293&lt;&gt;"",K1293=Q1293),"⚠ Origen igual a destino",IF(AND(K1293&lt;&gt;"",ISNA(MATCH(K1293,ctaNombre,0))),"⚠ Destino no registrado",IF(AND(P1293="Pago tarjeta",AE1293&lt;&gt;"Tarjeta de crédito"),"⚠ El destino debe ser tarjeta de crédito",IF(AND(P1293="Gasto",E1293="Depósitos y retiros"),"⚠ Usa tipo Transferencia",IF(AND(P1293="Resultado trading",AD1293&lt;&gt;"Cuenta de trading"),"⚠ Usa una cuenta de trading",IF(AND(G1293&lt;=0,P1293&lt;&gt;"Ajuste",P1293&lt;&gt;"Resultado trading"),"⚠ El monto debe ser positivo","✓")))))))))))))))</f>
        <v/>
      </c>
      <c r="P1293" s="52">
        <f>IF(OR(B1293="",G1293=""),"",IF(C1293="","Gasto",C1293))</f>
        <v/>
      </c>
      <c r="Q1293" s="52">
        <f>IF(P1293="","",IF(J1293&lt;&gt;"",J1293,CuentaPred&amp;""))</f>
        <v/>
      </c>
      <c r="R1293" s="52">
        <f>IF(P1293="","",IF(ISNUMBER(I1293),I1293,TasaUSD))</f>
        <v/>
      </c>
      <c r="S1293" s="53">
        <f>IF(P1293="","",IF(H1293="USD",G1293*R1293,G1293))</f>
        <v/>
      </c>
      <c r="T1293" s="53">
        <f>IF(P1293="","",IF(H1293="USD",G1293,IF(R1293&gt;0,G1293/R1293,0)))</f>
        <v/>
      </c>
      <c r="U1293" s="53">
        <f>IF(P1293="","",IF(P1293="Gasto",S1293,IF(P1293="Reembolso",-S1293,0)))</f>
        <v/>
      </c>
      <c r="V1293" s="53">
        <f>IF(P1293="","",IF(P1293="Ingreso",S1293,0))</f>
        <v/>
      </c>
      <c r="W1293" s="53">
        <f>IF(P1293="","",IF(P1293="Resultado trading",S1293,0))</f>
        <v/>
      </c>
      <c r="X1293" s="52">
        <f>IF(OR(P1293="Gasto",P1293="Reembolso"),IF(M1293&lt;&gt;"",M1293,IFERROR(INDEX(catClasif,MATCH(D1293&amp;"|"&amp;E1293,catClave,0))&amp;"","Variable")),"")</f>
        <v/>
      </c>
      <c r="Y1293" s="52">
        <f>IF(P1293="","",IFERROR(INDEX(catGrupo,MATCH(D1293&amp;"|"&amp;E1293,catClave,0))&amp;"",""))</f>
        <v/>
      </c>
      <c r="Z1293" s="52">
        <f>IF(P1293="","",WEEKDAY(B1293,2))</f>
        <v/>
      </c>
      <c r="AA1293" s="52">
        <f>IF(P1293="","",IF(AND(P1293="Gasto",X1293="Variable",D1293&lt;&gt;catTrading,S1293&gt;0,S1293&lt;=Umbral),1,0))</f>
        <v/>
      </c>
      <c r="AB1293" s="52">
        <f>IF(OR(P1293="",Q1293=""),"",IFERROR(IF(INDEX(ctaVinc,MATCH(Q1293,ctaNombre,0))&amp;""&lt;&gt;"",INDEX(ctaVinc,MATCH(Q1293,ctaNombre,0))&amp;"",Q1293),Q1293))</f>
        <v/>
      </c>
      <c r="AC1293" s="52">
        <f>IF(OR(K1293="",AND(P1293&lt;&gt;"Transferencia",P1293&lt;&gt;"Pago tarjeta")),"",IFERROR(IF(INDEX(ctaVinc,MATCH(K1293,ctaNombre,0))&amp;""&lt;&gt;"",INDEX(ctaVinc,MATCH(K1293,ctaNombre,0))&amp;"",K1293),K1293))</f>
        <v/>
      </c>
      <c r="AD1293" s="52">
        <f>IF(AB1293="","",IFERROR(INDEX(ctaTipo,MATCH(AB1293,ctaNombre,0))&amp;"",""))</f>
        <v/>
      </c>
      <c r="AE1293" s="52">
        <f>IF(AC1293="","",IFERROR(INDEX(ctaTipo,MATCH(AC1293,ctaNombre,0))&amp;"",""))</f>
        <v/>
      </c>
      <c r="AF1293" s="53">
        <f>IF(OR(P1293="",AB1293=""),"",IF(OR(P1293="Gasto",P1293="Transferencia",P1293="Pago tarjeta"),-1,1)*IF(IFERROR(INDEX(ctaMoneda,MATCH(AB1293,ctaNombre,0))&amp;"","DOP")="USD",T1293,S1293))</f>
        <v/>
      </c>
      <c r="AG1293" s="53">
        <f>IF(AC1293="","",IF(IFERROR(INDEX(ctaMoneda,MATCH(AC1293,ctaNombre,0))&amp;"","DOP")="USD",T1293,S1293))</f>
        <v/>
      </c>
      <c r="AH1293" s="53">
        <f>IF(P1293="","",IF(AND(AD1293&lt;&gt;"",COUNTIFS(tcTipo,AD1293,tcLiq,"Sí")&gt;0),IF(OR(P1293="Gasto",P1293="Transferencia",P1293="Pago tarjeta"),-1,1)*S1293,0)+IF(AND(AE1293&lt;&gt;"",COUNTIFS(tcTipo,AE1293,tcLiq,"Sí")&gt;0),S1293,0))</f>
        <v/>
      </c>
      <c r="AI1293" s="52">
        <f>IF(OR(L1293="",P1293=""),"",IF(COUNTIFS(L$6:L1293,L1293,P$6:P1293,"?*")=1,MAX(AI$5:AI1292)+1,""))</f>
        <v/>
      </c>
    </row>
    <row r="1294">
      <c r="B1294" s="47" t="n"/>
      <c r="C1294" s="48" t="n"/>
      <c r="D1294" s="48" t="n"/>
      <c r="E1294" s="48" t="n"/>
      <c r="F1294" s="48" t="n"/>
      <c r="G1294" s="49" t="n"/>
      <c r="H1294" s="48" t="n"/>
      <c r="I1294" s="50" t="n"/>
      <c r="J1294" s="48" t="n"/>
      <c r="K1294" s="48" t="n"/>
      <c r="L1294" s="48" t="n"/>
      <c r="M1294" s="48" t="n"/>
      <c r="N1294" s="48" t="n"/>
      <c r="O1294" s="51">
        <f>IF(AND(B1294="",G1294="",C1294="",D1294="",J1294=""),"",IF(B1294="","⚠ Falta fecha",IF(G1294="","⚠ Falta monto",IF(Q1294="","⚠ Falta cuenta",IF(ISNA(MATCH(Q1294,ctaNombre,0)),"⚠ Cuenta no registrada",IF(AND(OR(P1294="Gasto",P1294="Reembolso"),D1294=""),"⚠ Falta categoría",IF(AND(D1294&lt;&gt;"",E1294&lt;&gt;"",ISNA(MATCH(D1294&amp;"|"&amp;E1294,catClave,0))),"⚠ Subcategoría no corresponde",IF(AND(OR(P1294="Transferencia",P1294="Pago tarjeta"),K1294=""),"⚠ Falta cuenta destino",IF(AND(K1294&lt;&gt;"",P1294&lt;&gt;"Transferencia",P1294&lt;&gt;"Pago tarjeta"),"⚠ Destino solo aplica a transferencias",IF(AND(K1294&lt;&gt;"",K1294=Q1294),"⚠ Origen igual a destino",IF(AND(K1294&lt;&gt;"",ISNA(MATCH(K1294,ctaNombre,0))),"⚠ Destino no registrado",IF(AND(P1294="Pago tarjeta",AE1294&lt;&gt;"Tarjeta de crédito"),"⚠ El destino debe ser tarjeta de crédito",IF(AND(P1294="Gasto",E1294="Depósitos y retiros"),"⚠ Usa tipo Transferencia",IF(AND(P1294="Resultado trading",AD1294&lt;&gt;"Cuenta de trading"),"⚠ Usa una cuenta de trading",IF(AND(G1294&lt;=0,P1294&lt;&gt;"Ajuste",P1294&lt;&gt;"Resultado trading"),"⚠ El monto debe ser positivo","✓")))))))))))))))</f>
        <v/>
      </c>
      <c r="P1294" s="52">
        <f>IF(OR(B1294="",G1294=""),"",IF(C1294="","Gasto",C1294))</f>
        <v/>
      </c>
      <c r="Q1294" s="52">
        <f>IF(P1294="","",IF(J1294&lt;&gt;"",J1294,CuentaPred&amp;""))</f>
        <v/>
      </c>
      <c r="R1294" s="52">
        <f>IF(P1294="","",IF(ISNUMBER(I1294),I1294,TasaUSD))</f>
        <v/>
      </c>
      <c r="S1294" s="53">
        <f>IF(P1294="","",IF(H1294="USD",G1294*R1294,G1294))</f>
        <v/>
      </c>
      <c r="T1294" s="53">
        <f>IF(P1294="","",IF(H1294="USD",G1294,IF(R1294&gt;0,G1294/R1294,0)))</f>
        <v/>
      </c>
      <c r="U1294" s="53">
        <f>IF(P1294="","",IF(P1294="Gasto",S1294,IF(P1294="Reembolso",-S1294,0)))</f>
        <v/>
      </c>
      <c r="V1294" s="53">
        <f>IF(P1294="","",IF(P1294="Ingreso",S1294,0))</f>
        <v/>
      </c>
      <c r="W1294" s="53">
        <f>IF(P1294="","",IF(P1294="Resultado trading",S1294,0))</f>
        <v/>
      </c>
      <c r="X1294" s="52">
        <f>IF(OR(P1294="Gasto",P1294="Reembolso"),IF(M1294&lt;&gt;"",M1294,IFERROR(INDEX(catClasif,MATCH(D1294&amp;"|"&amp;E1294,catClave,0))&amp;"","Variable")),"")</f>
        <v/>
      </c>
      <c r="Y1294" s="52">
        <f>IF(P1294="","",IFERROR(INDEX(catGrupo,MATCH(D1294&amp;"|"&amp;E1294,catClave,0))&amp;"",""))</f>
        <v/>
      </c>
      <c r="Z1294" s="52">
        <f>IF(P1294="","",WEEKDAY(B1294,2))</f>
        <v/>
      </c>
      <c r="AA1294" s="52">
        <f>IF(P1294="","",IF(AND(P1294="Gasto",X1294="Variable",D1294&lt;&gt;catTrading,S1294&gt;0,S1294&lt;=Umbral),1,0))</f>
        <v/>
      </c>
      <c r="AB1294" s="52">
        <f>IF(OR(P1294="",Q1294=""),"",IFERROR(IF(INDEX(ctaVinc,MATCH(Q1294,ctaNombre,0))&amp;""&lt;&gt;"",INDEX(ctaVinc,MATCH(Q1294,ctaNombre,0))&amp;"",Q1294),Q1294))</f>
        <v/>
      </c>
      <c r="AC1294" s="52">
        <f>IF(OR(K1294="",AND(P1294&lt;&gt;"Transferencia",P1294&lt;&gt;"Pago tarjeta")),"",IFERROR(IF(INDEX(ctaVinc,MATCH(K1294,ctaNombre,0))&amp;""&lt;&gt;"",INDEX(ctaVinc,MATCH(K1294,ctaNombre,0))&amp;"",K1294),K1294))</f>
        <v/>
      </c>
      <c r="AD1294" s="52">
        <f>IF(AB1294="","",IFERROR(INDEX(ctaTipo,MATCH(AB1294,ctaNombre,0))&amp;"",""))</f>
        <v/>
      </c>
      <c r="AE1294" s="52">
        <f>IF(AC1294="","",IFERROR(INDEX(ctaTipo,MATCH(AC1294,ctaNombre,0))&amp;"",""))</f>
        <v/>
      </c>
      <c r="AF1294" s="53">
        <f>IF(OR(P1294="",AB1294=""),"",IF(OR(P1294="Gasto",P1294="Transferencia",P1294="Pago tarjeta"),-1,1)*IF(IFERROR(INDEX(ctaMoneda,MATCH(AB1294,ctaNombre,0))&amp;"","DOP")="USD",T1294,S1294))</f>
        <v/>
      </c>
      <c r="AG1294" s="53">
        <f>IF(AC1294="","",IF(IFERROR(INDEX(ctaMoneda,MATCH(AC1294,ctaNombre,0))&amp;"","DOP")="USD",T1294,S1294))</f>
        <v/>
      </c>
      <c r="AH1294" s="53">
        <f>IF(P1294="","",IF(AND(AD1294&lt;&gt;"",COUNTIFS(tcTipo,AD1294,tcLiq,"Sí")&gt;0),IF(OR(P1294="Gasto",P1294="Transferencia",P1294="Pago tarjeta"),-1,1)*S1294,0)+IF(AND(AE1294&lt;&gt;"",COUNTIFS(tcTipo,AE1294,tcLiq,"Sí")&gt;0),S1294,0))</f>
        <v/>
      </c>
      <c r="AI1294" s="52">
        <f>IF(OR(L1294="",P1294=""),"",IF(COUNTIFS(L$6:L1294,L1294,P$6:P1294,"?*")=1,MAX(AI$5:AI1293)+1,""))</f>
        <v/>
      </c>
    </row>
    <row r="1295">
      <c r="B1295" s="47" t="n"/>
      <c r="C1295" s="48" t="n"/>
      <c r="D1295" s="48" t="n"/>
      <c r="E1295" s="48" t="n"/>
      <c r="F1295" s="48" t="n"/>
      <c r="G1295" s="49" t="n"/>
      <c r="H1295" s="48" t="n"/>
      <c r="I1295" s="50" t="n"/>
      <c r="J1295" s="48" t="n"/>
      <c r="K1295" s="48" t="n"/>
      <c r="L1295" s="48" t="n"/>
      <c r="M1295" s="48" t="n"/>
      <c r="N1295" s="48" t="n"/>
      <c r="O1295" s="51">
        <f>IF(AND(B1295="",G1295="",C1295="",D1295="",J1295=""),"",IF(B1295="","⚠ Falta fecha",IF(G1295="","⚠ Falta monto",IF(Q1295="","⚠ Falta cuenta",IF(ISNA(MATCH(Q1295,ctaNombre,0)),"⚠ Cuenta no registrada",IF(AND(OR(P1295="Gasto",P1295="Reembolso"),D1295=""),"⚠ Falta categoría",IF(AND(D1295&lt;&gt;"",E1295&lt;&gt;"",ISNA(MATCH(D1295&amp;"|"&amp;E1295,catClave,0))),"⚠ Subcategoría no corresponde",IF(AND(OR(P1295="Transferencia",P1295="Pago tarjeta"),K1295=""),"⚠ Falta cuenta destino",IF(AND(K1295&lt;&gt;"",P1295&lt;&gt;"Transferencia",P1295&lt;&gt;"Pago tarjeta"),"⚠ Destino solo aplica a transferencias",IF(AND(K1295&lt;&gt;"",K1295=Q1295),"⚠ Origen igual a destino",IF(AND(K1295&lt;&gt;"",ISNA(MATCH(K1295,ctaNombre,0))),"⚠ Destino no registrado",IF(AND(P1295="Pago tarjeta",AE1295&lt;&gt;"Tarjeta de crédito"),"⚠ El destino debe ser tarjeta de crédito",IF(AND(P1295="Gasto",E1295="Depósitos y retiros"),"⚠ Usa tipo Transferencia",IF(AND(P1295="Resultado trading",AD1295&lt;&gt;"Cuenta de trading"),"⚠ Usa una cuenta de trading",IF(AND(G1295&lt;=0,P1295&lt;&gt;"Ajuste",P1295&lt;&gt;"Resultado trading"),"⚠ El monto debe ser positivo","✓")))))))))))))))</f>
        <v/>
      </c>
      <c r="P1295" s="52">
        <f>IF(OR(B1295="",G1295=""),"",IF(C1295="","Gasto",C1295))</f>
        <v/>
      </c>
      <c r="Q1295" s="52">
        <f>IF(P1295="","",IF(J1295&lt;&gt;"",J1295,CuentaPred&amp;""))</f>
        <v/>
      </c>
      <c r="R1295" s="52">
        <f>IF(P1295="","",IF(ISNUMBER(I1295),I1295,TasaUSD))</f>
        <v/>
      </c>
      <c r="S1295" s="53">
        <f>IF(P1295="","",IF(H1295="USD",G1295*R1295,G1295))</f>
        <v/>
      </c>
      <c r="T1295" s="53">
        <f>IF(P1295="","",IF(H1295="USD",G1295,IF(R1295&gt;0,G1295/R1295,0)))</f>
        <v/>
      </c>
      <c r="U1295" s="53">
        <f>IF(P1295="","",IF(P1295="Gasto",S1295,IF(P1295="Reembolso",-S1295,0)))</f>
        <v/>
      </c>
      <c r="V1295" s="53">
        <f>IF(P1295="","",IF(P1295="Ingreso",S1295,0))</f>
        <v/>
      </c>
      <c r="W1295" s="53">
        <f>IF(P1295="","",IF(P1295="Resultado trading",S1295,0))</f>
        <v/>
      </c>
      <c r="X1295" s="52">
        <f>IF(OR(P1295="Gasto",P1295="Reembolso"),IF(M1295&lt;&gt;"",M1295,IFERROR(INDEX(catClasif,MATCH(D1295&amp;"|"&amp;E1295,catClave,0))&amp;"","Variable")),"")</f>
        <v/>
      </c>
      <c r="Y1295" s="52">
        <f>IF(P1295="","",IFERROR(INDEX(catGrupo,MATCH(D1295&amp;"|"&amp;E1295,catClave,0))&amp;"",""))</f>
        <v/>
      </c>
      <c r="Z1295" s="52">
        <f>IF(P1295="","",WEEKDAY(B1295,2))</f>
        <v/>
      </c>
      <c r="AA1295" s="52">
        <f>IF(P1295="","",IF(AND(P1295="Gasto",X1295="Variable",D1295&lt;&gt;catTrading,S1295&gt;0,S1295&lt;=Umbral),1,0))</f>
        <v/>
      </c>
      <c r="AB1295" s="52">
        <f>IF(OR(P1295="",Q1295=""),"",IFERROR(IF(INDEX(ctaVinc,MATCH(Q1295,ctaNombre,0))&amp;""&lt;&gt;"",INDEX(ctaVinc,MATCH(Q1295,ctaNombre,0))&amp;"",Q1295),Q1295))</f>
        <v/>
      </c>
      <c r="AC1295" s="52">
        <f>IF(OR(K1295="",AND(P1295&lt;&gt;"Transferencia",P1295&lt;&gt;"Pago tarjeta")),"",IFERROR(IF(INDEX(ctaVinc,MATCH(K1295,ctaNombre,0))&amp;""&lt;&gt;"",INDEX(ctaVinc,MATCH(K1295,ctaNombre,0))&amp;"",K1295),K1295))</f>
        <v/>
      </c>
      <c r="AD1295" s="52">
        <f>IF(AB1295="","",IFERROR(INDEX(ctaTipo,MATCH(AB1295,ctaNombre,0))&amp;"",""))</f>
        <v/>
      </c>
      <c r="AE1295" s="52">
        <f>IF(AC1295="","",IFERROR(INDEX(ctaTipo,MATCH(AC1295,ctaNombre,0))&amp;"",""))</f>
        <v/>
      </c>
      <c r="AF1295" s="53">
        <f>IF(OR(P1295="",AB1295=""),"",IF(OR(P1295="Gasto",P1295="Transferencia",P1295="Pago tarjeta"),-1,1)*IF(IFERROR(INDEX(ctaMoneda,MATCH(AB1295,ctaNombre,0))&amp;"","DOP")="USD",T1295,S1295))</f>
        <v/>
      </c>
      <c r="AG1295" s="53">
        <f>IF(AC1295="","",IF(IFERROR(INDEX(ctaMoneda,MATCH(AC1295,ctaNombre,0))&amp;"","DOP")="USD",T1295,S1295))</f>
        <v/>
      </c>
      <c r="AH1295" s="53">
        <f>IF(P1295="","",IF(AND(AD1295&lt;&gt;"",COUNTIFS(tcTipo,AD1295,tcLiq,"Sí")&gt;0),IF(OR(P1295="Gasto",P1295="Transferencia",P1295="Pago tarjeta"),-1,1)*S1295,0)+IF(AND(AE1295&lt;&gt;"",COUNTIFS(tcTipo,AE1295,tcLiq,"Sí")&gt;0),S1295,0))</f>
        <v/>
      </c>
      <c r="AI1295" s="52">
        <f>IF(OR(L1295="",P1295=""),"",IF(COUNTIFS(L$6:L1295,L1295,P$6:P1295,"?*")=1,MAX(AI$5:AI1294)+1,""))</f>
        <v/>
      </c>
    </row>
    <row r="1296">
      <c r="B1296" s="47" t="n"/>
      <c r="C1296" s="48" t="n"/>
      <c r="D1296" s="48" t="n"/>
      <c r="E1296" s="48" t="n"/>
      <c r="F1296" s="48" t="n"/>
      <c r="G1296" s="49" t="n"/>
      <c r="H1296" s="48" t="n"/>
      <c r="I1296" s="50" t="n"/>
      <c r="J1296" s="48" t="n"/>
      <c r="K1296" s="48" t="n"/>
      <c r="L1296" s="48" t="n"/>
      <c r="M1296" s="48" t="n"/>
      <c r="N1296" s="48" t="n"/>
      <c r="O1296" s="51">
        <f>IF(AND(B1296="",G1296="",C1296="",D1296="",J1296=""),"",IF(B1296="","⚠ Falta fecha",IF(G1296="","⚠ Falta monto",IF(Q1296="","⚠ Falta cuenta",IF(ISNA(MATCH(Q1296,ctaNombre,0)),"⚠ Cuenta no registrada",IF(AND(OR(P1296="Gasto",P1296="Reembolso"),D1296=""),"⚠ Falta categoría",IF(AND(D1296&lt;&gt;"",E1296&lt;&gt;"",ISNA(MATCH(D1296&amp;"|"&amp;E1296,catClave,0))),"⚠ Subcategoría no corresponde",IF(AND(OR(P1296="Transferencia",P1296="Pago tarjeta"),K1296=""),"⚠ Falta cuenta destino",IF(AND(K1296&lt;&gt;"",P1296&lt;&gt;"Transferencia",P1296&lt;&gt;"Pago tarjeta"),"⚠ Destino solo aplica a transferencias",IF(AND(K1296&lt;&gt;"",K1296=Q1296),"⚠ Origen igual a destino",IF(AND(K1296&lt;&gt;"",ISNA(MATCH(K1296,ctaNombre,0))),"⚠ Destino no registrado",IF(AND(P1296="Pago tarjeta",AE1296&lt;&gt;"Tarjeta de crédito"),"⚠ El destino debe ser tarjeta de crédito",IF(AND(P1296="Gasto",E1296="Depósitos y retiros"),"⚠ Usa tipo Transferencia",IF(AND(P1296="Resultado trading",AD1296&lt;&gt;"Cuenta de trading"),"⚠ Usa una cuenta de trading",IF(AND(G1296&lt;=0,P1296&lt;&gt;"Ajuste",P1296&lt;&gt;"Resultado trading"),"⚠ El monto debe ser positivo","✓")))))))))))))))</f>
        <v/>
      </c>
      <c r="P1296" s="52">
        <f>IF(OR(B1296="",G1296=""),"",IF(C1296="","Gasto",C1296))</f>
        <v/>
      </c>
      <c r="Q1296" s="52">
        <f>IF(P1296="","",IF(J1296&lt;&gt;"",J1296,CuentaPred&amp;""))</f>
        <v/>
      </c>
      <c r="R1296" s="52">
        <f>IF(P1296="","",IF(ISNUMBER(I1296),I1296,TasaUSD))</f>
        <v/>
      </c>
      <c r="S1296" s="53">
        <f>IF(P1296="","",IF(H1296="USD",G1296*R1296,G1296))</f>
        <v/>
      </c>
      <c r="T1296" s="53">
        <f>IF(P1296="","",IF(H1296="USD",G1296,IF(R1296&gt;0,G1296/R1296,0)))</f>
        <v/>
      </c>
      <c r="U1296" s="53">
        <f>IF(P1296="","",IF(P1296="Gasto",S1296,IF(P1296="Reembolso",-S1296,0)))</f>
        <v/>
      </c>
      <c r="V1296" s="53">
        <f>IF(P1296="","",IF(P1296="Ingreso",S1296,0))</f>
        <v/>
      </c>
      <c r="W1296" s="53">
        <f>IF(P1296="","",IF(P1296="Resultado trading",S1296,0))</f>
        <v/>
      </c>
      <c r="X1296" s="52">
        <f>IF(OR(P1296="Gasto",P1296="Reembolso"),IF(M1296&lt;&gt;"",M1296,IFERROR(INDEX(catClasif,MATCH(D1296&amp;"|"&amp;E1296,catClave,0))&amp;"","Variable")),"")</f>
        <v/>
      </c>
      <c r="Y1296" s="52">
        <f>IF(P1296="","",IFERROR(INDEX(catGrupo,MATCH(D1296&amp;"|"&amp;E1296,catClave,0))&amp;"",""))</f>
        <v/>
      </c>
      <c r="Z1296" s="52">
        <f>IF(P1296="","",WEEKDAY(B1296,2))</f>
        <v/>
      </c>
      <c r="AA1296" s="52">
        <f>IF(P1296="","",IF(AND(P1296="Gasto",X1296="Variable",D1296&lt;&gt;catTrading,S1296&gt;0,S1296&lt;=Umbral),1,0))</f>
        <v/>
      </c>
      <c r="AB1296" s="52">
        <f>IF(OR(P1296="",Q1296=""),"",IFERROR(IF(INDEX(ctaVinc,MATCH(Q1296,ctaNombre,0))&amp;""&lt;&gt;"",INDEX(ctaVinc,MATCH(Q1296,ctaNombre,0))&amp;"",Q1296),Q1296))</f>
        <v/>
      </c>
      <c r="AC1296" s="52">
        <f>IF(OR(K1296="",AND(P1296&lt;&gt;"Transferencia",P1296&lt;&gt;"Pago tarjeta")),"",IFERROR(IF(INDEX(ctaVinc,MATCH(K1296,ctaNombre,0))&amp;""&lt;&gt;"",INDEX(ctaVinc,MATCH(K1296,ctaNombre,0))&amp;"",K1296),K1296))</f>
        <v/>
      </c>
      <c r="AD1296" s="52">
        <f>IF(AB1296="","",IFERROR(INDEX(ctaTipo,MATCH(AB1296,ctaNombre,0))&amp;"",""))</f>
        <v/>
      </c>
      <c r="AE1296" s="52">
        <f>IF(AC1296="","",IFERROR(INDEX(ctaTipo,MATCH(AC1296,ctaNombre,0))&amp;"",""))</f>
        <v/>
      </c>
      <c r="AF1296" s="53">
        <f>IF(OR(P1296="",AB1296=""),"",IF(OR(P1296="Gasto",P1296="Transferencia",P1296="Pago tarjeta"),-1,1)*IF(IFERROR(INDEX(ctaMoneda,MATCH(AB1296,ctaNombre,0))&amp;"","DOP")="USD",T1296,S1296))</f>
        <v/>
      </c>
      <c r="AG1296" s="53">
        <f>IF(AC1296="","",IF(IFERROR(INDEX(ctaMoneda,MATCH(AC1296,ctaNombre,0))&amp;"","DOP")="USD",T1296,S1296))</f>
        <v/>
      </c>
      <c r="AH1296" s="53">
        <f>IF(P1296="","",IF(AND(AD1296&lt;&gt;"",COUNTIFS(tcTipo,AD1296,tcLiq,"Sí")&gt;0),IF(OR(P1296="Gasto",P1296="Transferencia",P1296="Pago tarjeta"),-1,1)*S1296,0)+IF(AND(AE1296&lt;&gt;"",COUNTIFS(tcTipo,AE1296,tcLiq,"Sí")&gt;0),S1296,0))</f>
        <v/>
      </c>
      <c r="AI1296" s="52">
        <f>IF(OR(L1296="",P1296=""),"",IF(COUNTIFS(L$6:L1296,L1296,P$6:P1296,"?*")=1,MAX(AI$5:AI1295)+1,""))</f>
        <v/>
      </c>
    </row>
    <row r="1297">
      <c r="B1297" s="47" t="n"/>
      <c r="C1297" s="48" t="n"/>
      <c r="D1297" s="48" t="n"/>
      <c r="E1297" s="48" t="n"/>
      <c r="F1297" s="48" t="n"/>
      <c r="G1297" s="49" t="n"/>
      <c r="H1297" s="48" t="n"/>
      <c r="I1297" s="50" t="n"/>
      <c r="J1297" s="48" t="n"/>
      <c r="K1297" s="48" t="n"/>
      <c r="L1297" s="48" t="n"/>
      <c r="M1297" s="48" t="n"/>
      <c r="N1297" s="48" t="n"/>
      <c r="O1297" s="51">
        <f>IF(AND(B1297="",G1297="",C1297="",D1297="",J1297=""),"",IF(B1297="","⚠ Falta fecha",IF(G1297="","⚠ Falta monto",IF(Q1297="","⚠ Falta cuenta",IF(ISNA(MATCH(Q1297,ctaNombre,0)),"⚠ Cuenta no registrada",IF(AND(OR(P1297="Gasto",P1297="Reembolso"),D1297=""),"⚠ Falta categoría",IF(AND(D1297&lt;&gt;"",E1297&lt;&gt;"",ISNA(MATCH(D1297&amp;"|"&amp;E1297,catClave,0))),"⚠ Subcategoría no corresponde",IF(AND(OR(P1297="Transferencia",P1297="Pago tarjeta"),K1297=""),"⚠ Falta cuenta destino",IF(AND(K1297&lt;&gt;"",P1297&lt;&gt;"Transferencia",P1297&lt;&gt;"Pago tarjeta"),"⚠ Destino solo aplica a transferencias",IF(AND(K1297&lt;&gt;"",K1297=Q1297),"⚠ Origen igual a destino",IF(AND(K1297&lt;&gt;"",ISNA(MATCH(K1297,ctaNombre,0))),"⚠ Destino no registrado",IF(AND(P1297="Pago tarjeta",AE1297&lt;&gt;"Tarjeta de crédito"),"⚠ El destino debe ser tarjeta de crédito",IF(AND(P1297="Gasto",E1297="Depósitos y retiros"),"⚠ Usa tipo Transferencia",IF(AND(P1297="Resultado trading",AD1297&lt;&gt;"Cuenta de trading"),"⚠ Usa una cuenta de trading",IF(AND(G1297&lt;=0,P1297&lt;&gt;"Ajuste",P1297&lt;&gt;"Resultado trading"),"⚠ El monto debe ser positivo","✓")))))))))))))))</f>
        <v/>
      </c>
      <c r="P1297" s="52">
        <f>IF(OR(B1297="",G1297=""),"",IF(C1297="","Gasto",C1297))</f>
        <v/>
      </c>
      <c r="Q1297" s="52">
        <f>IF(P1297="","",IF(J1297&lt;&gt;"",J1297,CuentaPred&amp;""))</f>
        <v/>
      </c>
      <c r="R1297" s="52">
        <f>IF(P1297="","",IF(ISNUMBER(I1297),I1297,TasaUSD))</f>
        <v/>
      </c>
      <c r="S1297" s="53">
        <f>IF(P1297="","",IF(H1297="USD",G1297*R1297,G1297))</f>
        <v/>
      </c>
      <c r="T1297" s="53">
        <f>IF(P1297="","",IF(H1297="USD",G1297,IF(R1297&gt;0,G1297/R1297,0)))</f>
        <v/>
      </c>
      <c r="U1297" s="53">
        <f>IF(P1297="","",IF(P1297="Gasto",S1297,IF(P1297="Reembolso",-S1297,0)))</f>
        <v/>
      </c>
      <c r="V1297" s="53">
        <f>IF(P1297="","",IF(P1297="Ingreso",S1297,0))</f>
        <v/>
      </c>
      <c r="W1297" s="53">
        <f>IF(P1297="","",IF(P1297="Resultado trading",S1297,0))</f>
        <v/>
      </c>
      <c r="X1297" s="52">
        <f>IF(OR(P1297="Gasto",P1297="Reembolso"),IF(M1297&lt;&gt;"",M1297,IFERROR(INDEX(catClasif,MATCH(D1297&amp;"|"&amp;E1297,catClave,0))&amp;"","Variable")),"")</f>
        <v/>
      </c>
      <c r="Y1297" s="52">
        <f>IF(P1297="","",IFERROR(INDEX(catGrupo,MATCH(D1297&amp;"|"&amp;E1297,catClave,0))&amp;"",""))</f>
        <v/>
      </c>
      <c r="Z1297" s="52">
        <f>IF(P1297="","",WEEKDAY(B1297,2))</f>
        <v/>
      </c>
      <c r="AA1297" s="52">
        <f>IF(P1297="","",IF(AND(P1297="Gasto",X1297="Variable",D1297&lt;&gt;catTrading,S1297&gt;0,S1297&lt;=Umbral),1,0))</f>
        <v/>
      </c>
      <c r="AB1297" s="52">
        <f>IF(OR(P1297="",Q1297=""),"",IFERROR(IF(INDEX(ctaVinc,MATCH(Q1297,ctaNombre,0))&amp;""&lt;&gt;"",INDEX(ctaVinc,MATCH(Q1297,ctaNombre,0))&amp;"",Q1297),Q1297))</f>
        <v/>
      </c>
      <c r="AC1297" s="52">
        <f>IF(OR(K1297="",AND(P1297&lt;&gt;"Transferencia",P1297&lt;&gt;"Pago tarjeta")),"",IFERROR(IF(INDEX(ctaVinc,MATCH(K1297,ctaNombre,0))&amp;""&lt;&gt;"",INDEX(ctaVinc,MATCH(K1297,ctaNombre,0))&amp;"",K1297),K1297))</f>
        <v/>
      </c>
      <c r="AD1297" s="52">
        <f>IF(AB1297="","",IFERROR(INDEX(ctaTipo,MATCH(AB1297,ctaNombre,0))&amp;"",""))</f>
        <v/>
      </c>
      <c r="AE1297" s="52">
        <f>IF(AC1297="","",IFERROR(INDEX(ctaTipo,MATCH(AC1297,ctaNombre,0))&amp;"",""))</f>
        <v/>
      </c>
      <c r="AF1297" s="53">
        <f>IF(OR(P1297="",AB1297=""),"",IF(OR(P1297="Gasto",P1297="Transferencia",P1297="Pago tarjeta"),-1,1)*IF(IFERROR(INDEX(ctaMoneda,MATCH(AB1297,ctaNombre,0))&amp;"","DOP")="USD",T1297,S1297))</f>
        <v/>
      </c>
      <c r="AG1297" s="53">
        <f>IF(AC1297="","",IF(IFERROR(INDEX(ctaMoneda,MATCH(AC1297,ctaNombre,0))&amp;"","DOP")="USD",T1297,S1297))</f>
        <v/>
      </c>
      <c r="AH1297" s="53">
        <f>IF(P1297="","",IF(AND(AD1297&lt;&gt;"",COUNTIFS(tcTipo,AD1297,tcLiq,"Sí")&gt;0),IF(OR(P1297="Gasto",P1297="Transferencia",P1297="Pago tarjeta"),-1,1)*S1297,0)+IF(AND(AE1297&lt;&gt;"",COUNTIFS(tcTipo,AE1297,tcLiq,"Sí")&gt;0),S1297,0))</f>
        <v/>
      </c>
      <c r="AI1297" s="52">
        <f>IF(OR(L1297="",P1297=""),"",IF(COUNTIFS(L$6:L1297,L1297,P$6:P1297,"?*")=1,MAX(AI$5:AI1296)+1,""))</f>
        <v/>
      </c>
    </row>
    <row r="1298">
      <c r="B1298" s="47" t="n"/>
      <c r="C1298" s="48" t="n"/>
      <c r="D1298" s="48" t="n"/>
      <c r="E1298" s="48" t="n"/>
      <c r="F1298" s="48" t="n"/>
      <c r="G1298" s="49" t="n"/>
      <c r="H1298" s="48" t="n"/>
      <c r="I1298" s="50" t="n"/>
      <c r="J1298" s="48" t="n"/>
      <c r="K1298" s="48" t="n"/>
      <c r="L1298" s="48" t="n"/>
      <c r="M1298" s="48" t="n"/>
      <c r="N1298" s="48" t="n"/>
      <c r="O1298" s="51">
        <f>IF(AND(B1298="",G1298="",C1298="",D1298="",J1298=""),"",IF(B1298="","⚠ Falta fecha",IF(G1298="","⚠ Falta monto",IF(Q1298="","⚠ Falta cuenta",IF(ISNA(MATCH(Q1298,ctaNombre,0)),"⚠ Cuenta no registrada",IF(AND(OR(P1298="Gasto",P1298="Reembolso"),D1298=""),"⚠ Falta categoría",IF(AND(D1298&lt;&gt;"",E1298&lt;&gt;"",ISNA(MATCH(D1298&amp;"|"&amp;E1298,catClave,0))),"⚠ Subcategoría no corresponde",IF(AND(OR(P1298="Transferencia",P1298="Pago tarjeta"),K1298=""),"⚠ Falta cuenta destino",IF(AND(K1298&lt;&gt;"",P1298&lt;&gt;"Transferencia",P1298&lt;&gt;"Pago tarjeta"),"⚠ Destino solo aplica a transferencias",IF(AND(K1298&lt;&gt;"",K1298=Q1298),"⚠ Origen igual a destino",IF(AND(K1298&lt;&gt;"",ISNA(MATCH(K1298,ctaNombre,0))),"⚠ Destino no registrado",IF(AND(P1298="Pago tarjeta",AE1298&lt;&gt;"Tarjeta de crédito"),"⚠ El destino debe ser tarjeta de crédito",IF(AND(P1298="Gasto",E1298="Depósitos y retiros"),"⚠ Usa tipo Transferencia",IF(AND(P1298="Resultado trading",AD1298&lt;&gt;"Cuenta de trading"),"⚠ Usa una cuenta de trading",IF(AND(G1298&lt;=0,P1298&lt;&gt;"Ajuste",P1298&lt;&gt;"Resultado trading"),"⚠ El monto debe ser positivo","✓")))))))))))))))</f>
        <v/>
      </c>
      <c r="P1298" s="52">
        <f>IF(OR(B1298="",G1298=""),"",IF(C1298="","Gasto",C1298))</f>
        <v/>
      </c>
      <c r="Q1298" s="52">
        <f>IF(P1298="","",IF(J1298&lt;&gt;"",J1298,CuentaPred&amp;""))</f>
        <v/>
      </c>
      <c r="R1298" s="52">
        <f>IF(P1298="","",IF(ISNUMBER(I1298),I1298,TasaUSD))</f>
        <v/>
      </c>
      <c r="S1298" s="53">
        <f>IF(P1298="","",IF(H1298="USD",G1298*R1298,G1298))</f>
        <v/>
      </c>
      <c r="T1298" s="53">
        <f>IF(P1298="","",IF(H1298="USD",G1298,IF(R1298&gt;0,G1298/R1298,0)))</f>
        <v/>
      </c>
      <c r="U1298" s="53">
        <f>IF(P1298="","",IF(P1298="Gasto",S1298,IF(P1298="Reembolso",-S1298,0)))</f>
        <v/>
      </c>
      <c r="V1298" s="53">
        <f>IF(P1298="","",IF(P1298="Ingreso",S1298,0))</f>
        <v/>
      </c>
      <c r="W1298" s="53">
        <f>IF(P1298="","",IF(P1298="Resultado trading",S1298,0))</f>
        <v/>
      </c>
      <c r="X1298" s="52">
        <f>IF(OR(P1298="Gasto",P1298="Reembolso"),IF(M1298&lt;&gt;"",M1298,IFERROR(INDEX(catClasif,MATCH(D1298&amp;"|"&amp;E1298,catClave,0))&amp;"","Variable")),"")</f>
        <v/>
      </c>
      <c r="Y1298" s="52">
        <f>IF(P1298="","",IFERROR(INDEX(catGrupo,MATCH(D1298&amp;"|"&amp;E1298,catClave,0))&amp;"",""))</f>
        <v/>
      </c>
      <c r="Z1298" s="52">
        <f>IF(P1298="","",WEEKDAY(B1298,2))</f>
        <v/>
      </c>
      <c r="AA1298" s="52">
        <f>IF(P1298="","",IF(AND(P1298="Gasto",X1298="Variable",D1298&lt;&gt;catTrading,S1298&gt;0,S1298&lt;=Umbral),1,0))</f>
        <v/>
      </c>
      <c r="AB1298" s="52">
        <f>IF(OR(P1298="",Q1298=""),"",IFERROR(IF(INDEX(ctaVinc,MATCH(Q1298,ctaNombre,0))&amp;""&lt;&gt;"",INDEX(ctaVinc,MATCH(Q1298,ctaNombre,0))&amp;"",Q1298),Q1298))</f>
        <v/>
      </c>
      <c r="AC1298" s="52">
        <f>IF(OR(K1298="",AND(P1298&lt;&gt;"Transferencia",P1298&lt;&gt;"Pago tarjeta")),"",IFERROR(IF(INDEX(ctaVinc,MATCH(K1298,ctaNombre,0))&amp;""&lt;&gt;"",INDEX(ctaVinc,MATCH(K1298,ctaNombre,0))&amp;"",K1298),K1298))</f>
        <v/>
      </c>
      <c r="AD1298" s="52">
        <f>IF(AB1298="","",IFERROR(INDEX(ctaTipo,MATCH(AB1298,ctaNombre,0))&amp;"",""))</f>
        <v/>
      </c>
      <c r="AE1298" s="52">
        <f>IF(AC1298="","",IFERROR(INDEX(ctaTipo,MATCH(AC1298,ctaNombre,0))&amp;"",""))</f>
        <v/>
      </c>
      <c r="AF1298" s="53">
        <f>IF(OR(P1298="",AB1298=""),"",IF(OR(P1298="Gasto",P1298="Transferencia",P1298="Pago tarjeta"),-1,1)*IF(IFERROR(INDEX(ctaMoneda,MATCH(AB1298,ctaNombre,0))&amp;"","DOP")="USD",T1298,S1298))</f>
        <v/>
      </c>
      <c r="AG1298" s="53">
        <f>IF(AC1298="","",IF(IFERROR(INDEX(ctaMoneda,MATCH(AC1298,ctaNombre,0))&amp;"","DOP")="USD",T1298,S1298))</f>
        <v/>
      </c>
      <c r="AH1298" s="53">
        <f>IF(P1298="","",IF(AND(AD1298&lt;&gt;"",COUNTIFS(tcTipo,AD1298,tcLiq,"Sí")&gt;0),IF(OR(P1298="Gasto",P1298="Transferencia",P1298="Pago tarjeta"),-1,1)*S1298,0)+IF(AND(AE1298&lt;&gt;"",COUNTIFS(tcTipo,AE1298,tcLiq,"Sí")&gt;0),S1298,0))</f>
        <v/>
      </c>
      <c r="AI1298" s="52">
        <f>IF(OR(L1298="",P1298=""),"",IF(COUNTIFS(L$6:L1298,L1298,P$6:P1298,"?*")=1,MAX(AI$5:AI1297)+1,""))</f>
        <v/>
      </c>
    </row>
    <row r="1299">
      <c r="B1299" s="47" t="n"/>
      <c r="C1299" s="48" t="n"/>
      <c r="D1299" s="48" t="n"/>
      <c r="E1299" s="48" t="n"/>
      <c r="F1299" s="48" t="n"/>
      <c r="G1299" s="49" t="n"/>
      <c r="H1299" s="48" t="n"/>
      <c r="I1299" s="50" t="n"/>
      <c r="J1299" s="48" t="n"/>
      <c r="K1299" s="48" t="n"/>
      <c r="L1299" s="48" t="n"/>
      <c r="M1299" s="48" t="n"/>
      <c r="N1299" s="48" t="n"/>
      <c r="O1299" s="51">
        <f>IF(AND(B1299="",G1299="",C1299="",D1299="",J1299=""),"",IF(B1299="","⚠ Falta fecha",IF(G1299="","⚠ Falta monto",IF(Q1299="","⚠ Falta cuenta",IF(ISNA(MATCH(Q1299,ctaNombre,0)),"⚠ Cuenta no registrada",IF(AND(OR(P1299="Gasto",P1299="Reembolso"),D1299=""),"⚠ Falta categoría",IF(AND(D1299&lt;&gt;"",E1299&lt;&gt;"",ISNA(MATCH(D1299&amp;"|"&amp;E1299,catClave,0))),"⚠ Subcategoría no corresponde",IF(AND(OR(P1299="Transferencia",P1299="Pago tarjeta"),K1299=""),"⚠ Falta cuenta destino",IF(AND(K1299&lt;&gt;"",P1299&lt;&gt;"Transferencia",P1299&lt;&gt;"Pago tarjeta"),"⚠ Destino solo aplica a transferencias",IF(AND(K1299&lt;&gt;"",K1299=Q1299),"⚠ Origen igual a destino",IF(AND(K1299&lt;&gt;"",ISNA(MATCH(K1299,ctaNombre,0))),"⚠ Destino no registrado",IF(AND(P1299="Pago tarjeta",AE1299&lt;&gt;"Tarjeta de crédito"),"⚠ El destino debe ser tarjeta de crédito",IF(AND(P1299="Gasto",E1299="Depósitos y retiros"),"⚠ Usa tipo Transferencia",IF(AND(P1299="Resultado trading",AD1299&lt;&gt;"Cuenta de trading"),"⚠ Usa una cuenta de trading",IF(AND(G1299&lt;=0,P1299&lt;&gt;"Ajuste",P1299&lt;&gt;"Resultado trading"),"⚠ El monto debe ser positivo","✓")))))))))))))))</f>
        <v/>
      </c>
      <c r="P1299" s="52">
        <f>IF(OR(B1299="",G1299=""),"",IF(C1299="","Gasto",C1299))</f>
        <v/>
      </c>
      <c r="Q1299" s="52">
        <f>IF(P1299="","",IF(J1299&lt;&gt;"",J1299,CuentaPred&amp;""))</f>
        <v/>
      </c>
      <c r="R1299" s="52">
        <f>IF(P1299="","",IF(ISNUMBER(I1299),I1299,TasaUSD))</f>
        <v/>
      </c>
      <c r="S1299" s="53">
        <f>IF(P1299="","",IF(H1299="USD",G1299*R1299,G1299))</f>
        <v/>
      </c>
      <c r="T1299" s="53">
        <f>IF(P1299="","",IF(H1299="USD",G1299,IF(R1299&gt;0,G1299/R1299,0)))</f>
        <v/>
      </c>
      <c r="U1299" s="53">
        <f>IF(P1299="","",IF(P1299="Gasto",S1299,IF(P1299="Reembolso",-S1299,0)))</f>
        <v/>
      </c>
      <c r="V1299" s="53">
        <f>IF(P1299="","",IF(P1299="Ingreso",S1299,0))</f>
        <v/>
      </c>
      <c r="W1299" s="53">
        <f>IF(P1299="","",IF(P1299="Resultado trading",S1299,0))</f>
        <v/>
      </c>
      <c r="X1299" s="52">
        <f>IF(OR(P1299="Gasto",P1299="Reembolso"),IF(M1299&lt;&gt;"",M1299,IFERROR(INDEX(catClasif,MATCH(D1299&amp;"|"&amp;E1299,catClave,0))&amp;"","Variable")),"")</f>
        <v/>
      </c>
      <c r="Y1299" s="52">
        <f>IF(P1299="","",IFERROR(INDEX(catGrupo,MATCH(D1299&amp;"|"&amp;E1299,catClave,0))&amp;"",""))</f>
        <v/>
      </c>
      <c r="Z1299" s="52">
        <f>IF(P1299="","",WEEKDAY(B1299,2))</f>
        <v/>
      </c>
      <c r="AA1299" s="52">
        <f>IF(P1299="","",IF(AND(P1299="Gasto",X1299="Variable",D1299&lt;&gt;catTrading,S1299&gt;0,S1299&lt;=Umbral),1,0))</f>
        <v/>
      </c>
      <c r="AB1299" s="52">
        <f>IF(OR(P1299="",Q1299=""),"",IFERROR(IF(INDEX(ctaVinc,MATCH(Q1299,ctaNombre,0))&amp;""&lt;&gt;"",INDEX(ctaVinc,MATCH(Q1299,ctaNombre,0))&amp;"",Q1299),Q1299))</f>
        <v/>
      </c>
      <c r="AC1299" s="52">
        <f>IF(OR(K1299="",AND(P1299&lt;&gt;"Transferencia",P1299&lt;&gt;"Pago tarjeta")),"",IFERROR(IF(INDEX(ctaVinc,MATCH(K1299,ctaNombre,0))&amp;""&lt;&gt;"",INDEX(ctaVinc,MATCH(K1299,ctaNombre,0))&amp;"",K1299),K1299))</f>
        <v/>
      </c>
      <c r="AD1299" s="52">
        <f>IF(AB1299="","",IFERROR(INDEX(ctaTipo,MATCH(AB1299,ctaNombre,0))&amp;"",""))</f>
        <v/>
      </c>
      <c r="AE1299" s="52">
        <f>IF(AC1299="","",IFERROR(INDEX(ctaTipo,MATCH(AC1299,ctaNombre,0))&amp;"",""))</f>
        <v/>
      </c>
      <c r="AF1299" s="53">
        <f>IF(OR(P1299="",AB1299=""),"",IF(OR(P1299="Gasto",P1299="Transferencia",P1299="Pago tarjeta"),-1,1)*IF(IFERROR(INDEX(ctaMoneda,MATCH(AB1299,ctaNombre,0))&amp;"","DOP")="USD",T1299,S1299))</f>
        <v/>
      </c>
      <c r="AG1299" s="53">
        <f>IF(AC1299="","",IF(IFERROR(INDEX(ctaMoneda,MATCH(AC1299,ctaNombre,0))&amp;"","DOP")="USD",T1299,S1299))</f>
        <v/>
      </c>
      <c r="AH1299" s="53">
        <f>IF(P1299="","",IF(AND(AD1299&lt;&gt;"",COUNTIFS(tcTipo,AD1299,tcLiq,"Sí")&gt;0),IF(OR(P1299="Gasto",P1299="Transferencia",P1299="Pago tarjeta"),-1,1)*S1299,0)+IF(AND(AE1299&lt;&gt;"",COUNTIFS(tcTipo,AE1299,tcLiq,"Sí")&gt;0),S1299,0))</f>
        <v/>
      </c>
      <c r="AI1299" s="52">
        <f>IF(OR(L1299="",P1299=""),"",IF(COUNTIFS(L$6:L1299,L1299,P$6:P1299,"?*")=1,MAX(AI$5:AI1298)+1,""))</f>
        <v/>
      </c>
    </row>
    <row r="1300">
      <c r="B1300" s="47" t="n"/>
      <c r="C1300" s="48" t="n"/>
      <c r="D1300" s="48" t="n"/>
      <c r="E1300" s="48" t="n"/>
      <c r="F1300" s="48" t="n"/>
      <c r="G1300" s="49" t="n"/>
      <c r="H1300" s="48" t="n"/>
      <c r="I1300" s="50" t="n"/>
      <c r="J1300" s="48" t="n"/>
      <c r="K1300" s="48" t="n"/>
      <c r="L1300" s="48" t="n"/>
      <c r="M1300" s="48" t="n"/>
      <c r="N1300" s="48" t="n"/>
      <c r="O1300" s="51">
        <f>IF(AND(B1300="",G1300="",C1300="",D1300="",J1300=""),"",IF(B1300="","⚠ Falta fecha",IF(G1300="","⚠ Falta monto",IF(Q1300="","⚠ Falta cuenta",IF(ISNA(MATCH(Q1300,ctaNombre,0)),"⚠ Cuenta no registrada",IF(AND(OR(P1300="Gasto",P1300="Reembolso"),D1300=""),"⚠ Falta categoría",IF(AND(D1300&lt;&gt;"",E1300&lt;&gt;"",ISNA(MATCH(D1300&amp;"|"&amp;E1300,catClave,0))),"⚠ Subcategoría no corresponde",IF(AND(OR(P1300="Transferencia",P1300="Pago tarjeta"),K1300=""),"⚠ Falta cuenta destino",IF(AND(K1300&lt;&gt;"",P1300&lt;&gt;"Transferencia",P1300&lt;&gt;"Pago tarjeta"),"⚠ Destino solo aplica a transferencias",IF(AND(K1300&lt;&gt;"",K1300=Q1300),"⚠ Origen igual a destino",IF(AND(K1300&lt;&gt;"",ISNA(MATCH(K1300,ctaNombre,0))),"⚠ Destino no registrado",IF(AND(P1300="Pago tarjeta",AE1300&lt;&gt;"Tarjeta de crédito"),"⚠ El destino debe ser tarjeta de crédito",IF(AND(P1300="Gasto",E1300="Depósitos y retiros"),"⚠ Usa tipo Transferencia",IF(AND(P1300="Resultado trading",AD1300&lt;&gt;"Cuenta de trading"),"⚠ Usa una cuenta de trading",IF(AND(G1300&lt;=0,P1300&lt;&gt;"Ajuste",P1300&lt;&gt;"Resultado trading"),"⚠ El monto debe ser positivo","✓")))))))))))))))</f>
        <v/>
      </c>
      <c r="P1300" s="52">
        <f>IF(OR(B1300="",G1300=""),"",IF(C1300="","Gasto",C1300))</f>
        <v/>
      </c>
      <c r="Q1300" s="52">
        <f>IF(P1300="","",IF(J1300&lt;&gt;"",J1300,CuentaPred&amp;""))</f>
        <v/>
      </c>
      <c r="R1300" s="52">
        <f>IF(P1300="","",IF(ISNUMBER(I1300),I1300,TasaUSD))</f>
        <v/>
      </c>
      <c r="S1300" s="53">
        <f>IF(P1300="","",IF(H1300="USD",G1300*R1300,G1300))</f>
        <v/>
      </c>
      <c r="T1300" s="53">
        <f>IF(P1300="","",IF(H1300="USD",G1300,IF(R1300&gt;0,G1300/R1300,0)))</f>
        <v/>
      </c>
      <c r="U1300" s="53">
        <f>IF(P1300="","",IF(P1300="Gasto",S1300,IF(P1300="Reembolso",-S1300,0)))</f>
        <v/>
      </c>
      <c r="V1300" s="53">
        <f>IF(P1300="","",IF(P1300="Ingreso",S1300,0))</f>
        <v/>
      </c>
      <c r="W1300" s="53">
        <f>IF(P1300="","",IF(P1300="Resultado trading",S1300,0))</f>
        <v/>
      </c>
      <c r="X1300" s="52">
        <f>IF(OR(P1300="Gasto",P1300="Reembolso"),IF(M1300&lt;&gt;"",M1300,IFERROR(INDEX(catClasif,MATCH(D1300&amp;"|"&amp;E1300,catClave,0))&amp;"","Variable")),"")</f>
        <v/>
      </c>
      <c r="Y1300" s="52">
        <f>IF(P1300="","",IFERROR(INDEX(catGrupo,MATCH(D1300&amp;"|"&amp;E1300,catClave,0))&amp;"",""))</f>
        <v/>
      </c>
      <c r="Z1300" s="52">
        <f>IF(P1300="","",WEEKDAY(B1300,2))</f>
        <v/>
      </c>
      <c r="AA1300" s="52">
        <f>IF(P1300="","",IF(AND(P1300="Gasto",X1300="Variable",D1300&lt;&gt;catTrading,S1300&gt;0,S1300&lt;=Umbral),1,0))</f>
        <v/>
      </c>
      <c r="AB1300" s="52">
        <f>IF(OR(P1300="",Q1300=""),"",IFERROR(IF(INDEX(ctaVinc,MATCH(Q1300,ctaNombre,0))&amp;""&lt;&gt;"",INDEX(ctaVinc,MATCH(Q1300,ctaNombre,0))&amp;"",Q1300),Q1300))</f>
        <v/>
      </c>
      <c r="AC1300" s="52">
        <f>IF(OR(K1300="",AND(P1300&lt;&gt;"Transferencia",P1300&lt;&gt;"Pago tarjeta")),"",IFERROR(IF(INDEX(ctaVinc,MATCH(K1300,ctaNombre,0))&amp;""&lt;&gt;"",INDEX(ctaVinc,MATCH(K1300,ctaNombre,0))&amp;"",K1300),K1300))</f>
        <v/>
      </c>
      <c r="AD1300" s="52">
        <f>IF(AB1300="","",IFERROR(INDEX(ctaTipo,MATCH(AB1300,ctaNombre,0))&amp;"",""))</f>
        <v/>
      </c>
      <c r="AE1300" s="52">
        <f>IF(AC1300="","",IFERROR(INDEX(ctaTipo,MATCH(AC1300,ctaNombre,0))&amp;"",""))</f>
        <v/>
      </c>
      <c r="AF1300" s="53">
        <f>IF(OR(P1300="",AB1300=""),"",IF(OR(P1300="Gasto",P1300="Transferencia",P1300="Pago tarjeta"),-1,1)*IF(IFERROR(INDEX(ctaMoneda,MATCH(AB1300,ctaNombre,0))&amp;"","DOP")="USD",T1300,S1300))</f>
        <v/>
      </c>
      <c r="AG1300" s="53">
        <f>IF(AC1300="","",IF(IFERROR(INDEX(ctaMoneda,MATCH(AC1300,ctaNombre,0))&amp;"","DOP")="USD",T1300,S1300))</f>
        <v/>
      </c>
      <c r="AH1300" s="53">
        <f>IF(P1300="","",IF(AND(AD1300&lt;&gt;"",COUNTIFS(tcTipo,AD1300,tcLiq,"Sí")&gt;0),IF(OR(P1300="Gasto",P1300="Transferencia",P1300="Pago tarjeta"),-1,1)*S1300,0)+IF(AND(AE1300&lt;&gt;"",COUNTIFS(tcTipo,AE1300,tcLiq,"Sí")&gt;0),S1300,0))</f>
        <v/>
      </c>
      <c r="AI1300" s="52">
        <f>IF(OR(L1300="",P1300=""),"",IF(COUNTIFS(L$6:L1300,L1300,P$6:P1300,"?*")=1,MAX(AI$5:AI1299)+1,""))</f>
        <v/>
      </c>
    </row>
    <row r="1301">
      <c r="B1301" s="47" t="n"/>
      <c r="C1301" s="48" t="n"/>
      <c r="D1301" s="48" t="n"/>
      <c r="E1301" s="48" t="n"/>
      <c r="F1301" s="48" t="n"/>
      <c r="G1301" s="49" t="n"/>
      <c r="H1301" s="48" t="n"/>
      <c r="I1301" s="50" t="n"/>
      <c r="J1301" s="48" t="n"/>
      <c r="K1301" s="48" t="n"/>
      <c r="L1301" s="48" t="n"/>
      <c r="M1301" s="48" t="n"/>
      <c r="N1301" s="48" t="n"/>
      <c r="O1301" s="51">
        <f>IF(AND(B1301="",G1301="",C1301="",D1301="",J1301=""),"",IF(B1301="","⚠ Falta fecha",IF(G1301="","⚠ Falta monto",IF(Q1301="","⚠ Falta cuenta",IF(ISNA(MATCH(Q1301,ctaNombre,0)),"⚠ Cuenta no registrada",IF(AND(OR(P1301="Gasto",P1301="Reembolso"),D1301=""),"⚠ Falta categoría",IF(AND(D1301&lt;&gt;"",E1301&lt;&gt;"",ISNA(MATCH(D1301&amp;"|"&amp;E1301,catClave,0))),"⚠ Subcategoría no corresponde",IF(AND(OR(P1301="Transferencia",P1301="Pago tarjeta"),K1301=""),"⚠ Falta cuenta destino",IF(AND(K1301&lt;&gt;"",P1301&lt;&gt;"Transferencia",P1301&lt;&gt;"Pago tarjeta"),"⚠ Destino solo aplica a transferencias",IF(AND(K1301&lt;&gt;"",K1301=Q1301),"⚠ Origen igual a destino",IF(AND(K1301&lt;&gt;"",ISNA(MATCH(K1301,ctaNombre,0))),"⚠ Destino no registrado",IF(AND(P1301="Pago tarjeta",AE1301&lt;&gt;"Tarjeta de crédito"),"⚠ El destino debe ser tarjeta de crédito",IF(AND(P1301="Gasto",E1301="Depósitos y retiros"),"⚠ Usa tipo Transferencia",IF(AND(P1301="Resultado trading",AD1301&lt;&gt;"Cuenta de trading"),"⚠ Usa una cuenta de trading",IF(AND(G1301&lt;=0,P1301&lt;&gt;"Ajuste",P1301&lt;&gt;"Resultado trading"),"⚠ El monto debe ser positivo","✓")))))))))))))))</f>
        <v/>
      </c>
      <c r="P1301" s="52">
        <f>IF(OR(B1301="",G1301=""),"",IF(C1301="","Gasto",C1301))</f>
        <v/>
      </c>
      <c r="Q1301" s="52">
        <f>IF(P1301="","",IF(J1301&lt;&gt;"",J1301,CuentaPred&amp;""))</f>
        <v/>
      </c>
      <c r="R1301" s="52">
        <f>IF(P1301="","",IF(ISNUMBER(I1301),I1301,TasaUSD))</f>
        <v/>
      </c>
      <c r="S1301" s="53">
        <f>IF(P1301="","",IF(H1301="USD",G1301*R1301,G1301))</f>
        <v/>
      </c>
      <c r="T1301" s="53">
        <f>IF(P1301="","",IF(H1301="USD",G1301,IF(R1301&gt;0,G1301/R1301,0)))</f>
        <v/>
      </c>
      <c r="U1301" s="53">
        <f>IF(P1301="","",IF(P1301="Gasto",S1301,IF(P1301="Reembolso",-S1301,0)))</f>
        <v/>
      </c>
      <c r="V1301" s="53">
        <f>IF(P1301="","",IF(P1301="Ingreso",S1301,0))</f>
        <v/>
      </c>
      <c r="W1301" s="53">
        <f>IF(P1301="","",IF(P1301="Resultado trading",S1301,0))</f>
        <v/>
      </c>
      <c r="X1301" s="52">
        <f>IF(OR(P1301="Gasto",P1301="Reembolso"),IF(M1301&lt;&gt;"",M1301,IFERROR(INDEX(catClasif,MATCH(D1301&amp;"|"&amp;E1301,catClave,0))&amp;"","Variable")),"")</f>
        <v/>
      </c>
      <c r="Y1301" s="52">
        <f>IF(P1301="","",IFERROR(INDEX(catGrupo,MATCH(D1301&amp;"|"&amp;E1301,catClave,0))&amp;"",""))</f>
        <v/>
      </c>
      <c r="Z1301" s="52">
        <f>IF(P1301="","",WEEKDAY(B1301,2))</f>
        <v/>
      </c>
      <c r="AA1301" s="52">
        <f>IF(P1301="","",IF(AND(P1301="Gasto",X1301="Variable",D1301&lt;&gt;catTrading,S1301&gt;0,S1301&lt;=Umbral),1,0))</f>
        <v/>
      </c>
      <c r="AB1301" s="52">
        <f>IF(OR(P1301="",Q1301=""),"",IFERROR(IF(INDEX(ctaVinc,MATCH(Q1301,ctaNombre,0))&amp;""&lt;&gt;"",INDEX(ctaVinc,MATCH(Q1301,ctaNombre,0))&amp;"",Q1301),Q1301))</f>
        <v/>
      </c>
      <c r="AC1301" s="52">
        <f>IF(OR(K1301="",AND(P1301&lt;&gt;"Transferencia",P1301&lt;&gt;"Pago tarjeta")),"",IFERROR(IF(INDEX(ctaVinc,MATCH(K1301,ctaNombre,0))&amp;""&lt;&gt;"",INDEX(ctaVinc,MATCH(K1301,ctaNombre,0))&amp;"",K1301),K1301))</f>
        <v/>
      </c>
      <c r="AD1301" s="52">
        <f>IF(AB1301="","",IFERROR(INDEX(ctaTipo,MATCH(AB1301,ctaNombre,0))&amp;"",""))</f>
        <v/>
      </c>
      <c r="AE1301" s="52">
        <f>IF(AC1301="","",IFERROR(INDEX(ctaTipo,MATCH(AC1301,ctaNombre,0))&amp;"",""))</f>
        <v/>
      </c>
      <c r="AF1301" s="53">
        <f>IF(OR(P1301="",AB1301=""),"",IF(OR(P1301="Gasto",P1301="Transferencia",P1301="Pago tarjeta"),-1,1)*IF(IFERROR(INDEX(ctaMoneda,MATCH(AB1301,ctaNombre,0))&amp;"","DOP")="USD",T1301,S1301))</f>
        <v/>
      </c>
      <c r="AG1301" s="53">
        <f>IF(AC1301="","",IF(IFERROR(INDEX(ctaMoneda,MATCH(AC1301,ctaNombre,0))&amp;"","DOP")="USD",T1301,S1301))</f>
        <v/>
      </c>
      <c r="AH1301" s="53">
        <f>IF(P1301="","",IF(AND(AD1301&lt;&gt;"",COUNTIFS(tcTipo,AD1301,tcLiq,"Sí")&gt;0),IF(OR(P1301="Gasto",P1301="Transferencia",P1301="Pago tarjeta"),-1,1)*S1301,0)+IF(AND(AE1301&lt;&gt;"",COUNTIFS(tcTipo,AE1301,tcLiq,"Sí")&gt;0),S1301,0))</f>
        <v/>
      </c>
      <c r="AI1301" s="52">
        <f>IF(OR(L1301="",P1301=""),"",IF(COUNTIFS(L$6:L1301,L1301,P$6:P1301,"?*")=1,MAX(AI$5:AI1300)+1,""))</f>
        <v/>
      </c>
    </row>
    <row r="1302">
      <c r="B1302" s="47" t="n"/>
      <c r="C1302" s="48" t="n"/>
      <c r="D1302" s="48" t="n"/>
      <c r="E1302" s="48" t="n"/>
      <c r="F1302" s="48" t="n"/>
      <c r="G1302" s="49" t="n"/>
      <c r="H1302" s="48" t="n"/>
      <c r="I1302" s="50" t="n"/>
      <c r="J1302" s="48" t="n"/>
      <c r="K1302" s="48" t="n"/>
      <c r="L1302" s="48" t="n"/>
      <c r="M1302" s="48" t="n"/>
      <c r="N1302" s="48" t="n"/>
      <c r="O1302" s="51">
        <f>IF(AND(B1302="",G1302="",C1302="",D1302="",J1302=""),"",IF(B1302="","⚠ Falta fecha",IF(G1302="","⚠ Falta monto",IF(Q1302="","⚠ Falta cuenta",IF(ISNA(MATCH(Q1302,ctaNombre,0)),"⚠ Cuenta no registrada",IF(AND(OR(P1302="Gasto",P1302="Reembolso"),D1302=""),"⚠ Falta categoría",IF(AND(D1302&lt;&gt;"",E1302&lt;&gt;"",ISNA(MATCH(D1302&amp;"|"&amp;E1302,catClave,0))),"⚠ Subcategoría no corresponde",IF(AND(OR(P1302="Transferencia",P1302="Pago tarjeta"),K1302=""),"⚠ Falta cuenta destino",IF(AND(K1302&lt;&gt;"",P1302&lt;&gt;"Transferencia",P1302&lt;&gt;"Pago tarjeta"),"⚠ Destino solo aplica a transferencias",IF(AND(K1302&lt;&gt;"",K1302=Q1302),"⚠ Origen igual a destino",IF(AND(K1302&lt;&gt;"",ISNA(MATCH(K1302,ctaNombre,0))),"⚠ Destino no registrado",IF(AND(P1302="Pago tarjeta",AE1302&lt;&gt;"Tarjeta de crédito"),"⚠ El destino debe ser tarjeta de crédito",IF(AND(P1302="Gasto",E1302="Depósitos y retiros"),"⚠ Usa tipo Transferencia",IF(AND(P1302="Resultado trading",AD1302&lt;&gt;"Cuenta de trading"),"⚠ Usa una cuenta de trading",IF(AND(G1302&lt;=0,P1302&lt;&gt;"Ajuste",P1302&lt;&gt;"Resultado trading"),"⚠ El monto debe ser positivo","✓")))))))))))))))</f>
        <v/>
      </c>
      <c r="P1302" s="52">
        <f>IF(OR(B1302="",G1302=""),"",IF(C1302="","Gasto",C1302))</f>
        <v/>
      </c>
      <c r="Q1302" s="52">
        <f>IF(P1302="","",IF(J1302&lt;&gt;"",J1302,CuentaPred&amp;""))</f>
        <v/>
      </c>
      <c r="R1302" s="52">
        <f>IF(P1302="","",IF(ISNUMBER(I1302),I1302,TasaUSD))</f>
        <v/>
      </c>
      <c r="S1302" s="53">
        <f>IF(P1302="","",IF(H1302="USD",G1302*R1302,G1302))</f>
        <v/>
      </c>
      <c r="T1302" s="53">
        <f>IF(P1302="","",IF(H1302="USD",G1302,IF(R1302&gt;0,G1302/R1302,0)))</f>
        <v/>
      </c>
      <c r="U1302" s="53">
        <f>IF(P1302="","",IF(P1302="Gasto",S1302,IF(P1302="Reembolso",-S1302,0)))</f>
        <v/>
      </c>
      <c r="V1302" s="53">
        <f>IF(P1302="","",IF(P1302="Ingreso",S1302,0))</f>
        <v/>
      </c>
      <c r="W1302" s="53">
        <f>IF(P1302="","",IF(P1302="Resultado trading",S1302,0))</f>
        <v/>
      </c>
      <c r="X1302" s="52">
        <f>IF(OR(P1302="Gasto",P1302="Reembolso"),IF(M1302&lt;&gt;"",M1302,IFERROR(INDEX(catClasif,MATCH(D1302&amp;"|"&amp;E1302,catClave,0))&amp;"","Variable")),"")</f>
        <v/>
      </c>
      <c r="Y1302" s="52">
        <f>IF(P1302="","",IFERROR(INDEX(catGrupo,MATCH(D1302&amp;"|"&amp;E1302,catClave,0))&amp;"",""))</f>
        <v/>
      </c>
      <c r="Z1302" s="52">
        <f>IF(P1302="","",WEEKDAY(B1302,2))</f>
        <v/>
      </c>
      <c r="AA1302" s="52">
        <f>IF(P1302="","",IF(AND(P1302="Gasto",X1302="Variable",D1302&lt;&gt;catTrading,S1302&gt;0,S1302&lt;=Umbral),1,0))</f>
        <v/>
      </c>
      <c r="AB1302" s="52">
        <f>IF(OR(P1302="",Q1302=""),"",IFERROR(IF(INDEX(ctaVinc,MATCH(Q1302,ctaNombre,0))&amp;""&lt;&gt;"",INDEX(ctaVinc,MATCH(Q1302,ctaNombre,0))&amp;"",Q1302),Q1302))</f>
        <v/>
      </c>
      <c r="AC1302" s="52">
        <f>IF(OR(K1302="",AND(P1302&lt;&gt;"Transferencia",P1302&lt;&gt;"Pago tarjeta")),"",IFERROR(IF(INDEX(ctaVinc,MATCH(K1302,ctaNombre,0))&amp;""&lt;&gt;"",INDEX(ctaVinc,MATCH(K1302,ctaNombre,0))&amp;"",K1302),K1302))</f>
        <v/>
      </c>
      <c r="AD1302" s="52">
        <f>IF(AB1302="","",IFERROR(INDEX(ctaTipo,MATCH(AB1302,ctaNombre,0))&amp;"",""))</f>
        <v/>
      </c>
      <c r="AE1302" s="52">
        <f>IF(AC1302="","",IFERROR(INDEX(ctaTipo,MATCH(AC1302,ctaNombre,0))&amp;"",""))</f>
        <v/>
      </c>
      <c r="AF1302" s="53">
        <f>IF(OR(P1302="",AB1302=""),"",IF(OR(P1302="Gasto",P1302="Transferencia",P1302="Pago tarjeta"),-1,1)*IF(IFERROR(INDEX(ctaMoneda,MATCH(AB1302,ctaNombre,0))&amp;"","DOP")="USD",T1302,S1302))</f>
        <v/>
      </c>
      <c r="AG1302" s="53">
        <f>IF(AC1302="","",IF(IFERROR(INDEX(ctaMoneda,MATCH(AC1302,ctaNombre,0))&amp;"","DOP")="USD",T1302,S1302))</f>
        <v/>
      </c>
      <c r="AH1302" s="53">
        <f>IF(P1302="","",IF(AND(AD1302&lt;&gt;"",COUNTIFS(tcTipo,AD1302,tcLiq,"Sí")&gt;0),IF(OR(P1302="Gasto",P1302="Transferencia",P1302="Pago tarjeta"),-1,1)*S1302,0)+IF(AND(AE1302&lt;&gt;"",COUNTIFS(tcTipo,AE1302,tcLiq,"Sí")&gt;0),S1302,0))</f>
        <v/>
      </c>
      <c r="AI1302" s="52">
        <f>IF(OR(L1302="",P1302=""),"",IF(COUNTIFS(L$6:L1302,L1302,P$6:P1302,"?*")=1,MAX(AI$5:AI1301)+1,""))</f>
        <v/>
      </c>
    </row>
    <row r="1303">
      <c r="B1303" s="47" t="n"/>
      <c r="C1303" s="48" t="n"/>
      <c r="D1303" s="48" t="n"/>
      <c r="E1303" s="48" t="n"/>
      <c r="F1303" s="48" t="n"/>
      <c r="G1303" s="49" t="n"/>
      <c r="H1303" s="48" t="n"/>
      <c r="I1303" s="50" t="n"/>
      <c r="J1303" s="48" t="n"/>
      <c r="K1303" s="48" t="n"/>
      <c r="L1303" s="48" t="n"/>
      <c r="M1303" s="48" t="n"/>
      <c r="N1303" s="48" t="n"/>
      <c r="O1303" s="51">
        <f>IF(AND(B1303="",G1303="",C1303="",D1303="",J1303=""),"",IF(B1303="","⚠ Falta fecha",IF(G1303="","⚠ Falta monto",IF(Q1303="","⚠ Falta cuenta",IF(ISNA(MATCH(Q1303,ctaNombre,0)),"⚠ Cuenta no registrada",IF(AND(OR(P1303="Gasto",P1303="Reembolso"),D1303=""),"⚠ Falta categoría",IF(AND(D1303&lt;&gt;"",E1303&lt;&gt;"",ISNA(MATCH(D1303&amp;"|"&amp;E1303,catClave,0))),"⚠ Subcategoría no corresponde",IF(AND(OR(P1303="Transferencia",P1303="Pago tarjeta"),K1303=""),"⚠ Falta cuenta destino",IF(AND(K1303&lt;&gt;"",P1303&lt;&gt;"Transferencia",P1303&lt;&gt;"Pago tarjeta"),"⚠ Destino solo aplica a transferencias",IF(AND(K1303&lt;&gt;"",K1303=Q1303),"⚠ Origen igual a destino",IF(AND(K1303&lt;&gt;"",ISNA(MATCH(K1303,ctaNombre,0))),"⚠ Destino no registrado",IF(AND(P1303="Pago tarjeta",AE1303&lt;&gt;"Tarjeta de crédito"),"⚠ El destino debe ser tarjeta de crédito",IF(AND(P1303="Gasto",E1303="Depósitos y retiros"),"⚠ Usa tipo Transferencia",IF(AND(P1303="Resultado trading",AD1303&lt;&gt;"Cuenta de trading"),"⚠ Usa una cuenta de trading",IF(AND(G1303&lt;=0,P1303&lt;&gt;"Ajuste",P1303&lt;&gt;"Resultado trading"),"⚠ El monto debe ser positivo","✓")))))))))))))))</f>
        <v/>
      </c>
      <c r="P1303" s="52">
        <f>IF(OR(B1303="",G1303=""),"",IF(C1303="","Gasto",C1303))</f>
        <v/>
      </c>
      <c r="Q1303" s="52">
        <f>IF(P1303="","",IF(J1303&lt;&gt;"",J1303,CuentaPred&amp;""))</f>
        <v/>
      </c>
      <c r="R1303" s="52">
        <f>IF(P1303="","",IF(ISNUMBER(I1303),I1303,TasaUSD))</f>
        <v/>
      </c>
      <c r="S1303" s="53">
        <f>IF(P1303="","",IF(H1303="USD",G1303*R1303,G1303))</f>
        <v/>
      </c>
      <c r="T1303" s="53">
        <f>IF(P1303="","",IF(H1303="USD",G1303,IF(R1303&gt;0,G1303/R1303,0)))</f>
        <v/>
      </c>
      <c r="U1303" s="53">
        <f>IF(P1303="","",IF(P1303="Gasto",S1303,IF(P1303="Reembolso",-S1303,0)))</f>
        <v/>
      </c>
      <c r="V1303" s="53">
        <f>IF(P1303="","",IF(P1303="Ingreso",S1303,0))</f>
        <v/>
      </c>
      <c r="W1303" s="53">
        <f>IF(P1303="","",IF(P1303="Resultado trading",S1303,0))</f>
        <v/>
      </c>
      <c r="X1303" s="52">
        <f>IF(OR(P1303="Gasto",P1303="Reembolso"),IF(M1303&lt;&gt;"",M1303,IFERROR(INDEX(catClasif,MATCH(D1303&amp;"|"&amp;E1303,catClave,0))&amp;"","Variable")),"")</f>
        <v/>
      </c>
      <c r="Y1303" s="52">
        <f>IF(P1303="","",IFERROR(INDEX(catGrupo,MATCH(D1303&amp;"|"&amp;E1303,catClave,0))&amp;"",""))</f>
        <v/>
      </c>
      <c r="Z1303" s="52">
        <f>IF(P1303="","",WEEKDAY(B1303,2))</f>
        <v/>
      </c>
      <c r="AA1303" s="52">
        <f>IF(P1303="","",IF(AND(P1303="Gasto",X1303="Variable",D1303&lt;&gt;catTrading,S1303&gt;0,S1303&lt;=Umbral),1,0))</f>
        <v/>
      </c>
      <c r="AB1303" s="52">
        <f>IF(OR(P1303="",Q1303=""),"",IFERROR(IF(INDEX(ctaVinc,MATCH(Q1303,ctaNombre,0))&amp;""&lt;&gt;"",INDEX(ctaVinc,MATCH(Q1303,ctaNombre,0))&amp;"",Q1303),Q1303))</f>
        <v/>
      </c>
      <c r="AC1303" s="52">
        <f>IF(OR(K1303="",AND(P1303&lt;&gt;"Transferencia",P1303&lt;&gt;"Pago tarjeta")),"",IFERROR(IF(INDEX(ctaVinc,MATCH(K1303,ctaNombre,0))&amp;""&lt;&gt;"",INDEX(ctaVinc,MATCH(K1303,ctaNombre,0))&amp;"",K1303),K1303))</f>
        <v/>
      </c>
      <c r="AD1303" s="52">
        <f>IF(AB1303="","",IFERROR(INDEX(ctaTipo,MATCH(AB1303,ctaNombre,0))&amp;"",""))</f>
        <v/>
      </c>
      <c r="AE1303" s="52">
        <f>IF(AC1303="","",IFERROR(INDEX(ctaTipo,MATCH(AC1303,ctaNombre,0))&amp;"",""))</f>
        <v/>
      </c>
      <c r="AF1303" s="53">
        <f>IF(OR(P1303="",AB1303=""),"",IF(OR(P1303="Gasto",P1303="Transferencia",P1303="Pago tarjeta"),-1,1)*IF(IFERROR(INDEX(ctaMoneda,MATCH(AB1303,ctaNombre,0))&amp;"","DOP")="USD",T1303,S1303))</f>
        <v/>
      </c>
      <c r="AG1303" s="53">
        <f>IF(AC1303="","",IF(IFERROR(INDEX(ctaMoneda,MATCH(AC1303,ctaNombre,0))&amp;"","DOP")="USD",T1303,S1303))</f>
        <v/>
      </c>
      <c r="AH1303" s="53">
        <f>IF(P1303="","",IF(AND(AD1303&lt;&gt;"",COUNTIFS(tcTipo,AD1303,tcLiq,"Sí")&gt;0),IF(OR(P1303="Gasto",P1303="Transferencia",P1303="Pago tarjeta"),-1,1)*S1303,0)+IF(AND(AE1303&lt;&gt;"",COUNTIFS(tcTipo,AE1303,tcLiq,"Sí")&gt;0),S1303,0))</f>
        <v/>
      </c>
      <c r="AI1303" s="52">
        <f>IF(OR(L1303="",P1303=""),"",IF(COUNTIFS(L$6:L1303,L1303,P$6:P1303,"?*")=1,MAX(AI$5:AI1302)+1,""))</f>
        <v/>
      </c>
    </row>
    <row r="1304">
      <c r="B1304" s="47" t="n"/>
      <c r="C1304" s="48" t="n"/>
      <c r="D1304" s="48" t="n"/>
      <c r="E1304" s="48" t="n"/>
      <c r="F1304" s="48" t="n"/>
      <c r="G1304" s="49" t="n"/>
      <c r="H1304" s="48" t="n"/>
      <c r="I1304" s="50" t="n"/>
      <c r="J1304" s="48" t="n"/>
      <c r="K1304" s="48" t="n"/>
      <c r="L1304" s="48" t="n"/>
      <c r="M1304" s="48" t="n"/>
      <c r="N1304" s="48" t="n"/>
      <c r="O1304" s="51">
        <f>IF(AND(B1304="",G1304="",C1304="",D1304="",J1304=""),"",IF(B1304="","⚠ Falta fecha",IF(G1304="","⚠ Falta monto",IF(Q1304="","⚠ Falta cuenta",IF(ISNA(MATCH(Q1304,ctaNombre,0)),"⚠ Cuenta no registrada",IF(AND(OR(P1304="Gasto",P1304="Reembolso"),D1304=""),"⚠ Falta categoría",IF(AND(D1304&lt;&gt;"",E1304&lt;&gt;"",ISNA(MATCH(D1304&amp;"|"&amp;E1304,catClave,0))),"⚠ Subcategoría no corresponde",IF(AND(OR(P1304="Transferencia",P1304="Pago tarjeta"),K1304=""),"⚠ Falta cuenta destino",IF(AND(K1304&lt;&gt;"",P1304&lt;&gt;"Transferencia",P1304&lt;&gt;"Pago tarjeta"),"⚠ Destino solo aplica a transferencias",IF(AND(K1304&lt;&gt;"",K1304=Q1304),"⚠ Origen igual a destino",IF(AND(K1304&lt;&gt;"",ISNA(MATCH(K1304,ctaNombre,0))),"⚠ Destino no registrado",IF(AND(P1304="Pago tarjeta",AE1304&lt;&gt;"Tarjeta de crédito"),"⚠ El destino debe ser tarjeta de crédito",IF(AND(P1304="Gasto",E1304="Depósitos y retiros"),"⚠ Usa tipo Transferencia",IF(AND(P1304="Resultado trading",AD1304&lt;&gt;"Cuenta de trading"),"⚠ Usa una cuenta de trading",IF(AND(G1304&lt;=0,P1304&lt;&gt;"Ajuste",P1304&lt;&gt;"Resultado trading"),"⚠ El monto debe ser positivo","✓")))))))))))))))</f>
        <v/>
      </c>
      <c r="P1304" s="52">
        <f>IF(OR(B1304="",G1304=""),"",IF(C1304="","Gasto",C1304))</f>
        <v/>
      </c>
      <c r="Q1304" s="52">
        <f>IF(P1304="","",IF(J1304&lt;&gt;"",J1304,CuentaPred&amp;""))</f>
        <v/>
      </c>
      <c r="R1304" s="52">
        <f>IF(P1304="","",IF(ISNUMBER(I1304),I1304,TasaUSD))</f>
        <v/>
      </c>
      <c r="S1304" s="53">
        <f>IF(P1304="","",IF(H1304="USD",G1304*R1304,G1304))</f>
        <v/>
      </c>
      <c r="T1304" s="53">
        <f>IF(P1304="","",IF(H1304="USD",G1304,IF(R1304&gt;0,G1304/R1304,0)))</f>
        <v/>
      </c>
      <c r="U1304" s="53">
        <f>IF(P1304="","",IF(P1304="Gasto",S1304,IF(P1304="Reembolso",-S1304,0)))</f>
        <v/>
      </c>
      <c r="V1304" s="53">
        <f>IF(P1304="","",IF(P1304="Ingreso",S1304,0))</f>
        <v/>
      </c>
      <c r="W1304" s="53">
        <f>IF(P1304="","",IF(P1304="Resultado trading",S1304,0))</f>
        <v/>
      </c>
      <c r="X1304" s="52">
        <f>IF(OR(P1304="Gasto",P1304="Reembolso"),IF(M1304&lt;&gt;"",M1304,IFERROR(INDEX(catClasif,MATCH(D1304&amp;"|"&amp;E1304,catClave,0))&amp;"","Variable")),"")</f>
        <v/>
      </c>
      <c r="Y1304" s="52">
        <f>IF(P1304="","",IFERROR(INDEX(catGrupo,MATCH(D1304&amp;"|"&amp;E1304,catClave,0))&amp;"",""))</f>
        <v/>
      </c>
      <c r="Z1304" s="52">
        <f>IF(P1304="","",WEEKDAY(B1304,2))</f>
        <v/>
      </c>
      <c r="AA1304" s="52">
        <f>IF(P1304="","",IF(AND(P1304="Gasto",X1304="Variable",D1304&lt;&gt;catTrading,S1304&gt;0,S1304&lt;=Umbral),1,0))</f>
        <v/>
      </c>
      <c r="AB1304" s="52">
        <f>IF(OR(P1304="",Q1304=""),"",IFERROR(IF(INDEX(ctaVinc,MATCH(Q1304,ctaNombre,0))&amp;""&lt;&gt;"",INDEX(ctaVinc,MATCH(Q1304,ctaNombre,0))&amp;"",Q1304),Q1304))</f>
        <v/>
      </c>
      <c r="AC1304" s="52">
        <f>IF(OR(K1304="",AND(P1304&lt;&gt;"Transferencia",P1304&lt;&gt;"Pago tarjeta")),"",IFERROR(IF(INDEX(ctaVinc,MATCH(K1304,ctaNombre,0))&amp;""&lt;&gt;"",INDEX(ctaVinc,MATCH(K1304,ctaNombre,0))&amp;"",K1304),K1304))</f>
        <v/>
      </c>
      <c r="AD1304" s="52">
        <f>IF(AB1304="","",IFERROR(INDEX(ctaTipo,MATCH(AB1304,ctaNombre,0))&amp;"",""))</f>
        <v/>
      </c>
      <c r="AE1304" s="52">
        <f>IF(AC1304="","",IFERROR(INDEX(ctaTipo,MATCH(AC1304,ctaNombre,0))&amp;"",""))</f>
        <v/>
      </c>
      <c r="AF1304" s="53">
        <f>IF(OR(P1304="",AB1304=""),"",IF(OR(P1304="Gasto",P1304="Transferencia",P1304="Pago tarjeta"),-1,1)*IF(IFERROR(INDEX(ctaMoneda,MATCH(AB1304,ctaNombre,0))&amp;"","DOP")="USD",T1304,S1304))</f>
        <v/>
      </c>
      <c r="AG1304" s="53">
        <f>IF(AC1304="","",IF(IFERROR(INDEX(ctaMoneda,MATCH(AC1304,ctaNombre,0))&amp;"","DOP")="USD",T1304,S1304))</f>
        <v/>
      </c>
      <c r="AH1304" s="53">
        <f>IF(P1304="","",IF(AND(AD1304&lt;&gt;"",COUNTIFS(tcTipo,AD1304,tcLiq,"Sí")&gt;0),IF(OR(P1304="Gasto",P1304="Transferencia",P1304="Pago tarjeta"),-1,1)*S1304,0)+IF(AND(AE1304&lt;&gt;"",COUNTIFS(tcTipo,AE1304,tcLiq,"Sí")&gt;0),S1304,0))</f>
        <v/>
      </c>
      <c r="AI1304" s="52">
        <f>IF(OR(L1304="",P1304=""),"",IF(COUNTIFS(L$6:L1304,L1304,P$6:P1304,"?*")=1,MAX(AI$5:AI1303)+1,""))</f>
        <v/>
      </c>
    </row>
    <row r="1305">
      <c r="B1305" s="47" t="n"/>
      <c r="C1305" s="48" t="n"/>
      <c r="D1305" s="48" t="n"/>
      <c r="E1305" s="48" t="n"/>
      <c r="F1305" s="48" t="n"/>
      <c r="G1305" s="49" t="n"/>
      <c r="H1305" s="48" t="n"/>
      <c r="I1305" s="50" t="n"/>
      <c r="J1305" s="48" t="n"/>
      <c r="K1305" s="48" t="n"/>
      <c r="L1305" s="48" t="n"/>
      <c r="M1305" s="48" t="n"/>
      <c r="N1305" s="48" t="n"/>
      <c r="O1305" s="51">
        <f>IF(AND(B1305="",G1305="",C1305="",D1305="",J1305=""),"",IF(B1305="","⚠ Falta fecha",IF(G1305="","⚠ Falta monto",IF(Q1305="","⚠ Falta cuenta",IF(ISNA(MATCH(Q1305,ctaNombre,0)),"⚠ Cuenta no registrada",IF(AND(OR(P1305="Gasto",P1305="Reembolso"),D1305=""),"⚠ Falta categoría",IF(AND(D1305&lt;&gt;"",E1305&lt;&gt;"",ISNA(MATCH(D1305&amp;"|"&amp;E1305,catClave,0))),"⚠ Subcategoría no corresponde",IF(AND(OR(P1305="Transferencia",P1305="Pago tarjeta"),K1305=""),"⚠ Falta cuenta destino",IF(AND(K1305&lt;&gt;"",P1305&lt;&gt;"Transferencia",P1305&lt;&gt;"Pago tarjeta"),"⚠ Destino solo aplica a transferencias",IF(AND(K1305&lt;&gt;"",K1305=Q1305),"⚠ Origen igual a destino",IF(AND(K1305&lt;&gt;"",ISNA(MATCH(K1305,ctaNombre,0))),"⚠ Destino no registrado",IF(AND(P1305="Pago tarjeta",AE1305&lt;&gt;"Tarjeta de crédito"),"⚠ El destino debe ser tarjeta de crédito",IF(AND(P1305="Gasto",E1305="Depósitos y retiros"),"⚠ Usa tipo Transferencia",IF(AND(P1305="Resultado trading",AD1305&lt;&gt;"Cuenta de trading"),"⚠ Usa una cuenta de trading",IF(AND(G1305&lt;=0,P1305&lt;&gt;"Ajuste",P1305&lt;&gt;"Resultado trading"),"⚠ El monto debe ser positivo","✓")))))))))))))))</f>
        <v/>
      </c>
      <c r="P1305" s="52">
        <f>IF(OR(B1305="",G1305=""),"",IF(C1305="","Gasto",C1305))</f>
        <v/>
      </c>
      <c r="Q1305" s="52">
        <f>IF(P1305="","",IF(J1305&lt;&gt;"",J1305,CuentaPred&amp;""))</f>
        <v/>
      </c>
      <c r="R1305" s="52">
        <f>IF(P1305="","",IF(ISNUMBER(I1305),I1305,TasaUSD))</f>
        <v/>
      </c>
      <c r="S1305" s="53">
        <f>IF(P1305="","",IF(H1305="USD",G1305*R1305,G1305))</f>
        <v/>
      </c>
      <c r="T1305" s="53">
        <f>IF(P1305="","",IF(H1305="USD",G1305,IF(R1305&gt;0,G1305/R1305,0)))</f>
        <v/>
      </c>
      <c r="U1305" s="53">
        <f>IF(P1305="","",IF(P1305="Gasto",S1305,IF(P1305="Reembolso",-S1305,0)))</f>
        <v/>
      </c>
      <c r="V1305" s="53">
        <f>IF(P1305="","",IF(P1305="Ingreso",S1305,0))</f>
        <v/>
      </c>
      <c r="W1305" s="53">
        <f>IF(P1305="","",IF(P1305="Resultado trading",S1305,0))</f>
        <v/>
      </c>
      <c r="X1305" s="52">
        <f>IF(OR(P1305="Gasto",P1305="Reembolso"),IF(M1305&lt;&gt;"",M1305,IFERROR(INDEX(catClasif,MATCH(D1305&amp;"|"&amp;E1305,catClave,0))&amp;"","Variable")),"")</f>
        <v/>
      </c>
      <c r="Y1305" s="52">
        <f>IF(P1305="","",IFERROR(INDEX(catGrupo,MATCH(D1305&amp;"|"&amp;E1305,catClave,0))&amp;"",""))</f>
        <v/>
      </c>
      <c r="Z1305" s="52">
        <f>IF(P1305="","",WEEKDAY(B1305,2))</f>
        <v/>
      </c>
      <c r="AA1305" s="52">
        <f>IF(P1305="","",IF(AND(P1305="Gasto",X1305="Variable",D1305&lt;&gt;catTrading,S1305&gt;0,S1305&lt;=Umbral),1,0))</f>
        <v/>
      </c>
      <c r="AB1305" s="52">
        <f>IF(OR(P1305="",Q1305=""),"",IFERROR(IF(INDEX(ctaVinc,MATCH(Q1305,ctaNombre,0))&amp;""&lt;&gt;"",INDEX(ctaVinc,MATCH(Q1305,ctaNombre,0))&amp;"",Q1305),Q1305))</f>
        <v/>
      </c>
      <c r="AC1305" s="52">
        <f>IF(OR(K1305="",AND(P1305&lt;&gt;"Transferencia",P1305&lt;&gt;"Pago tarjeta")),"",IFERROR(IF(INDEX(ctaVinc,MATCH(K1305,ctaNombre,0))&amp;""&lt;&gt;"",INDEX(ctaVinc,MATCH(K1305,ctaNombre,0))&amp;"",K1305),K1305))</f>
        <v/>
      </c>
      <c r="AD1305" s="52">
        <f>IF(AB1305="","",IFERROR(INDEX(ctaTipo,MATCH(AB1305,ctaNombre,0))&amp;"",""))</f>
        <v/>
      </c>
      <c r="AE1305" s="52">
        <f>IF(AC1305="","",IFERROR(INDEX(ctaTipo,MATCH(AC1305,ctaNombre,0))&amp;"",""))</f>
        <v/>
      </c>
      <c r="AF1305" s="53">
        <f>IF(OR(P1305="",AB1305=""),"",IF(OR(P1305="Gasto",P1305="Transferencia",P1305="Pago tarjeta"),-1,1)*IF(IFERROR(INDEX(ctaMoneda,MATCH(AB1305,ctaNombre,0))&amp;"","DOP")="USD",T1305,S1305))</f>
        <v/>
      </c>
      <c r="AG1305" s="53">
        <f>IF(AC1305="","",IF(IFERROR(INDEX(ctaMoneda,MATCH(AC1305,ctaNombre,0))&amp;"","DOP")="USD",T1305,S1305))</f>
        <v/>
      </c>
      <c r="AH1305" s="53">
        <f>IF(P1305="","",IF(AND(AD1305&lt;&gt;"",COUNTIFS(tcTipo,AD1305,tcLiq,"Sí")&gt;0),IF(OR(P1305="Gasto",P1305="Transferencia",P1305="Pago tarjeta"),-1,1)*S1305,0)+IF(AND(AE1305&lt;&gt;"",COUNTIFS(tcTipo,AE1305,tcLiq,"Sí")&gt;0),S1305,0))</f>
        <v/>
      </c>
      <c r="AI1305" s="52">
        <f>IF(OR(L1305="",P1305=""),"",IF(COUNTIFS(L$6:L1305,L1305,P$6:P1305,"?*")=1,MAX(AI$5:AI1304)+1,""))</f>
        <v/>
      </c>
    </row>
    <row r="1306">
      <c r="B1306" s="47" t="n"/>
      <c r="C1306" s="48" t="n"/>
      <c r="D1306" s="48" t="n"/>
      <c r="E1306" s="48" t="n"/>
      <c r="F1306" s="48" t="n"/>
      <c r="G1306" s="49" t="n"/>
      <c r="H1306" s="48" t="n"/>
      <c r="I1306" s="50" t="n"/>
      <c r="J1306" s="48" t="n"/>
      <c r="K1306" s="48" t="n"/>
      <c r="L1306" s="48" t="n"/>
      <c r="M1306" s="48" t="n"/>
      <c r="N1306" s="48" t="n"/>
      <c r="O1306" s="51">
        <f>IF(AND(B1306="",G1306="",C1306="",D1306="",J1306=""),"",IF(B1306="","⚠ Falta fecha",IF(G1306="","⚠ Falta monto",IF(Q1306="","⚠ Falta cuenta",IF(ISNA(MATCH(Q1306,ctaNombre,0)),"⚠ Cuenta no registrada",IF(AND(OR(P1306="Gasto",P1306="Reembolso"),D1306=""),"⚠ Falta categoría",IF(AND(D1306&lt;&gt;"",E1306&lt;&gt;"",ISNA(MATCH(D1306&amp;"|"&amp;E1306,catClave,0))),"⚠ Subcategoría no corresponde",IF(AND(OR(P1306="Transferencia",P1306="Pago tarjeta"),K1306=""),"⚠ Falta cuenta destino",IF(AND(K1306&lt;&gt;"",P1306&lt;&gt;"Transferencia",P1306&lt;&gt;"Pago tarjeta"),"⚠ Destino solo aplica a transferencias",IF(AND(K1306&lt;&gt;"",K1306=Q1306),"⚠ Origen igual a destino",IF(AND(K1306&lt;&gt;"",ISNA(MATCH(K1306,ctaNombre,0))),"⚠ Destino no registrado",IF(AND(P1306="Pago tarjeta",AE1306&lt;&gt;"Tarjeta de crédito"),"⚠ El destino debe ser tarjeta de crédito",IF(AND(P1306="Gasto",E1306="Depósitos y retiros"),"⚠ Usa tipo Transferencia",IF(AND(P1306="Resultado trading",AD1306&lt;&gt;"Cuenta de trading"),"⚠ Usa una cuenta de trading",IF(AND(G1306&lt;=0,P1306&lt;&gt;"Ajuste",P1306&lt;&gt;"Resultado trading"),"⚠ El monto debe ser positivo","✓")))))))))))))))</f>
        <v/>
      </c>
      <c r="P1306" s="52">
        <f>IF(OR(B1306="",G1306=""),"",IF(C1306="","Gasto",C1306))</f>
        <v/>
      </c>
      <c r="Q1306" s="52">
        <f>IF(P1306="","",IF(J1306&lt;&gt;"",J1306,CuentaPred&amp;""))</f>
        <v/>
      </c>
      <c r="R1306" s="52">
        <f>IF(P1306="","",IF(ISNUMBER(I1306),I1306,TasaUSD))</f>
        <v/>
      </c>
      <c r="S1306" s="53">
        <f>IF(P1306="","",IF(H1306="USD",G1306*R1306,G1306))</f>
        <v/>
      </c>
      <c r="T1306" s="53">
        <f>IF(P1306="","",IF(H1306="USD",G1306,IF(R1306&gt;0,G1306/R1306,0)))</f>
        <v/>
      </c>
      <c r="U1306" s="53">
        <f>IF(P1306="","",IF(P1306="Gasto",S1306,IF(P1306="Reembolso",-S1306,0)))</f>
        <v/>
      </c>
      <c r="V1306" s="53">
        <f>IF(P1306="","",IF(P1306="Ingreso",S1306,0))</f>
        <v/>
      </c>
      <c r="W1306" s="53">
        <f>IF(P1306="","",IF(P1306="Resultado trading",S1306,0))</f>
        <v/>
      </c>
      <c r="X1306" s="52">
        <f>IF(OR(P1306="Gasto",P1306="Reembolso"),IF(M1306&lt;&gt;"",M1306,IFERROR(INDEX(catClasif,MATCH(D1306&amp;"|"&amp;E1306,catClave,0))&amp;"","Variable")),"")</f>
        <v/>
      </c>
      <c r="Y1306" s="52">
        <f>IF(P1306="","",IFERROR(INDEX(catGrupo,MATCH(D1306&amp;"|"&amp;E1306,catClave,0))&amp;"",""))</f>
        <v/>
      </c>
      <c r="Z1306" s="52">
        <f>IF(P1306="","",WEEKDAY(B1306,2))</f>
        <v/>
      </c>
      <c r="AA1306" s="52">
        <f>IF(P1306="","",IF(AND(P1306="Gasto",X1306="Variable",D1306&lt;&gt;catTrading,S1306&gt;0,S1306&lt;=Umbral),1,0))</f>
        <v/>
      </c>
      <c r="AB1306" s="52">
        <f>IF(OR(P1306="",Q1306=""),"",IFERROR(IF(INDEX(ctaVinc,MATCH(Q1306,ctaNombre,0))&amp;""&lt;&gt;"",INDEX(ctaVinc,MATCH(Q1306,ctaNombre,0))&amp;"",Q1306),Q1306))</f>
        <v/>
      </c>
      <c r="AC1306" s="52">
        <f>IF(OR(K1306="",AND(P1306&lt;&gt;"Transferencia",P1306&lt;&gt;"Pago tarjeta")),"",IFERROR(IF(INDEX(ctaVinc,MATCH(K1306,ctaNombre,0))&amp;""&lt;&gt;"",INDEX(ctaVinc,MATCH(K1306,ctaNombre,0))&amp;"",K1306),K1306))</f>
        <v/>
      </c>
      <c r="AD1306" s="52">
        <f>IF(AB1306="","",IFERROR(INDEX(ctaTipo,MATCH(AB1306,ctaNombre,0))&amp;"",""))</f>
        <v/>
      </c>
      <c r="AE1306" s="52">
        <f>IF(AC1306="","",IFERROR(INDEX(ctaTipo,MATCH(AC1306,ctaNombre,0))&amp;"",""))</f>
        <v/>
      </c>
      <c r="AF1306" s="53">
        <f>IF(OR(P1306="",AB1306=""),"",IF(OR(P1306="Gasto",P1306="Transferencia",P1306="Pago tarjeta"),-1,1)*IF(IFERROR(INDEX(ctaMoneda,MATCH(AB1306,ctaNombre,0))&amp;"","DOP")="USD",T1306,S1306))</f>
        <v/>
      </c>
      <c r="AG1306" s="53">
        <f>IF(AC1306="","",IF(IFERROR(INDEX(ctaMoneda,MATCH(AC1306,ctaNombre,0))&amp;"","DOP")="USD",T1306,S1306))</f>
        <v/>
      </c>
      <c r="AH1306" s="53">
        <f>IF(P1306="","",IF(AND(AD1306&lt;&gt;"",COUNTIFS(tcTipo,AD1306,tcLiq,"Sí")&gt;0),IF(OR(P1306="Gasto",P1306="Transferencia",P1306="Pago tarjeta"),-1,1)*S1306,0)+IF(AND(AE1306&lt;&gt;"",COUNTIFS(tcTipo,AE1306,tcLiq,"Sí")&gt;0),S1306,0))</f>
        <v/>
      </c>
      <c r="AI1306" s="52">
        <f>IF(OR(L1306="",P1306=""),"",IF(COUNTIFS(L$6:L1306,L1306,P$6:P1306,"?*")=1,MAX(AI$5:AI1305)+1,""))</f>
        <v/>
      </c>
    </row>
    <row r="1307">
      <c r="B1307" s="47" t="n"/>
      <c r="C1307" s="48" t="n"/>
      <c r="D1307" s="48" t="n"/>
      <c r="E1307" s="48" t="n"/>
      <c r="F1307" s="48" t="n"/>
      <c r="G1307" s="49" t="n"/>
      <c r="H1307" s="48" t="n"/>
      <c r="I1307" s="50" t="n"/>
      <c r="J1307" s="48" t="n"/>
      <c r="K1307" s="48" t="n"/>
      <c r="L1307" s="48" t="n"/>
      <c r="M1307" s="48" t="n"/>
      <c r="N1307" s="48" t="n"/>
      <c r="O1307" s="51">
        <f>IF(AND(B1307="",G1307="",C1307="",D1307="",J1307=""),"",IF(B1307="","⚠ Falta fecha",IF(G1307="","⚠ Falta monto",IF(Q1307="","⚠ Falta cuenta",IF(ISNA(MATCH(Q1307,ctaNombre,0)),"⚠ Cuenta no registrada",IF(AND(OR(P1307="Gasto",P1307="Reembolso"),D1307=""),"⚠ Falta categoría",IF(AND(D1307&lt;&gt;"",E1307&lt;&gt;"",ISNA(MATCH(D1307&amp;"|"&amp;E1307,catClave,0))),"⚠ Subcategoría no corresponde",IF(AND(OR(P1307="Transferencia",P1307="Pago tarjeta"),K1307=""),"⚠ Falta cuenta destino",IF(AND(K1307&lt;&gt;"",P1307&lt;&gt;"Transferencia",P1307&lt;&gt;"Pago tarjeta"),"⚠ Destino solo aplica a transferencias",IF(AND(K1307&lt;&gt;"",K1307=Q1307),"⚠ Origen igual a destino",IF(AND(K1307&lt;&gt;"",ISNA(MATCH(K1307,ctaNombre,0))),"⚠ Destino no registrado",IF(AND(P1307="Pago tarjeta",AE1307&lt;&gt;"Tarjeta de crédito"),"⚠ El destino debe ser tarjeta de crédito",IF(AND(P1307="Gasto",E1307="Depósitos y retiros"),"⚠ Usa tipo Transferencia",IF(AND(P1307="Resultado trading",AD1307&lt;&gt;"Cuenta de trading"),"⚠ Usa una cuenta de trading",IF(AND(G1307&lt;=0,P1307&lt;&gt;"Ajuste",P1307&lt;&gt;"Resultado trading"),"⚠ El monto debe ser positivo","✓")))))))))))))))</f>
        <v/>
      </c>
      <c r="P1307" s="52">
        <f>IF(OR(B1307="",G1307=""),"",IF(C1307="","Gasto",C1307))</f>
        <v/>
      </c>
      <c r="Q1307" s="52">
        <f>IF(P1307="","",IF(J1307&lt;&gt;"",J1307,CuentaPred&amp;""))</f>
        <v/>
      </c>
      <c r="R1307" s="52">
        <f>IF(P1307="","",IF(ISNUMBER(I1307),I1307,TasaUSD))</f>
        <v/>
      </c>
      <c r="S1307" s="53">
        <f>IF(P1307="","",IF(H1307="USD",G1307*R1307,G1307))</f>
        <v/>
      </c>
      <c r="T1307" s="53">
        <f>IF(P1307="","",IF(H1307="USD",G1307,IF(R1307&gt;0,G1307/R1307,0)))</f>
        <v/>
      </c>
      <c r="U1307" s="53">
        <f>IF(P1307="","",IF(P1307="Gasto",S1307,IF(P1307="Reembolso",-S1307,0)))</f>
        <v/>
      </c>
      <c r="V1307" s="53">
        <f>IF(P1307="","",IF(P1307="Ingreso",S1307,0))</f>
        <v/>
      </c>
      <c r="W1307" s="53">
        <f>IF(P1307="","",IF(P1307="Resultado trading",S1307,0))</f>
        <v/>
      </c>
      <c r="X1307" s="52">
        <f>IF(OR(P1307="Gasto",P1307="Reembolso"),IF(M1307&lt;&gt;"",M1307,IFERROR(INDEX(catClasif,MATCH(D1307&amp;"|"&amp;E1307,catClave,0))&amp;"","Variable")),"")</f>
        <v/>
      </c>
      <c r="Y1307" s="52">
        <f>IF(P1307="","",IFERROR(INDEX(catGrupo,MATCH(D1307&amp;"|"&amp;E1307,catClave,0))&amp;"",""))</f>
        <v/>
      </c>
      <c r="Z1307" s="52">
        <f>IF(P1307="","",WEEKDAY(B1307,2))</f>
        <v/>
      </c>
      <c r="AA1307" s="52">
        <f>IF(P1307="","",IF(AND(P1307="Gasto",X1307="Variable",D1307&lt;&gt;catTrading,S1307&gt;0,S1307&lt;=Umbral),1,0))</f>
        <v/>
      </c>
      <c r="AB1307" s="52">
        <f>IF(OR(P1307="",Q1307=""),"",IFERROR(IF(INDEX(ctaVinc,MATCH(Q1307,ctaNombre,0))&amp;""&lt;&gt;"",INDEX(ctaVinc,MATCH(Q1307,ctaNombre,0))&amp;"",Q1307),Q1307))</f>
        <v/>
      </c>
      <c r="AC1307" s="52">
        <f>IF(OR(K1307="",AND(P1307&lt;&gt;"Transferencia",P1307&lt;&gt;"Pago tarjeta")),"",IFERROR(IF(INDEX(ctaVinc,MATCH(K1307,ctaNombre,0))&amp;""&lt;&gt;"",INDEX(ctaVinc,MATCH(K1307,ctaNombre,0))&amp;"",K1307),K1307))</f>
        <v/>
      </c>
      <c r="AD1307" s="52">
        <f>IF(AB1307="","",IFERROR(INDEX(ctaTipo,MATCH(AB1307,ctaNombre,0))&amp;"",""))</f>
        <v/>
      </c>
      <c r="AE1307" s="52">
        <f>IF(AC1307="","",IFERROR(INDEX(ctaTipo,MATCH(AC1307,ctaNombre,0))&amp;"",""))</f>
        <v/>
      </c>
      <c r="AF1307" s="53">
        <f>IF(OR(P1307="",AB1307=""),"",IF(OR(P1307="Gasto",P1307="Transferencia",P1307="Pago tarjeta"),-1,1)*IF(IFERROR(INDEX(ctaMoneda,MATCH(AB1307,ctaNombre,0))&amp;"","DOP")="USD",T1307,S1307))</f>
        <v/>
      </c>
      <c r="AG1307" s="53">
        <f>IF(AC1307="","",IF(IFERROR(INDEX(ctaMoneda,MATCH(AC1307,ctaNombre,0))&amp;"","DOP")="USD",T1307,S1307))</f>
        <v/>
      </c>
      <c r="AH1307" s="53">
        <f>IF(P1307="","",IF(AND(AD1307&lt;&gt;"",COUNTIFS(tcTipo,AD1307,tcLiq,"Sí")&gt;0),IF(OR(P1307="Gasto",P1307="Transferencia",P1307="Pago tarjeta"),-1,1)*S1307,0)+IF(AND(AE1307&lt;&gt;"",COUNTIFS(tcTipo,AE1307,tcLiq,"Sí")&gt;0),S1307,0))</f>
        <v/>
      </c>
      <c r="AI1307" s="52">
        <f>IF(OR(L1307="",P1307=""),"",IF(COUNTIFS(L$6:L1307,L1307,P$6:P1307,"?*")=1,MAX(AI$5:AI1306)+1,""))</f>
        <v/>
      </c>
    </row>
    <row r="1308">
      <c r="B1308" s="47" t="n"/>
      <c r="C1308" s="48" t="n"/>
      <c r="D1308" s="48" t="n"/>
      <c r="E1308" s="48" t="n"/>
      <c r="F1308" s="48" t="n"/>
      <c r="G1308" s="49" t="n"/>
      <c r="H1308" s="48" t="n"/>
      <c r="I1308" s="50" t="n"/>
      <c r="J1308" s="48" t="n"/>
      <c r="K1308" s="48" t="n"/>
      <c r="L1308" s="48" t="n"/>
      <c r="M1308" s="48" t="n"/>
      <c r="N1308" s="48" t="n"/>
      <c r="O1308" s="51">
        <f>IF(AND(B1308="",G1308="",C1308="",D1308="",J1308=""),"",IF(B1308="","⚠ Falta fecha",IF(G1308="","⚠ Falta monto",IF(Q1308="","⚠ Falta cuenta",IF(ISNA(MATCH(Q1308,ctaNombre,0)),"⚠ Cuenta no registrada",IF(AND(OR(P1308="Gasto",P1308="Reembolso"),D1308=""),"⚠ Falta categoría",IF(AND(D1308&lt;&gt;"",E1308&lt;&gt;"",ISNA(MATCH(D1308&amp;"|"&amp;E1308,catClave,0))),"⚠ Subcategoría no corresponde",IF(AND(OR(P1308="Transferencia",P1308="Pago tarjeta"),K1308=""),"⚠ Falta cuenta destino",IF(AND(K1308&lt;&gt;"",P1308&lt;&gt;"Transferencia",P1308&lt;&gt;"Pago tarjeta"),"⚠ Destino solo aplica a transferencias",IF(AND(K1308&lt;&gt;"",K1308=Q1308),"⚠ Origen igual a destino",IF(AND(K1308&lt;&gt;"",ISNA(MATCH(K1308,ctaNombre,0))),"⚠ Destino no registrado",IF(AND(P1308="Pago tarjeta",AE1308&lt;&gt;"Tarjeta de crédito"),"⚠ El destino debe ser tarjeta de crédito",IF(AND(P1308="Gasto",E1308="Depósitos y retiros"),"⚠ Usa tipo Transferencia",IF(AND(P1308="Resultado trading",AD1308&lt;&gt;"Cuenta de trading"),"⚠ Usa una cuenta de trading",IF(AND(G1308&lt;=0,P1308&lt;&gt;"Ajuste",P1308&lt;&gt;"Resultado trading"),"⚠ El monto debe ser positivo","✓")))))))))))))))</f>
        <v/>
      </c>
      <c r="P1308" s="52">
        <f>IF(OR(B1308="",G1308=""),"",IF(C1308="","Gasto",C1308))</f>
        <v/>
      </c>
      <c r="Q1308" s="52">
        <f>IF(P1308="","",IF(J1308&lt;&gt;"",J1308,CuentaPred&amp;""))</f>
        <v/>
      </c>
      <c r="R1308" s="52">
        <f>IF(P1308="","",IF(ISNUMBER(I1308),I1308,TasaUSD))</f>
        <v/>
      </c>
      <c r="S1308" s="53">
        <f>IF(P1308="","",IF(H1308="USD",G1308*R1308,G1308))</f>
        <v/>
      </c>
      <c r="T1308" s="53">
        <f>IF(P1308="","",IF(H1308="USD",G1308,IF(R1308&gt;0,G1308/R1308,0)))</f>
        <v/>
      </c>
      <c r="U1308" s="53">
        <f>IF(P1308="","",IF(P1308="Gasto",S1308,IF(P1308="Reembolso",-S1308,0)))</f>
        <v/>
      </c>
      <c r="V1308" s="53">
        <f>IF(P1308="","",IF(P1308="Ingreso",S1308,0))</f>
        <v/>
      </c>
      <c r="W1308" s="53">
        <f>IF(P1308="","",IF(P1308="Resultado trading",S1308,0))</f>
        <v/>
      </c>
      <c r="X1308" s="52">
        <f>IF(OR(P1308="Gasto",P1308="Reembolso"),IF(M1308&lt;&gt;"",M1308,IFERROR(INDEX(catClasif,MATCH(D1308&amp;"|"&amp;E1308,catClave,0))&amp;"","Variable")),"")</f>
        <v/>
      </c>
      <c r="Y1308" s="52">
        <f>IF(P1308="","",IFERROR(INDEX(catGrupo,MATCH(D1308&amp;"|"&amp;E1308,catClave,0))&amp;"",""))</f>
        <v/>
      </c>
      <c r="Z1308" s="52">
        <f>IF(P1308="","",WEEKDAY(B1308,2))</f>
        <v/>
      </c>
      <c r="AA1308" s="52">
        <f>IF(P1308="","",IF(AND(P1308="Gasto",X1308="Variable",D1308&lt;&gt;catTrading,S1308&gt;0,S1308&lt;=Umbral),1,0))</f>
        <v/>
      </c>
      <c r="AB1308" s="52">
        <f>IF(OR(P1308="",Q1308=""),"",IFERROR(IF(INDEX(ctaVinc,MATCH(Q1308,ctaNombre,0))&amp;""&lt;&gt;"",INDEX(ctaVinc,MATCH(Q1308,ctaNombre,0))&amp;"",Q1308),Q1308))</f>
        <v/>
      </c>
      <c r="AC1308" s="52">
        <f>IF(OR(K1308="",AND(P1308&lt;&gt;"Transferencia",P1308&lt;&gt;"Pago tarjeta")),"",IFERROR(IF(INDEX(ctaVinc,MATCH(K1308,ctaNombre,0))&amp;""&lt;&gt;"",INDEX(ctaVinc,MATCH(K1308,ctaNombre,0))&amp;"",K1308),K1308))</f>
        <v/>
      </c>
      <c r="AD1308" s="52">
        <f>IF(AB1308="","",IFERROR(INDEX(ctaTipo,MATCH(AB1308,ctaNombre,0))&amp;"",""))</f>
        <v/>
      </c>
      <c r="AE1308" s="52">
        <f>IF(AC1308="","",IFERROR(INDEX(ctaTipo,MATCH(AC1308,ctaNombre,0))&amp;"",""))</f>
        <v/>
      </c>
      <c r="AF1308" s="53">
        <f>IF(OR(P1308="",AB1308=""),"",IF(OR(P1308="Gasto",P1308="Transferencia",P1308="Pago tarjeta"),-1,1)*IF(IFERROR(INDEX(ctaMoneda,MATCH(AB1308,ctaNombre,0))&amp;"","DOP")="USD",T1308,S1308))</f>
        <v/>
      </c>
      <c r="AG1308" s="53">
        <f>IF(AC1308="","",IF(IFERROR(INDEX(ctaMoneda,MATCH(AC1308,ctaNombre,0))&amp;"","DOP")="USD",T1308,S1308))</f>
        <v/>
      </c>
      <c r="AH1308" s="53">
        <f>IF(P1308="","",IF(AND(AD1308&lt;&gt;"",COUNTIFS(tcTipo,AD1308,tcLiq,"Sí")&gt;0),IF(OR(P1308="Gasto",P1308="Transferencia",P1308="Pago tarjeta"),-1,1)*S1308,0)+IF(AND(AE1308&lt;&gt;"",COUNTIFS(tcTipo,AE1308,tcLiq,"Sí")&gt;0),S1308,0))</f>
        <v/>
      </c>
      <c r="AI1308" s="52">
        <f>IF(OR(L1308="",P1308=""),"",IF(COUNTIFS(L$6:L1308,L1308,P$6:P1308,"?*")=1,MAX(AI$5:AI1307)+1,""))</f>
        <v/>
      </c>
    </row>
    <row r="1309">
      <c r="B1309" s="47" t="n"/>
      <c r="C1309" s="48" t="n"/>
      <c r="D1309" s="48" t="n"/>
      <c r="E1309" s="48" t="n"/>
      <c r="F1309" s="48" t="n"/>
      <c r="G1309" s="49" t="n"/>
      <c r="H1309" s="48" t="n"/>
      <c r="I1309" s="50" t="n"/>
      <c r="J1309" s="48" t="n"/>
      <c r="K1309" s="48" t="n"/>
      <c r="L1309" s="48" t="n"/>
      <c r="M1309" s="48" t="n"/>
      <c r="N1309" s="48" t="n"/>
      <c r="O1309" s="51">
        <f>IF(AND(B1309="",G1309="",C1309="",D1309="",J1309=""),"",IF(B1309="","⚠ Falta fecha",IF(G1309="","⚠ Falta monto",IF(Q1309="","⚠ Falta cuenta",IF(ISNA(MATCH(Q1309,ctaNombre,0)),"⚠ Cuenta no registrada",IF(AND(OR(P1309="Gasto",P1309="Reembolso"),D1309=""),"⚠ Falta categoría",IF(AND(D1309&lt;&gt;"",E1309&lt;&gt;"",ISNA(MATCH(D1309&amp;"|"&amp;E1309,catClave,0))),"⚠ Subcategoría no corresponde",IF(AND(OR(P1309="Transferencia",P1309="Pago tarjeta"),K1309=""),"⚠ Falta cuenta destino",IF(AND(K1309&lt;&gt;"",P1309&lt;&gt;"Transferencia",P1309&lt;&gt;"Pago tarjeta"),"⚠ Destino solo aplica a transferencias",IF(AND(K1309&lt;&gt;"",K1309=Q1309),"⚠ Origen igual a destino",IF(AND(K1309&lt;&gt;"",ISNA(MATCH(K1309,ctaNombre,0))),"⚠ Destino no registrado",IF(AND(P1309="Pago tarjeta",AE1309&lt;&gt;"Tarjeta de crédito"),"⚠ El destino debe ser tarjeta de crédito",IF(AND(P1309="Gasto",E1309="Depósitos y retiros"),"⚠ Usa tipo Transferencia",IF(AND(P1309="Resultado trading",AD1309&lt;&gt;"Cuenta de trading"),"⚠ Usa una cuenta de trading",IF(AND(G1309&lt;=0,P1309&lt;&gt;"Ajuste",P1309&lt;&gt;"Resultado trading"),"⚠ El monto debe ser positivo","✓")))))))))))))))</f>
        <v/>
      </c>
      <c r="P1309" s="52">
        <f>IF(OR(B1309="",G1309=""),"",IF(C1309="","Gasto",C1309))</f>
        <v/>
      </c>
      <c r="Q1309" s="52">
        <f>IF(P1309="","",IF(J1309&lt;&gt;"",J1309,CuentaPred&amp;""))</f>
        <v/>
      </c>
      <c r="R1309" s="52">
        <f>IF(P1309="","",IF(ISNUMBER(I1309),I1309,TasaUSD))</f>
        <v/>
      </c>
      <c r="S1309" s="53">
        <f>IF(P1309="","",IF(H1309="USD",G1309*R1309,G1309))</f>
        <v/>
      </c>
      <c r="T1309" s="53">
        <f>IF(P1309="","",IF(H1309="USD",G1309,IF(R1309&gt;0,G1309/R1309,0)))</f>
        <v/>
      </c>
      <c r="U1309" s="53">
        <f>IF(P1309="","",IF(P1309="Gasto",S1309,IF(P1309="Reembolso",-S1309,0)))</f>
        <v/>
      </c>
      <c r="V1309" s="53">
        <f>IF(P1309="","",IF(P1309="Ingreso",S1309,0))</f>
        <v/>
      </c>
      <c r="W1309" s="53">
        <f>IF(P1309="","",IF(P1309="Resultado trading",S1309,0))</f>
        <v/>
      </c>
      <c r="X1309" s="52">
        <f>IF(OR(P1309="Gasto",P1309="Reembolso"),IF(M1309&lt;&gt;"",M1309,IFERROR(INDEX(catClasif,MATCH(D1309&amp;"|"&amp;E1309,catClave,0))&amp;"","Variable")),"")</f>
        <v/>
      </c>
      <c r="Y1309" s="52">
        <f>IF(P1309="","",IFERROR(INDEX(catGrupo,MATCH(D1309&amp;"|"&amp;E1309,catClave,0))&amp;"",""))</f>
        <v/>
      </c>
      <c r="Z1309" s="52">
        <f>IF(P1309="","",WEEKDAY(B1309,2))</f>
        <v/>
      </c>
      <c r="AA1309" s="52">
        <f>IF(P1309="","",IF(AND(P1309="Gasto",X1309="Variable",D1309&lt;&gt;catTrading,S1309&gt;0,S1309&lt;=Umbral),1,0))</f>
        <v/>
      </c>
      <c r="AB1309" s="52">
        <f>IF(OR(P1309="",Q1309=""),"",IFERROR(IF(INDEX(ctaVinc,MATCH(Q1309,ctaNombre,0))&amp;""&lt;&gt;"",INDEX(ctaVinc,MATCH(Q1309,ctaNombre,0))&amp;"",Q1309),Q1309))</f>
        <v/>
      </c>
      <c r="AC1309" s="52">
        <f>IF(OR(K1309="",AND(P1309&lt;&gt;"Transferencia",P1309&lt;&gt;"Pago tarjeta")),"",IFERROR(IF(INDEX(ctaVinc,MATCH(K1309,ctaNombre,0))&amp;""&lt;&gt;"",INDEX(ctaVinc,MATCH(K1309,ctaNombre,0))&amp;"",K1309),K1309))</f>
        <v/>
      </c>
      <c r="AD1309" s="52">
        <f>IF(AB1309="","",IFERROR(INDEX(ctaTipo,MATCH(AB1309,ctaNombre,0))&amp;"",""))</f>
        <v/>
      </c>
      <c r="AE1309" s="52">
        <f>IF(AC1309="","",IFERROR(INDEX(ctaTipo,MATCH(AC1309,ctaNombre,0))&amp;"",""))</f>
        <v/>
      </c>
      <c r="AF1309" s="53">
        <f>IF(OR(P1309="",AB1309=""),"",IF(OR(P1309="Gasto",P1309="Transferencia",P1309="Pago tarjeta"),-1,1)*IF(IFERROR(INDEX(ctaMoneda,MATCH(AB1309,ctaNombre,0))&amp;"","DOP")="USD",T1309,S1309))</f>
        <v/>
      </c>
      <c r="AG1309" s="53">
        <f>IF(AC1309="","",IF(IFERROR(INDEX(ctaMoneda,MATCH(AC1309,ctaNombre,0))&amp;"","DOP")="USD",T1309,S1309))</f>
        <v/>
      </c>
      <c r="AH1309" s="53">
        <f>IF(P1309="","",IF(AND(AD1309&lt;&gt;"",COUNTIFS(tcTipo,AD1309,tcLiq,"Sí")&gt;0),IF(OR(P1309="Gasto",P1309="Transferencia",P1309="Pago tarjeta"),-1,1)*S1309,0)+IF(AND(AE1309&lt;&gt;"",COUNTIFS(tcTipo,AE1309,tcLiq,"Sí")&gt;0),S1309,0))</f>
        <v/>
      </c>
      <c r="AI1309" s="52">
        <f>IF(OR(L1309="",P1309=""),"",IF(COUNTIFS(L$6:L1309,L1309,P$6:P1309,"?*")=1,MAX(AI$5:AI1308)+1,""))</f>
        <v/>
      </c>
    </row>
    <row r="1310">
      <c r="B1310" s="47" t="n"/>
      <c r="C1310" s="48" t="n"/>
      <c r="D1310" s="48" t="n"/>
      <c r="E1310" s="48" t="n"/>
      <c r="F1310" s="48" t="n"/>
      <c r="G1310" s="49" t="n"/>
      <c r="H1310" s="48" t="n"/>
      <c r="I1310" s="50" t="n"/>
      <c r="J1310" s="48" t="n"/>
      <c r="K1310" s="48" t="n"/>
      <c r="L1310" s="48" t="n"/>
      <c r="M1310" s="48" t="n"/>
      <c r="N1310" s="48" t="n"/>
      <c r="O1310" s="51">
        <f>IF(AND(B1310="",G1310="",C1310="",D1310="",J1310=""),"",IF(B1310="","⚠ Falta fecha",IF(G1310="","⚠ Falta monto",IF(Q1310="","⚠ Falta cuenta",IF(ISNA(MATCH(Q1310,ctaNombre,0)),"⚠ Cuenta no registrada",IF(AND(OR(P1310="Gasto",P1310="Reembolso"),D1310=""),"⚠ Falta categoría",IF(AND(D1310&lt;&gt;"",E1310&lt;&gt;"",ISNA(MATCH(D1310&amp;"|"&amp;E1310,catClave,0))),"⚠ Subcategoría no corresponde",IF(AND(OR(P1310="Transferencia",P1310="Pago tarjeta"),K1310=""),"⚠ Falta cuenta destino",IF(AND(K1310&lt;&gt;"",P1310&lt;&gt;"Transferencia",P1310&lt;&gt;"Pago tarjeta"),"⚠ Destino solo aplica a transferencias",IF(AND(K1310&lt;&gt;"",K1310=Q1310),"⚠ Origen igual a destino",IF(AND(K1310&lt;&gt;"",ISNA(MATCH(K1310,ctaNombre,0))),"⚠ Destino no registrado",IF(AND(P1310="Pago tarjeta",AE1310&lt;&gt;"Tarjeta de crédito"),"⚠ El destino debe ser tarjeta de crédito",IF(AND(P1310="Gasto",E1310="Depósitos y retiros"),"⚠ Usa tipo Transferencia",IF(AND(P1310="Resultado trading",AD1310&lt;&gt;"Cuenta de trading"),"⚠ Usa una cuenta de trading",IF(AND(G1310&lt;=0,P1310&lt;&gt;"Ajuste",P1310&lt;&gt;"Resultado trading"),"⚠ El monto debe ser positivo","✓")))))))))))))))</f>
        <v/>
      </c>
      <c r="P1310" s="52">
        <f>IF(OR(B1310="",G1310=""),"",IF(C1310="","Gasto",C1310))</f>
        <v/>
      </c>
      <c r="Q1310" s="52">
        <f>IF(P1310="","",IF(J1310&lt;&gt;"",J1310,CuentaPred&amp;""))</f>
        <v/>
      </c>
      <c r="R1310" s="52">
        <f>IF(P1310="","",IF(ISNUMBER(I1310),I1310,TasaUSD))</f>
        <v/>
      </c>
      <c r="S1310" s="53">
        <f>IF(P1310="","",IF(H1310="USD",G1310*R1310,G1310))</f>
        <v/>
      </c>
      <c r="T1310" s="53">
        <f>IF(P1310="","",IF(H1310="USD",G1310,IF(R1310&gt;0,G1310/R1310,0)))</f>
        <v/>
      </c>
      <c r="U1310" s="53">
        <f>IF(P1310="","",IF(P1310="Gasto",S1310,IF(P1310="Reembolso",-S1310,0)))</f>
        <v/>
      </c>
      <c r="V1310" s="53">
        <f>IF(P1310="","",IF(P1310="Ingreso",S1310,0))</f>
        <v/>
      </c>
      <c r="W1310" s="53">
        <f>IF(P1310="","",IF(P1310="Resultado trading",S1310,0))</f>
        <v/>
      </c>
      <c r="X1310" s="52">
        <f>IF(OR(P1310="Gasto",P1310="Reembolso"),IF(M1310&lt;&gt;"",M1310,IFERROR(INDEX(catClasif,MATCH(D1310&amp;"|"&amp;E1310,catClave,0))&amp;"","Variable")),"")</f>
        <v/>
      </c>
      <c r="Y1310" s="52">
        <f>IF(P1310="","",IFERROR(INDEX(catGrupo,MATCH(D1310&amp;"|"&amp;E1310,catClave,0))&amp;"",""))</f>
        <v/>
      </c>
      <c r="Z1310" s="52">
        <f>IF(P1310="","",WEEKDAY(B1310,2))</f>
        <v/>
      </c>
      <c r="AA1310" s="52">
        <f>IF(P1310="","",IF(AND(P1310="Gasto",X1310="Variable",D1310&lt;&gt;catTrading,S1310&gt;0,S1310&lt;=Umbral),1,0))</f>
        <v/>
      </c>
      <c r="AB1310" s="52">
        <f>IF(OR(P1310="",Q1310=""),"",IFERROR(IF(INDEX(ctaVinc,MATCH(Q1310,ctaNombre,0))&amp;""&lt;&gt;"",INDEX(ctaVinc,MATCH(Q1310,ctaNombre,0))&amp;"",Q1310),Q1310))</f>
        <v/>
      </c>
      <c r="AC1310" s="52">
        <f>IF(OR(K1310="",AND(P1310&lt;&gt;"Transferencia",P1310&lt;&gt;"Pago tarjeta")),"",IFERROR(IF(INDEX(ctaVinc,MATCH(K1310,ctaNombre,0))&amp;""&lt;&gt;"",INDEX(ctaVinc,MATCH(K1310,ctaNombre,0))&amp;"",K1310),K1310))</f>
        <v/>
      </c>
      <c r="AD1310" s="52">
        <f>IF(AB1310="","",IFERROR(INDEX(ctaTipo,MATCH(AB1310,ctaNombre,0))&amp;"",""))</f>
        <v/>
      </c>
      <c r="AE1310" s="52">
        <f>IF(AC1310="","",IFERROR(INDEX(ctaTipo,MATCH(AC1310,ctaNombre,0))&amp;"",""))</f>
        <v/>
      </c>
      <c r="AF1310" s="53">
        <f>IF(OR(P1310="",AB1310=""),"",IF(OR(P1310="Gasto",P1310="Transferencia",P1310="Pago tarjeta"),-1,1)*IF(IFERROR(INDEX(ctaMoneda,MATCH(AB1310,ctaNombre,0))&amp;"","DOP")="USD",T1310,S1310))</f>
        <v/>
      </c>
      <c r="AG1310" s="53">
        <f>IF(AC1310="","",IF(IFERROR(INDEX(ctaMoneda,MATCH(AC1310,ctaNombre,0))&amp;"","DOP")="USD",T1310,S1310))</f>
        <v/>
      </c>
      <c r="AH1310" s="53">
        <f>IF(P1310="","",IF(AND(AD1310&lt;&gt;"",COUNTIFS(tcTipo,AD1310,tcLiq,"Sí")&gt;0),IF(OR(P1310="Gasto",P1310="Transferencia",P1310="Pago tarjeta"),-1,1)*S1310,0)+IF(AND(AE1310&lt;&gt;"",COUNTIFS(tcTipo,AE1310,tcLiq,"Sí")&gt;0),S1310,0))</f>
        <v/>
      </c>
      <c r="AI1310" s="52">
        <f>IF(OR(L1310="",P1310=""),"",IF(COUNTIFS(L$6:L1310,L1310,P$6:P1310,"?*")=1,MAX(AI$5:AI1309)+1,""))</f>
        <v/>
      </c>
    </row>
    <row r="1311">
      <c r="B1311" s="47" t="n"/>
      <c r="C1311" s="48" t="n"/>
      <c r="D1311" s="48" t="n"/>
      <c r="E1311" s="48" t="n"/>
      <c r="F1311" s="48" t="n"/>
      <c r="G1311" s="49" t="n"/>
      <c r="H1311" s="48" t="n"/>
      <c r="I1311" s="50" t="n"/>
      <c r="J1311" s="48" t="n"/>
      <c r="K1311" s="48" t="n"/>
      <c r="L1311" s="48" t="n"/>
      <c r="M1311" s="48" t="n"/>
      <c r="N1311" s="48" t="n"/>
      <c r="O1311" s="51">
        <f>IF(AND(B1311="",G1311="",C1311="",D1311="",J1311=""),"",IF(B1311="","⚠ Falta fecha",IF(G1311="","⚠ Falta monto",IF(Q1311="","⚠ Falta cuenta",IF(ISNA(MATCH(Q1311,ctaNombre,0)),"⚠ Cuenta no registrada",IF(AND(OR(P1311="Gasto",P1311="Reembolso"),D1311=""),"⚠ Falta categoría",IF(AND(D1311&lt;&gt;"",E1311&lt;&gt;"",ISNA(MATCH(D1311&amp;"|"&amp;E1311,catClave,0))),"⚠ Subcategoría no corresponde",IF(AND(OR(P1311="Transferencia",P1311="Pago tarjeta"),K1311=""),"⚠ Falta cuenta destino",IF(AND(K1311&lt;&gt;"",P1311&lt;&gt;"Transferencia",P1311&lt;&gt;"Pago tarjeta"),"⚠ Destino solo aplica a transferencias",IF(AND(K1311&lt;&gt;"",K1311=Q1311),"⚠ Origen igual a destino",IF(AND(K1311&lt;&gt;"",ISNA(MATCH(K1311,ctaNombre,0))),"⚠ Destino no registrado",IF(AND(P1311="Pago tarjeta",AE1311&lt;&gt;"Tarjeta de crédito"),"⚠ El destino debe ser tarjeta de crédito",IF(AND(P1311="Gasto",E1311="Depósitos y retiros"),"⚠ Usa tipo Transferencia",IF(AND(P1311="Resultado trading",AD1311&lt;&gt;"Cuenta de trading"),"⚠ Usa una cuenta de trading",IF(AND(G1311&lt;=0,P1311&lt;&gt;"Ajuste",P1311&lt;&gt;"Resultado trading"),"⚠ El monto debe ser positivo","✓")))))))))))))))</f>
        <v/>
      </c>
      <c r="P1311" s="52">
        <f>IF(OR(B1311="",G1311=""),"",IF(C1311="","Gasto",C1311))</f>
        <v/>
      </c>
      <c r="Q1311" s="52">
        <f>IF(P1311="","",IF(J1311&lt;&gt;"",J1311,CuentaPred&amp;""))</f>
        <v/>
      </c>
      <c r="R1311" s="52">
        <f>IF(P1311="","",IF(ISNUMBER(I1311),I1311,TasaUSD))</f>
        <v/>
      </c>
      <c r="S1311" s="53">
        <f>IF(P1311="","",IF(H1311="USD",G1311*R1311,G1311))</f>
        <v/>
      </c>
      <c r="T1311" s="53">
        <f>IF(P1311="","",IF(H1311="USD",G1311,IF(R1311&gt;0,G1311/R1311,0)))</f>
        <v/>
      </c>
      <c r="U1311" s="53">
        <f>IF(P1311="","",IF(P1311="Gasto",S1311,IF(P1311="Reembolso",-S1311,0)))</f>
        <v/>
      </c>
      <c r="V1311" s="53">
        <f>IF(P1311="","",IF(P1311="Ingreso",S1311,0))</f>
        <v/>
      </c>
      <c r="W1311" s="53">
        <f>IF(P1311="","",IF(P1311="Resultado trading",S1311,0))</f>
        <v/>
      </c>
      <c r="X1311" s="52">
        <f>IF(OR(P1311="Gasto",P1311="Reembolso"),IF(M1311&lt;&gt;"",M1311,IFERROR(INDEX(catClasif,MATCH(D1311&amp;"|"&amp;E1311,catClave,0))&amp;"","Variable")),"")</f>
        <v/>
      </c>
      <c r="Y1311" s="52">
        <f>IF(P1311="","",IFERROR(INDEX(catGrupo,MATCH(D1311&amp;"|"&amp;E1311,catClave,0))&amp;"",""))</f>
        <v/>
      </c>
      <c r="Z1311" s="52">
        <f>IF(P1311="","",WEEKDAY(B1311,2))</f>
        <v/>
      </c>
      <c r="AA1311" s="52">
        <f>IF(P1311="","",IF(AND(P1311="Gasto",X1311="Variable",D1311&lt;&gt;catTrading,S1311&gt;0,S1311&lt;=Umbral),1,0))</f>
        <v/>
      </c>
      <c r="AB1311" s="52">
        <f>IF(OR(P1311="",Q1311=""),"",IFERROR(IF(INDEX(ctaVinc,MATCH(Q1311,ctaNombre,0))&amp;""&lt;&gt;"",INDEX(ctaVinc,MATCH(Q1311,ctaNombre,0))&amp;"",Q1311),Q1311))</f>
        <v/>
      </c>
      <c r="AC1311" s="52">
        <f>IF(OR(K1311="",AND(P1311&lt;&gt;"Transferencia",P1311&lt;&gt;"Pago tarjeta")),"",IFERROR(IF(INDEX(ctaVinc,MATCH(K1311,ctaNombre,0))&amp;""&lt;&gt;"",INDEX(ctaVinc,MATCH(K1311,ctaNombre,0))&amp;"",K1311),K1311))</f>
        <v/>
      </c>
      <c r="AD1311" s="52">
        <f>IF(AB1311="","",IFERROR(INDEX(ctaTipo,MATCH(AB1311,ctaNombre,0))&amp;"",""))</f>
        <v/>
      </c>
      <c r="AE1311" s="52">
        <f>IF(AC1311="","",IFERROR(INDEX(ctaTipo,MATCH(AC1311,ctaNombre,0))&amp;"",""))</f>
        <v/>
      </c>
      <c r="AF1311" s="53">
        <f>IF(OR(P1311="",AB1311=""),"",IF(OR(P1311="Gasto",P1311="Transferencia",P1311="Pago tarjeta"),-1,1)*IF(IFERROR(INDEX(ctaMoneda,MATCH(AB1311,ctaNombre,0))&amp;"","DOP")="USD",T1311,S1311))</f>
        <v/>
      </c>
      <c r="AG1311" s="53">
        <f>IF(AC1311="","",IF(IFERROR(INDEX(ctaMoneda,MATCH(AC1311,ctaNombre,0))&amp;"","DOP")="USD",T1311,S1311))</f>
        <v/>
      </c>
      <c r="AH1311" s="53">
        <f>IF(P1311="","",IF(AND(AD1311&lt;&gt;"",COUNTIFS(tcTipo,AD1311,tcLiq,"Sí")&gt;0),IF(OR(P1311="Gasto",P1311="Transferencia",P1311="Pago tarjeta"),-1,1)*S1311,0)+IF(AND(AE1311&lt;&gt;"",COUNTIFS(tcTipo,AE1311,tcLiq,"Sí")&gt;0),S1311,0))</f>
        <v/>
      </c>
      <c r="AI1311" s="52">
        <f>IF(OR(L1311="",P1311=""),"",IF(COUNTIFS(L$6:L1311,L1311,P$6:P1311,"?*")=1,MAX(AI$5:AI1310)+1,""))</f>
        <v/>
      </c>
    </row>
    <row r="1312">
      <c r="B1312" s="47" t="n"/>
      <c r="C1312" s="48" t="n"/>
      <c r="D1312" s="48" t="n"/>
      <c r="E1312" s="48" t="n"/>
      <c r="F1312" s="48" t="n"/>
      <c r="G1312" s="49" t="n"/>
      <c r="H1312" s="48" t="n"/>
      <c r="I1312" s="50" t="n"/>
      <c r="J1312" s="48" t="n"/>
      <c r="K1312" s="48" t="n"/>
      <c r="L1312" s="48" t="n"/>
      <c r="M1312" s="48" t="n"/>
      <c r="N1312" s="48" t="n"/>
      <c r="O1312" s="51">
        <f>IF(AND(B1312="",G1312="",C1312="",D1312="",J1312=""),"",IF(B1312="","⚠ Falta fecha",IF(G1312="","⚠ Falta monto",IF(Q1312="","⚠ Falta cuenta",IF(ISNA(MATCH(Q1312,ctaNombre,0)),"⚠ Cuenta no registrada",IF(AND(OR(P1312="Gasto",P1312="Reembolso"),D1312=""),"⚠ Falta categoría",IF(AND(D1312&lt;&gt;"",E1312&lt;&gt;"",ISNA(MATCH(D1312&amp;"|"&amp;E1312,catClave,0))),"⚠ Subcategoría no corresponde",IF(AND(OR(P1312="Transferencia",P1312="Pago tarjeta"),K1312=""),"⚠ Falta cuenta destino",IF(AND(K1312&lt;&gt;"",P1312&lt;&gt;"Transferencia",P1312&lt;&gt;"Pago tarjeta"),"⚠ Destino solo aplica a transferencias",IF(AND(K1312&lt;&gt;"",K1312=Q1312),"⚠ Origen igual a destino",IF(AND(K1312&lt;&gt;"",ISNA(MATCH(K1312,ctaNombre,0))),"⚠ Destino no registrado",IF(AND(P1312="Pago tarjeta",AE1312&lt;&gt;"Tarjeta de crédito"),"⚠ El destino debe ser tarjeta de crédito",IF(AND(P1312="Gasto",E1312="Depósitos y retiros"),"⚠ Usa tipo Transferencia",IF(AND(P1312="Resultado trading",AD1312&lt;&gt;"Cuenta de trading"),"⚠ Usa una cuenta de trading",IF(AND(G1312&lt;=0,P1312&lt;&gt;"Ajuste",P1312&lt;&gt;"Resultado trading"),"⚠ El monto debe ser positivo","✓")))))))))))))))</f>
        <v/>
      </c>
      <c r="P1312" s="52">
        <f>IF(OR(B1312="",G1312=""),"",IF(C1312="","Gasto",C1312))</f>
        <v/>
      </c>
      <c r="Q1312" s="52">
        <f>IF(P1312="","",IF(J1312&lt;&gt;"",J1312,CuentaPred&amp;""))</f>
        <v/>
      </c>
      <c r="R1312" s="52">
        <f>IF(P1312="","",IF(ISNUMBER(I1312),I1312,TasaUSD))</f>
        <v/>
      </c>
      <c r="S1312" s="53">
        <f>IF(P1312="","",IF(H1312="USD",G1312*R1312,G1312))</f>
        <v/>
      </c>
      <c r="T1312" s="53">
        <f>IF(P1312="","",IF(H1312="USD",G1312,IF(R1312&gt;0,G1312/R1312,0)))</f>
        <v/>
      </c>
      <c r="U1312" s="53">
        <f>IF(P1312="","",IF(P1312="Gasto",S1312,IF(P1312="Reembolso",-S1312,0)))</f>
        <v/>
      </c>
      <c r="V1312" s="53">
        <f>IF(P1312="","",IF(P1312="Ingreso",S1312,0))</f>
        <v/>
      </c>
      <c r="W1312" s="53">
        <f>IF(P1312="","",IF(P1312="Resultado trading",S1312,0))</f>
        <v/>
      </c>
      <c r="X1312" s="52">
        <f>IF(OR(P1312="Gasto",P1312="Reembolso"),IF(M1312&lt;&gt;"",M1312,IFERROR(INDEX(catClasif,MATCH(D1312&amp;"|"&amp;E1312,catClave,0))&amp;"","Variable")),"")</f>
        <v/>
      </c>
      <c r="Y1312" s="52">
        <f>IF(P1312="","",IFERROR(INDEX(catGrupo,MATCH(D1312&amp;"|"&amp;E1312,catClave,0))&amp;"",""))</f>
        <v/>
      </c>
      <c r="Z1312" s="52">
        <f>IF(P1312="","",WEEKDAY(B1312,2))</f>
        <v/>
      </c>
      <c r="AA1312" s="52">
        <f>IF(P1312="","",IF(AND(P1312="Gasto",X1312="Variable",D1312&lt;&gt;catTrading,S1312&gt;0,S1312&lt;=Umbral),1,0))</f>
        <v/>
      </c>
      <c r="AB1312" s="52">
        <f>IF(OR(P1312="",Q1312=""),"",IFERROR(IF(INDEX(ctaVinc,MATCH(Q1312,ctaNombre,0))&amp;""&lt;&gt;"",INDEX(ctaVinc,MATCH(Q1312,ctaNombre,0))&amp;"",Q1312),Q1312))</f>
        <v/>
      </c>
      <c r="AC1312" s="52">
        <f>IF(OR(K1312="",AND(P1312&lt;&gt;"Transferencia",P1312&lt;&gt;"Pago tarjeta")),"",IFERROR(IF(INDEX(ctaVinc,MATCH(K1312,ctaNombre,0))&amp;""&lt;&gt;"",INDEX(ctaVinc,MATCH(K1312,ctaNombre,0))&amp;"",K1312),K1312))</f>
        <v/>
      </c>
      <c r="AD1312" s="52">
        <f>IF(AB1312="","",IFERROR(INDEX(ctaTipo,MATCH(AB1312,ctaNombre,0))&amp;"",""))</f>
        <v/>
      </c>
      <c r="AE1312" s="52">
        <f>IF(AC1312="","",IFERROR(INDEX(ctaTipo,MATCH(AC1312,ctaNombre,0))&amp;"",""))</f>
        <v/>
      </c>
      <c r="AF1312" s="53">
        <f>IF(OR(P1312="",AB1312=""),"",IF(OR(P1312="Gasto",P1312="Transferencia",P1312="Pago tarjeta"),-1,1)*IF(IFERROR(INDEX(ctaMoneda,MATCH(AB1312,ctaNombre,0))&amp;"","DOP")="USD",T1312,S1312))</f>
        <v/>
      </c>
      <c r="AG1312" s="53">
        <f>IF(AC1312="","",IF(IFERROR(INDEX(ctaMoneda,MATCH(AC1312,ctaNombre,0))&amp;"","DOP")="USD",T1312,S1312))</f>
        <v/>
      </c>
      <c r="AH1312" s="53">
        <f>IF(P1312="","",IF(AND(AD1312&lt;&gt;"",COUNTIFS(tcTipo,AD1312,tcLiq,"Sí")&gt;0),IF(OR(P1312="Gasto",P1312="Transferencia",P1312="Pago tarjeta"),-1,1)*S1312,0)+IF(AND(AE1312&lt;&gt;"",COUNTIFS(tcTipo,AE1312,tcLiq,"Sí")&gt;0),S1312,0))</f>
        <v/>
      </c>
      <c r="AI1312" s="52">
        <f>IF(OR(L1312="",P1312=""),"",IF(COUNTIFS(L$6:L1312,L1312,P$6:P1312,"?*")=1,MAX(AI$5:AI1311)+1,""))</f>
        <v/>
      </c>
    </row>
    <row r="1313">
      <c r="B1313" s="47" t="n"/>
      <c r="C1313" s="48" t="n"/>
      <c r="D1313" s="48" t="n"/>
      <c r="E1313" s="48" t="n"/>
      <c r="F1313" s="48" t="n"/>
      <c r="G1313" s="49" t="n"/>
      <c r="H1313" s="48" t="n"/>
      <c r="I1313" s="50" t="n"/>
      <c r="J1313" s="48" t="n"/>
      <c r="K1313" s="48" t="n"/>
      <c r="L1313" s="48" t="n"/>
      <c r="M1313" s="48" t="n"/>
      <c r="N1313" s="48" t="n"/>
      <c r="O1313" s="51">
        <f>IF(AND(B1313="",G1313="",C1313="",D1313="",J1313=""),"",IF(B1313="","⚠ Falta fecha",IF(G1313="","⚠ Falta monto",IF(Q1313="","⚠ Falta cuenta",IF(ISNA(MATCH(Q1313,ctaNombre,0)),"⚠ Cuenta no registrada",IF(AND(OR(P1313="Gasto",P1313="Reembolso"),D1313=""),"⚠ Falta categoría",IF(AND(D1313&lt;&gt;"",E1313&lt;&gt;"",ISNA(MATCH(D1313&amp;"|"&amp;E1313,catClave,0))),"⚠ Subcategoría no corresponde",IF(AND(OR(P1313="Transferencia",P1313="Pago tarjeta"),K1313=""),"⚠ Falta cuenta destino",IF(AND(K1313&lt;&gt;"",P1313&lt;&gt;"Transferencia",P1313&lt;&gt;"Pago tarjeta"),"⚠ Destino solo aplica a transferencias",IF(AND(K1313&lt;&gt;"",K1313=Q1313),"⚠ Origen igual a destino",IF(AND(K1313&lt;&gt;"",ISNA(MATCH(K1313,ctaNombre,0))),"⚠ Destino no registrado",IF(AND(P1313="Pago tarjeta",AE1313&lt;&gt;"Tarjeta de crédito"),"⚠ El destino debe ser tarjeta de crédito",IF(AND(P1313="Gasto",E1313="Depósitos y retiros"),"⚠ Usa tipo Transferencia",IF(AND(P1313="Resultado trading",AD1313&lt;&gt;"Cuenta de trading"),"⚠ Usa una cuenta de trading",IF(AND(G1313&lt;=0,P1313&lt;&gt;"Ajuste",P1313&lt;&gt;"Resultado trading"),"⚠ El monto debe ser positivo","✓")))))))))))))))</f>
        <v/>
      </c>
      <c r="P1313" s="52">
        <f>IF(OR(B1313="",G1313=""),"",IF(C1313="","Gasto",C1313))</f>
        <v/>
      </c>
      <c r="Q1313" s="52">
        <f>IF(P1313="","",IF(J1313&lt;&gt;"",J1313,CuentaPred&amp;""))</f>
        <v/>
      </c>
      <c r="R1313" s="52">
        <f>IF(P1313="","",IF(ISNUMBER(I1313),I1313,TasaUSD))</f>
        <v/>
      </c>
      <c r="S1313" s="53">
        <f>IF(P1313="","",IF(H1313="USD",G1313*R1313,G1313))</f>
        <v/>
      </c>
      <c r="T1313" s="53">
        <f>IF(P1313="","",IF(H1313="USD",G1313,IF(R1313&gt;0,G1313/R1313,0)))</f>
        <v/>
      </c>
      <c r="U1313" s="53">
        <f>IF(P1313="","",IF(P1313="Gasto",S1313,IF(P1313="Reembolso",-S1313,0)))</f>
        <v/>
      </c>
      <c r="V1313" s="53">
        <f>IF(P1313="","",IF(P1313="Ingreso",S1313,0))</f>
        <v/>
      </c>
      <c r="W1313" s="53">
        <f>IF(P1313="","",IF(P1313="Resultado trading",S1313,0))</f>
        <v/>
      </c>
      <c r="X1313" s="52">
        <f>IF(OR(P1313="Gasto",P1313="Reembolso"),IF(M1313&lt;&gt;"",M1313,IFERROR(INDEX(catClasif,MATCH(D1313&amp;"|"&amp;E1313,catClave,0))&amp;"","Variable")),"")</f>
        <v/>
      </c>
      <c r="Y1313" s="52">
        <f>IF(P1313="","",IFERROR(INDEX(catGrupo,MATCH(D1313&amp;"|"&amp;E1313,catClave,0))&amp;"",""))</f>
        <v/>
      </c>
      <c r="Z1313" s="52">
        <f>IF(P1313="","",WEEKDAY(B1313,2))</f>
        <v/>
      </c>
      <c r="AA1313" s="52">
        <f>IF(P1313="","",IF(AND(P1313="Gasto",X1313="Variable",D1313&lt;&gt;catTrading,S1313&gt;0,S1313&lt;=Umbral),1,0))</f>
        <v/>
      </c>
      <c r="AB1313" s="52">
        <f>IF(OR(P1313="",Q1313=""),"",IFERROR(IF(INDEX(ctaVinc,MATCH(Q1313,ctaNombre,0))&amp;""&lt;&gt;"",INDEX(ctaVinc,MATCH(Q1313,ctaNombre,0))&amp;"",Q1313),Q1313))</f>
        <v/>
      </c>
      <c r="AC1313" s="52">
        <f>IF(OR(K1313="",AND(P1313&lt;&gt;"Transferencia",P1313&lt;&gt;"Pago tarjeta")),"",IFERROR(IF(INDEX(ctaVinc,MATCH(K1313,ctaNombre,0))&amp;""&lt;&gt;"",INDEX(ctaVinc,MATCH(K1313,ctaNombre,0))&amp;"",K1313),K1313))</f>
        <v/>
      </c>
      <c r="AD1313" s="52">
        <f>IF(AB1313="","",IFERROR(INDEX(ctaTipo,MATCH(AB1313,ctaNombre,0))&amp;"",""))</f>
        <v/>
      </c>
      <c r="AE1313" s="52">
        <f>IF(AC1313="","",IFERROR(INDEX(ctaTipo,MATCH(AC1313,ctaNombre,0))&amp;"",""))</f>
        <v/>
      </c>
      <c r="AF1313" s="53">
        <f>IF(OR(P1313="",AB1313=""),"",IF(OR(P1313="Gasto",P1313="Transferencia",P1313="Pago tarjeta"),-1,1)*IF(IFERROR(INDEX(ctaMoneda,MATCH(AB1313,ctaNombre,0))&amp;"","DOP")="USD",T1313,S1313))</f>
        <v/>
      </c>
      <c r="AG1313" s="53">
        <f>IF(AC1313="","",IF(IFERROR(INDEX(ctaMoneda,MATCH(AC1313,ctaNombre,0))&amp;"","DOP")="USD",T1313,S1313))</f>
        <v/>
      </c>
      <c r="AH1313" s="53">
        <f>IF(P1313="","",IF(AND(AD1313&lt;&gt;"",COUNTIFS(tcTipo,AD1313,tcLiq,"Sí")&gt;0),IF(OR(P1313="Gasto",P1313="Transferencia",P1313="Pago tarjeta"),-1,1)*S1313,0)+IF(AND(AE1313&lt;&gt;"",COUNTIFS(tcTipo,AE1313,tcLiq,"Sí")&gt;0),S1313,0))</f>
        <v/>
      </c>
      <c r="AI1313" s="52">
        <f>IF(OR(L1313="",P1313=""),"",IF(COUNTIFS(L$6:L1313,L1313,P$6:P1313,"?*")=1,MAX(AI$5:AI1312)+1,""))</f>
        <v/>
      </c>
    </row>
    <row r="1314">
      <c r="B1314" s="47" t="n"/>
      <c r="C1314" s="48" t="n"/>
      <c r="D1314" s="48" t="n"/>
      <c r="E1314" s="48" t="n"/>
      <c r="F1314" s="48" t="n"/>
      <c r="G1314" s="49" t="n"/>
      <c r="H1314" s="48" t="n"/>
      <c r="I1314" s="50" t="n"/>
      <c r="J1314" s="48" t="n"/>
      <c r="K1314" s="48" t="n"/>
      <c r="L1314" s="48" t="n"/>
      <c r="M1314" s="48" t="n"/>
      <c r="N1314" s="48" t="n"/>
      <c r="O1314" s="51">
        <f>IF(AND(B1314="",G1314="",C1314="",D1314="",J1314=""),"",IF(B1314="","⚠ Falta fecha",IF(G1314="","⚠ Falta monto",IF(Q1314="","⚠ Falta cuenta",IF(ISNA(MATCH(Q1314,ctaNombre,0)),"⚠ Cuenta no registrada",IF(AND(OR(P1314="Gasto",P1314="Reembolso"),D1314=""),"⚠ Falta categoría",IF(AND(D1314&lt;&gt;"",E1314&lt;&gt;"",ISNA(MATCH(D1314&amp;"|"&amp;E1314,catClave,0))),"⚠ Subcategoría no corresponde",IF(AND(OR(P1314="Transferencia",P1314="Pago tarjeta"),K1314=""),"⚠ Falta cuenta destino",IF(AND(K1314&lt;&gt;"",P1314&lt;&gt;"Transferencia",P1314&lt;&gt;"Pago tarjeta"),"⚠ Destino solo aplica a transferencias",IF(AND(K1314&lt;&gt;"",K1314=Q1314),"⚠ Origen igual a destino",IF(AND(K1314&lt;&gt;"",ISNA(MATCH(K1314,ctaNombre,0))),"⚠ Destino no registrado",IF(AND(P1314="Pago tarjeta",AE1314&lt;&gt;"Tarjeta de crédito"),"⚠ El destino debe ser tarjeta de crédito",IF(AND(P1314="Gasto",E1314="Depósitos y retiros"),"⚠ Usa tipo Transferencia",IF(AND(P1314="Resultado trading",AD1314&lt;&gt;"Cuenta de trading"),"⚠ Usa una cuenta de trading",IF(AND(G1314&lt;=0,P1314&lt;&gt;"Ajuste",P1314&lt;&gt;"Resultado trading"),"⚠ El monto debe ser positivo","✓")))))))))))))))</f>
        <v/>
      </c>
      <c r="P1314" s="52">
        <f>IF(OR(B1314="",G1314=""),"",IF(C1314="","Gasto",C1314))</f>
        <v/>
      </c>
      <c r="Q1314" s="52">
        <f>IF(P1314="","",IF(J1314&lt;&gt;"",J1314,CuentaPred&amp;""))</f>
        <v/>
      </c>
      <c r="R1314" s="52">
        <f>IF(P1314="","",IF(ISNUMBER(I1314),I1314,TasaUSD))</f>
        <v/>
      </c>
      <c r="S1314" s="53">
        <f>IF(P1314="","",IF(H1314="USD",G1314*R1314,G1314))</f>
        <v/>
      </c>
      <c r="T1314" s="53">
        <f>IF(P1314="","",IF(H1314="USD",G1314,IF(R1314&gt;0,G1314/R1314,0)))</f>
        <v/>
      </c>
      <c r="U1314" s="53">
        <f>IF(P1314="","",IF(P1314="Gasto",S1314,IF(P1314="Reembolso",-S1314,0)))</f>
        <v/>
      </c>
      <c r="V1314" s="53">
        <f>IF(P1314="","",IF(P1314="Ingreso",S1314,0))</f>
        <v/>
      </c>
      <c r="W1314" s="53">
        <f>IF(P1314="","",IF(P1314="Resultado trading",S1314,0))</f>
        <v/>
      </c>
      <c r="X1314" s="52">
        <f>IF(OR(P1314="Gasto",P1314="Reembolso"),IF(M1314&lt;&gt;"",M1314,IFERROR(INDEX(catClasif,MATCH(D1314&amp;"|"&amp;E1314,catClave,0))&amp;"","Variable")),"")</f>
        <v/>
      </c>
      <c r="Y1314" s="52">
        <f>IF(P1314="","",IFERROR(INDEX(catGrupo,MATCH(D1314&amp;"|"&amp;E1314,catClave,0))&amp;"",""))</f>
        <v/>
      </c>
      <c r="Z1314" s="52">
        <f>IF(P1314="","",WEEKDAY(B1314,2))</f>
        <v/>
      </c>
      <c r="AA1314" s="52">
        <f>IF(P1314="","",IF(AND(P1314="Gasto",X1314="Variable",D1314&lt;&gt;catTrading,S1314&gt;0,S1314&lt;=Umbral),1,0))</f>
        <v/>
      </c>
      <c r="AB1314" s="52">
        <f>IF(OR(P1314="",Q1314=""),"",IFERROR(IF(INDEX(ctaVinc,MATCH(Q1314,ctaNombre,0))&amp;""&lt;&gt;"",INDEX(ctaVinc,MATCH(Q1314,ctaNombre,0))&amp;"",Q1314),Q1314))</f>
        <v/>
      </c>
      <c r="AC1314" s="52">
        <f>IF(OR(K1314="",AND(P1314&lt;&gt;"Transferencia",P1314&lt;&gt;"Pago tarjeta")),"",IFERROR(IF(INDEX(ctaVinc,MATCH(K1314,ctaNombre,0))&amp;""&lt;&gt;"",INDEX(ctaVinc,MATCH(K1314,ctaNombre,0))&amp;"",K1314),K1314))</f>
        <v/>
      </c>
      <c r="AD1314" s="52">
        <f>IF(AB1314="","",IFERROR(INDEX(ctaTipo,MATCH(AB1314,ctaNombre,0))&amp;"",""))</f>
        <v/>
      </c>
      <c r="AE1314" s="52">
        <f>IF(AC1314="","",IFERROR(INDEX(ctaTipo,MATCH(AC1314,ctaNombre,0))&amp;"",""))</f>
        <v/>
      </c>
      <c r="AF1314" s="53">
        <f>IF(OR(P1314="",AB1314=""),"",IF(OR(P1314="Gasto",P1314="Transferencia",P1314="Pago tarjeta"),-1,1)*IF(IFERROR(INDEX(ctaMoneda,MATCH(AB1314,ctaNombre,0))&amp;"","DOP")="USD",T1314,S1314))</f>
        <v/>
      </c>
      <c r="AG1314" s="53">
        <f>IF(AC1314="","",IF(IFERROR(INDEX(ctaMoneda,MATCH(AC1314,ctaNombre,0))&amp;"","DOP")="USD",T1314,S1314))</f>
        <v/>
      </c>
      <c r="AH1314" s="53">
        <f>IF(P1314="","",IF(AND(AD1314&lt;&gt;"",COUNTIFS(tcTipo,AD1314,tcLiq,"Sí")&gt;0),IF(OR(P1314="Gasto",P1314="Transferencia",P1314="Pago tarjeta"),-1,1)*S1314,0)+IF(AND(AE1314&lt;&gt;"",COUNTIFS(tcTipo,AE1314,tcLiq,"Sí")&gt;0),S1314,0))</f>
        <v/>
      </c>
      <c r="AI1314" s="52">
        <f>IF(OR(L1314="",P1314=""),"",IF(COUNTIFS(L$6:L1314,L1314,P$6:P1314,"?*")=1,MAX(AI$5:AI1313)+1,""))</f>
        <v/>
      </c>
    </row>
    <row r="1315">
      <c r="B1315" s="47" t="n"/>
      <c r="C1315" s="48" t="n"/>
      <c r="D1315" s="48" t="n"/>
      <c r="E1315" s="48" t="n"/>
      <c r="F1315" s="48" t="n"/>
      <c r="G1315" s="49" t="n"/>
      <c r="H1315" s="48" t="n"/>
      <c r="I1315" s="50" t="n"/>
      <c r="J1315" s="48" t="n"/>
      <c r="K1315" s="48" t="n"/>
      <c r="L1315" s="48" t="n"/>
      <c r="M1315" s="48" t="n"/>
      <c r="N1315" s="48" t="n"/>
      <c r="O1315" s="51">
        <f>IF(AND(B1315="",G1315="",C1315="",D1315="",J1315=""),"",IF(B1315="","⚠ Falta fecha",IF(G1315="","⚠ Falta monto",IF(Q1315="","⚠ Falta cuenta",IF(ISNA(MATCH(Q1315,ctaNombre,0)),"⚠ Cuenta no registrada",IF(AND(OR(P1315="Gasto",P1315="Reembolso"),D1315=""),"⚠ Falta categoría",IF(AND(D1315&lt;&gt;"",E1315&lt;&gt;"",ISNA(MATCH(D1315&amp;"|"&amp;E1315,catClave,0))),"⚠ Subcategoría no corresponde",IF(AND(OR(P1315="Transferencia",P1315="Pago tarjeta"),K1315=""),"⚠ Falta cuenta destino",IF(AND(K1315&lt;&gt;"",P1315&lt;&gt;"Transferencia",P1315&lt;&gt;"Pago tarjeta"),"⚠ Destino solo aplica a transferencias",IF(AND(K1315&lt;&gt;"",K1315=Q1315),"⚠ Origen igual a destino",IF(AND(K1315&lt;&gt;"",ISNA(MATCH(K1315,ctaNombre,0))),"⚠ Destino no registrado",IF(AND(P1315="Pago tarjeta",AE1315&lt;&gt;"Tarjeta de crédito"),"⚠ El destino debe ser tarjeta de crédito",IF(AND(P1315="Gasto",E1315="Depósitos y retiros"),"⚠ Usa tipo Transferencia",IF(AND(P1315="Resultado trading",AD1315&lt;&gt;"Cuenta de trading"),"⚠ Usa una cuenta de trading",IF(AND(G1315&lt;=0,P1315&lt;&gt;"Ajuste",P1315&lt;&gt;"Resultado trading"),"⚠ El monto debe ser positivo","✓")))))))))))))))</f>
        <v/>
      </c>
      <c r="P1315" s="52">
        <f>IF(OR(B1315="",G1315=""),"",IF(C1315="","Gasto",C1315))</f>
        <v/>
      </c>
      <c r="Q1315" s="52">
        <f>IF(P1315="","",IF(J1315&lt;&gt;"",J1315,CuentaPred&amp;""))</f>
        <v/>
      </c>
      <c r="R1315" s="52">
        <f>IF(P1315="","",IF(ISNUMBER(I1315),I1315,TasaUSD))</f>
        <v/>
      </c>
      <c r="S1315" s="53">
        <f>IF(P1315="","",IF(H1315="USD",G1315*R1315,G1315))</f>
        <v/>
      </c>
      <c r="T1315" s="53">
        <f>IF(P1315="","",IF(H1315="USD",G1315,IF(R1315&gt;0,G1315/R1315,0)))</f>
        <v/>
      </c>
      <c r="U1315" s="53">
        <f>IF(P1315="","",IF(P1315="Gasto",S1315,IF(P1315="Reembolso",-S1315,0)))</f>
        <v/>
      </c>
      <c r="V1315" s="53">
        <f>IF(P1315="","",IF(P1315="Ingreso",S1315,0))</f>
        <v/>
      </c>
      <c r="W1315" s="53">
        <f>IF(P1315="","",IF(P1315="Resultado trading",S1315,0))</f>
        <v/>
      </c>
      <c r="X1315" s="52">
        <f>IF(OR(P1315="Gasto",P1315="Reembolso"),IF(M1315&lt;&gt;"",M1315,IFERROR(INDEX(catClasif,MATCH(D1315&amp;"|"&amp;E1315,catClave,0))&amp;"","Variable")),"")</f>
        <v/>
      </c>
      <c r="Y1315" s="52">
        <f>IF(P1315="","",IFERROR(INDEX(catGrupo,MATCH(D1315&amp;"|"&amp;E1315,catClave,0))&amp;"",""))</f>
        <v/>
      </c>
      <c r="Z1315" s="52">
        <f>IF(P1315="","",WEEKDAY(B1315,2))</f>
        <v/>
      </c>
      <c r="AA1315" s="52">
        <f>IF(P1315="","",IF(AND(P1315="Gasto",X1315="Variable",D1315&lt;&gt;catTrading,S1315&gt;0,S1315&lt;=Umbral),1,0))</f>
        <v/>
      </c>
      <c r="AB1315" s="52">
        <f>IF(OR(P1315="",Q1315=""),"",IFERROR(IF(INDEX(ctaVinc,MATCH(Q1315,ctaNombre,0))&amp;""&lt;&gt;"",INDEX(ctaVinc,MATCH(Q1315,ctaNombre,0))&amp;"",Q1315),Q1315))</f>
        <v/>
      </c>
      <c r="AC1315" s="52">
        <f>IF(OR(K1315="",AND(P1315&lt;&gt;"Transferencia",P1315&lt;&gt;"Pago tarjeta")),"",IFERROR(IF(INDEX(ctaVinc,MATCH(K1315,ctaNombre,0))&amp;""&lt;&gt;"",INDEX(ctaVinc,MATCH(K1315,ctaNombre,0))&amp;"",K1315),K1315))</f>
        <v/>
      </c>
      <c r="AD1315" s="52">
        <f>IF(AB1315="","",IFERROR(INDEX(ctaTipo,MATCH(AB1315,ctaNombre,0))&amp;"",""))</f>
        <v/>
      </c>
      <c r="AE1315" s="52">
        <f>IF(AC1315="","",IFERROR(INDEX(ctaTipo,MATCH(AC1315,ctaNombre,0))&amp;"",""))</f>
        <v/>
      </c>
      <c r="AF1315" s="53">
        <f>IF(OR(P1315="",AB1315=""),"",IF(OR(P1315="Gasto",P1315="Transferencia",P1315="Pago tarjeta"),-1,1)*IF(IFERROR(INDEX(ctaMoneda,MATCH(AB1315,ctaNombre,0))&amp;"","DOP")="USD",T1315,S1315))</f>
        <v/>
      </c>
      <c r="AG1315" s="53">
        <f>IF(AC1315="","",IF(IFERROR(INDEX(ctaMoneda,MATCH(AC1315,ctaNombre,0))&amp;"","DOP")="USD",T1315,S1315))</f>
        <v/>
      </c>
      <c r="AH1315" s="53">
        <f>IF(P1315="","",IF(AND(AD1315&lt;&gt;"",COUNTIFS(tcTipo,AD1315,tcLiq,"Sí")&gt;0),IF(OR(P1315="Gasto",P1315="Transferencia",P1315="Pago tarjeta"),-1,1)*S1315,0)+IF(AND(AE1315&lt;&gt;"",COUNTIFS(tcTipo,AE1315,tcLiq,"Sí")&gt;0),S1315,0))</f>
        <v/>
      </c>
      <c r="AI1315" s="52">
        <f>IF(OR(L1315="",P1315=""),"",IF(COUNTIFS(L$6:L1315,L1315,P$6:P1315,"?*")=1,MAX(AI$5:AI1314)+1,""))</f>
        <v/>
      </c>
    </row>
    <row r="1316">
      <c r="B1316" s="47" t="n"/>
      <c r="C1316" s="48" t="n"/>
      <c r="D1316" s="48" t="n"/>
      <c r="E1316" s="48" t="n"/>
      <c r="F1316" s="48" t="n"/>
      <c r="G1316" s="49" t="n"/>
      <c r="H1316" s="48" t="n"/>
      <c r="I1316" s="50" t="n"/>
      <c r="J1316" s="48" t="n"/>
      <c r="K1316" s="48" t="n"/>
      <c r="L1316" s="48" t="n"/>
      <c r="M1316" s="48" t="n"/>
      <c r="N1316" s="48" t="n"/>
      <c r="O1316" s="51">
        <f>IF(AND(B1316="",G1316="",C1316="",D1316="",J1316=""),"",IF(B1316="","⚠ Falta fecha",IF(G1316="","⚠ Falta monto",IF(Q1316="","⚠ Falta cuenta",IF(ISNA(MATCH(Q1316,ctaNombre,0)),"⚠ Cuenta no registrada",IF(AND(OR(P1316="Gasto",P1316="Reembolso"),D1316=""),"⚠ Falta categoría",IF(AND(D1316&lt;&gt;"",E1316&lt;&gt;"",ISNA(MATCH(D1316&amp;"|"&amp;E1316,catClave,0))),"⚠ Subcategoría no corresponde",IF(AND(OR(P1316="Transferencia",P1316="Pago tarjeta"),K1316=""),"⚠ Falta cuenta destino",IF(AND(K1316&lt;&gt;"",P1316&lt;&gt;"Transferencia",P1316&lt;&gt;"Pago tarjeta"),"⚠ Destino solo aplica a transferencias",IF(AND(K1316&lt;&gt;"",K1316=Q1316),"⚠ Origen igual a destino",IF(AND(K1316&lt;&gt;"",ISNA(MATCH(K1316,ctaNombre,0))),"⚠ Destino no registrado",IF(AND(P1316="Pago tarjeta",AE1316&lt;&gt;"Tarjeta de crédito"),"⚠ El destino debe ser tarjeta de crédito",IF(AND(P1316="Gasto",E1316="Depósitos y retiros"),"⚠ Usa tipo Transferencia",IF(AND(P1316="Resultado trading",AD1316&lt;&gt;"Cuenta de trading"),"⚠ Usa una cuenta de trading",IF(AND(G1316&lt;=0,P1316&lt;&gt;"Ajuste",P1316&lt;&gt;"Resultado trading"),"⚠ El monto debe ser positivo","✓")))))))))))))))</f>
        <v/>
      </c>
      <c r="P1316" s="52">
        <f>IF(OR(B1316="",G1316=""),"",IF(C1316="","Gasto",C1316))</f>
        <v/>
      </c>
      <c r="Q1316" s="52">
        <f>IF(P1316="","",IF(J1316&lt;&gt;"",J1316,CuentaPred&amp;""))</f>
        <v/>
      </c>
      <c r="R1316" s="52">
        <f>IF(P1316="","",IF(ISNUMBER(I1316),I1316,TasaUSD))</f>
        <v/>
      </c>
      <c r="S1316" s="53">
        <f>IF(P1316="","",IF(H1316="USD",G1316*R1316,G1316))</f>
        <v/>
      </c>
      <c r="T1316" s="53">
        <f>IF(P1316="","",IF(H1316="USD",G1316,IF(R1316&gt;0,G1316/R1316,0)))</f>
        <v/>
      </c>
      <c r="U1316" s="53">
        <f>IF(P1316="","",IF(P1316="Gasto",S1316,IF(P1316="Reembolso",-S1316,0)))</f>
        <v/>
      </c>
      <c r="V1316" s="53">
        <f>IF(P1316="","",IF(P1316="Ingreso",S1316,0))</f>
        <v/>
      </c>
      <c r="W1316" s="53">
        <f>IF(P1316="","",IF(P1316="Resultado trading",S1316,0))</f>
        <v/>
      </c>
      <c r="X1316" s="52">
        <f>IF(OR(P1316="Gasto",P1316="Reembolso"),IF(M1316&lt;&gt;"",M1316,IFERROR(INDEX(catClasif,MATCH(D1316&amp;"|"&amp;E1316,catClave,0))&amp;"","Variable")),"")</f>
        <v/>
      </c>
      <c r="Y1316" s="52">
        <f>IF(P1316="","",IFERROR(INDEX(catGrupo,MATCH(D1316&amp;"|"&amp;E1316,catClave,0))&amp;"",""))</f>
        <v/>
      </c>
      <c r="Z1316" s="52">
        <f>IF(P1316="","",WEEKDAY(B1316,2))</f>
        <v/>
      </c>
      <c r="AA1316" s="52">
        <f>IF(P1316="","",IF(AND(P1316="Gasto",X1316="Variable",D1316&lt;&gt;catTrading,S1316&gt;0,S1316&lt;=Umbral),1,0))</f>
        <v/>
      </c>
      <c r="AB1316" s="52">
        <f>IF(OR(P1316="",Q1316=""),"",IFERROR(IF(INDEX(ctaVinc,MATCH(Q1316,ctaNombre,0))&amp;""&lt;&gt;"",INDEX(ctaVinc,MATCH(Q1316,ctaNombre,0))&amp;"",Q1316),Q1316))</f>
        <v/>
      </c>
      <c r="AC1316" s="52">
        <f>IF(OR(K1316="",AND(P1316&lt;&gt;"Transferencia",P1316&lt;&gt;"Pago tarjeta")),"",IFERROR(IF(INDEX(ctaVinc,MATCH(K1316,ctaNombre,0))&amp;""&lt;&gt;"",INDEX(ctaVinc,MATCH(K1316,ctaNombre,0))&amp;"",K1316),K1316))</f>
        <v/>
      </c>
      <c r="AD1316" s="52">
        <f>IF(AB1316="","",IFERROR(INDEX(ctaTipo,MATCH(AB1316,ctaNombre,0))&amp;"",""))</f>
        <v/>
      </c>
      <c r="AE1316" s="52">
        <f>IF(AC1316="","",IFERROR(INDEX(ctaTipo,MATCH(AC1316,ctaNombre,0))&amp;"",""))</f>
        <v/>
      </c>
      <c r="AF1316" s="53">
        <f>IF(OR(P1316="",AB1316=""),"",IF(OR(P1316="Gasto",P1316="Transferencia",P1316="Pago tarjeta"),-1,1)*IF(IFERROR(INDEX(ctaMoneda,MATCH(AB1316,ctaNombre,0))&amp;"","DOP")="USD",T1316,S1316))</f>
        <v/>
      </c>
      <c r="AG1316" s="53">
        <f>IF(AC1316="","",IF(IFERROR(INDEX(ctaMoneda,MATCH(AC1316,ctaNombre,0))&amp;"","DOP")="USD",T1316,S1316))</f>
        <v/>
      </c>
      <c r="AH1316" s="53">
        <f>IF(P1316="","",IF(AND(AD1316&lt;&gt;"",COUNTIFS(tcTipo,AD1316,tcLiq,"Sí")&gt;0),IF(OR(P1316="Gasto",P1316="Transferencia",P1316="Pago tarjeta"),-1,1)*S1316,0)+IF(AND(AE1316&lt;&gt;"",COUNTIFS(tcTipo,AE1316,tcLiq,"Sí")&gt;0),S1316,0))</f>
        <v/>
      </c>
      <c r="AI1316" s="52">
        <f>IF(OR(L1316="",P1316=""),"",IF(COUNTIFS(L$6:L1316,L1316,P$6:P1316,"?*")=1,MAX(AI$5:AI1315)+1,""))</f>
        <v/>
      </c>
    </row>
    <row r="1317">
      <c r="B1317" s="47" t="n"/>
      <c r="C1317" s="48" t="n"/>
      <c r="D1317" s="48" t="n"/>
      <c r="E1317" s="48" t="n"/>
      <c r="F1317" s="48" t="n"/>
      <c r="G1317" s="49" t="n"/>
      <c r="H1317" s="48" t="n"/>
      <c r="I1317" s="50" t="n"/>
      <c r="J1317" s="48" t="n"/>
      <c r="K1317" s="48" t="n"/>
      <c r="L1317" s="48" t="n"/>
      <c r="M1317" s="48" t="n"/>
      <c r="N1317" s="48" t="n"/>
      <c r="O1317" s="51">
        <f>IF(AND(B1317="",G1317="",C1317="",D1317="",J1317=""),"",IF(B1317="","⚠ Falta fecha",IF(G1317="","⚠ Falta monto",IF(Q1317="","⚠ Falta cuenta",IF(ISNA(MATCH(Q1317,ctaNombre,0)),"⚠ Cuenta no registrada",IF(AND(OR(P1317="Gasto",P1317="Reembolso"),D1317=""),"⚠ Falta categoría",IF(AND(D1317&lt;&gt;"",E1317&lt;&gt;"",ISNA(MATCH(D1317&amp;"|"&amp;E1317,catClave,0))),"⚠ Subcategoría no corresponde",IF(AND(OR(P1317="Transferencia",P1317="Pago tarjeta"),K1317=""),"⚠ Falta cuenta destino",IF(AND(K1317&lt;&gt;"",P1317&lt;&gt;"Transferencia",P1317&lt;&gt;"Pago tarjeta"),"⚠ Destino solo aplica a transferencias",IF(AND(K1317&lt;&gt;"",K1317=Q1317),"⚠ Origen igual a destino",IF(AND(K1317&lt;&gt;"",ISNA(MATCH(K1317,ctaNombre,0))),"⚠ Destino no registrado",IF(AND(P1317="Pago tarjeta",AE1317&lt;&gt;"Tarjeta de crédito"),"⚠ El destino debe ser tarjeta de crédito",IF(AND(P1317="Gasto",E1317="Depósitos y retiros"),"⚠ Usa tipo Transferencia",IF(AND(P1317="Resultado trading",AD1317&lt;&gt;"Cuenta de trading"),"⚠ Usa una cuenta de trading",IF(AND(G1317&lt;=0,P1317&lt;&gt;"Ajuste",P1317&lt;&gt;"Resultado trading"),"⚠ El monto debe ser positivo","✓")))))))))))))))</f>
        <v/>
      </c>
      <c r="P1317" s="52">
        <f>IF(OR(B1317="",G1317=""),"",IF(C1317="","Gasto",C1317))</f>
        <v/>
      </c>
      <c r="Q1317" s="52">
        <f>IF(P1317="","",IF(J1317&lt;&gt;"",J1317,CuentaPred&amp;""))</f>
        <v/>
      </c>
      <c r="R1317" s="52">
        <f>IF(P1317="","",IF(ISNUMBER(I1317),I1317,TasaUSD))</f>
        <v/>
      </c>
      <c r="S1317" s="53">
        <f>IF(P1317="","",IF(H1317="USD",G1317*R1317,G1317))</f>
        <v/>
      </c>
      <c r="T1317" s="53">
        <f>IF(P1317="","",IF(H1317="USD",G1317,IF(R1317&gt;0,G1317/R1317,0)))</f>
        <v/>
      </c>
      <c r="U1317" s="53">
        <f>IF(P1317="","",IF(P1317="Gasto",S1317,IF(P1317="Reembolso",-S1317,0)))</f>
        <v/>
      </c>
      <c r="V1317" s="53">
        <f>IF(P1317="","",IF(P1317="Ingreso",S1317,0))</f>
        <v/>
      </c>
      <c r="W1317" s="53">
        <f>IF(P1317="","",IF(P1317="Resultado trading",S1317,0))</f>
        <v/>
      </c>
      <c r="X1317" s="52">
        <f>IF(OR(P1317="Gasto",P1317="Reembolso"),IF(M1317&lt;&gt;"",M1317,IFERROR(INDEX(catClasif,MATCH(D1317&amp;"|"&amp;E1317,catClave,0))&amp;"","Variable")),"")</f>
        <v/>
      </c>
      <c r="Y1317" s="52">
        <f>IF(P1317="","",IFERROR(INDEX(catGrupo,MATCH(D1317&amp;"|"&amp;E1317,catClave,0))&amp;"",""))</f>
        <v/>
      </c>
      <c r="Z1317" s="52">
        <f>IF(P1317="","",WEEKDAY(B1317,2))</f>
        <v/>
      </c>
      <c r="AA1317" s="52">
        <f>IF(P1317="","",IF(AND(P1317="Gasto",X1317="Variable",D1317&lt;&gt;catTrading,S1317&gt;0,S1317&lt;=Umbral),1,0))</f>
        <v/>
      </c>
      <c r="AB1317" s="52">
        <f>IF(OR(P1317="",Q1317=""),"",IFERROR(IF(INDEX(ctaVinc,MATCH(Q1317,ctaNombre,0))&amp;""&lt;&gt;"",INDEX(ctaVinc,MATCH(Q1317,ctaNombre,0))&amp;"",Q1317),Q1317))</f>
        <v/>
      </c>
      <c r="AC1317" s="52">
        <f>IF(OR(K1317="",AND(P1317&lt;&gt;"Transferencia",P1317&lt;&gt;"Pago tarjeta")),"",IFERROR(IF(INDEX(ctaVinc,MATCH(K1317,ctaNombre,0))&amp;""&lt;&gt;"",INDEX(ctaVinc,MATCH(K1317,ctaNombre,0))&amp;"",K1317),K1317))</f>
        <v/>
      </c>
      <c r="AD1317" s="52">
        <f>IF(AB1317="","",IFERROR(INDEX(ctaTipo,MATCH(AB1317,ctaNombre,0))&amp;"",""))</f>
        <v/>
      </c>
      <c r="AE1317" s="52">
        <f>IF(AC1317="","",IFERROR(INDEX(ctaTipo,MATCH(AC1317,ctaNombre,0))&amp;"",""))</f>
        <v/>
      </c>
      <c r="AF1317" s="53">
        <f>IF(OR(P1317="",AB1317=""),"",IF(OR(P1317="Gasto",P1317="Transferencia",P1317="Pago tarjeta"),-1,1)*IF(IFERROR(INDEX(ctaMoneda,MATCH(AB1317,ctaNombre,0))&amp;"","DOP")="USD",T1317,S1317))</f>
        <v/>
      </c>
      <c r="AG1317" s="53">
        <f>IF(AC1317="","",IF(IFERROR(INDEX(ctaMoneda,MATCH(AC1317,ctaNombre,0))&amp;"","DOP")="USD",T1317,S1317))</f>
        <v/>
      </c>
      <c r="AH1317" s="53">
        <f>IF(P1317="","",IF(AND(AD1317&lt;&gt;"",COUNTIFS(tcTipo,AD1317,tcLiq,"Sí")&gt;0),IF(OR(P1317="Gasto",P1317="Transferencia",P1317="Pago tarjeta"),-1,1)*S1317,0)+IF(AND(AE1317&lt;&gt;"",COUNTIFS(tcTipo,AE1317,tcLiq,"Sí")&gt;0),S1317,0))</f>
        <v/>
      </c>
      <c r="AI1317" s="52">
        <f>IF(OR(L1317="",P1317=""),"",IF(COUNTIFS(L$6:L1317,L1317,P$6:P1317,"?*")=1,MAX(AI$5:AI1316)+1,""))</f>
        <v/>
      </c>
    </row>
    <row r="1318">
      <c r="B1318" s="47" t="n"/>
      <c r="C1318" s="48" t="n"/>
      <c r="D1318" s="48" t="n"/>
      <c r="E1318" s="48" t="n"/>
      <c r="F1318" s="48" t="n"/>
      <c r="G1318" s="49" t="n"/>
      <c r="H1318" s="48" t="n"/>
      <c r="I1318" s="50" t="n"/>
      <c r="J1318" s="48" t="n"/>
      <c r="K1318" s="48" t="n"/>
      <c r="L1318" s="48" t="n"/>
      <c r="M1318" s="48" t="n"/>
      <c r="N1318" s="48" t="n"/>
      <c r="O1318" s="51">
        <f>IF(AND(B1318="",G1318="",C1318="",D1318="",J1318=""),"",IF(B1318="","⚠ Falta fecha",IF(G1318="","⚠ Falta monto",IF(Q1318="","⚠ Falta cuenta",IF(ISNA(MATCH(Q1318,ctaNombre,0)),"⚠ Cuenta no registrada",IF(AND(OR(P1318="Gasto",P1318="Reembolso"),D1318=""),"⚠ Falta categoría",IF(AND(D1318&lt;&gt;"",E1318&lt;&gt;"",ISNA(MATCH(D1318&amp;"|"&amp;E1318,catClave,0))),"⚠ Subcategoría no corresponde",IF(AND(OR(P1318="Transferencia",P1318="Pago tarjeta"),K1318=""),"⚠ Falta cuenta destino",IF(AND(K1318&lt;&gt;"",P1318&lt;&gt;"Transferencia",P1318&lt;&gt;"Pago tarjeta"),"⚠ Destino solo aplica a transferencias",IF(AND(K1318&lt;&gt;"",K1318=Q1318),"⚠ Origen igual a destino",IF(AND(K1318&lt;&gt;"",ISNA(MATCH(K1318,ctaNombre,0))),"⚠ Destino no registrado",IF(AND(P1318="Pago tarjeta",AE1318&lt;&gt;"Tarjeta de crédito"),"⚠ El destino debe ser tarjeta de crédito",IF(AND(P1318="Gasto",E1318="Depósitos y retiros"),"⚠ Usa tipo Transferencia",IF(AND(P1318="Resultado trading",AD1318&lt;&gt;"Cuenta de trading"),"⚠ Usa una cuenta de trading",IF(AND(G1318&lt;=0,P1318&lt;&gt;"Ajuste",P1318&lt;&gt;"Resultado trading"),"⚠ El monto debe ser positivo","✓")))))))))))))))</f>
        <v/>
      </c>
      <c r="P1318" s="52">
        <f>IF(OR(B1318="",G1318=""),"",IF(C1318="","Gasto",C1318))</f>
        <v/>
      </c>
      <c r="Q1318" s="52">
        <f>IF(P1318="","",IF(J1318&lt;&gt;"",J1318,CuentaPred&amp;""))</f>
        <v/>
      </c>
      <c r="R1318" s="52">
        <f>IF(P1318="","",IF(ISNUMBER(I1318),I1318,TasaUSD))</f>
        <v/>
      </c>
      <c r="S1318" s="53">
        <f>IF(P1318="","",IF(H1318="USD",G1318*R1318,G1318))</f>
        <v/>
      </c>
      <c r="T1318" s="53">
        <f>IF(P1318="","",IF(H1318="USD",G1318,IF(R1318&gt;0,G1318/R1318,0)))</f>
        <v/>
      </c>
      <c r="U1318" s="53">
        <f>IF(P1318="","",IF(P1318="Gasto",S1318,IF(P1318="Reembolso",-S1318,0)))</f>
        <v/>
      </c>
      <c r="V1318" s="53">
        <f>IF(P1318="","",IF(P1318="Ingreso",S1318,0))</f>
        <v/>
      </c>
      <c r="W1318" s="53">
        <f>IF(P1318="","",IF(P1318="Resultado trading",S1318,0))</f>
        <v/>
      </c>
      <c r="X1318" s="52">
        <f>IF(OR(P1318="Gasto",P1318="Reembolso"),IF(M1318&lt;&gt;"",M1318,IFERROR(INDEX(catClasif,MATCH(D1318&amp;"|"&amp;E1318,catClave,0))&amp;"","Variable")),"")</f>
        <v/>
      </c>
      <c r="Y1318" s="52">
        <f>IF(P1318="","",IFERROR(INDEX(catGrupo,MATCH(D1318&amp;"|"&amp;E1318,catClave,0))&amp;"",""))</f>
        <v/>
      </c>
      <c r="Z1318" s="52">
        <f>IF(P1318="","",WEEKDAY(B1318,2))</f>
        <v/>
      </c>
      <c r="AA1318" s="52">
        <f>IF(P1318="","",IF(AND(P1318="Gasto",X1318="Variable",D1318&lt;&gt;catTrading,S1318&gt;0,S1318&lt;=Umbral),1,0))</f>
        <v/>
      </c>
      <c r="AB1318" s="52">
        <f>IF(OR(P1318="",Q1318=""),"",IFERROR(IF(INDEX(ctaVinc,MATCH(Q1318,ctaNombre,0))&amp;""&lt;&gt;"",INDEX(ctaVinc,MATCH(Q1318,ctaNombre,0))&amp;"",Q1318),Q1318))</f>
        <v/>
      </c>
      <c r="AC1318" s="52">
        <f>IF(OR(K1318="",AND(P1318&lt;&gt;"Transferencia",P1318&lt;&gt;"Pago tarjeta")),"",IFERROR(IF(INDEX(ctaVinc,MATCH(K1318,ctaNombre,0))&amp;""&lt;&gt;"",INDEX(ctaVinc,MATCH(K1318,ctaNombre,0))&amp;"",K1318),K1318))</f>
        <v/>
      </c>
      <c r="AD1318" s="52">
        <f>IF(AB1318="","",IFERROR(INDEX(ctaTipo,MATCH(AB1318,ctaNombre,0))&amp;"",""))</f>
        <v/>
      </c>
      <c r="AE1318" s="52">
        <f>IF(AC1318="","",IFERROR(INDEX(ctaTipo,MATCH(AC1318,ctaNombre,0))&amp;"",""))</f>
        <v/>
      </c>
      <c r="AF1318" s="53">
        <f>IF(OR(P1318="",AB1318=""),"",IF(OR(P1318="Gasto",P1318="Transferencia",P1318="Pago tarjeta"),-1,1)*IF(IFERROR(INDEX(ctaMoneda,MATCH(AB1318,ctaNombre,0))&amp;"","DOP")="USD",T1318,S1318))</f>
        <v/>
      </c>
      <c r="AG1318" s="53">
        <f>IF(AC1318="","",IF(IFERROR(INDEX(ctaMoneda,MATCH(AC1318,ctaNombre,0))&amp;"","DOP")="USD",T1318,S1318))</f>
        <v/>
      </c>
      <c r="AH1318" s="53">
        <f>IF(P1318="","",IF(AND(AD1318&lt;&gt;"",COUNTIFS(tcTipo,AD1318,tcLiq,"Sí")&gt;0),IF(OR(P1318="Gasto",P1318="Transferencia",P1318="Pago tarjeta"),-1,1)*S1318,0)+IF(AND(AE1318&lt;&gt;"",COUNTIFS(tcTipo,AE1318,tcLiq,"Sí")&gt;0),S1318,0))</f>
        <v/>
      </c>
      <c r="AI1318" s="52">
        <f>IF(OR(L1318="",P1318=""),"",IF(COUNTIFS(L$6:L1318,L1318,P$6:P1318,"?*")=1,MAX(AI$5:AI1317)+1,""))</f>
        <v/>
      </c>
    </row>
    <row r="1319">
      <c r="B1319" s="47" t="n"/>
      <c r="C1319" s="48" t="n"/>
      <c r="D1319" s="48" t="n"/>
      <c r="E1319" s="48" t="n"/>
      <c r="F1319" s="48" t="n"/>
      <c r="G1319" s="49" t="n"/>
      <c r="H1319" s="48" t="n"/>
      <c r="I1319" s="50" t="n"/>
      <c r="J1319" s="48" t="n"/>
      <c r="K1319" s="48" t="n"/>
      <c r="L1319" s="48" t="n"/>
      <c r="M1319" s="48" t="n"/>
      <c r="N1319" s="48" t="n"/>
      <c r="O1319" s="51">
        <f>IF(AND(B1319="",G1319="",C1319="",D1319="",J1319=""),"",IF(B1319="","⚠ Falta fecha",IF(G1319="","⚠ Falta monto",IF(Q1319="","⚠ Falta cuenta",IF(ISNA(MATCH(Q1319,ctaNombre,0)),"⚠ Cuenta no registrada",IF(AND(OR(P1319="Gasto",P1319="Reembolso"),D1319=""),"⚠ Falta categoría",IF(AND(D1319&lt;&gt;"",E1319&lt;&gt;"",ISNA(MATCH(D1319&amp;"|"&amp;E1319,catClave,0))),"⚠ Subcategoría no corresponde",IF(AND(OR(P1319="Transferencia",P1319="Pago tarjeta"),K1319=""),"⚠ Falta cuenta destino",IF(AND(K1319&lt;&gt;"",P1319&lt;&gt;"Transferencia",P1319&lt;&gt;"Pago tarjeta"),"⚠ Destino solo aplica a transferencias",IF(AND(K1319&lt;&gt;"",K1319=Q1319),"⚠ Origen igual a destino",IF(AND(K1319&lt;&gt;"",ISNA(MATCH(K1319,ctaNombre,0))),"⚠ Destino no registrado",IF(AND(P1319="Pago tarjeta",AE1319&lt;&gt;"Tarjeta de crédito"),"⚠ El destino debe ser tarjeta de crédito",IF(AND(P1319="Gasto",E1319="Depósitos y retiros"),"⚠ Usa tipo Transferencia",IF(AND(P1319="Resultado trading",AD1319&lt;&gt;"Cuenta de trading"),"⚠ Usa una cuenta de trading",IF(AND(G1319&lt;=0,P1319&lt;&gt;"Ajuste",P1319&lt;&gt;"Resultado trading"),"⚠ El monto debe ser positivo","✓")))))))))))))))</f>
        <v/>
      </c>
      <c r="P1319" s="52">
        <f>IF(OR(B1319="",G1319=""),"",IF(C1319="","Gasto",C1319))</f>
        <v/>
      </c>
      <c r="Q1319" s="52">
        <f>IF(P1319="","",IF(J1319&lt;&gt;"",J1319,CuentaPred&amp;""))</f>
        <v/>
      </c>
      <c r="R1319" s="52">
        <f>IF(P1319="","",IF(ISNUMBER(I1319),I1319,TasaUSD))</f>
        <v/>
      </c>
      <c r="S1319" s="53">
        <f>IF(P1319="","",IF(H1319="USD",G1319*R1319,G1319))</f>
        <v/>
      </c>
      <c r="T1319" s="53">
        <f>IF(P1319="","",IF(H1319="USD",G1319,IF(R1319&gt;0,G1319/R1319,0)))</f>
        <v/>
      </c>
      <c r="U1319" s="53">
        <f>IF(P1319="","",IF(P1319="Gasto",S1319,IF(P1319="Reembolso",-S1319,0)))</f>
        <v/>
      </c>
      <c r="V1319" s="53">
        <f>IF(P1319="","",IF(P1319="Ingreso",S1319,0))</f>
        <v/>
      </c>
      <c r="W1319" s="53">
        <f>IF(P1319="","",IF(P1319="Resultado trading",S1319,0))</f>
        <v/>
      </c>
      <c r="X1319" s="52">
        <f>IF(OR(P1319="Gasto",P1319="Reembolso"),IF(M1319&lt;&gt;"",M1319,IFERROR(INDEX(catClasif,MATCH(D1319&amp;"|"&amp;E1319,catClave,0))&amp;"","Variable")),"")</f>
        <v/>
      </c>
      <c r="Y1319" s="52">
        <f>IF(P1319="","",IFERROR(INDEX(catGrupo,MATCH(D1319&amp;"|"&amp;E1319,catClave,0))&amp;"",""))</f>
        <v/>
      </c>
      <c r="Z1319" s="52">
        <f>IF(P1319="","",WEEKDAY(B1319,2))</f>
        <v/>
      </c>
      <c r="AA1319" s="52">
        <f>IF(P1319="","",IF(AND(P1319="Gasto",X1319="Variable",D1319&lt;&gt;catTrading,S1319&gt;0,S1319&lt;=Umbral),1,0))</f>
        <v/>
      </c>
      <c r="AB1319" s="52">
        <f>IF(OR(P1319="",Q1319=""),"",IFERROR(IF(INDEX(ctaVinc,MATCH(Q1319,ctaNombre,0))&amp;""&lt;&gt;"",INDEX(ctaVinc,MATCH(Q1319,ctaNombre,0))&amp;"",Q1319),Q1319))</f>
        <v/>
      </c>
      <c r="AC1319" s="52">
        <f>IF(OR(K1319="",AND(P1319&lt;&gt;"Transferencia",P1319&lt;&gt;"Pago tarjeta")),"",IFERROR(IF(INDEX(ctaVinc,MATCH(K1319,ctaNombre,0))&amp;""&lt;&gt;"",INDEX(ctaVinc,MATCH(K1319,ctaNombre,0))&amp;"",K1319),K1319))</f>
        <v/>
      </c>
      <c r="AD1319" s="52">
        <f>IF(AB1319="","",IFERROR(INDEX(ctaTipo,MATCH(AB1319,ctaNombre,0))&amp;"",""))</f>
        <v/>
      </c>
      <c r="AE1319" s="52">
        <f>IF(AC1319="","",IFERROR(INDEX(ctaTipo,MATCH(AC1319,ctaNombre,0))&amp;"",""))</f>
        <v/>
      </c>
      <c r="AF1319" s="53">
        <f>IF(OR(P1319="",AB1319=""),"",IF(OR(P1319="Gasto",P1319="Transferencia",P1319="Pago tarjeta"),-1,1)*IF(IFERROR(INDEX(ctaMoneda,MATCH(AB1319,ctaNombre,0))&amp;"","DOP")="USD",T1319,S1319))</f>
        <v/>
      </c>
      <c r="AG1319" s="53">
        <f>IF(AC1319="","",IF(IFERROR(INDEX(ctaMoneda,MATCH(AC1319,ctaNombre,0))&amp;"","DOP")="USD",T1319,S1319))</f>
        <v/>
      </c>
      <c r="AH1319" s="53">
        <f>IF(P1319="","",IF(AND(AD1319&lt;&gt;"",COUNTIFS(tcTipo,AD1319,tcLiq,"Sí")&gt;0),IF(OR(P1319="Gasto",P1319="Transferencia",P1319="Pago tarjeta"),-1,1)*S1319,0)+IF(AND(AE1319&lt;&gt;"",COUNTIFS(tcTipo,AE1319,tcLiq,"Sí")&gt;0),S1319,0))</f>
        <v/>
      </c>
      <c r="AI1319" s="52">
        <f>IF(OR(L1319="",P1319=""),"",IF(COUNTIFS(L$6:L1319,L1319,P$6:P1319,"?*")=1,MAX(AI$5:AI1318)+1,""))</f>
        <v/>
      </c>
    </row>
    <row r="1320">
      <c r="B1320" s="47" t="n"/>
      <c r="C1320" s="48" t="n"/>
      <c r="D1320" s="48" t="n"/>
      <c r="E1320" s="48" t="n"/>
      <c r="F1320" s="48" t="n"/>
      <c r="G1320" s="49" t="n"/>
      <c r="H1320" s="48" t="n"/>
      <c r="I1320" s="50" t="n"/>
      <c r="J1320" s="48" t="n"/>
      <c r="K1320" s="48" t="n"/>
      <c r="L1320" s="48" t="n"/>
      <c r="M1320" s="48" t="n"/>
      <c r="N1320" s="48" t="n"/>
      <c r="O1320" s="51">
        <f>IF(AND(B1320="",G1320="",C1320="",D1320="",J1320=""),"",IF(B1320="","⚠ Falta fecha",IF(G1320="","⚠ Falta monto",IF(Q1320="","⚠ Falta cuenta",IF(ISNA(MATCH(Q1320,ctaNombre,0)),"⚠ Cuenta no registrada",IF(AND(OR(P1320="Gasto",P1320="Reembolso"),D1320=""),"⚠ Falta categoría",IF(AND(D1320&lt;&gt;"",E1320&lt;&gt;"",ISNA(MATCH(D1320&amp;"|"&amp;E1320,catClave,0))),"⚠ Subcategoría no corresponde",IF(AND(OR(P1320="Transferencia",P1320="Pago tarjeta"),K1320=""),"⚠ Falta cuenta destino",IF(AND(K1320&lt;&gt;"",P1320&lt;&gt;"Transferencia",P1320&lt;&gt;"Pago tarjeta"),"⚠ Destino solo aplica a transferencias",IF(AND(K1320&lt;&gt;"",K1320=Q1320),"⚠ Origen igual a destino",IF(AND(K1320&lt;&gt;"",ISNA(MATCH(K1320,ctaNombre,0))),"⚠ Destino no registrado",IF(AND(P1320="Pago tarjeta",AE1320&lt;&gt;"Tarjeta de crédito"),"⚠ El destino debe ser tarjeta de crédito",IF(AND(P1320="Gasto",E1320="Depósitos y retiros"),"⚠ Usa tipo Transferencia",IF(AND(P1320="Resultado trading",AD1320&lt;&gt;"Cuenta de trading"),"⚠ Usa una cuenta de trading",IF(AND(G1320&lt;=0,P1320&lt;&gt;"Ajuste",P1320&lt;&gt;"Resultado trading"),"⚠ El monto debe ser positivo","✓")))))))))))))))</f>
        <v/>
      </c>
      <c r="P1320" s="52">
        <f>IF(OR(B1320="",G1320=""),"",IF(C1320="","Gasto",C1320))</f>
        <v/>
      </c>
      <c r="Q1320" s="52">
        <f>IF(P1320="","",IF(J1320&lt;&gt;"",J1320,CuentaPred&amp;""))</f>
        <v/>
      </c>
      <c r="R1320" s="52">
        <f>IF(P1320="","",IF(ISNUMBER(I1320),I1320,TasaUSD))</f>
        <v/>
      </c>
      <c r="S1320" s="53">
        <f>IF(P1320="","",IF(H1320="USD",G1320*R1320,G1320))</f>
        <v/>
      </c>
      <c r="T1320" s="53">
        <f>IF(P1320="","",IF(H1320="USD",G1320,IF(R1320&gt;0,G1320/R1320,0)))</f>
        <v/>
      </c>
      <c r="U1320" s="53">
        <f>IF(P1320="","",IF(P1320="Gasto",S1320,IF(P1320="Reembolso",-S1320,0)))</f>
        <v/>
      </c>
      <c r="V1320" s="53">
        <f>IF(P1320="","",IF(P1320="Ingreso",S1320,0))</f>
        <v/>
      </c>
      <c r="W1320" s="53">
        <f>IF(P1320="","",IF(P1320="Resultado trading",S1320,0))</f>
        <v/>
      </c>
      <c r="X1320" s="52">
        <f>IF(OR(P1320="Gasto",P1320="Reembolso"),IF(M1320&lt;&gt;"",M1320,IFERROR(INDEX(catClasif,MATCH(D1320&amp;"|"&amp;E1320,catClave,0))&amp;"","Variable")),"")</f>
        <v/>
      </c>
      <c r="Y1320" s="52">
        <f>IF(P1320="","",IFERROR(INDEX(catGrupo,MATCH(D1320&amp;"|"&amp;E1320,catClave,0))&amp;"",""))</f>
        <v/>
      </c>
      <c r="Z1320" s="52">
        <f>IF(P1320="","",WEEKDAY(B1320,2))</f>
        <v/>
      </c>
      <c r="AA1320" s="52">
        <f>IF(P1320="","",IF(AND(P1320="Gasto",X1320="Variable",D1320&lt;&gt;catTrading,S1320&gt;0,S1320&lt;=Umbral),1,0))</f>
        <v/>
      </c>
      <c r="AB1320" s="52">
        <f>IF(OR(P1320="",Q1320=""),"",IFERROR(IF(INDEX(ctaVinc,MATCH(Q1320,ctaNombre,0))&amp;""&lt;&gt;"",INDEX(ctaVinc,MATCH(Q1320,ctaNombre,0))&amp;"",Q1320),Q1320))</f>
        <v/>
      </c>
      <c r="AC1320" s="52">
        <f>IF(OR(K1320="",AND(P1320&lt;&gt;"Transferencia",P1320&lt;&gt;"Pago tarjeta")),"",IFERROR(IF(INDEX(ctaVinc,MATCH(K1320,ctaNombre,0))&amp;""&lt;&gt;"",INDEX(ctaVinc,MATCH(K1320,ctaNombre,0))&amp;"",K1320),K1320))</f>
        <v/>
      </c>
      <c r="AD1320" s="52">
        <f>IF(AB1320="","",IFERROR(INDEX(ctaTipo,MATCH(AB1320,ctaNombre,0))&amp;"",""))</f>
        <v/>
      </c>
      <c r="AE1320" s="52">
        <f>IF(AC1320="","",IFERROR(INDEX(ctaTipo,MATCH(AC1320,ctaNombre,0))&amp;"",""))</f>
        <v/>
      </c>
      <c r="AF1320" s="53">
        <f>IF(OR(P1320="",AB1320=""),"",IF(OR(P1320="Gasto",P1320="Transferencia",P1320="Pago tarjeta"),-1,1)*IF(IFERROR(INDEX(ctaMoneda,MATCH(AB1320,ctaNombre,0))&amp;"","DOP")="USD",T1320,S1320))</f>
        <v/>
      </c>
      <c r="AG1320" s="53">
        <f>IF(AC1320="","",IF(IFERROR(INDEX(ctaMoneda,MATCH(AC1320,ctaNombre,0))&amp;"","DOP")="USD",T1320,S1320))</f>
        <v/>
      </c>
      <c r="AH1320" s="53">
        <f>IF(P1320="","",IF(AND(AD1320&lt;&gt;"",COUNTIFS(tcTipo,AD1320,tcLiq,"Sí")&gt;0),IF(OR(P1320="Gasto",P1320="Transferencia",P1320="Pago tarjeta"),-1,1)*S1320,0)+IF(AND(AE1320&lt;&gt;"",COUNTIFS(tcTipo,AE1320,tcLiq,"Sí")&gt;0),S1320,0))</f>
        <v/>
      </c>
      <c r="AI1320" s="52">
        <f>IF(OR(L1320="",P1320=""),"",IF(COUNTIFS(L$6:L1320,L1320,P$6:P1320,"?*")=1,MAX(AI$5:AI1319)+1,""))</f>
        <v/>
      </c>
    </row>
    <row r="1321">
      <c r="B1321" s="47" t="n"/>
      <c r="C1321" s="48" t="n"/>
      <c r="D1321" s="48" t="n"/>
      <c r="E1321" s="48" t="n"/>
      <c r="F1321" s="48" t="n"/>
      <c r="G1321" s="49" t="n"/>
      <c r="H1321" s="48" t="n"/>
      <c r="I1321" s="50" t="n"/>
      <c r="J1321" s="48" t="n"/>
      <c r="K1321" s="48" t="n"/>
      <c r="L1321" s="48" t="n"/>
      <c r="M1321" s="48" t="n"/>
      <c r="N1321" s="48" t="n"/>
      <c r="O1321" s="51">
        <f>IF(AND(B1321="",G1321="",C1321="",D1321="",J1321=""),"",IF(B1321="","⚠ Falta fecha",IF(G1321="","⚠ Falta monto",IF(Q1321="","⚠ Falta cuenta",IF(ISNA(MATCH(Q1321,ctaNombre,0)),"⚠ Cuenta no registrada",IF(AND(OR(P1321="Gasto",P1321="Reembolso"),D1321=""),"⚠ Falta categoría",IF(AND(D1321&lt;&gt;"",E1321&lt;&gt;"",ISNA(MATCH(D1321&amp;"|"&amp;E1321,catClave,0))),"⚠ Subcategoría no corresponde",IF(AND(OR(P1321="Transferencia",P1321="Pago tarjeta"),K1321=""),"⚠ Falta cuenta destino",IF(AND(K1321&lt;&gt;"",P1321&lt;&gt;"Transferencia",P1321&lt;&gt;"Pago tarjeta"),"⚠ Destino solo aplica a transferencias",IF(AND(K1321&lt;&gt;"",K1321=Q1321),"⚠ Origen igual a destino",IF(AND(K1321&lt;&gt;"",ISNA(MATCH(K1321,ctaNombre,0))),"⚠ Destino no registrado",IF(AND(P1321="Pago tarjeta",AE1321&lt;&gt;"Tarjeta de crédito"),"⚠ El destino debe ser tarjeta de crédito",IF(AND(P1321="Gasto",E1321="Depósitos y retiros"),"⚠ Usa tipo Transferencia",IF(AND(P1321="Resultado trading",AD1321&lt;&gt;"Cuenta de trading"),"⚠ Usa una cuenta de trading",IF(AND(G1321&lt;=0,P1321&lt;&gt;"Ajuste",P1321&lt;&gt;"Resultado trading"),"⚠ El monto debe ser positivo","✓")))))))))))))))</f>
        <v/>
      </c>
      <c r="P1321" s="52">
        <f>IF(OR(B1321="",G1321=""),"",IF(C1321="","Gasto",C1321))</f>
        <v/>
      </c>
      <c r="Q1321" s="52">
        <f>IF(P1321="","",IF(J1321&lt;&gt;"",J1321,CuentaPred&amp;""))</f>
        <v/>
      </c>
      <c r="R1321" s="52">
        <f>IF(P1321="","",IF(ISNUMBER(I1321),I1321,TasaUSD))</f>
        <v/>
      </c>
      <c r="S1321" s="53">
        <f>IF(P1321="","",IF(H1321="USD",G1321*R1321,G1321))</f>
        <v/>
      </c>
      <c r="T1321" s="53">
        <f>IF(P1321="","",IF(H1321="USD",G1321,IF(R1321&gt;0,G1321/R1321,0)))</f>
        <v/>
      </c>
      <c r="U1321" s="53">
        <f>IF(P1321="","",IF(P1321="Gasto",S1321,IF(P1321="Reembolso",-S1321,0)))</f>
        <v/>
      </c>
      <c r="V1321" s="53">
        <f>IF(P1321="","",IF(P1321="Ingreso",S1321,0))</f>
        <v/>
      </c>
      <c r="W1321" s="53">
        <f>IF(P1321="","",IF(P1321="Resultado trading",S1321,0))</f>
        <v/>
      </c>
      <c r="X1321" s="52">
        <f>IF(OR(P1321="Gasto",P1321="Reembolso"),IF(M1321&lt;&gt;"",M1321,IFERROR(INDEX(catClasif,MATCH(D1321&amp;"|"&amp;E1321,catClave,0))&amp;"","Variable")),"")</f>
        <v/>
      </c>
      <c r="Y1321" s="52">
        <f>IF(P1321="","",IFERROR(INDEX(catGrupo,MATCH(D1321&amp;"|"&amp;E1321,catClave,0))&amp;"",""))</f>
        <v/>
      </c>
      <c r="Z1321" s="52">
        <f>IF(P1321="","",WEEKDAY(B1321,2))</f>
        <v/>
      </c>
      <c r="AA1321" s="52">
        <f>IF(P1321="","",IF(AND(P1321="Gasto",X1321="Variable",D1321&lt;&gt;catTrading,S1321&gt;0,S1321&lt;=Umbral),1,0))</f>
        <v/>
      </c>
      <c r="AB1321" s="52">
        <f>IF(OR(P1321="",Q1321=""),"",IFERROR(IF(INDEX(ctaVinc,MATCH(Q1321,ctaNombre,0))&amp;""&lt;&gt;"",INDEX(ctaVinc,MATCH(Q1321,ctaNombre,0))&amp;"",Q1321),Q1321))</f>
        <v/>
      </c>
      <c r="AC1321" s="52">
        <f>IF(OR(K1321="",AND(P1321&lt;&gt;"Transferencia",P1321&lt;&gt;"Pago tarjeta")),"",IFERROR(IF(INDEX(ctaVinc,MATCH(K1321,ctaNombre,0))&amp;""&lt;&gt;"",INDEX(ctaVinc,MATCH(K1321,ctaNombre,0))&amp;"",K1321),K1321))</f>
        <v/>
      </c>
      <c r="AD1321" s="52">
        <f>IF(AB1321="","",IFERROR(INDEX(ctaTipo,MATCH(AB1321,ctaNombre,0))&amp;"",""))</f>
        <v/>
      </c>
      <c r="AE1321" s="52">
        <f>IF(AC1321="","",IFERROR(INDEX(ctaTipo,MATCH(AC1321,ctaNombre,0))&amp;"",""))</f>
        <v/>
      </c>
      <c r="AF1321" s="53">
        <f>IF(OR(P1321="",AB1321=""),"",IF(OR(P1321="Gasto",P1321="Transferencia",P1321="Pago tarjeta"),-1,1)*IF(IFERROR(INDEX(ctaMoneda,MATCH(AB1321,ctaNombre,0))&amp;"","DOP")="USD",T1321,S1321))</f>
        <v/>
      </c>
      <c r="AG1321" s="53">
        <f>IF(AC1321="","",IF(IFERROR(INDEX(ctaMoneda,MATCH(AC1321,ctaNombre,0))&amp;"","DOP")="USD",T1321,S1321))</f>
        <v/>
      </c>
      <c r="AH1321" s="53">
        <f>IF(P1321="","",IF(AND(AD1321&lt;&gt;"",COUNTIFS(tcTipo,AD1321,tcLiq,"Sí")&gt;0),IF(OR(P1321="Gasto",P1321="Transferencia",P1321="Pago tarjeta"),-1,1)*S1321,0)+IF(AND(AE1321&lt;&gt;"",COUNTIFS(tcTipo,AE1321,tcLiq,"Sí")&gt;0),S1321,0))</f>
        <v/>
      </c>
      <c r="AI1321" s="52">
        <f>IF(OR(L1321="",P1321=""),"",IF(COUNTIFS(L$6:L1321,L1321,P$6:P1321,"?*")=1,MAX(AI$5:AI1320)+1,""))</f>
        <v/>
      </c>
    </row>
    <row r="1322">
      <c r="B1322" s="47" t="n"/>
      <c r="C1322" s="48" t="n"/>
      <c r="D1322" s="48" t="n"/>
      <c r="E1322" s="48" t="n"/>
      <c r="F1322" s="48" t="n"/>
      <c r="G1322" s="49" t="n"/>
      <c r="H1322" s="48" t="n"/>
      <c r="I1322" s="50" t="n"/>
      <c r="J1322" s="48" t="n"/>
      <c r="K1322" s="48" t="n"/>
      <c r="L1322" s="48" t="n"/>
      <c r="M1322" s="48" t="n"/>
      <c r="N1322" s="48" t="n"/>
      <c r="O1322" s="51">
        <f>IF(AND(B1322="",G1322="",C1322="",D1322="",J1322=""),"",IF(B1322="","⚠ Falta fecha",IF(G1322="","⚠ Falta monto",IF(Q1322="","⚠ Falta cuenta",IF(ISNA(MATCH(Q1322,ctaNombre,0)),"⚠ Cuenta no registrada",IF(AND(OR(P1322="Gasto",P1322="Reembolso"),D1322=""),"⚠ Falta categoría",IF(AND(D1322&lt;&gt;"",E1322&lt;&gt;"",ISNA(MATCH(D1322&amp;"|"&amp;E1322,catClave,0))),"⚠ Subcategoría no corresponde",IF(AND(OR(P1322="Transferencia",P1322="Pago tarjeta"),K1322=""),"⚠ Falta cuenta destino",IF(AND(K1322&lt;&gt;"",P1322&lt;&gt;"Transferencia",P1322&lt;&gt;"Pago tarjeta"),"⚠ Destino solo aplica a transferencias",IF(AND(K1322&lt;&gt;"",K1322=Q1322),"⚠ Origen igual a destino",IF(AND(K1322&lt;&gt;"",ISNA(MATCH(K1322,ctaNombre,0))),"⚠ Destino no registrado",IF(AND(P1322="Pago tarjeta",AE1322&lt;&gt;"Tarjeta de crédito"),"⚠ El destino debe ser tarjeta de crédito",IF(AND(P1322="Gasto",E1322="Depósitos y retiros"),"⚠ Usa tipo Transferencia",IF(AND(P1322="Resultado trading",AD1322&lt;&gt;"Cuenta de trading"),"⚠ Usa una cuenta de trading",IF(AND(G1322&lt;=0,P1322&lt;&gt;"Ajuste",P1322&lt;&gt;"Resultado trading"),"⚠ El monto debe ser positivo","✓")))))))))))))))</f>
        <v/>
      </c>
      <c r="P1322" s="52">
        <f>IF(OR(B1322="",G1322=""),"",IF(C1322="","Gasto",C1322))</f>
        <v/>
      </c>
      <c r="Q1322" s="52">
        <f>IF(P1322="","",IF(J1322&lt;&gt;"",J1322,CuentaPred&amp;""))</f>
        <v/>
      </c>
      <c r="R1322" s="52">
        <f>IF(P1322="","",IF(ISNUMBER(I1322),I1322,TasaUSD))</f>
        <v/>
      </c>
      <c r="S1322" s="53">
        <f>IF(P1322="","",IF(H1322="USD",G1322*R1322,G1322))</f>
        <v/>
      </c>
      <c r="T1322" s="53">
        <f>IF(P1322="","",IF(H1322="USD",G1322,IF(R1322&gt;0,G1322/R1322,0)))</f>
        <v/>
      </c>
      <c r="U1322" s="53">
        <f>IF(P1322="","",IF(P1322="Gasto",S1322,IF(P1322="Reembolso",-S1322,0)))</f>
        <v/>
      </c>
      <c r="V1322" s="53">
        <f>IF(P1322="","",IF(P1322="Ingreso",S1322,0))</f>
        <v/>
      </c>
      <c r="W1322" s="53">
        <f>IF(P1322="","",IF(P1322="Resultado trading",S1322,0))</f>
        <v/>
      </c>
      <c r="X1322" s="52">
        <f>IF(OR(P1322="Gasto",P1322="Reembolso"),IF(M1322&lt;&gt;"",M1322,IFERROR(INDEX(catClasif,MATCH(D1322&amp;"|"&amp;E1322,catClave,0))&amp;"","Variable")),"")</f>
        <v/>
      </c>
      <c r="Y1322" s="52">
        <f>IF(P1322="","",IFERROR(INDEX(catGrupo,MATCH(D1322&amp;"|"&amp;E1322,catClave,0))&amp;"",""))</f>
        <v/>
      </c>
      <c r="Z1322" s="52">
        <f>IF(P1322="","",WEEKDAY(B1322,2))</f>
        <v/>
      </c>
      <c r="AA1322" s="52">
        <f>IF(P1322="","",IF(AND(P1322="Gasto",X1322="Variable",D1322&lt;&gt;catTrading,S1322&gt;0,S1322&lt;=Umbral),1,0))</f>
        <v/>
      </c>
      <c r="AB1322" s="52">
        <f>IF(OR(P1322="",Q1322=""),"",IFERROR(IF(INDEX(ctaVinc,MATCH(Q1322,ctaNombre,0))&amp;""&lt;&gt;"",INDEX(ctaVinc,MATCH(Q1322,ctaNombre,0))&amp;"",Q1322),Q1322))</f>
        <v/>
      </c>
      <c r="AC1322" s="52">
        <f>IF(OR(K1322="",AND(P1322&lt;&gt;"Transferencia",P1322&lt;&gt;"Pago tarjeta")),"",IFERROR(IF(INDEX(ctaVinc,MATCH(K1322,ctaNombre,0))&amp;""&lt;&gt;"",INDEX(ctaVinc,MATCH(K1322,ctaNombre,0))&amp;"",K1322),K1322))</f>
        <v/>
      </c>
      <c r="AD1322" s="52">
        <f>IF(AB1322="","",IFERROR(INDEX(ctaTipo,MATCH(AB1322,ctaNombre,0))&amp;"",""))</f>
        <v/>
      </c>
      <c r="AE1322" s="52">
        <f>IF(AC1322="","",IFERROR(INDEX(ctaTipo,MATCH(AC1322,ctaNombre,0))&amp;"",""))</f>
        <v/>
      </c>
      <c r="AF1322" s="53">
        <f>IF(OR(P1322="",AB1322=""),"",IF(OR(P1322="Gasto",P1322="Transferencia",P1322="Pago tarjeta"),-1,1)*IF(IFERROR(INDEX(ctaMoneda,MATCH(AB1322,ctaNombre,0))&amp;"","DOP")="USD",T1322,S1322))</f>
        <v/>
      </c>
      <c r="AG1322" s="53">
        <f>IF(AC1322="","",IF(IFERROR(INDEX(ctaMoneda,MATCH(AC1322,ctaNombre,0))&amp;"","DOP")="USD",T1322,S1322))</f>
        <v/>
      </c>
      <c r="AH1322" s="53">
        <f>IF(P1322="","",IF(AND(AD1322&lt;&gt;"",COUNTIFS(tcTipo,AD1322,tcLiq,"Sí")&gt;0),IF(OR(P1322="Gasto",P1322="Transferencia",P1322="Pago tarjeta"),-1,1)*S1322,0)+IF(AND(AE1322&lt;&gt;"",COUNTIFS(tcTipo,AE1322,tcLiq,"Sí")&gt;0),S1322,0))</f>
        <v/>
      </c>
      <c r="AI1322" s="52">
        <f>IF(OR(L1322="",P1322=""),"",IF(COUNTIFS(L$6:L1322,L1322,P$6:P1322,"?*")=1,MAX(AI$5:AI1321)+1,""))</f>
        <v/>
      </c>
    </row>
    <row r="1323">
      <c r="B1323" s="47" t="n"/>
      <c r="C1323" s="48" t="n"/>
      <c r="D1323" s="48" t="n"/>
      <c r="E1323" s="48" t="n"/>
      <c r="F1323" s="48" t="n"/>
      <c r="G1323" s="49" t="n"/>
      <c r="H1323" s="48" t="n"/>
      <c r="I1323" s="50" t="n"/>
      <c r="J1323" s="48" t="n"/>
      <c r="K1323" s="48" t="n"/>
      <c r="L1323" s="48" t="n"/>
      <c r="M1323" s="48" t="n"/>
      <c r="N1323" s="48" t="n"/>
      <c r="O1323" s="51">
        <f>IF(AND(B1323="",G1323="",C1323="",D1323="",J1323=""),"",IF(B1323="","⚠ Falta fecha",IF(G1323="","⚠ Falta monto",IF(Q1323="","⚠ Falta cuenta",IF(ISNA(MATCH(Q1323,ctaNombre,0)),"⚠ Cuenta no registrada",IF(AND(OR(P1323="Gasto",P1323="Reembolso"),D1323=""),"⚠ Falta categoría",IF(AND(D1323&lt;&gt;"",E1323&lt;&gt;"",ISNA(MATCH(D1323&amp;"|"&amp;E1323,catClave,0))),"⚠ Subcategoría no corresponde",IF(AND(OR(P1323="Transferencia",P1323="Pago tarjeta"),K1323=""),"⚠ Falta cuenta destino",IF(AND(K1323&lt;&gt;"",P1323&lt;&gt;"Transferencia",P1323&lt;&gt;"Pago tarjeta"),"⚠ Destino solo aplica a transferencias",IF(AND(K1323&lt;&gt;"",K1323=Q1323),"⚠ Origen igual a destino",IF(AND(K1323&lt;&gt;"",ISNA(MATCH(K1323,ctaNombre,0))),"⚠ Destino no registrado",IF(AND(P1323="Pago tarjeta",AE1323&lt;&gt;"Tarjeta de crédito"),"⚠ El destino debe ser tarjeta de crédito",IF(AND(P1323="Gasto",E1323="Depósitos y retiros"),"⚠ Usa tipo Transferencia",IF(AND(P1323="Resultado trading",AD1323&lt;&gt;"Cuenta de trading"),"⚠ Usa una cuenta de trading",IF(AND(G1323&lt;=0,P1323&lt;&gt;"Ajuste",P1323&lt;&gt;"Resultado trading"),"⚠ El monto debe ser positivo","✓")))))))))))))))</f>
        <v/>
      </c>
      <c r="P1323" s="52">
        <f>IF(OR(B1323="",G1323=""),"",IF(C1323="","Gasto",C1323))</f>
        <v/>
      </c>
      <c r="Q1323" s="52">
        <f>IF(P1323="","",IF(J1323&lt;&gt;"",J1323,CuentaPred&amp;""))</f>
        <v/>
      </c>
      <c r="R1323" s="52">
        <f>IF(P1323="","",IF(ISNUMBER(I1323),I1323,TasaUSD))</f>
        <v/>
      </c>
      <c r="S1323" s="53">
        <f>IF(P1323="","",IF(H1323="USD",G1323*R1323,G1323))</f>
        <v/>
      </c>
      <c r="T1323" s="53">
        <f>IF(P1323="","",IF(H1323="USD",G1323,IF(R1323&gt;0,G1323/R1323,0)))</f>
        <v/>
      </c>
      <c r="U1323" s="53">
        <f>IF(P1323="","",IF(P1323="Gasto",S1323,IF(P1323="Reembolso",-S1323,0)))</f>
        <v/>
      </c>
      <c r="V1323" s="53">
        <f>IF(P1323="","",IF(P1323="Ingreso",S1323,0))</f>
        <v/>
      </c>
      <c r="W1323" s="53">
        <f>IF(P1323="","",IF(P1323="Resultado trading",S1323,0))</f>
        <v/>
      </c>
      <c r="X1323" s="52">
        <f>IF(OR(P1323="Gasto",P1323="Reembolso"),IF(M1323&lt;&gt;"",M1323,IFERROR(INDEX(catClasif,MATCH(D1323&amp;"|"&amp;E1323,catClave,0))&amp;"","Variable")),"")</f>
        <v/>
      </c>
      <c r="Y1323" s="52">
        <f>IF(P1323="","",IFERROR(INDEX(catGrupo,MATCH(D1323&amp;"|"&amp;E1323,catClave,0))&amp;"",""))</f>
        <v/>
      </c>
      <c r="Z1323" s="52">
        <f>IF(P1323="","",WEEKDAY(B1323,2))</f>
        <v/>
      </c>
      <c r="AA1323" s="52">
        <f>IF(P1323="","",IF(AND(P1323="Gasto",X1323="Variable",D1323&lt;&gt;catTrading,S1323&gt;0,S1323&lt;=Umbral),1,0))</f>
        <v/>
      </c>
      <c r="AB1323" s="52">
        <f>IF(OR(P1323="",Q1323=""),"",IFERROR(IF(INDEX(ctaVinc,MATCH(Q1323,ctaNombre,0))&amp;""&lt;&gt;"",INDEX(ctaVinc,MATCH(Q1323,ctaNombre,0))&amp;"",Q1323),Q1323))</f>
        <v/>
      </c>
      <c r="AC1323" s="52">
        <f>IF(OR(K1323="",AND(P1323&lt;&gt;"Transferencia",P1323&lt;&gt;"Pago tarjeta")),"",IFERROR(IF(INDEX(ctaVinc,MATCH(K1323,ctaNombre,0))&amp;""&lt;&gt;"",INDEX(ctaVinc,MATCH(K1323,ctaNombre,0))&amp;"",K1323),K1323))</f>
        <v/>
      </c>
      <c r="AD1323" s="52">
        <f>IF(AB1323="","",IFERROR(INDEX(ctaTipo,MATCH(AB1323,ctaNombre,0))&amp;"",""))</f>
        <v/>
      </c>
      <c r="AE1323" s="52">
        <f>IF(AC1323="","",IFERROR(INDEX(ctaTipo,MATCH(AC1323,ctaNombre,0))&amp;"",""))</f>
        <v/>
      </c>
      <c r="AF1323" s="53">
        <f>IF(OR(P1323="",AB1323=""),"",IF(OR(P1323="Gasto",P1323="Transferencia",P1323="Pago tarjeta"),-1,1)*IF(IFERROR(INDEX(ctaMoneda,MATCH(AB1323,ctaNombre,0))&amp;"","DOP")="USD",T1323,S1323))</f>
        <v/>
      </c>
      <c r="AG1323" s="53">
        <f>IF(AC1323="","",IF(IFERROR(INDEX(ctaMoneda,MATCH(AC1323,ctaNombre,0))&amp;"","DOP")="USD",T1323,S1323))</f>
        <v/>
      </c>
      <c r="AH1323" s="53">
        <f>IF(P1323="","",IF(AND(AD1323&lt;&gt;"",COUNTIFS(tcTipo,AD1323,tcLiq,"Sí")&gt;0),IF(OR(P1323="Gasto",P1323="Transferencia",P1323="Pago tarjeta"),-1,1)*S1323,0)+IF(AND(AE1323&lt;&gt;"",COUNTIFS(tcTipo,AE1323,tcLiq,"Sí")&gt;0),S1323,0))</f>
        <v/>
      </c>
      <c r="AI1323" s="52">
        <f>IF(OR(L1323="",P1323=""),"",IF(COUNTIFS(L$6:L1323,L1323,P$6:P1323,"?*")=1,MAX(AI$5:AI1322)+1,""))</f>
        <v/>
      </c>
    </row>
    <row r="1324">
      <c r="B1324" s="47" t="n"/>
      <c r="C1324" s="48" t="n"/>
      <c r="D1324" s="48" t="n"/>
      <c r="E1324" s="48" t="n"/>
      <c r="F1324" s="48" t="n"/>
      <c r="G1324" s="49" t="n"/>
      <c r="H1324" s="48" t="n"/>
      <c r="I1324" s="50" t="n"/>
      <c r="J1324" s="48" t="n"/>
      <c r="K1324" s="48" t="n"/>
      <c r="L1324" s="48" t="n"/>
      <c r="M1324" s="48" t="n"/>
      <c r="N1324" s="48" t="n"/>
      <c r="O1324" s="51">
        <f>IF(AND(B1324="",G1324="",C1324="",D1324="",J1324=""),"",IF(B1324="","⚠ Falta fecha",IF(G1324="","⚠ Falta monto",IF(Q1324="","⚠ Falta cuenta",IF(ISNA(MATCH(Q1324,ctaNombre,0)),"⚠ Cuenta no registrada",IF(AND(OR(P1324="Gasto",P1324="Reembolso"),D1324=""),"⚠ Falta categoría",IF(AND(D1324&lt;&gt;"",E1324&lt;&gt;"",ISNA(MATCH(D1324&amp;"|"&amp;E1324,catClave,0))),"⚠ Subcategoría no corresponde",IF(AND(OR(P1324="Transferencia",P1324="Pago tarjeta"),K1324=""),"⚠ Falta cuenta destino",IF(AND(K1324&lt;&gt;"",P1324&lt;&gt;"Transferencia",P1324&lt;&gt;"Pago tarjeta"),"⚠ Destino solo aplica a transferencias",IF(AND(K1324&lt;&gt;"",K1324=Q1324),"⚠ Origen igual a destino",IF(AND(K1324&lt;&gt;"",ISNA(MATCH(K1324,ctaNombre,0))),"⚠ Destino no registrado",IF(AND(P1324="Pago tarjeta",AE1324&lt;&gt;"Tarjeta de crédito"),"⚠ El destino debe ser tarjeta de crédito",IF(AND(P1324="Gasto",E1324="Depósitos y retiros"),"⚠ Usa tipo Transferencia",IF(AND(P1324="Resultado trading",AD1324&lt;&gt;"Cuenta de trading"),"⚠ Usa una cuenta de trading",IF(AND(G1324&lt;=0,P1324&lt;&gt;"Ajuste",P1324&lt;&gt;"Resultado trading"),"⚠ El monto debe ser positivo","✓")))))))))))))))</f>
        <v/>
      </c>
      <c r="P1324" s="52">
        <f>IF(OR(B1324="",G1324=""),"",IF(C1324="","Gasto",C1324))</f>
        <v/>
      </c>
      <c r="Q1324" s="52">
        <f>IF(P1324="","",IF(J1324&lt;&gt;"",J1324,CuentaPred&amp;""))</f>
        <v/>
      </c>
      <c r="R1324" s="52">
        <f>IF(P1324="","",IF(ISNUMBER(I1324),I1324,TasaUSD))</f>
        <v/>
      </c>
      <c r="S1324" s="53">
        <f>IF(P1324="","",IF(H1324="USD",G1324*R1324,G1324))</f>
        <v/>
      </c>
      <c r="T1324" s="53">
        <f>IF(P1324="","",IF(H1324="USD",G1324,IF(R1324&gt;0,G1324/R1324,0)))</f>
        <v/>
      </c>
      <c r="U1324" s="53">
        <f>IF(P1324="","",IF(P1324="Gasto",S1324,IF(P1324="Reembolso",-S1324,0)))</f>
        <v/>
      </c>
      <c r="V1324" s="53">
        <f>IF(P1324="","",IF(P1324="Ingreso",S1324,0))</f>
        <v/>
      </c>
      <c r="W1324" s="53">
        <f>IF(P1324="","",IF(P1324="Resultado trading",S1324,0))</f>
        <v/>
      </c>
      <c r="X1324" s="52">
        <f>IF(OR(P1324="Gasto",P1324="Reembolso"),IF(M1324&lt;&gt;"",M1324,IFERROR(INDEX(catClasif,MATCH(D1324&amp;"|"&amp;E1324,catClave,0))&amp;"","Variable")),"")</f>
        <v/>
      </c>
      <c r="Y1324" s="52">
        <f>IF(P1324="","",IFERROR(INDEX(catGrupo,MATCH(D1324&amp;"|"&amp;E1324,catClave,0))&amp;"",""))</f>
        <v/>
      </c>
      <c r="Z1324" s="52">
        <f>IF(P1324="","",WEEKDAY(B1324,2))</f>
        <v/>
      </c>
      <c r="AA1324" s="52">
        <f>IF(P1324="","",IF(AND(P1324="Gasto",X1324="Variable",D1324&lt;&gt;catTrading,S1324&gt;0,S1324&lt;=Umbral),1,0))</f>
        <v/>
      </c>
      <c r="AB1324" s="52">
        <f>IF(OR(P1324="",Q1324=""),"",IFERROR(IF(INDEX(ctaVinc,MATCH(Q1324,ctaNombre,0))&amp;""&lt;&gt;"",INDEX(ctaVinc,MATCH(Q1324,ctaNombre,0))&amp;"",Q1324),Q1324))</f>
        <v/>
      </c>
      <c r="AC1324" s="52">
        <f>IF(OR(K1324="",AND(P1324&lt;&gt;"Transferencia",P1324&lt;&gt;"Pago tarjeta")),"",IFERROR(IF(INDEX(ctaVinc,MATCH(K1324,ctaNombre,0))&amp;""&lt;&gt;"",INDEX(ctaVinc,MATCH(K1324,ctaNombre,0))&amp;"",K1324),K1324))</f>
        <v/>
      </c>
      <c r="AD1324" s="52">
        <f>IF(AB1324="","",IFERROR(INDEX(ctaTipo,MATCH(AB1324,ctaNombre,0))&amp;"",""))</f>
        <v/>
      </c>
      <c r="AE1324" s="52">
        <f>IF(AC1324="","",IFERROR(INDEX(ctaTipo,MATCH(AC1324,ctaNombre,0))&amp;"",""))</f>
        <v/>
      </c>
      <c r="AF1324" s="53">
        <f>IF(OR(P1324="",AB1324=""),"",IF(OR(P1324="Gasto",P1324="Transferencia",P1324="Pago tarjeta"),-1,1)*IF(IFERROR(INDEX(ctaMoneda,MATCH(AB1324,ctaNombre,0))&amp;"","DOP")="USD",T1324,S1324))</f>
        <v/>
      </c>
      <c r="AG1324" s="53">
        <f>IF(AC1324="","",IF(IFERROR(INDEX(ctaMoneda,MATCH(AC1324,ctaNombre,0))&amp;"","DOP")="USD",T1324,S1324))</f>
        <v/>
      </c>
      <c r="AH1324" s="53">
        <f>IF(P1324="","",IF(AND(AD1324&lt;&gt;"",COUNTIFS(tcTipo,AD1324,tcLiq,"Sí")&gt;0),IF(OR(P1324="Gasto",P1324="Transferencia",P1324="Pago tarjeta"),-1,1)*S1324,0)+IF(AND(AE1324&lt;&gt;"",COUNTIFS(tcTipo,AE1324,tcLiq,"Sí")&gt;0),S1324,0))</f>
        <v/>
      </c>
      <c r="AI1324" s="52">
        <f>IF(OR(L1324="",P1324=""),"",IF(COUNTIFS(L$6:L1324,L1324,P$6:P1324,"?*")=1,MAX(AI$5:AI1323)+1,""))</f>
        <v/>
      </c>
    </row>
    <row r="1325">
      <c r="B1325" s="47" t="n"/>
      <c r="C1325" s="48" t="n"/>
      <c r="D1325" s="48" t="n"/>
      <c r="E1325" s="48" t="n"/>
      <c r="F1325" s="48" t="n"/>
      <c r="G1325" s="49" t="n"/>
      <c r="H1325" s="48" t="n"/>
      <c r="I1325" s="50" t="n"/>
      <c r="J1325" s="48" t="n"/>
      <c r="K1325" s="48" t="n"/>
      <c r="L1325" s="48" t="n"/>
      <c r="M1325" s="48" t="n"/>
      <c r="N1325" s="48" t="n"/>
      <c r="O1325" s="51">
        <f>IF(AND(B1325="",G1325="",C1325="",D1325="",J1325=""),"",IF(B1325="","⚠ Falta fecha",IF(G1325="","⚠ Falta monto",IF(Q1325="","⚠ Falta cuenta",IF(ISNA(MATCH(Q1325,ctaNombre,0)),"⚠ Cuenta no registrada",IF(AND(OR(P1325="Gasto",P1325="Reembolso"),D1325=""),"⚠ Falta categoría",IF(AND(D1325&lt;&gt;"",E1325&lt;&gt;"",ISNA(MATCH(D1325&amp;"|"&amp;E1325,catClave,0))),"⚠ Subcategoría no corresponde",IF(AND(OR(P1325="Transferencia",P1325="Pago tarjeta"),K1325=""),"⚠ Falta cuenta destino",IF(AND(K1325&lt;&gt;"",P1325&lt;&gt;"Transferencia",P1325&lt;&gt;"Pago tarjeta"),"⚠ Destino solo aplica a transferencias",IF(AND(K1325&lt;&gt;"",K1325=Q1325),"⚠ Origen igual a destino",IF(AND(K1325&lt;&gt;"",ISNA(MATCH(K1325,ctaNombre,0))),"⚠ Destino no registrado",IF(AND(P1325="Pago tarjeta",AE1325&lt;&gt;"Tarjeta de crédito"),"⚠ El destino debe ser tarjeta de crédito",IF(AND(P1325="Gasto",E1325="Depósitos y retiros"),"⚠ Usa tipo Transferencia",IF(AND(P1325="Resultado trading",AD1325&lt;&gt;"Cuenta de trading"),"⚠ Usa una cuenta de trading",IF(AND(G1325&lt;=0,P1325&lt;&gt;"Ajuste",P1325&lt;&gt;"Resultado trading"),"⚠ El monto debe ser positivo","✓")))))))))))))))</f>
        <v/>
      </c>
      <c r="P1325" s="52">
        <f>IF(OR(B1325="",G1325=""),"",IF(C1325="","Gasto",C1325))</f>
        <v/>
      </c>
      <c r="Q1325" s="52">
        <f>IF(P1325="","",IF(J1325&lt;&gt;"",J1325,CuentaPred&amp;""))</f>
        <v/>
      </c>
      <c r="R1325" s="52">
        <f>IF(P1325="","",IF(ISNUMBER(I1325),I1325,TasaUSD))</f>
        <v/>
      </c>
      <c r="S1325" s="53">
        <f>IF(P1325="","",IF(H1325="USD",G1325*R1325,G1325))</f>
        <v/>
      </c>
      <c r="T1325" s="53">
        <f>IF(P1325="","",IF(H1325="USD",G1325,IF(R1325&gt;0,G1325/R1325,0)))</f>
        <v/>
      </c>
      <c r="U1325" s="53">
        <f>IF(P1325="","",IF(P1325="Gasto",S1325,IF(P1325="Reembolso",-S1325,0)))</f>
        <v/>
      </c>
      <c r="V1325" s="53">
        <f>IF(P1325="","",IF(P1325="Ingreso",S1325,0))</f>
        <v/>
      </c>
      <c r="W1325" s="53">
        <f>IF(P1325="","",IF(P1325="Resultado trading",S1325,0))</f>
        <v/>
      </c>
      <c r="X1325" s="52">
        <f>IF(OR(P1325="Gasto",P1325="Reembolso"),IF(M1325&lt;&gt;"",M1325,IFERROR(INDEX(catClasif,MATCH(D1325&amp;"|"&amp;E1325,catClave,0))&amp;"","Variable")),"")</f>
        <v/>
      </c>
      <c r="Y1325" s="52">
        <f>IF(P1325="","",IFERROR(INDEX(catGrupo,MATCH(D1325&amp;"|"&amp;E1325,catClave,0))&amp;"",""))</f>
        <v/>
      </c>
      <c r="Z1325" s="52">
        <f>IF(P1325="","",WEEKDAY(B1325,2))</f>
        <v/>
      </c>
      <c r="AA1325" s="52">
        <f>IF(P1325="","",IF(AND(P1325="Gasto",X1325="Variable",D1325&lt;&gt;catTrading,S1325&gt;0,S1325&lt;=Umbral),1,0))</f>
        <v/>
      </c>
      <c r="AB1325" s="52">
        <f>IF(OR(P1325="",Q1325=""),"",IFERROR(IF(INDEX(ctaVinc,MATCH(Q1325,ctaNombre,0))&amp;""&lt;&gt;"",INDEX(ctaVinc,MATCH(Q1325,ctaNombre,0))&amp;"",Q1325),Q1325))</f>
        <v/>
      </c>
      <c r="AC1325" s="52">
        <f>IF(OR(K1325="",AND(P1325&lt;&gt;"Transferencia",P1325&lt;&gt;"Pago tarjeta")),"",IFERROR(IF(INDEX(ctaVinc,MATCH(K1325,ctaNombre,0))&amp;""&lt;&gt;"",INDEX(ctaVinc,MATCH(K1325,ctaNombre,0))&amp;"",K1325),K1325))</f>
        <v/>
      </c>
      <c r="AD1325" s="52">
        <f>IF(AB1325="","",IFERROR(INDEX(ctaTipo,MATCH(AB1325,ctaNombre,0))&amp;"",""))</f>
        <v/>
      </c>
      <c r="AE1325" s="52">
        <f>IF(AC1325="","",IFERROR(INDEX(ctaTipo,MATCH(AC1325,ctaNombre,0))&amp;"",""))</f>
        <v/>
      </c>
      <c r="AF1325" s="53">
        <f>IF(OR(P1325="",AB1325=""),"",IF(OR(P1325="Gasto",P1325="Transferencia",P1325="Pago tarjeta"),-1,1)*IF(IFERROR(INDEX(ctaMoneda,MATCH(AB1325,ctaNombre,0))&amp;"","DOP")="USD",T1325,S1325))</f>
        <v/>
      </c>
      <c r="AG1325" s="53">
        <f>IF(AC1325="","",IF(IFERROR(INDEX(ctaMoneda,MATCH(AC1325,ctaNombre,0))&amp;"","DOP")="USD",T1325,S1325))</f>
        <v/>
      </c>
      <c r="AH1325" s="53">
        <f>IF(P1325="","",IF(AND(AD1325&lt;&gt;"",COUNTIFS(tcTipo,AD1325,tcLiq,"Sí")&gt;0),IF(OR(P1325="Gasto",P1325="Transferencia",P1325="Pago tarjeta"),-1,1)*S1325,0)+IF(AND(AE1325&lt;&gt;"",COUNTIFS(tcTipo,AE1325,tcLiq,"Sí")&gt;0),S1325,0))</f>
        <v/>
      </c>
      <c r="AI1325" s="52">
        <f>IF(OR(L1325="",P1325=""),"",IF(COUNTIFS(L$6:L1325,L1325,P$6:P1325,"?*")=1,MAX(AI$5:AI1324)+1,""))</f>
        <v/>
      </c>
    </row>
    <row r="1326">
      <c r="B1326" s="47" t="n"/>
      <c r="C1326" s="48" t="n"/>
      <c r="D1326" s="48" t="n"/>
      <c r="E1326" s="48" t="n"/>
      <c r="F1326" s="48" t="n"/>
      <c r="G1326" s="49" t="n"/>
      <c r="H1326" s="48" t="n"/>
      <c r="I1326" s="50" t="n"/>
      <c r="J1326" s="48" t="n"/>
      <c r="K1326" s="48" t="n"/>
      <c r="L1326" s="48" t="n"/>
      <c r="M1326" s="48" t="n"/>
      <c r="N1326" s="48" t="n"/>
      <c r="O1326" s="51">
        <f>IF(AND(B1326="",G1326="",C1326="",D1326="",J1326=""),"",IF(B1326="","⚠ Falta fecha",IF(G1326="","⚠ Falta monto",IF(Q1326="","⚠ Falta cuenta",IF(ISNA(MATCH(Q1326,ctaNombre,0)),"⚠ Cuenta no registrada",IF(AND(OR(P1326="Gasto",P1326="Reembolso"),D1326=""),"⚠ Falta categoría",IF(AND(D1326&lt;&gt;"",E1326&lt;&gt;"",ISNA(MATCH(D1326&amp;"|"&amp;E1326,catClave,0))),"⚠ Subcategoría no corresponde",IF(AND(OR(P1326="Transferencia",P1326="Pago tarjeta"),K1326=""),"⚠ Falta cuenta destino",IF(AND(K1326&lt;&gt;"",P1326&lt;&gt;"Transferencia",P1326&lt;&gt;"Pago tarjeta"),"⚠ Destino solo aplica a transferencias",IF(AND(K1326&lt;&gt;"",K1326=Q1326),"⚠ Origen igual a destino",IF(AND(K1326&lt;&gt;"",ISNA(MATCH(K1326,ctaNombre,0))),"⚠ Destino no registrado",IF(AND(P1326="Pago tarjeta",AE1326&lt;&gt;"Tarjeta de crédito"),"⚠ El destino debe ser tarjeta de crédito",IF(AND(P1326="Gasto",E1326="Depósitos y retiros"),"⚠ Usa tipo Transferencia",IF(AND(P1326="Resultado trading",AD1326&lt;&gt;"Cuenta de trading"),"⚠ Usa una cuenta de trading",IF(AND(G1326&lt;=0,P1326&lt;&gt;"Ajuste",P1326&lt;&gt;"Resultado trading"),"⚠ El monto debe ser positivo","✓")))))))))))))))</f>
        <v/>
      </c>
      <c r="P1326" s="52">
        <f>IF(OR(B1326="",G1326=""),"",IF(C1326="","Gasto",C1326))</f>
        <v/>
      </c>
      <c r="Q1326" s="52">
        <f>IF(P1326="","",IF(J1326&lt;&gt;"",J1326,CuentaPred&amp;""))</f>
        <v/>
      </c>
      <c r="R1326" s="52">
        <f>IF(P1326="","",IF(ISNUMBER(I1326),I1326,TasaUSD))</f>
        <v/>
      </c>
      <c r="S1326" s="53">
        <f>IF(P1326="","",IF(H1326="USD",G1326*R1326,G1326))</f>
        <v/>
      </c>
      <c r="T1326" s="53">
        <f>IF(P1326="","",IF(H1326="USD",G1326,IF(R1326&gt;0,G1326/R1326,0)))</f>
        <v/>
      </c>
      <c r="U1326" s="53">
        <f>IF(P1326="","",IF(P1326="Gasto",S1326,IF(P1326="Reembolso",-S1326,0)))</f>
        <v/>
      </c>
      <c r="V1326" s="53">
        <f>IF(P1326="","",IF(P1326="Ingreso",S1326,0))</f>
        <v/>
      </c>
      <c r="W1326" s="53">
        <f>IF(P1326="","",IF(P1326="Resultado trading",S1326,0))</f>
        <v/>
      </c>
      <c r="X1326" s="52">
        <f>IF(OR(P1326="Gasto",P1326="Reembolso"),IF(M1326&lt;&gt;"",M1326,IFERROR(INDEX(catClasif,MATCH(D1326&amp;"|"&amp;E1326,catClave,0))&amp;"","Variable")),"")</f>
        <v/>
      </c>
      <c r="Y1326" s="52">
        <f>IF(P1326="","",IFERROR(INDEX(catGrupo,MATCH(D1326&amp;"|"&amp;E1326,catClave,0))&amp;"",""))</f>
        <v/>
      </c>
      <c r="Z1326" s="52">
        <f>IF(P1326="","",WEEKDAY(B1326,2))</f>
        <v/>
      </c>
      <c r="AA1326" s="52">
        <f>IF(P1326="","",IF(AND(P1326="Gasto",X1326="Variable",D1326&lt;&gt;catTrading,S1326&gt;0,S1326&lt;=Umbral),1,0))</f>
        <v/>
      </c>
      <c r="AB1326" s="52">
        <f>IF(OR(P1326="",Q1326=""),"",IFERROR(IF(INDEX(ctaVinc,MATCH(Q1326,ctaNombre,0))&amp;""&lt;&gt;"",INDEX(ctaVinc,MATCH(Q1326,ctaNombre,0))&amp;"",Q1326),Q1326))</f>
        <v/>
      </c>
      <c r="AC1326" s="52">
        <f>IF(OR(K1326="",AND(P1326&lt;&gt;"Transferencia",P1326&lt;&gt;"Pago tarjeta")),"",IFERROR(IF(INDEX(ctaVinc,MATCH(K1326,ctaNombre,0))&amp;""&lt;&gt;"",INDEX(ctaVinc,MATCH(K1326,ctaNombre,0))&amp;"",K1326),K1326))</f>
        <v/>
      </c>
      <c r="AD1326" s="52">
        <f>IF(AB1326="","",IFERROR(INDEX(ctaTipo,MATCH(AB1326,ctaNombre,0))&amp;"",""))</f>
        <v/>
      </c>
      <c r="AE1326" s="52">
        <f>IF(AC1326="","",IFERROR(INDEX(ctaTipo,MATCH(AC1326,ctaNombre,0))&amp;"",""))</f>
        <v/>
      </c>
      <c r="AF1326" s="53">
        <f>IF(OR(P1326="",AB1326=""),"",IF(OR(P1326="Gasto",P1326="Transferencia",P1326="Pago tarjeta"),-1,1)*IF(IFERROR(INDEX(ctaMoneda,MATCH(AB1326,ctaNombre,0))&amp;"","DOP")="USD",T1326,S1326))</f>
        <v/>
      </c>
      <c r="AG1326" s="53">
        <f>IF(AC1326="","",IF(IFERROR(INDEX(ctaMoneda,MATCH(AC1326,ctaNombre,0))&amp;"","DOP")="USD",T1326,S1326))</f>
        <v/>
      </c>
      <c r="AH1326" s="53">
        <f>IF(P1326="","",IF(AND(AD1326&lt;&gt;"",COUNTIFS(tcTipo,AD1326,tcLiq,"Sí")&gt;0),IF(OR(P1326="Gasto",P1326="Transferencia",P1326="Pago tarjeta"),-1,1)*S1326,0)+IF(AND(AE1326&lt;&gt;"",COUNTIFS(tcTipo,AE1326,tcLiq,"Sí")&gt;0),S1326,0))</f>
        <v/>
      </c>
      <c r="AI1326" s="52">
        <f>IF(OR(L1326="",P1326=""),"",IF(COUNTIFS(L$6:L1326,L1326,P$6:P1326,"?*")=1,MAX(AI$5:AI1325)+1,""))</f>
        <v/>
      </c>
    </row>
    <row r="1327">
      <c r="B1327" s="47" t="n"/>
      <c r="C1327" s="48" t="n"/>
      <c r="D1327" s="48" t="n"/>
      <c r="E1327" s="48" t="n"/>
      <c r="F1327" s="48" t="n"/>
      <c r="G1327" s="49" t="n"/>
      <c r="H1327" s="48" t="n"/>
      <c r="I1327" s="50" t="n"/>
      <c r="J1327" s="48" t="n"/>
      <c r="K1327" s="48" t="n"/>
      <c r="L1327" s="48" t="n"/>
      <c r="M1327" s="48" t="n"/>
      <c r="N1327" s="48" t="n"/>
      <c r="O1327" s="51">
        <f>IF(AND(B1327="",G1327="",C1327="",D1327="",J1327=""),"",IF(B1327="","⚠ Falta fecha",IF(G1327="","⚠ Falta monto",IF(Q1327="","⚠ Falta cuenta",IF(ISNA(MATCH(Q1327,ctaNombre,0)),"⚠ Cuenta no registrada",IF(AND(OR(P1327="Gasto",P1327="Reembolso"),D1327=""),"⚠ Falta categoría",IF(AND(D1327&lt;&gt;"",E1327&lt;&gt;"",ISNA(MATCH(D1327&amp;"|"&amp;E1327,catClave,0))),"⚠ Subcategoría no corresponde",IF(AND(OR(P1327="Transferencia",P1327="Pago tarjeta"),K1327=""),"⚠ Falta cuenta destino",IF(AND(K1327&lt;&gt;"",P1327&lt;&gt;"Transferencia",P1327&lt;&gt;"Pago tarjeta"),"⚠ Destino solo aplica a transferencias",IF(AND(K1327&lt;&gt;"",K1327=Q1327),"⚠ Origen igual a destino",IF(AND(K1327&lt;&gt;"",ISNA(MATCH(K1327,ctaNombre,0))),"⚠ Destino no registrado",IF(AND(P1327="Pago tarjeta",AE1327&lt;&gt;"Tarjeta de crédito"),"⚠ El destino debe ser tarjeta de crédito",IF(AND(P1327="Gasto",E1327="Depósitos y retiros"),"⚠ Usa tipo Transferencia",IF(AND(P1327="Resultado trading",AD1327&lt;&gt;"Cuenta de trading"),"⚠ Usa una cuenta de trading",IF(AND(G1327&lt;=0,P1327&lt;&gt;"Ajuste",P1327&lt;&gt;"Resultado trading"),"⚠ El monto debe ser positivo","✓")))))))))))))))</f>
        <v/>
      </c>
      <c r="P1327" s="52">
        <f>IF(OR(B1327="",G1327=""),"",IF(C1327="","Gasto",C1327))</f>
        <v/>
      </c>
      <c r="Q1327" s="52">
        <f>IF(P1327="","",IF(J1327&lt;&gt;"",J1327,CuentaPred&amp;""))</f>
        <v/>
      </c>
      <c r="R1327" s="52">
        <f>IF(P1327="","",IF(ISNUMBER(I1327),I1327,TasaUSD))</f>
        <v/>
      </c>
      <c r="S1327" s="53">
        <f>IF(P1327="","",IF(H1327="USD",G1327*R1327,G1327))</f>
        <v/>
      </c>
      <c r="T1327" s="53">
        <f>IF(P1327="","",IF(H1327="USD",G1327,IF(R1327&gt;0,G1327/R1327,0)))</f>
        <v/>
      </c>
      <c r="U1327" s="53">
        <f>IF(P1327="","",IF(P1327="Gasto",S1327,IF(P1327="Reembolso",-S1327,0)))</f>
        <v/>
      </c>
      <c r="V1327" s="53">
        <f>IF(P1327="","",IF(P1327="Ingreso",S1327,0))</f>
        <v/>
      </c>
      <c r="W1327" s="53">
        <f>IF(P1327="","",IF(P1327="Resultado trading",S1327,0))</f>
        <v/>
      </c>
      <c r="X1327" s="52">
        <f>IF(OR(P1327="Gasto",P1327="Reembolso"),IF(M1327&lt;&gt;"",M1327,IFERROR(INDEX(catClasif,MATCH(D1327&amp;"|"&amp;E1327,catClave,0))&amp;"","Variable")),"")</f>
        <v/>
      </c>
      <c r="Y1327" s="52">
        <f>IF(P1327="","",IFERROR(INDEX(catGrupo,MATCH(D1327&amp;"|"&amp;E1327,catClave,0))&amp;"",""))</f>
        <v/>
      </c>
      <c r="Z1327" s="52">
        <f>IF(P1327="","",WEEKDAY(B1327,2))</f>
        <v/>
      </c>
      <c r="AA1327" s="52">
        <f>IF(P1327="","",IF(AND(P1327="Gasto",X1327="Variable",D1327&lt;&gt;catTrading,S1327&gt;0,S1327&lt;=Umbral),1,0))</f>
        <v/>
      </c>
      <c r="AB1327" s="52">
        <f>IF(OR(P1327="",Q1327=""),"",IFERROR(IF(INDEX(ctaVinc,MATCH(Q1327,ctaNombre,0))&amp;""&lt;&gt;"",INDEX(ctaVinc,MATCH(Q1327,ctaNombre,0))&amp;"",Q1327),Q1327))</f>
        <v/>
      </c>
      <c r="AC1327" s="52">
        <f>IF(OR(K1327="",AND(P1327&lt;&gt;"Transferencia",P1327&lt;&gt;"Pago tarjeta")),"",IFERROR(IF(INDEX(ctaVinc,MATCH(K1327,ctaNombre,0))&amp;""&lt;&gt;"",INDEX(ctaVinc,MATCH(K1327,ctaNombre,0))&amp;"",K1327),K1327))</f>
        <v/>
      </c>
      <c r="AD1327" s="52">
        <f>IF(AB1327="","",IFERROR(INDEX(ctaTipo,MATCH(AB1327,ctaNombre,0))&amp;"",""))</f>
        <v/>
      </c>
      <c r="AE1327" s="52">
        <f>IF(AC1327="","",IFERROR(INDEX(ctaTipo,MATCH(AC1327,ctaNombre,0))&amp;"",""))</f>
        <v/>
      </c>
      <c r="AF1327" s="53">
        <f>IF(OR(P1327="",AB1327=""),"",IF(OR(P1327="Gasto",P1327="Transferencia",P1327="Pago tarjeta"),-1,1)*IF(IFERROR(INDEX(ctaMoneda,MATCH(AB1327,ctaNombre,0))&amp;"","DOP")="USD",T1327,S1327))</f>
        <v/>
      </c>
      <c r="AG1327" s="53">
        <f>IF(AC1327="","",IF(IFERROR(INDEX(ctaMoneda,MATCH(AC1327,ctaNombre,0))&amp;"","DOP")="USD",T1327,S1327))</f>
        <v/>
      </c>
      <c r="AH1327" s="53">
        <f>IF(P1327="","",IF(AND(AD1327&lt;&gt;"",COUNTIFS(tcTipo,AD1327,tcLiq,"Sí")&gt;0),IF(OR(P1327="Gasto",P1327="Transferencia",P1327="Pago tarjeta"),-1,1)*S1327,0)+IF(AND(AE1327&lt;&gt;"",COUNTIFS(tcTipo,AE1327,tcLiq,"Sí")&gt;0),S1327,0))</f>
        <v/>
      </c>
      <c r="AI1327" s="52">
        <f>IF(OR(L1327="",P1327=""),"",IF(COUNTIFS(L$6:L1327,L1327,P$6:P1327,"?*")=1,MAX(AI$5:AI1326)+1,""))</f>
        <v/>
      </c>
    </row>
    <row r="1328">
      <c r="B1328" s="47" t="n"/>
      <c r="C1328" s="48" t="n"/>
      <c r="D1328" s="48" t="n"/>
      <c r="E1328" s="48" t="n"/>
      <c r="F1328" s="48" t="n"/>
      <c r="G1328" s="49" t="n"/>
      <c r="H1328" s="48" t="n"/>
      <c r="I1328" s="50" t="n"/>
      <c r="J1328" s="48" t="n"/>
      <c r="K1328" s="48" t="n"/>
      <c r="L1328" s="48" t="n"/>
      <c r="M1328" s="48" t="n"/>
      <c r="N1328" s="48" t="n"/>
      <c r="O1328" s="51">
        <f>IF(AND(B1328="",G1328="",C1328="",D1328="",J1328=""),"",IF(B1328="","⚠ Falta fecha",IF(G1328="","⚠ Falta monto",IF(Q1328="","⚠ Falta cuenta",IF(ISNA(MATCH(Q1328,ctaNombre,0)),"⚠ Cuenta no registrada",IF(AND(OR(P1328="Gasto",P1328="Reembolso"),D1328=""),"⚠ Falta categoría",IF(AND(D1328&lt;&gt;"",E1328&lt;&gt;"",ISNA(MATCH(D1328&amp;"|"&amp;E1328,catClave,0))),"⚠ Subcategoría no corresponde",IF(AND(OR(P1328="Transferencia",P1328="Pago tarjeta"),K1328=""),"⚠ Falta cuenta destino",IF(AND(K1328&lt;&gt;"",P1328&lt;&gt;"Transferencia",P1328&lt;&gt;"Pago tarjeta"),"⚠ Destino solo aplica a transferencias",IF(AND(K1328&lt;&gt;"",K1328=Q1328),"⚠ Origen igual a destino",IF(AND(K1328&lt;&gt;"",ISNA(MATCH(K1328,ctaNombre,0))),"⚠ Destino no registrado",IF(AND(P1328="Pago tarjeta",AE1328&lt;&gt;"Tarjeta de crédito"),"⚠ El destino debe ser tarjeta de crédito",IF(AND(P1328="Gasto",E1328="Depósitos y retiros"),"⚠ Usa tipo Transferencia",IF(AND(P1328="Resultado trading",AD1328&lt;&gt;"Cuenta de trading"),"⚠ Usa una cuenta de trading",IF(AND(G1328&lt;=0,P1328&lt;&gt;"Ajuste",P1328&lt;&gt;"Resultado trading"),"⚠ El monto debe ser positivo","✓")))))))))))))))</f>
        <v/>
      </c>
      <c r="P1328" s="52">
        <f>IF(OR(B1328="",G1328=""),"",IF(C1328="","Gasto",C1328))</f>
        <v/>
      </c>
      <c r="Q1328" s="52">
        <f>IF(P1328="","",IF(J1328&lt;&gt;"",J1328,CuentaPred&amp;""))</f>
        <v/>
      </c>
      <c r="R1328" s="52">
        <f>IF(P1328="","",IF(ISNUMBER(I1328),I1328,TasaUSD))</f>
        <v/>
      </c>
      <c r="S1328" s="53">
        <f>IF(P1328="","",IF(H1328="USD",G1328*R1328,G1328))</f>
        <v/>
      </c>
      <c r="T1328" s="53">
        <f>IF(P1328="","",IF(H1328="USD",G1328,IF(R1328&gt;0,G1328/R1328,0)))</f>
        <v/>
      </c>
      <c r="U1328" s="53">
        <f>IF(P1328="","",IF(P1328="Gasto",S1328,IF(P1328="Reembolso",-S1328,0)))</f>
        <v/>
      </c>
      <c r="V1328" s="53">
        <f>IF(P1328="","",IF(P1328="Ingreso",S1328,0))</f>
        <v/>
      </c>
      <c r="W1328" s="53">
        <f>IF(P1328="","",IF(P1328="Resultado trading",S1328,0))</f>
        <v/>
      </c>
      <c r="X1328" s="52">
        <f>IF(OR(P1328="Gasto",P1328="Reembolso"),IF(M1328&lt;&gt;"",M1328,IFERROR(INDEX(catClasif,MATCH(D1328&amp;"|"&amp;E1328,catClave,0))&amp;"","Variable")),"")</f>
        <v/>
      </c>
      <c r="Y1328" s="52">
        <f>IF(P1328="","",IFERROR(INDEX(catGrupo,MATCH(D1328&amp;"|"&amp;E1328,catClave,0))&amp;"",""))</f>
        <v/>
      </c>
      <c r="Z1328" s="52">
        <f>IF(P1328="","",WEEKDAY(B1328,2))</f>
        <v/>
      </c>
      <c r="AA1328" s="52">
        <f>IF(P1328="","",IF(AND(P1328="Gasto",X1328="Variable",D1328&lt;&gt;catTrading,S1328&gt;0,S1328&lt;=Umbral),1,0))</f>
        <v/>
      </c>
      <c r="AB1328" s="52">
        <f>IF(OR(P1328="",Q1328=""),"",IFERROR(IF(INDEX(ctaVinc,MATCH(Q1328,ctaNombre,0))&amp;""&lt;&gt;"",INDEX(ctaVinc,MATCH(Q1328,ctaNombre,0))&amp;"",Q1328),Q1328))</f>
        <v/>
      </c>
      <c r="AC1328" s="52">
        <f>IF(OR(K1328="",AND(P1328&lt;&gt;"Transferencia",P1328&lt;&gt;"Pago tarjeta")),"",IFERROR(IF(INDEX(ctaVinc,MATCH(K1328,ctaNombre,0))&amp;""&lt;&gt;"",INDEX(ctaVinc,MATCH(K1328,ctaNombre,0))&amp;"",K1328),K1328))</f>
        <v/>
      </c>
      <c r="AD1328" s="52">
        <f>IF(AB1328="","",IFERROR(INDEX(ctaTipo,MATCH(AB1328,ctaNombre,0))&amp;"",""))</f>
        <v/>
      </c>
      <c r="AE1328" s="52">
        <f>IF(AC1328="","",IFERROR(INDEX(ctaTipo,MATCH(AC1328,ctaNombre,0))&amp;"",""))</f>
        <v/>
      </c>
      <c r="AF1328" s="53">
        <f>IF(OR(P1328="",AB1328=""),"",IF(OR(P1328="Gasto",P1328="Transferencia",P1328="Pago tarjeta"),-1,1)*IF(IFERROR(INDEX(ctaMoneda,MATCH(AB1328,ctaNombre,0))&amp;"","DOP")="USD",T1328,S1328))</f>
        <v/>
      </c>
      <c r="AG1328" s="53">
        <f>IF(AC1328="","",IF(IFERROR(INDEX(ctaMoneda,MATCH(AC1328,ctaNombre,0))&amp;"","DOP")="USD",T1328,S1328))</f>
        <v/>
      </c>
      <c r="AH1328" s="53">
        <f>IF(P1328="","",IF(AND(AD1328&lt;&gt;"",COUNTIFS(tcTipo,AD1328,tcLiq,"Sí")&gt;0),IF(OR(P1328="Gasto",P1328="Transferencia",P1328="Pago tarjeta"),-1,1)*S1328,0)+IF(AND(AE1328&lt;&gt;"",COUNTIFS(tcTipo,AE1328,tcLiq,"Sí")&gt;0),S1328,0))</f>
        <v/>
      </c>
      <c r="AI1328" s="52">
        <f>IF(OR(L1328="",P1328=""),"",IF(COUNTIFS(L$6:L1328,L1328,P$6:P1328,"?*")=1,MAX(AI$5:AI1327)+1,""))</f>
        <v/>
      </c>
    </row>
    <row r="1329">
      <c r="B1329" s="47" t="n"/>
      <c r="C1329" s="48" t="n"/>
      <c r="D1329" s="48" t="n"/>
      <c r="E1329" s="48" t="n"/>
      <c r="F1329" s="48" t="n"/>
      <c r="G1329" s="49" t="n"/>
      <c r="H1329" s="48" t="n"/>
      <c r="I1329" s="50" t="n"/>
      <c r="J1329" s="48" t="n"/>
      <c r="K1329" s="48" t="n"/>
      <c r="L1329" s="48" t="n"/>
      <c r="M1329" s="48" t="n"/>
      <c r="N1329" s="48" t="n"/>
      <c r="O1329" s="51">
        <f>IF(AND(B1329="",G1329="",C1329="",D1329="",J1329=""),"",IF(B1329="","⚠ Falta fecha",IF(G1329="","⚠ Falta monto",IF(Q1329="","⚠ Falta cuenta",IF(ISNA(MATCH(Q1329,ctaNombre,0)),"⚠ Cuenta no registrada",IF(AND(OR(P1329="Gasto",P1329="Reembolso"),D1329=""),"⚠ Falta categoría",IF(AND(D1329&lt;&gt;"",E1329&lt;&gt;"",ISNA(MATCH(D1329&amp;"|"&amp;E1329,catClave,0))),"⚠ Subcategoría no corresponde",IF(AND(OR(P1329="Transferencia",P1329="Pago tarjeta"),K1329=""),"⚠ Falta cuenta destino",IF(AND(K1329&lt;&gt;"",P1329&lt;&gt;"Transferencia",P1329&lt;&gt;"Pago tarjeta"),"⚠ Destino solo aplica a transferencias",IF(AND(K1329&lt;&gt;"",K1329=Q1329),"⚠ Origen igual a destino",IF(AND(K1329&lt;&gt;"",ISNA(MATCH(K1329,ctaNombre,0))),"⚠ Destino no registrado",IF(AND(P1329="Pago tarjeta",AE1329&lt;&gt;"Tarjeta de crédito"),"⚠ El destino debe ser tarjeta de crédito",IF(AND(P1329="Gasto",E1329="Depósitos y retiros"),"⚠ Usa tipo Transferencia",IF(AND(P1329="Resultado trading",AD1329&lt;&gt;"Cuenta de trading"),"⚠ Usa una cuenta de trading",IF(AND(G1329&lt;=0,P1329&lt;&gt;"Ajuste",P1329&lt;&gt;"Resultado trading"),"⚠ El monto debe ser positivo","✓")))))))))))))))</f>
        <v/>
      </c>
      <c r="P1329" s="52">
        <f>IF(OR(B1329="",G1329=""),"",IF(C1329="","Gasto",C1329))</f>
        <v/>
      </c>
      <c r="Q1329" s="52">
        <f>IF(P1329="","",IF(J1329&lt;&gt;"",J1329,CuentaPred&amp;""))</f>
        <v/>
      </c>
      <c r="R1329" s="52">
        <f>IF(P1329="","",IF(ISNUMBER(I1329),I1329,TasaUSD))</f>
        <v/>
      </c>
      <c r="S1329" s="53">
        <f>IF(P1329="","",IF(H1329="USD",G1329*R1329,G1329))</f>
        <v/>
      </c>
      <c r="T1329" s="53">
        <f>IF(P1329="","",IF(H1329="USD",G1329,IF(R1329&gt;0,G1329/R1329,0)))</f>
        <v/>
      </c>
      <c r="U1329" s="53">
        <f>IF(P1329="","",IF(P1329="Gasto",S1329,IF(P1329="Reembolso",-S1329,0)))</f>
        <v/>
      </c>
      <c r="V1329" s="53">
        <f>IF(P1329="","",IF(P1329="Ingreso",S1329,0))</f>
        <v/>
      </c>
      <c r="W1329" s="53">
        <f>IF(P1329="","",IF(P1329="Resultado trading",S1329,0))</f>
        <v/>
      </c>
      <c r="X1329" s="52">
        <f>IF(OR(P1329="Gasto",P1329="Reembolso"),IF(M1329&lt;&gt;"",M1329,IFERROR(INDEX(catClasif,MATCH(D1329&amp;"|"&amp;E1329,catClave,0))&amp;"","Variable")),"")</f>
        <v/>
      </c>
      <c r="Y1329" s="52">
        <f>IF(P1329="","",IFERROR(INDEX(catGrupo,MATCH(D1329&amp;"|"&amp;E1329,catClave,0))&amp;"",""))</f>
        <v/>
      </c>
      <c r="Z1329" s="52">
        <f>IF(P1329="","",WEEKDAY(B1329,2))</f>
        <v/>
      </c>
      <c r="AA1329" s="52">
        <f>IF(P1329="","",IF(AND(P1329="Gasto",X1329="Variable",D1329&lt;&gt;catTrading,S1329&gt;0,S1329&lt;=Umbral),1,0))</f>
        <v/>
      </c>
      <c r="AB1329" s="52">
        <f>IF(OR(P1329="",Q1329=""),"",IFERROR(IF(INDEX(ctaVinc,MATCH(Q1329,ctaNombre,0))&amp;""&lt;&gt;"",INDEX(ctaVinc,MATCH(Q1329,ctaNombre,0))&amp;"",Q1329),Q1329))</f>
        <v/>
      </c>
      <c r="AC1329" s="52">
        <f>IF(OR(K1329="",AND(P1329&lt;&gt;"Transferencia",P1329&lt;&gt;"Pago tarjeta")),"",IFERROR(IF(INDEX(ctaVinc,MATCH(K1329,ctaNombre,0))&amp;""&lt;&gt;"",INDEX(ctaVinc,MATCH(K1329,ctaNombre,0))&amp;"",K1329),K1329))</f>
        <v/>
      </c>
      <c r="AD1329" s="52">
        <f>IF(AB1329="","",IFERROR(INDEX(ctaTipo,MATCH(AB1329,ctaNombre,0))&amp;"",""))</f>
        <v/>
      </c>
      <c r="AE1329" s="52">
        <f>IF(AC1329="","",IFERROR(INDEX(ctaTipo,MATCH(AC1329,ctaNombre,0))&amp;"",""))</f>
        <v/>
      </c>
      <c r="AF1329" s="53">
        <f>IF(OR(P1329="",AB1329=""),"",IF(OR(P1329="Gasto",P1329="Transferencia",P1329="Pago tarjeta"),-1,1)*IF(IFERROR(INDEX(ctaMoneda,MATCH(AB1329,ctaNombre,0))&amp;"","DOP")="USD",T1329,S1329))</f>
        <v/>
      </c>
      <c r="AG1329" s="53">
        <f>IF(AC1329="","",IF(IFERROR(INDEX(ctaMoneda,MATCH(AC1329,ctaNombre,0))&amp;"","DOP")="USD",T1329,S1329))</f>
        <v/>
      </c>
      <c r="AH1329" s="53">
        <f>IF(P1329="","",IF(AND(AD1329&lt;&gt;"",COUNTIFS(tcTipo,AD1329,tcLiq,"Sí")&gt;0),IF(OR(P1329="Gasto",P1329="Transferencia",P1329="Pago tarjeta"),-1,1)*S1329,0)+IF(AND(AE1329&lt;&gt;"",COUNTIFS(tcTipo,AE1329,tcLiq,"Sí")&gt;0),S1329,0))</f>
        <v/>
      </c>
      <c r="AI1329" s="52">
        <f>IF(OR(L1329="",P1329=""),"",IF(COUNTIFS(L$6:L1329,L1329,P$6:P1329,"?*")=1,MAX(AI$5:AI1328)+1,""))</f>
        <v/>
      </c>
    </row>
    <row r="1330">
      <c r="B1330" s="47" t="n"/>
      <c r="C1330" s="48" t="n"/>
      <c r="D1330" s="48" t="n"/>
      <c r="E1330" s="48" t="n"/>
      <c r="F1330" s="48" t="n"/>
      <c r="G1330" s="49" t="n"/>
      <c r="H1330" s="48" t="n"/>
      <c r="I1330" s="50" t="n"/>
      <c r="J1330" s="48" t="n"/>
      <c r="K1330" s="48" t="n"/>
      <c r="L1330" s="48" t="n"/>
      <c r="M1330" s="48" t="n"/>
      <c r="N1330" s="48" t="n"/>
      <c r="O1330" s="51">
        <f>IF(AND(B1330="",G1330="",C1330="",D1330="",J1330=""),"",IF(B1330="","⚠ Falta fecha",IF(G1330="","⚠ Falta monto",IF(Q1330="","⚠ Falta cuenta",IF(ISNA(MATCH(Q1330,ctaNombre,0)),"⚠ Cuenta no registrada",IF(AND(OR(P1330="Gasto",P1330="Reembolso"),D1330=""),"⚠ Falta categoría",IF(AND(D1330&lt;&gt;"",E1330&lt;&gt;"",ISNA(MATCH(D1330&amp;"|"&amp;E1330,catClave,0))),"⚠ Subcategoría no corresponde",IF(AND(OR(P1330="Transferencia",P1330="Pago tarjeta"),K1330=""),"⚠ Falta cuenta destino",IF(AND(K1330&lt;&gt;"",P1330&lt;&gt;"Transferencia",P1330&lt;&gt;"Pago tarjeta"),"⚠ Destino solo aplica a transferencias",IF(AND(K1330&lt;&gt;"",K1330=Q1330),"⚠ Origen igual a destino",IF(AND(K1330&lt;&gt;"",ISNA(MATCH(K1330,ctaNombre,0))),"⚠ Destino no registrado",IF(AND(P1330="Pago tarjeta",AE1330&lt;&gt;"Tarjeta de crédito"),"⚠ El destino debe ser tarjeta de crédito",IF(AND(P1330="Gasto",E1330="Depósitos y retiros"),"⚠ Usa tipo Transferencia",IF(AND(P1330="Resultado trading",AD1330&lt;&gt;"Cuenta de trading"),"⚠ Usa una cuenta de trading",IF(AND(G1330&lt;=0,P1330&lt;&gt;"Ajuste",P1330&lt;&gt;"Resultado trading"),"⚠ El monto debe ser positivo","✓")))))))))))))))</f>
        <v/>
      </c>
      <c r="P1330" s="52">
        <f>IF(OR(B1330="",G1330=""),"",IF(C1330="","Gasto",C1330))</f>
        <v/>
      </c>
      <c r="Q1330" s="52">
        <f>IF(P1330="","",IF(J1330&lt;&gt;"",J1330,CuentaPred&amp;""))</f>
        <v/>
      </c>
      <c r="R1330" s="52">
        <f>IF(P1330="","",IF(ISNUMBER(I1330),I1330,TasaUSD))</f>
        <v/>
      </c>
      <c r="S1330" s="53">
        <f>IF(P1330="","",IF(H1330="USD",G1330*R1330,G1330))</f>
        <v/>
      </c>
      <c r="T1330" s="53">
        <f>IF(P1330="","",IF(H1330="USD",G1330,IF(R1330&gt;0,G1330/R1330,0)))</f>
        <v/>
      </c>
      <c r="U1330" s="53">
        <f>IF(P1330="","",IF(P1330="Gasto",S1330,IF(P1330="Reembolso",-S1330,0)))</f>
        <v/>
      </c>
      <c r="V1330" s="53">
        <f>IF(P1330="","",IF(P1330="Ingreso",S1330,0))</f>
        <v/>
      </c>
      <c r="W1330" s="53">
        <f>IF(P1330="","",IF(P1330="Resultado trading",S1330,0))</f>
        <v/>
      </c>
      <c r="X1330" s="52">
        <f>IF(OR(P1330="Gasto",P1330="Reembolso"),IF(M1330&lt;&gt;"",M1330,IFERROR(INDEX(catClasif,MATCH(D1330&amp;"|"&amp;E1330,catClave,0))&amp;"","Variable")),"")</f>
        <v/>
      </c>
      <c r="Y1330" s="52">
        <f>IF(P1330="","",IFERROR(INDEX(catGrupo,MATCH(D1330&amp;"|"&amp;E1330,catClave,0))&amp;"",""))</f>
        <v/>
      </c>
      <c r="Z1330" s="52">
        <f>IF(P1330="","",WEEKDAY(B1330,2))</f>
        <v/>
      </c>
      <c r="AA1330" s="52">
        <f>IF(P1330="","",IF(AND(P1330="Gasto",X1330="Variable",D1330&lt;&gt;catTrading,S1330&gt;0,S1330&lt;=Umbral),1,0))</f>
        <v/>
      </c>
      <c r="AB1330" s="52">
        <f>IF(OR(P1330="",Q1330=""),"",IFERROR(IF(INDEX(ctaVinc,MATCH(Q1330,ctaNombre,0))&amp;""&lt;&gt;"",INDEX(ctaVinc,MATCH(Q1330,ctaNombre,0))&amp;"",Q1330),Q1330))</f>
        <v/>
      </c>
      <c r="AC1330" s="52">
        <f>IF(OR(K1330="",AND(P1330&lt;&gt;"Transferencia",P1330&lt;&gt;"Pago tarjeta")),"",IFERROR(IF(INDEX(ctaVinc,MATCH(K1330,ctaNombre,0))&amp;""&lt;&gt;"",INDEX(ctaVinc,MATCH(K1330,ctaNombre,0))&amp;"",K1330),K1330))</f>
        <v/>
      </c>
      <c r="AD1330" s="52">
        <f>IF(AB1330="","",IFERROR(INDEX(ctaTipo,MATCH(AB1330,ctaNombre,0))&amp;"",""))</f>
        <v/>
      </c>
      <c r="AE1330" s="52">
        <f>IF(AC1330="","",IFERROR(INDEX(ctaTipo,MATCH(AC1330,ctaNombre,0))&amp;"",""))</f>
        <v/>
      </c>
      <c r="AF1330" s="53">
        <f>IF(OR(P1330="",AB1330=""),"",IF(OR(P1330="Gasto",P1330="Transferencia",P1330="Pago tarjeta"),-1,1)*IF(IFERROR(INDEX(ctaMoneda,MATCH(AB1330,ctaNombre,0))&amp;"","DOP")="USD",T1330,S1330))</f>
        <v/>
      </c>
      <c r="AG1330" s="53">
        <f>IF(AC1330="","",IF(IFERROR(INDEX(ctaMoneda,MATCH(AC1330,ctaNombre,0))&amp;"","DOP")="USD",T1330,S1330))</f>
        <v/>
      </c>
      <c r="AH1330" s="53">
        <f>IF(P1330="","",IF(AND(AD1330&lt;&gt;"",COUNTIFS(tcTipo,AD1330,tcLiq,"Sí")&gt;0),IF(OR(P1330="Gasto",P1330="Transferencia",P1330="Pago tarjeta"),-1,1)*S1330,0)+IF(AND(AE1330&lt;&gt;"",COUNTIFS(tcTipo,AE1330,tcLiq,"Sí")&gt;0),S1330,0))</f>
        <v/>
      </c>
      <c r="AI1330" s="52">
        <f>IF(OR(L1330="",P1330=""),"",IF(COUNTIFS(L$6:L1330,L1330,P$6:P1330,"?*")=1,MAX(AI$5:AI1329)+1,""))</f>
        <v/>
      </c>
    </row>
    <row r="1331">
      <c r="B1331" s="47" t="n"/>
      <c r="C1331" s="48" t="n"/>
      <c r="D1331" s="48" t="n"/>
      <c r="E1331" s="48" t="n"/>
      <c r="F1331" s="48" t="n"/>
      <c r="G1331" s="49" t="n"/>
      <c r="H1331" s="48" t="n"/>
      <c r="I1331" s="50" t="n"/>
      <c r="J1331" s="48" t="n"/>
      <c r="K1331" s="48" t="n"/>
      <c r="L1331" s="48" t="n"/>
      <c r="M1331" s="48" t="n"/>
      <c r="N1331" s="48" t="n"/>
      <c r="O1331" s="51">
        <f>IF(AND(B1331="",G1331="",C1331="",D1331="",J1331=""),"",IF(B1331="","⚠ Falta fecha",IF(G1331="","⚠ Falta monto",IF(Q1331="","⚠ Falta cuenta",IF(ISNA(MATCH(Q1331,ctaNombre,0)),"⚠ Cuenta no registrada",IF(AND(OR(P1331="Gasto",P1331="Reembolso"),D1331=""),"⚠ Falta categoría",IF(AND(D1331&lt;&gt;"",E1331&lt;&gt;"",ISNA(MATCH(D1331&amp;"|"&amp;E1331,catClave,0))),"⚠ Subcategoría no corresponde",IF(AND(OR(P1331="Transferencia",P1331="Pago tarjeta"),K1331=""),"⚠ Falta cuenta destino",IF(AND(K1331&lt;&gt;"",P1331&lt;&gt;"Transferencia",P1331&lt;&gt;"Pago tarjeta"),"⚠ Destino solo aplica a transferencias",IF(AND(K1331&lt;&gt;"",K1331=Q1331),"⚠ Origen igual a destino",IF(AND(K1331&lt;&gt;"",ISNA(MATCH(K1331,ctaNombre,0))),"⚠ Destino no registrado",IF(AND(P1331="Pago tarjeta",AE1331&lt;&gt;"Tarjeta de crédito"),"⚠ El destino debe ser tarjeta de crédito",IF(AND(P1331="Gasto",E1331="Depósitos y retiros"),"⚠ Usa tipo Transferencia",IF(AND(P1331="Resultado trading",AD1331&lt;&gt;"Cuenta de trading"),"⚠ Usa una cuenta de trading",IF(AND(G1331&lt;=0,P1331&lt;&gt;"Ajuste",P1331&lt;&gt;"Resultado trading"),"⚠ El monto debe ser positivo","✓")))))))))))))))</f>
        <v/>
      </c>
      <c r="P1331" s="52">
        <f>IF(OR(B1331="",G1331=""),"",IF(C1331="","Gasto",C1331))</f>
        <v/>
      </c>
      <c r="Q1331" s="52">
        <f>IF(P1331="","",IF(J1331&lt;&gt;"",J1331,CuentaPred&amp;""))</f>
        <v/>
      </c>
      <c r="R1331" s="52">
        <f>IF(P1331="","",IF(ISNUMBER(I1331),I1331,TasaUSD))</f>
        <v/>
      </c>
      <c r="S1331" s="53">
        <f>IF(P1331="","",IF(H1331="USD",G1331*R1331,G1331))</f>
        <v/>
      </c>
      <c r="T1331" s="53">
        <f>IF(P1331="","",IF(H1331="USD",G1331,IF(R1331&gt;0,G1331/R1331,0)))</f>
        <v/>
      </c>
      <c r="U1331" s="53">
        <f>IF(P1331="","",IF(P1331="Gasto",S1331,IF(P1331="Reembolso",-S1331,0)))</f>
        <v/>
      </c>
      <c r="V1331" s="53">
        <f>IF(P1331="","",IF(P1331="Ingreso",S1331,0))</f>
        <v/>
      </c>
      <c r="W1331" s="53">
        <f>IF(P1331="","",IF(P1331="Resultado trading",S1331,0))</f>
        <v/>
      </c>
      <c r="X1331" s="52">
        <f>IF(OR(P1331="Gasto",P1331="Reembolso"),IF(M1331&lt;&gt;"",M1331,IFERROR(INDEX(catClasif,MATCH(D1331&amp;"|"&amp;E1331,catClave,0))&amp;"","Variable")),"")</f>
        <v/>
      </c>
      <c r="Y1331" s="52">
        <f>IF(P1331="","",IFERROR(INDEX(catGrupo,MATCH(D1331&amp;"|"&amp;E1331,catClave,0))&amp;"",""))</f>
        <v/>
      </c>
      <c r="Z1331" s="52">
        <f>IF(P1331="","",WEEKDAY(B1331,2))</f>
        <v/>
      </c>
      <c r="AA1331" s="52">
        <f>IF(P1331="","",IF(AND(P1331="Gasto",X1331="Variable",D1331&lt;&gt;catTrading,S1331&gt;0,S1331&lt;=Umbral),1,0))</f>
        <v/>
      </c>
      <c r="AB1331" s="52">
        <f>IF(OR(P1331="",Q1331=""),"",IFERROR(IF(INDEX(ctaVinc,MATCH(Q1331,ctaNombre,0))&amp;""&lt;&gt;"",INDEX(ctaVinc,MATCH(Q1331,ctaNombre,0))&amp;"",Q1331),Q1331))</f>
        <v/>
      </c>
      <c r="AC1331" s="52">
        <f>IF(OR(K1331="",AND(P1331&lt;&gt;"Transferencia",P1331&lt;&gt;"Pago tarjeta")),"",IFERROR(IF(INDEX(ctaVinc,MATCH(K1331,ctaNombre,0))&amp;""&lt;&gt;"",INDEX(ctaVinc,MATCH(K1331,ctaNombre,0))&amp;"",K1331),K1331))</f>
        <v/>
      </c>
      <c r="AD1331" s="52">
        <f>IF(AB1331="","",IFERROR(INDEX(ctaTipo,MATCH(AB1331,ctaNombre,0))&amp;"",""))</f>
        <v/>
      </c>
      <c r="AE1331" s="52">
        <f>IF(AC1331="","",IFERROR(INDEX(ctaTipo,MATCH(AC1331,ctaNombre,0))&amp;"",""))</f>
        <v/>
      </c>
      <c r="AF1331" s="53">
        <f>IF(OR(P1331="",AB1331=""),"",IF(OR(P1331="Gasto",P1331="Transferencia",P1331="Pago tarjeta"),-1,1)*IF(IFERROR(INDEX(ctaMoneda,MATCH(AB1331,ctaNombre,0))&amp;"","DOP")="USD",T1331,S1331))</f>
        <v/>
      </c>
      <c r="AG1331" s="53">
        <f>IF(AC1331="","",IF(IFERROR(INDEX(ctaMoneda,MATCH(AC1331,ctaNombre,0))&amp;"","DOP")="USD",T1331,S1331))</f>
        <v/>
      </c>
      <c r="AH1331" s="53">
        <f>IF(P1331="","",IF(AND(AD1331&lt;&gt;"",COUNTIFS(tcTipo,AD1331,tcLiq,"Sí")&gt;0),IF(OR(P1331="Gasto",P1331="Transferencia",P1331="Pago tarjeta"),-1,1)*S1331,0)+IF(AND(AE1331&lt;&gt;"",COUNTIFS(tcTipo,AE1331,tcLiq,"Sí")&gt;0),S1331,0))</f>
        <v/>
      </c>
      <c r="AI1331" s="52">
        <f>IF(OR(L1331="",P1331=""),"",IF(COUNTIFS(L$6:L1331,L1331,P$6:P1331,"?*")=1,MAX(AI$5:AI1330)+1,""))</f>
        <v/>
      </c>
    </row>
    <row r="1332">
      <c r="B1332" s="47" t="n"/>
      <c r="C1332" s="48" t="n"/>
      <c r="D1332" s="48" t="n"/>
      <c r="E1332" s="48" t="n"/>
      <c r="F1332" s="48" t="n"/>
      <c r="G1332" s="49" t="n"/>
      <c r="H1332" s="48" t="n"/>
      <c r="I1332" s="50" t="n"/>
      <c r="J1332" s="48" t="n"/>
      <c r="K1332" s="48" t="n"/>
      <c r="L1332" s="48" t="n"/>
      <c r="M1332" s="48" t="n"/>
      <c r="N1332" s="48" t="n"/>
      <c r="O1332" s="51">
        <f>IF(AND(B1332="",G1332="",C1332="",D1332="",J1332=""),"",IF(B1332="","⚠ Falta fecha",IF(G1332="","⚠ Falta monto",IF(Q1332="","⚠ Falta cuenta",IF(ISNA(MATCH(Q1332,ctaNombre,0)),"⚠ Cuenta no registrada",IF(AND(OR(P1332="Gasto",P1332="Reembolso"),D1332=""),"⚠ Falta categoría",IF(AND(D1332&lt;&gt;"",E1332&lt;&gt;"",ISNA(MATCH(D1332&amp;"|"&amp;E1332,catClave,0))),"⚠ Subcategoría no corresponde",IF(AND(OR(P1332="Transferencia",P1332="Pago tarjeta"),K1332=""),"⚠ Falta cuenta destino",IF(AND(K1332&lt;&gt;"",P1332&lt;&gt;"Transferencia",P1332&lt;&gt;"Pago tarjeta"),"⚠ Destino solo aplica a transferencias",IF(AND(K1332&lt;&gt;"",K1332=Q1332),"⚠ Origen igual a destino",IF(AND(K1332&lt;&gt;"",ISNA(MATCH(K1332,ctaNombre,0))),"⚠ Destino no registrado",IF(AND(P1332="Pago tarjeta",AE1332&lt;&gt;"Tarjeta de crédito"),"⚠ El destino debe ser tarjeta de crédito",IF(AND(P1332="Gasto",E1332="Depósitos y retiros"),"⚠ Usa tipo Transferencia",IF(AND(P1332="Resultado trading",AD1332&lt;&gt;"Cuenta de trading"),"⚠ Usa una cuenta de trading",IF(AND(G1332&lt;=0,P1332&lt;&gt;"Ajuste",P1332&lt;&gt;"Resultado trading"),"⚠ El monto debe ser positivo","✓")))))))))))))))</f>
        <v/>
      </c>
      <c r="P1332" s="52">
        <f>IF(OR(B1332="",G1332=""),"",IF(C1332="","Gasto",C1332))</f>
        <v/>
      </c>
      <c r="Q1332" s="52">
        <f>IF(P1332="","",IF(J1332&lt;&gt;"",J1332,CuentaPred&amp;""))</f>
        <v/>
      </c>
      <c r="R1332" s="52">
        <f>IF(P1332="","",IF(ISNUMBER(I1332),I1332,TasaUSD))</f>
        <v/>
      </c>
      <c r="S1332" s="53">
        <f>IF(P1332="","",IF(H1332="USD",G1332*R1332,G1332))</f>
        <v/>
      </c>
      <c r="T1332" s="53">
        <f>IF(P1332="","",IF(H1332="USD",G1332,IF(R1332&gt;0,G1332/R1332,0)))</f>
        <v/>
      </c>
      <c r="U1332" s="53">
        <f>IF(P1332="","",IF(P1332="Gasto",S1332,IF(P1332="Reembolso",-S1332,0)))</f>
        <v/>
      </c>
      <c r="V1332" s="53">
        <f>IF(P1332="","",IF(P1332="Ingreso",S1332,0))</f>
        <v/>
      </c>
      <c r="W1332" s="53">
        <f>IF(P1332="","",IF(P1332="Resultado trading",S1332,0))</f>
        <v/>
      </c>
      <c r="X1332" s="52">
        <f>IF(OR(P1332="Gasto",P1332="Reembolso"),IF(M1332&lt;&gt;"",M1332,IFERROR(INDEX(catClasif,MATCH(D1332&amp;"|"&amp;E1332,catClave,0))&amp;"","Variable")),"")</f>
        <v/>
      </c>
      <c r="Y1332" s="52">
        <f>IF(P1332="","",IFERROR(INDEX(catGrupo,MATCH(D1332&amp;"|"&amp;E1332,catClave,0))&amp;"",""))</f>
        <v/>
      </c>
      <c r="Z1332" s="52">
        <f>IF(P1332="","",WEEKDAY(B1332,2))</f>
        <v/>
      </c>
      <c r="AA1332" s="52">
        <f>IF(P1332="","",IF(AND(P1332="Gasto",X1332="Variable",D1332&lt;&gt;catTrading,S1332&gt;0,S1332&lt;=Umbral),1,0))</f>
        <v/>
      </c>
      <c r="AB1332" s="52">
        <f>IF(OR(P1332="",Q1332=""),"",IFERROR(IF(INDEX(ctaVinc,MATCH(Q1332,ctaNombre,0))&amp;""&lt;&gt;"",INDEX(ctaVinc,MATCH(Q1332,ctaNombre,0))&amp;"",Q1332),Q1332))</f>
        <v/>
      </c>
      <c r="AC1332" s="52">
        <f>IF(OR(K1332="",AND(P1332&lt;&gt;"Transferencia",P1332&lt;&gt;"Pago tarjeta")),"",IFERROR(IF(INDEX(ctaVinc,MATCH(K1332,ctaNombre,0))&amp;""&lt;&gt;"",INDEX(ctaVinc,MATCH(K1332,ctaNombre,0))&amp;"",K1332),K1332))</f>
        <v/>
      </c>
      <c r="AD1332" s="52">
        <f>IF(AB1332="","",IFERROR(INDEX(ctaTipo,MATCH(AB1332,ctaNombre,0))&amp;"",""))</f>
        <v/>
      </c>
      <c r="AE1332" s="52">
        <f>IF(AC1332="","",IFERROR(INDEX(ctaTipo,MATCH(AC1332,ctaNombre,0))&amp;"",""))</f>
        <v/>
      </c>
      <c r="AF1332" s="53">
        <f>IF(OR(P1332="",AB1332=""),"",IF(OR(P1332="Gasto",P1332="Transferencia",P1332="Pago tarjeta"),-1,1)*IF(IFERROR(INDEX(ctaMoneda,MATCH(AB1332,ctaNombre,0))&amp;"","DOP")="USD",T1332,S1332))</f>
        <v/>
      </c>
      <c r="AG1332" s="53">
        <f>IF(AC1332="","",IF(IFERROR(INDEX(ctaMoneda,MATCH(AC1332,ctaNombre,0))&amp;"","DOP")="USD",T1332,S1332))</f>
        <v/>
      </c>
      <c r="AH1332" s="53">
        <f>IF(P1332="","",IF(AND(AD1332&lt;&gt;"",COUNTIFS(tcTipo,AD1332,tcLiq,"Sí")&gt;0),IF(OR(P1332="Gasto",P1332="Transferencia",P1332="Pago tarjeta"),-1,1)*S1332,0)+IF(AND(AE1332&lt;&gt;"",COUNTIFS(tcTipo,AE1332,tcLiq,"Sí")&gt;0),S1332,0))</f>
        <v/>
      </c>
      <c r="AI1332" s="52">
        <f>IF(OR(L1332="",P1332=""),"",IF(COUNTIFS(L$6:L1332,L1332,P$6:P1332,"?*")=1,MAX(AI$5:AI1331)+1,""))</f>
        <v/>
      </c>
    </row>
    <row r="1333">
      <c r="B1333" s="47" t="n"/>
      <c r="C1333" s="48" t="n"/>
      <c r="D1333" s="48" t="n"/>
      <c r="E1333" s="48" t="n"/>
      <c r="F1333" s="48" t="n"/>
      <c r="G1333" s="49" t="n"/>
      <c r="H1333" s="48" t="n"/>
      <c r="I1333" s="50" t="n"/>
      <c r="J1333" s="48" t="n"/>
      <c r="K1333" s="48" t="n"/>
      <c r="L1333" s="48" t="n"/>
      <c r="M1333" s="48" t="n"/>
      <c r="N1333" s="48" t="n"/>
      <c r="O1333" s="51">
        <f>IF(AND(B1333="",G1333="",C1333="",D1333="",J1333=""),"",IF(B1333="","⚠ Falta fecha",IF(G1333="","⚠ Falta monto",IF(Q1333="","⚠ Falta cuenta",IF(ISNA(MATCH(Q1333,ctaNombre,0)),"⚠ Cuenta no registrada",IF(AND(OR(P1333="Gasto",P1333="Reembolso"),D1333=""),"⚠ Falta categoría",IF(AND(D1333&lt;&gt;"",E1333&lt;&gt;"",ISNA(MATCH(D1333&amp;"|"&amp;E1333,catClave,0))),"⚠ Subcategoría no corresponde",IF(AND(OR(P1333="Transferencia",P1333="Pago tarjeta"),K1333=""),"⚠ Falta cuenta destino",IF(AND(K1333&lt;&gt;"",P1333&lt;&gt;"Transferencia",P1333&lt;&gt;"Pago tarjeta"),"⚠ Destino solo aplica a transferencias",IF(AND(K1333&lt;&gt;"",K1333=Q1333),"⚠ Origen igual a destino",IF(AND(K1333&lt;&gt;"",ISNA(MATCH(K1333,ctaNombre,0))),"⚠ Destino no registrado",IF(AND(P1333="Pago tarjeta",AE1333&lt;&gt;"Tarjeta de crédito"),"⚠ El destino debe ser tarjeta de crédito",IF(AND(P1333="Gasto",E1333="Depósitos y retiros"),"⚠ Usa tipo Transferencia",IF(AND(P1333="Resultado trading",AD1333&lt;&gt;"Cuenta de trading"),"⚠ Usa una cuenta de trading",IF(AND(G1333&lt;=0,P1333&lt;&gt;"Ajuste",P1333&lt;&gt;"Resultado trading"),"⚠ El monto debe ser positivo","✓")))))))))))))))</f>
        <v/>
      </c>
      <c r="P1333" s="52">
        <f>IF(OR(B1333="",G1333=""),"",IF(C1333="","Gasto",C1333))</f>
        <v/>
      </c>
      <c r="Q1333" s="52">
        <f>IF(P1333="","",IF(J1333&lt;&gt;"",J1333,CuentaPred&amp;""))</f>
        <v/>
      </c>
      <c r="R1333" s="52">
        <f>IF(P1333="","",IF(ISNUMBER(I1333),I1333,TasaUSD))</f>
        <v/>
      </c>
      <c r="S1333" s="53">
        <f>IF(P1333="","",IF(H1333="USD",G1333*R1333,G1333))</f>
        <v/>
      </c>
      <c r="T1333" s="53">
        <f>IF(P1333="","",IF(H1333="USD",G1333,IF(R1333&gt;0,G1333/R1333,0)))</f>
        <v/>
      </c>
      <c r="U1333" s="53">
        <f>IF(P1333="","",IF(P1333="Gasto",S1333,IF(P1333="Reembolso",-S1333,0)))</f>
        <v/>
      </c>
      <c r="V1333" s="53">
        <f>IF(P1333="","",IF(P1333="Ingreso",S1333,0))</f>
        <v/>
      </c>
      <c r="W1333" s="53">
        <f>IF(P1333="","",IF(P1333="Resultado trading",S1333,0))</f>
        <v/>
      </c>
      <c r="X1333" s="52">
        <f>IF(OR(P1333="Gasto",P1333="Reembolso"),IF(M1333&lt;&gt;"",M1333,IFERROR(INDEX(catClasif,MATCH(D1333&amp;"|"&amp;E1333,catClave,0))&amp;"","Variable")),"")</f>
        <v/>
      </c>
      <c r="Y1333" s="52">
        <f>IF(P1333="","",IFERROR(INDEX(catGrupo,MATCH(D1333&amp;"|"&amp;E1333,catClave,0))&amp;"",""))</f>
        <v/>
      </c>
      <c r="Z1333" s="52">
        <f>IF(P1333="","",WEEKDAY(B1333,2))</f>
        <v/>
      </c>
      <c r="AA1333" s="52">
        <f>IF(P1333="","",IF(AND(P1333="Gasto",X1333="Variable",D1333&lt;&gt;catTrading,S1333&gt;0,S1333&lt;=Umbral),1,0))</f>
        <v/>
      </c>
      <c r="AB1333" s="52">
        <f>IF(OR(P1333="",Q1333=""),"",IFERROR(IF(INDEX(ctaVinc,MATCH(Q1333,ctaNombre,0))&amp;""&lt;&gt;"",INDEX(ctaVinc,MATCH(Q1333,ctaNombre,0))&amp;"",Q1333),Q1333))</f>
        <v/>
      </c>
      <c r="AC1333" s="52">
        <f>IF(OR(K1333="",AND(P1333&lt;&gt;"Transferencia",P1333&lt;&gt;"Pago tarjeta")),"",IFERROR(IF(INDEX(ctaVinc,MATCH(K1333,ctaNombre,0))&amp;""&lt;&gt;"",INDEX(ctaVinc,MATCH(K1333,ctaNombre,0))&amp;"",K1333),K1333))</f>
        <v/>
      </c>
      <c r="AD1333" s="52">
        <f>IF(AB1333="","",IFERROR(INDEX(ctaTipo,MATCH(AB1333,ctaNombre,0))&amp;"",""))</f>
        <v/>
      </c>
      <c r="AE1333" s="52">
        <f>IF(AC1333="","",IFERROR(INDEX(ctaTipo,MATCH(AC1333,ctaNombre,0))&amp;"",""))</f>
        <v/>
      </c>
      <c r="AF1333" s="53">
        <f>IF(OR(P1333="",AB1333=""),"",IF(OR(P1333="Gasto",P1333="Transferencia",P1333="Pago tarjeta"),-1,1)*IF(IFERROR(INDEX(ctaMoneda,MATCH(AB1333,ctaNombre,0))&amp;"","DOP")="USD",T1333,S1333))</f>
        <v/>
      </c>
      <c r="AG1333" s="53">
        <f>IF(AC1333="","",IF(IFERROR(INDEX(ctaMoneda,MATCH(AC1333,ctaNombre,0))&amp;"","DOP")="USD",T1333,S1333))</f>
        <v/>
      </c>
      <c r="AH1333" s="53">
        <f>IF(P1333="","",IF(AND(AD1333&lt;&gt;"",COUNTIFS(tcTipo,AD1333,tcLiq,"Sí")&gt;0),IF(OR(P1333="Gasto",P1333="Transferencia",P1333="Pago tarjeta"),-1,1)*S1333,0)+IF(AND(AE1333&lt;&gt;"",COUNTIFS(tcTipo,AE1333,tcLiq,"Sí")&gt;0),S1333,0))</f>
        <v/>
      </c>
      <c r="AI1333" s="52">
        <f>IF(OR(L1333="",P1333=""),"",IF(COUNTIFS(L$6:L1333,L1333,P$6:P1333,"?*")=1,MAX(AI$5:AI1332)+1,""))</f>
        <v/>
      </c>
    </row>
    <row r="1334">
      <c r="B1334" s="47" t="n"/>
      <c r="C1334" s="48" t="n"/>
      <c r="D1334" s="48" t="n"/>
      <c r="E1334" s="48" t="n"/>
      <c r="F1334" s="48" t="n"/>
      <c r="G1334" s="49" t="n"/>
      <c r="H1334" s="48" t="n"/>
      <c r="I1334" s="50" t="n"/>
      <c r="J1334" s="48" t="n"/>
      <c r="K1334" s="48" t="n"/>
      <c r="L1334" s="48" t="n"/>
      <c r="M1334" s="48" t="n"/>
      <c r="N1334" s="48" t="n"/>
      <c r="O1334" s="51">
        <f>IF(AND(B1334="",G1334="",C1334="",D1334="",J1334=""),"",IF(B1334="","⚠ Falta fecha",IF(G1334="","⚠ Falta monto",IF(Q1334="","⚠ Falta cuenta",IF(ISNA(MATCH(Q1334,ctaNombre,0)),"⚠ Cuenta no registrada",IF(AND(OR(P1334="Gasto",P1334="Reembolso"),D1334=""),"⚠ Falta categoría",IF(AND(D1334&lt;&gt;"",E1334&lt;&gt;"",ISNA(MATCH(D1334&amp;"|"&amp;E1334,catClave,0))),"⚠ Subcategoría no corresponde",IF(AND(OR(P1334="Transferencia",P1334="Pago tarjeta"),K1334=""),"⚠ Falta cuenta destino",IF(AND(K1334&lt;&gt;"",P1334&lt;&gt;"Transferencia",P1334&lt;&gt;"Pago tarjeta"),"⚠ Destino solo aplica a transferencias",IF(AND(K1334&lt;&gt;"",K1334=Q1334),"⚠ Origen igual a destino",IF(AND(K1334&lt;&gt;"",ISNA(MATCH(K1334,ctaNombre,0))),"⚠ Destino no registrado",IF(AND(P1334="Pago tarjeta",AE1334&lt;&gt;"Tarjeta de crédito"),"⚠ El destino debe ser tarjeta de crédito",IF(AND(P1334="Gasto",E1334="Depósitos y retiros"),"⚠ Usa tipo Transferencia",IF(AND(P1334="Resultado trading",AD1334&lt;&gt;"Cuenta de trading"),"⚠ Usa una cuenta de trading",IF(AND(G1334&lt;=0,P1334&lt;&gt;"Ajuste",P1334&lt;&gt;"Resultado trading"),"⚠ El monto debe ser positivo","✓")))))))))))))))</f>
        <v/>
      </c>
      <c r="P1334" s="52">
        <f>IF(OR(B1334="",G1334=""),"",IF(C1334="","Gasto",C1334))</f>
        <v/>
      </c>
      <c r="Q1334" s="52">
        <f>IF(P1334="","",IF(J1334&lt;&gt;"",J1334,CuentaPred&amp;""))</f>
        <v/>
      </c>
      <c r="R1334" s="52">
        <f>IF(P1334="","",IF(ISNUMBER(I1334),I1334,TasaUSD))</f>
        <v/>
      </c>
      <c r="S1334" s="53">
        <f>IF(P1334="","",IF(H1334="USD",G1334*R1334,G1334))</f>
        <v/>
      </c>
      <c r="T1334" s="53">
        <f>IF(P1334="","",IF(H1334="USD",G1334,IF(R1334&gt;0,G1334/R1334,0)))</f>
        <v/>
      </c>
      <c r="U1334" s="53">
        <f>IF(P1334="","",IF(P1334="Gasto",S1334,IF(P1334="Reembolso",-S1334,0)))</f>
        <v/>
      </c>
      <c r="V1334" s="53">
        <f>IF(P1334="","",IF(P1334="Ingreso",S1334,0))</f>
        <v/>
      </c>
      <c r="W1334" s="53">
        <f>IF(P1334="","",IF(P1334="Resultado trading",S1334,0))</f>
        <v/>
      </c>
      <c r="X1334" s="52">
        <f>IF(OR(P1334="Gasto",P1334="Reembolso"),IF(M1334&lt;&gt;"",M1334,IFERROR(INDEX(catClasif,MATCH(D1334&amp;"|"&amp;E1334,catClave,0))&amp;"","Variable")),"")</f>
        <v/>
      </c>
      <c r="Y1334" s="52">
        <f>IF(P1334="","",IFERROR(INDEX(catGrupo,MATCH(D1334&amp;"|"&amp;E1334,catClave,0))&amp;"",""))</f>
        <v/>
      </c>
      <c r="Z1334" s="52">
        <f>IF(P1334="","",WEEKDAY(B1334,2))</f>
        <v/>
      </c>
      <c r="AA1334" s="52">
        <f>IF(P1334="","",IF(AND(P1334="Gasto",X1334="Variable",D1334&lt;&gt;catTrading,S1334&gt;0,S1334&lt;=Umbral),1,0))</f>
        <v/>
      </c>
      <c r="AB1334" s="52">
        <f>IF(OR(P1334="",Q1334=""),"",IFERROR(IF(INDEX(ctaVinc,MATCH(Q1334,ctaNombre,0))&amp;""&lt;&gt;"",INDEX(ctaVinc,MATCH(Q1334,ctaNombre,0))&amp;"",Q1334),Q1334))</f>
        <v/>
      </c>
      <c r="AC1334" s="52">
        <f>IF(OR(K1334="",AND(P1334&lt;&gt;"Transferencia",P1334&lt;&gt;"Pago tarjeta")),"",IFERROR(IF(INDEX(ctaVinc,MATCH(K1334,ctaNombre,0))&amp;""&lt;&gt;"",INDEX(ctaVinc,MATCH(K1334,ctaNombre,0))&amp;"",K1334),K1334))</f>
        <v/>
      </c>
      <c r="AD1334" s="52">
        <f>IF(AB1334="","",IFERROR(INDEX(ctaTipo,MATCH(AB1334,ctaNombre,0))&amp;"",""))</f>
        <v/>
      </c>
      <c r="AE1334" s="52">
        <f>IF(AC1334="","",IFERROR(INDEX(ctaTipo,MATCH(AC1334,ctaNombre,0))&amp;"",""))</f>
        <v/>
      </c>
      <c r="AF1334" s="53">
        <f>IF(OR(P1334="",AB1334=""),"",IF(OR(P1334="Gasto",P1334="Transferencia",P1334="Pago tarjeta"),-1,1)*IF(IFERROR(INDEX(ctaMoneda,MATCH(AB1334,ctaNombre,0))&amp;"","DOP")="USD",T1334,S1334))</f>
        <v/>
      </c>
      <c r="AG1334" s="53">
        <f>IF(AC1334="","",IF(IFERROR(INDEX(ctaMoneda,MATCH(AC1334,ctaNombre,0))&amp;"","DOP")="USD",T1334,S1334))</f>
        <v/>
      </c>
      <c r="AH1334" s="53">
        <f>IF(P1334="","",IF(AND(AD1334&lt;&gt;"",COUNTIFS(tcTipo,AD1334,tcLiq,"Sí")&gt;0),IF(OR(P1334="Gasto",P1334="Transferencia",P1334="Pago tarjeta"),-1,1)*S1334,0)+IF(AND(AE1334&lt;&gt;"",COUNTIFS(tcTipo,AE1334,tcLiq,"Sí")&gt;0),S1334,0))</f>
        <v/>
      </c>
      <c r="AI1334" s="52">
        <f>IF(OR(L1334="",P1334=""),"",IF(COUNTIFS(L$6:L1334,L1334,P$6:P1334,"?*")=1,MAX(AI$5:AI1333)+1,""))</f>
        <v/>
      </c>
    </row>
    <row r="1335">
      <c r="B1335" s="47" t="n"/>
      <c r="C1335" s="48" t="n"/>
      <c r="D1335" s="48" t="n"/>
      <c r="E1335" s="48" t="n"/>
      <c r="F1335" s="48" t="n"/>
      <c r="G1335" s="49" t="n"/>
      <c r="H1335" s="48" t="n"/>
      <c r="I1335" s="50" t="n"/>
      <c r="J1335" s="48" t="n"/>
      <c r="K1335" s="48" t="n"/>
      <c r="L1335" s="48" t="n"/>
      <c r="M1335" s="48" t="n"/>
      <c r="N1335" s="48" t="n"/>
      <c r="O1335" s="51">
        <f>IF(AND(B1335="",G1335="",C1335="",D1335="",J1335=""),"",IF(B1335="","⚠ Falta fecha",IF(G1335="","⚠ Falta monto",IF(Q1335="","⚠ Falta cuenta",IF(ISNA(MATCH(Q1335,ctaNombre,0)),"⚠ Cuenta no registrada",IF(AND(OR(P1335="Gasto",P1335="Reembolso"),D1335=""),"⚠ Falta categoría",IF(AND(D1335&lt;&gt;"",E1335&lt;&gt;"",ISNA(MATCH(D1335&amp;"|"&amp;E1335,catClave,0))),"⚠ Subcategoría no corresponde",IF(AND(OR(P1335="Transferencia",P1335="Pago tarjeta"),K1335=""),"⚠ Falta cuenta destino",IF(AND(K1335&lt;&gt;"",P1335&lt;&gt;"Transferencia",P1335&lt;&gt;"Pago tarjeta"),"⚠ Destino solo aplica a transferencias",IF(AND(K1335&lt;&gt;"",K1335=Q1335),"⚠ Origen igual a destino",IF(AND(K1335&lt;&gt;"",ISNA(MATCH(K1335,ctaNombre,0))),"⚠ Destino no registrado",IF(AND(P1335="Pago tarjeta",AE1335&lt;&gt;"Tarjeta de crédito"),"⚠ El destino debe ser tarjeta de crédito",IF(AND(P1335="Gasto",E1335="Depósitos y retiros"),"⚠ Usa tipo Transferencia",IF(AND(P1335="Resultado trading",AD1335&lt;&gt;"Cuenta de trading"),"⚠ Usa una cuenta de trading",IF(AND(G1335&lt;=0,P1335&lt;&gt;"Ajuste",P1335&lt;&gt;"Resultado trading"),"⚠ El monto debe ser positivo","✓")))))))))))))))</f>
        <v/>
      </c>
      <c r="P1335" s="52">
        <f>IF(OR(B1335="",G1335=""),"",IF(C1335="","Gasto",C1335))</f>
        <v/>
      </c>
      <c r="Q1335" s="52">
        <f>IF(P1335="","",IF(J1335&lt;&gt;"",J1335,CuentaPred&amp;""))</f>
        <v/>
      </c>
      <c r="R1335" s="52">
        <f>IF(P1335="","",IF(ISNUMBER(I1335),I1335,TasaUSD))</f>
        <v/>
      </c>
      <c r="S1335" s="53">
        <f>IF(P1335="","",IF(H1335="USD",G1335*R1335,G1335))</f>
        <v/>
      </c>
      <c r="T1335" s="53">
        <f>IF(P1335="","",IF(H1335="USD",G1335,IF(R1335&gt;0,G1335/R1335,0)))</f>
        <v/>
      </c>
      <c r="U1335" s="53">
        <f>IF(P1335="","",IF(P1335="Gasto",S1335,IF(P1335="Reembolso",-S1335,0)))</f>
        <v/>
      </c>
      <c r="V1335" s="53">
        <f>IF(P1335="","",IF(P1335="Ingreso",S1335,0))</f>
        <v/>
      </c>
      <c r="W1335" s="53">
        <f>IF(P1335="","",IF(P1335="Resultado trading",S1335,0))</f>
        <v/>
      </c>
      <c r="X1335" s="52">
        <f>IF(OR(P1335="Gasto",P1335="Reembolso"),IF(M1335&lt;&gt;"",M1335,IFERROR(INDEX(catClasif,MATCH(D1335&amp;"|"&amp;E1335,catClave,0))&amp;"","Variable")),"")</f>
        <v/>
      </c>
      <c r="Y1335" s="52">
        <f>IF(P1335="","",IFERROR(INDEX(catGrupo,MATCH(D1335&amp;"|"&amp;E1335,catClave,0))&amp;"",""))</f>
        <v/>
      </c>
      <c r="Z1335" s="52">
        <f>IF(P1335="","",WEEKDAY(B1335,2))</f>
        <v/>
      </c>
      <c r="AA1335" s="52">
        <f>IF(P1335="","",IF(AND(P1335="Gasto",X1335="Variable",D1335&lt;&gt;catTrading,S1335&gt;0,S1335&lt;=Umbral),1,0))</f>
        <v/>
      </c>
      <c r="AB1335" s="52">
        <f>IF(OR(P1335="",Q1335=""),"",IFERROR(IF(INDEX(ctaVinc,MATCH(Q1335,ctaNombre,0))&amp;""&lt;&gt;"",INDEX(ctaVinc,MATCH(Q1335,ctaNombre,0))&amp;"",Q1335),Q1335))</f>
        <v/>
      </c>
      <c r="AC1335" s="52">
        <f>IF(OR(K1335="",AND(P1335&lt;&gt;"Transferencia",P1335&lt;&gt;"Pago tarjeta")),"",IFERROR(IF(INDEX(ctaVinc,MATCH(K1335,ctaNombre,0))&amp;""&lt;&gt;"",INDEX(ctaVinc,MATCH(K1335,ctaNombre,0))&amp;"",K1335),K1335))</f>
        <v/>
      </c>
      <c r="AD1335" s="52">
        <f>IF(AB1335="","",IFERROR(INDEX(ctaTipo,MATCH(AB1335,ctaNombre,0))&amp;"",""))</f>
        <v/>
      </c>
      <c r="AE1335" s="52">
        <f>IF(AC1335="","",IFERROR(INDEX(ctaTipo,MATCH(AC1335,ctaNombre,0))&amp;"",""))</f>
        <v/>
      </c>
      <c r="AF1335" s="53">
        <f>IF(OR(P1335="",AB1335=""),"",IF(OR(P1335="Gasto",P1335="Transferencia",P1335="Pago tarjeta"),-1,1)*IF(IFERROR(INDEX(ctaMoneda,MATCH(AB1335,ctaNombre,0))&amp;"","DOP")="USD",T1335,S1335))</f>
        <v/>
      </c>
      <c r="AG1335" s="53">
        <f>IF(AC1335="","",IF(IFERROR(INDEX(ctaMoneda,MATCH(AC1335,ctaNombre,0))&amp;"","DOP")="USD",T1335,S1335))</f>
        <v/>
      </c>
      <c r="AH1335" s="53">
        <f>IF(P1335="","",IF(AND(AD1335&lt;&gt;"",COUNTIFS(tcTipo,AD1335,tcLiq,"Sí")&gt;0),IF(OR(P1335="Gasto",P1335="Transferencia",P1335="Pago tarjeta"),-1,1)*S1335,0)+IF(AND(AE1335&lt;&gt;"",COUNTIFS(tcTipo,AE1335,tcLiq,"Sí")&gt;0),S1335,0))</f>
        <v/>
      </c>
      <c r="AI1335" s="52">
        <f>IF(OR(L1335="",P1335=""),"",IF(COUNTIFS(L$6:L1335,L1335,P$6:P1335,"?*")=1,MAX(AI$5:AI1334)+1,""))</f>
        <v/>
      </c>
    </row>
    <row r="1336">
      <c r="B1336" s="47" t="n"/>
      <c r="C1336" s="48" t="n"/>
      <c r="D1336" s="48" t="n"/>
      <c r="E1336" s="48" t="n"/>
      <c r="F1336" s="48" t="n"/>
      <c r="G1336" s="49" t="n"/>
      <c r="H1336" s="48" t="n"/>
      <c r="I1336" s="50" t="n"/>
      <c r="J1336" s="48" t="n"/>
      <c r="K1336" s="48" t="n"/>
      <c r="L1336" s="48" t="n"/>
      <c r="M1336" s="48" t="n"/>
      <c r="N1336" s="48" t="n"/>
      <c r="O1336" s="51">
        <f>IF(AND(B1336="",G1336="",C1336="",D1336="",J1336=""),"",IF(B1336="","⚠ Falta fecha",IF(G1336="","⚠ Falta monto",IF(Q1336="","⚠ Falta cuenta",IF(ISNA(MATCH(Q1336,ctaNombre,0)),"⚠ Cuenta no registrada",IF(AND(OR(P1336="Gasto",P1336="Reembolso"),D1336=""),"⚠ Falta categoría",IF(AND(D1336&lt;&gt;"",E1336&lt;&gt;"",ISNA(MATCH(D1336&amp;"|"&amp;E1336,catClave,0))),"⚠ Subcategoría no corresponde",IF(AND(OR(P1336="Transferencia",P1336="Pago tarjeta"),K1336=""),"⚠ Falta cuenta destino",IF(AND(K1336&lt;&gt;"",P1336&lt;&gt;"Transferencia",P1336&lt;&gt;"Pago tarjeta"),"⚠ Destino solo aplica a transferencias",IF(AND(K1336&lt;&gt;"",K1336=Q1336),"⚠ Origen igual a destino",IF(AND(K1336&lt;&gt;"",ISNA(MATCH(K1336,ctaNombre,0))),"⚠ Destino no registrado",IF(AND(P1336="Pago tarjeta",AE1336&lt;&gt;"Tarjeta de crédito"),"⚠ El destino debe ser tarjeta de crédito",IF(AND(P1336="Gasto",E1336="Depósitos y retiros"),"⚠ Usa tipo Transferencia",IF(AND(P1336="Resultado trading",AD1336&lt;&gt;"Cuenta de trading"),"⚠ Usa una cuenta de trading",IF(AND(G1336&lt;=0,P1336&lt;&gt;"Ajuste",P1336&lt;&gt;"Resultado trading"),"⚠ El monto debe ser positivo","✓")))))))))))))))</f>
        <v/>
      </c>
      <c r="P1336" s="52">
        <f>IF(OR(B1336="",G1336=""),"",IF(C1336="","Gasto",C1336))</f>
        <v/>
      </c>
      <c r="Q1336" s="52">
        <f>IF(P1336="","",IF(J1336&lt;&gt;"",J1336,CuentaPred&amp;""))</f>
        <v/>
      </c>
      <c r="R1336" s="52">
        <f>IF(P1336="","",IF(ISNUMBER(I1336),I1336,TasaUSD))</f>
        <v/>
      </c>
      <c r="S1336" s="53">
        <f>IF(P1336="","",IF(H1336="USD",G1336*R1336,G1336))</f>
        <v/>
      </c>
      <c r="T1336" s="53">
        <f>IF(P1336="","",IF(H1336="USD",G1336,IF(R1336&gt;0,G1336/R1336,0)))</f>
        <v/>
      </c>
      <c r="U1336" s="53">
        <f>IF(P1336="","",IF(P1336="Gasto",S1336,IF(P1336="Reembolso",-S1336,0)))</f>
        <v/>
      </c>
      <c r="V1336" s="53">
        <f>IF(P1336="","",IF(P1336="Ingreso",S1336,0))</f>
        <v/>
      </c>
      <c r="W1336" s="53">
        <f>IF(P1336="","",IF(P1336="Resultado trading",S1336,0))</f>
        <v/>
      </c>
      <c r="X1336" s="52">
        <f>IF(OR(P1336="Gasto",P1336="Reembolso"),IF(M1336&lt;&gt;"",M1336,IFERROR(INDEX(catClasif,MATCH(D1336&amp;"|"&amp;E1336,catClave,0))&amp;"","Variable")),"")</f>
        <v/>
      </c>
      <c r="Y1336" s="52">
        <f>IF(P1336="","",IFERROR(INDEX(catGrupo,MATCH(D1336&amp;"|"&amp;E1336,catClave,0))&amp;"",""))</f>
        <v/>
      </c>
      <c r="Z1336" s="52">
        <f>IF(P1336="","",WEEKDAY(B1336,2))</f>
        <v/>
      </c>
      <c r="AA1336" s="52">
        <f>IF(P1336="","",IF(AND(P1336="Gasto",X1336="Variable",D1336&lt;&gt;catTrading,S1336&gt;0,S1336&lt;=Umbral),1,0))</f>
        <v/>
      </c>
      <c r="AB1336" s="52">
        <f>IF(OR(P1336="",Q1336=""),"",IFERROR(IF(INDEX(ctaVinc,MATCH(Q1336,ctaNombre,0))&amp;""&lt;&gt;"",INDEX(ctaVinc,MATCH(Q1336,ctaNombre,0))&amp;"",Q1336),Q1336))</f>
        <v/>
      </c>
      <c r="AC1336" s="52">
        <f>IF(OR(K1336="",AND(P1336&lt;&gt;"Transferencia",P1336&lt;&gt;"Pago tarjeta")),"",IFERROR(IF(INDEX(ctaVinc,MATCH(K1336,ctaNombre,0))&amp;""&lt;&gt;"",INDEX(ctaVinc,MATCH(K1336,ctaNombre,0))&amp;"",K1336),K1336))</f>
        <v/>
      </c>
      <c r="AD1336" s="52">
        <f>IF(AB1336="","",IFERROR(INDEX(ctaTipo,MATCH(AB1336,ctaNombre,0))&amp;"",""))</f>
        <v/>
      </c>
      <c r="AE1336" s="52">
        <f>IF(AC1336="","",IFERROR(INDEX(ctaTipo,MATCH(AC1336,ctaNombre,0))&amp;"",""))</f>
        <v/>
      </c>
      <c r="AF1336" s="53">
        <f>IF(OR(P1336="",AB1336=""),"",IF(OR(P1336="Gasto",P1336="Transferencia",P1336="Pago tarjeta"),-1,1)*IF(IFERROR(INDEX(ctaMoneda,MATCH(AB1336,ctaNombre,0))&amp;"","DOP")="USD",T1336,S1336))</f>
        <v/>
      </c>
      <c r="AG1336" s="53">
        <f>IF(AC1336="","",IF(IFERROR(INDEX(ctaMoneda,MATCH(AC1336,ctaNombre,0))&amp;"","DOP")="USD",T1336,S1336))</f>
        <v/>
      </c>
      <c r="AH1336" s="53">
        <f>IF(P1336="","",IF(AND(AD1336&lt;&gt;"",COUNTIFS(tcTipo,AD1336,tcLiq,"Sí")&gt;0),IF(OR(P1336="Gasto",P1336="Transferencia",P1336="Pago tarjeta"),-1,1)*S1336,0)+IF(AND(AE1336&lt;&gt;"",COUNTIFS(tcTipo,AE1336,tcLiq,"Sí")&gt;0),S1336,0))</f>
        <v/>
      </c>
      <c r="AI1336" s="52">
        <f>IF(OR(L1336="",P1336=""),"",IF(COUNTIFS(L$6:L1336,L1336,P$6:P1336,"?*")=1,MAX(AI$5:AI1335)+1,""))</f>
        <v/>
      </c>
    </row>
    <row r="1337">
      <c r="B1337" s="47" t="n"/>
      <c r="C1337" s="48" t="n"/>
      <c r="D1337" s="48" t="n"/>
      <c r="E1337" s="48" t="n"/>
      <c r="F1337" s="48" t="n"/>
      <c r="G1337" s="49" t="n"/>
      <c r="H1337" s="48" t="n"/>
      <c r="I1337" s="50" t="n"/>
      <c r="J1337" s="48" t="n"/>
      <c r="K1337" s="48" t="n"/>
      <c r="L1337" s="48" t="n"/>
      <c r="M1337" s="48" t="n"/>
      <c r="N1337" s="48" t="n"/>
      <c r="O1337" s="51">
        <f>IF(AND(B1337="",G1337="",C1337="",D1337="",J1337=""),"",IF(B1337="","⚠ Falta fecha",IF(G1337="","⚠ Falta monto",IF(Q1337="","⚠ Falta cuenta",IF(ISNA(MATCH(Q1337,ctaNombre,0)),"⚠ Cuenta no registrada",IF(AND(OR(P1337="Gasto",P1337="Reembolso"),D1337=""),"⚠ Falta categoría",IF(AND(D1337&lt;&gt;"",E1337&lt;&gt;"",ISNA(MATCH(D1337&amp;"|"&amp;E1337,catClave,0))),"⚠ Subcategoría no corresponde",IF(AND(OR(P1337="Transferencia",P1337="Pago tarjeta"),K1337=""),"⚠ Falta cuenta destino",IF(AND(K1337&lt;&gt;"",P1337&lt;&gt;"Transferencia",P1337&lt;&gt;"Pago tarjeta"),"⚠ Destino solo aplica a transferencias",IF(AND(K1337&lt;&gt;"",K1337=Q1337),"⚠ Origen igual a destino",IF(AND(K1337&lt;&gt;"",ISNA(MATCH(K1337,ctaNombre,0))),"⚠ Destino no registrado",IF(AND(P1337="Pago tarjeta",AE1337&lt;&gt;"Tarjeta de crédito"),"⚠ El destino debe ser tarjeta de crédito",IF(AND(P1337="Gasto",E1337="Depósitos y retiros"),"⚠ Usa tipo Transferencia",IF(AND(P1337="Resultado trading",AD1337&lt;&gt;"Cuenta de trading"),"⚠ Usa una cuenta de trading",IF(AND(G1337&lt;=0,P1337&lt;&gt;"Ajuste",P1337&lt;&gt;"Resultado trading"),"⚠ El monto debe ser positivo","✓")))))))))))))))</f>
        <v/>
      </c>
      <c r="P1337" s="52">
        <f>IF(OR(B1337="",G1337=""),"",IF(C1337="","Gasto",C1337))</f>
        <v/>
      </c>
      <c r="Q1337" s="52">
        <f>IF(P1337="","",IF(J1337&lt;&gt;"",J1337,CuentaPred&amp;""))</f>
        <v/>
      </c>
      <c r="R1337" s="52">
        <f>IF(P1337="","",IF(ISNUMBER(I1337),I1337,TasaUSD))</f>
        <v/>
      </c>
      <c r="S1337" s="53">
        <f>IF(P1337="","",IF(H1337="USD",G1337*R1337,G1337))</f>
        <v/>
      </c>
      <c r="T1337" s="53">
        <f>IF(P1337="","",IF(H1337="USD",G1337,IF(R1337&gt;0,G1337/R1337,0)))</f>
        <v/>
      </c>
      <c r="U1337" s="53">
        <f>IF(P1337="","",IF(P1337="Gasto",S1337,IF(P1337="Reembolso",-S1337,0)))</f>
        <v/>
      </c>
      <c r="V1337" s="53">
        <f>IF(P1337="","",IF(P1337="Ingreso",S1337,0))</f>
        <v/>
      </c>
      <c r="W1337" s="53">
        <f>IF(P1337="","",IF(P1337="Resultado trading",S1337,0))</f>
        <v/>
      </c>
      <c r="X1337" s="52">
        <f>IF(OR(P1337="Gasto",P1337="Reembolso"),IF(M1337&lt;&gt;"",M1337,IFERROR(INDEX(catClasif,MATCH(D1337&amp;"|"&amp;E1337,catClave,0))&amp;"","Variable")),"")</f>
        <v/>
      </c>
      <c r="Y1337" s="52">
        <f>IF(P1337="","",IFERROR(INDEX(catGrupo,MATCH(D1337&amp;"|"&amp;E1337,catClave,0))&amp;"",""))</f>
        <v/>
      </c>
      <c r="Z1337" s="52">
        <f>IF(P1337="","",WEEKDAY(B1337,2))</f>
        <v/>
      </c>
      <c r="AA1337" s="52">
        <f>IF(P1337="","",IF(AND(P1337="Gasto",X1337="Variable",D1337&lt;&gt;catTrading,S1337&gt;0,S1337&lt;=Umbral),1,0))</f>
        <v/>
      </c>
      <c r="AB1337" s="52">
        <f>IF(OR(P1337="",Q1337=""),"",IFERROR(IF(INDEX(ctaVinc,MATCH(Q1337,ctaNombre,0))&amp;""&lt;&gt;"",INDEX(ctaVinc,MATCH(Q1337,ctaNombre,0))&amp;"",Q1337),Q1337))</f>
        <v/>
      </c>
      <c r="AC1337" s="52">
        <f>IF(OR(K1337="",AND(P1337&lt;&gt;"Transferencia",P1337&lt;&gt;"Pago tarjeta")),"",IFERROR(IF(INDEX(ctaVinc,MATCH(K1337,ctaNombre,0))&amp;""&lt;&gt;"",INDEX(ctaVinc,MATCH(K1337,ctaNombre,0))&amp;"",K1337),K1337))</f>
        <v/>
      </c>
      <c r="AD1337" s="52">
        <f>IF(AB1337="","",IFERROR(INDEX(ctaTipo,MATCH(AB1337,ctaNombre,0))&amp;"",""))</f>
        <v/>
      </c>
      <c r="AE1337" s="52">
        <f>IF(AC1337="","",IFERROR(INDEX(ctaTipo,MATCH(AC1337,ctaNombre,0))&amp;"",""))</f>
        <v/>
      </c>
      <c r="AF1337" s="53">
        <f>IF(OR(P1337="",AB1337=""),"",IF(OR(P1337="Gasto",P1337="Transferencia",P1337="Pago tarjeta"),-1,1)*IF(IFERROR(INDEX(ctaMoneda,MATCH(AB1337,ctaNombre,0))&amp;"","DOP")="USD",T1337,S1337))</f>
        <v/>
      </c>
      <c r="AG1337" s="53">
        <f>IF(AC1337="","",IF(IFERROR(INDEX(ctaMoneda,MATCH(AC1337,ctaNombre,0))&amp;"","DOP")="USD",T1337,S1337))</f>
        <v/>
      </c>
      <c r="AH1337" s="53">
        <f>IF(P1337="","",IF(AND(AD1337&lt;&gt;"",COUNTIFS(tcTipo,AD1337,tcLiq,"Sí")&gt;0),IF(OR(P1337="Gasto",P1337="Transferencia",P1337="Pago tarjeta"),-1,1)*S1337,0)+IF(AND(AE1337&lt;&gt;"",COUNTIFS(tcTipo,AE1337,tcLiq,"Sí")&gt;0),S1337,0))</f>
        <v/>
      </c>
      <c r="AI1337" s="52">
        <f>IF(OR(L1337="",P1337=""),"",IF(COUNTIFS(L$6:L1337,L1337,P$6:P1337,"?*")=1,MAX(AI$5:AI1336)+1,""))</f>
        <v/>
      </c>
    </row>
    <row r="1338">
      <c r="B1338" s="47" t="n"/>
      <c r="C1338" s="48" t="n"/>
      <c r="D1338" s="48" t="n"/>
      <c r="E1338" s="48" t="n"/>
      <c r="F1338" s="48" t="n"/>
      <c r="G1338" s="49" t="n"/>
      <c r="H1338" s="48" t="n"/>
      <c r="I1338" s="50" t="n"/>
      <c r="J1338" s="48" t="n"/>
      <c r="K1338" s="48" t="n"/>
      <c r="L1338" s="48" t="n"/>
      <c r="M1338" s="48" t="n"/>
      <c r="N1338" s="48" t="n"/>
      <c r="O1338" s="51">
        <f>IF(AND(B1338="",G1338="",C1338="",D1338="",J1338=""),"",IF(B1338="","⚠ Falta fecha",IF(G1338="","⚠ Falta monto",IF(Q1338="","⚠ Falta cuenta",IF(ISNA(MATCH(Q1338,ctaNombre,0)),"⚠ Cuenta no registrada",IF(AND(OR(P1338="Gasto",P1338="Reembolso"),D1338=""),"⚠ Falta categoría",IF(AND(D1338&lt;&gt;"",E1338&lt;&gt;"",ISNA(MATCH(D1338&amp;"|"&amp;E1338,catClave,0))),"⚠ Subcategoría no corresponde",IF(AND(OR(P1338="Transferencia",P1338="Pago tarjeta"),K1338=""),"⚠ Falta cuenta destino",IF(AND(K1338&lt;&gt;"",P1338&lt;&gt;"Transferencia",P1338&lt;&gt;"Pago tarjeta"),"⚠ Destino solo aplica a transferencias",IF(AND(K1338&lt;&gt;"",K1338=Q1338),"⚠ Origen igual a destino",IF(AND(K1338&lt;&gt;"",ISNA(MATCH(K1338,ctaNombre,0))),"⚠ Destino no registrado",IF(AND(P1338="Pago tarjeta",AE1338&lt;&gt;"Tarjeta de crédito"),"⚠ El destino debe ser tarjeta de crédito",IF(AND(P1338="Gasto",E1338="Depósitos y retiros"),"⚠ Usa tipo Transferencia",IF(AND(P1338="Resultado trading",AD1338&lt;&gt;"Cuenta de trading"),"⚠ Usa una cuenta de trading",IF(AND(G1338&lt;=0,P1338&lt;&gt;"Ajuste",P1338&lt;&gt;"Resultado trading"),"⚠ El monto debe ser positivo","✓")))))))))))))))</f>
        <v/>
      </c>
      <c r="P1338" s="52">
        <f>IF(OR(B1338="",G1338=""),"",IF(C1338="","Gasto",C1338))</f>
        <v/>
      </c>
      <c r="Q1338" s="52">
        <f>IF(P1338="","",IF(J1338&lt;&gt;"",J1338,CuentaPred&amp;""))</f>
        <v/>
      </c>
      <c r="R1338" s="52">
        <f>IF(P1338="","",IF(ISNUMBER(I1338),I1338,TasaUSD))</f>
        <v/>
      </c>
      <c r="S1338" s="53">
        <f>IF(P1338="","",IF(H1338="USD",G1338*R1338,G1338))</f>
        <v/>
      </c>
      <c r="T1338" s="53">
        <f>IF(P1338="","",IF(H1338="USD",G1338,IF(R1338&gt;0,G1338/R1338,0)))</f>
        <v/>
      </c>
      <c r="U1338" s="53">
        <f>IF(P1338="","",IF(P1338="Gasto",S1338,IF(P1338="Reembolso",-S1338,0)))</f>
        <v/>
      </c>
      <c r="V1338" s="53">
        <f>IF(P1338="","",IF(P1338="Ingreso",S1338,0))</f>
        <v/>
      </c>
      <c r="W1338" s="53">
        <f>IF(P1338="","",IF(P1338="Resultado trading",S1338,0))</f>
        <v/>
      </c>
      <c r="X1338" s="52">
        <f>IF(OR(P1338="Gasto",P1338="Reembolso"),IF(M1338&lt;&gt;"",M1338,IFERROR(INDEX(catClasif,MATCH(D1338&amp;"|"&amp;E1338,catClave,0))&amp;"","Variable")),"")</f>
        <v/>
      </c>
      <c r="Y1338" s="52">
        <f>IF(P1338="","",IFERROR(INDEX(catGrupo,MATCH(D1338&amp;"|"&amp;E1338,catClave,0))&amp;"",""))</f>
        <v/>
      </c>
      <c r="Z1338" s="52">
        <f>IF(P1338="","",WEEKDAY(B1338,2))</f>
        <v/>
      </c>
      <c r="AA1338" s="52">
        <f>IF(P1338="","",IF(AND(P1338="Gasto",X1338="Variable",D1338&lt;&gt;catTrading,S1338&gt;0,S1338&lt;=Umbral),1,0))</f>
        <v/>
      </c>
      <c r="AB1338" s="52">
        <f>IF(OR(P1338="",Q1338=""),"",IFERROR(IF(INDEX(ctaVinc,MATCH(Q1338,ctaNombre,0))&amp;""&lt;&gt;"",INDEX(ctaVinc,MATCH(Q1338,ctaNombre,0))&amp;"",Q1338),Q1338))</f>
        <v/>
      </c>
      <c r="AC1338" s="52">
        <f>IF(OR(K1338="",AND(P1338&lt;&gt;"Transferencia",P1338&lt;&gt;"Pago tarjeta")),"",IFERROR(IF(INDEX(ctaVinc,MATCH(K1338,ctaNombre,0))&amp;""&lt;&gt;"",INDEX(ctaVinc,MATCH(K1338,ctaNombre,0))&amp;"",K1338),K1338))</f>
        <v/>
      </c>
      <c r="AD1338" s="52">
        <f>IF(AB1338="","",IFERROR(INDEX(ctaTipo,MATCH(AB1338,ctaNombre,0))&amp;"",""))</f>
        <v/>
      </c>
      <c r="AE1338" s="52">
        <f>IF(AC1338="","",IFERROR(INDEX(ctaTipo,MATCH(AC1338,ctaNombre,0))&amp;"",""))</f>
        <v/>
      </c>
      <c r="AF1338" s="53">
        <f>IF(OR(P1338="",AB1338=""),"",IF(OR(P1338="Gasto",P1338="Transferencia",P1338="Pago tarjeta"),-1,1)*IF(IFERROR(INDEX(ctaMoneda,MATCH(AB1338,ctaNombre,0))&amp;"","DOP")="USD",T1338,S1338))</f>
        <v/>
      </c>
      <c r="AG1338" s="53">
        <f>IF(AC1338="","",IF(IFERROR(INDEX(ctaMoneda,MATCH(AC1338,ctaNombre,0))&amp;"","DOP")="USD",T1338,S1338))</f>
        <v/>
      </c>
      <c r="AH1338" s="53">
        <f>IF(P1338="","",IF(AND(AD1338&lt;&gt;"",COUNTIFS(tcTipo,AD1338,tcLiq,"Sí")&gt;0),IF(OR(P1338="Gasto",P1338="Transferencia",P1338="Pago tarjeta"),-1,1)*S1338,0)+IF(AND(AE1338&lt;&gt;"",COUNTIFS(tcTipo,AE1338,tcLiq,"Sí")&gt;0),S1338,0))</f>
        <v/>
      </c>
      <c r="AI1338" s="52">
        <f>IF(OR(L1338="",P1338=""),"",IF(COUNTIFS(L$6:L1338,L1338,P$6:P1338,"?*")=1,MAX(AI$5:AI1337)+1,""))</f>
        <v/>
      </c>
    </row>
    <row r="1339">
      <c r="B1339" s="47" t="n"/>
      <c r="C1339" s="48" t="n"/>
      <c r="D1339" s="48" t="n"/>
      <c r="E1339" s="48" t="n"/>
      <c r="F1339" s="48" t="n"/>
      <c r="G1339" s="49" t="n"/>
      <c r="H1339" s="48" t="n"/>
      <c r="I1339" s="50" t="n"/>
      <c r="J1339" s="48" t="n"/>
      <c r="K1339" s="48" t="n"/>
      <c r="L1339" s="48" t="n"/>
      <c r="M1339" s="48" t="n"/>
      <c r="N1339" s="48" t="n"/>
      <c r="O1339" s="51">
        <f>IF(AND(B1339="",G1339="",C1339="",D1339="",J1339=""),"",IF(B1339="","⚠ Falta fecha",IF(G1339="","⚠ Falta monto",IF(Q1339="","⚠ Falta cuenta",IF(ISNA(MATCH(Q1339,ctaNombre,0)),"⚠ Cuenta no registrada",IF(AND(OR(P1339="Gasto",P1339="Reembolso"),D1339=""),"⚠ Falta categoría",IF(AND(D1339&lt;&gt;"",E1339&lt;&gt;"",ISNA(MATCH(D1339&amp;"|"&amp;E1339,catClave,0))),"⚠ Subcategoría no corresponde",IF(AND(OR(P1339="Transferencia",P1339="Pago tarjeta"),K1339=""),"⚠ Falta cuenta destino",IF(AND(K1339&lt;&gt;"",P1339&lt;&gt;"Transferencia",P1339&lt;&gt;"Pago tarjeta"),"⚠ Destino solo aplica a transferencias",IF(AND(K1339&lt;&gt;"",K1339=Q1339),"⚠ Origen igual a destino",IF(AND(K1339&lt;&gt;"",ISNA(MATCH(K1339,ctaNombre,0))),"⚠ Destino no registrado",IF(AND(P1339="Pago tarjeta",AE1339&lt;&gt;"Tarjeta de crédito"),"⚠ El destino debe ser tarjeta de crédito",IF(AND(P1339="Gasto",E1339="Depósitos y retiros"),"⚠ Usa tipo Transferencia",IF(AND(P1339="Resultado trading",AD1339&lt;&gt;"Cuenta de trading"),"⚠ Usa una cuenta de trading",IF(AND(G1339&lt;=0,P1339&lt;&gt;"Ajuste",P1339&lt;&gt;"Resultado trading"),"⚠ El monto debe ser positivo","✓")))))))))))))))</f>
        <v/>
      </c>
      <c r="P1339" s="52">
        <f>IF(OR(B1339="",G1339=""),"",IF(C1339="","Gasto",C1339))</f>
        <v/>
      </c>
      <c r="Q1339" s="52">
        <f>IF(P1339="","",IF(J1339&lt;&gt;"",J1339,CuentaPred&amp;""))</f>
        <v/>
      </c>
      <c r="R1339" s="52">
        <f>IF(P1339="","",IF(ISNUMBER(I1339),I1339,TasaUSD))</f>
        <v/>
      </c>
      <c r="S1339" s="53">
        <f>IF(P1339="","",IF(H1339="USD",G1339*R1339,G1339))</f>
        <v/>
      </c>
      <c r="T1339" s="53">
        <f>IF(P1339="","",IF(H1339="USD",G1339,IF(R1339&gt;0,G1339/R1339,0)))</f>
        <v/>
      </c>
      <c r="U1339" s="53">
        <f>IF(P1339="","",IF(P1339="Gasto",S1339,IF(P1339="Reembolso",-S1339,0)))</f>
        <v/>
      </c>
      <c r="V1339" s="53">
        <f>IF(P1339="","",IF(P1339="Ingreso",S1339,0))</f>
        <v/>
      </c>
      <c r="W1339" s="53">
        <f>IF(P1339="","",IF(P1339="Resultado trading",S1339,0))</f>
        <v/>
      </c>
      <c r="X1339" s="52">
        <f>IF(OR(P1339="Gasto",P1339="Reembolso"),IF(M1339&lt;&gt;"",M1339,IFERROR(INDEX(catClasif,MATCH(D1339&amp;"|"&amp;E1339,catClave,0))&amp;"","Variable")),"")</f>
        <v/>
      </c>
      <c r="Y1339" s="52">
        <f>IF(P1339="","",IFERROR(INDEX(catGrupo,MATCH(D1339&amp;"|"&amp;E1339,catClave,0))&amp;"",""))</f>
        <v/>
      </c>
      <c r="Z1339" s="52">
        <f>IF(P1339="","",WEEKDAY(B1339,2))</f>
        <v/>
      </c>
      <c r="AA1339" s="52">
        <f>IF(P1339="","",IF(AND(P1339="Gasto",X1339="Variable",D1339&lt;&gt;catTrading,S1339&gt;0,S1339&lt;=Umbral),1,0))</f>
        <v/>
      </c>
      <c r="AB1339" s="52">
        <f>IF(OR(P1339="",Q1339=""),"",IFERROR(IF(INDEX(ctaVinc,MATCH(Q1339,ctaNombre,0))&amp;""&lt;&gt;"",INDEX(ctaVinc,MATCH(Q1339,ctaNombre,0))&amp;"",Q1339),Q1339))</f>
        <v/>
      </c>
      <c r="AC1339" s="52">
        <f>IF(OR(K1339="",AND(P1339&lt;&gt;"Transferencia",P1339&lt;&gt;"Pago tarjeta")),"",IFERROR(IF(INDEX(ctaVinc,MATCH(K1339,ctaNombre,0))&amp;""&lt;&gt;"",INDEX(ctaVinc,MATCH(K1339,ctaNombre,0))&amp;"",K1339),K1339))</f>
        <v/>
      </c>
      <c r="AD1339" s="52">
        <f>IF(AB1339="","",IFERROR(INDEX(ctaTipo,MATCH(AB1339,ctaNombre,0))&amp;"",""))</f>
        <v/>
      </c>
      <c r="AE1339" s="52">
        <f>IF(AC1339="","",IFERROR(INDEX(ctaTipo,MATCH(AC1339,ctaNombre,0))&amp;"",""))</f>
        <v/>
      </c>
      <c r="AF1339" s="53">
        <f>IF(OR(P1339="",AB1339=""),"",IF(OR(P1339="Gasto",P1339="Transferencia",P1339="Pago tarjeta"),-1,1)*IF(IFERROR(INDEX(ctaMoneda,MATCH(AB1339,ctaNombre,0))&amp;"","DOP")="USD",T1339,S1339))</f>
        <v/>
      </c>
      <c r="AG1339" s="53">
        <f>IF(AC1339="","",IF(IFERROR(INDEX(ctaMoneda,MATCH(AC1339,ctaNombre,0))&amp;"","DOP")="USD",T1339,S1339))</f>
        <v/>
      </c>
      <c r="AH1339" s="53">
        <f>IF(P1339="","",IF(AND(AD1339&lt;&gt;"",COUNTIFS(tcTipo,AD1339,tcLiq,"Sí")&gt;0),IF(OR(P1339="Gasto",P1339="Transferencia",P1339="Pago tarjeta"),-1,1)*S1339,0)+IF(AND(AE1339&lt;&gt;"",COUNTIFS(tcTipo,AE1339,tcLiq,"Sí")&gt;0),S1339,0))</f>
        <v/>
      </c>
      <c r="AI1339" s="52">
        <f>IF(OR(L1339="",P1339=""),"",IF(COUNTIFS(L$6:L1339,L1339,P$6:P1339,"?*")=1,MAX(AI$5:AI1338)+1,""))</f>
        <v/>
      </c>
    </row>
    <row r="1340">
      <c r="B1340" s="47" t="n"/>
      <c r="C1340" s="48" t="n"/>
      <c r="D1340" s="48" t="n"/>
      <c r="E1340" s="48" t="n"/>
      <c r="F1340" s="48" t="n"/>
      <c r="G1340" s="49" t="n"/>
      <c r="H1340" s="48" t="n"/>
      <c r="I1340" s="50" t="n"/>
      <c r="J1340" s="48" t="n"/>
      <c r="K1340" s="48" t="n"/>
      <c r="L1340" s="48" t="n"/>
      <c r="M1340" s="48" t="n"/>
      <c r="N1340" s="48" t="n"/>
      <c r="O1340" s="51">
        <f>IF(AND(B1340="",G1340="",C1340="",D1340="",J1340=""),"",IF(B1340="","⚠ Falta fecha",IF(G1340="","⚠ Falta monto",IF(Q1340="","⚠ Falta cuenta",IF(ISNA(MATCH(Q1340,ctaNombre,0)),"⚠ Cuenta no registrada",IF(AND(OR(P1340="Gasto",P1340="Reembolso"),D1340=""),"⚠ Falta categoría",IF(AND(D1340&lt;&gt;"",E1340&lt;&gt;"",ISNA(MATCH(D1340&amp;"|"&amp;E1340,catClave,0))),"⚠ Subcategoría no corresponde",IF(AND(OR(P1340="Transferencia",P1340="Pago tarjeta"),K1340=""),"⚠ Falta cuenta destino",IF(AND(K1340&lt;&gt;"",P1340&lt;&gt;"Transferencia",P1340&lt;&gt;"Pago tarjeta"),"⚠ Destino solo aplica a transferencias",IF(AND(K1340&lt;&gt;"",K1340=Q1340),"⚠ Origen igual a destino",IF(AND(K1340&lt;&gt;"",ISNA(MATCH(K1340,ctaNombre,0))),"⚠ Destino no registrado",IF(AND(P1340="Pago tarjeta",AE1340&lt;&gt;"Tarjeta de crédito"),"⚠ El destino debe ser tarjeta de crédito",IF(AND(P1340="Gasto",E1340="Depósitos y retiros"),"⚠ Usa tipo Transferencia",IF(AND(P1340="Resultado trading",AD1340&lt;&gt;"Cuenta de trading"),"⚠ Usa una cuenta de trading",IF(AND(G1340&lt;=0,P1340&lt;&gt;"Ajuste",P1340&lt;&gt;"Resultado trading"),"⚠ El monto debe ser positivo","✓")))))))))))))))</f>
        <v/>
      </c>
      <c r="P1340" s="52">
        <f>IF(OR(B1340="",G1340=""),"",IF(C1340="","Gasto",C1340))</f>
        <v/>
      </c>
      <c r="Q1340" s="52">
        <f>IF(P1340="","",IF(J1340&lt;&gt;"",J1340,CuentaPred&amp;""))</f>
        <v/>
      </c>
      <c r="R1340" s="52">
        <f>IF(P1340="","",IF(ISNUMBER(I1340),I1340,TasaUSD))</f>
        <v/>
      </c>
      <c r="S1340" s="53">
        <f>IF(P1340="","",IF(H1340="USD",G1340*R1340,G1340))</f>
        <v/>
      </c>
      <c r="T1340" s="53">
        <f>IF(P1340="","",IF(H1340="USD",G1340,IF(R1340&gt;0,G1340/R1340,0)))</f>
        <v/>
      </c>
      <c r="U1340" s="53">
        <f>IF(P1340="","",IF(P1340="Gasto",S1340,IF(P1340="Reembolso",-S1340,0)))</f>
        <v/>
      </c>
      <c r="V1340" s="53">
        <f>IF(P1340="","",IF(P1340="Ingreso",S1340,0))</f>
        <v/>
      </c>
      <c r="W1340" s="53">
        <f>IF(P1340="","",IF(P1340="Resultado trading",S1340,0))</f>
        <v/>
      </c>
      <c r="X1340" s="52">
        <f>IF(OR(P1340="Gasto",P1340="Reembolso"),IF(M1340&lt;&gt;"",M1340,IFERROR(INDEX(catClasif,MATCH(D1340&amp;"|"&amp;E1340,catClave,0))&amp;"","Variable")),"")</f>
        <v/>
      </c>
      <c r="Y1340" s="52">
        <f>IF(P1340="","",IFERROR(INDEX(catGrupo,MATCH(D1340&amp;"|"&amp;E1340,catClave,0))&amp;"",""))</f>
        <v/>
      </c>
      <c r="Z1340" s="52">
        <f>IF(P1340="","",WEEKDAY(B1340,2))</f>
        <v/>
      </c>
      <c r="AA1340" s="52">
        <f>IF(P1340="","",IF(AND(P1340="Gasto",X1340="Variable",D1340&lt;&gt;catTrading,S1340&gt;0,S1340&lt;=Umbral),1,0))</f>
        <v/>
      </c>
      <c r="AB1340" s="52">
        <f>IF(OR(P1340="",Q1340=""),"",IFERROR(IF(INDEX(ctaVinc,MATCH(Q1340,ctaNombre,0))&amp;""&lt;&gt;"",INDEX(ctaVinc,MATCH(Q1340,ctaNombre,0))&amp;"",Q1340),Q1340))</f>
        <v/>
      </c>
      <c r="AC1340" s="52">
        <f>IF(OR(K1340="",AND(P1340&lt;&gt;"Transferencia",P1340&lt;&gt;"Pago tarjeta")),"",IFERROR(IF(INDEX(ctaVinc,MATCH(K1340,ctaNombre,0))&amp;""&lt;&gt;"",INDEX(ctaVinc,MATCH(K1340,ctaNombre,0))&amp;"",K1340),K1340))</f>
        <v/>
      </c>
      <c r="AD1340" s="52">
        <f>IF(AB1340="","",IFERROR(INDEX(ctaTipo,MATCH(AB1340,ctaNombre,0))&amp;"",""))</f>
        <v/>
      </c>
      <c r="AE1340" s="52">
        <f>IF(AC1340="","",IFERROR(INDEX(ctaTipo,MATCH(AC1340,ctaNombre,0))&amp;"",""))</f>
        <v/>
      </c>
      <c r="AF1340" s="53">
        <f>IF(OR(P1340="",AB1340=""),"",IF(OR(P1340="Gasto",P1340="Transferencia",P1340="Pago tarjeta"),-1,1)*IF(IFERROR(INDEX(ctaMoneda,MATCH(AB1340,ctaNombre,0))&amp;"","DOP")="USD",T1340,S1340))</f>
        <v/>
      </c>
      <c r="AG1340" s="53">
        <f>IF(AC1340="","",IF(IFERROR(INDEX(ctaMoneda,MATCH(AC1340,ctaNombre,0))&amp;"","DOP")="USD",T1340,S1340))</f>
        <v/>
      </c>
      <c r="AH1340" s="53">
        <f>IF(P1340="","",IF(AND(AD1340&lt;&gt;"",COUNTIFS(tcTipo,AD1340,tcLiq,"Sí")&gt;0),IF(OR(P1340="Gasto",P1340="Transferencia",P1340="Pago tarjeta"),-1,1)*S1340,0)+IF(AND(AE1340&lt;&gt;"",COUNTIFS(tcTipo,AE1340,tcLiq,"Sí")&gt;0),S1340,0))</f>
        <v/>
      </c>
      <c r="AI1340" s="52">
        <f>IF(OR(L1340="",P1340=""),"",IF(COUNTIFS(L$6:L1340,L1340,P$6:P1340,"?*")=1,MAX(AI$5:AI1339)+1,""))</f>
        <v/>
      </c>
    </row>
    <row r="1341">
      <c r="B1341" s="47" t="n"/>
      <c r="C1341" s="48" t="n"/>
      <c r="D1341" s="48" t="n"/>
      <c r="E1341" s="48" t="n"/>
      <c r="F1341" s="48" t="n"/>
      <c r="G1341" s="49" t="n"/>
      <c r="H1341" s="48" t="n"/>
      <c r="I1341" s="50" t="n"/>
      <c r="J1341" s="48" t="n"/>
      <c r="K1341" s="48" t="n"/>
      <c r="L1341" s="48" t="n"/>
      <c r="M1341" s="48" t="n"/>
      <c r="N1341" s="48" t="n"/>
      <c r="O1341" s="51">
        <f>IF(AND(B1341="",G1341="",C1341="",D1341="",J1341=""),"",IF(B1341="","⚠ Falta fecha",IF(G1341="","⚠ Falta monto",IF(Q1341="","⚠ Falta cuenta",IF(ISNA(MATCH(Q1341,ctaNombre,0)),"⚠ Cuenta no registrada",IF(AND(OR(P1341="Gasto",P1341="Reembolso"),D1341=""),"⚠ Falta categoría",IF(AND(D1341&lt;&gt;"",E1341&lt;&gt;"",ISNA(MATCH(D1341&amp;"|"&amp;E1341,catClave,0))),"⚠ Subcategoría no corresponde",IF(AND(OR(P1341="Transferencia",P1341="Pago tarjeta"),K1341=""),"⚠ Falta cuenta destino",IF(AND(K1341&lt;&gt;"",P1341&lt;&gt;"Transferencia",P1341&lt;&gt;"Pago tarjeta"),"⚠ Destino solo aplica a transferencias",IF(AND(K1341&lt;&gt;"",K1341=Q1341),"⚠ Origen igual a destino",IF(AND(K1341&lt;&gt;"",ISNA(MATCH(K1341,ctaNombre,0))),"⚠ Destino no registrado",IF(AND(P1341="Pago tarjeta",AE1341&lt;&gt;"Tarjeta de crédito"),"⚠ El destino debe ser tarjeta de crédito",IF(AND(P1341="Gasto",E1341="Depósitos y retiros"),"⚠ Usa tipo Transferencia",IF(AND(P1341="Resultado trading",AD1341&lt;&gt;"Cuenta de trading"),"⚠ Usa una cuenta de trading",IF(AND(G1341&lt;=0,P1341&lt;&gt;"Ajuste",P1341&lt;&gt;"Resultado trading"),"⚠ El monto debe ser positivo","✓")))))))))))))))</f>
        <v/>
      </c>
      <c r="P1341" s="52">
        <f>IF(OR(B1341="",G1341=""),"",IF(C1341="","Gasto",C1341))</f>
        <v/>
      </c>
      <c r="Q1341" s="52">
        <f>IF(P1341="","",IF(J1341&lt;&gt;"",J1341,CuentaPred&amp;""))</f>
        <v/>
      </c>
      <c r="R1341" s="52">
        <f>IF(P1341="","",IF(ISNUMBER(I1341),I1341,TasaUSD))</f>
        <v/>
      </c>
      <c r="S1341" s="53">
        <f>IF(P1341="","",IF(H1341="USD",G1341*R1341,G1341))</f>
        <v/>
      </c>
      <c r="T1341" s="53">
        <f>IF(P1341="","",IF(H1341="USD",G1341,IF(R1341&gt;0,G1341/R1341,0)))</f>
        <v/>
      </c>
      <c r="U1341" s="53">
        <f>IF(P1341="","",IF(P1341="Gasto",S1341,IF(P1341="Reembolso",-S1341,0)))</f>
        <v/>
      </c>
      <c r="V1341" s="53">
        <f>IF(P1341="","",IF(P1341="Ingreso",S1341,0))</f>
        <v/>
      </c>
      <c r="W1341" s="53">
        <f>IF(P1341="","",IF(P1341="Resultado trading",S1341,0))</f>
        <v/>
      </c>
      <c r="X1341" s="52">
        <f>IF(OR(P1341="Gasto",P1341="Reembolso"),IF(M1341&lt;&gt;"",M1341,IFERROR(INDEX(catClasif,MATCH(D1341&amp;"|"&amp;E1341,catClave,0))&amp;"","Variable")),"")</f>
        <v/>
      </c>
      <c r="Y1341" s="52">
        <f>IF(P1341="","",IFERROR(INDEX(catGrupo,MATCH(D1341&amp;"|"&amp;E1341,catClave,0))&amp;"",""))</f>
        <v/>
      </c>
      <c r="Z1341" s="52">
        <f>IF(P1341="","",WEEKDAY(B1341,2))</f>
        <v/>
      </c>
      <c r="AA1341" s="52">
        <f>IF(P1341="","",IF(AND(P1341="Gasto",X1341="Variable",D1341&lt;&gt;catTrading,S1341&gt;0,S1341&lt;=Umbral),1,0))</f>
        <v/>
      </c>
      <c r="AB1341" s="52">
        <f>IF(OR(P1341="",Q1341=""),"",IFERROR(IF(INDEX(ctaVinc,MATCH(Q1341,ctaNombre,0))&amp;""&lt;&gt;"",INDEX(ctaVinc,MATCH(Q1341,ctaNombre,0))&amp;"",Q1341),Q1341))</f>
        <v/>
      </c>
      <c r="AC1341" s="52">
        <f>IF(OR(K1341="",AND(P1341&lt;&gt;"Transferencia",P1341&lt;&gt;"Pago tarjeta")),"",IFERROR(IF(INDEX(ctaVinc,MATCH(K1341,ctaNombre,0))&amp;""&lt;&gt;"",INDEX(ctaVinc,MATCH(K1341,ctaNombre,0))&amp;"",K1341),K1341))</f>
        <v/>
      </c>
      <c r="AD1341" s="52">
        <f>IF(AB1341="","",IFERROR(INDEX(ctaTipo,MATCH(AB1341,ctaNombre,0))&amp;"",""))</f>
        <v/>
      </c>
      <c r="AE1341" s="52">
        <f>IF(AC1341="","",IFERROR(INDEX(ctaTipo,MATCH(AC1341,ctaNombre,0))&amp;"",""))</f>
        <v/>
      </c>
      <c r="AF1341" s="53">
        <f>IF(OR(P1341="",AB1341=""),"",IF(OR(P1341="Gasto",P1341="Transferencia",P1341="Pago tarjeta"),-1,1)*IF(IFERROR(INDEX(ctaMoneda,MATCH(AB1341,ctaNombre,0))&amp;"","DOP")="USD",T1341,S1341))</f>
        <v/>
      </c>
      <c r="AG1341" s="53">
        <f>IF(AC1341="","",IF(IFERROR(INDEX(ctaMoneda,MATCH(AC1341,ctaNombre,0))&amp;"","DOP")="USD",T1341,S1341))</f>
        <v/>
      </c>
      <c r="AH1341" s="53">
        <f>IF(P1341="","",IF(AND(AD1341&lt;&gt;"",COUNTIFS(tcTipo,AD1341,tcLiq,"Sí")&gt;0),IF(OR(P1341="Gasto",P1341="Transferencia",P1341="Pago tarjeta"),-1,1)*S1341,0)+IF(AND(AE1341&lt;&gt;"",COUNTIFS(tcTipo,AE1341,tcLiq,"Sí")&gt;0),S1341,0))</f>
        <v/>
      </c>
      <c r="AI1341" s="52">
        <f>IF(OR(L1341="",P1341=""),"",IF(COUNTIFS(L$6:L1341,L1341,P$6:P1341,"?*")=1,MAX(AI$5:AI1340)+1,""))</f>
        <v/>
      </c>
    </row>
    <row r="1342">
      <c r="B1342" s="47" t="n"/>
      <c r="C1342" s="48" t="n"/>
      <c r="D1342" s="48" t="n"/>
      <c r="E1342" s="48" t="n"/>
      <c r="F1342" s="48" t="n"/>
      <c r="G1342" s="49" t="n"/>
      <c r="H1342" s="48" t="n"/>
      <c r="I1342" s="50" t="n"/>
      <c r="J1342" s="48" t="n"/>
      <c r="K1342" s="48" t="n"/>
      <c r="L1342" s="48" t="n"/>
      <c r="M1342" s="48" t="n"/>
      <c r="N1342" s="48" t="n"/>
      <c r="O1342" s="51">
        <f>IF(AND(B1342="",G1342="",C1342="",D1342="",J1342=""),"",IF(B1342="","⚠ Falta fecha",IF(G1342="","⚠ Falta monto",IF(Q1342="","⚠ Falta cuenta",IF(ISNA(MATCH(Q1342,ctaNombre,0)),"⚠ Cuenta no registrada",IF(AND(OR(P1342="Gasto",P1342="Reembolso"),D1342=""),"⚠ Falta categoría",IF(AND(D1342&lt;&gt;"",E1342&lt;&gt;"",ISNA(MATCH(D1342&amp;"|"&amp;E1342,catClave,0))),"⚠ Subcategoría no corresponde",IF(AND(OR(P1342="Transferencia",P1342="Pago tarjeta"),K1342=""),"⚠ Falta cuenta destino",IF(AND(K1342&lt;&gt;"",P1342&lt;&gt;"Transferencia",P1342&lt;&gt;"Pago tarjeta"),"⚠ Destino solo aplica a transferencias",IF(AND(K1342&lt;&gt;"",K1342=Q1342),"⚠ Origen igual a destino",IF(AND(K1342&lt;&gt;"",ISNA(MATCH(K1342,ctaNombre,0))),"⚠ Destino no registrado",IF(AND(P1342="Pago tarjeta",AE1342&lt;&gt;"Tarjeta de crédito"),"⚠ El destino debe ser tarjeta de crédito",IF(AND(P1342="Gasto",E1342="Depósitos y retiros"),"⚠ Usa tipo Transferencia",IF(AND(P1342="Resultado trading",AD1342&lt;&gt;"Cuenta de trading"),"⚠ Usa una cuenta de trading",IF(AND(G1342&lt;=0,P1342&lt;&gt;"Ajuste",P1342&lt;&gt;"Resultado trading"),"⚠ El monto debe ser positivo","✓")))))))))))))))</f>
        <v/>
      </c>
      <c r="P1342" s="52">
        <f>IF(OR(B1342="",G1342=""),"",IF(C1342="","Gasto",C1342))</f>
        <v/>
      </c>
      <c r="Q1342" s="52">
        <f>IF(P1342="","",IF(J1342&lt;&gt;"",J1342,CuentaPred&amp;""))</f>
        <v/>
      </c>
      <c r="R1342" s="52">
        <f>IF(P1342="","",IF(ISNUMBER(I1342),I1342,TasaUSD))</f>
        <v/>
      </c>
      <c r="S1342" s="53">
        <f>IF(P1342="","",IF(H1342="USD",G1342*R1342,G1342))</f>
        <v/>
      </c>
      <c r="T1342" s="53">
        <f>IF(P1342="","",IF(H1342="USD",G1342,IF(R1342&gt;0,G1342/R1342,0)))</f>
        <v/>
      </c>
      <c r="U1342" s="53">
        <f>IF(P1342="","",IF(P1342="Gasto",S1342,IF(P1342="Reembolso",-S1342,0)))</f>
        <v/>
      </c>
      <c r="V1342" s="53">
        <f>IF(P1342="","",IF(P1342="Ingreso",S1342,0))</f>
        <v/>
      </c>
      <c r="W1342" s="53">
        <f>IF(P1342="","",IF(P1342="Resultado trading",S1342,0))</f>
        <v/>
      </c>
      <c r="X1342" s="52">
        <f>IF(OR(P1342="Gasto",P1342="Reembolso"),IF(M1342&lt;&gt;"",M1342,IFERROR(INDEX(catClasif,MATCH(D1342&amp;"|"&amp;E1342,catClave,0))&amp;"","Variable")),"")</f>
        <v/>
      </c>
      <c r="Y1342" s="52">
        <f>IF(P1342="","",IFERROR(INDEX(catGrupo,MATCH(D1342&amp;"|"&amp;E1342,catClave,0))&amp;"",""))</f>
        <v/>
      </c>
      <c r="Z1342" s="52">
        <f>IF(P1342="","",WEEKDAY(B1342,2))</f>
        <v/>
      </c>
      <c r="AA1342" s="52">
        <f>IF(P1342="","",IF(AND(P1342="Gasto",X1342="Variable",D1342&lt;&gt;catTrading,S1342&gt;0,S1342&lt;=Umbral),1,0))</f>
        <v/>
      </c>
      <c r="AB1342" s="52">
        <f>IF(OR(P1342="",Q1342=""),"",IFERROR(IF(INDEX(ctaVinc,MATCH(Q1342,ctaNombre,0))&amp;""&lt;&gt;"",INDEX(ctaVinc,MATCH(Q1342,ctaNombre,0))&amp;"",Q1342),Q1342))</f>
        <v/>
      </c>
      <c r="AC1342" s="52">
        <f>IF(OR(K1342="",AND(P1342&lt;&gt;"Transferencia",P1342&lt;&gt;"Pago tarjeta")),"",IFERROR(IF(INDEX(ctaVinc,MATCH(K1342,ctaNombre,0))&amp;""&lt;&gt;"",INDEX(ctaVinc,MATCH(K1342,ctaNombre,0))&amp;"",K1342),K1342))</f>
        <v/>
      </c>
      <c r="AD1342" s="52">
        <f>IF(AB1342="","",IFERROR(INDEX(ctaTipo,MATCH(AB1342,ctaNombre,0))&amp;"",""))</f>
        <v/>
      </c>
      <c r="AE1342" s="52">
        <f>IF(AC1342="","",IFERROR(INDEX(ctaTipo,MATCH(AC1342,ctaNombre,0))&amp;"",""))</f>
        <v/>
      </c>
      <c r="AF1342" s="53">
        <f>IF(OR(P1342="",AB1342=""),"",IF(OR(P1342="Gasto",P1342="Transferencia",P1342="Pago tarjeta"),-1,1)*IF(IFERROR(INDEX(ctaMoneda,MATCH(AB1342,ctaNombre,0))&amp;"","DOP")="USD",T1342,S1342))</f>
        <v/>
      </c>
      <c r="AG1342" s="53">
        <f>IF(AC1342="","",IF(IFERROR(INDEX(ctaMoneda,MATCH(AC1342,ctaNombre,0))&amp;"","DOP")="USD",T1342,S1342))</f>
        <v/>
      </c>
      <c r="AH1342" s="53">
        <f>IF(P1342="","",IF(AND(AD1342&lt;&gt;"",COUNTIFS(tcTipo,AD1342,tcLiq,"Sí")&gt;0),IF(OR(P1342="Gasto",P1342="Transferencia",P1342="Pago tarjeta"),-1,1)*S1342,0)+IF(AND(AE1342&lt;&gt;"",COUNTIFS(tcTipo,AE1342,tcLiq,"Sí")&gt;0),S1342,0))</f>
        <v/>
      </c>
      <c r="AI1342" s="52">
        <f>IF(OR(L1342="",P1342=""),"",IF(COUNTIFS(L$6:L1342,L1342,P$6:P1342,"?*")=1,MAX(AI$5:AI1341)+1,""))</f>
        <v/>
      </c>
    </row>
    <row r="1343">
      <c r="B1343" s="47" t="n"/>
      <c r="C1343" s="48" t="n"/>
      <c r="D1343" s="48" t="n"/>
      <c r="E1343" s="48" t="n"/>
      <c r="F1343" s="48" t="n"/>
      <c r="G1343" s="49" t="n"/>
      <c r="H1343" s="48" t="n"/>
      <c r="I1343" s="50" t="n"/>
      <c r="J1343" s="48" t="n"/>
      <c r="K1343" s="48" t="n"/>
      <c r="L1343" s="48" t="n"/>
      <c r="M1343" s="48" t="n"/>
      <c r="N1343" s="48" t="n"/>
      <c r="O1343" s="51">
        <f>IF(AND(B1343="",G1343="",C1343="",D1343="",J1343=""),"",IF(B1343="","⚠ Falta fecha",IF(G1343="","⚠ Falta monto",IF(Q1343="","⚠ Falta cuenta",IF(ISNA(MATCH(Q1343,ctaNombre,0)),"⚠ Cuenta no registrada",IF(AND(OR(P1343="Gasto",P1343="Reembolso"),D1343=""),"⚠ Falta categoría",IF(AND(D1343&lt;&gt;"",E1343&lt;&gt;"",ISNA(MATCH(D1343&amp;"|"&amp;E1343,catClave,0))),"⚠ Subcategoría no corresponde",IF(AND(OR(P1343="Transferencia",P1343="Pago tarjeta"),K1343=""),"⚠ Falta cuenta destino",IF(AND(K1343&lt;&gt;"",P1343&lt;&gt;"Transferencia",P1343&lt;&gt;"Pago tarjeta"),"⚠ Destino solo aplica a transferencias",IF(AND(K1343&lt;&gt;"",K1343=Q1343),"⚠ Origen igual a destino",IF(AND(K1343&lt;&gt;"",ISNA(MATCH(K1343,ctaNombre,0))),"⚠ Destino no registrado",IF(AND(P1343="Pago tarjeta",AE1343&lt;&gt;"Tarjeta de crédito"),"⚠ El destino debe ser tarjeta de crédito",IF(AND(P1343="Gasto",E1343="Depósitos y retiros"),"⚠ Usa tipo Transferencia",IF(AND(P1343="Resultado trading",AD1343&lt;&gt;"Cuenta de trading"),"⚠ Usa una cuenta de trading",IF(AND(G1343&lt;=0,P1343&lt;&gt;"Ajuste",P1343&lt;&gt;"Resultado trading"),"⚠ El monto debe ser positivo","✓")))))))))))))))</f>
        <v/>
      </c>
      <c r="P1343" s="52">
        <f>IF(OR(B1343="",G1343=""),"",IF(C1343="","Gasto",C1343))</f>
        <v/>
      </c>
      <c r="Q1343" s="52">
        <f>IF(P1343="","",IF(J1343&lt;&gt;"",J1343,CuentaPred&amp;""))</f>
        <v/>
      </c>
      <c r="R1343" s="52">
        <f>IF(P1343="","",IF(ISNUMBER(I1343),I1343,TasaUSD))</f>
        <v/>
      </c>
      <c r="S1343" s="53">
        <f>IF(P1343="","",IF(H1343="USD",G1343*R1343,G1343))</f>
        <v/>
      </c>
      <c r="T1343" s="53">
        <f>IF(P1343="","",IF(H1343="USD",G1343,IF(R1343&gt;0,G1343/R1343,0)))</f>
        <v/>
      </c>
      <c r="U1343" s="53">
        <f>IF(P1343="","",IF(P1343="Gasto",S1343,IF(P1343="Reembolso",-S1343,0)))</f>
        <v/>
      </c>
      <c r="V1343" s="53">
        <f>IF(P1343="","",IF(P1343="Ingreso",S1343,0))</f>
        <v/>
      </c>
      <c r="W1343" s="53">
        <f>IF(P1343="","",IF(P1343="Resultado trading",S1343,0))</f>
        <v/>
      </c>
      <c r="X1343" s="52">
        <f>IF(OR(P1343="Gasto",P1343="Reembolso"),IF(M1343&lt;&gt;"",M1343,IFERROR(INDEX(catClasif,MATCH(D1343&amp;"|"&amp;E1343,catClave,0))&amp;"","Variable")),"")</f>
        <v/>
      </c>
      <c r="Y1343" s="52">
        <f>IF(P1343="","",IFERROR(INDEX(catGrupo,MATCH(D1343&amp;"|"&amp;E1343,catClave,0))&amp;"",""))</f>
        <v/>
      </c>
      <c r="Z1343" s="52">
        <f>IF(P1343="","",WEEKDAY(B1343,2))</f>
        <v/>
      </c>
      <c r="AA1343" s="52">
        <f>IF(P1343="","",IF(AND(P1343="Gasto",X1343="Variable",D1343&lt;&gt;catTrading,S1343&gt;0,S1343&lt;=Umbral),1,0))</f>
        <v/>
      </c>
      <c r="AB1343" s="52">
        <f>IF(OR(P1343="",Q1343=""),"",IFERROR(IF(INDEX(ctaVinc,MATCH(Q1343,ctaNombre,0))&amp;""&lt;&gt;"",INDEX(ctaVinc,MATCH(Q1343,ctaNombre,0))&amp;"",Q1343),Q1343))</f>
        <v/>
      </c>
      <c r="AC1343" s="52">
        <f>IF(OR(K1343="",AND(P1343&lt;&gt;"Transferencia",P1343&lt;&gt;"Pago tarjeta")),"",IFERROR(IF(INDEX(ctaVinc,MATCH(K1343,ctaNombre,0))&amp;""&lt;&gt;"",INDEX(ctaVinc,MATCH(K1343,ctaNombre,0))&amp;"",K1343),K1343))</f>
        <v/>
      </c>
      <c r="AD1343" s="52">
        <f>IF(AB1343="","",IFERROR(INDEX(ctaTipo,MATCH(AB1343,ctaNombre,0))&amp;"",""))</f>
        <v/>
      </c>
      <c r="AE1343" s="52">
        <f>IF(AC1343="","",IFERROR(INDEX(ctaTipo,MATCH(AC1343,ctaNombre,0))&amp;"",""))</f>
        <v/>
      </c>
      <c r="AF1343" s="53">
        <f>IF(OR(P1343="",AB1343=""),"",IF(OR(P1343="Gasto",P1343="Transferencia",P1343="Pago tarjeta"),-1,1)*IF(IFERROR(INDEX(ctaMoneda,MATCH(AB1343,ctaNombre,0))&amp;"","DOP")="USD",T1343,S1343))</f>
        <v/>
      </c>
      <c r="AG1343" s="53">
        <f>IF(AC1343="","",IF(IFERROR(INDEX(ctaMoneda,MATCH(AC1343,ctaNombre,0))&amp;"","DOP")="USD",T1343,S1343))</f>
        <v/>
      </c>
      <c r="AH1343" s="53">
        <f>IF(P1343="","",IF(AND(AD1343&lt;&gt;"",COUNTIFS(tcTipo,AD1343,tcLiq,"Sí")&gt;0),IF(OR(P1343="Gasto",P1343="Transferencia",P1343="Pago tarjeta"),-1,1)*S1343,0)+IF(AND(AE1343&lt;&gt;"",COUNTIFS(tcTipo,AE1343,tcLiq,"Sí")&gt;0),S1343,0))</f>
        <v/>
      </c>
      <c r="AI1343" s="52">
        <f>IF(OR(L1343="",P1343=""),"",IF(COUNTIFS(L$6:L1343,L1343,P$6:P1343,"?*")=1,MAX(AI$5:AI1342)+1,""))</f>
        <v/>
      </c>
    </row>
    <row r="1344">
      <c r="B1344" s="47" t="n"/>
      <c r="C1344" s="48" t="n"/>
      <c r="D1344" s="48" t="n"/>
      <c r="E1344" s="48" t="n"/>
      <c r="F1344" s="48" t="n"/>
      <c r="G1344" s="49" t="n"/>
      <c r="H1344" s="48" t="n"/>
      <c r="I1344" s="50" t="n"/>
      <c r="J1344" s="48" t="n"/>
      <c r="K1344" s="48" t="n"/>
      <c r="L1344" s="48" t="n"/>
      <c r="M1344" s="48" t="n"/>
      <c r="N1344" s="48" t="n"/>
      <c r="O1344" s="51">
        <f>IF(AND(B1344="",G1344="",C1344="",D1344="",J1344=""),"",IF(B1344="","⚠ Falta fecha",IF(G1344="","⚠ Falta monto",IF(Q1344="","⚠ Falta cuenta",IF(ISNA(MATCH(Q1344,ctaNombre,0)),"⚠ Cuenta no registrada",IF(AND(OR(P1344="Gasto",P1344="Reembolso"),D1344=""),"⚠ Falta categoría",IF(AND(D1344&lt;&gt;"",E1344&lt;&gt;"",ISNA(MATCH(D1344&amp;"|"&amp;E1344,catClave,0))),"⚠ Subcategoría no corresponde",IF(AND(OR(P1344="Transferencia",P1344="Pago tarjeta"),K1344=""),"⚠ Falta cuenta destino",IF(AND(K1344&lt;&gt;"",P1344&lt;&gt;"Transferencia",P1344&lt;&gt;"Pago tarjeta"),"⚠ Destino solo aplica a transferencias",IF(AND(K1344&lt;&gt;"",K1344=Q1344),"⚠ Origen igual a destino",IF(AND(K1344&lt;&gt;"",ISNA(MATCH(K1344,ctaNombre,0))),"⚠ Destino no registrado",IF(AND(P1344="Pago tarjeta",AE1344&lt;&gt;"Tarjeta de crédito"),"⚠ El destino debe ser tarjeta de crédito",IF(AND(P1344="Gasto",E1344="Depósitos y retiros"),"⚠ Usa tipo Transferencia",IF(AND(P1344="Resultado trading",AD1344&lt;&gt;"Cuenta de trading"),"⚠ Usa una cuenta de trading",IF(AND(G1344&lt;=0,P1344&lt;&gt;"Ajuste",P1344&lt;&gt;"Resultado trading"),"⚠ El monto debe ser positivo","✓")))))))))))))))</f>
        <v/>
      </c>
      <c r="P1344" s="52">
        <f>IF(OR(B1344="",G1344=""),"",IF(C1344="","Gasto",C1344))</f>
        <v/>
      </c>
      <c r="Q1344" s="52">
        <f>IF(P1344="","",IF(J1344&lt;&gt;"",J1344,CuentaPred&amp;""))</f>
        <v/>
      </c>
      <c r="R1344" s="52">
        <f>IF(P1344="","",IF(ISNUMBER(I1344),I1344,TasaUSD))</f>
        <v/>
      </c>
      <c r="S1344" s="53">
        <f>IF(P1344="","",IF(H1344="USD",G1344*R1344,G1344))</f>
        <v/>
      </c>
      <c r="T1344" s="53">
        <f>IF(P1344="","",IF(H1344="USD",G1344,IF(R1344&gt;0,G1344/R1344,0)))</f>
        <v/>
      </c>
      <c r="U1344" s="53">
        <f>IF(P1344="","",IF(P1344="Gasto",S1344,IF(P1344="Reembolso",-S1344,0)))</f>
        <v/>
      </c>
      <c r="V1344" s="53">
        <f>IF(P1344="","",IF(P1344="Ingreso",S1344,0))</f>
        <v/>
      </c>
      <c r="W1344" s="53">
        <f>IF(P1344="","",IF(P1344="Resultado trading",S1344,0))</f>
        <v/>
      </c>
      <c r="X1344" s="52">
        <f>IF(OR(P1344="Gasto",P1344="Reembolso"),IF(M1344&lt;&gt;"",M1344,IFERROR(INDEX(catClasif,MATCH(D1344&amp;"|"&amp;E1344,catClave,0))&amp;"","Variable")),"")</f>
        <v/>
      </c>
      <c r="Y1344" s="52">
        <f>IF(P1344="","",IFERROR(INDEX(catGrupo,MATCH(D1344&amp;"|"&amp;E1344,catClave,0))&amp;"",""))</f>
        <v/>
      </c>
      <c r="Z1344" s="52">
        <f>IF(P1344="","",WEEKDAY(B1344,2))</f>
        <v/>
      </c>
      <c r="AA1344" s="52">
        <f>IF(P1344="","",IF(AND(P1344="Gasto",X1344="Variable",D1344&lt;&gt;catTrading,S1344&gt;0,S1344&lt;=Umbral),1,0))</f>
        <v/>
      </c>
      <c r="AB1344" s="52">
        <f>IF(OR(P1344="",Q1344=""),"",IFERROR(IF(INDEX(ctaVinc,MATCH(Q1344,ctaNombre,0))&amp;""&lt;&gt;"",INDEX(ctaVinc,MATCH(Q1344,ctaNombre,0))&amp;"",Q1344),Q1344))</f>
        <v/>
      </c>
      <c r="AC1344" s="52">
        <f>IF(OR(K1344="",AND(P1344&lt;&gt;"Transferencia",P1344&lt;&gt;"Pago tarjeta")),"",IFERROR(IF(INDEX(ctaVinc,MATCH(K1344,ctaNombre,0))&amp;""&lt;&gt;"",INDEX(ctaVinc,MATCH(K1344,ctaNombre,0))&amp;"",K1344),K1344))</f>
        <v/>
      </c>
      <c r="AD1344" s="52">
        <f>IF(AB1344="","",IFERROR(INDEX(ctaTipo,MATCH(AB1344,ctaNombre,0))&amp;"",""))</f>
        <v/>
      </c>
      <c r="AE1344" s="52">
        <f>IF(AC1344="","",IFERROR(INDEX(ctaTipo,MATCH(AC1344,ctaNombre,0))&amp;"",""))</f>
        <v/>
      </c>
      <c r="AF1344" s="53">
        <f>IF(OR(P1344="",AB1344=""),"",IF(OR(P1344="Gasto",P1344="Transferencia",P1344="Pago tarjeta"),-1,1)*IF(IFERROR(INDEX(ctaMoneda,MATCH(AB1344,ctaNombre,0))&amp;"","DOP")="USD",T1344,S1344))</f>
        <v/>
      </c>
      <c r="AG1344" s="53">
        <f>IF(AC1344="","",IF(IFERROR(INDEX(ctaMoneda,MATCH(AC1344,ctaNombre,0))&amp;"","DOP")="USD",T1344,S1344))</f>
        <v/>
      </c>
      <c r="AH1344" s="53">
        <f>IF(P1344="","",IF(AND(AD1344&lt;&gt;"",COUNTIFS(tcTipo,AD1344,tcLiq,"Sí")&gt;0),IF(OR(P1344="Gasto",P1344="Transferencia",P1344="Pago tarjeta"),-1,1)*S1344,0)+IF(AND(AE1344&lt;&gt;"",COUNTIFS(tcTipo,AE1344,tcLiq,"Sí")&gt;0),S1344,0))</f>
        <v/>
      </c>
      <c r="AI1344" s="52">
        <f>IF(OR(L1344="",P1344=""),"",IF(COUNTIFS(L$6:L1344,L1344,P$6:P1344,"?*")=1,MAX(AI$5:AI1343)+1,""))</f>
        <v/>
      </c>
    </row>
    <row r="1345">
      <c r="B1345" s="47" t="n"/>
      <c r="C1345" s="48" t="n"/>
      <c r="D1345" s="48" t="n"/>
      <c r="E1345" s="48" t="n"/>
      <c r="F1345" s="48" t="n"/>
      <c r="G1345" s="49" t="n"/>
      <c r="H1345" s="48" t="n"/>
      <c r="I1345" s="50" t="n"/>
      <c r="J1345" s="48" t="n"/>
      <c r="K1345" s="48" t="n"/>
      <c r="L1345" s="48" t="n"/>
      <c r="M1345" s="48" t="n"/>
      <c r="N1345" s="48" t="n"/>
      <c r="O1345" s="51">
        <f>IF(AND(B1345="",G1345="",C1345="",D1345="",J1345=""),"",IF(B1345="","⚠ Falta fecha",IF(G1345="","⚠ Falta monto",IF(Q1345="","⚠ Falta cuenta",IF(ISNA(MATCH(Q1345,ctaNombre,0)),"⚠ Cuenta no registrada",IF(AND(OR(P1345="Gasto",P1345="Reembolso"),D1345=""),"⚠ Falta categoría",IF(AND(D1345&lt;&gt;"",E1345&lt;&gt;"",ISNA(MATCH(D1345&amp;"|"&amp;E1345,catClave,0))),"⚠ Subcategoría no corresponde",IF(AND(OR(P1345="Transferencia",P1345="Pago tarjeta"),K1345=""),"⚠ Falta cuenta destino",IF(AND(K1345&lt;&gt;"",P1345&lt;&gt;"Transferencia",P1345&lt;&gt;"Pago tarjeta"),"⚠ Destino solo aplica a transferencias",IF(AND(K1345&lt;&gt;"",K1345=Q1345),"⚠ Origen igual a destino",IF(AND(K1345&lt;&gt;"",ISNA(MATCH(K1345,ctaNombre,0))),"⚠ Destino no registrado",IF(AND(P1345="Pago tarjeta",AE1345&lt;&gt;"Tarjeta de crédito"),"⚠ El destino debe ser tarjeta de crédito",IF(AND(P1345="Gasto",E1345="Depósitos y retiros"),"⚠ Usa tipo Transferencia",IF(AND(P1345="Resultado trading",AD1345&lt;&gt;"Cuenta de trading"),"⚠ Usa una cuenta de trading",IF(AND(G1345&lt;=0,P1345&lt;&gt;"Ajuste",P1345&lt;&gt;"Resultado trading"),"⚠ El monto debe ser positivo","✓")))))))))))))))</f>
        <v/>
      </c>
      <c r="P1345" s="52">
        <f>IF(OR(B1345="",G1345=""),"",IF(C1345="","Gasto",C1345))</f>
        <v/>
      </c>
      <c r="Q1345" s="52">
        <f>IF(P1345="","",IF(J1345&lt;&gt;"",J1345,CuentaPred&amp;""))</f>
        <v/>
      </c>
      <c r="R1345" s="52">
        <f>IF(P1345="","",IF(ISNUMBER(I1345),I1345,TasaUSD))</f>
        <v/>
      </c>
      <c r="S1345" s="53">
        <f>IF(P1345="","",IF(H1345="USD",G1345*R1345,G1345))</f>
        <v/>
      </c>
      <c r="T1345" s="53">
        <f>IF(P1345="","",IF(H1345="USD",G1345,IF(R1345&gt;0,G1345/R1345,0)))</f>
        <v/>
      </c>
      <c r="U1345" s="53">
        <f>IF(P1345="","",IF(P1345="Gasto",S1345,IF(P1345="Reembolso",-S1345,0)))</f>
        <v/>
      </c>
      <c r="V1345" s="53">
        <f>IF(P1345="","",IF(P1345="Ingreso",S1345,0))</f>
        <v/>
      </c>
      <c r="W1345" s="53">
        <f>IF(P1345="","",IF(P1345="Resultado trading",S1345,0))</f>
        <v/>
      </c>
      <c r="X1345" s="52">
        <f>IF(OR(P1345="Gasto",P1345="Reembolso"),IF(M1345&lt;&gt;"",M1345,IFERROR(INDEX(catClasif,MATCH(D1345&amp;"|"&amp;E1345,catClave,0))&amp;"","Variable")),"")</f>
        <v/>
      </c>
      <c r="Y1345" s="52">
        <f>IF(P1345="","",IFERROR(INDEX(catGrupo,MATCH(D1345&amp;"|"&amp;E1345,catClave,0))&amp;"",""))</f>
        <v/>
      </c>
      <c r="Z1345" s="52">
        <f>IF(P1345="","",WEEKDAY(B1345,2))</f>
        <v/>
      </c>
      <c r="AA1345" s="52">
        <f>IF(P1345="","",IF(AND(P1345="Gasto",X1345="Variable",D1345&lt;&gt;catTrading,S1345&gt;0,S1345&lt;=Umbral),1,0))</f>
        <v/>
      </c>
      <c r="AB1345" s="52">
        <f>IF(OR(P1345="",Q1345=""),"",IFERROR(IF(INDEX(ctaVinc,MATCH(Q1345,ctaNombre,0))&amp;""&lt;&gt;"",INDEX(ctaVinc,MATCH(Q1345,ctaNombre,0))&amp;"",Q1345),Q1345))</f>
        <v/>
      </c>
      <c r="AC1345" s="52">
        <f>IF(OR(K1345="",AND(P1345&lt;&gt;"Transferencia",P1345&lt;&gt;"Pago tarjeta")),"",IFERROR(IF(INDEX(ctaVinc,MATCH(K1345,ctaNombre,0))&amp;""&lt;&gt;"",INDEX(ctaVinc,MATCH(K1345,ctaNombre,0))&amp;"",K1345),K1345))</f>
        <v/>
      </c>
      <c r="AD1345" s="52">
        <f>IF(AB1345="","",IFERROR(INDEX(ctaTipo,MATCH(AB1345,ctaNombre,0))&amp;"",""))</f>
        <v/>
      </c>
      <c r="AE1345" s="52">
        <f>IF(AC1345="","",IFERROR(INDEX(ctaTipo,MATCH(AC1345,ctaNombre,0))&amp;"",""))</f>
        <v/>
      </c>
      <c r="AF1345" s="53">
        <f>IF(OR(P1345="",AB1345=""),"",IF(OR(P1345="Gasto",P1345="Transferencia",P1345="Pago tarjeta"),-1,1)*IF(IFERROR(INDEX(ctaMoneda,MATCH(AB1345,ctaNombre,0))&amp;"","DOP")="USD",T1345,S1345))</f>
        <v/>
      </c>
      <c r="AG1345" s="53">
        <f>IF(AC1345="","",IF(IFERROR(INDEX(ctaMoneda,MATCH(AC1345,ctaNombre,0))&amp;"","DOP")="USD",T1345,S1345))</f>
        <v/>
      </c>
      <c r="AH1345" s="53">
        <f>IF(P1345="","",IF(AND(AD1345&lt;&gt;"",COUNTIFS(tcTipo,AD1345,tcLiq,"Sí")&gt;0),IF(OR(P1345="Gasto",P1345="Transferencia",P1345="Pago tarjeta"),-1,1)*S1345,0)+IF(AND(AE1345&lt;&gt;"",COUNTIFS(tcTipo,AE1345,tcLiq,"Sí")&gt;0),S1345,0))</f>
        <v/>
      </c>
      <c r="AI1345" s="52">
        <f>IF(OR(L1345="",P1345=""),"",IF(COUNTIFS(L$6:L1345,L1345,P$6:P1345,"?*")=1,MAX(AI$5:AI1344)+1,""))</f>
        <v/>
      </c>
    </row>
    <row r="1346">
      <c r="B1346" s="47" t="n"/>
      <c r="C1346" s="48" t="n"/>
      <c r="D1346" s="48" t="n"/>
      <c r="E1346" s="48" t="n"/>
      <c r="F1346" s="48" t="n"/>
      <c r="G1346" s="49" t="n"/>
      <c r="H1346" s="48" t="n"/>
      <c r="I1346" s="50" t="n"/>
      <c r="J1346" s="48" t="n"/>
      <c r="K1346" s="48" t="n"/>
      <c r="L1346" s="48" t="n"/>
      <c r="M1346" s="48" t="n"/>
      <c r="N1346" s="48" t="n"/>
      <c r="O1346" s="51">
        <f>IF(AND(B1346="",G1346="",C1346="",D1346="",J1346=""),"",IF(B1346="","⚠ Falta fecha",IF(G1346="","⚠ Falta monto",IF(Q1346="","⚠ Falta cuenta",IF(ISNA(MATCH(Q1346,ctaNombre,0)),"⚠ Cuenta no registrada",IF(AND(OR(P1346="Gasto",P1346="Reembolso"),D1346=""),"⚠ Falta categoría",IF(AND(D1346&lt;&gt;"",E1346&lt;&gt;"",ISNA(MATCH(D1346&amp;"|"&amp;E1346,catClave,0))),"⚠ Subcategoría no corresponde",IF(AND(OR(P1346="Transferencia",P1346="Pago tarjeta"),K1346=""),"⚠ Falta cuenta destino",IF(AND(K1346&lt;&gt;"",P1346&lt;&gt;"Transferencia",P1346&lt;&gt;"Pago tarjeta"),"⚠ Destino solo aplica a transferencias",IF(AND(K1346&lt;&gt;"",K1346=Q1346),"⚠ Origen igual a destino",IF(AND(K1346&lt;&gt;"",ISNA(MATCH(K1346,ctaNombre,0))),"⚠ Destino no registrado",IF(AND(P1346="Pago tarjeta",AE1346&lt;&gt;"Tarjeta de crédito"),"⚠ El destino debe ser tarjeta de crédito",IF(AND(P1346="Gasto",E1346="Depósitos y retiros"),"⚠ Usa tipo Transferencia",IF(AND(P1346="Resultado trading",AD1346&lt;&gt;"Cuenta de trading"),"⚠ Usa una cuenta de trading",IF(AND(G1346&lt;=0,P1346&lt;&gt;"Ajuste",P1346&lt;&gt;"Resultado trading"),"⚠ El monto debe ser positivo","✓")))))))))))))))</f>
        <v/>
      </c>
      <c r="P1346" s="52">
        <f>IF(OR(B1346="",G1346=""),"",IF(C1346="","Gasto",C1346))</f>
        <v/>
      </c>
      <c r="Q1346" s="52">
        <f>IF(P1346="","",IF(J1346&lt;&gt;"",J1346,CuentaPred&amp;""))</f>
        <v/>
      </c>
      <c r="R1346" s="52">
        <f>IF(P1346="","",IF(ISNUMBER(I1346),I1346,TasaUSD))</f>
        <v/>
      </c>
      <c r="S1346" s="53">
        <f>IF(P1346="","",IF(H1346="USD",G1346*R1346,G1346))</f>
        <v/>
      </c>
      <c r="T1346" s="53">
        <f>IF(P1346="","",IF(H1346="USD",G1346,IF(R1346&gt;0,G1346/R1346,0)))</f>
        <v/>
      </c>
      <c r="U1346" s="53">
        <f>IF(P1346="","",IF(P1346="Gasto",S1346,IF(P1346="Reembolso",-S1346,0)))</f>
        <v/>
      </c>
      <c r="V1346" s="53">
        <f>IF(P1346="","",IF(P1346="Ingreso",S1346,0))</f>
        <v/>
      </c>
      <c r="W1346" s="53">
        <f>IF(P1346="","",IF(P1346="Resultado trading",S1346,0))</f>
        <v/>
      </c>
      <c r="X1346" s="52">
        <f>IF(OR(P1346="Gasto",P1346="Reembolso"),IF(M1346&lt;&gt;"",M1346,IFERROR(INDEX(catClasif,MATCH(D1346&amp;"|"&amp;E1346,catClave,0))&amp;"","Variable")),"")</f>
        <v/>
      </c>
      <c r="Y1346" s="52">
        <f>IF(P1346="","",IFERROR(INDEX(catGrupo,MATCH(D1346&amp;"|"&amp;E1346,catClave,0))&amp;"",""))</f>
        <v/>
      </c>
      <c r="Z1346" s="52">
        <f>IF(P1346="","",WEEKDAY(B1346,2))</f>
        <v/>
      </c>
      <c r="AA1346" s="52">
        <f>IF(P1346="","",IF(AND(P1346="Gasto",X1346="Variable",D1346&lt;&gt;catTrading,S1346&gt;0,S1346&lt;=Umbral),1,0))</f>
        <v/>
      </c>
      <c r="AB1346" s="52">
        <f>IF(OR(P1346="",Q1346=""),"",IFERROR(IF(INDEX(ctaVinc,MATCH(Q1346,ctaNombre,0))&amp;""&lt;&gt;"",INDEX(ctaVinc,MATCH(Q1346,ctaNombre,0))&amp;"",Q1346),Q1346))</f>
        <v/>
      </c>
      <c r="AC1346" s="52">
        <f>IF(OR(K1346="",AND(P1346&lt;&gt;"Transferencia",P1346&lt;&gt;"Pago tarjeta")),"",IFERROR(IF(INDEX(ctaVinc,MATCH(K1346,ctaNombre,0))&amp;""&lt;&gt;"",INDEX(ctaVinc,MATCH(K1346,ctaNombre,0))&amp;"",K1346),K1346))</f>
        <v/>
      </c>
      <c r="AD1346" s="52">
        <f>IF(AB1346="","",IFERROR(INDEX(ctaTipo,MATCH(AB1346,ctaNombre,0))&amp;"",""))</f>
        <v/>
      </c>
      <c r="AE1346" s="52">
        <f>IF(AC1346="","",IFERROR(INDEX(ctaTipo,MATCH(AC1346,ctaNombre,0))&amp;"",""))</f>
        <v/>
      </c>
      <c r="AF1346" s="53">
        <f>IF(OR(P1346="",AB1346=""),"",IF(OR(P1346="Gasto",P1346="Transferencia",P1346="Pago tarjeta"),-1,1)*IF(IFERROR(INDEX(ctaMoneda,MATCH(AB1346,ctaNombre,0))&amp;"","DOP")="USD",T1346,S1346))</f>
        <v/>
      </c>
      <c r="AG1346" s="53">
        <f>IF(AC1346="","",IF(IFERROR(INDEX(ctaMoneda,MATCH(AC1346,ctaNombre,0))&amp;"","DOP")="USD",T1346,S1346))</f>
        <v/>
      </c>
      <c r="AH1346" s="53">
        <f>IF(P1346="","",IF(AND(AD1346&lt;&gt;"",COUNTIFS(tcTipo,AD1346,tcLiq,"Sí")&gt;0),IF(OR(P1346="Gasto",P1346="Transferencia",P1346="Pago tarjeta"),-1,1)*S1346,0)+IF(AND(AE1346&lt;&gt;"",COUNTIFS(tcTipo,AE1346,tcLiq,"Sí")&gt;0),S1346,0))</f>
        <v/>
      </c>
      <c r="AI1346" s="52">
        <f>IF(OR(L1346="",P1346=""),"",IF(COUNTIFS(L$6:L1346,L1346,P$6:P1346,"?*")=1,MAX(AI$5:AI1345)+1,""))</f>
        <v/>
      </c>
    </row>
    <row r="1347">
      <c r="B1347" s="47" t="n"/>
      <c r="C1347" s="48" t="n"/>
      <c r="D1347" s="48" t="n"/>
      <c r="E1347" s="48" t="n"/>
      <c r="F1347" s="48" t="n"/>
      <c r="G1347" s="49" t="n"/>
      <c r="H1347" s="48" t="n"/>
      <c r="I1347" s="50" t="n"/>
      <c r="J1347" s="48" t="n"/>
      <c r="K1347" s="48" t="n"/>
      <c r="L1347" s="48" t="n"/>
      <c r="M1347" s="48" t="n"/>
      <c r="N1347" s="48" t="n"/>
      <c r="O1347" s="51">
        <f>IF(AND(B1347="",G1347="",C1347="",D1347="",J1347=""),"",IF(B1347="","⚠ Falta fecha",IF(G1347="","⚠ Falta monto",IF(Q1347="","⚠ Falta cuenta",IF(ISNA(MATCH(Q1347,ctaNombre,0)),"⚠ Cuenta no registrada",IF(AND(OR(P1347="Gasto",P1347="Reembolso"),D1347=""),"⚠ Falta categoría",IF(AND(D1347&lt;&gt;"",E1347&lt;&gt;"",ISNA(MATCH(D1347&amp;"|"&amp;E1347,catClave,0))),"⚠ Subcategoría no corresponde",IF(AND(OR(P1347="Transferencia",P1347="Pago tarjeta"),K1347=""),"⚠ Falta cuenta destino",IF(AND(K1347&lt;&gt;"",P1347&lt;&gt;"Transferencia",P1347&lt;&gt;"Pago tarjeta"),"⚠ Destino solo aplica a transferencias",IF(AND(K1347&lt;&gt;"",K1347=Q1347),"⚠ Origen igual a destino",IF(AND(K1347&lt;&gt;"",ISNA(MATCH(K1347,ctaNombre,0))),"⚠ Destino no registrado",IF(AND(P1347="Pago tarjeta",AE1347&lt;&gt;"Tarjeta de crédito"),"⚠ El destino debe ser tarjeta de crédito",IF(AND(P1347="Gasto",E1347="Depósitos y retiros"),"⚠ Usa tipo Transferencia",IF(AND(P1347="Resultado trading",AD1347&lt;&gt;"Cuenta de trading"),"⚠ Usa una cuenta de trading",IF(AND(G1347&lt;=0,P1347&lt;&gt;"Ajuste",P1347&lt;&gt;"Resultado trading"),"⚠ El monto debe ser positivo","✓")))))))))))))))</f>
        <v/>
      </c>
      <c r="P1347" s="52">
        <f>IF(OR(B1347="",G1347=""),"",IF(C1347="","Gasto",C1347))</f>
        <v/>
      </c>
      <c r="Q1347" s="52">
        <f>IF(P1347="","",IF(J1347&lt;&gt;"",J1347,CuentaPred&amp;""))</f>
        <v/>
      </c>
      <c r="R1347" s="52">
        <f>IF(P1347="","",IF(ISNUMBER(I1347),I1347,TasaUSD))</f>
        <v/>
      </c>
      <c r="S1347" s="53">
        <f>IF(P1347="","",IF(H1347="USD",G1347*R1347,G1347))</f>
        <v/>
      </c>
      <c r="T1347" s="53">
        <f>IF(P1347="","",IF(H1347="USD",G1347,IF(R1347&gt;0,G1347/R1347,0)))</f>
        <v/>
      </c>
      <c r="U1347" s="53">
        <f>IF(P1347="","",IF(P1347="Gasto",S1347,IF(P1347="Reembolso",-S1347,0)))</f>
        <v/>
      </c>
      <c r="V1347" s="53">
        <f>IF(P1347="","",IF(P1347="Ingreso",S1347,0))</f>
        <v/>
      </c>
      <c r="W1347" s="53">
        <f>IF(P1347="","",IF(P1347="Resultado trading",S1347,0))</f>
        <v/>
      </c>
      <c r="X1347" s="52">
        <f>IF(OR(P1347="Gasto",P1347="Reembolso"),IF(M1347&lt;&gt;"",M1347,IFERROR(INDEX(catClasif,MATCH(D1347&amp;"|"&amp;E1347,catClave,0))&amp;"","Variable")),"")</f>
        <v/>
      </c>
      <c r="Y1347" s="52">
        <f>IF(P1347="","",IFERROR(INDEX(catGrupo,MATCH(D1347&amp;"|"&amp;E1347,catClave,0))&amp;"",""))</f>
        <v/>
      </c>
      <c r="Z1347" s="52">
        <f>IF(P1347="","",WEEKDAY(B1347,2))</f>
        <v/>
      </c>
      <c r="AA1347" s="52">
        <f>IF(P1347="","",IF(AND(P1347="Gasto",X1347="Variable",D1347&lt;&gt;catTrading,S1347&gt;0,S1347&lt;=Umbral),1,0))</f>
        <v/>
      </c>
      <c r="AB1347" s="52">
        <f>IF(OR(P1347="",Q1347=""),"",IFERROR(IF(INDEX(ctaVinc,MATCH(Q1347,ctaNombre,0))&amp;""&lt;&gt;"",INDEX(ctaVinc,MATCH(Q1347,ctaNombre,0))&amp;"",Q1347),Q1347))</f>
        <v/>
      </c>
      <c r="AC1347" s="52">
        <f>IF(OR(K1347="",AND(P1347&lt;&gt;"Transferencia",P1347&lt;&gt;"Pago tarjeta")),"",IFERROR(IF(INDEX(ctaVinc,MATCH(K1347,ctaNombre,0))&amp;""&lt;&gt;"",INDEX(ctaVinc,MATCH(K1347,ctaNombre,0))&amp;"",K1347),K1347))</f>
        <v/>
      </c>
      <c r="AD1347" s="52">
        <f>IF(AB1347="","",IFERROR(INDEX(ctaTipo,MATCH(AB1347,ctaNombre,0))&amp;"",""))</f>
        <v/>
      </c>
      <c r="AE1347" s="52">
        <f>IF(AC1347="","",IFERROR(INDEX(ctaTipo,MATCH(AC1347,ctaNombre,0))&amp;"",""))</f>
        <v/>
      </c>
      <c r="AF1347" s="53">
        <f>IF(OR(P1347="",AB1347=""),"",IF(OR(P1347="Gasto",P1347="Transferencia",P1347="Pago tarjeta"),-1,1)*IF(IFERROR(INDEX(ctaMoneda,MATCH(AB1347,ctaNombre,0))&amp;"","DOP")="USD",T1347,S1347))</f>
        <v/>
      </c>
      <c r="AG1347" s="53">
        <f>IF(AC1347="","",IF(IFERROR(INDEX(ctaMoneda,MATCH(AC1347,ctaNombre,0))&amp;"","DOP")="USD",T1347,S1347))</f>
        <v/>
      </c>
      <c r="AH1347" s="53">
        <f>IF(P1347="","",IF(AND(AD1347&lt;&gt;"",COUNTIFS(tcTipo,AD1347,tcLiq,"Sí")&gt;0),IF(OR(P1347="Gasto",P1347="Transferencia",P1347="Pago tarjeta"),-1,1)*S1347,0)+IF(AND(AE1347&lt;&gt;"",COUNTIFS(tcTipo,AE1347,tcLiq,"Sí")&gt;0),S1347,0))</f>
        <v/>
      </c>
      <c r="AI1347" s="52">
        <f>IF(OR(L1347="",P1347=""),"",IF(COUNTIFS(L$6:L1347,L1347,P$6:P1347,"?*")=1,MAX(AI$5:AI1346)+1,""))</f>
        <v/>
      </c>
    </row>
    <row r="1348">
      <c r="B1348" s="47" t="n"/>
      <c r="C1348" s="48" t="n"/>
      <c r="D1348" s="48" t="n"/>
      <c r="E1348" s="48" t="n"/>
      <c r="F1348" s="48" t="n"/>
      <c r="G1348" s="49" t="n"/>
      <c r="H1348" s="48" t="n"/>
      <c r="I1348" s="50" t="n"/>
      <c r="J1348" s="48" t="n"/>
      <c r="K1348" s="48" t="n"/>
      <c r="L1348" s="48" t="n"/>
      <c r="M1348" s="48" t="n"/>
      <c r="N1348" s="48" t="n"/>
      <c r="O1348" s="51">
        <f>IF(AND(B1348="",G1348="",C1348="",D1348="",J1348=""),"",IF(B1348="","⚠ Falta fecha",IF(G1348="","⚠ Falta monto",IF(Q1348="","⚠ Falta cuenta",IF(ISNA(MATCH(Q1348,ctaNombre,0)),"⚠ Cuenta no registrada",IF(AND(OR(P1348="Gasto",P1348="Reembolso"),D1348=""),"⚠ Falta categoría",IF(AND(D1348&lt;&gt;"",E1348&lt;&gt;"",ISNA(MATCH(D1348&amp;"|"&amp;E1348,catClave,0))),"⚠ Subcategoría no corresponde",IF(AND(OR(P1348="Transferencia",P1348="Pago tarjeta"),K1348=""),"⚠ Falta cuenta destino",IF(AND(K1348&lt;&gt;"",P1348&lt;&gt;"Transferencia",P1348&lt;&gt;"Pago tarjeta"),"⚠ Destino solo aplica a transferencias",IF(AND(K1348&lt;&gt;"",K1348=Q1348),"⚠ Origen igual a destino",IF(AND(K1348&lt;&gt;"",ISNA(MATCH(K1348,ctaNombre,0))),"⚠ Destino no registrado",IF(AND(P1348="Pago tarjeta",AE1348&lt;&gt;"Tarjeta de crédito"),"⚠ El destino debe ser tarjeta de crédito",IF(AND(P1348="Gasto",E1348="Depósitos y retiros"),"⚠ Usa tipo Transferencia",IF(AND(P1348="Resultado trading",AD1348&lt;&gt;"Cuenta de trading"),"⚠ Usa una cuenta de trading",IF(AND(G1348&lt;=0,P1348&lt;&gt;"Ajuste",P1348&lt;&gt;"Resultado trading"),"⚠ El monto debe ser positivo","✓")))))))))))))))</f>
        <v/>
      </c>
      <c r="P1348" s="52">
        <f>IF(OR(B1348="",G1348=""),"",IF(C1348="","Gasto",C1348))</f>
        <v/>
      </c>
      <c r="Q1348" s="52">
        <f>IF(P1348="","",IF(J1348&lt;&gt;"",J1348,CuentaPred&amp;""))</f>
        <v/>
      </c>
      <c r="R1348" s="52">
        <f>IF(P1348="","",IF(ISNUMBER(I1348),I1348,TasaUSD))</f>
        <v/>
      </c>
      <c r="S1348" s="53">
        <f>IF(P1348="","",IF(H1348="USD",G1348*R1348,G1348))</f>
        <v/>
      </c>
      <c r="T1348" s="53">
        <f>IF(P1348="","",IF(H1348="USD",G1348,IF(R1348&gt;0,G1348/R1348,0)))</f>
        <v/>
      </c>
      <c r="U1348" s="53">
        <f>IF(P1348="","",IF(P1348="Gasto",S1348,IF(P1348="Reembolso",-S1348,0)))</f>
        <v/>
      </c>
      <c r="V1348" s="53">
        <f>IF(P1348="","",IF(P1348="Ingreso",S1348,0))</f>
        <v/>
      </c>
      <c r="W1348" s="53">
        <f>IF(P1348="","",IF(P1348="Resultado trading",S1348,0))</f>
        <v/>
      </c>
      <c r="X1348" s="52">
        <f>IF(OR(P1348="Gasto",P1348="Reembolso"),IF(M1348&lt;&gt;"",M1348,IFERROR(INDEX(catClasif,MATCH(D1348&amp;"|"&amp;E1348,catClave,0))&amp;"","Variable")),"")</f>
        <v/>
      </c>
      <c r="Y1348" s="52">
        <f>IF(P1348="","",IFERROR(INDEX(catGrupo,MATCH(D1348&amp;"|"&amp;E1348,catClave,0))&amp;"",""))</f>
        <v/>
      </c>
      <c r="Z1348" s="52">
        <f>IF(P1348="","",WEEKDAY(B1348,2))</f>
        <v/>
      </c>
      <c r="AA1348" s="52">
        <f>IF(P1348="","",IF(AND(P1348="Gasto",X1348="Variable",D1348&lt;&gt;catTrading,S1348&gt;0,S1348&lt;=Umbral),1,0))</f>
        <v/>
      </c>
      <c r="AB1348" s="52">
        <f>IF(OR(P1348="",Q1348=""),"",IFERROR(IF(INDEX(ctaVinc,MATCH(Q1348,ctaNombre,0))&amp;""&lt;&gt;"",INDEX(ctaVinc,MATCH(Q1348,ctaNombre,0))&amp;"",Q1348),Q1348))</f>
        <v/>
      </c>
      <c r="AC1348" s="52">
        <f>IF(OR(K1348="",AND(P1348&lt;&gt;"Transferencia",P1348&lt;&gt;"Pago tarjeta")),"",IFERROR(IF(INDEX(ctaVinc,MATCH(K1348,ctaNombre,0))&amp;""&lt;&gt;"",INDEX(ctaVinc,MATCH(K1348,ctaNombre,0))&amp;"",K1348),K1348))</f>
        <v/>
      </c>
      <c r="AD1348" s="52">
        <f>IF(AB1348="","",IFERROR(INDEX(ctaTipo,MATCH(AB1348,ctaNombre,0))&amp;"",""))</f>
        <v/>
      </c>
      <c r="AE1348" s="52">
        <f>IF(AC1348="","",IFERROR(INDEX(ctaTipo,MATCH(AC1348,ctaNombre,0))&amp;"",""))</f>
        <v/>
      </c>
      <c r="AF1348" s="53">
        <f>IF(OR(P1348="",AB1348=""),"",IF(OR(P1348="Gasto",P1348="Transferencia",P1348="Pago tarjeta"),-1,1)*IF(IFERROR(INDEX(ctaMoneda,MATCH(AB1348,ctaNombre,0))&amp;"","DOP")="USD",T1348,S1348))</f>
        <v/>
      </c>
      <c r="AG1348" s="53">
        <f>IF(AC1348="","",IF(IFERROR(INDEX(ctaMoneda,MATCH(AC1348,ctaNombre,0))&amp;"","DOP")="USD",T1348,S1348))</f>
        <v/>
      </c>
      <c r="AH1348" s="53">
        <f>IF(P1348="","",IF(AND(AD1348&lt;&gt;"",COUNTIFS(tcTipo,AD1348,tcLiq,"Sí")&gt;0),IF(OR(P1348="Gasto",P1348="Transferencia",P1348="Pago tarjeta"),-1,1)*S1348,0)+IF(AND(AE1348&lt;&gt;"",COUNTIFS(tcTipo,AE1348,tcLiq,"Sí")&gt;0),S1348,0))</f>
        <v/>
      </c>
      <c r="AI1348" s="52">
        <f>IF(OR(L1348="",P1348=""),"",IF(COUNTIFS(L$6:L1348,L1348,P$6:P1348,"?*")=1,MAX(AI$5:AI1347)+1,""))</f>
        <v/>
      </c>
    </row>
    <row r="1349">
      <c r="B1349" s="47" t="n"/>
      <c r="C1349" s="48" t="n"/>
      <c r="D1349" s="48" t="n"/>
      <c r="E1349" s="48" t="n"/>
      <c r="F1349" s="48" t="n"/>
      <c r="G1349" s="49" t="n"/>
      <c r="H1349" s="48" t="n"/>
      <c r="I1349" s="50" t="n"/>
      <c r="J1349" s="48" t="n"/>
      <c r="K1349" s="48" t="n"/>
      <c r="L1349" s="48" t="n"/>
      <c r="M1349" s="48" t="n"/>
      <c r="N1349" s="48" t="n"/>
      <c r="O1349" s="51">
        <f>IF(AND(B1349="",G1349="",C1349="",D1349="",J1349=""),"",IF(B1349="","⚠ Falta fecha",IF(G1349="","⚠ Falta monto",IF(Q1349="","⚠ Falta cuenta",IF(ISNA(MATCH(Q1349,ctaNombre,0)),"⚠ Cuenta no registrada",IF(AND(OR(P1349="Gasto",P1349="Reembolso"),D1349=""),"⚠ Falta categoría",IF(AND(D1349&lt;&gt;"",E1349&lt;&gt;"",ISNA(MATCH(D1349&amp;"|"&amp;E1349,catClave,0))),"⚠ Subcategoría no corresponde",IF(AND(OR(P1349="Transferencia",P1349="Pago tarjeta"),K1349=""),"⚠ Falta cuenta destino",IF(AND(K1349&lt;&gt;"",P1349&lt;&gt;"Transferencia",P1349&lt;&gt;"Pago tarjeta"),"⚠ Destino solo aplica a transferencias",IF(AND(K1349&lt;&gt;"",K1349=Q1349),"⚠ Origen igual a destino",IF(AND(K1349&lt;&gt;"",ISNA(MATCH(K1349,ctaNombre,0))),"⚠ Destino no registrado",IF(AND(P1349="Pago tarjeta",AE1349&lt;&gt;"Tarjeta de crédito"),"⚠ El destino debe ser tarjeta de crédito",IF(AND(P1349="Gasto",E1349="Depósitos y retiros"),"⚠ Usa tipo Transferencia",IF(AND(P1349="Resultado trading",AD1349&lt;&gt;"Cuenta de trading"),"⚠ Usa una cuenta de trading",IF(AND(G1349&lt;=0,P1349&lt;&gt;"Ajuste",P1349&lt;&gt;"Resultado trading"),"⚠ El monto debe ser positivo","✓")))))))))))))))</f>
        <v/>
      </c>
      <c r="P1349" s="52">
        <f>IF(OR(B1349="",G1349=""),"",IF(C1349="","Gasto",C1349))</f>
        <v/>
      </c>
      <c r="Q1349" s="52">
        <f>IF(P1349="","",IF(J1349&lt;&gt;"",J1349,CuentaPred&amp;""))</f>
        <v/>
      </c>
      <c r="R1349" s="52">
        <f>IF(P1349="","",IF(ISNUMBER(I1349),I1349,TasaUSD))</f>
        <v/>
      </c>
      <c r="S1349" s="53">
        <f>IF(P1349="","",IF(H1349="USD",G1349*R1349,G1349))</f>
        <v/>
      </c>
      <c r="T1349" s="53">
        <f>IF(P1349="","",IF(H1349="USD",G1349,IF(R1349&gt;0,G1349/R1349,0)))</f>
        <v/>
      </c>
      <c r="U1349" s="53">
        <f>IF(P1349="","",IF(P1349="Gasto",S1349,IF(P1349="Reembolso",-S1349,0)))</f>
        <v/>
      </c>
      <c r="V1349" s="53">
        <f>IF(P1349="","",IF(P1349="Ingreso",S1349,0))</f>
        <v/>
      </c>
      <c r="W1349" s="53">
        <f>IF(P1349="","",IF(P1349="Resultado trading",S1349,0))</f>
        <v/>
      </c>
      <c r="X1349" s="52">
        <f>IF(OR(P1349="Gasto",P1349="Reembolso"),IF(M1349&lt;&gt;"",M1349,IFERROR(INDEX(catClasif,MATCH(D1349&amp;"|"&amp;E1349,catClave,0))&amp;"","Variable")),"")</f>
        <v/>
      </c>
      <c r="Y1349" s="52">
        <f>IF(P1349="","",IFERROR(INDEX(catGrupo,MATCH(D1349&amp;"|"&amp;E1349,catClave,0))&amp;"",""))</f>
        <v/>
      </c>
      <c r="Z1349" s="52">
        <f>IF(P1349="","",WEEKDAY(B1349,2))</f>
        <v/>
      </c>
      <c r="AA1349" s="52">
        <f>IF(P1349="","",IF(AND(P1349="Gasto",X1349="Variable",D1349&lt;&gt;catTrading,S1349&gt;0,S1349&lt;=Umbral),1,0))</f>
        <v/>
      </c>
      <c r="AB1349" s="52">
        <f>IF(OR(P1349="",Q1349=""),"",IFERROR(IF(INDEX(ctaVinc,MATCH(Q1349,ctaNombre,0))&amp;""&lt;&gt;"",INDEX(ctaVinc,MATCH(Q1349,ctaNombre,0))&amp;"",Q1349),Q1349))</f>
        <v/>
      </c>
      <c r="AC1349" s="52">
        <f>IF(OR(K1349="",AND(P1349&lt;&gt;"Transferencia",P1349&lt;&gt;"Pago tarjeta")),"",IFERROR(IF(INDEX(ctaVinc,MATCH(K1349,ctaNombre,0))&amp;""&lt;&gt;"",INDEX(ctaVinc,MATCH(K1349,ctaNombre,0))&amp;"",K1349),K1349))</f>
        <v/>
      </c>
      <c r="AD1349" s="52">
        <f>IF(AB1349="","",IFERROR(INDEX(ctaTipo,MATCH(AB1349,ctaNombre,0))&amp;"",""))</f>
        <v/>
      </c>
      <c r="AE1349" s="52">
        <f>IF(AC1349="","",IFERROR(INDEX(ctaTipo,MATCH(AC1349,ctaNombre,0))&amp;"",""))</f>
        <v/>
      </c>
      <c r="AF1349" s="53">
        <f>IF(OR(P1349="",AB1349=""),"",IF(OR(P1349="Gasto",P1349="Transferencia",P1349="Pago tarjeta"),-1,1)*IF(IFERROR(INDEX(ctaMoneda,MATCH(AB1349,ctaNombre,0))&amp;"","DOP")="USD",T1349,S1349))</f>
        <v/>
      </c>
      <c r="AG1349" s="53">
        <f>IF(AC1349="","",IF(IFERROR(INDEX(ctaMoneda,MATCH(AC1349,ctaNombre,0))&amp;"","DOP")="USD",T1349,S1349))</f>
        <v/>
      </c>
      <c r="AH1349" s="53">
        <f>IF(P1349="","",IF(AND(AD1349&lt;&gt;"",COUNTIFS(tcTipo,AD1349,tcLiq,"Sí")&gt;0),IF(OR(P1349="Gasto",P1349="Transferencia",P1349="Pago tarjeta"),-1,1)*S1349,0)+IF(AND(AE1349&lt;&gt;"",COUNTIFS(tcTipo,AE1349,tcLiq,"Sí")&gt;0),S1349,0))</f>
        <v/>
      </c>
      <c r="AI1349" s="52">
        <f>IF(OR(L1349="",P1349=""),"",IF(COUNTIFS(L$6:L1349,L1349,P$6:P1349,"?*")=1,MAX(AI$5:AI1348)+1,""))</f>
        <v/>
      </c>
    </row>
    <row r="1350">
      <c r="B1350" s="47" t="n"/>
      <c r="C1350" s="48" t="n"/>
      <c r="D1350" s="48" t="n"/>
      <c r="E1350" s="48" t="n"/>
      <c r="F1350" s="48" t="n"/>
      <c r="G1350" s="49" t="n"/>
      <c r="H1350" s="48" t="n"/>
      <c r="I1350" s="50" t="n"/>
      <c r="J1350" s="48" t="n"/>
      <c r="K1350" s="48" t="n"/>
      <c r="L1350" s="48" t="n"/>
      <c r="M1350" s="48" t="n"/>
      <c r="N1350" s="48" t="n"/>
      <c r="O1350" s="51">
        <f>IF(AND(B1350="",G1350="",C1350="",D1350="",J1350=""),"",IF(B1350="","⚠ Falta fecha",IF(G1350="","⚠ Falta monto",IF(Q1350="","⚠ Falta cuenta",IF(ISNA(MATCH(Q1350,ctaNombre,0)),"⚠ Cuenta no registrada",IF(AND(OR(P1350="Gasto",P1350="Reembolso"),D1350=""),"⚠ Falta categoría",IF(AND(D1350&lt;&gt;"",E1350&lt;&gt;"",ISNA(MATCH(D1350&amp;"|"&amp;E1350,catClave,0))),"⚠ Subcategoría no corresponde",IF(AND(OR(P1350="Transferencia",P1350="Pago tarjeta"),K1350=""),"⚠ Falta cuenta destino",IF(AND(K1350&lt;&gt;"",P1350&lt;&gt;"Transferencia",P1350&lt;&gt;"Pago tarjeta"),"⚠ Destino solo aplica a transferencias",IF(AND(K1350&lt;&gt;"",K1350=Q1350),"⚠ Origen igual a destino",IF(AND(K1350&lt;&gt;"",ISNA(MATCH(K1350,ctaNombre,0))),"⚠ Destino no registrado",IF(AND(P1350="Pago tarjeta",AE1350&lt;&gt;"Tarjeta de crédito"),"⚠ El destino debe ser tarjeta de crédito",IF(AND(P1350="Gasto",E1350="Depósitos y retiros"),"⚠ Usa tipo Transferencia",IF(AND(P1350="Resultado trading",AD1350&lt;&gt;"Cuenta de trading"),"⚠ Usa una cuenta de trading",IF(AND(G1350&lt;=0,P1350&lt;&gt;"Ajuste",P1350&lt;&gt;"Resultado trading"),"⚠ El monto debe ser positivo","✓")))))))))))))))</f>
        <v/>
      </c>
      <c r="P1350" s="52">
        <f>IF(OR(B1350="",G1350=""),"",IF(C1350="","Gasto",C1350))</f>
        <v/>
      </c>
      <c r="Q1350" s="52">
        <f>IF(P1350="","",IF(J1350&lt;&gt;"",J1350,CuentaPred&amp;""))</f>
        <v/>
      </c>
      <c r="R1350" s="52">
        <f>IF(P1350="","",IF(ISNUMBER(I1350),I1350,TasaUSD))</f>
        <v/>
      </c>
      <c r="S1350" s="53">
        <f>IF(P1350="","",IF(H1350="USD",G1350*R1350,G1350))</f>
        <v/>
      </c>
      <c r="T1350" s="53">
        <f>IF(P1350="","",IF(H1350="USD",G1350,IF(R1350&gt;0,G1350/R1350,0)))</f>
        <v/>
      </c>
      <c r="U1350" s="53">
        <f>IF(P1350="","",IF(P1350="Gasto",S1350,IF(P1350="Reembolso",-S1350,0)))</f>
        <v/>
      </c>
      <c r="V1350" s="53">
        <f>IF(P1350="","",IF(P1350="Ingreso",S1350,0))</f>
        <v/>
      </c>
      <c r="W1350" s="53">
        <f>IF(P1350="","",IF(P1350="Resultado trading",S1350,0))</f>
        <v/>
      </c>
      <c r="X1350" s="52">
        <f>IF(OR(P1350="Gasto",P1350="Reembolso"),IF(M1350&lt;&gt;"",M1350,IFERROR(INDEX(catClasif,MATCH(D1350&amp;"|"&amp;E1350,catClave,0))&amp;"","Variable")),"")</f>
        <v/>
      </c>
      <c r="Y1350" s="52">
        <f>IF(P1350="","",IFERROR(INDEX(catGrupo,MATCH(D1350&amp;"|"&amp;E1350,catClave,0))&amp;"",""))</f>
        <v/>
      </c>
      <c r="Z1350" s="52">
        <f>IF(P1350="","",WEEKDAY(B1350,2))</f>
        <v/>
      </c>
      <c r="AA1350" s="52">
        <f>IF(P1350="","",IF(AND(P1350="Gasto",X1350="Variable",D1350&lt;&gt;catTrading,S1350&gt;0,S1350&lt;=Umbral),1,0))</f>
        <v/>
      </c>
      <c r="AB1350" s="52">
        <f>IF(OR(P1350="",Q1350=""),"",IFERROR(IF(INDEX(ctaVinc,MATCH(Q1350,ctaNombre,0))&amp;""&lt;&gt;"",INDEX(ctaVinc,MATCH(Q1350,ctaNombre,0))&amp;"",Q1350),Q1350))</f>
        <v/>
      </c>
      <c r="AC1350" s="52">
        <f>IF(OR(K1350="",AND(P1350&lt;&gt;"Transferencia",P1350&lt;&gt;"Pago tarjeta")),"",IFERROR(IF(INDEX(ctaVinc,MATCH(K1350,ctaNombre,0))&amp;""&lt;&gt;"",INDEX(ctaVinc,MATCH(K1350,ctaNombre,0))&amp;"",K1350),K1350))</f>
        <v/>
      </c>
      <c r="AD1350" s="52">
        <f>IF(AB1350="","",IFERROR(INDEX(ctaTipo,MATCH(AB1350,ctaNombre,0))&amp;"",""))</f>
        <v/>
      </c>
      <c r="AE1350" s="52">
        <f>IF(AC1350="","",IFERROR(INDEX(ctaTipo,MATCH(AC1350,ctaNombre,0))&amp;"",""))</f>
        <v/>
      </c>
      <c r="AF1350" s="53">
        <f>IF(OR(P1350="",AB1350=""),"",IF(OR(P1350="Gasto",P1350="Transferencia",P1350="Pago tarjeta"),-1,1)*IF(IFERROR(INDEX(ctaMoneda,MATCH(AB1350,ctaNombre,0))&amp;"","DOP")="USD",T1350,S1350))</f>
        <v/>
      </c>
      <c r="AG1350" s="53">
        <f>IF(AC1350="","",IF(IFERROR(INDEX(ctaMoneda,MATCH(AC1350,ctaNombre,0))&amp;"","DOP")="USD",T1350,S1350))</f>
        <v/>
      </c>
      <c r="AH1350" s="53">
        <f>IF(P1350="","",IF(AND(AD1350&lt;&gt;"",COUNTIFS(tcTipo,AD1350,tcLiq,"Sí")&gt;0),IF(OR(P1350="Gasto",P1350="Transferencia",P1350="Pago tarjeta"),-1,1)*S1350,0)+IF(AND(AE1350&lt;&gt;"",COUNTIFS(tcTipo,AE1350,tcLiq,"Sí")&gt;0),S1350,0))</f>
        <v/>
      </c>
      <c r="AI1350" s="52">
        <f>IF(OR(L1350="",P1350=""),"",IF(COUNTIFS(L$6:L1350,L1350,P$6:P1350,"?*")=1,MAX(AI$5:AI1349)+1,""))</f>
        <v/>
      </c>
    </row>
    <row r="1351">
      <c r="B1351" s="47" t="n"/>
      <c r="C1351" s="48" t="n"/>
      <c r="D1351" s="48" t="n"/>
      <c r="E1351" s="48" t="n"/>
      <c r="F1351" s="48" t="n"/>
      <c r="G1351" s="49" t="n"/>
      <c r="H1351" s="48" t="n"/>
      <c r="I1351" s="50" t="n"/>
      <c r="J1351" s="48" t="n"/>
      <c r="K1351" s="48" t="n"/>
      <c r="L1351" s="48" t="n"/>
      <c r="M1351" s="48" t="n"/>
      <c r="N1351" s="48" t="n"/>
      <c r="O1351" s="51">
        <f>IF(AND(B1351="",G1351="",C1351="",D1351="",J1351=""),"",IF(B1351="","⚠ Falta fecha",IF(G1351="","⚠ Falta monto",IF(Q1351="","⚠ Falta cuenta",IF(ISNA(MATCH(Q1351,ctaNombre,0)),"⚠ Cuenta no registrada",IF(AND(OR(P1351="Gasto",P1351="Reembolso"),D1351=""),"⚠ Falta categoría",IF(AND(D1351&lt;&gt;"",E1351&lt;&gt;"",ISNA(MATCH(D1351&amp;"|"&amp;E1351,catClave,0))),"⚠ Subcategoría no corresponde",IF(AND(OR(P1351="Transferencia",P1351="Pago tarjeta"),K1351=""),"⚠ Falta cuenta destino",IF(AND(K1351&lt;&gt;"",P1351&lt;&gt;"Transferencia",P1351&lt;&gt;"Pago tarjeta"),"⚠ Destino solo aplica a transferencias",IF(AND(K1351&lt;&gt;"",K1351=Q1351),"⚠ Origen igual a destino",IF(AND(K1351&lt;&gt;"",ISNA(MATCH(K1351,ctaNombre,0))),"⚠ Destino no registrado",IF(AND(P1351="Pago tarjeta",AE1351&lt;&gt;"Tarjeta de crédito"),"⚠ El destino debe ser tarjeta de crédito",IF(AND(P1351="Gasto",E1351="Depósitos y retiros"),"⚠ Usa tipo Transferencia",IF(AND(P1351="Resultado trading",AD1351&lt;&gt;"Cuenta de trading"),"⚠ Usa una cuenta de trading",IF(AND(G1351&lt;=0,P1351&lt;&gt;"Ajuste",P1351&lt;&gt;"Resultado trading"),"⚠ El monto debe ser positivo","✓")))))))))))))))</f>
        <v/>
      </c>
      <c r="P1351" s="52">
        <f>IF(OR(B1351="",G1351=""),"",IF(C1351="","Gasto",C1351))</f>
        <v/>
      </c>
      <c r="Q1351" s="52">
        <f>IF(P1351="","",IF(J1351&lt;&gt;"",J1351,CuentaPred&amp;""))</f>
        <v/>
      </c>
      <c r="R1351" s="52">
        <f>IF(P1351="","",IF(ISNUMBER(I1351),I1351,TasaUSD))</f>
        <v/>
      </c>
      <c r="S1351" s="53">
        <f>IF(P1351="","",IF(H1351="USD",G1351*R1351,G1351))</f>
        <v/>
      </c>
      <c r="T1351" s="53">
        <f>IF(P1351="","",IF(H1351="USD",G1351,IF(R1351&gt;0,G1351/R1351,0)))</f>
        <v/>
      </c>
      <c r="U1351" s="53">
        <f>IF(P1351="","",IF(P1351="Gasto",S1351,IF(P1351="Reembolso",-S1351,0)))</f>
        <v/>
      </c>
      <c r="V1351" s="53">
        <f>IF(P1351="","",IF(P1351="Ingreso",S1351,0))</f>
        <v/>
      </c>
      <c r="W1351" s="53">
        <f>IF(P1351="","",IF(P1351="Resultado trading",S1351,0))</f>
        <v/>
      </c>
      <c r="X1351" s="52">
        <f>IF(OR(P1351="Gasto",P1351="Reembolso"),IF(M1351&lt;&gt;"",M1351,IFERROR(INDEX(catClasif,MATCH(D1351&amp;"|"&amp;E1351,catClave,0))&amp;"","Variable")),"")</f>
        <v/>
      </c>
      <c r="Y1351" s="52">
        <f>IF(P1351="","",IFERROR(INDEX(catGrupo,MATCH(D1351&amp;"|"&amp;E1351,catClave,0))&amp;"",""))</f>
        <v/>
      </c>
      <c r="Z1351" s="52">
        <f>IF(P1351="","",WEEKDAY(B1351,2))</f>
        <v/>
      </c>
      <c r="AA1351" s="52">
        <f>IF(P1351="","",IF(AND(P1351="Gasto",X1351="Variable",D1351&lt;&gt;catTrading,S1351&gt;0,S1351&lt;=Umbral),1,0))</f>
        <v/>
      </c>
      <c r="AB1351" s="52">
        <f>IF(OR(P1351="",Q1351=""),"",IFERROR(IF(INDEX(ctaVinc,MATCH(Q1351,ctaNombre,0))&amp;""&lt;&gt;"",INDEX(ctaVinc,MATCH(Q1351,ctaNombre,0))&amp;"",Q1351),Q1351))</f>
        <v/>
      </c>
      <c r="AC1351" s="52">
        <f>IF(OR(K1351="",AND(P1351&lt;&gt;"Transferencia",P1351&lt;&gt;"Pago tarjeta")),"",IFERROR(IF(INDEX(ctaVinc,MATCH(K1351,ctaNombre,0))&amp;""&lt;&gt;"",INDEX(ctaVinc,MATCH(K1351,ctaNombre,0))&amp;"",K1351),K1351))</f>
        <v/>
      </c>
      <c r="AD1351" s="52">
        <f>IF(AB1351="","",IFERROR(INDEX(ctaTipo,MATCH(AB1351,ctaNombre,0))&amp;"",""))</f>
        <v/>
      </c>
      <c r="AE1351" s="52">
        <f>IF(AC1351="","",IFERROR(INDEX(ctaTipo,MATCH(AC1351,ctaNombre,0))&amp;"",""))</f>
        <v/>
      </c>
      <c r="AF1351" s="53">
        <f>IF(OR(P1351="",AB1351=""),"",IF(OR(P1351="Gasto",P1351="Transferencia",P1351="Pago tarjeta"),-1,1)*IF(IFERROR(INDEX(ctaMoneda,MATCH(AB1351,ctaNombre,0))&amp;"","DOP")="USD",T1351,S1351))</f>
        <v/>
      </c>
      <c r="AG1351" s="53">
        <f>IF(AC1351="","",IF(IFERROR(INDEX(ctaMoneda,MATCH(AC1351,ctaNombre,0))&amp;"","DOP")="USD",T1351,S1351))</f>
        <v/>
      </c>
      <c r="AH1351" s="53">
        <f>IF(P1351="","",IF(AND(AD1351&lt;&gt;"",COUNTIFS(tcTipo,AD1351,tcLiq,"Sí")&gt;0),IF(OR(P1351="Gasto",P1351="Transferencia",P1351="Pago tarjeta"),-1,1)*S1351,0)+IF(AND(AE1351&lt;&gt;"",COUNTIFS(tcTipo,AE1351,tcLiq,"Sí")&gt;0),S1351,0))</f>
        <v/>
      </c>
      <c r="AI1351" s="52">
        <f>IF(OR(L1351="",P1351=""),"",IF(COUNTIFS(L$6:L1351,L1351,P$6:P1351,"?*")=1,MAX(AI$5:AI1350)+1,""))</f>
        <v/>
      </c>
    </row>
    <row r="1352">
      <c r="B1352" s="47" t="n"/>
      <c r="C1352" s="48" t="n"/>
      <c r="D1352" s="48" t="n"/>
      <c r="E1352" s="48" t="n"/>
      <c r="F1352" s="48" t="n"/>
      <c r="G1352" s="49" t="n"/>
      <c r="H1352" s="48" t="n"/>
      <c r="I1352" s="50" t="n"/>
      <c r="J1352" s="48" t="n"/>
      <c r="K1352" s="48" t="n"/>
      <c r="L1352" s="48" t="n"/>
      <c r="M1352" s="48" t="n"/>
      <c r="N1352" s="48" t="n"/>
      <c r="O1352" s="51">
        <f>IF(AND(B1352="",G1352="",C1352="",D1352="",J1352=""),"",IF(B1352="","⚠ Falta fecha",IF(G1352="","⚠ Falta monto",IF(Q1352="","⚠ Falta cuenta",IF(ISNA(MATCH(Q1352,ctaNombre,0)),"⚠ Cuenta no registrada",IF(AND(OR(P1352="Gasto",P1352="Reembolso"),D1352=""),"⚠ Falta categoría",IF(AND(D1352&lt;&gt;"",E1352&lt;&gt;"",ISNA(MATCH(D1352&amp;"|"&amp;E1352,catClave,0))),"⚠ Subcategoría no corresponde",IF(AND(OR(P1352="Transferencia",P1352="Pago tarjeta"),K1352=""),"⚠ Falta cuenta destino",IF(AND(K1352&lt;&gt;"",P1352&lt;&gt;"Transferencia",P1352&lt;&gt;"Pago tarjeta"),"⚠ Destino solo aplica a transferencias",IF(AND(K1352&lt;&gt;"",K1352=Q1352),"⚠ Origen igual a destino",IF(AND(K1352&lt;&gt;"",ISNA(MATCH(K1352,ctaNombre,0))),"⚠ Destino no registrado",IF(AND(P1352="Pago tarjeta",AE1352&lt;&gt;"Tarjeta de crédito"),"⚠ El destino debe ser tarjeta de crédito",IF(AND(P1352="Gasto",E1352="Depósitos y retiros"),"⚠ Usa tipo Transferencia",IF(AND(P1352="Resultado trading",AD1352&lt;&gt;"Cuenta de trading"),"⚠ Usa una cuenta de trading",IF(AND(G1352&lt;=0,P1352&lt;&gt;"Ajuste",P1352&lt;&gt;"Resultado trading"),"⚠ El monto debe ser positivo","✓")))))))))))))))</f>
        <v/>
      </c>
      <c r="P1352" s="52">
        <f>IF(OR(B1352="",G1352=""),"",IF(C1352="","Gasto",C1352))</f>
        <v/>
      </c>
      <c r="Q1352" s="52">
        <f>IF(P1352="","",IF(J1352&lt;&gt;"",J1352,CuentaPred&amp;""))</f>
        <v/>
      </c>
      <c r="R1352" s="52">
        <f>IF(P1352="","",IF(ISNUMBER(I1352),I1352,TasaUSD))</f>
        <v/>
      </c>
      <c r="S1352" s="53">
        <f>IF(P1352="","",IF(H1352="USD",G1352*R1352,G1352))</f>
        <v/>
      </c>
      <c r="T1352" s="53">
        <f>IF(P1352="","",IF(H1352="USD",G1352,IF(R1352&gt;0,G1352/R1352,0)))</f>
        <v/>
      </c>
      <c r="U1352" s="53">
        <f>IF(P1352="","",IF(P1352="Gasto",S1352,IF(P1352="Reembolso",-S1352,0)))</f>
        <v/>
      </c>
      <c r="V1352" s="53">
        <f>IF(P1352="","",IF(P1352="Ingreso",S1352,0))</f>
        <v/>
      </c>
      <c r="W1352" s="53">
        <f>IF(P1352="","",IF(P1352="Resultado trading",S1352,0))</f>
        <v/>
      </c>
      <c r="X1352" s="52">
        <f>IF(OR(P1352="Gasto",P1352="Reembolso"),IF(M1352&lt;&gt;"",M1352,IFERROR(INDEX(catClasif,MATCH(D1352&amp;"|"&amp;E1352,catClave,0))&amp;"","Variable")),"")</f>
        <v/>
      </c>
      <c r="Y1352" s="52">
        <f>IF(P1352="","",IFERROR(INDEX(catGrupo,MATCH(D1352&amp;"|"&amp;E1352,catClave,0))&amp;"",""))</f>
        <v/>
      </c>
      <c r="Z1352" s="52">
        <f>IF(P1352="","",WEEKDAY(B1352,2))</f>
        <v/>
      </c>
      <c r="AA1352" s="52">
        <f>IF(P1352="","",IF(AND(P1352="Gasto",X1352="Variable",D1352&lt;&gt;catTrading,S1352&gt;0,S1352&lt;=Umbral),1,0))</f>
        <v/>
      </c>
      <c r="AB1352" s="52">
        <f>IF(OR(P1352="",Q1352=""),"",IFERROR(IF(INDEX(ctaVinc,MATCH(Q1352,ctaNombre,0))&amp;""&lt;&gt;"",INDEX(ctaVinc,MATCH(Q1352,ctaNombre,0))&amp;"",Q1352),Q1352))</f>
        <v/>
      </c>
      <c r="AC1352" s="52">
        <f>IF(OR(K1352="",AND(P1352&lt;&gt;"Transferencia",P1352&lt;&gt;"Pago tarjeta")),"",IFERROR(IF(INDEX(ctaVinc,MATCH(K1352,ctaNombre,0))&amp;""&lt;&gt;"",INDEX(ctaVinc,MATCH(K1352,ctaNombre,0))&amp;"",K1352),K1352))</f>
        <v/>
      </c>
      <c r="AD1352" s="52">
        <f>IF(AB1352="","",IFERROR(INDEX(ctaTipo,MATCH(AB1352,ctaNombre,0))&amp;"",""))</f>
        <v/>
      </c>
      <c r="AE1352" s="52">
        <f>IF(AC1352="","",IFERROR(INDEX(ctaTipo,MATCH(AC1352,ctaNombre,0))&amp;"",""))</f>
        <v/>
      </c>
      <c r="AF1352" s="53">
        <f>IF(OR(P1352="",AB1352=""),"",IF(OR(P1352="Gasto",P1352="Transferencia",P1352="Pago tarjeta"),-1,1)*IF(IFERROR(INDEX(ctaMoneda,MATCH(AB1352,ctaNombre,0))&amp;"","DOP")="USD",T1352,S1352))</f>
        <v/>
      </c>
      <c r="AG1352" s="53">
        <f>IF(AC1352="","",IF(IFERROR(INDEX(ctaMoneda,MATCH(AC1352,ctaNombre,0))&amp;"","DOP")="USD",T1352,S1352))</f>
        <v/>
      </c>
      <c r="AH1352" s="53">
        <f>IF(P1352="","",IF(AND(AD1352&lt;&gt;"",COUNTIFS(tcTipo,AD1352,tcLiq,"Sí")&gt;0),IF(OR(P1352="Gasto",P1352="Transferencia",P1352="Pago tarjeta"),-1,1)*S1352,0)+IF(AND(AE1352&lt;&gt;"",COUNTIFS(tcTipo,AE1352,tcLiq,"Sí")&gt;0),S1352,0))</f>
        <v/>
      </c>
      <c r="AI1352" s="52">
        <f>IF(OR(L1352="",P1352=""),"",IF(COUNTIFS(L$6:L1352,L1352,P$6:P1352,"?*")=1,MAX(AI$5:AI1351)+1,""))</f>
        <v/>
      </c>
    </row>
    <row r="1353">
      <c r="B1353" s="47" t="n"/>
      <c r="C1353" s="48" t="n"/>
      <c r="D1353" s="48" t="n"/>
      <c r="E1353" s="48" t="n"/>
      <c r="F1353" s="48" t="n"/>
      <c r="G1353" s="49" t="n"/>
      <c r="H1353" s="48" t="n"/>
      <c r="I1353" s="50" t="n"/>
      <c r="J1353" s="48" t="n"/>
      <c r="K1353" s="48" t="n"/>
      <c r="L1353" s="48" t="n"/>
      <c r="M1353" s="48" t="n"/>
      <c r="N1353" s="48" t="n"/>
      <c r="O1353" s="51">
        <f>IF(AND(B1353="",G1353="",C1353="",D1353="",J1353=""),"",IF(B1353="","⚠ Falta fecha",IF(G1353="","⚠ Falta monto",IF(Q1353="","⚠ Falta cuenta",IF(ISNA(MATCH(Q1353,ctaNombre,0)),"⚠ Cuenta no registrada",IF(AND(OR(P1353="Gasto",P1353="Reembolso"),D1353=""),"⚠ Falta categoría",IF(AND(D1353&lt;&gt;"",E1353&lt;&gt;"",ISNA(MATCH(D1353&amp;"|"&amp;E1353,catClave,0))),"⚠ Subcategoría no corresponde",IF(AND(OR(P1353="Transferencia",P1353="Pago tarjeta"),K1353=""),"⚠ Falta cuenta destino",IF(AND(K1353&lt;&gt;"",P1353&lt;&gt;"Transferencia",P1353&lt;&gt;"Pago tarjeta"),"⚠ Destino solo aplica a transferencias",IF(AND(K1353&lt;&gt;"",K1353=Q1353),"⚠ Origen igual a destino",IF(AND(K1353&lt;&gt;"",ISNA(MATCH(K1353,ctaNombre,0))),"⚠ Destino no registrado",IF(AND(P1353="Pago tarjeta",AE1353&lt;&gt;"Tarjeta de crédito"),"⚠ El destino debe ser tarjeta de crédito",IF(AND(P1353="Gasto",E1353="Depósitos y retiros"),"⚠ Usa tipo Transferencia",IF(AND(P1353="Resultado trading",AD1353&lt;&gt;"Cuenta de trading"),"⚠ Usa una cuenta de trading",IF(AND(G1353&lt;=0,P1353&lt;&gt;"Ajuste",P1353&lt;&gt;"Resultado trading"),"⚠ El monto debe ser positivo","✓")))))))))))))))</f>
        <v/>
      </c>
      <c r="P1353" s="52">
        <f>IF(OR(B1353="",G1353=""),"",IF(C1353="","Gasto",C1353))</f>
        <v/>
      </c>
      <c r="Q1353" s="52">
        <f>IF(P1353="","",IF(J1353&lt;&gt;"",J1353,CuentaPred&amp;""))</f>
        <v/>
      </c>
      <c r="R1353" s="52">
        <f>IF(P1353="","",IF(ISNUMBER(I1353),I1353,TasaUSD))</f>
        <v/>
      </c>
      <c r="S1353" s="53">
        <f>IF(P1353="","",IF(H1353="USD",G1353*R1353,G1353))</f>
        <v/>
      </c>
      <c r="T1353" s="53">
        <f>IF(P1353="","",IF(H1353="USD",G1353,IF(R1353&gt;0,G1353/R1353,0)))</f>
        <v/>
      </c>
      <c r="U1353" s="53">
        <f>IF(P1353="","",IF(P1353="Gasto",S1353,IF(P1353="Reembolso",-S1353,0)))</f>
        <v/>
      </c>
      <c r="V1353" s="53">
        <f>IF(P1353="","",IF(P1353="Ingreso",S1353,0))</f>
        <v/>
      </c>
      <c r="W1353" s="53">
        <f>IF(P1353="","",IF(P1353="Resultado trading",S1353,0))</f>
        <v/>
      </c>
      <c r="X1353" s="52">
        <f>IF(OR(P1353="Gasto",P1353="Reembolso"),IF(M1353&lt;&gt;"",M1353,IFERROR(INDEX(catClasif,MATCH(D1353&amp;"|"&amp;E1353,catClave,0))&amp;"","Variable")),"")</f>
        <v/>
      </c>
      <c r="Y1353" s="52">
        <f>IF(P1353="","",IFERROR(INDEX(catGrupo,MATCH(D1353&amp;"|"&amp;E1353,catClave,0))&amp;"",""))</f>
        <v/>
      </c>
      <c r="Z1353" s="52">
        <f>IF(P1353="","",WEEKDAY(B1353,2))</f>
        <v/>
      </c>
      <c r="AA1353" s="52">
        <f>IF(P1353="","",IF(AND(P1353="Gasto",X1353="Variable",D1353&lt;&gt;catTrading,S1353&gt;0,S1353&lt;=Umbral),1,0))</f>
        <v/>
      </c>
      <c r="AB1353" s="52">
        <f>IF(OR(P1353="",Q1353=""),"",IFERROR(IF(INDEX(ctaVinc,MATCH(Q1353,ctaNombre,0))&amp;""&lt;&gt;"",INDEX(ctaVinc,MATCH(Q1353,ctaNombre,0))&amp;"",Q1353),Q1353))</f>
        <v/>
      </c>
      <c r="AC1353" s="52">
        <f>IF(OR(K1353="",AND(P1353&lt;&gt;"Transferencia",P1353&lt;&gt;"Pago tarjeta")),"",IFERROR(IF(INDEX(ctaVinc,MATCH(K1353,ctaNombre,0))&amp;""&lt;&gt;"",INDEX(ctaVinc,MATCH(K1353,ctaNombre,0))&amp;"",K1353),K1353))</f>
        <v/>
      </c>
      <c r="AD1353" s="52">
        <f>IF(AB1353="","",IFERROR(INDEX(ctaTipo,MATCH(AB1353,ctaNombre,0))&amp;"",""))</f>
        <v/>
      </c>
      <c r="AE1353" s="52">
        <f>IF(AC1353="","",IFERROR(INDEX(ctaTipo,MATCH(AC1353,ctaNombre,0))&amp;"",""))</f>
        <v/>
      </c>
      <c r="AF1353" s="53">
        <f>IF(OR(P1353="",AB1353=""),"",IF(OR(P1353="Gasto",P1353="Transferencia",P1353="Pago tarjeta"),-1,1)*IF(IFERROR(INDEX(ctaMoneda,MATCH(AB1353,ctaNombre,0))&amp;"","DOP")="USD",T1353,S1353))</f>
        <v/>
      </c>
      <c r="AG1353" s="53">
        <f>IF(AC1353="","",IF(IFERROR(INDEX(ctaMoneda,MATCH(AC1353,ctaNombre,0))&amp;"","DOP")="USD",T1353,S1353))</f>
        <v/>
      </c>
      <c r="AH1353" s="53">
        <f>IF(P1353="","",IF(AND(AD1353&lt;&gt;"",COUNTIFS(tcTipo,AD1353,tcLiq,"Sí")&gt;0),IF(OR(P1353="Gasto",P1353="Transferencia",P1353="Pago tarjeta"),-1,1)*S1353,0)+IF(AND(AE1353&lt;&gt;"",COUNTIFS(tcTipo,AE1353,tcLiq,"Sí")&gt;0),S1353,0))</f>
        <v/>
      </c>
      <c r="AI1353" s="52">
        <f>IF(OR(L1353="",P1353=""),"",IF(COUNTIFS(L$6:L1353,L1353,P$6:P1353,"?*")=1,MAX(AI$5:AI1352)+1,""))</f>
        <v/>
      </c>
    </row>
    <row r="1354">
      <c r="B1354" s="47" t="n"/>
      <c r="C1354" s="48" t="n"/>
      <c r="D1354" s="48" t="n"/>
      <c r="E1354" s="48" t="n"/>
      <c r="F1354" s="48" t="n"/>
      <c r="G1354" s="49" t="n"/>
      <c r="H1354" s="48" t="n"/>
      <c r="I1354" s="50" t="n"/>
      <c r="J1354" s="48" t="n"/>
      <c r="K1354" s="48" t="n"/>
      <c r="L1354" s="48" t="n"/>
      <c r="M1354" s="48" t="n"/>
      <c r="N1354" s="48" t="n"/>
      <c r="O1354" s="51">
        <f>IF(AND(B1354="",G1354="",C1354="",D1354="",J1354=""),"",IF(B1354="","⚠ Falta fecha",IF(G1354="","⚠ Falta monto",IF(Q1354="","⚠ Falta cuenta",IF(ISNA(MATCH(Q1354,ctaNombre,0)),"⚠ Cuenta no registrada",IF(AND(OR(P1354="Gasto",P1354="Reembolso"),D1354=""),"⚠ Falta categoría",IF(AND(D1354&lt;&gt;"",E1354&lt;&gt;"",ISNA(MATCH(D1354&amp;"|"&amp;E1354,catClave,0))),"⚠ Subcategoría no corresponde",IF(AND(OR(P1354="Transferencia",P1354="Pago tarjeta"),K1354=""),"⚠ Falta cuenta destino",IF(AND(K1354&lt;&gt;"",P1354&lt;&gt;"Transferencia",P1354&lt;&gt;"Pago tarjeta"),"⚠ Destino solo aplica a transferencias",IF(AND(K1354&lt;&gt;"",K1354=Q1354),"⚠ Origen igual a destino",IF(AND(K1354&lt;&gt;"",ISNA(MATCH(K1354,ctaNombre,0))),"⚠ Destino no registrado",IF(AND(P1354="Pago tarjeta",AE1354&lt;&gt;"Tarjeta de crédito"),"⚠ El destino debe ser tarjeta de crédito",IF(AND(P1354="Gasto",E1354="Depósitos y retiros"),"⚠ Usa tipo Transferencia",IF(AND(P1354="Resultado trading",AD1354&lt;&gt;"Cuenta de trading"),"⚠ Usa una cuenta de trading",IF(AND(G1354&lt;=0,P1354&lt;&gt;"Ajuste",P1354&lt;&gt;"Resultado trading"),"⚠ El monto debe ser positivo","✓")))))))))))))))</f>
        <v/>
      </c>
      <c r="P1354" s="52">
        <f>IF(OR(B1354="",G1354=""),"",IF(C1354="","Gasto",C1354))</f>
        <v/>
      </c>
      <c r="Q1354" s="52">
        <f>IF(P1354="","",IF(J1354&lt;&gt;"",J1354,CuentaPred&amp;""))</f>
        <v/>
      </c>
      <c r="R1354" s="52">
        <f>IF(P1354="","",IF(ISNUMBER(I1354),I1354,TasaUSD))</f>
        <v/>
      </c>
      <c r="S1354" s="53">
        <f>IF(P1354="","",IF(H1354="USD",G1354*R1354,G1354))</f>
        <v/>
      </c>
      <c r="T1354" s="53">
        <f>IF(P1354="","",IF(H1354="USD",G1354,IF(R1354&gt;0,G1354/R1354,0)))</f>
        <v/>
      </c>
      <c r="U1354" s="53">
        <f>IF(P1354="","",IF(P1354="Gasto",S1354,IF(P1354="Reembolso",-S1354,0)))</f>
        <v/>
      </c>
      <c r="V1354" s="53">
        <f>IF(P1354="","",IF(P1354="Ingreso",S1354,0))</f>
        <v/>
      </c>
      <c r="W1354" s="53">
        <f>IF(P1354="","",IF(P1354="Resultado trading",S1354,0))</f>
        <v/>
      </c>
      <c r="X1354" s="52">
        <f>IF(OR(P1354="Gasto",P1354="Reembolso"),IF(M1354&lt;&gt;"",M1354,IFERROR(INDEX(catClasif,MATCH(D1354&amp;"|"&amp;E1354,catClave,0))&amp;"","Variable")),"")</f>
        <v/>
      </c>
      <c r="Y1354" s="52">
        <f>IF(P1354="","",IFERROR(INDEX(catGrupo,MATCH(D1354&amp;"|"&amp;E1354,catClave,0))&amp;"",""))</f>
        <v/>
      </c>
      <c r="Z1354" s="52">
        <f>IF(P1354="","",WEEKDAY(B1354,2))</f>
        <v/>
      </c>
      <c r="AA1354" s="52">
        <f>IF(P1354="","",IF(AND(P1354="Gasto",X1354="Variable",D1354&lt;&gt;catTrading,S1354&gt;0,S1354&lt;=Umbral),1,0))</f>
        <v/>
      </c>
      <c r="AB1354" s="52">
        <f>IF(OR(P1354="",Q1354=""),"",IFERROR(IF(INDEX(ctaVinc,MATCH(Q1354,ctaNombre,0))&amp;""&lt;&gt;"",INDEX(ctaVinc,MATCH(Q1354,ctaNombre,0))&amp;"",Q1354),Q1354))</f>
        <v/>
      </c>
      <c r="AC1354" s="52">
        <f>IF(OR(K1354="",AND(P1354&lt;&gt;"Transferencia",P1354&lt;&gt;"Pago tarjeta")),"",IFERROR(IF(INDEX(ctaVinc,MATCH(K1354,ctaNombre,0))&amp;""&lt;&gt;"",INDEX(ctaVinc,MATCH(K1354,ctaNombre,0))&amp;"",K1354),K1354))</f>
        <v/>
      </c>
      <c r="AD1354" s="52">
        <f>IF(AB1354="","",IFERROR(INDEX(ctaTipo,MATCH(AB1354,ctaNombre,0))&amp;"",""))</f>
        <v/>
      </c>
      <c r="AE1354" s="52">
        <f>IF(AC1354="","",IFERROR(INDEX(ctaTipo,MATCH(AC1354,ctaNombre,0))&amp;"",""))</f>
        <v/>
      </c>
      <c r="AF1354" s="53">
        <f>IF(OR(P1354="",AB1354=""),"",IF(OR(P1354="Gasto",P1354="Transferencia",P1354="Pago tarjeta"),-1,1)*IF(IFERROR(INDEX(ctaMoneda,MATCH(AB1354,ctaNombre,0))&amp;"","DOP")="USD",T1354,S1354))</f>
        <v/>
      </c>
      <c r="AG1354" s="53">
        <f>IF(AC1354="","",IF(IFERROR(INDEX(ctaMoneda,MATCH(AC1354,ctaNombre,0))&amp;"","DOP")="USD",T1354,S1354))</f>
        <v/>
      </c>
      <c r="AH1354" s="53">
        <f>IF(P1354="","",IF(AND(AD1354&lt;&gt;"",COUNTIFS(tcTipo,AD1354,tcLiq,"Sí")&gt;0),IF(OR(P1354="Gasto",P1354="Transferencia",P1354="Pago tarjeta"),-1,1)*S1354,0)+IF(AND(AE1354&lt;&gt;"",COUNTIFS(tcTipo,AE1354,tcLiq,"Sí")&gt;0),S1354,0))</f>
        <v/>
      </c>
      <c r="AI1354" s="52">
        <f>IF(OR(L1354="",P1354=""),"",IF(COUNTIFS(L$6:L1354,L1354,P$6:P1354,"?*")=1,MAX(AI$5:AI1353)+1,""))</f>
        <v/>
      </c>
    </row>
    <row r="1355">
      <c r="B1355" s="47" t="n"/>
      <c r="C1355" s="48" t="n"/>
      <c r="D1355" s="48" t="n"/>
      <c r="E1355" s="48" t="n"/>
      <c r="F1355" s="48" t="n"/>
      <c r="G1355" s="49" t="n"/>
      <c r="H1355" s="48" t="n"/>
      <c r="I1355" s="50" t="n"/>
      <c r="J1355" s="48" t="n"/>
      <c r="K1355" s="48" t="n"/>
      <c r="L1355" s="48" t="n"/>
      <c r="M1355" s="48" t="n"/>
      <c r="N1355" s="48" t="n"/>
      <c r="O1355" s="51">
        <f>IF(AND(B1355="",G1355="",C1355="",D1355="",J1355=""),"",IF(B1355="","⚠ Falta fecha",IF(G1355="","⚠ Falta monto",IF(Q1355="","⚠ Falta cuenta",IF(ISNA(MATCH(Q1355,ctaNombre,0)),"⚠ Cuenta no registrada",IF(AND(OR(P1355="Gasto",P1355="Reembolso"),D1355=""),"⚠ Falta categoría",IF(AND(D1355&lt;&gt;"",E1355&lt;&gt;"",ISNA(MATCH(D1355&amp;"|"&amp;E1355,catClave,0))),"⚠ Subcategoría no corresponde",IF(AND(OR(P1355="Transferencia",P1355="Pago tarjeta"),K1355=""),"⚠ Falta cuenta destino",IF(AND(K1355&lt;&gt;"",P1355&lt;&gt;"Transferencia",P1355&lt;&gt;"Pago tarjeta"),"⚠ Destino solo aplica a transferencias",IF(AND(K1355&lt;&gt;"",K1355=Q1355),"⚠ Origen igual a destino",IF(AND(K1355&lt;&gt;"",ISNA(MATCH(K1355,ctaNombre,0))),"⚠ Destino no registrado",IF(AND(P1355="Pago tarjeta",AE1355&lt;&gt;"Tarjeta de crédito"),"⚠ El destino debe ser tarjeta de crédito",IF(AND(P1355="Gasto",E1355="Depósitos y retiros"),"⚠ Usa tipo Transferencia",IF(AND(P1355="Resultado trading",AD1355&lt;&gt;"Cuenta de trading"),"⚠ Usa una cuenta de trading",IF(AND(G1355&lt;=0,P1355&lt;&gt;"Ajuste",P1355&lt;&gt;"Resultado trading"),"⚠ El monto debe ser positivo","✓")))))))))))))))</f>
        <v/>
      </c>
      <c r="P1355" s="52">
        <f>IF(OR(B1355="",G1355=""),"",IF(C1355="","Gasto",C1355))</f>
        <v/>
      </c>
      <c r="Q1355" s="52">
        <f>IF(P1355="","",IF(J1355&lt;&gt;"",J1355,CuentaPred&amp;""))</f>
        <v/>
      </c>
      <c r="R1355" s="52">
        <f>IF(P1355="","",IF(ISNUMBER(I1355),I1355,TasaUSD))</f>
        <v/>
      </c>
      <c r="S1355" s="53">
        <f>IF(P1355="","",IF(H1355="USD",G1355*R1355,G1355))</f>
        <v/>
      </c>
      <c r="T1355" s="53">
        <f>IF(P1355="","",IF(H1355="USD",G1355,IF(R1355&gt;0,G1355/R1355,0)))</f>
        <v/>
      </c>
      <c r="U1355" s="53">
        <f>IF(P1355="","",IF(P1355="Gasto",S1355,IF(P1355="Reembolso",-S1355,0)))</f>
        <v/>
      </c>
      <c r="V1355" s="53">
        <f>IF(P1355="","",IF(P1355="Ingreso",S1355,0))</f>
        <v/>
      </c>
      <c r="W1355" s="53">
        <f>IF(P1355="","",IF(P1355="Resultado trading",S1355,0))</f>
        <v/>
      </c>
      <c r="X1355" s="52">
        <f>IF(OR(P1355="Gasto",P1355="Reembolso"),IF(M1355&lt;&gt;"",M1355,IFERROR(INDEX(catClasif,MATCH(D1355&amp;"|"&amp;E1355,catClave,0))&amp;"","Variable")),"")</f>
        <v/>
      </c>
      <c r="Y1355" s="52">
        <f>IF(P1355="","",IFERROR(INDEX(catGrupo,MATCH(D1355&amp;"|"&amp;E1355,catClave,0))&amp;"",""))</f>
        <v/>
      </c>
      <c r="Z1355" s="52">
        <f>IF(P1355="","",WEEKDAY(B1355,2))</f>
        <v/>
      </c>
      <c r="AA1355" s="52">
        <f>IF(P1355="","",IF(AND(P1355="Gasto",X1355="Variable",D1355&lt;&gt;catTrading,S1355&gt;0,S1355&lt;=Umbral),1,0))</f>
        <v/>
      </c>
      <c r="AB1355" s="52">
        <f>IF(OR(P1355="",Q1355=""),"",IFERROR(IF(INDEX(ctaVinc,MATCH(Q1355,ctaNombre,0))&amp;""&lt;&gt;"",INDEX(ctaVinc,MATCH(Q1355,ctaNombre,0))&amp;"",Q1355),Q1355))</f>
        <v/>
      </c>
      <c r="AC1355" s="52">
        <f>IF(OR(K1355="",AND(P1355&lt;&gt;"Transferencia",P1355&lt;&gt;"Pago tarjeta")),"",IFERROR(IF(INDEX(ctaVinc,MATCH(K1355,ctaNombre,0))&amp;""&lt;&gt;"",INDEX(ctaVinc,MATCH(K1355,ctaNombre,0))&amp;"",K1355),K1355))</f>
        <v/>
      </c>
      <c r="AD1355" s="52">
        <f>IF(AB1355="","",IFERROR(INDEX(ctaTipo,MATCH(AB1355,ctaNombre,0))&amp;"",""))</f>
        <v/>
      </c>
      <c r="AE1355" s="52">
        <f>IF(AC1355="","",IFERROR(INDEX(ctaTipo,MATCH(AC1355,ctaNombre,0))&amp;"",""))</f>
        <v/>
      </c>
      <c r="AF1355" s="53">
        <f>IF(OR(P1355="",AB1355=""),"",IF(OR(P1355="Gasto",P1355="Transferencia",P1355="Pago tarjeta"),-1,1)*IF(IFERROR(INDEX(ctaMoneda,MATCH(AB1355,ctaNombre,0))&amp;"","DOP")="USD",T1355,S1355))</f>
        <v/>
      </c>
      <c r="AG1355" s="53">
        <f>IF(AC1355="","",IF(IFERROR(INDEX(ctaMoneda,MATCH(AC1355,ctaNombre,0))&amp;"","DOP")="USD",T1355,S1355))</f>
        <v/>
      </c>
      <c r="AH1355" s="53">
        <f>IF(P1355="","",IF(AND(AD1355&lt;&gt;"",COUNTIFS(tcTipo,AD1355,tcLiq,"Sí")&gt;0),IF(OR(P1355="Gasto",P1355="Transferencia",P1355="Pago tarjeta"),-1,1)*S1355,0)+IF(AND(AE1355&lt;&gt;"",COUNTIFS(tcTipo,AE1355,tcLiq,"Sí")&gt;0),S1355,0))</f>
        <v/>
      </c>
      <c r="AI1355" s="52">
        <f>IF(OR(L1355="",P1355=""),"",IF(COUNTIFS(L$6:L1355,L1355,P$6:P1355,"?*")=1,MAX(AI$5:AI1354)+1,""))</f>
        <v/>
      </c>
    </row>
    <row r="1356">
      <c r="B1356" s="47" t="n"/>
      <c r="C1356" s="48" t="n"/>
      <c r="D1356" s="48" t="n"/>
      <c r="E1356" s="48" t="n"/>
      <c r="F1356" s="48" t="n"/>
      <c r="G1356" s="49" t="n"/>
      <c r="H1356" s="48" t="n"/>
      <c r="I1356" s="50" t="n"/>
      <c r="J1356" s="48" t="n"/>
      <c r="K1356" s="48" t="n"/>
      <c r="L1356" s="48" t="n"/>
      <c r="M1356" s="48" t="n"/>
      <c r="N1356" s="48" t="n"/>
      <c r="O1356" s="51">
        <f>IF(AND(B1356="",G1356="",C1356="",D1356="",J1356=""),"",IF(B1356="","⚠ Falta fecha",IF(G1356="","⚠ Falta monto",IF(Q1356="","⚠ Falta cuenta",IF(ISNA(MATCH(Q1356,ctaNombre,0)),"⚠ Cuenta no registrada",IF(AND(OR(P1356="Gasto",P1356="Reembolso"),D1356=""),"⚠ Falta categoría",IF(AND(D1356&lt;&gt;"",E1356&lt;&gt;"",ISNA(MATCH(D1356&amp;"|"&amp;E1356,catClave,0))),"⚠ Subcategoría no corresponde",IF(AND(OR(P1356="Transferencia",P1356="Pago tarjeta"),K1356=""),"⚠ Falta cuenta destino",IF(AND(K1356&lt;&gt;"",P1356&lt;&gt;"Transferencia",P1356&lt;&gt;"Pago tarjeta"),"⚠ Destino solo aplica a transferencias",IF(AND(K1356&lt;&gt;"",K1356=Q1356),"⚠ Origen igual a destino",IF(AND(K1356&lt;&gt;"",ISNA(MATCH(K1356,ctaNombre,0))),"⚠ Destino no registrado",IF(AND(P1356="Pago tarjeta",AE1356&lt;&gt;"Tarjeta de crédito"),"⚠ El destino debe ser tarjeta de crédito",IF(AND(P1356="Gasto",E1356="Depósitos y retiros"),"⚠ Usa tipo Transferencia",IF(AND(P1356="Resultado trading",AD1356&lt;&gt;"Cuenta de trading"),"⚠ Usa una cuenta de trading",IF(AND(G1356&lt;=0,P1356&lt;&gt;"Ajuste",P1356&lt;&gt;"Resultado trading"),"⚠ El monto debe ser positivo","✓")))))))))))))))</f>
        <v/>
      </c>
      <c r="P1356" s="52">
        <f>IF(OR(B1356="",G1356=""),"",IF(C1356="","Gasto",C1356))</f>
        <v/>
      </c>
      <c r="Q1356" s="52">
        <f>IF(P1356="","",IF(J1356&lt;&gt;"",J1356,CuentaPred&amp;""))</f>
        <v/>
      </c>
      <c r="R1356" s="52">
        <f>IF(P1356="","",IF(ISNUMBER(I1356),I1356,TasaUSD))</f>
        <v/>
      </c>
      <c r="S1356" s="53">
        <f>IF(P1356="","",IF(H1356="USD",G1356*R1356,G1356))</f>
        <v/>
      </c>
      <c r="T1356" s="53">
        <f>IF(P1356="","",IF(H1356="USD",G1356,IF(R1356&gt;0,G1356/R1356,0)))</f>
        <v/>
      </c>
      <c r="U1356" s="53">
        <f>IF(P1356="","",IF(P1356="Gasto",S1356,IF(P1356="Reembolso",-S1356,0)))</f>
        <v/>
      </c>
      <c r="V1356" s="53">
        <f>IF(P1356="","",IF(P1356="Ingreso",S1356,0))</f>
        <v/>
      </c>
      <c r="W1356" s="53">
        <f>IF(P1356="","",IF(P1356="Resultado trading",S1356,0))</f>
        <v/>
      </c>
      <c r="X1356" s="52">
        <f>IF(OR(P1356="Gasto",P1356="Reembolso"),IF(M1356&lt;&gt;"",M1356,IFERROR(INDEX(catClasif,MATCH(D1356&amp;"|"&amp;E1356,catClave,0))&amp;"","Variable")),"")</f>
        <v/>
      </c>
      <c r="Y1356" s="52">
        <f>IF(P1356="","",IFERROR(INDEX(catGrupo,MATCH(D1356&amp;"|"&amp;E1356,catClave,0))&amp;"",""))</f>
        <v/>
      </c>
      <c r="Z1356" s="52">
        <f>IF(P1356="","",WEEKDAY(B1356,2))</f>
        <v/>
      </c>
      <c r="AA1356" s="52">
        <f>IF(P1356="","",IF(AND(P1356="Gasto",X1356="Variable",D1356&lt;&gt;catTrading,S1356&gt;0,S1356&lt;=Umbral),1,0))</f>
        <v/>
      </c>
      <c r="AB1356" s="52">
        <f>IF(OR(P1356="",Q1356=""),"",IFERROR(IF(INDEX(ctaVinc,MATCH(Q1356,ctaNombre,0))&amp;""&lt;&gt;"",INDEX(ctaVinc,MATCH(Q1356,ctaNombre,0))&amp;"",Q1356),Q1356))</f>
        <v/>
      </c>
      <c r="AC1356" s="52">
        <f>IF(OR(K1356="",AND(P1356&lt;&gt;"Transferencia",P1356&lt;&gt;"Pago tarjeta")),"",IFERROR(IF(INDEX(ctaVinc,MATCH(K1356,ctaNombre,0))&amp;""&lt;&gt;"",INDEX(ctaVinc,MATCH(K1356,ctaNombre,0))&amp;"",K1356),K1356))</f>
        <v/>
      </c>
      <c r="AD1356" s="52">
        <f>IF(AB1356="","",IFERROR(INDEX(ctaTipo,MATCH(AB1356,ctaNombre,0))&amp;"",""))</f>
        <v/>
      </c>
      <c r="AE1356" s="52">
        <f>IF(AC1356="","",IFERROR(INDEX(ctaTipo,MATCH(AC1356,ctaNombre,0))&amp;"",""))</f>
        <v/>
      </c>
      <c r="AF1356" s="53">
        <f>IF(OR(P1356="",AB1356=""),"",IF(OR(P1356="Gasto",P1356="Transferencia",P1356="Pago tarjeta"),-1,1)*IF(IFERROR(INDEX(ctaMoneda,MATCH(AB1356,ctaNombre,0))&amp;"","DOP")="USD",T1356,S1356))</f>
        <v/>
      </c>
      <c r="AG1356" s="53">
        <f>IF(AC1356="","",IF(IFERROR(INDEX(ctaMoneda,MATCH(AC1356,ctaNombre,0))&amp;"","DOP")="USD",T1356,S1356))</f>
        <v/>
      </c>
      <c r="AH1356" s="53">
        <f>IF(P1356="","",IF(AND(AD1356&lt;&gt;"",COUNTIFS(tcTipo,AD1356,tcLiq,"Sí")&gt;0),IF(OR(P1356="Gasto",P1356="Transferencia",P1356="Pago tarjeta"),-1,1)*S1356,0)+IF(AND(AE1356&lt;&gt;"",COUNTIFS(tcTipo,AE1356,tcLiq,"Sí")&gt;0),S1356,0))</f>
        <v/>
      </c>
      <c r="AI1356" s="52">
        <f>IF(OR(L1356="",P1356=""),"",IF(COUNTIFS(L$6:L1356,L1356,P$6:P1356,"?*")=1,MAX(AI$5:AI1355)+1,""))</f>
        <v/>
      </c>
    </row>
    <row r="1357">
      <c r="B1357" s="47" t="n"/>
      <c r="C1357" s="48" t="n"/>
      <c r="D1357" s="48" t="n"/>
      <c r="E1357" s="48" t="n"/>
      <c r="F1357" s="48" t="n"/>
      <c r="G1357" s="49" t="n"/>
      <c r="H1357" s="48" t="n"/>
      <c r="I1357" s="50" t="n"/>
      <c r="J1357" s="48" t="n"/>
      <c r="K1357" s="48" t="n"/>
      <c r="L1357" s="48" t="n"/>
      <c r="M1357" s="48" t="n"/>
      <c r="N1357" s="48" t="n"/>
      <c r="O1357" s="51">
        <f>IF(AND(B1357="",G1357="",C1357="",D1357="",J1357=""),"",IF(B1357="","⚠ Falta fecha",IF(G1357="","⚠ Falta monto",IF(Q1357="","⚠ Falta cuenta",IF(ISNA(MATCH(Q1357,ctaNombre,0)),"⚠ Cuenta no registrada",IF(AND(OR(P1357="Gasto",P1357="Reembolso"),D1357=""),"⚠ Falta categoría",IF(AND(D1357&lt;&gt;"",E1357&lt;&gt;"",ISNA(MATCH(D1357&amp;"|"&amp;E1357,catClave,0))),"⚠ Subcategoría no corresponde",IF(AND(OR(P1357="Transferencia",P1357="Pago tarjeta"),K1357=""),"⚠ Falta cuenta destino",IF(AND(K1357&lt;&gt;"",P1357&lt;&gt;"Transferencia",P1357&lt;&gt;"Pago tarjeta"),"⚠ Destino solo aplica a transferencias",IF(AND(K1357&lt;&gt;"",K1357=Q1357),"⚠ Origen igual a destino",IF(AND(K1357&lt;&gt;"",ISNA(MATCH(K1357,ctaNombre,0))),"⚠ Destino no registrado",IF(AND(P1357="Pago tarjeta",AE1357&lt;&gt;"Tarjeta de crédito"),"⚠ El destino debe ser tarjeta de crédito",IF(AND(P1357="Gasto",E1357="Depósitos y retiros"),"⚠ Usa tipo Transferencia",IF(AND(P1357="Resultado trading",AD1357&lt;&gt;"Cuenta de trading"),"⚠ Usa una cuenta de trading",IF(AND(G1357&lt;=0,P1357&lt;&gt;"Ajuste",P1357&lt;&gt;"Resultado trading"),"⚠ El monto debe ser positivo","✓")))))))))))))))</f>
        <v/>
      </c>
      <c r="P1357" s="52">
        <f>IF(OR(B1357="",G1357=""),"",IF(C1357="","Gasto",C1357))</f>
        <v/>
      </c>
      <c r="Q1357" s="52">
        <f>IF(P1357="","",IF(J1357&lt;&gt;"",J1357,CuentaPred&amp;""))</f>
        <v/>
      </c>
      <c r="R1357" s="52">
        <f>IF(P1357="","",IF(ISNUMBER(I1357),I1357,TasaUSD))</f>
        <v/>
      </c>
      <c r="S1357" s="53">
        <f>IF(P1357="","",IF(H1357="USD",G1357*R1357,G1357))</f>
        <v/>
      </c>
      <c r="T1357" s="53">
        <f>IF(P1357="","",IF(H1357="USD",G1357,IF(R1357&gt;0,G1357/R1357,0)))</f>
        <v/>
      </c>
      <c r="U1357" s="53">
        <f>IF(P1357="","",IF(P1357="Gasto",S1357,IF(P1357="Reembolso",-S1357,0)))</f>
        <v/>
      </c>
      <c r="V1357" s="53">
        <f>IF(P1357="","",IF(P1357="Ingreso",S1357,0))</f>
        <v/>
      </c>
      <c r="W1357" s="53">
        <f>IF(P1357="","",IF(P1357="Resultado trading",S1357,0))</f>
        <v/>
      </c>
      <c r="X1357" s="52">
        <f>IF(OR(P1357="Gasto",P1357="Reembolso"),IF(M1357&lt;&gt;"",M1357,IFERROR(INDEX(catClasif,MATCH(D1357&amp;"|"&amp;E1357,catClave,0))&amp;"","Variable")),"")</f>
        <v/>
      </c>
      <c r="Y1357" s="52">
        <f>IF(P1357="","",IFERROR(INDEX(catGrupo,MATCH(D1357&amp;"|"&amp;E1357,catClave,0))&amp;"",""))</f>
        <v/>
      </c>
      <c r="Z1357" s="52">
        <f>IF(P1357="","",WEEKDAY(B1357,2))</f>
        <v/>
      </c>
      <c r="AA1357" s="52">
        <f>IF(P1357="","",IF(AND(P1357="Gasto",X1357="Variable",D1357&lt;&gt;catTrading,S1357&gt;0,S1357&lt;=Umbral),1,0))</f>
        <v/>
      </c>
      <c r="AB1357" s="52">
        <f>IF(OR(P1357="",Q1357=""),"",IFERROR(IF(INDEX(ctaVinc,MATCH(Q1357,ctaNombre,0))&amp;""&lt;&gt;"",INDEX(ctaVinc,MATCH(Q1357,ctaNombre,0))&amp;"",Q1357),Q1357))</f>
        <v/>
      </c>
      <c r="AC1357" s="52">
        <f>IF(OR(K1357="",AND(P1357&lt;&gt;"Transferencia",P1357&lt;&gt;"Pago tarjeta")),"",IFERROR(IF(INDEX(ctaVinc,MATCH(K1357,ctaNombre,0))&amp;""&lt;&gt;"",INDEX(ctaVinc,MATCH(K1357,ctaNombre,0))&amp;"",K1357),K1357))</f>
        <v/>
      </c>
      <c r="AD1357" s="52">
        <f>IF(AB1357="","",IFERROR(INDEX(ctaTipo,MATCH(AB1357,ctaNombre,0))&amp;"",""))</f>
        <v/>
      </c>
      <c r="AE1357" s="52">
        <f>IF(AC1357="","",IFERROR(INDEX(ctaTipo,MATCH(AC1357,ctaNombre,0))&amp;"",""))</f>
        <v/>
      </c>
      <c r="AF1357" s="53">
        <f>IF(OR(P1357="",AB1357=""),"",IF(OR(P1357="Gasto",P1357="Transferencia",P1357="Pago tarjeta"),-1,1)*IF(IFERROR(INDEX(ctaMoneda,MATCH(AB1357,ctaNombre,0))&amp;"","DOP")="USD",T1357,S1357))</f>
        <v/>
      </c>
      <c r="AG1357" s="53">
        <f>IF(AC1357="","",IF(IFERROR(INDEX(ctaMoneda,MATCH(AC1357,ctaNombre,0))&amp;"","DOP")="USD",T1357,S1357))</f>
        <v/>
      </c>
      <c r="AH1357" s="53">
        <f>IF(P1357="","",IF(AND(AD1357&lt;&gt;"",COUNTIFS(tcTipo,AD1357,tcLiq,"Sí")&gt;0),IF(OR(P1357="Gasto",P1357="Transferencia",P1357="Pago tarjeta"),-1,1)*S1357,0)+IF(AND(AE1357&lt;&gt;"",COUNTIFS(tcTipo,AE1357,tcLiq,"Sí")&gt;0),S1357,0))</f>
        <v/>
      </c>
      <c r="AI1357" s="52">
        <f>IF(OR(L1357="",P1357=""),"",IF(COUNTIFS(L$6:L1357,L1357,P$6:P1357,"?*")=1,MAX(AI$5:AI1356)+1,""))</f>
        <v/>
      </c>
    </row>
    <row r="1358">
      <c r="B1358" s="47" t="n"/>
      <c r="C1358" s="48" t="n"/>
      <c r="D1358" s="48" t="n"/>
      <c r="E1358" s="48" t="n"/>
      <c r="F1358" s="48" t="n"/>
      <c r="G1358" s="49" t="n"/>
      <c r="H1358" s="48" t="n"/>
      <c r="I1358" s="50" t="n"/>
      <c r="J1358" s="48" t="n"/>
      <c r="K1358" s="48" t="n"/>
      <c r="L1358" s="48" t="n"/>
      <c r="M1358" s="48" t="n"/>
      <c r="N1358" s="48" t="n"/>
      <c r="O1358" s="51">
        <f>IF(AND(B1358="",G1358="",C1358="",D1358="",J1358=""),"",IF(B1358="","⚠ Falta fecha",IF(G1358="","⚠ Falta monto",IF(Q1358="","⚠ Falta cuenta",IF(ISNA(MATCH(Q1358,ctaNombre,0)),"⚠ Cuenta no registrada",IF(AND(OR(P1358="Gasto",P1358="Reembolso"),D1358=""),"⚠ Falta categoría",IF(AND(D1358&lt;&gt;"",E1358&lt;&gt;"",ISNA(MATCH(D1358&amp;"|"&amp;E1358,catClave,0))),"⚠ Subcategoría no corresponde",IF(AND(OR(P1358="Transferencia",P1358="Pago tarjeta"),K1358=""),"⚠ Falta cuenta destino",IF(AND(K1358&lt;&gt;"",P1358&lt;&gt;"Transferencia",P1358&lt;&gt;"Pago tarjeta"),"⚠ Destino solo aplica a transferencias",IF(AND(K1358&lt;&gt;"",K1358=Q1358),"⚠ Origen igual a destino",IF(AND(K1358&lt;&gt;"",ISNA(MATCH(K1358,ctaNombre,0))),"⚠ Destino no registrado",IF(AND(P1358="Pago tarjeta",AE1358&lt;&gt;"Tarjeta de crédito"),"⚠ El destino debe ser tarjeta de crédito",IF(AND(P1358="Gasto",E1358="Depósitos y retiros"),"⚠ Usa tipo Transferencia",IF(AND(P1358="Resultado trading",AD1358&lt;&gt;"Cuenta de trading"),"⚠ Usa una cuenta de trading",IF(AND(G1358&lt;=0,P1358&lt;&gt;"Ajuste",P1358&lt;&gt;"Resultado trading"),"⚠ El monto debe ser positivo","✓")))))))))))))))</f>
        <v/>
      </c>
      <c r="P1358" s="52">
        <f>IF(OR(B1358="",G1358=""),"",IF(C1358="","Gasto",C1358))</f>
        <v/>
      </c>
      <c r="Q1358" s="52">
        <f>IF(P1358="","",IF(J1358&lt;&gt;"",J1358,CuentaPred&amp;""))</f>
        <v/>
      </c>
      <c r="R1358" s="52">
        <f>IF(P1358="","",IF(ISNUMBER(I1358),I1358,TasaUSD))</f>
        <v/>
      </c>
      <c r="S1358" s="53">
        <f>IF(P1358="","",IF(H1358="USD",G1358*R1358,G1358))</f>
        <v/>
      </c>
      <c r="T1358" s="53">
        <f>IF(P1358="","",IF(H1358="USD",G1358,IF(R1358&gt;0,G1358/R1358,0)))</f>
        <v/>
      </c>
      <c r="U1358" s="53">
        <f>IF(P1358="","",IF(P1358="Gasto",S1358,IF(P1358="Reembolso",-S1358,0)))</f>
        <v/>
      </c>
      <c r="V1358" s="53">
        <f>IF(P1358="","",IF(P1358="Ingreso",S1358,0))</f>
        <v/>
      </c>
      <c r="W1358" s="53">
        <f>IF(P1358="","",IF(P1358="Resultado trading",S1358,0))</f>
        <v/>
      </c>
      <c r="X1358" s="52">
        <f>IF(OR(P1358="Gasto",P1358="Reembolso"),IF(M1358&lt;&gt;"",M1358,IFERROR(INDEX(catClasif,MATCH(D1358&amp;"|"&amp;E1358,catClave,0))&amp;"","Variable")),"")</f>
        <v/>
      </c>
      <c r="Y1358" s="52">
        <f>IF(P1358="","",IFERROR(INDEX(catGrupo,MATCH(D1358&amp;"|"&amp;E1358,catClave,0))&amp;"",""))</f>
        <v/>
      </c>
      <c r="Z1358" s="52">
        <f>IF(P1358="","",WEEKDAY(B1358,2))</f>
        <v/>
      </c>
      <c r="AA1358" s="52">
        <f>IF(P1358="","",IF(AND(P1358="Gasto",X1358="Variable",D1358&lt;&gt;catTrading,S1358&gt;0,S1358&lt;=Umbral),1,0))</f>
        <v/>
      </c>
      <c r="AB1358" s="52">
        <f>IF(OR(P1358="",Q1358=""),"",IFERROR(IF(INDEX(ctaVinc,MATCH(Q1358,ctaNombre,0))&amp;""&lt;&gt;"",INDEX(ctaVinc,MATCH(Q1358,ctaNombre,0))&amp;"",Q1358),Q1358))</f>
        <v/>
      </c>
      <c r="AC1358" s="52">
        <f>IF(OR(K1358="",AND(P1358&lt;&gt;"Transferencia",P1358&lt;&gt;"Pago tarjeta")),"",IFERROR(IF(INDEX(ctaVinc,MATCH(K1358,ctaNombre,0))&amp;""&lt;&gt;"",INDEX(ctaVinc,MATCH(K1358,ctaNombre,0))&amp;"",K1358),K1358))</f>
        <v/>
      </c>
      <c r="AD1358" s="52">
        <f>IF(AB1358="","",IFERROR(INDEX(ctaTipo,MATCH(AB1358,ctaNombre,0))&amp;"",""))</f>
        <v/>
      </c>
      <c r="AE1358" s="52">
        <f>IF(AC1358="","",IFERROR(INDEX(ctaTipo,MATCH(AC1358,ctaNombre,0))&amp;"",""))</f>
        <v/>
      </c>
      <c r="AF1358" s="53">
        <f>IF(OR(P1358="",AB1358=""),"",IF(OR(P1358="Gasto",P1358="Transferencia",P1358="Pago tarjeta"),-1,1)*IF(IFERROR(INDEX(ctaMoneda,MATCH(AB1358,ctaNombre,0))&amp;"","DOP")="USD",T1358,S1358))</f>
        <v/>
      </c>
      <c r="AG1358" s="53">
        <f>IF(AC1358="","",IF(IFERROR(INDEX(ctaMoneda,MATCH(AC1358,ctaNombre,0))&amp;"","DOP")="USD",T1358,S1358))</f>
        <v/>
      </c>
      <c r="AH1358" s="53">
        <f>IF(P1358="","",IF(AND(AD1358&lt;&gt;"",COUNTIFS(tcTipo,AD1358,tcLiq,"Sí")&gt;0),IF(OR(P1358="Gasto",P1358="Transferencia",P1358="Pago tarjeta"),-1,1)*S1358,0)+IF(AND(AE1358&lt;&gt;"",COUNTIFS(tcTipo,AE1358,tcLiq,"Sí")&gt;0),S1358,0))</f>
        <v/>
      </c>
      <c r="AI1358" s="52">
        <f>IF(OR(L1358="",P1358=""),"",IF(COUNTIFS(L$6:L1358,L1358,P$6:P1358,"?*")=1,MAX(AI$5:AI1357)+1,""))</f>
        <v/>
      </c>
    </row>
    <row r="1359">
      <c r="B1359" s="47" t="n"/>
      <c r="C1359" s="48" t="n"/>
      <c r="D1359" s="48" t="n"/>
      <c r="E1359" s="48" t="n"/>
      <c r="F1359" s="48" t="n"/>
      <c r="G1359" s="49" t="n"/>
      <c r="H1359" s="48" t="n"/>
      <c r="I1359" s="50" t="n"/>
      <c r="J1359" s="48" t="n"/>
      <c r="K1359" s="48" t="n"/>
      <c r="L1359" s="48" t="n"/>
      <c r="M1359" s="48" t="n"/>
      <c r="N1359" s="48" t="n"/>
      <c r="O1359" s="51">
        <f>IF(AND(B1359="",G1359="",C1359="",D1359="",J1359=""),"",IF(B1359="","⚠ Falta fecha",IF(G1359="","⚠ Falta monto",IF(Q1359="","⚠ Falta cuenta",IF(ISNA(MATCH(Q1359,ctaNombre,0)),"⚠ Cuenta no registrada",IF(AND(OR(P1359="Gasto",P1359="Reembolso"),D1359=""),"⚠ Falta categoría",IF(AND(D1359&lt;&gt;"",E1359&lt;&gt;"",ISNA(MATCH(D1359&amp;"|"&amp;E1359,catClave,0))),"⚠ Subcategoría no corresponde",IF(AND(OR(P1359="Transferencia",P1359="Pago tarjeta"),K1359=""),"⚠ Falta cuenta destino",IF(AND(K1359&lt;&gt;"",P1359&lt;&gt;"Transferencia",P1359&lt;&gt;"Pago tarjeta"),"⚠ Destino solo aplica a transferencias",IF(AND(K1359&lt;&gt;"",K1359=Q1359),"⚠ Origen igual a destino",IF(AND(K1359&lt;&gt;"",ISNA(MATCH(K1359,ctaNombre,0))),"⚠ Destino no registrado",IF(AND(P1359="Pago tarjeta",AE1359&lt;&gt;"Tarjeta de crédito"),"⚠ El destino debe ser tarjeta de crédito",IF(AND(P1359="Gasto",E1359="Depósitos y retiros"),"⚠ Usa tipo Transferencia",IF(AND(P1359="Resultado trading",AD1359&lt;&gt;"Cuenta de trading"),"⚠ Usa una cuenta de trading",IF(AND(G1359&lt;=0,P1359&lt;&gt;"Ajuste",P1359&lt;&gt;"Resultado trading"),"⚠ El monto debe ser positivo","✓")))))))))))))))</f>
        <v/>
      </c>
      <c r="P1359" s="52">
        <f>IF(OR(B1359="",G1359=""),"",IF(C1359="","Gasto",C1359))</f>
        <v/>
      </c>
      <c r="Q1359" s="52">
        <f>IF(P1359="","",IF(J1359&lt;&gt;"",J1359,CuentaPred&amp;""))</f>
        <v/>
      </c>
      <c r="R1359" s="52">
        <f>IF(P1359="","",IF(ISNUMBER(I1359),I1359,TasaUSD))</f>
        <v/>
      </c>
      <c r="S1359" s="53">
        <f>IF(P1359="","",IF(H1359="USD",G1359*R1359,G1359))</f>
        <v/>
      </c>
      <c r="T1359" s="53">
        <f>IF(P1359="","",IF(H1359="USD",G1359,IF(R1359&gt;0,G1359/R1359,0)))</f>
        <v/>
      </c>
      <c r="U1359" s="53">
        <f>IF(P1359="","",IF(P1359="Gasto",S1359,IF(P1359="Reembolso",-S1359,0)))</f>
        <v/>
      </c>
      <c r="V1359" s="53">
        <f>IF(P1359="","",IF(P1359="Ingreso",S1359,0))</f>
        <v/>
      </c>
      <c r="W1359" s="53">
        <f>IF(P1359="","",IF(P1359="Resultado trading",S1359,0))</f>
        <v/>
      </c>
      <c r="X1359" s="52">
        <f>IF(OR(P1359="Gasto",P1359="Reembolso"),IF(M1359&lt;&gt;"",M1359,IFERROR(INDEX(catClasif,MATCH(D1359&amp;"|"&amp;E1359,catClave,0))&amp;"","Variable")),"")</f>
        <v/>
      </c>
      <c r="Y1359" s="52">
        <f>IF(P1359="","",IFERROR(INDEX(catGrupo,MATCH(D1359&amp;"|"&amp;E1359,catClave,0))&amp;"",""))</f>
        <v/>
      </c>
      <c r="Z1359" s="52">
        <f>IF(P1359="","",WEEKDAY(B1359,2))</f>
        <v/>
      </c>
      <c r="AA1359" s="52">
        <f>IF(P1359="","",IF(AND(P1359="Gasto",X1359="Variable",D1359&lt;&gt;catTrading,S1359&gt;0,S1359&lt;=Umbral),1,0))</f>
        <v/>
      </c>
      <c r="AB1359" s="52">
        <f>IF(OR(P1359="",Q1359=""),"",IFERROR(IF(INDEX(ctaVinc,MATCH(Q1359,ctaNombre,0))&amp;""&lt;&gt;"",INDEX(ctaVinc,MATCH(Q1359,ctaNombre,0))&amp;"",Q1359),Q1359))</f>
        <v/>
      </c>
      <c r="AC1359" s="52">
        <f>IF(OR(K1359="",AND(P1359&lt;&gt;"Transferencia",P1359&lt;&gt;"Pago tarjeta")),"",IFERROR(IF(INDEX(ctaVinc,MATCH(K1359,ctaNombre,0))&amp;""&lt;&gt;"",INDEX(ctaVinc,MATCH(K1359,ctaNombre,0))&amp;"",K1359),K1359))</f>
        <v/>
      </c>
      <c r="AD1359" s="52">
        <f>IF(AB1359="","",IFERROR(INDEX(ctaTipo,MATCH(AB1359,ctaNombre,0))&amp;"",""))</f>
        <v/>
      </c>
      <c r="AE1359" s="52">
        <f>IF(AC1359="","",IFERROR(INDEX(ctaTipo,MATCH(AC1359,ctaNombre,0))&amp;"",""))</f>
        <v/>
      </c>
      <c r="AF1359" s="53">
        <f>IF(OR(P1359="",AB1359=""),"",IF(OR(P1359="Gasto",P1359="Transferencia",P1359="Pago tarjeta"),-1,1)*IF(IFERROR(INDEX(ctaMoneda,MATCH(AB1359,ctaNombre,0))&amp;"","DOP")="USD",T1359,S1359))</f>
        <v/>
      </c>
      <c r="AG1359" s="53">
        <f>IF(AC1359="","",IF(IFERROR(INDEX(ctaMoneda,MATCH(AC1359,ctaNombre,0))&amp;"","DOP")="USD",T1359,S1359))</f>
        <v/>
      </c>
      <c r="AH1359" s="53">
        <f>IF(P1359="","",IF(AND(AD1359&lt;&gt;"",COUNTIFS(tcTipo,AD1359,tcLiq,"Sí")&gt;0),IF(OR(P1359="Gasto",P1359="Transferencia",P1359="Pago tarjeta"),-1,1)*S1359,0)+IF(AND(AE1359&lt;&gt;"",COUNTIFS(tcTipo,AE1359,tcLiq,"Sí")&gt;0),S1359,0))</f>
        <v/>
      </c>
      <c r="AI1359" s="52">
        <f>IF(OR(L1359="",P1359=""),"",IF(COUNTIFS(L$6:L1359,L1359,P$6:P1359,"?*")=1,MAX(AI$5:AI1358)+1,""))</f>
        <v/>
      </c>
    </row>
    <row r="1360">
      <c r="B1360" s="47" t="n"/>
      <c r="C1360" s="48" t="n"/>
      <c r="D1360" s="48" t="n"/>
      <c r="E1360" s="48" t="n"/>
      <c r="F1360" s="48" t="n"/>
      <c r="G1360" s="49" t="n"/>
      <c r="H1360" s="48" t="n"/>
      <c r="I1360" s="50" t="n"/>
      <c r="J1360" s="48" t="n"/>
      <c r="K1360" s="48" t="n"/>
      <c r="L1360" s="48" t="n"/>
      <c r="M1360" s="48" t="n"/>
      <c r="N1360" s="48" t="n"/>
      <c r="O1360" s="51">
        <f>IF(AND(B1360="",G1360="",C1360="",D1360="",J1360=""),"",IF(B1360="","⚠ Falta fecha",IF(G1360="","⚠ Falta monto",IF(Q1360="","⚠ Falta cuenta",IF(ISNA(MATCH(Q1360,ctaNombre,0)),"⚠ Cuenta no registrada",IF(AND(OR(P1360="Gasto",P1360="Reembolso"),D1360=""),"⚠ Falta categoría",IF(AND(D1360&lt;&gt;"",E1360&lt;&gt;"",ISNA(MATCH(D1360&amp;"|"&amp;E1360,catClave,0))),"⚠ Subcategoría no corresponde",IF(AND(OR(P1360="Transferencia",P1360="Pago tarjeta"),K1360=""),"⚠ Falta cuenta destino",IF(AND(K1360&lt;&gt;"",P1360&lt;&gt;"Transferencia",P1360&lt;&gt;"Pago tarjeta"),"⚠ Destino solo aplica a transferencias",IF(AND(K1360&lt;&gt;"",K1360=Q1360),"⚠ Origen igual a destino",IF(AND(K1360&lt;&gt;"",ISNA(MATCH(K1360,ctaNombre,0))),"⚠ Destino no registrado",IF(AND(P1360="Pago tarjeta",AE1360&lt;&gt;"Tarjeta de crédito"),"⚠ El destino debe ser tarjeta de crédito",IF(AND(P1360="Gasto",E1360="Depósitos y retiros"),"⚠ Usa tipo Transferencia",IF(AND(P1360="Resultado trading",AD1360&lt;&gt;"Cuenta de trading"),"⚠ Usa una cuenta de trading",IF(AND(G1360&lt;=0,P1360&lt;&gt;"Ajuste",P1360&lt;&gt;"Resultado trading"),"⚠ El monto debe ser positivo","✓")))))))))))))))</f>
        <v/>
      </c>
      <c r="P1360" s="52">
        <f>IF(OR(B1360="",G1360=""),"",IF(C1360="","Gasto",C1360))</f>
        <v/>
      </c>
      <c r="Q1360" s="52">
        <f>IF(P1360="","",IF(J1360&lt;&gt;"",J1360,CuentaPred&amp;""))</f>
        <v/>
      </c>
      <c r="R1360" s="52">
        <f>IF(P1360="","",IF(ISNUMBER(I1360),I1360,TasaUSD))</f>
        <v/>
      </c>
      <c r="S1360" s="53">
        <f>IF(P1360="","",IF(H1360="USD",G1360*R1360,G1360))</f>
        <v/>
      </c>
      <c r="T1360" s="53">
        <f>IF(P1360="","",IF(H1360="USD",G1360,IF(R1360&gt;0,G1360/R1360,0)))</f>
        <v/>
      </c>
      <c r="U1360" s="53">
        <f>IF(P1360="","",IF(P1360="Gasto",S1360,IF(P1360="Reembolso",-S1360,0)))</f>
        <v/>
      </c>
      <c r="V1360" s="53">
        <f>IF(P1360="","",IF(P1360="Ingreso",S1360,0))</f>
        <v/>
      </c>
      <c r="W1360" s="53">
        <f>IF(P1360="","",IF(P1360="Resultado trading",S1360,0))</f>
        <v/>
      </c>
      <c r="X1360" s="52">
        <f>IF(OR(P1360="Gasto",P1360="Reembolso"),IF(M1360&lt;&gt;"",M1360,IFERROR(INDEX(catClasif,MATCH(D1360&amp;"|"&amp;E1360,catClave,0))&amp;"","Variable")),"")</f>
        <v/>
      </c>
      <c r="Y1360" s="52">
        <f>IF(P1360="","",IFERROR(INDEX(catGrupo,MATCH(D1360&amp;"|"&amp;E1360,catClave,0))&amp;"",""))</f>
        <v/>
      </c>
      <c r="Z1360" s="52">
        <f>IF(P1360="","",WEEKDAY(B1360,2))</f>
        <v/>
      </c>
      <c r="AA1360" s="52">
        <f>IF(P1360="","",IF(AND(P1360="Gasto",X1360="Variable",D1360&lt;&gt;catTrading,S1360&gt;0,S1360&lt;=Umbral),1,0))</f>
        <v/>
      </c>
      <c r="AB1360" s="52">
        <f>IF(OR(P1360="",Q1360=""),"",IFERROR(IF(INDEX(ctaVinc,MATCH(Q1360,ctaNombre,0))&amp;""&lt;&gt;"",INDEX(ctaVinc,MATCH(Q1360,ctaNombre,0))&amp;"",Q1360),Q1360))</f>
        <v/>
      </c>
      <c r="AC1360" s="52">
        <f>IF(OR(K1360="",AND(P1360&lt;&gt;"Transferencia",P1360&lt;&gt;"Pago tarjeta")),"",IFERROR(IF(INDEX(ctaVinc,MATCH(K1360,ctaNombre,0))&amp;""&lt;&gt;"",INDEX(ctaVinc,MATCH(K1360,ctaNombre,0))&amp;"",K1360),K1360))</f>
        <v/>
      </c>
      <c r="AD1360" s="52">
        <f>IF(AB1360="","",IFERROR(INDEX(ctaTipo,MATCH(AB1360,ctaNombre,0))&amp;"",""))</f>
        <v/>
      </c>
      <c r="AE1360" s="52">
        <f>IF(AC1360="","",IFERROR(INDEX(ctaTipo,MATCH(AC1360,ctaNombre,0))&amp;"",""))</f>
        <v/>
      </c>
      <c r="AF1360" s="53">
        <f>IF(OR(P1360="",AB1360=""),"",IF(OR(P1360="Gasto",P1360="Transferencia",P1360="Pago tarjeta"),-1,1)*IF(IFERROR(INDEX(ctaMoneda,MATCH(AB1360,ctaNombre,0))&amp;"","DOP")="USD",T1360,S1360))</f>
        <v/>
      </c>
      <c r="AG1360" s="53">
        <f>IF(AC1360="","",IF(IFERROR(INDEX(ctaMoneda,MATCH(AC1360,ctaNombre,0))&amp;"","DOP")="USD",T1360,S1360))</f>
        <v/>
      </c>
      <c r="AH1360" s="53">
        <f>IF(P1360="","",IF(AND(AD1360&lt;&gt;"",COUNTIFS(tcTipo,AD1360,tcLiq,"Sí")&gt;0),IF(OR(P1360="Gasto",P1360="Transferencia",P1360="Pago tarjeta"),-1,1)*S1360,0)+IF(AND(AE1360&lt;&gt;"",COUNTIFS(tcTipo,AE1360,tcLiq,"Sí")&gt;0),S1360,0))</f>
        <v/>
      </c>
      <c r="AI1360" s="52">
        <f>IF(OR(L1360="",P1360=""),"",IF(COUNTIFS(L$6:L1360,L1360,P$6:P1360,"?*")=1,MAX(AI$5:AI1359)+1,""))</f>
        <v/>
      </c>
    </row>
    <row r="1361">
      <c r="B1361" s="47" t="n"/>
      <c r="C1361" s="48" t="n"/>
      <c r="D1361" s="48" t="n"/>
      <c r="E1361" s="48" t="n"/>
      <c r="F1361" s="48" t="n"/>
      <c r="G1361" s="49" t="n"/>
      <c r="H1361" s="48" t="n"/>
      <c r="I1361" s="50" t="n"/>
      <c r="J1361" s="48" t="n"/>
      <c r="K1361" s="48" t="n"/>
      <c r="L1361" s="48" t="n"/>
      <c r="M1361" s="48" t="n"/>
      <c r="N1361" s="48" t="n"/>
      <c r="O1361" s="51">
        <f>IF(AND(B1361="",G1361="",C1361="",D1361="",J1361=""),"",IF(B1361="","⚠ Falta fecha",IF(G1361="","⚠ Falta monto",IF(Q1361="","⚠ Falta cuenta",IF(ISNA(MATCH(Q1361,ctaNombre,0)),"⚠ Cuenta no registrada",IF(AND(OR(P1361="Gasto",P1361="Reembolso"),D1361=""),"⚠ Falta categoría",IF(AND(D1361&lt;&gt;"",E1361&lt;&gt;"",ISNA(MATCH(D1361&amp;"|"&amp;E1361,catClave,0))),"⚠ Subcategoría no corresponde",IF(AND(OR(P1361="Transferencia",P1361="Pago tarjeta"),K1361=""),"⚠ Falta cuenta destino",IF(AND(K1361&lt;&gt;"",P1361&lt;&gt;"Transferencia",P1361&lt;&gt;"Pago tarjeta"),"⚠ Destino solo aplica a transferencias",IF(AND(K1361&lt;&gt;"",K1361=Q1361),"⚠ Origen igual a destino",IF(AND(K1361&lt;&gt;"",ISNA(MATCH(K1361,ctaNombre,0))),"⚠ Destino no registrado",IF(AND(P1361="Pago tarjeta",AE1361&lt;&gt;"Tarjeta de crédito"),"⚠ El destino debe ser tarjeta de crédito",IF(AND(P1361="Gasto",E1361="Depósitos y retiros"),"⚠ Usa tipo Transferencia",IF(AND(P1361="Resultado trading",AD1361&lt;&gt;"Cuenta de trading"),"⚠ Usa una cuenta de trading",IF(AND(G1361&lt;=0,P1361&lt;&gt;"Ajuste",P1361&lt;&gt;"Resultado trading"),"⚠ El monto debe ser positivo","✓")))))))))))))))</f>
        <v/>
      </c>
      <c r="P1361" s="52">
        <f>IF(OR(B1361="",G1361=""),"",IF(C1361="","Gasto",C1361))</f>
        <v/>
      </c>
      <c r="Q1361" s="52">
        <f>IF(P1361="","",IF(J1361&lt;&gt;"",J1361,CuentaPred&amp;""))</f>
        <v/>
      </c>
      <c r="R1361" s="52">
        <f>IF(P1361="","",IF(ISNUMBER(I1361),I1361,TasaUSD))</f>
        <v/>
      </c>
      <c r="S1361" s="53">
        <f>IF(P1361="","",IF(H1361="USD",G1361*R1361,G1361))</f>
        <v/>
      </c>
      <c r="T1361" s="53">
        <f>IF(P1361="","",IF(H1361="USD",G1361,IF(R1361&gt;0,G1361/R1361,0)))</f>
        <v/>
      </c>
      <c r="U1361" s="53">
        <f>IF(P1361="","",IF(P1361="Gasto",S1361,IF(P1361="Reembolso",-S1361,0)))</f>
        <v/>
      </c>
      <c r="V1361" s="53">
        <f>IF(P1361="","",IF(P1361="Ingreso",S1361,0))</f>
        <v/>
      </c>
      <c r="W1361" s="53">
        <f>IF(P1361="","",IF(P1361="Resultado trading",S1361,0))</f>
        <v/>
      </c>
      <c r="X1361" s="52">
        <f>IF(OR(P1361="Gasto",P1361="Reembolso"),IF(M1361&lt;&gt;"",M1361,IFERROR(INDEX(catClasif,MATCH(D1361&amp;"|"&amp;E1361,catClave,0))&amp;"","Variable")),"")</f>
        <v/>
      </c>
      <c r="Y1361" s="52">
        <f>IF(P1361="","",IFERROR(INDEX(catGrupo,MATCH(D1361&amp;"|"&amp;E1361,catClave,0))&amp;"",""))</f>
        <v/>
      </c>
      <c r="Z1361" s="52">
        <f>IF(P1361="","",WEEKDAY(B1361,2))</f>
        <v/>
      </c>
      <c r="AA1361" s="52">
        <f>IF(P1361="","",IF(AND(P1361="Gasto",X1361="Variable",D1361&lt;&gt;catTrading,S1361&gt;0,S1361&lt;=Umbral),1,0))</f>
        <v/>
      </c>
      <c r="AB1361" s="52">
        <f>IF(OR(P1361="",Q1361=""),"",IFERROR(IF(INDEX(ctaVinc,MATCH(Q1361,ctaNombre,0))&amp;""&lt;&gt;"",INDEX(ctaVinc,MATCH(Q1361,ctaNombre,0))&amp;"",Q1361),Q1361))</f>
        <v/>
      </c>
      <c r="AC1361" s="52">
        <f>IF(OR(K1361="",AND(P1361&lt;&gt;"Transferencia",P1361&lt;&gt;"Pago tarjeta")),"",IFERROR(IF(INDEX(ctaVinc,MATCH(K1361,ctaNombre,0))&amp;""&lt;&gt;"",INDEX(ctaVinc,MATCH(K1361,ctaNombre,0))&amp;"",K1361),K1361))</f>
        <v/>
      </c>
      <c r="AD1361" s="52">
        <f>IF(AB1361="","",IFERROR(INDEX(ctaTipo,MATCH(AB1361,ctaNombre,0))&amp;"",""))</f>
        <v/>
      </c>
      <c r="AE1361" s="52">
        <f>IF(AC1361="","",IFERROR(INDEX(ctaTipo,MATCH(AC1361,ctaNombre,0))&amp;"",""))</f>
        <v/>
      </c>
      <c r="AF1361" s="53">
        <f>IF(OR(P1361="",AB1361=""),"",IF(OR(P1361="Gasto",P1361="Transferencia",P1361="Pago tarjeta"),-1,1)*IF(IFERROR(INDEX(ctaMoneda,MATCH(AB1361,ctaNombre,0))&amp;"","DOP")="USD",T1361,S1361))</f>
        <v/>
      </c>
      <c r="AG1361" s="53">
        <f>IF(AC1361="","",IF(IFERROR(INDEX(ctaMoneda,MATCH(AC1361,ctaNombre,0))&amp;"","DOP")="USD",T1361,S1361))</f>
        <v/>
      </c>
      <c r="AH1361" s="53">
        <f>IF(P1361="","",IF(AND(AD1361&lt;&gt;"",COUNTIFS(tcTipo,AD1361,tcLiq,"Sí")&gt;0),IF(OR(P1361="Gasto",P1361="Transferencia",P1361="Pago tarjeta"),-1,1)*S1361,0)+IF(AND(AE1361&lt;&gt;"",COUNTIFS(tcTipo,AE1361,tcLiq,"Sí")&gt;0),S1361,0))</f>
        <v/>
      </c>
      <c r="AI1361" s="52">
        <f>IF(OR(L1361="",P1361=""),"",IF(COUNTIFS(L$6:L1361,L1361,P$6:P1361,"?*")=1,MAX(AI$5:AI1360)+1,""))</f>
        <v/>
      </c>
    </row>
    <row r="1362">
      <c r="B1362" s="47" t="n"/>
      <c r="C1362" s="48" t="n"/>
      <c r="D1362" s="48" t="n"/>
      <c r="E1362" s="48" t="n"/>
      <c r="F1362" s="48" t="n"/>
      <c r="G1362" s="49" t="n"/>
      <c r="H1362" s="48" t="n"/>
      <c r="I1362" s="50" t="n"/>
      <c r="J1362" s="48" t="n"/>
      <c r="K1362" s="48" t="n"/>
      <c r="L1362" s="48" t="n"/>
      <c r="M1362" s="48" t="n"/>
      <c r="N1362" s="48" t="n"/>
      <c r="O1362" s="51">
        <f>IF(AND(B1362="",G1362="",C1362="",D1362="",J1362=""),"",IF(B1362="","⚠ Falta fecha",IF(G1362="","⚠ Falta monto",IF(Q1362="","⚠ Falta cuenta",IF(ISNA(MATCH(Q1362,ctaNombre,0)),"⚠ Cuenta no registrada",IF(AND(OR(P1362="Gasto",P1362="Reembolso"),D1362=""),"⚠ Falta categoría",IF(AND(D1362&lt;&gt;"",E1362&lt;&gt;"",ISNA(MATCH(D1362&amp;"|"&amp;E1362,catClave,0))),"⚠ Subcategoría no corresponde",IF(AND(OR(P1362="Transferencia",P1362="Pago tarjeta"),K1362=""),"⚠ Falta cuenta destino",IF(AND(K1362&lt;&gt;"",P1362&lt;&gt;"Transferencia",P1362&lt;&gt;"Pago tarjeta"),"⚠ Destino solo aplica a transferencias",IF(AND(K1362&lt;&gt;"",K1362=Q1362),"⚠ Origen igual a destino",IF(AND(K1362&lt;&gt;"",ISNA(MATCH(K1362,ctaNombre,0))),"⚠ Destino no registrado",IF(AND(P1362="Pago tarjeta",AE1362&lt;&gt;"Tarjeta de crédito"),"⚠ El destino debe ser tarjeta de crédito",IF(AND(P1362="Gasto",E1362="Depósitos y retiros"),"⚠ Usa tipo Transferencia",IF(AND(P1362="Resultado trading",AD1362&lt;&gt;"Cuenta de trading"),"⚠ Usa una cuenta de trading",IF(AND(G1362&lt;=0,P1362&lt;&gt;"Ajuste",P1362&lt;&gt;"Resultado trading"),"⚠ El monto debe ser positivo","✓")))))))))))))))</f>
        <v/>
      </c>
      <c r="P1362" s="52">
        <f>IF(OR(B1362="",G1362=""),"",IF(C1362="","Gasto",C1362))</f>
        <v/>
      </c>
      <c r="Q1362" s="52">
        <f>IF(P1362="","",IF(J1362&lt;&gt;"",J1362,CuentaPred&amp;""))</f>
        <v/>
      </c>
      <c r="R1362" s="52">
        <f>IF(P1362="","",IF(ISNUMBER(I1362),I1362,TasaUSD))</f>
        <v/>
      </c>
      <c r="S1362" s="53">
        <f>IF(P1362="","",IF(H1362="USD",G1362*R1362,G1362))</f>
        <v/>
      </c>
      <c r="T1362" s="53">
        <f>IF(P1362="","",IF(H1362="USD",G1362,IF(R1362&gt;0,G1362/R1362,0)))</f>
        <v/>
      </c>
      <c r="U1362" s="53">
        <f>IF(P1362="","",IF(P1362="Gasto",S1362,IF(P1362="Reembolso",-S1362,0)))</f>
        <v/>
      </c>
      <c r="V1362" s="53">
        <f>IF(P1362="","",IF(P1362="Ingreso",S1362,0))</f>
        <v/>
      </c>
      <c r="W1362" s="53">
        <f>IF(P1362="","",IF(P1362="Resultado trading",S1362,0))</f>
        <v/>
      </c>
      <c r="X1362" s="52">
        <f>IF(OR(P1362="Gasto",P1362="Reembolso"),IF(M1362&lt;&gt;"",M1362,IFERROR(INDEX(catClasif,MATCH(D1362&amp;"|"&amp;E1362,catClave,0))&amp;"","Variable")),"")</f>
        <v/>
      </c>
      <c r="Y1362" s="52">
        <f>IF(P1362="","",IFERROR(INDEX(catGrupo,MATCH(D1362&amp;"|"&amp;E1362,catClave,0))&amp;"",""))</f>
        <v/>
      </c>
      <c r="Z1362" s="52">
        <f>IF(P1362="","",WEEKDAY(B1362,2))</f>
        <v/>
      </c>
      <c r="AA1362" s="52">
        <f>IF(P1362="","",IF(AND(P1362="Gasto",X1362="Variable",D1362&lt;&gt;catTrading,S1362&gt;0,S1362&lt;=Umbral),1,0))</f>
        <v/>
      </c>
      <c r="AB1362" s="52">
        <f>IF(OR(P1362="",Q1362=""),"",IFERROR(IF(INDEX(ctaVinc,MATCH(Q1362,ctaNombre,0))&amp;""&lt;&gt;"",INDEX(ctaVinc,MATCH(Q1362,ctaNombre,0))&amp;"",Q1362),Q1362))</f>
        <v/>
      </c>
      <c r="AC1362" s="52">
        <f>IF(OR(K1362="",AND(P1362&lt;&gt;"Transferencia",P1362&lt;&gt;"Pago tarjeta")),"",IFERROR(IF(INDEX(ctaVinc,MATCH(K1362,ctaNombre,0))&amp;""&lt;&gt;"",INDEX(ctaVinc,MATCH(K1362,ctaNombre,0))&amp;"",K1362),K1362))</f>
        <v/>
      </c>
      <c r="AD1362" s="52">
        <f>IF(AB1362="","",IFERROR(INDEX(ctaTipo,MATCH(AB1362,ctaNombre,0))&amp;"",""))</f>
        <v/>
      </c>
      <c r="AE1362" s="52">
        <f>IF(AC1362="","",IFERROR(INDEX(ctaTipo,MATCH(AC1362,ctaNombre,0))&amp;"",""))</f>
        <v/>
      </c>
      <c r="AF1362" s="53">
        <f>IF(OR(P1362="",AB1362=""),"",IF(OR(P1362="Gasto",P1362="Transferencia",P1362="Pago tarjeta"),-1,1)*IF(IFERROR(INDEX(ctaMoneda,MATCH(AB1362,ctaNombre,0))&amp;"","DOP")="USD",T1362,S1362))</f>
        <v/>
      </c>
      <c r="AG1362" s="53">
        <f>IF(AC1362="","",IF(IFERROR(INDEX(ctaMoneda,MATCH(AC1362,ctaNombre,0))&amp;"","DOP")="USD",T1362,S1362))</f>
        <v/>
      </c>
      <c r="AH1362" s="53">
        <f>IF(P1362="","",IF(AND(AD1362&lt;&gt;"",COUNTIFS(tcTipo,AD1362,tcLiq,"Sí")&gt;0),IF(OR(P1362="Gasto",P1362="Transferencia",P1362="Pago tarjeta"),-1,1)*S1362,0)+IF(AND(AE1362&lt;&gt;"",COUNTIFS(tcTipo,AE1362,tcLiq,"Sí")&gt;0),S1362,0))</f>
        <v/>
      </c>
      <c r="AI1362" s="52">
        <f>IF(OR(L1362="",P1362=""),"",IF(COUNTIFS(L$6:L1362,L1362,P$6:P1362,"?*")=1,MAX(AI$5:AI1361)+1,""))</f>
        <v/>
      </c>
    </row>
    <row r="1363">
      <c r="B1363" s="47" t="n"/>
      <c r="C1363" s="48" t="n"/>
      <c r="D1363" s="48" t="n"/>
      <c r="E1363" s="48" t="n"/>
      <c r="F1363" s="48" t="n"/>
      <c r="G1363" s="49" t="n"/>
      <c r="H1363" s="48" t="n"/>
      <c r="I1363" s="50" t="n"/>
      <c r="J1363" s="48" t="n"/>
      <c r="K1363" s="48" t="n"/>
      <c r="L1363" s="48" t="n"/>
      <c r="M1363" s="48" t="n"/>
      <c r="N1363" s="48" t="n"/>
      <c r="O1363" s="51">
        <f>IF(AND(B1363="",G1363="",C1363="",D1363="",J1363=""),"",IF(B1363="","⚠ Falta fecha",IF(G1363="","⚠ Falta monto",IF(Q1363="","⚠ Falta cuenta",IF(ISNA(MATCH(Q1363,ctaNombre,0)),"⚠ Cuenta no registrada",IF(AND(OR(P1363="Gasto",P1363="Reembolso"),D1363=""),"⚠ Falta categoría",IF(AND(D1363&lt;&gt;"",E1363&lt;&gt;"",ISNA(MATCH(D1363&amp;"|"&amp;E1363,catClave,0))),"⚠ Subcategoría no corresponde",IF(AND(OR(P1363="Transferencia",P1363="Pago tarjeta"),K1363=""),"⚠ Falta cuenta destino",IF(AND(K1363&lt;&gt;"",P1363&lt;&gt;"Transferencia",P1363&lt;&gt;"Pago tarjeta"),"⚠ Destino solo aplica a transferencias",IF(AND(K1363&lt;&gt;"",K1363=Q1363),"⚠ Origen igual a destino",IF(AND(K1363&lt;&gt;"",ISNA(MATCH(K1363,ctaNombre,0))),"⚠ Destino no registrado",IF(AND(P1363="Pago tarjeta",AE1363&lt;&gt;"Tarjeta de crédito"),"⚠ El destino debe ser tarjeta de crédito",IF(AND(P1363="Gasto",E1363="Depósitos y retiros"),"⚠ Usa tipo Transferencia",IF(AND(P1363="Resultado trading",AD1363&lt;&gt;"Cuenta de trading"),"⚠ Usa una cuenta de trading",IF(AND(G1363&lt;=0,P1363&lt;&gt;"Ajuste",P1363&lt;&gt;"Resultado trading"),"⚠ El monto debe ser positivo","✓")))))))))))))))</f>
        <v/>
      </c>
      <c r="P1363" s="52">
        <f>IF(OR(B1363="",G1363=""),"",IF(C1363="","Gasto",C1363))</f>
        <v/>
      </c>
      <c r="Q1363" s="52">
        <f>IF(P1363="","",IF(J1363&lt;&gt;"",J1363,CuentaPred&amp;""))</f>
        <v/>
      </c>
      <c r="R1363" s="52">
        <f>IF(P1363="","",IF(ISNUMBER(I1363),I1363,TasaUSD))</f>
        <v/>
      </c>
      <c r="S1363" s="53">
        <f>IF(P1363="","",IF(H1363="USD",G1363*R1363,G1363))</f>
        <v/>
      </c>
      <c r="T1363" s="53">
        <f>IF(P1363="","",IF(H1363="USD",G1363,IF(R1363&gt;0,G1363/R1363,0)))</f>
        <v/>
      </c>
      <c r="U1363" s="53">
        <f>IF(P1363="","",IF(P1363="Gasto",S1363,IF(P1363="Reembolso",-S1363,0)))</f>
        <v/>
      </c>
      <c r="V1363" s="53">
        <f>IF(P1363="","",IF(P1363="Ingreso",S1363,0))</f>
        <v/>
      </c>
      <c r="W1363" s="53">
        <f>IF(P1363="","",IF(P1363="Resultado trading",S1363,0))</f>
        <v/>
      </c>
      <c r="X1363" s="52">
        <f>IF(OR(P1363="Gasto",P1363="Reembolso"),IF(M1363&lt;&gt;"",M1363,IFERROR(INDEX(catClasif,MATCH(D1363&amp;"|"&amp;E1363,catClave,0))&amp;"","Variable")),"")</f>
        <v/>
      </c>
      <c r="Y1363" s="52">
        <f>IF(P1363="","",IFERROR(INDEX(catGrupo,MATCH(D1363&amp;"|"&amp;E1363,catClave,0))&amp;"",""))</f>
        <v/>
      </c>
      <c r="Z1363" s="52">
        <f>IF(P1363="","",WEEKDAY(B1363,2))</f>
        <v/>
      </c>
      <c r="AA1363" s="52">
        <f>IF(P1363="","",IF(AND(P1363="Gasto",X1363="Variable",D1363&lt;&gt;catTrading,S1363&gt;0,S1363&lt;=Umbral),1,0))</f>
        <v/>
      </c>
      <c r="AB1363" s="52">
        <f>IF(OR(P1363="",Q1363=""),"",IFERROR(IF(INDEX(ctaVinc,MATCH(Q1363,ctaNombre,0))&amp;""&lt;&gt;"",INDEX(ctaVinc,MATCH(Q1363,ctaNombre,0))&amp;"",Q1363),Q1363))</f>
        <v/>
      </c>
      <c r="AC1363" s="52">
        <f>IF(OR(K1363="",AND(P1363&lt;&gt;"Transferencia",P1363&lt;&gt;"Pago tarjeta")),"",IFERROR(IF(INDEX(ctaVinc,MATCH(K1363,ctaNombre,0))&amp;""&lt;&gt;"",INDEX(ctaVinc,MATCH(K1363,ctaNombre,0))&amp;"",K1363),K1363))</f>
        <v/>
      </c>
      <c r="AD1363" s="52">
        <f>IF(AB1363="","",IFERROR(INDEX(ctaTipo,MATCH(AB1363,ctaNombre,0))&amp;"",""))</f>
        <v/>
      </c>
      <c r="AE1363" s="52">
        <f>IF(AC1363="","",IFERROR(INDEX(ctaTipo,MATCH(AC1363,ctaNombre,0))&amp;"",""))</f>
        <v/>
      </c>
      <c r="AF1363" s="53">
        <f>IF(OR(P1363="",AB1363=""),"",IF(OR(P1363="Gasto",P1363="Transferencia",P1363="Pago tarjeta"),-1,1)*IF(IFERROR(INDEX(ctaMoneda,MATCH(AB1363,ctaNombre,0))&amp;"","DOP")="USD",T1363,S1363))</f>
        <v/>
      </c>
      <c r="AG1363" s="53">
        <f>IF(AC1363="","",IF(IFERROR(INDEX(ctaMoneda,MATCH(AC1363,ctaNombre,0))&amp;"","DOP")="USD",T1363,S1363))</f>
        <v/>
      </c>
      <c r="AH1363" s="53">
        <f>IF(P1363="","",IF(AND(AD1363&lt;&gt;"",COUNTIFS(tcTipo,AD1363,tcLiq,"Sí")&gt;0),IF(OR(P1363="Gasto",P1363="Transferencia",P1363="Pago tarjeta"),-1,1)*S1363,0)+IF(AND(AE1363&lt;&gt;"",COUNTIFS(tcTipo,AE1363,tcLiq,"Sí")&gt;0),S1363,0))</f>
        <v/>
      </c>
      <c r="AI1363" s="52">
        <f>IF(OR(L1363="",P1363=""),"",IF(COUNTIFS(L$6:L1363,L1363,P$6:P1363,"?*")=1,MAX(AI$5:AI1362)+1,""))</f>
        <v/>
      </c>
    </row>
    <row r="1364">
      <c r="B1364" s="47" t="n"/>
      <c r="C1364" s="48" t="n"/>
      <c r="D1364" s="48" t="n"/>
      <c r="E1364" s="48" t="n"/>
      <c r="F1364" s="48" t="n"/>
      <c r="G1364" s="49" t="n"/>
      <c r="H1364" s="48" t="n"/>
      <c r="I1364" s="50" t="n"/>
      <c r="J1364" s="48" t="n"/>
      <c r="K1364" s="48" t="n"/>
      <c r="L1364" s="48" t="n"/>
      <c r="M1364" s="48" t="n"/>
      <c r="N1364" s="48" t="n"/>
      <c r="O1364" s="51">
        <f>IF(AND(B1364="",G1364="",C1364="",D1364="",J1364=""),"",IF(B1364="","⚠ Falta fecha",IF(G1364="","⚠ Falta monto",IF(Q1364="","⚠ Falta cuenta",IF(ISNA(MATCH(Q1364,ctaNombre,0)),"⚠ Cuenta no registrada",IF(AND(OR(P1364="Gasto",P1364="Reembolso"),D1364=""),"⚠ Falta categoría",IF(AND(D1364&lt;&gt;"",E1364&lt;&gt;"",ISNA(MATCH(D1364&amp;"|"&amp;E1364,catClave,0))),"⚠ Subcategoría no corresponde",IF(AND(OR(P1364="Transferencia",P1364="Pago tarjeta"),K1364=""),"⚠ Falta cuenta destino",IF(AND(K1364&lt;&gt;"",P1364&lt;&gt;"Transferencia",P1364&lt;&gt;"Pago tarjeta"),"⚠ Destino solo aplica a transferencias",IF(AND(K1364&lt;&gt;"",K1364=Q1364),"⚠ Origen igual a destino",IF(AND(K1364&lt;&gt;"",ISNA(MATCH(K1364,ctaNombre,0))),"⚠ Destino no registrado",IF(AND(P1364="Pago tarjeta",AE1364&lt;&gt;"Tarjeta de crédito"),"⚠ El destino debe ser tarjeta de crédito",IF(AND(P1364="Gasto",E1364="Depósitos y retiros"),"⚠ Usa tipo Transferencia",IF(AND(P1364="Resultado trading",AD1364&lt;&gt;"Cuenta de trading"),"⚠ Usa una cuenta de trading",IF(AND(G1364&lt;=0,P1364&lt;&gt;"Ajuste",P1364&lt;&gt;"Resultado trading"),"⚠ El monto debe ser positivo","✓")))))))))))))))</f>
        <v/>
      </c>
      <c r="P1364" s="52">
        <f>IF(OR(B1364="",G1364=""),"",IF(C1364="","Gasto",C1364))</f>
        <v/>
      </c>
      <c r="Q1364" s="52">
        <f>IF(P1364="","",IF(J1364&lt;&gt;"",J1364,CuentaPred&amp;""))</f>
        <v/>
      </c>
      <c r="R1364" s="52">
        <f>IF(P1364="","",IF(ISNUMBER(I1364),I1364,TasaUSD))</f>
        <v/>
      </c>
      <c r="S1364" s="53">
        <f>IF(P1364="","",IF(H1364="USD",G1364*R1364,G1364))</f>
        <v/>
      </c>
      <c r="T1364" s="53">
        <f>IF(P1364="","",IF(H1364="USD",G1364,IF(R1364&gt;0,G1364/R1364,0)))</f>
        <v/>
      </c>
      <c r="U1364" s="53">
        <f>IF(P1364="","",IF(P1364="Gasto",S1364,IF(P1364="Reembolso",-S1364,0)))</f>
        <v/>
      </c>
      <c r="V1364" s="53">
        <f>IF(P1364="","",IF(P1364="Ingreso",S1364,0))</f>
        <v/>
      </c>
      <c r="W1364" s="53">
        <f>IF(P1364="","",IF(P1364="Resultado trading",S1364,0))</f>
        <v/>
      </c>
      <c r="X1364" s="52">
        <f>IF(OR(P1364="Gasto",P1364="Reembolso"),IF(M1364&lt;&gt;"",M1364,IFERROR(INDEX(catClasif,MATCH(D1364&amp;"|"&amp;E1364,catClave,0))&amp;"","Variable")),"")</f>
        <v/>
      </c>
      <c r="Y1364" s="52">
        <f>IF(P1364="","",IFERROR(INDEX(catGrupo,MATCH(D1364&amp;"|"&amp;E1364,catClave,0))&amp;"",""))</f>
        <v/>
      </c>
      <c r="Z1364" s="52">
        <f>IF(P1364="","",WEEKDAY(B1364,2))</f>
        <v/>
      </c>
      <c r="AA1364" s="52">
        <f>IF(P1364="","",IF(AND(P1364="Gasto",X1364="Variable",D1364&lt;&gt;catTrading,S1364&gt;0,S1364&lt;=Umbral),1,0))</f>
        <v/>
      </c>
      <c r="AB1364" s="52">
        <f>IF(OR(P1364="",Q1364=""),"",IFERROR(IF(INDEX(ctaVinc,MATCH(Q1364,ctaNombre,0))&amp;""&lt;&gt;"",INDEX(ctaVinc,MATCH(Q1364,ctaNombre,0))&amp;"",Q1364),Q1364))</f>
        <v/>
      </c>
      <c r="AC1364" s="52">
        <f>IF(OR(K1364="",AND(P1364&lt;&gt;"Transferencia",P1364&lt;&gt;"Pago tarjeta")),"",IFERROR(IF(INDEX(ctaVinc,MATCH(K1364,ctaNombre,0))&amp;""&lt;&gt;"",INDEX(ctaVinc,MATCH(K1364,ctaNombre,0))&amp;"",K1364),K1364))</f>
        <v/>
      </c>
      <c r="AD1364" s="52">
        <f>IF(AB1364="","",IFERROR(INDEX(ctaTipo,MATCH(AB1364,ctaNombre,0))&amp;"",""))</f>
        <v/>
      </c>
      <c r="AE1364" s="52">
        <f>IF(AC1364="","",IFERROR(INDEX(ctaTipo,MATCH(AC1364,ctaNombre,0))&amp;"",""))</f>
        <v/>
      </c>
      <c r="AF1364" s="53">
        <f>IF(OR(P1364="",AB1364=""),"",IF(OR(P1364="Gasto",P1364="Transferencia",P1364="Pago tarjeta"),-1,1)*IF(IFERROR(INDEX(ctaMoneda,MATCH(AB1364,ctaNombre,0))&amp;"","DOP")="USD",T1364,S1364))</f>
        <v/>
      </c>
      <c r="AG1364" s="53">
        <f>IF(AC1364="","",IF(IFERROR(INDEX(ctaMoneda,MATCH(AC1364,ctaNombre,0))&amp;"","DOP")="USD",T1364,S1364))</f>
        <v/>
      </c>
      <c r="AH1364" s="53">
        <f>IF(P1364="","",IF(AND(AD1364&lt;&gt;"",COUNTIFS(tcTipo,AD1364,tcLiq,"Sí")&gt;0),IF(OR(P1364="Gasto",P1364="Transferencia",P1364="Pago tarjeta"),-1,1)*S1364,0)+IF(AND(AE1364&lt;&gt;"",COUNTIFS(tcTipo,AE1364,tcLiq,"Sí")&gt;0),S1364,0))</f>
        <v/>
      </c>
      <c r="AI1364" s="52">
        <f>IF(OR(L1364="",P1364=""),"",IF(COUNTIFS(L$6:L1364,L1364,P$6:P1364,"?*")=1,MAX(AI$5:AI1363)+1,""))</f>
        <v/>
      </c>
    </row>
    <row r="1365">
      <c r="B1365" s="47" t="n"/>
      <c r="C1365" s="48" t="n"/>
      <c r="D1365" s="48" t="n"/>
      <c r="E1365" s="48" t="n"/>
      <c r="F1365" s="48" t="n"/>
      <c r="G1365" s="49" t="n"/>
      <c r="H1365" s="48" t="n"/>
      <c r="I1365" s="50" t="n"/>
      <c r="J1365" s="48" t="n"/>
      <c r="K1365" s="48" t="n"/>
      <c r="L1365" s="48" t="n"/>
      <c r="M1365" s="48" t="n"/>
      <c r="N1365" s="48" t="n"/>
      <c r="O1365" s="51">
        <f>IF(AND(B1365="",G1365="",C1365="",D1365="",J1365=""),"",IF(B1365="","⚠ Falta fecha",IF(G1365="","⚠ Falta monto",IF(Q1365="","⚠ Falta cuenta",IF(ISNA(MATCH(Q1365,ctaNombre,0)),"⚠ Cuenta no registrada",IF(AND(OR(P1365="Gasto",P1365="Reembolso"),D1365=""),"⚠ Falta categoría",IF(AND(D1365&lt;&gt;"",E1365&lt;&gt;"",ISNA(MATCH(D1365&amp;"|"&amp;E1365,catClave,0))),"⚠ Subcategoría no corresponde",IF(AND(OR(P1365="Transferencia",P1365="Pago tarjeta"),K1365=""),"⚠ Falta cuenta destino",IF(AND(K1365&lt;&gt;"",P1365&lt;&gt;"Transferencia",P1365&lt;&gt;"Pago tarjeta"),"⚠ Destino solo aplica a transferencias",IF(AND(K1365&lt;&gt;"",K1365=Q1365),"⚠ Origen igual a destino",IF(AND(K1365&lt;&gt;"",ISNA(MATCH(K1365,ctaNombre,0))),"⚠ Destino no registrado",IF(AND(P1365="Pago tarjeta",AE1365&lt;&gt;"Tarjeta de crédito"),"⚠ El destino debe ser tarjeta de crédito",IF(AND(P1365="Gasto",E1365="Depósitos y retiros"),"⚠ Usa tipo Transferencia",IF(AND(P1365="Resultado trading",AD1365&lt;&gt;"Cuenta de trading"),"⚠ Usa una cuenta de trading",IF(AND(G1365&lt;=0,P1365&lt;&gt;"Ajuste",P1365&lt;&gt;"Resultado trading"),"⚠ El monto debe ser positivo","✓")))))))))))))))</f>
        <v/>
      </c>
      <c r="P1365" s="52">
        <f>IF(OR(B1365="",G1365=""),"",IF(C1365="","Gasto",C1365))</f>
        <v/>
      </c>
      <c r="Q1365" s="52">
        <f>IF(P1365="","",IF(J1365&lt;&gt;"",J1365,CuentaPred&amp;""))</f>
        <v/>
      </c>
      <c r="R1365" s="52">
        <f>IF(P1365="","",IF(ISNUMBER(I1365),I1365,TasaUSD))</f>
        <v/>
      </c>
      <c r="S1365" s="53">
        <f>IF(P1365="","",IF(H1365="USD",G1365*R1365,G1365))</f>
        <v/>
      </c>
      <c r="T1365" s="53">
        <f>IF(P1365="","",IF(H1365="USD",G1365,IF(R1365&gt;0,G1365/R1365,0)))</f>
        <v/>
      </c>
      <c r="U1365" s="53">
        <f>IF(P1365="","",IF(P1365="Gasto",S1365,IF(P1365="Reembolso",-S1365,0)))</f>
        <v/>
      </c>
      <c r="V1365" s="53">
        <f>IF(P1365="","",IF(P1365="Ingreso",S1365,0))</f>
        <v/>
      </c>
      <c r="W1365" s="53">
        <f>IF(P1365="","",IF(P1365="Resultado trading",S1365,0))</f>
        <v/>
      </c>
      <c r="X1365" s="52">
        <f>IF(OR(P1365="Gasto",P1365="Reembolso"),IF(M1365&lt;&gt;"",M1365,IFERROR(INDEX(catClasif,MATCH(D1365&amp;"|"&amp;E1365,catClave,0))&amp;"","Variable")),"")</f>
        <v/>
      </c>
      <c r="Y1365" s="52">
        <f>IF(P1365="","",IFERROR(INDEX(catGrupo,MATCH(D1365&amp;"|"&amp;E1365,catClave,0))&amp;"",""))</f>
        <v/>
      </c>
      <c r="Z1365" s="52">
        <f>IF(P1365="","",WEEKDAY(B1365,2))</f>
        <v/>
      </c>
      <c r="AA1365" s="52">
        <f>IF(P1365="","",IF(AND(P1365="Gasto",X1365="Variable",D1365&lt;&gt;catTrading,S1365&gt;0,S1365&lt;=Umbral),1,0))</f>
        <v/>
      </c>
      <c r="AB1365" s="52">
        <f>IF(OR(P1365="",Q1365=""),"",IFERROR(IF(INDEX(ctaVinc,MATCH(Q1365,ctaNombre,0))&amp;""&lt;&gt;"",INDEX(ctaVinc,MATCH(Q1365,ctaNombre,0))&amp;"",Q1365),Q1365))</f>
        <v/>
      </c>
      <c r="AC1365" s="52">
        <f>IF(OR(K1365="",AND(P1365&lt;&gt;"Transferencia",P1365&lt;&gt;"Pago tarjeta")),"",IFERROR(IF(INDEX(ctaVinc,MATCH(K1365,ctaNombre,0))&amp;""&lt;&gt;"",INDEX(ctaVinc,MATCH(K1365,ctaNombre,0))&amp;"",K1365),K1365))</f>
        <v/>
      </c>
      <c r="AD1365" s="52">
        <f>IF(AB1365="","",IFERROR(INDEX(ctaTipo,MATCH(AB1365,ctaNombre,0))&amp;"",""))</f>
        <v/>
      </c>
      <c r="AE1365" s="52">
        <f>IF(AC1365="","",IFERROR(INDEX(ctaTipo,MATCH(AC1365,ctaNombre,0))&amp;"",""))</f>
        <v/>
      </c>
      <c r="AF1365" s="53">
        <f>IF(OR(P1365="",AB1365=""),"",IF(OR(P1365="Gasto",P1365="Transferencia",P1365="Pago tarjeta"),-1,1)*IF(IFERROR(INDEX(ctaMoneda,MATCH(AB1365,ctaNombre,0))&amp;"","DOP")="USD",T1365,S1365))</f>
        <v/>
      </c>
      <c r="AG1365" s="53">
        <f>IF(AC1365="","",IF(IFERROR(INDEX(ctaMoneda,MATCH(AC1365,ctaNombre,0))&amp;"","DOP")="USD",T1365,S1365))</f>
        <v/>
      </c>
      <c r="AH1365" s="53">
        <f>IF(P1365="","",IF(AND(AD1365&lt;&gt;"",COUNTIFS(tcTipo,AD1365,tcLiq,"Sí")&gt;0),IF(OR(P1365="Gasto",P1365="Transferencia",P1365="Pago tarjeta"),-1,1)*S1365,0)+IF(AND(AE1365&lt;&gt;"",COUNTIFS(tcTipo,AE1365,tcLiq,"Sí")&gt;0),S1365,0))</f>
        <v/>
      </c>
      <c r="AI1365" s="52">
        <f>IF(OR(L1365="",P1365=""),"",IF(COUNTIFS(L$6:L1365,L1365,P$6:P1365,"?*")=1,MAX(AI$5:AI1364)+1,""))</f>
        <v/>
      </c>
    </row>
    <row r="1366">
      <c r="B1366" s="47" t="n"/>
      <c r="C1366" s="48" t="n"/>
      <c r="D1366" s="48" t="n"/>
      <c r="E1366" s="48" t="n"/>
      <c r="F1366" s="48" t="n"/>
      <c r="G1366" s="49" t="n"/>
      <c r="H1366" s="48" t="n"/>
      <c r="I1366" s="50" t="n"/>
      <c r="J1366" s="48" t="n"/>
      <c r="K1366" s="48" t="n"/>
      <c r="L1366" s="48" t="n"/>
      <c r="M1366" s="48" t="n"/>
      <c r="N1366" s="48" t="n"/>
      <c r="O1366" s="51">
        <f>IF(AND(B1366="",G1366="",C1366="",D1366="",J1366=""),"",IF(B1366="","⚠ Falta fecha",IF(G1366="","⚠ Falta monto",IF(Q1366="","⚠ Falta cuenta",IF(ISNA(MATCH(Q1366,ctaNombre,0)),"⚠ Cuenta no registrada",IF(AND(OR(P1366="Gasto",P1366="Reembolso"),D1366=""),"⚠ Falta categoría",IF(AND(D1366&lt;&gt;"",E1366&lt;&gt;"",ISNA(MATCH(D1366&amp;"|"&amp;E1366,catClave,0))),"⚠ Subcategoría no corresponde",IF(AND(OR(P1366="Transferencia",P1366="Pago tarjeta"),K1366=""),"⚠ Falta cuenta destino",IF(AND(K1366&lt;&gt;"",P1366&lt;&gt;"Transferencia",P1366&lt;&gt;"Pago tarjeta"),"⚠ Destino solo aplica a transferencias",IF(AND(K1366&lt;&gt;"",K1366=Q1366),"⚠ Origen igual a destino",IF(AND(K1366&lt;&gt;"",ISNA(MATCH(K1366,ctaNombre,0))),"⚠ Destino no registrado",IF(AND(P1366="Pago tarjeta",AE1366&lt;&gt;"Tarjeta de crédito"),"⚠ El destino debe ser tarjeta de crédito",IF(AND(P1366="Gasto",E1366="Depósitos y retiros"),"⚠ Usa tipo Transferencia",IF(AND(P1366="Resultado trading",AD1366&lt;&gt;"Cuenta de trading"),"⚠ Usa una cuenta de trading",IF(AND(G1366&lt;=0,P1366&lt;&gt;"Ajuste",P1366&lt;&gt;"Resultado trading"),"⚠ El monto debe ser positivo","✓")))))))))))))))</f>
        <v/>
      </c>
      <c r="P1366" s="52">
        <f>IF(OR(B1366="",G1366=""),"",IF(C1366="","Gasto",C1366))</f>
        <v/>
      </c>
      <c r="Q1366" s="52">
        <f>IF(P1366="","",IF(J1366&lt;&gt;"",J1366,CuentaPred&amp;""))</f>
        <v/>
      </c>
      <c r="R1366" s="52">
        <f>IF(P1366="","",IF(ISNUMBER(I1366),I1366,TasaUSD))</f>
        <v/>
      </c>
      <c r="S1366" s="53">
        <f>IF(P1366="","",IF(H1366="USD",G1366*R1366,G1366))</f>
        <v/>
      </c>
      <c r="T1366" s="53">
        <f>IF(P1366="","",IF(H1366="USD",G1366,IF(R1366&gt;0,G1366/R1366,0)))</f>
        <v/>
      </c>
      <c r="U1366" s="53">
        <f>IF(P1366="","",IF(P1366="Gasto",S1366,IF(P1366="Reembolso",-S1366,0)))</f>
        <v/>
      </c>
      <c r="V1366" s="53">
        <f>IF(P1366="","",IF(P1366="Ingreso",S1366,0))</f>
        <v/>
      </c>
      <c r="W1366" s="53">
        <f>IF(P1366="","",IF(P1366="Resultado trading",S1366,0))</f>
        <v/>
      </c>
      <c r="X1366" s="52">
        <f>IF(OR(P1366="Gasto",P1366="Reembolso"),IF(M1366&lt;&gt;"",M1366,IFERROR(INDEX(catClasif,MATCH(D1366&amp;"|"&amp;E1366,catClave,0))&amp;"","Variable")),"")</f>
        <v/>
      </c>
      <c r="Y1366" s="52">
        <f>IF(P1366="","",IFERROR(INDEX(catGrupo,MATCH(D1366&amp;"|"&amp;E1366,catClave,0))&amp;"",""))</f>
        <v/>
      </c>
      <c r="Z1366" s="52">
        <f>IF(P1366="","",WEEKDAY(B1366,2))</f>
        <v/>
      </c>
      <c r="AA1366" s="52">
        <f>IF(P1366="","",IF(AND(P1366="Gasto",X1366="Variable",D1366&lt;&gt;catTrading,S1366&gt;0,S1366&lt;=Umbral),1,0))</f>
        <v/>
      </c>
      <c r="AB1366" s="52">
        <f>IF(OR(P1366="",Q1366=""),"",IFERROR(IF(INDEX(ctaVinc,MATCH(Q1366,ctaNombre,0))&amp;""&lt;&gt;"",INDEX(ctaVinc,MATCH(Q1366,ctaNombre,0))&amp;"",Q1366),Q1366))</f>
        <v/>
      </c>
      <c r="AC1366" s="52">
        <f>IF(OR(K1366="",AND(P1366&lt;&gt;"Transferencia",P1366&lt;&gt;"Pago tarjeta")),"",IFERROR(IF(INDEX(ctaVinc,MATCH(K1366,ctaNombre,0))&amp;""&lt;&gt;"",INDEX(ctaVinc,MATCH(K1366,ctaNombre,0))&amp;"",K1366),K1366))</f>
        <v/>
      </c>
      <c r="AD1366" s="52">
        <f>IF(AB1366="","",IFERROR(INDEX(ctaTipo,MATCH(AB1366,ctaNombre,0))&amp;"",""))</f>
        <v/>
      </c>
      <c r="AE1366" s="52">
        <f>IF(AC1366="","",IFERROR(INDEX(ctaTipo,MATCH(AC1366,ctaNombre,0))&amp;"",""))</f>
        <v/>
      </c>
      <c r="AF1366" s="53">
        <f>IF(OR(P1366="",AB1366=""),"",IF(OR(P1366="Gasto",P1366="Transferencia",P1366="Pago tarjeta"),-1,1)*IF(IFERROR(INDEX(ctaMoneda,MATCH(AB1366,ctaNombre,0))&amp;"","DOP")="USD",T1366,S1366))</f>
        <v/>
      </c>
      <c r="AG1366" s="53">
        <f>IF(AC1366="","",IF(IFERROR(INDEX(ctaMoneda,MATCH(AC1366,ctaNombre,0))&amp;"","DOP")="USD",T1366,S1366))</f>
        <v/>
      </c>
      <c r="AH1366" s="53">
        <f>IF(P1366="","",IF(AND(AD1366&lt;&gt;"",COUNTIFS(tcTipo,AD1366,tcLiq,"Sí")&gt;0),IF(OR(P1366="Gasto",P1366="Transferencia",P1366="Pago tarjeta"),-1,1)*S1366,0)+IF(AND(AE1366&lt;&gt;"",COUNTIFS(tcTipo,AE1366,tcLiq,"Sí")&gt;0),S1366,0))</f>
        <v/>
      </c>
      <c r="AI1366" s="52">
        <f>IF(OR(L1366="",P1366=""),"",IF(COUNTIFS(L$6:L1366,L1366,P$6:P1366,"?*")=1,MAX(AI$5:AI1365)+1,""))</f>
        <v/>
      </c>
    </row>
    <row r="1367">
      <c r="B1367" s="47" t="n"/>
      <c r="C1367" s="48" t="n"/>
      <c r="D1367" s="48" t="n"/>
      <c r="E1367" s="48" t="n"/>
      <c r="F1367" s="48" t="n"/>
      <c r="G1367" s="49" t="n"/>
      <c r="H1367" s="48" t="n"/>
      <c r="I1367" s="50" t="n"/>
      <c r="J1367" s="48" t="n"/>
      <c r="K1367" s="48" t="n"/>
      <c r="L1367" s="48" t="n"/>
      <c r="M1367" s="48" t="n"/>
      <c r="N1367" s="48" t="n"/>
      <c r="O1367" s="51">
        <f>IF(AND(B1367="",G1367="",C1367="",D1367="",J1367=""),"",IF(B1367="","⚠ Falta fecha",IF(G1367="","⚠ Falta monto",IF(Q1367="","⚠ Falta cuenta",IF(ISNA(MATCH(Q1367,ctaNombre,0)),"⚠ Cuenta no registrada",IF(AND(OR(P1367="Gasto",P1367="Reembolso"),D1367=""),"⚠ Falta categoría",IF(AND(D1367&lt;&gt;"",E1367&lt;&gt;"",ISNA(MATCH(D1367&amp;"|"&amp;E1367,catClave,0))),"⚠ Subcategoría no corresponde",IF(AND(OR(P1367="Transferencia",P1367="Pago tarjeta"),K1367=""),"⚠ Falta cuenta destino",IF(AND(K1367&lt;&gt;"",P1367&lt;&gt;"Transferencia",P1367&lt;&gt;"Pago tarjeta"),"⚠ Destino solo aplica a transferencias",IF(AND(K1367&lt;&gt;"",K1367=Q1367),"⚠ Origen igual a destino",IF(AND(K1367&lt;&gt;"",ISNA(MATCH(K1367,ctaNombre,0))),"⚠ Destino no registrado",IF(AND(P1367="Pago tarjeta",AE1367&lt;&gt;"Tarjeta de crédito"),"⚠ El destino debe ser tarjeta de crédito",IF(AND(P1367="Gasto",E1367="Depósitos y retiros"),"⚠ Usa tipo Transferencia",IF(AND(P1367="Resultado trading",AD1367&lt;&gt;"Cuenta de trading"),"⚠ Usa una cuenta de trading",IF(AND(G1367&lt;=0,P1367&lt;&gt;"Ajuste",P1367&lt;&gt;"Resultado trading"),"⚠ El monto debe ser positivo","✓")))))))))))))))</f>
        <v/>
      </c>
      <c r="P1367" s="52">
        <f>IF(OR(B1367="",G1367=""),"",IF(C1367="","Gasto",C1367))</f>
        <v/>
      </c>
      <c r="Q1367" s="52">
        <f>IF(P1367="","",IF(J1367&lt;&gt;"",J1367,CuentaPred&amp;""))</f>
        <v/>
      </c>
      <c r="R1367" s="52">
        <f>IF(P1367="","",IF(ISNUMBER(I1367),I1367,TasaUSD))</f>
        <v/>
      </c>
      <c r="S1367" s="53">
        <f>IF(P1367="","",IF(H1367="USD",G1367*R1367,G1367))</f>
        <v/>
      </c>
      <c r="T1367" s="53">
        <f>IF(P1367="","",IF(H1367="USD",G1367,IF(R1367&gt;0,G1367/R1367,0)))</f>
        <v/>
      </c>
      <c r="U1367" s="53">
        <f>IF(P1367="","",IF(P1367="Gasto",S1367,IF(P1367="Reembolso",-S1367,0)))</f>
        <v/>
      </c>
      <c r="V1367" s="53">
        <f>IF(P1367="","",IF(P1367="Ingreso",S1367,0))</f>
        <v/>
      </c>
      <c r="W1367" s="53">
        <f>IF(P1367="","",IF(P1367="Resultado trading",S1367,0))</f>
        <v/>
      </c>
      <c r="X1367" s="52">
        <f>IF(OR(P1367="Gasto",P1367="Reembolso"),IF(M1367&lt;&gt;"",M1367,IFERROR(INDEX(catClasif,MATCH(D1367&amp;"|"&amp;E1367,catClave,0))&amp;"","Variable")),"")</f>
        <v/>
      </c>
      <c r="Y1367" s="52">
        <f>IF(P1367="","",IFERROR(INDEX(catGrupo,MATCH(D1367&amp;"|"&amp;E1367,catClave,0))&amp;"",""))</f>
        <v/>
      </c>
      <c r="Z1367" s="52">
        <f>IF(P1367="","",WEEKDAY(B1367,2))</f>
        <v/>
      </c>
      <c r="AA1367" s="52">
        <f>IF(P1367="","",IF(AND(P1367="Gasto",X1367="Variable",D1367&lt;&gt;catTrading,S1367&gt;0,S1367&lt;=Umbral),1,0))</f>
        <v/>
      </c>
      <c r="AB1367" s="52">
        <f>IF(OR(P1367="",Q1367=""),"",IFERROR(IF(INDEX(ctaVinc,MATCH(Q1367,ctaNombre,0))&amp;""&lt;&gt;"",INDEX(ctaVinc,MATCH(Q1367,ctaNombre,0))&amp;"",Q1367),Q1367))</f>
        <v/>
      </c>
      <c r="AC1367" s="52">
        <f>IF(OR(K1367="",AND(P1367&lt;&gt;"Transferencia",P1367&lt;&gt;"Pago tarjeta")),"",IFERROR(IF(INDEX(ctaVinc,MATCH(K1367,ctaNombre,0))&amp;""&lt;&gt;"",INDEX(ctaVinc,MATCH(K1367,ctaNombre,0))&amp;"",K1367),K1367))</f>
        <v/>
      </c>
      <c r="AD1367" s="52">
        <f>IF(AB1367="","",IFERROR(INDEX(ctaTipo,MATCH(AB1367,ctaNombre,0))&amp;"",""))</f>
        <v/>
      </c>
      <c r="AE1367" s="52">
        <f>IF(AC1367="","",IFERROR(INDEX(ctaTipo,MATCH(AC1367,ctaNombre,0))&amp;"",""))</f>
        <v/>
      </c>
      <c r="AF1367" s="53">
        <f>IF(OR(P1367="",AB1367=""),"",IF(OR(P1367="Gasto",P1367="Transferencia",P1367="Pago tarjeta"),-1,1)*IF(IFERROR(INDEX(ctaMoneda,MATCH(AB1367,ctaNombre,0))&amp;"","DOP")="USD",T1367,S1367))</f>
        <v/>
      </c>
      <c r="AG1367" s="53">
        <f>IF(AC1367="","",IF(IFERROR(INDEX(ctaMoneda,MATCH(AC1367,ctaNombre,0))&amp;"","DOP")="USD",T1367,S1367))</f>
        <v/>
      </c>
      <c r="AH1367" s="53">
        <f>IF(P1367="","",IF(AND(AD1367&lt;&gt;"",COUNTIFS(tcTipo,AD1367,tcLiq,"Sí")&gt;0),IF(OR(P1367="Gasto",P1367="Transferencia",P1367="Pago tarjeta"),-1,1)*S1367,0)+IF(AND(AE1367&lt;&gt;"",COUNTIFS(tcTipo,AE1367,tcLiq,"Sí")&gt;0),S1367,0))</f>
        <v/>
      </c>
      <c r="AI1367" s="52">
        <f>IF(OR(L1367="",P1367=""),"",IF(COUNTIFS(L$6:L1367,L1367,P$6:P1367,"?*")=1,MAX(AI$5:AI1366)+1,""))</f>
        <v/>
      </c>
    </row>
    <row r="1368">
      <c r="B1368" s="47" t="n"/>
      <c r="C1368" s="48" t="n"/>
      <c r="D1368" s="48" t="n"/>
      <c r="E1368" s="48" t="n"/>
      <c r="F1368" s="48" t="n"/>
      <c r="G1368" s="49" t="n"/>
      <c r="H1368" s="48" t="n"/>
      <c r="I1368" s="50" t="n"/>
      <c r="J1368" s="48" t="n"/>
      <c r="K1368" s="48" t="n"/>
      <c r="L1368" s="48" t="n"/>
      <c r="M1368" s="48" t="n"/>
      <c r="N1368" s="48" t="n"/>
      <c r="O1368" s="51">
        <f>IF(AND(B1368="",G1368="",C1368="",D1368="",J1368=""),"",IF(B1368="","⚠ Falta fecha",IF(G1368="","⚠ Falta monto",IF(Q1368="","⚠ Falta cuenta",IF(ISNA(MATCH(Q1368,ctaNombre,0)),"⚠ Cuenta no registrada",IF(AND(OR(P1368="Gasto",P1368="Reembolso"),D1368=""),"⚠ Falta categoría",IF(AND(D1368&lt;&gt;"",E1368&lt;&gt;"",ISNA(MATCH(D1368&amp;"|"&amp;E1368,catClave,0))),"⚠ Subcategoría no corresponde",IF(AND(OR(P1368="Transferencia",P1368="Pago tarjeta"),K1368=""),"⚠ Falta cuenta destino",IF(AND(K1368&lt;&gt;"",P1368&lt;&gt;"Transferencia",P1368&lt;&gt;"Pago tarjeta"),"⚠ Destino solo aplica a transferencias",IF(AND(K1368&lt;&gt;"",K1368=Q1368),"⚠ Origen igual a destino",IF(AND(K1368&lt;&gt;"",ISNA(MATCH(K1368,ctaNombre,0))),"⚠ Destino no registrado",IF(AND(P1368="Pago tarjeta",AE1368&lt;&gt;"Tarjeta de crédito"),"⚠ El destino debe ser tarjeta de crédito",IF(AND(P1368="Gasto",E1368="Depósitos y retiros"),"⚠ Usa tipo Transferencia",IF(AND(P1368="Resultado trading",AD1368&lt;&gt;"Cuenta de trading"),"⚠ Usa una cuenta de trading",IF(AND(G1368&lt;=0,P1368&lt;&gt;"Ajuste",P1368&lt;&gt;"Resultado trading"),"⚠ El monto debe ser positivo","✓")))))))))))))))</f>
        <v/>
      </c>
      <c r="P1368" s="52">
        <f>IF(OR(B1368="",G1368=""),"",IF(C1368="","Gasto",C1368))</f>
        <v/>
      </c>
      <c r="Q1368" s="52">
        <f>IF(P1368="","",IF(J1368&lt;&gt;"",J1368,CuentaPred&amp;""))</f>
        <v/>
      </c>
      <c r="R1368" s="52">
        <f>IF(P1368="","",IF(ISNUMBER(I1368),I1368,TasaUSD))</f>
        <v/>
      </c>
      <c r="S1368" s="53">
        <f>IF(P1368="","",IF(H1368="USD",G1368*R1368,G1368))</f>
        <v/>
      </c>
      <c r="T1368" s="53">
        <f>IF(P1368="","",IF(H1368="USD",G1368,IF(R1368&gt;0,G1368/R1368,0)))</f>
        <v/>
      </c>
      <c r="U1368" s="53">
        <f>IF(P1368="","",IF(P1368="Gasto",S1368,IF(P1368="Reembolso",-S1368,0)))</f>
        <v/>
      </c>
      <c r="V1368" s="53">
        <f>IF(P1368="","",IF(P1368="Ingreso",S1368,0))</f>
        <v/>
      </c>
      <c r="W1368" s="53">
        <f>IF(P1368="","",IF(P1368="Resultado trading",S1368,0))</f>
        <v/>
      </c>
      <c r="X1368" s="52">
        <f>IF(OR(P1368="Gasto",P1368="Reembolso"),IF(M1368&lt;&gt;"",M1368,IFERROR(INDEX(catClasif,MATCH(D1368&amp;"|"&amp;E1368,catClave,0))&amp;"","Variable")),"")</f>
        <v/>
      </c>
      <c r="Y1368" s="52">
        <f>IF(P1368="","",IFERROR(INDEX(catGrupo,MATCH(D1368&amp;"|"&amp;E1368,catClave,0))&amp;"",""))</f>
        <v/>
      </c>
      <c r="Z1368" s="52">
        <f>IF(P1368="","",WEEKDAY(B1368,2))</f>
        <v/>
      </c>
      <c r="AA1368" s="52">
        <f>IF(P1368="","",IF(AND(P1368="Gasto",X1368="Variable",D1368&lt;&gt;catTrading,S1368&gt;0,S1368&lt;=Umbral),1,0))</f>
        <v/>
      </c>
      <c r="AB1368" s="52">
        <f>IF(OR(P1368="",Q1368=""),"",IFERROR(IF(INDEX(ctaVinc,MATCH(Q1368,ctaNombre,0))&amp;""&lt;&gt;"",INDEX(ctaVinc,MATCH(Q1368,ctaNombre,0))&amp;"",Q1368),Q1368))</f>
        <v/>
      </c>
      <c r="AC1368" s="52">
        <f>IF(OR(K1368="",AND(P1368&lt;&gt;"Transferencia",P1368&lt;&gt;"Pago tarjeta")),"",IFERROR(IF(INDEX(ctaVinc,MATCH(K1368,ctaNombre,0))&amp;""&lt;&gt;"",INDEX(ctaVinc,MATCH(K1368,ctaNombre,0))&amp;"",K1368),K1368))</f>
        <v/>
      </c>
      <c r="AD1368" s="52">
        <f>IF(AB1368="","",IFERROR(INDEX(ctaTipo,MATCH(AB1368,ctaNombre,0))&amp;"",""))</f>
        <v/>
      </c>
      <c r="AE1368" s="52">
        <f>IF(AC1368="","",IFERROR(INDEX(ctaTipo,MATCH(AC1368,ctaNombre,0))&amp;"",""))</f>
        <v/>
      </c>
      <c r="AF1368" s="53">
        <f>IF(OR(P1368="",AB1368=""),"",IF(OR(P1368="Gasto",P1368="Transferencia",P1368="Pago tarjeta"),-1,1)*IF(IFERROR(INDEX(ctaMoneda,MATCH(AB1368,ctaNombre,0))&amp;"","DOP")="USD",T1368,S1368))</f>
        <v/>
      </c>
      <c r="AG1368" s="53">
        <f>IF(AC1368="","",IF(IFERROR(INDEX(ctaMoneda,MATCH(AC1368,ctaNombre,0))&amp;"","DOP")="USD",T1368,S1368))</f>
        <v/>
      </c>
      <c r="AH1368" s="53">
        <f>IF(P1368="","",IF(AND(AD1368&lt;&gt;"",COUNTIFS(tcTipo,AD1368,tcLiq,"Sí")&gt;0),IF(OR(P1368="Gasto",P1368="Transferencia",P1368="Pago tarjeta"),-1,1)*S1368,0)+IF(AND(AE1368&lt;&gt;"",COUNTIFS(tcTipo,AE1368,tcLiq,"Sí")&gt;0),S1368,0))</f>
        <v/>
      </c>
      <c r="AI1368" s="52">
        <f>IF(OR(L1368="",P1368=""),"",IF(COUNTIFS(L$6:L1368,L1368,P$6:P1368,"?*")=1,MAX(AI$5:AI1367)+1,""))</f>
        <v/>
      </c>
    </row>
    <row r="1369">
      <c r="B1369" s="47" t="n"/>
      <c r="C1369" s="48" t="n"/>
      <c r="D1369" s="48" t="n"/>
      <c r="E1369" s="48" t="n"/>
      <c r="F1369" s="48" t="n"/>
      <c r="G1369" s="49" t="n"/>
      <c r="H1369" s="48" t="n"/>
      <c r="I1369" s="50" t="n"/>
      <c r="J1369" s="48" t="n"/>
      <c r="K1369" s="48" t="n"/>
      <c r="L1369" s="48" t="n"/>
      <c r="M1369" s="48" t="n"/>
      <c r="N1369" s="48" t="n"/>
      <c r="O1369" s="51">
        <f>IF(AND(B1369="",G1369="",C1369="",D1369="",J1369=""),"",IF(B1369="","⚠ Falta fecha",IF(G1369="","⚠ Falta monto",IF(Q1369="","⚠ Falta cuenta",IF(ISNA(MATCH(Q1369,ctaNombre,0)),"⚠ Cuenta no registrada",IF(AND(OR(P1369="Gasto",P1369="Reembolso"),D1369=""),"⚠ Falta categoría",IF(AND(D1369&lt;&gt;"",E1369&lt;&gt;"",ISNA(MATCH(D1369&amp;"|"&amp;E1369,catClave,0))),"⚠ Subcategoría no corresponde",IF(AND(OR(P1369="Transferencia",P1369="Pago tarjeta"),K1369=""),"⚠ Falta cuenta destino",IF(AND(K1369&lt;&gt;"",P1369&lt;&gt;"Transferencia",P1369&lt;&gt;"Pago tarjeta"),"⚠ Destino solo aplica a transferencias",IF(AND(K1369&lt;&gt;"",K1369=Q1369),"⚠ Origen igual a destino",IF(AND(K1369&lt;&gt;"",ISNA(MATCH(K1369,ctaNombre,0))),"⚠ Destino no registrado",IF(AND(P1369="Pago tarjeta",AE1369&lt;&gt;"Tarjeta de crédito"),"⚠ El destino debe ser tarjeta de crédito",IF(AND(P1369="Gasto",E1369="Depósitos y retiros"),"⚠ Usa tipo Transferencia",IF(AND(P1369="Resultado trading",AD1369&lt;&gt;"Cuenta de trading"),"⚠ Usa una cuenta de trading",IF(AND(G1369&lt;=0,P1369&lt;&gt;"Ajuste",P1369&lt;&gt;"Resultado trading"),"⚠ El monto debe ser positivo","✓")))))))))))))))</f>
        <v/>
      </c>
      <c r="P1369" s="52">
        <f>IF(OR(B1369="",G1369=""),"",IF(C1369="","Gasto",C1369))</f>
        <v/>
      </c>
      <c r="Q1369" s="52">
        <f>IF(P1369="","",IF(J1369&lt;&gt;"",J1369,CuentaPred&amp;""))</f>
        <v/>
      </c>
      <c r="R1369" s="52">
        <f>IF(P1369="","",IF(ISNUMBER(I1369),I1369,TasaUSD))</f>
        <v/>
      </c>
      <c r="S1369" s="53">
        <f>IF(P1369="","",IF(H1369="USD",G1369*R1369,G1369))</f>
        <v/>
      </c>
      <c r="T1369" s="53">
        <f>IF(P1369="","",IF(H1369="USD",G1369,IF(R1369&gt;0,G1369/R1369,0)))</f>
        <v/>
      </c>
      <c r="U1369" s="53">
        <f>IF(P1369="","",IF(P1369="Gasto",S1369,IF(P1369="Reembolso",-S1369,0)))</f>
        <v/>
      </c>
      <c r="V1369" s="53">
        <f>IF(P1369="","",IF(P1369="Ingreso",S1369,0))</f>
        <v/>
      </c>
      <c r="W1369" s="53">
        <f>IF(P1369="","",IF(P1369="Resultado trading",S1369,0))</f>
        <v/>
      </c>
      <c r="X1369" s="52">
        <f>IF(OR(P1369="Gasto",P1369="Reembolso"),IF(M1369&lt;&gt;"",M1369,IFERROR(INDEX(catClasif,MATCH(D1369&amp;"|"&amp;E1369,catClave,0))&amp;"","Variable")),"")</f>
        <v/>
      </c>
      <c r="Y1369" s="52">
        <f>IF(P1369="","",IFERROR(INDEX(catGrupo,MATCH(D1369&amp;"|"&amp;E1369,catClave,0))&amp;"",""))</f>
        <v/>
      </c>
      <c r="Z1369" s="52">
        <f>IF(P1369="","",WEEKDAY(B1369,2))</f>
        <v/>
      </c>
      <c r="AA1369" s="52">
        <f>IF(P1369="","",IF(AND(P1369="Gasto",X1369="Variable",D1369&lt;&gt;catTrading,S1369&gt;0,S1369&lt;=Umbral),1,0))</f>
        <v/>
      </c>
      <c r="AB1369" s="52">
        <f>IF(OR(P1369="",Q1369=""),"",IFERROR(IF(INDEX(ctaVinc,MATCH(Q1369,ctaNombre,0))&amp;""&lt;&gt;"",INDEX(ctaVinc,MATCH(Q1369,ctaNombre,0))&amp;"",Q1369),Q1369))</f>
        <v/>
      </c>
      <c r="AC1369" s="52">
        <f>IF(OR(K1369="",AND(P1369&lt;&gt;"Transferencia",P1369&lt;&gt;"Pago tarjeta")),"",IFERROR(IF(INDEX(ctaVinc,MATCH(K1369,ctaNombre,0))&amp;""&lt;&gt;"",INDEX(ctaVinc,MATCH(K1369,ctaNombre,0))&amp;"",K1369),K1369))</f>
        <v/>
      </c>
      <c r="AD1369" s="52">
        <f>IF(AB1369="","",IFERROR(INDEX(ctaTipo,MATCH(AB1369,ctaNombre,0))&amp;"",""))</f>
        <v/>
      </c>
      <c r="AE1369" s="52">
        <f>IF(AC1369="","",IFERROR(INDEX(ctaTipo,MATCH(AC1369,ctaNombre,0))&amp;"",""))</f>
        <v/>
      </c>
      <c r="AF1369" s="53">
        <f>IF(OR(P1369="",AB1369=""),"",IF(OR(P1369="Gasto",P1369="Transferencia",P1369="Pago tarjeta"),-1,1)*IF(IFERROR(INDEX(ctaMoneda,MATCH(AB1369,ctaNombre,0))&amp;"","DOP")="USD",T1369,S1369))</f>
        <v/>
      </c>
      <c r="AG1369" s="53">
        <f>IF(AC1369="","",IF(IFERROR(INDEX(ctaMoneda,MATCH(AC1369,ctaNombre,0))&amp;"","DOP")="USD",T1369,S1369))</f>
        <v/>
      </c>
      <c r="AH1369" s="53">
        <f>IF(P1369="","",IF(AND(AD1369&lt;&gt;"",COUNTIFS(tcTipo,AD1369,tcLiq,"Sí")&gt;0),IF(OR(P1369="Gasto",P1369="Transferencia",P1369="Pago tarjeta"),-1,1)*S1369,0)+IF(AND(AE1369&lt;&gt;"",COUNTIFS(tcTipo,AE1369,tcLiq,"Sí")&gt;0),S1369,0))</f>
        <v/>
      </c>
      <c r="AI1369" s="52">
        <f>IF(OR(L1369="",P1369=""),"",IF(COUNTIFS(L$6:L1369,L1369,P$6:P1369,"?*")=1,MAX(AI$5:AI1368)+1,""))</f>
        <v/>
      </c>
    </row>
    <row r="1370">
      <c r="B1370" s="47" t="n"/>
      <c r="C1370" s="48" t="n"/>
      <c r="D1370" s="48" t="n"/>
      <c r="E1370" s="48" t="n"/>
      <c r="F1370" s="48" t="n"/>
      <c r="G1370" s="49" t="n"/>
      <c r="H1370" s="48" t="n"/>
      <c r="I1370" s="50" t="n"/>
      <c r="J1370" s="48" t="n"/>
      <c r="K1370" s="48" t="n"/>
      <c r="L1370" s="48" t="n"/>
      <c r="M1370" s="48" t="n"/>
      <c r="N1370" s="48" t="n"/>
      <c r="O1370" s="51">
        <f>IF(AND(B1370="",G1370="",C1370="",D1370="",J1370=""),"",IF(B1370="","⚠ Falta fecha",IF(G1370="","⚠ Falta monto",IF(Q1370="","⚠ Falta cuenta",IF(ISNA(MATCH(Q1370,ctaNombre,0)),"⚠ Cuenta no registrada",IF(AND(OR(P1370="Gasto",P1370="Reembolso"),D1370=""),"⚠ Falta categoría",IF(AND(D1370&lt;&gt;"",E1370&lt;&gt;"",ISNA(MATCH(D1370&amp;"|"&amp;E1370,catClave,0))),"⚠ Subcategoría no corresponde",IF(AND(OR(P1370="Transferencia",P1370="Pago tarjeta"),K1370=""),"⚠ Falta cuenta destino",IF(AND(K1370&lt;&gt;"",P1370&lt;&gt;"Transferencia",P1370&lt;&gt;"Pago tarjeta"),"⚠ Destino solo aplica a transferencias",IF(AND(K1370&lt;&gt;"",K1370=Q1370),"⚠ Origen igual a destino",IF(AND(K1370&lt;&gt;"",ISNA(MATCH(K1370,ctaNombre,0))),"⚠ Destino no registrado",IF(AND(P1370="Pago tarjeta",AE1370&lt;&gt;"Tarjeta de crédito"),"⚠ El destino debe ser tarjeta de crédito",IF(AND(P1370="Gasto",E1370="Depósitos y retiros"),"⚠ Usa tipo Transferencia",IF(AND(P1370="Resultado trading",AD1370&lt;&gt;"Cuenta de trading"),"⚠ Usa una cuenta de trading",IF(AND(G1370&lt;=0,P1370&lt;&gt;"Ajuste",P1370&lt;&gt;"Resultado trading"),"⚠ El monto debe ser positivo","✓")))))))))))))))</f>
        <v/>
      </c>
      <c r="P1370" s="52">
        <f>IF(OR(B1370="",G1370=""),"",IF(C1370="","Gasto",C1370))</f>
        <v/>
      </c>
      <c r="Q1370" s="52">
        <f>IF(P1370="","",IF(J1370&lt;&gt;"",J1370,CuentaPred&amp;""))</f>
        <v/>
      </c>
      <c r="R1370" s="52">
        <f>IF(P1370="","",IF(ISNUMBER(I1370),I1370,TasaUSD))</f>
        <v/>
      </c>
      <c r="S1370" s="53">
        <f>IF(P1370="","",IF(H1370="USD",G1370*R1370,G1370))</f>
        <v/>
      </c>
      <c r="T1370" s="53">
        <f>IF(P1370="","",IF(H1370="USD",G1370,IF(R1370&gt;0,G1370/R1370,0)))</f>
        <v/>
      </c>
      <c r="U1370" s="53">
        <f>IF(P1370="","",IF(P1370="Gasto",S1370,IF(P1370="Reembolso",-S1370,0)))</f>
        <v/>
      </c>
      <c r="V1370" s="53">
        <f>IF(P1370="","",IF(P1370="Ingreso",S1370,0))</f>
        <v/>
      </c>
      <c r="W1370" s="53">
        <f>IF(P1370="","",IF(P1370="Resultado trading",S1370,0))</f>
        <v/>
      </c>
      <c r="X1370" s="52">
        <f>IF(OR(P1370="Gasto",P1370="Reembolso"),IF(M1370&lt;&gt;"",M1370,IFERROR(INDEX(catClasif,MATCH(D1370&amp;"|"&amp;E1370,catClave,0))&amp;"","Variable")),"")</f>
        <v/>
      </c>
      <c r="Y1370" s="52">
        <f>IF(P1370="","",IFERROR(INDEX(catGrupo,MATCH(D1370&amp;"|"&amp;E1370,catClave,0))&amp;"",""))</f>
        <v/>
      </c>
      <c r="Z1370" s="52">
        <f>IF(P1370="","",WEEKDAY(B1370,2))</f>
        <v/>
      </c>
      <c r="AA1370" s="52">
        <f>IF(P1370="","",IF(AND(P1370="Gasto",X1370="Variable",D1370&lt;&gt;catTrading,S1370&gt;0,S1370&lt;=Umbral),1,0))</f>
        <v/>
      </c>
      <c r="AB1370" s="52">
        <f>IF(OR(P1370="",Q1370=""),"",IFERROR(IF(INDEX(ctaVinc,MATCH(Q1370,ctaNombre,0))&amp;""&lt;&gt;"",INDEX(ctaVinc,MATCH(Q1370,ctaNombre,0))&amp;"",Q1370),Q1370))</f>
        <v/>
      </c>
      <c r="AC1370" s="52">
        <f>IF(OR(K1370="",AND(P1370&lt;&gt;"Transferencia",P1370&lt;&gt;"Pago tarjeta")),"",IFERROR(IF(INDEX(ctaVinc,MATCH(K1370,ctaNombre,0))&amp;""&lt;&gt;"",INDEX(ctaVinc,MATCH(K1370,ctaNombre,0))&amp;"",K1370),K1370))</f>
        <v/>
      </c>
      <c r="AD1370" s="52">
        <f>IF(AB1370="","",IFERROR(INDEX(ctaTipo,MATCH(AB1370,ctaNombre,0))&amp;"",""))</f>
        <v/>
      </c>
      <c r="AE1370" s="52">
        <f>IF(AC1370="","",IFERROR(INDEX(ctaTipo,MATCH(AC1370,ctaNombre,0))&amp;"",""))</f>
        <v/>
      </c>
      <c r="AF1370" s="53">
        <f>IF(OR(P1370="",AB1370=""),"",IF(OR(P1370="Gasto",P1370="Transferencia",P1370="Pago tarjeta"),-1,1)*IF(IFERROR(INDEX(ctaMoneda,MATCH(AB1370,ctaNombre,0))&amp;"","DOP")="USD",T1370,S1370))</f>
        <v/>
      </c>
      <c r="AG1370" s="53">
        <f>IF(AC1370="","",IF(IFERROR(INDEX(ctaMoneda,MATCH(AC1370,ctaNombre,0))&amp;"","DOP")="USD",T1370,S1370))</f>
        <v/>
      </c>
      <c r="AH1370" s="53">
        <f>IF(P1370="","",IF(AND(AD1370&lt;&gt;"",COUNTIFS(tcTipo,AD1370,tcLiq,"Sí")&gt;0),IF(OR(P1370="Gasto",P1370="Transferencia",P1370="Pago tarjeta"),-1,1)*S1370,0)+IF(AND(AE1370&lt;&gt;"",COUNTIFS(tcTipo,AE1370,tcLiq,"Sí")&gt;0),S1370,0))</f>
        <v/>
      </c>
      <c r="AI1370" s="52">
        <f>IF(OR(L1370="",P1370=""),"",IF(COUNTIFS(L$6:L1370,L1370,P$6:P1370,"?*")=1,MAX(AI$5:AI1369)+1,""))</f>
        <v/>
      </c>
    </row>
    <row r="1371">
      <c r="B1371" s="47" t="n"/>
      <c r="C1371" s="48" t="n"/>
      <c r="D1371" s="48" t="n"/>
      <c r="E1371" s="48" t="n"/>
      <c r="F1371" s="48" t="n"/>
      <c r="G1371" s="49" t="n"/>
      <c r="H1371" s="48" t="n"/>
      <c r="I1371" s="50" t="n"/>
      <c r="J1371" s="48" t="n"/>
      <c r="K1371" s="48" t="n"/>
      <c r="L1371" s="48" t="n"/>
      <c r="M1371" s="48" t="n"/>
      <c r="N1371" s="48" t="n"/>
      <c r="O1371" s="51">
        <f>IF(AND(B1371="",G1371="",C1371="",D1371="",J1371=""),"",IF(B1371="","⚠ Falta fecha",IF(G1371="","⚠ Falta monto",IF(Q1371="","⚠ Falta cuenta",IF(ISNA(MATCH(Q1371,ctaNombre,0)),"⚠ Cuenta no registrada",IF(AND(OR(P1371="Gasto",P1371="Reembolso"),D1371=""),"⚠ Falta categoría",IF(AND(D1371&lt;&gt;"",E1371&lt;&gt;"",ISNA(MATCH(D1371&amp;"|"&amp;E1371,catClave,0))),"⚠ Subcategoría no corresponde",IF(AND(OR(P1371="Transferencia",P1371="Pago tarjeta"),K1371=""),"⚠ Falta cuenta destino",IF(AND(K1371&lt;&gt;"",P1371&lt;&gt;"Transferencia",P1371&lt;&gt;"Pago tarjeta"),"⚠ Destino solo aplica a transferencias",IF(AND(K1371&lt;&gt;"",K1371=Q1371),"⚠ Origen igual a destino",IF(AND(K1371&lt;&gt;"",ISNA(MATCH(K1371,ctaNombre,0))),"⚠ Destino no registrado",IF(AND(P1371="Pago tarjeta",AE1371&lt;&gt;"Tarjeta de crédito"),"⚠ El destino debe ser tarjeta de crédito",IF(AND(P1371="Gasto",E1371="Depósitos y retiros"),"⚠ Usa tipo Transferencia",IF(AND(P1371="Resultado trading",AD1371&lt;&gt;"Cuenta de trading"),"⚠ Usa una cuenta de trading",IF(AND(G1371&lt;=0,P1371&lt;&gt;"Ajuste",P1371&lt;&gt;"Resultado trading"),"⚠ El monto debe ser positivo","✓")))))))))))))))</f>
        <v/>
      </c>
      <c r="P1371" s="52">
        <f>IF(OR(B1371="",G1371=""),"",IF(C1371="","Gasto",C1371))</f>
        <v/>
      </c>
      <c r="Q1371" s="52">
        <f>IF(P1371="","",IF(J1371&lt;&gt;"",J1371,CuentaPred&amp;""))</f>
        <v/>
      </c>
      <c r="R1371" s="52">
        <f>IF(P1371="","",IF(ISNUMBER(I1371),I1371,TasaUSD))</f>
        <v/>
      </c>
      <c r="S1371" s="53">
        <f>IF(P1371="","",IF(H1371="USD",G1371*R1371,G1371))</f>
        <v/>
      </c>
      <c r="T1371" s="53">
        <f>IF(P1371="","",IF(H1371="USD",G1371,IF(R1371&gt;0,G1371/R1371,0)))</f>
        <v/>
      </c>
      <c r="U1371" s="53">
        <f>IF(P1371="","",IF(P1371="Gasto",S1371,IF(P1371="Reembolso",-S1371,0)))</f>
        <v/>
      </c>
      <c r="V1371" s="53">
        <f>IF(P1371="","",IF(P1371="Ingreso",S1371,0))</f>
        <v/>
      </c>
      <c r="W1371" s="53">
        <f>IF(P1371="","",IF(P1371="Resultado trading",S1371,0))</f>
        <v/>
      </c>
      <c r="X1371" s="52">
        <f>IF(OR(P1371="Gasto",P1371="Reembolso"),IF(M1371&lt;&gt;"",M1371,IFERROR(INDEX(catClasif,MATCH(D1371&amp;"|"&amp;E1371,catClave,0))&amp;"","Variable")),"")</f>
        <v/>
      </c>
      <c r="Y1371" s="52">
        <f>IF(P1371="","",IFERROR(INDEX(catGrupo,MATCH(D1371&amp;"|"&amp;E1371,catClave,0))&amp;"",""))</f>
        <v/>
      </c>
      <c r="Z1371" s="52">
        <f>IF(P1371="","",WEEKDAY(B1371,2))</f>
        <v/>
      </c>
      <c r="AA1371" s="52">
        <f>IF(P1371="","",IF(AND(P1371="Gasto",X1371="Variable",D1371&lt;&gt;catTrading,S1371&gt;0,S1371&lt;=Umbral),1,0))</f>
        <v/>
      </c>
      <c r="AB1371" s="52">
        <f>IF(OR(P1371="",Q1371=""),"",IFERROR(IF(INDEX(ctaVinc,MATCH(Q1371,ctaNombre,0))&amp;""&lt;&gt;"",INDEX(ctaVinc,MATCH(Q1371,ctaNombre,0))&amp;"",Q1371),Q1371))</f>
        <v/>
      </c>
      <c r="AC1371" s="52">
        <f>IF(OR(K1371="",AND(P1371&lt;&gt;"Transferencia",P1371&lt;&gt;"Pago tarjeta")),"",IFERROR(IF(INDEX(ctaVinc,MATCH(K1371,ctaNombre,0))&amp;""&lt;&gt;"",INDEX(ctaVinc,MATCH(K1371,ctaNombre,0))&amp;"",K1371),K1371))</f>
        <v/>
      </c>
      <c r="AD1371" s="52">
        <f>IF(AB1371="","",IFERROR(INDEX(ctaTipo,MATCH(AB1371,ctaNombre,0))&amp;"",""))</f>
        <v/>
      </c>
      <c r="AE1371" s="52">
        <f>IF(AC1371="","",IFERROR(INDEX(ctaTipo,MATCH(AC1371,ctaNombre,0))&amp;"",""))</f>
        <v/>
      </c>
      <c r="AF1371" s="53">
        <f>IF(OR(P1371="",AB1371=""),"",IF(OR(P1371="Gasto",P1371="Transferencia",P1371="Pago tarjeta"),-1,1)*IF(IFERROR(INDEX(ctaMoneda,MATCH(AB1371,ctaNombre,0))&amp;"","DOP")="USD",T1371,S1371))</f>
        <v/>
      </c>
      <c r="AG1371" s="53">
        <f>IF(AC1371="","",IF(IFERROR(INDEX(ctaMoneda,MATCH(AC1371,ctaNombre,0))&amp;"","DOP")="USD",T1371,S1371))</f>
        <v/>
      </c>
      <c r="AH1371" s="53">
        <f>IF(P1371="","",IF(AND(AD1371&lt;&gt;"",COUNTIFS(tcTipo,AD1371,tcLiq,"Sí")&gt;0),IF(OR(P1371="Gasto",P1371="Transferencia",P1371="Pago tarjeta"),-1,1)*S1371,0)+IF(AND(AE1371&lt;&gt;"",COUNTIFS(tcTipo,AE1371,tcLiq,"Sí")&gt;0),S1371,0))</f>
        <v/>
      </c>
      <c r="AI1371" s="52">
        <f>IF(OR(L1371="",P1371=""),"",IF(COUNTIFS(L$6:L1371,L1371,P$6:P1371,"?*")=1,MAX(AI$5:AI1370)+1,""))</f>
        <v/>
      </c>
    </row>
    <row r="1372">
      <c r="B1372" s="47" t="n"/>
      <c r="C1372" s="48" t="n"/>
      <c r="D1372" s="48" t="n"/>
      <c r="E1372" s="48" t="n"/>
      <c r="F1372" s="48" t="n"/>
      <c r="G1372" s="49" t="n"/>
      <c r="H1372" s="48" t="n"/>
      <c r="I1372" s="50" t="n"/>
      <c r="J1372" s="48" t="n"/>
      <c r="K1372" s="48" t="n"/>
      <c r="L1372" s="48" t="n"/>
      <c r="M1372" s="48" t="n"/>
      <c r="N1372" s="48" t="n"/>
      <c r="O1372" s="51">
        <f>IF(AND(B1372="",G1372="",C1372="",D1372="",J1372=""),"",IF(B1372="","⚠ Falta fecha",IF(G1372="","⚠ Falta monto",IF(Q1372="","⚠ Falta cuenta",IF(ISNA(MATCH(Q1372,ctaNombre,0)),"⚠ Cuenta no registrada",IF(AND(OR(P1372="Gasto",P1372="Reembolso"),D1372=""),"⚠ Falta categoría",IF(AND(D1372&lt;&gt;"",E1372&lt;&gt;"",ISNA(MATCH(D1372&amp;"|"&amp;E1372,catClave,0))),"⚠ Subcategoría no corresponde",IF(AND(OR(P1372="Transferencia",P1372="Pago tarjeta"),K1372=""),"⚠ Falta cuenta destino",IF(AND(K1372&lt;&gt;"",P1372&lt;&gt;"Transferencia",P1372&lt;&gt;"Pago tarjeta"),"⚠ Destino solo aplica a transferencias",IF(AND(K1372&lt;&gt;"",K1372=Q1372),"⚠ Origen igual a destino",IF(AND(K1372&lt;&gt;"",ISNA(MATCH(K1372,ctaNombre,0))),"⚠ Destino no registrado",IF(AND(P1372="Pago tarjeta",AE1372&lt;&gt;"Tarjeta de crédito"),"⚠ El destino debe ser tarjeta de crédito",IF(AND(P1372="Gasto",E1372="Depósitos y retiros"),"⚠ Usa tipo Transferencia",IF(AND(P1372="Resultado trading",AD1372&lt;&gt;"Cuenta de trading"),"⚠ Usa una cuenta de trading",IF(AND(G1372&lt;=0,P1372&lt;&gt;"Ajuste",P1372&lt;&gt;"Resultado trading"),"⚠ El monto debe ser positivo","✓")))))))))))))))</f>
        <v/>
      </c>
      <c r="P1372" s="52">
        <f>IF(OR(B1372="",G1372=""),"",IF(C1372="","Gasto",C1372))</f>
        <v/>
      </c>
      <c r="Q1372" s="52">
        <f>IF(P1372="","",IF(J1372&lt;&gt;"",J1372,CuentaPred&amp;""))</f>
        <v/>
      </c>
      <c r="R1372" s="52">
        <f>IF(P1372="","",IF(ISNUMBER(I1372),I1372,TasaUSD))</f>
        <v/>
      </c>
      <c r="S1372" s="53">
        <f>IF(P1372="","",IF(H1372="USD",G1372*R1372,G1372))</f>
        <v/>
      </c>
      <c r="T1372" s="53">
        <f>IF(P1372="","",IF(H1372="USD",G1372,IF(R1372&gt;0,G1372/R1372,0)))</f>
        <v/>
      </c>
      <c r="U1372" s="53">
        <f>IF(P1372="","",IF(P1372="Gasto",S1372,IF(P1372="Reembolso",-S1372,0)))</f>
        <v/>
      </c>
      <c r="V1372" s="53">
        <f>IF(P1372="","",IF(P1372="Ingreso",S1372,0))</f>
        <v/>
      </c>
      <c r="W1372" s="53">
        <f>IF(P1372="","",IF(P1372="Resultado trading",S1372,0))</f>
        <v/>
      </c>
      <c r="X1372" s="52">
        <f>IF(OR(P1372="Gasto",P1372="Reembolso"),IF(M1372&lt;&gt;"",M1372,IFERROR(INDEX(catClasif,MATCH(D1372&amp;"|"&amp;E1372,catClave,0))&amp;"","Variable")),"")</f>
        <v/>
      </c>
      <c r="Y1372" s="52">
        <f>IF(P1372="","",IFERROR(INDEX(catGrupo,MATCH(D1372&amp;"|"&amp;E1372,catClave,0))&amp;"",""))</f>
        <v/>
      </c>
      <c r="Z1372" s="52">
        <f>IF(P1372="","",WEEKDAY(B1372,2))</f>
        <v/>
      </c>
      <c r="AA1372" s="52">
        <f>IF(P1372="","",IF(AND(P1372="Gasto",X1372="Variable",D1372&lt;&gt;catTrading,S1372&gt;0,S1372&lt;=Umbral),1,0))</f>
        <v/>
      </c>
      <c r="AB1372" s="52">
        <f>IF(OR(P1372="",Q1372=""),"",IFERROR(IF(INDEX(ctaVinc,MATCH(Q1372,ctaNombre,0))&amp;""&lt;&gt;"",INDEX(ctaVinc,MATCH(Q1372,ctaNombre,0))&amp;"",Q1372),Q1372))</f>
        <v/>
      </c>
      <c r="AC1372" s="52">
        <f>IF(OR(K1372="",AND(P1372&lt;&gt;"Transferencia",P1372&lt;&gt;"Pago tarjeta")),"",IFERROR(IF(INDEX(ctaVinc,MATCH(K1372,ctaNombre,0))&amp;""&lt;&gt;"",INDEX(ctaVinc,MATCH(K1372,ctaNombre,0))&amp;"",K1372),K1372))</f>
        <v/>
      </c>
      <c r="AD1372" s="52">
        <f>IF(AB1372="","",IFERROR(INDEX(ctaTipo,MATCH(AB1372,ctaNombre,0))&amp;"",""))</f>
        <v/>
      </c>
      <c r="AE1372" s="52">
        <f>IF(AC1372="","",IFERROR(INDEX(ctaTipo,MATCH(AC1372,ctaNombre,0))&amp;"",""))</f>
        <v/>
      </c>
      <c r="AF1372" s="53">
        <f>IF(OR(P1372="",AB1372=""),"",IF(OR(P1372="Gasto",P1372="Transferencia",P1372="Pago tarjeta"),-1,1)*IF(IFERROR(INDEX(ctaMoneda,MATCH(AB1372,ctaNombre,0))&amp;"","DOP")="USD",T1372,S1372))</f>
        <v/>
      </c>
      <c r="AG1372" s="53">
        <f>IF(AC1372="","",IF(IFERROR(INDEX(ctaMoneda,MATCH(AC1372,ctaNombre,0))&amp;"","DOP")="USD",T1372,S1372))</f>
        <v/>
      </c>
      <c r="AH1372" s="53">
        <f>IF(P1372="","",IF(AND(AD1372&lt;&gt;"",COUNTIFS(tcTipo,AD1372,tcLiq,"Sí")&gt;0),IF(OR(P1372="Gasto",P1372="Transferencia",P1372="Pago tarjeta"),-1,1)*S1372,0)+IF(AND(AE1372&lt;&gt;"",COUNTIFS(tcTipo,AE1372,tcLiq,"Sí")&gt;0),S1372,0))</f>
        <v/>
      </c>
      <c r="AI1372" s="52">
        <f>IF(OR(L1372="",P1372=""),"",IF(COUNTIFS(L$6:L1372,L1372,P$6:P1372,"?*")=1,MAX(AI$5:AI1371)+1,""))</f>
        <v/>
      </c>
    </row>
    <row r="1373">
      <c r="B1373" s="47" t="n"/>
      <c r="C1373" s="48" t="n"/>
      <c r="D1373" s="48" t="n"/>
      <c r="E1373" s="48" t="n"/>
      <c r="F1373" s="48" t="n"/>
      <c r="G1373" s="49" t="n"/>
      <c r="H1373" s="48" t="n"/>
      <c r="I1373" s="50" t="n"/>
      <c r="J1373" s="48" t="n"/>
      <c r="K1373" s="48" t="n"/>
      <c r="L1373" s="48" t="n"/>
      <c r="M1373" s="48" t="n"/>
      <c r="N1373" s="48" t="n"/>
      <c r="O1373" s="51">
        <f>IF(AND(B1373="",G1373="",C1373="",D1373="",J1373=""),"",IF(B1373="","⚠ Falta fecha",IF(G1373="","⚠ Falta monto",IF(Q1373="","⚠ Falta cuenta",IF(ISNA(MATCH(Q1373,ctaNombre,0)),"⚠ Cuenta no registrada",IF(AND(OR(P1373="Gasto",P1373="Reembolso"),D1373=""),"⚠ Falta categoría",IF(AND(D1373&lt;&gt;"",E1373&lt;&gt;"",ISNA(MATCH(D1373&amp;"|"&amp;E1373,catClave,0))),"⚠ Subcategoría no corresponde",IF(AND(OR(P1373="Transferencia",P1373="Pago tarjeta"),K1373=""),"⚠ Falta cuenta destino",IF(AND(K1373&lt;&gt;"",P1373&lt;&gt;"Transferencia",P1373&lt;&gt;"Pago tarjeta"),"⚠ Destino solo aplica a transferencias",IF(AND(K1373&lt;&gt;"",K1373=Q1373),"⚠ Origen igual a destino",IF(AND(K1373&lt;&gt;"",ISNA(MATCH(K1373,ctaNombre,0))),"⚠ Destino no registrado",IF(AND(P1373="Pago tarjeta",AE1373&lt;&gt;"Tarjeta de crédito"),"⚠ El destino debe ser tarjeta de crédito",IF(AND(P1373="Gasto",E1373="Depósitos y retiros"),"⚠ Usa tipo Transferencia",IF(AND(P1373="Resultado trading",AD1373&lt;&gt;"Cuenta de trading"),"⚠ Usa una cuenta de trading",IF(AND(G1373&lt;=0,P1373&lt;&gt;"Ajuste",P1373&lt;&gt;"Resultado trading"),"⚠ El monto debe ser positivo","✓")))))))))))))))</f>
        <v/>
      </c>
      <c r="P1373" s="52">
        <f>IF(OR(B1373="",G1373=""),"",IF(C1373="","Gasto",C1373))</f>
        <v/>
      </c>
      <c r="Q1373" s="52">
        <f>IF(P1373="","",IF(J1373&lt;&gt;"",J1373,CuentaPred&amp;""))</f>
        <v/>
      </c>
      <c r="R1373" s="52">
        <f>IF(P1373="","",IF(ISNUMBER(I1373),I1373,TasaUSD))</f>
        <v/>
      </c>
      <c r="S1373" s="53">
        <f>IF(P1373="","",IF(H1373="USD",G1373*R1373,G1373))</f>
        <v/>
      </c>
      <c r="T1373" s="53">
        <f>IF(P1373="","",IF(H1373="USD",G1373,IF(R1373&gt;0,G1373/R1373,0)))</f>
        <v/>
      </c>
      <c r="U1373" s="53">
        <f>IF(P1373="","",IF(P1373="Gasto",S1373,IF(P1373="Reembolso",-S1373,0)))</f>
        <v/>
      </c>
      <c r="V1373" s="53">
        <f>IF(P1373="","",IF(P1373="Ingreso",S1373,0))</f>
        <v/>
      </c>
      <c r="W1373" s="53">
        <f>IF(P1373="","",IF(P1373="Resultado trading",S1373,0))</f>
        <v/>
      </c>
      <c r="X1373" s="52">
        <f>IF(OR(P1373="Gasto",P1373="Reembolso"),IF(M1373&lt;&gt;"",M1373,IFERROR(INDEX(catClasif,MATCH(D1373&amp;"|"&amp;E1373,catClave,0))&amp;"","Variable")),"")</f>
        <v/>
      </c>
      <c r="Y1373" s="52">
        <f>IF(P1373="","",IFERROR(INDEX(catGrupo,MATCH(D1373&amp;"|"&amp;E1373,catClave,0))&amp;"",""))</f>
        <v/>
      </c>
      <c r="Z1373" s="52">
        <f>IF(P1373="","",WEEKDAY(B1373,2))</f>
        <v/>
      </c>
      <c r="AA1373" s="52">
        <f>IF(P1373="","",IF(AND(P1373="Gasto",X1373="Variable",D1373&lt;&gt;catTrading,S1373&gt;0,S1373&lt;=Umbral),1,0))</f>
        <v/>
      </c>
      <c r="AB1373" s="52">
        <f>IF(OR(P1373="",Q1373=""),"",IFERROR(IF(INDEX(ctaVinc,MATCH(Q1373,ctaNombre,0))&amp;""&lt;&gt;"",INDEX(ctaVinc,MATCH(Q1373,ctaNombre,0))&amp;"",Q1373),Q1373))</f>
        <v/>
      </c>
      <c r="AC1373" s="52">
        <f>IF(OR(K1373="",AND(P1373&lt;&gt;"Transferencia",P1373&lt;&gt;"Pago tarjeta")),"",IFERROR(IF(INDEX(ctaVinc,MATCH(K1373,ctaNombre,0))&amp;""&lt;&gt;"",INDEX(ctaVinc,MATCH(K1373,ctaNombre,0))&amp;"",K1373),K1373))</f>
        <v/>
      </c>
      <c r="AD1373" s="52">
        <f>IF(AB1373="","",IFERROR(INDEX(ctaTipo,MATCH(AB1373,ctaNombre,0))&amp;"",""))</f>
        <v/>
      </c>
      <c r="AE1373" s="52">
        <f>IF(AC1373="","",IFERROR(INDEX(ctaTipo,MATCH(AC1373,ctaNombre,0))&amp;"",""))</f>
        <v/>
      </c>
      <c r="AF1373" s="53">
        <f>IF(OR(P1373="",AB1373=""),"",IF(OR(P1373="Gasto",P1373="Transferencia",P1373="Pago tarjeta"),-1,1)*IF(IFERROR(INDEX(ctaMoneda,MATCH(AB1373,ctaNombre,0))&amp;"","DOP")="USD",T1373,S1373))</f>
        <v/>
      </c>
      <c r="AG1373" s="53">
        <f>IF(AC1373="","",IF(IFERROR(INDEX(ctaMoneda,MATCH(AC1373,ctaNombre,0))&amp;"","DOP")="USD",T1373,S1373))</f>
        <v/>
      </c>
      <c r="AH1373" s="53">
        <f>IF(P1373="","",IF(AND(AD1373&lt;&gt;"",COUNTIFS(tcTipo,AD1373,tcLiq,"Sí")&gt;0),IF(OR(P1373="Gasto",P1373="Transferencia",P1373="Pago tarjeta"),-1,1)*S1373,0)+IF(AND(AE1373&lt;&gt;"",COUNTIFS(tcTipo,AE1373,tcLiq,"Sí")&gt;0),S1373,0))</f>
        <v/>
      </c>
      <c r="AI1373" s="52">
        <f>IF(OR(L1373="",P1373=""),"",IF(COUNTIFS(L$6:L1373,L1373,P$6:P1373,"?*")=1,MAX(AI$5:AI1372)+1,""))</f>
        <v/>
      </c>
    </row>
    <row r="1374">
      <c r="B1374" s="47" t="n"/>
      <c r="C1374" s="48" t="n"/>
      <c r="D1374" s="48" t="n"/>
      <c r="E1374" s="48" t="n"/>
      <c r="F1374" s="48" t="n"/>
      <c r="G1374" s="49" t="n"/>
      <c r="H1374" s="48" t="n"/>
      <c r="I1374" s="50" t="n"/>
      <c r="J1374" s="48" t="n"/>
      <c r="K1374" s="48" t="n"/>
      <c r="L1374" s="48" t="n"/>
      <c r="M1374" s="48" t="n"/>
      <c r="N1374" s="48" t="n"/>
      <c r="O1374" s="51">
        <f>IF(AND(B1374="",G1374="",C1374="",D1374="",J1374=""),"",IF(B1374="","⚠ Falta fecha",IF(G1374="","⚠ Falta monto",IF(Q1374="","⚠ Falta cuenta",IF(ISNA(MATCH(Q1374,ctaNombre,0)),"⚠ Cuenta no registrada",IF(AND(OR(P1374="Gasto",P1374="Reembolso"),D1374=""),"⚠ Falta categoría",IF(AND(D1374&lt;&gt;"",E1374&lt;&gt;"",ISNA(MATCH(D1374&amp;"|"&amp;E1374,catClave,0))),"⚠ Subcategoría no corresponde",IF(AND(OR(P1374="Transferencia",P1374="Pago tarjeta"),K1374=""),"⚠ Falta cuenta destino",IF(AND(K1374&lt;&gt;"",P1374&lt;&gt;"Transferencia",P1374&lt;&gt;"Pago tarjeta"),"⚠ Destino solo aplica a transferencias",IF(AND(K1374&lt;&gt;"",K1374=Q1374),"⚠ Origen igual a destino",IF(AND(K1374&lt;&gt;"",ISNA(MATCH(K1374,ctaNombre,0))),"⚠ Destino no registrado",IF(AND(P1374="Pago tarjeta",AE1374&lt;&gt;"Tarjeta de crédito"),"⚠ El destino debe ser tarjeta de crédito",IF(AND(P1374="Gasto",E1374="Depósitos y retiros"),"⚠ Usa tipo Transferencia",IF(AND(P1374="Resultado trading",AD1374&lt;&gt;"Cuenta de trading"),"⚠ Usa una cuenta de trading",IF(AND(G1374&lt;=0,P1374&lt;&gt;"Ajuste",P1374&lt;&gt;"Resultado trading"),"⚠ El monto debe ser positivo","✓")))))))))))))))</f>
        <v/>
      </c>
      <c r="P1374" s="52">
        <f>IF(OR(B1374="",G1374=""),"",IF(C1374="","Gasto",C1374))</f>
        <v/>
      </c>
      <c r="Q1374" s="52">
        <f>IF(P1374="","",IF(J1374&lt;&gt;"",J1374,CuentaPred&amp;""))</f>
        <v/>
      </c>
      <c r="R1374" s="52">
        <f>IF(P1374="","",IF(ISNUMBER(I1374),I1374,TasaUSD))</f>
        <v/>
      </c>
      <c r="S1374" s="53">
        <f>IF(P1374="","",IF(H1374="USD",G1374*R1374,G1374))</f>
        <v/>
      </c>
      <c r="T1374" s="53">
        <f>IF(P1374="","",IF(H1374="USD",G1374,IF(R1374&gt;0,G1374/R1374,0)))</f>
        <v/>
      </c>
      <c r="U1374" s="53">
        <f>IF(P1374="","",IF(P1374="Gasto",S1374,IF(P1374="Reembolso",-S1374,0)))</f>
        <v/>
      </c>
      <c r="V1374" s="53">
        <f>IF(P1374="","",IF(P1374="Ingreso",S1374,0))</f>
        <v/>
      </c>
      <c r="W1374" s="53">
        <f>IF(P1374="","",IF(P1374="Resultado trading",S1374,0))</f>
        <v/>
      </c>
      <c r="X1374" s="52">
        <f>IF(OR(P1374="Gasto",P1374="Reembolso"),IF(M1374&lt;&gt;"",M1374,IFERROR(INDEX(catClasif,MATCH(D1374&amp;"|"&amp;E1374,catClave,0))&amp;"","Variable")),"")</f>
        <v/>
      </c>
      <c r="Y1374" s="52">
        <f>IF(P1374="","",IFERROR(INDEX(catGrupo,MATCH(D1374&amp;"|"&amp;E1374,catClave,0))&amp;"",""))</f>
        <v/>
      </c>
      <c r="Z1374" s="52">
        <f>IF(P1374="","",WEEKDAY(B1374,2))</f>
        <v/>
      </c>
      <c r="AA1374" s="52">
        <f>IF(P1374="","",IF(AND(P1374="Gasto",X1374="Variable",D1374&lt;&gt;catTrading,S1374&gt;0,S1374&lt;=Umbral),1,0))</f>
        <v/>
      </c>
      <c r="AB1374" s="52">
        <f>IF(OR(P1374="",Q1374=""),"",IFERROR(IF(INDEX(ctaVinc,MATCH(Q1374,ctaNombre,0))&amp;""&lt;&gt;"",INDEX(ctaVinc,MATCH(Q1374,ctaNombre,0))&amp;"",Q1374),Q1374))</f>
        <v/>
      </c>
      <c r="AC1374" s="52">
        <f>IF(OR(K1374="",AND(P1374&lt;&gt;"Transferencia",P1374&lt;&gt;"Pago tarjeta")),"",IFERROR(IF(INDEX(ctaVinc,MATCH(K1374,ctaNombre,0))&amp;""&lt;&gt;"",INDEX(ctaVinc,MATCH(K1374,ctaNombre,0))&amp;"",K1374),K1374))</f>
        <v/>
      </c>
      <c r="AD1374" s="52">
        <f>IF(AB1374="","",IFERROR(INDEX(ctaTipo,MATCH(AB1374,ctaNombre,0))&amp;"",""))</f>
        <v/>
      </c>
      <c r="AE1374" s="52">
        <f>IF(AC1374="","",IFERROR(INDEX(ctaTipo,MATCH(AC1374,ctaNombre,0))&amp;"",""))</f>
        <v/>
      </c>
      <c r="AF1374" s="53">
        <f>IF(OR(P1374="",AB1374=""),"",IF(OR(P1374="Gasto",P1374="Transferencia",P1374="Pago tarjeta"),-1,1)*IF(IFERROR(INDEX(ctaMoneda,MATCH(AB1374,ctaNombre,0))&amp;"","DOP")="USD",T1374,S1374))</f>
        <v/>
      </c>
      <c r="AG1374" s="53">
        <f>IF(AC1374="","",IF(IFERROR(INDEX(ctaMoneda,MATCH(AC1374,ctaNombre,0))&amp;"","DOP")="USD",T1374,S1374))</f>
        <v/>
      </c>
      <c r="AH1374" s="53">
        <f>IF(P1374="","",IF(AND(AD1374&lt;&gt;"",COUNTIFS(tcTipo,AD1374,tcLiq,"Sí")&gt;0),IF(OR(P1374="Gasto",P1374="Transferencia",P1374="Pago tarjeta"),-1,1)*S1374,0)+IF(AND(AE1374&lt;&gt;"",COUNTIFS(tcTipo,AE1374,tcLiq,"Sí")&gt;0),S1374,0))</f>
        <v/>
      </c>
      <c r="AI1374" s="52">
        <f>IF(OR(L1374="",P1374=""),"",IF(COUNTIFS(L$6:L1374,L1374,P$6:P1374,"?*")=1,MAX(AI$5:AI1373)+1,""))</f>
        <v/>
      </c>
    </row>
    <row r="1375">
      <c r="B1375" s="47" t="n"/>
      <c r="C1375" s="48" t="n"/>
      <c r="D1375" s="48" t="n"/>
      <c r="E1375" s="48" t="n"/>
      <c r="F1375" s="48" t="n"/>
      <c r="G1375" s="49" t="n"/>
      <c r="H1375" s="48" t="n"/>
      <c r="I1375" s="50" t="n"/>
      <c r="J1375" s="48" t="n"/>
      <c r="K1375" s="48" t="n"/>
      <c r="L1375" s="48" t="n"/>
      <c r="M1375" s="48" t="n"/>
      <c r="N1375" s="48" t="n"/>
      <c r="O1375" s="51">
        <f>IF(AND(B1375="",G1375="",C1375="",D1375="",J1375=""),"",IF(B1375="","⚠ Falta fecha",IF(G1375="","⚠ Falta monto",IF(Q1375="","⚠ Falta cuenta",IF(ISNA(MATCH(Q1375,ctaNombre,0)),"⚠ Cuenta no registrada",IF(AND(OR(P1375="Gasto",P1375="Reembolso"),D1375=""),"⚠ Falta categoría",IF(AND(D1375&lt;&gt;"",E1375&lt;&gt;"",ISNA(MATCH(D1375&amp;"|"&amp;E1375,catClave,0))),"⚠ Subcategoría no corresponde",IF(AND(OR(P1375="Transferencia",P1375="Pago tarjeta"),K1375=""),"⚠ Falta cuenta destino",IF(AND(K1375&lt;&gt;"",P1375&lt;&gt;"Transferencia",P1375&lt;&gt;"Pago tarjeta"),"⚠ Destino solo aplica a transferencias",IF(AND(K1375&lt;&gt;"",K1375=Q1375),"⚠ Origen igual a destino",IF(AND(K1375&lt;&gt;"",ISNA(MATCH(K1375,ctaNombre,0))),"⚠ Destino no registrado",IF(AND(P1375="Pago tarjeta",AE1375&lt;&gt;"Tarjeta de crédito"),"⚠ El destino debe ser tarjeta de crédito",IF(AND(P1375="Gasto",E1375="Depósitos y retiros"),"⚠ Usa tipo Transferencia",IF(AND(P1375="Resultado trading",AD1375&lt;&gt;"Cuenta de trading"),"⚠ Usa una cuenta de trading",IF(AND(G1375&lt;=0,P1375&lt;&gt;"Ajuste",P1375&lt;&gt;"Resultado trading"),"⚠ El monto debe ser positivo","✓")))))))))))))))</f>
        <v/>
      </c>
      <c r="P1375" s="52">
        <f>IF(OR(B1375="",G1375=""),"",IF(C1375="","Gasto",C1375))</f>
        <v/>
      </c>
      <c r="Q1375" s="52">
        <f>IF(P1375="","",IF(J1375&lt;&gt;"",J1375,CuentaPred&amp;""))</f>
        <v/>
      </c>
      <c r="R1375" s="52">
        <f>IF(P1375="","",IF(ISNUMBER(I1375),I1375,TasaUSD))</f>
        <v/>
      </c>
      <c r="S1375" s="53">
        <f>IF(P1375="","",IF(H1375="USD",G1375*R1375,G1375))</f>
        <v/>
      </c>
      <c r="T1375" s="53">
        <f>IF(P1375="","",IF(H1375="USD",G1375,IF(R1375&gt;0,G1375/R1375,0)))</f>
        <v/>
      </c>
      <c r="U1375" s="53">
        <f>IF(P1375="","",IF(P1375="Gasto",S1375,IF(P1375="Reembolso",-S1375,0)))</f>
        <v/>
      </c>
      <c r="V1375" s="53">
        <f>IF(P1375="","",IF(P1375="Ingreso",S1375,0))</f>
        <v/>
      </c>
      <c r="W1375" s="53">
        <f>IF(P1375="","",IF(P1375="Resultado trading",S1375,0))</f>
        <v/>
      </c>
      <c r="X1375" s="52">
        <f>IF(OR(P1375="Gasto",P1375="Reembolso"),IF(M1375&lt;&gt;"",M1375,IFERROR(INDEX(catClasif,MATCH(D1375&amp;"|"&amp;E1375,catClave,0))&amp;"","Variable")),"")</f>
        <v/>
      </c>
      <c r="Y1375" s="52">
        <f>IF(P1375="","",IFERROR(INDEX(catGrupo,MATCH(D1375&amp;"|"&amp;E1375,catClave,0))&amp;"",""))</f>
        <v/>
      </c>
      <c r="Z1375" s="52">
        <f>IF(P1375="","",WEEKDAY(B1375,2))</f>
        <v/>
      </c>
      <c r="AA1375" s="52">
        <f>IF(P1375="","",IF(AND(P1375="Gasto",X1375="Variable",D1375&lt;&gt;catTrading,S1375&gt;0,S1375&lt;=Umbral),1,0))</f>
        <v/>
      </c>
      <c r="AB1375" s="52">
        <f>IF(OR(P1375="",Q1375=""),"",IFERROR(IF(INDEX(ctaVinc,MATCH(Q1375,ctaNombre,0))&amp;""&lt;&gt;"",INDEX(ctaVinc,MATCH(Q1375,ctaNombre,0))&amp;"",Q1375),Q1375))</f>
        <v/>
      </c>
      <c r="AC1375" s="52">
        <f>IF(OR(K1375="",AND(P1375&lt;&gt;"Transferencia",P1375&lt;&gt;"Pago tarjeta")),"",IFERROR(IF(INDEX(ctaVinc,MATCH(K1375,ctaNombre,0))&amp;""&lt;&gt;"",INDEX(ctaVinc,MATCH(K1375,ctaNombre,0))&amp;"",K1375),K1375))</f>
        <v/>
      </c>
      <c r="AD1375" s="52">
        <f>IF(AB1375="","",IFERROR(INDEX(ctaTipo,MATCH(AB1375,ctaNombre,0))&amp;"",""))</f>
        <v/>
      </c>
      <c r="AE1375" s="52">
        <f>IF(AC1375="","",IFERROR(INDEX(ctaTipo,MATCH(AC1375,ctaNombre,0))&amp;"",""))</f>
        <v/>
      </c>
      <c r="AF1375" s="53">
        <f>IF(OR(P1375="",AB1375=""),"",IF(OR(P1375="Gasto",P1375="Transferencia",P1375="Pago tarjeta"),-1,1)*IF(IFERROR(INDEX(ctaMoneda,MATCH(AB1375,ctaNombre,0))&amp;"","DOP")="USD",T1375,S1375))</f>
        <v/>
      </c>
      <c r="AG1375" s="53">
        <f>IF(AC1375="","",IF(IFERROR(INDEX(ctaMoneda,MATCH(AC1375,ctaNombre,0))&amp;"","DOP")="USD",T1375,S1375))</f>
        <v/>
      </c>
      <c r="AH1375" s="53">
        <f>IF(P1375="","",IF(AND(AD1375&lt;&gt;"",COUNTIFS(tcTipo,AD1375,tcLiq,"Sí")&gt;0),IF(OR(P1375="Gasto",P1375="Transferencia",P1375="Pago tarjeta"),-1,1)*S1375,0)+IF(AND(AE1375&lt;&gt;"",COUNTIFS(tcTipo,AE1375,tcLiq,"Sí")&gt;0),S1375,0))</f>
        <v/>
      </c>
      <c r="AI1375" s="52">
        <f>IF(OR(L1375="",P1375=""),"",IF(COUNTIFS(L$6:L1375,L1375,P$6:P1375,"?*")=1,MAX(AI$5:AI1374)+1,""))</f>
        <v/>
      </c>
    </row>
    <row r="1376">
      <c r="B1376" s="47" t="n"/>
      <c r="C1376" s="48" t="n"/>
      <c r="D1376" s="48" t="n"/>
      <c r="E1376" s="48" t="n"/>
      <c r="F1376" s="48" t="n"/>
      <c r="G1376" s="49" t="n"/>
      <c r="H1376" s="48" t="n"/>
      <c r="I1376" s="50" t="n"/>
      <c r="J1376" s="48" t="n"/>
      <c r="K1376" s="48" t="n"/>
      <c r="L1376" s="48" t="n"/>
      <c r="M1376" s="48" t="n"/>
      <c r="N1376" s="48" t="n"/>
      <c r="O1376" s="51">
        <f>IF(AND(B1376="",G1376="",C1376="",D1376="",J1376=""),"",IF(B1376="","⚠ Falta fecha",IF(G1376="","⚠ Falta monto",IF(Q1376="","⚠ Falta cuenta",IF(ISNA(MATCH(Q1376,ctaNombre,0)),"⚠ Cuenta no registrada",IF(AND(OR(P1376="Gasto",P1376="Reembolso"),D1376=""),"⚠ Falta categoría",IF(AND(D1376&lt;&gt;"",E1376&lt;&gt;"",ISNA(MATCH(D1376&amp;"|"&amp;E1376,catClave,0))),"⚠ Subcategoría no corresponde",IF(AND(OR(P1376="Transferencia",P1376="Pago tarjeta"),K1376=""),"⚠ Falta cuenta destino",IF(AND(K1376&lt;&gt;"",P1376&lt;&gt;"Transferencia",P1376&lt;&gt;"Pago tarjeta"),"⚠ Destino solo aplica a transferencias",IF(AND(K1376&lt;&gt;"",K1376=Q1376),"⚠ Origen igual a destino",IF(AND(K1376&lt;&gt;"",ISNA(MATCH(K1376,ctaNombre,0))),"⚠ Destino no registrado",IF(AND(P1376="Pago tarjeta",AE1376&lt;&gt;"Tarjeta de crédito"),"⚠ El destino debe ser tarjeta de crédito",IF(AND(P1376="Gasto",E1376="Depósitos y retiros"),"⚠ Usa tipo Transferencia",IF(AND(P1376="Resultado trading",AD1376&lt;&gt;"Cuenta de trading"),"⚠ Usa una cuenta de trading",IF(AND(G1376&lt;=0,P1376&lt;&gt;"Ajuste",P1376&lt;&gt;"Resultado trading"),"⚠ El monto debe ser positivo","✓")))))))))))))))</f>
        <v/>
      </c>
      <c r="P1376" s="52">
        <f>IF(OR(B1376="",G1376=""),"",IF(C1376="","Gasto",C1376))</f>
        <v/>
      </c>
      <c r="Q1376" s="52">
        <f>IF(P1376="","",IF(J1376&lt;&gt;"",J1376,CuentaPred&amp;""))</f>
        <v/>
      </c>
      <c r="R1376" s="52">
        <f>IF(P1376="","",IF(ISNUMBER(I1376),I1376,TasaUSD))</f>
        <v/>
      </c>
      <c r="S1376" s="53">
        <f>IF(P1376="","",IF(H1376="USD",G1376*R1376,G1376))</f>
        <v/>
      </c>
      <c r="T1376" s="53">
        <f>IF(P1376="","",IF(H1376="USD",G1376,IF(R1376&gt;0,G1376/R1376,0)))</f>
        <v/>
      </c>
      <c r="U1376" s="53">
        <f>IF(P1376="","",IF(P1376="Gasto",S1376,IF(P1376="Reembolso",-S1376,0)))</f>
        <v/>
      </c>
      <c r="V1376" s="53">
        <f>IF(P1376="","",IF(P1376="Ingreso",S1376,0))</f>
        <v/>
      </c>
      <c r="W1376" s="53">
        <f>IF(P1376="","",IF(P1376="Resultado trading",S1376,0))</f>
        <v/>
      </c>
      <c r="X1376" s="52">
        <f>IF(OR(P1376="Gasto",P1376="Reembolso"),IF(M1376&lt;&gt;"",M1376,IFERROR(INDEX(catClasif,MATCH(D1376&amp;"|"&amp;E1376,catClave,0))&amp;"","Variable")),"")</f>
        <v/>
      </c>
      <c r="Y1376" s="52">
        <f>IF(P1376="","",IFERROR(INDEX(catGrupo,MATCH(D1376&amp;"|"&amp;E1376,catClave,0))&amp;"",""))</f>
        <v/>
      </c>
      <c r="Z1376" s="52">
        <f>IF(P1376="","",WEEKDAY(B1376,2))</f>
        <v/>
      </c>
      <c r="AA1376" s="52">
        <f>IF(P1376="","",IF(AND(P1376="Gasto",X1376="Variable",D1376&lt;&gt;catTrading,S1376&gt;0,S1376&lt;=Umbral),1,0))</f>
        <v/>
      </c>
      <c r="AB1376" s="52">
        <f>IF(OR(P1376="",Q1376=""),"",IFERROR(IF(INDEX(ctaVinc,MATCH(Q1376,ctaNombre,0))&amp;""&lt;&gt;"",INDEX(ctaVinc,MATCH(Q1376,ctaNombre,0))&amp;"",Q1376),Q1376))</f>
        <v/>
      </c>
      <c r="AC1376" s="52">
        <f>IF(OR(K1376="",AND(P1376&lt;&gt;"Transferencia",P1376&lt;&gt;"Pago tarjeta")),"",IFERROR(IF(INDEX(ctaVinc,MATCH(K1376,ctaNombre,0))&amp;""&lt;&gt;"",INDEX(ctaVinc,MATCH(K1376,ctaNombre,0))&amp;"",K1376),K1376))</f>
        <v/>
      </c>
      <c r="AD1376" s="52">
        <f>IF(AB1376="","",IFERROR(INDEX(ctaTipo,MATCH(AB1376,ctaNombre,0))&amp;"",""))</f>
        <v/>
      </c>
      <c r="AE1376" s="52">
        <f>IF(AC1376="","",IFERROR(INDEX(ctaTipo,MATCH(AC1376,ctaNombre,0))&amp;"",""))</f>
        <v/>
      </c>
      <c r="AF1376" s="53">
        <f>IF(OR(P1376="",AB1376=""),"",IF(OR(P1376="Gasto",P1376="Transferencia",P1376="Pago tarjeta"),-1,1)*IF(IFERROR(INDEX(ctaMoneda,MATCH(AB1376,ctaNombre,0))&amp;"","DOP")="USD",T1376,S1376))</f>
        <v/>
      </c>
      <c r="AG1376" s="53">
        <f>IF(AC1376="","",IF(IFERROR(INDEX(ctaMoneda,MATCH(AC1376,ctaNombre,0))&amp;"","DOP")="USD",T1376,S1376))</f>
        <v/>
      </c>
      <c r="AH1376" s="53">
        <f>IF(P1376="","",IF(AND(AD1376&lt;&gt;"",COUNTIFS(tcTipo,AD1376,tcLiq,"Sí")&gt;0),IF(OR(P1376="Gasto",P1376="Transferencia",P1376="Pago tarjeta"),-1,1)*S1376,0)+IF(AND(AE1376&lt;&gt;"",COUNTIFS(tcTipo,AE1376,tcLiq,"Sí")&gt;0),S1376,0))</f>
        <v/>
      </c>
      <c r="AI1376" s="52">
        <f>IF(OR(L1376="",P1376=""),"",IF(COUNTIFS(L$6:L1376,L1376,P$6:P1376,"?*")=1,MAX(AI$5:AI1375)+1,""))</f>
        <v/>
      </c>
    </row>
    <row r="1377">
      <c r="B1377" s="47" t="n"/>
      <c r="C1377" s="48" t="n"/>
      <c r="D1377" s="48" t="n"/>
      <c r="E1377" s="48" t="n"/>
      <c r="F1377" s="48" t="n"/>
      <c r="G1377" s="49" t="n"/>
      <c r="H1377" s="48" t="n"/>
      <c r="I1377" s="50" t="n"/>
      <c r="J1377" s="48" t="n"/>
      <c r="K1377" s="48" t="n"/>
      <c r="L1377" s="48" t="n"/>
      <c r="M1377" s="48" t="n"/>
      <c r="N1377" s="48" t="n"/>
      <c r="O1377" s="51">
        <f>IF(AND(B1377="",G1377="",C1377="",D1377="",J1377=""),"",IF(B1377="","⚠ Falta fecha",IF(G1377="","⚠ Falta monto",IF(Q1377="","⚠ Falta cuenta",IF(ISNA(MATCH(Q1377,ctaNombre,0)),"⚠ Cuenta no registrada",IF(AND(OR(P1377="Gasto",P1377="Reembolso"),D1377=""),"⚠ Falta categoría",IF(AND(D1377&lt;&gt;"",E1377&lt;&gt;"",ISNA(MATCH(D1377&amp;"|"&amp;E1377,catClave,0))),"⚠ Subcategoría no corresponde",IF(AND(OR(P1377="Transferencia",P1377="Pago tarjeta"),K1377=""),"⚠ Falta cuenta destino",IF(AND(K1377&lt;&gt;"",P1377&lt;&gt;"Transferencia",P1377&lt;&gt;"Pago tarjeta"),"⚠ Destino solo aplica a transferencias",IF(AND(K1377&lt;&gt;"",K1377=Q1377),"⚠ Origen igual a destino",IF(AND(K1377&lt;&gt;"",ISNA(MATCH(K1377,ctaNombre,0))),"⚠ Destino no registrado",IF(AND(P1377="Pago tarjeta",AE1377&lt;&gt;"Tarjeta de crédito"),"⚠ El destino debe ser tarjeta de crédito",IF(AND(P1377="Gasto",E1377="Depósitos y retiros"),"⚠ Usa tipo Transferencia",IF(AND(P1377="Resultado trading",AD1377&lt;&gt;"Cuenta de trading"),"⚠ Usa una cuenta de trading",IF(AND(G1377&lt;=0,P1377&lt;&gt;"Ajuste",P1377&lt;&gt;"Resultado trading"),"⚠ El monto debe ser positivo","✓")))))))))))))))</f>
        <v/>
      </c>
      <c r="P1377" s="52">
        <f>IF(OR(B1377="",G1377=""),"",IF(C1377="","Gasto",C1377))</f>
        <v/>
      </c>
      <c r="Q1377" s="52">
        <f>IF(P1377="","",IF(J1377&lt;&gt;"",J1377,CuentaPred&amp;""))</f>
        <v/>
      </c>
      <c r="R1377" s="52">
        <f>IF(P1377="","",IF(ISNUMBER(I1377),I1377,TasaUSD))</f>
        <v/>
      </c>
      <c r="S1377" s="53">
        <f>IF(P1377="","",IF(H1377="USD",G1377*R1377,G1377))</f>
        <v/>
      </c>
      <c r="T1377" s="53">
        <f>IF(P1377="","",IF(H1377="USD",G1377,IF(R1377&gt;0,G1377/R1377,0)))</f>
        <v/>
      </c>
      <c r="U1377" s="53">
        <f>IF(P1377="","",IF(P1377="Gasto",S1377,IF(P1377="Reembolso",-S1377,0)))</f>
        <v/>
      </c>
      <c r="V1377" s="53">
        <f>IF(P1377="","",IF(P1377="Ingreso",S1377,0))</f>
        <v/>
      </c>
      <c r="W1377" s="53">
        <f>IF(P1377="","",IF(P1377="Resultado trading",S1377,0))</f>
        <v/>
      </c>
      <c r="X1377" s="52">
        <f>IF(OR(P1377="Gasto",P1377="Reembolso"),IF(M1377&lt;&gt;"",M1377,IFERROR(INDEX(catClasif,MATCH(D1377&amp;"|"&amp;E1377,catClave,0))&amp;"","Variable")),"")</f>
        <v/>
      </c>
      <c r="Y1377" s="52">
        <f>IF(P1377="","",IFERROR(INDEX(catGrupo,MATCH(D1377&amp;"|"&amp;E1377,catClave,0))&amp;"",""))</f>
        <v/>
      </c>
      <c r="Z1377" s="52">
        <f>IF(P1377="","",WEEKDAY(B1377,2))</f>
        <v/>
      </c>
      <c r="AA1377" s="52">
        <f>IF(P1377="","",IF(AND(P1377="Gasto",X1377="Variable",D1377&lt;&gt;catTrading,S1377&gt;0,S1377&lt;=Umbral),1,0))</f>
        <v/>
      </c>
      <c r="AB1377" s="52">
        <f>IF(OR(P1377="",Q1377=""),"",IFERROR(IF(INDEX(ctaVinc,MATCH(Q1377,ctaNombre,0))&amp;""&lt;&gt;"",INDEX(ctaVinc,MATCH(Q1377,ctaNombre,0))&amp;"",Q1377),Q1377))</f>
        <v/>
      </c>
      <c r="AC1377" s="52">
        <f>IF(OR(K1377="",AND(P1377&lt;&gt;"Transferencia",P1377&lt;&gt;"Pago tarjeta")),"",IFERROR(IF(INDEX(ctaVinc,MATCH(K1377,ctaNombre,0))&amp;""&lt;&gt;"",INDEX(ctaVinc,MATCH(K1377,ctaNombre,0))&amp;"",K1377),K1377))</f>
        <v/>
      </c>
      <c r="AD1377" s="52">
        <f>IF(AB1377="","",IFERROR(INDEX(ctaTipo,MATCH(AB1377,ctaNombre,0))&amp;"",""))</f>
        <v/>
      </c>
      <c r="AE1377" s="52">
        <f>IF(AC1377="","",IFERROR(INDEX(ctaTipo,MATCH(AC1377,ctaNombre,0))&amp;"",""))</f>
        <v/>
      </c>
      <c r="AF1377" s="53">
        <f>IF(OR(P1377="",AB1377=""),"",IF(OR(P1377="Gasto",P1377="Transferencia",P1377="Pago tarjeta"),-1,1)*IF(IFERROR(INDEX(ctaMoneda,MATCH(AB1377,ctaNombre,0))&amp;"","DOP")="USD",T1377,S1377))</f>
        <v/>
      </c>
      <c r="AG1377" s="53">
        <f>IF(AC1377="","",IF(IFERROR(INDEX(ctaMoneda,MATCH(AC1377,ctaNombre,0))&amp;"","DOP")="USD",T1377,S1377))</f>
        <v/>
      </c>
      <c r="AH1377" s="53">
        <f>IF(P1377="","",IF(AND(AD1377&lt;&gt;"",COUNTIFS(tcTipo,AD1377,tcLiq,"Sí")&gt;0),IF(OR(P1377="Gasto",P1377="Transferencia",P1377="Pago tarjeta"),-1,1)*S1377,0)+IF(AND(AE1377&lt;&gt;"",COUNTIFS(tcTipo,AE1377,tcLiq,"Sí")&gt;0),S1377,0))</f>
        <v/>
      </c>
      <c r="AI1377" s="52">
        <f>IF(OR(L1377="",P1377=""),"",IF(COUNTIFS(L$6:L1377,L1377,P$6:P1377,"?*")=1,MAX(AI$5:AI1376)+1,""))</f>
        <v/>
      </c>
    </row>
    <row r="1378">
      <c r="B1378" s="47" t="n"/>
      <c r="C1378" s="48" t="n"/>
      <c r="D1378" s="48" t="n"/>
      <c r="E1378" s="48" t="n"/>
      <c r="F1378" s="48" t="n"/>
      <c r="G1378" s="49" t="n"/>
      <c r="H1378" s="48" t="n"/>
      <c r="I1378" s="50" t="n"/>
      <c r="J1378" s="48" t="n"/>
      <c r="K1378" s="48" t="n"/>
      <c r="L1378" s="48" t="n"/>
      <c r="M1378" s="48" t="n"/>
      <c r="N1378" s="48" t="n"/>
      <c r="O1378" s="51">
        <f>IF(AND(B1378="",G1378="",C1378="",D1378="",J1378=""),"",IF(B1378="","⚠ Falta fecha",IF(G1378="","⚠ Falta monto",IF(Q1378="","⚠ Falta cuenta",IF(ISNA(MATCH(Q1378,ctaNombre,0)),"⚠ Cuenta no registrada",IF(AND(OR(P1378="Gasto",P1378="Reembolso"),D1378=""),"⚠ Falta categoría",IF(AND(D1378&lt;&gt;"",E1378&lt;&gt;"",ISNA(MATCH(D1378&amp;"|"&amp;E1378,catClave,0))),"⚠ Subcategoría no corresponde",IF(AND(OR(P1378="Transferencia",P1378="Pago tarjeta"),K1378=""),"⚠ Falta cuenta destino",IF(AND(K1378&lt;&gt;"",P1378&lt;&gt;"Transferencia",P1378&lt;&gt;"Pago tarjeta"),"⚠ Destino solo aplica a transferencias",IF(AND(K1378&lt;&gt;"",K1378=Q1378),"⚠ Origen igual a destino",IF(AND(K1378&lt;&gt;"",ISNA(MATCH(K1378,ctaNombre,0))),"⚠ Destino no registrado",IF(AND(P1378="Pago tarjeta",AE1378&lt;&gt;"Tarjeta de crédito"),"⚠ El destino debe ser tarjeta de crédito",IF(AND(P1378="Gasto",E1378="Depósitos y retiros"),"⚠ Usa tipo Transferencia",IF(AND(P1378="Resultado trading",AD1378&lt;&gt;"Cuenta de trading"),"⚠ Usa una cuenta de trading",IF(AND(G1378&lt;=0,P1378&lt;&gt;"Ajuste",P1378&lt;&gt;"Resultado trading"),"⚠ El monto debe ser positivo","✓")))))))))))))))</f>
        <v/>
      </c>
      <c r="P1378" s="52">
        <f>IF(OR(B1378="",G1378=""),"",IF(C1378="","Gasto",C1378))</f>
        <v/>
      </c>
      <c r="Q1378" s="52">
        <f>IF(P1378="","",IF(J1378&lt;&gt;"",J1378,CuentaPred&amp;""))</f>
        <v/>
      </c>
      <c r="R1378" s="52">
        <f>IF(P1378="","",IF(ISNUMBER(I1378),I1378,TasaUSD))</f>
        <v/>
      </c>
      <c r="S1378" s="53">
        <f>IF(P1378="","",IF(H1378="USD",G1378*R1378,G1378))</f>
        <v/>
      </c>
      <c r="T1378" s="53">
        <f>IF(P1378="","",IF(H1378="USD",G1378,IF(R1378&gt;0,G1378/R1378,0)))</f>
        <v/>
      </c>
      <c r="U1378" s="53">
        <f>IF(P1378="","",IF(P1378="Gasto",S1378,IF(P1378="Reembolso",-S1378,0)))</f>
        <v/>
      </c>
      <c r="V1378" s="53">
        <f>IF(P1378="","",IF(P1378="Ingreso",S1378,0))</f>
        <v/>
      </c>
      <c r="W1378" s="53">
        <f>IF(P1378="","",IF(P1378="Resultado trading",S1378,0))</f>
        <v/>
      </c>
      <c r="X1378" s="52">
        <f>IF(OR(P1378="Gasto",P1378="Reembolso"),IF(M1378&lt;&gt;"",M1378,IFERROR(INDEX(catClasif,MATCH(D1378&amp;"|"&amp;E1378,catClave,0))&amp;"","Variable")),"")</f>
        <v/>
      </c>
      <c r="Y1378" s="52">
        <f>IF(P1378="","",IFERROR(INDEX(catGrupo,MATCH(D1378&amp;"|"&amp;E1378,catClave,0))&amp;"",""))</f>
        <v/>
      </c>
      <c r="Z1378" s="52">
        <f>IF(P1378="","",WEEKDAY(B1378,2))</f>
        <v/>
      </c>
      <c r="AA1378" s="52">
        <f>IF(P1378="","",IF(AND(P1378="Gasto",X1378="Variable",D1378&lt;&gt;catTrading,S1378&gt;0,S1378&lt;=Umbral),1,0))</f>
        <v/>
      </c>
      <c r="AB1378" s="52">
        <f>IF(OR(P1378="",Q1378=""),"",IFERROR(IF(INDEX(ctaVinc,MATCH(Q1378,ctaNombre,0))&amp;""&lt;&gt;"",INDEX(ctaVinc,MATCH(Q1378,ctaNombre,0))&amp;"",Q1378),Q1378))</f>
        <v/>
      </c>
      <c r="AC1378" s="52">
        <f>IF(OR(K1378="",AND(P1378&lt;&gt;"Transferencia",P1378&lt;&gt;"Pago tarjeta")),"",IFERROR(IF(INDEX(ctaVinc,MATCH(K1378,ctaNombre,0))&amp;""&lt;&gt;"",INDEX(ctaVinc,MATCH(K1378,ctaNombre,0))&amp;"",K1378),K1378))</f>
        <v/>
      </c>
      <c r="AD1378" s="52">
        <f>IF(AB1378="","",IFERROR(INDEX(ctaTipo,MATCH(AB1378,ctaNombre,0))&amp;"",""))</f>
        <v/>
      </c>
      <c r="AE1378" s="52">
        <f>IF(AC1378="","",IFERROR(INDEX(ctaTipo,MATCH(AC1378,ctaNombre,0))&amp;"",""))</f>
        <v/>
      </c>
      <c r="AF1378" s="53">
        <f>IF(OR(P1378="",AB1378=""),"",IF(OR(P1378="Gasto",P1378="Transferencia",P1378="Pago tarjeta"),-1,1)*IF(IFERROR(INDEX(ctaMoneda,MATCH(AB1378,ctaNombre,0))&amp;"","DOP")="USD",T1378,S1378))</f>
        <v/>
      </c>
      <c r="AG1378" s="53">
        <f>IF(AC1378="","",IF(IFERROR(INDEX(ctaMoneda,MATCH(AC1378,ctaNombre,0))&amp;"","DOP")="USD",T1378,S1378))</f>
        <v/>
      </c>
      <c r="AH1378" s="53">
        <f>IF(P1378="","",IF(AND(AD1378&lt;&gt;"",COUNTIFS(tcTipo,AD1378,tcLiq,"Sí")&gt;0),IF(OR(P1378="Gasto",P1378="Transferencia",P1378="Pago tarjeta"),-1,1)*S1378,0)+IF(AND(AE1378&lt;&gt;"",COUNTIFS(tcTipo,AE1378,tcLiq,"Sí")&gt;0),S1378,0))</f>
        <v/>
      </c>
      <c r="AI1378" s="52">
        <f>IF(OR(L1378="",P1378=""),"",IF(COUNTIFS(L$6:L1378,L1378,P$6:P1378,"?*")=1,MAX(AI$5:AI1377)+1,""))</f>
        <v/>
      </c>
    </row>
    <row r="1379">
      <c r="B1379" s="47" t="n"/>
      <c r="C1379" s="48" t="n"/>
      <c r="D1379" s="48" t="n"/>
      <c r="E1379" s="48" t="n"/>
      <c r="F1379" s="48" t="n"/>
      <c r="G1379" s="49" t="n"/>
      <c r="H1379" s="48" t="n"/>
      <c r="I1379" s="50" t="n"/>
      <c r="J1379" s="48" t="n"/>
      <c r="K1379" s="48" t="n"/>
      <c r="L1379" s="48" t="n"/>
      <c r="M1379" s="48" t="n"/>
      <c r="N1379" s="48" t="n"/>
      <c r="O1379" s="51">
        <f>IF(AND(B1379="",G1379="",C1379="",D1379="",J1379=""),"",IF(B1379="","⚠ Falta fecha",IF(G1379="","⚠ Falta monto",IF(Q1379="","⚠ Falta cuenta",IF(ISNA(MATCH(Q1379,ctaNombre,0)),"⚠ Cuenta no registrada",IF(AND(OR(P1379="Gasto",P1379="Reembolso"),D1379=""),"⚠ Falta categoría",IF(AND(D1379&lt;&gt;"",E1379&lt;&gt;"",ISNA(MATCH(D1379&amp;"|"&amp;E1379,catClave,0))),"⚠ Subcategoría no corresponde",IF(AND(OR(P1379="Transferencia",P1379="Pago tarjeta"),K1379=""),"⚠ Falta cuenta destino",IF(AND(K1379&lt;&gt;"",P1379&lt;&gt;"Transferencia",P1379&lt;&gt;"Pago tarjeta"),"⚠ Destino solo aplica a transferencias",IF(AND(K1379&lt;&gt;"",K1379=Q1379),"⚠ Origen igual a destino",IF(AND(K1379&lt;&gt;"",ISNA(MATCH(K1379,ctaNombre,0))),"⚠ Destino no registrado",IF(AND(P1379="Pago tarjeta",AE1379&lt;&gt;"Tarjeta de crédito"),"⚠ El destino debe ser tarjeta de crédito",IF(AND(P1379="Gasto",E1379="Depósitos y retiros"),"⚠ Usa tipo Transferencia",IF(AND(P1379="Resultado trading",AD1379&lt;&gt;"Cuenta de trading"),"⚠ Usa una cuenta de trading",IF(AND(G1379&lt;=0,P1379&lt;&gt;"Ajuste",P1379&lt;&gt;"Resultado trading"),"⚠ El monto debe ser positivo","✓")))))))))))))))</f>
        <v/>
      </c>
      <c r="P1379" s="52">
        <f>IF(OR(B1379="",G1379=""),"",IF(C1379="","Gasto",C1379))</f>
        <v/>
      </c>
      <c r="Q1379" s="52">
        <f>IF(P1379="","",IF(J1379&lt;&gt;"",J1379,CuentaPred&amp;""))</f>
        <v/>
      </c>
      <c r="R1379" s="52">
        <f>IF(P1379="","",IF(ISNUMBER(I1379),I1379,TasaUSD))</f>
        <v/>
      </c>
      <c r="S1379" s="53">
        <f>IF(P1379="","",IF(H1379="USD",G1379*R1379,G1379))</f>
        <v/>
      </c>
      <c r="T1379" s="53">
        <f>IF(P1379="","",IF(H1379="USD",G1379,IF(R1379&gt;0,G1379/R1379,0)))</f>
        <v/>
      </c>
      <c r="U1379" s="53">
        <f>IF(P1379="","",IF(P1379="Gasto",S1379,IF(P1379="Reembolso",-S1379,0)))</f>
        <v/>
      </c>
      <c r="V1379" s="53">
        <f>IF(P1379="","",IF(P1379="Ingreso",S1379,0))</f>
        <v/>
      </c>
      <c r="W1379" s="53">
        <f>IF(P1379="","",IF(P1379="Resultado trading",S1379,0))</f>
        <v/>
      </c>
      <c r="X1379" s="52">
        <f>IF(OR(P1379="Gasto",P1379="Reembolso"),IF(M1379&lt;&gt;"",M1379,IFERROR(INDEX(catClasif,MATCH(D1379&amp;"|"&amp;E1379,catClave,0))&amp;"","Variable")),"")</f>
        <v/>
      </c>
      <c r="Y1379" s="52">
        <f>IF(P1379="","",IFERROR(INDEX(catGrupo,MATCH(D1379&amp;"|"&amp;E1379,catClave,0))&amp;"",""))</f>
        <v/>
      </c>
      <c r="Z1379" s="52">
        <f>IF(P1379="","",WEEKDAY(B1379,2))</f>
        <v/>
      </c>
      <c r="AA1379" s="52">
        <f>IF(P1379="","",IF(AND(P1379="Gasto",X1379="Variable",D1379&lt;&gt;catTrading,S1379&gt;0,S1379&lt;=Umbral),1,0))</f>
        <v/>
      </c>
      <c r="AB1379" s="52">
        <f>IF(OR(P1379="",Q1379=""),"",IFERROR(IF(INDEX(ctaVinc,MATCH(Q1379,ctaNombre,0))&amp;""&lt;&gt;"",INDEX(ctaVinc,MATCH(Q1379,ctaNombre,0))&amp;"",Q1379),Q1379))</f>
        <v/>
      </c>
      <c r="AC1379" s="52">
        <f>IF(OR(K1379="",AND(P1379&lt;&gt;"Transferencia",P1379&lt;&gt;"Pago tarjeta")),"",IFERROR(IF(INDEX(ctaVinc,MATCH(K1379,ctaNombre,0))&amp;""&lt;&gt;"",INDEX(ctaVinc,MATCH(K1379,ctaNombre,0))&amp;"",K1379),K1379))</f>
        <v/>
      </c>
      <c r="AD1379" s="52">
        <f>IF(AB1379="","",IFERROR(INDEX(ctaTipo,MATCH(AB1379,ctaNombre,0))&amp;"",""))</f>
        <v/>
      </c>
      <c r="AE1379" s="52">
        <f>IF(AC1379="","",IFERROR(INDEX(ctaTipo,MATCH(AC1379,ctaNombre,0))&amp;"",""))</f>
        <v/>
      </c>
      <c r="AF1379" s="53">
        <f>IF(OR(P1379="",AB1379=""),"",IF(OR(P1379="Gasto",P1379="Transferencia",P1379="Pago tarjeta"),-1,1)*IF(IFERROR(INDEX(ctaMoneda,MATCH(AB1379,ctaNombre,0))&amp;"","DOP")="USD",T1379,S1379))</f>
        <v/>
      </c>
      <c r="AG1379" s="53">
        <f>IF(AC1379="","",IF(IFERROR(INDEX(ctaMoneda,MATCH(AC1379,ctaNombre,0))&amp;"","DOP")="USD",T1379,S1379))</f>
        <v/>
      </c>
      <c r="AH1379" s="53">
        <f>IF(P1379="","",IF(AND(AD1379&lt;&gt;"",COUNTIFS(tcTipo,AD1379,tcLiq,"Sí")&gt;0),IF(OR(P1379="Gasto",P1379="Transferencia",P1379="Pago tarjeta"),-1,1)*S1379,0)+IF(AND(AE1379&lt;&gt;"",COUNTIFS(tcTipo,AE1379,tcLiq,"Sí")&gt;0),S1379,0))</f>
        <v/>
      </c>
      <c r="AI1379" s="52">
        <f>IF(OR(L1379="",P1379=""),"",IF(COUNTIFS(L$6:L1379,L1379,P$6:P1379,"?*")=1,MAX(AI$5:AI1378)+1,""))</f>
        <v/>
      </c>
    </row>
    <row r="1380">
      <c r="B1380" s="47" t="n"/>
      <c r="C1380" s="48" t="n"/>
      <c r="D1380" s="48" t="n"/>
      <c r="E1380" s="48" t="n"/>
      <c r="F1380" s="48" t="n"/>
      <c r="G1380" s="49" t="n"/>
      <c r="H1380" s="48" t="n"/>
      <c r="I1380" s="50" t="n"/>
      <c r="J1380" s="48" t="n"/>
      <c r="K1380" s="48" t="n"/>
      <c r="L1380" s="48" t="n"/>
      <c r="M1380" s="48" t="n"/>
      <c r="N1380" s="48" t="n"/>
      <c r="O1380" s="51">
        <f>IF(AND(B1380="",G1380="",C1380="",D1380="",J1380=""),"",IF(B1380="","⚠ Falta fecha",IF(G1380="","⚠ Falta monto",IF(Q1380="","⚠ Falta cuenta",IF(ISNA(MATCH(Q1380,ctaNombre,0)),"⚠ Cuenta no registrada",IF(AND(OR(P1380="Gasto",P1380="Reembolso"),D1380=""),"⚠ Falta categoría",IF(AND(D1380&lt;&gt;"",E1380&lt;&gt;"",ISNA(MATCH(D1380&amp;"|"&amp;E1380,catClave,0))),"⚠ Subcategoría no corresponde",IF(AND(OR(P1380="Transferencia",P1380="Pago tarjeta"),K1380=""),"⚠ Falta cuenta destino",IF(AND(K1380&lt;&gt;"",P1380&lt;&gt;"Transferencia",P1380&lt;&gt;"Pago tarjeta"),"⚠ Destino solo aplica a transferencias",IF(AND(K1380&lt;&gt;"",K1380=Q1380),"⚠ Origen igual a destino",IF(AND(K1380&lt;&gt;"",ISNA(MATCH(K1380,ctaNombre,0))),"⚠ Destino no registrado",IF(AND(P1380="Pago tarjeta",AE1380&lt;&gt;"Tarjeta de crédito"),"⚠ El destino debe ser tarjeta de crédito",IF(AND(P1380="Gasto",E1380="Depósitos y retiros"),"⚠ Usa tipo Transferencia",IF(AND(P1380="Resultado trading",AD1380&lt;&gt;"Cuenta de trading"),"⚠ Usa una cuenta de trading",IF(AND(G1380&lt;=0,P1380&lt;&gt;"Ajuste",P1380&lt;&gt;"Resultado trading"),"⚠ El monto debe ser positivo","✓")))))))))))))))</f>
        <v/>
      </c>
      <c r="P1380" s="52">
        <f>IF(OR(B1380="",G1380=""),"",IF(C1380="","Gasto",C1380))</f>
        <v/>
      </c>
      <c r="Q1380" s="52">
        <f>IF(P1380="","",IF(J1380&lt;&gt;"",J1380,CuentaPred&amp;""))</f>
        <v/>
      </c>
      <c r="R1380" s="52">
        <f>IF(P1380="","",IF(ISNUMBER(I1380),I1380,TasaUSD))</f>
        <v/>
      </c>
      <c r="S1380" s="53">
        <f>IF(P1380="","",IF(H1380="USD",G1380*R1380,G1380))</f>
        <v/>
      </c>
      <c r="T1380" s="53">
        <f>IF(P1380="","",IF(H1380="USD",G1380,IF(R1380&gt;0,G1380/R1380,0)))</f>
        <v/>
      </c>
      <c r="U1380" s="53">
        <f>IF(P1380="","",IF(P1380="Gasto",S1380,IF(P1380="Reembolso",-S1380,0)))</f>
        <v/>
      </c>
      <c r="V1380" s="53">
        <f>IF(P1380="","",IF(P1380="Ingreso",S1380,0))</f>
        <v/>
      </c>
      <c r="W1380" s="53">
        <f>IF(P1380="","",IF(P1380="Resultado trading",S1380,0))</f>
        <v/>
      </c>
      <c r="X1380" s="52">
        <f>IF(OR(P1380="Gasto",P1380="Reembolso"),IF(M1380&lt;&gt;"",M1380,IFERROR(INDEX(catClasif,MATCH(D1380&amp;"|"&amp;E1380,catClave,0))&amp;"","Variable")),"")</f>
        <v/>
      </c>
      <c r="Y1380" s="52">
        <f>IF(P1380="","",IFERROR(INDEX(catGrupo,MATCH(D1380&amp;"|"&amp;E1380,catClave,0))&amp;"",""))</f>
        <v/>
      </c>
      <c r="Z1380" s="52">
        <f>IF(P1380="","",WEEKDAY(B1380,2))</f>
        <v/>
      </c>
      <c r="AA1380" s="52">
        <f>IF(P1380="","",IF(AND(P1380="Gasto",X1380="Variable",D1380&lt;&gt;catTrading,S1380&gt;0,S1380&lt;=Umbral),1,0))</f>
        <v/>
      </c>
      <c r="AB1380" s="52">
        <f>IF(OR(P1380="",Q1380=""),"",IFERROR(IF(INDEX(ctaVinc,MATCH(Q1380,ctaNombre,0))&amp;""&lt;&gt;"",INDEX(ctaVinc,MATCH(Q1380,ctaNombre,0))&amp;"",Q1380),Q1380))</f>
        <v/>
      </c>
      <c r="AC1380" s="52">
        <f>IF(OR(K1380="",AND(P1380&lt;&gt;"Transferencia",P1380&lt;&gt;"Pago tarjeta")),"",IFERROR(IF(INDEX(ctaVinc,MATCH(K1380,ctaNombre,0))&amp;""&lt;&gt;"",INDEX(ctaVinc,MATCH(K1380,ctaNombre,0))&amp;"",K1380),K1380))</f>
        <v/>
      </c>
      <c r="AD1380" s="52">
        <f>IF(AB1380="","",IFERROR(INDEX(ctaTipo,MATCH(AB1380,ctaNombre,0))&amp;"",""))</f>
        <v/>
      </c>
      <c r="AE1380" s="52">
        <f>IF(AC1380="","",IFERROR(INDEX(ctaTipo,MATCH(AC1380,ctaNombre,0))&amp;"",""))</f>
        <v/>
      </c>
      <c r="AF1380" s="53">
        <f>IF(OR(P1380="",AB1380=""),"",IF(OR(P1380="Gasto",P1380="Transferencia",P1380="Pago tarjeta"),-1,1)*IF(IFERROR(INDEX(ctaMoneda,MATCH(AB1380,ctaNombre,0))&amp;"","DOP")="USD",T1380,S1380))</f>
        <v/>
      </c>
      <c r="AG1380" s="53">
        <f>IF(AC1380="","",IF(IFERROR(INDEX(ctaMoneda,MATCH(AC1380,ctaNombre,0))&amp;"","DOP")="USD",T1380,S1380))</f>
        <v/>
      </c>
      <c r="AH1380" s="53">
        <f>IF(P1380="","",IF(AND(AD1380&lt;&gt;"",COUNTIFS(tcTipo,AD1380,tcLiq,"Sí")&gt;0),IF(OR(P1380="Gasto",P1380="Transferencia",P1380="Pago tarjeta"),-1,1)*S1380,0)+IF(AND(AE1380&lt;&gt;"",COUNTIFS(tcTipo,AE1380,tcLiq,"Sí")&gt;0),S1380,0))</f>
        <v/>
      </c>
      <c r="AI1380" s="52">
        <f>IF(OR(L1380="",P1380=""),"",IF(COUNTIFS(L$6:L1380,L1380,P$6:P1380,"?*")=1,MAX(AI$5:AI1379)+1,""))</f>
        <v/>
      </c>
    </row>
    <row r="1381">
      <c r="B1381" s="47" t="n"/>
      <c r="C1381" s="48" t="n"/>
      <c r="D1381" s="48" t="n"/>
      <c r="E1381" s="48" t="n"/>
      <c r="F1381" s="48" t="n"/>
      <c r="G1381" s="49" t="n"/>
      <c r="H1381" s="48" t="n"/>
      <c r="I1381" s="50" t="n"/>
      <c r="J1381" s="48" t="n"/>
      <c r="K1381" s="48" t="n"/>
      <c r="L1381" s="48" t="n"/>
      <c r="M1381" s="48" t="n"/>
      <c r="N1381" s="48" t="n"/>
      <c r="O1381" s="51">
        <f>IF(AND(B1381="",G1381="",C1381="",D1381="",J1381=""),"",IF(B1381="","⚠ Falta fecha",IF(G1381="","⚠ Falta monto",IF(Q1381="","⚠ Falta cuenta",IF(ISNA(MATCH(Q1381,ctaNombre,0)),"⚠ Cuenta no registrada",IF(AND(OR(P1381="Gasto",P1381="Reembolso"),D1381=""),"⚠ Falta categoría",IF(AND(D1381&lt;&gt;"",E1381&lt;&gt;"",ISNA(MATCH(D1381&amp;"|"&amp;E1381,catClave,0))),"⚠ Subcategoría no corresponde",IF(AND(OR(P1381="Transferencia",P1381="Pago tarjeta"),K1381=""),"⚠ Falta cuenta destino",IF(AND(K1381&lt;&gt;"",P1381&lt;&gt;"Transferencia",P1381&lt;&gt;"Pago tarjeta"),"⚠ Destino solo aplica a transferencias",IF(AND(K1381&lt;&gt;"",K1381=Q1381),"⚠ Origen igual a destino",IF(AND(K1381&lt;&gt;"",ISNA(MATCH(K1381,ctaNombre,0))),"⚠ Destino no registrado",IF(AND(P1381="Pago tarjeta",AE1381&lt;&gt;"Tarjeta de crédito"),"⚠ El destino debe ser tarjeta de crédito",IF(AND(P1381="Gasto",E1381="Depósitos y retiros"),"⚠ Usa tipo Transferencia",IF(AND(P1381="Resultado trading",AD1381&lt;&gt;"Cuenta de trading"),"⚠ Usa una cuenta de trading",IF(AND(G1381&lt;=0,P1381&lt;&gt;"Ajuste",P1381&lt;&gt;"Resultado trading"),"⚠ El monto debe ser positivo","✓")))))))))))))))</f>
        <v/>
      </c>
      <c r="P1381" s="52">
        <f>IF(OR(B1381="",G1381=""),"",IF(C1381="","Gasto",C1381))</f>
        <v/>
      </c>
      <c r="Q1381" s="52">
        <f>IF(P1381="","",IF(J1381&lt;&gt;"",J1381,CuentaPred&amp;""))</f>
        <v/>
      </c>
      <c r="R1381" s="52">
        <f>IF(P1381="","",IF(ISNUMBER(I1381),I1381,TasaUSD))</f>
        <v/>
      </c>
      <c r="S1381" s="53">
        <f>IF(P1381="","",IF(H1381="USD",G1381*R1381,G1381))</f>
        <v/>
      </c>
      <c r="T1381" s="53">
        <f>IF(P1381="","",IF(H1381="USD",G1381,IF(R1381&gt;0,G1381/R1381,0)))</f>
        <v/>
      </c>
      <c r="U1381" s="53">
        <f>IF(P1381="","",IF(P1381="Gasto",S1381,IF(P1381="Reembolso",-S1381,0)))</f>
        <v/>
      </c>
      <c r="V1381" s="53">
        <f>IF(P1381="","",IF(P1381="Ingreso",S1381,0))</f>
        <v/>
      </c>
      <c r="W1381" s="53">
        <f>IF(P1381="","",IF(P1381="Resultado trading",S1381,0))</f>
        <v/>
      </c>
      <c r="X1381" s="52">
        <f>IF(OR(P1381="Gasto",P1381="Reembolso"),IF(M1381&lt;&gt;"",M1381,IFERROR(INDEX(catClasif,MATCH(D1381&amp;"|"&amp;E1381,catClave,0))&amp;"","Variable")),"")</f>
        <v/>
      </c>
      <c r="Y1381" s="52">
        <f>IF(P1381="","",IFERROR(INDEX(catGrupo,MATCH(D1381&amp;"|"&amp;E1381,catClave,0))&amp;"",""))</f>
        <v/>
      </c>
      <c r="Z1381" s="52">
        <f>IF(P1381="","",WEEKDAY(B1381,2))</f>
        <v/>
      </c>
      <c r="AA1381" s="52">
        <f>IF(P1381="","",IF(AND(P1381="Gasto",X1381="Variable",D1381&lt;&gt;catTrading,S1381&gt;0,S1381&lt;=Umbral),1,0))</f>
        <v/>
      </c>
      <c r="AB1381" s="52">
        <f>IF(OR(P1381="",Q1381=""),"",IFERROR(IF(INDEX(ctaVinc,MATCH(Q1381,ctaNombre,0))&amp;""&lt;&gt;"",INDEX(ctaVinc,MATCH(Q1381,ctaNombre,0))&amp;"",Q1381),Q1381))</f>
        <v/>
      </c>
      <c r="AC1381" s="52">
        <f>IF(OR(K1381="",AND(P1381&lt;&gt;"Transferencia",P1381&lt;&gt;"Pago tarjeta")),"",IFERROR(IF(INDEX(ctaVinc,MATCH(K1381,ctaNombre,0))&amp;""&lt;&gt;"",INDEX(ctaVinc,MATCH(K1381,ctaNombre,0))&amp;"",K1381),K1381))</f>
        <v/>
      </c>
      <c r="AD1381" s="52">
        <f>IF(AB1381="","",IFERROR(INDEX(ctaTipo,MATCH(AB1381,ctaNombre,0))&amp;"",""))</f>
        <v/>
      </c>
      <c r="AE1381" s="52">
        <f>IF(AC1381="","",IFERROR(INDEX(ctaTipo,MATCH(AC1381,ctaNombre,0))&amp;"",""))</f>
        <v/>
      </c>
      <c r="AF1381" s="53">
        <f>IF(OR(P1381="",AB1381=""),"",IF(OR(P1381="Gasto",P1381="Transferencia",P1381="Pago tarjeta"),-1,1)*IF(IFERROR(INDEX(ctaMoneda,MATCH(AB1381,ctaNombre,0))&amp;"","DOP")="USD",T1381,S1381))</f>
        <v/>
      </c>
      <c r="AG1381" s="53">
        <f>IF(AC1381="","",IF(IFERROR(INDEX(ctaMoneda,MATCH(AC1381,ctaNombre,0))&amp;"","DOP")="USD",T1381,S1381))</f>
        <v/>
      </c>
      <c r="AH1381" s="53">
        <f>IF(P1381="","",IF(AND(AD1381&lt;&gt;"",COUNTIFS(tcTipo,AD1381,tcLiq,"Sí")&gt;0),IF(OR(P1381="Gasto",P1381="Transferencia",P1381="Pago tarjeta"),-1,1)*S1381,0)+IF(AND(AE1381&lt;&gt;"",COUNTIFS(tcTipo,AE1381,tcLiq,"Sí")&gt;0),S1381,0))</f>
        <v/>
      </c>
      <c r="AI1381" s="52">
        <f>IF(OR(L1381="",P1381=""),"",IF(COUNTIFS(L$6:L1381,L1381,P$6:P1381,"?*")=1,MAX(AI$5:AI1380)+1,""))</f>
        <v/>
      </c>
    </row>
    <row r="1382">
      <c r="B1382" s="47" t="n"/>
      <c r="C1382" s="48" t="n"/>
      <c r="D1382" s="48" t="n"/>
      <c r="E1382" s="48" t="n"/>
      <c r="F1382" s="48" t="n"/>
      <c r="G1382" s="49" t="n"/>
      <c r="H1382" s="48" t="n"/>
      <c r="I1382" s="50" t="n"/>
      <c r="J1382" s="48" t="n"/>
      <c r="K1382" s="48" t="n"/>
      <c r="L1382" s="48" t="n"/>
      <c r="M1382" s="48" t="n"/>
      <c r="N1382" s="48" t="n"/>
      <c r="O1382" s="51">
        <f>IF(AND(B1382="",G1382="",C1382="",D1382="",J1382=""),"",IF(B1382="","⚠ Falta fecha",IF(G1382="","⚠ Falta monto",IF(Q1382="","⚠ Falta cuenta",IF(ISNA(MATCH(Q1382,ctaNombre,0)),"⚠ Cuenta no registrada",IF(AND(OR(P1382="Gasto",P1382="Reembolso"),D1382=""),"⚠ Falta categoría",IF(AND(D1382&lt;&gt;"",E1382&lt;&gt;"",ISNA(MATCH(D1382&amp;"|"&amp;E1382,catClave,0))),"⚠ Subcategoría no corresponde",IF(AND(OR(P1382="Transferencia",P1382="Pago tarjeta"),K1382=""),"⚠ Falta cuenta destino",IF(AND(K1382&lt;&gt;"",P1382&lt;&gt;"Transferencia",P1382&lt;&gt;"Pago tarjeta"),"⚠ Destino solo aplica a transferencias",IF(AND(K1382&lt;&gt;"",K1382=Q1382),"⚠ Origen igual a destino",IF(AND(K1382&lt;&gt;"",ISNA(MATCH(K1382,ctaNombre,0))),"⚠ Destino no registrado",IF(AND(P1382="Pago tarjeta",AE1382&lt;&gt;"Tarjeta de crédito"),"⚠ El destino debe ser tarjeta de crédito",IF(AND(P1382="Gasto",E1382="Depósitos y retiros"),"⚠ Usa tipo Transferencia",IF(AND(P1382="Resultado trading",AD1382&lt;&gt;"Cuenta de trading"),"⚠ Usa una cuenta de trading",IF(AND(G1382&lt;=0,P1382&lt;&gt;"Ajuste",P1382&lt;&gt;"Resultado trading"),"⚠ El monto debe ser positivo","✓")))))))))))))))</f>
        <v/>
      </c>
      <c r="P1382" s="52">
        <f>IF(OR(B1382="",G1382=""),"",IF(C1382="","Gasto",C1382))</f>
        <v/>
      </c>
      <c r="Q1382" s="52">
        <f>IF(P1382="","",IF(J1382&lt;&gt;"",J1382,CuentaPred&amp;""))</f>
        <v/>
      </c>
      <c r="R1382" s="52">
        <f>IF(P1382="","",IF(ISNUMBER(I1382),I1382,TasaUSD))</f>
        <v/>
      </c>
      <c r="S1382" s="53">
        <f>IF(P1382="","",IF(H1382="USD",G1382*R1382,G1382))</f>
        <v/>
      </c>
      <c r="T1382" s="53">
        <f>IF(P1382="","",IF(H1382="USD",G1382,IF(R1382&gt;0,G1382/R1382,0)))</f>
        <v/>
      </c>
      <c r="U1382" s="53">
        <f>IF(P1382="","",IF(P1382="Gasto",S1382,IF(P1382="Reembolso",-S1382,0)))</f>
        <v/>
      </c>
      <c r="V1382" s="53">
        <f>IF(P1382="","",IF(P1382="Ingreso",S1382,0))</f>
        <v/>
      </c>
      <c r="W1382" s="53">
        <f>IF(P1382="","",IF(P1382="Resultado trading",S1382,0))</f>
        <v/>
      </c>
      <c r="X1382" s="52">
        <f>IF(OR(P1382="Gasto",P1382="Reembolso"),IF(M1382&lt;&gt;"",M1382,IFERROR(INDEX(catClasif,MATCH(D1382&amp;"|"&amp;E1382,catClave,0))&amp;"","Variable")),"")</f>
        <v/>
      </c>
      <c r="Y1382" s="52">
        <f>IF(P1382="","",IFERROR(INDEX(catGrupo,MATCH(D1382&amp;"|"&amp;E1382,catClave,0))&amp;"",""))</f>
        <v/>
      </c>
      <c r="Z1382" s="52">
        <f>IF(P1382="","",WEEKDAY(B1382,2))</f>
        <v/>
      </c>
      <c r="AA1382" s="52">
        <f>IF(P1382="","",IF(AND(P1382="Gasto",X1382="Variable",D1382&lt;&gt;catTrading,S1382&gt;0,S1382&lt;=Umbral),1,0))</f>
        <v/>
      </c>
      <c r="AB1382" s="52">
        <f>IF(OR(P1382="",Q1382=""),"",IFERROR(IF(INDEX(ctaVinc,MATCH(Q1382,ctaNombre,0))&amp;""&lt;&gt;"",INDEX(ctaVinc,MATCH(Q1382,ctaNombre,0))&amp;"",Q1382),Q1382))</f>
        <v/>
      </c>
      <c r="AC1382" s="52">
        <f>IF(OR(K1382="",AND(P1382&lt;&gt;"Transferencia",P1382&lt;&gt;"Pago tarjeta")),"",IFERROR(IF(INDEX(ctaVinc,MATCH(K1382,ctaNombre,0))&amp;""&lt;&gt;"",INDEX(ctaVinc,MATCH(K1382,ctaNombre,0))&amp;"",K1382),K1382))</f>
        <v/>
      </c>
      <c r="AD1382" s="52">
        <f>IF(AB1382="","",IFERROR(INDEX(ctaTipo,MATCH(AB1382,ctaNombre,0))&amp;"",""))</f>
        <v/>
      </c>
      <c r="AE1382" s="52">
        <f>IF(AC1382="","",IFERROR(INDEX(ctaTipo,MATCH(AC1382,ctaNombre,0))&amp;"",""))</f>
        <v/>
      </c>
      <c r="AF1382" s="53">
        <f>IF(OR(P1382="",AB1382=""),"",IF(OR(P1382="Gasto",P1382="Transferencia",P1382="Pago tarjeta"),-1,1)*IF(IFERROR(INDEX(ctaMoneda,MATCH(AB1382,ctaNombre,0))&amp;"","DOP")="USD",T1382,S1382))</f>
        <v/>
      </c>
      <c r="AG1382" s="53">
        <f>IF(AC1382="","",IF(IFERROR(INDEX(ctaMoneda,MATCH(AC1382,ctaNombre,0))&amp;"","DOP")="USD",T1382,S1382))</f>
        <v/>
      </c>
      <c r="AH1382" s="53">
        <f>IF(P1382="","",IF(AND(AD1382&lt;&gt;"",COUNTIFS(tcTipo,AD1382,tcLiq,"Sí")&gt;0),IF(OR(P1382="Gasto",P1382="Transferencia",P1382="Pago tarjeta"),-1,1)*S1382,0)+IF(AND(AE1382&lt;&gt;"",COUNTIFS(tcTipo,AE1382,tcLiq,"Sí")&gt;0),S1382,0))</f>
        <v/>
      </c>
      <c r="AI1382" s="52">
        <f>IF(OR(L1382="",P1382=""),"",IF(COUNTIFS(L$6:L1382,L1382,P$6:P1382,"?*")=1,MAX(AI$5:AI1381)+1,""))</f>
        <v/>
      </c>
    </row>
    <row r="1383">
      <c r="B1383" s="47" t="n"/>
      <c r="C1383" s="48" t="n"/>
      <c r="D1383" s="48" t="n"/>
      <c r="E1383" s="48" t="n"/>
      <c r="F1383" s="48" t="n"/>
      <c r="G1383" s="49" t="n"/>
      <c r="H1383" s="48" t="n"/>
      <c r="I1383" s="50" t="n"/>
      <c r="J1383" s="48" t="n"/>
      <c r="K1383" s="48" t="n"/>
      <c r="L1383" s="48" t="n"/>
      <c r="M1383" s="48" t="n"/>
      <c r="N1383" s="48" t="n"/>
      <c r="O1383" s="51">
        <f>IF(AND(B1383="",G1383="",C1383="",D1383="",J1383=""),"",IF(B1383="","⚠ Falta fecha",IF(G1383="","⚠ Falta monto",IF(Q1383="","⚠ Falta cuenta",IF(ISNA(MATCH(Q1383,ctaNombre,0)),"⚠ Cuenta no registrada",IF(AND(OR(P1383="Gasto",P1383="Reembolso"),D1383=""),"⚠ Falta categoría",IF(AND(D1383&lt;&gt;"",E1383&lt;&gt;"",ISNA(MATCH(D1383&amp;"|"&amp;E1383,catClave,0))),"⚠ Subcategoría no corresponde",IF(AND(OR(P1383="Transferencia",P1383="Pago tarjeta"),K1383=""),"⚠ Falta cuenta destino",IF(AND(K1383&lt;&gt;"",P1383&lt;&gt;"Transferencia",P1383&lt;&gt;"Pago tarjeta"),"⚠ Destino solo aplica a transferencias",IF(AND(K1383&lt;&gt;"",K1383=Q1383),"⚠ Origen igual a destino",IF(AND(K1383&lt;&gt;"",ISNA(MATCH(K1383,ctaNombre,0))),"⚠ Destino no registrado",IF(AND(P1383="Pago tarjeta",AE1383&lt;&gt;"Tarjeta de crédito"),"⚠ El destino debe ser tarjeta de crédito",IF(AND(P1383="Gasto",E1383="Depósitos y retiros"),"⚠ Usa tipo Transferencia",IF(AND(P1383="Resultado trading",AD1383&lt;&gt;"Cuenta de trading"),"⚠ Usa una cuenta de trading",IF(AND(G1383&lt;=0,P1383&lt;&gt;"Ajuste",P1383&lt;&gt;"Resultado trading"),"⚠ El monto debe ser positivo","✓")))))))))))))))</f>
        <v/>
      </c>
      <c r="P1383" s="52">
        <f>IF(OR(B1383="",G1383=""),"",IF(C1383="","Gasto",C1383))</f>
        <v/>
      </c>
      <c r="Q1383" s="52">
        <f>IF(P1383="","",IF(J1383&lt;&gt;"",J1383,CuentaPred&amp;""))</f>
        <v/>
      </c>
      <c r="R1383" s="52">
        <f>IF(P1383="","",IF(ISNUMBER(I1383),I1383,TasaUSD))</f>
        <v/>
      </c>
      <c r="S1383" s="53">
        <f>IF(P1383="","",IF(H1383="USD",G1383*R1383,G1383))</f>
        <v/>
      </c>
      <c r="T1383" s="53">
        <f>IF(P1383="","",IF(H1383="USD",G1383,IF(R1383&gt;0,G1383/R1383,0)))</f>
        <v/>
      </c>
      <c r="U1383" s="53">
        <f>IF(P1383="","",IF(P1383="Gasto",S1383,IF(P1383="Reembolso",-S1383,0)))</f>
        <v/>
      </c>
      <c r="V1383" s="53">
        <f>IF(P1383="","",IF(P1383="Ingreso",S1383,0))</f>
        <v/>
      </c>
      <c r="W1383" s="53">
        <f>IF(P1383="","",IF(P1383="Resultado trading",S1383,0))</f>
        <v/>
      </c>
      <c r="X1383" s="52">
        <f>IF(OR(P1383="Gasto",P1383="Reembolso"),IF(M1383&lt;&gt;"",M1383,IFERROR(INDEX(catClasif,MATCH(D1383&amp;"|"&amp;E1383,catClave,0))&amp;"","Variable")),"")</f>
        <v/>
      </c>
      <c r="Y1383" s="52">
        <f>IF(P1383="","",IFERROR(INDEX(catGrupo,MATCH(D1383&amp;"|"&amp;E1383,catClave,0))&amp;"",""))</f>
        <v/>
      </c>
      <c r="Z1383" s="52">
        <f>IF(P1383="","",WEEKDAY(B1383,2))</f>
        <v/>
      </c>
      <c r="AA1383" s="52">
        <f>IF(P1383="","",IF(AND(P1383="Gasto",X1383="Variable",D1383&lt;&gt;catTrading,S1383&gt;0,S1383&lt;=Umbral),1,0))</f>
        <v/>
      </c>
      <c r="AB1383" s="52">
        <f>IF(OR(P1383="",Q1383=""),"",IFERROR(IF(INDEX(ctaVinc,MATCH(Q1383,ctaNombre,0))&amp;""&lt;&gt;"",INDEX(ctaVinc,MATCH(Q1383,ctaNombre,0))&amp;"",Q1383),Q1383))</f>
        <v/>
      </c>
      <c r="AC1383" s="52">
        <f>IF(OR(K1383="",AND(P1383&lt;&gt;"Transferencia",P1383&lt;&gt;"Pago tarjeta")),"",IFERROR(IF(INDEX(ctaVinc,MATCH(K1383,ctaNombre,0))&amp;""&lt;&gt;"",INDEX(ctaVinc,MATCH(K1383,ctaNombre,0))&amp;"",K1383),K1383))</f>
        <v/>
      </c>
      <c r="AD1383" s="52">
        <f>IF(AB1383="","",IFERROR(INDEX(ctaTipo,MATCH(AB1383,ctaNombre,0))&amp;"",""))</f>
        <v/>
      </c>
      <c r="AE1383" s="52">
        <f>IF(AC1383="","",IFERROR(INDEX(ctaTipo,MATCH(AC1383,ctaNombre,0))&amp;"",""))</f>
        <v/>
      </c>
      <c r="AF1383" s="53">
        <f>IF(OR(P1383="",AB1383=""),"",IF(OR(P1383="Gasto",P1383="Transferencia",P1383="Pago tarjeta"),-1,1)*IF(IFERROR(INDEX(ctaMoneda,MATCH(AB1383,ctaNombre,0))&amp;"","DOP")="USD",T1383,S1383))</f>
        <v/>
      </c>
      <c r="AG1383" s="53">
        <f>IF(AC1383="","",IF(IFERROR(INDEX(ctaMoneda,MATCH(AC1383,ctaNombre,0))&amp;"","DOP")="USD",T1383,S1383))</f>
        <v/>
      </c>
      <c r="AH1383" s="53">
        <f>IF(P1383="","",IF(AND(AD1383&lt;&gt;"",COUNTIFS(tcTipo,AD1383,tcLiq,"Sí")&gt;0),IF(OR(P1383="Gasto",P1383="Transferencia",P1383="Pago tarjeta"),-1,1)*S1383,0)+IF(AND(AE1383&lt;&gt;"",COUNTIFS(tcTipo,AE1383,tcLiq,"Sí")&gt;0),S1383,0))</f>
        <v/>
      </c>
      <c r="AI1383" s="52">
        <f>IF(OR(L1383="",P1383=""),"",IF(COUNTIFS(L$6:L1383,L1383,P$6:P1383,"?*")=1,MAX(AI$5:AI1382)+1,""))</f>
        <v/>
      </c>
    </row>
    <row r="1384">
      <c r="B1384" s="47" t="n"/>
      <c r="C1384" s="48" t="n"/>
      <c r="D1384" s="48" t="n"/>
      <c r="E1384" s="48" t="n"/>
      <c r="F1384" s="48" t="n"/>
      <c r="G1384" s="49" t="n"/>
      <c r="H1384" s="48" t="n"/>
      <c r="I1384" s="50" t="n"/>
      <c r="J1384" s="48" t="n"/>
      <c r="K1384" s="48" t="n"/>
      <c r="L1384" s="48" t="n"/>
      <c r="M1384" s="48" t="n"/>
      <c r="N1384" s="48" t="n"/>
      <c r="O1384" s="51">
        <f>IF(AND(B1384="",G1384="",C1384="",D1384="",J1384=""),"",IF(B1384="","⚠ Falta fecha",IF(G1384="","⚠ Falta monto",IF(Q1384="","⚠ Falta cuenta",IF(ISNA(MATCH(Q1384,ctaNombre,0)),"⚠ Cuenta no registrada",IF(AND(OR(P1384="Gasto",P1384="Reembolso"),D1384=""),"⚠ Falta categoría",IF(AND(D1384&lt;&gt;"",E1384&lt;&gt;"",ISNA(MATCH(D1384&amp;"|"&amp;E1384,catClave,0))),"⚠ Subcategoría no corresponde",IF(AND(OR(P1384="Transferencia",P1384="Pago tarjeta"),K1384=""),"⚠ Falta cuenta destino",IF(AND(K1384&lt;&gt;"",P1384&lt;&gt;"Transferencia",P1384&lt;&gt;"Pago tarjeta"),"⚠ Destino solo aplica a transferencias",IF(AND(K1384&lt;&gt;"",K1384=Q1384),"⚠ Origen igual a destino",IF(AND(K1384&lt;&gt;"",ISNA(MATCH(K1384,ctaNombre,0))),"⚠ Destino no registrado",IF(AND(P1384="Pago tarjeta",AE1384&lt;&gt;"Tarjeta de crédito"),"⚠ El destino debe ser tarjeta de crédito",IF(AND(P1384="Gasto",E1384="Depósitos y retiros"),"⚠ Usa tipo Transferencia",IF(AND(P1384="Resultado trading",AD1384&lt;&gt;"Cuenta de trading"),"⚠ Usa una cuenta de trading",IF(AND(G1384&lt;=0,P1384&lt;&gt;"Ajuste",P1384&lt;&gt;"Resultado trading"),"⚠ El monto debe ser positivo","✓")))))))))))))))</f>
        <v/>
      </c>
      <c r="P1384" s="52">
        <f>IF(OR(B1384="",G1384=""),"",IF(C1384="","Gasto",C1384))</f>
        <v/>
      </c>
      <c r="Q1384" s="52">
        <f>IF(P1384="","",IF(J1384&lt;&gt;"",J1384,CuentaPred&amp;""))</f>
        <v/>
      </c>
      <c r="R1384" s="52">
        <f>IF(P1384="","",IF(ISNUMBER(I1384),I1384,TasaUSD))</f>
        <v/>
      </c>
      <c r="S1384" s="53">
        <f>IF(P1384="","",IF(H1384="USD",G1384*R1384,G1384))</f>
        <v/>
      </c>
      <c r="T1384" s="53">
        <f>IF(P1384="","",IF(H1384="USD",G1384,IF(R1384&gt;0,G1384/R1384,0)))</f>
        <v/>
      </c>
      <c r="U1384" s="53">
        <f>IF(P1384="","",IF(P1384="Gasto",S1384,IF(P1384="Reembolso",-S1384,0)))</f>
        <v/>
      </c>
      <c r="V1384" s="53">
        <f>IF(P1384="","",IF(P1384="Ingreso",S1384,0))</f>
        <v/>
      </c>
      <c r="W1384" s="53">
        <f>IF(P1384="","",IF(P1384="Resultado trading",S1384,0))</f>
        <v/>
      </c>
      <c r="X1384" s="52">
        <f>IF(OR(P1384="Gasto",P1384="Reembolso"),IF(M1384&lt;&gt;"",M1384,IFERROR(INDEX(catClasif,MATCH(D1384&amp;"|"&amp;E1384,catClave,0))&amp;"","Variable")),"")</f>
        <v/>
      </c>
      <c r="Y1384" s="52">
        <f>IF(P1384="","",IFERROR(INDEX(catGrupo,MATCH(D1384&amp;"|"&amp;E1384,catClave,0))&amp;"",""))</f>
        <v/>
      </c>
      <c r="Z1384" s="52">
        <f>IF(P1384="","",WEEKDAY(B1384,2))</f>
        <v/>
      </c>
      <c r="AA1384" s="52">
        <f>IF(P1384="","",IF(AND(P1384="Gasto",X1384="Variable",D1384&lt;&gt;catTrading,S1384&gt;0,S1384&lt;=Umbral),1,0))</f>
        <v/>
      </c>
      <c r="AB1384" s="52">
        <f>IF(OR(P1384="",Q1384=""),"",IFERROR(IF(INDEX(ctaVinc,MATCH(Q1384,ctaNombre,0))&amp;""&lt;&gt;"",INDEX(ctaVinc,MATCH(Q1384,ctaNombre,0))&amp;"",Q1384),Q1384))</f>
        <v/>
      </c>
      <c r="AC1384" s="52">
        <f>IF(OR(K1384="",AND(P1384&lt;&gt;"Transferencia",P1384&lt;&gt;"Pago tarjeta")),"",IFERROR(IF(INDEX(ctaVinc,MATCH(K1384,ctaNombre,0))&amp;""&lt;&gt;"",INDEX(ctaVinc,MATCH(K1384,ctaNombre,0))&amp;"",K1384),K1384))</f>
        <v/>
      </c>
      <c r="AD1384" s="52">
        <f>IF(AB1384="","",IFERROR(INDEX(ctaTipo,MATCH(AB1384,ctaNombre,0))&amp;"",""))</f>
        <v/>
      </c>
      <c r="AE1384" s="52">
        <f>IF(AC1384="","",IFERROR(INDEX(ctaTipo,MATCH(AC1384,ctaNombre,0))&amp;"",""))</f>
        <v/>
      </c>
      <c r="AF1384" s="53">
        <f>IF(OR(P1384="",AB1384=""),"",IF(OR(P1384="Gasto",P1384="Transferencia",P1384="Pago tarjeta"),-1,1)*IF(IFERROR(INDEX(ctaMoneda,MATCH(AB1384,ctaNombre,0))&amp;"","DOP")="USD",T1384,S1384))</f>
        <v/>
      </c>
      <c r="AG1384" s="53">
        <f>IF(AC1384="","",IF(IFERROR(INDEX(ctaMoneda,MATCH(AC1384,ctaNombre,0))&amp;"","DOP")="USD",T1384,S1384))</f>
        <v/>
      </c>
      <c r="AH1384" s="53">
        <f>IF(P1384="","",IF(AND(AD1384&lt;&gt;"",COUNTIFS(tcTipo,AD1384,tcLiq,"Sí")&gt;0),IF(OR(P1384="Gasto",P1384="Transferencia",P1384="Pago tarjeta"),-1,1)*S1384,0)+IF(AND(AE1384&lt;&gt;"",COUNTIFS(tcTipo,AE1384,tcLiq,"Sí")&gt;0),S1384,0))</f>
        <v/>
      </c>
      <c r="AI1384" s="52">
        <f>IF(OR(L1384="",P1384=""),"",IF(COUNTIFS(L$6:L1384,L1384,P$6:P1384,"?*")=1,MAX(AI$5:AI1383)+1,""))</f>
        <v/>
      </c>
    </row>
    <row r="1385">
      <c r="B1385" s="47" t="n"/>
      <c r="C1385" s="48" t="n"/>
      <c r="D1385" s="48" t="n"/>
      <c r="E1385" s="48" t="n"/>
      <c r="F1385" s="48" t="n"/>
      <c r="G1385" s="49" t="n"/>
      <c r="H1385" s="48" t="n"/>
      <c r="I1385" s="50" t="n"/>
      <c r="J1385" s="48" t="n"/>
      <c r="K1385" s="48" t="n"/>
      <c r="L1385" s="48" t="n"/>
      <c r="M1385" s="48" t="n"/>
      <c r="N1385" s="48" t="n"/>
      <c r="O1385" s="51">
        <f>IF(AND(B1385="",G1385="",C1385="",D1385="",J1385=""),"",IF(B1385="","⚠ Falta fecha",IF(G1385="","⚠ Falta monto",IF(Q1385="","⚠ Falta cuenta",IF(ISNA(MATCH(Q1385,ctaNombre,0)),"⚠ Cuenta no registrada",IF(AND(OR(P1385="Gasto",P1385="Reembolso"),D1385=""),"⚠ Falta categoría",IF(AND(D1385&lt;&gt;"",E1385&lt;&gt;"",ISNA(MATCH(D1385&amp;"|"&amp;E1385,catClave,0))),"⚠ Subcategoría no corresponde",IF(AND(OR(P1385="Transferencia",P1385="Pago tarjeta"),K1385=""),"⚠ Falta cuenta destino",IF(AND(K1385&lt;&gt;"",P1385&lt;&gt;"Transferencia",P1385&lt;&gt;"Pago tarjeta"),"⚠ Destino solo aplica a transferencias",IF(AND(K1385&lt;&gt;"",K1385=Q1385),"⚠ Origen igual a destino",IF(AND(K1385&lt;&gt;"",ISNA(MATCH(K1385,ctaNombre,0))),"⚠ Destino no registrado",IF(AND(P1385="Pago tarjeta",AE1385&lt;&gt;"Tarjeta de crédito"),"⚠ El destino debe ser tarjeta de crédito",IF(AND(P1385="Gasto",E1385="Depósitos y retiros"),"⚠ Usa tipo Transferencia",IF(AND(P1385="Resultado trading",AD1385&lt;&gt;"Cuenta de trading"),"⚠ Usa una cuenta de trading",IF(AND(G1385&lt;=0,P1385&lt;&gt;"Ajuste",P1385&lt;&gt;"Resultado trading"),"⚠ El monto debe ser positivo","✓")))))))))))))))</f>
        <v/>
      </c>
      <c r="P1385" s="52">
        <f>IF(OR(B1385="",G1385=""),"",IF(C1385="","Gasto",C1385))</f>
        <v/>
      </c>
      <c r="Q1385" s="52">
        <f>IF(P1385="","",IF(J1385&lt;&gt;"",J1385,CuentaPred&amp;""))</f>
        <v/>
      </c>
      <c r="R1385" s="52">
        <f>IF(P1385="","",IF(ISNUMBER(I1385),I1385,TasaUSD))</f>
        <v/>
      </c>
      <c r="S1385" s="53">
        <f>IF(P1385="","",IF(H1385="USD",G1385*R1385,G1385))</f>
        <v/>
      </c>
      <c r="T1385" s="53">
        <f>IF(P1385="","",IF(H1385="USD",G1385,IF(R1385&gt;0,G1385/R1385,0)))</f>
        <v/>
      </c>
      <c r="U1385" s="53">
        <f>IF(P1385="","",IF(P1385="Gasto",S1385,IF(P1385="Reembolso",-S1385,0)))</f>
        <v/>
      </c>
      <c r="V1385" s="53">
        <f>IF(P1385="","",IF(P1385="Ingreso",S1385,0))</f>
        <v/>
      </c>
      <c r="W1385" s="53">
        <f>IF(P1385="","",IF(P1385="Resultado trading",S1385,0))</f>
        <v/>
      </c>
      <c r="X1385" s="52">
        <f>IF(OR(P1385="Gasto",P1385="Reembolso"),IF(M1385&lt;&gt;"",M1385,IFERROR(INDEX(catClasif,MATCH(D1385&amp;"|"&amp;E1385,catClave,0))&amp;"","Variable")),"")</f>
        <v/>
      </c>
      <c r="Y1385" s="52">
        <f>IF(P1385="","",IFERROR(INDEX(catGrupo,MATCH(D1385&amp;"|"&amp;E1385,catClave,0))&amp;"",""))</f>
        <v/>
      </c>
      <c r="Z1385" s="52">
        <f>IF(P1385="","",WEEKDAY(B1385,2))</f>
        <v/>
      </c>
      <c r="AA1385" s="52">
        <f>IF(P1385="","",IF(AND(P1385="Gasto",X1385="Variable",D1385&lt;&gt;catTrading,S1385&gt;0,S1385&lt;=Umbral),1,0))</f>
        <v/>
      </c>
      <c r="AB1385" s="52">
        <f>IF(OR(P1385="",Q1385=""),"",IFERROR(IF(INDEX(ctaVinc,MATCH(Q1385,ctaNombre,0))&amp;""&lt;&gt;"",INDEX(ctaVinc,MATCH(Q1385,ctaNombre,0))&amp;"",Q1385),Q1385))</f>
        <v/>
      </c>
      <c r="AC1385" s="52">
        <f>IF(OR(K1385="",AND(P1385&lt;&gt;"Transferencia",P1385&lt;&gt;"Pago tarjeta")),"",IFERROR(IF(INDEX(ctaVinc,MATCH(K1385,ctaNombre,0))&amp;""&lt;&gt;"",INDEX(ctaVinc,MATCH(K1385,ctaNombre,0))&amp;"",K1385),K1385))</f>
        <v/>
      </c>
      <c r="AD1385" s="52">
        <f>IF(AB1385="","",IFERROR(INDEX(ctaTipo,MATCH(AB1385,ctaNombre,0))&amp;"",""))</f>
        <v/>
      </c>
      <c r="AE1385" s="52">
        <f>IF(AC1385="","",IFERROR(INDEX(ctaTipo,MATCH(AC1385,ctaNombre,0))&amp;"",""))</f>
        <v/>
      </c>
      <c r="AF1385" s="53">
        <f>IF(OR(P1385="",AB1385=""),"",IF(OR(P1385="Gasto",P1385="Transferencia",P1385="Pago tarjeta"),-1,1)*IF(IFERROR(INDEX(ctaMoneda,MATCH(AB1385,ctaNombre,0))&amp;"","DOP")="USD",T1385,S1385))</f>
        <v/>
      </c>
      <c r="AG1385" s="53">
        <f>IF(AC1385="","",IF(IFERROR(INDEX(ctaMoneda,MATCH(AC1385,ctaNombre,0))&amp;"","DOP")="USD",T1385,S1385))</f>
        <v/>
      </c>
      <c r="AH1385" s="53">
        <f>IF(P1385="","",IF(AND(AD1385&lt;&gt;"",COUNTIFS(tcTipo,AD1385,tcLiq,"Sí")&gt;0),IF(OR(P1385="Gasto",P1385="Transferencia",P1385="Pago tarjeta"),-1,1)*S1385,0)+IF(AND(AE1385&lt;&gt;"",COUNTIFS(tcTipo,AE1385,tcLiq,"Sí")&gt;0),S1385,0))</f>
        <v/>
      </c>
      <c r="AI1385" s="52">
        <f>IF(OR(L1385="",P1385=""),"",IF(COUNTIFS(L$6:L1385,L1385,P$6:P1385,"?*")=1,MAX(AI$5:AI1384)+1,""))</f>
        <v/>
      </c>
    </row>
    <row r="1386">
      <c r="B1386" s="47" t="n"/>
      <c r="C1386" s="48" t="n"/>
      <c r="D1386" s="48" t="n"/>
      <c r="E1386" s="48" t="n"/>
      <c r="F1386" s="48" t="n"/>
      <c r="G1386" s="49" t="n"/>
      <c r="H1386" s="48" t="n"/>
      <c r="I1386" s="50" t="n"/>
      <c r="J1386" s="48" t="n"/>
      <c r="K1386" s="48" t="n"/>
      <c r="L1386" s="48" t="n"/>
      <c r="M1386" s="48" t="n"/>
      <c r="N1386" s="48" t="n"/>
      <c r="O1386" s="51">
        <f>IF(AND(B1386="",G1386="",C1386="",D1386="",J1386=""),"",IF(B1386="","⚠ Falta fecha",IF(G1386="","⚠ Falta monto",IF(Q1386="","⚠ Falta cuenta",IF(ISNA(MATCH(Q1386,ctaNombre,0)),"⚠ Cuenta no registrada",IF(AND(OR(P1386="Gasto",P1386="Reembolso"),D1386=""),"⚠ Falta categoría",IF(AND(D1386&lt;&gt;"",E1386&lt;&gt;"",ISNA(MATCH(D1386&amp;"|"&amp;E1386,catClave,0))),"⚠ Subcategoría no corresponde",IF(AND(OR(P1386="Transferencia",P1386="Pago tarjeta"),K1386=""),"⚠ Falta cuenta destino",IF(AND(K1386&lt;&gt;"",P1386&lt;&gt;"Transferencia",P1386&lt;&gt;"Pago tarjeta"),"⚠ Destino solo aplica a transferencias",IF(AND(K1386&lt;&gt;"",K1386=Q1386),"⚠ Origen igual a destino",IF(AND(K1386&lt;&gt;"",ISNA(MATCH(K1386,ctaNombre,0))),"⚠ Destino no registrado",IF(AND(P1386="Pago tarjeta",AE1386&lt;&gt;"Tarjeta de crédito"),"⚠ El destino debe ser tarjeta de crédito",IF(AND(P1386="Gasto",E1386="Depósitos y retiros"),"⚠ Usa tipo Transferencia",IF(AND(P1386="Resultado trading",AD1386&lt;&gt;"Cuenta de trading"),"⚠ Usa una cuenta de trading",IF(AND(G1386&lt;=0,P1386&lt;&gt;"Ajuste",P1386&lt;&gt;"Resultado trading"),"⚠ El monto debe ser positivo","✓")))))))))))))))</f>
        <v/>
      </c>
      <c r="P1386" s="52">
        <f>IF(OR(B1386="",G1386=""),"",IF(C1386="","Gasto",C1386))</f>
        <v/>
      </c>
      <c r="Q1386" s="52">
        <f>IF(P1386="","",IF(J1386&lt;&gt;"",J1386,CuentaPred&amp;""))</f>
        <v/>
      </c>
      <c r="R1386" s="52">
        <f>IF(P1386="","",IF(ISNUMBER(I1386),I1386,TasaUSD))</f>
        <v/>
      </c>
      <c r="S1386" s="53">
        <f>IF(P1386="","",IF(H1386="USD",G1386*R1386,G1386))</f>
        <v/>
      </c>
      <c r="T1386" s="53">
        <f>IF(P1386="","",IF(H1386="USD",G1386,IF(R1386&gt;0,G1386/R1386,0)))</f>
        <v/>
      </c>
      <c r="U1386" s="53">
        <f>IF(P1386="","",IF(P1386="Gasto",S1386,IF(P1386="Reembolso",-S1386,0)))</f>
        <v/>
      </c>
      <c r="V1386" s="53">
        <f>IF(P1386="","",IF(P1386="Ingreso",S1386,0))</f>
        <v/>
      </c>
      <c r="W1386" s="53">
        <f>IF(P1386="","",IF(P1386="Resultado trading",S1386,0))</f>
        <v/>
      </c>
      <c r="X1386" s="52">
        <f>IF(OR(P1386="Gasto",P1386="Reembolso"),IF(M1386&lt;&gt;"",M1386,IFERROR(INDEX(catClasif,MATCH(D1386&amp;"|"&amp;E1386,catClave,0))&amp;"","Variable")),"")</f>
        <v/>
      </c>
      <c r="Y1386" s="52">
        <f>IF(P1386="","",IFERROR(INDEX(catGrupo,MATCH(D1386&amp;"|"&amp;E1386,catClave,0))&amp;"",""))</f>
        <v/>
      </c>
      <c r="Z1386" s="52">
        <f>IF(P1386="","",WEEKDAY(B1386,2))</f>
        <v/>
      </c>
      <c r="AA1386" s="52">
        <f>IF(P1386="","",IF(AND(P1386="Gasto",X1386="Variable",D1386&lt;&gt;catTrading,S1386&gt;0,S1386&lt;=Umbral),1,0))</f>
        <v/>
      </c>
      <c r="AB1386" s="52">
        <f>IF(OR(P1386="",Q1386=""),"",IFERROR(IF(INDEX(ctaVinc,MATCH(Q1386,ctaNombre,0))&amp;""&lt;&gt;"",INDEX(ctaVinc,MATCH(Q1386,ctaNombre,0))&amp;"",Q1386),Q1386))</f>
        <v/>
      </c>
      <c r="AC1386" s="52">
        <f>IF(OR(K1386="",AND(P1386&lt;&gt;"Transferencia",P1386&lt;&gt;"Pago tarjeta")),"",IFERROR(IF(INDEX(ctaVinc,MATCH(K1386,ctaNombre,0))&amp;""&lt;&gt;"",INDEX(ctaVinc,MATCH(K1386,ctaNombre,0))&amp;"",K1386),K1386))</f>
        <v/>
      </c>
      <c r="AD1386" s="52">
        <f>IF(AB1386="","",IFERROR(INDEX(ctaTipo,MATCH(AB1386,ctaNombre,0))&amp;"",""))</f>
        <v/>
      </c>
      <c r="AE1386" s="52">
        <f>IF(AC1386="","",IFERROR(INDEX(ctaTipo,MATCH(AC1386,ctaNombre,0))&amp;"",""))</f>
        <v/>
      </c>
      <c r="AF1386" s="53">
        <f>IF(OR(P1386="",AB1386=""),"",IF(OR(P1386="Gasto",P1386="Transferencia",P1386="Pago tarjeta"),-1,1)*IF(IFERROR(INDEX(ctaMoneda,MATCH(AB1386,ctaNombre,0))&amp;"","DOP")="USD",T1386,S1386))</f>
        <v/>
      </c>
      <c r="AG1386" s="53">
        <f>IF(AC1386="","",IF(IFERROR(INDEX(ctaMoneda,MATCH(AC1386,ctaNombre,0))&amp;"","DOP")="USD",T1386,S1386))</f>
        <v/>
      </c>
      <c r="AH1386" s="53">
        <f>IF(P1386="","",IF(AND(AD1386&lt;&gt;"",COUNTIFS(tcTipo,AD1386,tcLiq,"Sí")&gt;0),IF(OR(P1386="Gasto",P1386="Transferencia",P1386="Pago tarjeta"),-1,1)*S1386,0)+IF(AND(AE1386&lt;&gt;"",COUNTIFS(tcTipo,AE1386,tcLiq,"Sí")&gt;0),S1386,0))</f>
        <v/>
      </c>
      <c r="AI1386" s="52">
        <f>IF(OR(L1386="",P1386=""),"",IF(COUNTIFS(L$6:L1386,L1386,P$6:P1386,"?*")=1,MAX(AI$5:AI1385)+1,""))</f>
        <v/>
      </c>
    </row>
    <row r="1387">
      <c r="B1387" s="47" t="n"/>
      <c r="C1387" s="48" t="n"/>
      <c r="D1387" s="48" t="n"/>
      <c r="E1387" s="48" t="n"/>
      <c r="F1387" s="48" t="n"/>
      <c r="G1387" s="49" t="n"/>
      <c r="H1387" s="48" t="n"/>
      <c r="I1387" s="50" t="n"/>
      <c r="J1387" s="48" t="n"/>
      <c r="K1387" s="48" t="n"/>
      <c r="L1387" s="48" t="n"/>
      <c r="M1387" s="48" t="n"/>
      <c r="N1387" s="48" t="n"/>
      <c r="O1387" s="51">
        <f>IF(AND(B1387="",G1387="",C1387="",D1387="",J1387=""),"",IF(B1387="","⚠ Falta fecha",IF(G1387="","⚠ Falta monto",IF(Q1387="","⚠ Falta cuenta",IF(ISNA(MATCH(Q1387,ctaNombre,0)),"⚠ Cuenta no registrada",IF(AND(OR(P1387="Gasto",P1387="Reembolso"),D1387=""),"⚠ Falta categoría",IF(AND(D1387&lt;&gt;"",E1387&lt;&gt;"",ISNA(MATCH(D1387&amp;"|"&amp;E1387,catClave,0))),"⚠ Subcategoría no corresponde",IF(AND(OR(P1387="Transferencia",P1387="Pago tarjeta"),K1387=""),"⚠ Falta cuenta destino",IF(AND(K1387&lt;&gt;"",P1387&lt;&gt;"Transferencia",P1387&lt;&gt;"Pago tarjeta"),"⚠ Destino solo aplica a transferencias",IF(AND(K1387&lt;&gt;"",K1387=Q1387),"⚠ Origen igual a destino",IF(AND(K1387&lt;&gt;"",ISNA(MATCH(K1387,ctaNombre,0))),"⚠ Destino no registrado",IF(AND(P1387="Pago tarjeta",AE1387&lt;&gt;"Tarjeta de crédito"),"⚠ El destino debe ser tarjeta de crédito",IF(AND(P1387="Gasto",E1387="Depósitos y retiros"),"⚠ Usa tipo Transferencia",IF(AND(P1387="Resultado trading",AD1387&lt;&gt;"Cuenta de trading"),"⚠ Usa una cuenta de trading",IF(AND(G1387&lt;=0,P1387&lt;&gt;"Ajuste",P1387&lt;&gt;"Resultado trading"),"⚠ El monto debe ser positivo","✓")))))))))))))))</f>
        <v/>
      </c>
      <c r="P1387" s="52">
        <f>IF(OR(B1387="",G1387=""),"",IF(C1387="","Gasto",C1387))</f>
        <v/>
      </c>
      <c r="Q1387" s="52">
        <f>IF(P1387="","",IF(J1387&lt;&gt;"",J1387,CuentaPred&amp;""))</f>
        <v/>
      </c>
      <c r="R1387" s="52">
        <f>IF(P1387="","",IF(ISNUMBER(I1387),I1387,TasaUSD))</f>
        <v/>
      </c>
      <c r="S1387" s="53">
        <f>IF(P1387="","",IF(H1387="USD",G1387*R1387,G1387))</f>
        <v/>
      </c>
      <c r="T1387" s="53">
        <f>IF(P1387="","",IF(H1387="USD",G1387,IF(R1387&gt;0,G1387/R1387,0)))</f>
        <v/>
      </c>
      <c r="U1387" s="53">
        <f>IF(P1387="","",IF(P1387="Gasto",S1387,IF(P1387="Reembolso",-S1387,0)))</f>
        <v/>
      </c>
      <c r="V1387" s="53">
        <f>IF(P1387="","",IF(P1387="Ingreso",S1387,0))</f>
        <v/>
      </c>
      <c r="W1387" s="53">
        <f>IF(P1387="","",IF(P1387="Resultado trading",S1387,0))</f>
        <v/>
      </c>
      <c r="X1387" s="52">
        <f>IF(OR(P1387="Gasto",P1387="Reembolso"),IF(M1387&lt;&gt;"",M1387,IFERROR(INDEX(catClasif,MATCH(D1387&amp;"|"&amp;E1387,catClave,0))&amp;"","Variable")),"")</f>
        <v/>
      </c>
      <c r="Y1387" s="52">
        <f>IF(P1387="","",IFERROR(INDEX(catGrupo,MATCH(D1387&amp;"|"&amp;E1387,catClave,0))&amp;"",""))</f>
        <v/>
      </c>
      <c r="Z1387" s="52">
        <f>IF(P1387="","",WEEKDAY(B1387,2))</f>
        <v/>
      </c>
      <c r="AA1387" s="52">
        <f>IF(P1387="","",IF(AND(P1387="Gasto",X1387="Variable",D1387&lt;&gt;catTrading,S1387&gt;0,S1387&lt;=Umbral),1,0))</f>
        <v/>
      </c>
      <c r="AB1387" s="52">
        <f>IF(OR(P1387="",Q1387=""),"",IFERROR(IF(INDEX(ctaVinc,MATCH(Q1387,ctaNombre,0))&amp;""&lt;&gt;"",INDEX(ctaVinc,MATCH(Q1387,ctaNombre,0))&amp;"",Q1387),Q1387))</f>
        <v/>
      </c>
      <c r="AC1387" s="52">
        <f>IF(OR(K1387="",AND(P1387&lt;&gt;"Transferencia",P1387&lt;&gt;"Pago tarjeta")),"",IFERROR(IF(INDEX(ctaVinc,MATCH(K1387,ctaNombre,0))&amp;""&lt;&gt;"",INDEX(ctaVinc,MATCH(K1387,ctaNombre,0))&amp;"",K1387),K1387))</f>
        <v/>
      </c>
      <c r="AD1387" s="52">
        <f>IF(AB1387="","",IFERROR(INDEX(ctaTipo,MATCH(AB1387,ctaNombre,0))&amp;"",""))</f>
        <v/>
      </c>
      <c r="AE1387" s="52">
        <f>IF(AC1387="","",IFERROR(INDEX(ctaTipo,MATCH(AC1387,ctaNombre,0))&amp;"",""))</f>
        <v/>
      </c>
      <c r="AF1387" s="53">
        <f>IF(OR(P1387="",AB1387=""),"",IF(OR(P1387="Gasto",P1387="Transferencia",P1387="Pago tarjeta"),-1,1)*IF(IFERROR(INDEX(ctaMoneda,MATCH(AB1387,ctaNombre,0))&amp;"","DOP")="USD",T1387,S1387))</f>
        <v/>
      </c>
      <c r="AG1387" s="53">
        <f>IF(AC1387="","",IF(IFERROR(INDEX(ctaMoneda,MATCH(AC1387,ctaNombre,0))&amp;"","DOP")="USD",T1387,S1387))</f>
        <v/>
      </c>
      <c r="AH1387" s="53">
        <f>IF(P1387="","",IF(AND(AD1387&lt;&gt;"",COUNTIFS(tcTipo,AD1387,tcLiq,"Sí")&gt;0),IF(OR(P1387="Gasto",P1387="Transferencia",P1387="Pago tarjeta"),-1,1)*S1387,0)+IF(AND(AE1387&lt;&gt;"",COUNTIFS(tcTipo,AE1387,tcLiq,"Sí")&gt;0),S1387,0))</f>
        <v/>
      </c>
      <c r="AI1387" s="52">
        <f>IF(OR(L1387="",P1387=""),"",IF(COUNTIFS(L$6:L1387,L1387,P$6:P1387,"?*")=1,MAX(AI$5:AI1386)+1,""))</f>
        <v/>
      </c>
    </row>
    <row r="1388">
      <c r="B1388" s="47" t="n"/>
      <c r="C1388" s="48" t="n"/>
      <c r="D1388" s="48" t="n"/>
      <c r="E1388" s="48" t="n"/>
      <c r="F1388" s="48" t="n"/>
      <c r="G1388" s="49" t="n"/>
      <c r="H1388" s="48" t="n"/>
      <c r="I1388" s="50" t="n"/>
      <c r="J1388" s="48" t="n"/>
      <c r="K1388" s="48" t="n"/>
      <c r="L1388" s="48" t="n"/>
      <c r="M1388" s="48" t="n"/>
      <c r="N1388" s="48" t="n"/>
      <c r="O1388" s="51">
        <f>IF(AND(B1388="",G1388="",C1388="",D1388="",J1388=""),"",IF(B1388="","⚠ Falta fecha",IF(G1388="","⚠ Falta monto",IF(Q1388="","⚠ Falta cuenta",IF(ISNA(MATCH(Q1388,ctaNombre,0)),"⚠ Cuenta no registrada",IF(AND(OR(P1388="Gasto",P1388="Reembolso"),D1388=""),"⚠ Falta categoría",IF(AND(D1388&lt;&gt;"",E1388&lt;&gt;"",ISNA(MATCH(D1388&amp;"|"&amp;E1388,catClave,0))),"⚠ Subcategoría no corresponde",IF(AND(OR(P1388="Transferencia",P1388="Pago tarjeta"),K1388=""),"⚠ Falta cuenta destino",IF(AND(K1388&lt;&gt;"",P1388&lt;&gt;"Transferencia",P1388&lt;&gt;"Pago tarjeta"),"⚠ Destino solo aplica a transferencias",IF(AND(K1388&lt;&gt;"",K1388=Q1388),"⚠ Origen igual a destino",IF(AND(K1388&lt;&gt;"",ISNA(MATCH(K1388,ctaNombre,0))),"⚠ Destino no registrado",IF(AND(P1388="Pago tarjeta",AE1388&lt;&gt;"Tarjeta de crédito"),"⚠ El destino debe ser tarjeta de crédito",IF(AND(P1388="Gasto",E1388="Depósitos y retiros"),"⚠ Usa tipo Transferencia",IF(AND(P1388="Resultado trading",AD1388&lt;&gt;"Cuenta de trading"),"⚠ Usa una cuenta de trading",IF(AND(G1388&lt;=0,P1388&lt;&gt;"Ajuste",P1388&lt;&gt;"Resultado trading"),"⚠ El monto debe ser positivo","✓")))))))))))))))</f>
        <v/>
      </c>
      <c r="P1388" s="52">
        <f>IF(OR(B1388="",G1388=""),"",IF(C1388="","Gasto",C1388))</f>
        <v/>
      </c>
      <c r="Q1388" s="52">
        <f>IF(P1388="","",IF(J1388&lt;&gt;"",J1388,CuentaPred&amp;""))</f>
        <v/>
      </c>
      <c r="R1388" s="52">
        <f>IF(P1388="","",IF(ISNUMBER(I1388),I1388,TasaUSD))</f>
        <v/>
      </c>
      <c r="S1388" s="53">
        <f>IF(P1388="","",IF(H1388="USD",G1388*R1388,G1388))</f>
        <v/>
      </c>
      <c r="T1388" s="53">
        <f>IF(P1388="","",IF(H1388="USD",G1388,IF(R1388&gt;0,G1388/R1388,0)))</f>
        <v/>
      </c>
      <c r="U1388" s="53">
        <f>IF(P1388="","",IF(P1388="Gasto",S1388,IF(P1388="Reembolso",-S1388,0)))</f>
        <v/>
      </c>
      <c r="V1388" s="53">
        <f>IF(P1388="","",IF(P1388="Ingreso",S1388,0))</f>
        <v/>
      </c>
      <c r="W1388" s="53">
        <f>IF(P1388="","",IF(P1388="Resultado trading",S1388,0))</f>
        <v/>
      </c>
      <c r="X1388" s="52">
        <f>IF(OR(P1388="Gasto",P1388="Reembolso"),IF(M1388&lt;&gt;"",M1388,IFERROR(INDEX(catClasif,MATCH(D1388&amp;"|"&amp;E1388,catClave,0))&amp;"","Variable")),"")</f>
        <v/>
      </c>
      <c r="Y1388" s="52">
        <f>IF(P1388="","",IFERROR(INDEX(catGrupo,MATCH(D1388&amp;"|"&amp;E1388,catClave,0))&amp;"",""))</f>
        <v/>
      </c>
      <c r="Z1388" s="52">
        <f>IF(P1388="","",WEEKDAY(B1388,2))</f>
        <v/>
      </c>
      <c r="AA1388" s="52">
        <f>IF(P1388="","",IF(AND(P1388="Gasto",X1388="Variable",D1388&lt;&gt;catTrading,S1388&gt;0,S1388&lt;=Umbral),1,0))</f>
        <v/>
      </c>
      <c r="AB1388" s="52">
        <f>IF(OR(P1388="",Q1388=""),"",IFERROR(IF(INDEX(ctaVinc,MATCH(Q1388,ctaNombre,0))&amp;""&lt;&gt;"",INDEX(ctaVinc,MATCH(Q1388,ctaNombre,0))&amp;"",Q1388),Q1388))</f>
        <v/>
      </c>
      <c r="AC1388" s="52">
        <f>IF(OR(K1388="",AND(P1388&lt;&gt;"Transferencia",P1388&lt;&gt;"Pago tarjeta")),"",IFERROR(IF(INDEX(ctaVinc,MATCH(K1388,ctaNombre,0))&amp;""&lt;&gt;"",INDEX(ctaVinc,MATCH(K1388,ctaNombre,0))&amp;"",K1388),K1388))</f>
        <v/>
      </c>
      <c r="AD1388" s="52">
        <f>IF(AB1388="","",IFERROR(INDEX(ctaTipo,MATCH(AB1388,ctaNombre,0))&amp;"",""))</f>
        <v/>
      </c>
      <c r="AE1388" s="52">
        <f>IF(AC1388="","",IFERROR(INDEX(ctaTipo,MATCH(AC1388,ctaNombre,0))&amp;"",""))</f>
        <v/>
      </c>
      <c r="AF1388" s="53">
        <f>IF(OR(P1388="",AB1388=""),"",IF(OR(P1388="Gasto",P1388="Transferencia",P1388="Pago tarjeta"),-1,1)*IF(IFERROR(INDEX(ctaMoneda,MATCH(AB1388,ctaNombre,0))&amp;"","DOP")="USD",T1388,S1388))</f>
        <v/>
      </c>
      <c r="AG1388" s="53">
        <f>IF(AC1388="","",IF(IFERROR(INDEX(ctaMoneda,MATCH(AC1388,ctaNombre,0))&amp;"","DOP")="USD",T1388,S1388))</f>
        <v/>
      </c>
      <c r="AH1388" s="53">
        <f>IF(P1388="","",IF(AND(AD1388&lt;&gt;"",COUNTIFS(tcTipo,AD1388,tcLiq,"Sí")&gt;0),IF(OR(P1388="Gasto",P1388="Transferencia",P1388="Pago tarjeta"),-1,1)*S1388,0)+IF(AND(AE1388&lt;&gt;"",COUNTIFS(tcTipo,AE1388,tcLiq,"Sí")&gt;0),S1388,0))</f>
        <v/>
      </c>
      <c r="AI1388" s="52">
        <f>IF(OR(L1388="",P1388=""),"",IF(COUNTIFS(L$6:L1388,L1388,P$6:P1388,"?*")=1,MAX(AI$5:AI1387)+1,""))</f>
        <v/>
      </c>
    </row>
    <row r="1389">
      <c r="B1389" s="47" t="n"/>
      <c r="C1389" s="48" t="n"/>
      <c r="D1389" s="48" t="n"/>
      <c r="E1389" s="48" t="n"/>
      <c r="F1389" s="48" t="n"/>
      <c r="G1389" s="49" t="n"/>
      <c r="H1389" s="48" t="n"/>
      <c r="I1389" s="50" t="n"/>
      <c r="J1389" s="48" t="n"/>
      <c r="K1389" s="48" t="n"/>
      <c r="L1389" s="48" t="n"/>
      <c r="M1389" s="48" t="n"/>
      <c r="N1389" s="48" t="n"/>
      <c r="O1389" s="51">
        <f>IF(AND(B1389="",G1389="",C1389="",D1389="",J1389=""),"",IF(B1389="","⚠ Falta fecha",IF(G1389="","⚠ Falta monto",IF(Q1389="","⚠ Falta cuenta",IF(ISNA(MATCH(Q1389,ctaNombre,0)),"⚠ Cuenta no registrada",IF(AND(OR(P1389="Gasto",P1389="Reembolso"),D1389=""),"⚠ Falta categoría",IF(AND(D1389&lt;&gt;"",E1389&lt;&gt;"",ISNA(MATCH(D1389&amp;"|"&amp;E1389,catClave,0))),"⚠ Subcategoría no corresponde",IF(AND(OR(P1389="Transferencia",P1389="Pago tarjeta"),K1389=""),"⚠ Falta cuenta destino",IF(AND(K1389&lt;&gt;"",P1389&lt;&gt;"Transferencia",P1389&lt;&gt;"Pago tarjeta"),"⚠ Destino solo aplica a transferencias",IF(AND(K1389&lt;&gt;"",K1389=Q1389),"⚠ Origen igual a destino",IF(AND(K1389&lt;&gt;"",ISNA(MATCH(K1389,ctaNombre,0))),"⚠ Destino no registrado",IF(AND(P1389="Pago tarjeta",AE1389&lt;&gt;"Tarjeta de crédito"),"⚠ El destino debe ser tarjeta de crédito",IF(AND(P1389="Gasto",E1389="Depósitos y retiros"),"⚠ Usa tipo Transferencia",IF(AND(P1389="Resultado trading",AD1389&lt;&gt;"Cuenta de trading"),"⚠ Usa una cuenta de trading",IF(AND(G1389&lt;=0,P1389&lt;&gt;"Ajuste",P1389&lt;&gt;"Resultado trading"),"⚠ El monto debe ser positivo","✓")))))))))))))))</f>
        <v/>
      </c>
      <c r="P1389" s="52">
        <f>IF(OR(B1389="",G1389=""),"",IF(C1389="","Gasto",C1389))</f>
        <v/>
      </c>
      <c r="Q1389" s="52">
        <f>IF(P1389="","",IF(J1389&lt;&gt;"",J1389,CuentaPred&amp;""))</f>
        <v/>
      </c>
      <c r="R1389" s="52">
        <f>IF(P1389="","",IF(ISNUMBER(I1389),I1389,TasaUSD))</f>
        <v/>
      </c>
      <c r="S1389" s="53">
        <f>IF(P1389="","",IF(H1389="USD",G1389*R1389,G1389))</f>
        <v/>
      </c>
      <c r="T1389" s="53">
        <f>IF(P1389="","",IF(H1389="USD",G1389,IF(R1389&gt;0,G1389/R1389,0)))</f>
        <v/>
      </c>
      <c r="U1389" s="53">
        <f>IF(P1389="","",IF(P1389="Gasto",S1389,IF(P1389="Reembolso",-S1389,0)))</f>
        <v/>
      </c>
      <c r="V1389" s="53">
        <f>IF(P1389="","",IF(P1389="Ingreso",S1389,0))</f>
        <v/>
      </c>
      <c r="W1389" s="53">
        <f>IF(P1389="","",IF(P1389="Resultado trading",S1389,0))</f>
        <v/>
      </c>
      <c r="X1389" s="52">
        <f>IF(OR(P1389="Gasto",P1389="Reembolso"),IF(M1389&lt;&gt;"",M1389,IFERROR(INDEX(catClasif,MATCH(D1389&amp;"|"&amp;E1389,catClave,0))&amp;"","Variable")),"")</f>
        <v/>
      </c>
      <c r="Y1389" s="52">
        <f>IF(P1389="","",IFERROR(INDEX(catGrupo,MATCH(D1389&amp;"|"&amp;E1389,catClave,0))&amp;"",""))</f>
        <v/>
      </c>
      <c r="Z1389" s="52">
        <f>IF(P1389="","",WEEKDAY(B1389,2))</f>
        <v/>
      </c>
      <c r="AA1389" s="52">
        <f>IF(P1389="","",IF(AND(P1389="Gasto",X1389="Variable",D1389&lt;&gt;catTrading,S1389&gt;0,S1389&lt;=Umbral),1,0))</f>
        <v/>
      </c>
      <c r="AB1389" s="52">
        <f>IF(OR(P1389="",Q1389=""),"",IFERROR(IF(INDEX(ctaVinc,MATCH(Q1389,ctaNombre,0))&amp;""&lt;&gt;"",INDEX(ctaVinc,MATCH(Q1389,ctaNombre,0))&amp;"",Q1389),Q1389))</f>
        <v/>
      </c>
      <c r="AC1389" s="52">
        <f>IF(OR(K1389="",AND(P1389&lt;&gt;"Transferencia",P1389&lt;&gt;"Pago tarjeta")),"",IFERROR(IF(INDEX(ctaVinc,MATCH(K1389,ctaNombre,0))&amp;""&lt;&gt;"",INDEX(ctaVinc,MATCH(K1389,ctaNombre,0))&amp;"",K1389),K1389))</f>
        <v/>
      </c>
      <c r="AD1389" s="52">
        <f>IF(AB1389="","",IFERROR(INDEX(ctaTipo,MATCH(AB1389,ctaNombre,0))&amp;"",""))</f>
        <v/>
      </c>
      <c r="AE1389" s="52">
        <f>IF(AC1389="","",IFERROR(INDEX(ctaTipo,MATCH(AC1389,ctaNombre,0))&amp;"",""))</f>
        <v/>
      </c>
      <c r="AF1389" s="53">
        <f>IF(OR(P1389="",AB1389=""),"",IF(OR(P1389="Gasto",P1389="Transferencia",P1389="Pago tarjeta"),-1,1)*IF(IFERROR(INDEX(ctaMoneda,MATCH(AB1389,ctaNombre,0))&amp;"","DOP")="USD",T1389,S1389))</f>
        <v/>
      </c>
      <c r="AG1389" s="53">
        <f>IF(AC1389="","",IF(IFERROR(INDEX(ctaMoneda,MATCH(AC1389,ctaNombre,0))&amp;"","DOP")="USD",T1389,S1389))</f>
        <v/>
      </c>
      <c r="AH1389" s="53">
        <f>IF(P1389="","",IF(AND(AD1389&lt;&gt;"",COUNTIFS(tcTipo,AD1389,tcLiq,"Sí")&gt;0),IF(OR(P1389="Gasto",P1389="Transferencia",P1389="Pago tarjeta"),-1,1)*S1389,0)+IF(AND(AE1389&lt;&gt;"",COUNTIFS(tcTipo,AE1389,tcLiq,"Sí")&gt;0),S1389,0))</f>
        <v/>
      </c>
      <c r="AI1389" s="52">
        <f>IF(OR(L1389="",P1389=""),"",IF(COUNTIFS(L$6:L1389,L1389,P$6:P1389,"?*")=1,MAX(AI$5:AI1388)+1,""))</f>
        <v/>
      </c>
    </row>
    <row r="1390">
      <c r="B1390" s="47" t="n"/>
      <c r="C1390" s="48" t="n"/>
      <c r="D1390" s="48" t="n"/>
      <c r="E1390" s="48" t="n"/>
      <c r="F1390" s="48" t="n"/>
      <c r="G1390" s="49" t="n"/>
      <c r="H1390" s="48" t="n"/>
      <c r="I1390" s="50" t="n"/>
      <c r="J1390" s="48" t="n"/>
      <c r="K1390" s="48" t="n"/>
      <c r="L1390" s="48" t="n"/>
      <c r="M1390" s="48" t="n"/>
      <c r="N1390" s="48" t="n"/>
      <c r="O1390" s="51">
        <f>IF(AND(B1390="",G1390="",C1390="",D1390="",J1390=""),"",IF(B1390="","⚠ Falta fecha",IF(G1390="","⚠ Falta monto",IF(Q1390="","⚠ Falta cuenta",IF(ISNA(MATCH(Q1390,ctaNombre,0)),"⚠ Cuenta no registrada",IF(AND(OR(P1390="Gasto",P1390="Reembolso"),D1390=""),"⚠ Falta categoría",IF(AND(D1390&lt;&gt;"",E1390&lt;&gt;"",ISNA(MATCH(D1390&amp;"|"&amp;E1390,catClave,0))),"⚠ Subcategoría no corresponde",IF(AND(OR(P1390="Transferencia",P1390="Pago tarjeta"),K1390=""),"⚠ Falta cuenta destino",IF(AND(K1390&lt;&gt;"",P1390&lt;&gt;"Transferencia",P1390&lt;&gt;"Pago tarjeta"),"⚠ Destino solo aplica a transferencias",IF(AND(K1390&lt;&gt;"",K1390=Q1390),"⚠ Origen igual a destino",IF(AND(K1390&lt;&gt;"",ISNA(MATCH(K1390,ctaNombre,0))),"⚠ Destino no registrado",IF(AND(P1390="Pago tarjeta",AE1390&lt;&gt;"Tarjeta de crédito"),"⚠ El destino debe ser tarjeta de crédito",IF(AND(P1390="Gasto",E1390="Depósitos y retiros"),"⚠ Usa tipo Transferencia",IF(AND(P1390="Resultado trading",AD1390&lt;&gt;"Cuenta de trading"),"⚠ Usa una cuenta de trading",IF(AND(G1390&lt;=0,P1390&lt;&gt;"Ajuste",P1390&lt;&gt;"Resultado trading"),"⚠ El monto debe ser positivo","✓")))))))))))))))</f>
        <v/>
      </c>
      <c r="P1390" s="52">
        <f>IF(OR(B1390="",G1390=""),"",IF(C1390="","Gasto",C1390))</f>
        <v/>
      </c>
      <c r="Q1390" s="52">
        <f>IF(P1390="","",IF(J1390&lt;&gt;"",J1390,CuentaPred&amp;""))</f>
        <v/>
      </c>
      <c r="R1390" s="52">
        <f>IF(P1390="","",IF(ISNUMBER(I1390),I1390,TasaUSD))</f>
        <v/>
      </c>
      <c r="S1390" s="53">
        <f>IF(P1390="","",IF(H1390="USD",G1390*R1390,G1390))</f>
        <v/>
      </c>
      <c r="T1390" s="53">
        <f>IF(P1390="","",IF(H1390="USD",G1390,IF(R1390&gt;0,G1390/R1390,0)))</f>
        <v/>
      </c>
      <c r="U1390" s="53">
        <f>IF(P1390="","",IF(P1390="Gasto",S1390,IF(P1390="Reembolso",-S1390,0)))</f>
        <v/>
      </c>
      <c r="V1390" s="53">
        <f>IF(P1390="","",IF(P1390="Ingreso",S1390,0))</f>
        <v/>
      </c>
      <c r="W1390" s="53">
        <f>IF(P1390="","",IF(P1390="Resultado trading",S1390,0))</f>
        <v/>
      </c>
      <c r="X1390" s="52">
        <f>IF(OR(P1390="Gasto",P1390="Reembolso"),IF(M1390&lt;&gt;"",M1390,IFERROR(INDEX(catClasif,MATCH(D1390&amp;"|"&amp;E1390,catClave,0))&amp;"","Variable")),"")</f>
        <v/>
      </c>
      <c r="Y1390" s="52">
        <f>IF(P1390="","",IFERROR(INDEX(catGrupo,MATCH(D1390&amp;"|"&amp;E1390,catClave,0))&amp;"",""))</f>
        <v/>
      </c>
      <c r="Z1390" s="52">
        <f>IF(P1390="","",WEEKDAY(B1390,2))</f>
        <v/>
      </c>
      <c r="AA1390" s="52">
        <f>IF(P1390="","",IF(AND(P1390="Gasto",X1390="Variable",D1390&lt;&gt;catTrading,S1390&gt;0,S1390&lt;=Umbral),1,0))</f>
        <v/>
      </c>
      <c r="AB1390" s="52">
        <f>IF(OR(P1390="",Q1390=""),"",IFERROR(IF(INDEX(ctaVinc,MATCH(Q1390,ctaNombre,0))&amp;""&lt;&gt;"",INDEX(ctaVinc,MATCH(Q1390,ctaNombre,0))&amp;"",Q1390),Q1390))</f>
        <v/>
      </c>
      <c r="AC1390" s="52">
        <f>IF(OR(K1390="",AND(P1390&lt;&gt;"Transferencia",P1390&lt;&gt;"Pago tarjeta")),"",IFERROR(IF(INDEX(ctaVinc,MATCH(K1390,ctaNombre,0))&amp;""&lt;&gt;"",INDEX(ctaVinc,MATCH(K1390,ctaNombre,0))&amp;"",K1390),K1390))</f>
        <v/>
      </c>
      <c r="AD1390" s="52">
        <f>IF(AB1390="","",IFERROR(INDEX(ctaTipo,MATCH(AB1390,ctaNombre,0))&amp;"",""))</f>
        <v/>
      </c>
      <c r="AE1390" s="52">
        <f>IF(AC1390="","",IFERROR(INDEX(ctaTipo,MATCH(AC1390,ctaNombre,0))&amp;"",""))</f>
        <v/>
      </c>
      <c r="AF1390" s="53">
        <f>IF(OR(P1390="",AB1390=""),"",IF(OR(P1390="Gasto",P1390="Transferencia",P1390="Pago tarjeta"),-1,1)*IF(IFERROR(INDEX(ctaMoneda,MATCH(AB1390,ctaNombre,0))&amp;"","DOP")="USD",T1390,S1390))</f>
        <v/>
      </c>
      <c r="AG1390" s="53">
        <f>IF(AC1390="","",IF(IFERROR(INDEX(ctaMoneda,MATCH(AC1390,ctaNombre,0))&amp;"","DOP")="USD",T1390,S1390))</f>
        <v/>
      </c>
      <c r="AH1390" s="53">
        <f>IF(P1390="","",IF(AND(AD1390&lt;&gt;"",COUNTIFS(tcTipo,AD1390,tcLiq,"Sí")&gt;0),IF(OR(P1390="Gasto",P1390="Transferencia",P1390="Pago tarjeta"),-1,1)*S1390,0)+IF(AND(AE1390&lt;&gt;"",COUNTIFS(tcTipo,AE1390,tcLiq,"Sí")&gt;0),S1390,0))</f>
        <v/>
      </c>
      <c r="AI1390" s="52">
        <f>IF(OR(L1390="",P1390=""),"",IF(COUNTIFS(L$6:L1390,L1390,P$6:P1390,"?*")=1,MAX(AI$5:AI1389)+1,""))</f>
        <v/>
      </c>
    </row>
    <row r="1391">
      <c r="B1391" s="47" t="n"/>
      <c r="C1391" s="48" t="n"/>
      <c r="D1391" s="48" t="n"/>
      <c r="E1391" s="48" t="n"/>
      <c r="F1391" s="48" t="n"/>
      <c r="G1391" s="49" t="n"/>
      <c r="H1391" s="48" t="n"/>
      <c r="I1391" s="50" t="n"/>
      <c r="J1391" s="48" t="n"/>
      <c r="K1391" s="48" t="n"/>
      <c r="L1391" s="48" t="n"/>
      <c r="M1391" s="48" t="n"/>
      <c r="N1391" s="48" t="n"/>
      <c r="O1391" s="51">
        <f>IF(AND(B1391="",G1391="",C1391="",D1391="",J1391=""),"",IF(B1391="","⚠ Falta fecha",IF(G1391="","⚠ Falta monto",IF(Q1391="","⚠ Falta cuenta",IF(ISNA(MATCH(Q1391,ctaNombre,0)),"⚠ Cuenta no registrada",IF(AND(OR(P1391="Gasto",P1391="Reembolso"),D1391=""),"⚠ Falta categoría",IF(AND(D1391&lt;&gt;"",E1391&lt;&gt;"",ISNA(MATCH(D1391&amp;"|"&amp;E1391,catClave,0))),"⚠ Subcategoría no corresponde",IF(AND(OR(P1391="Transferencia",P1391="Pago tarjeta"),K1391=""),"⚠ Falta cuenta destino",IF(AND(K1391&lt;&gt;"",P1391&lt;&gt;"Transferencia",P1391&lt;&gt;"Pago tarjeta"),"⚠ Destino solo aplica a transferencias",IF(AND(K1391&lt;&gt;"",K1391=Q1391),"⚠ Origen igual a destino",IF(AND(K1391&lt;&gt;"",ISNA(MATCH(K1391,ctaNombre,0))),"⚠ Destino no registrado",IF(AND(P1391="Pago tarjeta",AE1391&lt;&gt;"Tarjeta de crédito"),"⚠ El destino debe ser tarjeta de crédito",IF(AND(P1391="Gasto",E1391="Depósitos y retiros"),"⚠ Usa tipo Transferencia",IF(AND(P1391="Resultado trading",AD1391&lt;&gt;"Cuenta de trading"),"⚠ Usa una cuenta de trading",IF(AND(G1391&lt;=0,P1391&lt;&gt;"Ajuste",P1391&lt;&gt;"Resultado trading"),"⚠ El monto debe ser positivo","✓")))))))))))))))</f>
        <v/>
      </c>
      <c r="P1391" s="52">
        <f>IF(OR(B1391="",G1391=""),"",IF(C1391="","Gasto",C1391))</f>
        <v/>
      </c>
      <c r="Q1391" s="52">
        <f>IF(P1391="","",IF(J1391&lt;&gt;"",J1391,CuentaPred&amp;""))</f>
        <v/>
      </c>
      <c r="R1391" s="52">
        <f>IF(P1391="","",IF(ISNUMBER(I1391),I1391,TasaUSD))</f>
        <v/>
      </c>
      <c r="S1391" s="53">
        <f>IF(P1391="","",IF(H1391="USD",G1391*R1391,G1391))</f>
        <v/>
      </c>
      <c r="T1391" s="53">
        <f>IF(P1391="","",IF(H1391="USD",G1391,IF(R1391&gt;0,G1391/R1391,0)))</f>
        <v/>
      </c>
      <c r="U1391" s="53">
        <f>IF(P1391="","",IF(P1391="Gasto",S1391,IF(P1391="Reembolso",-S1391,0)))</f>
        <v/>
      </c>
      <c r="V1391" s="53">
        <f>IF(P1391="","",IF(P1391="Ingreso",S1391,0))</f>
        <v/>
      </c>
      <c r="W1391" s="53">
        <f>IF(P1391="","",IF(P1391="Resultado trading",S1391,0))</f>
        <v/>
      </c>
      <c r="X1391" s="52">
        <f>IF(OR(P1391="Gasto",P1391="Reembolso"),IF(M1391&lt;&gt;"",M1391,IFERROR(INDEX(catClasif,MATCH(D1391&amp;"|"&amp;E1391,catClave,0))&amp;"","Variable")),"")</f>
        <v/>
      </c>
      <c r="Y1391" s="52">
        <f>IF(P1391="","",IFERROR(INDEX(catGrupo,MATCH(D1391&amp;"|"&amp;E1391,catClave,0))&amp;"",""))</f>
        <v/>
      </c>
      <c r="Z1391" s="52">
        <f>IF(P1391="","",WEEKDAY(B1391,2))</f>
        <v/>
      </c>
      <c r="AA1391" s="52">
        <f>IF(P1391="","",IF(AND(P1391="Gasto",X1391="Variable",D1391&lt;&gt;catTrading,S1391&gt;0,S1391&lt;=Umbral),1,0))</f>
        <v/>
      </c>
      <c r="AB1391" s="52">
        <f>IF(OR(P1391="",Q1391=""),"",IFERROR(IF(INDEX(ctaVinc,MATCH(Q1391,ctaNombre,0))&amp;""&lt;&gt;"",INDEX(ctaVinc,MATCH(Q1391,ctaNombre,0))&amp;"",Q1391),Q1391))</f>
        <v/>
      </c>
      <c r="AC1391" s="52">
        <f>IF(OR(K1391="",AND(P1391&lt;&gt;"Transferencia",P1391&lt;&gt;"Pago tarjeta")),"",IFERROR(IF(INDEX(ctaVinc,MATCH(K1391,ctaNombre,0))&amp;""&lt;&gt;"",INDEX(ctaVinc,MATCH(K1391,ctaNombre,0))&amp;"",K1391),K1391))</f>
        <v/>
      </c>
      <c r="AD1391" s="52">
        <f>IF(AB1391="","",IFERROR(INDEX(ctaTipo,MATCH(AB1391,ctaNombre,0))&amp;"",""))</f>
        <v/>
      </c>
      <c r="AE1391" s="52">
        <f>IF(AC1391="","",IFERROR(INDEX(ctaTipo,MATCH(AC1391,ctaNombre,0))&amp;"",""))</f>
        <v/>
      </c>
      <c r="AF1391" s="53">
        <f>IF(OR(P1391="",AB1391=""),"",IF(OR(P1391="Gasto",P1391="Transferencia",P1391="Pago tarjeta"),-1,1)*IF(IFERROR(INDEX(ctaMoneda,MATCH(AB1391,ctaNombre,0))&amp;"","DOP")="USD",T1391,S1391))</f>
        <v/>
      </c>
      <c r="AG1391" s="53">
        <f>IF(AC1391="","",IF(IFERROR(INDEX(ctaMoneda,MATCH(AC1391,ctaNombre,0))&amp;"","DOP")="USD",T1391,S1391))</f>
        <v/>
      </c>
      <c r="AH1391" s="53">
        <f>IF(P1391="","",IF(AND(AD1391&lt;&gt;"",COUNTIFS(tcTipo,AD1391,tcLiq,"Sí")&gt;0),IF(OR(P1391="Gasto",P1391="Transferencia",P1391="Pago tarjeta"),-1,1)*S1391,0)+IF(AND(AE1391&lt;&gt;"",COUNTIFS(tcTipo,AE1391,tcLiq,"Sí")&gt;0),S1391,0))</f>
        <v/>
      </c>
      <c r="AI1391" s="52">
        <f>IF(OR(L1391="",P1391=""),"",IF(COUNTIFS(L$6:L1391,L1391,P$6:P1391,"?*")=1,MAX(AI$5:AI1390)+1,""))</f>
        <v/>
      </c>
    </row>
    <row r="1392">
      <c r="B1392" s="47" t="n"/>
      <c r="C1392" s="48" t="n"/>
      <c r="D1392" s="48" t="n"/>
      <c r="E1392" s="48" t="n"/>
      <c r="F1392" s="48" t="n"/>
      <c r="G1392" s="49" t="n"/>
      <c r="H1392" s="48" t="n"/>
      <c r="I1392" s="50" t="n"/>
      <c r="J1392" s="48" t="n"/>
      <c r="K1392" s="48" t="n"/>
      <c r="L1392" s="48" t="n"/>
      <c r="M1392" s="48" t="n"/>
      <c r="N1392" s="48" t="n"/>
      <c r="O1392" s="51">
        <f>IF(AND(B1392="",G1392="",C1392="",D1392="",J1392=""),"",IF(B1392="","⚠ Falta fecha",IF(G1392="","⚠ Falta monto",IF(Q1392="","⚠ Falta cuenta",IF(ISNA(MATCH(Q1392,ctaNombre,0)),"⚠ Cuenta no registrada",IF(AND(OR(P1392="Gasto",P1392="Reembolso"),D1392=""),"⚠ Falta categoría",IF(AND(D1392&lt;&gt;"",E1392&lt;&gt;"",ISNA(MATCH(D1392&amp;"|"&amp;E1392,catClave,0))),"⚠ Subcategoría no corresponde",IF(AND(OR(P1392="Transferencia",P1392="Pago tarjeta"),K1392=""),"⚠ Falta cuenta destino",IF(AND(K1392&lt;&gt;"",P1392&lt;&gt;"Transferencia",P1392&lt;&gt;"Pago tarjeta"),"⚠ Destino solo aplica a transferencias",IF(AND(K1392&lt;&gt;"",K1392=Q1392),"⚠ Origen igual a destino",IF(AND(K1392&lt;&gt;"",ISNA(MATCH(K1392,ctaNombre,0))),"⚠ Destino no registrado",IF(AND(P1392="Pago tarjeta",AE1392&lt;&gt;"Tarjeta de crédito"),"⚠ El destino debe ser tarjeta de crédito",IF(AND(P1392="Gasto",E1392="Depósitos y retiros"),"⚠ Usa tipo Transferencia",IF(AND(P1392="Resultado trading",AD1392&lt;&gt;"Cuenta de trading"),"⚠ Usa una cuenta de trading",IF(AND(G1392&lt;=0,P1392&lt;&gt;"Ajuste",P1392&lt;&gt;"Resultado trading"),"⚠ El monto debe ser positivo","✓")))))))))))))))</f>
        <v/>
      </c>
      <c r="P1392" s="52">
        <f>IF(OR(B1392="",G1392=""),"",IF(C1392="","Gasto",C1392))</f>
        <v/>
      </c>
      <c r="Q1392" s="52">
        <f>IF(P1392="","",IF(J1392&lt;&gt;"",J1392,CuentaPred&amp;""))</f>
        <v/>
      </c>
      <c r="R1392" s="52">
        <f>IF(P1392="","",IF(ISNUMBER(I1392),I1392,TasaUSD))</f>
        <v/>
      </c>
      <c r="S1392" s="53">
        <f>IF(P1392="","",IF(H1392="USD",G1392*R1392,G1392))</f>
        <v/>
      </c>
      <c r="T1392" s="53">
        <f>IF(P1392="","",IF(H1392="USD",G1392,IF(R1392&gt;0,G1392/R1392,0)))</f>
        <v/>
      </c>
      <c r="U1392" s="53">
        <f>IF(P1392="","",IF(P1392="Gasto",S1392,IF(P1392="Reembolso",-S1392,0)))</f>
        <v/>
      </c>
      <c r="V1392" s="53">
        <f>IF(P1392="","",IF(P1392="Ingreso",S1392,0))</f>
        <v/>
      </c>
      <c r="W1392" s="53">
        <f>IF(P1392="","",IF(P1392="Resultado trading",S1392,0))</f>
        <v/>
      </c>
      <c r="X1392" s="52">
        <f>IF(OR(P1392="Gasto",P1392="Reembolso"),IF(M1392&lt;&gt;"",M1392,IFERROR(INDEX(catClasif,MATCH(D1392&amp;"|"&amp;E1392,catClave,0))&amp;"","Variable")),"")</f>
        <v/>
      </c>
      <c r="Y1392" s="52">
        <f>IF(P1392="","",IFERROR(INDEX(catGrupo,MATCH(D1392&amp;"|"&amp;E1392,catClave,0))&amp;"",""))</f>
        <v/>
      </c>
      <c r="Z1392" s="52">
        <f>IF(P1392="","",WEEKDAY(B1392,2))</f>
        <v/>
      </c>
      <c r="AA1392" s="52">
        <f>IF(P1392="","",IF(AND(P1392="Gasto",X1392="Variable",D1392&lt;&gt;catTrading,S1392&gt;0,S1392&lt;=Umbral),1,0))</f>
        <v/>
      </c>
      <c r="AB1392" s="52">
        <f>IF(OR(P1392="",Q1392=""),"",IFERROR(IF(INDEX(ctaVinc,MATCH(Q1392,ctaNombre,0))&amp;""&lt;&gt;"",INDEX(ctaVinc,MATCH(Q1392,ctaNombre,0))&amp;"",Q1392),Q1392))</f>
        <v/>
      </c>
      <c r="AC1392" s="52">
        <f>IF(OR(K1392="",AND(P1392&lt;&gt;"Transferencia",P1392&lt;&gt;"Pago tarjeta")),"",IFERROR(IF(INDEX(ctaVinc,MATCH(K1392,ctaNombre,0))&amp;""&lt;&gt;"",INDEX(ctaVinc,MATCH(K1392,ctaNombre,0))&amp;"",K1392),K1392))</f>
        <v/>
      </c>
      <c r="AD1392" s="52">
        <f>IF(AB1392="","",IFERROR(INDEX(ctaTipo,MATCH(AB1392,ctaNombre,0))&amp;"",""))</f>
        <v/>
      </c>
      <c r="AE1392" s="52">
        <f>IF(AC1392="","",IFERROR(INDEX(ctaTipo,MATCH(AC1392,ctaNombre,0))&amp;"",""))</f>
        <v/>
      </c>
      <c r="AF1392" s="53">
        <f>IF(OR(P1392="",AB1392=""),"",IF(OR(P1392="Gasto",P1392="Transferencia",P1392="Pago tarjeta"),-1,1)*IF(IFERROR(INDEX(ctaMoneda,MATCH(AB1392,ctaNombre,0))&amp;"","DOP")="USD",T1392,S1392))</f>
        <v/>
      </c>
      <c r="AG1392" s="53">
        <f>IF(AC1392="","",IF(IFERROR(INDEX(ctaMoneda,MATCH(AC1392,ctaNombre,0))&amp;"","DOP")="USD",T1392,S1392))</f>
        <v/>
      </c>
      <c r="AH1392" s="53">
        <f>IF(P1392="","",IF(AND(AD1392&lt;&gt;"",COUNTIFS(tcTipo,AD1392,tcLiq,"Sí")&gt;0),IF(OR(P1392="Gasto",P1392="Transferencia",P1392="Pago tarjeta"),-1,1)*S1392,0)+IF(AND(AE1392&lt;&gt;"",COUNTIFS(tcTipo,AE1392,tcLiq,"Sí")&gt;0),S1392,0))</f>
        <v/>
      </c>
      <c r="AI1392" s="52">
        <f>IF(OR(L1392="",P1392=""),"",IF(COUNTIFS(L$6:L1392,L1392,P$6:P1392,"?*")=1,MAX(AI$5:AI1391)+1,""))</f>
        <v/>
      </c>
    </row>
    <row r="1393">
      <c r="B1393" s="47" t="n"/>
      <c r="C1393" s="48" t="n"/>
      <c r="D1393" s="48" t="n"/>
      <c r="E1393" s="48" t="n"/>
      <c r="F1393" s="48" t="n"/>
      <c r="G1393" s="49" t="n"/>
      <c r="H1393" s="48" t="n"/>
      <c r="I1393" s="50" t="n"/>
      <c r="J1393" s="48" t="n"/>
      <c r="K1393" s="48" t="n"/>
      <c r="L1393" s="48" t="n"/>
      <c r="M1393" s="48" t="n"/>
      <c r="N1393" s="48" t="n"/>
      <c r="O1393" s="51">
        <f>IF(AND(B1393="",G1393="",C1393="",D1393="",J1393=""),"",IF(B1393="","⚠ Falta fecha",IF(G1393="","⚠ Falta monto",IF(Q1393="","⚠ Falta cuenta",IF(ISNA(MATCH(Q1393,ctaNombre,0)),"⚠ Cuenta no registrada",IF(AND(OR(P1393="Gasto",P1393="Reembolso"),D1393=""),"⚠ Falta categoría",IF(AND(D1393&lt;&gt;"",E1393&lt;&gt;"",ISNA(MATCH(D1393&amp;"|"&amp;E1393,catClave,0))),"⚠ Subcategoría no corresponde",IF(AND(OR(P1393="Transferencia",P1393="Pago tarjeta"),K1393=""),"⚠ Falta cuenta destino",IF(AND(K1393&lt;&gt;"",P1393&lt;&gt;"Transferencia",P1393&lt;&gt;"Pago tarjeta"),"⚠ Destino solo aplica a transferencias",IF(AND(K1393&lt;&gt;"",K1393=Q1393),"⚠ Origen igual a destino",IF(AND(K1393&lt;&gt;"",ISNA(MATCH(K1393,ctaNombre,0))),"⚠ Destino no registrado",IF(AND(P1393="Pago tarjeta",AE1393&lt;&gt;"Tarjeta de crédito"),"⚠ El destino debe ser tarjeta de crédito",IF(AND(P1393="Gasto",E1393="Depósitos y retiros"),"⚠ Usa tipo Transferencia",IF(AND(P1393="Resultado trading",AD1393&lt;&gt;"Cuenta de trading"),"⚠ Usa una cuenta de trading",IF(AND(G1393&lt;=0,P1393&lt;&gt;"Ajuste",P1393&lt;&gt;"Resultado trading"),"⚠ El monto debe ser positivo","✓")))))))))))))))</f>
        <v/>
      </c>
      <c r="P1393" s="52">
        <f>IF(OR(B1393="",G1393=""),"",IF(C1393="","Gasto",C1393))</f>
        <v/>
      </c>
      <c r="Q1393" s="52">
        <f>IF(P1393="","",IF(J1393&lt;&gt;"",J1393,CuentaPred&amp;""))</f>
        <v/>
      </c>
      <c r="R1393" s="52">
        <f>IF(P1393="","",IF(ISNUMBER(I1393),I1393,TasaUSD))</f>
        <v/>
      </c>
      <c r="S1393" s="53">
        <f>IF(P1393="","",IF(H1393="USD",G1393*R1393,G1393))</f>
        <v/>
      </c>
      <c r="T1393" s="53">
        <f>IF(P1393="","",IF(H1393="USD",G1393,IF(R1393&gt;0,G1393/R1393,0)))</f>
        <v/>
      </c>
      <c r="U1393" s="53">
        <f>IF(P1393="","",IF(P1393="Gasto",S1393,IF(P1393="Reembolso",-S1393,0)))</f>
        <v/>
      </c>
      <c r="V1393" s="53">
        <f>IF(P1393="","",IF(P1393="Ingreso",S1393,0))</f>
        <v/>
      </c>
      <c r="W1393" s="53">
        <f>IF(P1393="","",IF(P1393="Resultado trading",S1393,0))</f>
        <v/>
      </c>
      <c r="X1393" s="52">
        <f>IF(OR(P1393="Gasto",P1393="Reembolso"),IF(M1393&lt;&gt;"",M1393,IFERROR(INDEX(catClasif,MATCH(D1393&amp;"|"&amp;E1393,catClave,0))&amp;"","Variable")),"")</f>
        <v/>
      </c>
      <c r="Y1393" s="52">
        <f>IF(P1393="","",IFERROR(INDEX(catGrupo,MATCH(D1393&amp;"|"&amp;E1393,catClave,0))&amp;"",""))</f>
        <v/>
      </c>
      <c r="Z1393" s="52">
        <f>IF(P1393="","",WEEKDAY(B1393,2))</f>
        <v/>
      </c>
      <c r="AA1393" s="52">
        <f>IF(P1393="","",IF(AND(P1393="Gasto",X1393="Variable",D1393&lt;&gt;catTrading,S1393&gt;0,S1393&lt;=Umbral),1,0))</f>
        <v/>
      </c>
      <c r="AB1393" s="52">
        <f>IF(OR(P1393="",Q1393=""),"",IFERROR(IF(INDEX(ctaVinc,MATCH(Q1393,ctaNombre,0))&amp;""&lt;&gt;"",INDEX(ctaVinc,MATCH(Q1393,ctaNombre,0))&amp;"",Q1393),Q1393))</f>
        <v/>
      </c>
      <c r="AC1393" s="52">
        <f>IF(OR(K1393="",AND(P1393&lt;&gt;"Transferencia",P1393&lt;&gt;"Pago tarjeta")),"",IFERROR(IF(INDEX(ctaVinc,MATCH(K1393,ctaNombre,0))&amp;""&lt;&gt;"",INDEX(ctaVinc,MATCH(K1393,ctaNombre,0))&amp;"",K1393),K1393))</f>
        <v/>
      </c>
      <c r="AD1393" s="52">
        <f>IF(AB1393="","",IFERROR(INDEX(ctaTipo,MATCH(AB1393,ctaNombre,0))&amp;"",""))</f>
        <v/>
      </c>
      <c r="AE1393" s="52">
        <f>IF(AC1393="","",IFERROR(INDEX(ctaTipo,MATCH(AC1393,ctaNombre,0))&amp;"",""))</f>
        <v/>
      </c>
      <c r="AF1393" s="53">
        <f>IF(OR(P1393="",AB1393=""),"",IF(OR(P1393="Gasto",P1393="Transferencia",P1393="Pago tarjeta"),-1,1)*IF(IFERROR(INDEX(ctaMoneda,MATCH(AB1393,ctaNombre,0))&amp;"","DOP")="USD",T1393,S1393))</f>
        <v/>
      </c>
      <c r="AG1393" s="53">
        <f>IF(AC1393="","",IF(IFERROR(INDEX(ctaMoneda,MATCH(AC1393,ctaNombre,0))&amp;"","DOP")="USD",T1393,S1393))</f>
        <v/>
      </c>
      <c r="AH1393" s="53">
        <f>IF(P1393="","",IF(AND(AD1393&lt;&gt;"",COUNTIFS(tcTipo,AD1393,tcLiq,"Sí")&gt;0),IF(OR(P1393="Gasto",P1393="Transferencia",P1393="Pago tarjeta"),-1,1)*S1393,0)+IF(AND(AE1393&lt;&gt;"",COUNTIFS(tcTipo,AE1393,tcLiq,"Sí")&gt;0),S1393,0))</f>
        <v/>
      </c>
      <c r="AI1393" s="52">
        <f>IF(OR(L1393="",P1393=""),"",IF(COUNTIFS(L$6:L1393,L1393,P$6:P1393,"?*")=1,MAX(AI$5:AI1392)+1,""))</f>
        <v/>
      </c>
    </row>
    <row r="1394">
      <c r="B1394" s="47" t="n"/>
      <c r="C1394" s="48" t="n"/>
      <c r="D1394" s="48" t="n"/>
      <c r="E1394" s="48" t="n"/>
      <c r="F1394" s="48" t="n"/>
      <c r="G1394" s="49" t="n"/>
      <c r="H1394" s="48" t="n"/>
      <c r="I1394" s="50" t="n"/>
      <c r="J1394" s="48" t="n"/>
      <c r="K1394" s="48" t="n"/>
      <c r="L1394" s="48" t="n"/>
      <c r="M1394" s="48" t="n"/>
      <c r="N1394" s="48" t="n"/>
      <c r="O1394" s="51">
        <f>IF(AND(B1394="",G1394="",C1394="",D1394="",J1394=""),"",IF(B1394="","⚠ Falta fecha",IF(G1394="","⚠ Falta monto",IF(Q1394="","⚠ Falta cuenta",IF(ISNA(MATCH(Q1394,ctaNombre,0)),"⚠ Cuenta no registrada",IF(AND(OR(P1394="Gasto",P1394="Reembolso"),D1394=""),"⚠ Falta categoría",IF(AND(D1394&lt;&gt;"",E1394&lt;&gt;"",ISNA(MATCH(D1394&amp;"|"&amp;E1394,catClave,0))),"⚠ Subcategoría no corresponde",IF(AND(OR(P1394="Transferencia",P1394="Pago tarjeta"),K1394=""),"⚠ Falta cuenta destino",IF(AND(K1394&lt;&gt;"",P1394&lt;&gt;"Transferencia",P1394&lt;&gt;"Pago tarjeta"),"⚠ Destino solo aplica a transferencias",IF(AND(K1394&lt;&gt;"",K1394=Q1394),"⚠ Origen igual a destino",IF(AND(K1394&lt;&gt;"",ISNA(MATCH(K1394,ctaNombre,0))),"⚠ Destino no registrado",IF(AND(P1394="Pago tarjeta",AE1394&lt;&gt;"Tarjeta de crédito"),"⚠ El destino debe ser tarjeta de crédito",IF(AND(P1394="Gasto",E1394="Depósitos y retiros"),"⚠ Usa tipo Transferencia",IF(AND(P1394="Resultado trading",AD1394&lt;&gt;"Cuenta de trading"),"⚠ Usa una cuenta de trading",IF(AND(G1394&lt;=0,P1394&lt;&gt;"Ajuste",P1394&lt;&gt;"Resultado trading"),"⚠ El monto debe ser positivo","✓")))))))))))))))</f>
        <v/>
      </c>
      <c r="P1394" s="52">
        <f>IF(OR(B1394="",G1394=""),"",IF(C1394="","Gasto",C1394))</f>
        <v/>
      </c>
      <c r="Q1394" s="52">
        <f>IF(P1394="","",IF(J1394&lt;&gt;"",J1394,CuentaPred&amp;""))</f>
        <v/>
      </c>
      <c r="R1394" s="52">
        <f>IF(P1394="","",IF(ISNUMBER(I1394),I1394,TasaUSD))</f>
        <v/>
      </c>
      <c r="S1394" s="53">
        <f>IF(P1394="","",IF(H1394="USD",G1394*R1394,G1394))</f>
        <v/>
      </c>
      <c r="T1394" s="53">
        <f>IF(P1394="","",IF(H1394="USD",G1394,IF(R1394&gt;0,G1394/R1394,0)))</f>
        <v/>
      </c>
      <c r="U1394" s="53">
        <f>IF(P1394="","",IF(P1394="Gasto",S1394,IF(P1394="Reembolso",-S1394,0)))</f>
        <v/>
      </c>
      <c r="V1394" s="53">
        <f>IF(P1394="","",IF(P1394="Ingreso",S1394,0))</f>
        <v/>
      </c>
      <c r="W1394" s="53">
        <f>IF(P1394="","",IF(P1394="Resultado trading",S1394,0))</f>
        <v/>
      </c>
      <c r="X1394" s="52">
        <f>IF(OR(P1394="Gasto",P1394="Reembolso"),IF(M1394&lt;&gt;"",M1394,IFERROR(INDEX(catClasif,MATCH(D1394&amp;"|"&amp;E1394,catClave,0))&amp;"","Variable")),"")</f>
        <v/>
      </c>
      <c r="Y1394" s="52">
        <f>IF(P1394="","",IFERROR(INDEX(catGrupo,MATCH(D1394&amp;"|"&amp;E1394,catClave,0))&amp;"",""))</f>
        <v/>
      </c>
      <c r="Z1394" s="52">
        <f>IF(P1394="","",WEEKDAY(B1394,2))</f>
        <v/>
      </c>
      <c r="AA1394" s="52">
        <f>IF(P1394="","",IF(AND(P1394="Gasto",X1394="Variable",D1394&lt;&gt;catTrading,S1394&gt;0,S1394&lt;=Umbral),1,0))</f>
        <v/>
      </c>
      <c r="AB1394" s="52">
        <f>IF(OR(P1394="",Q1394=""),"",IFERROR(IF(INDEX(ctaVinc,MATCH(Q1394,ctaNombre,0))&amp;""&lt;&gt;"",INDEX(ctaVinc,MATCH(Q1394,ctaNombre,0))&amp;"",Q1394),Q1394))</f>
        <v/>
      </c>
      <c r="AC1394" s="52">
        <f>IF(OR(K1394="",AND(P1394&lt;&gt;"Transferencia",P1394&lt;&gt;"Pago tarjeta")),"",IFERROR(IF(INDEX(ctaVinc,MATCH(K1394,ctaNombre,0))&amp;""&lt;&gt;"",INDEX(ctaVinc,MATCH(K1394,ctaNombre,0))&amp;"",K1394),K1394))</f>
        <v/>
      </c>
      <c r="AD1394" s="52">
        <f>IF(AB1394="","",IFERROR(INDEX(ctaTipo,MATCH(AB1394,ctaNombre,0))&amp;"",""))</f>
        <v/>
      </c>
      <c r="AE1394" s="52">
        <f>IF(AC1394="","",IFERROR(INDEX(ctaTipo,MATCH(AC1394,ctaNombre,0))&amp;"",""))</f>
        <v/>
      </c>
      <c r="AF1394" s="53">
        <f>IF(OR(P1394="",AB1394=""),"",IF(OR(P1394="Gasto",P1394="Transferencia",P1394="Pago tarjeta"),-1,1)*IF(IFERROR(INDEX(ctaMoneda,MATCH(AB1394,ctaNombre,0))&amp;"","DOP")="USD",T1394,S1394))</f>
        <v/>
      </c>
      <c r="AG1394" s="53">
        <f>IF(AC1394="","",IF(IFERROR(INDEX(ctaMoneda,MATCH(AC1394,ctaNombre,0))&amp;"","DOP")="USD",T1394,S1394))</f>
        <v/>
      </c>
      <c r="AH1394" s="53">
        <f>IF(P1394="","",IF(AND(AD1394&lt;&gt;"",COUNTIFS(tcTipo,AD1394,tcLiq,"Sí")&gt;0),IF(OR(P1394="Gasto",P1394="Transferencia",P1394="Pago tarjeta"),-1,1)*S1394,0)+IF(AND(AE1394&lt;&gt;"",COUNTIFS(tcTipo,AE1394,tcLiq,"Sí")&gt;0),S1394,0))</f>
        <v/>
      </c>
      <c r="AI1394" s="52">
        <f>IF(OR(L1394="",P1394=""),"",IF(COUNTIFS(L$6:L1394,L1394,P$6:P1394,"?*")=1,MAX(AI$5:AI1393)+1,""))</f>
        <v/>
      </c>
    </row>
    <row r="1395">
      <c r="B1395" s="47" t="n"/>
      <c r="C1395" s="48" t="n"/>
      <c r="D1395" s="48" t="n"/>
      <c r="E1395" s="48" t="n"/>
      <c r="F1395" s="48" t="n"/>
      <c r="G1395" s="49" t="n"/>
      <c r="H1395" s="48" t="n"/>
      <c r="I1395" s="50" t="n"/>
      <c r="J1395" s="48" t="n"/>
      <c r="K1395" s="48" t="n"/>
      <c r="L1395" s="48" t="n"/>
      <c r="M1395" s="48" t="n"/>
      <c r="N1395" s="48" t="n"/>
      <c r="O1395" s="51">
        <f>IF(AND(B1395="",G1395="",C1395="",D1395="",J1395=""),"",IF(B1395="","⚠ Falta fecha",IF(G1395="","⚠ Falta monto",IF(Q1395="","⚠ Falta cuenta",IF(ISNA(MATCH(Q1395,ctaNombre,0)),"⚠ Cuenta no registrada",IF(AND(OR(P1395="Gasto",P1395="Reembolso"),D1395=""),"⚠ Falta categoría",IF(AND(D1395&lt;&gt;"",E1395&lt;&gt;"",ISNA(MATCH(D1395&amp;"|"&amp;E1395,catClave,0))),"⚠ Subcategoría no corresponde",IF(AND(OR(P1395="Transferencia",P1395="Pago tarjeta"),K1395=""),"⚠ Falta cuenta destino",IF(AND(K1395&lt;&gt;"",P1395&lt;&gt;"Transferencia",P1395&lt;&gt;"Pago tarjeta"),"⚠ Destino solo aplica a transferencias",IF(AND(K1395&lt;&gt;"",K1395=Q1395),"⚠ Origen igual a destino",IF(AND(K1395&lt;&gt;"",ISNA(MATCH(K1395,ctaNombre,0))),"⚠ Destino no registrado",IF(AND(P1395="Pago tarjeta",AE1395&lt;&gt;"Tarjeta de crédito"),"⚠ El destino debe ser tarjeta de crédito",IF(AND(P1395="Gasto",E1395="Depósitos y retiros"),"⚠ Usa tipo Transferencia",IF(AND(P1395="Resultado trading",AD1395&lt;&gt;"Cuenta de trading"),"⚠ Usa una cuenta de trading",IF(AND(G1395&lt;=0,P1395&lt;&gt;"Ajuste",P1395&lt;&gt;"Resultado trading"),"⚠ El monto debe ser positivo","✓")))))))))))))))</f>
        <v/>
      </c>
      <c r="P1395" s="52">
        <f>IF(OR(B1395="",G1395=""),"",IF(C1395="","Gasto",C1395))</f>
        <v/>
      </c>
      <c r="Q1395" s="52">
        <f>IF(P1395="","",IF(J1395&lt;&gt;"",J1395,CuentaPred&amp;""))</f>
        <v/>
      </c>
      <c r="R1395" s="52">
        <f>IF(P1395="","",IF(ISNUMBER(I1395),I1395,TasaUSD))</f>
        <v/>
      </c>
      <c r="S1395" s="53">
        <f>IF(P1395="","",IF(H1395="USD",G1395*R1395,G1395))</f>
        <v/>
      </c>
      <c r="T1395" s="53">
        <f>IF(P1395="","",IF(H1395="USD",G1395,IF(R1395&gt;0,G1395/R1395,0)))</f>
        <v/>
      </c>
      <c r="U1395" s="53">
        <f>IF(P1395="","",IF(P1395="Gasto",S1395,IF(P1395="Reembolso",-S1395,0)))</f>
        <v/>
      </c>
      <c r="V1395" s="53">
        <f>IF(P1395="","",IF(P1395="Ingreso",S1395,0))</f>
        <v/>
      </c>
      <c r="W1395" s="53">
        <f>IF(P1395="","",IF(P1395="Resultado trading",S1395,0))</f>
        <v/>
      </c>
      <c r="X1395" s="52">
        <f>IF(OR(P1395="Gasto",P1395="Reembolso"),IF(M1395&lt;&gt;"",M1395,IFERROR(INDEX(catClasif,MATCH(D1395&amp;"|"&amp;E1395,catClave,0))&amp;"","Variable")),"")</f>
        <v/>
      </c>
      <c r="Y1395" s="52">
        <f>IF(P1395="","",IFERROR(INDEX(catGrupo,MATCH(D1395&amp;"|"&amp;E1395,catClave,0))&amp;"",""))</f>
        <v/>
      </c>
      <c r="Z1395" s="52">
        <f>IF(P1395="","",WEEKDAY(B1395,2))</f>
        <v/>
      </c>
      <c r="AA1395" s="52">
        <f>IF(P1395="","",IF(AND(P1395="Gasto",X1395="Variable",D1395&lt;&gt;catTrading,S1395&gt;0,S1395&lt;=Umbral),1,0))</f>
        <v/>
      </c>
      <c r="AB1395" s="52">
        <f>IF(OR(P1395="",Q1395=""),"",IFERROR(IF(INDEX(ctaVinc,MATCH(Q1395,ctaNombre,0))&amp;""&lt;&gt;"",INDEX(ctaVinc,MATCH(Q1395,ctaNombre,0))&amp;"",Q1395),Q1395))</f>
        <v/>
      </c>
      <c r="AC1395" s="52">
        <f>IF(OR(K1395="",AND(P1395&lt;&gt;"Transferencia",P1395&lt;&gt;"Pago tarjeta")),"",IFERROR(IF(INDEX(ctaVinc,MATCH(K1395,ctaNombre,0))&amp;""&lt;&gt;"",INDEX(ctaVinc,MATCH(K1395,ctaNombre,0))&amp;"",K1395),K1395))</f>
        <v/>
      </c>
      <c r="AD1395" s="52">
        <f>IF(AB1395="","",IFERROR(INDEX(ctaTipo,MATCH(AB1395,ctaNombre,0))&amp;"",""))</f>
        <v/>
      </c>
      <c r="AE1395" s="52">
        <f>IF(AC1395="","",IFERROR(INDEX(ctaTipo,MATCH(AC1395,ctaNombre,0))&amp;"",""))</f>
        <v/>
      </c>
      <c r="AF1395" s="53">
        <f>IF(OR(P1395="",AB1395=""),"",IF(OR(P1395="Gasto",P1395="Transferencia",P1395="Pago tarjeta"),-1,1)*IF(IFERROR(INDEX(ctaMoneda,MATCH(AB1395,ctaNombre,0))&amp;"","DOP")="USD",T1395,S1395))</f>
        <v/>
      </c>
      <c r="AG1395" s="53">
        <f>IF(AC1395="","",IF(IFERROR(INDEX(ctaMoneda,MATCH(AC1395,ctaNombre,0))&amp;"","DOP")="USD",T1395,S1395))</f>
        <v/>
      </c>
      <c r="AH1395" s="53">
        <f>IF(P1395="","",IF(AND(AD1395&lt;&gt;"",COUNTIFS(tcTipo,AD1395,tcLiq,"Sí")&gt;0),IF(OR(P1395="Gasto",P1395="Transferencia",P1395="Pago tarjeta"),-1,1)*S1395,0)+IF(AND(AE1395&lt;&gt;"",COUNTIFS(tcTipo,AE1395,tcLiq,"Sí")&gt;0),S1395,0))</f>
        <v/>
      </c>
      <c r="AI1395" s="52">
        <f>IF(OR(L1395="",P1395=""),"",IF(COUNTIFS(L$6:L1395,L1395,P$6:P1395,"?*")=1,MAX(AI$5:AI1394)+1,""))</f>
        <v/>
      </c>
    </row>
    <row r="1396">
      <c r="B1396" s="47" t="n"/>
      <c r="C1396" s="48" t="n"/>
      <c r="D1396" s="48" t="n"/>
      <c r="E1396" s="48" t="n"/>
      <c r="F1396" s="48" t="n"/>
      <c r="G1396" s="49" t="n"/>
      <c r="H1396" s="48" t="n"/>
      <c r="I1396" s="50" t="n"/>
      <c r="J1396" s="48" t="n"/>
      <c r="K1396" s="48" t="n"/>
      <c r="L1396" s="48" t="n"/>
      <c r="M1396" s="48" t="n"/>
      <c r="N1396" s="48" t="n"/>
      <c r="O1396" s="51">
        <f>IF(AND(B1396="",G1396="",C1396="",D1396="",J1396=""),"",IF(B1396="","⚠ Falta fecha",IF(G1396="","⚠ Falta monto",IF(Q1396="","⚠ Falta cuenta",IF(ISNA(MATCH(Q1396,ctaNombre,0)),"⚠ Cuenta no registrada",IF(AND(OR(P1396="Gasto",P1396="Reembolso"),D1396=""),"⚠ Falta categoría",IF(AND(D1396&lt;&gt;"",E1396&lt;&gt;"",ISNA(MATCH(D1396&amp;"|"&amp;E1396,catClave,0))),"⚠ Subcategoría no corresponde",IF(AND(OR(P1396="Transferencia",P1396="Pago tarjeta"),K1396=""),"⚠ Falta cuenta destino",IF(AND(K1396&lt;&gt;"",P1396&lt;&gt;"Transferencia",P1396&lt;&gt;"Pago tarjeta"),"⚠ Destino solo aplica a transferencias",IF(AND(K1396&lt;&gt;"",K1396=Q1396),"⚠ Origen igual a destino",IF(AND(K1396&lt;&gt;"",ISNA(MATCH(K1396,ctaNombre,0))),"⚠ Destino no registrado",IF(AND(P1396="Pago tarjeta",AE1396&lt;&gt;"Tarjeta de crédito"),"⚠ El destino debe ser tarjeta de crédito",IF(AND(P1396="Gasto",E1396="Depósitos y retiros"),"⚠ Usa tipo Transferencia",IF(AND(P1396="Resultado trading",AD1396&lt;&gt;"Cuenta de trading"),"⚠ Usa una cuenta de trading",IF(AND(G1396&lt;=0,P1396&lt;&gt;"Ajuste",P1396&lt;&gt;"Resultado trading"),"⚠ El monto debe ser positivo","✓")))))))))))))))</f>
        <v/>
      </c>
      <c r="P1396" s="52">
        <f>IF(OR(B1396="",G1396=""),"",IF(C1396="","Gasto",C1396))</f>
        <v/>
      </c>
      <c r="Q1396" s="52">
        <f>IF(P1396="","",IF(J1396&lt;&gt;"",J1396,CuentaPred&amp;""))</f>
        <v/>
      </c>
      <c r="R1396" s="52">
        <f>IF(P1396="","",IF(ISNUMBER(I1396),I1396,TasaUSD))</f>
        <v/>
      </c>
      <c r="S1396" s="53">
        <f>IF(P1396="","",IF(H1396="USD",G1396*R1396,G1396))</f>
        <v/>
      </c>
      <c r="T1396" s="53">
        <f>IF(P1396="","",IF(H1396="USD",G1396,IF(R1396&gt;0,G1396/R1396,0)))</f>
        <v/>
      </c>
      <c r="U1396" s="53">
        <f>IF(P1396="","",IF(P1396="Gasto",S1396,IF(P1396="Reembolso",-S1396,0)))</f>
        <v/>
      </c>
      <c r="V1396" s="53">
        <f>IF(P1396="","",IF(P1396="Ingreso",S1396,0))</f>
        <v/>
      </c>
      <c r="W1396" s="53">
        <f>IF(P1396="","",IF(P1396="Resultado trading",S1396,0))</f>
        <v/>
      </c>
      <c r="X1396" s="52">
        <f>IF(OR(P1396="Gasto",P1396="Reembolso"),IF(M1396&lt;&gt;"",M1396,IFERROR(INDEX(catClasif,MATCH(D1396&amp;"|"&amp;E1396,catClave,0))&amp;"","Variable")),"")</f>
        <v/>
      </c>
      <c r="Y1396" s="52">
        <f>IF(P1396="","",IFERROR(INDEX(catGrupo,MATCH(D1396&amp;"|"&amp;E1396,catClave,0))&amp;"",""))</f>
        <v/>
      </c>
      <c r="Z1396" s="52">
        <f>IF(P1396="","",WEEKDAY(B1396,2))</f>
        <v/>
      </c>
      <c r="AA1396" s="52">
        <f>IF(P1396="","",IF(AND(P1396="Gasto",X1396="Variable",D1396&lt;&gt;catTrading,S1396&gt;0,S1396&lt;=Umbral),1,0))</f>
        <v/>
      </c>
      <c r="AB1396" s="52">
        <f>IF(OR(P1396="",Q1396=""),"",IFERROR(IF(INDEX(ctaVinc,MATCH(Q1396,ctaNombre,0))&amp;""&lt;&gt;"",INDEX(ctaVinc,MATCH(Q1396,ctaNombre,0))&amp;"",Q1396),Q1396))</f>
        <v/>
      </c>
      <c r="AC1396" s="52">
        <f>IF(OR(K1396="",AND(P1396&lt;&gt;"Transferencia",P1396&lt;&gt;"Pago tarjeta")),"",IFERROR(IF(INDEX(ctaVinc,MATCH(K1396,ctaNombre,0))&amp;""&lt;&gt;"",INDEX(ctaVinc,MATCH(K1396,ctaNombre,0))&amp;"",K1396),K1396))</f>
        <v/>
      </c>
      <c r="AD1396" s="52">
        <f>IF(AB1396="","",IFERROR(INDEX(ctaTipo,MATCH(AB1396,ctaNombre,0))&amp;"",""))</f>
        <v/>
      </c>
      <c r="AE1396" s="52">
        <f>IF(AC1396="","",IFERROR(INDEX(ctaTipo,MATCH(AC1396,ctaNombre,0))&amp;"",""))</f>
        <v/>
      </c>
      <c r="AF1396" s="53">
        <f>IF(OR(P1396="",AB1396=""),"",IF(OR(P1396="Gasto",P1396="Transferencia",P1396="Pago tarjeta"),-1,1)*IF(IFERROR(INDEX(ctaMoneda,MATCH(AB1396,ctaNombre,0))&amp;"","DOP")="USD",T1396,S1396))</f>
        <v/>
      </c>
      <c r="AG1396" s="53">
        <f>IF(AC1396="","",IF(IFERROR(INDEX(ctaMoneda,MATCH(AC1396,ctaNombre,0))&amp;"","DOP")="USD",T1396,S1396))</f>
        <v/>
      </c>
      <c r="AH1396" s="53">
        <f>IF(P1396="","",IF(AND(AD1396&lt;&gt;"",COUNTIFS(tcTipo,AD1396,tcLiq,"Sí")&gt;0),IF(OR(P1396="Gasto",P1396="Transferencia",P1396="Pago tarjeta"),-1,1)*S1396,0)+IF(AND(AE1396&lt;&gt;"",COUNTIFS(tcTipo,AE1396,tcLiq,"Sí")&gt;0),S1396,0))</f>
        <v/>
      </c>
      <c r="AI1396" s="52">
        <f>IF(OR(L1396="",P1396=""),"",IF(COUNTIFS(L$6:L1396,L1396,P$6:P1396,"?*")=1,MAX(AI$5:AI1395)+1,""))</f>
        <v/>
      </c>
    </row>
    <row r="1397">
      <c r="B1397" s="47" t="n"/>
      <c r="C1397" s="48" t="n"/>
      <c r="D1397" s="48" t="n"/>
      <c r="E1397" s="48" t="n"/>
      <c r="F1397" s="48" t="n"/>
      <c r="G1397" s="49" t="n"/>
      <c r="H1397" s="48" t="n"/>
      <c r="I1397" s="50" t="n"/>
      <c r="J1397" s="48" t="n"/>
      <c r="K1397" s="48" t="n"/>
      <c r="L1397" s="48" t="n"/>
      <c r="M1397" s="48" t="n"/>
      <c r="N1397" s="48" t="n"/>
      <c r="O1397" s="51">
        <f>IF(AND(B1397="",G1397="",C1397="",D1397="",J1397=""),"",IF(B1397="","⚠ Falta fecha",IF(G1397="","⚠ Falta monto",IF(Q1397="","⚠ Falta cuenta",IF(ISNA(MATCH(Q1397,ctaNombre,0)),"⚠ Cuenta no registrada",IF(AND(OR(P1397="Gasto",P1397="Reembolso"),D1397=""),"⚠ Falta categoría",IF(AND(D1397&lt;&gt;"",E1397&lt;&gt;"",ISNA(MATCH(D1397&amp;"|"&amp;E1397,catClave,0))),"⚠ Subcategoría no corresponde",IF(AND(OR(P1397="Transferencia",P1397="Pago tarjeta"),K1397=""),"⚠ Falta cuenta destino",IF(AND(K1397&lt;&gt;"",P1397&lt;&gt;"Transferencia",P1397&lt;&gt;"Pago tarjeta"),"⚠ Destino solo aplica a transferencias",IF(AND(K1397&lt;&gt;"",K1397=Q1397),"⚠ Origen igual a destino",IF(AND(K1397&lt;&gt;"",ISNA(MATCH(K1397,ctaNombre,0))),"⚠ Destino no registrado",IF(AND(P1397="Pago tarjeta",AE1397&lt;&gt;"Tarjeta de crédito"),"⚠ El destino debe ser tarjeta de crédito",IF(AND(P1397="Gasto",E1397="Depósitos y retiros"),"⚠ Usa tipo Transferencia",IF(AND(P1397="Resultado trading",AD1397&lt;&gt;"Cuenta de trading"),"⚠ Usa una cuenta de trading",IF(AND(G1397&lt;=0,P1397&lt;&gt;"Ajuste",P1397&lt;&gt;"Resultado trading"),"⚠ El monto debe ser positivo","✓")))))))))))))))</f>
        <v/>
      </c>
      <c r="P1397" s="52">
        <f>IF(OR(B1397="",G1397=""),"",IF(C1397="","Gasto",C1397))</f>
        <v/>
      </c>
      <c r="Q1397" s="52">
        <f>IF(P1397="","",IF(J1397&lt;&gt;"",J1397,CuentaPred&amp;""))</f>
        <v/>
      </c>
      <c r="R1397" s="52">
        <f>IF(P1397="","",IF(ISNUMBER(I1397),I1397,TasaUSD))</f>
        <v/>
      </c>
      <c r="S1397" s="53">
        <f>IF(P1397="","",IF(H1397="USD",G1397*R1397,G1397))</f>
        <v/>
      </c>
      <c r="T1397" s="53">
        <f>IF(P1397="","",IF(H1397="USD",G1397,IF(R1397&gt;0,G1397/R1397,0)))</f>
        <v/>
      </c>
      <c r="U1397" s="53">
        <f>IF(P1397="","",IF(P1397="Gasto",S1397,IF(P1397="Reembolso",-S1397,0)))</f>
        <v/>
      </c>
      <c r="V1397" s="53">
        <f>IF(P1397="","",IF(P1397="Ingreso",S1397,0))</f>
        <v/>
      </c>
      <c r="W1397" s="53">
        <f>IF(P1397="","",IF(P1397="Resultado trading",S1397,0))</f>
        <v/>
      </c>
      <c r="X1397" s="52">
        <f>IF(OR(P1397="Gasto",P1397="Reembolso"),IF(M1397&lt;&gt;"",M1397,IFERROR(INDEX(catClasif,MATCH(D1397&amp;"|"&amp;E1397,catClave,0))&amp;"","Variable")),"")</f>
        <v/>
      </c>
      <c r="Y1397" s="52">
        <f>IF(P1397="","",IFERROR(INDEX(catGrupo,MATCH(D1397&amp;"|"&amp;E1397,catClave,0))&amp;"",""))</f>
        <v/>
      </c>
      <c r="Z1397" s="52">
        <f>IF(P1397="","",WEEKDAY(B1397,2))</f>
        <v/>
      </c>
      <c r="AA1397" s="52">
        <f>IF(P1397="","",IF(AND(P1397="Gasto",X1397="Variable",D1397&lt;&gt;catTrading,S1397&gt;0,S1397&lt;=Umbral),1,0))</f>
        <v/>
      </c>
      <c r="AB1397" s="52">
        <f>IF(OR(P1397="",Q1397=""),"",IFERROR(IF(INDEX(ctaVinc,MATCH(Q1397,ctaNombre,0))&amp;""&lt;&gt;"",INDEX(ctaVinc,MATCH(Q1397,ctaNombre,0))&amp;"",Q1397),Q1397))</f>
        <v/>
      </c>
      <c r="AC1397" s="52">
        <f>IF(OR(K1397="",AND(P1397&lt;&gt;"Transferencia",P1397&lt;&gt;"Pago tarjeta")),"",IFERROR(IF(INDEX(ctaVinc,MATCH(K1397,ctaNombre,0))&amp;""&lt;&gt;"",INDEX(ctaVinc,MATCH(K1397,ctaNombre,0))&amp;"",K1397),K1397))</f>
        <v/>
      </c>
      <c r="AD1397" s="52">
        <f>IF(AB1397="","",IFERROR(INDEX(ctaTipo,MATCH(AB1397,ctaNombre,0))&amp;"",""))</f>
        <v/>
      </c>
      <c r="AE1397" s="52">
        <f>IF(AC1397="","",IFERROR(INDEX(ctaTipo,MATCH(AC1397,ctaNombre,0))&amp;"",""))</f>
        <v/>
      </c>
      <c r="AF1397" s="53">
        <f>IF(OR(P1397="",AB1397=""),"",IF(OR(P1397="Gasto",P1397="Transferencia",P1397="Pago tarjeta"),-1,1)*IF(IFERROR(INDEX(ctaMoneda,MATCH(AB1397,ctaNombre,0))&amp;"","DOP")="USD",T1397,S1397))</f>
        <v/>
      </c>
      <c r="AG1397" s="53">
        <f>IF(AC1397="","",IF(IFERROR(INDEX(ctaMoneda,MATCH(AC1397,ctaNombre,0))&amp;"","DOP")="USD",T1397,S1397))</f>
        <v/>
      </c>
      <c r="AH1397" s="53">
        <f>IF(P1397="","",IF(AND(AD1397&lt;&gt;"",COUNTIFS(tcTipo,AD1397,tcLiq,"Sí")&gt;0),IF(OR(P1397="Gasto",P1397="Transferencia",P1397="Pago tarjeta"),-1,1)*S1397,0)+IF(AND(AE1397&lt;&gt;"",COUNTIFS(tcTipo,AE1397,tcLiq,"Sí")&gt;0),S1397,0))</f>
        <v/>
      </c>
      <c r="AI1397" s="52">
        <f>IF(OR(L1397="",P1397=""),"",IF(COUNTIFS(L$6:L1397,L1397,P$6:P1397,"?*")=1,MAX(AI$5:AI1396)+1,""))</f>
        <v/>
      </c>
    </row>
    <row r="1398">
      <c r="B1398" s="47" t="n"/>
      <c r="C1398" s="48" t="n"/>
      <c r="D1398" s="48" t="n"/>
      <c r="E1398" s="48" t="n"/>
      <c r="F1398" s="48" t="n"/>
      <c r="G1398" s="49" t="n"/>
      <c r="H1398" s="48" t="n"/>
      <c r="I1398" s="50" t="n"/>
      <c r="J1398" s="48" t="n"/>
      <c r="K1398" s="48" t="n"/>
      <c r="L1398" s="48" t="n"/>
      <c r="M1398" s="48" t="n"/>
      <c r="N1398" s="48" t="n"/>
      <c r="O1398" s="51">
        <f>IF(AND(B1398="",G1398="",C1398="",D1398="",J1398=""),"",IF(B1398="","⚠ Falta fecha",IF(G1398="","⚠ Falta monto",IF(Q1398="","⚠ Falta cuenta",IF(ISNA(MATCH(Q1398,ctaNombre,0)),"⚠ Cuenta no registrada",IF(AND(OR(P1398="Gasto",P1398="Reembolso"),D1398=""),"⚠ Falta categoría",IF(AND(D1398&lt;&gt;"",E1398&lt;&gt;"",ISNA(MATCH(D1398&amp;"|"&amp;E1398,catClave,0))),"⚠ Subcategoría no corresponde",IF(AND(OR(P1398="Transferencia",P1398="Pago tarjeta"),K1398=""),"⚠ Falta cuenta destino",IF(AND(K1398&lt;&gt;"",P1398&lt;&gt;"Transferencia",P1398&lt;&gt;"Pago tarjeta"),"⚠ Destino solo aplica a transferencias",IF(AND(K1398&lt;&gt;"",K1398=Q1398),"⚠ Origen igual a destino",IF(AND(K1398&lt;&gt;"",ISNA(MATCH(K1398,ctaNombre,0))),"⚠ Destino no registrado",IF(AND(P1398="Pago tarjeta",AE1398&lt;&gt;"Tarjeta de crédito"),"⚠ El destino debe ser tarjeta de crédito",IF(AND(P1398="Gasto",E1398="Depósitos y retiros"),"⚠ Usa tipo Transferencia",IF(AND(P1398="Resultado trading",AD1398&lt;&gt;"Cuenta de trading"),"⚠ Usa una cuenta de trading",IF(AND(G1398&lt;=0,P1398&lt;&gt;"Ajuste",P1398&lt;&gt;"Resultado trading"),"⚠ El monto debe ser positivo","✓")))))))))))))))</f>
        <v/>
      </c>
      <c r="P1398" s="52">
        <f>IF(OR(B1398="",G1398=""),"",IF(C1398="","Gasto",C1398))</f>
        <v/>
      </c>
      <c r="Q1398" s="52">
        <f>IF(P1398="","",IF(J1398&lt;&gt;"",J1398,CuentaPred&amp;""))</f>
        <v/>
      </c>
      <c r="R1398" s="52">
        <f>IF(P1398="","",IF(ISNUMBER(I1398),I1398,TasaUSD))</f>
        <v/>
      </c>
      <c r="S1398" s="53">
        <f>IF(P1398="","",IF(H1398="USD",G1398*R1398,G1398))</f>
        <v/>
      </c>
      <c r="T1398" s="53">
        <f>IF(P1398="","",IF(H1398="USD",G1398,IF(R1398&gt;0,G1398/R1398,0)))</f>
        <v/>
      </c>
      <c r="U1398" s="53">
        <f>IF(P1398="","",IF(P1398="Gasto",S1398,IF(P1398="Reembolso",-S1398,0)))</f>
        <v/>
      </c>
      <c r="V1398" s="53">
        <f>IF(P1398="","",IF(P1398="Ingreso",S1398,0))</f>
        <v/>
      </c>
      <c r="W1398" s="53">
        <f>IF(P1398="","",IF(P1398="Resultado trading",S1398,0))</f>
        <v/>
      </c>
      <c r="X1398" s="52">
        <f>IF(OR(P1398="Gasto",P1398="Reembolso"),IF(M1398&lt;&gt;"",M1398,IFERROR(INDEX(catClasif,MATCH(D1398&amp;"|"&amp;E1398,catClave,0))&amp;"","Variable")),"")</f>
        <v/>
      </c>
      <c r="Y1398" s="52">
        <f>IF(P1398="","",IFERROR(INDEX(catGrupo,MATCH(D1398&amp;"|"&amp;E1398,catClave,0))&amp;"",""))</f>
        <v/>
      </c>
      <c r="Z1398" s="52">
        <f>IF(P1398="","",WEEKDAY(B1398,2))</f>
        <v/>
      </c>
      <c r="AA1398" s="52">
        <f>IF(P1398="","",IF(AND(P1398="Gasto",X1398="Variable",D1398&lt;&gt;catTrading,S1398&gt;0,S1398&lt;=Umbral),1,0))</f>
        <v/>
      </c>
      <c r="AB1398" s="52">
        <f>IF(OR(P1398="",Q1398=""),"",IFERROR(IF(INDEX(ctaVinc,MATCH(Q1398,ctaNombre,0))&amp;""&lt;&gt;"",INDEX(ctaVinc,MATCH(Q1398,ctaNombre,0))&amp;"",Q1398),Q1398))</f>
        <v/>
      </c>
      <c r="AC1398" s="52">
        <f>IF(OR(K1398="",AND(P1398&lt;&gt;"Transferencia",P1398&lt;&gt;"Pago tarjeta")),"",IFERROR(IF(INDEX(ctaVinc,MATCH(K1398,ctaNombre,0))&amp;""&lt;&gt;"",INDEX(ctaVinc,MATCH(K1398,ctaNombre,0))&amp;"",K1398),K1398))</f>
        <v/>
      </c>
      <c r="AD1398" s="52">
        <f>IF(AB1398="","",IFERROR(INDEX(ctaTipo,MATCH(AB1398,ctaNombre,0))&amp;"",""))</f>
        <v/>
      </c>
      <c r="AE1398" s="52">
        <f>IF(AC1398="","",IFERROR(INDEX(ctaTipo,MATCH(AC1398,ctaNombre,0))&amp;"",""))</f>
        <v/>
      </c>
      <c r="AF1398" s="53">
        <f>IF(OR(P1398="",AB1398=""),"",IF(OR(P1398="Gasto",P1398="Transferencia",P1398="Pago tarjeta"),-1,1)*IF(IFERROR(INDEX(ctaMoneda,MATCH(AB1398,ctaNombre,0))&amp;"","DOP")="USD",T1398,S1398))</f>
        <v/>
      </c>
      <c r="AG1398" s="53">
        <f>IF(AC1398="","",IF(IFERROR(INDEX(ctaMoneda,MATCH(AC1398,ctaNombre,0))&amp;"","DOP")="USD",T1398,S1398))</f>
        <v/>
      </c>
      <c r="AH1398" s="53">
        <f>IF(P1398="","",IF(AND(AD1398&lt;&gt;"",COUNTIFS(tcTipo,AD1398,tcLiq,"Sí")&gt;0),IF(OR(P1398="Gasto",P1398="Transferencia",P1398="Pago tarjeta"),-1,1)*S1398,0)+IF(AND(AE1398&lt;&gt;"",COUNTIFS(tcTipo,AE1398,tcLiq,"Sí")&gt;0),S1398,0))</f>
        <v/>
      </c>
      <c r="AI1398" s="52">
        <f>IF(OR(L1398="",P1398=""),"",IF(COUNTIFS(L$6:L1398,L1398,P$6:P1398,"?*")=1,MAX(AI$5:AI1397)+1,""))</f>
        <v/>
      </c>
    </row>
    <row r="1399">
      <c r="B1399" s="47" t="n"/>
      <c r="C1399" s="48" t="n"/>
      <c r="D1399" s="48" t="n"/>
      <c r="E1399" s="48" t="n"/>
      <c r="F1399" s="48" t="n"/>
      <c r="G1399" s="49" t="n"/>
      <c r="H1399" s="48" t="n"/>
      <c r="I1399" s="50" t="n"/>
      <c r="J1399" s="48" t="n"/>
      <c r="K1399" s="48" t="n"/>
      <c r="L1399" s="48" t="n"/>
      <c r="M1399" s="48" t="n"/>
      <c r="N1399" s="48" t="n"/>
      <c r="O1399" s="51">
        <f>IF(AND(B1399="",G1399="",C1399="",D1399="",J1399=""),"",IF(B1399="","⚠ Falta fecha",IF(G1399="","⚠ Falta monto",IF(Q1399="","⚠ Falta cuenta",IF(ISNA(MATCH(Q1399,ctaNombre,0)),"⚠ Cuenta no registrada",IF(AND(OR(P1399="Gasto",P1399="Reembolso"),D1399=""),"⚠ Falta categoría",IF(AND(D1399&lt;&gt;"",E1399&lt;&gt;"",ISNA(MATCH(D1399&amp;"|"&amp;E1399,catClave,0))),"⚠ Subcategoría no corresponde",IF(AND(OR(P1399="Transferencia",P1399="Pago tarjeta"),K1399=""),"⚠ Falta cuenta destino",IF(AND(K1399&lt;&gt;"",P1399&lt;&gt;"Transferencia",P1399&lt;&gt;"Pago tarjeta"),"⚠ Destino solo aplica a transferencias",IF(AND(K1399&lt;&gt;"",K1399=Q1399),"⚠ Origen igual a destino",IF(AND(K1399&lt;&gt;"",ISNA(MATCH(K1399,ctaNombre,0))),"⚠ Destino no registrado",IF(AND(P1399="Pago tarjeta",AE1399&lt;&gt;"Tarjeta de crédito"),"⚠ El destino debe ser tarjeta de crédito",IF(AND(P1399="Gasto",E1399="Depósitos y retiros"),"⚠ Usa tipo Transferencia",IF(AND(P1399="Resultado trading",AD1399&lt;&gt;"Cuenta de trading"),"⚠ Usa una cuenta de trading",IF(AND(G1399&lt;=0,P1399&lt;&gt;"Ajuste",P1399&lt;&gt;"Resultado trading"),"⚠ El monto debe ser positivo","✓")))))))))))))))</f>
        <v/>
      </c>
      <c r="P1399" s="52">
        <f>IF(OR(B1399="",G1399=""),"",IF(C1399="","Gasto",C1399))</f>
        <v/>
      </c>
      <c r="Q1399" s="52">
        <f>IF(P1399="","",IF(J1399&lt;&gt;"",J1399,CuentaPred&amp;""))</f>
        <v/>
      </c>
      <c r="R1399" s="52">
        <f>IF(P1399="","",IF(ISNUMBER(I1399),I1399,TasaUSD))</f>
        <v/>
      </c>
      <c r="S1399" s="53">
        <f>IF(P1399="","",IF(H1399="USD",G1399*R1399,G1399))</f>
        <v/>
      </c>
      <c r="T1399" s="53">
        <f>IF(P1399="","",IF(H1399="USD",G1399,IF(R1399&gt;0,G1399/R1399,0)))</f>
        <v/>
      </c>
      <c r="U1399" s="53">
        <f>IF(P1399="","",IF(P1399="Gasto",S1399,IF(P1399="Reembolso",-S1399,0)))</f>
        <v/>
      </c>
      <c r="V1399" s="53">
        <f>IF(P1399="","",IF(P1399="Ingreso",S1399,0))</f>
        <v/>
      </c>
      <c r="W1399" s="53">
        <f>IF(P1399="","",IF(P1399="Resultado trading",S1399,0))</f>
        <v/>
      </c>
      <c r="X1399" s="52">
        <f>IF(OR(P1399="Gasto",P1399="Reembolso"),IF(M1399&lt;&gt;"",M1399,IFERROR(INDEX(catClasif,MATCH(D1399&amp;"|"&amp;E1399,catClave,0))&amp;"","Variable")),"")</f>
        <v/>
      </c>
      <c r="Y1399" s="52">
        <f>IF(P1399="","",IFERROR(INDEX(catGrupo,MATCH(D1399&amp;"|"&amp;E1399,catClave,0))&amp;"",""))</f>
        <v/>
      </c>
      <c r="Z1399" s="52">
        <f>IF(P1399="","",WEEKDAY(B1399,2))</f>
        <v/>
      </c>
      <c r="AA1399" s="52">
        <f>IF(P1399="","",IF(AND(P1399="Gasto",X1399="Variable",D1399&lt;&gt;catTrading,S1399&gt;0,S1399&lt;=Umbral),1,0))</f>
        <v/>
      </c>
      <c r="AB1399" s="52">
        <f>IF(OR(P1399="",Q1399=""),"",IFERROR(IF(INDEX(ctaVinc,MATCH(Q1399,ctaNombre,0))&amp;""&lt;&gt;"",INDEX(ctaVinc,MATCH(Q1399,ctaNombre,0))&amp;"",Q1399),Q1399))</f>
        <v/>
      </c>
      <c r="AC1399" s="52">
        <f>IF(OR(K1399="",AND(P1399&lt;&gt;"Transferencia",P1399&lt;&gt;"Pago tarjeta")),"",IFERROR(IF(INDEX(ctaVinc,MATCH(K1399,ctaNombre,0))&amp;""&lt;&gt;"",INDEX(ctaVinc,MATCH(K1399,ctaNombre,0))&amp;"",K1399),K1399))</f>
        <v/>
      </c>
      <c r="AD1399" s="52">
        <f>IF(AB1399="","",IFERROR(INDEX(ctaTipo,MATCH(AB1399,ctaNombre,0))&amp;"",""))</f>
        <v/>
      </c>
      <c r="AE1399" s="52">
        <f>IF(AC1399="","",IFERROR(INDEX(ctaTipo,MATCH(AC1399,ctaNombre,0))&amp;"",""))</f>
        <v/>
      </c>
      <c r="AF1399" s="53">
        <f>IF(OR(P1399="",AB1399=""),"",IF(OR(P1399="Gasto",P1399="Transferencia",P1399="Pago tarjeta"),-1,1)*IF(IFERROR(INDEX(ctaMoneda,MATCH(AB1399,ctaNombre,0))&amp;"","DOP")="USD",T1399,S1399))</f>
        <v/>
      </c>
      <c r="AG1399" s="53">
        <f>IF(AC1399="","",IF(IFERROR(INDEX(ctaMoneda,MATCH(AC1399,ctaNombre,0))&amp;"","DOP")="USD",T1399,S1399))</f>
        <v/>
      </c>
      <c r="AH1399" s="53">
        <f>IF(P1399="","",IF(AND(AD1399&lt;&gt;"",COUNTIFS(tcTipo,AD1399,tcLiq,"Sí")&gt;0),IF(OR(P1399="Gasto",P1399="Transferencia",P1399="Pago tarjeta"),-1,1)*S1399,0)+IF(AND(AE1399&lt;&gt;"",COUNTIFS(tcTipo,AE1399,tcLiq,"Sí")&gt;0),S1399,0))</f>
        <v/>
      </c>
      <c r="AI1399" s="52">
        <f>IF(OR(L1399="",P1399=""),"",IF(COUNTIFS(L$6:L1399,L1399,P$6:P1399,"?*")=1,MAX(AI$5:AI1398)+1,""))</f>
        <v/>
      </c>
    </row>
    <row r="1400">
      <c r="B1400" s="47" t="n"/>
      <c r="C1400" s="48" t="n"/>
      <c r="D1400" s="48" t="n"/>
      <c r="E1400" s="48" t="n"/>
      <c r="F1400" s="48" t="n"/>
      <c r="G1400" s="49" t="n"/>
      <c r="H1400" s="48" t="n"/>
      <c r="I1400" s="50" t="n"/>
      <c r="J1400" s="48" t="n"/>
      <c r="K1400" s="48" t="n"/>
      <c r="L1400" s="48" t="n"/>
      <c r="M1400" s="48" t="n"/>
      <c r="N1400" s="48" t="n"/>
      <c r="O1400" s="51">
        <f>IF(AND(B1400="",G1400="",C1400="",D1400="",J1400=""),"",IF(B1400="","⚠ Falta fecha",IF(G1400="","⚠ Falta monto",IF(Q1400="","⚠ Falta cuenta",IF(ISNA(MATCH(Q1400,ctaNombre,0)),"⚠ Cuenta no registrada",IF(AND(OR(P1400="Gasto",P1400="Reembolso"),D1400=""),"⚠ Falta categoría",IF(AND(D1400&lt;&gt;"",E1400&lt;&gt;"",ISNA(MATCH(D1400&amp;"|"&amp;E1400,catClave,0))),"⚠ Subcategoría no corresponde",IF(AND(OR(P1400="Transferencia",P1400="Pago tarjeta"),K1400=""),"⚠ Falta cuenta destino",IF(AND(K1400&lt;&gt;"",P1400&lt;&gt;"Transferencia",P1400&lt;&gt;"Pago tarjeta"),"⚠ Destino solo aplica a transferencias",IF(AND(K1400&lt;&gt;"",K1400=Q1400),"⚠ Origen igual a destino",IF(AND(K1400&lt;&gt;"",ISNA(MATCH(K1400,ctaNombre,0))),"⚠ Destino no registrado",IF(AND(P1400="Pago tarjeta",AE1400&lt;&gt;"Tarjeta de crédito"),"⚠ El destino debe ser tarjeta de crédito",IF(AND(P1400="Gasto",E1400="Depósitos y retiros"),"⚠ Usa tipo Transferencia",IF(AND(P1400="Resultado trading",AD1400&lt;&gt;"Cuenta de trading"),"⚠ Usa una cuenta de trading",IF(AND(G1400&lt;=0,P1400&lt;&gt;"Ajuste",P1400&lt;&gt;"Resultado trading"),"⚠ El monto debe ser positivo","✓")))))))))))))))</f>
        <v/>
      </c>
      <c r="P1400" s="52">
        <f>IF(OR(B1400="",G1400=""),"",IF(C1400="","Gasto",C1400))</f>
        <v/>
      </c>
      <c r="Q1400" s="52">
        <f>IF(P1400="","",IF(J1400&lt;&gt;"",J1400,CuentaPred&amp;""))</f>
        <v/>
      </c>
      <c r="R1400" s="52">
        <f>IF(P1400="","",IF(ISNUMBER(I1400),I1400,TasaUSD))</f>
        <v/>
      </c>
      <c r="S1400" s="53">
        <f>IF(P1400="","",IF(H1400="USD",G1400*R1400,G1400))</f>
        <v/>
      </c>
      <c r="T1400" s="53">
        <f>IF(P1400="","",IF(H1400="USD",G1400,IF(R1400&gt;0,G1400/R1400,0)))</f>
        <v/>
      </c>
      <c r="U1400" s="53">
        <f>IF(P1400="","",IF(P1400="Gasto",S1400,IF(P1400="Reembolso",-S1400,0)))</f>
        <v/>
      </c>
      <c r="V1400" s="53">
        <f>IF(P1400="","",IF(P1400="Ingreso",S1400,0))</f>
        <v/>
      </c>
      <c r="W1400" s="53">
        <f>IF(P1400="","",IF(P1400="Resultado trading",S1400,0))</f>
        <v/>
      </c>
      <c r="X1400" s="52">
        <f>IF(OR(P1400="Gasto",P1400="Reembolso"),IF(M1400&lt;&gt;"",M1400,IFERROR(INDEX(catClasif,MATCH(D1400&amp;"|"&amp;E1400,catClave,0))&amp;"","Variable")),"")</f>
        <v/>
      </c>
      <c r="Y1400" s="52">
        <f>IF(P1400="","",IFERROR(INDEX(catGrupo,MATCH(D1400&amp;"|"&amp;E1400,catClave,0))&amp;"",""))</f>
        <v/>
      </c>
      <c r="Z1400" s="52">
        <f>IF(P1400="","",WEEKDAY(B1400,2))</f>
        <v/>
      </c>
      <c r="AA1400" s="52">
        <f>IF(P1400="","",IF(AND(P1400="Gasto",X1400="Variable",D1400&lt;&gt;catTrading,S1400&gt;0,S1400&lt;=Umbral),1,0))</f>
        <v/>
      </c>
      <c r="AB1400" s="52">
        <f>IF(OR(P1400="",Q1400=""),"",IFERROR(IF(INDEX(ctaVinc,MATCH(Q1400,ctaNombre,0))&amp;""&lt;&gt;"",INDEX(ctaVinc,MATCH(Q1400,ctaNombre,0))&amp;"",Q1400),Q1400))</f>
        <v/>
      </c>
      <c r="AC1400" s="52">
        <f>IF(OR(K1400="",AND(P1400&lt;&gt;"Transferencia",P1400&lt;&gt;"Pago tarjeta")),"",IFERROR(IF(INDEX(ctaVinc,MATCH(K1400,ctaNombre,0))&amp;""&lt;&gt;"",INDEX(ctaVinc,MATCH(K1400,ctaNombre,0))&amp;"",K1400),K1400))</f>
        <v/>
      </c>
      <c r="AD1400" s="52">
        <f>IF(AB1400="","",IFERROR(INDEX(ctaTipo,MATCH(AB1400,ctaNombre,0))&amp;"",""))</f>
        <v/>
      </c>
      <c r="AE1400" s="52">
        <f>IF(AC1400="","",IFERROR(INDEX(ctaTipo,MATCH(AC1400,ctaNombre,0))&amp;"",""))</f>
        <v/>
      </c>
      <c r="AF1400" s="53">
        <f>IF(OR(P1400="",AB1400=""),"",IF(OR(P1400="Gasto",P1400="Transferencia",P1400="Pago tarjeta"),-1,1)*IF(IFERROR(INDEX(ctaMoneda,MATCH(AB1400,ctaNombre,0))&amp;"","DOP")="USD",T1400,S1400))</f>
        <v/>
      </c>
      <c r="AG1400" s="53">
        <f>IF(AC1400="","",IF(IFERROR(INDEX(ctaMoneda,MATCH(AC1400,ctaNombre,0))&amp;"","DOP")="USD",T1400,S1400))</f>
        <v/>
      </c>
      <c r="AH1400" s="53">
        <f>IF(P1400="","",IF(AND(AD1400&lt;&gt;"",COUNTIFS(tcTipo,AD1400,tcLiq,"Sí")&gt;0),IF(OR(P1400="Gasto",P1400="Transferencia",P1400="Pago tarjeta"),-1,1)*S1400,0)+IF(AND(AE1400&lt;&gt;"",COUNTIFS(tcTipo,AE1400,tcLiq,"Sí")&gt;0),S1400,0))</f>
        <v/>
      </c>
      <c r="AI1400" s="52">
        <f>IF(OR(L1400="",P1400=""),"",IF(COUNTIFS(L$6:L1400,L1400,P$6:P1400,"?*")=1,MAX(AI$5:AI1399)+1,""))</f>
        <v/>
      </c>
    </row>
    <row r="1401">
      <c r="B1401" s="47" t="n"/>
      <c r="C1401" s="48" t="n"/>
      <c r="D1401" s="48" t="n"/>
      <c r="E1401" s="48" t="n"/>
      <c r="F1401" s="48" t="n"/>
      <c r="G1401" s="49" t="n"/>
      <c r="H1401" s="48" t="n"/>
      <c r="I1401" s="50" t="n"/>
      <c r="J1401" s="48" t="n"/>
      <c r="K1401" s="48" t="n"/>
      <c r="L1401" s="48" t="n"/>
      <c r="M1401" s="48" t="n"/>
      <c r="N1401" s="48" t="n"/>
      <c r="O1401" s="51">
        <f>IF(AND(B1401="",G1401="",C1401="",D1401="",J1401=""),"",IF(B1401="","⚠ Falta fecha",IF(G1401="","⚠ Falta monto",IF(Q1401="","⚠ Falta cuenta",IF(ISNA(MATCH(Q1401,ctaNombre,0)),"⚠ Cuenta no registrada",IF(AND(OR(P1401="Gasto",P1401="Reembolso"),D1401=""),"⚠ Falta categoría",IF(AND(D1401&lt;&gt;"",E1401&lt;&gt;"",ISNA(MATCH(D1401&amp;"|"&amp;E1401,catClave,0))),"⚠ Subcategoría no corresponde",IF(AND(OR(P1401="Transferencia",P1401="Pago tarjeta"),K1401=""),"⚠ Falta cuenta destino",IF(AND(K1401&lt;&gt;"",P1401&lt;&gt;"Transferencia",P1401&lt;&gt;"Pago tarjeta"),"⚠ Destino solo aplica a transferencias",IF(AND(K1401&lt;&gt;"",K1401=Q1401),"⚠ Origen igual a destino",IF(AND(K1401&lt;&gt;"",ISNA(MATCH(K1401,ctaNombre,0))),"⚠ Destino no registrado",IF(AND(P1401="Pago tarjeta",AE1401&lt;&gt;"Tarjeta de crédito"),"⚠ El destino debe ser tarjeta de crédito",IF(AND(P1401="Gasto",E1401="Depósitos y retiros"),"⚠ Usa tipo Transferencia",IF(AND(P1401="Resultado trading",AD1401&lt;&gt;"Cuenta de trading"),"⚠ Usa una cuenta de trading",IF(AND(G1401&lt;=0,P1401&lt;&gt;"Ajuste",P1401&lt;&gt;"Resultado trading"),"⚠ El monto debe ser positivo","✓")))))))))))))))</f>
        <v/>
      </c>
      <c r="P1401" s="52">
        <f>IF(OR(B1401="",G1401=""),"",IF(C1401="","Gasto",C1401))</f>
        <v/>
      </c>
      <c r="Q1401" s="52">
        <f>IF(P1401="","",IF(J1401&lt;&gt;"",J1401,CuentaPred&amp;""))</f>
        <v/>
      </c>
      <c r="R1401" s="52">
        <f>IF(P1401="","",IF(ISNUMBER(I1401),I1401,TasaUSD))</f>
        <v/>
      </c>
      <c r="S1401" s="53">
        <f>IF(P1401="","",IF(H1401="USD",G1401*R1401,G1401))</f>
        <v/>
      </c>
      <c r="T1401" s="53">
        <f>IF(P1401="","",IF(H1401="USD",G1401,IF(R1401&gt;0,G1401/R1401,0)))</f>
        <v/>
      </c>
      <c r="U1401" s="53">
        <f>IF(P1401="","",IF(P1401="Gasto",S1401,IF(P1401="Reembolso",-S1401,0)))</f>
        <v/>
      </c>
      <c r="V1401" s="53">
        <f>IF(P1401="","",IF(P1401="Ingreso",S1401,0))</f>
        <v/>
      </c>
      <c r="W1401" s="53">
        <f>IF(P1401="","",IF(P1401="Resultado trading",S1401,0))</f>
        <v/>
      </c>
      <c r="X1401" s="52">
        <f>IF(OR(P1401="Gasto",P1401="Reembolso"),IF(M1401&lt;&gt;"",M1401,IFERROR(INDEX(catClasif,MATCH(D1401&amp;"|"&amp;E1401,catClave,0))&amp;"","Variable")),"")</f>
        <v/>
      </c>
      <c r="Y1401" s="52">
        <f>IF(P1401="","",IFERROR(INDEX(catGrupo,MATCH(D1401&amp;"|"&amp;E1401,catClave,0))&amp;"",""))</f>
        <v/>
      </c>
      <c r="Z1401" s="52">
        <f>IF(P1401="","",WEEKDAY(B1401,2))</f>
        <v/>
      </c>
      <c r="AA1401" s="52">
        <f>IF(P1401="","",IF(AND(P1401="Gasto",X1401="Variable",D1401&lt;&gt;catTrading,S1401&gt;0,S1401&lt;=Umbral),1,0))</f>
        <v/>
      </c>
      <c r="AB1401" s="52">
        <f>IF(OR(P1401="",Q1401=""),"",IFERROR(IF(INDEX(ctaVinc,MATCH(Q1401,ctaNombre,0))&amp;""&lt;&gt;"",INDEX(ctaVinc,MATCH(Q1401,ctaNombre,0))&amp;"",Q1401),Q1401))</f>
        <v/>
      </c>
      <c r="AC1401" s="52">
        <f>IF(OR(K1401="",AND(P1401&lt;&gt;"Transferencia",P1401&lt;&gt;"Pago tarjeta")),"",IFERROR(IF(INDEX(ctaVinc,MATCH(K1401,ctaNombre,0))&amp;""&lt;&gt;"",INDEX(ctaVinc,MATCH(K1401,ctaNombre,0))&amp;"",K1401),K1401))</f>
        <v/>
      </c>
      <c r="AD1401" s="52">
        <f>IF(AB1401="","",IFERROR(INDEX(ctaTipo,MATCH(AB1401,ctaNombre,0))&amp;"",""))</f>
        <v/>
      </c>
      <c r="AE1401" s="52">
        <f>IF(AC1401="","",IFERROR(INDEX(ctaTipo,MATCH(AC1401,ctaNombre,0))&amp;"",""))</f>
        <v/>
      </c>
      <c r="AF1401" s="53">
        <f>IF(OR(P1401="",AB1401=""),"",IF(OR(P1401="Gasto",P1401="Transferencia",P1401="Pago tarjeta"),-1,1)*IF(IFERROR(INDEX(ctaMoneda,MATCH(AB1401,ctaNombre,0))&amp;"","DOP")="USD",T1401,S1401))</f>
        <v/>
      </c>
      <c r="AG1401" s="53">
        <f>IF(AC1401="","",IF(IFERROR(INDEX(ctaMoneda,MATCH(AC1401,ctaNombre,0))&amp;"","DOP")="USD",T1401,S1401))</f>
        <v/>
      </c>
      <c r="AH1401" s="53">
        <f>IF(P1401="","",IF(AND(AD1401&lt;&gt;"",COUNTIFS(tcTipo,AD1401,tcLiq,"Sí")&gt;0),IF(OR(P1401="Gasto",P1401="Transferencia",P1401="Pago tarjeta"),-1,1)*S1401,0)+IF(AND(AE1401&lt;&gt;"",COUNTIFS(tcTipo,AE1401,tcLiq,"Sí")&gt;0),S1401,0))</f>
        <v/>
      </c>
      <c r="AI1401" s="52">
        <f>IF(OR(L1401="",P1401=""),"",IF(COUNTIFS(L$6:L1401,L1401,P$6:P1401,"?*")=1,MAX(AI$5:AI1400)+1,""))</f>
        <v/>
      </c>
    </row>
    <row r="1402">
      <c r="B1402" s="47" t="n"/>
      <c r="C1402" s="48" t="n"/>
      <c r="D1402" s="48" t="n"/>
      <c r="E1402" s="48" t="n"/>
      <c r="F1402" s="48" t="n"/>
      <c r="G1402" s="49" t="n"/>
      <c r="H1402" s="48" t="n"/>
      <c r="I1402" s="50" t="n"/>
      <c r="J1402" s="48" t="n"/>
      <c r="K1402" s="48" t="n"/>
      <c r="L1402" s="48" t="n"/>
      <c r="M1402" s="48" t="n"/>
      <c r="N1402" s="48" t="n"/>
      <c r="O1402" s="51">
        <f>IF(AND(B1402="",G1402="",C1402="",D1402="",J1402=""),"",IF(B1402="","⚠ Falta fecha",IF(G1402="","⚠ Falta monto",IF(Q1402="","⚠ Falta cuenta",IF(ISNA(MATCH(Q1402,ctaNombre,0)),"⚠ Cuenta no registrada",IF(AND(OR(P1402="Gasto",P1402="Reembolso"),D1402=""),"⚠ Falta categoría",IF(AND(D1402&lt;&gt;"",E1402&lt;&gt;"",ISNA(MATCH(D1402&amp;"|"&amp;E1402,catClave,0))),"⚠ Subcategoría no corresponde",IF(AND(OR(P1402="Transferencia",P1402="Pago tarjeta"),K1402=""),"⚠ Falta cuenta destino",IF(AND(K1402&lt;&gt;"",P1402&lt;&gt;"Transferencia",P1402&lt;&gt;"Pago tarjeta"),"⚠ Destino solo aplica a transferencias",IF(AND(K1402&lt;&gt;"",K1402=Q1402),"⚠ Origen igual a destino",IF(AND(K1402&lt;&gt;"",ISNA(MATCH(K1402,ctaNombre,0))),"⚠ Destino no registrado",IF(AND(P1402="Pago tarjeta",AE1402&lt;&gt;"Tarjeta de crédito"),"⚠ El destino debe ser tarjeta de crédito",IF(AND(P1402="Gasto",E1402="Depósitos y retiros"),"⚠ Usa tipo Transferencia",IF(AND(P1402="Resultado trading",AD1402&lt;&gt;"Cuenta de trading"),"⚠ Usa una cuenta de trading",IF(AND(G1402&lt;=0,P1402&lt;&gt;"Ajuste",P1402&lt;&gt;"Resultado trading"),"⚠ El monto debe ser positivo","✓")))))))))))))))</f>
        <v/>
      </c>
      <c r="P1402" s="52">
        <f>IF(OR(B1402="",G1402=""),"",IF(C1402="","Gasto",C1402))</f>
        <v/>
      </c>
      <c r="Q1402" s="52">
        <f>IF(P1402="","",IF(J1402&lt;&gt;"",J1402,CuentaPred&amp;""))</f>
        <v/>
      </c>
      <c r="R1402" s="52">
        <f>IF(P1402="","",IF(ISNUMBER(I1402),I1402,TasaUSD))</f>
        <v/>
      </c>
      <c r="S1402" s="53">
        <f>IF(P1402="","",IF(H1402="USD",G1402*R1402,G1402))</f>
        <v/>
      </c>
      <c r="T1402" s="53">
        <f>IF(P1402="","",IF(H1402="USD",G1402,IF(R1402&gt;0,G1402/R1402,0)))</f>
        <v/>
      </c>
      <c r="U1402" s="53">
        <f>IF(P1402="","",IF(P1402="Gasto",S1402,IF(P1402="Reembolso",-S1402,0)))</f>
        <v/>
      </c>
      <c r="V1402" s="53">
        <f>IF(P1402="","",IF(P1402="Ingreso",S1402,0))</f>
        <v/>
      </c>
      <c r="W1402" s="53">
        <f>IF(P1402="","",IF(P1402="Resultado trading",S1402,0))</f>
        <v/>
      </c>
      <c r="X1402" s="52">
        <f>IF(OR(P1402="Gasto",P1402="Reembolso"),IF(M1402&lt;&gt;"",M1402,IFERROR(INDEX(catClasif,MATCH(D1402&amp;"|"&amp;E1402,catClave,0))&amp;"","Variable")),"")</f>
        <v/>
      </c>
      <c r="Y1402" s="52">
        <f>IF(P1402="","",IFERROR(INDEX(catGrupo,MATCH(D1402&amp;"|"&amp;E1402,catClave,0))&amp;"",""))</f>
        <v/>
      </c>
      <c r="Z1402" s="52">
        <f>IF(P1402="","",WEEKDAY(B1402,2))</f>
        <v/>
      </c>
      <c r="AA1402" s="52">
        <f>IF(P1402="","",IF(AND(P1402="Gasto",X1402="Variable",D1402&lt;&gt;catTrading,S1402&gt;0,S1402&lt;=Umbral),1,0))</f>
        <v/>
      </c>
      <c r="AB1402" s="52">
        <f>IF(OR(P1402="",Q1402=""),"",IFERROR(IF(INDEX(ctaVinc,MATCH(Q1402,ctaNombre,0))&amp;""&lt;&gt;"",INDEX(ctaVinc,MATCH(Q1402,ctaNombre,0))&amp;"",Q1402),Q1402))</f>
        <v/>
      </c>
      <c r="AC1402" s="52">
        <f>IF(OR(K1402="",AND(P1402&lt;&gt;"Transferencia",P1402&lt;&gt;"Pago tarjeta")),"",IFERROR(IF(INDEX(ctaVinc,MATCH(K1402,ctaNombre,0))&amp;""&lt;&gt;"",INDEX(ctaVinc,MATCH(K1402,ctaNombre,0))&amp;"",K1402),K1402))</f>
        <v/>
      </c>
      <c r="AD1402" s="52">
        <f>IF(AB1402="","",IFERROR(INDEX(ctaTipo,MATCH(AB1402,ctaNombre,0))&amp;"",""))</f>
        <v/>
      </c>
      <c r="AE1402" s="52">
        <f>IF(AC1402="","",IFERROR(INDEX(ctaTipo,MATCH(AC1402,ctaNombre,0))&amp;"",""))</f>
        <v/>
      </c>
      <c r="AF1402" s="53">
        <f>IF(OR(P1402="",AB1402=""),"",IF(OR(P1402="Gasto",P1402="Transferencia",P1402="Pago tarjeta"),-1,1)*IF(IFERROR(INDEX(ctaMoneda,MATCH(AB1402,ctaNombre,0))&amp;"","DOP")="USD",T1402,S1402))</f>
        <v/>
      </c>
      <c r="AG1402" s="53">
        <f>IF(AC1402="","",IF(IFERROR(INDEX(ctaMoneda,MATCH(AC1402,ctaNombre,0))&amp;"","DOP")="USD",T1402,S1402))</f>
        <v/>
      </c>
      <c r="AH1402" s="53">
        <f>IF(P1402="","",IF(AND(AD1402&lt;&gt;"",COUNTIFS(tcTipo,AD1402,tcLiq,"Sí")&gt;0),IF(OR(P1402="Gasto",P1402="Transferencia",P1402="Pago tarjeta"),-1,1)*S1402,0)+IF(AND(AE1402&lt;&gt;"",COUNTIFS(tcTipo,AE1402,tcLiq,"Sí")&gt;0),S1402,0))</f>
        <v/>
      </c>
      <c r="AI1402" s="52">
        <f>IF(OR(L1402="",P1402=""),"",IF(COUNTIFS(L$6:L1402,L1402,P$6:P1402,"?*")=1,MAX(AI$5:AI1401)+1,""))</f>
        <v/>
      </c>
    </row>
    <row r="1403">
      <c r="B1403" s="47" t="n"/>
      <c r="C1403" s="48" t="n"/>
      <c r="D1403" s="48" t="n"/>
      <c r="E1403" s="48" t="n"/>
      <c r="F1403" s="48" t="n"/>
      <c r="G1403" s="49" t="n"/>
      <c r="H1403" s="48" t="n"/>
      <c r="I1403" s="50" t="n"/>
      <c r="J1403" s="48" t="n"/>
      <c r="K1403" s="48" t="n"/>
      <c r="L1403" s="48" t="n"/>
      <c r="M1403" s="48" t="n"/>
      <c r="N1403" s="48" t="n"/>
      <c r="O1403" s="51">
        <f>IF(AND(B1403="",G1403="",C1403="",D1403="",J1403=""),"",IF(B1403="","⚠ Falta fecha",IF(G1403="","⚠ Falta monto",IF(Q1403="","⚠ Falta cuenta",IF(ISNA(MATCH(Q1403,ctaNombre,0)),"⚠ Cuenta no registrada",IF(AND(OR(P1403="Gasto",P1403="Reembolso"),D1403=""),"⚠ Falta categoría",IF(AND(D1403&lt;&gt;"",E1403&lt;&gt;"",ISNA(MATCH(D1403&amp;"|"&amp;E1403,catClave,0))),"⚠ Subcategoría no corresponde",IF(AND(OR(P1403="Transferencia",P1403="Pago tarjeta"),K1403=""),"⚠ Falta cuenta destino",IF(AND(K1403&lt;&gt;"",P1403&lt;&gt;"Transferencia",P1403&lt;&gt;"Pago tarjeta"),"⚠ Destino solo aplica a transferencias",IF(AND(K1403&lt;&gt;"",K1403=Q1403),"⚠ Origen igual a destino",IF(AND(K1403&lt;&gt;"",ISNA(MATCH(K1403,ctaNombre,0))),"⚠ Destino no registrado",IF(AND(P1403="Pago tarjeta",AE1403&lt;&gt;"Tarjeta de crédito"),"⚠ El destino debe ser tarjeta de crédito",IF(AND(P1403="Gasto",E1403="Depósitos y retiros"),"⚠ Usa tipo Transferencia",IF(AND(P1403="Resultado trading",AD1403&lt;&gt;"Cuenta de trading"),"⚠ Usa una cuenta de trading",IF(AND(G1403&lt;=0,P1403&lt;&gt;"Ajuste",P1403&lt;&gt;"Resultado trading"),"⚠ El monto debe ser positivo","✓")))))))))))))))</f>
        <v/>
      </c>
      <c r="P1403" s="52">
        <f>IF(OR(B1403="",G1403=""),"",IF(C1403="","Gasto",C1403))</f>
        <v/>
      </c>
      <c r="Q1403" s="52">
        <f>IF(P1403="","",IF(J1403&lt;&gt;"",J1403,CuentaPred&amp;""))</f>
        <v/>
      </c>
      <c r="R1403" s="52">
        <f>IF(P1403="","",IF(ISNUMBER(I1403),I1403,TasaUSD))</f>
        <v/>
      </c>
      <c r="S1403" s="53">
        <f>IF(P1403="","",IF(H1403="USD",G1403*R1403,G1403))</f>
        <v/>
      </c>
      <c r="T1403" s="53">
        <f>IF(P1403="","",IF(H1403="USD",G1403,IF(R1403&gt;0,G1403/R1403,0)))</f>
        <v/>
      </c>
      <c r="U1403" s="53">
        <f>IF(P1403="","",IF(P1403="Gasto",S1403,IF(P1403="Reembolso",-S1403,0)))</f>
        <v/>
      </c>
      <c r="V1403" s="53">
        <f>IF(P1403="","",IF(P1403="Ingreso",S1403,0))</f>
        <v/>
      </c>
      <c r="W1403" s="53">
        <f>IF(P1403="","",IF(P1403="Resultado trading",S1403,0))</f>
        <v/>
      </c>
      <c r="X1403" s="52">
        <f>IF(OR(P1403="Gasto",P1403="Reembolso"),IF(M1403&lt;&gt;"",M1403,IFERROR(INDEX(catClasif,MATCH(D1403&amp;"|"&amp;E1403,catClave,0))&amp;"","Variable")),"")</f>
        <v/>
      </c>
      <c r="Y1403" s="52">
        <f>IF(P1403="","",IFERROR(INDEX(catGrupo,MATCH(D1403&amp;"|"&amp;E1403,catClave,0))&amp;"",""))</f>
        <v/>
      </c>
      <c r="Z1403" s="52">
        <f>IF(P1403="","",WEEKDAY(B1403,2))</f>
        <v/>
      </c>
      <c r="AA1403" s="52">
        <f>IF(P1403="","",IF(AND(P1403="Gasto",X1403="Variable",D1403&lt;&gt;catTrading,S1403&gt;0,S1403&lt;=Umbral),1,0))</f>
        <v/>
      </c>
      <c r="AB1403" s="52">
        <f>IF(OR(P1403="",Q1403=""),"",IFERROR(IF(INDEX(ctaVinc,MATCH(Q1403,ctaNombre,0))&amp;""&lt;&gt;"",INDEX(ctaVinc,MATCH(Q1403,ctaNombre,0))&amp;"",Q1403),Q1403))</f>
        <v/>
      </c>
      <c r="AC1403" s="52">
        <f>IF(OR(K1403="",AND(P1403&lt;&gt;"Transferencia",P1403&lt;&gt;"Pago tarjeta")),"",IFERROR(IF(INDEX(ctaVinc,MATCH(K1403,ctaNombre,0))&amp;""&lt;&gt;"",INDEX(ctaVinc,MATCH(K1403,ctaNombre,0))&amp;"",K1403),K1403))</f>
        <v/>
      </c>
      <c r="AD1403" s="52">
        <f>IF(AB1403="","",IFERROR(INDEX(ctaTipo,MATCH(AB1403,ctaNombre,0))&amp;"",""))</f>
        <v/>
      </c>
      <c r="AE1403" s="52">
        <f>IF(AC1403="","",IFERROR(INDEX(ctaTipo,MATCH(AC1403,ctaNombre,0))&amp;"",""))</f>
        <v/>
      </c>
      <c r="AF1403" s="53">
        <f>IF(OR(P1403="",AB1403=""),"",IF(OR(P1403="Gasto",P1403="Transferencia",P1403="Pago tarjeta"),-1,1)*IF(IFERROR(INDEX(ctaMoneda,MATCH(AB1403,ctaNombre,0))&amp;"","DOP")="USD",T1403,S1403))</f>
        <v/>
      </c>
      <c r="AG1403" s="53">
        <f>IF(AC1403="","",IF(IFERROR(INDEX(ctaMoneda,MATCH(AC1403,ctaNombre,0))&amp;"","DOP")="USD",T1403,S1403))</f>
        <v/>
      </c>
      <c r="AH1403" s="53">
        <f>IF(P1403="","",IF(AND(AD1403&lt;&gt;"",COUNTIFS(tcTipo,AD1403,tcLiq,"Sí")&gt;0),IF(OR(P1403="Gasto",P1403="Transferencia",P1403="Pago tarjeta"),-1,1)*S1403,0)+IF(AND(AE1403&lt;&gt;"",COUNTIFS(tcTipo,AE1403,tcLiq,"Sí")&gt;0),S1403,0))</f>
        <v/>
      </c>
      <c r="AI1403" s="52">
        <f>IF(OR(L1403="",P1403=""),"",IF(COUNTIFS(L$6:L1403,L1403,P$6:P1403,"?*")=1,MAX(AI$5:AI1402)+1,""))</f>
        <v/>
      </c>
    </row>
    <row r="1404">
      <c r="B1404" s="47" t="n"/>
      <c r="C1404" s="48" t="n"/>
      <c r="D1404" s="48" t="n"/>
      <c r="E1404" s="48" t="n"/>
      <c r="F1404" s="48" t="n"/>
      <c r="G1404" s="49" t="n"/>
      <c r="H1404" s="48" t="n"/>
      <c r="I1404" s="50" t="n"/>
      <c r="J1404" s="48" t="n"/>
      <c r="K1404" s="48" t="n"/>
      <c r="L1404" s="48" t="n"/>
      <c r="M1404" s="48" t="n"/>
      <c r="N1404" s="48" t="n"/>
      <c r="O1404" s="51">
        <f>IF(AND(B1404="",G1404="",C1404="",D1404="",J1404=""),"",IF(B1404="","⚠ Falta fecha",IF(G1404="","⚠ Falta monto",IF(Q1404="","⚠ Falta cuenta",IF(ISNA(MATCH(Q1404,ctaNombre,0)),"⚠ Cuenta no registrada",IF(AND(OR(P1404="Gasto",P1404="Reembolso"),D1404=""),"⚠ Falta categoría",IF(AND(D1404&lt;&gt;"",E1404&lt;&gt;"",ISNA(MATCH(D1404&amp;"|"&amp;E1404,catClave,0))),"⚠ Subcategoría no corresponde",IF(AND(OR(P1404="Transferencia",P1404="Pago tarjeta"),K1404=""),"⚠ Falta cuenta destino",IF(AND(K1404&lt;&gt;"",P1404&lt;&gt;"Transferencia",P1404&lt;&gt;"Pago tarjeta"),"⚠ Destino solo aplica a transferencias",IF(AND(K1404&lt;&gt;"",K1404=Q1404),"⚠ Origen igual a destino",IF(AND(K1404&lt;&gt;"",ISNA(MATCH(K1404,ctaNombre,0))),"⚠ Destino no registrado",IF(AND(P1404="Pago tarjeta",AE1404&lt;&gt;"Tarjeta de crédito"),"⚠ El destino debe ser tarjeta de crédito",IF(AND(P1404="Gasto",E1404="Depósitos y retiros"),"⚠ Usa tipo Transferencia",IF(AND(P1404="Resultado trading",AD1404&lt;&gt;"Cuenta de trading"),"⚠ Usa una cuenta de trading",IF(AND(G1404&lt;=0,P1404&lt;&gt;"Ajuste",P1404&lt;&gt;"Resultado trading"),"⚠ El monto debe ser positivo","✓")))))))))))))))</f>
        <v/>
      </c>
      <c r="P1404" s="52">
        <f>IF(OR(B1404="",G1404=""),"",IF(C1404="","Gasto",C1404))</f>
        <v/>
      </c>
      <c r="Q1404" s="52">
        <f>IF(P1404="","",IF(J1404&lt;&gt;"",J1404,CuentaPred&amp;""))</f>
        <v/>
      </c>
      <c r="R1404" s="52">
        <f>IF(P1404="","",IF(ISNUMBER(I1404),I1404,TasaUSD))</f>
        <v/>
      </c>
      <c r="S1404" s="53">
        <f>IF(P1404="","",IF(H1404="USD",G1404*R1404,G1404))</f>
        <v/>
      </c>
      <c r="T1404" s="53">
        <f>IF(P1404="","",IF(H1404="USD",G1404,IF(R1404&gt;0,G1404/R1404,0)))</f>
        <v/>
      </c>
      <c r="U1404" s="53">
        <f>IF(P1404="","",IF(P1404="Gasto",S1404,IF(P1404="Reembolso",-S1404,0)))</f>
        <v/>
      </c>
      <c r="V1404" s="53">
        <f>IF(P1404="","",IF(P1404="Ingreso",S1404,0))</f>
        <v/>
      </c>
      <c r="W1404" s="53">
        <f>IF(P1404="","",IF(P1404="Resultado trading",S1404,0))</f>
        <v/>
      </c>
      <c r="X1404" s="52">
        <f>IF(OR(P1404="Gasto",P1404="Reembolso"),IF(M1404&lt;&gt;"",M1404,IFERROR(INDEX(catClasif,MATCH(D1404&amp;"|"&amp;E1404,catClave,0))&amp;"","Variable")),"")</f>
        <v/>
      </c>
      <c r="Y1404" s="52">
        <f>IF(P1404="","",IFERROR(INDEX(catGrupo,MATCH(D1404&amp;"|"&amp;E1404,catClave,0))&amp;"",""))</f>
        <v/>
      </c>
      <c r="Z1404" s="52">
        <f>IF(P1404="","",WEEKDAY(B1404,2))</f>
        <v/>
      </c>
      <c r="AA1404" s="52">
        <f>IF(P1404="","",IF(AND(P1404="Gasto",X1404="Variable",D1404&lt;&gt;catTrading,S1404&gt;0,S1404&lt;=Umbral),1,0))</f>
        <v/>
      </c>
      <c r="AB1404" s="52">
        <f>IF(OR(P1404="",Q1404=""),"",IFERROR(IF(INDEX(ctaVinc,MATCH(Q1404,ctaNombre,0))&amp;""&lt;&gt;"",INDEX(ctaVinc,MATCH(Q1404,ctaNombre,0))&amp;"",Q1404),Q1404))</f>
        <v/>
      </c>
      <c r="AC1404" s="52">
        <f>IF(OR(K1404="",AND(P1404&lt;&gt;"Transferencia",P1404&lt;&gt;"Pago tarjeta")),"",IFERROR(IF(INDEX(ctaVinc,MATCH(K1404,ctaNombre,0))&amp;""&lt;&gt;"",INDEX(ctaVinc,MATCH(K1404,ctaNombre,0))&amp;"",K1404),K1404))</f>
        <v/>
      </c>
      <c r="AD1404" s="52">
        <f>IF(AB1404="","",IFERROR(INDEX(ctaTipo,MATCH(AB1404,ctaNombre,0))&amp;"",""))</f>
        <v/>
      </c>
      <c r="AE1404" s="52">
        <f>IF(AC1404="","",IFERROR(INDEX(ctaTipo,MATCH(AC1404,ctaNombre,0))&amp;"",""))</f>
        <v/>
      </c>
      <c r="AF1404" s="53">
        <f>IF(OR(P1404="",AB1404=""),"",IF(OR(P1404="Gasto",P1404="Transferencia",P1404="Pago tarjeta"),-1,1)*IF(IFERROR(INDEX(ctaMoneda,MATCH(AB1404,ctaNombre,0))&amp;"","DOP")="USD",T1404,S1404))</f>
        <v/>
      </c>
      <c r="AG1404" s="53">
        <f>IF(AC1404="","",IF(IFERROR(INDEX(ctaMoneda,MATCH(AC1404,ctaNombre,0))&amp;"","DOP")="USD",T1404,S1404))</f>
        <v/>
      </c>
      <c r="AH1404" s="53">
        <f>IF(P1404="","",IF(AND(AD1404&lt;&gt;"",COUNTIFS(tcTipo,AD1404,tcLiq,"Sí")&gt;0),IF(OR(P1404="Gasto",P1404="Transferencia",P1404="Pago tarjeta"),-1,1)*S1404,0)+IF(AND(AE1404&lt;&gt;"",COUNTIFS(tcTipo,AE1404,tcLiq,"Sí")&gt;0),S1404,0))</f>
        <v/>
      </c>
      <c r="AI1404" s="52">
        <f>IF(OR(L1404="",P1404=""),"",IF(COUNTIFS(L$6:L1404,L1404,P$6:P1404,"?*")=1,MAX(AI$5:AI1403)+1,""))</f>
        <v/>
      </c>
    </row>
    <row r="1405">
      <c r="B1405" s="47" t="n"/>
      <c r="C1405" s="48" t="n"/>
      <c r="D1405" s="48" t="n"/>
      <c r="E1405" s="48" t="n"/>
      <c r="F1405" s="48" t="n"/>
      <c r="G1405" s="49" t="n"/>
      <c r="H1405" s="48" t="n"/>
      <c r="I1405" s="50" t="n"/>
      <c r="J1405" s="48" t="n"/>
      <c r="K1405" s="48" t="n"/>
      <c r="L1405" s="48" t="n"/>
      <c r="M1405" s="48" t="n"/>
      <c r="N1405" s="48" t="n"/>
      <c r="O1405" s="51">
        <f>IF(AND(B1405="",G1405="",C1405="",D1405="",J1405=""),"",IF(B1405="","⚠ Falta fecha",IF(G1405="","⚠ Falta monto",IF(Q1405="","⚠ Falta cuenta",IF(ISNA(MATCH(Q1405,ctaNombre,0)),"⚠ Cuenta no registrada",IF(AND(OR(P1405="Gasto",P1405="Reembolso"),D1405=""),"⚠ Falta categoría",IF(AND(D1405&lt;&gt;"",E1405&lt;&gt;"",ISNA(MATCH(D1405&amp;"|"&amp;E1405,catClave,0))),"⚠ Subcategoría no corresponde",IF(AND(OR(P1405="Transferencia",P1405="Pago tarjeta"),K1405=""),"⚠ Falta cuenta destino",IF(AND(K1405&lt;&gt;"",P1405&lt;&gt;"Transferencia",P1405&lt;&gt;"Pago tarjeta"),"⚠ Destino solo aplica a transferencias",IF(AND(K1405&lt;&gt;"",K1405=Q1405),"⚠ Origen igual a destino",IF(AND(K1405&lt;&gt;"",ISNA(MATCH(K1405,ctaNombre,0))),"⚠ Destino no registrado",IF(AND(P1405="Pago tarjeta",AE1405&lt;&gt;"Tarjeta de crédito"),"⚠ El destino debe ser tarjeta de crédito",IF(AND(P1405="Gasto",E1405="Depósitos y retiros"),"⚠ Usa tipo Transferencia",IF(AND(P1405="Resultado trading",AD1405&lt;&gt;"Cuenta de trading"),"⚠ Usa una cuenta de trading",IF(AND(G1405&lt;=0,P1405&lt;&gt;"Ajuste",P1405&lt;&gt;"Resultado trading"),"⚠ El monto debe ser positivo","✓")))))))))))))))</f>
        <v/>
      </c>
      <c r="P1405" s="52">
        <f>IF(OR(B1405="",G1405=""),"",IF(C1405="","Gasto",C1405))</f>
        <v/>
      </c>
      <c r="Q1405" s="52">
        <f>IF(P1405="","",IF(J1405&lt;&gt;"",J1405,CuentaPred&amp;""))</f>
        <v/>
      </c>
      <c r="R1405" s="52">
        <f>IF(P1405="","",IF(ISNUMBER(I1405),I1405,TasaUSD))</f>
        <v/>
      </c>
      <c r="S1405" s="53">
        <f>IF(P1405="","",IF(H1405="USD",G1405*R1405,G1405))</f>
        <v/>
      </c>
      <c r="T1405" s="53">
        <f>IF(P1405="","",IF(H1405="USD",G1405,IF(R1405&gt;0,G1405/R1405,0)))</f>
        <v/>
      </c>
      <c r="U1405" s="53">
        <f>IF(P1405="","",IF(P1405="Gasto",S1405,IF(P1405="Reembolso",-S1405,0)))</f>
        <v/>
      </c>
      <c r="V1405" s="53">
        <f>IF(P1405="","",IF(P1405="Ingreso",S1405,0))</f>
        <v/>
      </c>
      <c r="W1405" s="53">
        <f>IF(P1405="","",IF(P1405="Resultado trading",S1405,0))</f>
        <v/>
      </c>
      <c r="X1405" s="52">
        <f>IF(OR(P1405="Gasto",P1405="Reembolso"),IF(M1405&lt;&gt;"",M1405,IFERROR(INDEX(catClasif,MATCH(D1405&amp;"|"&amp;E1405,catClave,0))&amp;"","Variable")),"")</f>
        <v/>
      </c>
      <c r="Y1405" s="52">
        <f>IF(P1405="","",IFERROR(INDEX(catGrupo,MATCH(D1405&amp;"|"&amp;E1405,catClave,0))&amp;"",""))</f>
        <v/>
      </c>
      <c r="Z1405" s="52">
        <f>IF(P1405="","",WEEKDAY(B1405,2))</f>
        <v/>
      </c>
      <c r="AA1405" s="52">
        <f>IF(P1405="","",IF(AND(P1405="Gasto",X1405="Variable",D1405&lt;&gt;catTrading,S1405&gt;0,S1405&lt;=Umbral),1,0))</f>
        <v/>
      </c>
      <c r="AB1405" s="52">
        <f>IF(OR(P1405="",Q1405=""),"",IFERROR(IF(INDEX(ctaVinc,MATCH(Q1405,ctaNombre,0))&amp;""&lt;&gt;"",INDEX(ctaVinc,MATCH(Q1405,ctaNombre,0))&amp;"",Q1405),Q1405))</f>
        <v/>
      </c>
      <c r="AC1405" s="52">
        <f>IF(OR(K1405="",AND(P1405&lt;&gt;"Transferencia",P1405&lt;&gt;"Pago tarjeta")),"",IFERROR(IF(INDEX(ctaVinc,MATCH(K1405,ctaNombre,0))&amp;""&lt;&gt;"",INDEX(ctaVinc,MATCH(K1405,ctaNombre,0))&amp;"",K1405),K1405))</f>
        <v/>
      </c>
      <c r="AD1405" s="52">
        <f>IF(AB1405="","",IFERROR(INDEX(ctaTipo,MATCH(AB1405,ctaNombre,0))&amp;"",""))</f>
        <v/>
      </c>
      <c r="AE1405" s="52">
        <f>IF(AC1405="","",IFERROR(INDEX(ctaTipo,MATCH(AC1405,ctaNombre,0))&amp;"",""))</f>
        <v/>
      </c>
      <c r="AF1405" s="53">
        <f>IF(OR(P1405="",AB1405=""),"",IF(OR(P1405="Gasto",P1405="Transferencia",P1405="Pago tarjeta"),-1,1)*IF(IFERROR(INDEX(ctaMoneda,MATCH(AB1405,ctaNombre,0))&amp;"","DOP")="USD",T1405,S1405))</f>
        <v/>
      </c>
      <c r="AG1405" s="53">
        <f>IF(AC1405="","",IF(IFERROR(INDEX(ctaMoneda,MATCH(AC1405,ctaNombre,0))&amp;"","DOP")="USD",T1405,S1405))</f>
        <v/>
      </c>
      <c r="AH1405" s="53">
        <f>IF(P1405="","",IF(AND(AD1405&lt;&gt;"",COUNTIFS(tcTipo,AD1405,tcLiq,"Sí")&gt;0),IF(OR(P1405="Gasto",P1405="Transferencia",P1405="Pago tarjeta"),-1,1)*S1405,0)+IF(AND(AE1405&lt;&gt;"",COUNTIFS(tcTipo,AE1405,tcLiq,"Sí")&gt;0),S1405,0))</f>
        <v/>
      </c>
      <c r="AI1405" s="52">
        <f>IF(OR(L1405="",P1405=""),"",IF(COUNTIFS(L$6:L1405,L1405,P$6:P1405,"?*")=1,MAX(AI$5:AI1404)+1,""))</f>
        <v/>
      </c>
    </row>
    <row r="1406">
      <c r="B1406" s="47" t="n"/>
      <c r="C1406" s="48" t="n"/>
      <c r="D1406" s="48" t="n"/>
      <c r="E1406" s="48" t="n"/>
      <c r="F1406" s="48" t="n"/>
      <c r="G1406" s="49" t="n"/>
      <c r="H1406" s="48" t="n"/>
      <c r="I1406" s="50" t="n"/>
      <c r="J1406" s="48" t="n"/>
      <c r="K1406" s="48" t="n"/>
      <c r="L1406" s="48" t="n"/>
      <c r="M1406" s="48" t="n"/>
      <c r="N1406" s="48" t="n"/>
      <c r="O1406" s="51">
        <f>IF(AND(B1406="",G1406="",C1406="",D1406="",J1406=""),"",IF(B1406="","⚠ Falta fecha",IF(G1406="","⚠ Falta monto",IF(Q1406="","⚠ Falta cuenta",IF(ISNA(MATCH(Q1406,ctaNombre,0)),"⚠ Cuenta no registrada",IF(AND(OR(P1406="Gasto",P1406="Reembolso"),D1406=""),"⚠ Falta categoría",IF(AND(D1406&lt;&gt;"",E1406&lt;&gt;"",ISNA(MATCH(D1406&amp;"|"&amp;E1406,catClave,0))),"⚠ Subcategoría no corresponde",IF(AND(OR(P1406="Transferencia",P1406="Pago tarjeta"),K1406=""),"⚠ Falta cuenta destino",IF(AND(K1406&lt;&gt;"",P1406&lt;&gt;"Transferencia",P1406&lt;&gt;"Pago tarjeta"),"⚠ Destino solo aplica a transferencias",IF(AND(K1406&lt;&gt;"",K1406=Q1406),"⚠ Origen igual a destino",IF(AND(K1406&lt;&gt;"",ISNA(MATCH(K1406,ctaNombre,0))),"⚠ Destino no registrado",IF(AND(P1406="Pago tarjeta",AE1406&lt;&gt;"Tarjeta de crédito"),"⚠ El destino debe ser tarjeta de crédito",IF(AND(P1406="Gasto",E1406="Depósitos y retiros"),"⚠ Usa tipo Transferencia",IF(AND(P1406="Resultado trading",AD1406&lt;&gt;"Cuenta de trading"),"⚠ Usa una cuenta de trading",IF(AND(G1406&lt;=0,P1406&lt;&gt;"Ajuste",P1406&lt;&gt;"Resultado trading"),"⚠ El monto debe ser positivo","✓")))))))))))))))</f>
        <v/>
      </c>
      <c r="P1406" s="52">
        <f>IF(OR(B1406="",G1406=""),"",IF(C1406="","Gasto",C1406))</f>
        <v/>
      </c>
      <c r="Q1406" s="52">
        <f>IF(P1406="","",IF(J1406&lt;&gt;"",J1406,CuentaPred&amp;""))</f>
        <v/>
      </c>
      <c r="R1406" s="52">
        <f>IF(P1406="","",IF(ISNUMBER(I1406),I1406,TasaUSD))</f>
        <v/>
      </c>
      <c r="S1406" s="53">
        <f>IF(P1406="","",IF(H1406="USD",G1406*R1406,G1406))</f>
        <v/>
      </c>
      <c r="T1406" s="53">
        <f>IF(P1406="","",IF(H1406="USD",G1406,IF(R1406&gt;0,G1406/R1406,0)))</f>
        <v/>
      </c>
      <c r="U1406" s="53">
        <f>IF(P1406="","",IF(P1406="Gasto",S1406,IF(P1406="Reembolso",-S1406,0)))</f>
        <v/>
      </c>
      <c r="V1406" s="53">
        <f>IF(P1406="","",IF(P1406="Ingreso",S1406,0))</f>
        <v/>
      </c>
      <c r="W1406" s="53">
        <f>IF(P1406="","",IF(P1406="Resultado trading",S1406,0))</f>
        <v/>
      </c>
      <c r="X1406" s="52">
        <f>IF(OR(P1406="Gasto",P1406="Reembolso"),IF(M1406&lt;&gt;"",M1406,IFERROR(INDEX(catClasif,MATCH(D1406&amp;"|"&amp;E1406,catClave,0))&amp;"","Variable")),"")</f>
        <v/>
      </c>
      <c r="Y1406" s="52">
        <f>IF(P1406="","",IFERROR(INDEX(catGrupo,MATCH(D1406&amp;"|"&amp;E1406,catClave,0))&amp;"",""))</f>
        <v/>
      </c>
      <c r="Z1406" s="52">
        <f>IF(P1406="","",WEEKDAY(B1406,2))</f>
        <v/>
      </c>
      <c r="AA1406" s="52">
        <f>IF(P1406="","",IF(AND(P1406="Gasto",X1406="Variable",D1406&lt;&gt;catTrading,S1406&gt;0,S1406&lt;=Umbral),1,0))</f>
        <v/>
      </c>
      <c r="AB1406" s="52">
        <f>IF(OR(P1406="",Q1406=""),"",IFERROR(IF(INDEX(ctaVinc,MATCH(Q1406,ctaNombre,0))&amp;""&lt;&gt;"",INDEX(ctaVinc,MATCH(Q1406,ctaNombre,0))&amp;"",Q1406),Q1406))</f>
        <v/>
      </c>
      <c r="AC1406" s="52">
        <f>IF(OR(K1406="",AND(P1406&lt;&gt;"Transferencia",P1406&lt;&gt;"Pago tarjeta")),"",IFERROR(IF(INDEX(ctaVinc,MATCH(K1406,ctaNombre,0))&amp;""&lt;&gt;"",INDEX(ctaVinc,MATCH(K1406,ctaNombre,0))&amp;"",K1406),K1406))</f>
        <v/>
      </c>
      <c r="AD1406" s="52">
        <f>IF(AB1406="","",IFERROR(INDEX(ctaTipo,MATCH(AB1406,ctaNombre,0))&amp;"",""))</f>
        <v/>
      </c>
      <c r="AE1406" s="52">
        <f>IF(AC1406="","",IFERROR(INDEX(ctaTipo,MATCH(AC1406,ctaNombre,0))&amp;"",""))</f>
        <v/>
      </c>
      <c r="AF1406" s="53">
        <f>IF(OR(P1406="",AB1406=""),"",IF(OR(P1406="Gasto",P1406="Transferencia",P1406="Pago tarjeta"),-1,1)*IF(IFERROR(INDEX(ctaMoneda,MATCH(AB1406,ctaNombre,0))&amp;"","DOP")="USD",T1406,S1406))</f>
        <v/>
      </c>
      <c r="AG1406" s="53">
        <f>IF(AC1406="","",IF(IFERROR(INDEX(ctaMoneda,MATCH(AC1406,ctaNombre,0))&amp;"","DOP")="USD",T1406,S1406))</f>
        <v/>
      </c>
      <c r="AH1406" s="53">
        <f>IF(P1406="","",IF(AND(AD1406&lt;&gt;"",COUNTIFS(tcTipo,AD1406,tcLiq,"Sí")&gt;0),IF(OR(P1406="Gasto",P1406="Transferencia",P1406="Pago tarjeta"),-1,1)*S1406,0)+IF(AND(AE1406&lt;&gt;"",COUNTIFS(tcTipo,AE1406,tcLiq,"Sí")&gt;0),S1406,0))</f>
        <v/>
      </c>
      <c r="AI1406" s="52">
        <f>IF(OR(L1406="",P1406=""),"",IF(COUNTIFS(L$6:L1406,L1406,P$6:P1406,"?*")=1,MAX(AI$5:AI1405)+1,""))</f>
        <v/>
      </c>
    </row>
    <row r="1407">
      <c r="B1407" s="47" t="n"/>
      <c r="C1407" s="48" t="n"/>
      <c r="D1407" s="48" t="n"/>
      <c r="E1407" s="48" t="n"/>
      <c r="F1407" s="48" t="n"/>
      <c r="G1407" s="49" t="n"/>
      <c r="H1407" s="48" t="n"/>
      <c r="I1407" s="50" t="n"/>
      <c r="J1407" s="48" t="n"/>
      <c r="K1407" s="48" t="n"/>
      <c r="L1407" s="48" t="n"/>
      <c r="M1407" s="48" t="n"/>
      <c r="N1407" s="48" t="n"/>
      <c r="O1407" s="51">
        <f>IF(AND(B1407="",G1407="",C1407="",D1407="",J1407=""),"",IF(B1407="","⚠ Falta fecha",IF(G1407="","⚠ Falta monto",IF(Q1407="","⚠ Falta cuenta",IF(ISNA(MATCH(Q1407,ctaNombre,0)),"⚠ Cuenta no registrada",IF(AND(OR(P1407="Gasto",P1407="Reembolso"),D1407=""),"⚠ Falta categoría",IF(AND(D1407&lt;&gt;"",E1407&lt;&gt;"",ISNA(MATCH(D1407&amp;"|"&amp;E1407,catClave,0))),"⚠ Subcategoría no corresponde",IF(AND(OR(P1407="Transferencia",P1407="Pago tarjeta"),K1407=""),"⚠ Falta cuenta destino",IF(AND(K1407&lt;&gt;"",P1407&lt;&gt;"Transferencia",P1407&lt;&gt;"Pago tarjeta"),"⚠ Destino solo aplica a transferencias",IF(AND(K1407&lt;&gt;"",K1407=Q1407),"⚠ Origen igual a destino",IF(AND(K1407&lt;&gt;"",ISNA(MATCH(K1407,ctaNombre,0))),"⚠ Destino no registrado",IF(AND(P1407="Pago tarjeta",AE1407&lt;&gt;"Tarjeta de crédito"),"⚠ El destino debe ser tarjeta de crédito",IF(AND(P1407="Gasto",E1407="Depósitos y retiros"),"⚠ Usa tipo Transferencia",IF(AND(P1407="Resultado trading",AD1407&lt;&gt;"Cuenta de trading"),"⚠ Usa una cuenta de trading",IF(AND(G1407&lt;=0,P1407&lt;&gt;"Ajuste",P1407&lt;&gt;"Resultado trading"),"⚠ El monto debe ser positivo","✓")))))))))))))))</f>
        <v/>
      </c>
      <c r="P1407" s="52">
        <f>IF(OR(B1407="",G1407=""),"",IF(C1407="","Gasto",C1407))</f>
        <v/>
      </c>
      <c r="Q1407" s="52">
        <f>IF(P1407="","",IF(J1407&lt;&gt;"",J1407,CuentaPred&amp;""))</f>
        <v/>
      </c>
      <c r="R1407" s="52">
        <f>IF(P1407="","",IF(ISNUMBER(I1407),I1407,TasaUSD))</f>
        <v/>
      </c>
      <c r="S1407" s="53">
        <f>IF(P1407="","",IF(H1407="USD",G1407*R1407,G1407))</f>
        <v/>
      </c>
      <c r="T1407" s="53">
        <f>IF(P1407="","",IF(H1407="USD",G1407,IF(R1407&gt;0,G1407/R1407,0)))</f>
        <v/>
      </c>
      <c r="U1407" s="53">
        <f>IF(P1407="","",IF(P1407="Gasto",S1407,IF(P1407="Reembolso",-S1407,0)))</f>
        <v/>
      </c>
      <c r="V1407" s="53">
        <f>IF(P1407="","",IF(P1407="Ingreso",S1407,0))</f>
        <v/>
      </c>
      <c r="W1407" s="53">
        <f>IF(P1407="","",IF(P1407="Resultado trading",S1407,0))</f>
        <v/>
      </c>
      <c r="X1407" s="52">
        <f>IF(OR(P1407="Gasto",P1407="Reembolso"),IF(M1407&lt;&gt;"",M1407,IFERROR(INDEX(catClasif,MATCH(D1407&amp;"|"&amp;E1407,catClave,0))&amp;"","Variable")),"")</f>
        <v/>
      </c>
      <c r="Y1407" s="52">
        <f>IF(P1407="","",IFERROR(INDEX(catGrupo,MATCH(D1407&amp;"|"&amp;E1407,catClave,0))&amp;"",""))</f>
        <v/>
      </c>
      <c r="Z1407" s="52">
        <f>IF(P1407="","",WEEKDAY(B1407,2))</f>
        <v/>
      </c>
      <c r="AA1407" s="52">
        <f>IF(P1407="","",IF(AND(P1407="Gasto",X1407="Variable",D1407&lt;&gt;catTrading,S1407&gt;0,S1407&lt;=Umbral),1,0))</f>
        <v/>
      </c>
      <c r="AB1407" s="52">
        <f>IF(OR(P1407="",Q1407=""),"",IFERROR(IF(INDEX(ctaVinc,MATCH(Q1407,ctaNombre,0))&amp;""&lt;&gt;"",INDEX(ctaVinc,MATCH(Q1407,ctaNombre,0))&amp;"",Q1407),Q1407))</f>
        <v/>
      </c>
      <c r="AC1407" s="52">
        <f>IF(OR(K1407="",AND(P1407&lt;&gt;"Transferencia",P1407&lt;&gt;"Pago tarjeta")),"",IFERROR(IF(INDEX(ctaVinc,MATCH(K1407,ctaNombre,0))&amp;""&lt;&gt;"",INDEX(ctaVinc,MATCH(K1407,ctaNombre,0))&amp;"",K1407),K1407))</f>
        <v/>
      </c>
      <c r="AD1407" s="52">
        <f>IF(AB1407="","",IFERROR(INDEX(ctaTipo,MATCH(AB1407,ctaNombre,0))&amp;"",""))</f>
        <v/>
      </c>
      <c r="AE1407" s="52">
        <f>IF(AC1407="","",IFERROR(INDEX(ctaTipo,MATCH(AC1407,ctaNombre,0))&amp;"",""))</f>
        <v/>
      </c>
      <c r="AF1407" s="53">
        <f>IF(OR(P1407="",AB1407=""),"",IF(OR(P1407="Gasto",P1407="Transferencia",P1407="Pago tarjeta"),-1,1)*IF(IFERROR(INDEX(ctaMoneda,MATCH(AB1407,ctaNombre,0))&amp;"","DOP")="USD",T1407,S1407))</f>
        <v/>
      </c>
      <c r="AG1407" s="53">
        <f>IF(AC1407="","",IF(IFERROR(INDEX(ctaMoneda,MATCH(AC1407,ctaNombre,0))&amp;"","DOP")="USD",T1407,S1407))</f>
        <v/>
      </c>
      <c r="AH1407" s="53">
        <f>IF(P1407="","",IF(AND(AD1407&lt;&gt;"",COUNTIFS(tcTipo,AD1407,tcLiq,"Sí")&gt;0),IF(OR(P1407="Gasto",P1407="Transferencia",P1407="Pago tarjeta"),-1,1)*S1407,0)+IF(AND(AE1407&lt;&gt;"",COUNTIFS(tcTipo,AE1407,tcLiq,"Sí")&gt;0),S1407,0))</f>
        <v/>
      </c>
      <c r="AI1407" s="52">
        <f>IF(OR(L1407="",P1407=""),"",IF(COUNTIFS(L$6:L1407,L1407,P$6:P1407,"?*")=1,MAX(AI$5:AI1406)+1,""))</f>
        <v/>
      </c>
    </row>
    <row r="1408">
      <c r="B1408" s="47" t="n"/>
      <c r="C1408" s="48" t="n"/>
      <c r="D1408" s="48" t="n"/>
      <c r="E1408" s="48" t="n"/>
      <c r="F1408" s="48" t="n"/>
      <c r="G1408" s="49" t="n"/>
      <c r="H1408" s="48" t="n"/>
      <c r="I1408" s="50" t="n"/>
      <c r="J1408" s="48" t="n"/>
      <c r="K1408" s="48" t="n"/>
      <c r="L1408" s="48" t="n"/>
      <c r="M1408" s="48" t="n"/>
      <c r="N1408" s="48" t="n"/>
      <c r="O1408" s="51">
        <f>IF(AND(B1408="",G1408="",C1408="",D1408="",J1408=""),"",IF(B1408="","⚠ Falta fecha",IF(G1408="","⚠ Falta monto",IF(Q1408="","⚠ Falta cuenta",IF(ISNA(MATCH(Q1408,ctaNombre,0)),"⚠ Cuenta no registrada",IF(AND(OR(P1408="Gasto",P1408="Reembolso"),D1408=""),"⚠ Falta categoría",IF(AND(D1408&lt;&gt;"",E1408&lt;&gt;"",ISNA(MATCH(D1408&amp;"|"&amp;E1408,catClave,0))),"⚠ Subcategoría no corresponde",IF(AND(OR(P1408="Transferencia",P1408="Pago tarjeta"),K1408=""),"⚠ Falta cuenta destino",IF(AND(K1408&lt;&gt;"",P1408&lt;&gt;"Transferencia",P1408&lt;&gt;"Pago tarjeta"),"⚠ Destino solo aplica a transferencias",IF(AND(K1408&lt;&gt;"",K1408=Q1408),"⚠ Origen igual a destino",IF(AND(K1408&lt;&gt;"",ISNA(MATCH(K1408,ctaNombre,0))),"⚠ Destino no registrado",IF(AND(P1408="Pago tarjeta",AE1408&lt;&gt;"Tarjeta de crédito"),"⚠ El destino debe ser tarjeta de crédito",IF(AND(P1408="Gasto",E1408="Depósitos y retiros"),"⚠ Usa tipo Transferencia",IF(AND(P1408="Resultado trading",AD1408&lt;&gt;"Cuenta de trading"),"⚠ Usa una cuenta de trading",IF(AND(G1408&lt;=0,P1408&lt;&gt;"Ajuste",P1408&lt;&gt;"Resultado trading"),"⚠ El monto debe ser positivo","✓")))))))))))))))</f>
        <v/>
      </c>
      <c r="P1408" s="52">
        <f>IF(OR(B1408="",G1408=""),"",IF(C1408="","Gasto",C1408))</f>
        <v/>
      </c>
      <c r="Q1408" s="52">
        <f>IF(P1408="","",IF(J1408&lt;&gt;"",J1408,CuentaPred&amp;""))</f>
        <v/>
      </c>
      <c r="R1408" s="52">
        <f>IF(P1408="","",IF(ISNUMBER(I1408),I1408,TasaUSD))</f>
        <v/>
      </c>
      <c r="S1408" s="53">
        <f>IF(P1408="","",IF(H1408="USD",G1408*R1408,G1408))</f>
        <v/>
      </c>
      <c r="T1408" s="53">
        <f>IF(P1408="","",IF(H1408="USD",G1408,IF(R1408&gt;0,G1408/R1408,0)))</f>
        <v/>
      </c>
      <c r="U1408" s="53">
        <f>IF(P1408="","",IF(P1408="Gasto",S1408,IF(P1408="Reembolso",-S1408,0)))</f>
        <v/>
      </c>
      <c r="V1408" s="53">
        <f>IF(P1408="","",IF(P1408="Ingreso",S1408,0))</f>
        <v/>
      </c>
      <c r="W1408" s="53">
        <f>IF(P1408="","",IF(P1408="Resultado trading",S1408,0))</f>
        <v/>
      </c>
      <c r="X1408" s="52">
        <f>IF(OR(P1408="Gasto",P1408="Reembolso"),IF(M1408&lt;&gt;"",M1408,IFERROR(INDEX(catClasif,MATCH(D1408&amp;"|"&amp;E1408,catClave,0))&amp;"","Variable")),"")</f>
        <v/>
      </c>
      <c r="Y1408" s="52">
        <f>IF(P1408="","",IFERROR(INDEX(catGrupo,MATCH(D1408&amp;"|"&amp;E1408,catClave,0))&amp;"",""))</f>
        <v/>
      </c>
      <c r="Z1408" s="52">
        <f>IF(P1408="","",WEEKDAY(B1408,2))</f>
        <v/>
      </c>
      <c r="AA1408" s="52">
        <f>IF(P1408="","",IF(AND(P1408="Gasto",X1408="Variable",D1408&lt;&gt;catTrading,S1408&gt;0,S1408&lt;=Umbral),1,0))</f>
        <v/>
      </c>
      <c r="AB1408" s="52">
        <f>IF(OR(P1408="",Q1408=""),"",IFERROR(IF(INDEX(ctaVinc,MATCH(Q1408,ctaNombre,0))&amp;""&lt;&gt;"",INDEX(ctaVinc,MATCH(Q1408,ctaNombre,0))&amp;"",Q1408),Q1408))</f>
        <v/>
      </c>
      <c r="AC1408" s="52">
        <f>IF(OR(K1408="",AND(P1408&lt;&gt;"Transferencia",P1408&lt;&gt;"Pago tarjeta")),"",IFERROR(IF(INDEX(ctaVinc,MATCH(K1408,ctaNombre,0))&amp;""&lt;&gt;"",INDEX(ctaVinc,MATCH(K1408,ctaNombre,0))&amp;"",K1408),K1408))</f>
        <v/>
      </c>
      <c r="AD1408" s="52">
        <f>IF(AB1408="","",IFERROR(INDEX(ctaTipo,MATCH(AB1408,ctaNombre,0))&amp;"",""))</f>
        <v/>
      </c>
      <c r="AE1408" s="52">
        <f>IF(AC1408="","",IFERROR(INDEX(ctaTipo,MATCH(AC1408,ctaNombre,0))&amp;"",""))</f>
        <v/>
      </c>
      <c r="AF1408" s="53">
        <f>IF(OR(P1408="",AB1408=""),"",IF(OR(P1408="Gasto",P1408="Transferencia",P1408="Pago tarjeta"),-1,1)*IF(IFERROR(INDEX(ctaMoneda,MATCH(AB1408,ctaNombre,0))&amp;"","DOP")="USD",T1408,S1408))</f>
        <v/>
      </c>
      <c r="AG1408" s="53">
        <f>IF(AC1408="","",IF(IFERROR(INDEX(ctaMoneda,MATCH(AC1408,ctaNombre,0))&amp;"","DOP")="USD",T1408,S1408))</f>
        <v/>
      </c>
      <c r="AH1408" s="53">
        <f>IF(P1408="","",IF(AND(AD1408&lt;&gt;"",COUNTIFS(tcTipo,AD1408,tcLiq,"Sí")&gt;0),IF(OR(P1408="Gasto",P1408="Transferencia",P1408="Pago tarjeta"),-1,1)*S1408,0)+IF(AND(AE1408&lt;&gt;"",COUNTIFS(tcTipo,AE1408,tcLiq,"Sí")&gt;0),S1408,0))</f>
        <v/>
      </c>
      <c r="AI1408" s="52">
        <f>IF(OR(L1408="",P1408=""),"",IF(COUNTIFS(L$6:L1408,L1408,P$6:P1408,"?*")=1,MAX(AI$5:AI1407)+1,""))</f>
        <v/>
      </c>
    </row>
    <row r="1409">
      <c r="B1409" s="47" t="n"/>
      <c r="C1409" s="48" t="n"/>
      <c r="D1409" s="48" t="n"/>
      <c r="E1409" s="48" t="n"/>
      <c r="F1409" s="48" t="n"/>
      <c r="G1409" s="49" t="n"/>
      <c r="H1409" s="48" t="n"/>
      <c r="I1409" s="50" t="n"/>
      <c r="J1409" s="48" t="n"/>
      <c r="K1409" s="48" t="n"/>
      <c r="L1409" s="48" t="n"/>
      <c r="M1409" s="48" t="n"/>
      <c r="N1409" s="48" t="n"/>
      <c r="O1409" s="51">
        <f>IF(AND(B1409="",G1409="",C1409="",D1409="",J1409=""),"",IF(B1409="","⚠ Falta fecha",IF(G1409="","⚠ Falta monto",IF(Q1409="","⚠ Falta cuenta",IF(ISNA(MATCH(Q1409,ctaNombre,0)),"⚠ Cuenta no registrada",IF(AND(OR(P1409="Gasto",P1409="Reembolso"),D1409=""),"⚠ Falta categoría",IF(AND(D1409&lt;&gt;"",E1409&lt;&gt;"",ISNA(MATCH(D1409&amp;"|"&amp;E1409,catClave,0))),"⚠ Subcategoría no corresponde",IF(AND(OR(P1409="Transferencia",P1409="Pago tarjeta"),K1409=""),"⚠ Falta cuenta destino",IF(AND(K1409&lt;&gt;"",P1409&lt;&gt;"Transferencia",P1409&lt;&gt;"Pago tarjeta"),"⚠ Destino solo aplica a transferencias",IF(AND(K1409&lt;&gt;"",K1409=Q1409),"⚠ Origen igual a destino",IF(AND(K1409&lt;&gt;"",ISNA(MATCH(K1409,ctaNombre,0))),"⚠ Destino no registrado",IF(AND(P1409="Pago tarjeta",AE1409&lt;&gt;"Tarjeta de crédito"),"⚠ El destino debe ser tarjeta de crédito",IF(AND(P1409="Gasto",E1409="Depósitos y retiros"),"⚠ Usa tipo Transferencia",IF(AND(P1409="Resultado trading",AD1409&lt;&gt;"Cuenta de trading"),"⚠ Usa una cuenta de trading",IF(AND(G1409&lt;=0,P1409&lt;&gt;"Ajuste",P1409&lt;&gt;"Resultado trading"),"⚠ El monto debe ser positivo","✓")))))))))))))))</f>
        <v/>
      </c>
      <c r="P1409" s="52">
        <f>IF(OR(B1409="",G1409=""),"",IF(C1409="","Gasto",C1409))</f>
        <v/>
      </c>
      <c r="Q1409" s="52">
        <f>IF(P1409="","",IF(J1409&lt;&gt;"",J1409,CuentaPred&amp;""))</f>
        <v/>
      </c>
      <c r="R1409" s="52">
        <f>IF(P1409="","",IF(ISNUMBER(I1409),I1409,TasaUSD))</f>
        <v/>
      </c>
      <c r="S1409" s="53">
        <f>IF(P1409="","",IF(H1409="USD",G1409*R1409,G1409))</f>
        <v/>
      </c>
      <c r="T1409" s="53">
        <f>IF(P1409="","",IF(H1409="USD",G1409,IF(R1409&gt;0,G1409/R1409,0)))</f>
        <v/>
      </c>
      <c r="U1409" s="53">
        <f>IF(P1409="","",IF(P1409="Gasto",S1409,IF(P1409="Reembolso",-S1409,0)))</f>
        <v/>
      </c>
      <c r="V1409" s="53">
        <f>IF(P1409="","",IF(P1409="Ingreso",S1409,0))</f>
        <v/>
      </c>
      <c r="W1409" s="53">
        <f>IF(P1409="","",IF(P1409="Resultado trading",S1409,0))</f>
        <v/>
      </c>
      <c r="X1409" s="52">
        <f>IF(OR(P1409="Gasto",P1409="Reembolso"),IF(M1409&lt;&gt;"",M1409,IFERROR(INDEX(catClasif,MATCH(D1409&amp;"|"&amp;E1409,catClave,0))&amp;"","Variable")),"")</f>
        <v/>
      </c>
      <c r="Y1409" s="52">
        <f>IF(P1409="","",IFERROR(INDEX(catGrupo,MATCH(D1409&amp;"|"&amp;E1409,catClave,0))&amp;"",""))</f>
        <v/>
      </c>
      <c r="Z1409" s="52">
        <f>IF(P1409="","",WEEKDAY(B1409,2))</f>
        <v/>
      </c>
      <c r="AA1409" s="52">
        <f>IF(P1409="","",IF(AND(P1409="Gasto",X1409="Variable",D1409&lt;&gt;catTrading,S1409&gt;0,S1409&lt;=Umbral),1,0))</f>
        <v/>
      </c>
      <c r="AB1409" s="52">
        <f>IF(OR(P1409="",Q1409=""),"",IFERROR(IF(INDEX(ctaVinc,MATCH(Q1409,ctaNombre,0))&amp;""&lt;&gt;"",INDEX(ctaVinc,MATCH(Q1409,ctaNombre,0))&amp;"",Q1409),Q1409))</f>
        <v/>
      </c>
      <c r="AC1409" s="52">
        <f>IF(OR(K1409="",AND(P1409&lt;&gt;"Transferencia",P1409&lt;&gt;"Pago tarjeta")),"",IFERROR(IF(INDEX(ctaVinc,MATCH(K1409,ctaNombre,0))&amp;""&lt;&gt;"",INDEX(ctaVinc,MATCH(K1409,ctaNombre,0))&amp;"",K1409),K1409))</f>
        <v/>
      </c>
      <c r="AD1409" s="52">
        <f>IF(AB1409="","",IFERROR(INDEX(ctaTipo,MATCH(AB1409,ctaNombre,0))&amp;"",""))</f>
        <v/>
      </c>
      <c r="AE1409" s="52">
        <f>IF(AC1409="","",IFERROR(INDEX(ctaTipo,MATCH(AC1409,ctaNombre,0))&amp;"",""))</f>
        <v/>
      </c>
      <c r="AF1409" s="53">
        <f>IF(OR(P1409="",AB1409=""),"",IF(OR(P1409="Gasto",P1409="Transferencia",P1409="Pago tarjeta"),-1,1)*IF(IFERROR(INDEX(ctaMoneda,MATCH(AB1409,ctaNombre,0))&amp;"","DOP")="USD",T1409,S1409))</f>
        <v/>
      </c>
      <c r="AG1409" s="53">
        <f>IF(AC1409="","",IF(IFERROR(INDEX(ctaMoneda,MATCH(AC1409,ctaNombre,0))&amp;"","DOP")="USD",T1409,S1409))</f>
        <v/>
      </c>
      <c r="AH1409" s="53">
        <f>IF(P1409="","",IF(AND(AD1409&lt;&gt;"",COUNTIFS(tcTipo,AD1409,tcLiq,"Sí")&gt;0),IF(OR(P1409="Gasto",P1409="Transferencia",P1409="Pago tarjeta"),-1,1)*S1409,0)+IF(AND(AE1409&lt;&gt;"",COUNTIFS(tcTipo,AE1409,tcLiq,"Sí")&gt;0),S1409,0))</f>
        <v/>
      </c>
      <c r="AI1409" s="52">
        <f>IF(OR(L1409="",P1409=""),"",IF(COUNTIFS(L$6:L1409,L1409,P$6:P1409,"?*")=1,MAX(AI$5:AI1408)+1,""))</f>
        <v/>
      </c>
    </row>
    <row r="1410">
      <c r="B1410" s="47" t="n"/>
      <c r="C1410" s="48" t="n"/>
      <c r="D1410" s="48" t="n"/>
      <c r="E1410" s="48" t="n"/>
      <c r="F1410" s="48" t="n"/>
      <c r="G1410" s="49" t="n"/>
      <c r="H1410" s="48" t="n"/>
      <c r="I1410" s="50" t="n"/>
      <c r="J1410" s="48" t="n"/>
      <c r="K1410" s="48" t="n"/>
      <c r="L1410" s="48" t="n"/>
      <c r="M1410" s="48" t="n"/>
      <c r="N1410" s="48" t="n"/>
      <c r="O1410" s="51">
        <f>IF(AND(B1410="",G1410="",C1410="",D1410="",J1410=""),"",IF(B1410="","⚠ Falta fecha",IF(G1410="","⚠ Falta monto",IF(Q1410="","⚠ Falta cuenta",IF(ISNA(MATCH(Q1410,ctaNombre,0)),"⚠ Cuenta no registrada",IF(AND(OR(P1410="Gasto",P1410="Reembolso"),D1410=""),"⚠ Falta categoría",IF(AND(D1410&lt;&gt;"",E1410&lt;&gt;"",ISNA(MATCH(D1410&amp;"|"&amp;E1410,catClave,0))),"⚠ Subcategoría no corresponde",IF(AND(OR(P1410="Transferencia",P1410="Pago tarjeta"),K1410=""),"⚠ Falta cuenta destino",IF(AND(K1410&lt;&gt;"",P1410&lt;&gt;"Transferencia",P1410&lt;&gt;"Pago tarjeta"),"⚠ Destino solo aplica a transferencias",IF(AND(K1410&lt;&gt;"",K1410=Q1410),"⚠ Origen igual a destino",IF(AND(K1410&lt;&gt;"",ISNA(MATCH(K1410,ctaNombre,0))),"⚠ Destino no registrado",IF(AND(P1410="Pago tarjeta",AE1410&lt;&gt;"Tarjeta de crédito"),"⚠ El destino debe ser tarjeta de crédito",IF(AND(P1410="Gasto",E1410="Depósitos y retiros"),"⚠ Usa tipo Transferencia",IF(AND(P1410="Resultado trading",AD1410&lt;&gt;"Cuenta de trading"),"⚠ Usa una cuenta de trading",IF(AND(G1410&lt;=0,P1410&lt;&gt;"Ajuste",P1410&lt;&gt;"Resultado trading"),"⚠ El monto debe ser positivo","✓")))))))))))))))</f>
        <v/>
      </c>
      <c r="P1410" s="52">
        <f>IF(OR(B1410="",G1410=""),"",IF(C1410="","Gasto",C1410))</f>
        <v/>
      </c>
      <c r="Q1410" s="52">
        <f>IF(P1410="","",IF(J1410&lt;&gt;"",J1410,CuentaPred&amp;""))</f>
        <v/>
      </c>
      <c r="R1410" s="52">
        <f>IF(P1410="","",IF(ISNUMBER(I1410),I1410,TasaUSD))</f>
        <v/>
      </c>
      <c r="S1410" s="53">
        <f>IF(P1410="","",IF(H1410="USD",G1410*R1410,G1410))</f>
        <v/>
      </c>
      <c r="T1410" s="53">
        <f>IF(P1410="","",IF(H1410="USD",G1410,IF(R1410&gt;0,G1410/R1410,0)))</f>
        <v/>
      </c>
      <c r="U1410" s="53">
        <f>IF(P1410="","",IF(P1410="Gasto",S1410,IF(P1410="Reembolso",-S1410,0)))</f>
        <v/>
      </c>
      <c r="V1410" s="53">
        <f>IF(P1410="","",IF(P1410="Ingreso",S1410,0))</f>
        <v/>
      </c>
      <c r="W1410" s="53">
        <f>IF(P1410="","",IF(P1410="Resultado trading",S1410,0))</f>
        <v/>
      </c>
      <c r="X1410" s="52">
        <f>IF(OR(P1410="Gasto",P1410="Reembolso"),IF(M1410&lt;&gt;"",M1410,IFERROR(INDEX(catClasif,MATCH(D1410&amp;"|"&amp;E1410,catClave,0))&amp;"","Variable")),"")</f>
        <v/>
      </c>
      <c r="Y1410" s="52">
        <f>IF(P1410="","",IFERROR(INDEX(catGrupo,MATCH(D1410&amp;"|"&amp;E1410,catClave,0))&amp;"",""))</f>
        <v/>
      </c>
      <c r="Z1410" s="52">
        <f>IF(P1410="","",WEEKDAY(B1410,2))</f>
        <v/>
      </c>
      <c r="AA1410" s="52">
        <f>IF(P1410="","",IF(AND(P1410="Gasto",X1410="Variable",D1410&lt;&gt;catTrading,S1410&gt;0,S1410&lt;=Umbral),1,0))</f>
        <v/>
      </c>
      <c r="AB1410" s="52">
        <f>IF(OR(P1410="",Q1410=""),"",IFERROR(IF(INDEX(ctaVinc,MATCH(Q1410,ctaNombre,0))&amp;""&lt;&gt;"",INDEX(ctaVinc,MATCH(Q1410,ctaNombre,0))&amp;"",Q1410),Q1410))</f>
        <v/>
      </c>
      <c r="AC1410" s="52">
        <f>IF(OR(K1410="",AND(P1410&lt;&gt;"Transferencia",P1410&lt;&gt;"Pago tarjeta")),"",IFERROR(IF(INDEX(ctaVinc,MATCH(K1410,ctaNombre,0))&amp;""&lt;&gt;"",INDEX(ctaVinc,MATCH(K1410,ctaNombre,0))&amp;"",K1410),K1410))</f>
        <v/>
      </c>
      <c r="AD1410" s="52">
        <f>IF(AB1410="","",IFERROR(INDEX(ctaTipo,MATCH(AB1410,ctaNombre,0))&amp;"",""))</f>
        <v/>
      </c>
      <c r="AE1410" s="52">
        <f>IF(AC1410="","",IFERROR(INDEX(ctaTipo,MATCH(AC1410,ctaNombre,0))&amp;"",""))</f>
        <v/>
      </c>
      <c r="AF1410" s="53">
        <f>IF(OR(P1410="",AB1410=""),"",IF(OR(P1410="Gasto",P1410="Transferencia",P1410="Pago tarjeta"),-1,1)*IF(IFERROR(INDEX(ctaMoneda,MATCH(AB1410,ctaNombre,0))&amp;"","DOP")="USD",T1410,S1410))</f>
        <v/>
      </c>
      <c r="AG1410" s="53">
        <f>IF(AC1410="","",IF(IFERROR(INDEX(ctaMoneda,MATCH(AC1410,ctaNombre,0))&amp;"","DOP")="USD",T1410,S1410))</f>
        <v/>
      </c>
      <c r="AH1410" s="53">
        <f>IF(P1410="","",IF(AND(AD1410&lt;&gt;"",COUNTIFS(tcTipo,AD1410,tcLiq,"Sí")&gt;0),IF(OR(P1410="Gasto",P1410="Transferencia",P1410="Pago tarjeta"),-1,1)*S1410,0)+IF(AND(AE1410&lt;&gt;"",COUNTIFS(tcTipo,AE1410,tcLiq,"Sí")&gt;0),S1410,0))</f>
        <v/>
      </c>
      <c r="AI1410" s="52">
        <f>IF(OR(L1410="",P1410=""),"",IF(COUNTIFS(L$6:L1410,L1410,P$6:P1410,"?*")=1,MAX(AI$5:AI1409)+1,""))</f>
        <v/>
      </c>
    </row>
    <row r="1411">
      <c r="B1411" s="47" t="n"/>
      <c r="C1411" s="48" t="n"/>
      <c r="D1411" s="48" t="n"/>
      <c r="E1411" s="48" t="n"/>
      <c r="F1411" s="48" t="n"/>
      <c r="G1411" s="49" t="n"/>
      <c r="H1411" s="48" t="n"/>
      <c r="I1411" s="50" t="n"/>
      <c r="J1411" s="48" t="n"/>
      <c r="K1411" s="48" t="n"/>
      <c r="L1411" s="48" t="n"/>
      <c r="M1411" s="48" t="n"/>
      <c r="N1411" s="48" t="n"/>
      <c r="O1411" s="51">
        <f>IF(AND(B1411="",G1411="",C1411="",D1411="",J1411=""),"",IF(B1411="","⚠ Falta fecha",IF(G1411="","⚠ Falta monto",IF(Q1411="","⚠ Falta cuenta",IF(ISNA(MATCH(Q1411,ctaNombre,0)),"⚠ Cuenta no registrada",IF(AND(OR(P1411="Gasto",P1411="Reembolso"),D1411=""),"⚠ Falta categoría",IF(AND(D1411&lt;&gt;"",E1411&lt;&gt;"",ISNA(MATCH(D1411&amp;"|"&amp;E1411,catClave,0))),"⚠ Subcategoría no corresponde",IF(AND(OR(P1411="Transferencia",P1411="Pago tarjeta"),K1411=""),"⚠ Falta cuenta destino",IF(AND(K1411&lt;&gt;"",P1411&lt;&gt;"Transferencia",P1411&lt;&gt;"Pago tarjeta"),"⚠ Destino solo aplica a transferencias",IF(AND(K1411&lt;&gt;"",K1411=Q1411),"⚠ Origen igual a destino",IF(AND(K1411&lt;&gt;"",ISNA(MATCH(K1411,ctaNombre,0))),"⚠ Destino no registrado",IF(AND(P1411="Pago tarjeta",AE1411&lt;&gt;"Tarjeta de crédito"),"⚠ El destino debe ser tarjeta de crédito",IF(AND(P1411="Gasto",E1411="Depósitos y retiros"),"⚠ Usa tipo Transferencia",IF(AND(P1411="Resultado trading",AD1411&lt;&gt;"Cuenta de trading"),"⚠ Usa una cuenta de trading",IF(AND(G1411&lt;=0,P1411&lt;&gt;"Ajuste",P1411&lt;&gt;"Resultado trading"),"⚠ El monto debe ser positivo","✓")))))))))))))))</f>
        <v/>
      </c>
      <c r="P1411" s="52">
        <f>IF(OR(B1411="",G1411=""),"",IF(C1411="","Gasto",C1411))</f>
        <v/>
      </c>
      <c r="Q1411" s="52">
        <f>IF(P1411="","",IF(J1411&lt;&gt;"",J1411,CuentaPred&amp;""))</f>
        <v/>
      </c>
      <c r="R1411" s="52">
        <f>IF(P1411="","",IF(ISNUMBER(I1411),I1411,TasaUSD))</f>
        <v/>
      </c>
      <c r="S1411" s="53">
        <f>IF(P1411="","",IF(H1411="USD",G1411*R1411,G1411))</f>
        <v/>
      </c>
      <c r="T1411" s="53">
        <f>IF(P1411="","",IF(H1411="USD",G1411,IF(R1411&gt;0,G1411/R1411,0)))</f>
        <v/>
      </c>
      <c r="U1411" s="53">
        <f>IF(P1411="","",IF(P1411="Gasto",S1411,IF(P1411="Reembolso",-S1411,0)))</f>
        <v/>
      </c>
      <c r="V1411" s="53">
        <f>IF(P1411="","",IF(P1411="Ingreso",S1411,0))</f>
        <v/>
      </c>
      <c r="W1411" s="53">
        <f>IF(P1411="","",IF(P1411="Resultado trading",S1411,0))</f>
        <v/>
      </c>
      <c r="X1411" s="52">
        <f>IF(OR(P1411="Gasto",P1411="Reembolso"),IF(M1411&lt;&gt;"",M1411,IFERROR(INDEX(catClasif,MATCH(D1411&amp;"|"&amp;E1411,catClave,0))&amp;"","Variable")),"")</f>
        <v/>
      </c>
      <c r="Y1411" s="52">
        <f>IF(P1411="","",IFERROR(INDEX(catGrupo,MATCH(D1411&amp;"|"&amp;E1411,catClave,0))&amp;"",""))</f>
        <v/>
      </c>
      <c r="Z1411" s="52">
        <f>IF(P1411="","",WEEKDAY(B1411,2))</f>
        <v/>
      </c>
      <c r="AA1411" s="52">
        <f>IF(P1411="","",IF(AND(P1411="Gasto",X1411="Variable",D1411&lt;&gt;catTrading,S1411&gt;0,S1411&lt;=Umbral),1,0))</f>
        <v/>
      </c>
      <c r="AB1411" s="52">
        <f>IF(OR(P1411="",Q1411=""),"",IFERROR(IF(INDEX(ctaVinc,MATCH(Q1411,ctaNombre,0))&amp;""&lt;&gt;"",INDEX(ctaVinc,MATCH(Q1411,ctaNombre,0))&amp;"",Q1411),Q1411))</f>
        <v/>
      </c>
      <c r="AC1411" s="52">
        <f>IF(OR(K1411="",AND(P1411&lt;&gt;"Transferencia",P1411&lt;&gt;"Pago tarjeta")),"",IFERROR(IF(INDEX(ctaVinc,MATCH(K1411,ctaNombre,0))&amp;""&lt;&gt;"",INDEX(ctaVinc,MATCH(K1411,ctaNombre,0))&amp;"",K1411),K1411))</f>
        <v/>
      </c>
      <c r="AD1411" s="52">
        <f>IF(AB1411="","",IFERROR(INDEX(ctaTipo,MATCH(AB1411,ctaNombre,0))&amp;"",""))</f>
        <v/>
      </c>
      <c r="AE1411" s="52">
        <f>IF(AC1411="","",IFERROR(INDEX(ctaTipo,MATCH(AC1411,ctaNombre,0))&amp;"",""))</f>
        <v/>
      </c>
      <c r="AF1411" s="53">
        <f>IF(OR(P1411="",AB1411=""),"",IF(OR(P1411="Gasto",P1411="Transferencia",P1411="Pago tarjeta"),-1,1)*IF(IFERROR(INDEX(ctaMoneda,MATCH(AB1411,ctaNombre,0))&amp;"","DOP")="USD",T1411,S1411))</f>
        <v/>
      </c>
      <c r="AG1411" s="53">
        <f>IF(AC1411="","",IF(IFERROR(INDEX(ctaMoneda,MATCH(AC1411,ctaNombre,0))&amp;"","DOP")="USD",T1411,S1411))</f>
        <v/>
      </c>
      <c r="AH1411" s="53">
        <f>IF(P1411="","",IF(AND(AD1411&lt;&gt;"",COUNTIFS(tcTipo,AD1411,tcLiq,"Sí")&gt;0),IF(OR(P1411="Gasto",P1411="Transferencia",P1411="Pago tarjeta"),-1,1)*S1411,0)+IF(AND(AE1411&lt;&gt;"",COUNTIFS(tcTipo,AE1411,tcLiq,"Sí")&gt;0),S1411,0))</f>
        <v/>
      </c>
      <c r="AI1411" s="52">
        <f>IF(OR(L1411="",P1411=""),"",IF(COUNTIFS(L$6:L1411,L1411,P$6:P1411,"?*")=1,MAX(AI$5:AI1410)+1,""))</f>
        <v/>
      </c>
    </row>
    <row r="1412">
      <c r="B1412" s="47" t="n"/>
      <c r="C1412" s="48" t="n"/>
      <c r="D1412" s="48" t="n"/>
      <c r="E1412" s="48" t="n"/>
      <c r="F1412" s="48" t="n"/>
      <c r="G1412" s="49" t="n"/>
      <c r="H1412" s="48" t="n"/>
      <c r="I1412" s="50" t="n"/>
      <c r="J1412" s="48" t="n"/>
      <c r="K1412" s="48" t="n"/>
      <c r="L1412" s="48" t="n"/>
      <c r="M1412" s="48" t="n"/>
      <c r="N1412" s="48" t="n"/>
      <c r="O1412" s="51">
        <f>IF(AND(B1412="",G1412="",C1412="",D1412="",J1412=""),"",IF(B1412="","⚠ Falta fecha",IF(G1412="","⚠ Falta monto",IF(Q1412="","⚠ Falta cuenta",IF(ISNA(MATCH(Q1412,ctaNombre,0)),"⚠ Cuenta no registrada",IF(AND(OR(P1412="Gasto",P1412="Reembolso"),D1412=""),"⚠ Falta categoría",IF(AND(D1412&lt;&gt;"",E1412&lt;&gt;"",ISNA(MATCH(D1412&amp;"|"&amp;E1412,catClave,0))),"⚠ Subcategoría no corresponde",IF(AND(OR(P1412="Transferencia",P1412="Pago tarjeta"),K1412=""),"⚠ Falta cuenta destino",IF(AND(K1412&lt;&gt;"",P1412&lt;&gt;"Transferencia",P1412&lt;&gt;"Pago tarjeta"),"⚠ Destino solo aplica a transferencias",IF(AND(K1412&lt;&gt;"",K1412=Q1412),"⚠ Origen igual a destino",IF(AND(K1412&lt;&gt;"",ISNA(MATCH(K1412,ctaNombre,0))),"⚠ Destino no registrado",IF(AND(P1412="Pago tarjeta",AE1412&lt;&gt;"Tarjeta de crédito"),"⚠ El destino debe ser tarjeta de crédito",IF(AND(P1412="Gasto",E1412="Depósitos y retiros"),"⚠ Usa tipo Transferencia",IF(AND(P1412="Resultado trading",AD1412&lt;&gt;"Cuenta de trading"),"⚠ Usa una cuenta de trading",IF(AND(G1412&lt;=0,P1412&lt;&gt;"Ajuste",P1412&lt;&gt;"Resultado trading"),"⚠ El monto debe ser positivo","✓")))))))))))))))</f>
        <v/>
      </c>
      <c r="P1412" s="52">
        <f>IF(OR(B1412="",G1412=""),"",IF(C1412="","Gasto",C1412))</f>
        <v/>
      </c>
      <c r="Q1412" s="52">
        <f>IF(P1412="","",IF(J1412&lt;&gt;"",J1412,CuentaPred&amp;""))</f>
        <v/>
      </c>
      <c r="R1412" s="52">
        <f>IF(P1412="","",IF(ISNUMBER(I1412),I1412,TasaUSD))</f>
        <v/>
      </c>
      <c r="S1412" s="53">
        <f>IF(P1412="","",IF(H1412="USD",G1412*R1412,G1412))</f>
        <v/>
      </c>
      <c r="T1412" s="53">
        <f>IF(P1412="","",IF(H1412="USD",G1412,IF(R1412&gt;0,G1412/R1412,0)))</f>
        <v/>
      </c>
      <c r="U1412" s="53">
        <f>IF(P1412="","",IF(P1412="Gasto",S1412,IF(P1412="Reembolso",-S1412,0)))</f>
        <v/>
      </c>
      <c r="V1412" s="53">
        <f>IF(P1412="","",IF(P1412="Ingreso",S1412,0))</f>
        <v/>
      </c>
      <c r="W1412" s="53">
        <f>IF(P1412="","",IF(P1412="Resultado trading",S1412,0))</f>
        <v/>
      </c>
      <c r="X1412" s="52">
        <f>IF(OR(P1412="Gasto",P1412="Reembolso"),IF(M1412&lt;&gt;"",M1412,IFERROR(INDEX(catClasif,MATCH(D1412&amp;"|"&amp;E1412,catClave,0))&amp;"","Variable")),"")</f>
        <v/>
      </c>
      <c r="Y1412" s="52">
        <f>IF(P1412="","",IFERROR(INDEX(catGrupo,MATCH(D1412&amp;"|"&amp;E1412,catClave,0))&amp;"",""))</f>
        <v/>
      </c>
      <c r="Z1412" s="52">
        <f>IF(P1412="","",WEEKDAY(B1412,2))</f>
        <v/>
      </c>
      <c r="AA1412" s="52">
        <f>IF(P1412="","",IF(AND(P1412="Gasto",X1412="Variable",D1412&lt;&gt;catTrading,S1412&gt;0,S1412&lt;=Umbral),1,0))</f>
        <v/>
      </c>
      <c r="AB1412" s="52">
        <f>IF(OR(P1412="",Q1412=""),"",IFERROR(IF(INDEX(ctaVinc,MATCH(Q1412,ctaNombre,0))&amp;""&lt;&gt;"",INDEX(ctaVinc,MATCH(Q1412,ctaNombre,0))&amp;"",Q1412),Q1412))</f>
        <v/>
      </c>
      <c r="AC1412" s="52">
        <f>IF(OR(K1412="",AND(P1412&lt;&gt;"Transferencia",P1412&lt;&gt;"Pago tarjeta")),"",IFERROR(IF(INDEX(ctaVinc,MATCH(K1412,ctaNombre,0))&amp;""&lt;&gt;"",INDEX(ctaVinc,MATCH(K1412,ctaNombre,0))&amp;"",K1412),K1412))</f>
        <v/>
      </c>
      <c r="AD1412" s="52">
        <f>IF(AB1412="","",IFERROR(INDEX(ctaTipo,MATCH(AB1412,ctaNombre,0))&amp;"",""))</f>
        <v/>
      </c>
      <c r="AE1412" s="52">
        <f>IF(AC1412="","",IFERROR(INDEX(ctaTipo,MATCH(AC1412,ctaNombre,0))&amp;"",""))</f>
        <v/>
      </c>
      <c r="AF1412" s="53">
        <f>IF(OR(P1412="",AB1412=""),"",IF(OR(P1412="Gasto",P1412="Transferencia",P1412="Pago tarjeta"),-1,1)*IF(IFERROR(INDEX(ctaMoneda,MATCH(AB1412,ctaNombre,0))&amp;"","DOP")="USD",T1412,S1412))</f>
        <v/>
      </c>
      <c r="AG1412" s="53">
        <f>IF(AC1412="","",IF(IFERROR(INDEX(ctaMoneda,MATCH(AC1412,ctaNombre,0))&amp;"","DOP")="USD",T1412,S1412))</f>
        <v/>
      </c>
      <c r="AH1412" s="53">
        <f>IF(P1412="","",IF(AND(AD1412&lt;&gt;"",COUNTIFS(tcTipo,AD1412,tcLiq,"Sí")&gt;0),IF(OR(P1412="Gasto",P1412="Transferencia",P1412="Pago tarjeta"),-1,1)*S1412,0)+IF(AND(AE1412&lt;&gt;"",COUNTIFS(tcTipo,AE1412,tcLiq,"Sí")&gt;0),S1412,0))</f>
        <v/>
      </c>
      <c r="AI1412" s="52">
        <f>IF(OR(L1412="",P1412=""),"",IF(COUNTIFS(L$6:L1412,L1412,P$6:P1412,"?*")=1,MAX(AI$5:AI1411)+1,""))</f>
        <v/>
      </c>
    </row>
    <row r="1413">
      <c r="B1413" s="47" t="n"/>
      <c r="C1413" s="48" t="n"/>
      <c r="D1413" s="48" t="n"/>
      <c r="E1413" s="48" t="n"/>
      <c r="F1413" s="48" t="n"/>
      <c r="G1413" s="49" t="n"/>
      <c r="H1413" s="48" t="n"/>
      <c r="I1413" s="50" t="n"/>
      <c r="J1413" s="48" t="n"/>
      <c r="K1413" s="48" t="n"/>
      <c r="L1413" s="48" t="n"/>
      <c r="M1413" s="48" t="n"/>
      <c r="N1413" s="48" t="n"/>
      <c r="O1413" s="51">
        <f>IF(AND(B1413="",G1413="",C1413="",D1413="",J1413=""),"",IF(B1413="","⚠ Falta fecha",IF(G1413="","⚠ Falta monto",IF(Q1413="","⚠ Falta cuenta",IF(ISNA(MATCH(Q1413,ctaNombre,0)),"⚠ Cuenta no registrada",IF(AND(OR(P1413="Gasto",P1413="Reembolso"),D1413=""),"⚠ Falta categoría",IF(AND(D1413&lt;&gt;"",E1413&lt;&gt;"",ISNA(MATCH(D1413&amp;"|"&amp;E1413,catClave,0))),"⚠ Subcategoría no corresponde",IF(AND(OR(P1413="Transferencia",P1413="Pago tarjeta"),K1413=""),"⚠ Falta cuenta destino",IF(AND(K1413&lt;&gt;"",P1413&lt;&gt;"Transferencia",P1413&lt;&gt;"Pago tarjeta"),"⚠ Destino solo aplica a transferencias",IF(AND(K1413&lt;&gt;"",K1413=Q1413),"⚠ Origen igual a destino",IF(AND(K1413&lt;&gt;"",ISNA(MATCH(K1413,ctaNombre,0))),"⚠ Destino no registrado",IF(AND(P1413="Pago tarjeta",AE1413&lt;&gt;"Tarjeta de crédito"),"⚠ El destino debe ser tarjeta de crédito",IF(AND(P1413="Gasto",E1413="Depósitos y retiros"),"⚠ Usa tipo Transferencia",IF(AND(P1413="Resultado trading",AD1413&lt;&gt;"Cuenta de trading"),"⚠ Usa una cuenta de trading",IF(AND(G1413&lt;=0,P1413&lt;&gt;"Ajuste",P1413&lt;&gt;"Resultado trading"),"⚠ El monto debe ser positivo","✓")))))))))))))))</f>
        <v/>
      </c>
      <c r="P1413" s="52">
        <f>IF(OR(B1413="",G1413=""),"",IF(C1413="","Gasto",C1413))</f>
        <v/>
      </c>
      <c r="Q1413" s="52">
        <f>IF(P1413="","",IF(J1413&lt;&gt;"",J1413,CuentaPred&amp;""))</f>
        <v/>
      </c>
      <c r="R1413" s="52">
        <f>IF(P1413="","",IF(ISNUMBER(I1413),I1413,TasaUSD))</f>
        <v/>
      </c>
      <c r="S1413" s="53">
        <f>IF(P1413="","",IF(H1413="USD",G1413*R1413,G1413))</f>
        <v/>
      </c>
      <c r="T1413" s="53">
        <f>IF(P1413="","",IF(H1413="USD",G1413,IF(R1413&gt;0,G1413/R1413,0)))</f>
        <v/>
      </c>
      <c r="U1413" s="53">
        <f>IF(P1413="","",IF(P1413="Gasto",S1413,IF(P1413="Reembolso",-S1413,0)))</f>
        <v/>
      </c>
      <c r="V1413" s="53">
        <f>IF(P1413="","",IF(P1413="Ingreso",S1413,0))</f>
        <v/>
      </c>
      <c r="W1413" s="53">
        <f>IF(P1413="","",IF(P1413="Resultado trading",S1413,0))</f>
        <v/>
      </c>
      <c r="X1413" s="52">
        <f>IF(OR(P1413="Gasto",P1413="Reembolso"),IF(M1413&lt;&gt;"",M1413,IFERROR(INDEX(catClasif,MATCH(D1413&amp;"|"&amp;E1413,catClave,0))&amp;"","Variable")),"")</f>
        <v/>
      </c>
      <c r="Y1413" s="52">
        <f>IF(P1413="","",IFERROR(INDEX(catGrupo,MATCH(D1413&amp;"|"&amp;E1413,catClave,0))&amp;"",""))</f>
        <v/>
      </c>
      <c r="Z1413" s="52">
        <f>IF(P1413="","",WEEKDAY(B1413,2))</f>
        <v/>
      </c>
      <c r="AA1413" s="52">
        <f>IF(P1413="","",IF(AND(P1413="Gasto",X1413="Variable",D1413&lt;&gt;catTrading,S1413&gt;0,S1413&lt;=Umbral),1,0))</f>
        <v/>
      </c>
      <c r="AB1413" s="52">
        <f>IF(OR(P1413="",Q1413=""),"",IFERROR(IF(INDEX(ctaVinc,MATCH(Q1413,ctaNombre,0))&amp;""&lt;&gt;"",INDEX(ctaVinc,MATCH(Q1413,ctaNombre,0))&amp;"",Q1413),Q1413))</f>
        <v/>
      </c>
      <c r="AC1413" s="52">
        <f>IF(OR(K1413="",AND(P1413&lt;&gt;"Transferencia",P1413&lt;&gt;"Pago tarjeta")),"",IFERROR(IF(INDEX(ctaVinc,MATCH(K1413,ctaNombre,0))&amp;""&lt;&gt;"",INDEX(ctaVinc,MATCH(K1413,ctaNombre,0))&amp;"",K1413),K1413))</f>
        <v/>
      </c>
      <c r="AD1413" s="52">
        <f>IF(AB1413="","",IFERROR(INDEX(ctaTipo,MATCH(AB1413,ctaNombre,0))&amp;"",""))</f>
        <v/>
      </c>
      <c r="AE1413" s="52">
        <f>IF(AC1413="","",IFERROR(INDEX(ctaTipo,MATCH(AC1413,ctaNombre,0))&amp;"",""))</f>
        <v/>
      </c>
      <c r="AF1413" s="53">
        <f>IF(OR(P1413="",AB1413=""),"",IF(OR(P1413="Gasto",P1413="Transferencia",P1413="Pago tarjeta"),-1,1)*IF(IFERROR(INDEX(ctaMoneda,MATCH(AB1413,ctaNombre,0))&amp;"","DOP")="USD",T1413,S1413))</f>
        <v/>
      </c>
      <c r="AG1413" s="53">
        <f>IF(AC1413="","",IF(IFERROR(INDEX(ctaMoneda,MATCH(AC1413,ctaNombre,0))&amp;"","DOP")="USD",T1413,S1413))</f>
        <v/>
      </c>
      <c r="AH1413" s="53">
        <f>IF(P1413="","",IF(AND(AD1413&lt;&gt;"",COUNTIFS(tcTipo,AD1413,tcLiq,"Sí")&gt;0),IF(OR(P1413="Gasto",P1413="Transferencia",P1413="Pago tarjeta"),-1,1)*S1413,0)+IF(AND(AE1413&lt;&gt;"",COUNTIFS(tcTipo,AE1413,tcLiq,"Sí")&gt;0),S1413,0))</f>
        <v/>
      </c>
      <c r="AI1413" s="52">
        <f>IF(OR(L1413="",P1413=""),"",IF(COUNTIFS(L$6:L1413,L1413,P$6:P1413,"?*")=1,MAX(AI$5:AI1412)+1,""))</f>
        <v/>
      </c>
    </row>
    <row r="1414">
      <c r="B1414" s="47" t="n"/>
      <c r="C1414" s="48" t="n"/>
      <c r="D1414" s="48" t="n"/>
      <c r="E1414" s="48" t="n"/>
      <c r="F1414" s="48" t="n"/>
      <c r="G1414" s="49" t="n"/>
      <c r="H1414" s="48" t="n"/>
      <c r="I1414" s="50" t="n"/>
      <c r="J1414" s="48" t="n"/>
      <c r="K1414" s="48" t="n"/>
      <c r="L1414" s="48" t="n"/>
      <c r="M1414" s="48" t="n"/>
      <c r="N1414" s="48" t="n"/>
      <c r="O1414" s="51">
        <f>IF(AND(B1414="",G1414="",C1414="",D1414="",J1414=""),"",IF(B1414="","⚠ Falta fecha",IF(G1414="","⚠ Falta monto",IF(Q1414="","⚠ Falta cuenta",IF(ISNA(MATCH(Q1414,ctaNombre,0)),"⚠ Cuenta no registrada",IF(AND(OR(P1414="Gasto",P1414="Reembolso"),D1414=""),"⚠ Falta categoría",IF(AND(D1414&lt;&gt;"",E1414&lt;&gt;"",ISNA(MATCH(D1414&amp;"|"&amp;E1414,catClave,0))),"⚠ Subcategoría no corresponde",IF(AND(OR(P1414="Transferencia",P1414="Pago tarjeta"),K1414=""),"⚠ Falta cuenta destino",IF(AND(K1414&lt;&gt;"",P1414&lt;&gt;"Transferencia",P1414&lt;&gt;"Pago tarjeta"),"⚠ Destino solo aplica a transferencias",IF(AND(K1414&lt;&gt;"",K1414=Q1414),"⚠ Origen igual a destino",IF(AND(K1414&lt;&gt;"",ISNA(MATCH(K1414,ctaNombre,0))),"⚠ Destino no registrado",IF(AND(P1414="Pago tarjeta",AE1414&lt;&gt;"Tarjeta de crédito"),"⚠ El destino debe ser tarjeta de crédito",IF(AND(P1414="Gasto",E1414="Depósitos y retiros"),"⚠ Usa tipo Transferencia",IF(AND(P1414="Resultado trading",AD1414&lt;&gt;"Cuenta de trading"),"⚠ Usa una cuenta de trading",IF(AND(G1414&lt;=0,P1414&lt;&gt;"Ajuste",P1414&lt;&gt;"Resultado trading"),"⚠ El monto debe ser positivo","✓")))))))))))))))</f>
        <v/>
      </c>
      <c r="P1414" s="52">
        <f>IF(OR(B1414="",G1414=""),"",IF(C1414="","Gasto",C1414))</f>
        <v/>
      </c>
      <c r="Q1414" s="52">
        <f>IF(P1414="","",IF(J1414&lt;&gt;"",J1414,CuentaPred&amp;""))</f>
        <v/>
      </c>
      <c r="R1414" s="52">
        <f>IF(P1414="","",IF(ISNUMBER(I1414),I1414,TasaUSD))</f>
        <v/>
      </c>
      <c r="S1414" s="53">
        <f>IF(P1414="","",IF(H1414="USD",G1414*R1414,G1414))</f>
        <v/>
      </c>
      <c r="T1414" s="53">
        <f>IF(P1414="","",IF(H1414="USD",G1414,IF(R1414&gt;0,G1414/R1414,0)))</f>
        <v/>
      </c>
      <c r="U1414" s="53">
        <f>IF(P1414="","",IF(P1414="Gasto",S1414,IF(P1414="Reembolso",-S1414,0)))</f>
        <v/>
      </c>
      <c r="V1414" s="53">
        <f>IF(P1414="","",IF(P1414="Ingreso",S1414,0))</f>
        <v/>
      </c>
      <c r="W1414" s="53">
        <f>IF(P1414="","",IF(P1414="Resultado trading",S1414,0))</f>
        <v/>
      </c>
      <c r="X1414" s="52">
        <f>IF(OR(P1414="Gasto",P1414="Reembolso"),IF(M1414&lt;&gt;"",M1414,IFERROR(INDEX(catClasif,MATCH(D1414&amp;"|"&amp;E1414,catClave,0))&amp;"","Variable")),"")</f>
        <v/>
      </c>
      <c r="Y1414" s="52">
        <f>IF(P1414="","",IFERROR(INDEX(catGrupo,MATCH(D1414&amp;"|"&amp;E1414,catClave,0))&amp;"",""))</f>
        <v/>
      </c>
      <c r="Z1414" s="52">
        <f>IF(P1414="","",WEEKDAY(B1414,2))</f>
        <v/>
      </c>
      <c r="AA1414" s="52">
        <f>IF(P1414="","",IF(AND(P1414="Gasto",X1414="Variable",D1414&lt;&gt;catTrading,S1414&gt;0,S1414&lt;=Umbral),1,0))</f>
        <v/>
      </c>
      <c r="AB1414" s="52">
        <f>IF(OR(P1414="",Q1414=""),"",IFERROR(IF(INDEX(ctaVinc,MATCH(Q1414,ctaNombre,0))&amp;""&lt;&gt;"",INDEX(ctaVinc,MATCH(Q1414,ctaNombre,0))&amp;"",Q1414),Q1414))</f>
        <v/>
      </c>
      <c r="AC1414" s="52">
        <f>IF(OR(K1414="",AND(P1414&lt;&gt;"Transferencia",P1414&lt;&gt;"Pago tarjeta")),"",IFERROR(IF(INDEX(ctaVinc,MATCH(K1414,ctaNombre,0))&amp;""&lt;&gt;"",INDEX(ctaVinc,MATCH(K1414,ctaNombre,0))&amp;"",K1414),K1414))</f>
        <v/>
      </c>
      <c r="AD1414" s="52">
        <f>IF(AB1414="","",IFERROR(INDEX(ctaTipo,MATCH(AB1414,ctaNombre,0))&amp;"",""))</f>
        <v/>
      </c>
      <c r="AE1414" s="52">
        <f>IF(AC1414="","",IFERROR(INDEX(ctaTipo,MATCH(AC1414,ctaNombre,0))&amp;"",""))</f>
        <v/>
      </c>
      <c r="AF1414" s="53">
        <f>IF(OR(P1414="",AB1414=""),"",IF(OR(P1414="Gasto",P1414="Transferencia",P1414="Pago tarjeta"),-1,1)*IF(IFERROR(INDEX(ctaMoneda,MATCH(AB1414,ctaNombre,0))&amp;"","DOP")="USD",T1414,S1414))</f>
        <v/>
      </c>
      <c r="AG1414" s="53">
        <f>IF(AC1414="","",IF(IFERROR(INDEX(ctaMoneda,MATCH(AC1414,ctaNombre,0))&amp;"","DOP")="USD",T1414,S1414))</f>
        <v/>
      </c>
      <c r="AH1414" s="53">
        <f>IF(P1414="","",IF(AND(AD1414&lt;&gt;"",COUNTIFS(tcTipo,AD1414,tcLiq,"Sí")&gt;0),IF(OR(P1414="Gasto",P1414="Transferencia",P1414="Pago tarjeta"),-1,1)*S1414,0)+IF(AND(AE1414&lt;&gt;"",COUNTIFS(tcTipo,AE1414,tcLiq,"Sí")&gt;0),S1414,0))</f>
        <v/>
      </c>
      <c r="AI1414" s="52">
        <f>IF(OR(L1414="",P1414=""),"",IF(COUNTIFS(L$6:L1414,L1414,P$6:P1414,"?*")=1,MAX(AI$5:AI1413)+1,""))</f>
        <v/>
      </c>
    </row>
    <row r="1415">
      <c r="B1415" s="47" t="n"/>
      <c r="C1415" s="48" t="n"/>
      <c r="D1415" s="48" t="n"/>
      <c r="E1415" s="48" t="n"/>
      <c r="F1415" s="48" t="n"/>
      <c r="G1415" s="49" t="n"/>
      <c r="H1415" s="48" t="n"/>
      <c r="I1415" s="50" t="n"/>
      <c r="J1415" s="48" t="n"/>
      <c r="K1415" s="48" t="n"/>
      <c r="L1415" s="48" t="n"/>
      <c r="M1415" s="48" t="n"/>
      <c r="N1415" s="48" t="n"/>
      <c r="O1415" s="51">
        <f>IF(AND(B1415="",G1415="",C1415="",D1415="",J1415=""),"",IF(B1415="","⚠ Falta fecha",IF(G1415="","⚠ Falta monto",IF(Q1415="","⚠ Falta cuenta",IF(ISNA(MATCH(Q1415,ctaNombre,0)),"⚠ Cuenta no registrada",IF(AND(OR(P1415="Gasto",P1415="Reembolso"),D1415=""),"⚠ Falta categoría",IF(AND(D1415&lt;&gt;"",E1415&lt;&gt;"",ISNA(MATCH(D1415&amp;"|"&amp;E1415,catClave,0))),"⚠ Subcategoría no corresponde",IF(AND(OR(P1415="Transferencia",P1415="Pago tarjeta"),K1415=""),"⚠ Falta cuenta destino",IF(AND(K1415&lt;&gt;"",P1415&lt;&gt;"Transferencia",P1415&lt;&gt;"Pago tarjeta"),"⚠ Destino solo aplica a transferencias",IF(AND(K1415&lt;&gt;"",K1415=Q1415),"⚠ Origen igual a destino",IF(AND(K1415&lt;&gt;"",ISNA(MATCH(K1415,ctaNombre,0))),"⚠ Destino no registrado",IF(AND(P1415="Pago tarjeta",AE1415&lt;&gt;"Tarjeta de crédito"),"⚠ El destino debe ser tarjeta de crédito",IF(AND(P1415="Gasto",E1415="Depósitos y retiros"),"⚠ Usa tipo Transferencia",IF(AND(P1415="Resultado trading",AD1415&lt;&gt;"Cuenta de trading"),"⚠ Usa una cuenta de trading",IF(AND(G1415&lt;=0,P1415&lt;&gt;"Ajuste",P1415&lt;&gt;"Resultado trading"),"⚠ El monto debe ser positivo","✓")))))))))))))))</f>
        <v/>
      </c>
      <c r="P1415" s="52">
        <f>IF(OR(B1415="",G1415=""),"",IF(C1415="","Gasto",C1415))</f>
        <v/>
      </c>
      <c r="Q1415" s="52">
        <f>IF(P1415="","",IF(J1415&lt;&gt;"",J1415,CuentaPred&amp;""))</f>
        <v/>
      </c>
      <c r="R1415" s="52">
        <f>IF(P1415="","",IF(ISNUMBER(I1415),I1415,TasaUSD))</f>
        <v/>
      </c>
      <c r="S1415" s="53">
        <f>IF(P1415="","",IF(H1415="USD",G1415*R1415,G1415))</f>
        <v/>
      </c>
      <c r="T1415" s="53">
        <f>IF(P1415="","",IF(H1415="USD",G1415,IF(R1415&gt;0,G1415/R1415,0)))</f>
        <v/>
      </c>
      <c r="U1415" s="53">
        <f>IF(P1415="","",IF(P1415="Gasto",S1415,IF(P1415="Reembolso",-S1415,0)))</f>
        <v/>
      </c>
      <c r="V1415" s="53">
        <f>IF(P1415="","",IF(P1415="Ingreso",S1415,0))</f>
        <v/>
      </c>
      <c r="W1415" s="53">
        <f>IF(P1415="","",IF(P1415="Resultado trading",S1415,0))</f>
        <v/>
      </c>
      <c r="X1415" s="52">
        <f>IF(OR(P1415="Gasto",P1415="Reembolso"),IF(M1415&lt;&gt;"",M1415,IFERROR(INDEX(catClasif,MATCH(D1415&amp;"|"&amp;E1415,catClave,0))&amp;"","Variable")),"")</f>
        <v/>
      </c>
      <c r="Y1415" s="52">
        <f>IF(P1415="","",IFERROR(INDEX(catGrupo,MATCH(D1415&amp;"|"&amp;E1415,catClave,0))&amp;"",""))</f>
        <v/>
      </c>
      <c r="Z1415" s="52">
        <f>IF(P1415="","",WEEKDAY(B1415,2))</f>
        <v/>
      </c>
      <c r="AA1415" s="52">
        <f>IF(P1415="","",IF(AND(P1415="Gasto",X1415="Variable",D1415&lt;&gt;catTrading,S1415&gt;0,S1415&lt;=Umbral),1,0))</f>
        <v/>
      </c>
      <c r="AB1415" s="52">
        <f>IF(OR(P1415="",Q1415=""),"",IFERROR(IF(INDEX(ctaVinc,MATCH(Q1415,ctaNombre,0))&amp;""&lt;&gt;"",INDEX(ctaVinc,MATCH(Q1415,ctaNombre,0))&amp;"",Q1415),Q1415))</f>
        <v/>
      </c>
      <c r="AC1415" s="52">
        <f>IF(OR(K1415="",AND(P1415&lt;&gt;"Transferencia",P1415&lt;&gt;"Pago tarjeta")),"",IFERROR(IF(INDEX(ctaVinc,MATCH(K1415,ctaNombre,0))&amp;""&lt;&gt;"",INDEX(ctaVinc,MATCH(K1415,ctaNombre,0))&amp;"",K1415),K1415))</f>
        <v/>
      </c>
      <c r="AD1415" s="52">
        <f>IF(AB1415="","",IFERROR(INDEX(ctaTipo,MATCH(AB1415,ctaNombre,0))&amp;"",""))</f>
        <v/>
      </c>
      <c r="AE1415" s="52">
        <f>IF(AC1415="","",IFERROR(INDEX(ctaTipo,MATCH(AC1415,ctaNombre,0))&amp;"",""))</f>
        <v/>
      </c>
      <c r="AF1415" s="53">
        <f>IF(OR(P1415="",AB1415=""),"",IF(OR(P1415="Gasto",P1415="Transferencia",P1415="Pago tarjeta"),-1,1)*IF(IFERROR(INDEX(ctaMoneda,MATCH(AB1415,ctaNombre,0))&amp;"","DOP")="USD",T1415,S1415))</f>
        <v/>
      </c>
      <c r="AG1415" s="53">
        <f>IF(AC1415="","",IF(IFERROR(INDEX(ctaMoneda,MATCH(AC1415,ctaNombre,0))&amp;"","DOP")="USD",T1415,S1415))</f>
        <v/>
      </c>
      <c r="AH1415" s="53">
        <f>IF(P1415="","",IF(AND(AD1415&lt;&gt;"",COUNTIFS(tcTipo,AD1415,tcLiq,"Sí")&gt;0),IF(OR(P1415="Gasto",P1415="Transferencia",P1415="Pago tarjeta"),-1,1)*S1415,0)+IF(AND(AE1415&lt;&gt;"",COUNTIFS(tcTipo,AE1415,tcLiq,"Sí")&gt;0),S1415,0))</f>
        <v/>
      </c>
      <c r="AI1415" s="52">
        <f>IF(OR(L1415="",P1415=""),"",IF(COUNTIFS(L$6:L1415,L1415,P$6:P1415,"?*")=1,MAX(AI$5:AI1414)+1,""))</f>
        <v/>
      </c>
    </row>
    <row r="1416">
      <c r="B1416" s="47" t="n"/>
      <c r="C1416" s="48" t="n"/>
      <c r="D1416" s="48" t="n"/>
      <c r="E1416" s="48" t="n"/>
      <c r="F1416" s="48" t="n"/>
      <c r="G1416" s="49" t="n"/>
      <c r="H1416" s="48" t="n"/>
      <c r="I1416" s="50" t="n"/>
      <c r="J1416" s="48" t="n"/>
      <c r="K1416" s="48" t="n"/>
      <c r="L1416" s="48" t="n"/>
      <c r="M1416" s="48" t="n"/>
      <c r="N1416" s="48" t="n"/>
      <c r="O1416" s="51">
        <f>IF(AND(B1416="",G1416="",C1416="",D1416="",J1416=""),"",IF(B1416="","⚠ Falta fecha",IF(G1416="","⚠ Falta monto",IF(Q1416="","⚠ Falta cuenta",IF(ISNA(MATCH(Q1416,ctaNombre,0)),"⚠ Cuenta no registrada",IF(AND(OR(P1416="Gasto",P1416="Reembolso"),D1416=""),"⚠ Falta categoría",IF(AND(D1416&lt;&gt;"",E1416&lt;&gt;"",ISNA(MATCH(D1416&amp;"|"&amp;E1416,catClave,0))),"⚠ Subcategoría no corresponde",IF(AND(OR(P1416="Transferencia",P1416="Pago tarjeta"),K1416=""),"⚠ Falta cuenta destino",IF(AND(K1416&lt;&gt;"",P1416&lt;&gt;"Transferencia",P1416&lt;&gt;"Pago tarjeta"),"⚠ Destino solo aplica a transferencias",IF(AND(K1416&lt;&gt;"",K1416=Q1416),"⚠ Origen igual a destino",IF(AND(K1416&lt;&gt;"",ISNA(MATCH(K1416,ctaNombre,0))),"⚠ Destino no registrado",IF(AND(P1416="Pago tarjeta",AE1416&lt;&gt;"Tarjeta de crédito"),"⚠ El destino debe ser tarjeta de crédito",IF(AND(P1416="Gasto",E1416="Depósitos y retiros"),"⚠ Usa tipo Transferencia",IF(AND(P1416="Resultado trading",AD1416&lt;&gt;"Cuenta de trading"),"⚠ Usa una cuenta de trading",IF(AND(G1416&lt;=0,P1416&lt;&gt;"Ajuste",P1416&lt;&gt;"Resultado trading"),"⚠ El monto debe ser positivo","✓")))))))))))))))</f>
        <v/>
      </c>
      <c r="P1416" s="52">
        <f>IF(OR(B1416="",G1416=""),"",IF(C1416="","Gasto",C1416))</f>
        <v/>
      </c>
      <c r="Q1416" s="52">
        <f>IF(P1416="","",IF(J1416&lt;&gt;"",J1416,CuentaPred&amp;""))</f>
        <v/>
      </c>
      <c r="R1416" s="52">
        <f>IF(P1416="","",IF(ISNUMBER(I1416),I1416,TasaUSD))</f>
        <v/>
      </c>
      <c r="S1416" s="53">
        <f>IF(P1416="","",IF(H1416="USD",G1416*R1416,G1416))</f>
        <v/>
      </c>
      <c r="T1416" s="53">
        <f>IF(P1416="","",IF(H1416="USD",G1416,IF(R1416&gt;0,G1416/R1416,0)))</f>
        <v/>
      </c>
      <c r="U1416" s="53">
        <f>IF(P1416="","",IF(P1416="Gasto",S1416,IF(P1416="Reembolso",-S1416,0)))</f>
        <v/>
      </c>
      <c r="V1416" s="53">
        <f>IF(P1416="","",IF(P1416="Ingreso",S1416,0))</f>
        <v/>
      </c>
      <c r="W1416" s="53">
        <f>IF(P1416="","",IF(P1416="Resultado trading",S1416,0))</f>
        <v/>
      </c>
      <c r="X1416" s="52">
        <f>IF(OR(P1416="Gasto",P1416="Reembolso"),IF(M1416&lt;&gt;"",M1416,IFERROR(INDEX(catClasif,MATCH(D1416&amp;"|"&amp;E1416,catClave,0))&amp;"","Variable")),"")</f>
        <v/>
      </c>
      <c r="Y1416" s="52">
        <f>IF(P1416="","",IFERROR(INDEX(catGrupo,MATCH(D1416&amp;"|"&amp;E1416,catClave,0))&amp;"",""))</f>
        <v/>
      </c>
      <c r="Z1416" s="52">
        <f>IF(P1416="","",WEEKDAY(B1416,2))</f>
        <v/>
      </c>
      <c r="AA1416" s="52">
        <f>IF(P1416="","",IF(AND(P1416="Gasto",X1416="Variable",D1416&lt;&gt;catTrading,S1416&gt;0,S1416&lt;=Umbral),1,0))</f>
        <v/>
      </c>
      <c r="AB1416" s="52">
        <f>IF(OR(P1416="",Q1416=""),"",IFERROR(IF(INDEX(ctaVinc,MATCH(Q1416,ctaNombre,0))&amp;""&lt;&gt;"",INDEX(ctaVinc,MATCH(Q1416,ctaNombre,0))&amp;"",Q1416),Q1416))</f>
        <v/>
      </c>
      <c r="AC1416" s="52">
        <f>IF(OR(K1416="",AND(P1416&lt;&gt;"Transferencia",P1416&lt;&gt;"Pago tarjeta")),"",IFERROR(IF(INDEX(ctaVinc,MATCH(K1416,ctaNombre,0))&amp;""&lt;&gt;"",INDEX(ctaVinc,MATCH(K1416,ctaNombre,0))&amp;"",K1416),K1416))</f>
        <v/>
      </c>
      <c r="AD1416" s="52">
        <f>IF(AB1416="","",IFERROR(INDEX(ctaTipo,MATCH(AB1416,ctaNombre,0))&amp;"",""))</f>
        <v/>
      </c>
      <c r="AE1416" s="52">
        <f>IF(AC1416="","",IFERROR(INDEX(ctaTipo,MATCH(AC1416,ctaNombre,0))&amp;"",""))</f>
        <v/>
      </c>
      <c r="AF1416" s="53">
        <f>IF(OR(P1416="",AB1416=""),"",IF(OR(P1416="Gasto",P1416="Transferencia",P1416="Pago tarjeta"),-1,1)*IF(IFERROR(INDEX(ctaMoneda,MATCH(AB1416,ctaNombre,0))&amp;"","DOP")="USD",T1416,S1416))</f>
        <v/>
      </c>
      <c r="AG1416" s="53">
        <f>IF(AC1416="","",IF(IFERROR(INDEX(ctaMoneda,MATCH(AC1416,ctaNombre,0))&amp;"","DOP")="USD",T1416,S1416))</f>
        <v/>
      </c>
      <c r="AH1416" s="53">
        <f>IF(P1416="","",IF(AND(AD1416&lt;&gt;"",COUNTIFS(tcTipo,AD1416,tcLiq,"Sí")&gt;0),IF(OR(P1416="Gasto",P1416="Transferencia",P1416="Pago tarjeta"),-1,1)*S1416,0)+IF(AND(AE1416&lt;&gt;"",COUNTIFS(tcTipo,AE1416,tcLiq,"Sí")&gt;0),S1416,0))</f>
        <v/>
      </c>
      <c r="AI1416" s="52">
        <f>IF(OR(L1416="",P1416=""),"",IF(COUNTIFS(L$6:L1416,L1416,P$6:P1416,"?*")=1,MAX(AI$5:AI1415)+1,""))</f>
        <v/>
      </c>
    </row>
    <row r="1417">
      <c r="B1417" s="47" t="n"/>
      <c r="C1417" s="48" t="n"/>
      <c r="D1417" s="48" t="n"/>
      <c r="E1417" s="48" t="n"/>
      <c r="F1417" s="48" t="n"/>
      <c r="G1417" s="49" t="n"/>
      <c r="H1417" s="48" t="n"/>
      <c r="I1417" s="50" t="n"/>
      <c r="J1417" s="48" t="n"/>
      <c r="K1417" s="48" t="n"/>
      <c r="L1417" s="48" t="n"/>
      <c r="M1417" s="48" t="n"/>
      <c r="N1417" s="48" t="n"/>
      <c r="O1417" s="51">
        <f>IF(AND(B1417="",G1417="",C1417="",D1417="",J1417=""),"",IF(B1417="","⚠ Falta fecha",IF(G1417="","⚠ Falta monto",IF(Q1417="","⚠ Falta cuenta",IF(ISNA(MATCH(Q1417,ctaNombre,0)),"⚠ Cuenta no registrada",IF(AND(OR(P1417="Gasto",P1417="Reembolso"),D1417=""),"⚠ Falta categoría",IF(AND(D1417&lt;&gt;"",E1417&lt;&gt;"",ISNA(MATCH(D1417&amp;"|"&amp;E1417,catClave,0))),"⚠ Subcategoría no corresponde",IF(AND(OR(P1417="Transferencia",P1417="Pago tarjeta"),K1417=""),"⚠ Falta cuenta destino",IF(AND(K1417&lt;&gt;"",P1417&lt;&gt;"Transferencia",P1417&lt;&gt;"Pago tarjeta"),"⚠ Destino solo aplica a transferencias",IF(AND(K1417&lt;&gt;"",K1417=Q1417),"⚠ Origen igual a destino",IF(AND(K1417&lt;&gt;"",ISNA(MATCH(K1417,ctaNombre,0))),"⚠ Destino no registrado",IF(AND(P1417="Pago tarjeta",AE1417&lt;&gt;"Tarjeta de crédito"),"⚠ El destino debe ser tarjeta de crédito",IF(AND(P1417="Gasto",E1417="Depósitos y retiros"),"⚠ Usa tipo Transferencia",IF(AND(P1417="Resultado trading",AD1417&lt;&gt;"Cuenta de trading"),"⚠ Usa una cuenta de trading",IF(AND(G1417&lt;=0,P1417&lt;&gt;"Ajuste",P1417&lt;&gt;"Resultado trading"),"⚠ El monto debe ser positivo","✓")))))))))))))))</f>
        <v/>
      </c>
      <c r="P1417" s="52">
        <f>IF(OR(B1417="",G1417=""),"",IF(C1417="","Gasto",C1417))</f>
        <v/>
      </c>
      <c r="Q1417" s="52">
        <f>IF(P1417="","",IF(J1417&lt;&gt;"",J1417,CuentaPred&amp;""))</f>
        <v/>
      </c>
      <c r="R1417" s="52">
        <f>IF(P1417="","",IF(ISNUMBER(I1417),I1417,TasaUSD))</f>
        <v/>
      </c>
      <c r="S1417" s="53">
        <f>IF(P1417="","",IF(H1417="USD",G1417*R1417,G1417))</f>
        <v/>
      </c>
      <c r="T1417" s="53">
        <f>IF(P1417="","",IF(H1417="USD",G1417,IF(R1417&gt;0,G1417/R1417,0)))</f>
        <v/>
      </c>
      <c r="U1417" s="53">
        <f>IF(P1417="","",IF(P1417="Gasto",S1417,IF(P1417="Reembolso",-S1417,0)))</f>
        <v/>
      </c>
      <c r="V1417" s="53">
        <f>IF(P1417="","",IF(P1417="Ingreso",S1417,0))</f>
        <v/>
      </c>
      <c r="W1417" s="53">
        <f>IF(P1417="","",IF(P1417="Resultado trading",S1417,0))</f>
        <v/>
      </c>
      <c r="X1417" s="52">
        <f>IF(OR(P1417="Gasto",P1417="Reembolso"),IF(M1417&lt;&gt;"",M1417,IFERROR(INDEX(catClasif,MATCH(D1417&amp;"|"&amp;E1417,catClave,0))&amp;"","Variable")),"")</f>
        <v/>
      </c>
      <c r="Y1417" s="52">
        <f>IF(P1417="","",IFERROR(INDEX(catGrupo,MATCH(D1417&amp;"|"&amp;E1417,catClave,0))&amp;"",""))</f>
        <v/>
      </c>
      <c r="Z1417" s="52">
        <f>IF(P1417="","",WEEKDAY(B1417,2))</f>
        <v/>
      </c>
      <c r="AA1417" s="52">
        <f>IF(P1417="","",IF(AND(P1417="Gasto",X1417="Variable",D1417&lt;&gt;catTrading,S1417&gt;0,S1417&lt;=Umbral),1,0))</f>
        <v/>
      </c>
      <c r="AB1417" s="52">
        <f>IF(OR(P1417="",Q1417=""),"",IFERROR(IF(INDEX(ctaVinc,MATCH(Q1417,ctaNombre,0))&amp;""&lt;&gt;"",INDEX(ctaVinc,MATCH(Q1417,ctaNombre,0))&amp;"",Q1417),Q1417))</f>
        <v/>
      </c>
      <c r="AC1417" s="52">
        <f>IF(OR(K1417="",AND(P1417&lt;&gt;"Transferencia",P1417&lt;&gt;"Pago tarjeta")),"",IFERROR(IF(INDEX(ctaVinc,MATCH(K1417,ctaNombre,0))&amp;""&lt;&gt;"",INDEX(ctaVinc,MATCH(K1417,ctaNombre,0))&amp;"",K1417),K1417))</f>
        <v/>
      </c>
      <c r="AD1417" s="52">
        <f>IF(AB1417="","",IFERROR(INDEX(ctaTipo,MATCH(AB1417,ctaNombre,0))&amp;"",""))</f>
        <v/>
      </c>
      <c r="AE1417" s="52">
        <f>IF(AC1417="","",IFERROR(INDEX(ctaTipo,MATCH(AC1417,ctaNombre,0))&amp;"",""))</f>
        <v/>
      </c>
      <c r="AF1417" s="53">
        <f>IF(OR(P1417="",AB1417=""),"",IF(OR(P1417="Gasto",P1417="Transferencia",P1417="Pago tarjeta"),-1,1)*IF(IFERROR(INDEX(ctaMoneda,MATCH(AB1417,ctaNombre,0))&amp;"","DOP")="USD",T1417,S1417))</f>
        <v/>
      </c>
      <c r="AG1417" s="53">
        <f>IF(AC1417="","",IF(IFERROR(INDEX(ctaMoneda,MATCH(AC1417,ctaNombre,0))&amp;"","DOP")="USD",T1417,S1417))</f>
        <v/>
      </c>
      <c r="AH1417" s="53">
        <f>IF(P1417="","",IF(AND(AD1417&lt;&gt;"",COUNTIFS(tcTipo,AD1417,tcLiq,"Sí")&gt;0),IF(OR(P1417="Gasto",P1417="Transferencia",P1417="Pago tarjeta"),-1,1)*S1417,0)+IF(AND(AE1417&lt;&gt;"",COUNTIFS(tcTipo,AE1417,tcLiq,"Sí")&gt;0),S1417,0))</f>
        <v/>
      </c>
      <c r="AI1417" s="52">
        <f>IF(OR(L1417="",P1417=""),"",IF(COUNTIFS(L$6:L1417,L1417,P$6:P1417,"?*")=1,MAX(AI$5:AI1416)+1,""))</f>
        <v/>
      </c>
    </row>
    <row r="1418">
      <c r="B1418" s="47" t="n"/>
      <c r="C1418" s="48" t="n"/>
      <c r="D1418" s="48" t="n"/>
      <c r="E1418" s="48" t="n"/>
      <c r="F1418" s="48" t="n"/>
      <c r="G1418" s="49" t="n"/>
      <c r="H1418" s="48" t="n"/>
      <c r="I1418" s="50" t="n"/>
      <c r="J1418" s="48" t="n"/>
      <c r="K1418" s="48" t="n"/>
      <c r="L1418" s="48" t="n"/>
      <c r="M1418" s="48" t="n"/>
      <c r="N1418" s="48" t="n"/>
      <c r="O1418" s="51">
        <f>IF(AND(B1418="",G1418="",C1418="",D1418="",J1418=""),"",IF(B1418="","⚠ Falta fecha",IF(G1418="","⚠ Falta monto",IF(Q1418="","⚠ Falta cuenta",IF(ISNA(MATCH(Q1418,ctaNombre,0)),"⚠ Cuenta no registrada",IF(AND(OR(P1418="Gasto",P1418="Reembolso"),D1418=""),"⚠ Falta categoría",IF(AND(D1418&lt;&gt;"",E1418&lt;&gt;"",ISNA(MATCH(D1418&amp;"|"&amp;E1418,catClave,0))),"⚠ Subcategoría no corresponde",IF(AND(OR(P1418="Transferencia",P1418="Pago tarjeta"),K1418=""),"⚠ Falta cuenta destino",IF(AND(K1418&lt;&gt;"",P1418&lt;&gt;"Transferencia",P1418&lt;&gt;"Pago tarjeta"),"⚠ Destino solo aplica a transferencias",IF(AND(K1418&lt;&gt;"",K1418=Q1418),"⚠ Origen igual a destino",IF(AND(K1418&lt;&gt;"",ISNA(MATCH(K1418,ctaNombre,0))),"⚠ Destino no registrado",IF(AND(P1418="Pago tarjeta",AE1418&lt;&gt;"Tarjeta de crédito"),"⚠ El destino debe ser tarjeta de crédito",IF(AND(P1418="Gasto",E1418="Depósitos y retiros"),"⚠ Usa tipo Transferencia",IF(AND(P1418="Resultado trading",AD1418&lt;&gt;"Cuenta de trading"),"⚠ Usa una cuenta de trading",IF(AND(G1418&lt;=0,P1418&lt;&gt;"Ajuste",P1418&lt;&gt;"Resultado trading"),"⚠ El monto debe ser positivo","✓")))))))))))))))</f>
        <v/>
      </c>
      <c r="P1418" s="52">
        <f>IF(OR(B1418="",G1418=""),"",IF(C1418="","Gasto",C1418))</f>
        <v/>
      </c>
      <c r="Q1418" s="52">
        <f>IF(P1418="","",IF(J1418&lt;&gt;"",J1418,CuentaPred&amp;""))</f>
        <v/>
      </c>
      <c r="R1418" s="52">
        <f>IF(P1418="","",IF(ISNUMBER(I1418),I1418,TasaUSD))</f>
        <v/>
      </c>
      <c r="S1418" s="53">
        <f>IF(P1418="","",IF(H1418="USD",G1418*R1418,G1418))</f>
        <v/>
      </c>
      <c r="T1418" s="53">
        <f>IF(P1418="","",IF(H1418="USD",G1418,IF(R1418&gt;0,G1418/R1418,0)))</f>
        <v/>
      </c>
      <c r="U1418" s="53">
        <f>IF(P1418="","",IF(P1418="Gasto",S1418,IF(P1418="Reembolso",-S1418,0)))</f>
        <v/>
      </c>
      <c r="V1418" s="53">
        <f>IF(P1418="","",IF(P1418="Ingreso",S1418,0))</f>
        <v/>
      </c>
      <c r="W1418" s="53">
        <f>IF(P1418="","",IF(P1418="Resultado trading",S1418,0))</f>
        <v/>
      </c>
      <c r="X1418" s="52">
        <f>IF(OR(P1418="Gasto",P1418="Reembolso"),IF(M1418&lt;&gt;"",M1418,IFERROR(INDEX(catClasif,MATCH(D1418&amp;"|"&amp;E1418,catClave,0))&amp;"","Variable")),"")</f>
        <v/>
      </c>
      <c r="Y1418" s="52">
        <f>IF(P1418="","",IFERROR(INDEX(catGrupo,MATCH(D1418&amp;"|"&amp;E1418,catClave,0))&amp;"",""))</f>
        <v/>
      </c>
      <c r="Z1418" s="52">
        <f>IF(P1418="","",WEEKDAY(B1418,2))</f>
        <v/>
      </c>
      <c r="AA1418" s="52">
        <f>IF(P1418="","",IF(AND(P1418="Gasto",X1418="Variable",D1418&lt;&gt;catTrading,S1418&gt;0,S1418&lt;=Umbral),1,0))</f>
        <v/>
      </c>
      <c r="AB1418" s="52">
        <f>IF(OR(P1418="",Q1418=""),"",IFERROR(IF(INDEX(ctaVinc,MATCH(Q1418,ctaNombre,0))&amp;""&lt;&gt;"",INDEX(ctaVinc,MATCH(Q1418,ctaNombre,0))&amp;"",Q1418),Q1418))</f>
        <v/>
      </c>
      <c r="AC1418" s="52">
        <f>IF(OR(K1418="",AND(P1418&lt;&gt;"Transferencia",P1418&lt;&gt;"Pago tarjeta")),"",IFERROR(IF(INDEX(ctaVinc,MATCH(K1418,ctaNombre,0))&amp;""&lt;&gt;"",INDEX(ctaVinc,MATCH(K1418,ctaNombre,0))&amp;"",K1418),K1418))</f>
        <v/>
      </c>
      <c r="AD1418" s="52">
        <f>IF(AB1418="","",IFERROR(INDEX(ctaTipo,MATCH(AB1418,ctaNombre,0))&amp;"",""))</f>
        <v/>
      </c>
      <c r="AE1418" s="52">
        <f>IF(AC1418="","",IFERROR(INDEX(ctaTipo,MATCH(AC1418,ctaNombre,0))&amp;"",""))</f>
        <v/>
      </c>
      <c r="AF1418" s="53">
        <f>IF(OR(P1418="",AB1418=""),"",IF(OR(P1418="Gasto",P1418="Transferencia",P1418="Pago tarjeta"),-1,1)*IF(IFERROR(INDEX(ctaMoneda,MATCH(AB1418,ctaNombre,0))&amp;"","DOP")="USD",T1418,S1418))</f>
        <v/>
      </c>
      <c r="AG1418" s="53">
        <f>IF(AC1418="","",IF(IFERROR(INDEX(ctaMoneda,MATCH(AC1418,ctaNombre,0))&amp;"","DOP")="USD",T1418,S1418))</f>
        <v/>
      </c>
      <c r="AH1418" s="53">
        <f>IF(P1418="","",IF(AND(AD1418&lt;&gt;"",COUNTIFS(tcTipo,AD1418,tcLiq,"Sí")&gt;0),IF(OR(P1418="Gasto",P1418="Transferencia",P1418="Pago tarjeta"),-1,1)*S1418,0)+IF(AND(AE1418&lt;&gt;"",COUNTIFS(tcTipo,AE1418,tcLiq,"Sí")&gt;0),S1418,0))</f>
        <v/>
      </c>
      <c r="AI1418" s="52">
        <f>IF(OR(L1418="",P1418=""),"",IF(COUNTIFS(L$6:L1418,L1418,P$6:P1418,"?*")=1,MAX(AI$5:AI1417)+1,""))</f>
        <v/>
      </c>
    </row>
    <row r="1419">
      <c r="B1419" s="47" t="n"/>
      <c r="C1419" s="48" t="n"/>
      <c r="D1419" s="48" t="n"/>
      <c r="E1419" s="48" t="n"/>
      <c r="F1419" s="48" t="n"/>
      <c r="G1419" s="49" t="n"/>
      <c r="H1419" s="48" t="n"/>
      <c r="I1419" s="50" t="n"/>
      <c r="J1419" s="48" t="n"/>
      <c r="K1419" s="48" t="n"/>
      <c r="L1419" s="48" t="n"/>
      <c r="M1419" s="48" t="n"/>
      <c r="N1419" s="48" t="n"/>
      <c r="O1419" s="51">
        <f>IF(AND(B1419="",G1419="",C1419="",D1419="",J1419=""),"",IF(B1419="","⚠ Falta fecha",IF(G1419="","⚠ Falta monto",IF(Q1419="","⚠ Falta cuenta",IF(ISNA(MATCH(Q1419,ctaNombre,0)),"⚠ Cuenta no registrada",IF(AND(OR(P1419="Gasto",P1419="Reembolso"),D1419=""),"⚠ Falta categoría",IF(AND(D1419&lt;&gt;"",E1419&lt;&gt;"",ISNA(MATCH(D1419&amp;"|"&amp;E1419,catClave,0))),"⚠ Subcategoría no corresponde",IF(AND(OR(P1419="Transferencia",P1419="Pago tarjeta"),K1419=""),"⚠ Falta cuenta destino",IF(AND(K1419&lt;&gt;"",P1419&lt;&gt;"Transferencia",P1419&lt;&gt;"Pago tarjeta"),"⚠ Destino solo aplica a transferencias",IF(AND(K1419&lt;&gt;"",K1419=Q1419),"⚠ Origen igual a destino",IF(AND(K1419&lt;&gt;"",ISNA(MATCH(K1419,ctaNombre,0))),"⚠ Destino no registrado",IF(AND(P1419="Pago tarjeta",AE1419&lt;&gt;"Tarjeta de crédito"),"⚠ El destino debe ser tarjeta de crédito",IF(AND(P1419="Gasto",E1419="Depósitos y retiros"),"⚠ Usa tipo Transferencia",IF(AND(P1419="Resultado trading",AD1419&lt;&gt;"Cuenta de trading"),"⚠ Usa una cuenta de trading",IF(AND(G1419&lt;=0,P1419&lt;&gt;"Ajuste",P1419&lt;&gt;"Resultado trading"),"⚠ El monto debe ser positivo","✓")))))))))))))))</f>
        <v/>
      </c>
      <c r="P1419" s="52">
        <f>IF(OR(B1419="",G1419=""),"",IF(C1419="","Gasto",C1419))</f>
        <v/>
      </c>
      <c r="Q1419" s="52">
        <f>IF(P1419="","",IF(J1419&lt;&gt;"",J1419,CuentaPred&amp;""))</f>
        <v/>
      </c>
      <c r="R1419" s="52">
        <f>IF(P1419="","",IF(ISNUMBER(I1419),I1419,TasaUSD))</f>
        <v/>
      </c>
      <c r="S1419" s="53">
        <f>IF(P1419="","",IF(H1419="USD",G1419*R1419,G1419))</f>
        <v/>
      </c>
      <c r="T1419" s="53">
        <f>IF(P1419="","",IF(H1419="USD",G1419,IF(R1419&gt;0,G1419/R1419,0)))</f>
        <v/>
      </c>
      <c r="U1419" s="53">
        <f>IF(P1419="","",IF(P1419="Gasto",S1419,IF(P1419="Reembolso",-S1419,0)))</f>
        <v/>
      </c>
      <c r="V1419" s="53">
        <f>IF(P1419="","",IF(P1419="Ingreso",S1419,0))</f>
        <v/>
      </c>
      <c r="W1419" s="53">
        <f>IF(P1419="","",IF(P1419="Resultado trading",S1419,0))</f>
        <v/>
      </c>
      <c r="X1419" s="52">
        <f>IF(OR(P1419="Gasto",P1419="Reembolso"),IF(M1419&lt;&gt;"",M1419,IFERROR(INDEX(catClasif,MATCH(D1419&amp;"|"&amp;E1419,catClave,0))&amp;"","Variable")),"")</f>
        <v/>
      </c>
      <c r="Y1419" s="52">
        <f>IF(P1419="","",IFERROR(INDEX(catGrupo,MATCH(D1419&amp;"|"&amp;E1419,catClave,0))&amp;"",""))</f>
        <v/>
      </c>
      <c r="Z1419" s="52">
        <f>IF(P1419="","",WEEKDAY(B1419,2))</f>
        <v/>
      </c>
      <c r="AA1419" s="52">
        <f>IF(P1419="","",IF(AND(P1419="Gasto",X1419="Variable",D1419&lt;&gt;catTrading,S1419&gt;0,S1419&lt;=Umbral),1,0))</f>
        <v/>
      </c>
      <c r="AB1419" s="52">
        <f>IF(OR(P1419="",Q1419=""),"",IFERROR(IF(INDEX(ctaVinc,MATCH(Q1419,ctaNombre,0))&amp;""&lt;&gt;"",INDEX(ctaVinc,MATCH(Q1419,ctaNombre,0))&amp;"",Q1419),Q1419))</f>
        <v/>
      </c>
      <c r="AC1419" s="52">
        <f>IF(OR(K1419="",AND(P1419&lt;&gt;"Transferencia",P1419&lt;&gt;"Pago tarjeta")),"",IFERROR(IF(INDEX(ctaVinc,MATCH(K1419,ctaNombre,0))&amp;""&lt;&gt;"",INDEX(ctaVinc,MATCH(K1419,ctaNombre,0))&amp;"",K1419),K1419))</f>
        <v/>
      </c>
      <c r="AD1419" s="52">
        <f>IF(AB1419="","",IFERROR(INDEX(ctaTipo,MATCH(AB1419,ctaNombre,0))&amp;"",""))</f>
        <v/>
      </c>
      <c r="AE1419" s="52">
        <f>IF(AC1419="","",IFERROR(INDEX(ctaTipo,MATCH(AC1419,ctaNombre,0))&amp;"",""))</f>
        <v/>
      </c>
      <c r="AF1419" s="53">
        <f>IF(OR(P1419="",AB1419=""),"",IF(OR(P1419="Gasto",P1419="Transferencia",P1419="Pago tarjeta"),-1,1)*IF(IFERROR(INDEX(ctaMoneda,MATCH(AB1419,ctaNombre,0))&amp;"","DOP")="USD",T1419,S1419))</f>
        <v/>
      </c>
      <c r="AG1419" s="53">
        <f>IF(AC1419="","",IF(IFERROR(INDEX(ctaMoneda,MATCH(AC1419,ctaNombre,0))&amp;"","DOP")="USD",T1419,S1419))</f>
        <v/>
      </c>
      <c r="AH1419" s="53">
        <f>IF(P1419="","",IF(AND(AD1419&lt;&gt;"",COUNTIFS(tcTipo,AD1419,tcLiq,"Sí")&gt;0),IF(OR(P1419="Gasto",P1419="Transferencia",P1419="Pago tarjeta"),-1,1)*S1419,0)+IF(AND(AE1419&lt;&gt;"",COUNTIFS(tcTipo,AE1419,tcLiq,"Sí")&gt;0),S1419,0))</f>
        <v/>
      </c>
      <c r="AI1419" s="52">
        <f>IF(OR(L1419="",P1419=""),"",IF(COUNTIFS(L$6:L1419,L1419,P$6:P1419,"?*")=1,MAX(AI$5:AI1418)+1,""))</f>
        <v/>
      </c>
    </row>
    <row r="1420">
      <c r="B1420" s="47" t="n"/>
      <c r="C1420" s="48" t="n"/>
      <c r="D1420" s="48" t="n"/>
      <c r="E1420" s="48" t="n"/>
      <c r="F1420" s="48" t="n"/>
      <c r="G1420" s="49" t="n"/>
      <c r="H1420" s="48" t="n"/>
      <c r="I1420" s="50" t="n"/>
      <c r="J1420" s="48" t="n"/>
      <c r="K1420" s="48" t="n"/>
      <c r="L1420" s="48" t="n"/>
      <c r="M1420" s="48" t="n"/>
      <c r="N1420" s="48" t="n"/>
      <c r="O1420" s="51">
        <f>IF(AND(B1420="",G1420="",C1420="",D1420="",J1420=""),"",IF(B1420="","⚠ Falta fecha",IF(G1420="","⚠ Falta monto",IF(Q1420="","⚠ Falta cuenta",IF(ISNA(MATCH(Q1420,ctaNombre,0)),"⚠ Cuenta no registrada",IF(AND(OR(P1420="Gasto",P1420="Reembolso"),D1420=""),"⚠ Falta categoría",IF(AND(D1420&lt;&gt;"",E1420&lt;&gt;"",ISNA(MATCH(D1420&amp;"|"&amp;E1420,catClave,0))),"⚠ Subcategoría no corresponde",IF(AND(OR(P1420="Transferencia",P1420="Pago tarjeta"),K1420=""),"⚠ Falta cuenta destino",IF(AND(K1420&lt;&gt;"",P1420&lt;&gt;"Transferencia",P1420&lt;&gt;"Pago tarjeta"),"⚠ Destino solo aplica a transferencias",IF(AND(K1420&lt;&gt;"",K1420=Q1420),"⚠ Origen igual a destino",IF(AND(K1420&lt;&gt;"",ISNA(MATCH(K1420,ctaNombre,0))),"⚠ Destino no registrado",IF(AND(P1420="Pago tarjeta",AE1420&lt;&gt;"Tarjeta de crédito"),"⚠ El destino debe ser tarjeta de crédito",IF(AND(P1420="Gasto",E1420="Depósitos y retiros"),"⚠ Usa tipo Transferencia",IF(AND(P1420="Resultado trading",AD1420&lt;&gt;"Cuenta de trading"),"⚠ Usa una cuenta de trading",IF(AND(G1420&lt;=0,P1420&lt;&gt;"Ajuste",P1420&lt;&gt;"Resultado trading"),"⚠ El monto debe ser positivo","✓")))))))))))))))</f>
        <v/>
      </c>
      <c r="P1420" s="52">
        <f>IF(OR(B1420="",G1420=""),"",IF(C1420="","Gasto",C1420))</f>
        <v/>
      </c>
      <c r="Q1420" s="52">
        <f>IF(P1420="","",IF(J1420&lt;&gt;"",J1420,CuentaPred&amp;""))</f>
        <v/>
      </c>
      <c r="R1420" s="52">
        <f>IF(P1420="","",IF(ISNUMBER(I1420),I1420,TasaUSD))</f>
        <v/>
      </c>
      <c r="S1420" s="53">
        <f>IF(P1420="","",IF(H1420="USD",G1420*R1420,G1420))</f>
        <v/>
      </c>
      <c r="T1420" s="53">
        <f>IF(P1420="","",IF(H1420="USD",G1420,IF(R1420&gt;0,G1420/R1420,0)))</f>
        <v/>
      </c>
      <c r="U1420" s="53">
        <f>IF(P1420="","",IF(P1420="Gasto",S1420,IF(P1420="Reembolso",-S1420,0)))</f>
        <v/>
      </c>
      <c r="V1420" s="53">
        <f>IF(P1420="","",IF(P1420="Ingreso",S1420,0))</f>
        <v/>
      </c>
      <c r="W1420" s="53">
        <f>IF(P1420="","",IF(P1420="Resultado trading",S1420,0))</f>
        <v/>
      </c>
      <c r="X1420" s="52">
        <f>IF(OR(P1420="Gasto",P1420="Reembolso"),IF(M1420&lt;&gt;"",M1420,IFERROR(INDEX(catClasif,MATCH(D1420&amp;"|"&amp;E1420,catClave,0))&amp;"","Variable")),"")</f>
        <v/>
      </c>
      <c r="Y1420" s="52">
        <f>IF(P1420="","",IFERROR(INDEX(catGrupo,MATCH(D1420&amp;"|"&amp;E1420,catClave,0))&amp;"",""))</f>
        <v/>
      </c>
      <c r="Z1420" s="52">
        <f>IF(P1420="","",WEEKDAY(B1420,2))</f>
        <v/>
      </c>
      <c r="AA1420" s="52">
        <f>IF(P1420="","",IF(AND(P1420="Gasto",X1420="Variable",D1420&lt;&gt;catTrading,S1420&gt;0,S1420&lt;=Umbral),1,0))</f>
        <v/>
      </c>
      <c r="AB1420" s="52">
        <f>IF(OR(P1420="",Q1420=""),"",IFERROR(IF(INDEX(ctaVinc,MATCH(Q1420,ctaNombre,0))&amp;""&lt;&gt;"",INDEX(ctaVinc,MATCH(Q1420,ctaNombre,0))&amp;"",Q1420),Q1420))</f>
        <v/>
      </c>
      <c r="AC1420" s="52">
        <f>IF(OR(K1420="",AND(P1420&lt;&gt;"Transferencia",P1420&lt;&gt;"Pago tarjeta")),"",IFERROR(IF(INDEX(ctaVinc,MATCH(K1420,ctaNombre,0))&amp;""&lt;&gt;"",INDEX(ctaVinc,MATCH(K1420,ctaNombre,0))&amp;"",K1420),K1420))</f>
        <v/>
      </c>
      <c r="AD1420" s="52">
        <f>IF(AB1420="","",IFERROR(INDEX(ctaTipo,MATCH(AB1420,ctaNombre,0))&amp;"",""))</f>
        <v/>
      </c>
      <c r="AE1420" s="52">
        <f>IF(AC1420="","",IFERROR(INDEX(ctaTipo,MATCH(AC1420,ctaNombre,0))&amp;"",""))</f>
        <v/>
      </c>
      <c r="AF1420" s="53">
        <f>IF(OR(P1420="",AB1420=""),"",IF(OR(P1420="Gasto",P1420="Transferencia",P1420="Pago tarjeta"),-1,1)*IF(IFERROR(INDEX(ctaMoneda,MATCH(AB1420,ctaNombre,0))&amp;"","DOP")="USD",T1420,S1420))</f>
        <v/>
      </c>
      <c r="AG1420" s="53">
        <f>IF(AC1420="","",IF(IFERROR(INDEX(ctaMoneda,MATCH(AC1420,ctaNombre,0))&amp;"","DOP")="USD",T1420,S1420))</f>
        <v/>
      </c>
      <c r="AH1420" s="53">
        <f>IF(P1420="","",IF(AND(AD1420&lt;&gt;"",COUNTIFS(tcTipo,AD1420,tcLiq,"Sí")&gt;0),IF(OR(P1420="Gasto",P1420="Transferencia",P1420="Pago tarjeta"),-1,1)*S1420,0)+IF(AND(AE1420&lt;&gt;"",COUNTIFS(tcTipo,AE1420,tcLiq,"Sí")&gt;0),S1420,0))</f>
        <v/>
      </c>
      <c r="AI1420" s="52">
        <f>IF(OR(L1420="",P1420=""),"",IF(COUNTIFS(L$6:L1420,L1420,P$6:P1420,"?*")=1,MAX(AI$5:AI1419)+1,""))</f>
        <v/>
      </c>
    </row>
    <row r="1421">
      <c r="B1421" s="47" t="n"/>
      <c r="C1421" s="48" t="n"/>
      <c r="D1421" s="48" t="n"/>
      <c r="E1421" s="48" t="n"/>
      <c r="F1421" s="48" t="n"/>
      <c r="G1421" s="49" t="n"/>
      <c r="H1421" s="48" t="n"/>
      <c r="I1421" s="50" t="n"/>
      <c r="J1421" s="48" t="n"/>
      <c r="K1421" s="48" t="n"/>
      <c r="L1421" s="48" t="n"/>
      <c r="M1421" s="48" t="n"/>
      <c r="N1421" s="48" t="n"/>
      <c r="O1421" s="51">
        <f>IF(AND(B1421="",G1421="",C1421="",D1421="",J1421=""),"",IF(B1421="","⚠ Falta fecha",IF(G1421="","⚠ Falta monto",IF(Q1421="","⚠ Falta cuenta",IF(ISNA(MATCH(Q1421,ctaNombre,0)),"⚠ Cuenta no registrada",IF(AND(OR(P1421="Gasto",P1421="Reembolso"),D1421=""),"⚠ Falta categoría",IF(AND(D1421&lt;&gt;"",E1421&lt;&gt;"",ISNA(MATCH(D1421&amp;"|"&amp;E1421,catClave,0))),"⚠ Subcategoría no corresponde",IF(AND(OR(P1421="Transferencia",P1421="Pago tarjeta"),K1421=""),"⚠ Falta cuenta destino",IF(AND(K1421&lt;&gt;"",P1421&lt;&gt;"Transferencia",P1421&lt;&gt;"Pago tarjeta"),"⚠ Destino solo aplica a transferencias",IF(AND(K1421&lt;&gt;"",K1421=Q1421),"⚠ Origen igual a destino",IF(AND(K1421&lt;&gt;"",ISNA(MATCH(K1421,ctaNombre,0))),"⚠ Destino no registrado",IF(AND(P1421="Pago tarjeta",AE1421&lt;&gt;"Tarjeta de crédito"),"⚠ El destino debe ser tarjeta de crédito",IF(AND(P1421="Gasto",E1421="Depósitos y retiros"),"⚠ Usa tipo Transferencia",IF(AND(P1421="Resultado trading",AD1421&lt;&gt;"Cuenta de trading"),"⚠ Usa una cuenta de trading",IF(AND(G1421&lt;=0,P1421&lt;&gt;"Ajuste",P1421&lt;&gt;"Resultado trading"),"⚠ El monto debe ser positivo","✓")))))))))))))))</f>
        <v/>
      </c>
      <c r="P1421" s="52">
        <f>IF(OR(B1421="",G1421=""),"",IF(C1421="","Gasto",C1421))</f>
        <v/>
      </c>
      <c r="Q1421" s="52">
        <f>IF(P1421="","",IF(J1421&lt;&gt;"",J1421,CuentaPred&amp;""))</f>
        <v/>
      </c>
      <c r="R1421" s="52">
        <f>IF(P1421="","",IF(ISNUMBER(I1421),I1421,TasaUSD))</f>
        <v/>
      </c>
      <c r="S1421" s="53">
        <f>IF(P1421="","",IF(H1421="USD",G1421*R1421,G1421))</f>
        <v/>
      </c>
      <c r="T1421" s="53">
        <f>IF(P1421="","",IF(H1421="USD",G1421,IF(R1421&gt;0,G1421/R1421,0)))</f>
        <v/>
      </c>
      <c r="U1421" s="53">
        <f>IF(P1421="","",IF(P1421="Gasto",S1421,IF(P1421="Reembolso",-S1421,0)))</f>
        <v/>
      </c>
      <c r="V1421" s="53">
        <f>IF(P1421="","",IF(P1421="Ingreso",S1421,0))</f>
        <v/>
      </c>
      <c r="W1421" s="53">
        <f>IF(P1421="","",IF(P1421="Resultado trading",S1421,0))</f>
        <v/>
      </c>
      <c r="X1421" s="52">
        <f>IF(OR(P1421="Gasto",P1421="Reembolso"),IF(M1421&lt;&gt;"",M1421,IFERROR(INDEX(catClasif,MATCH(D1421&amp;"|"&amp;E1421,catClave,0))&amp;"","Variable")),"")</f>
        <v/>
      </c>
      <c r="Y1421" s="52">
        <f>IF(P1421="","",IFERROR(INDEX(catGrupo,MATCH(D1421&amp;"|"&amp;E1421,catClave,0))&amp;"",""))</f>
        <v/>
      </c>
      <c r="Z1421" s="52">
        <f>IF(P1421="","",WEEKDAY(B1421,2))</f>
        <v/>
      </c>
      <c r="AA1421" s="52">
        <f>IF(P1421="","",IF(AND(P1421="Gasto",X1421="Variable",D1421&lt;&gt;catTrading,S1421&gt;0,S1421&lt;=Umbral),1,0))</f>
        <v/>
      </c>
      <c r="AB1421" s="52">
        <f>IF(OR(P1421="",Q1421=""),"",IFERROR(IF(INDEX(ctaVinc,MATCH(Q1421,ctaNombre,0))&amp;""&lt;&gt;"",INDEX(ctaVinc,MATCH(Q1421,ctaNombre,0))&amp;"",Q1421),Q1421))</f>
        <v/>
      </c>
      <c r="AC1421" s="52">
        <f>IF(OR(K1421="",AND(P1421&lt;&gt;"Transferencia",P1421&lt;&gt;"Pago tarjeta")),"",IFERROR(IF(INDEX(ctaVinc,MATCH(K1421,ctaNombre,0))&amp;""&lt;&gt;"",INDEX(ctaVinc,MATCH(K1421,ctaNombre,0))&amp;"",K1421),K1421))</f>
        <v/>
      </c>
      <c r="AD1421" s="52">
        <f>IF(AB1421="","",IFERROR(INDEX(ctaTipo,MATCH(AB1421,ctaNombre,0))&amp;"",""))</f>
        <v/>
      </c>
      <c r="AE1421" s="52">
        <f>IF(AC1421="","",IFERROR(INDEX(ctaTipo,MATCH(AC1421,ctaNombre,0))&amp;"",""))</f>
        <v/>
      </c>
      <c r="AF1421" s="53">
        <f>IF(OR(P1421="",AB1421=""),"",IF(OR(P1421="Gasto",P1421="Transferencia",P1421="Pago tarjeta"),-1,1)*IF(IFERROR(INDEX(ctaMoneda,MATCH(AB1421,ctaNombre,0))&amp;"","DOP")="USD",T1421,S1421))</f>
        <v/>
      </c>
      <c r="AG1421" s="53">
        <f>IF(AC1421="","",IF(IFERROR(INDEX(ctaMoneda,MATCH(AC1421,ctaNombre,0))&amp;"","DOP")="USD",T1421,S1421))</f>
        <v/>
      </c>
      <c r="AH1421" s="53">
        <f>IF(P1421="","",IF(AND(AD1421&lt;&gt;"",COUNTIFS(tcTipo,AD1421,tcLiq,"Sí")&gt;0),IF(OR(P1421="Gasto",P1421="Transferencia",P1421="Pago tarjeta"),-1,1)*S1421,0)+IF(AND(AE1421&lt;&gt;"",COUNTIFS(tcTipo,AE1421,tcLiq,"Sí")&gt;0),S1421,0))</f>
        <v/>
      </c>
      <c r="AI1421" s="52">
        <f>IF(OR(L1421="",P1421=""),"",IF(COUNTIFS(L$6:L1421,L1421,P$6:P1421,"?*")=1,MAX(AI$5:AI1420)+1,""))</f>
        <v/>
      </c>
    </row>
    <row r="1422">
      <c r="B1422" s="47" t="n"/>
      <c r="C1422" s="48" t="n"/>
      <c r="D1422" s="48" t="n"/>
      <c r="E1422" s="48" t="n"/>
      <c r="F1422" s="48" t="n"/>
      <c r="G1422" s="49" t="n"/>
      <c r="H1422" s="48" t="n"/>
      <c r="I1422" s="50" t="n"/>
      <c r="J1422" s="48" t="n"/>
      <c r="K1422" s="48" t="n"/>
      <c r="L1422" s="48" t="n"/>
      <c r="M1422" s="48" t="n"/>
      <c r="N1422" s="48" t="n"/>
      <c r="O1422" s="51">
        <f>IF(AND(B1422="",G1422="",C1422="",D1422="",J1422=""),"",IF(B1422="","⚠ Falta fecha",IF(G1422="","⚠ Falta monto",IF(Q1422="","⚠ Falta cuenta",IF(ISNA(MATCH(Q1422,ctaNombre,0)),"⚠ Cuenta no registrada",IF(AND(OR(P1422="Gasto",P1422="Reembolso"),D1422=""),"⚠ Falta categoría",IF(AND(D1422&lt;&gt;"",E1422&lt;&gt;"",ISNA(MATCH(D1422&amp;"|"&amp;E1422,catClave,0))),"⚠ Subcategoría no corresponde",IF(AND(OR(P1422="Transferencia",P1422="Pago tarjeta"),K1422=""),"⚠ Falta cuenta destino",IF(AND(K1422&lt;&gt;"",P1422&lt;&gt;"Transferencia",P1422&lt;&gt;"Pago tarjeta"),"⚠ Destino solo aplica a transferencias",IF(AND(K1422&lt;&gt;"",K1422=Q1422),"⚠ Origen igual a destino",IF(AND(K1422&lt;&gt;"",ISNA(MATCH(K1422,ctaNombre,0))),"⚠ Destino no registrado",IF(AND(P1422="Pago tarjeta",AE1422&lt;&gt;"Tarjeta de crédito"),"⚠ El destino debe ser tarjeta de crédito",IF(AND(P1422="Gasto",E1422="Depósitos y retiros"),"⚠ Usa tipo Transferencia",IF(AND(P1422="Resultado trading",AD1422&lt;&gt;"Cuenta de trading"),"⚠ Usa una cuenta de trading",IF(AND(G1422&lt;=0,P1422&lt;&gt;"Ajuste",P1422&lt;&gt;"Resultado trading"),"⚠ El monto debe ser positivo","✓")))))))))))))))</f>
        <v/>
      </c>
      <c r="P1422" s="52">
        <f>IF(OR(B1422="",G1422=""),"",IF(C1422="","Gasto",C1422))</f>
        <v/>
      </c>
      <c r="Q1422" s="52">
        <f>IF(P1422="","",IF(J1422&lt;&gt;"",J1422,CuentaPred&amp;""))</f>
        <v/>
      </c>
      <c r="R1422" s="52">
        <f>IF(P1422="","",IF(ISNUMBER(I1422),I1422,TasaUSD))</f>
        <v/>
      </c>
      <c r="S1422" s="53">
        <f>IF(P1422="","",IF(H1422="USD",G1422*R1422,G1422))</f>
        <v/>
      </c>
      <c r="T1422" s="53">
        <f>IF(P1422="","",IF(H1422="USD",G1422,IF(R1422&gt;0,G1422/R1422,0)))</f>
        <v/>
      </c>
      <c r="U1422" s="53">
        <f>IF(P1422="","",IF(P1422="Gasto",S1422,IF(P1422="Reembolso",-S1422,0)))</f>
        <v/>
      </c>
      <c r="V1422" s="53">
        <f>IF(P1422="","",IF(P1422="Ingreso",S1422,0))</f>
        <v/>
      </c>
      <c r="W1422" s="53">
        <f>IF(P1422="","",IF(P1422="Resultado trading",S1422,0))</f>
        <v/>
      </c>
      <c r="X1422" s="52">
        <f>IF(OR(P1422="Gasto",P1422="Reembolso"),IF(M1422&lt;&gt;"",M1422,IFERROR(INDEX(catClasif,MATCH(D1422&amp;"|"&amp;E1422,catClave,0))&amp;"","Variable")),"")</f>
        <v/>
      </c>
      <c r="Y1422" s="52">
        <f>IF(P1422="","",IFERROR(INDEX(catGrupo,MATCH(D1422&amp;"|"&amp;E1422,catClave,0))&amp;"",""))</f>
        <v/>
      </c>
      <c r="Z1422" s="52">
        <f>IF(P1422="","",WEEKDAY(B1422,2))</f>
        <v/>
      </c>
      <c r="AA1422" s="52">
        <f>IF(P1422="","",IF(AND(P1422="Gasto",X1422="Variable",D1422&lt;&gt;catTrading,S1422&gt;0,S1422&lt;=Umbral),1,0))</f>
        <v/>
      </c>
      <c r="AB1422" s="52">
        <f>IF(OR(P1422="",Q1422=""),"",IFERROR(IF(INDEX(ctaVinc,MATCH(Q1422,ctaNombre,0))&amp;""&lt;&gt;"",INDEX(ctaVinc,MATCH(Q1422,ctaNombre,0))&amp;"",Q1422),Q1422))</f>
        <v/>
      </c>
      <c r="AC1422" s="52">
        <f>IF(OR(K1422="",AND(P1422&lt;&gt;"Transferencia",P1422&lt;&gt;"Pago tarjeta")),"",IFERROR(IF(INDEX(ctaVinc,MATCH(K1422,ctaNombre,0))&amp;""&lt;&gt;"",INDEX(ctaVinc,MATCH(K1422,ctaNombre,0))&amp;"",K1422),K1422))</f>
        <v/>
      </c>
      <c r="AD1422" s="52">
        <f>IF(AB1422="","",IFERROR(INDEX(ctaTipo,MATCH(AB1422,ctaNombre,0))&amp;"",""))</f>
        <v/>
      </c>
      <c r="AE1422" s="52">
        <f>IF(AC1422="","",IFERROR(INDEX(ctaTipo,MATCH(AC1422,ctaNombre,0))&amp;"",""))</f>
        <v/>
      </c>
      <c r="AF1422" s="53">
        <f>IF(OR(P1422="",AB1422=""),"",IF(OR(P1422="Gasto",P1422="Transferencia",P1422="Pago tarjeta"),-1,1)*IF(IFERROR(INDEX(ctaMoneda,MATCH(AB1422,ctaNombre,0))&amp;"","DOP")="USD",T1422,S1422))</f>
        <v/>
      </c>
      <c r="AG1422" s="53">
        <f>IF(AC1422="","",IF(IFERROR(INDEX(ctaMoneda,MATCH(AC1422,ctaNombre,0))&amp;"","DOP")="USD",T1422,S1422))</f>
        <v/>
      </c>
      <c r="AH1422" s="53">
        <f>IF(P1422="","",IF(AND(AD1422&lt;&gt;"",COUNTIFS(tcTipo,AD1422,tcLiq,"Sí")&gt;0),IF(OR(P1422="Gasto",P1422="Transferencia",P1422="Pago tarjeta"),-1,1)*S1422,0)+IF(AND(AE1422&lt;&gt;"",COUNTIFS(tcTipo,AE1422,tcLiq,"Sí")&gt;0),S1422,0))</f>
        <v/>
      </c>
      <c r="AI1422" s="52">
        <f>IF(OR(L1422="",P1422=""),"",IF(COUNTIFS(L$6:L1422,L1422,P$6:P1422,"?*")=1,MAX(AI$5:AI1421)+1,""))</f>
        <v/>
      </c>
    </row>
    <row r="1423">
      <c r="B1423" s="47" t="n"/>
      <c r="C1423" s="48" t="n"/>
      <c r="D1423" s="48" t="n"/>
      <c r="E1423" s="48" t="n"/>
      <c r="F1423" s="48" t="n"/>
      <c r="G1423" s="49" t="n"/>
      <c r="H1423" s="48" t="n"/>
      <c r="I1423" s="50" t="n"/>
      <c r="J1423" s="48" t="n"/>
      <c r="K1423" s="48" t="n"/>
      <c r="L1423" s="48" t="n"/>
      <c r="M1423" s="48" t="n"/>
      <c r="N1423" s="48" t="n"/>
      <c r="O1423" s="51">
        <f>IF(AND(B1423="",G1423="",C1423="",D1423="",J1423=""),"",IF(B1423="","⚠ Falta fecha",IF(G1423="","⚠ Falta monto",IF(Q1423="","⚠ Falta cuenta",IF(ISNA(MATCH(Q1423,ctaNombre,0)),"⚠ Cuenta no registrada",IF(AND(OR(P1423="Gasto",P1423="Reembolso"),D1423=""),"⚠ Falta categoría",IF(AND(D1423&lt;&gt;"",E1423&lt;&gt;"",ISNA(MATCH(D1423&amp;"|"&amp;E1423,catClave,0))),"⚠ Subcategoría no corresponde",IF(AND(OR(P1423="Transferencia",P1423="Pago tarjeta"),K1423=""),"⚠ Falta cuenta destino",IF(AND(K1423&lt;&gt;"",P1423&lt;&gt;"Transferencia",P1423&lt;&gt;"Pago tarjeta"),"⚠ Destino solo aplica a transferencias",IF(AND(K1423&lt;&gt;"",K1423=Q1423),"⚠ Origen igual a destino",IF(AND(K1423&lt;&gt;"",ISNA(MATCH(K1423,ctaNombre,0))),"⚠ Destino no registrado",IF(AND(P1423="Pago tarjeta",AE1423&lt;&gt;"Tarjeta de crédito"),"⚠ El destino debe ser tarjeta de crédito",IF(AND(P1423="Gasto",E1423="Depósitos y retiros"),"⚠ Usa tipo Transferencia",IF(AND(P1423="Resultado trading",AD1423&lt;&gt;"Cuenta de trading"),"⚠ Usa una cuenta de trading",IF(AND(G1423&lt;=0,P1423&lt;&gt;"Ajuste",P1423&lt;&gt;"Resultado trading"),"⚠ El monto debe ser positivo","✓")))))))))))))))</f>
        <v/>
      </c>
      <c r="P1423" s="52">
        <f>IF(OR(B1423="",G1423=""),"",IF(C1423="","Gasto",C1423))</f>
        <v/>
      </c>
      <c r="Q1423" s="52">
        <f>IF(P1423="","",IF(J1423&lt;&gt;"",J1423,CuentaPred&amp;""))</f>
        <v/>
      </c>
      <c r="R1423" s="52">
        <f>IF(P1423="","",IF(ISNUMBER(I1423),I1423,TasaUSD))</f>
        <v/>
      </c>
      <c r="S1423" s="53">
        <f>IF(P1423="","",IF(H1423="USD",G1423*R1423,G1423))</f>
        <v/>
      </c>
      <c r="T1423" s="53">
        <f>IF(P1423="","",IF(H1423="USD",G1423,IF(R1423&gt;0,G1423/R1423,0)))</f>
        <v/>
      </c>
      <c r="U1423" s="53">
        <f>IF(P1423="","",IF(P1423="Gasto",S1423,IF(P1423="Reembolso",-S1423,0)))</f>
        <v/>
      </c>
      <c r="V1423" s="53">
        <f>IF(P1423="","",IF(P1423="Ingreso",S1423,0))</f>
        <v/>
      </c>
      <c r="W1423" s="53">
        <f>IF(P1423="","",IF(P1423="Resultado trading",S1423,0))</f>
        <v/>
      </c>
      <c r="X1423" s="52">
        <f>IF(OR(P1423="Gasto",P1423="Reembolso"),IF(M1423&lt;&gt;"",M1423,IFERROR(INDEX(catClasif,MATCH(D1423&amp;"|"&amp;E1423,catClave,0))&amp;"","Variable")),"")</f>
        <v/>
      </c>
      <c r="Y1423" s="52">
        <f>IF(P1423="","",IFERROR(INDEX(catGrupo,MATCH(D1423&amp;"|"&amp;E1423,catClave,0))&amp;"",""))</f>
        <v/>
      </c>
      <c r="Z1423" s="52">
        <f>IF(P1423="","",WEEKDAY(B1423,2))</f>
        <v/>
      </c>
      <c r="AA1423" s="52">
        <f>IF(P1423="","",IF(AND(P1423="Gasto",X1423="Variable",D1423&lt;&gt;catTrading,S1423&gt;0,S1423&lt;=Umbral),1,0))</f>
        <v/>
      </c>
      <c r="AB1423" s="52">
        <f>IF(OR(P1423="",Q1423=""),"",IFERROR(IF(INDEX(ctaVinc,MATCH(Q1423,ctaNombre,0))&amp;""&lt;&gt;"",INDEX(ctaVinc,MATCH(Q1423,ctaNombre,0))&amp;"",Q1423),Q1423))</f>
        <v/>
      </c>
      <c r="AC1423" s="52">
        <f>IF(OR(K1423="",AND(P1423&lt;&gt;"Transferencia",P1423&lt;&gt;"Pago tarjeta")),"",IFERROR(IF(INDEX(ctaVinc,MATCH(K1423,ctaNombre,0))&amp;""&lt;&gt;"",INDEX(ctaVinc,MATCH(K1423,ctaNombre,0))&amp;"",K1423),K1423))</f>
        <v/>
      </c>
      <c r="AD1423" s="52">
        <f>IF(AB1423="","",IFERROR(INDEX(ctaTipo,MATCH(AB1423,ctaNombre,0))&amp;"",""))</f>
        <v/>
      </c>
      <c r="AE1423" s="52">
        <f>IF(AC1423="","",IFERROR(INDEX(ctaTipo,MATCH(AC1423,ctaNombre,0))&amp;"",""))</f>
        <v/>
      </c>
      <c r="AF1423" s="53">
        <f>IF(OR(P1423="",AB1423=""),"",IF(OR(P1423="Gasto",P1423="Transferencia",P1423="Pago tarjeta"),-1,1)*IF(IFERROR(INDEX(ctaMoneda,MATCH(AB1423,ctaNombre,0))&amp;"","DOP")="USD",T1423,S1423))</f>
        <v/>
      </c>
      <c r="AG1423" s="53">
        <f>IF(AC1423="","",IF(IFERROR(INDEX(ctaMoneda,MATCH(AC1423,ctaNombre,0))&amp;"","DOP")="USD",T1423,S1423))</f>
        <v/>
      </c>
      <c r="AH1423" s="53">
        <f>IF(P1423="","",IF(AND(AD1423&lt;&gt;"",COUNTIFS(tcTipo,AD1423,tcLiq,"Sí")&gt;0),IF(OR(P1423="Gasto",P1423="Transferencia",P1423="Pago tarjeta"),-1,1)*S1423,0)+IF(AND(AE1423&lt;&gt;"",COUNTIFS(tcTipo,AE1423,tcLiq,"Sí")&gt;0),S1423,0))</f>
        <v/>
      </c>
      <c r="AI1423" s="52">
        <f>IF(OR(L1423="",P1423=""),"",IF(COUNTIFS(L$6:L1423,L1423,P$6:P1423,"?*")=1,MAX(AI$5:AI1422)+1,""))</f>
        <v/>
      </c>
    </row>
    <row r="1424">
      <c r="B1424" s="47" t="n"/>
      <c r="C1424" s="48" t="n"/>
      <c r="D1424" s="48" t="n"/>
      <c r="E1424" s="48" t="n"/>
      <c r="F1424" s="48" t="n"/>
      <c r="G1424" s="49" t="n"/>
      <c r="H1424" s="48" t="n"/>
      <c r="I1424" s="50" t="n"/>
      <c r="J1424" s="48" t="n"/>
      <c r="K1424" s="48" t="n"/>
      <c r="L1424" s="48" t="n"/>
      <c r="M1424" s="48" t="n"/>
      <c r="N1424" s="48" t="n"/>
      <c r="O1424" s="51">
        <f>IF(AND(B1424="",G1424="",C1424="",D1424="",J1424=""),"",IF(B1424="","⚠ Falta fecha",IF(G1424="","⚠ Falta monto",IF(Q1424="","⚠ Falta cuenta",IF(ISNA(MATCH(Q1424,ctaNombre,0)),"⚠ Cuenta no registrada",IF(AND(OR(P1424="Gasto",P1424="Reembolso"),D1424=""),"⚠ Falta categoría",IF(AND(D1424&lt;&gt;"",E1424&lt;&gt;"",ISNA(MATCH(D1424&amp;"|"&amp;E1424,catClave,0))),"⚠ Subcategoría no corresponde",IF(AND(OR(P1424="Transferencia",P1424="Pago tarjeta"),K1424=""),"⚠ Falta cuenta destino",IF(AND(K1424&lt;&gt;"",P1424&lt;&gt;"Transferencia",P1424&lt;&gt;"Pago tarjeta"),"⚠ Destino solo aplica a transferencias",IF(AND(K1424&lt;&gt;"",K1424=Q1424),"⚠ Origen igual a destino",IF(AND(K1424&lt;&gt;"",ISNA(MATCH(K1424,ctaNombre,0))),"⚠ Destino no registrado",IF(AND(P1424="Pago tarjeta",AE1424&lt;&gt;"Tarjeta de crédito"),"⚠ El destino debe ser tarjeta de crédito",IF(AND(P1424="Gasto",E1424="Depósitos y retiros"),"⚠ Usa tipo Transferencia",IF(AND(P1424="Resultado trading",AD1424&lt;&gt;"Cuenta de trading"),"⚠ Usa una cuenta de trading",IF(AND(G1424&lt;=0,P1424&lt;&gt;"Ajuste",P1424&lt;&gt;"Resultado trading"),"⚠ El monto debe ser positivo","✓")))))))))))))))</f>
        <v/>
      </c>
      <c r="P1424" s="52">
        <f>IF(OR(B1424="",G1424=""),"",IF(C1424="","Gasto",C1424))</f>
        <v/>
      </c>
      <c r="Q1424" s="52">
        <f>IF(P1424="","",IF(J1424&lt;&gt;"",J1424,CuentaPred&amp;""))</f>
        <v/>
      </c>
      <c r="R1424" s="52">
        <f>IF(P1424="","",IF(ISNUMBER(I1424),I1424,TasaUSD))</f>
        <v/>
      </c>
      <c r="S1424" s="53">
        <f>IF(P1424="","",IF(H1424="USD",G1424*R1424,G1424))</f>
        <v/>
      </c>
      <c r="T1424" s="53">
        <f>IF(P1424="","",IF(H1424="USD",G1424,IF(R1424&gt;0,G1424/R1424,0)))</f>
        <v/>
      </c>
      <c r="U1424" s="53">
        <f>IF(P1424="","",IF(P1424="Gasto",S1424,IF(P1424="Reembolso",-S1424,0)))</f>
        <v/>
      </c>
      <c r="V1424" s="53">
        <f>IF(P1424="","",IF(P1424="Ingreso",S1424,0))</f>
        <v/>
      </c>
      <c r="W1424" s="53">
        <f>IF(P1424="","",IF(P1424="Resultado trading",S1424,0))</f>
        <v/>
      </c>
      <c r="X1424" s="52">
        <f>IF(OR(P1424="Gasto",P1424="Reembolso"),IF(M1424&lt;&gt;"",M1424,IFERROR(INDEX(catClasif,MATCH(D1424&amp;"|"&amp;E1424,catClave,0))&amp;"","Variable")),"")</f>
        <v/>
      </c>
      <c r="Y1424" s="52">
        <f>IF(P1424="","",IFERROR(INDEX(catGrupo,MATCH(D1424&amp;"|"&amp;E1424,catClave,0))&amp;"",""))</f>
        <v/>
      </c>
      <c r="Z1424" s="52">
        <f>IF(P1424="","",WEEKDAY(B1424,2))</f>
        <v/>
      </c>
      <c r="AA1424" s="52">
        <f>IF(P1424="","",IF(AND(P1424="Gasto",X1424="Variable",D1424&lt;&gt;catTrading,S1424&gt;0,S1424&lt;=Umbral),1,0))</f>
        <v/>
      </c>
      <c r="AB1424" s="52">
        <f>IF(OR(P1424="",Q1424=""),"",IFERROR(IF(INDEX(ctaVinc,MATCH(Q1424,ctaNombre,0))&amp;""&lt;&gt;"",INDEX(ctaVinc,MATCH(Q1424,ctaNombre,0))&amp;"",Q1424),Q1424))</f>
        <v/>
      </c>
      <c r="AC1424" s="52">
        <f>IF(OR(K1424="",AND(P1424&lt;&gt;"Transferencia",P1424&lt;&gt;"Pago tarjeta")),"",IFERROR(IF(INDEX(ctaVinc,MATCH(K1424,ctaNombre,0))&amp;""&lt;&gt;"",INDEX(ctaVinc,MATCH(K1424,ctaNombre,0))&amp;"",K1424),K1424))</f>
        <v/>
      </c>
      <c r="AD1424" s="52">
        <f>IF(AB1424="","",IFERROR(INDEX(ctaTipo,MATCH(AB1424,ctaNombre,0))&amp;"",""))</f>
        <v/>
      </c>
      <c r="AE1424" s="52">
        <f>IF(AC1424="","",IFERROR(INDEX(ctaTipo,MATCH(AC1424,ctaNombre,0))&amp;"",""))</f>
        <v/>
      </c>
      <c r="AF1424" s="53">
        <f>IF(OR(P1424="",AB1424=""),"",IF(OR(P1424="Gasto",P1424="Transferencia",P1424="Pago tarjeta"),-1,1)*IF(IFERROR(INDEX(ctaMoneda,MATCH(AB1424,ctaNombre,0))&amp;"","DOP")="USD",T1424,S1424))</f>
        <v/>
      </c>
      <c r="AG1424" s="53">
        <f>IF(AC1424="","",IF(IFERROR(INDEX(ctaMoneda,MATCH(AC1424,ctaNombre,0))&amp;"","DOP")="USD",T1424,S1424))</f>
        <v/>
      </c>
      <c r="AH1424" s="53">
        <f>IF(P1424="","",IF(AND(AD1424&lt;&gt;"",COUNTIFS(tcTipo,AD1424,tcLiq,"Sí")&gt;0),IF(OR(P1424="Gasto",P1424="Transferencia",P1424="Pago tarjeta"),-1,1)*S1424,0)+IF(AND(AE1424&lt;&gt;"",COUNTIFS(tcTipo,AE1424,tcLiq,"Sí")&gt;0),S1424,0))</f>
        <v/>
      </c>
      <c r="AI1424" s="52">
        <f>IF(OR(L1424="",P1424=""),"",IF(COUNTIFS(L$6:L1424,L1424,P$6:P1424,"?*")=1,MAX(AI$5:AI1423)+1,""))</f>
        <v/>
      </c>
    </row>
    <row r="1425">
      <c r="B1425" s="47" t="n"/>
      <c r="C1425" s="48" t="n"/>
      <c r="D1425" s="48" t="n"/>
      <c r="E1425" s="48" t="n"/>
      <c r="F1425" s="48" t="n"/>
      <c r="G1425" s="49" t="n"/>
      <c r="H1425" s="48" t="n"/>
      <c r="I1425" s="50" t="n"/>
      <c r="J1425" s="48" t="n"/>
      <c r="K1425" s="48" t="n"/>
      <c r="L1425" s="48" t="n"/>
      <c r="M1425" s="48" t="n"/>
      <c r="N1425" s="48" t="n"/>
      <c r="O1425" s="51">
        <f>IF(AND(B1425="",G1425="",C1425="",D1425="",J1425=""),"",IF(B1425="","⚠ Falta fecha",IF(G1425="","⚠ Falta monto",IF(Q1425="","⚠ Falta cuenta",IF(ISNA(MATCH(Q1425,ctaNombre,0)),"⚠ Cuenta no registrada",IF(AND(OR(P1425="Gasto",P1425="Reembolso"),D1425=""),"⚠ Falta categoría",IF(AND(D1425&lt;&gt;"",E1425&lt;&gt;"",ISNA(MATCH(D1425&amp;"|"&amp;E1425,catClave,0))),"⚠ Subcategoría no corresponde",IF(AND(OR(P1425="Transferencia",P1425="Pago tarjeta"),K1425=""),"⚠ Falta cuenta destino",IF(AND(K1425&lt;&gt;"",P1425&lt;&gt;"Transferencia",P1425&lt;&gt;"Pago tarjeta"),"⚠ Destino solo aplica a transferencias",IF(AND(K1425&lt;&gt;"",K1425=Q1425),"⚠ Origen igual a destino",IF(AND(K1425&lt;&gt;"",ISNA(MATCH(K1425,ctaNombre,0))),"⚠ Destino no registrado",IF(AND(P1425="Pago tarjeta",AE1425&lt;&gt;"Tarjeta de crédito"),"⚠ El destino debe ser tarjeta de crédito",IF(AND(P1425="Gasto",E1425="Depósitos y retiros"),"⚠ Usa tipo Transferencia",IF(AND(P1425="Resultado trading",AD1425&lt;&gt;"Cuenta de trading"),"⚠ Usa una cuenta de trading",IF(AND(G1425&lt;=0,P1425&lt;&gt;"Ajuste",P1425&lt;&gt;"Resultado trading"),"⚠ El monto debe ser positivo","✓")))))))))))))))</f>
        <v/>
      </c>
      <c r="P1425" s="52">
        <f>IF(OR(B1425="",G1425=""),"",IF(C1425="","Gasto",C1425))</f>
        <v/>
      </c>
      <c r="Q1425" s="52">
        <f>IF(P1425="","",IF(J1425&lt;&gt;"",J1425,CuentaPred&amp;""))</f>
        <v/>
      </c>
      <c r="R1425" s="52">
        <f>IF(P1425="","",IF(ISNUMBER(I1425),I1425,TasaUSD))</f>
        <v/>
      </c>
      <c r="S1425" s="53">
        <f>IF(P1425="","",IF(H1425="USD",G1425*R1425,G1425))</f>
        <v/>
      </c>
      <c r="T1425" s="53">
        <f>IF(P1425="","",IF(H1425="USD",G1425,IF(R1425&gt;0,G1425/R1425,0)))</f>
        <v/>
      </c>
      <c r="U1425" s="53">
        <f>IF(P1425="","",IF(P1425="Gasto",S1425,IF(P1425="Reembolso",-S1425,0)))</f>
        <v/>
      </c>
      <c r="V1425" s="53">
        <f>IF(P1425="","",IF(P1425="Ingreso",S1425,0))</f>
        <v/>
      </c>
      <c r="W1425" s="53">
        <f>IF(P1425="","",IF(P1425="Resultado trading",S1425,0))</f>
        <v/>
      </c>
      <c r="X1425" s="52">
        <f>IF(OR(P1425="Gasto",P1425="Reembolso"),IF(M1425&lt;&gt;"",M1425,IFERROR(INDEX(catClasif,MATCH(D1425&amp;"|"&amp;E1425,catClave,0))&amp;"","Variable")),"")</f>
        <v/>
      </c>
      <c r="Y1425" s="52">
        <f>IF(P1425="","",IFERROR(INDEX(catGrupo,MATCH(D1425&amp;"|"&amp;E1425,catClave,0))&amp;"",""))</f>
        <v/>
      </c>
      <c r="Z1425" s="52">
        <f>IF(P1425="","",WEEKDAY(B1425,2))</f>
        <v/>
      </c>
      <c r="AA1425" s="52">
        <f>IF(P1425="","",IF(AND(P1425="Gasto",X1425="Variable",D1425&lt;&gt;catTrading,S1425&gt;0,S1425&lt;=Umbral),1,0))</f>
        <v/>
      </c>
      <c r="AB1425" s="52">
        <f>IF(OR(P1425="",Q1425=""),"",IFERROR(IF(INDEX(ctaVinc,MATCH(Q1425,ctaNombre,0))&amp;""&lt;&gt;"",INDEX(ctaVinc,MATCH(Q1425,ctaNombre,0))&amp;"",Q1425),Q1425))</f>
        <v/>
      </c>
      <c r="AC1425" s="52">
        <f>IF(OR(K1425="",AND(P1425&lt;&gt;"Transferencia",P1425&lt;&gt;"Pago tarjeta")),"",IFERROR(IF(INDEX(ctaVinc,MATCH(K1425,ctaNombre,0))&amp;""&lt;&gt;"",INDEX(ctaVinc,MATCH(K1425,ctaNombre,0))&amp;"",K1425),K1425))</f>
        <v/>
      </c>
      <c r="AD1425" s="52">
        <f>IF(AB1425="","",IFERROR(INDEX(ctaTipo,MATCH(AB1425,ctaNombre,0))&amp;"",""))</f>
        <v/>
      </c>
      <c r="AE1425" s="52">
        <f>IF(AC1425="","",IFERROR(INDEX(ctaTipo,MATCH(AC1425,ctaNombre,0))&amp;"",""))</f>
        <v/>
      </c>
      <c r="AF1425" s="53">
        <f>IF(OR(P1425="",AB1425=""),"",IF(OR(P1425="Gasto",P1425="Transferencia",P1425="Pago tarjeta"),-1,1)*IF(IFERROR(INDEX(ctaMoneda,MATCH(AB1425,ctaNombre,0))&amp;"","DOP")="USD",T1425,S1425))</f>
        <v/>
      </c>
      <c r="AG1425" s="53">
        <f>IF(AC1425="","",IF(IFERROR(INDEX(ctaMoneda,MATCH(AC1425,ctaNombre,0))&amp;"","DOP")="USD",T1425,S1425))</f>
        <v/>
      </c>
      <c r="AH1425" s="53">
        <f>IF(P1425="","",IF(AND(AD1425&lt;&gt;"",COUNTIFS(tcTipo,AD1425,tcLiq,"Sí")&gt;0),IF(OR(P1425="Gasto",P1425="Transferencia",P1425="Pago tarjeta"),-1,1)*S1425,0)+IF(AND(AE1425&lt;&gt;"",COUNTIFS(tcTipo,AE1425,tcLiq,"Sí")&gt;0),S1425,0))</f>
        <v/>
      </c>
      <c r="AI1425" s="52">
        <f>IF(OR(L1425="",P1425=""),"",IF(COUNTIFS(L$6:L1425,L1425,P$6:P1425,"?*")=1,MAX(AI$5:AI1424)+1,""))</f>
        <v/>
      </c>
    </row>
    <row r="1426">
      <c r="B1426" s="47" t="n"/>
      <c r="C1426" s="48" t="n"/>
      <c r="D1426" s="48" t="n"/>
      <c r="E1426" s="48" t="n"/>
      <c r="F1426" s="48" t="n"/>
      <c r="G1426" s="49" t="n"/>
      <c r="H1426" s="48" t="n"/>
      <c r="I1426" s="50" t="n"/>
      <c r="J1426" s="48" t="n"/>
      <c r="K1426" s="48" t="n"/>
      <c r="L1426" s="48" t="n"/>
      <c r="M1426" s="48" t="n"/>
      <c r="N1426" s="48" t="n"/>
      <c r="O1426" s="51">
        <f>IF(AND(B1426="",G1426="",C1426="",D1426="",J1426=""),"",IF(B1426="","⚠ Falta fecha",IF(G1426="","⚠ Falta monto",IF(Q1426="","⚠ Falta cuenta",IF(ISNA(MATCH(Q1426,ctaNombre,0)),"⚠ Cuenta no registrada",IF(AND(OR(P1426="Gasto",P1426="Reembolso"),D1426=""),"⚠ Falta categoría",IF(AND(D1426&lt;&gt;"",E1426&lt;&gt;"",ISNA(MATCH(D1426&amp;"|"&amp;E1426,catClave,0))),"⚠ Subcategoría no corresponde",IF(AND(OR(P1426="Transferencia",P1426="Pago tarjeta"),K1426=""),"⚠ Falta cuenta destino",IF(AND(K1426&lt;&gt;"",P1426&lt;&gt;"Transferencia",P1426&lt;&gt;"Pago tarjeta"),"⚠ Destino solo aplica a transferencias",IF(AND(K1426&lt;&gt;"",K1426=Q1426),"⚠ Origen igual a destino",IF(AND(K1426&lt;&gt;"",ISNA(MATCH(K1426,ctaNombre,0))),"⚠ Destino no registrado",IF(AND(P1426="Pago tarjeta",AE1426&lt;&gt;"Tarjeta de crédito"),"⚠ El destino debe ser tarjeta de crédito",IF(AND(P1426="Gasto",E1426="Depósitos y retiros"),"⚠ Usa tipo Transferencia",IF(AND(P1426="Resultado trading",AD1426&lt;&gt;"Cuenta de trading"),"⚠ Usa una cuenta de trading",IF(AND(G1426&lt;=0,P1426&lt;&gt;"Ajuste",P1426&lt;&gt;"Resultado trading"),"⚠ El monto debe ser positivo","✓")))))))))))))))</f>
        <v/>
      </c>
      <c r="P1426" s="52">
        <f>IF(OR(B1426="",G1426=""),"",IF(C1426="","Gasto",C1426))</f>
        <v/>
      </c>
      <c r="Q1426" s="52">
        <f>IF(P1426="","",IF(J1426&lt;&gt;"",J1426,CuentaPred&amp;""))</f>
        <v/>
      </c>
      <c r="R1426" s="52">
        <f>IF(P1426="","",IF(ISNUMBER(I1426),I1426,TasaUSD))</f>
        <v/>
      </c>
      <c r="S1426" s="53">
        <f>IF(P1426="","",IF(H1426="USD",G1426*R1426,G1426))</f>
        <v/>
      </c>
      <c r="T1426" s="53">
        <f>IF(P1426="","",IF(H1426="USD",G1426,IF(R1426&gt;0,G1426/R1426,0)))</f>
        <v/>
      </c>
      <c r="U1426" s="53">
        <f>IF(P1426="","",IF(P1426="Gasto",S1426,IF(P1426="Reembolso",-S1426,0)))</f>
        <v/>
      </c>
      <c r="V1426" s="53">
        <f>IF(P1426="","",IF(P1426="Ingreso",S1426,0))</f>
        <v/>
      </c>
      <c r="W1426" s="53">
        <f>IF(P1426="","",IF(P1426="Resultado trading",S1426,0))</f>
        <v/>
      </c>
      <c r="X1426" s="52">
        <f>IF(OR(P1426="Gasto",P1426="Reembolso"),IF(M1426&lt;&gt;"",M1426,IFERROR(INDEX(catClasif,MATCH(D1426&amp;"|"&amp;E1426,catClave,0))&amp;"","Variable")),"")</f>
        <v/>
      </c>
      <c r="Y1426" s="52">
        <f>IF(P1426="","",IFERROR(INDEX(catGrupo,MATCH(D1426&amp;"|"&amp;E1426,catClave,0))&amp;"",""))</f>
        <v/>
      </c>
      <c r="Z1426" s="52">
        <f>IF(P1426="","",WEEKDAY(B1426,2))</f>
        <v/>
      </c>
      <c r="AA1426" s="52">
        <f>IF(P1426="","",IF(AND(P1426="Gasto",X1426="Variable",D1426&lt;&gt;catTrading,S1426&gt;0,S1426&lt;=Umbral),1,0))</f>
        <v/>
      </c>
      <c r="AB1426" s="52">
        <f>IF(OR(P1426="",Q1426=""),"",IFERROR(IF(INDEX(ctaVinc,MATCH(Q1426,ctaNombre,0))&amp;""&lt;&gt;"",INDEX(ctaVinc,MATCH(Q1426,ctaNombre,0))&amp;"",Q1426),Q1426))</f>
        <v/>
      </c>
      <c r="AC1426" s="52">
        <f>IF(OR(K1426="",AND(P1426&lt;&gt;"Transferencia",P1426&lt;&gt;"Pago tarjeta")),"",IFERROR(IF(INDEX(ctaVinc,MATCH(K1426,ctaNombre,0))&amp;""&lt;&gt;"",INDEX(ctaVinc,MATCH(K1426,ctaNombre,0))&amp;"",K1426),K1426))</f>
        <v/>
      </c>
      <c r="AD1426" s="52">
        <f>IF(AB1426="","",IFERROR(INDEX(ctaTipo,MATCH(AB1426,ctaNombre,0))&amp;"",""))</f>
        <v/>
      </c>
      <c r="AE1426" s="52">
        <f>IF(AC1426="","",IFERROR(INDEX(ctaTipo,MATCH(AC1426,ctaNombre,0))&amp;"",""))</f>
        <v/>
      </c>
      <c r="AF1426" s="53">
        <f>IF(OR(P1426="",AB1426=""),"",IF(OR(P1426="Gasto",P1426="Transferencia",P1426="Pago tarjeta"),-1,1)*IF(IFERROR(INDEX(ctaMoneda,MATCH(AB1426,ctaNombre,0))&amp;"","DOP")="USD",T1426,S1426))</f>
        <v/>
      </c>
      <c r="AG1426" s="53">
        <f>IF(AC1426="","",IF(IFERROR(INDEX(ctaMoneda,MATCH(AC1426,ctaNombre,0))&amp;"","DOP")="USD",T1426,S1426))</f>
        <v/>
      </c>
      <c r="AH1426" s="53">
        <f>IF(P1426="","",IF(AND(AD1426&lt;&gt;"",COUNTIFS(tcTipo,AD1426,tcLiq,"Sí")&gt;0),IF(OR(P1426="Gasto",P1426="Transferencia",P1426="Pago tarjeta"),-1,1)*S1426,0)+IF(AND(AE1426&lt;&gt;"",COUNTIFS(tcTipo,AE1426,tcLiq,"Sí")&gt;0),S1426,0))</f>
        <v/>
      </c>
      <c r="AI1426" s="52">
        <f>IF(OR(L1426="",P1426=""),"",IF(COUNTIFS(L$6:L1426,L1426,P$6:P1426,"?*")=1,MAX(AI$5:AI1425)+1,""))</f>
        <v/>
      </c>
    </row>
    <row r="1427">
      <c r="B1427" s="47" t="n"/>
      <c r="C1427" s="48" t="n"/>
      <c r="D1427" s="48" t="n"/>
      <c r="E1427" s="48" t="n"/>
      <c r="F1427" s="48" t="n"/>
      <c r="G1427" s="49" t="n"/>
      <c r="H1427" s="48" t="n"/>
      <c r="I1427" s="50" t="n"/>
      <c r="J1427" s="48" t="n"/>
      <c r="K1427" s="48" t="n"/>
      <c r="L1427" s="48" t="n"/>
      <c r="M1427" s="48" t="n"/>
      <c r="N1427" s="48" t="n"/>
      <c r="O1427" s="51">
        <f>IF(AND(B1427="",G1427="",C1427="",D1427="",J1427=""),"",IF(B1427="","⚠ Falta fecha",IF(G1427="","⚠ Falta monto",IF(Q1427="","⚠ Falta cuenta",IF(ISNA(MATCH(Q1427,ctaNombre,0)),"⚠ Cuenta no registrada",IF(AND(OR(P1427="Gasto",P1427="Reembolso"),D1427=""),"⚠ Falta categoría",IF(AND(D1427&lt;&gt;"",E1427&lt;&gt;"",ISNA(MATCH(D1427&amp;"|"&amp;E1427,catClave,0))),"⚠ Subcategoría no corresponde",IF(AND(OR(P1427="Transferencia",P1427="Pago tarjeta"),K1427=""),"⚠ Falta cuenta destino",IF(AND(K1427&lt;&gt;"",P1427&lt;&gt;"Transferencia",P1427&lt;&gt;"Pago tarjeta"),"⚠ Destino solo aplica a transferencias",IF(AND(K1427&lt;&gt;"",K1427=Q1427),"⚠ Origen igual a destino",IF(AND(K1427&lt;&gt;"",ISNA(MATCH(K1427,ctaNombre,0))),"⚠ Destino no registrado",IF(AND(P1427="Pago tarjeta",AE1427&lt;&gt;"Tarjeta de crédito"),"⚠ El destino debe ser tarjeta de crédito",IF(AND(P1427="Gasto",E1427="Depósitos y retiros"),"⚠ Usa tipo Transferencia",IF(AND(P1427="Resultado trading",AD1427&lt;&gt;"Cuenta de trading"),"⚠ Usa una cuenta de trading",IF(AND(G1427&lt;=0,P1427&lt;&gt;"Ajuste",P1427&lt;&gt;"Resultado trading"),"⚠ El monto debe ser positivo","✓")))))))))))))))</f>
        <v/>
      </c>
      <c r="P1427" s="52">
        <f>IF(OR(B1427="",G1427=""),"",IF(C1427="","Gasto",C1427))</f>
        <v/>
      </c>
      <c r="Q1427" s="52">
        <f>IF(P1427="","",IF(J1427&lt;&gt;"",J1427,CuentaPred&amp;""))</f>
        <v/>
      </c>
      <c r="R1427" s="52">
        <f>IF(P1427="","",IF(ISNUMBER(I1427),I1427,TasaUSD))</f>
        <v/>
      </c>
      <c r="S1427" s="53">
        <f>IF(P1427="","",IF(H1427="USD",G1427*R1427,G1427))</f>
        <v/>
      </c>
      <c r="T1427" s="53">
        <f>IF(P1427="","",IF(H1427="USD",G1427,IF(R1427&gt;0,G1427/R1427,0)))</f>
        <v/>
      </c>
      <c r="U1427" s="53">
        <f>IF(P1427="","",IF(P1427="Gasto",S1427,IF(P1427="Reembolso",-S1427,0)))</f>
        <v/>
      </c>
      <c r="V1427" s="53">
        <f>IF(P1427="","",IF(P1427="Ingreso",S1427,0))</f>
        <v/>
      </c>
      <c r="W1427" s="53">
        <f>IF(P1427="","",IF(P1427="Resultado trading",S1427,0))</f>
        <v/>
      </c>
      <c r="X1427" s="52">
        <f>IF(OR(P1427="Gasto",P1427="Reembolso"),IF(M1427&lt;&gt;"",M1427,IFERROR(INDEX(catClasif,MATCH(D1427&amp;"|"&amp;E1427,catClave,0))&amp;"","Variable")),"")</f>
        <v/>
      </c>
      <c r="Y1427" s="52">
        <f>IF(P1427="","",IFERROR(INDEX(catGrupo,MATCH(D1427&amp;"|"&amp;E1427,catClave,0))&amp;"",""))</f>
        <v/>
      </c>
      <c r="Z1427" s="52">
        <f>IF(P1427="","",WEEKDAY(B1427,2))</f>
        <v/>
      </c>
      <c r="AA1427" s="52">
        <f>IF(P1427="","",IF(AND(P1427="Gasto",X1427="Variable",D1427&lt;&gt;catTrading,S1427&gt;0,S1427&lt;=Umbral),1,0))</f>
        <v/>
      </c>
      <c r="AB1427" s="52">
        <f>IF(OR(P1427="",Q1427=""),"",IFERROR(IF(INDEX(ctaVinc,MATCH(Q1427,ctaNombre,0))&amp;""&lt;&gt;"",INDEX(ctaVinc,MATCH(Q1427,ctaNombre,0))&amp;"",Q1427),Q1427))</f>
        <v/>
      </c>
      <c r="AC1427" s="52">
        <f>IF(OR(K1427="",AND(P1427&lt;&gt;"Transferencia",P1427&lt;&gt;"Pago tarjeta")),"",IFERROR(IF(INDEX(ctaVinc,MATCH(K1427,ctaNombre,0))&amp;""&lt;&gt;"",INDEX(ctaVinc,MATCH(K1427,ctaNombre,0))&amp;"",K1427),K1427))</f>
        <v/>
      </c>
      <c r="AD1427" s="52">
        <f>IF(AB1427="","",IFERROR(INDEX(ctaTipo,MATCH(AB1427,ctaNombre,0))&amp;"",""))</f>
        <v/>
      </c>
      <c r="AE1427" s="52">
        <f>IF(AC1427="","",IFERROR(INDEX(ctaTipo,MATCH(AC1427,ctaNombre,0))&amp;"",""))</f>
        <v/>
      </c>
      <c r="AF1427" s="53">
        <f>IF(OR(P1427="",AB1427=""),"",IF(OR(P1427="Gasto",P1427="Transferencia",P1427="Pago tarjeta"),-1,1)*IF(IFERROR(INDEX(ctaMoneda,MATCH(AB1427,ctaNombre,0))&amp;"","DOP")="USD",T1427,S1427))</f>
        <v/>
      </c>
      <c r="AG1427" s="53">
        <f>IF(AC1427="","",IF(IFERROR(INDEX(ctaMoneda,MATCH(AC1427,ctaNombre,0))&amp;"","DOP")="USD",T1427,S1427))</f>
        <v/>
      </c>
      <c r="AH1427" s="53">
        <f>IF(P1427="","",IF(AND(AD1427&lt;&gt;"",COUNTIFS(tcTipo,AD1427,tcLiq,"Sí")&gt;0),IF(OR(P1427="Gasto",P1427="Transferencia",P1427="Pago tarjeta"),-1,1)*S1427,0)+IF(AND(AE1427&lt;&gt;"",COUNTIFS(tcTipo,AE1427,tcLiq,"Sí")&gt;0),S1427,0))</f>
        <v/>
      </c>
      <c r="AI1427" s="52">
        <f>IF(OR(L1427="",P1427=""),"",IF(COUNTIFS(L$6:L1427,L1427,P$6:P1427,"?*")=1,MAX(AI$5:AI1426)+1,""))</f>
        <v/>
      </c>
    </row>
    <row r="1428">
      <c r="B1428" s="47" t="n"/>
      <c r="C1428" s="48" t="n"/>
      <c r="D1428" s="48" t="n"/>
      <c r="E1428" s="48" t="n"/>
      <c r="F1428" s="48" t="n"/>
      <c r="G1428" s="49" t="n"/>
      <c r="H1428" s="48" t="n"/>
      <c r="I1428" s="50" t="n"/>
      <c r="J1428" s="48" t="n"/>
      <c r="K1428" s="48" t="n"/>
      <c r="L1428" s="48" t="n"/>
      <c r="M1428" s="48" t="n"/>
      <c r="N1428" s="48" t="n"/>
      <c r="O1428" s="51">
        <f>IF(AND(B1428="",G1428="",C1428="",D1428="",J1428=""),"",IF(B1428="","⚠ Falta fecha",IF(G1428="","⚠ Falta monto",IF(Q1428="","⚠ Falta cuenta",IF(ISNA(MATCH(Q1428,ctaNombre,0)),"⚠ Cuenta no registrada",IF(AND(OR(P1428="Gasto",P1428="Reembolso"),D1428=""),"⚠ Falta categoría",IF(AND(D1428&lt;&gt;"",E1428&lt;&gt;"",ISNA(MATCH(D1428&amp;"|"&amp;E1428,catClave,0))),"⚠ Subcategoría no corresponde",IF(AND(OR(P1428="Transferencia",P1428="Pago tarjeta"),K1428=""),"⚠ Falta cuenta destino",IF(AND(K1428&lt;&gt;"",P1428&lt;&gt;"Transferencia",P1428&lt;&gt;"Pago tarjeta"),"⚠ Destino solo aplica a transferencias",IF(AND(K1428&lt;&gt;"",K1428=Q1428),"⚠ Origen igual a destino",IF(AND(K1428&lt;&gt;"",ISNA(MATCH(K1428,ctaNombre,0))),"⚠ Destino no registrado",IF(AND(P1428="Pago tarjeta",AE1428&lt;&gt;"Tarjeta de crédito"),"⚠ El destino debe ser tarjeta de crédito",IF(AND(P1428="Gasto",E1428="Depósitos y retiros"),"⚠ Usa tipo Transferencia",IF(AND(P1428="Resultado trading",AD1428&lt;&gt;"Cuenta de trading"),"⚠ Usa una cuenta de trading",IF(AND(G1428&lt;=0,P1428&lt;&gt;"Ajuste",P1428&lt;&gt;"Resultado trading"),"⚠ El monto debe ser positivo","✓")))))))))))))))</f>
        <v/>
      </c>
      <c r="P1428" s="52">
        <f>IF(OR(B1428="",G1428=""),"",IF(C1428="","Gasto",C1428))</f>
        <v/>
      </c>
      <c r="Q1428" s="52">
        <f>IF(P1428="","",IF(J1428&lt;&gt;"",J1428,CuentaPred&amp;""))</f>
        <v/>
      </c>
      <c r="R1428" s="52">
        <f>IF(P1428="","",IF(ISNUMBER(I1428),I1428,TasaUSD))</f>
        <v/>
      </c>
      <c r="S1428" s="53">
        <f>IF(P1428="","",IF(H1428="USD",G1428*R1428,G1428))</f>
        <v/>
      </c>
      <c r="T1428" s="53">
        <f>IF(P1428="","",IF(H1428="USD",G1428,IF(R1428&gt;0,G1428/R1428,0)))</f>
        <v/>
      </c>
      <c r="U1428" s="53">
        <f>IF(P1428="","",IF(P1428="Gasto",S1428,IF(P1428="Reembolso",-S1428,0)))</f>
        <v/>
      </c>
      <c r="V1428" s="53">
        <f>IF(P1428="","",IF(P1428="Ingreso",S1428,0))</f>
        <v/>
      </c>
      <c r="W1428" s="53">
        <f>IF(P1428="","",IF(P1428="Resultado trading",S1428,0))</f>
        <v/>
      </c>
      <c r="X1428" s="52">
        <f>IF(OR(P1428="Gasto",P1428="Reembolso"),IF(M1428&lt;&gt;"",M1428,IFERROR(INDEX(catClasif,MATCH(D1428&amp;"|"&amp;E1428,catClave,0))&amp;"","Variable")),"")</f>
        <v/>
      </c>
      <c r="Y1428" s="52">
        <f>IF(P1428="","",IFERROR(INDEX(catGrupo,MATCH(D1428&amp;"|"&amp;E1428,catClave,0))&amp;"",""))</f>
        <v/>
      </c>
      <c r="Z1428" s="52">
        <f>IF(P1428="","",WEEKDAY(B1428,2))</f>
        <v/>
      </c>
      <c r="AA1428" s="52">
        <f>IF(P1428="","",IF(AND(P1428="Gasto",X1428="Variable",D1428&lt;&gt;catTrading,S1428&gt;0,S1428&lt;=Umbral),1,0))</f>
        <v/>
      </c>
      <c r="AB1428" s="52">
        <f>IF(OR(P1428="",Q1428=""),"",IFERROR(IF(INDEX(ctaVinc,MATCH(Q1428,ctaNombre,0))&amp;""&lt;&gt;"",INDEX(ctaVinc,MATCH(Q1428,ctaNombre,0))&amp;"",Q1428),Q1428))</f>
        <v/>
      </c>
      <c r="AC1428" s="52">
        <f>IF(OR(K1428="",AND(P1428&lt;&gt;"Transferencia",P1428&lt;&gt;"Pago tarjeta")),"",IFERROR(IF(INDEX(ctaVinc,MATCH(K1428,ctaNombre,0))&amp;""&lt;&gt;"",INDEX(ctaVinc,MATCH(K1428,ctaNombre,0))&amp;"",K1428),K1428))</f>
        <v/>
      </c>
      <c r="AD1428" s="52">
        <f>IF(AB1428="","",IFERROR(INDEX(ctaTipo,MATCH(AB1428,ctaNombre,0))&amp;"",""))</f>
        <v/>
      </c>
      <c r="AE1428" s="52">
        <f>IF(AC1428="","",IFERROR(INDEX(ctaTipo,MATCH(AC1428,ctaNombre,0))&amp;"",""))</f>
        <v/>
      </c>
      <c r="AF1428" s="53">
        <f>IF(OR(P1428="",AB1428=""),"",IF(OR(P1428="Gasto",P1428="Transferencia",P1428="Pago tarjeta"),-1,1)*IF(IFERROR(INDEX(ctaMoneda,MATCH(AB1428,ctaNombre,0))&amp;"","DOP")="USD",T1428,S1428))</f>
        <v/>
      </c>
      <c r="AG1428" s="53">
        <f>IF(AC1428="","",IF(IFERROR(INDEX(ctaMoneda,MATCH(AC1428,ctaNombre,0))&amp;"","DOP")="USD",T1428,S1428))</f>
        <v/>
      </c>
      <c r="AH1428" s="53">
        <f>IF(P1428="","",IF(AND(AD1428&lt;&gt;"",COUNTIFS(tcTipo,AD1428,tcLiq,"Sí")&gt;0),IF(OR(P1428="Gasto",P1428="Transferencia",P1428="Pago tarjeta"),-1,1)*S1428,0)+IF(AND(AE1428&lt;&gt;"",COUNTIFS(tcTipo,AE1428,tcLiq,"Sí")&gt;0),S1428,0))</f>
        <v/>
      </c>
      <c r="AI1428" s="52">
        <f>IF(OR(L1428="",P1428=""),"",IF(COUNTIFS(L$6:L1428,L1428,P$6:P1428,"?*")=1,MAX(AI$5:AI1427)+1,""))</f>
        <v/>
      </c>
    </row>
    <row r="1429">
      <c r="B1429" s="47" t="n"/>
      <c r="C1429" s="48" t="n"/>
      <c r="D1429" s="48" t="n"/>
      <c r="E1429" s="48" t="n"/>
      <c r="F1429" s="48" t="n"/>
      <c r="G1429" s="49" t="n"/>
      <c r="H1429" s="48" t="n"/>
      <c r="I1429" s="50" t="n"/>
      <c r="J1429" s="48" t="n"/>
      <c r="K1429" s="48" t="n"/>
      <c r="L1429" s="48" t="n"/>
      <c r="M1429" s="48" t="n"/>
      <c r="N1429" s="48" t="n"/>
      <c r="O1429" s="51">
        <f>IF(AND(B1429="",G1429="",C1429="",D1429="",J1429=""),"",IF(B1429="","⚠ Falta fecha",IF(G1429="","⚠ Falta monto",IF(Q1429="","⚠ Falta cuenta",IF(ISNA(MATCH(Q1429,ctaNombre,0)),"⚠ Cuenta no registrada",IF(AND(OR(P1429="Gasto",P1429="Reembolso"),D1429=""),"⚠ Falta categoría",IF(AND(D1429&lt;&gt;"",E1429&lt;&gt;"",ISNA(MATCH(D1429&amp;"|"&amp;E1429,catClave,0))),"⚠ Subcategoría no corresponde",IF(AND(OR(P1429="Transferencia",P1429="Pago tarjeta"),K1429=""),"⚠ Falta cuenta destino",IF(AND(K1429&lt;&gt;"",P1429&lt;&gt;"Transferencia",P1429&lt;&gt;"Pago tarjeta"),"⚠ Destino solo aplica a transferencias",IF(AND(K1429&lt;&gt;"",K1429=Q1429),"⚠ Origen igual a destino",IF(AND(K1429&lt;&gt;"",ISNA(MATCH(K1429,ctaNombre,0))),"⚠ Destino no registrado",IF(AND(P1429="Pago tarjeta",AE1429&lt;&gt;"Tarjeta de crédito"),"⚠ El destino debe ser tarjeta de crédito",IF(AND(P1429="Gasto",E1429="Depósitos y retiros"),"⚠ Usa tipo Transferencia",IF(AND(P1429="Resultado trading",AD1429&lt;&gt;"Cuenta de trading"),"⚠ Usa una cuenta de trading",IF(AND(G1429&lt;=0,P1429&lt;&gt;"Ajuste",P1429&lt;&gt;"Resultado trading"),"⚠ El monto debe ser positivo","✓")))))))))))))))</f>
        <v/>
      </c>
      <c r="P1429" s="52">
        <f>IF(OR(B1429="",G1429=""),"",IF(C1429="","Gasto",C1429))</f>
        <v/>
      </c>
      <c r="Q1429" s="52">
        <f>IF(P1429="","",IF(J1429&lt;&gt;"",J1429,CuentaPred&amp;""))</f>
        <v/>
      </c>
      <c r="R1429" s="52">
        <f>IF(P1429="","",IF(ISNUMBER(I1429),I1429,TasaUSD))</f>
        <v/>
      </c>
      <c r="S1429" s="53">
        <f>IF(P1429="","",IF(H1429="USD",G1429*R1429,G1429))</f>
        <v/>
      </c>
      <c r="T1429" s="53">
        <f>IF(P1429="","",IF(H1429="USD",G1429,IF(R1429&gt;0,G1429/R1429,0)))</f>
        <v/>
      </c>
      <c r="U1429" s="53">
        <f>IF(P1429="","",IF(P1429="Gasto",S1429,IF(P1429="Reembolso",-S1429,0)))</f>
        <v/>
      </c>
      <c r="V1429" s="53">
        <f>IF(P1429="","",IF(P1429="Ingreso",S1429,0))</f>
        <v/>
      </c>
      <c r="W1429" s="53">
        <f>IF(P1429="","",IF(P1429="Resultado trading",S1429,0))</f>
        <v/>
      </c>
      <c r="X1429" s="52">
        <f>IF(OR(P1429="Gasto",P1429="Reembolso"),IF(M1429&lt;&gt;"",M1429,IFERROR(INDEX(catClasif,MATCH(D1429&amp;"|"&amp;E1429,catClave,0))&amp;"","Variable")),"")</f>
        <v/>
      </c>
      <c r="Y1429" s="52">
        <f>IF(P1429="","",IFERROR(INDEX(catGrupo,MATCH(D1429&amp;"|"&amp;E1429,catClave,0))&amp;"",""))</f>
        <v/>
      </c>
      <c r="Z1429" s="52">
        <f>IF(P1429="","",WEEKDAY(B1429,2))</f>
        <v/>
      </c>
      <c r="AA1429" s="52">
        <f>IF(P1429="","",IF(AND(P1429="Gasto",X1429="Variable",D1429&lt;&gt;catTrading,S1429&gt;0,S1429&lt;=Umbral),1,0))</f>
        <v/>
      </c>
      <c r="AB1429" s="52">
        <f>IF(OR(P1429="",Q1429=""),"",IFERROR(IF(INDEX(ctaVinc,MATCH(Q1429,ctaNombre,0))&amp;""&lt;&gt;"",INDEX(ctaVinc,MATCH(Q1429,ctaNombre,0))&amp;"",Q1429),Q1429))</f>
        <v/>
      </c>
      <c r="AC1429" s="52">
        <f>IF(OR(K1429="",AND(P1429&lt;&gt;"Transferencia",P1429&lt;&gt;"Pago tarjeta")),"",IFERROR(IF(INDEX(ctaVinc,MATCH(K1429,ctaNombre,0))&amp;""&lt;&gt;"",INDEX(ctaVinc,MATCH(K1429,ctaNombre,0))&amp;"",K1429),K1429))</f>
        <v/>
      </c>
      <c r="AD1429" s="52">
        <f>IF(AB1429="","",IFERROR(INDEX(ctaTipo,MATCH(AB1429,ctaNombre,0))&amp;"",""))</f>
        <v/>
      </c>
      <c r="AE1429" s="52">
        <f>IF(AC1429="","",IFERROR(INDEX(ctaTipo,MATCH(AC1429,ctaNombre,0))&amp;"",""))</f>
        <v/>
      </c>
      <c r="AF1429" s="53">
        <f>IF(OR(P1429="",AB1429=""),"",IF(OR(P1429="Gasto",P1429="Transferencia",P1429="Pago tarjeta"),-1,1)*IF(IFERROR(INDEX(ctaMoneda,MATCH(AB1429,ctaNombre,0))&amp;"","DOP")="USD",T1429,S1429))</f>
        <v/>
      </c>
      <c r="AG1429" s="53">
        <f>IF(AC1429="","",IF(IFERROR(INDEX(ctaMoneda,MATCH(AC1429,ctaNombre,0))&amp;"","DOP")="USD",T1429,S1429))</f>
        <v/>
      </c>
      <c r="AH1429" s="53">
        <f>IF(P1429="","",IF(AND(AD1429&lt;&gt;"",COUNTIFS(tcTipo,AD1429,tcLiq,"Sí")&gt;0),IF(OR(P1429="Gasto",P1429="Transferencia",P1429="Pago tarjeta"),-1,1)*S1429,0)+IF(AND(AE1429&lt;&gt;"",COUNTIFS(tcTipo,AE1429,tcLiq,"Sí")&gt;0),S1429,0))</f>
        <v/>
      </c>
      <c r="AI1429" s="52">
        <f>IF(OR(L1429="",P1429=""),"",IF(COUNTIFS(L$6:L1429,L1429,P$6:P1429,"?*")=1,MAX(AI$5:AI1428)+1,""))</f>
        <v/>
      </c>
    </row>
    <row r="1430">
      <c r="B1430" s="47" t="n"/>
      <c r="C1430" s="48" t="n"/>
      <c r="D1430" s="48" t="n"/>
      <c r="E1430" s="48" t="n"/>
      <c r="F1430" s="48" t="n"/>
      <c r="G1430" s="49" t="n"/>
      <c r="H1430" s="48" t="n"/>
      <c r="I1430" s="50" t="n"/>
      <c r="J1430" s="48" t="n"/>
      <c r="K1430" s="48" t="n"/>
      <c r="L1430" s="48" t="n"/>
      <c r="M1430" s="48" t="n"/>
      <c r="N1430" s="48" t="n"/>
      <c r="O1430" s="51">
        <f>IF(AND(B1430="",G1430="",C1430="",D1430="",J1430=""),"",IF(B1430="","⚠ Falta fecha",IF(G1430="","⚠ Falta monto",IF(Q1430="","⚠ Falta cuenta",IF(ISNA(MATCH(Q1430,ctaNombre,0)),"⚠ Cuenta no registrada",IF(AND(OR(P1430="Gasto",P1430="Reembolso"),D1430=""),"⚠ Falta categoría",IF(AND(D1430&lt;&gt;"",E1430&lt;&gt;"",ISNA(MATCH(D1430&amp;"|"&amp;E1430,catClave,0))),"⚠ Subcategoría no corresponde",IF(AND(OR(P1430="Transferencia",P1430="Pago tarjeta"),K1430=""),"⚠ Falta cuenta destino",IF(AND(K1430&lt;&gt;"",P1430&lt;&gt;"Transferencia",P1430&lt;&gt;"Pago tarjeta"),"⚠ Destino solo aplica a transferencias",IF(AND(K1430&lt;&gt;"",K1430=Q1430),"⚠ Origen igual a destino",IF(AND(K1430&lt;&gt;"",ISNA(MATCH(K1430,ctaNombre,0))),"⚠ Destino no registrado",IF(AND(P1430="Pago tarjeta",AE1430&lt;&gt;"Tarjeta de crédito"),"⚠ El destino debe ser tarjeta de crédito",IF(AND(P1430="Gasto",E1430="Depósitos y retiros"),"⚠ Usa tipo Transferencia",IF(AND(P1430="Resultado trading",AD1430&lt;&gt;"Cuenta de trading"),"⚠ Usa una cuenta de trading",IF(AND(G1430&lt;=0,P1430&lt;&gt;"Ajuste",P1430&lt;&gt;"Resultado trading"),"⚠ El monto debe ser positivo","✓")))))))))))))))</f>
        <v/>
      </c>
      <c r="P1430" s="52">
        <f>IF(OR(B1430="",G1430=""),"",IF(C1430="","Gasto",C1430))</f>
        <v/>
      </c>
      <c r="Q1430" s="52">
        <f>IF(P1430="","",IF(J1430&lt;&gt;"",J1430,CuentaPred&amp;""))</f>
        <v/>
      </c>
      <c r="R1430" s="52">
        <f>IF(P1430="","",IF(ISNUMBER(I1430),I1430,TasaUSD))</f>
        <v/>
      </c>
      <c r="S1430" s="53">
        <f>IF(P1430="","",IF(H1430="USD",G1430*R1430,G1430))</f>
        <v/>
      </c>
      <c r="T1430" s="53">
        <f>IF(P1430="","",IF(H1430="USD",G1430,IF(R1430&gt;0,G1430/R1430,0)))</f>
        <v/>
      </c>
      <c r="U1430" s="53">
        <f>IF(P1430="","",IF(P1430="Gasto",S1430,IF(P1430="Reembolso",-S1430,0)))</f>
        <v/>
      </c>
      <c r="V1430" s="53">
        <f>IF(P1430="","",IF(P1430="Ingreso",S1430,0))</f>
        <v/>
      </c>
      <c r="W1430" s="53">
        <f>IF(P1430="","",IF(P1430="Resultado trading",S1430,0))</f>
        <v/>
      </c>
      <c r="X1430" s="52">
        <f>IF(OR(P1430="Gasto",P1430="Reembolso"),IF(M1430&lt;&gt;"",M1430,IFERROR(INDEX(catClasif,MATCH(D1430&amp;"|"&amp;E1430,catClave,0))&amp;"","Variable")),"")</f>
        <v/>
      </c>
      <c r="Y1430" s="52">
        <f>IF(P1430="","",IFERROR(INDEX(catGrupo,MATCH(D1430&amp;"|"&amp;E1430,catClave,0))&amp;"",""))</f>
        <v/>
      </c>
      <c r="Z1430" s="52">
        <f>IF(P1430="","",WEEKDAY(B1430,2))</f>
        <v/>
      </c>
      <c r="AA1430" s="52">
        <f>IF(P1430="","",IF(AND(P1430="Gasto",X1430="Variable",D1430&lt;&gt;catTrading,S1430&gt;0,S1430&lt;=Umbral),1,0))</f>
        <v/>
      </c>
      <c r="AB1430" s="52">
        <f>IF(OR(P1430="",Q1430=""),"",IFERROR(IF(INDEX(ctaVinc,MATCH(Q1430,ctaNombre,0))&amp;""&lt;&gt;"",INDEX(ctaVinc,MATCH(Q1430,ctaNombre,0))&amp;"",Q1430),Q1430))</f>
        <v/>
      </c>
      <c r="AC1430" s="52">
        <f>IF(OR(K1430="",AND(P1430&lt;&gt;"Transferencia",P1430&lt;&gt;"Pago tarjeta")),"",IFERROR(IF(INDEX(ctaVinc,MATCH(K1430,ctaNombre,0))&amp;""&lt;&gt;"",INDEX(ctaVinc,MATCH(K1430,ctaNombre,0))&amp;"",K1430),K1430))</f>
        <v/>
      </c>
      <c r="AD1430" s="52">
        <f>IF(AB1430="","",IFERROR(INDEX(ctaTipo,MATCH(AB1430,ctaNombre,0))&amp;"",""))</f>
        <v/>
      </c>
      <c r="AE1430" s="52">
        <f>IF(AC1430="","",IFERROR(INDEX(ctaTipo,MATCH(AC1430,ctaNombre,0))&amp;"",""))</f>
        <v/>
      </c>
      <c r="AF1430" s="53">
        <f>IF(OR(P1430="",AB1430=""),"",IF(OR(P1430="Gasto",P1430="Transferencia",P1430="Pago tarjeta"),-1,1)*IF(IFERROR(INDEX(ctaMoneda,MATCH(AB1430,ctaNombre,0))&amp;"","DOP")="USD",T1430,S1430))</f>
        <v/>
      </c>
      <c r="AG1430" s="53">
        <f>IF(AC1430="","",IF(IFERROR(INDEX(ctaMoneda,MATCH(AC1430,ctaNombre,0))&amp;"","DOP")="USD",T1430,S1430))</f>
        <v/>
      </c>
      <c r="AH1430" s="53">
        <f>IF(P1430="","",IF(AND(AD1430&lt;&gt;"",COUNTIFS(tcTipo,AD1430,tcLiq,"Sí")&gt;0),IF(OR(P1430="Gasto",P1430="Transferencia",P1430="Pago tarjeta"),-1,1)*S1430,0)+IF(AND(AE1430&lt;&gt;"",COUNTIFS(tcTipo,AE1430,tcLiq,"Sí")&gt;0),S1430,0))</f>
        <v/>
      </c>
      <c r="AI1430" s="52">
        <f>IF(OR(L1430="",P1430=""),"",IF(COUNTIFS(L$6:L1430,L1430,P$6:P1430,"?*")=1,MAX(AI$5:AI1429)+1,""))</f>
        <v/>
      </c>
    </row>
    <row r="1431">
      <c r="B1431" s="47" t="n"/>
      <c r="C1431" s="48" t="n"/>
      <c r="D1431" s="48" t="n"/>
      <c r="E1431" s="48" t="n"/>
      <c r="F1431" s="48" t="n"/>
      <c r="G1431" s="49" t="n"/>
      <c r="H1431" s="48" t="n"/>
      <c r="I1431" s="50" t="n"/>
      <c r="J1431" s="48" t="n"/>
      <c r="K1431" s="48" t="n"/>
      <c r="L1431" s="48" t="n"/>
      <c r="M1431" s="48" t="n"/>
      <c r="N1431" s="48" t="n"/>
      <c r="O1431" s="51">
        <f>IF(AND(B1431="",G1431="",C1431="",D1431="",J1431=""),"",IF(B1431="","⚠ Falta fecha",IF(G1431="","⚠ Falta monto",IF(Q1431="","⚠ Falta cuenta",IF(ISNA(MATCH(Q1431,ctaNombre,0)),"⚠ Cuenta no registrada",IF(AND(OR(P1431="Gasto",P1431="Reembolso"),D1431=""),"⚠ Falta categoría",IF(AND(D1431&lt;&gt;"",E1431&lt;&gt;"",ISNA(MATCH(D1431&amp;"|"&amp;E1431,catClave,0))),"⚠ Subcategoría no corresponde",IF(AND(OR(P1431="Transferencia",P1431="Pago tarjeta"),K1431=""),"⚠ Falta cuenta destino",IF(AND(K1431&lt;&gt;"",P1431&lt;&gt;"Transferencia",P1431&lt;&gt;"Pago tarjeta"),"⚠ Destino solo aplica a transferencias",IF(AND(K1431&lt;&gt;"",K1431=Q1431),"⚠ Origen igual a destino",IF(AND(K1431&lt;&gt;"",ISNA(MATCH(K1431,ctaNombre,0))),"⚠ Destino no registrado",IF(AND(P1431="Pago tarjeta",AE1431&lt;&gt;"Tarjeta de crédito"),"⚠ El destino debe ser tarjeta de crédito",IF(AND(P1431="Gasto",E1431="Depósitos y retiros"),"⚠ Usa tipo Transferencia",IF(AND(P1431="Resultado trading",AD1431&lt;&gt;"Cuenta de trading"),"⚠ Usa una cuenta de trading",IF(AND(G1431&lt;=0,P1431&lt;&gt;"Ajuste",P1431&lt;&gt;"Resultado trading"),"⚠ El monto debe ser positivo","✓")))))))))))))))</f>
        <v/>
      </c>
      <c r="P1431" s="52">
        <f>IF(OR(B1431="",G1431=""),"",IF(C1431="","Gasto",C1431))</f>
        <v/>
      </c>
      <c r="Q1431" s="52">
        <f>IF(P1431="","",IF(J1431&lt;&gt;"",J1431,CuentaPred&amp;""))</f>
        <v/>
      </c>
      <c r="R1431" s="52">
        <f>IF(P1431="","",IF(ISNUMBER(I1431),I1431,TasaUSD))</f>
        <v/>
      </c>
      <c r="S1431" s="53">
        <f>IF(P1431="","",IF(H1431="USD",G1431*R1431,G1431))</f>
        <v/>
      </c>
      <c r="T1431" s="53">
        <f>IF(P1431="","",IF(H1431="USD",G1431,IF(R1431&gt;0,G1431/R1431,0)))</f>
        <v/>
      </c>
      <c r="U1431" s="53">
        <f>IF(P1431="","",IF(P1431="Gasto",S1431,IF(P1431="Reembolso",-S1431,0)))</f>
        <v/>
      </c>
      <c r="V1431" s="53">
        <f>IF(P1431="","",IF(P1431="Ingreso",S1431,0))</f>
        <v/>
      </c>
      <c r="W1431" s="53">
        <f>IF(P1431="","",IF(P1431="Resultado trading",S1431,0))</f>
        <v/>
      </c>
      <c r="X1431" s="52">
        <f>IF(OR(P1431="Gasto",P1431="Reembolso"),IF(M1431&lt;&gt;"",M1431,IFERROR(INDEX(catClasif,MATCH(D1431&amp;"|"&amp;E1431,catClave,0))&amp;"","Variable")),"")</f>
        <v/>
      </c>
      <c r="Y1431" s="52">
        <f>IF(P1431="","",IFERROR(INDEX(catGrupo,MATCH(D1431&amp;"|"&amp;E1431,catClave,0))&amp;"",""))</f>
        <v/>
      </c>
      <c r="Z1431" s="52">
        <f>IF(P1431="","",WEEKDAY(B1431,2))</f>
        <v/>
      </c>
      <c r="AA1431" s="52">
        <f>IF(P1431="","",IF(AND(P1431="Gasto",X1431="Variable",D1431&lt;&gt;catTrading,S1431&gt;0,S1431&lt;=Umbral),1,0))</f>
        <v/>
      </c>
      <c r="AB1431" s="52">
        <f>IF(OR(P1431="",Q1431=""),"",IFERROR(IF(INDEX(ctaVinc,MATCH(Q1431,ctaNombre,0))&amp;""&lt;&gt;"",INDEX(ctaVinc,MATCH(Q1431,ctaNombre,0))&amp;"",Q1431),Q1431))</f>
        <v/>
      </c>
      <c r="AC1431" s="52">
        <f>IF(OR(K1431="",AND(P1431&lt;&gt;"Transferencia",P1431&lt;&gt;"Pago tarjeta")),"",IFERROR(IF(INDEX(ctaVinc,MATCH(K1431,ctaNombre,0))&amp;""&lt;&gt;"",INDEX(ctaVinc,MATCH(K1431,ctaNombre,0))&amp;"",K1431),K1431))</f>
        <v/>
      </c>
      <c r="AD1431" s="52">
        <f>IF(AB1431="","",IFERROR(INDEX(ctaTipo,MATCH(AB1431,ctaNombre,0))&amp;"",""))</f>
        <v/>
      </c>
      <c r="AE1431" s="52">
        <f>IF(AC1431="","",IFERROR(INDEX(ctaTipo,MATCH(AC1431,ctaNombre,0))&amp;"",""))</f>
        <v/>
      </c>
      <c r="AF1431" s="53">
        <f>IF(OR(P1431="",AB1431=""),"",IF(OR(P1431="Gasto",P1431="Transferencia",P1431="Pago tarjeta"),-1,1)*IF(IFERROR(INDEX(ctaMoneda,MATCH(AB1431,ctaNombre,0))&amp;"","DOP")="USD",T1431,S1431))</f>
        <v/>
      </c>
      <c r="AG1431" s="53">
        <f>IF(AC1431="","",IF(IFERROR(INDEX(ctaMoneda,MATCH(AC1431,ctaNombre,0))&amp;"","DOP")="USD",T1431,S1431))</f>
        <v/>
      </c>
      <c r="AH1431" s="53">
        <f>IF(P1431="","",IF(AND(AD1431&lt;&gt;"",COUNTIFS(tcTipo,AD1431,tcLiq,"Sí")&gt;0),IF(OR(P1431="Gasto",P1431="Transferencia",P1431="Pago tarjeta"),-1,1)*S1431,0)+IF(AND(AE1431&lt;&gt;"",COUNTIFS(tcTipo,AE1431,tcLiq,"Sí")&gt;0),S1431,0))</f>
        <v/>
      </c>
      <c r="AI1431" s="52">
        <f>IF(OR(L1431="",P1431=""),"",IF(COUNTIFS(L$6:L1431,L1431,P$6:P1431,"?*")=1,MAX(AI$5:AI1430)+1,""))</f>
        <v/>
      </c>
    </row>
    <row r="1432">
      <c r="B1432" s="47" t="n"/>
      <c r="C1432" s="48" t="n"/>
      <c r="D1432" s="48" t="n"/>
      <c r="E1432" s="48" t="n"/>
      <c r="F1432" s="48" t="n"/>
      <c r="G1432" s="49" t="n"/>
      <c r="H1432" s="48" t="n"/>
      <c r="I1432" s="50" t="n"/>
      <c r="J1432" s="48" t="n"/>
      <c r="K1432" s="48" t="n"/>
      <c r="L1432" s="48" t="n"/>
      <c r="M1432" s="48" t="n"/>
      <c r="N1432" s="48" t="n"/>
      <c r="O1432" s="51">
        <f>IF(AND(B1432="",G1432="",C1432="",D1432="",J1432=""),"",IF(B1432="","⚠ Falta fecha",IF(G1432="","⚠ Falta monto",IF(Q1432="","⚠ Falta cuenta",IF(ISNA(MATCH(Q1432,ctaNombre,0)),"⚠ Cuenta no registrada",IF(AND(OR(P1432="Gasto",P1432="Reembolso"),D1432=""),"⚠ Falta categoría",IF(AND(D1432&lt;&gt;"",E1432&lt;&gt;"",ISNA(MATCH(D1432&amp;"|"&amp;E1432,catClave,0))),"⚠ Subcategoría no corresponde",IF(AND(OR(P1432="Transferencia",P1432="Pago tarjeta"),K1432=""),"⚠ Falta cuenta destino",IF(AND(K1432&lt;&gt;"",P1432&lt;&gt;"Transferencia",P1432&lt;&gt;"Pago tarjeta"),"⚠ Destino solo aplica a transferencias",IF(AND(K1432&lt;&gt;"",K1432=Q1432),"⚠ Origen igual a destino",IF(AND(K1432&lt;&gt;"",ISNA(MATCH(K1432,ctaNombre,0))),"⚠ Destino no registrado",IF(AND(P1432="Pago tarjeta",AE1432&lt;&gt;"Tarjeta de crédito"),"⚠ El destino debe ser tarjeta de crédito",IF(AND(P1432="Gasto",E1432="Depósitos y retiros"),"⚠ Usa tipo Transferencia",IF(AND(P1432="Resultado trading",AD1432&lt;&gt;"Cuenta de trading"),"⚠ Usa una cuenta de trading",IF(AND(G1432&lt;=0,P1432&lt;&gt;"Ajuste",P1432&lt;&gt;"Resultado trading"),"⚠ El monto debe ser positivo","✓")))))))))))))))</f>
        <v/>
      </c>
      <c r="P1432" s="52">
        <f>IF(OR(B1432="",G1432=""),"",IF(C1432="","Gasto",C1432))</f>
        <v/>
      </c>
      <c r="Q1432" s="52">
        <f>IF(P1432="","",IF(J1432&lt;&gt;"",J1432,CuentaPred&amp;""))</f>
        <v/>
      </c>
      <c r="R1432" s="52">
        <f>IF(P1432="","",IF(ISNUMBER(I1432),I1432,TasaUSD))</f>
        <v/>
      </c>
      <c r="S1432" s="53">
        <f>IF(P1432="","",IF(H1432="USD",G1432*R1432,G1432))</f>
        <v/>
      </c>
      <c r="T1432" s="53">
        <f>IF(P1432="","",IF(H1432="USD",G1432,IF(R1432&gt;0,G1432/R1432,0)))</f>
        <v/>
      </c>
      <c r="U1432" s="53">
        <f>IF(P1432="","",IF(P1432="Gasto",S1432,IF(P1432="Reembolso",-S1432,0)))</f>
        <v/>
      </c>
      <c r="V1432" s="53">
        <f>IF(P1432="","",IF(P1432="Ingreso",S1432,0))</f>
        <v/>
      </c>
      <c r="W1432" s="53">
        <f>IF(P1432="","",IF(P1432="Resultado trading",S1432,0))</f>
        <v/>
      </c>
      <c r="X1432" s="52">
        <f>IF(OR(P1432="Gasto",P1432="Reembolso"),IF(M1432&lt;&gt;"",M1432,IFERROR(INDEX(catClasif,MATCH(D1432&amp;"|"&amp;E1432,catClave,0))&amp;"","Variable")),"")</f>
        <v/>
      </c>
      <c r="Y1432" s="52">
        <f>IF(P1432="","",IFERROR(INDEX(catGrupo,MATCH(D1432&amp;"|"&amp;E1432,catClave,0))&amp;"",""))</f>
        <v/>
      </c>
      <c r="Z1432" s="52">
        <f>IF(P1432="","",WEEKDAY(B1432,2))</f>
        <v/>
      </c>
      <c r="AA1432" s="52">
        <f>IF(P1432="","",IF(AND(P1432="Gasto",X1432="Variable",D1432&lt;&gt;catTrading,S1432&gt;0,S1432&lt;=Umbral),1,0))</f>
        <v/>
      </c>
      <c r="AB1432" s="52">
        <f>IF(OR(P1432="",Q1432=""),"",IFERROR(IF(INDEX(ctaVinc,MATCH(Q1432,ctaNombre,0))&amp;""&lt;&gt;"",INDEX(ctaVinc,MATCH(Q1432,ctaNombre,0))&amp;"",Q1432),Q1432))</f>
        <v/>
      </c>
      <c r="AC1432" s="52">
        <f>IF(OR(K1432="",AND(P1432&lt;&gt;"Transferencia",P1432&lt;&gt;"Pago tarjeta")),"",IFERROR(IF(INDEX(ctaVinc,MATCH(K1432,ctaNombre,0))&amp;""&lt;&gt;"",INDEX(ctaVinc,MATCH(K1432,ctaNombre,0))&amp;"",K1432),K1432))</f>
        <v/>
      </c>
      <c r="AD1432" s="52">
        <f>IF(AB1432="","",IFERROR(INDEX(ctaTipo,MATCH(AB1432,ctaNombre,0))&amp;"",""))</f>
        <v/>
      </c>
      <c r="AE1432" s="52">
        <f>IF(AC1432="","",IFERROR(INDEX(ctaTipo,MATCH(AC1432,ctaNombre,0))&amp;"",""))</f>
        <v/>
      </c>
      <c r="AF1432" s="53">
        <f>IF(OR(P1432="",AB1432=""),"",IF(OR(P1432="Gasto",P1432="Transferencia",P1432="Pago tarjeta"),-1,1)*IF(IFERROR(INDEX(ctaMoneda,MATCH(AB1432,ctaNombre,0))&amp;"","DOP")="USD",T1432,S1432))</f>
        <v/>
      </c>
      <c r="AG1432" s="53">
        <f>IF(AC1432="","",IF(IFERROR(INDEX(ctaMoneda,MATCH(AC1432,ctaNombre,0))&amp;"","DOP")="USD",T1432,S1432))</f>
        <v/>
      </c>
      <c r="AH1432" s="53">
        <f>IF(P1432="","",IF(AND(AD1432&lt;&gt;"",COUNTIFS(tcTipo,AD1432,tcLiq,"Sí")&gt;0),IF(OR(P1432="Gasto",P1432="Transferencia",P1432="Pago tarjeta"),-1,1)*S1432,0)+IF(AND(AE1432&lt;&gt;"",COUNTIFS(tcTipo,AE1432,tcLiq,"Sí")&gt;0),S1432,0))</f>
        <v/>
      </c>
      <c r="AI1432" s="52">
        <f>IF(OR(L1432="",P1432=""),"",IF(COUNTIFS(L$6:L1432,L1432,P$6:P1432,"?*")=1,MAX(AI$5:AI1431)+1,""))</f>
        <v/>
      </c>
    </row>
    <row r="1433">
      <c r="B1433" s="47" t="n"/>
      <c r="C1433" s="48" t="n"/>
      <c r="D1433" s="48" t="n"/>
      <c r="E1433" s="48" t="n"/>
      <c r="F1433" s="48" t="n"/>
      <c r="G1433" s="49" t="n"/>
      <c r="H1433" s="48" t="n"/>
      <c r="I1433" s="50" t="n"/>
      <c r="J1433" s="48" t="n"/>
      <c r="K1433" s="48" t="n"/>
      <c r="L1433" s="48" t="n"/>
      <c r="M1433" s="48" t="n"/>
      <c r="N1433" s="48" t="n"/>
      <c r="O1433" s="51">
        <f>IF(AND(B1433="",G1433="",C1433="",D1433="",J1433=""),"",IF(B1433="","⚠ Falta fecha",IF(G1433="","⚠ Falta monto",IF(Q1433="","⚠ Falta cuenta",IF(ISNA(MATCH(Q1433,ctaNombre,0)),"⚠ Cuenta no registrada",IF(AND(OR(P1433="Gasto",P1433="Reembolso"),D1433=""),"⚠ Falta categoría",IF(AND(D1433&lt;&gt;"",E1433&lt;&gt;"",ISNA(MATCH(D1433&amp;"|"&amp;E1433,catClave,0))),"⚠ Subcategoría no corresponde",IF(AND(OR(P1433="Transferencia",P1433="Pago tarjeta"),K1433=""),"⚠ Falta cuenta destino",IF(AND(K1433&lt;&gt;"",P1433&lt;&gt;"Transferencia",P1433&lt;&gt;"Pago tarjeta"),"⚠ Destino solo aplica a transferencias",IF(AND(K1433&lt;&gt;"",K1433=Q1433),"⚠ Origen igual a destino",IF(AND(K1433&lt;&gt;"",ISNA(MATCH(K1433,ctaNombre,0))),"⚠ Destino no registrado",IF(AND(P1433="Pago tarjeta",AE1433&lt;&gt;"Tarjeta de crédito"),"⚠ El destino debe ser tarjeta de crédito",IF(AND(P1433="Gasto",E1433="Depósitos y retiros"),"⚠ Usa tipo Transferencia",IF(AND(P1433="Resultado trading",AD1433&lt;&gt;"Cuenta de trading"),"⚠ Usa una cuenta de trading",IF(AND(G1433&lt;=0,P1433&lt;&gt;"Ajuste",P1433&lt;&gt;"Resultado trading"),"⚠ El monto debe ser positivo","✓")))))))))))))))</f>
        <v/>
      </c>
      <c r="P1433" s="52">
        <f>IF(OR(B1433="",G1433=""),"",IF(C1433="","Gasto",C1433))</f>
        <v/>
      </c>
      <c r="Q1433" s="52">
        <f>IF(P1433="","",IF(J1433&lt;&gt;"",J1433,CuentaPred&amp;""))</f>
        <v/>
      </c>
      <c r="R1433" s="52">
        <f>IF(P1433="","",IF(ISNUMBER(I1433),I1433,TasaUSD))</f>
        <v/>
      </c>
      <c r="S1433" s="53">
        <f>IF(P1433="","",IF(H1433="USD",G1433*R1433,G1433))</f>
        <v/>
      </c>
      <c r="T1433" s="53">
        <f>IF(P1433="","",IF(H1433="USD",G1433,IF(R1433&gt;0,G1433/R1433,0)))</f>
        <v/>
      </c>
      <c r="U1433" s="53">
        <f>IF(P1433="","",IF(P1433="Gasto",S1433,IF(P1433="Reembolso",-S1433,0)))</f>
        <v/>
      </c>
      <c r="V1433" s="53">
        <f>IF(P1433="","",IF(P1433="Ingreso",S1433,0))</f>
        <v/>
      </c>
      <c r="W1433" s="53">
        <f>IF(P1433="","",IF(P1433="Resultado trading",S1433,0))</f>
        <v/>
      </c>
      <c r="X1433" s="52">
        <f>IF(OR(P1433="Gasto",P1433="Reembolso"),IF(M1433&lt;&gt;"",M1433,IFERROR(INDEX(catClasif,MATCH(D1433&amp;"|"&amp;E1433,catClave,0))&amp;"","Variable")),"")</f>
        <v/>
      </c>
      <c r="Y1433" s="52">
        <f>IF(P1433="","",IFERROR(INDEX(catGrupo,MATCH(D1433&amp;"|"&amp;E1433,catClave,0))&amp;"",""))</f>
        <v/>
      </c>
      <c r="Z1433" s="52">
        <f>IF(P1433="","",WEEKDAY(B1433,2))</f>
        <v/>
      </c>
      <c r="AA1433" s="52">
        <f>IF(P1433="","",IF(AND(P1433="Gasto",X1433="Variable",D1433&lt;&gt;catTrading,S1433&gt;0,S1433&lt;=Umbral),1,0))</f>
        <v/>
      </c>
      <c r="AB1433" s="52">
        <f>IF(OR(P1433="",Q1433=""),"",IFERROR(IF(INDEX(ctaVinc,MATCH(Q1433,ctaNombre,0))&amp;""&lt;&gt;"",INDEX(ctaVinc,MATCH(Q1433,ctaNombre,0))&amp;"",Q1433),Q1433))</f>
        <v/>
      </c>
      <c r="AC1433" s="52">
        <f>IF(OR(K1433="",AND(P1433&lt;&gt;"Transferencia",P1433&lt;&gt;"Pago tarjeta")),"",IFERROR(IF(INDEX(ctaVinc,MATCH(K1433,ctaNombre,0))&amp;""&lt;&gt;"",INDEX(ctaVinc,MATCH(K1433,ctaNombre,0))&amp;"",K1433),K1433))</f>
        <v/>
      </c>
      <c r="AD1433" s="52">
        <f>IF(AB1433="","",IFERROR(INDEX(ctaTipo,MATCH(AB1433,ctaNombre,0))&amp;"",""))</f>
        <v/>
      </c>
      <c r="AE1433" s="52">
        <f>IF(AC1433="","",IFERROR(INDEX(ctaTipo,MATCH(AC1433,ctaNombre,0))&amp;"",""))</f>
        <v/>
      </c>
      <c r="AF1433" s="53">
        <f>IF(OR(P1433="",AB1433=""),"",IF(OR(P1433="Gasto",P1433="Transferencia",P1433="Pago tarjeta"),-1,1)*IF(IFERROR(INDEX(ctaMoneda,MATCH(AB1433,ctaNombre,0))&amp;"","DOP")="USD",T1433,S1433))</f>
        <v/>
      </c>
      <c r="AG1433" s="53">
        <f>IF(AC1433="","",IF(IFERROR(INDEX(ctaMoneda,MATCH(AC1433,ctaNombre,0))&amp;"","DOP")="USD",T1433,S1433))</f>
        <v/>
      </c>
      <c r="AH1433" s="53">
        <f>IF(P1433="","",IF(AND(AD1433&lt;&gt;"",COUNTIFS(tcTipo,AD1433,tcLiq,"Sí")&gt;0),IF(OR(P1433="Gasto",P1433="Transferencia",P1433="Pago tarjeta"),-1,1)*S1433,0)+IF(AND(AE1433&lt;&gt;"",COUNTIFS(tcTipo,AE1433,tcLiq,"Sí")&gt;0),S1433,0))</f>
        <v/>
      </c>
      <c r="AI1433" s="52">
        <f>IF(OR(L1433="",P1433=""),"",IF(COUNTIFS(L$6:L1433,L1433,P$6:P1433,"?*")=1,MAX(AI$5:AI1432)+1,""))</f>
        <v/>
      </c>
    </row>
    <row r="1434">
      <c r="B1434" s="47" t="n"/>
      <c r="C1434" s="48" t="n"/>
      <c r="D1434" s="48" t="n"/>
      <c r="E1434" s="48" t="n"/>
      <c r="F1434" s="48" t="n"/>
      <c r="G1434" s="49" t="n"/>
      <c r="H1434" s="48" t="n"/>
      <c r="I1434" s="50" t="n"/>
      <c r="J1434" s="48" t="n"/>
      <c r="K1434" s="48" t="n"/>
      <c r="L1434" s="48" t="n"/>
      <c r="M1434" s="48" t="n"/>
      <c r="N1434" s="48" t="n"/>
      <c r="O1434" s="51">
        <f>IF(AND(B1434="",G1434="",C1434="",D1434="",J1434=""),"",IF(B1434="","⚠ Falta fecha",IF(G1434="","⚠ Falta monto",IF(Q1434="","⚠ Falta cuenta",IF(ISNA(MATCH(Q1434,ctaNombre,0)),"⚠ Cuenta no registrada",IF(AND(OR(P1434="Gasto",P1434="Reembolso"),D1434=""),"⚠ Falta categoría",IF(AND(D1434&lt;&gt;"",E1434&lt;&gt;"",ISNA(MATCH(D1434&amp;"|"&amp;E1434,catClave,0))),"⚠ Subcategoría no corresponde",IF(AND(OR(P1434="Transferencia",P1434="Pago tarjeta"),K1434=""),"⚠ Falta cuenta destino",IF(AND(K1434&lt;&gt;"",P1434&lt;&gt;"Transferencia",P1434&lt;&gt;"Pago tarjeta"),"⚠ Destino solo aplica a transferencias",IF(AND(K1434&lt;&gt;"",K1434=Q1434),"⚠ Origen igual a destino",IF(AND(K1434&lt;&gt;"",ISNA(MATCH(K1434,ctaNombre,0))),"⚠ Destino no registrado",IF(AND(P1434="Pago tarjeta",AE1434&lt;&gt;"Tarjeta de crédito"),"⚠ El destino debe ser tarjeta de crédito",IF(AND(P1434="Gasto",E1434="Depósitos y retiros"),"⚠ Usa tipo Transferencia",IF(AND(P1434="Resultado trading",AD1434&lt;&gt;"Cuenta de trading"),"⚠ Usa una cuenta de trading",IF(AND(G1434&lt;=0,P1434&lt;&gt;"Ajuste",P1434&lt;&gt;"Resultado trading"),"⚠ El monto debe ser positivo","✓")))))))))))))))</f>
        <v/>
      </c>
      <c r="P1434" s="52">
        <f>IF(OR(B1434="",G1434=""),"",IF(C1434="","Gasto",C1434))</f>
        <v/>
      </c>
      <c r="Q1434" s="52">
        <f>IF(P1434="","",IF(J1434&lt;&gt;"",J1434,CuentaPred&amp;""))</f>
        <v/>
      </c>
      <c r="R1434" s="52">
        <f>IF(P1434="","",IF(ISNUMBER(I1434),I1434,TasaUSD))</f>
        <v/>
      </c>
      <c r="S1434" s="53">
        <f>IF(P1434="","",IF(H1434="USD",G1434*R1434,G1434))</f>
        <v/>
      </c>
      <c r="T1434" s="53">
        <f>IF(P1434="","",IF(H1434="USD",G1434,IF(R1434&gt;0,G1434/R1434,0)))</f>
        <v/>
      </c>
      <c r="U1434" s="53">
        <f>IF(P1434="","",IF(P1434="Gasto",S1434,IF(P1434="Reembolso",-S1434,0)))</f>
        <v/>
      </c>
      <c r="V1434" s="53">
        <f>IF(P1434="","",IF(P1434="Ingreso",S1434,0))</f>
        <v/>
      </c>
      <c r="W1434" s="53">
        <f>IF(P1434="","",IF(P1434="Resultado trading",S1434,0))</f>
        <v/>
      </c>
      <c r="X1434" s="52">
        <f>IF(OR(P1434="Gasto",P1434="Reembolso"),IF(M1434&lt;&gt;"",M1434,IFERROR(INDEX(catClasif,MATCH(D1434&amp;"|"&amp;E1434,catClave,0))&amp;"","Variable")),"")</f>
        <v/>
      </c>
      <c r="Y1434" s="52">
        <f>IF(P1434="","",IFERROR(INDEX(catGrupo,MATCH(D1434&amp;"|"&amp;E1434,catClave,0))&amp;"",""))</f>
        <v/>
      </c>
      <c r="Z1434" s="52">
        <f>IF(P1434="","",WEEKDAY(B1434,2))</f>
        <v/>
      </c>
      <c r="AA1434" s="52">
        <f>IF(P1434="","",IF(AND(P1434="Gasto",X1434="Variable",D1434&lt;&gt;catTrading,S1434&gt;0,S1434&lt;=Umbral),1,0))</f>
        <v/>
      </c>
      <c r="AB1434" s="52">
        <f>IF(OR(P1434="",Q1434=""),"",IFERROR(IF(INDEX(ctaVinc,MATCH(Q1434,ctaNombre,0))&amp;""&lt;&gt;"",INDEX(ctaVinc,MATCH(Q1434,ctaNombre,0))&amp;"",Q1434),Q1434))</f>
        <v/>
      </c>
      <c r="AC1434" s="52">
        <f>IF(OR(K1434="",AND(P1434&lt;&gt;"Transferencia",P1434&lt;&gt;"Pago tarjeta")),"",IFERROR(IF(INDEX(ctaVinc,MATCH(K1434,ctaNombre,0))&amp;""&lt;&gt;"",INDEX(ctaVinc,MATCH(K1434,ctaNombre,0))&amp;"",K1434),K1434))</f>
        <v/>
      </c>
      <c r="AD1434" s="52">
        <f>IF(AB1434="","",IFERROR(INDEX(ctaTipo,MATCH(AB1434,ctaNombre,0))&amp;"",""))</f>
        <v/>
      </c>
      <c r="AE1434" s="52">
        <f>IF(AC1434="","",IFERROR(INDEX(ctaTipo,MATCH(AC1434,ctaNombre,0))&amp;"",""))</f>
        <v/>
      </c>
      <c r="AF1434" s="53">
        <f>IF(OR(P1434="",AB1434=""),"",IF(OR(P1434="Gasto",P1434="Transferencia",P1434="Pago tarjeta"),-1,1)*IF(IFERROR(INDEX(ctaMoneda,MATCH(AB1434,ctaNombre,0))&amp;"","DOP")="USD",T1434,S1434))</f>
        <v/>
      </c>
      <c r="AG1434" s="53">
        <f>IF(AC1434="","",IF(IFERROR(INDEX(ctaMoneda,MATCH(AC1434,ctaNombre,0))&amp;"","DOP")="USD",T1434,S1434))</f>
        <v/>
      </c>
      <c r="AH1434" s="53">
        <f>IF(P1434="","",IF(AND(AD1434&lt;&gt;"",COUNTIFS(tcTipo,AD1434,tcLiq,"Sí")&gt;0),IF(OR(P1434="Gasto",P1434="Transferencia",P1434="Pago tarjeta"),-1,1)*S1434,0)+IF(AND(AE1434&lt;&gt;"",COUNTIFS(tcTipo,AE1434,tcLiq,"Sí")&gt;0),S1434,0))</f>
        <v/>
      </c>
      <c r="AI1434" s="52">
        <f>IF(OR(L1434="",P1434=""),"",IF(COUNTIFS(L$6:L1434,L1434,P$6:P1434,"?*")=1,MAX(AI$5:AI1433)+1,""))</f>
        <v/>
      </c>
    </row>
    <row r="1435">
      <c r="B1435" s="47" t="n"/>
      <c r="C1435" s="48" t="n"/>
      <c r="D1435" s="48" t="n"/>
      <c r="E1435" s="48" t="n"/>
      <c r="F1435" s="48" t="n"/>
      <c r="G1435" s="49" t="n"/>
      <c r="H1435" s="48" t="n"/>
      <c r="I1435" s="50" t="n"/>
      <c r="J1435" s="48" t="n"/>
      <c r="K1435" s="48" t="n"/>
      <c r="L1435" s="48" t="n"/>
      <c r="M1435" s="48" t="n"/>
      <c r="N1435" s="48" t="n"/>
      <c r="O1435" s="51">
        <f>IF(AND(B1435="",G1435="",C1435="",D1435="",J1435=""),"",IF(B1435="","⚠ Falta fecha",IF(G1435="","⚠ Falta monto",IF(Q1435="","⚠ Falta cuenta",IF(ISNA(MATCH(Q1435,ctaNombre,0)),"⚠ Cuenta no registrada",IF(AND(OR(P1435="Gasto",P1435="Reembolso"),D1435=""),"⚠ Falta categoría",IF(AND(D1435&lt;&gt;"",E1435&lt;&gt;"",ISNA(MATCH(D1435&amp;"|"&amp;E1435,catClave,0))),"⚠ Subcategoría no corresponde",IF(AND(OR(P1435="Transferencia",P1435="Pago tarjeta"),K1435=""),"⚠ Falta cuenta destino",IF(AND(K1435&lt;&gt;"",P1435&lt;&gt;"Transferencia",P1435&lt;&gt;"Pago tarjeta"),"⚠ Destino solo aplica a transferencias",IF(AND(K1435&lt;&gt;"",K1435=Q1435),"⚠ Origen igual a destino",IF(AND(K1435&lt;&gt;"",ISNA(MATCH(K1435,ctaNombre,0))),"⚠ Destino no registrado",IF(AND(P1435="Pago tarjeta",AE1435&lt;&gt;"Tarjeta de crédito"),"⚠ El destino debe ser tarjeta de crédito",IF(AND(P1435="Gasto",E1435="Depósitos y retiros"),"⚠ Usa tipo Transferencia",IF(AND(P1435="Resultado trading",AD1435&lt;&gt;"Cuenta de trading"),"⚠ Usa una cuenta de trading",IF(AND(G1435&lt;=0,P1435&lt;&gt;"Ajuste",P1435&lt;&gt;"Resultado trading"),"⚠ El monto debe ser positivo","✓")))))))))))))))</f>
        <v/>
      </c>
      <c r="P1435" s="52">
        <f>IF(OR(B1435="",G1435=""),"",IF(C1435="","Gasto",C1435))</f>
        <v/>
      </c>
      <c r="Q1435" s="52">
        <f>IF(P1435="","",IF(J1435&lt;&gt;"",J1435,CuentaPred&amp;""))</f>
        <v/>
      </c>
      <c r="R1435" s="52">
        <f>IF(P1435="","",IF(ISNUMBER(I1435),I1435,TasaUSD))</f>
        <v/>
      </c>
      <c r="S1435" s="53">
        <f>IF(P1435="","",IF(H1435="USD",G1435*R1435,G1435))</f>
        <v/>
      </c>
      <c r="T1435" s="53">
        <f>IF(P1435="","",IF(H1435="USD",G1435,IF(R1435&gt;0,G1435/R1435,0)))</f>
        <v/>
      </c>
      <c r="U1435" s="53">
        <f>IF(P1435="","",IF(P1435="Gasto",S1435,IF(P1435="Reembolso",-S1435,0)))</f>
        <v/>
      </c>
      <c r="V1435" s="53">
        <f>IF(P1435="","",IF(P1435="Ingreso",S1435,0))</f>
        <v/>
      </c>
      <c r="W1435" s="53">
        <f>IF(P1435="","",IF(P1435="Resultado trading",S1435,0))</f>
        <v/>
      </c>
      <c r="X1435" s="52">
        <f>IF(OR(P1435="Gasto",P1435="Reembolso"),IF(M1435&lt;&gt;"",M1435,IFERROR(INDEX(catClasif,MATCH(D1435&amp;"|"&amp;E1435,catClave,0))&amp;"","Variable")),"")</f>
        <v/>
      </c>
      <c r="Y1435" s="52">
        <f>IF(P1435="","",IFERROR(INDEX(catGrupo,MATCH(D1435&amp;"|"&amp;E1435,catClave,0))&amp;"",""))</f>
        <v/>
      </c>
      <c r="Z1435" s="52">
        <f>IF(P1435="","",WEEKDAY(B1435,2))</f>
        <v/>
      </c>
      <c r="AA1435" s="52">
        <f>IF(P1435="","",IF(AND(P1435="Gasto",X1435="Variable",D1435&lt;&gt;catTrading,S1435&gt;0,S1435&lt;=Umbral),1,0))</f>
        <v/>
      </c>
      <c r="AB1435" s="52">
        <f>IF(OR(P1435="",Q1435=""),"",IFERROR(IF(INDEX(ctaVinc,MATCH(Q1435,ctaNombre,0))&amp;""&lt;&gt;"",INDEX(ctaVinc,MATCH(Q1435,ctaNombre,0))&amp;"",Q1435),Q1435))</f>
        <v/>
      </c>
      <c r="AC1435" s="52">
        <f>IF(OR(K1435="",AND(P1435&lt;&gt;"Transferencia",P1435&lt;&gt;"Pago tarjeta")),"",IFERROR(IF(INDEX(ctaVinc,MATCH(K1435,ctaNombre,0))&amp;""&lt;&gt;"",INDEX(ctaVinc,MATCH(K1435,ctaNombre,0))&amp;"",K1435),K1435))</f>
        <v/>
      </c>
      <c r="AD1435" s="52">
        <f>IF(AB1435="","",IFERROR(INDEX(ctaTipo,MATCH(AB1435,ctaNombre,0))&amp;"",""))</f>
        <v/>
      </c>
      <c r="AE1435" s="52">
        <f>IF(AC1435="","",IFERROR(INDEX(ctaTipo,MATCH(AC1435,ctaNombre,0))&amp;"",""))</f>
        <v/>
      </c>
      <c r="AF1435" s="53">
        <f>IF(OR(P1435="",AB1435=""),"",IF(OR(P1435="Gasto",P1435="Transferencia",P1435="Pago tarjeta"),-1,1)*IF(IFERROR(INDEX(ctaMoneda,MATCH(AB1435,ctaNombre,0))&amp;"","DOP")="USD",T1435,S1435))</f>
        <v/>
      </c>
      <c r="AG1435" s="53">
        <f>IF(AC1435="","",IF(IFERROR(INDEX(ctaMoneda,MATCH(AC1435,ctaNombre,0))&amp;"","DOP")="USD",T1435,S1435))</f>
        <v/>
      </c>
      <c r="AH1435" s="53">
        <f>IF(P1435="","",IF(AND(AD1435&lt;&gt;"",COUNTIFS(tcTipo,AD1435,tcLiq,"Sí")&gt;0),IF(OR(P1435="Gasto",P1435="Transferencia",P1435="Pago tarjeta"),-1,1)*S1435,0)+IF(AND(AE1435&lt;&gt;"",COUNTIFS(tcTipo,AE1435,tcLiq,"Sí")&gt;0),S1435,0))</f>
        <v/>
      </c>
      <c r="AI1435" s="52">
        <f>IF(OR(L1435="",P1435=""),"",IF(COUNTIFS(L$6:L1435,L1435,P$6:P1435,"?*")=1,MAX(AI$5:AI1434)+1,""))</f>
        <v/>
      </c>
    </row>
    <row r="1436">
      <c r="B1436" s="47" t="n"/>
      <c r="C1436" s="48" t="n"/>
      <c r="D1436" s="48" t="n"/>
      <c r="E1436" s="48" t="n"/>
      <c r="F1436" s="48" t="n"/>
      <c r="G1436" s="49" t="n"/>
      <c r="H1436" s="48" t="n"/>
      <c r="I1436" s="50" t="n"/>
      <c r="J1436" s="48" t="n"/>
      <c r="K1436" s="48" t="n"/>
      <c r="L1436" s="48" t="n"/>
      <c r="M1436" s="48" t="n"/>
      <c r="N1436" s="48" t="n"/>
      <c r="O1436" s="51">
        <f>IF(AND(B1436="",G1436="",C1436="",D1436="",J1436=""),"",IF(B1436="","⚠ Falta fecha",IF(G1436="","⚠ Falta monto",IF(Q1436="","⚠ Falta cuenta",IF(ISNA(MATCH(Q1436,ctaNombre,0)),"⚠ Cuenta no registrada",IF(AND(OR(P1436="Gasto",P1436="Reembolso"),D1436=""),"⚠ Falta categoría",IF(AND(D1436&lt;&gt;"",E1436&lt;&gt;"",ISNA(MATCH(D1436&amp;"|"&amp;E1436,catClave,0))),"⚠ Subcategoría no corresponde",IF(AND(OR(P1436="Transferencia",P1436="Pago tarjeta"),K1436=""),"⚠ Falta cuenta destino",IF(AND(K1436&lt;&gt;"",P1436&lt;&gt;"Transferencia",P1436&lt;&gt;"Pago tarjeta"),"⚠ Destino solo aplica a transferencias",IF(AND(K1436&lt;&gt;"",K1436=Q1436),"⚠ Origen igual a destino",IF(AND(K1436&lt;&gt;"",ISNA(MATCH(K1436,ctaNombre,0))),"⚠ Destino no registrado",IF(AND(P1436="Pago tarjeta",AE1436&lt;&gt;"Tarjeta de crédito"),"⚠ El destino debe ser tarjeta de crédito",IF(AND(P1436="Gasto",E1436="Depósitos y retiros"),"⚠ Usa tipo Transferencia",IF(AND(P1436="Resultado trading",AD1436&lt;&gt;"Cuenta de trading"),"⚠ Usa una cuenta de trading",IF(AND(G1436&lt;=0,P1436&lt;&gt;"Ajuste",P1436&lt;&gt;"Resultado trading"),"⚠ El monto debe ser positivo","✓")))))))))))))))</f>
        <v/>
      </c>
      <c r="P1436" s="52">
        <f>IF(OR(B1436="",G1436=""),"",IF(C1436="","Gasto",C1436))</f>
        <v/>
      </c>
      <c r="Q1436" s="52">
        <f>IF(P1436="","",IF(J1436&lt;&gt;"",J1436,CuentaPred&amp;""))</f>
        <v/>
      </c>
      <c r="R1436" s="52">
        <f>IF(P1436="","",IF(ISNUMBER(I1436),I1436,TasaUSD))</f>
        <v/>
      </c>
      <c r="S1436" s="53">
        <f>IF(P1436="","",IF(H1436="USD",G1436*R1436,G1436))</f>
        <v/>
      </c>
      <c r="T1436" s="53">
        <f>IF(P1436="","",IF(H1436="USD",G1436,IF(R1436&gt;0,G1436/R1436,0)))</f>
        <v/>
      </c>
      <c r="U1436" s="53">
        <f>IF(P1436="","",IF(P1436="Gasto",S1436,IF(P1436="Reembolso",-S1436,0)))</f>
        <v/>
      </c>
      <c r="V1436" s="53">
        <f>IF(P1436="","",IF(P1436="Ingreso",S1436,0))</f>
        <v/>
      </c>
      <c r="W1436" s="53">
        <f>IF(P1436="","",IF(P1436="Resultado trading",S1436,0))</f>
        <v/>
      </c>
      <c r="X1436" s="52">
        <f>IF(OR(P1436="Gasto",P1436="Reembolso"),IF(M1436&lt;&gt;"",M1436,IFERROR(INDEX(catClasif,MATCH(D1436&amp;"|"&amp;E1436,catClave,0))&amp;"","Variable")),"")</f>
        <v/>
      </c>
      <c r="Y1436" s="52">
        <f>IF(P1436="","",IFERROR(INDEX(catGrupo,MATCH(D1436&amp;"|"&amp;E1436,catClave,0))&amp;"",""))</f>
        <v/>
      </c>
      <c r="Z1436" s="52">
        <f>IF(P1436="","",WEEKDAY(B1436,2))</f>
        <v/>
      </c>
      <c r="AA1436" s="52">
        <f>IF(P1436="","",IF(AND(P1436="Gasto",X1436="Variable",D1436&lt;&gt;catTrading,S1436&gt;0,S1436&lt;=Umbral),1,0))</f>
        <v/>
      </c>
      <c r="AB1436" s="52">
        <f>IF(OR(P1436="",Q1436=""),"",IFERROR(IF(INDEX(ctaVinc,MATCH(Q1436,ctaNombre,0))&amp;""&lt;&gt;"",INDEX(ctaVinc,MATCH(Q1436,ctaNombre,0))&amp;"",Q1436),Q1436))</f>
        <v/>
      </c>
      <c r="AC1436" s="52">
        <f>IF(OR(K1436="",AND(P1436&lt;&gt;"Transferencia",P1436&lt;&gt;"Pago tarjeta")),"",IFERROR(IF(INDEX(ctaVinc,MATCH(K1436,ctaNombre,0))&amp;""&lt;&gt;"",INDEX(ctaVinc,MATCH(K1436,ctaNombre,0))&amp;"",K1436),K1436))</f>
        <v/>
      </c>
      <c r="AD1436" s="52">
        <f>IF(AB1436="","",IFERROR(INDEX(ctaTipo,MATCH(AB1436,ctaNombre,0))&amp;"",""))</f>
        <v/>
      </c>
      <c r="AE1436" s="52">
        <f>IF(AC1436="","",IFERROR(INDEX(ctaTipo,MATCH(AC1436,ctaNombre,0))&amp;"",""))</f>
        <v/>
      </c>
      <c r="AF1436" s="53">
        <f>IF(OR(P1436="",AB1436=""),"",IF(OR(P1436="Gasto",P1436="Transferencia",P1436="Pago tarjeta"),-1,1)*IF(IFERROR(INDEX(ctaMoneda,MATCH(AB1436,ctaNombre,0))&amp;"","DOP")="USD",T1436,S1436))</f>
        <v/>
      </c>
      <c r="AG1436" s="53">
        <f>IF(AC1436="","",IF(IFERROR(INDEX(ctaMoneda,MATCH(AC1436,ctaNombre,0))&amp;"","DOP")="USD",T1436,S1436))</f>
        <v/>
      </c>
      <c r="AH1436" s="53">
        <f>IF(P1436="","",IF(AND(AD1436&lt;&gt;"",COUNTIFS(tcTipo,AD1436,tcLiq,"Sí")&gt;0),IF(OR(P1436="Gasto",P1436="Transferencia",P1436="Pago tarjeta"),-1,1)*S1436,0)+IF(AND(AE1436&lt;&gt;"",COUNTIFS(tcTipo,AE1436,tcLiq,"Sí")&gt;0),S1436,0))</f>
        <v/>
      </c>
      <c r="AI1436" s="52">
        <f>IF(OR(L1436="",P1436=""),"",IF(COUNTIFS(L$6:L1436,L1436,P$6:P1436,"?*")=1,MAX(AI$5:AI1435)+1,""))</f>
        <v/>
      </c>
    </row>
    <row r="1437">
      <c r="B1437" s="47" t="n"/>
      <c r="C1437" s="48" t="n"/>
      <c r="D1437" s="48" t="n"/>
      <c r="E1437" s="48" t="n"/>
      <c r="F1437" s="48" t="n"/>
      <c r="G1437" s="49" t="n"/>
      <c r="H1437" s="48" t="n"/>
      <c r="I1437" s="50" t="n"/>
      <c r="J1437" s="48" t="n"/>
      <c r="K1437" s="48" t="n"/>
      <c r="L1437" s="48" t="n"/>
      <c r="M1437" s="48" t="n"/>
      <c r="N1437" s="48" t="n"/>
      <c r="O1437" s="51">
        <f>IF(AND(B1437="",G1437="",C1437="",D1437="",J1437=""),"",IF(B1437="","⚠ Falta fecha",IF(G1437="","⚠ Falta monto",IF(Q1437="","⚠ Falta cuenta",IF(ISNA(MATCH(Q1437,ctaNombre,0)),"⚠ Cuenta no registrada",IF(AND(OR(P1437="Gasto",P1437="Reembolso"),D1437=""),"⚠ Falta categoría",IF(AND(D1437&lt;&gt;"",E1437&lt;&gt;"",ISNA(MATCH(D1437&amp;"|"&amp;E1437,catClave,0))),"⚠ Subcategoría no corresponde",IF(AND(OR(P1437="Transferencia",P1437="Pago tarjeta"),K1437=""),"⚠ Falta cuenta destino",IF(AND(K1437&lt;&gt;"",P1437&lt;&gt;"Transferencia",P1437&lt;&gt;"Pago tarjeta"),"⚠ Destino solo aplica a transferencias",IF(AND(K1437&lt;&gt;"",K1437=Q1437),"⚠ Origen igual a destino",IF(AND(K1437&lt;&gt;"",ISNA(MATCH(K1437,ctaNombre,0))),"⚠ Destino no registrado",IF(AND(P1437="Pago tarjeta",AE1437&lt;&gt;"Tarjeta de crédito"),"⚠ El destino debe ser tarjeta de crédito",IF(AND(P1437="Gasto",E1437="Depósitos y retiros"),"⚠ Usa tipo Transferencia",IF(AND(P1437="Resultado trading",AD1437&lt;&gt;"Cuenta de trading"),"⚠ Usa una cuenta de trading",IF(AND(G1437&lt;=0,P1437&lt;&gt;"Ajuste",P1437&lt;&gt;"Resultado trading"),"⚠ El monto debe ser positivo","✓")))))))))))))))</f>
        <v/>
      </c>
      <c r="P1437" s="52">
        <f>IF(OR(B1437="",G1437=""),"",IF(C1437="","Gasto",C1437))</f>
        <v/>
      </c>
      <c r="Q1437" s="52">
        <f>IF(P1437="","",IF(J1437&lt;&gt;"",J1437,CuentaPred&amp;""))</f>
        <v/>
      </c>
      <c r="R1437" s="52">
        <f>IF(P1437="","",IF(ISNUMBER(I1437),I1437,TasaUSD))</f>
        <v/>
      </c>
      <c r="S1437" s="53">
        <f>IF(P1437="","",IF(H1437="USD",G1437*R1437,G1437))</f>
        <v/>
      </c>
      <c r="T1437" s="53">
        <f>IF(P1437="","",IF(H1437="USD",G1437,IF(R1437&gt;0,G1437/R1437,0)))</f>
        <v/>
      </c>
      <c r="U1437" s="53">
        <f>IF(P1437="","",IF(P1437="Gasto",S1437,IF(P1437="Reembolso",-S1437,0)))</f>
        <v/>
      </c>
      <c r="V1437" s="53">
        <f>IF(P1437="","",IF(P1437="Ingreso",S1437,0))</f>
        <v/>
      </c>
      <c r="W1437" s="53">
        <f>IF(P1437="","",IF(P1437="Resultado trading",S1437,0))</f>
        <v/>
      </c>
      <c r="X1437" s="52">
        <f>IF(OR(P1437="Gasto",P1437="Reembolso"),IF(M1437&lt;&gt;"",M1437,IFERROR(INDEX(catClasif,MATCH(D1437&amp;"|"&amp;E1437,catClave,0))&amp;"","Variable")),"")</f>
        <v/>
      </c>
      <c r="Y1437" s="52">
        <f>IF(P1437="","",IFERROR(INDEX(catGrupo,MATCH(D1437&amp;"|"&amp;E1437,catClave,0))&amp;"",""))</f>
        <v/>
      </c>
      <c r="Z1437" s="52">
        <f>IF(P1437="","",WEEKDAY(B1437,2))</f>
        <v/>
      </c>
      <c r="AA1437" s="52">
        <f>IF(P1437="","",IF(AND(P1437="Gasto",X1437="Variable",D1437&lt;&gt;catTrading,S1437&gt;0,S1437&lt;=Umbral),1,0))</f>
        <v/>
      </c>
      <c r="AB1437" s="52">
        <f>IF(OR(P1437="",Q1437=""),"",IFERROR(IF(INDEX(ctaVinc,MATCH(Q1437,ctaNombre,0))&amp;""&lt;&gt;"",INDEX(ctaVinc,MATCH(Q1437,ctaNombre,0))&amp;"",Q1437),Q1437))</f>
        <v/>
      </c>
      <c r="AC1437" s="52">
        <f>IF(OR(K1437="",AND(P1437&lt;&gt;"Transferencia",P1437&lt;&gt;"Pago tarjeta")),"",IFERROR(IF(INDEX(ctaVinc,MATCH(K1437,ctaNombre,0))&amp;""&lt;&gt;"",INDEX(ctaVinc,MATCH(K1437,ctaNombre,0))&amp;"",K1437),K1437))</f>
        <v/>
      </c>
      <c r="AD1437" s="52">
        <f>IF(AB1437="","",IFERROR(INDEX(ctaTipo,MATCH(AB1437,ctaNombre,0))&amp;"",""))</f>
        <v/>
      </c>
      <c r="AE1437" s="52">
        <f>IF(AC1437="","",IFERROR(INDEX(ctaTipo,MATCH(AC1437,ctaNombre,0))&amp;"",""))</f>
        <v/>
      </c>
      <c r="AF1437" s="53">
        <f>IF(OR(P1437="",AB1437=""),"",IF(OR(P1437="Gasto",P1437="Transferencia",P1437="Pago tarjeta"),-1,1)*IF(IFERROR(INDEX(ctaMoneda,MATCH(AB1437,ctaNombre,0))&amp;"","DOP")="USD",T1437,S1437))</f>
        <v/>
      </c>
      <c r="AG1437" s="53">
        <f>IF(AC1437="","",IF(IFERROR(INDEX(ctaMoneda,MATCH(AC1437,ctaNombre,0))&amp;"","DOP")="USD",T1437,S1437))</f>
        <v/>
      </c>
      <c r="AH1437" s="53">
        <f>IF(P1437="","",IF(AND(AD1437&lt;&gt;"",COUNTIFS(tcTipo,AD1437,tcLiq,"Sí")&gt;0),IF(OR(P1437="Gasto",P1437="Transferencia",P1437="Pago tarjeta"),-1,1)*S1437,0)+IF(AND(AE1437&lt;&gt;"",COUNTIFS(tcTipo,AE1437,tcLiq,"Sí")&gt;0),S1437,0))</f>
        <v/>
      </c>
      <c r="AI1437" s="52">
        <f>IF(OR(L1437="",P1437=""),"",IF(COUNTIFS(L$6:L1437,L1437,P$6:P1437,"?*")=1,MAX(AI$5:AI1436)+1,""))</f>
        <v/>
      </c>
    </row>
    <row r="1438">
      <c r="B1438" s="47" t="n"/>
      <c r="C1438" s="48" t="n"/>
      <c r="D1438" s="48" t="n"/>
      <c r="E1438" s="48" t="n"/>
      <c r="F1438" s="48" t="n"/>
      <c r="G1438" s="49" t="n"/>
      <c r="H1438" s="48" t="n"/>
      <c r="I1438" s="50" t="n"/>
      <c r="J1438" s="48" t="n"/>
      <c r="K1438" s="48" t="n"/>
      <c r="L1438" s="48" t="n"/>
      <c r="M1438" s="48" t="n"/>
      <c r="N1438" s="48" t="n"/>
      <c r="O1438" s="51">
        <f>IF(AND(B1438="",G1438="",C1438="",D1438="",J1438=""),"",IF(B1438="","⚠ Falta fecha",IF(G1438="","⚠ Falta monto",IF(Q1438="","⚠ Falta cuenta",IF(ISNA(MATCH(Q1438,ctaNombre,0)),"⚠ Cuenta no registrada",IF(AND(OR(P1438="Gasto",P1438="Reembolso"),D1438=""),"⚠ Falta categoría",IF(AND(D1438&lt;&gt;"",E1438&lt;&gt;"",ISNA(MATCH(D1438&amp;"|"&amp;E1438,catClave,0))),"⚠ Subcategoría no corresponde",IF(AND(OR(P1438="Transferencia",P1438="Pago tarjeta"),K1438=""),"⚠ Falta cuenta destino",IF(AND(K1438&lt;&gt;"",P1438&lt;&gt;"Transferencia",P1438&lt;&gt;"Pago tarjeta"),"⚠ Destino solo aplica a transferencias",IF(AND(K1438&lt;&gt;"",K1438=Q1438),"⚠ Origen igual a destino",IF(AND(K1438&lt;&gt;"",ISNA(MATCH(K1438,ctaNombre,0))),"⚠ Destino no registrado",IF(AND(P1438="Pago tarjeta",AE1438&lt;&gt;"Tarjeta de crédito"),"⚠ El destino debe ser tarjeta de crédito",IF(AND(P1438="Gasto",E1438="Depósitos y retiros"),"⚠ Usa tipo Transferencia",IF(AND(P1438="Resultado trading",AD1438&lt;&gt;"Cuenta de trading"),"⚠ Usa una cuenta de trading",IF(AND(G1438&lt;=0,P1438&lt;&gt;"Ajuste",P1438&lt;&gt;"Resultado trading"),"⚠ El monto debe ser positivo","✓")))))))))))))))</f>
        <v/>
      </c>
      <c r="P1438" s="52">
        <f>IF(OR(B1438="",G1438=""),"",IF(C1438="","Gasto",C1438))</f>
        <v/>
      </c>
      <c r="Q1438" s="52">
        <f>IF(P1438="","",IF(J1438&lt;&gt;"",J1438,CuentaPred&amp;""))</f>
        <v/>
      </c>
      <c r="R1438" s="52">
        <f>IF(P1438="","",IF(ISNUMBER(I1438),I1438,TasaUSD))</f>
        <v/>
      </c>
      <c r="S1438" s="53">
        <f>IF(P1438="","",IF(H1438="USD",G1438*R1438,G1438))</f>
        <v/>
      </c>
      <c r="T1438" s="53">
        <f>IF(P1438="","",IF(H1438="USD",G1438,IF(R1438&gt;0,G1438/R1438,0)))</f>
        <v/>
      </c>
      <c r="U1438" s="53">
        <f>IF(P1438="","",IF(P1438="Gasto",S1438,IF(P1438="Reembolso",-S1438,0)))</f>
        <v/>
      </c>
      <c r="V1438" s="53">
        <f>IF(P1438="","",IF(P1438="Ingreso",S1438,0))</f>
        <v/>
      </c>
      <c r="W1438" s="53">
        <f>IF(P1438="","",IF(P1438="Resultado trading",S1438,0))</f>
        <v/>
      </c>
      <c r="X1438" s="52">
        <f>IF(OR(P1438="Gasto",P1438="Reembolso"),IF(M1438&lt;&gt;"",M1438,IFERROR(INDEX(catClasif,MATCH(D1438&amp;"|"&amp;E1438,catClave,0))&amp;"","Variable")),"")</f>
        <v/>
      </c>
      <c r="Y1438" s="52">
        <f>IF(P1438="","",IFERROR(INDEX(catGrupo,MATCH(D1438&amp;"|"&amp;E1438,catClave,0))&amp;"",""))</f>
        <v/>
      </c>
      <c r="Z1438" s="52">
        <f>IF(P1438="","",WEEKDAY(B1438,2))</f>
        <v/>
      </c>
      <c r="AA1438" s="52">
        <f>IF(P1438="","",IF(AND(P1438="Gasto",X1438="Variable",D1438&lt;&gt;catTrading,S1438&gt;0,S1438&lt;=Umbral),1,0))</f>
        <v/>
      </c>
      <c r="AB1438" s="52">
        <f>IF(OR(P1438="",Q1438=""),"",IFERROR(IF(INDEX(ctaVinc,MATCH(Q1438,ctaNombre,0))&amp;""&lt;&gt;"",INDEX(ctaVinc,MATCH(Q1438,ctaNombre,0))&amp;"",Q1438),Q1438))</f>
        <v/>
      </c>
      <c r="AC1438" s="52">
        <f>IF(OR(K1438="",AND(P1438&lt;&gt;"Transferencia",P1438&lt;&gt;"Pago tarjeta")),"",IFERROR(IF(INDEX(ctaVinc,MATCH(K1438,ctaNombre,0))&amp;""&lt;&gt;"",INDEX(ctaVinc,MATCH(K1438,ctaNombre,0))&amp;"",K1438),K1438))</f>
        <v/>
      </c>
      <c r="AD1438" s="52">
        <f>IF(AB1438="","",IFERROR(INDEX(ctaTipo,MATCH(AB1438,ctaNombre,0))&amp;"",""))</f>
        <v/>
      </c>
      <c r="AE1438" s="52">
        <f>IF(AC1438="","",IFERROR(INDEX(ctaTipo,MATCH(AC1438,ctaNombre,0))&amp;"",""))</f>
        <v/>
      </c>
      <c r="AF1438" s="53">
        <f>IF(OR(P1438="",AB1438=""),"",IF(OR(P1438="Gasto",P1438="Transferencia",P1438="Pago tarjeta"),-1,1)*IF(IFERROR(INDEX(ctaMoneda,MATCH(AB1438,ctaNombre,0))&amp;"","DOP")="USD",T1438,S1438))</f>
        <v/>
      </c>
      <c r="AG1438" s="53">
        <f>IF(AC1438="","",IF(IFERROR(INDEX(ctaMoneda,MATCH(AC1438,ctaNombre,0))&amp;"","DOP")="USD",T1438,S1438))</f>
        <v/>
      </c>
      <c r="AH1438" s="53">
        <f>IF(P1438="","",IF(AND(AD1438&lt;&gt;"",COUNTIFS(tcTipo,AD1438,tcLiq,"Sí")&gt;0),IF(OR(P1438="Gasto",P1438="Transferencia",P1438="Pago tarjeta"),-1,1)*S1438,0)+IF(AND(AE1438&lt;&gt;"",COUNTIFS(tcTipo,AE1438,tcLiq,"Sí")&gt;0),S1438,0))</f>
        <v/>
      </c>
      <c r="AI1438" s="52">
        <f>IF(OR(L1438="",P1438=""),"",IF(COUNTIFS(L$6:L1438,L1438,P$6:P1438,"?*")=1,MAX(AI$5:AI1437)+1,""))</f>
        <v/>
      </c>
    </row>
    <row r="1439">
      <c r="B1439" s="47" t="n"/>
      <c r="C1439" s="48" t="n"/>
      <c r="D1439" s="48" t="n"/>
      <c r="E1439" s="48" t="n"/>
      <c r="F1439" s="48" t="n"/>
      <c r="G1439" s="49" t="n"/>
      <c r="H1439" s="48" t="n"/>
      <c r="I1439" s="50" t="n"/>
      <c r="J1439" s="48" t="n"/>
      <c r="K1439" s="48" t="n"/>
      <c r="L1439" s="48" t="n"/>
      <c r="M1439" s="48" t="n"/>
      <c r="N1439" s="48" t="n"/>
      <c r="O1439" s="51">
        <f>IF(AND(B1439="",G1439="",C1439="",D1439="",J1439=""),"",IF(B1439="","⚠ Falta fecha",IF(G1439="","⚠ Falta monto",IF(Q1439="","⚠ Falta cuenta",IF(ISNA(MATCH(Q1439,ctaNombre,0)),"⚠ Cuenta no registrada",IF(AND(OR(P1439="Gasto",P1439="Reembolso"),D1439=""),"⚠ Falta categoría",IF(AND(D1439&lt;&gt;"",E1439&lt;&gt;"",ISNA(MATCH(D1439&amp;"|"&amp;E1439,catClave,0))),"⚠ Subcategoría no corresponde",IF(AND(OR(P1439="Transferencia",P1439="Pago tarjeta"),K1439=""),"⚠ Falta cuenta destino",IF(AND(K1439&lt;&gt;"",P1439&lt;&gt;"Transferencia",P1439&lt;&gt;"Pago tarjeta"),"⚠ Destino solo aplica a transferencias",IF(AND(K1439&lt;&gt;"",K1439=Q1439),"⚠ Origen igual a destino",IF(AND(K1439&lt;&gt;"",ISNA(MATCH(K1439,ctaNombre,0))),"⚠ Destino no registrado",IF(AND(P1439="Pago tarjeta",AE1439&lt;&gt;"Tarjeta de crédito"),"⚠ El destino debe ser tarjeta de crédito",IF(AND(P1439="Gasto",E1439="Depósitos y retiros"),"⚠ Usa tipo Transferencia",IF(AND(P1439="Resultado trading",AD1439&lt;&gt;"Cuenta de trading"),"⚠ Usa una cuenta de trading",IF(AND(G1439&lt;=0,P1439&lt;&gt;"Ajuste",P1439&lt;&gt;"Resultado trading"),"⚠ El monto debe ser positivo","✓")))))))))))))))</f>
        <v/>
      </c>
      <c r="P1439" s="52">
        <f>IF(OR(B1439="",G1439=""),"",IF(C1439="","Gasto",C1439))</f>
        <v/>
      </c>
      <c r="Q1439" s="52">
        <f>IF(P1439="","",IF(J1439&lt;&gt;"",J1439,CuentaPred&amp;""))</f>
        <v/>
      </c>
      <c r="R1439" s="52">
        <f>IF(P1439="","",IF(ISNUMBER(I1439),I1439,TasaUSD))</f>
        <v/>
      </c>
      <c r="S1439" s="53">
        <f>IF(P1439="","",IF(H1439="USD",G1439*R1439,G1439))</f>
        <v/>
      </c>
      <c r="T1439" s="53">
        <f>IF(P1439="","",IF(H1439="USD",G1439,IF(R1439&gt;0,G1439/R1439,0)))</f>
        <v/>
      </c>
      <c r="U1439" s="53">
        <f>IF(P1439="","",IF(P1439="Gasto",S1439,IF(P1439="Reembolso",-S1439,0)))</f>
        <v/>
      </c>
      <c r="V1439" s="53">
        <f>IF(P1439="","",IF(P1439="Ingreso",S1439,0))</f>
        <v/>
      </c>
      <c r="W1439" s="53">
        <f>IF(P1439="","",IF(P1439="Resultado trading",S1439,0))</f>
        <v/>
      </c>
      <c r="X1439" s="52">
        <f>IF(OR(P1439="Gasto",P1439="Reembolso"),IF(M1439&lt;&gt;"",M1439,IFERROR(INDEX(catClasif,MATCH(D1439&amp;"|"&amp;E1439,catClave,0))&amp;"","Variable")),"")</f>
        <v/>
      </c>
      <c r="Y1439" s="52">
        <f>IF(P1439="","",IFERROR(INDEX(catGrupo,MATCH(D1439&amp;"|"&amp;E1439,catClave,0))&amp;"",""))</f>
        <v/>
      </c>
      <c r="Z1439" s="52">
        <f>IF(P1439="","",WEEKDAY(B1439,2))</f>
        <v/>
      </c>
      <c r="AA1439" s="52">
        <f>IF(P1439="","",IF(AND(P1439="Gasto",X1439="Variable",D1439&lt;&gt;catTrading,S1439&gt;0,S1439&lt;=Umbral),1,0))</f>
        <v/>
      </c>
      <c r="AB1439" s="52">
        <f>IF(OR(P1439="",Q1439=""),"",IFERROR(IF(INDEX(ctaVinc,MATCH(Q1439,ctaNombre,0))&amp;""&lt;&gt;"",INDEX(ctaVinc,MATCH(Q1439,ctaNombre,0))&amp;"",Q1439),Q1439))</f>
        <v/>
      </c>
      <c r="AC1439" s="52">
        <f>IF(OR(K1439="",AND(P1439&lt;&gt;"Transferencia",P1439&lt;&gt;"Pago tarjeta")),"",IFERROR(IF(INDEX(ctaVinc,MATCH(K1439,ctaNombre,0))&amp;""&lt;&gt;"",INDEX(ctaVinc,MATCH(K1439,ctaNombre,0))&amp;"",K1439),K1439))</f>
        <v/>
      </c>
      <c r="AD1439" s="52">
        <f>IF(AB1439="","",IFERROR(INDEX(ctaTipo,MATCH(AB1439,ctaNombre,0))&amp;"",""))</f>
        <v/>
      </c>
      <c r="AE1439" s="52">
        <f>IF(AC1439="","",IFERROR(INDEX(ctaTipo,MATCH(AC1439,ctaNombre,0))&amp;"",""))</f>
        <v/>
      </c>
      <c r="AF1439" s="53">
        <f>IF(OR(P1439="",AB1439=""),"",IF(OR(P1439="Gasto",P1439="Transferencia",P1439="Pago tarjeta"),-1,1)*IF(IFERROR(INDEX(ctaMoneda,MATCH(AB1439,ctaNombre,0))&amp;"","DOP")="USD",T1439,S1439))</f>
        <v/>
      </c>
      <c r="AG1439" s="53">
        <f>IF(AC1439="","",IF(IFERROR(INDEX(ctaMoneda,MATCH(AC1439,ctaNombre,0))&amp;"","DOP")="USD",T1439,S1439))</f>
        <v/>
      </c>
      <c r="AH1439" s="53">
        <f>IF(P1439="","",IF(AND(AD1439&lt;&gt;"",COUNTIFS(tcTipo,AD1439,tcLiq,"Sí")&gt;0),IF(OR(P1439="Gasto",P1439="Transferencia",P1439="Pago tarjeta"),-1,1)*S1439,0)+IF(AND(AE1439&lt;&gt;"",COUNTIFS(tcTipo,AE1439,tcLiq,"Sí")&gt;0),S1439,0))</f>
        <v/>
      </c>
      <c r="AI1439" s="52">
        <f>IF(OR(L1439="",P1439=""),"",IF(COUNTIFS(L$6:L1439,L1439,P$6:P1439,"?*")=1,MAX(AI$5:AI1438)+1,""))</f>
        <v/>
      </c>
    </row>
    <row r="1440">
      <c r="B1440" s="47" t="n"/>
      <c r="C1440" s="48" t="n"/>
      <c r="D1440" s="48" t="n"/>
      <c r="E1440" s="48" t="n"/>
      <c r="F1440" s="48" t="n"/>
      <c r="G1440" s="49" t="n"/>
      <c r="H1440" s="48" t="n"/>
      <c r="I1440" s="50" t="n"/>
      <c r="J1440" s="48" t="n"/>
      <c r="K1440" s="48" t="n"/>
      <c r="L1440" s="48" t="n"/>
      <c r="M1440" s="48" t="n"/>
      <c r="N1440" s="48" t="n"/>
      <c r="O1440" s="51">
        <f>IF(AND(B1440="",G1440="",C1440="",D1440="",J1440=""),"",IF(B1440="","⚠ Falta fecha",IF(G1440="","⚠ Falta monto",IF(Q1440="","⚠ Falta cuenta",IF(ISNA(MATCH(Q1440,ctaNombre,0)),"⚠ Cuenta no registrada",IF(AND(OR(P1440="Gasto",P1440="Reembolso"),D1440=""),"⚠ Falta categoría",IF(AND(D1440&lt;&gt;"",E1440&lt;&gt;"",ISNA(MATCH(D1440&amp;"|"&amp;E1440,catClave,0))),"⚠ Subcategoría no corresponde",IF(AND(OR(P1440="Transferencia",P1440="Pago tarjeta"),K1440=""),"⚠ Falta cuenta destino",IF(AND(K1440&lt;&gt;"",P1440&lt;&gt;"Transferencia",P1440&lt;&gt;"Pago tarjeta"),"⚠ Destino solo aplica a transferencias",IF(AND(K1440&lt;&gt;"",K1440=Q1440),"⚠ Origen igual a destino",IF(AND(K1440&lt;&gt;"",ISNA(MATCH(K1440,ctaNombre,0))),"⚠ Destino no registrado",IF(AND(P1440="Pago tarjeta",AE1440&lt;&gt;"Tarjeta de crédito"),"⚠ El destino debe ser tarjeta de crédito",IF(AND(P1440="Gasto",E1440="Depósitos y retiros"),"⚠ Usa tipo Transferencia",IF(AND(P1440="Resultado trading",AD1440&lt;&gt;"Cuenta de trading"),"⚠ Usa una cuenta de trading",IF(AND(G1440&lt;=0,P1440&lt;&gt;"Ajuste",P1440&lt;&gt;"Resultado trading"),"⚠ El monto debe ser positivo","✓")))))))))))))))</f>
        <v/>
      </c>
      <c r="P1440" s="52">
        <f>IF(OR(B1440="",G1440=""),"",IF(C1440="","Gasto",C1440))</f>
        <v/>
      </c>
      <c r="Q1440" s="52">
        <f>IF(P1440="","",IF(J1440&lt;&gt;"",J1440,CuentaPred&amp;""))</f>
        <v/>
      </c>
      <c r="R1440" s="52">
        <f>IF(P1440="","",IF(ISNUMBER(I1440),I1440,TasaUSD))</f>
        <v/>
      </c>
      <c r="S1440" s="53">
        <f>IF(P1440="","",IF(H1440="USD",G1440*R1440,G1440))</f>
        <v/>
      </c>
      <c r="T1440" s="53">
        <f>IF(P1440="","",IF(H1440="USD",G1440,IF(R1440&gt;0,G1440/R1440,0)))</f>
        <v/>
      </c>
      <c r="U1440" s="53">
        <f>IF(P1440="","",IF(P1440="Gasto",S1440,IF(P1440="Reembolso",-S1440,0)))</f>
        <v/>
      </c>
      <c r="V1440" s="53">
        <f>IF(P1440="","",IF(P1440="Ingreso",S1440,0))</f>
        <v/>
      </c>
      <c r="W1440" s="53">
        <f>IF(P1440="","",IF(P1440="Resultado trading",S1440,0))</f>
        <v/>
      </c>
      <c r="X1440" s="52">
        <f>IF(OR(P1440="Gasto",P1440="Reembolso"),IF(M1440&lt;&gt;"",M1440,IFERROR(INDEX(catClasif,MATCH(D1440&amp;"|"&amp;E1440,catClave,0))&amp;"","Variable")),"")</f>
        <v/>
      </c>
      <c r="Y1440" s="52">
        <f>IF(P1440="","",IFERROR(INDEX(catGrupo,MATCH(D1440&amp;"|"&amp;E1440,catClave,0))&amp;"",""))</f>
        <v/>
      </c>
      <c r="Z1440" s="52">
        <f>IF(P1440="","",WEEKDAY(B1440,2))</f>
        <v/>
      </c>
      <c r="AA1440" s="52">
        <f>IF(P1440="","",IF(AND(P1440="Gasto",X1440="Variable",D1440&lt;&gt;catTrading,S1440&gt;0,S1440&lt;=Umbral),1,0))</f>
        <v/>
      </c>
      <c r="AB1440" s="52">
        <f>IF(OR(P1440="",Q1440=""),"",IFERROR(IF(INDEX(ctaVinc,MATCH(Q1440,ctaNombre,0))&amp;""&lt;&gt;"",INDEX(ctaVinc,MATCH(Q1440,ctaNombre,0))&amp;"",Q1440),Q1440))</f>
        <v/>
      </c>
      <c r="AC1440" s="52">
        <f>IF(OR(K1440="",AND(P1440&lt;&gt;"Transferencia",P1440&lt;&gt;"Pago tarjeta")),"",IFERROR(IF(INDEX(ctaVinc,MATCH(K1440,ctaNombre,0))&amp;""&lt;&gt;"",INDEX(ctaVinc,MATCH(K1440,ctaNombre,0))&amp;"",K1440),K1440))</f>
        <v/>
      </c>
      <c r="AD1440" s="52">
        <f>IF(AB1440="","",IFERROR(INDEX(ctaTipo,MATCH(AB1440,ctaNombre,0))&amp;"",""))</f>
        <v/>
      </c>
      <c r="AE1440" s="52">
        <f>IF(AC1440="","",IFERROR(INDEX(ctaTipo,MATCH(AC1440,ctaNombre,0))&amp;"",""))</f>
        <v/>
      </c>
      <c r="AF1440" s="53">
        <f>IF(OR(P1440="",AB1440=""),"",IF(OR(P1440="Gasto",P1440="Transferencia",P1440="Pago tarjeta"),-1,1)*IF(IFERROR(INDEX(ctaMoneda,MATCH(AB1440,ctaNombre,0))&amp;"","DOP")="USD",T1440,S1440))</f>
        <v/>
      </c>
      <c r="AG1440" s="53">
        <f>IF(AC1440="","",IF(IFERROR(INDEX(ctaMoneda,MATCH(AC1440,ctaNombre,0))&amp;"","DOP")="USD",T1440,S1440))</f>
        <v/>
      </c>
      <c r="AH1440" s="53">
        <f>IF(P1440="","",IF(AND(AD1440&lt;&gt;"",COUNTIFS(tcTipo,AD1440,tcLiq,"Sí")&gt;0),IF(OR(P1440="Gasto",P1440="Transferencia",P1440="Pago tarjeta"),-1,1)*S1440,0)+IF(AND(AE1440&lt;&gt;"",COUNTIFS(tcTipo,AE1440,tcLiq,"Sí")&gt;0),S1440,0))</f>
        <v/>
      </c>
      <c r="AI1440" s="52">
        <f>IF(OR(L1440="",P1440=""),"",IF(COUNTIFS(L$6:L1440,L1440,P$6:P1440,"?*")=1,MAX(AI$5:AI1439)+1,""))</f>
        <v/>
      </c>
    </row>
    <row r="1441">
      <c r="B1441" s="47" t="n"/>
      <c r="C1441" s="48" t="n"/>
      <c r="D1441" s="48" t="n"/>
      <c r="E1441" s="48" t="n"/>
      <c r="F1441" s="48" t="n"/>
      <c r="G1441" s="49" t="n"/>
      <c r="H1441" s="48" t="n"/>
      <c r="I1441" s="50" t="n"/>
      <c r="J1441" s="48" t="n"/>
      <c r="K1441" s="48" t="n"/>
      <c r="L1441" s="48" t="n"/>
      <c r="M1441" s="48" t="n"/>
      <c r="N1441" s="48" t="n"/>
      <c r="O1441" s="51">
        <f>IF(AND(B1441="",G1441="",C1441="",D1441="",J1441=""),"",IF(B1441="","⚠ Falta fecha",IF(G1441="","⚠ Falta monto",IF(Q1441="","⚠ Falta cuenta",IF(ISNA(MATCH(Q1441,ctaNombre,0)),"⚠ Cuenta no registrada",IF(AND(OR(P1441="Gasto",P1441="Reembolso"),D1441=""),"⚠ Falta categoría",IF(AND(D1441&lt;&gt;"",E1441&lt;&gt;"",ISNA(MATCH(D1441&amp;"|"&amp;E1441,catClave,0))),"⚠ Subcategoría no corresponde",IF(AND(OR(P1441="Transferencia",P1441="Pago tarjeta"),K1441=""),"⚠ Falta cuenta destino",IF(AND(K1441&lt;&gt;"",P1441&lt;&gt;"Transferencia",P1441&lt;&gt;"Pago tarjeta"),"⚠ Destino solo aplica a transferencias",IF(AND(K1441&lt;&gt;"",K1441=Q1441),"⚠ Origen igual a destino",IF(AND(K1441&lt;&gt;"",ISNA(MATCH(K1441,ctaNombre,0))),"⚠ Destino no registrado",IF(AND(P1441="Pago tarjeta",AE1441&lt;&gt;"Tarjeta de crédito"),"⚠ El destino debe ser tarjeta de crédito",IF(AND(P1441="Gasto",E1441="Depósitos y retiros"),"⚠ Usa tipo Transferencia",IF(AND(P1441="Resultado trading",AD1441&lt;&gt;"Cuenta de trading"),"⚠ Usa una cuenta de trading",IF(AND(G1441&lt;=0,P1441&lt;&gt;"Ajuste",P1441&lt;&gt;"Resultado trading"),"⚠ El monto debe ser positivo","✓")))))))))))))))</f>
        <v/>
      </c>
      <c r="P1441" s="52">
        <f>IF(OR(B1441="",G1441=""),"",IF(C1441="","Gasto",C1441))</f>
        <v/>
      </c>
      <c r="Q1441" s="52">
        <f>IF(P1441="","",IF(J1441&lt;&gt;"",J1441,CuentaPred&amp;""))</f>
        <v/>
      </c>
      <c r="R1441" s="52">
        <f>IF(P1441="","",IF(ISNUMBER(I1441),I1441,TasaUSD))</f>
        <v/>
      </c>
      <c r="S1441" s="53">
        <f>IF(P1441="","",IF(H1441="USD",G1441*R1441,G1441))</f>
        <v/>
      </c>
      <c r="T1441" s="53">
        <f>IF(P1441="","",IF(H1441="USD",G1441,IF(R1441&gt;0,G1441/R1441,0)))</f>
        <v/>
      </c>
      <c r="U1441" s="53">
        <f>IF(P1441="","",IF(P1441="Gasto",S1441,IF(P1441="Reembolso",-S1441,0)))</f>
        <v/>
      </c>
      <c r="V1441" s="53">
        <f>IF(P1441="","",IF(P1441="Ingreso",S1441,0))</f>
        <v/>
      </c>
      <c r="W1441" s="53">
        <f>IF(P1441="","",IF(P1441="Resultado trading",S1441,0))</f>
        <v/>
      </c>
      <c r="X1441" s="52">
        <f>IF(OR(P1441="Gasto",P1441="Reembolso"),IF(M1441&lt;&gt;"",M1441,IFERROR(INDEX(catClasif,MATCH(D1441&amp;"|"&amp;E1441,catClave,0))&amp;"","Variable")),"")</f>
        <v/>
      </c>
      <c r="Y1441" s="52">
        <f>IF(P1441="","",IFERROR(INDEX(catGrupo,MATCH(D1441&amp;"|"&amp;E1441,catClave,0))&amp;"",""))</f>
        <v/>
      </c>
      <c r="Z1441" s="52">
        <f>IF(P1441="","",WEEKDAY(B1441,2))</f>
        <v/>
      </c>
      <c r="AA1441" s="52">
        <f>IF(P1441="","",IF(AND(P1441="Gasto",X1441="Variable",D1441&lt;&gt;catTrading,S1441&gt;0,S1441&lt;=Umbral),1,0))</f>
        <v/>
      </c>
      <c r="AB1441" s="52">
        <f>IF(OR(P1441="",Q1441=""),"",IFERROR(IF(INDEX(ctaVinc,MATCH(Q1441,ctaNombre,0))&amp;""&lt;&gt;"",INDEX(ctaVinc,MATCH(Q1441,ctaNombre,0))&amp;"",Q1441),Q1441))</f>
        <v/>
      </c>
      <c r="AC1441" s="52">
        <f>IF(OR(K1441="",AND(P1441&lt;&gt;"Transferencia",P1441&lt;&gt;"Pago tarjeta")),"",IFERROR(IF(INDEX(ctaVinc,MATCH(K1441,ctaNombre,0))&amp;""&lt;&gt;"",INDEX(ctaVinc,MATCH(K1441,ctaNombre,0))&amp;"",K1441),K1441))</f>
        <v/>
      </c>
      <c r="AD1441" s="52">
        <f>IF(AB1441="","",IFERROR(INDEX(ctaTipo,MATCH(AB1441,ctaNombre,0))&amp;"",""))</f>
        <v/>
      </c>
      <c r="AE1441" s="52">
        <f>IF(AC1441="","",IFERROR(INDEX(ctaTipo,MATCH(AC1441,ctaNombre,0))&amp;"",""))</f>
        <v/>
      </c>
      <c r="AF1441" s="53">
        <f>IF(OR(P1441="",AB1441=""),"",IF(OR(P1441="Gasto",P1441="Transferencia",P1441="Pago tarjeta"),-1,1)*IF(IFERROR(INDEX(ctaMoneda,MATCH(AB1441,ctaNombre,0))&amp;"","DOP")="USD",T1441,S1441))</f>
        <v/>
      </c>
      <c r="AG1441" s="53">
        <f>IF(AC1441="","",IF(IFERROR(INDEX(ctaMoneda,MATCH(AC1441,ctaNombre,0))&amp;"","DOP")="USD",T1441,S1441))</f>
        <v/>
      </c>
      <c r="AH1441" s="53">
        <f>IF(P1441="","",IF(AND(AD1441&lt;&gt;"",COUNTIFS(tcTipo,AD1441,tcLiq,"Sí")&gt;0),IF(OR(P1441="Gasto",P1441="Transferencia",P1441="Pago tarjeta"),-1,1)*S1441,0)+IF(AND(AE1441&lt;&gt;"",COUNTIFS(tcTipo,AE1441,tcLiq,"Sí")&gt;0),S1441,0))</f>
        <v/>
      </c>
      <c r="AI1441" s="52">
        <f>IF(OR(L1441="",P1441=""),"",IF(COUNTIFS(L$6:L1441,L1441,P$6:P1441,"?*")=1,MAX(AI$5:AI1440)+1,""))</f>
        <v/>
      </c>
    </row>
    <row r="1442">
      <c r="B1442" s="47" t="n"/>
      <c r="C1442" s="48" t="n"/>
      <c r="D1442" s="48" t="n"/>
      <c r="E1442" s="48" t="n"/>
      <c r="F1442" s="48" t="n"/>
      <c r="G1442" s="49" t="n"/>
      <c r="H1442" s="48" t="n"/>
      <c r="I1442" s="50" t="n"/>
      <c r="J1442" s="48" t="n"/>
      <c r="K1442" s="48" t="n"/>
      <c r="L1442" s="48" t="n"/>
      <c r="M1442" s="48" t="n"/>
      <c r="N1442" s="48" t="n"/>
      <c r="O1442" s="51">
        <f>IF(AND(B1442="",G1442="",C1442="",D1442="",J1442=""),"",IF(B1442="","⚠ Falta fecha",IF(G1442="","⚠ Falta monto",IF(Q1442="","⚠ Falta cuenta",IF(ISNA(MATCH(Q1442,ctaNombre,0)),"⚠ Cuenta no registrada",IF(AND(OR(P1442="Gasto",P1442="Reembolso"),D1442=""),"⚠ Falta categoría",IF(AND(D1442&lt;&gt;"",E1442&lt;&gt;"",ISNA(MATCH(D1442&amp;"|"&amp;E1442,catClave,0))),"⚠ Subcategoría no corresponde",IF(AND(OR(P1442="Transferencia",P1442="Pago tarjeta"),K1442=""),"⚠ Falta cuenta destino",IF(AND(K1442&lt;&gt;"",P1442&lt;&gt;"Transferencia",P1442&lt;&gt;"Pago tarjeta"),"⚠ Destino solo aplica a transferencias",IF(AND(K1442&lt;&gt;"",K1442=Q1442),"⚠ Origen igual a destino",IF(AND(K1442&lt;&gt;"",ISNA(MATCH(K1442,ctaNombre,0))),"⚠ Destino no registrado",IF(AND(P1442="Pago tarjeta",AE1442&lt;&gt;"Tarjeta de crédito"),"⚠ El destino debe ser tarjeta de crédito",IF(AND(P1442="Gasto",E1442="Depósitos y retiros"),"⚠ Usa tipo Transferencia",IF(AND(P1442="Resultado trading",AD1442&lt;&gt;"Cuenta de trading"),"⚠ Usa una cuenta de trading",IF(AND(G1442&lt;=0,P1442&lt;&gt;"Ajuste",P1442&lt;&gt;"Resultado trading"),"⚠ El monto debe ser positivo","✓")))))))))))))))</f>
        <v/>
      </c>
      <c r="P1442" s="52">
        <f>IF(OR(B1442="",G1442=""),"",IF(C1442="","Gasto",C1442))</f>
        <v/>
      </c>
      <c r="Q1442" s="52">
        <f>IF(P1442="","",IF(J1442&lt;&gt;"",J1442,CuentaPred&amp;""))</f>
        <v/>
      </c>
      <c r="R1442" s="52">
        <f>IF(P1442="","",IF(ISNUMBER(I1442),I1442,TasaUSD))</f>
        <v/>
      </c>
      <c r="S1442" s="53">
        <f>IF(P1442="","",IF(H1442="USD",G1442*R1442,G1442))</f>
        <v/>
      </c>
      <c r="T1442" s="53">
        <f>IF(P1442="","",IF(H1442="USD",G1442,IF(R1442&gt;0,G1442/R1442,0)))</f>
        <v/>
      </c>
      <c r="U1442" s="53">
        <f>IF(P1442="","",IF(P1442="Gasto",S1442,IF(P1442="Reembolso",-S1442,0)))</f>
        <v/>
      </c>
      <c r="V1442" s="53">
        <f>IF(P1442="","",IF(P1442="Ingreso",S1442,0))</f>
        <v/>
      </c>
      <c r="W1442" s="53">
        <f>IF(P1442="","",IF(P1442="Resultado trading",S1442,0))</f>
        <v/>
      </c>
      <c r="X1442" s="52">
        <f>IF(OR(P1442="Gasto",P1442="Reembolso"),IF(M1442&lt;&gt;"",M1442,IFERROR(INDEX(catClasif,MATCH(D1442&amp;"|"&amp;E1442,catClave,0))&amp;"","Variable")),"")</f>
        <v/>
      </c>
      <c r="Y1442" s="52">
        <f>IF(P1442="","",IFERROR(INDEX(catGrupo,MATCH(D1442&amp;"|"&amp;E1442,catClave,0))&amp;"",""))</f>
        <v/>
      </c>
      <c r="Z1442" s="52">
        <f>IF(P1442="","",WEEKDAY(B1442,2))</f>
        <v/>
      </c>
      <c r="AA1442" s="52">
        <f>IF(P1442="","",IF(AND(P1442="Gasto",X1442="Variable",D1442&lt;&gt;catTrading,S1442&gt;0,S1442&lt;=Umbral),1,0))</f>
        <v/>
      </c>
      <c r="AB1442" s="52">
        <f>IF(OR(P1442="",Q1442=""),"",IFERROR(IF(INDEX(ctaVinc,MATCH(Q1442,ctaNombre,0))&amp;""&lt;&gt;"",INDEX(ctaVinc,MATCH(Q1442,ctaNombre,0))&amp;"",Q1442),Q1442))</f>
        <v/>
      </c>
      <c r="AC1442" s="52">
        <f>IF(OR(K1442="",AND(P1442&lt;&gt;"Transferencia",P1442&lt;&gt;"Pago tarjeta")),"",IFERROR(IF(INDEX(ctaVinc,MATCH(K1442,ctaNombre,0))&amp;""&lt;&gt;"",INDEX(ctaVinc,MATCH(K1442,ctaNombre,0))&amp;"",K1442),K1442))</f>
        <v/>
      </c>
      <c r="AD1442" s="52">
        <f>IF(AB1442="","",IFERROR(INDEX(ctaTipo,MATCH(AB1442,ctaNombre,0))&amp;"",""))</f>
        <v/>
      </c>
      <c r="AE1442" s="52">
        <f>IF(AC1442="","",IFERROR(INDEX(ctaTipo,MATCH(AC1442,ctaNombre,0))&amp;"",""))</f>
        <v/>
      </c>
      <c r="AF1442" s="53">
        <f>IF(OR(P1442="",AB1442=""),"",IF(OR(P1442="Gasto",P1442="Transferencia",P1442="Pago tarjeta"),-1,1)*IF(IFERROR(INDEX(ctaMoneda,MATCH(AB1442,ctaNombre,0))&amp;"","DOP")="USD",T1442,S1442))</f>
        <v/>
      </c>
      <c r="AG1442" s="53">
        <f>IF(AC1442="","",IF(IFERROR(INDEX(ctaMoneda,MATCH(AC1442,ctaNombre,0))&amp;"","DOP")="USD",T1442,S1442))</f>
        <v/>
      </c>
      <c r="AH1442" s="53">
        <f>IF(P1442="","",IF(AND(AD1442&lt;&gt;"",COUNTIFS(tcTipo,AD1442,tcLiq,"Sí")&gt;0),IF(OR(P1442="Gasto",P1442="Transferencia",P1442="Pago tarjeta"),-1,1)*S1442,0)+IF(AND(AE1442&lt;&gt;"",COUNTIFS(tcTipo,AE1442,tcLiq,"Sí")&gt;0),S1442,0))</f>
        <v/>
      </c>
      <c r="AI1442" s="52">
        <f>IF(OR(L1442="",P1442=""),"",IF(COUNTIFS(L$6:L1442,L1442,P$6:P1442,"?*")=1,MAX(AI$5:AI1441)+1,""))</f>
        <v/>
      </c>
    </row>
    <row r="1443">
      <c r="B1443" s="47" t="n"/>
      <c r="C1443" s="48" t="n"/>
      <c r="D1443" s="48" t="n"/>
      <c r="E1443" s="48" t="n"/>
      <c r="F1443" s="48" t="n"/>
      <c r="G1443" s="49" t="n"/>
      <c r="H1443" s="48" t="n"/>
      <c r="I1443" s="50" t="n"/>
      <c r="J1443" s="48" t="n"/>
      <c r="K1443" s="48" t="n"/>
      <c r="L1443" s="48" t="n"/>
      <c r="M1443" s="48" t="n"/>
      <c r="N1443" s="48" t="n"/>
      <c r="O1443" s="51">
        <f>IF(AND(B1443="",G1443="",C1443="",D1443="",J1443=""),"",IF(B1443="","⚠ Falta fecha",IF(G1443="","⚠ Falta monto",IF(Q1443="","⚠ Falta cuenta",IF(ISNA(MATCH(Q1443,ctaNombre,0)),"⚠ Cuenta no registrada",IF(AND(OR(P1443="Gasto",P1443="Reembolso"),D1443=""),"⚠ Falta categoría",IF(AND(D1443&lt;&gt;"",E1443&lt;&gt;"",ISNA(MATCH(D1443&amp;"|"&amp;E1443,catClave,0))),"⚠ Subcategoría no corresponde",IF(AND(OR(P1443="Transferencia",P1443="Pago tarjeta"),K1443=""),"⚠ Falta cuenta destino",IF(AND(K1443&lt;&gt;"",P1443&lt;&gt;"Transferencia",P1443&lt;&gt;"Pago tarjeta"),"⚠ Destino solo aplica a transferencias",IF(AND(K1443&lt;&gt;"",K1443=Q1443),"⚠ Origen igual a destino",IF(AND(K1443&lt;&gt;"",ISNA(MATCH(K1443,ctaNombre,0))),"⚠ Destino no registrado",IF(AND(P1443="Pago tarjeta",AE1443&lt;&gt;"Tarjeta de crédito"),"⚠ El destino debe ser tarjeta de crédito",IF(AND(P1443="Gasto",E1443="Depósitos y retiros"),"⚠ Usa tipo Transferencia",IF(AND(P1443="Resultado trading",AD1443&lt;&gt;"Cuenta de trading"),"⚠ Usa una cuenta de trading",IF(AND(G1443&lt;=0,P1443&lt;&gt;"Ajuste",P1443&lt;&gt;"Resultado trading"),"⚠ El monto debe ser positivo","✓")))))))))))))))</f>
        <v/>
      </c>
      <c r="P1443" s="52">
        <f>IF(OR(B1443="",G1443=""),"",IF(C1443="","Gasto",C1443))</f>
        <v/>
      </c>
      <c r="Q1443" s="52">
        <f>IF(P1443="","",IF(J1443&lt;&gt;"",J1443,CuentaPred&amp;""))</f>
        <v/>
      </c>
      <c r="R1443" s="52">
        <f>IF(P1443="","",IF(ISNUMBER(I1443),I1443,TasaUSD))</f>
        <v/>
      </c>
      <c r="S1443" s="53">
        <f>IF(P1443="","",IF(H1443="USD",G1443*R1443,G1443))</f>
        <v/>
      </c>
      <c r="T1443" s="53">
        <f>IF(P1443="","",IF(H1443="USD",G1443,IF(R1443&gt;0,G1443/R1443,0)))</f>
        <v/>
      </c>
      <c r="U1443" s="53">
        <f>IF(P1443="","",IF(P1443="Gasto",S1443,IF(P1443="Reembolso",-S1443,0)))</f>
        <v/>
      </c>
      <c r="V1443" s="53">
        <f>IF(P1443="","",IF(P1443="Ingreso",S1443,0))</f>
        <v/>
      </c>
      <c r="W1443" s="53">
        <f>IF(P1443="","",IF(P1443="Resultado trading",S1443,0))</f>
        <v/>
      </c>
      <c r="X1443" s="52">
        <f>IF(OR(P1443="Gasto",P1443="Reembolso"),IF(M1443&lt;&gt;"",M1443,IFERROR(INDEX(catClasif,MATCH(D1443&amp;"|"&amp;E1443,catClave,0))&amp;"","Variable")),"")</f>
        <v/>
      </c>
      <c r="Y1443" s="52">
        <f>IF(P1443="","",IFERROR(INDEX(catGrupo,MATCH(D1443&amp;"|"&amp;E1443,catClave,0))&amp;"",""))</f>
        <v/>
      </c>
      <c r="Z1443" s="52">
        <f>IF(P1443="","",WEEKDAY(B1443,2))</f>
        <v/>
      </c>
      <c r="AA1443" s="52">
        <f>IF(P1443="","",IF(AND(P1443="Gasto",X1443="Variable",D1443&lt;&gt;catTrading,S1443&gt;0,S1443&lt;=Umbral),1,0))</f>
        <v/>
      </c>
      <c r="AB1443" s="52">
        <f>IF(OR(P1443="",Q1443=""),"",IFERROR(IF(INDEX(ctaVinc,MATCH(Q1443,ctaNombre,0))&amp;""&lt;&gt;"",INDEX(ctaVinc,MATCH(Q1443,ctaNombre,0))&amp;"",Q1443),Q1443))</f>
        <v/>
      </c>
      <c r="AC1443" s="52">
        <f>IF(OR(K1443="",AND(P1443&lt;&gt;"Transferencia",P1443&lt;&gt;"Pago tarjeta")),"",IFERROR(IF(INDEX(ctaVinc,MATCH(K1443,ctaNombre,0))&amp;""&lt;&gt;"",INDEX(ctaVinc,MATCH(K1443,ctaNombre,0))&amp;"",K1443),K1443))</f>
        <v/>
      </c>
      <c r="AD1443" s="52">
        <f>IF(AB1443="","",IFERROR(INDEX(ctaTipo,MATCH(AB1443,ctaNombre,0))&amp;"",""))</f>
        <v/>
      </c>
      <c r="AE1443" s="52">
        <f>IF(AC1443="","",IFERROR(INDEX(ctaTipo,MATCH(AC1443,ctaNombre,0))&amp;"",""))</f>
        <v/>
      </c>
      <c r="AF1443" s="53">
        <f>IF(OR(P1443="",AB1443=""),"",IF(OR(P1443="Gasto",P1443="Transferencia",P1443="Pago tarjeta"),-1,1)*IF(IFERROR(INDEX(ctaMoneda,MATCH(AB1443,ctaNombre,0))&amp;"","DOP")="USD",T1443,S1443))</f>
        <v/>
      </c>
      <c r="AG1443" s="53">
        <f>IF(AC1443="","",IF(IFERROR(INDEX(ctaMoneda,MATCH(AC1443,ctaNombre,0))&amp;"","DOP")="USD",T1443,S1443))</f>
        <v/>
      </c>
      <c r="AH1443" s="53">
        <f>IF(P1443="","",IF(AND(AD1443&lt;&gt;"",COUNTIFS(tcTipo,AD1443,tcLiq,"Sí")&gt;0),IF(OR(P1443="Gasto",P1443="Transferencia",P1443="Pago tarjeta"),-1,1)*S1443,0)+IF(AND(AE1443&lt;&gt;"",COUNTIFS(tcTipo,AE1443,tcLiq,"Sí")&gt;0),S1443,0))</f>
        <v/>
      </c>
      <c r="AI1443" s="52">
        <f>IF(OR(L1443="",P1443=""),"",IF(COUNTIFS(L$6:L1443,L1443,P$6:P1443,"?*")=1,MAX(AI$5:AI1442)+1,""))</f>
        <v/>
      </c>
    </row>
    <row r="1444">
      <c r="B1444" s="47" t="n"/>
      <c r="C1444" s="48" t="n"/>
      <c r="D1444" s="48" t="n"/>
      <c r="E1444" s="48" t="n"/>
      <c r="F1444" s="48" t="n"/>
      <c r="G1444" s="49" t="n"/>
      <c r="H1444" s="48" t="n"/>
      <c r="I1444" s="50" t="n"/>
      <c r="J1444" s="48" t="n"/>
      <c r="K1444" s="48" t="n"/>
      <c r="L1444" s="48" t="n"/>
      <c r="M1444" s="48" t="n"/>
      <c r="N1444" s="48" t="n"/>
      <c r="O1444" s="51">
        <f>IF(AND(B1444="",G1444="",C1444="",D1444="",J1444=""),"",IF(B1444="","⚠ Falta fecha",IF(G1444="","⚠ Falta monto",IF(Q1444="","⚠ Falta cuenta",IF(ISNA(MATCH(Q1444,ctaNombre,0)),"⚠ Cuenta no registrada",IF(AND(OR(P1444="Gasto",P1444="Reembolso"),D1444=""),"⚠ Falta categoría",IF(AND(D1444&lt;&gt;"",E1444&lt;&gt;"",ISNA(MATCH(D1444&amp;"|"&amp;E1444,catClave,0))),"⚠ Subcategoría no corresponde",IF(AND(OR(P1444="Transferencia",P1444="Pago tarjeta"),K1444=""),"⚠ Falta cuenta destino",IF(AND(K1444&lt;&gt;"",P1444&lt;&gt;"Transferencia",P1444&lt;&gt;"Pago tarjeta"),"⚠ Destino solo aplica a transferencias",IF(AND(K1444&lt;&gt;"",K1444=Q1444),"⚠ Origen igual a destino",IF(AND(K1444&lt;&gt;"",ISNA(MATCH(K1444,ctaNombre,0))),"⚠ Destino no registrado",IF(AND(P1444="Pago tarjeta",AE1444&lt;&gt;"Tarjeta de crédito"),"⚠ El destino debe ser tarjeta de crédito",IF(AND(P1444="Gasto",E1444="Depósitos y retiros"),"⚠ Usa tipo Transferencia",IF(AND(P1444="Resultado trading",AD1444&lt;&gt;"Cuenta de trading"),"⚠ Usa una cuenta de trading",IF(AND(G1444&lt;=0,P1444&lt;&gt;"Ajuste",P1444&lt;&gt;"Resultado trading"),"⚠ El monto debe ser positivo","✓")))))))))))))))</f>
        <v/>
      </c>
      <c r="P1444" s="52">
        <f>IF(OR(B1444="",G1444=""),"",IF(C1444="","Gasto",C1444))</f>
        <v/>
      </c>
      <c r="Q1444" s="52">
        <f>IF(P1444="","",IF(J1444&lt;&gt;"",J1444,CuentaPred&amp;""))</f>
        <v/>
      </c>
      <c r="R1444" s="52">
        <f>IF(P1444="","",IF(ISNUMBER(I1444),I1444,TasaUSD))</f>
        <v/>
      </c>
      <c r="S1444" s="53">
        <f>IF(P1444="","",IF(H1444="USD",G1444*R1444,G1444))</f>
        <v/>
      </c>
      <c r="T1444" s="53">
        <f>IF(P1444="","",IF(H1444="USD",G1444,IF(R1444&gt;0,G1444/R1444,0)))</f>
        <v/>
      </c>
      <c r="U1444" s="53">
        <f>IF(P1444="","",IF(P1444="Gasto",S1444,IF(P1444="Reembolso",-S1444,0)))</f>
        <v/>
      </c>
      <c r="V1444" s="53">
        <f>IF(P1444="","",IF(P1444="Ingreso",S1444,0))</f>
        <v/>
      </c>
      <c r="W1444" s="53">
        <f>IF(P1444="","",IF(P1444="Resultado trading",S1444,0))</f>
        <v/>
      </c>
      <c r="X1444" s="52">
        <f>IF(OR(P1444="Gasto",P1444="Reembolso"),IF(M1444&lt;&gt;"",M1444,IFERROR(INDEX(catClasif,MATCH(D1444&amp;"|"&amp;E1444,catClave,0))&amp;"","Variable")),"")</f>
        <v/>
      </c>
      <c r="Y1444" s="52">
        <f>IF(P1444="","",IFERROR(INDEX(catGrupo,MATCH(D1444&amp;"|"&amp;E1444,catClave,0))&amp;"",""))</f>
        <v/>
      </c>
      <c r="Z1444" s="52">
        <f>IF(P1444="","",WEEKDAY(B1444,2))</f>
        <v/>
      </c>
      <c r="AA1444" s="52">
        <f>IF(P1444="","",IF(AND(P1444="Gasto",X1444="Variable",D1444&lt;&gt;catTrading,S1444&gt;0,S1444&lt;=Umbral),1,0))</f>
        <v/>
      </c>
      <c r="AB1444" s="52">
        <f>IF(OR(P1444="",Q1444=""),"",IFERROR(IF(INDEX(ctaVinc,MATCH(Q1444,ctaNombre,0))&amp;""&lt;&gt;"",INDEX(ctaVinc,MATCH(Q1444,ctaNombre,0))&amp;"",Q1444),Q1444))</f>
        <v/>
      </c>
      <c r="AC1444" s="52">
        <f>IF(OR(K1444="",AND(P1444&lt;&gt;"Transferencia",P1444&lt;&gt;"Pago tarjeta")),"",IFERROR(IF(INDEX(ctaVinc,MATCH(K1444,ctaNombre,0))&amp;""&lt;&gt;"",INDEX(ctaVinc,MATCH(K1444,ctaNombre,0))&amp;"",K1444),K1444))</f>
        <v/>
      </c>
      <c r="AD1444" s="52">
        <f>IF(AB1444="","",IFERROR(INDEX(ctaTipo,MATCH(AB1444,ctaNombre,0))&amp;"",""))</f>
        <v/>
      </c>
      <c r="AE1444" s="52">
        <f>IF(AC1444="","",IFERROR(INDEX(ctaTipo,MATCH(AC1444,ctaNombre,0))&amp;"",""))</f>
        <v/>
      </c>
      <c r="AF1444" s="53">
        <f>IF(OR(P1444="",AB1444=""),"",IF(OR(P1444="Gasto",P1444="Transferencia",P1444="Pago tarjeta"),-1,1)*IF(IFERROR(INDEX(ctaMoneda,MATCH(AB1444,ctaNombre,0))&amp;"","DOP")="USD",T1444,S1444))</f>
        <v/>
      </c>
      <c r="AG1444" s="53">
        <f>IF(AC1444="","",IF(IFERROR(INDEX(ctaMoneda,MATCH(AC1444,ctaNombre,0))&amp;"","DOP")="USD",T1444,S1444))</f>
        <v/>
      </c>
      <c r="AH1444" s="53">
        <f>IF(P1444="","",IF(AND(AD1444&lt;&gt;"",COUNTIFS(tcTipo,AD1444,tcLiq,"Sí")&gt;0),IF(OR(P1444="Gasto",P1444="Transferencia",P1444="Pago tarjeta"),-1,1)*S1444,0)+IF(AND(AE1444&lt;&gt;"",COUNTIFS(tcTipo,AE1444,tcLiq,"Sí")&gt;0),S1444,0))</f>
        <v/>
      </c>
      <c r="AI1444" s="52">
        <f>IF(OR(L1444="",P1444=""),"",IF(COUNTIFS(L$6:L1444,L1444,P$6:P1444,"?*")=1,MAX(AI$5:AI1443)+1,""))</f>
        <v/>
      </c>
    </row>
    <row r="1445">
      <c r="B1445" s="47" t="n"/>
      <c r="C1445" s="48" t="n"/>
      <c r="D1445" s="48" t="n"/>
      <c r="E1445" s="48" t="n"/>
      <c r="F1445" s="48" t="n"/>
      <c r="G1445" s="49" t="n"/>
      <c r="H1445" s="48" t="n"/>
      <c r="I1445" s="50" t="n"/>
      <c r="J1445" s="48" t="n"/>
      <c r="K1445" s="48" t="n"/>
      <c r="L1445" s="48" t="n"/>
      <c r="M1445" s="48" t="n"/>
      <c r="N1445" s="48" t="n"/>
      <c r="O1445" s="51">
        <f>IF(AND(B1445="",G1445="",C1445="",D1445="",J1445=""),"",IF(B1445="","⚠ Falta fecha",IF(G1445="","⚠ Falta monto",IF(Q1445="","⚠ Falta cuenta",IF(ISNA(MATCH(Q1445,ctaNombre,0)),"⚠ Cuenta no registrada",IF(AND(OR(P1445="Gasto",P1445="Reembolso"),D1445=""),"⚠ Falta categoría",IF(AND(D1445&lt;&gt;"",E1445&lt;&gt;"",ISNA(MATCH(D1445&amp;"|"&amp;E1445,catClave,0))),"⚠ Subcategoría no corresponde",IF(AND(OR(P1445="Transferencia",P1445="Pago tarjeta"),K1445=""),"⚠ Falta cuenta destino",IF(AND(K1445&lt;&gt;"",P1445&lt;&gt;"Transferencia",P1445&lt;&gt;"Pago tarjeta"),"⚠ Destino solo aplica a transferencias",IF(AND(K1445&lt;&gt;"",K1445=Q1445),"⚠ Origen igual a destino",IF(AND(K1445&lt;&gt;"",ISNA(MATCH(K1445,ctaNombre,0))),"⚠ Destino no registrado",IF(AND(P1445="Pago tarjeta",AE1445&lt;&gt;"Tarjeta de crédito"),"⚠ El destino debe ser tarjeta de crédito",IF(AND(P1445="Gasto",E1445="Depósitos y retiros"),"⚠ Usa tipo Transferencia",IF(AND(P1445="Resultado trading",AD1445&lt;&gt;"Cuenta de trading"),"⚠ Usa una cuenta de trading",IF(AND(G1445&lt;=0,P1445&lt;&gt;"Ajuste",P1445&lt;&gt;"Resultado trading"),"⚠ El monto debe ser positivo","✓")))))))))))))))</f>
        <v/>
      </c>
      <c r="P1445" s="52">
        <f>IF(OR(B1445="",G1445=""),"",IF(C1445="","Gasto",C1445))</f>
        <v/>
      </c>
      <c r="Q1445" s="52">
        <f>IF(P1445="","",IF(J1445&lt;&gt;"",J1445,CuentaPred&amp;""))</f>
        <v/>
      </c>
      <c r="R1445" s="52">
        <f>IF(P1445="","",IF(ISNUMBER(I1445),I1445,TasaUSD))</f>
        <v/>
      </c>
      <c r="S1445" s="53">
        <f>IF(P1445="","",IF(H1445="USD",G1445*R1445,G1445))</f>
        <v/>
      </c>
      <c r="T1445" s="53">
        <f>IF(P1445="","",IF(H1445="USD",G1445,IF(R1445&gt;0,G1445/R1445,0)))</f>
        <v/>
      </c>
      <c r="U1445" s="53">
        <f>IF(P1445="","",IF(P1445="Gasto",S1445,IF(P1445="Reembolso",-S1445,0)))</f>
        <v/>
      </c>
      <c r="V1445" s="53">
        <f>IF(P1445="","",IF(P1445="Ingreso",S1445,0))</f>
        <v/>
      </c>
      <c r="W1445" s="53">
        <f>IF(P1445="","",IF(P1445="Resultado trading",S1445,0))</f>
        <v/>
      </c>
      <c r="X1445" s="52">
        <f>IF(OR(P1445="Gasto",P1445="Reembolso"),IF(M1445&lt;&gt;"",M1445,IFERROR(INDEX(catClasif,MATCH(D1445&amp;"|"&amp;E1445,catClave,0))&amp;"","Variable")),"")</f>
        <v/>
      </c>
      <c r="Y1445" s="52">
        <f>IF(P1445="","",IFERROR(INDEX(catGrupo,MATCH(D1445&amp;"|"&amp;E1445,catClave,0))&amp;"",""))</f>
        <v/>
      </c>
      <c r="Z1445" s="52">
        <f>IF(P1445="","",WEEKDAY(B1445,2))</f>
        <v/>
      </c>
      <c r="AA1445" s="52">
        <f>IF(P1445="","",IF(AND(P1445="Gasto",X1445="Variable",D1445&lt;&gt;catTrading,S1445&gt;0,S1445&lt;=Umbral),1,0))</f>
        <v/>
      </c>
      <c r="AB1445" s="52">
        <f>IF(OR(P1445="",Q1445=""),"",IFERROR(IF(INDEX(ctaVinc,MATCH(Q1445,ctaNombre,0))&amp;""&lt;&gt;"",INDEX(ctaVinc,MATCH(Q1445,ctaNombre,0))&amp;"",Q1445),Q1445))</f>
        <v/>
      </c>
      <c r="AC1445" s="52">
        <f>IF(OR(K1445="",AND(P1445&lt;&gt;"Transferencia",P1445&lt;&gt;"Pago tarjeta")),"",IFERROR(IF(INDEX(ctaVinc,MATCH(K1445,ctaNombre,0))&amp;""&lt;&gt;"",INDEX(ctaVinc,MATCH(K1445,ctaNombre,0))&amp;"",K1445),K1445))</f>
        <v/>
      </c>
      <c r="AD1445" s="52">
        <f>IF(AB1445="","",IFERROR(INDEX(ctaTipo,MATCH(AB1445,ctaNombre,0))&amp;"",""))</f>
        <v/>
      </c>
      <c r="AE1445" s="52">
        <f>IF(AC1445="","",IFERROR(INDEX(ctaTipo,MATCH(AC1445,ctaNombre,0))&amp;"",""))</f>
        <v/>
      </c>
      <c r="AF1445" s="53">
        <f>IF(OR(P1445="",AB1445=""),"",IF(OR(P1445="Gasto",P1445="Transferencia",P1445="Pago tarjeta"),-1,1)*IF(IFERROR(INDEX(ctaMoneda,MATCH(AB1445,ctaNombre,0))&amp;"","DOP")="USD",T1445,S1445))</f>
        <v/>
      </c>
      <c r="AG1445" s="53">
        <f>IF(AC1445="","",IF(IFERROR(INDEX(ctaMoneda,MATCH(AC1445,ctaNombre,0))&amp;"","DOP")="USD",T1445,S1445))</f>
        <v/>
      </c>
      <c r="AH1445" s="53">
        <f>IF(P1445="","",IF(AND(AD1445&lt;&gt;"",COUNTIFS(tcTipo,AD1445,tcLiq,"Sí")&gt;0),IF(OR(P1445="Gasto",P1445="Transferencia",P1445="Pago tarjeta"),-1,1)*S1445,0)+IF(AND(AE1445&lt;&gt;"",COUNTIFS(tcTipo,AE1445,tcLiq,"Sí")&gt;0),S1445,0))</f>
        <v/>
      </c>
      <c r="AI1445" s="52">
        <f>IF(OR(L1445="",P1445=""),"",IF(COUNTIFS(L$6:L1445,L1445,P$6:P1445,"?*")=1,MAX(AI$5:AI1444)+1,""))</f>
        <v/>
      </c>
    </row>
    <row r="1446">
      <c r="B1446" s="47" t="n"/>
      <c r="C1446" s="48" t="n"/>
      <c r="D1446" s="48" t="n"/>
      <c r="E1446" s="48" t="n"/>
      <c r="F1446" s="48" t="n"/>
      <c r="G1446" s="49" t="n"/>
      <c r="H1446" s="48" t="n"/>
      <c r="I1446" s="50" t="n"/>
      <c r="J1446" s="48" t="n"/>
      <c r="K1446" s="48" t="n"/>
      <c r="L1446" s="48" t="n"/>
      <c r="M1446" s="48" t="n"/>
      <c r="N1446" s="48" t="n"/>
      <c r="O1446" s="51">
        <f>IF(AND(B1446="",G1446="",C1446="",D1446="",J1446=""),"",IF(B1446="","⚠ Falta fecha",IF(G1446="","⚠ Falta monto",IF(Q1446="","⚠ Falta cuenta",IF(ISNA(MATCH(Q1446,ctaNombre,0)),"⚠ Cuenta no registrada",IF(AND(OR(P1446="Gasto",P1446="Reembolso"),D1446=""),"⚠ Falta categoría",IF(AND(D1446&lt;&gt;"",E1446&lt;&gt;"",ISNA(MATCH(D1446&amp;"|"&amp;E1446,catClave,0))),"⚠ Subcategoría no corresponde",IF(AND(OR(P1446="Transferencia",P1446="Pago tarjeta"),K1446=""),"⚠ Falta cuenta destino",IF(AND(K1446&lt;&gt;"",P1446&lt;&gt;"Transferencia",P1446&lt;&gt;"Pago tarjeta"),"⚠ Destino solo aplica a transferencias",IF(AND(K1446&lt;&gt;"",K1446=Q1446),"⚠ Origen igual a destino",IF(AND(K1446&lt;&gt;"",ISNA(MATCH(K1446,ctaNombre,0))),"⚠ Destino no registrado",IF(AND(P1446="Pago tarjeta",AE1446&lt;&gt;"Tarjeta de crédito"),"⚠ El destino debe ser tarjeta de crédito",IF(AND(P1446="Gasto",E1446="Depósitos y retiros"),"⚠ Usa tipo Transferencia",IF(AND(P1446="Resultado trading",AD1446&lt;&gt;"Cuenta de trading"),"⚠ Usa una cuenta de trading",IF(AND(G1446&lt;=0,P1446&lt;&gt;"Ajuste",P1446&lt;&gt;"Resultado trading"),"⚠ El monto debe ser positivo","✓")))))))))))))))</f>
        <v/>
      </c>
      <c r="P1446" s="52">
        <f>IF(OR(B1446="",G1446=""),"",IF(C1446="","Gasto",C1446))</f>
        <v/>
      </c>
      <c r="Q1446" s="52">
        <f>IF(P1446="","",IF(J1446&lt;&gt;"",J1446,CuentaPred&amp;""))</f>
        <v/>
      </c>
      <c r="R1446" s="52">
        <f>IF(P1446="","",IF(ISNUMBER(I1446),I1446,TasaUSD))</f>
        <v/>
      </c>
      <c r="S1446" s="53">
        <f>IF(P1446="","",IF(H1446="USD",G1446*R1446,G1446))</f>
        <v/>
      </c>
      <c r="T1446" s="53">
        <f>IF(P1446="","",IF(H1446="USD",G1446,IF(R1446&gt;0,G1446/R1446,0)))</f>
        <v/>
      </c>
      <c r="U1446" s="53">
        <f>IF(P1446="","",IF(P1446="Gasto",S1446,IF(P1446="Reembolso",-S1446,0)))</f>
        <v/>
      </c>
      <c r="V1446" s="53">
        <f>IF(P1446="","",IF(P1446="Ingreso",S1446,0))</f>
        <v/>
      </c>
      <c r="W1446" s="53">
        <f>IF(P1446="","",IF(P1446="Resultado trading",S1446,0))</f>
        <v/>
      </c>
      <c r="X1446" s="52">
        <f>IF(OR(P1446="Gasto",P1446="Reembolso"),IF(M1446&lt;&gt;"",M1446,IFERROR(INDEX(catClasif,MATCH(D1446&amp;"|"&amp;E1446,catClave,0))&amp;"","Variable")),"")</f>
        <v/>
      </c>
      <c r="Y1446" s="52">
        <f>IF(P1446="","",IFERROR(INDEX(catGrupo,MATCH(D1446&amp;"|"&amp;E1446,catClave,0))&amp;"",""))</f>
        <v/>
      </c>
      <c r="Z1446" s="52">
        <f>IF(P1446="","",WEEKDAY(B1446,2))</f>
        <v/>
      </c>
      <c r="AA1446" s="52">
        <f>IF(P1446="","",IF(AND(P1446="Gasto",X1446="Variable",D1446&lt;&gt;catTrading,S1446&gt;0,S1446&lt;=Umbral),1,0))</f>
        <v/>
      </c>
      <c r="AB1446" s="52">
        <f>IF(OR(P1446="",Q1446=""),"",IFERROR(IF(INDEX(ctaVinc,MATCH(Q1446,ctaNombre,0))&amp;""&lt;&gt;"",INDEX(ctaVinc,MATCH(Q1446,ctaNombre,0))&amp;"",Q1446),Q1446))</f>
        <v/>
      </c>
      <c r="AC1446" s="52">
        <f>IF(OR(K1446="",AND(P1446&lt;&gt;"Transferencia",P1446&lt;&gt;"Pago tarjeta")),"",IFERROR(IF(INDEX(ctaVinc,MATCH(K1446,ctaNombre,0))&amp;""&lt;&gt;"",INDEX(ctaVinc,MATCH(K1446,ctaNombre,0))&amp;"",K1446),K1446))</f>
        <v/>
      </c>
      <c r="AD1446" s="52">
        <f>IF(AB1446="","",IFERROR(INDEX(ctaTipo,MATCH(AB1446,ctaNombre,0))&amp;"",""))</f>
        <v/>
      </c>
      <c r="AE1446" s="52">
        <f>IF(AC1446="","",IFERROR(INDEX(ctaTipo,MATCH(AC1446,ctaNombre,0))&amp;"",""))</f>
        <v/>
      </c>
      <c r="AF1446" s="53">
        <f>IF(OR(P1446="",AB1446=""),"",IF(OR(P1446="Gasto",P1446="Transferencia",P1446="Pago tarjeta"),-1,1)*IF(IFERROR(INDEX(ctaMoneda,MATCH(AB1446,ctaNombre,0))&amp;"","DOP")="USD",T1446,S1446))</f>
        <v/>
      </c>
      <c r="AG1446" s="53">
        <f>IF(AC1446="","",IF(IFERROR(INDEX(ctaMoneda,MATCH(AC1446,ctaNombre,0))&amp;"","DOP")="USD",T1446,S1446))</f>
        <v/>
      </c>
      <c r="AH1446" s="53">
        <f>IF(P1446="","",IF(AND(AD1446&lt;&gt;"",COUNTIFS(tcTipo,AD1446,tcLiq,"Sí")&gt;0),IF(OR(P1446="Gasto",P1446="Transferencia",P1446="Pago tarjeta"),-1,1)*S1446,0)+IF(AND(AE1446&lt;&gt;"",COUNTIFS(tcTipo,AE1446,tcLiq,"Sí")&gt;0),S1446,0))</f>
        <v/>
      </c>
      <c r="AI1446" s="52">
        <f>IF(OR(L1446="",P1446=""),"",IF(COUNTIFS(L$6:L1446,L1446,P$6:P1446,"?*")=1,MAX(AI$5:AI1445)+1,""))</f>
        <v/>
      </c>
    </row>
    <row r="1447">
      <c r="B1447" s="47" t="n"/>
      <c r="C1447" s="48" t="n"/>
      <c r="D1447" s="48" t="n"/>
      <c r="E1447" s="48" t="n"/>
      <c r="F1447" s="48" t="n"/>
      <c r="G1447" s="49" t="n"/>
      <c r="H1447" s="48" t="n"/>
      <c r="I1447" s="50" t="n"/>
      <c r="J1447" s="48" t="n"/>
      <c r="K1447" s="48" t="n"/>
      <c r="L1447" s="48" t="n"/>
      <c r="M1447" s="48" t="n"/>
      <c r="N1447" s="48" t="n"/>
      <c r="O1447" s="51">
        <f>IF(AND(B1447="",G1447="",C1447="",D1447="",J1447=""),"",IF(B1447="","⚠ Falta fecha",IF(G1447="","⚠ Falta monto",IF(Q1447="","⚠ Falta cuenta",IF(ISNA(MATCH(Q1447,ctaNombre,0)),"⚠ Cuenta no registrada",IF(AND(OR(P1447="Gasto",P1447="Reembolso"),D1447=""),"⚠ Falta categoría",IF(AND(D1447&lt;&gt;"",E1447&lt;&gt;"",ISNA(MATCH(D1447&amp;"|"&amp;E1447,catClave,0))),"⚠ Subcategoría no corresponde",IF(AND(OR(P1447="Transferencia",P1447="Pago tarjeta"),K1447=""),"⚠ Falta cuenta destino",IF(AND(K1447&lt;&gt;"",P1447&lt;&gt;"Transferencia",P1447&lt;&gt;"Pago tarjeta"),"⚠ Destino solo aplica a transferencias",IF(AND(K1447&lt;&gt;"",K1447=Q1447),"⚠ Origen igual a destino",IF(AND(K1447&lt;&gt;"",ISNA(MATCH(K1447,ctaNombre,0))),"⚠ Destino no registrado",IF(AND(P1447="Pago tarjeta",AE1447&lt;&gt;"Tarjeta de crédito"),"⚠ El destino debe ser tarjeta de crédito",IF(AND(P1447="Gasto",E1447="Depósitos y retiros"),"⚠ Usa tipo Transferencia",IF(AND(P1447="Resultado trading",AD1447&lt;&gt;"Cuenta de trading"),"⚠ Usa una cuenta de trading",IF(AND(G1447&lt;=0,P1447&lt;&gt;"Ajuste",P1447&lt;&gt;"Resultado trading"),"⚠ El monto debe ser positivo","✓")))))))))))))))</f>
        <v/>
      </c>
      <c r="P1447" s="52">
        <f>IF(OR(B1447="",G1447=""),"",IF(C1447="","Gasto",C1447))</f>
        <v/>
      </c>
      <c r="Q1447" s="52">
        <f>IF(P1447="","",IF(J1447&lt;&gt;"",J1447,CuentaPred&amp;""))</f>
        <v/>
      </c>
      <c r="R1447" s="52">
        <f>IF(P1447="","",IF(ISNUMBER(I1447),I1447,TasaUSD))</f>
        <v/>
      </c>
      <c r="S1447" s="53">
        <f>IF(P1447="","",IF(H1447="USD",G1447*R1447,G1447))</f>
        <v/>
      </c>
      <c r="T1447" s="53">
        <f>IF(P1447="","",IF(H1447="USD",G1447,IF(R1447&gt;0,G1447/R1447,0)))</f>
        <v/>
      </c>
      <c r="U1447" s="53">
        <f>IF(P1447="","",IF(P1447="Gasto",S1447,IF(P1447="Reembolso",-S1447,0)))</f>
        <v/>
      </c>
      <c r="V1447" s="53">
        <f>IF(P1447="","",IF(P1447="Ingreso",S1447,0))</f>
        <v/>
      </c>
      <c r="W1447" s="53">
        <f>IF(P1447="","",IF(P1447="Resultado trading",S1447,0))</f>
        <v/>
      </c>
      <c r="X1447" s="52">
        <f>IF(OR(P1447="Gasto",P1447="Reembolso"),IF(M1447&lt;&gt;"",M1447,IFERROR(INDEX(catClasif,MATCH(D1447&amp;"|"&amp;E1447,catClave,0))&amp;"","Variable")),"")</f>
        <v/>
      </c>
      <c r="Y1447" s="52">
        <f>IF(P1447="","",IFERROR(INDEX(catGrupo,MATCH(D1447&amp;"|"&amp;E1447,catClave,0))&amp;"",""))</f>
        <v/>
      </c>
      <c r="Z1447" s="52">
        <f>IF(P1447="","",WEEKDAY(B1447,2))</f>
        <v/>
      </c>
      <c r="AA1447" s="52">
        <f>IF(P1447="","",IF(AND(P1447="Gasto",X1447="Variable",D1447&lt;&gt;catTrading,S1447&gt;0,S1447&lt;=Umbral),1,0))</f>
        <v/>
      </c>
      <c r="AB1447" s="52">
        <f>IF(OR(P1447="",Q1447=""),"",IFERROR(IF(INDEX(ctaVinc,MATCH(Q1447,ctaNombre,0))&amp;""&lt;&gt;"",INDEX(ctaVinc,MATCH(Q1447,ctaNombre,0))&amp;"",Q1447),Q1447))</f>
        <v/>
      </c>
      <c r="AC1447" s="52">
        <f>IF(OR(K1447="",AND(P1447&lt;&gt;"Transferencia",P1447&lt;&gt;"Pago tarjeta")),"",IFERROR(IF(INDEX(ctaVinc,MATCH(K1447,ctaNombre,0))&amp;""&lt;&gt;"",INDEX(ctaVinc,MATCH(K1447,ctaNombre,0))&amp;"",K1447),K1447))</f>
        <v/>
      </c>
      <c r="AD1447" s="52">
        <f>IF(AB1447="","",IFERROR(INDEX(ctaTipo,MATCH(AB1447,ctaNombre,0))&amp;"",""))</f>
        <v/>
      </c>
      <c r="AE1447" s="52">
        <f>IF(AC1447="","",IFERROR(INDEX(ctaTipo,MATCH(AC1447,ctaNombre,0))&amp;"",""))</f>
        <v/>
      </c>
      <c r="AF1447" s="53">
        <f>IF(OR(P1447="",AB1447=""),"",IF(OR(P1447="Gasto",P1447="Transferencia",P1447="Pago tarjeta"),-1,1)*IF(IFERROR(INDEX(ctaMoneda,MATCH(AB1447,ctaNombre,0))&amp;"","DOP")="USD",T1447,S1447))</f>
        <v/>
      </c>
      <c r="AG1447" s="53">
        <f>IF(AC1447="","",IF(IFERROR(INDEX(ctaMoneda,MATCH(AC1447,ctaNombre,0))&amp;"","DOP")="USD",T1447,S1447))</f>
        <v/>
      </c>
      <c r="AH1447" s="53">
        <f>IF(P1447="","",IF(AND(AD1447&lt;&gt;"",COUNTIFS(tcTipo,AD1447,tcLiq,"Sí")&gt;0),IF(OR(P1447="Gasto",P1447="Transferencia",P1447="Pago tarjeta"),-1,1)*S1447,0)+IF(AND(AE1447&lt;&gt;"",COUNTIFS(tcTipo,AE1447,tcLiq,"Sí")&gt;0),S1447,0))</f>
        <v/>
      </c>
      <c r="AI1447" s="52">
        <f>IF(OR(L1447="",P1447=""),"",IF(COUNTIFS(L$6:L1447,L1447,P$6:P1447,"?*")=1,MAX(AI$5:AI1446)+1,""))</f>
        <v/>
      </c>
    </row>
    <row r="1448">
      <c r="B1448" s="47" t="n"/>
      <c r="C1448" s="48" t="n"/>
      <c r="D1448" s="48" t="n"/>
      <c r="E1448" s="48" t="n"/>
      <c r="F1448" s="48" t="n"/>
      <c r="G1448" s="49" t="n"/>
      <c r="H1448" s="48" t="n"/>
      <c r="I1448" s="50" t="n"/>
      <c r="J1448" s="48" t="n"/>
      <c r="K1448" s="48" t="n"/>
      <c r="L1448" s="48" t="n"/>
      <c r="M1448" s="48" t="n"/>
      <c r="N1448" s="48" t="n"/>
      <c r="O1448" s="51">
        <f>IF(AND(B1448="",G1448="",C1448="",D1448="",J1448=""),"",IF(B1448="","⚠ Falta fecha",IF(G1448="","⚠ Falta monto",IF(Q1448="","⚠ Falta cuenta",IF(ISNA(MATCH(Q1448,ctaNombre,0)),"⚠ Cuenta no registrada",IF(AND(OR(P1448="Gasto",P1448="Reembolso"),D1448=""),"⚠ Falta categoría",IF(AND(D1448&lt;&gt;"",E1448&lt;&gt;"",ISNA(MATCH(D1448&amp;"|"&amp;E1448,catClave,0))),"⚠ Subcategoría no corresponde",IF(AND(OR(P1448="Transferencia",P1448="Pago tarjeta"),K1448=""),"⚠ Falta cuenta destino",IF(AND(K1448&lt;&gt;"",P1448&lt;&gt;"Transferencia",P1448&lt;&gt;"Pago tarjeta"),"⚠ Destino solo aplica a transferencias",IF(AND(K1448&lt;&gt;"",K1448=Q1448),"⚠ Origen igual a destino",IF(AND(K1448&lt;&gt;"",ISNA(MATCH(K1448,ctaNombre,0))),"⚠ Destino no registrado",IF(AND(P1448="Pago tarjeta",AE1448&lt;&gt;"Tarjeta de crédito"),"⚠ El destino debe ser tarjeta de crédito",IF(AND(P1448="Gasto",E1448="Depósitos y retiros"),"⚠ Usa tipo Transferencia",IF(AND(P1448="Resultado trading",AD1448&lt;&gt;"Cuenta de trading"),"⚠ Usa una cuenta de trading",IF(AND(G1448&lt;=0,P1448&lt;&gt;"Ajuste",P1448&lt;&gt;"Resultado trading"),"⚠ El monto debe ser positivo","✓")))))))))))))))</f>
        <v/>
      </c>
      <c r="P1448" s="52">
        <f>IF(OR(B1448="",G1448=""),"",IF(C1448="","Gasto",C1448))</f>
        <v/>
      </c>
      <c r="Q1448" s="52">
        <f>IF(P1448="","",IF(J1448&lt;&gt;"",J1448,CuentaPred&amp;""))</f>
        <v/>
      </c>
      <c r="R1448" s="52">
        <f>IF(P1448="","",IF(ISNUMBER(I1448),I1448,TasaUSD))</f>
        <v/>
      </c>
      <c r="S1448" s="53">
        <f>IF(P1448="","",IF(H1448="USD",G1448*R1448,G1448))</f>
        <v/>
      </c>
      <c r="T1448" s="53">
        <f>IF(P1448="","",IF(H1448="USD",G1448,IF(R1448&gt;0,G1448/R1448,0)))</f>
        <v/>
      </c>
      <c r="U1448" s="53">
        <f>IF(P1448="","",IF(P1448="Gasto",S1448,IF(P1448="Reembolso",-S1448,0)))</f>
        <v/>
      </c>
      <c r="V1448" s="53">
        <f>IF(P1448="","",IF(P1448="Ingreso",S1448,0))</f>
        <v/>
      </c>
      <c r="W1448" s="53">
        <f>IF(P1448="","",IF(P1448="Resultado trading",S1448,0))</f>
        <v/>
      </c>
      <c r="X1448" s="52">
        <f>IF(OR(P1448="Gasto",P1448="Reembolso"),IF(M1448&lt;&gt;"",M1448,IFERROR(INDEX(catClasif,MATCH(D1448&amp;"|"&amp;E1448,catClave,0))&amp;"","Variable")),"")</f>
        <v/>
      </c>
      <c r="Y1448" s="52">
        <f>IF(P1448="","",IFERROR(INDEX(catGrupo,MATCH(D1448&amp;"|"&amp;E1448,catClave,0))&amp;"",""))</f>
        <v/>
      </c>
      <c r="Z1448" s="52">
        <f>IF(P1448="","",WEEKDAY(B1448,2))</f>
        <v/>
      </c>
      <c r="AA1448" s="52">
        <f>IF(P1448="","",IF(AND(P1448="Gasto",X1448="Variable",D1448&lt;&gt;catTrading,S1448&gt;0,S1448&lt;=Umbral),1,0))</f>
        <v/>
      </c>
      <c r="AB1448" s="52">
        <f>IF(OR(P1448="",Q1448=""),"",IFERROR(IF(INDEX(ctaVinc,MATCH(Q1448,ctaNombre,0))&amp;""&lt;&gt;"",INDEX(ctaVinc,MATCH(Q1448,ctaNombre,0))&amp;"",Q1448),Q1448))</f>
        <v/>
      </c>
      <c r="AC1448" s="52">
        <f>IF(OR(K1448="",AND(P1448&lt;&gt;"Transferencia",P1448&lt;&gt;"Pago tarjeta")),"",IFERROR(IF(INDEX(ctaVinc,MATCH(K1448,ctaNombre,0))&amp;""&lt;&gt;"",INDEX(ctaVinc,MATCH(K1448,ctaNombre,0))&amp;"",K1448),K1448))</f>
        <v/>
      </c>
      <c r="AD1448" s="52">
        <f>IF(AB1448="","",IFERROR(INDEX(ctaTipo,MATCH(AB1448,ctaNombre,0))&amp;"",""))</f>
        <v/>
      </c>
      <c r="AE1448" s="52">
        <f>IF(AC1448="","",IFERROR(INDEX(ctaTipo,MATCH(AC1448,ctaNombre,0))&amp;"",""))</f>
        <v/>
      </c>
      <c r="AF1448" s="53">
        <f>IF(OR(P1448="",AB1448=""),"",IF(OR(P1448="Gasto",P1448="Transferencia",P1448="Pago tarjeta"),-1,1)*IF(IFERROR(INDEX(ctaMoneda,MATCH(AB1448,ctaNombre,0))&amp;"","DOP")="USD",T1448,S1448))</f>
        <v/>
      </c>
      <c r="AG1448" s="53">
        <f>IF(AC1448="","",IF(IFERROR(INDEX(ctaMoneda,MATCH(AC1448,ctaNombre,0))&amp;"","DOP")="USD",T1448,S1448))</f>
        <v/>
      </c>
      <c r="AH1448" s="53">
        <f>IF(P1448="","",IF(AND(AD1448&lt;&gt;"",COUNTIFS(tcTipo,AD1448,tcLiq,"Sí")&gt;0),IF(OR(P1448="Gasto",P1448="Transferencia",P1448="Pago tarjeta"),-1,1)*S1448,0)+IF(AND(AE1448&lt;&gt;"",COUNTIFS(tcTipo,AE1448,tcLiq,"Sí")&gt;0),S1448,0))</f>
        <v/>
      </c>
      <c r="AI1448" s="52">
        <f>IF(OR(L1448="",P1448=""),"",IF(COUNTIFS(L$6:L1448,L1448,P$6:P1448,"?*")=1,MAX(AI$5:AI1447)+1,""))</f>
        <v/>
      </c>
    </row>
    <row r="1449">
      <c r="B1449" s="47" t="n"/>
      <c r="C1449" s="48" t="n"/>
      <c r="D1449" s="48" t="n"/>
      <c r="E1449" s="48" t="n"/>
      <c r="F1449" s="48" t="n"/>
      <c r="G1449" s="49" t="n"/>
      <c r="H1449" s="48" t="n"/>
      <c r="I1449" s="50" t="n"/>
      <c r="J1449" s="48" t="n"/>
      <c r="K1449" s="48" t="n"/>
      <c r="L1449" s="48" t="n"/>
      <c r="M1449" s="48" t="n"/>
      <c r="N1449" s="48" t="n"/>
      <c r="O1449" s="51">
        <f>IF(AND(B1449="",G1449="",C1449="",D1449="",J1449=""),"",IF(B1449="","⚠ Falta fecha",IF(G1449="","⚠ Falta monto",IF(Q1449="","⚠ Falta cuenta",IF(ISNA(MATCH(Q1449,ctaNombre,0)),"⚠ Cuenta no registrada",IF(AND(OR(P1449="Gasto",P1449="Reembolso"),D1449=""),"⚠ Falta categoría",IF(AND(D1449&lt;&gt;"",E1449&lt;&gt;"",ISNA(MATCH(D1449&amp;"|"&amp;E1449,catClave,0))),"⚠ Subcategoría no corresponde",IF(AND(OR(P1449="Transferencia",P1449="Pago tarjeta"),K1449=""),"⚠ Falta cuenta destino",IF(AND(K1449&lt;&gt;"",P1449&lt;&gt;"Transferencia",P1449&lt;&gt;"Pago tarjeta"),"⚠ Destino solo aplica a transferencias",IF(AND(K1449&lt;&gt;"",K1449=Q1449),"⚠ Origen igual a destino",IF(AND(K1449&lt;&gt;"",ISNA(MATCH(K1449,ctaNombre,0))),"⚠ Destino no registrado",IF(AND(P1449="Pago tarjeta",AE1449&lt;&gt;"Tarjeta de crédito"),"⚠ El destino debe ser tarjeta de crédito",IF(AND(P1449="Gasto",E1449="Depósitos y retiros"),"⚠ Usa tipo Transferencia",IF(AND(P1449="Resultado trading",AD1449&lt;&gt;"Cuenta de trading"),"⚠ Usa una cuenta de trading",IF(AND(G1449&lt;=0,P1449&lt;&gt;"Ajuste",P1449&lt;&gt;"Resultado trading"),"⚠ El monto debe ser positivo","✓")))))))))))))))</f>
        <v/>
      </c>
      <c r="P1449" s="52">
        <f>IF(OR(B1449="",G1449=""),"",IF(C1449="","Gasto",C1449))</f>
        <v/>
      </c>
      <c r="Q1449" s="52">
        <f>IF(P1449="","",IF(J1449&lt;&gt;"",J1449,CuentaPred&amp;""))</f>
        <v/>
      </c>
      <c r="R1449" s="52">
        <f>IF(P1449="","",IF(ISNUMBER(I1449),I1449,TasaUSD))</f>
        <v/>
      </c>
      <c r="S1449" s="53">
        <f>IF(P1449="","",IF(H1449="USD",G1449*R1449,G1449))</f>
        <v/>
      </c>
      <c r="T1449" s="53">
        <f>IF(P1449="","",IF(H1449="USD",G1449,IF(R1449&gt;0,G1449/R1449,0)))</f>
        <v/>
      </c>
      <c r="U1449" s="53">
        <f>IF(P1449="","",IF(P1449="Gasto",S1449,IF(P1449="Reembolso",-S1449,0)))</f>
        <v/>
      </c>
      <c r="V1449" s="53">
        <f>IF(P1449="","",IF(P1449="Ingreso",S1449,0))</f>
        <v/>
      </c>
      <c r="W1449" s="53">
        <f>IF(P1449="","",IF(P1449="Resultado trading",S1449,0))</f>
        <v/>
      </c>
      <c r="X1449" s="52">
        <f>IF(OR(P1449="Gasto",P1449="Reembolso"),IF(M1449&lt;&gt;"",M1449,IFERROR(INDEX(catClasif,MATCH(D1449&amp;"|"&amp;E1449,catClave,0))&amp;"","Variable")),"")</f>
        <v/>
      </c>
      <c r="Y1449" s="52">
        <f>IF(P1449="","",IFERROR(INDEX(catGrupo,MATCH(D1449&amp;"|"&amp;E1449,catClave,0))&amp;"",""))</f>
        <v/>
      </c>
      <c r="Z1449" s="52">
        <f>IF(P1449="","",WEEKDAY(B1449,2))</f>
        <v/>
      </c>
      <c r="AA1449" s="52">
        <f>IF(P1449="","",IF(AND(P1449="Gasto",X1449="Variable",D1449&lt;&gt;catTrading,S1449&gt;0,S1449&lt;=Umbral),1,0))</f>
        <v/>
      </c>
      <c r="AB1449" s="52">
        <f>IF(OR(P1449="",Q1449=""),"",IFERROR(IF(INDEX(ctaVinc,MATCH(Q1449,ctaNombre,0))&amp;""&lt;&gt;"",INDEX(ctaVinc,MATCH(Q1449,ctaNombre,0))&amp;"",Q1449),Q1449))</f>
        <v/>
      </c>
      <c r="AC1449" s="52">
        <f>IF(OR(K1449="",AND(P1449&lt;&gt;"Transferencia",P1449&lt;&gt;"Pago tarjeta")),"",IFERROR(IF(INDEX(ctaVinc,MATCH(K1449,ctaNombre,0))&amp;""&lt;&gt;"",INDEX(ctaVinc,MATCH(K1449,ctaNombre,0))&amp;"",K1449),K1449))</f>
        <v/>
      </c>
      <c r="AD1449" s="52">
        <f>IF(AB1449="","",IFERROR(INDEX(ctaTipo,MATCH(AB1449,ctaNombre,0))&amp;"",""))</f>
        <v/>
      </c>
      <c r="AE1449" s="52">
        <f>IF(AC1449="","",IFERROR(INDEX(ctaTipo,MATCH(AC1449,ctaNombre,0))&amp;"",""))</f>
        <v/>
      </c>
      <c r="AF1449" s="53">
        <f>IF(OR(P1449="",AB1449=""),"",IF(OR(P1449="Gasto",P1449="Transferencia",P1449="Pago tarjeta"),-1,1)*IF(IFERROR(INDEX(ctaMoneda,MATCH(AB1449,ctaNombre,0))&amp;"","DOP")="USD",T1449,S1449))</f>
        <v/>
      </c>
      <c r="AG1449" s="53">
        <f>IF(AC1449="","",IF(IFERROR(INDEX(ctaMoneda,MATCH(AC1449,ctaNombre,0))&amp;"","DOP")="USD",T1449,S1449))</f>
        <v/>
      </c>
      <c r="AH1449" s="53">
        <f>IF(P1449="","",IF(AND(AD1449&lt;&gt;"",COUNTIFS(tcTipo,AD1449,tcLiq,"Sí")&gt;0),IF(OR(P1449="Gasto",P1449="Transferencia",P1449="Pago tarjeta"),-1,1)*S1449,0)+IF(AND(AE1449&lt;&gt;"",COUNTIFS(tcTipo,AE1449,tcLiq,"Sí")&gt;0),S1449,0))</f>
        <v/>
      </c>
      <c r="AI1449" s="52">
        <f>IF(OR(L1449="",P1449=""),"",IF(COUNTIFS(L$6:L1449,L1449,P$6:P1449,"?*")=1,MAX(AI$5:AI1448)+1,""))</f>
        <v/>
      </c>
    </row>
    <row r="1450">
      <c r="B1450" s="47" t="n"/>
      <c r="C1450" s="48" t="n"/>
      <c r="D1450" s="48" t="n"/>
      <c r="E1450" s="48" t="n"/>
      <c r="F1450" s="48" t="n"/>
      <c r="G1450" s="49" t="n"/>
      <c r="H1450" s="48" t="n"/>
      <c r="I1450" s="50" t="n"/>
      <c r="J1450" s="48" t="n"/>
      <c r="K1450" s="48" t="n"/>
      <c r="L1450" s="48" t="n"/>
      <c r="M1450" s="48" t="n"/>
      <c r="N1450" s="48" t="n"/>
      <c r="O1450" s="51">
        <f>IF(AND(B1450="",G1450="",C1450="",D1450="",J1450=""),"",IF(B1450="","⚠ Falta fecha",IF(G1450="","⚠ Falta monto",IF(Q1450="","⚠ Falta cuenta",IF(ISNA(MATCH(Q1450,ctaNombre,0)),"⚠ Cuenta no registrada",IF(AND(OR(P1450="Gasto",P1450="Reembolso"),D1450=""),"⚠ Falta categoría",IF(AND(D1450&lt;&gt;"",E1450&lt;&gt;"",ISNA(MATCH(D1450&amp;"|"&amp;E1450,catClave,0))),"⚠ Subcategoría no corresponde",IF(AND(OR(P1450="Transferencia",P1450="Pago tarjeta"),K1450=""),"⚠ Falta cuenta destino",IF(AND(K1450&lt;&gt;"",P1450&lt;&gt;"Transferencia",P1450&lt;&gt;"Pago tarjeta"),"⚠ Destino solo aplica a transferencias",IF(AND(K1450&lt;&gt;"",K1450=Q1450),"⚠ Origen igual a destino",IF(AND(K1450&lt;&gt;"",ISNA(MATCH(K1450,ctaNombre,0))),"⚠ Destino no registrado",IF(AND(P1450="Pago tarjeta",AE1450&lt;&gt;"Tarjeta de crédito"),"⚠ El destino debe ser tarjeta de crédito",IF(AND(P1450="Gasto",E1450="Depósitos y retiros"),"⚠ Usa tipo Transferencia",IF(AND(P1450="Resultado trading",AD1450&lt;&gt;"Cuenta de trading"),"⚠ Usa una cuenta de trading",IF(AND(G1450&lt;=0,P1450&lt;&gt;"Ajuste",P1450&lt;&gt;"Resultado trading"),"⚠ El monto debe ser positivo","✓")))))))))))))))</f>
        <v/>
      </c>
      <c r="P1450" s="52">
        <f>IF(OR(B1450="",G1450=""),"",IF(C1450="","Gasto",C1450))</f>
        <v/>
      </c>
      <c r="Q1450" s="52">
        <f>IF(P1450="","",IF(J1450&lt;&gt;"",J1450,CuentaPred&amp;""))</f>
        <v/>
      </c>
      <c r="R1450" s="52">
        <f>IF(P1450="","",IF(ISNUMBER(I1450),I1450,TasaUSD))</f>
        <v/>
      </c>
      <c r="S1450" s="53">
        <f>IF(P1450="","",IF(H1450="USD",G1450*R1450,G1450))</f>
        <v/>
      </c>
      <c r="T1450" s="53">
        <f>IF(P1450="","",IF(H1450="USD",G1450,IF(R1450&gt;0,G1450/R1450,0)))</f>
        <v/>
      </c>
      <c r="U1450" s="53">
        <f>IF(P1450="","",IF(P1450="Gasto",S1450,IF(P1450="Reembolso",-S1450,0)))</f>
        <v/>
      </c>
      <c r="V1450" s="53">
        <f>IF(P1450="","",IF(P1450="Ingreso",S1450,0))</f>
        <v/>
      </c>
      <c r="W1450" s="53">
        <f>IF(P1450="","",IF(P1450="Resultado trading",S1450,0))</f>
        <v/>
      </c>
      <c r="X1450" s="52">
        <f>IF(OR(P1450="Gasto",P1450="Reembolso"),IF(M1450&lt;&gt;"",M1450,IFERROR(INDEX(catClasif,MATCH(D1450&amp;"|"&amp;E1450,catClave,0))&amp;"","Variable")),"")</f>
        <v/>
      </c>
      <c r="Y1450" s="52">
        <f>IF(P1450="","",IFERROR(INDEX(catGrupo,MATCH(D1450&amp;"|"&amp;E1450,catClave,0))&amp;"",""))</f>
        <v/>
      </c>
      <c r="Z1450" s="52">
        <f>IF(P1450="","",WEEKDAY(B1450,2))</f>
        <v/>
      </c>
      <c r="AA1450" s="52">
        <f>IF(P1450="","",IF(AND(P1450="Gasto",X1450="Variable",D1450&lt;&gt;catTrading,S1450&gt;0,S1450&lt;=Umbral),1,0))</f>
        <v/>
      </c>
      <c r="AB1450" s="52">
        <f>IF(OR(P1450="",Q1450=""),"",IFERROR(IF(INDEX(ctaVinc,MATCH(Q1450,ctaNombre,0))&amp;""&lt;&gt;"",INDEX(ctaVinc,MATCH(Q1450,ctaNombre,0))&amp;"",Q1450),Q1450))</f>
        <v/>
      </c>
      <c r="AC1450" s="52">
        <f>IF(OR(K1450="",AND(P1450&lt;&gt;"Transferencia",P1450&lt;&gt;"Pago tarjeta")),"",IFERROR(IF(INDEX(ctaVinc,MATCH(K1450,ctaNombre,0))&amp;""&lt;&gt;"",INDEX(ctaVinc,MATCH(K1450,ctaNombre,0))&amp;"",K1450),K1450))</f>
        <v/>
      </c>
      <c r="AD1450" s="52">
        <f>IF(AB1450="","",IFERROR(INDEX(ctaTipo,MATCH(AB1450,ctaNombre,0))&amp;"",""))</f>
        <v/>
      </c>
      <c r="AE1450" s="52">
        <f>IF(AC1450="","",IFERROR(INDEX(ctaTipo,MATCH(AC1450,ctaNombre,0))&amp;"",""))</f>
        <v/>
      </c>
      <c r="AF1450" s="53">
        <f>IF(OR(P1450="",AB1450=""),"",IF(OR(P1450="Gasto",P1450="Transferencia",P1450="Pago tarjeta"),-1,1)*IF(IFERROR(INDEX(ctaMoneda,MATCH(AB1450,ctaNombre,0))&amp;"","DOP")="USD",T1450,S1450))</f>
        <v/>
      </c>
      <c r="AG1450" s="53">
        <f>IF(AC1450="","",IF(IFERROR(INDEX(ctaMoneda,MATCH(AC1450,ctaNombre,0))&amp;"","DOP")="USD",T1450,S1450))</f>
        <v/>
      </c>
      <c r="AH1450" s="53">
        <f>IF(P1450="","",IF(AND(AD1450&lt;&gt;"",COUNTIFS(tcTipo,AD1450,tcLiq,"Sí")&gt;0),IF(OR(P1450="Gasto",P1450="Transferencia",P1450="Pago tarjeta"),-1,1)*S1450,0)+IF(AND(AE1450&lt;&gt;"",COUNTIFS(tcTipo,AE1450,tcLiq,"Sí")&gt;0),S1450,0))</f>
        <v/>
      </c>
      <c r="AI1450" s="52">
        <f>IF(OR(L1450="",P1450=""),"",IF(COUNTIFS(L$6:L1450,L1450,P$6:P1450,"?*")=1,MAX(AI$5:AI1449)+1,""))</f>
        <v/>
      </c>
    </row>
    <row r="1451">
      <c r="B1451" s="47" t="n"/>
      <c r="C1451" s="48" t="n"/>
      <c r="D1451" s="48" t="n"/>
      <c r="E1451" s="48" t="n"/>
      <c r="F1451" s="48" t="n"/>
      <c r="G1451" s="49" t="n"/>
      <c r="H1451" s="48" t="n"/>
      <c r="I1451" s="50" t="n"/>
      <c r="J1451" s="48" t="n"/>
      <c r="K1451" s="48" t="n"/>
      <c r="L1451" s="48" t="n"/>
      <c r="M1451" s="48" t="n"/>
      <c r="N1451" s="48" t="n"/>
      <c r="O1451" s="51">
        <f>IF(AND(B1451="",G1451="",C1451="",D1451="",J1451=""),"",IF(B1451="","⚠ Falta fecha",IF(G1451="","⚠ Falta monto",IF(Q1451="","⚠ Falta cuenta",IF(ISNA(MATCH(Q1451,ctaNombre,0)),"⚠ Cuenta no registrada",IF(AND(OR(P1451="Gasto",P1451="Reembolso"),D1451=""),"⚠ Falta categoría",IF(AND(D1451&lt;&gt;"",E1451&lt;&gt;"",ISNA(MATCH(D1451&amp;"|"&amp;E1451,catClave,0))),"⚠ Subcategoría no corresponde",IF(AND(OR(P1451="Transferencia",P1451="Pago tarjeta"),K1451=""),"⚠ Falta cuenta destino",IF(AND(K1451&lt;&gt;"",P1451&lt;&gt;"Transferencia",P1451&lt;&gt;"Pago tarjeta"),"⚠ Destino solo aplica a transferencias",IF(AND(K1451&lt;&gt;"",K1451=Q1451),"⚠ Origen igual a destino",IF(AND(K1451&lt;&gt;"",ISNA(MATCH(K1451,ctaNombre,0))),"⚠ Destino no registrado",IF(AND(P1451="Pago tarjeta",AE1451&lt;&gt;"Tarjeta de crédito"),"⚠ El destino debe ser tarjeta de crédito",IF(AND(P1451="Gasto",E1451="Depósitos y retiros"),"⚠ Usa tipo Transferencia",IF(AND(P1451="Resultado trading",AD1451&lt;&gt;"Cuenta de trading"),"⚠ Usa una cuenta de trading",IF(AND(G1451&lt;=0,P1451&lt;&gt;"Ajuste",P1451&lt;&gt;"Resultado trading"),"⚠ El monto debe ser positivo","✓")))))))))))))))</f>
        <v/>
      </c>
      <c r="P1451" s="52">
        <f>IF(OR(B1451="",G1451=""),"",IF(C1451="","Gasto",C1451))</f>
        <v/>
      </c>
      <c r="Q1451" s="52">
        <f>IF(P1451="","",IF(J1451&lt;&gt;"",J1451,CuentaPred&amp;""))</f>
        <v/>
      </c>
      <c r="R1451" s="52">
        <f>IF(P1451="","",IF(ISNUMBER(I1451),I1451,TasaUSD))</f>
        <v/>
      </c>
      <c r="S1451" s="53">
        <f>IF(P1451="","",IF(H1451="USD",G1451*R1451,G1451))</f>
        <v/>
      </c>
      <c r="T1451" s="53">
        <f>IF(P1451="","",IF(H1451="USD",G1451,IF(R1451&gt;0,G1451/R1451,0)))</f>
        <v/>
      </c>
      <c r="U1451" s="53">
        <f>IF(P1451="","",IF(P1451="Gasto",S1451,IF(P1451="Reembolso",-S1451,0)))</f>
        <v/>
      </c>
      <c r="V1451" s="53">
        <f>IF(P1451="","",IF(P1451="Ingreso",S1451,0))</f>
        <v/>
      </c>
      <c r="W1451" s="53">
        <f>IF(P1451="","",IF(P1451="Resultado trading",S1451,0))</f>
        <v/>
      </c>
      <c r="X1451" s="52">
        <f>IF(OR(P1451="Gasto",P1451="Reembolso"),IF(M1451&lt;&gt;"",M1451,IFERROR(INDEX(catClasif,MATCH(D1451&amp;"|"&amp;E1451,catClave,0))&amp;"","Variable")),"")</f>
        <v/>
      </c>
      <c r="Y1451" s="52">
        <f>IF(P1451="","",IFERROR(INDEX(catGrupo,MATCH(D1451&amp;"|"&amp;E1451,catClave,0))&amp;"",""))</f>
        <v/>
      </c>
      <c r="Z1451" s="52">
        <f>IF(P1451="","",WEEKDAY(B1451,2))</f>
        <v/>
      </c>
      <c r="AA1451" s="52">
        <f>IF(P1451="","",IF(AND(P1451="Gasto",X1451="Variable",D1451&lt;&gt;catTrading,S1451&gt;0,S1451&lt;=Umbral),1,0))</f>
        <v/>
      </c>
      <c r="AB1451" s="52">
        <f>IF(OR(P1451="",Q1451=""),"",IFERROR(IF(INDEX(ctaVinc,MATCH(Q1451,ctaNombre,0))&amp;""&lt;&gt;"",INDEX(ctaVinc,MATCH(Q1451,ctaNombre,0))&amp;"",Q1451),Q1451))</f>
        <v/>
      </c>
      <c r="AC1451" s="52">
        <f>IF(OR(K1451="",AND(P1451&lt;&gt;"Transferencia",P1451&lt;&gt;"Pago tarjeta")),"",IFERROR(IF(INDEX(ctaVinc,MATCH(K1451,ctaNombre,0))&amp;""&lt;&gt;"",INDEX(ctaVinc,MATCH(K1451,ctaNombre,0))&amp;"",K1451),K1451))</f>
        <v/>
      </c>
      <c r="AD1451" s="52">
        <f>IF(AB1451="","",IFERROR(INDEX(ctaTipo,MATCH(AB1451,ctaNombre,0))&amp;"",""))</f>
        <v/>
      </c>
      <c r="AE1451" s="52">
        <f>IF(AC1451="","",IFERROR(INDEX(ctaTipo,MATCH(AC1451,ctaNombre,0))&amp;"",""))</f>
        <v/>
      </c>
      <c r="AF1451" s="53">
        <f>IF(OR(P1451="",AB1451=""),"",IF(OR(P1451="Gasto",P1451="Transferencia",P1451="Pago tarjeta"),-1,1)*IF(IFERROR(INDEX(ctaMoneda,MATCH(AB1451,ctaNombre,0))&amp;"","DOP")="USD",T1451,S1451))</f>
        <v/>
      </c>
      <c r="AG1451" s="53">
        <f>IF(AC1451="","",IF(IFERROR(INDEX(ctaMoneda,MATCH(AC1451,ctaNombre,0))&amp;"","DOP")="USD",T1451,S1451))</f>
        <v/>
      </c>
      <c r="AH1451" s="53">
        <f>IF(P1451="","",IF(AND(AD1451&lt;&gt;"",COUNTIFS(tcTipo,AD1451,tcLiq,"Sí")&gt;0),IF(OR(P1451="Gasto",P1451="Transferencia",P1451="Pago tarjeta"),-1,1)*S1451,0)+IF(AND(AE1451&lt;&gt;"",COUNTIFS(tcTipo,AE1451,tcLiq,"Sí")&gt;0),S1451,0))</f>
        <v/>
      </c>
      <c r="AI1451" s="52">
        <f>IF(OR(L1451="",P1451=""),"",IF(COUNTIFS(L$6:L1451,L1451,P$6:P1451,"?*")=1,MAX(AI$5:AI1450)+1,""))</f>
        <v/>
      </c>
    </row>
    <row r="1452">
      <c r="B1452" s="47" t="n"/>
      <c r="C1452" s="48" t="n"/>
      <c r="D1452" s="48" t="n"/>
      <c r="E1452" s="48" t="n"/>
      <c r="F1452" s="48" t="n"/>
      <c r="G1452" s="49" t="n"/>
      <c r="H1452" s="48" t="n"/>
      <c r="I1452" s="50" t="n"/>
      <c r="J1452" s="48" t="n"/>
      <c r="K1452" s="48" t="n"/>
      <c r="L1452" s="48" t="n"/>
      <c r="M1452" s="48" t="n"/>
      <c r="N1452" s="48" t="n"/>
      <c r="O1452" s="51">
        <f>IF(AND(B1452="",G1452="",C1452="",D1452="",J1452=""),"",IF(B1452="","⚠ Falta fecha",IF(G1452="","⚠ Falta monto",IF(Q1452="","⚠ Falta cuenta",IF(ISNA(MATCH(Q1452,ctaNombre,0)),"⚠ Cuenta no registrada",IF(AND(OR(P1452="Gasto",P1452="Reembolso"),D1452=""),"⚠ Falta categoría",IF(AND(D1452&lt;&gt;"",E1452&lt;&gt;"",ISNA(MATCH(D1452&amp;"|"&amp;E1452,catClave,0))),"⚠ Subcategoría no corresponde",IF(AND(OR(P1452="Transferencia",P1452="Pago tarjeta"),K1452=""),"⚠ Falta cuenta destino",IF(AND(K1452&lt;&gt;"",P1452&lt;&gt;"Transferencia",P1452&lt;&gt;"Pago tarjeta"),"⚠ Destino solo aplica a transferencias",IF(AND(K1452&lt;&gt;"",K1452=Q1452),"⚠ Origen igual a destino",IF(AND(K1452&lt;&gt;"",ISNA(MATCH(K1452,ctaNombre,0))),"⚠ Destino no registrado",IF(AND(P1452="Pago tarjeta",AE1452&lt;&gt;"Tarjeta de crédito"),"⚠ El destino debe ser tarjeta de crédito",IF(AND(P1452="Gasto",E1452="Depósitos y retiros"),"⚠ Usa tipo Transferencia",IF(AND(P1452="Resultado trading",AD1452&lt;&gt;"Cuenta de trading"),"⚠ Usa una cuenta de trading",IF(AND(G1452&lt;=0,P1452&lt;&gt;"Ajuste",P1452&lt;&gt;"Resultado trading"),"⚠ El monto debe ser positivo","✓")))))))))))))))</f>
        <v/>
      </c>
      <c r="P1452" s="52">
        <f>IF(OR(B1452="",G1452=""),"",IF(C1452="","Gasto",C1452))</f>
        <v/>
      </c>
      <c r="Q1452" s="52">
        <f>IF(P1452="","",IF(J1452&lt;&gt;"",J1452,CuentaPred&amp;""))</f>
        <v/>
      </c>
      <c r="R1452" s="52">
        <f>IF(P1452="","",IF(ISNUMBER(I1452),I1452,TasaUSD))</f>
        <v/>
      </c>
      <c r="S1452" s="53">
        <f>IF(P1452="","",IF(H1452="USD",G1452*R1452,G1452))</f>
        <v/>
      </c>
      <c r="T1452" s="53">
        <f>IF(P1452="","",IF(H1452="USD",G1452,IF(R1452&gt;0,G1452/R1452,0)))</f>
        <v/>
      </c>
      <c r="U1452" s="53">
        <f>IF(P1452="","",IF(P1452="Gasto",S1452,IF(P1452="Reembolso",-S1452,0)))</f>
        <v/>
      </c>
      <c r="V1452" s="53">
        <f>IF(P1452="","",IF(P1452="Ingreso",S1452,0))</f>
        <v/>
      </c>
      <c r="W1452" s="53">
        <f>IF(P1452="","",IF(P1452="Resultado trading",S1452,0))</f>
        <v/>
      </c>
      <c r="X1452" s="52">
        <f>IF(OR(P1452="Gasto",P1452="Reembolso"),IF(M1452&lt;&gt;"",M1452,IFERROR(INDEX(catClasif,MATCH(D1452&amp;"|"&amp;E1452,catClave,0))&amp;"","Variable")),"")</f>
        <v/>
      </c>
      <c r="Y1452" s="52">
        <f>IF(P1452="","",IFERROR(INDEX(catGrupo,MATCH(D1452&amp;"|"&amp;E1452,catClave,0))&amp;"",""))</f>
        <v/>
      </c>
      <c r="Z1452" s="52">
        <f>IF(P1452="","",WEEKDAY(B1452,2))</f>
        <v/>
      </c>
      <c r="AA1452" s="52">
        <f>IF(P1452="","",IF(AND(P1452="Gasto",X1452="Variable",D1452&lt;&gt;catTrading,S1452&gt;0,S1452&lt;=Umbral),1,0))</f>
        <v/>
      </c>
      <c r="AB1452" s="52">
        <f>IF(OR(P1452="",Q1452=""),"",IFERROR(IF(INDEX(ctaVinc,MATCH(Q1452,ctaNombre,0))&amp;""&lt;&gt;"",INDEX(ctaVinc,MATCH(Q1452,ctaNombre,0))&amp;"",Q1452),Q1452))</f>
        <v/>
      </c>
      <c r="AC1452" s="52">
        <f>IF(OR(K1452="",AND(P1452&lt;&gt;"Transferencia",P1452&lt;&gt;"Pago tarjeta")),"",IFERROR(IF(INDEX(ctaVinc,MATCH(K1452,ctaNombre,0))&amp;""&lt;&gt;"",INDEX(ctaVinc,MATCH(K1452,ctaNombre,0))&amp;"",K1452),K1452))</f>
        <v/>
      </c>
      <c r="AD1452" s="52">
        <f>IF(AB1452="","",IFERROR(INDEX(ctaTipo,MATCH(AB1452,ctaNombre,0))&amp;"",""))</f>
        <v/>
      </c>
      <c r="AE1452" s="52">
        <f>IF(AC1452="","",IFERROR(INDEX(ctaTipo,MATCH(AC1452,ctaNombre,0))&amp;"",""))</f>
        <v/>
      </c>
      <c r="AF1452" s="53">
        <f>IF(OR(P1452="",AB1452=""),"",IF(OR(P1452="Gasto",P1452="Transferencia",P1452="Pago tarjeta"),-1,1)*IF(IFERROR(INDEX(ctaMoneda,MATCH(AB1452,ctaNombre,0))&amp;"","DOP")="USD",T1452,S1452))</f>
        <v/>
      </c>
      <c r="AG1452" s="53">
        <f>IF(AC1452="","",IF(IFERROR(INDEX(ctaMoneda,MATCH(AC1452,ctaNombre,0))&amp;"","DOP")="USD",T1452,S1452))</f>
        <v/>
      </c>
      <c r="AH1452" s="53">
        <f>IF(P1452="","",IF(AND(AD1452&lt;&gt;"",COUNTIFS(tcTipo,AD1452,tcLiq,"Sí")&gt;0),IF(OR(P1452="Gasto",P1452="Transferencia",P1452="Pago tarjeta"),-1,1)*S1452,0)+IF(AND(AE1452&lt;&gt;"",COUNTIFS(tcTipo,AE1452,tcLiq,"Sí")&gt;0),S1452,0))</f>
        <v/>
      </c>
      <c r="AI1452" s="52">
        <f>IF(OR(L1452="",P1452=""),"",IF(COUNTIFS(L$6:L1452,L1452,P$6:P1452,"?*")=1,MAX(AI$5:AI1451)+1,""))</f>
        <v/>
      </c>
    </row>
    <row r="1453">
      <c r="B1453" s="47" t="n"/>
      <c r="C1453" s="48" t="n"/>
      <c r="D1453" s="48" t="n"/>
      <c r="E1453" s="48" t="n"/>
      <c r="F1453" s="48" t="n"/>
      <c r="G1453" s="49" t="n"/>
      <c r="H1453" s="48" t="n"/>
      <c r="I1453" s="50" t="n"/>
      <c r="J1453" s="48" t="n"/>
      <c r="K1453" s="48" t="n"/>
      <c r="L1453" s="48" t="n"/>
      <c r="M1453" s="48" t="n"/>
      <c r="N1453" s="48" t="n"/>
      <c r="O1453" s="51">
        <f>IF(AND(B1453="",G1453="",C1453="",D1453="",J1453=""),"",IF(B1453="","⚠ Falta fecha",IF(G1453="","⚠ Falta monto",IF(Q1453="","⚠ Falta cuenta",IF(ISNA(MATCH(Q1453,ctaNombre,0)),"⚠ Cuenta no registrada",IF(AND(OR(P1453="Gasto",P1453="Reembolso"),D1453=""),"⚠ Falta categoría",IF(AND(D1453&lt;&gt;"",E1453&lt;&gt;"",ISNA(MATCH(D1453&amp;"|"&amp;E1453,catClave,0))),"⚠ Subcategoría no corresponde",IF(AND(OR(P1453="Transferencia",P1453="Pago tarjeta"),K1453=""),"⚠ Falta cuenta destino",IF(AND(K1453&lt;&gt;"",P1453&lt;&gt;"Transferencia",P1453&lt;&gt;"Pago tarjeta"),"⚠ Destino solo aplica a transferencias",IF(AND(K1453&lt;&gt;"",K1453=Q1453),"⚠ Origen igual a destino",IF(AND(K1453&lt;&gt;"",ISNA(MATCH(K1453,ctaNombre,0))),"⚠ Destino no registrado",IF(AND(P1453="Pago tarjeta",AE1453&lt;&gt;"Tarjeta de crédito"),"⚠ El destino debe ser tarjeta de crédito",IF(AND(P1453="Gasto",E1453="Depósitos y retiros"),"⚠ Usa tipo Transferencia",IF(AND(P1453="Resultado trading",AD1453&lt;&gt;"Cuenta de trading"),"⚠ Usa una cuenta de trading",IF(AND(G1453&lt;=0,P1453&lt;&gt;"Ajuste",P1453&lt;&gt;"Resultado trading"),"⚠ El monto debe ser positivo","✓")))))))))))))))</f>
        <v/>
      </c>
      <c r="P1453" s="52">
        <f>IF(OR(B1453="",G1453=""),"",IF(C1453="","Gasto",C1453))</f>
        <v/>
      </c>
      <c r="Q1453" s="52">
        <f>IF(P1453="","",IF(J1453&lt;&gt;"",J1453,CuentaPred&amp;""))</f>
        <v/>
      </c>
      <c r="R1453" s="52">
        <f>IF(P1453="","",IF(ISNUMBER(I1453),I1453,TasaUSD))</f>
        <v/>
      </c>
      <c r="S1453" s="53">
        <f>IF(P1453="","",IF(H1453="USD",G1453*R1453,G1453))</f>
        <v/>
      </c>
      <c r="T1453" s="53">
        <f>IF(P1453="","",IF(H1453="USD",G1453,IF(R1453&gt;0,G1453/R1453,0)))</f>
        <v/>
      </c>
      <c r="U1453" s="53">
        <f>IF(P1453="","",IF(P1453="Gasto",S1453,IF(P1453="Reembolso",-S1453,0)))</f>
        <v/>
      </c>
      <c r="V1453" s="53">
        <f>IF(P1453="","",IF(P1453="Ingreso",S1453,0))</f>
        <v/>
      </c>
      <c r="W1453" s="53">
        <f>IF(P1453="","",IF(P1453="Resultado trading",S1453,0))</f>
        <v/>
      </c>
      <c r="X1453" s="52">
        <f>IF(OR(P1453="Gasto",P1453="Reembolso"),IF(M1453&lt;&gt;"",M1453,IFERROR(INDEX(catClasif,MATCH(D1453&amp;"|"&amp;E1453,catClave,0))&amp;"","Variable")),"")</f>
        <v/>
      </c>
      <c r="Y1453" s="52">
        <f>IF(P1453="","",IFERROR(INDEX(catGrupo,MATCH(D1453&amp;"|"&amp;E1453,catClave,0))&amp;"",""))</f>
        <v/>
      </c>
      <c r="Z1453" s="52">
        <f>IF(P1453="","",WEEKDAY(B1453,2))</f>
        <v/>
      </c>
      <c r="AA1453" s="52">
        <f>IF(P1453="","",IF(AND(P1453="Gasto",X1453="Variable",D1453&lt;&gt;catTrading,S1453&gt;0,S1453&lt;=Umbral),1,0))</f>
        <v/>
      </c>
      <c r="AB1453" s="52">
        <f>IF(OR(P1453="",Q1453=""),"",IFERROR(IF(INDEX(ctaVinc,MATCH(Q1453,ctaNombre,0))&amp;""&lt;&gt;"",INDEX(ctaVinc,MATCH(Q1453,ctaNombre,0))&amp;"",Q1453),Q1453))</f>
        <v/>
      </c>
      <c r="AC1453" s="52">
        <f>IF(OR(K1453="",AND(P1453&lt;&gt;"Transferencia",P1453&lt;&gt;"Pago tarjeta")),"",IFERROR(IF(INDEX(ctaVinc,MATCH(K1453,ctaNombre,0))&amp;""&lt;&gt;"",INDEX(ctaVinc,MATCH(K1453,ctaNombre,0))&amp;"",K1453),K1453))</f>
        <v/>
      </c>
      <c r="AD1453" s="52">
        <f>IF(AB1453="","",IFERROR(INDEX(ctaTipo,MATCH(AB1453,ctaNombre,0))&amp;"",""))</f>
        <v/>
      </c>
      <c r="AE1453" s="52">
        <f>IF(AC1453="","",IFERROR(INDEX(ctaTipo,MATCH(AC1453,ctaNombre,0))&amp;"",""))</f>
        <v/>
      </c>
      <c r="AF1453" s="53">
        <f>IF(OR(P1453="",AB1453=""),"",IF(OR(P1453="Gasto",P1453="Transferencia",P1453="Pago tarjeta"),-1,1)*IF(IFERROR(INDEX(ctaMoneda,MATCH(AB1453,ctaNombre,0))&amp;"","DOP")="USD",T1453,S1453))</f>
        <v/>
      </c>
      <c r="AG1453" s="53">
        <f>IF(AC1453="","",IF(IFERROR(INDEX(ctaMoneda,MATCH(AC1453,ctaNombre,0))&amp;"","DOP")="USD",T1453,S1453))</f>
        <v/>
      </c>
      <c r="AH1453" s="53">
        <f>IF(P1453="","",IF(AND(AD1453&lt;&gt;"",COUNTIFS(tcTipo,AD1453,tcLiq,"Sí")&gt;0),IF(OR(P1453="Gasto",P1453="Transferencia",P1453="Pago tarjeta"),-1,1)*S1453,0)+IF(AND(AE1453&lt;&gt;"",COUNTIFS(tcTipo,AE1453,tcLiq,"Sí")&gt;0),S1453,0))</f>
        <v/>
      </c>
      <c r="AI1453" s="52">
        <f>IF(OR(L1453="",P1453=""),"",IF(COUNTIFS(L$6:L1453,L1453,P$6:P1453,"?*")=1,MAX(AI$5:AI1452)+1,""))</f>
        <v/>
      </c>
    </row>
    <row r="1454">
      <c r="B1454" s="47" t="n"/>
      <c r="C1454" s="48" t="n"/>
      <c r="D1454" s="48" t="n"/>
      <c r="E1454" s="48" t="n"/>
      <c r="F1454" s="48" t="n"/>
      <c r="G1454" s="49" t="n"/>
      <c r="H1454" s="48" t="n"/>
      <c r="I1454" s="50" t="n"/>
      <c r="J1454" s="48" t="n"/>
      <c r="K1454" s="48" t="n"/>
      <c r="L1454" s="48" t="n"/>
      <c r="M1454" s="48" t="n"/>
      <c r="N1454" s="48" t="n"/>
      <c r="O1454" s="51">
        <f>IF(AND(B1454="",G1454="",C1454="",D1454="",J1454=""),"",IF(B1454="","⚠ Falta fecha",IF(G1454="","⚠ Falta monto",IF(Q1454="","⚠ Falta cuenta",IF(ISNA(MATCH(Q1454,ctaNombre,0)),"⚠ Cuenta no registrada",IF(AND(OR(P1454="Gasto",P1454="Reembolso"),D1454=""),"⚠ Falta categoría",IF(AND(D1454&lt;&gt;"",E1454&lt;&gt;"",ISNA(MATCH(D1454&amp;"|"&amp;E1454,catClave,0))),"⚠ Subcategoría no corresponde",IF(AND(OR(P1454="Transferencia",P1454="Pago tarjeta"),K1454=""),"⚠ Falta cuenta destino",IF(AND(K1454&lt;&gt;"",P1454&lt;&gt;"Transferencia",P1454&lt;&gt;"Pago tarjeta"),"⚠ Destino solo aplica a transferencias",IF(AND(K1454&lt;&gt;"",K1454=Q1454),"⚠ Origen igual a destino",IF(AND(K1454&lt;&gt;"",ISNA(MATCH(K1454,ctaNombre,0))),"⚠ Destino no registrado",IF(AND(P1454="Pago tarjeta",AE1454&lt;&gt;"Tarjeta de crédito"),"⚠ El destino debe ser tarjeta de crédito",IF(AND(P1454="Gasto",E1454="Depósitos y retiros"),"⚠ Usa tipo Transferencia",IF(AND(P1454="Resultado trading",AD1454&lt;&gt;"Cuenta de trading"),"⚠ Usa una cuenta de trading",IF(AND(G1454&lt;=0,P1454&lt;&gt;"Ajuste",P1454&lt;&gt;"Resultado trading"),"⚠ El monto debe ser positivo","✓")))))))))))))))</f>
        <v/>
      </c>
      <c r="P1454" s="52">
        <f>IF(OR(B1454="",G1454=""),"",IF(C1454="","Gasto",C1454))</f>
        <v/>
      </c>
      <c r="Q1454" s="52">
        <f>IF(P1454="","",IF(J1454&lt;&gt;"",J1454,CuentaPred&amp;""))</f>
        <v/>
      </c>
      <c r="R1454" s="52">
        <f>IF(P1454="","",IF(ISNUMBER(I1454),I1454,TasaUSD))</f>
        <v/>
      </c>
      <c r="S1454" s="53">
        <f>IF(P1454="","",IF(H1454="USD",G1454*R1454,G1454))</f>
        <v/>
      </c>
      <c r="T1454" s="53">
        <f>IF(P1454="","",IF(H1454="USD",G1454,IF(R1454&gt;0,G1454/R1454,0)))</f>
        <v/>
      </c>
      <c r="U1454" s="53">
        <f>IF(P1454="","",IF(P1454="Gasto",S1454,IF(P1454="Reembolso",-S1454,0)))</f>
        <v/>
      </c>
      <c r="V1454" s="53">
        <f>IF(P1454="","",IF(P1454="Ingreso",S1454,0))</f>
        <v/>
      </c>
      <c r="W1454" s="53">
        <f>IF(P1454="","",IF(P1454="Resultado trading",S1454,0))</f>
        <v/>
      </c>
      <c r="X1454" s="52">
        <f>IF(OR(P1454="Gasto",P1454="Reembolso"),IF(M1454&lt;&gt;"",M1454,IFERROR(INDEX(catClasif,MATCH(D1454&amp;"|"&amp;E1454,catClave,0))&amp;"","Variable")),"")</f>
        <v/>
      </c>
      <c r="Y1454" s="52">
        <f>IF(P1454="","",IFERROR(INDEX(catGrupo,MATCH(D1454&amp;"|"&amp;E1454,catClave,0))&amp;"",""))</f>
        <v/>
      </c>
      <c r="Z1454" s="52">
        <f>IF(P1454="","",WEEKDAY(B1454,2))</f>
        <v/>
      </c>
      <c r="AA1454" s="52">
        <f>IF(P1454="","",IF(AND(P1454="Gasto",X1454="Variable",D1454&lt;&gt;catTrading,S1454&gt;0,S1454&lt;=Umbral),1,0))</f>
        <v/>
      </c>
      <c r="AB1454" s="52">
        <f>IF(OR(P1454="",Q1454=""),"",IFERROR(IF(INDEX(ctaVinc,MATCH(Q1454,ctaNombre,0))&amp;""&lt;&gt;"",INDEX(ctaVinc,MATCH(Q1454,ctaNombre,0))&amp;"",Q1454),Q1454))</f>
        <v/>
      </c>
      <c r="AC1454" s="52">
        <f>IF(OR(K1454="",AND(P1454&lt;&gt;"Transferencia",P1454&lt;&gt;"Pago tarjeta")),"",IFERROR(IF(INDEX(ctaVinc,MATCH(K1454,ctaNombre,0))&amp;""&lt;&gt;"",INDEX(ctaVinc,MATCH(K1454,ctaNombre,0))&amp;"",K1454),K1454))</f>
        <v/>
      </c>
      <c r="AD1454" s="52">
        <f>IF(AB1454="","",IFERROR(INDEX(ctaTipo,MATCH(AB1454,ctaNombre,0))&amp;"",""))</f>
        <v/>
      </c>
      <c r="AE1454" s="52">
        <f>IF(AC1454="","",IFERROR(INDEX(ctaTipo,MATCH(AC1454,ctaNombre,0))&amp;"",""))</f>
        <v/>
      </c>
      <c r="AF1454" s="53">
        <f>IF(OR(P1454="",AB1454=""),"",IF(OR(P1454="Gasto",P1454="Transferencia",P1454="Pago tarjeta"),-1,1)*IF(IFERROR(INDEX(ctaMoneda,MATCH(AB1454,ctaNombre,0))&amp;"","DOP")="USD",T1454,S1454))</f>
        <v/>
      </c>
      <c r="AG1454" s="53">
        <f>IF(AC1454="","",IF(IFERROR(INDEX(ctaMoneda,MATCH(AC1454,ctaNombre,0))&amp;"","DOP")="USD",T1454,S1454))</f>
        <v/>
      </c>
      <c r="AH1454" s="53">
        <f>IF(P1454="","",IF(AND(AD1454&lt;&gt;"",COUNTIFS(tcTipo,AD1454,tcLiq,"Sí")&gt;0),IF(OR(P1454="Gasto",P1454="Transferencia",P1454="Pago tarjeta"),-1,1)*S1454,0)+IF(AND(AE1454&lt;&gt;"",COUNTIFS(tcTipo,AE1454,tcLiq,"Sí")&gt;0),S1454,0))</f>
        <v/>
      </c>
      <c r="AI1454" s="52">
        <f>IF(OR(L1454="",P1454=""),"",IF(COUNTIFS(L$6:L1454,L1454,P$6:P1454,"?*")=1,MAX(AI$5:AI1453)+1,""))</f>
        <v/>
      </c>
    </row>
    <row r="1455">
      <c r="B1455" s="47" t="n"/>
      <c r="C1455" s="48" t="n"/>
      <c r="D1455" s="48" t="n"/>
      <c r="E1455" s="48" t="n"/>
      <c r="F1455" s="48" t="n"/>
      <c r="G1455" s="49" t="n"/>
      <c r="H1455" s="48" t="n"/>
      <c r="I1455" s="50" t="n"/>
      <c r="J1455" s="48" t="n"/>
      <c r="K1455" s="48" t="n"/>
      <c r="L1455" s="48" t="n"/>
      <c r="M1455" s="48" t="n"/>
      <c r="N1455" s="48" t="n"/>
      <c r="O1455" s="51">
        <f>IF(AND(B1455="",G1455="",C1455="",D1455="",J1455=""),"",IF(B1455="","⚠ Falta fecha",IF(G1455="","⚠ Falta monto",IF(Q1455="","⚠ Falta cuenta",IF(ISNA(MATCH(Q1455,ctaNombre,0)),"⚠ Cuenta no registrada",IF(AND(OR(P1455="Gasto",P1455="Reembolso"),D1455=""),"⚠ Falta categoría",IF(AND(D1455&lt;&gt;"",E1455&lt;&gt;"",ISNA(MATCH(D1455&amp;"|"&amp;E1455,catClave,0))),"⚠ Subcategoría no corresponde",IF(AND(OR(P1455="Transferencia",P1455="Pago tarjeta"),K1455=""),"⚠ Falta cuenta destino",IF(AND(K1455&lt;&gt;"",P1455&lt;&gt;"Transferencia",P1455&lt;&gt;"Pago tarjeta"),"⚠ Destino solo aplica a transferencias",IF(AND(K1455&lt;&gt;"",K1455=Q1455),"⚠ Origen igual a destino",IF(AND(K1455&lt;&gt;"",ISNA(MATCH(K1455,ctaNombre,0))),"⚠ Destino no registrado",IF(AND(P1455="Pago tarjeta",AE1455&lt;&gt;"Tarjeta de crédito"),"⚠ El destino debe ser tarjeta de crédito",IF(AND(P1455="Gasto",E1455="Depósitos y retiros"),"⚠ Usa tipo Transferencia",IF(AND(P1455="Resultado trading",AD1455&lt;&gt;"Cuenta de trading"),"⚠ Usa una cuenta de trading",IF(AND(G1455&lt;=0,P1455&lt;&gt;"Ajuste",P1455&lt;&gt;"Resultado trading"),"⚠ El monto debe ser positivo","✓")))))))))))))))</f>
        <v/>
      </c>
      <c r="P1455" s="52">
        <f>IF(OR(B1455="",G1455=""),"",IF(C1455="","Gasto",C1455))</f>
        <v/>
      </c>
      <c r="Q1455" s="52">
        <f>IF(P1455="","",IF(J1455&lt;&gt;"",J1455,CuentaPred&amp;""))</f>
        <v/>
      </c>
      <c r="R1455" s="52">
        <f>IF(P1455="","",IF(ISNUMBER(I1455),I1455,TasaUSD))</f>
        <v/>
      </c>
      <c r="S1455" s="53">
        <f>IF(P1455="","",IF(H1455="USD",G1455*R1455,G1455))</f>
        <v/>
      </c>
      <c r="T1455" s="53">
        <f>IF(P1455="","",IF(H1455="USD",G1455,IF(R1455&gt;0,G1455/R1455,0)))</f>
        <v/>
      </c>
      <c r="U1455" s="53">
        <f>IF(P1455="","",IF(P1455="Gasto",S1455,IF(P1455="Reembolso",-S1455,0)))</f>
        <v/>
      </c>
      <c r="V1455" s="53">
        <f>IF(P1455="","",IF(P1455="Ingreso",S1455,0))</f>
        <v/>
      </c>
      <c r="W1455" s="53">
        <f>IF(P1455="","",IF(P1455="Resultado trading",S1455,0))</f>
        <v/>
      </c>
      <c r="X1455" s="52">
        <f>IF(OR(P1455="Gasto",P1455="Reembolso"),IF(M1455&lt;&gt;"",M1455,IFERROR(INDEX(catClasif,MATCH(D1455&amp;"|"&amp;E1455,catClave,0))&amp;"","Variable")),"")</f>
        <v/>
      </c>
      <c r="Y1455" s="52">
        <f>IF(P1455="","",IFERROR(INDEX(catGrupo,MATCH(D1455&amp;"|"&amp;E1455,catClave,0))&amp;"",""))</f>
        <v/>
      </c>
      <c r="Z1455" s="52">
        <f>IF(P1455="","",WEEKDAY(B1455,2))</f>
        <v/>
      </c>
      <c r="AA1455" s="52">
        <f>IF(P1455="","",IF(AND(P1455="Gasto",X1455="Variable",D1455&lt;&gt;catTrading,S1455&gt;0,S1455&lt;=Umbral),1,0))</f>
        <v/>
      </c>
      <c r="AB1455" s="52">
        <f>IF(OR(P1455="",Q1455=""),"",IFERROR(IF(INDEX(ctaVinc,MATCH(Q1455,ctaNombre,0))&amp;""&lt;&gt;"",INDEX(ctaVinc,MATCH(Q1455,ctaNombre,0))&amp;"",Q1455),Q1455))</f>
        <v/>
      </c>
      <c r="AC1455" s="52">
        <f>IF(OR(K1455="",AND(P1455&lt;&gt;"Transferencia",P1455&lt;&gt;"Pago tarjeta")),"",IFERROR(IF(INDEX(ctaVinc,MATCH(K1455,ctaNombre,0))&amp;""&lt;&gt;"",INDEX(ctaVinc,MATCH(K1455,ctaNombre,0))&amp;"",K1455),K1455))</f>
        <v/>
      </c>
      <c r="AD1455" s="52">
        <f>IF(AB1455="","",IFERROR(INDEX(ctaTipo,MATCH(AB1455,ctaNombre,0))&amp;"",""))</f>
        <v/>
      </c>
      <c r="AE1455" s="52">
        <f>IF(AC1455="","",IFERROR(INDEX(ctaTipo,MATCH(AC1455,ctaNombre,0))&amp;"",""))</f>
        <v/>
      </c>
      <c r="AF1455" s="53">
        <f>IF(OR(P1455="",AB1455=""),"",IF(OR(P1455="Gasto",P1455="Transferencia",P1455="Pago tarjeta"),-1,1)*IF(IFERROR(INDEX(ctaMoneda,MATCH(AB1455,ctaNombre,0))&amp;"","DOP")="USD",T1455,S1455))</f>
        <v/>
      </c>
      <c r="AG1455" s="53">
        <f>IF(AC1455="","",IF(IFERROR(INDEX(ctaMoneda,MATCH(AC1455,ctaNombre,0))&amp;"","DOP")="USD",T1455,S1455))</f>
        <v/>
      </c>
      <c r="AH1455" s="53">
        <f>IF(P1455="","",IF(AND(AD1455&lt;&gt;"",COUNTIFS(tcTipo,AD1455,tcLiq,"Sí")&gt;0),IF(OR(P1455="Gasto",P1455="Transferencia",P1455="Pago tarjeta"),-1,1)*S1455,0)+IF(AND(AE1455&lt;&gt;"",COUNTIFS(tcTipo,AE1455,tcLiq,"Sí")&gt;0),S1455,0))</f>
        <v/>
      </c>
      <c r="AI1455" s="52">
        <f>IF(OR(L1455="",P1455=""),"",IF(COUNTIFS(L$6:L1455,L1455,P$6:P1455,"?*")=1,MAX(AI$5:AI1454)+1,""))</f>
        <v/>
      </c>
    </row>
    <row r="1456">
      <c r="B1456" s="47" t="n"/>
      <c r="C1456" s="48" t="n"/>
      <c r="D1456" s="48" t="n"/>
      <c r="E1456" s="48" t="n"/>
      <c r="F1456" s="48" t="n"/>
      <c r="G1456" s="49" t="n"/>
      <c r="H1456" s="48" t="n"/>
      <c r="I1456" s="50" t="n"/>
      <c r="J1456" s="48" t="n"/>
      <c r="K1456" s="48" t="n"/>
      <c r="L1456" s="48" t="n"/>
      <c r="M1456" s="48" t="n"/>
      <c r="N1456" s="48" t="n"/>
      <c r="O1456" s="51">
        <f>IF(AND(B1456="",G1456="",C1456="",D1456="",J1456=""),"",IF(B1456="","⚠ Falta fecha",IF(G1456="","⚠ Falta monto",IF(Q1456="","⚠ Falta cuenta",IF(ISNA(MATCH(Q1456,ctaNombre,0)),"⚠ Cuenta no registrada",IF(AND(OR(P1456="Gasto",P1456="Reembolso"),D1456=""),"⚠ Falta categoría",IF(AND(D1456&lt;&gt;"",E1456&lt;&gt;"",ISNA(MATCH(D1456&amp;"|"&amp;E1456,catClave,0))),"⚠ Subcategoría no corresponde",IF(AND(OR(P1456="Transferencia",P1456="Pago tarjeta"),K1456=""),"⚠ Falta cuenta destino",IF(AND(K1456&lt;&gt;"",P1456&lt;&gt;"Transferencia",P1456&lt;&gt;"Pago tarjeta"),"⚠ Destino solo aplica a transferencias",IF(AND(K1456&lt;&gt;"",K1456=Q1456),"⚠ Origen igual a destino",IF(AND(K1456&lt;&gt;"",ISNA(MATCH(K1456,ctaNombre,0))),"⚠ Destino no registrado",IF(AND(P1456="Pago tarjeta",AE1456&lt;&gt;"Tarjeta de crédito"),"⚠ El destino debe ser tarjeta de crédito",IF(AND(P1456="Gasto",E1456="Depósitos y retiros"),"⚠ Usa tipo Transferencia",IF(AND(P1456="Resultado trading",AD1456&lt;&gt;"Cuenta de trading"),"⚠ Usa una cuenta de trading",IF(AND(G1456&lt;=0,P1456&lt;&gt;"Ajuste",P1456&lt;&gt;"Resultado trading"),"⚠ El monto debe ser positivo","✓")))))))))))))))</f>
        <v/>
      </c>
      <c r="P1456" s="52">
        <f>IF(OR(B1456="",G1456=""),"",IF(C1456="","Gasto",C1456))</f>
        <v/>
      </c>
      <c r="Q1456" s="52">
        <f>IF(P1456="","",IF(J1456&lt;&gt;"",J1456,CuentaPred&amp;""))</f>
        <v/>
      </c>
      <c r="R1456" s="52">
        <f>IF(P1456="","",IF(ISNUMBER(I1456),I1456,TasaUSD))</f>
        <v/>
      </c>
      <c r="S1456" s="53">
        <f>IF(P1456="","",IF(H1456="USD",G1456*R1456,G1456))</f>
        <v/>
      </c>
      <c r="T1456" s="53">
        <f>IF(P1456="","",IF(H1456="USD",G1456,IF(R1456&gt;0,G1456/R1456,0)))</f>
        <v/>
      </c>
      <c r="U1456" s="53">
        <f>IF(P1456="","",IF(P1456="Gasto",S1456,IF(P1456="Reembolso",-S1456,0)))</f>
        <v/>
      </c>
      <c r="V1456" s="53">
        <f>IF(P1456="","",IF(P1456="Ingreso",S1456,0))</f>
        <v/>
      </c>
      <c r="W1456" s="53">
        <f>IF(P1456="","",IF(P1456="Resultado trading",S1456,0))</f>
        <v/>
      </c>
      <c r="X1456" s="52">
        <f>IF(OR(P1456="Gasto",P1456="Reembolso"),IF(M1456&lt;&gt;"",M1456,IFERROR(INDEX(catClasif,MATCH(D1456&amp;"|"&amp;E1456,catClave,0))&amp;"","Variable")),"")</f>
        <v/>
      </c>
      <c r="Y1456" s="52">
        <f>IF(P1456="","",IFERROR(INDEX(catGrupo,MATCH(D1456&amp;"|"&amp;E1456,catClave,0))&amp;"",""))</f>
        <v/>
      </c>
      <c r="Z1456" s="52">
        <f>IF(P1456="","",WEEKDAY(B1456,2))</f>
        <v/>
      </c>
      <c r="AA1456" s="52">
        <f>IF(P1456="","",IF(AND(P1456="Gasto",X1456="Variable",D1456&lt;&gt;catTrading,S1456&gt;0,S1456&lt;=Umbral),1,0))</f>
        <v/>
      </c>
      <c r="AB1456" s="52">
        <f>IF(OR(P1456="",Q1456=""),"",IFERROR(IF(INDEX(ctaVinc,MATCH(Q1456,ctaNombre,0))&amp;""&lt;&gt;"",INDEX(ctaVinc,MATCH(Q1456,ctaNombre,0))&amp;"",Q1456),Q1456))</f>
        <v/>
      </c>
      <c r="AC1456" s="52">
        <f>IF(OR(K1456="",AND(P1456&lt;&gt;"Transferencia",P1456&lt;&gt;"Pago tarjeta")),"",IFERROR(IF(INDEX(ctaVinc,MATCH(K1456,ctaNombre,0))&amp;""&lt;&gt;"",INDEX(ctaVinc,MATCH(K1456,ctaNombre,0))&amp;"",K1456),K1456))</f>
        <v/>
      </c>
      <c r="AD1456" s="52">
        <f>IF(AB1456="","",IFERROR(INDEX(ctaTipo,MATCH(AB1456,ctaNombre,0))&amp;"",""))</f>
        <v/>
      </c>
      <c r="AE1456" s="52">
        <f>IF(AC1456="","",IFERROR(INDEX(ctaTipo,MATCH(AC1456,ctaNombre,0))&amp;"",""))</f>
        <v/>
      </c>
      <c r="AF1456" s="53">
        <f>IF(OR(P1456="",AB1456=""),"",IF(OR(P1456="Gasto",P1456="Transferencia",P1456="Pago tarjeta"),-1,1)*IF(IFERROR(INDEX(ctaMoneda,MATCH(AB1456,ctaNombre,0))&amp;"","DOP")="USD",T1456,S1456))</f>
        <v/>
      </c>
      <c r="AG1456" s="53">
        <f>IF(AC1456="","",IF(IFERROR(INDEX(ctaMoneda,MATCH(AC1456,ctaNombre,0))&amp;"","DOP")="USD",T1456,S1456))</f>
        <v/>
      </c>
      <c r="AH1456" s="53">
        <f>IF(P1456="","",IF(AND(AD1456&lt;&gt;"",COUNTIFS(tcTipo,AD1456,tcLiq,"Sí")&gt;0),IF(OR(P1456="Gasto",P1456="Transferencia",P1456="Pago tarjeta"),-1,1)*S1456,0)+IF(AND(AE1456&lt;&gt;"",COUNTIFS(tcTipo,AE1456,tcLiq,"Sí")&gt;0),S1456,0))</f>
        <v/>
      </c>
      <c r="AI1456" s="52">
        <f>IF(OR(L1456="",P1456=""),"",IF(COUNTIFS(L$6:L1456,L1456,P$6:P1456,"?*")=1,MAX(AI$5:AI1455)+1,""))</f>
        <v/>
      </c>
    </row>
    <row r="1457">
      <c r="B1457" s="47" t="n"/>
      <c r="C1457" s="48" t="n"/>
      <c r="D1457" s="48" t="n"/>
      <c r="E1457" s="48" t="n"/>
      <c r="F1457" s="48" t="n"/>
      <c r="G1457" s="49" t="n"/>
      <c r="H1457" s="48" t="n"/>
      <c r="I1457" s="50" t="n"/>
      <c r="J1457" s="48" t="n"/>
      <c r="K1457" s="48" t="n"/>
      <c r="L1457" s="48" t="n"/>
      <c r="M1457" s="48" t="n"/>
      <c r="N1457" s="48" t="n"/>
      <c r="O1457" s="51">
        <f>IF(AND(B1457="",G1457="",C1457="",D1457="",J1457=""),"",IF(B1457="","⚠ Falta fecha",IF(G1457="","⚠ Falta monto",IF(Q1457="","⚠ Falta cuenta",IF(ISNA(MATCH(Q1457,ctaNombre,0)),"⚠ Cuenta no registrada",IF(AND(OR(P1457="Gasto",P1457="Reembolso"),D1457=""),"⚠ Falta categoría",IF(AND(D1457&lt;&gt;"",E1457&lt;&gt;"",ISNA(MATCH(D1457&amp;"|"&amp;E1457,catClave,0))),"⚠ Subcategoría no corresponde",IF(AND(OR(P1457="Transferencia",P1457="Pago tarjeta"),K1457=""),"⚠ Falta cuenta destino",IF(AND(K1457&lt;&gt;"",P1457&lt;&gt;"Transferencia",P1457&lt;&gt;"Pago tarjeta"),"⚠ Destino solo aplica a transferencias",IF(AND(K1457&lt;&gt;"",K1457=Q1457),"⚠ Origen igual a destino",IF(AND(K1457&lt;&gt;"",ISNA(MATCH(K1457,ctaNombre,0))),"⚠ Destino no registrado",IF(AND(P1457="Pago tarjeta",AE1457&lt;&gt;"Tarjeta de crédito"),"⚠ El destino debe ser tarjeta de crédito",IF(AND(P1457="Gasto",E1457="Depósitos y retiros"),"⚠ Usa tipo Transferencia",IF(AND(P1457="Resultado trading",AD1457&lt;&gt;"Cuenta de trading"),"⚠ Usa una cuenta de trading",IF(AND(G1457&lt;=0,P1457&lt;&gt;"Ajuste",P1457&lt;&gt;"Resultado trading"),"⚠ El monto debe ser positivo","✓")))))))))))))))</f>
        <v/>
      </c>
      <c r="P1457" s="52">
        <f>IF(OR(B1457="",G1457=""),"",IF(C1457="","Gasto",C1457))</f>
        <v/>
      </c>
      <c r="Q1457" s="52">
        <f>IF(P1457="","",IF(J1457&lt;&gt;"",J1457,CuentaPred&amp;""))</f>
        <v/>
      </c>
      <c r="R1457" s="52">
        <f>IF(P1457="","",IF(ISNUMBER(I1457),I1457,TasaUSD))</f>
        <v/>
      </c>
      <c r="S1457" s="53">
        <f>IF(P1457="","",IF(H1457="USD",G1457*R1457,G1457))</f>
        <v/>
      </c>
      <c r="T1457" s="53">
        <f>IF(P1457="","",IF(H1457="USD",G1457,IF(R1457&gt;0,G1457/R1457,0)))</f>
        <v/>
      </c>
      <c r="U1457" s="53">
        <f>IF(P1457="","",IF(P1457="Gasto",S1457,IF(P1457="Reembolso",-S1457,0)))</f>
        <v/>
      </c>
      <c r="V1457" s="53">
        <f>IF(P1457="","",IF(P1457="Ingreso",S1457,0))</f>
        <v/>
      </c>
      <c r="W1457" s="53">
        <f>IF(P1457="","",IF(P1457="Resultado trading",S1457,0))</f>
        <v/>
      </c>
      <c r="X1457" s="52">
        <f>IF(OR(P1457="Gasto",P1457="Reembolso"),IF(M1457&lt;&gt;"",M1457,IFERROR(INDEX(catClasif,MATCH(D1457&amp;"|"&amp;E1457,catClave,0))&amp;"","Variable")),"")</f>
        <v/>
      </c>
      <c r="Y1457" s="52">
        <f>IF(P1457="","",IFERROR(INDEX(catGrupo,MATCH(D1457&amp;"|"&amp;E1457,catClave,0))&amp;"",""))</f>
        <v/>
      </c>
      <c r="Z1457" s="52">
        <f>IF(P1457="","",WEEKDAY(B1457,2))</f>
        <v/>
      </c>
      <c r="AA1457" s="52">
        <f>IF(P1457="","",IF(AND(P1457="Gasto",X1457="Variable",D1457&lt;&gt;catTrading,S1457&gt;0,S1457&lt;=Umbral),1,0))</f>
        <v/>
      </c>
      <c r="AB1457" s="52">
        <f>IF(OR(P1457="",Q1457=""),"",IFERROR(IF(INDEX(ctaVinc,MATCH(Q1457,ctaNombre,0))&amp;""&lt;&gt;"",INDEX(ctaVinc,MATCH(Q1457,ctaNombre,0))&amp;"",Q1457),Q1457))</f>
        <v/>
      </c>
      <c r="AC1457" s="52">
        <f>IF(OR(K1457="",AND(P1457&lt;&gt;"Transferencia",P1457&lt;&gt;"Pago tarjeta")),"",IFERROR(IF(INDEX(ctaVinc,MATCH(K1457,ctaNombre,0))&amp;""&lt;&gt;"",INDEX(ctaVinc,MATCH(K1457,ctaNombre,0))&amp;"",K1457),K1457))</f>
        <v/>
      </c>
      <c r="AD1457" s="52">
        <f>IF(AB1457="","",IFERROR(INDEX(ctaTipo,MATCH(AB1457,ctaNombre,0))&amp;"",""))</f>
        <v/>
      </c>
      <c r="AE1457" s="52">
        <f>IF(AC1457="","",IFERROR(INDEX(ctaTipo,MATCH(AC1457,ctaNombre,0))&amp;"",""))</f>
        <v/>
      </c>
      <c r="AF1457" s="53">
        <f>IF(OR(P1457="",AB1457=""),"",IF(OR(P1457="Gasto",P1457="Transferencia",P1457="Pago tarjeta"),-1,1)*IF(IFERROR(INDEX(ctaMoneda,MATCH(AB1457,ctaNombre,0))&amp;"","DOP")="USD",T1457,S1457))</f>
        <v/>
      </c>
      <c r="AG1457" s="53">
        <f>IF(AC1457="","",IF(IFERROR(INDEX(ctaMoneda,MATCH(AC1457,ctaNombre,0))&amp;"","DOP")="USD",T1457,S1457))</f>
        <v/>
      </c>
      <c r="AH1457" s="53">
        <f>IF(P1457="","",IF(AND(AD1457&lt;&gt;"",COUNTIFS(tcTipo,AD1457,tcLiq,"Sí")&gt;0),IF(OR(P1457="Gasto",P1457="Transferencia",P1457="Pago tarjeta"),-1,1)*S1457,0)+IF(AND(AE1457&lt;&gt;"",COUNTIFS(tcTipo,AE1457,tcLiq,"Sí")&gt;0),S1457,0))</f>
        <v/>
      </c>
      <c r="AI1457" s="52">
        <f>IF(OR(L1457="",P1457=""),"",IF(COUNTIFS(L$6:L1457,L1457,P$6:P1457,"?*")=1,MAX(AI$5:AI1456)+1,""))</f>
        <v/>
      </c>
    </row>
    <row r="1458">
      <c r="B1458" s="47" t="n"/>
      <c r="C1458" s="48" t="n"/>
      <c r="D1458" s="48" t="n"/>
      <c r="E1458" s="48" t="n"/>
      <c r="F1458" s="48" t="n"/>
      <c r="G1458" s="49" t="n"/>
      <c r="H1458" s="48" t="n"/>
      <c r="I1458" s="50" t="n"/>
      <c r="J1458" s="48" t="n"/>
      <c r="K1458" s="48" t="n"/>
      <c r="L1458" s="48" t="n"/>
      <c r="M1458" s="48" t="n"/>
      <c r="N1458" s="48" t="n"/>
      <c r="O1458" s="51">
        <f>IF(AND(B1458="",G1458="",C1458="",D1458="",J1458=""),"",IF(B1458="","⚠ Falta fecha",IF(G1458="","⚠ Falta monto",IF(Q1458="","⚠ Falta cuenta",IF(ISNA(MATCH(Q1458,ctaNombre,0)),"⚠ Cuenta no registrada",IF(AND(OR(P1458="Gasto",P1458="Reembolso"),D1458=""),"⚠ Falta categoría",IF(AND(D1458&lt;&gt;"",E1458&lt;&gt;"",ISNA(MATCH(D1458&amp;"|"&amp;E1458,catClave,0))),"⚠ Subcategoría no corresponde",IF(AND(OR(P1458="Transferencia",P1458="Pago tarjeta"),K1458=""),"⚠ Falta cuenta destino",IF(AND(K1458&lt;&gt;"",P1458&lt;&gt;"Transferencia",P1458&lt;&gt;"Pago tarjeta"),"⚠ Destino solo aplica a transferencias",IF(AND(K1458&lt;&gt;"",K1458=Q1458),"⚠ Origen igual a destino",IF(AND(K1458&lt;&gt;"",ISNA(MATCH(K1458,ctaNombre,0))),"⚠ Destino no registrado",IF(AND(P1458="Pago tarjeta",AE1458&lt;&gt;"Tarjeta de crédito"),"⚠ El destino debe ser tarjeta de crédito",IF(AND(P1458="Gasto",E1458="Depósitos y retiros"),"⚠ Usa tipo Transferencia",IF(AND(P1458="Resultado trading",AD1458&lt;&gt;"Cuenta de trading"),"⚠ Usa una cuenta de trading",IF(AND(G1458&lt;=0,P1458&lt;&gt;"Ajuste",P1458&lt;&gt;"Resultado trading"),"⚠ El monto debe ser positivo","✓")))))))))))))))</f>
        <v/>
      </c>
      <c r="P1458" s="52">
        <f>IF(OR(B1458="",G1458=""),"",IF(C1458="","Gasto",C1458))</f>
        <v/>
      </c>
      <c r="Q1458" s="52">
        <f>IF(P1458="","",IF(J1458&lt;&gt;"",J1458,CuentaPred&amp;""))</f>
        <v/>
      </c>
      <c r="R1458" s="52">
        <f>IF(P1458="","",IF(ISNUMBER(I1458),I1458,TasaUSD))</f>
        <v/>
      </c>
      <c r="S1458" s="53">
        <f>IF(P1458="","",IF(H1458="USD",G1458*R1458,G1458))</f>
        <v/>
      </c>
      <c r="T1458" s="53">
        <f>IF(P1458="","",IF(H1458="USD",G1458,IF(R1458&gt;0,G1458/R1458,0)))</f>
        <v/>
      </c>
      <c r="U1458" s="53">
        <f>IF(P1458="","",IF(P1458="Gasto",S1458,IF(P1458="Reembolso",-S1458,0)))</f>
        <v/>
      </c>
      <c r="V1458" s="53">
        <f>IF(P1458="","",IF(P1458="Ingreso",S1458,0))</f>
        <v/>
      </c>
      <c r="W1458" s="53">
        <f>IF(P1458="","",IF(P1458="Resultado trading",S1458,0))</f>
        <v/>
      </c>
      <c r="X1458" s="52">
        <f>IF(OR(P1458="Gasto",P1458="Reembolso"),IF(M1458&lt;&gt;"",M1458,IFERROR(INDEX(catClasif,MATCH(D1458&amp;"|"&amp;E1458,catClave,0))&amp;"","Variable")),"")</f>
        <v/>
      </c>
      <c r="Y1458" s="52">
        <f>IF(P1458="","",IFERROR(INDEX(catGrupo,MATCH(D1458&amp;"|"&amp;E1458,catClave,0))&amp;"",""))</f>
        <v/>
      </c>
      <c r="Z1458" s="52">
        <f>IF(P1458="","",WEEKDAY(B1458,2))</f>
        <v/>
      </c>
      <c r="AA1458" s="52">
        <f>IF(P1458="","",IF(AND(P1458="Gasto",X1458="Variable",D1458&lt;&gt;catTrading,S1458&gt;0,S1458&lt;=Umbral),1,0))</f>
        <v/>
      </c>
      <c r="AB1458" s="52">
        <f>IF(OR(P1458="",Q1458=""),"",IFERROR(IF(INDEX(ctaVinc,MATCH(Q1458,ctaNombre,0))&amp;""&lt;&gt;"",INDEX(ctaVinc,MATCH(Q1458,ctaNombre,0))&amp;"",Q1458),Q1458))</f>
        <v/>
      </c>
      <c r="AC1458" s="52">
        <f>IF(OR(K1458="",AND(P1458&lt;&gt;"Transferencia",P1458&lt;&gt;"Pago tarjeta")),"",IFERROR(IF(INDEX(ctaVinc,MATCH(K1458,ctaNombre,0))&amp;""&lt;&gt;"",INDEX(ctaVinc,MATCH(K1458,ctaNombre,0))&amp;"",K1458),K1458))</f>
        <v/>
      </c>
      <c r="AD1458" s="52">
        <f>IF(AB1458="","",IFERROR(INDEX(ctaTipo,MATCH(AB1458,ctaNombre,0))&amp;"",""))</f>
        <v/>
      </c>
      <c r="AE1458" s="52">
        <f>IF(AC1458="","",IFERROR(INDEX(ctaTipo,MATCH(AC1458,ctaNombre,0))&amp;"",""))</f>
        <v/>
      </c>
      <c r="AF1458" s="53">
        <f>IF(OR(P1458="",AB1458=""),"",IF(OR(P1458="Gasto",P1458="Transferencia",P1458="Pago tarjeta"),-1,1)*IF(IFERROR(INDEX(ctaMoneda,MATCH(AB1458,ctaNombre,0))&amp;"","DOP")="USD",T1458,S1458))</f>
        <v/>
      </c>
      <c r="AG1458" s="53">
        <f>IF(AC1458="","",IF(IFERROR(INDEX(ctaMoneda,MATCH(AC1458,ctaNombre,0))&amp;"","DOP")="USD",T1458,S1458))</f>
        <v/>
      </c>
      <c r="AH1458" s="53">
        <f>IF(P1458="","",IF(AND(AD1458&lt;&gt;"",COUNTIFS(tcTipo,AD1458,tcLiq,"Sí")&gt;0),IF(OR(P1458="Gasto",P1458="Transferencia",P1458="Pago tarjeta"),-1,1)*S1458,0)+IF(AND(AE1458&lt;&gt;"",COUNTIFS(tcTipo,AE1458,tcLiq,"Sí")&gt;0),S1458,0))</f>
        <v/>
      </c>
      <c r="AI1458" s="52">
        <f>IF(OR(L1458="",P1458=""),"",IF(COUNTIFS(L$6:L1458,L1458,P$6:P1458,"?*")=1,MAX(AI$5:AI1457)+1,""))</f>
        <v/>
      </c>
    </row>
    <row r="1459">
      <c r="B1459" s="47" t="n"/>
      <c r="C1459" s="48" t="n"/>
      <c r="D1459" s="48" t="n"/>
      <c r="E1459" s="48" t="n"/>
      <c r="F1459" s="48" t="n"/>
      <c r="G1459" s="49" t="n"/>
      <c r="H1459" s="48" t="n"/>
      <c r="I1459" s="50" t="n"/>
      <c r="J1459" s="48" t="n"/>
      <c r="K1459" s="48" t="n"/>
      <c r="L1459" s="48" t="n"/>
      <c r="M1459" s="48" t="n"/>
      <c r="N1459" s="48" t="n"/>
      <c r="O1459" s="51">
        <f>IF(AND(B1459="",G1459="",C1459="",D1459="",J1459=""),"",IF(B1459="","⚠ Falta fecha",IF(G1459="","⚠ Falta monto",IF(Q1459="","⚠ Falta cuenta",IF(ISNA(MATCH(Q1459,ctaNombre,0)),"⚠ Cuenta no registrada",IF(AND(OR(P1459="Gasto",P1459="Reembolso"),D1459=""),"⚠ Falta categoría",IF(AND(D1459&lt;&gt;"",E1459&lt;&gt;"",ISNA(MATCH(D1459&amp;"|"&amp;E1459,catClave,0))),"⚠ Subcategoría no corresponde",IF(AND(OR(P1459="Transferencia",P1459="Pago tarjeta"),K1459=""),"⚠ Falta cuenta destino",IF(AND(K1459&lt;&gt;"",P1459&lt;&gt;"Transferencia",P1459&lt;&gt;"Pago tarjeta"),"⚠ Destino solo aplica a transferencias",IF(AND(K1459&lt;&gt;"",K1459=Q1459),"⚠ Origen igual a destino",IF(AND(K1459&lt;&gt;"",ISNA(MATCH(K1459,ctaNombre,0))),"⚠ Destino no registrado",IF(AND(P1459="Pago tarjeta",AE1459&lt;&gt;"Tarjeta de crédito"),"⚠ El destino debe ser tarjeta de crédito",IF(AND(P1459="Gasto",E1459="Depósitos y retiros"),"⚠ Usa tipo Transferencia",IF(AND(P1459="Resultado trading",AD1459&lt;&gt;"Cuenta de trading"),"⚠ Usa una cuenta de trading",IF(AND(G1459&lt;=0,P1459&lt;&gt;"Ajuste",P1459&lt;&gt;"Resultado trading"),"⚠ El monto debe ser positivo","✓")))))))))))))))</f>
        <v/>
      </c>
      <c r="P1459" s="52">
        <f>IF(OR(B1459="",G1459=""),"",IF(C1459="","Gasto",C1459))</f>
        <v/>
      </c>
      <c r="Q1459" s="52">
        <f>IF(P1459="","",IF(J1459&lt;&gt;"",J1459,CuentaPred&amp;""))</f>
        <v/>
      </c>
      <c r="R1459" s="52">
        <f>IF(P1459="","",IF(ISNUMBER(I1459),I1459,TasaUSD))</f>
        <v/>
      </c>
      <c r="S1459" s="53">
        <f>IF(P1459="","",IF(H1459="USD",G1459*R1459,G1459))</f>
        <v/>
      </c>
      <c r="T1459" s="53">
        <f>IF(P1459="","",IF(H1459="USD",G1459,IF(R1459&gt;0,G1459/R1459,0)))</f>
        <v/>
      </c>
      <c r="U1459" s="53">
        <f>IF(P1459="","",IF(P1459="Gasto",S1459,IF(P1459="Reembolso",-S1459,0)))</f>
        <v/>
      </c>
      <c r="V1459" s="53">
        <f>IF(P1459="","",IF(P1459="Ingreso",S1459,0))</f>
        <v/>
      </c>
      <c r="W1459" s="53">
        <f>IF(P1459="","",IF(P1459="Resultado trading",S1459,0))</f>
        <v/>
      </c>
      <c r="X1459" s="52">
        <f>IF(OR(P1459="Gasto",P1459="Reembolso"),IF(M1459&lt;&gt;"",M1459,IFERROR(INDEX(catClasif,MATCH(D1459&amp;"|"&amp;E1459,catClave,0))&amp;"","Variable")),"")</f>
        <v/>
      </c>
      <c r="Y1459" s="52">
        <f>IF(P1459="","",IFERROR(INDEX(catGrupo,MATCH(D1459&amp;"|"&amp;E1459,catClave,0))&amp;"",""))</f>
        <v/>
      </c>
      <c r="Z1459" s="52">
        <f>IF(P1459="","",WEEKDAY(B1459,2))</f>
        <v/>
      </c>
      <c r="AA1459" s="52">
        <f>IF(P1459="","",IF(AND(P1459="Gasto",X1459="Variable",D1459&lt;&gt;catTrading,S1459&gt;0,S1459&lt;=Umbral),1,0))</f>
        <v/>
      </c>
      <c r="AB1459" s="52">
        <f>IF(OR(P1459="",Q1459=""),"",IFERROR(IF(INDEX(ctaVinc,MATCH(Q1459,ctaNombre,0))&amp;""&lt;&gt;"",INDEX(ctaVinc,MATCH(Q1459,ctaNombre,0))&amp;"",Q1459),Q1459))</f>
        <v/>
      </c>
      <c r="AC1459" s="52">
        <f>IF(OR(K1459="",AND(P1459&lt;&gt;"Transferencia",P1459&lt;&gt;"Pago tarjeta")),"",IFERROR(IF(INDEX(ctaVinc,MATCH(K1459,ctaNombre,0))&amp;""&lt;&gt;"",INDEX(ctaVinc,MATCH(K1459,ctaNombre,0))&amp;"",K1459),K1459))</f>
        <v/>
      </c>
      <c r="AD1459" s="52">
        <f>IF(AB1459="","",IFERROR(INDEX(ctaTipo,MATCH(AB1459,ctaNombre,0))&amp;"",""))</f>
        <v/>
      </c>
      <c r="AE1459" s="52">
        <f>IF(AC1459="","",IFERROR(INDEX(ctaTipo,MATCH(AC1459,ctaNombre,0))&amp;"",""))</f>
        <v/>
      </c>
      <c r="AF1459" s="53">
        <f>IF(OR(P1459="",AB1459=""),"",IF(OR(P1459="Gasto",P1459="Transferencia",P1459="Pago tarjeta"),-1,1)*IF(IFERROR(INDEX(ctaMoneda,MATCH(AB1459,ctaNombre,0))&amp;"","DOP")="USD",T1459,S1459))</f>
        <v/>
      </c>
      <c r="AG1459" s="53">
        <f>IF(AC1459="","",IF(IFERROR(INDEX(ctaMoneda,MATCH(AC1459,ctaNombre,0))&amp;"","DOP")="USD",T1459,S1459))</f>
        <v/>
      </c>
      <c r="AH1459" s="53">
        <f>IF(P1459="","",IF(AND(AD1459&lt;&gt;"",COUNTIFS(tcTipo,AD1459,tcLiq,"Sí")&gt;0),IF(OR(P1459="Gasto",P1459="Transferencia",P1459="Pago tarjeta"),-1,1)*S1459,0)+IF(AND(AE1459&lt;&gt;"",COUNTIFS(tcTipo,AE1459,tcLiq,"Sí")&gt;0),S1459,0))</f>
        <v/>
      </c>
      <c r="AI1459" s="52">
        <f>IF(OR(L1459="",P1459=""),"",IF(COUNTIFS(L$6:L1459,L1459,P$6:P1459,"?*")=1,MAX(AI$5:AI1458)+1,""))</f>
        <v/>
      </c>
    </row>
    <row r="1460">
      <c r="B1460" s="47" t="n"/>
      <c r="C1460" s="48" t="n"/>
      <c r="D1460" s="48" t="n"/>
      <c r="E1460" s="48" t="n"/>
      <c r="F1460" s="48" t="n"/>
      <c r="G1460" s="49" t="n"/>
      <c r="H1460" s="48" t="n"/>
      <c r="I1460" s="50" t="n"/>
      <c r="J1460" s="48" t="n"/>
      <c r="K1460" s="48" t="n"/>
      <c r="L1460" s="48" t="n"/>
      <c r="M1460" s="48" t="n"/>
      <c r="N1460" s="48" t="n"/>
      <c r="O1460" s="51">
        <f>IF(AND(B1460="",G1460="",C1460="",D1460="",J1460=""),"",IF(B1460="","⚠ Falta fecha",IF(G1460="","⚠ Falta monto",IF(Q1460="","⚠ Falta cuenta",IF(ISNA(MATCH(Q1460,ctaNombre,0)),"⚠ Cuenta no registrada",IF(AND(OR(P1460="Gasto",P1460="Reembolso"),D1460=""),"⚠ Falta categoría",IF(AND(D1460&lt;&gt;"",E1460&lt;&gt;"",ISNA(MATCH(D1460&amp;"|"&amp;E1460,catClave,0))),"⚠ Subcategoría no corresponde",IF(AND(OR(P1460="Transferencia",P1460="Pago tarjeta"),K1460=""),"⚠ Falta cuenta destino",IF(AND(K1460&lt;&gt;"",P1460&lt;&gt;"Transferencia",P1460&lt;&gt;"Pago tarjeta"),"⚠ Destino solo aplica a transferencias",IF(AND(K1460&lt;&gt;"",K1460=Q1460),"⚠ Origen igual a destino",IF(AND(K1460&lt;&gt;"",ISNA(MATCH(K1460,ctaNombre,0))),"⚠ Destino no registrado",IF(AND(P1460="Pago tarjeta",AE1460&lt;&gt;"Tarjeta de crédito"),"⚠ El destino debe ser tarjeta de crédito",IF(AND(P1460="Gasto",E1460="Depósitos y retiros"),"⚠ Usa tipo Transferencia",IF(AND(P1460="Resultado trading",AD1460&lt;&gt;"Cuenta de trading"),"⚠ Usa una cuenta de trading",IF(AND(G1460&lt;=0,P1460&lt;&gt;"Ajuste",P1460&lt;&gt;"Resultado trading"),"⚠ El monto debe ser positivo","✓")))))))))))))))</f>
        <v/>
      </c>
      <c r="P1460" s="52">
        <f>IF(OR(B1460="",G1460=""),"",IF(C1460="","Gasto",C1460))</f>
        <v/>
      </c>
      <c r="Q1460" s="52">
        <f>IF(P1460="","",IF(J1460&lt;&gt;"",J1460,CuentaPred&amp;""))</f>
        <v/>
      </c>
      <c r="R1460" s="52">
        <f>IF(P1460="","",IF(ISNUMBER(I1460),I1460,TasaUSD))</f>
        <v/>
      </c>
      <c r="S1460" s="53">
        <f>IF(P1460="","",IF(H1460="USD",G1460*R1460,G1460))</f>
        <v/>
      </c>
      <c r="T1460" s="53">
        <f>IF(P1460="","",IF(H1460="USD",G1460,IF(R1460&gt;0,G1460/R1460,0)))</f>
        <v/>
      </c>
      <c r="U1460" s="53">
        <f>IF(P1460="","",IF(P1460="Gasto",S1460,IF(P1460="Reembolso",-S1460,0)))</f>
        <v/>
      </c>
      <c r="V1460" s="53">
        <f>IF(P1460="","",IF(P1460="Ingreso",S1460,0))</f>
        <v/>
      </c>
      <c r="W1460" s="53">
        <f>IF(P1460="","",IF(P1460="Resultado trading",S1460,0))</f>
        <v/>
      </c>
      <c r="X1460" s="52">
        <f>IF(OR(P1460="Gasto",P1460="Reembolso"),IF(M1460&lt;&gt;"",M1460,IFERROR(INDEX(catClasif,MATCH(D1460&amp;"|"&amp;E1460,catClave,0))&amp;"","Variable")),"")</f>
        <v/>
      </c>
      <c r="Y1460" s="52">
        <f>IF(P1460="","",IFERROR(INDEX(catGrupo,MATCH(D1460&amp;"|"&amp;E1460,catClave,0))&amp;"",""))</f>
        <v/>
      </c>
      <c r="Z1460" s="52">
        <f>IF(P1460="","",WEEKDAY(B1460,2))</f>
        <v/>
      </c>
      <c r="AA1460" s="52">
        <f>IF(P1460="","",IF(AND(P1460="Gasto",X1460="Variable",D1460&lt;&gt;catTrading,S1460&gt;0,S1460&lt;=Umbral),1,0))</f>
        <v/>
      </c>
      <c r="AB1460" s="52">
        <f>IF(OR(P1460="",Q1460=""),"",IFERROR(IF(INDEX(ctaVinc,MATCH(Q1460,ctaNombre,0))&amp;""&lt;&gt;"",INDEX(ctaVinc,MATCH(Q1460,ctaNombre,0))&amp;"",Q1460),Q1460))</f>
        <v/>
      </c>
      <c r="AC1460" s="52">
        <f>IF(OR(K1460="",AND(P1460&lt;&gt;"Transferencia",P1460&lt;&gt;"Pago tarjeta")),"",IFERROR(IF(INDEX(ctaVinc,MATCH(K1460,ctaNombre,0))&amp;""&lt;&gt;"",INDEX(ctaVinc,MATCH(K1460,ctaNombre,0))&amp;"",K1460),K1460))</f>
        <v/>
      </c>
      <c r="AD1460" s="52">
        <f>IF(AB1460="","",IFERROR(INDEX(ctaTipo,MATCH(AB1460,ctaNombre,0))&amp;"",""))</f>
        <v/>
      </c>
      <c r="AE1460" s="52">
        <f>IF(AC1460="","",IFERROR(INDEX(ctaTipo,MATCH(AC1460,ctaNombre,0))&amp;"",""))</f>
        <v/>
      </c>
      <c r="AF1460" s="53">
        <f>IF(OR(P1460="",AB1460=""),"",IF(OR(P1460="Gasto",P1460="Transferencia",P1460="Pago tarjeta"),-1,1)*IF(IFERROR(INDEX(ctaMoneda,MATCH(AB1460,ctaNombre,0))&amp;"","DOP")="USD",T1460,S1460))</f>
        <v/>
      </c>
      <c r="AG1460" s="53">
        <f>IF(AC1460="","",IF(IFERROR(INDEX(ctaMoneda,MATCH(AC1460,ctaNombre,0))&amp;"","DOP")="USD",T1460,S1460))</f>
        <v/>
      </c>
      <c r="AH1460" s="53">
        <f>IF(P1460="","",IF(AND(AD1460&lt;&gt;"",COUNTIFS(tcTipo,AD1460,tcLiq,"Sí")&gt;0),IF(OR(P1460="Gasto",P1460="Transferencia",P1460="Pago tarjeta"),-1,1)*S1460,0)+IF(AND(AE1460&lt;&gt;"",COUNTIFS(tcTipo,AE1460,tcLiq,"Sí")&gt;0),S1460,0))</f>
        <v/>
      </c>
      <c r="AI1460" s="52">
        <f>IF(OR(L1460="",P1460=""),"",IF(COUNTIFS(L$6:L1460,L1460,P$6:P1460,"?*")=1,MAX(AI$5:AI1459)+1,""))</f>
        <v/>
      </c>
    </row>
    <row r="1461">
      <c r="B1461" s="47" t="n"/>
      <c r="C1461" s="48" t="n"/>
      <c r="D1461" s="48" t="n"/>
      <c r="E1461" s="48" t="n"/>
      <c r="F1461" s="48" t="n"/>
      <c r="G1461" s="49" t="n"/>
      <c r="H1461" s="48" t="n"/>
      <c r="I1461" s="50" t="n"/>
      <c r="J1461" s="48" t="n"/>
      <c r="K1461" s="48" t="n"/>
      <c r="L1461" s="48" t="n"/>
      <c r="M1461" s="48" t="n"/>
      <c r="N1461" s="48" t="n"/>
      <c r="O1461" s="51">
        <f>IF(AND(B1461="",G1461="",C1461="",D1461="",J1461=""),"",IF(B1461="","⚠ Falta fecha",IF(G1461="","⚠ Falta monto",IF(Q1461="","⚠ Falta cuenta",IF(ISNA(MATCH(Q1461,ctaNombre,0)),"⚠ Cuenta no registrada",IF(AND(OR(P1461="Gasto",P1461="Reembolso"),D1461=""),"⚠ Falta categoría",IF(AND(D1461&lt;&gt;"",E1461&lt;&gt;"",ISNA(MATCH(D1461&amp;"|"&amp;E1461,catClave,0))),"⚠ Subcategoría no corresponde",IF(AND(OR(P1461="Transferencia",P1461="Pago tarjeta"),K1461=""),"⚠ Falta cuenta destino",IF(AND(K1461&lt;&gt;"",P1461&lt;&gt;"Transferencia",P1461&lt;&gt;"Pago tarjeta"),"⚠ Destino solo aplica a transferencias",IF(AND(K1461&lt;&gt;"",K1461=Q1461),"⚠ Origen igual a destino",IF(AND(K1461&lt;&gt;"",ISNA(MATCH(K1461,ctaNombre,0))),"⚠ Destino no registrado",IF(AND(P1461="Pago tarjeta",AE1461&lt;&gt;"Tarjeta de crédito"),"⚠ El destino debe ser tarjeta de crédito",IF(AND(P1461="Gasto",E1461="Depósitos y retiros"),"⚠ Usa tipo Transferencia",IF(AND(P1461="Resultado trading",AD1461&lt;&gt;"Cuenta de trading"),"⚠ Usa una cuenta de trading",IF(AND(G1461&lt;=0,P1461&lt;&gt;"Ajuste",P1461&lt;&gt;"Resultado trading"),"⚠ El monto debe ser positivo","✓")))))))))))))))</f>
        <v/>
      </c>
      <c r="P1461" s="52">
        <f>IF(OR(B1461="",G1461=""),"",IF(C1461="","Gasto",C1461))</f>
        <v/>
      </c>
      <c r="Q1461" s="52">
        <f>IF(P1461="","",IF(J1461&lt;&gt;"",J1461,CuentaPred&amp;""))</f>
        <v/>
      </c>
      <c r="R1461" s="52">
        <f>IF(P1461="","",IF(ISNUMBER(I1461),I1461,TasaUSD))</f>
        <v/>
      </c>
      <c r="S1461" s="53">
        <f>IF(P1461="","",IF(H1461="USD",G1461*R1461,G1461))</f>
        <v/>
      </c>
      <c r="T1461" s="53">
        <f>IF(P1461="","",IF(H1461="USD",G1461,IF(R1461&gt;0,G1461/R1461,0)))</f>
        <v/>
      </c>
      <c r="U1461" s="53">
        <f>IF(P1461="","",IF(P1461="Gasto",S1461,IF(P1461="Reembolso",-S1461,0)))</f>
        <v/>
      </c>
      <c r="V1461" s="53">
        <f>IF(P1461="","",IF(P1461="Ingreso",S1461,0))</f>
        <v/>
      </c>
      <c r="W1461" s="53">
        <f>IF(P1461="","",IF(P1461="Resultado trading",S1461,0))</f>
        <v/>
      </c>
      <c r="X1461" s="52">
        <f>IF(OR(P1461="Gasto",P1461="Reembolso"),IF(M1461&lt;&gt;"",M1461,IFERROR(INDEX(catClasif,MATCH(D1461&amp;"|"&amp;E1461,catClave,0))&amp;"","Variable")),"")</f>
        <v/>
      </c>
      <c r="Y1461" s="52">
        <f>IF(P1461="","",IFERROR(INDEX(catGrupo,MATCH(D1461&amp;"|"&amp;E1461,catClave,0))&amp;"",""))</f>
        <v/>
      </c>
      <c r="Z1461" s="52">
        <f>IF(P1461="","",WEEKDAY(B1461,2))</f>
        <v/>
      </c>
      <c r="AA1461" s="52">
        <f>IF(P1461="","",IF(AND(P1461="Gasto",X1461="Variable",D1461&lt;&gt;catTrading,S1461&gt;0,S1461&lt;=Umbral),1,0))</f>
        <v/>
      </c>
      <c r="AB1461" s="52">
        <f>IF(OR(P1461="",Q1461=""),"",IFERROR(IF(INDEX(ctaVinc,MATCH(Q1461,ctaNombre,0))&amp;""&lt;&gt;"",INDEX(ctaVinc,MATCH(Q1461,ctaNombre,0))&amp;"",Q1461),Q1461))</f>
        <v/>
      </c>
      <c r="AC1461" s="52">
        <f>IF(OR(K1461="",AND(P1461&lt;&gt;"Transferencia",P1461&lt;&gt;"Pago tarjeta")),"",IFERROR(IF(INDEX(ctaVinc,MATCH(K1461,ctaNombre,0))&amp;""&lt;&gt;"",INDEX(ctaVinc,MATCH(K1461,ctaNombre,0))&amp;"",K1461),K1461))</f>
        <v/>
      </c>
      <c r="AD1461" s="52">
        <f>IF(AB1461="","",IFERROR(INDEX(ctaTipo,MATCH(AB1461,ctaNombre,0))&amp;"",""))</f>
        <v/>
      </c>
      <c r="AE1461" s="52">
        <f>IF(AC1461="","",IFERROR(INDEX(ctaTipo,MATCH(AC1461,ctaNombre,0))&amp;"",""))</f>
        <v/>
      </c>
      <c r="AF1461" s="53">
        <f>IF(OR(P1461="",AB1461=""),"",IF(OR(P1461="Gasto",P1461="Transferencia",P1461="Pago tarjeta"),-1,1)*IF(IFERROR(INDEX(ctaMoneda,MATCH(AB1461,ctaNombre,0))&amp;"","DOP")="USD",T1461,S1461))</f>
        <v/>
      </c>
      <c r="AG1461" s="53">
        <f>IF(AC1461="","",IF(IFERROR(INDEX(ctaMoneda,MATCH(AC1461,ctaNombre,0))&amp;"","DOP")="USD",T1461,S1461))</f>
        <v/>
      </c>
      <c r="AH1461" s="53">
        <f>IF(P1461="","",IF(AND(AD1461&lt;&gt;"",COUNTIFS(tcTipo,AD1461,tcLiq,"Sí")&gt;0),IF(OR(P1461="Gasto",P1461="Transferencia",P1461="Pago tarjeta"),-1,1)*S1461,0)+IF(AND(AE1461&lt;&gt;"",COUNTIFS(tcTipo,AE1461,tcLiq,"Sí")&gt;0),S1461,0))</f>
        <v/>
      </c>
      <c r="AI1461" s="52">
        <f>IF(OR(L1461="",P1461=""),"",IF(COUNTIFS(L$6:L1461,L1461,P$6:P1461,"?*")=1,MAX(AI$5:AI1460)+1,""))</f>
        <v/>
      </c>
    </row>
    <row r="1462">
      <c r="B1462" s="47" t="n"/>
      <c r="C1462" s="48" t="n"/>
      <c r="D1462" s="48" t="n"/>
      <c r="E1462" s="48" t="n"/>
      <c r="F1462" s="48" t="n"/>
      <c r="G1462" s="49" t="n"/>
      <c r="H1462" s="48" t="n"/>
      <c r="I1462" s="50" t="n"/>
      <c r="J1462" s="48" t="n"/>
      <c r="K1462" s="48" t="n"/>
      <c r="L1462" s="48" t="n"/>
      <c r="M1462" s="48" t="n"/>
      <c r="N1462" s="48" t="n"/>
      <c r="O1462" s="51">
        <f>IF(AND(B1462="",G1462="",C1462="",D1462="",J1462=""),"",IF(B1462="","⚠ Falta fecha",IF(G1462="","⚠ Falta monto",IF(Q1462="","⚠ Falta cuenta",IF(ISNA(MATCH(Q1462,ctaNombre,0)),"⚠ Cuenta no registrada",IF(AND(OR(P1462="Gasto",P1462="Reembolso"),D1462=""),"⚠ Falta categoría",IF(AND(D1462&lt;&gt;"",E1462&lt;&gt;"",ISNA(MATCH(D1462&amp;"|"&amp;E1462,catClave,0))),"⚠ Subcategoría no corresponde",IF(AND(OR(P1462="Transferencia",P1462="Pago tarjeta"),K1462=""),"⚠ Falta cuenta destino",IF(AND(K1462&lt;&gt;"",P1462&lt;&gt;"Transferencia",P1462&lt;&gt;"Pago tarjeta"),"⚠ Destino solo aplica a transferencias",IF(AND(K1462&lt;&gt;"",K1462=Q1462),"⚠ Origen igual a destino",IF(AND(K1462&lt;&gt;"",ISNA(MATCH(K1462,ctaNombre,0))),"⚠ Destino no registrado",IF(AND(P1462="Pago tarjeta",AE1462&lt;&gt;"Tarjeta de crédito"),"⚠ El destino debe ser tarjeta de crédito",IF(AND(P1462="Gasto",E1462="Depósitos y retiros"),"⚠ Usa tipo Transferencia",IF(AND(P1462="Resultado trading",AD1462&lt;&gt;"Cuenta de trading"),"⚠ Usa una cuenta de trading",IF(AND(G1462&lt;=0,P1462&lt;&gt;"Ajuste",P1462&lt;&gt;"Resultado trading"),"⚠ El monto debe ser positivo","✓")))))))))))))))</f>
        <v/>
      </c>
      <c r="P1462" s="52">
        <f>IF(OR(B1462="",G1462=""),"",IF(C1462="","Gasto",C1462))</f>
        <v/>
      </c>
      <c r="Q1462" s="52">
        <f>IF(P1462="","",IF(J1462&lt;&gt;"",J1462,CuentaPred&amp;""))</f>
        <v/>
      </c>
      <c r="R1462" s="52">
        <f>IF(P1462="","",IF(ISNUMBER(I1462),I1462,TasaUSD))</f>
        <v/>
      </c>
      <c r="S1462" s="53">
        <f>IF(P1462="","",IF(H1462="USD",G1462*R1462,G1462))</f>
        <v/>
      </c>
      <c r="T1462" s="53">
        <f>IF(P1462="","",IF(H1462="USD",G1462,IF(R1462&gt;0,G1462/R1462,0)))</f>
        <v/>
      </c>
      <c r="U1462" s="53">
        <f>IF(P1462="","",IF(P1462="Gasto",S1462,IF(P1462="Reembolso",-S1462,0)))</f>
        <v/>
      </c>
      <c r="V1462" s="53">
        <f>IF(P1462="","",IF(P1462="Ingreso",S1462,0))</f>
        <v/>
      </c>
      <c r="W1462" s="53">
        <f>IF(P1462="","",IF(P1462="Resultado trading",S1462,0))</f>
        <v/>
      </c>
      <c r="X1462" s="52">
        <f>IF(OR(P1462="Gasto",P1462="Reembolso"),IF(M1462&lt;&gt;"",M1462,IFERROR(INDEX(catClasif,MATCH(D1462&amp;"|"&amp;E1462,catClave,0))&amp;"","Variable")),"")</f>
        <v/>
      </c>
      <c r="Y1462" s="52">
        <f>IF(P1462="","",IFERROR(INDEX(catGrupo,MATCH(D1462&amp;"|"&amp;E1462,catClave,0))&amp;"",""))</f>
        <v/>
      </c>
      <c r="Z1462" s="52">
        <f>IF(P1462="","",WEEKDAY(B1462,2))</f>
        <v/>
      </c>
      <c r="AA1462" s="52">
        <f>IF(P1462="","",IF(AND(P1462="Gasto",X1462="Variable",D1462&lt;&gt;catTrading,S1462&gt;0,S1462&lt;=Umbral),1,0))</f>
        <v/>
      </c>
      <c r="AB1462" s="52">
        <f>IF(OR(P1462="",Q1462=""),"",IFERROR(IF(INDEX(ctaVinc,MATCH(Q1462,ctaNombre,0))&amp;""&lt;&gt;"",INDEX(ctaVinc,MATCH(Q1462,ctaNombre,0))&amp;"",Q1462),Q1462))</f>
        <v/>
      </c>
      <c r="AC1462" s="52">
        <f>IF(OR(K1462="",AND(P1462&lt;&gt;"Transferencia",P1462&lt;&gt;"Pago tarjeta")),"",IFERROR(IF(INDEX(ctaVinc,MATCH(K1462,ctaNombre,0))&amp;""&lt;&gt;"",INDEX(ctaVinc,MATCH(K1462,ctaNombre,0))&amp;"",K1462),K1462))</f>
        <v/>
      </c>
      <c r="AD1462" s="52">
        <f>IF(AB1462="","",IFERROR(INDEX(ctaTipo,MATCH(AB1462,ctaNombre,0))&amp;"",""))</f>
        <v/>
      </c>
      <c r="AE1462" s="52">
        <f>IF(AC1462="","",IFERROR(INDEX(ctaTipo,MATCH(AC1462,ctaNombre,0))&amp;"",""))</f>
        <v/>
      </c>
      <c r="AF1462" s="53">
        <f>IF(OR(P1462="",AB1462=""),"",IF(OR(P1462="Gasto",P1462="Transferencia",P1462="Pago tarjeta"),-1,1)*IF(IFERROR(INDEX(ctaMoneda,MATCH(AB1462,ctaNombre,0))&amp;"","DOP")="USD",T1462,S1462))</f>
        <v/>
      </c>
      <c r="AG1462" s="53">
        <f>IF(AC1462="","",IF(IFERROR(INDEX(ctaMoneda,MATCH(AC1462,ctaNombre,0))&amp;"","DOP")="USD",T1462,S1462))</f>
        <v/>
      </c>
      <c r="AH1462" s="53">
        <f>IF(P1462="","",IF(AND(AD1462&lt;&gt;"",COUNTIFS(tcTipo,AD1462,tcLiq,"Sí")&gt;0),IF(OR(P1462="Gasto",P1462="Transferencia",P1462="Pago tarjeta"),-1,1)*S1462,0)+IF(AND(AE1462&lt;&gt;"",COUNTIFS(tcTipo,AE1462,tcLiq,"Sí")&gt;0),S1462,0))</f>
        <v/>
      </c>
      <c r="AI1462" s="52">
        <f>IF(OR(L1462="",P1462=""),"",IF(COUNTIFS(L$6:L1462,L1462,P$6:P1462,"?*")=1,MAX(AI$5:AI1461)+1,""))</f>
        <v/>
      </c>
    </row>
    <row r="1463">
      <c r="B1463" s="47" t="n"/>
      <c r="C1463" s="48" t="n"/>
      <c r="D1463" s="48" t="n"/>
      <c r="E1463" s="48" t="n"/>
      <c r="F1463" s="48" t="n"/>
      <c r="G1463" s="49" t="n"/>
      <c r="H1463" s="48" t="n"/>
      <c r="I1463" s="50" t="n"/>
      <c r="J1463" s="48" t="n"/>
      <c r="K1463" s="48" t="n"/>
      <c r="L1463" s="48" t="n"/>
      <c r="M1463" s="48" t="n"/>
      <c r="N1463" s="48" t="n"/>
      <c r="O1463" s="51">
        <f>IF(AND(B1463="",G1463="",C1463="",D1463="",J1463=""),"",IF(B1463="","⚠ Falta fecha",IF(G1463="","⚠ Falta monto",IF(Q1463="","⚠ Falta cuenta",IF(ISNA(MATCH(Q1463,ctaNombre,0)),"⚠ Cuenta no registrada",IF(AND(OR(P1463="Gasto",P1463="Reembolso"),D1463=""),"⚠ Falta categoría",IF(AND(D1463&lt;&gt;"",E1463&lt;&gt;"",ISNA(MATCH(D1463&amp;"|"&amp;E1463,catClave,0))),"⚠ Subcategoría no corresponde",IF(AND(OR(P1463="Transferencia",P1463="Pago tarjeta"),K1463=""),"⚠ Falta cuenta destino",IF(AND(K1463&lt;&gt;"",P1463&lt;&gt;"Transferencia",P1463&lt;&gt;"Pago tarjeta"),"⚠ Destino solo aplica a transferencias",IF(AND(K1463&lt;&gt;"",K1463=Q1463),"⚠ Origen igual a destino",IF(AND(K1463&lt;&gt;"",ISNA(MATCH(K1463,ctaNombre,0))),"⚠ Destino no registrado",IF(AND(P1463="Pago tarjeta",AE1463&lt;&gt;"Tarjeta de crédito"),"⚠ El destino debe ser tarjeta de crédito",IF(AND(P1463="Gasto",E1463="Depósitos y retiros"),"⚠ Usa tipo Transferencia",IF(AND(P1463="Resultado trading",AD1463&lt;&gt;"Cuenta de trading"),"⚠ Usa una cuenta de trading",IF(AND(G1463&lt;=0,P1463&lt;&gt;"Ajuste",P1463&lt;&gt;"Resultado trading"),"⚠ El monto debe ser positivo","✓")))))))))))))))</f>
        <v/>
      </c>
      <c r="P1463" s="52">
        <f>IF(OR(B1463="",G1463=""),"",IF(C1463="","Gasto",C1463))</f>
        <v/>
      </c>
      <c r="Q1463" s="52">
        <f>IF(P1463="","",IF(J1463&lt;&gt;"",J1463,CuentaPred&amp;""))</f>
        <v/>
      </c>
      <c r="R1463" s="52">
        <f>IF(P1463="","",IF(ISNUMBER(I1463),I1463,TasaUSD))</f>
        <v/>
      </c>
      <c r="S1463" s="53">
        <f>IF(P1463="","",IF(H1463="USD",G1463*R1463,G1463))</f>
        <v/>
      </c>
      <c r="T1463" s="53">
        <f>IF(P1463="","",IF(H1463="USD",G1463,IF(R1463&gt;0,G1463/R1463,0)))</f>
        <v/>
      </c>
      <c r="U1463" s="53">
        <f>IF(P1463="","",IF(P1463="Gasto",S1463,IF(P1463="Reembolso",-S1463,0)))</f>
        <v/>
      </c>
      <c r="V1463" s="53">
        <f>IF(P1463="","",IF(P1463="Ingreso",S1463,0))</f>
        <v/>
      </c>
      <c r="W1463" s="53">
        <f>IF(P1463="","",IF(P1463="Resultado trading",S1463,0))</f>
        <v/>
      </c>
      <c r="X1463" s="52">
        <f>IF(OR(P1463="Gasto",P1463="Reembolso"),IF(M1463&lt;&gt;"",M1463,IFERROR(INDEX(catClasif,MATCH(D1463&amp;"|"&amp;E1463,catClave,0))&amp;"","Variable")),"")</f>
        <v/>
      </c>
      <c r="Y1463" s="52">
        <f>IF(P1463="","",IFERROR(INDEX(catGrupo,MATCH(D1463&amp;"|"&amp;E1463,catClave,0))&amp;"",""))</f>
        <v/>
      </c>
      <c r="Z1463" s="52">
        <f>IF(P1463="","",WEEKDAY(B1463,2))</f>
        <v/>
      </c>
      <c r="AA1463" s="52">
        <f>IF(P1463="","",IF(AND(P1463="Gasto",X1463="Variable",D1463&lt;&gt;catTrading,S1463&gt;0,S1463&lt;=Umbral),1,0))</f>
        <v/>
      </c>
      <c r="AB1463" s="52">
        <f>IF(OR(P1463="",Q1463=""),"",IFERROR(IF(INDEX(ctaVinc,MATCH(Q1463,ctaNombre,0))&amp;""&lt;&gt;"",INDEX(ctaVinc,MATCH(Q1463,ctaNombre,0))&amp;"",Q1463),Q1463))</f>
        <v/>
      </c>
      <c r="AC1463" s="52">
        <f>IF(OR(K1463="",AND(P1463&lt;&gt;"Transferencia",P1463&lt;&gt;"Pago tarjeta")),"",IFERROR(IF(INDEX(ctaVinc,MATCH(K1463,ctaNombre,0))&amp;""&lt;&gt;"",INDEX(ctaVinc,MATCH(K1463,ctaNombre,0))&amp;"",K1463),K1463))</f>
        <v/>
      </c>
      <c r="AD1463" s="52">
        <f>IF(AB1463="","",IFERROR(INDEX(ctaTipo,MATCH(AB1463,ctaNombre,0))&amp;"",""))</f>
        <v/>
      </c>
      <c r="AE1463" s="52">
        <f>IF(AC1463="","",IFERROR(INDEX(ctaTipo,MATCH(AC1463,ctaNombre,0))&amp;"",""))</f>
        <v/>
      </c>
      <c r="AF1463" s="53">
        <f>IF(OR(P1463="",AB1463=""),"",IF(OR(P1463="Gasto",P1463="Transferencia",P1463="Pago tarjeta"),-1,1)*IF(IFERROR(INDEX(ctaMoneda,MATCH(AB1463,ctaNombre,0))&amp;"","DOP")="USD",T1463,S1463))</f>
        <v/>
      </c>
      <c r="AG1463" s="53">
        <f>IF(AC1463="","",IF(IFERROR(INDEX(ctaMoneda,MATCH(AC1463,ctaNombre,0))&amp;"","DOP")="USD",T1463,S1463))</f>
        <v/>
      </c>
      <c r="AH1463" s="53">
        <f>IF(P1463="","",IF(AND(AD1463&lt;&gt;"",COUNTIFS(tcTipo,AD1463,tcLiq,"Sí")&gt;0),IF(OR(P1463="Gasto",P1463="Transferencia",P1463="Pago tarjeta"),-1,1)*S1463,0)+IF(AND(AE1463&lt;&gt;"",COUNTIFS(tcTipo,AE1463,tcLiq,"Sí")&gt;0),S1463,0))</f>
        <v/>
      </c>
      <c r="AI1463" s="52">
        <f>IF(OR(L1463="",P1463=""),"",IF(COUNTIFS(L$6:L1463,L1463,P$6:P1463,"?*")=1,MAX(AI$5:AI1462)+1,""))</f>
        <v/>
      </c>
    </row>
    <row r="1464">
      <c r="B1464" s="47" t="n"/>
      <c r="C1464" s="48" t="n"/>
      <c r="D1464" s="48" t="n"/>
      <c r="E1464" s="48" t="n"/>
      <c r="F1464" s="48" t="n"/>
      <c r="G1464" s="49" t="n"/>
      <c r="H1464" s="48" t="n"/>
      <c r="I1464" s="50" t="n"/>
      <c r="J1464" s="48" t="n"/>
      <c r="K1464" s="48" t="n"/>
      <c r="L1464" s="48" t="n"/>
      <c r="M1464" s="48" t="n"/>
      <c r="N1464" s="48" t="n"/>
      <c r="O1464" s="51">
        <f>IF(AND(B1464="",G1464="",C1464="",D1464="",J1464=""),"",IF(B1464="","⚠ Falta fecha",IF(G1464="","⚠ Falta monto",IF(Q1464="","⚠ Falta cuenta",IF(ISNA(MATCH(Q1464,ctaNombre,0)),"⚠ Cuenta no registrada",IF(AND(OR(P1464="Gasto",P1464="Reembolso"),D1464=""),"⚠ Falta categoría",IF(AND(D1464&lt;&gt;"",E1464&lt;&gt;"",ISNA(MATCH(D1464&amp;"|"&amp;E1464,catClave,0))),"⚠ Subcategoría no corresponde",IF(AND(OR(P1464="Transferencia",P1464="Pago tarjeta"),K1464=""),"⚠ Falta cuenta destino",IF(AND(K1464&lt;&gt;"",P1464&lt;&gt;"Transferencia",P1464&lt;&gt;"Pago tarjeta"),"⚠ Destino solo aplica a transferencias",IF(AND(K1464&lt;&gt;"",K1464=Q1464),"⚠ Origen igual a destino",IF(AND(K1464&lt;&gt;"",ISNA(MATCH(K1464,ctaNombre,0))),"⚠ Destino no registrado",IF(AND(P1464="Pago tarjeta",AE1464&lt;&gt;"Tarjeta de crédito"),"⚠ El destino debe ser tarjeta de crédito",IF(AND(P1464="Gasto",E1464="Depósitos y retiros"),"⚠ Usa tipo Transferencia",IF(AND(P1464="Resultado trading",AD1464&lt;&gt;"Cuenta de trading"),"⚠ Usa una cuenta de trading",IF(AND(G1464&lt;=0,P1464&lt;&gt;"Ajuste",P1464&lt;&gt;"Resultado trading"),"⚠ El monto debe ser positivo","✓")))))))))))))))</f>
        <v/>
      </c>
      <c r="P1464" s="52">
        <f>IF(OR(B1464="",G1464=""),"",IF(C1464="","Gasto",C1464))</f>
        <v/>
      </c>
      <c r="Q1464" s="52">
        <f>IF(P1464="","",IF(J1464&lt;&gt;"",J1464,CuentaPred&amp;""))</f>
        <v/>
      </c>
      <c r="R1464" s="52">
        <f>IF(P1464="","",IF(ISNUMBER(I1464),I1464,TasaUSD))</f>
        <v/>
      </c>
      <c r="S1464" s="53">
        <f>IF(P1464="","",IF(H1464="USD",G1464*R1464,G1464))</f>
        <v/>
      </c>
      <c r="T1464" s="53">
        <f>IF(P1464="","",IF(H1464="USD",G1464,IF(R1464&gt;0,G1464/R1464,0)))</f>
        <v/>
      </c>
      <c r="U1464" s="53">
        <f>IF(P1464="","",IF(P1464="Gasto",S1464,IF(P1464="Reembolso",-S1464,0)))</f>
        <v/>
      </c>
      <c r="V1464" s="53">
        <f>IF(P1464="","",IF(P1464="Ingreso",S1464,0))</f>
        <v/>
      </c>
      <c r="W1464" s="53">
        <f>IF(P1464="","",IF(P1464="Resultado trading",S1464,0))</f>
        <v/>
      </c>
      <c r="X1464" s="52">
        <f>IF(OR(P1464="Gasto",P1464="Reembolso"),IF(M1464&lt;&gt;"",M1464,IFERROR(INDEX(catClasif,MATCH(D1464&amp;"|"&amp;E1464,catClave,0))&amp;"","Variable")),"")</f>
        <v/>
      </c>
      <c r="Y1464" s="52">
        <f>IF(P1464="","",IFERROR(INDEX(catGrupo,MATCH(D1464&amp;"|"&amp;E1464,catClave,0))&amp;"",""))</f>
        <v/>
      </c>
      <c r="Z1464" s="52">
        <f>IF(P1464="","",WEEKDAY(B1464,2))</f>
        <v/>
      </c>
      <c r="AA1464" s="52">
        <f>IF(P1464="","",IF(AND(P1464="Gasto",X1464="Variable",D1464&lt;&gt;catTrading,S1464&gt;0,S1464&lt;=Umbral),1,0))</f>
        <v/>
      </c>
      <c r="AB1464" s="52">
        <f>IF(OR(P1464="",Q1464=""),"",IFERROR(IF(INDEX(ctaVinc,MATCH(Q1464,ctaNombre,0))&amp;""&lt;&gt;"",INDEX(ctaVinc,MATCH(Q1464,ctaNombre,0))&amp;"",Q1464),Q1464))</f>
        <v/>
      </c>
      <c r="AC1464" s="52">
        <f>IF(OR(K1464="",AND(P1464&lt;&gt;"Transferencia",P1464&lt;&gt;"Pago tarjeta")),"",IFERROR(IF(INDEX(ctaVinc,MATCH(K1464,ctaNombre,0))&amp;""&lt;&gt;"",INDEX(ctaVinc,MATCH(K1464,ctaNombre,0))&amp;"",K1464),K1464))</f>
        <v/>
      </c>
      <c r="AD1464" s="52">
        <f>IF(AB1464="","",IFERROR(INDEX(ctaTipo,MATCH(AB1464,ctaNombre,0))&amp;"",""))</f>
        <v/>
      </c>
      <c r="AE1464" s="52">
        <f>IF(AC1464="","",IFERROR(INDEX(ctaTipo,MATCH(AC1464,ctaNombre,0))&amp;"",""))</f>
        <v/>
      </c>
      <c r="AF1464" s="53">
        <f>IF(OR(P1464="",AB1464=""),"",IF(OR(P1464="Gasto",P1464="Transferencia",P1464="Pago tarjeta"),-1,1)*IF(IFERROR(INDEX(ctaMoneda,MATCH(AB1464,ctaNombre,0))&amp;"","DOP")="USD",T1464,S1464))</f>
        <v/>
      </c>
      <c r="AG1464" s="53">
        <f>IF(AC1464="","",IF(IFERROR(INDEX(ctaMoneda,MATCH(AC1464,ctaNombre,0))&amp;"","DOP")="USD",T1464,S1464))</f>
        <v/>
      </c>
      <c r="AH1464" s="53">
        <f>IF(P1464="","",IF(AND(AD1464&lt;&gt;"",COUNTIFS(tcTipo,AD1464,tcLiq,"Sí")&gt;0),IF(OR(P1464="Gasto",P1464="Transferencia",P1464="Pago tarjeta"),-1,1)*S1464,0)+IF(AND(AE1464&lt;&gt;"",COUNTIFS(tcTipo,AE1464,tcLiq,"Sí")&gt;0),S1464,0))</f>
        <v/>
      </c>
      <c r="AI1464" s="52">
        <f>IF(OR(L1464="",P1464=""),"",IF(COUNTIFS(L$6:L1464,L1464,P$6:P1464,"?*")=1,MAX(AI$5:AI1463)+1,""))</f>
        <v/>
      </c>
    </row>
    <row r="1465">
      <c r="B1465" s="47" t="n"/>
      <c r="C1465" s="48" t="n"/>
      <c r="D1465" s="48" t="n"/>
      <c r="E1465" s="48" t="n"/>
      <c r="F1465" s="48" t="n"/>
      <c r="G1465" s="49" t="n"/>
      <c r="H1465" s="48" t="n"/>
      <c r="I1465" s="50" t="n"/>
      <c r="J1465" s="48" t="n"/>
      <c r="K1465" s="48" t="n"/>
      <c r="L1465" s="48" t="n"/>
      <c r="M1465" s="48" t="n"/>
      <c r="N1465" s="48" t="n"/>
      <c r="O1465" s="51">
        <f>IF(AND(B1465="",G1465="",C1465="",D1465="",J1465=""),"",IF(B1465="","⚠ Falta fecha",IF(G1465="","⚠ Falta monto",IF(Q1465="","⚠ Falta cuenta",IF(ISNA(MATCH(Q1465,ctaNombre,0)),"⚠ Cuenta no registrada",IF(AND(OR(P1465="Gasto",P1465="Reembolso"),D1465=""),"⚠ Falta categoría",IF(AND(D1465&lt;&gt;"",E1465&lt;&gt;"",ISNA(MATCH(D1465&amp;"|"&amp;E1465,catClave,0))),"⚠ Subcategoría no corresponde",IF(AND(OR(P1465="Transferencia",P1465="Pago tarjeta"),K1465=""),"⚠ Falta cuenta destino",IF(AND(K1465&lt;&gt;"",P1465&lt;&gt;"Transferencia",P1465&lt;&gt;"Pago tarjeta"),"⚠ Destino solo aplica a transferencias",IF(AND(K1465&lt;&gt;"",K1465=Q1465),"⚠ Origen igual a destino",IF(AND(K1465&lt;&gt;"",ISNA(MATCH(K1465,ctaNombre,0))),"⚠ Destino no registrado",IF(AND(P1465="Pago tarjeta",AE1465&lt;&gt;"Tarjeta de crédito"),"⚠ El destino debe ser tarjeta de crédito",IF(AND(P1465="Gasto",E1465="Depósitos y retiros"),"⚠ Usa tipo Transferencia",IF(AND(P1465="Resultado trading",AD1465&lt;&gt;"Cuenta de trading"),"⚠ Usa una cuenta de trading",IF(AND(G1465&lt;=0,P1465&lt;&gt;"Ajuste",P1465&lt;&gt;"Resultado trading"),"⚠ El monto debe ser positivo","✓")))))))))))))))</f>
        <v/>
      </c>
      <c r="P1465" s="52">
        <f>IF(OR(B1465="",G1465=""),"",IF(C1465="","Gasto",C1465))</f>
        <v/>
      </c>
      <c r="Q1465" s="52">
        <f>IF(P1465="","",IF(J1465&lt;&gt;"",J1465,CuentaPred&amp;""))</f>
        <v/>
      </c>
      <c r="R1465" s="52">
        <f>IF(P1465="","",IF(ISNUMBER(I1465),I1465,TasaUSD))</f>
        <v/>
      </c>
      <c r="S1465" s="53">
        <f>IF(P1465="","",IF(H1465="USD",G1465*R1465,G1465))</f>
        <v/>
      </c>
      <c r="T1465" s="53">
        <f>IF(P1465="","",IF(H1465="USD",G1465,IF(R1465&gt;0,G1465/R1465,0)))</f>
        <v/>
      </c>
      <c r="U1465" s="53">
        <f>IF(P1465="","",IF(P1465="Gasto",S1465,IF(P1465="Reembolso",-S1465,0)))</f>
        <v/>
      </c>
      <c r="V1465" s="53">
        <f>IF(P1465="","",IF(P1465="Ingreso",S1465,0))</f>
        <v/>
      </c>
      <c r="W1465" s="53">
        <f>IF(P1465="","",IF(P1465="Resultado trading",S1465,0))</f>
        <v/>
      </c>
      <c r="X1465" s="52">
        <f>IF(OR(P1465="Gasto",P1465="Reembolso"),IF(M1465&lt;&gt;"",M1465,IFERROR(INDEX(catClasif,MATCH(D1465&amp;"|"&amp;E1465,catClave,0))&amp;"","Variable")),"")</f>
        <v/>
      </c>
      <c r="Y1465" s="52">
        <f>IF(P1465="","",IFERROR(INDEX(catGrupo,MATCH(D1465&amp;"|"&amp;E1465,catClave,0))&amp;"",""))</f>
        <v/>
      </c>
      <c r="Z1465" s="52">
        <f>IF(P1465="","",WEEKDAY(B1465,2))</f>
        <v/>
      </c>
      <c r="AA1465" s="52">
        <f>IF(P1465="","",IF(AND(P1465="Gasto",X1465="Variable",D1465&lt;&gt;catTrading,S1465&gt;0,S1465&lt;=Umbral),1,0))</f>
        <v/>
      </c>
      <c r="AB1465" s="52">
        <f>IF(OR(P1465="",Q1465=""),"",IFERROR(IF(INDEX(ctaVinc,MATCH(Q1465,ctaNombre,0))&amp;""&lt;&gt;"",INDEX(ctaVinc,MATCH(Q1465,ctaNombre,0))&amp;"",Q1465),Q1465))</f>
        <v/>
      </c>
      <c r="AC1465" s="52">
        <f>IF(OR(K1465="",AND(P1465&lt;&gt;"Transferencia",P1465&lt;&gt;"Pago tarjeta")),"",IFERROR(IF(INDEX(ctaVinc,MATCH(K1465,ctaNombre,0))&amp;""&lt;&gt;"",INDEX(ctaVinc,MATCH(K1465,ctaNombre,0))&amp;"",K1465),K1465))</f>
        <v/>
      </c>
      <c r="AD1465" s="52">
        <f>IF(AB1465="","",IFERROR(INDEX(ctaTipo,MATCH(AB1465,ctaNombre,0))&amp;"",""))</f>
        <v/>
      </c>
      <c r="AE1465" s="52">
        <f>IF(AC1465="","",IFERROR(INDEX(ctaTipo,MATCH(AC1465,ctaNombre,0))&amp;"",""))</f>
        <v/>
      </c>
      <c r="AF1465" s="53">
        <f>IF(OR(P1465="",AB1465=""),"",IF(OR(P1465="Gasto",P1465="Transferencia",P1465="Pago tarjeta"),-1,1)*IF(IFERROR(INDEX(ctaMoneda,MATCH(AB1465,ctaNombre,0))&amp;"","DOP")="USD",T1465,S1465))</f>
        <v/>
      </c>
      <c r="AG1465" s="53">
        <f>IF(AC1465="","",IF(IFERROR(INDEX(ctaMoneda,MATCH(AC1465,ctaNombre,0))&amp;"","DOP")="USD",T1465,S1465))</f>
        <v/>
      </c>
      <c r="AH1465" s="53">
        <f>IF(P1465="","",IF(AND(AD1465&lt;&gt;"",COUNTIFS(tcTipo,AD1465,tcLiq,"Sí")&gt;0),IF(OR(P1465="Gasto",P1465="Transferencia",P1465="Pago tarjeta"),-1,1)*S1465,0)+IF(AND(AE1465&lt;&gt;"",COUNTIFS(tcTipo,AE1465,tcLiq,"Sí")&gt;0),S1465,0))</f>
        <v/>
      </c>
      <c r="AI1465" s="52">
        <f>IF(OR(L1465="",P1465=""),"",IF(COUNTIFS(L$6:L1465,L1465,P$6:P1465,"?*")=1,MAX(AI$5:AI1464)+1,""))</f>
        <v/>
      </c>
    </row>
    <row r="1466">
      <c r="B1466" s="47" t="n"/>
      <c r="C1466" s="48" t="n"/>
      <c r="D1466" s="48" t="n"/>
      <c r="E1466" s="48" t="n"/>
      <c r="F1466" s="48" t="n"/>
      <c r="G1466" s="49" t="n"/>
      <c r="H1466" s="48" t="n"/>
      <c r="I1466" s="50" t="n"/>
      <c r="J1466" s="48" t="n"/>
      <c r="K1466" s="48" t="n"/>
      <c r="L1466" s="48" t="n"/>
      <c r="M1466" s="48" t="n"/>
      <c r="N1466" s="48" t="n"/>
      <c r="O1466" s="51">
        <f>IF(AND(B1466="",G1466="",C1466="",D1466="",J1466=""),"",IF(B1466="","⚠ Falta fecha",IF(G1466="","⚠ Falta monto",IF(Q1466="","⚠ Falta cuenta",IF(ISNA(MATCH(Q1466,ctaNombre,0)),"⚠ Cuenta no registrada",IF(AND(OR(P1466="Gasto",P1466="Reembolso"),D1466=""),"⚠ Falta categoría",IF(AND(D1466&lt;&gt;"",E1466&lt;&gt;"",ISNA(MATCH(D1466&amp;"|"&amp;E1466,catClave,0))),"⚠ Subcategoría no corresponde",IF(AND(OR(P1466="Transferencia",P1466="Pago tarjeta"),K1466=""),"⚠ Falta cuenta destino",IF(AND(K1466&lt;&gt;"",P1466&lt;&gt;"Transferencia",P1466&lt;&gt;"Pago tarjeta"),"⚠ Destino solo aplica a transferencias",IF(AND(K1466&lt;&gt;"",K1466=Q1466),"⚠ Origen igual a destino",IF(AND(K1466&lt;&gt;"",ISNA(MATCH(K1466,ctaNombre,0))),"⚠ Destino no registrado",IF(AND(P1466="Pago tarjeta",AE1466&lt;&gt;"Tarjeta de crédito"),"⚠ El destino debe ser tarjeta de crédito",IF(AND(P1466="Gasto",E1466="Depósitos y retiros"),"⚠ Usa tipo Transferencia",IF(AND(P1466="Resultado trading",AD1466&lt;&gt;"Cuenta de trading"),"⚠ Usa una cuenta de trading",IF(AND(G1466&lt;=0,P1466&lt;&gt;"Ajuste",P1466&lt;&gt;"Resultado trading"),"⚠ El monto debe ser positivo","✓")))))))))))))))</f>
        <v/>
      </c>
      <c r="P1466" s="52">
        <f>IF(OR(B1466="",G1466=""),"",IF(C1466="","Gasto",C1466))</f>
        <v/>
      </c>
      <c r="Q1466" s="52">
        <f>IF(P1466="","",IF(J1466&lt;&gt;"",J1466,CuentaPred&amp;""))</f>
        <v/>
      </c>
      <c r="R1466" s="52">
        <f>IF(P1466="","",IF(ISNUMBER(I1466),I1466,TasaUSD))</f>
        <v/>
      </c>
      <c r="S1466" s="53">
        <f>IF(P1466="","",IF(H1466="USD",G1466*R1466,G1466))</f>
        <v/>
      </c>
      <c r="T1466" s="53">
        <f>IF(P1466="","",IF(H1466="USD",G1466,IF(R1466&gt;0,G1466/R1466,0)))</f>
        <v/>
      </c>
      <c r="U1466" s="53">
        <f>IF(P1466="","",IF(P1466="Gasto",S1466,IF(P1466="Reembolso",-S1466,0)))</f>
        <v/>
      </c>
      <c r="V1466" s="53">
        <f>IF(P1466="","",IF(P1466="Ingreso",S1466,0))</f>
        <v/>
      </c>
      <c r="W1466" s="53">
        <f>IF(P1466="","",IF(P1466="Resultado trading",S1466,0))</f>
        <v/>
      </c>
      <c r="X1466" s="52">
        <f>IF(OR(P1466="Gasto",P1466="Reembolso"),IF(M1466&lt;&gt;"",M1466,IFERROR(INDEX(catClasif,MATCH(D1466&amp;"|"&amp;E1466,catClave,0))&amp;"","Variable")),"")</f>
        <v/>
      </c>
      <c r="Y1466" s="52">
        <f>IF(P1466="","",IFERROR(INDEX(catGrupo,MATCH(D1466&amp;"|"&amp;E1466,catClave,0))&amp;"",""))</f>
        <v/>
      </c>
      <c r="Z1466" s="52">
        <f>IF(P1466="","",WEEKDAY(B1466,2))</f>
        <v/>
      </c>
      <c r="AA1466" s="52">
        <f>IF(P1466="","",IF(AND(P1466="Gasto",X1466="Variable",D1466&lt;&gt;catTrading,S1466&gt;0,S1466&lt;=Umbral),1,0))</f>
        <v/>
      </c>
      <c r="AB1466" s="52">
        <f>IF(OR(P1466="",Q1466=""),"",IFERROR(IF(INDEX(ctaVinc,MATCH(Q1466,ctaNombre,0))&amp;""&lt;&gt;"",INDEX(ctaVinc,MATCH(Q1466,ctaNombre,0))&amp;"",Q1466),Q1466))</f>
        <v/>
      </c>
      <c r="AC1466" s="52">
        <f>IF(OR(K1466="",AND(P1466&lt;&gt;"Transferencia",P1466&lt;&gt;"Pago tarjeta")),"",IFERROR(IF(INDEX(ctaVinc,MATCH(K1466,ctaNombre,0))&amp;""&lt;&gt;"",INDEX(ctaVinc,MATCH(K1466,ctaNombre,0))&amp;"",K1466),K1466))</f>
        <v/>
      </c>
      <c r="AD1466" s="52">
        <f>IF(AB1466="","",IFERROR(INDEX(ctaTipo,MATCH(AB1466,ctaNombre,0))&amp;"",""))</f>
        <v/>
      </c>
      <c r="AE1466" s="52">
        <f>IF(AC1466="","",IFERROR(INDEX(ctaTipo,MATCH(AC1466,ctaNombre,0))&amp;"",""))</f>
        <v/>
      </c>
      <c r="AF1466" s="53">
        <f>IF(OR(P1466="",AB1466=""),"",IF(OR(P1466="Gasto",P1466="Transferencia",P1466="Pago tarjeta"),-1,1)*IF(IFERROR(INDEX(ctaMoneda,MATCH(AB1466,ctaNombre,0))&amp;"","DOP")="USD",T1466,S1466))</f>
        <v/>
      </c>
      <c r="AG1466" s="53">
        <f>IF(AC1466="","",IF(IFERROR(INDEX(ctaMoneda,MATCH(AC1466,ctaNombre,0))&amp;"","DOP")="USD",T1466,S1466))</f>
        <v/>
      </c>
      <c r="AH1466" s="53">
        <f>IF(P1466="","",IF(AND(AD1466&lt;&gt;"",COUNTIFS(tcTipo,AD1466,tcLiq,"Sí")&gt;0),IF(OR(P1466="Gasto",P1466="Transferencia",P1466="Pago tarjeta"),-1,1)*S1466,0)+IF(AND(AE1466&lt;&gt;"",COUNTIFS(tcTipo,AE1466,tcLiq,"Sí")&gt;0),S1466,0))</f>
        <v/>
      </c>
      <c r="AI1466" s="52">
        <f>IF(OR(L1466="",P1466=""),"",IF(COUNTIFS(L$6:L1466,L1466,P$6:P1466,"?*")=1,MAX(AI$5:AI1465)+1,""))</f>
        <v/>
      </c>
    </row>
    <row r="1467">
      <c r="B1467" s="47" t="n"/>
      <c r="C1467" s="48" t="n"/>
      <c r="D1467" s="48" t="n"/>
      <c r="E1467" s="48" t="n"/>
      <c r="F1467" s="48" t="n"/>
      <c r="G1467" s="49" t="n"/>
      <c r="H1467" s="48" t="n"/>
      <c r="I1467" s="50" t="n"/>
      <c r="J1467" s="48" t="n"/>
      <c r="K1467" s="48" t="n"/>
      <c r="L1467" s="48" t="n"/>
      <c r="M1467" s="48" t="n"/>
      <c r="N1467" s="48" t="n"/>
      <c r="O1467" s="51">
        <f>IF(AND(B1467="",G1467="",C1467="",D1467="",J1467=""),"",IF(B1467="","⚠ Falta fecha",IF(G1467="","⚠ Falta monto",IF(Q1467="","⚠ Falta cuenta",IF(ISNA(MATCH(Q1467,ctaNombre,0)),"⚠ Cuenta no registrada",IF(AND(OR(P1467="Gasto",P1467="Reembolso"),D1467=""),"⚠ Falta categoría",IF(AND(D1467&lt;&gt;"",E1467&lt;&gt;"",ISNA(MATCH(D1467&amp;"|"&amp;E1467,catClave,0))),"⚠ Subcategoría no corresponde",IF(AND(OR(P1467="Transferencia",P1467="Pago tarjeta"),K1467=""),"⚠ Falta cuenta destino",IF(AND(K1467&lt;&gt;"",P1467&lt;&gt;"Transferencia",P1467&lt;&gt;"Pago tarjeta"),"⚠ Destino solo aplica a transferencias",IF(AND(K1467&lt;&gt;"",K1467=Q1467),"⚠ Origen igual a destino",IF(AND(K1467&lt;&gt;"",ISNA(MATCH(K1467,ctaNombre,0))),"⚠ Destino no registrado",IF(AND(P1467="Pago tarjeta",AE1467&lt;&gt;"Tarjeta de crédito"),"⚠ El destino debe ser tarjeta de crédito",IF(AND(P1467="Gasto",E1467="Depósitos y retiros"),"⚠ Usa tipo Transferencia",IF(AND(P1467="Resultado trading",AD1467&lt;&gt;"Cuenta de trading"),"⚠ Usa una cuenta de trading",IF(AND(G1467&lt;=0,P1467&lt;&gt;"Ajuste",P1467&lt;&gt;"Resultado trading"),"⚠ El monto debe ser positivo","✓")))))))))))))))</f>
        <v/>
      </c>
      <c r="P1467" s="52">
        <f>IF(OR(B1467="",G1467=""),"",IF(C1467="","Gasto",C1467))</f>
        <v/>
      </c>
      <c r="Q1467" s="52">
        <f>IF(P1467="","",IF(J1467&lt;&gt;"",J1467,CuentaPred&amp;""))</f>
        <v/>
      </c>
      <c r="R1467" s="52">
        <f>IF(P1467="","",IF(ISNUMBER(I1467),I1467,TasaUSD))</f>
        <v/>
      </c>
      <c r="S1467" s="53">
        <f>IF(P1467="","",IF(H1467="USD",G1467*R1467,G1467))</f>
        <v/>
      </c>
      <c r="T1467" s="53">
        <f>IF(P1467="","",IF(H1467="USD",G1467,IF(R1467&gt;0,G1467/R1467,0)))</f>
        <v/>
      </c>
      <c r="U1467" s="53">
        <f>IF(P1467="","",IF(P1467="Gasto",S1467,IF(P1467="Reembolso",-S1467,0)))</f>
        <v/>
      </c>
      <c r="V1467" s="53">
        <f>IF(P1467="","",IF(P1467="Ingreso",S1467,0))</f>
        <v/>
      </c>
      <c r="W1467" s="53">
        <f>IF(P1467="","",IF(P1467="Resultado trading",S1467,0))</f>
        <v/>
      </c>
      <c r="X1467" s="52">
        <f>IF(OR(P1467="Gasto",P1467="Reembolso"),IF(M1467&lt;&gt;"",M1467,IFERROR(INDEX(catClasif,MATCH(D1467&amp;"|"&amp;E1467,catClave,0))&amp;"","Variable")),"")</f>
        <v/>
      </c>
      <c r="Y1467" s="52">
        <f>IF(P1467="","",IFERROR(INDEX(catGrupo,MATCH(D1467&amp;"|"&amp;E1467,catClave,0))&amp;"",""))</f>
        <v/>
      </c>
      <c r="Z1467" s="52">
        <f>IF(P1467="","",WEEKDAY(B1467,2))</f>
        <v/>
      </c>
      <c r="AA1467" s="52">
        <f>IF(P1467="","",IF(AND(P1467="Gasto",X1467="Variable",D1467&lt;&gt;catTrading,S1467&gt;0,S1467&lt;=Umbral),1,0))</f>
        <v/>
      </c>
      <c r="AB1467" s="52">
        <f>IF(OR(P1467="",Q1467=""),"",IFERROR(IF(INDEX(ctaVinc,MATCH(Q1467,ctaNombre,0))&amp;""&lt;&gt;"",INDEX(ctaVinc,MATCH(Q1467,ctaNombre,0))&amp;"",Q1467),Q1467))</f>
        <v/>
      </c>
      <c r="AC1467" s="52">
        <f>IF(OR(K1467="",AND(P1467&lt;&gt;"Transferencia",P1467&lt;&gt;"Pago tarjeta")),"",IFERROR(IF(INDEX(ctaVinc,MATCH(K1467,ctaNombre,0))&amp;""&lt;&gt;"",INDEX(ctaVinc,MATCH(K1467,ctaNombre,0))&amp;"",K1467),K1467))</f>
        <v/>
      </c>
      <c r="AD1467" s="52">
        <f>IF(AB1467="","",IFERROR(INDEX(ctaTipo,MATCH(AB1467,ctaNombre,0))&amp;"",""))</f>
        <v/>
      </c>
      <c r="AE1467" s="52">
        <f>IF(AC1467="","",IFERROR(INDEX(ctaTipo,MATCH(AC1467,ctaNombre,0))&amp;"",""))</f>
        <v/>
      </c>
      <c r="AF1467" s="53">
        <f>IF(OR(P1467="",AB1467=""),"",IF(OR(P1467="Gasto",P1467="Transferencia",P1467="Pago tarjeta"),-1,1)*IF(IFERROR(INDEX(ctaMoneda,MATCH(AB1467,ctaNombre,0))&amp;"","DOP")="USD",T1467,S1467))</f>
        <v/>
      </c>
      <c r="AG1467" s="53">
        <f>IF(AC1467="","",IF(IFERROR(INDEX(ctaMoneda,MATCH(AC1467,ctaNombre,0))&amp;"","DOP")="USD",T1467,S1467))</f>
        <v/>
      </c>
      <c r="AH1467" s="53">
        <f>IF(P1467="","",IF(AND(AD1467&lt;&gt;"",COUNTIFS(tcTipo,AD1467,tcLiq,"Sí")&gt;0),IF(OR(P1467="Gasto",P1467="Transferencia",P1467="Pago tarjeta"),-1,1)*S1467,0)+IF(AND(AE1467&lt;&gt;"",COUNTIFS(tcTipo,AE1467,tcLiq,"Sí")&gt;0),S1467,0))</f>
        <v/>
      </c>
      <c r="AI1467" s="52">
        <f>IF(OR(L1467="",P1467=""),"",IF(COUNTIFS(L$6:L1467,L1467,P$6:P1467,"?*")=1,MAX(AI$5:AI1466)+1,""))</f>
        <v/>
      </c>
    </row>
    <row r="1468">
      <c r="B1468" s="47" t="n"/>
      <c r="C1468" s="48" t="n"/>
      <c r="D1468" s="48" t="n"/>
      <c r="E1468" s="48" t="n"/>
      <c r="F1468" s="48" t="n"/>
      <c r="G1468" s="49" t="n"/>
      <c r="H1468" s="48" t="n"/>
      <c r="I1468" s="50" t="n"/>
      <c r="J1468" s="48" t="n"/>
      <c r="K1468" s="48" t="n"/>
      <c r="L1468" s="48" t="n"/>
      <c r="M1468" s="48" t="n"/>
      <c r="N1468" s="48" t="n"/>
      <c r="O1468" s="51">
        <f>IF(AND(B1468="",G1468="",C1468="",D1468="",J1468=""),"",IF(B1468="","⚠ Falta fecha",IF(G1468="","⚠ Falta monto",IF(Q1468="","⚠ Falta cuenta",IF(ISNA(MATCH(Q1468,ctaNombre,0)),"⚠ Cuenta no registrada",IF(AND(OR(P1468="Gasto",P1468="Reembolso"),D1468=""),"⚠ Falta categoría",IF(AND(D1468&lt;&gt;"",E1468&lt;&gt;"",ISNA(MATCH(D1468&amp;"|"&amp;E1468,catClave,0))),"⚠ Subcategoría no corresponde",IF(AND(OR(P1468="Transferencia",P1468="Pago tarjeta"),K1468=""),"⚠ Falta cuenta destino",IF(AND(K1468&lt;&gt;"",P1468&lt;&gt;"Transferencia",P1468&lt;&gt;"Pago tarjeta"),"⚠ Destino solo aplica a transferencias",IF(AND(K1468&lt;&gt;"",K1468=Q1468),"⚠ Origen igual a destino",IF(AND(K1468&lt;&gt;"",ISNA(MATCH(K1468,ctaNombre,0))),"⚠ Destino no registrado",IF(AND(P1468="Pago tarjeta",AE1468&lt;&gt;"Tarjeta de crédito"),"⚠ El destino debe ser tarjeta de crédito",IF(AND(P1468="Gasto",E1468="Depósitos y retiros"),"⚠ Usa tipo Transferencia",IF(AND(P1468="Resultado trading",AD1468&lt;&gt;"Cuenta de trading"),"⚠ Usa una cuenta de trading",IF(AND(G1468&lt;=0,P1468&lt;&gt;"Ajuste",P1468&lt;&gt;"Resultado trading"),"⚠ El monto debe ser positivo","✓")))))))))))))))</f>
        <v/>
      </c>
      <c r="P1468" s="52">
        <f>IF(OR(B1468="",G1468=""),"",IF(C1468="","Gasto",C1468))</f>
        <v/>
      </c>
      <c r="Q1468" s="52">
        <f>IF(P1468="","",IF(J1468&lt;&gt;"",J1468,CuentaPred&amp;""))</f>
        <v/>
      </c>
      <c r="R1468" s="52">
        <f>IF(P1468="","",IF(ISNUMBER(I1468),I1468,TasaUSD))</f>
        <v/>
      </c>
      <c r="S1468" s="53">
        <f>IF(P1468="","",IF(H1468="USD",G1468*R1468,G1468))</f>
        <v/>
      </c>
      <c r="T1468" s="53">
        <f>IF(P1468="","",IF(H1468="USD",G1468,IF(R1468&gt;0,G1468/R1468,0)))</f>
        <v/>
      </c>
      <c r="U1468" s="53">
        <f>IF(P1468="","",IF(P1468="Gasto",S1468,IF(P1468="Reembolso",-S1468,0)))</f>
        <v/>
      </c>
      <c r="V1468" s="53">
        <f>IF(P1468="","",IF(P1468="Ingreso",S1468,0))</f>
        <v/>
      </c>
      <c r="W1468" s="53">
        <f>IF(P1468="","",IF(P1468="Resultado trading",S1468,0))</f>
        <v/>
      </c>
      <c r="X1468" s="52">
        <f>IF(OR(P1468="Gasto",P1468="Reembolso"),IF(M1468&lt;&gt;"",M1468,IFERROR(INDEX(catClasif,MATCH(D1468&amp;"|"&amp;E1468,catClave,0))&amp;"","Variable")),"")</f>
        <v/>
      </c>
      <c r="Y1468" s="52">
        <f>IF(P1468="","",IFERROR(INDEX(catGrupo,MATCH(D1468&amp;"|"&amp;E1468,catClave,0))&amp;"",""))</f>
        <v/>
      </c>
      <c r="Z1468" s="52">
        <f>IF(P1468="","",WEEKDAY(B1468,2))</f>
        <v/>
      </c>
      <c r="AA1468" s="52">
        <f>IF(P1468="","",IF(AND(P1468="Gasto",X1468="Variable",D1468&lt;&gt;catTrading,S1468&gt;0,S1468&lt;=Umbral),1,0))</f>
        <v/>
      </c>
      <c r="AB1468" s="52">
        <f>IF(OR(P1468="",Q1468=""),"",IFERROR(IF(INDEX(ctaVinc,MATCH(Q1468,ctaNombre,0))&amp;""&lt;&gt;"",INDEX(ctaVinc,MATCH(Q1468,ctaNombre,0))&amp;"",Q1468),Q1468))</f>
        <v/>
      </c>
      <c r="AC1468" s="52">
        <f>IF(OR(K1468="",AND(P1468&lt;&gt;"Transferencia",P1468&lt;&gt;"Pago tarjeta")),"",IFERROR(IF(INDEX(ctaVinc,MATCH(K1468,ctaNombre,0))&amp;""&lt;&gt;"",INDEX(ctaVinc,MATCH(K1468,ctaNombre,0))&amp;"",K1468),K1468))</f>
        <v/>
      </c>
      <c r="AD1468" s="52">
        <f>IF(AB1468="","",IFERROR(INDEX(ctaTipo,MATCH(AB1468,ctaNombre,0))&amp;"",""))</f>
        <v/>
      </c>
      <c r="AE1468" s="52">
        <f>IF(AC1468="","",IFERROR(INDEX(ctaTipo,MATCH(AC1468,ctaNombre,0))&amp;"",""))</f>
        <v/>
      </c>
      <c r="AF1468" s="53">
        <f>IF(OR(P1468="",AB1468=""),"",IF(OR(P1468="Gasto",P1468="Transferencia",P1468="Pago tarjeta"),-1,1)*IF(IFERROR(INDEX(ctaMoneda,MATCH(AB1468,ctaNombre,0))&amp;"","DOP")="USD",T1468,S1468))</f>
        <v/>
      </c>
      <c r="AG1468" s="53">
        <f>IF(AC1468="","",IF(IFERROR(INDEX(ctaMoneda,MATCH(AC1468,ctaNombre,0))&amp;"","DOP")="USD",T1468,S1468))</f>
        <v/>
      </c>
      <c r="AH1468" s="53">
        <f>IF(P1468="","",IF(AND(AD1468&lt;&gt;"",COUNTIFS(tcTipo,AD1468,tcLiq,"Sí")&gt;0),IF(OR(P1468="Gasto",P1468="Transferencia",P1468="Pago tarjeta"),-1,1)*S1468,0)+IF(AND(AE1468&lt;&gt;"",COUNTIFS(tcTipo,AE1468,tcLiq,"Sí")&gt;0),S1468,0))</f>
        <v/>
      </c>
      <c r="AI1468" s="52">
        <f>IF(OR(L1468="",P1468=""),"",IF(COUNTIFS(L$6:L1468,L1468,P$6:P1468,"?*")=1,MAX(AI$5:AI1467)+1,""))</f>
        <v/>
      </c>
    </row>
    <row r="1469">
      <c r="B1469" s="47" t="n"/>
      <c r="C1469" s="48" t="n"/>
      <c r="D1469" s="48" t="n"/>
      <c r="E1469" s="48" t="n"/>
      <c r="F1469" s="48" t="n"/>
      <c r="G1469" s="49" t="n"/>
      <c r="H1469" s="48" t="n"/>
      <c r="I1469" s="50" t="n"/>
      <c r="J1469" s="48" t="n"/>
      <c r="K1469" s="48" t="n"/>
      <c r="L1469" s="48" t="n"/>
      <c r="M1469" s="48" t="n"/>
      <c r="N1469" s="48" t="n"/>
      <c r="O1469" s="51">
        <f>IF(AND(B1469="",G1469="",C1469="",D1469="",J1469=""),"",IF(B1469="","⚠ Falta fecha",IF(G1469="","⚠ Falta monto",IF(Q1469="","⚠ Falta cuenta",IF(ISNA(MATCH(Q1469,ctaNombre,0)),"⚠ Cuenta no registrada",IF(AND(OR(P1469="Gasto",P1469="Reembolso"),D1469=""),"⚠ Falta categoría",IF(AND(D1469&lt;&gt;"",E1469&lt;&gt;"",ISNA(MATCH(D1469&amp;"|"&amp;E1469,catClave,0))),"⚠ Subcategoría no corresponde",IF(AND(OR(P1469="Transferencia",P1469="Pago tarjeta"),K1469=""),"⚠ Falta cuenta destino",IF(AND(K1469&lt;&gt;"",P1469&lt;&gt;"Transferencia",P1469&lt;&gt;"Pago tarjeta"),"⚠ Destino solo aplica a transferencias",IF(AND(K1469&lt;&gt;"",K1469=Q1469),"⚠ Origen igual a destino",IF(AND(K1469&lt;&gt;"",ISNA(MATCH(K1469,ctaNombre,0))),"⚠ Destino no registrado",IF(AND(P1469="Pago tarjeta",AE1469&lt;&gt;"Tarjeta de crédito"),"⚠ El destino debe ser tarjeta de crédito",IF(AND(P1469="Gasto",E1469="Depósitos y retiros"),"⚠ Usa tipo Transferencia",IF(AND(P1469="Resultado trading",AD1469&lt;&gt;"Cuenta de trading"),"⚠ Usa una cuenta de trading",IF(AND(G1469&lt;=0,P1469&lt;&gt;"Ajuste",P1469&lt;&gt;"Resultado trading"),"⚠ El monto debe ser positivo","✓")))))))))))))))</f>
        <v/>
      </c>
      <c r="P1469" s="52">
        <f>IF(OR(B1469="",G1469=""),"",IF(C1469="","Gasto",C1469))</f>
        <v/>
      </c>
      <c r="Q1469" s="52">
        <f>IF(P1469="","",IF(J1469&lt;&gt;"",J1469,CuentaPred&amp;""))</f>
        <v/>
      </c>
      <c r="R1469" s="52">
        <f>IF(P1469="","",IF(ISNUMBER(I1469),I1469,TasaUSD))</f>
        <v/>
      </c>
      <c r="S1469" s="53">
        <f>IF(P1469="","",IF(H1469="USD",G1469*R1469,G1469))</f>
        <v/>
      </c>
      <c r="T1469" s="53">
        <f>IF(P1469="","",IF(H1469="USD",G1469,IF(R1469&gt;0,G1469/R1469,0)))</f>
        <v/>
      </c>
      <c r="U1469" s="53">
        <f>IF(P1469="","",IF(P1469="Gasto",S1469,IF(P1469="Reembolso",-S1469,0)))</f>
        <v/>
      </c>
      <c r="V1469" s="53">
        <f>IF(P1469="","",IF(P1469="Ingreso",S1469,0))</f>
        <v/>
      </c>
      <c r="W1469" s="53">
        <f>IF(P1469="","",IF(P1469="Resultado trading",S1469,0))</f>
        <v/>
      </c>
      <c r="X1469" s="52">
        <f>IF(OR(P1469="Gasto",P1469="Reembolso"),IF(M1469&lt;&gt;"",M1469,IFERROR(INDEX(catClasif,MATCH(D1469&amp;"|"&amp;E1469,catClave,0))&amp;"","Variable")),"")</f>
        <v/>
      </c>
      <c r="Y1469" s="52">
        <f>IF(P1469="","",IFERROR(INDEX(catGrupo,MATCH(D1469&amp;"|"&amp;E1469,catClave,0))&amp;"",""))</f>
        <v/>
      </c>
      <c r="Z1469" s="52">
        <f>IF(P1469="","",WEEKDAY(B1469,2))</f>
        <v/>
      </c>
      <c r="AA1469" s="52">
        <f>IF(P1469="","",IF(AND(P1469="Gasto",X1469="Variable",D1469&lt;&gt;catTrading,S1469&gt;0,S1469&lt;=Umbral),1,0))</f>
        <v/>
      </c>
      <c r="AB1469" s="52">
        <f>IF(OR(P1469="",Q1469=""),"",IFERROR(IF(INDEX(ctaVinc,MATCH(Q1469,ctaNombre,0))&amp;""&lt;&gt;"",INDEX(ctaVinc,MATCH(Q1469,ctaNombre,0))&amp;"",Q1469),Q1469))</f>
        <v/>
      </c>
      <c r="AC1469" s="52">
        <f>IF(OR(K1469="",AND(P1469&lt;&gt;"Transferencia",P1469&lt;&gt;"Pago tarjeta")),"",IFERROR(IF(INDEX(ctaVinc,MATCH(K1469,ctaNombre,0))&amp;""&lt;&gt;"",INDEX(ctaVinc,MATCH(K1469,ctaNombre,0))&amp;"",K1469),K1469))</f>
        <v/>
      </c>
      <c r="AD1469" s="52">
        <f>IF(AB1469="","",IFERROR(INDEX(ctaTipo,MATCH(AB1469,ctaNombre,0))&amp;"",""))</f>
        <v/>
      </c>
      <c r="AE1469" s="52">
        <f>IF(AC1469="","",IFERROR(INDEX(ctaTipo,MATCH(AC1469,ctaNombre,0))&amp;"",""))</f>
        <v/>
      </c>
      <c r="AF1469" s="53">
        <f>IF(OR(P1469="",AB1469=""),"",IF(OR(P1469="Gasto",P1469="Transferencia",P1469="Pago tarjeta"),-1,1)*IF(IFERROR(INDEX(ctaMoneda,MATCH(AB1469,ctaNombre,0))&amp;"","DOP")="USD",T1469,S1469))</f>
        <v/>
      </c>
      <c r="AG1469" s="53">
        <f>IF(AC1469="","",IF(IFERROR(INDEX(ctaMoneda,MATCH(AC1469,ctaNombre,0))&amp;"","DOP")="USD",T1469,S1469))</f>
        <v/>
      </c>
      <c r="AH1469" s="53">
        <f>IF(P1469="","",IF(AND(AD1469&lt;&gt;"",COUNTIFS(tcTipo,AD1469,tcLiq,"Sí")&gt;0),IF(OR(P1469="Gasto",P1469="Transferencia",P1469="Pago tarjeta"),-1,1)*S1469,0)+IF(AND(AE1469&lt;&gt;"",COUNTIFS(tcTipo,AE1469,tcLiq,"Sí")&gt;0),S1469,0))</f>
        <v/>
      </c>
      <c r="AI1469" s="52">
        <f>IF(OR(L1469="",P1469=""),"",IF(COUNTIFS(L$6:L1469,L1469,P$6:P1469,"?*")=1,MAX(AI$5:AI1468)+1,""))</f>
        <v/>
      </c>
    </row>
    <row r="1470">
      <c r="B1470" s="47" t="n"/>
      <c r="C1470" s="48" t="n"/>
      <c r="D1470" s="48" t="n"/>
      <c r="E1470" s="48" t="n"/>
      <c r="F1470" s="48" t="n"/>
      <c r="G1470" s="49" t="n"/>
      <c r="H1470" s="48" t="n"/>
      <c r="I1470" s="50" t="n"/>
      <c r="J1470" s="48" t="n"/>
      <c r="K1470" s="48" t="n"/>
      <c r="L1470" s="48" t="n"/>
      <c r="M1470" s="48" t="n"/>
      <c r="N1470" s="48" t="n"/>
      <c r="O1470" s="51">
        <f>IF(AND(B1470="",G1470="",C1470="",D1470="",J1470=""),"",IF(B1470="","⚠ Falta fecha",IF(G1470="","⚠ Falta monto",IF(Q1470="","⚠ Falta cuenta",IF(ISNA(MATCH(Q1470,ctaNombre,0)),"⚠ Cuenta no registrada",IF(AND(OR(P1470="Gasto",P1470="Reembolso"),D1470=""),"⚠ Falta categoría",IF(AND(D1470&lt;&gt;"",E1470&lt;&gt;"",ISNA(MATCH(D1470&amp;"|"&amp;E1470,catClave,0))),"⚠ Subcategoría no corresponde",IF(AND(OR(P1470="Transferencia",P1470="Pago tarjeta"),K1470=""),"⚠ Falta cuenta destino",IF(AND(K1470&lt;&gt;"",P1470&lt;&gt;"Transferencia",P1470&lt;&gt;"Pago tarjeta"),"⚠ Destino solo aplica a transferencias",IF(AND(K1470&lt;&gt;"",K1470=Q1470),"⚠ Origen igual a destino",IF(AND(K1470&lt;&gt;"",ISNA(MATCH(K1470,ctaNombre,0))),"⚠ Destino no registrado",IF(AND(P1470="Pago tarjeta",AE1470&lt;&gt;"Tarjeta de crédito"),"⚠ El destino debe ser tarjeta de crédito",IF(AND(P1470="Gasto",E1470="Depósitos y retiros"),"⚠ Usa tipo Transferencia",IF(AND(P1470="Resultado trading",AD1470&lt;&gt;"Cuenta de trading"),"⚠ Usa una cuenta de trading",IF(AND(G1470&lt;=0,P1470&lt;&gt;"Ajuste",P1470&lt;&gt;"Resultado trading"),"⚠ El monto debe ser positivo","✓")))))))))))))))</f>
        <v/>
      </c>
      <c r="P1470" s="52">
        <f>IF(OR(B1470="",G1470=""),"",IF(C1470="","Gasto",C1470))</f>
        <v/>
      </c>
      <c r="Q1470" s="52">
        <f>IF(P1470="","",IF(J1470&lt;&gt;"",J1470,CuentaPred&amp;""))</f>
        <v/>
      </c>
      <c r="R1470" s="52">
        <f>IF(P1470="","",IF(ISNUMBER(I1470),I1470,TasaUSD))</f>
        <v/>
      </c>
      <c r="S1470" s="53">
        <f>IF(P1470="","",IF(H1470="USD",G1470*R1470,G1470))</f>
        <v/>
      </c>
      <c r="T1470" s="53">
        <f>IF(P1470="","",IF(H1470="USD",G1470,IF(R1470&gt;0,G1470/R1470,0)))</f>
        <v/>
      </c>
      <c r="U1470" s="53">
        <f>IF(P1470="","",IF(P1470="Gasto",S1470,IF(P1470="Reembolso",-S1470,0)))</f>
        <v/>
      </c>
      <c r="V1470" s="53">
        <f>IF(P1470="","",IF(P1470="Ingreso",S1470,0))</f>
        <v/>
      </c>
      <c r="W1470" s="53">
        <f>IF(P1470="","",IF(P1470="Resultado trading",S1470,0))</f>
        <v/>
      </c>
      <c r="X1470" s="52">
        <f>IF(OR(P1470="Gasto",P1470="Reembolso"),IF(M1470&lt;&gt;"",M1470,IFERROR(INDEX(catClasif,MATCH(D1470&amp;"|"&amp;E1470,catClave,0))&amp;"","Variable")),"")</f>
        <v/>
      </c>
      <c r="Y1470" s="52">
        <f>IF(P1470="","",IFERROR(INDEX(catGrupo,MATCH(D1470&amp;"|"&amp;E1470,catClave,0))&amp;"",""))</f>
        <v/>
      </c>
      <c r="Z1470" s="52">
        <f>IF(P1470="","",WEEKDAY(B1470,2))</f>
        <v/>
      </c>
      <c r="AA1470" s="52">
        <f>IF(P1470="","",IF(AND(P1470="Gasto",X1470="Variable",D1470&lt;&gt;catTrading,S1470&gt;0,S1470&lt;=Umbral),1,0))</f>
        <v/>
      </c>
      <c r="AB1470" s="52">
        <f>IF(OR(P1470="",Q1470=""),"",IFERROR(IF(INDEX(ctaVinc,MATCH(Q1470,ctaNombre,0))&amp;""&lt;&gt;"",INDEX(ctaVinc,MATCH(Q1470,ctaNombre,0))&amp;"",Q1470),Q1470))</f>
        <v/>
      </c>
      <c r="AC1470" s="52">
        <f>IF(OR(K1470="",AND(P1470&lt;&gt;"Transferencia",P1470&lt;&gt;"Pago tarjeta")),"",IFERROR(IF(INDEX(ctaVinc,MATCH(K1470,ctaNombre,0))&amp;""&lt;&gt;"",INDEX(ctaVinc,MATCH(K1470,ctaNombre,0))&amp;"",K1470),K1470))</f>
        <v/>
      </c>
      <c r="AD1470" s="52">
        <f>IF(AB1470="","",IFERROR(INDEX(ctaTipo,MATCH(AB1470,ctaNombre,0))&amp;"",""))</f>
        <v/>
      </c>
      <c r="AE1470" s="52">
        <f>IF(AC1470="","",IFERROR(INDEX(ctaTipo,MATCH(AC1470,ctaNombre,0))&amp;"",""))</f>
        <v/>
      </c>
      <c r="AF1470" s="53">
        <f>IF(OR(P1470="",AB1470=""),"",IF(OR(P1470="Gasto",P1470="Transferencia",P1470="Pago tarjeta"),-1,1)*IF(IFERROR(INDEX(ctaMoneda,MATCH(AB1470,ctaNombre,0))&amp;"","DOP")="USD",T1470,S1470))</f>
        <v/>
      </c>
      <c r="AG1470" s="53">
        <f>IF(AC1470="","",IF(IFERROR(INDEX(ctaMoneda,MATCH(AC1470,ctaNombre,0))&amp;"","DOP")="USD",T1470,S1470))</f>
        <v/>
      </c>
      <c r="AH1470" s="53">
        <f>IF(P1470="","",IF(AND(AD1470&lt;&gt;"",COUNTIFS(tcTipo,AD1470,tcLiq,"Sí")&gt;0),IF(OR(P1470="Gasto",P1470="Transferencia",P1470="Pago tarjeta"),-1,1)*S1470,0)+IF(AND(AE1470&lt;&gt;"",COUNTIFS(tcTipo,AE1470,tcLiq,"Sí")&gt;0),S1470,0))</f>
        <v/>
      </c>
      <c r="AI1470" s="52">
        <f>IF(OR(L1470="",P1470=""),"",IF(COUNTIFS(L$6:L1470,L1470,P$6:P1470,"?*")=1,MAX(AI$5:AI1469)+1,""))</f>
        <v/>
      </c>
    </row>
    <row r="1471">
      <c r="B1471" s="47" t="n"/>
      <c r="C1471" s="48" t="n"/>
      <c r="D1471" s="48" t="n"/>
      <c r="E1471" s="48" t="n"/>
      <c r="F1471" s="48" t="n"/>
      <c r="G1471" s="49" t="n"/>
      <c r="H1471" s="48" t="n"/>
      <c r="I1471" s="50" t="n"/>
      <c r="J1471" s="48" t="n"/>
      <c r="K1471" s="48" t="n"/>
      <c r="L1471" s="48" t="n"/>
      <c r="M1471" s="48" t="n"/>
      <c r="N1471" s="48" t="n"/>
      <c r="O1471" s="51">
        <f>IF(AND(B1471="",G1471="",C1471="",D1471="",J1471=""),"",IF(B1471="","⚠ Falta fecha",IF(G1471="","⚠ Falta monto",IF(Q1471="","⚠ Falta cuenta",IF(ISNA(MATCH(Q1471,ctaNombre,0)),"⚠ Cuenta no registrada",IF(AND(OR(P1471="Gasto",P1471="Reembolso"),D1471=""),"⚠ Falta categoría",IF(AND(D1471&lt;&gt;"",E1471&lt;&gt;"",ISNA(MATCH(D1471&amp;"|"&amp;E1471,catClave,0))),"⚠ Subcategoría no corresponde",IF(AND(OR(P1471="Transferencia",P1471="Pago tarjeta"),K1471=""),"⚠ Falta cuenta destino",IF(AND(K1471&lt;&gt;"",P1471&lt;&gt;"Transferencia",P1471&lt;&gt;"Pago tarjeta"),"⚠ Destino solo aplica a transferencias",IF(AND(K1471&lt;&gt;"",K1471=Q1471),"⚠ Origen igual a destino",IF(AND(K1471&lt;&gt;"",ISNA(MATCH(K1471,ctaNombre,0))),"⚠ Destino no registrado",IF(AND(P1471="Pago tarjeta",AE1471&lt;&gt;"Tarjeta de crédito"),"⚠ El destino debe ser tarjeta de crédito",IF(AND(P1471="Gasto",E1471="Depósitos y retiros"),"⚠ Usa tipo Transferencia",IF(AND(P1471="Resultado trading",AD1471&lt;&gt;"Cuenta de trading"),"⚠ Usa una cuenta de trading",IF(AND(G1471&lt;=0,P1471&lt;&gt;"Ajuste",P1471&lt;&gt;"Resultado trading"),"⚠ El monto debe ser positivo","✓")))))))))))))))</f>
        <v/>
      </c>
      <c r="P1471" s="52">
        <f>IF(OR(B1471="",G1471=""),"",IF(C1471="","Gasto",C1471))</f>
        <v/>
      </c>
      <c r="Q1471" s="52">
        <f>IF(P1471="","",IF(J1471&lt;&gt;"",J1471,CuentaPred&amp;""))</f>
        <v/>
      </c>
      <c r="R1471" s="52">
        <f>IF(P1471="","",IF(ISNUMBER(I1471),I1471,TasaUSD))</f>
        <v/>
      </c>
      <c r="S1471" s="53">
        <f>IF(P1471="","",IF(H1471="USD",G1471*R1471,G1471))</f>
        <v/>
      </c>
      <c r="T1471" s="53">
        <f>IF(P1471="","",IF(H1471="USD",G1471,IF(R1471&gt;0,G1471/R1471,0)))</f>
        <v/>
      </c>
      <c r="U1471" s="53">
        <f>IF(P1471="","",IF(P1471="Gasto",S1471,IF(P1471="Reembolso",-S1471,0)))</f>
        <v/>
      </c>
      <c r="V1471" s="53">
        <f>IF(P1471="","",IF(P1471="Ingreso",S1471,0))</f>
        <v/>
      </c>
      <c r="W1471" s="53">
        <f>IF(P1471="","",IF(P1471="Resultado trading",S1471,0))</f>
        <v/>
      </c>
      <c r="X1471" s="52">
        <f>IF(OR(P1471="Gasto",P1471="Reembolso"),IF(M1471&lt;&gt;"",M1471,IFERROR(INDEX(catClasif,MATCH(D1471&amp;"|"&amp;E1471,catClave,0))&amp;"","Variable")),"")</f>
        <v/>
      </c>
      <c r="Y1471" s="52">
        <f>IF(P1471="","",IFERROR(INDEX(catGrupo,MATCH(D1471&amp;"|"&amp;E1471,catClave,0))&amp;"",""))</f>
        <v/>
      </c>
      <c r="Z1471" s="52">
        <f>IF(P1471="","",WEEKDAY(B1471,2))</f>
        <v/>
      </c>
      <c r="AA1471" s="52">
        <f>IF(P1471="","",IF(AND(P1471="Gasto",X1471="Variable",D1471&lt;&gt;catTrading,S1471&gt;0,S1471&lt;=Umbral),1,0))</f>
        <v/>
      </c>
      <c r="AB1471" s="52">
        <f>IF(OR(P1471="",Q1471=""),"",IFERROR(IF(INDEX(ctaVinc,MATCH(Q1471,ctaNombre,0))&amp;""&lt;&gt;"",INDEX(ctaVinc,MATCH(Q1471,ctaNombre,0))&amp;"",Q1471),Q1471))</f>
        <v/>
      </c>
      <c r="AC1471" s="52">
        <f>IF(OR(K1471="",AND(P1471&lt;&gt;"Transferencia",P1471&lt;&gt;"Pago tarjeta")),"",IFERROR(IF(INDEX(ctaVinc,MATCH(K1471,ctaNombre,0))&amp;""&lt;&gt;"",INDEX(ctaVinc,MATCH(K1471,ctaNombre,0))&amp;"",K1471),K1471))</f>
        <v/>
      </c>
      <c r="AD1471" s="52">
        <f>IF(AB1471="","",IFERROR(INDEX(ctaTipo,MATCH(AB1471,ctaNombre,0))&amp;"",""))</f>
        <v/>
      </c>
      <c r="AE1471" s="52">
        <f>IF(AC1471="","",IFERROR(INDEX(ctaTipo,MATCH(AC1471,ctaNombre,0))&amp;"",""))</f>
        <v/>
      </c>
      <c r="AF1471" s="53">
        <f>IF(OR(P1471="",AB1471=""),"",IF(OR(P1471="Gasto",P1471="Transferencia",P1471="Pago tarjeta"),-1,1)*IF(IFERROR(INDEX(ctaMoneda,MATCH(AB1471,ctaNombre,0))&amp;"","DOP")="USD",T1471,S1471))</f>
        <v/>
      </c>
      <c r="AG1471" s="53">
        <f>IF(AC1471="","",IF(IFERROR(INDEX(ctaMoneda,MATCH(AC1471,ctaNombre,0))&amp;"","DOP")="USD",T1471,S1471))</f>
        <v/>
      </c>
      <c r="AH1471" s="53">
        <f>IF(P1471="","",IF(AND(AD1471&lt;&gt;"",COUNTIFS(tcTipo,AD1471,tcLiq,"Sí")&gt;0),IF(OR(P1471="Gasto",P1471="Transferencia",P1471="Pago tarjeta"),-1,1)*S1471,0)+IF(AND(AE1471&lt;&gt;"",COUNTIFS(tcTipo,AE1471,tcLiq,"Sí")&gt;0),S1471,0))</f>
        <v/>
      </c>
      <c r="AI1471" s="52">
        <f>IF(OR(L1471="",P1471=""),"",IF(COUNTIFS(L$6:L1471,L1471,P$6:P1471,"?*")=1,MAX(AI$5:AI1470)+1,""))</f>
        <v/>
      </c>
    </row>
    <row r="1472">
      <c r="B1472" s="47" t="n"/>
      <c r="C1472" s="48" t="n"/>
      <c r="D1472" s="48" t="n"/>
      <c r="E1472" s="48" t="n"/>
      <c r="F1472" s="48" t="n"/>
      <c r="G1472" s="49" t="n"/>
      <c r="H1472" s="48" t="n"/>
      <c r="I1472" s="50" t="n"/>
      <c r="J1472" s="48" t="n"/>
      <c r="K1472" s="48" t="n"/>
      <c r="L1472" s="48" t="n"/>
      <c r="M1472" s="48" t="n"/>
      <c r="N1472" s="48" t="n"/>
      <c r="O1472" s="51">
        <f>IF(AND(B1472="",G1472="",C1472="",D1472="",J1472=""),"",IF(B1472="","⚠ Falta fecha",IF(G1472="","⚠ Falta monto",IF(Q1472="","⚠ Falta cuenta",IF(ISNA(MATCH(Q1472,ctaNombre,0)),"⚠ Cuenta no registrada",IF(AND(OR(P1472="Gasto",P1472="Reembolso"),D1472=""),"⚠ Falta categoría",IF(AND(D1472&lt;&gt;"",E1472&lt;&gt;"",ISNA(MATCH(D1472&amp;"|"&amp;E1472,catClave,0))),"⚠ Subcategoría no corresponde",IF(AND(OR(P1472="Transferencia",P1472="Pago tarjeta"),K1472=""),"⚠ Falta cuenta destino",IF(AND(K1472&lt;&gt;"",P1472&lt;&gt;"Transferencia",P1472&lt;&gt;"Pago tarjeta"),"⚠ Destino solo aplica a transferencias",IF(AND(K1472&lt;&gt;"",K1472=Q1472),"⚠ Origen igual a destino",IF(AND(K1472&lt;&gt;"",ISNA(MATCH(K1472,ctaNombre,0))),"⚠ Destino no registrado",IF(AND(P1472="Pago tarjeta",AE1472&lt;&gt;"Tarjeta de crédito"),"⚠ El destino debe ser tarjeta de crédito",IF(AND(P1472="Gasto",E1472="Depósitos y retiros"),"⚠ Usa tipo Transferencia",IF(AND(P1472="Resultado trading",AD1472&lt;&gt;"Cuenta de trading"),"⚠ Usa una cuenta de trading",IF(AND(G1472&lt;=0,P1472&lt;&gt;"Ajuste",P1472&lt;&gt;"Resultado trading"),"⚠ El monto debe ser positivo","✓")))))))))))))))</f>
        <v/>
      </c>
      <c r="P1472" s="52">
        <f>IF(OR(B1472="",G1472=""),"",IF(C1472="","Gasto",C1472))</f>
        <v/>
      </c>
      <c r="Q1472" s="52">
        <f>IF(P1472="","",IF(J1472&lt;&gt;"",J1472,CuentaPred&amp;""))</f>
        <v/>
      </c>
      <c r="R1472" s="52">
        <f>IF(P1472="","",IF(ISNUMBER(I1472),I1472,TasaUSD))</f>
        <v/>
      </c>
      <c r="S1472" s="53">
        <f>IF(P1472="","",IF(H1472="USD",G1472*R1472,G1472))</f>
        <v/>
      </c>
      <c r="T1472" s="53">
        <f>IF(P1472="","",IF(H1472="USD",G1472,IF(R1472&gt;0,G1472/R1472,0)))</f>
        <v/>
      </c>
      <c r="U1472" s="53">
        <f>IF(P1472="","",IF(P1472="Gasto",S1472,IF(P1472="Reembolso",-S1472,0)))</f>
        <v/>
      </c>
      <c r="V1472" s="53">
        <f>IF(P1472="","",IF(P1472="Ingreso",S1472,0))</f>
        <v/>
      </c>
      <c r="W1472" s="53">
        <f>IF(P1472="","",IF(P1472="Resultado trading",S1472,0))</f>
        <v/>
      </c>
      <c r="X1472" s="52">
        <f>IF(OR(P1472="Gasto",P1472="Reembolso"),IF(M1472&lt;&gt;"",M1472,IFERROR(INDEX(catClasif,MATCH(D1472&amp;"|"&amp;E1472,catClave,0))&amp;"","Variable")),"")</f>
        <v/>
      </c>
      <c r="Y1472" s="52">
        <f>IF(P1472="","",IFERROR(INDEX(catGrupo,MATCH(D1472&amp;"|"&amp;E1472,catClave,0))&amp;"",""))</f>
        <v/>
      </c>
      <c r="Z1472" s="52">
        <f>IF(P1472="","",WEEKDAY(B1472,2))</f>
        <v/>
      </c>
      <c r="AA1472" s="52">
        <f>IF(P1472="","",IF(AND(P1472="Gasto",X1472="Variable",D1472&lt;&gt;catTrading,S1472&gt;0,S1472&lt;=Umbral),1,0))</f>
        <v/>
      </c>
      <c r="AB1472" s="52">
        <f>IF(OR(P1472="",Q1472=""),"",IFERROR(IF(INDEX(ctaVinc,MATCH(Q1472,ctaNombre,0))&amp;""&lt;&gt;"",INDEX(ctaVinc,MATCH(Q1472,ctaNombre,0))&amp;"",Q1472),Q1472))</f>
        <v/>
      </c>
      <c r="AC1472" s="52">
        <f>IF(OR(K1472="",AND(P1472&lt;&gt;"Transferencia",P1472&lt;&gt;"Pago tarjeta")),"",IFERROR(IF(INDEX(ctaVinc,MATCH(K1472,ctaNombre,0))&amp;""&lt;&gt;"",INDEX(ctaVinc,MATCH(K1472,ctaNombre,0))&amp;"",K1472),K1472))</f>
        <v/>
      </c>
      <c r="AD1472" s="52">
        <f>IF(AB1472="","",IFERROR(INDEX(ctaTipo,MATCH(AB1472,ctaNombre,0))&amp;"",""))</f>
        <v/>
      </c>
      <c r="AE1472" s="52">
        <f>IF(AC1472="","",IFERROR(INDEX(ctaTipo,MATCH(AC1472,ctaNombre,0))&amp;"",""))</f>
        <v/>
      </c>
      <c r="AF1472" s="53">
        <f>IF(OR(P1472="",AB1472=""),"",IF(OR(P1472="Gasto",P1472="Transferencia",P1472="Pago tarjeta"),-1,1)*IF(IFERROR(INDEX(ctaMoneda,MATCH(AB1472,ctaNombre,0))&amp;"","DOP")="USD",T1472,S1472))</f>
        <v/>
      </c>
      <c r="AG1472" s="53">
        <f>IF(AC1472="","",IF(IFERROR(INDEX(ctaMoneda,MATCH(AC1472,ctaNombre,0))&amp;"","DOP")="USD",T1472,S1472))</f>
        <v/>
      </c>
      <c r="AH1472" s="53">
        <f>IF(P1472="","",IF(AND(AD1472&lt;&gt;"",COUNTIFS(tcTipo,AD1472,tcLiq,"Sí")&gt;0),IF(OR(P1472="Gasto",P1472="Transferencia",P1472="Pago tarjeta"),-1,1)*S1472,0)+IF(AND(AE1472&lt;&gt;"",COUNTIFS(tcTipo,AE1472,tcLiq,"Sí")&gt;0),S1472,0))</f>
        <v/>
      </c>
      <c r="AI1472" s="52">
        <f>IF(OR(L1472="",P1472=""),"",IF(COUNTIFS(L$6:L1472,L1472,P$6:P1472,"?*")=1,MAX(AI$5:AI1471)+1,""))</f>
        <v/>
      </c>
    </row>
    <row r="1473">
      <c r="B1473" s="47" t="n"/>
      <c r="C1473" s="48" t="n"/>
      <c r="D1473" s="48" t="n"/>
      <c r="E1473" s="48" t="n"/>
      <c r="F1473" s="48" t="n"/>
      <c r="G1473" s="49" t="n"/>
      <c r="H1473" s="48" t="n"/>
      <c r="I1473" s="50" t="n"/>
      <c r="J1473" s="48" t="n"/>
      <c r="K1473" s="48" t="n"/>
      <c r="L1473" s="48" t="n"/>
      <c r="M1473" s="48" t="n"/>
      <c r="N1473" s="48" t="n"/>
      <c r="O1473" s="51">
        <f>IF(AND(B1473="",G1473="",C1473="",D1473="",J1473=""),"",IF(B1473="","⚠ Falta fecha",IF(G1473="","⚠ Falta monto",IF(Q1473="","⚠ Falta cuenta",IF(ISNA(MATCH(Q1473,ctaNombre,0)),"⚠ Cuenta no registrada",IF(AND(OR(P1473="Gasto",P1473="Reembolso"),D1473=""),"⚠ Falta categoría",IF(AND(D1473&lt;&gt;"",E1473&lt;&gt;"",ISNA(MATCH(D1473&amp;"|"&amp;E1473,catClave,0))),"⚠ Subcategoría no corresponde",IF(AND(OR(P1473="Transferencia",P1473="Pago tarjeta"),K1473=""),"⚠ Falta cuenta destino",IF(AND(K1473&lt;&gt;"",P1473&lt;&gt;"Transferencia",P1473&lt;&gt;"Pago tarjeta"),"⚠ Destino solo aplica a transferencias",IF(AND(K1473&lt;&gt;"",K1473=Q1473),"⚠ Origen igual a destino",IF(AND(K1473&lt;&gt;"",ISNA(MATCH(K1473,ctaNombre,0))),"⚠ Destino no registrado",IF(AND(P1473="Pago tarjeta",AE1473&lt;&gt;"Tarjeta de crédito"),"⚠ El destino debe ser tarjeta de crédito",IF(AND(P1473="Gasto",E1473="Depósitos y retiros"),"⚠ Usa tipo Transferencia",IF(AND(P1473="Resultado trading",AD1473&lt;&gt;"Cuenta de trading"),"⚠ Usa una cuenta de trading",IF(AND(G1473&lt;=0,P1473&lt;&gt;"Ajuste",P1473&lt;&gt;"Resultado trading"),"⚠ El monto debe ser positivo","✓")))))))))))))))</f>
        <v/>
      </c>
      <c r="P1473" s="52">
        <f>IF(OR(B1473="",G1473=""),"",IF(C1473="","Gasto",C1473))</f>
        <v/>
      </c>
      <c r="Q1473" s="52">
        <f>IF(P1473="","",IF(J1473&lt;&gt;"",J1473,CuentaPred&amp;""))</f>
        <v/>
      </c>
      <c r="R1473" s="52">
        <f>IF(P1473="","",IF(ISNUMBER(I1473),I1473,TasaUSD))</f>
        <v/>
      </c>
      <c r="S1473" s="53">
        <f>IF(P1473="","",IF(H1473="USD",G1473*R1473,G1473))</f>
        <v/>
      </c>
      <c r="T1473" s="53">
        <f>IF(P1473="","",IF(H1473="USD",G1473,IF(R1473&gt;0,G1473/R1473,0)))</f>
        <v/>
      </c>
      <c r="U1473" s="53">
        <f>IF(P1473="","",IF(P1473="Gasto",S1473,IF(P1473="Reembolso",-S1473,0)))</f>
        <v/>
      </c>
      <c r="V1473" s="53">
        <f>IF(P1473="","",IF(P1473="Ingreso",S1473,0))</f>
        <v/>
      </c>
      <c r="W1473" s="53">
        <f>IF(P1473="","",IF(P1473="Resultado trading",S1473,0))</f>
        <v/>
      </c>
      <c r="X1473" s="52">
        <f>IF(OR(P1473="Gasto",P1473="Reembolso"),IF(M1473&lt;&gt;"",M1473,IFERROR(INDEX(catClasif,MATCH(D1473&amp;"|"&amp;E1473,catClave,0))&amp;"","Variable")),"")</f>
        <v/>
      </c>
      <c r="Y1473" s="52">
        <f>IF(P1473="","",IFERROR(INDEX(catGrupo,MATCH(D1473&amp;"|"&amp;E1473,catClave,0))&amp;"",""))</f>
        <v/>
      </c>
      <c r="Z1473" s="52">
        <f>IF(P1473="","",WEEKDAY(B1473,2))</f>
        <v/>
      </c>
      <c r="AA1473" s="52">
        <f>IF(P1473="","",IF(AND(P1473="Gasto",X1473="Variable",D1473&lt;&gt;catTrading,S1473&gt;0,S1473&lt;=Umbral),1,0))</f>
        <v/>
      </c>
      <c r="AB1473" s="52">
        <f>IF(OR(P1473="",Q1473=""),"",IFERROR(IF(INDEX(ctaVinc,MATCH(Q1473,ctaNombre,0))&amp;""&lt;&gt;"",INDEX(ctaVinc,MATCH(Q1473,ctaNombre,0))&amp;"",Q1473),Q1473))</f>
        <v/>
      </c>
      <c r="AC1473" s="52">
        <f>IF(OR(K1473="",AND(P1473&lt;&gt;"Transferencia",P1473&lt;&gt;"Pago tarjeta")),"",IFERROR(IF(INDEX(ctaVinc,MATCH(K1473,ctaNombre,0))&amp;""&lt;&gt;"",INDEX(ctaVinc,MATCH(K1473,ctaNombre,0))&amp;"",K1473),K1473))</f>
        <v/>
      </c>
      <c r="AD1473" s="52">
        <f>IF(AB1473="","",IFERROR(INDEX(ctaTipo,MATCH(AB1473,ctaNombre,0))&amp;"",""))</f>
        <v/>
      </c>
      <c r="AE1473" s="52">
        <f>IF(AC1473="","",IFERROR(INDEX(ctaTipo,MATCH(AC1473,ctaNombre,0))&amp;"",""))</f>
        <v/>
      </c>
      <c r="AF1473" s="53">
        <f>IF(OR(P1473="",AB1473=""),"",IF(OR(P1473="Gasto",P1473="Transferencia",P1473="Pago tarjeta"),-1,1)*IF(IFERROR(INDEX(ctaMoneda,MATCH(AB1473,ctaNombre,0))&amp;"","DOP")="USD",T1473,S1473))</f>
        <v/>
      </c>
      <c r="AG1473" s="53">
        <f>IF(AC1473="","",IF(IFERROR(INDEX(ctaMoneda,MATCH(AC1473,ctaNombre,0))&amp;"","DOP")="USD",T1473,S1473))</f>
        <v/>
      </c>
      <c r="AH1473" s="53">
        <f>IF(P1473="","",IF(AND(AD1473&lt;&gt;"",COUNTIFS(tcTipo,AD1473,tcLiq,"Sí")&gt;0),IF(OR(P1473="Gasto",P1473="Transferencia",P1473="Pago tarjeta"),-1,1)*S1473,0)+IF(AND(AE1473&lt;&gt;"",COUNTIFS(tcTipo,AE1473,tcLiq,"Sí")&gt;0),S1473,0))</f>
        <v/>
      </c>
      <c r="AI1473" s="52">
        <f>IF(OR(L1473="",P1473=""),"",IF(COUNTIFS(L$6:L1473,L1473,P$6:P1473,"?*")=1,MAX(AI$5:AI1472)+1,""))</f>
        <v/>
      </c>
    </row>
    <row r="1474">
      <c r="B1474" s="47" t="n"/>
      <c r="C1474" s="48" t="n"/>
      <c r="D1474" s="48" t="n"/>
      <c r="E1474" s="48" t="n"/>
      <c r="F1474" s="48" t="n"/>
      <c r="G1474" s="49" t="n"/>
      <c r="H1474" s="48" t="n"/>
      <c r="I1474" s="50" t="n"/>
      <c r="J1474" s="48" t="n"/>
      <c r="K1474" s="48" t="n"/>
      <c r="L1474" s="48" t="n"/>
      <c r="M1474" s="48" t="n"/>
      <c r="N1474" s="48" t="n"/>
      <c r="O1474" s="51">
        <f>IF(AND(B1474="",G1474="",C1474="",D1474="",J1474=""),"",IF(B1474="","⚠ Falta fecha",IF(G1474="","⚠ Falta monto",IF(Q1474="","⚠ Falta cuenta",IF(ISNA(MATCH(Q1474,ctaNombre,0)),"⚠ Cuenta no registrada",IF(AND(OR(P1474="Gasto",P1474="Reembolso"),D1474=""),"⚠ Falta categoría",IF(AND(D1474&lt;&gt;"",E1474&lt;&gt;"",ISNA(MATCH(D1474&amp;"|"&amp;E1474,catClave,0))),"⚠ Subcategoría no corresponde",IF(AND(OR(P1474="Transferencia",P1474="Pago tarjeta"),K1474=""),"⚠ Falta cuenta destino",IF(AND(K1474&lt;&gt;"",P1474&lt;&gt;"Transferencia",P1474&lt;&gt;"Pago tarjeta"),"⚠ Destino solo aplica a transferencias",IF(AND(K1474&lt;&gt;"",K1474=Q1474),"⚠ Origen igual a destino",IF(AND(K1474&lt;&gt;"",ISNA(MATCH(K1474,ctaNombre,0))),"⚠ Destino no registrado",IF(AND(P1474="Pago tarjeta",AE1474&lt;&gt;"Tarjeta de crédito"),"⚠ El destino debe ser tarjeta de crédito",IF(AND(P1474="Gasto",E1474="Depósitos y retiros"),"⚠ Usa tipo Transferencia",IF(AND(P1474="Resultado trading",AD1474&lt;&gt;"Cuenta de trading"),"⚠ Usa una cuenta de trading",IF(AND(G1474&lt;=0,P1474&lt;&gt;"Ajuste",P1474&lt;&gt;"Resultado trading"),"⚠ El monto debe ser positivo","✓")))))))))))))))</f>
        <v/>
      </c>
      <c r="P1474" s="52">
        <f>IF(OR(B1474="",G1474=""),"",IF(C1474="","Gasto",C1474))</f>
        <v/>
      </c>
      <c r="Q1474" s="52">
        <f>IF(P1474="","",IF(J1474&lt;&gt;"",J1474,CuentaPred&amp;""))</f>
        <v/>
      </c>
      <c r="R1474" s="52">
        <f>IF(P1474="","",IF(ISNUMBER(I1474),I1474,TasaUSD))</f>
        <v/>
      </c>
      <c r="S1474" s="53">
        <f>IF(P1474="","",IF(H1474="USD",G1474*R1474,G1474))</f>
        <v/>
      </c>
      <c r="T1474" s="53">
        <f>IF(P1474="","",IF(H1474="USD",G1474,IF(R1474&gt;0,G1474/R1474,0)))</f>
        <v/>
      </c>
      <c r="U1474" s="53">
        <f>IF(P1474="","",IF(P1474="Gasto",S1474,IF(P1474="Reembolso",-S1474,0)))</f>
        <v/>
      </c>
      <c r="V1474" s="53">
        <f>IF(P1474="","",IF(P1474="Ingreso",S1474,0))</f>
        <v/>
      </c>
      <c r="W1474" s="53">
        <f>IF(P1474="","",IF(P1474="Resultado trading",S1474,0))</f>
        <v/>
      </c>
      <c r="X1474" s="52">
        <f>IF(OR(P1474="Gasto",P1474="Reembolso"),IF(M1474&lt;&gt;"",M1474,IFERROR(INDEX(catClasif,MATCH(D1474&amp;"|"&amp;E1474,catClave,0))&amp;"","Variable")),"")</f>
        <v/>
      </c>
      <c r="Y1474" s="52">
        <f>IF(P1474="","",IFERROR(INDEX(catGrupo,MATCH(D1474&amp;"|"&amp;E1474,catClave,0))&amp;"",""))</f>
        <v/>
      </c>
      <c r="Z1474" s="52">
        <f>IF(P1474="","",WEEKDAY(B1474,2))</f>
        <v/>
      </c>
      <c r="AA1474" s="52">
        <f>IF(P1474="","",IF(AND(P1474="Gasto",X1474="Variable",D1474&lt;&gt;catTrading,S1474&gt;0,S1474&lt;=Umbral),1,0))</f>
        <v/>
      </c>
      <c r="AB1474" s="52">
        <f>IF(OR(P1474="",Q1474=""),"",IFERROR(IF(INDEX(ctaVinc,MATCH(Q1474,ctaNombre,0))&amp;""&lt;&gt;"",INDEX(ctaVinc,MATCH(Q1474,ctaNombre,0))&amp;"",Q1474),Q1474))</f>
        <v/>
      </c>
      <c r="AC1474" s="52">
        <f>IF(OR(K1474="",AND(P1474&lt;&gt;"Transferencia",P1474&lt;&gt;"Pago tarjeta")),"",IFERROR(IF(INDEX(ctaVinc,MATCH(K1474,ctaNombre,0))&amp;""&lt;&gt;"",INDEX(ctaVinc,MATCH(K1474,ctaNombre,0))&amp;"",K1474),K1474))</f>
        <v/>
      </c>
      <c r="AD1474" s="52">
        <f>IF(AB1474="","",IFERROR(INDEX(ctaTipo,MATCH(AB1474,ctaNombre,0))&amp;"",""))</f>
        <v/>
      </c>
      <c r="AE1474" s="52">
        <f>IF(AC1474="","",IFERROR(INDEX(ctaTipo,MATCH(AC1474,ctaNombre,0))&amp;"",""))</f>
        <v/>
      </c>
      <c r="AF1474" s="53">
        <f>IF(OR(P1474="",AB1474=""),"",IF(OR(P1474="Gasto",P1474="Transferencia",P1474="Pago tarjeta"),-1,1)*IF(IFERROR(INDEX(ctaMoneda,MATCH(AB1474,ctaNombre,0))&amp;"","DOP")="USD",T1474,S1474))</f>
        <v/>
      </c>
      <c r="AG1474" s="53">
        <f>IF(AC1474="","",IF(IFERROR(INDEX(ctaMoneda,MATCH(AC1474,ctaNombre,0))&amp;"","DOP")="USD",T1474,S1474))</f>
        <v/>
      </c>
      <c r="AH1474" s="53">
        <f>IF(P1474="","",IF(AND(AD1474&lt;&gt;"",COUNTIFS(tcTipo,AD1474,tcLiq,"Sí")&gt;0),IF(OR(P1474="Gasto",P1474="Transferencia",P1474="Pago tarjeta"),-1,1)*S1474,0)+IF(AND(AE1474&lt;&gt;"",COUNTIFS(tcTipo,AE1474,tcLiq,"Sí")&gt;0),S1474,0))</f>
        <v/>
      </c>
      <c r="AI1474" s="52">
        <f>IF(OR(L1474="",P1474=""),"",IF(COUNTIFS(L$6:L1474,L1474,P$6:P1474,"?*")=1,MAX(AI$5:AI1473)+1,""))</f>
        <v/>
      </c>
    </row>
    <row r="1475">
      <c r="B1475" s="47" t="n"/>
      <c r="C1475" s="48" t="n"/>
      <c r="D1475" s="48" t="n"/>
      <c r="E1475" s="48" t="n"/>
      <c r="F1475" s="48" t="n"/>
      <c r="G1475" s="49" t="n"/>
      <c r="H1475" s="48" t="n"/>
      <c r="I1475" s="50" t="n"/>
      <c r="J1475" s="48" t="n"/>
      <c r="K1475" s="48" t="n"/>
      <c r="L1475" s="48" t="n"/>
      <c r="M1475" s="48" t="n"/>
      <c r="N1475" s="48" t="n"/>
      <c r="O1475" s="51">
        <f>IF(AND(B1475="",G1475="",C1475="",D1475="",J1475=""),"",IF(B1475="","⚠ Falta fecha",IF(G1475="","⚠ Falta monto",IF(Q1475="","⚠ Falta cuenta",IF(ISNA(MATCH(Q1475,ctaNombre,0)),"⚠ Cuenta no registrada",IF(AND(OR(P1475="Gasto",P1475="Reembolso"),D1475=""),"⚠ Falta categoría",IF(AND(D1475&lt;&gt;"",E1475&lt;&gt;"",ISNA(MATCH(D1475&amp;"|"&amp;E1475,catClave,0))),"⚠ Subcategoría no corresponde",IF(AND(OR(P1475="Transferencia",P1475="Pago tarjeta"),K1475=""),"⚠ Falta cuenta destino",IF(AND(K1475&lt;&gt;"",P1475&lt;&gt;"Transferencia",P1475&lt;&gt;"Pago tarjeta"),"⚠ Destino solo aplica a transferencias",IF(AND(K1475&lt;&gt;"",K1475=Q1475),"⚠ Origen igual a destino",IF(AND(K1475&lt;&gt;"",ISNA(MATCH(K1475,ctaNombre,0))),"⚠ Destino no registrado",IF(AND(P1475="Pago tarjeta",AE1475&lt;&gt;"Tarjeta de crédito"),"⚠ El destino debe ser tarjeta de crédito",IF(AND(P1475="Gasto",E1475="Depósitos y retiros"),"⚠ Usa tipo Transferencia",IF(AND(P1475="Resultado trading",AD1475&lt;&gt;"Cuenta de trading"),"⚠ Usa una cuenta de trading",IF(AND(G1475&lt;=0,P1475&lt;&gt;"Ajuste",P1475&lt;&gt;"Resultado trading"),"⚠ El monto debe ser positivo","✓")))))))))))))))</f>
        <v/>
      </c>
      <c r="P1475" s="52">
        <f>IF(OR(B1475="",G1475=""),"",IF(C1475="","Gasto",C1475))</f>
        <v/>
      </c>
      <c r="Q1475" s="52">
        <f>IF(P1475="","",IF(J1475&lt;&gt;"",J1475,CuentaPred&amp;""))</f>
        <v/>
      </c>
      <c r="R1475" s="52">
        <f>IF(P1475="","",IF(ISNUMBER(I1475),I1475,TasaUSD))</f>
        <v/>
      </c>
      <c r="S1475" s="53">
        <f>IF(P1475="","",IF(H1475="USD",G1475*R1475,G1475))</f>
        <v/>
      </c>
      <c r="T1475" s="53">
        <f>IF(P1475="","",IF(H1475="USD",G1475,IF(R1475&gt;0,G1475/R1475,0)))</f>
        <v/>
      </c>
      <c r="U1475" s="53">
        <f>IF(P1475="","",IF(P1475="Gasto",S1475,IF(P1475="Reembolso",-S1475,0)))</f>
        <v/>
      </c>
      <c r="V1475" s="53">
        <f>IF(P1475="","",IF(P1475="Ingreso",S1475,0))</f>
        <v/>
      </c>
      <c r="W1475" s="53">
        <f>IF(P1475="","",IF(P1475="Resultado trading",S1475,0))</f>
        <v/>
      </c>
      <c r="X1475" s="52">
        <f>IF(OR(P1475="Gasto",P1475="Reembolso"),IF(M1475&lt;&gt;"",M1475,IFERROR(INDEX(catClasif,MATCH(D1475&amp;"|"&amp;E1475,catClave,0))&amp;"","Variable")),"")</f>
        <v/>
      </c>
      <c r="Y1475" s="52">
        <f>IF(P1475="","",IFERROR(INDEX(catGrupo,MATCH(D1475&amp;"|"&amp;E1475,catClave,0))&amp;"",""))</f>
        <v/>
      </c>
      <c r="Z1475" s="52">
        <f>IF(P1475="","",WEEKDAY(B1475,2))</f>
        <v/>
      </c>
      <c r="AA1475" s="52">
        <f>IF(P1475="","",IF(AND(P1475="Gasto",X1475="Variable",D1475&lt;&gt;catTrading,S1475&gt;0,S1475&lt;=Umbral),1,0))</f>
        <v/>
      </c>
      <c r="AB1475" s="52">
        <f>IF(OR(P1475="",Q1475=""),"",IFERROR(IF(INDEX(ctaVinc,MATCH(Q1475,ctaNombre,0))&amp;""&lt;&gt;"",INDEX(ctaVinc,MATCH(Q1475,ctaNombre,0))&amp;"",Q1475),Q1475))</f>
        <v/>
      </c>
      <c r="AC1475" s="52">
        <f>IF(OR(K1475="",AND(P1475&lt;&gt;"Transferencia",P1475&lt;&gt;"Pago tarjeta")),"",IFERROR(IF(INDEX(ctaVinc,MATCH(K1475,ctaNombre,0))&amp;""&lt;&gt;"",INDEX(ctaVinc,MATCH(K1475,ctaNombre,0))&amp;"",K1475),K1475))</f>
        <v/>
      </c>
      <c r="AD1475" s="52">
        <f>IF(AB1475="","",IFERROR(INDEX(ctaTipo,MATCH(AB1475,ctaNombre,0))&amp;"",""))</f>
        <v/>
      </c>
      <c r="AE1475" s="52">
        <f>IF(AC1475="","",IFERROR(INDEX(ctaTipo,MATCH(AC1475,ctaNombre,0))&amp;"",""))</f>
        <v/>
      </c>
      <c r="AF1475" s="53">
        <f>IF(OR(P1475="",AB1475=""),"",IF(OR(P1475="Gasto",P1475="Transferencia",P1475="Pago tarjeta"),-1,1)*IF(IFERROR(INDEX(ctaMoneda,MATCH(AB1475,ctaNombre,0))&amp;"","DOP")="USD",T1475,S1475))</f>
        <v/>
      </c>
      <c r="AG1475" s="53">
        <f>IF(AC1475="","",IF(IFERROR(INDEX(ctaMoneda,MATCH(AC1475,ctaNombre,0))&amp;"","DOP")="USD",T1475,S1475))</f>
        <v/>
      </c>
      <c r="AH1475" s="53">
        <f>IF(P1475="","",IF(AND(AD1475&lt;&gt;"",COUNTIFS(tcTipo,AD1475,tcLiq,"Sí")&gt;0),IF(OR(P1475="Gasto",P1475="Transferencia",P1475="Pago tarjeta"),-1,1)*S1475,0)+IF(AND(AE1475&lt;&gt;"",COUNTIFS(tcTipo,AE1475,tcLiq,"Sí")&gt;0),S1475,0))</f>
        <v/>
      </c>
      <c r="AI1475" s="52">
        <f>IF(OR(L1475="",P1475=""),"",IF(COUNTIFS(L$6:L1475,L1475,P$6:P1475,"?*")=1,MAX(AI$5:AI1474)+1,""))</f>
        <v/>
      </c>
    </row>
    <row r="1476">
      <c r="B1476" s="47" t="n"/>
      <c r="C1476" s="48" t="n"/>
      <c r="D1476" s="48" t="n"/>
      <c r="E1476" s="48" t="n"/>
      <c r="F1476" s="48" t="n"/>
      <c r="G1476" s="49" t="n"/>
      <c r="H1476" s="48" t="n"/>
      <c r="I1476" s="50" t="n"/>
      <c r="J1476" s="48" t="n"/>
      <c r="K1476" s="48" t="n"/>
      <c r="L1476" s="48" t="n"/>
      <c r="M1476" s="48" t="n"/>
      <c r="N1476" s="48" t="n"/>
      <c r="O1476" s="51">
        <f>IF(AND(B1476="",G1476="",C1476="",D1476="",J1476=""),"",IF(B1476="","⚠ Falta fecha",IF(G1476="","⚠ Falta monto",IF(Q1476="","⚠ Falta cuenta",IF(ISNA(MATCH(Q1476,ctaNombre,0)),"⚠ Cuenta no registrada",IF(AND(OR(P1476="Gasto",P1476="Reembolso"),D1476=""),"⚠ Falta categoría",IF(AND(D1476&lt;&gt;"",E1476&lt;&gt;"",ISNA(MATCH(D1476&amp;"|"&amp;E1476,catClave,0))),"⚠ Subcategoría no corresponde",IF(AND(OR(P1476="Transferencia",P1476="Pago tarjeta"),K1476=""),"⚠ Falta cuenta destino",IF(AND(K1476&lt;&gt;"",P1476&lt;&gt;"Transferencia",P1476&lt;&gt;"Pago tarjeta"),"⚠ Destino solo aplica a transferencias",IF(AND(K1476&lt;&gt;"",K1476=Q1476),"⚠ Origen igual a destino",IF(AND(K1476&lt;&gt;"",ISNA(MATCH(K1476,ctaNombre,0))),"⚠ Destino no registrado",IF(AND(P1476="Pago tarjeta",AE1476&lt;&gt;"Tarjeta de crédito"),"⚠ El destino debe ser tarjeta de crédito",IF(AND(P1476="Gasto",E1476="Depósitos y retiros"),"⚠ Usa tipo Transferencia",IF(AND(P1476="Resultado trading",AD1476&lt;&gt;"Cuenta de trading"),"⚠ Usa una cuenta de trading",IF(AND(G1476&lt;=0,P1476&lt;&gt;"Ajuste",P1476&lt;&gt;"Resultado trading"),"⚠ El monto debe ser positivo","✓")))))))))))))))</f>
        <v/>
      </c>
      <c r="P1476" s="52">
        <f>IF(OR(B1476="",G1476=""),"",IF(C1476="","Gasto",C1476))</f>
        <v/>
      </c>
      <c r="Q1476" s="52">
        <f>IF(P1476="","",IF(J1476&lt;&gt;"",J1476,CuentaPred&amp;""))</f>
        <v/>
      </c>
      <c r="R1476" s="52">
        <f>IF(P1476="","",IF(ISNUMBER(I1476),I1476,TasaUSD))</f>
        <v/>
      </c>
      <c r="S1476" s="53">
        <f>IF(P1476="","",IF(H1476="USD",G1476*R1476,G1476))</f>
        <v/>
      </c>
      <c r="T1476" s="53">
        <f>IF(P1476="","",IF(H1476="USD",G1476,IF(R1476&gt;0,G1476/R1476,0)))</f>
        <v/>
      </c>
      <c r="U1476" s="53">
        <f>IF(P1476="","",IF(P1476="Gasto",S1476,IF(P1476="Reembolso",-S1476,0)))</f>
        <v/>
      </c>
      <c r="V1476" s="53">
        <f>IF(P1476="","",IF(P1476="Ingreso",S1476,0))</f>
        <v/>
      </c>
      <c r="W1476" s="53">
        <f>IF(P1476="","",IF(P1476="Resultado trading",S1476,0))</f>
        <v/>
      </c>
      <c r="X1476" s="52">
        <f>IF(OR(P1476="Gasto",P1476="Reembolso"),IF(M1476&lt;&gt;"",M1476,IFERROR(INDEX(catClasif,MATCH(D1476&amp;"|"&amp;E1476,catClave,0))&amp;"","Variable")),"")</f>
        <v/>
      </c>
      <c r="Y1476" s="52">
        <f>IF(P1476="","",IFERROR(INDEX(catGrupo,MATCH(D1476&amp;"|"&amp;E1476,catClave,0))&amp;"",""))</f>
        <v/>
      </c>
      <c r="Z1476" s="52">
        <f>IF(P1476="","",WEEKDAY(B1476,2))</f>
        <v/>
      </c>
      <c r="AA1476" s="52">
        <f>IF(P1476="","",IF(AND(P1476="Gasto",X1476="Variable",D1476&lt;&gt;catTrading,S1476&gt;0,S1476&lt;=Umbral),1,0))</f>
        <v/>
      </c>
      <c r="AB1476" s="52">
        <f>IF(OR(P1476="",Q1476=""),"",IFERROR(IF(INDEX(ctaVinc,MATCH(Q1476,ctaNombre,0))&amp;""&lt;&gt;"",INDEX(ctaVinc,MATCH(Q1476,ctaNombre,0))&amp;"",Q1476),Q1476))</f>
        <v/>
      </c>
      <c r="AC1476" s="52">
        <f>IF(OR(K1476="",AND(P1476&lt;&gt;"Transferencia",P1476&lt;&gt;"Pago tarjeta")),"",IFERROR(IF(INDEX(ctaVinc,MATCH(K1476,ctaNombre,0))&amp;""&lt;&gt;"",INDEX(ctaVinc,MATCH(K1476,ctaNombre,0))&amp;"",K1476),K1476))</f>
        <v/>
      </c>
      <c r="AD1476" s="52">
        <f>IF(AB1476="","",IFERROR(INDEX(ctaTipo,MATCH(AB1476,ctaNombre,0))&amp;"",""))</f>
        <v/>
      </c>
      <c r="AE1476" s="52">
        <f>IF(AC1476="","",IFERROR(INDEX(ctaTipo,MATCH(AC1476,ctaNombre,0))&amp;"",""))</f>
        <v/>
      </c>
      <c r="AF1476" s="53">
        <f>IF(OR(P1476="",AB1476=""),"",IF(OR(P1476="Gasto",P1476="Transferencia",P1476="Pago tarjeta"),-1,1)*IF(IFERROR(INDEX(ctaMoneda,MATCH(AB1476,ctaNombre,0))&amp;"","DOP")="USD",T1476,S1476))</f>
        <v/>
      </c>
      <c r="AG1476" s="53">
        <f>IF(AC1476="","",IF(IFERROR(INDEX(ctaMoneda,MATCH(AC1476,ctaNombre,0))&amp;"","DOP")="USD",T1476,S1476))</f>
        <v/>
      </c>
      <c r="AH1476" s="53">
        <f>IF(P1476="","",IF(AND(AD1476&lt;&gt;"",COUNTIFS(tcTipo,AD1476,tcLiq,"Sí")&gt;0),IF(OR(P1476="Gasto",P1476="Transferencia",P1476="Pago tarjeta"),-1,1)*S1476,0)+IF(AND(AE1476&lt;&gt;"",COUNTIFS(tcTipo,AE1476,tcLiq,"Sí")&gt;0),S1476,0))</f>
        <v/>
      </c>
      <c r="AI1476" s="52">
        <f>IF(OR(L1476="",P1476=""),"",IF(COUNTIFS(L$6:L1476,L1476,P$6:P1476,"?*")=1,MAX(AI$5:AI1475)+1,""))</f>
        <v/>
      </c>
    </row>
    <row r="1477">
      <c r="B1477" s="47" t="n"/>
      <c r="C1477" s="48" t="n"/>
      <c r="D1477" s="48" t="n"/>
      <c r="E1477" s="48" t="n"/>
      <c r="F1477" s="48" t="n"/>
      <c r="G1477" s="49" t="n"/>
      <c r="H1477" s="48" t="n"/>
      <c r="I1477" s="50" t="n"/>
      <c r="J1477" s="48" t="n"/>
      <c r="K1477" s="48" t="n"/>
      <c r="L1477" s="48" t="n"/>
      <c r="M1477" s="48" t="n"/>
      <c r="N1477" s="48" t="n"/>
      <c r="O1477" s="51">
        <f>IF(AND(B1477="",G1477="",C1477="",D1477="",J1477=""),"",IF(B1477="","⚠ Falta fecha",IF(G1477="","⚠ Falta monto",IF(Q1477="","⚠ Falta cuenta",IF(ISNA(MATCH(Q1477,ctaNombre,0)),"⚠ Cuenta no registrada",IF(AND(OR(P1477="Gasto",P1477="Reembolso"),D1477=""),"⚠ Falta categoría",IF(AND(D1477&lt;&gt;"",E1477&lt;&gt;"",ISNA(MATCH(D1477&amp;"|"&amp;E1477,catClave,0))),"⚠ Subcategoría no corresponde",IF(AND(OR(P1477="Transferencia",P1477="Pago tarjeta"),K1477=""),"⚠ Falta cuenta destino",IF(AND(K1477&lt;&gt;"",P1477&lt;&gt;"Transferencia",P1477&lt;&gt;"Pago tarjeta"),"⚠ Destino solo aplica a transferencias",IF(AND(K1477&lt;&gt;"",K1477=Q1477),"⚠ Origen igual a destino",IF(AND(K1477&lt;&gt;"",ISNA(MATCH(K1477,ctaNombre,0))),"⚠ Destino no registrado",IF(AND(P1477="Pago tarjeta",AE1477&lt;&gt;"Tarjeta de crédito"),"⚠ El destino debe ser tarjeta de crédito",IF(AND(P1477="Gasto",E1477="Depósitos y retiros"),"⚠ Usa tipo Transferencia",IF(AND(P1477="Resultado trading",AD1477&lt;&gt;"Cuenta de trading"),"⚠ Usa una cuenta de trading",IF(AND(G1477&lt;=0,P1477&lt;&gt;"Ajuste",P1477&lt;&gt;"Resultado trading"),"⚠ El monto debe ser positivo","✓")))))))))))))))</f>
        <v/>
      </c>
      <c r="P1477" s="52">
        <f>IF(OR(B1477="",G1477=""),"",IF(C1477="","Gasto",C1477))</f>
        <v/>
      </c>
      <c r="Q1477" s="52">
        <f>IF(P1477="","",IF(J1477&lt;&gt;"",J1477,CuentaPred&amp;""))</f>
        <v/>
      </c>
      <c r="R1477" s="52">
        <f>IF(P1477="","",IF(ISNUMBER(I1477),I1477,TasaUSD))</f>
        <v/>
      </c>
      <c r="S1477" s="53">
        <f>IF(P1477="","",IF(H1477="USD",G1477*R1477,G1477))</f>
        <v/>
      </c>
      <c r="T1477" s="53">
        <f>IF(P1477="","",IF(H1477="USD",G1477,IF(R1477&gt;0,G1477/R1477,0)))</f>
        <v/>
      </c>
      <c r="U1477" s="53">
        <f>IF(P1477="","",IF(P1477="Gasto",S1477,IF(P1477="Reembolso",-S1477,0)))</f>
        <v/>
      </c>
      <c r="V1477" s="53">
        <f>IF(P1477="","",IF(P1477="Ingreso",S1477,0))</f>
        <v/>
      </c>
      <c r="W1477" s="53">
        <f>IF(P1477="","",IF(P1477="Resultado trading",S1477,0))</f>
        <v/>
      </c>
      <c r="X1477" s="52">
        <f>IF(OR(P1477="Gasto",P1477="Reembolso"),IF(M1477&lt;&gt;"",M1477,IFERROR(INDEX(catClasif,MATCH(D1477&amp;"|"&amp;E1477,catClave,0))&amp;"","Variable")),"")</f>
        <v/>
      </c>
      <c r="Y1477" s="52">
        <f>IF(P1477="","",IFERROR(INDEX(catGrupo,MATCH(D1477&amp;"|"&amp;E1477,catClave,0))&amp;"",""))</f>
        <v/>
      </c>
      <c r="Z1477" s="52">
        <f>IF(P1477="","",WEEKDAY(B1477,2))</f>
        <v/>
      </c>
      <c r="AA1477" s="52">
        <f>IF(P1477="","",IF(AND(P1477="Gasto",X1477="Variable",D1477&lt;&gt;catTrading,S1477&gt;0,S1477&lt;=Umbral),1,0))</f>
        <v/>
      </c>
      <c r="AB1477" s="52">
        <f>IF(OR(P1477="",Q1477=""),"",IFERROR(IF(INDEX(ctaVinc,MATCH(Q1477,ctaNombre,0))&amp;""&lt;&gt;"",INDEX(ctaVinc,MATCH(Q1477,ctaNombre,0))&amp;"",Q1477),Q1477))</f>
        <v/>
      </c>
      <c r="AC1477" s="52">
        <f>IF(OR(K1477="",AND(P1477&lt;&gt;"Transferencia",P1477&lt;&gt;"Pago tarjeta")),"",IFERROR(IF(INDEX(ctaVinc,MATCH(K1477,ctaNombre,0))&amp;""&lt;&gt;"",INDEX(ctaVinc,MATCH(K1477,ctaNombre,0))&amp;"",K1477),K1477))</f>
        <v/>
      </c>
      <c r="AD1477" s="52">
        <f>IF(AB1477="","",IFERROR(INDEX(ctaTipo,MATCH(AB1477,ctaNombre,0))&amp;"",""))</f>
        <v/>
      </c>
      <c r="AE1477" s="52">
        <f>IF(AC1477="","",IFERROR(INDEX(ctaTipo,MATCH(AC1477,ctaNombre,0))&amp;"",""))</f>
        <v/>
      </c>
      <c r="AF1477" s="53">
        <f>IF(OR(P1477="",AB1477=""),"",IF(OR(P1477="Gasto",P1477="Transferencia",P1477="Pago tarjeta"),-1,1)*IF(IFERROR(INDEX(ctaMoneda,MATCH(AB1477,ctaNombre,0))&amp;"","DOP")="USD",T1477,S1477))</f>
        <v/>
      </c>
      <c r="AG1477" s="53">
        <f>IF(AC1477="","",IF(IFERROR(INDEX(ctaMoneda,MATCH(AC1477,ctaNombre,0))&amp;"","DOP")="USD",T1477,S1477))</f>
        <v/>
      </c>
      <c r="AH1477" s="53">
        <f>IF(P1477="","",IF(AND(AD1477&lt;&gt;"",COUNTIFS(tcTipo,AD1477,tcLiq,"Sí")&gt;0),IF(OR(P1477="Gasto",P1477="Transferencia",P1477="Pago tarjeta"),-1,1)*S1477,0)+IF(AND(AE1477&lt;&gt;"",COUNTIFS(tcTipo,AE1477,tcLiq,"Sí")&gt;0),S1477,0))</f>
        <v/>
      </c>
      <c r="AI1477" s="52">
        <f>IF(OR(L1477="",P1477=""),"",IF(COUNTIFS(L$6:L1477,L1477,P$6:P1477,"?*")=1,MAX(AI$5:AI1476)+1,""))</f>
        <v/>
      </c>
    </row>
    <row r="1478">
      <c r="B1478" s="47" t="n"/>
      <c r="C1478" s="48" t="n"/>
      <c r="D1478" s="48" t="n"/>
      <c r="E1478" s="48" t="n"/>
      <c r="F1478" s="48" t="n"/>
      <c r="G1478" s="49" t="n"/>
      <c r="H1478" s="48" t="n"/>
      <c r="I1478" s="50" t="n"/>
      <c r="J1478" s="48" t="n"/>
      <c r="K1478" s="48" t="n"/>
      <c r="L1478" s="48" t="n"/>
      <c r="M1478" s="48" t="n"/>
      <c r="N1478" s="48" t="n"/>
      <c r="O1478" s="51">
        <f>IF(AND(B1478="",G1478="",C1478="",D1478="",J1478=""),"",IF(B1478="","⚠ Falta fecha",IF(G1478="","⚠ Falta monto",IF(Q1478="","⚠ Falta cuenta",IF(ISNA(MATCH(Q1478,ctaNombre,0)),"⚠ Cuenta no registrada",IF(AND(OR(P1478="Gasto",P1478="Reembolso"),D1478=""),"⚠ Falta categoría",IF(AND(D1478&lt;&gt;"",E1478&lt;&gt;"",ISNA(MATCH(D1478&amp;"|"&amp;E1478,catClave,0))),"⚠ Subcategoría no corresponde",IF(AND(OR(P1478="Transferencia",P1478="Pago tarjeta"),K1478=""),"⚠ Falta cuenta destino",IF(AND(K1478&lt;&gt;"",P1478&lt;&gt;"Transferencia",P1478&lt;&gt;"Pago tarjeta"),"⚠ Destino solo aplica a transferencias",IF(AND(K1478&lt;&gt;"",K1478=Q1478),"⚠ Origen igual a destino",IF(AND(K1478&lt;&gt;"",ISNA(MATCH(K1478,ctaNombre,0))),"⚠ Destino no registrado",IF(AND(P1478="Pago tarjeta",AE1478&lt;&gt;"Tarjeta de crédito"),"⚠ El destino debe ser tarjeta de crédito",IF(AND(P1478="Gasto",E1478="Depósitos y retiros"),"⚠ Usa tipo Transferencia",IF(AND(P1478="Resultado trading",AD1478&lt;&gt;"Cuenta de trading"),"⚠ Usa una cuenta de trading",IF(AND(G1478&lt;=0,P1478&lt;&gt;"Ajuste",P1478&lt;&gt;"Resultado trading"),"⚠ El monto debe ser positivo","✓")))))))))))))))</f>
        <v/>
      </c>
      <c r="P1478" s="52">
        <f>IF(OR(B1478="",G1478=""),"",IF(C1478="","Gasto",C1478))</f>
        <v/>
      </c>
      <c r="Q1478" s="52">
        <f>IF(P1478="","",IF(J1478&lt;&gt;"",J1478,CuentaPred&amp;""))</f>
        <v/>
      </c>
      <c r="R1478" s="52">
        <f>IF(P1478="","",IF(ISNUMBER(I1478),I1478,TasaUSD))</f>
        <v/>
      </c>
      <c r="S1478" s="53">
        <f>IF(P1478="","",IF(H1478="USD",G1478*R1478,G1478))</f>
        <v/>
      </c>
      <c r="T1478" s="53">
        <f>IF(P1478="","",IF(H1478="USD",G1478,IF(R1478&gt;0,G1478/R1478,0)))</f>
        <v/>
      </c>
      <c r="U1478" s="53">
        <f>IF(P1478="","",IF(P1478="Gasto",S1478,IF(P1478="Reembolso",-S1478,0)))</f>
        <v/>
      </c>
      <c r="V1478" s="53">
        <f>IF(P1478="","",IF(P1478="Ingreso",S1478,0))</f>
        <v/>
      </c>
      <c r="W1478" s="53">
        <f>IF(P1478="","",IF(P1478="Resultado trading",S1478,0))</f>
        <v/>
      </c>
      <c r="X1478" s="52">
        <f>IF(OR(P1478="Gasto",P1478="Reembolso"),IF(M1478&lt;&gt;"",M1478,IFERROR(INDEX(catClasif,MATCH(D1478&amp;"|"&amp;E1478,catClave,0))&amp;"","Variable")),"")</f>
        <v/>
      </c>
      <c r="Y1478" s="52">
        <f>IF(P1478="","",IFERROR(INDEX(catGrupo,MATCH(D1478&amp;"|"&amp;E1478,catClave,0))&amp;"",""))</f>
        <v/>
      </c>
      <c r="Z1478" s="52">
        <f>IF(P1478="","",WEEKDAY(B1478,2))</f>
        <v/>
      </c>
      <c r="AA1478" s="52">
        <f>IF(P1478="","",IF(AND(P1478="Gasto",X1478="Variable",D1478&lt;&gt;catTrading,S1478&gt;0,S1478&lt;=Umbral),1,0))</f>
        <v/>
      </c>
      <c r="AB1478" s="52">
        <f>IF(OR(P1478="",Q1478=""),"",IFERROR(IF(INDEX(ctaVinc,MATCH(Q1478,ctaNombre,0))&amp;""&lt;&gt;"",INDEX(ctaVinc,MATCH(Q1478,ctaNombre,0))&amp;"",Q1478),Q1478))</f>
        <v/>
      </c>
      <c r="AC1478" s="52">
        <f>IF(OR(K1478="",AND(P1478&lt;&gt;"Transferencia",P1478&lt;&gt;"Pago tarjeta")),"",IFERROR(IF(INDEX(ctaVinc,MATCH(K1478,ctaNombre,0))&amp;""&lt;&gt;"",INDEX(ctaVinc,MATCH(K1478,ctaNombre,0))&amp;"",K1478),K1478))</f>
        <v/>
      </c>
      <c r="AD1478" s="52">
        <f>IF(AB1478="","",IFERROR(INDEX(ctaTipo,MATCH(AB1478,ctaNombre,0))&amp;"",""))</f>
        <v/>
      </c>
      <c r="AE1478" s="52">
        <f>IF(AC1478="","",IFERROR(INDEX(ctaTipo,MATCH(AC1478,ctaNombre,0))&amp;"",""))</f>
        <v/>
      </c>
      <c r="AF1478" s="53">
        <f>IF(OR(P1478="",AB1478=""),"",IF(OR(P1478="Gasto",P1478="Transferencia",P1478="Pago tarjeta"),-1,1)*IF(IFERROR(INDEX(ctaMoneda,MATCH(AB1478,ctaNombre,0))&amp;"","DOP")="USD",T1478,S1478))</f>
        <v/>
      </c>
      <c r="AG1478" s="53">
        <f>IF(AC1478="","",IF(IFERROR(INDEX(ctaMoneda,MATCH(AC1478,ctaNombre,0))&amp;"","DOP")="USD",T1478,S1478))</f>
        <v/>
      </c>
      <c r="AH1478" s="53">
        <f>IF(P1478="","",IF(AND(AD1478&lt;&gt;"",COUNTIFS(tcTipo,AD1478,tcLiq,"Sí")&gt;0),IF(OR(P1478="Gasto",P1478="Transferencia",P1478="Pago tarjeta"),-1,1)*S1478,0)+IF(AND(AE1478&lt;&gt;"",COUNTIFS(tcTipo,AE1478,tcLiq,"Sí")&gt;0),S1478,0))</f>
        <v/>
      </c>
      <c r="AI1478" s="52">
        <f>IF(OR(L1478="",P1478=""),"",IF(COUNTIFS(L$6:L1478,L1478,P$6:P1478,"?*")=1,MAX(AI$5:AI1477)+1,""))</f>
        <v/>
      </c>
    </row>
    <row r="1479">
      <c r="B1479" s="47" t="n"/>
      <c r="C1479" s="48" t="n"/>
      <c r="D1479" s="48" t="n"/>
      <c r="E1479" s="48" t="n"/>
      <c r="F1479" s="48" t="n"/>
      <c r="G1479" s="49" t="n"/>
      <c r="H1479" s="48" t="n"/>
      <c r="I1479" s="50" t="n"/>
      <c r="J1479" s="48" t="n"/>
      <c r="K1479" s="48" t="n"/>
      <c r="L1479" s="48" t="n"/>
      <c r="M1479" s="48" t="n"/>
      <c r="N1479" s="48" t="n"/>
      <c r="O1479" s="51">
        <f>IF(AND(B1479="",G1479="",C1479="",D1479="",J1479=""),"",IF(B1479="","⚠ Falta fecha",IF(G1479="","⚠ Falta monto",IF(Q1479="","⚠ Falta cuenta",IF(ISNA(MATCH(Q1479,ctaNombre,0)),"⚠ Cuenta no registrada",IF(AND(OR(P1479="Gasto",P1479="Reembolso"),D1479=""),"⚠ Falta categoría",IF(AND(D1479&lt;&gt;"",E1479&lt;&gt;"",ISNA(MATCH(D1479&amp;"|"&amp;E1479,catClave,0))),"⚠ Subcategoría no corresponde",IF(AND(OR(P1479="Transferencia",P1479="Pago tarjeta"),K1479=""),"⚠ Falta cuenta destino",IF(AND(K1479&lt;&gt;"",P1479&lt;&gt;"Transferencia",P1479&lt;&gt;"Pago tarjeta"),"⚠ Destino solo aplica a transferencias",IF(AND(K1479&lt;&gt;"",K1479=Q1479),"⚠ Origen igual a destino",IF(AND(K1479&lt;&gt;"",ISNA(MATCH(K1479,ctaNombre,0))),"⚠ Destino no registrado",IF(AND(P1479="Pago tarjeta",AE1479&lt;&gt;"Tarjeta de crédito"),"⚠ El destino debe ser tarjeta de crédito",IF(AND(P1479="Gasto",E1479="Depósitos y retiros"),"⚠ Usa tipo Transferencia",IF(AND(P1479="Resultado trading",AD1479&lt;&gt;"Cuenta de trading"),"⚠ Usa una cuenta de trading",IF(AND(G1479&lt;=0,P1479&lt;&gt;"Ajuste",P1479&lt;&gt;"Resultado trading"),"⚠ El monto debe ser positivo","✓")))))))))))))))</f>
        <v/>
      </c>
      <c r="P1479" s="52">
        <f>IF(OR(B1479="",G1479=""),"",IF(C1479="","Gasto",C1479))</f>
        <v/>
      </c>
      <c r="Q1479" s="52">
        <f>IF(P1479="","",IF(J1479&lt;&gt;"",J1479,CuentaPred&amp;""))</f>
        <v/>
      </c>
      <c r="R1479" s="52">
        <f>IF(P1479="","",IF(ISNUMBER(I1479),I1479,TasaUSD))</f>
        <v/>
      </c>
      <c r="S1479" s="53">
        <f>IF(P1479="","",IF(H1479="USD",G1479*R1479,G1479))</f>
        <v/>
      </c>
      <c r="T1479" s="53">
        <f>IF(P1479="","",IF(H1479="USD",G1479,IF(R1479&gt;0,G1479/R1479,0)))</f>
        <v/>
      </c>
      <c r="U1479" s="53">
        <f>IF(P1479="","",IF(P1479="Gasto",S1479,IF(P1479="Reembolso",-S1479,0)))</f>
        <v/>
      </c>
      <c r="V1479" s="53">
        <f>IF(P1479="","",IF(P1479="Ingreso",S1479,0))</f>
        <v/>
      </c>
      <c r="W1479" s="53">
        <f>IF(P1479="","",IF(P1479="Resultado trading",S1479,0))</f>
        <v/>
      </c>
      <c r="X1479" s="52">
        <f>IF(OR(P1479="Gasto",P1479="Reembolso"),IF(M1479&lt;&gt;"",M1479,IFERROR(INDEX(catClasif,MATCH(D1479&amp;"|"&amp;E1479,catClave,0))&amp;"","Variable")),"")</f>
        <v/>
      </c>
      <c r="Y1479" s="52">
        <f>IF(P1479="","",IFERROR(INDEX(catGrupo,MATCH(D1479&amp;"|"&amp;E1479,catClave,0))&amp;"",""))</f>
        <v/>
      </c>
      <c r="Z1479" s="52">
        <f>IF(P1479="","",WEEKDAY(B1479,2))</f>
        <v/>
      </c>
      <c r="AA1479" s="52">
        <f>IF(P1479="","",IF(AND(P1479="Gasto",X1479="Variable",D1479&lt;&gt;catTrading,S1479&gt;0,S1479&lt;=Umbral),1,0))</f>
        <v/>
      </c>
      <c r="AB1479" s="52">
        <f>IF(OR(P1479="",Q1479=""),"",IFERROR(IF(INDEX(ctaVinc,MATCH(Q1479,ctaNombre,0))&amp;""&lt;&gt;"",INDEX(ctaVinc,MATCH(Q1479,ctaNombre,0))&amp;"",Q1479),Q1479))</f>
        <v/>
      </c>
      <c r="AC1479" s="52">
        <f>IF(OR(K1479="",AND(P1479&lt;&gt;"Transferencia",P1479&lt;&gt;"Pago tarjeta")),"",IFERROR(IF(INDEX(ctaVinc,MATCH(K1479,ctaNombre,0))&amp;""&lt;&gt;"",INDEX(ctaVinc,MATCH(K1479,ctaNombre,0))&amp;"",K1479),K1479))</f>
        <v/>
      </c>
      <c r="AD1479" s="52">
        <f>IF(AB1479="","",IFERROR(INDEX(ctaTipo,MATCH(AB1479,ctaNombre,0))&amp;"",""))</f>
        <v/>
      </c>
      <c r="AE1479" s="52">
        <f>IF(AC1479="","",IFERROR(INDEX(ctaTipo,MATCH(AC1479,ctaNombre,0))&amp;"",""))</f>
        <v/>
      </c>
      <c r="AF1479" s="53">
        <f>IF(OR(P1479="",AB1479=""),"",IF(OR(P1479="Gasto",P1479="Transferencia",P1479="Pago tarjeta"),-1,1)*IF(IFERROR(INDEX(ctaMoneda,MATCH(AB1479,ctaNombre,0))&amp;"","DOP")="USD",T1479,S1479))</f>
        <v/>
      </c>
      <c r="AG1479" s="53">
        <f>IF(AC1479="","",IF(IFERROR(INDEX(ctaMoneda,MATCH(AC1479,ctaNombre,0))&amp;"","DOP")="USD",T1479,S1479))</f>
        <v/>
      </c>
      <c r="AH1479" s="53">
        <f>IF(P1479="","",IF(AND(AD1479&lt;&gt;"",COUNTIFS(tcTipo,AD1479,tcLiq,"Sí")&gt;0),IF(OR(P1479="Gasto",P1479="Transferencia",P1479="Pago tarjeta"),-1,1)*S1479,0)+IF(AND(AE1479&lt;&gt;"",COUNTIFS(tcTipo,AE1479,tcLiq,"Sí")&gt;0),S1479,0))</f>
        <v/>
      </c>
      <c r="AI1479" s="52">
        <f>IF(OR(L1479="",P1479=""),"",IF(COUNTIFS(L$6:L1479,L1479,P$6:P1479,"?*")=1,MAX(AI$5:AI1478)+1,""))</f>
        <v/>
      </c>
    </row>
    <row r="1480">
      <c r="B1480" s="47" t="n"/>
      <c r="C1480" s="48" t="n"/>
      <c r="D1480" s="48" t="n"/>
      <c r="E1480" s="48" t="n"/>
      <c r="F1480" s="48" t="n"/>
      <c r="G1480" s="49" t="n"/>
      <c r="H1480" s="48" t="n"/>
      <c r="I1480" s="50" t="n"/>
      <c r="J1480" s="48" t="n"/>
      <c r="K1480" s="48" t="n"/>
      <c r="L1480" s="48" t="n"/>
      <c r="M1480" s="48" t="n"/>
      <c r="N1480" s="48" t="n"/>
      <c r="O1480" s="51">
        <f>IF(AND(B1480="",G1480="",C1480="",D1480="",J1480=""),"",IF(B1480="","⚠ Falta fecha",IF(G1480="","⚠ Falta monto",IF(Q1480="","⚠ Falta cuenta",IF(ISNA(MATCH(Q1480,ctaNombre,0)),"⚠ Cuenta no registrada",IF(AND(OR(P1480="Gasto",P1480="Reembolso"),D1480=""),"⚠ Falta categoría",IF(AND(D1480&lt;&gt;"",E1480&lt;&gt;"",ISNA(MATCH(D1480&amp;"|"&amp;E1480,catClave,0))),"⚠ Subcategoría no corresponde",IF(AND(OR(P1480="Transferencia",P1480="Pago tarjeta"),K1480=""),"⚠ Falta cuenta destino",IF(AND(K1480&lt;&gt;"",P1480&lt;&gt;"Transferencia",P1480&lt;&gt;"Pago tarjeta"),"⚠ Destino solo aplica a transferencias",IF(AND(K1480&lt;&gt;"",K1480=Q1480),"⚠ Origen igual a destino",IF(AND(K1480&lt;&gt;"",ISNA(MATCH(K1480,ctaNombre,0))),"⚠ Destino no registrado",IF(AND(P1480="Pago tarjeta",AE1480&lt;&gt;"Tarjeta de crédito"),"⚠ El destino debe ser tarjeta de crédito",IF(AND(P1480="Gasto",E1480="Depósitos y retiros"),"⚠ Usa tipo Transferencia",IF(AND(P1480="Resultado trading",AD1480&lt;&gt;"Cuenta de trading"),"⚠ Usa una cuenta de trading",IF(AND(G1480&lt;=0,P1480&lt;&gt;"Ajuste",P1480&lt;&gt;"Resultado trading"),"⚠ El monto debe ser positivo","✓")))))))))))))))</f>
        <v/>
      </c>
      <c r="P1480" s="52">
        <f>IF(OR(B1480="",G1480=""),"",IF(C1480="","Gasto",C1480))</f>
        <v/>
      </c>
      <c r="Q1480" s="52">
        <f>IF(P1480="","",IF(J1480&lt;&gt;"",J1480,CuentaPred&amp;""))</f>
        <v/>
      </c>
      <c r="R1480" s="52">
        <f>IF(P1480="","",IF(ISNUMBER(I1480),I1480,TasaUSD))</f>
        <v/>
      </c>
      <c r="S1480" s="53">
        <f>IF(P1480="","",IF(H1480="USD",G1480*R1480,G1480))</f>
        <v/>
      </c>
      <c r="T1480" s="53">
        <f>IF(P1480="","",IF(H1480="USD",G1480,IF(R1480&gt;0,G1480/R1480,0)))</f>
        <v/>
      </c>
      <c r="U1480" s="53">
        <f>IF(P1480="","",IF(P1480="Gasto",S1480,IF(P1480="Reembolso",-S1480,0)))</f>
        <v/>
      </c>
      <c r="V1480" s="53">
        <f>IF(P1480="","",IF(P1480="Ingreso",S1480,0))</f>
        <v/>
      </c>
      <c r="W1480" s="53">
        <f>IF(P1480="","",IF(P1480="Resultado trading",S1480,0))</f>
        <v/>
      </c>
      <c r="X1480" s="52">
        <f>IF(OR(P1480="Gasto",P1480="Reembolso"),IF(M1480&lt;&gt;"",M1480,IFERROR(INDEX(catClasif,MATCH(D1480&amp;"|"&amp;E1480,catClave,0))&amp;"","Variable")),"")</f>
        <v/>
      </c>
      <c r="Y1480" s="52">
        <f>IF(P1480="","",IFERROR(INDEX(catGrupo,MATCH(D1480&amp;"|"&amp;E1480,catClave,0))&amp;"",""))</f>
        <v/>
      </c>
      <c r="Z1480" s="52">
        <f>IF(P1480="","",WEEKDAY(B1480,2))</f>
        <v/>
      </c>
      <c r="AA1480" s="52">
        <f>IF(P1480="","",IF(AND(P1480="Gasto",X1480="Variable",D1480&lt;&gt;catTrading,S1480&gt;0,S1480&lt;=Umbral),1,0))</f>
        <v/>
      </c>
      <c r="AB1480" s="52">
        <f>IF(OR(P1480="",Q1480=""),"",IFERROR(IF(INDEX(ctaVinc,MATCH(Q1480,ctaNombre,0))&amp;""&lt;&gt;"",INDEX(ctaVinc,MATCH(Q1480,ctaNombre,0))&amp;"",Q1480),Q1480))</f>
        <v/>
      </c>
      <c r="AC1480" s="52">
        <f>IF(OR(K1480="",AND(P1480&lt;&gt;"Transferencia",P1480&lt;&gt;"Pago tarjeta")),"",IFERROR(IF(INDEX(ctaVinc,MATCH(K1480,ctaNombre,0))&amp;""&lt;&gt;"",INDEX(ctaVinc,MATCH(K1480,ctaNombre,0))&amp;"",K1480),K1480))</f>
        <v/>
      </c>
      <c r="AD1480" s="52">
        <f>IF(AB1480="","",IFERROR(INDEX(ctaTipo,MATCH(AB1480,ctaNombre,0))&amp;"",""))</f>
        <v/>
      </c>
      <c r="AE1480" s="52">
        <f>IF(AC1480="","",IFERROR(INDEX(ctaTipo,MATCH(AC1480,ctaNombre,0))&amp;"",""))</f>
        <v/>
      </c>
      <c r="AF1480" s="53">
        <f>IF(OR(P1480="",AB1480=""),"",IF(OR(P1480="Gasto",P1480="Transferencia",P1480="Pago tarjeta"),-1,1)*IF(IFERROR(INDEX(ctaMoneda,MATCH(AB1480,ctaNombre,0))&amp;"","DOP")="USD",T1480,S1480))</f>
        <v/>
      </c>
      <c r="AG1480" s="53">
        <f>IF(AC1480="","",IF(IFERROR(INDEX(ctaMoneda,MATCH(AC1480,ctaNombre,0))&amp;"","DOP")="USD",T1480,S1480))</f>
        <v/>
      </c>
      <c r="AH1480" s="53">
        <f>IF(P1480="","",IF(AND(AD1480&lt;&gt;"",COUNTIFS(tcTipo,AD1480,tcLiq,"Sí")&gt;0),IF(OR(P1480="Gasto",P1480="Transferencia",P1480="Pago tarjeta"),-1,1)*S1480,0)+IF(AND(AE1480&lt;&gt;"",COUNTIFS(tcTipo,AE1480,tcLiq,"Sí")&gt;0),S1480,0))</f>
        <v/>
      </c>
      <c r="AI1480" s="52">
        <f>IF(OR(L1480="",P1480=""),"",IF(COUNTIFS(L$6:L1480,L1480,P$6:P1480,"?*")=1,MAX(AI$5:AI1479)+1,""))</f>
        <v/>
      </c>
    </row>
    <row r="1481">
      <c r="B1481" s="47" t="n"/>
      <c r="C1481" s="48" t="n"/>
      <c r="D1481" s="48" t="n"/>
      <c r="E1481" s="48" t="n"/>
      <c r="F1481" s="48" t="n"/>
      <c r="G1481" s="49" t="n"/>
      <c r="H1481" s="48" t="n"/>
      <c r="I1481" s="50" t="n"/>
      <c r="J1481" s="48" t="n"/>
      <c r="K1481" s="48" t="n"/>
      <c r="L1481" s="48" t="n"/>
      <c r="M1481" s="48" t="n"/>
      <c r="N1481" s="48" t="n"/>
      <c r="O1481" s="51">
        <f>IF(AND(B1481="",G1481="",C1481="",D1481="",J1481=""),"",IF(B1481="","⚠ Falta fecha",IF(G1481="","⚠ Falta monto",IF(Q1481="","⚠ Falta cuenta",IF(ISNA(MATCH(Q1481,ctaNombre,0)),"⚠ Cuenta no registrada",IF(AND(OR(P1481="Gasto",P1481="Reembolso"),D1481=""),"⚠ Falta categoría",IF(AND(D1481&lt;&gt;"",E1481&lt;&gt;"",ISNA(MATCH(D1481&amp;"|"&amp;E1481,catClave,0))),"⚠ Subcategoría no corresponde",IF(AND(OR(P1481="Transferencia",P1481="Pago tarjeta"),K1481=""),"⚠ Falta cuenta destino",IF(AND(K1481&lt;&gt;"",P1481&lt;&gt;"Transferencia",P1481&lt;&gt;"Pago tarjeta"),"⚠ Destino solo aplica a transferencias",IF(AND(K1481&lt;&gt;"",K1481=Q1481),"⚠ Origen igual a destino",IF(AND(K1481&lt;&gt;"",ISNA(MATCH(K1481,ctaNombre,0))),"⚠ Destino no registrado",IF(AND(P1481="Pago tarjeta",AE1481&lt;&gt;"Tarjeta de crédito"),"⚠ El destino debe ser tarjeta de crédito",IF(AND(P1481="Gasto",E1481="Depósitos y retiros"),"⚠ Usa tipo Transferencia",IF(AND(P1481="Resultado trading",AD1481&lt;&gt;"Cuenta de trading"),"⚠ Usa una cuenta de trading",IF(AND(G1481&lt;=0,P1481&lt;&gt;"Ajuste",P1481&lt;&gt;"Resultado trading"),"⚠ El monto debe ser positivo","✓")))))))))))))))</f>
        <v/>
      </c>
      <c r="P1481" s="52">
        <f>IF(OR(B1481="",G1481=""),"",IF(C1481="","Gasto",C1481))</f>
        <v/>
      </c>
      <c r="Q1481" s="52">
        <f>IF(P1481="","",IF(J1481&lt;&gt;"",J1481,CuentaPred&amp;""))</f>
        <v/>
      </c>
      <c r="R1481" s="52">
        <f>IF(P1481="","",IF(ISNUMBER(I1481),I1481,TasaUSD))</f>
        <v/>
      </c>
      <c r="S1481" s="53">
        <f>IF(P1481="","",IF(H1481="USD",G1481*R1481,G1481))</f>
        <v/>
      </c>
      <c r="T1481" s="53">
        <f>IF(P1481="","",IF(H1481="USD",G1481,IF(R1481&gt;0,G1481/R1481,0)))</f>
        <v/>
      </c>
      <c r="U1481" s="53">
        <f>IF(P1481="","",IF(P1481="Gasto",S1481,IF(P1481="Reembolso",-S1481,0)))</f>
        <v/>
      </c>
      <c r="V1481" s="53">
        <f>IF(P1481="","",IF(P1481="Ingreso",S1481,0))</f>
        <v/>
      </c>
      <c r="W1481" s="53">
        <f>IF(P1481="","",IF(P1481="Resultado trading",S1481,0))</f>
        <v/>
      </c>
      <c r="X1481" s="52">
        <f>IF(OR(P1481="Gasto",P1481="Reembolso"),IF(M1481&lt;&gt;"",M1481,IFERROR(INDEX(catClasif,MATCH(D1481&amp;"|"&amp;E1481,catClave,0))&amp;"","Variable")),"")</f>
        <v/>
      </c>
      <c r="Y1481" s="52">
        <f>IF(P1481="","",IFERROR(INDEX(catGrupo,MATCH(D1481&amp;"|"&amp;E1481,catClave,0))&amp;"",""))</f>
        <v/>
      </c>
      <c r="Z1481" s="52">
        <f>IF(P1481="","",WEEKDAY(B1481,2))</f>
        <v/>
      </c>
      <c r="AA1481" s="52">
        <f>IF(P1481="","",IF(AND(P1481="Gasto",X1481="Variable",D1481&lt;&gt;catTrading,S1481&gt;0,S1481&lt;=Umbral),1,0))</f>
        <v/>
      </c>
      <c r="AB1481" s="52">
        <f>IF(OR(P1481="",Q1481=""),"",IFERROR(IF(INDEX(ctaVinc,MATCH(Q1481,ctaNombre,0))&amp;""&lt;&gt;"",INDEX(ctaVinc,MATCH(Q1481,ctaNombre,0))&amp;"",Q1481),Q1481))</f>
        <v/>
      </c>
      <c r="AC1481" s="52">
        <f>IF(OR(K1481="",AND(P1481&lt;&gt;"Transferencia",P1481&lt;&gt;"Pago tarjeta")),"",IFERROR(IF(INDEX(ctaVinc,MATCH(K1481,ctaNombre,0))&amp;""&lt;&gt;"",INDEX(ctaVinc,MATCH(K1481,ctaNombre,0))&amp;"",K1481),K1481))</f>
        <v/>
      </c>
      <c r="AD1481" s="52">
        <f>IF(AB1481="","",IFERROR(INDEX(ctaTipo,MATCH(AB1481,ctaNombre,0))&amp;"",""))</f>
        <v/>
      </c>
      <c r="AE1481" s="52">
        <f>IF(AC1481="","",IFERROR(INDEX(ctaTipo,MATCH(AC1481,ctaNombre,0))&amp;"",""))</f>
        <v/>
      </c>
      <c r="AF1481" s="53">
        <f>IF(OR(P1481="",AB1481=""),"",IF(OR(P1481="Gasto",P1481="Transferencia",P1481="Pago tarjeta"),-1,1)*IF(IFERROR(INDEX(ctaMoneda,MATCH(AB1481,ctaNombre,0))&amp;"","DOP")="USD",T1481,S1481))</f>
        <v/>
      </c>
      <c r="AG1481" s="53">
        <f>IF(AC1481="","",IF(IFERROR(INDEX(ctaMoneda,MATCH(AC1481,ctaNombre,0))&amp;"","DOP")="USD",T1481,S1481))</f>
        <v/>
      </c>
      <c r="AH1481" s="53">
        <f>IF(P1481="","",IF(AND(AD1481&lt;&gt;"",COUNTIFS(tcTipo,AD1481,tcLiq,"Sí")&gt;0),IF(OR(P1481="Gasto",P1481="Transferencia",P1481="Pago tarjeta"),-1,1)*S1481,0)+IF(AND(AE1481&lt;&gt;"",COUNTIFS(tcTipo,AE1481,tcLiq,"Sí")&gt;0),S1481,0))</f>
        <v/>
      </c>
      <c r="AI1481" s="52">
        <f>IF(OR(L1481="",P1481=""),"",IF(COUNTIFS(L$6:L1481,L1481,P$6:P1481,"?*")=1,MAX(AI$5:AI1480)+1,""))</f>
        <v/>
      </c>
    </row>
    <row r="1482">
      <c r="B1482" s="47" t="n"/>
      <c r="C1482" s="48" t="n"/>
      <c r="D1482" s="48" t="n"/>
      <c r="E1482" s="48" t="n"/>
      <c r="F1482" s="48" t="n"/>
      <c r="G1482" s="49" t="n"/>
      <c r="H1482" s="48" t="n"/>
      <c r="I1482" s="50" t="n"/>
      <c r="J1482" s="48" t="n"/>
      <c r="K1482" s="48" t="n"/>
      <c r="L1482" s="48" t="n"/>
      <c r="M1482" s="48" t="n"/>
      <c r="N1482" s="48" t="n"/>
      <c r="O1482" s="51">
        <f>IF(AND(B1482="",G1482="",C1482="",D1482="",J1482=""),"",IF(B1482="","⚠ Falta fecha",IF(G1482="","⚠ Falta monto",IF(Q1482="","⚠ Falta cuenta",IF(ISNA(MATCH(Q1482,ctaNombre,0)),"⚠ Cuenta no registrada",IF(AND(OR(P1482="Gasto",P1482="Reembolso"),D1482=""),"⚠ Falta categoría",IF(AND(D1482&lt;&gt;"",E1482&lt;&gt;"",ISNA(MATCH(D1482&amp;"|"&amp;E1482,catClave,0))),"⚠ Subcategoría no corresponde",IF(AND(OR(P1482="Transferencia",P1482="Pago tarjeta"),K1482=""),"⚠ Falta cuenta destino",IF(AND(K1482&lt;&gt;"",P1482&lt;&gt;"Transferencia",P1482&lt;&gt;"Pago tarjeta"),"⚠ Destino solo aplica a transferencias",IF(AND(K1482&lt;&gt;"",K1482=Q1482),"⚠ Origen igual a destino",IF(AND(K1482&lt;&gt;"",ISNA(MATCH(K1482,ctaNombre,0))),"⚠ Destino no registrado",IF(AND(P1482="Pago tarjeta",AE1482&lt;&gt;"Tarjeta de crédito"),"⚠ El destino debe ser tarjeta de crédito",IF(AND(P1482="Gasto",E1482="Depósitos y retiros"),"⚠ Usa tipo Transferencia",IF(AND(P1482="Resultado trading",AD1482&lt;&gt;"Cuenta de trading"),"⚠ Usa una cuenta de trading",IF(AND(G1482&lt;=0,P1482&lt;&gt;"Ajuste",P1482&lt;&gt;"Resultado trading"),"⚠ El monto debe ser positivo","✓")))))))))))))))</f>
        <v/>
      </c>
      <c r="P1482" s="52">
        <f>IF(OR(B1482="",G1482=""),"",IF(C1482="","Gasto",C1482))</f>
        <v/>
      </c>
      <c r="Q1482" s="52">
        <f>IF(P1482="","",IF(J1482&lt;&gt;"",J1482,CuentaPred&amp;""))</f>
        <v/>
      </c>
      <c r="R1482" s="52">
        <f>IF(P1482="","",IF(ISNUMBER(I1482),I1482,TasaUSD))</f>
        <v/>
      </c>
      <c r="S1482" s="53">
        <f>IF(P1482="","",IF(H1482="USD",G1482*R1482,G1482))</f>
        <v/>
      </c>
      <c r="T1482" s="53">
        <f>IF(P1482="","",IF(H1482="USD",G1482,IF(R1482&gt;0,G1482/R1482,0)))</f>
        <v/>
      </c>
      <c r="U1482" s="53">
        <f>IF(P1482="","",IF(P1482="Gasto",S1482,IF(P1482="Reembolso",-S1482,0)))</f>
        <v/>
      </c>
      <c r="V1482" s="53">
        <f>IF(P1482="","",IF(P1482="Ingreso",S1482,0))</f>
        <v/>
      </c>
      <c r="W1482" s="53">
        <f>IF(P1482="","",IF(P1482="Resultado trading",S1482,0))</f>
        <v/>
      </c>
      <c r="X1482" s="52">
        <f>IF(OR(P1482="Gasto",P1482="Reembolso"),IF(M1482&lt;&gt;"",M1482,IFERROR(INDEX(catClasif,MATCH(D1482&amp;"|"&amp;E1482,catClave,0))&amp;"","Variable")),"")</f>
        <v/>
      </c>
      <c r="Y1482" s="52">
        <f>IF(P1482="","",IFERROR(INDEX(catGrupo,MATCH(D1482&amp;"|"&amp;E1482,catClave,0))&amp;"",""))</f>
        <v/>
      </c>
      <c r="Z1482" s="52">
        <f>IF(P1482="","",WEEKDAY(B1482,2))</f>
        <v/>
      </c>
      <c r="AA1482" s="52">
        <f>IF(P1482="","",IF(AND(P1482="Gasto",X1482="Variable",D1482&lt;&gt;catTrading,S1482&gt;0,S1482&lt;=Umbral),1,0))</f>
        <v/>
      </c>
      <c r="AB1482" s="52">
        <f>IF(OR(P1482="",Q1482=""),"",IFERROR(IF(INDEX(ctaVinc,MATCH(Q1482,ctaNombre,0))&amp;""&lt;&gt;"",INDEX(ctaVinc,MATCH(Q1482,ctaNombre,0))&amp;"",Q1482),Q1482))</f>
        <v/>
      </c>
      <c r="AC1482" s="52">
        <f>IF(OR(K1482="",AND(P1482&lt;&gt;"Transferencia",P1482&lt;&gt;"Pago tarjeta")),"",IFERROR(IF(INDEX(ctaVinc,MATCH(K1482,ctaNombre,0))&amp;""&lt;&gt;"",INDEX(ctaVinc,MATCH(K1482,ctaNombre,0))&amp;"",K1482),K1482))</f>
        <v/>
      </c>
      <c r="AD1482" s="52">
        <f>IF(AB1482="","",IFERROR(INDEX(ctaTipo,MATCH(AB1482,ctaNombre,0))&amp;"",""))</f>
        <v/>
      </c>
      <c r="AE1482" s="52">
        <f>IF(AC1482="","",IFERROR(INDEX(ctaTipo,MATCH(AC1482,ctaNombre,0))&amp;"",""))</f>
        <v/>
      </c>
      <c r="AF1482" s="53">
        <f>IF(OR(P1482="",AB1482=""),"",IF(OR(P1482="Gasto",P1482="Transferencia",P1482="Pago tarjeta"),-1,1)*IF(IFERROR(INDEX(ctaMoneda,MATCH(AB1482,ctaNombre,0))&amp;"","DOP")="USD",T1482,S1482))</f>
        <v/>
      </c>
      <c r="AG1482" s="53">
        <f>IF(AC1482="","",IF(IFERROR(INDEX(ctaMoneda,MATCH(AC1482,ctaNombre,0))&amp;"","DOP")="USD",T1482,S1482))</f>
        <v/>
      </c>
      <c r="AH1482" s="53">
        <f>IF(P1482="","",IF(AND(AD1482&lt;&gt;"",COUNTIFS(tcTipo,AD1482,tcLiq,"Sí")&gt;0),IF(OR(P1482="Gasto",P1482="Transferencia",P1482="Pago tarjeta"),-1,1)*S1482,0)+IF(AND(AE1482&lt;&gt;"",COUNTIFS(tcTipo,AE1482,tcLiq,"Sí")&gt;0),S1482,0))</f>
        <v/>
      </c>
      <c r="AI1482" s="52">
        <f>IF(OR(L1482="",P1482=""),"",IF(COUNTIFS(L$6:L1482,L1482,P$6:P1482,"?*")=1,MAX(AI$5:AI1481)+1,""))</f>
        <v/>
      </c>
    </row>
    <row r="1483">
      <c r="B1483" s="47" t="n"/>
      <c r="C1483" s="48" t="n"/>
      <c r="D1483" s="48" t="n"/>
      <c r="E1483" s="48" t="n"/>
      <c r="F1483" s="48" t="n"/>
      <c r="G1483" s="49" t="n"/>
      <c r="H1483" s="48" t="n"/>
      <c r="I1483" s="50" t="n"/>
      <c r="J1483" s="48" t="n"/>
      <c r="K1483" s="48" t="n"/>
      <c r="L1483" s="48" t="n"/>
      <c r="M1483" s="48" t="n"/>
      <c r="N1483" s="48" t="n"/>
      <c r="O1483" s="51">
        <f>IF(AND(B1483="",G1483="",C1483="",D1483="",J1483=""),"",IF(B1483="","⚠ Falta fecha",IF(G1483="","⚠ Falta monto",IF(Q1483="","⚠ Falta cuenta",IF(ISNA(MATCH(Q1483,ctaNombre,0)),"⚠ Cuenta no registrada",IF(AND(OR(P1483="Gasto",P1483="Reembolso"),D1483=""),"⚠ Falta categoría",IF(AND(D1483&lt;&gt;"",E1483&lt;&gt;"",ISNA(MATCH(D1483&amp;"|"&amp;E1483,catClave,0))),"⚠ Subcategoría no corresponde",IF(AND(OR(P1483="Transferencia",P1483="Pago tarjeta"),K1483=""),"⚠ Falta cuenta destino",IF(AND(K1483&lt;&gt;"",P1483&lt;&gt;"Transferencia",P1483&lt;&gt;"Pago tarjeta"),"⚠ Destino solo aplica a transferencias",IF(AND(K1483&lt;&gt;"",K1483=Q1483),"⚠ Origen igual a destino",IF(AND(K1483&lt;&gt;"",ISNA(MATCH(K1483,ctaNombre,0))),"⚠ Destino no registrado",IF(AND(P1483="Pago tarjeta",AE1483&lt;&gt;"Tarjeta de crédito"),"⚠ El destino debe ser tarjeta de crédito",IF(AND(P1483="Gasto",E1483="Depósitos y retiros"),"⚠ Usa tipo Transferencia",IF(AND(P1483="Resultado trading",AD1483&lt;&gt;"Cuenta de trading"),"⚠ Usa una cuenta de trading",IF(AND(G1483&lt;=0,P1483&lt;&gt;"Ajuste",P1483&lt;&gt;"Resultado trading"),"⚠ El monto debe ser positivo","✓")))))))))))))))</f>
        <v/>
      </c>
      <c r="P1483" s="52">
        <f>IF(OR(B1483="",G1483=""),"",IF(C1483="","Gasto",C1483))</f>
        <v/>
      </c>
      <c r="Q1483" s="52">
        <f>IF(P1483="","",IF(J1483&lt;&gt;"",J1483,CuentaPred&amp;""))</f>
        <v/>
      </c>
      <c r="R1483" s="52">
        <f>IF(P1483="","",IF(ISNUMBER(I1483),I1483,TasaUSD))</f>
        <v/>
      </c>
      <c r="S1483" s="53">
        <f>IF(P1483="","",IF(H1483="USD",G1483*R1483,G1483))</f>
        <v/>
      </c>
      <c r="T1483" s="53">
        <f>IF(P1483="","",IF(H1483="USD",G1483,IF(R1483&gt;0,G1483/R1483,0)))</f>
        <v/>
      </c>
      <c r="U1483" s="53">
        <f>IF(P1483="","",IF(P1483="Gasto",S1483,IF(P1483="Reembolso",-S1483,0)))</f>
        <v/>
      </c>
      <c r="V1483" s="53">
        <f>IF(P1483="","",IF(P1483="Ingreso",S1483,0))</f>
        <v/>
      </c>
      <c r="W1483" s="53">
        <f>IF(P1483="","",IF(P1483="Resultado trading",S1483,0))</f>
        <v/>
      </c>
      <c r="X1483" s="52">
        <f>IF(OR(P1483="Gasto",P1483="Reembolso"),IF(M1483&lt;&gt;"",M1483,IFERROR(INDEX(catClasif,MATCH(D1483&amp;"|"&amp;E1483,catClave,0))&amp;"","Variable")),"")</f>
        <v/>
      </c>
      <c r="Y1483" s="52">
        <f>IF(P1483="","",IFERROR(INDEX(catGrupo,MATCH(D1483&amp;"|"&amp;E1483,catClave,0))&amp;"",""))</f>
        <v/>
      </c>
      <c r="Z1483" s="52">
        <f>IF(P1483="","",WEEKDAY(B1483,2))</f>
        <v/>
      </c>
      <c r="AA1483" s="52">
        <f>IF(P1483="","",IF(AND(P1483="Gasto",X1483="Variable",D1483&lt;&gt;catTrading,S1483&gt;0,S1483&lt;=Umbral),1,0))</f>
        <v/>
      </c>
      <c r="AB1483" s="52">
        <f>IF(OR(P1483="",Q1483=""),"",IFERROR(IF(INDEX(ctaVinc,MATCH(Q1483,ctaNombre,0))&amp;""&lt;&gt;"",INDEX(ctaVinc,MATCH(Q1483,ctaNombre,0))&amp;"",Q1483),Q1483))</f>
        <v/>
      </c>
      <c r="AC1483" s="52">
        <f>IF(OR(K1483="",AND(P1483&lt;&gt;"Transferencia",P1483&lt;&gt;"Pago tarjeta")),"",IFERROR(IF(INDEX(ctaVinc,MATCH(K1483,ctaNombre,0))&amp;""&lt;&gt;"",INDEX(ctaVinc,MATCH(K1483,ctaNombre,0))&amp;"",K1483),K1483))</f>
        <v/>
      </c>
      <c r="AD1483" s="52">
        <f>IF(AB1483="","",IFERROR(INDEX(ctaTipo,MATCH(AB1483,ctaNombre,0))&amp;"",""))</f>
        <v/>
      </c>
      <c r="AE1483" s="52">
        <f>IF(AC1483="","",IFERROR(INDEX(ctaTipo,MATCH(AC1483,ctaNombre,0))&amp;"",""))</f>
        <v/>
      </c>
      <c r="AF1483" s="53">
        <f>IF(OR(P1483="",AB1483=""),"",IF(OR(P1483="Gasto",P1483="Transferencia",P1483="Pago tarjeta"),-1,1)*IF(IFERROR(INDEX(ctaMoneda,MATCH(AB1483,ctaNombre,0))&amp;"","DOP")="USD",T1483,S1483))</f>
        <v/>
      </c>
      <c r="AG1483" s="53">
        <f>IF(AC1483="","",IF(IFERROR(INDEX(ctaMoneda,MATCH(AC1483,ctaNombre,0))&amp;"","DOP")="USD",T1483,S1483))</f>
        <v/>
      </c>
      <c r="AH1483" s="53">
        <f>IF(P1483="","",IF(AND(AD1483&lt;&gt;"",COUNTIFS(tcTipo,AD1483,tcLiq,"Sí")&gt;0),IF(OR(P1483="Gasto",P1483="Transferencia",P1483="Pago tarjeta"),-1,1)*S1483,0)+IF(AND(AE1483&lt;&gt;"",COUNTIFS(tcTipo,AE1483,tcLiq,"Sí")&gt;0),S1483,0))</f>
        <v/>
      </c>
      <c r="AI1483" s="52">
        <f>IF(OR(L1483="",P1483=""),"",IF(COUNTIFS(L$6:L1483,L1483,P$6:P1483,"?*")=1,MAX(AI$5:AI1482)+1,""))</f>
        <v/>
      </c>
    </row>
    <row r="1484">
      <c r="B1484" s="47" t="n"/>
      <c r="C1484" s="48" t="n"/>
      <c r="D1484" s="48" t="n"/>
      <c r="E1484" s="48" t="n"/>
      <c r="F1484" s="48" t="n"/>
      <c r="G1484" s="49" t="n"/>
      <c r="H1484" s="48" t="n"/>
      <c r="I1484" s="50" t="n"/>
      <c r="J1484" s="48" t="n"/>
      <c r="K1484" s="48" t="n"/>
      <c r="L1484" s="48" t="n"/>
      <c r="M1484" s="48" t="n"/>
      <c r="N1484" s="48" t="n"/>
      <c r="O1484" s="51">
        <f>IF(AND(B1484="",G1484="",C1484="",D1484="",J1484=""),"",IF(B1484="","⚠ Falta fecha",IF(G1484="","⚠ Falta monto",IF(Q1484="","⚠ Falta cuenta",IF(ISNA(MATCH(Q1484,ctaNombre,0)),"⚠ Cuenta no registrada",IF(AND(OR(P1484="Gasto",P1484="Reembolso"),D1484=""),"⚠ Falta categoría",IF(AND(D1484&lt;&gt;"",E1484&lt;&gt;"",ISNA(MATCH(D1484&amp;"|"&amp;E1484,catClave,0))),"⚠ Subcategoría no corresponde",IF(AND(OR(P1484="Transferencia",P1484="Pago tarjeta"),K1484=""),"⚠ Falta cuenta destino",IF(AND(K1484&lt;&gt;"",P1484&lt;&gt;"Transferencia",P1484&lt;&gt;"Pago tarjeta"),"⚠ Destino solo aplica a transferencias",IF(AND(K1484&lt;&gt;"",K1484=Q1484),"⚠ Origen igual a destino",IF(AND(K1484&lt;&gt;"",ISNA(MATCH(K1484,ctaNombre,0))),"⚠ Destino no registrado",IF(AND(P1484="Pago tarjeta",AE1484&lt;&gt;"Tarjeta de crédito"),"⚠ El destino debe ser tarjeta de crédito",IF(AND(P1484="Gasto",E1484="Depósitos y retiros"),"⚠ Usa tipo Transferencia",IF(AND(P1484="Resultado trading",AD1484&lt;&gt;"Cuenta de trading"),"⚠ Usa una cuenta de trading",IF(AND(G1484&lt;=0,P1484&lt;&gt;"Ajuste",P1484&lt;&gt;"Resultado trading"),"⚠ El monto debe ser positivo","✓")))))))))))))))</f>
        <v/>
      </c>
      <c r="P1484" s="52">
        <f>IF(OR(B1484="",G1484=""),"",IF(C1484="","Gasto",C1484))</f>
        <v/>
      </c>
      <c r="Q1484" s="52">
        <f>IF(P1484="","",IF(J1484&lt;&gt;"",J1484,CuentaPred&amp;""))</f>
        <v/>
      </c>
      <c r="R1484" s="52">
        <f>IF(P1484="","",IF(ISNUMBER(I1484),I1484,TasaUSD))</f>
        <v/>
      </c>
      <c r="S1484" s="53">
        <f>IF(P1484="","",IF(H1484="USD",G1484*R1484,G1484))</f>
        <v/>
      </c>
      <c r="T1484" s="53">
        <f>IF(P1484="","",IF(H1484="USD",G1484,IF(R1484&gt;0,G1484/R1484,0)))</f>
        <v/>
      </c>
      <c r="U1484" s="53">
        <f>IF(P1484="","",IF(P1484="Gasto",S1484,IF(P1484="Reembolso",-S1484,0)))</f>
        <v/>
      </c>
      <c r="V1484" s="53">
        <f>IF(P1484="","",IF(P1484="Ingreso",S1484,0))</f>
        <v/>
      </c>
      <c r="W1484" s="53">
        <f>IF(P1484="","",IF(P1484="Resultado trading",S1484,0))</f>
        <v/>
      </c>
      <c r="X1484" s="52">
        <f>IF(OR(P1484="Gasto",P1484="Reembolso"),IF(M1484&lt;&gt;"",M1484,IFERROR(INDEX(catClasif,MATCH(D1484&amp;"|"&amp;E1484,catClave,0))&amp;"","Variable")),"")</f>
        <v/>
      </c>
      <c r="Y1484" s="52">
        <f>IF(P1484="","",IFERROR(INDEX(catGrupo,MATCH(D1484&amp;"|"&amp;E1484,catClave,0))&amp;"",""))</f>
        <v/>
      </c>
      <c r="Z1484" s="52">
        <f>IF(P1484="","",WEEKDAY(B1484,2))</f>
        <v/>
      </c>
      <c r="AA1484" s="52">
        <f>IF(P1484="","",IF(AND(P1484="Gasto",X1484="Variable",D1484&lt;&gt;catTrading,S1484&gt;0,S1484&lt;=Umbral),1,0))</f>
        <v/>
      </c>
      <c r="AB1484" s="52">
        <f>IF(OR(P1484="",Q1484=""),"",IFERROR(IF(INDEX(ctaVinc,MATCH(Q1484,ctaNombre,0))&amp;""&lt;&gt;"",INDEX(ctaVinc,MATCH(Q1484,ctaNombre,0))&amp;"",Q1484),Q1484))</f>
        <v/>
      </c>
      <c r="AC1484" s="52">
        <f>IF(OR(K1484="",AND(P1484&lt;&gt;"Transferencia",P1484&lt;&gt;"Pago tarjeta")),"",IFERROR(IF(INDEX(ctaVinc,MATCH(K1484,ctaNombre,0))&amp;""&lt;&gt;"",INDEX(ctaVinc,MATCH(K1484,ctaNombre,0))&amp;"",K1484),K1484))</f>
        <v/>
      </c>
      <c r="AD1484" s="52">
        <f>IF(AB1484="","",IFERROR(INDEX(ctaTipo,MATCH(AB1484,ctaNombre,0))&amp;"",""))</f>
        <v/>
      </c>
      <c r="AE1484" s="52">
        <f>IF(AC1484="","",IFERROR(INDEX(ctaTipo,MATCH(AC1484,ctaNombre,0))&amp;"",""))</f>
        <v/>
      </c>
      <c r="AF1484" s="53">
        <f>IF(OR(P1484="",AB1484=""),"",IF(OR(P1484="Gasto",P1484="Transferencia",P1484="Pago tarjeta"),-1,1)*IF(IFERROR(INDEX(ctaMoneda,MATCH(AB1484,ctaNombre,0))&amp;"","DOP")="USD",T1484,S1484))</f>
        <v/>
      </c>
      <c r="AG1484" s="53">
        <f>IF(AC1484="","",IF(IFERROR(INDEX(ctaMoneda,MATCH(AC1484,ctaNombre,0))&amp;"","DOP")="USD",T1484,S1484))</f>
        <v/>
      </c>
      <c r="AH1484" s="53">
        <f>IF(P1484="","",IF(AND(AD1484&lt;&gt;"",COUNTIFS(tcTipo,AD1484,tcLiq,"Sí")&gt;0),IF(OR(P1484="Gasto",P1484="Transferencia",P1484="Pago tarjeta"),-1,1)*S1484,0)+IF(AND(AE1484&lt;&gt;"",COUNTIFS(tcTipo,AE1484,tcLiq,"Sí")&gt;0),S1484,0))</f>
        <v/>
      </c>
      <c r="AI1484" s="52">
        <f>IF(OR(L1484="",P1484=""),"",IF(COUNTIFS(L$6:L1484,L1484,P$6:P1484,"?*")=1,MAX(AI$5:AI1483)+1,""))</f>
        <v/>
      </c>
    </row>
    <row r="1485">
      <c r="B1485" s="47" t="n"/>
      <c r="C1485" s="48" t="n"/>
      <c r="D1485" s="48" t="n"/>
      <c r="E1485" s="48" t="n"/>
      <c r="F1485" s="48" t="n"/>
      <c r="G1485" s="49" t="n"/>
      <c r="H1485" s="48" t="n"/>
      <c r="I1485" s="50" t="n"/>
      <c r="J1485" s="48" t="n"/>
      <c r="K1485" s="48" t="n"/>
      <c r="L1485" s="48" t="n"/>
      <c r="M1485" s="48" t="n"/>
      <c r="N1485" s="48" t="n"/>
      <c r="O1485" s="51">
        <f>IF(AND(B1485="",G1485="",C1485="",D1485="",J1485=""),"",IF(B1485="","⚠ Falta fecha",IF(G1485="","⚠ Falta monto",IF(Q1485="","⚠ Falta cuenta",IF(ISNA(MATCH(Q1485,ctaNombre,0)),"⚠ Cuenta no registrada",IF(AND(OR(P1485="Gasto",P1485="Reembolso"),D1485=""),"⚠ Falta categoría",IF(AND(D1485&lt;&gt;"",E1485&lt;&gt;"",ISNA(MATCH(D1485&amp;"|"&amp;E1485,catClave,0))),"⚠ Subcategoría no corresponde",IF(AND(OR(P1485="Transferencia",P1485="Pago tarjeta"),K1485=""),"⚠ Falta cuenta destino",IF(AND(K1485&lt;&gt;"",P1485&lt;&gt;"Transferencia",P1485&lt;&gt;"Pago tarjeta"),"⚠ Destino solo aplica a transferencias",IF(AND(K1485&lt;&gt;"",K1485=Q1485),"⚠ Origen igual a destino",IF(AND(K1485&lt;&gt;"",ISNA(MATCH(K1485,ctaNombre,0))),"⚠ Destino no registrado",IF(AND(P1485="Pago tarjeta",AE1485&lt;&gt;"Tarjeta de crédito"),"⚠ El destino debe ser tarjeta de crédito",IF(AND(P1485="Gasto",E1485="Depósitos y retiros"),"⚠ Usa tipo Transferencia",IF(AND(P1485="Resultado trading",AD1485&lt;&gt;"Cuenta de trading"),"⚠ Usa una cuenta de trading",IF(AND(G1485&lt;=0,P1485&lt;&gt;"Ajuste",P1485&lt;&gt;"Resultado trading"),"⚠ El monto debe ser positivo","✓")))))))))))))))</f>
        <v/>
      </c>
      <c r="P1485" s="52">
        <f>IF(OR(B1485="",G1485=""),"",IF(C1485="","Gasto",C1485))</f>
        <v/>
      </c>
      <c r="Q1485" s="52">
        <f>IF(P1485="","",IF(J1485&lt;&gt;"",J1485,CuentaPred&amp;""))</f>
        <v/>
      </c>
      <c r="R1485" s="52">
        <f>IF(P1485="","",IF(ISNUMBER(I1485),I1485,TasaUSD))</f>
        <v/>
      </c>
      <c r="S1485" s="53">
        <f>IF(P1485="","",IF(H1485="USD",G1485*R1485,G1485))</f>
        <v/>
      </c>
      <c r="T1485" s="53">
        <f>IF(P1485="","",IF(H1485="USD",G1485,IF(R1485&gt;0,G1485/R1485,0)))</f>
        <v/>
      </c>
      <c r="U1485" s="53">
        <f>IF(P1485="","",IF(P1485="Gasto",S1485,IF(P1485="Reembolso",-S1485,0)))</f>
        <v/>
      </c>
      <c r="V1485" s="53">
        <f>IF(P1485="","",IF(P1485="Ingreso",S1485,0))</f>
        <v/>
      </c>
      <c r="W1485" s="53">
        <f>IF(P1485="","",IF(P1485="Resultado trading",S1485,0))</f>
        <v/>
      </c>
      <c r="X1485" s="52">
        <f>IF(OR(P1485="Gasto",P1485="Reembolso"),IF(M1485&lt;&gt;"",M1485,IFERROR(INDEX(catClasif,MATCH(D1485&amp;"|"&amp;E1485,catClave,0))&amp;"","Variable")),"")</f>
        <v/>
      </c>
      <c r="Y1485" s="52">
        <f>IF(P1485="","",IFERROR(INDEX(catGrupo,MATCH(D1485&amp;"|"&amp;E1485,catClave,0))&amp;"",""))</f>
        <v/>
      </c>
      <c r="Z1485" s="52">
        <f>IF(P1485="","",WEEKDAY(B1485,2))</f>
        <v/>
      </c>
      <c r="AA1485" s="52">
        <f>IF(P1485="","",IF(AND(P1485="Gasto",X1485="Variable",D1485&lt;&gt;catTrading,S1485&gt;0,S1485&lt;=Umbral),1,0))</f>
        <v/>
      </c>
      <c r="AB1485" s="52">
        <f>IF(OR(P1485="",Q1485=""),"",IFERROR(IF(INDEX(ctaVinc,MATCH(Q1485,ctaNombre,0))&amp;""&lt;&gt;"",INDEX(ctaVinc,MATCH(Q1485,ctaNombre,0))&amp;"",Q1485),Q1485))</f>
        <v/>
      </c>
      <c r="AC1485" s="52">
        <f>IF(OR(K1485="",AND(P1485&lt;&gt;"Transferencia",P1485&lt;&gt;"Pago tarjeta")),"",IFERROR(IF(INDEX(ctaVinc,MATCH(K1485,ctaNombre,0))&amp;""&lt;&gt;"",INDEX(ctaVinc,MATCH(K1485,ctaNombre,0))&amp;"",K1485),K1485))</f>
        <v/>
      </c>
      <c r="AD1485" s="52">
        <f>IF(AB1485="","",IFERROR(INDEX(ctaTipo,MATCH(AB1485,ctaNombre,0))&amp;"",""))</f>
        <v/>
      </c>
      <c r="AE1485" s="52">
        <f>IF(AC1485="","",IFERROR(INDEX(ctaTipo,MATCH(AC1485,ctaNombre,0))&amp;"",""))</f>
        <v/>
      </c>
      <c r="AF1485" s="53">
        <f>IF(OR(P1485="",AB1485=""),"",IF(OR(P1485="Gasto",P1485="Transferencia",P1485="Pago tarjeta"),-1,1)*IF(IFERROR(INDEX(ctaMoneda,MATCH(AB1485,ctaNombre,0))&amp;"","DOP")="USD",T1485,S1485))</f>
        <v/>
      </c>
      <c r="AG1485" s="53">
        <f>IF(AC1485="","",IF(IFERROR(INDEX(ctaMoneda,MATCH(AC1485,ctaNombre,0))&amp;"","DOP")="USD",T1485,S1485))</f>
        <v/>
      </c>
      <c r="AH1485" s="53">
        <f>IF(P1485="","",IF(AND(AD1485&lt;&gt;"",COUNTIFS(tcTipo,AD1485,tcLiq,"Sí")&gt;0),IF(OR(P1485="Gasto",P1485="Transferencia",P1485="Pago tarjeta"),-1,1)*S1485,0)+IF(AND(AE1485&lt;&gt;"",COUNTIFS(tcTipo,AE1485,tcLiq,"Sí")&gt;0),S1485,0))</f>
        <v/>
      </c>
      <c r="AI1485" s="52">
        <f>IF(OR(L1485="",P1485=""),"",IF(COUNTIFS(L$6:L1485,L1485,P$6:P1485,"?*")=1,MAX(AI$5:AI1484)+1,""))</f>
        <v/>
      </c>
    </row>
    <row r="1486">
      <c r="B1486" s="47" t="n"/>
      <c r="C1486" s="48" t="n"/>
      <c r="D1486" s="48" t="n"/>
      <c r="E1486" s="48" t="n"/>
      <c r="F1486" s="48" t="n"/>
      <c r="G1486" s="49" t="n"/>
      <c r="H1486" s="48" t="n"/>
      <c r="I1486" s="50" t="n"/>
      <c r="J1486" s="48" t="n"/>
      <c r="K1486" s="48" t="n"/>
      <c r="L1486" s="48" t="n"/>
      <c r="M1486" s="48" t="n"/>
      <c r="N1486" s="48" t="n"/>
      <c r="O1486" s="51">
        <f>IF(AND(B1486="",G1486="",C1486="",D1486="",J1486=""),"",IF(B1486="","⚠ Falta fecha",IF(G1486="","⚠ Falta monto",IF(Q1486="","⚠ Falta cuenta",IF(ISNA(MATCH(Q1486,ctaNombre,0)),"⚠ Cuenta no registrada",IF(AND(OR(P1486="Gasto",P1486="Reembolso"),D1486=""),"⚠ Falta categoría",IF(AND(D1486&lt;&gt;"",E1486&lt;&gt;"",ISNA(MATCH(D1486&amp;"|"&amp;E1486,catClave,0))),"⚠ Subcategoría no corresponde",IF(AND(OR(P1486="Transferencia",P1486="Pago tarjeta"),K1486=""),"⚠ Falta cuenta destino",IF(AND(K1486&lt;&gt;"",P1486&lt;&gt;"Transferencia",P1486&lt;&gt;"Pago tarjeta"),"⚠ Destino solo aplica a transferencias",IF(AND(K1486&lt;&gt;"",K1486=Q1486),"⚠ Origen igual a destino",IF(AND(K1486&lt;&gt;"",ISNA(MATCH(K1486,ctaNombre,0))),"⚠ Destino no registrado",IF(AND(P1486="Pago tarjeta",AE1486&lt;&gt;"Tarjeta de crédito"),"⚠ El destino debe ser tarjeta de crédito",IF(AND(P1486="Gasto",E1486="Depósitos y retiros"),"⚠ Usa tipo Transferencia",IF(AND(P1486="Resultado trading",AD1486&lt;&gt;"Cuenta de trading"),"⚠ Usa una cuenta de trading",IF(AND(G1486&lt;=0,P1486&lt;&gt;"Ajuste",P1486&lt;&gt;"Resultado trading"),"⚠ El monto debe ser positivo","✓")))))))))))))))</f>
        <v/>
      </c>
      <c r="P1486" s="52">
        <f>IF(OR(B1486="",G1486=""),"",IF(C1486="","Gasto",C1486))</f>
        <v/>
      </c>
      <c r="Q1486" s="52">
        <f>IF(P1486="","",IF(J1486&lt;&gt;"",J1486,CuentaPred&amp;""))</f>
        <v/>
      </c>
      <c r="R1486" s="52">
        <f>IF(P1486="","",IF(ISNUMBER(I1486),I1486,TasaUSD))</f>
        <v/>
      </c>
      <c r="S1486" s="53">
        <f>IF(P1486="","",IF(H1486="USD",G1486*R1486,G1486))</f>
        <v/>
      </c>
      <c r="T1486" s="53">
        <f>IF(P1486="","",IF(H1486="USD",G1486,IF(R1486&gt;0,G1486/R1486,0)))</f>
        <v/>
      </c>
      <c r="U1486" s="53">
        <f>IF(P1486="","",IF(P1486="Gasto",S1486,IF(P1486="Reembolso",-S1486,0)))</f>
        <v/>
      </c>
      <c r="V1486" s="53">
        <f>IF(P1486="","",IF(P1486="Ingreso",S1486,0))</f>
        <v/>
      </c>
      <c r="W1486" s="53">
        <f>IF(P1486="","",IF(P1486="Resultado trading",S1486,0))</f>
        <v/>
      </c>
      <c r="X1486" s="52">
        <f>IF(OR(P1486="Gasto",P1486="Reembolso"),IF(M1486&lt;&gt;"",M1486,IFERROR(INDEX(catClasif,MATCH(D1486&amp;"|"&amp;E1486,catClave,0))&amp;"","Variable")),"")</f>
        <v/>
      </c>
      <c r="Y1486" s="52">
        <f>IF(P1486="","",IFERROR(INDEX(catGrupo,MATCH(D1486&amp;"|"&amp;E1486,catClave,0))&amp;"",""))</f>
        <v/>
      </c>
      <c r="Z1486" s="52">
        <f>IF(P1486="","",WEEKDAY(B1486,2))</f>
        <v/>
      </c>
      <c r="AA1486" s="52">
        <f>IF(P1486="","",IF(AND(P1486="Gasto",X1486="Variable",D1486&lt;&gt;catTrading,S1486&gt;0,S1486&lt;=Umbral),1,0))</f>
        <v/>
      </c>
      <c r="AB1486" s="52">
        <f>IF(OR(P1486="",Q1486=""),"",IFERROR(IF(INDEX(ctaVinc,MATCH(Q1486,ctaNombre,0))&amp;""&lt;&gt;"",INDEX(ctaVinc,MATCH(Q1486,ctaNombre,0))&amp;"",Q1486),Q1486))</f>
        <v/>
      </c>
      <c r="AC1486" s="52">
        <f>IF(OR(K1486="",AND(P1486&lt;&gt;"Transferencia",P1486&lt;&gt;"Pago tarjeta")),"",IFERROR(IF(INDEX(ctaVinc,MATCH(K1486,ctaNombre,0))&amp;""&lt;&gt;"",INDEX(ctaVinc,MATCH(K1486,ctaNombre,0))&amp;"",K1486),K1486))</f>
        <v/>
      </c>
      <c r="AD1486" s="52">
        <f>IF(AB1486="","",IFERROR(INDEX(ctaTipo,MATCH(AB1486,ctaNombre,0))&amp;"",""))</f>
        <v/>
      </c>
      <c r="AE1486" s="52">
        <f>IF(AC1486="","",IFERROR(INDEX(ctaTipo,MATCH(AC1486,ctaNombre,0))&amp;"",""))</f>
        <v/>
      </c>
      <c r="AF1486" s="53">
        <f>IF(OR(P1486="",AB1486=""),"",IF(OR(P1486="Gasto",P1486="Transferencia",P1486="Pago tarjeta"),-1,1)*IF(IFERROR(INDEX(ctaMoneda,MATCH(AB1486,ctaNombre,0))&amp;"","DOP")="USD",T1486,S1486))</f>
        <v/>
      </c>
      <c r="AG1486" s="53">
        <f>IF(AC1486="","",IF(IFERROR(INDEX(ctaMoneda,MATCH(AC1486,ctaNombre,0))&amp;"","DOP")="USD",T1486,S1486))</f>
        <v/>
      </c>
      <c r="AH1486" s="53">
        <f>IF(P1486="","",IF(AND(AD1486&lt;&gt;"",COUNTIFS(tcTipo,AD1486,tcLiq,"Sí")&gt;0),IF(OR(P1486="Gasto",P1486="Transferencia",P1486="Pago tarjeta"),-1,1)*S1486,0)+IF(AND(AE1486&lt;&gt;"",COUNTIFS(tcTipo,AE1486,tcLiq,"Sí")&gt;0),S1486,0))</f>
        <v/>
      </c>
      <c r="AI1486" s="52">
        <f>IF(OR(L1486="",P1486=""),"",IF(COUNTIFS(L$6:L1486,L1486,P$6:P1486,"?*")=1,MAX(AI$5:AI1485)+1,""))</f>
        <v/>
      </c>
    </row>
    <row r="1487">
      <c r="B1487" s="47" t="n"/>
      <c r="C1487" s="48" t="n"/>
      <c r="D1487" s="48" t="n"/>
      <c r="E1487" s="48" t="n"/>
      <c r="F1487" s="48" t="n"/>
      <c r="G1487" s="49" t="n"/>
      <c r="H1487" s="48" t="n"/>
      <c r="I1487" s="50" t="n"/>
      <c r="J1487" s="48" t="n"/>
      <c r="K1487" s="48" t="n"/>
      <c r="L1487" s="48" t="n"/>
      <c r="M1487" s="48" t="n"/>
      <c r="N1487" s="48" t="n"/>
      <c r="O1487" s="51">
        <f>IF(AND(B1487="",G1487="",C1487="",D1487="",J1487=""),"",IF(B1487="","⚠ Falta fecha",IF(G1487="","⚠ Falta monto",IF(Q1487="","⚠ Falta cuenta",IF(ISNA(MATCH(Q1487,ctaNombre,0)),"⚠ Cuenta no registrada",IF(AND(OR(P1487="Gasto",P1487="Reembolso"),D1487=""),"⚠ Falta categoría",IF(AND(D1487&lt;&gt;"",E1487&lt;&gt;"",ISNA(MATCH(D1487&amp;"|"&amp;E1487,catClave,0))),"⚠ Subcategoría no corresponde",IF(AND(OR(P1487="Transferencia",P1487="Pago tarjeta"),K1487=""),"⚠ Falta cuenta destino",IF(AND(K1487&lt;&gt;"",P1487&lt;&gt;"Transferencia",P1487&lt;&gt;"Pago tarjeta"),"⚠ Destino solo aplica a transferencias",IF(AND(K1487&lt;&gt;"",K1487=Q1487),"⚠ Origen igual a destino",IF(AND(K1487&lt;&gt;"",ISNA(MATCH(K1487,ctaNombre,0))),"⚠ Destino no registrado",IF(AND(P1487="Pago tarjeta",AE1487&lt;&gt;"Tarjeta de crédito"),"⚠ El destino debe ser tarjeta de crédito",IF(AND(P1487="Gasto",E1487="Depósitos y retiros"),"⚠ Usa tipo Transferencia",IF(AND(P1487="Resultado trading",AD1487&lt;&gt;"Cuenta de trading"),"⚠ Usa una cuenta de trading",IF(AND(G1487&lt;=0,P1487&lt;&gt;"Ajuste",P1487&lt;&gt;"Resultado trading"),"⚠ El monto debe ser positivo","✓")))))))))))))))</f>
        <v/>
      </c>
      <c r="P1487" s="52">
        <f>IF(OR(B1487="",G1487=""),"",IF(C1487="","Gasto",C1487))</f>
        <v/>
      </c>
      <c r="Q1487" s="52">
        <f>IF(P1487="","",IF(J1487&lt;&gt;"",J1487,CuentaPred&amp;""))</f>
        <v/>
      </c>
      <c r="R1487" s="52">
        <f>IF(P1487="","",IF(ISNUMBER(I1487),I1487,TasaUSD))</f>
        <v/>
      </c>
      <c r="S1487" s="53">
        <f>IF(P1487="","",IF(H1487="USD",G1487*R1487,G1487))</f>
        <v/>
      </c>
      <c r="T1487" s="53">
        <f>IF(P1487="","",IF(H1487="USD",G1487,IF(R1487&gt;0,G1487/R1487,0)))</f>
        <v/>
      </c>
      <c r="U1487" s="53">
        <f>IF(P1487="","",IF(P1487="Gasto",S1487,IF(P1487="Reembolso",-S1487,0)))</f>
        <v/>
      </c>
      <c r="V1487" s="53">
        <f>IF(P1487="","",IF(P1487="Ingreso",S1487,0))</f>
        <v/>
      </c>
      <c r="W1487" s="53">
        <f>IF(P1487="","",IF(P1487="Resultado trading",S1487,0))</f>
        <v/>
      </c>
      <c r="X1487" s="52">
        <f>IF(OR(P1487="Gasto",P1487="Reembolso"),IF(M1487&lt;&gt;"",M1487,IFERROR(INDEX(catClasif,MATCH(D1487&amp;"|"&amp;E1487,catClave,0))&amp;"","Variable")),"")</f>
        <v/>
      </c>
      <c r="Y1487" s="52">
        <f>IF(P1487="","",IFERROR(INDEX(catGrupo,MATCH(D1487&amp;"|"&amp;E1487,catClave,0))&amp;"",""))</f>
        <v/>
      </c>
      <c r="Z1487" s="52">
        <f>IF(P1487="","",WEEKDAY(B1487,2))</f>
        <v/>
      </c>
      <c r="AA1487" s="52">
        <f>IF(P1487="","",IF(AND(P1487="Gasto",X1487="Variable",D1487&lt;&gt;catTrading,S1487&gt;0,S1487&lt;=Umbral),1,0))</f>
        <v/>
      </c>
      <c r="AB1487" s="52">
        <f>IF(OR(P1487="",Q1487=""),"",IFERROR(IF(INDEX(ctaVinc,MATCH(Q1487,ctaNombre,0))&amp;""&lt;&gt;"",INDEX(ctaVinc,MATCH(Q1487,ctaNombre,0))&amp;"",Q1487),Q1487))</f>
        <v/>
      </c>
      <c r="AC1487" s="52">
        <f>IF(OR(K1487="",AND(P1487&lt;&gt;"Transferencia",P1487&lt;&gt;"Pago tarjeta")),"",IFERROR(IF(INDEX(ctaVinc,MATCH(K1487,ctaNombre,0))&amp;""&lt;&gt;"",INDEX(ctaVinc,MATCH(K1487,ctaNombre,0))&amp;"",K1487),K1487))</f>
        <v/>
      </c>
      <c r="AD1487" s="52">
        <f>IF(AB1487="","",IFERROR(INDEX(ctaTipo,MATCH(AB1487,ctaNombre,0))&amp;"",""))</f>
        <v/>
      </c>
      <c r="AE1487" s="52">
        <f>IF(AC1487="","",IFERROR(INDEX(ctaTipo,MATCH(AC1487,ctaNombre,0))&amp;"",""))</f>
        <v/>
      </c>
      <c r="AF1487" s="53">
        <f>IF(OR(P1487="",AB1487=""),"",IF(OR(P1487="Gasto",P1487="Transferencia",P1487="Pago tarjeta"),-1,1)*IF(IFERROR(INDEX(ctaMoneda,MATCH(AB1487,ctaNombre,0))&amp;"","DOP")="USD",T1487,S1487))</f>
        <v/>
      </c>
      <c r="AG1487" s="53">
        <f>IF(AC1487="","",IF(IFERROR(INDEX(ctaMoneda,MATCH(AC1487,ctaNombre,0))&amp;"","DOP")="USD",T1487,S1487))</f>
        <v/>
      </c>
      <c r="AH1487" s="53">
        <f>IF(P1487="","",IF(AND(AD1487&lt;&gt;"",COUNTIFS(tcTipo,AD1487,tcLiq,"Sí")&gt;0),IF(OR(P1487="Gasto",P1487="Transferencia",P1487="Pago tarjeta"),-1,1)*S1487,0)+IF(AND(AE1487&lt;&gt;"",COUNTIFS(tcTipo,AE1487,tcLiq,"Sí")&gt;0),S1487,0))</f>
        <v/>
      </c>
      <c r="AI1487" s="52">
        <f>IF(OR(L1487="",P1487=""),"",IF(COUNTIFS(L$6:L1487,L1487,P$6:P1487,"?*")=1,MAX(AI$5:AI1486)+1,""))</f>
        <v/>
      </c>
    </row>
    <row r="1488">
      <c r="B1488" s="47" t="n"/>
      <c r="C1488" s="48" t="n"/>
      <c r="D1488" s="48" t="n"/>
      <c r="E1488" s="48" t="n"/>
      <c r="F1488" s="48" t="n"/>
      <c r="G1488" s="49" t="n"/>
      <c r="H1488" s="48" t="n"/>
      <c r="I1488" s="50" t="n"/>
      <c r="J1488" s="48" t="n"/>
      <c r="K1488" s="48" t="n"/>
      <c r="L1488" s="48" t="n"/>
      <c r="M1488" s="48" t="n"/>
      <c r="N1488" s="48" t="n"/>
      <c r="O1488" s="51">
        <f>IF(AND(B1488="",G1488="",C1488="",D1488="",J1488=""),"",IF(B1488="","⚠ Falta fecha",IF(G1488="","⚠ Falta monto",IF(Q1488="","⚠ Falta cuenta",IF(ISNA(MATCH(Q1488,ctaNombre,0)),"⚠ Cuenta no registrada",IF(AND(OR(P1488="Gasto",P1488="Reembolso"),D1488=""),"⚠ Falta categoría",IF(AND(D1488&lt;&gt;"",E1488&lt;&gt;"",ISNA(MATCH(D1488&amp;"|"&amp;E1488,catClave,0))),"⚠ Subcategoría no corresponde",IF(AND(OR(P1488="Transferencia",P1488="Pago tarjeta"),K1488=""),"⚠ Falta cuenta destino",IF(AND(K1488&lt;&gt;"",P1488&lt;&gt;"Transferencia",P1488&lt;&gt;"Pago tarjeta"),"⚠ Destino solo aplica a transferencias",IF(AND(K1488&lt;&gt;"",K1488=Q1488),"⚠ Origen igual a destino",IF(AND(K1488&lt;&gt;"",ISNA(MATCH(K1488,ctaNombre,0))),"⚠ Destino no registrado",IF(AND(P1488="Pago tarjeta",AE1488&lt;&gt;"Tarjeta de crédito"),"⚠ El destino debe ser tarjeta de crédito",IF(AND(P1488="Gasto",E1488="Depósitos y retiros"),"⚠ Usa tipo Transferencia",IF(AND(P1488="Resultado trading",AD1488&lt;&gt;"Cuenta de trading"),"⚠ Usa una cuenta de trading",IF(AND(G1488&lt;=0,P1488&lt;&gt;"Ajuste",P1488&lt;&gt;"Resultado trading"),"⚠ El monto debe ser positivo","✓")))))))))))))))</f>
        <v/>
      </c>
      <c r="P1488" s="52">
        <f>IF(OR(B1488="",G1488=""),"",IF(C1488="","Gasto",C1488))</f>
        <v/>
      </c>
      <c r="Q1488" s="52">
        <f>IF(P1488="","",IF(J1488&lt;&gt;"",J1488,CuentaPred&amp;""))</f>
        <v/>
      </c>
      <c r="R1488" s="52">
        <f>IF(P1488="","",IF(ISNUMBER(I1488),I1488,TasaUSD))</f>
        <v/>
      </c>
      <c r="S1488" s="53">
        <f>IF(P1488="","",IF(H1488="USD",G1488*R1488,G1488))</f>
        <v/>
      </c>
      <c r="T1488" s="53">
        <f>IF(P1488="","",IF(H1488="USD",G1488,IF(R1488&gt;0,G1488/R1488,0)))</f>
        <v/>
      </c>
      <c r="U1488" s="53">
        <f>IF(P1488="","",IF(P1488="Gasto",S1488,IF(P1488="Reembolso",-S1488,0)))</f>
        <v/>
      </c>
      <c r="V1488" s="53">
        <f>IF(P1488="","",IF(P1488="Ingreso",S1488,0))</f>
        <v/>
      </c>
      <c r="W1488" s="53">
        <f>IF(P1488="","",IF(P1488="Resultado trading",S1488,0))</f>
        <v/>
      </c>
      <c r="X1488" s="52">
        <f>IF(OR(P1488="Gasto",P1488="Reembolso"),IF(M1488&lt;&gt;"",M1488,IFERROR(INDEX(catClasif,MATCH(D1488&amp;"|"&amp;E1488,catClave,0))&amp;"","Variable")),"")</f>
        <v/>
      </c>
      <c r="Y1488" s="52">
        <f>IF(P1488="","",IFERROR(INDEX(catGrupo,MATCH(D1488&amp;"|"&amp;E1488,catClave,0))&amp;"",""))</f>
        <v/>
      </c>
      <c r="Z1488" s="52">
        <f>IF(P1488="","",WEEKDAY(B1488,2))</f>
        <v/>
      </c>
      <c r="AA1488" s="52">
        <f>IF(P1488="","",IF(AND(P1488="Gasto",X1488="Variable",D1488&lt;&gt;catTrading,S1488&gt;0,S1488&lt;=Umbral),1,0))</f>
        <v/>
      </c>
      <c r="AB1488" s="52">
        <f>IF(OR(P1488="",Q1488=""),"",IFERROR(IF(INDEX(ctaVinc,MATCH(Q1488,ctaNombre,0))&amp;""&lt;&gt;"",INDEX(ctaVinc,MATCH(Q1488,ctaNombre,0))&amp;"",Q1488),Q1488))</f>
        <v/>
      </c>
      <c r="AC1488" s="52">
        <f>IF(OR(K1488="",AND(P1488&lt;&gt;"Transferencia",P1488&lt;&gt;"Pago tarjeta")),"",IFERROR(IF(INDEX(ctaVinc,MATCH(K1488,ctaNombre,0))&amp;""&lt;&gt;"",INDEX(ctaVinc,MATCH(K1488,ctaNombre,0))&amp;"",K1488),K1488))</f>
        <v/>
      </c>
      <c r="AD1488" s="52">
        <f>IF(AB1488="","",IFERROR(INDEX(ctaTipo,MATCH(AB1488,ctaNombre,0))&amp;"",""))</f>
        <v/>
      </c>
      <c r="AE1488" s="52">
        <f>IF(AC1488="","",IFERROR(INDEX(ctaTipo,MATCH(AC1488,ctaNombre,0))&amp;"",""))</f>
        <v/>
      </c>
      <c r="AF1488" s="53">
        <f>IF(OR(P1488="",AB1488=""),"",IF(OR(P1488="Gasto",P1488="Transferencia",P1488="Pago tarjeta"),-1,1)*IF(IFERROR(INDEX(ctaMoneda,MATCH(AB1488,ctaNombre,0))&amp;"","DOP")="USD",T1488,S1488))</f>
        <v/>
      </c>
      <c r="AG1488" s="53">
        <f>IF(AC1488="","",IF(IFERROR(INDEX(ctaMoneda,MATCH(AC1488,ctaNombre,0))&amp;"","DOP")="USD",T1488,S1488))</f>
        <v/>
      </c>
      <c r="AH1488" s="53">
        <f>IF(P1488="","",IF(AND(AD1488&lt;&gt;"",COUNTIFS(tcTipo,AD1488,tcLiq,"Sí")&gt;0),IF(OR(P1488="Gasto",P1488="Transferencia",P1488="Pago tarjeta"),-1,1)*S1488,0)+IF(AND(AE1488&lt;&gt;"",COUNTIFS(tcTipo,AE1488,tcLiq,"Sí")&gt;0),S1488,0))</f>
        <v/>
      </c>
      <c r="AI1488" s="52">
        <f>IF(OR(L1488="",P1488=""),"",IF(COUNTIFS(L$6:L1488,L1488,P$6:P1488,"?*")=1,MAX(AI$5:AI1487)+1,""))</f>
        <v/>
      </c>
    </row>
    <row r="1489">
      <c r="B1489" s="47" t="n"/>
      <c r="C1489" s="48" t="n"/>
      <c r="D1489" s="48" t="n"/>
      <c r="E1489" s="48" t="n"/>
      <c r="F1489" s="48" t="n"/>
      <c r="G1489" s="49" t="n"/>
      <c r="H1489" s="48" t="n"/>
      <c r="I1489" s="50" t="n"/>
      <c r="J1489" s="48" t="n"/>
      <c r="K1489" s="48" t="n"/>
      <c r="L1489" s="48" t="n"/>
      <c r="M1489" s="48" t="n"/>
      <c r="N1489" s="48" t="n"/>
      <c r="O1489" s="51">
        <f>IF(AND(B1489="",G1489="",C1489="",D1489="",J1489=""),"",IF(B1489="","⚠ Falta fecha",IF(G1489="","⚠ Falta monto",IF(Q1489="","⚠ Falta cuenta",IF(ISNA(MATCH(Q1489,ctaNombre,0)),"⚠ Cuenta no registrada",IF(AND(OR(P1489="Gasto",P1489="Reembolso"),D1489=""),"⚠ Falta categoría",IF(AND(D1489&lt;&gt;"",E1489&lt;&gt;"",ISNA(MATCH(D1489&amp;"|"&amp;E1489,catClave,0))),"⚠ Subcategoría no corresponde",IF(AND(OR(P1489="Transferencia",P1489="Pago tarjeta"),K1489=""),"⚠ Falta cuenta destino",IF(AND(K1489&lt;&gt;"",P1489&lt;&gt;"Transferencia",P1489&lt;&gt;"Pago tarjeta"),"⚠ Destino solo aplica a transferencias",IF(AND(K1489&lt;&gt;"",K1489=Q1489),"⚠ Origen igual a destino",IF(AND(K1489&lt;&gt;"",ISNA(MATCH(K1489,ctaNombre,0))),"⚠ Destino no registrado",IF(AND(P1489="Pago tarjeta",AE1489&lt;&gt;"Tarjeta de crédito"),"⚠ El destino debe ser tarjeta de crédito",IF(AND(P1489="Gasto",E1489="Depósitos y retiros"),"⚠ Usa tipo Transferencia",IF(AND(P1489="Resultado trading",AD1489&lt;&gt;"Cuenta de trading"),"⚠ Usa una cuenta de trading",IF(AND(G1489&lt;=0,P1489&lt;&gt;"Ajuste",P1489&lt;&gt;"Resultado trading"),"⚠ El monto debe ser positivo","✓")))))))))))))))</f>
        <v/>
      </c>
      <c r="P1489" s="52">
        <f>IF(OR(B1489="",G1489=""),"",IF(C1489="","Gasto",C1489))</f>
        <v/>
      </c>
      <c r="Q1489" s="52">
        <f>IF(P1489="","",IF(J1489&lt;&gt;"",J1489,CuentaPred&amp;""))</f>
        <v/>
      </c>
      <c r="R1489" s="52">
        <f>IF(P1489="","",IF(ISNUMBER(I1489),I1489,TasaUSD))</f>
        <v/>
      </c>
      <c r="S1489" s="53">
        <f>IF(P1489="","",IF(H1489="USD",G1489*R1489,G1489))</f>
        <v/>
      </c>
      <c r="T1489" s="53">
        <f>IF(P1489="","",IF(H1489="USD",G1489,IF(R1489&gt;0,G1489/R1489,0)))</f>
        <v/>
      </c>
      <c r="U1489" s="53">
        <f>IF(P1489="","",IF(P1489="Gasto",S1489,IF(P1489="Reembolso",-S1489,0)))</f>
        <v/>
      </c>
      <c r="V1489" s="53">
        <f>IF(P1489="","",IF(P1489="Ingreso",S1489,0))</f>
        <v/>
      </c>
      <c r="W1489" s="53">
        <f>IF(P1489="","",IF(P1489="Resultado trading",S1489,0))</f>
        <v/>
      </c>
      <c r="X1489" s="52">
        <f>IF(OR(P1489="Gasto",P1489="Reembolso"),IF(M1489&lt;&gt;"",M1489,IFERROR(INDEX(catClasif,MATCH(D1489&amp;"|"&amp;E1489,catClave,0))&amp;"","Variable")),"")</f>
        <v/>
      </c>
      <c r="Y1489" s="52">
        <f>IF(P1489="","",IFERROR(INDEX(catGrupo,MATCH(D1489&amp;"|"&amp;E1489,catClave,0))&amp;"",""))</f>
        <v/>
      </c>
      <c r="Z1489" s="52">
        <f>IF(P1489="","",WEEKDAY(B1489,2))</f>
        <v/>
      </c>
      <c r="AA1489" s="52">
        <f>IF(P1489="","",IF(AND(P1489="Gasto",X1489="Variable",D1489&lt;&gt;catTrading,S1489&gt;0,S1489&lt;=Umbral),1,0))</f>
        <v/>
      </c>
      <c r="AB1489" s="52">
        <f>IF(OR(P1489="",Q1489=""),"",IFERROR(IF(INDEX(ctaVinc,MATCH(Q1489,ctaNombre,0))&amp;""&lt;&gt;"",INDEX(ctaVinc,MATCH(Q1489,ctaNombre,0))&amp;"",Q1489),Q1489))</f>
        <v/>
      </c>
      <c r="AC1489" s="52">
        <f>IF(OR(K1489="",AND(P1489&lt;&gt;"Transferencia",P1489&lt;&gt;"Pago tarjeta")),"",IFERROR(IF(INDEX(ctaVinc,MATCH(K1489,ctaNombre,0))&amp;""&lt;&gt;"",INDEX(ctaVinc,MATCH(K1489,ctaNombre,0))&amp;"",K1489),K1489))</f>
        <v/>
      </c>
      <c r="AD1489" s="52">
        <f>IF(AB1489="","",IFERROR(INDEX(ctaTipo,MATCH(AB1489,ctaNombre,0))&amp;"",""))</f>
        <v/>
      </c>
      <c r="AE1489" s="52">
        <f>IF(AC1489="","",IFERROR(INDEX(ctaTipo,MATCH(AC1489,ctaNombre,0))&amp;"",""))</f>
        <v/>
      </c>
      <c r="AF1489" s="53">
        <f>IF(OR(P1489="",AB1489=""),"",IF(OR(P1489="Gasto",P1489="Transferencia",P1489="Pago tarjeta"),-1,1)*IF(IFERROR(INDEX(ctaMoneda,MATCH(AB1489,ctaNombre,0))&amp;"","DOP")="USD",T1489,S1489))</f>
        <v/>
      </c>
      <c r="AG1489" s="53">
        <f>IF(AC1489="","",IF(IFERROR(INDEX(ctaMoneda,MATCH(AC1489,ctaNombre,0))&amp;"","DOP")="USD",T1489,S1489))</f>
        <v/>
      </c>
      <c r="AH1489" s="53">
        <f>IF(P1489="","",IF(AND(AD1489&lt;&gt;"",COUNTIFS(tcTipo,AD1489,tcLiq,"Sí")&gt;0),IF(OR(P1489="Gasto",P1489="Transferencia",P1489="Pago tarjeta"),-1,1)*S1489,0)+IF(AND(AE1489&lt;&gt;"",COUNTIFS(tcTipo,AE1489,tcLiq,"Sí")&gt;0),S1489,0))</f>
        <v/>
      </c>
      <c r="AI1489" s="52">
        <f>IF(OR(L1489="",P1489=""),"",IF(COUNTIFS(L$6:L1489,L1489,P$6:P1489,"?*")=1,MAX(AI$5:AI1488)+1,""))</f>
        <v/>
      </c>
    </row>
    <row r="1490">
      <c r="B1490" s="47" t="n"/>
      <c r="C1490" s="48" t="n"/>
      <c r="D1490" s="48" t="n"/>
      <c r="E1490" s="48" t="n"/>
      <c r="F1490" s="48" t="n"/>
      <c r="G1490" s="49" t="n"/>
      <c r="H1490" s="48" t="n"/>
      <c r="I1490" s="50" t="n"/>
      <c r="J1490" s="48" t="n"/>
      <c r="K1490" s="48" t="n"/>
      <c r="L1490" s="48" t="n"/>
      <c r="M1490" s="48" t="n"/>
      <c r="N1490" s="48" t="n"/>
      <c r="O1490" s="51">
        <f>IF(AND(B1490="",G1490="",C1490="",D1490="",J1490=""),"",IF(B1490="","⚠ Falta fecha",IF(G1490="","⚠ Falta monto",IF(Q1490="","⚠ Falta cuenta",IF(ISNA(MATCH(Q1490,ctaNombre,0)),"⚠ Cuenta no registrada",IF(AND(OR(P1490="Gasto",P1490="Reembolso"),D1490=""),"⚠ Falta categoría",IF(AND(D1490&lt;&gt;"",E1490&lt;&gt;"",ISNA(MATCH(D1490&amp;"|"&amp;E1490,catClave,0))),"⚠ Subcategoría no corresponde",IF(AND(OR(P1490="Transferencia",P1490="Pago tarjeta"),K1490=""),"⚠ Falta cuenta destino",IF(AND(K1490&lt;&gt;"",P1490&lt;&gt;"Transferencia",P1490&lt;&gt;"Pago tarjeta"),"⚠ Destino solo aplica a transferencias",IF(AND(K1490&lt;&gt;"",K1490=Q1490),"⚠ Origen igual a destino",IF(AND(K1490&lt;&gt;"",ISNA(MATCH(K1490,ctaNombre,0))),"⚠ Destino no registrado",IF(AND(P1490="Pago tarjeta",AE1490&lt;&gt;"Tarjeta de crédito"),"⚠ El destino debe ser tarjeta de crédito",IF(AND(P1490="Gasto",E1490="Depósitos y retiros"),"⚠ Usa tipo Transferencia",IF(AND(P1490="Resultado trading",AD1490&lt;&gt;"Cuenta de trading"),"⚠ Usa una cuenta de trading",IF(AND(G1490&lt;=0,P1490&lt;&gt;"Ajuste",P1490&lt;&gt;"Resultado trading"),"⚠ El monto debe ser positivo","✓")))))))))))))))</f>
        <v/>
      </c>
      <c r="P1490" s="52">
        <f>IF(OR(B1490="",G1490=""),"",IF(C1490="","Gasto",C1490))</f>
        <v/>
      </c>
      <c r="Q1490" s="52">
        <f>IF(P1490="","",IF(J1490&lt;&gt;"",J1490,CuentaPred&amp;""))</f>
        <v/>
      </c>
      <c r="R1490" s="52">
        <f>IF(P1490="","",IF(ISNUMBER(I1490),I1490,TasaUSD))</f>
        <v/>
      </c>
      <c r="S1490" s="53">
        <f>IF(P1490="","",IF(H1490="USD",G1490*R1490,G1490))</f>
        <v/>
      </c>
      <c r="T1490" s="53">
        <f>IF(P1490="","",IF(H1490="USD",G1490,IF(R1490&gt;0,G1490/R1490,0)))</f>
        <v/>
      </c>
      <c r="U1490" s="53">
        <f>IF(P1490="","",IF(P1490="Gasto",S1490,IF(P1490="Reembolso",-S1490,0)))</f>
        <v/>
      </c>
      <c r="V1490" s="53">
        <f>IF(P1490="","",IF(P1490="Ingreso",S1490,0))</f>
        <v/>
      </c>
      <c r="W1490" s="53">
        <f>IF(P1490="","",IF(P1490="Resultado trading",S1490,0))</f>
        <v/>
      </c>
      <c r="X1490" s="52">
        <f>IF(OR(P1490="Gasto",P1490="Reembolso"),IF(M1490&lt;&gt;"",M1490,IFERROR(INDEX(catClasif,MATCH(D1490&amp;"|"&amp;E1490,catClave,0))&amp;"","Variable")),"")</f>
        <v/>
      </c>
      <c r="Y1490" s="52">
        <f>IF(P1490="","",IFERROR(INDEX(catGrupo,MATCH(D1490&amp;"|"&amp;E1490,catClave,0))&amp;"",""))</f>
        <v/>
      </c>
      <c r="Z1490" s="52">
        <f>IF(P1490="","",WEEKDAY(B1490,2))</f>
        <v/>
      </c>
      <c r="AA1490" s="52">
        <f>IF(P1490="","",IF(AND(P1490="Gasto",X1490="Variable",D1490&lt;&gt;catTrading,S1490&gt;0,S1490&lt;=Umbral),1,0))</f>
        <v/>
      </c>
      <c r="AB1490" s="52">
        <f>IF(OR(P1490="",Q1490=""),"",IFERROR(IF(INDEX(ctaVinc,MATCH(Q1490,ctaNombre,0))&amp;""&lt;&gt;"",INDEX(ctaVinc,MATCH(Q1490,ctaNombre,0))&amp;"",Q1490),Q1490))</f>
        <v/>
      </c>
      <c r="AC1490" s="52">
        <f>IF(OR(K1490="",AND(P1490&lt;&gt;"Transferencia",P1490&lt;&gt;"Pago tarjeta")),"",IFERROR(IF(INDEX(ctaVinc,MATCH(K1490,ctaNombre,0))&amp;""&lt;&gt;"",INDEX(ctaVinc,MATCH(K1490,ctaNombre,0))&amp;"",K1490),K1490))</f>
        <v/>
      </c>
      <c r="AD1490" s="52">
        <f>IF(AB1490="","",IFERROR(INDEX(ctaTipo,MATCH(AB1490,ctaNombre,0))&amp;"",""))</f>
        <v/>
      </c>
      <c r="AE1490" s="52">
        <f>IF(AC1490="","",IFERROR(INDEX(ctaTipo,MATCH(AC1490,ctaNombre,0))&amp;"",""))</f>
        <v/>
      </c>
      <c r="AF1490" s="53">
        <f>IF(OR(P1490="",AB1490=""),"",IF(OR(P1490="Gasto",P1490="Transferencia",P1490="Pago tarjeta"),-1,1)*IF(IFERROR(INDEX(ctaMoneda,MATCH(AB1490,ctaNombre,0))&amp;"","DOP")="USD",T1490,S1490))</f>
        <v/>
      </c>
      <c r="AG1490" s="53">
        <f>IF(AC1490="","",IF(IFERROR(INDEX(ctaMoneda,MATCH(AC1490,ctaNombre,0))&amp;"","DOP")="USD",T1490,S1490))</f>
        <v/>
      </c>
      <c r="AH1490" s="53">
        <f>IF(P1490="","",IF(AND(AD1490&lt;&gt;"",COUNTIFS(tcTipo,AD1490,tcLiq,"Sí")&gt;0),IF(OR(P1490="Gasto",P1490="Transferencia",P1490="Pago tarjeta"),-1,1)*S1490,0)+IF(AND(AE1490&lt;&gt;"",COUNTIFS(tcTipo,AE1490,tcLiq,"Sí")&gt;0),S1490,0))</f>
        <v/>
      </c>
      <c r="AI1490" s="52">
        <f>IF(OR(L1490="",P1490=""),"",IF(COUNTIFS(L$6:L1490,L1490,P$6:P1490,"?*")=1,MAX(AI$5:AI1489)+1,""))</f>
        <v/>
      </c>
    </row>
    <row r="1491">
      <c r="B1491" s="47" t="n"/>
      <c r="C1491" s="48" t="n"/>
      <c r="D1491" s="48" t="n"/>
      <c r="E1491" s="48" t="n"/>
      <c r="F1491" s="48" t="n"/>
      <c r="G1491" s="49" t="n"/>
      <c r="H1491" s="48" t="n"/>
      <c r="I1491" s="50" t="n"/>
      <c r="J1491" s="48" t="n"/>
      <c r="K1491" s="48" t="n"/>
      <c r="L1491" s="48" t="n"/>
      <c r="M1491" s="48" t="n"/>
      <c r="N1491" s="48" t="n"/>
      <c r="O1491" s="51">
        <f>IF(AND(B1491="",G1491="",C1491="",D1491="",J1491=""),"",IF(B1491="","⚠ Falta fecha",IF(G1491="","⚠ Falta monto",IF(Q1491="","⚠ Falta cuenta",IF(ISNA(MATCH(Q1491,ctaNombre,0)),"⚠ Cuenta no registrada",IF(AND(OR(P1491="Gasto",P1491="Reembolso"),D1491=""),"⚠ Falta categoría",IF(AND(D1491&lt;&gt;"",E1491&lt;&gt;"",ISNA(MATCH(D1491&amp;"|"&amp;E1491,catClave,0))),"⚠ Subcategoría no corresponde",IF(AND(OR(P1491="Transferencia",P1491="Pago tarjeta"),K1491=""),"⚠ Falta cuenta destino",IF(AND(K1491&lt;&gt;"",P1491&lt;&gt;"Transferencia",P1491&lt;&gt;"Pago tarjeta"),"⚠ Destino solo aplica a transferencias",IF(AND(K1491&lt;&gt;"",K1491=Q1491),"⚠ Origen igual a destino",IF(AND(K1491&lt;&gt;"",ISNA(MATCH(K1491,ctaNombre,0))),"⚠ Destino no registrado",IF(AND(P1491="Pago tarjeta",AE1491&lt;&gt;"Tarjeta de crédito"),"⚠ El destino debe ser tarjeta de crédito",IF(AND(P1491="Gasto",E1491="Depósitos y retiros"),"⚠ Usa tipo Transferencia",IF(AND(P1491="Resultado trading",AD1491&lt;&gt;"Cuenta de trading"),"⚠ Usa una cuenta de trading",IF(AND(G1491&lt;=0,P1491&lt;&gt;"Ajuste",P1491&lt;&gt;"Resultado trading"),"⚠ El monto debe ser positivo","✓")))))))))))))))</f>
        <v/>
      </c>
      <c r="P1491" s="52">
        <f>IF(OR(B1491="",G1491=""),"",IF(C1491="","Gasto",C1491))</f>
        <v/>
      </c>
      <c r="Q1491" s="52">
        <f>IF(P1491="","",IF(J1491&lt;&gt;"",J1491,CuentaPred&amp;""))</f>
        <v/>
      </c>
      <c r="R1491" s="52">
        <f>IF(P1491="","",IF(ISNUMBER(I1491),I1491,TasaUSD))</f>
        <v/>
      </c>
      <c r="S1491" s="53">
        <f>IF(P1491="","",IF(H1491="USD",G1491*R1491,G1491))</f>
        <v/>
      </c>
      <c r="T1491" s="53">
        <f>IF(P1491="","",IF(H1491="USD",G1491,IF(R1491&gt;0,G1491/R1491,0)))</f>
        <v/>
      </c>
      <c r="U1491" s="53">
        <f>IF(P1491="","",IF(P1491="Gasto",S1491,IF(P1491="Reembolso",-S1491,0)))</f>
        <v/>
      </c>
      <c r="V1491" s="53">
        <f>IF(P1491="","",IF(P1491="Ingreso",S1491,0))</f>
        <v/>
      </c>
      <c r="W1491" s="53">
        <f>IF(P1491="","",IF(P1491="Resultado trading",S1491,0))</f>
        <v/>
      </c>
      <c r="X1491" s="52">
        <f>IF(OR(P1491="Gasto",P1491="Reembolso"),IF(M1491&lt;&gt;"",M1491,IFERROR(INDEX(catClasif,MATCH(D1491&amp;"|"&amp;E1491,catClave,0))&amp;"","Variable")),"")</f>
        <v/>
      </c>
      <c r="Y1491" s="52">
        <f>IF(P1491="","",IFERROR(INDEX(catGrupo,MATCH(D1491&amp;"|"&amp;E1491,catClave,0))&amp;"",""))</f>
        <v/>
      </c>
      <c r="Z1491" s="52">
        <f>IF(P1491="","",WEEKDAY(B1491,2))</f>
        <v/>
      </c>
      <c r="AA1491" s="52">
        <f>IF(P1491="","",IF(AND(P1491="Gasto",X1491="Variable",D1491&lt;&gt;catTrading,S1491&gt;0,S1491&lt;=Umbral),1,0))</f>
        <v/>
      </c>
      <c r="AB1491" s="52">
        <f>IF(OR(P1491="",Q1491=""),"",IFERROR(IF(INDEX(ctaVinc,MATCH(Q1491,ctaNombre,0))&amp;""&lt;&gt;"",INDEX(ctaVinc,MATCH(Q1491,ctaNombre,0))&amp;"",Q1491),Q1491))</f>
        <v/>
      </c>
      <c r="AC1491" s="52">
        <f>IF(OR(K1491="",AND(P1491&lt;&gt;"Transferencia",P1491&lt;&gt;"Pago tarjeta")),"",IFERROR(IF(INDEX(ctaVinc,MATCH(K1491,ctaNombre,0))&amp;""&lt;&gt;"",INDEX(ctaVinc,MATCH(K1491,ctaNombre,0))&amp;"",K1491),K1491))</f>
        <v/>
      </c>
      <c r="AD1491" s="52">
        <f>IF(AB1491="","",IFERROR(INDEX(ctaTipo,MATCH(AB1491,ctaNombre,0))&amp;"",""))</f>
        <v/>
      </c>
      <c r="AE1491" s="52">
        <f>IF(AC1491="","",IFERROR(INDEX(ctaTipo,MATCH(AC1491,ctaNombre,0))&amp;"",""))</f>
        <v/>
      </c>
      <c r="AF1491" s="53">
        <f>IF(OR(P1491="",AB1491=""),"",IF(OR(P1491="Gasto",P1491="Transferencia",P1491="Pago tarjeta"),-1,1)*IF(IFERROR(INDEX(ctaMoneda,MATCH(AB1491,ctaNombre,0))&amp;"","DOP")="USD",T1491,S1491))</f>
        <v/>
      </c>
      <c r="AG1491" s="53">
        <f>IF(AC1491="","",IF(IFERROR(INDEX(ctaMoneda,MATCH(AC1491,ctaNombre,0))&amp;"","DOP")="USD",T1491,S1491))</f>
        <v/>
      </c>
      <c r="AH1491" s="53">
        <f>IF(P1491="","",IF(AND(AD1491&lt;&gt;"",COUNTIFS(tcTipo,AD1491,tcLiq,"Sí")&gt;0),IF(OR(P1491="Gasto",P1491="Transferencia",P1491="Pago tarjeta"),-1,1)*S1491,0)+IF(AND(AE1491&lt;&gt;"",COUNTIFS(tcTipo,AE1491,tcLiq,"Sí")&gt;0),S1491,0))</f>
        <v/>
      </c>
      <c r="AI1491" s="52">
        <f>IF(OR(L1491="",P1491=""),"",IF(COUNTIFS(L$6:L1491,L1491,P$6:P1491,"?*")=1,MAX(AI$5:AI1490)+1,""))</f>
        <v/>
      </c>
    </row>
    <row r="1492">
      <c r="B1492" s="47" t="n"/>
      <c r="C1492" s="48" t="n"/>
      <c r="D1492" s="48" t="n"/>
      <c r="E1492" s="48" t="n"/>
      <c r="F1492" s="48" t="n"/>
      <c r="G1492" s="49" t="n"/>
      <c r="H1492" s="48" t="n"/>
      <c r="I1492" s="50" t="n"/>
      <c r="J1492" s="48" t="n"/>
      <c r="K1492" s="48" t="n"/>
      <c r="L1492" s="48" t="n"/>
      <c r="M1492" s="48" t="n"/>
      <c r="N1492" s="48" t="n"/>
      <c r="O1492" s="51">
        <f>IF(AND(B1492="",G1492="",C1492="",D1492="",J1492=""),"",IF(B1492="","⚠ Falta fecha",IF(G1492="","⚠ Falta monto",IF(Q1492="","⚠ Falta cuenta",IF(ISNA(MATCH(Q1492,ctaNombre,0)),"⚠ Cuenta no registrada",IF(AND(OR(P1492="Gasto",P1492="Reembolso"),D1492=""),"⚠ Falta categoría",IF(AND(D1492&lt;&gt;"",E1492&lt;&gt;"",ISNA(MATCH(D1492&amp;"|"&amp;E1492,catClave,0))),"⚠ Subcategoría no corresponde",IF(AND(OR(P1492="Transferencia",P1492="Pago tarjeta"),K1492=""),"⚠ Falta cuenta destino",IF(AND(K1492&lt;&gt;"",P1492&lt;&gt;"Transferencia",P1492&lt;&gt;"Pago tarjeta"),"⚠ Destino solo aplica a transferencias",IF(AND(K1492&lt;&gt;"",K1492=Q1492),"⚠ Origen igual a destino",IF(AND(K1492&lt;&gt;"",ISNA(MATCH(K1492,ctaNombre,0))),"⚠ Destino no registrado",IF(AND(P1492="Pago tarjeta",AE1492&lt;&gt;"Tarjeta de crédito"),"⚠ El destino debe ser tarjeta de crédito",IF(AND(P1492="Gasto",E1492="Depósitos y retiros"),"⚠ Usa tipo Transferencia",IF(AND(P1492="Resultado trading",AD1492&lt;&gt;"Cuenta de trading"),"⚠ Usa una cuenta de trading",IF(AND(G1492&lt;=0,P1492&lt;&gt;"Ajuste",P1492&lt;&gt;"Resultado trading"),"⚠ El monto debe ser positivo","✓")))))))))))))))</f>
        <v/>
      </c>
      <c r="P1492" s="52">
        <f>IF(OR(B1492="",G1492=""),"",IF(C1492="","Gasto",C1492))</f>
        <v/>
      </c>
      <c r="Q1492" s="52">
        <f>IF(P1492="","",IF(J1492&lt;&gt;"",J1492,CuentaPred&amp;""))</f>
        <v/>
      </c>
      <c r="R1492" s="52">
        <f>IF(P1492="","",IF(ISNUMBER(I1492),I1492,TasaUSD))</f>
        <v/>
      </c>
      <c r="S1492" s="53">
        <f>IF(P1492="","",IF(H1492="USD",G1492*R1492,G1492))</f>
        <v/>
      </c>
      <c r="T1492" s="53">
        <f>IF(P1492="","",IF(H1492="USD",G1492,IF(R1492&gt;0,G1492/R1492,0)))</f>
        <v/>
      </c>
      <c r="U1492" s="53">
        <f>IF(P1492="","",IF(P1492="Gasto",S1492,IF(P1492="Reembolso",-S1492,0)))</f>
        <v/>
      </c>
      <c r="V1492" s="53">
        <f>IF(P1492="","",IF(P1492="Ingreso",S1492,0))</f>
        <v/>
      </c>
      <c r="W1492" s="53">
        <f>IF(P1492="","",IF(P1492="Resultado trading",S1492,0))</f>
        <v/>
      </c>
      <c r="X1492" s="52">
        <f>IF(OR(P1492="Gasto",P1492="Reembolso"),IF(M1492&lt;&gt;"",M1492,IFERROR(INDEX(catClasif,MATCH(D1492&amp;"|"&amp;E1492,catClave,0))&amp;"","Variable")),"")</f>
        <v/>
      </c>
      <c r="Y1492" s="52">
        <f>IF(P1492="","",IFERROR(INDEX(catGrupo,MATCH(D1492&amp;"|"&amp;E1492,catClave,0))&amp;"",""))</f>
        <v/>
      </c>
      <c r="Z1492" s="52">
        <f>IF(P1492="","",WEEKDAY(B1492,2))</f>
        <v/>
      </c>
      <c r="AA1492" s="52">
        <f>IF(P1492="","",IF(AND(P1492="Gasto",X1492="Variable",D1492&lt;&gt;catTrading,S1492&gt;0,S1492&lt;=Umbral),1,0))</f>
        <v/>
      </c>
      <c r="AB1492" s="52">
        <f>IF(OR(P1492="",Q1492=""),"",IFERROR(IF(INDEX(ctaVinc,MATCH(Q1492,ctaNombre,0))&amp;""&lt;&gt;"",INDEX(ctaVinc,MATCH(Q1492,ctaNombre,0))&amp;"",Q1492),Q1492))</f>
        <v/>
      </c>
      <c r="AC1492" s="52">
        <f>IF(OR(K1492="",AND(P1492&lt;&gt;"Transferencia",P1492&lt;&gt;"Pago tarjeta")),"",IFERROR(IF(INDEX(ctaVinc,MATCH(K1492,ctaNombre,0))&amp;""&lt;&gt;"",INDEX(ctaVinc,MATCH(K1492,ctaNombre,0))&amp;"",K1492),K1492))</f>
        <v/>
      </c>
      <c r="AD1492" s="52">
        <f>IF(AB1492="","",IFERROR(INDEX(ctaTipo,MATCH(AB1492,ctaNombre,0))&amp;"",""))</f>
        <v/>
      </c>
      <c r="AE1492" s="52">
        <f>IF(AC1492="","",IFERROR(INDEX(ctaTipo,MATCH(AC1492,ctaNombre,0))&amp;"",""))</f>
        <v/>
      </c>
      <c r="AF1492" s="53">
        <f>IF(OR(P1492="",AB1492=""),"",IF(OR(P1492="Gasto",P1492="Transferencia",P1492="Pago tarjeta"),-1,1)*IF(IFERROR(INDEX(ctaMoneda,MATCH(AB1492,ctaNombre,0))&amp;"","DOP")="USD",T1492,S1492))</f>
        <v/>
      </c>
      <c r="AG1492" s="53">
        <f>IF(AC1492="","",IF(IFERROR(INDEX(ctaMoneda,MATCH(AC1492,ctaNombre,0))&amp;"","DOP")="USD",T1492,S1492))</f>
        <v/>
      </c>
      <c r="AH1492" s="53">
        <f>IF(P1492="","",IF(AND(AD1492&lt;&gt;"",COUNTIFS(tcTipo,AD1492,tcLiq,"Sí")&gt;0),IF(OR(P1492="Gasto",P1492="Transferencia",P1492="Pago tarjeta"),-1,1)*S1492,0)+IF(AND(AE1492&lt;&gt;"",COUNTIFS(tcTipo,AE1492,tcLiq,"Sí")&gt;0),S1492,0))</f>
        <v/>
      </c>
      <c r="AI1492" s="52">
        <f>IF(OR(L1492="",P1492=""),"",IF(COUNTIFS(L$6:L1492,L1492,P$6:P1492,"?*")=1,MAX(AI$5:AI1491)+1,""))</f>
        <v/>
      </c>
    </row>
    <row r="1493">
      <c r="B1493" s="47" t="n"/>
      <c r="C1493" s="48" t="n"/>
      <c r="D1493" s="48" t="n"/>
      <c r="E1493" s="48" t="n"/>
      <c r="F1493" s="48" t="n"/>
      <c r="G1493" s="49" t="n"/>
      <c r="H1493" s="48" t="n"/>
      <c r="I1493" s="50" t="n"/>
      <c r="J1493" s="48" t="n"/>
      <c r="K1493" s="48" t="n"/>
      <c r="L1493" s="48" t="n"/>
      <c r="M1493" s="48" t="n"/>
      <c r="N1493" s="48" t="n"/>
      <c r="O1493" s="51">
        <f>IF(AND(B1493="",G1493="",C1493="",D1493="",J1493=""),"",IF(B1493="","⚠ Falta fecha",IF(G1493="","⚠ Falta monto",IF(Q1493="","⚠ Falta cuenta",IF(ISNA(MATCH(Q1493,ctaNombre,0)),"⚠ Cuenta no registrada",IF(AND(OR(P1493="Gasto",P1493="Reembolso"),D1493=""),"⚠ Falta categoría",IF(AND(D1493&lt;&gt;"",E1493&lt;&gt;"",ISNA(MATCH(D1493&amp;"|"&amp;E1493,catClave,0))),"⚠ Subcategoría no corresponde",IF(AND(OR(P1493="Transferencia",P1493="Pago tarjeta"),K1493=""),"⚠ Falta cuenta destino",IF(AND(K1493&lt;&gt;"",P1493&lt;&gt;"Transferencia",P1493&lt;&gt;"Pago tarjeta"),"⚠ Destino solo aplica a transferencias",IF(AND(K1493&lt;&gt;"",K1493=Q1493),"⚠ Origen igual a destino",IF(AND(K1493&lt;&gt;"",ISNA(MATCH(K1493,ctaNombre,0))),"⚠ Destino no registrado",IF(AND(P1493="Pago tarjeta",AE1493&lt;&gt;"Tarjeta de crédito"),"⚠ El destino debe ser tarjeta de crédito",IF(AND(P1493="Gasto",E1493="Depósitos y retiros"),"⚠ Usa tipo Transferencia",IF(AND(P1493="Resultado trading",AD1493&lt;&gt;"Cuenta de trading"),"⚠ Usa una cuenta de trading",IF(AND(G1493&lt;=0,P1493&lt;&gt;"Ajuste",P1493&lt;&gt;"Resultado trading"),"⚠ El monto debe ser positivo","✓")))))))))))))))</f>
        <v/>
      </c>
      <c r="P1493" s="52">
        <f>IF(OR(B1493="",G1493=""),"",IF(C1493="","Gasto",C1493))</f>
        <v/>
      </c>
      <c r="Q1493" s="52">
        <f>IF(P1493="","",IF(J1493&lt;&gt;"",J1493,CuentaPred&amp;""))</f>
        <v/>
      </c>
      <c r="R1493" s="52">
        <f>IF(P1493="","",IF(ISNUMBER(I1493),I1493,TasaUSD))</f>
        <v/>
      </c>
      <c r="S1493" s="53">
        <f>IF(P1493="","",IF(H1493="USD",G1493*R1493,G1493))</f>
        <v/>
      </c>
      <c r="T1493" s="53">
        <f>IF(P1493="","",IF(H1493="USD",G1493,IF(R1493&gt;0,G1493/R1493,0)))</f>
        <v/>
      </c>
      <c r="U1493" s="53">
        <f>IF(P1493="","",IF(P1493="Gasto",S1493,IF(P1493="Reembolso",-S1493,0)))</f>
        <v/>
      </c>
      <c r="V1493" s="53">
        <f>IF(P1493="","",IF(P1493="Ingreso",S1493,0))</f>
        <v/>
      </c>
      <c r="W1493" s="53">
        <f>IF(P1493="","",IF(P1493="Resultado trading",S1493,0))</f>
        <v/>
      </c>
      <c r="X1493" s="52">
        <f>IF(OR(P1493="Gasto",P1493="Reembolso"),IF(M1493&lt;&gt;"",M1493,IFERROR(INDEX(catClasif,MATCH(D1493&amp;"|"&amp;E1493,catClave,0))&amp;"","Variable")),"")</f>
        <v/>
      </c>
      <c r="Y1493" s="52">
        <f>IF(P1493="","",IFERROR(INDEX(catGrupo,MATCH(D1493&amp;"|"&amp;E1493,catClave,0))&amp;"",""))</f>
        <v/>
      </c>
      <c r="Z1493" s="52">
        <f>IF(P1493="","",WEEKDAY(B1493,2))</f>
        <v/>
      </c>
      <c r="AA1493" s="52">
        <f>IF(P1493="","",IF(AND(P1493="Gasto",X1493="Variable",D1493&lt;&gt;catTrading,S1493&gt;0,S1493&lt;=Umbral),1,0))</f>
        <v/>
      </c>
      <c r="AB1493" s="52">
        <f>IF(OR(P1493="",Q1493=""),"",IFERROR(IF(INDEX(ctaVinc,MATCH(Q1493,ctaNombre,0))&amp;""&lt;&gt;"",INDEX(ctaVinc,MATCH(Q1493,ctaNombre,0))&amp;"",Q1493),Q1493))</f>
        <v/>
      </c>
      <c r="AC1493" s="52">
        <f>IF(OR(K1493="",AND(P1493&lt;&gt;"Transferencia",P1493&lt;&gt;"Pago tarjeta")),"",IFERROR(IF(INDEX(ctaVinc,MATCH(K1493,ctaNombre,0))&amp;""&lt;&gt;"",INDEX(ctaVinc,MATCH(K1493,ctaNombre,0))&amp;"",K1493),K1493))</f>
        <v/>
      </c>
      <c r="AD1493" s="52">
        <f>IF(AB1493="","",IFERROR(INDEX(ctaTipo,MATCH(AB1493,ctaNombre,0))&amp;"",""))</f>
        <v/>
      </c>
      <c r="AE1493" s="52">
        <f>IF(AC1493="","",IFERROR(INDEX(ctaTipo,MATCH(AC1493,ctaNombre,0))&amp;"",""))</f>
        <v/>
      </c>
      <c r="AF1493" s="53">
        <f>IF(OR(P1493="",AB1493=""),"",IF(OR(P1493="Gasto",P1493="Transferencia",P1493="Pago tarjeta"),-1,1)*IF(IFERROR(INDEX(ctaMoneda,MATCH(AB1493,ctaNombre,0))&amp;"","DOP")="USD",T1493,S1493))</f>
        <v/>
      </c>
      <c r="AG1493" s="53">
        <f>IF(AC1493="","",IF(IFERROR(INDEX(ctaMoneda,MATCH(AC1493,ctaNombre,0))&amp;"","DOP")="USD",T1493,S1493))</f>
        <v/>
      </c>
      <c r="AH1493" s="53">
        <f>IF(P1493="","",IF(AND(AD1493&lt;&gt;"",COUNTIFS(tcTipo,AD1493,tcLiq,"Sí")&gt;0),IF(OR(P1493="Gasto",P1493="Transferencia",P1493="Pago tarjeta"),-1,1)*S1493,0)+IF(AND(AE1493&lt;&gt;"",COUNTIFS(tcTipo,AE1493,tcLiq,"Sí")&gt;0),S1493,0))</f>
        <v/>
      </c>
      <c r="AI1493" s="52">
        <f>IF(OR(L1493="",P1493=""),"",IF(COUNTIFS(L$6:L1493,L1493,P$6:P1493,"?*")=1,MAX(AI$5:AI1492)+1,""))</f>
        <v/>
      </c>
    </row>
    <row r="1494">
      <c r="B1494" s="47" t="n"/>
      <c r="C1494" s="48" t="n"/>
      <c r="D1494" s="48" t="n"/>
      <c r="E1494" s="48" t="n"/>
      <c r="F1494" s="48" t="n"/>
      <c r="G1494" s="49" t="n"/>
      <c r="H1494" s="48" t="n"/>
      <c r="I1494" s="50" t="n"/>
      <c r="J1494" s="48" t="n"/>
      <c r="K1494" s="48" t="n"/>
      <c r="L1494" s="48" t="n"/>
      <c r="M1494" s="48" t="n"/>
      <c r="N1494" s="48" t="n"/>
      <c r="O1494" s="51">
        <f>IF(AND(B1494="",G1494="",C1494="",D1494="",J1494=""),"",IF(B1494="","⚠ Falta fecha",IF(G1494="","⚠ Falta monto",IF(Q1494="","⚠ Falta cuenta",IF(ISNA(MATCH(Q1494,ctaNombre,0)),"⚠ Cuenta no registrada",IF(AND(OR(P1494="Gasto",P1494="Reembolso"),D1494=""),"⚠ Falta categoría",IF(AND(D1494&lt;&gt;"",E1494&lt;&gt;"",ISNA(MATCH(D1494&amp;"|"&amp;E1494,catClave,0))),"⚠ Subcategoría no corresponde",IF(AND(OR(P1494="Transferencia",P1494="Pago tarjeta"),K1494=""),"⚠ Falta cuenta destino",IF(AND(K1494&lt;&gt;"",P1494&lt;&gt;"Transferencia",P1494&lt;&gt;"Pago tarjeta"),"⚠ Destino solo aplica a transferencias",IF(AND(K1494&lt;&gt;"",K1494=Q1494),"⚠ Origen igual a destino",IF(AND(K1494&lt;&gt;"",ISNA(MATCH(K1494,ctaNombre,0))),"⚠ Destino no registrado",IF(AND(P1494="Pago tarjeta",AE1494&lt;&gt;"Tarjeta de crédito"),"⚠ El destino debe ser tarjeta de crédito",IF(AND(P1494="Gasto",E1494="Depósitos y retiros"),"⚠ Usa tipo Transferencia",IF(AND(P1494="Resultado trading",AD1494&lt;&gt;"Cuenta de trading"),"⚠ Usa una cuenta de trading",IF(AND(G1494&lt;=0,P1494&lt;&gt;"Ajuste",P1494&lt;&gt;"Resultado trading"),"⚠ El monto debe ser positivo","✓")))))))))))))))</f>
        <v/>
      </c>
      <c r="P1494" s="52">
        <f>IF(OR(B1494="",G1494=""),"",IF(C1494="","Gasto",C1494))</f>
        <v/>
      </c>
      <c r="Q1494" s="52">
        <f>IF(P1494="","",IF(J1494&lt;&gt;"",J1494,CuentaPred&amp;""))</f>
        <v/>
      </c>
      <c r="R1494" s="52">
        <f>IF(P1494="","",IF(ISNUMBER(I1494),I1494,TasaUSD))</f>
        <v/>
      </c>
      <c r="S1494" s="53">
        <f>IF(P1494="","",IF(H1494="USD",G1494*R1494,G1494))</f>
        <v/>
      </c>
      <c r="T1494" s="53">
        <f>IF(P1494="","",IF(H1494="USD",G1494,IF(R1494&gt;0,G1494/R1494,0)))</f>
        <v/>
      </c>
      <c r="U1494" s="53">
        <f>IF(P1494="","",IF(P1494="Gasto",S1494,IF(P1494="Reembolso",-S1494,0)))</f>
        <v/>
      </c>
      <c r="V1494" s="53">
        <f>IF(P1494="","",IF(P1494="Ingreso",S1494,0))</f>
        <v/>
      </c>
      <c r="W1494" s="53">
        <f>IF(P1494="","",IF(P1494="Resultado trading",S1494,0))</f>
        <v/>
      </c>
      <c r="X1494" s="52">
        <f>IF(OR(P1494="Gasto",P1494="Reembolso"),IF(M1494&lt;&gt;"",M1494,IFERROR(INDEX(catClasif,MATCH(D1494&amp;"|"&amp;E1494,catClave,0))&amp;"","Variable")),"")</f>
        <v/>
      </c>
      <c r="Y1494" s="52">
        <f>IF(P1494="","",IFERROR(INDEX(catGrupo,MATCH(D1494&amp;"|"&amp;E1494,catClave,0))&amp;"",""))</f>
        <v/>
      </c>
      <c r="Z1494" s="52">
        <f>IF(P1494="","",WEEKDAY(B1494,2))</f>
        <v/>
      </c>
      <c r="AA1494" s="52">
        <f>IF(P1494="","",IF(AND(P1494="Gasto",X1494="Variable",D1494&lt;&gt;catTrading,S1494&gt;0,S1494&lt;=Umbral),1,0))</f>
        <v/>
      </c>
      <c r="AB1494" s="52">
        <f>IF(OR(P1494="",Q1494=""),"",IFERROR(IF(INDEX(ctaVinc,MATCH(Q1494,ctaNombre,0))&amp;""&lt;&gt;"",INDEX(ctaVinc,MATCH(Q1494,ctaNombre,0))&amp;"",Q1494),Q1494))</f>
        <v/>
      </c>
      <c r="AC1494" s="52">
        <f>IF(OR(K1494="",AND(P1494&lt;&gt;"Transferencia",P1494&lt;&gt;"Pago tarjeta")),"",IFERROR(IF(INDEX(ctaVinc,MATCH(K1494,ctaNombre,0))&amp;""&lt;&gt;"",INDEX(ctaVinc,MATCH(K1494,ctaNombre,0))&amp;"",K1494),K1494))</f>
        <v/>
      </c>
      <c r="AD1494" s="52">
        <f>IF(AB1494="","",IFERROR(INDEX(ctaTipo,MATCH(AB1494,ctaNombre,0))&amp;"",""))</f>
        <v/>
      </c>
      <c r="AE1494" s="52">
        <f>IF(AC1494="","",IFERROR(INDEX(ctaTipo,MATCH(AC1494,ctaNombre,0))&amp;"",""))</f>
        <v/>
      </c>
      <c r="AF1494" s="53">
        <f>IF(OR(P1494="",AB1494=""),"",IF(OR(P1494="Gasto",P1494="Transferencia",P1494="Pago tarjeta"),-1,1)*IF(IFERROR(INDEX(ctaMoneda,MATCH(AB1494,ctaNombre,0))&amp;"","DOP")="USD",T1494,S1494))</f>
        <v/>
      </c>
      <c r="AG1494" s="53">
        <f>IF(AC1494="","",IF(IFERROR(INDEX(ctaMoneda,MATCH(AC1494,ctaNombre,0))&amp;"","DOP")="USD",T1494,S1494))</f>
        <v/>
      </c>
      <c r="AH1494" s="53">
        <f>IF(P1494="","",IF(AND(AD1494&lt;&gt;"",COUNTIFS(tcTipo,AD1494,tcLiq,"Sí")&gt;0),IF(OR(P1494="Gasto",P1494="Transferencia",P1494="Pago tarjeta"),-1,1)*S1494,0)+IF(AND(AE1494&lt;&gt;"",COUNTIFS(tcTipo,AE1494,tcLiq,"Sí")&gt;0),S1494,0))</f>
        <v/>
      </c>
      <c r="AI1494" s="52">
        <f>IF(OR(L1494="",P1494=""),"",IF(COUNTIFS(L$6:L1494,L1494,P$6:P1494,"?*")=1,MAX(AI$5:AI1493)+1,""))</f>
        <v/>
      </c>
    </row>
    <row r="1495">
      <c r="B1495" s="47" t="n"/>
      <c r="C1495" s="48" t="n"/>
      <c r="D1495" s="48" t="n"/>
      <c r="E1495" s="48" t="n"/>
      <c r="F1495" s="48" t="n"/>
      <c r="G1495" s="49" t="n"/>
      <c r="H1495" s="48" t="n"/>
      <c r="I1495" s="50" t="n"/>
      <c r="J1495" s="48" t="n"/>
      <c r="K1495" s="48" t="n"/>
      <c r="L1495" s="48" t="n"/>
      <c r="M1495" s="48" t="n"/>
      <c r="N1495" s="48" t="n"/>
      <c r="O1495" s="51">
        <f>IF(AND(B1495="",G1495="",C1495="",D1495="",J1495=""),"",IF(B1495="","⚠ Falta fecha",IF(G1495="","⚠ Falta monto",IF(Q1495="","⚠ Falta cuenta",IF(ISNA(MATCH(Q1495,ctaNombre,0)),"⚠ Cuenta no registrada",IF(AND(OR(P1495="Gasto",P1495="Reembolso"),D1495=""),"⚠ Falta categoría",IF(AND(D1495&lt;&gt;"",E1495&lt;&gt;"",ISNA(MATCH(D1495&amp;"|"&amp;E1495,catClave,0))),"⚠ Subcategoría no corresponde",IF(AND(OR(P1495="Transferencia",P1495="Pago tarjeta"),K1495=""),"⚠ Falta cuenta destino",IF(AND(K1495&lt;&gt;"",P1495&lt;&gt;"Transferencia",P1495&lt;&gt;"Pago tarjeta"),"⚠ Destino solo aplica a transferencias",IF(AND(K1495&lt;&gt;"",K1495=Q1495),"⚠ Origen igual a destino",IF(AND(K1495&lt;&gt;"",ISNA(MATCH(K1495,ctaNombre,0))),"⚠ Destino no registrado",IF(AND(P1495="Pago tarjeta",AE1495&lt;&gt;"Tarjeta de crédito"),"⚠ El destino debe ser tarjeta de crédito",IF(AND(P1495="Gasto",E1495="Depósitos y retiros"),"⚠ Usa tipo Transferencia",IF(AND(P1495="Resultado trading",AD1495&lt;&gt;"Cuenta de trading"),"⚠ Usa una cuenta de trading",IF(AND(G1495&lt;=0,P1495&lt;&gt;"Ajuste",P1495&lt;&gt;"Resultado trading"),"⚠ El monto debe ser positivo","✓")))))))))))))))</f>
        <v/>
      </c>
      <c r="P1495" s="52">
        <f>IF(OR(B1495="",G1495=""),"",IF(C1495="","Gasto",C1495))</f>
        <v/>
      </c>
      <c r="Q1495" s="52">
        <f>IF(P1495="","",IF(J1495&lt;&gt;"",J1495,CuentaPred&amp;""))</f>
        <v/>
      </c>
      <c r="R1495" s="52">
        <f>IF(P1495="","",IF(ISNUMBER(I1495),I1495,TasaUSD))</f>
        <v/>
      </c>
      <c r="S1495" s="53">
        <f>IF(P1495="","",IF(H1495="USD",G1495*R1495,G1495))</f>
        <v/>
      </c>
      <c r="T1495" s="53">
        <f>IF(P1495="","",IF(H1495="USD",G1495,IF(R1495&gt;0,G1495/R1495,0)))</f>
        <v/>
      </c>
      <c r="U1495" s="53">
        <f>IF(P1495="","",IF(P1495="Gasto",S1495,IF(P1495="Reembolso",-S1495,0)))</f>
        <v/>
      </c>
      <c r="V1495" s="53">
        <f>IF(P1495="","",IF(P1495="Ingreso",S1495,0))</f>
        <v/>
      </c>
      <c r="W1495" s="53">
        <f>IF(P1495="","",IF(P1495="Resultado trading",S1495,0))</f>
        <v/>
      </c>
      <c r="X1495" s="52">
        <f>IF(OR(P1495="Gasto",P1495="Reembolso"),IF(M1495&lt;&gt;"",M1495,IFERROR(INDEX(catClasif,MATCH(D1495&amp;"|"&amp;E1495,catClave,0))&amp;"","Variable")),"")</f>
        <v/>
      </c>
      <c r="Y1495" s="52">
        <f>IF(P1495="","",IFERROR(INDEX(catGrupo,MATCH(D1495&amp;"|"&amp;E1495,catClave,0))&amp;"",""))</f>
        <v/>
      </c>
      <c r="Z1495" s="52">
        <f>IF(P1495="","",WEEKDAY(B1495,2))</f>
        <v/>
      </c>
      <c r="AA1495" s="52">
        <f>IF(P1495="","",IF(AND(P1495="Gasto",X1495="Variable",D1495&lt;&gt;catTrading,S1495&gt;0,S1495&lt;=Umbral),1,0))</f>
        <v/>
      </c>
      <c r="AB1495" s="52">
        <f>IF(OR(P1495="",Q1495=""),"",IFERROR(IF(INDEX(ctaVinc,MATCH(Q1495,ctaNombre,0))&amp;""&lt;&gt;"",INDEX(ctaVinc,MATCH(Q1495,ctaNombre,0))&amp;"",Q1495),Q1495))</f>
        <v/>
      </c>
      <c r="AC1495" s="52">
        <f>IF(OR(K1495="",AND(P1495&lt;&gt;"Transferencia",P1495&lt;&gt;"Pago tarjeta")),"",IFERROR(IF(INDEX(ctaVinc,MATCH(K1495,ctaNombre,0))&amp;""&lt;&gt;"",INDEX(ctaVinc,MATCH(K1495,ctaNombre,0))&amp;"",K1495),K1495))</f>
        <v/>
      </c>
      <c r="AD1495" s="52">
        <f>IF(AB1495="","",IFERROR(INDEX(ctaTipo,MATCH(AB1495,ctaNombre,0))&amp;"",""))</f>
        <v/>
      </c>
      <c r="AE1495" s="52">
        <f>IF(AC1495="","",IFERROR(INDEX(ctaTipo,MATCH(AC1495,ctaNombre,0))&amp;"",""))</f>
        <v/>
      </c>
      <c r="AF1495" s="53">
        <f>IF(OR(P1495="",AB1495=""),"",IF(OR(P1495="Gasto",P1495="Transferencia",P1495="Pago tarjeta"),-1,1)*IF(IFERROR(INDEX(ctaMoneda,MATCH(AB1495,ctaNombre,0))&amp;"","DOP")="USD",T1495,S1495))</f>
        <v/>
      </c>
      <c r="AG1495" s="53">
        <f>IF(AC1495="","",IF(IFERROR(INDEX(ctaMoneda,MATCH(AC1495,ctaNombre,0))&amp;"","DOP")="USD",T1495,S1495))</f>
        <v/>
      </c>
      <c r="AH1495" s="53">
        <f>IF(P1495="","",IF(AND(AD1495&lt;&gt;"",COUNTIFS(tcTipo,AD1495,tcLiq,"Sí")&gt;0),IF(OR(P1495="Gasto",P1495="Transferencia",P1495="Pago tarjeta"),-1,1)*S1495,0)+IF(AND(AE1495&lt;&gt;"",COUNTIFS(tcTipo,AE1495,tcLiq,"Sí")&gt;0),S1495,0))</f>
        <v/>
      </c>
      <c r="AI1495" s="52">
        <f>IF(OR(L1495="",P1495=""),"",IF(COUNTIFS(L$6:L1495,L1495,P$6:P1495,"?*")=1,MAX(AI$5:AI1494)+1,""))</f>
        <v/>
      </c>
    </row>
    <row r="1496">
      <c r="B1496" s="47" t="n"/>
      <c r="C1496" s="48" t="n"/>
      <c r="D1496" s="48" t="n"/>
      <c r="E1496" s="48" t="n"/>
      <c r="F1496" s="48" t="n"/>
      <c r="G1496" s="49" t="n"/>
      <c r="H1496" s="48" t="n"/>
      <c r="I1496" s="50" t="n"/>
      <c r="J1496" s="48" t="n"/>
      <c r="K1496" s="48" t="n"/>
      <c r="L1496" s="48" t="n"/>
      <c r="M1496" s="48" t="n"/>
      <c r="N1496" s="48" t="n"/>
      <c r="O1496" s="51">
        <f>IF(AND(B1496="",G1496="",C1496="",D1496="",J1496=""),"",IF(B1496="","⚠ Falta fecha",IF(G1496="","⚠ Falta monto",IF(Q1496="","⚠ Falta cuenta",IF(ISNA(MATCH(Q1496,ctaNombre,0)),"⚠ Cuenta no registrada",IF(AND(OR(P1496="Gasto",P1496="Reembolso"),D1496=""),"⚠ Falta categoría",IF(AND(D1496&lt;&gt;"",E1496&lt;&gt;"",ISNA(MATCH(D1496&amp;"|"&amp;E1496,catClave,0))),"⚠ Subcategoría no corresponde",IF(AND(OR(P1496="Transferencia",P1496="Pago tarjeta"),K1496=""),"⚠ Falta cuenta destino",IF(AND(K1496&lt;&gt;"",P1496&lt;&gt;"Transferencia",P1496&lt;&gt;"Pago tarjeta"),"⚠ Destino solo aplica a transferencias",IF(AND(K1496&lt;&gt;"",K1496=Q1496),"⚠ Origen igual a destino",IF(AND(K1496&lt;&gt;"",ISNA(MATCH(K1496,ctaNombre,0))),"⚠ Destino no registrado",IF(AND(P1496="Pago tarjeta",AE1496&lt;&gt;"Tarjeta de crédito"),"⚠ El destino debe ser tarjeta de crédito",IF(AND(P1496="Gasto",E1496="Depósitos y retiros"),"⚠ Usa tipo Transferencia",IF(AND(P1496="Resultado trading",AD1496&lt;&gt;"Cuenta de trading"),"⚠ Usa una cuenta de trading",IF(AND(G1496&lt;=0,P1496&lt;&gt;"Ajuste",P1496&lt;&gt;"Resultado trading"),"⚠ El monto debe ser positivo","✓")))))))))))))))</f>
        <v/>
      </c>
      <c r="P1496" s="52">
        <f>IF(OR(B1496="",G1496=""),"",IF(C1496="","Gasto",C1496))</f>
        <v/>
      </c>
      <c r="Q1496" s="52">
        <f>IF(P1496="","",IF(J1496&lt;&gt;"",J1496,CuentaPred&amp;""))</f>
        <v/>
      </c>
      <c r="R1496" s="52">
        <f>IF(P1496="","",IF(ISNUMBER(I1496),I1496,TasaUSD))</f>
        <v/>
      </c>
      <c r="S1496" s="53">
        <f>IF(P1496="","",IF(H1496="USD",G1496*R1496,G1496))</f>
        <v/>
      </c>
      <c r="T1496" s="53">
        <f>IF(P1496="","",IF(H1496="USD",G1496,IF(R1496&gt;0,G1496/R1496,0)))</f>
        <v/>
      </c>
      <c r="U1496" s="53">
        <f>IF(P1496="","",IF(P1496="Gasto",S1496,IF(P1496="Reembolso",-S1496,0)))</f>
        <v/>
      </c>
      <c r="V1496" s="53">
        <f>IF(P1496="","",IF(P1496="Ingreso",S1496,0))</f>
        <v/>
      </c>
      <c r="W1496" s="53">
        <f>IF(P1496="","",IF(P1496="Resultado trading",S1496,0))</f>
        <v/>
      </c>
      <c r="X1496" s="52">
        <f>IF(OR(P1496="Gasto",P1496="Reembolso"),IF(M1496&lt;&gt;"",M1496,IFERROR(INDEX(catClasif,MATCH(D1496&amp;"|"&amp;E1496,catClave,0))&amp;"","Variable")),"")</f>
        <v/>
      </c>
      <c r="Y1496" s="52">
        <f>IF(P1496="","",IFERROR(INDEX(catGrupo,MATCH(D1496&amp;"|"&amp;E1496,catClave,0))&amp;"",""))</f>
        <v/>
      </c>
      <c r="Z1496" s="52">
        <f>IF(P1496="","",WEEKDAY(B1496,2))</f>
        <v/>
      </c>
      <c r="AA1496" s="52">
        <f>IF(P1496="","",IF(AND(P1496="Gasto",X1496="Variable",D1496&lt;&gt;catTrading,S1496&gt;0,S1496&lt;=Umbral),1,0))</f>
        <v/>
      </c>
      <c r="AB1496" s="52">
        <f>IF(OR(P1496="",Q1496=""),"",IFERROR(IF(INDEX(ctaVinc,MATCH(Q1496,ctaNombre,0))&amp;""&lt;&gt;"",INDEX(ctaVinc,MATCH(Q1496,ctaNombre,0))&amp;"",Q1496),Q1496))</f>
        <v/>
      </c>
      <c r="AC1496" s="52">
        <f>IF(OR(K1496="",AND(P1496&lt;&gt;"Transferencia",P1496&lt;&gt;"Pago tarjeta")),"",IFERROR(IF(INDEX(ctaVinc,MATCH(K1496,ctaNombre,0))&amp;""&lt;&gt;"",INDEX(ctaVinc,MATCH(K1496,ctaNombre,0))&amp;"",K1496),K1496))</f>
        <v/>
      </c>
      <c r="AD1496" s="52">
        <f>IF(AB1496="","",IFERROR(INDEX(ctaTipo,MATCH(AB1496,ctaNombre,0))&amp;"",""))</f>
        <v/>
      </c>
      <c r="AE1496" s="52">
        <f>IF(AC1496="","",IFERROR(INDEX(ctaTipo,MATCH(AC1496,ctaNombre,0))&amp;"",""))</f>
        <v/>
      </c>
      <c r="AF1496" s="53">
        <f>IF(OR(P1496="",AB1496=""),"",IF(OR(P1496="Gasto",P1496="Transferencia",P1496="Pago tarjeta"),-1,1)*IF(IFERROR(INDEX(ctaMoneda,MATCH(AB1496,ctaNombre,0))&amp;"","DOP")="USD",T1496,S1496))</f>
        <v/>
      </c>
      <c r="AG1496" s="53">
        <f>IF(AC1496="","",IF(IFERROR(INDEX(ctaMoneda,MATCH(AC1496,ctaNombre,0))&amp;"","DOP")="USD",T1496,S1496))</f>
        <v/>
      </c>
      <c r="AH1496" s="53">
        <f>IF(P1496="","",IF(AND(AD1496&lt;&gt;"",COUNTIFS(tcTipo,AD1496,tcLiq,"Sí")&gt;0),IF(OR(P1496="Gasto",P1496="Transferencia",P1496="Pago tarjeta"),-1,1)*S1496,0)+IF(AND(AE1496&lt;&gt;"",COUNTIFS(tcTipo,AE1496,tcLiq,"Sí")&gt;0),S1496,0))</f>
        <v/>
      </c>
      <c r="AI1496" s="52">
        <f>IF(OR(L1496="",P1496=""),"",IF(COUNTIFS(L$6:L1496,L1496,P$6:P1496,"?*")=1,MAX(AI$5:AI1495)+1,""))</f>
        <v/>
      </c>
    </row>
    <row r="1497">
      <c r="B1497" s="47" t="n"/>
      <c r="C1497" s="48" t="n"/>
      <c r="D1497" s="48" t="n"/>
      <c r="E1497" s="48" t="n"/>
      <c r="F1497" s="48" t="n"/>
      <c r="G1497" s="49" t="n"/>
      <c r="H1497" s="48" t="n"/>
      <c r="I1497" s="50" t="n"/>
      <c r="J1497" s="48" t="n"/>
      <c r="K1497" s="48" t="n"/>
      <c r="L1497" s="48" t="n"/>
      <c r="M1497" s="48" t="n"/>
      <c r="N1497" s="48" t="n"/>
      <c r="O1497" s="51">
        <f>IF(AND(B1497="",G1497="",C1497="",D1497="",J1497=""),"",IF(B1497="","⚠ Falta fecha",IF(G1497="","⚠ Falta monto",IF(Q1497="","⚠ Falta cuenta",IF(ISNA(MATCH(Q1497,ctaNombre,0)),"⚠ Cuenta no registrada",IF(AND(OR(P1497="Gasto",P1497="Reembolso"),D1497=""),"⚠ Falta categoría",IF(AND(D1497&lt;&gt;"",E1497&lt;&gt;"",ISNA(MATCH(D1497&amp;"|"&amp;E1497,catClave,0))),"⚠ Subcategoría no corresponde",IF(AND(OR(P1497="Transferencia",P1497="Pago tarjeta"),K1497=""),"⚠ Falta cuenta destino",IF(AND(K1497&lt;&gt;"",P1497&lt;&gt;"Transferencia",P1497&lt;&gt;"Pago tarjeta"),"⚠ Destino solo aplica a transferencias",IF(AND(K1497&lt;&gt;"",K1497=Q1497),"⚠ Origen igual a destino",IF(AND(K1497&lt;&gt;"",ISNA(MATCH(K1497,ctaNombre,0))),"⚠ Destino no registrado",IF(AND(P1497="Pago tarjeta",AE1497&lt;&gt;"Tarjeta de crédito"),"⚠ El destino debe ser tarjeta de crédito",IF(AND(P1497="Gasto",E1497="Depósitos y retiros"),"⚠ Usa tipo Transferencia",IF(AND(P1497="Resultado trading",AD1497&lt;&gt;"Cuenta de trading"),"⚠ Usa una cuenta de trading",IF(AND(G1497&lt;=0,P1497&lt;&gt;"Ajuste",P1497&lt;&gt;"Resultado trading"),"⚠ El monto debe ser positivo","✓")))))))))))))))</f>
        <v/>
      </c>
      <c r="P1497" s="52">
        <f>IF(OR(B1497="",G1497=""),"",IF(C1497="","Gasto",C1497))</f>
        <v/>
      </c>
      <c r="Q1497" s="52">
        <f>IF(P1497="","",IF(J1497&lt;&gt;"",J1497,CuentaPred&amp;""))</f>
        <v/>
      </c>
      <c r="R1497" s="52">
        <f>IF(P1497="","",IF(ISNUMBER(I1497),I1497,TasaUSD))</f>
        <v/>
      </c>
      <c r="S1497" s="53">
        <f>IF(P1497="","",IF(H1497="USD",G1497*R1497,G1497))</f>
        <v/>
      </c>
      <c r="T1497" s="53">
        <f>IF(P1497="","",IF(H1497="USD",G1497,IF(R1497&gt;0,G1497/R1497,0)))</f>
        <v/>
      </c>
      <c r="U1497" s="53">
        <f>IF(P1497="","",IF(P1497="Gasto",S1497,IF(P1497="Reembolso",-S1497,0)))</f>
        <v/>
      </c>
      <c r="V1497" s="53">
        <f>IF(P1497="","",IF(P1497="Ingreso",S1497,0))</f>
        <v/>
      </c>
      <c r="W1497" s="53">
        <f>IF(P1497="","",IF(P1497="Resultado trading",S1497,0))</f>
        <v/>
      </c>
      <c r="X1497" s="52">
        <f>IF(OR(P1497="Gasto",P1497="Reembolso"),IF(M1497&lt;&gt;"",M1497,IFERROR(INDEX(catClasif,MATCH(D1497&amp;"|"&amp;E1497,catClave,0))&amp;"","Variable")),"")</f>
        <v/>
      </c>
      <c r="Y1497" s="52">
        <f>IF(P1497="","",IFERROR(INDEX(catGrupo,MATCH(D1497&amp;"|"&amp;E1497,catClave,0))&amp;"",""))</f>
        <v/>
      </c>
      <c r="Z1497" s="52">
        <f>IF(P1497="","",WEEKDAY(B1497,2))</f>
        <v/>
      </c>
      <c r="AA1497" s="52">
        <f>IF(P1497="","",IF(AND(P1497="Gasto",X1497="Variable",D1497&lt;&gt;catTrading,S1497&gt;0,S1497&lt;=Umbral),1,0))</f>
        <v/>
      </c>
      <c r="AB1497" s="52">
        <f>IF(OR(P1497="",Q1497=""),"",IFERROR(IF(INDEX(ctaVinc,MATCH(Q1497,ctaNombre,0))&amp;""&lt;&gt;"",INDEX(ctaVinc,MATCH(Q1497,ctaNombre,0))&amp;"",Q1497),Q1497))</f>
        <v/>
      </c>
      <c r="AC1497" s="52">
        <f>IF(OR(K1497="",AND(P1497&lt;&gt;"Transferencia",P1497&lt;&gt;"Pago tarjeta")),"",IFERROR(IF(INDEX(ctaVinc,MATCH(K1497,ctaNombre,0))&amp;""&lt;&gt;"",INDEX(ctaVinc,MATCH(K1497,ctaNombre,0))&amp;"",K1497),K1497))</f>
        <v/>
      </c>
      <c r="AD1497" s="52">
        <f>IF(AB1497="","",IFERROR(INDEX(ctaTipo,MATCH(AB1497,ctaNombre,0))&amp;"",""))</f>
        <v/>
      </c>
      <c r="AE1497" s="52">
        <f>IF(AC1497="","",IFERROR(INDEX(ctaTipo,MATCH(AC1497,ctaNombre,0))&amp;"",""))</f>
        <v/>
      </c>
      <c r="AF1497" s="53">
        <f>IF(OR(P1497="",AB1497=""),"",IF(OR(P1497="Gasto",P1497="Transferencia",P1497="Pago tarjeta"),-1,1)*IF(IFERROR(INDEX(ctaMoneda,MATCH(AB1497,ctaNombre,0))&amp;"","DOP")="USD",T1497,S1497))</f>
        <v/>
      </c>
      <c r="AG1497" s="53">
        <f>IF(AC1497="","",IF(IFERROR(INDEX(ctaMoneda,MATCH(AC1497,ctaNombre,0))&amp;"","DOP")="USD",T1497,S1497))</f>
        <v/>
      </c>
      <c r="AH1497" s="53">
        <f>IF(P1497="","",IF(AND(AD1497&lt;&gt;"",COUNTIFS(tcTipo,AD1497,tcLiq,"Sí")&gt;0),IF(OR(P1497="Gasto",P1497="Transferencia",P1497="Pago tarjeta"),-1,1)*S1497,0)+IF(AND(AE1497&lt;&gt;"",COUNTIFS(tcTipo,AE1497,tcLiq,"Sí")&gt;0),S1497,0))</f>
        <v/>
      </c>
      <c r="AI1497" s="52">
        <f>IF(OR(L1497="",P1497=""),"",IF(COUNTIFS(L$6:L1497,L1497,P$6:P1497,"?*")=1,MAX(AI$5:AI1496)+1,""))</f>
        <v/>
      </c>
    </row>
    <row r="1498">
      <c r="B1498" s="47" t="n"/>
      <c r="C1498" s="48" t="n"/>
      <c r="D1498" s="48" t="n"/>
      <c r="E1498" s="48" t="n"/>
      <c r="F1498" s="48" t="n"/>
      <c r="G1498" s="49" t="n"/>
      <c r="H1498" s="48" t="n"/>
      <c r="I1498" s="50" t="n"/>
      <c r="J1498" s="48" t="n"/>
      <c r="K1498" s="48" t="n"/>
      <c r="L1498" s="48" t="n"/>
      <c r="M1498" s="48" t="n"/>
      <c r="N1498" s="48" t="n"/>
      <c r="O1498" s="51">
        <f>IF(AND(B1498="",G1498="",C1498="",D1498="",J1498=""),"",IF(B1498="","⚠ Falta fecha",IF(G1498="","⚠ Falta monto",IF(Q1498="","⚠ Falta cuenta",IF(ISNA(MATCH(Q1498,ctaNombre,0)),"⚠ Cuenta no registrada",IF(AND(OR(P1498="Gasto",P1498="Reembolso"),D1498=""),"⚠ Falta categoría",IF(AND(D1498&lt;&gt;"",E1498&lt;&gt;"",ISNA(MATCH(D1498&amp;"|"&amp;E1498,catClave,0))),"⚠ Subcategoría no corresponde",IF(AND(OR(P1498="Transferencia",P1498="Pago tarjeta"),K1498=""),"⚠ Falta cuenta destino",IF(AND(K1498&lt;&gt;"",P1498&lt;&gt;"Transferencia",P1498&lt;&gt;"Pago tarjeta"),"⚠ Destino solo aplica a transferencias",IF(AND(K1498&lt;&gt;"",K1498=Q1498),"⚠ Origen igual a destino",IF(AND(K1498&lt;&gt;"",ISNA(MATCH(K1498,ctaNombre,0))),"⚠ Destino no registrado",IF(AND(P1498="Pago tarjeta",AE1498&lt;&gt;"Tarjeta de crédito"),"⚠ El destino debe ser tarjeta de crédito",IF(AND(P1498="Gasto",E1498="Depósitos y retiros"),"⚠ Usa tipo Transferencia",IF(AND(P1498="Resultado trading",AD1498&lt;&gt;"Cuenta de trading"),"⚠ Usa una cuenta de trading",IF(AND(G1498&lt;=0,P1498&lt;&gt;"Ajuste",P1498&lt;&gt;"Resultado trading"),"⚠ El monto debe ser positivo","✓")))))))))))))))</f>
        <v/>
      </c>
      <c r="P1498" s="52">
        <f>IF(OR(B1498="",G1498=""),"",IF(C1498="","Gasto",C1498))</f>
        <v/>
      </c>
      <c r="Q1498" s="52">
        <f>IF(P1498="","",IF(J1498&lt;&gt;"",J1498,CuentaPred&amp;""))</f>
        <v/>
      </c>
      <c r="R1498" s="52">
        <f>IF(P1498="","",IF(ISNUMBER(I1498),I1498,TasaUSD))</f>
        <v/>
      </c>
      <c r="S1498" s="53">
        <f>IF(P1498="","",IF(H1498="USD",G1498*R1498,G1498))</f>
        <v/>
      </c>
      <c r="T1498" s="53">
        <f>IF(P1498="","",IF(H1498="USD",G1498,IF(R1498&gt;0,G1498/R1498,0)))</f>
        <v/>
      </c>
      <c r="U1498" s="53">
        <f>IF(P1498="","",IF(P1498="Gasto",S1498,IF(P1498="Reembolso",-S1498,0)))</f>
        <v/>
      </c>
      <c r="V1498" s="53">
        <f>IF(P1498="","",IF(P1498="Ingreso",S1498,0))</f>
        <v/>
      </c>
      <c r="W1498" s="53">
        <f>IF(P1498="","",IF(P1498="Resultado trading",S1498,0))</f>
        <v/>
      </c>
      <c r="X1498" s="52">
        <f>IF(OR(P1498="Gasto",P1498="Reembolso"),IF(M1498&lt;&gt;"",M1498,IFERROR(INDEX(catClasif,MATCH(D1498&amp;"|"&amp;E1498,catClave,0))&amp;"","Variable")),"")</f>
        <v/>
      </c>
      <c r="Y1498" s="52">
        <f>IF(P1498="","",IFERROR(INDEX(catGrupo,MATCH(D1498&amp;"|"&amp;E1498,catClave,0))&amp;"",""))</f>
        <v/>
      </c>
      <c r="Z1498" s="52">
        <f>IF(P1498="","",WEEKDAY(B1498,2))</f>
        <v/>
      </c>
      <c r="AA1498" s="52">
        <f>IF(P1498="","",IF(AND(P1498="Gasto",X1498="Variable",D1498&lt;&gt;catTrading,S1498&gt;0,S1498&lt;=Umbral),1,0))</f>
        <v/>
      </c>
      <c r="AB1498" s="52">
        <f>IF(OR(P1498="",Q1498=""),"",IFERROR(IF(INDEX(ctaVinc,MATCH(Q1498,ctaNombre,0))&amp;""&lt;&gt;"",INDEX(ctaVinc,MATCH(Q1498,ctaNombre,0))&amp;"",Q1498),Q1498))</f>
        <v/>
      </c>
      <c r="AC1498" s="52">
        <f>IF(OR(K1498="",AND(P1498&lt;&gt;"Transferencia",P1498&lt;&gt;"Pago tarjeta")),"",IFERROR(IF(INDEX(ctaVinc,MATCH(K1498,ctaNombre,0))&amp;""&lt;&gt;"",INDEX(ctaVinc,MATCH(K1498,ctaNombre,0))&amp;"",K1498),K1498))</f>
        <v/>
      </c>
      <c r="AD1498" s="52">
        <f>IF(AB1498="","",IFERROR(INDEX(ctaTipo,MATCH(AB1498,ctaNombre,0))&amp;"",""))</f>
        <v/>
      </c>
      <c r="AE1498" s="52">
        <f>IF(AC1498="","",IFERROR(INDEX(ctaTipo,MATCH(AC1498,ctaNombre,0))&amp;"",""))</f>
        <v/>
      </c>
      <c r="AF1498" s="53">
        <f>IF(OR(P1498="",AB1498=""),"",IF(OR(P1498="Gasto",P1498="Transferencia",P1498="Pago tarjeta"),-1,1)*IF(IFERROR(INDEX(ctaMoneda,MATCH(AB1498,ctaNombre,0))&amp;"","DOP")="USD",T1498,S1498))</f>
        <v/>
      </c>
      <c r="AG1498" s="53">
        <f>IF(AC1498="","",IF(IFERROR(INDEX(ctaMoneda,MATCH(AC1498,ctaNombre,0))&amp;"","DOP")="USD",T1498,S1498))</f>
        <v/>
      </c>
      <c r="AH1498" s="53">
        <f>IF(P1498="","",IF(AND(AD1498&lt;&gt;"",COUNTIFS(tcTipo,AD1498,tcLiq,"Sí")&gt;0),IF(OR(P1498="Gasto",P1498="Transferencia",P1498="Pago tarjeta"),-1,1)*S1498,0)+IF(AND(AE1498&lt;&gt;"",COUNTIFS(tcTipo,AE1498,tcLiq,"Sí")&gt;0),S1498,0))</f>
        <v/>
      </c>
      <c r="AI1498" s="52">
        <f>IF(OR(L1498="",P1498=""),"",IF(COUNTIFS(L$6:L1498,L1498,P$6:P1498,"?*")=1,MAX(AI$5:AI1497)+1,""))</f>
        <v/>
      </c>
    </row>
    <row r="1499">
      <c r="B1499" s="47" t="n"/>
      <c r="C1499" s="48" t="n"/>
      <c r="D1499" s="48" t="n"/>
      <c r="E1499" s="48" t="n"/>
      <c r="F1499" s="48" t="n"/>
      <c r="G1499" s="49" t="n"/>
      <c r="H1499" s="48" t="n"/>
      <c r="I1499" s="50" t="n"/>
      <c r="J1499" s="48" t="n"/>
      <c r="K1499" s="48" t="n"/>
      <c r="L1499" s="48" t="n"/>
      <c r="M1499" s="48" t="n"/>
      <c r="N1499" s="48" t="n"/>
      <c r="O1499" s="51">
        <f>IF(AND(B1499="",G1499="",C1499="",D1499="",J1499=""),"",IF(B1499="","⚠ Falta fecha",IF(G1499="","⚠ Falta monto",IF(Q1499="","⚠ Falta cuenta",IF(ISNA(MATCH(Q1499,ctaNombre,0)),"⚠ Cuenta no registrada",IF(AND(OR(P1499="Gasto",P1499="Reembolso"),D1499=""),"⚠ Falta categoría",IF(AND(D1499&lt;&gt;"",E1499&lt;&gt;"",ISNA(MATCH(D1499&amp;"|"&amp;E1499,catClave,0))),"⚠ Subcategoría no corresponde",IF(AND(OR(P1499="Transferencia",P1499="Pago tarjeta"),K1499=""),"⚠ Falta cuenta destino",IF(AND(K1499&lt;&gt;"",P1499&lt;&gt;"Transferencia",P1499&lt;&gt;"Pago tarjeta"),"⚠ Destino solo aplica a transferencias",IF(AND(K1499&lt;&gt;"",K1499=Q1499),"⚠ Origen igual a destino",IF(AND(K1499&lt;&gt;"",ISNA(MATCH(K1499,ctaNombre,0))),"⚠ Destino no registrado",IF(AND(P1499="Pago tarjeta",AE1499&lt;&gt;"Tarjeta de crédito"),"⚠ El destino debe ser tarjeta de crédito",IF(AND(P1499="Gasto",E1499="Depósitos y retiros"),"⚠ Usa tipo Transferencia",IF(AND(P1499="Resultado trading",AD1499&lt;&gt;"Cuenta de trading"),"⚠ Usa una cuenta de trading",IF(AND(G1499&lt;=0,P1499&lt;&gt;"Ajuste",P1499&lt;&gt;"Resultado trading"),"⚠ El monto debe ser positivo","✓")))))))))))))))</f>
        <v/>
      </c>
      <c r="P1499" s="52">
        <f>IF(OR(B1499="",G1499=""),"",IF(C1499="","Gasto",C1499))</f>
        <v/>
      </c>
      <c r="Q1499" s="52">
        <f>IF(P1499="","",IF(J1499&lt;&gt;"",J1499,CuentaPred&amp;""))</f>
        <v/>
      </c>
      <c r="R1499" s="52">
        <f>IF(P1499="","",IF(ISNUMBER(I1499),I1499,TasaUSD))</f>
        <v/>
      </c>
      <c r="S1499" s="53">
        <f>IF(P1499="","",IF(H1499="USD",G1499*R1499,G1499))</f>
        <v/>
      </c>
      <c r="T1499" s="53">
        <f>IF(P1499="","",IF(H1499="USD",G1499,IF(R1499&gt;0,G1499/R1499,0)))</f>
        <v/>
      </c>
      <c r="U1499" s="53">
        <f>IF(P1499="","",IF(P1499="Gasto",S1499,IF(P1499="Reembolso",-S1499,0)))</f>
        <v/>
      </c>
      <c r="V1499" s="53">
        <f>IF(P1499="","",IF(P1499="Ingreso",S1499,0))</f>
        <v/>
      </c>
      <c r="W1499" s="53">
        <f>IF(P1499="","",IF(P1499="Resultado trading",S1499,0))</f>
        <v/>
      </c>
      <c r="X1499" s="52">
        <f>IF(OR(P1499="Gasto",P1499="Reembolso"),IF(M1499&lt;&gt;"",M1499,IFERROR(INDEX(catClasif,MATCH(D1499&amp;"|"&amp;E1499,catClave,0))&amp;"","Variable")),"")</f>
        <v/>
      </c>
      <c r="Y1499" s="52">
        <f>IF(P1499="","",IFERROR(INDEX(catGrupo,MATCH(D1499&amp;"|"&amp;E1499,catClave,0))&amp;"",""))</f>
        <v/>
      </c>
      <c r="Z1499" s="52">
        <f>IF(P1499="","",WEEKDAY(B1499,2))</f>
        <v/>
      </c>
      <c r="AA1499" s="52">
        <f>IF(P1499="","",IF(AND(P1499="Gasto",X1499="Variable",D1499&lt;&gt;catTrading,S1499&gt;0,S1499&lt;=Umbral),1,0))</f>
        <v/>
      </c>
      <c r="AB1499" s="52">
        <f>IF(OR(P1499="",Q1499=""),"",IFERROR(IF(INDEX(ctaVinc,MATCH(Q1499,ctaNombre,0))&amp;""&lt;&gt;"",INDEX(ctaVinc,MATCH(Q1499,ctaNombre,0))&amp;"",Q1499),Q1499))</f>
        <v/>
      </c>
      <c r="AC1499" s="52">
        <f>IF(OR(K1499="",AND(P1499&lt;&gt;"Transferencia",P1499&lt;&gt;"Pago tarjeta")),"",IFERROR(IF(INDEX(ctaVinc,MATCH(K1499,ctaNombre,0))&amp;""&lt;&gt;"",INDEX(ctaVinc,MATCH(K1499,ctaNombre,0))&amp;"",K1499),K1499))</f>
        <v/>
      </c>
      <c r="AD1499" s="52">
        <f>IF(AB1499="","",IFERROR(INDEX(ctaTipo,MATCH(AB1499,ctaNombre,0))&amp;"",""))</f>
        <v/>
      </c>
      <c r="AE1499" s="52">
        <f>IF(AC1499="","",IFERROR(INDEX(ctaTipo,MATCH(AC1499,ctaNombre,0))&amp;"",""))</f>
        <v/>
      </c>
      <c r="AF1499" s="53">
        <f>IF(OR(P1499="",AB1499=""),"",IF(OR(P1499="Gasto",P1499="Transferencia",P1499="Pago tarjeta"),-1,1)*IF(IFERROR(INDEX(ctaMoneda,MATCH(AB1499,ctaNombre,0))&amp;"","DOP")="USD",T1499,S1499))</f>
        <v/>
      </c>
      <c r="AG1499" s="53">
        <f>IF(AC1499="","",IF(IFERROR(INDEX(ctaMoneda,MATCH(AC1499,ctaNombre,0))&amp;"","DOP")="USD",T1499,S1499))</f>
        <v/>
      </c>
      <c r="AH1499" s="53">
        <f>IF(P1499="","",IF(AND(AD1499&lt;&gt;"",COUNTIFS(tcTipo,AD1499,tcLiq,"Sí")&gt;0),IF(OR(P1499="Gasto",P1499="Transferencia",P1499="Pago tarjeta"),-1,1)*S1499,0)+IF(AND(AE1499&lt;&gt;"",COUNTIFS(tcTipo,AE1499,tcLiq,"Sí")&gt;0),S1499,0))</f>
        <v/>
      </c>
      <c r="AI1499" s="52">
        <f>IF(OR(L1499="",P1499=""),"",IF(COUNTIFS(L$6:L1499,L1499,P$6:P1499,"?*")=1,MAX(AI$5:AI1498)+1,""))</f>
        <v/>
      </c>
    </row>
    <row r="1500">
      <c r="B1500" s="47" t="n"/>
      <c r="C1500" s="48" t="n"/>
      <c r="D1500" s="48" t="n"/>
      <c r="E1500" s="48" t="n"/>
      <c r="F1500" s="48" t="n"/>
      <c r="G1500" s="49" t="n"/>
      <c r="H1500" s="48" t="n"/>
      <c r="I1500" s="50" t="n"/>
      <c r="J1500" s="48" t="n"/>
      <c r="K1500" s="48" t="n"/>
      <c r="L1500" s="48" t="n"/>
      <c r="M1500" s="48" t="n"/>
      <c r="N1500" s="48" t="n"/>
      <c r="O1500" s="51">
        <f>IF(AND(B1500="",G1500="",C1500="",D1500="",J1500=""),"",IF(B1500="","⚠ Falta fecha",IF(G1500="","⚠ Falta monto",IF(Q1500="","⚠ Falta cuenta",IF(ISNA(MATCH(Q1500,ctaNombre,0)),"⚠ Cuenta no registrada",IF(AND(OR(P1500="Gasto",P1500="Reembolso"),D1500=""),"⚠ Falta categoría",IF(AND(D1500&lt;&gt;"",E1500&lt;&gt;"",ISNA(MATCH(D1500&amp;"|"&amp;E1500,catClave,0))),"⚠ Subcategoría no corresponde",IF(AND(OR(P1500="Transferencia",P1500="Pago tarjeta"),K1500=""),"⚠ Falta cuenta destino",IF(AND(K1500&lt;&gt;"",P1500&lt;&gt;"Transferencia",P1500&lt;&gt;"Pago tarjeta"),"⚠ Destino solo aplica a transferencias",IF(AND(K1500&lt;&gt;"",K1500=Q1500),"⚠ Origen igual a destino",IF(AND(K1500&lt;&gt;"",ISNA(MATCH(K1500,ctaNombre,0))),"⚠ Destino no registrado",IF(AND(P1500="Pago tarjeta",AE1500&lt;&gt;"Tarjeta de crédito"),"⚠ El destino debe ser tarjeta de crédito",IF(AND(P1500="Gasto",E1500="Depósitos y retiros"),"⚠ Usa tipo Transferencia",IF(AND(P1500="Resultado trading",AD1500&lt;&gt;"Cuenta de trading"),"⚠ Usa una cuenta de trading",IF(AND(G1500&lt;=0,P1500&lt;&gt;"Ajuste",P1500&lt;&gt;"Resultado trading"),"⚠ El monto debe ser positivo","✓")))))))))))))))</f>
        <v/>
      </c>
      <c r="P1500" s="52">
        <f>IF(OR(B1500="",G1500=""),"",IF(C1500="","Gasto",C1500))</f>
        <v/>
      </c>
      <c r="Q1500" s="52">
        <f>IF(P1500="","",IF(J1500&lt;&gt;"",J1500,CuentaPred&amp;""))</f>
        <v/>
      </c>
      <c r="R1500" s="52">
        <f>IF(P1500="","",IF(ISNUMBER(I1500),I1500,TasaUSD))</f>
        <v/>
      </c>
      <c r="S1500" s="53">
        <f>IF(P1500="","",IF(H1500="USD",G1500*R1500,G1500))</f>
        <v/>
      </c>
      <c r="T1500" s="53">
        <f>IF(P1500="","",IF(H1500="USD",G1500,IF(R1500&gt;0,G1500/R1500,0)))</f>
        <v/>
      </c>
      <c r="U1500" s="53">
        <f>IF(P1500="","",IF(P1500="Gasto",S1500,IF(P1500="Reembolso",-S1500,0)))</f>
        <v/>
      </c>
      <c r="V1500" s="53">
        <f>IF(P1500="","",IF(P1500="Ingreso",S1500,0))</f>
        <v/>
      </c>
      <c r="W1500" s="53">
        <f>IF(P1500="","",IF(P1500="Resultado trading",S1500,0))</f>
        <v/>
      </c>
      <c r="X1500" s="52">
        <f>IF(OR(P1500="Gasto",P1500="Reembolso"),IF(M1500&lt;&gt;"",M1500,IFERROR(INDEX(catClasif,MATCH(D1500&amp;"|"&amp;E1500,catClave,0))&amp;"","Variable")),"")</f>
        <v/>
      </c>
      <c r="Y1500" s="52">
        <f>IF(P1500="","",IFERROR(INDEX(catGrupo,MATCH(D1500&amp;"|"&amp;E1500,catClave,0))&amp;"",""))</f>
        <v/>
      </c>
      <c r="Z1500" s="52">
        <f>IF(P1500="","",WEEKDAY(B1500,2))</f>
        <v/>
      </c>
      <c r="AA1500" s="52">
        <f>IF(P1500="","",IF(AND(P1500="Gasto",X1500="Variable",D1500&lt;&gt;catTrading,S1500&gt;0,S1500&lt;=Umbral),1,0))</f>
        <v/>
      </c>
      <c r="AB1500" s="52">
        <f>IF(OR(P1500="",Q1500=""),"",IFERROR(IF(INDEX(ctaVinc,MATCH(Q1500,ctaNombre,0))&amp;""&lt;&gt;"",INDEX(ctaVinc,MATCH(Q1500,ctaNombre,0))&amp;"",Q1500),Q1500))</f>
        <v/>
      </c>
      <c r="AC1500" s="52">
        <f>IF(OR(K1500="",AND(P1500&lt;&gt;"Transferencia",P1500&lt;&gt;"Pago tarjeta")),"",IFERROR(IF(INDEX(ctaVinc,MATCH(K1500,ctaNombre,0))&amp;""&lt;&gt;"",INDEX(ctaVinc,MATCH(K1500,ctaNombre,0))&amp;"",K1500),K1500))</f>
        <v/>
      </c>
      <c r="AD1500" s="52">
        <f>IF(AB1500="","",IFERROR(INDEX(ctaTipo,MATCH(AB1500,ctaNombre,0))&amp;"",""))</f>
        <v/>
      </c>
      <c r="AE1500" s="52">
        <f>IF(AC1500="","",IFERROR(INDEX(ctaTipo,MATCH(AC1500,ctaNombre,0))&amp;"",""))</f>
        <v/>
      </c>
      <c r="AF1500" s="53">
        <f>IF(OR(P1500="",AB1500=""),"",IF(OR(P1500="Gasto",P1500="Transferencia",P1500="Pago tarjeta"),-1,1)*IF(IFERROR(INDEX(ctaMoneda,MATCH(AB1500,ctaNombre,0))&amp;"","DOP")="USD",T1500,S1500))</f>
        <v/>
      </c>
      <c r="AG1500" s="53">
        <f>IF(AC1500="","",IF(IFERROR(INDEX(ctaMoneda,MATCH(AC1500,ctaNombre,0))&amp;"","DOP")="USD",T1500,S1500))</f>
        <v/>
      </c>
      <c r="AH1500" s="53">
        <f>IF(P1500="","",IF(AND(AD1500&lt;&gt;"",COUNTIFS(tcTipo,AD1500,tcLiq,"Sí")&gt;0),IF(OR(P1500="Gasto",P1500="Transferencia",P1500="Pago tarjeta"),-1,1)*S1500,0)+IF(AND(AE1500&lt;&gt;"",COUNTIFS(tcTipo,AE1500,tcLiq,"Sí")&gt;0),S1500,0))</f>
        <v/>
      </c>
      <c r="AI1500" s="52">
        <f>IF(OR(L1500="",P1500=""),"",IF(COUNTIFS(L$6:L1500,L1500,P$6:P1500,"?*")=1,MAX(AI$5:AI1499)+1,""))</f>
        <v/>
      </c>
    </row>
    <row r="1501">
      <c r="B1501" s="47" t="n"/>
      <c r="C1501" s="48" t="n"/>
      <c r="D1501" s="48" t="n"/>
      <c r="E1501" s="48" t="n"/>
      <c r="F1501" s="48" t="n"/>
      <c r="G1501" s="49" t="n"/>
      <c r="H1501" s="48" t="n"/>
      <c r="I1501" s="50" t="n"/>
      <c r="J1501" s="48" t="n"/>
      <c r="K1501" s="48" t="n"/>
      <c r="L1501" s="48" t="n"/>
      <c r="M1501" s="48" t="n"/>
      <c r="N1501" s="48" t="n"/>
      <c r="O1501" s="51">
        <f>IF(AND(B1501="",G1501="",C1501="",D1501="",J1501=""),"",IF(B1501="","⚠ Falta fecha",IF(G1501="","⚠ Falta monto",IF(Q1501="","⚠ Falta cuenta",IF(ISNA(MATCH(Q1501,ctaNombre,0)),"⚠ Cuenta no registrada",IF(AND(OR(P1501="Gasto",P1501="Reembolso"),D1501=""),"⚠ Falta categoría",IF(AND(D1501&lt;&gt;"",E1501&lt;&gt;"",ISNA(MATCH(D1501&amp;"|"&amp;E1501,catClave,0))),"⚠ Subcategoría no corresponde",IF(AND(OR(P1501="Transferencia",P1501="Pago tarjeta"),K1501=""),"⚠ Falta cuenta destino",IF(AND(K1501&lt;&gt;"",P1501&lt;&gt;"Transferencia",P1501&lt;&gt;"Pago tarjeta"),"⚠ Destino solo aplica a transferencias",IF(AND(K1501&lt;&gt;"",K1501=Q1501),"⚠ Origen igual a destino",IF(AND(K1501&lt;&gt;"",ISNA(MATCH(K1501,ctaNombre,0))),"⚠ Destino no registrado",IF(AND(P1501="Pago tarjeta",AE1501&lt;&gt;"Tarjeta de crédito"),"⚠ El destino debe ser tarjeta de crédito",IF(AND(P1501="Gasto",E1501="Depósitos y retiros"),"⚠ Usa tipo Transferencia",IF(AND(P1501="Resultado trading",AD1501&lt;&gt;"Cuenta de trading"),"⚠ Usa una cuenta de trading",IF(AND(G1501&lt;=0,P1501&lt;&gt;"Ajuste",P1501&lt;&gt;"Resultado trading"),"⚠ El monto debe ser positivo","✓")))))))))))))))</f>
        <v/>
      </c>
      <c r="P1501" s="52">
        <f>IF(OR(B1501="",G1501=""),"",IF(C1501="","Gasto",C1501))</f>
        <v/>
      </c>
      <c r="Q1501" s="52">
        <f>IF(P1501="","",IF(J1501&lt;&gt;"",J1501,CuentaPred&amp;""))</f>
        <v/>
      </c>
      <c r="R1501" s="52">
        <f>IF(P1501="","",IF(ISNUMBER(I1501),I1501,TasaUSD))</f>
        <v/>
      </c>
      <c r="S1501" s="53">
        <f>IF(P1501="","",IF(H1501="USD",G1501*R1501,G1501))</f>
        <v/>
      </c>
      <c r="T1501" s="53">
        <f>IF(P1501="","",IF(H1501="USD",G1501,IF(R1501&gt;0,G1501/R1501,0)))</f>
        <v/>
      </c>
      <c r="U1501" s="53">
        <f>IF(P1501="","",IF(P1501="Gasto",S1501,IF(P1501="Reembolso",-S1501,0)))</f>
        <v/>
      </c>
      <c r="V1501" s="53">
        <f>IF(P1501="","",IF(P1501="Ingreso",S1501,0))</f>
        <v/>
      </c>
      <c r="W1501" s="53">
        <f>IF(P1501="","",IF(P1501="Resultado trading",S1501,0))</f>
        <v/>
      </c>
      <c r="X1501" s="52">
        <f>IF(OR(P1501="Gasto",P1501="Reembolso"),IF(M1501&lt;&gt;"",M1501,IFERROR(INDEX(catClasif,MATCH(D1501&amp;"|"&amp;E1501,catClave,0))&amp;"","Variable")),"")</f>
        <v/>
      </c>
      <c r="Y1501" s="52">
        <f>IF(P1501="","",IFERROR(INDEX(catGrupo,MATCH(D1501&amp;"|"&amp;E1501,catClave,0))&amp;"",""))</f>
        <v/>
      </c>
      <c r="Z1501" s="52">
        <f>IF(P1501="","",WEEKDAY(B1501,2))</f>
        <v/>
      </c>
      <c r="AA1501" s="52">
        <f>IF(P1501="","",IF(AND(P1501="Gasto",X1501="Variable",D1501&lt;&gt;catTrading,S1501&gt;0,S1501&lt;=Umbral),1,0))</f>
        <v/>
      </c>
      <c r="AB1501" s="52">
        <f>IF(OR(P1501="",Q1501=""),"",IFERROR(IF(INDEX(ctaVinc,MATCH(Q1501,ctaNombre,0))&amp;""&lt;&gt;"",INDEX(ctaVinc,MATCH(Q1501,ctaNombre,0))&amp;"",Q1501),Q1501))</f>
        <v/>
      </c>
      <c r="AC1501" s="52">
        <f>IF(OR(K1501="",AND(P1501&lt;&gt;"Transferencia",P1501&lt;&gt;"Pago tarjeta")),"",IFERROR(IF(INDEX(ctaVinc,MATCH(K1501,ctaNombre,0))&amp;""&lt;&gt;"",INDEX(ctaVinc,MATCH(K1501,ctaNombre,0))&amp;"",K1501),K1501))</f>
        <v/>
      </c>
      <c r="AD1501" s="52">
        <f>IF(AB1501="","",IFERROR(INDEX(ctaTipo,MATCH(AB1501,ctaNombre,0))&amp;"",""))</f>
        <v/>
      </c>
      <c r="AE1501" s="52">
        <f>IF(AC1501="","",IFERROR(INDEX(ctaTipo,MATCH(AC1501,ctaNombre,0))&amp;"",""))</f>
        <v/>
      </c>
      <c r="AF1501" s="53">
        <f>IF(OR(P1501="",AB1501=""),"",IF(OR(P1501="Gasto",P1501="Transferencia",P1501="Pago tarjeta"),-1,1)*IF(IFERROR(INDEX(ctaMoneda,MATCH(AB1501,ctaNombre,0))&amp;"","DOP")="USD",T1501,S1501))</f>
        <v/>
      </c>
      <c r="AG1501" s="53">
        <f>IF(AC1501="","",IF(IFERROR(INDEX(ctaMoneda,MATCH(AC1501,ctaNombre,0))&amp;"","DOP")="USD",T1501,S1501))</f>
        <v/>
      </c>
      <c r="AH1501" s="53">
        <f>IF(P1501="","",IF(AND(AD1501&lt;&gt;"",COUNTIFS(tcTipo,AD1501,tcLiq,"Sí")&gt;0),IF(OR(P1501="Gasto",P1501="Transferencia",P1501="Pago tarjeta"),-1,1)*S1501,0)+IF(AND(AE1501&lt;&gt;"",COUNTIFS(tcTipo,AE1501,tcLiq,"Sí")&gt;0),S1501,0))</f>
        <v/>
      </c>
      <c r="AI1501" s="52">
        <f>IF(OR(L1501="",P1501=""),"",IF(COUNTIFS(L$6:L1501,L1501,P$6:P1501,"?*")=1,MAX(AI$5:AI1500)+1,""))</f>
        <v/>
      </c>
    </row>
    <row r="1502">
      <c r="B1502" s="47" t="n"/>
      <c r="C1502" s="48" t="n"/>
      <c r="D1502" s="48" t="n"/>
      <c r="E1502" s="48" t="n"/>
      <c r="F1502" s="48" t="n"/>
      <c r="G1502" s="49" t="n"/>
      <c r="H1502" s="48" t="n"/>
      <c r="I1502" s="50" t="n"/>
      <c r="J1502" s="48" t="n"/>
      <c r="K1502" s="48" t="n"/>
      <c r="L1502" s="48" t="n"/>
      <c r="M1502" s="48" t="n"/>
      <c r="N1502" s="48" t="n"/>
      <c r="O1502" s="51">
        <f>IF(AND(B1502="",G1502="",C1502="",D1502="",J1502=""),"",IF(B1502="","⚠ Falta fecha",IF(G1502="","⚠ Falta monto",IF(Q1502="","⚠ Falta cuenta",IF(ISNA(MATCH(Q1502,ctaNombre,0)),"⚠ Cuenta no registrada",IF(AND(OR(P1502="Gasto",P1502="Reembolso"),D1502=""),"⚠ Falta categoría",IF(AND(D1502&lt;&gt;"",E1502&lt;&gt;"",ISNA(MATCH(D1502&amp;"|"&amp;E1502,catClave,0))),"⚠ Subcategoría no corresponde",IF(AND(OR(P1502="Transferencia",P1502="Pago tarjeta"),K1502=""),"⚠ Falta cuenta destino",IF(AND(K1502&lt;&gt;"",P1502&lt;&gt;"Transferencia",P1502&lt;&gt;"Pago tarjeta"),"⚠ Destino solo aplica a transferencias",IF(AND(K1502&lt;&gt;"",K1502=Q1502),"⚠ Origen igual a destino",IF(AND(K1502&lt;&gt;"",ISNA(MATCH(K1502,ctaNombre,0))),"⚠ Destino no registrado",IF(AND(P1502="Pago tarjeta",AE1502&lt;&gt;"Tarjeta de crédito"),"⚠ El destino debe ser tarjeta de crédito",IF(AND(P1502="Gasto",E1502="Depósitos y retiros"),"⚠ Usa tipo Transferencia",IF(AND(P1502="Resultado trading",AD1502&lt;&gt;"Cuenta de trading"),"⚠ Usa una cuenta de trading",IF(AND(G1502&lt;=0,P1502&lt;&gt;"Ajuste",P1502&lt;&gt;"Resultado trading"),"⚠ El monto debe ser positivo","✓")))))))))))))))</f>
        <v/>
      </c>
      <c r="P1502" s="52">
        <f>IF(OR(B1502="",G1502=""),"",IF(C1502="","Gasto",C1502))</f>
        <v/>
      </c>
      <c r="Q1502" s="52">
        <f>IF(P1502="","",IF(J1502&lt;&gt;"",J1502,CuentaPred&amp;""))</f>
        <v/>
      </c>
      <c r="R1502" s="52">
        <f>IF(P1502="","",IF(ISNUMBER(I1502),I1502,TasaUSD))</f>
        <v/>
      </c>
      <c r="S1502" s="53">
        <f>IF(P1502="","",IF(H1502="USD",G1502*R1502,G1502))</f>
        <v/>
      </c>
      <c r="T1502" s="53">
        <f>IF(P1502="","",IF(H1502="USD",G1502,IF(R1502&gt;0,G1502/R1502,0)))</f>
        <v/>
      </c>
      <c r="U1502" s="53">
        <f>IF(P1502="","",IF(P1502="Gasto",S1502,IF(P1502="Reembolso",-S1502,0)))</f>
        <v/>
      </c>
      <c r="V1502" s="53">
        <f>IF(P1502="","",IF(P1502="Ingreso",S1502,0))</f>
        <v/>
      </c>
      <c r="W1502" s="53">
        <f>IF(P1502="","",IF(P1502="Resultado trading",S1502,0))</f>
        <v/>
      </c>
      <c r="X1502" s="52">
        <f>IF(OR(P1502="Gasto",P1502="Reembolso"),IF(M1502&lt;&gt;"",M1502,IFERROR(INDEX(catClasif,MATCH(D1502&amp;"|"&amp;E1502,catClave,0))&amp;"","Variable")),"")</f>
        <v/>
      </c>
      <c r="Y1502" s="52">
        <f>IF(P1502="","",IFERROR(INDEX(catGrupo,MATCH(D1502&amp;"|"&amp;E1502,catClave,0))&amp;"",""))</f>
        <v/>
      </c>
      <c r="Z1502" s="52">
        <f>IF(P1502="","",WEEKDAY(B1502,2))</f>
        <v/>
      </c>
      <c r="AA1502" s="52">
        <f>IF(P1502="","",IF(AND(P1502="Gasto",X1502="Variable",D1502&lt;&gt;catTrading,S1502&gt;0,S1502&lt;=Umbral),1,0))</f>
        <v/>
      </c>
      <c r="AB1502" s="52">
        <f>IF(OR(P1502="",Q1502=""),"",IFERROR(IF(INDEX(ctaVinc,MATCH(Q1502,ctaNombre,0))&amp;""&lt;&gt;"",INDEX(ctaVinc,MATCH(Q1502,ctaNombre,0))&amp;"",Q1502),Q1502))</f>
        <v/>
      </c>
      <c r="AC1502" s="52">
        <f>IF(OR(K1502="",AND(P1502&lt;&gt;"Transferencia",P1502&lt;&gt;"Pago tarjeta")),"",IFERROR(IF(INDEX(ctaVinc,MATCH(K1502,ctaNombre,0))&amp;""&lt;&gt;"",INDEX(ctaVinc,MATCH(K1502,ctaNombre,0))&amp;"",K1502),K1502))</f>
        <v/>
      </c>
      <c r="AD1502" s="52">
        <f>IF(AB1502="","",IFERROR(INDEX(ctaTipo,MATCH(AB1502,ctaNombre,0))&amp;"",""))</f>
        <v/>
      </c>
      <c r="AE1502" s="52">
        <f>IF(AC1502="","",IFERROR(INDEX(ctaTipo,MATCH(AC1502,ctaNombre,0))&amp;"",""))</f>
        <v/>
      </c>
      <c r="AF1502" s="53">
        <f>IF(OR(P1502="",AB1502=""),"",IF(OR(P1502="Gasto",P1502="Transferencia",P1502="Pago tarjeta"),-1,1)*IF(IFERROR(INDEX(ctaMoneda,MATCH(AB1502,ctaNombre,0))&amp;"","DOP")="USD",T1502,S1502))</f>
        <v/>
      </c>
      <c r="AG1502" s="53">
        <f>IF(AC1502="","",IF(IFERROR(INDEX(ctaMoneda,MATCH(AC1502,ctaNombre,0))&amp;"","DOP")="USD",T1502,S1502))</f>
        <v/>
      </c>
      <c r="AH1502" s="53">
        <f>IF(P1502="","",IF(AND(AD1502&lt;&gt;"",COUNTIFS(tcTipo,AD1502,tcLiq,"Sí")&gt;0),IF(OR(P1502="Gasto",P1502="Transferencia",P1502="Pago tarjeta"),-1,1)*S1502,0)+IF(AND(AE1502&lt;&gt;"",COUNTIFS(tcTipo,AE1502,tcLiq,"Sí")&gt;0),S1502,0))</f>
        <v/>
      </c>
      <c r="AI1502" s="52">
        <f>IF(OR(L1502="",P1502=""),"",IF(COUNTIFS(L$6:L1502,L1502,P$6:P1502,"?*")=1,MAX(AI$5:AI1501)+1,""))</f>
        <v/>
      </c>
    </row>
    <row r="1503">
      <c r="B1503" s="47" t="n"/>
      <c r="C1503" s="48" t="n"/>
      <c r="D1503" s="48" t="n"/>
      <c r="E1503" s="48" t="n"/>
      <c r="F1503" s="48" t="n"/>
      <c r="G1503" s="49" t="n"/>
      <c r="H1503" s="48" t="n"/>
      <c r="I1503" s="50" t="n"/>
      <c r="J1503" s="48" t="n"/>
      <c r="K1503" s="48" t="n"/>
      <c r="L1503" s="48" t="n"/>
      <c r="M1503" s="48" t="n"/>
      <c r="N1503" s="48" t="n"/>
      <c r="O1503" s="51">
        <f>IF(AND(B1503="",G1503="",C1503="",D1503="",J1503=""),"",IF(B1503="","⚠ Falta fecha",IF(G1503="","⚠ Falta monto",IF(Q1503="","⚠ Falta cuenta",IF(ISNA(MATCH(Q1503,ctaNombre,0)),"⚠ Cuenta no registrada",IF(AND(OR(P1503="Gasto",P1503="Reembolso"),D1503=""),"⚠ Falta categoría",IF(AND(D1503&lt;&gt;"",E1503&lt;&gt;"",ISNA(MATCH(D1503&amp;"|"&amp;E1503,catClave,0))),"⚠ Subcategoría no corresponde",IF(AND(OR(P1503="Transferencia",P1503="Pago tarjeta"),K1503=""),"⚠ Falta cuenta destino",IF(AND(K1503&lt;&gt;"",P1503&lt;&gt;"Transferencia",P1503&lt;&gt;"Pago tarjeta"),"⚠ Destino solo aplica a transferencias",IF(AND(K1503&lt;&gt;"",K1503=Q1503),"⚠ Origen igual a destino",IF(AND(K1503&lt;&gt;"",ISNA(MATCH(K1503,ctaNombre,0))),"⚠ Destino no registrado",IF(AND(P1503="Pago tarjeta",AE1503&lt;&gt;"Tarjeta de crédito"),"⚠ El destino debe ser tarjeta de crédito",IF(AND(P1503="Gasto",E1503="Depósitos y retiros"),"⚠ Usa tipo Transferencia",IF(AND(P1503="Resultado trading",AD1503&lt;&gt;"Cuenta de trading"),"⚠ Usa una cuenta de trading",IF(AND(G1503&lt;=0,P1503&lt;&gt;"Ajuste",P1503&lt;&gt;"Resultado trading"),"⚠ El monto debe ser positivo","✓")))))))))))))))</f>
        <v/>
      </c>
      <c r="P1503" s="52">
        <f>IF(OR(B1503="",G1503=""),"",IF(C1503="","Gasto",C1503))</f>
        <v/>
      </c>
      <c r="Q1503" s="52">
        <f>IF(P1503="","",IF(J1503&lt;&gt;"",J1503,CuentaPred&amp;""))</f>
        <v/>
      </c>
      <c r="R1503" s="52">
        <f>IF(P1503="","",IF(ISNUMBER(I1503),I1503,TasaUSD))</f>
        <v/>
      </c>
      <c r="S1503" s="53">
        <f>IF(P1503="","",IF(H1503="USD",G1503*R1503,G1503))</f>
        <v/>
      </c>
      <c r="T1503" s="53">
        <f>IF(P1503="","",IF(H1503="USD",G1503,IF(R1503&gt;0,G1503/R1503,0)))</f>
        <v/>
      </c>
      <c r="U1503" s="53">
        <f>IF(P1503="","",IF(P1503="Gasto",S1503,IF(P1503="Reembolso",-S1503,0)))</f>
        <v/>
      </c>
      <c r="V1503" s="53">
        <f>IF(P1503="","",IF(P1503="Ingreso",S1503,0))</f>
        <v/>
      </c>
      <c r="W1503" s="53">
        <f>IF(P1503="","",IF(P1503="Resultado trading",S1503,0))</f>
        <v/>
      </c>
      <c r="X1503" s="52">
        <f>IF(OR(P1503="Gasto",P1503="Reembolso"),IF(M1503&lt;&gt;"",M1503,IFERROR(INDEX(catClasif,MATCH(D1503&amp;"|"&amp;E1503,catClave,0))&amp;"","Variable")),"")</f>
        <v/>
      </c>
      <c r="Y1503" s="52">
        <f>IF(P1503="","",IFERROR(INDEX(catGrupo,MATCH(D1503&amp;"|"&amp;E1503,catClave,0))&amp;"",""))</f>
        <v/>
      </c>
      <c r="Z1503" s="52">
        <f>IF(P1503="","",WEEKDAY(B1503,2))</f>
        <v/>
      </c>
      <c r="AA1503" s="52">
        <f>IF(P1503="","",IF(AND(P1503="Gasto",X1503="Variable",D1503&lt;&gt;catTrading,S1503&gt;0,S1503&lt;=Umbral),1,0))</f>
        <v/>
      </c>
      <c r="AB1503" s="52">
        <f>IF(OR(P1503="",Q1503=""),"",IFERROR(IF(INDEX(ctaVinc,MATCH(Q1503,ctaNombre,0))&amp;""&lt;&gt;"",INDEX(ctaVinc,MATCH(Q1503,ctaNombre,0))&amp;"",Q1503),Q1503))</f>
        <v/>
      </c>
      <c r="AC1503" s="52">
        <f>IF(OR(K1503="",AND(P1503&lt;&gt;"Transferencia",P1503&lt;&gt;"Pago tarjeta")),"",IFERROR(IF(INDEX(ctaVinc,MATCH(K1503,ctaNombre,0))&amp;""&lt;&gt;"",INDEX(ctaVinc,MATCH(K1503,ctaNombre,0))&amp;"",K1503),K1503))</f>
        <v/>
      </c>
      <c r="AD1503" s="52">
        <f>IF(AB1503="","",IFERROR(INDEX(ctaTipo,MATCH(AB1503,ctaNombre,0))&amp;"",""))</f>
        <v/>
      </c>
      <c r="AE1503" s="52">
        <f>IF(AC1503="","",IFERROR(INDEX(ctaTipo,MATCH(AC1503,ctaNombre,0))&amp;"",""))</f>
        <v/>
      </c>
      <c r="AF1503" s="53">
        <f>IF(OR(P1503="",AB1503=""),"",IF(OR(P1503="Gasto",P1503="Transferencia",P1503="Pago tarjeta"),-1,1)*IF(IFERROR(INDEX(ctaMoneda,MATCH(AB1503,ctaNombre,0))&amp;"","DOP")="USD",T1503,S1503))</f>
        <v/>
      </c>
      <c r="AG1503" s="53">
        <f>IF(AC1503="","",IF(IFERROR(INDEX(ctaMoneda,MATCH(AC1503,ctaNombre,0))&amp;"","DOP")="USD",T1503,S1503))</f>
        <v/>
      </c>
      <c r="AH1503" s="53">
        <f>IF(P1503="","",IF(AND(AD1503&lt;&gt;"",COUNTIFS(tcTipo,AD1503,tcLiq,"Sí")&gt;0),IF(OR(P1503="Gasto",P1503="Transferencia",P1503="Pago tarjeta"),-1,1)*S1503,0)+IF(AND(AE1503&lt;&gt;"",COUNTIFS(tcTipo,AE1503,tcLiq,"Sí")&gt;0),S1503,0))</f>
        <v/>
      </c>
      <c r="AI1503" s="52">
        <f>IF(OR(L1503="",P1503=""),"",IF(COUNTIFS(L$6:L1503,L1503,P$6:P1503,"?*")=1,MAX(AI$5:AI1502)+1,""))</f>
        <v/>
      </c>
    </row>
    <row r="1504">
      <c r="B1504" s="47" t="n"/>
      <c r="C1504" s="48" t="n"/>
      <c r="D1504" s="48" t="n"/>
      <c r="E1504" s="48" t="n"/>
      <c r="F1504" s="48" t="n"/>
      <c r="G1504" s="49" t="n"/>
      <c r="H1504" s="48" t="n"/>
      <c r="I1504" s="50" t="n"/>
      <c r="J1504" s="48" t="n"/>
      <c r="K1504" s="48" t="n"/>
      <c r="L1504" s="48" t="n"/>
      <c r="M1504" s="48" t="n"/>
      <c r="N1504" s="48" t="n"/>
      <c r="O1504" s="51">
        <f>IF(AND(B1504="",G1504="",C1504="",D1504="",J1504=""),"",IF(B1504="","⚠ Falta fecha",IF(G1504="","⚠ Falta monto",IF(Q1504="","⚠ Falta cuenta",IF(ISNA(MATCH(Q1504,ctaNombre,0)),"⚠ Cuenta no registrada",IF(AND(OR(P1504="Gasto",P1504="Reembolso"),D1504=""),"⚠ Falta categoría",IF(AND(D1504&lt;&gt;"",E1504&lt;&gt;"",ISNA(MATCH(D1504&amp;"|"&amp;E1504,catClave,0))),"⚠ Subcategoría no corresponde",IF(AND(OR(P1504="Transferencia",P1504="Pago tarjeta"),K1504=""),"⚠ Falta cuenta destino",IF(AND(K1504&lt;&gt;"",P1504&lt;&gt;"Transferencia",P1504&lt;&gt;"Pago tarjeta"),"⚠ Destino solo aplica a transferencias",IF(AND(K1504&lt;&gt;"",K1504=Q1504),"⚠ Origen igual a destino",IF(AND(K1504&lt;&gt;"",ISNA(MATCH(K1504,ctaNombre,0))),"⚠ Destino no registrado",IF(AND(P1504="Pago tarjeta",AE1504&lt;&gt;"Tarjeta de crédito"),"⚠ El destino debe ser tarjeta de crédito",IF(AND(P1504="Gasto",E1504="Depósitos y retiros"),"⚠ Usa tipo Transferencia",IF(AND(P1504="Resultado trading",AD1504&lt;&gt;"Cuenta de trading"),"⚠ Usa una cuenta de trading",IF(AND(G1504&lt;=0,P1504&lt;&gt;"Ajuste",P1504&lt;&gt;"Resultado trading"),"⚠ El monto debe ser positivo","✓")))))))))))))))</f>
        <v/>
      </c>
      <c r="P1504" s="52">
        <f>IF(OR(B1504="",G1504=""),"",IF(C1504="","Gasto",C1504))</f>
        <v/>
      </c>
      <c r="Q1504" s="52">
        <f>IF(P1504="","",IF(J1504&lt;&gt;"",J1504,CuentaPred&amp;""))</f>
        <v/>
      </c>
      <c r="R1504" s="52">
        <f>IF(P1504="","",IF(ISNUMBER(I1504),I1504,TasaUSD))</f>
        <v/>
      </c>
      <c r="S1504" s="53">
        <f>IF(P1504="","",IF(H1504="USD",G1504*R1504,G1504))</f>
        <v/>
      </c>
      <c r="T1504" s="53">
        <f>IF(P1504="","",IF(H1504="USD",G1504,IF(R1504&gt;0,G1504/R1504,0)))</f>
        <v/>
      </c>
      <c r="U1504" s="53">
        <f>IF(P1504="","",IF(P1504="Gasto",S1504,IF(P1504="Reembolso",-S1504,0)))</f>
        <v/>
      </c>
      <c r="V1504" s="53">
        <f>IF(P1504="","",IF(P1504="Ingreso",S1504,0))</f>
        <v/>
      </c>
      <c r="W1504" s="53">
        <f>IF(P1504="","",IF(P1504="Resultado trading",S1504,0))</f>
        <v/>
      </c>
      <c r="X1504" s="52">
        <f>IF(OR(P1504="Gasto",P1504="Reembolso"),IF(M1504&lt;&gt;"",M1504,IFERROR(INDEX(catClasif,MATCH(D1504&amp;"|"&amp;E1504,catClave,0))&amp;"","Variable")),"")</f>
        <v/>
      </c>
      <c r="Y1504" s="52">
        <f>IF(P1504="","",IFERROR(INDEX(catGrupo,MATCH(D1504&amp;"|"&amp;E1504,catClave,0))&amp;"",""))</f>
        <v/>
      </c>
      <c r="Z1504" s="52">
        <f>IF(P1504="","",WEEKDAY(B1504,2))</f>
        <v/>
      </c>
      <c r="AA1504" s="52">
        <f>IF(P1504="","",IF(AND(P1504="Gasto",X1504="Variable",D1504&lt;&gt;catTrading,S1504&gt;0,S1504&lt;=Umbral),1,0))</f>
        <v/>
      </c>
      <c r="AB1504" s="52">
        <f>IF(OR(P1504="",Q1504=""),"",IFERROR(IF(INDEX(ctaVinc,MATCH(Q1504,ctaNombre,0))&amp;""&lt;&gt;"",INDEX(ctaVinc,MATCH(Q1504,ctaNombre,0))&amp;"",Q1504),Q1504))</f>
        <v/>
      </c>
      <c r="AC1504" s="52">
        <f>IF(OR(K1504="",AND(P1504&lt;&gt;"Transferencia",P1504&lt;&gt;"Pago tarjeta")),"",IFERROR(IF(INDEX(ctaVinc,MATCH(K1504,ctaNombre,0))&amp;""&lt;&gt;"",INDEX(ctaVinc,MATCH(K1504,ctaNombre,0))&amp;"",K1504),K1504))</f>
        <v/>
      </c>
      <c r="AD1504" s="52">
        <f>IF(AB1504="","",IFERROR(INDEX(ctaTipo,MATCH(AB1504,ctaNombre,0))&amp;"",""))</f>
        <v/>
      </c>
      <c r="AE1504" s="52">
        <f>IF(AC1504="","",IFERROR(INDEX(ctaTipo,MATCH(AC1504,ctaNombre,0))&amp;"",""))</f>
        <v/>
      </c>
      <c r="AF1504" s="53">
        <f>IF(OR(P1504="",AB1504=""),"",IF(OR(P1504="Gasto",P1504="Transferencia",P1504="Pago tarjeta"),-1,1)*IF(IFERROR(INDEX(ctaMoneda,MATCH(AB1504,ctaNombre,0))&amp;"","DOP")="USD",T1504,S1504))</f>
        <v/>
      </c>
      <c r="AG1504" s="53">
        <f>IF(AC1504="","",IF(IFERROR(INDEX(ctaMoneda,MATCH(AC1504,ctaNombre,0))&amp;"","DOP")="USD",T1504,S1504))</f>
        <v/>
      </c>
      <c r="AH1504" s="53">
        <f>IF(P1504="","",IF(AND(AD1504&lt;&gt;"",COUNTIFS(tcTipo,AD1504,tcLiq,"Sí")&gt;0),IF(OR(P1504="Gasto",P1504="Transferencia",P1504="Pago tarjeta"),-1,1)*S1504,0)+IF(AND(AE1504&lt;&gt;"",COUNTIFS(tcTipo,AE1504,tcLiq,"Sí")&gt;0),S1504,0))</f>
        <v/>
      </c>
      <c r="AI1504" s="52">
        <f>IF(OR(L1504="",P1504=""),"",IF(COUNTIFS(L$6:L1504,L1504,P$6:P1504,"?*")=1,MAX(AI$5:AI1503)+1,""))</f>
        <v/>
      </c>
    </row>
    <row r="1505">
      <c r="B1505" s="47" t="n"/>
      <c r="C1505" s="48" t="n"/>
      <c r="D1505" s="48" t="n"/>
      <c r="E1505" s="48" t="n"/>
      <c r="F1505" s="48" t="n"/>
      <c r="G1505" s="49" t="n"/>
      <c r="H1505" s="48" t="n"/>
      <c r="I1505" s="50" t="n"/>
      <c r="J1505" s="48" t="n"/>
      <c r="K1505" s="48" t="n"/>
      <c r="L1505" s="48" t="n"/>
      <c r="M1505" s="48" t="n"/>
      <c r="N1505" s="48" t="n"/>
      <c r="O1505" s="51">
        <f>IF(AND(B1505="",G1505="",C1505="",D1505="",J1505=""),"",IF(B1505="","⚠ Falta fecha",IF(G1505="","⚠ Falta monto",IF(Q1505="","⚠ Falta cuenta",IF(ISNA(MATCH(Q1505,ctaNombre,0)),"⚠ Cuenta no registrada",IF(AND(OR(P1505="Gasto",P1505="Reembolso"),D1505=""),"⚠ Falta categoría",IF(AND(D1505&lt;&gt;"",E1505&lt;&gt;"",ISNA(MATCH(D1505&amp;"|"&amp;E1505,catClave,0))),"⚠ Subcategoría no corresponde",IF(AND(OR(P1505="Transferencia",P1505="Pago tarjeta"),K1505=""),"⚠ Falta cuenta destino",IF(AND(K1505&lt;&gt;"",P1505&lt;&gt;"Transferencia",P1505&lt;&gt;"Pago tarjeta"),"⚠ Destino solo aplica a transferencias",IF(AND(K1505&lt;&gt;"",K1505=Q1505),"⚠ Origen igual a destino",IF(AND(K1505&lt;&gt;"",ISNA(MATCH(K1505,ctaNombre,0))),"⚠ Destino no registrado",IF(AND(P1505="Pago tarjeta",AE1505&lt;&gt;"Tarjeta de crédito"),"⚠ El destino debe ser tarjeta de crédito",IF(AND(P1505="Gasto",E1505="Depósitos y retiros"),"⚠ Usa tipo Transferencia",IF(AND(P1505="Resultado trading",AD1505&lt;&gt;"Cuenta de trading"),"⚠ Usa una cuenta de trading",IF(AND(G1505&lt;=0,P1505&lt;&gt;"Ajuste",P1505&lt;&gt;"Resultado trading"),"⚠ El monto debe ser positivo","✓")))))))))))))))</f>
        <v/>
      </c>
      <c r="P1505" s="52">
        <f>IF(OR(B1505="",G1505=""),"",IF(C1505="","Gasto",C1505))</f>
        <v/>
      </c>
      <c r="Q1505" s="52">
        <f>IF(P1505="","",IF(J1505&lt;&gt;"",J1505,CuentaPred&amp;""))</f>
        <v/>
      </c>
      <c r="R1505" s="52">
        <f>IF(P1505="","",IF(ISNUMBER(I1505),I1505,TasaUSD))</f>
        <v/>
      </c>
      <c r="S1505" s="53">
        <f>IF(P1505="","",IF(H1505="USD",G1505*R1505,G1505))</f>
        <v/>
      </c>
      <c r="T1505" s="53">
        <f>IF(P1505="","",IF(H1505="USD",G1505,IF(R1505&gt;0,G1505/R1505,0)))</f>
        <v/>
      </c>
      <c r="U1505" s="53">
        <f>IF(P1505="","",IF(P1505="Gasto",S1505,IF(P1505="Reembolso",-S1505,0)))</f>
        <v/>
      </c>
      <c r="V1505" s="53">
        <f>IF(P1505="","",IF(P1505="Ingreso",S1505,0))</f>
        <v/>
      </c>
      <c r="W1505" s="53">
        <f>IF(P1505="","",IF(P1505="Resultado trading",S1505,0))</f>
        <v/>
      </c>
      <c r="X1505" s="52">
        <f>IF(OR(P1505="Gasto",P1505="Reembolso"),IF(M1505&lt;&gt;"",M1505,IFERROR(INDEX(catClasif,MATCH(D1505&amp;"|"&amp;E1505,catClave,0))&amp;"","Variable")),"")</f>
        <v/>
      </c>
      <c r="Y1505" s="52">
        <f>IF(P1505="","",IFERROR(INDEX(catGrupo,MATCH(D1505&amp;"|"&amp;E1505,catClave,0))&amp;"",""))</f>
        <v/>
      </c>
      <c r="Z1505" s="52">
        <f>IF(P1505="","",WEEKDAY(B1505,2))</f>
        <v/>
      </c>
      <c r="AA1505" s="52">
        <f>IF(P1505="","",IF(AND(P1505="Gasto",X1505="Variable",D1505&lt;&gt;catTrading,S1505&gt;0,S1505&lt;=Umbral),1,0))</f>
        <v/>
      </c>
      <c r="AB1505" s="52">
        <f>IF(OR(P1505="",Q1505=""),"",IFERROR(IF(INDEX(ctaVinc,MATCH(Q1505,ctaNombre,0))&amp;""&lt;&gt;"",INDEX(ctaVinc,MATCH(Q1505,ctaNombre,0))&amp;"",Q1505),Q1505))</f>
        <v/>
      </c>
      <c r="AC1505" s="52">
        <f>IF(OR(K1505="",AND(P1505&lt;&gt;"Transferencia",P1505&lt;&gt;"Pago tarjeta")),"",IFERROR(IF(INDEX(ctaVinc,MATCH(K1505,ctaNombre,0))&amp;""&lt;&gt;"",INDEX(ctaVinc,MATCH(K1505,ctaNombre,0))&amp;"",K1505),K1505))</f>
        <v/>
      </c>
      <c r="AD1505" s="52">
        <f>IF(AB1505="","",IFERROR(INDEX(ctaTipo,MATCH(AB1505,ctaNombre,0))&amp;"",""))</f>
        <v/>
      </c>
      <c r="AE1505" s="52">
        <f>IF(AC1505="","",IFERROR(INDEX(ctaTipo,MATCH(AC1505,ctaNombre,0))&amp;"",""))</f>
        <v/>
      </c>
      <c r="AF1505" s="53">
        <f>IF(OR(P1505="",AB1505=""),"",IF(OR(P1505="Gasto",P1505="Transferencia",P1505="Pago tarjeta"),-1,1)*IF(IFERROR(INDEX(ctaMoneda,MATCH(AB1505,ctaNombre,0))&amp;"","DOP")="USD",T1505,S1505))</f>
        <v/>
      </c>
      <c r="AG1505" s="53">
        <f>IF(AC1505="","",IF(IFERROR(INDEX(ctaMoneda,MATCH(AC1505,ctaNombre,0))&amp;"","DOP")="USD",T1505,S1505))</f>
        <v/>
      </c>
      <c r="AH1505" s="53">
        <f>IF(P1505="","",IF(AND(AD1505&lt;&gt;"",COUNTIFS(tcTipo,AD1505,tcLiq,"Sí")&gt;0),IF(OR(P1505="Gasto",P1505="Transferencia",P1505="Pago tarjeta"),-1,1)*S1505,0)+IF(AND(AE1505&lt;&gt;"",COUNTIFS(tcTipo,AE1505,tcLiq,"Sí")&gt;0),S1505,0))</f>
        <v/>
      </c>
      <c r="AI1505" s="52">
        <f>IF(OR(L1505="",P1505=""),"",IF(COUNTIFS(L$6:L1505,L1505,P$6:P1505,"?*")=1,MAX(AI$5:AI1504)+1,""))</f>
        <v/>
      </c>
    </row>
    <row r="1506">
      <c r="B1506" s="47" t="n"/>
      <c r="C1506" s="48" t="n"/>
      <c r="D1506" s="48" t="n"/>
      <c r="E1506" s="48" t="n"/>
      <c r="F1506" s="48" t="n"/>
      <c r="G1506" s="49" t="n"/>
      <c r="H1506" s="48" t="n"/>
      <c r="I1506" s="50" t="n"/>
      <c r="J1506" s="48" t="n"/>
      <c r="K1506" s="48" t="n"/>
      <c r="L1506" s="48" t="n"/>
      <c r="M1506" s="48" t="n"/>
      <c r="N1506" s="48" t="n"/>
      <c r="O1506" s="51">
        <f>IF(AND(B1506="",G1506="",C1506="",D1506="",J1506=""),"",IF(B1506="","⚠ Falta fecha",IF(G1506="","⚠ Falta monto",IF(Q1506="","⚠ Falta cuenta",IF(ISNA(MATCH(Q1506,ctaNombre,0)),"⚠ Cuenta no registrada",IF(AND(OR(P1506="Gasto",P1506="Reembolso"),D1506=""),"⚠ Falta categoría",IF(AND(D1506&lt;&gt;"",E1506&lt;&gt;"",ISNA(MATCH(D1506&amp;"|"&amp;E1506,catClave,0))),"⚠ Subcategoría no corresponde",IF(AND(OR(P1506="Transferencia",P1506="Pago tarjeta"),K1506=""),"⚠ Falta cuenta destino",IF(AND(K1506&lt;&gt;"",P1506&lt;&gt;"Transferencia",P1506&lt;&gt;"Pago tarjeta"),"⚠ Destino solo aplica a transferencias",IF(AND(K1506&lt;&gt;"",K1506=Q1506),"⚠ Origen igual a destino",IF(AND(K1506&lt;&gt;"",ISNA(MATCH(K1506,ctaNombre,0))),"⚠ Destino no registrado",IF(AND(P1506="Pago tarjeta",AE1506&lt;&gt;"Tarjeta de crédito"),"⚠ El destino debe ser tarjeta de crédito",IF(AND(P1506="Gasto",E1506="Depósitos y retiros"),"⚠ Usa tipo Transferencia",IF(AND(P1506="Resultado trading",AD1506&lt;&gt;"Cuenta de trading"),"⚠ Usa una cuenta de trading",IF(AND(G1506&lt;=0,P1506&lt;&gt;"Ajuste",P1506&lt;&gt;"Resultado trading"),"⚠ El monto debe ser positivo","✓")))))))))))))))</f>
        <v/>
      </c>
      <c r="P1506" s="52">
        <f>IF(OR(B1506="",G1506=""),"",IF(C1506="","Gasto",C1506))</f>
        <v/>
      </c>
      <c r="Q1506" s="52">
        <f>IF(P1506="","",IF(J1506&lt;&gt;"",J1506,CuentaPred&amp;""))</f>
        <v/>
      </c>
      <c r="R1506" s="52">
        <f>IF(P1506="","",IF(ISNUMBER(I1506),I1506,TasaUSD))</f>
        <v/>
      </c>
      <c r="S1506" s="53">
        <f>IF(P1506="","",IF(H1506="USD",G1506*R1506,G1506))</f>
        <v/>
      </c>
      <c r="T1506" s="53">
        <f>IF(P1506="","",IF(H1506="USD",G1506,IF(R1506&gt;0,G1506/R1506,0)))</f>
        <v/>
      </c>
      <c r="U1506" s="53">
        <f>IF(P1506="","",IF(P1506="Gasto",S1506,IF(P1506="Reembolso",-S1506,0)))</f>
        <v/>
      </c>
      <c r="V1506" s="53">
        <f>IF(P1506="","",IF(P1506="Ingreso",S1506,0))</f>
        <v/>
      </c>
      <c r="W1506" s="53">
        <f>IF(P1506="","",IF(P1506="Resultado trading",S1506,0))</f>
        <v/>
      </c>
      <c r="X1506" s="52">
        <f>IF(OR(P1506="Gasto",P1506="Reembolso"),IF(M1506&lt;&gt;"",M1506,IFERROR(INDEX(catClasif,MATCH(D1506&amp;"|"&amp;E1506,catClave,0))&amp;"","Variable")),"")</f>
        <v/>
      </c>
      <c r="Y1506" s="52">
        <f>IF(P1506="","",IFERROR(INDEX(catGrupo,MATCH(D1506&amp;"|"&amp;E1506,catClave,0))&amp;"",""))</f>
        <v/>
      </c>
      <c r="Z1506" s="52">
        <f>IF(P1506="","",WEEKDAY(B1506,2))</f>
        <v/>
      </c>
      <c r="AA1506" s="52">
        <f>IF(P1506="","",IF(AND(P1506="Gasto",X1506="Variable",D1506&lt;&gt;catTrading,S1506&gt;0,S1506&lt;=Umbral),1,0))</f>
        <v/>
      </c>
      <c r="AB1506" s="52">
        <f>IF(OR(P1506="",Q1506=""),"",IFERROR(IF(INDEX(ctaVinc,MATCH(Q1506,ctaNombre,0))&amp;""&lt;&gt;"",INDEX(ctaVinc,MATCH(Q1506,ctaNombre,0))&amp;"",Q1506),Q1506))</f>
        <v/>
      </c>
      <c r="AC1506" s="52">
        <f>IF(OR(K1506="",AND(P1506&lt;&gt;"Transferencia",P1506&lt;&gt;"Pago tarjeta")),"",IFERROR(IF(INDEX(ctaVinc,MATCH(K1506,ctaNombre,0))&amp;""&lt;&gt;"",INDEX(ctaVinc,MATCH(K1506,ctaNombre,0))&amp;"",K1506),K1506))</f>
        <v/>
      </c>
      <c r="AD1506" s="52">
        <f>IF(AB1506="","",IFERROR(INDEX(ctaTipo,MATCH(AB1506,ctaNombre,0))&amp;"",""))</f>
        <v/>
      </c>
      <c r="AE1506" s="52">
        <f>IF(AC1506="","",IFERROR(INDEX(ctaTipo,MATCH(AC1506,ctaNombre,0))&amp;"",""))</f>
        <v/>
      </c>
      <c r="AF1506" s="53">
        <f>IF(OR(P1506="",AB1506=""),"",IF(OR(P1506="Gasto",P1506="Transferencia",P1506="Pago tarjeta"),-1,1)*IF(IFERROR(INDEX(ctaMoneda,MATCH(AB1506,ctaNombre,0))&amp;"","DOP")="USD",T1506,S1506))</f>
        <v/>
      </c>
      <c r="AG1506" s="53">
        <f>IF(AC1506="","",IF(IFERROR(INDEX(ctaMoneda,MATCH(AC1506,ctaNombre,0))&amp;"","DOP")="USD",T1506,S1506))</f>
        <v/>
      </c>
      <c r="AH1506" s="53">
        <f>IF(P1506="","",IF(AND(AD1506&lt;&gt;"",COUNTIFS(tcTipo,AD1506,tcLiq,"Sí")&gt;0),IF(OR(P1506="Gasto",P1506="Transferencia",P1506="Pago tarjeta"),-1,1)*S1506,0)+IF(AND(AE1506&lt;&gt;"",COUNTIFS(tcTipo,AE1506,tcLiq,"Sí")&gt;0),S1506,0))</f>
        <v/>
      </c>
      <c r="AI1506" s="52">
        <f>IF(OR(L1506="",P1506=""),"",IF(COUNTIFS(L$6:L1506,L1506,P$6:P1506,"?*")=1,MAX(AI$5:AI1505)+1,""))</f>
        <v/>
      </c>
    </row>
    <row r="1507">
      <c r="B1507" s="47" t="n"/>
      <c r="C1507" s="48" t="n"/>
      <c r="D1507" s="48" t="n"/>
      <c r="E1507" s="48" t="n"/>
      <c r="F1507" s="48" t="n"/>
      <c r="G1507" s="49" t="n"/>
      <c r="H1507" s="48" t="n"/>
      <c r="I1507" s="50" t="n"/>
      <c r="J1507" s="48" t="n"/>
      <c r="K1507" s="48" t="n"/>
      <c r="L1507" s="48" t="n"/>
      <c r="M1507" s="48" t="n"/>
      <c r="N1507" s="48" t="n"/>
      <c r="O1507" s="51">
        <f>IF(AND(B1507="",G1507="",C1507="",D1507="",J1507=""),"",IF(B1507="","⚠ Falta fecha",IF(G1507="","⚠ Falta monto",IF(Q1507="","⚠ Falta cuenta",IF(ISNA(MATCH(Q1507,ctaNombre,0)),"⚠ Cuenta no registrada",IF(AND(OR(P1507="Gasto",P1507="Reembolso"),D1507=""),"⚠ Falta categoría",IF(AND(D1507&lt;&gt;"",E1507&lt;&gt;"",ISNA(MATCH(D1507&amp;"|"&amp;E1507,catClave,0))),"⚠ Subcategoría no corresponde",IF(AND(OR(P1507="Transferencia",P1507="Pago tarjeta"),K1507=""),"⚠ Falta cuenta destino",IF(AND(K1507&lt;&gt;"",P1507&lt;&gt;"Transferencia",P1507&lt;&gt;"Pago tarjeta"),"⚠ Destino solo aplica a transferencias",IF(AND(K1507&lt;&gt;"",K1507=Q1507),"⚠ Origen igual a destino",IF(AND(K1507&lt;&gt;"",ISNA(MATCH(K1507,ctaNombre,0))),"⚠ Destino no registrado",IF(AND(P1507="Pago tarjeta",AE1507&lt;&gt;"Tarjeta de crédito"),"⚠ El destino debe ser tarjeta de crédito",IF(AND(P1507="Gasto",E1507="Depósitos y retiros"),"⚠ Usa tipo Transferencia",IF(AND(P1507="Resultado trading",AD1507&lt;&gt;"Cuenta de trading"),"⚠ Usa una cuenta de trading",IF(AND(G1507&lt;=0,P1507&lt;&gt;"Ajuste",P1507&lt;&gt;"Resultado trading"),"⚠ El monto debe ser positivo","✓")))))))))))))))</f>
        <v/>
      </c>
      <c r="P1507" s="52">
        <f>IF(OR(B1507="",G1507=""),"",IF(C1507="","Gasto",C1507))</f>
        <v/>
      </c>
      <c r="Q1507" s="52">
        <f>IF(P1507="","",IF(J1507&lt;&gt;"",J1507,CuentaPred&amp;""))</f>
        <v/>
      </c>
      <c r="R1507" s="52">
        <f>IF(P1507="","",IF(ISNUMBER(I1507),I1507,TasaUSD))</f>
        <v/>
      </c>
      <c r="S1507" s="53">
        <f>IF(P1507="","",IF(H1507="USD",G1507*R1507,G1507))</f>
        <v/>
      </c>
      <c r="T1507" s="53">
        <f>IF(P1507="","",IF(H1507="USD",G1507,IF(R1507&gt;0,G1507/R1507,0)))</f>
        <v/>
      </c>
      <c r="U1507" s="53">
        <f>IF(P1507="","",IF(P1507="Gasto",S1507,IF(P1507="Reembolso",-S1507,0)))</f>
        <v/>
      </c>
      <c r="V1507" s="53">
        <f>IF(P1507="","",IF(P1507="Ingreso",S1507,0))</f>
        <v/>
      </c>
      <c r="W1507" s="53">
        <f>IF(P1507="","",IF(P1507="Resultado trading",S1507,0))</f>
        <v/>
      </c>
      <c r="X1507" s="52">
        <f>IF(OR(P1507="Gasto",P1507="Reembolso"),IF(M1507&lt;&gt;"",M1507,IFERROR(INDEX(catClasif,MATCH(D1507&amp;"|"&amp;E1507,catClave,0))&amp;"","Variable")),"")</f>
        <v/>
      </c>
      <c r="Y1507" s="52">
        <f>IF(P1507="","",IFERROR(INDEX(catGrupo,MATCH(D1507&amp;"|"&amp;E1507,catClave,0))&amp;"",""))</f>
        <v/>
      </c>
      <c r="Z1507" s="52">
        <f>IF(P1507="","",WEEKDAY(B1507,2))</f>
        <v/>
      </c>
      <c r="AA1507" s="52">
        <f>IF(P1507="","",IF(AND(P1507="Gasto",X1507="Variable",D1507&lt;&gt;catTrading,S1507&gt;0,S1507&lt;=Umbral),1,0))</f>
        <v/>
      </c>
      <c r="AB1507" s="52">
        <f>IF(OR(P1507="",Q1507=""),"",IFERROR(IF(INDEX(ctaVinc,MATCH(Q1507,ctaNombre,0))&amp;""&lt;&gt;"",INDEX(ctaVinc,MATCH(Q1507,ctaNombre,0))&amp;"",Q1507),Q1507))</f>
        <v/>
      </c>
      <c r="AC1507" s="52">
        <f>IF(OR(K1507="",AND(P1507&lt;&gt;"Transferencia",P1507&lt;&gt;"Pago tarjeta")),"",IFERROR(IF(INDEX(ctaVinc,MATCH(K1507,ctaNombre,0))&amp;""&lt;&gt;"",INDEX(ctaVinc,MATCH(K1507,ctaNombre,0))&amp;"",K1507),K1507))</f>
        <v/>
      </c>
      <c r="AD1507" s="52">
        <f>IF(AB1507="","",IFERROR(INDEX(ctaTipo,MATCH(AB1507,ctaNombre,0))&amp;"",""))</f>
        <v/>
      </c>
      <c r="AE1507" s="52">
        <f>IF(AC1507="","",IFERROR(INDEX(ctaTipo,MATCH(AC1507,ctaNombre,0))&amp;"",""))</f>
        <v/>
      </c>
      <c r="AF1507" s="53">
        <f>IF(OR(P1507="",AB1507=""),"",IF(OR(P1507="Gasto",P1507="Transferencia",P1507="Pago tarjeta"),-1,1)*IF(IFERROR(INDEX(ctaMoneda,MATCH(AB1507,ctaNombre,0))&amp;"","DOP")="USD",T1507,S1507))</f>
        <v/>
      </c>
      <c r="AG1507" s="53">
        <f>IF(AC1507="","",IF(IFERROR(INDEX(ctaMoneda,MATCH(AC1507,ctaNombre,0))&amp;"","DOP")="USD",T1507,S1507))</f>
        <v/>
      </c>
      <c r="AH1507" s="53">
        <f>IF(P1507="","",IF(AND(AD1507&lt;&gt;"",COUNTIFS(tcTipo,AD1507,tcLiq,"Sí")&gt;0),IF(OR(P1507="Gasto",P1507="Transferencia",P1507="Pago tarjeta"),-1,1)*S1507,0)+IF(AND(AE1507&lt;&gt;"",COUNTIFS(tcTipo,AE1507,tcLiq,"Sí")&gt;0),S1507,0))</f>
        <v/>
      </c>
      <c r="AI1507" s="52">
        <f>IF(OR(L1507="",P1507=""),"",IF(COUNTIFS(L$6:L1507,L1507,P$6:P1507,"?*")=1,MAX(AI$5:AI1506)+1,""))</f>
        <v/>
      </c>
    </row>
    <row r="1508">
      <c r="B1508" s="47" t="n"/>
      <c r="C1508" s="48" t="n"/>
      <c r="D1508" s="48" t="n"/>
      <c r="E1508" s="48" t="n"/>
      <c r="F1508" s="48" t="n"/>
      <c r="G1508" s="49" t="n"/>
      <c r="H1508" s="48" t="n"/>
      <c r="I1508" s="50" t="n"/>
      <c r="J1508" s="48" t="n"/>
      <c r="K1508" s="48" t="n"/>
      <c r="L1508" s="48" t="n"/>
      <c r="M1508" s="48" t="n"/>
      <c r="N1508" s="48" t="n"/>
      <c r="O1508" s="51">
        <f>IF(AND(B1508="",G1508="",C1508="",D1508="",J1508=""),"",IF(B1508="","⚠ Falta fecha",IF(G1508="","⚠ Falta monto",IF(Q1508="","⚠ Falta cuenta",IF(ISNA(MATCH(Q1508,ctaNombre,0)),"⚠ Cuenta no registrada",IF(AND(OR(P1508="Gasto",P1508="Reembolso"),D1508=""),"⚠ Falta categoría",IF(AND(D1508&lt;&gt;"",E1508&lt;&gt;"",ISNA(MATCH(D1508&amp;"|"&amp;E1508,catClave,0))),"⚠ Subcategoría no corresponde",IF(AND(OR(P1508="Transferencia",P1508="Pago tarjeta"),K1508=""),"⚠ Falta cuenta destino",IF(AND(K1508&lt;&gt;"",P1508&lt;&gt;"Transferencia",P1508&lt;&gt;"Pago tarjeta"),"⚠ Destino solo aplica a transferencias",IF(AND(K1508&lt;&gt;"",K1508=Q1508),"⚠ Origen igual a destino",IF(AND(K1508&lt;&gt;"",ISNA(MATCH(K1508,ctaNombre,0))),"⚠ Destino no registrado",IF(AND(P1508="Pago tarjeta",AE1508&lt;&gt;"Tarjeta de crédito"),"⚠ El destino debe ser tarjeta de crédito",IF(AND(P1508="Gasto",E1508="Depósitos y retiros"),"⚠ Usa tipo Transferencia",IF(AND(P1508="Resultado trading",AD1508&lt;&gt;"Cuenta de trading"),"⚠ Usa una cuenta de trading",IF(AND(G1508&lt;=0,P1508&lt;&gt;"Ajuste",P1508&lt;&gt;"Resultado trading"),"⚠ El monto debe ser positivo","✓")))))))))))))))</f>
        <v/>
      </c>
      <c r="P1508" s="52">
        <f>IF(OR(B1508="",G1508=""),"",IF(C1508="","Gasto",C1508))</f>
        <v/>
      </c>
      <c r="Q1508" s="52">
        <f>IF(P1508="","",IF(J1508&lt;&gt;"",J1508,CuentaPred&amp;""))</f>
        <v/>
      </c>
      <c r="R1508" s="52">
        <f>IF(P1508="","",IF(ISNUMBER(I1508),I1508,TasaUSD))</f>
        <v/>
      </c>
      <c r="S1508" s="53">
        <f>IF(P1508="","",IF(H1508="USD",G1508*R1508,G1508))</f>
        <v/>
      </c>
      <c r="T1508" s="53">
        <f>IF(P1508="","",IF(H1508="USD",G1508,IF(R1508&gt;0,G1508/R1508,0)))</f>
        <v/>
      </c>
      <c r="U1508" s="53">
        <f>IF(P1508="","",IF(P1508="Gasto",S1508,IF(P1508="Reembolso",-S1508,0)))</f>
        <v/>
      </c>
      <c r="V1508" s="53">
        <f>IF(P1508="","",IF(P1508="Ingreso",S1508,0))</f>
        <v/>
      </c>
      <c r="W1508" s="53">
        <f>IF(P1508="","",IF(P1508="Resultado trading",S1508,0))</f>
        <v/>
      </c>
      <c r="X1508" s="52">
        <f>IF(OR(P1508="Gasto",P1508="Reembolso"),IF(M1508&lt;&gt;"",M1508,IFERROR(INDEX(catClasif,MATCH(D1508&amp;"|"&amp;E1508,catClave,0))&amp;"","Variable")),"")</f>
        <v/>
      </c>
      <c r="Y1508" s="52">
        <f>IF(P1508="","",IFERROR(INDEX(catGrupo,MATCH(D1508&amp;"|"&amp;E1508,catClave,0))&amp;"",""))</f>
        <v/>
      </c>
      <c r="Z1508" s="52">
        <f>IF(P1508="","",WEEKDAY(B1508,2))</f>
        <v/>
      </c>
      <c r="AA1508" s="52">
        <f>IF(P1508="","",IF(AND(P1508="Gasto",X1508="Variable",D1508&lt;&gt;catTrading,S1508&gt;0,S1508&lt;=Umbral),1,0))</f>
        <v/>
      </c>
      <c r="AB1508" s="52">
        <f>IF(OR(P1508="",Q1508=""),"",IFERROR(IF(INDEX(ctaVinc,MATCH(Q1508,ctaNombre,0))&amp;""&lt;&gt;"",INDEX(ctaVinc,MATCH(Q1508,ctaNombre,0))&amp;"",Q1508),Q1508))</f>
        <v/>
      </c>
      <c r="AC1508" s="52">
        <f>IF(OR(K1508="",AND(P1508&lt;&gt;"Transferencia",P1508&lt;&gt;"Pago tarjeta")),"",IFERROR(IF(INDEX(ctaVinc,MATCH(K1508,ctaNombre,0))&amp;""&lt;&gt;"",INDEX(ctaVinc,MATCH(K1508,ctaNombre,0))&amp;"",K1508),K1508))</f>
        <v/>
      </c>
      <c r="AD1508" s="52">
        <f>IF(AB1508="","",IFERROR(INDEX(ctaTipo,MATCH(AB1508,ctaNombre,0))&amp;"",""))</f>
        <v/>
      </c>
      <c r="AE1508" s="52">
        <f>IF(AC1508="","",IFERROR(INDEX(ctaTipo,MATCH(AC1508,ctaNombre,0))&amp;"",""))</f>
        <v/>
      </c>
      <c r="AF1508" s="53">
        <f>IF(OR(P1508="",AB1508=""),"",IF(OR(P1508="Gasto",P1508="Transferencia",P1508="Pago tarjeta"),-1,1)*IF(IFERROR(INDEX(ctaMoneda,MATCH(AB1508,ctaNombre,0))&amp;"","DOP")="USD",T1508,S1508))</f>
        <v/>
      </c>
      <c r="AG1508" s="53">
        <f>IF(AC1508="","",IF(IFERROR(INDEX(ctaMoneda,MATCH(AC1508,ctaNombre,0))&amp;"","DOP")="USD",T1508,S1508))</f>
        <v/>
      </c>
      <c r="AH1508" s="53">
        <f>IF(P1508="","",IF(AND(AD1508&lt;&gt;"",COUNTIFS(tcTipo,AD1508,tcLiq,"Sí")&gt;0),IF(OR(P1508="Gasto",P1508="Transferencia",P1508="Pago tarjeta"),-1,1)*S1508,0)+IF(AND(AE1508&lt;&gt;"",COUNTIFS(tcTipo,AE1508,tcLiq,"Sí")&gt;0),S1508,0))</f>
        <v/>
      </c>
      <c r="AI1508" s="52">
        <f>IF(OR(L1508="",P1508=""),"",IF(COUNTIFS(L$6:L1508,L1508,P$6:P1508,"?*")=1,MAX(AI$5:AI1507)+1,""))</f>
        <v/>
      </c>
    </row>
    <row r="1509">
      <c r="B1509" s="47" t="n"/>
      <c r="C1509" s="48" t="n"/>
      <c r="D1509" s="48" t="n"/>
      <c r="E1509" s="48" t="n"/>
      <c r="F1509" s="48" t="n"/>
      <c r="G1509" s="49" t="n"/>
      <c r="H1509" s="48" t="n"/>
      <c r="I1509" s="50" t="n"/>
      <c r="J1509" s="48" t="n"/>
      <c r="K1509" s="48" t="n"/>
      <c r="L1509" s="48" t="n"/>
      <c r="M1509" s="48" t="n"/>
      <c r="N1509" s="48" t="n"/>
      <c r="O1509" s="51">
        <f>IF(AND(B1509="",G1509="",C1509="",D1509="",J1509=""),"",IF(B1509="","⚠ Falta fecha",IF(G1509="","⚠ Falta monto",IF(Q1509="","⚠ Falta cuenta",IF(ISNA(MATCH(Q1509,ctaNombre,0)),"⚠ Cuenta no registrada",IF(AND(OR(P1509="Gasto",P1509="Reembolso"),D1509=""),"⚠ Falta categoría",IF(AND(D1509&lt;&gt;"",E1509&lt;&gt;"",ISNA(MATCH(D1509&amp;"|"&amp;E1509,catClave,0))),"⚠ Subcategoría no corresponde",IF(AND(OR(P1509="Transferencia",P1509="Pago tarjeta"),K1509=""),"⚠ Falta cuenta destino",IF(AND(K1509&lt;&gt;"",P1509&lt;&gt;"Transferencia",P1509&lt;&gt;"Pago tarjeta"),"⚠ Destino solo aplica a transferencias",IF(AND(K1509&lt;&gt;"",K1509=Q1509),"⚠ Origen igual a destino",IF(AND(K1509&lt;&gt;"",ISNA(MATCH(K1509,ctaNombre,0))),"⚠ Destino no registrado",IF(AND(P1509="Pago tarjeta",AE1509&lt;&gt;"Tarjeta de crédito"),"⚠ El destino debe ser tarjeta de crédito",IF(AND(P1509="Gasto",E1509="Depósitos y retiros"),"⚠ Usa tipo Transferencia",IF(AND(P1509="Resultado trading",AD1509&lt;&gt;"Cuenta de trading"),"⚠ Usa una cuenta de trading",IF(AND(G1509&lt;=0,P1509&lt;&gt;"Ajuste",P1509&lt;&gt;"Resultado trading"),"⚠ El monto debe ser positivo","✓")))))))))))))))</f>
        <v/>
      </c>
      <c r="P1509" s="52">
        <f>IF(OR(B1509="",G1509=""),"",IF(C1509="","Gasto",C1509))</f>
        <v/>
      </c>
      <c r="Q1509" s="52">
        <f>IF(P1509="","",IF(J1509&lt;&gt;"",J1509,CuentaPred&amp;""))</f>
        <v/>
      </c>
      <c r="R1509" s="52">
        <f>IF(P1509="","",IF(ISNUMBER(I1509),I1509,TasaUSD))</f>
        <v/>
      </c>
      <c r="S1509" s="53">
        <f>IF(P1509="","",IF(H1509="USD",G1509*R1509,G1509))</f>
        <v/>
      </c>
      <c r="T1509" s="53">
        <f>IF(P1509="","",IF(H1509="USD",G1509,IF(R1509&gt;0,G1509/R1509,0)))</f>
        <v/>
      </c>
      <c r="U1509" s="53">
        <f>IF(P1509="","",IF(P1509="Gasto",S1509,IF(P1509="Reembolso",-S1509,0)))</f>
        <v/>
      </c>
      <c r="V1509" s="53">
        <f>IF(P1509="","",IF(P1509="Ingreso",S1509,0))</f>
        <v/>
      </c>
      <c r="W1509" s="53">
        <f>IF(P1509="","",IF(P1509="Resultado trading",S1509,0))</f>
        <v/>
      </c>
      <c r="X1509" s="52">
        <f>IF(OR(P1509="Gasto",P1509="Reembolso"),IF(M1509&lt;&gt;"",M1509,IFERROR(INDEX(catClasif,MATCH(D1509&amp;"|"&amp;E1509,catClave,0))&amp;"","Variable")),"")</f>
        <v/>
      </c>
      <c r="Y1509" s="52">
        <f>IF(P1509="","",IFERROR(INDEX(catGrupo,MATCH(D1509&amp;"|"&amp;E1509,catClave,0))&amp;"",""))</f>
        <v/>
      </c>
      <c r="Z1509" s="52">
        <f>IF(P1509="","",WEEKDAY(B1509,2))</f>
        <v/>
      </c>
      <c r="AA1509" s="52">
        <f>IF(P1509="","",IF(AND(P1509="Gasto",X1509="Variable",D1509&lt;&gt;catTrading,S1509&gt;0,S1509&lt;=Umbral),1,0))</f>
        <v/>
      </c>
      <c r="AB1509" s="52">
        <f>IF(OR(P1509="",Q1509=""),"",IFERROR(IF(INDEX(ctaVinc,MATCH(Q1509,ctaNombre,0))&amp;""&lt;&gt;"",INDEX(ctaVinc,MATCH(Q1509,ctaNombre,0))&amp;"",Q1509),Q1509))</f>
        <v/>
      </c>
      <c r="AC1509" s="52">
        <f>IF(OR(K1509="",AND(P1509&lt;&gt;"Transferencia",P1509&lt;&gt;"Pago tarjeta")),"",IFERROR(IF(INDEX(ctaVinc,MATCH(K1509,ctaNombre,0))&amp;""&lt;&gt;"",INDEX(ctaVinc,MATCH(K1509,ctaNombre,0))&amp;"",K1509),K1509))</f>
        <v/>
      </c>
      <c r="AD1509" s="52">
        <f>IF(AB1509="","",IFERROR(INDEX(ctaTipo,MATCH(AB1509,ctaNombre,0))&amp;"",""))</f>
        <v/>
      </c>
      <c r="AE1509" s="52">
        <f>IF(AC1509="","",IFERROR(INDEX(ctaTipo,MATCH(AC1509,ctaNombre,0))&amp;"",""))</f>
        <v/>
      </c>
      <c r="AF1509" s="53">
        <f>IF(OR(P1509="",AB1509=""),"",IF(OR(P1509="Gasto",P1509="Transferencia",P1509="Pago tarjeta"),-1,1)*IF(IFERROR(INDEX(ctaMoneda,MATCH(AB1509,ctaNombre,0))&amp;"","DOP")="USD",T1509,S1509))</f>
        <v/>
      </c>
      <c r="AG1509" s="53">
        <f>IF(AC1509="","",IF(IFERROR(INDEX(ctaMoneda,MATCH(AC1509,ctaNombre,0))&amp;"","DOP")="USD",T1509,S1509))</f>
        <v/>
      </c>
      <c r="AH1509" s="53">
        <f>IF(P1509="","",IF(AND(AD1509&lt;&gt;"",COUNTIFS(tcTipo,AD1509,tcLiq,"Sí")&gt;0),IF(OR(P1509="Gasto",P1509="Transferencia",P1509="Pago tarjeta"),-1,1)*S1509,0)+IF(AND(AE1509&lt;&gt;"",COUNTIFS(tcTipo,AE1509,tcLiq,"Sí")&gt;0),S1509,0))</f>
        <v/>
      </c>
      <c r="AI1509" s="52">
        <f>IF(OR(L1509="",P1509=""),"",IF(COUNTIFS(L$6:L1509,L1509,P$6:P1509,"?*")=1,MAX(AI$5:AI1508)+1,""))</f>
        <v/>
      </c>
    </row>
    <row r="1510">
      <c r="B1510" s="47" t="n"/>
      <c r="C1510" s="48" t="n"/>
      <c r="D1510" s="48" t="n"/>
      <c r="E1510" s="48" t="n"/>
      <c r="F1510" s="48" t="n"/>
      <c r="G1510" s="49" t="n"/>
      <c r="H1510" s="48" t="n"/>
      <c r="I1510" s="50" t="n"/>
      <c r="J1510" s="48" t="n"/>
      <c r="K1510" s="48" t="n"/>
      <c r="L1510" s="48" t="n"/>
      <c r="M1510" s="48" t="n"/>
      <c r="N1510" s="48" t="n"/>
      <c r="O1510" s="51">
        <f>IF(AND(B1510="",G1510="",C1510="",D1510="",J1510=""),"",IF(B1510="","⚠ Falta fecha",IF(G1510="","⚠ Falta monto",IF(Q1510="","⚠ Falta cuenta",IF(ISNA(MATCH(Q1510,ctaNombre,0)),"⚠ Cuenta no registrada",IF(AND(OR(P1510="Gasto",P1510="Reembolso"),D1510=""),"⚠ Falta categoría",IF(AND(D1510&lt;&gt;"",E1510&lt;&gt;"",ISNA(MATCH(D1510&amp;"|"&amp;E1510,catClave,0))),"⚠ Subcategoría no corresponde",IF(AND(OR(P1510="Transferencia",P1510="Pago tarjeta"),K1510=""),"⚠ Falta cuenta destino",IF(AND(K1510&lt;&gt;"",P1510&lt;&gt;"Transferencia",P1510&lt;&gt;"Pago tarjeta"),"⚠ Destino solo aplica a transferencias",IF(AND(K1510&lt;&gt;"",K1510=Q1510),"⚠ Origen igual a destino",IF(AND(K1510&lt;&gt;"",ISNA(MATCH(K1510,ctaNombre,0))),"⚠ Destino no registrado",IF(AND(P1510="Pago tarjeta",AE1510&lt;&gt;"Tarjeta de crédito"),"⚠ El destino debe ser tarjeta de crédito",IF(AND(P1510="Gasto",E1510="Depósitos y retiros"),"⚠ Usa tipo Transferencia",IF(AND(P1510="Resultado trading",AD1510&lt;&gt;"Cuenta de trading"),"⚠ Usa una cuenta de trading",IF(AND(G1510&lt;=0,P1510&lt;&gt;"Ajuste",P1510&lt;&gt;"Resultado trading"),"⚠ El monto debe ser positivo","✓")))))))))))))))</f>
        <v/>
      </c>
      <c r="P1510" s="52">
        <f>IF(OR(B1510="",G1510=""),"",IF(C1510="","Gasto",C1510))</f>
        <v/>
      </c>
      <c r="Q1510" s="52">
        <f>IF(P1510="","",IF(J1510&lt;&gt;"",J1510,CuentaPred&amp;""))</f>
        <v/>
      </c>
      <c r="R1510" s="52">
        <f>IF(P1510="","",IF(ISNUMBER(I1510),I1510,TasaUSD))</f>
        <v/>
      </c>
      <c r="S1510" s="53">
        <f>IF(P1510="","",IF(H1510="USD",G1510*R1510,G1510))</f>
        <v/>
      </c>
      <c r="T1510" s="53">
        <f>IF(P1510="","",IF(H1510="USD",G1510,IF(R1510&gt;0,G1510/R1510,0)))</f>
        <v/>
      </c>
      <c r="U1510" s="53">
        <f>IF(P1510="","",IF(P1510="Gasto",S1510,IF(P1510="Reembolso",-S1510,0)))</f>
        <v/>
      </c>
      <c r="V1510" s="53">
        <f>IF(P1510="","",IF(P1510="Ingreso",S1510,0))</f>
        <v/>
      </c>
      <c r="W1510" s="53">
        <f>IF(P1510="","",IF(P1510="Resultado trading",S1510,0))</f>
        <v/>
      </c>
      <c r="X1510" s="52">
        <f>IF(OR(P1510="Gasto",P1510="Reembolso"),IF(M1510&lt;&gt;"",M1510,IFERROR(INDEX(catClasif,MATCH(D1510&amp;"|"&amp;E1510,catClave,0))&amp;"","Variable")),"")</f>
        <v/>
      </c>
      <c r="Y1510" s="52">
        <f>IF(P1510="","",IFERROR(INDEX(catGrupo,MATCH(D1510&amp;"|"&amp;E1510,catClave,0))&amp;"",""))</f>
        <v/>
      </c>
      <c r="Z1510" s="52">
        <f>IF(P1510="","",WEEKDAY(B1510,2))</f>
        <v/>
      </c>
      <c r="AA1510" s="52">
        <f>IF(P1510="","",IF(AND(P1510="Gasto",X1510="Variable",D1510&lt;&gt;catTrading,S1510&gt;0,S1510&lt;=Umbral),1,0))</f>
        <v/>
      </c>
      <c r="AB1510" s="52">
        <f>IF(OR(P1510="",Q1510=""),"",IFERROR(IF(INDEX(ctaVinc,MATCH(Q1510,ctaNombre,0))&amp;""&lt;&gt;"",INDEX(ctaVinc,MATCH(Q1510,ctaNombre,0))&amp;"",Q1510),Q1510))</f>
        <v/>
      </c>
      <c r="AC1510" s="52">
        <f>IF(OR(K1510="",AND(P1510&lt;&gt;"Transferencia",P1510&lt;&gt;"Pago tarjeta")),"",IFERROR(IF(INDEX(ctaVinc,MATCH(K1510,ctaNombre,0))&amp;""&lt;&gt;"",INDEX(ctaVinc,MATCH(K1510,ctaNombre,0))&amp;"",K1510),K1510))</f>
        <v/>
      </c>
      <c r="AD1510" s="52">
        <f>IF(AB1510="","",IFERROR(INDEX(ctaTipo,MATCH(AB1510,ctaNombre,0))&amp;"",""))</f>
        <v/>
      </c>
      <c r="AE1510" s="52">
        <f>IF(AC1510="","",IFERROR(INDEX(ctaTipo,MATCH(AC1510,ctaNombre,0))&amp;"",""))</f>
        <v/>
      </c>
      <c r="AF1510" s="53">
        <f>IF(OR(P1510="",AB1510=""),"",IF(OR(P1510="Gasto",P1510="Transferencia",P1510="Pago tarjeta"),-1,1)*IF(IFERROR(INDEX(ctaMoneda,MATCH(AB1510,ctaNombre,0))&amp;"","DOP")="USD",T1510,S1510))</f>
        <v/>
      </c>
      <c r="AG1510" s="53">
        <f>IF(AC1510="","",IF(IFERROR(INDEX(ctaMoneda,MATCH(AC1510,ctaNombre,0))&amp;"","DOP")="USD",T1510,S1510))</f>
        <v/>
      </c>
      <c r="AH1510" s="53">
        <f>IF(P1510="","",IF(AND(AD1510&lt;&gt;"",COUNTIFS(tcTipo,AD1510,tcLiq,"Sí")&gt;0),IF(OR(P1510="Gasto",P1510="Transferencia",P1510="Pago tarjeta"),-1,1)*S1510,0)+IF(AND(AE1510&lt;&gt;"",COUNTIFS(tcTipo,AE1510,tcLiq,"Sí")&gt;0),S1510,0))</f>
        <v/>
      </c>
      <c r="AI1510" s="52">
        <f>IF(OR(L1510="",P1510=""),"",IF(COUNTIFS(L$6:L1510,L1510,P$6:P1510,"?*")=1,MAX(AI$5:AI1509)+1,""))</f>
        <v/>
      </c>
    </row>
    <row r="1511">
      <c r="B1511" s="47" t="n"/>
      <c r="C1511" s="48" t="n"/>
      <c r="D1511" s="48" t="n"/>
      <c r="E1511" s="48" t="n"/>
      <c r="F1511" s="48" t="n"/>
      <c r="G1511" s="49" t="n"/>
      <c r="H1511" s="48" t="n"/>
      <c r="I1511" s="50" t="n"/>
      <c r="J1511" s="48" t="n"/>
      <c r="K1511" s="48" t="n"/>
      <c r="L1511" s="48" t="n"/>
      <c r="M1511" s="48" t="n"/>
      <c r="N1511" s="48" t="n"/>
      <c r="O1511" s="51">
        <f>IF(AND(B1511="",G1511="",C1511="",D1511="",J1511=""),"",IF(B1511="","⚠ Falta fecha",IF(G1511="","⚠ Falta monto",IF(Q1511="","⚠ Falta cuenta",IF(ISNA(MATCH(Q1511,ctaNombre,0)),"⚠ Cuenta no registrada",IF(AND(OR(P1511="Gasto",P1511="Reembolso"),D1511=""),"⚠ Falta categoría",IF(AND(D1511&lt;&gt;"",E1511&lt;&gt;"",ISNA(MATCH(D1511&amp;"|"&amp;E1511,catClave,0))),"⚠ Subcategoría no corresponde",IF(AND(OR(P1511="Transferencia",P1511="Pago tarjeta"),K1511=""),"⚠ Falta cuenta destino",IF(AND(K1511&lt;&gt;"",P1511&lt;&gt;"Transferencia",P1511&lt;&gt;"Pago tarjeta"),"⚠ Destino solo aplica a transferencias",IF(AND(K1511&lt;&gt;"",K1511=Q1511),"⚠ Origen igual a destino",IF(AND(K1511&lt;&gt;"",ISNA(MATCH(K1511,ctaNombre,0))),"⚠ Destino no registrado",IF(AND(P1511="Pago tarjeta",AE1511&lt;&gt;"Tarjeta de crédito"),"⚠ El destino debe ser tarjeta de crédito",IF(AND(P1511="Gasto",E1511="Depósitos y retiros"),"⚠ Usa tipo Transferencia",IF(AND(P1511="Resultado trading",AD1511&lt;&gt;"Cuenta de trading"),"⚠ Usa una cuenta de trading",IF(AND(G1511&lt;=0,P1511&lt;&gt;"Ajuste",P1511&lt;&gt;"Resultado trading"),"⚠ El monto debe ser positivo","✓")))))))))))))))</f>
        <v/>
      </c>
      <c r="P1511" s="52">
        <f>IF(OR(B1511="",G1511=""),"",IF(C1511="","Gasto",C1511))</f>
        <v/>
      </c>
      <c r="Q1511" s="52">
        <f>IF(P1511="","",IF(J1511&lt;&gt;"",J1511,CuentaPred&amp;""))</f>
        <v/>
      </c>
      <c r="R1511" s="52">
        <f>IF(P1511="","",IF(ISNUMBER(I1511),I1511,TasaUSD))</f>
        <v/>
      </c>
      <c r="S1511" s="53">
        <f>IF(P1511="","",IF(H1511="USD",G1511*R1511,G1511))</f>
        <v/>
      </c>
      <c r="T1511" s="53">
        <f>IF(P1511="","",IF(H1511="USD",G1511,IF(R1511&gt;0,G1511/R1511,0)))</f>
        <v/>
      </c>
      <c r="U1511" s="53">
        <f>IF(P1511="","",IF(P1511="Gasto",S1511,IF(P1511="Reembolso",-S1511,0)))</f>
        <v/>
      </c>
      <c r="V1511" s="53">
        <f>IF(P1511="","",IF(P1511="Ingreso",S1511,0))</f>
        <v/>
      </c>
      <c r="W1511" s="53">
        <f>IF(P1511="","",IF(P1511="Resultado trading",S1511,0))</f>
        <v/>
      </c>
      <c r="X1511" s="52">
        <f>IF(OR(P1511="Gasto",P1511="Reembolso"),IF(M1511&lt;&gt;"",M1511,IFERROR(INDEX(catClasif,MATCH(D1511&amp;"|"&amp;E1511,catClave,0))&amp;"","Variable")),"")</f>
        <v/>
      </c>
      <c r="Y1511" s="52">
        <f>IF(P1511="","",IFERROR(INDEX(catGrupo,MATCH(D1511&amp;"|"&amp;E1511,catClave,0))&amp;"",""))</f>
        <v/>
      </c>
      <c r="Z1511" s="52">
        <f>IF(P1511="","",WEEKDAY(B1511,2))</f>
        <v/>
      </c>
      <c r="AA1511" s="52">
        <f>IF(P1511="","",IF(AND(P1511="Gasto",X1511="Variable",D1511&lt;&gt;catTrading,S1511&gt;0,S1511&lt;=Umbral),1,0))</f>
        <v/>
      </c>
      <c r="AB1511" s="52">
        <f>IF(OR(P1511="",Q1511=""),"",IFERROR(IF(INDEX(ctaVinc,MATCH(Q1511,ctaNombre,0))&amp;""&lt;&gt;"",INDEX(ctaVinc,MATCH(Q1511,ctaNombre,0))&amp;"",Q1511),Q1511))</f>
        <v/>
      </c>
      <c r="AC1511" s="52">
        <f>IF(OR(K1511="",AND(P1511&lt;&gt;"Transferencia",P1511&lt;&gt;"Pago tarjeta")),"",IFERROR(IF(INDEX(ctaVinc,MATCH(K1511,ctaNombre,0))&amp;""&lt;&gt;"",INDEX(ctaVinc,MATCH(K1511,ctaNombre,0))&amp;"",K1511),K1511))</f>
        <v/>
      </c>
      <c r="AD1511" s="52">
        <f>IF(AB1511="","",IFERROR(INDEX(ctaTipo,MATCH(AB1511,ctaNombre,0))&amp;"",""))</f>
        <v/>
      </c>
      <c r="AE1511" s="52">
        <f>IF(AC1511="","",IFERROR(INDEX(ctaTipo,MATCH(AC1511,ctaNombre,0))&amp;"",""))</f>
        <v/>
      </c>
      <c r="AF1511" s="53">
        <f>IF(OR(P1511="",AB1511=""),"",IF(OR(P1511="Gasto",P1511="Transferencia",P1511="Pago tarjeta"),-1,1)*IF(IFERROR(INDEX(ctaMoneda,MATCH(AB1511,ctaNombre,0))&amp;"","DOP")="USD",T1511,S1511))</f>
        <v/>
      </c>
      <c r="AG1511" s="53">
        <f>IF(AC1511="","",IF(IFERROR(INDEX(ctaMoneda,MATCH(AC1511,ctaNombre,0))&amp;"","DOP")="USD",T1511,S1511))</f>
        <v/>
      </c>
      <c r="AH1511" s="53">
        <f>IF(P1511="","",IF(AND(AD1511&lt;&gt;"",COUNTIFS(tcTipo,AD1511,tcLiq,"Sí")&gt;0),IF(OR(P1511="Gasto",P1511="Transferencia",P1511="Pago tarjeta"),-1,1)*S1511,0)+IF(AND(AE1511&lt;&gt;"",COUNTIFS(tcTipo,AE1511,tcLiq,"Sí")&gt;0),S1511,0))</f>
        <v/>
      </c>
      <c r="AI1511" s="52">
        <f>IF(OR(L1511="",P1511=""),"",IF(COUNTIFS(L$6:L1511,L1511,P$6:P1511,"?*")=1,MAX(AI$5:AI1510)+1,""))</f>
        <v/>
      </c>
    </row>
    <row r="1512">
      <c r="B1512" s="47" t="n"/>
      <c r="C1512" s="48" t="n"/>
      <c r="D1512" s="48" t="n"/>
      <c r="E1512" s="48" t="n"/>
      <c r="F1512" s="48" t="n"/>
      <c r="G1512" s="49" t="n"/>
      <c r="H1512" s="48" t="n"/>
      <c r="I1512" s="50" t="n"/>
      <c r="J1512" s="48" t="n"/>
      <c r="K1512" s="48" t="n"/>
      <c r="L1512" s="48" t="n"/>
      <c r="M1512" s="48" t="n"/>
      <c r="N1512" s="48" t="n"/>
      <c r="O1512" s="51">
        <f>IF(AND(B1512="",G1512="",C1512="",D1512="",J1512=""),"",IF(B1512="","⚠ Falta fecha",IF(G1512="","⚠ Falta monto",IF(Q1512="","⚠ Falta cuenta",IF(ISNA(MATCH(Q1512,ctaNombre,0)),"⚠ Cuenta no registrada",IF(AND(OR(P1512="Gasto",P1512="Reembolso"),D1512=""),"⚠ Falta categoría",IF(AND(D1512&lt;&gt;"",E1512&lt;&gt;"",ISNA(MATCH(D1512&amp;"|"&amp;E1512,catClave,0))),"⚠ Subcategoría no corresponde",IF(AND(OR(P1512="Transferencia",P1512="Pago tarjeta"),K1512=""),"⚠ Falta cuenta destino",IF(AND(K1512&lt;&gt;"",P1512&lt;&gt;"Transferencia",P1512&lt;&gt;"Pago tarjeta"),"⚠ Destino solo aplica a transferencias",IF(AND(K1512&lt;&gt;"",K1512=Q1512),"⚠ Origen igual a destino",IF(AND(K1512&lt;&gt;"",ISNA(MATCH(K1512,ctaNombre,0))),"⚠ Destino no registrado",IF(AND(P1512="Pago tarjeta",AE1512&lt;&gt;"Tarjeta de crédito"),"⚠ El destino debe ser tarjeta de crédito",IF(AND(P1512="Gasto",E1512="Depósitos y retiros"),"⚠ Usa tipo Transferencia",IF(AND(P1512="Resultado trading",AD1512&lt;&gt;"Cuenta de trading"),"⚠ Usa una cuenta de trading",IF(AND(G1512&lt;=0,P1512&lt;&gt;"Ajuste",P1512&lt;&gt;"Resultado trading"),"⚠ El monto debe ser positivo","✓")))))))))))))))</f>
        <v/>
      </c>
      <c r="P1512" s="52">
        <f>IF(OR(B1512="",G1512=""),"",IF(C1512="","Gasto",C1512))</f>
        <v/>
      </c>
      <c r="Q1512" s="52">
        <f>IF(P1512="","",IF(J1512&lt;&gt;"",J1512,CuentaPred&amp;""))</f>
        <v/>
      </c>
      <c r="R1512" s="52">
        <f>IF(P1512="","",IF(ISNUMBER(I1512),I1512,TasaUSD))</f>
        <v/>
      </c>
      <c r="S1512" s="53">
        <f>IF(P1512="","",IF(H1512="USD",G1512*R1512,G1512))</f>
        <v/>
      </c>
      <c r="T1512" s="53">
        <f>IF(P1512="","",IF(H1512="USD",G1512,IF(R1512&gt;0,G1512/R1512,0)))</f>
        <v/>
      </c>
      <c r="U1512" s="53">
        <f>IF(P1512="","",IF(P1512="Gasto",S1512,IF(P1512="Reembolso",-S1512,0)))</f>
        <v/>
      </c>
      <c r="V1512" s="53">
        <f>IF(P1512="","",IF(P1512="Ingreso",S1512,0))</f>
        <v/>
      </c>
      <c r="W1512" s="53">
        <f>IF(P1512="","",IF(P1512="Resultado trading",S1512,0))</f>
        <v/>
      </c>
      <c r="X1512" s="52">
        <f>IF(OR(P1512="Gasto",P1512="Reembolso"),IF(M1512&lt;&gt;"",M1512,IFERROR(INDEX(catClasif,MATCH(D1512&amp;"|"&amp;E1512,catClave,0))&amp;"","Variable")),"")</f>
        <v/>
      </c>
      <c r="Y1512" s="52">
        <f>IF(P1512="","",IFERROR(INDEX(catGrupo,MATCH(D1512&amp;"|"&amp;E1512,catClave,0))&amp;"",""))</f>
        <v/>
      </c>
      <c r="Z1512" s="52">
        <f>IF(P1512="","",WEEKDAY(B1512,2))</f>
        <v/>
      </c>
      <c r="AA1512" s="52">
        <f>IF(P1512="","",IF(AND(P1512="Gasto",X1512="Variable",D1512&lt;&gt;catTrading,S1512&gt;0,S1512&lt;=Umbral),1,0))</f>
        <v/>
      </c>
      <c r="AB1512" s="52">
        <f>IF(OR(P1512="",Q1512=""),"",IFERROR(IF(INDEX(ctaVinc,MATCH(Q1512,ctaNombre,0))&amp;""&lt;&gt;"",INDEX(ctaVinc,MATCH(Q1512,ctaNombre,0))&amp;"",Q1512),Q1512))</f>
        <v/>
      </c>
      <c r="AC1512" s="52">
        <f>IF(OR(K1512="",AND(P1512&lt;&gt;"Transferencia",P1512&lt;&gt;"Pago tarjeta")),"",IFERROR(IF(INDEX(ctaVinc,MATCH(K1512,ctaNombre,0))&amp;""&lt;&gt;"",INDEX(ctaVinc,MATCH(K1512,ctaNombre,0))&amp;"",K1512),K1512))</f>
        <v/>
      </c>
      <c r="AD1512" s="52">
        <f>IF(AB1512="","",IFERROR(INDEX(ctaTipo,MATCH(AB1512,ctaNombre,0))&amp;"",""))</f>
        <v/>
      </c>
      <c r="AE1512" s="52">
        <f>IF(AC1512="","",IFERROR(INDEX(ctaTipo,MATCH(AC1512,ctaNombre,0))&amp;"",""))</f>
        <v/>
      </c>
      <c r="AF1512" s="53">
        <f>IF(OR(P1512="",AB1512=""),"",IF(OR(P1512="Gasto",P1512="Transferencia",P1512="Pago tarjeta"),-1,1)*IF(IFERROR(INDEX(ctaMoneda,MATCH(AB1512,ctaNombre,0))&amp;"","DOP")="USD",T1512,S1512))</f>
        <v/>
      </c>
      <c r="AG1512" s="53">
        <f>IF(AC1512="","",IF(IFERROR(INDEX(ctaMoneda,MATCH(AC1512,ctaNombre,0))&amp;"","DOP")="USD",T1512,S1512))</f>
        <v/>
      </c>
      <c r="AH1512" s="53">
        <f>IF(P1512="","",IF(AND(AD1512&lt;&gt;"",COUNTIFS(tcTipo,AD1512,tcLiq,"Sí")&gt;0),IF(OR(P1512="Gasto",P1512="Transferencia",P1512="Pago tarjeta"),-1,1)*S1512,0)+IF(AND(AE1512&lt;&gt;"",COUNTIFS(tcTipo,AE1512,tcLiq,"Sí")&gt;0),S1512,0))</f>
        <v/>
      </c>
      <c r="AI1512" s="52">
        <f>IF(OR(L1512="",P1512=""),"",IF(COUNTIFS(L$6:L1512,L1512,P$6:P1512,"?*")=1,MAX(AI$5:AI1511)+1,""))</f>
        <v/>
      </c>
    </row>
    <row r="1513">
      <c r="B1513" s="47" t="n"/>
      <c r="C1513" s="48" t="n"/>
      <c r="D1513" s="48" t="n"/>
      <c r="E1513" s="48" t="n"/>
      <c r="F1513" s="48" t="n"/>
      <c r="G1513" s="49" t="n"/>
      <c r="H1513" s="48" t="n"/>
      <c r="I1513" s="50" t="n"/>
      <c r="J1513" s="48" t="n"/>
      <c r="K1513" s="48" t="n"/>
      <c r="L1513" s="48" t="n"/>
      <c r="M1513" s="48" t="n"/>
      <c r="N1513" s="48" t="n"/>
      <c r="O1513" s="51">
        <f>IF(AND(B1513="",G1513="",C1513="",D1513="",J1513=""),"",IF(B1513="","⚠ Falta fecha",IF(G1513="","⚠ Falta monto",IF(Q1513="","⚠ Falta cuenta",IF(ISNA(MATCH(Q1513,ctaNombre,0)),"⚠ Cuenta no registrada",IF(AND(OR(P1513="Gasto",P1513="Reembolso"),D1513=""),"⚠ Falta categoría",IF(AND(D1513&lt;&gt;"",E1513&lt;&gt;"",ISNA(MATCH(D1513&amp;"|"&amp;E1513,catClave,0))),"⚠ Subcategoría no corresponde",IF(AND(OR(P1513="Transferencia",P1513="Pago tarjeta"),K1513=""),"⚠ Falta cuenta destino",IF(AND(K1513&lt;&gt;"",P1513&lt;&gt;"Transferencia",P1513&lt;&gt;"Pago tarjeta"),"⚠ Destino solo aplica a transferencias",IF(AND(K1513&lt;&gt;"",K1513=Q1513),"⚠ Origen igual a destino",IF(AND(K1513&lt;&gt;"",ISNA(MATCH(K1513,ctaNombre,0))),"⚠ Destino no registrado",IF(AND(P1513="Pago tarjeta",AE1513&lt;&gt;"Tarjeta de crédito"),"⚠ El destino debe ser tarjeta de crédito",IF(AND(P1513="Gasto",E1513="Depósitos y retiros"),"⚠ Usa tipo Transferencia",IF(AND(P1513="Resultado trading",AD1513&lt;&gt;"Cuenta de trading"),"⚠ Usa una cuenta de trading",IF(AND(G1513&lt;=0,P1513&lt;&gt;"Ajuste",P1513&lt;&gt;"Resultado trading"),"⚠ El monto debe ser positivo","✓")))))))))))))))</f>
        <v/>
      </c>
      <c r="P1513" s="52">
        <f>IF(OR(B1513="",G1513=""),"",IF(C1513="","Gasto",C1513))</f>
        <v/>
      </c>
      <c r="Q1513" s="52">
        <f>IF(P1513="","",IF(J1513&lt;&gt;"",J1513,CuentaPred&amp;""))</f>
        <v/>
      </c>
      <c r="R1513" s="52">
        <f>IF(P1513="","",IF(ISNUMBER(I1513),I1513,TasaUSD))</f>
        <v/>
      </c>
      <c r="S1513" s="53">
        <f>IF(P1513="","",IF(H1513="USD",G1513*R1513,G1513))</f>
        <v/>
      </c>
      <c r="T1513" s="53">
        <f>IF(P1513="","",IF(H1513="USD",G1513,IF(R1513&gt;0,G1513/R1513,0)))</f>
        <v/>
      </c>
      <c r="U1513" s="53">
        <f>IF(P1513="","",IF(P1513="Gasto",S1513,IF(P1513="Reembolso",-S1513,0)))</f>
        <v/>
      </c>
      <c r="V1513" s="53">
        <f>IF(P1513="","",IF(P1513="Ingreso",S1513,0))</f>
        <v/>
      </c>
      <c r="W1513" s="53">
        <f>IF(P1513="","",IF(P1513="Resultado trading",S1513,0))</f>
        <v/>
      </c>
      <c r="X1513" s="52">
        <f>IF(OR(P1513="Gasto",P1513="Reembolso"),IF(M1513&lt;&gt;"",M1513,IFERROR(INDEX(catClasif,MATCH(D1513&amp;"|"&amp;E1513,catClave,0))&amp;"","Variable")),"")</f>
        <v/>
      </c>
      <c r="Y1513" s="52">
        <f>IF(P1513="","",IFERROR(INDEX(catGrupo,MATCH(D1513&amp;"|"&amp;E1513,catClave,0))&amp;"",""))</f>
        <v/>
      </c>
      <c r="Z1513" s="52">
        <f>IF(P1513="","",WEEKDAY(B1513,2))</f>
        <v/>
      </c>
      <c r="AA1513" s="52">
        <f>IF(P1513="","",IF(AND(P1513="Gasto",X1513="Variable",D1513&lt;&gt;catTrading,S1513&gt;0,S1513&lt;=Umbral),1,0))</f>
        <v/>
      </c>
      <c r="AB1513" s="52">
        <f>IF(OR(P1513="",Q1513=""),"",IFERROR(IF(INDEX(ctaVinc,MATCH(Q1513,ctaNombre,0))&amp;""&lt;&gt;"",INDEX(ctaVinc,MATCH(Q1513,ctaNombre,0))&amp;"",Q1513),Q1513))</f>
        <v/>
      </c>
      <c r="AC1513" s="52">
        <f>IF(OR(K1513="",AND(P1513&lt;&gt;"Transferencia",P1513&lt;&gt;"Pago tarjeta")),"",IFERROR(IF(INDEX(ctaVinc,MATCH(K1513,ctaNombre,0))&amp;""&lt;&gt;"",INDEX(ctaVinc,MATCH(K1513,ctaNombre,0))&amp;"",K1513),K1513))</f>
        <v/>
      </c>
      <c r="AD1513" s="52">
        <f>IF(AB1513="","",IFERROR(INDEX(ctaTipo,MATCH(AB1513,ctaNombre,0))&amp;"",""))</f>
        <v/>
      </c>
      <c r="AE1513" s="52">
        <f>IF(AC1513="","",IFERROR(INDEX(ctaTipo,MATCH(AC1513,ctaNombre,0))&amp;"",""))</f>
        <v/>
      </c>
      <c r="AF1513" s="53">
        <f>IF(OR(P1513="",AB1513=""),"",IF(OR(P1513="Gasto",P1513="Transferencia",P1513="Pago tarjeta"),-1,1)*IF(IFERROR(INDEX(ctaMoneda,MATCH(AB1513,ctaNombre,0))&amp;"","DOP")="USD",T1513,S1513))</f>
        <v/>
      </c>
      <c r="AG1513" s="53">
        <f>IF(AC1513="","",IF(IFERROR(INDEX(ctaMoneda,MATCH(AC1513,ctaNombre,0))&amp;"","DOP")="USD",T1513,S1513))</f>
        <v/>
      </c>
      <c r="AH1513" s="53">
        <f>IF(P1513="","",IF(AND(AD1513&lt;&gt;"",COUNTIFS(tcTipo,AD1513,tcLiq,"Sí")&gt;0),IF(OR(P1513="Gasto",P1513="Transferencia",P1513="Pago tarjeta"),-1,1)*S1513,0)+IF(AND(AE1513&lt;&gt;"",COUNTIFS(tcTipo,AE1513,tcLiq,"Sí")&gt;0),S1513,0))</f>
        <v/>
      </c>
      <c r="AI1513" s="52">
        <f>IF(OR(L1513="",P1513=""),"",IF(COUNTIFS(L$6:L1513,L1513,P$6:P1513,"?*")=1,MAX(AI$5:AI1512)+1,""))</f>
        <v/>
      </c>
    </row>
    <row r="1514">
      <c r="B1514" s="47" t="n"/>
      <c r="C1514" s="48" t="n"/>
      <c r="D1514" s="48" t="n"/>
      <c r="E1514" s="48" t="n"/>
      <c r="F1514" s="48" t="n"/>
      <c r="G1514" s="49" t="n"/>
      <c r="H1514" s="48" t="n"/>
      <c r="I1514" s="50" t="n"/>
      <c r="J1514" s="48" t="n"/>
      <c r="K1514" s="48" t="n"/>
      <c r="L1514" s="48" t="n"/>
      <c r="M1514" s="48" t="n"/>
      <c r="N1514" s="48" t="n"/>
      <c r="O1514" s="51">
        <f>IF(AND(B1514="",G1514="",C1514="",D1514="",J1514=""),"",IF(B1514="","⚠ Falta fecha",IF(G1514="","⚠ Falta monto",IF(Q1514="","⚠ Falta cuenta",IF(ISNA(MATCH(Q1514,ctaNombre,0)),"⚠ Cuenta no registrada",IF(AND(OR(P1514="Gasto",P1514="Reembolso"),D1514=""),"⚠ Falta categoría",IF(AND(D1514&lt;&gt;"",E1514&lt;&gt;"",ISNA(MATCH(D1514&amp;"|"&amp;E1514,catClave,0))),"⚠ Subcategoría no corresponde",IF(AND(OR(P1514="Transferencia",P1514="Pago tarjeta"),K1514=""),"⚠ Falta cuenta destino",IF(AND(K1514&lt;&gt;"",P1514&lt;&gt;"Transferencia",P1514&lt;&gt;"Pago tarjeta"),"⚠ Destino solo aplica a transferencias",IF(AND(K1514&lt;&gt;"",K1514=Q1514),"⚠ Origen igual a destino",IF(AND(K1514&lt;&gt;"",ISNA(MATCH(K1514,ctaNombre,0))),"⚠ Destino no registrado",IF(AND(P1514="Pago tarjeta",AE1514&lt;&gt;"Tarjeta de crédito"),"⚠ El destino debe ser tarjeta de crédito",IF(AND(P1514="Gasto",E1514="Depósitos y retiros"),"⚠ Usa tipo Transferencia",IF(AND(P1514="Resultado trading",AD1514&lt;&gt;"Cuenta de trading"),"⚠ Usa una cuenta de trading",IF(AND(G1514&lt;=0,P1514&lt;&gt;"Ajuste",P1514&lt;&gt;"Resultado trading"),"⚠ El monto debe ser positivo","✓")))))))))))))))</f>
        <v/>
      </c>
      <c r="P1514" s="52">
        <f>IF(OR(B1514="",G1514=""),"",IF(C1514="","Gasto",C1514))</f>
        <v/>
      </c>
      <c r="Q1514" s="52">
        <f>IF(P1514="","",IF(J1514&lt;&gt;"",J1514,CuentaPred&amp;""))</f>
        <v/>
      </c>
      <c r="R1514" s="52">
        <f>IF(P1514="","",IF(ISNUMBER(I1514),I1514,TasaUSD))</f>
        <v/>
      </c>
      <c r="S1514" s="53">
        <f>IF(P1514="","",IF(H1514="USD",G1514*R1514,G1514))</f>
        <v/>
      </c>
      <c r="T1514" s="53">
        <f>IF(P1514="","",IF(H1514="USD",G1514,IF(R1514&gt;0,G1514/R1514,0)))</f>
        <v/>
      </c>
      <c r="U1514" s="53">
        <f>IF(P1514="","",IF(P1514="Gasto",S1514,IF(P1514="Reembolso",-S1514,0)))</f>
        <v/>
      </c>
      <c r="V1514" s="53">
        <f>IF(P1514="","",IF(P1514="Ingreso",S1514,0))</f>
        <v/>
      </c>
      <c r="W1514" s="53">
        <f>IF(P1514="","",IF(P1514="Resultado trading",S1514,0))</f>
        <v/>
      </c>
      <c r="X1514" s="52">
        <f>IF(OR(P1514="Gasto",P1514="Reembolso"),IF(M1514&lt;&gt;"",M1514,IFERROR(INDEX(catClasif,MATCH(D1514&amp;"|"&amp;E1514,catClave,0))&amp;"","Variable")),"")</f>
        <v/>
      </c>
      <c r="Y1514" s="52">
        <f>IF(P1514="","",IFERROR(INDEX(catGrupo,MATCH(D1514&amp;"|"&amp;E1514,catClave,0))&amp;"",""))</f>
        <v/>
      </c>
      <c r="Z1514" s="52">
        <f>IF(P1514="","",WEEKDAY(B1514,2))</f>
        <v/>
      </c>
      <c r="AA1514" s="52">
        <f>IF(P1514="","",IF(AND(P1514="Gasto",X1514="Variable",D1514&lt;&gt;catTrading,S1514&gt;0,S1514&lt;=Umbral),1,0))</f>
        <v/>
      </c>
      <c r="AB1514" s="52">
        <f>IF(OR(P1514="",Q1514=""),"",IFERROR(IF(INDEX(ctaVinc,MATCH(Q1514,ctaNombre,0))&amp;""&lt;&gt;"",INDEX(ctaVinc,MATCH(Q1514,ctaNombre,0))&amp;"",Q1514),Q1514))</f>
        <v/>
      </c>
      <c r="AC1514" s="52">
        <f>IF(OR(K1514="",AND(P1514&lt;&gt;"Transferencia",P1514&lt;&gt;"Pago tarjeta")),"",IFERROR(IF(INDEX(ctaVinc,MATCH(K1514,ctaNombre,0))&amp;""&lt;&gt;"",INDEX(ctaVinc,MATCH(K1514,ctaNombre,0))&amp;"",K1514),K1514))</f>
        <v/>
      </c>
      <c r="AD1514" s="52">
        <f>IF(AB1514="","",IFERROR(INDEX(ctaTipo,MATCH(AB1514,ctaNombre,0))&amp;"",""))</f>
        <v/>
      </c>
      <c r="AE1514" s="52">
        <f>IF(AC1514="","",IFERROR(INDEX(ctaTipo,MATCH(AC1514,ctaNombre,0))&amp;"",""))</f>
        <v/>
      </c>
      <c r="AF1514" s="53">
        <f>IF(OR(P1514="",AB1514=""),"",IF(OR(P1514="Gasto",P1514="Transferencia",P1514="Pago tarjeta"),-1,1)*IF(IFERROR(INDEX(ctaMoneda,MATCH(AB1514,ctaNombre,0))&amp;"","DOP")="USD",T1514,S1514))</f>
        <v/>
      </c>
      <c r="AG1514" s="53">
        <f>IF(AC1514="","",IF(IFERROR(INDEX(ctaMoneda,MATCH(AC1514,ctaNombre,0))&amp;"","DOP")="USD",T1514,S1514))</f>
        <v/>
      </c>
      <c r="AH1514" s="53">
        <f>IF(P1514="","",IF(AND(AD1514&lt;&gt;"",COUNTIFS(tcTipo,AD1514,tcLiq,"Sí")&gt;0),IF(OR(P1514="Gasto",P1514="Transferencia",P1514="Pago tarjeta"),-1,1)*S1514,0)+IF(AND(AE1514&lt;&gt;"",COUNTIFS(tcTipo,AE1514,tcLiq,"Sí")&gt;0),S1514,0))</f>
        <v/>
      </c>
      <c r="AI1514" s="52">
        <f>IF(OR(L1514="",P1514=""),"",IF(COUNTIFS(L$6:L1514,L1514,P$6:P1514,"?*")=1,MAX(AI$5:AI1513)+1,""))</f>
        <v/>
      </c>
    </row>
    <row r="1515">
      <c r="B1515" s="47" t="n"/>
      <c r="C1515" s="48" t="n"/>
      <c r="D1515" s="48" t="n"/>
      <c r="E1515" s="48" t="n"/>
      <c r="F1515" s="48" t="n"/>
      <c r="G1515" s="49" t="n"/>
      <c r="H1515" s="48" t="n"/>
      <c r="I1515" s="50" t="n"/>
      <c r="J1515" s="48" t="n"/>
      <c r="K1515" s="48" t="n"/>
      <c r="L1515" s="48" t="n"/>
      <c r="M1515" s="48" t="n"/>
      <c r="N1515" s="48" t="n"/>
      <c r="O1515" s="51">
        <f>IF(AND(B1515="",G1515="",C1515="",D1515="",J1515=""),"",IF(B1515="","⚠ Falta fecha",IF(G1515="","⚠ Falta monto",IF(Q1515="","⚠ Falta cuenta",IF(ISNA(MATCH(Q1515,ctaNombre,0)),"⚠ Cuenta no registrada",IF(AND(OR(P1515="Gasto",P1515="Reembolso"),D1515=""),"⚠ Falta categoría",IF(AND(D1515&lt;&gt;"",E1515&lt;&gt;"",ISNA(MATCH(D1515&amp;"|"&amp;E1515,catClave,0))),"⚠ Subcategoría no corresponde",IF(AND(OR(P1515="Transferencia",P1515="Pago tarjeta"),K1515=""),"⚠ Falta cuenta destino",IF(AND(K1515&lt;&gt;"",P1515&lt;&gt;"Transferencia",P1515&lt;&gt;"Pago tarjeta"),"⚠ Destino solo aplica a transferencias",IF(AND(K1515&lt;&gt;"",K1515=Q1515),"⚠ Origen igual a destino",IF(AND(K1515&lt;&gt;"",ISNA(MATCH(K1515,ctaNombre,0))),"⚠ Destino no registrado",IF(AND(P1515="Pago tarjeta",AE1515&lt;&gt;"Tarjeta de crédito"),"⚠ El destino debe ser tarjeta de crédito",IF(AND(P1515="Gasto",E1515="Depósitos y retiros"),"⚠ Usa tipo Transferencia",IF(AND(P1515="Resultado trading",AD1515&lt;&gt;"Cuenta de trading"),"⚠ Usa una cuenta de trading",IF(AND(G1515&lt;=0,P1515&lt;&gt;"Ajuste",P1515&lt;&gt;"Resultado trading"),"⚠ El monto debe ser positivo","✓")))))))))))))))</f>
        <v/>
      </c>
      <c r="P1515" s="52">
        <f>IF(OR(B1515="",G1515=""),"",IF(C1515="","Gasto",C1515))</f>
        <v/>
      </c>
      <c r="Q1515" s="52">
        <f>IF(P1515="","",IF(J1515&lt;&gt;"",J1515,CuentaPred&amp;""))</f>
        <v/>
      </c>
      <c r="R1515" s="52">
        <f>IF(P1515="","",IF(ISNUMBER(I1515),I1515,TasaUSD))</f>
        <v/>
      </c>
      <c r="S1515" s="53">
        <f>IF(P1515="","",IF(H1515="USD",G1515*R1515,G1515))</f>
        <v/>
      </c>
      <c r="T1515" s="53">
        <f>IF(P1515="","",IF(H1515="USD",G1515,IF(R1515&gt;0,G1515/R1515,0)))</f>
        <v/>
      </c>
      <c r="U1515" s="53">
        <f>IF(P1515="","",IF(P1515="Gasto",S1515,IF(P1515="Reembolso",-S1515,0)))</f>
        <v/>
      </c>
      <c r="V1515" s="53">
        <f>IF(P1515="","",IF(P1515="Ingreso",S1515,0))</f>
        <v/>
      </c>
      <c r="W1515" s="53">
        <f>IF(P1515="","",IF(P1515="Resultado trading",S1515,0))</f>
        <v/>
      </c>
      <c r="X1515" s="52">
        <f>IF(OR(P1515="Gasto",P1515="Reembolso"),IF(M1515&lt;&gt;"",M1515,IFERROR(INDEX(catClasif,MATCH(D1515&amp;"|"&amp;E1515,catClave,0))&amp;"","Variable")),"")</f>
        <v/>
      </c>
      <c r="Y1515" s="52">
        <f>IF(P1515="","",IFERROR(INDEX(catGrupo,MATCH(D1515&amp;"|"&amp;E1515,catClave,0))&amp;"",""))</f>
        <v/>
      </c>
      <c r="Z1515" s="52">
        <f>IF(P1515="","",WEEKDAY(B1515,2))</f>
        <v/>
      </c>
      <c r="AA1515" s="52">
        <f>IF(P1515="","",IF(AND(P1515="Gasto",X1515="Variable",D1515&lt;&gt;catTrading,S1515&gt;0,S1515&lt;=Umbral),1,0))</f>
        <v/>
      </c>
      <c r="AB1515" s="52">
        <f>IF(OR(P1515="",Q1515=""),"",IFERROR(IF(INDEX(ctaVinc,MATCH(Q1515,ctaNombre,0))&amp;""&lt;&gt;"",INDEX(ctaVinc,MATCH(Q1515,ctaNombre,0))&amp;"",Q1515),Q1515))</f>
        <v/>
      </c>
      <c r="AC1515" s="52">
        <f>IF(OR(K1515="",AND(P1515&lt;&gt;"Transferencia",P1515&lt;&gt;"Pago tarjeta")),"",IFERROR(IF(INDEX(ctaVinc,MATCH(K1515,ctaNombre,0))&amp;""&lt;&gt;"",INDEX(ctaVinc,MATCH(K1515,ctaNombre,0))&amp;"",K1515),K1515))</f>
        <v/>
      </c>
      <c r="AD1515" s="52">
        <f>IF(AB1515="","",IFERROR(INDEX(ctaTipo,MATCH(AB1515,ctaNombre,0))&amp;"",""))</f>
        <v/>
      </c>
      <c r="AE1515" s="52">
        <f>IF(AC1515="","",IFERROR(INDEX(ctaTipo,MATCH(AC1515,ctaNombre,0))&amp;"",""))</f>
        <v/>
      </c>
      <c r="AF1515" s="53">
        <f>IF(OR(P1515="",AB1515=""),"",IF(OR(P1515="Gasto",P1515="Transferencia",P1515="Pago tarjeta"),-1,1)*IF(IFERROR(INDEX(ctaMoneda,MATCH(AB1515,ctaNombre,0))&amp;"","DOP")="USD",T1515,S1515))</f>
        <v/>
      </c>
      <c r="AG1515" s="53">
        <f>IF(AC1515="","",IF(IFERROR(INDEX(ctaMoneda,MATCH(AC1515,ctaNombre,0))&amp;"","DOP")="USD",T1515,S1515))</f>
        <v/>
      </c>
      <c r="AH1515" s="53">
        <f>IF(P1515="","",IF(AND(AD1515&lt;&gt;"",COUNTIFS(tcTipo,AD1515,tcLiq,"Sí")&gt;0),IF(OR(P1515="Gasto",P1515="Transferencia",P1515="Pago tarjeta"),-1,1)*S1515,0)+IF(AND(AE1515&lt;&gt;"",COUNTIFS(tcTipo,AE1515,tcLiq,"Sí")&gt;0),S1515,0))</f>
        <v/>
      </c>
      <c r="AI1515" s="52">
        <f>IF(OR(L1515="",P1515=""),"",IF(COUNTIFS(L$6:L1515,L1515,P$6:P1515,"?*")=1,MAX(AI$5:AI1514)+1,""))</f>
        <v/>
      </c>
    </row>
    <row r="1516">
      <c r="B1516" s="47" t="n"/>
      <c r="C1516" s="48" t="n"/>
      <c r="D1516" s="48" t="n"/>
      <c r="E1516" s="48" t="n"/>
      <c r="F1516" s="48" t="n"/>
      <c r="G1516" s="49" t="n"/>
      <c r="H1516" s="48" t="n"/>
      <c r="I1516" s="50" t="n"/>
      <c r="J1516" s="48" t="n"/>
      <c r="K1516" s="48" t="n"/>
      <c r="L1516" s="48" t="n"/>
      <c r="M1516" s="48" t="n"/>
      <c r="N1516" s="48" t="n"/>
      <c r="O1516" s="51">
        <f>IF(AND(B1516="",G1516="",C1516="",D1516="",J1516=""),"",IF(B1516="","⚠ Falta fecha",IF(G1516="","⚠ Falta monto",IF(Q1516="","⚠ Falta cuenta",IF(ISNA(MATCH(Q1516,ctaNombre,0)),"⚠ Cuenta no registrada",IF(AND(OR(P1516="Gasto",P1516="Reembolso"),D1516=""),"⚠ Falta categoría",IF(AND(D1516&lt;&gt;"",E1516&lt;&gt;"",ISNA(MATCH(D1516&amp;"|"&amp;E1516,catClave,0))),"⚠ Subcategoría no corresponde",IF(AND(OR(P1516="Transferencia",P1516="Pago tarjeta"),K1516=""),"⚠ Falta cuenta destino",IF(AND(K1516&lt;&gt;"",P1516&lt;&gt;"Transferencia",P1516&lt;&gt;"Pago tarjeta"),"⚠ Destino solo aplica a transferencias",IF(AND(K1516&lt;&gt;"",K1516=Q1516),"⚠ Origen igual a destino",IF(AND(K1516&lt;&gt;"",ISNA(MATCH(K1516,ctaNombre,0))),"⚠ Destino no registrado",IF(AND(P1516="Pago tarjeta",AE1516&lt;&gt;"Tarjeta de crédito"),"⚠ El destino debe ser tarjeta de crédito",IF(AND(P1516="Gasto",E1516="Depósitos y retiros"),"⚠ Usa tipo Transferencia",IF(AND(P1516="Resultado trading",AD1516&lt;&gt;"Cuenta de trading"),"⚠ Usa una cuenta de trading",IF(AND(G1516&lt;=0,P1516&lt;&gt;"Ajuste",P1516&lt;&gt;"Resultado trading"),"⚠ El monto debe ser positivo","✓")))))))))))))))</f>
        <v/>
      </c>
      <c r="P1516" s="52">
        <f>IF(OR(B1516="",G1516=""),"",IF(C1516="","Gasto",C1516))</f>
        <v/>
      </c>
      <c r="Q1516" s="52">
        <f>IF(P1516="","",IF(J1516&lt;&gt;"",J1516,CuentaPred&amp;""))</f>
        <v/>
      </c>
      <c r="R1516" s="52">
        <f>IF(P1516="","",IF(ISNUMBER(I1516),I1516,TasaUSD))</f>
        <v/>
      </c>
      <c r="S1516" s="53">
        <f>IF(P1516="","",IF(H1516="USD",G1516*R1516,G1516))</f>
        <v/>
      </c>
      <c r="T1516" s="53">
        <f>IF(P1516="","",IF(H1516="USD",G1516,IF(R1516&gt;0,G1516/R1516,0)))</f>
        <v/>
      </c>
      <c r="U1516" s="53">
        <f>IF(P1516="","",IF(P1516="Gasto",S1516,IF(P1516="Reembolso",-S1516,0)))</f>
        <v/>
      </c>
      <c r="V1516" s="53">
        <f>IF(P1516="","",IF(P1516="Ingreso",S1516,0))</f>
        <v/>
      </c>
      <c r="W1516" s="53">
        <f>IF(P1516="","",IF(P1516="Resultado trading",S1516,0))</f>
        <v/>
      </c>
      <c r="X1516" s="52">
        <f>IF(OR(P1516="Gasto",P1516="Reembolso"),IF(M1516&lt;&gt;"",M1516,IFERROR(INDEX(catClasif,MATCH(D1516&amp;"|"&amp;E1516,catClave,0))&amp;"","Variable")),"")</f>
        <v/>
      </c>
      <c r="Y1516" s="52">
        <f>IF(P1516="","",IFERROR(INDEX(catGrupo,MATCH(D1516&amp;"|"&amp;E1516,catClave,0))&amp;"",""))</f>
        <v/>
      </c>
      <c r="Z1516" s="52">
        <f>IF(P1516="","",WEEKDAY(B1516,2))</f>
        <v/>
      </c>
      <c r="AA1516" s="52">
        <f>IF(P1516="","",IF(AND(P1516="Gasto",X1516="Variable",D1516&lt;&gt;catTrading,S1516&gt;0,S1516&lt;=Umbral),1,0))</f>
        <v/>
      </c>
      <c r="AB1516" s="52">
        <f>IF(OR(P1516="",Q1516=""),"",IFERROR(IF(INDEX(ctaVinc,MATCH(Q1516,ctaNombre,0))&amp;""&lt;&gt;"",INDEX(ctaVinc,MATCH(Q1516,ctaNombre,0))&amp;"",Q1516),Q1516))</f>
        <v/>
      </c>
      <c r="AC1516" s="52">
        <f>IF(OR(K1516="",AND(P1516&lt;&gt;"Transferencia",P1516&lt;&gt;"Pago tarjeta")),"",IFERROR(IF(INDEX(ctaVinc,MATCH(K1516,ctaNombre,0))&amp;""&lt;&gt;"",INDEX(ctaVinc,MATCH(K1516,ctaNombre,0))&amp;"",K1516),K1516))</f>
        <v/>
      </c>
      <c r="AD1516" s="52">
        <f>IF(AB1516="","",IFERROR(INDEX(ctaTipo,MATCH(AB1516,ctaNombre,0))&amp;"",""))</f>
        <v/>
      </c>
      <c r="AE1516" s="52">
        <f>IF(AC1516="","",IFERROR(INDEX(ctaTipo,MATCH(AC1516,ctaNombre,0))&amp;"",""))</f>
        <v/>
      </c>
      <c r="AF1516" s="53">
        <f>IF(OR(P1516="",AB1516=""),"",IF(OR(P1516="Gasto",P1516="Transferencia",P1516="Pago tarjeta"),-1,1)*IF(IFERROR(INDEX(ctaMoneda,MATCH(AB1516,ctaNombre,0))&amp;"","DOP")="USD",T1516,S1516))</f>
        <v/>
      </c>
      <c r="AG1516" s="53">
        <f>IF(AC1516="","",IF(IFERROR(INDEX(ctaMoneda,MATCH(AC1516,ctaNombre,0))&amp;"","DOP")="USD",T1516,S1516))</f>
        <v/>
      </c>
      <c r="AH1516" s="53">
        <f>IF(P1516="","",IF(AND(AD1516&lt;&gt;"",COUNTIFS(tcTipo,AD1516,tcLiq,"Sí")&gt;0),IF(OR(P1516="Gasto",P1516="Transferencia",P1516="Pago tarjeta"),-1,1)*S1516,0)+IF(AND(AE1516&lt;&gt;"",COUNTIFS(tcTipo,AE1516,tcLiq,"Sí")&gt;0),S1516,0))</f>
        <v/>
      </c>
      <c r="AI1516" s="52">
        <f>IF(OR(L1516="",P1516=""),"",IF(COUNTIFS(L$6:L1516,L1516,P$6:P1516,"?*")=1,MAX(AI$5:AI1515)+1,""))</f>
        <v/>
      </c>
    </row>
    <row r="1517">
      <c r="B1517" s="47" t="n"/>
      <c r="C1517" s="48" t="n"/>
      <c r="D1517" s="48" t="n"/>
      <c r="E1517" s="48" t="n"/>
      <c r="F1517" s="48" t="n"/>
      <c r="G1517" s="49" t="n"/>
      <c r="H1517" s="48" t="n"/>
      <c r="I1517" s="50" t="n"/>
      <c r="J1517" s="48" t="n"/>
      <c r="K1517" s="48" t="n"/>
      <c r="L1517" s="48" t="n"/>
      <c r="M1517" s="48" t="n"/>
      <c r="N1517" s="48" t="n"/>
      <c r="O1517" s="51">
        <f>IF(AND(B1517="",G1517="",C1517="",D1517="",J1517=""),"",IF(B1517="","⚠ Falta fecha",IF(G1517="","⚠ Falta monto",IF(Q1517="","⚠ Falta cuenta",IF(ISNA(MATCH(Q1517,ctaNombre,0)),"⚠ Cuenta no registrada",IF(AND(OR(P1517="Gasto",P1517="Reembolso"),D1517=""),"⚠ Falta categoría",IF(AND(D1517&lt;&gt;"",E1517&lt;&gt;"",ISNA(MATCH(D1517&amp;"|"&amp;E1517,catClave,0))),"⚠ Subcategoría no corresponde",IF(AND(OR(P1517="Transferencia",P1517="Pago tarjeta"),K1517=""),"⚠ Falta cuenta destino",IF(AND(K1517&lt;&gt;"",P1517&lt;&gt;"Transferencia",P1517&lt;&gt;"Pago tarjeta"),"⚠ Destino solo aplica a transferencias",IF(AND(K1517&lt;&gt;"",K1517=Q1517),"⚠ Origen igual a destino",IF(AND(K1517&lt;&gt;"",ISNA(MATCH(K1517,ctaNombre,0))),"⚠ Destino no registrado",IF(AND(P1517="Pago tarjeta",AE1517&lt;&gt;"Tarjeta de crédito"),"⚠ El destino debe ser tarjeta de crédito",IF(AND(P1517="Gasto",E1517="Depósitos y retiros"),"⚠ Usa tipo Transferencia",IF(AND(P1517="Resultado trading",AD1517&lt;&gt;"Cuenta de trading"),"⚠ Usa una cuenta de trading",IF(AND(G1517&lt;=0,P1517&lt;&gt;"Ajuste",P1517&lt;&gt;"Resultado trading"),"⚠ El monto debe ser positivo","✓")))))))))))))))</f>
        <v/>
      </c>
      <c r="P1517" s="52">
        <f>IF(OR(B1517="",G1517=""),"",IF(C1517="","Gasto",C1517))</f>
        <v/>
      </c>
      <c r="Q1517" s="52">
        <f>IF(P1517="","",IF(J1517&lt;&gt;"",J1517,CuentaPred&amp;""))</f>
        <v/>
      </c>
      <c r="R1517" s="52">
        <f>IF(P1517="","",IF(ISNUMBER(I1517),I1517,TasaUSD))</f>
        <v/>
      </c>
      <c r="S1517" s="53">
        <f>IF(P1517="","",IF(H1517="USD",G1517*R1517,G1517))</f>
        <v/>
      </c>
      <c r="T1517" s="53">
        <f>IF(P1517="","",IF(H1517="USD",G1517,IF(R1517&gt;0,G1517/R1517,0)))</f>
        <v/>
      </c>
      <c r="U1517" s="53">
        <f>IF(P1517="","",IF(P1517="Gasto",S1517,IF(P1517="Reembolso",-S1517,0)))</f>
        <v/>
      </c>
      <c r="V1517" s="53">
        <f>IF(P1517="","",IF(P1517="Ingreso",S1517,0))</f>
        <v/>
      </c>
      <c r="W1517" s="53">
        <f>IF(P1517="","",IF(P1517="Resultado trading",S1517,0))</f>
        <v/>
      </c>
      <c r="X1517" s="52">
        <f>IF(OR(P1517="Gasto",P1517="Reembolso"),IF(M1517&lt;&gt;"",M1517,IFERROR(INDEX(catClasif,MATCH(D1517&amp;"|"&amp;E1517,catClave,0))&amp;"","Variable")),"")</f>
        <v/>
      </c>
      <c r="Y1517" s="52">
        <f>IF(P1517="","",IFERROR(INDEX(catGrupo,MATCH(D1517&amp;"|"&amp;E1517,catClave,0))&amp;"",""))</f>
        <v/>
      </c>
      <c r="Z1517" s="52">
        <f>IF(P1517="","",WEEKDAY(B1517,2))</f>
        <v/>
      </c>
      <c r="AA1517" s="52">
        <f>IF(P1517="","",IF(AND(P1517="Gasto",X1517="Variable",D1517&lt;&gt;catTrading,S1517&gt;0,S1517&lt;=Umbral),1,0))</f>
        <v/>
      </c>
      <c r="AB1517" s="52">
        <f>IF(OR(P1517="",Q1517=""),"",IFERROR(IF(INDEX(ctaVinc,MATCH(Q1517,ctaNombre,0))&amp;""&lt;&gt;"",INDEX(ctaVinc,MATCH(Q1517,ctaNombre,0))&amp;"",Q1517),Q1517))</f>
        <v/>
      </c>
      <c r="AC1517" s="52">
        <f>IF(OR(K1517="",AND(P1517&lt;&gt;"Transferencia",P1517&lt;&gt;"Pago tarjeta")),"",IFERROR(IF(INDEX(ctaVinc,MATCH(K1517,ctaNombre,0))&amp;""&lt;&gt;"",INDEX(ctaVinc,MATCH(K1517,ctaNombre,0))&amp;"",K1517),K1517))</f>
        <v/>
      </c>
      <c r="AD1517" s="52">
        <f>IF(AB1517="","",IFERROR(INDEX(ctaTipo,MATCH(AB1517,ctaNombre,0))&amp;"",""))</f>
        <v/>
      </c>
      <c r="AE1517" s="52">
        <f>IF(AC1517="","",IFERROR(INDEX(ctaTipo,MATCH(AC1517,ctaNombre,0))&amp;"",""))</f>
        <v/>
      </c>
      <c r="AF1517" s="53">
        <f>IF(OR(P1517="",AB1517=""),"",IF(OR(P1517="Gasto",P1517="Transferencia",P1517="Pago tarjeta"),-1,1)*IF(IFERROR(INDEX(ctaMoneda,MATCH(AB1517,ctaNombre,0))&amp;"","DOP")="USD",T1517,S1517))</f>
        <v/>
      </c>
      <c r="AG1517" s="53">
        <f>IF(AC1517="","",IF(IFERROR(INDEX(ctaMoneda,MATCH(AC1517,ctaNombre,0))&amp;"","DOP")="USD",T1517,S1517))</f>
        <v/>
      </c>
      <c r="AH1517" s="53">
        <f>IF(P1517="","",IF(AND(AD1517&lt;&gt;"",COUNTIFS(tcTipo,AD1517,tcLiq,"Sí")&gt;0),IF(OR(P1517="Gasto",P1517="Transferencia",P1517="Pago tarjeta"),-1,1)*S1517,0)+IF(AND(AE1517&lt;&gt;"",COUNTIFS(tcTipo,AE1517,tcLiq,"Sí")&gt;0),S1517,0))</f>
        <v/>
      </c>
      <c r="AI1517" s="52">
        <f>IF(OR(L1517="",P1517=""),"",IF(COUNTIFS(L$6:L1517,L1517,P$6:P1517,"?*")=1,MAX(AI$5:AI1516)+1,""))</f>
        <v/>
      </c>
    </row>
    <row r="1518">
      <c r="B1518" s="47" t="n"/>
      <c r="C1518" s="48" t="n"/>
      <c r="D1518" s="48" t="n"/>
      <c r="E1518" s="48" t="n"/>
      <c r="F1518" s="48" t="n"/>
      <c r="G1518" s="49" t="n"/>
      <c r="H1518" s="48" t="n"/>
      <c r="I1518" s="50" t="n"/>
      <c r="J1518" s="48" t="n"/>
      <c r="K1518" s="48" t="n"/>
      <c r="L1518" s="48" t="n"/>
      <c r="M1518" s="48" t="n"/>
      <c r="N1518" s="48" t="n"/>
      <c r="O1518" s="51">
        <f>IF(AND(B1518="",G1518="",C1518="",D1518="",J1518=""),"",IF(B1518="","⚠ Falta fecha",IF(G1518="","⚠ Falta monto",IF(Q1518="","⚠ Falta cuenta",IF(ISNA(MATCH(Q1518,ctaNombre,0)),"⚠ Cuenta no registrada",IF(AND(OR(P1518="Gasto",P1518="Reembolso"),D1518=""),"⚠ Falta categoría",IF(AND(D1518&lt;&gt;"",E1518&lt;&gt;"",ISNA(MATCH(D1518&amp;"|"&amp;E1518,catClave,0))),"⚠ Subcategoría no corresponde",IF(AND(OR(P1518="Transferencia",P1518="Pago tarjeta"),K1518=""),"⚠ Falta cuenta destino",IF(AND(K1518&lt;&gt;"",P1518&lt;&gt;"Transferencia",P1518&lt;&gt;"Pago tarjeta"),"⚠ Destino solo aplica a transferencias",IF(AND(K1518&lt;&gt;"",K1518=Q1518),"⚠ Origen igual a destino",IF(AND(K1518&lt;&gt;"",ISNA(MATCH(K1518,ctaNombre,0))),"⚠ Destino no registrado",IF(AND(P1518="Pago tarjeta",AE1518&lt;&gt;"Tarjeta de crédito"),"⚠ El destino debe ser tarjeta de crédito",IF(AND(P1518="Gasto",E1518="Depósitos y retiros"),"⚠ Usa tipo Transferencia",IF(AND(P1518="Resultado trading",AD1518&lt;&gt;"Cuenta de trading"),"⚠ Usa una cuenta de trading",IF(AND(G1518&lt;=0,P1518&lt;&gt;"Ajuste",P1518&lt;&gt;"Resultado trading"),"⚠ El monto debe ser positivo","✓")))))))))))))))</f>
        <v/>
      </c>
      <c r="P1518" s="52">
        <f>IF(OR(B1518="",G1518=""),"",IF(C1518="","Gasto",C1518))</f>
        <v/>
      </c>
      <c r="Q1518" s="52">
        <f>IF(P1518="","",IF(J1518&lt;&gt;"",J1518,CuentaPred&amp;""))</f>
        <v/>
      </c>
      <c r="R1518" s="52">
        <f>IF(P1518="","",IF(ISNUMBER(I1518),I1518,TasaUSD))</f>
        <v/>
      </c>
      <c r="S1518" s="53">
        <f>IF(P1518="","",IF(H1518="USD",G1518*R1518,G1518))</f>
        <v/>
      </c>
      <c r="T1518" s="53">
        <f>IF(P1518="","",IF(H1518="USD",G1518,IF(R1518&gt;0,G1518/R1518,0)))</f>
        <v/>
      </c>
      <c r="U1518" s="53">
        <f>IF(P1518="","",IF(P1518="Gasto",S1518,IF(P1518="Reembolso",-S1518,0)))</f>
        <v/>
      </c>
      <c r="V1518" s="53">
        <f>IF(P1518="","",IF(P1518="Ingreso",S1518,0))</f>
        <v/>
      </c>
      <c r="W1518" s="53">
        <f>IF(P1518="","",IF(P1518="Resultado trading",S1518,0))</f>
        <v/>
      </c>
      <c r="X1518" s="52">
        <f>IF(OR(P1518="Gasto",P1518="Reembolso"),IF(M1518&lt;&gt;"",M1518,IFERROR(INDEX(catClasif,MATCH(D1518&amp;"|"&amp;E1518,catClave,0))&amp;"","Variable")),"")</f>
        <v/>
      </c>
      <c r="Y1518" s="52">
        <f>IF(P1518="","",IFERROR(INDEX(catGrupo,MATCH(D1518&amp;"|"&amp;E1518,catClave,0))&amp;"",""))</f>
        <v/>
      </c>
      <c r="Z1518" s="52">
        <f>IF(P1518="","",WEEKDAY(B1518,2))</f>
        <v/>
      </c>
      <c r="AA1518" s="52">
        <f>IF(P1518="","",IF(AND(P1518="Gasto",X1518="Variable",D1518&lt;&gt;catTrading,S1518&gt;0,S1518&lt;=Umbral),1,0))</f>
        <v/>
      </c>
      <c r="AB1518" s="52">
        <f>IF(OR(P1518="",Q1518=""),"",IFERROR(IF(INDEX(ctaVinc,MATCH(Q1518,ctaNombre,0))&amp;""&lt;&gt;"",INDEX(ctaVinc,MATCH(Q1518,ctaNombre,0))&amp;"",Q1518),Q1518))</f>
        <v/>
      </c>
      <c r="AC1518" s="52">
        <f>IF(OR(K1518="",AND(P1518&lt;&gt;"Transferencia",P1518&lt;&gt;"Pago tarjeta")),"",IFERROR(IF(INDEX(ctaVinc,MATCH(K1518,ctaNombre,0))&amp;""&lt;&gt;"",INDEX(ctaVinc,MATCH(K1518,ctaNombre,0))&amp;"",K1518),K1518))</f>
        <v/>
      </c>
      <c r="AD1518" s="52">
        <f>IF(AB1518="","",IFERROR(INDEX(ctaTipo,MATCH(AB1518,ctaNombre,0))&amp;"",""))</f>
        <v/>
      </c>
      <c r="AE1518" s="52">
        <f>IF(AC1518="","",IFERROR(INDEX(ctaTipo,MATCH(AC1518,ctaNombre,0))&amp;"",""))</f>
        <v/>
      </c>
      <c r="AF1518" s="53">
        <f>IF(OR(P1518="",AB1518=""),"",IF(OR(P1518="Gasto",P1518="Transferencia",P1518="Pago tarjeta"),-1,1)*IF(IFERROR(INDEX(ctaMoneda,MATCH(AB1518,ctaNombre,0))&amp;"","DOP")="USD",T1518,S1518))</f>
        <v/>
      </c>
      <c r="AG1518" s="53">
        <f>IF(AC1518="","",IF(IFERROR(INDEX(ctaMoneda,MATCH(AC1518,ctaNombre,0))&amp;"","DOP")="USD",T1518,S1518))</f>
        <v/>
      </c>
      <c r="AH1518" s="53">
        <f>IF(P1518="","",IF(AND(AD1518&lt;&gt;"",COUNTIFS(tcTipo,AD1518,tcLiq,"Sí")&gt;0),IF(OR(P1518="Gasto",P1518="Transferencia",P1518="Pago tarjeta"),-1,1)*S1518,0)+IF(AND(AE1518&lt;&gt;"",COUNTIFS(tcTipo,AE1518,tcLiq,"Sí")&gt;0),S1518,0))</f>
        <v/>
      </c>
      <c r="AI1518" s="52">
        <f>IF(OR(L1518="",P1518=""),"",IF(COUNTIFS(L$6:L1518,L1518,P$6:P1518,"?*")=1,MAX(AI$5:AI1517)+1,""))</f>
        <v/>
      </c>
    </row>
    <row r="1519">
      <c r="B1519" s="47" t="n"/>
      <c r="C1519" s="48" t="n"/>
      <c r="D1519" s="48" t="n"/>
      <c r="E1519" s="48" t="n"/>
      <c r="F1519" s="48" t="n"/>
      <c r="G1519" s="49" t="n"/>
      <c r="H1519" s="48" t="n"/>
      <c r="I1519" s="50" t="n"/>
      <c r="J1519" s="48" t="n"/>
      <c r="K1519" s="48" t="n"/>
      <c r="L1519" s="48" t="n"/>
      <c r="M1519" s="48" t="n"/>
      <c r="N1519" s="48" t="n"/>
      <c r="O1519" s="51">
        <f>IF(AND(B1519="",G1519="",C1519="",D1519="",J1519=""),"",IF(B1519="","⚠ Falta fecha",IF(G1519="","⚠ Falta monto",IF(Q1519="","⚠ Falta cuenta",IF(ISNA(MATCH(Q1519,ctaNombre,0)),"⚠ Cuenta no registrada",IF(AND(OR(P1519="Gasto",P1519="Reembolso"),D1519=""),"⚠ Falta categoría",IF(AND(D1519&lt;&gt;"",E1519&lt;&gt;"",ISNA(MATCH(D1519&amp;"|"&amp;E1519,catClave,0))),"⚠ Subcategoría no corresponde",IF(AND(OR(P1519="Transferencia",P1519="Pago tarjeta"),K1519=""),"⚠ Falta cuenta destino",IF(AND(K1519&lt;&gt;"",P1519&lt;&gt;"Transferencia",P1519&lt;&gt;"Pago tarjeta"),"⚠ Destino solo aplica a transferencias",IF(AND(K1519&lt;&gt;"",K1519=Q1519),"⚠ Origen igual a destino",IF(AND(K1519&lt;&gt;"",ISNA(MATCH(K1519,ctaNombre,0))),"⚠ Destino no registrado",IF(AND(P1519="Pago tarjeta",AE1519&lt;&gt;"Tarjeta de crédito"),"⚠ El destino debe ser tarjeta de crédito",IF(AND(P1519="Gasto",E1519="Depósitos y retiros"),"⚠ Usa tipo Transferencia",IF(AND(P1519="Resultado trading",AD1519&lt;&gt;"Cuenta de trading"),"⚠ Usa una cuenta de trading",IF(AND(G1519&lt;=0,P1519&lt;&gt;"Ajuste",P1519&lt;&gt;"Resultado trading"),"⚠ El monto debe ser positivo","✓")))))))))))))))</f>
        <v/>
      </c>
      <c r="P1519" s="52">
        <f>IF(OR(B1519="",G1519=""),"",IF(C1519="","Gasto",C1519))</f>
        <v/>
      </c>
      <c r="Q1519" s="52">
        <f>IF(P1519="","",IF(J1519&lt;&gt;"",J1519,CuentaPred&amp;""))</f>
        <v/>
      </c>
      <c r="R1519" s="52">
        <f>IF(P1519="","",IF(ISNUMBER(I1519),I1519,TasaUSD))</f>
        <v/>
      </c>
      <c r="S1519" s="53">
        <f>IF(P1519="","",IF(H1519="USD",G1519*R1519,G1519))</f>
        <v/>
      </c>
      <c r="T1519" s="53">
        <f>IF(P1519="","",IF(H1519="USD",G1519,IF(R1519&gt;0,G1519/R1519,0)))</f>
        <v/>
      </c>
      <c r="U1519" s="53">
        <f>IF(P1519="","",IF(P1519="Gasto",S1519,IF(P1519="Reembolso",-S1519,0)))</f>
        <v/>
      </c>
      <c r="V1519" s="53">
        <f>IF(P1519="","",IF(P1519="Ingreso",S1519,0))</f>
        <v/>
      </c>
      <c r="W1519" s="53">
        <f>IF(P1519="","",IF(P1519="Resultado trading",S1519,0))</f>
        <v/>
      </c>
      <c r="X1519" s="52">
        <f>IF(OR(P1519="Gasto",P1519="Reembolso"),IF(M1519&lt;&gt;"",M1519,IFERROR(INDEX(catClasif,MATCH(D1519&amp;"|"&amp;E1519,catClave,0))&amp;"","Variable")),"")</f>
        <v/>
      </c>
      <c r="Y1519" s="52">
        <f>IF(P1519="","",IFERROR(INDEX(catGrupo,MATCH(D1519&amp;"|"&amp;E1519,catClave,0))&amp;"",""))</f>
        <v/>
      </c>
      <c r="Z1519" s="52">
        <f>IF(P1519="","",WEEKDAY(B1519,2))</f>
        <v/>
      </c>
      <c r="AA1519" s="52">
        <f>IF(P1519="","",IF(AND(P1519="Gasto",X1519="Variable",D1519&lt;&gt;catTrading,S1519&gt;0,S1519&lt;=Umbral),1,0))</f>
        <v/>
      </c>
      <c r="AB1519" s="52">
        <f>IF(OR(P1519="",Q1519=""),"",IFERROR(IF(INDEX(ctaVinc,MATCH(Q1519,ctaNombre,0))&amp;""&lt;&gt;"",INDEX(ctaVinc,MATCH(Q1519,ctaNombre,0))&amp;"",Q1519),Q1519))</f>
        <v/>
      </c>
      <c r="AC1519" s="52">
        <f>IF(OR(K1519="",AND(P1519&lt;&gt;"Transferencia",P1519&lt;&gt;"Pago tarjeta")),"",IFERROR(IF(INDEX(ctaVinc,MATCH(K1519,ctaNombre,0))&amp;""&lt;&gt;"",INDEX(ctaVinc,MATCH(K1519,ctaNombre,0))&amp;"",K1519),K1519))</f>
        <v/>
      </c>
      <c r="AD1519" s="52">
        <f>IF(AB1519="","",IFERROR(INDEX(ctaTipo,MATCH(AB1519,ctaNombre,0))&amp;"",""))</f>
        <v/>
      </c>
      <c r="AE1519" s="52">
        <f>IF(AC1519="","",IFERROR(INDEX(ctaTipo,MATCH(AC1519,ctaNombre,0))&amp;"",""))</f>
        <v/>
      </c>
      <c r="AF1519" s="53">
        <f>IF(OR(P1519="",AB1519=""),"",IF(OR(P1519="Gasto",P1519="Transferencia",P1519="Pago tarjeta"),-1,1)*IF(IFERROR(INDEX(ctaMoneda,MATCH(AB1519,ctaNombre,0))&amp;"","DOP")="USD",T1519,S1519))</f>
        <v/>
      </c>
      <c r="AG1519" s="53">
        <f>IF(AC1519="","",IF(IFERROR(INDEX(ctaMoneda,MATCH(AC1519,ctaNombre,0))&amp;"","DOP")="USD",T1519,S1519))</f>
        <v/>
      </c>
      <c r="AH1519" s="53">
        <f>IF(P1519="","",IF(AND(AD1519&lt;&gt;"",COUNTIFS(tcTipo,AD1519,tcLiq,"Sí")&gt;0),IF(OR(P1519="Gasto",P1519="Transferencia",P1519="Pago tarjeta"),-1,1)*S1519,0)+IF(AND(AE1519&lt;&gt;"",COUNTIFS(tcTipo,AE1519,tcLiq,"Sí")&gt;0),S1519,0))</f>
        <v/>
      </c>
      <c r="AI1519" s="52">
        <f>IF(OR(L1519="",P1519=""),"",IF(COUNTIFS(L$6:L1519,L1519,P$6:P1519,"?*")=1,MAX(AI$5:AI1518)+1,""))</f>
        <v/>
      </c>
    </row>
    <row r="1520">
      <c r="B1520" s="47" t="n"/>
      <c r="C1520" s="48" t="n"/>
      <c r="D1520" s="48" t="n"/>
      <c r="E1520" s="48" t="n"/>
      <c r="F1520" s="48" t="n"/>
      <c r="G1520" s="49" t="n"/>
      <c r="H1520" s="48" t="n"/>
      <c r="I1520" s="50" t="n"/>
      <c r="J1520" s="48" t="n"/>
      <c r="K1520" s="48" t="n"/>
      <c r="L1520" s="48" t="n"/>
      <c r="M1520" s="48" t="n"/>
      <c r="N1520" s="48" t="n"/>
      <c r="O1520" s="51">
        <f>IF(AND(B1520="",G1520="",C1520="",D1520="",J1520=""),"",IF(B1520="","⚠ Falta fecha",IF(G1520="","⚠ Falta monto",IF(Q1520="","⚠ Falta cuenta",IF(ISNA(MATCH(Q1520,ctaNombre,0)),"⚠ Cuenta no registrada",IF(AND(OR(P1520="Gasto",P1520="Reembolso"),D1520=""),"⚠ Falta categoría",IF(AND(D1520&lt;&gt;"",E1520&lt;&gt;"",ISNA(MATCH(D1520&amp;"|"&amp;E1520,catClave,0))),"⚠ Subcategoría no corresponde",IF(AND(OR(P1520="Transferencia",P1520="Pago tarjeta"),K1520=""),"⚠ Falta cuenta destino",IF(AND(K1520&lt;&gt;"",P1520&lt;&gt;"Transferencia",P1520&lt;&gt;"Pago tarjeta"),"⚠ Destino solo aplica a transferencias",IF(AND(K1520&lt;&gt;"",K1520=Q1520),"⚠ Origen igual a destino",IF(AND(K1520&lt;&gt;"",ISNA(MATCH(K1520,ctaNombre,0))),"⚠ Destino no registrado",IF(AND(P1520="Pago tarjeta",AE1520&lt;&gt;"Tarjeta de crédito"),"⚠ El destino debe ser tarjeta de crédito",IF(AND(P1520="Gasto",E1520="Depósitos y retiros"),"⚠ Usa tipo Transferencia",IF(AND(P1520="Resultado trading",AD1520&lt;&gt;"Cuenta de trading"),"⚠ Usa una cuenta de trading",IF(AND(G1520&lt;=0,P1520&lt;&gt;"Ajuste",P1520&lt;&gt;"Resultado trading"),"⚠ El monto debe ser positivo","✓")))))))))))))))</f>
        <v/>
      </c>
      <c r="P1520" s="52">
        <f>IF(OR(B1520="",G1520=""),"",IF(C1520="","Gasto",C1520))</f>
        <v/>
      </c>
      <c r="Q1520" s="52">
        <f>IF(P1520="","",IF(J1520&lt;&gt;"",J1520,CuentaPred&amp;""))</f>
        <v/>
      </c>
      <c r="R1520" s="52">
        <f>IF(P1520="","",IF(ISNUMBER(I1520),I1520,TasaUSD))</f>
        <v/>
      </c>
      <c r="S1520" s="53">
        <f>IF(P1520="","",IF(H1520="USD",G1520*R1520,G1520))</f>
        <v/>
      </c>
      <c r="T1520" s="53">
        <f>IF(P1520="","",IF(H1520="USD",G1520,IF(R1520&gt;0,G1520/R1520,0)))</f>
        <v/>
      </c>
      <c r="U1520" s="53">
        <f>IF(P1520="","",IF(P1520="Gasto",S1520,IF(P1520="Reembolso",-S1520,0)))</f>
        <v/>
      </c>
      <c r="V1520" s="53">
        <f>IF(P1520="","",IF(P1520="Ingreso",S1520,0))</f>
        <v/>
      </c>
      <c r="W1520" s="53">
        <f>IF(P1520="","",IF(P1520="Resultado trading",S1520,0))</f>
        <v/>
      </c>
      <c r="X1520" s="52">
        <f>IF(OR(P1520="Gasto",P1520="Reembolso"),IF(M1520&lt;&gt;"",M1520,IFERROR(INDEX(catClasif,MATCH(D1520&amp;"|"&amp;E1520,catClave,0))&amp;"","Variable")),"")</f>
        <v/>
      </c>
      <c r="Y1520" s="52">
        <f>IF(P1520="","",IFERROR(INDEX(catGrupo,MATCH(D1520&amp;"|"&amp;E1520,catClave,0))&amp;"",""))</f>
        <v/>
      </c>
      <c r="Z1520" s="52">
        <f>IF(P1520="","",WEEKDAY(B1520,2))</f>
        <v/>
      </c>
      <c r="AA1520" s="52">
        <f>IF(P1520="","",IF(AND(P1520="Gasto",X1520="Variable",D1520&lt;&gt;catTrading,S1520&gt;0,S1520&lt;=Umbral),1,0))</f>
        <v/>
      </c>
      <c r="AB1520" s="52">
        <f>IF(OR(P1520="",Q1520=""),"",IFERROR(IF(INDEX(ctaVinc,MATCH(Q1520,ctaNombre,0))&amp;""&lt;&gt;"",INDEX(ctaVinc,MATCH(Q1520,ctaNombre,0))&amp;"",Q1520),Q1520))</f>
        <v/>
      </c>
      <c r="AC1520" s="52">
        <f>IF(OR(K1520="",AND(P1520&lt;&gt;"Transferencia",P1520&lt;&gt;"Pago tarjeta")),"",IFERROR(IF(INDEX(ctaVinc,MATCH(K1520,ctaNombre,0))&amp;""&lt;&gt;"",INDEX(ctaVinc,MATCH(K1520,ctaNombre,0))&amp;"",K1520),K1520))</f>
        <v/>
      </c>
      <c r="AD1520" s="52">
        <f>IF(AB1520="","",IFERROR(INDEX(ctaTipo,MATCH(AB1520,ctaNombre,0))&amp;"",""))</f>
        <v/>
      </c>
      <c r="AE1520" s="52">
        <f>IF(AC1520="","",IFERROR(INDEX(ctaTipo,MATCH(AC1520,ctaNombre,0))&amp;"",""))</f>
        <v/>
      </c>
      <c r="AF1520" s="53">
        <f>IF(OR(P1520="",AB1520=""),"",IF(OR(P1520="Gasto",P1520="Transferencia",P1520="Pago tarjeta"),-1,1)*IF(IFERROR(INDEX(ctaMoneda,MATCH(AB1520,ctaNombre,0))&amp;"","DOP")="USD",T1520,S1520))</f>
        <v/>
      </c>
      <c r="AG1520" s="53">
        <f>IF(AC1520="","",IF(IFERROR(INDEX(ctaMoneda,MATCH(AC1520,ctaNombre,0))&amp;"","DOP")="USD",T1520,S1520))</f>
        <v/>
      </c>
      <c r="AH1520" s="53">
        <f>IF(P1520="","",IF(AND(AD1520&lt;&gt;"",COUNTIFS(tcTipo,AD1520,tcLiq,"Sí")&gt;0),IF(OR(P1520="Gasto",P1520="Transferencia",P1520="Pago tarjeta"),-1,1)*S1520,0)+IF(AND(AE1520&lt;&gt;"",COUNTIFS(tcTipo,AE1520,tcLiq,"Sí")&gt;0),S1520,0))</f>
        <v/>
      </c>
      <c r="AI1520" s="52">
        <f>IF(OR(L1520="",P1520=""),"",IF(COUNTIFS(L$6:L1520,L1520,P$6:P1520,"?*")=1,MAX(AI$5:AI1519)+1,""))</f>
        <v/>
      </c>
    </row>
    <row r="1521">
      <c r="B1521" s="47" t="n"/>
      <c r="C1521" s="48" t="n"/>
      <c r="D1521" s="48" t="n"/>
      <c r="E1521" s="48" t="n"/>
      <c r="F1521" s="48" t="n"/>
      <c r="G1521" s="49" t="n"/>
      <c r="H1521" s="48" t="n"/>
      <c r="I1521" s="50" t="n"/>
      <c r="J1521" s="48" t="n"/>
      <c r="K1521" s="48" t="n"/>
      <c r="L1521" s="48" t="n"/>
      <c r="M1521" s="48" t="n"/>
      <c r="N1521" s="48" t="n"/>
      <c r="O1521" s="51">
        <f>IF(AND(B1521="",G1521="",C1521="",D1521="",J1521=""),"",IF(B1521="","⚠ Falta fecha",IF(G1521="","⚠ Falta monto",IF(Q1521="","⚠ Falta cuenta",IF(ISNA(MATCH(Q1521,ctaNombre,0)),"⚠ Cuenta no registrada",IF(AND(OR(P1521="Gasto",P1521="Reembolso"),D1521=""),"⚠ Falta categoría",IF(AND(D1521&lt;&gt;"",E1521&lt;&gt;"",ISNA(MATCH(D1521&amp;"|"&amp;E1521,catClave,0))),"⚠ Subcategoría no corresponde",IF(AND(OR(P1521="Transferencia",P1521="Pago tarjeta"),K1521=""),"⚠ Falta cuenta destino",IF(AND(K1521&lt;&gt;"",P1521&lt;&gt;"Transferencia",P1521&lt;&gt;"Pago tarjeta"),"⚠ Destino solo aplica a transferencias",IF(AND(K1521&lt;&gt;"",K1521=Q1521),"⚠ Origen igual a destino",IF(AND(K1521&lt;&gt;"",ISNA(MATCH(K1521,ctaNombre,0))),"⚠ Destino no registrado",IF(AND(P1521="Pago tarjeta",AE1521&lt;&gt;"Tarjeta de crédito"),"⚠ El destino debe ser tarjeta de crédito",IF(AND(P1521="Gasto",E1521="Depósitos y retiros"),"⚠ Usa tipo Transferencia",IF(AND(P1521="Resultado trading",AD1521&lt;&gt;"Cuenta de trading"),"⚠ Usa una cuenta de trading",IF(AND(G1521&lt;=0,P1521&lt;&gt;"Ajuste",P1521&lt;&gt;"Resultado trading"),"⚠ El monto debe ser positivo","✓")))))))))))))))</f>
        <v/>
      </c>
      <c r="P1521" s="52">
        <f>IF(OR(B1521="",G1521=""),"",IF(C1521="","Gasto",C1521))</f>
        <v/>
      </c>
      <c r="Q1521" s="52">
        <f>IF(P1521="","",IF(J1521&lt;&gt;"",J1521,CuentaPred&amp;""))</f>
        <v/>
      </c>
      <c r="R1521" s="52">
        <f>IF(P1521="","",IF(ISNUMBER(I1521),I1521,TasaUSD))</f>
        <v/>
      </c>
      <c r="S1521" s="53">
        <f>IF(P1521="","",IF(H1521="USD",G1521*R1521,G1521))</f>
        <v/>
      </c>
      <c r="T1521" s="53">
        <f>IF(P1521="","",IF(H1521="USD",G1521,IF(R1521&gt;0,G1521/R1521,0)))</f>
        <v/>
      </c>
      <c r="U1521" s="53">
        <f>IF(P1521="","",IF(P1521="Gasto",S1521,IF(P1521="Reembolso",-S1521,0)))</f>
        <v/>
      </c>
      <c r="V1521" s="53">
        <f>IF(P1521="","",IF(P1521="Ingreso",S1521,0))</f>
        <v/>
      </c>
      <c r="W1521" s="53">
        <f>IF(P1521="","",IF(P1521="Resultado trading",S1521,0))</f>
        <v/>
      </c>
      <c r="X1521" s="52">
        <f>IF(OR(P1521="Gasto",P1521="Reembolso"),IF(M1521&lt;&gt;"",M1521,IFERROR(INDEX(catClasif,MATCH(D1521&amp;"|"&amp;E1521,catClave,0))&amp;"","Variable")),"")</f>
        <v/>
      </c>
      <c r="Y1521" s="52">
        <f>IF(P1521="","",IFERROR(INDEX(catGrupo,MATCH(D1521&amp;"|"&amp;E1521,catClave,0))&amp;"",""))</f>
        <v/>
      </c>
      <c r="Z1521" s="52">
        <f>IF(P1521="","",WEEKDAY(B1521,2))</f>
        <v/>
      </c>
      <c r="AA1521" s="52">
        <f>IF(P1521="","",IF(AND(P1521="Gasto",X1521="Variable",D1521&lt;&gt;catTrading,S1521&gt;0,S1521&lt;=Umbral),1,0))</f>
        <v/>
      </c>
      <c r="AB1521" s="52">
        <f>IF(OR(P1521="",Q1521=""),"",IFERROR(IF(INDEX(ctaVinc,MATCH(Q1521,ctaNombre,0))&amp;""&lt;&gt;"",INDEX(ctaVinc,MATCH(Q1521,ctaNombre,0))&amp;"",Q1521),Q1521))</f>
        <v/>
      </c>
      <c r="AC1521" s="52">
        <f>IF(OR(K1521="",AND(P1521&lt;&gt;"Transferencia",P1521&lt;&gt;"Pago tarjeta")),"",IFERROR(IF(INDEX(ctaVinc,MATCH(K1521,ctaNombre,0))&amp;""&lt;&gt;"",INDEX(ctaVinc,MATCH(K1521,ctaNombre,0))&amp;"",K1521),K1521))</f>
        <v/>
      </c>
      <c r="AD1521" s="52">
        <f>IF(AB1521="","",IFERROR(INDEX(ctaTipo,MATCH(AB1521,ctaNombre,0))&amp;"",""))</f>
        <v/>
      </c>
      <c r="AE1521" s="52">
        <f>IF(AC1521="","",IFERROR(INDEX(ctaTipo,MATCH(AC1521,ctaNombre,0))&amp;"",""))</f>
        <v/>
      </c>
      <c r="AF1521" s="53">
        <f>IF(OR(P1521="",AB1521=""),"",IF(OR(P1521="Gasto",P1521="Transferencia",P1521="Pago tarjeta"),-1,1)*IF(IFERROR(INDEX(ctaMoneda,MATCH(AB1521,ctaNombre,0))&amp;"","DOP")="USD",T1521,S1521))</f>
        <v/>
      </c>
      <c r="AG1521" s="53">
        <f>IF(AC1521="","",IF(IFERROR(INDEX(ctaMoneda,MATCH(AC1521,ctaNombre,0))&amp;"","DOP")="USD",T1521,S1521))</f>
        <v/>
      </c>
      <c r="AH1521" s="53">
        <f>IF(P1521="","",IF(AND(AD1521&lt;&gt;"",COUNTIFS(tcTipo,AD1521,tcLiq,"Sí")&gt;0),IF(OR(P1521="Gasto",P1521="Transferencia",P1521="Pago tarjeta"),-1,1)*S1521,0)+IF(AND(AE1521&lt;&gt;"",COUNTIFS(tcTipo,AE1521,tcLiq,"Sí")&gt;0),S1521,0))</f>
        <v/>
      </c>
      <c r="AI1521" s="52">
        <f>IF(OR(L1521="",P1521=""),"",IF(COUNTIFS(L$6:L1521,L1521,P$6:P1521,"?*")=1,MAX(AI$5:AI1520)+1,""))</f>
        <v/>
      </c>
    </row>
    <row r="1522">
      <c r="B1522" s="47" t="n"/>
      <c r="C1522" s="48" t="n"/>
      <c r="D1522" s="48" t="n"/>
      <c r="E1522" s="48" t="n"/>
      <c r="F1522" s="48" t="n"/>
      <c r="G1522" s="49" t="n"/>
      <c r="H1522" s="48" t="n"/>
      <c r="I1522" s="50" t="n"/>
      <c r="J1522" s="48" t="n"/>
      <c r="K1522" s="48" t="n"/>
      <c r="L1522" s="48" t="n"/>
      <c r="M1522" s="48" t="n"/>
      <c r="N1522" s="48" t="n"/>
      <c r="O1522" s="51">
        <f>IF(AND(B1522="",G1522="",C1522="",D1522="",J1522=""),"",IF(B1522="","⚠ Falta fecha",IF(G1522="","⚠ Falta monto",IF(Q1522="","⚠ Falta cuenta",IF(ISNA(MATCH(Q1522,ctaNombre,0)),"⚠ Cuenta no registrada",IF(AND(OR(P1522="Gasto",P1522="Reembolso"),D1522=""),"⚠ Falta categoría",IF(AND(D1522&lt;&gt;"",E1522&lt;&gt;"",ISNA(MATCH(D1522&amp;"|"&amp;E1522,catClave,0))),"⚠ Subcategoría no corresponde",IF(AND(OR(P1522="Transferencia",P1522="Pago tarjeta"),K1522=""),"⚠ Falta cuenta destino",IF(AND(K1522&lt;&gt;"",P1522&lt;&gt;"Transferencia",P1522&lt;&gt;"Pago tarjeta"),"⚠ Destino solo aplica a transferencias",IF(AND(K1522&lt;&gt;"",K1522=Q1522),"⚠ Origen igual a destino",IF(AND(K1522&lt;&gt;"",ISNA(MATCH(K1522,ctaNombre,0))),"⚠ Destino no registrado",IF(AND(P1522="Pago tarjeta",AE1522&lt;&gt;"Tarjeta de crédito"),"⚠ El destino debe ser tarjeta de crédito",IF(AND(P1522="Gasto",E1522="Depósitos y retiros"),"⚠ Usa tipo Transferencia",IF(AND(P1522="Resultado trading",AD1522&lt;&gt;"Cuenta de trading"),"⚠ Usa una cuenta de trading",IF(AND(G1522&lt;=0,P1522&lt;&gt;"Ajuste",P1522&lt;&gt;"Resultado trading"),"⚠ El monto debe ser positivo","✓")))))))))))))))</f>
        <v/>
      </c>
      <c r="P1522" s="52">
        <f>IF(OR(B1522="",G1522=""),"",IF(C1522="","Gasto",C1522))</f>
        <v/>
      </c>
      <c r="Q1522" s="52">
        <f>IF(P1522="","",IF(J1522&lt;&gt;"",J1522,CuentaPred&amp;""))</f>
        <v/>
      </c>
      <c r="R1522" s="52">
        <f>IF(P1522="","",IF(ISNUMBER(I1522),I1522,TasaUSD))</f>
        <v/>
      </c>
      <c r="S1522" s="53">
        <f>IF(P1522="","",IF(H1522="USD",G1522*R1522,G1522))</f>
        <v/>
      </c>
      <c r="T1522" s="53">
        <f>IF(P1522="","",IF(H1522="USD",G1522,IF(R1522&gt;0,G1522/R1522,0)))</f>
        <v/>
      </c>
      <c r="U1522" s="53">
        <f>IF(P1522="","",IF(P1522="Gasto",S1522,IF(P1522="Reembolso",-S1522,0)))</f>
        <v/>
      </c>
      <c r="V1522" s="53">
        <f>IF(P1522="","",IF(P1522="Ingreso",S1522,0))</f>
        <v/>
      </c>
      <c r="W1522" s="53">
        <f>IF(P1522="","",IF(P1522="Resultado trading",S1522,0))</f>
        <v/>
      </c>
      <c r="X1522" s="52">
        <f>IF(OR(P1522="Gasto",P1522="Reembolso"),IF(M1522&lt;&gt;"",M1522,IFERROR(INDEX(catClasif,MATCH(D1522&amp;"|"&amp;E1522,catClave,0))&amp;"","Variable")),"")</f>
        <v/>
      </c>
      <c r="Y1522" s="52">
        <f>IF(P1522="","",IFERROR(INDEX(catGrupo,MATCH(D1522&amp;"|"&amp;E1522,catClave,0))&amp;"",""))</f>
        <v/>
      </c>
      <c r="Z1522" s="52">
        <f>IF(P1522="","",WEEKDAY(B1522,2))</f>
        <v/>
      </c>
      <c r="AA1522" s="52">
        <f>IF(P1522="","",IF(AND(P1522="Gasto",X1522="Variable",D1522&lt;&gt;catTrading,S1522&gt;0,S1522&lt;=Umbral),1,0))</f>
        <v/>
      </c>
      <c r="AB1522" s="52">
        <f>IF(OR(P1522="",Q1522=""),"",IFERROR(IF(INDEX(ctaVinc,MATCH(Q1522,ctaNombre,0))&amp;""&lt;&gt;"",INDEX(ctaVinc,MATCH(Q1522,ctaNombre,0))&amp;"",Q1522),Q1522))</f>
        <v/>
      </c>
      <c r="AC1522" s="52">
        <f>IF(OR(K1522="",AND(P1522&lt;&gt;"Transferencia",P1522&lt;&gt;"Pago tarjeta")),"",IFERROR(IF(INDEX(ctaVinc,MATCH(K1522,ctaNombre,0))&amp;""&lt;&gt;"",INDEX(ctaVinc,MATCH(K1522,ctaNombre,0))&amp;"",K1522),K1522))</f>
        <v/>
      </c>
      <c r="AD1522" s="52">
        <f>IF(AB1522="","",IFERROR(INDEX(ctaTipo,MATCH(AB1522,ctaNombre,0))&amp;"",""))</f>
        <v/>
      </c>
      <c r="AE1522" s="52">
        <f>IF(AC1522="","",IFERROR(INDEX(ctaTipo,MATCH(AC1522,ctaNombre,0))&amp;"",""))</f>
        <v/>
      </c>
      <c r="AF1522" s="53">
        <f>IF(OR(P1522="",AB1522=""),"",IF(OR(P1522="Gasto",P1522="Transferencia",P1522="Pago tarjeta"),-1,1)*IF(IFERROR(INDEX(ctaMoneda,MATCH(AB1522,ctaNombre,0))&amp;"","DOP")="USD",T1522,S1522))</f>
        <v/>
      </c>
      <c r="AG1522" s="53">
        <f>IF(AC1522="","",IF(IFERROR(INDEX(ctaMoneda,MATCH(AC1522,ctaNombre,0))&amp;"","DOP")="USD",T1522,S1522))</f>
        <v/>
      </c>
      <c r="AH1522" s="53">
        <f>IF(P1522="","",IF(AND(AD1522&lt;&gt;"",COUNTIFS(tcTipo,AD1522,tcLiq,"Sí")&gt;0),IF(OR(P1522="Gasto",P1522="Transferencia",P1522="Pago tarjeta"),-1,1)*S1522,0)+IF(AND(AE1522&lt;&gt;"",COUNTIFS(tcTipo,AE1522,tcLiq,"Sí")&gt;0),S1522,0))</f>
        <v/>
      </c>
      <c r="AI1522" s="52">
        <f>IF(OR(L1522="",P1522=""),"",IF(COUNTIFS(L$6:L1522,L1522,P$6:P1522,"?*")=1,MAX(AI$5:AI1521)+1,""))</f>
        <v/>
      </c>
    </row>
    <row r="1523">
      <c r="B1523" s="47" t="n"/>
      <c r="C1523" s="48" t="n"/>
      <c r="D1523" s="48" t="n"/>
      <c r="E1523" s="48" t="n"/>
      <c r="F1523" s="48" t="n"/>
      <c r="G1523" s="49" t="n"/>
      <c r="H1523" s="48" t="n"/>
      <c r="I1523" s="50" t="n"/>
      <c r="J1523" s="48" t="n"/>
      <c r="K1523" s="48" t="n"/>
      <c r="L1523" s="48" t="n"/>
      <c r="M1523" s="48" t="n"/>
      <c r="N1523" s="48" t="n"/>
      <c r="O1523" s="51">
        <f>IF(AND(B1523="",G1523="",C1523="",D1523="",J1523=""),"",IF(B1523="","⚠ Falta fecha",IF(G1523="","⚠ Falta monto",IF(Q1523="","⚠ Falta cuenta",IF(ISNA(MATCH(Q1523,ctaNombre,0)),"⚠ Cuenta no registrada",IF(AND(OR(P1523="Gasto",P1523="Reembolso"),D1523=""),"⚠ Falta categoría",IF(AND(D1523&lt;&gt;"",E1523&lt;&gt;"",ISNA(MATCH(D1523&amp;"|"&amp;E1523,catClave,0))),"⚠ Subcategoría no corresponde",IF(AND(OR(P1523="Transferencia",P1523="Pago tarjeta"),K1523=""),"⚠ Falta cuenta destino",IF(AND(K1523&lt;&gt;"",P1523&lt;&gt;"Transferencia",P1523&lt;&gt;"Pago tarjeta"),"⚠ Destino solo aplica a transferencias",IF(AND(K1523&lt;&gt;"",K1523=Q1523),"⚠ Origen igual a destino",IF(AND(K1523&lt;&gt;"",ISNA(MATCH(K1523,ctaNombre,0))),"⚠ Destino no registrado",IF(AND(P1523="Pago tarjeta",AE1523&lt;&gt;"Tarjeta de crédito"),"⚠ El destino debe ser tarjeta de crédito",IF(AND(P1523="Gasto",E1523="Depósitos y retiros"),"⚠ Usa tipo Transferencia",IF(AND(P1523="Resultado trading",AD1523&lt;&gt;"Cuenta de trading"),"⚠ Usa una cuenta de trading",IF(AND(G1523&lt;=0,P1523&lt;&gt;"Ajuste",P1523&lt;&gt;"Resultado trading"),"⚠ El monto debe ser positivo","✓")))))))))))))))</f>
        <v/>
      </c>
      <c r="P1523" s="52">
        <f>IF(OR(B1523="",G1523=""),"",IF(C1523="","Gasto",C1523))</f>
        <v/>
      </c>
      <c r="Q1523" s="52">
        <f>IF(P1523="","",IF(J1523&lt;&gt;"",J1523,CuentaPred&amp;""))</f>
        <v/>
      </c>
      <c r="R1523" s="52">
        <f>IF(P1523="","",IF(ISNUMBER(I1523),I1523,TasaUSD))</f>
        <v/>
      </c>
      <c r="S1523" s="53">
        <f>IF(P1523="","",IF(H1523="USD",G1523*R1523,G1523))</f>
        <v/>
      </c>
      <c r="T1523" s="53">
        <f>IF(P1523="","",IF(H1523="USD",G1523,IF(R1523&gt;0,G1523/R1523,0)))</f>
        <v/>
      </c>
      <c r="U1523" s="53">
        <f>IF(P1523="","",IF(P1523="Gasto",S1523,IF(P1523="Reembolso",-S1523,0)))</f>
        <v/>
      </c>
      <c r="V1523" s="53">
        <f>IF(P1523="","",IF(P1523="Ingreso",S1523,0))</f>
        <v/>
      </c>
      <c r="W1523" s="53">
        <f>IF(P1523="","",IF(P1523="Resultado trading",S1523,0))</f>
        <v/>
      </c>
      <c r="X1523" s="52">
        <f>IF(OR(P1523="Gasto",P1523="Reembolso"),IF(M1523&lt;&gt;"",M1523,IFERROR(INDEX(catClasif,MATCH(D1523&amp;"|"&amp;E1523,catClave,0))&amp;"","Variable")),"")</f>
        <v/>
      </c>
      <c r="Y1523" s="52">
        <f>IF(P1523="","",IFERROR(INDEX(catGrupo,MATCH(D1523&amp;"|"&amp;E1523,catClave,0))&amp;"",""))</f>
        <v/>
      </c>
      <c r="Z1523" s="52">
        <f>IF(P1523="","",WEEKDAY(B1523,2))</f>
        <v/>
      </c>
      <c r="AA1523" s="52">
        <f>IF(P1523="","",IF(AND(P1523="Gasto",X1523="Variable",D1523&lt;&gt;catTrading,S1523&gt;0,S1523&lt;=Umbral),1,0))</f>
        <v/>
      </c>
      <c r="AB1523" s="52">
        <f>IF(OR(P1523="",Q1523=""),"",IFERROR(IF(INDEX(ctaVinc,MATCH(Q1523,ctaNombre,0))&amp;""&lt;&gt;"",INDEX(ctaVinc,MATCH(Q1523,ctaNombre,0))&amp;"",Q1523),Q1523))</f>
        <v/>
      </c>
      <c r="AC1523" s="52">
        <f>IF(OR(K1523="",AND(P1523&lt;&gt;"Transferencia",P1523&lt;&gt;"Pago tarjeta")),"",IFERROR(IF(INDEX(ctaVinc,MATCH(K1523,ctaNombre,0))&amp;""&lt;&gt;"",INDEX(ctaVinc,MATCH(K1523,ctaNombre,0))&amp;"",K1523),K1523))</f>
        <v/>
      </c>
      <c r="AD1523" s="52">
        <f>IF(AB1523="","",IFERROR(INDEX(ctaTipo,MATCH(AB1523,ctaNombre,0))&amp;"",""))</f>
        <v/>
      </c>
      <c r="AE1523" s="52">
        <f>IF(AC1523="","",IFERROR(INDEX(ctaTipo,MATCH(AC1523,ctaNombre,0))&amp;"",""))</f>
        <v/>
      </c>
      <c r="AF1523" s="53">
        <f>IF(OR(P1523="",AB1523=""),"",IF(OR(P1523="Gasto",P1523="Transferencia",P1523="Pago tarjeta"),-1,1)*IF(IFERROR(INDEX(ctaMoneda,MATCH(AB1523,ctaNombre,0))&amp;"","DOP")="USD",T1523,S1523))</f>
        <v/>
      </c>
      <c r="AG1523" s="53">
        <f>IF(AC1523="","",IF(IFERROR(INDEX(ctaMoneda,MATCH(AC1523,ctaNombre,0))&amp;"","DOP")="USD",T1523,S1523))</f>
        <v/>
      </c>
      <c r="AH1523" s="53">
        <f>IF(P1523="","",IF(AND(AD1523&lt;&gt;"",COUNTIFS(tcTipo,AD1523,tcLiq,"Sí")&gt;0),IF(OR(P1523="Gasto",P1523="Transferencia",P1523="Pago tarjeta"),-1,1)*S1523,0)+IF(AND(AE1523&lt;&gt;"",COUNTIFS(tcTipo,AE1523,tcLiq,"Sí")&gt;0),S1523,0))</f>
        <v/>
      </c>
      <c r="AI1523" s="52">
        <f>IF(OR(L1523="",P1523=""),"",IF(COUNTIFS(L$6:L1523,L1523,P$6:P1523,"?*")=1,MAX(AI$5:AI1522)+1,""))</f>
        <v/>
      </c>
    </row>
    <row r="1524">
      <c r="B1524" s="47" t="n"/>
      <c r="C1524" s="48" t="n"/>
      <c r="D1524" s="48" t="n"/>
      <c r="E1524" s="48" t="n"/>
      <c r="F1524" s="48" t="n"/>
      <c r="G1524" s="49" t="n"/>
      <c r="H1524" s="48" t="n"/>
      <c r="I1524" s="50" t="n"/>
      <c r="J1524" s="48" t="n"/>
      <c r="K1524" s="48" t="n"/>
      <c r="L1524" s="48" t="n"/>
      <c r="M1524" s="48" t="n"/>
      <c r="N1524" s="48" t="n"/>
      <c r="O1524" s="51">
        <f>IF(AND(B1524="",G1524="",C1524="",D1524="",J1524=""),"",IF(B1524="","⚠ Falta fecha",IF(G1524="","⚠ Falta monto",IF(Q1524="","⚠ Falta cuenta",IF(ISNA(MATCH(Q1524,ctaNombre,0)),"⚠ Cuenta no registrada",IF(AND(OR(P1524="Gasto",P1524="Reembolso"),D1524=""),"⚠ Falta categoría",IF(AND(D1524&lt;&gt;"",E1524&lt;&gt;"",ISNA(MATCH(D1524&amp;"|"&amp;E1524,catClave,0))),"⚠ Subcategoría no corresponde",IF(AND(OR(P1524="Transferencia",P1524="Pago tarjeta"),K1524=""),"⚠ Falta cuenta destino",IF(AND(K1524&lt;&gt;"",P1524&lt;&gt;"Transferencia",P1524&lt;&gt;"Pago tarjeta"),"⚠ Destino solo aplica a transferencias",IF(AND(K1524&lt;&gt;"",K1524=Q1524),"⚠ Origen igual a destino",IF(AND(K1524&lt;&gt;"",ISNA(MATCH(K1524,ctaNombre,0))),"⚠ Destino no registrado",IF(AND(P1524="Pago tarjeta",AE1524&lt;&gt;"Tarjeta de crédito"),"⚠ El destino debe ser tarjeta de crédito",IF(AND(P1524="Gasto",E1524="Depósitos y retiros"),"⚠ Usa tipo Transferencia",IF(AND(P1524="Resultado trading",AD1524&lt;&gt;"Cuenta de trading"),"⚠ Usa una cuenta de trading",IF(AND(G1524&lt;=0,P1524&lt;&gt;"Ajuste",P1524&lt;&gt;"Resultado trading"),"⚠ El monto debe ser positivo","✓")))))))))))))))</f>
        <v/>
      </c>
      <c r="P1524" s="52">
        <f>IF(OR(B1524="",G1524=""),"",IF(C1524="","Gasto",C1524))</f>
        <v/>
      </c>
      <c r="Q1524" s="52">
        <f>IF(P1524="","",IF(J1524&lt;&gt;"",J1524,CuentaPred&amp;""))</f>
        <v/>
      </c>
      <c r="R1524" s="52">
        <f>IF(P1524="","",IF(ISNUMBER(I1524),I1524,TasaUSD))</f>
        <v/>
      </c>
      <c r="S1524" s="53">
        <f>IF(P1524="","",IF(H1524="USD",G1524*R1524,G1524))</f>
        <v/>
      </c>
      <c r="T1524" s="53">
        <f>IF(P1524="","",IF(H1524="USD",G1524,IF(R1524&gt;0,G1524/R1524,0)))</f>
        <v/>
      </c>
      <c r="U1524" s="53">
        <f>IF(P1524="","",IF(P1524="Gasto",S1524,IF(P1524="Reembolso",-S1524,0)))</f>
        <v/>
      </c>
      <c r="V1524" s="53">
        <f>IF(P1524="","",IF(P1524="Ingreso",S1524,0))</f>
        <v/>
      </c>
      <c r="W1524" s="53">
        <f>IF(P1524="","",IF(P1524="Resultado trading",S1524,0))</f>
        <v/>
      </c>
      <c r="X1524" s="52">
        <f>IF(OR(P1524="Gasto",P1524="Reembolso"),IF(M1524&lt;&gt;"",M1524,IFERROR(INDEX(catClasif,MATCH(D1524&amp;"|"&amp;E1524,catClave,0))&amp;"","Variable")),"")</f>
        <v/>
      </c>
      <c r="Y1524" s="52">
        <f>IF(P1524="","",IFERROR(INDEX(catGrupo,MATCH(D1524&amp;"|"&amp;E1524,catClave,0))&amp;"",""))</f>
        <v/>
      </c>
      <c r="Z1524" s="52">
        <f>IF(P1524="","",WEEKDAY(B1524,2))</f>
        <v/>
      </c>
      <c r="AA1524" s="52">
        <f>IF(P1524="","",IF(AND(P1524="Gasto",X1524="Variable",D1524&lt;&gt;catTrading,S1524&gt;0,S1524&lt;=Umbral),1,0))</f>
        <v/>
      </c>
      <c r="AB1524" s="52">
        <f>IF(OR(P1524="",Q1524=""),"",IFERROR(IF(INDEX(ctaVinc,MATCH(Q1524,ctaNombre,0))&amp;""&lt;&gt;"",INDEX(ctaVinc,MATCH(Q1524,ctaNombre,0))&amp;"",Q1524),Q1524))</f>
        <v/>
      </c>
      <c r="AC1524" s="52">
        <f>IF(OR(K1524="",AND(P1524&lt;&gt;"Transferencia",P1524&lt;&gt;"Pago tarjeta")),"",IFERROR(IF(INDEX(ctaVinc,MATCH(K1524,ctaNombre,0))&amp;""&lt;&gt;"",INDEX(ctaVinc,MATCH(K1524,ctaNombre,0))&amp;"",K1524),K1524))</f>
        <v/>
      </c>
      <c r="AD1524" s="52">
        <f>IF(AB1524="","",IFERROR(INDEX(ctaTipo,MATCH(AB1524,ctaNombre,0))&amp;"",""))</f>
        <v/>
      </c>
      <c r="AE1524" s="52">
        <f>IF(AC1524="","",IFERROR(INDEX(ctaTipo,MATCH(AC1524,ctaNombre,0))&amp;"",""))</f>
        <v/>
      </c>
      <c r="AF1524" s="53">
        <f>IF(OR(P1524="",AB1524=""),"",IF(OR(P1524="Gasto",P1524="Transferencia",P1524="Pago tarjeta"),-1,1)*IF(IFERROR(INDEX(ctaMoneda,MATCH(AB1524,ctaNombre,0))&amp;"","DOP")="USD",T1524,S1524))</f>
        <v/>
      </c>
      <c r="AG1524" s="53">
        <f>IF(AC1524="","",IF(IFERROR(INDEX(ctaMoneda,MATCH(AC1524,ctaNombre,0))&amp;"","DOP")="USD",T1524,S1524))</f>
        <v/>
      </c>
      <c r="AH1524" s="53">
        <f>IF(P1524="","",IF(AND(AD1524&lt;&gt;"",COUNTIFS(tcTipo,AD1524,tcLiq,"Sí")&gt;0),IF(OR(P1524="Gasto",P1524="Transferencia",P1524="Pago tarjeta"),-1,1)*S1524,0)+IF(AND(AE1524&lt;&gt;"",COUNTIFS(tcTipo,AE1524,tcLiq,"Sí")&gt;0),S1524,0))</f>
        <v/>
      </c>
      <c r="AI1524" s="52">
        <f>IF(OR(L1524="",P1524=""),"",IF(COUNTIFS(L$6:L1524,L1524,P$6:P1524,"?*")=1,MAX(AI$5:AI1523)+1,""))</f>
        <v/>
      </c>
    </row>
    <row r="1525">
      <c r="B1525" s="47" t="n"/>
      <c r="C1525" s="48" t="n"/>
      <c r="D1525" s="48" t="n"/>
      <c r="E1525" s="48" t="n"/>
      <c r="F1525" s="48" t="n"/>
      <c r="G1525" s="49" t="n"/>
      <c r="H1525" s="48" t="n"/>
      <c r="I1525" s="50" t="n"/>
      <c r="J1525" s="48" t="n"/>
      <c r="K1525" s="48" t="n"/>
      <c r="L1525" s="48" t="n"/>
      <c r="M1525" s="48" t="n"/>
      <c r="N1525" s="48" t="n"/>
      <c r="O1525" s="51">
        <f>IF(AND(B1525="",G1525="",C1525="",D1525="",J1525=""),"",IF(B1525="","⚠ Falta fecha",IF(G1525="","⚠ Falta monto",IF(Q1525="","⚠ Falta cuenta",IF(ISNA(MATCH(Q1525,ctaNombre,0)),"⚠ Cuenta no registrada",IF(AND(OR(P1525="Gasto",P1525="Reembolso"),D1525=""),"⚠ Falta categoría",IF(AND(D1525&lt;&gt;"",E1525&lt;&gt;"",ISNA(MATCH(D1525&amp;"|"&amp;E1525,catClave,0))),"⚠ Subcategoría no corresponde",IF(AND(OR(P1525="Transferencia",P1525="Pago tarjeta"),K1525=""),"⚠ Falta cuenta destino",IF(AND(K1525&lt;&gt;"",P1525&lt;&gt;"Transferencia",P1525&lt;&gt;"Pago tarjeta"),"⚠ Destino solo aplica a transferencias",IF(AND(K1525&lt;&gt;"",K1525=Q1525),"⚠ Origen igual a destino",IF(AND(K1525&lt;&gt;"",ISNA(MATCH(K1525,ctaNombre,0))),"⚠ Destino no registrado",IF(AND(P1525="Pago tarjeta",AE1525&lt;&gt;"Tarjeta de crédito"),"⚠ El destino debe ser tarjeta de crédito",IF(AND(P1525="Gasto",E1525="Depósitos y retiros"),"⚠ Usa tipo Transferencia",IF(AND(P1525="Resultado trading",AD1525&lt;&gt;"Cuenta de trading"),"⚠ Usa una cuenta de trading",IF(AND(G1525&lt;=0,P1525&lt;&gt;"Ajuste",P1525&lt;&gt;"Resultado trading"),"⚠ El monto debe ser positivo","✓")))))))))))))))</f>
        <v/>
      </c>
      <c r="P1525" s="52">
        <f>IF(OR(B1525="",G1525=""),"",IF(C1525="","Gasto",C1525))</f>
        <v/>
      </c>
      <c r="Q1525" s="52">
        <f>IF(P1525="","",IF(J1525&lt;&gt;"",J1525,CuentaPred&amp;""))</f>
        <v/>
      </c>
      <c r="R1525" s="52">
        <f>IF(P1525="","",IF(ISNUMBER(I1525),I1525,TasaUSD))</f>
        <v/>
      </c>
      <c r="S1525" s="53">
        <f>IF(P1525="","",IF(H1525="USD",G1525*R1525,G1525))</f>
        <v/>
      </c>
      <c r="T1525" s="53">
        <f>IF(P1525="","",IF(H1525="USD",G1525,IF(R1525&gt;0,G1525/R1525,0)))</f>
        <v/>
      </c>
      <c r="U1525" s="53">
        <f>IF(P1525="","",IF(P1525="Gasto",S1525,IF(P1525="Reembolso",-S1525,0)))</f>
        <v/>
      </c>
      <c r="V1525" s="53">
        <f>IF(P1525="","",IF(P1525="Ingreso",S1525,0))</f>
        <v/>
      </c>
      <c r="W1525" s="53">
        <f>IF(P1525="","",IF(P1525="Resultado trading",S1525,0))</f>
        <v/>
      </c>
      <c r="X1525" s="52">
        <f>IF(OR(P1525="Gasto",P1525="Reembolso"),IF(M1525&lt;&gt;"",M1525,IFERROR(INDEX(catClasif,MATCH(D1525&amp;"|"&amp;E1525,catClave,0))&amp;"","Variable")),"")</f>
        <v/>
      </c>
      <c r="Y1525" s="52">
        <f>IF(P1525="","",IFERROR(INDEX(catGrupo,MATCH(D1525&amp;"|"&amp;E1525,catClave,0))&amp;"",""))</f>
        <v/>
      </c>
      <c r="Z1525" s="52">
        <f>IF(P1525="","",WEEKDAY(B1525,2))</f>
        <v/>
      </c>
      <c r="AA1525" s="52">
        <f>IF(P1525="","",IF(AND(P1525="Gasto",X1525="Variable",D1525&lt;&gt;catTrading,S1525&gt;0,S1525&lt;=Umbral),1,0))</f>
        <v/>
      </c>
      <c r="AB1525" s="52">
        <f>IF(OR(P1525="",Q1525=""),"",IFERROR(IF(INDEX(ctaVinc,MATCH(Q1525,ctaNombre,0))&amp;""&lt;&gt;"",INDEX(ctaVinc,MATCH(Q1525,ctaNombre,0))&amp;"",Q1525),Q1525))</f>
        <v/>
      </c>
      <c r="AC1525" s="52">
        <f>IF(OR(K1525="",AND(P1525&lt;&gt;"Transferencia",P1525&lt;&gt;"Pago tarjeta")),"",IFERROR(IF(INDEX(ctaVinc,MATCH(K1525,ctaNombre,0))&amp;""&lt;&gt;"",INDEX(ctaVinc,MATCH(K1525,ctaNombre,0))&amp;"",K1525),K1525))</f>
        <v/>
      </c>
      <c r="AD1525" s="52">
        <f>IF(AB1525="","",IFERROR(INDEX(ctaTipo,MATCH(AB1525,ctaNombre,0))&amp;"",""))</f>
        <v/>
      </c>
      <c r="AE1525" s="52">
        <f>IF(AC1525="","",IFERROR(INDEX(ctaTipo,MATCH(AC1525,ctaNombre,0))&amp;"",""))</f>
        <v/>
      </c>
      <c r="AF1525" s="53">
        <f>IF(OR(P1525="",AB1525=""),"",IF(OR(P1525="Gasto",P1525="Transferencia",P1525="Pago tarjeta"),-1,1)*IF(IFERROR(INDEX(ctaMoneda,MATCH(AB1525,ctaNombre,0))&amp;"","DOP")="USD",T1525,S1525))</f>
        <v/>
      </c>
      <c r="AG1525" s="53">
        <f>IF(AC1525="","",IF(IFERROR(INDEX(ctaMoneda,MATCH(AC1525,ctaNombre,0))&amp;"","DOP")="USD",T1525,S1525))</f>
        <v/>
      </c>
      <c r="AH1525" s="53">
        <f>IF(P1525="","",IF(AND(AD1525&lt;&gt;"",COUNTIFS(tcTipo,AD1525,tcLiq,"Sí")&gt;0),IF(OR(P1525="Gasto",P1525="Transferencia",P1525="Pago tarjeta"),-1,1)*S1525,0)+IF(AND(AE1525&lt;&gt;"",COUNTIFS(tcTipo,AE1525,tcLiq,"Sí")&gt;0),S1525,0))</f>
        <v/>
      </c>
      <c r="AI1525" s="52">
        <f>IF(OR(L1525="",P1525=""),"",IF(COUNTIFS(L$6:L1525,L1525,P$6:P1525,"?*")=1,MAX(AI$5:AI1524)+1,""))</f>
        <v/>
      </c>
    </row>
    <row r="1526">
      <c r="B1526" s="47" t="n"/>
      <c r="C1526" s="48" t="n"/>
      <c r="D1526" s="48" t="n"/>
      <c r="E1526" s="48" t="n"/>
      <c r="F1526" s="48" t="n"/>
      <c r="G1526" s="49" t="n"/>
      <c r="H1526" s="48" t="n"/>
      <c r="I1526" s="50" t="n"/>
      <c r="J1526" s="48" t="n"/>
      <c r="K1526" s="48" t="n"/>
      <c r="L1526" s="48" t="n"/>
      <c r="M1526" s="48" t="n"/>
      <c r="N1526" s="48" t="n"/>
      <c r="O1526" s="51">
        <f>IF(AND(B1526="",G1526="",C1526="",D1526="",J1526=""),"",IF(B1526="","⚠ Falta fecha",IF(G1526="","⚠ Falta monto",IF(Q1526="","⚠ Falta cuenta",IF(ISNA(MATCH(Q1526,ctaNombre,0)),"⚠ Cuenta no registrada",IF(AND(OR(P1526="Gasto",P1526="Reembolso"),D1526=""),"⚠ Falta categoría",IF(AND(D1526&lt;&gt;"",E1526&lt;&gt;"",ISNA(MATCH(D1526&amp;"|"&amp;E1526,catClave,0))),"⚠ Subcategoría no corresponde",IF(AND(OR(P1526="Transferencia",P1526="Pago tarjeta"),K1526=""),"⚠ Falta cuenta destino",IF(AND(K1526&lt;&gt;"",P1526&lt;&gt;"Transferencia",P1526&lt;&gt;"Pago tarjeta"),"⚠ Destino solo aplica a transferencias",IF(AND(K1526&lt;&gt;"",K1526=Q1526),"⚠ Origen igual a destino",IF(AND(K1526&lt;&gt;"",ISNA(MATCH(K1526,ctaNombre,0))),"⚠ Destino no registrado",IF(AND(P1526="Pago tarjeta",AE1526&lt;&gt;"Tarjeta de crédito"),"⚠ El destino debe ser tarjeta de crédito",IF(AND(P1526="Gasto",E1526="Depósitos y retiros"),"⚠ Usa tipo Transferencia",IF(AND(P1526="Resultado trading",AD1526&lt;&gt;"Cuenta de trading"),"⚠ Usa una cuenta de trading",IF(AND(G1526&lt;=0,P1526&lt;&gt;"Ajuste",P1526&lt;&gt;"Resultado trading"),"⚠ El monto debe ser positivo","✓")))))))))))))))</f>
        <v/>
      </c>
      <c r="P1526" s="52">
        <f>IF(OR(B1526="",G1526=""),"",IF(C1526="","Gasto",C1526))</f>
        <v/>
      </c>
      <c r="Q1526" s="52">
        <f>IF(P1526="","",IF(J1526&lt;&gt;"",J1526,CuentaPred&amp;""))</f>
        <v/>
      </c>
      <c r="R1526" s="52">
        <f>IF(P1526="","",IF(ISNUMBER(I1526),I1526,TasaUSD))</f>
        <v/>
      </c>
      <c r="S1526" s="53">
        <f>IF(P1526="","",IF(H1526="USD",G1526*R1526,G1526))</f>
        <v/>
      </c>
      <c r="T1526" s="53">
        <f>IF(P1526="","",IF(H1526="USD",G1526,IF(R1526&gt;0,G1526/R1526,0)))</f>
        <v/>
      </c>
      <c r="U1526" s="53">
        <f>IF(P1526="","",IF(P1526="Gasto",S1526,IF(P1526="Reembolso",-S1526,0)))</f>
        <v/>
      </c>
      <c r="V1526" s="53">
        <f>IF(P1526="","",IF(P1526="Ingreso",S1526,0))</f>
        <v/>
      </c>
      <c r="W1526" s="53">
        <f>IF(P1526="","",IF(P1526="Resultado trading",S1526,0))</f>
        <v/>
      </c>
      <c r="X1526" s="52">
        <f>IF(OR(P1526="Gasto",P1526="Reembolso"),IF(M1526&lt;&gt;"",M1526,IFERROR(INDEX(catClasif,MATCH(D1526&amp;"|"&amp;E1526,catClave,0))&amp;"","Variable")),"")</f>
        <v/>
      </c>
      <c r="Y1526" s="52">
        <f>IF(P1526="","",IFERROR(INDEX(catGrupo,MATCH(D1526&amp;"|"&amp;E1526,catClave,0))&amp;"",""))</f>
        <v/>
      </c>
      <c r="Z1526" s="52">
        <f>IF(P1526="","",WEEKDAY(B1526,2))</f>
        <v/>
      </c>
      <c r="AA1526" s="52">
        <f>IF(P1526="","",IF(AND(P1526="Gasto",X1526="Variable",D1526&lt;&gt;catTrading,S1526&gt;0,S1526&lt;=Umbral),1,0))</f>
        <v/>
      </c>
      <c r="AB1526" s="52">
        <f>IF(OR(P1526="",Q1526=""),"",IFERROR(IF(INDEX(ctaVinc,MATCH(Q1526,ctaNombre,0))&amp;""&lt;&gt;"",INDEX(ctaVinc,MATCH(Q1526,ctaNombre,0))&amp;"",Q1526),Q1526))</f>
        <v/>
      </c>
      <c r="AC1526" s="52">
        <f>IF(OR(K1526="",AND(P1526&lt;&gt;"Transferencia",P1526&lt;&gt;"Pago tarjeta")),"",IFERROR(IF(INDEX(ctaVinc,MATCH(K1526,ctaNombre,0))&amp;""&lt;&gt;"",INDEX(ctaVinc,MATCH(K1526,ctaNombre,0))&amp;"",K1526),K1526))</f>
        <v/>
      </c>
      <c r="AD1526" s="52">
        <f>IF(AB1526="","",IFERROR(INDEX(ctaTipo,MATCH(AB1526,ctaNombre,0))&amp;"",""))</f>
        <v/>
      </c>
      <c r="AE1526" s="52">
        <f>IF(AC1526="","",IFERROR(INDEX(ctaTipo,MATCH(AC1526,ctaNombre,0))&amp;"",""))</f>
        <v/>
      </c>
      <c r="AF1526" s="53">
        <f>IF(OR(P1526="",AB1526=""),"",IF(OR(P1526="Gasto",P1526="Transferencia",P1526="Pago tarjeta"),-1,1)*IF(IFERROR(INDEX(ctaMoneda,MATCH(AB1526,ctaNombre,0))&amp;"","DOP")="USD",T1526,S1526))</f>
        <v/>
      </c>
      <c r="AG1526" s="53">
        <f>IF(AC1526="","",IF(IFERROR(INDEX(ctaMoneda,MATCH(AC1526,ctaNombre,0))&amp;"","DOP")="USD",T1526,S1526))</f>
        <v/>
      </c>
      <c r="AH1526" s="53">
        <f>IF(P1526="","",IF(AND(AD1526&lt;&gt;"",COUNTIFS(tcTipo,AD1526,tcLiq,"Sí")&gt;0),IF(OR(P1526="Gasto",P1526="Transferencia",P1526="Pago tarjeta"),-1,1)*S1526,0)+IF(AND(AE1526&lt;&gt;"",COUNTIFS(tcTipo,AE1526,tcLiq,"Sí")&gt;0),S1526,0))</f>
        <v/>
      </c>
      <c r="AI1526" s="52">
        <f>IF(OR(L1526="",P1526=""),"",IF(COUNTIFS(L$6:L1526,L1526,P$6:P1526,"?*")=1,MAX(AI$5:AI1525)+1,""))</f>
        <v/>
      </c>
    </row>
    <row r="1527">
      <c r="B1527" s="47" t="n"/>
      <c r="C1527" s="48" t="n"/>
      <c r="D1527" s="48" t="n"/>
      <c r="E1527" s="48" t="n"/>
      <c r="F1527" s="48" t="n"/>
      <c r="G1527" s="49" t="n"/>
      <c r="H1527" s="48" t="n"/>
      <c r="I1527" s="50" t="n"/>
      <c r="J1527" s="48" t="n"/>
      <c r="K1527" s="48" t="n"/>
      <c r="L1527" s="48" t="n"/>
      <c r="M1527" s="48" t="n"/>
      <c r="N1527" s="48" t="n"/>
      <c r="O1527" s="51">
        <f>IF(AND(B1527="",G1527="",C1527="",D1527="",J1527=""),"",IF(B1527="","⚠ Falta fecha",IF(G1527="","⚠ Falta monto",IF(Q1527="","⚠ Falta cuenta",IF(ISNA(MATCH(Q1527,ctaNombre,0)),"⚠ Cuenta no registrada",IF(AND(OR(P1527="Gasto",P1527="Reembolso"),D1527=""),"⚠ Falta categoría",IF(AND(D1527&lt;&gt;"",E1527&lt;&gt;"",ISNA(MATCH(D1527&amp;"|"&amp;E1527,catClave,0))),"⚠ Subcategoría no corresponde",IF(AND(OR(P1527="Transferencia",P1527="Pago tarjeta"),K1527=""),"⚠ Falta cuenta destino",IF(AND(K1527&lt;&gt;"",P1527&lt;&gt;"Transferencia",P1527&lt;&gt;"Pago tarjeta"),"⚠ Destino solo aplica a transferencias",IF(AND(K1527&lt;&gt;"",K1527=Q1527),"⚠ Origen igual a destino",IF(AND(K1527&lt;&gt;"",ISNA(MATCH(K1527,ctaNombre,0))),"⚠ Destino no registrado",IF(AND(P1527="Pago tarjeta",AE1527&lt;&gt;"Tarjeta de crédito"),"⚠ El destino debe ser tarjeta de crédito",IF(AND(P1527="Gasto",E1527="Depósitos y retiros"),"⚠ Usa tipo Transferencia",IF(AND(P1527="Resultado trading",AD1527&lt;&gt;"Cuenta de trading"),"⚠ Usa una cuenta de trading",IF(AND(G1527&lt;=0,P1527&lt;&gt;"Ajuste",P1527&lt;&gt;"Resultado trading"),"⚠ El monto debe ser positivo","✓")))))))))))))))</f>
        <v/>
      </c>
      <c r="P1527" s="52">
        <f>IF(OR(B1527="",G1527=""),"",IF(C1527="","Gasto",C1527))</f>
        <v/>
      </c>
      <c r="Q1527" s="52">
        <f>IF(P1527="","",IF(J1527&lt;&gt;"",J1527,CuentaPred&amp;""))</f>
        <v/>
      </c>
      <c r="R1527" s="52">
        <f>IF(P1527="","",IF(ISNUMBER(I1527),I1527,TasaUSD))</f>
        <v/>
      </c>
      <c r="S1527" s="53">
        <f>IF(P1527="","",IF(H1527="USD",G1527*R1527,G1527))</f>
        <v/>
      </c>
      <c r="T1527" s="53">
        <f>IF(P1527="","",IF(H1527="USD",G1527,IF(R1527&gt;0,G1527/R1527,0)))</f>
        <v/>
      </c>
      <c r="U1527" s="53">
        <f>IF(P1527="","",IF(P1527="Gasto",S1527,IF(P1527="Reembolso",-S1527,0)))</f>
        <v/>
      </c>
      <c r="V1527" s="53">
        <f>IF(P1527="","",IF(P1527="Ingreso",S1527,0))</f>
        <v/>
      </c>
      <c r="W1527" s="53">
        <f>IF(P1527="","",IF(P1527="Resultado trading",S1527,0))</f>
        <v/>
      </c>
      <c r="X1527" s="52">
        <f>IF(OR(P1527="Gasto",P1527="Reembolso"),IF(M1527&lt;&gt;"",M1527,IFERROR(INDEX(catClasif,MATCH(D1527&amp;"|"&amp;E1527,catClave,0))&amp;"","Variable")),"")</f>
        <v/>
      </c>
      <c r="Y1527" s="52">
        <f>IF(P1527="","",IFERROR(INDEX(catGrupo,MATCH(D1527&amp;"|"&amp;E1527,catClave,0))&amp;"",""))</f>
        <v/>
      </c>
      <c r="Z1527" s="52">
        <f>IF(P1527="","",WEEKDAY(B1527,2))</f>
        <v/>
      </c>
      <c r="AA1527" s="52">
        <f>IF(P1527="","",IF(AND(P1527="Gasto",X1527="Variable",D1527&lt;&gt;catTrading,S1527&gt;0,S1527&lt;=Umbral),1,0))</f>
        <v/>
      </c>
      <c r="AB1527" s="52">
        <f>IF(OR(P1527="",Q1527=""),"",IFERROR(IF(INDEX(ctaVinc,MATCH(Q1527,ctaNombre,0))&amp;""&lt;&gt;"",INDEX(ctaVinc,MATCH(Q1527,ctaNombre,0))&amp;"",Q1527),Q1527))</f>
        <v/>
      </c>
      <c r="AC1527" s="52">
        <f>IF(OR(K1527="",AND(P1527&lt;&gt;"Transferencia",P1527&lt;&gt;"Pago tarjeta")),"",IFERROR(IF(INDEX(ctaVinc,MATCH(K1527,ctaNombre,0))&amp;""&lt;&gt;"",INDEX(ctaVinc,MATCH(K1527,ctaNombre,0))&amp;"",K1527),K1527))</f>
        <v/>
      </c>
      <c r="AD1527" s="52">
        <f>IF(AB1527="","",IFERROR(INDEX(ctaTipo,MATCH(AB1527,ctaNombre,0))&amp;"",""))</f>
        <v/>
      </c>
      <c r="AE1527" s="52">
        <f>IF(AC1527="","",IFERROR(INDEX(ctaTipo,MATCH(AC1527,ctaNombre,0))&amp;"",""))</f>
        <v/>
      </c>
      <c r="AF1527" s="53">
        <f>IF(OR(P1527="",AB1527=""),"",IF(OR(P1527="Gasto",P1527="Transferencia",P1527="Pago tarjeta"),-1,1)*IF(IFERROR(INDEX(ctaMoneda,MATCH(AB1527,ctaNombre,0))&amp;"","DOP")="USD",T1527,S1527))</f>
        <v/>
      </c>
      <c r="AG1527" s="53">
        <f>IF(AC1527="","",IF(IFERROR(INDEX(ctaMoneda,MATCH(AC1527,ctaNombre,0))&amp;"","DOP")="USD",T1527,S1527))</f>
        <v/>
      </c>
      <c r="AH1527" s="53">
        <f>IF(P1527="","",IF(AND(AD1527&lt;&gt;"",COUNTIFS(tcTipo,AD1527,tcLiq,"Sí")&gt;0),IF(OR(P1527="Gasto",P1527="Transferencia",P1527="Pago tarjeta"),-1,1)*S1527,0)+IF(AND(AE1527&lt;&gt;"",COUNTIFS(tcTipo,AE1527,tcLiq,"Sí")&gt;0),S1527,0))</f>
        <v/>
      </c>
      <c r="AI1527" s="52">
        <f>IF(OR(L1527="",P1527=""),"",IF(COUNTIFS(L$6:L1527,L1527,P$6:P1527,"?*")=1,MAX(AI$5:AI1526)+1,""))</f>
        <v/>
      </c>
    </row>
    <row r="1528">
      <c r="B1528" s="47" t="n"/>
      <c r="C1528" s="48" t="n"/>
      <c r="D1528" s="48" t="n"/>
      <c r="E1528" s="48" t="n"/>
      <c r="F1528" s="48" t="n"/>
      <c r="G1528" s="49" t="n"/>
      <c r="H1528" s="48" t="n"/>
      <c r="I1528" s="50" t="n"/>
      <c r="J1528" s="48" t="n"/>
      <c r="K1528" s="48" t="n"/>
      <c r="L1528" s="48" t="n"/>
      <c r="M1528" s="48" t="n"/>
      <c r="N1528" s="48" t="n"/>
      <c r="O1528" s="51">
        <f>IF(AND(B1528="",G1528="",C1528="",D1528="",J1528=""),"",IF(B1528="","⚠ Falta fecha",IF(G1528="","⚠ Falta monto",IF(Q1528="","⚠ Falta cuenta",IF(ISNA(MATCH(Q1528,ctaNombre,0)),"⚠ Cuenta no registrada",IF(AND(OR(P1528="Gasto",P1528="Reembolso"),D1528=""),"⚠ Falta categoría",IF(AND(D1528&lt;&gt;"",E1528&lt;&gt;"",ISNA(MATCH(D1528&amp;"|"&amp;E1528,catClave,0))),"⚠ Subcategoría no corresponde",IF(AND(OR(P1528="Transferencia",P1528="Pago tarjeta"),K1528=""),"⚠ Falta cuenta destino",IF(AND(K1528&lt;&gt;"",P1528&lt;&gt;"Transferencia",P1528&lt;&gt;"Pago tarjeta"),"⚠ Destino solo aplica a transferencias",IF(AND(K1528&lt;&gt;"",K1528=Q1528),"⚠ Origen igual a destino",IF(AND(K1528&lt;&gt;"",ISNA(MATCH(K1528,ctaNombre,0))),"⚠ Destino no registrado",IF(AND(P1528="Pago tarjeta",AE1528&lt;&gt;"Tarjeta de crédito"),"⚠ El destino debe ser tarjeta de crédito",IF(AND(P1528="Gasto",E1528="Depósitos y retiros"),"⚠ Usa tipo Transferencia",IF(AND(P1528="Resultado trading",AD1528&lt;&gt;"Cuenta de trading"),"⚠ Usa una cuenta de trading",IF(AND(G1528&lt;=0,P1528&lt;&gt;"Ajuste",P1528&lt;&gt;"Resultado trading"),"⚠ El monto debe ser positivo","✓")))))))))))))))</f>
        <v/>
      </c>
      <c r="P1528" s="52">
        <f>IF(OR(B1528="",G1528=""),"",IF(C1528="","Gasto",C1528))</f>
        <v/>
      </c>
      <c r="Q1528" s="52">
        <f>IF(P1528="","",IF(J1528&lt;&gt;"",J1528,CuentaPred&amp;""))</f>
        <v/>
      </c>
      <c r="R1528" s="52">
        <f>IF(P1528="","",IF(ISNUMBER(I1528),I1528,TasaUSD))</f>
        <v/>
      </c>
      <c r="S1528" s="53">
        <f>IF(P1528="","",IF(H1528="USD",G1528*R1528,G1528))</f>
        <v/>
      </c>
      <c r="T1528" s="53">
        <f>IF(P1528="","",IF(H1528="USD",G1528,IF(R1528&gt;0,G1528/R1528,0)))</f>
        <v/>
      </c>
      <c r="U1528" s="53">
        <f>IF(P1528="","",IF(P1528="Gasto",S1528,IF(P1528="Reembolso",-S1528,0)))</f>
        <v/>
      </c>
      <c r="V1528" s="53">
        <f>IF(P1528="","",IF(P1528="Ingreso",S1528,0))</f>
        <v/>
      </c>
      <c r="W1528" s="53">
        <f>IF(P1528="","",IF(P1528="Resultado trading",S1528,0))</f>
        <v/>
      </c>
      <c r="X1528" s="52">
        <f>IF(OR(P1528="Gasto",P1528="Reembolso"),IF(M1528&lt;&gt;"",M1528,IFERROR(INDEX(catClasif,MATCH(D1528&amp;"|"&amp;E1528,catClave,0))&amp;"","Variable")),"")</f>
        <v/>
      </c>
      <c r="Y1528" s="52">
        <f>IF(P1528="","",IFERROR(INDEX(catGrupo,MATCH(D1528&amp;"|"&amp;E1528,catClave,0))&amp;"",""))</f>
        <v/>
      </c>
      <c r="Z1528" s="52">
        <f>IF(P1528="","",WEEKDAY(B1528,2))</f>
        <v/>
      </c>
      <c r="AA1528" s="52">
        <f>IF(P1528="","",IF(AND(P1528="Gasto",X1528="Variable",D1528&lt;&gt;catTrading,S1528&gt;0,S1528&lt;=Umbral),1,0))</f>
        <v/>
      </c>
      <c r="AB1528" s="52">
        <f>IF(OR(P1528="",Q1528=""),"",IFERROR(IF(INDEX(ctaVinc,MATCH(Q1528,ctaNombre,0))&amp;""&lt;&gt;"",INDEX(ctaVinc,MATCH(Q1528,ctaNombre,0))&amp;"",Q1528),Q1528))</f>
        <v/>
      </c>
      <c r="AC1528" s="52">
        <f>IF(OR(K1528="",AND(P1528&lt;&gt;"Transferencia",P1528&lt;&gt;"Pago tarjeta")),"",IFERROR(IF(INDEX(ctaVinc,MATCH(K1528,ctaNombre,0))&amp;""&lt;&gt;"",INDEX(ctaVinc,MATCH(K1528,ctaNombre,0))&amp;"",K1528),K1528))</f>
        <v/>
      </c>
      <c r="AD1528" s="52">
        <f>IF(AB1528="","",IFERROR(INDEX(ctaTipo,MATCH(AB1528,ctaNombre,0))&amp;"",""))</f>
        <v/>
      </c>
      <c r="AE1528" s="52">
        <f>IF(AC1528="","",IFERROR(INDEX(ctaTipo,MATCH(AC1528,ctaNombre,0))&amp;"",""))</f>
        <v/>
      </c>
      <c r="AF1528" s="53">
        <f>IF(OR(P1528="",AB1528=""),"",IF(OR(P1528="Gasto",P1528="Transferencia",P1528="Pago tarjeta"),-1,1)*IF(IFERROR(INDEX(ctaMoneda,MATCH(AB1528,ctaNombre,0))&amp;"","DOP")="USD",T1528,S1528))</f>
        <v/>
      </c>
      <c r="AG1528" s="53">
        <f>IF(AC1528="","",IF(IFERROR(INDEX(ctaMoneda,MATCH(AC1528,ctaNombre,0))&amp;"","DOP")="USD",T1528,S1528))</f>
        <v/>
      </c>
      <c r="AH1528" s="53">
        <f>IF(P1528="","",IF(AND(AD1528&lt;&gt;"",COUNTIFS(tcTipo,AD1528,tcLiq,"Sí")&gt;0),IF(OR(P1528="Gasto",P1528="Transferencia",P1528="Pago tarjeta"),-1,1)*S1528,0)+IF(AND(AE1528&lt;&gt;"",COUNTIFS(tcTipo,AE1528,tcLiq,"Sí")&gt;0),S1528,0))</f>
        <v/>
      </c>
      <c r="AI1528" s="52">
        <f>IF(OR(L1528="",P1528=""),"",IF(COUNTIFS(L$6:L1528,L1528,P$6:P1528,"?*")=1,MAX(AI$5:AI1527)+1,""))</f>
        <v/>
      </c>
    </row>
    <row r="1529">
      <c r="B1529" s="47" t="n"/>
      <c r="C1529" s="48" t="n"/>
      <c r="D1529" s="48" t="n"/>
      <c r="E1529" s="48" t="n"/>
      <c r="F1529" s="48" t="n"/>
      <c r="G1529" s="49" t="n"/>
      <c r="H1529" s="48" t="n"/>
      <c r="I1529" s="50" t="n"/>
      <c r="J1529" s="48" t="n"/>
      <c r="K1529" s="48" t="n"/>
      <c r="L1529" s="48" t="n"/>
      <c r="M1529" s="48" t="n"/>
      <c r="N1529" s="48" t="n"/>
      <c r="O1529" s="51">
        <f>IF(AND(B1529="",G1529="",C1529="",D1529="",J1529=""),"",IF(B1529="","⚠ Falta fecha",IF(G1529="","⚠ Falta monto",IF(Q1529="","⚠ Falta cuenta",IF(ISNA(MATCH(Q1529,ctaNombre,0)),"⚠ Cuenta no registrada",IF(AND(OR(P1529="Gasto",P1529="Reembolso"),D1529=""),"⚠ Falta categoría",IF(AND(D1529&lt;&gt;"",E1529&lt;&gt;"",ISNA(MATCH(D1529&amp;"|"&amp;E1529,catClave,0))),"⚠ Subcategoría no corresponde",IF(AND(OR(P1529="Transferencia",P1529="Pago tarjeta"),K1529=""),"⚠ Falta cuenta destino",IF(AND(K1529&lt;&gt;"",P1529&lt;&gt;"Transferencia",P1529&lt;&gt;"Pago tarjeta"),"⚠ Destino solo aplica a transferencias",IF(AND(K1529&lt;&gt;"",K1529=Q1529),"⚠ Origen igual a destino",IF(AND(K1529&lt;&gt;"",ISNA(MATCH(K1529,ctaNombre,0))),"⚠ Destino no registrado",IF(AND(P1529="Pago tarjeta",AE1529&lt;&gt;"Tarjeta de crédito"),"⚠ El destino debe ser tarjeta de crédito",IF(AND(P1529="Gasto",E1529="Depósitos y retiros"),"⚠ Usa tipo Transferencia",IF(AND(P1529="Resultado trading",AD1529&lt;&gt;"Cuenta de trading"),"⚠ Usa una cuenta de trading",IF(AND(G1529&lt;=0,P1529&lt;&gt;"Ajuste",P1529&lt;&gt;"Resultado trading"),"⚠ El monto debe ser positivo","✓")))))))))))))))</f>
        <v/>
      </c>
      <c r="P1529" s="52">
        <f>IF(OR(B1529="",G1529=""),"",IF(C1529="","Gasto",C1529))</f>
        <v/>
      </c>
      <c r="Q1529" s="52">
        <f>IF(P1529="","",IF(J1529&lt;&gt;"",J1529,CuentaPred&amp;""))</f>
        <v/>
      </c>
      <c r="R1529" s="52">
        <f>IF(P1529="","",IF(ISNUMBER(I1529),I1529,TasaUSD))</f>
        <v/>
      </c>
      <c r="S1529" s="53">
        <f>IF(P1529="","",IF(H1529="USD",G1529*R1529,G1529))</f>
        <v/>
      </c>
      <c r="T1529" s="53">
        <f>IF(P1529="","",IF(H1529="USD",G1529,IF(R1529&gt;0,G1529/R1529,0)))</f>
        <v/>
      </c>
      <c r="U1529" s="53">
        <f>IF(P1529="","",IF(P1529="Gasto",S1529,IF(P1529="Reembolso",-S1529,0)))</f>
        <v/>
      </c>
      <c r="V1529" s="53">
        <f>IF(P1529="","",IF(P1529="Ingreso",S1529,0))</f>
        <v/>
      </c>
      <c r="W1529" s="53">
        <f>IF(P1529="","",IF(P1529="Resultado trading",S1529,0))</f>
        <v/>
      </c>
      <c r="X1529" s="52">
        <f>IF(OR(P1529="Gasto",P1529="Reembolso"),IF(M1529&lt;&gt;"",M1529,IFERROR(INDEX(catClasif,MATCH(D1529&amp;"|"&amp;E1529,catClave,0))&amp;"","Variable")),"")</f>
        <v/>
      </c>
      <c r="Y1529" s="52">
        <f>IF(P1529="","",IFERROR(INDEX(catGrupo,MATCH(D1529&amp;"|"&amp;E1529,catClave,0))&amp;"",""))</f>
        <v/>
      </c>
      <c r="Z1529" s="52">
        <f>IF(P1529="","",WEEKDAY(B1529,2))</f>
        <v/>
      </c>
      <c r="AA1529" s="52">
        <f>IF(P1529="","",IF(AND(P1529="Gasto",X1529="Variable",D1529&lt;&gt;catTrading,S1529&gt;0,S1529&lt;=Umbral),1,0))</f>
        <v/>
      </c>
      <c r="AB1529" s="52">
        <f>IF(OR(P1529="",Q1529=""),"",IFERROR(IF(INDEX(ctaVinc,MATCH(Q1529,ctaNombre,0))&amp;""&lt;&gt;"",INDEX(ctaVinc,MATCH(Q1529,ctaNombre,0))&amp;"",Q1529),Q1529))</f>
        <v/>
      </c>
      <c r="AC1529" s="52">
        <f>IF(OR(K1529="",AND(P1529&lt;&gt;"Transferencia",P1529&lt;&gt;"Pago tarjeta")),"",IFERROR(IF(INDEX(ctaVinc,MATCH(K1529,ctaNombre,0))&amp;""&lt;&gt;"",INDEX(ctaVinc,MATCH(K1529,ctaNombre,0))&amp;"",K1529),K1529))</f>
        <v/>
      </c>
      <c r="AD1529" s="52">
        <f>IF(AB1529="","",IFERROR(INDEX(ctaTipo,MATCH(AB1529,ctaNombre,0))&amp;"",""))</f>
        <v/>
      </c>
      <c r="AE1529" s="52">
        <f>IF(AC1529="","",IFERROR(INDEX(ctaTipo,MATCH(AC1529,ctaNombre,0))&amp;"",""))</f>
        <v/>
      </c>
      <c r="AF1529" s="53">
        <f>IF(OR(P1529="",AB1529=""),"",IF(OR(P1529="Gasto",P1529="Transferencia",P1529="Pago tarjeta"),-1,1)*IF(IFERROR(INDEX(ctaMoneda,MATCH(AB1529,ctaNombre,0))&amp;"","DOP")="USD",T1529,S1529))</f>
        <v/>
      </c>
      <c r="AG1529" s="53">
        <f>IF(AC1529="","",IF(IFERROR(INDEX(ctaMoneda,MATCH(AC1529,ctaNombre,0))&amp;"","DOP")="USD",T1529,S1529))</f>
        <v/>
      </c>
      <c r="AH1529" s="53">
        <f>IF(P1529="","",IF(AND(AD1529&lt;&gt;"",COUNTIFS(tcTipo,AD1529,tcLiq,"Sí")&gt;0),IF(OR(P1529="Gasto",P1529="Transferencia",P1529="Pago tarjeta"),-1,1)*S1529,0)+IF(AND(AE1529&lt;&gt;"",COUNTIFS(tcTipo,AE1529,tcLiq,"Sí")&gt;0),S1529,0))</f>
        <v/>
      </c>
      <c r="AI1529" s="52">
        <f>IF(OR(L1529="",P1529=""),"",IF(COUNTIFS(L$6:L1529,L1529,P$6:P1529,"?*")=1,MAX(AI$5:AI1528)+1,""))</f>
        <v/>
      </c>
    </row>
    <row r="1530">
      <c r="B1530" s="47" t="n"/>
      <c r="C1530" s="48" t="n"/>
      <c r="D1530" s="48" t="n"/>
      <c r="E1530" s="48" t="n"/>
      <c r="F1530" s="48" t="n"/>
      <c r="G1530" s="49" t="n"/>
      <c r="H1530" s="48" t="n"/>
      <c r="I1530" s="50" t="n"/>
      <c r="J1530" s="48" t="n"/>
      <c r="K1530" s="48" t="n"/>
      <c r="L1530" s="48" t="n"/>
      <c r="M1530" s="48" t="n"/>
      <c r="N1530" s="48" t="n"/>
      <c r="O1530" s="51">
        <f>IF(AND(B1530="",G1530="",C1530="",D1530="",J1530=""),"",IF(B1530="","⚠ Falta fecha",IF(G1530="","⚠ Falta monto",IF(Q1530="","⚠ Falta cuenta",IF(ISNA(MATCH(Q1530,ctaNombre,0)),"⚠ Cuenta no registrada",IF(AND(OR(P1530="Gasto",P1530="Reembolso"),D1530=""),"⚠ Falta categoría",IF(AND(D1530&lt;&gt;"",E1530&lt;&gt;"",ISNA(MATCH(D1530&amp;"|"&amp;E1530,catClave,0))),"⚠ Subcategoría no corresponde",IF(AND(OR(P1530="Transferencia",P1530="Pago tarjeta"),K1530=""),"⚠ Falta cuenta destino",IF(AND(K1530&lt;&gt;"",P1530&lt;&gt;"Transferencia",P1530&lt;&gt;"Pago tarjeta"),"⚠ Destino solo aplica a transferencias",IF(AND(K1530&lt;&gt;"",K1530=Q1530),"⚠ Origen igual a destino",IF(AND(K1530&lt;&gt;"",ISNA(MATCH(K1530,ctaNombre,0))),"⚠ Destino no registrado",IF(AND(P1530="Pago tarjeta",AE1530&lt;&gt;"Tarjeta de crédito"),"⚠ El destino debe ser tarjeta de crédito",IF(AND(P1530="Gasto",E1530="Depósitos y retiros"),"⚠ Usa tipo Transferencia",IF(AND(P1530="Resultado trading",AD1530&lt;&gt;"Cuenta de trading"),"⚠ Usa una cuenta de trading",IF(AND(G1530&lt;=0,P1530&lt;&gt;"Ajuste",P1530&lt;&gt;"Resultado trading"),"⚠ El monto debe ser positivo","✓")))))))))))))))</f>
        <v/>
      </c>
      <c r="P1530" s="52">
        <f>IF(OR(B1530="",G1530=""),"",IF(C1530="","Gasto",C1530))</f>
        <v/>
      </c>
      <c r="Q1530" s="52">
        <f>IF(P1530="","",IF(J1530&lt;&gt;"",J1530,CuentaPred&amp;""))</f>
        <v/>
      </c>
      <c r="R1530" s="52">
        <f>IF(P1530="","",IF(ISNUMBER(I1530),I1530,TasaUSD))</f>
        <v/>
      </c>
      <c r="S1530" s="53">
        <f>IF(P1530="","",IF(H1530="USD",G1530*R1530,G1530))</f>
        <v/>
      </c>
      <c r="T1530" s="53">
        <f>IF(P1530="","",IF(H1530="USD",G1530,IF(R1530&gt;0,G1530/R1530,0)))</f>
        <v/>
      </c>
      <c r="U1530" s="53">
        <f>IF(P1530="","",IF(P1530="Gasto",S1530,IF(P1530="Reembolso",-S1530,0)))</f>
        <v/>
      </c>
      <c r="V1530" s="53">
        <f>IF(P1530="","",IF(P1530="Ingreso",S1530,0))</f>
        <v/>
      </c>
      <c r="W1530" s="53">
        <f>IF(P1530="","",IF(P1530="Resultado trading",S1530,0))</f>
        <v/>
      </c>
      <c r="X1530" s="52">
        <f>IF(OR(P1530="Gasto",P1530="Reembolso"),IF(M1530&lt;&gt;"",M1530,IFERROR(INDEX(catClasif,MATCH(D1530&amp;"|"&amp;E1530,catClave,0))&amp;"","Variable")),"")</f>
        <v/>
      </c>
      <c r="Y1530" s="52">
        <f>IF(P1530="","",IFERROR(INDEX(catGrupo,MATCH(D1530&amp;"|"&amp;E1530,catClave,0))&amp;"",""))</f>
        <v/>
      </c>
      <c r="Z1530" s="52">
        <f>IF(P1530="","",WEEKDAY(B1530,2))</f>
        <v/>
      </c>
      <c r="AA1530" s="52">
        <f>IF(P1530="","",IF(AND(P1530="Gasto",X1530="Variable",D1530&lt;&gt;catTrading,S1530&gt;0,S1530&lt;=Umbral),1,0))</f>
        <v/>
      </c>
      <c r="AB1530" s="52">
        <f>IF(OR(P1530="",Q1530=""),"",IFERROR(IF(INDEX(ctaVinc,MATCH(Q1530,ctaNombre,0))&amp;""&lt;&gt;"",INDEX(ctaVinc,MATCH(Q1530,ctaNombre,0))&amp;"",Q1530),Q1530))</f>
        <v/>
      </c>
      <c r="AC1530" s="52">
        <f>IF(OR(K1530="",AND(P1530&lt;&gt;"Transferencia",P1530&lt;&gt;"Pago tarjeta")),"",IFERROR(IF(INDEX(ctaVinc,MATCH(K1530,ctaNombre,0))&amp;""&lt;&gt;"",INDEX(ctaVinc,MATCH(K1530,ctaNombre,0))&amp;"",K1530),K1530))</f>
        <v/>
      </c>
      <c r="AD1530" s="52">
        <f>IF(AB1530="","",IFERROR(INDEX(ctaTipo,MATCH(AB1530,ctaNombre,0))&amp;"",""))</f>
        <v/>
      </c>
      <c r="AE1530" s="52">
        <f>IF(AC1530="","",IFERROR(INDEX(ctaTipo,MATCH(AC1530,ctaNombre,0))&amp;"",""))</f>
        <v/>
      </c>
      <c r="AF1530" s="53">
        <f>IF(OR(P1530="",AB1530=""),"",IF(OR(P1530="Gasto",P1530="Transferencia",P1530="Pago tarjeta"),-1,1)*IF(IFERROR(INDEX(ctaMoneda,MATCH(AB1530,ctaNombre,0))&amp;"","DOP")="USD",T1530,S1530))</f>
        <v/>
      </c>
      <c r="AG1530" s="53">
        <f>IF(AC1530="","",IF(IFERROR(INDEX(ctaMoneda,MATCH(AC1530,ctaNombre,0))&amp;"","DOP")="USD",T1530,S1530))</f>
        <v/>
      </c>
      <c r="AH1530" s="53">
        <f>IF(P1530="","",IF(AND(AD1530&lt;&gt;"",COUNTIFS(tcTipo,AD1530,tcLiq,"Sí")&gt;0),IF(OR(P1530="Gasto",P1530="Transferencia",P1530="Pago tarjeta"),-1,1)*S1530,0)+IF(AND(AE1530&lt;&gt;"",COUNTIFS(tcTipo,AE1530,tcLiq,"Sí")&gt;0),S1530,0))</f>
        <v/>
      </c>
      <c r="AI1530" s="52">
        <f>IF(OR(L1530="",P1530=""),"",IF(COUNTIFS(L$6:L1530,L1530,P$6:P1530,"?*")=1,MAX(AI$5:AI1529)+1,""))</f>
        <v/>
      </c>
    </row>
    <row r="1531">
      <c r="B1531" s="47" t="n"/>
      <c r="C1531" s="48" t="n"/>
      <c r="D1531" s="48" t="n"/>
      <c r="E1531" s="48" t="n"/>
      <c r="F1531" s="48" t="n"/>
      <c r="G1531" s="49" t="n"/>
      <c r="H1531" s="48" t="n"/>
      <c r="I1531" s="50" t="n"/>
      <c r="J1531" s="48" t="n"/>
      <c r="K1531" s="48" t="n"/>
      <c r="L1531" s="48" t="n"/>
      <c r="M1531" s="48" t="n"/>
      <c r="N1531" s="48" t="n"/>
      <c r="O1531" s="51">
        <f>IF(AND(B1531="",G1531="",C1531="",D1531="",J1531=""),"",IF(B1531="","⚠ Falta fecha",IF(G1531="","⚠ Falta monto",IF(Q1531="","⚠ Falta cuenta",IF(ISNA(MATCH(Q1531,ctaNombre,0)),"⚠ Cuenta no registrada",IF(AND(OR(P1531="Gasto",P1531="Reembolso"),D1531=""),"⚠ Falta categoría",IF(AND(D1531&lt;&gt;"",E1531&lt;&gt;"",ISNA(MATCH(D1531&amp;"|"&amp;E1531,catClave,0))),"⚠ Subcategoría no corresponde",IF(AND(OR(P1531="Transferencia",P1531="Pago tarjeta"),K1531=""),"⚠ Falta cuenta destino",IF(AND(K1531&lt;&gt;"",P1531&lt;&gt;"Transferencia",P1531&lt;&gt;"Pago tarjeta"),"⚠ Destino solo aplica a transferencias",IF(AND(K1531&lt;&gt;"",K1531=Q1531),"⚠ Origen igual a destino",IF(AND(K1531&lt;&gt;"",ISNA(MATCH(K1531,ctaNombre,0))),"⚠ Destino no registrado",IF(AND(P1531="Pago tarjeta",AE1531&lt;&gt;"Tarjeta de crédito"),"⚠ El destino debe ser tarjeta de crédito",IF(AND(P1531="Gasto",E1531="Depósitos y retiros"),"⚠ Usa tipo Transferencia",IF(AND(P1531="Resultado trading",AD1531&lt;&gt;"Cuenta de trading"),"⚠ Usa una cuenta de trading",IF(AND(G1531&lt;=0,P1531&lt;&gt;"Ajuste",P1531&lt;&gt;"Resultado trading"),"⚠ El monto debe ser positivo","✓")))))))))))))))</f>
        <v/>
      </c>
      <c r="P1531" s="52">
        <f>IF(OR(B1531="",G1531=""),"",IF(C1531="","Gasto",C1531))</f>
        <v/>
      </c>
      <c r="Q1531" s="52">
        <f>IF(P1531="","",IF(J1531&lt;&gt;"",J1531,CuentaPred&amp;""))</f>
        <v/>
      </c>
      <c r="R1531" s="52">
        <f>IF(P1531="","",IF(ISNUMBER(I1531),I1531,TasaUSD))</f>
        <v/>
      </c>
      <c r="S1531" s="53">
        <f>IF(P1531="","",IF(H1531="USD",G1531*R1531,G1531))</f>
        <v/>
      </c>
      <c r="T1531" s="53">
        <f>IF(P1531="","",IF(H1531="USD",G1531,IF(R1531&gt;0,G1531/R1531,0)))</f>
        <v/>
      </c>
      <c r="U1531" s="53">
        <f>IF(P1531="","",IF(P1531="Gasto",S1531,IF(P1531="Reembolso",-S1531,0)))</f>
        <v/>
      </c>
      <c r="V1531" s="53">
        <f>IF(P1531="","",IF(P1531="Ingreso",S1531,0))</f>
        <v/>
      </c>
      <c r="W1531" s="53">
        <f>IF(P1531="","",IF(P1531="Resultado trading",S1531,0))</f>
        <v/>
      </c>
      <c r="X1531" s="52">
        <f>IF(OR(P1531="Gasto",P1531="Reembolso"),IF(M1531&lt;&gt;"",M1531,IFERROR(INDEX(catClasif,MATCH(D1531&amp;"|"&amp;E1531,catClave,0))&amp;"","Variable")),"")</f>
        <v/>
      </c>
      <c r="Y1531" s="52">
        <f>IF(P1531="","",IFERROR(INDEX(catGrupo,MATCH(D1531&amp;"|"&amp;E1531,catClave,0))&amp;"",""))</f>
        <v/>
      </c>
      <c r="Z1531" s="52">
        <f>IF(P1531="","",WEEKDAY(B1531,2))</f>
        <v/>
      </c>
      <c r="AA1531" s="52">
        <f>IF(P1531="","",IF(AND(P1531="Gasto",X1531="Variable",D1531&lt;&gt;catTrading,S1531&gt;0,S1531&lt;=Umbral),1,0))</f>
        <v/>
      </c>
      <c r="AB1531" s="52">
        <f>IF(OR(P1531="",Q1531=""),"",IFERROR(IF(INDEX(ctaVinc,MATCH(Q1531,ctaNombre,0))&amp;""&lt;&gt;"",INDEX(ctaVinc,MATCH(Q1531,ctaNombre,0))&amp;"",Q1531),Q1531))</f>
        <v/>
      </c>
      <c r="AC1531" s="52">
        <f>IF(OR(K1531="",AND(P1531&lt;&gt;"Transferencia",P1531&lt;&gt;"Pago tarjeta")),"",IFERROR(IF(INDEX(ctaVinc,MATCH(K1531,ctaNombre,0))&amp;""&lt;&gt;"",INDEX(ctaVinc,MATCH(K1531,ctaNombre,0))&amp;"",K1531),K1531))</f>
        <v/>
      </c>
      <c r="AD1531" s="52">
        <f>IF(AB1531="","",IFERROR(INDEX(ctaTipo,MATCH(AB1531,ctaNombre,0))&amp;"",""))</f>
        <v/>
      </c>
      <c r="AE1531" s="52">
        <f>IF(AC1531="","",IFERROR(INDEX(ctaTipo,MATCH(AC1531,ctaNombre,0))&amp;"",""))</f>
        <v/>
      </c>
      <c r="AF1531" s="53">
        <f>IF(OR(P1531="",AB1531=""),"",IF(OR(P1531="Gasto",P1531="Transferencia",P1531="Pago tarjeta"),-1,1)*IF(IFERROR(INDEX(ctaMoneda,MATCH(AB1531,ctaNombre,0))&amp;"","DOP")="USD",T1531,S1531))</f>
        <v/>
      </c>
      <c r="AG1531" s="53">
        <f>IF(AC1531="","",IF(IFERROR(INDEX(ctaMoneda,MATCH(AC1531,ctaNombre,0))&amp;"","DOP")="USD",T1531,S1531))</f>
        <v/>
      </c>
      <c r="AH1531" s="53">
        <f>IF(P1531="","",IF(AND(AD1531&lt;&gt;"",COUNTIFS(tcTipo,AD1531,tcLiq,"Sí")&gt;0),IF(OR(P1531="Gasto",P1531="Transferencia",P1531="Pago tarjeta"),-1,1)*S1531,0)+IF(AND(AE1531&lt;&gt;"",COUNTIFS(tcTipo,AE1531,tcLiq,"Sí")&gt;0),S1531,0))</f>
        <v/>
      </c>
      <c r="AI1531" s="52">
        <f>IF(OR(L1531="",P1531=""),"",IF(COUNTIFS(L$6:L1531,L1531,P$6:P1531,"?*")=1,MAX(AI$5:AI1530)+1,""))</f>
        <v/>
      </c>
    </row>
    <row r="1532">
      <c r="B1532" s="47" t="n"/>
      <c r="C1532" s="48" t="n"/>
      <c r="D1532" s="48" t="n"/>
      <c r="E1532" s="48" t="n"/>
      <c r="F1532" s="48" t="n"/>
      <c r="G1532" s="49" t="n"/>
      <c r="H1532" s="48" t="n"/>
      <c r="I1532" s="50" t="n"/>
      <c r="J1532" s="48" t="n"/>
      <c r="K1532" s="48" t="n"/>
      <c r="L1532" s="48" t="n"/>
      <c r="M1532" s="48" t="n"/>
      <c r="N1532" s="48" t="n"/>
      <c r="O1532" s="51">
        <f>IF(AND(B1532="",G1532="",C1532="",D1532="",J1532=""),"",IF(B1532="","⚠ Falta fecha",IF(G1532="","⚠ Falta monto",IF(Q1532="","⚠ Falta cuenta",IF(ISNA(MATCH(Q1532,ctaNombre,0)),"⚠ Cuenta no registrada",IF(AND(OR(P1532="Gasto",P1532="Reembolso"),D1532=""),"⚠ Falta categoría",IF(AND(D1532&lt;&gt;"",E1532&lt;&gt;"",ISNA(MATCH(D1532&amp;"|"&amp;E1532,catClave,0))),"⚠ Subcategoría no corresponde",IF(AND(OR(P1532="Transferencia",P1532="Pago tarjeta"),K1532=""),"⚠ Falta cuenta destino",IF(AND(K1532&lt;&gt;"",P1532&lt;&gt;"Transferencia",P1532&lt;&gt;"Pago tarjeta"),"⚠ Destino solo aplica a transferencias",IF(AND(K1532&lt;&gt;"",K1532=Q1532),"⚠ Origen igual a destino",IF(AND(K1532&lt;&gt;"",ISNA(MATCH(K1532,ctaNombre,0))),"⚠ Destino no registrado",IF(AND(P1532="Pago tarjeta",AE1532&lt;&gt;"Tarjeta de crédito"),"⚠ El destino debe ser tarjeta de crédito",IF(AND(P1532="Gasto",E1532="Depósitos y retiros"),"⚠ Usa tipo Transferencia",IF(AND(P1532="Resultado trading",AD1532&lt;&gt;"Cuenta de trading"),"⚠ Usa una cuenta de trading",IF(AND(G1532&lt;=0,P1532&lt;&gt;"Ajuste",P1532&lt;&gt;"Resultado trading"),"⚠ El monto debe ser positivo","✓")))))))))))))))</f>
        <v/>
      </c>
      <c r="P1532" s="52">
        <f>IF(OR(B1532="",G1532=""),"",IF(C1532="","Gasto",C1532))</f>
        <v/>
      </c>
      <c r="Q1532" s="52">
        <f>IF(P1532="","",IF(J1532&lt;&gt;"",J1532,CuentaPred&amp;""))</f>
        <v/>
      </c>
      <c r="R1532" s="52">
        <f>IF(P1532="","",IF(ISNUMBER(I1532),I1532,TasaUSD))</f>
        <v/>
      </c>
      <c r="S1532" s="53">
        <f>IF(P1532="","",IF(H1532="USD",G1532*R1532,G1532))</f>
        <v/>
      </c>
      <c r="T1532" s="53">
        <f>IF(P1532="","",IF(H1532="USD",G1532,IF(R1532&gt;0,G1532/R1532,0)))</f>
        <v/>
      </c>
      <c r="U1532" s="53">
        <f>IF(P1532="","",IF(P1532="Gasto",S1532,IF(P1532="Reembolso",-S1532,0)))</f>
        <v/>
      </c>
      <c r="V1532" s="53">
        <f>IF(P1532="","",IF(P1532="Ingreso",S1532,0))</f>
        <v/>
      </c>
      <c r="W1532" s="53">
        <f>IF(P1532="","",IF(P1532="Resultado trading",S1532,0))</f>
        <v/>
      </c>
      <c r="X1532" s="52">
        <f>IF(OR(P1532="Gasto",P1532="Reembolso"),IF(M1532&lt;&gt;"",M1532,IFERROR(INDEX(catClasif,MATCH(D1532&amp;"|"&amp;E1532,catClave,0))&amp;"","Variable")),"")</f>
        <v/>
      </c>
      <c r="Y1532" s="52">
        <f>IF(P1532="","",IFERROR(INDEX(catGrupo,MATCH(D1532&amp;"|"&amp;E1532,catClave,0))&amp;"",""))</f>
        <v/>
      </c>
      <c r="Z1532" s="52">
        <f>IF(P1532="","",WEEKDAY(B1532,2))</f>
        <v/>
      </c>
      <c r="AA1532" s="52">
        <f>IF(P1532="","",IF(AND(P1532="Gasto",X1532="Variable",D1532&lt;&gt;catTrading,S1532&gt;0,S1532&lt;=Umbral),1,0))</f>
        <v/>
      </c>
      <c r="AB1532" s="52">
        <f>IF(OR(P1532="",Q1532=""),"",IFERROR(IF(INDEX(ctaVinc,MATCH(Q1532,ctaNombre,0))&amp;""&lt;&gt;"",INDEX(ctaVinc,MATCH(Q1532,ctaNombre,0))&amp;"",Q1532),Q1532))</f>
        <v/>
      </c>
      <c r="AC1532" s="52">
        <f>IF(OR(K1532="",AND(P1532&lt;&gt;"Transferencia",P1532&lt;&gt;"Pago tarjeta")),"",IFERROR(IF(INDEX(ctaVinc,MATCH(K1532,ctaNombre,0))&amp;""&lt;&gt;"",INDEX(ctaVinc,MATCH(K1532,ctaNombre,0))&amp;"",K1532),K1532))</f>
        <v/>
      </c>
      <c r="AD1532" s="52">
        <f>IF(AB1532="","",IFERROR(INDEX(ctaTipo,MATCH(AB1532,ctaNombre,0))&amp;"",""))</f>
        <v/>
      </c>
      <c r="AE1532" s="52">
        <f>IF(AC1532="","",IFERROR(INDEX(ctaTipo,MATCH(AC1532,ctaNombre,0))&amp;"",""))</f>
        <v/>
      </c>
      <c r="AF1532" s="53">
        <f>IF(OR(P1532="",AB1532=""),"",IF(OR(P1532="Gasto",P1532="Transferencia",P1532="Pago tarjeta"),-1,1)*IF(IFERROR(INDEX(ctaMoneda,MATCH(AB1532,ctaNombre,0))&amp;"","DOP")="USD",T1532,S1532))</f>
        <v/>
      </c>
      <c r="AG1532" s="53">
        <f>IF(AC1532="","",IF(IFERROR(INDEX(ctaMoneda,MATCH(AC1532,ctaNombre,0))&amp;"","DOP")="USD",T1532,S1532))</f>
        <v/>
      </c>
      <c r="AH1532" s="53">
        <f>IF(P1532="","",IF(AND(AD1532&lt;&gt;"",COUNTIFS(tcTipo,AD1532,tcLiq,"Sí")&gt;0),IF(OR(P1532="Gasto",P1532="Transferencia",P1532="Pago tarjeta"),-1,1)*S1532,0)+IF(AND(AE1532&lt;&gt;"",COUNTIFS(tcTipo,AE1532,tcLiq,"Sí")&gt;0),S1532,0))</f>
        <v/>
      </c>
      <c r="AI1532" s="52">
        <f>IF(OR(L1532="",P1532=""),"",IF(COUNTIFS(L$6:L1532,L1532,P$6:P1532,"?*")=1,MAX(AI$5:AI1531)+1,""))</f>
        <v/>
      </c>
    </row>
    <row r="1533">
      <c r="B1533" s="47" t="n"/>
      <c r="C1533" s="48" t="n"/>
      <c r="D1533" s="48" t="n"/>
      <c r="E1533" s="48" t="n"/>
      <c r="F1533" s="48" t="n"/>
      <c r="G1533" s="49" t="n"/>
      <c r="H1533" s="48" t="n"/>
      <c r="I1533" s="50" t="n"/>
      <c r="J1533" s="48" t="n"/>
      <c r="K1533" s="48" t="n"/>
      <c r="L1533" s="48" t="n"/>
      <c r="M1533" s="48" t="n"/>
      <c r="N1533" s="48" t="n"/>
      <c r="O1533" s="51">
        <f>IF(AND(B1533="",G1533="",C1533="",D1533="",J1533=""),"",IF(B1533="","⚠ Falta fecha",IF(G1533="","⚠ Falta monto",IF(Q1533="","⚠ Falta cuenta",IF(ISNA(MATCH(Q1533,ctaNombre,0)),"⚠ Cuenta no registrada",IF(AND(OR(P1533="Gasto",P1533="Reembolso"),D1533=""),"⚠ Falta categoría",IF(AND(D1533&lt;&gt;"",E1533&lt;&gt;"",ISNA(MATCH(D1533&amp;"|"&amp;E1533,catClave,0))),"⚠ Subcategoría no corresponde",IF(AND(OR(P1533="Transferencia",P1533="Pago tarjeta"),K1533=""),"⚠ Falta cuenta destino",IF(AND(K1533&lt;&gt;"",P1533&lt;&gt;"Transferencia",P1533&lt;&gt;"Pago tarjeta"),"⚠ Destino solo aplica a transferencias",IF(AND(K1533&lt;&gt;"",K1533=Q1533),"⚠ Origen igual a destino",IF(AND(K1533&lt;&gt;"",ISNA(MATCH(K1533,ctaNombre,0))),"⚠ Destino no registrado",IF(AND(P1533="Pago tarjeta",AE1533&lt;&gt;"Tarjeta de crédito"),"⚠ El destino debe ser tarjeta de crédito",IF(AND(P1533="Gasto",E1533="Depósitos y retiros"),"⚠ Usa tipo Transferencia",IF(AND(P1533="Resultado trading",AD1533&lt;&gt;"Cuenta de trading"),"⚠ Usa una cuenta de trading",IF(AND(G1533&lt;=0,P1533&lt;&gt;"Ajuste",P1533&lt;&gt;"Resultado trading"),"⚠ El monto debe ser positivo","✓")))))))))))))))</f>
        <v/>
      </c>
      <c r="P1533" s="52">
        <f>IF(OR(B1533="",G1533=""),"",IF(C1533="","Gasto",C1533))</f>
        <v/>
      </c>
      <c r="Q1533" s="52">
        <f>IF(P1533="","",IF(J1533&lt;&gt;"",J1533,CuentaPred&amp;""))</f>
        <v/>
      </c>
      <c r="R1533" s="52">
        <f>IF(P1533="","",IF(ISNUMBER(I1533),I1533,TasaUSD))</f>
        <v/>
      </c>
      <c r="S1533" s="53">
        <f>IF(P1533="","",IF(H1533="USD",G1533*R1533,G1533))</f>
        <v/>
      </c>
      <c r="T1533" s="53">
        <f>IF(P1533="","",IF(H1533="USD",G1533,IF(R1533&gt;0,G1533/R1533,0)))</f>
        <v/>
      </c>
      <c r="U1533" s="53">
        <f>IF(P1533="","",IF(P1533="Gasto",S1533,IF(P1533="Reembolso",-S1533,0)))</f>
        <v/>
      </c>
      <c r="V1533" s="53">
        <f>IF(P1533="","",IF(P1533="Ingreso",S1533,0))</f>
        <v/>
      </c>
      <c r="W1533" s="53">
        <f>IF(P1533="","",IF(P1533="Resultado trading",S1533,0))</f>
        <v/>
      </c>
      <c r="X1533" s="52">
        <f>IF(OR(P1533="Gasto",P1533="Reembolso"),IF(M1533&lt;&gt;"",M1533,IFERROR(INDEX(catClasif,MATCH(D1533&amp;"|"&amp;E1533,catClave,0))&amp;"","Variable")),"")</f>
        <v/>
      </c>
      <c r="Y1533" s="52">
        <f>IF(P1533="","",IFERROR(INDEX(catGrupo,MATCH(D1533&amp;"|"&amp;E1533,catClave,0))&amp;"",""))</f>
        <v/>
      </c>
      <c r="Z1533" s="52">
        <f>IF(P1533="","",WEEKDAY(B1533,2))</f>
        <v/>
      </c>
      <c r="AA1533" s="52">
        <f>IF(P1533="","",IF(AND(P1533="Gasto",X1533="Variable",D1533&lt;&gt;catTrading,S1533&gt;0,S1533&lt;=Umbral),1,0))</f>
        <v/>
      </c>
      <c r="AB1533" s="52">
        <f>IF(OR(P1533="",Q1533=""),"",IFERROR(IF(INDEX(ctaVinc,MATCH(Q1533,ctaNombre,0))&amp;""&lt;&gt;"",INDEX(ctaVinc,MATCH(Q1533,ctaNombre,0))&amp;"",Q1533),Q1533))</f>
        <v/>
      </c>
      <c r="AC1533" s="52">
        <f>IF(OR(K1533="",AND(P1533&lt;&gt;"Transferencia",P1533&lt;&gt;"Pago tarjeta")),"",IFERROR(IF(INDEX(ctaVinc,MATCH(K1533,ctaNombre,0))&amp;""&lt;&gt;"",INDEX(ctaVinc,MATCH(K1533,ctaNombre,0))&amp;"",K1533),K1533))</f>
        <v/>
      </c>
      <c r="AD1533" s="52">
        <f>IF(AB1533="","",IFERROR(INDEX(ctaTipo,MATCH(AB1533,ctaNombre,0))&amp;"",""))</f>
        <v/>
      </c>
      <c r="AE1533" s="52">
        <f>IF(AC1533="","",IFERROR(INDEX(ctaTipo,MATCH(AC1533,ctaNombre,0))&amp;"",""))</f>
        <v/>
      </c>
      <c r="AF1533" s="53">
        <f>IF(OR(P1533="",AB1533=""),"",IF(OR(P1533="Gasto",P1533="Transferencia",P1533="Pago tarjeta"),-1,1)*IF(IFERROR(INDEX(ctaMoneda,MATCH(AB1533,ctaNombre,0))&amp;"","DOP")="USD",T1533,S1533))</f>
        <v/>
      </c>
      <c r="AG1533" s="53">
        <f>IF(AC1533="","",IF(IFERROR(INDEX(ctaMoneda,MATCH(AC1533,ctaNombre,0))&amp;"","DOP")="USD",T1533,S1533))</f>
        <v/>
      </c>
      <c r="AH1533" s="53">
        <f>IF(P1533="","",IF(AND(AD1533&lt;&gt;"",COUNTIFS(tcTipo,AD1533,tcLiq,"Sí")&gt;0),IF(OR(P1533="Gasto",P1533="Transferencia",P1533="Pago tarjeta"),-1,1)*S1533,0)+IF(AND(AE1533&lt;&gt;"",COUNTIFS(tcTipo,AE1533,tcLiq,"Sí")&gt;0),S1533,0))</f>
        <v/>
      </c>
      <c r="AI1533" s="52">
        <f>IF(OR(L1533="",P1533=""),"",IF(COUNTIFS(L$6:L1533,L1533,P$6:P1533,"?*")=1,MAX(AI$5:AI1532)+1,""))</f>
        <v/>
      </c>
    </row>
    <row r="1534">
      <c r="B1534" s="47" t="n"/>
      <c r="C1534" s="48" t="n"/>
      <c r="D1534" s="48" t="n"/>
      <c r="E1534" s="48" t="n"/>
      <c r="F1534" s="48" t="n"/>
      <c r="G1534" s="49" t="n"/>
      <c r="H1534" s="48" t="n"/>
      <c r="I1534" s="50" t="n"/>
      <c r="J1534" s="48" t="n"/>
      <c r="K1534" s="48" t="n"/>
      <c r="L1534" s="48" t="n"/>
      <c r="M1534" s="48" t="n"/>
      <c r="N1534" s="48" t="n"/>
      <c r="O1534" s="51">
        <f>IF(AND(B1534="",G1534="",C1534="",D1534="",J1534=""),"",IF(B1534="","⚠ Falta fecha",IF(G1534="","⚠ Falta monto",IF(Q1534="","⚠ Falta cuenta",IF(ISNA(MATCH(Q1534,ctaNombre,0)),"⚠ Cuenta no registrada",IF(AND(OR(P1534="Gasto",P1534="Reembolso"),D1534=""),"⚠ Falta categoría",IF(AND(D1534&lt;&gt;"",E1534&lt;&gt;"",ISNA(MATCH(D1534&amp;"|"&amp;E1534,catClave,0))),"⚠ Subcategoría no corresponde",IF(AND(OR(P1534="Transferencia",P1534="Pago tarjeta"),K1534=""),"⚠ Falta cuenta destino",IF(AND(K1534&lt;&gt;"",P1534&lt;&gt;"Transferencia",P1534&lt;&gt;"Pago tarjeta"),"⚠ Destino solo aplica a transferencias",IF(AND(K1534&lt;&gt;"",K1534=Q1534),"⚠ Origen igual a destino",IF(AND(K1534&lt;&gt;"",ISNA(MATCH(K1534,ctaNombre,0))),"⚠ Destino no registrado",IF(AND(P1534="Pago tarjeta",AE1534&lt;&gt;"Tarjeta de crédito"),"⚠ El destino debe ser tarjeta de crédito",IF(AND(P1534="Gasto",E1534="Depósitos y retiros"),"⚠ Usa tipo Transferencia",IF(AND(P1534="Resultado trading",AD1534&lt;&gt;"Cuenta de trading"),"⚠ Usa una cuenta de trading",IF(AND(G1534&lt;=0,P1534&lt;&gt;"Ajuste",P1534&lt;&gt;"Resultado trading"),"⚠ El monto debe ser positivo","✓")))))))))))))))</f>
        <v/>
      </c>
      <c r="P1534" s="52">
        <f>IF(OR(B1534="",G1534=""),"",IF(C1534="","Gasto",C1534))</f>
        <v/>
      </c>
      <c r="Q1534" s="52">
        <f>IF(P1534="","",IF(J1534&lt;&gt;"",J1534,CuentaPred&amp;""))</f>
        <v/>
      </c>
      <c r="R1534" s="52">
        <f>IF(P1534="","",IF(ISNUMBER(I1534),I1534,TasaUSD))</f>
        <v/>
      </c>
      <c r="S1534" s="53">
        <f>IF(P1534="","",IF(H1534="USD",G1534*R1534,G1534))</f>
        <v/>
      </c>
      <c r="T1534" s="53">
        <f>IF(P1534="","",IF(H1534="USD",G1534,IF(R1534&gt;0,G1534/R1534,0)))</f>
        <v/>
      </c>
      <c r="U1534" s="53">
        <f>IF(P1534="","",IF(P1534="Gasto",S1534,IF(P1534="Reembolso",-S1534,0)))</f>
        <v/>
      </c>
      <c r="V1534" s="53">
        <f>IF(P1534="","",IF(P1534="Ingreso",S1534,0))</f>
        <v/>
      </c>
      <c r="W1534" s="53">
        <f>IF(P1534="","",IF(P1534="Resultado trading",S1534,0))</f>
        <v/>
      </c>
      <c r="X1534" s="52">
        <f>IF(OR(P1534="Gasto",P1534="Reembolso"),IF(M1534&lt;&gt;"",M1534,IFERROR(INDEX(catClasif,MATCH(D1534&amp;"|"&amp;E1534,catClave,0))&amp;"","Variable")),"")</f>
        <v/>
      </c>
      <c r="Y1534" s="52">
        <f>IF(P1534="","",IFERROR(INDEX(catGrupo,MATCH(D1534&amp;"|"&amp;E1534,catClave,0))&amp;"",""))</f>
        <v/>
      </c>
      <c r="Z1534" s="52">
        <f>IF(P1534="","",WEEKDAY(B1534,2))</f>
        <v/>
      </c>
      <c r="AA1534" s="52">
        <f>IF(P1534="","",IF(AND(P1534="Gasto",X1534="Variable",D1534&lt;&gt;catTrading,S1534&gt;0,S1534&lt;=Umbral),1,0))</f>
        <v/>
      </c>
      <c r="AB1534" s="52">
        <f>IF(OR(P1534="",Q1534=""),"",IFERROR(IF(INDEX(ctaVinc,MATCH(Q1534,ctaNombre,0))&amp;""&lt;&gt;"",INDEX(ctaVinc,MATCH(Q1534,ctaNombre,0))&amp;"",Q1534),Q1534))</f>
        <v/>
      </c>
      <c r="AC1534" s="52">
        <f>IF(OR(K1534="",AND(P1534&lt;&gt;"Transferencia",P1534&lt;&gt;"Pago tarjeta")),"",IFERROR(IF(INDEX(ctaVinc,MATCH(K1534,ctaNombre,0))&amp;""&lt;&gt;"",INDEX(ctaVinc,MATCH(K1534,ctaNombre,0))&amp;"",K1534),K1534))</f>
        <v/>
      </c>
      <c r="AD1534" s="52">
        <f>IF(AB1534="","",IFERROR(INDEX(ctaTipo,MATCH(AB1534,ctaNombre,0))&amp;"",""))</f>
        <v/>
      </c>
      <c r="AE1534" s="52">
        <f>IF(AC1534="","",IFERROR(INDEX(ctaTipo,MATCH(AC1534,ctaNombre,0))&amp;"",""))</f>
        <v/>
      </c>
      <c r="AF1534" s="53">
        <f>IF(OR(P1534="",AB1534=""),"",IF(OR(P1534="Gasto",P1534="Transferencia",P1534="Pago tarjeta"),-1,1)*IF(IFERROR(INDEX(ctaMoneda,MATCH(AB1534,ctaNombre,0))&amp;"","DOP")="USD",T1534,S1534))</f>
        <v/>
      </c>
      <c r="AG1534" s="53">
        <f>IF(AC1534="","",IF(IFERROR(INDEX(ctaMoneda,MATCH(AC1534,ctaNombre,0))&amp;"","DOP")="USD",T1534,S1534))</f>
        <v/>
      </c>
      <c r="AH1534" s="53">
        <f>IF(P1534="","",IF(AND(AD1534&lt;&gt;"",COUNTIFS(tcTipo,AD1534,tcLiq,"Sí")&gt;0),IF(OR(P1534="Gasto",P1534="Transferencia",P1534="Pago tarjeta"),-1,1)*S1534,0)+IF(AND(AE1534&lt;&gt;"",COUNTIFS(tcTipo,AE1534,tcLiq,"Sí")&gt;0),S1534,0))</f>
        <v/>
      </c>
      <c r="AI1534" s="52">
        <f>IF(OR(L1534="",P1534=""),"",IF(COUNTIFS(L$6:L1534,L1534,P$6:P1534,"?*")=1,MAX(AI$5:AI1533)+1,""))</f>
        <v/>
      </c>
    </row>
    <row r="1535">
      <c r="B1535" s="47" t="n"/>
      <c r="C1535" s="48" t="n"/>
      <c r="D1535" s="48" t="n"/>
      <c r="E1535" s="48" t="n"/>
      <c r="F1535" s="48" t="n"/>
      <c r="G1535" s="49" t="n"/>
      <c r="H1535" s="48" t="n"/>
      <c r="I1535" s="50" t="n"/>
      <c r="J1535" s="48" t="n"/>
      <c r="K1535" s="48" t="n"/>
      <c r="L1535" s="48" t="n"/>
      <c r="M1535" s="48" t="n"/>
      <c r="N1535" s="48" t="n"/>
      <c r="O1535" s="51">
        <f>IF(AND(B1535="",G1535="",C1535="",D1535="",J1535=""),"",IF(B1535="","⚠ Falta fecha",IF(G1535="","⚠ Falta monto",IF(Q1535="","⚠ Falta cuenta",IF(ISNA(MATCH(Q1535,ctaNombre,0)),"⚠ Cuenta no registrada",IF(AND(OR(P1535="Gasto",P1535="Reembolso"),D1535=""),"⚠ Falta categoría",IF(AND(D1535&lt;&gt;"",E1535&lt;&gt;"",ISNA(MATCH(D1535&amp;"|"&amp;E1535,catClave,0))),"⚠ Subcategoría no corresponde",IF(AND(OR(P1535="Transferencia",P1535="Pago tarjeta"),K1535=""),"⚠ Falta cuenta destino",IF(AND(K1535&lt;&gt;"",P1535&lt;&gt;"Transferencia",P1535&lt;&gt;"Pago tarjeta"),"⚠ Destino solo aplica a transferencias",IF(AND(K1535&lt;&gt;"",K1535=Q1535),"⚠ Origen igual a destino",IF(AND(K1535&lt;&gt;"",ISNA(MATCH(K1535,ctaNombre,0))),"⚠ Destino no registrado",IF(AND(P1535="Pago tarjeta",AE1535&lt;&gt;"Tarjeta de crédito"),"⚠ El destino debe ser tarjeta de crédito",IF(AND(P1535="Gasto",E1535="Depósitos y retiros"),"⚠ Usa tipo Transferencia",IF(AND(P1535="Resultado trading",AD1535&lt;&gt;"Cuenta de trading"),"⚠ Usa una cuenta de trading",IF(AND(G1535&lt;=0,P1535&lt;&gt;"Ajuste",P1535&lt;&gt;"Resultado trading"),"⚠ El monto debe ser positivo","✓")))))))))))))))</f>
        <v/>
      </c>
      <c r="P1535" s="52">
        <f>IF(OR(B1535="",G1535=""),"",IF(C1535="","Gasto",C1535))</f>
        <v/>
      </c>
      <c r="Q1535" s="52">
        <f>IF(P1535="","",IF(J1535&lt;&gt;"",J1535,CuentaPred&amp;""))</f>
        <v/>
      </c>
      <c r="R1535" s="52">
        <f>IF(P1535="","",IF(ISNUMBER(I1535),I1535,TasaUSD))</f>
        <v/>
      </c>
      <c r="S1535" s="53">
        <f>IF(P1535="","",IF(H1535="USD",G1535*R1535,G1535))</f>
        <v/>
      </c>
      <c r="T1535" s="53">
        <f>IF(P1535="","",IF(H1535="USD",G1535,IF(R1535&gt;0,G1535/R1535,0)))</f>
        <v/>
      </c>
      <c r="U1535" s="53">
        <f>IF(P1535="","",IF(P1535="Gasto",S1535,IF(P1535="Reembolso",-S1535,0)))</f>
        <v/>
      </c>
      <c r="V1535" s="53">
        <f>IF(P1535="","",IF(P1535="Ingreso",S1535,0))</f>
        <v/>
      </c>
      <c r="W1535" s="53">
        <f>IF(P1535="","",IF(P1535="Resultado trading",S1535,0))</f>
        <v/>
      </c>
      <c r="X1535" s="52">
        <f>IF(OR(P1535="Gasto",P1535="Reembolso"),IF(M1535&lt;&gt;"",M1535,IFERROR(INDEX(catClasif,MATCH(D1535&amp;"|"&amp;E1535,catClave,0))&amp;"","Variable")),"")</f>
        <v/>
      </c>
      <c r="Y1535" s="52">
        <f>IF(P1535="","",IFERROR(INDEX(catGrupo,MATCH(D1535&amp;"|"&amp;E1535,catClave,0))&amp;"",""))</f>
        <v/>
      </c>
      <c r="Z1535" s="52">
        <f>IF(P1535="","",WEEKDAY(B1535,2))</f>
        <v/>
      </c>
      <c r="AA1535" s="52">
        <f>IF(P1535="","",IF(AND(P1535="Gasto",X1535="Variable",D1535&lt;&gt;catTrading,S1535&gt;0,S1535&lt;=Umbral),1,0))</f>
        <v/>
      </c>
      <c r="AB1535" s="52">
        <f>IF(OR(P1535="",Q1535=""),"",IFERROR(IF(INDEX(ctaVinc,MATCH(Q1535,ctaNombre,0))&amp;""&lt;&gt;"",INDEX(ctaVinc,MATCH(Q1535,ctaNombre,0))&amp;"",Q1535),Q1535))</f>
        <v/>
      </c>
      <c r="AC1535" s="52">
        <f>IF(OR(K1535="",AND(P1535&lt;&gt;"Transferencia",P1535&lt;&gt;"Pago tarjeta")),"",IFERROR(IF(INDEX(ctaVinc,MATCH(K1535,ctaNombre,0))&amp;""&lt;&gt;"",INDEX(ctaVinc,MATCH(K1535,ctaNombre,0))&amp;"",K1535),K1535))</f>
        <v/>
      </c>
      <c r="AD1535" s="52">
        <f>IF(AB1535="","",IFERROR(INDEX(ctaTipo,MATCH(AB1535,ctaNombre,0))&amp;"",""))</f>
        <v/>
      </c>
      <c r="AE1535" s="52">
        <f>IF(AC1535="","",IFERROR(INDEX(ctaTipo,MATCH(AC1535,ctaNombre,0))&amp;"",""))</f>
        <v/>
      </c>
      <c r="AF1535" s="53">
        <f>IF(OR(P1535="",AB1535=""),"",IF(OR(P1535="Gasto",P1535="Transferencia",P1535="Pago tarjeta"),-1,1)*IF(IFERROR(INDEX(ctaMoneda,MATCH(AB1535,ctaNombre,0))&amp;"","DOP")="USD",T1535,S1535))</f>
        <v/>
      </c>
      <c r="AG1535" s="53">
        <f>IF(AC1535="","",IF(IFERROR(INDEX(ctaMoneda,MATCH(AC1535,ctaNombre,0))&amp;"","DOP")="USD",T1535,S1535))</f>
        <v/>
      </c>
      <c r="AH1535" s="53">
        <f>IF(P1535="","",IF(AND(AD1535&lt;&gt;"",COUNTIFS(tcTipo,AD1535,tcLiq,"Sí")&gt;0),IF(OR(P1535="Gasto",P1535="Transferencia",P1535="Pago tarjeta"),-1,1)*S1535,0)+IF(AND(AE1535&lt;&gt;"",COUNTIFS(tcTipo,AE1535,tcLiq,"Sí")&gt;0),S1535,0))</f>
        <v/>
      </c>
      <c r="AI1535" s="52">
        <f>IF(OR(L1535="",P1535=""),"",IF(COUNTIFS(L$6:L1535,L1535,P$6:P1535,"?*")=1,MAX(AI$5:AI1534)+1,""))</f>
        <v/>
      </c>
    </row>
    <row r="1536">
      <c r="B1536" s="47" t="n"/>
      <c r="C1536" s="48" t="n"/>
      <c r="D1536" s="48" t="n"/>
      <c r="E1536" s="48" t="n"/>
      <c r="F1536" s="48" t="n"/>
      <c r="G1536" s="49" t="n"/>
      <c r="H1536" s="48" t="n"/>
      <c r="I1536" s="50" t="n"/>
      <c r="J1536" s="48" t="n"/>
      <c r="K1536" s="48" t="n"/>
      <c r="L1536" s="48" t="n"/>
      <c r="M1536" s="48" t="n"/>
      <c r="N1536" s="48" t="n"/>
      <c r="O1536" s="51">
        <f>IF(AND(B1536="",G1536="",C1536="",D1536="",J1536=""),"",IF(B1536="","⚠ Falta fecha",IF(G1536="","⚠ Falta monto",IF(Q1536="","⚠ Falta cuenta",IF(ISNA(MATCH(Q1536,ctaNombre,0)),"⚠ Cuenta no registrada",IF(AND(OR(P1536="Gasto",P1536="Reembolso"),D1536=""),"⚠ Falta categoría",IF(AND(D1536&lt;&gt;"",E1536&lt;&gt;"",ISNA(MATCH(D1536&amp;"|"&amp;E1536,catClave,0))),"⚠ Subcategoría no corresponde",IF(AND(OR(P1536="Transferencia",P1536="Pago tarjeta"),K1536=""),"⚠ Falta cuenta destino",IF(AND(K1536&lt;&gt;"",P1536&lt;&gt;"Transferencia",P1536&lt;&gt;"Pago tarjeta"),"⚠ Destino solo aplica a transferencias",IF(AND(K1536&lt;&gt;"",K1536=Q1536),"⚠ Origen igual a destino",IF(AND(K1536&lt;&gt;"",ISNA(MATCH(K1536,ctaNombre,0))),"⚠ Destino no registrado",IF(AND(P1536="Pago tarjeta",AE1536&lt;&gt;"Tarjeta de crédito"),"⚠ El destino debe ser tarjeta de crédito",IF(AND(P1536="Gasto",E1536="Depósitos y retiros"),"⚠ Usa tipo Transferencia",IF(AND(P1536="Resultado trading",AD1536&lt;&gt;"Cuenta de trading"),"⚠ Usa una cuenta de trading",IF(AND(G1536&lt;=0,P1536&lt;&gt;"Ajuste",P1536&lt;&gt;"Resultado trading"),"⚠ El monto debe ser positivo","✓")))))))))))))))</f>
        <v/>
      </c>
      <c r="P1536" s="52">
        <f>IF(OR(B1536="",G1536=""),"",IF(C1536="","Gasto",C1536))</f>
        <v/>
      </c>
      <c r="Q1536" s="52">
        <f>IF(P1536="","",IF(J1536&lt;&gt;"",J1536,CuentaPred&amp;""))</f>
        <v/>
      </c>
      <c r="R1536" s="52">
        <f>IF(P1536="","",IF(ISNUMBER(I1536),I1536,TasaUSD))</f>
        <v/>
      </c>
      <c r="S1536" s="53">
        <f>IF(P1536="","",IF(H1536="USD",G1536*R1536,G1536))</f>
        <v/>
      </c>
      <c r="T1536" s="53">
        <f>IF(P1536="","",IF(H1536="USD",G1536,IF(R1536&gt;0,G1536/R1536,0)))</f>
        <v/>
      </c>
      <c r="U1536" s="53">
        <f>IF(P1536="","",IF(P1536="Gasto",S1536,IF(P1536="Reembolso",-S1536,0)))</f>
        <v/>
      </c>
      <c r="V1536" s="53">
        <f>IF(P1536="","",IF(P1536="Ingreso",S1536,0))</f>
        <v/>
      </c>
      <c r="W1536" s="53">
        <f>IF(P1536="","",IF(P1536="Resultado trading",S1536,0))</f>
        <v/>
      </c>
      <c r="X1536" s="52">
        <f>IF(OR(P1536="Gasto",P1536="Reembolso"),IF(M1536&lt;&gt;"",M1536,IFERROR(INDEX(catClasif,MATCH(D1536&amp;"|"&amp;E1536,catClave,0))&amp;"","Variable")),"")</f>
        <v/>
      </c>
      <c r="Y1536" s="52">
        <f>IF(P1536="","",IFERROR(INDEX(catGrupo,MATCH(D1536&amp;"|"&amp;E1536,catClave,0))&amp;"",""))</f>
        <v/>
      </c>
      <c r="Z1536" s="52">
        <f>IF(P1536="","",WEEKDAY(B1536,2))</f>
        <v/>
      </c>
      <c r="AA1536" s="52">
        <f>IF(P1536="","",IF(AND(P1536="Gasto",X1536="Variable",D1536&lt;&gt;catTrading,S1536&gt;0,S1536&lt;=Umbral),1,0))</f>
        <v/>
      </c>
      <c r="AB1536" s="52">
        <f>IF(OR(P1536="",Q1536=""),"",IFERROR(IF(INDEX(ctaVinc,MATCH(Q1536,ctaNombre,0))&amp;""&lt;&gt;"",INDEX(ctaVinc,MATCH(Q1536,ctaNombre,0))&amp;"",Q1536),Q1536))</f>
        <v/>
      </c>
      <c r="AC1536" s="52">
        <f>IF(OR(K1536="",AND(P1536&lt;&gt;"Transferencia",P1536&lt;&gt;"Pago tarjeta")),"",IFERROR(IF(INDEX(ctaVinc,MATCH(K1536,ctaNombre,0))&amp;""&lt;&gt;"",INDEX(ctaVinc,MATCH(K1536,ctaNombre,0))&amp;"",K1536),K1536))</f>
        <v/>
      </c>
      <c r="AD1536" s="52">
        <f>IF(AB1536="","",IFERROR(INDEX(ctaTipo,MATCH(AB1536,ctaNombre,0))&amp;"",""))</f>
        <v/>
      </c>
      <c r="AE1536" s="52">
        <f>IF(AC1536="","",IFERROR(INDEX(ctaTipo,MATCH(AC1536,ctaNombre,0))&amp;"",""))</f>
        <v/>
      </c>
      <c r="AF1536" s="53">
        <f>IF(OR(P1536="",AB1536=""),"",IF(OR(P1536="Gasto",P1536="Transferencia",P1536="Pago tarjeta"),-1,1)*IF(IFERROR(INDEX(ctaMoneda,MATCH(AB1536,ctaNombre,0))&amp;"","DOP")="USD",T1536,S1536))</f>
        <v/>
      </c>
      <c r="AG1536" s="53">
        <f>IF(AC1536="","",IF(IFERROR(INDEX(ctaMoneda,MATCH(AC1536,ctaNombre,0))&amp;"","DOP")="USD",T1536,S1536))</f>
        <v/>
      </c>
      <c r="AH1536" s="53">
        <f>IF(P1536="","",IF(AND(AD1536&lt;&gt;"",COUNTIFS(tcTipo,AD1536,tcLiq,"Sí")&gt;0),IF(OR(P1536="Gasto",P1536="Transferencia",P1536="Pago tarjeta"),-1,1)*S1536,0)+IF(AND(AE1536&lt;&gt;"",COUNTIFS(tcTipo,AE1536,tcLiq,"Sí")&gt;0),S1536,0))</f>
        <v/>
      </c>
      <c r="AI1536" s="52">
        <f>IF(OR(L1536="",P1536=""),"",IF(COUNTIFS(L$6:L1536,L1536,P$6:P1536,"?*")=1,MAX(AI$5:AI1535)+1,""))</f>
        <v/>
      </c>
    </row>
    <row r="1537">
      <c r="B1537" s="47" t="n"/>
      <c r="C1537" s="48" t="n"/>
      <c r="D1537" s="48" t="n"/>
      <c r="E1537" s="48" t="n"/>
      <c r="F1537" s="48" t="n"/>
      <c r="G1537" s="49" t="n"/>
      <c r="H1537" s="48" t="n"/>
      <c r="I1537" s="50" t="n"/>
      <c r="J1537" s="48" t="n"/>
      <c r="K1537" s="48" t="n"/>
      <c r="L1537" s="48" t="n"/>
      <c r="M1537" s="48" t="n"/>
      <c r="N1537" s="48" t="n"/>
      <c r="O1537" s="51">
        <f>IF(AND(B1537="",G1537="",C1537="",D1537="",J1537=""),"",IF(B1537="","⚠ Falta fecha",IF(G1537="","⚠ Falta monto",IF(Q1537="","⚠ Falta cuenta",IF(ISNA(MATCH(Q1537,ctaNombre,0)),"⚠ Cuenta no registrada",IF(AND(OR(P1537="Gasto",P1537="Reembolso"),D1537=""),"⚠ Falta categoría",IF(AND(D1537&lt;&gt;"",E1537&lt;&gt;"",ISNA(MATCH(D1537&amp;"|"&amp;E1537,catClave,0))),"⚠ Subcategoría no corresponde",IF(AND(OR(P1537="Transferencia",P1537="Pago tarjeta"),K1537=""),"⚠ Falta cuenta destino",IF(AND(K1537&lt;&gt;"",P1537&lt;&gt;"Transferencia",P1537&lt;&gt;"Pago tarjeta"),"⚠ Destino solo aplica a transferencias",IF(AND(K1537&lt;&gt;"",K1537=Q1537),"⚠ Origen igual a destino",IF(AND(K1537&lt;&gt;"",ISNA(MATCH(K1537,ctaNombre,0))),"⚠ Destino no registrado",IF(AND(P1537="Pago tarjeta",AE1537&lt;&gt;"Tarjeta de crédito"),"⚠ El destino debe ser tarjeta de crédito",IF(AND(P1537="Gasto",E1537="Depósitos y retiros"),"⚠ Usa tipo Transferencia",IF(AND(P1537="Resultado trading",AD1537&lt;&gt;"Cuenta de trading"),"⚠ Usa una cuenta de trading",IF(AND(G1537&lt;=0,P1537&lt;&gt;"Ajuste",P1537&lt;&gt;"Resultado trading"),"⚠ El monto debe ser positivo","✓")))))))))))))))</f>
        <v/>
      </c>
      <c r="P1537" s="52">
        <f>IF(OR(B1537="",G1537=""),"",IF(C1537="","Gasto",C1537))</f>
        <v/>
      </c>
      <c r="Q1537" s="52">
        <f>IF(P1537="","",IF(J1537&lt;&gt;"",J1537,CuentaPred&amp;""))</f>
        <v/>
      </c>
      <c r="R1537" s="52">
        <f>IF(P1537="","",IF(ISNUMBER(I1537),I1537,TasaUSD))</f>
        <v/>
      </c>
      <c r="S1537" s="53">
        <f>IF(P1537="","",IF(H1537="USD",G1537*R1537,G1537))</f>
        <v/>
      </c>
      <c r="T1537" s="53">
        <f>IF(P1537="","",IF(H1537="USD",G1537,IF(R1537&gt;0,G1537/R1537,0)))</f>
        <v/>
      </c>
      <c r="U1537" s="53">
        <f>IF(P1537="","",IF(P1537="Gasto",S1537,IF(P1537="Reembolso",-S1537,0)))</f>
        <v/>
      </c>
      <c r="V1537" s="53">
        <f>IF(P1537="","",IF(P1537="Ingreso",S1537,0))</f>
        <v/>
      </c>
      <c r="W1537" s="53">
        <f>IF(P1537="","",IF(P1537="Resultado trading",S1537,0))</f>
        <v/>
      </c>
      <c r="X1537" s="52">
        <f>IF(OR(P1537="Gasto",P1537="Reembolso"),IF(M1537&lt;&gt;"",M1537,IFERROR(INDEX(catClasif,MATCH(D1537&amp;"|"&amp;E1537,catClave,0))&amp;"","Variable")),"")</f>
        <v/>
      </c>
      <c r="Y1537" s="52">
        <f>IF(P1537="","",IFERROR(INDEX(catGrupo,MATCH(D1537&amp;"|"&amp;E1537,catClave,0))&amp;"",""))</f>
        <v/>
      </c>
      <c r="Z1537" s="52">
        <f>IF(P1537="","",WEEKDAY(B1537,2))</f>
        <v/>
      </c>
      <c r="AA1537" s="52">
        <f>IF(P1537="","",IF(AND(P1537="Gasto",X1537="Variable",D1537&lt;&gt;catTrading,S1537&gt;0,S1537&lt;=Umbral),1,0))</f>
        <v/>
      </c>
      <c r="AB1537" s="52">
        <f>IF(OR(P1537="",Q1537=""),"",IFERROR(IF(INDEX(ctaVinc,MATCH(Q1537,ctaNombre,0))&amp;""&lt;&gt;"",INDEX(ctaVinc,MATCH(Q1537,ctaNombre,0))&amp;"",Q1537),Q1537))</f>
        <v/>
      </c>
      <c r="AC1537" s="52">
        <f>IF(OR(K1537="",AND(P1537&lt;&gt;"Transferencia",P1537&lt;&gt;"Pago tarjeta")),"",IFERROR(IF(INDEX(ctaVinc,MATCH(K1537,ctaNombre,0))&amp;""&lt;&gt;"",INDEX(ctaVinc,MATCH(K1537,ctaNombre,0))&amp;"",K1537),K1537))</f>
        <v/>
      </c>
      <c r="AD1537" s="52">
        <f>IF(AB1537="","",IFERROR(INDEX(ctaTipo,MATCH(AB1537,ctaNombre,0))&amp;"",""))</f>
        <v/>
      </c>
      <c r="AE1537" s="52">
        <f>IF(AC1537="","",IFERROR(INDEX(ctaTipo,MATCH(AC1537,ctaNombre,0))&amp;"",""))</f>
        <v/>
      </c>
      <c r="AF1537" s="53">
        <f>IF(OR(P1537="",AB1537=""),"",IF(OR(P1537="Gasto",P1537="Transferencia",P1537="Pago tarjeta"),-1,1)*IF(IFERROR(INDEX(ctaMoneda,MATCH(AB1537,ctaNombre,0))&amp;"","DOP")="USD",T1537,S1537))</f>
        <v/>
      </c>
      <c r="AG1537" s="53">
        <f>IF(AC1537="","",IF(IFERROR(INDEX(ctaMoneda,MATCH(AC1537,ctaNombre,0))&amp;"","DOP")="USD",T1537,S1537))</f>
        <v/>
      </c>
      <c r="AH1537" s="53">
        <f>IF(P1537="","",IF(AND(AD1537&lt;&gt;"",COUNTIFS(tcTipo,AD1537,tcLiq,"Sí")&gt;0),IF(OR(P1537="Gasto",P1537="Transferencia",P1537="Pago tarjeta"),-1,1)*S1537,0)+IF(AND(AE1537&lt;&gt;"",COUNTIFS(tcTipo,AE1537,tcLiq,"Sí")&gt;0),S1537,0))</f>
        <v/>
      </c>
      <c r="AI1537" s="52">
        <f>IF(OR(L1537="",P1537=""),"",IF(COUNTIFS(L$6:L1537,L1537,P$6:P1537,"?*")=1,MAX(AI$5:AI1536)+1,""))</f>
        <v/>
      </c>
    </row>
    <row r="1538">
      <c r="B1538" s="47" t="n"/>
      <c r="C1538" s="48" t="n"/>
      <c r="D1538" s="48" t="n"/>
      <c r="E1538" s="48" t="n"/>
      <c r="F1538" s="48" t="n"/>
      <c r="G1538" s="49" t="n"/>
      <c r="H1538" s="48" t="n"/>
      <c r="I1538" s="50" t="n"/>
      <c r="J1538" s="48" t="n"/>
      <c r="K1538" s="48" t="n"/>
      <c r="L1538" s="48" t="n"/>
      <c r="M1538" s="48" t="n"/>
      <c r="N1538" s="48" t="n"/>
      <c r="O1538" s="51">
        <f>IF(AND(B1538="",G1538="",C1538="",D1538="",J1538=""),"",IF(B1538="","⚠ Falta fecha",IF(G1538="","⚠ Falta monto",IF(Q1538="","⚠ Falta cuenta",IF(ISNA(MATCH(Q1538,ctaNombre,0)),"⚠ Cuenta no registrada",IF(AND(OR(P1538="Gasto",P1538="Reembolso"),D1538=""),"⚠ Falta categoría",IF(AND(D1538&lt;&gt;"",E1538&lt;&gt;"",ISNA(MATCH(D1538&amp;"|"&amp;E1538,catClave,0))),"⚠ Subcategoría no corresponde",IF(AND(OR(P1538="Transferencia",P1538="Pago tarjeta"),K1538=""),"⚠ Falta cuenta destino",IF(AND(K1538&lt;&gt;"",P1538&lt;&gt;"Transferencia",P1538&lt;&gt;"Pago tarjeta"),"⚠ Destino solo aplica a transferencias",IF(AND(K1538&lt;&gt;"",K1538=Q1538),"⚠ Origen igual a destino",IF(AND(K1538&lt;&gt;"",ISNA(MATCH(K1538,ctaNombre,0))),"⚠ Destino no registrado",IF(AND(P1538="Pago tarjeta",AE1538&lt;&gt;"Tarjeta de crédito"),"⚠ El destino debe ser tarjeta de crédito",IF(AND(P1538="Gasto",E1538="Depósitos y retiros"),"⚠ Usa tipo Transferencia",IF(AND(P1538="Resultado trading",AD1538&lt;&gt;"Cuenta de trading"),"⚠ Usa una cuenta de trading",IF(AND(G1538&lt;=0,P1538&lt;&gt;"Ajuste",P1538&lt;&gt;"Resultado trading"),"⚠ El monto debe ser positivo","✓")))))))))))))))</f>
        <v/>
      </c>
      <c r="P1538" s="52">
        <f>IF(OR(B1538="",G1538=""),"",IF(C1538="","Gasto",C1538))</f>
        <v/>
      </c>
      <c r="Q1538" s="52">
        <f>IF(P1538="","",IF(J1538&lt;&gt;"",J1538,CuentaPred&amp;""))</f>
        <v/>
      </c>
      <c r="R1538" s="52">
        <f>IF(P1538="","",IF(ISNUMBER(I1538),I1538,TasaUSD))</f>
        <v/>
      </c>
      <c r="S1538" s="53">
        <f>IF(P1538="","",IF(H1538="USD",G1538*R1538,G1538))</f>
        <v/>
      </c>
      <c r="T1538" s="53">
        <f>IF(P1538="","",IF(H1538="USD",G1538,IF(R1538&gt;0,G1538/R1538,0)))</f>
        <v/>
      </c>
      <c r="U1538" s="53">
        <f>IF(P1538="","",IF(P1538="Gasto",S1538,IF(P1538="Reembolso",-S1538,0)))</f>
        <v/>
      </c>
      <c r="V1538" s="53">
        <f>IF(P1538="","",IF(P1538="Ingreso",S1538,0))</f>
        <v/>
      </c>
      <c r="W1538" s="53">
        <f>IF(P1538="","",IF(P1538="Resultado trading",S1538,0))</f>
        <v/>
      </c>
      <c r="X1538" s="52">
        <f>IF(OR(P1538="Gasto",P1538="Reembolso"),IF(M1538&lt;&gt;"",M1538,IFERROR(INDEX(catClasif,MATCH(D1538&amp;"|"&amp;E1538,catClave,0))&amp;"","Variable")),"")</f>
        <v/>
      </c>
      <c r="Y1538" s="52">
        <f>IF(P1538="","",IFERROR(INDEX(catGrupo,MATCH(D1538&amp;"|"&amp;E1538,catClave,0))&amp;"",""))</f>
        <v/>
      </c>
      <c r="Z1538" s="52">
        <f>IF(P1538="","",WEEKDAY(B1538,2))</f>
        <v/>
      </c>
      <c r="AA1538" s="52">
        <f>IF(P1538="","",IF(AND(P1538="Gasto",X1538="Variable",D1538&lt;&gt;catTrading,S1538&gt;0,S1538&lt;=Umbral),1,0))</f>
        <v/>
      </c>
      <c r="AB1538" s="52">
        <f>IF(OR(P1538="",Q1538=""),"",IFERROR(IF(INDEX(ctaVinc,MATCH(Q1538,ctaNombre,0))&amp;""&lt;&gt;"",INDEX(ctaVinc,MATCH(Q1538,ctaNombre,0))&amp;"",Q1538),Q1538))</f>
        <v/>
      </c>
      <c r="AC1538" s="52">
        <f>IF(OR(K1538="",AND(P1538&lt;&gt;"Transferencia",P1538&lt;&gt;"Pago tarjeta")),"",IFERROR(IF(INDEX(ctaVinc,MATCH(K1538,ctaNombre,0))&amp;""&lt;&gt;"",INDEX(ctaVinc,MATCH(K1538,ctaNombre,0))&amp;"",K1538),K1538))</f>
        <v/>
      </c>
      <c r="AD1538" s="52">
        <f>IF(AB1538="","",IFERROR(INDEX(ctaTipo,MATCH(AB1538,ctaNombre,0))&amp;"",""))</f>
        <v/>
      </c>
      <c r="AE1538" s="52">
        <f>IF(AC1538="","",IFERROR(INDEX(ctaTipo,MATCH(AC1538,ctaNombre,0))&amp;"",""))</f>
        <v/>
      </c>
      <c r="AF1538" s="53">
        <f>IF(OR(P1538="",AB1538=""),"",IF(OR(P1538="Gasto",P1538="Transferencia",P1538="Pago tarjeta"),-1,1)*IF(IFERROR(INDEX(ctaMoneda,MATCH(AB1538,ctaNombre,0))&amp;"","DOP")="USD",T1538,S1538))</f>
        <v/>
      </c>
      <c r="AG1538" s="53">
        <f>IF(AC1538="","",IF(IFERROR(INDEX(ctaMoneda,MATCH(AC1538,ctaNombre,0))&amp;"","DOP")="USD",T1538,S1538))</f>
        <v/>
      </c>
      <c r="AH1538" s="53">
        <f>IF(P1538="","",IF(AND(AD1538&lt;&gt;"",COUNTIFS(tcTipo,AD1538,tcLiq,"Sí")&gt;0),IF(OR(P1538="Gasto",P1538="Transferencia",P1538="Pago tarjeta"),-1,1)*S1538,0)+IF(AND(AE1538&lt;&gt;"",COUNTIFS(tcTipo,AE1538,tcLiq,"Sí")&gt;0),S1538,0))</f>
        <v/>
      </c>
      <c r="AI1538" s="52">
        <f>IF(OR(L1538="",P1538=""),"",IF(COUNTIFS(L$6:L1538,L1538,P$6:P1538,"?*")=1,MAX(AI$5:AI1537)+1,""))</f>
        <v/>
      </c>
    </row>
    <row r="1539">
      <c r="B1539" s="47" t="n"/>
      <c r="C1539" s="48" t="n"/>
      <c r="D1539" s="48" t="n"/>
      <c r="E1539" s="48" t="n"/>
      <c r="F1539" s="48" t="n"/>
      <c r="G1539" s="49" t="n"/>
      <c r="H1539" s="48" t="n"/>
      <c r="I1539" s="50" t="n"/>
      <c r="J1539" s="48" t="n"/>
      <c r="K1539" s="48" t="n"/>
      <c r="L1539" s="48" t="n"/>
      <c r="M1539" s="48" t="n"/>
      <c r="N1539" s="48" t="n"/>
      <c r="O1539" s="51">
        <f>IF(AND(B1539="",G1539="",C1539="",D1539="",J1539=""),"",IF(B1539="","⚠ Falta fecha",IF(G1539="","⚠ Falta monto",IF(Q1539="","⚠ Falta cuenta",IF(ISNA(MATCH(Q1539,ctaNombre,0)),"⚠ Cuenta no registrada",IF(AND(OR(P1539="Gasto",P1539="Reembolso"),D1539=""),"⚠ Falta categoría",IF(AND(D1539&lt;&gt;"",E1539&lt;&gt;"",ISNA(MATCH(D1539&amp;"|"&amp;E1539,catClave,0))),"⚠ Subcategoría no corresponde",IF(AND(OR(P1539="Transferencia",P1539="Pago tarjeta"),K1539=""),"⚠ Falta cuenta destino",IF(AND(K1539&lt;&gt;"",P1539&lt;&gt;"Transferencia",P1539&lt;&gt;"Pago tarjeta"),"⚠ Destino solo aplica a transferencias",IF(AND(K1539&lt;&gt;"",K1539=Q1539),"⚠ Origen igual a destino",IF(AND(K1539&lt;&gt;"",ISNA(MATCH(K1539,ctaNombre,0))),"⚠ Destino no registrado",IF(AND(P1539="Pago tarjeta",AE1539&lt;&gt;"Tarjeta de crédito"),"⚠ El destino debe ser tarjeta de crédito",IF(AND(P1539="Gasto",E1539="Depósitos y retiros"),"⚠ Usa tipo Transferencia",IF(AND(P1539="Resultado trading",AD1539&lt;&gt;"Cuenta de trading"),"⚠ Usa una cuenta de trading",IF(AND(G1539&lt;=0,P1539&lt;&gt;"Ajuste",P1539&lt;&gt;"Resultado trading"),"⚠ El monto debe ser positivo","✓")))))))))))))))</f>
        <v/>
      </c>
      <c r="P1539" s="52">
        <f>IF(OR(B1539="",G1539=""),"",IF(C1539="","Gasto",C1539))</f>
        <v/>
      </c>
      <c r="Q1539" s="52">
        <f>IF(P1539="","",IF(J1539&lt;&gt;"",J1539,CuentaPred&amp;""))</f>
        <v/>
      </c>
      <c r="R1539" s="52">
        <f>IF(P1539="","",IF(ISNUMBER(I1539),I1539,TasaUSD))</f>
        <v/>
      </c>
      <c r="S1539" s="53">
        <f>IF(P1539="","",IF(H1539="USD",G1539*R1539,G1539))</f>
        <v/>
      </c>
      <c r="T1539" s="53">
        <f>IF(P1539="","",IF(H1539="USD",G1539,IF(R1539&gt;0,G1539/R1539,0)))</f>
        <v/>
      </c>
      <c r="U1539" s="53">
        <f>IF(P1539="","",IF(P1539="Gasto",S1539,IF(P1539="Reembolso",-S1539,0)))</f>
        <v/>
      </c>
      <c r="V1539" s="53">
        <f>IF(P1539="","",IF(P1539="Ingreso",S1539,0))</f>
        <v/>
      </c>
      <c r="W1539" s="53">
        <f>IF(P1539="","",IF(P1539="Resultado trading",S1539,0))</f>
        <v/>
      </c>
      <c r="X1539" s="52">
        <f>IF(OR(P1539="Gasto",P1539="Reembolso"),IF(M1539&lt;&gt;"",M1539,IFERROR(INDEX(catClasif,MATCH(D1539&amp;"|"&amp;E1539,catClave,0))&amp;"","Variable")),"")</f>
        <v/>
      </c>
      <c r="Y1539" s="52">
        <f>IF(P1539="","",IFERROR(INDEX(catGrupo,MATCH(D1539&amp;"|"&amp;E1539,catClave,0))&amp;"",""))</f>
        <v/>
      </c>
      <c r="Z1539" s="52">
        <f>IF(P1539="","",WEEKDAY(B1539,2))</f>
        <v/>
      </c>
      <c r="AA1539" s="52">
        <f>IF(P1539="","",IF(AND(P1539="Gasto",X1539="Variable",D1539&lt;&gt;catTrading,S1539&gt;0,S1539&lt;=Umbral),1,0))</f>
        <v/>
      </c>
      <c r="AB1539" s="52">
        <f>IF(OR(P1539="",Q1539=""),"",IFERROR(IF(INDEX(ctaVinc,MATCH(Q1539,ctaNombre,0))&amp;""&lt;&gt;"",INDEX(ctaVinc,MATCH(Q1539,ctaNombre,0))&amp;"",Q1539),Q1539))</f>
        <v/>
      </c>
      <c r="AC1539" s="52">
        <f>IF(OR(K1539="",AND(P1539&lt;&gt;"Transferencia",P1539&lt;&gt;"Pago tarjeta")),"",IFERROR(IF(INDEX(ctaVinc,MATCH(K1539,ctaNombre,0))&amp;""&lt;&gt;"",INDEX(ctaVinc,MATCH(K1539,ctaNombre,0))&amp;"",K1539),K1539))</f>
        <v/>
      </c>
      <c r="AD1539" s="52">
        <f>IF(AB1539="","",IFERROR(INDEX(ctaTipo,MATCH(AB1539,ctaNombre,0))&amp;"",""))</f>
        <v/>
      </c>
      <c r="AE1539" s="52">
        <f>IF(AC1539="","",IFERROR(INDEX(ctaTipo,MATCH(AC1539,ctaNombre,0))&amp;"",""))</f>
        <v/>
      </c>
      <c r="AF1539" s="53">
        <f>IF(OR(P1539="",AB1539=""),"",IF(OR(P1539="Gasto",P1539="Transferencia",P1539="Pago tarjeta"),-1,1)*IF(IFERROR(INDEX(ctaMoneda,MATCH(AB1539,ctaNombre,0))&amp;"","DOP")="USD",T1539,S1539))</f>
        <v/>
      </c>
      <c r="AG1539" s="53">
        <f>IF(AC1539="","",IF(IFERROR(INDEX(ctaMoneda,MATCH(AC1539,ctaNombre,0))&amp;"","DOP")="USD",T1539,S1539))</f>
        <v/>
      </c>
      <c r="AH1539" s="53">
        <f>IF(P1539="","",IF(AND(AD1539&lt;&gt;"",COUNTIFS(tcTipo,AD1539,tcLiq,"Sí")&gt;0),IF(OR(P1539="Gasto",P1539="Transferencia",P1539="Pago tarjeta"),-1,1)*S1539,0)+IF(AND(AE1539&lt;&gt;"",COUNTIFS(tcTipo,AE1539,tcLiq,"Sí")&gt;0),S1539,0))</f>
        <v/>
      </c>
      <c r="AI1539" s="52">
        <f>IF(OR(L1539="",P1539=""),"",IF(COUNTIFS(L$6:L1539,L1539,P$6:P1539,"?*")=1,MAX(AI$5:AI1538)+1,""))</f>
        <v/>
      </c>
    </row>
    <row r="1540">
      <c r="B1540" s="47" t="n"/>
      <c r="C1540" s="48" t="n"/>
      <c r="D1540" s="48" t="n"/>
      <c r="E1540" s="48" t="n"/>
      <c r="F1540" s="48" t="n"/>
      <c r="G1540" s="49" t="n"/>
      <c r="H1540" s="48" t="n"/>
      <c r="I1540" s="50" t="n"/>
      <c r="J1540" s="48" t="n"/>
      <c r="K1540" s="48" t="n"/>
      <c r="L1540" s="48" t="n"/>
      <c r="M1540" s="48" t="n"/>
      <c r="N1540" s="48" t="n"/>
      <c r="O1540" s="51">
        <f>IF(AND(B1540="",G1540="",C1540="",D1540="",J1540=""),"",IF(B1540="","⚠ Falta fecha",IF(G1540="","⚠ Falta monto",IF(Q1540="","⚠ Falta cuenta",IF(ISNA(MATCH(Q1540,ctaNombre,0)),"⚠ Cuenta no registrada",IF(AND(OR(P1540="Gasto",P1540="Reembolso"),D1540=""),"⚠ Falta categoría",IF(AND(D1540&lt;&gt;"",E1540&lt;&gt;"",ISNA(MATCH(D1540&amp;"|"&amp;E1540,catClave,0))),"⚠ Subcategoría no corresponde",IF(AND(OR(P1540="Transferencia",P1540="Pago tarjeta"),K1540=""),"⚠ Falta cuenta destino",IF(AND(K1540&lt;&gt;"",P1540&lt;&gt;"Transferencia",P1540&lt;&gt;"Pago tarjeta"),"⚠ Destino solo aplica a transferencias",IF(AND(K1540&lt;&gt;"",K1540=Q1540),"⚠ Origen igual a destino",IF(AND(K1540&lt;&gt;"",ISNA(MATCH(K1540,ctaNombre,0))),"⚠ Destino no registrado",IF(AND(P1540="Pago tarjeta",AE1540&lt;&gt;"Tarjeta de crédito"),"⚠ El destino debe ser tarjeta de crédito",IF(AND(P1540="Gasto",E1540="Depósitos y retiros"),"⚠ Usa tipo Transferencia",IF(AND(P1540="Resultado trading",AD1540&lt;&gt;"Cuenta de trading"),"⚠ Usa una cuenta de trading",IF(AND(G1540&lt;=0,P1540&lt;&gt;"Ajuste",P1540&lt;&gt;"Resultado trading"),"⚠ El monto debe ser positivo","✓")))))))))))))))</f>
        <v/>
      </c>
      <c r="P1540" s="52">
        <f>IF(OR(B1540="",G1540=""),"",IF(C1540="","Gasto",C1540))</f>
        <v/>
      </c>
      <c r="Q1540" s="52">
        <f>IF(P1540="","",IF(J1540&lt;&gt;"",J1540,CuentaPred&amp;""))</f>
        <v/>
      </c>
      <c r="R1540" s="52">
        <f>IF(P1540="","",IF(ISNUMBER(I1540),I1540,TasaUSD))</f>
        <v/>
      </c>
      <c r="S1540" s="53">
        <f>IF(P1540="","",IF(H1540="USD",G1540*R1540,G1540))</f>
        <v/>
      </c>
      <c r="T1540" s="53">
        <f>IF(P1540="","",IF(H1540="USD",G1540,IF(R1540&gt;0,G1540/R1540,0)))</f>
        <v/>
      </c>
      <c r="U1540" s="53">
        <f>IF(P1540="","",IF(P1540="Gasto",S1540,IF(P1540="Reembolso",-S1540,0)))</f>
        <v/>
      </c>
      <c r="V1540" s="53">
        <f>IF(P1540="","",IF(P1540="Ingreso",S1540,0))</f>
        <v/>
      </c>
      <c r="W1540" s="53">
        <f>IF(P1540="","",IF(P1540="Resultado trading",S1540,0))</f>
        <v/>
      </c>
      <c r="X1540" s="52">
        <f>IF(OR(P1540="Gasto",P1540="Reembolso"),IF(M1540&lt;&gt;"",M1540,IFERROR(INDEX(catClasif,MATCH(D1540&amp;"|"&amp;E1540,catClave,0))&amp;"","Variable")),"")</f>
        <v/>
      </c>
      <c r="Y1540" s="52">
        <f>IF(P1540="","",IFERROR(INDEX(catGrupo,MATCH(D1540&amp;"|"&amp;E1540,catClave,0))&amp;"",""))</f>
        <v/>
      </c>
      <c r="Z1540" s="52">
        <f>IF(P1540="","",WEEKDAY(B1540,2))</f>
        <v/>
      </c>
      <c r="AA1540" s="52">
        <f>IF(P1540="","",IF(AND(P1540="Gasto",X1540="Variable",D1540&lt;&gt;catTrading,S1540&gt;0,S1540&lt;=Umbral),1,0))</f>
        <v/>
      </c>
      <c r="AB1540" s="52">
        <f>IF(OR(P1540="",Q1540=""),"",IFERROR(IF(INDEX(ctaVinc,MATCH(Q1540,ctaNombre,0))&amp;""&lt;&gt;"",INDEX(ctaVinc,MATCH(Q1540,ctaNombre,0))&amp;"",Q1540),Q1540))</f>
        <v/>
      </c>
      <c r="AC1540" s="52">
        <f>IF(OR(K1540="",AND(P1540&lt;&gt;"Transferencia",P1540&lt;&gt;"Pago tarjeta")),"",IFERROR(IF(INDEX(ctaVinc,MATCH(K1540,ctaNombre,0))&amp;""&lt;&gt;"",INDEX(ctaVinc,MATCH(K1540,ctaNombre,0))&amp;"",K1540),K1540))</f>
        <v/>
      </c>
      <c r="AD1540" s="52">
        <f>IF(AB1540="","",IFERROR(INDEX(ctaTipo,MATCH(AB1540,ctaNombre,0))&amp;"",""))</f>
        <v/>
      </c>
      <c r="AE1540" s="52">
        <f>IF(AC1540="","",IFERROR(INDEX(ctaTipo,MATCH(AC1540,ctaNombre,0))&amp;"",""))</f>
        <v/>
      </c>
      <c r="AF1540" s="53">
        <f>IF(OR(P1540="",AB1540=""),"",IF(OR(P1540="Gasto",P1540="Transferencia",P1540="Pago tarjeta"),-1,1)*IF(IFERROR(INDEX(ctaMoneda,MATCH(AB1540,ctaNombre,0))&amp;"","DOP")="USD",T1540,S1540))</f>
        <v/>
      </c>
      <c r="AG1540" s="53">
        <f>IF(AC1540="","",IF(IFERROR(INDEX(ctaMoneda,MATCH(AC1540,ctaNombre,0))&amp;"","DOP")="USD",T1540,S1540))</f>
        <v/>
      </c>
      <c r="AH1540" s="53">
        <f>IF(P1540="","",IF(AND(AD1540&lt;&gt;"",COUNTIFS(tcTipo,AD1540,tcLiq,"Sí")&gt;0),IF(OR(P1540="Gasto",P1540="Transferencia",P1540="Pago tarjeta"),-1,1)*S1540,0)+IF(AND(AE1540&lt;&gt;"",COUNTIFS(tcTipo,AE1540,tcLiq,"Sí")&gt;0),S1540,0))</f>
        <v/>
      </c>
      <c r="AI1540" s="52">
        <f>IF(OR(L1540="",P1540=""),"",IF(COUNTIFS(L$6:L1540,L1540,P$6:P1540,"?*")=1,MAX(AI$5:AI1539)+1,""))</f>
        <v/>
      </c>
    </row>
    <row r="1541">
      <c r="B1541" s="47" t="n"/>
      <c r="C1541" s="48" t="n"/>
      <c r="D1541" s="48" t="n"/>
      <c r="E1541" s="48" t="n"/>
      <c r="F1541" s="48" t="n"/>
      <c r="G1541" s="49" t="n"/>
      <c r="H1541" s="48" t="n"/>
      <c r="I1541" s="50" t="n"/>
      <c r="J1541" s="48" t="n"/>
      <c r="K1541" s="48" t="n"/>
      <c r="L1541" s="48" t="n"/>
      <c r="M1541" s="48" t="n"/>
      <c r="N1541" s="48" t="n"/>
      <c r="O1541" s="51">
        <f>IF(AND(B1541="",G1541="",C1541="",D1541="",J1541=""),"",IF(B1541="","⚠ Falta fecha",IF(G1541="","⚠ Falta monto",IF(Q1541="","⚠ Falta cuenta",IF(ISNA(MATCH(Q1541,ctaNombre,0)),"⚠ Cuenta no registrada",IF(AND(OR(P1541="Gasto",P1541="Reembolso"),D1541=""),"⚠ Falta categoría",IF(AND(D1541&lt;&gt;"",E1541&lt;&gt;"",ISNA(MATCH(D1541&amp;"|"&amp;E1541,catClave,0))),"⚠ Subcategoría no corresponde",IF(AND(OR(P1541="Transferencia",P1541="Pago tarjeta"),K1541=""),"⚠ Falta cuenta destino",IF(AND(K1541&lt;&gt;"",P1541&lt;&gt;"Transferencia",P1541&lt;&gt;"Pago tarjeta"),"⚠ Destino solo aplica a transferencias",IF(AND(K1541&lt;&gt;"",K1541=Q1541),"⚠ Origen igual a destino",IF(AND(K1541&lt;&gt;"",ISNA(MATCH(K1541,ctaNombre,0))),"⚠ Destino no registrado",IF(AND(P1541="Pago tarjeta",AE1541&lt;&gt;"Tarjeta de crédito"),"⚠ El destino debe ser tarjeta de crédito",IF(AND(P1541="Gasto",E1541="Depósitos y retiros"),"⚠ Usa tipo Transferencia",IF(AND(P1541="Resultado trading",AD1541&lt;&gt;"Cuenta de trading"),"⚠ Usa una cuenta de trading",IF(AND(G1541&lt;=0,P1541&lt;&gt;"Ajuste",P1541&lt;&gt;"Resultado trading"),"⚠ El monto debe ser positivo","✓")))))))))))))))</f>
        <v/>
      </c>
      <c r="P1541" s="52">
        <f>IF(OR(B1541="",G1541=""),"",IF(C1541="","Gasto",C1541))</f>
        <v/>
      </c>
      <c r="Q1541" s="52">
        <f>IF(P1541="","",IF(J1541&lt;&gt;"",J1541,CuentaPred&amp;""))</f>
        <v/>
      </c>
      <c r="R1541" s="52">
        <f>IF(P1541="","",IF(ISNUMBER(I1541),I1541,TasaUSD))</f>
        <v/>
      </c>
      <c r="S1541" s="53">
        <f>IF(P1541="","",IF(H1541="USD",G1541*R1541,G1541))</f>
        <v/>
      </c>
      <c r="T1541" s="53">
        <f>IF(P1541="","",IF(H1541="USD",G1541,IF(R1541&gt;0,G1541/R1541,0)))</f>
        <v/>
      </c>
      <c r="U1541" s="53">
        <f>IF(P1541="","",IF(P1541="Gasto",S1541,IF(P1541="Reembolso",-S1541,0)))</f>
        <v/>
      </c>
      <c r="V1541" s="53">
        <f>IF(P1541="","",IF(P1541="Ingreso",S1541,0))</f>
        <v/>
      </c>
      <c r="W1541" s="53">
        <f>IF(P1541="","",IF(P1541="Resultado trading",S1541,0))</f>
        <v/>
      </c>
      <c r="X1541" s="52">
        <f>IF(OR(P1541="Gasto",P1541="Reembolso"),IF(M1541&lt;&gt;"",M1541,IFERROR(INDEX(catClasif,MATCH(D1541&amp;"|"&amp;E1541,catClave,0))&amp;"","Variable")),"")</f>
        <v/>
      </c>
      <c r="Y1541" s="52">
        <f>IF(P1541="","",IFERROR(INDEX(catGrupo,MATCH(D1541&amp;"|"&amp;E1541,catClave,0))&amp;"",""))</f>
        <v/>
      </c>
      <c r="Z1541" s="52">
        <f>IF(P1541="","",WEEKDAY(B1541,2))</f>
        <v/>
      </c>
      <c r="AA1541" s="52">
        <f>IF(P1541="","",IF(AND(P1541="Gasto",X1541="Variable",D1541&lt;&gt;catTrading,S1541&gt;0,S1541&lt;=Umbral),1,0))</f>
        <v/>
      </c>
      <c r="AB1541" s="52">
        <f>IF(OR(P1541="",Q1541=""),"",IFERROR(IF(INDEX(ctaVinc,MATCH(Q1541,ctaNombre,0))&amp;""&lt;&gt;"",INDEX(ctaVinc,MATCH(Q1541,ctaNombre,0))&amp;"",Q1541),Q1541))</f>
        <v/>
      </c>
      <c r="AC1541" s="52">
        <f>IF(OR(K1541="",AND(P1541&lt;&gt;"Transferencia",P1541&lt;&gt;"Pago tarjeta")),"",IFERROR(IF(INDEX(ctaVinc,MATCH(K1541,ctaNombre,0))&amp;""&lt;&gt;"",INDEX(ctaVinc,MATCH(K1541,ctaNombre,0))&amp;"",K1541),K1541))</f>
        <v/>
      </c>
      <c r="AD1541" s="52">
        <f>IF(AB1541="","",IFERROR(INDEX(ctaTipo,MATCH(AB1541,ctaNombre,0))&amp;"",""))</f>
        <v/>
      </c>
      <c r="AE1541" s="52">
        <f>IF(AC1541="","",IFERROR(INDEX(ctaTipo,MATCH(AC1541,ctaNombre,0))&amp;"",""))</f>
        <v/>
      </c>
      <c r="AF1541" s="53">
        <f>IF(OR(P1541="",AB1541=""),"",IF(OR(P1541="Gasto",P1541="Transferencia",P1541="Pago tarjeta"),-1,1)*IF(IFERROR(INDEX(ctaMoneda,MATCH(AB1541,ctaNombre,0))&amp;"","DOP")="USD",T1541,S1541))</f>
        <v/>
      </c>
      <c r="AG1541" s="53">
        <f>IF(AC1541="","",IF(IFERROR(INDEX(ctaMoneda,MATCH(AC1541,ctaNombre,0))&amp;"","DOP")="USD",T1541,S1541))</f>
        <v/>
      </c>
      <c r="AH1541" s="53">
        <f>IF(P1541="","",IF(AND(AD1541&lt;&gt;"",COUNTIFS(tcTipo,AD1541,tcLiq,"Sí")&gt;0),IF(OR(P1541="Gasto",P1541="Transferencia",P1541="Pago tarjeta"),-1,1)*S1541,0)+IF(AND(AE1541&lt;&gt;"",COUNTIFS(tcTipo,AE1541,tcLiq,"Sí")&gt;0),S1541,0))</f>
        <v/>
      </c>
      <c r="AI1541" s="52">
        <f>IF(OR(L1541="",P1541=""),"",IF(COUNTIFS(L$6:L1541,L1541,P$6:P1541,"?*")=1,MAX(AI$5:AI1540)+1,""))</f>
        <v/>
      </c>
    </row>
    <row r="1542">
      <c r="B1542" s="47" t="n"/>
      <c r="C1542" s="48" t="n"/>
      <c r="D1542" s="48" t="n"/>
      <c r="E1542" s="48" t="n"/>
      <c r="F1542" s="48" t="n"/>
      <c r="G1542" s="49" t="n"/>
      <c r="H1542" s="48" t="n"/>
      <c r="I1542" s="50" t="n"/>
      <c r="J1542" s="48" t="n"/>
      <c r="K1542" s="48" t="n"/>
      <c r="L1542" s="48" t="n"/>
      <c r="M1542" s="48" t="n"/>
      <c r="N1542" s="48" t="n"/>
      <c r="O1542" s="51">
        <f>IF(AND(B1542="",G1542="",C1542="",D1542="",J1542=""),"",IF(B1542="","⚠ Falta fecha",IF(G1542="","⚠ Falta monto",IF(Q1542="","⚠ Falta cuenta",IF(ISNA(MATCH(Q1542,ctaNombre,0)),"⚠ Cuenta no registrada",IF(AND(OR(P1542="Gasto",P1542="Reembolso"),D1542=""),"⚠ Falta categoría",IF(AND(D1542&lt;&gt;"",E1542&lt;&gt;"",ISNA(MATCH(D1542&amp;"|"&amp;E1542,catClave,0))),"⚠ Subcategoría no corresponde",IF(AND(OR(P1542="Transferencia",P1542="Pago tarjeta"),K1542=""),"⚠ Falta cuenta destino",IF(AND(K1542&lt;&gt;"",P1542&lt;&gt;"Transferencia",P1542&lt;&gt;"Pago tarjeta"),"⚠ Destino solo aplica a transferencias",IF(AND(K1542&lt;&gt;"",K1542=Q1542),"⚠ Origen igual a destino",IF(AND(K1542&lt;&gt;"",ISNA(MATCH(K1542,ctaNombre,0))),"⚠ Destino no registrado",IF(AND(P1542="Pago tarjeta",AE1542&lt;&gt;"Tarjeta de crédito"),"⚠ El destino debe ser tarjeta de crédito",IF(AND(P1542="Gasto",E1542="Depósitos y retiros"),"⚠ Usa tipo Transferencia",IF(AND(P1542="Resultado trading",AD1542&lt;&gt;"Cuenta de trading"),"⚠ Usa una cuenta de trading",IF(AND(G1542&lt;=0,P1542&lt;&gt;"Ajuste",P1542&lt;&gt;"Resultado trading"),"⚠ El monto debe ser positivo","✓")))))))))))))))</f>
        <v/>
      </c>
      <c r="P1542" s="52">
        <f>IF(OR(B1542="",G1542=""),"",IF(C1542="","Gasto",C1542))</f>
        <v/>
      </c>
      <c r="Q1542" s="52">
        <f>IF(P1542="","",IF(J1542&lt;&gt;"",J1542,CuentaPred&amp;""))</f>
        <v/>
      </c>
      <c r="R1542" s="52">
        <f>IF(P1542="","",IF(ISNUMBER(I1542),I1542,TasaUSD))</f>
        <v/>
      </c>
      <c r="S1542" s="53">
        <f>IF(P1542="","",IF(H1542="USD",G1542*R1542,G1542))</f>
        <v/>
      </c>
      <c r="T1542" s="53">
        <f>IF(P1542="","",IF(H1542="USD",G1542,IF(R1542&gt;0,G1542/R1542,0)))</f>
        <v/>
      </c>
      <c r="U1542" s="53">
        <f>IF(P1542="","",IF(P1542="Gasto",S1542,IF(P1542="Reembolso",-S1542,0)))</f>
        <v/>
      </c>
      <c r="V1542" s="53">
        <f>IF(P1542="","",IF(P1542="Ingreso",S1542,0))</f>
        <v/>
      </c>
      <c r="W1542" s="53">
        <f>IF(P1542="","",IF(P1542="Resultado trading",S1542,0))</f>
        <v/>
      </c>
      <c r="X1542" s="52">
        <f>IF(OR(P1542="Gasto",P1542="Reembolso"),IF(M1542&lt;&gt;"",M1542,IFERROR(INDEX(catClasif,MATCH(D1542&amp;"|"&amp;E1542,catClave,0))&amp;"","Variable")),"")</f>
        <v/>
      </c>
      <c r="Y1542" s="52">
        <f>IF(P1542="","",IFERROR(INDEX(catGrupo,MATCH(D1542&amp;"|"&amp;E1542,catClave,0))&amp;"",""))</f>
        <v/>
      </c>
      <c r="Z1542" s="52">
        <f>IF(P1542="","",WEEKDAY(B1542,2))</f>
        <v/>
      </c>
      <c r="AA1542" s="52">
        <f>IF(P1542="","",IF(AND(P1542="Gasto",X1542="Variable",D1542&lt;&gt;catTrading,S1542&gt;0,S1542&lt;=Umbral),1,0))</f>
        <v/>
      </c>
      <c r="AB1542" s="52">
        <f>IF(OR(P1542="",Q1542=""),"",IFERROR(IF(INDEX(ctaVinc,MATCH(Q1542,ctaNombre,0))&amp;""&lt;&gt;"",INDEX(ctaVinc,MATCH(Q1542,ctaNombre,0))&amp;"",Q1542),Q1542))</f>
        <v/>
      </c>
      <c r="AC1542" s="52">
        <f>IF(OR(K1542="",AND(P1542&lt;&gt;"Transferencia",P1542&lt;&gt;"Pago tarjeta")),"",IFERROR(IF(INDEX(ctaVinc,MATCH(K1542,ctaNombre,0))&amp;""&lt;&gt;"",INDEX(ctaVinc,MATCH(K1542,ctaNombre,0))&amp;"",K1542),K1542))</f>
        <v/>
      </c>
      <c r="AD1542" s="52">
        <f>IF(AB1542="","",IFERROR(INDEX(ctaTipo,MATCH(AB1542,ctaNombre,0))&amp;"",""))</f>
        <v/>
      </c>
      <c r="AE1542" s="52">
        <f>IF(AC1542="","",IFERROR(INDEX(ctaTipo,MATCH(AC1542,ctaNombre,0))&amp;"",""))</f>
        <v/>
      </c>
      <c r="AF1542" s="53">
        <f>IF(OR(P1542="",AB1542=""),"",IF(OR(P1542="Gasto",P1542="Transferencia",P1542="Pago tarjeta"),-1,1)*IF(IFERROR(INDEX(ctaMoneda,MATCH(AB1542,ctaNombre,0))&amp;"","DOP")="USD",T1542,S1542))</f>
        <v/>
      </c>
      <c r="AG1542" s="53">
        <f>IF(AC1542="","",IF(IFERROR(INDEX(ctaMoneda,MATCH(AC1542,ctaNombre,0))&amp;"","DOP")="USD",T1542,S1542))</f>
        <v/>
      </c>
      <c r="AH1542" s="53">
        <f>IF(P1542="","",IF(AND(AD1542&lt;&gt;"",COUNTIFS(tcTipo,AD1542,tcLiq,"Sí")&gt;0),IF(OR(P1542="Gasto",P1542="Transferencia",P1542="Pago tarjeta"),-1,1)*S1542,0)+IF(AND(AE1542&lt;&gt;"",COUNTIFS(tcTipo,AE1542,tcLiq,"Sí")&gt;0),S1542,0))</f>
        <v/>
      </c>
      <c r="AI1542" s="52">
        <f>IF(OR(L1542="",P1542=""),"",IF(COUNTIFS(L$6:L1542,L1542,P$6:P1542,"?*")=1,MAX(AI$5:AI1541)+1,""))</f>
        <v/>
      </c>
    </row>
    <row r="1543">
      <c r="B1543" s="47" t="n"/>
      <c r="C1543" s="48" t="n"/>
      <c r="D1543" s="48" t="n"/>
      <c r="E1543" s="48" t="n"/>
      <c r="F1543" s="48" t="n"/>
      <c r="G1543" s="49" t="n"/>
      <c r="H1543" s="48" t="n"/>
      <c r="I1543" s="50" t="n"/>
      <c r="J1543" s="48" t="n"/>
      <c r="K1543" s="48" t="n"/>
      <c r="L1543" s="48" t="n"/>
      <c r="M1543" s="48" t="n"/>
      <c r="N1543" s="48" t="n"/>
      <c r="O1543" s="51">
        <f>IF(AND(B1543="",G1543="",C1543="",D1543="",J1543=""),"",IF(B1543="","⚠ Falta fecha",IF(G1543="","⚠ Falta monto",IF(Q1543="","⚠ Falta cuenta",IF(ISNA(MATCH(Q1543,ctaNombre,0)),"⚠ Cuenta no registrada",IF(AND(OR(P1543="Gasto",P1543="Reembolso"),D1543=""),"⚠ Falta categoría",IF(AND(D1543&lt;&gt;"",E1543&lt;&gt;"",ISNA(MATCH(D1543&amp;"|"&amp;E1543,catClave,0))),"⚠ Subcategoría no corresponde",IF(AND(OR(P1543="Transferencia",P1543="Pago tarjeta"),K1543=""),"⚠ Falta cuenta destino",IF(AND(K1543&lt;&gt;"",P1543&lt;&gt;"Transferencia",P1543&lt;&gt;"Pago tarjeta"),"⚠ Destino solo aplica a transferencias",IF(AND(K1543&lt;&gt;"",K1543=Q1543),"⚠ Origen igual a destino",IF(AND(K1543&lt;&gt;"",ISNA(MATCH(K1543,ctaNombre,0))),"⚠ Destino no registrado",IF(AND(P1543="Pago tarjeta",AE1543&lt;&gt;"Tarjeta de crédito"),"⚠ El destino debe ser tarjeta de crédito",IF(AND(P1543="Gasto",E1543="Depósitos y retiros"),"⚠ Usa tipo Transferencia",IF(AND(P1543="Resultado trading",AD1543&lt;&gt;"Cuenta de trading"),"⚠ Usa una cuenta de trading",IF(AND(G1543&lt;=0,P1543&lt;&gt;"Ajuste",P1543&lt;&gt;"Resultado trading"),"⚠ El monto debe ser positivo","✓")))))))))))))))</f>
        <v/>
      </c>
      <c r="P1543" s="52">
        <f>IF(OR(B1543="",G1543=""),"",IF(C1543="","Gasto",C1543))</f>
        <v/>
      </c>
      <c r="Q1543" s="52">
        <f>IF(P1543="","",IF(J1543&lt;&gt;"",J1543,CuentaPred&amp;""))</f>
        <v/>
      </c>
      <c r="R1543" s="52">
        <f>IF(P1543="","",IF(ISNUMBER(I1543),I1543,TasaUSD))</f>
        <v/>
      </c>
      <c r="S1543" s="53">
        <f>IF(P1543="","",IF(H1543="USD",G1543*R1543,G1543))</f>
        <v/>
      </c>
      <c r="T1543" s="53">
        <f>IF(P1543="","",IF(H1543="USD",G1543,IF(R1543&gt;0,G1543/R1543,0)))</f>
        <v/>
      </c>
      <c r="U1543" s="53">
        <f>IF(P1543="","",IF(P1543="Gasto",S1543,IF(P1543="Reembolso",-S1543,0)))</f>
        <v/>
      </c>
      <c r="V1543" s="53">
        <f>IF(P1543="","",IF(P1543="Ingreso",S1543,0))</f>
        <v/>
      </c>
      <c r="W1543" s="53">
        <f>IF(P1543="","",IF(P1543="Resultado trading",S1543,0))</f>
        <v/>
      </c>
      <c r="X1543" s="52">
        <f>IF(OR(P1543="Gasto",P1543="Reembolso"),IF(M1543&lt;&gt;"",M1543,IFERROR(INDEX(catClasif,MATCH(D1543&amp;"|"&amp;E1543,catClave,0))&amp;"","Variable")),"")</f>
        <v/>
      </c>
      <c r="Y1543" s="52">
        <f>IF(P1543="","",IFERROR(INDEX(catGrupo,MATCH(D1543&amp;"|"&amp;E1543,catClave,0))&amp;"",""))</f>
        <v/>
      </c>
      <c r="Z1543" s="52">
        <f>IF(P1543="","",WEEKDAY(B1543,2))</f>
        <v/>
      </c>
      <c r="AA1543" s="52">
        <f>IF(P1543="","",IF(AND(P1543="Gasto",X1543="Variable",D1543&lt;&gt;catTrading,S1543&gt;0,S1543&lt;=Umbral),1,0))</f>
        <v/>
      </c>
      <c r="AB1543" s="52">
        <f>IF(OR(P1543="",Q1543=""),"",IFERROR(IF(INDEX(ctaVinc,MATCH(Q1543,ctaNombre,0))&amp;""&lt;&gt;"",INDEX(ctaVinc,MATCH(Q1543,ctaNombre,0))&amp;"",Q1543),Q1543))</f>
        <v/>
      </c>
      <c r="AC1543" s="52">
        <f>IF(OR(K1543="",AND(P1543&lt;&gt;"Transferencia",P1543&lt;&gt;"Pago tarjeta")),"",IFERROR(IF(INDEX(ctaVinc,MATCH(K1543,ctaNombre,0))&amp;""&lt;&gt;"",INDEX(ctaVinc,MATCH(K1543,ctaNombre,0))&amp;"",K1543),K1543))</f>
        <v/>
      </c>
      <c r="AD1543" s="52">
        <f>IF(AB1543="","",IFERROR(INDEX(ctaTipo,MATCH(AB1543,ctaNombre,0))&amp;"",""))</f>
        <v/>
      </c>
      <c r="AE1543" s="52">
        <f>IF(AC1543="","",IFERROR(INDEX(ctaTipo,MATCH(AC1543,ctaNombre,0))&amp;"",""))</f>
        <v/>
      </c>
      <c r="AF1543" s="53">
        <f>IF(OR(P1543="",AB1543=""),"",IF(OR(P1543="Gasto",P1543="Transferencia",P1543="Pago tarjeta"),-1,1)*IF(IFERROR(INDEX(ctaMoneda,MATCH(AB1543,ctaNombre,0))&amp;"","DOP")="USD",T1543,S1543))</f>
        <v/>
      </c>
      <c r="AG1543" s="53">
        <f>IF(AC1543="","",IF(IFERROR(INDEX(ctaMoneda,MATCH(AC1543,ctaNombre,0))&amp;"","DOP")="USD",T1543,S1543))</f>
        <v/>
      </c>
      <c r="AH1543" s="53">
        <f>IF(P1543="","",IF(AND(AD1543&lt;&gt;"",COUNTIFS(tcTipo,AD1543,tcLiq,"Sí")&gt;0),IF(OR(P1543="Gasto",P1543="Transferencia",P1543="Pago tarjeta"),-1,1)*S1543,0)+IF(AND(AE1543&lt;&gt;"",COUNTIFS(tcTipo,AE1543,tcLiq,"Sí")&gt;0),S1543,0))</f>
        <v/>
      </c>
      <c r="AI1543" s="52">
        <f>IF(OR(L1543="",P1543=""),"",IF(COUNTIFS(L$6:L1543,L1543,P$6:P1543,"?*")=1,MAX(AI$5:AI1542)+1,""))</f>
        <v/>
      </c>
    </row>
    <row r="1544">
      <c r="B1544" s="47" t="n"/>
      <c r="C1544" s="48" t="n"/>
      <c r="D1544" s="48" t="n"/>
      <c r="E1544" s="48" t="n"/>
      <c r="F1544" s="48" t="n"/>
      <c r="G1544" s="49" t="n"/>
      <c r="H1544" s="48" t="n"/>
      <c r="I1544" s="50" t="n"/>
      <c r="J1544" s="48" t="n"/>
      <c r="K1544" s="48" t="n"/>
      <c r="L1544" s="48" t="n"/>
      <c r="M1544" s="48" t="n"/>
      <c r="N1544" s="48" t="n"/>
      <c r="O1544" s="51">
        <f>IF(AND(B1544="",G1544="",C1544="",D1544="",J1544=""),"",IF(B1544="","⚠ Falta fecha",IF(G1544="","⚠ Falta monto",IF(Q1544="","⚠ Falta cuenta",IF(ISNA(MATCH(Q1544,ctaNombre,0)),"⚠ Cuenta no registrada",IF(AND(OR(P1544="Gasto",P1544="Reembolso"),D1544=""),"⚠ Falta categoría",IF(AND(D1544&lt;&gt;"",E1544&lt;&gt;"",ISNA(MATCH(D1544&amp;"|"&amp;E1544,catClave,0))),"⚠ Subcategoría no corresponde",IF(AND(OR(P1544="Transferencia",P1544="Pago tarjeta"),K1544=""),"⚠ Falta cuenta destino",IF(AND(K1544&lt;&gt;"",P1544&lt;&gt;"Transferencia",P1544&lt;&gt;"Pago tarjeta"),"⚠ Destino solo aplica a transferencias",IF(AND(K1544&lt;&gt;"",K1544=Q1544),"⚠ Origen igual a destino",IF(AND(K1544&lt;&gt;"",ISNA(MATCH(K1544,ctaNombre,0))),"⚠ Destino no registrado",IF(AND(P1544="Pago tarjeta",AE1544&lt;&gt;"Tarjeta de crédito"),"⚠ El destino debe ser tarjeta de crédito",IF(AND(P1544="Gasto",E1544="Depósitos y retiros"),"⚠ Usa tipo Transferencia",IF(AND(P1544="Resultado trading",AD1544&lt;&gt;"Cuenta de trading"),"⚠ Usa una cuenta de trading",IF(AND(G1544&lt;=0,P1544&lt;&gt;"Ajuste",P1544&lt;&gt;"Resultado trading"),"⚠ El monto debe ser positivo","✓")))))))))))))))</f>
        <v/>
      </c>
      <c r="P1544" s="52">
        <f>IF(OR(B1544="",G1544=""),"",IF(C1544="","Gasto",C1544))</f>
        <v/>
      </c>
      <c r="Q1544" s="52">
        <f>IF(P1544="","",IF(J1544&lt;&gt;"",J1544,CuentaPred&amp;""))</f>
        <v/>
      </c>
      <c r="R1544" s="52">
        <f>IF(P1544="","",IF(ISNUMBER(I1544),I1544,TasaUSD))</f>
        <v/>
      </c>
      <c r="S1544" s="53">
        <f>IF(P1544="","",IF(H1544="USD",G1544*R1544,G1544))</f>
        <v/>
      </c>
      <c r="T1544" s="53">
        <f>IF(P1544="","",IF(H1544="USD",G1544,IF(R1544&gt;0,G1544/R1544,0)))</f>
        <v/>
      </c>
      <c r="U1544" s="53">
        <f>IF(P1544="","",IF(P1544="Gasto",S1544,IF(P1544="Reembolso",-S1544,0)))</f>
        <v/>
      </c>
      <c r="V1544" s="53">
        <f>IF(P1544="","",IF(P1544="Ingreso",S1544,0))</f>
        <v/>
      </c>
      <c r="W1544" s="53">
        <f>IF(P1544="","",IF(P1544="Resultado trading",S1544,0))</f>
        <v/>
      </c>
      <c r="X1544" s="52">
        <f>IF(OR(P1544="Gasto",P1544="Reembolso"),IF(M1544&lt;&gt;"",M1544,IFERROR(INDEX(catClasif,MATCH(D1544&amp;"|"&amp;E1544,catClave,0))&amp;"","Variable")),"")</f>
        <v/>
      </c>
      <c r="Y1544" s="52">
        <f>IF(P1544="","",IFERROR(INDEX(catGrupo,MATCH(D1544&amp;"|"&amp;E1544,catClave,0))&amp;"",""))</f>
        <v/>
      </c>
      <c r="Z1544" s="52">
        <f>IF(P1544="","",WEEKDAY(B1544,2))</f>
        <v/>
      </c>
      <c r="AA1544" s="52">
        <f>IF(P1544="","",IF(AND(P1544="Gasto",X1544="Variable",D1544&lt;&gt;catTrading,S1544&gt;0,S1544&lt;=Umbral),1,0))</f>
        <v/>
      </c>
      <c r="AB1544" s="52">
        <f>IF(OR(P1544="",Q1544=""),"",IFERROR(IF(INDEX(ctaVinc,MATCH(Q1544,ctaNombre,0))&amp;""&lt;&gt;"",INDEX(ctaVinc,MATCH(Q1544,ctaNombre,0))&amp;"",Q1544),Q1544))</f>
        <v/>
      </c>
      <c r="AC1544" s="52">
        <f>IF(OR(K1544="",AND(P1544&lt;&gt;"Transferencia",P1544&lt;&gt;"Pago tarjeta")),"",IFERROR(IF(INDEX(ctaVinc,MATCH(K1544,ctaNombre,0))&amp;""&lt;&gt;"",INDEX(ctaVinc,MATCH(K1544,ctaNombre,0))&amp;"",K1544),K1544))</f>
        <v/>
      </c>
      <c r="AD1544" s="52">
        <f>IF(AB1544="","",IFERROR(INDEX(ctaTipo,MATCH(AB1544,ctaNombre,0))&amp;"",""))</f>
        <v/>
      </c>
      <c r="AE1544" s="52">
        <f>IF(AC1544="","",IFERROR(INDEX(ctaTipo,MATCH(AC1544,ctaNombre,0))&amp;"",""))</f>
        <v/>
      </c>
      <c r="AF1544" s="53">
        <f>IF(OR(P1544="",AB1544=""),"",IF(OR(P1544="Gasto",P1544="Transferencia",P1544="Pago tarjeta"),-1,1)*IF(IFERROR(INDEX(ctaMoneda,MATCH(AB1544,ctaNombre,0))&amp;"","DOP")="USD",T1544,S1544))</f>
        <v/>
      </c>
      <c r="AG1544" s="53">
        <f>IF(AC1544="","",IF(IFERROR(INDEX(ctaMoneda,MATCH(AC1544,ctaNombre,0))&amp;"","DOP")="USD",T1544,S1544))</f>
        <v/>
      </c>
      <c r="AH1544" s="53">
        <f>IF(P1544="","",IF(AND(AD1544&lt;&gt;"",COUNTIFS(tcTipo,AD1544,tcLiq,"Sí")&gt;0),IF(OR(P1544="Gasto",P1544="Transferencia",P1544="Pago tarjeta"),-1,1)*S1544,0)+IF(AND(AE1544&lt;&gt;"",COUNTIFS(tcTipo,AE1544,tcLiq,"Sí")&gt;0),S1544,0))</f>
        <v/>
      </c>
      <c r="AI1544" s="52">
        <f>IF(OR(L1544="",P1544=""),"",IF(COUNTIFS(L$6:L1544,L1544,P$6:P1544,"?*")=1,MAX(AI$5:AI1543)+1,""))</f>
        <v/>
      </c>
    </row>
    <row r="1545">
      <c r="B1545" s="47" t="n"/>
      <c r="C1545" s="48" t="n"/>
      <c r="D1545" s="48" t="n"/>
      <c r="E1545" s="48" t="n"/>
      <c r="F1545" s="48" t="n"/>
      <c r="G1545" s="49" t="n"/>
      <c r="H1545" s="48" t="n"/>
      <c r="I1545" s="50" t="n"/>
      <c r="J1545" s="48" t="n"/>
      <c r="K1545" s="48" t="n"/>
      <c r="L1545" s="48" t="n"/>
      <c r="M1545" s="48" t="n"/>
      <c r="N1545" s="48" t="n"/>
      <c r="O1545" s="51">
        <f>IF(AND(B1545="",G1545="",C1545="",D1545="",J1545=""),"",IF(B1545="","⚠ Falta fecha",IF(G1545="","⚠ Falta monto",IF(Q1545="","⚠ Falta cuenta",IF(ISNA(MATCH(Q1545,ctaNombre,0)),"⚠ Cuenta no registrada",IF(AND(OR(P1545="Gasto",P1545="Reembolso"),D1545=""),"⚠ Falta categoría",IF(AND(D1545&lt;&gt;"",E1545&lt;&gt;"",ISNA(MATCH(D1545&amp;"|"&amp;E1545,catClave,0))),"⚠ Subcategoría no corresponde",IF(AND(OR(P1545="Transferencia",P1545="Pago tarjeta"),K1545=""),"⚠ Falta cuenta destino",IF(AND(K1545&lt;&gt;"",P1545&lt;&gt;"Transferencia",P1545&lt;&gt;"Pago tarjeta"),"⚠ Destino solo aplica a transferencias",IF(AND(K1545&lt;&gt;"",K1545=Q1545),"⚠ Origen igual a destino",IF(AND(K1545&lt;&gt;"",ISNA(MATCH(K1545,ctaNombre,0))),"⚠ Destino no registrado",IF(AND(P1545="Pago tarjeta",AE1545&lt;&gt;"Tarjeta de crédito"),"⚠ El destino debe ser tarjeta de crédito",IF(AND(P1545="Gasto",E1545="Depósitos y retiros"),"⚠ Usa tipo Transferencia",IF(AND(P1545="Resultado trading",AD1545&lt;&gt;"Cuenta de trading"),"⚠ Usa una cuenta de trading",IF(AND(G1545&lt;=0,P1545&lt;&gt;"Ajuste",P1545&lt;&gt;"Resultado trading"),"⚠ El monto debe ser positivo","✓")))))))))))))))</f>
        <v/>
      </c>
      <c r="P1545" s="52">
        <f>IF(OR(B1545="",G1545=""),"",IF(C1545="","Gasto",C1545))</f>
        <v/>
      </c>
      <c r="Q1545" s="52">
        <f>IF(P1545="","",IF(J1545&lt;&gt;"",J1545,CuentaPred&amp;""))</f>
        <v/>
      </c>
      <c r="R1545" s="52">
        <f>IF(P1545="","",IF(ISNUMBER(I1545),I1545,TasaUSD))</f>
        <v/>
      </c>
      <c r="S1545" s="53">
        <f>IF(P1545="","",IF(H1545="USD",G1545*R1545,G1545))</f>
        <v/>
      </c>
      <c r="T1545" s="53">
        <f>IF(P1545="","",IF(H1545="USD",G1545,IF(R1545&gt;0,G1545/R1545,0)))</f>
        <v/>
      </c>
      <c r="U1545" s="53">
        <f>IF(P1545="","",IF(P1545="Gasto",S1545,IF(P1545="Reembolso",-S1545,0)))</f>
        <v/>
      </c>
      <c r="V1545" s="53">
        <f>IF(P1545="","",IF(P1545="Ingreso",S1545,0))</f>
        <v/>
      </c>
      <c r="W1545" s="53">
        <f>IF(P1545="","",IF(P1545="Resultado trading",S1545,0))</f>
        <v/>
      </c>
      <c r="X1545" s="52">
        <f>IF(OR(P1545="Gasto",P1545="Reembolso"),IF(M1545&lt;&gt;"",M1545,IFERROR(INDEX(catClasif,MATCH(D1545&amp;"|"&amp;E1545,catClave,0))&amp;"","Variable")),"")</f>
        <v/>
      </c>
      <c r="Y1545" s="52">
        <f>IF(P1545="","",IFERROR(INDEX(catGrupo,MATCH(D1545&amp;"|"&amp;E1545,catClave,0))&amp;"",""))</f>
        <v/>
      </c>
      <c r="Z1545" s="52">
        <f>IF(P1545="","",WEEKDAY(B1545,2))</f>
        <v/>
      </c>
      <c r="AA1545" s="52">
        <f>IF(P1545="","",IF(AND(P1545="Gasto",X1545="Variable",D1545&lt;&gt;catTrading,S1545&gt;0,S1545&lt;=Umbral),1,0))</f>
        <v/>
      </c>
      <c r="AB1545" s="52">
        <f>IF(OR(P1545="",Q1545=""),"",IFERROR(IF(INDEX(ctaVinc,MATCH(Q1545,ctaNombre,0))&amp;""&lt;&gt;"",INDEX(ctaVinc,MATCH(Q1545,ctaNombre,0))&amp;"",Q1545),Q1545))</f>
        <v/>
      </c>
      <c r="AC1545" s="52">
        <f>IF(OR(K1545="",AND(P1545&lt;&gt;"Transferencia",P1545&lt;&gt;"Pago tarjeta")),"",IFERROR(IF(INDEX(ctaVinc,MATCH(K1545,ctaNombre,0))&amp;""&lt;&gt;"",INDEX(ctaVinc,MATCH(K1545,ctaNombre,0))&amp;"",K1545),K1545))</f>
        <v/>
      </c>
      <c r="AD1545" s="52">
        <f>IF(AB1545="","",IFERROR(INDEX(ctaTipo,MATCH(AB1545,ctaNombre,0))&amp;"",""))</f>
        <v/>
      </c>
      <c r="AE1545" s="52">
        <f>IF(AC1545="","",IFERROR(INDEX(ctaTipo,MATCH(AC1545,ctaNombre,0))&amp;"",""))</f>
        <v/>
      </c>
      <c r="AF1545" s="53">
        <f>IF(OR(P1545="",AB1545=""),"",IF(OR(P1545="Gasto",P1545="Transferencia",P1545="Pago tarjeta"),-1,1)*IF(IFERROR(INDEX(ctaMoneda,MATCH(AB1545,ctaNombre,0))&amp;"","DOP")="USD",T1545,S1545))</f>
        <v/>
      </c>
      <c r="AG1545" s="53">
        <f>IF(AC1545="","",IF(IFERROR(INDEX(ctaMoneda,MATCH(AC1545,ctaNombre,0))&amp;"","DOP")="USD",T1545,S1545))</f>
        <v/>
      </c>
      <c r="AH1545" s="53">
        <f>IF(P1545="","",IF(AND(AD1545&lt;&gt;"",COUNTIFS(tcTipo,AD1545,tcLiq,"Sí")&gt;0),IF(OR(P1545="Gasto",P1545="Transferencia",P1545="Pago tarjeta"),-1,1)*S1545,0)+IF(AND(AE1545&lt;&gt;"",COUNTIFS(tcTipo,AE1545,tcLiq,"Sí")&gt;0),S1545,0))</f>
        <v/>
      </c>
      <c r="AI1545" s="52">
        <f>IF(OR(L1545="",P1545=""),"",IF(COUNTIFS(L$6:L1545,L1545,P$6:P1545,"?*")=1,MAX(AI$5:AI1544)+1,""))</f>
        <v/>
      </c>
    </row>
    <row r="1546">
      <c r="B1546" s="47" t="n"/>
      <c r="C1546" s="48" t="n"/>
      <c r="D1546" s="48" t="n"/>
      <c r="E1546" s="48" t="n"/>
      <c r="F1546" s="48" t="n"/>
      <c r="G1546" s="49" t="n"/>
      <c r="H1546" s="48" t="n"/>
      <c r="I1546" s="50" t="n"/>
      <c r="J1546" s="48" t="n"/>
      <c r="K1546" s="48" t="n"/>
      <c r="L1546" s="48" t="n"/>
      <c r="M1546" s="48" t="n"/>
      <c r="N1546" s="48" t="n"/>
      <c r="O1546" s="51">
        <f>IF(AND(B1546="",G1546="",C1546="",D1546="",J1546=""),"",IF(B1546="","⚠ Falta fecha",IF(G1546="","⚠ Falta monto",IF(Q1546="","⚠ Falta cuenta",IF(ISNA(MATCH(Q1546,ctaNombre,0)),"⚠ Cuenta no registrada",IF(AND(OR(P1546="Gasto",P1546="Reembolso"),D1546=""),"⚠ Falta categoría",IF(AND(D1546&lt;&gt;"",E1546&lt;&gt;"",ISNA(MATCH(D1546&amp;"|"&amp;E1546,catClave,0))),"⚠ Subcategoría no corresponde",IF(AND(OR(P1546="Transferencia",P1546="Pago tarjeta"),K1546=""),"⚠ Falta cuenta destino",IF(AND(K1546&lt;&gt;"",P1546&lt;&gt;"Transferencia",P1546&lt;&gt;"Pago tarjeta"),"⚠ Destino solo aplica a transferencias",IF(AND(K1546&lt;&gt;"",K1546=Q1546),"⚠ Origen igual a destino",IF(AND(K1546&lt;&gt;"",ISNA(MATCH(K1546,ctaNombre,0))),"⚠ Destino no registrado",IF(AND(P1546="Pago tarjeta",AE1546&lt;&gt;"Tarjeta de crédito"),"⚠ El destino debe ser tarjeta de crédito",IF(AND(P1546="Gasto",E1546="Depósitos y retiros"),"⚠ Usa tipo Transferencia",IF(AND(P1546="Resultado trading",AD1546&lt;&gt;"Cuenta de trading"),"⚠ Usa una cuenta de trading",IF(AND(G1546&lt;=0,P1546&lt;&gt;"Ajuste",P1546&lt;&gt;"Resultado trading"),"⚠ El monto debe ser positivo","✓")))))))))))))))</f>
        <v/>
      </c>
      <c r="P1546" s="52">
        <f>IF(OR(B1546="",G1546=""),"",IF(C1546="","Gasto",C1546))</f>
        <v/>
      </c>
      <c r="Q1546" s="52">
        <f>IF(P1546="","",IF(J1546&lt;&gt;"",J1546,CuentaPred&amp;""))</f>
        <v/>
      </c>
      <c r="R1546" s="52">
        <f>IF(P1546="","",IF(ISNUMBER(I1546),I1546,TasaUSD))</f>
        <v/>
      </c>
      <c r="S1546" s="53">
        <f>IF(P1546="","",IF(H1546="USD",G1546*R1546,G1546))</f>
        <v/>
      </c>
      <c r="T1546" s="53">
        <f>IF(P1546="","",IF(H1546="USD",G1546,IF(R1546&gt;0,G1546/R1546,0)))</f>
        <v/>
      </c>
      <c r="U1546" s="53">
        <f>IF(P1546="","",IF(P1546="Gasto",S1546,IF(P1546="Reembolso",-S1546,0)))</f>
        <v/>
      </c>
      <c r="V1546" s="53">
        <f>IF(P1546="","",IF(P1546="Ingreso",S1546,0))</f>
        <v/>
      </c>
      <c r="W1546" s="53">
        <f>IF(P1546="","",IF(P1546="Resultado trading",S1546,0))</f>
        <v/>
      </c>
      <c r="X1546" s="52">
        <f>IF(OR(P1546="Gasto",P1546="Reembolso"),IF(M1546&lt;&gt;"",M1546,IFERROR(INDEX(catClasif,MATCH(D1546&amp;"|"&amp;E1546,catClave,0))&amp;"","Variable")),"")</f>
        <v/>
      </c>
      <c r="Y1546" s="52">
        <f>IF(P1546="","",IFERROR(INDEX(catGrupo,MATCH(D1546&amp;"|"&amp;E1546,catClave,0))&amp;"",""))</f>
        <v/>
      </c>
      <c r="Z1546" s="52">
        <f>IF(P1546="","",WEEKDAY(B1546,2))</f>
        <v/>
      </c>
      <c r="AA1546" s="52">
        <f>IF(P1546="","",IF(AND(P1546="Gasto",X1546="Variable",D1546&lt;&gt;catTrading,S1546&gt;0,S1546&lt;=Umbral),1,0))</f>
        <v/>
      </c>
      <c r="AB1546" s="52">
        <f>IF(OR(P1546="",Q1546=""),"",IFERROR(IF(INDEX(ctaVinc,MATCH(Q1546,ctaNombre,0))&amp;""&lt;&gt;"",INDEX(ctaVinc,MATCH(Q1546,ctaNombre,0))&amp;"",Q1546),Q1546))</f>
        <v/>
      </c>
      <c r="AC1546" s="52">
        <f>IF(OR(K1546="",AND(P1546&lt;&gt;"Transferencia",P1546&lt;&gt;"Pago tarjeta")),"",IFERROR(IF(INDEX(ctaVinc,MATCH(K1546,ctaNombre,0))&amp;""&lt;&gt;"",INDEX(ctaVinc,MATCH(K1546,ctaNombre,0))&amp;"",K1546),K1546))</f>
        <v/>
      </c>
      <c r="AD1546" s="52">
        <f>IF(AB1546="","",IFERROR(INDEX(ctaTipo,MATCH(AB1546,ctaNombre,0))&amp;"",""))</f>
        <v/>
      </c>
      <c r="AE1546" s="52">
        <f>IF(AC1546="","",IFERROR(INDEX(ctaTipo,MATCH(AC1546,ctaNombre,0))&amp;"",""))</f>
        <v/>
      </c>
      <c r="AF1546" s="53">
        <f>IF(OR(P1546="",AB1546=""),"",IF(OR(P1546="Gasto",P1546="Transferencia",P1546="Pago tarjeta"),-1,1)*IF(IFERROR(INDEX(ctaMoneda,MATCH(AB1546,ctaNombre,0))&amp;"","DOP")="USD",T1546,S1546))</f>
        <v/>
      </c>
      <c r="AG1546" s="53">
        <f>IF(AC1546="","",IF(IFERROR(INDEX(ctaMoneda,MATCH(AC1546,ctaNombre,0))&amp;"","DOP")="USD",T1546,S1546))</f>
        <v/>
      </c>
      <c r="AH1546" s="53">
        <f>IF(P1546="","",IF(AND(AD1546&lt;&gt;"",COUNTIFS(tcTipo,AD1546,tcLiq,"Sí")&gt;0),IF(OR(P1546="Gasto",P1546="Transferencia",P1546="Pago tarjeta"),-1,1)*S1546,0)+IF(AND(AE1546&lt;&gt;"",COUNTIFS(tcTipo,AE1546,tcLiq,"Sí")&gt;0),S1546,0))</f>
        <v/>
      </c>
      <c r="AI1546" s="52">
        <f>IF(OR(L1546="",P1546=""),"",IF(COUNTIFS(L$6:L1546,L1546,P$6:P1546,"?*")=1,MAX(AI$5:AI1545)+1,""))</f>
        <v/>
      </c>
    </row>
    <row r="1547">
      <c r="B1547" s="47" t="n"/>
      <c r="C1547" s="48" t="n"/>
      <c r="D1547" s="48" t="n"/>
      <c r="E1547" s="48" t="n"/>
      <c r="F1547" s="48" t="n"/>
      <c r="G1547" s="49" t="n"/>
      <c r="H1547" s="48" t="n"/>
      <c r="I1547" s="50" t="n"/>
      <c r="J1547" s="48" t="n"/>
      <c r="K1547" s="48" t="n"/>
      <c r="L1547" s="48" t="n"/>
      <c r="M1547" s="48" t="n"/>
      <c r="N1547" s="48" t="n"/>
      <c r="O1547" s="51">
        <f>IF(AND(B1547="",G1547="",C1547="",D1547="",J1547=""),"",IF(B1547="","⚠ Falta fecha",IF(G1547="","⚠ Falta monto",IF(Q1547="","⚠ Falta cuenta",IF(ISNA(MATCH(Q1547,ctaNombre,0)),"⚠ Cuenta no registrada",IF(AND(OR(P1547="Gasto",P1547="Reembolso"),D1547=""),"⚠ Falta categoría",IF(AND(D1547&lt;&gt;"",E1547&lt;&gt;"",ISNA(MATCH(D1547&amp;"|"&amp;E1547,catClave,0))),"⚠ Subcategoría no corresponde",IF(AND(OR(P1547="Transferencia",P1547="Pago tarjeta"),K1547=""),"⚠ Falta cuenta destino",IF(AND(K1547&lt;&gt;"",P1547&lt;&gt;"Transferencia",P1547&lt;&gt;"Pago tarjeta"),"⚠ Destino solo aplica a transferencias",IF(AND(K1547&lt;&gt;"",K1547=Q1547),"⚠ Origen igual a destino",IF(AND(K1547&lt;&gt;"",ISNA(MATCH(K1547,ctaNombre,0))),"⚠ Destino no registrado",IF(AND(P1547="Pago tarjeta",AE1547&lt;&gt;"Tarjeta de crédito"),"⚠ El destino debe ser tarjeta de crédito",IF(AND(P1547="Gasto",E1547="Depósitos y retiros"),"⚠ Usa tipo Transferencia",IF(AND(P1547="Resultado trading",AD1547&lt;&gt;"Cuenta de trading"),"⚠ Usa una cuenta de trading",IF(AND(G1547&lt;=0,P1547&lt;&gt;"Ajuste",P1547&lt;&gt;"Resultado trading"),"⚠ El monto debe ser positivo","✓")))))))))))))))</f>
        <v/>
      </c>
      <c r="P1547" s="52">
        <f>IF(OR(B1547="",G1547=""),"",IF(C1547="","Gasto",C1547))</f>
        <v/>
      </c>
      <c r="Q1547" s="52">
        <f>IF(P1547="","",IF(J1547&lt;&gt;"",J1547,CuentaPred&amp;""))</f>
        <v/>
      </c>
      <c r="R1547" s="52">
        <f>IF(P1547="","",IF(ISNUMBER(I1547),I1547,TasaUSD))</f>
        <v/>
      </c>
      <c r="S1547" s="53">
        <f>IF(P1547="","",IF(H1547="USD",G1547*R1547,G1547))</f>
        <v/>
      </c>
      <c r="T1547" s="53">
        <f>IF(P1547="","",IF(H1547="USD",G1547,IF(R1547&gt;0,G1547/R1547,0)))</f>
        <v/>
      </c>
      <c r="U1547" s="53">
        <f>IF(P1547="","",IF(P1547="Gasto",S1547,IF(P1547="Reembolso",-S1547,0)))</f>
        <v/>
      </c>
      <c r="V1547" s="53">
        <f>IF(P1547="","",IF(P1547="Ingreso",S1547,0))</f>
        <v/>
      </c>
      <c r="W1547" s="53">
        <f>IF(P1547="","",IF(P1547="Resultado trading",S1547,0))</f>
        <v/>
      </c>
      <c r="X1547" s="52">
        <f>IF(OR(P1547="Gasto",P1547="Reembolso"),IF(M1547&lt;&gt;"",M1547,IFERROR(INDEX(catClasif,MATCH(D1547&amp;"|"&amp;E1547,catClave,0))&amp;"","Variable")),"")</f>
        <v/>
      </c>
      <c r="Y1547" s="52">
        <f>IF(P1547="","",IFERROR(INDEX(catGrupo,MATCH(D1547&amp;"|"&amp;E1547,catClave,0))&amp;"",""))</f>
        <v/>
      </c>
      <c r="Z1547" s="52">
        <f>IF(P1547="","",WEEKDAY(B1547,2))</f>
        <v/>
      </c>
      <c r="AA1547" s="52">
        <f>IF(P1547="","",IF(AND(P1547="Gasto",X1547="Variable",D1547&lt;&gt;catTrading,S1547&gt;0,S1547&lt;=Umbral),1,0))</f>
        <v/>
      </c>
      <c r="AB1547" s="52">
        <f>IF(OR(P1547="",Q1547=""),"",IFERROR(IF(INDEX(ctaVinc,MATCH(Q1547,ctaNombre,0))&amp;""&lt;&gt;"",INDEX(ctaVinc,MATCH(Q1547,ctaNombre,0))&amp;"",Q1547),Q1547))</f>
        <v/>
      </c>
      <c r="AC1547" s="52">
        <f>IF(OR(K1547="",AND(P1547&lt;&gt;"Transferencia",P1547&lt;&gt;"Pago tarjeta")),"",IFERROR(IF(INDEX(ctaVinc,MATCH(K1547,ctaNombre,0))&amp;""&lt;&gt;"",INDEX(ctaVinc,MATCH(K1547,ctaNombre,0))&amp;"",K1547),K1547))</f>
        <v/>
      </c>
      <c r="AD1547" s="52">
        <f>IF(AB1547="","",IFERROR(INDEX(ctaTipo,MATCH(AB1547,ctaNombre,0))&amp;"",""))</f>
        <v/>
      </c>
      <c r="AE1547" s="52">
        <f>IF(AC1547="","",IFERROR(INDEX(ctaTipo,MATCH(AC1547,ctaNombre,0))&amp;"",""))</f>
        <v/>
      </c>
      <c r="AF1547" s="53">
        <f>IF(OR(P1547="",AB1547=""),"",IF(OR(P1547="Gasto",P1547="Transferencia",P1547="Pago tarjeta"),-1,1)*IF(IFERROR(INDEX(ctaMoneda,MATCH(AB1547,ctaNombre,0))&amp;"","DOP")="USD",T1547,S1547))</f>
        <v/>
      </c>
      <c r="AG1547" s="53">
        <f>IF(AC1547="","",IF(IFERROR(INDEX(ctaMoneda,MATCH(AC1547,ctaNombre,0))&amp;"","DOP")="USD",T1547,S1547))</f>
        <v/>
      </c>
      <c r="AH1547" s="53">
        <f>IF(P1547="","",IF(AND(AD1547&lt;&gt;"",COUNTIFS(tcTipo,AD1547,tcLiq,"Sí")&gt;0),IF(OR(P1547="Gasto",P1547="Transferencia",P1547="Pago tarjeta"),-1,1)*S1547,0)+IF(AND(AE1547&lt;&gt;"",COUNTIFS(tcTipo,AE1547,tcLiq,"Sí")&gt;0),S1547,0))</f>
        <v/>
      </c>
      <c r="AI1547" s="52">
        <f>IF(OR(L1547="",P1547=""),"",IF(COUNTIFS(L$6:L1547,L1547,P$6:P1547,"?*")=1,MAX(AI$5:AI1546)+1,""))</f>
        <v/>
      </c>
    </row>
    <row r="1548">
      <c r="B1548" s="47" t="n"/>
      <c r="C1548" s="48" t="n"/>
      <c r="D1548" s="48" t="n"/>
      <c r="E1548" s="48" t="n"/>
      <c r="F1548" s="48" t="n"/>
      <c r="G1548" s="49" t="n"/>
      <c r="H1548" s="48" t="n"/>
      <c r="I1548" s="50" t="n"/>
      <c r="J1548" s="48" t="n"/>
      <c r="K1548" s="48" t="n"/>
      <c r="L1548" s="48" t="n"/>
      <c r="M1548" s="48" t="n"/>
      <c r="N1548" s="48" t="n"/>
      <c r="O1548" s="51">
        <f>IF(AND(B1548="",G1548="",C1548="",D1548="",J1548=""),"",IF(B1548="","⚠ Falta fecha",IF(G1548="","⚠ Falta monto",IF(Q1548="","⚠ Falta cuenta",IF(ISNA(MATCH(Q1548,ctaNombre,0)),"⚠ Cuenta no registrada",IF(AND(OR(P1548="Gasto",P1548="Reembolso"),D1548=""),"⚠ Falta categoría",IF(AND(D1548&lt;&gt;"",E1548&lt;&gt;"",ISNA(MATCH(D1548&amp;"|"&amp;E1548,catClave,0))),"⚠ Subcategoría no corresponde",IF(AND(OR(P1548="Transferencia",P1548="Pago tarjeta"),K1548=""),"⚠ Falta cuenta destino",IF(AND(K1548&lt;&gt;"",P1548&lt;&gt;"Transferencia",P1548&lt;&gt;"Pago tarjeta"),"⚠ Destino solo aplica a transferencias",IF(AND(K1548&lt;&gt;"",K1548=Q1548),"⚠ Origen igual a destino",IF(AND(K1548&lt;&gt;"",ISNA(MATCH(K1548,ctaNombre,0))),"⚠ Destino no registrado",IF(AND(P1548="Pago tarjeta",AE1548&lt;&gt;"Tarjeta de crédito"),"⚠ El destino debe ser tarjeta de crédito",IF(AND(P1548="Gasto",E1548="Depósitos y retiros"),"⚠ Usa tipo Transferencia",IF(AND(P1548="Resultado trading",AD1548&lt;&gt;"Cuenta de trading"),"⚠ Usa una cuenta de trading",IF(AND(G1548&lt;=0,P1548&lt;&gt;"Ajuste",P1548&lt;&gt;"Resultado trading"),"⚠ El monto debe ser positivo","✓")))))))))))))))</f>
        <v/>
      </c>
      <c r="P1548" s="52">
        <f>IF(OR(B1548="",G1548=""),"",IF(C1548="","Gasto",C1548))</f>
        <v/>
      </c>
      <c r="Q1548" s="52">
        <f>IF(P1548="","",IF(J1548&lt;&gt;"",J1548,CuentaPred&amp;""))</f>
        <v/>
      </c>
      <c r="R1548" s="52">
        <f>IF(P1548="","",IF(ISNUMBER(I1548),I1548,TasaUSD))</f>
        <v/>
      </c>
      <c r="S1548" s="53">
        <f>IF(P1548="","",IF(H1548="USD",G1548*R1548,G1548))</f>
        <v/>
      </c>
      <c r="T1548" s="53">
        <f>IF(P1548="","",IF(H1548="USD",G1548,IF(R1548&gt;0,G1548/R1548,0)))</f>
        <v/>
      </c>
      <c r="U1548" s="53">
        <f>IF(P1548="","",IF(P1548="Gasto",S1548,IF(P1548="Reembolso",-S1548,0)))</f>
        <v/>
      </c>
      <c r="V1548" s="53">
        <f>IF(P1548="","",IF(P1548="Ingreso",S1548,0))</f>
        <v/>
      </c>
      <c r="W1548" s="53">
        <f>IF(P1548="","",IF(P1548="Resultado trading",S1548,0))</f>
        <v/>
      </c>
      <c r="X1548" s="52">
        <f>IF(OR(P1548="Gasto",P1548="Reembolso"),IF(M1548&lt;&gt;"",M1548,IFERROR(INDEX(catClasif,MATCH(D1548&amp;"|"&amp;E1548,catClave,0))&amp;"","Variable")),"")</f>
        <v/>
      </c>
      <c r="Y1548" s="52">
        <f>IF(P1548="","",IFERROR(INDEX(catGrupo,MATCH(D1548&amp;"|"&amp;E1548,catClave,0))&amp;"",""))</f>
        <v/>
      </c>
      <c r="Z1548" s="52">
        <f>IF(P1548="","",WEEKDAY(B1548,2))</f>
        <v/>
      </c>
      <c r="AA1548" s="52">
        <f>IF(P1548="","",IF(AND(P1548="Gasto",X1548="Variable",D1548&lt;&gt;catTrading,S1548&gt;0,S1548&lt;=Umbral),1,0))</f>
        <v/>
      </c>
      <c r="AB1548" s="52">
        <f>IF(OR(P1548="",Q1548=""),"",IFERROR(IF(INDEX(ctaVinc,MATCH(Q1548,ctaNombre,0))&amp;""&lt;&gt;"",INDEX(ctaVinc,MATCH(Q1548,ctaNombre,0))&amp;"",Q1548),Q1548))</f>
        <v/>
      </c>
      <c r="AC1548" s="52">
        <f>IF(OR(K1548="",AND(P1548&lt;&gt;"Transferencia",P1548&lt;&gt;"Pago tarjeta")),"",IFERROR(IF(INDEX(ctaVinc,MATCH(K1548,ctaNombre,0))&amp;""&lt;&gt;"",INDEX(ctaVinc,MATCH(K1548,ctaNombre,0))&amp;"",K1548),K1548))</f>
        <v/>
      </c>
      <c r="AD1548" s="52">
        <f>IF(AB1548="","",IFERROR(INDEX(ctaTipo,MATCH(AB1548,ctaNombre,0))&amp;"",""))</f>
        <v/>
      </c>
      <c r="AE1548" s="52">
        <f>IF(AC1548="","",IFERROR(INDEX(ctaTipo,MATCH(AC1548,ctaNombre,0))&amp;"",""))</f>
        <v/>
      </c>
      <c r="AF1548" s="53">
        <f>IF(OR(P1548="",AB1548=""),"",IF(OR(P1548="Gasto",P1548="Transferencia",P1548="Pago tarjeta"),-1,1)*IF(IFERROR(INDEX(ctaMoneda,MATCH(AB1548,ctaNombre,0))&amp;"","DOP")="USD",T1548,S1548))</f>
        <v/>
      </c>
      <c r="AG1548" s="53">
        <f>IF(AC1548="","",IF(IFERROR(INDEX(ctaMoneda,MATCH(AC1548,ctaNombre,0))&amp;"","DOP")="USD",T1548,S1548))</f>
        <v/>
      </c>
      <c r="AH1548" s="53">
        <f>IF(P1548="","",IF(AND(AD1548&lt;&gt;"",COUNTIFS(tcTipo,AD1548,tcLiq,"Sí")&gt;0),IF(OR(P1548="Gasto",P1548="Transferencia",P1548="Pago tarjeta"),-1,1)*S1548,0)+IF(AND(AE1548&lt;&gt;"",COUNTIFS(tcTipo,AE1548,tcLiq,"Sí")&gt;0),S1548,0))</f>
        <v/>
      </c>
      <c r="AI1548" s="52">
        <f>IF(OR(L1548="",P1548=""),"",IF(COUNTIFS(L$6:L1548,L1548,P$6:P1548,"?*")=1,MAX(AI$5:AI1547)+1,""))</f>
        <v/>
      </c>
    </row>
    <row r="1549">
      <c r="B1549" s="47" t="n"/>
      <c r="C1549" s="48" t="n"/>
      <c r="D1549" s="48" t="n"/>
      <c r="E1549" s="48" t="n"/>
      <c r="F1549" s="48" t="n"/>
      <c r="G1549" s="49" t="n"/>
      <c r="H1549" s="48" t="n"/>
      <c r="I1549" s="50" t="n"/>
      <c r="J1549" s="48" t="n"/>
      <c r="K1549" s="48" t="n"/>
      <c r="L1549" s="48" t="n"/>
      <c r="M1549" s="48" t="n"/>
      <c r="N1549" s="48" t="n"/>
      <c r="O1549" s="51">
        <f>IF(AND(B1549="",G1549="",C1549="",D1549="",J1549=""),"",IF(B1549="","⚠ Falta fecha",IF(G1549="","⚠ Falta monto",IF(Q1549="","⚠ Falta cuenta",IF(ISNA(MATCH(Q1549,ctaNombre,0)),"⚠ Cuenta no registrada",IF(AND(OR(P1549="Gasto",P1549="Reembolso"),D1549=""),"⚠ Falta categoría",IF(AND(D1549&lt;&gt;"",E1549&lt;&gt;"",ISNA(MATCH(D1549&amp;"|"&amp;E1549,catClave,0))),"⚠ Subcategoría no corresponde",IF(AND(OR(P1549="Transferencia",P1549="Pago tarjeta"),K1549=""),"⚠ Falta cuenta destino",IF(AND(K1549&lt;&gt;"",P1549&lt;&gt;"Transferencia",P1549&lt;&gt;"Pago tarjeta"),"⚠ Destino solo aplica a transferencias",IF(AND(K1549&lt;&gt;"",K1549=Q1549),"⚠ Origen igual a destino",IF(AND(K1549&lt;&gt;"",ISNA(MATCH(K1549,ctaNombre,0))),"⚠ Destino no registrado",IF(AND(P1549="Pago tarjeta",AE1549&lt;&gt;"Tarjeta de crédito"),"⚠ El destino debe ser tarjeta de crédito",IF(AND(P1549="Gasto",E1549="Depósitos y retiros"),"⚠ Usa tipo Transferencia",IF(AND(P1549="Resultado trading",AD1549&lt;&gt;"Cuenta de trading"),"⚠ Usa una cuenta de trading",IF(AND(G1549&lt;=0,P1549&lt;&gt;"Ajuste",P1549&lt;&gt;"Resultado trading"),"⚠ El monto debe ser positivo","✓")))))))))))))))</f>
        <v/>
      </c>
      <c r="P1549" s="52">
        <f>IF(OR(B1549="",G1549=""),"",IF(C1549="","Gasto",C1549))</f>
        <v/>
      </c>
      <c r="Q1549" s="52">
        <f>IF(P1549="","",IF(J1549&lt;&gt;"",J1549,CuentaPred&amp;""))</f>
        <v/>
      </c>
      <c r="R1549" s="52">
        <f>IF(P1549="","",IF(ISNUMBER(I1549),I1549,TasaUSD))</f>
        <v/>
      </c>
      <c r="S1549" s="53">
        <f>IF(P1549="","",IF(H1549="USD",G1549*R1549,G1549))</f>
        <v/>
      </c>
      <c r="T1549" s="53">
        <f>IF(P1549="","",IF(H1549="USD",G1549,IF(R1549&gt;0,G1549/R1549,0)))</f>
        <v/>
      </c>
      <c r="U1549" s="53">
        <f>IF(P1549="","",IF(P1549="Gasto",S1549,IF(P1549="Reembolso",-S1549,0)))</f>
        <v/>
      </c>
      <c r="V1549" s="53">
        <f>IF(P1549="","",IF(P1549="Ingreso",S1549,0))</f>
        <v/>
      </c>
      <c r="W1549" s="53">
        <f>IF(P1549="","",IF(P1549="Resultado trading",S1549,0))</f>
        <v/>
      </c>
      <c r="X1549" s="52">
        <f>IF(OR(P1549="Gasto",P1549="Reembolso"),IF(M1549&lt;&gt;"",M1549,IFERROR(INDEX(catClasif,MATCH(D1549&amp;"|"&amp;E1549,catClave,0))&amp;"","Variable")),"")</f>
        <v/>
      </c>
      <c r="Y1549" s="52">
        <f>IF(P1549="","",IFERROR(INDEX(catGrupo,MATCH(D1549&amp;"|"&amp;E1549,catClave,0))&amp;"",""))</f>
        <v/>
      </c>
      <c r="Z1549" s="52">
        <f>IF(P1549="","",WEEKDAY(B1549,2))</f>
        <v/>
      </c>
      <c r="AA1549" s="52">
        <f>IF(P1549="","",IF(AND(P1549="Gasto",X1549="Variable",D1549&lt;&gt;catTrading,S1549&gt;0,S1549&lt;=Umbral),1,0))</f>
        <v/>
      </c>
      <c r="AB1549" s="52">
        <f>IF(OR(P1549="",Q1549=""),"",IFERROR(IF(INDEX(ctaVinc,MATCH(Q1549,ctaNombre,0))&amp;""&lt;&gt;"",INDEX(ctaVinc,MATCH(Q1549,ctaNombre,0))&amp;"",Q1549),Q1549))</f>
        <v/>
      </c>
      <c r="AC1549" s="52">
        <f>IF(OR(K1549="",AND(P1549&lt;&gt;"Transferencia",P1549&lt;&gt;"Pago tarjeta")),"",IFERROR(IF(INDEX(ctaVinc,MATCH(K1549,ctaNombre,0))&amp;""&lt;&gt;"",INDEX(ctaVinc,MATCH(K1549,ctaNombre,0))&amp;"",K1549),K1549))</f>
        <v/>
      </c>
      <c r="AD1549" s="52">
        <f>IF(AB1549="","",IFERROR(INDEX(ctaTipo,MATCH(AB1549,ctaNombre,0))&amp;"",""))</f>
        <v/>
      </c>
      <c r="AE1549" s="52">
        <f>IF(AC1549="","",IFERROR(INDEX(ctaTipo,MATCH(AC1549,ctaNombre,0))&amp;"",""))</f>
        <v/>
      </c>
      <c r="AF1549" s="53">
        <f>IF(OR(P1549="",AB1549=""),"",IF(OR(P1549="Gasto",P1549="Transferencia",P1549="Pago tarjeta"),-1,1)*IF(IFERROR(INDEX(ctaMoneda,MATCH(AB1549,ctaNombre,0))&amp;"","DOP")="USD",T1549,S1549))</f>
        <v/>
      </c>
      <c r="AG1549" s="53">
        <f>IF(AC1549="","",IF(IFERROR(INDEX(ctaMoneda,MATCH(AC1549,ctaNombre,0))&amp;"","DOP")="USD",T1549,S1549))</f>
        <v/>
      </c>
      <c r="AH1549" s="53">
        <f>IF(P1549="","",IF(AND(AD1549&lt;&gt;"",COUNTIFS(tcTipo,AD1549,tcLiq,"Sí")&gt;0),IF(OR(P1549="Gasto",P1549="Transferencia",P1549="Pago tarjeta"),-1,1)*S1549,0)+IF(AND(AE1549&lt;&gt;"",COUNTIFS(tcTipo,AE1549,tcLiq,"Sí")&gt;0),S1549,0))</f>
        <v/>
      </c>
      <c r="AI1549" s="52">
        <f>IF(OR(L1549="",P1549=""),"",IF(COUNTIFS(L$6:L1549,L1549,P$6:P1549,"?*")=1,MAX(AI$5:AI1548)+1,""))</f>
        <v/>
      </c>
    </row>
    <row r="1550">
      <c r="B1550" s="47" t="n"/>
      <c r="C1550" s="48" t="n"/>
      <c r="D1550" s="48" t="n"/>
      <c r="E1550" s="48" t="n"/>
      <c r="F1550" s="48" t="n"/>
      <c r="G1550" s="49" t="n"/>
      <c r="H1550" s="48" t="n"/>
      <c r="I1550" s="50" t="n"/>
      <c r="J1550" s="48" t="n"/>
      <c r="K1550" s="48" t="n"/>
      <c r="L1550" s="48" t="n"/>
      <c r="M1550" s="48" t="n"/>
      <c r="N1550" s="48" t="n"/>
      <c r="O1550" s="51">
        <f>IF(AND(B1550="",G1550="",C1550="",D1550="",J1550=""),"",IF(B1550="","⚠ Falta fecha",IF(G1550="","⚠ Falta monto",IF(Q1550="","⚠ Falta cuenta",IF(ISNA(MATCH(Q1550,ctaNombre,0)),"⚠ Cuenta no registrada",IF(AND(OR(P1550="Gasto",P1550="Reembolso"),D1550=""),"⚠ Falta categoría",IF(AND(D1550&lt;&gt;"",E1550&lt;&gt;"",ISNA(MATCH(D1550&amp;"|"&amp;E1550,catClave,0))),"⚠ Subcategoría no corresponde",IF(AND(OR(P1550="Transferencia",P1550="Pago tarjeta"),K1550=""),"⚠ Falta cuenta destino",IF(AND(K1550&lt;&gt;"",P1550&lt;&gt;"Transferencia",P1550&lt;&gt;"Pago tarjeta"),"⚠ Destino solo aplica a transferencias",IF(AND(K1550&lt;&gt;"",K1550=Q1550),"⚠ Origen igual a destino",IF(AND(K1550&lt;&gt;"",ISNA(MATCH(K1550,ctaNombre,0))),"⚠ Destino no registrado",IF(AND(P1550="Pago tarjeta",AE1550&lt;&gt;"Tarjeta de crédito"),"⚠ El destino debe ser tarjeta de crédito",IF(AND(P1550="Gasto",E1550="Depósitos y retiros"),"⚠ Usa tipo Transferencia",IF(AND(P1550="Resultado trading",AD1550&lt;&gt;"Cuenta de trading"),"⚠ Usa una cuenta de trading",IF(AND(G1550&lt;=0,P1550&lt;&gt;"Ajuste",P1550&lt;&gt;"Resultado trading"),"⚠ El monto debe ser positivo","✓")))))))))))))))</f>
        <v/>
      </c>
      <c r="P1550" s="52">
        <f>IF(OR(B1550="",G1550=""),"",IF(C1550="","Gasto",C1550))</f>
        <v/>
      </c>
      <c r="Q1550" s="52">
        <f>IF(P1550="","",IF(J1550&lt;&gt;"",J1550,CuentaPred&amp;""))</f>
        <v/>
      </c>
      <c r="R1550" s="52">
        <f>IF(P1550="","",IF(ISNUMBER(I1550),I1550,TasaUSD))</f>
        <v/>
      </c>
      <c r="S1550" s="53">
        <f>IF(P1550="","",IF(H1550="USD",G1550*R1550,G1550))</f>
        <v/>
      </c>
      <c r="T1550" s="53">
        <f>IF(P1550="","",IF(H1550="USD",G1550,IF(R1550&gt;0,G1550/R1550,0)))</f>
        <v/>
      </c>
      <c r="U1550" s="53">
        <f>IF(P1550="","",IF(P1550="Gasto",S1550,IF(P1550="Reembolso",-S1550,0)))</f>
        <v/>
      </c>
      <c r="V1550" s="53">
        <f>IF(P1550="","",IF(P1550="Ingreso",S1550,0))</f>
        <v/>
      </c>
      <c r="W1550" s="53">
        <f>IF(P1550="","",IF(P1550="Resultado trading",S1550,0))</f>
        <v/>
      </c>
      <c r="X1550" s="52">
        <f>IF(OR(P1550="Gasto",P1550="Reembolso"),IF(M1550&lt;&gt;"",M1550,IFERROR(INDEX(catClasif,MATCH(D1550&amp;"|"&amp;E1550,catClave,0))&amp;"","Variable")),"")</f>
        <v/>
      </c>
      <c r="Y1550" s="52">
        <f>IF(P1550="","",IFERROR(INDEX(catGrupo,MATCH(D1550&amp;"|"&amp;E1550,catClave,0))&amp;"",""))</f>
        <v/>
      </c>
      <c r="Z1550" s="52">
        <f>IF(P1550="","",WEEKDAY(B1550,2))</f>
        <v/>
      </c>
      <c r="AA1550" s="52">
        <f>IF(P1550="","",IF(AND(P1550="Gasto",X1550="Variable",D1550&lt;&gt;catTrading,S1550&gt;0,S1550&lt;=Umbral),1,0))</f>
        <v/>
      </c>
      <c r="AB1550" s="52">
        <f>IF(OR(P1550="",Q1550=""),"",IFERROR(IF(INDEX(ctaVinc,MATCH(Q1550,ctaNombre,0))&amp;""&lt;&gt;"",INDEX(ctaVinc,MATCH(Q1550,ctaNombre,0))&amp;"",Q1550),Q1550))</f>
        <v/>
      </c>
      <c r="AC1550" s="52">
        <f>IF(OR(K1550="",AND(P1550&lt;&gt;"Transferencia",P1550&lt;&gt;"Pago tarjeta")),"",IFERROR(IF(INDEX(ctaVinc,MATCH(K1550,ctaNombre,0))&amp;""&lt;&gt;"",INDEX(ctaVinc,MATCH(K1550,ctaNombre,0))&amp;"",K1550),K1550))</f>
        <v/>
      </c>
      <c r="AD1550" s="52">
        <f>IF(AB1550="","",IFERROR(INDEX(ctaTipo,MATCH(AB1550,ctaNombre,0))&amp;"",""))</f>
        <v/>
      </c>
      <c r="AE1550" s="52">
        <f>IF(AC1550="","",IFERROR(INDEX(ctaTipo,MATCH(AC1550,ctaNombre,0))&amp;"",""))</f>
        <v/>
      </c>
      <c r="AF1550" s="53">
        <f>IF(OR(P1550="",AB1550=""),"",IF(OR(P1550="Gasto",P1550="Transferencia",P1550="Pago tarjeta"),-1,1)*IF(IFERROR(INDEX(ctaMoneda,MATCH(AB1550,ctaNombre,0))&amp;"","DOP")="USD",T1550,S1550))</f>
        <v/>
      </c>
      <c r="AG1550" s="53">
        <f>IF(AC1550="","",IF(IFERROR(INDEX(ctaMoneda,MATCH(AC1550,ctaNombre,0))&amp;"","DOP")="USD",T1550,S1550))</f>
        <v/>
      </c>
      <c r="AH1550" s="53">
        <f>IF(P1550="","",IF(AND(AD1550&lt;&gt;"",COUNTIFS(tcTipo,AD1550,tcLiq,"Sí")&gt;0),IF(OR(P1550="Gasto",P1550="Transferencia",P1550="Pago tarjeta"),-1,1)*S1550,0)+IF(AND(AE1550&lt;&gt;"",COUNTIFS(tcTipo,AE1550,tcLiq,"Sí")&gt;0),S1550,0))</f>
        <v/>
      </c>
      <c r="AI1550" s="52">
        <f>IF(OR(L1550="",P1550=""),"",IF(COUNTIFS(L$6:L1550,L1550,P$6:P1550,"?*")=1,MAX(AI$5:AI1549)+1,""))</f>
        <v/>
      </c>
    </row>
    <row r="1551">
      <c r="B1551" s="47" t="n"/>
      <c r="C1551" s="48" t="n"/>
      <c r="D1551" s="48" t="n"/>
      <c r="E1551" s="48" t="n"/>
      <c r="F1551" s="48" t="n"/>
      <c r="G1551" s="49" t="n"/>
      <c r="H1551" s="48" t="n"/>
      <c r="I1551" s="50" t="n"/>
      <c r="J1551" s="48" t="n"/>
      <c r="K1551" s="48" t="n"/>
      <c r="L1551" s="48" t="n"/>
      <c r="M1551" s="48" t="n"/>
      <c r="N1551" s="48" t="n"/>
      <c r="O1551" s="51">
        <f>IF(AND(B1551="",G1551="",C1551="",D1551="",J1551=""),"",IF(B1551="","⚠ Falta fecha",IF(G1551="","⚠ Falta monto",IF(Q1551="","⚠ Falta cuenta",IF(ISNA(MATCH(Q1551,ctaNombre,0)),"⚠ Cuenta no registrada",IF(AND(OR(P1551="Gasto",P1551="Reembolso"),D1551=""),"⚠ Falta categoría",IF(AND(D1551&lt;&gt;"",E1551&lt;&gt;"",ISNA(MATCH(D1551&amp;"|"&amp;E1551,catClave,0))),"⚠ Subcategoría no corresponde",IF(AND(OR(P1551="Transferencia",P1551="Pago tarjeta"),K1551=""),"⚠ Falta cuenta destino",IF(AND(K1551&lt;&gt;"",P1551&lt;&gt;"Transferencia",P1551&lt;&gt;"Pago tarjeta"),"⚠ Destino solo aplica a transferencias",IF(AND(K1551&lt;&gt;"",K1551=Q1551),"⚠ Origen igual a destino",IF(AND(K1551&lt;&gt;"",ISNA(MATCH(K1551,ctaNombre,0))),"⚠ Destino no registrado",IF(AND(P1551="Pago tarjeta",AE1551&lt;&gt;"Tarjeta de crédito"),"⚠ El destino debe ser tarjeta de crédito",IF(AND(P1551="Gasto",E1551="Depósitos y retiros"),"⚠ Usa tipo Transferencia",IF(AND(P1551="Resultado trading",AD1551&lt;&gt;"Cuenta de trading"),"⚠ Usa una cuenta de trading",IF(AND(G1551&lt;=0,P1551&lt;&gt;"Ajuste",P1551&lt;&gt;"Resultado trading"),"⚠ El monto debe ser positivo","✓")))))))))))))))</f>
        <v/>
      </c>
      <c r="P1551" s="52">
        <f>IF(OR(B1551="",G1551=""),"",IF(C1551="","Gasto",C1551))</f>
        <v/>
      </c>
      <c r="Q1551" s="52">
        <f>IF(P1551="","",IF(J1551&lt;&gt;"",J1551,CuentaPred&amp;""))</f>
        <v/>
      </c>
      <c r="R1551" s="52">
        <f>IF(P1551="","",IF(ISNUMBER(I1551),I1551,TasaUSD))</f>
        <v/>
      </c>
      <c r="S1551" s="53">
        <f>IF(P1551="","",IF(H1551="USD",G1551*R1551,G1551))</f>
        <v/>
      </c>
      <c r="T1551" s="53">
        <f>IF(P1551="","",IF(H1551="USD",G1551,IF(R1551&gt;0,G1551/R1551,0)))</f>
        <v/>
      </c>
      <c r="U1551" s="53">
        <f>IF(P1551="","",IF(P1551="Gasto",S1551,IF(P1551="Reembolso",-S1551,0)))</f>
        <v/>
      </c>
      <c r="V1551" s="53">
        <f>IF(P1551="","",IF(P1551="Ingreso",S1551,0))</f>
        <v/>
      </c>
      <c r="W1551" s="53">
        <f>IF(P1551="","",IF(P1551="Resultado trading",S1551,0))</f>
        <v/>
      </c>
      <c r="X1551" s="52">
        <f>IF(OR(P1551="Gasto",P1551="Reembolso"),IF(M1551&lt;&gt;"",M1551,IFERROR(INDEX(catClasif,MATCH(D1551&amp;"|"&amp;E1551,catClave,0))&amp;"","Variable")),"")</f>
        <v/>
      </c>
      <c r="Y1551" s="52">
        <f>IF(P1551="","",IFERROR(INDEX(catGrupo,MATCH(D1551&amp;"|"&amp;E1551,catClave,0))&amp;"",""))</f>
        <v/>
      </c>
      <c r="Z1551" s="52">
        <f>IF(P1551="","",WEEKDAY(B1551,2))</f>
        <v/>
      </c>
      <c r="AA1551" s="52">
        <f>IF(P1551="","",IF(AND(P1551="Gasto",X1551="Variable",D1551&lt;&gt;catTrading,S1551&gt;0,S1551&lt;=Umbral),1,0))</f>
        <v/>
      </c>
      <c r="AB1551" s="52">
        <f>IF(OR(P1551="",Q1551=""),"",IFERROR(IF(INDEX(ctaVinc,MATCH(Q1551,ctaNombre,0))&amp;""&lt;&gt;"",INDEX(ctaVinc,MATCH(Q1551,ctaNombre,0))&amp;"",Q1551),Q1551))</f>
        <v/>
      </c>
      <c r="AC1551" s="52">
        <f>IF(OR(K1551="",AND(P1551&lt;&gt;"Transferencia",P1551&lt;&gt;"Pago tarjeta")),"",IFERROR(IF(INDEX(ctaVinc,MATCH(K1551,ctaNombre,0))&amp;""&lt;&gt;"",INDEX(ctaVinc,MATCH(K1551,ctaNombre,0))&amp;"",K1551),K1551))</f>
        <v/>
      </c>
      <c r="AD1551" s="52">
        <f>IF(AB1551="","",IFERROR(INDEX(ctaTipo,MATCH(AB1551,ctaNombre,0))&amp;"",""))</f>
        <v/>
      </c>
      <c r="AE1551" s="52">
        <f>IF(AC1551="","",IFERROR(INDEX(ctaTipo,MATCH(AC1551,ctaNombre,0))&amp;"",""))</f>
        <v/>
      </c>
      <c r="AF1551" s="53">
        <f>IF(OR(P1551="",AB1551=""),"",IF(OR(P1551="Gasto",P1551="Transferencia",P1551="Pago tarjeta"),-1,1)*IF(IFERROR(INDEX(ctaMoneda,MATCH(AB1551,ctaNombre,0))&amp;"","DOP")="USD",T1551,S1551))</f>
        <v/>
      </c>
      <c r="AG1551" s="53">
        <f>IF(AC1551="","",IF(IFERROR(INDEX(ctaMoneda,MATCH(AC1551,ctaNombre,0))&amp;"","DOP")="USD",T1551,S1551))</f>
        <v/>
      </c>
      <c r="AH1551" s="53">
        <f>IF(P1551="","",IF(AND(AD1551&lt;&gt;"",COUNTIFS(tcTipo,AD1551,tcLiq,"Sí")&gt;0),IF(OR(P1551="Gasto",P1551="Transferencia",P1551="Pago tarjeta"),-1,1)*S1551,0)+IF(AND(AE1551&lt;&gt;"",COUNTIFS(tcTipo,AE1551,tcLiq,"Sí")&gt;0),S1551,0))</f>
        <v/>
      </c>
      <c r="AI1551" s="52">
        <f>IF(OR(L1551="",P1551=""),"",IF(COUNTIFS(L$6:L1551,L1551,P$6:P1551,"?*")=1,MAX(AI$5:AI1550)+1,""))</f>
        <v/>
      </c>
    </row>
    <row r="1552">
      <c r="B1552" s="47" t="n"/>
      <c r="C1552" s="48" t="n"/>
      <c r="D1552" s="48" t="n"/>
      <c r="E1552" s="48" t="n"/>
      <c r="F1552" s="48" t="n"/>
      <c r="G1552" s="49" t="n"/>
      <c r="H1552" s="48" t="n"/>
      <c r="I1552" s="50" t="n"/>
      <c r="J1552" s="48" t="n"/>
      <c r="K1552" s="48" t="n"/>
      <c r="L1552" s="48" t="n"/>
      <c r="M1552" s="48" t="n"/>
      <c r="N1552" s="48" t="n"/>
      <c r="O1552" s="51">
        <f>IF(AND(B1552="",G1552="",C1552="",D1552="",J1552=""),"",IF(B1552="","⚠ Falta fecha",IF(G1552="","⚠ Falta monto",IF(Q1552="","⚠ Falta cuenta",IF(ISNA(MATCH(Q1552,ctaNombre,0)),"⚠ Cuenta no registrada",IF(AND(OR(P1552="Gasto",P1552="Reembolso"),D1552=""),"⚠ Falta categoría",IF(AND(D1552&lt;&gt;"",E1552&lt;&gt;"",ISNA(MATCH(D1552&amp;"|"&amp;E1552,catClave,0))),"⚠ Subcategoría no corresponde",IF(AND(OR(P1552="Transferencia",P1552="Pago tarjeta"),K1552=""),"⚠ Falta cuenta destino",IF(AND(K1552&lt;&gt;"",P1552&lt;&gt;"Transferencia",P1552&lt;&gt;"Pago tarjeta"),"⚠ Destino solo aplica a transferencias",IF(AND(K1552&lt;&gt;"",K1552=Q1552),"⚠ Origen igual a destino",IF(AND(K1552&lt;&gt;"",ISNA(MATCH(K1552,ctaNombre,0))),"⚠ Destino no registrado",IF(AND(P1552="Pago tarjeta",AE1552&lt;&gt;"Tarjeta de crédito"),"⚠ El destino debe ser tarjeta de crédito",IF(AND(P1552="Gasto",E1552="Depósitos y retiros"),"⚠ Usa tipo Transferencia",IF(AND(P1552="Resultado trading",AD1552&lt;&gt;"Cuenta de trading"),"⚠ Usa una cuenta de trading",IF(AND(G1552&lt;=0,P1552&lt;&gt;"Ajuste",P1552&lt;&gt;"Resultado trading"),"⚠ El monto debe ser positivo","✓")))))))))))))))</f>
        <v/>
      </c>
      <c r="P1552" s="52">
        <f>IF(OR(B1552="",G1552=""),"",IF(C1552="","Gasto",C1552))</f>
        <v/>
      </c>
      <c r="Q1552" s="52">
        <f>IF(P1552="","",IF(J1552&lt;&gt;"",J1552,CuentaPred&amp;""))</f>
        <v/>
      </c>
      <c r="R1552" s="52">
        <f>IF(P1552="","",IF(ISNUMBER(I1552),I1552,TasaUSD))</f>
        <v/>
      </c>
      <c r="S1552" s="53">
        <f>IF(P1552="","",IF(H1552="USD",G1552*R1552,G1552))</f>
        <v/>
      </c>
      <c r="T1552" s="53">
        <f>IF(P1552="","",IF(H1552="USD",G1552,IF(R1552&gt;0,G1552/R1552,0)))</f>
        <v/>
      </c>
      <c r="U1552" s="53">
        <f>IF(P1552="","",IF(P1552="Gasto",S1552,IF(P1552="Reembolso",-S1552,0)))</f>
        <v/>
      </c>
      <c r="V1552" s="53">
        <f>IF(P1552="","",IF(P1552="Ingreso",S1552,0))</f>
        <v/>
      </c>
      <c r="W1552" s="53">
        <f>IF(P1552="","",IF(P1552="Resultado trading",S1552,0))</f>
        <v/>
      </c>
      <c r="X1552" s="52">
        <f>IF(OR(P1552="Gasto",P1552="Reembolso"),IF(M1552&lt;&gt;"",M1552,IFERROR(INDEX(catClasif,MATCH(D1552&amp;"|"&amp;E1552,catClave,0))&amp;"","Variable")),"")</f>
        <v/>
      </c>
      <c r="Y1552" s="52">
        <f>IF(P1552="","",IFERROR(INDEX(catGrupo,MATCH(D1552&amp;"|"&amp;E1552,catClave,0))&amp;"",""))</f>
        <v/>
      </c>
      <c r="Z1552" s="52">
        <f>IF(P1552="","",WEEKDAY(B1552,2))</f>
        <v/>
      </c>
      <c r="AA1552" s="52">
        <f>IF(P1552="","",IF(AND(P1552="Gasto",X1552="Variable",D1552&lt;&gt;catTrading,S1552&gt;0,S1552&lt;=Umbral),1,0))</f>
        <v/>
      </c>
      <c r="AB1552" s="52">
        <f>IF(OR(P1552="",Q1552=""),"",IFERROR(IF(INDEX(ctaVinc,MATCH(Q1552,ctaNombre,0))&amp;""&lt;&gt;"",INDEX(ctaVinc,MATCH(Q1552,ctaNombre,0))&amp;"",Q1552),Q1552))</f>
        <v/>
      </c>
      <c r="AC1552" s="52">
        <f>IF(OR(K1552="",AND(P1552&lt;&gt;"Transferencia",P1552&lt;&gt;"Pago tarjeta")),"",IFERROR(IF(INDEX(ctaVinc,MATCH(K1552,ctaNombre,0))&amp;""&lt;&gt;"",INDEX(ctaVinc,MATCH(K1552,ctaNombre,0))&amp;"",K1552),K1552))</f>
        <v/>
      </c>
      <c r="AD1552" s="52">
        <f>IF(AB1552="","",IFERROR(INDEX(ctaTipo,MATCH(AB1552,ctaNombre,0))&amp;"",""))</f>
        <v/>
      </c>
      <c r="AE1552" s="52">
        <f>IF(AC1552="","",IFERROR(INDEX(ctaTipo,MATCH(AC1552,ctaNombre,0))&amp;"",""))</f>
        <v/>
      </c>
      <c r="AF1552" s="53">
        <f>IF(OR(P1552="",AB1552=""),"",IF(OR(P1552="Gasto",P1552="Transferencia",P1552="Pago tarjeta"),-1,1)*IF(IFERROR(INDEX(ctaMoneda,MATCH(AB1552,ctaNombre,0))&amp;"","DOP")="USD",T1552,S1552))</f>
        <v/>
      </c>
      <c r="AG1552" s="53">
        <f>IF(AC1552="","",IF(IFERROR(INDEX(ctaMoneda,MATCH(AC1552,ctaNombre,0))&amp;"","DOP")="USD",T1552,S1552))</f>
        <v/>
      </c>
      <c r="AH1552" s="53">
        <f>IF(P1552="","",IF(AND(AD1552&lt;&gt;"",COUNTIFS(tcTipo,AD1552,tcLiq,"Sí")&gt;0),IF(OR(P1552="Gasto",P1552="Transferencia",P1552="Pago tarjeta"),-1,1)*S1552,0)+IF(AND(AE1552&lt;&gt;"",COUNTIFS(tcTipo,AE1552,tcLiq,"Sí")&gt;0),S1552,0))</f>
        <v/>
      </c>
      <c r="AI1552" s="52">
        <f>IF(OR(L1552="",P1552=""),"",IF(COUNTIFS(L$6:L1552,L1552,P$6:P1552,"?*")=1,MAX(AI$5:AI1551)+1,""))</f>
        <v/>
      </c>
    </row>
    <row r="1553">
      <c r="B1553" s="47" t="n"/>
      <c r="C1553" s="48" t="n"/>
      <c r="D1553" s="48" t="n"/>
      <c r="E1553" s="48" t="n"/>
      <c r="F1553" s="48" t="n"/>
      <c r="G1553" s="49" t="n"/>
      <c r="H1553" s="48" t="n"/>
      <c r="I1553" s="50" t="n"/>
      <c r="J1553" s="48" t="n"/>
      <c r="K1553" s="48" t="n"/>
      <c r="L1553" s="48" t="n"/>
      <c r="M1553" s="48" t="n"/>
      <c r="N1553" s="48" t="n"/>
      <c r="O1553" s="51">
        <f>IF(AND(B1553="",G1553="",C1553="",D1553="",J1553=""),"",IF(B1553="","⚠ Falta fecha",IF(G1553="","⚠ Falta monto",IF(Q1553="","⚠ Falta cuenta",IF(ISNA(MATCH(Q1553,ctaNombre,0)),"⚠ Cuenta no registrada",IF(AND(OR(P1553="Gasto",P1553="Reembolso"),D1553=""),"⚠ Falta categoría",IF(AND(D1553&lt;&gt;"",E1553&lt;&gt;"",ISNA(MATCH(D1553&amp;"|"&amp;E1553,catClave,0))),"⚠ Subcategoría no corresponde",IF(AND(OR(P1553="Transferencia",P1553="Pago tarjeta"),K1553=""),"⚠ Falta cuenta destino",IF(AND(K1553&lt;&gt;"",P1553&lt;&gt;"Transferencia",P1553&lt;&gt;"Pago tarjeta"),"⚠ Destino solo aplica a transferencias",IF(AND(K1553&lt;&gt;"",K1553=Q1553),"⚠ Origen igual a destino",IF(AND(K1553&lt;&gt;"",ISNA(MATCH(K1553,ctaNombre,0))),"⚠ Destino no registrado",IF(AND(P1553="Pago tarjeta",AE1553&lt;&gt;"Tarjeta de crédito"),"⚠ El destino debe ser tarjeta de crédito",IF(AND(P1553="Gasto",E1553="Depósitos y retiros"),"⚠ Usa tipo Transferencia",IF(AND(P1553="Resultado trading",AD1553&lt;&gt;"Cuenta de trading"),"⚠ Usa una cuenta de trading",IF(AND(G1553&lt;=0,P1553&lt;&gt;"Ajuste",P1553&lt;&gt;"Resultado trading"),"⚠ El monto debe ser positivo","✓")))))))))))))))</f>
        <v/>
      </c>
      <c r="P1553" s="52">
        <f>IF(OR(B1553="",G1553=""),"",IF(C1553="","Gasto",C1553))</f>
        <v/>
      </c>
      <c r="Q1553" s="52">
        <f>IF(P1553="","",IF(J1553&lt;&gt;"",J1553,CuentaPred&amp;""))</f>
        <v/>
      </c>
      <c r="R1553" s="52">
        <f>IF(P1553="","",IF(ISNUMBER(I1553),I1553,TasaUSD))</f>
        <v/>
      </c>
      <c r="S1553" s="53">
        <f>IF(P1553="","",IF(H1553="USD",G1553*R1553,G1553))</f>
        <v/>
      </c>
      <c r="T1553" s="53">
        <f>IF(P1553="","",IF(H1553="USD",G1553,IF(R1553&gt;0,G1553/R1553,0)))</f>
        <v/>
      </c>
      <c r="U1553" s="53">
        <f>IF(P1553="","",IF(P1553="Gasto",S1553,IF(P1553="Reembolso",-S1553,0)))</f>
        <v/>
      </c>
      <c r="V1553" s="53">
        <f>IF(P1553="","",IF(P1553="Ingreso",S1553,0))</f>
        <v/>
      </c>
      <c r="W1553" s="53">
        <f>IF(P1553="","",IF(P1553="Resultado trading",S1553,0))</f>
        <v/>
      </c>
      <c r="X1553" s="52">
        <f>IF(OR(P1553="Gasto",P1553="Reembolso"),IF(M1553&lt;&gt;"",M1553,IFERROR(INDEX(catClasif,MATCH(D1553&amp;"|"&amp;E1553,catClave,0))&amp;"","Variable")),"")</f>
        <v/>
      </c>
      <c r="Y1553" s="52">
        <f>IF(P1553="","",IFERROR(INDEX(catGrupo,MATCH(D1553&amp;"|"&amp;E1553,catClave,0))&amp;"",""))</f>
        <v/>
      </c>
      <c r="Z1553" s="52">
        <f>IF(P1553="","",WEEKDAY(B1553,2))</f>
        <v/>
      </c>
      <c r="AA1553" s="52">
        <f>IF(P1553="","",IF(AND(P1553="Gasto",X1553="Variable",D1553&lt;&gt;catTrading,S1553&gt;0,S1553&lt;=Umbral),1,0))</f>
        <v/>
      </c>
      <c r="AB1553" s="52">
        <f>IF(OR(P1553="",Q1553=""),"",IFERROR(IF(INDEX(ctaVinc,MATCH(Q1553,ctaNombre,0))&amp;""&lt;&gt;"",INDEX(ctaVinc,MATCH(Q1553,ctaNombre,0))&amp;"",Q1553),Q1553))</f>
        <v/>
      </c>
      <c r="AC1553" s="52">
        <f>IF(OR(K1553="",AND(P1553&lt;&gt;"Transferencia",P1553&lt;&gt;"Pago tarjeta")),"",IFERROR(IF(INDEX(ctaVinc,MATCH(K1553,ctaNombre,0))&amp;""&lt;&gt;"",INDEX(ctaVinc,MATCH(K1553,ctaNombre,0))&amp;"",K1553),K1553))</f>
        <v/>
      </c>
      <c r="AD1553" s="52">
        <f>IF(AB1553="","",IFERROR(INDEX(ctaTipo,MATCH(AB1553,ctaNombre,0))&amp;"",""))</f>
        <v/>
      </c>
      <c r="AE1553" s="52">
        <f>IF(AC1553="","",IFERROR(INDEX(ctaTipo,MATCH(AC1553,ctaNombre,0))&amp;"",""))</f>
        <v/>
      </c>
      <c r="AF1553" s="53">
        <f>IF(OR(P1553="",AB1553=""),"",IF(OR(P1553="Gasto",P1553="Transferencia",P1553="Pago tarjeta"),-1,1)*IF(IFERROR(INDEX(ctaMoneda,MATCH(AB1553,ctaNombre,0))&amp;"","DOP")="USD",T1553,S1553))</f>
        <v/>
      </c>
      <c r="AG1553" s="53">
        <f>IF(AC1553="","",IF(IFERROR(INDEX(ctaMoneda,MATCH(AC1553,ctaNombre,0))&amp;"","DOP")="USD",T1553,S1553))</f>
        <v/>
      </c>
      <c r="AH1553" s="53">
        <f>IF(P1553="","",IF(AND(AD1553&lt;&gt;"",COUNTIFS(tcTipo,AD1553,tcLiq,"Sí")&gt;0),IF(OR(P1553="Gasto",P1553="Transferencia",P1553="Pago tarjeta"),-1,1)*S1553,0)+IF(AND(AE1553&lt;&gt;"",COUNTIFS(tcTipo,AE1553,tcLiq,"Sí")&gt;0),S1553,0))</f>
        <v/>
      </c>
      <c r="AI1553" s="52">
        <f>IF(OR(L1553="",P1553=""),"",IF(COUNTIFS(L$6:L1553,L1553,P$6:P1553,"?*")=1,MAX(AI$5:AI1552)+1,""))</f>
        <v/>
      </c>
    </row>
    <row r="1554">
      <c r="B1554" s="47" t="n"/>
      <c r="C1554" s="48" t="n"/>
      <c r="D1554" s="48" t="n"/>
      <c r="E1554" s="48" t="n"/>
      <c r="F1554" s="48" t="n"/>
      <c r="G1554" s="49" t="n"/>
      <c r="H1554" s="48" t="n"/>
      <c r="I1554" s="50" t="n"/>
      <c r="J1554" s="48" t="n"/>
      <c r="K1554" s="48" t="n"/>
      <c r="L1554" s="48" t="n"/>
      <c r="M1554" s="48" t="n"/>
      <c r="N1554" s="48" t="n"/>
      <c r="O1554" s="51">
        <f>IF(AND(B1554="",G1554="",C1554="",D1554="",J1554=""),"",IF(B1554="","⚠ Falta fecha",IF(G1554="","⚠ Falta monto",IF(Q1554="","⚠ Falta cuenta",IF(ISNA(MATCH(Q1554,ctaNombre,0)),"⚠ Cuenta no registrada",IF(AND(OR(P1554="Gasto",P1554="Reembolso"),D1554=""),"⚠ Falta categoría",IF(AND(D1554&lt;&gt;"",E1554&lt;&gt;"",ISNA(MATCH(D1554&amp;"|"&amp;E1554,catClave,0))),"⚠ Subcategoría no corresponde",IF(AND(OR(P1554="Transferencia",P1554="Pago tarjeta"),K1554=""),"⚠ Falta cuenta destino",IF(AND(K1554&lt;&gt;"",P1554&lt;&gt;"Transferencia",P1554&lt;&gt;"Pago tarjeta"),"⚠ Destino solo aplica a transferencias",IF(AND(K1554&lt;&gt;"",K1554=Q1554),"⚠ Origen igual a destino",IF(AND(K1554&lt;&gt;"",ISNA(MATCH(K1554,ctaNombre,0))),"⚠ Destino no registrado",IF(AND(P1554="Pago tarjeta",AE1554&lt;&gt;"Tarjeta de crédito"),"⚠ El destino debe ser tarjeta de crédito",IF(AND(P1554="Gasto",E1554="Depósitos y retiros"),"⚠ Usa tipo Transferencia",IF(AND(P1554="Resultado trading",AD1554&lt;&gt;"Cuenta de trading"),"⚠ Usa una cuenta de trading",IF(AND(G1554&lt;=0,P1554&lt;&gt;"Ajuste",P1554&lt;&gt;"Resultado trading"),"⚠ El monto debe ser positivo","✓")))))))))))))))</f>
        <v/>
      </c>
      <c r="P1554" s="52">
        <f>IF(OR(B1554="",G1554=""),"",IF(C1554="","Gasto",C1554))</f>
        <v/>
      </c>
      <c r="Q1554" s="52">
        <f>IF(P1554="","",IF(J1554&lt;&gt;"",J1554,CuentaPred&amp;""))</f>
        <v/>
      </c>
      <c r="R1554" s="52">
        <f>IF(P1554="","",IF(ISNUMBER(I1554),I1554,TasaUSD))</f>
        <v/>
      </c>
      <c r="S1554" s="53">
        <f>IF(P1554="","",IF(H1554="USD",G1554*R1554,G1554))</f>
        <v/>
      </c>
      <c r="T1554" s="53">
        <f>IF(P1554="","",IF(H1554="USD",G1554,IF(R1554&gt;0,G1554/R1554,0)))</f>
        <v/>
      </c>
      <c r="U1554" s="53">
        <f>IF(P1554="","",IF(P1554="Gasto",S1554,IF(P1554="Reembolso",-S1554,0)))</f>
        <v/>
      </c>
      <c r="V1554" s="53">
        <f>IF(P1554="","",IF(P1554="Ingreso",S1554,0))</f>
        <v/>
      </c>
      <c r="W1554" s="53">
        <f>IF(P1554="","",IF(P1554="Resultado trading",S1554,0))</f>
        <v/>
      </c>
      <c r="X1554" s="52">
        <f>IF(OR(P1554="Gasto",P1554="Reembolso"),IF(M1554&lt;&gt;"",M1554,IFERROR(INDEX(catClasif,MATCH(D1554&amp;"|"&amp;E1554,catClave,0))&amp;"","Variable")),"")</f>
        <v/>
      </c>
      <c r="Y1554" s="52">
        <f>IF(P1554="","",IFERROR(INDEX(catGrupo,MATCH(D1554&amp;"|"&amp;E1554,catClave,0))&amp;"",""))</f>
        <v/>
      </c>
      <c r="Z1554" s="52">
        <f>IF(P1554="","",WEEKDAY(B1554,2))</f>
        <v/>
      </c>
      <c r="AA1554" s="52">
        <f>IF(P1554="","",IF(AND(P1554="Gasto",X1554="Variable",D1554&lt;&gt;catTrading,S1554&gt;0,S1554&lt;=Umbral),1,0))</f>
        <v/>
      </c>
      <c r="AB1554" s="52">
        <f>IF(OR(P1554="",Q1554=""),"",IFERROR(IF(INDEX(ctaVinc,MATCH(Q1554,ctaNombre,0))&amp;""&lt;&gt;"",INDEX(ctaVinc,MATCH(Q1554,ctaNombre,0))&amp;"",Q1554),Q1554))</f>
        <v/>
      </c>
      <c r="AC1554" s="52">
        <f>IF(OR(K1554="",AND(P1554&lt;&gt;"Transferencia",P1554&lt;&gt;"Pago tarjeta")),"",IFERROR(IF(INDEX(ctaVinc,MATCH(K1554,ctaNombre,0))&amp;""&lt;&gt;"",INDEX(ctaVinc,MATCH(K1554,ctaNombre,0))&amp;"",K1554),K1554))</f>
        <v/>
      </c>
      <c r="AD1554" s="52">
        <f>IF(AB1554="","",IFERROR(INDEX(ctaTipo,MATCH(AB1554,ctaNombre,0))&amp;"",""))</f>
        <v/>
      </c>
      <c r="AE1554" s="52">
        <f>IF(AC1554="","",IFERROR(INDEX(ctaTipo,MATCH(AC1554,ctaNombre,0))&amp;"",""))</f>
        <v/>
      </c>
      <c r="AF1554" s="53">
        <f>IF(OR(P1554="",AB1554=""),"",IF(OR(P1554="Gasto",P1554="Transferencia",P1554="Pago tarjeta"),-1,1)*IF(IFERROR(INDEX(ctaMoneda,MATCH(AB1554,ctaNombre,0))&amp;"","DOP")="USD",T1554,S1554))</f>
        <v/>
      </c>
      <c r="AG1554" s="53">
        <f>IF(AC1554="","",IF(IFERROR(INDEX(ctaMoneda,MATCH(AC1554,ctaNombre,0))&amp;"","DOP")="USD",T1554,S1554))</f>
        <v/>
      </c>
      <c r="AH1554" s="53">
        <f>IF(P1554="","",IF(AND(AD1554&lt;&gt;"",COUNTIFS(tcTipo,AD1554,tcLiq,"Sí")&gt;0),IF(OR(P1554="Gasto",P1554="Transferencia",P1554="Pago tarjeta"),-1,1)*S1554,0)+IF(AND(AE1554&lt;&gt;"",COUNTIFS(tcTipo,AE1554,tcLiq,"Sí")&gt;0),S1554,0))</f>
        <v/>
      </c>
      <c r="AI1554" s="52">
        <f>IF(OR(L1554="",P1554=""),"",IF(COUNTIFS(L$6:L1554,L1554,P$6:P1554,"?*")=1,MAX(AI$5:AI1553)+1,""))</f>
        <v/>
      </c>
    </row>
    <row r="1555">
      <c r="B1555" s="47" t="n"/>
      <c r="C1555" s="48" t="n"/>
      <c r="D1555" s="48" t="n"/>
      <c r="E1555" s="48" t="n"/>
      <c r="F1555" s="48" t="n"/>
      <c r="G1555" s="49" t="n"/>
      <c r="H1555" s="48" t="n"/>
      <c r="I1555" s="50" t="n"/>
      <c r="J1555" s="48" t="n"/>
      <c r="K1555" s="48" t="n"/>
      <c r="L1555" s="48" t="n"/>
      <c r="M1555" s="48" t="n"/>
      <c r="N1555" s="48" t="n"/>
      <c r="O1555" s="51">
        <f>IF(AND(B1555="",G1555="",C1555="",D1555="",J1555=""),"",IF(B1555="","⚠ Falta fecha",IF(G1555="","⚠ Falta monto",IF(Q1555="","⚠ Falta cuenta",IF(ISNA(MATCH(Q1555,ctaNombre,0)),"⚠ Cuenta no registrada",IF(AND(OR(P1555="Gasto",P1555="Reembolso"),D1555=""),"⚠ Falta categoría",IF(AND(D1555&lt;&gt;"",E1555&lt;&gt;"",ISNA(MATCH(D1555&amp;"|"&amp;E1555,catClave,0))),"⚠ Subcategoría no corresponde",IF(AND(OR(P1555="Transferencia",P1555="Pago tarjeta"),K1555=""),"⚠ Falta cuenta destino",IF(AND(K1555&lt;&gt;"",P1555&lt;&gt;"Transferencia",P1555&lt;&gt;"Pago tarjeta"),"⚠ Destino solo aplica a transferencias",IF(AND(K1555&lt;&gt;"",K1555=Q1555),"⚠ Origen igual a destino",IF(AND(K1555&lt;&gt;"",ISNA(MATCH(K1555,ctaNombre,0))),"⚠ Destino no registrado",IF(AND(P1555="Pago tarjeta",AE1555&lt;&gt;"Tarjeta de crédito"),"⚠ El destino debe ser tarjeta de crédito",IF(AND(P1555="Gasto",E1555="Depósitos y retiros"),"⚠ Usa tipo Transferencia",IF(AND(P1555="Resultado trading",AD1555&lt;&gt;"Cuenta de trading"),"⚠ Usa una cuenta de trading",IF(AND(G1555&lt;=0,P1555&lt;&gt;"Ajuste",P1555&lt;&gt;"Resultado trading"),"⚠ El monto debe ser positivo","✓")))))))))))))))</f>
        <v/>
      </c>
      <c r="P1555" s="52">
        <f>IF(OR(B1555="",G1555=""),"",IF(C1555="","Gasto",C1555))</f>
        <v/>
      </c>
      <c r="Q1555" s="52">
        <f>IF(P1555="","",IF(J1555&lt;&gt;"",J1555,CuentaPred&amp;""))</f>
        <v/>
      </c>
      <c r="R1555" s="52">
        <f>IF(P1555="","",IF(ISNUMBER(I1555),I1555,TasaUSD))</f>
        <v/>
      </c>
      <c r="S1555" s="53">
        <f>IF(P1555="","",IF(H1555="USD",G1555*R1555,G1555))</f>
        <v/>
      </c>
      <c r="T1555" s="53">
        <f>IF(P1555="","",IF(H1555="USD",G1555,IF(R1555&gt;0,G1555/R1555,0)))</f>
        <v/>
      </c>
      <c r="U1555" s="53">
        <f>IF(P1555="","",IF(P1555="Gasto",S1555,IF(P1555="Reembolso",-S1555,0)))</f>
        <v/>
      </c>
      <c r="V1555" s="53">
        <f>IF(P1555="","",IF(P1555="Ingreso",S1555,0))</f>
        <v/>
      </c>
      <c r="W1555" s="53">
        <f>IF(P1555="","",IF(P1555="Resultado trading",S1555,0))</f>
        <v/>
      </c>
      <c r="X1555" s="52">
        <f>IF(OR(P1555="Gasto",P1555="Reembolso"),IF(M1555&lt;&gt;"",M1555,IFERROR(INDEX(catClasif,MATCH(D1555&amp;"|"&amp;E1555,catClave,0))&amp;"","Variable")),"")</f>
        <v/>
      </c>
      <c r="Y1555" s="52">
        <f>IF(P1555="","",IFERROR(INDEX(catGrupo,MATCH(D1555&amp;"|"&amp;E1555,catClave,0))&amp;"",""))</f>
        <v/>
      </c>
      <c r="Z1555" s="52">
        <f>IF(P1555="","",WEEKDAY(B1555,2))</f>
        <v/>
      </c>
      <c r="AA1555" s="52">
        <f>IF(P1555="","",IF(AND(P1555="Gasto",X1555="Variable",D1555&lt;&gt;catTrading,S1555&gt;0,S1555&lt;=Umbral),1,0))</f>
        <v/>
      </c>
      <c r="AB1555" s="52">
        <f>IF(OR(P1555="",Q1555=""),"",IFERROR(IF(INDEX(ctaVinc,MATCH(Q1555,ctaNombre,0))&amp;""&lt;&gt;"",INDEX(ctaVinc,MATCH(Q1555,ctaNombre,0))&amp;"",Q1555),Q1555))</f>
        <v/>
      </c>
      <c r="AC1555" s="52">
        <f>IF(OR(K1555="",AND(P1555&lt;&gt;"Transferencia",P1555&lt;&gt;"Pago tarjeta")),"",IFERROR(IF(INDEX(ctaVinc,MATCH(K1555,ctaNombre,0))&amp;""&lt;&gt;"",INDEX(ctaVinc,MATCH(K1555,ctaNombre,0))&amp;"",K1555),K1555))</f>
        <v/>
      </c>
      <c r="AD1555" s="52">
        <f>IF(AB1555="","",IFERROR(INDEX(ctaTipo,MATCH(AB1555,ctaNombre,0))&amp;"",""))</f>
        <v/>
      </c>
      <c r="AE1555" s="52">
        <f>IF(AC1555="","",IFERROR(INDEX(ctaTipo,MATCH(AC1555,ctaNombre,0))&amp;"",""))</f>
        <v/>
      </c>
      <c r="AF1555" s="53">
        <f>IF(OR(P1555="",AB1555=""),"",IF(OR(P1555="Gasto",P1555="Transferencia",P1555="Pago tarjeta"),-1,1)*IF(IFERROR(INDEX(ctaMoneda,MATCH(AB1555,ctaNombre,0))&amp;"","DOP")="USD",T1555,S1555))</f>
        <v/>
      </c>
      <c r="AG1555" s="53">
        <f>IF(AC1555="","",IF(IFERROR(INDEX(ctaMoneda,MATCH(AC1555,ctaNombre,0))&amp;"","DOP")="USD",T1555,S1555))</f>
        <v/>
      </c>
      <c r="AH1555" s="53">
        <f>IF(P1555="","",IF(AND(AD1555&lt;&gt;"",COUNTIFS(tcTipo,AD1555,tcLiq,"Sí")&gt;0),IF(OR(P1555="Gasto",P1555="Transferencia",P1555="Pago tarjeta"),-1,1)*S1555,0)+IF(AND(AE1555&lt;&gt;"",COUNTIFS(tcTipo,AE1555,tcLiq,"Sí")&gt;0),S1555,0))</f>
        <v/>
      </c>
      <c r="AI1555" s="52">
        <f>IF(OR(L1555="",P1555=""),"",IF(COUNTIFS(L$6:L1555,L1555,P$6:P1555,"?*")=1,MAX(AI$5:AI1554)+1,""))</f>
        <v/>
      </c>
    </row>
    <row r="1556">
      <c r="B1556" s="47" t="n"/>
      <c r="C1556" s="48" t="n"/>
      <c r="D1556" s="48" t="n"/>
      <c r="E1556" s="48" t="n"/>
      <c r="F1556" s="48" t="n"/>
      <c r="G1556" s="49" t="n"/>
      <c r="H1556" s="48" t="n"/>
      <c r="I1556" s="50" t="n"/>
      <c r="J1556" s="48" t="n"/>
      <c r="K1556" s="48" t="n"/>
      <c r="L1556" s="48" t="n"/>
      <c r="M1556" s="48" t="n"/>
      <c r="N1556" s="48" t="n"/>
      <c r="O1556" s="51">
        <f>IF(AND(B1556="",G1556="",C1556="",D1556="",J1556=""),"",IF(B1556="","⚠ Falta fecha",IF(G1556="","⚠ Falta monto",IF(Q1556="","⚠ Falta cuenta",IF(ISNA(MATCH(Q1556,ctaNombre,0)),"⚠ Cuenta no registrada",IF(AND(OR(P1556="Gasto",P1556="Reembolso"),D1556=""),"⚠ Falta categoría",IF(AND(D1556&lt;&gt;"",E1556&lt;&gt;"",ISNA(MATCH(D1556&amp;"|"&amp;E1556,catClave,0))),"⚠ Subcategoría no corresponde",IF(AND(OR(P1556="Transferencia",P1556="Pago tarjeta"),K1556=""),"⚠ Falta cuenta destino",IF(AND(K1556&lt;&gt;"",P1556&lt;&gt;"Transferencia",P1556&lt;&gt;"Pago tarjeta"),"⚠ Destino solo aplica a transferencias",IF(AND(K1556&lt;&gt;"",K1556=Q1556),"⚠ Origen igual a destino",IF(AND(K1556&lt;&gt;"",ISNA(MATCH(K1556,ctaNombre,0))),"⚠ Destino no registrado",IF(AND(P1556="Pago tarjeta",AE1556&lt;&gt;"Tarjeta de crédito"),"⚠ El destino debe ser tarjeta de crédito",IF(AND(P1556="Gasto",E1556="Depósitos y retiros"),"⚠ Usa tipo Transferencia",IF(AND(P1556="Resultado trading",AD1556&lt;&gt;"Cuenta de trading"),"⚠ Usa una cuenta de trading",IF(AND(G1556&lt;=0,P1556&lt;&gt;"Ajuste",P1556&lt;&gt;"Resultado trading"),"⚠ El monto debe ser positivo","✓")))))))))))))))</f>
        <v/>
      </c>
      <c r="P1556" s="52">
        <f>IF(OR(B1556="",G1556=""),"",IF(C1556="","Gasto",C1556))</f>
        <v/>
      </c>
      <c r="Q1556" s="52">
        <f>IF(P1556="","",IF(J1556&lt;&gt;"",J1556,CuentaPred&amp;""))</f>
        <v/>
      </c>
      <c r="R1556" s="52">
        <f>IF(P1556="","",IF(ISNUMBER(I1556),I1556,TasaUSD))</f>
        <v/>
      </c>
      <c r="S1556" s="53">
        <f>IF(P1556="","",IF(H1556="USD",G1556*R1556,G1556))</f>
        <v/>
      </c>
      <c r="T1556" s="53">
        <f>IF(P1556="","",IF(H1556="USD",G1556,IF(R1556&gt;0,G1556/R1556,0)))</f>
        <v/>
      </c>
      <c r="U1556" s="53">
        <f>IF(P1556="","",IF(P1556="Gasto",S1556,IF(P1556="Reembolso",-S1556,0)))</f>
        <v/>
      </c>
      <c r="V1556" s="53">
        <f>IF(P1556="","",IF(P1556="Ingreso",S1556,0))</f>
        <v/>
      </c>
      <c r="W1556" s="53">
        <f>IF(P1556="","",IF(P1556="Resultado trading",S1556,0))</f>
        <v/>
      </c>
      <c r="X1556" s="52">
        <f>IF(OR(P1556="Gasto",P1556="Reembolso"),IF(M1556&lt;&gt;"",M1556,IFERROR(INDEX(catClasif,MATCH(D1556&amp;"|"&amp;E1556,catClave,0))&amp;"","Variable")),"")</f>
        <v/>
      </c>
      <c r="Y1556" s="52">
        <f>IF(P1556="","",IFERROR(INDEX(catGrupo,MATCH(D1556&amp;"|"&amp;E1556,catClave,0))&amp;"",""))</f>
        <v/>
      </c>
      <c r="Z1556" s="52">
        <f>IF(P1556="","",WEEKDAY(B1556,2))</f>
        <v/>
      </c>
      <c r="AA1556" s="52">
        <f>IF(P1556="","",IF(AND(P1556="Gasto",X1556="Variable",D1556&lt;&gt;catTrading,S1556&gt;0,S1556&lt;=Umbral),1,0))</f>
        <v/>
      </c>
      <c r="AB1556" s="52">
        <f>IF(OR(P1556="",Q1556=""),"",IFERROR(IF(INDEX(ctaVinc,MATCH(Q1556,ctaNombre,0))&amp;""&lt;&gt;"",INDEX(ctaVinc,MATCH(Q1556,ctaNombre,0))&amp;"",Q1556),Q1556))</f>
        <v/>
      </c>
      <c r="AC1556" s="52">
        <f>IF(OR(K1556="",AND(P1556&lt;&gt;"Transferencia",P1556&lt;&gt;"Pago tarjeta")),"",IFERROR(IF(INDEX(ctaVinc,MATCH(K1556,ctaNombre,0))&amp;""&lt;&gt;"",INDEX(ctaVinc,MATCH(K1556,ctaNombre,0))&amp;"",K1556),K1556))</f>
        <v/>
      </c>
      <c r="AD1556" s="52">
        <f>IF(AB1556="","",IFERROR(INDEX(ctaTipo,MATCH(AB1556,ctaNombre,0))&amp;"",""))</f>
        <v/>
      </c>
      <c r="AE1556" s="52">
        <f>IF(AC1556="","",IFERROR(INDEX(ctaTipo,MATCH(AC1556,ctaNombre,0))&amp;"",""))</f>
        <v/>
      </c>
      <c r="AF1556" s="53">
        <f>IF(OR(P1556="",AB1556=""),"",IF(OR(P1556="Gasto",P1556="Transferencia",P1556="Pago tarjeta"),-1,1)*IF(IFERROR(INDEX(ctaMoneda,MATCH(AB1556,ctaNombre,0))&amp;"","DOP")="USD",T1556,S1556))</f>
        <v/>
      </c>
      <c r="AG1556" s="53">
        <f>IF(AC1556="","",IF(IFERROR(INDEX(ctaMoneda,MATCH(AC1556,ctaNombre,0))&amp;"","DOP")="USD",T1556,S1556))</f>
        <v/>
      </c>
      <c r="AH1556" s="53">
        <f>IF(P1556="","",IF(AND(AD1556&lt;&gt;"",COUNTIFS(tcTipo,AD1556,tcLiq,"Sí")&gt;0),IF(OR(P1556="Gasto",P1556="Transferencia",P1556="Pago tarjeta"),-1,1)*S1556,0)+IF(AND(AE1556&lt;&gt;"",COUNTIFS(tcTipo,AE1556,tcLiq,"Sí")&gt;0),S1556,0))</f>
        <v/>
      </c>
      <c r="AI1556" s="52">
        <f>IF(OR(L1556="",P1556=""),"",IF(COUNTIFS(L$6:L1556,L1556,P$6:P1556,"?*")=1,MAX(AI$5:AI1555)+1,""))</f>
        <v/>
      </c>
    </row>
    <row r="1557">
      <c r="B1557" s="47" t="n"/>
      <c r="C1557" s="48" t="n"/>
      <c r="D1557" s="48" t="n"/>
      <c r="E1557" s="48" t="n"/>
      <c r="F1557" s="48" t="n"/>
      <c r="G1557" s="49" t="n"/>
      <c r="H1557" s="48" t="n"/>
      <c r="I1557" s="50" t="n"/>
      <c r="J1557" s="48" t="n"/>
      <c r="K1557" s="48" t="n"/>
      <c r="L1557" s="48" t="n"/>
      <c r="M1557" s="48" t="n"/>
      <c r="N1557" s="48" t="n"/>
      <c r="O1557" s="51">
        <f>IF(AND(B1557="",G1557="",C1557="",D1557="",J1557=""),"",IF(B1557="","⚠ Falta fecha",IF(G1557="","⚠ Falta monto",IF(Q1557="","⚠ Falta cuenta",IF(ISNA(MATCH(Q1557,ctaNombre,0)),"⚠ Cuenta no registrada",IF(AND(OR(P1557="Gasto",P1557="Reembolso"),D1557=""),"⚠ Falta categoría",IF(AND(D1557&lt;&gt;"",E1557&lt;&gt;"",ISNA(MATCH(D1557&amp;"|"&amp;E1557,catClave,0))),"⚠ Subcategoría no corresponde",IF(AND(OR(P1557="Transferencia",P1557="Pago tarjeta"),K1557=""),"⚠ Falta cuenta destino",IF(AND(K1557&lt;&gt;"",P1557&lt;&gt;"Transferencia",P1557&lt;&gt;"Pago tarjeta"),"⚠ Destino solo aplica a transferencias",IF(AND(K1557&lt;&gt;"",K1557=Q1557),"⚠ Origen igual a destino",IF(AND(K1557&lt;&gt;"",ISNA(MATCH(K1557,ctaNombre,0))),"⚠ Destino no registrado",IF(AND(P1557="Pago tarjeta",AE1557&lt;&gt;"Tarjeta de crédito"),"⚠ El destino debe ser tarjeta de crédito",IF(AND(P1557="Gasto",E1557="Depósitos y retiros"),"⚠ Usa tipo Transferencia",IF(AND(P1557="Resultado trading",AD1557&lt;&gt;"Cuenta de trading"),"⚠ Usa una cuenta de trading",IF(AND(G1557&lt;=0,P1557&lt;&gt;"Ajuste",P1557&lt;&gt;"Resultado trading"),"⚠ El monto debe ser positivo","✓")))))))))))))))</f>
        <v/>
      </c>
      <c r="P1557" s="52">
        <f>IF(OR(B1557="",G1557=""),"",IF(C1557="","Gasto",C1557))</f>
        <v/>
      </c>
      <c r="Q1557" s="52">
        <f>IF(P1557="","",IF(J1557&lt;&gt;"",J1557,CuentaPred&amp;""))</f>
        <v/>
      </c>
      <c r="R1557" s="52">
        <f>IF(P1557="","",IF(ISNUMBER(I1557),I1557,TasaUSD))</f>
        <v/>
      </c>
      <c r="S1557" s="53">
        <f>IF(P1557="","",IF(H1557="USD",G1557*R1557,G1557))</f>
        <v/>
      </c>
      <c r="T1557" s="53">
        <f>IF(P1557="","",IF(H1557="USD",G1557,IF(R1557&gt;0,G1557/R1557,0)))</f>
        <v/>
      </c>
      <c r="U1557" s="53">
        <f>IF(P1557="","",IF(P1557="Gasto",S1557,IF(P1557="Reembolso",-S1557,0)))</f>
        <v/>
      </c>
      <c r="V1557" s="53">
        <f>IF(P1557="","",IF(P1557="Ingreso",S1557,0))</f>
        <v/>
      </c>
      <c r="W1557" s="53">
        <f>IF(P1557="","",IF(P1557="Resultado trading",S1557,0))</f>
        <v/>
      </c>
      <c r="X1557" s="52">
        <f>IF(OR(P1557="Gasto",P1557="Reembolso"),IF(M1557&lt;&gt;"",M1557,IFERROR(INDEX(catClasif,MATCH(D1557&amp;"|"&amp;E1557,catClave,0))&amp;"","Variable")),"")</f>
        <v/>
      </c>
      <c r="Y1557" s="52">
        <f>IF(P1557="","",IFERROR(INDEX(catGrupo,MATCH(D1557&amp;"|"&amp;E1557,catClave,0))&amp;"",""))</f>
        <v/>
      </c>
      <c r="Z1557" s="52">
        <f>IF(P1557="","",WEEKDAY(B1557,2))</f>
        <v/>
      </c>
      <c r="AA1557" s="52">
        <f>IF(P1557="","",IF(AND(P1557="Gasto",X1557="Variable",D1557&lt;&gt;catTrading,S1557&gt;0,S1557&lt;=Umbral),1,0))</f>
        <v/>
      </c>
      <c r="AB1557" s="52">
        <f>IF(OR(P1557="",Q1557=""),"",IFERROR(IF(INDEX(ctaVinc,MATCH(Q1557,ctaNombre,0))&amp;""&lt;&gt;"",INDEX(ctaVinc,MATCH(Q1557,ctaNombre,0))&amp;"",Q1557),Q1557))</f>
        <v/>
      </c>
      <c r="AC1557" s="52">
        <f>IF(OR(K1557="",AND(P1557&lt;&gt;"Transferencia",P1557&lt;&gt;"Pago tarjeta")),"",IFERROR(IF(INDEX(ctaVinc,MATCH(K1557,ctaNombre,0))&amp;""&lt;&gt;"",INDEX(ctaVinc,MATCH(K1557,ctaNombre,0))&amp;"",K1557),K1557))</f>
        <v/>
      </c>
      <c r="AD1557" s="52">
        <f>IF(AB1557="","",IFERROR(INDEX(ctaTipo,MATCH(AB1557,ctaNombre,0))&amp;"",""))</f>
        <v/>
      </c>
      <c r="AE1557" s="52">
        <f>IF(AC1557="","",IFERROR(INDEX(ctaTipo,MATCH(AC1557,ctaNombre,0))&amp;"",""))</f>
        <v/>
      </c>
      <c r="AF1557" s="53">
        <f>IF(OR(P1557="",AB1557=""),"",IF(OR(P1557="Gasto",P1557="Transferencia",P1557="Pago tarjeta"),-1,1)*IF(IFERROR(INDEX(ctaMoneda,MATCH(AB1557,ctaNombre,0))&amp;"","DOP")="USD",T1557,S1557))</f>
        <v/>
      </c>
      <c r="AG1557" s="53">
        <f>IF(AC1557="","",IF(IFERROR(INDEX(ctaMoneda,MATCH(AC1557,ctaNombre,0))&amp;"","DOP")="USD",T1557,S1557))</f>
        <v/>
      </c>
      <c r="AH1557" s="53">
        <f>IF(P1557="","",IF(AND(AD1557&lt;&gt;"",COUNTIFS(tcTipo,AD1557,tcLiq,"Sí")&gt;0),IF(OR(P1557="Gasto",P1557="Transferencia",P1557="Pago tarjeta"),-1,1)*S1557,0)+IF(AND(AE1557&lt;&gt;"",COUNTIFS(tcTipo,AE1557,tcLiq,"Sí")&gt;0),S1557,0))</f>
        <v/>
      </c>
      <c r="AI1557" s="52">
        <f>IF(OR(L1557="",P1557=""),"",IF(COUNTIFS(L$6:L1557,L1557,P$6:P1557,"?*")=1,MAX(AI$5:AI1556)+1,""))</f>
        <v/>
      </c>
    </row>
    <row r="1558">
      <c r="B1558" s="47" t="n"/>
      <c r="C1558" s="48" t="n"/>
      <c r="D1558" s="48" t="n"/>
      <c r="E1558" s="48" t="n"/>
      <c r="F1558" s="48" t="n"/>
      <c r="G1558" s="49" t="n"/>
      <c r="H1558" s="48" t="n"/>
      <c r="I1558" s="50" t="n"/>
      <c r="J1558" s="48" t="n"/>
      <c r="K1558" s="48" t="n"/>
      <c r="L1558" s="48" t="n"/>
      <c r="M1558" s="48" t="n"/>
      <c r="N1558" s="48" t="n"/>
      <c r="O1558" s="51">
        <f>IF(AND(B1558="",G1558="",C1558="",D1558="",J1558=""),"",IF(B1558="","⚠ Falta fecha",IF(G1558="","⚠ Falta monto",IF(Q1558="","⚠ Falta cuenta",IF(ISNA(MATCH(Q1558,ctaNombre,0)),"⚠ Cuenta no registrada",IF(AND(OR(P1558="Gasto",P1558="Reembolso"),D1558=""),"⚠ Falta categoría",IF(AND(D1558&lt;&gt;"",E1558&lt;&gt;"",ISNA(MATCH(D1558&amp;"|"&amp;E1558,catClave,0))),"⚠ Subcategoría no corresponde",IF(AND(OR(P1558="Transferencia",P1558="Pago tarjeta"),K1558=""),"⚠ Falta cuenta destino",IF(AND(K1558&lt;&gt;"",P1558&lt;&gt;"Transferencia",P1558&lt;&gt;"Pago tarjeta"),"⚠ Destino solo aplica a transferencias",IF(AND(K1558&lt;&gt;"",K1558=Q1558),"⚠ Origen igual a destino",IF(AND(K1558&lt;&gt;"",ISNA(MATCH(K1558,ctaNombre,0))),"⚠ Destino no registrado",IF(AND(P1558="Pago tarjeta",AE1558&lt;&gt;"Tarjeta de crédito"),"⚠ El destino debe ser tarjeta de crédito",IF(AND(P1558="Gasto",E1558="Depósitos y retiros"),"⚠ Usa tipo Transferencia",IF(AND(P1558="Resultado trading",AD1558&lt;&gt;"Cuenta de trading"),"⚠ Usa una cuenta de trading",IF(AND(G1558&lt;=0,P1558&lt;&gt;"Ajuste",P1558&lt;&gt;"Resultado trading"),"⚠ El monto debe ser positivo","✓")))))))))))))))</f>
        <v/>
      </c>
      <c r="P1558" s="52">
        <f>IF(OR(B1558="",G1558=""),"",IF(C1558="","Gasto",C1558))</f>
        <v/>
      </c>
      <c r="Q1558" s="52">
        <f>IF(P1558="","",IF(J1558&lt;&gt;"",J1558,CuentaPred&amp;""))</f>
        <v/>
      </c>
      <c r="R1558" s="52">
        <f>IF(P1558="","",IF(ISNUMBER(I1558),I1558,TasaUSD))</f>
        <v/>
      </c>
      <c r="S1558" s="53">
        <f>IF(P1558="","",IF(H1558="USD",G1558*R1558,G1558))</f>
        <v/>
      </c>
      <c r="T1558" s="53">
        <f>IF(P1558="","",IF(H1558="USD",G1558,IF(R1558&gt;0,G1558/R1558,0)))</f>
        <v/>
      </c>
      <c r="U1558" s="53">
        <f>IF(P1558="","",IF(P1558="Gasto",S1558,IF(P1558="Reembolso",-S1558,0)))</f>
        <v/>
      </c>
      <c r="V1558" s="53">
        <f>IF(P1558="","",IF(P1558="Ingreso",S1558,0))</f>
        <v/>
      </c>
      <c r="W1558" s="53">
        <f>IF(P1558="","",IF(P1558="Resultado trading",S1558,0))</f>
        <v/>
      </c>
      <c r="X1558" s="52">
        <f>IF(OR(P1558="Gasto",P1558="Reembolso"),IF(M1558&lt;&gt;"",M1558,IFERROR(INDEX(catClasif,MATCH(D1558&amp;"|"&amp;E1558,catClave,0))&amp;"","Variable")),"")</f>
        <v/>
      </c>
      <c r="Y1558" s="52">
        <f>IF(P1558="","",IFERROR(INDEX(catGrupo,MATCH(D1558&amp;"|"&amp;E1558,catClave,0))&amp;"",""))</f>
        <v/>
      </c>
      <c r="Z1558" s="52">
        <f>IF(P1558="","",WEEKDAY(B1558,2))</f>
        <v/>
      </c>
      <c r="AA1558" s="52">
        <f>IF(P1558="","",IF(AND(P1558="Gasto",X1558="Variable",D1558&lt;&gt;catTrading,S1558&gt;0,S1558&lt;=Umbral),1,0))</f>
        <v/>
      </c>
      <c r="AB1558" s="52">
        <f>IF(OR(P1558="",Q1558=""),"",IFERROR(IF(INDEX(ctaVinc,MATCH(Q1558,ctaNombre,0))&amp;""&lt;&gt;"",INDEX(ctaVinc,MATCH(Q1558,ctaNombre,0))&amp;"",Q1558),Q1558))</f>
        <v/>
      </c>
      <c r="AC1558" s="52">
        <f>IF(OR(K1558="",AND(P1558&lt;&gt;"Transferencia",P1558&lt;&gt;"Pago tarjeta")),"",IFERROR(IF(INDEX(ctaVinc,MATCH(K1558,ctaNombre,0))&amp;""&lt;&gt;"",INDEX(ctaVinc,MATCH(K1558,ctaNombre,0))&amp;"",K1558),K1558))</f>
        <v/>
      </c>
      <c r="AD1558" s="52">
        <f>IF(AB1558="","",IFERROR(INDEX(ctaTipo,MATCH(AB1558,ctaNombre,0))&amp;"",""))</f>
        <v/>
      </c>
      <c r="AE1558" s="52">
        <f>IF(AC1558="","",IFERROR(INDEX(ctaTipo,MATCH(AC1558,ctaNombre,0))&amp;"",""))</f>
        <v/>
      </c>
      <c r="AF1558" s="53">
        <f>IF(OR(P1558="",AB1558=""),"",IF(OR(P1558="Gasto",P1558="Transferencia",P1558="Pago tarjeta"),-1,1)*IF(IFERROR(INDEX(ctaMoneda,MATCH(AB1558,ctaNombre,0))&amp;"","DOP")="USD",T1558,S1558))</f>
        <v/>
      </c>
      <c r="AG1558" s="53">
        <f>IF(AC1558="","",IF(IFERROR(INDEX(ctaMoneda,MATCH(AC1558,ctaNombre,0))&amp;"","DOP")="USD",T1558,S1558))</f>
        <v/>
      </c>
      <c r="AH1558" s="53">
        <f>IF(P1558="","",IF(AND(AD1558&lt;&gt;"",COUNTIFS(tcTipo,AD1558,tcLiq,"Sí")&gt;0),IF(OR(P1558="Gasto",P1558="Transferencia",P1558="Pago tarjeta"),-1,1)*S1558,0)+IF(AND(AE1558&lt;&gt;"",COUNTIFS(tcTipo,AE1558,tcLiq,"Sí")&gt;0),S1558,0))</f>
        <v/>
      </c>
      <c r="AI1558" s="52">
        <f>IF(OR(L1558="",P1558=""),"",IF(COUNTIFS(L$6:L1558,L1558,P$6:P1558,"?*")=1,MAX(AI$5:AI1557)+1,""))</f>
        <v/>
      </c>
    </row>
    <row r="1559">
      <c r="B1559" s="47" t="n"/>
      <c r="C1559" s="48" t="n"/>
      <c r="D1559" s="48" t="n"/>
      <c r="E1559" s="48" t="n"/>
      <c r="F1559" s="48" t="n"/>
      <c r="G1559" s="49" t="n"/>
      <c r="H1559" s="48" t="n"/>
      <c r="I1559" s="50" t="n"/>
      <c r="J1559" s="48" t="n"/>
      <c r="K1559" s="48" t="n"/>
      <c r="L1559" s="48" t="n"/>
      <c r="M1559" s="48" t="n"/>
      <c r="N1559" s="48" t="n"/>
      <c r="O1559" s="51">
        <f>IF(AND(B1559="",G1559="",C1559="",D1559="",J1559=""),"",IF(B1559="","⚠ Falta fecha",IF(G1559="","⚠ Falta monto",IF(Q1559="","⚠ Falta cuenta",IF(ISNA(MATCH(Q1559,ctaNombre,0)),"⚠ Cuenta no registrada",IF(AND(OR(P1559="Gasto",P1559="Reembolso"),D1559=""),"⚠ Falta categoría",IF(AND(D1559&lt;&gt;"",E1559&lt;&gt;"",ISNA(MATCH(D1559&amp;"|"&amp;E1559,catClave,0))),"⚠ Subcategoría no corresponde",IF(AND(OR(P1559="Transferencia",P1559="Pago tarjeta"),K1559=""),"⚠ Falta cuenta destino",IF(AND(K1559&lt;&gt;"",P1559&lt;&gt;"Transferencia",P1559&lt;&gt;"Pago tarjeta"),"⚠ Destino solo aplica a transferencias",IF(AND(K1559&lt;&gt;"",K1559=Q1559),"⚠ Origen igual a destino",IF(AND(K1559&lt;&gt;"",ISNA(MATCH(K1559,ctaNombre,0))),"⚠ Destino no registrado",IF(AND(P1559="Pago tarjeta",AE1559&lt;&gt;"Tarjeta de crédito"),"⚠ El destino debe ser tarjeta de crédito",IF(AND(P1559="Gasto",E1559="Depósitos y retiros"),"⚠ Usa tipo Transferencia",IF(AND(P1559="Resultado trading",AD1559&lt;&gt;"Cuenta de trading"),"⚠ Usa una cuenta de trading",IF(AND(G1559&lt;=0,P1559&lt;&gt;"Ajuste",P1559&lt;&gt;"Resultado trading"),"⚠ El monto debe ser positivo","✓")))))))))))))))</f>
        <v/>
      </c>
      <c r="P1559" s="52">
        <f>IF(OR(B1559="",G1559=""),"",IF(C1559="","Gasto",C1559))</f>
        <v/>
      </c>
      <c r="Q1559" s="52">
        <f>IF(P1559="","",IF(J1559&lt;&gt;"",J1559,CuentaPred&amp;""))</f>
        <v/>
      </c>
      <c r="R1559" s="52">
        <f>IF(P1559="","",IF(ISNUMBER(I1559),I1559,TasaUSD))</f>
        <v/>
      </c>
      <c r="S1559" s="53">
        <f>IF(P1559="","",IF(H1559="USD",G1559*R1559,G1559))</f>
        <v/>
      </c>
      <c r="T1559" s="53">
        <f>IF(P1559="","",IF(H1559="USD",G1559,IF(R1559&gt;0,G1559/R1559,0)))</f>
        <v/>
      </c>
      <c r="U1559" s="53">
        <f>IF(P1559="","",IF(P1559="Gasto",S1559,IF(P1559="Reembolso",-S1559,0)))</f>
        <v/>
      </c>
      <c r="V1559" s="53">
        <f>IF(P1559="","",IF(P1559="Ingreso",S1559,0))</f>
        <v/>
      </c>
      <c r="W1559" s="53">
        <f>IF(P1559="","",IF(P1559="Resultado trading",S1559,0))</f>
        <v/>
      </c>
      <c r="X1559" s="52">
        <f>IF(OR(P1559="Gasto",P1559="Reembolso"),IF(M1559&lt;&gt;"",M1559,IFERROR(INDEX(catClasif,MATCH(D1559&amp;"|"&amp;E1559,catClave,0))&amp;"","Variable")),"")</f>
        <v/>
      </c>
      <c r="Y1559" s="52">
        <f>IF(P1559="","",IFERROR(INDEX(catGrupo,MATCH(D1559&amp;"|"&amp;E1559,catClave,0))&amp;"",""))</f>
        <v/>
      </c>
      <c r="Z1559" s="52">
        <f>IF(P1559="","",WEEKDAY(B1559,2))</f>
        <v/>
      </c>
      <c r="AA1559" s="52">
        <f>IF(P1559="","",IF(AND(P1559="Gasto",X1559="Variable",D1559&lt;&gt;catTrading,S1559&gt;0,S1559&lt;=Umbral),1,0))</f>
        <v/>
      </c>
      <c r="AB1559" s="52">
        <f>IF(OR(P1559="",Q1559=""),"",IFERROR(IF(INDEX(ctaVinc,MATCH(Q1559,ctaNombre,0))&amp;""&lt;&gt;"",INDEX(ctaVinc,MATCH(Q1559,ctaNombre,0))&amp;"",Q1559),Q1559))</f>
        <v/>
      </c>
      <c r="AC1559" s="52">
        <f>IF(OR(K1559="",AND(P1559&lt;&gt;"Transferencia",P1559&lt;&gt;"Pago tarjeta")),"",IFERROR(IF(INDEX(ctaVinc,MATCH(K1559,ctaNombre,0))&amp;""&lt;&gt;"",INDEX(ctaVinc,MATCH(K1559,ctaNombre,0))&amp;"",K1559),K1559))</f>
        <v/>
      </c>
      <c r="AD1559" s="52">
        <f>IF(AB1559="","",IFERROR(INDEX(ctaTipo,MATCH(AB1559,ctaNombre,0))&amp;"",""))</f>
        <v/>
      </c>
      <c r="AE1559" s="52">
        <f>IF(AC1559="","",IFERROR(INDEX(ctaTipo,MATCH(AC1559,ctaNombre,0))&amp;"",""))</f>
        <v/>
      </c>
      <c r="AF1559" s="53">
        <f>IF(OR(P1559="",AB1559=""),"",IF(OR(P1559="Gasto",P1559="Transferencia",P1559="Pago tarjeta"),-1,1)*IF(IFERROR(INDEX(ctaMoneda,MATCH(AB1559,ctaNombre,0))&amp;"","DOP")="USD",T1559,S1559))</f>
        <v/>
      </c>
      <c r="AG1559" s="53">
        <f>IF(AC1559="","",IF(IFERROR(INDEX(ctaMoneda,MATCH(AC1559,ctaNombre,0))&amp;"","DOP")="USD",T1559,S1559))</f>
        <v/>
      </c>
      <c r="AH1559" s="53">
        <f>IF(P1559="","",IF(AND(AD1559&lt;&gt;"",COUNTIFS(tcTipo,AD1559,tcLiq,"Sí")&gt;0),IF(OR(P1559="Gasto",P1559="Transferencia",P1559="Pago tarjeta"),-1,1)*S1559,0)+IF(AND(AE1559&lt;&gt;"",COUNTIFS(tcTipo,AE1559,tcLiq,"Sí")&gt;0),S1559,0))</f>
        <v/>
      </c>
      <c r="AI1559" s="52">
        <f>IF(OR(L1559="",P1559=""),"",IF(COUNTIFS(L$6:L1559,L1559,P$6:P1559,"?*")=1,MAX(AI$5:AI1558)+1,""))</f>
        <v/>
      </c>
    </row>
    <row r="1560">
      <c r="B1560" s="47" t="n"/>
      <c r="C1560" s="48" t="n"/>
      <c r="D1560" s="48" t="n"/>
      <c r="E1560" s="48" t="n"/>
      <c r="F1560" s="48" t="n"/>
      <c r="G1560" s="49" t="n"/>
      <c r="H1560" s="48" t="n"/>
      <c r="I1560" s="50" t="n"/>
      <c r="J1560" s="48" t="n"/>
      <c r="K1560" s="48" t="n"/>
      <c r="L1560" s="48" t="n"/>
      <c r="M1560" s="48" t="n"/>
      <c r="N1560" s="48" t="n"/>
      <c r="O1560" s="51">
        <f>IF(AND(B1560="",G1560="",C1560="",D1560="",J1560=""),"",IF(B1560="","⚠ Falta fecha",IF(G1560="","⚠ Falta monto",IF(Q1560="","⚠ Falta cuenta",IF(ISNA(MATCH(Q1560,ctaNombre,0)),"⚠ Cuenta no registrada",IF(AND(OR(P1560="Gasto",P1560="Reembolso"),D1560=""),"⚠ Falta categoría",IF(AND(D1560&lt;&gt;"",E1560&lt;&gt;"",ISNA(MATCH(D1560&amp;"|"&amp;E1560,catClave,0))),"⚠ Subcategoría no corresponde",IF(AND(OR(P1560="Transferencia",P1560="Pago tarjeta"),K1560=""),"⚠ Falta cuenta destino",IF(AND(K1560&lt;&gt;"",P1560&lt;&gt;"Transferencia",P1560&lt;&gt;"Pago tarjeta"),"⚠ Destino solo aplica a transferencias",IF(AND(K1560&lt;&gt;"",K1560=Q1560),"⚠ Origen igual a destino",IF(AND(K1560&lt;&gt;"",ISNA(MATCH(K1560,ctaNombre,0))),"⚠ Destino no registrado",IF(AND(P1560="Pago tarjeta",AE1560&lt;&gt;"Tarjeta de crédito"),"⚠ El destino debe ser tarjeta de crédito",IF(AND(P1560="Gasto",E1560="Depósitos y retiros"),"⚠ Usa tipo Transferencia",IF(AND(P1560="Resultado trading",AD1560&lt;&gt;"Cuenta de trading"),"⚠ Usa una cuenta de trading",IF(AND(G1560&lt;=0,P1560&lt;&gt;"Ajuste",P1560&lt;&gt;"Resultado trading"),"⚠ El monto debe ser positivo","✓")))))))))))))))</f>
        <v/>
      </c>
      <c r="P1560" s="52">
        <f>IF(OR(B1560="",G1560=""),"",IF(C1560="","Gasto",C1560))</f>
        <v/>
      </c>
      <c r="Q1560" s="52">
        <f>IF(P1560="","",IF(J1560&lt;&gt;"",J1560,CuentaPred&amp;""))</f>
        <v/>
      </c>
      <c r="R1560" s="52">
        <f>IF(P1560="","",IF(ISNUMBER(I1560),I1560,TasaUSD))</f>
        <v/>
      </c>
      <c r="S1560" s="53">
        <f>IF(P1560="","",IF(H1560="USD",G1560*R1560,G1560))</f>
        <v/>
      </c>
      <c r="T1560" s="53">
        <f>IF(P1560="","",IF(H1560="USD",G1560,IF(R1560&gt;0,G1560/R1560,0)))</f>
        <v/>
      </c>
      <c r="U1560" s="53">
        <f>IF(P1560="","",IF(P1560="Gasto",S1560,IF(P1560="Reembolso",-S1560,0)))</f>
        <v/>
      </c>
      <c r="V1560" s="53">
        <f>IF(P1560="","",IF(P1560="Ingreso",S1560,0))</f>
        <v/>
      </c>
      <c r="W1560" s="53">
        <f>IF(P1560="","",IF(P1560="Resultado trading",S1560,0))</f>
        <v/>
      </c>
      <c r="X1560" s="52">
        <f>IF(OR(P1560="Gasto",P1560="Reembolso"),IF(M1560&lt;&gt;"",M1560,IFERROR(INDEX(catClasif,MATCH(D1560&amp;"|"&amp;E1560,catClave,0))&amp;"","Variable")),"")</f>
        <v/>
      </c>
      <c r="Y1560" s="52">
        <f>IF(P1560="","",IFERROR(INDEX(catGrupo,MATCH(D1560&amp;"|"&amp;E1560,catClave,0))&amp;"",""))</f>
        <v/>
      </c>
      <c r="Z1560" s="52">
        <f>IF(P1560="","",WEEKDAY(B1560,2))</f>
        <v/>
      </c>
      <c r="AA1560" s="52">
        <f>IF(P1560="","",IF(AND(P1560="Gasto",X1560="Variable",D1560&lt;&gt;catTrading,S1560&gt;0,S1560&lt;=Umbral),1,0))</f>
        <v/>
      </c>
      <c r="AB1560" s="52">
        <f>IF(OR(P1560="",Q1560=""),"",IFERROR(IF(INDEX(ctaVinc,MATCH(Q1560,ctaNombre,0))&amp;""&lt;&gt;"",INDEX(ctaVinc,MATCH(Q1560,ctaNombre,0))&amp;"",Q1560),Q1560))</f>
        <v/>
      </c>
      <c r="AC1560" s="52">
        <f>IF(OR(K1560="",AND(P1560&lt;&gt;"Transferencia",P1560&lt;&gt;"Pago tarjeta")),"",IFERROR(IF(INDEX(ctaVinc,MATCH(K1560,ctaNombre,0))&amp;""&lt;&gt;"",INDEX(ctaVinc,MATCH(K1560,ctaNombre,0))&amp;"",K1560),K1560))</f>
        <v/>
      </c>
      <c r="AD1560" s="52">
        <f>IF(AB1560="","",IFERROR(INDEX(ctaTipo,MATCH(AB1560,ctaNombre,0))&amp;"",""))</f>
        <v/>
      </c>
      <c r="AE1560" s="52">
        <f>IF(AC1560="","",IFERROR(INDEX(ctaTipo,MATCH(AC1560,ctaNombre,0))&amp;"",""))</f>
        <v/>
      </c>
      <c r="AF1560" s="53">
        <f>IF(OR(P1560="",AB1560=""),"",IF(OR(P1560="Gasto",P1560="Transferencia",P1560="Pago tarjeta"),-1,1)*IF(IFERROR(INDEX(ctaMoneda,MATCH(AB1560,ctaNombre,0))&amp;"","DOP")="USD",T1560,S1560))</f>
        <v/>
      </c>
      <c r="AG1560" s="53">
        <f>IF(AC1560="","",IF(IFERROR(INDEX(ctaMoneda,MATCH(AC1560,ctaNombre,0))&amp;"","DOP")="USD",T1560,S1560))</f>
        <v/>
      </c>
      <c r="AH1560" s="53">
        <f>IF(P1560="","",IF(AND(AD1560&lt;&gt;"",COUNTIFS(tcTipo,AD1560,tcLiq,"Sí")&gt;0),IF(OR(P1560="Gasto",P1560="Transferencia",P1560="Pago tarjeta"),-1,1)*S1560,0)+IF(AND(AE1560&lt;&gt;"",COUNTIFS(tcTipo,AE1560,tcLiq,"Sí")&gt;0),S1560,0))</f>
        <v/>
      </c>
      <c r="AI1560" s="52">
        <f>IF(OR(L1560="",P1560=""),"",IF(COUNTIFS(L$6:L1560,L1560,P$6:P1560,"?*")=1,MAX(AI$5:AI1559)+1,""))</f>
        <v/>
      </c>
    </row>
    <row r="1561">
      <c r="B1561" s="47" t="n"/>
      <c r="C1561" s="48" t="n"/>
      <c r="D1561" s="48" t="n"/>
      <c r="E1561" s="48" t="n"/>
      <c r="F1561" s="48" t="n"/>
      <c r="G1561" s="49" t="n"/>
      <c r="H1561" s="48" t="n"/>
      <c r="I1561" s="50" t="n"/>
      <c r="J1561" s="48" t="n"/>
      <c r="K1561" s="48" t="n"/>
      <c r="L1561" s="48" t="n"/>
      <c r="M1561" s="48" t="n"/>
      <c r="N1561" s="48" t="n"/>
      <c r="O1561" s="51">
        <f>IF(AND(B1561="",G1561="",C1561="",D1561="",J1561=""),"",IF(B1561="","⚠ Falta fecha",IF(G1561="","⚠ Falta monto",IF(Q1561="","⚠ Falta cuenta",IF(ISNA(MATCH(Q1561,ctaNombre,0)),"⚠ Cuenta no registrada",IF(AND(OR(P1561="Gasto",P1561="Reembolso"),D1561=""),"⚠ Falta categoría",IF(AND(D1561&lt;&gt;"",E1561&lt;&gt;"",ISNA(MATCH(D1561&amp;"|"&amp;E1561,catClave,0))),"⚠ Subcategoría no corresponde",IF(AND(OR(P1561="Transferencia",P1561="Pago tarjeta"),K1561=""),"⚠ Falta cuenta destino",IF(AND(K1561&lt;&gt;"",P1561&lt;&gt;"Transferencia",P1561&lt;&gt;"Pago tarjeta"),"⚠ Destino solo aplica a transferencias",IF(AND(K1561&lt;&gt;"",K1561=Q1561),"⚠ Origen igual a destino",IF(AND(K1561&lt;&gt;"",ISNA(MATCH(K1561,ctaNombre,0))),"⚠ Destino no registrado",IF(AND(P1561="Pago tarjeta",AE1561&lt;&gt;"Tarjeta de crédito"),"⚠ El destino debe ser tarjeta de crédito",IF(AND(P1561="Gasto",E1561="Depósitos y retiros"),"⚠ Usa tipo Transferencia",IF(AND(P1561="Resultado trading",AD1561&lt;&gt;"Cuenta de trading"),"⚠ Usa una cuenta de trading",IF(AND(G1561&lt;=0,P1561&lt;&gt;"Ajuste",P1561&lt;&gt;"Resultado trading"),"⚠ El monto debe ser positivo","✓")))))))))))))))</f>
        <v/>
      </c>
      <c r="P1561" s="52">
        <f>IF(OR(B1561="",G1561=""),"",IF(C1561="","Gasto",C1561))</f>
        <v/>
      </c>
      <c r="Q1561" s="52">
        <f>IF(P1561="","",IF(J1561&lt;&gt;"",J1561,CuentaPred&amp;""))</f>
        <v/>
      </c>
      <c r="R1561" s="52">
        <f>IF(P1561="","",IF(ISNUMBER(I1561),I1561,TasaUSD))</f>
        <v/>
      </c>
      <c r="S1561" s="53">
        <f>IF(P1561="","",IF(H1561="USD",G1561*R1561,G1561))</f>
        <v/>
      </c>
      <c r="T1561" s="53">
        <f>IF(P1561="","",IF(H1561="USD",G1561,IF(R1561&gt;0,G1561/R1561,0)))</f>
        <v/>
      </c>
      <c r="U1561" s="53">
        <f>IF(P1561="","",IF(P1561="Gasto",S1561,IF(P1561="Reembolso",-S1561,0)))</f>
        <v/>
      </c>
      <c r="V1561" s="53">
        <f>IF(P1561="","",IF(P1561="Ingreso",S1561,0))</f>
        <v/>
      </c>
      <c r="W1561" s="53">
        <f>IF(P1561="","",IF(P1561="Resultado trading",S1561,0))</f>
        <v/>
      </c>
      <c r="X1561" s="52">
        <f>IF(OR(P1561="Gasto",P1561="Reembolso"),IF(M1561&lt;&gt;"",M1561,IFERROR(INDEX(catClasif,MATCH(D1561&amp;"|"&amp;E1561,catClave,0))&amp;"","Variable")),"")</f>
        <v/>
      </c>
      <c r="Y1561" s="52">
        <f>IF(P1561="","",IFERROR(INDEX(catGrupo,MATCH(D1561&amp;"|"&amp;E1561,catClave,0))&amp;"",""))</f>
        <v/>
      </c>
      <c r="Z1561" s="52">
        <f>IF(P1561="","",WEEKDAY(B1561,2))</f>
        <v/>
      </c>
      <c r="AA1561" s="52">
        <f>IF(P1561="","",IF(AND(P1561="Gasto",X1561="Variable",D1561&lt;&gt;catTrading,S1561&gt;0,S1561&lt;=Umbral),1,0))</f>
        <v/>
      </c>
      <c r="AB1561" s="52">
        <f>IF(OR(P1561="",Q1561=""),"",IFERROR(IF(INDEX(ctaVinc,MATCH(Q1561,ctaNombre,0))&amp;""&lt;&gt;"",INDEX(ctaVinc,MATCH(Q1561,ctaNombre,0))&amp;"",Q1561),Q1561))</f>
        <v/>
      </c>
      <c r="AC1561" s="52">
        <f>IF(OR(K1561="",AND(P1561&lt;&gt;"Transferencia",P1561&lt;&gt;"Pago tarjeta")),"",IFERROR(IF(INDEX(ctaVinc,MATCH(K1561,ctaNombre,0))&amp;""&lt;&gt;"",INDEX(ctaVinc,MATCH(K1561,ctaNombre,0))&amp;"",K1561),K1561))</f>
        <v/>
      </c>
      <c r="AD1561" s="52">
        <f>IF(AB1561="","",IFERROR(INDEX(ctaTipo,MATCH(AB1561,ctaNombre,0))&amp;"",""))</f>
        <v/>
      </c>
      <c r="AE1561" s="52">
        <f>IF(AC1561="","",IFERROR(INDEX(ctaTipo,MATCH(AC1561,ctaNombre,0))&amp;"",""))</f>
        <v/>
      </c>
      <c r="AF1561" s="53">
        <f>IF(OR(P1561="",AB1561=""),"",IF(OR(P1561="Gasto",P1561="Transferencia",P1561="Pago tarjeta"),-1,1)*IF(IFERROR(INDEX(ctaMoneda,MATCH(AB1561,ctaNombre,0))&amp;"","DOP")="USD",T1561,S1561))</f>
        <v/>
      </c>
      <c r="AG1561" s="53">
        <f>IF(AC1561="","",IF(IFERROR(INDEX(ctaMoneda,MATCH(AC1561,ctaNombre,0))&amp;"","DOP")="USD",T1561,S1561))</f>
        <v/>
      </c>
      <c r="AH1561" s="53">
        <f>IF(P1561="","",IF(AND(AD1561&lt;&gt;"",COUNTIFS(tcTipo,AD1561,tcLiq,"Sí")&gt;0),IF(OR(P1561="Gasto",P1561="Transferencia",P1561="Pago tarjeta"),-1,1)*S1561,0)+IF(AND(AE1561&lt;&gt;"",COUNTIFS(tcTipo,AE1561,tcLiq,"Sí")&gt;0),S1561,0))</f>
        <v/>
      </c>
      <c r="AI1561" s="52">
        <f>IF(OR(L1561="",P1561=""),"",IF(COUNTIFS(L$6:L1561,L1561,P$6:P1561,"?*")=1,MAX(AI$5:AI1560)+1,""))</f>
        <v/>
      </c>
    </row>
    <row r="1562">
      <c r="B1562" s="47" t="n"/>
      <c r="C1562" s="48" t="n"/>
      <c r="D1562" s="48" t="n"/>
      <c r="E1562" s="48" t="n"/>
      <c r="F1562" s="48" t="n"/>
      <c r="G1562" s="49" t="n"/>
      <c r="H1562" s="48" t="n"/>
      <c r="I1562" s="50" t="n"/>
      <c r="J1562" s="48" t="n"/>
      <c r="K1562" s="48" t="n"/>
      <c r="L1562" s="48" t="n"/>
      <c r="M1562" s="48" t="n"/>
      <c r="N1562" s="48" t="n"/>
      <c r="O1562" s="51">
        <f>IF(AND(B1562="",G1562="",C1562="",D1562="",J1562=""),"",IF(B1562="","⚠ Falta fecha",IF(G1562="","⚠ Falta monto",IF(Q1562="","⚠ Falta cuenta",IF(ISNA(MATCH(Q1562,ctaNombre,0)),"⚠ Cuenta no registrada",IF(AND(OR(P1562="Gasto",P1562="Reembolso"),D1562=""),"⚠ Falta categoría",IF(AND(D1562&lt;&gt;"",E1562&lt;&gt;"",ISNA(MATCH(D1562&amp;"|"&amp;E1562,catClave,0))),"⚠ Subcategoría no corresponde",IF(AND(OR(P1562="Transferencia",P1562="Pago tarjeta"),K1562=""),"⚠ Falta cuenta destino",IF(AND(K1562&lt;&gt;"",P1562&lt;&gt;"Transferencia",P1562&lt;&gt;"Pago tarjeta"),"⚠ Destino solo aplica a transferencias",IF(AND(K1562&lt;&gt;"",K1562=Q1562),"⚠ Origen igual a destino",IF(AND(K1562&lt;&gt;"",ISNA(MATCH(K1562,ctaNombre,0))),"⚠ Destino no registrado",IF(AND(P1562="Pago tarjeta",AE1562&lt;&gt;"Tarjeta de crédito"),"⚠ El destino debe ser tarjeta de crédito",IF(AND(P1562="Gasto",E1562="Depósitos y retiros"),"⚠ Usa tipo Transferencia",IF(AND(P1562="Resultado trading",AD1562&lt;&gt;"Cuenta de trading"),"⚠ Usa una cuenta de trading",IF(AND(G1562&lt;=0,P1562&lt;&gt;"Ajuste",P1562&lt;&gt;"Resultado trading"),"⚠ El monto debe ser positivo","✓")))))))))))))))</f>
        <v/>
      </c>
      <c r="P1562" s="52">
        <f>IF(OR(B1562="",G1562=""),"",IF(C1562="","Gasto",C1562))</f>
        <v/>
      </c>
      <c r="Q1562" s="52">
        <f>IF(P1562="","",IF(J1562&lt;&gt;"",J1562,CuentaPred&amp;""))</f>
        <v/>
      </c>
      <c r="R1562" s="52">
        <f>IF(P1562="","",IF(ISNUMBER(I1562),I1562,TasaUSD))</f>
        <v/>
      </c>
      <c r="S1562" s="53">
        <f>IF(P1562="","",IF(H1562="USD",G1562*R1562,G1562))</f>
        <v/>
      </c>
      <c r="T1562" s="53">
        <f>IF(P1562="","",IF(H1562="USD",G1562,IF(R1562&gt;0,G1562/R1562,0)))</f>
        <v/>
      </c>
      <c r="U1562" s="53">
        <f>IF(P1562="","",IF(P1562="Gasto",S1562,IF(P1562="Reembolso",-S1562,0)))</f>
        <v/>
      </c>
      <c r="V1562" s="53">
        <f>IF(P1562="","",IF(P1562="Ingreso",S1562,0))</f>
        <v/>
      </c>
      <c r="W1562" s="53">
        <f>IF(P1562="","",IF(P1562="Resultado trading",S1562,0))</f>
        <v/>
      </c>
      <c r="X1562" s="52">
        <f>IF(OR(P1562="Gasto",P1562="Reembolso"),IF(M1562&lt;&gt;"",M1562,IFERROR(INDEX(catClasif,MATCH(D1562&amp;"|"&amp;E1562,catClave,0))&amp;"","Variable")),"")</f>
        <v/>
      </c>
      <c r="Y1562" s="52">
        <f>IF(P1562="","",IFERROR(INDEX(catGrupo,MATCH(D1562&amp;"|"&amp;E1562,catClave,0))&amp;"",""))</f>
        <v/>
      </c>
      <c r="Z1562" s="52">
        <f>IF(P1562="","",WEEKDAY(B1562,2))</f>
        <v/>
      </c>
      <c r="AA1562" s="52">
        <f>IF(P1562="","",IF(AND(P1562="Gasto",X1562="Variable",D1562&lt;&gt;catTrading,S1562&gt;0,S1562&lt;=Umbral),1,0))</f>
        <v/>
      </c>
      <c r="AB1562" s="52">
        <f>IF(OR(P1562="",Q1562=""),"",IFERROR(IF(INDEX(ctaVinc,MATCH(Q1562,ctaNombre,0))&amp;""&lt;&gt;"",INDEX(ctaVinc,MATCH(Q1562,ctaNombre,0))&amp;"",Q1562),Q1562))</f>
        <v/>
      </c>
      <c r="AC1562" s="52">
        <f>IF(OR(K1562="",AND(P1562&lt;&gt;"Transferencia",P1562&lt;&gt;"Pago tarjeta")),"",IFERROR(IF(INDEX(ctaVinc,MATCH(K1562,ctaNombre,0))&amp;""&lt;&gt;"",INDEX(ctaVinc,MATCH(K1562,ctaNombre,0))&amp;"",K1562),K1562))</f>
        <v/>
      </c>
      <c r="AD1562" s="52">
        <f>IF(AB1562="","",IFERROR(INDEX(ctaTipo,MATCH(AB1562,ctaNombre,0))&amp;"",""))</f>
        <v/>
      </c>
      <c r="AE1562" s="52">
        <f>IF(AC1562="","",IFERROR(INDEX(ctaTipo,MATCH(AC1562,ctaNombre,0))&amp;"",""))</f>
        <v/>
      </c>
      <c r="AF1562" s="53">
        <f>IF(OR(P1562="",AB1562=""),"",IF(OR(P1562="Gasto",P1562="Transferencia",P1562="Pago tarjeta"),-1,1)*IF(IFERROR(INDEX(ctaMoneda,MATCH(AB1562,ctaNombre,0))&amp;"","DOP")="USD",T1562,S1562))</f>
        <v/>
      </c>
      <c r="AG1562" s="53">
        <f>IF(AC1562="","",IF(IFERROR(INDEX(ctaMoneda,MATCH(AC1562,ctaNombre,0))&amp;"","DOP")="USD",T1562,S1562))</f>
        <v/>
      </c>
      <c r="AH1562" s="53">
        <f>IF(P1562="","",IF(AND(AD1562&lt;&gt;"",COUNTIFS(tcTipo,AD1562,tcLiq,"Sí")&gt;0),IF(OR(P1562="Gasto",P1562="Transferencia",P1562="Pago tarjeta"),-1,1)*S1562,0)+IF(AND(AE1562&lt;&gt;"",COUNTIFS(tcTipo,AE1562,tcLiq,"Sí")&gt;0),S1562,0))</f>
        <v/>
      </c>
      <c r="AI1562" s="52">
        <f>IF(OR(L1562="",P1562=""),"",IF(COUNTIFS(L$6:L1562,L1562,P$6:P1562,"?*")=1,MAX(AI$5:AI1561)+1,""))</f>
        <v/>
      </c>
    </row>
    <row r="1563">
      <c r="B1563" s="47" t="n"/>
      <c r="C1563" s="48" t="n"/>
      <c r="D1563" s="48" t="n"/>
      <c r="E1563" s="48" t="n"/>
      <c r="F1563" s="48" t="n"/>
      <c r="G1563" s="49" t="n"/>
      <c r="H1563" s="48" t="n"/>
      <c r="I1563" s="50" t="n"/>
      <c r="J1563" s="48" t="n"/>
      <c r="K1563" s="48" t="n"/>
      <c r="L1563" s="48" t="n"/>
      <c r="M1563" s="48" t="n"/>
      <c r="N1563" s="48" t="n"/>
      <c r="O1563" s="51">
        <f>IF(AND(B1563="",G1563="",C1563="",D1563="",J1563=""),"",IF(B1563="","⚠ Falta fecha",IF(G1563="","⚠ Falta monto",IF(Q1563="","⚠ Falta cuenta",IF(ISNA(MATCH(Q1563,ctaNombre,0)),"⚠ Cuenta no registrada",IF(AND(OR(P1563="Gasto",P1563="Reembolso"),D1563=""),"⚠ Falta categoría",IF(AND(D1563&lt;&gt;"",E1563&lt;&gt;"",ISNA(MATCH(D1563&amp;"|"&amp;E1563,catClave,0))),"⚠ Subcategoría no corresponde",IF(AND(OR(P1563="Transferencia",P1563="Pago tarjeta"),K1563=""),"⚠ Falta cuenta destino",IF(AND(K1563&lt;&gt;"",P1563&lt;&gt;"Transferencia",P1563&lt;&gt;"Pago tarjeta"),"⚠ Destino solo aplica a transferencias",IF(AND(K1563&lt;&gt;"",K1563=Q1563),"⚠ Origen igual a destino",IF(AND(K1563&lt;&gt;"",ISNA(MATCH(K1563,ctaNombre,0))),"⚠ Destino no registrado",IF(AND(P1563="Pago tarjeta",AE1563&lt;&gt;"Tarjeta de crédito"),"⚠ El destino debe ser tarjeta de crédito",IF(AND(P1563="Gasto",E1563="Depósitos y retiros"),"⚠ Usa tipo Transferencia",IF(AND(P1563="Resultado trading",AD1563&lt;&gt;"Cuenta de trading"),"⚠ Usa una cuenta de trading",IF(AND(G1563&lt;=0,P1563&lt;&gt;"Ajuste",P1563&lt;&gt;"Resultado trading"),"⚠ El monto debe ser positivo","✓")))))))))))))))</f>
        <v/>
      </c>
      <c r="P1563" s="52">
        <f>IF(OR(B1563="",G1563=""),"",IF(C1563="","Gasto",C1563))</f>
        <v/>
      </c>
      <c r="Q1563" s="52">
        <f>IF(P1563="","",IF(J1563&lt;&gt;"",J1563,CuentaPred&amp;""))</f>
        <v/>
      </c>
      <c r="R1563" s="52">
        <f>IF(P1563="","",IF(ISNUMBER(I1563),I1563,TasaUSD))</f>
        <v/>
      </c>
      <c r="S1563" s="53">
        <f>IF(P1563="","",IF(H1563="USD",G1563*R1563,G1563))</f>
        <v/>
      </c>
      <c r="T1563" s="53">
        <f>IF(P1563="","",IF(H1563="USD",G1563,IF(R1563&gt;0,G1563/R1563,0)))</f>
        <v/>
      </c>
      <c r="U1563" s="53">
        <f>IF(P1563="","",IF(P1563="Gasto",S1563,IF(P1563="Reembolso",-S1563,0)))</f>
        <v/>
      </c>
      <c r="V1563" s="53">
        <f>IF(P1563="","",IF(P1563="Ingreso",S1563,0))</f>
        <v/>
      </c>
      <c r="W1563" s="53">
        <f>IF(P1563="","",IF(P1563="Resultado trading",S1563,0))</f>
        <v/>
      </c>
      <c r="X1563" s="52">
        <f>IF(OR(P1563="Gasto",P1563="Reembolso"),IF(M1563&lt;&gt;"",M1563,IFERROR(INDEX(catClasif,MATCH(D1563&amp;"|"&amp;E1563,catClave,0))&amp;"","Variable")),"")</f>
        <v/>
      </c>
      <c r="Y1563" s="52">
        <f>IF(P1563="","",IFERROR(INDEX(catGrupo,MATCH(D1563&amp;"|"&amp;E1563,catClave,0))&amp;"",""))</f>
        <v/>
      </c>
      <c r="Z1563" s="52">
        <f>IF(P1563="","",WEEKDAY(B1563,2))</f>
        <v/>
      </c>
      <c r="AA1563" s="52">
        <f>IF(P1563="","",IF(AND(P1563="Gasto",X1563="Variable",D1563&lt;&gt;catTrading,S1563&gt;0,S1563&lt;=Umbral),1,0))</f>
        <v/>
      </c>
      <c r="AB1563" s="52">
        <f>IF(OR(P1563="",Q1563=""),"",IFERROR(IF(INDEX(ctaVinc,MATCH(Q1563,ctaNombre,0))&amp;""&lt;&gt;"",INDEX(ctaVinc,MATCH(Q1563,ctaNombre,0))&amp;"",Q1563),Q1563))</f>
        <v/>
      </c>
      <c r="AC1563" s="52">
        <f>IF(OR(K1563="",AND(P1563&lt;&gt;"Transferencia",P1563&lt;&gt;"Pago tarjeta")),"",IFERROR(IF(INDEX(ctaVinc,MATCH(K1563,ctaNombre,0))&amp;""&lt;&gt;"",INDEX(ctaVinc,MATCH(K1563,ctaNombre,0))&amp;"",K1563),K1563))</f>
        <v/>
      </c>
      <c r="AD1563" s="52">
        <f>IF(AB1563="","",IFERROR(INDEX(ctaTipo,MATCH(AB1563,ctaNombre,0))&amp;"",""))</f>
        <v/>
      </c>
      <c r="AE1563" s="52">
        <f>IF(AC1563="","",IFERROR(INDEX(ctaTipo,MATCH(AC1563,ctaNombre,0))&amp;"",""))</f>
        <v/>
      </c>
      <c r="AF1563" s="53">
        <f>IF(OR(P1563="",AB1563=""),"",IF(OR(P1563="Gasto",P1563="Transferencia",P1563="Pago tarjeta"),-1,1)*IF(IFERROR(INDEX(ctaMoneda,MATCH(AB1563,ctaNombre,0))&amp;"","DOP")="USD",T1563,S1563))</f>
        <v/>
      </c>
      <c r="AG1563" s="53">
        <f>IF(AC1563="","",IF(IFERROR(INDEX(ctaMoneda,MATCH(AC1563,ctaNombre,0))&amp;"","DOP")="USD",T1563,S1563))</f>
        <v/>
      </c>
      <c r="AH1563" s="53">
        <f>IF(P1563="","",IF(AND(AD1563&lt;&gt;"",COUNTIFS(tcTipo,AD1563,tcLiq,"Sí")&gt;0),IF(OR(P1563="Gasto",P1563="Transferencia",P1563="Pago tarjeta"),-1,1)*S1563,0)+IF(AND(AE1563&lt;&gt;"",COUNTIFS(tcTipo,AE1563,tcLiq,"Sí")&gt;0),S1563,0))</f>
        <v/>
      </c>
      <c r="AI1563" s="52">
        <f>IF(OR(L1563="",P1563=""),"",IF(COUNTIFS(L$6:L1563,L1563,P$6:P1563,"?*")=1,MAX(AI$5:AI1562)+1,""))</f>
        <v/>
      </c>
    </row>
    <row r="1564">
      <c r="B1564" s="47" t="n"/>
      <c r="C1564" s="48" t="n"/>
      <c r="D1564" s="48" t="n"/>
      <c r="E1564" s="48" t="n"/>
      <c r="F1564" s="48" t="n"/>
      <c r="G1564" s="49" t="n"/>
      <c r="H1564" s="48" t="n"/>
      <c r="I1564" s="50" t="n"/>
      <c r="J1564" s="48" t="n"/>
      <c r="K1564" s="48" t="n"/>
      <c r="L1564" s="48" t="n"/>
      <c r="M1564" s="48" t="n"/>
      <c r="N1564" s="48" t="n"/>
      <c r="O1564" s="51">
        <f>IF(AND(B1564="",G1564="",C1564="",D1564="",J1564=""),"",IF(B1564="","⚠ Falta fecha",IF(G1564="","⚠ Falta monto",IF(Q1564="","⚠ Falta cuenta",IF(ISNA(MATCH(Q1564,ctaNombre,0)),"⚠ Cuenta no registrada",IF(AND(OR(P1564="Gasto",P1564="Reembolso"),D1564=""),"⚠ Falta categoría",IF(AND(D1564&lt;&gt;"",E1564&lt;&gt;"",ISNA(MATCH(D1564&amp;"|"&amp;E1564,catClave,0))),"⚠ Subcategoría no corresponde",IF(AND(OR(P1564="Transferencia",P1564="Pago tarjeta"),K1564=""),"⚠ Falta cuenta destino",IF(AND(K1564&lt;&gt;"",P1564&lt;&gt;"Transferencia",P1564&lt;&gt;"Pago tarjeta"),"⚠ Destino solo aplica a transferencias",IF(AND(K1564&lt;&gt;"",K1564=Q1564),"⚠ Origen igual a destino",IF(AND(K1564&lt;&gt;"",ISNA(MATCH(K1564,ctaNombre,0))),"⚠ Destino no registrado",IF(AND(P1564="Pago tarjeta",AE1564&lt;&gt;"Tarjeta de crédito"),"⚠ El destino debe ser tarjeta de crédito",IF(AND(P1564="Gasto",E1564="Depósitos y retiros"),"⚠ Usa tipo Transferencia",IF(AND(P1564="Resultado trading",AD1564&lt;&gt;"Cuenta de trading"),"⚠ Usa una cuenta de trading",IF(AND(G1564&lt;=0,P1564&lt;&gt;"Ajuste",P1564&lt;&gt;"Resultado trading"),"⚠ El monto debe ser positivo","✓")))))))))))))))</f>
        <v/>
      </c>
      <c r="P1564" s="52">
        <f>IF(OR(B1564="",G1564=""),"",IF(C1564="","Gasto",C1564))</f>
        <v/>
      </c>
      <c r="Q1564" s="52">
        <f>IF(P1564="","",IF(J1564&lt;&gt;"",J1564,CuentaPred&amp;""))</f>
        <v/>
      </c>
      <c r="R1564" s="52">
        <f>IF(P1564="","",IF(ISNUMBER(I1564),I1564,TasaUSD))</f>
        <v/>
      </c>
      <c r="S1564" s="53">
        <f>IF(P1564="","",IF(H1564="USD",G1564*R1564,G1564))</f>
        <v/>
      </c>
      <c r="T1564" s="53">
        <f>IF(P1564="","",IF(H1564="USD",G1564,IF(R1564&gt;0,G1564/R1564,0)))</f>
        <v/>
      </c>
      <c r="U1564" s="53">
        <f>IF(P1564="","",IF(P1564="Gasto",S1564,IF(P1564="Reembolso",-S1564,0)))</f>
        <v/>
      </c>
      <c r="V1564" s="53">
        <f>IF(P1564="","",IF(P1564="Ingreso",S1564,0))</f>
        <v/>
      </c>
      <c r="W1564" s="53">
        <f>IF(P1564="","",IF(P1564="Resultado trading",S1564,0))</f>
        <v/>
      </c>
      <c r="X1564" s="52">
        <f>IF(OR(P1564="Gasto",P1564="Reembolso"),IF(M1564&lt;&gt;"",M1564,IFERROR(INDEX(catClasif,MATCH(D1564&amp;"|"&amp;E1564,catClave,0))&amp;"","Variable")),"")</f>
        <v/>
      </c>
      <c r="Y1564" s="52">
        <f>IF(P1564="","",IFERROR(INDEX(catGrupo,MATCH(D1564&amp;"|"&amp;E1564,catClave,0))&amp;"",""))</f>
        <v/>
      </c>
      <c r="Z1564" s="52">
        <f>IF(P1564="","",WEEKDAY(B1564,2))</f>
        <v/>
      </c>
      <c r="AA1564" s="52">
        <f>IF(P1564="","",IF(AND(P1564="Gasto",X1564="Variable",D1564&lt;&gt;catTrading,S1564&gt;0,S1564&lt;=Umbral),1,0))</f>
        <v/>
      </c>
      <c r="AB1564" s="52">
        <f>IF(OR(P1564="",Q1564=""),"",IFERROR(IF(INDEX(ctaVinc,MATCH(Q1564,ctaNombre,0))&amp;""&lt;&gt;"",INDEX(ctaVinc,MATCH(Q1564,ctaNombre,0))&amp;"",Q1564),Q1564))</f>
        <v/>
      </c>
      <c r="AC1564" s="52">
        <f>IF(OR(K1564="",AND(P1564&lt;&gt;"Transferencia",P1564&lt;&gt;"Pago tarjeta")),"",IFERROR(IF(INDEX(ctaVinc,MATCH(K1564,ctaNombre,0))&amp;""&lt;&gt;"",INDEX(ctaVinc,MATCH(K1564,ctaNombre,0))&amp;"",K1564),K1564))</f>
        <v/>
      </c>
      <c r="AD1564" s="52">
        <f>IF(AB1564="","",IFERROR(INDEX(ctaTipo,MATCH(AB1564,ctaNombre,0))&amp;"",""))</f>
        <v/>
      </c>
      <c r="AE1564" s="52">
        <f>IF(AC1564="","",IFERROR(INDEX(ctaTipo,MATCH(AC1564,ctaNombre,0))&amp;"",""))</f>
        <v/>
      </c>
      <c r="AF1564" s="53">
        <f>IF(OR(P1564="",AB1564=""),"",IF(OR(P1564="Gasto",P1564="Transferencia",P1564="Pago tarjeta"),-1,1)*IF(IFERROR(INDEX(ctaMoneda,MATCH(AB1564,ctaNombre,0))&amp;"","DOP")="USD",T1564,S1564))</f>
        <v/>
      </c>
      <c r="AG1564" s="53">
        <f>IF(AC1564="","",IF(IFERROR(INDEX(ctaMoneda,MATCH(AC1564,ctaNombre,0))&amp;"","DOP")="USD",T1564,S1564))</f>
        <v/>
      </c>
      <c r="AH1564" s="53">
        <f>IF(P1564="","",IF(AND(AD1564&lt;&gt;"",COUNTIFS(tcTipo,AD1564,tcLiq,"Sí")&gt;0),IF(OR(P1564="Gasto",P1564="Transferencia",P1564="Pago tarjeta"),-1,1)*S1564,0)+IF(AND(AE1564&lt;&gt;"",COUNTIFS(tcTipo,AE1564,tcLiq,"Sí")&gt;0),S1564,0))</f>
        <v/>
      </c>
      <c r="AI1564" s="52">
        <f>IF(OR(L1564="",P1564=""),"",IF(COUNTIFS(L$6:L1564,L1564,P$6:P1564,"?*")=1,MAX(AI$5:AI1563)+1,""))</f>
        <v/>
      </c>
    </row>
    <row r="1565">
      <c r="B1565" s="47" t="n"/>
      <c r="C1565" s="48" t="n"/>
      <c r="D1565" s="48" t="n"/>
      <c r="E1565" s="48" t="n"/>
      <c r="F1565" s="48" t="n"/>
      <c r="G1565" s="49" t="n"/>
      <c r="H1565" s="48" t="n"/>
      <c r="I1565" s="50" t="n"/>
      <c r="J1565" s="48" t="n"/>
      <c r="K1565" s="48" t="n"/>
      <c r="L1565" s="48" t="n"/>
      <c r="M1565" s="48" t="n"/>
      <c r="N1565" s="48" t="n"/>
      <c r="O1565" s="51">
        <f>IF(AND(B1565="",G1565="",C1565="",D1565="",J1565=""),"",IF(B1565="","⚠ Falta fecha",IF(G1565="","⚠ Falta monto",IF(Q1565="","⚠ Falta cuenta",IF(ISNA(MATCH(Q1565,ctaNombre,0)),"⚠ Cuenta no registrada",IF(AND(OR(P1565="Gasto",P1565="Reembolso"),D1565=""),"⚠ Falta categoría",IF(AND(D1565&lt;&gt;"",E1565&lt;&gt;"",ISNA(MATCH(D1565&amp;"|"&amp;E1565,catClave,0))),"⚠ Subcategoría no corresponde",IF(AND(OR(P1565="Transferencia",P1565="Pago tarjeta"),K1565=""),"⚠ Falta cuenta destino",IF(AND(K1565&lt;&gt;"",P1565&lt;&gt;"Transferencia",P1565&lt;&gt;"Pago tarjeta"),"⚠ Destino solo aplica a transferencias",IF(AND(K1565&lt;&gt;"",K1565=Q1565),"⚠ Origen igual a destino",IF(AND(K1565&lt;&gt;"",ISNA(MATCH(K1565,ctaNombre,0))),"⚠ Destino no registrado",IF(AND(P1565="Pago tarjeta",AE1565&lt;&gt;"Tarjeta de crédito"),"⚠ El destino debe ser tarjeta de crédito",IF(AND(P1565="Gasto",E1565="Depósitos y retiros"),"⚠ Usa tipo Transferencia",IF(AND(P1565="Resultado trading",AD1565&lt;&gt;"Cuenta de trading"),"⚠ Usa una cuenta de trading",IF(AND(G1565&lt;=0,P1565&lt;&gt;"Ajuste",P1565&lt;&gt;"Resultado trading"),"⚠ El monto debe ser positivo","✓")))))))))))))))</f>
        <v/>
      </c>
      <c r="P1565" s="52">
        <f>IF(OR(B1565="",G1565=""),"",IF(C1565="","Gasto",C1565))</f>
        <v/>
      </c>
      <c r="Q1565" s="52">
        <f>IF(P1565="","",IF(J1565&lt;&gt;"",J1565,CuentaPred&amp;""))</f>
        <v/>
      </c>
      <c r="R1565" s="52">
        <f>IF(P1565="","",IF(ISNUMBER(I1565),I1565,TasaUSD))</f>
        <v/>
      </c>
      <c r="S1565" s="53">
        <f>IF(P1565="","",IF(H1565="USD",G1565*R1565,G1565))</f>
        <v/>
      </c>
      <c r="T1565" s="53">
        <f>IF(P1565="","",IF(H1565="USD",G1565,IF(R1565&gt;0,G1565/R1565,0)))</f>
        <v/>
      </c>
      <c r="U1565" s="53">
        <f>IF(P1565="","",IF(P1565="Gasto",S1565,IF(P1565="Reembolso",-S1565,0)))</f>
        <v/>
      </c>
      <c r="V1565" s="53">
        <f>IF(P1565="","",IF(P1565="Ingreso",S1565,0))</f>
        <v/>
      </c>
      <c r="W1565" s="53">
        <f>IF(P1565="","",IF(P1565="Resultado trading",S1565,0))</f>
        <v/>
      </c>
      <c r="X1565" s="52">
        <f>IF(OR(P1565="Gasto",P1565="Reembolso"),IF(M1565&lt;&gt;"",M1565,IFERROR(INDEX(catClasif,MATCH(D1565&amp;"|"&amp;E1565,catClave,0))&amp;"","Variable")),"")</f>
        <v/>
      </c>
      <c r="Y1565" s="52">
        <f>IF(P1565="","",IFERROR(INDEX(catGrupo,MATCH(D1565&amp;"|"&amp;E1565,catClave,0))&amp;"",""))</f>
        <v/>
      </c>
      <c r="Z1565" s="52">
        <f>IF(P1565="","",WEEKDAY(B1565,2))</f>
        <v/>
      </c>
      <c r="AA1565" s="52">
        <f>IF(P1565="","",IF(AND(P1565="Gasto",X1565="Variable",D1565&lt;&gt;catTrading,S1565&gt;0,S1565&lt;=Umbral),1,0))</f>
        <v/>
      </c>
      <c r="AB1565" s="52">
        <f>IF(OR(P1565="",Q1565=""),"",IFERROR(IF(INDEX(ctaVinc,MATCH(Q1565,ctaNombre,0))&amp;""&lt;&gt;"",INDEX(ctaVinc,MATCH(Q1565,ctaNombre,0))&amp;"",Q1565),Q1565))</f>
        <v/>
      </c>
      <c r="AC1565" s="52">
        <f>IF(OR(K1565="",AND(P1565&lt;&gt;"Transferencia",P1565&lt;&gt;"Pago tarjeta")),"",IFERROR(IF(INDEX(ctaVinc,MATCH(K1565,ctaNombre,0))&amp;""&lt;&gt;"",INDEX(ctaVinc,MATCH(K1565,ctaNombre,0))&amp;"",K1565),K1565))</f>
        <v/>
      </c>
      <c r="AD1565" s="52">
        <f>IF(AB1565="","",IFERROR(INDEX(ctaTipo,MATCH(AB1565,ctaNombre,0))&amp;"",""))</f>
        <v/>
      </c>
      <c r="AE1565" s="52">
        <f>IF(AC1565="","",IFERROR(INDEX(ctaTipo,MATCH(AC1565,ctaNombre,0))&amp;"",""))</f>
        <v/>
      </c>
      <c r="AF1565" s="53">
        <f>IF(OR(P1565="",AB1565=""),"",IF(OR(P1565="Gasto",P1565="Transferencia",P1565="Pago tarjeta"),-1,1)*IF(IFERROR(INDEX(ctaMoneda,MATCH(AB1565,ctaNombre,0))&amp;"","DOP")="USD",T1565,S1565))</f>
        <v/>
      </c>
      <c r="AG1565" s="53">
        <f>IF(AC1565="","",IF(IFERROR(INDEX(ctaMoneda,MATCH(AC1565,ctaNombre,0))&amp;"","DOP")="USD",T1565,S1565))</f>
        <v/>
      </c>
      <c r="AH1565" s="53">
        <f>IF(P1565="","",IF(AND(AD1565&lt;&gt;"",COUNTIFS(tcTipo,AD1565,tcLiq,"Sí")&gt;0),IF(OR(P1565="Gasto",P1565="Transferencia",P1565="Pago tarjeta"),-1,1)*S1565,0)+IF(AND(AE1565&lt;&gt;"",COUNTIFS(tcTipo,AE1565,tcLiq,"Sí")&gt;0),S1565,0))</f>
        <v/>
      </c>
      <c r="AI1565" s="52">
        <f>IF(OR(L1565="",P1565=""),"",IF(COUNTIFS(L$6:L1565,L1565,P$6:P1565,"?*")=1,MAX(AI$5:AI1564)+1,""))</f>
        <v/>
      </c>
    </row>
    <row r="1566">
      <c r="B1566" s="47" t="n"/>
      <c r="C1566" s="48" t="n"/>
      <c r="D1566" s="48" t="n"/>
      <c r="E1566" s="48" t="n"/>
      <c r="F1566" s="48" t="n"/>
      <c r="G1566" s="49" t="n"/>
      <c r="H1566" s="48" t="n"/>
      <c r="I1566" s="50" t="n"/>
      <c r="J1566" s="48" t="n"/>
      <c r="K1566" s="48" t="n"/>
      <c r="L1566" s="48" t="n"/>
      <c r="M1566" s="48" t="n"/>
      <c r="N1566" s="48" t="n"/>
      <c r="O1566" s="51">
        <f>IF(AND(B1566="",G1566="",C1566="",D1566="",J1566=""),"",IF(B1566="","⚠ Falta fecha",IF(G1566="","⚠ Falta monto",IF(Q1566="","⚠ Falta cuenta",IF(ISNA(MATCH(Q1566,ctaNombre,0)),"⚠ Cuenta no registrada",IF(AND(OR(P1566="Gasto",P1566="Reembolso"),D1566=""),"⚠ Falta categoría",IF(AND(D1566&lt;&gt;"",E1566&lt;&gt;"",ISNA(MATCH(D1566&amp;"|"&amp;E1566,catClave,0))),"⚠ Subcategoría no corresponde",IF(AND(OR(P1566="Transferencia",P1566="Pago tarjeta"),K1566=""),"⚠ Falta cuenta destino",IF(AND(K1566&lt;&gt;"",P1566&lt;&gt;"Transferencia",P1566&lt;&gt;"Pago tarjeta"),"⚠ Destino solo aplica a transferencias",IF(AND(K1566&lt;&gt;"",K1566=Q1566),"⚠ Origen igual a destino",IF(AND(K1566&lt;&gt;"",ISNA(MATCH(K1566,ctaNombre,0))),"⚠ Destino no registrado",IF(AND(P1566="Pago tarjeta",AE1566&lt;&gt;"Tarjeta de crédito"),"⚠ El destino debe ser tarjeta de crédito",IF(AND(P1566="Gasto",E1566="Depósitos y retiros"),"⚠ Usa tipo Transferencia",IF(AND(P1566="Resultado trading",AD1566&lt;&gt;"Cuenta de trading"),"⚠ Usa una cuenta de trading",IF(AND(G1566&lt;=0,P1566&lt;&gt;"Ajuste",P1566&lt;&gt;"Resultado trading"),"⚠ El monto debe ser positivo","✓")))))))))))))))</f>
        <v/>
      </c>
      <c r="P1566" s="52">
        <f>IF(OR(B1566="",G1566=""),"",IF(C1566="","Gasto",C1566))</f>
        <v/>
      </c>
      <c r="Q1566" s="52">
        <f>IF(P1566="","",IF(J1566&lt;&gt;"",J1566,CuentaPred&amp;""))</f>
        <v/>
      </c>
      <c r="R1566" s="52">
        <f>IF(P1566="","",IF(ISNUMBER(I1566),I1566,TasaUSD))</f>
        <v/>
      </c>
      <c r="S1566" s="53">
        <f>IF(P1566="","",IF(H1566="USD",G1566*R1566,G1566))</f>
        <v/>
      </c>
      <c r="T1566" s="53">
        <f>IF(P1566="","",IF(H1566="USD",G1566,IF(R1566&gt;0,G1566/R1566,0)))</f>
        <v/>
      </c>
      <c r="U1566" s="53">
        <f>IF(P1566="","",IF(P1566="Gasto",S1566,IF(P1566="Reembolso",-S1566,0)))</f>
        <v/>
      </c>
      <c r="V1566" s="53">
        <f>IF(P1566="","",IF(P1566="Ingreso",S1566,0))</f>
        <v/>
      </c>
      <c r="W1566" s="53">
        <f>IF(P1566="","",IF(P1566="Resultado trading",S1566,0))</f>
        <v/>
      </c>
      <c r="X1566" s="52">
        <f>IF(OR(P1566="Gasto",P1566="Reembolso"),IF(M1566&lt;&gt;"",M1566,IFERROR(INDEX(catClasif,MATCH(D1566&amp;"|"&amp;E1566,catClave,0))&amp;"","Variable")),"")</f>
        <v/>
      </c>
      <c r="Y1566" s="52">
        <f>IF(P1566="","",IFERROR(INDEX(catGrupo,MATCH(D1566&amp;"|"&amp;E1566,catClave,0))&amp;"",""))</f>
        <v/>
      </c>
      <c r="Z1566" s="52">
        <f>IF(P1566="","",WEEKDAY(B1566,2))</f>
        <v/>
      </c>
      <c r="AA1566" s="52">
        <f>IF(P1566="","",IF(AND(P1566="Gasto",X1566="Variable",D1566&lt;&gt;catTrading,S1566&gt;0,S1566&lt;=Umbral),1,0))</f>
        <v/>
      </c>
      <c r="AB1566" s="52">
        <f>IF(OR(P1566="",Q1566=""),"",IFERROR(IF(INDEX(ctaVinc,MATCH(Q1566,ctaNombre,0))&amp;""&lt;&gt;"",INDEX(ctaVinc,MATCH(Q1566,ctaNombre,0))&amp;"",Q1566),Q1566))</f>
        <v/>
      </c>
      <c r="AC1566" s="52">
        <f>IF(OR(K1566="",AND(P1566&lt;&gt;"Transferencia",P1566&lt;&gt;"Pago tarjeta")),"",IFERROR(IF(INDEX(ctaVinc,MATCH(K1566,ctaNombre,0))&amp;""&lt;&gt;"",INDEX(ctaVinc,MATCH(K1566,ctaNombre,0))&amp;"",K1566),K1566))</f>
        <v/>
      </c>
      <c r="AD1566" s="52">
        <f>IF(AB1566="","",IFERROR(INDEX(ctaTipo,MATCH(AB1566,ctaNombre,0))&amp;"",""))</f>
        <v/>
      </c>
      <c r="AE1566" s="52">
        <f>IF(AC1566="","",IFERROR(INDEX(ctaTipo,MATCH(AC1566,ctaNombre,0))&amp;"",""))</f>
        <v/>
      </c>
      <c r="AF1566" s="53">
        <f>IF(OR(P1566="",AB1566=""),"",IF(OR(P1566="Gasto",P1566="Transferencia",P1566="Pago tarjeta"),-1,1)*IF(IFERROR(INDEX(ctaMoneda,MATCH(AB1566,ctaNombre,0))&amp;"","DOP")="USD",T1566,S1566))</f>
        <v/>
      </c>
      <c r="AG1566" s="53">
        <f>IF(AC1566="","",IF(IFERROR(INDEX(ctaMoneda,MATCH(AC1566,ctaNombre,0))&amp;"","DOP")="USD",T1566,S1566))</f>
        <v/>
      </c>
      <c r="AH1566" s="53">
        <f>IF(P1566="","",IF(AND(AD1566&lt;&gt;"",COUNTIFS(tcTipo,AD1566,tcLiq,"Sí")&gt;0),IF(OR(P1566="Gasto",P1566="Transferencia",P1566="Pago tarjeta"),-1,1)*S1566,0)+IF(AND(AE1566&lt;&gt;"",COUNTIFS(tcTipo,AE1566,tcLiq,"Sí")&gt;0),S1566,0))</f>
        <v/>
      </c>
      <c r="AI1566" s="52">
        <f>IF(OR(L1566="",P1566=""),"",IF(COUNTIFS(L$6:L1566,L1566,P$6:P1566,"?*")=1,MAX(AI$5:AI1565)+1,""))</f>
        <v/>
      </c>
    </row>
    <row r="1567">
      <c r="B1567" s="47" t="n"/>
      <c r="C1567" s="48" t="n"/>
      <c r="D1567" s="48" t="n"/>
      <c r="E1567" s="48" t="n"/>
      <c r="F1567" s="48" t="n"/>
      <c r="G1567" s="49" t="n"/>
      <c r="H1567" s="48" t="n"/>
      <c r="I1567" s="50" t="n"/>
      <c r="J1567" s="48" t="n"/>
      <c r="K1567" s="48" t="n"/>
      <c r="L1567" s="48" t="n"/>
      <c r="M1567" s="48" t="n"/>
      <c r="N1567" s="48" t="n"/>
      <c r="O1567" s="51">
        <f>IF(AND(B1567="",G1567="",C1567="",D1567="",J1567=""),"",IF(B1567="","⚠ Falta fecha",IF(G1567="","⚠ Falta monto",IF(Q1567="","⚠ Falta cuenta",IF(ISNA(MATCH(Q1567,ctaNombre,0)),"⚠ Cuenta no registrada",IF(AND(OR(P1567="Gasto",P1567="Reembolso"),D1567=""),"⚠ Falta categoría",IF(AND(D1567&lt;&gt;"",E1567&lt;&gt;"",ISNA(MATCH(D1567&amp;"|"&amp;E1567,catClave,0))),"⚠ Subcategoría no corresponde",IF(AND(OR(P1567="Transferencia",P1567="Pago tarjeta"),K1567=""),"⚠ Falta cuenta destino",IF(AND(K1567&lt;&gt;"",P1567&lt;&gt;"Transferencia",P1567&lt;&gt;"Pago tarjeta"),"⚠ Destino solo aplica a transferencias",IF(AND(K1567&lt;&gt;"",K1567=Q1567),"⚠ Origen igual a destino",IF(AND(K1567&lt;&gt;"",ISNA(MATCH(K1567,ctaNombre,0))),"⚠ Destino no registrado",IF(AND(P1567="Pago tarjeta",AE1567&lt;&gt;"Tarjeta de crédito"),"⚠ El destino debe ser tarjeta de crédito",IF(AND(P1567="Gasto",E1567="Depósitos y retiros"),"⚠ Usa tipo Transferencia",IF(AND(P1567="Resultado trading",AD1567&lt;&gt;"Cuenta de trading"),"⚠ Usa una cuenta de trading",IF(AND(G1567&lt;=0,P1567&lt;&gt;"Ajuste",P1567&lt;&gt;"Resultado trading"),"⚠ El monto debe ser positivo","✓")))))))))))))))</f>
        <v/>
      </c>
      <c r="P1567" s="52">
        <f>IF(OR(B1567="",G1567=""),"",IF(C1567="","Gasto",C1567))</f>
        <v/>
      </c>
      <c r="Q1567" s="52">
        <f>IF(P1567="","",IF(J1567&lt;&gt;"",J1567,CuentaPred&amp;""))</f>
        <v/>
      </c>
      <c r="R1567" s="52">
        <f>IF(P1567="","",IF(ISNUMBER(I1567),I1567,TasaUSD))</f>
        <v/>
      </c>
      <c r="S1567" s="53">
        <f>IF(P1567="","",IF(H1567="USD",G1567*R1567,G1567))</f>
        <v/>
      </c>
      <c r="T1567" s="53">
        <f>IF(P1567="","",IF(H1567="USD",G1567,IF(R1567&gt;0,G1567/R1567,0)))</f>
        <v/>
      </c>
      <c r="U1567" s="53">
        <f>IF(P1567="","",IF(P1567="Gasto",S1567,IF(P1567="Reembolso",-S1567,0)))</f>
        <v/>
      </c>
      <c r="V1567" s="53">
        <f>IF(P1567="","",IF(P1567="Ingreso",S1567,0))</f>
        <v/>
      </c>
      <c r="W1567" s="53">
        <f>IF(P1567="","",IF(P1567="Resultado trading",S1567,0))</f>
        <v/>
      </c>
      <c r="X1567" s="52">
        <f>IF(OR(P1567="Gasto",P1567="Reembolso"),IF(M1567&lt;&gt;"",M1567,IFERROR(INDEX(catClasif,MATCH(D1567&amp;"|"&amp;E1567,catClave,0))&amp;"","Variable")),"")</f>
        <v/>
      </c>
      <c r="Y1567" s="52">
        <f>IF(P1567="","",IFERROR(INDEX(catGrupo,MATCH(D1567&amp;"|"&amp;E1567,catClave,0))&amp;"",""))</f>
        <v/>
      </c>
      <c r="Z1567" s="52">
        <f>IF(P1567="","",WEEKDAY(B1567,2))</f>
        <v/>
      </c>
      <c r="AA1567" s="52">
        <f>IF(P1567="","",IF(AND(P1567="Gasto",X1567="Variable",D1567&lt;&gt;catTrading,S1567&gt;0,S1567&lt;=Umbral),1,0))</f>
        <v/>
      </c>
      <c r="AB1567" s="52">
        <f>IF(OR(P1567="",Q1567=""),"",IFERROR(IF(INDEX(ctaVinc,MATCH(Q1567,ctaNombre,0))&amp;""&lt;&gt;"",INDEX(ctaVinc,MATCH(Q1567,ctaNombre,0))&amp;"",Q1567),Q1567))</f>
        <v/>
      </c>
      <c r="AC1567" s="52">
        <f>IF(OR(K1567="",AND(P1567&lt;&gt;"Transferencia",P1567&lt;&gt;"Pago tarjeta")),"",IFERROR(IF(INDEX(ctaVinc,MATCH(K1567,ctaNombre,0))&amp;""&lt;&gt;"",INDEX(ctaVinc,MATCH(K1567,ctaNombre,0))&amp;"",K1567),K1567))</f>
        <v/>
      </c>
      <c r="AD1567" s="52">
        <f>IF(AB1567="","",IFERROR(INDEX(ctaTipo,MATCH(AB1567,ctaNombre,0))&amp;"",""))</f>
        <v/>
      </c>
      <c r="AE1567" s="52">
        <f>IF(AC1567="","",IFERROR(INDEX(ctaTipo,MATCH(AC1567,ctaNombre,0))&amp;"",""))</f>
        <v/>
      </c>
      <c r="AF1567" s="53">
        <f>IF(OR(P1567="",AB1567=""),"",IF(OR(P1567="Gasto",P1567="Transferencia",P1567="Pago tarjeta"),-1,1)*IF(IFERROR(INDEX(ctaMoneda,MATCH(AB1567,ctaNombre,0))&amp;"","DOP")="USD",T1567,S1567))</f>
        <v/>
      </c>
      <c r="AG1567" s="53">
        <f>IF(AC1567="","",IF(IFERROR(INDEX(ctaMoneda,MATCH(AC1567,ctaNombre,0))&amp;"","DOP")="USD",T1567,S1567))</f>
        <v/>
      </c>
      <c r="AH1567" s="53">
        <f>IF(P1567="","",IF(AND(AD1567&lt;&gt;"",COUNTIFS(tcTipo,AD1567,tcLiq,"Sí")&gt;0),IF(OR(P1567="Gasto",P1567="Transferencia",P1567="Pago tarjeta"),-1,1)*S1567,0)+IF(AND(AE1567&lt;&gt;"",COUNTIFS(tcTipo,AE1567,tcLiq,"Sí")&gt;0),S1567,0))</f>
        <v/>
      </c>
      <c r="AI1567" s="52">
        <f>IF(OR(L1567="",P1567=""),"",IF(COUNTIFS(L$6:L1567,L1567,P$6:P1567,"?*")=1,MAX(AI$5:AI1566)+1,""))</f>
        <v/>
      </c>
    </row>
    <row r="1568">
      <c r="B1568" s="47" t="n"/>
      <c r="C1568" s="48" t="n"/>
      <c r="D1568" s="48" t="n"/>
      <c r="E1568" s="48" t="n"/>
      <c r="F1568" s="48" t="n"/>
      <c r="G1568" s="49" t="n"/>
      <c r="H1568" s="48" t="n"/>
      <c r="I1568" s="50" t="n"/>
      <c r="J1568" s="48" t="n"/>
      <c r="K1568" s="48" t="n"/>
      <c r="L1568" s="48" t="n"/>
      <c r="M1568" s="48" t="n"/>
      <c r="N1568" s="48" t="n"/>
      <c r="O1568" s="51">
        <f>IF(AND(B1568="",G1568="",C1568="",D1568="",J1568=""),"",IF(B1568="","⚠ Falta fecha",IF(G1568="","⚠ Falta monto",IF(Q1568="","⚠ Falta cuenta",IF(ISNA(MATCH(Q1568,ctaNombre,0)),"⚠ Cuenta no registrada",IF(AND(OR(P1568="Gasto",P1568="Reembolso"),D1568=""),"⚠ Falta categoría",IF(AND(D1568&lt;&gt;"",E1568&lt;&gt;"",ISNA(MATCH(D1568&amp;"|"&amp;E1568,catClave,0))),"⚠ Subcategoría no corresponde",IF(AND(OR(P1568="Transferencia",P1568="Pago tarjeta"),K1568=""),"⚠ Falta cuenta destino",IF(AND(K1568&lt;&gt;"",P1568&lt;&gt;"Transferencia",P1568&lt;&gt;"Pago tarjeta"),"⚠ Destino solo aplica a transferencias",IF(AND(K1568&lt;&gt;"",K1568=Q1568),"⚠ Origen igual a destino",IF(AND(K1568&lt;&gt;"",ISNA(MATCH(K1568,ctaNombre,0))),"⚠ Destino no registrado",IF(AND(P1568="Pago tarjeta",AE1568&lt;&gt;"Tarjeta de crédito"),"⚠ El destino debe ser tarjeta de crédito",IF(AND(P1568="Gasto",E1568="Depósitos y retiros"),"⚠ Usa tipo Transferencia",IF(AND(P1568="Resultado trading",AD1568&lt;&gt;"Cuenta de trading"),"⚠ Usa una cuenta de trading",IF(AND(G1568&lt;=0,P1568&lt;&gt;"Ajuste",P1568&lt;&gt;"Resultado trading"),"⚠ El monto debe ser positivo","✓")))))))))))))))</f>
        <v/>
      </c>
      <c r="P1568" s="52">
        <f>IF(OR(B1568="",G1568=""),"",IF(C1568="","Gasto",C1568))</f>
        <v/>
      </c>
      <c r="Q1568" s="52">
        <f>IF(P1568="","",IF(J1568&lt;&gt;"",J1568,CuentaPred&amp;""))</f>
        <v/>
      </c>
      <c r="R1568" s="52">
        <f>IF(P1568="","",IF(ISNUMBER(I1568),I1568,TasaUSD))</f>
        <v/>
      </c>
      <c r="S1568" s="53">
        <f>IF(P1568="","",IF(H1568="USD",G1568*R1568,G1568))</f>
        <v/>
      </c>
      <c r="T1568" s="53">
        <f>IF(P1568="","",IF(H1568="USD",G1568,IF(R1568&gt;0,G1568/R1568,0)))</f>
        <v/>
      </c>
      <c r="U1568" s="53">
        <f>IF(P1568="","",IF(P1568="Gasto",S1568,IF(P1568="Reembolso",-S1568,0)))</f>
        <v/>
      </c>
      <c r="V1568" s="53">
        <f>IF(P1568="","",IF(P1568="Ingreso",S1568,0))</f>
        <v/>
      </c>
      <c r="W1568" s="53">
        <f>IF(P1568="","",IF(P1568="Resultado trading",S1568,0))</f>
        <v/>
      </c>
      <c r="X1568" s="52">
        <f>IF(OR(P1568="Gasto",P1568="Reembolso"),IF(M1568&lt;&gt;"",M1568,IFERROR(INDEX(catClasif,MATCH(D1568&amp;"|"&amp;E1568,catClave,0))&amp;"","Variable")),"")</f>
        <v/>
      </c>
      <c r="Y1568" s="52">
        <f>IF(P1568="","",IFERROR(INDEX(catGrupo,MATCH(D1568&amp;"|"&amp;E1568,catClave,0))&amp;"",""))</f>
        <v/>
      </c>
      <c r="Z1568" s="52">
        <f>IF(P1568="","",WEEKDAY(B1568,2))</f>
        <v/>
      </c>
      <c r="AA1568" s="52">
        <f>IF(P1568="","",IF(AND(P1568="Gasto",X1568="Variable",D1568&lt;&gt;catTrading,S1568&gt;0,S1568&lt;=Umbral),1,0))</f>
        <v/>
      </c>
      <c r="AB1568" s="52">
        <f>IF(OR(P1568="",Q1568=""),"",IFERROR(IF(INDEX(ctaVinc,MATCH(Q1568,ctaNombre,0))&amp;""&lt;&gt;"",INDEX(ctaVinc,MATCH(Q1568,ctaNombre,0))&amp;"",Q1568),Q1568))</f>
        <v/>
      </c>
      <c r="AC1568" s="52">
        <f>IF(OR(K1568="",AND(P1568&lt;&gt;"Transferencia",P1568&lt;&gt;"Pago tarjeta")),"",IFERROR(IF(INDEX(ctaVinc,MATCH(K1568,ctaNombre,0))&amp;""&lt;&gt;"",INDEX(ctaVinc,MATCH(K1568,ctaNombre,0))&amp;"",K1568),K1568))</f>
        <v/>
      </c>
      <c r="AD1568" s="52">
        <f>IF(AB1568="","",IFERROR(INDEX(ctaTipo,MATCH(AB1568,ctaNombre,0))&amp;"",""))</f>
        <v/>
      </c>
      <c r="AE1568" s="52">
        <f>IF(AC1568="","",IFERROR(INDEX(ctaTipo,MATCH(AC1568,ctaNombre,0))&amp;"",""))</f>
        <v/>
      </c>
      <c r="AF1568" s="53">
        <f>IF(OR(P1568="",AB1568=""),"",IF(OR(P1568="Gasto",P1568="Transferencia",P1568="Pago tarjeta"),-1,1)*IF(IFERROR(INDEX(ctaMoneda,MATCH(AB1568,ctaNombre,0))&amp;"","DOP")="USD",T1568,S1568))</f>
        <v/>
      </c>
      <c r="AG1568" s="53">
        <f>IF(AC1568="","",IF(IFERROR(INDEX(ctaMoneda,MATCH(AC1568,ctaNombre,0))&amp;"","DOP")="USD",T1568,S1568))</f>
        <v/>
      </c>
      <c r="AH1568" s="53">
        <f>IF(P1568="","",IF(AND(AD1568&lt;&gt;"",COUNTIFS(tcTipo,AD1568,tcLiq,"Sí")&gt;0),IF(OR(P1568="Gasto",P1568="Transferencia",P1568="Pago tarjeta"),-1,1)*S1568,0)+IF(AND(AE1568&lt;&gt;"",COUNTIFS(tcTipo,AE1568,tcLiq,"Sí")&gt;0),S1568,0))</f>
        <v/>
      </c>
      <c r="AI1568" s="52">
        <f>IF(OR(L1568="",P1568=""),"",IF(COUNTIFS(L$6:L1568,L1568,P$6:P1568,"?*")=1,MAX(AI$5:AI1567)+1,""))</f>
        <v/>
      </c>
    </row>
    <row r="1569">
      <c r="B1569" s="47" t="n"/>
      <c r="C1569" s="48" t="n"/>
      <c r="D1569" s="48" t="n"/>
      <c r="E1569" s="48" t="n"/>
      <c r="F1569" s="48" t="n"/>
      <c r="G1569" s="49" t="n"/>
      <c r="H1569" s="48" t="n"/>
      <c r="I1569" s="50" t="n"/>
      <c r="J1569" s="48" t="n"/>
      <c r="K1569" s="48" t="n"/>
      <c r="L1569" s="48" t="n"/>
      <c r="M1569" s="48" t="n"/>
      <c r="N1569" s="48" t="n"/>
      <c r="O1569" s="51">
        <f>IF(AND(B1569="",G1569="",C1569="",D1569="",J1569=""),"",IF(B1569="","⚠ Falta fecha",IF(G1569="","⚠ Falta monto",IF(Q1569="","⚠ Falta cuenta",IF(ISNA(MATCH(Q1569,ctaNombre,0)),"⚠ Cuenta no registrada",IF(AND(OR(P1569="Gasto",P1569="Reembolso"),D1569=""),"⚠ Falta categoría",IF(AND(D1569&lt;&gt;"",E1569&lt;&gt;"",ISNA(MATCH(D1569&amp;"|"&amp;E1569,catClave,0))),"⚠ Subcategoría no corresponde",IF(AND(OR(P1569="Transferencia",P1569="Pago tarjeta"),K1569=""),"⚠ Falta cuenta destino",IF(AND(K1569&lt;&gt;"",P1569&lt;&gt;"Transferencia",P1569&lt;&gt;"Pago tarjeta"),"⚠ Destino solo aplica a transferencias",IF(AND(K1569&lt;&gt;"",K1569=Q1569),"⚠ Origen igual a destino",IF(AND(K1569&lt;&gt;"",ISNA(MATCH(K1569,ctaNombre,0))),"⚠ Destino no registrado",IF(AND(P1569="Pago tarjeta",AE1569&lt;&gt;"Tarjeta de crédito"),"⚠ El destino debe ser tarjeta de crédito",IF(AND(P1569="Gasto",E1569="Depósitos y retiros"),"⚠ Usa tipo Transferencia",IF(AND(P1569="Resultado trading",AD1569&lt;&gt;"Cuenta de trading"),"⚠ Usa una cuenta de trading",IF(AND(G1569&lt;=0,P1569&lt;&gt;"Ajuste",P1569&lt;&gt;"Resultado trading"),"⚠ El monto debe ser positivo","✓")))))))))))))))</f>
        <v/>
      </c>
      <c r="P1569" s="52">
        <f>IF(OR(B1569="",G1569=""),"",IF(C1569="","Gasto",C1569))</f>
        <v/>
      </c>
      <c r="Q1569" s="52">
        <f>IF(P1569="","",IF(J1569&lt;&gt;"",J1569,CuentaPred&amp;""))</f>
        <v/>
      </c>
      <c r="R1569" s="52">
        <f>IF(P1569="","",IF(ISNUMBER(I1569),I1569,TasaUSD))</f>
        <v/>
      </c>
      <c r="S1569" s="53">
        <f>IF(P1569="","",IF(H1569="USD",G1569*R1569,G1569))</f>
        <v/>
      </c>
      <c r="T1569" s="53">
        <f>IF(P1569="","",IF(H1569="USD",G1569,IF(R1569&gt;0,G1569/R1569,0)))</f>
        <v/>
      </c>
      <c r="U1569" s="53">
        <f>IF(P1569="","",IF(P1569="Gasto",S1569,IF(P1569="Reembolso",-S1569,0)))</f>
        <v/>
      </c>
      <c r="V1569" s="53">
        <f>IF(P1569="","",IF(P1569="Ingreso",S1569,0))</f>
        <v/>
      </c>
      <c r="W1569" s="53">
        <f>IF(P1569="","",IF(P1569="Resultado trading",S1569,0))</f>
        <v/>
      </c>
      <c r="X1569" s="52">
        <f>IF(OR(P1569="Gasto",P1569="Reembolso"),IF(M1569&lt;&gt;"",M1569,IFERROR(INDEX(catClasif,MATCH(D1569&amp;"|"&amp;E1569,catClave,0))&amp;"","Variable")),"")</f>
        <v/>
      </c>
      <c r="Y1569" s="52">
        <f>IF(P1569="","",IFERROR(INDEX(catGrupo,MATCH(D1569&amp;"|"&amp;E1569,catClave,0))&amp;"",""))</f>
        <v/>
      </c>
      <c r="Z1569" s="52">
        <f>IF(P1569="","",WEEKDAY(B1569,2))</f>
        <v/>
      </c>
      <c r="AA1569" s="52">
        <f>IF(P1569="","",IF(AND(P1569="Gasto",X1569="Variable",D1569&lt;&gt;catTrading,S1569&gt;0,S1569&lt;=Umbral),1,0))</f>
        <v/>
      </c>
      <c r="AB1569" s="52">
        <f>IF(OR(P1569="",Q1569=""),"",IFERROR(IF(INDEX(ctaVinc,MATCH(Q1569,ctaNombre,0))&amp;""&lt;&gt;"",INDEX(ctaVinc,MATCH(Q1569,ctaNombre,0))&amp;"",Q1569),Q1569))</f>
        <v/>
      </c>
      <c r="AC1569" s="52">
        <f>IF(OR(K1569="",AND(P1569&lt;&gt;"Transferencia",P1569&lt;&gt;"Pago tarjeta")),"",IFERROR(IF(INDEX(ctaVinc,MATCH(K1569,ctaNombre,0))&amp;""&lt;&gt;"",INDEX(ctaVinc,MATCH(K1569,ctaNombre,0))&amp;"",K1569),K1569))</f>
        <v/>
      </c>
      <c r="AD1569" s="52">
        <f>IF(AB1569="","",IFERROR(INDEX(ctaTipo,MATCH(AB1569,ctaNombre,0))&amp;"",""))</f>
        <v/>
      </c>
      <c r="AE1569" s="52">
        <f>IF(AC1569="","",IFERROR(INDEX(ctaTipo,MATCH(AC1569,ctaNombre,0))&amp;"",""))</f>
        <v/>
      </c>
      <c r="AF1569" s="53">
        <f>IF(OR(P1569="",AB1569=""),"",IF(OR(P1569="Gasto",P1569="Transferencia",P1569="Pago tarjeta"),-1,1)*IF(IFERROR(INDEX(ctaMoneda,MATCH(AB1569,ctaNombre,0))&amp;"","DOP")="USD",T1569,S1569))</f>
        <v/>
      </c>
      <c r="AG1569" s="53">
        <f>IF(AC1569="","",IF(IFERROR(INDEX(ctaMoneda,MATCH(AC1569,ctaNombre,0))&amp;"","DOP")="USD",T1569,S1569))</f>
        <v/>
      </c>
      <c r="AH1569" s="53">
        <f>IF(P1569="","",IF(AND(AD1569&lt;&gt;"",COUNTIFS(tcTipo,AD1569,tcLiq,"Sí")&gt;0),IF(OR(P1569="Gasto",P1569="Transferencia",P1569="Pago tarjeta"),-1,1)*S1569,0)+IF(AND(AE1569&lt;&gt;"",COUNTIFS(tcTipo,AE1569,tcLiq,"Sí")&gt;0),S1569,0))</f>
        <v/>
      </c>
      <c r="AI1569" s="52">
        <f>IF(OR(L1569="",P1569=""),"",IF(COUNTIFS(L$6:L1569,L1569,P$6:P1569,"?*")=1,MAX(AI$5:AI1568)+1,""))</f>
        <v/>
      </c>
    </row>
    <row r="1570">
      <c r="B1570" s="47" t="n"/>
      <c r="C1570" s="48" t="n"/>
      <c r="D1570" s="48" t="n"/>
      <c r="E1570" s="48" t="n"/>
      <c r="F1570" s="48" t="n"/>
      <c r="G1570" s="49" t="n"/>
      <c r="H1570" s="48" t="n"/>
      <c r="I1570" s="50" t="n"/>
      <c r="J1570" s="48" t="n"/>
      <c r="K1570" s="48" t="n"/>
      <c r="L1570" s="48" t="n"/>
      <c r="M1570" s="48" t="n"/>
      <c r="N1570" s="48" t="n"/>
      <c r="O1570" s="51">
        <f>IF(AND(B1570="",G1570="",C1570="",D1570="",J1570=""),"",IF(B1570="","⚠ Falta fecha",IF(G1570="","⚠ Falta monto",IF(Q1570="","⚠ Falta cuenta",IF(ISNA(MATCH(Q1570,ctaNombre,0)),"⚠ Cuenta no registrada",IF(AND(OR(P1570="Gasto",P1570="Reembolso"),D1570=""),"⚠ Falta categoría",IF(AND(D1570&lt;&gt;"",E1570&lt;&gt;"",ISNA(MATCH(D1570&amp;"|"&amp;E1570,catClave,0))),"⚠ Subcategoría no corresponde",IF(AND(OR(P1570="Transferencia",P1570="Pago tarjeta"),K1570=""),"⚠ Falta cuenta destino",IF(AND(K1570&lt;&gt;"",P1570&lt;&gt;"Transferencia",P1570&lt;&gt;"Pago tarjeta"),"⚠ Destino solo aplica a transferencias",IF(AND(K1570&lt;&gt;"",K1570=Q1570),"⚠ Origen igual a destino",IF(AND(K1570&lt;&gt;"",ISNA(MATCH(K1570,ctaNombre,0))),"⚠ Destino no registrado",IF(AND(P1570="Pago tarjeta",AE1570&lt;&gt;"Tarjeta de crédito"),"⚠ El destino debe ser tarjeta de crédito",IF(AND(P1570="Gasto",E1570="Depósitos y retiros"),"⚠ Usa tipo Transferencia",IF(AND(P1570="Resultado trading",AD1570&lt;&gt;"Cuenta de trading"),"⚠ Usa una cuenta de trading",IF(AND(G1570&lt;=0,P1570&lt;&gt;"Ajuste",P1570&lt;&gt;"Resultado trading"),"⚠ El monto debe ser positivo","✓")))))))))))))))</f>
        <v/>
      </c>
      <c r="P1570" s="52">
        <f>IF(OR(B1570="",G1570=""),"",IF(C1570="","Gasto",C1570))</f>
        <v/>
      </c>
      <c r="Q1570" s="52">
        <f>IF(P1570="","",IF(J1570&lt;&gt;"",J1570,CuentaPred&amp;""))</f>
        <v/>
      </c>
      <c r="R1570" s="52">
        <f>IF(P1570="","",IF(ISNUMBER(I1570),I1570,TasaUSD))</f>
        <v/>
      </c>
      <c r="S1570" s="53">
        <f>IF(P1570="","",IF(H1570="USD",G1570*R1570,G1570))</f>
        <v/>
      </c>
      <c r="T1570" s="53">
        <f>IF(P1570="","",IF(H1570="USD",G1570,IF(R1570&gt;0,G1570/R1570,0)))</f>
        <v/>
      </c>
      <c r="U1570" s="53">
        <f>IF(P1570="","",IF(P1570="Gasto",S1570,IF(P1570="Reembolso",-S1570,0)))</f>
        <v/>
      </c>
      <c r="V1570" s="53">
        <f>IF(P1570="","",IF(P1570="Ingreso",S1570,0))</f>
        <v/>
      </c>
      <c r="W1570" s="53">
        <f>IF(P1570="","",IF(P1570="Resultado trading",S1570,0))</f>
        <v/>
      </c>
      <c r="X1570" s="52">
        <f>IF(OR(P1570="Gasto",P1570="Reembolso"),IF(M1570&lt;&gt;"",M1570,IFERROR(INDEX(catClasif,MATCH(D1570&amp;"|"&amp;E1570,catClave,0))&amp;"","Variable")),"")</f>
        <v/>
      </c>
      <c r="Y1570" s="52">
        <f>IF(P1570="","",IFERROR(INDEX(catGrupo,MATCH(D1570&amp;"|"&amp;E1570,catClave,0))&amp;"",""))</f>
        <v/>
      </c>
      <c r="Z1570" s="52">
        <f>IF(P1570="","",WEEKDAY(B1570,2))</f>
        <v/>
      </c>
      <c r="AA1570" s="52">
        <f>IF(P1570="","",IF(AND(P1570="Gasto",X1570="Variable",D1570&lt;&gt;catTrading,S1570&gt;0,S1570&lt;=Umbral),1,0))</f>
        <v/>
      </c>
      <c r="AB1570" s="52">
        <f>IF(OR(P1570="",Q1570=""),"",IFERROR(IF(INDEX(ctaVinc,MATCH(Q1570,ctaNombre,0))&amp;""&lt;&gt;"",INDEX(ctaVinc,MATCH(Q1570,ctaNombre,0))&amp;"",Q1570),Q1570))</f>
        <v/>
      </c>
      <c r="AC1570" s="52">
        <f>IF(OR(K1570="",AND(P1570&lt;&gt;"Transferencia",P1570&lt;&gt;"Pago tarjeta")),"",IFERROR(IF(INDEX(ctaVinc,MATCH(K1570,ctaNombre,0))&amp;""&lt;&gt;"",INDEX(ctaVinc,MATCH(K1570,ctaNombre,0))&amp;"",K1570),K1570))</f>
        <v/>
      </c>
      <c r="AD1570" s="52">
        <f>IF(AB1570="","",IFERROR(INDEX(ctaTipo,MATCH(AB1570,ctaNombre,0))&amp;"",""))</f>
        <v/>
      </c>
      <c r="AE1570" s="52">
        <f>IF(AC1570="","",IFERROR(INDEX(ctaTipo,MATCH(AC1570,ctaNombre,0))&amp;"",""))</f>
        <v/>
      </c>
      <c r="AF1570" s="53">
        <f>IF(OR(P1570="",AB1570=""),"",IF(OR(P1570="Gasto",P1570="Transferencia",P1570="Pago tarjeta"),-1,1)*IF(IFERROR(INDEX(ctaMoneda,MATCH(AB1570,ctaNombre,0))&amp;"","DOP")="USD",T1570,S1570))</f>
        <v/>
      </c>
      <c r="AG1570" s="53">
        <f>IF(AC1570="","",IF(IFERROR(INDEX(ctaMoneda,MATCH(AC1570,ctaNombre,0))&amp;"","DOP")="USD",T1570,S1570))</f>
        <v/>
      </c>
      <c r="AH1570" s="53">
        <f>IF(P1570="","",IF(AND(AD1570&lt;&gt;"",COUNTIFS(tcTipo,AD1570,tcLiq,"Sí")&gt;0),IF(OR(P1570="Gasto",P1570="Transferencia",P1570="Pago tarjeta"),-1,1)*S1570,0)+IF(AND(AE1570&lt;&gt;"",COUNTIFS(tcTipo,AE1570,tcLiq,"Sí")&gt;0),S1570,0))</f>
        <v/>
      </c>
      <c r="AI1570" s="52">
        <f>IF(OR(L1570="",P1570=""),"",IF(COUNTIFS(L$6:L1570,L1570,P$6:P1570,"?*")=1,MAX(AI$5:AI1569)+1,""))</f>
        <v/>
      </c>
    </row>
    <row r="1571">
      <c r="B1571" s="47" t="n"/>
      <c r="C1571" s="48" t="n"/>
      <c r="D1571" s="48" t="n"/>
      <c r="E1571" s="48" t="n"/>
      <c r="F1571" s="48" t="n"/>
      <c r="G1571" s="49" t="n"/>
      <c r="H1571" s="48" t="n"/>
      <c r="I1571" s="50" t="n"/>
      <c r="J1571" s="48" t="n"/>
      <c r="K1571" s="48" t="n"/>
      <c r="L1571" s="48" t="n"/>
      <c r="M1571" s="48" t="n"/>
      <c r="N1571" s="48" t="n"/>
      <c r="O1571" s="51">
        <f>IF(AND(B1571="",G1571="",C1571="",D1571="",J1571=""),"",IF(B1571="","⚠ Falta fecha",IF(G1571="","⚠ Falta monto",IF(Q1571="","⚠ Falta cuenta",IF(ISNA(MATCH(Q1571,ctaNombre,0)),"⚠ Cuenta no registrada",IF(AND(OR(P1571="Gasto",P1571="Reembolso"),D1571=""),"⚠ Falta categoría",IF(AND(D1571&lt;&gt;"",E1571&lt;&gt;"",ISNA(MATCH(D1571&amp;"|"&amp;E1571,catClave,0))),"⚠ Subcategoría no corresponde",IF(AND(OR(P1571="Transferencia",P1571="Pago tarjeta"),K1571=""),"⚠ Falta cuenta destino",IF(AND(K1571&lt;&gt;"",P1571&lt;&gt;"Transferencia",P1571&lt;&gt;"Pago tarjeta"),"⚠ Destino solo aplica a transferencias",IF(AND(K1571&lt;&gt;"",K1571=Q1571),"⚠ Origen igual a destino",IF(AND(K1571&lt;&gt;"",ISNA(MATCH(K1571,ctaNombre,0))),"⚠ Destino no registrado",IF(AND(P1571="Pago tarjeta",AE1571&lt;&gt;"Tarjeta de crédito"),"⚠ El destino debe ser tarjeta de crédito",IF(AND(P1571="Gasto",E1571="Depósitos y retiros"),"⚠ Usa tipo Transferencia",IF(AND(P1571="Resultado trading",AD1571&lt;&gt;"Cuenta de trading"),"⚠ Usa una cuenta de trading",IF(AND(G1571&lt;=0,P1571&lt;&gt;"Ajuste",P1571&lt;&gt;"Resultado trading"),"⚠ El monto debe ser positivo","✓")))))))))))))))</f>
        <v/>
      </c>
      <c r="P1571" s="52">
        <f>IF(OR(B1571="",G1571=""),"",IF(C1571="","Gasto",C1571))</f>
        <v/>
      </c>
      <c r="Q1571" s="52">
        <f>IF(P1571="","",IF(J1571&lt;&gt;"",J1571,CuentaPred&amp;""))</f>
        <v/>
      </c>
      <c r="R1571" s="52">
        <f>IF(P1571="","",IF(ISNUMBER(I1571),I1571,TasaUSD))</f>
        <v/>
      </c>
      <c r="S1571" s="53">
        <f>IF(P1571="","",IF(H1571="USD",G1571*R1571,G1571))</f>
        <v/>
      </c>
      <c r="T1571" s="53">
        <f>IF(P1571="","",IF(H1571="USD",G1571,IF(R1571&gt;0,G1571/R1571,0)))</f>
        <v/>
      </c>
      <c r="U1571" s="53">
        <f>IF(P1571="","",IF(P1571="Gasto",S1571,IF(P1571="Reembolso",-S1571,0)))</f>
        <v/>
      </c>
      <c r="V1571" s="53">
        <f>IF(P1571="","",IF(P1571="Ingreso",S1571,0))</f>
        <v/>
      </c>
      <c r="W1571" s="53">
        <f>IF(P1571="","",IF(P1571="Resultado trading",S1571,0))</f>
        <v/>
      </c>
      <c r="X1571" s="52">
        <f>IF(OR(P1571="Gasto",P1571="Reembolso"),IF(M1571&lt;&gt;"",M1571,IFERROR(INDEX(catClasif,MATCH(D1571&amp;"|"&amp;E1571,catClave,0))&amp;"","Variable")),"")</f>
        <v/>
      </c>
      <c r="Y1571" s="52">
        <f>IF(P1571="","",IFERROR(INDEX(catGrupo,MATCH(D1571&amp;"|"&amp;E1571,catClave,0))&amp;"",""))</f>
        <v/>
      </c>
      <c r="Z1571" s="52">
        <f>IF(P1571="","",WEEKDAY(B1571,2))</f>
        <v/>
      </c>
      <c r="AA1571" s="52">
        <f>IF(P1571="","",IF(AND(P1571="Gasto",X1571="Variable",D1571&lt;&gt;catTrading,S1571&gt;0,S1571&lt;=Umbral),1,0))</f>
        <v/>
      </c>
      <c r="AB1571" s="52">
        <f>IF(OR(P1571="",Q1571=""),"",IFERROR(IF(INDEX(ctaVinc,MATCH(Q1571,ctaNombre,0))&amp;""&lt;&gt;"",INDEX(ctaVinc,MATCH(Q1571,ctaNombre,0))&amp;"",Q1571),Q1571))</f>
        <v/>
      </c>
      <c r="AC1571" s="52">
        <f>IF(OR(K1571="",AND(P1571&lt;&gt;"Transferencia",P1571&lt;&gt;"Pago tarjeta")),"",IFERROR(IF(INDEX(ctaVinc,MATCH(K1571,ctaNombre,0))&amp;""&lt;&gt;"",INDEX(ctaVinc,MATCH(K1571,ctaNombre,0))&amp;"",K1571),K1571))</f>
        <v/>
      </c>
      <c r="AD1571" s="52">
        <f>IF(AB1571="","",IFERROR(INDEX(ctaTipo,MATCH(AB1571,ctaNombre,0))&amp;"",""))</f>
        <v/>
      </c>
      <c r="AE1571" s="52">
        <f>IF(AC1571="","",IFERROR(INDEX(ctaTipo,MATCH(AC1571,ctaNombre,0))&amp;"",""))</f>
        <v/>
      </c>
      <c r="AF1571" s="53">
        <f>IF(OR(P1571="",AB1571=""),"",IF(OR(P1571="Gasto",P1571="Transferencia",P1571="Pago tarjeta"),-1,1)*IF(IFERROR(INDEX(ctaMoneda,MATCH(AB1571,ctaNombre,0))&amp;"","DOP")="USD",T1571,S1571))</f>
        <v/>
      </c>
      <c r="AG1571" s="53">
        <f>IF(AC1571="","",IF(IFERROR(INDEX(ctaMoneda,MATCH(AC1571,ctaNombre,0))&amp;"","DOP")="USD",T1571,S1571))</f>
        <v/>
      </c>
      <c r="AH1571" s="53">
        <f>IF(P1571="","",IF(AND(AD1571&lt;&gt;"",COUNTIFS(tcTipo,AD1571,tcLiq,"Sí")&gt;0),IF(OR(P1571="Gasto",P1571="Transferencia",P1571="Pago tarjeta"),-1,1)*S1571,0)+IF(AND(AE1571&lt;&gt;"",COUNTIFS(tcTipo,AE1571,tcLiq,"Sí")&gt;0),S1571,0))</f>
        <v/>
      </c>
      <c r="AI1571" s="52">
        <f>IF(OR(L1571="",P1571=""),"",IF(COUNTIFS(L$6:L1571,L1571,P$6:P1571,"?*")=1,MAX(AI$5:AI1570)+1,""))</f>
        <v/>
      </c>
    </row>
    <row r="1572">
      <c r="B1572" s="47" t="n"/>
      <c r="C1572" s="48" t="n"/>
      <c r="D1572" s="48" t="n"/>
      <c r="E1572" s="48" t="n"/>
      <c r="F1572" s="48" t="n"/>
      <c r="G1572" s="49" t="n"/>
      <c r="H1572" s="48" t="n"/>
      <c r="I1572" s="50" t="n"/>
      <c r="J1572" s="48" t="n"/>
      <c r="K1572" s="48" t="n"/>
      <c r="L1572" s="48" t="n"/>
      <c r="M1572" s="48" t="n"/>
      <c r="N1572" s="48" t="n"/>
      <c r="O1572" s="51">
        <f>IF(AND(B1572="",G1572="",C1572="",D1572="",J1572=""),"",IF(B1572="","⚠ Falta fecha",IF(G1572="","⚠ Falta monto",IF(Q1572="","⚠ Falta cuenta",IF(ISNA(MATCH(Q1572,ctaNombre,0)),"⚠ Cuenta no registrada",IF(AND(OR(P1572="Gasto",P1572="Reembolso"),D1572=""),"⚠ Falta categoría",IF(AND(D1572&lt;&gt;"",E1572&lt;&gt;"",ISNA(MATCH(D1572&amp;"|"&amp;E1572,catClave,0))),"⚠ Subcategoría no corresponde",IF(AND(OR(P1572="Transferencia",P1572="Pago tarjeta"),K1572=""),"⚠ Falta cuenta destino",IF(AND(K1572&lt;&gt;"",P1572&lt;&gt;"Transferencia",P1572&lt;&gt;"Pago tarjeta"),"⚠ Destino solo aplica a transferencias",IF(AND(K1572&lt;&gt;"",K1572=Q1572),"⚠ Origen igual a destino",IF(AND(K1572&lt;&gt;"",ISNA(MATCH(K1572,ctaNombre,0))),"⚠ Destino no registrado",IF(AND(P1572="Pago tarjeta",AE1572&lt;&gt;"Tarjeta de crédito"),"⚠ El destino debe ser tarjeta de crédito",IF(AND(P1572="Gasto",E1572="Depósitos y retiros"),"⚠ Usa tipo Transferencia",IF(AND(P1572="Resultado trading",AD1572&lt;&gt;"Cuenta de trading"),"⚠ Usa una cuenta de trading",IF(AND(G1572&lt;=0,P1572&lt;&gt;"Ajuste",P1572&lt;&gt;"Resultado trading"),"⚠ El monto debe ser positivo","✓")))))))))))))))</f>
        <v/>
      </c>
      <c r="P1572" s="52">
        <f>IF(OR(B1572="",G1572=""),"",IF(C1572="","Gasto",C1572))</f>
        <v/>
      </c>
      <c r="Q1572" s="52">
        <f>IF(P1572="","",IF(J1572&lt;&gt;"",J1572,CuentaPred&amp;""))</f>
        <v/>
      </c>
      <c r="R1572" s="52">
        <f>IF(P1572="","",IF(ISNUMBER(I1572),I1572,TasaUSD))</f>
        <v/>
      </c>
      <c r="S1572" s="53">
        <f>IF(P1572="","",IF(H1572="USD",G1572*R1572,G1572))</f>
        <v/>
      </c>
      <c r="T1572" s="53">
        <f>IF(P1572="","",IF(H1572="USD",G1572,IF(R1572&gt;0,G1572/R1572,0)))</f>
        <v/>
      </c>
      <c r="U1572" s="53">
        <f>IF(P1572="","",IF(P1572="Gasto",S1572,IF(P1572="Reembolso",-S1572,0)))</f>
        <v/>
      </c>
      <c r="V1572" s="53">
        <f>IF(P1572="","",IF(P1572="Ingreso",S1572,0))</f>
        <v/>
      </c>
      <c r="W1572" s="53">
        <f>IF(P1572="","",IF(P1572="Resultado trading",S1572,0))</f>
        <v/>
      </c>
      <c r="X1572" s="52">
        <f>IF(OR(P1572="Gasto",P1572="Reembolso"),IF(M1572&lt;&gt;"",M1572,IFERROR(INDEX(catClasif,MATCH(D1572&amp;"|"&amp;E1572,catClave,0))&amp;"","Variable")),"")</f>
        <v/>
      </c>
      <c r="Y1572" s="52">
        <f>IF(P1572="","",IFERROR(INDEX(catGrupo,MATCH(D1572&amp;"|"&amp;E1572,catClave,0))&amp;"",""))</f>
        <v/>
      </c>
      <c r="Z1572" s="52">
        <f>IF(P1572="","",WEEKDAY(B1572,2))</f>
        <v/>
      </c>
      <c r="AA1572" s="52">
        <f>IF(P1572="","",IF(AND(P1572="Gasto",X1572="Variable",D1572&lt;&gt;catTrading,S1572&gt;0,S1572&lt;=Umbral),1,0))</f>
        <v/>
      </c>
      <c r="AB1572" s="52">
        <f>IF(OR(P1572="",Q1572=""),"",IFERROR(IF(INDEX(ctaVinc,MATCH(Q1572,ctaNombre,0))&amp;""&lt;&gt;"",INDEX(ctaVinc,MATCH(Q1572,ctaNombre,0))&amp;"",Q1572),Q1572))</f>
        <v/>
      </c>
      <c r="AC1572" s="52">
        <f>IF(OR(K1572="",AND(P1572&lt;&gt;"Transferencia",P1572&lt;&gt;"Pago tarjeta")),"",IFERROR(IF(INDEX(ctaVinc,MATCH(K1572,ctaNombre,0))&amp;""&lt;&gt;"",INDEX(ctaVinc,MATCH(K1572,ctaNombre,0))&amp;"",K1572),K1572))</f>
        <v/>
      </c>
      <c r="AD1572" s="52">
        <f>IF(AB1572="","",IFERROR(INDEX(ctaTipo,MATCH(AB1572,ctaNombre,0))&amp;"",""))</f>
        <v/>
      </c>
      <c r="AE1572" s="52">
        <f>IF(AC1572="","",IFERROR(INDEX(ctaTipo,MATCH(AC1572,ctaNombre,0))&amp;"",""))</f>
        <v/>
      </c>
      <c r="AF1572" s="53">
        <f>IF(OR(P1572="",AB1572=""),"",IF(OR(P1572="Gasto",P1572="Transferencia",P1572="Pago tarjeta"),-1,1)*IF(IFERROR(INDEX(ctaMoneda,MATCH(AB1572,ctaNombre,0))&amp;"","DOP")="USD",T1572,S1572))</f>
        <v/>
      </c>
      <c r="AG1572" s="53">
        <f>IF(AC1572="","",IF(IFERROR(INDEX(ctaMoneda,MATCH(AC1572,ctaNombre,0))&amp;"","DOP")="USD",T1572,S1572))</f>
        <v/>
      </c>
      <c r="AH1572" s="53">
        <f>IF(P1572="","",IF(AND(AD1572&lt;&gt;"",COUNTIFS(tcTipo,AD1572,tcLiq,"Sí")&gt;0),IF(OR(P1572="Gasto",P1572="Transferencia",P1572="Pago tarjeta"),-1,1)*S1572,0)+IF(AND(AE1572&lt;&gt;"",COUNTIFS(tcTipo,AE1572,tcLiq,"Sí")&gt;0),S1572,0))</f>
        <v/>
      </c>
      <c r="AI1572" s="52">
        <f>IF(OR(L1572="",P1572=""),"",IF(COUNTIFS(L$6:L1572,L1572,P$6:P1572,"?*")=1,MAX(AI$5:AI1571)+1,""))</f>
        <v/>
      </c>
    </row>
    <row r="1573">
      <c r="B1573" s="47" t="n"/>
      <c r="C1573" s="48" t="n"/>
      <c r="D1573" s="48" t="n"/>
      <c r="E1573" s="48" t="n"/>
      <c r="F1573" s="48" t="n"/>
      <c r="G1573" s="49" t="n"/>
      <c r="H1573" s="48" t="n"/>
      <c r="I1573" s="50" t="n"/>
      <c r="J1573" s="48" t="n"/>
      <c r="K1573" s="48" t="n"/>
      <c r="L1573" s="48" t="n"/>
      <c r="M1573" s="48" t="n"/>
      <c r="N1573" s="48" t="n"/>
      <c r="O1573" s="51">
        <f>IF(AND(B1573="",G1573="",C1573="",D1573="",J1573=""),"",IF(B1573="","⚠ Falta fecha",IF(G1573="","⚠ Falta monto",IF(Q1573="","⚠ Falta cuenta",IF(ISNA(MATCH(Q1573,ctaNombre,0)),"⚠ Cuenta no registrada",IF(AND(OR(P1573="Gasto",P1573="Reembolso"),D1573=""),"⚠ Falta categoría",IF(AND(D1573&lt;&gt;"",E1573&lt;&gt;"",ISNA(MATCH(D1573&amp;"|"&amp;E1573,catClave,0))),"⚠ Subcategoría no corresponde",IF(AND(OR(P1573="Transferencia",P1573="Pago tarjeta"),K1573=""),"⚠ Falta cuenta destino",IF(AND(K1573&lt;&gt;"",P1573&lt;&gt;"Transferencia",P1573&lt;&gt;"Pago tarjeta"),"⚠ Destino solo aplica a transferencias",IF(AND(K1573&lt;&gt;"",K1573=Q1573),"⚠ Origen igual a destino",IF(AND(K1573&lt;&gt;"",ISNA(MATCH(K1573,ctaNombre,0))),"⚠ Destino no registrado",IF(AND(P1573="Pago tarjeta",AE1573&lt;&gt;"Tarjeta de crédito"),"⚠ El destino debe ser tarjeta de crédito",IF(AND(P1573="Gasto",E1573="Depósitos y retiros"),"⚠ Usa tipo Transferencia",IF(AND(P1573="Resultado trading",AD1573&lt;&gt;"Cuenta de trading"),"⚠ Usa una cuenta de trading",IF(AND(G1573&lt;=0,P1573&lt;&gt;"Ajuste",P1573&lt;&gt;"Resultado trading"),"⚠ El monto debe ser positivo","✓")))))))))))))))</f>
        <v/>
      </c>
      <c r="P1573" s="52">
        <f>IF(OR(B1573="",G1573=""),"",IF(C1573="","Gasto",C1573))</f>
        <v/>
      </c>
      <c r="Q1573" s="52">
        <f>IF(P1573="","",IF(J1573&lt;&gt;"",J1573,CuentaPred&amp;""))</f>
        <v/>
      </c>
      <c r="R1573" s="52">
        <f>IF(P1573="","",IF(ISNUMBER(I1573),I1573,TasaUSD))</f>
        <v/>
      </c>
      <c r="S1573" s="53">
        <f>IF(P1573="","",IF(H1573="USD",G1573*R1573,G1573))</f>
        <v/>
      </c>
      <c r="T1573" s="53">
        <f>IF(P1573="","",IF(H1573="USD",G1573,IF(R1573&gt;0,G1573/R1573,0)))</f>
        <v/>
      </c>
      <c r="U1573" s="53">
        <f>IF(P1573="","",IF(P1573="Gasto",S1573,IF(P1573="Reembolso",-S1573,0)))</f>
        <v/>
      </c>
      <c r="V1573" s="53">
        <f>IF(P1573="","",IF(P1573="Ingreso",S1573,0))</f>
        <v/>
      </c>
      <c r="W1573" s="53">
        <f>IF(P1573="","",IF(P1573="Resultado trading",S1573,0))</f>
        <v/>
      </c>
      <c r="X1573" s="52">
        <f>IF(OR(P1573="Gasto",P1573="Reembolso"),IF(M1573&lt;&gt;"",M1573,IFERROR(INDEX(catClasif,MATCH(D1573&amp;"|"&amp;E1573,catClave,0))&amp;"","Variable")),"")</f>
        <v/>
      </c>
      <c r="Y1573" s="52">
        <f>IF(P1573="","",IFERROR(INDEX(catGrupo,MATCH(D1573&amp;"|"&amp;E1573,catClave,0))&amp;"",""))</f>
        <v/>
      </c>
      <c r="Z1573" s="52">
        <f>IF(P1573="","",WEEKDAY(B1573,2))</f>
        <v/>
      </c>
      <c r="AA1573" s="52">
        <f>IF(P1573="","",IF(AND(P1573="Gasto",X1573="Variable",D1573&lt;&gt;catTrading,S1573&gt;0,S1573&lt;=Umbral),1,0))</f>
        <v/>
      </c>
      <c r="AB1573" s="52">
        <f>IF(OR(P1573="",Q1573=""),"",IFERROR(IF(INDEX(ctaVinc,MATCH(Q1573,ctaNombre,0))&amp;""&lt;&gt;"",INDEX(ctaVinc,MATCH(Q1573,ctaNombre,0))&amp;"",Q1573),Q1573))</f>
        <v/>
      </c>
      <c r="AC1573" s="52">
        <f>IF(OR(K1573="",AND(P1573&lt;&gt;"Transferencia",P1573&lt;&gt;"Pago tarjeta")),"",IFERROR(IF(INDEX(ctaVinc,MATCH(K1573,ctaNombre,0))&amp;""&lt;&gt;"",INDEX(ctaVinc,MATCH(K1573,ctaNombre,0))&amp;"",K1573),K1573))</f>
        <v/>
      </c>
      <c r="AD1573" s="52">
        <f>IF(AB1573="","",IFERROR(INDEX(ctaTipo,MATCH(AB1573,ctaNombre,0))&amp;"",""))</f>
        <v/>
      </c>
      <c r="AE1573" s="52">
        <f>IF(AC1573="","",IFERROR(INDEX(ctaTipo,MATCH(AC1573,ctaNombre,0))&amp;"",""))</f>
        <v/>
      </c>
      <c r="AF1573" s="53">
        <f>IF(OR(P1573="",AB1573=""),"",IF(OR(P1573="Gasto",P1573="Transferencia",P1573="Pago tarjeta"),-1,1)*IF(IFERROR(INDEX(ctaMoneda,MATCH(AB1573,ctaNombre,0))&amp;"","DOP")="USD",T1573,S1573))</f>
        <v/>
      </c>
      <c r="AG1573" s="53">
        <f>IF(AC1573="","",IF(IFERROR(INDEX(ctaMoneda,MATCH(AC1573,ctaNombre,0))&amp;"","DOP")="USD",T1573,S1573))</f>
        <v/>
      </c>
      <c r="AH1573" s="53">
        <f>IF(P1573="","",IF(AND(AD1573&lt;&gt;"",COUNTIFS(tcTipo,AD1573,tcLiq,"Sí")&gt;0),IF(OR(P1573="Gasto",P1573="Transferencia",P1573="Pago tarjeta"),-1,1)*S1573,0)+IF(AND(AE1573&lt;&gt;"",COUNTIFS(tcTipo,AE1573,tcLiq,"Sí")&gt;0),S1573,0))</f>
        <v/>
      </c>
      <c r="AI1573" s="52">
        <f>IF(OR(L1573="",P1573=""),"",IF(COUNTIFS(L$6:L1573,L1573,P$6:P1573,"?*")=1,MAX(AI$5:AI1572)+1,""))</f>
        <v/>
      </c>
    </row>
    <row r="1574">
      <c r="B1574" s="47" t="n"/>
      <c r="C1574" s="48" t="n"/>
      <c r="D1574" s="48" t="n"/>
      <c r="E1574" s="48" t="n"/>
      <c r="F1574" s="48" t="n"/>
      <c r="G1574" s="49" t="n"/>
      <c r="H1574" s="48" t="n"/>
      <c r="I1574" s="50" t="n"/>
      <c r="J1574" s="48" t="n"/>
      <c r="K1574" s="48" t="n"/>
      <c r="L1574" s="48" t="n"/>
      <c r="M1574" s="48" t="n"/>
      <c r="N1574" s="48" t="n"/>
      <c r="O1574" s="51">
        <f>IF(AND(B1574="",G1574="",C1574="",D1574="",J1574=""),"",IF(B1574="","⚠ Falta fecha",IF(G1574="","⚠ Falta monto",IF(Q1574="","⚠ Falta cuenta",IF(ISNA(MATCH(Q1574,ctaNombre,0)),"⚠ Cuenta no registrada",IF(AND(OR(P1574="Gasto",P1574="Reembolso"),D1574=""),"⚠ Falta categoría",IF(AND(D1574&lt;&gt;"",E1574&lt;&gt;"",ISNA(MATCH(D1574&amp;"|"&amp;E1574,catClave,0))),"⚠ Subcategoría no corresponde",IF(AND(OR(P1574="Transferencia",P1574="Pago tarjeta"),K1574=""),"⚠ Falta cuenta destino",IF(AND(K1574&lt;&gt;"",P1574&lt;&gt;"Transferencia",P1574&lt;&gt;"Pago tarjeta"),"⚠ Destino solo aplica a transferencias",IF(AND(K1574&lt;&gt;"",K1574=Q1574),"⚠ Origen igual a destino",IF(AND(K1574&lt;&gt;"",ISNA(MATCH(K1574,ctaNombre,0))),"⚠ Destino no registrado",IF(AND(P1574="Pago tarjeta",AE1574&lt;&gt;"Tarjeta de crédito"),"⚠ El destino debe ser tarjeta de crédito",IF(AND(P1574="Gasto",E1574="Depósitos y retiros"),"⚠ Usa tipo Transferencia",IF(AND(P1574="Resultado trading",AD1574&lt;&gt;"Cuenta de trading"),"⚠ Usa una cuenta de trading",IF(AND(G1574&lt;=0,P1574&lt;&gt;"Ajuste",P1574&lt;&gt;"Resultado trading"),"⚠ El monto debe ser positivo","✓")))))))))))))))</f>
        <v/>
      </c>
      <c r="P1574" s="52">
        <f>IF(OR(B1574="",G1574=""),"",IF(C1574="","Gasto",C1574))</f>
        <v/>
      </c>
      <c r="Q1574" s="52">
        <f>IF(P1574="","",IF(J1574&lt;&gt;"",J1574,CuentaPred&amp;""))</f>
        <v/>
      </c>
      <c r="R1574" s="52">
        <f>IF(P1574="","",IF(ISNUMBER(I1574),I1574,TasaUSD))</f>
        <v/>
      </c>
      <c r="S1574" s="53">
        <f>IF(P1574="","",IF(H1574="USD",G1574*R1574,G1574))</f>
        <v/>
      </c>
      <c r="T1574" s="53">
        <f>IF(P1574="","",IF(H1574="USD",G1574,IF(R1574&gt;0,G1574/R1574,0)))</f>
        <v/>
      </c>
      <c r="U1574" s="53">
        <f>IF(P1574="","",IF(P1574="Gasto",S1574,IF(P1574="Reembolso",-S1574,0)))</f>
        <v/>
      </c>
      <c r="V1574" s="53">
        <f>IF(P1574="","",IF(P1574="Ingreso",S1574,0))</f>
        <v/>
      </c>
      <c r="W1574" s="53">
        <f>IF(P1574="","",IF(P1574="Resultado trading",S1574,0))</f>
        <v/>
      </c>
      <c r="X1574" s="52">
        <f>IF(OR(P1574="Gasto",P1574="Reembolso"),IF(M1574&lt;&gt;"",M1574,IFERROR(INDEX(catClasif,MATCH(D1574&amp;"|"&amp;E1574,catClave,0))&amp;"","Variable")),"")</f>
        <v/>
      </c>
      <c r="Y1574" s="52">
        <f>IF(P1574="","",IFERROR(INDEX(catGrupo,MATCH(D1574&amp;"|"&amp;E1574,catClave,0))&amp;"",""))</f>
        <v/>
      </c>
      <c r="Z1574" s="52">
        <f>IF(P1574="","",WEEKDAY(B1574,2))</f>
        <v/>
      </c>
      <c r="AA1574" s="52">
        <f>IF(P1574="","",IF(AND(P1574="Gasto",X1574="Variable",D1574&lt;&gt;catTrading,S1574&gt;0,S1574&lt;=Umbral),1,0))</f>
        <v/>
      </c>
      <c r="AB1574" s="52">
        <f>IF(OR(P1574="",Q1574=""),"",IFERROR(IF(INDEX(ctaVinc,MATCH(Q1574,ctaNombre,0))&amp;""&lt;&gt;"",INDEX(ctaVinc,MATCH(Q1574,ctaNombre,0))&amp;"",Q1574),Q1574))</f>
        <v/>
      </c>
      <c r="AC1574" s="52">
        <f>IF(OR(K1574="",AND(P1574&lt;&gt;"Transferencia",P1574&lt;&gt;"Pago tarjeta")),"",IFERROR(IF(INDEX(ctaVinc,MATCH(K1574,ctaNombre,0))&amp;""&lt;&gt;"",INDEX(ctaVinc,MATCH(K1574,ctaNombre,0))&amp;"",K1574),K1574))</f>
        <v/>
      </c>
      <c r="AD1574" s="52">
        <f>IF(AB1574="","",IFERROR(INDEX(ctaTipo,MATCH(AB1574,ctaNombre,0))&amp;"",""))</f>
        <v/>
      </c>
      <c r="AE1574" s="52">
        <f>IF(AC1574="","",IFERROR(INDEX(ctaTipo,MATCH(AC1574,ctaNombre,0))&amp;"",""))</f>
        <v/>
      </c>
      <c r="AF1574" s="53">
        <f>IF(OR(P1574="",AB1574=""),"",IF(OR(P1574="Gasto",P1574="Transferencia",P1574="Pago tarjeta"),-1,1)*IF(IFERROR(INDEX(ctaMoneda,MATCH(AB1574,ctaNombre,0))&amp;"","DOP")="USD",T1574,S1574))</f>
        <v/>
      </c>
      <c r="AG1574" s="53">
        <f>IF(AC1574="","",IF(IFERROR(INDEX(ctaMoneda,MATCH(AC1574,ctaNombre,0))&amp;"","DOP")="USD",T1574,S1574))</f>
        <v/>
      </c>
      <c r="AH1574" s="53">
        <f>IF(P1574="","",IF(AND(AD1574&lt;&gt;"",COUNTIFS(tcTipo,AD1574,tcLiq,"Sí")&gt;0),IF(OR(P1574="Gasto",P1574="Transferencia",P1574="Pago tarjeta"),-1,1)*S1574,0)+IF(AND(AE1574&lt;&gt;"",COUNTIFS(tcTipo,AE1574,tcLiq,"Sí")&gt;0),S1574,0))</f>
        <v/>
      </c>
      <c r="AI1574" s="52">
        <f>IF(OR(L1574="",P1574=""),"",IF(COUNTIFS(L$6:L1574,L1574,P$6:P1574,"?*")=1,MAX(AI$5:AI1573)+1,""))</f>
        <v/>
      </c>
    </row>
    <row r="1575">
      <c r="B1575" s="47" t="n"/>
      <c r="C1575" s="48" t="n"/>
      <c r="D1575" s="48" t="n"/>
      <c r="E1575" s="48" t="n"/>
      <c r="F1575" s="48" t="n"/>
      <c r="G1575" s="49" t="n"/>
      <c r="H1575" s="48" t="n"/>
      <c r="I1575" s="50" t="n"/>
      <c r="J1575" s="48" t="n"/>
      <c r="K1575" s="48" t="n"/>
      <c r="L1575" s="48" t="n"/>
      <c r="M1575" s="48" t="n"/>
      <c r="N1575" s="48" t="n"/>
      <c r="O1575" s="51">
        <f>IF(AND(B1575="",G1575="",C1575="",D1575="",J1575=""),"",IF(B1575="","⚠ Falta fecha",IF(G1575="","⚠ Falta monto",IF(Q1575="","⚠ Falta cuenta",IF(ISNA(MATCH(Q1575,ctaNombre,0)),"⚠ Cuenta no registrada",IF(AND(OR(P1575="Gasto",P1575="Reembolso"),D1575=""),"⚠ Falta categoría",IF(AND(D1575&lt;&gt;"",E1575&lt;&gt;"",ISNA(MATCH(D1575&amp;"|"&amp;E1575,catClave,0))),"⚠ Subcategoría no corresponde",IF(AND(OR(P1575="Transferencia",P1575="Pago tarjeta"),K1575=""),"⚠ Falta cuenta destino",IF(AND(K1575&lt;&gt;"",P1575&lt;&gt;"Transferencia",P1575&lt;&gt;"Pago tarjeta"),"⚠ Destino solo aplica a transferencias",IF(AND(K1575&lt;&gt;"",K1575=Q1575),"⚠ Origen igual a destino",IF(AND(K1575&lt;&gt;"",ISNA(MATCH(K1575,ctaNombre,0))),"⚠ Destino no registrado",IF(AND(P1575="Pago tarjeta",AE1575&lt;&gt;"Tarjeta de crédito"),"⚠ El destino debe ser tarjeta de crédito",IF(AND(P1575="Gasto",E1575="Depósitos y retiros"),"⚠ Usa tipo Transferencia",IF(AND(P1575="Resultado trading",AD1575&lt;&gt;"Cuenta de trading"),"⚠ Usa una cuenta de trading",IF(AND(G1575&lt;=0,P1575&lt;&gt;"Ajuste",P1575&lt;&gt;"Resultado trading"),"⚠ El monto debe ser positivo","✓")))))))))))))))</f>
        <v/>
      </c>
      <c r="P1575" s="52">
        <f>IF(OR(B1575="",G1575=""),"",IF(C1575="","Gasto",C1575))</f>
        <v/>
      </c>
      <c r="Q1575" s="52">
        <f>IF(P1575="","",IF(J1575&lt;&gt;"",J1575,CuentaPred&amp;""))</f>
        <v/>
      </c>
      <c r="R1575" s="52">
        <f>IF(P1575="","",IF(ISNUMBER(I1575),I1575,TasaUSD))</f>
        <v/>
      </c>
      <c r="S1575" s="53">
        <f>IF(P1575="","",IF(H1575="USD",G1575*R1575,G1575))</f>
        <v/>
      </c>
      <c r="T1575" s="53">
        <f>IF(P1575="","",IF(H1575="USD",G1575,IF(R1575&gt;0,G1575/R1575,0)))</f>
        <v/>
      </c>
      <c r="U1575" s="53">
        <f>IF(P1575="","",IF(P1575="Gasto",S1575,IF(P1575="Reembolso",-S1575,0)))</f>
        <v/>
      </c>
      <c r="V1575" s="53">
        <f>IF(P1575="","",IF(P1575="Ingreso",S1575,0))</f>
        <v/>
      </c>
      <c r="W1575" s="53">
        <f>IF(P1575="","",IF(P1575="Resultado trading",S1575,0))</f>
        <v/>
      </c>
      <c r="X1575" s="52">
        <f>IF(OR(P1575="Gasto",P1575="Reembolso"),IF(M1575&lt;&gt;"",M1575,IFERROR(INDEX(catClasif,MATCH(D1575&amp;"|"&amp;E1575,catClave,0))&amp;"","Variable")),"")</f>
        <v/>
      </c>
      <c r="Y1575" s="52">
        <f>IF(P1575="","",IFERROR(INDEX(catGrupo,MATCH(D1575&amp;"|"&amp;E1575,catClave,0))&amp;"",""))</f>
        <v/>
      </c>
      <c r="Z1575" s="52">
        <f>IF(P1575="","",WEEKDAY(B1575,2))</f>
        <v/>
      </c>
      <c r="AA1575" s="52">
        <f>IF(P1575="","",IF(AND(P1575="Gasto",X1575="Variable",D1575&lt;&gt;catTrading,S1575&gt;0,S1575&lt;=Umbral),1,0))</f>
        <v/>
      </c>
      <c r="AB1575" s="52">
        <f>IF(OR(P1575="",Q1575=""),"",IFERROR(IF(INDEX(ctaVinc,MATCH(Q1575,ctaNombre,0))&amp;""&lt;&gt;"",INDEX(ctaVinc,MATCH(Q1575,ctaNombre,0))&amp;"",Q1575),Q1575))</f>
        <v/>
      </c>
      <c r="AC1575" s="52">
        <f>IF(OR(K1575="",AND(P1575&lt;&gt;"Transferencia",P1575&lt;&gt;"Pago tarjeta")),"",IFERROR(IF(INDEX(ctaVinc,MATCH(K1575,ctaNombre,0))&amp;""&lt;&gt;"",INDEX(ctaVinc,MATCH(K1575,ctaNombre,0))&amp;"",K1575),K1575))</f>
        <v/>
      </c>
      <c r="AD1575" s="52">
        <f>IF(AB1575="","",IFERROR(INDEX(ctaTipo,MATCH(AB1575,ctaNombre,0))&amp;"",""))</f>
        <v/>
      </c>
      <c r="AE1575" s="52">
        <f>IF(AC1575="","",IFERROR(INDEX(ctaTipo,MATCH(AC1575,ctaNombre,0))&amp;"",""))</f>
        <v/>
      </c>
      <c r="AF1575" s="53">
        <f>IF(OR(P1575="",AB1575=""),"",IF(OR(P1575="Gasto",P1575="Transferencia",P1575="Pago tarjeta"),-1,1)*IF(IFERROR(INDEX(ctaMoneda,MATCH(AB1575,ctaNombre,0))&amp;"","DOP")="USD",T1575,S1575))</f>
        <v/>
      </c>
      <c r="AG1575" s="53">
        <f>IF(AC1575="","",IF(IFERROR(INDEX(ctaMoneda,MATCH(AC1575,ctaNombre,0))&amp;"","DOP")="USD",T1575,S1575))</f>
        <v/>
      </c>
      <c r="AH1575" s="53">
        <f>IF(P1575="","",IF(AND(AD1575&lt;&gt;"",COUNTIFS(tcTipo,AD1575,tcLiq,"Sí")&gt;0),IF(OR(P1575="Gasto",P1575="Transferencia",P1575="Pago tarjeta"),-1,1)*S1575,0)+IF(AND(AE1575&lt;&gt;"",COUNTIFS(tcTipo,AE1575,tcLiq,"Sí")&gt;0),S1575,0))</f>
        <v/>
      </c>
      <c r="AI1575" s="52">
        <f>IF(OR(L1575="",P1575=""),"",IF(COUNTIFS(L$6:L1575,L1575,P$6:P1575,"?*")=1,MAX(AI$5:AI1574)+1,""))</f>
        <v/>
      </c>
    </row>
    <row r="1576">
      <c r="B1576" s="47" t="n"/>
      <c r="C1576" s="48" t="n"/>
      <c r="D1576" s="48" t="n"/>
      <c r="E1576" s="48" t="n"/>
      <c r="F1576" s="48" t="n"/>
      <c r="G1576" s="49" t="n"/>
      <c r="H1576" s="48" t="n"/>
      <c r="I1576" s="50" t="n"/>
      <c r="J1576" s="48" t="n"/>
      <c r="K1576" s="48" t="n"/>
      <c r="L1576" s="48" t="n"/>
      <c r="M1576" s="48" t="n"/>
      <c r="N1576" s="48" t="n"/>
      <c r="O1576" s="51">
        <f>IF(AND(B1576="",G1576="",C1576="",D1576="",J1576=""),"",IF(B1576="","⚠ Falta fecha",IF(G1576="","⚠ Falta monto",IF(Q1576="","⚠ Falta cuenta",IF(ISNA(MATCH(Q1576,ctaNombre,0)),"⚠ Cuenta no registrada",IF(AND(OR(P1576="Gasto",P1576="Reembolso"),D1576=""),"⚠ Falta categoría",IF(AND(D1576&lt;&gt;"",E1576&lt;&gt;"",ISNA(MATCH(D1576&amp;"|"&amp;E1576,catClave,0))),"⚠ Subcategoría no corresponde",IF(AND(OR(P1576="Transferencia",P1576="Pago tarjeta"),K1576=""),"⚠ Falta cuenta destino",IF(AND(K1576&lt;&gt;"",P1576&lt;&gt;"Transferencia",P1576&lt;&gt;"Pago tarjeta"),"⚠ Destino solo aplica a transferencias",IF(AND(K1576&lt;&gt;"",K1576=Q1576),"⚠ Origen igual a destino",IF(AND(K1576&lt;&gt;"",ISNA(MATCH(K1576,ctaNombre,0))),"⚠ Destino no registrado",IF(AND(P1576="Pago tarjeta",AE1576&lt;&gt;"Tarjeta de crédito"),"⚠ El destino debe ser tarjeta de crédito",IF(AND(P1576="Gasto",E1576="Depósitos y retiros"),"⚠ Usa tipo Transferencia",IF(AND(P1576="Resultado trading",AD1576&lt;&gt;"Cuenta de trading"),"⚠ Usa una cuenta de trading",IF(AND(G1576&lt;=0,P1576&lt;&gt;"Ajuste",P1576&lt;&gt;"Resultado trading"),"⚠ El monto debe ser positivo","✓")))))))))))))))</f>
        <v/>
      </c>
      <c r="P1576" s="52">
        <f>IF(OR(B1576="",G1576=""),"",IF(C1576="","Gasto",C1576))</f>
        <v/>
      </c>
      <c r="Q1576" s="52">
        <f>IF(P1576="","",IF(J1576&lt;&gt;"",J1576,CuentaPred&amp;""))</f>
        <v/>
      </c>
      <c r="R1576" s="52">
        <f>IF(P1576="","",IF(ISNUMBER(I1576),I1576,TasaUSD))</f>
        <v/>
      </c>
      <c r="S1576" s="53">
        <f>IF(P1576="","",IF(H1576="USD",G1576*R1576,G1576))</f>
        <v/>
      </c>
      <c r="T1576" s="53">
        <f>IF(P1576="","",IF(H1576="USD",G1576,IF(R1576&gt;0,G1576/R1576,0)))</f>
        <v/>
      </c>
      <c r="U1576" s="53">
        <f>IF(P1576="","",IF(P1576="Gasto",S1576,IF(P1576="Reembolso",-S1576,0)))</f>
        <v/>
      </c>
      <c r="V1576" s="53">
        <f>IF(P1576="","",IF(P1576="Ingreso",S1576,0))</f>
        <v/>
      </c>
      <c r="W1576" s="53">
        <f>IF(P1576="","",IF(P1576="Resultado trading",S1576,0))</f>
        <v/>
      </c>
      <c r="X1576" s="52">
        <f>IF(OR(P1576="Gasto",P1576="Reembolso"),IF(M1576&lt;&gt;"",M1576,IFERROR(INDEX(catClasif,MATCH(D1576&amp;"|"&amp;E1576,catClave,0))&amp;"","Variable")),"")</f>
        <v/>
      </c>
      <c r="Y1576" s="52">
        <f>IF(P1576="","",IFERROR(INDEX(catGrupo,MATCH(D1576&amp;"|"&amp;E1576,catClave,0))&amp;"",""))</f>
        <v/>
      </c>
      <c r="Z1576" s="52">
        <f>IF(P1576="","",WEEKDAY(B1576,2))</f>
        <v/>
      </c>
      <c r="AA1576" s="52">
        <f>IF(P1576="","",IF(AND(P1576="Gasto",X1576="Variable",D1576&lt;&gt;catTrading,S1576&gt;0,S1576&lt;=Umbral),1,0))</f>
        <v/>
      </c>
      <c r="AB1576" s="52">
        <f>IF(OR(P1576="",Q1576=""),"",IFERROR(IF(INDEX(ctaVinc,MATCH(Q1576,ctaNombre,0))&amp;""&lt;&gt;"",INDEX(ctaVinc,MATCH(Q1576,ctaNombre,0))&amp;"",Q1576),Q1576))</f>
        <v/>
      </c>
      <c r="AC1576" s="52">
        <f>IF(OR(K1576="",AND(P1576&lt;&gt;"Transferencia",P1576&lt;&gt;"Pago tarjeta")),"",IFERROR(IF(INDEX(ctaVinc,MATCH(K1576,ctaNombre,0))&amp;""&lt;&gt;"",INDEX(ctaVinc,MATCH(K1576,ctaNombre,0))&amp;"",K1576),K1576))</f>
        <v/>
      </c>
      <c r="AD1576" s="52">
        <f>IF(AB1576="","",IFERROR(INDEX(ctaTipo,MATCH(AB1576,ctaNombre,0))&amp;"",""))</f>
        <v/>
      </c>
      <c r="AE1576" s="52">
        <f>IF(AC1576="","",IFERROR(INDEX(ctaTipo,MATCH(AC1576,ctaNombre,0))&amp;"",""))</f>
        <v/>
      </c>
      <c r="AF1576" s="53">
        <f>IF(OR(P1576="",AB1576=""),"",IF(OR(P1576="Gasto",P1576="Transferencia",P1576="Pago tarjeta"),-1,1)*IF(IFERROR(INDEX(ctaMoneda,MATCH(AB1576,ctaNombre,0))&amp;"","DOP")="USD",T1576,S1576))</f>
        <v/>
      </c>
      <c r="AG1576" s="53">
        <f>IF(AC1576="","",IF(IFERROR(INDEX(ctaMoneda,MATCH(AC1576,ctaNombre,0))&amp;"","DOP")="USD",T1576,S1576))</f>
        <v/>
      </c>
      <c r="AH1576" s="53">
        <f>IF(P1576="","",IF(AND(AD1576&lt;&gt;"",COUNTIFS(tcTipo,AD1576,tcLiq,"Sí")&gt;0),IF(OR(P1576="Gasto",P1576="Transferencia",P1576="Pago tarjeta"),-1,1)*S1576,0)+IF(AND(AE1576&lt;&gt;"",COUNTIFS(tcTipo,AE1576,tcLiq,"Sí")&gt;0),S1576,0))</f>
        <v/>
      </c>
      <c r="AI1576" s="52">
        <f>IF(OR(L1576="",P1576=""),"",IF(COUNTIFS(L$6:L1576,L1576,P$6:P1576,"?*")=1,MAX(AI$5:AI1575)+1,""))</f>
        <v/>
      </c>
    </row>
    <row r="1577">
      <c r="B1577" s="47" t="n"/>
      <c r="C1577" s="48" t="n"/>
      <c r="D1577" s="48" t="n"/>
      <c r="E1577" s="48" t="n"/>
      <c r="F1577" s="48" t="n"/>
      <c r="G1577" s="49" t="n"/>
      <c r="H1577" s="48" t="n"/>
      <c r="I1577" s="50" t="n"/>
      <c r="J1577" s="48" t="n"/>
      <c r="K1577" s="48" t="n"/>
      <c r="L1577" s="48" t="n"/>
      <c r="M1577" s="48" t="n"/>
      <c r="N1577" s="48" t="n"/>
      <c r="O1577" s="51">
        <f>IF(AND(B1577="",G1577="",C1577="",D1577="",J1577=""),"",IF(B1577="","⚠ Falta fecha",IF(G1577="","⚠ Falta monto",IF(Q1577="","⚠ Falta cuenta",IF(ISNA(MATCH(Q1577,ctaNombre,0)),"⚠ Cuenta no registrada",IF(AND(OR(P1577="Gasto",P1577="Reembolso"),D1577=""),"⚠ Falta categoría",IF(AND(D1577&lt;&gt;"",E1577&lt;&gt;"",ISNA(MATCH(D1577&amp;"|"&amp;E1577,catClave,0))),"⚠ Subcategoría no corresponde",IF(AND(OR(P1577="Transferencia",P1577="Pago tarjeta"),K1577=""),"⚠ Falta cuenta destino",IF(AND(K1577&lt;&gt;"",P1577&lt;&gt;"Transferencia",P1577&lt;&gt;"Pago tarjeta"),"⚠ Destino solo aplica a transferencias",IF(AND(K1577&lt;&gt;"",K1577=Q1577),"⚠ Origen igual a destino",IF(AND(K1577&lt;&gt;"",ISNA(MATCH(K1577,ctaNombre,0))),"⚠ Destino no registrado",IF(AND(P1577="Pago tarjeta",AE1577&lt;&gt;"Tarjeta de crédito"),"⚠ El destino debe ser tarjeta de crédito",IF(AND(P1577="Gasto",E1577="Depósitos y retiros"),"⚠ Usa tipo Transferencia",IF(AND(P1577="Resultado trading",AD1577&lt;&gt;"Cuenta de trading"),"⚠ Usa una cuenta de trading",IF(AND(G1577&lt;=0,P1577&lt;&gt;"Ajuste",P1577&lt;&gt;"Resultado trading"),"⚠ El monto debe ser positivo","✓")))))))))))))))</f>
        <v/>
      </c>
      <c r="P1577" s="52">
        <f>IF(OR(B1577="",G1577=""),"",IF(C1577="","Gasto",C1577))</f>
        <v/>
      </c>
      <c r="Q1577" s="52">
        <f>IF(P1577="","",IF(J1577&lt;&gt;"",J1577,CuentaPred&amp;""))</f>
        <v/>
      </c>
      <c r="R1577" s="52">
        <f>IF(P1577="","",IF(ISNUMBER(I1577),I1577,TasaUSD))</f>
        <v/>
      </c>
      <c r="S1577" s="53">
        <f>IF(P1577="","",IF(H1577="USD",G1577*R1577,G1577))</f>
        <v/>
      </c>
      <c r="T1577" s="53">
        <f>IF(P1577="","",IF(H1577="USD",G1577,IF(R1577&gt;0,G1577/R1577,0)))</f>
        <v/>
      </c>
      <c r="U1577" s="53">
        <f>IF(P1577="","",IF(P1577="Gasto",S1577,IF(P1577="Reembolso",-S1577,0)))</f>
        <v/>
      </c>
      <c r="V1577" s="53">
        <f>IF(P1577="","",IF(P1577="Ingreso",S1577,0))</f>
        <v/>
      </c>
      <c r="W1577" s="53">
        <f>IF(P1577="","",IF(P1577="Resultado trading",S1577,0))</f>
        <v/>
      </c>
      <c r="X1577" s="52">
        <f>IF(OR(P1577="Gasto",P1577="Reembolso"),IF(M1577&lt;&gt;"",M1577,IFERROR(INDEX(catClasif,MATCH(D1577&amp;"|"&amp;E1577,catClave,0))&amp;"","Variable")),"")</f>
        <v/>
      </c>
      <c r="Y1577" s="52">
        <f>IF(P1577="","",IFERROR(INDEX(catGrupo,MATCH(D1577&amp;"|"&amp;E1577,catClave,0))&amp;"",""))</f>
        <v/>
      </c>
      <c r="Z1577" s="52">
        <f>IF(P1577="","",WEEKDAY(B1577,2))</f>
        <v/>
      </c>
      <c r="AA1577" s="52">
        <f>IF(P1577="","",IF(AND(P1577="Gasto",X1577="Variable",D1577&lt;&gt;catTrading,S1577&gt;0,S1577&lt;=Umbral),1,0))</f>
        <v/>
      </c>
      <c r="AB1577" s="52">
        <f>IF(OR(P1577="",Q1577=""),"",IFERROR(IF(INDEX(ctaVinc,MATCH(Q1577,ctaNombre,0))&amp;""&lt;&gt;"",INDEX(ctaVinc,MATCH(Q1577,ctaNombre,0))&amp;"",Q1577),Q1577))</f>
        <v/>
      </c>
      <c r="AC1577" s="52">
        <f>IF(OR(K1577="",AND(P1577&lt;&gt;"Transferencia",P1577&lt;&gt;"Pago tarjeta")),"",IFERROR(IF(INDEX(ctaVinc,MATCH(K1577,ctaNombre,0))&amp;""&lt;&gt;"",INDEX(ctaVinc,MATCH(K1577,ctaNombre,0))&amp;"",K1577),K1577))</f>
        <v/>
      </c>
      <c r="AD1577" s="52">
        <f>IF(AB1577="","",IFERROR(INDEX(ctaTipo,MATCH(AB1577,ctaNombre,0))&amp;"",""))</f>
        <v/>
      </c>
      <c r="AE1577" s="52">
        <f>IF(AC1577="","",IFERROR(INDEX(ctaTipo,MATCH(AC1577,ctaNombre,0))&amp;"",""))</f>
        <v/>
      </c>
      <c r="AF1577" s="53">
        <f>IF(OR(P1577="",AB1577=""),"",IF(OR(P1577="Gasto",P1577="Transferencia",P1577="Pago tarjeta"),-1,1)*IF(IFERROR(INDEX(ctaMoneda,MATCH(AB1577,ctaNombre,0))&amp;"","DOP")="USD",T1577,S1577))</f>
        <v/>
      </c>
      <c r="AG1577" s="53">
        <f>IF(AC1577="","",IF(IFERROR(INDEX(ctaMoneda,MATCH(AC1577,ctaNombre,0))&amp;"","DOP")="USD",T1577,S1577))</f>
        <v/>
      </c>
      <c r="AH1577" s="53">
        <f>IF(P1577="","",IF(AND(AD1577&lt;&gt;"",COUNTIFS(tcTipo,AD1577,tcLiq,"Sí")&gt;0),IF(OR(P1577="Gasto",P1577="Transferencia",P1577="Pago tarjeta"),-1,1)*S1577,0)+IF(AND(AE1577&lt;&gt;"",COUNTIFS(tcTipo,AE1577,tcLiq,"Sí")&gt;0),S1577,0))</f>
        <v/>
      </c>
      <c r="AI1577" s="52">
        <f>IF(OR(L1577="",P1577=""),"",IF(COUNTIFS(L$6:L1577,L1577,P$6:P1577,"?*")=1,MAX(AI$5:AI1576)+1,""))</f>
        <v/>
      </c>
    </row>
    <row r="1578">
      <c r="B1578" s="47" t="n"/>
      <c r="C1578" s="48" t="n"/>
      <c r="D1578" s="48" t="n"/>
      <c r="E1578" s="48" t="n"/>
      <c r="F1578" s="48" t="n"/>
      <c r="G1578" s="49" t="n"/>
      <c r="H1578" s="48" t="n"/>
      <c r="I1578" s="50" t="n"/>
      <c r="J1578" s="48" t="n"/>
      <c r="K1578" s="48" t="n"/>
      <c r="L1578" s="48" t="n"/>
      <c r="M1578" s="48" t="n"/>
      <c r="N1578" s="48" t="n"/>
      <c r="O1578" s="51">
        <f>IF(AND(B1578="",G1578="",C1578="",D1578="",J1578=""),"",IF(B1578="","⚠ Falta fecha",IF(G1578="","⚠ Falta monto",IF(Q1578="","⚠ Falta cuenta",IF(ISNA(MATCH(Q1578,ctaNombre,0)),"⚠ Cuenta no registrada",IF(AND(OR(P1578="Gasto",P1578="Reembolso"),D1578=""),"⚠ Falta categoría",IF(AND(D1578&lt;&gt;"",E1578&lt;&gt;"",ISNA(MATCH(D1578&amp;"|"&amp;E1578,catClave,0))),"⚠ Subcategoría no corresponde",IF(AND(OR(P1578="Transferencia",P1578="Pago tarjeta"),K1578=""),"⚠ Falta cuenta destino",IF(AND(K1578&lt;&gt;"",P1578&lt;&gt;"Transferencia",P1578&lt;&gt;"Pago tarjeta"),"⚠ Destino solo aplica a transferencias",IF(AND(K1578&lt;&gt;"",K1578=Q1578),"⚠ Origen igual a destino",IF(AND(K1578&lt;&gt;"",ISNA(MATCH(K1578,ctaNombre,0))),"⚠ Destino no registrado",IF(AND(P1578="Pago tarjeta",AE1578&lt;&gt;"Tarjeta de crédito"),"⚠ El destino debe ser tarjeta de crédito",IF(AND(P1578="Gasto",E1578="Depósitos y retiros"),"⚠ Usa tipo Transferencia",IF(AND(P1578="Resultado trading",AD1578&lt;&gt;"Cuenta de trading"),"⚠ Usa una cuenta de trading",IF(AND(G1578&lt;=0,P1578&lt;&gt;"Ajuste",P1578&lt;&gt;"Resultado trading"),"⚠ El monto debe ser positivo","✓")))))))))))))))</f>
        <v/>
      </c>
      <c r="P1578" s="52">
        <f>IF(OR(B1578="",G1578=""),"",IF(C1578="","Gasto",C1578))</f>
        <v/>
      </c>
      <c r="Q1578" s="52">
        <f>IF(P1578="","",IF(J1578&lt;&gt;"",J1578,CuentaPred&amp;""))</f>
        <v/>
      </c>
      <c r="R1578" s="52">
        <f>IF(P1578="","",IF(ISNUMBER(I1578),I1578,TasaUSD))</f>
        <v/>
      </c>
      <c r="S1578" s="53">
        <f>IF(P1578="","",IF(H1578="USD",G1578*R1578,G1578))</f>
        <v/>
      </c>
      <c r="T1578" s="53">
        <f>IF(P1578="","",IF(H1578="USD",G1578,IF(R1578&gt;0,G1578/R1578,0)))</f>
        <v/>
      </c>
      <c r="U1578" s="53">
        <f>IF(P1578="","",IF(P1578="Gasto",S1578,IF(P1578="Reembolso",-S1578,0)))</f>
        <v/>
      </c>
      <c r="V1578" s="53">
        <f>IF(P1578="","",IF(P1578="Ingreso",S1578,0))</f>
        <v/>
      </c>
      <c r="W1578" s="53">
        <f>IF(P1578="","",IF(P1578="Resultado trading",S1578,0))</f>
        <v/>
      </c>
      <c r="X1578" s="52">
        <f>IF(OR(P1578="Gasto",P1578="Reembolso"),IF(M1578&lt;&gt;"",M1578,IFERROR(INDEX(catClasif,MATCH(D1578&amp;"|"&amp;E1578,catClave,0))&amp;"","Variable")),"")</f>
        <v/>
      </c>
      <c r="Y1578" s="52">
        <f>IF(P1578="","",IFERROR(INDEX(catGrupo,MATCH(D1578&amp;"|"&amp;E1578,catClave,0))&amp;"",""))</f>
        <v/>
      </c>
      <c r="Z1578" s="52">
        <f>IF(P1578="","",WEEKDAY(B1578,2))</f>
        <v/>
      </c>
      <c r="AA1578" s="52">
        <f>IF(P1578="","",IF(AND(P1578="Gasto",X1578="Variable",D1578&lt;&gt;catTrading,S1578&gt;0,S1578&lt;=Umbral),1,0))</f>
        <v/>
      </c>
      <c r="AB1578" s="52">
        <f>IF(OR(P1578="",Q1578=""),"",IFERROR(IF(INDEX(ctaVinc,MATCH(Q1578,ctaNombre,0))&amp;""&lt;&gt;"",INDEX(ctaVinc,MATCH(Q1578,ctaNombre,0))&amp;"",Q1578),Q1578))</f>
        <v/>
      </c>
      <c r="AC1578" s="52">
        <f>IF(OR(K1578="",AND(P1578&lt;&gt;"Transferencia",P1578&lt;&gt;"Pago tarjeta")),"",IFERROR(IF(INDEX(ctaVinc,MATCH(K1578,ctaNombre,0))&amp;""&lt;&gt;"",INDEX(ctaVinc,MATCH(K1578,ctaNombre,0))&amp;"",K1578),K1578))</f>
        <v/>
      </c>
      <c r="AD1578" s="52">
        <f>IF(AB1578="","",IFERROR(INDEX(ctaTipo,MATCH(AB1578,ctaNombre,0))&amp;"",""))</f>
        <v/>
      </c>
      <c r="AE1578" s="52">
        <f>IF(AC1578="","",IFERROR(INDEX(ctaTipo,MATCH(AC1578,ctaNombre,0))&amp;"",""))</f>
        <v/>
      </c>
      <c r="AF1578" s="53">
        <f>IF(OR(P1578="",AB1578=""),"",IF(OR(P1578="Gasto",P1578="Transferencia",P1578="Pago tarjeta"),-1,1)*IF(IFERROR(INDEX(ctaMoneda,MATCH(AB1578,ctaNombre,0))&amp;"","DOP")="USD",T1578,S1578))</f>
        <v/>
      </c>
      <c r="AG1578" s="53">
        <f>IF(AC1578="","",IF(IFERROR(INDEX(ctaMoneda,MATCH(AC1578,ctaNombre,0))&amp;"","DOP")="USD",T1578,S1578))</f>
        <v/>
      </c>
      <c r="AH1578" s="53">
        <f>IF(P1578="","",IF(AND(AD1578&lt;&gt;"",COUNTIFS(tcTipo,AD1578,tcLiq,"Sí")&gt;0),IF(OR(P1578="Gasto",P1578="Transferencia",P1578="Pago tarjeta"),-1,1)*S1578,0)+IF(AND(AE1578&lt;&gt;"",COUNTIFS(tcTipo,AE1578,tcLiq,"Sí")&gt;0),S1578,0))</f>
        <v/>
      </c>
      <c r="AI1578" s="52">
        <f>IF(OR(L1578="",P1578=""),"",IF(COUNTIFS(L$6:L1578,L1578,P$6:P1578,"?*")=1,MAX(AI$5:AI1577)+1,""))</f>
        <v/>
      </c>
    </row>
    <row r="1579">
      <c r="B1579" s="47" t="n"/>
      <c r="C1579" s="48" t="n"/>
      <c r="D1579" s="48" t="n"/>
      <c r="E1579" s="48" t="n"/>
      <c r="F1579" s="48" t="n"/>
      <c r="G1579" s="49" t="n"/>
      <c r="H1579" s="48" t="n"/>
      <c r="I1579" s="50" t="n"/>
      <c r="J1579" s="48" t="n"/>
      <c r="K1579" s="48" t="n"/>
      <c r="L1579" s="48" t="n"/>
      <c r="M1579" s="48" t="n"/>
      <c r="N1579" s="48" t="n"/>
      <c r="O1579" s="51">
        <f>IF(AND(B1579="",G1579="",C1579="",D1579="",J1579=""),"",IF(B1579="","⚠ Falta fecha",IF(G1579="","⚠ Falta monto",IF(Q1579="","⚠ Falta cuenta",IF(ISNA(MATCH(Q1579,ctaNombre,0)),"⚠ Cuenta no registrada",IF(AND(OR(P1579="Gasto",P1579="Reembolso"),D1579=""),"⚠ Falta categoría",IF(AND(D1579&lt;&gt;"",E1579&lt;&gt;"",ISNA(MATCH(D1579&amp;"|"&amp;E1579,catClave,0))),"⚠ Subcategoría no corresponde",IF(AND(OR(P1579="Transferencia",P1579="Pago tarjeta"),K1579=""),"⚠ Falta cuenta destino",IF(AND(K1579&lt;&gt;"",P1579&lt;&gt;"Transferencia",P1579&lt;&gt;"Pago tarjeta"),"⚠ Destino solo aplica a transferencias",IF(AND(K1579&lt;&gt;"",K1579=Q1579),"⚠ Origen igual a destino",IF(AND(K1579&lt;&gt;"",ISNA(MATCH(K1579,ctaNombre,0))),"⚠ Destino no registrado",IF(AND(P1579="Pago tarjeta",AE1579&lt;&gt;"Tarjeta de crédito"),"⚠ El destino debe ser tarjeta de crédito",IF(AND(P1579="Gasto",E1579="Depósitos y retiros"),"⚠ Usa tipo Transferencia",IF(AND(P1579="Resultado trading",AD1579&lt;&gt;"Cuenta de trading"),"⚠ Usa una cuenta de trading",IF(AND(G1579&lt;=0,P1579&lt;&gt;"Ajuste",P1579&lt;&gt;"Resultado trading"),"⚠ El monto debe ser positivo","✓")))))))))))))))</f>
        <v/>
      </c>
      <c r="P1579" s="52">
        <f>IF(OR(B1579="",G1579=""),"",IF(C1579="","Gasto",C1579))</f>
        <v/>
      </c>
      <c r="Q1579" s="52">
        <f>IF(P1579="","",IF(J1579&lt;&gt;"",J1579,CuentaPred&amp;""))</f>
        <v/>
      </c>
      <c r="R1579" s="52">
        <f>IF(P1579="","",IF(ISNUMBER(I1579),I1579,TasaUSD))</f>
        <v/>
      </c>
      <c r="S1579" s="53">
        <f>IF(P1579="","",IF(H1579="USD",G1579*R1579,G1579))</f>
        <v/>
      </c>
      <c r="T1579" s="53">
        <f>IF(P1579="","",IF(H1579="USD",G1579,IF(R1579&gt;0,G1579/R1579,0)))</f>
        <v/>
      </c>
      <c r="U1579" s="53">
        <f>IF(P1579="","",IF(P1579="Gasto",S1579,IF(P1579="Reembolso",-S1579,0)))</f>
        <v/>
      </c>
      <c r="V1579" s="53">
        <f>IF(P1579="","",IF(P1579="Ingreso",S1579,0))</f>
        <v/>
      </c>
      <c r="W1579" s="53">
        <f>IF(P1579="","",IF(P1579="Resultado trading",S1579,0))</f>
        <v/>
      </c>
      <c r="X1579" s="52">
        <f>IF(OR(P1579="Gasto",P1579="Reembolso"),IF(M1579&lt;&gt;"",M1579,IFERROR(INDEX(catClasif,MATCH(D1579&amp;"|"&amp;E1579,catClave,0))&amp;"","Variable")),"")</f>
        <v/>
      </c>
      <c r="Y1579" s="52">
        <f>IF(P1579="","",IFERROR(INDEX(catGrupo,MATCH(D1579&amp;"|"&amp;E1579,catClave,0))&amp;"",""))</f>
        <v/>
      </c>
      <c r="Z1579" s="52">
        <f>IF(P1579="","",WEEKDAY(B1579,2))</f>
        <v/>
      </c>
      <c r="AA1579" s="52">
        <f>IF(P1579="","",IF(AND(P1579="Gasto",X1579="Variable",D1579&lt;&gt;catTrading,S1579&gt;0,S1579&lt;=Umbral),1,0))</f>
        <v/>
      </c>
      <c r="AB1579" s="52">
        <f>IF(OR(P1579="",Q1579=""),"",IFERROR(IF(INDEX(ctaVinc,MATCH(Q1579,ctaNombre,0))&amp;""&lt;&gt;"",INDEX(ctaVinc,MATCH(Q1579,ctaNombre,0))&amp;"",Q1579),Q1579))</f>
        <v/>
      </c>
      <c r="AC1579" s="52">
        <f>IF(OR(K1579="",AND(P1579&lt;&gt;"Transferencia",P1579&lt;&gt;"Pago tarjeta")),"",IFERROR(IF(INDEX(ctaVinc,MATCH(K1579,ctaNombre,0))&amp;""&lt;&gt;"",INDEX(ctaVinc,MATCH(K1579,ctaNombre,0))&amp;"",K1579),K1579))</f>
        <v/>
      </c>
      <c r="AD1579" s="52">
        <f>IF(AB1579="","",IFERROR(INDEX(ctaTipo,MATCH(AB1579,ctaNombre,0))&amp;"",""))</f>
        <v/>
      </c>
      <c r="AE1579" s="52">
        <f>IF(AC1579="","",IFERROR(INDEX(ctaTipo,MATCH(AC1579,ctaNombre,0))&amp;"",""))</f>
        <v/>
      </c>
      <c r="AF1579" s="53">
        <f>IF(OR(P1579="",AB1579=""),"",IF(OR(P1579="Gasto",P1579="Transferencia",P1579="Pago tarjeta"),-1,1)*IF(IFERROR(INDEX(ctaMoneda,MATCH(AB1579,ctaNombre,0))&amp;"","DOP")="USD",T1579,S1579))</f>
        <v/>
      </c>
      <c r="AG1579" s="53">
        <f>IF(AC1579="","",IF(IFERROR(INDEX(ctaMoneda,MATCH(AC1579,ctaNombre,0))&amp;"","DOP")="USD",T1579,S1579))</f>
        <v/>
      </c>
      <c r="AH1579" s="53">
        <f>IF(P1579="","",IF(AND(AD1579&lt;&gt;"",COUNTIFS(tcTipo,AD1579,tcLiq,"Sí")&gt;0),IF(OR(P1579="Gasto",P1579="Transferencia",P1579="Pago tarjeta"),-1,1)*S1579,0)+IF(AND(AE1579&lt;&gt;"",COUNTIFS(tcTipo,AE1579,tcLiq,"Sí")&gt;0),S1579,0))</f>
        <v/>
      </c>
      <c r="AI1579" s="52">
        <f>IF(OR(L1579="",P1579=""),"",IF(COUNTIFS(L$6:L1579,L1579,P$6:P1579,"?*")=1,MAX(AI$5:AI1578)+1,""))</f>
        <v/>
      </c>
    </row>
    <row r="1580">
      <c r="B1580" s="47" t="n"/>
      <c r="C1580" s="48" t="n"/>
      <c r="D1580" s="48" t="n"/>
      <c r="E1580" s="48" t="n"/>
      <c r="F1580" s="48" t="n"/>
      <c r="G1580" s="49" t="n"/>
      <c r="H1580" s="48" t="n"/>
      <c r="I1580" s="50" t="n"/>
      <c r="J1580" s="48" t="n"/>
      <c r="K1580" s="48" t="n"/>
      <c r="L1580" s="48" t="n"/>
      <c r="M1580" s="48" t="n"/>
      <c r="N1580" s="48" t="n"/>
      <c r="O1580" s="51">
        <f>IF(AND(B1580="",G1580="",C1580="",D1580="",J1580=""),"",IF(B1580="","⚠ Falta fecha",IF(G1580="","⚠ Falta monto",IF(Q1580="","⚠ Falta cuenta",IF(ISNA(MATCH(Q1580,ctaNombre,0)),"⚠ Cuenta no registrada",IF(AND(OR(P1580="Gasto",P1580="Reembolso"),D1580=""),"⚠ Falta categoría",IF(AND(D1580&lt;&gt;"",E1580&lt;&gt;"",ISNA(MATCH(D1580&amp;"|"&amp;E1580,catClave,0))),"⚠ Subcategoría no corresponde",IF(AND(OR(P1580="Transferencia",P1580="Pago tarjeta"),K1580=""),"⚠ Falta cuenta destino",IF(AND(K1580&lt;&gt;"",P1580&lt;&gt;"Transferencia",P1580&lt;&gt;"Pago tarjeta"),"⚠ Destino solo aplica a transferencias",IF(AND(K1580&lt;&gt;"",K1580=Q1580),"⚠ Origen igual a destino",IF(AND(K1580&lt;&gt;"",ISNA(MATCH(K1580,ctaNombre,0))),"⚠ Destino no registrado",IF(AND(P1580="Pago tarjeta",AE1580&lt;&gt;"Tarjeta de crédito"),"⚠ El destino debe ser tarjeta de crédito",IF(AND(P1580="Gasto",E1580="Depósitos y retiros"),"⚠ Usa tipo Transferencia",IF(AND(P1580="Resultado trading",AD1580&lt;&gt;"Cuenta de trading"),"⚠ Usa una cuenta de trading",IF(AND(G1580&lt;=0,P1580&lt;&gt;"Ajuste",P1580&lt;&gt;"Resultado trading"),"⚠ El monto debe ser positivo","✓")))))))))))))))</f>
        <v/>
      </c>
      <c r="P1580" s="52">
        <f>IF(OR(B1580="",G1580=""),"",IF(C1580="","Gasto",C1580))</f>
        <v/>
      </c>
      <c r="Q1580" s="52">
        <f>IF(P1580="","",IF(J1580&lt;&gt;"",J1580,CuentaPred&amp;""))</f>
        <v/>
      </c>
      <c r="R1580" s="52">
        <f>IF(P1580="","",IF(ISNUMBER(I1580),I1580,TasaUSD))</f>
        <v/>
      </c>
      <c r="S1580" s="53">
        <f>IF(P1580="","",IF(H1580="USD",G1580*R1580,G1580))</f>
        <v/>
      </c>
      <c r="T1580" s="53">
        <f>IF(P1580="","",IF(H1580="USD",G1580,IF(R1580&gt;0,G1580/R1580,0)))</f>
        <v/>
      </c>
      <c r="U1580" s="53">
        <f>IF(P1580="","",IF(P1580="Gasto",S1580,IF(P1580="Reembolso",-S1580,0)))</f>
        <v/>
      </c>
      <c r="V1580" s="53">
        <f>IF(P1580="","",IF(P1580="Ingreso",S1580,0))</f>
        <v/>
      </c>
      <c r="W1580" s="53">
        <f>IF(P1580="","",IF(P1580="Resultado trading",S1580,0))</f>
        <v/>
      </c>
      <c r="X1580" s="52">
        <f>IF(OR(P1580="Gasto",P1580="Reembolso"),IF(M1580&lt;&gt;"",M1580,IFERROR(INDEX(catClasif,MATCH(D1580&amp;"|"&amp;E1580,catClave,0))&amp;"","Variable")),"")</f>
        <v/>
      </c>
      <c r="Y1580" s="52">
        <f>IF(P1580="","",IFERROR(INDEX(catGrupo,MATCH(D1580&amp;"|"&amp;E1580,catClave,0))&amp;"",""))</f>
        <v/>
      </c>
      <c r="Z1580" s="52">
        <f>IF(P1580="","",WEEKDAY(B1580,2))</f>
        <v/>
      </c>
      <c r="AA1580" s="52">
        <f>IF(P1580="","",IF(AND(P1580="Gasto",X1580="Variable",D1580&lt;&gt;catTrading,S1580&gt;0,S1580&lt;=Umbral),1,0))</f>
        <v/>
      </c>
      <c r="AB1580" s="52">
        <f>IF(OR(P1580="",Q1580=""),"",IFERROR(IF(INDEX(ctaVinc,MATCH(Q1580,ctaNombre,0))&amp;""&lt;&gt;"",INDEX(ctaVinc,MATCH(Q1580,ctaNombre,0))&amp;"",Q1580),Q1580))</f>
        <v/>
      </c>
      <c r="AC1580" s="52">
        <f>IF(OR(K1580="",AND(P1580&lt;&gt;"Transferencia",P1580&lt;&gt;"Pago tarjeta")),"",IFERROR(IF(INDEX(ctaVinc,MATCH(K1580,ctaNombre,0))&amp;""&lt;&gt;"",INDEX(ctaVinc,MATCH(K1580,ctaNombre,0))&amp;"",K1580),K1580))</f>
        <v/>
      </c>
      <c r="AD1580" s="52">
        <f>IF(AB1580="","",IFERROR(INDEX(ctaTipo,MATCH(AB1580,ctaNombre,0))&amp;"",""))</f>
        <v/>
      </c>
      <c r="AE1580" s="52">
        <f>IF(AC1580="","",IFERROR(INDEX(ctaTipo,MATCH(AC1580,ctaNombre,0))&amp;"",""))</f>
        <v/>
      </c>
      <c r="AF1580" s="53">
        <f>IF(OR(P1580="",AB1580=""),"",IF(OR(P1580="Gasto",P1580="Transferencia",P1580="Pago tarjeta"),-1,1)*IF(IFERROR(INDEX(ctaMoneda,MATCH(AB1580,ctaNombre,0))&amp;"","DOP")="USD",T1580,S1580))</f>
        <v/>
      </c>
      <c r="AG1580" s="53">
        <f>IF(AC1580="","",IF(IFERROR(INDEX(ctaMoneda,MATCH(AC1580,ctaNombre,0))&amp;"","DOP")="USD",T1580,S1580))</f>
        <v/>
      </c>
      <c r="AH1580" s="53">
        <f>IF(P1580="","",IF(AND(AD1580&lt;&gt;"",COUNTIFS(tcTipo,AD1580,tcLiq,"Sí")&gt;0),IF(OR(P1580="Gasto",P1580="Transferencia",P1580="Pago tarjeta"),-1,1)*S1580,0)+IF(AND(AE1580&lt;&gt;"",COUNTIFS(tcTipo,AE1580,tcLiq,"Sí")&gt;0),S1580,0))</f>
        <v/>
      </c>
      <c r="AI1580" s="52">
        <f>IF(OR(L1580="",P1580=""),"",IF(COUNTIFS(L$6:L1580,L1580,P$6:P1580,"?*")=1,MAX(AI$5:AI1579)+1,""))</f>
        <v/>
      </c>
    </row>
    <row r="1581">
      <c r="B1581" s="47" t="n"/>
      <c r="C1581" s="48" t="n"/>
      <c r="D1581" s="48" t="n"/>
      <c r="E1581" s="48" t="n"/>
      <c r="F1581" s="48" t="n"/>
      <c r="G1581" s="49" t="n"/>
      <c r="H1581" s="48" t="n"/>
      <c r="I1581" s="50" t="n"/>
      <c r="J1581" s="48" t="n"/>
      <c r="K1581" s="48" t="n"/>
      <c r="L1581" s="48" t="n"/>
      <c r="M1581" s="48" t="n"/>
      <c r="N1581" s="48" t="n"/>
      <c r="O1581" s="51">
        <f>IF(AND(B1581="",G1581="",C1581="",D1581="",J1581=""),"",IF(B1581="","⚠ Falta fecha",IF(G1581="","⚠ Falta monto",IF(Q1581="","⚠ Falta cuenta",IF(ISNA(MATCH(Q1581,ctaNombre,0)),"⚠ Cuenta no registrada",IF(AND(OR(P1581="Gasto",P1581="Reembolso"),D1581=""),"⚠ Falta categoría",IF(AND(D1581&lt;&gt;"",E1581&lt;&gt;"",ISNA(MATCH(D1581&amp;"|"&amp;E1581,catClave,0))),"⚠ Subcategoría no corresponde",IF(AND(OR(P1581="Transferencia",P1581="Pago tarjeta"),K1581=""),"⚠ Falta cuenta destino",IF(AND(K1581&lt;&gt;"",P1581&lt;&gt;"Transferencia",P1581&lt;&gt;"Pago tarjeta"),"⚠ Destino solo aplica a transferencias",IF(AND(K1581&lt;&gt;"",K1581=Q1581),"⚠ Origen igual a destino",IF(AND(K1581&lt;&gt;"",ISNA(MATCH(K1581,ctaNombre,0))),"⚠ Destino no registrado",IF(AND(P1581="Pago tarjeta",AE1581&lt;&gt;"Tarjeta de crédito"),"⚠ El destino debe ser tarjeta de crédito",IF(AND(P1581="Gasto",E1581="Depósitos y retiros"),"⚠ Usa tipo Transferencia",IF(AND(P1581="Resultado trading",AD1581&lt;&gt;"Cuenta de trading"),"⚠ Usa una cuenta de trading",IF(AND(G1581&lt;=0,P1581&lt;&gt;"Ajuste",P1581&lt;&gt;"Resultado trading"),"⚠ El monto debe ser positivo","✓")))))))))))))))</f>
        <v/>
      </c>
      <c r="P1581" s="52">
        <f>IF(OR(B1581="",G1581=""),"",IF(C1581="","Gasto",C1581))</f>
        <v/>
      </c>
      <c r="Q1581" s="52">
        <f>IF(P1581="","",IF(J1581&lt;&gt;"",J1581,CuentaPred&amp;""))</f>
        <v/>
      </c>
      <c r="R1581" s="52">
        <f>IF(P1581="","",IF(ISNUMBER(I1581),I1581,TasaUSD))</f>
        <v/>
      </c>
      <c r="S1581" s="53">
        <f>IF(P1581="","",IF(H1581="USD",G1581*R1581,G1581))</f>
        <v/>
      </c>
      <c r="T1581" s="53">
        <f>IF(P1581="","",IF(H1581="USD",G1581,IF(R1581&gt;0,G1581/R1581,0)))</f>
        <v/>
      </c>
      <c r="U1581" s="53">
        <f>IF(P1581="","",IF(P1581="Gasto",S1581,IF(P1581="Reembolso",-S1581,0)))</f>
        <v/>
      </c>
      <c r="V1581" s="53">
        <f>IF(P1581="","",IF(P1581="Ingreso",S1581,0))</f>
        <v/>
      </c>
      <c r="W1581" s="53">
        <f>IF(P1581="","",IF(P1581="Resultado trading",S1581,0))</f>
        <v/>
      </c>
      <c r="X1581" s="52">
        <f>IF(OR(P1581="Gasto",P1581="Reembolso"),IF(M1581&lt;&gt;"",M1581,IFERROR(INDEX(catClasif,MATCH(D1581&amp;"|"&amp;E1581,catClave,0))&amp;"","Variable")),"")</f>
        <v/>
      </c>
      <c r="Y1581" s="52">
        <f>IF(P1581="","",IFERROR(INDEX(catGrupo,MATCH(D1581&amp;"|"&amp;E1581,catClave,0))&amp;"",""))</f>
        <v/>
      </c>
      <c r="Z1581" s="52">
        <f>IF(P1581="","",WEEKDAY(B1581,2))</f>
        <v/>
      </c>
      <c r="AA1581" s="52">
        <f>IF(P1581="","",IF(AND(P1581="Gasto",X1581="Variable",D1581&lt;&gt;catTrading,S1581&gt;0,S1581&lt;=Umbral),1,0))</f>
        <v/>
      </c>
      <c r="AB1581" s="52">
        <f>IF(OR(P1581="",Q1581=""),"",IFERROR(IF(INDEX(ctaVinc,MATCH(Q1581,ctaNombre,0))&amp;""&lt;&gt;"",INDEX(ctaVinc,MATCH(Q1581,ctaNombre,0))&amp;"",Q1581),Q1581))</f>
        <v/>
      </c>
      <c r="AC1581" s="52">
        <f>IF(OR(K1581="",AND(P1581&lt;&gt;"Transferencia",P1581&lt;&gt;"Pago tarjeta")),"",IFERROR(IF(INDEX(ctaVinc,MATCH(K1581,ctaNombre,0))&amp;""&lt;&gt;"",INDEX(ctaVinc,MATCH(K1581,ctaNombre,0))&amp;"",K1581),K1581))</f>
        <v/>
      </c>
      <c r="AD1581" s="52">
        <f>IF(AB1581="","",IFERROR(INDEX(ctaTipo,MATCH(AB1581,ctaNombre,0))&amp;"",""))</f>
        <v/>
      </c>
      <c r="AE1581" s="52">
        <f>IF(AC1581="","",IFERROR(INDEX(ctaTipo,MATCH(AC1581,ctaNombre,0))&amp;"",""))</f>
        <v/>
      </c>
      <c r="AF1581" s="53">
        <f>IF(OR(P1581="",AB1581=""),"",IF(OR(P1581="Gasto",P1581="Transferencia",P1581="Pago tarjeta"),-1,1)*IF(IFERROR(INDEX(ctaMoneda,MATCH(AB1581,ctaNombre,0))&amp;"","DOP")="USD",T1581,S1581))</f>
        <v/>
      </c>
      <c r="AG1581" s="53">
        <f>IF(AC1581="","",IF(IFERROR(INDEX(ctaMoneda,MATCH(AC1581,ctaNombre,0))&amp;"","DOP")="USD",T1581,S1581))</f>
        <v/>
      </c>
      <c r="AH1581" s="53">
        <f>IF(P1581="","",IF(AND(AD1581&lt;&gt;"",COUNTIFS(tcTipo,AD1581,tcLiq,"Sí")&gt;0),IF(OR(P1581="Gasto",P1581="Transferencia",P1581="Pago tarjeta"),-1,1)*S1581,0)+IF(AND(AE1581&lt;&gt;"",COUNTIFS(tcTipo,AE1581,tcLiq,"Sí")&gt;0),S1581,0))</f>
        <v/>
      </c>
      <c r="AI1581" s="52">
        <f>IF(OR(L1581="",P1581=""),"",IF(COUNTIFS(L$6:L1581,L1581,P$6:P1581,"?*")=1,MAX(AI$5:AI1580)+1,""))</f>
        <v/>
      </c>
    </row>
    <row r="1582">
      <c r="B1582" s="47" t="n"/>
      <c r="C1582" s="48" t="n"/>
      <c r="D1582" s="48" t="n"/>
      <c r="E1582" s="48" t="n"/>
      <c r="F1582" s="48" t="n"/>
      <c r="G1582" s="49" t="n"/>
      <c r="H1582" s="48" t="n"/>
      <c r="I1582" s="50" t="n"/>
      <c r="J1582" s="48" t="n"/>
      <c r="K1582" s="48" t="n"/>
      <c r="L1582" s="48" t="n"/>
      <c r="M1582" s="48" t="n"/>
      <c r="N1582" s="48" t="n"/>
      <c r="O1582" s="51">
        <f>IF(AND(B1582="",G1582="",C1582="",D1582="",J1582=""),"",IF(B1582="","⚠ Falta fecha",IF(G1582="","⚠ Falta monto",IF(Q1582="","⚠ Falta cuenta",IF(ISNA(MATCH(Q1582,ctaNombre,0)),"⚠ Cuenta no registrada",IF(AND(OR(P1582="Gasto",P1582="Reembolso"),D1582=""),"⚠ Falta categoría",IF(AND(D1582&lt;&gt;"",E1582&lt;&gt;"",ISNA(MATCH(D1582&amp;"|"&amp;E1582,catClave,0))),"⚠ Subcategoría no corresponde",IF(AND(OR(P1582="Transferencia",P1582="Pago tarjeta"),K1582=""),"⚠ Falta cuenta destino",IF(AND(K1582&lt;&gt;"",P1582&lt;&gt;"Transferencia",P1582&lt;&gt;"Pago tarjeta"),"⚠ Destino solo aplica a transferencias",IF(AND(K1582&lt;&gt;"",K1582=Q1582),"⚠ Origen igual a destino",IF(AND(K1582&lt;&gt;"",ISNA(MATCH(K1582,ctaNombre,0))),"⚠ Destino no registrado",IF(AND(P1582="Pago tarjeta",AE1582&lt;&gt;"Tarjeta de crédito"),"⚠ El destino debe ser tarjeta de crédito",IF(AND(P1582="Gasto",E1582="Depósitos y retiros"),"⚠ Usa tipo Transferencia",IF(AND(P1582="Resultado trading",AD1582&lt;&gt;"Cuenta de trading"),"⚠ Usa una cuenta de trading",IF(AND(G1582&lt;=0,P1582&lt;&gt;"Ajuste",P1582&lt;&gt;"Resultado trading"),"⚠ El monto debe ser positivo","✓")))))))))))))))</f>
        <v/>
      </c>
      <c r="P1582" s="52">
        <f>IF(OR(B1582="",G1582=""),"",IF(C1582="","Gasto",C1582))</f>
        <v/>
      </c>
      <c r="Q1582" s="52">
        <f>IF(P1582="","",IF(J1582&lt;&gt;"",J1582,CuentaPred&amp;""))</f>
        <v/>
      </c>
      <c r="R1582" s="52">
        <f>IF(P1582="","",IF(ISNUMBER(I1582),I1582,TasaUSD))</f>
        <v/>
      </c>
      <c r="S1582" s="53">
        <f>IF(P1582="","",IF(H1582="USD",G1582*R1582,G1582))</f>
        <v/>
      </c>
      <c r="T1582" s="53">
        <f>IF(P1582="","",IF(H1582="USD",G1582,IF(R1582&gt;0,G1582/R1582,0)))</f>
        <v/>
      </c>
      <c r="U1582" s="53">
        <f>IF(P1582="","",IF(P1582="Gasto",S1582,IF(P1582="Reembolso",-S1582,0)))</f>
        <v/>
      </c>
      <c r="V1582" s="53">
        <f>IF(P1582="","",IF(P1582="Ingreso",S1582,0))</f>
        <v/>
      </c>
      <c r="W1582" s="53">
        <f>IF(P1582="","",IF(P1582="Resultado trading",S1582,0))</f>
        <v/>
      </c>
      <c r="X1582" s="52">
        <f>IF(OR(P1582="Gasto",P1582="Reembolso"),IF(M1582&lt;&gt;"",M1582,IFERROR(INDEX(catClasif,MATCH(D1582&amp;"|"&amp;E1582,catClave,0))&amp;"","Variable")),"")</f>
        <v/>
      </c>
      <c r="Y1582" s="52">
        <f>IF(P1582="","",IFERROR(INDEX(catGrupo,MATCH(D1582&amp;"|"&amp;E1582,catClave,0))&amp;"",""))</f>
        <v/>
      </c>
      <c r="Z1582" s="52">
        <f>IF(P1582="","",WEEKDAY(B1582,2))</f>
        <v/>
      </c>
      <c r="AA1582" s="52">
        <f>IF(P1582="","",IF(AND(P1582="Gasto",X1582="Variable",D1582&lt;&gt;catTrading,S1582&gt;0,S1582&lt;=Umbral),1,0))</f>
        <v/>
      </c>
      <c r="AB1582" s="52">
        <f>IF(OR(P1582="",Q1582=""),"",IFERROR(IF(INDEX(ctaVinc,MATCH(Q1582,ctaNombre,0))&amp;""&lt;&gt;"",INDEX(ctaVinc,MATCH(Q1582,ctaNombre,0))&amp;"",Q1582),Q1582))</f>
        <v/>
      </c>
      <c r="AC1582" s="52">
        <f>IF(OR(K1582="",AND(P1582&lt;&gt;"Transferencia",P1582&lt;&gt;"Pago tarjeta")),"",IFERROR(IF(INDEX(ctaVinc,MATCH(K1582,ctaNombre,0))&amp;""&lt;&gt;"",INDEX(ctaVinc,MATCH(K1582,ctaNombre,0))&amp;"",K1582),K1582))</f>
        <v/>
      </c>
      <c r="AD1582" s="52">
        <f>IF(AB1582="","",IFERROR(INDEX(ctaTipo,MATCH(AB1582,ctaNombre,0))&amp;"",""))</f>
        <v/>
      </c>
      <c r="AE1582" s="52">
        <f>IF(AC1582="","",IFERROR(INDEX(ctaTipo,MATCH(AC1582,ctaNombre,0))&amp;"",""))</f>
        <v/>
      </c>
      <c r="AF1582" s="53">
        <f>IF(OR(P1582="",AB1582=""),"",IF(OR(P1582="Gasto",P1582="Transferencia",P1582="Pago tarjeta"),-1,1)*IF(IFERROR(INDEX(ctaMoneda,MATCH(AB1582,ctaNombre,0))&amp;"","DOP")="USD",T1582,S1582))</f>
        <v/>
      </c>
      <c r="AG1582" s="53">
        <f>IF(AC1582="","",IF(IFERROR(INDEX(ctaMoneda,MATCH(AC1582,ctaNombre,0))&amp;"","DOP")="USD",T1582,S1582))</f>
        <v/>
      </c>
      <c r="AH1582" s="53">
        <f>IF(P1582="","",IF(AND(AD1582&lt;&gt;"",COUNTIFS(tcTipo,AD1582,tcLiq,"Sí")&gt;0),IF(OR(P1582="Gasto",P1582="Transferencia",P1582="Pago tarjeta"),-1,1)*S1582,0)+IF(AND(AE1582&lt;&gt;"",COUNTIFS(tcTipo,AE1582,tcLiq,"Sí")&gt;0),S1582,0))</f>
        <v/>
      </c>
      <c r="AI1582" s="52">
        <f>IF(OR(L1582="",P1582=""),"",IF(COUNTIFS(L$6:L1582,L1582,P$6:P1582,"?*")=1,MAX(AI$5:AI1581)+1,""))</f>
        <v/>
      </c>
    </row>
    <row r="1583">
      <c r="B1583" s="47" t="n"/>
      <c r="C1583" s="48" t="n"/>
      <c r="D1583" s="48" t="n"/>
      <c r="E1583" s="48" t="n"/>
      <c r="F1583" s="48" t="n"/>
      <c r="G1583" s="49" t="n"/>
      <c r="H1583" s="48" t="n"/>
      <c r="I1583" s="50" t="n"/>
      <c r="J1583" s="48" t="n"/>
      <c r="K1583" s="48" t="n"/>
      <c r="L1583" s="48" t="n"/>
      <c r="M1583" s="48" t="n"/>
      <c r="N1583" s="48" t="n"/>
      <c r="O1583" s="51">
        <f>IF(AND(B1583="",G1583="",C1583="",D1583="",J1583=""),"",IF(B1583="","⚠ Falta fecha",IF(G1583="","⚠ Falta monto",IF(Q1583="","⚠ Falta cuenta",IF(ISNA(MATCH(Q1583,ctaNombre,0)),"⚠ Cuenta no registrada",IF(AND(OR(P1583="Gasto",P1583="Reembolso"),D1583=""),"⚠ Falta categoría",IF(AND(D1583&lt;&gt;"",E1583&lt;&gt;"",ISNA(MATCH(D1583&amp;"|"&amp;E1583,catClave,0))),"⚠ Subcategoría no corresponde",IF(AND(OR(P1583="Transferencia",P1583="Pago tarjeta"),K1583=""),"⚠ Falta cuenta destino",IF(AND(K1583&lt;&gt;"",P1583&lt;&gt;"Transferencia",P1583&lt;&gt;"Pago tarjeta"),"⚠ Destino solo aplica a transferencias",IF(AND(K1583&lt;&gt;"",K1583=Q1583),"⚠ Origen igual a destino",IF(AND(K1583&lt;&gt;"",ISNA(MATCH(K1583,ctaNombre,0))),"⚠ Destino no registrado",IF(AND(P1583="Pago tarjeta",AE1583&lt;&gt;"Tarjeta de crédito"),"⚠ El destino debe ser tarjeta de crédito",IF(AND(P1583="Gasto",E1583="Depósitos y retiros"),"⚠ Usa tipo Transferencia",IF(AND(P1583="Resultado trading",AD1583&lt;&gt;"Cuenta de trading"),"⚠ Usa una cuenta de trading",IF(AND(G1583&lt;=0,P1583&lt;&gt;"Ajuste",P1583&lt;&gt;"Resultado trading"),"⚠ El monto debe ser positivo","✓")))))))))))))))</f>
        <v/>
      </c>
      <c r="P1583" s="52">
        <f>IF(OR(B1583="",G1583=""),"",IF(C1583="","Gasto",C1583))</f>
        <v/>
      </c>
      <c r="Q1583" s="52">
        <f>IF(P1583="","",IF(J1583&lt;&gt;"",J1583,CuentaPred&amp;""))</f>
        <v/>
      </c>
      <c r="R1583" s="52">
        <f>IF(P1583="","",IF(ISNUMBER(I1583),I1583,TasaUSD))</f>
        <v/>
      </c>
      <c r="S1583" s="53">
        <f>IF(P1583="","",IF(H1583="USD",G1583*R1583,G1583))</f>
        <v/>
      </c>
      <c r="T1583" s="53">
        <f>IF(P1583="","",IF(H1583="USD",G1583,IF(R1583&gt;0,G1583/R1583,0)))</f>
        <v/>
      </c>
      <c r="U1583" s="53">
        <f>IF(P1583="","",IF(P1583="Gasto",S1583,IF(P1583="Reembolso",-S1583,0)))</f>
        <v/>
      </c>
      <c r="V1583" s="53">
        <f>IF(P1583="","",IF(P1583="Ingreso",S1583,0))</f>
        <v/>
      </c>
      <c r="W1583" s="53">
        <f>IF(P1583="","",IF(P1583="Resultado trading",S1583,0))</f>
        <v/>
      </c>
      <c r="X1583" s="52">
        <f>IF(OR(P1583="Gasto",P1583="Reembolso"),IF(M1583&lt;&gt;"",M1583,IFERROR(INDEX(catClasif,MATCH(D1583&amp;"|"&amp;E1583,catClave,0))&amp;"","Variable")),"")</f>
        <v/>
      </c>
      <c r="Y1583" s="52">
        <f>IF(P1583="","",IFERROR(INDEX(catGrupo,MATCH(D1583&amp;"|"&amp;E1583,catClave,0))&amp;"",""))</f>
        <v/>
      </c>
      <c r="Z1583" s="52">
        <f>IF(P1583="","",WEEKDAY(B1583,2))</f>
        <v/>
      </c>
      <c r="AA1583" s="52">
        <f>IF(P1583="","",IF(AND(P1583="Gasto",X1583="Variable",D1583&lt;&gt;catTrading,S1583&gt;0,S1583&lt;=Umbral),1,0))</f>
        <v/>
      </c>
      <c r="AB1583" s="52">
        <f>IF(OR(P1583="",Q1583=""),"",IFERROR(IF(INDEX(ctaVinc,MATCH(Q1583,ctaNombre,0))&amp;""&lt;&gt;"",INDEX(ctaVinc,MATCH(Q1583,ctaNombre,0))&amp;"",Q1583),Q1583))</f>
        <v/>
      </c>
      <c r="AC1583" s="52">
        <f>IF(OR(K1583="",AND(P1583&lt;&gt;"Transferencia",P1583&lt;&gt;"Pago tarjeta")),"",IFERROR(IF(INDEX(ctaVinc,MATCH(K1583,ctaNombre,0))&amp;""&lt;&gt;"",INDEX(ctaVinc,MATCH(K1583,ctaNombre,0))&amp;"",K1583),K1583))</f>
        <v/>
      </c>
      <c r="AD1583" s="52">
        <f>IF(AB1583="","",IFERROR(INDEX(ctaTipo,MATCH(AB1583,ctaNombre,0))&amp;"",""))</f>
        <v/>
      </c>
      <c r="AE1583" s="52">
        <f>IF(AC1583="","",IFERROR(INDEX(ctaTipo,MATCH(AC1583,ctaNombre,0))&amp;"",""))</f>
        <v/>
      </c>
      <c r="AF1583" s="53">
        <f>IF(OR(P1583="",AB1583=""),"",IF(OR(P1583="Gasto",P1583="Transferencia",P1583="Pago tarjeta"),-1,1)*IF(IFERROR(INDEX(ctaMoneda,MATCH(AB1583,ctaNombre,0))&amp;"","DOP")="USD",T1583,S1583))</f>
        <v/>
      </c>
      <c r="AG1583" s="53">
        <f>IF(AC1583="","",IF(IFERROR(INDEX(ctaMoneda,MATCH(AC1583,ctaNombre,0))&amp;"","DOP")="USD",T1583,S1583))</f>
        <v/>
      </c>
      <c r="AH1583" s="53">
        <f>IF(P1583="","",IF(AND(AD1583&lt;&gt;"",COUNTIFS(tcTipo,AD1583,tcLiq,"Sí")&gt;0),IF(OR(P1583="Gasto",P1583="Transferencia",P1583="Pago tarjeta"),-1,1)*S1583,0)+IF(AND(AE1583&lt;&gt;"",COUNTIFS(tcTipo,AE1583,tcLiq,"Sí")&gt;0),S1583,0))</f>
        <v/>
      </c>
      <c r="AI1583" s="52">
        <f>IF(OR(L1583="",P1583=""),"",IF(COUNTIFS(L$6:L1583,L1583,P$6:P1583,"?*")=1,MAX(AI$5:AI1582)+1,""))</f>
        <v/>
      </c>
    </row>
    <row r="1584">
      <c r="B1584" s="47" t="n"/>
      <c r="C1584" s="48" t="n"/>
      <c r="D1584" s="48" t="n"/>
      <c r="E1584" s="48" t="n"/>
      <c r="F1584" s="48" t="n"/>
      <c r="G1584" s="49" t="n"/>
      <c r="H1584" s="48" t="n"/>
      <c r="I1584" s="50" t="n"/>
      <c r="J1584" s="48" t="n"/>
      <c r="K1584" s="48" t="n"/>
      <c r="L1584" s="48" t="n"/>
      <c r="M1584" s="48" t="n"/>
      <c r="N1584" s="48" t="n"/>
      <c r="O1584" s="51">
        <f>IF(AND(B1584="",G1584="",C1584="",D1584="",J1584=""),"",IF(B1584="","⚠ Falta fecha",IF(G1584="","⚠ Falta monto",IF(Q1584="","⚠ Falta cuenta",IF(ISNA(MATCH(Q1584,ctaNombre,0)),"⚠ Cuenta no registrada",IF(AND(OR(P1584="Gasto",P1584="Reembolso"),D1584=""),"⚠ Falta categoría",IF(AND(D1584&lt;&gt;"",E1584&lt;&gt;"",ISNA(MATCH(D1584&amp;"|"&amp;E1584,catClave,0))),"⚠ Subcategoría no corresponde",IF(AND(OR(P1584="Transferencia",P1584="Pago tarjeta"),K1584=""),"⚠ Falta cuenta destino",IF(AND(K1584&lt;&gt;"",P1584&lt;&gt;"Transferencia",P1584&lt;&gt;"Pago tarjeta"),"⚠ Destino solo aplica a transferencias",IF(AND(K1584&lt;&gt;"",K1584=Q1584),"⚠ Origen igual a destino",IF(AND(K1584&lt;&gt;"",ISNA(MATCH(K1584,ctaNombre,0))),"⚠ Destino no registrado",IF(AND(P1584="Pago tarjeta",AE1584&lt;&gt;"Tarjeta de crédito"),"⚠ El destino debe ser tarjeta de crédito",IF(AND(P1584="Gasto",E1584="Depósitos y retiros"),"⚠ Usa tipo Transferencia",IF(AND(P1584="Resultado trading",AD1584&lt;&gt;"Cuenta de trading"),"⚠ Usa una cuenta de trading",IF(AND(G1584&lt;=0,P1584&lt;&gt;"Ajuste",P1584&lt;&gt;"Resultado trading"),"⚠ El monto debe ser positivo","✓")))))))))))))))</f>
        <v/>
      </c>
      <c r="P1584" s="52">
        <f>IF(OR(B1584="",G1584=""),"",IF(C1584="","Gasto",C1584))</f>
        <v/>
      </c>
      <c r="Q1584" s="52">
        <f>IF(P1584="","",IF(J1584&lt;&gt;"",J1584,CuentaPred&amp;""))</f>
        <v/>
      </c>
      <c r="R1584" s="52">
        <f>IF(P1584="","",IF(ISNUMBER(I1584),I1584,TasaUSD))</f>
        <v/>
      </c>
      <c r="S1584" s="53">
        <f>IF(P1584="","",IF(H1584="USD",G1584*R1584,G1584))</f>
        <v/>
      </c>
      <c r="T1584" s="53">
        <f>IF(P1584="","",IF(H1584="USD",G1584,IF(R1584&gt;0,G1584/R1584,0)))</f>
        <v/>
      </c>
      <c r="U1584" s="53">
        <f>IF(P1584="","",IF(P1584="Gasto",S1584,IF(P1584="Reembolso",-S1584,0)))</f>
        <v/>
      </c>
      <c r="V1584" s="53">
        <f>IF(P1584="","",IF(P1584="Ingreso",S1584,0))</f>
        <v/>
      </c>
      <c r="W1584" s="53">
        <f>IF(P1584="","",IF(P1584="Resultado trading",S1584,0))</f>
        <v/>
      </c>
      <c r="X1584" s="52">
        <f>IF(OR(P1584="Gasto",P1584="Reembolso"),IF(M1584&lt;&gt;"",M1584,IFERROR(INDEX(catClasif,MATCH(D1584&amp;"|"&amp;E1584,catClave,0))&amp;"","Variable")),"")</f>
        <v/>
      </c>
      <c r="Y1584" s="52">
        <f>IF(P1584="","",IFERROR(INDEX(catGrupo,MATCH(D1584&amp;"|"&amp;E1584,catClave,0))&amp;"",""))</f>
        <v/>
      </c>
      <c r="Z1584" s="52">
        <f>IF(P1584="","",WEEKDAY(B1584,2))</f>
        <v/>
      </c>
      <c r="AA1584" s="52">
        <f>IF(P1584="","",IF(AND(P1584="Gasto",X1584="Variable",D1584&lt;&gt;catTrading,S1584&gt;0,S1584&lt;=Umbral),1,0))</f>
        <v/>
      </c>
      <c r="AB1584" s="52">
        <f>IF(OR(P1584="",Q1584=""),"",IFERROR(IF(INDEX(ctaVinc,MATCH(Q1584,ctaNombre,0))&amp;""&lt;&gt;"",INDEX(ctaVinc,MATCH(Q1584,ctaNombre,0))&amp;"",Q1584),Q1584))</f>
        <v/>
      </c>
      <c r="AC1584" s="52">
        <f>IF(OR(K1584="",AND(P1584&lt;&gt;"Transferencia",P1584&lt;&gt;"Pago tarjeta")),"",IFERROR(IF(INDEX(ctaVinc,MATCH(K1584,ctaNombre,0))&amp;""&lt;&gt;"",INDEX(ctaVinc,MATCH(K1584,ctaNombre,0))&amp;"",K1584),K1584))</f>
        <v/>
      </c>
      <c r="AD1584" s="52">
        <f>IF(AB1584="","",IFERROR(INDEX(ctaTipo,MATCH(AB1584,ctaNombre,0))&amp;"",""))</f>
        <v/>
      </c>
      <c r="AE1584" s="52">
        <f>IF(AC1584="","",IFERROR(INDEX(ctaTipo,MATCH(AC1584,ctaNombre,0))&amp;"",""))</f>
        <v/>
      </c>
      <c r="AF1584" s="53">
        <f>IF(OR(P1584="",AB1584=""),"",IF(OR(P1584="Gasto",P1584="Transferencia",P1584="Pago tarjeta"),-1,1)*IF(IFERROR(INDEX(ctaMoneda,MATCH(AB1584,ctaNombre,0))&amp;"","DOP")="USD",T1584,S1584))</f>
        <v/>
      </c>
      <c r="AG1584" s="53">
        <f>IF(AC1584="","",IF(IFERROR(INDEX(ctaMoneda,MATCH(AC1584,ctaNombre,0))&amp;"","DOP")="USD",T1584,S1584))</f>
        <v/>
      </c>
      <c r="AH1584" s="53">
        <f>IF(P1584="","",IF(AND(AD1584&lt;&gt;"",COUNTIFS(tcTipo,AD1584,tcLiq,"Sí")&gt;0),IF(OR(P1584="Gasto",P1584="Transferencia",P1584="Pago tarjeta"),-1,1)*S1584,0)+IF(AND(AE1584&lt;&gt;"",COUNTIFS(tcTipo,AE1584,tcLiq,"Sí")&gt;0),S1584,0))</f>
        <v/>
      </c>
      <c r="AI1584" s="52">
        <f>IF(OR(L1584="",P1584=""),"",IF(COUNTIFS(L$6:L1584,L1584,P$6:P1584,"?*")=1,MAX(AI$5:AI1583)+1,""))</f>
        <v/>
      </c>
    </row>
    <row r="1585">
      <c r="B1585" s="47" t="n"/>
      <c r="C1585" s="48" t="n"/>
      <c r="D1585" s="48" t="n"/>
      <c r="E1585" s="48" t="n"/>
      <c r="F1585" s="48" t="n"/>
      <c r="G1585" s="49" t="n"/>
      <c r="H1585" s="48" t="n"/>
      <c r="I1585" s="50" t="n"/>
      <c r="J1585" s="48" t="n"/>
      <c r="K1585" s="48" t="n"/>
      <c r="L1585" s="48" t="n"/>
      <c r="M1585" s="48" t="n"/>
      <c r="N1585" s="48" t="n"/>
      <c r="O1585" s="51">
        <f>IF(AND(B1585="",G1585="",C1585="",D1585="",J1585=""),"",IF(B1585="","⚠ Falta fecha",IF(G1585="","⚠ Falta monto",IF(Q1585="","⚠ Falta cuenta",IF(ISNA(MATCH(Q1585,ctaNombre,0)),"⚠ Cuenta no registrada",IF(AND(OR(P1585="Gasto",P1585="Reembolso"),D1585=""),"⚠ Falta categoría",IF(AND(D1585&lt;&gt;"",E1585&lt;&gt;"",ISNA(MATCH(D1585&amp;"|"&amp;E1585,catClave,0))),"⚠ Subcategoría no corresponde",IF(AND(OR(P1585="Transferencia",P1585="Pago tarjeta"),K1585=""),"⚠ Falta cuenta destino",IF(AND(K1585&lt;&gt;"",P1585&lt;&gt;"Transferencia",P1585&lt;&gt;"Pago tarjeta"),"⚠ Destino solo aplica a transferencias",IF(AND(K1585&lt;&gt;"",K1585=Q1585),"⚠ Origen igual a destino",IF(AND(K1585&lt;&gt;"",ISNA(MATCH(K1585,ctaNombre,0))),"⚠ Destino no registrado",IF(AND(P1585="Pago tarjeta",AE1585&lt;&gt;"Tarjeta de crédito"),"⚠ El destino debe ser tarjeta de crédito",IF(AND(P1585="Gasto",E1585="Depósitos y retiros"),"⚠ Usa tipo Transferencia",IF(AND(P1585="Resultado trading",AD1585&lt;&gt;"Cuenta de trading"),"⚠ Usa una cuenta de trading",IF(AND(G1585&lt;=0,P1585&lt;&gt;"Ajuste",P1585&lt;&gt;"Resultado trading"),"⚠ El monto debe ser positivo","✓")))))))))))))))</f>
        <v/>
      </c>
      <c r="P1585" s="52">
        <f>IF(OR(B1585="",G1585=""),"",IF(C1585="","Gasto",C1585))</f>
        <v/>
      </c>
      <c r="Q1585" s="52">
        <f>IF(P1585="","",IF(J1585&lt;&gt;"",J1585,CuentaPred&amp;""))</f>
        <v/>
      </c>
      <c r="R1585" s="52">
        <f>IF(P1585="","",IF(ISNUMBER(I1585),I1585,TasaUSD))</f>
        <v/>
      </c>
      <c r="S1585" s="53">
        <f>IF(P1585="","",IF(H1585="USD",G1585*R1585,G1585))</f>
        <v/>
      </c>
      <c r="T1585" s="53">
        <f>IF(P1585="","",IF(H1585="USD",G1585,IF(R1585&gt;0,G1585/R1585,0)))</f>
        <v/>
      </c>
      <c r="U1585" s="53">
        <f>IF(P1585="","",IF(P1585="Gasto",S1585,IF(P1585="Reembolso",-S1585,0)))</f>
        <v/>
      </c>
      <c r="V1585" s="53">
        <f>IF(P1585="","",IF(P1585="Ingreso",S1585,0))</f>
        <v/>
      </c>
      <c r="W1585" s="53">
        <f>IF(P1585="","",IF(P1585="Resultado trading",S1585,0))</f>
        <v/>
      </c>
      <c r="X1585" s="52">
        <f>IF(OR(P1585="Gasto",P1585="Reembolso"),IF(M1585&lt;&gt;"",M1585,IFERROR(INDEX(catClasif,MATCH(D1585&amp;"|"&amp;E1585,catClave,0))&amp;"","Variable")),"")</f>
        <v/>
      </c>
      <c r="Y1585" s="52">
        <f>IF(P1585="","",IFERROR(INDEX(catGrupo,MATCH(D1585&amp;"|"&amp;E1585,catClave,0))&amp;"",""))</f>
        <v/>
      </c>
      <c r="Z1585" s="52">
        <f>IF(P1585="","",WEEKDAY(B1585,2))</f>
        <v/>
      </c>
      <c r="AA1585" s="52">
        <f>IF(P1585="","",IF(AND(P1585="Gasto",X1585="Variable",D1585&lt;&gt;catTrading,S1585&gt;0,S1585&lt;=Umbral),1,0))</f>
        <v/>
      </c>
      <c r="AB1585" s="52">
        <f>IF(OR(P1585="",Q1585=""),"",IFERROR(IF(INDEX(ctaVinc,MATCH(Q1585,ctaNombre,0))&amp;""&lt;&gt;"",INDEX(ctaVinc,MATCH(Q1585,ctaNombre,0))&amp;"",Q1585),Q1585))</f>
        <v/>
      </c>
      <c r="AC1585" s="52">
        <f>IF(OR(K1585="",AND(P1585&lt;&gt;"Transferencia",P1585&lt;&gt;"Pago tarjeta")),"",IFERROR(IF(INDEX(ctaVinc,MATCH(K1585,ctaNombre,0))&amp;""&lt;&gt;"",INDEX(ctaVinc,MATCH(K1585,ctaNombre,0))&amp;"",K1585),K1585))</f>
        <v/>
      </c>
      <c r="AD1585" s="52">
        <f>IF(AB1585="","",IFERROR(INDEX(ctaTipo,MATCH(AB1585,ctaNombre,0))&amp;"",""))</f>
        <v/>
      </c>
      <c r="AE1585" s="52">
        <f>IF(AC1585="","",IFERROR(INDEX(ctaTipo,MATCH(AC1585,ctaNombre,0))&amp;"",""))</f>
        <v/>
      </c>
      <c r="AF1585" s="53">
        <f>IF(OR(P1585="",AB1585=""),"",IF(OR(P1585="Gasto",P1585="Transferencia",P1585="Pago tarjeta"),-1,1)*IF(IFERROR(INDEX(ctaMoneda,MATCH(AB1585,ctaNombre,0))&amp;"","DOP")="USD",T1585,S1585))</f>
        <v/>
      </c>
      <c r="AG1585" s="53">
        <f>IF(AC1585="","",IF(IFERROR(INDEX(ctaMoneda,MATCH(AC1585,ctaNombre,0))&amp;"","DOP")="USD",T1585,S1585))</f>
        <v/>
      </c>
      <c r="AH1585" s="53">
        <f>IF(P1585="","",IF(AND(AD1585&lt;&gt;"",COUNTIFS(tcTipo,AD1585,tcLiq,"Sí")&gt;0),IF(OR(P1585="Gasto",P1585="Transferencia",P1585="Pago tarjeta"),-1,1)*S1585,0)+IF(AND(AE1585&lt;&gt;"",COUNTIFS(tcTipo,AE1585,tcLiq,"Sí")&gt;0),S1585,0))</f>
        <v/>
      </c>
      <c r="AI1585" s="52">
        <f>IF(OR(L1585="",P1585=""),"",IF(COUNTIFS(L$6:L1585,L1585,P$6:P1585,"?*")=1,MAX(AI$5:AI1584)+1,""))</f>
        <v/>
      </c>
    </row>
    <row r="1586">
      <c r="B1586" s="47" t="n"/>
      <c r="C1586" s="48" t="n"/>
      <c r="D1586" s="48" t="n"/>
      <c r="E1586" s="48" t="n"/>
      <c r="F1586" s="48" t="n"/>
      <c r="G1586" s="49" t="n"/>
      <c r="H1586" s="48" t="n"/>
      <c r="I1586" s="50" t="n"/>
      <c r="J1586" s="48" t="n"/>
      <c r="K1586" s="48" t="n"/>
      <c r="L1586" s="48" t="n"/>
      <c r="M1586" s="48" t="n"/>
      <c r="N1586" s="48" t="n"/>
      <c r="O1586" s="51">
        <f>IF(AND(B1586="",G1586="",C1586="",D1586="",J1586=""),"",IF(B1586="","⚠ Falta fecha",IF(G1586="","⚠ Falta monto",IF(Q1586="","⚠ Falta cuenta",IF(ISNA(MATCH(Q1586,ctaNombre,0)),"⚠ Cuenta no registrada",IF(AND(OR(P1586="Gasto",P1586="Reembolso"),D1586=""),"⚠ Falta categoría",IF(AND(D1586&lt;&gt;"",E1586&lt;&gt;"",ISNA(MATCH(D1586&amp;"|"&amp;E1586,catClave,0))),"⚠ Subcategoría no corresponde",IF(AND(OR(P1586="Transferencia",P1586="Pago tarjeta"),K1586=""),"⚠ Falta cuenta destino",IF(AND(K1586&lt;&gt;"",P1586&lt;&gt;"Transferencia",P1586&lt;&gt;"Pago tarjeta"),"⚠ Destino solo aplica a transferencias",IF(AND(K1586&lt;&gt;"",K1586=Q1586),"⚠ Origen igual a destino",IF(AND(K1586&lt;&gt;"",ISNA(MATCH(K1586,ctaNombre,0))),"⚠ Destino no registrado",IF(AND(P1586="Pago tarjeta",AE1586&lt;&gt;"Tarjeta de crédito"),"⚠ El destino debe ser tarjeta de crédito",IF(AND(P1586="Gasto",E1586="Depósitos y retiros"),"⚠ Usa tipo Transferencia",IF(AND(P1586="Resultado trading",AD1586&lt;&gt;"Cuenta de trading"),"⚠ Usa una cuenta de trading",IF(AND(G1586&lt;=0,P1586&lt;&gt;"Ajuste",P1586&lt;&gt;"Resultado trading"),"⚠ El monto debe ser positivo","✓")))))))))))))))</f>
        <v/>
      </c>
      <c r="P1586" s="52">
        <f>IF(OR(B1586="",G1586=""),"",IF(C1586="","Gasto",C1586))</f>
        <v/>
      </c>
      <c r="Q1586" s="52">
        <f>IF(P1586="","",IF(J1586&lt;&gt;"",J1586,CuentaPred&amp;""))</f>
        <v/>
      </c>
      <c r="R1586" s="52">
        <f>IF(P1586="","",IF(ISNUMBER(I1586),I1586,TasaUSD))</f>
        <v/>
      </c>
      <c r="S1586" s="53">
        <f>IF(P1586="","",IF(H1586="USD",G1586*R1586,G1586))</f>
        <v/>
      </c>
      <c r="T1586" s="53">
        <f>IF(P1586="","",IF(H1586="USD",G1586,IF(R1586&gt;0,G1586/R1586,0)))</f>
        <v/>
      </c>
      <c r="U1586" s="53">
        <f>IF(P1586="","",IF(P1586="Gasto",S1586,IF(P1586="Reembolso",-S1586,0)))</f>
        <v/>
      </c>
      <c r="V1586" s="53">
        <f>IF(P1586="","",IF(P1586="Ingreso",S1586,0))</f>
        <v/>
      </c>
      <c r="W1586" s="53">
        <f>IF(P1586="","",IF(P1586="Resultado trading",S1586,0))</f>
        <v/>
      </c>
      <c r="X1586" s="52">
        <f>IF(OR(P1586="Gasto",P1586="Reembolso"),IF(M1586&lt;&gt;"",M1586,IFERROR(INDEX(catClasif,MATCH(D1586&amp;"|"&amp;E1586,catClave,0))&amp;"","Variable")),"")</f>
        <v/>
      </c>
      <c r="Y1586" s="52">
        <f>IF(P1586="","",IFERROR(INDEX(catGrupo,MATCH(D1586&amp;"|"&amp;E1586,catClave,0))&amp;"",""))</f>
        <v/>
      </c>
      <c r="Z1586" s="52">
        <f>IF(P1586="","",WEEKDAY(B1586,2))</f>
        <v/>
      </c>
      <c r="AA1586" s="52">
        <f>IF(P1586="","",IF(AND(P1586="Gasto",X1586="Variable",D1586&lt;&gt;catTrading,S1586&gt;0,S1586&lt;=Umbral),1,0))</f>
        <v/>
      </c>
      <c r="AB1586" s="52">
        <f>IF(OR(P1586="",Q1586=""),"",IFERROR(IF(INDEX(ctaVinc,MATCH(Q1586,ctaNombre,0))&amp;""&lt;&gt;"",INDEX(ctaVinc,MATCH(Q1586,ctaNombre,0))&amp;"",Q1586),Q1586))</f>
        <v/>
      </c>
      <c r="AC1586" s="52">
        <f>IF(OR(K1586="",AND(P1586&lt;&gt;"Transferencia",P1586&lt;&gt;"Pago tarjeta")),"",IFERROR(IF(INDEX(ctaVinc,MATCH(K1586,ctaNombre,0))&amp;""&lt;&gt;"",INDEX(ctaVinc,MATCH(K1586,ctaNombre,0))&amp;"",K1586),K1586))</f>
        <v/>
      </c>
      <c r="AD1586" s="52">
        <f>IF(AB1586="","",IFERROR(INDEX(ctaTipo,MATCH(AB1586,ctaNombre,0))&amp;"",""))</f>
        <v/>
      </c>
      <c r="AE1586" s="52">
        <f>IF(AC1586="","",IFERROR(INDEX(ctaTipo,MATCH(AC1586,ctaNombre,0))&amp;"",""))</f>
        <v/>
      </c>
      <c r="AF1586" s="53">
        <f>IF(OR(P1586="",AB1586=""),"",IF(OR(P1586="Gasto",P1586="Transferencia",P1586="Pago tarjeta"),-1,1)*IF(IFERROR(INDEX(ctaMoneda,MATCH(AB1586,ctaNombre,0))&amp;"","DOP")="USD",T1586,S1586))</f>
        <v/>
      </c>
      <c r="AG1586" s="53">
        <f>IF(AC1586="","",IF(IFERROR(INDEX(ctaMoneda,MATCH(AC1586,ctaNombre,0))&amp;"","DOP")="USD",T1586,S1586))</f>
        <v/>
      </c>
      <c r="AH1586" s="53">
        <f>IF(P1586="","",IF(AND(AD1586&lt;&gt;"",COUNTIFS(tcTipo,AD1586,tcLiq,"Sí")&gt;0),IF(OR(P1586="Gasto",P1586="Transferencia",P1586="Pago tarjeta"),-1,1)*S1586,0)+IF(AND(AE1586&lt;&gt;"",COUNTIFS(tcTipo,AE1586,tcLiq,"Sí")&gt;0),S1586,0))</f>
        <v/>
      </c>
      <c r="AI1586" s="52">
        <f>IF(OR(L1586="",P1586=""),"",IF(COUNTIFS(L$6:L1586,L1586,P$6:P1586,"?*")=1,MAX(AI$5:AI1585)+1,""))</f>
        <v/>
      </c>
    </row>
    <row r="1587">
      <c r="B1587" s="47" t="n"/>
      <c r="C1587" s="48" t="n"/>
      <c r="D1587" s="48" t="n"/>
      <c r="E1587" s="48" t="n"/>
      <c r="F1587" s="48" t="n"/>
      <c r="G1587" s="49" t="n"/>
      <c r="H1587" s="48" t="n"/>
      <c r="I1587" s="50" t="n"/>
      <c r="J1587" s="48" t="n"/>
      <c r="K1587" s="48" t="n"/>
      <c r="L1587" s="48" t="n"/>
      <c r="M1587" s="48" t="n"/>
      <c r="N1587" s="48" t="n"/>
      <c r="O1587" s="51">
        <f>IF(AND(B1587="",G1587="",C1587="",D1587="",J1587=""),"",IF(B1587="","⚠ Falta fecha",IF(G1587="","⚠ Falta monto",IF(Q1587="","⚠ Falta cuenta",IF(ISNA(MATCH(Q1587,ctaNombre,0)),"⚠ Cuenta no registrada",IF(AND(OR(P1587="Gasto",P1587="Reembolso"),D1587=""),"⚠ Falta categoría",IF(AND(D1587&lt;&gt;"",E1587&lt;&gt;"",ISNA(MATCH(D1587&amp;"|"&amp;E1587,catClave,0))),"⚠ Subcategoría no corresponde",IF(AND(OR(P1587="Transferencia",P1587="Pago tarjeta"),K1587=""),"⚠ Falta cuenta destino",IF(AND(K1587&lt;&gt;"",P1587&lt;&gt;"Transferencia",P1587&lt;&gt;"Pago tarjeta"),"⚠ Destino solo aplica a transferencias",IF(AND(K1587&lt;&gt;"",K1587=Q1587),"⚠ Origen igual a destino",IF(AND(K1587&lt;&gt;"",ISNA(MATCH(K1587,ctaNombre,0))),"⚠ Destino no registrado",IF(AND(P1587="Pago tarjeta",AE1587&lt;&gt;"Tarjeta de crédito"),"⚠ El destino debe ser tarjeta de crédito",IF(AND(P1587="Gasto",E1587="Depósitos y retiros"),"⚠ Usa tipo Transferencia",IF(AND(P1587="Resultado trading",AD1587&lt;&gt;"Cuenta de trading"),"⚠ Usa una cuenta de trading",IF(AND(G1587&lt;=0,P1587&lt;&gt;"Ajuste",P1587&lt;&gt;"Resultado trading"),"⚠ El monto debe ser positivo","✓")))))))))))))))</f>
        <v/>
      </c>
      <c r="P1587" s="52">
        <f>IF(OR(B1587="",G1587=""),"",IF(C1587="","Gasto",C1587))</f>
        <v/>
      </c>
      <c r="Q1587" s="52">
        <f>IF(P1587="","",IF(J1587&lt;&gt;"",J1587,CuentaPred&amp;""))</f>
        <v/>
      </c>
      <c r="R1587" s="52">
        <f>IF(P1587="","",IF(ISNUMBER(I1587),I1587,TasaUSD))</f>
        <v/>
      </c>
      <c r="S1587" s="53">
        <f>IF(P1587="","",IF(H1587="USD",G1587*R1587,G1587))</f>
        <v/>
      </c>
      <c r="T1587" s="53">
        <f>IF(P1587="","",IF(H1587="USD",G1587,IF(R1587&gt;0,G1587/R1587,0)))</f>
        <v/>
      </c>
      <c r="U1587" s="53">
        <f>IF(P1587="","",IF(P1587="Gasto",S1587,IF(P1587="Reembolso",-S1587,0)))</f>
        <v/>
      </c>
      <c r="V1587" s="53">
        <f>IF(P1587="","",IF(P1587="Ingreso",S1587,0))</f>
        <v/>
      </c>
      <c r="W1587" s="53">
        <f>IF(P1587="","",IF(P1587="Resultado trading",S1587,0))</f>
        <v/>
      </c>
      <c r="X1587" s="52">
        <f>IF(OR(P1587="Gasto",P1587="Reembolso"),IF(M1587&lt;&gt;"",M1587,IFERROR(INDEX(catClasif,MATCH(D1587&amp;"|"&amp;E1587,catClave,0))&amp;"","Variable")),"")</f>
        <v/>
      </c>
      <c r="Y1587" s="52">
        <f>IF(P1587="","",IFERROR(INDEX(catGrupo,MATCH(D1587&amp;"|"&amp;E1587,catClave,0))&amp;"",""))</f>
        <v/>
      </c>
      <c r="Z1587" s="52">
        <f>IF(P1587="","",WEEKDAY(B1587,2))</f>
        <v/>
      </c>
      <c r="AA1587" s="52">
        <f>IF(P1587="","",IF(AND(P1587="Gasto",X1587="Variable",D1587&lt;&gt;catTrading,S1587&gt;0,S1587&lt;=Umbral),1,0))</f>
        <v/>
      </c>
      <c r="AB1587" s="52">
        <f>IF(OR(P1587="",Q1587=""),"",IFERROR(IF(INDEX(ctaVinc,MATCH(Q1587,ctaNombre,0))&amp;""&lt;&gt;"",INDEX(ctaVinc,MATCH(Q1587,ctaNombre,0))&amp;"",Q1587),Q1587))</f>
        <v/>
      </c>
      <c r="AC1587" s="52">
        <f>IF(OR(K1587="",AND(P1587&lt;&gt;"Transferencia",P1587&lt;&gt;"Pago tarjeta")),"",IFERROR(IF(INDEX(ctaVinc,MATCH(K1587,ctaNombre,0))&amp;""&lt;&gt;"",INDEX(ctaVinc,MATCH(K1587,ctaNombre,0))&amp;"",K1587),K1587))</f>
        <v/>
      </c>
      <c r="AD1587" s="52">
        <f>IF(AB1587="","",IFERROR(INDEX(ctaTipo,MATCH(AB1587,ctaNombre,0))&amp;"",""))</f>
        <v/>
      </c>
      <c r="AE1587" s="52">
        <f>IF(AC1587="","",IFERROR(INDEX(ctaTipo,MATCH(AC1587,ctaNombre,0))&amp;"",""))</f>
        <v/>
      </c>
      <c r="AF1587" s="53">
        <f>IF(OR(P1587="",AB1587=""),"",IF(OR(P1587="Gasto",P1587="Transferencia",P1587="Pago tarjeta"),-1,1)*IF(IFERROR(INDEX(ctaMoneda,MATCH(AB1587,ctaNombre,0))&amp;"","DOP")="USD",T1587,S1587))</f>
        <v/>
      </c>
      <c r="AG1587" s="53">
        <f>IF(AC1587="","",IF(IFERROR(INDEX(ctaMoneda,MATCH(AC1587,ctaNombre,0))&amp;"","DOP")="USD",T1587,S1587))</f>
        <v/>
      </c>
      <c r="AH1587" s="53">
        <f>IF(P1587="","",IF(AND(AD1587&lt;&gt;"",COUNTIFS(tcTipo,AD1587,tcLiq,"Sí")&gt;0),IF(OR(P1587="Gasto",P1587="Transferencia",P1587="Pago tarjeta"),-1,1)*S1587,0)+IF(AND(AE1587&lt;&gt;"",COUNTIFS(tcTipo,AE1587,tcLiq,"Sí")&gt;0),S1587,0))</f>
        <v/>
      </c>
      <c r="AI1587" s="52">
        <f>IF(OR(L1587="",P1587=""),"",IF(COUNTIFS(L$6:L1587,L1587,P$6:P1587,"?*")=1,MAX(AI$5:AI1586)+1,""))</f>
        <v/>
      </c>
    </row>
    <row r="1588">
      <c r="B1588" s="47" t="n"/>
      <c r="C1588" s="48" t="n"/>
      <c r="D1588" s="48" t="n"/>
      <c r="E1588" s="48" t="n"/>
      <c r="F1588" s="48" t="n"/>
      <c r="G1588" s="49" t="n"/>
      <c r="H1588" s="48" t="n"/>
      <c r="I1588" s="50" t="n"/>
      <c r="J1588" s="48" t="n"/>
      <c r="K1588" s="48" t="n"/>
      <c r="L1588" s="48" t="n"/>
      <c r="M1588" s="48" t="n"/>
      <c r="N1588" s="48" t="n"/>
      <c r="O1588" s="51">
        <f>IF(AND(B1588="",G1588="",C1588="",D1588="",J1588=""),"",IF(B1588="","⚠ Falta fecha",IF(G1588="","⚠ Falta monto",IF(Q1588="","⚠ Falta cuenta",IF(ISNA(MATCH(Q1588,ctaNombre,0)),"⚠ Cuenta no registrada",IF(AND(OR(P1588="Gasto",P1588="Reembolso"),D1588=""),"⚠ Falta categoría",IF(AND(D1588&lt;&gt;"",E1588&lt;&gt;"",ISNA(MATCH(D1588&amp;"|"&amp;E1588,catClave,0))),"⚠ Subcategoría no corresponde",IF(AND(OR(P1588="Transferencia",P1588="Pago tarjeta"),K1588=""),"⚠ Falta cuenta destino",IF(AND(K1588&lt;&gt;"",P1588&lt;&gt;"Transferencia",P1588&lt;&gt;"Pago tarjeta"),"⚠ Destino solo aplica a transferencias",IF(AND(K1588&lt;&gt;"",K1588=Q1588),"⚠ Origen igual a destino",IF(AND(K1588&lt;&gt;"",ISNA(MATCH(K1588,ctaNombre,0))),"⚠ Destino no registrado",IF(AND(P1588="Pago tarjeta",AE1588&lt;&gt;"Tarjeta de crédito"),"⚠ El destino debe ser tarjeta de crédito",IF(AND(P1588="Gasto",E1588="Depósitos y retiros"),"⚠ Usa tipo Transferencia",IF(AND(P1588="Resultado trading",AD1588&lt;&gt;"Cuenta de trading"),"⚠ Usa una cuenta de trading",IF(AND(G1588&lt;=0,P1588&lt;&gt;"Ajuste",P1588&lt;&gt;"Resultado trading"),"⚠ El monto debe ser positivo","✓")))))))))))))))</f>
        <v/>
      </c>
      <c r="P1588" s="52">
        <f>IF(OR(B1588="",G1588=""),"",IF(C1588="","Gasto",C1588))</f>
        <v/>
      </c>
      <c r="Q1588" s="52">
        <f>IF(P1588="","",IF(J1588&lt;&gt;"",J1588,CuentaPred&amp;""))</f>
        <v/>
      </c>
      <c r="R1588" s="52">
        <f>IF(P1588="","",IF(ISNUMBER(I1588),I1588,TasaUSD))</f>
        <v/>
      </c>
      <c r="S1588" s="53">
        <f>IF(P1588="","",IF(H1588="USD",G1588*R1588,G1588))</f>
        <v/>
      </c>
      <c r="T1588" s="53">
        <f>IF(P1588="","",IF(H1588="USD",G1588,IF(R1588&gt;0,G1588/R1588,0)))</f>
        <v/>
      </c>
      <c r="U1588" s="53">
        <f>IF(P1588="","",IF(P1588="Gasto",S1588,IF(P1588="Reembolso",-S1588,0)))</f>
        <v/>
      </c>
      <c r="V1588" s="53">
        <f>IF(P1588="","",IF(P1588="Ingreso",S1588,0))</f>
        <v/>
      </c>
      <c r="W1588" s="53">
        <f>IF(P1588="","",IF(P1588="Resultado trading",S1588,0))</f>
        <v/>
      </c>
      <c r="X1588" s="52">
        <f>IF(OR(P1588="Gasto",P1588="Reembolso"),IF(M1588&lt;&gt;"",M1588,IFERROR(INDEX(catClasif,MATCH(D1588&amp;"|"&amp;E1588,catClave,0))&amp;"","Variable")),"")</f>
        <v/>
      </c>
      <c r="Y1588" s="52">
        <f>IF(P1588="","",IFERROR(INDEX(catGrupo,MATCH(D1588&amp;"|"&amp;E1588,catClave,0))&amp;"",""))</f>
        <v/>
      </c>
      <c r="Z1588" s="52">
        <f>IF(P1588="","",WEEKDAY(B1588,2))</f>
        <v/>
      </c>
      <c r="AA1588" s="52">
        <f>IF(P1588="","",IF(AND(P1588="Gasto",X1588="Variable",D1588&lt;&gt;catTrading,S1588&gt;0,S1588&lt;=Umbral),1,0))</f>
        <v/>
      </c>
      <c r="AB1588" s="52">
        <f>IF(OR(P1588="",Q1588=""),"",IFERROR(IF(INDEX(ctaVinc,MATCH(Q1588,ctaNombre,0))&amp;""&lt;&gt;"",INDEX(ctaVinc,MATCH(Q1588,ctaNombre,0))&amp;"",Q1588),Q1588))</f>
        <v/>
      </c>
      <c r="AC1588" s="52">
        <f>IF(OR(K1588="",AND(P1588&lt;&gt;"Transferencia",P1588&lt;&gt;"Pago tarjeta")),"",IFERROR(IF(INDEX(ctaVinc,MATCH(K1588,ctaNombre,0))&amp;""&lt;&gt;"",INDEX(ctaVinc,MATCH(K1588,ctaNombre,0))&amp;"",K1588),K1588))</f>
        <v/>
      </c>
      <c r="AD1588" s="52">
        <f>IF(AB1588="","",IFERROR(INDEX(ctaTipo,MATCH(AB1588,ctaNombre,0))&amp;"",""))</f>
        <v/>
      </c>
      <c r="AE1588" s="52">
        <f>IF(AC1588="","",IFERROR(INDEX(ctaTipo,MATCH(AC1588,ctaNombre,0))&amp;"",""))</f>
        <v/>
      </c>
      <c r="AF1588" s="53">
        <f>IF(OR(P1588="",AB1588=""),"",IF(OR(P1588="Gasto",P1588="Transferencia",P1588="Pago tarjeta"),-1,1)*IF(IFERROR(INDEX(ctaMoneda,MATCH(AB1588,ctaNombre,0))&amp;"","DOP")="USD",T1588,S1588))</f>
        <v/>
      </c>
      <c r="AG1588" s="53">
        <f>IF(AC1588="","",IF(IFERROR(INDEX(ctaMoneda,MATCH(AC1588,ctaNombre,0))&amp;"","DOP")="USD",T1588,S1588))</f>
        <v/>
      </c>
      <c r="AH1588" s="53">
        <f>IF(P1588="","",IF(AND(AD1588&lt;&gt;"",COUNTIFS(tcTipo,AD1588,tcLiq,"Sí")&gt;0),IF(OR(P1588="Gasto",P1588="Transferencia",P1588="Pago tarjeta"),-1,1)*S1588,0)+IF(AND(AE1588&lt;&gt;"",COUNTIFS(tcTipo,AE1588,tcLiq,"Sí")&gt;0),S1588,0))</f>
        <v/>
      </c>
      <c r="AI1588" s="52">
        <f>IF(OR(L1588="",P1588=""),"",IF(COUNTIFS(L$6:L1588,L1588,P$6:P1588,"?*")=1,MAX(AI$5:AI1587)+1,""))</f>
        <v/>
      </c>
    </row>
    <row r="1589">
      <c r="B1589" s="47" t="n"/>
      <c r="C1589" s="48" t="n"/>
      <c r="D1589" s="48" t="n"/>
      <c r="E1589" s="48" t="n"/>
      <c r="F1589" s="48" t="n"/>
      <c r="G1589" s="49" t="n"/>
      <c r="H1589" s="48" t="n"/>
      <c r="I1589" s="50" t="n"/>
      <c r="J1589" s="48" t="n"/>
      <c r="K1589" s="48" t="n"/>
      <c r="L1589" s="48" t="n"/>
      <c r="M1589" s="48" t="n"/>
      <c r="N1589" s="48" t="n"/>
      <c r="O1589" s="51">
        <f>IF(AND(B1589="",G1589="",C1589="",D1589="",J1589=""),"",IF(B1589="","⚠ Falta fecha",IF(G1589="","⚠ Falta monto",IF(Q1589="","⚠ Falta cuenta",IF(ISNA(MATCH(Q1589,ctaNombre,0)),"⚠ Cuenta no registrada",IF(AND(OR(P1589="Gasto",P1589="Reembolso"),D1589=""),"⚠ Falta categoría",IF(AND(D1589&lt;&gt;"",E1589&lt;&gt;"",ISNA(MATCH(D1589&amp;"|"&amp;E1589,catClave,0))),"⚠ Subcategoría no corresponde",IF(AND(OR(P1589="Transferencia",P1589="Pago tarjeta"),K1589=""),"⚠ Falta cuenta destino",IF(AND(K1589&lt;&gt;"",P1589&lt;&gt;"Transferencia",P1589&lt;&gt;"Pago tarjeta"),"⚠ Destino solo aplica a transferencias",IF(AND(K1589&lt;&gt;"",K1589=Q1589),"⚠ Origen igual a destino",IF(AND(K1589&lt;&gt;"",ISNA(MATCH(K1589,ctaNombre,0))),"⚠ Destino no registrado",IF(AND(P1589="Pago tarjeta",AE1589&lt;&gt;"Tarjeta de crédito"),"⚠ El destino debe ser tarjeta de crédito",IF(AND(P1589="Gasto",E1589="Depósitos y retiros"),"⚠ Usa tipo Transferencia",IF(AND(P1589="Resultado trading",AD1589&lt;&gt;"Cuenta de trading"),"⚠ Usa una cuenta de trading",IF(AND(G1589&lt;=0,P1589&lt;&gt;"Ajuste",P1589&lt;&gt;"Resultado trading"),"⚠ El monto debe ser positivo","✓")))))))))))))))</f>
        <v/>
      </c>
      <c r="P1589" s="52">
        <f>IF(OR(B1589="",G1589=""),"",IF(C1589="","Gasto",C1589))</f>
        <v/>
      </c>
      <c r="Q1589" s="52">
        <f>IF(P1589="","",IF(J1589&lt;&gt;"",J1589,CuentaPred&amp;""))</f>
        <v/>
      </c>
      <c r="R1589" s="52">
        <f>IF(P1589="","",IF(ISNUMBER(I1589),I1589,TasaUSD))</f>
        <v/>
      </c>
      <c r="S1589" s="53">
        <f>IF(P1589="","",IF(H1589="USD",G1589*R1589,G1589))</f>
        <v/>
      </c>
      <c r="T1589" s="53">
        <f>IF(P1589="","",IF(H1589="USD",G1589,IF(R1589&gt;0,G1589/R1589,0)))</f>
        <v/>
      </c>
      <c r="U1589" s="53">
        <f>IF(P1589="","",IF(P1589="Gasto",S1589,IF(P1589="Reembolso",-S1589,0)))</f>
        <v/>
      </c>
      <c r="V1589" s="53">
        <f>IF(P1589="","",IF(P1589="Ingreso",S1589,0))</f>
        <v/>
      </c>
      <c r="W1589" s="53">
        <f>IF(P1589="","",IF(P1589="Resultado trading",S1589,0))</f>
        <v/>
      </c>
      <c r="X1589" s="52">
        <f>IF(OR(P1589="Gasto",P1589="Reembolso"),IF(M1589&lt;&gt;"",M1589,IFERROR(INDEX(catClasif,MATCH(D1589&amp;"|"&amp;E1589,catClave,0))&amp;"","Variable")),"")</f>
        <v/>
      </c>
      <c r="Y1589" s="52">
        <f>IF(P1589="","",IFERROR(INDEX(catGrupo,MATCH(D1589&amp;"|"&amp;E1589,catClave,0))&amp;"",""))</f>
        <v/>
      </c>
      <c r="Z1589" s="52">
        <f>IF(P1589="","",WEEKDAY(B1589,2))</f>
        <v/>
      </c>
      <c r="AA1589" s="52">
        <f>IF(P1589="","",IF(AND(P1589="Gasto",X1589="Variable",D1589&lt;&gt;catTrading,S1589&gt;0,S1589&lt;=Umbral),1,0))</f>
        <v/>
      </c>
      <c r="AB1589" s="52">
        <f>IF(OR(P1589="",Q1589=""),"",IFERROR(IF(INDEX(ctaVinc,MATCH(Q1589,ctaNombre,0))&amp;""&lt;&gt;"",INDEX(ctaVinc,MATCH(Q1589,ctaNombre,0))&amp;"",Q1589),Q1589))</f>
        <v/>
      </c>
      <c r="AC1589" s="52">
        <f>IF(OR(K1589="",AND(P1589&lt;&gt;"Transferencia",P1589&lt;&gt;"Pago tarjeta")),"",IFERROR(IF(INDEX(ctaVinc,MATCH(K1589,ctaNombre,0))&amp;""&lt;&gt;"",INDEX(ctaVinc,MATCH(K1589,ctaNombre,0))&amp;"",K1589),K1589))</f>
        <v/>
      </c>
      <c r="AD1589" s="52">
        <f>IF(AB1589="","",IFERROR(INDEX(ctaTipo,MATCH(AB1589,ctaNombre,0))&amp;"",""))</f>
        <v/>
      </c>
      <c r="AE1589" s="52">
        <f>IF(AC1589="","",IFERROR(INDEX(ctaTipo,MATCH(AC1589,ctaNombre,0))&amp;"",""))</f>
        <v/>
      </c>
      <c r="AF1589" s="53">
        <f>IF(OR(P1589="",AB1589=""),"",IF(OR(P1589="Gasto",P1589="Transferencia",P1589="Pago tarjeta"),-1,1)*IF(IFERROR(INDEX(ctaMoneda,MATCH(AB1589,ctaNombre,0))&amp;"","DOP")="USD",T1589,S1589))</f>
        <v/>
      </c>
      <c r="AG1589" s="53">
        <f>IF(AC1589="","",IF(IFERROR(INDEX(ctaMoneda,MATCH(AC1589,ctaNombre,0))&amp;"","DOP")="USD",T1589,S1589))</f>
        <v/>
      </c>
      <c r="AH1589" s="53">
        <f>IF(P1589="","",IF(AND(AD1589&lt;&gt;"",COUNTIFS(tcTipo,AD1589,tcLiq,"Sí")&gt;0),IF(OR(P1589="Gasto",P1589="Transferencia",P1589="Pago tarjeta"),-1,1)*S1589,0)+IF(AND(AE1589&lt;&gt;"",COUNTIFS(tcTipo,AE1589,tcLiq,"Sí")&gt;0),S1589,0))</f>
        <v/>
      </c>
      <c r="AI1589" s="52">
        <f>IF(OR(L1589="",P1589=""),"",IF(COUNTIFS(L$6:L1589,L1589,P$6:P1589,"?*")=1,MAX(AI$5:AI1588)+1,""))</f>
        <v/>
      </c>
    </row>
    <row r="1590">
      <c r="B1590" s="47" t="n"/>
      <c r="C1590" s="48" t="n"/>
      <c r="D1590" s="48" t="n"/>
      <c r="E1590" s="48" t="n"/>
      <c r="F1590" s="48" t="n"/>
      <c r="G1590" s="49" t="n"/>
      <c r="H1590" s="48" t="n"/>
      <c r="I1590" s="50" t="n"/>
      <c r="J1590" s="48" t="n"/>
      <c r="K1590" s="48" t="n"/>
      <c r="L1590" s="48" t="n"/>
      <c r="M1590" s="48" t="n"/>
      <c r="N1590" s="48" t="n"/>
      <c r="O1590" s="51">
        <f>IF(AND(B1590="",G1590="",C1590="",D1590="",J1590=""),"",IF(B1590="","⚠ Falta fecha",IF(G1590="","⚠ Falta monto",IF(Q1590="","⚠ Falta cuenta",IF(ISNA(MATCH(Q1590,ctaNombre,0)),"⚠ Cuenta no registrada",IF(AND(OR(P1590="Gasto",P1590="Reembolso"),D1590=""),"⚠ Falta categoría",IF(AND(D1590&lt;&gt;"",E1590&lt;&gt;"",ISNA(MATCH(D1590&amp;"|"&amp;E1590,catClave,0))),"⚠ Subcategoría no corresponde",IF(AND(OR(P1590="Transferencia",P1590="Pago tarjeta"),K1590=""),"⚠ Falta cuenta destino",IF(AND(K1590&lt;&gt;"",P1590&lt;&gt;"Transferencia",P1590&lt;&gt;"Pago tarjeta"),"⚠ Destino solo aplica a transferencias",IF(AND(K1590&lt;&gt;"",K1590=Q1590),"⚠ Origen igual a destino",IF(AND(K1590&lt;&gt;"",ISNA(MATCH(K1590,ctaNombre,0))),"⚠ Destino no registrado",IF(AND(P1590="Pago tarjeta",AE1590&lt;&gt;"Tarjeta de crédito"),"⚠ El destino debe ser tarjeta de crédito",IF(AND(P1590="Gasto",E1590="Depósitos y retiros"),"⚠ Usa tipo Transferencia",IF(AND(P1590="Resultado trading",AD1590&lt;&gt;"Cuenta de trading"),"⚠ Usa una cuenta de trading",IF(AND(G1590&lt;=0,P1590&lt;&gt;"Ajuste",P1590&lt;&gt;"Resultado trading"),"⚠ El monto debe ser positivo","✓")))))))))))))))</f>
        <v/>
      </c>
      <c r="P1590" s="52">
        <f>IF(OR(B1590="",G1590=""),"",IF(C1590="","Gasto",C1590))</f>
        <v/>
      </c>
      <c r="Q1590" s="52">
        <f>IF(P1590="","",IF(J1590&lt;&gt;"",J1590,CuentaPred&amp;""))</f>
        <v/>
      </c>
      <c r="R1590" s="52">
        <f>IF(P1590="","",IF(ISNUMBER(I1590),I1590,TasaUSD))</f>
        <v/>
      </c>
      <c r="S1590" s="53">
        <f>IF(P1590="","",IF(H1590="USD",G1590*R1590,G1590))</f>
        <v/>
      </c>
      <c r="T1590" s="53">
        <f>IF(P1590="","",IF(H1590="USD",G1590,IF(R1590&gt;0,G1590/R1590,0)))</f>
        <v/>
      </c>
      <c r="U1590" s="53">
        <f>IF(P1590="","",IF(P1590="Gasto",S1590,IF(P1590="Reembolso",-S1590,0)))</f>
        <v/>
      </c>
      <c r="V1590" s="53">
        <f>IF(P1590="","",IF(P1590="Ingreso",S1590,0))</f>
        <v/>
      </c>
      <c r="W1590" s="53">
        <f>IF(P1590="","",IF(P1590="Resultado trading",S1590,0))</f>
        <v/>
      </c>
      <c r="X1590" s="52">
        <f>IF(OR(P1590="Gasto",P1590="Reembolso"),IF(M1590&lt;&gt;"",M1590,IFERROR(INDEX(catClasif,MATCH(D1590&amp;"|"&amp;E1590,catClave,0))&amp;"","Variable")),"")</f>
        <v/>
      </c>
      <c r="Y1590" s="52">
        <f>IF(P1590="","",IFERROR(INDEX(catGrupo,MATCH(D1590&amp;"|"&amp;E1590,catClave,0))&amp;"",""))</f>
        <v/>
      </c>
      <c r="Z1590" s="52">
        <f>IF(P1590="","",WEEKDAY(B1590,2))</f>
        <v/>
      </c>
      <c r="AA1590" s="52">
        <f>IF(P1590="","",IF(AND(P1590="Gasto",X1590="Variable",D1590&lt;&gt;catTrading,S1590&gt;0,S1590&lt;=Umbral),1,0))</f>
        <v/>
      </c>
      <c r="AB1590" s="52">
        <f>IF(OR(P1590="",Q1590=""),"",IFERROR(IF(INDEX(ctaVinc,MATCH(Q1590,ctaNombre,0))&amp;""&lt;&gt;"",INDEX(ctaVinc,MATCH(Q1590,ctaNombre,0))&amp;"",Q1590),Q1590))</f>
        <v/>
      </c>
      <c r="AC1590" s="52">
        <f>IF(OR(K1590="",AND(P1590&lt;&gt;"Transferencia",P1590&lt;&gt;"Pago tarjeta")),"",IFERROR(IF(INDEX(ctaVinc,MATCH(K1590,ctaNombre,0))&amp;""&lt;&gt;"",INDEX(ctaVinc,MATCH(K1590,ctaNombre,0))&amp;"",K1590),K1590))</f>
        <v/>
      </c>
      <c r="AD1590" s="52">
        <f>IF(AB1590="","",IFERROR(INDEX(ctaTipo,MATCH(AB1590,ctaNombre,0))&amp;"",""))</f>
        <v/>
      </c>
      <c r="AE1590" s="52">
        <f>IF(AC1590="","",IFERROR(INDEX(ctaTipo,MATCH(AC1590,ctaNombre,0))&amp;"",""))</f>
        <v/>
      </c>
      <c r="AF1590" s="53">
        <f>IF(OR(P1590="",AB1590=""),"",IF(OR(P1590="Gasto",P1590="Transferencia",P1590="Pago tarjeta"),-1,1)*IF(IFERROR(INDEX(ctaMoneda,MATCH(AB1590,ctaNombre,0))&amp;"","DOP")="USD",T1590,S1590))</f>
        <v/>
      </c>
      <c r="AG1590" s="53">
        <f>IF(AC1590="","",IF(IFERROR(INDEX(ctaMoneda,MATCH(AC1590,ctaNombre,0))&amp;"","DOP")="USD",T1590,S1590))</f>
        <v/>
      </c>
      <c r="AH1590" s="53">
        <f>IF(P1590="","",IF(AND(AD1590&lt;&gt;"",COUNTIFS(tcTipo,AD1590,tcLiq,"Sí")&gt;0),IF(OR(P1590="Gasto",P1590="Transferencia",P1590="Pago tarjeta"),-1,1)*S1590,0)+IF(AND(AE1590&lt;&gt;"",COUNTIFS(tcTipo,AE1590,tcLiq,"Sí")&gt;0),S1590,0))</f>
        <v/>
      </c>
      <c r="AI1590" s="52">
        <f>IF(OR(L1590="",P1590=""),"",IF(COUNTIFS(L$6:L1590,L1590,P$6:P1590,"?*")=1,MAX(AI$5:AI1589)+1,""))</f>
        <v/>
      </c>
    </row>
    <row r="1591">
      <c r="B1591" s="47" t="n"/>
      <c r="C1591" s="48" t="n"/>
      <c r="D1591" s="48" t="n"/>
      <c r="E1591" s="48" t="n"/>
      <c r="F1591" s="48" t="n"/>
      <c r="G1591" s="49" t="n"/>
      <c r="H1591" s="48" t="n"/>
      <c r="I1591" s="50" t="n"/>
      <c r="J1591" s="48" t="n"/>
      <c r="K1591" s="48" t="n"/>
      <c r="L1591" s="48" t="n"/>
      <c r="M1591" s="48" t="n"/>
      <c r="N1591" s="48" t="n"/>
      <c r="O1591" s="51">
        <f>IF(AND(B1591="",G1591="",C1591="",D1591="",J1591=""),"",IF(B1591="","⚠ Falta fecha",IF(G1591="","⚠ Falta monto",IF(Q1591="","⚠ Falta cuenta",IF(ISNA(MATCH(Q1591,ctaNombre,0)),"⚠ Cuenta no registrada",IF(AND(OR(P1591="Gasto",P1591="Reembolso"),D1591=""),"⚠ Falta categoría",IF(AND(D1591&lt;&gt;"",E1591&lt;&gt;"",ISNA(MATCH(D1591&amp;"|"&amp;E1591,catClave,0))),"⚠ Subcategoría no corresponde",IF(AND(OR(P1591="Transferencia",P1591="Pago tarjeta"),K1591=""),"⚠ Falta cuenta destino",IF(AND(K1591&lt;&gt;"",P1591&lt;&gt;"Transferencia",P1591&lt;&gt;"Pago tarjeta"),"⚠ Destino solo aplica a transferencias",IF(AND(K1591&lt;&gt;"",K1591=Q1591),"⚠ Origen igual a destino",IF(AND(K1591&lt;&gt;"",ISNA(MATCH(K1591,ctaNombre,0))),"⚠ Destino no registrado",IF(AND(P1591="Pago tarjeta",AE1591&lt;&gt;"Tarjeta de crédito"),"⚠ El destino debe ser tarjeta de crédito",IF(AND(P1591="Gasto",E1591="Depósitos y retiros"),"⚠ Usa tipo Transferencia",IF(AND(P1591="Resultado trading",AD1591&lt;&gt;"Cuenta de trading"),"⚠ Usa una cuenta de trading",IF(AND(G1591&lt;=0,P1591&lt;&gt;"Ajuste",P1591&lt;&gt;"Resultado trading"),"⚠ El monto debe ser positivo","✓")))))))))))))))</f>
        <v/>
      </c>
      <c r="P1591" s="52">
        <f>IF(OR(B1591="",G1591=""),"",IF(C1591="","Gasto",C1591))</f>
        <v/>
      </c>
      <c r="Q1591" s="52">
        <f>IF(P1591="","",IF(J1591&lt;&gt;"",J1591,CuentaPred&amp;""))</f>
        <v/>
      </c>
      <c r="R1591" s="52">
        <f>IF(P1591="","",IF(ISNUMBER(I1591),I1591,TasaUSD))</f>
        <v/>
      </c>
      <c r="S1591" s="53">
        <f>IF(P1591="","",IF(H1591="USD",G1591*R1591,G1591))</f>
        <v/>
      </c>
      <c r="T1591" s="53">
        <f>IF(P1591="","",IF(H1591="USD",G1591,IF(R1591&gt;0,G1591/R1591,0)))</f>
        <v/>
      </c>
      <c r="U1591" s="53">
        <f>IF(P1591="","",IF(P1591="Gasto",S1591,IF(P1591="Reembolso",-S1591,0)))</f>
        <v/>
      </c>
      <c r="V1591" s="53">
        <f>IF(P1591="","",IF(P1591="Ingreso",S1591,0))</f>
        <v/>
      </c>
      <c r="W1591" s="53">
        <f>IF(P1591="","",IF(P1591="Resultado trading",S1591,0))</f>
        <v/>
      </c>
      <c r="X1591" s="52">
        <f>IF(OR(P1591="Gasto",P1591="Reembolso"),IF(M1591&lt;&gt;"",M1591,IFERROR(INDEX(catClasif,MATCH(D1591&amp;"|"&amp;E1591,catClave,0))&amp;"","Variable")),"")</f>
        <v/>
      </c>
      <c r="Y1591" s="52">
        <f>IF(P1591="","",IFERROR(INDEX(catGrupo,MATCH(D1591&amp;"|"&amp;E1591,catClave,0))&amp;"",""))</f>
        <v/>
      </c>
      <c r="Z1591" s="52">
        <f>IF(P1591="","",WEEKDAY(B1591,2))</f>
        <v/>
      </c>
      <c r="AA1591" s="52">
        <f>IF(P1591="","",IF(AND(P1591="Gasto",X1591="Variable",D1591&lt;&gt;catTrading,S1591&gt;0,S1591&lt;=Umbral),1,0))</f>
        <v/>
      </c>
      <c r="AB1591" s="52">
        <f>IF(OR(P1591="",Q1591=""),"",IFERROR(IF(INDEX(ctaVinc,MATCH(Q1591,ctaNombre,0))&amp;""&lt;&gt;"",INDEX(ctaVinc,MATCH(Q1591,ctaNombre,0))&amp;"",Q1591),Q1591))</f>
        <v/>
      </c>
      <c r="AC1591" s="52">
        <f>IF(OR(K1591="",AND(P1591&lt;&gt;"Transferencia",P1591&lt;&gt;"Pago tarjeta")),"",IFERROR(IF(INDEX(ctaVinc,MATCH(K1591,ctaNombre,0))&amp;""&lt;&gt;"",INDEX(ctaVinc,MATCH(K1591,ctaNombre,0))&amp;"",K1591),K1591))</f>
        <v/>
      </c>
      <c r="AD1591" s="52">
        <f>IF(AB1591="","",IFERROR(INDEX(ctaTipo,MATCH(AB1591,ctaNombre,0))&amp;"",""))</f>
        <v/>
      </c>
      <c r="AE1591" s="52">
        <f>IF(AC1591="","",IFERROR(INDEX(ctaTipo,MATCH(AC1591,ctaNombre,0))&amp;"",""))</f>
        <v/>
      </c>
      <c r="AF1591" s="53">
        <f>IF(OR(P1591="",AB1591=""),"",IF(OR(P1591="Gasto",P1591="Transferencia",P1591="Pago tarjeta"),-1,1)*IF(IFERROR(INDEX(ctaMoneda,MATCH(AB1591,ctaNombre,0))&amp;"","DOP")="USD",T1591,S1591))</f>
        <v/>
      </c>
      <c r="AG1591" s="53">
        <f>IF(AC1591="","",IF(IFERROR(INDEX(ctaMoneda,MATCH(AC1591,ctaNombre,0))&amp;"","DOP")="USD",T1591,S1591))</f>
        <v/>
      </c>
      <c r="AH1591" s="53">
        <f>IF(P1591="","",IF(AND(AD1591&lt;&gt;"",COUNTIFS(tcTipo,AD1591,tcLiq,"Sí")&gt;0),IF(OR(P1591="Gasto",P1591="Transferencia",P1591="Pago tarjeta"),-1,1)*S1591,0)+IF(AND(AE1591&lt;&gt;"",COUNTIFS(tcTipo,AE1591,tcLiq,"Sí")&gt;0),S1591,0))</f>
        <v/>
      </c>
      <c r="AI1591" s="52">
        <f>IF(OR(L1591="",P1591=""),"",IF(COUNTIFS(L$6:L1591,L1591,P$6:P1591,"?*")=1,MAX(AI$5:AI1590)+1,""))</f>
        <v/>
      </c>
    </row>
    <row r="1592">
      <c r="B1592" s="47" t="n"/>
      <c r="C1592" s="48" t="n"/>
      <c r="D1592" s="48" t="n"/>
      <c r="E1592" s="48" t="n"/>
      <c r="F1592" s="48" t="n"/>
      <c r="G1592" s="49" t="n"/>
      <c r="H1592" s="48" t="n"/>
      <c r="I1592" s="50" t="n"/>
      <c r="J1592" s="48" t="n"/>
      <c r="K1592" s="48" t="n"/>
      <c r="L1592" s="48" t="n"/>
      <c r="M1592" s="48" t="n"/>
      <c r="N1592" s="48" t="n"/>
      <c r="O1592" s="51">
        <f>IF(AND(B1592="",G1592="",C1592="",D1592="",J1592=""),"",IF(B1592="","⚠ Falta fecha",IF(G1592="","⚠ Falta monto",IF(Q1592="","⚠ Falta cuenta",IF(ISNA(MATCH(Q1592,ctaNombre,0)),"⚠ Cuenta no registrada",IF(AND(OR(P1592="Gasto",P1592="Reembolso"),D1592=""),"⚠ Falta categoría",IF(AND(D1592&lt;&gt;"",E1592&lt;&gt;"",ISNA(MATCH(D1592&amp;"|"&amp;E1592,catClave,0))),"⚠ Subcategoría no corresponde",IF(AND(OR(P1592="Transferencia",P1592="Pago tarjeta"),K1592=""),"⚠ Falta cuenta destino",IF(AND(K1592&lt;&gt;"",P1592&lt;&gt;"Transferencia",P1592&lt;&gt;"Pago tarjeta"),"⚠ Destino solo aplica a transferencias",IF(AND(K1592&lt;&gt;"",K1592=Q1592),"⚠ Origen igual a destino",IF(AND(K1592&lt;&gt;"",ISNA(MATCH(K1592,ctaNombre,0))),"⚠ Destino no registrado",IF(AND(P1592="Pago tarjeta",AE1592&lt;&gt;"Tarjeta de crédito"),"⚠ El destino debe ser tarjeta de crédito",IF(AND(P1592="Gasto",E1592="Depósitos y retiros"),"⚠ Usa tipo Transferencia",IF(AND(P1592="Resultado trading",AD1592&lt;&gt;"Cuenta de trading"),"⚠ Usa una cuenta de trading",IF(AND(G1592&lt;=0,P1592&lt;&gt;"Ajuste",P1592&lt;&gt;"Resultado trading"),"⚠ El monto debe ser positivo","✓")))))))))))))))</f>
        <v/>
      </c>
      <c r="P1592" s="52">
        <f>IF(OR(B1592="",G1592=""),"",IF(C1592="","Gasto",C1592))</f>
        <v/>
      </c>
      <c r="Q1592" s="52">
        <f>IF(P1592="","",IF(J1592&lt;&gt;"",J1592,CuentaPred&amp;""))</f>
        <v/>
      </c>
      <c r="R1592" s="52">
        <f>IF(P1592="","",IF(ISNUMBER(I1592),I1592,TasaUSD))</f>
        <v/>
      </c>
      <c r="S1592" s="53">
        <f>IF(P1592="","",IF(H1592="USD",G1592*R1592,G1592))</f>
        <v/>
      </c>
      <c r="T1592" s="53">
        <f>IF(P1592="","",IF(H1592="USD",G1592,IF(R1592&gt;0,G1592/R1592,0)))</f>
        <v/>
      </c>
      <c r="U1592" s="53">
        <f>IF(P1592="","",IF(P1592="Gasto",S1592,IF(P1592="Reembolso",-S1592,0)))</f>
        <v/>
      </c>
      <c r="V1592" s="53">
        <f>IF(P1592="","",IF(P1592="Ingreso",S1592,0))</f>
        <v/>
      </c>
      <c r="W1592" s="53">
        <f>IF(P1592="","",IF(P1592="Resultado trading",S1592,0))</f>
        <v/>
      </c>
      <c r="X1592" s="52">
        <f>IF(OR(P1592="Gasto",P1592="Reembolso"),IF(M1592&lt;&gt;"",M1592,IFERROR(INDEX(catClasif,MATCH(D1592&amp;"|"&amp;E1592,catClave,0))&amp;"","Variable")),"")</f>
        <v/>
      </c>
      <c r="Y1592" s="52">
        <f>IF(P1592="","",IFERROR(INDEX(catGrupo,MATCH(D1592&amp;"|"&amp;E1592,catClave,0))&amp;"",""))</f>
        <v/>
      </c>
      <c r="Z1592" s="52">
        <f>IF(P1592="","",WEEKDAY(B1592,2))</f>
        <v/>
      </c>
      <c r="AA1592" s="52">
        <f>IF(P1592="","",IF(AND(P1592="Gasto",X1592="Variable",D1592&lt;&gt;catTrading,S1592&gt;0,S1592&lt;=Umbral),1,0))</f>
        <v/>
      </c>
      <c r="AB1592" s="52">
        <f>IF(OR(P1592="",Q1592=""),"",IFERROR(IF(INDEX(ctaVinc,MATCH(Q1592,ctaNombre,0))&amp;""&lt;&gt;"",INDEX(ctaVinc,MATCH(Q1592,ctaNombre,0))&amp;"",Q1592),Q1592))</f>
        <v/>
      </c>
      <c r="AC1592" s="52">
        <f>IF(OR(K1592="",AND(P1592&lt;&gt;"Transferencia",P1592&lt;&gt;"Pago tarjeta")),"",IFERROR(IF(INDEX(ctaVinc,MATCH(K1592,ctaNombre,0))&amp;""&lt;&gt;"",INDEX(ctaVinc,MATCH(K1592,ctaNombre,0))&amp;"",K1592),K1592))</f>
        <v/>
      </c>
      <c r="AD1592" s="52">
        <f>IF(AB1592="","",IFERROR(INDEX(ctaTipo,MATCH(AB1592,ctaNombre,0))&amp;"",""))</f>
        <v/>
      </c>
      <c r="AE1592" s="52">
        <f>IF(AC1592="","",IFERROR(INDEX(ctaTipo,MATCH(AC1592,ctaNombre,0))&amp;"",""))</f>
        <v/>
      </c>
      <c r="AF1592" s="53">
        <f>IF(OR(P1592="",AB1592=""),"",IF(OR(P1592="Gasto",P1592="Transferencia",P1592="Pago tarjeta"),-1,1)*IF(IFERROR(INDEX(ctaMoneda,MATCH(AB1592,ctaNombre,0))&amp;"","DOP")="USD",T1592,S1592))</f>
        <v/>
      </c>
      <c r="AG1592" s="53">
        <f>IF(AC1592="","",IF(IFERROR(INDEX(ctaMoneda,MATCH(AC1592,ctaNombre,0))&amp;"","DOP")="USD",T1592,S1592))</f>
        <v/>
      </c>
      <c r="AH1592" s="53">
        <f>IF(P1592="","",IF(AND(AD1592&lt;&gt;"",COUNTIFS(tcTipo,AD1592,tcLiq,"Sí")&gt;0),IF(OR(P1592="Gasto",P1592="Transferencia",P1592="Pago tarjeta"),-1,1)*S1592,0)+IF(AND(AE1592&lt;&gt;"",COUNTIFS(tcTipo,AE1592,tcLiq,"Sí")&gt;0),S1592,0))</f>
        <v/>
      </c>
      <c r="AI1592" s="52">
        <f>IF(OR(L1592="",P1592=""),"",IF(COUNTIFS(L$6:L1592,L1592,P$6:P1592,"?*")=1,MAX(AI$5:AI1591)+1,""))</f>
        <v/>
      </c>
    </row>
    <row r="1593">
      <c r="B1593" s="47" t="n"/>
      <c r="C1593" s="48" t="n"/>
      <c r="D1593" s="48" t="n"/>
      <c r="E1593" s="48" t="n"/>
      <c r="F1593" s="48" t="n"/>
      <c r="G1593" s="49" t="n"/>
      <c r="H1593" s="48" t="n"/>
      <c r="I1593" s="50" t="n"/>
      <c r="J1593" s="48" t="n"/>
      <c r="K1593" s="48" t="n"/>
      <c r="L1593" s="48" t="n"/>
      <c r="M1593" s="48" t="n"/>
      <c r="N1593" s="48" t="n"/>
      <c r="O1593" s="51">
        <f>IF(AND(B1593="",G1593="",C1593="",D1593="",J1593=""),"",IF(B1593="","⚠ Falta fecha",IF(G1593="","⚠ Falta monto",IF(Q1593="","⚠ Falta cuenta",IF(ISNA(MATCH(Q1593,ctaNombre,0)),"⚠ Cuenta no registrada",IF(AND(OR(P1593="Gasto",P1593="Reembolso"),D1593=""),"⚠ Falta categoría",IF(AND(D1593&lt;&gt;"",E1593&lt;&gt;"",ISNA(MATCH(D1593&amp;"|"&amp;E1593,catClave,0))),"⚠ Subcategoría no corresponde",IF(AND(OR(P1593="Transferencia",P1593="Pago tarjeta"),K1593=""),"⚠ Falta cuenta destino",IF(AND(K1593&lt;&gt;"",P1593&lt;&gt;"Transferencia",P1593&lt;&gt;"Pago tarjeta"),"⚠ Destino solo aplica a transferencias",IF(AND(K1593&lt;&gt;"",K1593=Q1593),"⚠ Origen igual a destino",IF(AND(K1593&lt;&gt;"",ISNA(MATCH(K1593,ctaNombre,0))),"⚠ Destino no registrado",IF(AND(P1593="Pago tarjeta",AE1593&lt;&gt;"Tarjeta de crédito"),"⚠ El destino debe ser tarjeta de crédito",IF(AND(P1593="Gasto",E1593="Depósitos y retiros"),"⚠ Usa tipo Transferencia",IF(AND(P1593="Resultado trading",AD1593&lt;&gt;"Cuenta de trading"),"⚠ Usa una cuenta de trading",IF(AND(G1593&lt;=0,P1593&lt;&gt;"Ajuste",P1593&lt;&gt;"Resultado trading"),"⚠ El monto debe ser positivo","✓")))))))))))))))</f>
        <v/>
      </c>
      <c r="P1593" s="52">
        <f>IF(OR(B1593="",G1593=""),"",IF(C1593="","Gasto",C1593))</f>
        <v/>
      </c>
      <c r="Q1593" s="52">
        <f>IF(P1593="","",IF(J1593&lt;&gt;"",J1593,CuentaPred&amp;""))</f>
        <v/>
      </c>
      <c r="R1593" s="52">
        <f>IF(P1593="","",IF(ISNUMBER(I1593),I1593,TasaUSD))</f>
        <v/>
      </c>
      <c r="S1593" s="53">
        <f>IF(P1593="","",IF(H1593="USD",G1593*R1593,G1593))</f>
        <v/>
      </c>
      <c r="T1593" s="53">
        <f>IF(P1593="","",IF(H1593="USD",G1593,IF(R1593&gt;0,G1593/R1593,0)))</f>
        <v/>
      </c>
      <c r="U1593" s="53">
        <f>IF(P1593="","",IF(P1593="Gasto",S1593,IF(P1593="Reembolso",-S1593,0)))</f>
        <v/>
      </c>
      <c r="V1593" s="53">
        <f>IF(P1593="","",IF(P1593="Ingreso",S1593,0))</f>
        <v/>
      </c>
      <c r="W1593" s="53">
        <f>IF(P1593="","",IF(P1593="Resultado trading",S1593,0))</f>
        <v/>
      </c>
      <c r="X1593" s="52">
        <f>IF(OR(P1593="Gasto",P1593="Reembolso"),IF(M1593&lt;&gt;"",M1593,IFERROR(INDEX(catClasif,MATCH(D1593&amp;"|"&amp;E1593,catClave,0))&amp;"","Variable")),"")</f>
        <v/>
      </c>
      <c r="Y1593" s="52">
        <f>IF(P1593="","",IFERROR(INDEX(catGrupo,MATCH(D1593&amp;"|"&amp;E1593,catClave,0))&amp;"",""))</f>
        <v/>
      </c>
      <c r="Z1593" s="52">
        <f>IF(P1593="","",WEEKDAY(B1593,2))</f>
        <v/>
      </c>
      <c r="AA1593" s="52">
        <f>IF(P1593="","",IF(AND(P1593="Gasto",X1593="Variable",D1593&lt;&gt;catTrading,S1593&gt;0,S1593&lt;=Umbral),1,0))</f>
        <v/>
      </c>
      <c r="AB1593" s="52">
        <f>IF(OR(P1593="",Q1593=""),"",IFERROR(IF(INDEX(ctaVinc,MATCH(Q1593,ctaNombre,0))&amp;""&lt;&gt;"",INDEX(ctaVinc,MATCH(Q1593,ctaNombre,0))&amp;"",Q1593),Q1593))</f>
        <v/>
      </c>
      <c r="AC1593" s="52">
        <f>IF(OR(K1593="",AND(P1593&lt;&gt;"Transferencia",P1593&lt;&gt;"Pago tarjeta")),"",IFERROR(IF(INDEX(ctaVinc,MATCH(K1593,ctaNombre,0))&amp;""&lt;&gt;"",INDEX(ctaVinc,MATCH(K1593,ctaNombre,0))&amp;"",K1593),K1593))</f>
        <v/>
      </c>
      <c r="AD1593" s="52">
        <f>IF(AB1593="","",IFERROR(INDEX(ctaTipo,MATCH(AB1593,ctaNombre,0))&amp;"",""))</f>
        <v/>
      </c>
      <c r="AE1593" s="52">
        <f>IF(AC1593="","",IFERROR(INDEX(ctaTipo,MATCH(AC1593,ctaNombre,0))&amp;"",""))</f>
        <v/>
      </c>
      <c r="AF1593" s="53">
        <f>IF(OR(P1593="",AB1593=""),"",IF(OR(P1593="Gasto",P1593="Transferencia",P1593="Pago tarjeta"),-1,1)*IF(IFERROR(INDEX(ctaMoneda,MATCH(AB1593,ctaNombre,0))&amp;"","DOP")="USD",T1593,S1593))</f>
        <v/>
      </c>
      <c r="AG1593" s="53">
        <f>IF(AC1593="","",IF(IFERROR(INDEX(ctaMoneda,MATCH(AC1593,ctaNombre,0))&amp;"","DOP")="USD",T1593,S1593))</f>
        <v/>
      </c>
      <c r="AH1593" s="53">
        <f>IF(P1593="","",IF(AND(AD1593&lt;&gt;"",COUNTIFS(tcTipo,AD1593,tcLiq,"Sí")&gt;0),IF(OR(P1593="Gasto",P1593="Transferencia",P1593="Pago tarjeta"),-1,1)*S1593,0)+IF(AND(AE1593&lt;&gt;"",COUNTIFS(tcTipo,AE1593,tcLiq,"Sí")&gt;0),S1593,0))</f>
        <v/>
      </c>
      <c r="AI1593" s="52">
        <f>IF(OR(L1593="",P1593=""),"",IF(COUNTIFS(L$6:L1593,L1593,P$6:P1593,"?*")=1,MAX(AI$5:AI1592)+1,""))</f>
        <v/>
      </c>
    </row>
    <row r="1594">
      <c r="B1594" s="47" t="n"/>
      <c r="C1594" s="48" t="n"/>
      <c r="D1594" s="48" t="n"/>
      <c r="E1594" s="48" t="n"/>
      <c r="F1594" s="48" t="n"/>
      <c r="G1594" s="49" t="n"/>
      <c r="H1594" s="48" t="n"/>
      <c r="I1594" s="50" t="n"/>
      <c r="J1594" s="48" t="n"/>
      <c r="K1594" s="48" t="n"/>
      <c r="L1594" s="48" t="n"/>
      <c r="M1594" s="48" t="n"/>
      <c r="N1594" s="48" t="n"/>
      <c r="O1594" s="51">
        <f>IF(AND(B1594="",G1594="",C1594="",D1594="",J1594=""),"",IF(B1594="","⚠ Falta fecha",IF(G1594="","⚠ Falta monto",IF(Q1594="","⚠ Falta cuenta",IF(ISNA(MATCH(Q1594,ctaNombre,0)),"⚠ Cuenta no registrada",IF(AND(OR(P1594="Gasto",P1594="Reembolso"),D1594=""),"⚠ Falta categoría",IF(AND(D1594&lt;&gt;"",E1594&lt;&gt;"",ISNA(MATCH(D1594&amp;"|"&amp;E1594,catClave,0))),"⚠ Subcategoría no corresponde",IF(AND(OR(P1594="Transferencia",P1594="Pago tarjeta"),K1594=""),"⚠ Falta cuenta destino",IF(AND(K1594&lt;&gt;"",P1594&lt;&gt;"Transferencia",P1594&lt;&gt;"Pago tarjeta"),"⚠ Destino solo aplica a transferencias",IF(AND(K1594&lt;&gt;"",K1594=Q1594),"⚠ Origen igual a destino",IF(AND(K1594&lt;&gt;"",ISNA(MATCH(K1594,ctaNombre,0))),"⚠ Destino no registrado",IF(AND(P1594="Pago tarjeta",AE1594&lt;&gt;"Tarjeta de crédito"),"⚠ El destino debe ser tarjeta de crédito",IF(AND(P1594="Gasto",E1594="Depósitos y retiros"),"⚠ Usa tipo Transferencia",IF(AND(P1594="Resultado trading",AD1594&lt;&gt;"Cuenta de trading"),"⚠ Usa una cuenta de trading",IF(AND(G1594&lt;=0,P1594&lt;&gt;"Ajuste",P1594&lt;&gt;"Resultado trading"),"⚠ El monto debe ser positivo","✓")))))))))))))))</f>
        <v/>
      </c>
      <c r="P1594" s="52">
        <f>IF(OR(B1594="",G1594=""),"",IF(C1594="","Gasto",C1594))</f>
        <v/>
      </c>
      <c r="Q1594" s="52">
        <f>IF(P1594="","",IF(J1594&lt;&gt;"",J1594,CuentaPred&amp;""))</f>
        <v/>
      </c>
      <c r="R1594" s="52">
        <f>IF(P1594="","",IF(ISNUMBER(I1594),I1594,TasaUSD))</f>
        <v/>
      </c>
      <c r="S1594" s="53">
        <f>IF(P1594="","",IF(H1594="USD",G1594*R1594,G1594))</f>
        <v/>
      </c>
      <c r="T1594" s="53">
        <f>IF(P1594="","",IF(H1594="USD",G1594,IF(R1594&gt;0,G1594/R1594,0)))</f>
        <v/>
      </c>
      <c r="U1594" s="53">
        <f>IF(P1594="","",IF(P1594="Gasto",S1594,IF(P1594="Reembolso",-S1594,0)))</f>
        <v/>
      </c>
      <c r="V1594" s="53">
        <f>IF(P1594="","",IF(P1594="Ingreso",S1594,0))</f>
        <v/>
      </c>
      <c r="W1594" s="53">
        <f>IF(P1594="","",IF(P1594="Resultado trading",S1594,0))</f>
        <v/>
      </c>
      <c r="X1594" s="52">
        <f>IF(OR(P1594="Gasto",P1594="Reembolso"),IF(M1594&lt;&gt;"",M1594,IFERROR(INDEX(catClasif,MATCH(D1594&amp;"|"&amp;E1594,catClave,0))&amp;"","Variable")),"")</f>
        <v/>
      </c>
      <c r="Y1594" s="52">
        <f>IF(P1594="","",IFERROR(INDEX(catGrupo,MATCH(D1594&amp;"|"&amp;E1594,catClave,0))&amp;"",""))</f>
        <v/>
      </c>
      <c r="Z1594" s="52">
        <f>IF(P1594="","",WEEKDAY(B1594,2))</f>
        <v/>
      </c>
      <c r="AA1594" s="52">
        <f>IF(P1594="","",IF(AND(P1594="Gasto",X1594="Variable",D1594&lt;&gt;catTrading,S1594&gt;0,S1594&lt;=Umbral),1,0))</f>
        <v/>
      </c>
      <c r="AB1594" s="52">
        <f>IF(OR(P1594="",Q1594=""),"",IFERROR(IF(INDEX(ctaVinc,MATCH(Q1594,ctaNombre,0))&amp;""&lt;&gt;"",INDEX(ctaVinc,MATCH(Q1594,ctaNombre,0))&amp;"",Q1594),Q1594))</f>
        <v/>
      </c>
      <c r="AC1594" s="52">
        <f>IF(OR(K1594="",AND(P1594&lt;&gt;"Transferencia",P1594&lt;&gt;"Pago tarjeta")),"",IFERROR(IF(INDEX(ctaVinc,MATCH(K1594,ctaNombre,0))&amp;""&lt;&gt;"",INDEX(ctaVinc,MATCH(K1594,ctaNombre,0))&amp;"",K1594),K1594))</f>
        <v/>
      </c>
      <c r="AD1594" s="52">
        <f>IF(AB1594="","",IFERROR(INDEX(ctaTipo,MATCH(AB1594,ctaNombre,0))&amp;"",""))</f>
        <v/>
      </c>
      <c r="AE1594" s="52">
        <f>IF(AC1594="","",IFERROR(INDEX(ctaTipo,MATCH(AC1594,ctaNombre,0))&amp;"",""))</f>
        <v/>
      </c>
      <c r="AF1594" s="53">
        <f>IF(OR(P1594="",AB1594=""),"",IF(OR(P1594="Gasto",P1594="Transferencia",P1594="Pago tarjeta"),-1,1)*IF(IFERROR(INDEX(ctaMoneda,MATCH(AB1594,ctaNombre,0))&amp;"","DOP")="USD",T1594,S1594))</f>
        <v/>
      </c>
      <c r="AG1594" s="53">
        <f>IF(AC1594="","",IF(IFERROR(INDEX(ctaMoneda,MATCH(AC1594,ctaNombre,0))&amp;"","DOP")="USD",T1594,S1594))</f>
        <v/>
      </c>
      <c r="AH1594" s="53">
        <f>IF(P1594="","",IF(AND(AD1594&lt;&gt;"",COUNTIFS(tcTipo,AD1594,tcLiq,"Sí")&gt;0),IF(OR(P1594="Gasto",P1594="Transferencia",P1594="Pago tarjeta"),-1,1)*S1594,0)+IF(AND(AE1594&lt;&gt;"",COUNTIFS(tcTipo,AE1594,tcLiq,"Sí")&gt;0),S1594,0))</f>
        <v/>
      </c>
      <c r="AI1594" s="52">
        <f>IF(OR(L1594="",P1594=""),"",IF(COUNTIFS(L$6:L1594,L1594,P$6:P1594,"?*")=1,MAX(AI$5:AI1593)+1,""))</f>
        <v/>
      </c>
    </row>
    <row r="1595">
      <c r="B1595" s="47" t="n"/>
      <c r="C1595" s="48" t="n"/>
      <c r="D1595" s="48" t="n"/>
      <c r="E1595" s="48" t="n"/>
      <c r="F1595" s="48" t="n"/>
      <c r="G1595" s="49" t="n"/>
      <c r="H1595" s="48" t="n"/>
      <c r="I1595" s="50" t="n"/>
      <c r="J1595" s="48" t="n"/>
      <c r="K1595" s="48" t="n"/>
      <c r="L1595" s="48" t="n"/>
      <c r="M1595" s="48" t="n"/>
      <c r="N1595" s="48" t="n"/>
      <c r="O1595" s="51">
        <f>IF(AND(B1595="",G1595="",C1595="",D1595="",J1595=""),"",IF(B1595="","⚠ Falta fecha",IF(G1595="","⚠ Falta monto",IF(Q1595="","⚠ Falta cuenta",IF(ISNA(MATCH(Q1595,ctaNombre,0)),"⚠ Cuenta no registrada",IF(AND(OR(P1595="Gasto",P1595="Reembolso"),D1595=""),"⚠ Falta categoría",IF(AND(D1595&lt;&gt;"",E1595&lt;&gt;"",ISNA(MATCH(D1595&amp;"|"&amp;E1595,catClave,0))),"⚠ Subcategoría no corresponde",IF(AND(OR(P1595="Transferencia",P1595="Pago tarjeta"),K1595=""),"⚠ Falta cuenta destino",IF(AND(K1595&lt;&gt;"",P1595&lt;&gt;"Transferencia",P1595&lt;&gt;"Pago tarjeta"),"⚠ Destino solo aplica a transferencias",IF(AND(K1595&lt;&gt;"",K1595=Q1595),"⚠ Origen igual a destino",IF(AND(K1595&lt;&gt;"",ISNA(MATCH(K1595,ctaNombre,0))),"⚠ Destino no registrado",IF(AND(P1595="Pago tarjeta",AE1595&lt;&gt;"Tarjeta de crédito"),"⚠ El destino debe ser tarjeta de crédito",IF(AND(P1595="Gasto",E1595="Depósitos y retiros"),"⚠ Usa tipo Transferencia",IF(AND(P1595="Resultado trading",AD1595&lt;&gt;"Cuenta de trading"),"⚠ Usa una cuenta de trading",IF(AND(G1595&lt;=0,P1595&lt;&gt;"Ajuste",P1595&lt;&gt;"Resultado trading"),"⚠ El monto debe ser positivo","✓")))))))))))))))</f>
        <v/>
      </c>
      <c r="P1595" s="52">
        <f>IF(OR(B1595="",G1595=""),"",IF(C1595="","Gasto",C1595))</f>
        <v/>
      </c>
      <c r="Q1595" s="52">
        <f>IF(P1595="","",IF(J1595&lt;&gt;"",J1595,CuentaPred&amp;""))</f>
        <v/>
      </c>
      <c r="R1595" s="52">
        <f>IF(P1595="","",IF(ISNUMBER(I1595),I1595,TasaUSD))</f>
        <v/>
      </c>
      <c r="S1595" s="53">
        <f>IF(P1595="","",IF(H1595="USD",G1595*R1595,G1595))</f>
        <v/>
      </c>
      <c r="T1595" s="53">
        <f>IF(P1595="","",IF(H1595="USD",G1595,IF(R1595&gt;0,G1595/R1595,0)))</f>
        <v/>
      </c>
      <c r="U1595" s="53">
        <f>IF(P1595="","",IF(P1595="Gasto",S1595,IF(P1595="Reembolso",-S1595,0)))</f>
        <v/>
      </c>
      <c r="V1595" s="53">
        <f>IF(P1595="","",IF(P1595="Ingreso",S1595,0))</f>
        <v/>
      </c>
      <c r="W1595" s="53">
        <f>IF(P1595="","",IF(P1595="Resultado trading",S1595,0))</f>
        <v/>
      </c>
      <c r="X1595" s="52">
        <f>IF(OR(P1595="Gasto",P1595="Reembolso"),IF(M1595&lt;&gt;"",M1595,IFERROR(INDEX(catClasif,MATCH(D1595&amp;"|"&amp;E1595,catClave,0))&amp;"","Variable")),"")</f>
        <v/>
      </c>
      <c r="Y1595" s="52">
        <f>IF(P1595="","",IFERROR(INDEX(catGrupo,MATCH(D1595&amp;"|"&amp;E1595,catClave,0))&amp;"",""))</f>
        <v/>
      </c>
      <c r="Z1595" s="52">
        <f>IF(P1595="","",WEEKDAY(B1595,2))</f>
        <v/>
      </c>
      <c r="AA1595" s="52">
        <f>IF(P1595="","",IF(AND(P1595="Gasto",X1595="Variable",D1595&lt;&gt;catTrading,S1595&gt;0,S1595&lt;=Umbral),1,0))</f>
        <v/>
      </c>
      <c r="AB1595" s="52">
        <f>IF(OR(P1595="",Q1595=""),"",IFERROR(IF(INDEX(ctaVinc,MATCH(Q1595,ctaNombre,0))&amp;""&lt;&gt;"",INDEX(ctaVinc,MATCH(Q1595,ctaNombre,0))&amp;"",Q1595),Q1595))</f>
        <v/>
      </c>
      <c r="AC1595" s="52">
        <f>IF(OR(K1595="",AND(P1595&lt;&gt;"Transferencia",P1595&lt;&gt;"Pago tarjeta")),"",IFERROR(IF(INDEX(ctaVinc,MATCH(K1595,ctaNombre,0))&amp;""&lt;&gt;"",INDEX(ctaVinc,MATCH(K1595,ctaNombre,0))&amp;"",K1595),K1595))</f>
        <v/>
      </c>
      <c r="AD1595" s="52">
        <f>IF(AB1595="","",IFERROR(INDEX(ctaTipo,MATCH(AB1595,ctaNombre,0))&amp;"",""))</f>
        <v/>
      </c>
      <c r="AE1595" s="52">
        <f>IF(AC1595="","",IFERROR(INDEX(ctaTipo,MATCH(AC1595,ctaNombre,0))&amp;"",""))</f>
        <v/>
      </c>
      <c r="AF1595" s="53">
        <f>IF(OR(P1595="",AB1595=""),"",IF(OR(P1595="Gasto",P1595="Transferencia",P1595="Pago tarjeta"),-1,1)*IF(IFERROR(INDEX(ctaMoneda,MATCH(AB1595,ctaNombre,0))&amp;"","DOP")="USD",T1595,S1595))</f>
        <v/>
      </c>
      <c r="AG1595" s="53">
        <f>IF(AC1595="","",IF(IFERROR(INDEX(ctaMoneda,MATCH(AC1595,ctaNombre,0))&amp;"","DOP")="USD",T1595,S1595))</f>
        <v/>
      </c>
      <c r="AH1595" s="53">
        <f>IF(P1595="","",IF(AND(AD1595&lt;&gt;"",COUNTIFS(tcTipo,AD1595,tcLiq,"Sí")&gt;0),IF(OR(P1595="Gasto",P1595="Transferencia",P1595="Pago tarjeta"),-1,1)*S1595,0)+IF(AND(AE1595&lt;&gt;"",COUNTIFS(tcTipo,AE1595,tcLiq,"Sí")&gt;0),S1595,0))</f>
        <v/>
      </c>
      <c r="AI1595" s="52">
        <f>IF(OR(L1595="",P1595=""),"",IF(COUNTIFS(L$6:L1595,L1595,P$6:P1595,"?*")=1,MAX(AI$5:AI1594)+1,""))</f>
        <v/>
      </c>
    </row>
    <row r="1596">
      <c r="B1596" s="47" t="n"/>
      <c r="C1596" s="48" t="n"/>
      <c r="D1596" s="48" t="n"/>
      <c r="E1596" s="48" t="n"/>
      <c r="F1596" s="48" t="n"/>
      <c r="G1596" s="49" t="n"/>
      <c r="H1596" s="48" t="n"/>
      <c r="I1596" s="50" t="n"/>
      <c r="J1596" s="48" t="n"/>
      <c r="K1596" s="48" t="n"/>
      <c r="L1596" s="48" t="n"/>
      <c r="M1596" s="48" t="n"/>
      <c r="N1596" s="48" t="n"/>
      <c r="O1596" s="51">
        <f>IF(AND(B1596="",G1596="",C1596="",D1596="",J1596=""),"",IF(B1596="","⚠ Falta fecha",IF(G1596="","⚠ Falta monto",IF(Q1596="","⚠ Falta cuenta",IF(ISNA(MATCH(Q1596,ctaNombre,0)),"⚠ Cuenta no registrada",IF(AND(OR(P1596="Gasto",P1596="Reembolso"),D1596=""),"⚠ Falta categoría",IF(AND(D1596&lt;&gt;"",E1596&lt;&gt;"",ISNA(MATCH(D1596&amp;"|"&amp;E1596,catClave,0))),"⚠ Subcategoría no corresponde",IF(AND(OR(P1596="Transferencia",P1596="Pago tarjeta"),K1596=""),"⚠ Falta cuenta destino",IF(AND(K1596&lt;&gt;"",P1596&lt;&gt;"Transferencia",P1596&lt;&gt;"Pago tarjeta"),"⚠ Destino solo aplica a transferencias",IF(AND(K1596&lt;&gt;"",K1596=Q1596),"⚠ Origen igual a destino",IF(AND(K1596&lt;&gt;"",ISNA(MATCH(K1596,ctaNombre,0))),"⚠ Destino no registrado",IF(AND(P1596="Pago tarjeta",AE1596&lt;&gt;"Tarjeta de crédito"),"⚠ El destino debe ser tarjeta de crédito",IF(AND(P1596="Gasto",E1596="Depósitos y retiros"),"⚠ Usa tipo Transferencia",IF(AND(P1596="Resultado trading",AD1596&lt;&gt;"Cuenta de trading"),"⚠ Usa una cuenta de trading",IF(AND(G1596&lt;=0,P1596&lt;&gt;"Ajuste",P1596&lt;&gt;"Resultado trading"),"⚠ El monto debe ser positivo","✓")))))))))))))))</f>
        <v/>
      </c>
      <c r="P1596" s="52">
        <f>IF(OR(B1596="",G1596=""),"",IF(C1596="","Gasto",C1596))</f>
        <v/>
      </c>
      <c r="Q1596" s="52">
        <f>IF(P1596="","",IF(J1596&lt;&gt;"",J1596,CuentaPred&amp;""))</f>
        <v/>
      </c>
      <c r="R1596" s="52">
        <f>IF(P1596="","",IF(ISNUMBER(I1596),I1596,TasaUSD))</f>
        <v/>
      </c>
      <c r="S1596" s="53">
        <f>IF(P1596="","",IF(H1596="USD",G1596*R1596,G1596))</f>
        <v/>
      </c>
      <c r="T1596" s="53">
        <f>IF(P1596="","",IF(H1596="USD",G1596,IF(R1596&gt;0,G1596/R1596,0)))</f>
        <v/>
      </c>
      <c r="U1596" s="53">
        <f>IF(P1596="","",IF(P1596="Gasto",S1596,IF(P1596="Reembolso",-S1596,0)))</f>
        <v/>
      </c>
      <c r="V1596" s="53">
        <f>IF(P1596="","",IF(P1596="Ingreso",S1596,0))</f>
        <v/>
      </c>
      <c r="W1596" s="53">
        <f>IF(P1596="","",IF(P1596="Resultado trading",S1596,0))</f>
        <v/>
      </c>
      <c r="X1596" s="52">
        <f>IF(OR(P1596="Gasto",P1596="Reembolso"),IF(M1596&lt;&gt;"",M1596,IFERROR(INDEX(catClasif,MATCH(D1596&amp;"|"&amp;E1596,catClave,0))&amp;"","Variable")),"")</f>
        <v/>
      </c>
      <c r="Y1596" s="52">
        <f>IF(P1596="","",IFERROR(INDEX(catGrupo,MATCH(D1596&amp;"|"&amp;E1596,catClave,0))&amp;"",""))</f>
        <v/>
      </c>
      <c r="Z1596" s="52">
        <f>IF(P1596="","",WEEKDAY(B1596,2))</f>
        <v/>
      </c>
      <c r="AA1596" s="52">
        <f>IF(P1596="","",IF(AND(P1596="Gasto",X1596="Variable",D1596&lt;&gt;catTrading,S1596&gt;0,S1596&lt;=Umbral),1,0))</f>
        <v/>
      </c>
      <c r="AB1596" s="52">
        <f>IF(OR(P1596="",Q1596=""),"",IFERROR(IF(INDEX(ctaVinc,MATCH(Q1596,ctaNombre,0))&amp;""&lt;&gt;"",INDEX(ctaVinc,MATCH(Q1596,ctaNombre,0))&amp;"",Q1596),Q1596))</f>
        <v/>
      </c>
      <c r="AC1596" s="52">
        <f>IF(OR(K1596="",AND(P1596&lt;&gt;"Transferencia",P1596&lt;&gt;"Pago tarjeta")),"",IFERROR(IF(INDEX(ctaVinc,MATCH(K1596,ctaNombre,0))&amp;""&lt;&gt;"",INDEX(ctaVinc,MATCH(K1596,ctaNombre,0))&amp;"",K1596),K1596))</f>
        <v/>
      </c>
      <c r="AD1596" s="52">
        <f>IF(AB1596="","",IFERROR(INDEX(ctaTipo,MATCH(AB1596,ctaNombre,0))&amp;"",""))</f>
        <v/>
      </c>
      <c r="AE1596" s="52">
        <f>IF(AC1596="","",IFERROR(INDEX(ctaTipo,MATCH(AC1596,ctaNombre,0))&amp;"",""))</f>
        <v/>
      </c>
      <c r="AF1596" s="53">
        <f>IF(OR(P1596="",AB1596=""),"",IF(OR(P1596="Gasto",P1596="Transferencia",P1596="Pago tarjeta"),-1,1)*IF(IFERROR(INDEX(ctaMoneda,MATCH(AB1596,ctaNombre,0))&amp;"","DOP")="USD",T1596,S1596))</f>
        <v/>
      </c>
      <c r="AG1596" s="53">
        <f>IF(AC1596="","",IF(IFERROR(INDEX(ctaMoneda,MATCH(AC1596,ctaNombre,0))&amp;"","DOP")="USD",T1596,S1596))</f>
        <v/>
      </c>
      <c r="AH1596" s="53">
        <f>IF(P1596="","",IF(AND(AD1596&lt;&gt;"",COUNTIFS(tcTipo,AD1596,tcLiq,"Sí")&gt;0),IF(OR(P1596="Gasto",P1596="Transferencia",P1596="Pago tarjeta"),-1,1)*S1596,0)+IF(AND(AE1596&lt;&gt;"",COUNTIFS(tcTipo,AE1596,tcLiq,"Sí")&gt;0),S1596,0))</f>
        <v/>
      </c>
      <c r="AI1596" s="52">
        <f>IF(OR(L1596="",P1596=""),"",IF(COUNTIFS(L$6:L1596,L1596,P$6:P1596,"?*")=1,MAX(AI$5:AI1595)+1,""))</f>
        <v/>
      </c>
    </row>
    <row r="1597">
      <c r="B1597" s="47" t="n"/>
      <c r="C1597" s="48" t="n"/>
      <c r="D1597" s="48" t="n"/>
      <c r="E1597" s="48" t="n"/>
      <c r="F1597" s="48" t="n"/>
      <c r="G1597" s="49" t="n"/>
      <c r="H1597" s="48" t="n"/>
      <c r="I1597" s="50" t="n"/>
      <c r="J1597" s="48" t="n"/>
      <c r="K1597" s="48" t="n"/>
      <c r="L1597" s="48" t="n"/>
      <c r="M1597" s="48" t="n"/>
      <c r="N1597" s="48" t="n"/>
      <c r="O1597" s="51">
        <f>IF(AND(B1597="",G1597="",C1597="",D1597="",J1597=""),"",IF(B1597="","⚠ Falta fecha",IF(G1597="","⚠ Falta monto",IF(Q1597="","⚠ Falta cuenta",IF(ISNA(MATCH(Q1597,ctaNombre,0)),"⚠ Cuenta no registrada",IF(AND(OR(P1597="Gasto",P1597="Reembolso"),D1597=""),"⚠ Falta categoría",IF(AND(D1597&lt;&gt;"",E1597&lt;&gt;"",ISNA(MATCH(D1597&amp;"|"&amp;E1597,catClave,0))),"⚠ Subcategoría no corresponde",IF(AND(OR(P1597="Transferencia",P1597="Pago tarjeta"),K1597=""),"⚠ Falta cuenta destino",IF(AND(K1597&lt;&gt;"",P1597&lt;&gt;"Transferencia",P1597&lt;&gt;"Pago tarjeta"),"⚠ Destino solo aplica a transferencias",IF(AND(K1597&lt;&gt;"",K1597=Q1597),"⚠ Origen igual a destino",IF(AND(K1597&lt;&gt;"",ISNA(MATCH(K1597,ctaNombre,0))),"⚠ Destino no registrado",IF(AND(P1597="Pago tarjeta",AE1597&lt;&gt;"Tarjeta de crédito"),"⚠ El destino debe ser tarjeta de crédito",IF(AND(P1597="Gasto",E1597="Depósitos y retiros"),"⚠ Usa tipo Transferencia",IF(AND(P1597="Resultado trading",AD1597&lt;&gt;"Cuenta de trading"),"⚠ Usa una cuenta de trading",IF(AND(G1597&lt;=0,P1597&lt;&gt;"Ajuste",P1597&lt;&gt;"Resultado trading"),"⚠ El monto debe ser positivo","✓")))))))))))))))</f>
        <v/>
      </c>
      <c r="P1597" s="52">
        <f>IF(OR(B1597="",G1597=""),"",IF(C1597="","Gasto",C1597))</f>
        <v/>
      </c>
      <c r="Q1597" s="52">
        <f>IF(P1597="","",IF(J1597&lt;&gt;"",J1597,CuentaPred&amp;""))</f>
        <v/>
      </c>
      <c r="R1597" s="52">
        <f>IF(P1597="","",IF(ISNUMBER(I1597),I1597,TasaUSD))</f>
        <v/>
      </c>
      <c r="S1597" s="53">
        <f>IF(P1597="","",IF(H1597="USD",G1597*R1597,G1597))</f>
        <v/>
      </c>
      <c r="T1597" s="53">
        <f>IF(P1597="","",IF(H1597="USD",G1597,IF(R1597&gt;0,G1597/R1597,0)))</f>
        <v/>
      </c>
      <c r="U1597" s="53">
        <f>IF(P1597="","",IF(P1597="Gasto",S1597,IF(P1597="Reembolso",-S1597,0)))</f>
        <v/>
      </c>
      <c r="V1597" s="53">
        <f>IF(P1597="","",IF(P1597="Ingreso",S1597,0))</f>
        <v/>
      </c>
      <c r="W1597" s="53">
        <f>IF(P1597="","",IF(P1597="Resultado trading",S1597,0))</f>
        <v/>
      </c>
      <c r="X1597" s="52">
        <f>IF(OR(P1597="Gasto",P1597="Reembolso"),IF(M1597&lt;&gt;"",M1597,IFERROR(INDEX(catClasif,MATCH(D1597&amp;"|"&amp;E1597,catClave,0))&amp;"","Variable")),"")</f>
        <v/>
      </c>
      <c r="Y1597" s="52">
        <f>IF(P1597="","",IFERROR(INDEX(catGrupo,MATCH(D1597&amp;"|"&amp;E1597,catClave,0))&amp;"",""))</f>
        <v/>
      </c>
      <c r="Z1597" s="52">
        <f>IF(P1597="","",WEEKDAY(B1597,2))</f>
        <v/>
      </c>
      <c r="AA1597" s="52">
        <f>IF(P1597="","",IF(AND(P1597="Gasto",X1597="Variable",D1597&lt;&gt;catTrading,S1597&gt;0,S1597&lt;=Umbral),1,0))</f>
        <v/>
      </c>
      <c r="AB1597" s="52">
        <f>IF(OR(P1597="",Q1597=""),"",IFERROR(IF(INDEX(ctaVinc,MATCH(Q1597,ctaNombre,0))&amp;""&lt;&gt;"",INDEX(ctaVinc,MATCH(Q1597,ctaNombre,0))&amp;"",Q1597),Q1597))</f>
        <v/>
      </c>
      <c r="AC1597" s="52">
        <f>IF(OR(K1597="",AND(P1597&lt;&gt;"Transferencia",P1597&lt;&gt;"Pago tarjeta")),"",IFERROR(IF(INDEX(ctaVinc,MATCH(K1597,ctaNombre,0))&amp;""&lt;&gt;"",INDEX(ctaVinc,MATCH(K1597,ctaNombre,0))&amp;"",K1597),K1597))</f>
        <v/>
      </c>
      <c r="AD1597" s="52">
        <f>IF(AB1597="","",IFERROR(INDEX(ctaTipo,MATCH(AB1597,ctaNombre,0))&amp;"",""))</f>
        <v/>
      </c>
      <c r="AE1597" s="52">
        <f>IF(AC1597="","",IFERROR(INDEX(ctaTipo,MATCH(AC1597,ctaNombre,0))&amp;"",""))</f>
        <v/>
      </c>
      <c r="AF1597" s="53">
        <f>IF(OR(P1597="",AB1597=""),"",IF(OR(P1597="Gasto",P1597="Transferencia",P1597="Pago tarjeta"),-1,1)*IF(IFERROR(INDEX(ctaMoneda,MATCH(AB1597,ctaNombre,0))&amp;"","DOP")="USD",T1597,S1597))</f>
        <v/>
      </c>
      <c r="AG1597" s="53">
        <f>IF(AC1597="","",IF(IFERROR(INDEX(ctaMoneda,MATCH(AC1597,ctaNombre,0))&amp;"","DOP")="USD",T1597,S1597))</f>
        <v/>
      </c>
      <c r="AH1597" s="53">
        <f>IF(P1597="","",IF(AND(AD1597&lt;&gt;"",COUNTIFS(tcTipo,AD1597,tcLiq,"Sí")&gt;0),IF(OR(P1597="Gasto",P1597="Transferencia",P1597="Pago tarjeta"),-1,1)*S1597,0)+IF(AND(AE1597&lt;&gt;"",COUNTIFS(tcTipo,AE1597,tcLiq,"Sí")&gt;0),S1597,0))</f>
        <v/>
      </c>
      <c r="AI1597" s="52">
        <f>IF(OR(L1597="",P1597=""),"",IF(COUNTIFS(L$6:L1597,L1597,P$6:P1597,"?*")=1,MAX(AI$5:AI1596)+1,""))</f>
        <v/>
      </c>
    </row>
    <row r="1598">
      <c r="B1598" s="47" t="n"/>
      <c r="C1598" s="48" t="n"/>
      <c r="D1598" s="48" t="n"/>
      <c r="E1598" s="48" t="n"/>
      <c r="F1598" s="48" t="n"/>
      <c r="G1598" s="49" t="n"/>
      <c r="H1598" s="48" t="n"/>
      <c r="I1598" s="50" t="n"/>
      <c r="J1598" s="48" t="n"/>
      <c r="K1598" s="48" t="n"/>
      <c r="L1598" s="48" t="n"/>
      <c r="M1598" s="48" t="n"/>
      <c r="N1598" s="48" t="n"/>
      <c r="O1598" s="51">
        <f>IF(AND(B1598="",G1598="",C1598="",D1598="",J1598=""),"",IF(B1598="","⚠ Falta fecha",IF(G1598="","⚠ Falta monto",IF(Q1598="","⚠ Falta cuenta",IF(ISNA(MATCH(Q1598,ctaNombre,0)),"⚠ Cuenta no registrada",IF(AND(OR(P1598="Gasto",P1598="Reembolso"),D1598=""),"⚠ Falta categoría",IF(AND(D1598&lt;&gt;"",E1598&lt;&gt;"",ISNA(MATCH(D1598&amp;"|"&amp;E1598,catClave,0))),"⚠ Subcategoría no corresponde",IF(AND(OR(P1598="Transferencia",P1598="Pago tarjeta"),K1598=""),"⚠ Falta cuenta destino",IF(AND(K1598&lt;&gt;"",P1598&lt;&gt;"Transferencia",P1598&lt;&gt;"Pago tarjeta"),"⚠ Destino solo aplica a transferencias",IF(AND(K1598&lt;&gt;"",K1598=Q1598),"⚠ Origen igual a destino",IF(AND(K1598&lt;&gt;"",ISNA(MATCH(K1598,ctaNombre,0))),"⚠ Destino no registrado",IF(AND(P1598="Pago tarjeta",AE1598&lt;&gt;"Tarjeta de crédito"),"⚠ El destino debe ser tarjeta de crédito",IF(AND(P1598="Gasto",E1598="Depósitos y retiros"),"⚠ Usa tipo Transferencia",IF(AND(P1598="Resultado trading",AD1598&lt;&gt;"Cuenta de trading"),"⚠ Usa una cuenta de trading",IF(AND(G1598&lt;=0,P1598&lt;&gt;"Ajuste",P1598&lt;&gt;"Resultado trading"),"⚠ El monto debe ser positivo","✓")))))))))))))))</f>
        <v/>
      </c>
      <c r="P1598" s="52">
        <f>IF(OR(B1598="",G1598=""),"",IF(C1598="","Gasto",C1598))</f>
        <v/>
      </c>
      <c r="Q1598" s="52">
        <f>IF(P1598="","",IF(J1598&lt;&gt;"",J1598,CuentaPred&amp;""))</f>
        <v/>
      </c>
      <c r="R1598" s="52">
        <f>IF(P1598="","",IF(ISNUMBER(I1598),I1598,TasaUSD))</f>
        <v/>
      </c>
      <c r="S1598" s="53">
        <f>IF(P1598="","",IF(H1598="USD",G1598*R1598,G1598))</f>
        <v/>
      </c>
      <c r="T1598" s="53">
        <f>IF(P1598="","",IF(H1598="USD",G1598,IF(R1598&gt;0,G1598/R1598,0)))</f>
        <v/>
      </c>
      <c r="U1598" s="53">
        <f>IF(P1598="","",IF(P1598="Gasto",S1598,IF(P1598="Reembolso",-S1598,0)))</f>
        <v/>
      </c>
      <c r="V1598" s="53">
        <f>IF(P1598="","",IF(P1598="Ingreso",S1598,0))</f>
        <v/>
      </c>
      <c r="W1598" s="53">
        <f>IF(P1598="","",IF(P1598="Resultado trading",S1598,0))</f>
        <v/>
      </c>
      <c r="X1598" s="52">
        <f>IF(OR(P1598="Gasto",P1598="Reembolso"),IF(M1598&lt;&gt;"",M1598,IFERROR(INDEX(catClasif,MATCH(D1598&amp;"|"&amp;E1598,catClave,0))&amp;"","Variable")),"")</f>
        <v/>
      </c>
      <c r="Y1598" s="52">
        <f>IF(P1598="","",IFERROR(INDEX(catGrupo,MATCH(D1598&amp;"|"&amp;E1598,catClave,0))&amp;"",""))</f>
        <v/>
      </c>
      <c r="Z1598" s="52">
        <f>IF(P1598="","",WEEKDAY(B1598,2))</f>
        <v/>
      </c>
      <c r="AA1598" s="52">
        <f>IF(P1598="","",IF(AND(P1598="Gasto",X1598="Variable",D1598&lt;&gt;catTrading,S1598&gt;0,S1598&lt;=Umbral),1,0))</f>
        <v/>
      </c>
      <c r="AB1598" s="52">
        <f>IF(OR(P1598="",Q1598=""),"",IFERROR(IF(INDEX(ctaVinc,MATCH(Q1598,ctaNombre,0))&amp;""&lt;&gt;"",INDEX(ctaVinc,MATCH(Q1598,ctaNombre,0))&amp;"",Q1598),Q1598))</f>
        <v/>
      </c>
      <c r="AC1598" s="52">
        <f>IF(OR(K1598="",AND(P1598&lt;&gt;"Transferencia",P1598&lt;&gt;"Pago tarjeta")),"",IFERROR(IF(INDEX(ctaVinc,MATCH(K1598,ctaNombre,0))&amp;""&lt;&gt;"",INDEX(ctaVinc,MATCH(K1598,ctaNombre,0))&amp;"",K1598),K1598))</f>
        <v/>
      </c>
      <c r="AD1598" s="52">
        <f>IF(AB1598="","",IFERROR(INDEX(ctaTipo,MATCH(AB1598,ctaNombre,0))&amp;"",""))</f>
        <v/>
      </c>
      <c r="AE1598" s="52">
        <f>IF(AC1598="","",IFERROR(INDEX(ctaTipo,MATCH(AC1598,ctaNombre,0))&amp;"",""))</f>
        <v/>
      </c>
      <c r="AF1598" s="53">
        <f>IF(OR(P1598="",AB1598=""),"",IF(OR(P1598="Gasto",P1598="Transferencia",P1598="Pago tarjeta"),-1,1)*IF(IFERROR(INDEX(ctaMoneda,MATCH(AB1598,ctaNombre,0))&amp;"","DOP")="USD",T1598,S1598))</f>
        <v/>
      </c>
      <c r="AG1598" s="53">
        <f>IF(AC1598="","",IF(IFERROR(INDEX(ctaMoneda,MATCH(AC1598,ctaNombre,0))&amp;"","DOP")="USD",T1598,S1598))</f>
        <v/>
      </c>
      <c r="AH1598" s="53">
        <f>IF(P1598="","",IF(AND(AD1598&lt;&gt;"",COUNTIFS(tcTipo,AD1598,tcLiq,"Sí")&gt;0),IF(OR(P1598="Gasto",P1598="Transferencia",P1598="Pago tarjeta"),-1,1)*S1598,0)+IF(AND(AE1598&lt;&gt;"",COUNTIFS(tcTipo,AE1598,tcLiq,"Sí")&gt;0),S1598,0))</f>
        <v/>
      </c>
      <c r="AI1598" s="52">
        <f>IF(OR(L1598="",P1598=""),"",IF(COUNTIFS(L$6:L1598,L1598,P$6:P1598,"?*")=1,MAX(AI$5:AI1597)+1,""))</f>
        <v/>
      </c>
    </row>
    <row r="1599">
      <c r="B1599" s="47" t="n"/>
      <c r="C1599" s="48" t="n"/>
      <c r="D1599" s="48" t="n"/>
      <c r="E1599" s="48" t="n"/>
      <c r="F1599" s="48" t="n"/>
      <c r="G1599" s="49" t="n"/>
      <c r="H1599" s="48" t="n"/>
      <c r="I1599" s="50" t="n"/>
      <c r="J1599" s="48" t="n"/>
      <c r="K1599" s="48" t="n"/>
      <c r="L1599" s="48" t="n"/>
      <c r="M1599" s="48" t="n"/>
      <c r="N1599" s="48" t="n"/>
      <c r="O1599" s="51">
        <f>IF(AND(B1599="",G1599="",C1599="",D1599="",J1599=""),"",IF(B1599="","⚠ Falta fecha",IF(G1599="","⚠ Falta monto",IF(Q1599="","⚠ Falta cuenta",IF(ISNA(MATCH(Q1599,ctaNombre,0)),"⚠ Cuenta no registrada",IF(AND(OR(P1599="Gasto",P1599="Reembolso"),D1599=""),"⚠ Falta categoría",IF(AND(D1599&lt;&gt;"",E1599&lt;&gt;"",ISNA(MATCH(D1599&amp;"|"&amp;E1599,catClave,0))),"⚠ Subcategoría no corresponde",IF(AND(OR(P1599="Transferencia",P1599="Pago tarjeta"),K1599=""),"⚠ Falta cuenta destino",IF(AND(K1599&lt;&gt;"",P1599&lt;&gt;"Transferencia",P1599&lt;&gt;"Pago tarjeta"),"⚠ Destino solo aplica a transferencias",IF(AND(K1599&lt;&gt;"",K1599=Q1599),"⚠ Origen igual a destino",IF(AND(K1599&lt;&gt;"",ISNA(MATCH(K1599,ctaNombre,0))),"⚠ Destino no registrado",IF(AND(P1599="Pago tarjeta",AE1599&lt;&gt;"Tarjeta de crédito"),"⚠ El destino debe ser tarjeta de crédito",IF(AND(P1599="Gasto",E1599="Depósitos y retiros"),"⚠ Usa tipo Transferencia",IF(AND(P1599="Resultado trading",AD1599&lt;&gt;"Cuenta de trading"),"⚠ Usa una cuenta de trading",IF(AND(G1599&lt;=0,P1599&lt;&gt;"Ajuste",P1599&lt;&gt;"Resultado trading"),"⚠ El monto debe ser positivo","✓")))))))))))))))</f>
        <v/>
      </c>
      <c r="P1599" s="52">
        <f>IF(OR(B1599="",G1599=""),"",IF(C1599="","Gasto",C1599))</f>
        <v/>
      </c>
      <c r="Q1599" s="52">
        <f>IF(P1599="","",IF(J1599&lt;&gt;"",J1599,CuentaPred&amp;""))</f>
        <v/>
      </c>
      <c r="R1599" s="52">
        <f>IF(P1599="","",IF(ISNUMBER(I1599),I1599,TasaUSD))</f>
        <v/>
      </c>
      <c r="S1599" s="53">
        <f>IF(P1599="","",IF(H1599="USD",G1599*R1599,G1599))</f>
        <v/>
      </c>
      <c r="T1599" s="53">
        <f>IF(P1599="","",IF(H1599="USD",G1599,IF(R1599&gt;0,G1599/R1599,0)))</f>
        <v/>
      </c>
      <c r="U1599" s="53">
        <f>IF(P1599="","",IF(P1599="Gasto",S1599,IF(P1599="Reembolso",-S1599,0)))</f>
        <v/>
      </c>
      <c r="V1599" s="53">
        <f>IF(P1599="","",IF(P1599="Ingreso",S1599,0))</f>
        <v/>
      </c>
      <c r="W1599" s="53">
        <f>IF(P1599="","",IF(P1599="Resultado trading",S1599,0))</f>
        <v/>
      </c>
      <c r="X1599" s="52">
        <f>IF(OR(P1599="Gasto",P1599="Reembolso"),IF(M1599&lt;&gt;"",M1599,IFERROR(INDEX(catClasif,MATCH(D1599&amp;"|"&amp;E1599,catClave,0))&amp;"","Variable")),"")</f>
        <v/>
      </c>
      <c r="Y1599" s="52">
        <f>IF(P1599="","",IFERROR(INDEX(catGrupo,MATCH(D1599&amp;"|"&amp;E1599,catClave,0))&amp;"",""))</f>
        <v/>
      </c>
      <c r="Z1599" s="52">
        <f>IF(P1599="","",WEEKDAY(B1599,2))</f>
        <v/>
      </c>
      <c r="AA1599" s="52">
        <f>IF(P1599="","",IF(AND(P1599="Gasto",X1599="Variable",D1599&lt;&gt;catTrading,S1599&gt;0,S1599&lt;=Umbral),1,0))</f>
        <v/>
      </c>
      <c r="AB1599" s="52">
        <f>IF(OR(P1599="",Q1599=""),"",IFERROR(IF(INDEX(ctaVinc,MATCH(Q1599,ctaNombre,0))&amp;""&lt;&gt;"",INDEX(ctaVinc,MATCH(Q1599,ctaNombre,0))&amp;"",Q1599),Q1599))</f>
        <v/>
      </c>
      <c r="AC1599" s="52">
        <f>IF(OR(K1599="",AND(P1599&lt;&gt;"Transferencia",P1599&lt;&gt;"Pago tarjeta")),"",IFERROR(IF(INDEX(ctaVinc,MATCH(K1599,ctaNombre,0))&amp;""&lt;&gt;"",INDEX(ctaVinc,MATCH(K1599,ctaNombre,0))&amp;"",K1599),K1599))</f>
        <v/>
      </c>
      <c r="AD1599" s="52">
        <f>IF(AB1599="","",IFERROR(INDEX(ctaTipo,MATCH(AB1599,ctaNombre,0))&amp;"",""))</f>
        <v/>
      </c>
      <c r="AE1599" s="52">
        <f>IF(AC1599="","",IFERROR(INDEX(ctaTipo,MATCH(AC1599,ctaNombre,0))&amp;"",""))</f>
        <v/>
      </c>
      <c r="AF1599" s="53">
        <f>IF(OR(P1599="",AB1599=""),"",IF(OR(P1599="Gasto",P1599="Transferencia",P1599="Pago tarjeta"),-1,1)*IF(IFERROR(INDEX(ctaMoneda,MATCH(AB1599,ctaNombre,0))&amp;"","DOP")="USD",T1599,S1599))</f>
        <v/>
      </c>
      <c r="AG1599" s="53">
        <f>IF(AC1599="","",IF(IFERROR(INDEX(ctaMoneda,MATCH(AC1599,ctaNombre,0))&amp;"","DOP")="USD",T1599,S1599))</f>
        <v/>
      </c>
      <c r="AH1599" s="53">
        <f>IF(P1599="","",IF(AND(AD1599&lt;&gt;"",COUNTIFS(tcTipo,AD1599,tcLiq,"Sí")&gt;0),IF(OR(P1599="Gasto",P1599="Transferencia",P1599="Pago tarjeta"),-1,1)*S1599,0)+IF(AND(AE1599&lt;&gt;"",COUNTIFS(tcTipo,AE1599,tcLiq,"Sí")&gt;0),S1599,0))</f>
        <v/>
      </c>
      <c r="AI1599" s="52">
        <f>IF(OR(L1599="",P1599=""),"",IF(COUNTIFS(L$6:L1599,L1599,P$6:P1599,"?*")=1,MAX(AI$5:AI1598)+1,""))</f>
        <v/>
      </c>
    </row>
    <row r="1600">
      <c r="B1600" s="47" t="n"/>
      <c r="C1600" s="48" t="n"/>
      <c r="D1600" s="48" t="n"/>
      <c r="E1600" s="48" t="n"/>
      <c r="F1600" s="48" t="n"/>
      <c r="G1600" s="49" t="n"/>
      <c r="H1600" s="48" t="n"/>
      <c r="I1600" s="50" t="n"/>
      <c r="J1600" s="48" t="n"/>
      <c r="K1600" s="48" t="n"/>
      <c r="L1600" s="48" t="n"/>
      <c r="M1600" s="48" t="n"/>
      <c r="N1600" s="48" t="n"/>
      <c r="O1600" s="51">
        <f>IF(AND(B1600="",G1600="",C1600="",D1600="",J1600=""),"",IF(B1600="","⚠ Falta fecha",IF(G1600="","⚠ Falta monto",IF(Q1600="","⚠ Falta cuenta",IF(ISNA(MATCH(Q1600,ctaNombre,0)),"⚠ Cuenta no registrada",IF(AND(OR(P1600="Gasto",P1600="Reembolso"),D1600=""),"⚠ Falta categoría",IF(AND(D1600&lt;&gt;"",E1600&lt;&gt;"",ISNA(MATCH(D1600&amp;"|"&amp;E1600,catClave,0))),"⚠ Subcategoría no corresponde",IF(AND(OR(P1600="Transferencia",P1600="Pago tarjeta"),K1600=""),"⚠ Falta cuenta destino",IF(AND(K1600&lt;&gt;"",P1600&lt;&gt;"Transferencia",P1600&lt;&gt;"Pago tarjeta"),"⚠ Destino solo aplica a transferencias",IF(AND(K1600&lt;&gt;"",K1600=Q1600),"⚠ Origen igual a destino",IF(AND(K1600&lt;&gt;"",ISNA(MATCH(K1600,ctaNombre,0))),"⚠ Destino no registrado",IF(AND(P1600="Pago tarjeta",AE1600&lt;&gt;"Tarjeta de crédito"),"⚠ El destino debe ser tarjeta de crédito",IF(AND(P1600="Gasto",E1600="Depósitos y retiros"),"⚠ Usa tipo Transferencia",IF(AND(P1600="Resultado trading",AD1600&lt;&gt;"Cuenta de trading"),"⚠ Usa una cuenta de trading",IF(AND(G1600&lt;=0,P1600&lt;&gt;"Ajuste",P1600&lt;&gt;"Resultado trading"),"⚠ El monto debe ser positivo","✓")))))))))))))))</f>
        <v/>
      </c>
      <c r="P1600" s="52">
        <f>IF(OR(B1600="",G1600=""),"",IF(C1600="","Gasto",C1600))</f>
        <v/>
      </c>
      <c r="Q1600" s="52">
        <f>IF(P1600="","",IF(J1600&lt;&gt;"",J1600,CuentaPred&amp;""))</f>
        <v/>
      </c>
      <c r="R1600" s="52">
        <f>IF(P1600="","",IF(ISNUMBER(I1600),I1600,TasaUSD))</f>
        <v/>
      </c>
      <c r="S1600" s="53">
        <f>IF(P1600="","",IF(H1600="USD",G1600*R1600,G1600))</f>
        <v/>
      </c>
      <c r="T1600" s="53">
        <f>IF(P1600="","",IF(H1600="USD",G1600,IF(R1600&gt;0,G1600/R1600,0)))</f>
        <v/>
      </c>
      <c r="U1600" s="53">
        <f>IF(P1600="","",IF(P1600="Gasto",S1600,IF(P1600="Reembolso",-S1600,0)))</f>
        <v/>
      </c>
      <c r="V1600" s="53">
        <f>IF(P1600="","",IF(P1600="Ingreso",S1600,0))</f>
        <v/>
      </c>
      <c r="W1600" s="53">
        <f>IF(P1600="","",IF(P1600="Resultado trading",S1600,0))</f>
        <v/>
      </c>
      <c r="X1600" s="52">
        <f>IF(OR(P1600="Gasto",P1600="Reembolso"),IF(M1600&lt;&gt;"",M1600,IFERROR(INDEX(catClasif,MATCH(D1600&amp;"|"&amp;E1600,catClave,0))&amp;"","Variable")),"")</f>
        <v/>
      </c>
      <c r="Y1600" s="52">
        <f>IF(P1600="","",IFERROR(INDEX(catGrupo,MATCH(D1600&amp;"|"&amp;E1600,catClave,0))&amp;"",""))</f>
        <v/>
      </c>
      <c r="Z1600" s="52">
        <f>IF(P1600="","",WEEKDAY(B1600,2))</f>
        <v/>
      </c>
      <c r="AA1600" s="52">
        <f>IF(P1600="","",IF(AND(P1600="Gasto",X1600="Variable",D1600&lt;&gt;catTrading,S1600&gt;0,S1600&lt;=Umbral),1,0))</f>
        <v/>
      </c>
      <c r="AB1600" s="52">
        <f>IF(OR(P1600="",Q1600=""),"",IFERROR(IF(INDEX(ctaVinc,MATCH(Q1600,ctaNombre,0))&amp;""&lt;&gt;"",INDEX(ctaVinc,MATCH(Q1600,ctaNombre,0))&amp;"",Q1600),Q1600))</f>
        <v/>
      </c>
      <c r="AC1600" s="52">
        <f>IF(OR(K1600="",AND(P1600&lt;&gt;"Transferencia",P1600&lt;&gt;"Pago tarjeta")),"",IFERROR(IF(INDEX(ctaVinc,MATCH(K1600,ctaNombre,0))&amp;""&lt;&gt;"",INDEX(ctaVinc,MATCH(K1600,ctaNombre,0))&amp;"",K1600),K1600))</f>
        <v/>
      </c>
      <c r="AD1600" s="52">
        <f>IF(AB1600="","",IFERROR(INDEX(ctaTipo,MATCH(AB1600,ctaNombre,0))&amp;"",""))</f>
        <v/>
      </c>
      <c r="AE1600" s="52">
        <f>IF(AC1600="","",IFERROR(INDEX(ctaTipo,MATCH(AC1600,ctaNombre,0))&amp;"",""))</f>
        <v/>
      </c>
      <c r="AF1600" s="53">
        <f>IF(OR(P1600="",AB1600=""),"",IF(OR(P1600="Gasto",P1600="Transferencia",P1600="Pago tarjeta"),-1,1)*IF(IFERROR(INDEX(ctaMoneda,MATCH(AB1600,ctaNombre,0))&amp;"","DOP")="USD",T1600,S1600))</f>
        <v/>
      </c>
      <c r="AG1600" s="53">
        <f>IF(AC1600="","",IF(IFERROR(INDEX(ctaMoneda,MATCH(AC1600,ctaNombre,0))&amp;"","DOP")="USD",T1600,S1600))</f>
        <v/>
      </c>
      <c r="AH1600" s="53">
        <f>IF(P1600="","",IF(AND(AD1600&lt;&gt;"",COUNTIFS(tcTipo,AD1600,tcLiq,"Sí")&gt;0),IF(OR(P1600="Gasto",P1600="Transferencia",P1600="Pago tarjeta"),-1,1)*S1600,0)+IF(AND(AE1600&lt;&gt;"",COUNTIFS(tcTipo,AE1600,tcLiq,"Sí")&gt;0),S1600,0))</f>
        <v/>
      </c>
      <c r="AI1600" s="52">
        <f>IF(OR(L1600="",P1600=""),"",IF(COUNTIFS(L$6:L1600,L1600,P$6:P1600,"?*")=1,MAX(AI$5:AI1599)+1,""))</f>
        <v/>
      </c>
    </row>
    <row r="1601">
      <c r="B1601" s="47" t="n"/>
      <c r="C1601" s="48" t="n"/>
      <c r="D1601" s="48" t="n"/>
      <c r="E1601" s="48" t="n"/>
      <c r="F1601" s="48" t="n"/>
      <c r="G1601" s="49" t="n"/>
      <c r="H1601" s="48" t="n"/>
      <c r="I1601" s="50" t="n"/>
      <c r="J1601" s="48" t="n"/>
      <c r="K1601" s="48" t="n"/>
      <c r="L1601" s="48" t="n"/>
      <c r="M1601" s="48" t="n"/>
      <c r="N1601" s="48" t="n"/>
      <c r="O1601" s="51">
        <f>IF(AND(B1601="",G1601="",C1601="",D1601="",J1601=""),"",IF(B1601="","⚠ Falta fecha",IF(G1601="","⚠ Falta monto",IF(Q1601="","⚠ Falta cuenta",IF(ISNA(MATCH(Q1601,ctaNombre,0)),"⚠ Cuenta no registrada",IF(AND(OR(P1601="Gasto",P1601="Reembolso"),D1601=""),"⚠ Falta categoría",IF(AND(D1601&lt;&gt;"",E1601&lt;&gt;"",ISNA(MATCH(D1601&amp;"|"&amp;E1601,catClave,0))),"⚠ Subcategoría no corresponde",IF(AND(OR(P1601="Transferencia",P1601="Pago tarjeta"),K1601=""),"⚠ Falta cuenta destino",IF(AND(K1601&lt;&gt;"",P1601&lt;&gt;"Transferencia",P1601&lt;&gt;"Pago tarjeta"),"⚠ Destino solo aplica a transferencias",IF(AND(K1601&lt;&gt;"",K1601=Q1601),"⚠ Origen igual a destino",IF(AND(K1601&lt;&gt;"",ISNA(MATCH(K1601,ctaNombre,0))),"⚠ Destino no registrado",IF(AND(P1601="Pago tarjeta",AE1601&lt;&gt;"Tarjeta de crédito"),"⚠ El destino debe ser tarjeta de crédito",IF(AND(P1601="Gasto",E1601="Depósitos y retiros"),"⚠ Usa tipo Transferencia",IF(AND(P1601="Resultado trading",AD1601&lt;&gt;"Cuenta de trading"),"⚠ Usa una cuenta de trading",IF(AND(G1601&lt;=0,P1601&lt;&gt;"Ajuste",P1601&lt;&gt;"Resultado trading"),"⚠ El monto debe ser positivo","✓")))))))))))))))</f>
        <v/>
      </c>
      <c r="P1601" s="52">
        <f>IF(OR(B1601="",G1601=""),"",IF(C1601="","Gasto",C1601))</f>
        <v/>
      </c>
      <c r="Q1601" s="52">
        <f>IF(P1601="","",IF(J1601&lt;&gt;"",J1601,CuentaPred&amp;""))</f>
        <v/>
      </c>
      <c r="R1601" s="52">
        <f>IF(P1601="","",IF(ISNUMBER(I1601),I1601,TasaUSD))</f>
        <v/>
      </c>
      <c r="S1601" s="53">
        <f>IF(P1601="","",IF(H1601="USD",G1601*R1601,G1601))</f>
        <v/>
      </c>
      <c r="T1601" s="53">
        <f>IF(P1601="","",IF(H1601="USD",G1601,IF(R1601&gt;0,G1601/R1601,0)))</f>
        <v/>
      </c>
      <c r="U1601" s="53">
        <f>IF(P1601="","",IF(P1601="Gasto",S1601,IF(P1601="Reembolso",-S1601,0)))</f>
        <v/>
      </c>
      <c r="V1601" s="53">
        <f>IF(P1601="","",IF(P1601="Ingreso",S1601,0))</f>
        <v/>
      </c>
      <c r="W1601" s="53">
        <f>IF(P1601="","",IF(P1601="Resultado trading",S1601,0))</f>
        <v/>
      </c>
      <c r="X1601" s="52">
        <f>IF(OR(P1601="Gasto",P1601="Reembolso"),IF(M1601&lt;&gt;"",M1601,IFERROR(INDEX(catClasif,MATCH(D1601&amp;"|"&amp;E1601,catClave,0))&amp;"","Variable")),"")</f>
        <v/>
      </c>
      <c r="Y1601" s="52">
        <f>IF(P1601="","",IFERROR(INDEX(catGrupo,MATCH(D1601&amp;"|"&amp;E1601,catClave,0))&amp;"",""))</f>
        <v/>
      </c>
      <c r="Z1601" s="52">
        <f>IF(P1601="","",WEEKDAY(B1601,2))</f>
        <v/>
      </c>
      <c r="AA1601" s="52">
        <f>IF(P1601="","",IF(AND(P1601="Gasto",X1601="Variable",D1601&lt;&gt;catTrading,S1601&gt;0,S1601&lt;=Umbral),1,0))</f>
        <v/>
      </c>
      <c r="AB1601" s="52">
        <f>IF(OR(P1601="",Q1601=""),"",IFERROR(IF(INDEX(ctaVinc,MATCH(Q1601,ctaNombre,0))&amp;""&lt;&gt;"",INDEX(ctaVinc,MATCH(Q1601,ctaNombre,0))&amp;"",Q1601),Q1601))</f>
        <v/>
      </c>
      <c r="AC1601" s="52">
        <f>IF(OR(K1601="",AND(P1601&lt;&gt;"Transferencia",P1601&lt;&gt;"Pago tarjeta")),"",IFERROR(IF(INDEX(ctaVinc,MATCH(K1601,ctaNombre,0))&amp;""&lt;&gt;"",INDEX(ctaVinc,MATCH(K1601,ctaNombre,0))&amp;"",K1601),K1601))</f>
        <v/>
      </c>
      <c r="AD1601" s="52">
        <f>IF(AB1601="","",IFERROR(INDEX(ctaTipo,MATCH(AB1601,ctaNombre,0))&amp;"",""))</f>
        <v/>
      </c>
      <c r="AE1601" s="52">
        <f>IF(AC1601="","",IFERROR(INDEX(ctaTipo,MATCH(AC1601,ctaNombre,0))&amp;"",""))</f>
        <v/>
      </c>
      <c r="AF1601" s="53">
        <f>IF(OR(P1601="",AB1601=""),"",IF(OR(P1601="Gasto",P1601="Transferencia",P1601="Pago tarjeta"),-1,1)*IF(IFERROR(INDEX(ctaMoneda,MATCH(AB1601,ctaNombre,0))&amp;"","DOP")="USD",T1601,S1601))</f>
        <v/>
      </c>
      <c r="AG1601" s="53">
        <f>IF(AC1601="","",IF(IFERROR(INDEX(ctaMoneda,MATCH(AC1601,ctaNombre,0))&amp;"","DOP")="USD",T1601,S1601))</f>
        <v/>
      </c>
      <c r="AH1601" s="53">
        <f>IF(P1601="","",IF(AND(AD1601&lt;&gt;"",COUNTIFS(tcTipo,AD1601,tcLiq,"Sí")&gt;0),IF(OR(P1601="Gasto",P1601="Transferencia",P1601="Pago tarjeta"),-1,1)*S1601,0)+IF(AND(AE1601&lt;&gt;"",COUNTIFS(tcTipo,AE1601,tcLiq,"Sí")&gt;0),S1601,0))</f>
        <v/>
      </c>
      <c r="AI1601" s="52">
        <f>IF(OR(L1601="",P1601=""),"",IF(COUNTIFS(L$6:L1601,L1601,P$6:P1601,"?*")=1,MAX(AI$5:AI1600)+1,""))</f>
        <v/>
      </c>
    </row>
    <row r="1602">
      <c r="B1602" s="47" t="n"/>
      <c r="C1602" s="48" t="n"/>
      <c r="D1602" s="48" t="n"/>
      <c r="E1602" s="48" t="n"/>
      <c r="F1602" s="48" t="n"/>
      <c r="G1602" s="49" t="n"/>
      <c r="H1602" s="48" t="n"/>
      <c r="I1602" s="50" t="n"/>
      <c r="J1602" s="48" t="n"/>
      <c r="K1602" s="48" t="n"/>
      <c r="L1602" s="48" t="n"/>
      <c r="M1602" s="48" t="n"/>
      <c r="N1602" s="48" t="n"/>
      <c r="O1602" s="51">
        <f>IF(AND(B1602="",G1602="",C1602="",D1602="",J1602=""),"",IF(B1602="","⚠ Falta fecha",IF(G1602="","⚠ Falta monto",IF(Q1602="","⚠ Falta cuenta",IF(ISNA(MATCH(Q1602,ctaNombre,0)),"⚠ Cuenta no registrada",IF(AND(OR(P1602="Gasto",P1602="Reembolso"),D1602=""),"⚠ Falta categoría",IF(AND(D1602&lt;&gt;"",E1602&lt;&gt;"",ISNA(MATCH(D1602&amp;"|"&amp;E1602,catClave,0))),"⚠ Subcategoría no corresponde",IF(AND(OR(P1602="Transferencia",P1602="Pago tarjeta"),K1602=""),"⚠ Falta cuenta destino",IF(AND(K1602&lt;&gt;"",P1602&lt;&gt;"Transferencia",P1602&lt;&gt;"Pago tarjeta"),"⚠ Destino solo aplica a transferencias",IF(AND(K1602&lt;&gt;"",K1602=Q1602),"⚠ Origen igual a destino",IF(AND(K1602&lt;&gt;"",ISNA(MATCH(K1602,ctaNombre,0))),"⚠ Destino no registrado",IF(AND(P1602="Pago tarjeta",AE1602&lt;&gt;"Tarjeta de crédito"),"⚠ El destino debe ser tarjeta de crédito",IF(AND(P1602="Gasto",E1602="Depósitos y retiros"),"⚠ Usa tipo Transferencia",IF(AND(P1602="Resultado trading",AD1602&lt;&gt;"Cuenta de trading"),"⚠ Usa una cuenta de trading",IF(AND(G1602&lt;=0,P1602&lt;&gt;"Ajuste",P1602&lt;&gt;"Resultado trading"),"⚠ El monto debe ser positivo","✓")))))))))))))))</f>
        <v/>
      </c>
      <c r="P1602" s="52">
        <f>IF(OR(B1602="",G1602=""),"",IF(C1602="","Gasto",C1602))</f>
        <v/>
      </c>
      <c r="Q1602" s="52">
        <f>IF(P1602="","",IF(J1602&lt;&gt;"",J1602,CuentaPred&amp;""))</f>
        <v/>
      </c>
      <c r="R1602" s="52">
        <f>IF(P1602="","",IF(ISNUMBER(I1602),I1602,TasaUSD))</f>
        <v/>
      </c>
      <c r="S1602" s="53">
        <f>IF(P1602="","",IF(H1602="USD",G1602*R1602,G1602))</f>
        <v/>
      </c>
      <c r="T1602" s="53">
        <f>IF(P1602="","",IF(H1602="USD",G1602,IF(R1602&gt;0,G1602/R1602,0)))</f>
        <v/>
      </c>
      <c r="U1602" s="53">
        <f>IF(P1602="","",IF(P1602="Gasto",S1602,IF(P1602="Reembolso",-S1602,0)))</f>
        <v/>
      </c>
      <c r="V1602" s="53">
        <f>IF(P1602="","",IF(P1602="Ingreso",S1602,0))</f>
        <v/>
      </c>
      <c r="W1602" s="53">
        <f>IF(P1602="","",IF(P1602="Resultado trading",S1602,0))</f>
        <v/>
      </c>
      <c r="X1602" s="52">
        <f>IF(OR(P1602="Gasto",P1602="Reembolso"),IF(M1602&lt;&gt;"",M1602,IFERROR(INDEX(catClasif,MATCH(D1602&amp;"|"&amp;E1602,catClave,0))&amp;"","Variable")),"")</f>
        <v/>
      </c>
      <c r="Y1602" s="52">
        <f>IF(P1602="","",IFERROR(INDEX(catGrupo,MATCH(D1602&amp;"|"&amp;E1602,catClave,0))&amp;"",""))</f>
        <v/>
      </c>
      <c r="Z1602" s="52">
        <f>IF(P1602="","",WEEKDAY(B1602,2))</f>
        <v/>
      </c>
      <c r="AA1602" s="52">
        <f>IF(P1602="","",IF(AND(P1602="Gasto",X1602="Variable",D1602&lt;&gt;catTrading,S1602&gt;0,S1602&lt;=Umbral),1,0))</f>
        <v/>
      </c>
      <c r="AB1602" s="52">
        <f>IF(OR(P1602="",Q1602=""),"",IFERROR(IF(INDEX(ctaVinc,MATCH(Q1602,ctaNombre,0))&amp;""&lt;&gt;"",INDEX(ctaVinc,MATCH(Q1602,ctaNombre,0))&amp;"",Q1602),Q1602))</f>
        <v/>
      </c>
      <c r="AC1602" s="52">
        <f>IF(OR(K1602="",AND(P1602&lt;&gt;"Transferencia",P1602&lt;&gt;"Pago tarjeta")),"",IFERROR(IF(INDEX(ctaVinc,MATCH(K1602,ctaNombre,0))&amp;""&lt;&gt;"",INDEX(ctaVinc,MATCH(K1602,ctaNombre,0))&amp;"",K1602),K1602))</f>
        <v/>
      </c>
      <c r="AD1602" s="52">
        <f>IF(AB1602="","",IFERROR(INDEX(ctaTipo,MATCH(AB1602,ctaNombre,0))&amp;"",""))</f>
        <v/>
      </c>
      <c r="AE1602" s="52">
        <f>IF(AC1602="","",IFERROR(INDEX(ctaTipo,MATCH(AC1602,ctaNombre,0))&amp;"",""))</f>
        <v/>
      </c>
      <c r="AF1602" s="53">
        <f>IF(OR(P1602="",AB1602=""),"",IF(OR(P1602="Gasto",P1602="Transferencia",P1602="Pago tarjeta"),-1,1)*IF(IFERROR(INDEX(ctaMoneda,MATCH(AB1602,ctaNombre,0))&amp;"","DOP")="USD",T1602,S1602))</f>
        <v/>
      </c>
      <c r="AG1602" s="53">
        <f>IF(AC1602="","",IF(IFERROR(INDEX(ctaMoneda,MATCH(AC1602,ctaNombre,0))&amp;"","DOP")="USD",T1602,S1602))</f>
        <v/>
      </c>
      <c r="AH1602" s="53">
        <f>IF(P1602="","",IF(AND(AD1602&lt;&gt;"",COUNTIFS(tcTipo,AD1602,tcLiq,"Sí")&gt;0),IF(OR(P1602="Gasto",P1602="Transferencia",P1602="Pago tarjeta"),-1,1)*S1602,0)+IF(AND(AE1602&lt;&gt;"",COUNTIFS(tcTipo,AE1602,tcLiq,"Sí")&gt;0),S1602,0))</f>
        <v/>
      </c>
      <c r="AI1602" s="52">
        <f>IF(OR(L1602="",P1602=""),"",IF(COUNTIFS(L$6:L1602,L1602,P$6:P1602,"?*")=1,MAX(AI$5:AI1601)+1,""))</f>
        <v/>
      </c>
    </row>
    <row r="1603">
      <c r="B1603" s="47" t="n"/>
      <c r="C1603" s="48" t="n"/>
      <c r="D1603" s="48" t="n"/>
      <c r="E1603" s="48" t="n"/>
      <c r="F1603" s="48" t="n"/>
      <c r="G1603" s="49" t="n"/>
      <c r="H1603" s="48" t="n"/>
      <c r="I1603" s="50" t="n"/>
      <c r="J1603" s="48" t="n"/>
      <c r="K1603" s="48" t="n"/>
      <c r="L1603" s="48" t="n"/>
      <c r="M1603" s="48" t="n"/>
      <c r="N1603" s="48" t="n"/>
      <c r="O1603" s="51">
        <f>IF(AND(B1603="",G1603="",C1603="",D1603="",J1603=""),"",IF(B1603="","⚠ Falta fecha",IF(G1603="","⚠ Falta monto",IF(Q1603="","⚠ Falta cuenta",IF(ISNA(MATCH(Q1603,ctaNombre,0)),"⚠ Cuenta no registrada",IF(AND(OR(P1603="Gasto",P1603="Reembolso"),D1603=""),"⚠ Falta categoría",IF(AND(D1603&lt;&gt;"",E1603&lt;&gt;"",ISNA(MATCH(D1603&amp;"|"&amp;E1603,catClave,0))),"⚠ Subcategoría no corresponde",IF(AND(OR(P1603="Transferencia",P1603="Pago tarjeta"),K1603=""),"⚠ Falta cuenta destino",IF(AND(K1603&lt;&gt;"",P1603&lt;&gt;"Transferencia",P1603&lt;&gt;"Pago tarjeta"),"⚠ Destino solo aplica a transferencias",IF(AND(K1603&lt;&gt;"",K1603=Q1603),"⚠ Origen igual a destino",IF(AND(K1603&lt;&gt;"",ISNA(MATCH(K1603,ctaNombre,0))),"⚠ Destino no registrado",IF(AND(P1603="Pago tarjeta",AE1603&lt;&gt;"Tarjeta de crédito"),"⚠ El destino debe ser tarjeta de crédito",IF(AND(P1603="Gasto",E1603="Depósitos y retiros"),"⚠ Usa tipo Transferencia",IF(AND(P1603="Resultado trading",AD1603&lt;&gt;"Cuenta de trading"),"⚠ Usa una cuenta de trading",IF(AND(G1603&lt;=0,P1603&lt;&gt;"Ajuste",P1603&lt;&gt;"Resultado trading"),"⚠ El monto debe ser positivo","✓")))))))))))))))</f>
        <v/>
      </c>
      <c r="P1603" s="52">
        <f>IF(OR(B1603="",G1603=""),"",IF(C1603="","Gasto",C1603))</f>
        <v/>
      </c>
      <c r="Q1603" s="52">
        <f>IF(P1603="","",IF(J1603&lt;&gt;"",J1603,CuentaPred&amp;""))</f>
        <v/>
      </c>
      <c r="R1603" s="52">
        <f>IF(P1603="","",IF(ISNUMBER(I1603),I1603,TasaUSD))</f>
        <v/>
      </c>
      <c r="S1603" s="53">
        <f>IF(P1603="","",IF(H1603="USD",G1603*R1603,G1603))</f>
        <v/>
      </c>
      <c r="T1603" s="53">
        <f>IF(P1603="","",IF(H1603="USD",G1603,IF(R1603&gt;0,G1603/R1603,0)))</f>
        <v/>
      </c>
      <c r="U1603" s="53">
        <f>IF(P1603="","",IF(P1603="Gasto",S1603,IF(P1603="Reembolso",-S1603,0)))</f>
        <v/>
      </c>
      <c r="V1603" s="53">
        <f>IF(P1603="","",IF(P1603="Ingreso",S1603,0))</f>
        <v/>
      </c>
      <c r="W1603" s="53">
        <f>IF(P1603="","",IF(P1603="Resultado trading",S1603,0))</f>
        <v/>
      </c>
      <c r="X1603" s="52">
        <f>IF(OR(P1603="Gasto",P1603="Reembolso"),IF(M1603&lt;&gt;"",M1603,IFERROR(INDEX(catClasif,MATCH(D1603&amp;"|"&amp;E1603,catClave,0))&amp;"","Variable")),"")</f>
        <v/>
      </c>
      <c r="Y1603" s="52">
        <f>IF(P1603="","",IFERROR(INDEX(catGrupo,MATCH(D1603&amp;"|"&amp;E1603,catClave,0))&amp;"",""))</f>
        <v/>
      </c>
      <c r="Z1603" s="52">
        <f>IF(P1603="","",WEEKDAY(B1603,2))</f>
        <v/>
      </c>
      <c r="AA1603" s="52">
        <f>IF(P1603="","",IF(AND(P1603="Gasto",X1603="Variable",D1603&lt;&gt;catTrading,S1603&gt;0,S1603&lt;=Umbral),1,0))</f>
        <v/>
      </c>
      <c r="AB1603" s="52">
        <f>IF(OR(P1603="",Q1603=""),"",IFERROR(IF(INDEX(ctaVinc,MATCH(Q1603,ctaNombre,0))&amp;""&lt;&gt;"",INDEX(ctaVinc,MATCH(Q1603,ctaNombre,0))&amp;"",Q1603),Q1603))</f>
        <v/>
      </c>
      <c r="AC1603" s="52">
        <f>IF(OR(K1603="",AND(P1603&lt;&gt;"Transferencia",P1603&lt;&gt;"Pago tarjeta")),"",IFERROR(IF(INDEX(ctaVinc,MATCH(K1603,ctaNombre,0))&amp;""&lt;&gt;"",INDEX(ctaVinc,MATCH(K1603,ctaNombre,0))&amp;"",K1603),K1603))</f>
        <v/>
      </c>
      <c r="AD1603" s="52">
        <f>IF(AB1603="","",IFERROR(INDEX(ctaTipo,MATCH(AB1603,ctaNombre,0))&amp;"",""))</f>
        <v/>
      </c>
      <c r="AE1603" s="52">
        <f>IF(AC1603="","",IFERROR(INDEX(ctaTipo,MATCH(AC1603,ctaNombre,0))&amp;"",""))</f>
        <v/>
      </c>
      <c r="AF1603" s="53">
        <f>IF(OR(P1603="",AB1603=""),"",IF(OR(P1603="Gasto",P1603="Transferencia",P1603="Pago tarjeta"),-1,1)*IF(IFERROR(INDEX(ctaMoneda,MATCH(AB1603,ctaNombre,0))&amp;"","DOP")="USD",T1603,S1603))</f>
        <v/>
      </c>
      <c r="AG1603" s="53">
        <f>IF(AC1603="","",IF(IFERROR(INDEX(ctaMoneda,MATCH(AC1603,ctaNombre,0))&amp;"","DOP")="USD",T1603,S1603))</f>
        <v/>
      </c>
      <c r="AH1603" s="53">
        <f>IF(P1603="","",IF(AND(AD1603&lt;&gt;"",COUNTIFS(tcTipo,AD1603,tcLiq,"Sí")&gt;0),IF(OR(P1603="Gasto",P1603="Transferencia",P1603="Pago tarjeta"),-1,1)*S1603,0)+IF(AND(AE1603&lt;&gt;"",COUNTIFS(tcTipo,AE1603,tcLiq,"Sí")&gt;0),S1603,0))</f>
        <v/>
      </c>
      <c r="AI1603" s="52">
        <f>IF(OR(L1603="",P1603=""),"",IF(COUNTIFS(L$6:L1603,L1603,P$6:P1603,"?*")=1,MAX(AI$5:AI1602)+1,""))</f>
        <v/>
      </c>
    </row>
    <row r="1604">
      <c r="B1604" s="47" t="n"/>
      <c r="C1604" s="48" t="n"/>
      <c r="D1604" s="48" t="n"/>
      <c r="E1604" s="48" t="n"/>
      <c r="F1604" s="48" t="n"/>
      <c r="G1604" s="49" t="n"/>
      <c r="H1604" s="48" t="n"/>
      <c r="I1604" s="50" t="n"/>
      <c r="J1604" s="48" t="n"/>
      <c r="K1604" s="48" t="n"/>
      <c r="L1604" s="48" t="n"/>
      <c r="M1604" s="48" t="n"/>
      <c r="N1604" s="48" t="n"/>
      <c r="O1604" s="51">
        <f>IF(AND(B1604="",G1604="",C1604="",D1604="",J1604=""),"",IF(B1604="","⚠ Falta fecha",IF(G1604="","⚠ Falta monto",IF(Q1604="","⚠ Falta cuenta",IF(ISNA(MATCH(Q1604,ctaNombre,0)),"⚠ Cuenta no registrada",IF(AND(OR(P1604="Gasto",P1604="Reembolso"),D1604=""),"⚠ Falta categoría",IF(AND(D1604&lt;&gt;"",E1604&lt;&gt;"",ISNA(MATCH(D1604&amp;"|"&amp;E1604,catClave,0))),"⚠ Subcategoría no corresponde",IF(AND(OR(P1604="Transferencia",P1604="Pago tarjeta"),K1604=""),"⚠ Falta cuenta destino",IF(AND(K1604&lt;&gt;"",P1604&lt;&gt;"Transferencia",P1604&lt;&gt;"Pago tarjeta"),"⚠ Destino solo aplica a transferencias",IF(AND(K1604&lt;&gt;"",K1604=Q1604),"⚠ Origen igual a destino",IF(AND(K1604&lt;&gt;"",ISNA(MATCH(K1604,ctaNombre,0))),"⚠ Destino no registrado",IF(AND(P1604="Pago tarjeta",AE1604&lt;&gt;"Tarjeta de crédito"),"⚠ El destino debe ser tarjeta de crédito",IF(AND(P1604="Gasto",E1604="Depósitos y retiros"),"⚠ Usa tipo Transferencia",IF(AND(P1604="Resultado trading",AD1604&lt;&gt;"Cuenta de trading"),"⚠ Usa una cuenta de trading",IF(AND(G1604&lt;=0,P1604&lt;&gt;"Ajuste",P1604&lt;&gt;"Resultado trading"),"⚠ El monto debe ser positivo","✓")))))))))))))))</f>
        <v/>
      </c>
      <c r="P1604" s="52">
        <f>IF(OR(B1604="",G1604=""),"",IF(C1604="","Gasto",C1604))</f>
        <v/>
      </c>
      <c r="Q1604" s="52">
        <f>IF(P1604="","",IF(J1604&lt;&gt;"",J1604,CuentaPred&amp;""))</f>
        <v/>
      </c>
      <c r="R1604" s="52">
        <f>IF(P1604="","",IF(ISNUMBER(I1604),I1604,TasaUSD))</f>
        <v/>
      </c>
      <c r="S1604" s="53">
        <f>IF(P1604="","",IF(H1604="USD",G1604*R1604,G1604))</f>
        <v/>
      </c>
      <c r="T1604" s="53">
        <f>IF(P1604="","",IF(H1604="USD",G1604,IF(R1604&gt;0,G1604/R1604,0)))</f>
        <v/>
      </c>
      <c r="U1604" s="53">
        <f>IF(P1604="","",IF(P1604="Gasto",S1604,IF(P1604="Reembolso",-S1604,0)))</f>
        <v/>
      </c>
      <c r="V1604" s="53">
        <f>IF(P1604="","",IF(P1604="Ingreso",S1604,0))</f>
        <v/>
      </c>
      <c r="W1604" s="53">
        <f>IF(P1604="","",IF(P1604="Resultado trading",S1604,0))</f>
        <v/>
      </c>
      <c r="X1604" s="52">
        <f>IF(OR(P1604="Gasto",P1604="Reembolso"),IF(M1604&lt;&gt;"",M1604,IFERROR(INDEX(catClasif,MATCH(D1604&amp;"|"&amp;E1604,catClave,0))&amp;"","Variable")),"")</f>
        <v/>
      </c>
      <c r="Y1604" s="52">
        <f>IF(P1604="","",IFERROR(INDEX(catGrupo,MATCH(D1604&amp;"|"&amp;E1604,catClave,0))&amp;"",""))</f>
        <v/>
      </c>
      <c r="Z1604" s="52">
        <f>IF(P1604="","",WEEKDAY(B1604,2))</f>
        <v/>
      </c>
      <c r="AA1604" s="52">
        <f>IF(P1604="","",IF(AND(P1604="Gasto",X1604="Variable",D1604&lt;&gt;catTrading,S1604&gt;0,S1604&lt;=Umbral),1,0))</f>
        <v/>
      </c>
      <c r="AB1604" s="52">
        <f>IF(OR(P1604="",Q1604=""),"",IFERROR(IF(INDEX(ctaVinc,MATCH(Q1604,ctaNombre,0))&amp;""&lt;&gt;"",INDEX(ctaVinc,MATCH(Q1604,ctaNombre,0))&amp;"",Q1604),Q1604))</f>
        <v/>
      </c>
      <c r="AC1604" s="52">
        <f>IF(OR(K1604="",AND(P1604&lt;&gt;"Transferencia",P1604&lt;&gt;"Pago tarjeta")),"",IFERROR(IF(INDEX(ctaVinc,MATCH(K1604,ctaNombre,0))&amp;""&lt;&gt;"",INDEX(ctaVinc,MATCH(K1604,ctaNombre,0))&amp;"",K1604),K1604))</f>
        <v/>
      </c>
      <c r="AD1604" s="52">
        <f>IF(AB1604="","",IFERROR(INDEX(ctaTipo,MATCH(AB1604,ctaNombre,0))&amp;"",""))</f>
        <v/>
      </c>
      <c r="AE1604" s="52">
        <f>IF(AC1604="","",IFERROR(INDEX(ctaTipo,MATCH(AC1604,ctaNombre,0))&amp;"",""))</f>
        <v/>
      </c>
      <c r="AF1604" s="53">
        <f>IF(OR(P1604="",AB1604=""),"",IF(OR(P1604="Gasto",P1604="Transferencia",P1604="Pago tarjeta"),-1,1)*IF(IFERROR(INDEX(ctaMoneda,MATCH(AB1604,ctaNombre,0))&amp;"","DOP")="USD",T1604,S1604))</f>
        <v/>
      </c>
      <c r="AG1604" s="53">
        <f>IF(AC1604="","",IF(IFERROR(INDEX(ctaMoneda,MATCH(AC1604,ctaNombre,0))&amp;"","DOP")="USD",T1604,S1604))</f>
        <v/>
      </c>
      <c r="AH1604" s="53">
        <f>IF(P1604="","",IF(AND(AD1604&lt;&gt;"",COUNTIFS(tcTipo,AD1604,tcLiq,"Sí")&gt;0),IF(OR(P1604="Gasto",P1604="Transferencia",P1604="Pago tarjeta"),-1,1)*S1604,0)+IF(AND(AE1604&lt;&gt;"",COUNTIFS(tcTipo,AE1604,tcLiq,"Sí")&gt;0),S1604,0))</f>
        <v/>
      </c>
      <c r="AI1604" s="52">
        <f>IF(OR(L1604="",P1604=""),"",IF(COUNTIFS(L$6:L1604,L1604,P$6:P1604,"?*")=1,MAX(AI$5:AI1603)+1,""))</f>
        <v/>
      </c>
    </row>
    <row r="1605">
      <c r="B1605" s="47" t="n"/>
      <c r="C1605" s="48" t="n"/>
      <c r="D1605" s="48" t="n"/>
      <c r="E1605" s="48" t="n"/>
      <c r="F1605" s="48" t="n"/>
      <c r="G1605" s="49" t="n"/>
      <c r="H1605" s="48" t="n"/>
      <c r="I1605" s="50" t="n"/>
      <c r="J1605" s="48" t="n"/>
      <c r="K1605" s="48" t="n"/>
      <c r="L1605" s="48" t="n"/>
      <c r="M1605" s="48" t="n"/>
      <c r="N1605" s="48" t="n"/>
      <c r="O1605" s="51">
        <f>IF(AND(B1605="",G1605="",C1605="",D1605="",J1605=""),"",IF(B1605="","⚠ Falta fecha",IF(G1605="","⚠ Falta monto",IF(Q1605="","⚠ Falta cuenta",IF(ISNA(MATCH(Q1605,ctaNombre,0)),"⚠ Cuenta no registrada",IF(AND(OR(P1605="Gasto",P1605="Reembolso"),D1605=""),"⚠ Falta categoría",IF(AND(D1605&lt;&gt;"",E1605&lt;&gt;"",ISNA(MATCH(D1605&amp;"|"&amp;E1605,catClave,0))),"⚠ Subcategoría no corresponde",IF(AND(OR(P1605="Transferencia",P1605="Pago tarjeta"),K1605=""),"⚠ Falta cuenta destino",IF(AND(K1605&lt;&gt;"",P1605&lt;&gt;"Transferencia",P1605&lt;&gt;"Pago tarjeta"),"⚠ Destino solo aplica a transferencias",IF(AND(K1605&lt;&gt;"",K1605=Q1605),"⚠ Origen igual a destino",IF(AND(K1605&lt;&gt;"",ISNA(MATCH(K1605,ctaNombre,0))),"⚠ Destino no registrado",IF(AND(P1605="Pago tarjeta",AE1605&lt;&gt;"Tarjeta de crédito"),"⚠ El destino debe ser tarjeta de crédito",IF(AND(P1605="Gasto",E1605="Depósitos y retiros"),"⚠ Usa tipo Transferencia",IF(AND(P1605="Resultado trading",AD1605&lt;&gt;"Cuenta de trading"),"⚠ Usa una cuenta de trading",IF(AND(G1605&lt;=0,P1605&lt;&gt;"Ajuste",P1605&lt;&gt;"Resultado trading"),"⚠ El monto debe ser positivo","✓")))))))))))))))</f>
        <v/>
      </c>
      <c r="P1605" s="52">
        <f>IF(OR(B1605="",G1605=""),"",IF(C1605="","Gasto",C1605))</f>
        <v/>
      </c>
      <c r="Q1605" s="52">
        <f>IF(P1605="","",IF(J1605&lt;&gt;"",J1605,CuentaPred&amp;""))</f>
        <v/>
      </c>
      <c r="R1605" s="52">
        <f>IF(P1605="","",IF(ISNUMBER(I1605),I1605,TasaUSD))</f>
        <v/>
      </c>
      <c r="S1605" s="53">
        <f>IF(P1605="","",IF(H1605="USD",G1605*R1605,G1605))</f>
        <v/>
      </c>
      <c r="T1605" s="53">
        <f>IF(P1605="","",IF(H1605="USD",G1605,IF(R1605&gt;0,G1605/R1605,0)))</f>
        <v/>
      </c>
      <c r="U1605" s="53">
        <f>IF(P1605="","",IF(P1605="Gasto",S1605,IF(P1605="Reembolso",-S1605,0)))</f>
        <v/>
      </c>
      <c r="V1605" s="53">
        <f>IF(P1605="","",IF(P1605="Ingreso",S1605,0))</f>
        <v/>
      </c>
      <c r="W1605" s="53">
        <f>IF(P1605="","",IF(P1605="Resultado trading",S1605,0))</f>
        <v/>
      </c>
      <c r="X1605" s="52">
        <f>IF(OR(P1605="Gasto",P1605="Reembolso"),IF(M1605&lt;&gt;"",M1605,IFERROR(INDEX(catClasif,MATCH(D1605&amp;"|"&amp;E1605,catClave,0))&amp;"","Variable")),"")</f>
        <v/>
      </c>
      <c r="Y1605" s="52">
        <f>IF(P1605="","",IFERROR(INDEX(catGrupo,MATCH(D1605&amp;"|"&amp;E1605,catClave,0))&amp;"",""))</f>
        <v/>
      </c>
      <c r="Z1605" s="52">
        <f>IF(P1605="","",WEEKDAY(B1605,2))</f>
        <v/>
      </c>
      <c r="AA1605" s="52">
        <f>IF(P1605="","",IF(AND(P1605="Gasto",X1605="Variable",D1605&lt;&gt;catTrading,S1605&gt;0,S1605&lt;=Umbral),1,0))</f>
        <v/>
      </c>
      <c r="AB1605" s="52">
        <f>IF(OR(P1605="",Q1605=""),"",IFERROR(IF(INDEX(ctaVinc,MATCH(Q1605,ctaNombre,0))&amp;""&lt;&gt;"",INDEX(ctaVinc,MATCH(Q1605,ctaNombre,0))&amp;"",Q1605),Q1605))</f>
        <v/>
      </c>
      <c r="AC1605" s="52">
        <f>IF(OR(K1605="",AND(P1605&lt;&gt;"Transferencia",P1605&lt;&gt;"Pago tarjeta")),"",IFERROR(IF(INDEX(ctaVinc,MATCH(K1605,ctaNombre,0))&amp;""&lt;&gt;"",INDEX(ctaVinc,MATCH(K1605,ctaNombre,0))&amp;"",K1605),K1605))</f>
        <v/>
      </c>
      <c r="AD1605" s="52">
        <f>IF(AB1605="","",IFERROR(INDEX(ctaTipo,MATCH(AB1605,ctaNombre,0))&amp;"",""))</f>
        <v/>
      </c>
      <c r="AE1605" s="52">
        <f>IF(AC1605="","",IFERROR(INDEX(ctaTipo,MATCH(AC1605,ctaNombre,0))&amp;"",""))</f>
        <v/>
      </c>
      <c r="AF1605" s="53">
        <f>IF(OR(P1605="",AB1605=""),"",IF(OR(P1605="Gasto",P1605="Transferencia",P1605="Pago tarjeta"),-1,1)*IF(IFERROR(INDEX(ctaMoneda,MATCH(AB1605,ctaNombre,0))&amp;"","DOP")="USD",T1605,S1605))</f>
        <v/>
      </c>
      <c r="AG1605" s="53">
        <f>IF(AC1605="","",IF(IFERROR(INDEX(ctaMoneda,MATCH(AC1605,ctaNombre,0))&amp;"","DOP")="USD",T1605,S1605))</f>
        <v/>
      </c>
      <c r="AH1605" s="53">
        <f>IF(P1605="","",IF(AND(AD1605&lt;&gt;"",COUNTIFS(tcTipo,AD1605,tcLiq,"Sí")&gt;0),IF(OR(P1605="Gasto",P1605="Transferencia",P1605="Pago tarjeta"),-1,1)*S1605,0)+IF(AND(AE1605&lt;&gt;"",COUNTIFS(tcTipo,AE1605,tcLiq,"Sí")&gt;0),S1605,0))</f>
        <v/>
      </c>
      <c r="AI1605" s="52">
        <f>IF(OR(L1605="",P1605=""),"",IF(COUNTIFS(L$6:L1605,L1605,P$6:P1605,"?*")=1,MAX(AI$5:AI1604)+1,""))</f>
        <v/>
      </c>
    </row>
    <row r="1606">
      <c r="B1606" s="47" t="n"/>
      <c r="C1606" s="48" t="n"/>
      <c r="D1606" s="48" t="n"/>
      <c r="E1606" s="48" t="n"/>
      <c r="F1606" s="48" t="n"/>
      <c r="G1606" s="49" t="n"/>
      <c r="H1606" s="48" t="n"/>
      <c r="I1606" s="50" t="n"/>
      <c r="J1606" s="48" t="n"/>
      <c r="K1606" s="48" t="n"/>
      <c r="L1606" s="48" t="n"/>
      <c r="M1606" s="48" t="n"/>
      <c r="N1606" s="48" t="n"/>
      <c r="O1606" s="51">
        <f>IF(AND(B1606="",G1606="",C1606="",D1606="",J1606=""),"",IF(B1606="","⚠ Falta fecha",IF(G1606="","⚠ Falta monto",IF(Q1606="","⚠ Falta cuenta",IF(ISNA(MATCH(Q1606,ctaNombre,0)),"⚠ Cuenta no registrada",IF(AND(OR(P1606="Gasto",P1606="Reembolso"),D1606=""),"⚠ Falta categoría",IF(AND(D1606&lt;&gt;"",E1606&lt;&gt;"",ISNA(MATCH(D1606&amp;"|"&amp;E1606,catClave,0))),"⚠ Subcategoría no corresponde",IF(AND(OR(P1606="Transferencia",P1606="Pago tarjeta"),K1606=""),"⚠ Falta cuenta destino",IF(AND(K1606&lt;&gt;"",P1606&lt;&gt;"Transferencia",P1606&lt;&gt;"Pago tarjeta"),"⚠ Destino solo aplica a transferencias",IF(AND(K1606&lt;&gt;"",K1606=Q1606),"⚠ Origen igual a destino",IF(AND(K1606&lt;&gt;"",ISNA(MATCH(K1606,ctaNombre,0))),"⚠ Destino no registrado",IF(AND(P1606="Pago tarjeta",AE1606&lt;&gt;"Tarjeta de crédito"),"⚠ El destino debe ser tarjeta de crédito",IF(AND(P1606="Gasto",E1606="Depósitos y retiros"),"⚠ Usa tipo Transferencia",IF(AND(P1606="Resultado trading",AD1606&lt;&gt;"Cuenta de trading"),"⚠ Usa una cuenta de trading",IF(AND(G1606&lt;=0,P1606&lt;&gt;"Ajuste",P1606&lt;&gt;"Resultado trading"),"⚠ El monto debe ser positivo","✓")))))))))))))))</f>
        <v/>
      </c>
      <c r="P1606" s="52">
        <f>IF(OR(B1606="",G1606=""),"",IF(C1606="","Gasto",C1606))</f>
        <v/>
      </c>
      <c r="Q1606" s="52">
        <f>IF(P1606="","",IF(J1606&lt;&gt;"",J1606,CuentaPred&amp;""))</f>
        <v/>
      </c>
      <c r="R1606" s="52">
        <f>IF(P1606="","",IF(ISNUMBER(I1606),I1606,TasaUSD))</f>
        <v/>
      </c>
      <c r="S1606" s="53">
        <f>IF(P1606="","",IF(H1606="USD",G1606*R1606,G1606))</f>
        <v/>
      </c>
      <c r="T1606" s="53">
        <f>IF(P1606="","",IF(H1606="USD",G1606,IF(R1606&gt;0,G1606/R1606,0)))</f>
        <v/>
      </c>
      <c r="U1606" s="53">
        <f>IF(P1606="","",IF(P1606="Gasto",S1606,IF(P1606="Reembolso",-S1606,0)))</f>
        <v/>
      </c>
      <c r="V1606" s="53">
        <f>IF(P1606="","",IF(P1606="Ingreso",S1606,0))</f>
        <v/>
      </c>
      <c r="W1606" s="53">
        <f>IF(P1606="","",IF(P1606="Resultado trading",S1606,0))</f>
        <v/>
      </c>
      <c r="X1606" s="52">
        <f>IF(OR(P1606="Gasto",P1606="Reembolso"),IF(M1606&lt;&gt;"",M1606,IFERROR(INDEX(catClasif,MATCH(D1606&amp;"|"&amp;E1606,catClave,0))&amp;"","Variable")),"")</f>
        <v/>
      </c>
      <c r="Y1606" s="52">
        <f>IF(P1606="","",IFERROR(INDEX(catGrupo,MATCH(D1606&amp;"|"&amp;E1606,catClave,0))&amp;"",""))</f>
        <v/>
      </c>
      <c r="Z1606" s="52">
        <f>IF(P1606="","",WEEKDAY(B1606,2))</f>
        <v/>
      </c>
      <c r="AA1606" s="52">
        <f>IF(P1606="","",IF(AND(P1606="Gasto",X1606="Variable",D1606&lt;&gt;catTrading,S1606&gt;0,S1606&lt;=Umbral),1,0))</f>
        <v/>
      </c>
      <c r="AB1606" s="52">
        <f>IF(OR(P1606="",Q1606=""),"",IFERROR(IF(INDEX(ctaVinc,MATCH(Q1606,ctaNombre,0))&amp;""&lt;&gt;"",INDEX(ctaVinc,MATCH(Q1606,ctaNombre,0))&amp;"",Q1606),Q1606))</f>
        <v/>
      </c>
      <c r="AC1606" s="52">
        <f>IF(OR(K1606="",AND(P1606&lt;&gt;"Transferencia",P1606&lt;&gt;"Pago tarjeta")),"",IFERROR(IF(INDEX(ctaVinc,MATCH(K1606,ctaNombre,0))&amp;""&lt;&gt;"",INDEX(ctaVinc,MATCH(K1606,ctaNombre,0))&amp;"",K1606),K1606))</f>
        <v/>
      </c>
      <c r="AD1606" s="52">
        <f>IF(AB1606="","",IFERROR(INDEX(ctaTipo,MATCH(AB1606,ctaNombre,0))&amp;"",""))</f>
        <v/>
      </c>
      <c r="AE1606" s="52">
        <f>IF(AC1606="","",IFERROR(INDEX(ctaTipo,MATCH(AC1606,ctaNombre,0))&amp;"",""))</f>
        <v/>
      </c>
      <c r="AF1606" s="53">
        <f>IF(OR(P1606="",AB1606=""),"",IF(OR(P1606="Gasto",P1606="Transferencia",P1606="Pago tarjeta"),-1,1)*IF(IFERROR(INDEX(ctaMoneda,MATCH(AB1606,ctaNombre,0))&amp;"","DOP")="USD",T1606,S1606))</f>
        <v/>
      </c>
      <c r="AG1606" s="53">
        <f>IF(AC1606="","",IF(IFERROR(INDEX(ctaMoneda,MATCH(AC1606,ctaNombre,0))&amp;"","DOP")="USD",T1606,S1606))</f>
        <v/>
      </c>
      <c r="AH1606" s="53">
        <f>IF(P1606="","",IF(AND(AD1606&lt;&gt;"",COUNTIFS(tcTipo,AD1606,tcLiq,"Sí")&gt;0),IF(OR(P1606="Gasto",P1606="Transferencia",P1606="Pago tarjeta"),-1,1)*S1606,0)+IF(AND(AE1606&lt;&gt;"",COUNTIFS(tcTipo,AE1606,tcLiq,"Sí")&gt;0),S1606,0))</f>
        <v/>
      </c>
      <c r="AI1606" s="52">
        <f>IF(OR(L1606="",P1606=""),"",IF(COUNTIFS(L$6:L1606,L1606,P$6:P1606,"?*")=1,MAX(AI$5:AI1605)+1,""))</f>
        <v/>
      </c>
    </row>
    <row r="1607">
      <c r="B1607" s="47" t="n"/>
      <c r="C1607" s="48" t="n"/>
      <c r="D1607" s="48" t="n"/>
      <c r="E1607" s="48" t="n"/>
      <c r="F1607" s="48" t="n"/>
      <c r="G1607" s="49" t="n"/>
      <c r="H1607" s="48" t="n"/>
      <c r="I1607" s="50" t="n"/>
      <c r="J1607" s="48" t="n"/>
      <c r="K1607" s="48" t="n"/>
      <c r="L1607" s="48" t="n"/>
      <c r="M1607" s="48" t="n"/>
      <c r="N1607" s="48" t="n"/>
      <c r="O1607" s="51">
        <f>IF(AND(B1607="",G1607="",C1607="",D1607="",J1607=""),"",IF(B1607="","⚠ Falta fecha",IF(G1607="","⚠ Falta monto",IF(Q1607="","⚠ Falta cuenta",IF(ISNA(MATCH(Q1607,ctaNombre,0)),"⚠ Cuenta no registrada",IF(AND(OR(P1607="Gasto",P1607="Reembolso"),D1607=""),"⚠ Falta categoría",IF(AND(D1607&lt;&gt;"",E1607&lt;&gt;"",ISNA(MATCH(D1607&amp;"|"&amp;E1607,catClave,0))),"⚠ Subcategoría no corresponde",IF(AND(OR(P1607="Transferencia",P1607="Pago tarjeta"),K1607=""),"⚠ Falta cuenta destino",IF(AND(K1607&lt;&gt;"",P1607&lt;&gt;"Transferencia",P1607&lt;&gt;"Pago tarjeta"),"⚠ Destino solo aplica a transferencias",IF(AND(K1607&lt;&gt;"",K1607=Q1607),"⚠ Origen igual a destino",IF(AND(K1607&lt;&gt;"",ISNA(MATCH(K1607,ctaNombre,0))),"⚠ Destino no registrado",IF(AND(P1607="Pago tarjeta",AE1607&lt;&gt;"Tarjeta de crédito"),"⚠ El destino debe ser tarjeta de crédito",IF(AND(P1607="Gasto",E1607="Depósitos y retiros"),"⚠ Usa tipo Transferencia",IF(AND(P1607="Resultado trading",AD1607&lt;&gt;"Cuenta de trading"),"⚠ Usa una cuenta de trading",IF(AND(G1607&lt;=0,P1607&lt;&gt;"Ajuste",P1607&lt;&gt;"Resultado trading"),"⚠ El monto debe ser positivo","✓")))))))))))))))</f>
        <v/>
      </c>
      <c r="P1607" s="52">
        <f>IF(OR(B1607="",G1607=""),"",IF(C1607="","Gasto",C1607))</f>
        <v/>
      </c>
      <c r="Q1607" s="52">
        <f>IF(P1607="","",IF(J1607&lt;&gt;"",J1607,CuentaPred&amp;""))</f>
        <v/>
      </c>
      <c r="R1607" s="52">
        <f>IF(P1607="","",IF(ISNUMBER(I1607),I1607,TasaUSD))</f>
        <v/>
      </c>
      <c r="S1607" s="53">
        <f>IF(P1607="","",IF(H1607="USD",G1607*R1607,G1607))</f>
        <v/>
      </c>
      <c r="T1607" s="53">
        <f>IF(P1607="","",IF(H1607="USD",G1607,IF(R1607&gt;0,G1607/R1607,0)))</f>
        <v/>
      </c>
      <c r="U1607" s="53">
        <f>IF(P1607="","",IF(P1607="Gasto",S1607,IF(P1607="Reembolso",-S1607,0)))</f>
        <v/>
      </c>
      <c r="V1607" s="53">
        <f>IF(P1607="","",IF(P1607="Ingreso",S1607,0))</f>
        <v/>
      </c>
      <c r="W1607" s="53">
        <f>IF(P1607="","",IF(P1607="Resultado trading",S1607,0))</f>
        <v/>
      </c>
      <c r="X1607" s="52">
        <f>IF(OR(P1607="Gasto",P1607="Reembolso"),IF(M1607&lt;&gt;"",M1607,IFERROR(INDEX(catClasif,MATCH(D1607&amp;"|"&amp;E1607,catClave,0))&amp;"","Variable")),"")</f>
        <v/>
      </c>
      <c r="Y1607" s="52">
        <f>IF(P1607="","",IFERROR(INDEX(catGrupo,MATCH(D1607&amp;"|"&amp;E1607,catClave,0))&amp;"",""))</f>
        <v/>
      </c>
      <c r="Z1607" s="52">
        <f>IF(P1607="","",WEEKDAY(B1607,2))</f>
        <v/>
      </c>
      <c r="AA1607" s="52">
        <f>IF(P1607="","",IF(AND(P1607="Gasto",X1607="Variable",D1607&lt;&gt;catTrading,S1607&gt;0,S1607&lt;=Umbral),1,0))</f>
        <v/>
      </c>
      <c r="AB1607" s="52">
        <f>IF(OR(P1607="",Q1607=""),"",IFERROR(IF(INDEX(ctaVinc,MATCH(Q1607,ctaNombre,0))&amp;""&lt;&gt;"",INDEX(ctaVinc,MATCH(Q1607,ctaNombre,0))&amp;"",Q1607),Q1607))</f>
        <v/>
      </c>
      <c r="AC1607" s="52">
        <f>IF(OR(K1607="",AND(P1607&lt;&gt;"Transferencia",P1607&lt;&gt;"Pago tarjeta")),"",IFERROR(IF(INDEX(ctaVinc,MATCH(K1607,ctaNombre,0))&amp;""&lt;&gt;"",INDEX(ctaVinc,MATCH(K1607,ctaNombre,0))&amp;"",K1607),K1607))</f>
        <v/>
      </c>
      <c r="AD1607" s="52">
        <f>IF(AB1607="","",IFERROR(INDEX(ctaTipo,MATCH(AB1607,ctaNombre,0))&amp;"",""))</f>
        <v/>
      </c>
      <c r="AE1607" s="52">
        <f>IF(AC1607="","",IFERROR(INDEX(ctaTipo,MATCH(AC1607,ctaNombre,0))&amp;"",""))</f>
        <v/>
      </c>
      <c r="AF1607" s="53">
        <f>IF(OR(P1607="",AB1607=""),"",IF(OR(P1607="Gasto",P1607="Transferencia",P1607="Pago tarjeta"),-1,1)*IF(IFERROR(INDEX(ctaMoneda,MATCH(AB1607,ctaNombre,0))&amp;"","DOP")="USD",T1607,S1607))</f>
        <v/>
      </c>
      <c r="AG1607" s="53">
        <f>IF(AC1607="","",IF(IFERROR(INDEX(ctaMoneda,MATCH(AC1607,ctaNombre,0))&amp;"","DOP")="USD",T1607,S1607))</f>
        <v/>
      </c>
      <c r="AH1607" s="53">
        <f>IF(P1607="","",IF(AND(AD1607&lt;&gt;"",COUNTIFS(tcTipo,AD1607,tcLiq,"Sí")&gt;0),IF(OR(P1607="Gasto",P1607="Transferencia",P1607="Pago tarjeta"),-1,1)*S1607,0)+IF(AND(AE1607&lt;&gt;"",COUNTIFS(tcTipo,AE1607,tcLiq,"Sí")&gt;0),S1607,0))</f>
        <v/>
      </c>
      <c r="AI1607" s="52">
        <f>IF(OR(L1607="",P1607=""),"",IF(COUNTIFS(L$6:L1607,L1607,P$6:P1607,"?*")=1,MAX(AI$5:AI1606)+1,""))</f>
        <v/>
      </c>
    </row>
    <row r="1608">
      <c r="B1608" s="47" t="n"/>
      <c r="C1608" s="48" t="n"/>
      <c r="D1608" s="48" t="n"/>
      <c r="E1608" s="48" t="n"/>
      <c r="F1608" s="48" t="n"/>
      <c r="G1608" s="49" t="n"/>
      <c r="H1608" s="48" t="n"/>
      <c r="I1608" s="50" t="n"/>
      <c r="J1608" s="48" t="n"/>
      <c r="K1608" s="48" t="n"/>
      <c r="L1608" s="48" t="n"/>
      <c r="M1608" s="48" t="n"/>
      <c r="N1608" s="48" t="n"/>
      <c r="O1608" s="51">
        <f>IF(AND(B1608="",G1608="",C1608="",D1608="",J1608=""),"",IF(B1608="","⚠ Falta fecha",IF(G1608="","⚠ Falta monto",IF(Q1608="","⚠ Falta cuenta",IF(ISNA(MATCH(Q1608,ctaNombre,0)),"⚠ Cuenta no registrada",IF(AND(OR(P1608="Gasto",P1608="Reembolso"),D1608=""),"⚠ Falta categoría",IF(AND(D1608&lt;&gt;"",E1608&lt;&gt;"",ISNA(MATCH(D1608&amp;"|"&amp;E1608,catClave,0))),"⚠ Subcategoría no corresponde",IF(AND(OR(P1608="Transferencia",P1608="Pago tarjeta"),K1608=""),"⚠ Falta cuenta destino",IF(AND(K1608&lt;&gt;"",P1608&lt;&gt;"Transferencia",P1608&lt;&gt;"Pago tarjeta"),"⚠ Destino solo aplica a transferencias",IF(AND(K1608&lt;&gt;"",K1608=Q1608),"⚠ Origen igual a destino",IF(AND(K1608&lt;&gt;"",ISNA(MATCH(K1608,ctaNombre,0))),"⚠ Destino no registrado",IF(AND(P1608="Pago tarjeta",AE1608&lt;&gt;"Tarjeta de crédito"),"⚠ El destino debe ser tarjeta de crédito",IF(AND(P1608="Gasto",E1608="Depósitos y retiros"),"⚠ Usa tipo Transferencia",IF(AND(P1608="Resultado trading",AD1608&lt;&gt;"Cuenta de trading"),"⚠ Usa una cuenta de trading",IF(AND(G1608&lt;=0,P1608&lt;&gt;"Ajuste",P1608&lt;&gt;"Resultado trading"),"⚠ El monto debe ser positivo","✓")))))))))))))))</f>
        <v/>
      </c>
      <c r="P1608" s="52">
        <f>IF(OR(B1608="",G1608=""),"",IF(C1608="","Gasto",C1608))</f>
        <v/>
      </c>
      <c r="Q1608" s="52">
        <f>IF(P1608="","",IF(J1608&lt;&gt;"",J1608,CuentaPred&amp;""))</f>
        <v/>
      </c>
      <c r="R1608" s="52">
        <f>IF(P1608="","",IF(ISNUMBER(I1608),I1608,TasaUSD))</f>
        <v/>
      </c>
      <c r="S1608" s="53">
        <f>IF(P1608="","",IF(H1608="USD",G1608*R1608,G1608))</f>
        <v/>
      </c>
      <c r="T1608" s="53">
        <f>IF(P1608="","",IF(H1608="USD",G1608,IF(R1608&gt;0,G1608/R1608,0)))</f>
        <v/>
      </c>
      <c r="U1608" s="53">
        <f>IF(P1608="","",IF(P1608="Gasto",S1608,IF(P1608="Reembolso",-S1608,0)))</f>
        <v/>
      </c>
      <c r="V1608" s="53">
        <f>IF(P1608="","",IF(P1608="Ingreso",S1608,0))</f>
        <v/>
      </c>
      <c r="W1608" s="53">
        <f>IF(P1608="","",IF(P1608="Resultado trading",S1608,0))</f>
        <v/>
      </c>
      <c r="X1608" s="52">
        <f>IF(OR(P1608="Gasto",P1608="Reembolso"),IF(M1608&lt;&gt;"",M1608,IFERROR(INDEX(catClasif,MATCH(D1608&amp;"|"&amp;E1608,catClave,0))&amp;"","Variable")),"")</f>
        <v/>
      </c>
      <c r="Y1608" s="52">
        <f>IF(P1608="","",IFERROR(INDEX(catGrupo,MATCH(D1608&amp;"|"&amp;E1608,catClave,0))&amp;"",""))</f>
        <v/>
      </c>
      <c r="Z1608" s="52">
        <f>IF(P1608="","",WEEKDAY(B1608,2))</f>
        <v/>
      </c>
      <c r="AA1608" s="52">
        <f>IF(P1608="","",IF(AND(P1608="Gasto",X1608="Variable",D1608&lt;&gt;catTrading,S1608&gt;0,S1608&lt;=Umbral),1,0))</f>
        <v/>
      </c>
      <c r="AB1608" s="52">
        <f>IF(OR(P1608="",Q1608=""),"",IFERROR(IF(INDEX(ctaVinc,MATCH(Q1608,ctaNombre,0))&amp;""&lt;&gt;"",INDEX(ctaVinc,MATCH(Q1608,ctaNombre,0))&amp;"",Q1608),Q1608))</f>
        <v/>
      </c>
      <c r="AC1608" s="52">
        <f>IF(OR(K1608="",AND(P1608&lt;&gt;"Transferencia",P1608&lt;&gt;"Pago tarjeta")),"",IFERROR(IF(INDEX(ctaVinc,MATCH(K1608,ctaNombre,0))&amp;""&lt;&gt;"",INDEX(ctaVinc,MATCH(K1608,ctaNombre,0))&amp;"",K1608),K1608))</f>
        <v/>
      </c>
      <c r="AD1608" s="52">
        <f>IF(AB1608="","",IFERROR(INDEX(ctaTipo,MATCH(AB1608,ctaNombre,0))&amp;"",""))</f>
        <v/>
      </c>
      <c r="AE1608" s="52">
        <f>IF(AC1608="","",IFERROR(INDEX(ctaTipo,MATCH(AC1608,ctaNombre,0))&amp;"",""))</f>
        <v/>
      </c>
      <c r="AF1608" s="53">
        <f>IF(OR(P1608="",AB1608=""),"",IF(OR(P1608="Gasto",P1608="Transferencia",P1608="Pago tarjeta"),-1,1)*IF(IFERROR(INDEX(ctaMoneda,MATCH(AB1608,ctaNombre,0))&amp;"","DOP")="USD",T1608,S1608))</f>
        <v/>
      </c>
      <c r="AG1608" s="53">
        <f>IF(AC1608="","",IF(IFERROR(INDEX(ctaMoneda,MATCH(AC1608,ctaNombre,0))&amp;"","DOP")="USD",T1608,S1608))</f>
        <v/>
      </c>
      <c r="AH1608" s="53">
        <f>IF(P1608="","",IF(AND(AD1608&lt;&gt;"",COUNTIFS(tcTipo,AD1608,tcLiq,"Sí")&gt;0),IF(OR(P1608="Gasto",P1608="Transferencia",P1608="Pago tarjeta"),-1,1)*S1608,0)+IF(AND(AE1608&lt;&gt;"",COUNTIFS(tcTipo,AE1608,tcLiq,"Sí")&gt;0),S1608,0))</f>
        <v/>
      </c>
      <c r="AI1608" s="52">
        <f>IF(OR(L1608="",P1608=""),"",IF(COUNTIFS(L$6:L1608,L1608,P$6:P1608,"?*")=1,MAX(AI$5:AI1607)+1,""))</f>
        <v/>
      </c>
    </row>
    <row r="1609">
      <c r="B1609" s="47" t="n"/>
      <c r="C1609" s="48" t="n"/>
      <c r="D1609" s="48" t="n"/>
      <c r="E1609" s="48" t="n"/>
      <c r="F1609" s="48" t="n"/>
      <c r="G1609" s="49" t="n"/>
      <c r="H1609" s="48" t="n"/>
      <c r="I1609" s="50" t="n"/>
      <c r="J1609" s="48" t="n"/>
      <c r="K1609" s="48" t="n"/>
      <c r="L1609" s="48" t="n"/>
      <c r="M1609" s="48" t="n"/>
      <c r="N1609" s="48" t="n"/>
      <c r="O1609" s="51">
        <f>IF(AND(B1609="",G1609="",C1609="",D1609="",J1609=""),"",IF(B1609="","⚠ Falta fecha",IF(G1609="","⚠ Falta monto",IF(Q1609="","⚠ Falta cuenta",IF(ISNA(MATCH(Q1609,ctaNombre,0)),"⚠ Cuenta no registrada",IF(AND(OR(P1609="Gasto",P1609="Reembolso"),D1609=""),"⚠ Falta categoría",IF(AND(D1609&lt;&gt;"",E1609&lt;&gt;"",ISNA(MATCH(D1609&amp;"|"&amp;E1609,catClave,0))),"⚠ Subcategoría no corresponde",IF(AND(OR(P1609="Transferencia",P1609="Pago tarjeta"),K1609=""),"⚠ Falta cuenta destino",IF(AND(K1609&lt;&gt;"",P1609&lt;&gt;"Transferencia",P1609&lt;&gt;"Pago tarjeta"),"⚠ Destino solo aplica a transferencias",IF(AND(K1609&lt;&gt;"",K1609=Q1609),"⚠ Origen igual a destino",IF(AND(K1609&lt;&gt;"",ISNA(MATCH(K1609,ctaNombre,0))),"⚠ Destino no registrado",IF(AND(P1609="Pago tarjeta",AE1609&lt;&gt;"Tarjeta de crédito"),"⚠ El destino debe ser tarjeta de crédito",IF(AND(P1609="Gasto",E1609="Depósitos y retiros"),"⚠ Usa tipo Transferencia",IF(AND(P1609="Resultado trading",AD1609&lt;&gt;"Cuenta de trading"),"⚠ Usa una cuenta de trading",IF(AND(G1609&lt;=0,P1609&lt;&gt;"Ajuste",P1609&lt;&gt;"Resultado trading"),"⚠ El monto debe ser positivo","✓")))))))))))))))</f>
        <v/>
      </c>
      <c r="P1609" s="52">
        <f>IF(OR(B1609="",G1609=""),"",IF(C1609="","Gasto",C1609))</f>
        <v/>
      </c>
      <c r="Q1609" s="52">
        <f>IF(P1609="","",IF(J1609&lt;&gt;"",J1609,CuentaPred&amp;""))</f>
        <v/>
      </c>
      <c r="R1609" s="52">
        <f>IF(P1609="","",IF(ISNUMBER(I1609),I1609,TasaUSD))</f>
        <v/>
      </c>
      <c r="S1609" s="53">
        <f>IF(P1609="","",IF(H1609="USD",G1609*R1609,G1609))</f>
        <v/>
      </c>
      <c r="T1609" s="53">
        <f>IF(P1609="","",IF(H1609="USD",G1609,IF(R1609&gt;0,G1609/R1609,0)))</f>
        <v/>
      </c>
      <c r="U1609" s="53">
        <f>IF(P1609="","",IF(P1609="Gasto",S1609,IF(P1609="Reembolso",-S1609,0)))</f>
        <v/>
      </c>
      <c r="V1609" s="53">
        <f>IF(P1609="","",IF(P1609="Ingreso",S1609,0))</f>
        <v/>
      </c>
      <c r="W1609" s="53">
        <f>IF(P1609="","",IF(P1609="Resultado trading",S1609,0))</f>
        <v/>
      </c>
      <c r="X1609" s="52">
        <f>IF(OR(P1609="Gasto",P1609="Reembolso"),IF(M1609&lt;&gt;"",M1609,IFERROR(INDEX(catClasif,MATCH(D1609&amp;"|"&amp;E1609,catClave,0))&amp;"","Variable")),"")</f>
        <v/>
      </c>
      <c r="Y1609" s="52">
        <f>IF(P1609="","",IFERROR(INDEX(catGrupo,MATCH(D1609&amp;"|"&amp;E1609,catClave,0))&amp;"",""))</f>
        <v/>
      </c>
      <c r="Z1609" s="52">
        <f>IF(P1609="","",WEEKDAY(B1609,2))</f>
        <v/>
      </c>
      <c r="AA1609" s="52">
        <f>IF(P1609="","",IF(AND(P1609="Gasto",X1609="Variable",D1609&lt;&gt;catTrading,S1609&gt;0,S1609&lt;=Umbral),1,0))</f>
        <v/>
      </c>
      <c r="AB1609" s="52">
        <f>IF(OR(P1609="",Q1609=""),"",IFERROR(IF(INDEX(ctaVinc,MATCH(Q1609,ctaNombre,0))&amp;""&lt;&gt;"",INDEX(ctaVinc,MATCH(Q1609,ctaNombre,0))&amp;"",Q1609),Q1609))</f>
        <v/>
      </c>
      <c r="AC1609" s="52">
        <f>IF(OR(K1609="",AND(P1609&lt;&gt;"Transferencia",P1609&lt;&gt;"Pago tarjeta")),"",IFERROR(IF(INDEX(ctaVinc,MATCH(K1609,ctaNombre,0))&amp;""&lt;&gt;"",INDEX(ctaVinc,MATCH(K1609,ctaNombre,0))&amp;"",K1609),K1609))</f>
        <v/>
      </c>
      <c r="AD1609" s="52">
        <f>IF(AB1609="","",IFERROR(INDEX(ctaTipo,MATCH(AB1609,ctaNombre,0))&amp;"",""))</f>
        <v/>
      </c>
      <c r="AE1609" s="52">
        <f>IF(AC1609="","",IFERROR(INDEX(ctaTipo,MATCH(AC1609,ctaNombre,0))&amp;"",""))</f>
        <v/>
      </c>
      <c r="AF1609" s="53">
        <f>IF(OR(P1609="",AB1609=""),"",IF(OR(P1609="Gasto",P1609="Transferencia",P1609="Pago tarjeta"),-1,1)*IF(IFERROR(INDEX(ctaMoneda,MATCH(AB1609,ctaNombre,0))&amp;"","DOP")="USD",T1609,S1609))</f>
        <v/>
      </c>
      <c r="AG1609" s="53">
        <f>IF(AC1609="","",IF(IFERROR(INDEX(ctaMoneda,MATCH(AC1609,ctaNombre,0))&amp;"","DOP")="USD",T1609,S1609))</f>
        <v/>
      </c>
      <c r="AH1609" s="53">
        <f>IF(P1609="","",IF(AND(AD1609&lt;&gt;"",COUNTIFS(tcTipo,AD1609,tcLiq,"Sí")&gt;0),IF(OR(P1609="Gasto",P1609="Transferencia",P1609="Pago tarjeta"),-1,1)*S1609,0)+IF(AND(AE1609&lt;&gt;"",COUNTIFS(tcTipo,AE1609,tcLiq,"Sí")&gt;0),S1609,0))</f>
        <v/>
      </c>
      <c r="AI1609" s="52">
        <f>IF(OR(L1609="",P1609=""),"",IF(COUNTIFS(L$6:L1609,L1609,P$6:P1609,"?*")=1,MAX(AI$5:AI1608)+1,""))</f>
        <v/>
      </c>
    </row>
    <row r="1610">
      <c r="B1610" s="47" t="n"/>
      <c r="C1610" s="48" t="n"/>
      <c r="D1610" s="48" t="n"/>
      <c r="E1610" s="48" t="n"/>
      <c r="F1610" s="48" t="n"/>
      <c r="G1610" s="49" t="n"/>
      <c r="H1610" s="48" t="n"/>
      <c r="I1610" s="50" t="n"/>
      <c r="J1610" s="48" t="n"/>
      <c r="K1610" s="48" t="n"/>
      <c r="L1610" s="48" t="n"/>
      <c r="M1610" s="48" t="n"/>
      <c r="N1610" s="48" t="n"/>
      <c r="O1610" s="51">
        <f>IF(AND(B1610="",G1610="",C1610="",D1610="",J1610=""),"",IF(B1610="","⚠ Falta fecha",IF(G1610="","⚠ Falta monto",IF(Q1610="","⚠ Falta cuenta",IF(ISNA(MATCH(Q1610,ctaNombre,0)),"⚠ Cuenta no registrada",IF(AND(OR(P1610="Gasto",P1610="Reembolso"),D1610=""),"⚠ Falta categoría",IF(AND(D1610&lt;&gt;"",E1610&lt;&gt;"",ISNA(MATCH(D1610&amp;"|"&amp;E1610,catClave,0))),"⚠ Subcategoría no corresponde",IF(AND(OR(P1610="Transferencia",P1610="Pago tarjeta"),K1610=""),"⚠ Falta cuenta destino",IF(AND(K1610&lt;&gt;"",P1610&lt;&gt;"Transferencia",P1610&lt;&gt;"Pago tarjeta"),"⚠ Destino solo aplica a transferencias",IF(AND(K1610&lt;&gt;"",K1610=Q1610),"⚠ Origen igual a destino",IF(AND(K1610&lt;&gt;"",ISNA(MATCH(K1610,ctaNombre,0))),"⚠ Destino no registrado",IF(AND(P1610="Pago tarjeta",AE1610&lt;&gt;"Tarjeta de crédito"),"⚠ El destino debe ser tarjeta de crédito",IF(AND(P1610="Gasto",E1610="Depósitos y retiros"),"⚠ Usa tipo Transferencia",IF(AND(P1610="Resultado trading",AD1610&lt;&gt;"Cuenta de trading"),"⚠ Usa una cuenta de trading",IF(AND(G1610&lt;=0,P1610&lt;&gt;"Ajuste",P1610&lt;&gt;"Resultado trading"),"⚠ El monto debe ser positivo","✓")))))))))))))))</f>
        <v/>
      </c>
      <c r="P1610" s="52">
        <f>IF(OR(B1610="",G1610=""),"",IF(C1610="","Gasto",C1610))</f>
        <v/>
      </c>
      <c r="Q1610" s="52">
        <f>IF(P1610="","",IF(J1610&lt;&gt;"",J1610,CuentaPred&amp;""))</f>
        <v/>
      </c>
      <c r="R1610" s="52">
        <f>IF(P1610="","",IF(ISNUMBER(I1610),I1610,TasaUSD))</f>
        <v/>
      </c>
      <c r="S1610" s="53">
        <f>IF(P1610="","",IF(H1610="USD",G1610*R1610,G1610))</f>
        <v/>
      </c>
      <c r="T1610" s="53">
        <f>IF(P1610="","",IF(H1610="USD",G1610,IF(R1610&gt;0,G1610/R1610,0)))</f>
        <v/>
      </c>
      <c r="U1610" s="53">
        <f>IF(P1610="","",IF(P1610="Gasto",S1610,IF(P1610="Reembolso",-S1610,0)))</f>
        <v/>
      </c>
      <c r="V1610" s="53">
        <f>IF(P1610="","",IF(P1610="Ingreso",S1610,0))</f>
        <v/>
      </c>
      <c r="W1610" s="53">
        <f>IF(P1610="","",IF(P1610="Resultado trading",S1610,0))</f>
        <v/>
      </c>
      <c r="X1610" s="52">
        <f>IF(OR(P1610="Gasto",P1610="Reembolso"),IF(M1610&lt;&gt;"",M1610,IFERROR(INDEX(catClasif,MATCH(D1610&amp;"|"&amp;E1610,catClave,0))&amp;"","Variable")),"")</f>
        <v/>
      </c>
      <c r="Y1610" s="52">
        <f>IF(P1610="","",IFERROR(INDEX(catGrupo,MATCH(D1610&amp;"|"&amp;E1610,catClave,0))&amp;"",""))</f>
        <v/>
      </c>
      <c r="Z1610" s="52">
        <f>IF(P1610="","",WEEKDAY(B1610,2))</f>
        <v/>
      </c>
      <c r="AA1610" s="52">
        <f>IF(P1610="","",IF(AND(P1610="Gasto",X1610="Variable",D1610&lt;&gt;catTrading,S1610&gt;0,S1610&lt;=Umbral),1,0))</f>
        <v/>
      </c>
      <c r="AB1610" s="52">
        <f>IF(OR(P1610="",Q1610=""),"",IFERROR(IF(INDEX(ctaVinc,MATCH(Q1610,ctaNombre,0))&amp;""&lt;&gt;"",INDEX(ctaVinc,MATCH(Q1610,ctaNombre,0))&amp;"",Q1610),Q1610))</f>
        <v/>
      </c>
      <c r="AC1610" s="52">
        <f>IF(OR(K1610="",AND(P1610&lt;&gt;"Transferencia",P1610&lt;&gt;"Pago tarjeta")),"",IFERROR(IF(INDEX(ctaVinc,MATCH(K1610,ctaNombre,0))&amp;""&lt;&gt;"",INDEX(ctaVinc,MATCH(K1610,ctaNombre,0))&amp;"",K1610),K1610))</f>
        <v/>
      </c>
      <c r="AD1610" s="52">
        <f>IF(AB1610="","",IFERROR(INDEX(ctaTipo,MATCH(AB1610,ctaNombre,0))&amp;"",""))</f>
        <v/>
      </c>
      <c r="AE1610" s="52">
        <f>IF(AC1610="","",IFERROR(INDEX(ctaTipo,MATCH(AC1610,ctaNombre,0))&amp;"",""))</f>
        <v/>
      </c>
      <c r="AF1610" s="53">
        <f>IF(OR(P1610="",AB1610=""),"",IF(OR(P1610="Gasto",P1610="Transferencia",P1610="Pago tarjeta"),-1,1)*IF(IFERROR(INDEX(ctaMoneda,MATCH(AB1610,ctaNombre,0))&amp;"","DOP")="USD",T1610,S1610))</f>
        <v/>
      </c>
      <c r="AG1610" s="53">
        <f>IF(AC1610="","",IF(IFERROR(INDEX(ctaMoneda,MATCH(AC1610,ctaNombre,0))&amp;"","DOP")="USD",T1610,S1610))</f>
        <v/>
      </c>
      <c r="AH1610" s="53">
        <f>IF(P1610="","",IF(AND(AD1610&lt;&gt;"",COUNTIFS(tcTipo,AD1610,tcLiq,"Sí")&gt;0),IF(OR(P1610="Gasto",P1610="Transferencia",P1610="Pago tarjeta"),-1,1)*S1610,0)+IF(AND(AE1610&lt;&gt;"",COUNTIFS(tcTipo,AE1610,tcLiq,"Sí")&gt;0),S1610,0))</f>
        <v/>
      </c>
      <c r="AI1610" s="52">
        <f>IF(OR(L1610="",P1610=""),"",IF(COUNTIFS(L$6:L1610,L1610,P$6:P1610,"?*")=1,MAX(AI$5:AI1609)+1,""))</f>
        <v/>
      </c>
    </row>
    <row r="1611">
      <c r="B1611" s="47" t="n"/>
      <c r="C1611" s="48" t="n"/>
      <c r="D1611" s="48" t="n"/>
      <c r="E1611" s="48" t="n"/>
      <c r="F1611" s="48" t="n"/>
      <c r="G1611" s="49" t="n"/>
      <c r="H1611" s="48" t="n"/>
      <c r="I1611" s="50" t="n"/>
      <c r="J1611" s="48" t="n"/>
      <c r="K1611" s="48" t="n"/>
      <c r="L1611" s="48" t="n"/>
      <c r="M1611" s="48" t="n"/>
      <c r="N1611" s="48" t="n"/>
      <c r="O1611" s="51">
        <f>IF(AND(B1611="",G1611="",C1611="",D1611="",J1611=""),"",IF(B1611="","⚠ Falta fecha",IF(G1611="","⚠ Falta monto",IF(Q1611="","⚠ Falta cuenta",IF(ISNA(MATCH(Q1611,ctaNombre,0)),"⚠ Cuenta no registrada",IF(AND(OR(P1611="Gasto",P1611="Reembolso"),D1611=""),"⚠ Falta categoría",IF(AND(D1611&lt;&gt;"",E1611&lt;&gt;"",ISNA(MATCH(D1611&amp;"|"&amp;E1611,catClave,0))),"⚠ Subcategoría no corresponde",IF(AND(OR(P1611="Transferencia",P1611="Pago tarjeta"),K1611=""),"⚠ Falta cuenta destino",IF(AND(K1611&lt;&gt;"",P1611&lt;&gt;"Transferencia",P1611&lt;&gt;"Pago tarjeta"),"⚠ Destino solo aplica a transferencias",IF(AND(K1611&lt;&gt;"",K1611=Q1611),"⚠ Origen igual a destino",IF(AND(K1611&lt;&gt;"",ISNA(MATCH(K1611,ctaNombre,0))),"⚠ Destino no registrado",IF(AND(P1611="Pago tarjeta",AE1611&lt;&gt;"Tarjeta de crédito"),"⚠ El destino debe ser tarjeta de crédito",IF(AND(P1611="Gasto",E1611="Depósitos y retiros"),"⚠ Usa tipo Transferencia",IF(AND(P1611="Resultado trading",AD1611&lt;&gt;"Cuenta de trading"),"⚠ Usa una cuenta de trading",IF(AND(G1611&lt;=0,P1611&lt;&gt;"Ajuste",P1611&lt;&gt;"Resultado trading"),"⚠ El monto debe ser positivo","✓")))))))))))))))</f>
        <v/>
      </c>
      <c r="P1611" s="52">
        <f>IF(OR(B1611="",G1611=""),"",IF(C1611="","Gasto",C1611))</f>
        <v/>
      </c>
      <c r="Q1611" s="52">
        <f>IF(P1611="","",IF(J1611&lt;&gt;"",J1611,CuentaPred&amp;""))</f>
        <v/>
      </c>
      <c r="R1611" s="52">
        <f>IF(P1611="","",IF(ISNUMBER(I1611),I1611,TasaUSD))</f>
        <v/>
      </c>
      <c r="S1611" s="53">
        <f>IF(P1611="","",IF(H1611="USD",G1611*R1611,G1611))</f>
        <v/>
      </c>
      <c r="T1611" s="53">
        <f>IF(P1611="","",IF(H1611="USD",G1611,IF(R1611&gt;0,G1611/R1611,0)))</f>
        <v/>
      </c>
      <c r="U1611" s="53">
        <f>IF(P1611="","",IF(P1611="Gasto",S1611,IF(P1611="Reembolso",-S1611,0)))</f>
        <v/>
      </c>
      <c r="V1611" s="53">
        <f>IF(P1611="","",IF(P1611="Ingreso",S1611,0))</f>
        <v/>
      </c>
      <c r="W1611" s="53">
        <f>IF(P1611="","",IF(P1611="Resultado trading",S1611,0))</f>
        <v/>
      </c>
      <c r="X1611" s="52">
        <f>IF(OR(P1611="Gasto",P1611="Reembolso"),IF(M1611&lt;&gt;"",M1611,IFERROR(INDEX(catClasif,MATCH(D1611&amp;"|"&amp;E1611,catClave,0))&amp;"","Variable")),"")</f>
        <v/>
      </c>
      <c r="Y1611" s="52">
        <f>IF(P1611="","",IFERROR(INDEX(catGrupo,MATCH(D1611&amp;"|"&amp;E1611,catClave,0))&amp;"",""))</f>
        <v/>
      </c>
      <c r="Z1611" s="52">
        <f>IF(P1611="","",WEEKDAY(B1611,2))</f>
        <v/>
      </c>
      <c r="AA1611" s="52">
        <f>IF(P1611="","",IF(AND(P1611="Gasto",X1611="Variable",D1611&lt;&gt;catTrading,S1611&gt;0,S1611&lt;=Umbral),1,0))</f>
        <v/>
      </c>
      <c r="AB1611" s="52">
        <f>IF(OR(P1611="",Q1611=""),"",IFERROR(IF(INDEX(ctaVinc,MATCH(Q1611,ctaNombre,0))&amp;""&lt;&gt;"",INDEX(ctaVinc,MATCH(Q1611,ctaNombre,0))&amp;"",Q1611),Q1611))</f>
        <v/>
      </c>
      <c r="AC1611" s="52">
        <f>IF(OR(K1611="",AND(P1611&lt;&gt;"Transferencia",P1611&lt;&gt;"Pago tarjeta")),"",IFERROR(IF(INDEX(ctaVinc,MATCH(K1611,ctaNombre,0))&amp;""&lt;&gt;"",INDEX(ctaVinc,MATCH(K1611,ctaNombre,0))&amp;"",K1611),K1611))</f>
        <v/>
      </c>
      <c r="AD1611" s="52">
        <f>IF(AB1611="","",IFERROR(INDEX(ctaTipo,MATCH(AB1611,ctaNombre,0))&amp;"",""))</f>
        <v/>
      </c>
      <c r="AE1611" s="52">
        <f>IF(AC1611="","",IFERROR(INDEX(ctaTipo,MATCH(AC1611,ctaNombre,0))&amp;"",""))</f>
        <v/>
      </c>
      <c r="AF1611" s="53">
        <f>IF(OR(P1611="",AB1611=""),"",IF(OR(P1611="Gasto",P1611="Transferencia",P1611="Pago tarjeta"),-1,1)*IF(IFERROR(INDEX(ctaMoneda,MATCH(AB1611,ctaNombre,0))&amp;"","DOP")="USD",T1611,S1611))</f>
        <v/>
      </c>
      <c r="AG1611" s="53">
        <f>IF(AC1611="","",IF(IFERROR(INDEX(ctaMoneda,MATCH(AC1611,ctaNombre,0))&amp;"","DOP")="USD",T1611,S1611))</f>
        <v/>
      </c>
      <c r="AH1611" s="53">
        <f>IF(P1611="","",IF(AND(AD1611&lt;&gt;"",COUNTIFS(tcTipo,AD1611,tcLiq,"Sí")&gt;0),IF(OR(P1611="Gasto",P1611="Transferencia",P1611="Pago tarjeta"),-1,1)*S1611,0)+IF(AND(AE1611&lt;&gt;"",COUNTIFS(tcTipo,AE1611,tcLiq,"Sí")&gt;0),S1611,0))</f>
        <v/>
      </c>
      <c r="AI1611" s="52">
        <f>IF(OR(L1611="",P1611=""),"",IF(COUNTIFS(L$6:L1611,L1611,P$6:P1611,"?*")=1,MAX(AI$5:AI1610)+1,""))</f>
        <v/>
      </c>
    </row>
    <row r="1612">
      <c r="B1612" s="47" t="n"/>
      <c r="C1612" s="48" t="n"/>
      <c r="D1612" s="48" t="n"/>
      <c r="E1612" s="48" t="n"/>
      <c r="F1612" s="48" t="n"/>
      <c r="G1612" s="49" t="n"/>
      <c r="H1612" s="48" t="n"/>
      <c r="I1612" s="50" t="n"/>
      <c r="J1612" s="48" t="n"/>
      <c r="K1612" s="48" t="n"/>
      <c r="L1612" s="48" t="n"/>
      <c r="M1612" s="48" t="n"/>
      <c r="N1612" s="48" t="n"/>
      <c r="O1612" s="51">
        <f>IF(AND(B1612="",G1612="",C1612="",D1612="",J1612=""),"",IF(B1612="","⚠ Falta fecha",IF(G1612="","⚠ Falta monto",IF(Q1612="","⚠ Falta cuenta",IF(ISNA(MATCH(Q1612,ctaNombre,0)),"⚠ Cuenta no registrada",IF(AND(OR(P1612="Gasto",P1612="Reembolso"),D1612=""),"⚠ Falta categoría",IF(AND(D1612&lt;&gt;"",E1612&lt;&gt;"",ISNA(MATCH(D1612&amp;"|"&amp;E1612,catClave,0))),"⚠ Subcategoría no corresponde",IF(AND(OR(P1612="Transferencia",P1612="Pago tarjeta"),K1612=""),"⚠ Falta cuenta destino",IF(AND(K1612&lt;&gt;"",P1612&lt;&gt;"Transferencia",P1612&lt;&gt;"Pago tarjeta"),"⚠ Destino solo aplica a transferencias",IF(AND(K1612&lt;&gt;"",K1612=Q1612),"⚠ Origen igual a destino",IF(AND(K1612&lt;&gt;"",ISNA(MATCH(K1612,ctaNombre,0))),"⚠ Destino no registrado",IF(AND(P1612="Pago tarjeta",AE1612&lt;&gt;"Tarjeta de crédito"),"⚠ El destino debe ser tarjeta de crédito",IF(AND(P1612="Gasto",E1612="Depósitos y retiros"),"⚠ Usa tipo Transferencia",IF(AND(P1612="Resultado trading",AD1612&lt;&gt;"Cuenta de trading"),"⚠ Usa una cuenta de trading",IF(AND(G1612&lt;=0,P1612&lt;&gt;"Ajuste",P1612&lt;&gt;"Resultado trading"),"⚠ El monto debe ser positivo","✓")))))))))))))))</f>
        <v/>
      </c>
      <c r="P1612" s="52">
        <f>IF(OR(B1612="",G1612=""),"",IF(C1612="","Gasto",C1612))</f>
        <v/>
      </c>
      <c r="Q1612" s="52">
        <f>IF(P1612="","",IF(J1612&lt;&gt;"",J1612,CuentaPred&amp;""))</f>
        <v/>
      </c>
      <c r="R1612" s="52">
        <f>IF(P1612="","",IF(ISNUMBER(I1612),I1612,TasaUSD))</f>
        <v/>
      </c>
      <c r="S1612" s="53">
        <f>IF(P1612="","",IF(H1612="USD",G1612*R1612,G1612))</f>
        <v/>
      </c>
      <c r="T1612" s="53">
        <f>IF(P1612="","",IF(H1612="USD",G1612,IF(R1612&gt;0,G1612/R1612,0)))</f>
        <v/>
      </c>
      <c r="U1612" s="53">
        <f>IF(P1612="","",IF(P1612="Gasto",S1612,IF(P1612="Reembolso",-S1612,0)))</f>
        <v/>
      </c>
      <c r="V1612" s="53">
        <f>IF(P1612="","",IF(P1612="Ingreso",S1612,0))</f>
        <v/>
      </c>
      <c r="W1612" s="53">
        <f>IF(P1612="","",IF(P1612="Resultado trading",S1612,0))</f>
        <v/>
      </c>
      <c r="X1612" s="52">
        <f>IF(OR(P1612="Gasto",P1612="Reembolso"),IF(M1612&lt;&gt;"",M1612,IFERROR(INDEX(catClasif,MATCH(D1612&amp;"|"&amp;E1612,catClave,0))&amp;"","Variable")),"")</f>
        <v/>
      </c>
      <c r="Y1612" s="52">
        <f>IF(P1612="","",IFERROR(INDEX(catGrupo,MATCH(D1612&amp;"|"&amp;E1612,catClave,0))&amp;"",""))</f>
        <v/>
      </c>
      <c r="Z1612" s="52">
        <f>IF(P1612="","",WEEKDAY(B1612,2))</f>
        <v/>
      </c>
      <c r="AA1612" s="52">
        <f>IF(P1612="","",IF(AND(P1612="Gasto",X1612="Variable",D1612&lt;&gt;catTrading,S1612&gt;0,S1612&lt;=Umbral),1,0))</f>
        <v/>
      </c>
      <c r="AB1612" s="52">
        <f>IF(OR(P1612="",Q1612=""),"",IFERROR(IF(INDEX(ctaVinc,MATCH(Q1612,ctaNombre,0))&amp;""&lt;&gt;"",INDEX(ctaVinc,MATCH(Q1612,ctaNombre,0))&amp;"",Q1612),Q1612))</f>
        <v/>
      </c>
      <c r="AC1612" s="52">
        <f>IF(OR(K1612="",AND(P1612&lt;&gt;"Transferencia",P1612&lt;&gt;"Pago tarjeta")),"",IFERROR(IF(INDEX(ctaVinc,MATCH(K1612,ctaNombre,0))&amp;""&lt;&gt;"",INDEX(ctaVinc,MATCH(K1612,ctaNombre,0))&amp;"",K1612),K1612))</f>
        <v/>
      </c>
      <c r="AD1612" s="52">
        <f>IF(AB1612="","",IFERROR(INDEX(ctaTipo,MATCH(AB1612,ctaNombre,0))&amp;"",""))</f>
        <v/>
      </c>
      <c r="AE1612" s="52">
        <f>IF(AC1612="","",IFERROR(INDEX(ctaTipo,MATCH(AC1612,ctaNombre,0))&amp;"",""))</f>
        <v/>
      </c>
      <c r="AF1612" s="53">
        <f>IF(OR(P1612="",AB1612=""),"",IF(OR(P1612="Gasto",P1612="Transferencia",P1612="Pago tarjeta"),-1,1)*IF(IFERROR(INDEX(ctaMoneda,MATCH(AB1612,ctaNombre,0))&amp;"","DOP")="USD",T1612,S1612))</f>
        <v/>
      </c>
      <c r="AG1612" s="53">
        <f>IF(AC1612="","",IF(IFERROR(INDEX(ctaMoneda,MATCH(AC1612,ctaNombre,0))&amp;"","DOP")="USD",T1612,S1612))</f>
        <v/>
      </c>
      <c r="AH1612" s="53">
        <f>IF(P1612="","",IF(AND(AD1612&lt;&gt;"",COUNTIFS(tcTipo,AD1612,tcLiq,"Sí")&gt;0),IF(OR(P1612="Gasto",P1612="Transferencia",P1612="Pago tarjeta"),-1,1)*S1612,0)+IF(AND(AE1612&lt;&gt;"",COUNTIFS(tcTipo,AE1612,tcLiq,"Sí")&gt;0),S1612,0))</f>
        <v/>
      </c>
      <c r="AI1612" s="52">
        <f>IF(OR(L1612="",P1612=""),"",IF(COUNTIFS(L$6:L1612,L1612,P$6:P1612,"?*")=1,MAX(AI$5:AI1611)+1,""))</f>
        <v/>
      </c>
    </row>
    <row r="1613">
      <c r="B1613" s="47" t="n"/>
      <c r="C1613" s="48" t="n"/>
      <c r="D1613" s="48" t="n"/>
      <c r="E1613" s="48" t="n"/>
      <c r="F1613" s="48" t="n"/>
      <c r="G1613" s="49" t="n"/>
      <c r="H1613" s="48" t="n"/>
      <c r="I1613" s="50" t="n"/>
      <c r="J1613" s="48" t="n"/>
      <c r="K1613" s="48" t="n"/>
      <c r="L1613" s="48" t="n"/>
      <c r="M1613" s="48" t="n"/>
      <c r="N1613" s="48" t="n"/>
      <c r="O1613" s="51">
        <f>IF(AND(B1613="",G1613="",C1613="",D1613="",J1613=""),"",IF(B1613="","⚠ Falta fecha",IF(G1613="","⚠ Falta monto",IF(Q1613="","⚠ Falta cuenta",IF(ISNA(MATCH(Q1613,ctaNombre,0)),"⚠ Cuenta no registrada",IF(AND(OR(P1613="Gasto",P1613="Reembolso"),D1613=""),"⚠ Falta categoría",IF(AND(D1613&lt;&gt;"",E1613&lt;&gt;"",ISNA(MATCH(D1613&amp;"|"&amp;E1613,catClave,0))),"⚠ Subcategoría no corresponde",IF(AND(OR(P1613="Transferencia",P1613="Pago tarjeta"),K1613=""),"⚠ Falta cuenta destino",IF(AND(K1613&lt;&gt;"",P1613&lt;&gt;"Transferencia",P1613&lt;&gt;"Pago tarjeta"),"⚠ Destino solo aplica a transferencias",IF(AND(K1613&lt;&gt;"",K1613=Q1613),"⚠ Origen igual a destino",IF(AND(K1613&lt;&gt;"",ISNA(MATCH(K1613,ctaNombre,0))),"⚠ Destino no registrado",IF(AND(P1613="Pago tarjeta",AE1613&lt;&gt;"Tarjeta de crédito"),"⚠ El destino debe ser tarjeta de crédito",IF(AND(P1613="Gasto",E1613="Depósitos y retiros"),"⚠ Usa tipo Transferencia",IF(AND(P1613="Resultado trading",AD1613&lt;&gt;"Cuenta de trading"),"⚠ Usa una cuenta de trading",IF(AND(G1613&lt;=0,P1613&lt;&gt;"Ajuste",P1613&lt;&gt;"Resultado trading"),"⚠ El monto debe ser positivo","✓")))))))))))))))</f>
        <v/>
      </c>
      <c r="P1613" s="52">
        <f>IF(OR(B1613="",G1613=""),"",IF(C1613="","Gasto",C1613))</f>
        <v/>
      </c>
      <c r="Q1613" s="52">
        <f>IF(P1613="","",IF(J1613&lt;&gt;"",J1613,CuentaPred&amp;""))</f>
        <v/>
      </c>
      <c r="R1613" s="52">
        <f>IF(P1613="","",IF(ISNUMBER(I1613),I1613,TasaUSD))</f>
        <v/>
      </c>
      <c r="S1613" s="53">
        <f>IF(P1613="","",IF(H1613="USD",G1613*R1613,G1613))</f>
        <v/>
      </c>
      <c r="T1613" s="53">
        <f>IF(P1613="","",IF(H1613="USD",G1613,IF(R1613&gt;0,G1613/R1613,0)))</f>
        <v/>
      </c>
      <c r="U1613" s="53">
        <f>IF(P1613="","",IF(P1613="Gasto",S1613,IF(P1613="Reembolso",-S1613,0)))</f>
        <v/>
      </c>
      <c r="V1613" s="53">
        <f>IF(P1613="","",IF(P1613="Ingreso",S1613,0))</f>
        <v/>
      </c>
      <c r="W1613" s="53">
        <f>IF(P1613="","",IF(P1613="Resultado trading",S1613,0))</f>
        <v/>
      </c>
      <c r="X1613" s="52">
        <f>IF(OR(P1613="Gasto",P1613="Reembolso"),IF(M1613&lt;&gt;"",M1613,IFERROR(INDEX(catClasif,MATCH(D1613&amp;"|"&amp;E1613,catClave,0))&amp;"","Variable")),"")</f>
        <v/>
      </c>
      <c r="Y1613" s="52">
        <f>IF(P1613="","",IFERROR(INDEX(catGrupo,MATCH(D1613&amp;"|"&amp;E1613,catClave,0))&amp;"",""))</f>
        <v/>
      </c>
      <c r="Z1613" s="52">
        <f>IF(P1613="","",WEEKDAY(B1613,2))</f>
        <v/>
      </c>
      <c r="AA1613" s="52">
        <f>IF(P1613="","",IF(AND(P1613="Gasto",X1613="Variable",D1613&lt;&gt;catTrading,S1613&gt;0,S1613&lt;=Umbral),1,0))</f>
        <v/>
      </c>
      <c r="AB1613" s="52">
        <f>IF(OR(P1613="",Q1613=""),"",IFERROR(IF(INDEX(ctaVinc,MATCH(Q1613,ctaNombre,0))&amp;""&lt;&gt;"",INDEX(ctaVinc,MATCH(Q1613,ctaNombre,0))&amp;"",Q1613),Q1613))</f>
        <v/>
      </c>
      <c r="AC1613" s="52">
        <f>IF(OR(K1613="",AND(P1613&lt;&gt;"Transferencia",P1613&lt;&gt;"Pago tarjeta")),"",IFERROR(IF(INDEX(ctaVinc,MATCH(K1613,ctaNombre,0))&amp;""&lt;&gt;"",INDEX(ctaVinc,MATCH(K1613,ctaNombre,0))&amp;"",K1613),K1613))</f>
        <v/>
      </c>
      <c r="AD1613" s="52">
        <f>IF(AB1613="","",IFERROR(INDEX(ctaTipo,MATCH(AB1613,ctaNombre,0))&amp;"",""))</f>
        <v/>
      </c>
      <c r="AE1613" s="52">
        <f>IF(AC1613="","",IFERROR(INDEX(ctaTipo,MATCH(AC1613,ctaNombre,0))&amp;"",""))</f>
        <v/>
      </c>
      <c r="AF1613" s="53">
        <f>IF(OR(P1613="",AB1613=""),"",IF(OR(P1613="Gasto",P1613="Transferencia",P1613="Pago tarjeta"),-1,1)*IF(IFERROR(INDEX(ctaMoneda,MATCH(AB1613,ctaNombre,0))&amp;"","DOP")="USD",T1613,S1613))</f>
        <v/>
      </c>
      <c r="AG1613" s="53">
        <f>IF(AC1613="","",IF(IFERROR(INDEX(ctaMoneda,MATCH(AC1613,ctaNombre,0))&amp;"","DOP")="USD",T1613,S1613))</f>
        <v/>
      </c>
      <c r="AH1613" s="53">
        <f>IF(P1613="","",IF(AND(AD1613&lt;&gt;"",COUNTIFS(tcTipo,AD1613,tcLiq,"Sí")&gt;0),IF(OR(P1613="Gasto",P1613="Transferencia",P1613="Pago tarjeta"),-1,1)*S1613,0)+IF(AND(AE1613&lt;&gt;"",COUNTIFS(tcTipo,AE1613,tcLiq,"Sí")&gt;0),S1613,0))</f>
        <v/>
      </c>
      <c r="AI1613" s="52">
        <f>IF(OR(L1613="",P1613=""),"",IF(COUNTIFS(L$6:L1613,L1613,P$6:P1613,"?*")=1,MAX(AI$5:AI1612)+1,""))</f>
        <v/>
      </c>
    </row>
    <row r="1614">
      <c r="B1614" s="47" t="n"/>
      <c r="C1614" s="48" t="n"/>
      <c r="D1614" s="48" t="n"/>
      <c r="E1614" s="48" t="n"/>
      <c r="F1614" s="48" t="n"/>
      <c r="G1614" s="49" t="n"/>
      <c r="H1614" s="48" t="n"/>
      <c r="I1614" s="50" t="n"/>
      <c r="J1614" s="48" t="n"/>
      <c r="K1614" s="48" t="n"/>
      <c r="L1614" s="48" t="n"/>
      <c r="M1614" s="48" t="n"/>
      <c r="N1614" s="48" t="n"/>
      <c r="O1614" s="51">
        <f>IF(AND(B1614="",G1614="",C1614="",D1614="",J1614=""),"",IF(B1614="","⚠ Falta fecha",IF(G1614="","⚠ Falta monto",IF(Q1614="","⚠ Falta cuenta",IF(ISNA(MATCH(Q1614,ctaNombre,0)),"⚠ Cuenta no registrada",IF(AND(OR(P1614="Gasto",P1614="Reembolso"),D1614=""),"⚠ Falta categoría",IF(AND(D1614&lt;&gt;"",E1614&lt;&gt;"",ISNA(MATCH(D1614&amp;"|"&amp;E1614,catClave,0))),"⚠ Subcategoría no corresponde",IF(AND(OR(P1614="Transferencia",P1614="Pago tarjeta"),K1614=""),"⚠ Falta cuenta destino",IF(AND(K1614&lt;&gt;"",P1614&lt;&gt;"Transferencia",P1614&lt;&gt;"Pago tarjeta"),"⚠ Destino solo aplica a transferencias",IF(AND(K1614&lt;&gt;"",K1614=Q1614),"⚠ Origen igual a destino",IF(AND(K1614&lt;&gt;"",ISNA(MATCH(K1614,ctaNombre,0))),"⚠ Destino no registrado",IF(AND(P1614="Pago tarjeta",AE1614&lt;&gt;"Tarjeta de crédito"),"⚠ El destino debe ser tarjeta de crédito",IF(AND(P1614="Gasto",E1614="Depósitos y retiros"),"⚠ Usa tipo Transferencia",IF(AND(P1614="Resultado trading",AD1614&lt;&gt;"Cuenta de trading"),"⚠ Usa una cuenta de trading",IF(AND(G1614&lt;=0,P1614&lt;&gt;"Ajuste",P1614&lt;&gt;"Resultado trading"),"⚠ El monto debe ser positivo","✓")))))))))))))))</f>
        <v/>
      </c>
      <c r="P1614" s="52">
        <f>IF(OR(B1614="",G1614=""),"",IF(C1614="","Gasto",C1614))</f>
        <v/>
      </c>
      <c r="Q1614" s="52">
        <f>IF(P1614="","",IF(J1614&lt;&gt;"",J1614,CuentaPred&amp;""))</f>
        <v/>
      </c>
      <c r="R1614" s="52">
        <f>IF(P1614="","",IF(ISNUMBER(I1614),I1614,TasaUSD))</f>
        <v/>
      </c>
      <c r="S1614" s="53">
        <f>IF(P1614="","",IF(H1614="USD",G1614*R1614,G1614))</f>
        <v/>
      </c>
      <c r="T1614" s="53">
        <f>IF(P1614="","",IF(H1614="USD",G1614,IF(R1614&gt;0,G1614/R1614,0)))</f>
        <v/>
      </c>
      <c r="U1614" s="53">
        <f>IF(P1614="","",IF(P1614="Gasto",S1614,IF(P1614="Reembolso",-S1614,0)))</f>
        <v/>
      </c>
      <c r="V1614" s="53">
        <f>IF(P1614="","",IF(P1614="Ingreso",S1614,0))</f>
        <v/>
      </c>
      <c r="W1614" s="53">
        <f>IF(P1614="","",IF(P1614="Resultado trading",S1614,0))</f>
        <v/>
      </c>
      <c r="X1614" s="52">
        <f>IF(OR(P1614="Gasto",P1614="Reembolso"),IF(M1614&lt;&gt;"",M1614,IFERROR(INDEX(catClasif,MATCH(D1614&amp;"|"&amp;E1614,catClave,0))&amp;"","Variable")),"")</f>
        <v/>
      </c>
      <c r="Y1614" s="52">
        <f>IF(P1614="","",IFERROR(INDEX(catGrupo,MATCH(D1614&amp;"|"&amp;E1614,catClave,0))&amp;"",""))</f>
        <v/>
      </c>
      <c r="Z1614" s="52">
        <f>IF(P1614="","",WEEKDAY(B1614,2))</f>
        <v/>
      </c>
      <c r="AA1614" s="52">
        <f>IF(P1614="","",IF(AND(P1614="Gasto",X1614="Variable",D1614&lt;&gt;catTrading,S1614&gt;0,S1614&lt;=Umbral),1,0))</f>
        <v/>
      </c>
      <c r="AB1614" s="52">
        <f>IF(OR(P1614="",Q1614=""),"",IFERROR(IF(INDEX(ctaVinc,MATCH(Q1614,ctaNombre,0))&amp;""&lt;&gt;"",INDEX(ctaVinc,MATCH(Q1614,ctaNombre,0))&amp;"",Q1614),Q1614))</f>
        <v/>
      </c>
      <c r="AC1614" s="52">
        <f>IF(OR(K1614="",AND(P1614&lt;&gt;"Transferencia",P1614&lt;&gt;"Pago tarjeta")),"",IFERROR(IF(INDEX(ctaVinc,MATCH(K1614,ctaNombre,0))&amp;""&lt;&gt;"",INDEX(ctaVinc,MATCH(K1614,ctaNombre,0))&amp;"",K1614),K1614))</f>
        <v/>
      </c>
      <c r="AD1614" s="52">
        <f>IF(AB1614="","",IFERROR(INDEX(ctaTipo,MATCH(AB1614,ctaNombre,0))&amp;"",""))</f>
        <v/>
      </c>
      <c r="AE1614" s="52">
        <f>IF(AC1614="","",IFERROR(INDEX(ctaTipo,MATCH(AC1614,ctaNombre,0))&amp;"",""))</f>
        <v/>
      </c>
      <c r="AF1614" s="53">
        <f>IF(OR(P1614="",AB1614=""),"",IF(OR(P1614="Gasto",P1614="Transferencia",P1614="Pago tarjeta"),-1,1)*IF(IFERROR(INDEX(ctaMoneda,MATCH(AB1614,ctaNombre,0))&amp;"","DOP")="USD",T1614,S1614))</f>
        <v/>
      </c>
      <c r="AG1614" s="53">
        <f>IF(AC1614="","",IF(IFERROR(INDEX(ctaMoneda,MATCH(AC1614,ctaNombre,0))&amp;"","DOP")="USD",T1614,S1614))</f>
        <v/>
      </c>
      <c r="AH1614" s="53">
        <f>IF(P1614="","",IF(AND(AD1614&lt;&gt;"",COUNTIFS(tcTipo,AD1614,tcLiq,"Sí")&gt;0),IF(OR(P1614="Gasto",P1614="Transferencia",P1614="Pago tarjeta"),-1,1)*S1614,0)+IF(AND(AE1614&lt;&gt;"",COUNTIFS(tcTipo,AE1614,tcLiq,"Sí")&gt;0),S1614,0))</f>
        <v/>
      </c>
      <c r="AI1614" s="52">
        <f>IF(OR(L1614="",P1614=""),"",IF(COUNTIFS(L$6:L1614,L1614,P$6:P1614,"?*")=1,MAX(AI$5:AI1613)+1,""))</f>
        <v/>
      </c>
    </row>
    <row r="1615">
      <c r="B1615" s="47" t="n"/>
      <c r="C1615" s="48" t="n"/>
      <c r="D1615" s="48" t="n"/>
      <c r="E1615" s="48" t="n"/>
      <c r="F1615" s="48" t="n"/>
      <c r="G1615" s="49" t="n"/>
      <c r="H1615" s="48" t="n"/>
      <c r="I1615" s="50" t="n"/>
      <c r="J1615" s="48" t="n"/>
      <c r="K1615" s="48" t="n"/>
      <c r="L1615" s="48" t="n"/>
      <c r="M1615" s="48" t="n"/>
      <c r="N1615" s="48" t="n"/>
      <c r="O1615" s="51">
        <f>IF(AND(B1615="",G1615="",C1615="",D1615="",J1615=""),"",IF(B1615="","⚠ Falta fecha",IF(G1615="","⚠ Falta monto",IF(Q1615="","⚠ Falta cuenta",IF(ISNA(MATCH(Q1615,ctaNombre,0)),"⚠ Cuenta no registrada",IF(AND(OR(P1615="Gasto",P1615="Reembolso"),D1615=""),"⚠ Falta categoría",IF(AND(D1615&lt;&gt;"",E1615&lt;&gt;"",ISNA(MATCH(D1615&amp;"|"&amp;E1615,catClave,0))),"⚠ Subcategoría no corresponde",IF(AND(OR(P1615="Transferencia",P1615="Pago tarjeta"),K1615=""),"⚠ Falta cuenta destino",IF(AND(K1615&lt;&gt;"",P1615&lt;&gt;"Transferencia",P1615&lt;&gt;"Pago tarjeta"),"⚠ Destino solo aplica a transferencias",IF(AND(K1615&lt;&gt;"",K1615=Q1615),"⚠ Origen igual a destino",IF(AND(K1615&lt;&gt;"",ISNA(MATCH(K1615,ctaNombre,0))),"⚠ Destino no registrado",IF(AND(P1615="Pago tarjeta",AE1615&lt;&gt;"Tarjeta de crédito"),"⚠ El destino debe ser tarjeta de crédito",IF(AND(P1615="Gasto",E1615="Depósitos y retiros"),"⚠ Usa tipo Transferencia",IF(AND(P1615="Resultado trading",AD1615&lt;&gt;"Cuenta de trading"),"⚠ Usa una cuenta de trading",IF(AND(G1615&lt;=0,P1615&lt;&gt;"Ajuste",P1615&lt;&gt;"Resultado trading"),"⚠ El monto debe ser positivo","✓")))))))))))))))</f>
        <v/>
      </c>
      <c r="P1615" s="52">
        <f>IF(OR(B1615="",G1615=""),"",IF(C1615="","Gasto",C1615))</f>
        <v/>
      </c>
      <c r="Q1615" s="52">
        <f>IF(P1615="","",IF(J1615&lt;&gt;"",J1615,CuentaPred&amp;""))</f>
        <v/>
      </c>
      <c r="R1615" s="52">
        <f>IF(P1615="","",IF(ISNUMBER(I1615),I1615,TasaUSD))</f>
        <v/>
      </c>
      <c r="S1615" s="53">
        <f>IF(P1615="","",IF(H1615="USD",G1615*R1615,G1615))</f>
        <v/>
      </c>
      <c r="T1615" s="53">
        <f>IF(P1615="","",IF(H1615="USD",G1615,IF(R1615&gt;0,G1615/R1615,0)))</f>
        <v/>
      </c>
      <c r="U1615" s="53">
        <f>IF(P1615="","",IF(P1615="Gasto",S1615,IF(P1615="Reembolso",-S1615,0)))</f>
        <v/>
      </c>
      <c r="V1615" s="53">
        <f>IF(P1615="","",IF(P1615="Ingreso",S1615,0))</f>
        <v/>
      </c>
      <c r="W1615" s="53">
        <f>IF(P1615="","",IF(P1615="Resultado trading",S1615,0))</f>
        <v/>
      </c>
      <c r="X1615" s="52">
        <f>IF(OR(P1615="Gasto",P1615="Reembolso"),IF(M1615&lt;&gt;"",M1615,IFERROR(INDEX(catClasif,MATCH(D1615&amp;"|"&amp;E1615,catClave,0))&amp;"","Variable")),"")</f>
        <v/>
      </c>
      <c r="Y1615" s="52">
        <f>IF(P1615="","",IFERROR(INDEX(catGrupo,MATCH(D1615&amp;"|"&amp;E1615,catClave,0))&amp;"",""))</f>
        <v/>
      </c>
      <c r="Z1615" s="52">
        <f>IF(P1615="","",WEEKDAY(B1615,2))</f>
        <v/>
      </c>
      <c r="AA1615" s="52">
        <f>IF(P1615="","",IF(AND(P1615="Gasto",X1615="Variable",D1615&lt;&gt;catTrading,S1615&gt;0,S1615&lt;=Umbral),1,0))</f>
        <v/>
      </c>
      <c r="AB1615" s="52">
        <f>IF(OR(P1615="",Q1615=""),"",IFERROR(IF(INDEX(ctaVinc,MATCH(Q1615,ctaNombre,0))&amp;""&lt;&gt;"",INDEX(ctaVinc,MATCH(Q1615,ctaNombre,0))&amp;"",Q1615),Q1615))</f>
        <v/>
      </c>
      <c r="AC1615" s="52">
        <f>IF(OR(K1615="",AND(P1615&lt;&gt;"Transferencia",P1615&lt;&gt;"Pago tarjeta")),"",IFERROR(IF(INDEX(ctaVinc,MATCH(K1615,ctaNombre,0))&amp;""&lt;&gt;"",INDEX(ctaVinc,MATCH(K1615,ctaNombre,0))&amp;"",K1615),K1615))</f>
        <v/>
      </c>
      <c r="AD1615" s="52">
        <f>IF(AB1615="","",IFERROR(INDEX(ctaTipo,MATCH(AB1615,ctaNombre,0))&amp;"",""))</f>
        <v/>
      </c>
      <c r="AE1615" s="52">
        <f>IF(AC1615="","",IFERROR(INDEX(ctaTipo,MATCH(AC1615,ctaNombre,0))&amp;"",""))</f>
        <v/>
      </c>
      <c r="AF1615" s="53">
        <f>IF(OR(P1615="",AB1615=""),"",IF(OR(P1615="Gasto",P1615="Transferencia",P1615="Pago tarjeta"),-1,1)*IF(IFERROR(INDEX(ctaMoneda,MATCH(AB1615,ctaNombre,0))&amp;"","DOP")="USD",T1615,S1615))</f>
        <v/>
      </c>
      <c r="AG1615" s="53">
        <f>IF(AC1615="","",IF(IFERROR(INDEX(ctaMoneda,MATCH(AC1615,ctaNombre,0))&amp;"","DOP")="USD",T1615,S1615))</f>
        <v/>
      </c>
      <c r="AH1615" s="53">
        <f>IF(P1615="","",IF(AND(AD1615&lt;&gt;"",COUNTIFS(tcTipo,AD1615,tcLiq,"Sí")&gt;0),IF(OR(P1615="Gasto",P1615="Transferencia",P1615="Pago tarjeta"),-1,1)*S1615,0)+IF(AND(AE1615&lt;&gt;"",COUNTIFS(tcTipo,AE1615,tcLiq,"Sí")&gt;0),S1615,0))</f>
        <v/>
      </c>
      <c r="AI1615" s="52">
        <f>IF(OR(L1615="",P1615=""),"",IF(COUNTIFS(L$6:L1615,L1615,P$6:P1615,"?*")=1,MAX(AI$5:AI1614)+1,""))</f>
        <v/>
      </c>
    </row>
    <row r="1616">
      <c r="B1616" s="47" t="n"/>
      <c r="C1616" s="48" t="n"/>
      <c r="D1616" s="48" t="n"/>
      <c r="E1616" s="48" t="n"/>
      <c r="F1616" s="48" t="n"/>
      <c r="G1616" s="49" t="n"/>
      <c r="H1616" s="48" t="n"/>
      <c r="I1616" s="50" t="n"/>
      <c r="J1616" s="48" t="n"/>
      <c r="K1616" s="48" t="n"/>
      <c r="L1616" s="48" t="n"/>
      <c r="M1616" s="48" t="n"/>
      <c r="N1616" s="48" t="n"/>
      <c r="O1616" s="51">
        <f>IF(AND(B1616="",G1616="",C1616="",D1616="",J1616=""),"",IF(B1616="","⚠ Falta fecha",IF(G1616="","⚠ Falta monto",IF(Q1616="","⚠ Falta cuenta",IF(ISNA(MATCH(Q1616,ctaNombre,0)),"⚠ Cuenta no registrada",IF(AND(OR(P1616="Gasto",P1616="Reembolso"),D1616=""),"⚠ Falta categoría",IF(AND(D1616&lt;&gt;"",E1616&lt;&gt;"",ISNA(MATCH(D1616&amp;"|"&amp;E1616,catClave,0))),"⚠ Subcategoría no corresponde",IF(AND(OR(P1616="Transferencia",P1616="Pago tarjeta"),K1616=""),"⚠ Falta cuenta destino",IF(AND(K1616&lt;&gt;"",P1616&lt;&gt;"Transferencia",P1616&lt;&gt;"Pago tarjeta"),"⚠ Destino solo aplica a transferencias",IF(AND(K1616&lt;&gt;"",K1616=Q1616),"⚠ Origen igual a destino",IF(AND(K1616&lt;&gt;"",ISNA(MATCH(K1616,ctaNombre,0))),"⚠ Destino no registrado",IF(AND(P1616="Pago tarjeta",AE1616&lt;&gt;"Tarjeta de crédito"),"⚠ El destino debe ser tarjeta de crédito",IF(AND(P1616="Gasto",E1616="Depósitos y retiros"),"⚠ Usa tipo Transferencia",IF(AND(P1616="Resultado trading",AD1616&lt;&gt;"Cuenta de trading"),"⚠ Usa una cuenta de trading",IF(AND(G1616&lt;=0,P1616&lt;&gt;"Ajuste",P1616&lt;&gt;"Resultado trading"),"⚠ El monto debe ser positivo","✓")))))))))))))))</f>
        <v/>
      </c>
      <c r="P1616" s="52">
        <f>IF(OR(B1616="",G1616=""),"",IF(C1616="","Gasto",C1616))</f>
        <v/>
      </c>
      <c r="Q1616" s="52">
        <f>IF(P1616="","",IF(J1616&lt;&gt;"",J1616,CuentaPred&amp;""))</f>
        <v/>
      </c>
      <c r="R1616" s="52">
        <f>IF(P1616="","",IF(ISNUMBER(I1616),I1616,TasaUSD))</f>
        <v/>
      </c>
      <c r="S1616" s="53">
        <f>IF(P1616="","",IF(H1616="USD",G1616*R1616,G1616))</f>
        <v/>
      </c>
      <c r="T1616" s="53">
        <f>IF(P1616="","",IF(H1616="USD",G1616,IF(R1616&gt;0,G1616/R1616,0)))</f>
        <v/>
      </c>
      <c r="U1616" s="53">
        <f>IF(P1616="","",IF(P1616="Gasto",S1616,IF(P1616="Reembolso",-S1616,0)))</f>
        <v/>
      </c>
      <c r="V1616" s="53">
        <f>IF(P1616="","",IF(P1616="Ingreso",S1616,0))</f>
        <v/>
      </c>
      <c r="W1616" s="53">
        <f>IF(P1616="","",IF(P1616="Resultado trading",S1616,0))</f>
        <v/>
      </c>
      <c r="X1616" s="52">
        <f>IF(OR(P1616="Gasto",P1616="Reembolso"),IF(M1616&lt;&gt;"",M1616,IFERROR(INDEX(catClasif,MATCH(D1616&amp;"|"&amp;E1616,catClave,0))&amp;"","Variable")),"")</f>
        <v/>
      </c>
      <c r="Y1616" s="52">
        <f>IF(P1616="","",IFERROR(INDEX(catGrupo,MATCH(D1616&amp;"|"&amp;E1616,catClave,0))&amp;"",""))</f>
        <v/>
      </c>
      <c r="Z1616" s="52">
        <f>IF(P1616="","",WEEKDAY(B1616,2))</f>
        <v/>
      </c>
      <c r="AA1616" s="52">
        <f>IF(P1616="","",IF(AND(P1616="Gasto",X1616="Variable",D1616&lt;&gt;catTrading,S1616&gt;0,S1616&lt;=Umbral),1,0))</f>
        <v/>
      </c>
      <c r="AB1616" s="52">
        <f>IF(OR(P1616="",Q1616=""),"",IFERROR(IF(INDEX(ctaVinc,MATCH(Q1616,ctaNombre,0))&amp;""&lt;&gt;"",INDEX(ctaVinc,MATCH(Q1616,ctaNombre,0))&amp;"",Q1616),Q1616))</f>
        <v/>
      </c>
      <c r="AC1616" s="52">
        <f>IF(OR(K1616="",AND(P1616&lt;&gt;"Transferencia",P1616&lt;&gt;"Pago tarjeta")),"",IFERROR(IF(INDEX(ctaVinc,MATCH(K1616,ctaNombre,0))&amp;""&lt;&gt;"",INDEX(ctaVinc,MATCH(K1616,ctaNombre,0))&amp;"",K1616),K1616))</f>
        <v/>
      </c>
      <c r="AD1616" s="52">
        <f>IF(AB1616="","",IFERROR(INDEX(ctaTipo,MATCH(AB1616,ctaNombre,0))&amp;"",""))</f>
        <v/>
      </c>
      <c r="AE1616" s="52">
        <f>IF(AC1616="","",IFERROR(INDEX(ctaTipo,MATCH(AC1616,ctaNombre,0))&amp;"",""))</f>
        <v/>
      </c>
      <c r="AF1616" s="53">
        <f>IF(OR(P1616="",AB1616=""),"",IF(OR(P1616="Gasto",P1616="Transferencia",P1616="Pago tarjeta"),-1,1)*IF(IFERROR(INDEX(ctaMoneda,MATCH(AB1616,ctaNombre,0))&amp;"","DOP")="USD",T1616,S1616))</f>
        <v/>
      </c>
      <c r="AG1616" s="53">
        <f>IF(AC1616="","",IF(IFERROR(INDEX(ctaMoneda,MATCH(AC1616,ctaNombre,0))&amp;"","DOP")="USD",T1616,S1616))</f>
        <v/>
      </c>
      <c r="AH1616" s="53">
        <f>IF(P1616="","",IF(AND(AD1616&lt;&gt;"",COUNTIFS(tcTipo,AD1616,tcLiq,"Sí")&gt;0),IF(OR(P1616="Gasto",P1616="Transferencia",P1616="Pago tarjeta"),-1,1)*S1616,0)+IF(AND(AE1616&lt;&gt;"",COUNTIFS(tcTipo,AE1616,tcLiq,"Sí")&gt;0),S1616,0))</f>
        <v/>
      </c>
      <c r="AI1616" s="52">
        <f>IF(OR(L1616="",P1616=""),"",IF(COUNTIFS(L$6:L1616,L1616,P$6:P1616,"?*")=1,MAX(AI$5:AI1615)+1,""))</f>
        <v/>
      </c>
    </row>
    <row r="1617">
      <c r="B1617" s="47" t="n"/>
      <c r="C1617" s="48" t="n"/>
      <c r="D1617" s="48" t="n"/>
      <c r="E1617" s="48" t="n"/>
      <c r="F1617" s="48" t="n"/>
      <c r="G1617" s="49" t="n"/>
      <c r="H1617" s="48" t="n"/>
      <c r="I1617" s="50" t="n"/>
      <c r="J1617" s="48" t="n"/>
      <c r="K1617" s="48" t="n"/>
      <c r="L1617" s="48" t="n"/>
      <c r="M1617" s="48" t="n"/>
      <c r="N1617" s="48" t="n"/>
      <c r="O1617" s="51">
        <f>IF(AND(B1617="",G1617="",C1617="",D1617="",J1617=""),"",IF(B1617="","⚠ Falta fecha",IF(G1617="","⚠ Falta monto",IF(Q1617="","⚠ Falta cuenta",IF(ISNA(MATCH(Q1617,ctaNombre,0)),"⚠ Cuenta no registrada",IF(AND(OR(P1617="Gasto",P1617="Reembolso"),D1617=""),"⚠ Falta categoría",IF(AND(D1617&lt;&gt;"",E1617&lt;&gt;"",ISNA(MATCH(D1617&amp;"|"&amp;E1617,catClave,0))),"⚠ Subcategoría no corresponde",IF(AND(OR(P1617="Transferencia",P1617="Pago tarjeta"),K1617=""),"⚠ Falta cuenta destino",IF(AND(K1617&lt;&gt;"",P1617&lt;&gt;"Transferencia",P1617&lt;&gt;"Pago tarjeta"),"⚠ Destino solo aplica a transferencias",IF(AND(K1617&lt;&gt;"",K1617=Q1617),"⚠ Origen igual a destino",IF(AND(K1617&lt;&gt;"",ISNA(MATCH(K1617,ctaNombre,0))),"⚠ Destino no registrado",IF(AND(P1617="Pago tarjeta",AE1617&lt;&gt;"Tarjeta de crédito"),"⚠ El destino debe ser tarjeta de crédito",IF(AND(P1617="Gasto",E1617="Depósitos y retiros"),"⚠ Usa tipo Transferencia",IF(AND(P1617="Resultado trading",AD1617&lt;&gt;"Cuenta de trading"),"⚠ Usa una cuenta de trading",IF(AND(G1617&lt;=0,P1617&lt;&gt;"Ajuste",P1617&lt;&gt;"Resultado trading"),"⚠ El monto debe ser positivo","✓")))))))))))))))</f>
        <v/>
      </c>
      <c r="P1617" s="52">
        <f>IF(OR(B1617="",G1617=""),"",IF(C1617="","Gasto",C1617))</f>
        <v/>
      </c>
      <c r="Q1617" s="52">
        <f>IF(P1617="","",IF(J1617&lt;&gt;"",J1617,CuentaPred&amp;""))</f>
        <v/>
      </c>
      <c r="R1617" s="52">
        <f>IF(P1617="","",IF(ISNUMBER(I1617),I1617,TasaUSD))</f>
        <v/>
      </c>
      <c r="S1617" s="53">
        <f>IF(P1617="","",IF(H1617="USD",G1617*R1617,G1617))</f>
        <v/>
      </c>
      <c r="T1617" s="53">
        <f>IF(P1617="","",IF(H1617="USD",G1617,IF(R1617&gt;0,G1617/R1617,0)))</f>
        <v/>
      </c>
      <c r="U1617" s="53">
        <f>IF(P1617="","",IF(P1617="Gasto",S1617,IF(P1617="Reembolso",-S1617,0)))</f>
        <v/>
      </c>
      <c r="V1617" s="53">
        <f>IF(P1617="","",IF(P1617="Ingreso",S1617,0))</f>
        <v/>
      </c>
      <c r="W1617" s="53">
        <f>IF(P1617="","",IF(P1617="Resultado trading",S1617,0))</f>
        <v/>
      </c>
      <c r="X1617" s="52">
        <f>IF(OR(P1617="Gasto",P1617="Reembolso"),IF(M1617&lt;&gt;"",M1617,IFERROR(INDEX(catClasif,MATCH(D1617&amp;"|"&amp;E1617,catClave,0))&amp;"","Variable")),"")</f>
        <v/>
      </c>
      <c r="Y1617" s="52">
        <f>IF(P1617="","",IFERROR(INDEX(catGrupo,MATCH(D1617&amp;"|"&amp;E1617,catClave,0))&amp;"",""))</f>
        <v/>
      </c>
      <c r="Z1617" s="52">
        <f>IF(P1617="","",WEEKDAY(B1617,2))</f>
        <v/>
      </c>
      <c r="AA1617" s="52">
        <f>IF(P1617="","",IF(AND(P1617="Gasto",X1617="Variable",D1617&lt;&gt;catTrading,S1617&gt;0,S1617&lt;=Umbral),1,0))</f>
        <v/>
      </c>
      <c r="AB1617" s="52">
        <f>IF(OR(P1617="",Q1617=""),"",IFERROR(IF(INDEX(ctaVinc,MATCH(Q1617,ctaNombre,0))&amp;""&lt;&gt;"",INDEX(ctaVinc,MATCH(Q1617,ctaNombre,0))&amp;"",Q1617),Q1617))</f>
        <v/>
      </c>
      <c r="AC1617" s="52">
        <f>IF(OR(K1617="",AND(P1617&lt;&gt;"Transferencia",P1617&lt;&gt;"Pago tarjeta")),"",IFERROR(IF(INDEX(ctaVinc,MATCH(K1617,ctaNombre,0))&amp;""&lt;&gt;"",INDEX(ctaVinc,MATCH(K1617,ctaNombre,0))&amp;"",K1617),K1617))</f>
        <v/>
      </c>
      <c r="AD1617" s="52">
        <f>IF(AB1617="","",IFERROR(INDEX(ctaTipo,MATCH(AB1617,ctaNombre,0))&amp;"",""))</f>
        <v/>
      </c>
      <c r="AE1617" s="52">
        <f>IF(AC1617="","",IFERROR(INDEX(ctaTipo,MATCH(AC1617,ctaNombre,0))&amp;"",""))</f>
        <v/>
      </c>
      <c r="AF1617" s="53">
        <f>IF(OR(P1617="",AB1617=""),"",IF(OR(P1617="Gasto",P1617="Transferencia",P1617="Pago tarjeta"),-1,1)*IF(IFERROR(INDEX(ctaMoneda,MATCH(AB1617,ctaNombre,0))&amp;"","DOP")="USD",T1617,S1617))</f>
        <v/>
      </c>
      <c r="AG1617" s="53">
        <f>IF(AC1617="","",IF(IFERROR(INDEX(ctaMoneda,MATCH(AC1617,ctaNombre,0))&amp;"","DOP")="USD",T1617,S1617))</f>
        <v/>
      </c>
      <c r="AH1617" s="53">
        <f>IF(P1617="","",IF(AND(AD1617&lt;&gt;"",COUNTIFS(tcTipo,AD1617,tcLiq,"Sí")&gt;0),IF(OR(P1617="Gasto",P1617="Transferencia",P1617="Pago tarjeta"),-1,1)*S1617,0)+IF(AND(AE1617&lt;&gt;"",COUNTIFS(tcTipo,AE1617,tcLiq,"Sí")&gt;0),S1617,0))</f>
        <v/>
      </c>
      <c r="AI1617" s="52">
        <f>IF(OR(L1617="",P1617=""),"",IF(COUNTIFS(L$6:L1617,L1617,P$6:P1617,"?*")=1,MAX(AI$5:AI1616)+1,""))</f>
        <v/>
      </c>
    </row>
    <row r="1618">
      <c r="B1618" s="47" t="n"/>
      <c r="C1618" s="48" t="n"/>
      <c r="D1618" s="48" t="n"/>
      <c r="E1618" s="48" t="n"/>
      <c r="F1618" s="48" t="n"/>
      <c r="G1618" s="49" t="n"/>
      <c r="H1618" s="48" t="n"/>
      <c r="I1618" s="50" t="n"/>
      <c r="J1618" s="48" t="n"/>
      <c r="K1618" s="48" t="n"/>
      <c r="L1618" s="48" t="n"/>
      <c r="M1618" s="48" t="n"/>
      <c r="N1618" s="48" t="n"/>
      <c r="O1618" s="51">
        <f>IF(AND(B1618="",G1618="",C1618="",D1618="",J1618=""),"",IF(B1618="","⚠ Falta fecha",IF(G1618="","⚠ Falta monto",IF(Q1618="","⚠ Falta cuenta",IF(ISNA(MATCH(Q1618,ctaNombre,0)),"⚠ Cuenta no registrada",IF(AND(OR(P1618="Gasto",P1618="Reembolso"),D1618=""),"⚠ Falta categoría",IF(AND(D1618&lt;&gt;"",E1618&lt;&gt;"",ISNA(MATCH(D1618&amp;"|"&amp;E1618,catClave,0))),"⚠ Subcategoría no corresponde",IF(AND(OR(P1618="Transferencia",P1618="Pago tarjeta"),K1618=""),"⚠ Falta cuenta destino",IF(AND(K1618&lt;&gt;"",P1618&lt;&gt;"Transferencia",P1618&lt;&gt;"Pago tarjeta"),"⚠ Destino solo aplica a transferencias",IF(AND(K1618&lt;&gt;"",K1618=Q1618),"⚠ Origen igual a destino",IF(AND(K1618&lt;&gt;"",ISNA(MATCH(K1618,ctaNombre,0))),"⚠ Destino no registrado",IF(AND(P1618="Pago tarjeta",AE1618&lt;&gt;"Tarjeta de crédito"),"⚠ El destino debe ser tarjeta de crédito",IF(AND(P1618="Gasto",E1618="Depósitos y retiros"),"⚠ Usa tipo Transferencia",IF(AND(P1618="Resultado trading",AD1618&lt;&gt;"Cuenta de trading"),"⚠ Usa una cuenta de trading",IF(AND(G1618&lt;=0,P1618&lt;&gt;"Ajuste",P1618&lt;&gt;"Resultado trading"),"⚠ El monto debe ser positivo","✓")))))))))))))))</f>
        <v/>
      </c>
      <c r="P1618" s="52">
        <f>IF(OR(B1618="",G1618=""),"",IF(C1618="","Gasto",C1618))</f>
        <v/>
      </c>
      <c r="Q1618" s="52">
        <f>IF(P1618="","",IF(J1618&lt;&gt;"",J1618,CuentaPred&amp;""))</f>
        <v/>
      </c>
      <c r="R1618" s="52">
        <f>IF(P1618="","",IF(ISNUMBER(I1618),I1618,TasaUSD))</f>
        <v/>
      </c>
      <c r="S1618" s="53">
        <f>IF(P1618="","",IF(H1618="USD",G1618*R1618,G1618))</f>
        <v/>
      </c>
      <c r="T1618" s="53">
        <f>IF(P1618="","",IF(H1618="USD",G1618,IF(R1618&gt;0,G1618/R1618,0)))</f>
        <v/>
      </c>
      <c r="U1618" s="53">
        <f>IF(P1618="","",IF(P1618="Gasto",S1618,IF(P1618="Reembolso",-S1618,0)))</f>
        <v/>
      </c>
      <c r="V1618" s="53">
        <f>IF(P1618="","",IF(P1618="Ingreso",S1618,0))</f>
        <v/>
      </c>
      <c r="W1618" s="53">
        <f>IF(P1618="","",IF(P1618="Resultado trading",S1618,0))</f>
        <v/>
      </c>
      <c r="X1618" s="52">
        <f>IF(OR(P1618="Gasto",P1618="Reembolso"),IF(M1618&lt;&gt;"",M1618,IFERROR(INDEX(catClasif,MATCH(D1618&amp;"|"&amp;E1618,catClave,0))&amp;"","Variable")),"")</f>
        <v/>
      </c>
      <c r="Y1618" s="52">
        <f>IF(P1618="","",IFERROR(INDEX(catGrupo,MATCH(D1618&amp;"|"&amp;E1618,catClave,0))&amp;"",""))</f>
        <v/>
      </c>
      <c r="Z1618" s="52">
        <f>IF(P1618="","",WEEKDAY(B1618,2))</f>
        <v/>
      </c>
      <c r="AA1618" s="52">
        <f>IF(P1618="","",IF(AND(P1618="Gasto",X1618="Variable",D1618&lt;&gt;catTrading,S1618&gt;0,S1618&lt;=Umbral),1,0))</f>
        <v/>
      </c>
      <c r="AB1618" s="52">
        <f>IF(OR(P1618="",Q1618=""),"",IFERROR(IF(INDEX(ctaVinc,MATCH(Q1618,ctaNombre,0))&amp;""&lt;&gt;"",INDEX(ctaVinc,MATCH(Q1618,ctaNombre,0))&amp;"",Q1618),Q1618))</f>
        <v/>
      </c>
      <c r="AC1618" s="52">
        <f>IF(OR(K1618="",AND(P1618&lt;&gt;"Transferencia",P1618&lt;&gt;"Pago tarjeta")),"",IFERROR(IF(INDEX(ctaVinc,MATCH(K1618,ctaNombre,0))&amp;""&lt;&gt;"",INDEX(ctaVinc,MATCH(K1618,ctaNombre,0))&amp;"",K1618),K1618))</f>
        <v/>
      </c>
      <c r="AD1618" s="52">
        <f>IF(AB1618="","",IFERROR(INDEX(ctaTipo,MATCH(AB1618,ctaNombre,0))&amp;"",""))</f>
        <v/>
      </c>
      <c r="AE1618" s="52">
        <f>IF(AC1618="","",IFERROR(INDEX(ctaTipo,MATCH(AC1618,ctaNombre,0))&amp;"",""))</f>
        <v/>
      </c>
      <c r="AF1618" s="53">
        <f>IF(OR(P1618="",AB1618=""),"",IF(OR(P1618="Gasto",P1618="Transferencia",P1618="Pago tarjeta"),-1,1)*IF(IFERROR(INDEX(ctaMoneda,MATCH(AB1618,ctaNombre,0))&amp;"","DOP")="USD",T1618,S1618))</f>
        <v/>
      </c>
      <c r="AG1618" s="53">
        <f>IF(AC1618="","",IF(IFERROR(INDEX(ctaMoneda,MATCH(AC1618,ctaNombre,0))&amp;"","DOP")="USD",T1618,S1618))</f>
        <v/>
      </c>
      <c r="AH1618" s="53">
        <f>IF(P1618="","",IF(AND(AD1618&lt;&gt;"",COUNTIFS(tcTipo,AD1618,tcLiq,"Sí")&gt;0),IF(OR(P1618="Gasto",P1618="Transferencia",P1618="Pago tarjeta"),-1,1)*S1618,0)+IF(AND(AE1618&lt;&gt;"",COUNTIFS(tcTipo,AE1618,tcLiq,"Sí")&gt;0),S1618,0))</f>
        <v/>
      </c>
      <c r="AI1618" s="52">
        <f>IF(OR(L1618="",P1618=""),"",IF(COUNTIFS(L$6:L1618,L1618,P$6:P1618,"?*")=1,MAX(AI$5:AI1617)+1,""))</f>
        <v/>
      </c>
    </row>
    <row r="1619">
      <c r="B1619" s="47" t="n"/>
      <c r="C1619" s="48" t="n"/>
      <c r="D1619" s="48" t="n"/>
      <c r="E1619" s="48" t="n"/>
      <c r="F1619" s="48" t="n"/>
      <c r="G1619" s="49" t="n"/>
      <c r="H1619" s="48" t="n"/>
      <c r="I1619" s="50" t="n"/>
      <c r="J1619" s="48" t="n"/>
      <c r="K1619" s="48" t="n"/>
      <c r="L1619" s="48" t="n"/>
      <c r="M1619" s="48" t="n"/>
      <c r="N1619" s="48" t="n"/>
      <c r="O1619" s="51">
        <f>IF(AND(B1619="",G1619="",C1619="",D1619="",J1619=""),"",IF(B1619="","⚠ Falta fecha",IF(G1619="","⚠ Falta monto",IF(Q1619="","⚠ Falta cuenta",IF(ISNA(MATCH(Q1619,ctaNombre,0)),"⚠ Cuenta no registrada",IF(AND(OR(P1619="Gasto",P1619="Reembolso"),D1619=""),"⚠ Falta categoría",IF(AND(D1619&lt;&gt;"",E1619&lt;&gt;"",ISNA(MATCH(D1619&amp;"|"&amp;E1619,catClave,0))),"⚠ Subcategoría no corresponde",IF(AND(OR(P1619="Transferencia",P1619="Pago tarjeta"),K1619=""),"⚠ Falta cuenta destino",IF(AND(K1619&lt;&gt;"",P1619&lt;&gt;"Transferencia",P1619&lt;&gt;"Pago tarjeta"),"⚠ Destino solo aplica a transferencias",IF(AND(K1619&lt;&gt;"",K1619=Q1619),"⚠ Origen igual a destino",IF(AND(K1619&lt;&gt;"",ISNA(MATCH(K1619,ctaNombre,0))),"⚠ Destino no registrado",IF(AND(P1619="Pago tarjeta",AE1619&lt;&gt;"Tarjeta de crédito"),"⚠ El destino debe ser tarjeta de crédito",IF(AND(P1619="Gasto",E1619="Depósitos y retiros"),"⚠ Usa tipo Transferencia",IF(AND(P1619="Resultado trading",AD1619&lt;&gt;"Cuenta de trading"),"⚠ Usa una cuenta de trading",IF(AND(G1619&lt;=0,P1619&lt;&gt;"Ajuste",P1619&lt;&gt;"Resultado trading"),"⚠ El monto debe ser positivo","✓")))))))))))))))</f>
        <v/>
      </c>
      <c r="P1619" s="52">
        <f>IF(OR(B1619="",G1619=""),"",IF(C1619="","Gasto",C1619))</f>
        <v/>
      </c>
      <c r="Q1619" s="52">
        <f>IF(P1619="","",IF(J1619&lt;&gt;"",J1619,CuentaPred&amp;""))</f>
        <v/>
      </c>
      <c r="R1619" s="52">
        <f>IF(P1619="","",IF(ISNUMBER(I1619),I1619,TasaUSD))</f>
        <v/>
      </c>
      <c r="S1619" s="53">
        <f>IF(P1619="","",IF(H1619="USD",G1619*R1619,G1619))</f>
        <v/>
      </c>
      <c r="T1619" s="53">
        <f>IF(P1619="","",IF(H1619="USD",G1619,IF(R1619&gt;0,G1619/R1619,0)))</f>
        <v/>
      </c>
      <c r="U1619" s="53">
        <f>IF(P1619="","",IF(P1619="Gasto",S1619,IF(P1619="Reembolso",-S1619,0)))</f>
        <v/>
      </c>
      <c r="V1619" s="53">
        <f>IF(P1619="","",IF(P1619="Ingreso",S1619,0))</f>
        <v/>
      </c>
      <c r="W1619" s="53">
        <f>IF(P1619="","",IF(P1619="Resultado trading",S1619,0))</f>
        <v/>
      </c>
      <c r="X1619" s="52">
        <f>IF(OR(P1619="Gasto",P1619="Reembolso"),IF(M1619&lt;&gt;"",M1619,IFERROR(INDEX(catClasif,MATCH(D1619&amp;"|"&amp;E1619,catClave,0))&amp;"","Variable")),"")</f>
        <v/>
      </c>
      <c r="Y1619" s="52">
        <f>IF(P1619="","",IFERROR(INDEX(catGrupo,MATCH(D1619&amp;"|"&amp;E1619,catClave,0))&amp;"",""))</f>
        <v/>
      </c>
      <c r="Z1619" s="52">
        <f>IF(P1619="","",WEEKDAY(B1619,2))</f>
        <v/>
      </c>
      <c r="AA1619" s="52">
        <f>IF(P1619="","",IF(AND(P1619="Gasto",X1619="Variable",D1619&lt;&gt;catTrading,S1619&gt;0,S1619&lt;=Umbral),1,0))</f>
        <v/>
      </c>
      <c r="AB1619" s="52">
        <f>IF(OR(P1619="",Q1619=""),"",IFERROR(IF(INDEX(ctaVinc,MATCH(Q1619,ctaNombre,0))&amp;""&lt;&gt;"",INDEX(ctaVinc,MATCH(Q1619,ctaNombre,0))&amp;"",Q1619),Q1619))</f>
        <v/>
      </c>
      <c r="AC1619" s="52">
        <f>IF(OR(K1619="",AND(P1619&lt;&gt;"Transferencia",P1619&lt;&gt;"Pago tarjeta")),"",IFERROR(IF(INDEX(ctaVinc,MATCH(K1619,ctaNombre,0))&amp;""&lt;&gt;"",INDEX(ctaVinc,MATCH(K1619,ctaNombre,0))&amp;"",K1619),K1619))</f>
        <v/>
      </c>
      <c r="AD1619" s="52">
        <f>IF(AB1619="","",IFERROR(INDEX(ctaTipo,MATCH(AB1619,ctaNombre,0))&amp;"",""))</f>
        <v/>
      </c>
      <c r="AE1619" s="52">
        <f>IF(AC1619="","",IFERROR(INDEX(ctaTipo,MATCH(AC1619,ctaNombre,0))&amp;"",""))</f>
        <v/>
      </c>
      <c r="AF1619" s="53">
        <f>IF(OR(P1619="",AB1619=""),"",IF(OR(P1619="Gasto",P1619="Transferencia",P1619="Pago tarjeta"),-1,1)*IF(IFERROR(INDEX(ctaMoneda,MATCH(AB1619,ctaNombre,0))&amp;"","DOP")="USD",T1619,S1619))</f>
        <v/>
      </c>
      <c r="AG1619" s="53">
        <f>IF(AC1619="","",IF(IFERROR(INDEX(ctaMoneda,MATCH(AC1619,ctaNombre,0))&amp;"","DOP")="USD",T1619,S1619))</f>
        <v/>
      </c>
      <c r="AH1619" s="53">
        <f>IF(P1619="","",IF(AND(AD1619&lt;&gt;"",COUNTIFS(tcTipo,AD1619,tcLiq,"Sí")&gt;0),IF(OR(P1619="Gasto",P1619="Transferencia",P1619="Pago tarjeta"),-1,1)*S1619,0)+IF(AND(AE1619&lt;&gt;"",COUNTIFS(tcTipo,AE1619,tcLiq,"Sí")&gt;0),S1619,0))</f>
        <v/>
      </c>
      <c r="AI1619" s="52">
        <f>IF(OR(L1619="",P1619=""),"",IF(COUNTIFS(L$6:L1619,L1619,P$6:P1619,"?*")=1,MAX(AI$5:AI1618)+1,""))</f>
        <v/>
      </c>
    </row>
    <row r="1620">
      <c r="B1620" s="47" t="n"/>
      <c r="C1620" s="48" t="n"/>
      <c r="D1620" s="48" t="n"/>
      <c r="E1620" s="48" t="n"/>
      <c r="F1620" s="48" t="n"/>
      <c r="G1620" s="49" t="n"/>
      <c r="H1620" s="48" t="n"/>
      <c r="I1620" s="50" t="n"/>
      <c r="J1620" s="48" t="n"/>
      <c r="K1620" s="48" t="n"/>
      <c r="L1620" s="48" t="n"/>
      <c r="M1620" s="48" t="n"/>
      <c r="N1620" s="48" t="n"/>
      <c r="O1620" s="51">
        <f>IF(AND(B1620="",G1620="",C1620="",D1620="",J1620=""),"",IF(B1620="","⚠ Falta fecha",IF(G1620="","⚠ Falta monto",IF(Q1620="","⚠ Falta cuenta",IF(ISNA(MATCH(Q1620,ctaNombre,0)),"⚠ Cuenta no registrada",IF(AND(OR(P1620="Gasto",P1620="Reembolso"),D1620=""),"⚠ Falta categoría",IF(AND(D1620&lt;&gt;"",E1620&lt;&gt;"",ISNA(MATCH(D1620&amp;"|"&amp;E1620,catClave,0))),"⚠ Subcategoría no corresponde",IF(AND(OR(P1620="Transferencia",P1620="Pago tarjeta"),K1620=""),"⚠ Falta cuenta destino",IF(AND(K1620&lt;&gt;"",P1620&lt;&gt;"Transferencia",P1620&lt;&gt;"Pago tarjeta"),"⚠ Destino solo aplica a transferencias",IF(AND(K1620&lt;&gt;"",K1620=Q1620),"⚠ Origen igual a destino",IF(AND(K1620&lt;&gt;"",ISNA(MATCH(K1620,ctaNombre,0))),"⚠ Destino no registrado",IF(AND(P1620="Pago tarjeta",AE1620&lt;&gt;"Tarjeta de crédito"),"⚠ El destino debe ser tarjeta de crédito",IF(AND(P1620="Gasto",E1620="Depósitos y retiros"),"⚠ Usa tipo Transferencia",IF(AND(P1620="Resultado trading",AD1620&lt;&gt;"Cuenta de trading"),"⚠ Usa una cuenta de trading",IF(AND(G1620&lt;=0,P1620&lt;&gt;"Ajuste",P1620&lt;&gt;"Resultado trading"),"⚠ El monto debe ser positivo","✓")))))))))))))))</f>
        <v/>
      </c>
      <c r="P1620" s="52">
        <f>IF(OR(B1620="",G1620=""),"",IF(C1620="","Gasto",C1620))</f>
        <v/>
      </c>
      <c r="Q1620" s="52">
        <f>IF(P1620="","",IF(J1620&lt;&gt;"",J1620,CuentaPred&amp;""))</f>
        <v/>
      </c>
      <c r="R1620" s="52">
        <f>IF(P1620="","",IF(ISNUMBER(I1620),I1620,TasaUSD))</f>
        <v/>
      </c>
      <c r="S1620" s="53">
        <f>IF(P1620="","",IF(H1620="USD",G1620*R1620,G1620))</f>
        <v/>
      </c>
      <c r="T1620" s="53">
        <f>IF(P1620="","",IF(H1620="USD",G1620,IF(R1620&gt;0,G1620/R1620,0)))</f>
        <v/>
      </c>
      <c r="U1620" s="53">
        <f>IF(P1620="","",IF(P1620="Gasto",S1620,IF(P1620="Reembolso",-S1620,0)))</f>
        <v/>
      </c>
      <c r="V1620" s="53">
        <f>IF(P1620="","",IF(P1620="Ingreso",S1620,0))</f>
        <v/>
      </c>
      <c r="W1620" s="53">
        <f>IF(P1620="","",IF(P1620="Resultado trading",S1620,0))</f>
        <v/>
      </c>
      <c r="X1620" s="52">
        <f>IF(OR(P1620="Gasto",P1620="Reembolso"),IF(M1620&lt;&gt;"",M1620,IFERROR(INDEX(catClasif,MATCH(D1620&amp;"|"&amp;E1620,catClave,0))&amp;"","Variable")),"")</f>
        <v/>
      </c>
      <c r="Y1620" s="52">
        <f>IF(P1620="","",IFERROR(INDEX(catGrupo,MATCH(D1620&amp;"|"&amp;E1620,catClave,0))&amp;"",""))</f>
        <v/>
      </c>
      <c r="Z1620" s="52">
        <f>IF(P1620="","",WEEKDAY(B1620,2))</f>
        <v/>
      </c>
      <c r="AA1620" s="52">
        <f>IF(P1620="","",IF(AND(P1620="Gasto",X1620="Variable",D1620&lt;&gt;catTrading,S1620&gt;0,S1620&lt;=Umbral),1,0))</f>
        <v/>
      </c>
      <c r="AB1620" s="52">
        <f>IF(OR(P1620="",Q1620=""),"",IFERROR(IF(INDEX(ctaVinc,MATCH(Q1620,ctaNombre,0))&amp;""&lt;&gt;"",INDEX(ctaVinc,MATCH(Q1620,ctaNombre,0))&amp;"",Q1620),Q1620))</f>
        <v/>
      </c>
      <c r="AC1620" s="52">
        <f>IF(OR(K1620="",AND(P1620&lt;&gt;"Transferencia",P1620&lt;&gt;"Pago tarjeta")),"",IFERROR(IF(INDEX(ctaVinc,MATCH(K1620,ctaNombre,0))&amp;""&lt;&gt;"",INDEX(ctaVinc,MATCH(K1620,ctaNombre,0))&amp;"",K1620),K1620))</f>
        <v/>
      </c>
      <c r="AD1620" s="52">
        <f>IF(AB1620="","",IFERROR(INDEX(ctaTipo,MATCH(AB1620,ctaNombre,0))&amp;"",""))</f>
        <v/>
      </c>
      <c r="AE1620" s="52">
        <f>IF(AC1620="","",IFERROR(INDEX(ctaTipo,MATCH(AC1620,ctaNombre,0))&amp;"",""))</f>
        <v/>
      </c>
      <c r="AF1620" s="53">
        <f>IF(OR(P1620="",AB1620=""),"",IF(OR(P1620="Gasto",P1620="Transferencia",P1620="Pago tarjeta"),-1,1)*IF(IFERROR(INDEX(ctaMoneda,MATCH(AB1620,ctaNombre,0))&amp;"","DOP")="USD",T1620,S1620))</f>
        <v/>
      </c>
      <c r="AG1620" s="53">
        <f>IF(AC1620="","",IF(IFERROR(INDEX(ctaMoneda,MATCH(AC1620,ctaNombre,0))&amp;"","DOP")="USD",T1620,S1620))</f>
        <v/>
      </c>
      <c r="AH1620" s="53">
        <f>IF(P1620="","",IF(AND(AD1620&lt;&gt;"",COUNTIFS(tcTipo,AD1620,tcLiq,"Sí")&gt;0),IF(OR(P1620="Gasto",P1620="Transferencia",P1620="Pago tarjeta"),-1,1)*S1620,0)+IF(AND(AE1620&lt;&gt;"",COUNTIFS(tcTipo,AE1620,tcLiq,"Sí")&gt;0),S1620,0))</f>
        <v/>
      </c>
      <c r="AI1620" s="52">
        <f>IF(OR(L1620="",P1620=""),"",IF(COUNTIFS(L$6:L1620,L1620,P$6:P1620,"?*")=1,MAX(AI$5:AI1619)+1,""))</f>
        <v/>
      </c>
    </row>
    <row r="1621">
      <c r="B1621" s="47" t="n"/>
      <c r="C1621" s="48" t="n"/>
      <c r="D1621" s="48" t="n"/>
      <c r="E1621" s="48" t="n"/>
      <c r="F1621" s="48" t="n"/>
      <c r="G1621" s="49" t="n"/>
      <c r="H1621" s="48" t="n"/>
      <c r="I1621" s="50" t="n"/>
      <c r="J1621" s="48" t="n"/>
      <c r="K1621" s="48" t="n"/>
      <c r="L1621" s="48" t="n"/>
      <c r="M1621" s="48" t="n"/>
      <c r="N1621" s="48" t="n"/>
      <c r="O1621" s="51">
        <f>IF(AND(B1621="",G1621="",C1621="",D1621="",J1621=""),"",IF(B1621="","⚠ Falta fecha",IF(G1621="","⚠ Falta monto",IF(Q1621="","⚠ Falta cuenta",IF(ISNA(MATCH(Q1621,ctaNombre,0)),"⚠ Cuenta no registrada",IF(AND(OR(P1621="Gasto",P1621="Reembolso"),D1621=""),"⚠ Falta categoría",IF(AND(D1621&lt;&gt;"",E1621&lt;&gt;"",ISNA(MATCH(D1621&amp;"|"&amp;E1621,catClave,0))),"⚠ Subcategoría no corresponde",IF(AND(OR(P1621="Transferencia",P1621="Pago tarjeta"),K1621=""),"⚠ Falta cuenta destino",IF(AND(K1621&lt;&gt;"",P1621&lt;&gt;"Transferencia",P1621&lt;&gt;"Pago tarjeta"),"⚠ Destino solo aplica a transferencias",IF(AND(K1621&lt;&gt;"",K1621=Q1621),"⚠ Origen igual a destino",IF(AND(K1621&lt;&gt;"",ISNA(MATCH(K1621,ctaNombre,0))),"⚠ Destino no registrado",IF(AND(P1621="Pago tarjeta",AE1621&lt;&gt;"Tarjeta de crédito"),"⚠ El destino debe ser tarjeta de crédito",IF(AND(P1621="Gasto",E1621="Depósitos y retiros"),"⚠ Usa tipo Transferencia",IF(AND(P1621="Resultado trading",AD1621&lt;&gt;"Cuenta de trading"),"⚠ Usa una cuenta de trading",IF(AND(G1621&lt;=0,P1621&lt;&gt;"Ajuste",P1621&lt;&gt;"Resultado trading"),"⚠ El monto debe ser positivo","✓")))))))))))))))</f>
        <v/>
      </c>
      <c r="P1621" s="52">
        <f>IF(OR(B1621="",G1621=""),"",IF(C1621="","Gasto",C1621))</f>
        <v/>
      </c>
      <c r="Q1621" s="52">
        <f>IF(P1621="","",IF(J1621&lt;&gt;"",J1621,CuentaPred&amp;""))</f>
        <v/>
      </c>
      <c r="R1621" s="52">
        <f>IF(P1621="","",IF(ISNUMBER(I1621),I1621,TasaUSD))</f>
        <v/>
      </c>
      <c r="S1621" s="53">
        <f>IF(P1621="","",IF(H1621="USD",G1621*R1621,G1621))</f>
        <v/>
      </c>
      <c r="T1621" s="53">
        <f>IF(P1621="","",IF(H1621="USD",G1621,IF(R1621&gt;0,G1621/R1621,0)))</f>
        <v/>
      </c>
      <c r="U1621" s="53">
        <f>IF(P1621="","",IF(P1621="Gasto",S1621,IF(P1621="Reembolso",-S1621,0)))</f>
        <v/>
      </c>
      <c r="V1621" s="53">
        <f>IF(P1621="","",IF(P1621="Ingreso",S1621,0))</f>
        <v/>
      </c>
      <c r="W1621" s="53">
        <f>IF(P1621="","",IF(P1621="Resultado trading",S1621,0))</f>
        <v/>
      </c>
      <c r="X1621" s="52">
        <f>IF(OR(P1621="Gasto",P1621="Reembolso"),IF(M1621&lt;&gt;"",M1621,IFERROR(INDEX(catClasif,MATCH(D1621&amp;"|"&amp;E1621,catClave,0))&amp;"","Variable")),"")</f>
        <v/>
      </c>
      <c r="Y1621" s="52">
        <f>IF(P1621="","",IFERROR(INDEX(catGrupo,MATCH(D1621&amp;"|"&amp;E1621,catClave,0))&amp;"",""))</f>
        <v/>
      </c>
      <c r="Z1621" s="52">
        <f>IF(P1621="","",WEEKDAY(B1621,2))</f>
        <v/>
      </c>
      <c r="AA1621" s="52">
        <f>IF(P1621="","",IF(AND(P1621="Gasto",X1621="Variable",D1621&lt;&gt;catTrading,S1621&gt;0,S1621&lt;=Umbral),1,0))</f>
        <v/>
      </c>
      <c r="AB1621" s="52">
        <f>IF(OR(P1621="",Q1621=""),"",IFERROR(IF(INDEX(ctaVinc,MATCH(Q1621,ctaNombre,0))&amp;""&lt;&gt;"",INDEX(ctaVinc,MATCH(Q1621,ctaNombre,0))&amp;"",Q1621),Q1621))</f>
        <v/>
      </c>
      <c r="AC1621" s="52">
        <f>IF(OR(K1621="",AND(P1621&lt;&gt;"Transferencia",P1621&lt;&gt;"Pago tarjeta")),"",IFERROR(IF(INDEX(ctaVinc,MATCH(K1621,ctaNombre,0))&amp;""&lt;&gt;"",INDEX(ctaVinc,MATCH(K1621,ctaNombre,0))&amp;"",K1621),K1621))</f>
        <v/>
      </c>
      <c r="AD1621" s="52">
        <f>IF(AB1621="","",IFERROR(INDEX(ctaTipo,MATCH(AB1621,ctaNombre,0))&amp;"",""))</f>
        <v/>
      </c>
      <c r="AE1621" s="52">
        <f>IF(AC1621="","",IFERROR(INDEX(ctaTipo,MATCH(AC1621,ctaNombre,0))&amp;"",""))</f>
        <v/>
      </c>
      <c r="AF1621" s="53">
        <f>IF(OR(P1621="",AB1621=""),"",IF(OR(P1621="Gasto",P1621="Transferencia",P1621="Pago tarjeta"),-1,1)*IF(IFERROR(INDEX(ctaMoneda,MATCH(AB1621,ctaNombre,0))&amp;"","DOP")="USD",T1621,S1621))</f>
        <v/>
      </c>
      <c r="AG1621" s="53">
        <f>IF(AC1621="","",IF(IFERROR(INDEX(ctaMoneda,MATCH(AC1621,ctaNombre,0))&amp;"","DOP")="USD",T1621,S1621))</f>
        <v/>
      </c>
      <c r="AH1621" s="53">
        <f>IF(P1621="","",IF(AND(AD1621&lt;&gt;"",COUNTIFS(tcTipo,AD1621,tcLiq,"Sí")&gt;0),IF(OR(P1621="Gasto",P1621="Transferencia",P1621="Pago tarjeta"),-1,1)*S1621,0)+IF(AND(AE1621&lt;&gt;"",COUNTIFS(tcTipo,AE1621,tcLiq,"Sí")&gt;0),S1621,0))</f>
        <v/>
      </c>
      <c r="AI1621" s="52">
        <f>IF(OR(L1621="",P1621=""),"",IF(COUNTIFS(L$6:L1621,L1621,P$6:P1621,"?*")=1,MAX(AI$5:AI1620)+1,""))</f>
        <v/>
      </c>
    </row>
    <row r="1622">
      <c r="B1622" s="47" t="n"/>
      <c r="C1622" s="48" t="n"/>
      <c r="D1622" s="48" t="n"/>
      <c r="E1622" s="48" t="n"/>
      <c r="F1622" s="48" t="n"/>
      <c r="G1622" s="49" t="n"/>
      <c r="H1622" s="48" t="n"/>
      <c r="I1622" s="50" t="n"/>
      <c r="J1622" s="48" t="n"/>
      <c r="K1622" s="48" t="n"/>
      <c r="L1622" s="48" t="n"/>
      <c r="M1622" s="48" t="n"/>
      <c r="N1622" s="48" t="n"/>
      <c r="O1622" s="51">
        <f>IF(AND(B1622="",G1622="",C1622="",D1622="",J1622=""),"",IF(B1622="","⚠ Falta fecha",IF(G1622="","⚠ Falta monto",IF(Q1622="","⚠ Falta cuenta",IF(ISNA(MATCH(Q1622,ctaNombre,0)),"⚠ Cuenta no registrada",IF(AND(OR(P1622="Gasto",P1622="Reembolso"),D1622=""),"⚠ Falta categoría",IF(AND(D1622&lt;&gt;"",E1622&lt;&gt;"",ISNA(MATCH(D1622&amp;"|"&amp;E1622,catClave,0))),"⚠ Subcategoría no corresponde",IF(AND(OR(P1622="Transferencia",P1622="Pago tarjeta"),K1622=""),"⚠ Falta cuenta destino",IF(AND(K1622&lt;&gt;"",P1622&lt;&gt;"Transferencia",P1622&lt;&gt;"Pago tarjeta"),"⚠ Destino solo aplica a transferencias",IF(AND(K1622&lt;&gt;"",K1622=Q1622),"⚠ Origen igual a destino",IF(AND(K1622&lt;&gt;"",ISNA(MATCH(K1622,ctaNombre,0))),"⚠ Destino no registrado",IF(AND(P1622="Pago tarjeta",AE1622&lt;&gt;"Tarjeta de crédito"),"⚠ El destino debe ser tarjeta de crédito",IF(AND(P1622="Gasto",E1622="Depósitos y retiros"),"⚠ Usa tipo Transferencia",IF(AND(P1622="Resultado trading",AD1622&lt;&gt;"Cuenta de trading"),"⚠ Usa una cuenta de trading",IF(AND(G1622&lt;=0,P1622&lt;&gt;"Ajuste",P1622&lt;&gt;"Resultado trading"),"⚠ El monto debe ser positivo","✓")))))))))))))))</f>
        <v/>
      </c>
      <c r="P1622" s="52">
        <f>IF(OR(B1622="",G1622=""),"",IF(C1622="","Gasto",C1622))</f>
        <v/>
      </c>
      <c r="Q1622" s="52">
        <f>IF(P1622="","",IF(J1622&lt;&gt;"",J1622,CuentaPred&amp;""))</f>
        <v/>
      </c>
      <c r="R1622" s="52">
        <f>IF(P1622="","",IF(ISNUMBER(I1622),I1622,TasaUSD))</f>
        <v/>
      </c>
      <c r="S1622" s="53">
        <f>IF(P1622="","",IF(H1622="USD",G1622*R1622,G1622))</f>
        <v/>
      </c>
      <c r="T1622" s="53">
        <f>IF(P1622="","",IF(H1622="USD",G1622,IF(R1622&gt;0,G1622/R1622,0)))</f>
        <v/>
      </c>
      <c r="U1622" s="53">
        <f>IF(P1622="","",IF(P1622="Gasto",S1622,IF(P1622="Reembolso",-S1622,0)))</f>
        <v/>
      </c>
      <c r="V1622" s="53">
        <f>IF(P1622="","",IF(P1622="Ingreso",S1622,0))</f>
        <v/>
      </c>
      <c r="W1622" s="53">
        <f>IF(P1622="","",IF(P1622="Resultado trading",S1622,0))</f>
        <v/>
      </c>
      <c r="X1622" s="52">
        <f>IF(OR(P1622="Gasto",P1622="Reembolso"),IF(M1622&lt;&gt;"",M1622,IFERROR(INDEX(catClasif,MATCH(D1622&amp;"|"&amp;E1622,catClave,0))&amp;"","Variable")),"")</f>
        <v/>
      </c>
      <c r="Y1622" s="52">
        <f>IF(P1622="","",IFERROR(INDEX(catGrupo,MATCH(D1622&amp;"|"&amp;E1622,catClave,0))&amp;"",""))</f>
        <v/>
      </c>
      <c r="Z1622" s="52">
        <f>IF(P1622="","",WEEKDAY(B1622,2))</f>
        <v/>
      </c>
      <c r="AA1622" s="52">
        <f>IF(P1622="","",IF(AND(P1622="Gasto",X1622="Variable",D1622&lt;&gt;catTrading,S1622&gt;0,S1622&lt;=Umbral),1,0))</f>
        <v/>
      </c>
      <c r="AB1622" s="52">
        <f>IF(OR(P1622="",Q1622=""),"",IFERROR(IF(INDEX(ctaVinc,MATCH(Q1622,ctaNombre,0))&amp;""&lt;&gt;"",INDEX(ctaVinc,MATCH(Q1622,ctaNombre,0))&amp;"",Q1622),Q1622))</f>
        <v/>
      </c>
      <c r="AC1622" s="52">
        <f>IF(OR(K1622="",AND(P1622&lt;&gt;"Transferencia",P1622&lt;&gt;"Pago tarjeta")),"",IFERROR(IF(INDEX(ctaVinc,MATCH(K1622,ctaNombre,0))&amp;""&lt;&gt;"",INDEX(ctaVinc,MATCH(K1622,ctaNombre,0))&amp;"",K1622),K1622))</f>
        <v/>
      </c>
      <c r="AD1622" s="52">
        <f>IF(AB1622="","",IFERROR(INDEX(ctaTipo,MATCH(AB1622,ctaNombre,0))&amp;"",""))</f>
        <v/>
      </c>
      <c r="AE1622" s="52">
        <f>IF(AC1622="","",IFERROR(INDEX(ctaTipo,MATCH(AC1622,ctaNombre,0))&amp;"",""))</f>
        <v/>
      </c>
      <c r="AF1622" s="53">
        <f>IF(OR(P1622="",AB1622=""),"",IF(OR(P1622="Gasto",P1622="Transferencia",P1622="Pago tarjeta"),-1,1)*IF(IFERROR(INDEX(ctaMoneda,MATCH(AB1622,ctaNombre,0))&amp;"","DOP")="USD",T1622,S1622))</f>
        <v/>
      </c>
      <c r="AG1622" s="53">
        <f>IF(AC1622="","",IF(IFERROR(INDEX(ctaMoneda,MATCH(AC1622,ctaNombre,0))&amp;"","DOP")="USD",T1622,S1622))</f>
        <v/>
      </c>
      <c r="AH1622" s="53">
        <f>IF(P1622="","",IF(AND(AD1622&lt;&gt;"",COUNTIFS(tcTipo,AD1622,tcLiq,"Sí")&gt;0),IF(OR(P1622="Gasto",P1622="Transferencia",P1622="Pago tarjeta"),-1,1)*S1622,0)+IF(AND(AE1622&lt;&gt;"",COUNTIFS(tcTipo,AE1622,tcLiq,"Sí")&gt;0),S1622,0))</f>
        <v/>
      </c>
      <c r="AI1622" s="52">
        <f>IF(OR(L1622="",P1622=""),"",IF(COUNTIFS(L$6:L1622,L1622,P$6:P1622,"?*")=1,MAX(AI$5:AI1621)+1,""))</f>
        <v/>
      </c>
    </row>
    <row r="1623">
      <c r="B1623" s="47" t="n"/>
      <c r="C1623" s="48" t="n"/>
      <c r="D1623" s="48" t="n"/>
      <c r="E1623" s="48" t="n"/>
      <c r="F1623" s="48" t="n"/>
      <c r="G1623" s="49" t="n"/>
      <c r="H1623" s="48" t="n"/>
      <c r="I1623" s="50" t="n"/>
      <c r="J1623" s="48" t="n"/>
      <c r="K1623" s="48" t="n"/>
      <c r="L1623" s="48" t="n"/>
      <c r="M1623" s="48" t="n"/>
      <c r="N1623" s="48" t="n"/>
      <c r="O1623" s="51">
        <f>IF(AND(B1623="",G1623="",C1623="",D1623="",J1623=""),"",IF(B1623="","⚠ Falta fecha",IF(G1623="","⚠ Falta monto",IF(Q1623="","⚠ Falta cuenta",IF(ISNA(MATCH(Q1623,ctaNombre,0)),"⚠ Cuenta no registrada",IF(AND(OR(P1623="Gasto",P1623="Reembolso"),D1623=""),"⚠ Falta categoría",IF(AND(D1623&lt;&gt;"",E1623&lt;&gt;"",ISNA(MATCH(D1623&amp;"|"&amp;E1623,catClave,0))),"⚠ Subcategoría no corresponde",IF(AND(OR(P1623="Transferencia",P1623="Pago tarjeta"),K1623=""),"⚠ Falta cuenta destino",IF(AND(K1623&lt;&gt;"",P1623&lt;&gt;"Transferencia",P1623&lt;&gt;"Pago tarjeta"),"⚠ Destino solo aplica a transferencias",IF(AND(K1623&lt;&gt;"",K1623=Q1623),"⚠ Origen igual a destino",IF(AND(K1623&lt;&gt;"",ISNA(MATCH(K1623,ctaNombre,0))),"⚠ Destino no registrado",IF(AND(P1623="Pago tarjeta",AE1623&lt;&gt;"Tarjeta de crédito"),"⚠ El destino debe ser tarjeta de crédito",IF(AND(P1623="Gasto",E1623="Depósitos y retiros"),"⚠ Usa tipo Transferencia",IF(AND(P1623="Resultado trading",AD1623&lt;&gt;"Cuenta de trading"),"⚠ Usa una cuenta de trading",IF(AND(G1623&lt;=0,P1623&lt;&gt;"Ajuste",P1623&lt;&gt;"Resultado trading"),"⚠ El monto debe ser positivo","✓")))))))))))))))</f>
        <v/>
      </c>
      <c r="P1623" s="52">
        <f>IF(OR(B1623="",G1623=""),"",IF(C1623="","Gasto",C1623))</f>
        <v/>
      </c>
      <c r="Q1623" s="52">
        <f>IF(P1623="","",IF(J1623&lt;&gt;"",J1623,CuentaPred&amp;""))</f>
        <v/>
      </c>
      <c r="R1623" s="52">
        <f>IF(P1623="","",IF(ISNUMBER(I1623),I1623,TasaUSD))</f>
        <v/>
      </c>
      <c r="S1623" s="53">
        <f>IF(P1623="","",IF(H1623="USD",G1623*R1623,G1623))</f>
        <v/>
      </c>
      <c r="T1623" s="53">
        <f>IF(P1623="","",IF(H1623="USD",G1623,IF(R1623&gt;0,G1623/R1623,0)))</f>
        <v/>
      </c>
      <c r="U1623" s="53">
        <f>IF(P1623="","",IF(P1623="Gasto",S1623,IF(P1623="Reembolso",-S1623,0)))</f>
        <v/>
      </c>
      <c r="V1623" s="53">
        <f>IF(P1623="","",IF(P1623="Ingreso",S1623,0))</f>
        <v/>
      </c>
      <c r="W1623" s="53">
        <f>IF(P1623="","",IF(P1623="Resultado trading",S1623,0))</f>
        <v/>
      </c>
      <c r="X1623" s="52">
        <f>IF(OR(P1623="Gasto",P1623="Reembolso"),IF(M1623&lt;&gt;"",M1623,IFERROR(INDEX(catClasif,MATCH(D1623&amp;"|"&amp;E1623,catClave,0))&amp;"","Variable")),"")</f>
        <v/>
      </c>
      <c r="Y1623" s="52">
        <f>IF(P1623="","",IFERROR(INDEX(catGrupo,MATCH(D1623&amp;"|"&amp;E1623,catClave,0))&amp;"",""))</f>
        <v/>
      </c>
      <c r="Z1623" s="52">
        <f>IF(P1623="","",WEEKDAY(B1623,2))</f>
        <v/>
      </c>
      <c r="AA1623" s="52">
        <f>IF(P1623="","",IF(AND(P1623="Gasto",X1623="Variable",D1623&lt;&gt;catTrading,S1623&gt;0,S1623&lt;=Umbral),1,0))</f>
        <v/>
      </c>
      <c r="AB1623" s="52">
        <f>IF(OR(P1623="",Q1623=""),"",IFERROR(IF(INDEX(ctaVinc,MATCH(Q1623,ctaNombre,0))&amp;""&lt;&gt;"",INDEX(ctaVinc,MATCH(Q1623,ctaNombre,0))&amp;"",Q1623),Q1623))</f>
        <v/>
      </c>
      <c r="AC1623" s="52">
        <f>IF(OR(K1623="",AND(P1623&lt;&gt;"Transferencia",P1623&lt;&gt;"Pago tarjeta")),"",IFERROR(IF(INDEX(ctaVinc,MATCH(K1623,ctaNombre,0))&amp;""&lt;&gt;"",INDEX(ctaVinc,MATCH(K1623,ctaNombre,0))&amp;"",K1623),K1623))</f>
        <v/>
      </c>
      <c r="AD1623" s="52">
        <f>IF(AB1623="","",IFERROR(INDEX(ctaTipo,MATCH(AB1623,ctaNombre,0))&amp;"",""))</f>
        <v/>
      </c>
      <c r="AE1623" s="52">
        <f>IF(AC1623="","",IFERROR(INDEX(ctaTipo,MATCH(AC1623,ctaNombre,0))&amp;"",""))</f>
        <v/>
      </c>
      <c r="AF1623" s="53">
        <f>IF(OR(P1623="",AB1623=""),"",IF(OR(P1623="Gasto",P1623="Transferencia",P1623="Pago tarjeta"),-1,1)*IF(IFERROR(INDEX(ctaMoneda,MATCH(AB1623,ctaNombre,0))&amp;"","DOP")="USD",T1623,S1623))</f>
        <v/>
      </c>
      <c r="AG1623" s="53">
        <f>IF(AC1623="","",IF(IFERROR(INDEX(ctaMoneda,MATCH(AC1623,ctaNombre,0))&amp;"","DOP")="USD",T1623,S1623))</f>
        <v/>
      </c>
      <c r="AH1623" s="53">
        <f>IF(P1623="","",IF(AND(AD1623&lt;&gt;"",COUNTIFS(tcTipo,AD1623,tcLiq,"Sí")&gt;0),IF(OR(P1623="Gasto",P1623="Transferencia",P1623="Pago tarjeta"),-1,1)*S1623,0)+IF(AND(AE1623&lt;&gt;"",COUNTIFS(tcTipo,AE1623,tcLiq,"Sí")&gt;0),S1623,0))</f>
        <v/>
      </c>
      <c r="AI1623" s="52">
        <f>IF(OR(L1623="",P1623=""),"",IF(COUNTIFS(L$6:L1623,L1623,P$6:P1623,"?*")=1,MAX(AI$5:AI1622)+1,""))</f>
        <v/>
      </c>
    </row>
    <row r="1624">
      <c r="B1624" s="47" t="n"/>
      <c r="C1624" s="48" t="n"/>
      <c r="D1624" s="48" t="n"/>
      <c r="E1624" s="48" t="n"/>
      <c r="F1624" s="48" t="n"/>
      <c r="G1624" s="49" t="n"/>
      <c r="H1624" s="48" t="n"/>
      <c r="I1624" s="50" t="n"/>
      <c r="J1624" s="48" t="n"/>
      <c r="K1624" s="48" t="n"/>
      <c r="L1624" s="48" t="n"/>
      <c r="M1624" s="48" t="n"/>
      <c r="N1624" s="48" t="n"/>
      <c r="O1624" s="51">
        <f>IF(AND(B1624="",G1624="",C1624="",D1624="",J1624=""),"",IF(B1624="","⚠ Falta fecha",IF(G1624="","⚠ Falta monto",IF(Q1624="","⚠ Falta cuenta",IF(ISNA(MATCH(Q1624,ctaNombre,0)),"⚠ Cuenta no registrada",IF(AND(OR(P1624="Gasto",P1624="Reembolso"),D1624=""),"⚠ Falta categoría",IF(AND(D1624&lt;&gt;"",E1624&lt;&gt;"",ISNA(MATCH(D1624&amp;"|"&amp;E1624,catClave,0))),"⚠ Subcategoría no corresponde",IF(AND(OR(P1624="Transferencia",P1624="Pago tarjeta"),K1624=""),"⚠ Falta cuenta destino",IF(AND(K1624&lt;&gt;"",P1624&lt;&gt;"Transferencia",P1624&lt;&gt;"Pago tarjeta"),"⚠ Destino solo aplica a transferencias",IF(AND(K1624&lt;&gt;"",K1624=Q1624),"⚠ Origen igual a destino",IF(AND(K1624&lt;&gt;"",ISNA(MATCH(K1624,ctaNombre,0))),"⚠ Destino no registrado",IF(AND(P1624="Pago tarjeta",AE1624&lt;&gt;"Tarjeta de crédito"),"⚠ El destino debe ser tarjeta de crédito",IF(AND(P1624="Gasto",E1624="Depósitos y retiros"),"⚠ Usa tipo Transferencia",IF(AND(P1624="Resultado trading",AD1624&lt;&gt;"Cuenta de trading"),"⚠ Usa una cuenta de trading",IF(AND(G1624&lt;=0,P1624&lt;&gt;"Ajuste",P1624&lt;&gt;"Resultado trading"),"⚠ El monto debe ser positivo","✓")))))))))))))))</f>
        <v/>
      </c>
      <c r="P1624" s="52">
        <f>IF(OR(B1624="",G1624=""),"",IF(C1624="","Gasto",C1624))</f>
        <v/>
      </c>
      <c r="Q1624" s="52">
        <f>IF(P1624="","",IF(J1624&lt;&gt;"",J1624,CuentaPred&amp;""))</f>
        <v/>
      </c>
      <c r="R1624" s="52">
        <f>IF(P1624="","",IF(ISNUMBER(I1624),I1624,TasaUSD))</f>
        <v/>
      </c>
      <c r="S1624" s="53">
        <f>IF(P1624="","",IF(H1624="USD",G1624*R1624,G1624))</f>
        <v/>
      </c>
      <c r="T1624" s="53">
        <f>IF(P1624="","",IF(H1624="USD",G1624,IF(R1624&gt;0,G1624/R1624,0)))</f>
        <v/>
      </c>
      <c r="U1624" s="53">
        <f>IF(P1624="","",IF(P1624="Gasto",S1624,IF(P1624="Reembolso",-S1624,0)))</f>
        <v/>
      </c>
      <c r="V1624" s="53">
        <f>IF(P1624="","",IF(P1624="Ingreso",S1624,0))</f>
        <v/>
      </c>
      <c r="W1624" s="53">
        <f>IF(P1624="","",IF(P1624="Resultado trading",S1624,0))</f>
        <v/>
      </c>
      <c r="X1624" s="52">
        <f>IF(OR(P1624="Gasto",P1624="Reembolso"),IF(M1624&lt;&gt;"",M1624,IFERROR(INDEX(catClasif,MATCH(D1624&amp;"|"&amp;E1624,catClave,0))&amp;"","Variable")),"")</f>
        <v/>
      </c>
      <c r="Y1624" s="52">
        <f>IF(P1624="","",IFERROR(INDEX(catGrupo,MATCH(D1624&amp;"|"&amp;E1624,catClave,0))&amp;"",""))</f>
        <v/>
      </c>
      <c r="Z1624" s="52">
        <f>IF(P1624="","",WEEKDAY(B1624,2))</f>
        <v/>
      </c>
      <c r="AA1624" s="52">
        <f>IF(P1624="","",IF(AND(P1624="Gasto",X1624="Variable",D1624&lt;&gt;catTrading,S1624&gt;0,S1624&lt;=Umbral),1,0))</f>
        <v/>
      </c>
      <c r="AB1624" s="52">
        <f>IF(OR(P1624="",Q1624=""),"",IFERROR(IF(INDEX(ctaVinc,MATCH(Q1624,ctaNombre,0))&amp;""&lt;&gt;"",INDEX(ctaVinc,MATCH(Q1624,ctaNombre,0))&amp;"",Q1624),Q1624))</f>
        <v/>
      </c>
      <c r="AC1624" s="52">
        <f>IF(OR(K1624="",AND(P1624&lt;&gt;"Transferencia",P1624&lt;&gt;"Pago tarjeta")),"",IFERROR(IF(INDEX(ctaVinc,MATCH(K1624,ctaNombre,0))&amp;""&lt;&gt;"",INDEX(ctaVinc,MATCH(K1624,ctaNombre,0))&amp;"",K1624),K1624))</f>
        <v/>
      </c>
      <c r="AD1624" s="52">
        <f>IF(AB1624="","",IFERROR(INDEX(ctaTipo,MATCH(AB1624,ctaNombre,0))&amp;"",""))</f>
        <v/>
      </c>
      <c r="AE1624" s="52">
        <f>IF(AC1624="","",IFERROR(INDEX(ctaTipo,MATCH(AC1624,ctaNombre,0))&amp;"",""))</f>
        <v/>
      </c>
      <c r="AF1624" s="53">
        <f>IF(OR(P1624="",AB1624=""),"",IF(OR(P1624="Gasto",P1624="Transferencia",P1624="Pago tarjeta"),-1,1)*IF(IFERROR(INDEX(ctaMoneda,MATCH(AB1624,ctaNombre,0))&amp;"","DOP")="USD",T1624,S1624))</f>
        <v/>
      </c>
      <c r="AG1624" s="53">
        <f>IF(AC1624="","",IF(IFERROR(INDEX(ctaMoneda,MATCH(AC1624,ctaNombre,0))&amp;"","DOP")="USD",T1624,S1624))</f>
        <v/>
      </c>
      <c r="AH1624" s="53">
        <f>IF(P1624="","",IF(AND(AD1624&lt;&gt;"",COUNTIFS(tcTipo,AD1624,tcLiq,"Sí")&gt;0),IF(OR(P1624="Gasto",P1624="Transferencia",P1624="Pago tarjeta"),-1,1)*S1624,0)+IF(AND(AE1624&lt;&gt;"",COUNTIFS(tcTipo,AE1624,tcLiq,"Sí")&gt;0),S1624,0))</f>
        <v/>
      </c>
      <c r="AI1624" s="52">
        <f>IF(OR(L1624="",P1624=""),"",IF(COUNTIFS(L$6:L1624,L1624,P$6:P1624,"?*")=1,MAX(AI$5:AI1623)+1,""))</f>
        <v/>
      </c>
    </row>
    <row r="1625">
      <c r="B1625" s="47" t="n"/>
      <c r="C1625" s="48" t="n"/>
      <c r="D1625" s="48" t="n"/>
      <c r="E1625" s="48" t="n"/>
      <c r="F1625" s="48" t="n"/>
      <c r="G1625" s="49" t="n"/>
      <c r="H1625" s="48" t="n"/>
      <c r="I1625" s="50" t="n"/>
      <c r="J1625" s="48" t="n"/>
      <c r="K1625" s="48" t="n"/>
      <c r="L1625" s="48" t="n"/>
      <c r="M1625" s="48" t="n"/>
      <c r="N1625" s="48" t="n"/>
      <c r="O1625" s="51">
        <f>IF(AND(B1625="",G1625="",C1625="",D1625="",J1625=""),"",IF(B1625="","⚠ Falta fecha",IF(G1625="","⚠ Falta monto",IF(Q1625="","⚠ Falta cuenta",IF(ISNA(MATCH(Q1625,ctaNombre,0)),"⚠ Cuenta no registrada",IF(AND(OR(P1625="Gasto",P1625="Reembolso"),D1625=""),"⚠ Falta categoría",IF(AND(D1625&lt;&gt;"",E1625&lt;&gt;"",ISNA(MATCH(D1625&amp;"|"&amp;E1625,catClave,0))),"⚠ Subcategoría no corresponde",IF(AND(OR(P1625="Transferencia",P1625="Pago tarjeta"),K1625=""),"⚠ Falta cuenta destino",IF(AND(K1625&lt;&gt;"",P1625&lt;&gt;"Transferencia",P1625&lt;&gt;"Pago tarjeta"),"⚠ Destino solo aplica a transferencias",IF(AND(K1625&lt;&gt;"",K1625=Q1625),"⚠ Origen igual a destino",IF(AND(K1625&lt;&gt;"",ISNA(MATCH(K1625,ctaNombre,0))),"⚠ Destino no registrado",IF(AND(P1625="Pago tarjeta",AE1625&lt;&gt;"Tarjeta de crédito"),"⚠ El destino debe ser tarjeta de crédito",IF(AND(P1625="Gasto",E1625="Depósitos y retiros"),"⚠ Usa tipo Transferencia",IF(AND(P1625="Resultado trading",AD1625&lt;&gt;"Cuenta de trading"),"⚠ Usa una cuenta de trading",IF(AND(G1625&lt;=0,P1625&lt;&gt;"Ajuste",P1625&lt;&gt;"Resultado trading"),"⚠ El monto debe ser positivo","✓")))))))))))))))</f>
        <v/>
      </c>
      <c r="P1625" s="52">
        <f>IF(OR(B1625="",G1625=""),"",IF(C1625="","Gasto",C1625))</f>
        <v/>
      </c>
      <c r="Q1625" s="52">
        <f>IF(P1625="","",IF(J1625&lt;&gt;"",J1625,CuentaPred&amp;""))</f>
        <v/>
      </c>
      <c r="R1625" s="52">
        <f>IF(P1625="","",IF(ISNUMBER(I1625),I1625,TasaUSD))</f>
        <v/>
      </c>
      <c r="S1625" s="53">
        <f>IF(P1625="","",IF(H1625="USD",G1625*R1625,G1625))</f>
        <v/>
      </c>
      <c r="T1625" s="53">
        <f>IF(P1625="","",IF(H1625="USD",G1625,IF(R1625&gt;0,G1625/R1625,0)))</f>
        <v/>
      </c>
      <c r="U1625" s="53">
        <f>IF(P1625="","",IF(P1625="Gasto",S1625,IF(P1625="Reembolso",-S1625,0)))</f>
        <v/>
      </c>
      <c r="V1625" s="53">
        <f>IF(P1625="","",IF(P1625="Ingreso",S1625,0))</f>
        <v/>
      </c>
      <c r="W1625" s="53">
        <f>IF(P1625="","",IF(P1625="Resultado trading",S1625,0))</f>
        <v/>
      </c>
      <c r="X1625" s="52">
        <f>IF(OR(P1625="Gasto",P1625="Reembolso"),IF(M1625&lt;&gt;"",M1625,IFERROR(INDEX(catClasif,MATCH(D1625&amp;"|"&amp;E1625,catClave,0))&amp;"","Variable")),"")</f>
        <v/>
      </c>
      <c r="Y1625" s="52">
        <f>IF(P1625="","",IFERROR(INDEX(catGrupo,MATCH(D1625&amp;"|"&amp;E1625,catClave,0))&amp;"",""))</f>
        <v/>
      </c>
      <c r="Z1625" s="52">
        <f>IF(P1625="","",WEEKDAY(B1625,2))</f>
        <v/>
      </c>
      <c r="AA1625" s="52">
        <f>IF(P1625="","",IF(AND(P1625="Gasto",X1625="Variable",D1625&lt;&gt;catTrading,S1625&gt;0,S1625&lt;=Umbral),1,0))</f>
        <v/>
      </c>
      <c r="AB1625" s="52">
        <f>IF(OR(P1625="",Q1625=""),"",IFERROR(IF(INDEX(ctaVinc,MATCH(Q1625,ctaNombre,0))&amp;""&lt;&gt;"",INDEX(ctaVinc,MATCH(Q1625,ctaNombre,0))&amp;"",Q1625),Q1625))</f>
        <v/>
      </c>
      <c r="AC1625" s="52">
        <f>IF(OR(K1625="",AND(P1625&lt;&gt;"Transferencia",P1625&lt;&gt;"Pago tarjeta")),"",IFERROR(IF(INDEX(ctaVinc,MATCH(K1625,ctaNombre,0))&amp;""&lt;&gt;"",INDEX(ctaVinc,MATCH(K1625,ctaNombre,0))&amp;"",K1625),K1625))</f>
        <v/>
      </c>
      <c r="AD1625" s="52">
        <f>IF(AB1625="","",IFERROR(INDEX(ctaTipo,MATCH(AB1625,ctaNombre,0))&amp;"",""))</f>
        <v/>
      </c>
      <c r="AE1625" s="52">
        <f>IF(AC1625="","",IFERROR(INDEX(ctaTipo,MATCH(AC1625,ctaNombre,0))&amp;"",""))</f>
        <v/>
      </c>
      <c r="AF1625" s="53">
        <f>IF(OR(P1625="",AB1625=""),"",IF(OR(P1625="Gasto",P1625="Transferencia",P1625="Pago tarjeta"),-1,1)*IF(IFERROR(INDEX(ctaMoneda,MATCH(AB1625,ctaNombre,0))&amp;"","DOP")="USD",T1625,S1625))</f>
        <v/>
      </c>
      <c r="AG1625" s="53">
        <f>IF(AC1625="","",IF(IFERROR(INDEX(ctaMoneda,MATCH(AC1625,ctaNombre,0))&amp;"","DOP")="USD",T1625,S1625))</f>
        <v/>
      </c>
      <c r="AH1625" s="53">
        <f>IF(P1625="","",IF(AND(AD1625&lt;&gt;"",COUNTIFS(tcTipo,AD1625,tcLiq,"Sí")&gt;0),IF(OR(P1625="Gasto",P1625="Transferencia",P1625="Pago tarjeta"),-1,1)*S1625,0)+IF(AND(AE1625&lt;&gt;"",COUNTIFS(tcTipo,AE1625,tcLiq,"Sí")&gt;0),S1625,0))</f>
        <v/>
      </c>
      <c r="AI1625" s="52">
        <f>IF(OR(L1625="",P1625=""),"",IF(COUNTIFS(L$6:L1625,L1625,P$6:P1625,"?*")=1,MAX(AI$5:AI1624)+1,""))</f>
        <v/>
      </c>
    </row>
    <row r="1626">
      <c r="B1626" s="47" t="n"/>
      <c r="C1626" s="48" t="n"/>
      <c r="D1626" s="48" t="n"/>
      <c r="E1626" s="48" t="n"/>
      <c r="F1626" s="48" t="n"/>
      <c r="G1626" s="49" t="n"/>
      <c r="H1626" s="48" t="n"/>
      <c r="I1626" s="50" t="n"/>
      <c r="J1626" s="48" t="n"/>
      <c r="K1626" s="48" t="n"/>
      <c r="L1626" s="48" t="n"/>
      <c r="M1626" s="48" t="n"/>
      <c r="N1626" s="48" t="n"/>
      <c r="O1626" s="51">
        <f>IF(AND(B1626="",G1626="",C1626="",D1626="",J1626=""),"",IF(B1626="","⚠ Falta fecha",IF(G1626="","⚠ Falta monto",IF(Q1626="","⚠ Falta cuenta",IF(ISNA(MATCH(Q1626,ctaNombre,0)),"⚠ Cuenta no registrada",IF(AND(OR(P1626="Gasto",P1626="Reembolso"),D1626=""),"⚠ Falta categoría",IF(AND(D1626&lt;&gt;"",E1626&lt;&gt;"",ISNA(MATCH(D1626&amp;"|"&amp;E1626,catClave,0))),"⚠ Subcategoría no corresponde",IF(AND(OR(P1626="Transferencia",P1626="Pago tarjeta"),K1626=""),"⚠ Falta cuenta destino",IF(AND(K1626&lt;&gt;"",P1626&lt;&gt;"Transferencia",P1626&lt;&gt;"Pago tarjeta"),"⚠ Destino solo aplica a transferencias",IF(AND(K1626&lt;&gt;"",K1626=Q1626),"⚠ Origen igual a destino",IF(AND(K1626&lt;&gt;"",ISNA(MATCH(K1626,ctaNombre,0))),"⚠ Destino no registrado",IF(AND(P1626="Pago tarjeta",AE1626&lt;&gt;"Tarjeta de crédito"),"⚠ El destino debe ser tarjeta de crédito",IF(AND(P1626="Gasto",E1626="Depósitos y retiros"),"⚠ Usa tipo Transferencia",IF(AND(P1626="Resultado trading",AD1626&lt;&gt;"Cuenta de trading"),"⚠ Usa una cuenta de trading",IF(AND(G1626&lt;=0,P1626&lt;&gt;"Ajuste",P1626&lt;&gt;"Resultado trading"),"⚠ El monto debe ser positivo","✓")))))))))))))))</f>
        <v/>
      </c>
      <c r="P1626" s="52">
        <f>IF(OR(B1626="",G1626=""),"",IF(C1626="","Gasto",C1626))</f>
        <v/>
      </c>
      <c r="Q1626" s="52">
        <f>IF(P1626="","",IF(J1626&lt;&gt;"",J1626,CuentaPred&amp;""))</f>
        <v/>
      </c>
      <c r="R1626" s="52">
        <f>IF(P1626="","",IF(ISNUMBER(I1626),I1626,TasaUSD))</f>
        <v/>
      </c>
      <c r="S1626" s="53">
        <f>IF(P1626="","",IF(H1626="USD",G1626*R1626,G1626))</f>
        <v/>
      </c>
      <c r="T1626" s="53">
        <f>IF(P1626="","",IF(H1626="USD",G1626,IF(R1626&gt;0,G1626/R1626,0)))</f>
        <v/>
      </c>
      <c r="U1626" s="53">
        <f>IF(P1626="","",IF(P1626="Gasto",S1626,IF(P1626="Reembolso",-S1626,0)))</f>
        <v/>
      </c>
      <c r="V1626" s="53">
        <f>IF(P1626="","",IF(P1626="Ingreso",S1626,0))</f>
        <v/>
      </c>
      <c r="W1626" s="53">
        <f>IF(P1626="","",IF(P1626="Resultado trading",S1626,0))</f>
        <v/>
      </c>
      <c r="X1626" s="52">
        <f>IF(OR(P1626="Gasto",P1626="Reembolso"),IF(M1626&lt;&gt;"",M1626,IFERROR(INDEX(catClasif,MATCH(D1626&amp;"|"&amp;E1626,catClave,0))&amp;"","Variable")),"")</f>
        <v/>
      </c>
      <c r="Y1626" s="52">
        <f>IF(P1626="","",IFERROR(INDEX(catGrupo,MATCH(D1626&amp;"|"&amp;E1626,catClave,0))&amp;"",""))</f>
        <v/>
      </c>
      <c r="Z1626" s="52">
        <f>IF(P1626="","",WEEKDAY(B1626,2))</f>
        <v/>
      </c>
      <c r="AA1626" s="52">
        <f>IF(P1626="","",IF(AND(P1626="Gasto",X1626="Variable",D1626&lt;&gt;catTrading,S1626&gt;0,S1626&lt;=Umbral),1,0))</f>
        <v/>
      </c>
      <c r="AB1626" s="52">
        <f>IF(OR(P1626="",Q1626=""),"",IFERROR(IF(INDEX(ctaVinc,MATCH(Q1626,ctaNombre,0))&amp;""&lt;&gt;"",INDEX(ctaVinc,MATCH(Q1626,ctaNombre,0))&amp;"",Q1626),Q1626))</f>
        <v/>
      </c>
      <c r="AC1626" s="52">
        <f>IF(OR(K1626="",AND(P1626&lt;&gt;"Transferencia",P1626&lt;&gt;"Pago tarjeta")),"",IFERROR(IF(INDEX(ctaVinc,MATCH(K1626,ctaNombre,0))&amp;""&lt;&gt;"",INDEX(ctaVinc,MATCH(K1626,ctaNombre,0))&amp;"",K1626),K1626))</f>
        <v/>
      </c>
      <c r="AD1626" s="52">
        <f>IF(AB1626="","",IFERROR(INDEX(ctaTipo,MATCH(AB1626,ctaNombre,0))&amp;"",""))</f>
        <v/>
      </c>
      <c r="AE1626" s="52">
        <f>IF(AC1626="","",IFERROR(INDEX(ctaTipo,MATCH(AC1626,ctaNombre,0))&amp;"",""))</f>
        <v/>
      </c>
      <c r="AF1626" s="53">
        <f>IF(OR(P1626="",AB1626=""),"",IF(OR(P1626="Gasto",P1626="Transferencia",P1626="Pago tarjeta"),-1,1)*IF(IFERROR(INDEX(ctaMoneda,MATCH(AB1626,ctaNombre,0))&amp;"","DOP")="USD",T1626,S1626))</f>
        <v/>
      </c>
      <c r="AG1626" s="53">
        <f>IF(AC1626="","",IF(IFERROR(INDEX(ctaMoneda,MATCH(AC1626,ctaNombre,0))&amp;"","DOP")="USD",T1626,S1626))</f>
        <v/>
      </c>
      <c r="AH1626" s="53">
        <f>IF(P1626="","",IF(AND(AD1626&lt;&gt;"",COUNTIFS(tcTipo,AD1626,tcLiq,"Sí")&gt;0),IF(OR(P1626="Gasto",P1626="Transferencia",P1626="Pago tarjeta"),-1,1)*S1626,0)+IF(AND(AE1626&lt;&gt;"",COUNTIFS(tcTipo,AE1626,tcLiq,"Sí")&gt;0),S1626,0))</f>
        <v/>
      </c>
      <c r="AI1626" s="52">
        <f>IF(OR(L1626="",P1626=""),"",IF(COUNTIFS(L$6:L1626,L1626,P$6:P1626,"?*")=1,MAX(AI$5:AI1625)+1,""))</f>
        <v/>
      </c>
    </row>
    <row r="1627">
      <c r="B1627" s="47" t="n"/>
      <c r="C1627" s="48" t="n"/>
      <c r="D1627" s="48" t="n"/>
      <c r="E1627" s="48" t="n"/>
      <c r="F1627" s="48" t="n"/>
      <c r="G1627" s="49" t="n"/>
      <c r="H1627" s="48" t="n"/>
      <c r="I1627" s="50" t="n"/>
      <c r="J1627" s="48" t="n"/>
      <c r="K1627" s="48" t="n"/>
      <c r="L1627" s="48" t="n"/>
      <c r="M1627" s="48" t="n"/>
      <c r="N1627" s="48" t="n"/>
      <c r="O1627" s="51">
        <f>IF(AND(B1627="",G1627="",C1627="",D1627="",J1627=""),"",IF(B1627="","⚠ Falta fecha",IF(G1627="","⚠ Falta monto",IF(Q1627="","⚠ Falta cuenta",IF(ISNA(MATCH(Q1627,ctaNombre,0)),"⚠ Cuenta no registrada",IF(AND(OR(P1627="Gasto",P1627="Reembolso"),D1627=""),"⚠ Falta categoría",IF(AND(D1627&lt;&gt;"",E1627&lt;&gt;"",ISNA(MATCH(D1627&amp;"|"&amp;E1627,catClave,0))),"⚠ Subcategoría no corresponde",IF(AND(OR(P1627="Transferencia",P1627="Pago tarjeta"),K1627=""),"⚠ Falta cuenta destino",IF(AND(K1627&lt;&gt;"",P1627&lt;&gt;"Transferencia",P1627&lt;&gt;"Pago tarjeta"),"⚠ Destino solo aplica a transferencias",IF(AND(K1627&lt;&gt;"",K1627=Q1627),"⚠ Origen igual a destino",IF(AND(K1627&lt;&gt;"",ISNA(MATCH(K1627,ctaNombre,0))),"⚠ Destino no registrado",IF(AND(P1627="Pago tarjeta",AE1627&lt;&gt;"Tarjeta de crédito"),"⚠ El destino debe ser tarjeta de crédito",IF(AND(P1627="Gasto",E1627="Depósitos y retiros"),"⚠ Usa tipo Transferencia",IF(AND(P1627="Resultado trading",AD1627&lt;&gt;"Cuenta de trading"),"⚠ Usa una cuenta de trading",IF(AND(G1627&lt;=0,P1627&lt;&gt;"Ajuste",P1627&lt;&gt;"Resultado trading"),"⚠ El monto debe ser positivo","✓")))))))))))))))</f>
        <v/>
      </c>
      <c r="P1627" s="52">
        <f>IF(OR(B1627="",G1627=""),"",IF(C1627="","Gasto",C1627))</f>
        <v/>
      </c>
      <c r="Q1627" s="52">
        <f>IF(P1627="","",IF(J1627&lt;&gt;"",J1627,CuentaPred&amp;""))</f>
        <v/>
      </c>
      <c r="R1627" s="52">
        <f>IF(P1627="","",IF(ISNUMBER(I1627),I1627,TasaUSD))</f>
        <v/>
      </c>
      <c r="S1627" s="53">
        <f>IF(P1627="","",IF(H1627="USD",G1627*R1627,G1627))</f>
        <v/>
      </c>
      <c r="T1627" s="53">
        <f>IF(P1627="","",IF(H1627="USD",G1627,IF(R1627&gt;0,G1627/R1627,0)))</f>
        <v/>
      </c>
      <c r="U1627" s="53">
        <f>IF(P1627="","",IF(P1627="Gasto",S1627,IF(P1627="Reembolso",-S1627,0)))</f>
        <v/>
      </c>
      <c r="V1627" s="53">
        <f>IF(P1627="","",IF(P1627="Ingreso",S1627,0))</f>
        <v/>
      </c>
      <c r="W1627" s="53">
        <f>IF(P1627="","",IF(P1627="Resultado trading",S1627,0))</f>
        <v/>
      </c>
      <c r="X1627" s="52">
        <f>IF(OR(P1627="Gasto",P1627="Reembolso"),IF(M1627&lt;&gt;"",M1627,IFERROR(INDEX(catClasif,MATCH(D1627&amp;"|"&amp;E1627,catClave,0))&amp;"","Variable")),"")</f>
        <v/>
      </c>
      <c r="Y1627" s="52">
        <f>IF(P1627="","",IFERROR(INDEX(catGrupo,MATCH(D1627&amp;"|"&amp;E1627,catClave,0))&amp;"",""))</f>
        <v/>
      </c>
      <c r="Z1627" s="52">
        <f>IF(P1627="","",WEEKDAY(B1627,2))</f>
        <v/>
      </c>
      <c r="AA1627" s="52">
        <f>IF(P1627="","",IF(AND(P1627="Gasto",X1627="Variable",D1627&lt;&gt;catTrading,S1627&gt;0,S1627&lt;=Umbral),1,0))</f>
        <v/>
      </c>
      <c r="AB1627" s="52">
        <f>IF(OR(P1627="",Q1627=""),"",IFERROR(IF(INDEX(ctaVinc,MATCH(Q1627,ctaNombre,0))&amp;""&lt;&gt;"",INDEX(ctaVinc,MATCH(Q1627,ctaNombre,0))&amp;"",Q1627),Q1627))</f>
        <v/>
      </c>
      <c r="AC1627" s="52">
        <f>IF(OR(K1627="",AND(P1627&lt;&gt;"Transferencia",P1627&lt;&gt;"Pago tarjeta")),"",IFERROR(IF(INDEX(ctaVinc,MATCH(K1627,ctaNombre,0))&amp;""&lt;&gt;"",INDEX(ctaVinc,MATCH(K1627,ctaNombre,0))&amp;"",K1627),K1627))</f>
        <v/>
      </c>
      <c r="AD1627" s="52">
        <f>IF(AB1627="","",IFERROR(INDEX(ctaTipo,MATCH(AB1627,ctaNombre,0))&amp;"",""))</f>
        <v/>
      </c>
      <c r="AE1627" s="52">
        <f>IF(AC1627="","",IFERROR(INDEX(ctaTipo,MATCH(AC1627,ctaNombre,0))&amp;"",""))</f>
        <v/>
      </c>
      <c r="AF1627" s="53">
        <f>IF(OR(P1627="",AB1627=""),"",IF(OR(P1627="Gasto",P1627="Transferencia",P1627="Pago tarjeta"),-1,1)*IF(IFERROR(INDEX(ctaMoneda,MATCH(AB1627,ctaNombre,0))&amp;"","DOP")="USD",T1627,S1627))</f>
        <v/>
      </c>
      <c r="AG1627" s="53">
        <f>IF(AC1627="","",IF(IFERROR(INDEX(ctaMoneda,MATCH(AC1627,ctaNombre,0))&amp;"","DOP")="USD",T1627,S1627))</f>
        <v/>
      </c>
      <c r="AH1627" s="53">
        <f>IF(P1627="","",IF(AND(AD1627&lt;&gt;"",COUNTIFS(tcTipo,AD1627,tcLiq,"Sí")&gt;0),IF(OR(P1627="Gasto",P1627="Transferencia",P1627="Pago tarjeta"),-1,1)*S1627,0)+IF(AND(AE1627&lt;&gt;"",COUNTIFS(tcTipo,AE1627,tcLiq,"Sí")&gt;0),S1627,0))</f>
        <v/>
      </c>
      <c r="AI1627" s="52">
        <f>IF(OR(L1627="",P1627=""),"",IF(COUNTIFS(L$6:L1627,L1627,P$6:P1627,"?*")=1,MAX(AI$5:AI1626)+1,""))</f>
        <v/>
      </c>
    </row>
    <row r="1628">
      <c r="B1628" s="47" t="n"/>
      <c r="C1628" s="48" t="n"/>
      <c r="D1628" s="48" t="n"/>
      <c r="E1628" s="48" t="n"/>
      <c r="F1628" s="48" t="n"/>
      <c r="G1628" s="49" t="n"/>
      <c r="H1628" s="48" t="n"/>
      <c r="I1628" s="50" t="n"/>
      <c r="J1628" s="48" t="n"/>
      <c r="K1628" s="48" t="n"/>
      <c r="L1628" s="48" t="n"/>
      <c r="M1628" s="48" t="n"/>
      <c r="N1628" s="48" t="n"/>
      <c r="O1628" s="51">
        <f>IF(AND(B1628="",G1628="",C1628="",D1628="",J1628=""),"",IF(B1628="","⚠ Falta fecha",IF(G1628="","⚠ Falta monto",IF(Q1628="","⚠ Falta cuenta",IF(ISNA(MATCH(Q1628,ctaNombre,0)),"⚠ Cuenta no registrada",IF(AND(OR(P1628="Gasto",P1628="Reembolso"),D1628=""),"⚠ Falta categoría",IF(AND(D1628&lt;&gt;"",E1628&lt;&gt;"",ISNA(MATCH(D1628&amp;"|"&amp;E1628,catClave,0))),"⚠ Subcategoría no corresponde",IF(AND(OR(P1628="Transferencia",P1628="Pago tarjeta"),K1628=""),"⚠ Falta cuenta destino",IF(AND(K1628&lt;&gt;"",P1628&lt;&gt;"Transferencia",P1628&lt;&gt;"Pago tarjeta"),"⚠ Destino solo aplica a transferencias",IF(AND(K1628&lt;&gt;"",K1628=Q1628),"⚠ Origen igual a destino",IF(AND(K1628&lt;&gt;"",ISNA(MATCH(K1628,ctaNombre,0))),"⚠ Destino no registrado",IF(AND(P1628="Pago tarjeta",AE1628&lt;&gt;"Tarjeta de crédito"),"⚠ El destino debe ser tarjeta de crédito",IF(AND(P1628="Gasto",E1628="Depósitos y retiros"),"⚠ Usa tipo Transferencia",IF(AND(P1628="Resultado trading",AD1628&lt;&gt;"Cuenta de trading"),"⚠ Usa una cuenta de trading",IF(AND(G1628&lt;=0,P1628&lt;&gt;"Ajuste",P1628&lt;&gt;"Resultado trading"),"⚠ El monto debe ser positivo","✓")))))))))))))))</f>
        <v/>
      </c>
      <c r="P1628" s="52">
        <f>IF(OR(B1628="",G1628=""),"",IF(C1628="","Gasto",C1628))</f>
        <v/>
      </c>
      <c r="Q1628" s="52">
        <f>IF(P1628="","",IF(J1628&lt;&gt;"",J1628,CuentaPred&amp;""))</f>
        <v/>
      </c>
      <c r="R1628" s="52">
        <f>IF(P1628="","",IF(ISNUMBER(I1628),I1628,TasaUSD))</f>
        <v/>
      </c>
      <c r="S1628" s="53">
        <f>IF(P1628="","",IF(H1628="USD",G1628*R1628,G1628))</f>
        <v/>
      </c>
      <c r="T1628" s="53">
        <f>IF(P1628="","",IF(H1628="USD",G1628,IF(R1628&gt;0,G1628/R1628,0)))</f>
        <v/>
      </c>
      <c r="U1628" s="53">
        <f>IF(P1628="","",IF(P1628="Gasto",S1628,IF(P1628="Reembolso",-S1628,0)))</f>
        <v/>
      </c>
      <c r="V1628" s="53">
        <f>IF(P1628="","",IF(P1628="Ingreso",S1628,0))</f>
        <v/>
      </c>
      <c r="W1628" s="53">
        <f>IF(P1628="","",IF(P1628="Resultado trading",S1628,0))</f>
        <v/>
      </c>
      <c r="X1628" s="52">
        <f>IF(OR(P1628="Gasto",P1628="Reembolso"),IF(M1628&lt;&gt;"",M1628,IFERROR(INDEX(catClasif,MATCH(D1628&amp;"|"&amp;E1628,catClave,0))&amp;"","Variable")),"")</f>
        <v/>
      </c>
      <c r="Y1628" s="52">
        <f>IF(P1628="","",IFERROR(INDEX(catGrupo,MATCH(D1628&amp;"|"&amp;E1628,catClave,0))&amp;"",""))</f>
        <v/>
      </c>
      <c r="Z1628" s="52">
        <f>IF(P1628="","",WEEKDAY(B1628,2))</f>
        <v/>
      </c>
      <c r="AA1628" s="52">
        <f>IF(P1628="","",IF(AND(P1628="Gasto",X1628="Variable",D1628&lt;&gt;catTrading,S1628&gt;0,S1628&lt;=Umbral),1,0))</f>
        <v/>
      </c>
      <c r="AB1628" s="52">
        <f>IF(OR(P1628="",Q1628=""),"",IFERROR(IF(INDEX(ctaVinc,MATCH(Q1628,ctaNombre,0))&amp;""&lt;&gt;"",INDEX(ctaVinc,MATCH(Q1628,ctaNombre,0))&amp;"",Q1628),Q1628))</f>
        <v/>
      </c>
      <c r="AC1628" s="52">
        <f>IF(OR(K1628="",AND(P1628&lt;&gt;"Transferencia",P1628&lt;&gt;"Pago tarjeta")),"",IFERROR(IF(INDEX(ctaVinc,MATCH(K1628,ctaNombre,0))&amp;""&lt;&gt;"",INDEX(ctaVinc,MATCH(K1628,ctaNombre,0))&amp;"",K1628),K1628))</f>
        <v/>
      </c>
      <c r="AD1628" s="52">
        <f>IF(AB1628="","",IFERROR(INDEX(ctaTipo,MATCH(AB1628,ctaNombre,0))&amp;"",""))</f>
        <v/>
      </c>
      <c r="AE1628" s="52">
        <f>IF(AC1628="","",IFERROR(INDEX(ctaTipo,MATCH(AC1628,ctaNombre,0))&amp;"",""))</f>
        <v/>
      </c>
      <c r="AF1628" s="53">
        <f>IF(OR(P1628="",AB1628=""),"",IF(OR(P1628="Gasto",P1628="Transferencia",P1628="Pago tarjeta"),-1,1)*IF(IFERROR(INDEX(ctaMoneda,MATCH(AB1628,ctaNombre,0))&amp;"","DOP")="USD",T1628,S1628))</f>
        <v/>
      </c>
      <c r="AG1628" s="53">
        <f>IF(AC1628="","",IF(IFERROR(INDEX(ctaMoneda,MATCH(AC1628,ctaNombre,0))&amp;"","DOP")="USD",T1628,S1628))</f>
        <v/>
      </c>
      <c r="AH1628" s="53">
        <f>IF(P1628="","",IF(AND(AD1628&lt;&gt;"",COUNTIFS(tcTipo,AD1628,tcLiq,"Sí")&gt;0),IF(OR(P1628="Gasto",P1628="Transferencia",P1628="Pago tarjeta"),-1,1)*S1628,0)+IF(AND(AE1628&lt;&gt;"",COUNTIFS(tcTipo,AE1628,tcLiq,"Sí")&gt;0),S1628,0))</f>
        <v/>
      </c>
      <c r="AI1628" s="52">
        <f>IF(OR(L1628="",P1628=""),"",IF(COUNTIFS(L$6:L1628,L1628,P$6:P1628,"?*")=1,MAX(AI$5:AI1627)+1,""))</f>
        <v/>
      </c>
    </row>
    <row r="1629">
      <c r="B1629" s="47" t="n"/>
      <c r="C1629" s="48" t="n"/>
      <c r="D1629" s="48" t="n"/>
      <c r="E1629" s="48" t="n"/>
      <c r="F1629" s="48" t="n"/>
      <c r="G1629" s="49" t="n"/>
      <c r="H1629" s="48" t="n"/>
      <c r="I1629" s="50" t="n"/>
      <c r="J1629" s="48" t="n"/>
      <c r="K1629" s="48" t="n"/>
      <c r="L1629" s="48" t="n"/>
      <c r="M1629" s="48" t="n"/>
      <c r="N1629" s="48" t="n"/>
      <c r="O1629" s="51">
        <f>IF(AND(B1629="",G1629="",C1629="",D1629="",J1629=""),"",IF(B1629="","⚠ Falta fecha",IF(G1629="","⚠ Falta monto",IF(Q1629="","⚠ Falta cuenta",IF(ISNA(MATCH(Q1629,ctaNombre,0)),"⚠ Cuenta no registrada",IF(AND(OR(P1629="Gasto",P1629="Reembolso"),D1629=""),"⚠ Falta categoría",IF(AND(D1629&lt;&gt;"",E1629&lt;&gt;"",ISNA(MATCH(D1629&amp;"|"&amp;E1629,catClave,0))),"⚠ Subcategoría no corresponde",IF(AND(OR(P1629="Transferencia",P1629="Pago tarjeta"),K1629=""),"⚠ Falta cuenta destino",IF(AND(K1629&lt;&gt;"",P1629&lt;&gt;"Transferencia",P1629&lt;&gt;"Pago tarjeta"),"⚠ Destino solo aplica a transferencias",IF(AND(K1629&lt;&gt;"",K1629=Q1629),"⚠ Origen igual a destino",IF(AND(K1629&lt;&gt;"",ISNA(MATCH(K1629,ctaNombre,0))),"⚠ Destino no registrado",IF(AND(P1629="Pago tarjeta",AE1629&lt;&gt;"Tarjeta de crédito"),"⚠ El destino debe ser tarjeta de crédito",IF(AND(P1629="Gasto",E1629="Depósitos y retiros"),"⚠ Usa tipo Transferencia",IF(AND(P1629="Resultado trading",AD1629&lt;&gt;"Cuenta de trading"),"⚠ Usa una cuenta de trading",IF(AND(G1629&lt;=0,P1629&lt;&gt;"Ajuste",P1629&lt;&gt;"Resultado trading"),"⚠ El monto debe ser positivo","✓")))))))))))))))</f>
        <v/>
      </c>
      <c r="P1629" s="52">
        <f>IF(OR(B1629="",G1629=""),"",IF(C1629="","Gasto",C1629))</f>
        <v/>
      </c>
      <c r="Q1629" s="52">
        <f>IF(P1629="","",IF(J1629&lt;&gt;"",J1629,CuentaPred&amp;""))</f>
        <v/>
      </c>
      <c r="R1629" s="52">
        <f>IF(P1629="","",IF(ISNUMBER(I1629),I1629,TasaUSD))</f>
        <v/>
      </c>
      <c r="S1629" s="53">
        <f>IF(P1629="","",IF(H1629="USD",G1629*R1629,G1629))</f>
        <v/>
      </c>
      <c r="T1629" s="53">
        <f>IF(P1629="","",IF(H1629="USD",G1629,IF(R1629&gt;0,G1629/R1629,0)))</f>
        <v/>
      </c>
      <c r="U1629" s="53">
        <f>IF(P1629="","",IF(P1629="Gasto",S1629,IF(P1629="Reembolso",-S1629,0)))</f>
        <v/>
      </c>
      <c r="V1629" s="53">
        <f>IF(P1629="","",IF(P1629="Ingreso",S1629,0))</f>
        <v/>
      </c>
      <c r="W1629" s="53">
        <f>IF(P1629="","",IF(P1629="Resultado trading",S1629,0))</f>
        <v/>
      </c>
      <c r="X1629" s="52">
        <f>IF(OR(P1629="Gasto",P1629="Reembolso"),IF(M1629&lt;&gt;"",M1629,IFERROR(INDEX(catClasif,MATCH(D1629&amp;"|"&amp;E1629,catClave,0))&amp;"","Variable")),"")</f>
        <v/>
      </c>
      <c r="Y1629" s="52">
        <f>IF(P1629="","",IFERROR(INDEX(catGrupo,MATCH(D1629&amp;"|"&amp;E1629,catClave,0))&amp;"",""))</f>
        <v/>
      </c>
      <c r="Z1629" s="52">
        <f>IF(P1629="","",WEEKDAY(B1629,2))</f>
        <v/>
      </c>
      <c r="AA1629" s="52">
        <f>IF(P1629="","",IF(AND(P1629="Gasto",X1629="Variable",D1629&lt;&gt;catTrading,S1629&gt;0,S1629&lt;=Umbral),1,0))</f>
        <v/>
      </c>
      <c r="AB1629" s="52">
        <f>IF(OR(P1629="",Q1629=""),"",IFERROR(IF(INDEX(ctaVinc,MATCH(Q1629,ctaNombre,0))&amp;""&lt;&gt;"",INDEX(ctaVinc,MATCH(Q1629,ctaNombre,0))&amp;"",Q1629),Q1629))</f>
        <v/>
      </c>
      <c r="AC1629" s="52">
        <f>IF(OR(K1629="",AND(P1629&lt;&gt;"Transferencia",P1629&lt;&gt;"Pago tarjeta")),"",IFERROR(IF(INDEX(ctaVinc,MATCH(K1629,ctaNombre,0))&amp;""&lt;&gt;"",INDEX(ctaVinc,MATCH(K1629,ctaNombre,0))&amp;"",K1629),K1629))</f>
        <v/>
      </c>
      <c r="AD1629" s="52">
        <f>IF(AB1629="","",IFERROR(INDEX(ctaTipo,MATCH(AB1629,ctaNombre,0))&amp;"",""))</f>
        <v/>
      </c>
      <c r="AE1629" s="52">
        <f>IF(AC1629="","",IFERROR(INDEX(ctaTipo,MATCH(AC1629,ctaNombre,0))&amp;"",""))</f>
        <v/>
      </c>
      <c r="AF1629" s="53">
        <f>IF(OR(P1629="",AB1629=""),"",IF(OR(P1629="Gasto",P1629="Transferencia",P1629="Pago tarjeta"),-1,1)*IF(IFERROR(INDEX(ctaMoneda,MATCH(AB1629,ctaNombre,0))&amp;"","DOP")="USD",T1629,S1629))</f>
        <v/>
      </c>
      <c r="AG1629" s="53">
        <f>IF(AC1629="","",IF(IFERROR(INDEX(ctaMoneda,MATCH(AC1629,ctaNombre,0))&amp;"","DOP")="USD",T1629,S1629))</f>
        <v/>
      </c>
      <c r="AH1629" s="53">
        <f>IF(P1629="","",IF(AND(AD1629&lt;&gt;"",COUNTIFS(tcTipo,AD1629,tcLiq,"Sí")&gt;0),IF(OR(P1629="Gasto",P1629="Transferencia",P1629="Pago tarjeta"),-1,1)*S1629,0)+IF(AND(AE1629&lt;&gt;"",COUNTIFS(tcTipo,AE1629,tcLiq,"Sí")&gt;0),S1629,0))</f>
        <v/>
      </c>
      <c r="AI1629" s="52">
        <f>IF(OR(L1629="",P1629=""),"",IF(COUNTIFS(L$6:L1629,L1629,P$6:P1629,"?*")=1,MAX(AI$5:AI1628)+1,""))</f>
        <v/>
      </c>
    </row>
    <row r="1630">
      <c r="B1630" s="47" t="n"/>
      <c r="C1630" s="48" t="n"/>
      <c r="D1630" s="48" t="n"/>
      <c r="E1630" s="48" t="n"/>
      <c r="F1630" s="48" t="n"/>
      <c r="G1630" s="49" t="n"/>
      <c r="H1630" s="48" t="n"/>
      <c r="I1630" s="50" t="n"/>
      <c r="J1630" s="48" t="n"/>
      <c r="K1630" s="48" t="n"/>
      <c r="L1630" s="48" t="n"/>
      <c r="M1630" s="48" t="n"/>
      <c r="N1630" s="48" t="n"/>
      <c r="O1630" s="51">
        <f>IF(AND(B1630="",G1630="",C1630="",D1630="",J1630=""),"",IF(B1630="","⚠ Falta fecha",IF(G1630="","⚠ Falta monto",IF(Q1630="","⚠ Falta cuenta",IF(ISNA(MATCH(Q1630,ctaNombre,0)),"⚠ Cuenta no registrada",IF(AND(OR(P1630="Gasto",P1630="Reembolso"),D1630=""),"⚠ Falta categoría",IF(AND(D1630&lt;&gt;"",E1630&lt;&gt;"",ISNA(MATCH(D1630&amp;"|"&amp;E1630,catClave,0))),"⚠ Subcategoría no corresponde",IF(AND(OR(P1630="Transferencia",P1630="Pago tarjeta"),K1630=""),"⚠ Falta cuenta destino",IF(AND(K1630&lt;&gt;"",P1630&lt;&gt;"Transferencia",P1630&lt;&gt;"Pago tarjeta"),"⚠ Destino solo aplica a transferencias",IF(AND(K1630&lt;&gt;"",K1630=Q1630),"⚠ Origen igual a destino",IF(AND(K1630&lt;&gt;"",ISNA(MATCH(K1630,ctaNombre,0))),"⚠ Destino no registrado",IF(AND(P1630="Pago tarjeta",AE1630&lt;&gt;"Tarjeta de crédito"),"⚠ El destino debe ser tarjeta de crédito",IF(AND(P1630="Gasto",E1630="Depósitos y retiros"),"⚠ Usa tipo Transferencia",IF(AND(P1630="Resultado trading",AD1630&lt;&gt;"Cuenta de trading"),"⚠ Usa una cuenta de trading",IF(AND(G1630&lt;=0,P1630&lt;&gt;"Ajuste",P1630&lt;&gt;"Resultado trading"),"⚠ El monto debe ser positivo","✓")))))))))))))))</f>
        <v/>
      </c>
      <c r="P1630" s="52">
        <f>IF(OR(B1630="",G1630=""),"",IF(C1630="","Gasto",C1630))</f>
        <v/>
      </c>
      <c r="Q1630" s="52">
        <f>IF(P1630="","",IF(J1630&lt;&gt;"",J1630,CuentaPred&amp;""))</f>
        <v/>
      </c>
      <c r="R1630" s="52">
        <f>IF(P1630="","",IF(ISNUMBER(I1630),I1630,TasaUSD))</f>
        <v/>
      </c>
      <c r="S1630" s="53">
        <f>IF(P1630="","",IF(H1630="USD",G1630*R1630,G1630))</f>
        <v/>
      </c>
      <c r="T1630" s="53">
        <f>IF(P1630="","",IF(H1630="USD",G1630,IF(R1630&gt;0,G1630/R1630,0)))</f>
        <v/>
      </c>
      <c r="U1630" s="53">
        <f>IF(P1630="","",IF(P1630="Gasto",S1630,IF(P1630="Reembolso",-S1630,0)))</f>
        <v/>
      </c>
      <c r="V1630" s="53">
        <f>IF(P1630="","",IF(P1630="Ingreso",S1630,0))</f>
        <v/>
      </c>
      <c r="W1630" s="53">
        <f>IF(P1630="","",IF(P1630="Resultado trading",S1630,0))</f>
        <v/>
      </c>
      <c r="X1630" s="52">
        <f>IF(OR(P1630="Gasto",P1630="Reembolso"),IF(M1630&lt;&gt;"",M1630,IFERROR(INDEX(catClasif,MATCH(D1630&amp;"|"&amp;E1630,catClave,0))&amp;"","Variable")),"")</f>
        <v/>
      </c>
      <c r="Y1630" s="52">
        <f>IF(P1630="","",IFERROR(INDEX(catGrupo,MATCH(D1630&amp;"|"&amp;E1630,catClave,0))&amp;"",""))</f>
        <v/>
      </c>
      <c r="Z1630" s="52">
        <f>IF(P1630="","",WEEKDAY(B1630,2))</f>
        <v/>
      </c>
      <c r="AA1630" s="52">
        <f>IF(P1630="","",IF(AND(P1630="Gasto",X1630="Variable",D1630&lt;&gt;catTrading,S1630&gt;0,S1630&lt;=Umbral),1,0))</f>
        <v/>
      </c>
      <c r="AB1630" s="52">
        <f>IF(OR(P1630="",Q1630=""),"",IFERROR(IF(INDEX(ctaVinc,MATCH(Q1630,ctaNombre,0))&amp;""&lt;&gt;"",INDEX(ctaVinc,MATCH(Q1630,ctaNombre,0))&amp;"",Q1630),Q1630))</f>
        <v/>
      </c>
      <c r="AC1630" s="52">
        <f>IF(OR(K1630="",AND(P1630&lt;&gt;"Transferencia",P1630&lt;&gt;"Pago tarjeta")),"",IFERROR(IF(INDEX(ctaVinc,MATCH(K1630,ctaNombre,0))&amp;""&lt;&gt;"",INDEX(ctaVinc,MATCH(K1630,ctaNombre,0))&amp;"",K1630),K1630))</f>
        <v/>
      </c>
      <c r="AD1630" s="52">
        <f>IF(AB1630="","",IFERROR(INDEX(ctaTipo,MATCH(AB1630,ctaNombre,0))&amp;"",""))</f>
        <v/>
      </c>
      <c r="AE1630" s="52">
        <f>IF(AC1630="","",IFERROR(INDEX(ctaTipo,MATCH(AC1630,ctaNombre,0))&amp;"",""))</f>
        <v/>
      </c>
      <c r="AF1630" s="53">
        <f>IF(OR(P1630="",AB1630=""),"",IF(OR(P1630="Gasto",P1630="Transferencia",P1630="Pago tarjeta"),-1,1)*IF(IFERROR(INDEX(ctaMoneda,MATCH(AB1630,ctaNombre,0))&amp;"","DOP")="USD",T1630,S1630))</f>
        <v/>
      </c>
      <c r="AG1630" s="53">
        <f>IF(AC1630="","",IF(IFERROR(INDEX(ctaMoneda,MATCH(AC1630,ctaNombre,0))&amp;"","DOP")="USD",T1630,S1630))</f>
        <v/>
      </c>
      <c r="AH1630" s="53">
        <f>IF(P1630="","",IF(AND(AD1630&lt;&gt;"",COUNTIFS(tcTipo,AD1630,tcLiq,"Sí")&gt;0),IF(OR(P1630="Gasto",P1630="Transferencia",P1630="Pago tarjeta"),-1,1)*S1630,0)+IF(AND(AE1630&lt;&gt;"",COUNTIFS(tcTipo,AE1630,tcLiq,"Sí")&gt;0),S1630,0))</f>
        <v/>
      </c>
      <c r="AI1630" s="52">
        <f>IF(OR(L1630="",P1630=""),"",IF(COUNTIFS(L$6:L1630,L1630,P$6:P1630,"?*")=1,MAX(AI$5:AI1629)+1,""))</f>
        <v/>
      </c>
    </row>
    <row r="1631">
      <c r="B1631" s="47" t="n"/>
      <c r="C1631" s="48" t="n"/>
      <c r="D1631" s="48" t="n"/>
      <c r="E1631" s="48" t="n"/>
      <c r="F1631" s="48" t="n"/>
      <c r="G1631" s="49" t="n"/>
      <c r="H1631" s="48" t="n"/>
      <c r="I1631" s="50" t="n"/>
      <c r="J1631" s="48" t="n"/>
      <c r="K1631" s="48" t="n"/>
      <c r="L1631" s="48" t="n"/>
      <c r="M1631" s="48" t="n"/>
      <c r="N1631" s="48" t="n"/>
      <c r="O1631" s="51">
        <f>IF(AND(B1631="",G1631="",C1631="",D1631="",J1631=""),"",IF(B1631="","⚠ Falta fecha",IF(G1631="","⚠ Falta monto",IF(Q1631="","⚠ Falta cuenta",IF(ISNA(MATCH(Q1631,ctaNombre,0)),"⚠ Cuenta no registrada",IF(AND(OR(P1631="Gasto",P1631="Reembolso"),D1631=""),"⚠ Falta categoría",IF(AND(D1631&lt;&gt;"",E1631&lt;&gt;"",ISNA(MATCH(D1631&amp;"|"&amp;E1631,catClave,0))),"⚠ Subcategoría no corresponde",IF(AND(OR(P1631="Transferencia",P1631="Pago tarjeta"),K1631=""),"⚠ Falta cuenta destino",IF(AND(K1631&lt;&gt;"",P1631&lt;&gt;"Transferencia",P1631&lt;&gt;"Pago tarjeta"),"⚠ Destino solo aplica a transferencias",IF(AND(K1631&lt;&gt;"",K1631=Q1631),"⚠ Origen igual a destino",IF(AND(K1631&lt;&gt;"",ISNA(MATCH(K1631,ctaNombre,0))),"⚠ Destino no registrado",IF(AND(P1631="Pago tarjeta",AE1631&lt;&gt;"Tarjeta de crédito"),"⚠ El destino debe ser tarjeta de crédito",IF(AND(P1631="Gasto",E1631="Depósitos y retiros"),"⚠ Usa tipo Transferencia",IF(AND(P1631="Resultado trading",AD1631&lt;&gt;"Cuenta de trading"),"⚠ Usa una cuenta de trading",IF(AND(G1631&lt;=0,P1631&lt;&gt;"Ajuste",P1631&lt;&gt;"Resultado trading"),"⚠ El monto debe ser positivo","✓")))))))))))))))</f>
        <v/>
      </c>
      <c r="P1631" s="52">
        <f>IF(OR(B1631="",G1631=""),"",IF(C1631="","Gasto",C1631))</f>
        <v/>
      </c>
      <c r="Q1631" s="52">
        <f>IF(P1631="","",IF(J1631&lt;&gt;"",J1631,CuentaPred&amp;""))</f>
        <v/>
      </c>
      <c r="R1631" s="52">
        <f>IF(P1631="","",IF(ISNUMBER(I1631),I1631,TasaUSD))</f>
        <v/>
      </c>
      <c r="S1631" s="53">
        <f>IF(P1631="","",IF(H1631="USD",G1631*R1631,G1631))</f>
        <v/>
      </c>
      <c r="T1631" s="53">
        <f>IF(P1631="","",IF(H1631="USD",G1631,IF(R1631&gt;0,G1631/R1631,0)))</f>
        <v/>
      </c>
      <c r="U1631" s="53">
        <f>IF(P1631="","",IF(P1631="Gasto",S1631,IF(P1631="Reembolso",-S1631,0)))</f>
        <v/>
      </c>
      <c r="V1631" s="53">
        <f>IF(P1631="","",IF(P1631="Ingreso",S1631,0))</f>
        <v/>
      </c>
      <c r="W1631" s="53">
        <f>IF(P1631="","",IF(P1631="Resultado trading",S1631,0))</f>
        <v/>
      </c>
      <c r="X1631" s="52">
        <f>IF(OR(P1631="Gasto",P1631="Reembolso"),IF(M1631&lt;&gt;"",M1631,IFERROR(INDEX(catClasif,MATCH(D1631&amp;"|"&amp;E1631,catClave,0))&amp;"","Variable")),"")</f>
        <v/>
      </c>
      <c r="Y1631" s="52">
        <f>IF(P1631="","",IFERROR(INDEX(catGrupo,MATCH(D1631&amp;"|"&amp;E1631,catClave,0))&amp;"",""))</f>
        <v/>
      </c>
      <c r="Z1631" s="52">
        <f>IF(P1631="","",WEEKDAY(B1631,2))</f>
        <v/>
      </c>
      <c r="AA1631" s="52">
        <f>IF(P1631="","",IF(AND(P1631="Gasto",X1631="Variable",D1631&lt;&gt;catTrading,S1631&gt;0,S1631&lt;=Umbral),1,0))</f>
        <v/>
      </c>
      <c r="AB1631" s="52">
        <f>IF(OR(P1631="",Q1631=""),"",IFERROR(IF(INDEX(ctaVinc,MATCH(Q1631,ctaNombre,0))&amp;""&lt;&gt;"",INDEX(ctaVinc,MATCH(Q1631,ctaNombre,0))&amp;"",Q1631),Q1631))</f>
        <v/>
      </c>
      <c r="AC1631" s="52">
        <f>IF(OR(K1631="",AND(P1631&lt;&gt;"Transferencia",P1631&lt;&gt;"Pago tarjeta")),"",IFERROR(IF(INDEX(ctaVinc,MATCH(K1631,ctaNombre,0))&amp;""&lt;&gt;"",INDEX(ctaVinc,MATCH(K1631,ctaNombre,0))&amp;"",K1631),K1631))</f>
        <v/>
      </c>
      <c r="AD1631" s="52">
        <f>IF(AB1631="","",IFERROR(INDEX(ctaTipo,MATCH(AB1631,ctaNombre,0))&amp;"",""))</f>
        <v/>
      </c>
      <c r="AE1631" s="52">
        <f>IF(AC1631="","",IFERROR(INDEX(ctaTipo,MATCH(AC1631,ctaNombre,0))&amp;"",""))</f>
        <v/>
      </c>
      <c r="AF1631" s="53">
        <f>IF(OR(P1631="",AB1631=""),"",IF(OR(P1631="Gasto",P1631="Transferencia",P1631="Pago tarjeta"),-1,1)*IF(IFERROR(INDEX(ctaMoneda,MATCH(AB1631,ctaNombre,0))&amp;"","DOP")="USD",T1631,S1631))</f>
        <v/>
      </c>
      <c r="AG1631" s="53">
        <f>IF(AC1631="","",IF(IFERROR(INDEX(ctaMoneda,MATCH(AC1631,ctaNombre,0))&amp;"","DOP")="USD",T1631,S1631))</f>
        <v/>
      </c>
      <c r="AH1631" s="53">
        <f>IF(P1631="","",IF(AND(AD1631&lt;&gt;"",COUNTIFS(tcTipo,AD1631,tcLiq,"Sí")&gt;0),IF(OR(P1631="Gasto",P1631="Transferencia",P1631="Pago tarjeta"),-1,1)*S1631,0)+IF(AND(AE1631&lt;&gt;"",COUNTIFS(tcTipo,AE1631,tcLiq,"Sí")&gt;0),S1631,0))</f>
        <v/>
      </c>
      <c r="AI1631" s="52">
        <f>IF(OR(L1631="",P1631=""),"",IF(COUNTIFS(L$6:L1631,L1631,P$6:P1631,"?*")=1,MAX(AI$5:AI1630)+1,""))</f>
        <v/>
      </c>
    </row>
    <row r="1632">
      <c r="B1632" s="47" t="n"/>
      <c r="C1632" s="48" t="n"/>
      <c r="D1632" s="48" t="n"/>
      <c r="E1632" s="48" t="n"/>
      <c r="F1632" s="48" t="n"/>
      <c r="G1632" s="49" t="n"/>
      <c r="H1632" s="48" t="n"/>
      <c r="I1632" s="50" t="n"/>
      <c r="J1632" s="48" t="n"/>
      <c r="K1632" s="48" t="n"/>
      <c r="L1632" s="48" t="n"/>
      <c r="M1632" s="48" t="n"/>
      <c r="N1632" s="48" t="n"/>
      <c r="O1632" s="51">
        <f>IF(AND(B1632="",G1632="",C1632="",D1632="",J1632=""),"",IF(B1632="","⚠ Falta fecha",IF(G1632="","⚠ Falta monto",IF(Q1632="","⚠ Falta cuenta",IF(ISNA(MATCH(Q1632,ctaNombre,0)),"⚠ Cuenta no registrada",IF(AND(OR(P1632="Gasto",P1632="Reembolso"),D1632=""),"⚠ Falta categoría",IF(AND(D1632&lt;&gt;"",E1632&lt;&gt;"",ISNA(MATCH(D1632&amp;"|"&amp;E1632,catClave,0))),"⚠ Subcategoría no corresponde",IF(AND(OR(P1632="Transferencia",P1632="Pago tarjeta"),K1632=""),"⚠ Falta cuenta destino",IF(AND(K1632&lt;&gt;"",P1632&lt;&gt;"Transferencia",P1632&lt;&gt;"Pago tarjeta"),"⚠ Destino solo aplica a transferencias",IF(AND(K1632&lt;&gt;"",K1632=Q1632),"⚠ Origen igual a destino",IF(AND(K1632&lt;&gt;"",ISNA(MATCH(K1632,ctaNombre,0))),"⚠ Destino no registrado",IF(AND(P1632="Pago tarjeta",AE1632&lt;&gt;"Tarjeta de crédito"),"⚠ El destino debe ser tarjeta de crédito",IF(AND(P1632="Gasto",E1632="Depósitos y retiros"),"⚠ Usa tipo Transferencia",IF(AND(P1632="Resultado trading",AD1632&lt;&gt;"Cuenta de trading"),"⚠ Usa una cuenta de trading",IF(AND(G1632&lt;=0,P1632&lt;&gt;"Ajuste",P1632&lt;&gt;"Resultado trading"),"⚠ El monto debe ser positivo","✓")))))))))))))))</f>
        <v/>
      </c>
      <c r="P1632" s="52">
        <f>IF(OR(B1632="",G1632=""),"",IF(C1632="","Gasto",C1632))</f>
        <v/>
      </c>
      <c r="Q1632" s="52">
        <f>IF(P1632="","",IF(J1632&lt;&gt;"",J1632,CuentaPred&amp;""))</f>
        <v/>
      </c>
      <c r="R1632" s="52">
        <f>IF(P1632="","",IF(ISNUMBER(I1632),I1632,TasaUSD))</f>
        <v/>
      </c>
      <c r="S1632" s="53">
        <f>IF(P1632="","",IF(H1632="USD",G1632*R1632,G1632))</f>
        <v/>
      </c>
      <c r="T1632" s="53">
        <f>IF(P1632="","",IF(H1632="USD",G1632,IF(R1632&gt;0,G1632/R1632,0)))</f>
        <v/>
      </c>
      <c r="U1632" s="53">
        <f>IF(P1632="","",IF(P1632="Gasto",S1632,IF(P1632="Reembolso",-S1632,0)))</f>
        <v/>
      </c>
      <c r="V1632" s="53">
        <f>IF(P1632="","",IF(P1632="Ingreso",S1632,0))</f>
        <v/>
      </c>
      <c r="W1632" s="53">
        <f>IF(P1632="","",IF(P1632="Resultado trading",S1632,0))</f>
        <v/>
      </c>
      <c r="X1632" s="52">
        <f>IF(OR(P1632="Gasto",P1632="Reembolso"),IF(M1632&lt;&gt;"",M1632,IFERROR(INDEX(catClasif,MATCH(D1632&amp;"|"&amp;E1632,catClave,0))&amp;"","Variable")),"")</f>
        <v/>
      </c>
      <c r="Y1632" s="52">
        <f>IF(P1632="","",IFERROR(INDEX(catGrupo,MATCH(D1632&amp;"|"&amp;E1632,catClave,0))&amp;"",""))</f>
        <v/>
      </c>
      <c r="Z1632" s="52">
        <f>IF(P1632="","",WEEKDAY(B1632,2))</f>
        <v/>
      </c>
      <c r="AA1632" s="52">
        <f>IF(P1632="","",IF(AND(P1632="Gasto",X1632="Variable",D1632&lt;&gt;catTrading,S1632&gt;0,S1632&lt;=Umbral),1,0))</f>
        <v/>
      </c>
      <c r="AB1632" s="52">
        <f>IF(OR(P1632="",Q1632=""),"",IFERROR(IF(INDEX(ctaVinc,MATCH(Q1632,ctaNombre,0))&amp;""&lt;&gt;"",INDEX(ctaVinc,MATCH(Q1632,ctaNombre,0))&amp;"",Q1632),Q1632))</f>
        <v/>
      </c>
      <c r="AC1632" s="52">
        <f>IF(OR(K1632="",AND(P1632&lt;&gt;"Transferencia",P1632&lt;&gt;"Pago tarjeta")),"",IFERROR(IF(INDEX(ctaVinc,MATCH(K1632,ctaNombre,0))&amp;""&lt;&gt;"",INDEX(ctaVinc,MATCH(K1632,ctaNombre,0))&amp;"",K1632),K1632))</f>
        <v/>
      </c>
      <c r="AD1632" s="52">
        <f>IF(AB1632="","",IFERROR(INDEX(ctaTipo,MATCH(AB1632,ctaNombre,0))&amp;"",""))</f>
        <v/>
      </c>
      <c r="AE1632" s="52">
        <f>IF(AC1632="","",IFERROR(INDEX(ctaTipo,MATCH(AC1632,ctaNombre,0))&amp;"",""))</f>
        <v/>
      </c>
      <c r="AF1632" s="53">
        <f>IF(OR(P1632="",AB1632=""),"",IF(OR(P1632="Gasto",P1632="Transferencia",P1632="Pago tarjeta"),-1,1)*IF(IFERROR(INDEX(ctaMoneda,MATCH(AB1632,ctaNombre,0))&amp;"","DOP")="USD",T1632,S1632))</f>
        <v/>
      </c>
      <c r="AG1632" s="53">
        <f>IF(AC1632="","",IF(IFERROR(INDEX(ctaMoneda,MATCH(AC1632,ctaNombre,0))&amp;"","DOP")="USD",T1632,S1632))</f>
        <v/>
      </c>
      <c r="AH1632" s="53">
        <f>IF(P1632="","",IF(AND(AD1632&lt;&gt;"",COUNTIFS(tcTipo,AD1632,tcLiq,"Sí")&gt;0),IF(OR(P1632="Gasto",P1632="Transferencia",P1632="Pago tarjeta"),-1,1)*S1632,0)+IF(AND(AE1632&lt;&gt;"",COUNTIFS(tcTipo,AE1632,tcLiq,"Sí")&gt;0),S1632,0))</f>
        <v/>
      </c>
      <c r="AI1632" s="52">
        <f>IF(OR(L1632="",P1632=""),"",IF(COUNTIFS(L$6:L1632,L1632,P$6:P1632,"?*")=1,MAX(AI$5:AI1631)+1,""))</f>
        <v/>
      </c>
    </row>
    <row r="1633">
      <c r="B1633" s="47" t="n"/>
      <c r="C1633" s="48" t="n"/>
      <c r="D1633" s="48" t="n"/>
      <c r="E1633" s="48" t="n"/>
      <c r="F1633" s="48" t="n"/>
      <c r="G1633" s="49" t="n"/>
      <c r="H1633" s="48" t="n"/>
      <c r="I1633" s="50" t="n"/>
      <c r="J1633" s="48" t="n"/>
      <c r="K1633" s="48" t="n"/>
      <c r="L1633" s="48" t="n"/>
      <c r="M1633" s="48" t="n"/>
      <c r="N1633" s="48" t="n"/>
      <c r="O1633" s="51">
        <f>IF(AND(B1633="",G1633="",C1633="",D1633="",J1633=""),"",IF(B1633="","⚠ Falta fecha",IF(G1633="","⚠ Falta monto",IF(Q1633="","⚠ Falta cuenta",IF(ISNA(MATCH(Q1633,ctaNombre,0)),"⚠ Cuenta no registrada",IF(AND(OR(P1633="Gasto",P1633="Reembolso"),D1633=""),"⚠ Falta categoría",IF(AND(D1633&lt;&gt;"",E1633&lt;&gt;"",ISNA(MATCH(D1633&amp;"|"&amp;E1633,catClave,0))),"⚠ Subcategoría no corresponde",IF(AND(OR(P1633="Transferencia",P1633="Pago tarjeta"),K1633=""),"⚠ Falta cuenta destino",IF(AND(K1633&lt;&gt;"",P1633&lt;&gt;"Transferencia",P1633&lt;&gt;"Pago tarjeta"),"⚠ Destino solo aplica a transferencias",IF(AND(K1633&lt;&gt;"",K1633=Q1633),"⚠ Origen igual a destino",IF(AND(K1633&lt;&gt;"",ISNA(MATCH(K1633,ctaNombre,0))),"⚠ Destino no registrado",IF(AND(P1633="Pago tarjeta",AE1633&lt;&gt;"Tarjeta de crédito"),"⚠ El destino debe ser tarjeta de crédito",IF(AND(P1633="Gasto",E1633="Depósitos y retiros"),"⚠ Usa tipo Transferencia",IF(AND(P1633="Resultado trading",AD1633&lt;&gt;"Cuenta de trading"),"⚠ Usa una cuenta de trading",IF(AND(G1633&lt;=0,P1633&lt;&gt;"Ajuste",P1633&lt;&gt;"Resultado trading"),"⚠ El monto debe ser positivo","✓")))))))))))))))</f>
        <v/>
      </c>
      <c r="P1633" s="52">
        <f>IF(OR(B1633="",G1633=""),"",IF(C1633="","Gasto",C1633))</f>
        <v/>
      </c>
      <c r="Q1633" s="52">
        <f>IF(P1633="","",IF(J1633&lt;&gt;"",J1633,CuentaPred&amp;""))</f>
        <v/>
      </c>
      <c r="R1633" s="52">
        <f>IF(P1633="","",IF(ISNUMBER(I1633),I1633,TasaUSD))</f>
        <v/>
      </c>
      <c r="S1633" s="53">
        <f>IF(P1633="","",IF(H1633="USD",G1633*R1633,G1633))</f>
        <v/>
      </c>
      <c r="T1633" s="53">
        <f>IF(P1633="","",IF(H1633="USD",G1633,IF(R1633&gt;0,G1633/R1633,0)))</f>
        <v/>
      </c>
      <c r="U1633" s="53">
        <f>IF(P1633="","",IF(P1633="Gasto",S1633,IF(P1633="Reembolso",-S1633,0)))</f>
        <v/>
      </c>
      <c r="V1633" s="53">
        <f>IF(P1633="","",IF(P1633="Ingreso",S1633,0))</f>
        <v/>
      </c>
      <c r="W1633" s="53">
        <f>IF(P1633="","",IF(P1633="Resultado trading",S1633,0))</f>
        <v/>
      </c>
      <c r="X1633" s="52">
        <f>IF(OR(P1633="Gasto",P1633="Reembolso"),IF(M1633&lt;&gt;"",M1633,IFERROR(INDEX(catClasif,MATCH(D1633&amp;"|"&amp;E1633,catClave,0))&amp;"","Variable")),"")</f>
        <v/>
      </c>
      <c r="Y1633" s="52">
        <f>IF(P1633="","",IFERROR(INDEX(catGrupo,MATCH(D1633&amp;"|"&amp;E1633,catClave,0))&amp;"",""))</f>
        <v/>
      </c>
      <c r="Z1633" s="52">
        <f>IF(P1633="","",WEEKDAY(B1633,2))</f>
        <v/>
      </c>
      <c r="AA1633" s="52">
        <f>IF(P1633="","",IF(AND(P1633="Gasto",X1633="Variable",D1633&lt;&gt;catTrading,S1633&gt;0,S1633&lt;=Umbral),1,0))</f>
        <v/>
      </c>
      <c r="AB1633" s="52">
        <f>IF(OR(P1633="",Q1633=""),"",IFERROR(IF(INDEX(ctaVinc,MATCH(Q1633,ctaNombre,0))&amp;""&lt;&gt;"",INDEX(ctaVinc,MATCH(Q1633,ctaNombre,0))&amp;"",Q1633),Q1633))</f>
        <v/>
      </c>
      <c r="AC1633" s="52">
        <f>IF(OR(K1633="",AND(P1633&lt;&gt;"Transferencia",P1633&lt;&gt;"Pago tarjeta")),"",IFERROR(IF(INDEX(ctaVinc,MATCH(K1633,ctaNombre,0))&amp;""&lt;&gt;"",INDEX(ctaVinc,MATCH(K1633,ctaNombre,0))&amp;"",K1633),K1633))</f>
        <v/>
      </c>
      <c r="AD1633" s="52">
        <f>IF(AB1633="","",IFERROR(INDEX(ctaTipo,MATCH(AB1633,ctaNombre,0))&amp;"",""))</f>
        <v/>
      </c>
      <c r="AE1633" s="52">
        <f>IF(AC1633="","",IFERROR(INDEX(ctaTipo,MATCH(AC1633,ctaNombre,0))&amp;"",""))</f>
        <v/>
      </c>
      <c r="AF1633" s="53">
        <f>IF(OR(P1633="",AB1633=""),"",IF(OR(P1633="Gasto",P1633="Transferencia",P1633="Pago tarjeta"),-1,1)*IF(IFERROR(INDEX(ctaMoneda,MATCH(AB1633,ctaNombre,0))&amp;"","DOP")="USD",T1633,S1633))</f>
        <v/>
      </c>
      <c r="AG1633" s="53">
        <f>IF(AC1633="","",IF(IFERROR(INDEX(ctaMoneda,MATCH(AC1633,ctaNombre,0))&amp;"","DOP")="USD",T1633,S1633))</f>
        <v/>
      </c>
      <c r="AH1633" s="53">
        <f>IF(P1633="","",IF(AND(AD1633&lt;&gt;"",COUNTIFS(tcTipo,AD1633,tcLiq,"Sí")&gt;0),IF(OR(P1633="Gasto",P1633="Transferencia",P1633="Pago tarjeta"),-1,1)*S1633,0)+IF(AND(AE1633&lt;&gt;"",COUNTIFS(tcTipo,AE1633,tcLiq,"Sí")&gt;0),S1633,0))</f>
        <v/>
      </c>
      <c r="AI1633" s="52">
        <f>IF(OR(L1633="",P1633=""),"",IF(COUNTIFS(L$6:L1633,L1633,P$6:P1633,"?*")=1,MAX(AI$5:AI1632)+1,""))</f>
        <v/>
      </c>
    </row>
    <row r="1634">
      <c r="B1634" s="47" t="n"/>
      <c r="C1634" s="48" t="n"/>
      <c r="D1634" s="48" t="n"/>
      <c r="E1634" s="48" t="n"/>
      <c r="F1634" s="48" t="n"/>
      <c r="G1634" s="49" t="n"/>
      <c r="H1634" s="48" t="n"/>
      <c r="I1634" s="50" t="n"/>
      <c r="J1634" s="48" t="n"/>
      <c r="K1634" s="48" t="n"/>
      <c r="L1634" s="48" t="n"/>
      <c r="M1634" s="48" t="n"/>
      <c r="N1634" s="48" t="n"/>
      <c r="O1634" s="51">
        <f>IF(AND(B1634="",G1634="",C1634="",D1634="",J1634=""),"",IF(B1634="","⚠ Falta fecha",IF(G1634="","⚠ Falta monto",IF(Q1634="","⚠ Falta cuenta",IF(ISNA(MATCH(Q1634,ctaNombre,0)),"⚠ Cuenta no registrada",IF(AND(OR(P1634="Gasto",P1634="Reembolso"),D1634=""),"⚠ Falta categoría",IF(AND(D1634&lt;&gt;"",E1634&lt;&gt;"",ISNA(MATCH(D1634&amp;"|"&amp;E1634,catClave,0))),"⚠ Subcategoría no corresponde",IF(AND(OR(P1634="Transferencia",P1634="Pago tarjeta"),K1634=""),"⚠ Falta cuenta destino",IF(AND(K1634&lt;&gt;"",P1634&lt;&gt;"Transferencia",P1634&lt;&gt;"Pago tarjeta"),"⚠ Destino solo aplica a transferencias",IF(AND(K1634&lt;&gt;"",K1634=Q1634),"⚠ Origen igual a destino",IF(AND(K1634&lt;&gt;"",ISNA(MATCH(K1634,ctaNombre,0))),"⚠ Destino no registrado",IF(AND(P1634="Pago tarjeta",AE1634&lt;&gt;"Tarjeta de crédito"),"⚠ El destino debe ser tarjeta de crédito",IF(AND(P1634="Gasto",E1634="Depósitos y retiros"),"⚠ Usa tipo Transferencia",IF(AND(P1634="Resultado trading",AD1634&lt;&gt;"Cuenta de trading"),"⚠ Usa una cuenta de trading",IF(AND(G1634&lt;=0,P1634&lt;&gt;"Ajuste",P1634&lt;&gt;"Resultado trading"),"⚠ El monto debe ser positivo","✓")))))))))))))))</f>
        <v/>
      </c>
      <c r="P1634" s="52">
        <f>IF(OR(B1634="",G1634=""),"",IF(C1634="","Gasto",C1634))</f>
        <v/>
      </c>
      <c r="Q1634" s="52">
        <f>IF(P1634="","",IF(J1634&lt;&gt;"",J1634,CuentaPred&amp;""))</f>
        <v/>
      </c>
      <c r="R1634" s="52">
        <f>IF(P1634="","",IF(ISNUMBER(I1634),I1634,TasaUSD))</f>
        <v/>
      </c>
      <c r="S1634" s="53">
        <f>IF(P1634="","",IF(H1634="USD",G1634*R1634,G1634))</f>
        <v/>
      </c>
      <c r="T1634" s="53">
        <f>IF(P1634="","",IF(H1634="USD",G1634,IF(R1634&gt;0,G1634/R1634,0)))</f>
        <v/>
      </c>
      <c r="U1634" s="53">
        <f>IF(P1634="","",IF(P1634="Gasto",S1634,IF(P1634="Reembolso",-S1634,0)))</f>
        <v/>
      </c>
      <c r="V1634" s="53">
        <f>IF(P1634="","",IF(P1634="Ingreso",S1634,0))</f>
        <v/>
      </c>
      <c r="W1634" s="53">
        <f>IF(P1634="","",IF(P1634="Resultado trading",S1634,0))</f>
        <v/>
      </c>
      <c r="X1634" s="52">
        <f>IF(OR(P1634="Gasto",P1634="Reembolso"),IF(M1634&lt;&gt;"",M1634,IFERROR(INDEX(catClasif,MATCH(D1634&amp;"|"&amp;E1634,catClave,0))&amp;"","Variable")),"")</f>
        <v/>
      </c>
      <c r="Y1634" s="52">
        <f>IF(P1634="","",IFERROR(INDEX(catGrupo,MATCH(D1634&amp;"|"&amp;E1634,catClave,0))&amp;"",""))</f>
        <v/>
      </c>
      <c r="Z1634" s="52">
        <f>IF(P1634="","",WEEKDAY(B1634,2))</f>
        <v/>
      </c>
      <c r="AA1634" s="52">
        <f>IF(P1634="","",IF(AND(P1634="Gasto",X1634="Variable",D1634&lt;&gt;catTrading,S1634&gt;0,S1634&lt;=Umbral),1,0))</f>
        <v/>
      </c>
      <c r="AB1634" s="52">
        <f>IF(OR(P1634="",Q1634=""),"",IFERROR(IF(INDEX(ctaVinc,MATCH(Q1634,ctaNombre,0))&amp;""&lt;&gt;"",INDEX(ctaVinc,MATCH(Q1634,ctaNombre,0))&amp;"",Q1634),Q1634))</f>
        <v/>
      </c>
      <c r="AC1634" s="52">
        <f>IF(OR(K1634="",AND(P1634&lt;&gt;"Transferencia",P1634&lt;&gt;"Pago tarjeta")),"",IFERROR(IF(INDEX(ctaVinc,MATCH(K1634,ctaNombre,0))&amp;""&lt;&gt;"",INDEX(ctaVinc,MATCH(K1634,ctaNombre,0))&amp;"",K1634),K1634))</f>
        <v/>
      </c>
      <c r="AD1634" s="52">
        <f>IF(AB1634="","",IFERROR(INDEX(ctaTipo,MATCH(AB1634,ctaNombre,0))&amp;"",""))</f>
        <v/>
      </c>
      <c r="AE1634" s="52">
        <f>IF(AC1634="","",IFERROR(INDEX(ctaTipo,MATCH(AC1634,ctaNombre,0))&amp;"",""))</f>
        <v/>
      </c>
      <c r="AF1634" s="53">
        <f>IF(OR(P1634="",AB1634=""),"",IF(OR(P1634="Gasto",P1634="Transferencia",P1634="Pago tarjeta"),-1,1)*IF(IFERROR(INDEX(ctaMoneda,MATCH(AB1634,ctaNombre,0))&amp;"","DOP")="USD",T1634,S1634))</f>
        <v/>
      </c>
      <c r="AG1634" s="53">
        <f>IF(AC1634="","",IF(IFERROR(INDEX(ctaMoneda,MATCH(AC1634,ctaNombre,0))&amp;"","DOP")="USD",T1634,S1634))</f>
        <v/>
      </c>
      <c r="AH1634" s="53">
        <f>IF(P1634="","",IF(AND(AD1634&lt;&gt;"",COUNTIFS(tcTipo,AD1634,tcLiq,"Sí")&gt;0),IF(OR(P1634="Gasto",P1634="Transferencia",P1634="Pago tarjeta"),-1,1)*S1634,0)+IF(AND(AE1634&lt;&gt;"",COUNTIFS(tcTipo,AE1634,tcLiq,"Sí")&gt;0),S1634,0))</f>
        <v/>
      </c>
      <c r="AI1634" s="52">
        <f>IF(OR(L1634="",P1634=""),"",IF(COUNTIFS(L$6:L1634,L1634,P$6:P1634,"?*")=1,MAX(AI$5:AI1633)+1,""))</f>
        <v/>
      </c>
    </row>
    <row r="1635">
      <c r="B1635" s="47" t="n"/>
      <c r="C1635" s="48" t="n"/>
      <c r="D1635" s="48" t="n"/>
      <c r="E1635" s="48" t="n"/>
      <c r="F1635" s="48" t="n"/>
      <c r="G1635" s="49" t="n"/>
      <c r="H1635" s="48" t="n"/>
      <c r="I1635" s="50" t="n"/>
      <c r="J1635" s="48" t="n"/>
      <c r="K1635" s="48" t="n"/>
      <c r="L1635" s="48" t="n"/>
      <c r="M1635" s="48" t="n"/>
      <c r="N1635" s="48" t="n"/>
      <c r="O1635" s="51">
        <f>IF(AND(B1635="",G1635="",C1635="",D1635="",J1635=""),"",IF(B1635="","⚠ Falta fecha",IF(G1635="","⚠ Falta monto",IF(Q1635="","⚠ Falta cuenta",IF(ISNA(MATCH(Q1635,ctaNombre,0)),"⚠ Cuenta no registrada",IF(AND(OR(P1635="Gasto",P1635="Reembolso"),D1635=""),"⚠ Falta categoría",IF(AND(D1635&lt;&gt;"",E1635&lt;&gt;"",ISNA(MATCH(D1635&amp;"|"&amp;E1635,catClave,0))),"⚠ Subcategoría no corresponde",IF(AND(OR(P1635="Transferencia",P1635="Pago tarjeta"),K1635=""),"⚠ Falta cuenta destino",IF(AND(K1635&lt;&gt;"",P1635&lt;&gt;"Transferencia",P1635&lt;&gt;"Pago tarjeta"),"⚠ Destino solo aplica a transferencias",IF(AND(K1635&lt;&gt;"",K1635=Q1635),"⚠ Origen igual a destino",IF(AND(K1635&lt;&gt;"",ISNA(MATCH(K1635,ctaNombre,0))),"⚠ Destino no registrado",IF(AND(P1635="Pago tarjeta",AE1635&lt;&gt;"Tarjeta de crédito"),"⚠ El destino debe ser tarjeta de crédito",IF(AND(P1635="Gasto",E1635="Depósitos y retiros"),"⚠ Usa tipo Transferencia",IF(AND(P1635="Resultado trading",AD1635&lt;&gt;"Cuenta de trading"),"⚠ Usa una cuenta de trading",IF(AND(G1635&lt;=0,P1635&lt;&gt;"Ajuste",P1635&lt;&gt;"Resultado trading"),"⚠ El monto debe ser positivo","✓")))))))))))))))</f>
        <v/>
      </c>
      <c r="P1635" s="52">
        <f>IF(OR(B1635="",G1635=""),"",IF(C1635="","Gasto",C1635))</f>
        <v/>
      </c>
      <c r="Q1635" s="52">
        <f>IF(P1635="","",IF(J1635&lt;&gt;"",J1635,CuentaPred&amp;""))</f>
        <v/>
      </c>
      <c r="R1635" s="52">
        <f>IF(P1635="","",IF(ISNUMBER(I1635),I1635,TasaUSD))</f>
        <v/>
      </c>
      <c r="S1635" s="53">
        <f>IF(P1635="","",IF(H1635="USD",G1635*R1635,G1635))</f>
        <v/>
      </c>
      <c r="T1635" s="53">
        <f>IF(P1635="","",IF(H1635="USD",G1635,IF(R1635&gt;0,G1635/R1635,0)))</f>
        <v/>
      </c>
      <c r="U1635" s="53">
        <f>IF(P1635="","",IF(P1635="Gasto",S1635,IF(P1635="Reembolso",-S1635,0)))</f>
        <v/>
      </c>
      <c r="V1635" s="53">
        <f>IF(P1635="","",IF(P1635="Ingreso",S1635,0))</f>
        <v/>
      </c>
      <c r="W1635" s="53">
        <f>IF(P1635="","",IF(P1635="Resultado trading",S1635,0))</f>
        <v/>
      </c>
      <c r="X1635" s="52">
        <f>IF(OR(P1635="Gasto",P1635="Reembolso"),IF(M1635&lt;&gt;"",M1635,IFERROR(INDEX(catClasif,MATCH(D1635&amp;"|"&amp;E1635,catClave,0))&amp;"","Variable")),"")</f>
        <v/>
      </c>
      <c r="Y1635" s="52">
        <f>IF(P1635="","",IFERROR(INDEX(catGrupo,MATCH(D1635&amp;"|"&amp;E1635,catClave,0))&amp;"",""))</f>
        <v/>
      </c>
      <c r="Z1635" s="52">
        <f>IF(P1635="","",WEEKDAY(B1635,2))</f>
        <v/>
      </c>
      <c r="AA1635" s="52">
        <f>IF(P1635="","",IF(AND(P1635="Gasto",X1635="Variable",D1635&lt;&gt;catTrading,S1635&gt;0,S1635&lt;=Umbral),1,0))</f>
        <v/>
      </c>
      <c r="AB1635" s="52">
        <f>IF(OR(P1635="",Q1635=""),"",IFERROR(IF(INDEX(ctaVinc,MATCH(Q1635,ctaNombre,0))&amp;""&lt;&gt;"",INDEX(ctaVinc,MATCH(Q1635,ctaNombre,0))&amp;"",Q1635),Q1635))</f>
        <v/>
      </c>
      <c r="AC1635" s="52">
        <f>IF(OR(K1635="",AND(P1635&lt;&gt;"Transferencia",P1635&lt;&gt;"Pago tarjeta")),"",IFERROR(IF(INDEX(ctaVinc,MATCH(K1635,ctaNombre,0))&amp;""&lt;&gt;"",INDEX(ctaVinc,MATCH(K1635,ctaNombre,0))&amp;"",K1635),K1635))</f>
        <v/>
      </c>
      <c r="AD1635" s="52">
        <f>IF(AB1635="","",IFERROR(INDEX(ctaTipo,MATCH(AB1635,ctaNombre,0))&amp;"",""))</f>
        <v/>
      </c>
      <c r="AE1635" s="52">
        <f>IF(AC1635="","",IFERROR(INDEX(ctaTipo,MATCH(AC1635,ctaNombre,0))&amp;"",""))</f>
        <v/>
      </c>
      <c r="AF1635" s="53">
        <f>IF(OR(P1635="",AB1635=""),"",IF(OR(P1635="Gasto",P1635="Transferencia",P1635="Pago tarjeta"),-1,1)*IF(IFERROR(INDEX(ctaMoneda,MATCH(AB1635,ctaNombre,0))&amp;"","DOP")="USD",T1635,S1635))</f>
        <v/>
      </c>
      <c r="AG1635" s="53">
        <f>IF(AC1635="","",IF(IFERROR(INDEX(ctaMoneda,MATCH(AC1635,ctaNombre,0))&amp;"","DOP")="USD",T1635,S1635))</f>
        <v/>
      </c>
      <c r="AH1635" s="53">
        <f>IF(P1635="","",IF(AND(AD1635&lt;&gt;"",COUNTIFS(tcTipo,AD1635,tcLiq,"Sí")&gt;0),IF(OR(P1635="Gasto",P1635="Transferencia",P1635="Pago tarjeta"),-1,1)*S1635,0)+IF(AND(AE1635&lt;&gt;"",COUNTIFS(tcTipo,AE1635,tcLiq,"Sí")&gt;0),S1635,0))</f>
        <v/>
      </c>
      <c r="AI1635" s="52">
        <f>IF(OR(L1635="",P1635=""),"",IF(COUNTIFS(L$6:L1635,L1635,P$6:P1635,"?*")=1,MAX(AI$5:AI1634)+1,""))</f>
        <v/>
      </c>
    </row>
    <row r="1636">
      <c r="B1636" s="47" t="n"/>
      <c r="C1636" s="48" t="n"/>
      <c r="D1636" s="48" t="n"/>
      <c r="E1636" s="48" t="n"/>
      <c r="F1636" s="48" t="n"/>
      <c r="G1636" s="49" t="n"/>
      <c r="H1636" s="48" t="n"/>
      <c r="I1636" s="50" t="n"/>
      <c r="J1636" s="48" t="n"/>
      <c r="K1636" s="48" t="n"/>
      <c r="L1636" s="48" t="n"/>
      <c r="M1636" s="48" t="n"/>
      <c r="N1636" s="48" t="n"/>
      <c r="O1636" s="51">
        <f>IF(AND(B1636="",G1636="",C1636="",D1636="",J1636=""),"",IF(B1636="","⚠ Falta fecha",IF(G1636="","⚠ Falta monto",IF(Q1636="","⚠ Falta cuenta",IF(ISNA(MATCH(Q1636,ctaNombre,0)),"⚠ Cuenta no registrada",IF(AND(OR(P1636="Gasto",P1636="Reembolso"),D1636=""),"⚠ Falta categoría",IF(AND(D1636&lt;&gt;"",E1636&lt;&gt;"",ISNA(MATCH(D1636&amp;"|"&amp;E1636,catClave,0))),"⚠ Subcategoría no corresponde",IF(AND(OR(P1636="Transferencia",P1636="Pago tarjeta"),K1636=""),"⚠ Falta cuenta destino",IF(AND(K1636&lt;&gt;"",P1636&lt;&gt;"Transferencia",P1636&lt;&gt;"Pago tarjeta"),"⚠ Destino solo aplica a transferencias",IF(AND(K1636&lt;&gt;"",K1636=Q1636),"⚠ Origen igual a destino",IF(AND(K1636&lt;&gt;"",ISNA(MATCH(K1636,ctaNombre,0))),"⚠ Destino no registrado",IF(AND(P1636="Pago tarjeta",AE1636&lt;&gt;"Tarjeta de crédito"),"⚠ El destino debe ser tarjeta de crédito",IF(AND(P1636="Gasto",E1636="Depósitos y retiros"),"⚠ Usa tipo Transferencia",IF(AND(P1636="Resultado trading",AD1636&lt;&gt;"Cuenta de trading"),"⚠ Usa una cuenta de trading",IF(AND(G1636&lt;=0,P1636&lt;&gt;"Ajuste",P1636&lt;&gt;"Resultado trading"),"⚠ El monto debe ser positivo","✓")))))))))))))))</f>
        <v/>
      </c>
      <c r="P1636" s="52">
        <f>IF(OR(B1636="",G1636=""),"",IF(C1636="","Gasto",C1636))</f>
        <v/>
      </c>
      <c r="Q1636" s="52">
        <f>IF(P1636="","",IF(J1636&lt;&gt;"",J1636,CuentaPred&amp;""))</f>
        <v/>
      </c>
      <c r="R1636" s="52">
        <f>IF(P1636="","",IF(ISNUMBER(I1636),I1636,TasaUSD))</f>
        <v/>
      </c>
      <c r="S1636" s="53">
        <f>IF(P1636="","",IF(H1636="USD",G1636*R1636,G1636))</f>
        <v/>
      </c>
      <c r="T1636" s="53">
        <f>IF(P1636="","",IF(H1636="USD",G1636,IF(R1636&gt;0,G1636/R1636,0)))</f>
        <v/>
      </c>
      <c r="U1636" s="53">
        <f>IF(P1636="","",IF(P1636="Gasto",S1636,IF(P1636="Reembolso",-S1636,0)))</f>
        <v/>
      </c>
      <c r="V1636" s="53">
        <f>IF(P1636="","",IF(P1636="Ingreso",S1636,0))</f>
        <v/>
      </c>
      <c r="W1636" s="53">
        <f>IF(P1636="","",IF(P1636="Resultado trading",S1636,0))</f>
        <v/>
      </c>
      <c r="X1636" s="52">
        <f>IF(OR(P1636="Gasto",P1636="Reembolso"),IF(M1636&lt;&gt;"",M1636,IFERROR(INDEX(catClasif,MATCH(D1636&amp;"|"&amp;E1636,catClave,0))&amp;"","Variable")),"")</f>
        <v/>
      </c>
      <c r="Y1636" s="52">
        <f>IF(P1636="","",IFERROR(INDEX(catGrupo,MATCH(D1636&amp;"|"&amp;E1636,catClave,0))&amp;"",""))</f>
        <v/>
      </c>
      <c r="Z1636" s="52">
        <f>IF(P1636="","",WEEKDAY(B1636,2))</f>
        <v/>
      </c>
      <c r="AA1636" s="52">
        <f>IF(P1636="","",IF(AND(P1636="Gasto",X1636="Variable",D1636&lt;&gt;catTrading,S1636&gt;0,S1636&lt;=Umbral),1,0))</f>
        <v/>
      </c>
      <c r="AB1636" s="52">
        <f>IF(OR(P1636="",Q1636=""),"",IFERROR(IF(INDEX(ctaVinc,MATCH(Q1636,ctaNombre,0))&amp;""&lt;&gt;"",INDEX(ctaVinc,MATCH(Q1636,ctaNombre,0))&amp;"",Q1636),Q1636))</f>
        <v/>
      </c>
      <c r="AC1636" s="52">
        <f>IF(OR(K1636="",AND(P1636&lt;&gt;"Transferencia",P1636&lt;&gt;"Pago tarjeta")),"",IFERROR(IF(INDEX(ctaVinc,MATCH(K1636,ctaNombre,0))&amp;""&lt;&gt;"",INDEX(ctaVinc,MATCH(K1636,ctaNombre,0))&amp;"",K1636),K1636))</f>
        <v/>
      </c>
      <c r="AD1636" s="52">
        <f>IF(AB1636="","",IFERROR(INDEX(ctaTipo,MATCH(AB1636,ctaNombre,0))&amp;"",""))</f>
        <v/>
      </c>
      <c r="AE1636" s="52">
        <f>IF(AC1636="","",IFERROR(INDEX(ctaTipo,MATCH(AC1636,ctaNombre,0))&amp;"",""))</f>
        <v/>
      </c>
      <c r="AF1636" s="53">
        <f>IF(OR(P1636="",AB1636=""),"",IF(OR(P1636="Gasto",P1636="Transferencia",P1636="Pago tarjeta"),-1,1)*IF(IFERROR(INDEX(ctaMoneda,MATCH(AB1636,ctaNombre,0))&amp;"","DOP")="USD",T1636,S1636))</f>
        <v/>
      </c>
      <c r="AG1636" s="53">
        <f>IF(AC1636="","",IF(IFERROR(INDEX(ctaMoneda,MATCH(AC1636,ctaNombre,0))&amp;"","DOP")="USD",T1636,S1636))</f>
        <v/>
      </c>
      <c r="AH1636" s="53">
        <f>IF(P1636="","",IF(AND(AD1636&lt;&gt;"",COUNTIFS(tcTipo,AD1636,tcLiq,"Sí")&gt;0),IF(OR(P1636="Gasto",P1636="Transferencia",P1636="Pago tarjeta"),-1,1)*S1636,0)+IF(AND(AE1636&lt;&gt;"",COUNTIFS(tcTipo,AE1636,tcLiq,"Sí")&gt;0),S1636,0))</f>
        <v/>
      </c>
      <c r="AI1636" s="52">
        <f>IF(OR(L1636="",P1636=""),"",IF(COUNTIFS(L$6:L1636,L1636,P$6:P1636,"?*")=1,MAX(AI$5:AI1635)+1,""))</f>
        <v/>
      </c>
    </row>
    <row r="1637">
      <c r="B1637" s="47" t="n"/>
      <c r="C1637" s="48" t="n"/>
      <c r="D1637" s="48" t="n"/>
      <c r="E1637" s="48" t="n"/>
      <c r="F1637" s="48" t="n"/>
      <c r="G1637" s="49" t="n"/>
      <c r="H1637" s="48" t="n"/>
      <c r="I1637" s="50" t="n"/>
      <c r="J1637" s="48" t="n"/>
      <c r="K1637" s="48" t="n"/>
      <c r="L1637" s="48" t="n"/>
      <c r="M1637" s="48" t="n"/>
      <c r="N1637" s="48" t="n"/>
      <c r="O1637" s="51">
        <f>IF(AND(B1637="",G1637="",C1637="",D1637="",J1637=""),"",IF(B1637="","⚠ Falta fecha",IF(G1637="","⚠ Falta monto",IF(Q1637="","⚠ Falta cuenta",IF(ISNA(MATCH(Q1637,ctaNombre,0)),"⚠ Cuenta no registrada",IF(AND(OR(P1637="Gasto",P1637="Reembolso"),D1637=""),"⚠ Falta categoría",IF(AND(D1637&lt;&gt;"",E1637&lt;&gt;"",ISNA(MATCH(D1637&amp;"|"&amp;E1637,catClave,0))),"⚠ Subcategoría no corresponde",IF(AND(OR(P1637="Transferencia",P1637="Pago tarjeta"),K1637=""),"⚠ Falta cuenta destino",IF(AND(K1637&lt;&gt;"",P1637&lt;&gt;"Transferencia",P1637&lt;&gt;"Pago tarjeta"),"⚠ Destino solo aplica a transferencias",IF(AND(K1637&lt;&gt;"",K1637=Q1637),"⚠ Origen igual a destino",IF(AND(K1637&lt;&gt;"",ISNA(MATCH(K1637,ctaNombre,0))),"⚠ Destino no registrado",IF(AND(P1637="Pago tarjeta",AE1637&lt;&gt;"Tarjeta de crédito"),"⚠ El destino debe ser tarjeta de crédito",IF(AND(P1637="Gasto",E1637="Depósitos y retiros"),"⚠ Usa tipo Transferencia",IF(AND(P1637="Resultado trading",AD1637&lt;&gt;"Cuenta de trading"),"⚠ Usa una cuenta de trading",IF(AND(G1637&lt;=0,P1637&lt;&gt;"Ajuste",P1637&lt;&gt;"Resultado trading"),"⚠ El monto debe ser positivo","✓")))))))))))))))</f>
        <v/>
      </c>
      <c r="P1637" s="52">
        <f>IF(OR(B1637="",G1637=""),"",IF(C1637="","Gasto",C1637))</f>
        <v/>
      </c>
      <c r="Q1637" s="52">
        <f>IF(P1637="","",IF(J1637&lt;&gt;"",J1637,CuentaPred&amp;""))</f>
        <v/>
      </c>
      <c r="R1637" s="52">
        <f>IF(P1637="","",IF(ISNUMBER(I1637),I1637,TasaUSD))</f>
        <v/>
      </c>
      <c r="S1637" s="53">
        <f>IF(P1637="","",IF(H1637="USD",G1637*R1637,G1637))</f>
        <v/>
      </c>
      <c r="T1637" s="53">
        <f>IF(P1637="","",IF(H1637="USD",G1637,IF(R1637&gt;0,G1637/R1637,0)))</f>
        <v/>
      </c>
      <c r="U1637" s="53">
        <f>IF(P1637="","",IF(P1637="Gasto",S1637,IF(P1637="Reembolso",-S1637,0)))</f>
        <v/>
      </c>
      <c r="V1637" s="53">
        <f>IF(P1637="","",IF(P1637="Ingreso",S1637,0))</f>
        <v/>
      </c>
      <c r="W1637" s="53">
        <f>IF(P1637="","",IF(P1637="Resultado trading",S1637,0))</f>
        <v/>
      </c>
      <c r="X1637" s="52">
        <f>IF(OR(P1637="Gasto",P1637="Reembolso"),IF(M1637&lt;&gt;"",M1637,IFERROR(INDEX(catClasif,MATCH(D1637&amp;"|"&amp;E1637,catClave,0))&amp;"","Variable")),"")</f>
        <v/>
      </c>
      <c r="Y1637" s="52">
        <f>IF(P1637="","",IFERROR(INDEX(catGrupo,MATCH(D1637&amp;"|"&amp;E1637,catClave,0))&amp;"",""))</f>
        <v/>
      </c>
      <c r="Z1637" s="52">
        <f>IF(P1637="","",WEEKDAY(B1637,2))</f>
        <v/>
      </c>
      <c r="AA1637" s="52">
        <f>IF(P1637="","",IF(AND(P1637="Gasto",X1637="Variable",D1637&lt;&gt;catTrading,S1637&gt;0,S1637&lt;=Umbral),1,0))</f>
        <v/>
      </c>
      <c r="AB1637" s="52">
        <f>IF(OR(P1637="",Q1637=""),"",IFERROR(IF(INDEX(ctaVinc,MATCH(Q1637,ctaNombre,0))&amp;""&lt;&gt;"",INDEX(ctaVinc,MATCH(Q1637,ctaNombre,0))&amp;"",Q1637),Q1637))</f>
        <v/>
      </c>
      <c r="AC1637" s="52">
        <f>IF(OR(K1637="",AND(P1637&lt;&gt;"Transferencia",P1637&lt;&gt;"Pago tarjeta")),"",IFERROR(IF(INDEX(ctaVinc,MATCH(K1637,ctaNombre,0))&amp;""&lt;&gt;"",INDEX(ctaVinc,MATCH(K1637,ctaNombre,0))&amp;"",K1637),K1637))</f>
        <v/>
      </c>
      <c r="AD1637" s="52">
        <f>IF(AB1637="","",IFERROR(INDEX(ctaTipo,MATCH(AB1637,ctaNombre,0))&amp;"",""))</f>
        <v/>
      </c>
      <c r="AE1637" s="52">
        <f>IF(AC1637="","",IFERROR(INDEX(ctaTipo,MATCH(AC1637,ctaNombre,0))&amp;"",""))</f>
        <v/>
      </c>
      <c r="AF1637" s="53">
        <f>IF(OR(P1637="",AB1637=""),"",IF(OR(P1637="Gasto",P1637="Transferencia",P1637="Pago tarjeta"),-1,1)*IF(IFERROR(INDEX(ctaMoneda,MATCH(AB1637,ctaNombre,0))&amp;"","DOP")="USD",T1637,S1637))</f>
        <v/>
      </c>
      <c r="AG1637" s="53">
        <f>IF(AC1637="","",IF(IFERROR(INDEX(ctaMoneda,MATCH(AC1637,ctaNombre,0))&amp;"","DOP")="USD",T1637,S1637))</f>
        <v/>
      </c>
      <c r="AH1637" s="53">
        <f>IF(P1637="","",IF(AND(AD1637&lt;&gt;"",COUNTIFS(tcTipo,AD1637,tcLiq,"Sí")&gt;0),IF(OR(P1637="Gasto",P1637="Transferencia",P1637="Pago tarjeta"),-1,1)*S1637,0)+IF(AND(AE1637&lt;&gt;"",COUNTIFS(tcTipo,AE1637,tcLiq,"Sí")&gt;0),S1637,0))</f>
        <v/>
      </c>
      <c r="AI1637" s="52">
        <f>IF(OR(L1637="",P1637=""),"",IF(COUNTIFS(L$6:L1637,L1637,P$6:P1637,"?*")=1,MAX(AI$5:AI1636)+1,""))</f>
        <v/>
      </c>
    </row>
    <row r="1638">
      <c r="B1638" s="47" t="n"/>
      <c r="C1638" s="48" t="n"/>
      <c r="D1638" s="48" t="n"/>
      <c r="E1638" s="48" t="n"/>
      <c r="F1638" s="48" t="n"/>
      <c r="G1638" s="49" t="n"/>
      <c r="H1638" s="48" t="n"/>
      <c r="I1638" s="50" t="n"/>
      <c r="J1638" s="48" t="n"/>
      <c r="K1638" s="48" t="n"/>
      <c r="L1638" s="48" t="n"/>
      <c r="M1638" s="48" t="n"/>
      <c r="N1638" s="48" t="n"/>
      <c r="O1638" s="51">
        <f>IF(AND(B1638="",G1638="",C1638="",D1638="",J1638=""),"",IF(B1638="","⚠ Falta fecha",IF(G1638="","⚠ Falta monto",IF(Q1638="","⚠ Falta cuenta",IF(ISNA(MATCH(Q1638,ctaNombre,0)),"⚠ Cuenta no registrada",IF(AND(OR(P1638="Gasto",P1638="Reembolso"),D1638=""),"⚠ Falta categoría",IF(AND(D1638&lt;&gt;"",E1638&lt;&gt;"",ISNA(MATCH(D1638&amp;"|"&amp;E1638,catClave,0))),"⚠ Subcategoría no corresponde",IF(AND(OR(P1638="Transferencia",P1638="Pago tarjeta"),K1638=""),"⚠ Falta cuenta destino",IF(AND(K1638&lt;&gt;"",P1638&lt;&gt;"Transferencia",P1638&lt;&gt;"Pago tarjeta"),"⚠ Destino solo aplica a transferencias",IF(AND(K1638&lt;&gt;"",K1638=Q1638),"⚠ Origen igual a destino",IF(AND(K1638&lt;&gt;"",ISNA(MATCH(K1638,ctaNombre,0))),"⚠ Destino no registrado",IF(AND(P1638="Pago tarjeta",AE1638&lt;&gt;"Tarjeta de crédito"),"⚠ El destino debe ser tarjeta de crédito",IF(AND(P1638="Gasto",E1638="Depósitos y retiros"),"⚠ Usa tipo Transferencia",IF(AND(P1638="Resultado trading",AD1638&lt;&gt;"Cuenta de trading"),"⚠ Usa una cuenta de trading",IF(AND(G1638&lt;=0,P1638&lt;&gt;"Ajuste",P1638&lt;&gt;"Resultado trading"),"⚠ El monto debe ser positivo","✓")))))))))))))))</f>
        <v/>
      </c>
      <c r="P1638" s="52">
        <f>IF(OR(B1638="",G1638=""),"",IF(C1638="","Gasto",C1638))</f>
        <v/>
      </c>
      <c r="Q1638" s="52">
        <f>IF(P1638="","",IF(J1638&lt;&gt;"",J1638,CuentaPred&amp;""))</f>
        <v/>
      </c>
      <c r="R1638" s="52">
        <f>IF(P1638="","",IF(ISNUMBER(I1638),I1638,TasaUSD))</f>
        <v/>
      </c>
      <c r="S1638" s="53">
        <f>IF(P1638="","",IF(H1638="USD",G1638*R1638,G1638))</f>
        <v/>
      </c>
      <c r="T1638" s="53">
        <f>IF(P1638="","",IF(H1638="USD",G1638,IF(R1638&gt;0,G1638/R1638,0)))</f>
        <v/>
      </c>
      <c r="U1638" s="53">
        <f>IF(P1638="","",IF(P1638="Gasto",S1638,IF(P1638="Reembolso",-S1638,0)))</f>
        <v/>
      </c>
      <c r="V1638" s="53">
        <f>IF(P1638="","",IF(P1638="Ingreso",S1638,0))</f>
        <v/>
      </c>
      <c r="W1638" s="53">
        <f>IF(P1638="","",IF(P1638="Resultado trading",S1638,0))</f>
        <v/>
      </c>
      <c r="X1638" s="52">
        <f>IF(OR(P1638="Gasto",P1638="Reembolso"),IF(M1638&lt;&gt;"",M1638,IFERROR(INDEX(catClasif,MATCH(D1638&amp;"|"&amp;E1638,catClave,0))&amp;"","Variable")),"")</f>
        <v/>
      </c>
      <c r="Y1638" s="52">
        <f>IF(P1638="","",IFERROR(INDEX(catGrupo,MATCH(D1638&amp;"|"&amp;E1638,catClave,0))&amp;"",""))</f>
        <v/>
      </c>
      <c r="Z1638" s="52">
        <f>IF(P1638="","",WEEKDAY(B1638,2))</f>
        <v/>
      </c>
      <c r="AA1638" s="52">
        <f>IF(P1638="","",IF(AND(P1638="Gasto",X1638="Variable",D1638&lt;&gt;catTrading,S1638&gt;0,S1638&lt;=Umbral),1,0))</f>
        <v/>
      </c>
      <c r="AB1638" s="52">
        <f>IF(OR(P1638="",Q1638=""),"",IFERROR(IF(INDEX(ctaVinc,MATCH(Q1638,ctaNombre,0))&amp;""&lt;&gt;"",INDEX(ctaVinc,MATCH(Q1638,ctaNombre,0))&amp;"",Q1638),Q1638))</f>
        <v/>
      </c>
      <c r="AC1638" s="52">
        <f>IF(OR(K1638="",AND(P1638&lt;&gt;"Transferencia",P1638&lt;&gt;"Pago tarjeta")),"",IFERROR(IF(INDEX(ctaVinc,MATCH(K1638,ctaNombre,0))&amp;""&lt;&gt;"",INDEX(ctaVinc,MATCH(K1638,ctaNombre,0))&amp;"",K1638),K1638))</f>
        <v/>
      </c>
      <c r="AD1638" s="52">
        <f>IF(AB1638="","",IFERROR(INDEX(ctaTipo,MATCH(AB1638,ctaNombre,0))&amp;"",""))</f>
        <v/>
      </c>
      <c r="AE1638" s="52">
        <f>IF(AC1638="","",IFERROR(INDEX(ctaTipo,MATCH(AC1638,ctaNombre,0))&amp;"",""))</f>
        <v/>
      </c>
      <c r="AF1638" s="53">
        <f>IF(OR(P1638="",AB1638=""),"",IF(OR(P1638="Gasto",P1638="Transferencia",P1638="Pago tarjeta"),-1,1)*IF(IFERROR(INDEX(ctaMoneda,MATCH(AB1638,ctaNombre,0))&amp;"","DOP")="USD",T1638,S1638))</f>
        <v/>
      </c>
      <c r="AG1638" s="53">
        <f>IF(AC1638="","",IF(IFERROR(INDEX(ctaMoneda,MATCH(AC1638,ctaNombre,0))&amp;"","DOP")="USD",T1638,S1638))</f>
        <v/>
      </c>
      <c r="AH1638" s="53">
        <f>IF(P1638="","",IF(AND(AD1638&lt;&gt;"",COUNTIFS(tcTipo,AD1638,tcLiq,"Sí")&gt;0),IF(OR(P1638="Gasto",P1638="Transferencia",P1638="Pago tarjeta"),-1,1)*S1638,0)+IF(AND(AE1638&lt;&gt;"",COUNTIFS(tcTipo,AE1638,tcLiq,"Sí")&gt;0),S1638,0))</f>
        <v/>
      </c>
      <c r="AI1638" s="52">
        <f>IF(OR(L1638="",P1638=""),"",IF(COUNTIFS(L$6:L1638,L1638,P$6:P1638,"?*")=1,MAX(AI$5:AI1637)+1,""))</f>
        <v/>
      </c>
    </row>
    <row r="1639">
      <c r="B1639" s="47" t="n"/>
      <c r="C1639" s="48" t="n"/>
      <c r="D1639" s="48" t="n"/>
      <c r="E1639" s="48" t="n"/>
      <c r="F1639" s="48" t="n"/>
      <c r="G1639" s="49" t="n"/>
      <c r="H1639" s="48" t="n"/>
      <c r="I1639" s="50" t="n"/>
      <c r="J1639" s="48" t="n"/>
      <c r="K1639" s="48" t="n"/>
      <c r="L1639" s="48" t="n"/>
      <c r="M1639" s="48" t="n"/>
      <c r="N1639" s="48" t="n"/>
      <c r="O1639" s="51">
        <f>IF(AND(B1639="",G1639="",C1639="",D1639="",J1639=""),"",IF(B1639="","⚠ Falta fecha",IF(G1639="","⚠ Falta monto",IF(Q1639="","⚠ Falta cuenta",IF(ISNA(MATCH(Q1639,ctaNombre,0)),"⚠ Cuenta no registrada",IF(AND(OR(P1639="Gasto",P1639="Reembolso"),D1639=""),"⚠ Falta categoría",IF(AND(D1639&lt;&gt;"",E1639&lt;&gt;"",ISNA(MATCH(D1639&amp;"|"&amp;E1639,catClave,0))),"⚠ Subcategoría no corresponde",IF(AND(OR(P1639="Transferencia",P1639="Pago tarjeta"),K1639=""),"⚠ Falta cuenta destino",IF(AND(K1639&lt;&gt;"",P1639&lt;&gt;"Transferencia",P1639&lt;&gt;"Pago tarjeta"),"⚠ Destino solo aplica a transferencias",IF(AND(K1639&lt;&gt;"",K1639=Q1639),"⚠ Origen igual a destino",IF(AND(K1639&lt;&gt;"",ISNA(MATCH(K1639,ctaNombre,0))),"⚠ Destino no registrado",IF(AND(P1639="Pago tarjeta",AE1639&lt;&gt;"Tarjeta de crédito"),"⚠ El destino debe ser tarjeta de crédito",IF(AND(P1639="Gasto",E1639="Depósitos y retiros"),"⚠ Usa tipo Transferencia",IF(AND(P1639="Resultado trading",AD1639&lt;&gt;"Cuenta de trading"),"⚠ Usa una cuenta de trading",IF(AND(G1639&lt;=0,P1639&lt;&gt;"Ajuste",P1639&lt;&gt;"Resultado trading"),"⚠ El monto debe ser positivo","✓")))))))))))))))</f>
        <v/>
      </c>
      <c r="P1639" s="52">
        <f>IF(OR(B1639="",G1639=""),"",IF(C1639="","Gasto",C1639))</f>
        <v/>
      </c>
      <c r="Q1639" s="52">
        <f>IF(P1639="","",IF(J1639&lt;&gt;"",J1639,CuentaPred&amp;""))</f>
        <v/>
      </c>
      <c r="R1639" s="52">
        <f>IF(P1639="","",IF(ISNUMBER(I1639),I1639,TasaUSD))</f>
        <v/>
      </c>
      <c r="S1639" s="53">
        <f>IF(P1639="","",IF(H1639="USD",G1639*R1639,G1639))</f>
        <v/>
      </c>
      <c r="T1639" s="53">
        <f>IF(P1639="","",IF(H1639="USD",G1639,IF(R1639&gt;0,G1639/R1639,0)))</f>
        <v/>
      </c>
      <c r="U1639" s="53">
        <f>IF(P1639="","",IF(P1639="Gasto",S1639,IF(P1639="Reembolso",-S1639,0)))</f>
        <v/>
      </c>
      <c r="V1639" s="53">
        <f>IF(P1639="","",IF(P1639="Ingreso",S1639,0))</f>
        <v/>
      </c>
      <c r="W1639" s="53">
        <f>IF(P1639="","",IF(P1639="Resultado trading",S1639,0))</f>
        <v/>
      </c>
      <c r="X1639" s="52">
        <f>IF(OR(P1639="Gasto",P1639="Reembolso"),IF(M1639&lt;&gt;"",M1639,IFERROR(INDEX(catClasif,MATCH(D1639&amp;"|"&amp;E1639,catClave,0))&amp;"","Variable")),"")</f>
        <v/>
      </c>
      <c r="Y1639" s="52">
        <f>IF(P1639="","",IFERROR(INDEX(catGrupo,MATCH(D1639&amp;"|"&amp;E1639,catClave,0))&amp;"",""))</f>
        <v/>
      </c>
      <c r="Z1639" s="52">
        <f>IF(P1639="","",WEEKDAY(B1639,2))</f>
        <v/>
      </c>
      <c r="AA1639" s="52">
        <f>IF(P1639="","",IF(AND(P1639="Gasto",X1639="Variable",D1639&lt;&gt;catTrading,S1639&gt;0,S1639&lt;=Umbral),1,0))</f>
        <v/>
      </c>
      <c r="AB1639" s="52">
        <f>IF(OR(P1639="",Q1639=""),"",IFERROR(IF(INDEX(ctaVinc,MATCH(Q1639,ctaNombre,0))&amp;""&lt;&gt;"",INDEX(ctaVinc,MATCH(Q1639,ctaNombre,0))&amp;"",Q1639),Q1639))</f>
        <v/>
      </c>
      <c r="AC1639" s="52">
        <f>IF(OR(K1639="",AND(P1639&lt;&gt;"Transferencia",P1639&lt;&gt;"Pago tarjeta")),"",IFERROR(IF(INDEX(ctaVinc,MATCH(K1639,ctaNombre,0))&amp;""&lt;&gt;"",INDEX(ctaVinc,MATCH(K1639,ctaNombre,0))&amp;"",K1639),K1639))</f>
        <v/>
      </c>
      <c r="AD1639" s="52">
        <f>IF(AB1639="","",IFERROR(INDEX(ctaTipo,MATCH(AB1639,ctaNombre,0))&amp;"",""))</f>
        <v/>
      </c>
      <c r="AE1639" s="52">
        <f>IF(AC1639="","",IFERROR(INDEX(ctaTipo,MATCH(AC1639,ctaNombre,0))&amp;"",""))</f>
        <v/>
      </c>
      <c r="AF1639" s="53">
        <f>IF(OR(P1639="",AB1639=""),"",IF(OR(P1639="Gasto",P1639="Transferencia",P1639="Pago tarjeta"),-1,1)*IF(IFERROR(INDEX(ctaMoneda,MATCH(AB1639,ctaNombre,0))&amp;"","DOP")="USD",T1639,S1639))</f>
        <v/>
      </c>
      <c r="AG1639" s="53">
        <f>IF(AC1639="","",IF(IFERROR(INDEX(ctaMoneda,MATCH(AC1639,ctaNombre,0))&amp;"","DOP")="USD",T1639,S1639))</f>
        <v/>
      </c>
      <c r="AH1639" s="53">
        <f>IF(P1639="","",IF(AND(AD1639&lt;&gt;"",COUNTIFS(tcTipo,AD1639,tcLiq,"Sí")&gt;0),IF(OR(P1639="Gasto",P1639="Transferencia",P1639="Pago tarjeta"),-1,1)*S1639,0)+IF(AND(AE1639&lt;&gt;"",COUNTIFS(tcTipo,AE1639,tcLiq,"Sí")&gt;0),S1639,0))</f>
        <v/>
      </c>
      <c r="AI1639" s="52">
        <f>IF(OR(L1639="",P1639=""),"",IF(COUNTIFS(L$6:L1639,L1639,P$6:P1639,"?*")=1,MAX(AI$5:AI1638)+1,""))</f>
        <v/>
      </c>
    </row>
    <row r="1640">
      <c r="B1640" s="47" t="n"/>
      <c r="C1640" s="48" t="n"/>
      <c r="D1640" s="48" t="n"/>
      <c r="E1640" s="48" t="n"/>
      <c r="F1640" s="48" t="n"/>
      <c r="G1640" s="49" t="n"/>
      <c r="H1640" s="48" t="n"/>
      <c r="I1640" s="50" t="n"/>
      <c r="J1640" s="48" t="n"/>
      <c r="K1640" s="48" t="n"/>
      <c r="L1640" s="48" t="n"/>
      <c r="M1640" s="48" t="n"/>
      <c r="N1640" s="48" t="n"/>
      <c r="O1640" s="51">
        <f>IF(AND(B1640="",G1640="",C1640="",D1640="",J1640=""),"",IF(B1640="","⚠ Falta fecha",IF(G1640="","⚠ Falta monto",IF(Q1640="","⚠ Falta cuenta",IF(ISNA(MATCH(Q1640,ctaNombre,0)),"⚠ Cuenta no registrada",IF(AND(OR(P1640="Gasto",P1640="Reembolso"),D1640=""),"⚠ Falta categoría",IF(AND(D1640&lt;&gt;"",E1640&lt;&gt;"",ISNA(MATCH(D1640&amp;"|"&amp;E1640,catClave,0))),"⚠ Subcategoría no corresponde",IF(AND(OR(P1640="Transferencia",P1640="Pago tarjeta"),K1640=""),"⚠ Falta cuenta destino",IF(AND(K1640&lt;&gt;"",P1640&lt;&gt;"Transferencia",P1640&lt;&gt;"Pago tarjeta"),"⚠ Destino solo aplica a transferencias",IF(AND(K1640&lt;&gt;"",K1640=Q1640),"⚠ Origen igual a destino",IF(AND(K1640&lt;&gt;"",ISNA(MATCH(K1640,ctaNombre,0))),"⚠ Destino no registrado",IF(AND(P1640="Pago tarjeta",AE1640&lt;&gt;"Tarjeta de crédito"),"⚠ El destino debe ser tarjeta de crédito",IF(AND(P1640="Gasto",E1640="Depósitos y retiros"),"⚠ Usa tipo Transferencia",IF(AND(P1640="Resultado trading",AD1640&lt;&gt;"Cuenta de trading"),"⚠ Usa una cuenta de trading",IF(AND(G1640&lt;=0,P1640&lt;&gt;"Ajuste",P1640&lt;&gt;"Resultado trading"),"⚠ El monto debe ser positivo","✓")))))))))))))))</f>
        <v/>
      </c>
      <c r="P1640" s="52">
        <f>IF(OR(B1640="",G1640=""),"",IF(C1640="","Gasto",C1640))</f>
        <v/>
      </c>
      <c r="Q1640" s="52">
        <f>IF(P1640="","",IF(J1640&lt;&gt;"",J1640,CuentaPred&amp;""))</f>
        <v/>
      </c>
      <c r="R1640" s="52">
        <f>IF(P1640="","",IF(ISNUMBER(I1640),I1640,TasaUSD))</f>
        <v/>
      </c>
      <c r="S1640" s="53">
        <f>IF(P1640="","",IF(H1640="USD",G1640*R1640,G1640))</f>
        <v/>
      </c>
      <c r="T1640" s="53">
        <f>IF(P1640="","",IF(H1640="USD",G1640,IF(R1640&gt;0,G1640/R1640,0)))</f>
        <v/>
      </c>
      <c r="U1640" s="53">
        <f>IF(P1640="","",IF(P1640="Gasto",S1640,IF(P1640="Reembolso",-S1640,0)))</f>
        <v/>
      </c>
      <c r="V1640" s="53">
        <f>IF(P1640="","",IF(P1640="Ingreso",S1640,0))</f>
        <v/>
      </c>
      <c r="W1640" s="53">
        <f>IF(P1640="","",IF(P1640="Resultado trading",S1640,0))</f>
        <v/>
      </c>
      <c r="X1640" s="52">
        <f>IF(OR(P1640="Gasto",P1640="Reembolso"),IF(M1640&lt;&gt;"",M1640,IFERROR(INDEX(catClasif,MATCH(D1640&amp;"|"&amp;E1640,catClave,0))&amp;"","Variable")),"")</f>
        <v/>
      </c>
      <c r="Y1640" s="52">
        <f>IF(P1640="","",IFERROR(INDEX(catGrupo,MATCH(D1640&amp;"|"&amp;E1640,catClave,0))&amp;"",""))</f>
        <v/>
      </c>
      <c r="Z1640" s="52">
        <f>IF(P1640="","",WEEKDAY(B1640,2))</f>
        <v/>
      </c>
      <c r="AA1640" s="52">
        <f>IF(P1640="","",IF(AND(P1640="Gasto",X1640="Variable",D1640&lt;&gt;catTrading,S1640&gt;0,S1640&lt;=Umbral),1,0))</f>
        <v/>
      </c>
      <c r="AB1640" s="52">
        <f>IF(OR(P1640="",Q1640=""),"",IFERROR(IF(INDEX(ctaVinc,MATCH(Q1640,ctaNombre,0))&amp;""&lt;&gt;"",INDEX(ctaVinc,MATCH(Q1640,ctaNombre,0))&amp;"",Q1640),Q1640))</f>
        <v/>
      </c>
      <c r="AC1640" s="52">
        <f>IF(OR(K1640="",AND(P1640&lt;&gt;"Transferencia",P1640&lt;&gt;"Pago tarjeta")),"",IFERROR(IF(INDEX(ctaVinc,MATCH(K1640,ctaNombre,0))&amp;""&lt;&gt;"",INDEX(ctaVinc,MATCH(K1640,ctaNombre,0))&amp;"",K1640),K1640))</f>
        <v/>
      </c>
      <c r="AD1640" s="52">
        <f>IF(AB1640="","",IFERROR(INDEX(ctaTipo,MATCH(AB1640,ctaNombre,0))&amp;"",""))</f>
        <v/>
      </c>
      <c r="AE1640" s="52">
        <f>IF(AC1640="","",IFERROR(INDEX(ctaTipo,MATCH(AC1640,ctaNombre,0))&amp;"",""))</f>
        <v/>
      </c>
      <c r="AF1640" s="53">
        <f>IF(OR(P1640="",AB1640=""),"",IF(OR(P1640="Gasto",P1640="Transferencia",P1640="Pago tarjeta"),-1,1)*IF(IFERROR(INDEX(ctaMoneda,MATCH(AB1640,ctaNombre,0))&amp;"","DOP")="USD",T1640,S1640))</f>
        <v/>
      </c>
      <c r="AG1640" s="53">
        <f>IF(AC1640="","",IF(IFERROR(INDEX(ctaMoneda,MATCH(AC1640,ctaNombre,0))&amp;"","DOP")="USD",T1640,S1640))</f>
        <v/>
      </c>
      <c r="AH1640" s="53">
        <f>IF(P1640="","",IF(AND(AD1640&lt;&gt;"",COUNTIFS(tcTipo,AD1640,tcLiq,"Sí")&gt;0),IF(OR(P1640="Gasto",P1640="Transferencia",P1640="Pago tarjeta"),-1,1)*S1640,0)+IF(AND(AE1640&lt;&gt;"",COUNTIFS(tcTipo,AE1640,tcLiq,"Sí")&gt;0),S1640,0))</f>
        <v/>
      </c>
      <c r="AI1640" s="52">
        <f>IF(OR(L1640="",P1640=""),"",IF(COUNTIFS(L$6:L1640,L1640,P$6:P1640,"?*")=1,MAX(AI$5:AI1639)+1,""))</f>
        <v/>
      </c>
    </row>
    <row r="1641">
      <c r="B1641" s="47" t="n"/>
      <c r="C1641" s="48" t="n"/>
      <c r="D1641" s="48" t="n"/>
      <c r="E1641" s="48" t="n"/>
      <c r="F1641" s="48" t="n"/>
      <c r="G1641" s="49" t="n"/>
      <c r="H1641" s="48" t="n"/>
      <c r="I1641" s="50" t="n"/>
      <c r="J1641" s="48" t="n"/>
      <c r="K1641" s="48" t="n"/>
      <c r="L1641" s="48" t="n"/>
      <c r="M1641" s="48" t="n"/>
      <c r="N1641" s="48" t="n"/>
      <c r="O1641" s="51">
        <f>IF(AND(B1641="",G1641="",C1641="",D1641="",J1641=""),"",IF(B1641="","⚠ Falta fecha",IF(G1641="","⚠ Falta monto",IF(Q1641="","⚠ Falta cuenta",IF(ISNA(MATCH(Q1641,ctaNombre,0)),"⚠ Cuenta no registrada",IF(AND(OR(P1641="Gasto",P1641="Reembolso"),D1641=""),"⚠ Falta categoría",IF(AND(D1641&lt;&gt;"",E1641&lt;&gt;"",ISNA(MATCH(D1641&amp;"|"&amp;E1641,catClave,0))),"⚠ Subcategoría no corresponde",IF(AND(OR(P1641="Transferencia",P1641="Pago tarjeta"),K1641=""),"⚠ Falta cuenta destino",IF(AND(K1641&lt;&gt;"",P1641&lt;&gt;"Transferencia",P1641&lt;&gt;"Pago tarjeta"),"⚠ Destino solo aplica a transferencias",IF(AND(K1641&lt;&gt;"",K1641=Q1641),"⚠ Origen igual a destino",IF(AND(K1641&lt;&gt;"",ISNA(MATCH(K1641,ctaNombre,0))),"⚠ Destino no registrado",IF(AND(P1641="Pago tarjeta",AE1641&lt;&gt;"Tarjeta de crédito"),"⚠ El destino debe ser tarjeta de crédito",IF(AND(P1641="Gasto",E1641="Depósitos y retiros"),"⚠ Usa tipo Transferencia",IF(AND(P1641="Resultado trading",AD1641&lt;&gt;"Cuenta de trading"),"⚠ Usa una cuenta de trading",IF(AND(G1641&lt;=0,P1641&lt;&gt;"Ajuste",P1641&lt;&gt;"Resultado trading"),"⚠ El monto debe ser positivo","✓")))))))))))))))</f>
        <v/>
      </c>
      <c r="P1641" s="52">
        <f>IF(OR(B1641="",G1641=""),"",IF(C1641="","Gasto",C1641))</f>
        <v/>
      </c>
      <c r="Q1641" s="52">
        <f>IF(P1641="","",IF(J1641&lt;&gt;"",J1641,CuentaPred&amp;""))</f>
        <v/>
      </c>
      <c r="R1641" s="52">
        <f>IF(P1641="","",IF(ISNUMBER(I1641),I1641,TasaUSD))</f>
        <v/>
      </c>
      <c r="S1641" s="53">
        <f>IF(P1641="","",IF(H1641="USD",G1641*R1641,G1641))</f>
        <v/>
      </c>
      <c r="T1641" s="53">
        <f>IF(P1641="","",IF(H1641="USD",G1641,IF(R1641&gt;0,G1641/R1641,0)))</f>
        <v/>
      </c>
      <c r="U1641" s="53">
        <f>IF(P1641="","",IF(P1641="Gasto",S1641,IF(P1641="Reembolso",-S1641,0)))</f>
        <v/>
      </c>
      <c r="V1641" s="53">
        <f>IF(P1641="","",IF(P1641="Ingreso",S1641,0))</f>
        <v/>
      </c>
      <c r="W1641" s="53">
        <f>IF(P1641="","",IF(P1641="Resultado trading",S1641,0))</f>
        <v/>
      </c>
      <c r="X1641" s="52">
        <f>IF(OR(P1641="Gasto",P1641="Reembolso"),IF(M1641&lt;&gt;"",M1641,IFERROR(INDEX(catClasif,MATCH(D1641&amp;"|"&amp;E1641,catClave,0))&amp;"","Variable")),"")</f>
        <v/>
      </c>
      <c r="Y1641" s="52">
        <f>IF(P1641="","",IFERROR(INDEX(catGrupo,MATCH(D1641&amp;"|"&amp;E1641,catClave,0))&amp;"",""))</f>
        <v/>
      </c>
      <c r="Z1641" s="52">
        <f>IF(P1641="","",WEEKDAY(B1641,2))</f>
        <v/>
      </c>
      <c r="AA1641" s="52">
        <f>IF(P1641="","",IF(AND(P1641="Gasto",X1641="Variable",D1641&lt;&gt;catTrading,S1641&gt;0,S1641&lt;=Umbral),1,0))</f>
        <v/>
      </c>
      <c r="AB1641" s="52">
        <f>IF(OR(P1641="",Q1641=""),"",IFERROR(IF(INDEX(ctaVinc,MATCH(Q1641,ctaNombre,0))&amp;""&lt;&gt;"",INDEX(ctaVinc,MATCH(Q1641,ctaNombre,0))&amp;"",Q1641),Q1641))</f>
        <v/>
      </c>
      <c r="AC1641" s="52">
        <f>IF(OR(K1641="",AND(P1641&lt;&gt;"Transferencia",P1641&lt;&gt;"Pago tarjeta")),"",IFERROR(IF(INDEX(ctaVinc,MATCH(K1641,ctaNombre,0))&amp;""&lt;&gt;"",INDEX(ctaVinc,MATCH(K1641,ctaNombre,0))&amp;"",K1641),K1641))</f>
        <v/>
      </c>
      <c r="AD1641" s="52">
        <f>IF(AB1641="","",IFERROR(INDEX(ctaTipo,MATCH(AB1641,ctaNombre,0))&amp;"",""))</f>
        <v/>
      </c>
      <c r="AE1641" s="52">
        <f>IF(AC1641="","",IFERROR(INDEX(ctaTipo,MATCH(AC1641,ctaNombre,0))&amp;"",""))</f>
        <v/>
      </c>
      <c r="AF1641" s="53">
        <f>IF(OR(P1641="",AB1641=""),"",IF(OR(P1641="Gasto",P1641="Transferencia",P1641="Pago tarjeta"),-1,1)*IF(IFERROR(INDEX(ctaMoneda,MATCH(AB1641,ctaNombre,0))&amp;"","DOP")="USD",T1641,S1641))</f>
        <v/>
      </c>
      <c r="AG1641" s="53">
        <f>IF(AC1641="","",IF(IFERROR(INDEX(ctaMoneda,MATCH(AC1641,ctaNombre,0))&amp;"","DOP")="USD",T1641,S1641))</f>
        <v/>
      </c>
      <c r="AH1641" s="53">
        <f>IF(P1641="","",IF(AND(AD1641&lt;&gt;"",COUNTIFS(tcTipo,AD1641,tcLiq,"Sí")&gt;0),IF(OR(P1641="Gasto",P1641="Transferencia",P1641="Pago tarjeta"),-1,1)*S1641,0)+IF(AND(AE1641&lt;&gt;"",COUNTIFS(tcTipo,AE1641,tcLiq,"Sí")&gt;0),S1641,0))</f>
        <v/>
      </c>
      <c r="AI1641" s="52">
        <f>IF(OR(L1641="",P1641=""),"",IF(COUNTIFS(L$6:L1641,L1641,P$6:P1641,"?*")=1,MAX(AI$5:AI1640)+1,""))</f>
        <v/>
      </c>
    </row>
    <row r="1642">
      <c r="B1642" s="47" t="n"/>
      <c r="C1642" s="48" t="n"/>
      <c r="D1642" s="48" t="n"/>
      <c r="E1642" s="48" t="n"/>
      <c r="F1642" s="48" t="n"/>
      <c r="G1642" s="49" t="n"/>
      <c r="H1642" s="48" t="n"/>
      <c r="I1642" s="50" t="n"/>
      <c r="J1642" s="48" t="n"/>
      <c r="K1642" s="48" t="n"/>
      <c r="L1642" s="48" t="n"/>
      <c r="M1642" s="48" t="n"/>
      <c r="N1642" s="48" t="n"/>
      <c r="O1642" s="51">
        <f>IF(AND(B1642="",G1642="",C1642="",D1642="",J1642=""),"",IF(B1642="","⚠ Falta fecha",IF(G1642="","⚠ Falta monto",IF(Q1642="","⚠ Falta cuenta",IF(ISNA(MATCH(Q1642,ctaNombre,0)),"⚠ Cuenta no registrada",IF(AND(OR(P1642="Gasto",P1642="Reembolso"),D1642=""),"⚠ Falta categoría",IF(AND(D1642&lt;&gt;"",E1642&lt;&gt;"",ISNA(MATCH(D1642&amp;"|"&amp;E1642,catClave,0))),"⚠ Subcategoría no corresponde",IF(AND(OR(P1642="Transferencia",P1642="Pago tarjeta"),K1642=""),"⚠ Falta cuenta destino",IF(AND(K1642&lt;&gt;"",P1642&lt;&gt;"Transferencia",P1642&lt;&gt;"Pago tarjeta"),"⚠ Destino solo aplica a transferencias",IF(AND(K1642&lt;&gt;"",K1642=Q1642),"⚠ Origen igual a destino",IF(AND(K1642&lt;&gt;"",ISNA(MATCH(K1642,ctaNombre,0))),"⚠ Destino no registrado",IF(AND(P1642="Pago tarjeta",AE1642&lt;&gt;"Tarjeta de crédito"),"⚠ El destino debe ser tarjeta de crédito",IF(AND(P1642="Gasto",E1642="Depósitos y retiros"),"⚠ Usa tipo Transferencia",IF(AND(P1642="Resultado trading",AD1642&lt;&gt;"Cuenta de trading"),"⚠ Usa una cuenta de trading",IF(AND(G1642&lt;=0,P1642&lt;&gt;"Ajuste",P1642&lt;&gt;"Resultado trading"),"⚠ El monto debe ser positivo","✓")))))))))))))))</f>
        <v/>
      </c>
      <c r="P1642" s="52">
        <f>IF(OR(B1642="",G1642=""),"",IF(C1642="","Gasto",C1642))</f>
        <v/>
      </c>
      <c r="Q1642" s="52">
        <f>IF(P1642="","",IF(J1642&lt;&gt;"",J1642,CuentaPred&amp;""))</f>
        <v/>
      </c>
      <c r="R1642" s="52">
        <f>IF(P1642="","",IF(ISNUMBER(I1642),I1642,TasaUSD))</f>
        <v/>
      </c>
      <c r="S1642" s="53">
        <f>IF(P1642="","",IF(H1642="USD",G1642*R1642,G1642))</f>
        <v/>
      </c>
      <c r="T1642" s="53">
        <f>IF(P1642="","",IF(H1642="USD",G1642,IF(R1642&gt;0,G1642/R1642,0)))</f>
        <v/>
      </c>
      <c r="U1642" s="53">
        <f>IF(P1642="","",IF(P1642="Gasto",S1642,IF(P1642="Reembolso",-S1642,0)))</f>
        <v/>
      </c>
      <c r="V1642" s="53">
        <f>IF(P1642="","",IF(P1642="Ingreso",S1642,0))</f>
        <v/>
      </c>
      <c r="W1642" s="53">
        <f>IF(P1642="","",IF(P1642="Resultado trading",S1642,0))</f>
        <v/>
      </c>
      <c r="X1642" s="52">
        <f>IF(OR(P1642="Gasto",P1642="Reembolso"),IF(M1642&lt;&gt;"",M1642,IFERROR(INDEX(catClasif,MATCH(D1642&amp;"|"&amp;E1642,catClave,0))&amp;"","Variable")),"")</f>
        <v/>
      </c>
      <c r="Y1642" s="52">
        <f>IF(P1642="","",IFERROR(INDEX(catGrupo,MATCH(D1642&amp;"|"&amp;E1642,catClave,0))&amp;"",""))</f>
        <v/>
      </c>
      <c r="Z1642" s="52">
        <f>IF(P1642="","",WEEKDAY(B1642,2))</f>
        <v/>
      </c>
      <c r="AA1642" s="52">
        <f>IF(P1642="","",IF(AND(P1642="Gasto",X1642="Variable",D1642&lt;&gt;catTrading,S1642&gt;0,S1642&lt;=Umbral),1,0))</f>
        <v/>
      </c>
      <c r="AB1642" s="52">
        <f>IF(OR(P1642="",Q1642=""),"",IFERROR(IF(INDEX(ctaVinc,MATCH(Q1642,ctaNombre,0))&amp;""&lt;&gt;"",INDEX(ctaVinc,MATCH(Q1642,ctaNombre,0))&amp;"",Q1642),Q1642))</f>
        <v/>
      </c>
      <c r="AC1642" s="52">
        <f>IF(OR(K1642="",AND(P1642&lt;&gt;"Transferencia",P1642&lt;&gt;"Pago tarjeta")),"",IFERROR(IF(INDEX(ctaVinc,MATCH(K1642,ctaNombre,0))&amp;""&lt;&gt;"",INDEX(ctaVinc,MATCH(K1642,ctaNombre,0))&amp;"",K1642),K1642))</f>
        <v/>
      </c>
      <c r="AD1642" s="52">
        <f>IF(AB1642="","",IFERROR(INDEX(ctaTipo,MATCH(AB1642,ctaNombre,0))&amp;"",""))</f>
        <v/>
      </c>
      <c r="AE1642" s="52">
        <f>IF(AC1642="","",IFERROR(INDEX(ctaTipo,MATCH(AC1642,ctaNombre,0))&amp;"",""))</f>
        <v/>
      </c>
      <c r="AF1642" s="53">
        <f>IF(OR(P1642="",AB1642=""),"",IF(OR(P1642="Gasto",P1642="Transferencia",P1642="Pago tarjeta"),-1,1)*IF(IFERROR(INDEX(ctaMoneda,MATCH(AB1642,ctaNombre,0))&amp;"","DOP")="USD",T1642,S1642))</f>
        <v/>
      </c>
      <c r="AG1642" s="53">
        <f>IF(AC1642="","",IF(IFERROR(INDEX(ctaMoneda,MATCH(AC1642,ctaNombre,0))&amp;"","DOP")="USD",T1642,S1642))</f>
        <v/>
      </c>
      <c r="AH1642" s="53">
        <f>IF(P1642="","",IF(AND(AD1642&lt;&gt;"",COUNTIFS(tcTipo,AD1642,tcLiq,"Sí")&gt;0),IF(OR(P1642="Gasto",P1642="Transferencia",P1642="Pago tarjeta"),-1,1)*S1642,0)+IF(AND(AE1642&lt;&gt;"",COUNTIFS(tcTipo,AE1642,tcLiq,"Sí")&gt;0),S1642,0))</f>
        <v/>
      </c>
      <c r="AI1642" s="52">
        <f>IF(OR(L1642="",P1642=""),"",IF(COUNTIFS(L$6:L1642,L1642,P$6:P1642,"?*")=1,MAX(AI$5:AI1641)+1,""))</f>
        <v/>
      </c>
    </row>
    <row r="1643">
      <c r="B1643" s="47" t="n"/>
      <c r="C1643" s="48" t="n"/>
      <c r="D1643" s="48" t="n"/>
      <c r="E1643" s="48" t="n"/>
      <c r="F1643" s="48" t="n"/>
      <c r="G1643" s="49" t="n"/>
      <c r="H1643" s="48" t="n"/>
      <c r="I1643" s="50" t="n"/>
      <c r="J1643" s="48" t="n"/>
      <c r="K1643" s="48" t="n"/>
      <c r="L1643" s="48" t="n"/>
      <c r="M1643" s="48" t="n"/>
      <c r="N1643" s="48" t="n"/>
      <c r="O1643" s="51">
        <f>IF(AND(B1643="",G1643="",C1643="",D1643="",J1643=""),"",IF(B1643="","⚠ Falta fecha",IF(G1643="","⚠ Falta monto",IF(Q1643="","⚠ Falta cuenta",IF(ISNA(MATCH(Q1643,ctaNombre,0)),"⚠ Cuenta no registrada",IF(AND(OR(P1643="Gasto",P1643="Reembolso"),D1643=""),"⚠ Falta categoría",IF(AND(D1643&lt;&gt;"",E1643&lt;&gt;"",ISNA(MATCH(D1643&amp;"|"&amp;E1643,catClave,0))),"⚠ Subcategoría no corresponde",IF(AND(OR(P1643="Transferencia",P1643="Pago tarjeta"),K1643=""),"⚠ Falta cuenta destino",IF(AND(K1643&lt;&gt;"",P1643&lt;&gt;"Transferencia",P1643&lt;&gt;"Pago tarjeta"),"⚠ Destino solo aplica a transferencias",IF(AND(K1643&lt;&gt;"",K1643=Q1643),"⚠ Origen igual a destino",IF(AND(K1643&lt;&gt;"",ISNA(MATCH(K1643,ctaNombre,0))),"⚠ Destino no registrado",IF(AND(P1643="Pago tarjeta",AE1643&lt;&gt;"Tarjeta de crédito"),"⚠ El destino debe ser tarjeta de crédito",IF(AND(P1643="Gasto",E1643="Depósitos y retiros"),"⚠ Usa tipo Transferencia",IF(AND(P1643="Resultado trading",AD1643&lt;&gt;"Cuenta de trading"),"⚠ Usa una cuenta de trading",IF(AND(G1643&lt;=0,P1643&lt;&gt;"Ajuste",P1643&lt;&gt;"Resultado trading"),"⚠ El monto debe ser positivo","✓")))))))))))))))</f>
        <v/>
      </c>
      <c r="P1643" s="52">
        <f>IF(OR(B1643="",G1643=""),"",IF(C1643="","Gasto",C1643))</f>
        <v/>
      </c>
      <c r="Q1643" s="52">
        <f>IF(P1643="","",IF(J1643&lt;&gt;"",J1643,CuentaPred&amp;""))</f>
        <v/>
      </c>
      <c r="R1643" s="52">
        <f>IF(P1643="","",IF(ISNUMBER(I1643),I1643,TasaUSD))</f>
        <v/>
      </c>
      <c r="S1643" s="53">
        <f>IF(P1643="","",IF(H1643="USD",G1643*R1643,G1643))</f>
        <v/>
      </c>
      <c r="T1643" s="53">
        <f>IF(P1643="","",IF(H1643="USD",G1643,IF(R1643&gt;0,G1643/R1643,0)))</f>
        <v/>
      </c>
      <c r="U1643" s="53">
        <f>IF(P1643="","",IF(P1643="Gasto",S1643,IF(P1643="Reembolso",-S1643,0)))</f>
        <v/>
      </c>
      <c r="V1643" s="53">
        <f>IF(P1643="","",IF(P1643="Ingreso",S1643,0))</f>
        <v/>
      </c>
      <c r="W1643" s="53">
        <f>IF(P1643="","",IF(P1643="Resultado trading",S1643,0))</f>
        <v/>
      </c>
      <c r="X1643" s="52">
        <f>IF(OR(P1643="Gasto",P1643="Reembolso"),IF(M1643&lt;&gt;"",M1643,IFERROR(INDEX(catClasif,MATCH(D1643&amp;"|"&amp;E1643,catClave,0))&amp;"","Variable")),"")</f>
        <v/>
      </c>
      <c r="Y1643" s="52">
        <f>IF(P1643="","",IFERROR(INDEX(catGrupo,MATCH(D1643&amp;"|"&amp;E1643,catClave,0))&amp;"",""))</f>
        <v/>
      </c>
      <c r="Z1643" s="52">
        <f>IF(P1643="","",WEEKDAY(B1643,2))</f>
        <v/>
      </c>
      <c r="AA1643" s="52">
        <f>IF(P1643="","",IF(AND(P1643="Gasto",X1643="Variable",D1643&lt;&gt;catTrading,S1643&gt;0,S1643&lt;=Umbral),1,0))</f>
        <v/>
      </c>
      <c r="AB1643" s="52">
        <f>IF(OR(P1643="",Q1643=""),"",IFERROR(IF(INDEX(ctaVinc,MATCH(Q1643,ctaNombre,0))&amp;""&lt;&gt;"",INDEX(ctaVinc,MATCH(Q1643,ctaNombre,0))&amp;"",Q1643),Q1643))</f>
        <v/>
      </c>
      <c r="AC1643" s="52">
        <f>IF(OR(K1643="",AND(P1643&lt;&gt;"Transferencia",P1643&lt;&gt;"Pago tarjeta")),"",IFERROR(IF(INDEX(ctaVinc,MATCH(K1643,ctaNombre,0))&amp;""&lt;&gt;"",INDEX(ctaVinc,MATCH(K1643,ctaNombre,0))&amp;"",K1643),K1643))</f>
        <v/>
      </c>
      <c r="AD1643" s="52">
        <f>IF(AB1643="","",IFERROR(INDEX(ctaTipo,MATCH(AB1643,ctaNombre,0))&amp;"",""))</f>
        <v/>
      </c>
      <c r="AE1643" s="52">
        <f>IF(AC1643="","",IFERROR(INDEX(ctaTipo,MATCH(AC1643,ctaNombre,0))&amp;"",""))</f>
        <v/>
      </c>
      <c r="AF1643" s="53">
        <f>IF(OR(P1643="",AB1643=""),"",IF(OR(P1643="Gasto",P1643="Transferencia",P1643="Pago tarjeta"),-1,1)*IF(IFERROR(INDEX(ctaMoneda,MATCH(AB1643,ctaNombre,0))&amp;"","DOP")="USD",T1643,S1643))</f>
        <v/>
      </c>
      <c r="AG1643" s="53">
        <f>IF(AC1643="","",IF(IFERROR(INDEX(ctaMoneda,MATCH(AC1643,ctaNombre,0))&amp;"","DOP")="USD",T1643,S1643))</f>
        <v/>
      </c>
      <c r="AH1643" s="53">
        <f>IF(P1643="","",IF(AND(AD1643&lt;&gt;"",COUNTIFS(tcTipo,AD1643,tcLiq,"Sí")&gt;0),IF(OR(P1643="Gasto",P1643="Transferencia",P1643="Pago tarjeta"),-1,1)*S1643,0)+IF(AND(AE1643&lt;&gt;"",COUNTIFS(tcTipo,AE1643,tcLiq,"Sí")&gt;0),S1643,0))</f>
        <v/>
      </c>
      <c r="AI1643" s="52">
        <f>IF(OR(L1643="",P1643=""),"",IF(COUNTIFS(L$6:L1643,L1643,P$6:P1643,"?*")=1,MAX(AI$5:AI1642)+1,""))</f>
        <v/>
      </c>
    </row>
    <row r="1644">
      <c r="B1644" s="47" t="n"/>
      <c r="C1644" s="48" t="n"/>
      <c r="D1644" s="48" t="n"/>
      <c r="E1644" s="48" t="n"/>
      <c r="F1644" s="48" t="n"/>
      <c r="G1644" s="49" t="n"/>
      <c r="H1644" s="48" t="n"/>
      <c r="I1644" s="50" t="n"/>
      <c r="J1644" s="48" t="n"/>
      <c r="K1644" s="48" t="n"/>
      <c r="L1644" s="48" t="n"/>
      <c r="M1644" s="48" t="n"/>
      <c r="N1644" s="48" t="n"/>
      <c r="O1644" s="51">
        <f>IF(AND(B1644="",G1644="",C1644="",D1644="",J1644=""),"",IF(B1644="","⚠ Falta fecha",IF(G1644="","⚠ Falta monto",IF(Q1644="","⚠ Falta cuenta",IF(ISNA(MATCH(Q1644,ctaNombre,0)),"⚠ Cuenta no registrada",IF(AND(OR(P1644="Gasto",P1644="Reembolso"),D1644=""),"⚠ Falta categoría",IF(AND(D1644&lt;&gt;"",E1644&lt;&gt;"",ISNA(MATCH(D1644&amp;"|"&amp;E1644,catClave,0))),"⚠ Subcategoría no corresponde",IF(AND(OR(P1644="Transferencia",P1644="Pago tarjeta"),K1644=""),"⚠ Falta cuenta destino",IF(AND(K1644&lt;&gt;"",P1644&lt;&gt;"Transferencia",P1644&lt;&gt;"Pago tarjeta"),"⚠ Destino solo aplica a transferencias",IF(AND(K1644&lt;&gt;"",K1644=Q1644),"⚠ Origen igual a destino",IF(AND(K1644&lt;&gt;"",ISNA(MATCH(K1644,ctaNombre,0))),"⚠ Destino no registrado",IF(AND(P1644="Pago tarjeta",AE1644&lt;&gt;"Tarjeta de crédito"),"⚠ El destino debe ser tarjeta de crédito",IF(AND(P1644="Gasto",E1644="Depósitos y retiros"),"⚠ Usa tipo Transferencia",IF(AND(P1644="Resultado trading",AD1644&lt;&gt;"Cuenta de trading"),"⚠ Usa una cuenta de trading",IF(AND(G1644&lt;=0,P1644&lt;&gt;"Ajuste",P1644&lt;&gt;"Resultado trading"),"⚠ El monto debe ser positivo","✓")))))))))))))))</f>
        <v/>
      </c>
      <c r="P1644" s="52">
        <f>IF(OR(B1644="",G1644=""),"",IF(C1644="","Gasto",C1644))</f>
        <v/>
      </c>
      <c r="Q1644" s="52">
        <f>IF(P1644="","",IF(J1644&lt;&gt;"",J1644,CuentaPred&amp;""))</f>
        <v/>
      </c>
      <c r="R1644" s="52">
        <f>IF(P1644="","",IF(ISNUMBER(I1644),I1644,TasaUSD))</f>
        <v/>
      </c>
      <c r="S1644" s="53">
        <f>IF(P1644="","",IF(H1644="USD",G1644*R1644,G1644))</f>
        <v/>
      </c>
      <c r="T1644" s="53">
        <f>IF(P1644="","",IF(H1644="USD",G1644,IF(R1644&gt;0,G1644/R1644,0)))</f>
        <v/>
      </c>
      <c r="U1644" s="53">
        <f>IF(P1644="","",IF(P1644="Gasto",S1644,IF(P1644="Reembolso",-S1644,0)))</f>
        <v/>
      </c>
      <c r="V1644" s="53">
        <f>IF(P1644="","",IF(P1644="Ingreso",S1644,0))</f>
        <v/>
      </c>
      <c r="W1644" s="53">
        <f>IF(P1644="","",IF(P1644="Resultado trading",S1644,0))</f>
        <v/>
      </c>
      <c r="X1644" s="52">
        <f>IF(OR(P1644="Gasto",P1644="Reembolso"),IF(M1644&lt;&gt;"",M1644,IFERROR(INDEX(catClasif,MATCH(D1644&amp;"|"&amp;E1644,catClave,0))&amp;"","Variable")),"")</f>
        <v/>
      </c>
      <c r="Y1644" s="52">
        <f>IF(P1644="","",IFERROR(INDEX(catGrupo,MATCH(D1644&amp;"|"&amp;E1644,catClave,0))&amp;"",""))</f>
        <v/>
      </c>
      <c r="Z1644" s="52">
        <f>IF(P1644="","",WEEKDAY(B1644,2))</f>
        <v/>
      </c>
      <c r="AA1644" s="52">
        <f>IF(P1644="","",IF(AND(P1644="Gasto",X1644="Variable",D1644&lt;&gt;catTrading,S1644&gt;0,S1644&lt;=Umbral),1,0))</f>
        <v/>
      </c>
      <c r="AB1644" s="52">
        <f>IF(OR(P1644="",Q1644=""),"",IFERROR(IF(INDEX(ctaVinc,MATCH(Q1644,ctaNombre,0))&amp;""&lt;&gt;"",INDEX(ctaVinc,MATCH(Q1644,ctaNombre,0))&amp;"",Q1644),Q1644))</f>
        <v/>
      </c>
      <c r="AC1644" s="52">
        <f>IF(OR(K1644="",AND(P1644&lt;&gt;"Transferencia",P1644&lt;&gt;"Pago tarjeta")),"",IFERROR(IF(INDEX(ctaVinc,MATCH(K1644,ctaNombre,0))&amp;""&lt;&gt;"",INDEX(ctaVinc,MATCH(K1644,ctaNombre,0))&amp;"",K1644),K1644))</f>
        <v/>
      </c>
      <c r="AD1644" s="52">
        <f>IF(AB1644="","",IFERROR(INDEX(ctaTipo,MATCH(AB1644,ctaNombre,0))&amp;"",""))</f>
        <v/>
      </c>
      <c r="AE1644" s="52">
        <f>IF(AC1644="","",IFERROR(INDEX(ctaTipo,MATCH(AC1644,ctaNombre,0))&amp;"",""))</f>
        <v/>
      </c>
      <c r="AF1644" s="53">
        <f>IF(OR(P1644="",AB1644=""),"",IF(OR(P1644="Gasto",P1644="Transferencia",P1644="Pago tarjeta"),-1,1)*IF(IFERROR(INDEX(ctaMoneda,MATCH(AB1644,ctaNombre,0))&amp;"","DOP")="USD",T1644,S1644))</f>
        <v/>
      </c>
      <c r="AG1644" s="53">
        <f>IF(AC1644="","",IF(IFERROR(INDEX(ctaMoneda,MATCH(AC1644,ctaNombre,0))&amp;"","DOP")="USD",T1644,S1644))</f>
        <v/>
      </c>
      <c r="AH1644" s="53">
        <f>IF(P1644="","",IF(AND(AD1644&lt;&gt;"",COUNTIFS(tcTipo,AD1644,tcLiq,"Sí")&gt;0),IF(OR(P1644="Gasto",P1644="Transferencia",P1644="Pago tarjeta"),-1,1)*S1644,0)+IF(AND(AE1644&lt;&gt;"",COUNTIFS(tcTipo,AE1644,tcLiq,"Sí")&gt;0),S1644,0))</f>
        <v/>
      </c>
      <c r="AI1644" s="52">
        <f>IF(OR(L1644="",P1644=""),"",IF(COUNTIFS(L$6:L1644,L1644,P$6:P1644,"?*")=1,MAX(AI$5:AI1643)+1,""))</f>
        <v/>
      </c>
    </row>
    <row r="1645">
      <c r="B1645" s="47" t="n"/>
      <c r="C1645" s="48" t="n"/>
      <c r="D1645" s="48" t="n"/>
      <c r="E1645" s="48" t="n"/>
      <c r="F1645" s="48" t="n"/>
      <c r="G1645" s="49" t="n"/>
      <c r="H1645" s="48" t="n"/>
      <c r="I1645" s="50" t="n"/>
      <c r="J1645" s="48" t="n"/>
      <c r="K1645" s="48" t="n"/>
      <c r="L1645" s="48" t="n"/>
      <c r="M1645" s="48" t="n"/>
      <c r="N1645" s="48" t="n"/>
      <c r="O1645" s="51">
        <f>IF(AND(B1645="",G1645="",C1645="",D1645="",J1645=""),"",IF(B1645="","⚠ Falta fecha",IF(G1645="","⚠ Falta monto",IF(Q1645="","⚠ Falta cuenta",IF(ISNA(MATCH(Q1645,ctaNombre,0)),"⚠ Cuenta no registrada",IF(AND(OR(P1645="Gasto",P1645="Reembolso"),D1645=""),"⚠ Falta categoría",IF(AND(D1645&lt;&gt;"",E1645&lt;&gt;"",ISNA(MATCH(D1645&amp;"|"&amp;E1645,catClave,0))),"⚠ Subcategoría no corresponde",IF(AND(OR(P1645="Transferencia",P1645="Pago tarjeta"),K1645=""),"⚠ Falta cuenta destino",IF(AND(K1645&lt;&gt;"",P1645&lt;&gt;"Transferencia",P1645&lt;&gt;"Pago tarjeta"),"⚠ Destino solo aplica a transferencias",IF(AND(K1645&lt;&gt;"",K1645=Q1645),"⚠ Origen igual a destino",IF(AND(K1645&lt;&gt;"",ISNA(MATCH(K1645,ctaNombre,0))),"⚠ Destino no registrado",IF(AND(P1645="Pago tarjeta",AE1645&lt;&gt;"Tarjeta de crédito"),"⚠ El destino debe ser tarjeta de crédito",IF(AND(P1645="Gasto",E1645="Depósitos y retiros"),"⚠ Usa tipo Transferencia",IF(AND(P1645="Resultado trading",AD1645&lt;&gt;"Cuenta de trading"),"⚠ Usa una cuenta de trading",IF(AND(G1645&lt;=0,P1645&lt;&gt;"Ajuste",P1645&lt;&gt;"Resultado trading"),"⚠ El monto debe ser positivo","✓")))))))))))))))</f>
        <v/>
      </c>
      <c r="P1645" s="52">
        <f>IF(OR(B1645="",G1645=""),"",IF(C1645="","Gasto",C1645))</f>
        <v/>
      </c>
      <c r="Q1645" s="52">
        <f>IF(P1645="","",IF(J1645&lt;&gt;"",J1645,CuentaPred&amp;""))</f>
        <v/>
      </c>
      <c r="R1645" s="52">
        <f>IF(P1645="","",IF(ISNUMBER(I1645),I1645,TasaUSD))</f>
        <v/>
      </c>
      <c r="S1645" s="53">
        <f>IF(P1645="","",IF(H1645="USD",G1645*R1645,G1645))</f>
        <v/>
      </c>
      <c r="T1645" s="53">
        <f>IF(P1645="","",IF(H1645="USD",G1645,IF(R1645&gt;0,G1645/R1645,0)))</f>
        <v/>
      </c>
      <c r="U1645" s="53">
        <f>IF(P1645="","",IF(P1645="Gasto",S1645,IF(P1645="Reembolso",-S1645,0)))</f>
        <v/>
      </c>
      <c r="V1645" s="53">
        <f>IF(P1645="","",IF(P1645="Ingreso",S1645,0))</f>
        <v/>
      </c>
      <c r="W1645" s="53">
        <f>IF(P1645="","",IF(P1645="Resultado trading",S1645,0))</f>
        <v/>
      </c>
      <c r="X1645" s="52">
        <f>IF(OR(P1645="Gasto",P1645="Reembolso"),IF(M1645&lt;&gt;"",M1645,IFERROR(INDEX(catClasif,MATCH(D1645&amp;"|"&amp;E1645,catClave,0))&amp;"","Variable")),"")</f>
        <v/>
      </c>
      <c r="Y1645" s="52">
        <f>IF(P1645="","",IFERROR(INDEX(catGrupo,MATCH(D1645&amp;"|"&amp;E1645,catClave,0))&amp;"",""))</f>
        <v/>
      </c>
      <c r="Z1645" s="52">
        <f>IF(P1645="","",WEEKDAY(B1645,2))</f>
        <v/>
      </c>
      <c r="AA1645" s="52">
        <f>IF(P1645="","",IF(AND(P1645="Gasto",X1645="Variable",D1645&lt;&gt;catTrading,S1645&gt;0,S1645&lt;=Umbral),1,0))</f>
        <v/>
      </c>
      <c r="AB1645" s="52">
        <f>IF(OR(P1645="",Q1645=""),"",IFERROR(IF(INDEX(ctaVinc,MATCH(Q1645,ctaNombre,0))&amp;""&lt;&gt;"",INDEX(ctaVinc,MATCH(Q1645,ctaNombre,0))&amp;"",Q1645),Q1645))</f>
        <v/>
      </c>
      <c r="AC1645" s="52">
        <f>IF(OR(K1645="",AND(P1645&lt;&gt;"Transferencia",P1645&lt;&gt;"Pago tarjeta")),"",IFERROR(IF(INDEX(ctaVinc,MATCH(K1645,ctaNombre,0))&amp;""&lt;&gt;"",INDEX(ctaVinc,MATCH(K1645,ctaNombre,0))&amp;"",K1645),K1645))</f>
        <v/>
      </c>
      <c r="AD1645" s="52">
        <f>IF(AB1645="","",IFERROR(INDEX(ctaTipo,MATCH(AB1645,ctaNombre,0))&amp;"",""))</f>
        <v/>
      </c>
      <c r="AE1645" s="52">
        <f>IF(AC1645="","",IFERROR(INDEX(ctaTipo,MATCH(AC1645,ctaNombre,0))&amp;"",""))</f>
        <v/>
      </c>
      <c r="AF1645" s="53">
        <f>IF(OR(P1645="",AB1645=""),"",IF(OR(P1645="Gasto",P1645="Transferencia",P1645="Pago tarjeta"),-1,1)*IF(IFERROR(INDEX(ctaMoneda,MATCH(AB1645,ctaNombre,0))&amp;"","DOP")="USD",T1645,S1645))</f>
        <v/>
      </c>
      <c r="AG1645" s="53">
        <f>IF(AC1645="","",IF(IFERROR(INDEX(ctaMoneda,MATCH(AC1645,ctaNombre,0))&amp;"","DOP")="USD",T1645,S1645))</f>
        <v/>
      </c>
      <c r="AH1645" s="53">
        <f>IF(P1645="","",IF(AND(AD1645&lt;&gt;"",COUNTIFS(tcTipo,AD1645,tcLiq,"Sí")&gt;0),IF(OR(P1645="Gasto",P1645="Transferencia",P1645="Pago tarjeta"),-1,1)*S1645,0)+IF(AND(AE1645&lt;&gt;"",COUNTIFS(tcTipo,AE1645,tcLiq,"Sí")&gt;0),S1645,0))</f>
        <v/>
      </c>
      <c r="AI1645" s="52">
        <f>IF(OR(L1645="",P1645=""),"",IF(COUNTIFS(L$6:L1645,L1645,P$6:P1645,"?*")=1,MAX(AI$5:AI1644)+1,""))</f>
        <v/>
      </c>
    </row>
    <row r="1646">
      <c r="B1646" s="47" t="n"/>
      <c r="C1646" s="48" t="n"/>
      <c r="D1646" s="48" t="n"/>
      <c r="E1646" s="48" t="n"/>
      <c r="F1646" s="48" t="n"/>
      <c r="G1646" s="49" t="n"/>
      <c r="H1646" s="48" t="n"/>
      <c r="I1646" s="50" t="n"/>
      <c r="J1646" s="48" t="n"/>
      <c r="K1646" s="48" t="n"/>
      <c r="L1646" s="48" t="n"/>
      <c r="M1646" s="48" t="n"/>
      <c r="N1646" s="48" t="n"/>
      <c r="O1646" s="51">
        <f>IF(AND(B1646="",G1646="",C1646="",D1646="",J1646=""),"",IF(B1646="","⚠ Falta fecha",IF(G1646="","⚠ Falta monto",IF(Q1646="","⚠ Falta cuenta",IF(ISNA(MATCH(Q1646,ctaNombre,0)),"⚠ Cuenta no registrada",IF(AND(OR(P1646="Gasto",P1646="Reembolso"),D1646=""),"⚠ Falta categoría",IF(AND(D1646&lt;&gt;"",E1646&lt;&gt;"",ISNA(MATCH(D1646&amp;"|"&amp;E1646,catClave,0))),"⚠ Subcategoría no corresponde",IF(AND(OR(P1646="Transferencia",P1646="Pago tarjeta"),K1646=""),"⚠ Falta cuenta destino",IF(AND(K1646&lt;&gt;"",P1646&lt;&gt;"Transferencia",P1646&lt;&gt;"Pago tarjeta"),"⚠ Destino solo aplica a transferencias",IF(AND(K1646&lt;&gt;"",K1646=Q1646),"⚠ Origen igual a destino",IF(AND(K1646&lt;&gt;"",ISNA(MATCH(K1646,ctaNombre,0))),"⚠ Destino no registrado",IF(AND(P1646="Pago tarjeta",AE1646&lt;&gt;"Tarjeta de crédito"),"⚠ El destino debe ser tarjeta de crédito",IF(AND(P1646="Gasto",E1646="Depósitos y retiros"),"⚠ Usa tipo Transferencia",IF(AND(P1646="Resultado trading",AD1646&lt;&gt;"Cuenta de trading"),"⚠ Usa una cuenta de trading",IF(AND(G1646&lt;=0,P1646&lt;&gt;"Ajuste",P1646&lt;&gt;"Resultado trading"),"⚠ El monto debe ser positivo","✓")))))))))))))))</f>
        <v/>
      </c>
      <c r="P1646" s="52">
        <f>IF(OR(B1646="",G1646=""),"",IF(C1646="","Gasto",C1646))</f>
        <v/>
      </c>
      <c r="Q1646" s="52">
        <f>IF(P1646="","",IF(J1646&lt;&gt;"",J1646,CuentaPred&amp;""))</f>
        <v/>
      </c>
      <c r="R1646" s="52">
        <f>IF(P1646="","",IF(ISNUMBER(I1646),I1646,TasaUSD))</f>
        <v/>
      </c>
      <c r="S1646" s="53">
        <f>IF(P1646="","",IF(H1646="USD",G1646*R1646,G1646))</f>
        <v/>
      </c>
      <c r="T1646" s="53">
        <f>IF(P1646="","",IF(H1646="USD",G1646,IF(R1646&gt;0,G1646/R1646,0)))</f>
        <v/>
      </c>
      <c r="U1646" s="53">
        <f>IF(P1646="","",IF(P1646="Gasto",S1646,IF(P1646="Reembolso",-S1646,0)))</f>
        <v/>
      </c>
      <c r="V1646" s="53">
        <f>IF(P1646="","",IF(P1646="Ingreso",S1646,0))</f>
        <v/>
      </c>
      <c r="W1646" s="53">
        <f>IF(P1646="","",IF(P1646="Resultado trading",S1646,0))</f>
        <v/>
      </c>
      <c r="X1646" s="52">
        <f>IF(OR(P1646="Gasto",P1646="Reembolso"),IF(M1646&lt;&gt;"",M1646,IFERROR(INDEX(catClasif,MATCH(D1646&amp;"|"&amp;E1646,catClave,0))&amp;"","Variable")),"")</f>
        <v/>
      </c>
      <c r="Y1646" s="52">
        <f>IF(P1646="","",IFERROR(INDEX(catGrupo,MATCH(D1646&amp;"|"&amp;E1646,catClave,0))&amp;"",""))</f>
        <v/>
      </c>
      <c r="Z1646" s="52">
        <f>IF(P1646="","",WEEKDAY(B1646,2))</f>
        <v/>
      </c>
      <c r="AA1646" s="52">
        <f>IF(P1646="","",IF(AND(P1646="Gasto",X1646="Variable",D1646&lt;&gt;catTrading,S1646&gt;0,S1646&lt;=Umbral),1,0))</f>
        <v/>
      </c>
      <c r="AB1646" s="52">
        <f>IF(OR(P1646="",Q1646=""),"",IFERROR(IF(INDEX(ctaVinc,MATCH(Q1646,ctaNombre,0))&amp;""&lt;&gt;"",INDEX(ctaVinc,MATCH(Q1646,ctaNombre,0))&amp;"",Q1646),Q1646))</f>
        <v/>
      </c>
      <c r="AC1646" s="52">
        <f>IF(OR(K1646="",AND(P1646&lt;&gt;"Transferencia",P1646&lt;&gt;"Pago tarjeta")),"",IFERROR(IF(INDEX(ctaVinc,MATCH(K1646,ctaNombre,0))&amp;""&lt;&gt;"",INDEX(ctaVinc,MATCH(K1646,ctaNombre,0))&amp;"",K1646),K1646))</f>
        <v/>
      </c>
      <c r="AD1646" s="52">
        <f>IF(AB1646="","",IFERROR(INDEX(ctaTipo,MATCH(AB1646,ctaNombre,0))&amp;"",""))</f>
        <v/>
      </c>
      <c r="AE1646" s="52">
        <f>IF(AC1646="","",IFERROR(INDEX(ctaTipo,MATCH(AC1646,ctaNombre,0))&amp;"",""))</f>
        <v/>
      </c>
      <c r="AF1646" s="53">
        <f>IF(OR(P1646="",AB1646=""),"",IF(OR(P1646="Gasto",P1646="Transferencia",P1646="Pago tarjeta"),-1,1)*IF(IFERROR(INDEX(ctaMoneda,MATCH(AB1646,ctaNombre,0))&amp;"","DOP")="USD",T1646,S1646))</f>
        <v/>
      </c>
      <c r="AG1646" s="53">
        <f>IF(AC1646="","",IF(IFERROR(INDEX(ctaMoneda,MATCH(AC1646,ctaNombre,0))&amp;"","DOP")="USD",T1646,S1646))</f>
        <v/>
      </c>
      <c r="AH1646" s="53">
        <f>IF(P1646="","",IF(AND(AD1646&lt;&gt;"",COUNTIFS(tcTipo,AD1646,tcLiq,"Sí")&gt;0),IF(OR(P1646="Gasto",P1646="Transferencia",P1646="Pago tarjeta"),-1,1)*S1646,0)+IF(AND(AE1646&lt;&gt;"",COUNTIFS(tcTipo,AE1646,tcLiq,"Sí")&gt;0),S1646,0))</f>
        <v/>
      </c>
      <c r="AI1646" s="52">
        <f>IF(OR(L1646="",P1646=""),"",IF(COUNTIFS(L$6:L1646,L1646,P$6:P1646,"?*")=1,MAX(AI$5:AI1645)+1,""))</f>
        <v/>
      </c>
    </row>
    <row r="1647">
      <c r="B1647" s="47" t="n"/>
      <c r="C1647" s="48" t="n"/>
      <c r="D1647" s="48" t="n"/>
      <c r="E1647" s="48" t="n"/>
      <c r="F1647" s="48" t="n"/>
      <c r="G1647" s="49" t="n"/>
      <c r="H1647" s="48" t="n"/>
      <c r="I1647" s="50" t="n"/>
      <c r="J1647" s="48" t="n"/>
      <c r="K1647" s="48" t="n"/>
      <c r="L1647" s="48" t="n"/>
      <c r="M1647" s="48" t="n"/>
      <c r="N1647" s="48" t="n"/>
      <c r="O1647" s="51">
        <f>IF(AND(B1647="",G1647="",C1647="",D1647="",J1647=""),"",IF(B1647="","⚠ Falta fecha",IF(G1647="","⚠ Falta monto",IF(Q1647="","⚠ Falta cuenta",IF(ISNA(MATCH(Q1647,ctaNombre,0)),"⚠ Cuenta no registrada",IF(AND(OR(P1647="Gasto",P1647="Reembolso"),D1647=""),"⚠ Falta categoría",IF(AND(D1647&lt;&gt;"",E1647&lt;&gt;"",ISNA(MATCH(D1647&amp;"|"&amp;E1647,catClave,0))),"⚠ Subcategoría no corresponde",IF(AND(OR(P1647="Transferencia",P1647="Pago tarjeta"),K1647=""),"⚠ Falta cuenta destino",IF(AND(K1647&lt;&gt;"",P1647&lt;&gt;"Transferencia",P1647&lt;&gt;"Pago tarjeta"),"⚠ Destino solo aplica a transferencias",IF(AND(K1647&lt;&gt;"",K1647=Q1647),"⚠ Origen igual a destino",IF(AND(K1647&lt;&gt;"",ISNA(MATCH(K1647,ctaNombre,0))),"⚠ Destino no registrado",IF(AND(P1647="Pago tarjeta",AE1647&lt;&gt;"Tarjeta de crédito"),"⚠ El destino debe ser tarjeta de crédito",IF(AND(P1647="Gasto",E1647="Depósitos y retiros"),"⚠ Usa tipo Transferencia",IF(AND(P1647="Resultado trading",AD1647&lt;&gt;"Cuenta de trading"),"⚠ Usa una cuenta de trading",IF(AND(G1647&lt;=0,P1647&lt;&gt;"Ajuste",P1647&lt;&gt;"Resultado trading"),"⚠ El monto debe ser positivo","✓")))))))))))))))</f>
        <v/>
      </c>
      <c r="P1647" s="52">
        <f>IF(OR(B1647="",G1647=""),"",IF(C1647="","Gasto",C1647))</f>
        <v/>
      </c>
      <c r="Q1647" s="52">
        <f>IF(P1647="","",IF(J1647&lt;&gt;"",J1647,CuentaPred&amp;""))</f>
        <v/>
      </c>
      <c r="R1647" s="52">
        <f>IF(P1647="","",IF(ISNUMBER(I1647),I1647,TasaUSD))</f>
        <v/>
      </c>
      <c r="S1647" s="53">
        <f>IF(P1647="","",IF(H1647="USD",G1647*R1647,G1647))</f>
        <v/>
      </c>
      <c r="T1647" s="53">
        <f>IF(P1647="","",IF(H1647="USD",G1647,IF(R1647&gt;0,G1647/R1647,0)))</f>
        <v/>
      </c>
      <c r="U1647" s="53">
        <f>IF(P1647="","",IF(P1647="Gasto",S1647,IF(P1647="Reembolso",-S1647,0)))</f>
        <v/>
      </c>
      <c r="V1647" s="53">
        <f>IF(P1647="","",IF(P1647="Ingreso",S1647,0))</f>
        <v/>
      </c>
      <c r="W1647" s="53">
        <f>IF(P1647="","",IF(P1647="Resultado trading",S1647,0))</f>
        <v/>
      </c>
      <c r="X1647" s="52">
        <f>IF(OR(P1647="Gasto",P1647="Reembolso"),IF(M1647&lt;&gt;"",M1647,IFERROR(INDEX(catClasif,MATCH(D1647&amp;"|"&amp;E1647,catClave,0))&amp;"","Variable")),"")</f>
        <v/>
      </c>
      <c r="Y1647" s="52">
        <f>IF(P1647="","",IFERROR(INDEX(catGrupo,MATCH(D1647&amp;"|"&amp;E1647,catClave,0))&amp;"",""))</f>
        <v/>
      </c>
      <c r="Z1647" s="52">
        <f>IF(P1647="","",WEEKDAY(B1647,2))</f>
        <v/>
      </c>
      <c r="AA1647" s="52">
        <f>IF(P1647="","",IF(AND(P1647="Gasto",X1647="Variable",D1647&lt;&gt;catTrading,S1647&gt;0,S1647&lt;=Umbral),1,0))</f>
        <v/>
      </c>
      <c r="AB1647" s="52">
        <f>IF(OR(P1647="",Q1647=""),"",IFERROR(IF(INDEX(ctaVinc,MATCH(Q1647,ctaNombre,0))&amp;""&lt;&gt;"",INDEX(ctaVinc,MATCH(Q1647,ctaNombre,0))&amp;"",Q1647),Q1647))</f>
        <v/>
      </c>
      <c r="AC1647" s="52">
        <f>IF(OR(K1647="",AND(P1647&lt;&gt;"Transferencia",P1647&lt;&gt;"Pago tarjeta")),"",IFERROR(IF(INDEX(ctaVinc,MATCH(K1647,ctaNombre,0))&amp;""&lt;&gt;"",INDEX(ctaVinc,MATCH(K1647,ctaNombre,0))&amp;"",K1647),K1647))</f>
        <v/>
      </c>
      <c r="AD1647" s="52">
        <f>IF(AB1647="","",IFERROR(INDEX(ctaTipo,MATCH(AB1647,ctaNombre,0))&amp;"",""))</f>
        <v/>
      </c>
      <c r="AE1647" s="52">
        <f>IF(AC1647="","",IFERROR(INDEX(ctaTipo,MATCH(AC1647,ctaNombre,0))&amp;"",""))</f>
        <v/>
      </c>
      <c r="AF1647" s="53">
        <f>IF(OR(P1647="",AB1647=""),"",IF(OR(P1647="Gasto",P1647="Transferencia",P1647="Pago tarjeta"),-1,1)*IF(IFERROR(INDEX(ctaMoneda,MATCH(AB1647,ctaNombre,0))&amp;"","DOP")="USD",T1647,S1647))</f>
        <v/>
      </c>
      <c r="AG1647" s="53">
        <f>IF(AC1647="","",IF(IFERROR(INDEX(ctaMoneda,MATCH(AC1647,ctaNombre,0))&amp;"","DOP")="USD",T1647,S1647))</f>
        <v/>
      </c>
      <c r="AH1647" s="53">
        <f>IF(P1647="","",IF(AND(AD1647&lt;&gt;"",COUNTIFS(tcTipo,AD1647,tcLiq,"Sí")&gt;0),IF(OR(P1647="Gasto",P1647="Transferencia",P1647="Pago tarjeta"),-1,1)*S1647,0)+IF(AND(AE1647&lt;&gt;"",COUNTIFS(tcTipo,AE1647,tcLiq,"Sí")&gt;0),S1647,0))</f>
        <v/>
      </c>
      <c r="AI1647" s="52">
        <f>IF(OR(L1647="",P1647=""),"",IF(COUNTIFS(L$6:L1647,L1647,P$6:P1647,"?*")=1,MAX(AI$5:AI1646)+1,""))</f>
        <v/>
      </c>
    </row>
    <row r="1648">
      <c r="B1648" s="47" t="n"/>
      <c r="C1648" s="48" t="n"/>
      <c r="D1648" s="48" t="n"/>
      <c r="E1648" s="48" t="n"/>
      <c r="F1648" s="48" t="n"/>
      <c r="G1648" s="49" t="n"/>
      <c r="H1648" s="48" t="n"/>
      <c r="I1648" s="50" t="n"/>
      <c r="J1648" s="48" t="n"/>
      <c r="K1648" s="48" t="n"/>
      <c r="L1648" s="48" t="n"/>
      <c r="M1648" s="48" t="n"/>
      <c r="N1648" s="48" t="n"/>
      <c r="O1648" s="51">
        <f>IF(AND(B1648="",G1648="",C1648="",D1648="",J1648=""),"",IF(B1648="","⚠ Falta fecha",IF(G1648="","⚠ Falta monto",IF(Q1648="","⚠ Falta cuenta",IF(ISNA(MATCH(Q1648,ctaNombre,0)),"⚠ Cuenta no registrada",IF(AND(OR(P1648="Gasto",P1648="Reembolso"),D1648=""),"⚠ Falta categoría",IF(AND(D1648&lt;&gt;"",E1648&lt;&gt;"",ISNA(MATCH(D1648&amp;"|"&amp;E1648,catClave,0))),"⚠ Subcategoría no corresponde",IF(AND(OR(P1648="Transferencia",P1648="Pago tarjeta"),K1648=""),"⚠ Falta cuenta destino",IF(AND(K1648&lt;&gt;"",P1648&lt;&gt;"Transferencia",P1648&lt;&gt;"Pago tarjeta"),"⚠ Destino solo aplica a transferencias",IF(AND(K1648&lt;&gt;"",K1648=Q1648),"⚠ Origen igual a destino",IF(AND(K1648&lt;&gt;"",ISNA(MATCH(K1648,ctaNombre,0))),"⚠ Destino no registrado",IF(AND(P1648="Pago tarjeta",AE1648&lt;&gt;"Tarjeta de crédito"),"⚠ El destino debe ser tarjeta de crédito",IF(AND(P1648="Gasto",E1648="Depósitos y retiros"),"⚠ Usa tipo Transferencia",IF(AND(P1648="Resultado trading",AD1648&lt;&gt;"Cuenta de trading"),"⚠ Usa una cuenta de trading",IF(AND(G1648&lt;=0,P1648&lt;&gt;"Ajuste",P1648&lt;&gt;"Resultado trading"),"⚠ El monto debe ser positivo","✓")))))))))))))))</f>
        <v/>
      </c>
      <c r="P1648" s="52">
        <f>IF(OR(B1648="",G1648=""),"",IF(C1648="","Gasto",C1648))</f>
        <v/>
      </c>
      <c r="Q1648" s="52">
        <f>IF(P1648="","",IF(J1648&lt;&gt;"",J1648,CuentaPred&amp;""))</f>
        <v/>
      </c>
      <c r="R1648" s="52">
        <f>IF(P1648="","",IF(ISNUMBER(I1648),I1648,TasaUSD))</f>
        <v/>
      </c>
      <c r="S1648" s="53">
        <f>IF(P1648="","",IF(H1648="USD",G1648*R1648,G1648))</f>
        <v/>
      </c>
      <c r="T1648" s="53">
        <f>IF(P1648="","",IF(H1648="USD",G1648,IF(R1648&gt;0,G1648/R1648,0)))</f>
        <v/>
      </c>
      <c r="U1648" s="53">
        <f>IF(P1648="","",IF(P1648="Gasto",S1648,IF(P1648="Reembolso",-S1648,0)))</f>
        <v/>
      </c>
      <c r="V1648" s="53">
        <f>IF(P1648="","",IF(P1648="Ingreso",S1648,0))</f>
        <v/>
      </c>
      <c r="W1648" s="53">
        <f>IF(P1648="","",IF(P1648="Resultado trading",S1648,0))</f>
        <v/>
      </c>
      <c r="X1648" s="52">
        <f>IF(OR(P1648="Gasto",P1648="Reembolso"),IF(M1648&lt;&gt;"",M1648,IFERROR(INDEX(catClasif,MATCH(D1648&amp;"|"&amp;E1648,catClave,0))&amp;"","Variable")),"")</f>
        <v/>
      </c>
      <c r="Y1648" s="52">
        <f>IF(P1648="","",IFERROR(INDEX(catGrupo,MATCH(D1648&amp;"|"&amp;E1648,catClave,0))&amp;"",""))</f>
        <v/>
      </c>
      <c r="Z1648" s="52">
        <f>IF(P1648="","",WEEKDAY(B1648,2))</f>
        <v/>
      </c>
      <c r="AA1648" s="52">
        <f>IF(P1648="","",IF(AND(P1648="Gasto",X1648="Variable",D1648&lt;&gt;catTrading,S1648&gt;0,S1648&lt;=Umbral),1,0))</f>
        <v/>
      </c>
      <c r="AB1648" s="52">
        <f>IF(OR(P1648="",Q1648=""),"",IFERROR(IF(INDEX(ctaVinc,MATCH(Q1648,ctaNombre,0))&amp;""&lt;&gt;"",INDEX(ctaVinc,MATCH(Q1648,ctaNombre,0))&amp;"",Q1648),Q1648))</f>
        <v/>
      </c>
      <c r="AC1648" s="52">
        <f>IF(OR(K1648="",AND(P1648&lt;&gt;"Transferencia",P1648&lt;&gt;"Pago tarjeta")),"",IFERROR(IF(INDEX(ctaVinc,MATCH(K1648,ctaNombre,0))&amp;""&lt;&gt;"",INDEX(ctaVinc,MATCH(K1648,ctaNombre,0))&amp;"",K1648),K1648))</f>
        <v/>
      </c>
      <c r="AD1648" s="52">
        <f>IF(AB1648="","",IFERROR(INDEX(ctaTipo,MATCH(AB1648,ctaNombre,0))&amp;"",""))</f>
        <v/>
      </c>
      <c r="AE1648" s="52">
        <f>IF(AC1648="","",IFERROR(INDEX(ctaTipo,MATCH(AC1648,ctaNombre,0))&amp;"",""))</f>
        <v/>
      </c>
      <c r="AF1648" s="53">
        <f>IF(OR(P1648="",AB1648=""),"",IF(OR(P1648="Gasto",P1648="Transferencia",P1648="Pago tarjeta"),-1,1)*IF(IFERROR(INDEX(ctaMoneda,MATCH(AB1648,ctaNombre,0))&amp;"","DOP")="USD",T1648,S1648))</f>
        <v/>
      </c>
      <c r="AG1648" s="53">
        <f>IF(AC1648="","",IF(IFERROR(INDEX(ctaMoneda,MATCH(AC1648,ctaNombre,0))&amp;"","DOP")="USD",T1648,S1648))</f>
        <v/>
      </c>
      <c r="AH1648" s="53">
        <f>IF(P1648="","",IF(AND(AD1648&lt;&gt;"",COUNTIFS(tcTipo,AD1648,tcLiq,"Sí")&gt;0),IF(OR(P1648="Gasto",P1648="Transferencia",P1648="Pago tarjeta"),-1,1)*S1648,0)+IF(AND(AE1648&lt;&gt;"",COUNTIFS(tcTipo,AE1648,tcLiq,"Sí")&gt;0),S1648,0))</f>
        <v/>
      </c>
      <c r="AI1648" s="52">
        <f>IF(OR(L1648="",P1648=""),"",IF(COUNTIFS(L$6:L1648,L1648,P$6:P1648,"?*")=1,MAX(AI$5:AI1647)+1,""))</f>
        <v/>
      </c>
    </row>
    <row r="1649">
      <c r="B1649" s="47" t="n"/>
      <c r="C1649" s="48" t="n"/>
      <c r="D1649" s="48" t="n"/>
      <c r="E1649" s="48" t="n"/>
      <c r="F1649" s="48" t="n"/>
      <c r="G1649" s="49" t="n"/>
      <c r="H1649" s="48" t="n"/>
      <c r="I1649" s="50" t="n"/>
      <c r="J1649" s="48" t="n"/>
      <c r="K1649" s="48" t="n"/>
      <c r="L1649" s="48" t="n"/>
      <c r="M1649" s="48" t="n"/>
      <c r="N1649" s="48" t="n"/>
      <c r="O1649" s="51">
        <f>IF(AND(B1649="",G1649="",C1649="",D1649="",J1649=""),"",IF(B1649="","⚠ Falta fecha",IF(G1649="","⚠ Falta monto",IF(Q1649="","⚠ Falta cuenta",IF(ISNA(MATCH(Q1649,ctaNombre,0)),"⚠ Cuenta no registrada",IF(AND(OR(P1649="Gasto",P1649="Reembolso"),D1649=""),"⚠ Falta categoría",IF(AND(D1649&lt;&gt;"",E1649&lt;&gt;"",ISNA(MATCH(D1649&amp;"|"&amp;E1649,catClave,0))),"⚠ Subcategoría no corresponde",IF(AND(OR(P1649="Transferencia",P1649="Pago tarjeta"),K1649=""),"⚠ Falta cuenta destino",IF(AND(K1649&lt;&gt;"",P1649&lt;&gt;"Transferencia",P1649&lt;&gt;"Pago tarjeta"),"⚠ Destino solo aplica a transferencias",IF(AND(K1649&lt;&gt;"",K1649=Q1649),"⚠ Origen igual a destino",IF(AND(K1649&lt;&gt;"",ISNA(MATCH(K1649,ctaNombre,0))),"⚠ Destino no registrado",IF(AND(P1649="Pago tarjeta",AE1649&lt;&gt;"Tarjeta de crédito"),"⚠ El destino debe ser tarjeta de crédito",IF(AND(P1649="Gasto",E1649="Depósitos y retiros"),"⚠ Usa tipo Transferencia",IF(AND(P1649="Resultado trading",AD1649&lt;&gt;"Cuenta de trading"),"⚠ Usa una cuenta de trading",IF(AND(G1649&lt;=0,P1649&lt;&gt;"Ajuste",P1649&lt;&gt;"Resultado trading"),"⚠ El monto debe ser positivo","✓")))))))))))))))</f>
        <v/>
      </c>
      <c r="P1649" s="52">
        <f>IF(OR(B1649="",G1649=""),"",IF(C1649="","Gasto",C1649))</f>
        <v/>
      </c>
      <c r="Q1649" s="52">
        <f>IF(P1649="","",IF(J1649&lt;&gt;"",J1649,CuentaPred&amp;""))</f>
        <v/>
      </c>
      <c r="R1649" s="52">
        <f>IF(P1649="","",IF(ISNUMBER(I1649),I1649,TasaUSD))</f>
        <v/>
      </c>
      <c r="S1649" s="53">
        <f>IF(P1649="","",IF(H1649="USD",G1649*R1649,G1649))</f>
        <v/>
      </c>
      <c r="T1649" s="53">
        <f>IF(P1649="","",IF(H1649="USD",G1649,IF(R1649&gt;0,G1649/R1649,0)))</f>
        <v/>
      </c>
      <c r="U1649" s="53">
        <f>IF(P1649="","",IF(P1649="Gasto",S1649,IF(P1649="Reembolso",-S1649,0)))</f>
        <v/>
      </c>
      <c r="V1649" s="53">
        <f>IF(P1649="","",IF(P1649="Ingreso",S1649,0))</f>
        <v/>
      </c>
      <c r="W1649" s="53">
        <f>IF(P1649="","",IF(P1649="Resultado trading",S1649,0))</f>
        <v/>
      </c>
      <c r="X1649" s="52">
        <f>IF(OR(P1649="Gasto",P1649="Reembolso"),IF(M1649&lt;&gt;"",M1649,IFERROR(INDEX(catClasif,MATCH(D1649&amp;"|"&amp;E1649,catClave,0))&amp;"","Variable")),"")</f>
        <v/>
      </c>
      <c r="Y1649" s="52">
        <f>IF(P1649="","",IFERROR(INDEX(catGrupo,MATCH(D1649&amp;"|"&amp;E1649,catClave,0))&amp;"",""))</f>
        <v/>
      </c>
      <c r="Z1649" s="52">
        <f>IF(P1649="","",WEEKDAY(B1649,2))</f>
        <v/>
      </c>
      <c r="AA1649" s="52">
        <f>IF(P1649="","",IF(AND(P1649="Gasto",X1649="Variable",D1649&lt;&gt;catTrading,S1649&gt;0,S1649&lt;=Umbral),1,0))</f>
        <v/>
      </c>
      <c r="AB1649" s="52">
        <f>IF(OR(P1649="",Q1649=""),"",IFERROR(IF(INDEX(ctaVinc,MATCH(Q1649,ctaNombre,0))&amp;""&lt;&gt;"",INDEX(ctaVinc,MATCH(Q1649,ctaNombre,0))&amp;"",Q1649),Q1649))</f>
        <v/>
      </c>
      <c r="AC1649" s="52">
        <f>IF(OR(K1649="",AND(P1649&lt;&gt;"Transferencia",P1649&lt;&gt;"Pago tarjeta")),"",IFERROR(IF(INDEX(ctaVinc,MATCH(K1649,ctaNombre,0))&amp;""&lt;&gt;"",INDEX(ctaVinc,MATCH(K1649,ctaNombre,0))&amp;"",K1649),K1649))</f>
        <v/>
      </c>
      <c r="AD1649" s="52">
        <f>IF(AB1649="","",IFERROR(INDEX(ctaTipo,MATCH(AB1649,ctaNombre,0))&amp;"",""))</f>
        <v/>
      </c>
      <c r="AE1649" s="52">
        <f>IF(AC1649="","",IFERROR(INDEX(ctaTipo,MATCH(AC1649,ctaNombre,0))&amp;"",""))</f>
        <v/>
      </c>
      <c r="AF1649" s="53">
        <f>IF(OR(P1649="",AB1649=""),"",IF(OR(P1649="Gasto",P1649="Transferencia",P1649="Pago tarjeta"),-1,1)*IF(IFERROR(INDEX(ctaMoneda,MATCH(AB1649,ctaNombre,0))&amp;"","DOP")="USD",T1649,S1649))</f>
        <v/>
      </c>
      <c r="AG1649" s="53">
        <f>IF(AC1649="","",IF(IFERROR(INDEX(ctaMoneda,MATCH(AC1649,ctaNombre,0))&amp;"","DOP")="USD",T1649,S1649))</f>
        <v/>
      </c>
      <c r="AH1649" s="53">
        <f>IF(P1649="","",IF(AND(AD1649&lt;&gt;"",COUNTIFS(tcTipo,AD1649,tcLiq,"Sí")&gt;0),IF(OR(P1649="Gasto",P1649="Transferencia",P1649="Pago tarjeta"),-1,1)*S1649,0)+IF(AND(AE1649&lt;&gt;"",COUNTIFS(tcTipo,AE1649,tcLiq,"Sí")&gt;0),S1649,0))</f>
        <v/>
      </c>
      <c r="AI1649" s="52">
        <f>IF(OR(L1649="",P1649=""),"",IF(COUNTIFS(L$6:L1649,L1649,P$6:P1649,"?*")=1,MAX(AI$5:AI1648)+1,""))</f>
        <v/>
      </c>
    </row>
    <row r="1650">
      <c r="B1650" s="47" t="n"/>
      <c r="C1650" s="48" t="n"/>
      <c r="D1650" s="48" t="n"/>
      <c r="E1650" s="48" t="n"/>
      <c r="F1650" s="48" t="n"/>
      <c r="G1650" s="49" t="n"/>
      <c r="H1650" s="48" t="n"/>
      <c r="I1650" s="50" t="n"/>
      <c r="J1650" s="48" t="n"/>
      <c r="K1650" s="48" t="n"/>
      <c r="L1650" s="48" t="n"/>
      <c r="M1650" s="48" t="n"/>
      <c r="N1650" s="48" t="n"/>
      <c r="O1650" s="51">
        <f>IF(AND(B1650="",G1650="",C1650="",D1650="",J1650=""),"",IF(B1650="","⚠ Falta fecha",IF(G1650="","⚠ Falta monto",IF(Q1650="","⚠ Falta cuenta",IF(ISNA(MATCH(Q1650,ctaNombre,0)),"⚠ Cuenta no registrada",IF(AND(OR(P1650="Gasto",P1650="Reembolso"),D1650=""),"⚠ Falta categoría",IF(AND(D1650&lt;&gt;"",E1650&lt;&gt;"",ISNA(MATCH(D1650&amp;"|"&amp;E1650,catClave,0))),"⚠ Subcategoría no corresponde",IF(AND(OR(P1650="Transferencia",P1650="Pago tarjeta"),K1650=""),"⚠ Falta cuenta destino",IF(AND(K1650&lt;&gt;"",P1650&lt;&gt;"Transferencia",P1650&lt;&gt;"Pago tarjeta"),"⚠ Destino solo aplica a transferencias",IF(AND(K1650&lt;&gt;"",K1650=Q1650),"⚠ Origen igual a destino",IF(AND(K1650&lt;&gt;"",ISNA(MATCH(K1650,ctaNombre,0))),"⚠ Destino no registrado",IF(AND(P1650="Pago tarjeta",AE1650&lt;&gt;"Tarjeta de crédito"),"⚠ El destino debe ser tarjeta de crédito",IF(AND(P1650="Gasto",E1650="Depósitos y retiros"),"⚠ Usa tipo Transferencia",IF(AND(P1650="Resultado trading",AD1650&lt;&gt;"Cuenta de trading"),"⚠ Usa una cuenta de trading",IF(AND(G1650&lt;=0,P1650&lt;&gt;"Ajuste",P1650&lt;&gt;"Resultado trading"),"⚠ El monto debe ser positivo","✓")))))))))))))))</f>
        <v/>
      </c>
      <c r="P1650" s="52">
        <f>IF(OR(B1650="",G1650=""),"",IF(C1650="","Gasto",C1650))</f>
        <v/>
      </c>
      <c r="Q1650" s="52">
        <f>IF(P1650="","",IF(J1650&lt;&gt;"",J1650,CuentaPred&amp;""))</f>
        <v/>
      </c>
      <c r="R1650" s="52">
        <f>IF(P1650="","",IF(ISNUMBER(I1650),I1650,TasaUSD))</f>
        <v/>
      </c>
      <c r="S1650" s="53">
        <f>IF(P1650="","",IF(H1650="USD",G1650*R1650,G1650))</f>
        <v/>
      </c>
      <c r="T1650" s="53">
        <f>IF(P1650="","",IF(H1650="USD",G1650,IF(R1650&gt;0,G1650/R1650,0)))</f>
        <v/>
      </c>
      <c r="U1650" s="53">
        <f>IF(P1650="","",IF(P1650="Gasto",S1650,IF(P1650="Reembolso",-S1650,0)))</f>
        <v/>
      </c>
      <c r="V1650" s="53">
        <f>IF(P1650="","",IF(P1650="Ingreso",S1650,0))</f>
        <v/>
      </c>
      <c r="W1650" s="53">
        <f>IF(P1650="","",IF(P1650="Resultado trading",S1650,0))</f>
        <v/>
      </c>
      <c r="X1650" s="52">
        <f>IF(OR(P1650="Gasto",P1650="Reembolso"),IF(M1650&lt;&gt;"",M1650,IFERROR(INDEX(catClasif,MATCH(D1650&amp;"|"&amp;E1650,catClave,0))&amp;"","Variable")),"")</f>
        <v/>
      </c>
      <c r="Y1650" s="52">
        <f>IF(P1650="","",IFERROR(INDEX(catGrupo,MATCH(D1650&amp;"|"&amp;E1650,catClave,0))&amp;"",""))</f>
        <v/>
      </c>
      <c r="Z1650" s="52">
        <f>IF(P1650="","",WEEKDAY(B1650,2))</f>
        <v/>
      </c>
      <c r="AA1650" s="52">
        <f>IF(P1650="","",IF(AND(P1650="Gasto",X1650="Variable",D1650&lt;&gt;catTrading,S1650&gt;0,S1650&lt;=Umbral),1,0))</f>
        <v/>
      </c>
      <c r="AB1650" s="52">
        <f>IF(OR(P1650="",Q1650=""),"",IFERROR(IF(INDEX(ctaVinc,MATCH(Q1650,ctaNombre,0))&amp;""&lt;&gt;"",INDEX(ctaVinc,MATCH(Q1650,ctaNombre,0))&amp;"",Q1650),Q1650))</f>
        <v/>
      </c>
      <c r="AC1650" s="52">
        <f>IF(OR(K1650="",AND(P1650&lt;&gt;"Transferencia",P1650&lt;&gt;"Pago tarjeta")),"",IFERROR(IF(INDEX(ctaVinc,MATCH(K1650,ctaNombre,0))&amp;""&lt;&gt;"",INDEX(ctaVinc,MATCH(K1650,ctaNombre,0))&amp;"",K1650),K1650))</f>
        <v/>
      </c>
      <c r="AD1650" s="52">
        <f>IF(AB1650="","",IFERROR(INDEX(ctaTipo,MATCH(AB1650,ctaNombre,0))&amp;"",""))</f>
        <v/>
      </c>
      <c r="AE1650" s="52">
        <f>IF(AC1650="","",IFERROR(INDEX(ctaTipo,MATCH(AC1650,ctaNombre,0))&amp;"",""))</f>
        <v/>
      </c>
      <c r="AF1650" s="53">
        <f>IF(OR(P1650="",AB1650=""),"",IF(OR(P1650="Gasto",P1650="Transferencia",P1650="Pago tarjeta"),-1,1)*IF(IFERROR(INDEX(ctaMoneda,MATCH(AB1650,ctaNombre,0))&amp;"","DOP")="USD",T1650,S1650))</f>
        <v/>
      </c>
      <c r="AG1650" s="53">
        <f>IF(AC1650="","",IF(IFERROR(INDEX(ctaMoneda,MATCH(AC1650,ctaNombre,0))&amp;"","DOP")="USD",T1650,S1650))</f>
        <v/>
      </c>
      <c r="AH1650" s="53">
        <f>IF(P1650="","",IF(AND(AD1650&lt;&gt;"",COUNTIFS(tcTipo,AD1650,tcLiq,"Sí")&gt;0),IF(OR(P1650="Gasto",P1650="Transferencia",P1650="Pago tarjeta"),-1,1)*S1650,0)+IF(AND(AE1650&lt;&gt;"",COUNTIFS(tcTipo,AE1650,tcLiq,"Sí")&gt;0),S1650,0))</f>
        <v/>
      </c>
      <c r="AI1650" s="52">
        <f>IF(OR(L1650="",P1650=""),"",IF(COUNTIFS(L$6:L1650,L1650,P$6:P1650,"?*")=1,MAX(AI$5:AI1649)+1,""))</f>
        <v/>
      </c>
    </row>
    <row r="1651">
      <c r="B1651" s="47" t="n"/>
      <c r="C1651" s="48" t="n"/>
      <c r="D1651" s="48" t="n"/>
      <c r="E1651" s="48" t="n"/>
      <c r="F1651" s="48" t="n"/>
      <c r="G1651" s="49" t="n"/>
      <c r="H1651" s="48" t="n"/>
      <c r="I1651" s="50" t="n"/>
      <c r="J1651" s="48" t="n"/>
      <c r="K1651" s="48" t="n"/>
      <c r="L1651" s="48" t="n"/>
      <c r="M1651" s="48" t="n"/>
      <c r="N1651" s="48" t="n"/>
      <c r="O1651" s="51">
        <f>IF(AND(B1651="",G1651="",C1651="",D1651="",J1651=""),"",IF(B1651="","⚠ Falta fecha",IF(G1651="","⚠ Falta monto",IF(Q1651="","⚠ Falta cuenta",IF(ISNA(MATCH(Q1651,ctaNombre,0)),"⚠ Cuenta no registrada",IF(AND(OR(P1651="Gasto",P1651="Reembolso"),D1651=""),"⚠ Falta categoría",IF(AND(D1651&lt;&gt;"",E1651&lt;&gt;"",ISNA(MATCH(D1651&amp;"|"&amp;E1651,catClave,0))),"⚠ Subcategoría no corresponde",IF(AND(OR(P1651="Transferencia",P1651="Pago tarjeta"),K1651=""),"⚠ Falta cuenta destino",IF(AND(K1651&lt;&gt;"",P1651&lt;&gt;"Transferencia",P1651&lt;&gt;"Pago tarjeta"),"⚠ Destino solo aplica a transferencias",IF(AND(K1651&lt;&gt;"",K1651=Q1651),"⚠ Origen igual a destino",IF(AND(K1651&lt;&gt;"",ISNA(MATCH(K1651,ctaNombre,0))),"⚠ Destino no registrado",IF(AND(P1651="Pago tarjeta",AE1651&lt;&gt;"Tarjeta de crédito"),"⚠ El destino debe ser tarjeta de crédito",IF(AND(P1651="Gasto",E1651="Depósitos y retiros"),"⚠ Usa tipo Transferencia",IF(AND(P1651="Resultado trading",AD1651&lt;&gt;"Cuenta de trading"),"⚠ Usa una cuenta de trading",IF(AND(G1651&lt;=0,P1651&lt;&gt;"Ajuste",P1651&lt;&gt;"Resultado trading"),"⚠ El monto debe ser positivo","✓")))))))))))))))</f>
        <v/>
      </c>
      <c r="P1651" s="52">
        <f>IF(OR(B1651="",G1651=""),"",IF(C1651="","Gasto",C1651))</f>
        <v/>
      </c>
      <c r="Q1651" s="52">
        <f>IF(P1651="","",IF(J1651&lt;&gt;"",J1651,CuentaPred&amp;""))</f>
        <v/>
      </c>
      <c r="R1651" s="52">
        <f>IF(P1651="","",IF(ISNUMBER(I1651),I1651,TasaUSD))</f>
        <v/>
      </c>
      <c r="S1651" s="53">
        <f>IF(P1651="","",IF(H1651="USD",G1651*R1651,G1651))</f>
        <v/>
      </c>
      <c r="T1651" s="53">
        <f>IF(P1651="","",IF(H1651="USD",G1651,IF(R1651&gt;0,G1651/R1651,0)))</f>
        <v/>
      </c>
      <c r="U1651" s="53">
        <f>IF(P1651="","",IF(P1651="Gasto",S1651,IF(P1651="Reembolso",-S1651,0)))</f>
        <v/>
      </c>
      <c r="V1651" s="53">
        <f>IF(P1651="","",IF(P1651="Ingreso",S1651,0))</f>
        <v/>
      </c>
      <c r="W1651" s="53">
        <f>IF(P1651="","",IF(P1651="Resultado trading",S1651,0))</f>
        <v/>
      </c>
      <c r="X1651" s="52">
        <f>IF(OR(P1651="Gasto",P1651="Reembolso"),IF(M1651&lt;&gt;"",M1651,IFERROR(INDEX(catClasif,MATCH(D1651&amp;"|"&amp;E1651,catClave,0))&amp;"","Variable")),"")</f>
        <v/>
      </c>
      <c r="Y1651" s="52">
        <f>IF(P1651="","",IFERROR(INDEX(catGrupo,MATCH(D1651&amp;"|"&amp;E1651,catClave,0))&amp;"",""))</f>
        <v/>
      </c>
      <c r="Z1651" s="52">
        <f>IF(P1651="","",WEEKDAY(B1651,2))</f>
        <v/>
      </c>
      <c r="AA1651" s="52">
        <f>IF(P1651="","",IF(AND(P1651="Gasto",X1651="Variable",D1651&lt;&gt;catTrading,S1651&gt;0,S1651&lt;=Umbral),1,0))</f>
        <v/>
      </c>
      <c r="AB1651" s="52">
        <f>IF(OR(P1651="",Q1651=""),"",IFERROR(IF(INDEX(ctaVinc,MATCH(Q1651,ctaNombre,0))&amp;""&lt;&gt;"",INDEX(ctaVinc,MATCH(Q1651,ctaNombre,0))&amp;"",Q1651),Q1651))</f>
        <v/>
      </c>
      <c r="AC1651" s="52">
        <f>IF(OR(K1651="",AND(P1651&lt;&gt;"Transferencia",P1651&lt;&gt;"Pago tarjeta")),"",IFERROR(IF(INDEX(ctaVinc,MATCH(K1651,ctaNombre,0))&amp;""&lt;&gt;"",INDEX(ctaVinc,MATCH(K1651,ctaNombre,0))&amp;"",K1651),K1651))</f>
        <v/>
      </c>
      <c r="AD1651" s="52">
        <f>IF(AB1651="","",IFERROR(INDEX(ctaTipo,MATCH(AB1651,ctaNombre,0))&amp;"",""))</f>
        <v/>
      </c>
      <c r="AE1651" s="52">
        <f>IF(AC1651="","",IFERROR(INDEX(ctaTipo,MATCH(AC1651,ctaNombre,0))&amp;"",""))</f>
        <v/>
      </c>
      <c r="AF1651" s="53">
        <f>IF(OR(P1651="",AB1651=""),"",IF(OR(P1651="Gasto",P1651="Transferencia",P1651="Pago tarjeta"),-1,1)*IF(IFERROR(INDEX(ctaMoneda,MATCH(AB1651,ctaNombre,0))&amp;"","DOP")="USD",T1651,S1651))</f>
        <v/>
      </c>
      <c r="AG1651" s="53">
        <f>IF(AC1651="","",IF(IFERROR(INDEX(ctaMoneda,MATCH(AC1651,ctaNombre,0))&amp;"","DOP")="USD",T1651,S1651))</f>
        <v/>
      </c>
      <c r="AH1651" s="53">
        <f>IF(P1651="","",IF(AND(AD1651&lt;&gt;"",COUNTIFS(tcTipo,AD1651,tcLiq,"Sí")&gt;0),IF(OR(P1651="Gasto",P1651="Transferencia",P1651="Pago tarjeta"),-1,1)*S1651,0)+IF(AND(AE1651&lt;&gt;"",COUNTIFS(tcTipo,AE1651,tcLiq,"Sí")&gt;0),S1651,0))</f>
        <v/>
      </c>
      <c r="AI1651" s="52">
        <f>IF(OR(L1651="",P1651=""),"",IF(COUNTIFS(L$6:L1651,L1651,P$6:P1651,"?*")=1,MAX(AI$5:AI1650)+1,""))</f>
        <v/>
      </c>
    </row>
    <row r="1652">
      <c r="B1652" s="47" t="n"/>
      <c r="C1652" s="48" t="n"/>
      <c r="D1652" s="48" t="n"/>
      <c r="E1652" s="48" t="n"/>
      <c r="F1652" s="48" t="n"/>
      <c r="G1652" s="49" t="n"/>
      <c r="H1652" s="48" t="n"/>
      <c r="I1652" s="50" t="n"/>
      <c r="J1652" s="48" t="n"/>
      <c r="K1652" s="48" t="n"/>
      <c r="L1652" s="48" t="n"/>
      <c r="M1652" s="48" t="n"/>
      <c r="N1652" s="48" t="n"/>
      <c r="O1652" s="51">
        <f>IF(AND(B1652="",G1652="",C1652="",D1652="",J1652=""),"",IF(B1652="","⚠ Falta fecha",IF(G1652="","⚠ Falta monto",IF(Q1652="","⚠ Falta cuenta",IF(ISNA(MATCH(Q1652,ctaNombre,0)),"⚠ Cuenta no registrada",IF(AND(OR(P1652="Gasto",P1652="Reembolso"),D1652=""),"⚠ Falta categoría",IF(AND(D1652&lt;&gt;"",E1652&lt;&gt;"",ISNA(MATCH(D1652&amp;"|"&amp;E1652,catClave,0))),"⚠ Subcategoría no corresponde",IF(AND(OR(P1652="Transferencia",P1652="Pago tarjeta"),K1652=""),"⚠ Falta cuenta destino",IF(AND(K1652&lt;&gt;"",P1652&lt;&gt;"Transferencia",P1652&lt;&gt;"Pago tarjeta"),"⚠ Destino solo aplica a transferencias",IF(AND(K1652&lt;&gt;"",K1652=Q1652),"⚠ Origen igual a destino",IF(AND(K1652&lt;&gt;"",ISNA(MATCH(K1652,ctaNombre,0))),"⚠ Destino no registrado",IF(AND(P1652="Pago tarjeta",AE1652&lt;&gt;"Tarjeta de crédito"),"⚠ El destino debe ser tarjeta de crédito",IF(AND(P1652="Gasto",E1652="Depósitos y retiros"),"⚠ Usa tipo Transferencia",IF(AND(P1652="Resultado trading",AD1652&lt;&gt;"Cuenta de trading"),"⚠ Usa una cuenta de trading",IF(AND(G1652&lt;=0,P1652&lt;&gt;"Ajuste",P1652&lt;&gt;"Resultado trading"),"⚠ El monto debe ser positivo","✓")))))))))))))))</f>
        <v/>
      </c>
      <c r="P1652" s="52">
        <f>IF(OR(B1652="",G1652=""),"",IF(C1652="","Gasto",C1652))</f>
        <v/>
      </c>
      <c r="Q1652" s="52">
        <f>IF(P1652="","",IF(J1652&lt;&gt;"",J1652,CuentaPred&amp;""))</f>
        <v/>
      </c>
      <c r="R1652" s="52">
        <f>IF(P1652="","",IF(ISNUMBER(I1652),I1652,TasaUSD))</f>
        <v/>
      </c>
      <c r="S1652" s="53">
        <f>IF(P1652="","",IF(H1652="USD",G1652*R1652,G1652))</f>
        <v/>
      </c>
      <c r="T1652" s="53">
        <f>IF(P1652="","",IF(H1652="USD",G1652,IF(R1652&gt;0,G1652/R1652,0)))</f>
        <v/>
      </c>
      <c r="U1652" s="53">
        <f>IF(P1652="","",IF(P1652="Gasto",S1652,IF(P1652="Reembolso",-S1652,0)))</f>
        <v/>
      </c>
      <c r="V1652" s="53">
        <f>IF(P1652="","",IF(P1652="Ingreso",S1652,0))</f>
        <v/>
      </c>
      <c r="W1652" s="53">
        <f>IF(P1652="","",IF(P1652="Resultado trading",S1652,0))</f>
        <v/>
      </c>
      <c r="X1652" s="52">
        <f>IF(OR(P1652="Gasto",P1652="Reembolso"),IF(M1652&lt;&gt;"",M1652,IFERROR(INDEX(catClasif,MATCH(D1652&amp;"|"&amp;E1652,catClave,0))&amp;"","Variable")),"")</f>
        <v/>
      </c>
      <c r="Y1652" s="52">
        <f>IF(P1652="","",IFERROR(INDEX(catGrupo,MATCH(D1652&amp;"|"&amp;E1652,catClave,0))&amp;"",""))</f>
        <v/>
      </c>
      <c r="Z1652" s="52">
        <f>IF(P1652="","",WEEKDAY(B1652,2))</f>
        <v/>
      </c>
      <c r="AA1652" s="52">
        <f>IF(P1652="","",IF(AND(P1652="Gasto",X1652="Variable",D1652&lt;&gt;catTrading,S1652&gt;0,S1652&lt;=Umbral),1,0))</f>
        <v/>
      </c>
      <c r="AB1652" s="52">
        <f>IF(OR(P1652="",Q1652=""),"",IFERROR(IF(INDEX(ctaVinc,MATCH(Q1652,ctaNombre,0))&amp;""&lt;&gt;"",INDEX(ctaVinc,MATCH(Q1652,ctaNombre,0))&amp;"",Q1652),Q1652))</f>
        <v/>
      </c>
      <c r="AC1652" s="52">
        <f>IF(OR(K1652="",AND(P1652&lt;&gt;"Transferencia",P1652&lt;&gt;"Pago tarjeta")),"",IFERROR(IF(INDEX(ctaVinc,MATCH(K1652,ctaNombre,0))&amp;""&lt;&gt;"",INDEX(ctaVinc,MATCH(K1652,ctaNombre,0))&amp;"",K1652),K1652))</f>
        <v/>
      </c>
      <c r="AD1652" s="52">
        <f>IF(AB1652="","",IFERROR(INDEX(ctaTipo,MATCH(AB1652,ctaNombre,0))&amp;"",""))</f>
        <v/>
      </c>
      <c r="AE1652" s="52">
        <f>IF(AC1652="","",IFERROR(INDEX(ctaTipo,MATCH(AC1652,ctaNombre,0))&amp;"",""))</f>
        <v/>
      </c>
      <c r="AF1652" s="53">
        <f>IF(OR(P1652="",AB1652=""),"",IF(OR(P1652="Gasto",P1652="Transferencia",P1652="Pago tarjeta"),-1,1)*IF(IFERROR(INDEX(ctaMoneda,MATCH(AB1652,ctaNombre,0))&amp;"","DOP")="USD",T1652,S1652))</f>
        <v/>
      </c>
      <c r="AG1652" s="53">
        <f>IF(AC1652="","",IF(IFERROR(INDEX(ctaMoneda,MATCH(AC1652,ctaNombre,0))&amp;"","DOP")="USD",T1652,S1652))</f>
        <v/>
      </c>
      <c r="AH1652" s="53">
        <f>IF(P1652="","",IF(AND(AD1652&lt;&gt;"",COUNTIFS(tcTipo,AD1652,tcLiq,"Sí")&gt;0),IF(OR(P1652="Gasto",P1652="Transferencia",P1652="Pago tarjeta"),-1,1)*S1652,0)+IF(AND(AE1652&lt;&gt;"",COUNTIFS(tcTipo,AE1652,tcLiq,"Sí")&gt;0),S1652,0))</f>
        <v/>
      </c>
      <c r="AI1652" s="52">
        <f>IF(OR(L1652="",P1652=""),"",IF(COUNTIFS(L$6:L1652,L1652,P$6:P1652,"?*")=1,MAX(AI$5:AI1651)+1,""))</f>
        <v/>
      </c>
    </row>
    <row r="1653">
      <c r="B1653" s="47" t="n"/>
      <c r="C1653" s="48" t="n"/>
      <c r="D1653" s="48" t="n"/>
      <c r="E1653" s="48" t="n"/>
      <c r="F1653" s="48" t="n"/>
      <c r="G1653" s="49" t="n"/>
      <c r="H1653" s="48" t="n"/>
      <c r="I1653" s="50" t="n"/>
      <c r="J1653" s="48" t="n"/>
      <c r="K1653" s="48" t="n"/>
      <c r="L1653" s="48" t="n"/>
      <c r="M1653" s="48" t="n"/>
      <c r="N1653" s="48" t="n"/>
      <c r="O1653" s="51">
        <f>IF(AND(B1653="",G1653="",C1653="",D1653="",J1653=""),"",IF(B1653="","⚠ Falta fecha",IF(G1653="","⚠ Falta monto",IF(Q1653="","⚠ Falta cuenta",IF(ISNA(MATCH(Q1653,ctaNombre,0)),"⚠ Cuenta no registrada",IF(AND(OR(P1653="Gasto",P1653="Reembolso"),D1653=""),"⚠ Falta categoría",IF(AND(D1653&lt;&gt;"",E1653&lt;&gt;"",ISNA(MATCH(D1653&amp;"|"&amp;E1653,catClave,0))),"⚠ Subcategoría no corresponde",IF(AND(OR(P1653="Transferencia",P1653="Pago tarjeta"),K1653=""),"⚠ Falta cuenta destino",IF(AND(K1653&lt;&gt;"",P1653&lt;&gt;"Transferencia",P1653&lt;&gt;"Pago tarjeta"),"⚠ Destino solo aplica a transferencias",IF(AND(K1653&lt;&gt;"",K1653=Q1653),"⚠ Origen igual a destino",IF(AND(K1653&lt;&gt;"",ISNA(MATCH(K1653,ctaNombre,0))),"⚠ Destino no registrado",IF(AND(P1653="Pago tarjeta",AE1653&lt;&gt;"Tarjeta de crédito"),"⚠ El destino debe ser tarjeta de crédito",IF(AND(P1653="Gasto",E1653="Depósitos y retiros"),"⚠ Usa tipo Transferencia",IF(AND(P1653="Resultado trading",AD1653&lt;&gt;"Cuenta de trading"),"⚠ Usa una cuenta de trading",IF(AND(G1653&lt;=0,P1653&lt;&gt;"Ajuste",P1653&lt;&gt;"Resultado trading"),"⚠ El monto debe ser positivo","✓")))))))))))))))</f>
        <v/>
      </c>
      <c r="P1653" s="52">
        <f>IF(OR(B1653="",G1653=""),"",IF(C1653="","Gasto",C1653))</f>
        <v/>
      </c>
      <c r="Q1653" s="52">
        <f>IF(P1653="","",IF(J1653&lt;&gt;"",J1653,CuentaPred&amp;""))</f>
        <v/>
      </c>
      <c r="R1653" s="52">
        <f>IF(P1653="","",IF(ISNUMBER(I1653),I1653,TasaUSD))</f>
        <v/>
      </c>
      <c r="S1653" s="53">
        <f>IF(P1653="","",IF(H1653="USD",G1653*R1653,G1653))</f>
        <v/>
      </c>
      <c r="T1653" s="53">
        <f>IF(P1653="","",IF(H1653="USD",G1653,IF(R1653&gt;0,G1653/R1653,0)))</f>
        <v/>
      </c>
      <c r="U1653" s="53">
        <f>IF(P1653="","",IF(P1653="Gasto",S1653,IF(P1653="Reembolso",-S1653,0)))</f>
        <v/>
      </c>
      <c r="V1653" s="53">
        <f>IF(P1653="","",IF(P1653="Ingreso",S1653,0))</f>
        <v/>
      </c>
      <c r="W1653" s="53">
        <f>IF(P1653="","",IF(P1653="Resultado trading",S1653,0))</f>
        <v/>
      </c>
      <c r="X1653" s="52">
        <f>IF(OR(P1653="Gasto",P1653="Reembolso"),IF(M1653&lt;&gt;"",M1653,IFERROR(INDEX(catClasif,MATCH(D1653&amp;"|"&amp;E1653,catClave,0))&amp;"","Variable")),"")</f>
        <v/>
      </c>
      <c r="Y1653" s="52">
        <f>IF(P1653="","",IFERROR(INDEX(catGrupo,MATCH(D1653&amp;"|"&amp;E1653,catClave,0))&amp;"",""))</f>
        <v/>
      </c>
      <c r="Z1653" s="52">
        <f>IF(P1653="","",WEEKDAY(B1653,2))</f>
        <v/>
      </c>
      <c r="AA1653" s="52">
        <f>IF(P1653="","",IF(AND(P1653="Gasto",X1653="Variable",D1653&lt;&gt;catTrading,S1653&gt;0,S1653&lt;=Umbral),1,0))</f>
        <v/>
      </c>
      <c r="AB1653" s="52">
        <f>IF(OR(P1653="",Q1653=""),"",IFERROR(IF(INDEX(ctaVinc,MATCH(Q1653,ctaNombre,0))&amp;""&lt;&gt;"",INDEX(ctaVinc,MATCH(Q1653,ctaNombre,0))&amp;"",Q1653),Q1653))</f>
        <v/>
      </c>
      <c r="AC1653" s="52">
        <f>IF(OR(K1653="",AND(P1653&lt;&gt;"Transferencia",P1653&lt;&gt;"Pago tarjeta")),"",IFERROR(IF(INDEX(ctaVinc,MATCH(K1653,ctaNombre,0))&amp;""&lt;&gt;"",INDEX(ctaVinc,MATCH(K1653,ctaNombre,0))&amp;"",K1653),K1653))</f>
        <v/>
      </c>
      <c r="AD1653" s="52">
        <f>IF(AB1653="","",IFERROR(INDEX(ctaTipo,MATCH(AB1653,ctaNombre,0))&amp;"",""))</f>
        <v/>
      </c>
      <c r="AE1653" s="52">
        <f>IF(AC1653="","",IFERROR(INDEX(ctaTipo,MATCH(AC1653,ctaNombre,0))&amp;"",""))</f>
        <v/>
      </c>
      <c r="AF1653" s="53">
        <f>IF(OR(P1653="",AB1653=""),"",IF(OR(P1653="Gasto",P1653="Transferencia",P1653="Pago tarjeta"),-1,1)*IF(IFERROR(INDEX(ctaMoneda,MATCH(AB1653,ctaNombre,0))&amp;"","DOP")="USD",T1653,S1653))</f>
        <v/>
      </c>
      <c r="AG1653" s="53">
        <f>IF(AC1653="","",IF(IFERROR(INDEX(ctaMoneda,MATCH(AC1653,ctaNombre,0))&amp;"","DOP")="USD",T1653,S1653))</f>
        <v/>
      </c>
      <c r="AH1653" s="53">
        <f>IF(P1653="","",IF(AND(AD1653&lt;&gt;"",COUNTIFS(tcTipo,AD1653,tcLiq,"Sí")&gt;0),IF(OR(P1653="Gasto",P1653="Transferencia",P1653="Pago tarjeta"),-1,1)*S1653,0)+IF(AND(AE1653&lt;&gt;"",COUNTIFS(tcTipo,AE1653,tcLiq,"Sí")&gt;0),S1653,0))</f>
        <v/>
      </c>
      <c r="AI1653" s="52">
        <f>IF(OR(L1653="",P1653=""),"",IF(COUNTIFS(L$6:L1653,L1653,P$6:P1653,"?*")=1,MAX(AI$5:AI1652)+1,""))</f>
        <v/>
      </c>
    </row>
    <row r="1654">
      <c r="B1654" s="47" t="n"/>
      <c r="C1654" s="48" t="n"/>
      <c r="D1654" s="48" t="n"/>
      <c r="E1654" s="48" t="n"/>
      <c r="F1654" s="48" t="n"/>
      <c r="G1654" s="49" t="n"/>
      <c r="H1654" s="48" t="n"/>
      <c r="I1654" s="50" t="n"/>
      <c r="J1654" s="48" t="n"/>
      <c r="K1654" s="48" t="n"/>
      <c r="L1654" s="48" t="n"/>
      <c r="M1654" s="48" t="n"/>
      <c r="N1654" s="48" t="n"/>
      <c r="O1654" s="51">
        <f>IF(AND(B1654="",G1654="",C1654="",D1654="",J1654=""),"",IF(B1654="","⚠ Falta fecha",IF(G1654="","⚠ Falta monto",IF(Q1654="","⚠ Falta cuenta",IF(ISNA(MATCH(Q1654,ctaNombre,0)),"⚠ Cuenta no registrada",IF(AND(OR(P1654="Gasto",P1654="Reembolso"),D1654=""),"⚠ Falta categoría",IF(AND(D1654&lt;&gt;"",E1654&lt;&gt;"",ISNA(MATCH(D1654&amp;"|"&amp;E1654,catClave,0))),"⚠ Subcategoría no corresponde",IF(AND(OR(P1654="Transferencia",P1654="Pago tarjeta"),K1654=""),"⚠ Falta cuenta destino",IF(AND(K1654&lt;&gt;"",P1654&lt;&gt;"Transferencia",P1654&lt;&gt;"Pago tarjeta"),"⚠ Destino solo aplica a transferencias",IF(AND(K1654&lt;&gt;"",K1654=Q1654),"⚠ Origen igual a destino",IF(AND(K1654&lt;&gt;"",ISNA(MATCH(K1654,ctaNombre,0))),"⚠ Destino no registrado",IF(AND(P1654="Pago tarjeta",AE1654&lt;&gt;"Tarjeta de crédito"),"⚠ El destino debe ser tarjeta de crédito",IF(AND(P1654="Gasto",E1654="Depósitos y retiros"),"⚠ Usa tipo Transferencia",IF(AND(P1654="Resultado trading",AD1654&lt;&gt;"Cuenta de trading"),"⚠ Usa una cuenta de trading",IF(AND(G1654&lt;=0,P1654&lt;&gt;"Ajuste",P1654&lt;&gt;"Resultado trading"),"⚠ El monto debe ser positivo","✓")))))))))))))))</f>
        <v/>
      </c>
      <c r="P1654" s="52">
        <f>IF(OR(B1654="",G1654=""),"",IF(C1654="","Gasto",C1654))</f>
        <v/>
      </c>
      <c r="Q1654" s="52">
        <f>IF(P1654="","",IF(J1654&lt;&gt;"",J1654,CuentaPred&amp;""))</f>
        <v/>
      </c>
      <c r="R1654" s="52">
        <f>IF(P1654="","",IF(ISNUMBER(I1654),I1654,TasaUSD))</f>
        <v/>
      </c>
      <c r="S1654" s="53">
        <f>IF(P1654="","",IF(H1654="USD",G1654*R1654,G1654))</f>
        <v/>
      </c>
      <c r="T1654" s="53">
        <f>IF(P1654="","",IF(H1654="USD",G1654,IF(R1654&gt;0,G1654/R1654,0)))</f>
        <v/>
      </c>
      <c r="U1654" s="53">
        <f>IF(P1654="","",IF(P1654="Gasto",S1654,IF(P1654="Reembolso",-S1654,0)))</f>
        <v/>
      </c>
      <c r="V1654" s="53">
        <f>IF(P1654="","",IF(P1654="Ingreso",S1654,0))</f>
        <v/>
      </c>
      <c r="W1654" s="53">
        <f>IF(P1654="","",IF(P1654="Resultado trading",S1654,0))</f>
        <v/>
      </c>
      <c r="X1654" s="52">
        <f>IF(OR(P1654="Gasto",P1654="Reembolso"),IF(M1654&lt;&gt;"",M1654,IFERROR(INDEX(catClasif,MATCH(D1654&amp;"|"&amp;E1654,catClave,0))&amp;"","Variable")),"")</f>
        <v/>
      </c>
      <c r="Y1654" s="52">
        <f>IF(P1654="","",IFERROR(INDEX(catGrupo,MATCH(D1654&amp;"|"&amp;E1654,catClave,0))&amp;"",""))</f>
        <v/>
      </c>
      <c r="Z1654" s="52">
        <f>IF(P1654="","",WEEKDAY(B1654,2))</f>
        <v/>
      </c>
      <c r="AA1654" s="52">
        <f>IF(P1654="","",IF(AND(P1654="Gasto",X1654="Variable",D1654&lt;&gt;catTrading,S1654&gt;0,S1654&lt;=Umbral),1,0))</f>
        <v/>
      </c>
      <c r="AB1654" s="52">
        <f>IF(OR(P1654="",Q1654=""),"",IFERROR(IF(INDEX(ctaVinc,MATCH(Q1654,ctaNombre,0))&amp;""&lt;&gt;"",INDEX(ctaVinc,MATCH(Q1654,ctaNombre,0))&amp;"",Q1654),Q1654))</f>
        <v/>
      </c>
      <c r="AC1654" s="52">
        <f>IF(OR(K1654="",AND(P1654&lt;&gt;"Transferencia",P1654&lt;&gt;"Pago tarjeta")),"",IFERROR(IF(INDEX(ctaVinc,MATCH(K1654,ctaNombre,0))&amp;""&lt;&gt;"",INDEX(ctaVinc,MATCH(K1654,ctaNombre,0))&amp;"",K1654),K1654))</f>
        <v/>
      </c>
      <c r="AD1654" s="52">
        <f>IF(AB1654="","",IFERROR(INDEX(ctaTipo,MATCH(AB1654,ctaNombre,0))&amp;"",""))</f>
        <v/>
      </c>
      <c r="AE1654" s="52">
        <f>IF(AC1654="","",IFERROR(INDEX(ctaTipo,MATCH(AC1654,ctaNombre,0))&amp;"",""))</f>
        <v/>
      </c>
      <c r="AF1654" s="53">
        <f>IF(OR(P1654="",AB1654=""),"",IF(OR(P1654="Gasto",P1654="Transferencia",P1654="Pago tarjeta"),-1,1)*IF(IFERROR(INDEX(ctaMoneda,MATCH(AB1654,ctaNombre,0))&amp;"","DOP")="USD",T1654,S1654))</f>
        <v/>
      </c>
      <c r="AG1654" s="53">
        <f>IF(AC1654="","",IF(IFERROR(INDEX(ctaMoneda,MATCH(AC1654,ctaNombre,0))&amp;"","DOP")="USD",T1654,S1654))</f>
        <v/>
      </c>
      <c r="AH1654" s="53">
        <f>IF(P1654="","",IF(AND(AD1654&lt;&gt;"",COUNTIFS(tcTipo,AD1654,tcLiq,"Sí")&gt;0),IF(OR(P1654="Gasto",P1654="Transferencia",P1654="Pago tarjeta"),-1,1)*S1654,0)+IF(AND(AE1654&lt;&gt;"",COUNTIFS(tcTipo,AE1654,tcLiq,"Sí")&gt;0),S1654,0))</f>
        <v/>
      </c>
      <c r="AI1654" s="52">
        <f>IF(OR(L1654="",P1654=""),"",IF(COUNTIFS(L$6:L1654,L1654,P$6:P1654,"?*")=1,MAX(AI$5:AI1653)+1,""))</f>
        <v/>
      </c>
    </row>
    <row r="1655">
      <c r="B1655" s="47" t="n"/>
      <c r="C1655" s="48" t="n"/>
      <c r="D1655" s="48" t="n"/>
      <c r="E1655" s="48" t="n"/>
      <c r="F1655" s="48" t="n"/>
      <c r="G1655" s="49" t="n"/>
      <c r="H1655" s="48" t="n"/>
      <c r="I1655" s="50" t="n"/>
      <c r="J1655" s="48" t="n"/>
      <c r="K1655" s="48" t="n"/>
      <c r="L1655" s="48" t="n"/>
      <c r="M1655" s="48" t="n"/>
      <c r="N1655" s="48" t="n"/>
      <c r="O1655" s="51">
        <f>IF(AND(B1655="",G1655="",C1655="",D1655="",J1655=""),"",IF(B1655="","⚠ Falta fecha",IF(G1655="","⚠ Falta monto",IF(Q1655="","⚠ Falta cuenta",IF(ISNA(MATCH(Q1655,ctaNombre,0)),"⚠ Cuenta no registrada",IF(AND(OR(P1655="Gasto",P1655="Reembolso"),D1655=""),"⚠ Falta categoría",IF(AND(D1655&lt;&gt;"",E1655&lt;&gt;"",ISNA(MATCH(D1655&amp;"|"&amp;E1655,catClave,0))),"⚠ Subcategoría no corresponde",IF(AND(OR(P1655="Transferencia",P1655="Pago tarjeta"),K1655=""),"⚠ Falta cuenta destino",IF(AND(K1655&lt;&gt;"",P1655&lt;&gt;"Transferencia",P1655&lt;&gt;"Pago tarjeta"),"⚠ Destino solo aplica a transferencias",IF(AND(K1655&lt;&gt;"",K1655=Q1655),"⚠ Origen igual a destino",IF(AND(K1655&lt;&gt;"",ISNA(MATCH(K1655,ctaNombre,0))),"⚠ Destino no registrado",IF(AND(P1655="Pago tarjeta",AE1655&lt;&gt;"Tarjeta de crédito"),"⚠ El destino debe ser tarjeta de crédito",IF(AND(P1655="Gasto",E1655="Depósitos y retiros"),"⚠ Usa tipo Transferencia",IF(AND(P1655="Resultado trading",AD1655&lt;&gt;"Cuenta de trading"),"⚠ Usa una cuenta de trading",IF(AND(G1655&lt;=0,P1655&lt;&gt;"Ajuste",P1655&lt;&gt;"Resultado trading"),"⚠ El monto debe ser positivo","✓")))))))))))))))</f>
        <v/>
      </c>
      <c r="P1655" s="52">
        <f>IF(OR(B1655="",G1655=""),"",IF(C1655="","Gasto",C1655))</f>
        <v/>
      </c>
      <c r="Q1655" s="52">
        <f>IF(P1655="","",IF(J1655&lt;&gt;"",J1655,CuentaPred&amp;""))</f>
        <v/>
      </c>
      <c r="R1655" s="52">
        <f>IF(P1655="","",IF(ISNUMBER(I1655),I1655,TasaUSD))</f>
        <v/>
      </c>
      <c r="S1655" s="53">
        <f>IF(P1655="","",IF(H1655="USD",G1655*R1655,G1655))</f>
        <v/>
      </c>
      <c r="T1655" s="53">
        <f>IF(P1655="","",IF(H1655="USD",G1655,IF(R1655&gt;0,G1655/R1655,0)))</f>
        <v/>
      </c>
      <c r="U1655" s="53">
        <f>IF(P1655="","",IF(P1655="Gasto",S1655,IF(P1655="Reembolso",-S1655,0)))</f>
        <v/>
      </c>
      <c r="V1655" s="53">
        <f>IF(P1655="","",IF(P1655="Ingreso",S1655,0))</f>
        <v/>
      </c>
      <c r="W1655" s="53">
        <f>IF(P1655="","",IF(P1655="Resultado trading",S1655,0))</f>
        <v/>
      </c>
      <c r="X1655" s="52">
        <f>IF(OR(P1655="Gasto",P1655="Reembolso"),IF(M1655&lt;&gt;"",M1655,IFERROR(INDEX(catClasif,MATCH(D1655&amp;"|"&amp;E1655,catClave,0))&amp;"","Variable")),"")</f>
        <v/>
      </c>
      <c r="Y1655" s="52">
        <f>IF(P1655="","",IFERROR(INDEX(catGrupo,MATCH(D1655&amp;"|"&amp;E1655,catClave,0))&amp;"",""))</f>
        <v/>
      </c>
      <c r="Z1655" s="52">
        <f>IF(P1655="","",WEEKDAY(B1655,2))</f>
        <v/>
      </c>
      <c r="AA1655" s="52">
        <f>IF(P1655="","",IF(AND(P1655="Gasto",X1655="Variable",D1655&lt;&gt;catTrading,S1655&gt;0,S1655&lt;=Umbral),1,0))</f>
        <v/>
      </c>
      <c r="AB1655" s="52">
        <f>IF(OR(P1655="",Q1655=""),"",IFERROR(IF(INDEX(ctaVinc,MATCH(Q1655,ctaNombre,0))&amp;""&lt;&gt;"",INDEX(ctaVinc,MATCH(Q1655,ctaNombre,0))&amp;"",Q1655),Q1655))</f>
        <v/>
      </c>
      <c r="AC1655" s="52">
        <f>IF(OR(K1655="",AND(P1655&lt;&gt;"Transferencia",P1655&lt;&gt;"Pago tarjeta")),"",IFERROR(IF(INDEX(ctaVinc,MATCH(K1655,ctaNombre,0))&amp;""&lt;&gt;"",INDEX(ctaVinc,MATCH(K1655,ctaNombre,0))&amp;"",K1655),K1655))</f>
        <v/>
      </c>
      <c r="AD1655" s="52">
        <f>IF(AB1655="","",IFERROR(INDEX(ctaTipo,MATCH(AB1655,ctaNombre,0))&amp;"",""))</f>
        <v/>
      </c>
      <c r="AE1655" s="52">
        <f>IF(AC1655="","",IFERROR(INDEX(ctaTipo,MATCH(AC1655,ctaNombre,0))&amp;"",""))</f>
        <v/>
      </c>
      <c r="AF1655" s="53">
        <f>IF(OR(P1655="",AB1655=""),"",IF(OR(P1655="Gasto",P1655="Transferencia",P1655="Pago tarjeta"),-1,1)*IF(IFERROR(INDEX(ctaMoneda,MATCH(AB1655,ctaNombre,0))&amp;"","DOP")="USD",T1655,S1655))</f>
        <v/>
      </c>
      <c r="AG1655" s="53">
        <f>IF(AC1655="","",IF(IFERROR(INDEX(ctaMoneda,MATCH(AC1655,ctaNombre,0))&amp;"","DOP")="USD",T1655,S1655))</f>
        <v/>
      </c>
      <c r="AH1655" s="53">
        <f>IF(P1655="","",IF(AND(AD1655&lt;&gt;"",COUNTIFS(tcTipo,AD1655,tcLiq,"Sí")&gt;0),IF(OR(P1655="Gasto",P1655="Transferencia",P1655="Pago tarjeta"),-1,1)*S1655,0)+IF(AND(AE1655&lt;&gt;"",COUNTIFS(tcTipo,AE1655,tcLiq,"Sí")&gt;0),S1655,0))</f>
        <v/>
      </c>
      <c r="AI1655" s="52">
        <f>IF(OR(L1655="",P1655=""),"",IF(COUNTIFS(L$6:L1655,L1655,P$6:P1655,"?*")=1,MAX(AI$5:AI1654)+1,""))</f>
        <v/>
      </c>
    </row>
    <row r="1656">
      <c r="B1656" s="47" t="n"/>
      <c r="C1656" s="48" t="n"/>
      <c r="D1656" s="48" t="n"/>
      <c r="E1656" s="48" t="n"/>
      <c r="F1656" s="48" t="n"/>
      <c r="G1656" s="49" t="n"/>
      <c r="H1656" s="48" t="n"/>
      <c r="I1656" s="50" t="n"/>
      <c r="J1656" s="48" t="n"/>
      <c r="K1656" s="48" t="n"/>
      <c r="L1656" s="48" t="n"/>
      <c r="M1656" s="48" t="n"/>
      <c r="N1656" s="48" t="n"/>
      <c r="O1656" s="51">
        <f>IF(AND(B1656="",G1656="",C1656="",D1656="",J1656=""),"",IF(B1656="","⚠ Falta fecha",IF(G1656="","⚠ Falta monto",IF(Q1656="","⚠ Falta cuenta",IF(ISNA(MATCH(Q1656,ctaNombre,0)),"⚠ Cuenta no registrada",IF(AND(OR(P1656="Gasto",P1656="Reembolso"),D1656=""),"⚠ Falta categoría",IF(AND(D1656&lt;&gt;"",E1656&lt;&gt;"",ISNA(MATCH(D1656&amp;"|"&amp;E1656,catClave,0))),"⚠ Subcategoría no corresponde",IF(AND(OR(P1656="Transferencia",P1656="Pago tarjeta"),K1656=""),"⚠ Falta cuenta destino",IF(AND(K1656&lt;&gt;"",P1656&lt;&gt;"Transferencia",P1656&lt;&gt;"Pago tarjeta"),"⚠ Destino solo aplica a transferencias",IF(AND(K1656&lt;&gt;"",K1656=Q1656),"⚠ Origen igual a destino",IF(AND(K1656&lt;&gt;"",ISNA(MATCH(K1656,ctaNombre,0))),"⚠ Destino no registrado",IF(AND(P1656="Pago tarjeta",AE1656&lt;&gt;"Tarjeta de crédito"),"⚠ El destino debe ser tarjeta de crédito",IF(AND(P1656="Gasto",E1656="Depósitos y retiros"),"⚠ Usa tipo Transferencia",IF(AND(P1656="Resultado trading",AD1656&lt;&gt;"Cuenta de trading"),"⚠ Usa una cuenta de trading",IF(AND(G1656&lt;=0,P1656&lt;&gt;"Ajuste",P1656&lt;&gt;"Resultado trading"),"⚠ El monto debe ser positivo","✓")))))))))))))))</f>
        <v/>
      </c>
      <c r="P1656" s="52">
        <f>IF(OR(B1656="",G1656=""),"",IF(C1656="","Gasto",C1656))</f>
        <v/>
      </c>
      <c r="Q1656" s="52">
        <f>IF(P1656="","",IF(J1656&lt;&gt;"",J1656,CuentaPred&amp;""))</f>
        <v/>
      </c>
      <c r="R1656" s="52">
        <f>IF(P1656="","",IF(ISNUMBER(I1656),I1656,TasaUSD))</f>
        <v/>
      </c>
      <c r="S1656" s="53">
        <f>IF(P1656="","",IF(H1656="USD",G1656*R1656,G1656))</f>
        <v/>
      </c>
      <c r="T1656" s="53">
        <f>IF(P1656="","",IF(H1656="USD",G1656,IF(R1656&gt;0,G1656/R1656,0)))</f>
        <v/>
      </c>
      <c r="U1656" s="53">
        <f>IF(P1656="","",IF(P1656="Gasto",S1656,IF(P1656="Reembolso",-S1656,0)))</f>
        <v/>
      </c>
      <c r="V1656" s="53">
        <f>IF(P1656="","",IF(P1656="Ingreso",S1656,0))</f>
        <v/>
      </c>
      <c r="W1656" s="53">
        <f>IF(P1656="","",IF(P1656="Resultado trading",S1656,0))</f>
        <v/>
      </c>
      <c r="X1656" s="52">
        <f>IF(OR(P1656="Gasto",P1656="Reembolso"),IF(M1656&lt;&gt;"",M1656,IFERROR(INDEX(catClasif,MATCH(D1656&amp;"|"&amp;E1656,catClave,0))&amp;"","Variable")),"")</f>
        <v/>
      </c>
      <c r="Y1656" s="52">
        <f>IF(P1656="","",IFERROR(INDEX(catGrupo,MATCH(D1656&amp;"|"&amp;E1656,catClave,0))&amp;"",""))</f>
        <v/>
      </c>
      <c r="Z1656" s="52">
        <f>IF(P1656="","",WEEKDAY(B1656,2))</f>
        <v/>
      </c>
      <c r="AA1656" s="52">
        <f>IF(P1656="","",IF(AND(P1656="Gasto",X1656="Variable",D1656&lt;&gt;catTrading,S1656&gt;0,S1656&lt;=Umbral),1,0))</f>
        <v/>
      </c>
      <c r="AB1656" s="52">
        <f>IF(OR(P1656="",Q1656=""),"",IFERROR(IF(INDEX(ctaVinc,MATCH(Q1656,ctaNombre,0))&amp;""&lt;&gt;"",INDEX(ctaVinc,MATCH(Q1656,ctaNombre,0))&amp;"",Q1656),Q1656))</f>
        <v/>
      </c>
      <c r="AC1656" s="52">
        <f>IF(OR(K1656="",AND(P1656&lt;&gt;"Transferencia",P1656&lt;&gt;"Pago tarjeta")),"",IFERROR(IF(INDEX(ctaVinc,MATCH(K1656,ctaNombre,0))&amp;""&lt;&gt;"",INDEX(ctaVinc,MATCH(K1656,ctaNombre,0))&amp;"",K1656),K1656))</f>
        <v/>
      </c>
      <c r="AD1656" s="52">
        <f>IF(AB1656="","",IFERROR(INDEX(ctaTipo,MATCH(AB1656,ctaNombre,0))&amp;"",""))</f>
        <v/>
      </c>
      <c r="AE1656" s="52">
        <f>IF(AC1656="","",IFERROR(INDEX(ctaTipo,MATCH(AC1656,ctaNombre,0))&amp;"",""))</f>
        <v/>
      </c>
      <c r="AF1656" s="53">
        <f>IF(OR(P1656="",AB1656=""),"",IF(OR(P1656="Gasto",P1656="Transferencia",P1656="Pago tarjeta"),-1,1)*IF(IFERROR(INDEX(ctaMoneda,MATCH(AB1656,ctaNombre,0))&amp;"","DOP")="USD",T1656,S1656))</f>
        <v/>
      </c>
      <c r="AG1656" s="53">
        <f>IF(AC1656="","",IF(IFERROR(INDEX(ctaMoneda,MATCH(AC1656,ctaNombre,0))&amp;"","DOP")="USD",T1656,S1656))</f>
        <v/>
      </c>
      <c r="AH1656" s="53">
        <f>IF(P1656="","",IF(AND(AD1656&lt;&gt;"",COUNTIFS(tcTipo,AD1656,tcLiq,"Sí")&gt;0),IF(OR(P1656="Gasto",P1656="Transferencia",P1656="Pago tarjeta"),-1,1)*S1656,0)+IF(AND(AE1656&lt;&gt;"",COUNTIFS(tcTipo,AE1656,tcLiq,"Sí")&gt;0),S1656,0))</f>
        <v/>
      </c>
      <c r="AI1656" s="52">
        <f>IF(OR(L1656="",P1656=""),"",IF(COUNTIFS(L$6:L1656,L1656,P$6:P1656,"?*")=1,MAX(AI$5:AI1655)+1,""))</f>
        <v/>
      </c>
    </row>
    <row r="1657">
      <c r="B1657" s="47" t="n"/>
      <c r="C1657" s="48" t="n"/>
      <c r="D1657" s="48" t="n"/>
      <c r="E1657" s="48" t="n"/>
      <c r="F1657" s="48" t="n"/>
      <c r="G1657" s="49" t="n"/>
      <c r="H1657" s="48" t="n"/>
      <c r="I1657" s="50" t="n"/>
      <c r="J1657" s="48" t="n"/>
      <c r="K1657" s="48" t="n"/>
      <c r="L1657" s="48" t="n"/>
      <c r="M1657" s="48" t="n"/>
      <c r="N1657" s="48" t="n"/>
      <c r="O1657" s="51">
        <f>IF(AND(B1657="",G1657="",C1657="",D1657="",J1657=""),"",IF(B1657="","⚠ Falta fecha",IF(G1657="","⚠ Falta monto",IF(Q1657="","⚠ Falta cuenta",IF(ISNA(MATCH(Q1657,ctaNombre,0)),"⚠ Cuenta no registrada",IF(AND(OR(P1657="Gasto",P1657="Reembolso"),D1657=""),"⚠ Falta categoría",IF(AND(D1657&lt;&gt;"",E1657&lt;&gt;"",ISNA(MATCH(D1657&amp;"|"&amp;E1657,catClave,0))),"⚠ Subcategoría no corresponde",IF(AND(OR(P1657="Transferencia",P1657="Pago tarjeta"),K1657=""),"⚠ Falta cuenta destino",IF(AND(K1657&lt;&gt;"",P1657&lt;&gt;"Transferencia",P1657&lt;&gt;"Pago tarjeta"),"⚠ Destino solo aplica a transferencias",IF(AND(K1657&lt;&gt;"",K1657=Q1657),"⚠ Origen igual a destino",IF(AND(K1657&lt;&gt;"",ISNA(MATCH(K1657,ctaNombre,0))),"⚠ Destino no registrado",IF(AND(P1657="Pago tarjeta",AE1657&lt;&gt;"Tarjeta de crédito"),"⚠ El destino debe ser tarjeta de crédito",IF(AND(P1657="Gasto",E1657="Depósitos y retiros"),"⚠ Usa tipo Transferencia",IF(AND(P1657="Resultado trading",AD1657&lt;&gt;"Cuenta de trading"),"⚠ Usa una cuenta de trading",IF(AND(G1657&lt;=0,P1657&lt;&gt;"Ajuste",P1657&lt;&gt;"Resultado trading"),"⚠ El monto debe ser positivo","✓")))))))))))))))</f>
        <v/>
      </c>
      <c r="P1657" s="52">
        <f>IF(OR(B1657="",G1657=""),"",IF(C1657="","Gasto",C1657))</f>
        <v/>
      </c>
      <c r="Q1657" s="52">
        <f>IF(P1657="","",IF(J1657&lt;&gt;"",J1657,CuentaPred&amp;""))</f>
        <v/>
      </c>
      <c r="R1657" s="52">
        <f>IF(P1657="","",IF(ISNUMBER(I1657),I1657,TasaUSD))</f>
        <v/>
      </c>
      <c r="S1657" s="53">
        <f>IF(P1657="","",IF(H1657="USD",G1657*R1657,G1657))</f>
        <v/>
      </c>
      <c r="T1657" s="53">
        <f>IF(P1657="","",IF(H1657="USD",G1657,IF(R1657&gt;0,G1657/R1657,0)))</f>
        <v/>
      </c>
      <c r="U1657" s="53">
        <f>IF(P1657="","",IF(P1657="Gasto",S1657,IF(P1657="Reembolso",-S1657,0)))</f>
        <v/>
      </c>
      <c r="V1657" s="53">
        <f>IF(P1657="","",IF(P1657="Ingreso",S1657,0))</f>
        <v/>
      </c>
      <c r="W1657" s="53">
        <f>IF(P1657="","",IF(P1657="Resultado trading",S1657,0))</f>
        <v/>
      </c>
      <c r="X1657" s="52">
        <f>IF(OR(P1657="Gasto",P1657="Reembolso"),IF(M1657&lt;&gt;"",M1657,IFERROR(INDEX(catClasif,MATCH(D1657&amp;"|"&amp;E1657,catClave,0))&amp;"","Variable")),"")</f>
        <v/>
      </c>
      <c r="Y1657" s="52">
        <f>IF(P1657="","",IFERROR(INDEX(catGrupo,MATCH(D1657&amp;"|"&amp;E1657,catClave,0))&amp;"",""))</f>
        <v/>
      </c>
      <c r="Z1657" s="52">
        <f>IF(P1657="","",WEEKDAY(B1657,2))</f>
        <v/>
      </c>
      <c r="AA1657" s="52">
        <f>IF(P1657="","",IF(AND(P1657="Gasto",X1657="Variable",D1657&lt;&gt;catTrading,S1657&gt;0,S1657&lt;=Umbral),1,0))</f>
        <v/>
      </c>
      <c r="AB1657" s="52">
        <f>IF(OR(P1657="",Q1657=""),"",IFERROR(IF(INDEX(ctaVinc,MATCH(Q1657,ctaNombre,0))&amp;""&lt;&gt;"",INDEX(ctaVinc,MATCH(Q1657,ctaNombre,0))&amp;"",Q1657),Q1657))</f>
        <v/>
      </c>
      <c r="AC1657" s="52">
        <f>IF(OR(K1657="",AND(P1657&lt;&gt;"Transferencia",P1657&lt;&gt;"Pago tarjeta")),"",IFERROR(IF(INDEX(ctaVinc,MATCH(K1657,ctaNombre,0))&amp;""&lt;&gt;"",INDEX(ctaVinc,MATCH(K1657,ctaNombre,0))&amp;"",K1657),K1657))</f>
        <v/>
      </c>
      <c r="AD1657" s="52">
        <f>IF(AB1657="","",IFERROR(INDEX(ctaTipo,MATCH(AB1657,ctaNombre,0))&amp;"",""))</f>
        <v/>
      </c>
      <c r="AE1657" s="52">
        <f>IF(AC1657="","",IFERROR(INDEX(ctaTipo,MATCH(AC1657,ctaNombre,0))&amp;"",""))</f>
        <v/>
      </c>
      <c r="AF1657" s="53">
        <f>IF(OR(P1657="",AB1657=""),"",IF(OR(P1657="Gasto",P1657="Transferencia",P1657="Pago tarjeta"),-1,1)*IF(IFERROR(INDEX(ctaMoneda,MATCH(AB1657,ctaNombre,0))&amp;"","DOP")="USD",T1657,S1657))</f>
        <v/>
      </c>
      <c r="AG1657" s="53">
        <f>IF(AC1657="","",IF(IFERROR(INDEX(ctaMoneda,MATCH(AC1657,ctaNombre,0))&amp;"","DOP")="USD",T1657,S1657))</f>
        <v/>
      </c>
      <c r="AH1657" s="53">
        <f>IF(P1657="","",IF(AND(AD1657&lt;&gt;"",COUNTIFS(tcTipo,AD1657,tcLiq,"Sí")&gt;0),IF(OR(P1657="Gasto",P1657="Transferencia",P1657="Pago tarjeta"),-1,1)*S1657,0)+IF(AND(AE1657&lt;&gt;"",COUNTIFS(tcTipo,AE1657,tcLiq,"Sí")&gt;0),S1657,0))</f>
        <v/>
      </c>
      <c r="AI1657" s="52">
        <f>IF(OR(L1657="",P1657=""),"",IF(COUNTIFS(L$6:L1657,L1657,P$6:P1657,"?*")=1,MAX(AI$5:AI1656)+1,""))</f>
        <v/>
      </c>
    </row>
    <row r="1658">
      <c r="B1658" s="47" t="n"/>
      <c r="C1658" s="48" t="n"/>
      <c r="D1658" s="48" t="n"/>
      <c r="E1658" s="48" t="n"/>
      <c r="F1658" s="48" t="n"/>
      <c r="G1658" s="49" t="n"/>
      <c r="H1658" s="48" t="n"/>
      <c r="I1658" s="50" t="n"/>
      <c r="J1658" s="48" t="n"/>
      <c r="K1658" s="48" t="n"/>
      <c r="L1658" s="48" t="n"/>
      <c r="M1658" s="48" t="n"/>
      <c r="N1658" s="48" t="n"/>
      <c r="O1658" s="51">
        <f>IF(AND(B1658="",G1658="",C1658="",D1658="",J1658=""),"",IF(B1658="","⚠ Falta fecha",IF(G1658="","⚠ Falta monto",IF(Q1658="","⚠ Falta cuenta",IF(ISNA(MATCH(Q1658,ctaNombre,0)),"⚠ Cuenta no registrada",IF(AND(OR(P1658="Gasto",P1658="Reembolso"),D1658=""),"⚠ Falta categoría",IF(AND(D1658&lt;&gt;"",E1658&lt;&gt;"",ISNA(MATCH(D1658&amp;"|"&amp;E1658,catClave,0))),"⚠ Subcategoría no corresponde",IF(AND(OR(P1658="Transferencia",P1658="Pago tarjeta"),K1658=""),"⚠ Falta cuenta destino",IF(AND(K1658&lt;&gt;"",P1658&lt;&gt;"Transferencia",P1658&lt;&gt;"Pago tarjeta"),"⚠ Destino solo aplica a transferencias",IF(AND(K1658&lt;&gt;"",K1658=Q1658),"⚠ Origen igual a destino",IF(AND(K1658&lt;&gt;"",ISNA(MATCH(K1658,ctaNombre,0))),"⚠ Destino no registrado",IF(AND(P1658="Pago tarjeta",AE1658&lt;&gt;"Tarjeta de crédito"),"⚠ El destino debe ser tarjeta de crédito",IF(AND(P1658="Gasto",E1658="Depósitos y retiros"),"⚠ Usa tipo Transferencia",IF(AND(P1658="Resultado trading",AD1658&lt;&gt;"Cuenta de trading"),"⚠ Usa una cuenta de trading",IF(AND(G1658&lt;=0,P1658&lt;&gt;"Ajuste",P1658&lt;&gt;"Resultado trading"),"⚠ El monto debe ser positivo","✓")))))))))))))))</f>
        <v/>
      </c>
      <c r="P1658" s="52">
        <f>IF(OR(B1658="",G1658=""),"",IF(C1658="","Gasto",C1658))</f>
        <v/>
      </c>
      <c r="Q1658" s="52">
        <f>IF(P1658="","",IF(J1658&lt;&gt;"",J1658,CuentaPred&amp;""))</f>
        <v/>
      </c>
      <c r="R1658" s="52">
        <f>IF(P1658="","",IF(ISNUMBER(I1658),I1658,TasaUSD))</f>
        <v/>
      </c>
      <c r="S1658" s="53">
        <f>IF(P1658="","",IF(H1658="USD",G1658*R1658,G1658))</f>
        <v/>
      </c>
      <c r="T1658" s="53">
        <f>IF(P1658="","",IF(H1658="USD",G1658,IF(R1658&gt;0,G1658/R1658,0)))</f>
        <v/>
      </c>
      <c r="U1658" s="53">
        <f>IF(P1658="","",IF(P1658="Gasto",S1658,IF(P1658="Reembolso",-S1658,0)))</f>
        <v/>
      </c>
      <c r="V1658" s="53">
        <f>IF(P1658="","",IF(P1658="Ingreso",S1658,0))</f>
        <v/>
      </c>
      <c r="W1658" s="53">
        <f>IF(P1658="","",IF(P1658="Resultado trading",S1658,0))</f>
        <v/>
      </c>
      <c r="X1658" s="52">
        <f>IF(OR(P1658="Gasto",P1658="Reembolso"),IF(M1658&lt;&gt;"",M1658,IFERROR(INDEX(catClasif,MATCH(D1658&amp;"|"&amp;E1658,catClave,0))&amp;"","Variable")),"")</f>
        <v/>
      </c>
      <c r="Y1658" s="52">
        <f>IF(P1658="","",IFERROR(INDEX(catGrupo,MATCH(D1658&amp;"|"&amp;E1658,catClave,0))&amp;"",""))</f>
        <v/>
      </c>
      <c r="Z1658" s="52">
        <f>IF(P1658="","",WEEKDAY(B1658,2))</f>
        <v/>
      </c>
      <c r="AA1658" s="52">
        <f>IF(P1658="","",IF(AND(P1658="Gasto",X1658="Variable",D1658&lt;&gt;catTrading,S1658&gt;0,S1658&lt;=Umbral),1,0))</f>
        <v/>
      </c>
      <c r="AB1658" s="52">
        <f>IF(OR(P1658="",Q1658=""),"",IFERROR(IF(INDEX(ctaVinc,MATCH(Q1658,ctaNombre,0))&amp;""&lt;&gt;"",INDEX(ctaVinc,MATCH(Q1658,ctaNombre,0))&amp;"",Q1658),Q1658))</f>
        <v/>
      </c>
      <c r="AC1658" s="52">
        <f>IF(OR(K1658="",AND(P1658&lt;&gt;"Transferencia",P1658&lt;&gt;"Pago tarjeta")),"",IFERROR(IF(INDEX(ctaVinc,MATCH(K1658,ctaNombre,0))&amp;""&lt;&gt;"",INDEX(ctaVinc,MATCH(K1658,ctaNombre,0))&amp;"",K1658),K1658))</f>
        <v/>
      </c>
      <c r="AD1658" s="52">
        <f>IF(AB1658="","",IFERROR(INDEX(ctaTipo,MATCH(AB1658,ctaNombre,0))&amp;"",""))</f>
        <v/>
      </c>
      <c r="AE1658" s="52">
        <f>IF(AC1658="","",IFERROR(INDEX(ctaTipo,MATCH(AC1658,ctaNombre,0))&amp;"",""))</f>
        <v/>
      </c>
      <c r="AF1658" s="53">
        <f>IF(OR(P1658="",AB1658=""),"",IF(OR(P1658="Gasto",P1658="Transferencia",P1658="Pago tarjeta"),-1,1)*IF(IFERROR(INDEX(ctaMoneda,MATCH(AB1658,ctaNombre,0))&amp;"","DOP")="USD",T1658,S1658))</f>
        <v/>
      </c>
      <c r="AG1658" s="53">
        <f>IF(AC1658="","",IF(IFERROR(INDEX(ctaMoneda,MATCH(AC1658,ctaNombre,0))&amp;"","DOP")="USD",T1658,S1658))</f>
        <v/>
      </c>
      <c r="AH1658" s="53">
        <f>IF(P1658="","",IF(AND(AD1658&lt;&gt;"",COUNTIFS(tcTipo,AD1658,tcLiq,"Sí")&gt;0),IF(OR(P1658="Gasto",P1658="Transferencia",P1658="Pago tarjeta"),-1,1)*S1658,0)+IF(AND(AE1658&lt;&gt;"",COUNTIFS(tcTipo,AE1658,tcLiq,"Sí")&gt;0),S1658,0))</f>
        <v/>
      </c>
      <c r="AI1658" s="52">
        <f>IF(OR(L1658="",P1658=""),"",IF(COUNTIFS(L$6:L1658,L1658,P$6:P1658,"?*")=1,MAX(AI$5:AI1657)+1,""))</f>
        <v/>
      </c>
    </row>
    <row r="1659">
      <c r="B1659" s="47" t="n"/>
      <c r="C1659" s="48" t="n"/>
      <c r="D1659" s="48" t="n"/>
      <c r="E1659" s="48" t="n"/>
      <c r="F1659" s="48" t="n"/>
      <c r="G1659" s="49" t="n"/>
      <c r="H1659" s="48" t="n"/>
      <c r="I1659" s="50" t="n"/>
      <c r="J1659" s="48" t="n"/>
      <c r="K1659" s="48" t="n"/>
      <c r="L1659" s="48" t="n"/>
      <c r="M1659" s="48" t="n"/>
      <c r="N1659" s="48" t="n"/>
      <c r="O1659" s="51">
        <f>IF(AND(B1659="",G1659="",C1659="",D1659="",J1659=""),"",IF(B1659="","⚠ Falta fecha",IF(G1659="","⚠ Falta monto",IF(Q1659="","⚠ Falta cuenta",IF(ISNA(MATCH(Q1659,ctaNombre,0)),"⚠ Cuenta no registrada",IF(AND(OR(P1659="Gasto",P1659="Reembolso"),D1659=""),"⚠ Falta categoría",IF(AND(D1659&lt;&gt;"",E1659&lt;&gt;"",ISNA(MATCH(D1659&amp;"|"&amp;E1659,catClave,0))),"⚠ Subcategoría no corresponde",IF(AND(OR(P1659="Transferencia",P1659="Pago tarjeta"),K1659=""),"⚠ Falta cuenta destino",IF(AND(K1659&lt;&gt;"",P1659&lt;&gt;"Transferencia",P1659&lt;&gt;"Pago tarjeta"),"⚠ Destino solo aplica a transferencias",IF(AND(K1659&lt;&gt;"",K1659=Q1659),"⚠ Origen igual a destino",IF(AND(K1659&lt;&gt;"",ISNA(MATCH(K1659,ctaNombre,0))),"⚠ Destino no registrado",IF(AND(P1659="Pago tarjeta",AE1659&lt;&gt;"Tarjeta de crédito"),"⚠ El destino debe ser tarjeta de crédito",IF(AND(P1659="Gasto",E1659="Depósitos y retiros"),"⚠ Usa tipo Transferencia",IF(AND(P1659="Resultado trading",AD1659&lt;&gt;"Cuenta de trading"),"⚠ Usa una cuenta de trading",IF(AND(G1659&lt;=0,P1659&lt;&gt;"Ajuste",P1659&lt;&gt;"Resultado trading"),"⚠ El monto debe ser positivo","✓")))))))))))))))</f>
        <v/>
      </c>
      <c r="P1659" s="52">
        <f>IF(OR(B1659="",G1659=""),"",IF(C1659="","Gasto",C1659))</f>
        <v/>
      </c>
      <c r="Q1659" s="52">
        <f>IF(P1659="","",IF(J1659&lt;&gt;"",J1659,CuentaPred&amp;""))</f>
        <v/>
      </c>
      <c r="R1659" s="52">
        <f>IF(P1659="","",IF(ISNUMBER(I1659),I1659,TasaUSD))</f>
        <v/>
      </c>
      <c r="S1659" s="53">
        <f>IF(P1659="","",IF(H1659="USD",G1659*R1659,G1659))</f>
        <v/>
      </c>
      <c r="T1659" s="53">
        <f>IF(P1659="","",IF(H1659="USD",G1659,IF(R1659&gt;0,G1659/R1659,0)))</f>
        <v/>
      </c>
      <c r="U1659" s="53">
        <f>IF(P1659="","",IF(P1659="Gasto",S1659,IF(P1659="Reembolso",-S1659,0)))</f>
        <v/>
      </c>
      <c r="V1659" s="53">
        <f>IF(P1659="","",IF(P1659="Ingreso",S1659,0))</f>
        <v/>
      </c>
      <c r="W1659" s="53">
        <f>IF(P1659="","",IF(P1659="Resultado trading",S1659,0))</f>
        <v/>
      </c>
      <c r="X1659" s="52">
        <f>IF(OR(P1659="Gasto",P1659="Reembolso"),IF(M1659&lt;&gt;"",M1659,IFERROR(INDEX(catClasif,MATCH(D1659&amp;"|"&amp;E1659,catClave,0))&amp;"","Variable")),"")</f>
        <v/>
      </c>
      <c r="Y1659" s="52">
        <f>IF(P1659="","",IFERROR(INDEX(catGrupo,MATCH(D1659&amp;"|"&amp;E1659,catClave,0))&amp;"",""))</f>
        <v/>
      </c>
      <c r="Z1659" s="52">
        <f>IF(P1659="","",WEEKDAY(B1659,2))</f>
        <v/>
      </c>
      <c r="AA1659" s="52">
        <f>IF(P1659="","",IF(AND(P1659="Gasto",X1659="Variable",D1659&lt;&gt;catTrading,S1659&gt;0,S1659&lt;=Umbral),1,0))</f>
        <v/>
      </c>
      <c r="AB1659" s="52">
        <f>IF(OR(P1659="",Q1659=""),"",IFERROR(IF(INDEX(ctaVinc,MATCH(Q1659,ctaNombre,0))&amp;""&lt;&gt;"",INDEX(ctaVinc,MATCH(Q1659,ctaNombre,0))&amp;"",Q1659),Q1659))</f>
        <v/>
      </c>
      <c r="AC1659" s="52">
        <f>IF(OR(K1659="",AND(P1659&lt;&gt;"Transferencia",P1659&lt;&gt;"Pago tarjeta")),"",IFERROR(IF(INDEX(ctaVinc,MATCH(K1659,ctaNombre,0))&amp;""&lt;&gt;"",INDEX(ctaVinc,MATCH(K1659,ctaNombre,0))&amp;"",K1659),K1659))</f>
        <v/>
      </c>
      <c r="AD1659" s="52">
        <f>IF(AB1659="","",IFERROR(INDEX(ctaTipo,MATCH(AB1659,ctaNombre,0))&amp;"",""))</f>
        <v/>
      </c>
      <c r="AE1659" s="52">
        <f>IF(AC1659="","",IFERROR(INDEX(ctaTipo,MATCH(AC1659,ctaNombre,0))&amp;"",""))</f>
        <v/>
      </c>
      <c r="AF1659" s="53">
        <f>IF(OR(P1659="",AB1659=""),"",IF(OR(P1659="Gasto",P1659="Transferencia",P1659="Pago tarjeta"),-1,1)*IF(IFERROR(INDEX(ctaMoneda,MATCH(AB1659,ctaNombre,0))&amp;"","DOP")="USD",T1659,S1659))</f>
        <v/>
      </c>
      <c r="AG1659" s="53">
        <f>IF(AC1659="","",IF(IFERROR(INDEX(ctaMoneda,MATCH(AC1659,ctaNombre,0))&amp;"","DOP")="USD",T1659,S1659))</f>
        <v/>
      </c>
      <c r="AH1659" s="53">
        <f>IF(P1659="","",IF(AND(AD1659&lt;&gt;"",COUNTIFS(tcTipo,AD1659,tcLiq,"Sí")&gt;0),IF(OR(P1659="Gasto",P1659="Transferencia",P1659="Pago tarjeta"),-1,1)*S1659,0)+IF(AND(AE1659&lt;&gt;"",COUNTIFS(tcTipo,AE1659,tcLiq,"Sí")&gt;0),S1659,0))</f>
        <v/>
      </c>
      <c r="AI1659" s="52">
        <f>IF(OR(L1659="",P1659=""),"",IF(COUNTIFS(L$6:L1659,L1659,P$6:P1659,"?*")=1,MAX(AI$5:AI1658)+1,""))</f>
        <v/>
      </c>
    </row>
    <row r="1660">
      <c r="B1660" s="47" t="n"/>
      <c r="C1660" s="48" t="n"/>
      <c r="D1660" s="48" t="n"/>
      <c r="E1660" s="48" t="n"/>
      <c r="F1660" s="48" t="n"/>
      <c r="G1660" s="49" t="n"/>
      <c r="H1660" s="48" t="n"/>
      <c r="I1660" s="50" t="n"/>
      <c r="J1660" s="48" t="n"/>
      <c r="K1660" s="48" t="n"/>
      <c r="L1660" s="48" t="n"/>
      <c r="M1660" s="48" t="n"/>
      <c r="N1660" s="48" t="n"/>
      <c r="O1660" s="51">
        <f>IF(AND(B1660="",G1660="",C1660="",D1660="",J1660=""),"",IF(B1660="","⚠ Falta fecha",IF(G1660="","⚠ Falta monto",IF(Q1660="","⚠ Falta cuenta",IF(ISNA(MATCH(Q1660,ctaNombre,0)),"⚠ Cuenta no registrada",IF(AND(OR(P1660="Gasto",P1660="Reembolso"),D1660=""),"⚠ Falta categoría",IF(AND(D1660&lt;&gt;"",E1660&lt;&gt;"",ISNA(MATCH(D1660&amp;"|"&amp;E1660,catClave,0))),"⚠ Subcategoría no corresponde",IF(AND(OR(P1660="Transferencia",P1660="Pago tarjeta"),K1660=""),"⚠ Falta cuenta destino",IF(AND(K1660&lt;&gt;"",P1660&lt;&gt;"Transferencia",P1660&lt;&gt;"Pago tarjeta"),"⚠ Destino solo aplica a transferencias",IF(AND(K1660&lt;&gt;"",K1660=Q1660),"⚠ Origen igual a destino",IF(AND(K1660&lt;&gt;"",ISNA(MATCH(K1660,ctaNombre,0))),"⚠ Destino no registrado",IF(AND(P1660="Pago tarjeta",AE1660&lt;&gt;"Tarjeta de crédito"),"⚠ El destino debe ser tarjeta de crédito",IF(AND(P1660="Gasto",E1660="Depósitos y retiros"),"⚠ Usa tipo Transferencia",IF(AND(P1660="Resultado trading",AD1660&lt;&gt;"Cuenta de trading"),"⚠ Usa una cuenta de trading",IF(AND(G1660&lt;=0,P1660&lt;&gt;"Ajuste",P1660&lt;&gt;"Resultado trading"),"⚠ El monto debe ser positivo","✓")))))))))))))))</f>
        <v/>
      </c>
      <c r="P1660" s="52">
        <f>IF(OR(B1660="",G1660=""),"",IF(C1660="","Gasto",C1660))</f>
        <v/>
      </c>
      <c r="Q1660" s="52">
        <f>IF(P1660="","",IF(J1660&lt;&gt;"",J1660,CuentaPred&amp;""))</f>
        <v/>
      </c>
      <c r="R1660" s="52">
        <f>IF(P1660="","",IF(ISNUMBER(I1660),I1660,TasaUSD))</f>
        <v/>
      </c>
      <c r="S1660" s="53">
        <f>IF(P1660="","",IF(H1660="USD",G1660*R1660,G1660))</f>
        <v/>
      </c>
      <c r="T1660" s="53">
        <f>IF(P1660="","",IF(H1660="USD",G1660,IF(R1660&gt;0,G1660/R1660,0)))</f>
        <v/>
      </c>
      <c r="U1660" s="53">
        <f>IF(P1660="","",IF(P1660="Gasto",S1660,IF(P1660="Reembolso",-S1660,0)))</f>
        <v/>
      </c>
      <c r="V1660" s="53">
        <f>IF(P1660="","",IF(P1660="Ingreso",S1660,0))</f>
        <v/>
      </c>
      <c r="W1660" s="53">
        <f>IF(P1660="","",IF(P1660="Resultado trading",S1660,0))</f>
        <v/>
      </c>
      <c r="X1660" s="52">
        <f>IF(OR(P1660="Gasto",P1660="Reembolso"),IF(M1660&lt;&gt;"",M1660,IFERROR(INDEX(catClasif,MATCH(D1660&amp;"|"&amp;E1660,catClave,0))&amp;"","Variable")),"")</f>
        <v/>
      </c>
      <c r="Y1660" s="52">
        <f>IF(P1660="","",IFERROR(INDEX(catGrupo,MATCH(D1660&amp;"|"&amp;E1660,catClave,0))&amp;"",""))</f>
        <v/>
      </c>
      <c r="Z1660" s="52">
        <f>IF(P1660="","",WEEKDAY(B1660,2))</f>
        <v/>
      </c>
      <c r="AA1660" s="52">
        <f>IF(P1660="","",IF(AND(P1660="Gasto",X1660="Variable",D1660&lt;&gt;catTrading,S1660&gt;0,S1660&lt;=Umbral),1,0))</f>
        <v/>
      </c>
      <c r="AB1660" s="52">
        <f>IF(OR(P1660="",Q1660=""),"",IFERROR(IF(INDEX(ctaVinc,MATCH(Q1660,ctaNombre,0))&amp;""&lt;&gt;"",INDEX(ctaVinc,MATCH(Q1660,ctaNombre,0))&amp;"",Q1660),Q1660))</f>
        <v/>
      </c>
      <c r="AC1660" s="52">
        <f>IF(OR(K1660="",AND(P1660&lt;&gt;"Transferencia",P1660&lt;&gt;"Pago tarjeta")),"",IFERROR(IF(INDEX(ctaVinc,MATCH(K1660,ctaNombre,0))&amp;""&lt;&gt;"",INDEX(ctaVinc,MATCH(K1660,ctaNombre,0))&amp;"",K1660),K1660))</f>
        <v/>
      </c>
      <c r="AD1660" s="52">
        <f>IF(AB1660="","",IFERROR(INDEX(ctaTipo,MATCH(AB1660,ctaNombre,0))&amp;"",""))</f>
        <v/>
      </c>
      <c r="AE1660" s="52">
        <f>IF(AC1660="","",IFERROR(INDEX(ctaTipo,MATCH(AC1660,ctaNombre,0))&amp;"",""))</f>
        <v/>
      </c>
      <c r="AF1660" s="53">
        <f>IF(OR(P1660="",AB1660=""),"",IF(OR(P1660="Gasto",P1660="Transferencia",P1660="Pago tarjeta"),-1,1)*IF(IFERROR(INDEX(ctaMoneda,MATCH(AB1660,ctaNombre,0))&amp;"","DOP")="USD",T1660,S1660))</f>
        <v/>
      </c>
      <c r="AG1660" s="53">
        <f>IF(AC1660="","",IF(IFERROR(INDEX(ctaMoneda,MATCH(AC1660,ctaNombre,0))&amp;"","DOP")="USD",T1660,S1660))</f>
        <v/>
      </c>
      <c r="AH1660" s="53">
        <f>IF(P1660="","",IF(AND(AD1660&lt;&gt;"",COUNTIFS(tcTipo,AD1660,tcLiq,"Sí")&gt;0),IF(OR(P1660="Gasto",P1660="Transferencia",P1660="Pago tarjeta"),-1,1)*S1660,0)+IF(AND(AE1660&lt;&gt;"",COUNTIFS(tcTipo,AE1660,tcLiq,"Sí")&gt;0),S1660,0))</f>
        <v/>
      </c>
      <c r="AI1660" s="52">
        <f>IF(OR(L1660="",P1660=""),"",IF(COUNTIFS(L$6:L1660,L1660,P$6:P1660,"?*")=1,MAX(AI$5:AI1659)+1,""))</f>
        <v/>
      </c>
    </row>
    <row r="1661">
      <c r="B1661" s="47" t="n"/>
      <c r="C1661" s="48" t="n"/>
      <c r="D1661" s="48" t="n"/>
      <c r="E1661" s="48" t="n"/>
      <c r="F1661" s="48" t="n"/>
      <c r="G1661" s="49" t="n"/>
      <c r="H1661" s="48" t="n"/>
      <c r="I1661" s="50" t="n"/>
      <c r="J1661" s="48" t="n"/>
      <c r="K1661" s="48" t="n"/>
      <c r="L1661" s="48" t="n"/>
      <c r="M1661" s="48" t="n"/>
      <c r="N1661" s="48" t="n"/>
      <c r="O1661" s="51">
        <f>IF(AND(B1661="",G1661="",C1661="",D1661="",J1661=""),"",IF(B1661="","⚠ Falta fecha",IF(G1661="","⚠ Falta monto",IF(Q1661="","⚠ Falta cuenta",IF(ISNA(MATCH(Q1661,ctaNombre,0)),"⚠ Cuenta no registrada",IF(AND(OR(P1661="Gasto",P1661="Reembolso"),D1661=""),"⚠ Falta categoría",IF(AND(D1661&lt;&gt;"",E1661&lt;&gt;"",ISNA(MATCH(D1661&amp;"|"&amp;E1661,catClave,0))),"⚠ Subcategoría no corresponde",IF(AND(OR(P1661="Transferencia",P1661="Pago tarjeta"),K1661=""),"⚠ Falta cuenta destino",IF(AND(K1661&lt;&gt;"",P1661&lt;&gt;"Transferencia",P1661&lt;&gt;"Pago tarjeta"),"⚠ Destino solo aplica a transferencias",IF(AND(K1661&lt;&gt;"",K1661=Q1661),"⚠ Origen igual a destino",IF(AND(K1661&lt;&gt;"",ISNA(MATCH(K1661,ctaNombre,0))),"⚠ Destino no registrado",IF(AND(P1661="Pago tarjeta",AE1661&lt;&gt;"Tarjeta de crédito"),"⚠ El destino debe ser tarjeta de crédito",IF(AND(P1661="Gasto",E1661="Depósitos y retiros"),"⚠ Usa tipo Transferencia",IF(AND(P1661="Resultado trading",AD1661&lt;&gt;"Cuenta de trading"),"⚠ Usa una cuenta de trading",IF(AND(G1661&lt;=0,P1661&lt;&gt;"Ajuste",P1661&lt;&gt;"Resultado trading"),"⚠ El monto debe ser positivo","✓")))))))))))))))</f>
        <v/>
      </c>
      <c r="P1661" s="52">
        <f>IF(OR(B1661="",G1661=""),"",IF(C1661="","Gasto",C1661))</f>
        <v/>
      </c>
      <c r="Q1661" s="52">
        <f>IF(P1661="","",IF(J1661&lt;&gt;"",J1661,CuentaPred&amp;""))</f>
        <v/>
      </c>
      <c r="R1661" s="52">
        <f>IF(P1661="","",IF(ISNUMBER(I1661),I1661,TasaUSD))</f>
        <v/>
      </c>
      <c r="S1661" s="53">
        <f>IF(P1661="","",IF(H1661="USD",G1661*R1661,G1661))</f>
        <v/>
      </c>
      <c r="T1661" s="53">
        <f>IF(P1661="","",IF(H1661="USD",G1661,IF(R1661&gt;0,G1661/R1661,0)))</f>
        <v/>
      </c>
      <c r="U1661" s="53">
        <f>IF(P1661="","",IF(P1661="Gasto",S1661,IF(P1661="Reembolso",-S1661,0)))</f>
        <v/>
      </c>
      <c r="V1661" s="53">
        <f>IF(P1661="","",IF(P1661="Ingreso",S1661,0))</f>
        <v/>
      </c>
      <c r="W1661" s="53">
        <f>IF(P1661="","",IF(P1661="Resultado trading",S1661,0))</f>
        <v/>
      </c>
      <c r="X1661" s="52">
        <f>IF(OR(P1661="Gasto",P1661="Reembolso"),IF(M1661&lt;&gt;"",M1661,IFERROR(INDEX(catClasif,MATCH(D1661&amp;"|"&amp;E1661,catClave,0))&amp;"","Variable")),"")</f>
        <v/>
      </c>
      <c r="Y1661" s="52">
        <f>IF(P1661="","",IFERROR(INDEX(catGrupo,MATCH(D1661&amp;"|"&amp;E1661,catClave,0))&amp;"",""))</f>
        <v/>
      </c>
      <c r="Z1661" s="52">
        <f>IF(P1661="","",WEEKDAY(B1661,2))</f>
        <v/>
      </c>
      <c r="AA1661" s="52">
        <f>IF(P1661="","",IF(AND(P1661="Gasto",X1661="Variable",D1661&lt;&gt;catTrading,S1661&gt;0,S1661&lt;=Umbral),1,0))</f>
        <v/>
      </c>
      <c r="AB1661" s="52">
        <f>IF(OR(P1661="",Q1661=""),"",IFERROR(IF(INDEX(ctaVinc,MATCH(Q1661,ctaNombre,0))&amp;""&lt;&gt;"",INDEX(ctaVinc,MATCH(Q1661,ctaNombre,0))&amp;"",Q1661),Q1661))</f>
        <v/>
      </c>
      <c r="AC1661" s="52">
        <f>IF(OR(K1661="",AND(P1661&lt;&gt;"Transferencia",P1661&lt;&gt;"Pago tarjeta")),"",IFERROR(IF(INDEX(ctaVinc,MATCH(K1661,ctaNombre,0))&amp;""&lt;&gt;"",INDEX(ctaVinc,MATCH(K1661,ctaNombre,0))&amp;"",K1661),K1661))</f>
        <v/>
      </c>
      <c r="AD1661" s="52">
        <f>IF(AB1661="","",IFERROR(INDEX(ctaTipo,MATCH(AB1661,ctaNombre,0))&amp;"",""))</f>
        <v/>
      </c>
      <c r="AE1661" s="52">
        <f>IF(AC1661="","",IFERROR(INDEX(ctaTipo,MATCH(AC1661,ctaNombre,0))&amp;"",""))</f>
        <v/>
      </c>
      <c r="AF1661" s="53">
        <f>IF(OR(P1661="",AB1661=""),"",IF(OR(P1661="Gasto",P1661="Transferencia",P1661="Pago tarjeta"),-1,1)*IF(IFERROR(INDEX(ctaMoneda,MATCH(AB1661,ctaNombre,0))&amp;"","DOP")="USD",T1661,S1661))</f>
        <v/>
      </c>
      <c r="AG1661" s="53">
        <f>IF(AC1661="","",IF(IFERROR(INDEX(ctaMoneda,MATCH(AC1661,ctaNombre,0))&amp;"","DOP")="USD",T1661,S1661))</f>
        <v/>
      </c>
      <c r="AH1661" s="53">
        <f>IF(P1661="","",IF(AND(AD1661&lt;&gt;"",COUNTIFS(tcTipo,AD1661,tcLiq,"Sí")&gt;0),IF(OR(P1661="Gasto",P1661="Transferencia",P1661="Pago tarjeta"),-1,1)*S1661,0)+IF(AND(AE1661&lt;&gt;"",COUNTIFS(tcTipo,AE1661,tcLiq,"Sí")&gt;0),S1661,0))</f>
        <v/>
      </c>
      <c r="AI1661" s="52">
        <f>IF(OR(L1661="",P1661=""),"",IF(COUNTIFS(L$6:L1661,L1661,P$6:P1661,"?*")=1,MAX(AI$5:AI1660)+1,""))</f>
        <v/>
      </c>
    </row>
    <row r="1662">
      <c r="B1662" s="47" t="n"/>
      <c r="C1662" s="48" t="n"/>
      <c r="D1662" s="48" t="n"/>
      <c r="E1662" s="48" t="n"/>
      <c r="F1662" s="48" t="n"/>
      <c r="G1662" s="49" t="n"/>
      <c r="H1662" s="48" t="n"/>
      <c r="I1662" s="50" t="n"/>
      <c r="J1662" s="48" t="n"/>
      <c r="K1662" s="48" t="n"/>
      <c r="L1662" s="48" t="n"/>
      <c r="M1662" s="48" t="n"/>
      <c r="N1662" s="48" t="n"/>
      <c r="O1662" s="51">
        <f>IF(AND(B1662="",G1662="",C1662="",D1662="",J1662=""),"",IF(B1662="","⚠ Falta fecha",IF(G1662="","⚠ Falta monto",IF(Q1662="","⚠ Falta cuenta",IF(ISNA(MATCH(Q1662,ctaNombre,0)),"⚠ Cuenta no registrada",IF(AND(OR(P1662="Gasto",P1662="Reembolso"),D1662=""),"⚠ Falta categoría",IF(AND(D1662&lt;&gt;"",E1662&lt;&gt;"",ISNA(MATCH(D1662&amp;"|"&amp;E1662,catClave,0))),"⚠ Subcategoría no corresponde",IF(AND(OR(P1662="Transferencia",P1662="Pago tarjeta"),K1662=""),"⚠ Falta cuenta destino",IF(AND(K1662&lt;&gt;"",P1662&lt;&gt;"Transferencia",P1662&lt;&gt;"Pago tarjeta"),"⚠ Destino solo aplica a transferencias",IF(AND(K1662&lt;&gt;"",K1662=Q1662),"⚠ Origen igual a destino",IF(AND(K1662&lt;&gt;"",ISNA(MATCH(K1662,ctaNombre,0))),"⚠ Destino no registrado",IF(AND(P1662="Pago tarjeta",AE1662&lt;&gt;"Tarjeta de crédito"),"⚠ El destino debe ser tarjeta de crédito",IF(AND(P1662="Gasto",E1662="Depósitos y retiros"),"⚠ Usa tipo Transferencia",IF(AND(P1662="Resultado trading",AD1662&lt;&gt;"Cuenta de trading"),"⚠ Usa una cuenta de trading",IF(AND(G1662&lt;=0,P1662&lt;&gt;"Ajuste",P1662&lt;&gt;"Resultado trading"),"⚠ El monto debe ser positivo","✓")))))))))))))))</f>
        <v/>
      </c>
      <c r="P1662" s="52">
        <f>IF(OR(B1662="",G1662=""),"",IF(C1662="","Gasto",C1662))</f>
        <v/>
      </c>
      <c r="Q1662" s="52">
        <f>IF(P1662="","",IF(J1662&lt;&gt;"",J1662,CuentaPred&amp;""))</f>
        <v/>
      </c>
      <c r="R1662" s="52">
        <f>IF(P1662="","",IF(ISNUMBER(I1662),I1662,TasaUSD))</f>
        <v/>
      </c>
      <c r="S1662" s="53">
        <f>IF(P1662="","",IF(H1662="USD",G1662*R1662,G1662))</f>
        <v/>
      </c>
      <c r="T1662" s="53">
        <f>IF(P1662="","",IF(H1662="USD",G1662,IF(R1662&gt;0,G1662/R1662,0)))</f>
        <v/>
      </c>
      <c r="U1662" s="53">
        <f>IF(P1662="","",IF(P1662="Gasto",S1662,IF(P1662="Reembolso",-S1662,0)))</f>
        <v/>
      </c>
      <c r="V1662" s="53">
        <f>IF(P1662="","",IF(P1662="Ingreso",S1662,0))</f>
        <v/>
      </c>
      <c r="W1662" s="53">
        <f>IF(P1662="","",IF(P1662="Resultado trading",S1662,0))</f>
        <v/>
      </c>
      <c r="X1662" s="52">
        <f>IF(OR(P1662="Gasto",P1662="Reembolso"),IF(M1662&lt;&gt;"",M1662,IFERROR(INDEX(catClasif,MATCH(D1662&amp;"|"&amp;E1662,catClave,0))&amp;"","Variable")),"")</f>
        <v/>
      </c>
      <c r="Y1662" s="52">
        <f>IF(P1662="","",IFERROR(INDEX(catGrupo,MATCH(D1662&amp;"|"&amp;E1662,catClave,0))&amp;"",""))</f>
        <v/>
      </c>
      <c r="Z1662" s="52">
        <f>IF(P1662="","",WEEKDAY(B1662,2))</f>
        <v/>
      </c>
      <c r="AA1662" s="52">
        <f>IF(P1662="","",IF(AND(P1662="Gasto",X1662="Variable",D1662&lt;&gt;catTrading,S1662&gt;0,S1662&lt;=Umbral),1,0))</f>
        <v/>
      </c>
      <c r="AB1662" s="52">
        <f>IF(OR(P1662="",Q1662=""),"",IFERROR(IF(INDEX(ctaVinc,MATCH(Q1662,ctaNombre,0))&amp;""&lt;&gt;"",INDEX(ctaVinc,MATCH(Q1662,ctaNombre,0))&amp;"",Q1662),Q1662))</f>
        <v/>
      </c>
      <c r="AC1662" s="52">
        <f>IF(OR(K1662="",AND(P1662&lt;&gt;"Transferencia",P1662&lt;&gt;"Pago tarjeta")),"",IFERROR(IF(INDEX(ctaVinc,MATCH(K1662,ctaNombre,0))&amp;""&lt;&gt;"",INDEX(ctaVinc,MATCH(K1662,ctaNombre,0))&amp;"",K1662),K1662))</f>
        <v/>
      </c>
      <c r="AD1662" s="52">
        <f>IF(AB1662="","",IFERROR(INDEX(ctaTipo,MATCH(AB1662,ctaNombre,0))&amp;"",""))</f>
        <v/>
      </c>
      <c r="AE1662" s="52">
        <f>IF(AC1662="","",IFERROR(INDEX(ctaTipo,MATCH(AC1662,ctaNombre,0))&amp;"",""))</f>
        <v/>
      </c>
      <c r="AF1662" s="53">
        <f>IF(OR(P1662="",AB1662=""),"",IF(OR(P1662="Gasto",P1662="Transferencia",P1662="Pago tarjeta"),-1,1)*IF(IFERROR(INDEX(ctaMoneda,MATCH(AB1662,ctaNombre,0))&amp;"","DOP")="USD",T1662,S1662))</f>
        <v/>
      </c>
      <c r="AG1662" s="53">
        <f>IF(AC1662="","",IF(IFERROR(INDEX(ctaMoneda,MATCH(AC1662,ctaNombre,0))&amp;"","DOP")="USD",T1662,S1662))</f>
        <v/>
      </c>
      <c r="AH1662" s="53">
        <f>IF(P1662="","",IF(AND(AD1662&lt;&gt;"",COUNTIFS(tcTipo,AD1662,tcLiq,"Sí")&gt;0),IF(OR(P1662="Gasto",P1662="Transferencia",P1662="Pago tarjeta"),-1,1)*S1662,0)+IF(AND(AE1662&lt;&gt;"",COUNTIFS(tcTipo,AE1662,tcLiq,"Sí")&gt;0),S1662,0))</f>
        <v/>
      </c>
      <c r="AI1662" s="52">
        <f>IF(OR(L1662="",P1662=""),"",IF(COUNTIFS(L$6:L1662,L1662,P$6:P1662,"?*")=1,MAX(AI$5:AI1661)+1,""))</f>
        <v/>
      </c>
    </row>
    <row r="1663">
      <c r="B1663" s="47" t="n"/>
      <c r="C1663" s="48" t="n"/>
      <c r="D1663" s="48" t="n"/>
      <c r="E1663" s="48" t="n"/>
      <c r="F1663" s="48" t="n"/>
      <c r="G1663" s="49" t="n"/>
      <c r="H1663" s="48" t="n"/>
      <c r="I1663" s="50" t="n"/>
      <c r="J1663" s="48" t="n"/>
      <c r="K1663" s="48" t="n"/>
      <c r="L1663" s="48" t="n"/>
      <c r="M1663" s="48" t="n"/>
      <c r="N1663" s="48" t="n"/>
      <c r="O1663" s="51">
        <f>IF(AND(B1663="",G1663="",C1663="",D1663="",J1663=""),"",IF(B1663="","⚠ Falta fecha",IF(G1663="","⚠ Falta monto",IF(Q1663="","⚠ Falta cuenta",IF(ISNA(MATCH(Q1663,ctaNombre,0)),"⚠ Cuenta no registrada",IF(AND(OR(P1663="Gasto",P1663="Reembolso"),D1663=""),"⚠ Falta categoría",IF(AND(D1663&lt;&gt;"",E1663&lt;&gt;"",ISNA(MATCH(D1663&amp;"|"&amp;E1663,catClave,0))),"⚠ Subcategoría no corresponde",IF(AND(OR(P1663="Transferencia",P1663="Pago tarjeta"),K1663=""),"⚠ Falta cuenta destino",IF(AND(K1663&lt;&gt;"",P1663&lt;&gt;"Transferencia",P1663&lt;&gt;"Pago tarjeta"),"⚠ Destino solo aplica a transferencias",IF(AND(K1663&lt;&gt;"",K1663=Q1663),"⚠ Origen igual a destino",IF(AND(K1663&lt;&gt;"",ISNA(MATCH(K1663,ctaNombre,0))),"⚠ Destino no registrado",IF(AND(P1663="Pago tarjeta",AE1663&lt;&gt;"Tarjeta de crédito"),"⚠ El destino debe ser tarjeta de crédito",IF(AND(P1663="Gasto",E1663="Depósitos y retiros"),"⚠ Usa tipo Transferencia",IF(AND(P1663="Resultado trading",AD1663&lt;&gt;"Cuenta de trading"),"⚠ Usa una cuenta de trading",IF(AND(G1663&lt;=0,P1663&lt;&gt;"Ajuste",P1663&lt;&gt;"Resultado trading"),"⚠ El monto debe ser positivo","✓")))))))))))))))</f>
        <v/>
      </c>
      <c r="P1663" s="52">
        <f>IF(OR(B1663="",G1663=""),"",IF(C1663="","Gasto",C1663))</f>
        <v/>
      </c>
      <c r="Q1663" s="52">
        <f>IF(P1663="","",IF(J1663&lt;&gt;"",J1663,CuentaPred&amp;""))</f>
        <v/>
      </c>
      <c r="R1663" s="52">
        <f>IF(P1663="","",IF(ISNUMBER(I1663),I1663,TasaUSD))</f>
        <v/>
      </c>
      <c r="S1663" s="53">
        <f>IF(P1663="","",IF(H1663="USD",G1663*R1663,G1663))</f>
        <v/>
      </c>
      <c r="T1663" s="53">
        <f>IF(P1663="","",IF(H1663="USD",G1663,IF(R1663&gt;0,G1663/R1663,0)))</f>
        <v/>
      </c>
      <c r="U1663" s="53">
        <f>IF(P1663="","",IF(P1663="Gasto",S1663,IF(P1663="Reembolso",-S1663,0)))</f>
        <v/>
      </c>
      <c r="V1663" s="53">
        <f>IF(P1663="","",IF(P1663="Ingreso",S1663,0))</f>
        <v/>
      </c>
      <c r="W1663" s="53">
        <f>IF(P1663="","",IF(P1663="Resultado trading",S1663,0))</f>
        <v/>
      </c>
      <c r="X1663" s="52">
        <f>IF(OR(P1663="Gasto",P1663="Reembolso"),IF(M1663&lt;&gt;"",M1663,IFERROR(INDEX(catClasif,MATCH(D1663&amp;"|"&amp;E1663,catClave,0))&amp;"","Variable")),"")</f>
        <v/>
      </c>
      <c r="Y1663" s="52">
        <f>IF(P1663="","",IFERROR(INDEX(catGrupo,MATCH(D1663&amp;"|"&amp;E1663,catClave,0))&amp;"",""))</f>
        <v/>
      </c>
      <c r="Z1663" s="52">
        <f>IF(P1663="","",WEEKDAY(B1663,2))</f>
        <v/>
      </c>
      <c r="AA1663" s="52">
        <f>IF(P1663="","",IF(AND(P1663="Gasto",X1663="Variable",D1663&lt;&gt;catTrading,S1663&gt;0,S1663&lt;=Umbral),1,0))</f>
        <v/>
      </c>
      <c r="AB1663" s="52">
        <f>IF(OR(P1663="",Q1663=""),"",IFERROR(IF(INDEX(ctaVinc,MATCH(Q1663,ctaNombre,0))&amp;""&lt;&gt;"",INDEX(ctaVinc,MATCH(Q1663,ctaNombre,0))&amp;"",Q1663),Q1663))</f>
        <v/>
      </c>
      <c r="AC1663" s="52">
        <f>IF(OR(K1663="",AND(P1663&lt;&gt;"Transferencia",P1663&lt;&gt;"Pago tarjeta")),"",IFERROR(IF(INDEX(ctaVinc,MATCH(K1663,ctaNombre,0))&amp;""&lt;&gt;"",INDEX(ctaVinc,MATCH(K1663,ctaNombre,0))&amp;"",K1663),K1663))</f>
        <v/>
      </c>
      <c r="AD1663" s="52">
        <f>IF(AB1663="","",IFERROR(INDEX(ctaTipo,MATCH(AB1663,ctaNombre,0))&amp;"",""))</f>
        <v/>
      </c>
      <c r="AE1663" s="52">
        <f>IF(AC1663="","",IFERROR(INDEX(ctaTipo,MATCH(AC1663,ctaNombre,0))&amp;"",""))</f>
        <v/>
      </c>
      <c r="AF1663" s="53">
        <f>IF(OR(P1663="",AB1663=""),"",IF(OR(P1663="Gasto",P1663="Transferencia",P1663="Pago tarjeta"),-1,1)*IF(IFERROR(INDEX(ctaMoneda,MATCH(AB1663,ctaNombre,0))&amp;"","DOP")="USD",T1663,S1663))</f>
        <v/>
      </c>
      <c r="AG1663" s="53">
        <f>IF(AC1663="","",IF(IFERROR(INDEX(ctaMoneda,MATCH(AC1663,ctaNombre,0))&amp;"","DOP")="USD",T1663,S1663))</f>
        <v/>
      </c>
      <c r="AH1663" s="53">
        <f>IF(P1663="","",IF(AND(AD1663&lt;&gt;"",COUNTIFS(tcTipo,AD1663,tcLiq,"Sí")&gt;0),IF(OR(P1663="Gasto",P1663="Transferencia",P1663="Pago tarjeta"),-1,1)*S1663,0)+IF(AND(AE1663&lt;&gt;"",COUNTIFS(tcTipo,AE1663,tcLiq,"Sí")&gt;0),S1663,0))</f>
        <v/>
      </c>
      <c r="AI1663" s="52">
        <f>IF(OR(L1663="",P1663=""),"",IF(COUNTIFS(L$6:L1663,L1663,P$6:P1663,"?*")=1,MAX(AI$5:AI1662)+1,""))</f>
        <v/>
      </c>
    </row>
    <row r="1664">
      <c r="B1664" s="47" t="n"/>
      <c r="C1664" s="48" t="n"/>
      <c r="D1664" s="48" t="n"/>
      <c r="E1664" s="48" t="n"/>
      <c r="F1664" s="48" t="n"/>
      <c r="G1664" s="49" t="n"/>
      <c r="H1664" s="48" t="n"/>
      <c r="I1664" s="50" t="n"/>
      <c r="J1664" s="48" t="n"/>
      <c r="K1664" s="48" t="n"/>
      <c r="L1664" s="48" t="n"/>
      <c r="M1664" s="48" t="n"/>
      <c r="N1664" s="48" t="n"/>
      <c r="O1664" s="51">
        <f>IF(AND(B1664="",G1664="",C1664="",D1664="",J1664=""),"",IF(B1664="","⚠ Falta fecha",IF(G1664="","⚠ Falta monto",IF(Q1664="","⚠ Falta cuenta",IF(ISNA(MATCH(Q1664,ctaNombre,0)),"⚠ Cuenta no registrada",IF(AND(OR(P1664="Gasto",P1664="Reembolso"),D1664=""),"⚠ Falta categoría",IF(AND(D1664&lt;&gt;"",E1664&lt;&gt;"",ISNA(MATCH(D1664&amp;"|"&amp;E1664,catClave,0))),"⚠ Subcategoría no corresponde",IF(AND(OR(P1664="Transferencia",P1664="Pago tarjeta"),K1664=""),"⚠ Falta cuenta destino",IF(AND(K1664&lt;&gt;"",P1664&lt;&gt;"Transferencia",P1664&lt;&gt;"Pago tarjeta"),"⚠ Destino solo aplica a transferencias",IF(AND(K1664&lt;&gt;"",K1664=Q1664),"⚠ Origen igual a destino",IF(AND(K1664&lt;&gt;"",ISNA(MATCH(K1664,ctaNombre,0))),"⚠ Destino no registrado",IF(AND(P1664="Pago tarjeta",AE1664&lt;&gt;"Tarjeta de crédito"),"⚠ El destino debe ser tarjeta de crédito",IF(AND(P1664="Gasto",E1664="Depósitos y retiros"),"⚠ Usa tipo Transferencia",IF(AND(P1664="Resultado trading",AD1664&lt;&gt;"Cuenta de trading"),"⚠ Usa una cuenta de trading",IF(AND(G1664&lt;=0,P1664&lt;&gt;"Ajuste",P1664&lt;&gt;"Resultado trading"),"⚠ El monto debe ser positivo","✓")))))))))))))))</f>
        <v/>
      </c>
      <c r="P1664" s="52">
        <f>IF(OR(B1664="",G1664=""),"",IF(C1664="","Gasto",C1664))</f>
        <v/>
      </c>
      <c r="Q1664" s="52">
        <f>IF(P1664="","",IF(J1664&lt;&gt;"",J1664,CuentaPred&amp;""))</f>
        <v/>
      </c>
      <c r="R1664" s="52">
        <f>IF(P1664="","",IF(ISNUMBER(I1664),I1664,TasaUSD))</f>
        <v/>
      </c>
      <c r="S1664" s="53">
        <f>IF(P1664="","",IF(H1664="USD",G1664*R1664,G1664))</f>
        <v/>
      </c>
      <c r="T1664" s="53">
        <f>IF(P1664="","",IF(H1664="USD",G1664,IF(R1664&gt;0,G1664/R1664,0)))</f>
        <v/>
      </c>
      <c r="U1664" s="53">
        <f>IF(P1664="","",IF(P1664="Gasto",S1664,IF(P1664="Reembolso",-S1664,0)))</f>
        <v/>
      </c>
      <c r="V1664" s="53">
        <f>IF(P1664="","",IF(P1664="Ingreso",S1664,0))</f>
        <v/>
      </c>
      <c r="W1664" s="53">
        <f>IF(P1664="","",IF(P1664="Resultado trading",S1664,0))</f>
        <v/>
      </c>
      <c r="X1664" s="52">
        <f>IF(OR(P1664="Gasto",P1664="Reembolso"),IF(M1664&lt;&gt;"",M1664,IFERROR(INDEX(catClasif,MATCH(D1664&amp;"|"&amp;E1664,catClave,0))&amp;"","Variable")),"")</f>
        <v/>
      </c>
      <c r="Y1664" s="52">
        <f>IF(P1664="","",IFERROR(INDEX(catGrupo,MATCH(D1664&amp;"|"&amp;E1664,catClave,0))&amp;"",""))</f>
        <v/>
      </c>
      <c r="Z1664" s="52">
        <f>IF(P1664="","",WEEKDAY(B1664,2))</f>
        <v/>
      </c>
      <c r="AA1664" s="52">
        <f>IF(P1664="","",IF(AND(P1664="Gasto",X1664="Variable",D1664&lt;&gt;catTrading,S1664&gt;0,S1664&lt;=Umbral),1,0))</f>
        <v/>
      </c>
      <c r="AB1664" s="52">
        <f>IF(OR(P1664="",Q1664=""),"",IFERROR(IF(INDEX(ctaVinc,MATCH(Q1664,ctaNombre,0))&amp;""&lt;&gt;"",INDEX(ctaVinc,MATCH(Q1664,ctaNombre,0))&amp;"",Q1664),Q1664))</f>
        <v/>
      </c>
      <c r="AC1664" s="52">
        <f>IF(OR(K1664="",AND(P1664&lt;&gt;"Transferencia",P1664&lt;&gt;"Pago tarjeta")),"",IFERROR(IF(INDEX(ctaVinc,MATCH(K1664,ctaNombre,0))&amp;""&lt;&gt;"",INDEX(ctaVinc,MATCH(K1664,ctaNombre,0))&amp;"",K1664),K1664))</f>
        <v/>
      </c>
      <c r="AD1664" s="52">
        <f>IF(AB1664="","",IFERROR(INDEX(ctaTipo,MATCH(AB1664,ctaNombre,0))&amp;"",""))</f>
        <v/>
      </c>
      <c r="AE1664" s="52">
        <f>IF(AC1664="","",IFERROR(INDEX(ctaTipo,MATCH(AC1664,ctaNombre,0))&amp;"",""))</f>
        <v/>
      </c>
      <c r="AF1664" s="53">
        <f>IF(OR(P1664="",AB1664=""),"",IF(OR(P1664="Gasto",P1664="Transferencia",P1664="Pago tarjeta"),-1,1)*IF(IFERROR(INDEX(ctaMoneda,MATCH(AB1664,ctaNombre,0))&amp;"","DOP")="USD",T1664,S1664))</f>
        <v/>
      </c>
      <c r="AG1664" s="53">
        <f>IF(AC1664="","",IF(IFERROR(INDEX(ctaMoneda,MATCH(AC1664,ctaNombre,0))&amp;"","DOP")="USD",T1664,S1664))</f>
        <v/>
      </c>
      <c r="AH1664" s="53">
        <f>IF(P1664="","",IF(AND(AD1664&lt;&gt;"",COUNTIFS(tcTipo,AD1664,tcLiq,"Sí")&gt;0),IF(OR(P1664="Gasto",P1664="Transferencia",P1664="Pago tarjeta"),-1,1)*S1664,0)+IF(AND(AE1664&lt;&gt;"",COUNTIFS(tcTipo,AE1664,tcLiq,"Sí")&gt;0),S1664,0))</f>
        <v/>
      </c>
      <c r="AI1664" s="52">
        <f>IF(OR(L1664="",P1664=""),"",IF(COUNTIFS(L$6:L1664,L1664,P$6:P1664,"?*")=1,MAX(AI$5:AI1663)+1,""))</f>
        <v/>
      </c>
    </row>
    <row r="1665">
      <c r="B1665" s="47" t="n"/>
      <c r="C1665" s="48" t="n"/>
      <c r="D1665" s="48" t="n"/>
      <c r="E1665" s="48" t="n"/>
      <c r="F1665" s="48" t="n"/>
      <c r="G1665" s="49" t="n"/>
      <c r="H1665" s="48" t="n"/>
      <c r="I1665" s="50" t="n"/>
      <c r="J1665" s="48" t="n"/>
      <c r="K1665" s="48" t="n"/>
      <c r="L1665" s="48" t="n"/>
      <c r="M1665" s="48" t="n"/>
      <c r="N1665" s="48" t="n"/>
      <c r="O1665" s="51">
        <f>IF(AND(B1665="",G1665="",C1665="",D1665="",J1665=""),"",IF(B1665="","⚠ Falta fecha",IF(G1665="","⚠ Falta monto",IF(Q1665="","⚠ Falta cuenta",IF(ISNA(MATCH(Q1665,ctaNombre,0)),"⚠ Cuenta no registrada",IF(AND(OR(P1665="Gasto",P1665="Reembolso"),D1665=""),"⚠ Falta categoría",IF(AND(D1665&lt;&gt;"",E1665&lt;&gt;"",ISNA(MATCH(D1665&amp;"|"&amp;E1665,catClave,0))),"⚠ Subcategoría no corresponde",IF(AND(OR(P1665="Transferencia",P1665="Pago tarjeta"),K1665=""),"⚠ Falta cuenta destino",IF(AND(K1665&lt;&gt;"",P1665&lt;&gt;"Transferencia",P1665&lt;&gt;"Pago tarjeta"),"⚠ Destino solo aplica a transferencias",IF(AND(K1665&lt;&gt;"",K1665=Q1665),"⚠ Origen igual a destino",IF(AND(K1665&lt;&gt;"",ISNA(MATCH(K1665,ctaNombre,0))),"⚠ Destino no registrado",IF(AND(P1665="Pago tarjeta",AE1665&lt;&gt;"Tarjeta de crédito"),"⚠ El destino debe ser tarjeta de crédito",IF(AND(P1665="Gasto",E1665="Depósitos y retiros"),"⚠ Usa tipo Transferencia",IF(AND(P1665="Resultado trading",AD1665&lt;&gt;"Cuenta de trading"),"⚠ Usa una cuenta de trading",IF(AND(G1665&lt;=0,P1665&lt;&gt;"Ajuste",P1665&lt;&gt;"Resultado trading"),"⚠ El monto debe ser positivo","✓")))))))))))))))</f>
        <v/>
      </c>
      <c r="P1665" s="52">
        <f>IF(OR(B1665="",G1665=""),"",IF(C1665="","Gasto",C1665))</f>
        <v/>
      </c>
      <c r="Q1665" s="52">
        <f>IF(P1665="","",IF(J1665&lt;&gt;"",J1665,CuentaPred&amp;""))</f>
        <v/>
      </c>
      <c r="R1665" s="52">
        <f>IF(P1665="","",IF(ISNUMBER(I1665),I1665,TasaUSD))</f>
        <v/>
      </c>
      <c r="S1665" s="53">
        <f>IF(P1665="","",IF(H1665="USD",G1665*R1665,G1665))</f>
        <v/>
      </c>
      <c r="T1665" s="53">
        <f>IF(P1665="","",IF(H1665="USD",G1665,IF(R1665&gt;0,G1665/R1665,0)))</f>
        <v/>
      </c>
      <c r="U1665" s="53">
        <f>IF(P1665="","",IF(P1665="Gasto",S1665,IF(P1665="Reembolso",-S1665,0)))</f>
        <v/>
      </c>
      <c r="V1665" s="53">
        <f>IF(P1665="","",IF(P1665="Ingreso",S1665,0))</f>
        <v/>
      </c>
      <c r="W1665" s="53">
        <f>IF(P1665="","",IF(P1665="Resultado trading",S1665,0))</f>
        <v/>
      </c>
      <c r="X1665" s="52">
        <f>IF(OR(P1665="Gasto",P1665="Reembolso"),IF(M1665&lt;&gt;"",M1665,IFERROR(INDEX(catClasif,MATCH(D1665&amp;"|"&amp;E1665,catClave,0))&amp;"","Variable")),"")</f>
        <v/>
      </c>
      <c r="Y1665" s="52">
        <f>IF(P1665="","",IFERROR(INDEX(catGrupo,MATCH(D1665&amp;"|"&amp;E1665,catClave,0))&amp;"",""))</f>
        <v/>
      </c>
      <c r="Z1665" s="52">
        <f>IF(P1665="","",WEEKDAY(B1665,2))</f>
        <v/>
      </c>
      <c r="AA1665" s="52">
        <f>IF(P1665="","",IF(AND(P1665="Gasto",X1665="Variable",D1665&lt;&gt;catTrading,S1665&gt;0,S1665&lt;=Umbral),1,0))</f>
        <v/>
      </c>
      <c r="AB1665" s="52">
        <f>IF(OR(P1665="",Q1665=""),"",IFERROR(IF(INDEX(ctaVinc,MATCH(Q1665,ctaNombre,0))&amp;""&lt;&gt;"",INDEX(ctaVinc,MATCH(Q1665,ctaNombre,0))&amp;"",Q1665),Q1665))</f>
        <v/>
      </c>
      <c r="AC1665" s="52">
        <f>IF(OR(K1665="",AND(P1665&lt;&gt;"Transferencia",P1665&lt;&gt;"Pago tarjeta")),"",IFERROR(IF(INDEX(ctaVinc,MATCH(K1665,ctaNombre,0))&amp;""&lt;&gt;"",INDEX(ctaVinc,MATCH(K1665,ctaNombre,0))&amp;"",K1665),K1665))</f>
        <v/>
      </c>
      <c r="AD1665" s="52">
        <f>IF(AB1665="","",IFERROR(INDEX(ctaTipo,MATCH(AB1665,ctaNombre,0))&amp;"",""))</f>
        <v/>
      </c>
      <c r="AE1665" s="52">
        <f>IF(AC1665="","",IFERROR(INDEX(ctaTipo,MATCH(AC1665,ctaNombre,0))&amp;"",""))</f>
        <v/>
      </c>
      <c r="AF1665" s="53">
        <f>IF(OR(P1665="",AB1665=""),"",IF(OR(P1665="Gasto",P1665="Transferencia",P1665="Pago tarjeta"),-1,1)*IF(IFERROR(INDEX(ctaMoneda,MATCH(AB1665,ctaNombre,0))&amp;"","DOP")="USD",T1665,S1665))</f>
        <v/>
      </c>
      <c r="AG1665" s="53">
        <f>IF(AC1665="","",IF(IFERROR(INDEX(ctaMoneda,MATCH(AC1665,ctaNombre,0))&amp;"","DOP")="USD",T1665,S1665))</f>
        <v/>
      </c>
      <c r="AH1665" s="53">
        <f>IF(P1665="","",IF(AND(AD1665&lt;&gt;"",COUNTIFS(tcTipo,AD1665,tcLiq,"Sí")&gt;0),IF(OR(P1665="Gasto",P1665="Transferencia",P1665="Pago tarjeta"),-1,1)*S1665,0)+IF(AND(AE1665&lt;&gt;"",COUNTIFS(tcTipo,AE1665,tcLiq,"Sí")&gt;0),S1665,0))</f>
        <v/>
      </c>
      <c r="AI1665" s="52">
        <f>IF(OR(L1665="",P1665=""),"",IF(COUNTIFS(L$6:L1665,L1665,P$6:P1665,"?*")=1,MAX(AI$5:AI1664)+1,""))</f>
        <v/>
      </c>
    </row>
    <row r="1666">
      <c r="B1666" s="47" t="n"/>
      <c r="C1666" s="48" t="n"/>
      <c r="D1666" s="48" t="n"/>
      <c r="E1666" s="48" t="n"/>
      <c r="F1666" s="48" t="n"/>
      <c r="G1666" s="49" t="n"/>
      <c r="H1666" s="48" t="n"/>
      <c r="I1666" s="50" t="n"/>
      <c r="J1666" s="48" t="n"/>
      <c r="K1666" s="48" t="n"/>
      <c r="L1666" s="48" t="n"/>
      <c r="M1666" s="48" t="n"/>
      <c r="N1666" s="48" t="n"/>
      <c r="O1666" s="51">
        <f>IF(AND(B1666="",G1666="",C1666="",D1666="",J1666=""),"",IF(B1666="","⚠ Falta fecha",IF(G1666="","⚠ Falta monto",IF(Q1666="","⚠ Falta cuenta",IF(ISNA(MATCH(Q1666,ctaNombre,0)),"⚠ Cuenta no registrada",IF(AND(OR(P1666="Gasto",P1666="Reembolso"),D1666=""),"⚠ Falta categoría",IF(AND(D1666&lt;&gt;"",E1666&lt;&gt;"",ISNA(MATCH(D1666&amp;"|"&amp;E1666,catClave,0))),"⚠ Subcategoría no corresponde",IF(AND(OR(P1666="Transferencia",P1666="Pago tarjeta"),K1666=""),"⚠ Falta cuenta destino",IF(AND(K1666&lt;&gt;"",P1666&lt;&gt;"Transferencia",P1666&lt;&gt;"Pago tarjeta"),"⚠ Destino solo aplica a transferencias",IF(AND(K1666&lt;&gt;"",K1666=Q1666),"⚠ Origen igual a destino",IF(AND(K1666&lt;&gt;"",ISNA(MATCH(K1666,ctaNombre,0))),"⚠ Destino no registrado",IF(AND(P1666="Pago tarjeta",AE1666&lt;&gt;"Tarjeta de crédito"),"⚠ El destino debe ser tarjeta de crédito",IF(AND(P1666="Gasto",E1666="Depósitos y retiros"),"⚠ Usa tipo Transferencia",IF(AND(P1666="Resultado trading",AD1666&lt;&gt;"Cuenta de trading"),"⚠ Usa una cuenta de trading",IF(AND(G1666&lt;=0,P1666&lt;&gt;"Ajuste",P1666&lt;&gt;"Resultado trading"),"⚠ El monto debe ser positivo","✓")))))))))))))))</f>
        <v/>
      </c>
      <c r="P1666" s="52">
        <f>IF(OR(B1666="",G1666=""),"",IF(C1666="","Gasto",C1666))</f>
        <v/>
      </c>
      <c r="Q1666" s="52">
        <f>IF(P1666="","",IF(J1666&lt;&gt;"",J1666,CuentaPred&amp;""))</f>
        <v/>
      </c>
      <c r="R1666" s="52">
        <f>IF(P1666="","",IF(ISNUMBER(I1666),I1666,TasaUSD))</f>
        <v/>
      </c>
      <c r="S1666" s="53">
        <f>IF(P1666="","",IF(H1666="USD",G1666*R1666,G1666))</f>
        <v/>
      </c>
      <c r="T1666" s="53">
        <f>IF(P1666="","",IF(H1666="USD",G1666,IF(R1666&gt;0,G1666/R1666,0)))</f>
        <v/>
      </c>
      <c r="U1666" s="53">
        <f>IF(P1666="","",IF(P1666="Gasto",S1666,IF(P1666="Reembolso",-S1666,0)))</f>
        <v/>
      </c>
      <c r="V1666" s="53">
        <f>IF(P1666="","",IF(P1666="Ingreso",S1666,0))</f>
        <v/>
      </c>
      <c r="W1666" s="53">
        <f>IF(P1666="","",IF(P1666="Resultado trading",S1666,0))</f>
        <v/>
      </c>
      <c r="X1666" s="52">
        <f>IF(OR(P1666="Gasto",P1666="Reembolso"),IF(M1666&lt;&gt;"",M1666,IFERROR(INDEX(catClasif,MATCH(D1666&amp;"|"&amp;E1666,catClave,0))&amp;"","Variable")),"")</f>
        <v/>
      </c>
      <c r="Y1666" s="52">
        <f>IF(P1666="","",IFERROR(INDEX(catGrupo,MATCH(D1666&amp;"|"&amp;E1666,catClave,0))&amp;"",""))</f>
        <v/>
      </c>
      <c r="Z1666" s="52">
        <f>IF(P1666="","",WEEKDAY(B1666,2))</f>
        <v/>
      </c>
      <c r="AA1666" s="52">
        <f>IF(P1666="","",IF(AND(P1666="Gasto",X1666="Variable",D1666&lt;&gt;catTrading,S1666&gt;0,S1666&lt;=Umbral),1,0))</f>
        <v/>
      </c>
      <c r="AB1666" s="52">
        <f>IF(OR(P1666="",Q1666=""),"",IFERROR(IF(INDEX(ctaVinc,MATCH(Q1666,ctaNombre,0))&amp;""&lt;&gt;"",INDEX(ctaVinc,MATCH(Q1666,ctaNombre,0))&amp;"",Q1666),Q1666))</f>
        <v/>
      </c>
      <c r="AC1666" s="52">
        <f>IF(OR(K1666="",AND(P1666&lt;&gt;"Transferencia",P1666&lt;&gt;"Pago tarjeta")),"",IFERROR(IF(INDEX(ctaVinc,MATCH(K1666,ctaNombre,0))&amp;""&lt;&gt;"",INDEX(ctaVinc,MATCH(K1666,ctaNombre,0))&amp;"",K1666),K1666))</f>
        <v/>
      </c>
      <c r="AD1666" s="52">
        <f>IF(AB1666="","",IFERROR(INDEX(ctaTipo,MATCH(AB1666,ctaNombre,0))&amp;"",""))</f>
        <v/>
      </c>
      <c r="AE1666" s="52">
        <f>IF(AC1666="","",IFERROR(INDEX(ctaTipo,MATCH(AC1666,ctaNombre,0))&amp;"",""))</f>
        <v/>
      </c>
      <c r="AF1666" s="53">
        <f>IF(OR(P1666="",AB1666=""),"",IF(OR(P1666="Gasto",P1666="Transferencia",P1666="Pago tarjeta"),-1,1)*IF(IFERROR(INDEX(ctaMoneda,MATCH(AB1666,ctaNombre,0))&amp;"","DOP")="USD",T1666,S1666))</f>
        <v/>
      </c>
      <c r="AG1666" s="53">
        <f>IF(AC1666="","",IF(IFERROR(INDEX(ctaMoneda,MATCH(AC1666,ctaNombre,0))&amp;"","DOP")="USD",T1666,S1666))</f>
        <v/>
      </c>
      <c r="AH1666" s="53">
        <f>IF(P1666="","",IF(AND(AD1666&lt;&gt;"",COUNTIFS(tcTipo,AD1666,tcLiq,"Sí")&gt;0),IF(OR(P1666="Gasto",P1666="Transferencia",P1666="Pago tarjeta"),-1,1)*S1666,0)+IF(AND(AE1666&lt;&gt;"",COUNTIFS(tcTipo,AE1666,tcLiq,"Sí")&gt;0),S1666,0))</f>
        <v/>
      </c>
      <c r="AI1666" s="52">
        <f>IF(OR(L1666="",P1666=""),"",IF(COUNTIFS(L$6:L1666,L1666,P$6:P1666,"?*")=1,MAX(AI$5:AI1665)+1,""))</f>
        <v/>
      </c>
    </row>
    <row r="1667">
      <c r="B1667" s="47" t="n"/>
      <c r="C1667" s="48" t="n"/>
      <c r="D1667" s="48" t="n"/>
      <c r="E1667" s="48" t="n"/>
      <c r="F1667" s="48" t="n"/>
      <c r="G1667" s="49" t="n"/>
      <c r="H1667" s="48" t="n"/>
      <c r="I1667" s="50" t="n"/>
      <c r="J1667" s="48" t="n"/>
      <c r="K1667" s="48" t="n"/>
      <c r="L1667" s="48" t="n"/>
      <c r="M1667" s="48" t="n"/>
      <c r="N1667" s="48" t="n"/>
      <c r="O1667" s="51">
        <f>IF(AND(B1667="",G1667="",C1667="",D1667="",J1667=""),"",IF(B1667="","⚠ Falta fecha",IF(G1667="","⚠ Falta monto",IF(Q1667="","⚠ Falta cuenta",IF(ISNA(MATCH(Q1667,ctaNombre,0)),"⚠ Cuenta no registrada",IF(AND(OR(P1667="Gasto",P1667="Reembolso"),D1667=""),"⚠ Falta categoría",IF(AND(D1667&lt;&gt;"",E1667&lt;&gt;"",ISNA(MATCH(D1667&amp;"|"&amp;E1667,catClave,0))),"⚠ Subcategoría no corresponde",IF(AND(OR(P1667="Transferencia",P1667="Pago tarjeta"),K1667=""),"⚠ Falta cuenta destino",IF(AND(K1667&lt;&gt;"",P1667&lt;&gt;"Transferencia",P1667&lt;&gt;"Pago tarjeta"),"⚠ Destino solo aplica a transferencias",IF(AND(K1667&lt;&gt;"",K1667=Q1667),"⚠ Origen igual a destino",IF(AND(K1667&lt;&gt;"",ISNA(MATCH(K1667,ctaNombre,0))),"⚠ Destino no registrado",IF(AND(P1667="Pago tarjeta",AE1667&lt;&gt;"Tarjeta de crédito"),"⚠ El destino debe ser tarjeta de crédito",IF(AND(P1667="Gasto",E1667="Depósitos y retiros"),"⚠ Usa tipo Transferencia",IF(AND(P1667="Resultado trading",AD1667&lt;&gt;"Cuenta de trading"),"⚠ Usa una cuenta de trading",IF(AND(G1667&lt;=0,P1667&lt;&gt;"Ajuste",P1667&lt;&gt;"Resultado trading"),"⚠ El monto debe ser positivo","✓")))))))))))))))</f>
        <v/>
      </c>
      <c r="P1667" s="52">
        <f>IF(OR(B1667="",G1667=""),"",IF(C1667="","Gasto",C1667))</f>
        <v/>
      </c>
      <c r="Q1667" s="52">
        <f>IF(P1667="","",IF(J1667&lt;&gt;"",J1667,CuentaPred&amp;""))</f>
        <v/>
      </c>
      <c r="R1667" s="52">
        <f>IF(P1667="","",IF(ISNUMBER(I1667),I1667,TasaUSD))</f>
        <v/>
      </c>
      <c r="S1667" s="53">
        <f>IF(P1667="","",IF(H1667="USD",G1667*R1667,G1667))</f>
        <v/>
      </c>
      <c r="T1667" s="53">
        <f>IF(P1667="","",IF(H1667="USD",G1667,IF(R1667&gt;0,G1667/R1667,0)))</f>
        <v/>
      </c>
      <c r="U1667" s="53">
        <f>IF(P1667="","",IF(P1667="Gasto",S1667,IF(P1667="Reembolso",-S1667,0)))</f>
        <v/>
      </c>
      <c r="V1667" s="53">
        <f>IF(P1667="","",IF(P1667="Ingreso",S1667,0))</f>
        <v/>
      </c>
      <c r="W1667" s="53">
        <f>IF(P1667="","",IF(P1667="Resultado trading",S1667,0))</f>
        <v/>
      </c>
      <c r="X1667" s="52">
        <f>IF(OR(P1667="Gasto",P1667="Reembolso"),IF(M1667&lt;&gt;"",M1667,IFERROR(INDEX(catClasif,MATCH(D1667&amp;"|"&amp;E1667,catClave,0))&amp;"","Variable")),"")</f>
        <v/>
      </c>
      <c r="Y1667" s="52">
        <f>IF(P1667="","",IFERROR(INDEX(catGrupo,MATCH(D1667&amp;"|"&amp;E1667,catClave,0))&amp;"",""))</f>
        <v/>
      </c>
      <c r="Z1667" s="52">
        <f>IF(P1667="","",WEEKDAY(B1667,2))</f>
        <v/>
      </c>
      <c r="AA1667" s="52">
        <f>IF(P1667="","",IF(AND(P1667="Gasto",X1667="Variable",D1667&lt;&gt;catTrading,S1667&gt;0,S1667&lt;=Umbral),1,0))</f>
        <v/>
      </c>
      <c r="AB1667" s="52">
        <f>IF(OR(P1667="",Q1667=""),"",IFERROR(IF(INDEX(ctaVinc,MATCH(Q1667,ctaNombre,0))&amp;""&lt;&gt;"",INDEX(ctaVinc,MATCH(Q1667,ctaNombre,0))&amp;"",Q1667),Q1667))</f>
        <v/>
      </c>
      <c r="AC1667" s="52">
        <f>IF(OR(K1667="",AND(P1667&lt;&gt;"Transferencia",P1667&lt;&gt;"Pago tarjeta")),"",IFERROR(IF(INDEX(ctaVinc,MATCH(K1667,ctaNombre,0))&amp;""&lt;&gt;"",INDEX(ctaVinc,MATCH(K1667,ctaNombre,0))&amp;"",K1667),K1667))</f>
        <v/>
      </c>
      <c r="AD1667" s="52">
        <f>IF(AB1667="","",IFERROR(INDEX(ctaTipo,MATCH(AB1667,ctaNombre,0))&amp;"",""))</f>
        <v/>
      </c>
      <c r="AE1667" s="52">
        <f>IF(AC1667="","",IFERROR(INDEX(ctaTipo,MATCH(AC1667,ctaNombre,0))&amp;"",""))</f>
        <v/>
      </c>
      <c r="AF1667" s="53">
        <f>IF(OR(P1667="",AB1667=""),"",IF(OR(P1667="Gasto",P1667="Transferencia",P1667="Pago tarjeta"),-1,1)*IF(IFERROR(INDEX(ctaMoneda,MATCH(AB1667,ctaNombre,0))&amp;"","DOP")="USD",T1667,S1667))</f>
        <v/>
      </c>
      <c r="AG1667" s="53">
        <f>IF(AC1667="","",IF(IFERROR(INDEX(ctaMoneda,MATCH(AC1667,ctaNombre,0))&amp;"","DOP")="USD",T1667,S1667))</f>
        <v/>
      </c>
      <c r="AH1667" s="53">
        <f>IF(P1667="","",IF(AND(AD1667&lt;&gt;"",COUNTIFS(tcTipo,AD1667,tcLiq,"Sí")&gt;0),IF(OR(P1667="Gasto",P1667="Transferencia",P1667="Pago tarjeta"),-1,1)*S1667,0)+IF(AND(AE1667&lt;&gt;"",COUNTIFS(tcTipo,AE1667,tcLiq,"Sí")&gt;0),S1667,0))</f>
        <v/>
      </c>
      <c r="AI1667" s="52">
        <f>IF(OR(L1667="",P1667=""),"",IF(COUNTIFS(L$6:L1667,L1667,P$6:P1667,"?*")=1,MAX(AI$5:AI1666)+1,""))</f>
        <v/>
      </c>
    </row>
    <row r="1668">
      <c r="B1668" s="47" t="n"/>
      <c r="C1668" s="48" t="n"/>
      <c r="D1668" s="48" t="n"/>
      <c r="E1668" s="48" t="n"/>
      <c r="F1668" s="48" t="n"/>
      <c r="G1668" s="49" t="n"/>
      <c r="H1668" s="48" t="n"/>
      <c r="I1668" s="50" t="n"/>
      <c r="J1668" s="48" t="n"/>
      <c r="K1668" s="48" t="n"/>
      <c r="L1668" s="48" t="n"/>
      <c r="M1668" s="48" t="n"/>
      <c r="N1668" s="48" t="n"/>
      <c r="O1668" s="51">
        <f>IF(AND(B1668="",G1668="",C1668="",D1668="",J1668=""),"",IF(B1668="","⚠ Falta fecha",IF(G1668="","⚠ Falta monto",IF(Q1668="","⚠ Falta cuenta",IF(ISNA(MATCH(Q1668,ctaNombre,0)),"⚠ Cuenta no registrada",IF(AND(OR(P1668="Gasto",P1668="Reembolso"),D1668=""),"⚠ Falta categoría",IF(AND(D1668&lt;&gt;"",E1668&lt;&gt;"",ISNA(MATCH(D1668&amp;"|"&amp;E1668,catClave,0))),"⚠ Subcategoría no corresponde",IF(AND(OR(P1668="Transferencia",P1668="Pago tarjeta"),K1668=""),"⚠ Falta cuenta destino",IF(AND(K1668&lt;&gt;"",P1668&lt;&gt;"Transferencia",P1668&lt;&gt;"Pago tarjeta"),"⚠ Destino solo aplica a transferencias",IF(AND(K1668&lt;&gt;"",K1668=Q1668),"⚠ Origen igual a destino",IF(AND(K1668&lt;&gt;"",ISNA(MATCH(K1668,ctaNombre,0))),"⚠ Destino no registrado",IF(AND(P1668="Pago tarjeta",AE1668&lt;&gt;"Tarjeta de crédito"),"⚠ El destino debe ser tarjeta de crédito",IF(AND(P1668="Gasto",E1668="Depósitos y retiros"),"⚠ Usa tipo Transferencia",IF(AND(P1668="Resultado trading",AD1668&lt;&gt;"Cuenta de trading"),"⚠ Usa una cuenta de trading",IF(AND(G1668&lt;=0,P1668&lt;&gt;"Ajuste",P1668&lt;&gt;"Resultado trading"),"⚠ El monto debe ser positivo","✓")))))))))))))))</f>
        <v/>
      </c>
      <c r="P1668" s="52">
        <f>IF(OR(B1668="",G1668=""),"",IF(C1668="","Gasto",C1668))</f>
        <v/>
      </c>
      <c r="Q1668" s="52">
        <f>IF(P1668="","",IF(J1668&lt;&gt;"",J1668,CuentaPred&amp;""))</f>
        <v/>
      </c>
      <c r="R1668" s="52">
        <f>IF(P1668="","",IF(ISNUMBER(I1668),I1668,TasaUSD))</f>
        <v/>
      </c>
      <c r="S1668" s="53">
        <f>IF(P1668="","",IF(H1668="USD",G1668*R1668,G1668))</f>
        <v/>
      </c>
      <c r="T1668" s="53">
        <f>IF(P1668="","",IF(H1668="USD",G1668,IF(R1668&gt;0,G1668/R1668,0)))</f>
        <v/>
      </c>
      <c r="U1668" s="53">
        <f>IF(P1668="","",IF(P1668="Gasto",S1668,IF(P1668="Reembolso",-S1668,0)))</f>
        <v/>
      </c>
      <c r="V1668" s="53">
        <f>IF(P1668="","",IF(P1668="Ingreso",S1668,0))</f>
        <v/>
      </c>
      <c r="W1668" s="53">
        <f>IF(P1668="","",IF(P1668="Resultado trading",S1668,0))</f>
        <v/>
      </c>
      <c r="X1668" s="52">
        <f>IF(OR(P1668="Gasto",P1668="Reembolso"),IF(M1668&lt;&gt;"",M1668,IFERROR(INDEX(catClasif,MATCH(D1668&amp;"|"&amp;E1668,catClave,0))&amp;"","Variable")),"")</f>
        <v/>
      </c>
      <c r="Y1668" s="52">
        <f>IF(P1668="","",IFERROR(INDEX(catGrupo,MATCH(D1668&amp;"|"&amp;E1668,catClave,0))&amp;"",""))</f>
        <v/>
      </c>
      <c r="Z1668" s="52">
        <f>IF(P1668="","",WEEKDAY(B1668,2))</f>
        <v/>
      </c>
      <c r="AA1668" s="52">
        <f>IF(P1668="","",IF(AND(P1668="Gasto",X1668="Variable",D1668&lt;&gt;catTrading,S1668&gt;0,S1668&lt;=Umbral),1,0))</f>
        <v/>
      </c>
      <c r="AB1668" s="52">
        <f>IF(OR(P1668="",Q1668=""),"",IFERROR(IF(INDEX(ctaVinc,MATCH(Q1668,ctaNombre,0))&amp;""&lt;&gt;"",INDEX(ctaVinc,MATCH(Q1668,ctaNombre,0))&amp;"",Q1668),Q1668))</f>
        <v/>
      </c>
      <c r="AC1668" s="52">
        <f>IF(OR(K1668="",AND(P1668&lt;&gt;"Transferencia",P1668&lt;&gt;"Pago tarjeta")),"",IFERROR(IF(INDEX(ctaVinc,MATCH(K1668,ctaNombre,0))&amp;""&lt;&gt;"",INDEX(ctaVinc,MATCH(K1668,ctaNombre,0))&amp;"",K1668),K1668))</f>
        <v/>
      </c>
      <c r="AD1668" s="52">
        <f>IF(AB1668="","",IFERROR(INDEX(ctaTipo,MATCH(AB1668,ctaNombre,0))&amp;"",""))</f>
        <v/>
      </c>
      <c r="AE1668" s="52">
        <f>IF(AC1668="","",IFERROR(INDEX(ctaTipo,MATCH(AC1668,ctaNombre,0))&amp;"",""))</f>
        <v/>
      </c>
      <c r="AF1668" s="53">
        <f>IF(OR(P1668="",AB1668=""),"",IF(OR(P1668="Gasto",P1668="Transferencia",P1668="Pago tarjeta"),-1,1)*IF(IFERROR(INDEX(ctaMoneda,MATCH(AB1668,ctaNombre,0))&amp;"","DOP")="USD",T1668,S1668))</f>
        <v/>
      </c>
      <c r="AG1668" s="53">
        <f>IF(AC1668="","",IF(IFERROR(INDEX(ctaMoneda,MATCH(AC1668,ctaNombre,0))&amp;"","DOP")="USD",T1668,S1668))</f>
        <v/>
      </c>
      <c r="AH1668" s="53">
        <f>IF(P1668="","",IF(AND(AD1668&lt;&gt;"",COUNTIFS(tcTipo,AD1668,tcLiq,"Sí")&gt;0),IF(OR(P1668="Gasto",P1668="Transferencia",P1668="Pago tarjeta"),-1,1)*S1668,0)+IF(AND(AE1668&lt;&gt;"",COUNTIFS(tcTipo,AE1668,tcLiq,"Sí")&gt;0),S1668,0))</f>
        <v/>
      </c>
      <c r="AI1668" s="52">
        <f>IF(OR(L1668="",P1668=""),"",IF(COUNTIFS(L$6:L1668,L1668,P$6:P1668,"?*")=1,MAX(AI$5:AI1667)+1,""))</f>
        <v/>
      </c>
    </row>
    <row r="1669">
      <c r="B1669" s="47" t="n"/>
      <c r="C1669" s="48" t="n"/>
      <c r="D1669" s="48" t="n"/>
      <c r="E1669" s="48" t="n"/>
      <c r="F1669" s="48" t="n"/>
      <c r="G1669" s="49" t="n"/>
      <c r="H1669" s="48" t="n"/>
      <c r="I1669" s="50" t="n"/>
      <c r="J1669" s="48" t="n"/>
      <c r="K1669" s="48" t="n"/>
      <c r="L1669" s="48" t="n"/>
      <c r="M1669" s="48" t="n"/>
      <c r="N1669" s="48" t="n"/>
      <c r="O1669" s="51">
        <f>IF(AND(B1669="",G1669="",C1669="",D1669="",J1669=""),"",IF(B1669="","⚠ Falta fecha",IF(G1669="","⚠ Falta monto",IF(Q1669="","⚠ Falta cuenta",IF(ISNA(MATCH(Q1669,ctaNombre,0)),"⚠ Cuenta no registrada",IF(AND(OR(P1669="Gasto",P1669="Reembolso"),D1669=""),"⚠ Falta categoría",IF(AND(D1669&lt;&gt;"",E1669&lt;&gt;"",ISNA(MATCH(D1669&amp;"|"&amp;E1669,catClave,0))),"⚠ Subcategoría no corresponde",IF(AND(OR(P1669="Transferencia",P1669="Pago tarjeta"),K1669=""),"⚠ Falta cuenta destino",IF(AND(K1669&lt;&gt;"",P1669&lt;&gt;"Transferencia",P1669&lt;&gt;"Pago tarjeta"),"⚠ Destino solo aplica a transferencias",IF(AND(K1669&lt;&gt;"",K1669=Q1669),"⚠ Origen igual a destino",IF(AND(K1669&lt;&gt;"",ISNA(MATCH(K1669,ctaNombre,0))),"⚠ Destino no registrado",IF(AND(P1669="Pago tarjeta",AE1669&lt;&gt;"Tarjeta de crédito"),"⚠ El destino debe ser tarjeta de crédito",IF(AND(P1669="Gasto",E1669="Depósitos y retiros"),"⚠ Usa tipo Transferencia",IF(AND(P1669="Resultado trading",AD1669&lt;&gt;"Cuenta de trading"),"⚠ Usa una cuenta de trading",IF(AND(G1669&lt;=0,P1669&lt;&gt;"Ajuste",P1669&lt;&gt;"Resultado trading"),"⚠ El monto debe ser positivo","✓")))))))))))))))</f>
        <v/>
      </c>
      <c r="P1669" s="52">
        <f>IF(OR(B1669="",G1669=""),"",IF(C1669="","Gasto",C1669))</f>
        <v/>
      </c>
      <c r="Q1669" s="52">
        <f>IF(P1669="","",IF(J1669&lt;&gt;"",J1669,CuentaPred&amp;""))</f>
        <v/>
      </c>
      <c r="R1669" s="52">
        <f>IF(P1669="","",IF(ISNUMBER(I1669),I1669,TasaUSD))</f>
        <v/>
      </c>
      <c r="S1669" s="53">
        <f>IF(P1669="","",IF(H1669="USD",G1669*R1669,G1669))</f>
        <v/>
      </c>
      <c r="T1669" s="53">
        <f>IF(P1669="","",IF(H1669="USD",G1669,IF(R1669&gt;0,G1669/R1669,0)))</f>
        <v/>
      </c>
      <c r="U1669" s="53">
        <f>IF(P1669="","",IF(P1669="Gasto",S1669,IF(P1669="Reembolso",-S1669,0)))</f>
        <v/>
      </c>
      <c r="V1669" s="53">
        <f>IF(P1669="","",IF(P1669="Ingreso",S1669,0))</f>
        <v/>
      </c>
      <c r="W1669" s="53">
        <f>IF(P1669="","",IF(P1669="Resultado trading",S1669,0))</f>
        <v/>
      </c>
      <c r="X1669" s="52">
        <f>IF(OR(P1669="Gasto",P1669="Reembolso"),IF(M1669&lt;&gt;"",M1669,IFERROR(INDEX(catClasif,MATCH(D1669&amp;"|"&amp;E1669,catClave,0))&amp;"","Variable")),"")</f>
        <v/>
      </c>
      <c r="Y1669" s="52">
        <f>IF(P1669="","",IFERROR(INDEX(catGrupo,MATCH(D1669&amp;"|"&amp;E1669,catClave,0))&amp;"",""))</f>
        <v/>
      </c>
      <c r="Z1669" s="52">
        <f>IF(P1669="","",WEEKDAY(B1669,2))</f>
        <v/>
      </c>
      <c r="AA1669" s="52">
        <f>IF(P1669="","",IF(AND(P1669="Gasto",X1669="Variable",D1669&lt;&gt;catTrading,S1669&gt;0,S1669&lt;=Umbral),1,0))</f>
        <v/>
      </c>
      <c r="AB1669" s="52">
        <f>IF(OR(P1669="",Q1669=""),"",IFERROR(IF(INDEX(ctaVinc,MATCH(Q1669,ctaNombre,0))&amp;""&lt;&gt;"",INDEX(ctaVinc,MATCH(Q1669,ctaNombre,0))&amp;"",Q1669),Q1669))</f>
        <v/>
      </c>
      <c r="AC1669" s="52">
        <f>IF(OR(K1669="",AND(P1669&lt;&gt;"Transferencia",P1669&lt;&gt;"Pago tarjeta")),"",IFERROR(IF(INDEX(ctaVinc,MATCH(K1669,ctaNombre,0))&amp;""&lt;&gt;"",INDEX(ctaVinc,MATCH(K1669,ctaNombre,0))&amp;"",K1669),K1669))</f>
        <v/>
      </c>
      <c r="AD1669" s="52">
        <f>IF(AB1669="","",IFERROR(INDEX(ctaTipo,MATCH(AB1669,ctaNombre,0))&amp;"",""))</f>
        <v/>
      </c>
      <c r="AE1669" s="52">
        <f>IF(AC1669="","",IFERROR(INDEX(ctaTipo,MATCH(AC1669,ctaNombre,0))&amp;"",""))</f>
        <v/>
      </c>
      <c r="AF1669" s="53">
        <f>IF(OR(P1669="",AB1669=""),"",IF(OR(P1669="Gasto",P1669="Transferencia",P1669="Pago tarjeta"),-1,1)*IF(IFERROR(INDEX(ctaMoneda,MATCH(AB1669,ctaNombre,0))&amp;"","DOP")="USD",T1669,S1669))</f>
        <v/>
      </c>
      <c r="AG1669" s="53">
        <f>IF(AC1669="","",IF(IFERROR(INDEX(ctaMoneda,MATCH(AC1669,ctaNombre,0))&amp;"","DOP")="USD",T1669,S1669))</f>
        <v/>
      </c>
      <c r="AH1669" s="53">
        <f>IF(P1669="","",IF(AND(AD1669&lt;&gt;"",COUNTIFS(tcTipo,AD1669,tcLiq,"Sí")&gt;0),IF(OR(P1669="Gasto",P1669="Transferencia",P1669="Pago tarjeta"),-1,1)*S1669,0)+IF(AND(AE1669&lt;&gt;"",COUNTIFS(tcTipo,AE1669,tcLiq,"Sí")&gt;0),S1669,0))</f>
        <v/>
      </c>
      <c r="AI1669" s="52">
        <f>IF(OR(L1669="",P1669=""),"",IF(COUNTIFS(L$6:L1669,L1669,P$6:P1669,"?*")=1,MAX(AI$5:AI1668)+1,""))</f>
        <v/>
      </c>
    </row>
    <row r="1670">
      <c r="B1670" s="47" t="n"/>
      <c r="C1670" s="48" t="n"/>
      <c r="D1670" s="48" t="n"/>
      <c r="E1670" s="48" t="n"/>
      <c r="F1670" s="48" t="n"/>
      <c r="G1670" s="49" t="n"/>
      <c r="H1670" s="48" t="n"/>
      <c r="I1670" s="50" t="n"/>
      <c r="J1670" s="48" t="n"/>
      <c r="K1670" s="48" t="n"/>
      <c r="L1670" s="48" t="n"/>
      <c r="M1670" s="48" t="n"/>
      <c r="N1670" s="48" t="n"/>
      <c r="O1670" s="51">
        <f>IF(AND(B1670="",G1670="",C1670="",D1670="",J1670=""),"",IF(B1670="","⚠ Falta fecha",IF(G1670="","⚠ Falta monto",IF(Q1670="","⚠ Falta cuenta",IF(ISNA(MATCH(Q1670,ctaNombre,0)),"⚠ Cuenta no registrada",IF(AND(OR(P1670="Gasto",P1670="Reembolso"),D1670=""),"⚠ Falta categoría",IF(AND(D1670&lt;&gt;"",E1670&lt;&gt;"",ISNA(MATCH(D1670&amp;"|"&amp;E1670,catClave,0))),"⚠ Subcategoría no corresponde",IF(AND(OR(P1670="Transferencia",P1670="Pago tarjeta"),K1670=""),"⚠ Falta cuenta destino",IF(AND(K1670&lt;&gt;"",P1670&lt;&gt;"Transferencia",P1670&lt;&gt;"Pago tarjeta"),"⚠ Destino solo aplica a transferencias",IF(AND(K1670&lt;&gt;"",K1670=Q1670),"⚠ Origen igual a destino",IF(AND(K1670&lt;&gt;"",ISNA(MATCH(K1670,ctaNombre,0))),"⚠ Destino no registrado",IF(AND(P1670="Pago tarjeta",AE1670&lt;&gt;"Tarjeta de crédito"),"⚠ El destino debe ser tarjeta de crédito",IF(AND(P1670="Gasto",E1670="Depósitos y retiros"),"⚠ Usa tipo Transferencia",IF(AND(P1670="Resultado trading",AD1670&lt;&gt;"Cuenta de trading"),"⚠ Usa una cuenta de trading",IF(AND(G1670&lt;=0,P1670&lt;&gt;"Ajuste",P1670&lt;&gt;"Resultado trading"),"⚠ El monto debe ser positivo","✓")))))))))))))))</f>
        <v/>
      </c>
      <c r="P1670" s="52">
        <f>IF(OR(B1670="",G1670=""),"",IF(C1670="","Gasto",C1670))</f>
        <v/>
      </c>
      <c r="Q1670" s="52">
        <f>IF(P1670="","",IF(J1670&lt;&gt;"",J1670,CuentaPred&amp;""))</f>
        <v/>
      </c>
      <c r="R1670" s="52">
        <f>IF(P1670="","",IF(ISNUMBER(I1670),I1670,TasaUSD))</f>
        <v/>
      </c>
      <c r="S1670" s="53">
        <f>IF(P1670="","",IF(H1670="USD",G1670*R1670,G1670))</f>
        <v/>
      </c>
      <c r="T1670" s="53">
        <f>IF(P1670="","",IF(H1670="USD",G1670,IF(R1670&gt;0,G1670/R1670,0)))</f>
        <v/>
      </c>
      <c r="U1670" s="53">
        <f>IF(P1670="","",IF(P1670="Gasto",S1670,IF(P1670="Reembolso",-S1670,0)))</f>
        <v/>
      </c>
      <c r="V1670" s="53">
        <f>IF(P1670="","",IF(P1670="Ingreso",S1670,0))</f>
        <v/>
      </c>
      <c r="W1670" s="53">
        <f>IF(P1670="","",IF(P1670="Resultado trading",S1670,0))</f>
        <v/>
      </c>
      <c r="X1670" s="52">
        <f>IF(OR(P1670="Gasto",P1670="Reembolso"),IF(M1670&lt;&gt;"",M1670,IFERROR(INDEX(catClasif,MATCH(D1670&amp;"|"&amp;E1670,catClave,0))&amp;"","Variable")),"")</f>
        <v/>
      </c>
      <c r="Y1670" s="52">
        <f>IF(P1670="","",IFERROR(INDEX(catGrupo,MATCH(D1670&amp;"|"&amp;E1670,catClave,0))&amp;"",""))</f>
        <v/>
      </c>
      <c r="Z1670" s="52">
        <f>IF(P1670="","",WEEKDAY(B1670,2))</f>
        <v/>
      </c>
      <c r="AA1670" s="52">
        <f>IF(P1670="","",IF(AND(P1670="Gasto",X1670="Variable",D1670&lt;&gt;catTrading,S1670&gt;0,S1670&lt;=Umbral),1,0))</f>
        <v/>
      </c>
      <c r="AB1670" s="52">
        <f>IF(OR(P1670="",Q1670=""),"",IFERROR(IF(INDEX(ctaVinc,MATCH(Q1670,ctaNombre,0))&amp;""&lt;&gt;"",INDEX(ctaVinc,MATCH(Q1670,ctaNombre,0))&amp;"",Q1670),Q1670))</f>
        <v/>
      </c>
      <c r="AC1670" s="52">
        <f>IF(OR(K1670="",AND(P1670&lt;&gt;"Transferencia",P1670&lt;&gt;"Pago tarjeta")),"",IFERROR(IF(INDEX(ctaVinc,MATCH(K1670,ctaNombre,0))&amp;""&lt;&gt;"",INDEX(ctaVinc,MATCH(K1670,ctaNombre,0))&amp;"",K1670),K1670))</f>
        <v/>
      </c>
      <c r="AD1670" s="52">
        <f>IF(AB1670="","",IFERROR(INDEX(ctaTipo,MATCH(AB1670,ctaNombre,0))&amp;"",""))</f>
        <v/>
      </c>
      <c r="AE1670" s="52">
        <f>IF(AC1670="","",IFERROR(INDEX(ctaTipo,MATCH(AC1670,ctaNombre,0))&amp;"",""))</f>
        <v/>
      </c>
      <c r="AF1670" s="53">
        <f>IF(OR(P1670="",AB1670=""),"",IF(OR(P1670="Gasto",P1670="Transferencia",P1670="Pago tarjeta"),-1,1)*IF(IFERROR(INDEX(ctaMoneda,MATCH(AB1670,ctaNombre,0))&amp;"","DOP")="USD",T1670,S1670))</f>
        <v/>
      </c>
      <c r="AG1670" s="53">
        <f>IF(AC1670="","",IF(IFERROR(INDEX(ctaMoneda,MATCH(AC1670,ctaNombre,0))&amp;"","DOP")="USD",T1670,S1670))</f>
        <v/>
      </c>
      <c r="AH1670" s="53">
        <f>IF(P1670="","",IF(AND(AD1670&lt;&gt;"",COUNTIFS(tcTipo,AD1670,tcLiq,"Sí")&gt;0),IF(OR(P1670="Gasto",P1670="Transferencia",P1670="Pago tarjeta"),-1,1)*S1670,0)+IF(AND(AE1670&lt;&gt;"",COUNTIFS(tcTipo,AE1670,tcLiq,"Sí")&gt;0),S1670,0))</f>
        <v/>
      </c>
      <c r="AI1670" s="52">
        <f>IF(OR(L1670="",P1670=""),"",IF(COUNTIFS(L$6:L1670,L1670,P$6:P1670,"?*")=1,MAX(AI$5:AI1669)+1,""))</f>
        <v/>
      </c>
    </row>
    <row r="1671">
      <c r="B1671" s="47" t="n"/>
      <c r="C1671" s="48" t="n"/>
      <c r="D1671" s="48" t="n"/>
      <c r="E1671" s="48" t="n"/>
      <c r="F1671" s="48" t="n"/>
      <c r="G1671" s="49" t="n"/>
      <c r="H1671" s="48" t="n"/>
      <c r="I1671" s="50" t="n"/>
      <c r="J1671" s="48" t="n"/>
      <c r="K1671" s="48" t="n"/>
      <c r="L1671" s="48" t="n"/>
      <c r="M1671" s="48" t="n"/>
      <c r="N1671" s="48" t="n"/>
      <c r="O1671" s="51">
        <f>IF(AND(B1671="",G1671="",C1671="",D1671="",J1671=""),"",IF(B1671="","⚠ Falta fecha",IF(G1671="","⚠ Falta monto",IF(Q1671="","⚠ Falta cuenta",IF(ISNA(MATCH(Q1671,ctaNombre,0)),"⚠ Cuenta no registrada",IF(AND(OR(P1671="Gasto",P1671="Reembolso"),D1671=""),"⚠ Falta categoría",IF(AND(D1671&lt;&gt;"",E1671&lt;&gt;"",ISNA(MATCH(D1671&amp;"|"&amp;E1671,catClave,0))),"⚠ Subcategoría no corresponde",IF(AND(OR(P1671="Transferencia",P1671="Pago tarjeta"),K1671=""),"⚠ Falta cuenta destino",IF(AND(K1671&lt;&gt;"",P1671&lt;&gt;"Transferencia",P1671&lt;&gt;"Pago tarjeta"),"⚠ Destino solo aplica a transferencias",IF(AND(K1671&lt;&gt;"",K1671=Q1671),"⚠ Origen igual a destino",IF(AND(K1671&lt;&gt;"",ISNA(MATCH(K1671,ctaNombre,0))),"⚠ Destino no registrado",IF(AND(P1671="Pago tarjeta",AE1671&lt;&gt;"Tarjeta de crédito"),"⚠ El destino debe ser tarjeta de crédito",IF(AND(P1671="Gasto",E1671="Depósitos y retiros"),"⚠ Usa tipo Transferencia",IF(AND(P1671="Resultado trading",AD1671&lt;&gt;"Cuenta de trading"),"⚠ Usa una cuenta de trading",IF(AND(G1671&lt;=0,P1671&lt;&gt;"Ajuste",P1671&lt;&gt;"Resultado trading"),"⚠ El monto debe ser positivo","✓")))))))))))))))</f>
        <v/>
      </c>
      <c r="P1671" s="52">
        <f>IF(OR(B1671="",G1671=""),"",IF(C1671="","Gasto",C1671))</f>
        <v/>
      </c>
      <c r="Q1671" s="52">
        <f>IF(P1671="","",IF(J1671&lt;&gt;"",J1671,CuentaPred&amp;""))</f>
        <v/>
      </c>
      <c r="R1671" s="52">
        <f>IF(P1671="","",IF(ISNUMBER(I1671),I1671,TasaUSD))</f>
        <v/>
      </c>
      <c r="S1671" s="53">
        <f>IF(P1671="","",IF(H1671="USD",G1671*R1671,G1671))</f>
        <v/>
      </c>
      <c r="T1671" s="53">
        <f>IF(P1671="","",IF(H1671="USD",G1671,IF(R1671&gt;0,G1671/R1671,0)))</f>
        <v/>
      </c>
      <c r="U1671" s="53">
        <f>IF(P1671="","",IF(P1671="Gasto",S1671,IF(P1671="Reembolso",-S1671,0)))</f>
        <v/>
      </c>
      <c r="V1671" s="53">
        <f>IF(P1671="","",IF(P1671="Ingreso",S1671,0))</f>
        <v/>
      </c>
      <c r="W1671" s="53">
        <f>IF(P1671="","",IF(P1671="Resultado trading",S1671,0))</f>
        <v/>
      </c>
      <c r="X1671" s="52">
        <f>IF(OR(P1671="Gasto",P1671="Reembolso"),IF(M1671&lt;&gt;"",M1671,IFERROR(INDEX(catClasif,MATCH(D1671&amp;"|"&amp;E1671,catClave,0))&amp;"","Variable")),"")</f>
        <v/>
      </c>
      <c r="Y1671" s="52">
        <f>IF(P1671="","",IFERROR(INDEX(catGrupo,MATCH(D1671&amp;"|"&amp;E1671,catClave,0))&amp;"",""))</f>
        <v/>
      </c>
      <c r="Z1671" s="52">
        <f>IF(P1671="","",WEEKDAY(B1671,2))</f>
        <v/>
      </c>
      <c r="AA1671" s="52">
        <f>IF(P1671="","",IF(AND(P1671="Gasto",X1671="Variable",D1671&lt;&gt;catTrading,S1671&gt;0,S1671&lt;=Umbral),1,0))</f>
        <v/>
      </c>
      <c r="AB1671" s="52">
        <f>IF(OR(P1671="",Q1671=""),"",IFERROR(IF(INDEX(ctaVinc,MATCH(Q1671,ctaNombre,0))&amp;""&lt;&gt;"",INDEX(ctaVinc,MATCH(Q1671,ctaNombre,0))&amp;"",Q1671),Q1671))</f>
        <v/>
      </c>
      <c r="AC1671" s="52">
        <f>IF(OR(K1671="",AND(P1671&lt;&gt;"Transferencia",P1671&lt;&gt;"Pago tarjeta")),"",IFERROR(IF(INDEX(ctaVinc,MATCH(K1671,ctaNombre,0))&amp;""&lt;&gt;"",INDEX(ctaVinc,MATCH(K1671,ctaNombre,0))&amp;"",K1671),K1671))</f>
        <v/>
      </c>
      <c r="AD1671" s="52">
        <f>IF(AB1671="","",IFERROR(INDEX(ctaTipo,MATCH(AB1671,ctaNombre,0))&amp;"",""))</f>
        <v/>
      </c>
      <c r="AE1671" s="52">
        <f>IF(AC1671="","",IFERROR(INDEX(ctaTipo,MATCH(AC1671,ctaNombre,0))&amp;"",""))</f>
        <v/>
      </c>
      <c r="AF1671" s="53">
        <f>IF(OR(P1671="",AB1671=""),"",IF(OR(P1671="Gasto",P1671="Transferencia",P1671="Pago tarjeta"),-1,1)*IF(IFERROR(INDEX(ctaMoneda,MATCH(AB1671,ctaNombre,0))&amp;"","DOP")="USD",T1671,S1671))</f>
        <v/>
      </c>
      <c r="AG1671" s="53">
        <f>IF(AC1671="","",IF(IFERROR(INDEX(ctaMoneda,MATCH(AC1671,ctaNombre,0))&amp;"","DOP")="USD",T1671,S1671))</f>
        <v/>
      </c>
      <c r="AH1671" s="53">
        <f>IF(P1671="","",IF(AND(AD1671&lt;&gt;"",COUNTIFS(tcTipo,AD1671,tcLiq,"Sí")&gt;0),IF(OR(P1671="Gasto",P1671="Transferencia",P1671="Pago tarjeta"),-1,1)*S1671,0)+IF(AND(AE1671&lt;&gt;"",COUNTIFS(tcTipo,AE1671,tcLiq,"Sí")&gt;0),S1671,0))</f>
        <v/>
      </c>
      <c r="AI1671" s="52">
        <f>IF(OR(L1671="",P1671=""),"",IF(COUNTIFS(L$6:L1671,L1671,P$6:P1671,"?*")=1,MAX(AI$5:AI1670)+1,""))</f>
        <v/>
      </c>
    </row>
    <row r="1672">
      <c r="B1672" s="47" t="n"/>
      <c r="C1672" s="48" t="n"/>
      <c r="D1672" s="48" t="n"/>
      <c r="E1672" s="48" t="n"/>
      <c r="F1672" s="48" t="n"/>
      <c r="G1672" s="49" t="n"/>
      <c r="H1672" s="48" t="n"/>
      <c r="I1672" s="50" t="n"/>
      <c r="J1672" s="48" t="n"/>
      <c r="K1672" s="48" t="n"/>
      <c r="L1672" s="48" t="n"/>
      <c r="M1672" s="48" t="n"/>
      <c r="N1672" s="48" t="n"/>
      <c r="O1672" s="51">
        <f>IF(AND(B1672="",G1672="",C1672="",D1672="",J1672=""),"",IF(B1672="","⚠ Falta fecha",IF(G1672="","⚠ Falta monto",IF(Q1672="","⚠ Falta cuenta",IF(ISNA(MATCH(Q1672,ctaNombre,0)),"⚠ Cuenta no registrada",IF(AND(OR(P1672="Gasto",P1672="Reembolso"),D1672=""),"⚠ Falta categoría",IF(AND(D1672&lt;&gt;"",E1672&lt;&gt;"",ISNA(MATCH(D1672&amp;"|"&amp;E1672,catClave,0))),"⚠ Subcategoría no corresponde",IF(AND(OR(P1672="Transferencia",P1672="Pago tarjeta"),K1672=""),"⚠ Falta cuenta destino",IF(AND(K1672&lt;&gt;"",P1672&lt;&gt;"Transferencia",P1672&lt;&gt;"Pago tarjeta"),"⚠ Destino solo aplica a transferencias",IF(AND(K1672&lt;&gt;"",K1672=Q1672),"⚠ Origen igual a destino",IF(AND(K1672&lt;&gt;"",ISNA(MATCH(K1672,ctaNombre,0))),"⚠ Destino no registrado",IF(AND(P1672="Pago tarjeta",AE1672&lt;&gt;"Tarjeta de crédito"),"⚠ El destino debe ser tarjeta de crédito",IF(AND(P1672="Gasto",E1672="Depósitos y retiros"),"⚠ Usa tipo Transferencia",IF(AND(P1672="Resultado trading",AD1672&lt;&gt;"Cuenta de trading"),"⚠ Usa una cuenta de trading",IF(AND(G1672&lt;=0,P1672&lt;&gt;"Ajuste",P1672&lt;&gt;"Resultado trading"),"⚠ El monto debe ser positivo","✓")))))))))))))))</f>
        <v/>
      </c>
      <c r="P1672" s="52">
        <f>IF(OR(B1672="",G1672=""),"",IF(C1672="","Gasto",C1672))</f>
        <v/>
      </c>
      <c r="Q1672" s="52">
        <f>IF(P1672="","",IF(J1672&lt;&gt;"",J1672,CuentaPred&amp;""))</f>
        <v/>
      </c>
      <c r="R1672" s="52">
        <f>IF(P1672="","",IF(ISNUMBER(I1672),I1672,TasaUSD))</f>
        <v/>
      </c>
      <c r="S1672" s="53">
        <f>IF(P1672="","",IF(H1672="USD",G1672*R1672,G1672))</f>
        <v/>
      </c>
      <c r="T1672" s="53">
        <f>IF(P1672="","",IF(H1672="USD",G1672,IF(R1672&gt;0,G1672/R1672,0)))</f>
        <v/>
      </c>
      <c r="U1672" s="53">
        <f>IF(P1672="","",IF(P1672="Gasto",S1672,IF(P1672="Reembolso",-S1672,0)))</f>
        <v/>
      </c>
      <c r="V1672" s="53">
        <f>IF(P1672="","",IF(P1672="Ingreso",S1672,0))</f>
        <v/>
      </c>
      <c r="W1672" s="53">
        <f>IF(P1672="","",IF(P1672="Resultado trading",S1672,0))</f>
        <v/>
      </c>
      <c r="X1672" s="52">
        <f>IF(OR(P1672="Gasto",P1672="Reembolso"),IF(M1672&lt;&gt;"",M1672,IFERROR(INDEX(catClasif,MATCH(D1672&amp;"|"&amp;E1672,catClave,0))&amp;"","Variable")),"")</f>
        <v/>
      </c>
      <c r="Y1672" s="52">
        <f>IF(P1672="","",IFERROR(INDEX(catGrupo,MATCH(D1672&amp;"|"&amp;E1672,catClave,0))&amp;"",""))</f>
        <v/>
      </c>
      <c r="Z1672" s="52">
        <f>IF(P1672="","",WEEKDAY(B1672,2))</f>
        <v/>
      </c>
      <c r="AA1672" s="52">
        <f>IF(P1672="","",IF(AND(P1672="Gasto",X1672="Variable",D1672&lt;&gt;catTrading,S1672&gt;0,S1672&lt;=Umbral),1,0))</f>
        <v/>
      </c>
      <c r="AB1672" s="52">
        <f>IF(OR(P1672="",Q1672=""),"",IFERROR(IF(INDEX(ctaVinc,MATCH(Q1672,ctaNombre,0))&amp;""&lt;&gt;"",INDEX(ctaVinc,MATCH(Q1672,ctaNombre,0))&amp;"",Q1672),Q1672))</f>
        <v/>
      </c>
      <c r="AC1672" s="52">
        <f>IF(OR(K1672="",AND(P1672&lt;&gt;"Transferencia",P1672&lt;&gt;"Pago tarjeta")),"",IFERROR(IF(INDEX(ctaVinc,MATCH(K1672,ctaNombre,0))&amp;""&lt;&gt;"",INDEX(ctaVinc,MATCH(K1672,ctaNombre,0))&amp;"",K1672),K1672))</f>
        <v/>
      </c>
      <c r="AD1672" s="52">
        <f>IF(AB1672="","",IFERROR(INDEX(ctaTipo,MATCH(AB1672,ctaNombre,0))&amp;"",""))</f>
        <v/>
      </c>
      <c r="AE1672" s="52">
        <f>IF(AC1672="","",IFERROR(INDEX(ctaTipo,MATCH(AC1672,ctaNombre,0))&amp;"",""))</f>
        <v/>
      </c>
      <c r="AF1672" s="53">
        <f>IF(OR(P1672="",AB1672=""),"",IF(OR(P1672="Gasto",P1672="Transferencia",P1672="Pago tarjeta"),-1,1)*IF(IFERROR(INDEX(ctaMoneda,MATCH(AB1672,ctaNombre,0))&amp;"","DOP")="USD",T1672,S1672))</f>
        <v/>
      </c>
      <c r="AG1672" s="53">
        <f>IF(AC1672="","",IF(IFERROR(INDEX(ctaMoneda,MATCH(AC1672,ctaNombre,0))&amp;"","DOP")="USD",T1672,S1672))</f>
        <v/>
      </c>
      <c r="AH1672" s="53">
        <f>IF(P1672="","",IF(AND(AD1672&lt;&gt;"",COUNTIFS(tcTipo,AD1672,tcLiq,"Sí")&gt;0),IF(OR(P1672="Gasto",P1672="Transferencia",P1672="Pago tarjeta"),-1,1)*S1672,0)+IF(AND(AE1672&lt;&gt;"",COUNTIFS(tcTipo,AE1672,tcLiq,"Sí")&gt;0),S1672,0))</f>
        <v/>
      </c>
      <c r="AI1672" s="52">
        <f>IF(OR(L1672="",P1672=""),"",IF(COUNTIFS(L$6:L1672,L1672,P$6:P1672,"?*")=1,MAX(AI$5:AI1671)+1,""))</f>
        <v/>
      </c>
    </row>
    <row r="1673">
      <c r="B1673" s="47" t="n"/>
      <c r="C1673" s="48" t="n"/>
      <c r="D1673" s="48" t="n"/>
      <c r="E1673" s="48" t="n"/>
      <c r="F1673" s="48" t="n"/>
      <c r="G1673" s="49" t="n"/>
      <c r="H1673" s="48" t="n"/>
      <c r="I1673" s="50" t="n"/>
      <c r="J1673" s="48" t="n"/>
      <c r="K1673" s="48" t="n"/>
      <c r="L1673" s="48" t="n"/>
      <c r="M1673" s="48" t="n"/>
      <c r="N1673" s="48" t="n"/>
      <c r="O1673" s="51">
        <f>IF(AND(B1673="",G1673="",C1673="",D1673="",J1673=""),"",IF(B1673="","⚠ Falta fecha",IF(G1673="","⚠ Falta monto",IF(Q1673="","⚠ Falta cuenta",IF(ISNA(MATCH(Q1673,ctaNombre,0)),"⚠ Cuenta no registrada",IF(AND(OR(P1673="Gasto",P1673="Reembolso"),D1673=""),"⚠ Falta categoría",IF(AND(D1673&lt;&gt;"",E1673&lt;&gt;"",ISNA(MATCH(D1673&amp;"|"&amp;E1673,catClave,0))),"⚠ Subcategoría no corresponde",IF(AND(OR(P1673="Transferencia",P1673="Pago tarjeta"),K1673=""),"⚠ Falta cuenta destino",IF(AND(K1673&lt;&gt;"",P1673&lt;&gt;"Transferencia",P1673&lt;&gt;"Pago tarjeta"),"⚠ Destino solo aplica a transferencias",IF(AND(K1673&lt;&gt;"",K1673=Q1673),"⚠ Origen igual a destino",IF(AND(K1673&lt;&gt;"",ISNA(MATCH(K1673,ctaNombre,0))),"⚠ Destino no registrado",IF(AND(P1673="Pago tarjeta",AE1673&lt;&gt;"Tarjeta de crédito"),"⚠ El destino debe ser tarjeta de crédito",IF(AND(P1673="Gasto",E1673="Depósitos y retiros"),"⚠ Usa tipo Transferencia",IF(AND(P1673="Resultado trading",AD1673&lt;&gt;"Cuenta de trading"),"⚠ Usa una cuenta de trading",IF(AND(G1673&lt;=0,P1673&lt;&gt;"Ajuste",P1673&lt;&gt;"Resultado trading"),"⚠ El monto debe ser positivo","✓")))))))))))))))</f>
        <v/>
      </c>
      <c r="P1673" s="52">
        <f>IF(OR(B1673="",G1673=""),"",IF(C1673="","Gasto",C1673))</f>
        <v/>
      </c>
      <c r="Q1673" s="52">
        <f>IF(P1673="","",IF(J1673&lt;&gt;"",J1673,CuentaPred&amp;""))</f>
        <v/>
      </c>
      <c r="R1673" s="52">
        <f>IF(P1673="","",IF(ISNUMBER(I1673),I1673,TasaUSD))</f>
        <v/>
      </c>
      <c r="S1673" s="53">
        <f>IF(P1673="","",IF(H1673="USD",G1673*R1673,G1673))</f>
        <v/>
      </c>
      <c r="T1673" s="53">
        <f>IF(P1673="","",IF(H1673="USD",G1673,IF(R1673&gt;0,G1673/R1673,0)))</f>
        <v/>
      </c>
      <c r="U1673" s="53">
        <f>IF(P1673="","",IF(P1673="Gasto",S1673,IF(P1673="Reembolso",-S1673,0)))</f>
        <v/>
      </c>
      <c r="V1673" s="53">
        <f>IF(P1673="","",IF(P1673="Ingreso",S1673,0))</f>
        <v/>
      </c>
      <c r="W1673" s="53">
        <f>IF(P1673="","",IF(P1673="Resultado trading",S1673,0))</f>
        <v/>
      </c>
      <c r="X1673" s="52">
        <f>IF(OR(P1673="Gasto",P1673="Reembolso"),IF(M1673&lt;&gt;"",M1673,IFERROR(INDEX(catClasif,MATCH(D1673&amp;"|"&amp;E1673,catClave,0))&amp;"","Variable")),"")</f>
        <v/>
      </c>
      <c r="Y1673" s="52">
        <f>IF(P1673="","",IFERROR(INDEX(catGrupo,MATCH(D1673&amp;"|"&amp;E1673,catClave,0))&amp;"",""))</f>
        <v/>
      </c>
      <c r="Z1673" s="52">
        <f>IF(P1673="","",WEEKDAY(B1673,2))</f>
        <v/>
      </c>
      <c r="AA1673" s="52">
        <f>IF(P1673="","",IF(AND(P1673="Gasto",X1673="Variable",D1673&lt;&gt;catTrading,S1673&gt;0,S1673&lt;=Umbral),1,0))</f>
        <v/>
      </c>
      <c r="AB1673" s="52">
        <f>IF(OR(P1673="",Q1673=""),"",IFERROR(IF(INDEX(ctaVinc,MATCH(Q1673,ctaNombre,0))&amp;""&lt;&gt;"",INDEX(ctaVinc,MATCH(Q1673,ctaNombre,0))&amp;"",Q1673),Q1673))</f>
        <v/>
      </c>
      <c r="AC1673" s="52">
        <f>IF(OR(K1673="",AND(P1673&lt;&gt;"Transferencia",P1673&lt;&gt;"Pago tarjeta")),"",IFERROR(IF(INDEX(ctaVinc,MATCH(K1673,ctaNombre,0))&amp;""&lt;&gt;"",INDEX(ctaVinc,MATCH(K1673,ctaNombre,0))&amp;"",K1673),K1673))</f>
        <v/>
      </c>
      <c r="AD1673" s="52">
        <f>IF(AB1673="","",IFERROR(INDEX(ctaTipo,MATCH(AB1673,ctaNombre,0))&amp;"",""))</f>
        <v/>
      </c>
      <c r="AE1673" s="52">
        <f>IF(AC1673="","",IFERROR(INDEX(ctaTipo,MATCH(AC1673,ctaNombre,0))&amp;"",""))</f>
        <v/>
      </c>
      <c r="AF1673" s="53">
        <f>IF(OR(P1673="",AB1673=""),"",IF(OR(P1673="Gasto",P1673="Transferencia",P1673="Pago tarjeta"),-1,1)*IF(IFERROR(INDEX(ctaMoneda,MATCH(AB1673,ctaNombre,0))&amp;"","DOP")="USD",T1673,S1673))</f>
        <v/>
      </c>
      <c r="AG1673" s="53">
        <f>IF(AC1673="","",IF(IFERROR(INDEX(ctaMoneda,MATCH(AC1673,ctaNombre,0))&amp;"","DOP")="USD",T1673,S1673))</f>
        <v/>
      </c>
      <c r="AH1673" s="53">
        <f>IF(P1673="","",IF(AND(AD1673&lt;&gt;"",COUNTIFS(tcTipo,AD1673,tcLiq,"Sí")&gt;0),IF(OR(P1673="Gasto",P1673="Transferencia",P1673="Pago tarjeta"),-1,1)*S1673,0)+IF(AND(AE1673&lt;&gt;"",COUNTIFS(tcTipo,AE1673,tcLiq,"Sí")&gt;0),S1673,0))</f>
        <v/>
      </c>
      <c r="AI1673" s="52">
        <f>IF(OR(L1673="",P1673=""),"",IF(COUNTIFS(L$6:L1673,L1673,P$6:P1673,"?*")=1,MAX(AI$5:AI1672)+1,""))</f>
        <v/>
      </c>
    </row>
    <row r="1674">
      <c r="B1674" s="47" t="n"/>
      <c r="C1674" s="48" t="n"/>
      <c r="D1674" s="48" t="n"/>
      <c r="E1674" s="48" t="n"/>
      <c r="F1674" s="48" t="n"/>
      <c r="G1674" s="49" t="n"/>
      <c r="H1674" s="48" t="n"/>
      <c r="I1674" s="50" t="n"/>
      <c r="J1674" s="48" t="n"/>
      <c r="K1674" s="48" t="n"/>
      <c r="L1674" s="48" t="n"/>
      <c r="M1674" s="48" t="n"/>
      <c r="N1674" s="48" t="n"/>
      <c r="O1674" s="51">
        <f>IF(AND(B1674="",G1674="",C1674="",D1674="",J1674=""),"",IF(B1674="","⚠ Falta fecha",IF(G1674="","⚠ Falta monto",IF(Q1674="","⚠ Falta cuenta",IF(ISNA(MATCH(Q1674,ctaNombre,0)),"⚠ Cuenta no registrada",IF(AND(OR(P1674="Gasto",P1674="Reembolso"),D1674=""),"⚠ Falta categoría",IF(AND(D1674&lt;&gt;"",E1674&lt;&gt;"",ISNA(MATCH(D1674&amp;"|"&amp;E1674,catClave,0))),"⚠ Subcategoría no corresponde",IF(AND(OR(P1674="Transferencia",P1674="Pago tarjeta"),K1674=""),"⚠ Falta cuenta destino",IF(AND(K1674&lt;&gt;"",P1674&lt;&gt;"Transferencia",P1674&lt;&gt;"Pago tarjeta"),"⚠ Destino solo aplica a transferencias",IF(AND(K1674&lt;&gt;"",K1674=Q1674),"⚠ Origen igual a destino",IF(AND(K1674&lt;&gt;"",ISNA(MATCH(K1674,ctaNombre,0))),"⚠ Destino no registrado",IF(AND(P1674="Pago tarjeta",AE1674&lt;&gt;"Tarjeta de crédito"),"⚠ El destino debe ser tarjeta de crédito",IF(AND(P1674="Gasto",E1674="Depósitos y retiros"),"⚠ Usa tipo Transferencia",IF(AND(P1674="Resultado trading",AD1674&lt;&gt;"Cuenta de trading"),"⚠ Usa una cuenta de trading",IF(AND(G1674&lt;=0,P1674&lt;&gt;"Ajuste",P1674&lt;&gt;"Resultado trading"),"⚠ El monto debe ser positivo","✓")))))))))))))))</f>
        <v/>
      </c>
      <c r="P1674" s="52">
        <f>IF(OR(B1674="",G1674=""),"",IF(C1674="","Gasto",C1674))</f>
        <v/>
      </c>
      <c r="Q1674" s="52">
        <f>IF(P1674="","",IF(J1674&lt;&gt;"",J1674,CuentaPred&amp;""))</f>
        <v/>
      </c>
      <c r="R1674" s="52">
        <f>IF(P1674="","",IF(ISNUMBER(I1674),I1674,TasaUSD))</f>
        <v/>
      </c>
      <c r="S1674" s="53">
        <f>IF(P1674="","",IF(H1674="USD",G1674*R1674,G1674))</f>
        <v/>
      </c>
      <c r="T1674" s="53">
        <f>IF(P1674="","",IF(H1674="USD",G1674,IF(R1674&gt;0,G1674/R1674,0)))</f>
        <v/>
      </c>
      <c r="U1674" s="53">
        <f>IF(P1674="","",IF(P1674="Gasto",S1674,IF(P1674="Reembolso",-S1674,0)))</f>
        <v/>
      </c>
      <c r="V1674" s="53">
        <f>IF(P1674="","",IF(P1674="Ingreso",S1674,0))</f>
        <v/>
      </c>
      <c r="W1674" s="53">
        <f>IF(P1674="","",IF(P1674="Resultado trading",S1674,0))</f>
        <v/>
      </c>
      <c r="X1674" s="52">
        <f>IF(OR(P1674="Gasto",P1674="Reembolso"),IF(M1674&lt;&gt;"",M1674,IFERROR(INDEX(catClasif,MATCH(D1674&amp;"|"&amp;E1674,catClave,0))&amp;"","Variable")),"")</f>
        <v/>
      </c>
      <c r="Y1674" s="52">
        <f>IF(P1674="","",IFERROR(INDEX(catGrupo,MATCH(D1674&amp;"|"&amp;E1674,catClave,0))&amp;"",""))</f>
        <v/>
      </c>
      <c r="Z1674" s="52">
        <f>IF(P1674="","",WEEKDAY(B1674,2))</f>
        <v/>
      </c>
      <c r="AA1674" s="52">
        <f>IF(P1674="","",IF(AND(P1674="Gasto",X1674="Variable",D1674&lt;&gt;catTrading,S1674&gt;0,S1674&lt;=Umbral),1,0))</f>
        <v/>
      </c>
      <c r="AB1674" s="52">
        <f>IF(OR(P1674="",Q1674=""),"",IFERROR(IF(INDEX(ctaVinc,MATCH(Q1674,ctaNombre,0))&amp;""&lt;&gt;"",INDEX(ctaVinc,MATCH(Q1674,ctaNombre,0))&amp;"",Q1674),Q1674))</f>
        <v/>
      </c>
      <c r="AC1674" s="52">
        <f>IF(OR(K1674="",AND(P1674&lt;&gt;"Transferencia",P1674&lt;&gt;"Pago tarjeta")),"",IFERROR(IF(INDEX(ctaVinc,MATCH(K1674,ctaNombre,0))&amp;""&lt;&gt;"",INDEX(ctaVinc,MATCH(K1674,ctaNombre,0))&amp;"",K1674),K1674))</f>
        <v/>
      </c>
      <c r="AD1674" s="52">
        <f>IF(AB1674="","",IFERROR(INDEX(ctaTipo,MATCH(AB1674,ctaNombre,0))&amp;"",""))</f>
        <v/>
      </c>
      <c r="AE1674" s="52">
        <f>IF(AC1674="","",IFERROR(INDEX(ctaTipo,MATCH(AC1674,ctaNombre,0))&amp;"",""))</f>
        <v/>
      </c>
      <c r="AF1674" s="53">
        <f>IF(OR(P1674="",AB1674=""),"",IF(OR(P1674="Gasto",P1674="Transferencia",P1674="Pago tarjeta"),-1,1)*IF(IFERROR(INDEX(ctaMoneda,MATCH(AB1674,ctaNombre,0))&amp;"","DOP")="USD",T1674,S1674))</f>
        <v/>
      </c>
      <c r="AG1674" s="53">
        <f>IF(AC1674="","",IF(IFERROR(INDEX(ctaMoneda,MATCH(AC1674,ctaNombre,0))&amp;"","DOP")="USD",T1674,S1674))</f>
        <v/>
      </c>
      <c r="AH1674" s="53">
        <f>IF(P1674="","",IF(AND(AD1674&lt;&gt;"",COUNTIFS(tcTipo,AD1674,tcLiq,"Sí")&gt;0),IF(OR(P1674="Gasto",P1674="Transferencia",P1674="Pago tarjeta"),-1,1)*S1674,0)+IF(AND(AE1674&lt;&gt;"",COUNTIFS(tcTipo,AE1674,tcLiq,"Sí")&gt;0),S1674,0))</f>
        <v/>
      </c>
      <c r="AI1674" s="52">
        <f>IF(OR(L1674="",P1674=""),"",IF(COUNTIFS(L$6:L1674,L1674,P$6:P1674,"?*")=1,MAX(AI$5:AI1673)+1,""))</f>
        <v/>
      </c>
    </row>
    <row r="1675">
      <c r="B1675" s="47" t="n"/>
      <c r="C1675" s="48" t="n"/>
      <c r="D1675" s="48" t="n"/>
      <c r="E1675" s="48" t="n"/>
      <c r="F1675" s="48" t="n"/>
      <c r="G1675" s="49" t="n"/>
      <c r="H1675" s="48" t="n"/>
      <c r="I1675" s="50" t="n"/>
      <c r="J1675" s="48" t="n"/>
      <c r="K1675" s="48" t="n"/>
      <c r="L1675" s="48" t="n"/>
      <c r="M1675" s="48" t="n"/>
      <c r="N1675" s="48" t="n"/>
      <c r="O1675" s="51">
        <f>IF(AND(B1675="",G1675="",C1675="",D1675="",J1675=""),"",IF(B1675="","⚠ Falta fecha",IF(G1675="","⚠ Falta monto",IF(Q1675="","⚠ Falta cuenta",IF(ISNA(MATCH(Q1675,ctaNombre,0)),"⚠ Cuenta no registrada",IF(AND(OR(P1675="Gasto",P1675="Reembolso"),D1675=""),"⚠ Falta categoría",IF(AND(D1675&lt;&gt;"",E1675&lt;&gt;"",ISNA(MATCH(D1675&amp;"|"&amp;E1675,catClave,0))),"⚠ Subcategoría no corresponde",IF(AND(OR(P1675="Transferencia",P1675="Pago tarjeta"),K1675=""),"⚠ Falta cuenta destino",IF(AND(K1675&lt;&gt;"",P1675&lt;&gt;"Transferencia",P1675&lt;&gt;"Pago tarjeta"),"⚠ Destino solo aplica a transferencias",IF(AND(K1675&lt;&gt;"",K1675=Q1675),"⚠ Origen igual a destino",IF(AND(K1675&lt;&gt;"",ISNA(MATCH(K1675,ctaNombre,0))),"⚠ Destino no registrado",IF(AND(P1675="Pago tarjeta",AE1675&lt;&gt;"Tarjeta de crédito"),"⚠ El destino debe ser tarjeta de crédito",IF(AND(P1675="Gasto",E1675="Depósitos y retiros"),"⚠ Usa tipo Transferencia",IF(AND(P1675="Resultado trading",AD1675&lt;&gt;"Cuenta de trading"),"⚠ Usa una cuenta de trading",IF(AND(G1675&lt;=0,P1675&lt;&gt;"Ajuste",P1675&lt;&gt;"Resultado trading"),"⚠ El monto debe ser positivo","✓")))))))))))))))</f>
        <v/>
      </c>
      <c r="P1675" s="52">
        <f>IF(OR(B1675="",G1675=""),"",IF(C1675="","Gasto",C1675))</f>
        <v/>
      </c>
      <c r="Q1675" s="52">
        <f>IF(P1675="","",IF(J1675&lt;&gt;"",J1675,CuentaPred&amp;""))</f>
        <v/>
      </c>
      <c r="R1675" s="52">
        <f>IF(P1675="","",IF(ISNUMBER(I1675),I1675,TasaUSD))</f>
        <v/>
      </c>
      <c r="S1675" s="53">
        <f>IF(P1675="","",IF(H1675="USD",G1675*R1675,G1675))</f>
        <v/>
      </c>
      <c r="T1675" s="53">
        <f>IF(P1675="","",IF(H1675="USD",G1675,IF(R1675&gt;0,G1675/R1675,0)))</f>
        <v/>
      </c>
      <c r="U1675" s="53">
        <f>IF(P1675="","",IF(P1675="Gasto",S1675,IF(P1675="Reembolso",-S1675,0)))</f>
        <v/>
      </c>
      <c r="V1675" s="53">
        <f>IF(P1675="","",IF(P1675="Ingreso",S1675,0))</f>
        <v/>
      </c>
      <c r="W1675" s="53">
        <f>IF(P1675="","",IF(P1675="Resultado trading",S1675,0))</f>
        <v/>
      </c>
      <c r="X1675" s="52">
        <f>IF(OR(P1675="Gasto",P1675="Reembolso"),IF(M1675&lt;&gt;"",M1675,IFERROR(INDEX(catClasif,MATCH(D1675&amp;"|"&amp;E1675,catClave,0))&amp;"","Variable")),"")</f>
        <v/>
      </c>
      <c r="Y1675" s="52">
        <f>IF(P1675="","",IFERROR(INDEX(catGrupo,MATCH(D1675&amp;"|"&amp;E1675,catClave,0))&amp;"",""))</f>
        <v/>
      </c>
      <c r="Z1675" s="52">
        <f>IF(P1675="","",WEEKDAY(B1675,2))</f>
        <v/>
      </c>
      <c r="AA1675" s="52">
        <f>IF(P1675="","",IF(AND(P1675="Gasto",X1675="Variable",D1675&lt;&gt;catTrading,S1675&gt;0,S1675&lt;=Umbral),1,0))</f>
        <v/>
      </c>
      <c r="AB1675" s="52">
        <f>IF(OR(P1675="",Q1675=""),"",IFERROR(IF(INDEX(ctaVinc,MATCH(Q1675,ctaNombre,0))&amp;""&lt;&gt;"",INDEX(ctaVinc,MATCH(Q1675,ctaNombre,0))&amp;"",Q1675),Q1675))</f>
        <v/>
      </c>
      <c r="AC1675" s="52">
        <f>IF(OR(K1675="",AND(P1675&lt;&gt;"Transferencia",P1675&lt;&gt;"Pago tarjeta")),"",IFERROR(IF(INDEX(ctaVinc,MATCH(K1675,ctaNombre,0))&amp;""&lt;&gt;"",INDEX(ctaVinc,MATCH(K1675,ctaNombre,0))&amp;"",K1675),K1675))</f>
        <v/>
      </c>
      <c r="AD1675" s="52">
        <f>IF(AB1675="","",IFERROR(INDEX(ctaTipo,MATCH(AB1675,ctaNombre,0))&amp;"",""))</f>
        <v/>
      </c>
      <c r="AE1675" s="52">
        <f>IF(AC1675="","",IFERROR(INDEX(ctaTipo,MATCH(AC1675,ctaNombre,0))&amp;"",""))</f>
        <v/>
      </c>
      <c r="AF1675" s="53">
        <f>IF(OR(P1675="",AB1675=""),"",IF(OR(P1675="Gasto",P1675="Transferencia",P1675="Pago tarjeta"),-1,1)*IF(IFERROR(INDEX(ctaMoneda,MATCH(AB1675,ctaNombre,0))&amp;"","DOP")="USD",T1675,S1675))</f>
        <v/>
      </c>
      <c r="AG1675" s="53">
        <f>IF(AC1675="","",IF(IFERROR(INDEX(ctaMoneda,MATCH(AC1675,ctaNombre,0))&amp;"","DOP")="USD",T1675,S1675))</f>
        <v/>
      </c>
      <c r="AH1675" s="53">
        <f>IF(P1675="","",IF(AND(AD1675&lt;&gt;"",COUNTIFS(tcTipo,AD1675,tcLiq,"Sí")&gt;0),IF(OR(P1675="Gasto",P1675="Transferencia",P1675="Pago tarjeta"),-1,1)*S1675,0)+IF(AND(AE1675&lt;&gt;"",COUNTIFS(tcTipo,AE1675,tcLiq,"Sí")&gt;0),S1675,0))</f>
        <v/>
      </c>
      <c r="AI1675" s="52">
        <f>IF(OR(L1675="",P1675=""),"",IF(COUNTIFS(L$6:L1675,L1675,P$6:P1675,"?*")=1,MAX(AI$5:AI1674)+1,""))</f>
        <v/>
      </c>
    </row>
    <row r="1676">
      <c r="B1676" s="47" t="n"/>
      <c r="C1676" s="48" t="n"/>
      <c r="D1676" s="48" t="n"/>
      <c r="E1676" s="48" t="n"/>
      <c r="F1676" s="48" t="n"/>
      <c r="G1676" s="49" t="n"/>
      <c r="H1676" s="48" t="n"/>
      <c r="I1676" s="50" t="n"/>
      <c r="J1676" s="48" t="n"/>
      <c r="K1676" s="48" t="n"/>
      <c r="L1676" s="48" t="n"/>
      <c r="M1676" s="48" t="n"/>
      <c r="N1676" s="48" t="n"/>
      <c r="O1676" s="51">
        <f>IF(AND(B1676="",G1676="",C1676="",D1676="",J1676=""),"",IF(B1676="","⚠ Falta fecha",IF(G1676="","⚠ Falta monto",IF(Q1676="","⚠ Falta cuenta",IF(ISNA(MATCH(Q1676,ctaNombre,0)),"⚠ Cuenta no registrada",IF(AND(OR(P1676="Gasto",P1676="Reembolso"),D1676=""),"⚠ Falta categoría",IF(AND(D1676&lt;&gt;"",E1676&lt;&gt;"",ISNA(MATCH(D1676&amp;"|"&amp;E1676,catClave,0))),"⚠ Subcategoría no corresponde",IF(AND(OR(P1676="Transferencia",P1676="Pago tarjeta"),K1676=""),"⚠ Falta cuenta destino",IF(AND(K1676&lt;&gt;"",P1676&lt;&gt;"Transferencia",P1676&lt;&gt;"Pago tarjeta"),"⚠ Destino solo aplica a transferencias",IF(AND(K1676&lt;&gt;"",K1676=Q1676),"⚠ Origen igual a destino",IF(AND(K1676&lt;&gt;"",ISNA(MATCH(K1676,ctaNombre,0))),"⚠ Destino no registrado",IF(AND(P1676="Pago tarjeta",AE1676&lt;&gt;"Tarjeta de crédito"),"⚠ El destino debe ser tarjeta de crédito",IF(AND(P1676="Gasto",E1676="Depósitos y retiros"),"⚠ Usa tipo Transferencia",IF(AND(P1676="Resultado trading",AD1676&lt;&gt;"Cuenta de trading"),"⚠ Usa una cuenta de trading",IF(AND(G1676&lt;=0,P1676&lt;&gt;"Ajuste",P1676&lt;&gt;"Resultado trading"),"⚠ El monto debe ser positivo","✓")))))))))))))))</f>
        <v/>
      </c>
      <c r="P1676" s="52">
        <f>IF(OR(B1676="",G1676=""),"",IF(C1676="","Gasto",C1676))</f>
        <v/>
      </c>
      <c r="Q1676" s="52">
        <f>IF(P1676="","",IF(J1676&lt;&gt;"",J1676,CuentaPred&amp;""))</f>
        <v/>
      </c>
      <c r="R1676" s="52">
        <f>IF(P1676="","",IF(ISNUMBER(I1676),I1676,TasaUSD))</f>
        <v/>
      </c>
      <c r="S1676" s="53">
        <f>IF(P1676="","",IF(H1676="USD",G1676*R1676,G1676))</f>
        <v/>
      </c>
      <c r="T1676" s="53">
        <f>IF(P1676="","",IF(H1676="USD",G1676,IF(R1676&gt;0,G1676/R1676,0)))</f>
        <v/>
      </c>
      <c r="U1676" s="53">
        <f>IF(P1676="","",IF(P1676="Gasto",S1676,IF(P1676="Reembolso",-S1676,0)))</f>
        <v/>
      </c>
      <c r="V1676" s="53">
        <f>IF(P1676="","",IF(P1676="Ingreso",S1676,0))</f>
        <v/>
      </c>
      <c r="W1676" s="53">
        <f>IF(P1676="","",IF(P1676="Resultado trading",S1676,0))</f>
        <v/>
      </c>
      <c r="X1676" s="52">
        <f>IF(OR(P1676="Gasto",P1676="Reembolso"),IF(M1676&lt;&gt;"",M1676,IFERROR(INDEX(catClasif,MATCH(D1676&amp;"|"&amp;E1676,catClave,0))&amp;"","Variable")),"")</f>
        <v/>
      </c>
      <c r="Y1676" s="52">
        <f>IF(P1676="","",IFERROR(INDEX(catGrupo,MATCH(D1676&amp;"|"&amp;E1676,catClave,0))&amp;"",""))</f>
        <v/>
      </c>
      <c r="Z1676" s="52">
        <f>IF(P1676="","",WEEKDAY(B1676,2))</f>
        <v/>
      </c>
      <c r="AA1676" s="52">
        <f>IF(P1676="","",IF(AND(P1676="Gasto",X1676="Variable",D1676&lt;&gt;catTrading,S1676&gt;0,S1676&lt;=Umbral),1,0))</f>
        <v/>
      </c>
      <c r="AB1676" s="52">
        <f>IF(OR(P1676="",Q1676=""),"",IFERROR(IF(INDEX(ctaVinc,MATCH(Q1676,ctaNombre,0))&amp;""&lt;&gt;"",INDEX(ctaVinc,MATCH(Q1676,ctaNombre,0))&amp;"",Q1676),Q1676))</f>
        <v/>
      </c>
      <c r="AC1676" s="52">
        <f>IF(OR(K1676="",AND(P1676&lt;&gt;"Transferencia",P1676&lt;&gt;"Pago tarjeta")),"",IFERROR(IF(INDEX(ctaVinc,MATCH(K1676,ctaNombre,0))&amp;""&lt;&gt;"",INDEX(ctaVinc,MATCH(K1676,ctaNombre,0))&amp;"",K1676),K1676))</f>
        <v/>
      </c>
      <c r="AD1676" s="52">
        <f>IF(AB1676="","",IFERROR(INDEX(ctaTipo,MATCH(AB1676,ctaNombre,0))&amp;"",""))</f>
        <v/>
      </c>
      <c r="AE1676" s="52">
        <f>IF(AC1676="","",IFERROR(INDEX(ctaTipo,MATCH(AC1676,ctaNombre,0))&amp;"",""))</f>
        <v/>
      </c>
      <c r="AF1676" s="53">
        <f>IF(OR(P1676="",AB1676=""),"",IF(OR(P1676="Gasto",P1676="Transferencia",P1676="Pago tarjeta"),-1,1)*IF(IFERROR(INDEX(ctaMoneda,MATCH(AB1676,ctaNombre,0))&amp;"","DOP")="USD",T1676,S1676))</f>
        <v/>
      </c>
      <c r="AG1676" s="53">
        <f>IF(AC1676="","",IF(IFERROR(INDEX(ctaMoneda,MATCH(AC1676,ctaNombre,0))&amp;"","DOP")="USD",T1676,S1676))</f>
        <v/>
      </c>
      <c r="AH1676" s="53">
        <f>IF(P1676="","",IF(AND(AD1676&lt;&gt;"",COUNTIFS(tcTipo,AD1676,tcLiq,"Sí")&gt;0),IF(OR(P1676="Gasto",P1676="Transferencia",P1676="Pago tarjeta"),-1,1)*S1676,0)+IF(AND(AE1676&lt;&gt;"",COUNTIFS(tcTipo,AE1676,tcLiq,"Sí")&gt;0),S1676,0))</f>
        <v/>
      </c>
      <c r="AI1676" s="52">
        <f>IF(OR(L1676="",P1676=""),"",IF(COUNTIFS(L$6:L1676,L1676,P$6:P1676,"?*")=1,MAX(AI$5:AI1675)+1,""))</f>
        <v/>
      </c>
    </row>
    <row r="1677">
      <c r="B1677" s="47" t="n"/>
      <c r="C1677" s="48" t="n"/>
      <c r="D1677" s="48" t="n"/>
      <c r="E1677" s="48" t="n"/>
      <c r="F1677" s="48" t="n"/>
      <c r="G1677" s="49" t="n"/>
      <c r="H1677" s="48" t="n"/>
      <c r="I1677" s="50" t="n"/>
      <c r="J1677" s="48" t="n"/>
      <c r="K1677" s="48" t="n"/>
      <c r="L1677" s="48" t="n"/>
      <c r="M1677" s="48" t="n"/>
      <c r="N1677" s="48" t="n"/>
      <c r="O1677" s="51">
        <f>IF(AND(B1677="",G1677="",C1677="",D1677="",J1677=""),"",IF(B1677="","⚠ Falta fecha",IF(G1677="","⚠ Falta monto",IF(Q1677="","⚠ Falta cuenta",IF(ISNA(MATCH(Q1677,ctaNombre,0)),"⚠ Cuenta no registrada",IF(AND(OR(P1677="Gasto",P1677="Reembolso"),D1677=""),"⚠ Falta categoría",IF(AND(D1677&lt;&gt;"",E1677&lt;&gt;"",ISNA(MATCH(D1677&amp;"|"&amp;E1677,catClave,0))),"⚠ Subcategoría no corresponde",IF(AND(OR(P1677="Transferencia",P1677="Pago tarjeta"),K1677=""),"⚠ Falta cuenta destino",IF(AND(K1677&lt;&gt;"",P1677&lt;&gt;"Transferencia",P1677&lt;&gt;"Pago tarjeta"),"⚠ Destino solo aplica a transferencias",IF(AND(K1677&lt;&gt;"",K1677=Q1677),"⚠ Origen igual a destino",IF(AND(K1677&lt;&gt;"",ISNA(MATCH(K1677,ctaNombre,0))),"⚠ Destino no registrado",IF(AND(P1677="Pago tarjeta",AE1677&lt;&gt;"Tarjeta de crédito"),"⚠ El destino debe ser tarjeta de crédito",IF(AND(P1677="Gasto",E1677="Depósitos y retiros"),"⚠ Usa tipo Transferencia",IF(AND(P1677="Resultado trading",AD1677&lt;&gt;"Cuenta de trading"),"⚠ Usa una cuenta de trading",IF(AND(G1677&lt;=0,P1677&lt;&gt;"Ajuste",P1677&lt;&gt;"Resultado trading"),"⚠ El monto debe ser positivo","✓")))))))))))))))</f>
        <v/>
      </c>
      <c r="P1677" s="52">
        <f>IF(OR(B1677="",G1677=""),"",IF(C1677="","Gasto",C1677))</f>
        <v/>
      </c>
      <c r="Q1677" s="52">
        <f>IF(P1677="","",IF(J1677&lt;&gt;"",J1677,CuentaPred&amp;""))</f>
        <v/>
      </c>
      <c r="R1677" s="52">
        <f>IF(P1677="","",IF(ISNUMBER(I1677),I1677,TasaUSD))</f>
        <v/>
      </c>
      <c r="S1677" s="53">
        <f>IF(P1677="","",IF(H1677="USD",G1677*R1677,G1677))</f>
        <v/>
      </c>
      <c r="T1677" s="53">
        <f>IF(P1677="","",IF(H1677="USD",G1677,IF(R1677&gt;0,G1677/R1677,0)))</f>
        <v/>
      </c>
      <c r="U1677" s="53">
        <f>IF(P1677="","",IF(P1677="Gasto",S1677,IF(P1677="Reembolso",-S1677,0)))</f>
        <v/>
      </c>
      <c r="V1677" s="53">
        <f>IF(P1677="","",IF(P1677="Ingreso",S1677,0))</f>
        <v/>
      </c>
      <c r="W1677" s="53">
        <f>IF(P1677="","",IF(P1677="Resultado trading",S1677,0))</f>
        <v/>
      </c>
      <c r="X1677" s="52">
        <f>IF(OR(P1677="Gasto",P1677="Reembolso"),IF(M1677&lt;&gt;"",M1677,IFERROR(INDEX(catClasif,MATCH(D1677&amp;"|"&amp;E1677,catClave,0))&amp;"","Variable")),"")</f>
        <v/>
      </c>
      <c r="Y1677" s="52">
        <f>IF(P1677="","",IFERROR(INDEX(catGrupo,MATCH(D1677&amp;"|"&amp;E1677,catClave,0))&amp;"",""))</f>
        <v/>
      </c>
      <c r="Z1677" s="52">
        <f>IF(P1677="","",WEEKDAY(B1677,2))</f>
        <v/>
      </c>
      <c r="AA1677" s="52">
        <f>IF(P1677="","",IF(AND(P1677="Gasto",X1677="Variable",D1677&lt;&gt;catTrading,S1677&gt;0,S1677&lt;=Umbral),1,0))</f>
        <v/>
      </c>
      <c r="AB1677" s="52">
        <f>IF(OR(P1677="",Q1677=""),"",IFERROR(IF(INDEX(ctaVinc,MATCH(Q1677,ctaNombre,0))&amp;""&lt;&gt;"",INDEX(ctaVinc,MATCH(Q1677,ctaNombre,0))&amp;"",Q1677),Q1677))</f>
        <v/>
      </c>
      <c r="AC1677" s="52">
        <f>IF(OR(K1677="",AND(P1677&lt;&gt;"Transferencia",P1677&lt;&gt;"Pago tarjeta")),"",IFERROR(IF(INDEX(ctaVinc,MATCH(K1677,ctaNombre,0))&amp;""&lt;&gt;"",INDEX(ctaVinc,MATCH(K1677,ctaNombre,0))&amp;"",K1677),K1677))</f>
        <v/>
      </c>
      <c r="AD1677" s="52">
        <f>IF(AB1677="","",IFERROR(INDEX(ctaTipo,MATCH(AB1677,ctaNombre,0))&amp;"",""))</f>
        <v/>
      </c>
      <c r="AE1677" s="52">
        <f>IF(AC1677="","",IFERROR(INDEX(ctaTipo,MATCH(AC1677,ctaNombre,0))&amp;"",""))</f>
        <v/>
      </c>
      <c r="AF1677" s="53">
        <f>IF(OR(P1677="",AB1677=""),"",IF(OR(P1677="Gasto",P1677="Transferencia",P1677="Pago tarjeta"),-1,1)*IF(IFERROR(INDEX(ctaMoneda,MATCH(AB1677,ctaNombre,0))&amp;"","DOP")="USD",T1677,S1677))</f>
        <v/>
      </c>
      <c r="AG1677" s="53">
        <f>IF(AC1677="","",IF(IFERROR(INDEX(ctaMoneda,MATCH(AC1677,ctaNombre,0))&amp;"","DOP")="USD",T1677,S1677))</f>
        <v/>
      </c>
      <c r="AH1677" s="53">
        <f>IF(P1677="","",IF(AND(AD1677&lt;&gt;"",COUNTIFS(tcTipo,AD1677,tcLiq,"Sí")&gt;0),IF(OR(P1677="Gasto",P1677="Transferencia",P1677="Pago tarjeta"),-1,1)*S1677,0)+IF(AND(AE1677&lt;&gt;"",COUNTIFS(tcTipo,AE1677,tcLiq,"Sí")&gt;0),S1677,0))</f>
        <v/>
      </c>
      <c r="AI1677" s="52">
        <f>IF(OR(L1677="",P1677=""),"",IF(COUNTIFS(L$6:L1677,L1677,P$6:P1677,"?*")=1,MAX(AI$5:AI1676)+1,""))</f>
        <v/>
      </c>
    </row>
    <row r="1678">
      <c r="B1678" s="47" t="n"/>
      <c r="C1678" s="48" t="n"/>
      <c r="D1678" s="48" t="n"/>
      <c r="E1678" s="48" t="n"/>
      <c r="F1678" s="48" t="n"/>
      <c r="G1678" s="49" t="n"/>
      <c r="H1678" s="48" t="n"/>
      <c r="I1678" s="50" t="n"/>
      <c r="J1678" s="48" t="n"/>
      <c r="K1678" s="48" t="n"/>
      <c r="L1678" s="48" t="n"/>
      <c r="M1678" s="48" t="n"/>
      <c r="N1678" s="48" t="n"/>
      <c r="O1678" s="51">
        <f>IF(AND(B1678="",G1678="",C1678="",D1678="",J1678=""),"",IF(B1678="","⚠ Falta fecha",IF(G1678="","⚠ Falta monto",IF(Q1678="","⚠ Falta cuenta",IF(ISNA(MATCH(Q1678,ctaNombre,0)),"⚠ Cuenta no registrada",IF(AND(OR(P1678="Gasto",P1678="Reembolso"),D1678=""),"⚠ Falta categoría",IF(AND(D1678&lt;&gt;"",E1678&lt;&gt;"",ISNA(MATCH(D1678&amp;"|"&amp;E1678,catClave,0))),"⚠ Subcategoría no corresponde",IF(AND(OR(P1678="Transferencia",P1678="Pago tarjeta"),K1678=""),"⚠ Falta cuenta destino",IF(AND(K1678&lt;&gt;"",P1678&lt;&gt;"Transferencia",P1678&lt;&gt;"Pago tarjeta"),"⚠ Destino solo aplica a transferencias",IF(AND(K1678&lt;&gt;"",K1678=Q1678),"⚠ Origen igual a destino",IF(AND(K1678&lt;&gt;"",ISNA(MATCH(K1678,ctaNombre,0))),"⚠ Destino no registrado",IF(AND(P1678="Pago tarjeta",AE1678&lt;&gt;"Tarjeta de crédito"),"⚠ El destino debe ser tarjeta de crédito",IF(AND(P1678="Gasto",E1678="Depósitos y retiros"),"⚠ Usa tipo Transferencia",IF(AND(P1678="Resultado trading",AD1678&lt;&gt;"Cuenta de trading"),"⚠ Usa una cuenta de trading",IF(AND(G1678&lt;=0,P1678&lt;&gt;"Ajuste",P1678&lt;&gt;"Resultado trading"),"⚠ El monto debe ser positivo","✓")))))))))))))))</f>
        <v/>
      </c>
      <c r="P1678" s="52">
        <f>IF(OR(B1678="",G1678=""),"",IF(C1678="","Gasto",C1678))</f>
        <v/>
      </c>
      <c r="Q1678" s="52">
        <f>IF(P1678="","",IF(J1678&lt;&gt;"",J1678,CuentaPred&amp;""))</f>
        <v/>
      </c>
      <c r="R1678" s="52">
        <f>IF(P1678="","",IF(ISNUMBER(I1678),I1678,TasaUSD))</f>
        <v/>
      </c>
      <c r="S1678" s="53">
        <f>IF(P1678="","",IF(H1678="USD",G1678*R1678,G1678))</f>
        <v/>
      </c>
      <c r="T1678" s="53">
        <f>IF(P1678="","",IF(H1678="USD",G1678,IF(R1678&gt;0,G1678/R1678,0)))</f>
        <v/>
      </c>
      <c r="U1678" s="53">
        <f>IF(P1678="","",IF(P1678="Gasto",S1678,IF(P1678="Reembolso",-S1678,0)))</f>
        <v/>
      </c>
      <c r="V1678" s="53">
        <f>IF(P1678="","",IF(P1678="Ingreso",S1678,0))</f>
        <v/>
      </c>
      <c r="W1678" s="53">
        <f>IF(P1678="","",IF(P1678="Resultado trading",S1678,0))</f>
        <v/>
      </c>
      <c r="X1678" s="52">
        <f>IF(OR(P1678="Gasto",P1678="Reembolso"),IF(M1678&lt;&gt;"",M1678,IFERROR(INDEX(catClasif,MATCH(D1678&amp;"|"&amp;E1678,catClave,0))&amp;"","Variable")),"")</f>
        <v/>
      </c>
      <c r="Y1678" s="52">
        <f>IF(P1678="","",IFERROR(INDEX(catGrupo,MATCH(D1678&amp;"|"&amp;E1678,catClave,0))&amp;"",""))</f>
        <v/>
      </c>
      <c r="Z1678" s="52">
        <f>IF(P1678="","",WEEKDAY(B1678,2))</f>
        <v/>
      </c>
      <c r="AA1678" s="52">
        <f>IF(P1678="","",IF(AND(P1678="Gasto",X1678="Variable",D1678&lt;&gt;catTrading,S1678&gt;0,S1678&lt;=Umbral),1,0))</f>
        <v/>
      </c>
      <c r="AB1678" s="52">
        <f>IF(OR(P1678="",Q1678=""),"",IFERROR(IF(INDEX(ctaVinc,MATCH(Q1678,ctaNombre,0))&amp;""&lt;&gt;"",INDEX(ctaVinc,MATCH(Q1678,ctaNombre,0))&amp;"",Q1678),Q1678))</f>
        <v/>
      </c>
      <c r="AC1678" s="52">
        <f>IF(OR(K1678="",AND(P1678&lt;&gt;"Transferencia",P1678&lt;&gt;"Pago tarjeta")),"",IFERROR(IF(INDEX(ctaVinc,MATCH(K1678,ctaNombre,0))&amp;""&lt;&gt;"",INDEX(ctaVinc,MATCH(K1678,ctaNombre,0))&amp;"",K1678),K1678))</f>
        <v/>
      </c>
      <c r="AD1678" s="52">
        <f>IF(AB1678="","",IFERROR(INDEX(ctaTipo,MATCH(AB1678,ctaNombre,0))&amp;"",""))</f>
        <v/>
      </c>
      <c r="AE1678" s="52">
        <f>IF(AC1678="","",IFERROR(INDEX(ctaTipo,MATCH(AC1678,ctaNombre,0))&amp;"",""))</f>
        <v/>
      </c>
      <c r="AF1678" s="53">
        <f>IF(OR(P1678="",AB1678=""),"",IF(OR(P1678="Gasto",P1678="Transferencia",P1678="Pago tarjeta"),-1,1)*IF(IFERROR(INDEX(ctaMoneda,MATCH(AB1678,ctaNombre,0))&amp;"","DOP")="USD",T1678,S1678))</f>
        <v/>
      </c>
      <c r="AG1678" s="53">
        <f>IF(AC1678="","",IF(IFERROR(INDEX(ctaMoneda,MATCH(AC1678,ctaNombre,0))&amp;"","DOP")="USD",T1678,S1678))</f>
        <v/>
      </c>
      <c r="AH1678" s="53">
        <f>IF(P1678="","",IF(AND(AD1678&lt;&gt;"",COUNTIFS(tcTipo,AD1678,tcLiq,"Sí")&gt;0),IF(OR(P1678="Gasto",P1678="Transferencia",P1678="Pago tarjeta"),-1,1)*S1678,0)+IF(AND(AE1678&lt;&gt;"",COUNTIFS(tcTipo,AE1678,tcLiq,"Sí")&gt;0),S1678,0))</f>
        <v/>
      </c>
      <c r="AI1678" s="52">
        <f>IF(OR(L1678="",P1678=""),"",IF(COUNTIFS(L$6:L1678,L1678,P$6:P1678,"?*")=1,MAX(AI$5:AI1677)+1,""))</f>
        <v/>
      </c>
    </row>
    <row r="1679">
      <c r="B1679" s="47" t="n"/>
      <c r="C1679" s="48" t="n"/>
      <c r="D1679" s="48" t="n"/>
      <c r="E1679" s="48" t="n"/>
      <c r="F1679" s="48" t="n"/>
      <c r="G1679" s="49" t="n"/>
      <c r="H1679" s="48" t="n"/>
      <c r="I1679" s="50" t="n"/>
      <c r="J1679" s="48" t="n"/>
      <c r="K1679" s="48" t="n"/>
      <c r="L1679" s="48" t="n"/>
      <c r="M1679" s="48" t="n"/>
      <c r="N1679" s="48" t="n"/>
      <c r="O1679" s="51">
        <f>IF(AND(B1679="",G1679="",C1679="",D1679="",J1679=""),"",IF(B1679="","⚠ Falta fecha",IF(G1679="","⚠ Falta monto",IF(Q1679="","⚠ Falta cuenta",IF(ISNA(MATCH(Q1679,ctaNombre,0)),"⚠ Cuenta no registrada",IF(AND(OR(P1679="Gasto",P1679="Reembolso"),D1679=""),"⚠ Falta categoría",IF(AND(D1679&lt;&gt;"",E1679&lt;&gt;"",ISNA(MATCH(D1679&amp;"|"&amp;E1679,catClave,0))),"⚠ Subcategoría no corresponde",IF(AND(OR(P1679="Transferencia",P1679="Pago tarjeta"),K1679=""),"⚠ Falta cuenta destino",IF(AND(K1679&lt;&gt;"",P1679&lt;&gt;"Transferencia",P1679&lt;&gt;"Pago tarjeta"),"⚠ Destino solo aplica a transferencias",IF(AND(K1679&lt;&gt;"",K1679=Q1679),"⚠ Origen igual a destino",IF(AND(K1679&lt;&gt;"",ISNA(MATCH(K1679,ctaNombre,0))),"⚠ Destino no registrado",IF(AND(P1679="Pago tarjeta",AE1679&lt;&gt;"Tarjeta de crédito"),"⚠ El destino debe ser tarjeta de crédito",IF(AND(P1679="Gasto",E1679="Depósitos y retiros"),"⚠ Usa tipo Transferencia",IF(AND(P1679="Resultado trading",AD1679&lt;&gt;"Cuenta de trading"),"⚠ Usa una cuenta de trading",IF(AND(G1679&lt;=0,P1679&lt;&gt;"Ajuste",P1679&lt;&gt;"Resultado trading"),"⚠ El monto debe ser positivo","✓")))))))))))))))</f>
        <v/>
      </c>
      <c r="P1679" s="52">
        <f>IF(OR(B1679="",G1679=""),"",IF(C1679="","Gasto",C1679))</f>
        <v/>
      </c>
      <c r="Q1679" s="52">
        <f>IF(P1679="","",IF(J1679&lt;&gt;"",J1679,CuentaPred&amp;""))</f>
        <v/>
      </c>
      <c r="R1679" s="52">
        <f>IF(P1679="","",IF(ISNUMBER(I1679),I1679,TasaUSD))</f>
        <v/>
      </c>
      <c r="S1679" s="53">
        <f>IF(P1679="","",IF(H1679="USD",G1679*R1679,G1679))</f>
        <v/>
      </c>
      <c r="T1679" s="53">
        <f>IF(P1679="","",IF(H1679="USD",G1679,IF(R1679&gt;0,G1679/R1679,0)))</f>
        <v/>
      </c>
      <c r="U1679" s="53">
        <f>IF(P1679="","",IF(P1679="Gasto",S1679,IF(P1679="Reembolso",-S1679,0)))</f>
        <v/>
      </c>
      <c r="V1679" s="53">
        <f>IF(P1679="","",IF(P1679="Ingreso",S1679,0))</f>
        <v/>
      </c>
      <c r="W1679" s="53">
        <f>IF(P1679="","",IF(P1679="Resultado trading",S1679,0))</f>
        <v/>
      </c>
      <c r="X1679" s="52">
        <f>IF(OR(P1679="Gasto",P1679="Reembolso"),IF(M1679&lt;&gt;"",M1679,IFERROR(INDEX(catClasif,MATCH(D1679&amp;"|"&amp;E1679,catClave,0))&amp;"","Variable")),"")</f>
        <v/>
      </c>
      <c r="Y1679" s="52">
        <f>IF(P1679="","",IFERROR(INDEX(catGrupo,MATCH(D1679&amp;"|"&amp;E1679,catClave,0))&amp;"",""))</f>
        <v/>
      </c>
      <c r="Z1679" s="52">
        <f>IF(P1679="","",WEEKDAY(B1679,2))</f>
        <v/>
      </c>
      <c r="AA1679" s="52">
        <f>IF(P1679="","",IF(AND(P1679="Gasto",X1679="Variable",D1679&lt;&gt;catTrading,S1679&gt;0,S1679&lt;=Umbral),1,0))</f>
        <v/>
      </c>
      <c r="AB1679" s="52">
        <f>IF(OR(P1679="",Q1679=""),"",IFERROR(IF(INDEX(ctaVinc,MATCH(Q1679,ctaNombre,0))&amp;""&lt;&gt;"",INDEX(ctaVinc,MATCH(Q1679,ctaNombre,0))&amp;"",Q1679),Q1679))</f>
        <v/>
      </c>
      <c r="AC1679" s="52">
        <f>IF(OR(K1679="",AND(P1679&lt;&gt;"Transferencia",P1679&lt;&gt;"Pago tarjeta")),"",IFERROR(IF(INDEX(ctaVinc,MATCH(K1679,ctaNombre,0))&amp;""&lt;&gt;"",INDEX(ctaVinc,MATCH(K1679,ctaNombre,0))&amp;"",K1679),K1679))</f>
        <v/>
      </c>
      <c r="AD1679" s="52">
        <f>IF(AB1679="","",IFERROR(INDEX(ctaTipo,MATCH(AB1679,ctaNombre,0))&amp;"",""))</f>
        <v/>
      </c>
      <c r="AE1679" s="52">
        <f>IF(AC1679="","",IFERROR(INDEX(ctaTipo,MATCH(AC1679,ctaNombre,0))&amp;"",""))</f>
        <v/>
      </c>
      <c r="AF1679" s="53">
        <f>IF(OR(P1679="",AB1679=""),"",IF(OR(P1679="Gasto",P1679="Transferencia",P1679="Pago tarjeta"),-1,1)*IF(IFERROR(INDEX(ctaMoneda,MATCH(AB1679,ctaNombre,0))&amp;"","DOP")="USD",T1679,S1679))</f>
        <v/>
      </c>
      <c r="AG1679" s="53">
        <f>IF(AC1679="","",IF(IFERROR(INDEX(ctaMoneda,MATCH(AC1679,ctaNombre,0))&amp;"","DOP")="USD",T1679,S1679))</f>
        <v/>
      </c>
      <c r="AH1679" s="53">
        <f>IF(P1679="","",IF(AND(AD1679&lt;&gt;"",COUNTIFS(tcTipo,AD1679,tcLiq,"Sí")&gt;0),IF(OR(P1679="Gasto",P1679="Transferencia",P1679="Pago tarjeta"),-1,1)*S1679,0)+IF(AND(AE1679&lt;&gt;"",COUNTIFS(tcTipo,AE1679,tcLiq,"Sí")&gt;0),S1679,0))</f>
        <v/>
      </c>
      <c r="AI1679" s="52">
        <f>IF(OR(L1679="",P1679=""),"",IF(COUNTIFS(L$6:L1679,L1679,P$6:P1679,"?*")=1,MAX(AI$5:AI1678)+1,""))</f>
        <v/>
      </c>
    </row>
    <row r="1680">
      <c r="B1680" s="47" t="n"/>
      <c r="C1680" s="48" t="n"/>
      <c r="D1680" s="48" t="n"/>
      <c r="E1680" s="48" t="n"/>
      <c r="F1680" s="48" t="n"/>
      <c r="G1680" s="49" t="n"/>
      <c r="H1680" s="48" t="n"/>
      <c r="I1680" s="50" t="n"/>
      <c r="J1680" s="48" t="n"/>
      <c r="K1680" s="48" t="n"/>
      <c r="L1680" s="48" t="n"/>
      <c r="M1680" s="48" t="n"/>
      <c r="N1680" s="48" t="n"/>
      <c r="O1680" s="51">
        <f>IF(AND(B1680="",G1680="",C1680="",D1680="",J1680=""),"",IF(B1680="","⚠ Falta fecha",IF(G1680="","⚠ Falta monto",IF(Q1680="","⚠ Falta cuenta",IF(ISNA(MATCH(Q1680,ctaNombre,0)),"⚠ Cuenta no registrada",IF(AND(OR(P1680="Gasto",P1680="Reembolso"),D1680=""),"⚠ Falta categoría",IF(AND(D1680&lt;&gt;"",E1680&lt;&gt;"",ISNA(MATCH(D1680&amp;"|"&amp;E1680,catClave,0))),"⚠ Subcategoría no corresponde",IF(AND(OR(P1680="Transferencia",P1680="Pago tarjeta"),K1680=""),"⚠ Falta cuenta destino",IF(AND(K1680&lt;&gt;"",P1680&lt;&gt;"Transferencia",P1680&lt;&gt;"Pago tarjeta"),"⚠ Destino solo aplica a transferencias",IF(AND(K1680&lt;&gt;"",K1680=Q1680),"⚠ Origen igual a destino",IF(AND(K1680&lt;&gt;"",ISNA(MATCH(K1680,ctaNombre,0))),"⚠ Destino no registrado",IF(AND(P1680="Pago tarjeta",AE1680&lt;&gt;"Tarjeta de crédito"),"⚠ El destino debe ser tarjeta de crédito",IF(AND(P1680="Gasto",E1680="Depósitos y retiros"),"⚠ Usa tipo Transferencia",IF(AND(P1680="Resultado trading",AD1680&lt;&gt;"Cuenta de trading"),"⚠ Usa una cuenta de trading",IF(AND(G1680&lt;=0,P1680&lt;&gt;"Ajuste",P1680&lt;&gt;"Resultado trading"),"⚠ El monto debe ser positivo","✓")))))))))))))))</f>
        <v/>
      </c>
      <c r="P1680" s="52">
        <f>IF(OR(B1680="",G1680=""),"",IF(C1680="","Gasto",C1680))</f>
        <v/>
      </c>
      <c r="Q1680" s="52">
        <f>IF(P1680="","",IF(J1680&lt;&gt;"",J1680,CuentaPred&amp;""))</f>
        <v/>
      </c>
      <c r="R1680" s="52">
        <f>IF(P1680="","",IF(ISNUMBER(I1680),I1680,TasaUSD))</f>
        <v/>
      </c>
      <c r="S1680" s="53">
        <f>IF(P1680="","",IF(H1680="USD",G1680*R1680,G1680))</f>
        <v/>
      </c>
      <c r="T1680" s="53">
        <f>IF(P1680="","",IF(H1680="USD",G1680,IF(R1680&gt;0,G1680/R1680,0)))</f>
        <v/>
      </c>
      <c r="U1680" s="53">
        <f>IF(P1680="","",IF(P1680="Gasto",S1680,IF(P1680="Reembolso",-S1680,0)))</f>
        <v/>
      </c>
      <c r="V1680" s="53">
        <f>IF(P1680="","",IF(P1680="Ingreso",S1680,0))</f>
        <v/>
      </c>
      <c r="W1680" s="53">
        <f>IF(P1680="","",IF(P1680="Resultado trading",S1680,0))</f>
        <v/>
      </c>
      <c r="X1680" s="52">
        <f>IF(OR(P1680="Gasto",P1680="Reembolso"),IF(M1680&lt;&gt;"",M1680,IFERROR(INDEX(catClasif,MATCH(D1680&amp;"|"&amp;E1680,catClave,0))&amp;"","Variable")),"")</f>
        <v/>
      </c>
      <c r="Y1680" s="52">
        <f>IF(P1680="","",IFERROR(INDEX(catGrupo,MATCH(D1680&amp;"|"&amp;E1680,catClave,0))&amp;"",""))</f>
        <v/>
      </c>
      <c r="Z1680" s="52">
        <f>IF(P1680="","",WEEKDAY(B1680,2))</f>
        <v/>
      </c>
      <c r="AA1680" s="52">
        <f>IF(P1680="","",IF(AND(P1680="Gasto",X1680="Variable",D1680&lt;&gt;catTrading,S1680&gt;0,S1680&lt;=Umbral),1,0))</f>
        <v/>
      </c>
      <c r="AB1680" s="52">
        <f>IF(OR(P1680="",Q1680=""),"",IFERROR(IF(INDEX(ctaVinc,MATCH(Q1680,ctaNombre,0))&amp;""&lt;&gt;"",INDEX(ctaVinc,MATCH(Q1680,ctaNombre,0))&amp;"",Q1680),Q1680))</f>
        <v/>
      </c>
      <c r="AC1680" s="52">
        <f>IF(OR(K1680="",AND(P1680&lt;&gt;"Transferencia",P1680&lt;&gt;"Pago tarjeta")),"",IFERROR(IF(INDEX(ctaVinc,MATCH(K1680,ctaNombre,0))&amp;""&lt;&gt;"",INDEX(ctaVinc,MATCH(K1680,ctaNombre,0))&amp;"",K1680),K1680))</f>
        <v/>
      </c>
      <c r="AD1680" s="52">
        <f>IF(AB1680="","",IFERROR(INDEX(ctaTipo,MATCH(AB1680,ctaNombre,0))&amp;"",""))</f>
        <v/>
      </c>
      <c r="AE1680" s="52">
        <f>IF(AC1680="","",IFERROR(INDEX(ctaTipo,MATCH(AC1680,ctaNombre,0))&amp;"",""))</f>
        <v/>
      </c>
      <c r="AF1680" s="53">
        <f>IF(OR(P1680="",AB1680=""),"",IF(OR(P1680="Gasto",P1680="Transferencia",P1680="Pago tarjeta"),-1,1)*IF(IFERROR(INDEX(ctaMoneda,MATCH(AB1680,ctaNombre,0))&amp;"","DOP")="USD",T1680,S1680))</f>
        <v/>
      </c>
      <c r="AG1680" s="53">
        <f>IF(AC1680="","",IF(IFERROR(INDEX(ctaMoneda,MATCH(AC1680,ctaNombre,0))&amp;"","DOP")="USD",T1680,S1680))</f>
        <v/>
      </c>
      <c r="AH1680" s="53">
        <f>IF(P1680="","",IF(AND(AD1680&lt;&gt;"",COUNTIFS(tcTipo,AD1680,tcLiq,"Sí")&gt;0),IF(OR(P1680="Gasto",P1680="Transferencia",P1680="Pago tarjeta"),-1,1)*S1680,0)+IF(AND(AE1680&lt;&gt;"",COUNTIFS(tcTipo,AE1680,tcLiq,"Sí")&gt;0),S1680,0))</f>
        <v/>
      </c>
      <c r="AI1680" s="52">
        <f>IF(OR(L1680="",P1680=""),"",IF(COUNTIFS(L$6:L1680,L1680,P$6:P1680,"?*")=1,MAX(AI$5:AI1679)+1,""))</f>
        <v/>
      </c>
    </row>
    <row r="1681">
      <c r="B1681" s="47" t="n"/>
      <c r="C1681" s="48" t="n"/>
      <c r="D1681" s="48" t="n"/>
      <c r="E1681" s="48" t="n"/>
      <c r="F1681" s="48" t="n"/>
      <c r="G1681" s="49" t="n"/>
      <c r="H1681" s="48" t="n"/>
      <c r="I1681" s="50" t="n"/>
      <c r="J1681" s="48" t="n"/>
      <c r="K1681" s="48" t="n"/>
      <c r="L1681" s="48" t="n"/>
      <c r="M1681" s="48" t="n"/>
      <c r="N1681" s="48" t="n"/>
      <c r="O1681" s="51">
        <f>IF(AND(B1681="",G1681="",C1681="",D1681="",J1681=""),"",IF(B1681="","⚠ Falta fecha",IF(G1681="","⚠ Falta monto",IF(Q1681="","⚠ Falta cuenta",IF(ISNA(MATCH(Q1681,ctaNombre,0)),"⚠ Cuenta no registrada",IF(AND(OR(P1681="Gasto",P1681="Reembolso"),D1681=""),"⚠ Falta categoría",IF(AND(D1681&lt;&gt;"",E1681&lt;&gt;"",ISNA(MATCH(D1681&amp;"|"&amp;E1681,catClave,0))),"⚠ Subcategoría no corresponde",IF(AND(OR(P1681="Transferencia",P1681="Pago tarjeta"),K1681=""),"⚠ Falta cuenta destino",IF(AND(K1681&lt;&gt;"",P1681&lt;&gt;"Transferencia",P1681&lt;&gt;"Pago tarjeta"),"⚠ Destino solo aplica a transferencias",IF(AND(K1681&lt;&gt;"",K1681=Q1681),"⚠ Origen igual a destino",IF(AND(K1681&lt;&gt;"",ISNA(MATCH(K1681,ctaNombre,0))),"⚠ Destino no registrado",IF(AND(P1681="Pago tarjeta",AE1681&lt;&gt;"Tarjeta de crédito"),"⚠ El destino debe ser tarjeta de crédito",IF(AND(P1681="Gasto",E1681="Depósitos y retiros"),"⚠ Usa tipo Transferencia",IF(AND(P1681="Resultado trading",AD1681&lt;&gt;"Cuenta de trading"),"⚠ Usa una cuenta de trading",IF(AND(G1681&lt;=0,P1681&lt;&gt;"Ajuste",P1681&lt;&gt;"Resultado trading"),"⚠ El monto debe ser positivo","✓")))))))))))))))</f>
        <v/>
      </c>
      <c r="P1681" s="52">
        <f>IF(OR(B1681="",G1681=""),"",IF(C1681="","Gasto",C1681))</f>
        <v/>
      </c>
      <c r="Q1681" s="52">
        <f>IF(P1681="","",IF(J1681&lt;&gt;"",J1681,CuentaPred&amp;""))</f>
        <v/>
      </c>
      <c r="R1681" s="52">
        <f>IF(P1681="","",IF(ISNUMBER(I1681),I1681,TasaUSD))</f>
        <v/>
      </c>
      <c r="S1681" s="53">
        <f>IF(P1681="","",IF(H1681="USD",G1681*R1681,G1681))</f>
        <v/>
      </c>
      <c r="T1681" s="53">
        <f>IF(P1681="","",IF(H1681="USD",G1681,IF(R1681&gt;0,G1681/R1681,0)))</f>
        <v/>
      </c>
      <c r="U1681" s="53">
        <f>IF(P1681="","",IF(P1681="Gasto",S1681,IF(P1681="Reembolso",-S1681,0)))</f>
        <v/>
      </c>
      <c r="V1681" s="53">
        <f>IF(P1681="","",IF(P1681="Ingreso",S1681,0))</f>
        <v/>
      </c>
      <c r="W1681" s="53">
        <f>IF(P1681="","",IF(P1681="Resultado trading",S1681,0))</f>
        <v/>
      </c>
      <c r="X1681" s="52">
        <f>IF(OR(P1681="Gasto",P1681="Reembolso"),IF(M1681&lt;&gt;"",M1681,IFERROR(INDEX(catClasif,MATCH(D1681&amp;"|"&amp;E1681,catClave,0))&amp;"","Variable")),"")</f>
        <v/>
      </c>
      <c r="Y1681" s="52">
        <f>IF(P1681="","",IFERROR(INDEX(catGrupo,MATCH(D1681&amp;"|"&amp;E1681,catClave,0))&amp;"",""))</f>
        <v/>
      </c>
      <c r="Z1681" s="52">
        <f>IF(P1681="","",WEEKDAY(B1681,2))</f>
        <v/>
      </c>
      <c r="AA1681" s="52">
        <f>IF(P1681="","",IF(AND(P1681="Gasto",X1681="Variable",D1681&lt;&gt;catTrading,S1681&gt;0,S1681&lt;=Umbral),1,0))</f>
        <v/>
      </c>
      <c r="AB1681" s="52">
        <f>IF(OR(P1681="",Q1681=""),"",IFERROR(IF(INDEX(ctaVinc,MATCH(Q1681,ctaNombre,0))&amp;""&lt;&gt;"",INDEX(ctaVinc,MATCH(Q1681,ctaNombre,0))&amp;"",Q1681),Q1681))</f>
        <v/>
      </c>
      <c r="AC1681" s="52">
        <f>IF(OR(K1681="",AND(P1681&lt;&gt;"Transferencia",P1681&lt;&gt;"Pago tarjeta")),"",IFERROR(IF(INDEX(ctaVinc,MATCH(K1681,ctaNombre,0))&amp;""&lt;&gt;"",INDEX(ctaVinc,MATCH(K1681,ctaNombre,0))&amp;"",K1681),K1681))</f>
        <v/>
      </c>
      <c r="AD1681" s="52">
        <f>IF(AB1681="","",IFERROR(INDEX(ctaTipo,MATCH(AB1681,ctaNombre,0))&amp;"",""))</f>
        <v/>
      </c>
      <c r="AE1681" s="52">
        <f>IF(AC1681="","",IFERROR(INDEX(ctaTipo,MATCH(AC1681,ctaNombre,0))&amp;"",""))</f>
        <v/>
      </c>
      <c r="AF1681" s="53">
        <f>IF(OR(P1681="",AB1681=""),"",IF(OR(P1681="Gasto",P1681="Transferencia",P1681="Pago tarjeta"),-1,1)*IF(IFERROR(INDEX(ctaMoneda,MATCH(AB1681,ctaNombre,0))&amp;"","DOP")="USD",T1681,S1681))</f>
        <v/>
      </c>
      <c r="AG1681" s="53">
        <f>IF(AC1681="","",IF(IFERROR(INDEX(ctaMoneda,MATCH(AC1681,ctaNombre,0))&amp;"","DOP")="USD",T1681,S1681))</f>
        <v/>
      </c>
      <c r="AH1681" s="53">
        <f>IF(P1681="","",IF(AND(AD1681&lt;&gt;"",COUNTIFS(tcTipo,AD1681,tcLiq,"Sí")&gt;0),IF(OR(P1681="Gasto",P1681="Transferencia",P1681="Pago tarjeta"),-1,1)*S1681,0)+IF(AND(AE1681&lt;&gt;"",COUNTIFS(tcTipo,AE1681,tcLiq,"Sí")&gt;0),S1681,0))</f>
        <v/>
      </c>
      <c r="AI1681" s="52">
        <f>IF(OR(L1681="",P1681=""),"",IF(COUNTIFS(L$6:L1681,L1681,P$6:P1681,"?*")=1,MAX(AI$5:AI1680)+1,""))</f>
        <v/>
      </c>
    </row>
    <row r="1682">
      <c r="B1682" s="47" t="n"/>
      <c r="C1682" s="48" t="n"/>
      <c r="D1682" s="48" t="n"/>
      <c r="E1682" s="48" t="n"/>
      <c r="F1682" s="48" t="n"/>
      <c r="G1682" s="49" t="n"/>
      <c r="H1682" s="48" t="n"/>
      <c r="I1682" s="50" t="n"/>
      <c r="J1682" s="48" t="n"/>
      <c r="K1682" s="48" t="n"/>
      <c r="L1682" s="48" t="n"/>
      <c r="M1682" s="48" t="n"/>
      <c r="N1682" s="48" t="n"/>
      <c r="O1682" s="51">
        <f>IF(AND(B1682="",G1682="",C1682="",D1682="",J1682=""),"",IF(B1682="","⚠ Falta fecha",IF(G1682="","⚠ Falta monto",IF(Q1682="","⚠ Falta cuenta",IF(ISNA(MATCH(Q1682,ctaNombre,0)),"⚠ Cuenta no registrada",IF(AND(OR(P1682="Gasto",P1682="Reembolso"),D1682=""),"⚠ Falta categoría",IF(AND(D1682&lt;&gt;"",E1682&lt;&gt;"",ISNA(MATCH(D1682&amp;"|"&amp;E1682,catClave,0))),"⚠ Subcategoría no corresponde",IF(AND(OR(P1682="Transferencia",P1682="Pago tarjeta"),K1682=""),"⚠ Falta cuenta destino",IF(AND(K1682&lt;&gt;"",P1682&lt;&gt;"Transferencia",P1682&lt;&gt;"Pago tarjeta"),"⚠ Destino solo aplica a transferencias",IF(AND(K1682&lt;&gt;"",K1682=Q1682),"⚠ Origen igual a destino",IF(AND(K1682&lt;&gt;"",ISNA(MATCH(K1682,ctaNombre,0))),"⚠ Destino no registrado",IF(AND(P1682="Pago tarjeta",AE1682&lt;&gt;"Tarjeta de crédito"),"⚠ El destino debe ser tarjeta de crédito",IF(AND(P1682="Gasto",E1682="Depósitos y retiros"),"⚠ Usa tipo Transferencia",IF(AND(P1682="Resultado trading",AD1682&lt;&gt;"Cuenta de trading"),"⚠ Usa una cuenta de trading",IF(AND(G1682&lt;=0,P1682&lt;&gt;"Ajuste",P1682&lt;&gt;"Resultado trading"),"⚠ El monto debe ser positivo","✓")))))))))))))))</f>
        <v/>
      </c>
      <c r="P1682" s="52">
        <f>IF(OR(B1682="",G1682=""),"",IF(C1682="","Gasto",C1682))</f>
        <v/>
      </c>
      <c r="Q1682" s="52">
        <f>IF(P1682="","",IF(J1682&lt;&gt;"",J1682,CuentaPred&amp;""))</f>
        <v/>
      </c>
      <c r="R1682" s="52">
        <f>IF(P1682="","",IF(ISNUMBER(I1682),I1682,TasaUSD))</f>
        <v/>
      </c>
      <c r="S1682" s="53">
        <f>IF(P1682="","",IF(H1682="USD",G1682*R1682,G1682))</f>
        <v/>
      </c>
      <c r="T1682" s="53">
        <f>IF(P1682="","",IF(H1682="USD",G1682,IF(R1682&gt;0,G1682/R1682,0)))</f>
        <v/>
      </c>
      <c r="U1682" s="53">
        <f>IF(P1682="","",IF(P1682="Gasto",S1682,IF(P1682="Reembolso",-S1682,0)))</f>
        <v/>
      </c>
      <c r="V1682" s="53">
        <f>IF(P1682="","",IF(P1682="Ingreso",S1682,0))</f>
        <v/>
      </c>
      <c r="W1682" s="53">
        <f>IF(P1682="","",IF(P1682="Resultado trading",S1682,0))</f>
        <v/>
      </c>
      <c r="X1682" s="52">
        <f>IF(OR(P1682="Gasto",P1682="Reembolso"),IF(M1682&lt;&gt;"",M1682,IFERROR(INDEX(catClasif,MATCH(D1682&amp;"|"&amp;E1682,catClave,0))&amp;"","Variable")),"")</f>
        <v/>
      </c>
      <c r="Y1682" s="52">
        <f>IF(P1682="","",IFERROR(INDEX(catGrupo,MATCH(D1682&amp;"|"&amp;E1682,catClave,0))&amp;"",""))</f>
        <v/>
      </c>
      <c r="Z1682" s="52">
        <f>IF(P1682="","",WEEKDAY(B1682,2))</f>
        <v/>
      </c>
      <c r="AA1682" s="52">
        <f>IF(P1682="","",IF(AND(P1682="Gasto",X1682="Variable",D1682&lt;&gt;catTrading,S1682&gt;0,S1682&lt;=Umbral),1,0))</f>
        <v/>
      </c>
      <c r="AB1682" s="52">
        <f>IF(OR(P1682="",Q1682=""),"",IFERROR(IF(INDEX(ctaVinc,MATCH(Q1682,ctaNombre,0))&amp;""&lt;&gt;"",INDEX(ctaVinc,MATCH(Q1682,ctaNombre,0))&amp;"",Q1682),Q1682))</f>
        <v/>
      </c>
      <c r="AC1682" s="52">
        <f>IF(OR(K1682="",AND(P1682&lt;&gt;"Transferencia",P1682&lt;&gt;"Pago tarjeta")),"",IFERROR(IF(INDEX(ctaVinc,MATCH(K1682,ctaNombre,0))&amp;""&lt;&gt;"",INDEX(ctaVinc,MATCH(K1682,ctaNombre,0))&amp;"",K1682),K1682))</f>
        <v/>
      </c>
      <c r="AD1682" s="52">
        <f>IF(AB1682="","",IFERROR(INDEX(ctaTipo,MATCH(AB1682,ctaNombre,0))&amp;"",""))</f>
        <v/>
      </c>
      <c r="AE1682" s="52">
        <f>IF(AC1682="","",IFERROR(INDEX(ctaTipo,MATCH(AC1682,ctaNombre,0))&amp;"",""))</f>
        <v/>
      </c>
      <c r="AF1682" s="53">
        <f>IF(OR(P1682="",AB1682=""),"",IF(OR(P1682="Gasto",P1682="Transferencia",P1682="Pago tarjeta"),-1,1)*IF(IFERROR(INDEX(ctaMoneda,MATCH(AB1682,ctaNombre,0))&amp;"","DOP")="USD",T1682,S1682))</f>
        <v/>
      </c>
      <c r="AG1682" s="53">
        <f>IF(AC1682="","",IF(IFERROR(INDEX(ctaMoneda,MATCH(AC1682,ctaNombre,0))&amp;"","DOP")="USD",T1682,S1682))</f>
        <v/>
      </c>
      <c r="AH1682" s="53">
        <f>IF(P1682="","",IF(AND(AD1682&lt;&gt;"",COUNTIFS(tcTipo,AD1682,tcLiq,"Sí")&gt;0),IF(OR(P1682="Gasto",P1682="Transferencia",P1682="Pago tarjeta"),-1,1)*S1682,0)+IF(AND(AE1682&lt;&gt;"",COUNTIFS(tcTipo,AE1682,tcLiq,"Sí")&gt;0),S1682,0))</f>
        <v/>
      </c>
      <c r="AI1682" s="52">
        <f>IF(OR(L1682="",P1682=""),"",IF(COUNTIFS(L$6:L1682,L1682,P$6:P1682,"?*")=1,MAX(AI$5:AI1681)+1,""))</f>
        <v/>
      </c>
    </row>
    <row r="1683">
      <c r="B1683" s="47" t="n"/>
      <c r="C1683" s="48" t="n"/>
      <c r="D1683" s="48" t="n"/>
      <c r="E1683" s="48" t="n"/>
      <c r="F1683" s="48" t="n"/>
      <c r="G1683" s="49" t="n"/>
      <c r="H1683" s="48" t="n"/>
      <c r="I1683" s="50" t="n"/>
      <c r="J1683" s="48" t="n"/>
      <c r="K1683" s="48" t="n"/>
      <c r="L1683" s="48" t="n"/>
      <c r="M1683" s="48" t="n"/>
      <c r="N1683" s="48" t="n"/>
      <c r="O1683" s="51">
        <f>IF(AND(B1683="",G1683="",C1683="",D1683="",J1683=""),"",IF(B1683="","⚠ Falta fecha",IF(G1683="","⚠ Falta monto",IF(Q1683="","⚠ Falta cuenta",IF(ISNA(MATCH(Q1683,ctaNombre,0)),"⚠ Cuenta no registrada",IF(AND(OR(P1683="Gasto",P1683="Reembolso"),D1683=""),"⚠ Falta categoría",IF(AND(D1683&lt;&gt;"",E1683&lt;&gt;"",ISNA(MATCH(D1683&amp;"|"&amp;E1683,catClave,0))),"⚠ Subcategoría no corresponde",IF(AND(OR(P1683="Transferencia",P1683="Pago tarjeta"),K1683=""),"⚠ Falta cuenta destino",IF(AND(K1683&lt;&gt;"",P1683&lt;&gt;"Transferencia",P1683&lt;&gt;"Pago tarjeta"),"⚠ Destino solo aplica a transferencias",IF(AND(K1683&lt;&gt;"",K1683=Q1683),"⚠ Origen igual a destino",IF(AND(K1683&lt;&gt;"",ISNA(MATCH(K1683,ctaNombre,0))),"⚠ Destino no registrado",IF(AND(P1683="Pago tarjeta",AE1683&lt;&gt;"Tarjeta de crédito"),"⚠ El destino debe ser tarjeta de crédito",IF(AND(P1683="Gasto",E1683="Depósitos y retiros"),"⚠ Usa tipo Transferencia",IF(AND(P1683="Resultado trading",AD1683&lt;&gt;"Cuenta de trading"),"⚠ Usa una cuenta de trading",IF(AND(G1683&lt;=0,P1683&lt;&gt;"Ajuste",P1683&lt;&gt;"Resultado trading"),"⚠ El monto debe ser positivo","✓")))))))))))))))</f>
        <v/>
      </c>
      <c r="P1683" s="52">
        <f>IF(OR(B1683="",G1683=""),"",IF(C1683="","Gasto",C1683))</f>
        <v/>
      </c>
      <c r="Q1683" s="52">
        <f>IF(P1683="","",IF(J1683&lt;&gt;"",J1683,CuentaPred&amp;""))</f>
        <v/>
      </c>
      <c r="R1683" s="52">
        <f>IF(P1683="","",IF(ISNUMBER(I1683),I1683,TasaUSD))</f>
        <v/>
      </c>
      <c r="S1683" s="53">
        <f>IF(P1683="","",IF(H1683="USD",G1683*R1683,G1683))</f>
        <v/>
      </c>
      <c r="T1683" s="53">
        <f>IF(P1683="","",IF(H1683="USD",G1683,IF(R1683&gt;0,G1683/R1683,0)))</f>
        <v/>
      </c>
      <c r="U1683" s="53">
        <f>IF(P1683="","",IF(P1683="Gasto",S1683,IF(P1683="Reembolso",-S1683,0)))</f>
        <v/>
      </c>
      <c r="V1683" s="53">
        <f>IF(P1683="","",IF(P1683="Ingreso",S1683,0))</f>
        <v/>
      </c>
      <c r="W1683" s="53">
        <f>IF(P1683="","",IF(P1683="Resultado trading",S1683,0))</f>
        <v/>
      </c>
      <c r="X1683" s="52">
        <f>IF(OR(P1683="Gasto",P1683="Reembolso"),IF(M1683&lt;&gt;"",M1683,IFERROR(INDEX(catClasif,MATCH(D1683&amp;"|"&amp;E1683,catClave,0))&amp;"","Variable")),"")</f>
        <v/>
      </c>
      <c r="Y1683" s="52">
        <f>IF(P1683="","",IFERROR(INDEX(catGrupo,MATCH(D1683&amp;"|"&amp;E1683,catClave,0))&amp;"",""))</f>
        <v/>
      </c>
      <c r="Z1683" s="52">
        <f>IF(P1683="","",WEEKDAY(B1683,2))</f>
        <v/>
      </c>
      <c r="AA1683" s="52">
        <f>IF(P1683="","",IF(AND(P1683="Gasto",X1683="Variable",D1683&lt;&gt;catTrading,S1683&gt;0,S1683&lt;=Umbral),1,0))</f>
        <v/>
      </c>
      <c r="AB1683" s="52">
        <f>IF(OR(P1683="",Q1683=""),"",IFERROR(IF(INDEX(ctaVinc,MATCH(Q1683,ctaNombre,0))&amp;""&lt;&gt;"",INDEX(ctaVinc,MATCH(Q1683,ctaNombre,0))&amp;"",Q1683),Q1683))</f>
        <v/>
      </c>
      <c r="AC1683" s="52">
        <f>IF(OR(K1683="",AND(P1683&lt;&gt;"Transferencia",P1683&lt;&gt;"Pago tarjeta")),"",IFERROR(IF(INDEX(ctaVinc,MATCH(K1683,ctaNombre,0))&amp;""&lt;&gt;"",INDEX(ctaVinc,MATCH(K1683,ctaNombre,0))&amp;"",K1683),K1683))</f>
        <v/>
      </c>
      <c r="AD1683" s="52">
        <f>IF(AB1683="","",IFERROR(INDEX(ctaTipo,MATCH(AB1683,ctaNombre,0))&amp;"",""))</f>
        <v/>
      </c>
      <c r="AE1683" s="52">
        <f>IF(AC1683="","",IFERROR(INDEX(ctaTipo,MATCH(AC1683,ctaNombre,0))&amp;"",""))</f>
        <v/>
      </c>
      <c r="AF1683" s="53">
        <f>IF(OR(P1683="",AB1683=""),"",IF(OR(P1683="Gasto",P1683="Transferencia",P1683="Pago tarjeta"),-1,1)*IF(IFERROR(INDEX(ctaMoneda,MATCH(AB1683,ctaNombre,0))&amp;"","DOP")="USD",T1683,S1683))</f>
        <v/>
      </c>
      <c r="AG1683" s="53">
        <f>IF(AC1683="","",IF(IFERROR(INDEX(ctaMoneda,MATCH(AC1683,ctaNombre,0))&amp;"","DOP")="USD",T1683,S1683))</f>
        <v/>
      </c>
      <c r="AH1683" s="53">
        <f>IF(P1683="","",IF(AND(AD1683&lt;&gt;"",COUNTIFS(tcTipo,AD1683,tcLiq,"Sí")&gt;0),IF(OR(P1683="Gasto",P1683="Transferencia",P1683="Pago tarjeta"),-1,1)*S1683,0)+IF(AND(AE1683&lt;&gt;"",COUNTIFS(tcTipo,AE1683,tcLiq,"Sí")&gt;0),S1683,0))</f>
        <v/>
      </c>
      <c r="AI1683" s="52">
        <f>IF(OR(L1683="",P1683=""),"",IF(COUNTIFS(L$6:L1683,L1683,P$6:P1683,"?*")=1,MAX(AI$5:AI1682)+1,""))</f>
        <v/>
      </c>
    </row>
    <row r="1684">
      <c r="B1684" s="47" t="n"/>
      <c r="C1684" s="48" t="n"/>
      <c r="D1684" s="48" t="n"/>
      <c r="E1684" s="48" t="n"/>
      <c r="F1684" s="48" t="n"/>
      <c r="G1684" s="49" t="n"/>
      <c r="H1684" s="48" t="n"/>
      <c r="I1684" s="50" t="n"/>
      <c r="J1684" s="48" t="n"/>
      <c r="K1684" s="48" t="n"/>
      <c r="L1684" s="48" t="n"/>
      <c r="M1684" s="48" t="n"/>
      <c r="N1684" s="48" t="n"/>
      <c r="O1684" s="51">
        <f>IF(AND(B1684="",G1684="",C1684="",D1684="",J1684=""),"",IF(B1684="","⚠ Falta fecha",IF(G1684="","⚠ Falta monto",IF(Q1684="","⚠ Falta cuenta",IF(ISNA(MATCH(Q1684,ctaNombre,0)),"⚠ Cuenta no registrada",IF(AND(OR(P1684="Gasto",P1684="Reembolso"),D1684=""),"⚠ Falta categoría",IF(AND(D1684&lt;&gt;"",E1684&lt;&gt;"",ISNA(MATCH(D1684&amp;"|"&amp;E1684,catClave,0))),"⚠ Subcategoría no corresponde",IF(AND(OR(P1684="Transferencia",P1684="Pago tarjeta"),K1684=""),"⚠ Falta cuenta destino",IF(AND(K1684&lt;&gt;"",P1684&lt;&gt;"Transferencia",P1684&lt;&gt;"Pago tarjeta"),"⚠ Destino solo aplica a transferencias",IF(AND(K1684&lt;&gt;"",K1684=Q1684),"⚠ Origen igual a destino",IF(AND(K1684&lt;&gt;"",ISNA(MATCH(K1684,ctaNombre,0))),"⚠ Destino no registrado",IF(AND(P1684="Pago tarjeta",AE1684&lt;&gt;"Tarjeta de crédito"),"⚠ El destino debe ser tarjeta de crédito",IF(AND(P1684="Gasto",E1684="Depósitos y retiros"),"⚠ Usa tipo Transferencia",IF(AND(P1684="Resultado trading",AD1684&lt;&gt;"Cuenta de trading"),"⚠ Usa una cuenta de trading",IF(AND(G1684&lt;=0,P1684&lt;&gt;"Ajuste",P1684&lt;&gt;"Resultado trading"),"⚠ El monto debe ser positivo","✓")))))))))))))))</f>
        <v/>
      </c>
      <c r="P1684" s="52">
        <f>IF(OR(B1684="",G1684=""),"",IF(C1684="","Gasto",C1684))</f>
        <v/>
      </c>
      <c r="Q1684" s="52">
        <f>IF(P1684="","",IF(J1684&lt;&gt;"",J1684,CuentaPred&amp;""))</f>
        <v/>
      </c>
      <c r="R1684" s="52">
        <f>IF(P1684="","",IF(ISNUMBER(I1684),I1684,TasaUSD))</f>
        <v/>
      </c>
      <c r="S1684" s="53">
        <f>IF(P1684="","",IF(H1684="USD",G1684*R1684,G1684))</f>
        <v/>
      </c>
      <c r="T1684" s="53">
        <f>IF(P1684="","",IF(H1684="USD",G1684,IF(R1684&gt;0,G1684/R1684,0)))</f>
        <v/>
      </c>
      <c r="U1684" s="53">
        <f>IF(P1684="","",IF(P1684="Gasto",S1684,IF(P1684="Reembolso",-S1684,0)))</f>
        <v/>
      </c>
      <c r="V1684" s="53">
        <f>IF(P1684="","",IF(P1684="Ingreso",S1684,0))</f>
        <v/>
      </c>
      <c r="W1684" s="53">
        <f>IF(P1684="","",IF(P1684="Resultado trading",S1684,0))</f>
        <v/>
      </c>
      <c r="X1684" s="52">
        <f>IF(OR(P1684="Gasto",P1684="Reembolso"),IF(M1684&lt;&gt;"",M1684,IFERROR(INDEX(catClasif,MATCH(D1684&amp;"|"&amp;E1684,catClave,0))&amp;"","Variable")),"")</f>
        <v/>
      </c>
      <c r="Y1684" s="52">
        <f>IF(P1684="","",IFERROR(INDEX(catGrupo,MATCH(D1684&amp;"|"&amp;E1684,catClave,0))&amp;"",""))</f>
        <v/>
      </c>
      <c r="Z1684" s="52">
        <f>IF(P1684="","",WEEKDAY(B1684,2))</f>
        <v/>
      </c>
      <c r="AA1684" s="52">
        <f>IF(P1684="","",IF(AND(P1684="Gasto",X1684="Variable",D1684&lt;&gt;catTrading,S1684&gt;0,S1684&lt;=Umbral),1,0))</f>
        <v/>
      </c>
      <c r="AB1684" s="52">
        <f>IF(OR(P1684="",Q1684=""),"",IFERROR(IF(INDEX(ctaVinc,MATCH(Q1684,ctaNombre,0))&amp;""&lt;&gt;"",INDEX(ctaVinc,MATCH(Q1684,ctaNombre,0))&amp;"",Q1684),Q1684))</f>
        <v/>
      </c>
      <c r="AC1684" s="52">
        <f>IF(OR(K1684="",AND(P1684&lt;&gt;"Transferencia",P1684&lt;&gt;"Pago tarjeta")),"",IFERROR(IF(INDEX(ctaVinc,MATCH(K1684,ctaNombre,0))&amp;""&lt;&gt;"",INDEX(ctaVinc,MATCH(K1684,ctaNombre,0))&amp;"",K1684),K1684))</f>
        <v/>
      </c>
      <c r="AD1684" s="52">
        <f>IF(AB1684="","",IFERROR(INDEX(ctaTipo,MATCH(AB1684,ctaNombre,0))&amp;"",""))</f>
        <v/>
      </c>
      <c r="AE1684" s="52">
        <f>IF(AC1684="","",IFERROR(INDEX(ctaTipo,MATCH(AC1684,ctaNombre,0))&amp;"",""))</f>
        <v/>
      </c>
      <c r="AF1684" s="53">
        <f>IF(OR(P1684="",AB1684=""),"",IF(OR(P1684="Gasto",P1684="Transferencia",P1684="Pago tarjeta"),-1,1)*IF(IFERROR(INDEX(ctaMoneda,MATCH(AB1684,ctaNombre,0))&amp;"","DOP")="USD",T1684,S1684))</f>
        <v/>
      </c>
      <c r="AG1684" s="53">
        <f>IF(AC1684="","",IF(IFERROR(INDEX(ctaMoneda,MATCH(AC1684,ctaNombre,0))&amp;"","DOP")="USD",T1684,S1684))</f>
        <v/>
      </c>
      <c r="AH1684" s="53">
        <f>IF(P1684="","",IF(AND(AD1684&lt;&gt;"",COUNTIFS(tcTipo,AD1684,tcLiq,"Sí")&gt;0),IF(OR(P1684="Gasto",P1684="Transferencia",P1684="Pago tarjeta"),-1,1)*S1684,0)+IF(AND(AE1684&lt;&gt;"",COUNTIFS(tcTipo,AE1684,tcLiq,"Sí")&gt;0),S1684,0))</f>
        <v/>
      </c>
      <c r="AI1684" s="52">
        <f>IF(OR(L1684="",P1684=""),"",IF(COUNTIFS(L$6:L1684,L1684,P$6:P1684,"?*")=1,MAX(AI$5:AI1683)+1,""))</f>
        <v/>
      </c>
    </row>
    <row r="1685">
      <c r="B1685" s="47" t="n"/>
      <c r="C1685" s="48" t="n"/>
      <c r="D1685" s="48" t="n"/>
      <c r="E1685" s="48" t="n"/>
      <c r="F1685" s="48" t="n"/>
      <c r="G1685" s="49" t="n"/>
      <c r="H1685" s="48" t="n"/>
      <c r="I1685" s="50" t="n"/>
      <c r="J1685" s="48" t="n"/>
      <c r="K1685" s="48" t="n"/>
      <c r="L1685" s="48" t="n"/>
      <c r="M1685" s="48" t="n"/>
      <c r="N1685" s="48" t="n"/>
      <c r="O1685" s="51">
        <f>IF(AND(B1685="",G1685="",C1685="",D1685="",J1685=""),"",IF(B1685="","⚠ Falta fecha",IF(G1685="","⚠ Falta monto",IF(Q1685="","⚠ Falta cuenta",IF(ISNA(MATCH(Q1685,ctaNombre,0)),"⚠ Cuenta no registrada",IF(AND(OR(P1685="Gasto",P1685="Reembolso"),D1685=""),"⚠ Falta categoría",IF(AND(D1685&lt;&gt;"",E1685&lt;&gt;"",ISNA(MATCH(D1685&amp;"|"&amp;E1685,catClave,0))),"⚠ Subcategoría no corresponde",IF(AND(OR(P1685="Transferencia",P1685="Pago tarjeta"),K1685=""),"⚠ Falta cuenta destino",IF(AND(K1685&lt;&gt;"",P1685&lt;&gt;"Transferencia",P1685&lt;&gt;"Pago tarjeta"),"⚠ Destino solo aplica a transferencias",IF(AND(K1685&lt;&gt;"",K1685=Q1685),"⚠ Origen igual a destino",IF(AND(K1685&lt;&gt;"",ISNA(MATCH(K1685,ctaNombre,0))),"⚠ Destino no registrado",IF(AND(P1685="Pago tarjeta",AE1685&lt;&gt;"Tarjeta de crédito"),"⚠ El destino debe ser tarjeta de crédito",IF(AND(P1685="Gasto",E1685="Depósitos y retiros"),"⚠ Usa tipo Transferencia",IF(AND(P1685="Resultado trading",AD1685&lt;&gt;"Cuenta de trading"),"⚠ Usa una cuenta de trading",IF(AND(G1685&lt;=0,P1685&lt;&gt;"Ajuste",P1685&lt;&gt;"Resultado trading"),"⚠ El monto debe ser positivo","✓")))))))))))))))</f>
        <v/>
      </c>
      <c r="P1685" s="52">
        <f>IF(OR(B1685="",G1685=""),"",IF(C1685="","Gasto",C1685))</f>
        <v/>
      </c>
      <c r="Q1685" s="52">
        <f>IF(P1685="","",IF(J1685&lt;&gt;"",J1685,CuentaPred&amp;""))</f>
        <v/>
      </c>
      <c r="R1685" s="52">
        <f>IF(P1685="","",IF(ISNUMBER(I1685),I1685,TasaUSD))</f>
        <v/>
      </c>
      <c r="S1685" s="53">
        <f>IF(P1685="","",IF(H1685="USD",G1685*R1685,G1685))</f>
        <v/>
      </c>
      <c r="T1685" s="53">
        <f>IF(P1685="","",IF(H1685="USD",G1685,IF(R1685&gt;0,G1685/R1685,0)))</f>
        <v/>
      </c>
      <c r="U1685" s="53">
        <f>IF(P1685="","",IF(P1685="Gasto",S1685,IF(P1685="Reembolso",-S1685,0)))</f>
        <v/>
      </c>
      <c r="V1685" s="53">
        <f>IF(P1685="","",IF(P1685="Ingreso",S1685,0))</f>
        <v/>
      </c>
      <c r="W1685" s="53">
        <f>IF(P1685="","",IF(P1685="Resultado trading",S1685,0))</f>
        <v/>
      </c>
      <c r="X1685" s="52">
        <f>IF(OR(P1685="Gasto",P1685="Reembolso"),IF(M1685&lt;&gt;"",M1685,IFERROR(INDEX(catClasif,MATCH(D1685&amp;"|"&amp;E1685,catClave,0))&amp;"","Variable")),"")</f>
        <v/>
      </c>
      <c r="Y1685" s="52">
        <f>IF(P1685="","",IFERROR(INDEX(catGrupo,MATCH(D1685&amp;"|"&amp;E1685,catClave,0))&amp;"",""))</f>
        <v/>
      </c>
      <c r="Z1685" s="52">
        <f>IF(P1685="","",WEEKDAY(B1685,2))</f>
        <v/>
      </c>
      <c r="AA1685" s="52">
        <f>IF(P1685="","",IF(AND(P1685="Gasto",X1685="Variable",D1685&lt;&gt;catTrading,S1685&gt;0,S1685&lt;=Umbral),1,0))</f>
        <v/>
      </c>
      <c r="AB1685" s="52">
        <f>IF(OR(P1685="",Q1685=""),"",IFERROR(IF(INDEX(ctaVinc,MATCH(Q1685,ctaNombre,0))&amp;""&lt;&gt;"",INDEX(ctaVinc,MATCH(Q1685,ctaNombre,0))&amp;"",Q1685),Q1685))</f>
        <v/>
      </c>
      <c r="AC1685" s="52">
        <f>IF(OR(K1685="",AND(P1685&lt;&gt;"Transferencia",P1685&lt;&gt;"Pago tarjeta")),"",IFERROR(IF(INDEX(ctaVinc,MATCH(K1685,ctaNombre,0))&amp;""&lt;&gt;"",INDEX(ctaVinc,MATCH(K1685,ctaNombre,0))&amp;"",K1685),K1685))</f>
        <v/>
      </c>
      <c r="AD1685" s="52">
        <f>IF(AB1685="","",IFERROR(INDEX(ctaTipo,MATCH(AB1685,ctaNombre,0))&amp;"",""))</f>
        <v/>
      </c>
      <c r="AE1685" s="52">
        <f>IF(AC1685="","",IFERROR(INDEX(ctaTipo,MATCH(AC1685,ctaNombre,0))&amp;"",""))</f>
        <v/>
      </c>
      <c r="AF1685" s="53">
        <f>IF(OR(P1685="",AB1685=""),"",IF(OR(P1685="Gasto",P1685="Transferencia",P1685="Pago tarjeta"),-1,1)*IF(IFERROR(INDEX(ctaMoneda,MATCH(AB1685,ctaNombre,0))&amp;"","DOP")="USD",T1685,S1685))</f>
        <v/>
      </c>
      <c r="AG1685" s="53">
        <f>IF(AC1685="","",IF(IFERROR(INDEX(ctaMoneda,MATCH(AC1685,ctaNombre,0))&amp;"","DOP")="USD",T1685,S1685))</f>
        <v/>
      </c>
      <c r="AH1685" s="53">
        <f>IF(P1685="","",IF(AND(AD1685&lt;&gt;"",COUNTIFS(tcTipo,AD1685,tcLiq,"Sí")&gt;0),IF(OR(P1685="Gasto",P1685="Transferencia",P1685="Pago tarjeta"),-1,1)*S1685,0)+IF(AND(AE1685&lt;&gt;"",COUNTIFS(tcTipo,AE1685,tcLiq,"Sí")&gt;0),S1685,0))</f>
        <v/>
      </c>
      <c r="AI1685" s="52">
        <f>IF(OR(L1685="",P1685=""),"",IF(COUNTIFS(L$6:L1685,L1685,P$6:P1685,"?*")=1,MAX(AI$5:AI1684)+1,""))</f>
        <v/>
      </c>
    </row>
    <row r="1686">
      <c r="B1686" s="47" t="n"/>
      <c r="C1686" s="48" t="n"/>
      <c r="D1686" s="48" t="n"/>
      <c r="E1686" s="48" t="n"/>
      <c r="F1686" s="48" t="n"/>
      <c r="G1686" s="49" t="n"/>
      <c r="H1686" s="48" t="n"/>
      <c r="I1686" s="50" t="n"/>
      <c r="J1686" s="48" t="n"/>
      <c r="K1686" s="48" t="n"/>
      <c r="L1686" s="48" t="n"/>
      <c r="M1686" s="48" t="n"/>
      <c r="N1686" s="48" t="n"/>
      <c r="O1686" s="51">
        <f>IF(AND(B1686="",G1686="",C1686="",D1686="",J1686=""),"",IF(B1686="","⚠ Falta fecha",IF(G1686="","⚠ Falta monto",IF(Q1686="","⚠ Falta cuenta",IF(ISNA(MATCH(Q1686,ctaNombre,0)),"⚠ Cuenta no registrada",IF(AND(OR(P1686="Gasto",P1686="Reembolso"),D1686=""),"⚠ Falta categoría",IF(AND(D1686&lt;&gt;"",E1686&lt;&gt;"",ISNA(MATCH(D1686&amp;"|"&amp;E1686,catClave,0))),"⚠ Subcategoría no corresponde",IF(AND(OR(P1686="Transferencia",P1686="Pago tarjeta"),K1686=""),"⚠ Falta cuenta destino",IF(AND(K1686&lt;&gt;"",P1686&lt;&gt;"Transferencia",P1686&lt;&gt;"Pago tarjeta"),"⚠ Destino solo aplica a transferencias",IF(AND(K1686&lt;&gt;"",K1686=Q1686),"⚠ Origen igual a destino",IF(AND(K1686&lt;&gt;"",ISNA(MATCH(K1686,ctaNombre,0))),"⚠ Destino no registrado",IF(AND(P1686="Pago tarjeta",AE1686&lt;&gt;"Tarjeta de crédito"),"⚠ El destino debe ser tarjeta de crédito",IF(AND(P1686="Gasto",E1686="Depósitos y retiros"),"⚠ Usa tipo Transferencia",IF(AND(P1686="Resultado trading",AD1686&lt;&gt;"Cuenta de trading"),"⚠ Usa una cuenta de trading",IF(AND(G1686&lt;=0,P1686&lt;&gt;"Ajuste",P1686&lt;&gt;"Resultado trading"),"⚠ El monto debe ser positivo","✓")))))))))))))))</f>
        <v/>
      </c>
      <c r="P1686" s="52">
        <f>IF(OR(B1686="",G1686=""),"",IF(C1686="","Gasto",C1686))</f>
        <v/>
      </c>
      <c r="Q1686" s="52">
        <f>IF(P1686="","",IF(J1686&lt;&gt;"",J1686,CuentaPred&amp;""))</f>
        <v/>
      </c>
      <c r="R1686" s="52">
        <f>IF(P1686="","",IF(ISNUMBER(I1686),I1686,TasaUSD))</f>
        <v/>
      </c>
      <c r="S1686" s="53">
        <f>IF(P1686="","",IF(H1686="USD",G1686*R1686,G1686))</f>
        <v/>
      </c>
      <c r="T1686" s="53">
        <f>IF(P1686="","",IF(H1686="USD",G1686,IF(R1686&gt;0,G1686/R1686,0)))</f>
        <v/>
      </c>
      <c r="U1686" s="53">
        <f>IF(P1686="","",IF(P1686="Gasto",S1686,IF(P1686="Reembolso",-S1686,0)))</f>
        <v/>
      </c>
      <c r="V1686" s="53">
        <f>IF(P1686="","",IF(P1686="Ingreso",S1686,0))</f>
        <v/>
      </c>
      <c r="W1686" s="53">
        <f>IF(P1686="","",IF(P1686="Resultado trading",S1686,0))</f>
        <v/>
      </c>
      <c r="X1686" s="52">
        <f>IF(OR(P1686="Gasto",P1686="Reembolso"),IF(M1686&lt;&gt;"",M1686,IFERROR(INDEX(catClasif,MATCH(D1686&amp;"|"&amp;E1686,catClave,0))&amp;"","Variable")),"")</f>
        <v/>
      </c>
      <c r="Y1686" s="52">
        <f>IF(P1686="","",IFERROR(INDEX(catGrupo,MATCH(D1686&amp;"|"&amp;E1686,catClave,0))&amp;"",""))</f>
        <v/>
      </c>
      <c r="Z1686" s="52">
        <f>IF(P1686="","",WEEKDAY(B1686,2))</f>
        <v/>
      </c>
      <c r="AA1686" s="52">
        <f>IF(P1686="","",IF(AND(P1686="Gasto",X1686="Variable",D1686&lt;&gt;catTrading,S1686&gt;0,S1686&lt;=Umbral),1,0))</f>
        <v/>
      </c>
      <c r="AB1686" s="52">
        <f>IF(OR(P1686="",Q1686=""),"",IFERROR(IF(INDEX(ctaVinc,MATCH(Q1686,ctaNombre,0))&amp;""&lt;&gt;"",INDEX(ctaVinc,MATCH(Q1686,ctaNombre,0))&amp;"",Q1686),Q1686))</f>
        <v/>
      </c>
      <c r="AC1686" s="52">
        <f>IF(OR(K1686="",AND(P1686&lt;&gt;"Transferencia",P1686&lt;&gt;"Pago tarjeta")),"",IFERROR(IF(INDEX(ctaVinc,MATCH(K1686,ctaNombre,0))&amp;""&lt;&gt;"",INDEX(ctaVinc,MATCH(K1686,ctaNombre,0))&amp;"",K1686),K1686))</f>
        <v/>
      </c>
      <c r="AD1686" s="52">
        <f>IF(AB1686="","",IFERROR(INDEX(ctaTipo,MATCH(AB1686,ctaNombre,0))&amp;"",""))</f>
        <v/>
      </c>
      <c r="AE1686" s="52">
        <f>IF(AC1686="","",IFERROR(INDEX(ctaTipo,MATCH(AC1686,ctaNombre,0))&amp;"",""))</f>
        <v/>
      </c>
      <c r="AF1686" s="53">
        <f>IF(OR(P1686="",AB1686=""),"",IF(OR(P1686="Gasto",P1686="Transferencia",P1686="Pago tarjeta"),-1,1)*IF(IFERROR(INDEX(ctaMoneda,MATCH(AB1686,ctaNombre,0))&amp;"","DOP")="USD",T1686,S1686))</f>
        <v/>
      </c>
      <c r="AG1686" s="53">
        <f>IF(AC1686="","",IF(IFERROR(INDEX(ctaMoneda,MATCH(AC1686,ctaNombre,0))&amp;"","DOP")="USD",T1686,S1686))</f>
        <v/>
      </c>
      <c r="AH1686" s="53">
        <f>IF(P1686="","",IF(AND(AD1686&lt;&gt;"",COUNTIFS(tcTipo,AD1686,tcLiq,"Sí")&gt;0),IF(OR(P1686="Gasto",P1686="Transferencia",P1686="Pago tarjeta"),-1,1)*S1686,0)+IF(AND(AE1686&lt;&gt;"",COUNTIFS(tcTipo,AE1686,tcLiq,"Sí")&gt;0),S1686,0))</f>
        <v/>
      </c>
      <c r="AI1686" s="52">
        <f>IF(OR(L1686="",P1686=""),"",IF(COUNTIFS(L$6:L1686,L1686,P$6:P1686,"?*")=1,MAX(AI$5:AI1685)+1,""))</f>
        <v/>
      </c>
    </row>
    <row r="1687">
      <c r="B1687" s="47" t="n"/>
      <c r="C1687" s="48" t="n"/>
      <c r="D1687" s="48" t="n"/>
      <c r="E1687" s="48" t="n"/>
      <c r="F1687" s="48" t="n"/>
      <c r="G1687" s="49" t="n"/>
      <c r="H1687" s="48" t="n"/>
      <c r="I1687" s="50" t="n"/>
      <c r="J1687" s="48" t="n"/>
      <c r="K1687" s="48" t="n"/>
      <c r="L1687" s="48" t="n"/>
      <c r="M1687" s="48" t="n"/>
      <c r="N1687" s="48" t="n"/>
      <c r="O1687" s="51">
        <f>IF(AND(B1687="",G1687="",C1687="",D1687="",J1687=""),"",IF(B1687="","⚠ Falta fecha",IF(G1687="","⚠ Falta monto",IF(Q1687="","⚠ Falta cuenta",IF(ISNA(MATCH(Q1687,ctaNombre,0)),"⚠ Cuenta no registrada",IF(AND(OR(P1687="Gasto",P1687="Reembolso"),D1687=""),"⚠ Falta categoría",IF(AND(D1687&lt;&gt;"",E1687&lt;&gt;"",ISNA(MATCH(D1687&amp;"|"&amp;E1687,catClave,0))),"⚠ Subcategoría no corresponde",IF(AND(OR(P1687="Transferencia",P1687="Pago tarjeta"),K1687=""),"⚠ Falta cuenta destino",IF(AND(K1687&lt;&gt;"",P1687&lt;&gt;"Transferencia",P1687&lt;&gt;"Pago tarjeta"),"⚠ Destino solo aplica a transferencias",IF(AND(K1687&lt;&gt;"",K1687=Q1687),"⚠ Origen igual a destino",IF(AND(K1687&lt;&gt;"",ISNA(MATCH(K1687,ctaNombre,0))),"⚠ Destino no registrado",IF(AND(P1687="Pago tarjeta",AE1687&lt;&gt;"Tarjeta de crédito"),"⚠ El destino debe ser tarjeta de crédito",IF(AND(P1687="Gasto",E1687="Depósitos y retiros"),"⚠ Usa tipo Transferencia",IF(AND(P1687="Resultado trading",AD1687&lt;&gt;"Cuenta de trading"),"⚠ Usa una cuenta de trading",IF(AND(G1687&lt;=0,P1687&lt;&gt;"Ajuste",P1687&lt;&gt;"Resultado trading"),"⚠ El monto debe ser positivo","✓")))))))))))))))</f>
        <v/>
      </c>
      <c r="P1687" s="52">
        <f>IF(OR(B1687="",G1687=""),"",IF(C1687="","Gasto",C1687))</f>
        <v/>
      </c>
      <c r="Q1687" s="52">
        <f>IF(P1687="","",IF(J1687&lt;&gt;"",J1687,CuentaPred&amp;""))</f>
        <v/>
      </c>
      <c r="R1687" s="52">
        <f>IF(P1687="","",IF(ISNUMBER(I1687),I1687,TasaUSD))</f>
        <v/>
      </c>
      <c r="S1687" s="53">
        <f>IF(P1687="","",IF(H1687="USD",G1687*R1687,G1687))</f>
        <v/>
      </c>
      <c r="T1687" s="53">
        <f>IF(P1687="","",IF(H1687="USD",G1687,IF(R1687&gt;0,G1687/R1687,0)))</f>
        <v/>
      </c>
      <c r="U1687" s="53">
        <f>IF(P1687="","",IF(P1687="Gasto",S1687,IF(P1687="Reembolso",-S1687,0)))</f>
        <v/>
      </c>
      <c r="V1687" s="53">
        <f>IF(P1687="","",IF(P1687="Ingreso",S1687,0))</f>
        <v/>
      </c>
      <c r="W1687" s="53">
        <f>IF(P1687="","",IF(P1687="Resultado trading",S1687,0))</f>
        <v/>
      </c>
      <c r="X1687" s="52">
        <f>IF(OR(P1687="Gasto",P1687="Reembolso"),IF(M1687&lt;&gt;"",M1687,IFERROR(INDEX(catClasif,MATCH(D1687&amp;"|"&amp;E1687,catClave,0))&amp;"","Variable")),"")</f>
        <v/>
      </c>
      <c r="Y1687" s="52">
        <f>IF(P1687="","",IFERROR(INDEX(catGrupo,MATCH(D1687&amp;"|"&amp;E1687,catClave,0))&amp;"",""))</f>
        <v/>
      </c>
      <c r="Z1687" s="52">
        <f>IF(P1687="","",WEEKDAY(B1687,2))</f>
        <v/>
      </c>
      <c r="AA1687" s="52">
        <f>IF(P1687="","",IF(AND(P1687="Gasto",X1687="Variable",D1687&lt;&gt;catTrading,S1687&gt;0,S1687&lt;=Umbral),1,0))</f>
        <v/>
      </c>
      <c r="AB1687" s="52">
        <f>IF(OR(P1687="",Q1687=""),"",IFERROR(IF(INDEX(ctaVinc,MATCH(Q1687,ctaNombre,0))&amp;""&lt;&gt;"",INDEX(ctaVinc,MATCH(Q1687,ctaNombre,0))&amp;"",Q1687),Q1687))</f>
        <v/>
      </c>
      <c r="AC1687" s="52">
        <f>IF(OR(K1687="",AND(P1687&lt;&gt;"Transferencia",P1687&lt;&gt;"Pago tarjeta")),"",IFERROR(IF(INDEX(ctaVinc,MATCH(K1687,ctaNombre,0))&amp;""&lt;&gt;"",INDEX(ctaVinc,MATCH(K1687,ctaNombre,0))&amp;"",K1687),K1687))</f>
        <v/>
      </c>
      <c r="AD1687" s="52">
        <f>IF(AB1687="","",IFERROR(INDEX(ctaTipo,MATCH(AB1687,ctaNombre,0))&amp;"",""))</f>
        <v/>
      </c>
      <c r="AE1687" s="52">
        <f>IF(AC1687="","",IFERROR(INDEX(ctaTipo,MATCH(AC1687,ctaNombre,0))&amp;"",""))</f>
        <v/>
      </c>
      <c r="AF1687" s="53">
        <f>IF(OR(P1687="",AB1687=""),"",IF(OR(P1687="Gasto",P1687="Transferencia",P1687="Pago tarjeta"),-1,1)*IF(IFERROR(INDEX(ctaMoneda,MATCH(AB1687,ctaNombre,0))&amp;"","DOP")="USD",T1687,S1687))</f>
        <v/>
      </c>
      <c r="AG1687" s="53">
        <f>IF(AC1687="","",IF(IFERROR(INDEX(ctaMoneda,MATCH(AC1687,ctaNombre,0))&amp;"","DOP")="USD",T1687,S1687))</f>
        <v/>
      </c>
      <c r="AH1687" s="53">
        <f>IF(P1687="","",IF(AND(AD1687&lt;&gt;"",COUNTIFS(tcTipo,AD1687,tcLiq,"Sí")&gt;0),IF(OR(P1687="Gasto",P1687="Transferencia",P1687="Pago tarjeta"),-1,1)*S1687,0)+IF(AND(AE1687&lt;&gt;"",COUNTIFS(tcTipo,AE1687,tcLiq,"Sí")&gt;0),S1687,0))</f>
        <v/>
      </c>
      <c r="AI1687" s="52">
        <f>IF(OR(L1687="",P1687=""),"",IF(COUNTIFS(L$6:L1687,L1687,P$6:P1687,"?*")=1,MAX(AI$5:AI1686)+1,""))</f>
        <v/>
      </c>
    </row>
    <row r="1688">
      <c r="B1688" s="47" t="n"/>
      <c r="C1688" s="48" t="n"/>
      <c r="D1688" s="48" t="n"/>
      <c r="E1688" s="48" t="n"/>
      <c r="F1688" s="48" t="n"/>
      <c r="G1688" s="49" t="n"/>
      <c r="H1688" s="48" t="n"/>
      <c r="I1688" s="50" t="n"/>
      <c r="J1688" s="48" t="n"/>
      <c r="K1688" s="48" t="n"/>
      <c r="L1688" s="48" t="n"/>
      <c r="M1688" s="48" t="n"/>
      <c r="N1688" s="48" t="n"/>
      <c r="O1688" s="51">
        <f>IF(AND(B1688="",G1688="",C1688="",D1688="",J1688=""),"",IF(B1688="","⚠ Falta fecha",IF(G1688="","⚠ Falta monto",IF(Q1688="","⚠ Falta cuenta",IF(ISNA(MATCH(Q1688,ctaNombre,0)),"⚠ Cuenta no registrada",IF(AND(OR(P1688="Gasto",P1688="Reembolso"),D1688=""),"⚠ Falta categoría",IF(AND(D1688&lt;&gt;"",E1688&lt;&gt;"",ISNA(MATCH(D1688&amp;"|"&amp;E1688,catClave,0))),"⚠ Subcategoría no corresponde",IF(AND(OR(P1688="Transferencia",P1688="Pago tarjeta"),K1688=""),"⚠ Falta cuenta destino",IF(AND(K1688&lt;&gt;"",P1688&lt;&gt;"Transferencia",P1688&lt;&gt;"Pago tarjeta"),"⚠ Destino solo aplica a transferencias",IF(AND(K1688&lt;&gt;"",K1688=Q1688),"⚠ Origen igual a destino",IF(AND(K1688&lt;&gt;"",ISNA(MATCH(K1688,ctaNombre,0))),"⚠ Destino no registrado",IF(AND(P1688="Pago tarjeta",AE1688&lt;&gt;"Tarjeta de crédito"),"⚠ El destino debe ser tarjeta de crédito",IF(AND(P1688="Gasto",E1688="Depósitos y retiros"),"⚠ Usa tipo Transferencia",IF(AND(P1688="Resultado trading",AD1688&lt;&gt;"Cuenta de trading"),"⚠ Usa una cuenta de trading",IF(AND(G1688&lt;=0,P1688&lt;&gt;"Ajuste",P1688&lt;&gt;"Resultado trading"),"⚠ El monto debe ser positivo","✓")))))))))))))))</f>
        <v/>
      </c>
      <c r="P1688" s="52">
        <f>IF(OR(B1688="",G1688=""),"",IF(C1688="","Gasto",C1688))</f>
        <v/>
      </c>
      <c r="Q1688" s="52">
        <f>IF(P1688="","",IF(J1688&lt;&gt;"",J1688,CuentaPred&amp;""))</f>
        <v/>
      </c>
      <c r="R1688" s="52">
        <f>IF(P1688="","",IF(ISNUMBER(I1688),I1688,TasaUSD))</f>
        <v/>
      </c>
      <c r="S1688" s="53">
        <f>IF(P1688="","",IF(H1688="USD",G1688*R1688,G1688))</f>
        <v/>
      </c>
      <c r="T1688" s="53">
        <f>IF(P1688="","",IF(H1688="USD",G1688,IF(R1688&gt;0,G1688/R1688,0)))</f>
        <v/>
      </c>
      <c r="U1688" s="53">
        <f>IF(P1688="","",IF(P1688="Gasto",S1688,IF(P1688="Reembolso",-S1688,0)))</f>
        <v/>
      </c>
      <c r="V1688" s="53">
        <f>IF(P1688="","",IF(P1688="Ingreso",S1688,0))</f>
        <v/>
      </c>
      <c r="W1688" s="53">
        <f>IF(P1688="","",IF(P1688="Resultado trading",S1688,0))</f>
        <v/>
      </c>
      <c r="X1688" s="52">
        <f>IF(OR(P1688="Gasto",P1688="Reembolso"),IF(M1688&lt;&gt;"",M1688,IFERROR(INDEX(catClasif,MATCH(D1688&amp;"|"&amp;E1688,catClave,0))&amp;"","Variable")),"")</f>
        <v/>
      </c>
      <c r="Y1688" s="52">
        <f>IF(P1688="","",IFERROR(INDEX(catGrupo,MATCH(D1688&amp;"|"&amp;E1688,catClave,0))&amp;"",""))</f>
        <v/>
      </c>
      <c r="Z1688" s="52">
        <f>IF(P1688="","",WEEKDAY(B1688,2))</f>
        <v/>
      </c>
      <c r="AA1688" s="52">
        <f>IF(P1688="","",IF(AND(P1688="Gasto",X1688="Variable",D1688&lt;&gt;catTrading,S1688&gt;0,S1688&lt;=Umbral),1,0))</f>
        <v/>
      </c>
      <c r="AB1688" s="52">
        <f>IF(OR(P1688="",Q1688=""),"",IFERROR(IF(INDEX(ctaVinc,MATCH(Q1688,ctaNombre,0))&amp;""&lt;&gt;"",INDEX(ctaVinc,MATCH(Q1688,ctaNombre,0))&amp;"",Q1688),Q1688))</f>
        <v/>
      </c>
      <c r="AC1688" s="52">
        <f>IF(OR(K1688="",AND(P1688&lt;&gt;"Transferencia",P1688&lt;&gt;"Pago tarjeta")),"",IFERROR(IF(INDEX(ctaVinc,MATCH(K1688,ctaNombre,0))&amp;""&lt;&gt;"",INDEX(ctaVinc,MATCH(K1688,ctaNombre,0))&amp;"",K1688),K1688))</f>
        <v/>
      </c>
      <c r="AD1688" s="52">
        <f>IF(AB1688="","",IFERROR(INDEX(ctaTipo,MATCH(AB1688,ctaNombre,0))&amp;"",""))</f>
        <v/>
      </c>
      <c r="AE1688" s="52">
        <f>IF(AC1688="","",IFERROR(INDEX(ctaTipo,MATCH(AC1688,ctaNombre,0))&amp;"",""))</f>
        <v/>
      </c>
      <c r="AF1688" s="53">
        <f>IF(OR(P1688="",AB1688=""),"",IF(OR(P1688="Gasto",P1688="Transferencia",P1688="Pago tarjeta"),-1,1)*IF(IFERROR(INDEX(ctaMoneda,MATCH(AB1688,ctaNombre,0))&amp;"","DOP")="USD",T1688,S1688))</f>
        <v/>
      </c>
      <c r="AG1688" s="53">
        <f>IF(AC1688="","",IF(IFERROR(INDEX(ctaMoneda,MATCH(AC1688,ctaNombre,0))&amp;"","DOP")="USD",T1688,S1688))</f>
        <v/>
      </c>
      <c r="AH1688" s="53">
        <f>IF(P1688="","",IF(AND(AD1688&lt;&gt;"",COUNTIFS(tcTipo,AD1688,tcLiq,"Sí")&gt;0),IF(OR(P1688="Gasto",P1688="Transferencia",P1688="Pago tarjeta"),-1,1)*S1688,0)+IF(AND(AE1688&lt;&gt;"",COUNTIFS(tcTipo,AE1688,tcLiq,"Sí")&gt;0),S1688,0))</f>
        <v/>
      </c>
      <c r="AI1688" s="52">
        <f>IF(OR(L1688="",P1688=""),"",IF(COUNTIFS(L$6:L1688,L1688,P$6:P1688,"?*")=1,MAX(AI$5:AI1687)+1,""))</f>
        <v/>
      </c>
    </row>
    <row r="1689">
      <c r="B1689" s="47" t="n"/>
      <c r="C1689" s="48" t="n"/>
      <c r="D1689" s="48" t="n"/>
      <c r="E1689" s="48" t="n"/>
      <c r="F1689" s="48" t="n"/>
      <c r="G1689" s="49" t="n"/>
      <c r="H1689" s="48" t="n"/>
      <c r="I1689" s="50" t="n"/>
      <c r="J1689" s="48" t="n"/>
      <c r="K1689" s="48" t="n"/>
      <c r="L1689" s="48" t="n"/>
      <c r="M1689" s="48" t="n"/>
      <c r="N1689" s="48" t="n"/>
      <c r="O1689" s="51">
        <f>IF(AND(B1689="",G1689="",C1689="",D1689="",J1689=""),"",IF(B1689="","⚠ Falta fecha",IF(G1689="","⚠ Falta monto",IF(Q1689="","⚠ Falta cuenta",IF(ISNA(MATCH(Q1689,ctaNombre,0)),"⚠ Cuenta no registrada",IF(AND(OR(P1689="Gasto",P1689="Reembolso"),D1689=""),"⚠ Falta categoría",IF(AND(D1689&lt;&gt;"",E1689&lt;&gt;"",ISNA(MATCH(D1689&amp;"|"&amp;E1689,catClave,0))),"⚠ Subcategoría no corresponde",IF(AND(OR(P1689="Transferencia",P1689="Pago tarjeta"),K1689=""),"⚠ Falta cuenta destino",IF(AND(K1689&lt;&gt;"",P1689&lt;&gt;"Transferencia",P1689&lt;&gt;"Pago tarjeta"),"⚠ Destino solo aplica a transferencias",IF(AND(K1689&lt;&gt;"",K1689=Q1689),"⚠ Origen igual a destino",IF(AND(K1689&lt;&gt;"",ISNA(MATCH(K1689,ctaNombre,0))),"⚠ Destino no registrado",IF(AND(P1689="Pago tarjeta",AE1689&lt;&gt;"Tarjeta de crédito"),"⚠ El destino debe ser tarjeta de crédito",IF(AND(P1689="Gasto",E1689="Depósitos y retiros"),"⚠ Usa tipo Transferencia",IF(AND(P1689="Resultado trading",AD1689&lt;&gt;"Cuenta de trading"),"⚠ Usa una cuenta de trading",IF(AND(G1689&lt;=0,P1689&lt;&gt;"Ajuste",P1689&lt;&gt;"Resultado trading"),"⚠ El monto debe ser positivo","✓")))))))))))))))</f>
        <v/>
      </c>
      <c r="P1689" s="52">
        <f>IF(OR(B1689="",G1689=""),"",IF(C1689="","Gasto",C1689))</f>
        <v/>
      </c>
      <c r="Q1689" s="52">
        <f>IF(P1689="","",IF(J1689&lt;&gt;"",J1689,CuentaPred&amp;""))</f>
        <v/>
      </c>
      <c r="R1689" s="52">
        <f>IF(P1689="","",IF(ISNUMBER(I1689),I1689,TasaUSD))</f>
        <v/>
      </c>
      <c r="S1689" s="53">
        <f>IF(P1689="","",IF(H1689="USD",G1689*R1689,G1689))</f>
        <v/>
      </c>
      <c r="T1689" s="53">
        <f>IF(P1689="","",IF(H1689="USD",G1689,IF(R1689&gt;0,G1689/R1689,0)))</f>
        <v/>
      </c>
      <c r="U1689" s="53">
        <f>IF(P1689="","",IF(P1689="Gasto",S1689,IF(P1689="Reembolso",-S1689,0)))</f>
        <v/>
      </c>
      <c r="V1689" s="53">
        <f>IF(P1689="","",IF(P1689="Ingreso",S1689,0))</f>
        <v/>
      </c>
      <c r="W1689" s="53">
        <f>IF(P1689="","",IF(P1689="Resultado trading",S1689,0))</f>
        <v/>
      </c>
      <c r="X1689" s="52">
        <f>IF(OR(P1689="Gasto",P1689="Reembolso"),IF(M1689&lt;&gt;"",M1689,IFERROR(INDEX(catClasif,MATCH(D1689&amp;"|"&amp;E1689,catClave,0))&amp;"","Variable")),"")</f>
        <v/>
      </c>
      <c r="Y1689" s="52">
        <f>IF(P1689="","",IFERROR(INDEX(catGrupo,MATCH(D1689&amp;"|"&amp;E1689,catClave,0))&amp;"",""))</f>
        <v/>
      </c>
      <c r="Z1689" s="52">
        <f>IF(P1689="","",WEEKDAY(B1689,2))</f>
        <v/>
      </c>
      <c r="AA1689" s="52">
        <f>IF(P1689="","",IF(AND(P1689="Gasto",X1689="Variable",D1689&lt;&gt;catTrading,S1689&gt;0,S1689&lt;=Umbral),1,0))</f>
        <v/>
      </c>
      <c r="AB1689" s="52">
        <f>IF(OR(P1689="",Q1689=""),"",IFERROR(IF(INDEX(ctaVinc,MATCH(Q1689,ctaNombre,0))&amp;""&lt;&gt;"",INDEX(ctaVinc,MATCH(Q1689,ctaNombre,0))&amp;"",Q1689),Q1689))</f>
        <v/>
      </c>
      <c r="AC1689" s="52">
        <f>IF(OR(K1689="",AND(P1689&lt;&gt;"Transferencia",P1689&lt;&gt;"Pago tarjeta")),"",IFERROR(IF(INDEX(ctaVinc,MATCH(K1689,ctaNombre,0))&amp;""&lt;&gt;"",INDEX(ctaVinc,MATCH(K1689,ctaNombre,0))&amp;"",K1689),K1689))</f>
        <v/>
      </c>
      <c r="AD1689" s="52">
        <f>IF(AB1689="","",IFERROR(INDEX(ctaTipo,MATCH(AB1689,ctaNombre,0))&amp;"",""))</f>
        <v/>
      </c>
      <c r="AE1689" s="52">
        <f>IF(AC1689="","",IFERROR(INDEX(ctaTipo,MATCH(AC1689,ctaNombre,0))&amp;"",""))</f>
        <v/>
      </c>
      <c r="AF1689" s="53">
        <f>IF(OR(P1689="",AB1689=""),"",IF(OR(P1689="Gasto",P1689="Transferencia",P1689="Pago tarjeta"),-1,1)*IF(IFERROR(INDEX(ctaMoneda,MATCH(AB1689,ctaNombre,0))&amp;"","DOP")="USD",T1689,S1689))</f>
        <v/>
      </c>
      <c r="AG1689" s="53">
        <f>IF(AC1689="","",IF(IFERROR(INDEX(ctaMoneda,MATCH(AC1689,ctaNombre,0))&amp;"","DOP")="USD",T1689,S1689))</f>
        <v/>
      </c>
      <c r="AH1689" s="53">
        <f>IF(P1689="","",IF(AND(AD1689&lt;&gt;"",COUNTIFS(tcTipo,AD1689,tcLiq,"Sí")&gt;0),IF(OR(P1689="Gasto",P1689="Transferencia",P1689="Pago tarjeta"),-1,1)*S1689,0)+IF(AND(AE1689&lt;&gt;"",COUNTIFS(tcTipo,AE1689,tcLiq,"Sí")&gt;0),S1689,0))</f>
        <v/>
      </c>
      <c r="AI1689" s="52">
        <f>IF(OR(L1689="",P1689=""),"",IF(COUNTIFS(L$6:L1689,L1689,P$6:P1689,"?*")=1,MAX(AI$5:AI1688)+1,""))</f>
        <v/>
      </c>
    </row>
    <row r="1690">
      <c r="B1690" s="47" t="n"/>
      <c r="C1690" s="48" t="n"/>
      <c r="D1690" s="48" t="n"/>
      <c r="E1690" s="48" t="n"/>
      <c r="F1690" s="48" t="n"/>
      <c r="G1690" s="49" t="n"/>
      <c r="H1690" s="48" t="n"/>
      <c r="I1690" s="50" t="n"/>
      <c r="J1690" s="48" t="n"/>
      <c r="K1690" s="48" t="n"/>
      <c r="L1690" s="48" t="n"/>
      <c r="M1690" s="48" t="n"/>
      <c r="N1690" s="48" t="n"/>
      <c r="O1690" s="51">
        <f>IF(AND(B1690="",G1690="",C1690="",D1690="",J1690=""),"",IF(B1690="","⚠ Falta fecha",IF(G1690="","⚠ Falta monto",IF(Q1690="","⚠ Falta cuenta",IF(ISNA(MATCH(Q1690,ctaNombre,0)),"⚠ Cuenta no registrada",IF(AND(OR(P1690="Gasto",P1690="Reembolso"),D1690=""),"⚠ Falta categoría",IF(AND(D1690&lt;&gt;"",E1690&lt;&gt;"",ISNA(MATCH(D1690&amp;"|"&amp;E1690,catClave,0))),"⚠ Subcategoría no corresponde",IF(AND(OR(P1690="Transferencia",P1690="Pago tarjeta"),K1690=""),"⚠ Falta cuenta destino",IF(AND(K1690&lt;&gt;"",P1690&lt;&gt;"Transferencia",P1690&lt;&gt;"Pago tarjeta"),"⚠ Destino solo aplica a transferencias",IF(AND(K1690&lt;&gt;"",K1690=Q1690),"⚠ Origen igual a destino",IF(AND(K1690&lt;&gt;"",ISNA(MATCH(K1690,ctaNombre,0))),"⚠ Destino no registrado",IF(AND(P1690="Pago tarjeta",AE1690&lt;&gt;"Tarjeta de crédito"),"⚠ El destino debe ser tarjeta de crédito",IF(AND(P1690="Gasto",E1690="Depósitos y retiros"),"⚠ Usa tipo Transferencia",IF(AND(P1690="Resultado trading",AD1690&lt;&gt;"Cuenta de trading"),"⚠ Usa una cuenta de trading",IF(AND(G1690&lt;=0,P1690&lt;&gt;"Ajuste",P1690&lt;&gt;"Resultado trading"),"⚠ El monto debe ser positivo","✓")))))))))))))))</f>
        <v/>
      </c>
      <c r="P1690" s="52">
        <f>IF(OR(B1690="",G1690=""),"",IF(C1690="","Gasto",C1690))</f>
        <v/>
      </c>
      <c r="Q1690" s="52">
        <f>IF(P1690="","",IF(J1690&lt;&gt;"",J1690,CuentaPred&amp;""))</f>
        <v/>
      </c>
      <c r="R1690" s="52">
        <f>IF(P1690="","",IF(ISNUMBER(I1690),I1690,TasaUSD))</f>
        <v/>
      </c>
      <c r="S1690" s="53">
        <f>IF(P1690="","",IF(H1690="USD",G1690*R1690,G1690))</f>
        <v/>
      </c>
      <c r="T1690" s="53">
        <f>IF(P1690="","",IF(H1690="USD",G1690,IF(R1690&gt;0,G1690/R1690,0)))</f>
        <v/>
      </c>
      <c r="U1690" s="53">
        <f>IF(P1690="","",IF(P1690="Gasto",S1690,IF(P1690="Reembolso",-S1690,0)))</f>
        <v/>
      </c>
      <c r="V1690" s="53">
        <f>IF(P1690="","",IF(P1690="Ingreso",S1690,0))</f>
        <v/>
      </c>
      <c r="W1690" s="53">
        <f>IF(P1690="","",IF(P1690="Resultado trading",S1690,0))</f>
        <v/>
      </c>
      <c r="X1690" s="52">
        <f>IF(OR(P1690="Gasto",P1690="Reembolso"),IF(M1690&lt;&gt;"",M1690,IFERROR(INDEX(catClasif,MATCH(D1690&amp;"|"&amp;E1690,catClave,0))&amp;"","Variable")),"")</f>
        <v/>
      </c>
      <c r="Y1690" s="52">
        <f>IF(P1690="","",IFERROR(INDEX(catGrupo,MATCH(D1690&amp;"|"&amp;E1690,catClave,0))&amp;"",""))</f>
        <v/>
      </c>
      <c r="Z1690" s="52">
        <f>IF(P1690="","",WEEKDAY(B1690,2))</f>
        <v/>
      </c>
      <c r="AA1690" s="52">
        <f>IF(P1690="","",IF(AND(P1690="Gasto",X1690="Variable",D1690&lt;&gt;catTrading,S1690&gt;0,S1690&lt;=Umbral),1,0))</f>
        <v/>
      </c>
      <c r="AB1690" s="52">
        <f>IF(OR(P1690="",Q1690=""),"",IFERROR(IF(INDEX(ctaVinc,MATCH(Q1690,ctaNombre,0))&amp;""&lt;&gt;"",INDEX(ctaVinc,MATCH(Q1690,ctaNombre,0))&amp;"",Q1690),Q1690))</f>
        <v/>
      </c>
      <c r="AC1690" s="52">
        <f>IF(OR(K1690="",AND(P1690&lt;&gt;"Transferencia",P1690&lt;&gt;"Pago tarjeta")),"",IFERROR(IF(INDEX(ctaVinc,MATCH(K1690,ctaNombre,0))&amp;""&lt;&gt;"",INDEX(ctaVinc,MATCH(K1690,ctaNombre,0))&amp;"",K1690),K1690))</f>
        <v/>
      </c>
      <c r="AD1690" s="52">
        <f>IF(AB1690="","",IFERROR(INDEX(ctaTipo,MATCH(AB1690,ctaNombre,0))&amp;"",""))</f>
        <v/>
      </c>
      <c r="AE1690" s="52">
        <f>IF(AC1690="","",IFERROR(INDEX(ctaTipo,MATCH(AC1690,ctaNombre,0))&amp;"",""))</f>
        <v/>
      </c>
      <c r="AF1690" s="53">
        <f>IF(OR(P1690="",AB1690=""),"",IF(OR(P1690="Gasto",P1690="Transferencia",P1690="Pago tarjeta"),-1,1)*IF(IFERROR(INDEX(ctaMoneda,MATCH(AB1690,ctaNombre,0))&amp;"","DOP")="USD",T1690,S1690))</f>
        <v/>
      </c>
      <c r="AG1690" s="53">
        <f>IF(AC1690="","",IF(IFERROR(INDEX(ctaMoneda,MATCH(AC1690,ctaNombre,0))&amp;"","DOP")="USD",T1690,S1690))</f>
        <v/>
      </c>
      <c r="AH1690" s="53">
        <f>IF(P1690="","",IF(AND(AD1690&lt;&gt;"",COUNTIFS(tcTipo,AD1690,tcLiq,"Sí")&gt;0),IF(OR(P1690="Gasto",P1690="Transferencia",P1690="Pago tarjeta"),-1,1)*S1690,0)+IF(AND(AE1690&lt;&gt;"",COUNTIFS(tcTipo,AE1690,tcLiq,"Sí")&gt;0),S1690,0))</f>
        <v/>
      </c>
      <c r="AI1690" s="52">
        <f>IF(OR(L1690="",P1690=""),"",IF(COUNTIFS(L$6:L1690,L1690,P$6:P1690,"?*")=1,MAX(AI$5:AI1689)+1,""))</f>
        <v/>
      </c>
    </row>
    <row r="1691">
      <c r="B1691" s="47" t="n"/>
      <c r="C1691" s="48" t="n"/>
      <c r="D1691" s="48" t="n"/>
      <c r="E1691" s="48" t="n"/>
      <c r="F1691" s="48" t="n"/>
      <c r="G1691" s="49" t="n"/>
      <c r="H1691" s="48" t="n"/>
      <c r="I1691" s="50" t="n"/>
      <c r="J1691" s="48" t="n"/>
      <c r="K1691" s="48" t="n"/>
      <c r="L1691" s="48" t="n"/>
      <c r="M1691" s="48" t="n"/>
      <c r="N1691" s="48" t="n"/>
      <c r="O1691" s="51">
        <f>IF(AND(B1691="",G1691="",C1691="",D1691="",J1691=""),"",IF(B1691="","⚠ Falta fecha",IF(G1691="","⚠ Falta monto",IF(Q1691="","⚠ Falta cuenta",IF(ISNA(MATCH(Q1691,ctaNombre,0)),"⚠ Cuenta no registrada",IF(AND(OR(P1691="Gasto",P1691="Reembolso"),D1691=""),"⚠ Falta categoría",IF(AND(D1691&lt;&gt;"",E1691&lt;&gt;"",ISNA(MATCH(D1691&amp;"|"&amp;E1691,catClave,0))),"⚠ Subcategoría no corresponde",IF(AND(OR(P1691="Transferencia",P1691="Pago tarjeta"),K1691=""),"⚠ Falta cuenta destino",IF(AND(K1691&lt;&gt;"",P1691&lt;&gt;"Transferencia",P1691&lt;&gt;"Pago tarjeta"),"⚠ Destino solo aplica a transferencias",IF(AND(K1691&lt;&gt;"",K1691=Q1691),"⚠ Origen igual a destino",IF(AND(K1691&lt;&gt;"",ISNA(MATCH(K1691,ctaNombre,0))),"⚠ Destino no registrado",IF(AND(P1691="Pago tarjeta",AE1691&lt;&gt;"Tarjeta de crédito"),"⚠ El destino debe ser tarjeta de crédito",IF(AND(P1691="Gasto",E1691="Depósitos y retiros"),"⚠ Usa tipo Transferencia",IF(AND(P1691="Resultado trading",AD1691&lt;&gt;"Cuenta de trading"),"⚠ Usa una cuenta de trading",IF(AND(G1691&lt;=0,P1691&lt;&gt;"Ajuste",P1691&lt;&gt;"Resultado trading"),"⚠ El monto debe ser positivo","✓")))))))))))))))</f>
        <v/>
      </c>
      <c r="P1691" s="52">
        <f>IF(OR(B1691="",G1691=""),"",IF(C1691="","Gasto",C1691))</f>
        <v/>
      </c>
      <c r="Q1691" s="52">
        <f>IF(P1691="","",IF(J1691&lt;&gt;"",J1691,CuentaPred&amp;""))</f>
        <v/>
      </c>
      <c r="R1691" s="52">
        <f>IF(P1691="","",IF(ISNUMBER(I1691),I1691,TasaUSD))</f>
        <v/>
      </c>
      <c r="S1691" s="53">
        <f>IF(P1691="","",IF(H1691="USD",G1691*R1691,G1691))</f>
        <v/>
      </c>
      <c r="T1691" s="53">
        <f>IF(P1691="","",IF(H1691="USD",G1691,IF(R1691&gt;0,G1691/R1691,0)))</f>
        <v/>
      </c>
      <c r="U1691" s="53">
        <f>IF(P1691="","",IF(P1691="Gasto",S1691,IF(P1691="Reembolso",-S1691,0)))</f>
        <v/>
      </c>
      <c r="V1691" s="53">
        <f>IF(P1691="","",IF(P1691="Ingreso",S1691,0))</f>
        <v/>
      </c>
      <c r="W1691" s="53">
        <f>IF(P1691="","",IF(P1691="Resultado trading",S1691,0))</f>
        <v/>
      </c>
      <c r="X1691" s="52">
        <f>IF(OR(P1691="Gasto",P1691="Reembolso"),IF(M1691&lt;&gt;"",M1691,IFERROR(INDEX(catClasif,MATCH(D1691&amp;"|"&amp;E1691,catClave,0))&amp;"","Variable")),"")</f>
        <v/>
      </c>
      <c r="Y1691" s="52">
        <f>IF(P1691="","",IFERROR(INDEX(catGrupo,MATCH(D1691&amp;"|"&amp;E1691,catClave,0))&amp;"",""))</f>
        <v/>
      </c>
      <c r="Z1691" s="52">
        <f>IF(P1691="","",WEEKDAY(B1691,2))</f>
        <v/>
      </c>
      <c r="AA1691" s="52">
        <f>IF(P1691="","",IF(AND(P1691="Gasto",X1691="Variable",D1691&lt;&gt;catTrading,S1691&gt;0,S1691&lt;=Umbral),1,0))</f>
        <v/>
      </c>
      <c r="AB1691" s="52">
        <f>IF(OR(P1691="",Q1691=""),"",IFERROR(IF(INDEX(ctaVinc,MATCH(Q1691,ctaNombre,0))&amp;""&lt;&gt;"",INDEX(ctaVinc,MATCH(Q1691,ctaNombre,0))&amp;"",Q1691),Q1691))</f>
        <v/>
      </c>
      <c r="AC1691" s="52">
        <f>IF(OR(K1691="",AND(P1691&lt;&gt;"Transferencia",P1691&lt;&gt;"Pago tarjeta")),"",IFERROR(IF(INDEX(ctaVinc,MATCH(K1691,ctaNombre,0))&amp;""&lt;&gt;"",INDEX(ctaVinc,MATCH(K1691,ctaNombre,0))&amp;"",K1691),K1691))</f>
        <v/>
      </c>
      <c r="AD1691" s="52">
        <f>IF(AB1691="","",IFERROR(INDEX(ctaTipo,MATCH(AB1691,ctaNombre,0))&amp;"",""))</f>
        <v/>
      </c>
      <c r="AE1691" s="52">
        <f>IF(AC1691="","",IFERROR(INDEX(ctaTipo,MATCH(AC1691,ctaNombre,0))&amp;"",""))</f>
        <v/>
      </c>
      <c r="AF1691" s="53">
        <f>IF(OR(P1691="",AB1691=""),"",IF(OR(P1691="Gasto",P1691="Transferencia",P1691="Pago tarjeta"),-1,1)*IF(IFERROR(INDEX(ctaMoneda,MATCH(AB1691,ctaNombre,0))&amp;"","DOP")="USD",T1691,S1691))</f>
        <v/>
      </c>
      <c r="AG1691" s="53">
        <f>IF(AC1691="","",IF(IFERROR(INDEX(ctaMoneda,MATCH(AC1691,ctaNombre,0))&amp;"","DOP")="USD",T1691,S1691))</f>
        <v/>
      </c>
      <c r="AH1691" s="53">
        <f>IF(P1691="","",IF(AND(AD1691&lt;&gt;"",COUNTIFS(tcTipo,AD1691,tcLiq,"Sí")&gt;0),IF(OR(P1691="Gasto",P1691="Transferencia",P1691="Pago tarjeta"),-1,1)*S1691,0)+IF(AND(AE1691&lt;&gt;"",COUNTIFS(tcTipo,AE1691,tcLiq,"Sí")&gt;0),S1691,0))</f>
        <v/>
      </c>
      <c r="AI1691" s="52">
        <f>IF(OR(L1691="",P1691=""),"",IF(COUNTIFS(L$6:L1691,L1691,P$6:P1691,"?*")=1,MAX(AI$5:AI1690)+1,""))</f>
        <v/>
      </c>
    </row>
    <row r="1692">
      <c r="B1692" s="47" t="n"/>
      <c r="C1692" s="48" t="n"/>
      <c r="D1692" s="48" t="n"/>
      <c r="E1692" s="48" t="n"/>
      <c r="F1692" s="48" t="n"/>
      <c r="G1692" s="49" t="n"/>
      <c r="H1692" s="48" t="n"/>
      <c r="I1692" s="50" t="n"/>
      <c r="J1692" s="48" t="n"/>
      <c r="K1692" s="48" t="n"/>
      <c r="L1692" s="48" t="n"/>
      <c r="M1692" s="48" t="n"/>
      <c r="N1692" s="48" t="n"/>
      <c r="O1692" s="51">
        <f>IF(AND(B1692="",G1692="",C1692="",D1692="",J1692=""),"",IF(B1692="","⚠ Falta fecha",IF(G1692="","⚠ Falta monto",IF(Q1692="","⚠ Falta cuenta",IF(ISNA(MATCH(Q1692,ctaNombre,0)),"⚠ Cuenta no registrada",IF(AND(OR(P1692="Gasto",P1692="Reembolso"),D1692=""),"⚠ Falta categoría",IF(AND(D1692&lt;&gt;"",E1692&lt;&gt;"",ISNA(MATCH(D1692&amp;"|"&amp;E1692,catClave,0))),"⚠ Subcategoría no corresponde",IF(AND(OR(P1692="Transferencia",P1692="Pago tarjeta"),K1692=""),"⚠ Falta cuenta destino",IF(AND(K1692&lt;&gt;"",P1692&lt;&gt;"Transferencia",P1692&lt;&gt;"Pago tarjeta"),"⚠ Destino solo aplica a transferencias",IF(AND(K1692&lt;&gt;"",K1692=Q1692),"⚠ Origen igual a destino",IF(AND(K1692&lt;&gt;"",ISNA(MATCH(K1692,ctaNombre,0))),"⚠ Destino no registrado",IF(AND(P1692="Pago tarjeta",AE1692&lt;&gt;"Tarjeta de crédito"),"⚠ El destino debe ser tarjeta de crédito",IF(AND(P1692="Gasto",E1692="Depósitos y retiros"),"⚠ Usa tipo Transferencia",IF(AND(P1692="Resultado trading",AD1692&lt;&gt;"Cuenta de trading"),"⚠ Usa una cuenta de trading",IF(AND(G1692&lt;=0,P1692&lt;&gt;"Ajuste",P1692&lt;&gt;"Resultado trading"),"⚠ El monto debe ser positivo","✓")))))))))))))))</f>
        <v/>
      </c>
      <c r="P1692" s="52">
        <f>IF(OR(B1692="",G1692=""),"",IF(C1692="","Gasto",C1692))</f>
        <v/>
      </c>
      <c r="Q1692" s="52">
        <f>IF(P1692="","",IF(J1692&lt;&gt;"",J1692,CuentaPred&amp;""))</f>
        <v/>
      </c>
      <c r="R1692" s="52">
        <f>IF(P1692="","",IF(ISNUMBER(I1692),I1692,TasaUSD))</f>
        <v/>
      </c>
      <c r="S1692" s="53">
        <f>IF(P1692="","",IF(H1692="USD",G1692*R1692,G1692))</f>
        <v/>
      </c>
      <c r="T1692" s="53">
        <f>IF(P1692="","",IF(H1692="USD",G1692,IF(R1692&gt;0,G1692/R1692,0)))</f>
        <v/>
      </c>
      <c r="U1692" s="53">
        <f>IF(P1692="","",IF(P1692="Gasto",S1692,IF(P1692="Reembolso",-S1692,0)))</f>
        <v/>
      </c>
      <c r="V1692" s="53">
        <f>IF(P1692="","",IF(P1692="Ingreso",S1692,0))</f>
        <v/>
      </c>
      <c r="W1692" s="53">
        <f>IF(P1692="","",IF(P1692="Resultado trading",S1692,0))</f>
        <v/>
      </c>
      <c r="X1692" s="52">
        <f>IF(OR(P1692="Gasto",P1692="Reembolso"),IF(M1692&lt;&gt;"",M1692,IFERROR(INDEX(catClasif,MATCH(D1692&amp;"|"&amp;E1692,catClave,0))&amp;"","Variable")),"")</f>
        <v/>
      </c>
      <c r="Y1692" s="52">
        <f>IF(P1692="","",IFERROR(INDEX(catGrupo,MATCH(D1692&amp;"|"&amp;E1692,catClave,0))&amp;"",""))</f>
        <v/>
      </c>
      <c r="Z1692" s="52">
        <f>IF(P1692="","",WEEKDAY(B1692,2))</f>
        <v/>
      </c>
      <c r="AA1692" s="52">
        <f>IF(P1692="","",IF(AND(P1692="Gasto",X1692="Variable",D1692&lt;&gt;catTrading,S1692&gt;0,S1692&lt;=Umbral),1,0))</f>
        <v/>
      </c>
      <c r="AB1692" s="52">
        <f>IF(OR(P1692="",Q1692=""),"",IFERROR(IF(INDEX(ctaVinc,MATCH(Q1692,ctaNombre,0))&amp;""&lt;&gt;"",INDEX(ctaVinc,MATCH(Q1692,ctaNombre,0))&amp;"",Q1692),Q1692))</f>
        <v/>
      </c>
      <c r="AC1692" s="52">
        <f>IF(OR(K1692="",AND(P1692&lt;&gt;"Transferencia",P1692&lt;&gt;"Pago tarjeta")),"",IFERROR(IF(INDEX(ctaVinc,MATCH(K1692,ctaNombre,0))&amp;""&lt;&gt;"",INDEX(ctaVinc,MATCH(K1692,ctaNombre,0))&amp;"",K1692),K1692))</f>
        <v/>
      </c>
      <c r="AD1692" s="52">
        <f>IF(AB1692="","",IFERROR(INDEX(ctaTipo,MATCH(AB1692,ctaNombre,0))&amp;"",""))</f>
        <v/>
      </c>
      <c r="AE1692" s="52">
        <f>IF(AC1692="","",IFERROR(INDEX(ctaTipo,MATCH(AC1692,ctaNombre,0))&amp;"",""))</f>
        <v/>
      </c>
      <c r="AF1692" s="53">
        <f>IF(OR(P1692="",AB1692=""),"",IF(OR(P1692="Gasto",P1692="Transferencia",P1692="Pago tarjeta"),-1,1)*IF(IFERROR(INDEX(ctaMoneda,MATCH(AB1692,ctaNombre,0))&amp;"","DOP")="USD",T1692,S1692))</f>
        <v/>
      </c>
      <c r="AG1692" s="53">
        <f>IF(AC1692="","",IF(IFERROR(INDEX(ctaMoneda,MATCH(AC1692,ctaNombre,0))&amp;"","DOP")="USD",T1692,S1692))</f>
        <v/>
      </c>
      <c r="AH1692" s="53">
        <f>IF(P1692="","",IF(AND(AD1692&lt;&gt;"",COUNTIFS(tcTipo,AD1692,tcLiq,"Sí")&gt;0),IF(OR(P1692="Gasto",P1692="Transferencia",P1692="Pago tarjeta"),-1,1)*S1692,0)+IF(AND(AE1692&lt;&gt;"",COUNTIFS(tcTipo,AE1692,tcLiq,"Sí")&gt;0),S1692,0))</f>
        <v/>
      </c>
      <c r="AI1692" s="52">
        <f>IF(OR(L1692="",P1692=""),"",IF(COUNTIFS(L$6:L1692,L1692,P$6:P1692,"?*")=1,MAX(AI$5:AI1691)+1,""))</f>
        <v/>
      </c>
    </row>
    <row r="1693">
      <c r="B1693" s="47" t="n"/>
      <c r="C1693" s="48" t="n"/>
      <c r="D1693" s="48" t="n"/>
      <c r="E1693" s="48" t="n"/>
      <c r="F1693" s="48" t="n"/>
      <c r="G1693" s="49" t="n"/>
      <c r="H1693" s="48" t="n"/>
      <c r="I1693" s="50" t="n"/>
      <c r="J1693" s="48" t="n"/>
      <c r="K1693" s="48" t="n"/>
      <c r="L1693" s="48" t="n"/>
      <c r="M1693" s="48" t="n"/>
      <c r="N1693" s="48" t="n"/>
      <c r="O1693" s="51">
        <f>IF(AND(B1693="",G1693="",C1693="",D1693="",J1693=""),"",IF(B1693="","⚠ Falta fecha",IF(G1693="","⚠ Falta monto",IF(Q1693="","⚠ Falta cuenta",IF(ISNA(MATCH(Q1693,ctaNombre,0)),"⚠ Cuenta no registrada",IF(AND(OR(P1693="Gasto",P1693="Reembolso"),D1693=""),"⚠ Falta categoría",IF(AND(D1693&lt;&gt;"",E1693&lt;&gt;"",ISNA(MATCH(D1693&amp;"|"&amp;E1693,catClave,0))),"⚠ Subcategoría no corresponde",IF(AND(OR(P1693="Transferencia",P1693="Pago tarjeta"),K1693=""),"⚠ Falta cuenta destino",IF(AND(K1693&lt;&gt;"",P1693&lt;&gt;"Transferencia",P1693&lt;&gt;"Pago tarjeta"),"⚠ Destino solo aplica a transferencias",IF(AND(K1693&lt;&gt;"",K1693=Q1693),"⚠ Origen igual a destino",IF(AND(K1693&lt;&gt;"",ISNA(MATCH(K1693,ctaNombre,0))),"⚠ Destino no registrado",IF(AND(P1693="Pago tarjeta",AE1693&lt;&gt;"Tarjeta de crédito"),"⚠ El destino debe ser tarjeta de crédito",IF(AND(P1693="Gasto",E1693="Depósitos y retiros"),"⚠ Usa tipo Transferencia",IF(AND(P1693="Resultado trading",AD1693&lt;&gt;"Cuenta de trading"),"⚠ Usa una cuenta de trading",IF(AND(G1693&lt;=0,P1693&lt;&gt;"Ajuste",P1693&lt;&gt;"Resultado trading"),"⚠ El monto debe ser positivo","✓")))))))))))))))</f>
        <v/>
      </c>
      <c r="P1693" s="52">
        <f>IF(OR(B1693="",G1693=""),"",IF(C1693="","Gasto",C1693))</f>
        <v/>
      </c>
      <c r="Q1693" s="52">
        <f>IF(P1693="","",IF(J1693&lt;&gt;"",J1693,CuentaPred&amp;""))</f>
        <v/>
      </c>
      <c r="R1693" s="52">
        <f>IF(P1693="","",IF(ISNUMBER(I1693),I1693,TasaUSD))</f>
        <v/>
      </c>
      <c r="S1693" s="53">
        <f>IF(P1693="","",IF(H1693="USD",G1693*R1693,G1693))</f>
        <v/>
      </c>
      <c r="T1693" s="53">
        <f>IF(P1693="","",IF(H1693="USD",G1693,IF(R1693&gt;0,G1693/R1693,0)))</f>
        <v/>
      </c>
      <c r="U1693" s="53">
        <f>IF(P1693="","",IF(P1693="Gasto",S1693,IF(P1693="Reembolso",-S1693,0)))</f>
        <v/>
      </c>
      <c r="V1693" s="53">
        <f>IF(P1693="","",IF(P1693="Ingreso",S1693,0))</f>
        <v/>
      </c>
      <c r="W1693" s="53">
        <f>IF(P1693="","",IF(P1693="Resultado trading",S1693,0))</f>
        <v/>
      </c>
      <c r="X1693" s="52">
        <f>IF(OR(P1693="Gasto",P1693="Reembolso"),IF(M1693&lt;&gt;"",M1693,IFERROR(INDEX(catClasif,MATCH(D1693&amp;"|"&amp;E1693,catClave,0))&amp;"","Variable")),"")</f>
        <v/>
      </c>
      <c r="Y1693" s="52">
        <f>IF(P1693="","",IFERROR(INDEX(catGrupo,MATCH(D1693&amp;"|"&amp;E1693,catClave,0))&amp;"",""))</f>
        <v/>
      </c>
      <c r="Z1693" s="52">
        <f>IF(P1693="","",WEEKDAY(B1693,2))</f>
        <v/>
      </c>
      <c r="AA1693" s="52">
        <f>IF(P1693="","",IF(AND(P1693="Gasto",X1693="Variable",D1693&lt;&gt;catTrading,S1693&gt;0,S1693&lt;=Umbral),1,0))</f>
        <v/>
      </c>
      <c r="AB1693" s="52">
        <f>IF(OR(P1693="",Q1693=""),"",IFERROR(IF(INDEX(ctaVinc,MATCH(Q1693,ctaNombre,0))&amp;""&lt;&gt;"",INDEX(ctaVinc,MATCH(Q1693,ctaNombre,0))&amp;"",Q1693),Q1693))</f>
        <v/>
      </c>
      <c r="AC1693" s="52">
        <f>IF(OR(K1693="",AND(P1693&lt;&gt;"Transferencia",P1693&lt;&gt;"Pago tarjeta")),"",IFERROR(IF(INDEX(ctaVinc,MATCH(K1693,ctaNombre,0))&amp;""&lt;&gt;"",INDEX(ctaVinc,MATCH(K1693,ctaNombre,0))&amp;"",K1693),K1693))</f>
        <v/>
      </c>
      <c r="AD1693" s="52">
        <f>IF(AB1693="","",IFERROR(INDEX(ctaTipo,MATCH(AB1693,ctaNombre,0))&amp;"",""))</f>
        <v/>
      </c>
      <c r="AE1693" s="52">
        <f>IF(AC1693="","",IFERROR(INDEX(ctaTipo,MATCH(AC1693,ctaNombre,0))&amp;"",""))</f>
        <v/>
      </c>
      <c r="AF1693" s="53">
        <f>IF(OR(P1693="",AB1693=""),"",IF(OR(P1693="Gasto",P1693="Transferencia",P1693="Pago tarjeta"),-1,1)*IF(IFERROR(INDEX(ctaMoneda,MATCH(AB1693,ctaNombre,0))&amp;"","DOP")="USD",T1693,S1693))</f>
        <v/>
      </c>
      <c r="AG1693" s="53">
        <f>IF(AC1693="","",IF(IFERROR(INDEX(ctaMoneda,MATCH(AC1693,ctaNombre,0))&amp;"","DOP")="USD",T1693,S1693))</f>
        <v/>
      </c>
      <c r="AH1693" s="53">
        <f>IF(P1693="","",IF(AND(AD1693&lt;&gt;"",COUNTIFS(tcTipo,AD1693,tcLiq,"Sí")&gt;0),IF(OR(P1693="Gasto",P1693="Transferencia",P1693="Pago tarjeta"),-1,1)*S1693,0)+IF(AND(AE1693&lt;&gt;"",COUNTIFS(tcTipo,AE1693,tcLiq,"Sí")&gt;0),S1693,0))</f>
        <v/>
      </c>
      <c r="AI1693" s="52">
        <f>IF(OR(L1693="",P1693=""),"",IF(COUNTIFS(L$6:L1693,L1693,P$6:P1693,"?*")=1,MAX(AI$5:AI1692)+1,""))</f>
        <v/>
      </c>
    </row>
    <row r="1694">
      <c r="B1694" s="47" t="n"/>
      <c r="C1694" s="48" t="n"/>
      <c r="D1694" s="48" t="n"/>
      <c r="E1694" s="48" t="n"/>
      <c r="F1694" s="48" t="n"/>
      <c r="G1694" s="49" t="n"/>
      <c r="H1694" s="48" t="n"/>
      <c r="I1694" s="50" t="n"/>
      <c r="J1694" s="48" t="n"/>
      <c r="K1694" s="48" t="n"/>
      <c r="L1694" s="48" t="n"/>
      <c r="M1694" s="48" t="n"/>
      <c r="N1694" s="48" t="n"/>
      <c r="O1694" s="51">
        <f>IF(AND(B1694="",G1694="",C1694="",D1694="",J1694=""),"",IF(B1694="","⚠ Falta fecha",IF(G1694="","⚠ Falta monto",IF(Q1694="","⚠ Falta cuenta",IF(ISNA(MATCH(Q1694,ctaNombre,0)),"⚠ Cuenta no registrada",IF(AND(OR(P1694="Gasto",P1694="Reembolso"),D1694=""),"⚠ Falta categoría",IF(AND(D1694&lt;&gt;"",E1694&lt;&gt;"",ISNA(MATCH(D1694&amp;"|"&amp;E1694,catClave,0))),"⚠ Subcategoría no corresponde",IF(AND(OR(P1694="Transferencia",P1694="Pago tarjeta"),K1694=""),"⚠ Falta cuenta destino",IF(AND(K1694&lt;&gt;"",P1694&lt;&gt;"Transferencia",P1694&lt;&gt;"Pago tarjeta"),"⚠ Destino solo aplica a transferencias",IF(AND(K1694&lt;&gt;"",K1694=Q1694),"⚠ Origen igual a destino",IF(AND(K1694&lt;&gt;"",ISNA(MATCH(K1694,ctaNombre,0))),"⚠ Destino no registrado",IF(AND(P1694="Pago tarjeta",AE1694&lt;&gt;"Tarjeta de crédito"),"⚠ El destino debe ser tarjeta de crédito",IF(AND(P1694="Gasto",E1694="Depósitos y retiros"),"⚠ Usa tipo Transferencia",IF(AND(P1694="Resultado trading",AD1694&lt;&gt;"Cuenta de trading"),"⚠ Usa una cuenta de trading",IF(AND(G1694&lt;=0,P1694&lt;&gt;"Ajuste",P1694&lt;&gt;"Resultado trading"),"⚠ El monto debe ser positivo","✓")))))))))))))))</f>
        <v/>
      </c>
      <c r="P1694" s="52">
        <f>IF(OR(B1694="",G1694=""),"",IF(C1694="","Gasto",C1694))</f>
        <v/>
      </c>
      <c r="Q1694" s="52">
        <f>IF(P1694="","",IF(J1694&lt;&gt;"",J1694,CuentaPred&amp;""))</f>
        <v/>
      </c>
      <c r="R1694" s="52">
        <f>IF(P1694="","",IF(ISNUMBER(I1694),I1694,TasaUSD))</f>
        <v/>
      </c>
      <c r="S1694" s="53">
        <f>IF(P1694="","",IF(H1694="USD",G1694*R1694,G1694))</f>
        <v/>
      </c>
      <c r="T1694" s="53">
        <f>IF(P1694="","",IF(H1694="USD",G1694,IF(R1694&gt;0,G1694/R1694,0)))</f>
        <v/>
      </c>
      <c r="U1694" s="53">
        <f>IF(P1694="","",IF(P1694="Gasto",S1694,IF(P1694="Reembolso",-S1694,0)))</f>
        <v/>
      </c>
      <c r="V1694" s="53">
        <f>IF(P1694="","",IF(P1694="Ingreso",S1694,0))</f>
        <v/>
      </c>
      <c r="W1694" s="53">
        <f>IF(P1694="","",IF(P1694="Resultado trading",S1694,0))</f>
        <v/>
      </c>
      <c r="X1694" s="52">
        <f>IF(OR(P1694="Gasto",P1694="Reembolso"),IF(M1694&lt;&gt;"",M1694,IFERROR(INDEX(catClasif,MATCH(D1694&amp;"|"&amp;E1694,catClave,0))&amp;"","Variable")),"")</f>
        <v/>
      </c>
      <c r="Y1694" s="52">
        <f>IF(P1694="","",IFERROR(INDEX(catGrupo,MATCH(D1694&amp;"|"&amp;E1694,catClave,0))&amp;"",""))</f>
        <v/>
      </c>
      <c r="Z1694" s="52">
        <f>IF(P1694="","",WEEKDAY(B1694,2))</f>
        <v/>
      </c>
      <c r="AA1694" s="52">
        <f>IF(P1694="","",IF(AND(P1694="Gasto",X1694="Variable",D1694&lt;&gt;catTrading,S1694&gt;0,S1694&lt;=Umbral),1,0))</f>
        <v/>
      </c>
      <c r="AB1694" s="52">
        <f>IF(OR(P1694="",Q1694=""),"",IFERROR(IF(INDEX(ctaVinc,MATCH(Q1694,ctaNombre,0))&amp;""&lt;&gt;"",INDEX(ctaVinc,MATCH(Q1694,ctaNombre,0))&amp;"",Q1694),Q1694))</f>
        <v/>
      </c>
      <c r="AC1694" s="52">
        <f>IF(OR(K1694="",AND(P1694&lt;&gt;"Transferencia",P1694&lt;&gt;"Pago tarjeta")),"",IFERROR(IF(INDEX(ctaVinc,MATCH(K1694,ctaNombre,0))&amp;""&lt;&gt;"",INDEX(ctaVinc,MATCH(K1694,ctaNombre,0))&amp;"",K1694),K1694))</f>
        <v/>
      </c>
      <c r="AD1694" s="52">
        <f>IF(AB1694="","",IFERROR(INDEX(ctaTipo,MATCH(AB1694,ctaNombre,0))&amp;"",""))</f>
        <v/>
      </c>
      <c r="AE1694" s="52">
        <f>IF(AC1694="","",IFERROR(INDEX(ctaTipo,MATCH(AC1694,ctaNombre,0))&amp;"",""))</f>
        <v/>
      </c>
      <c r="AF1694" s="53">
        <f>IF(OR(P1694="",AB1694=""),"",IF(OR(P1694="Gasto",P1694="Transferencia",P1694="Pago tarjeta"),-1,1)*IF(IFERROR(INDEX(ctaMoneda,MATCH(AB1694,ctaNombre,0))&amp;"","DOP")="USD",T1694,S1694))</f>
        <v/>
      </c>
      <c r="AG1694" s="53">
        <f>IF(AC1694="","",IF(IFERROR(INDEX(ctaMoneda,MATCH(AC1694,ctaNombre,0))&amp;"","DOP")="USD",T1694,S1694))</f>
        <v/>
      </c>
      <c r="AH1694" s="53">
        <f>IF(P1694="","",IF(AND(AD1694&lt;&gt;"",COUNTIFS(tcTipo,AD1694,tcLiq,"Sí")&gt;0),IF(OR(P1694="Gasto",P1694="Transferencia",P1694="Pago tarjeta"),-1,1)*S1694,0)+IF(AND(AE1694&lt;&gt;"",COUNTIFS(tcTipo,AE1694,tcLiq,"Sí")&gt;0),S1694,0))</f>
        <v/>
      </c>
      <c r="AI1694" s="52">
        <f>IF(OR(L1694="",P1694=""),"",IF(COUNTIFS(L$6:L1694,L1694,P$6:P1694,"?*")=1,MAX(AI$5:AI1693)+1,""))</f>
        <v/>
      </c>
    </row>
    <row r="1695">
      <c r="B1695" s="47" t="n"/>
      <c r="C1695" s="48" t="n"/>
      <c r="D1695" s="48" t="n"/>
      <c r="E1695" s="48" t="n"/>
      <c r="F1695" s="48" t="n"/>
      <c r="G1695" s="49" t="n"/>
      <c r="H1695" s="48" t="n"/>
      <c r="I1695" s="50" t="n"/>
      <c r="J1695" s="48" t="n"/>
      <c r="K1695" s="48" t="n"/>
      <c r="L1695" s="48" t="n"/>
      <c r="M1695" s="48" t="n"/>
      <c r="N1695" s="48" t="n"/>
      <c r="O1695" s="51">
        <f>IF(AND(B1695="",G1695="",C1695="",D1695="",J1695=""),"",IF(B1695="","⚠ Falta fecha",IF(G1695="","⚠ Falta monto",IF(Q1695="","⚠ Falta cuenta",IF(ISNA(MATCH(Q1695,ctaNombre,0)),"⚠ Cuenta no registrada",IF(AND(OR(P1695="Gasto",P1695="Reembolso"),D1695=""),"⚠ Falta categoría",IF(AND(D1695&lt;&gt;"",E1695&lt;&gt;"",ISNA(MATCH(D1695&amp;"|"&amp;E1695,catClave,0))),"⚠ Subcategoría no corresponde",IF(AND(OR(P1695="Transferencia",P1695="Pago tarjeta"),K1695=""),"⚠ Falta cuenta destino",IF(AND(K1695&lt;&gt;"",P1695&lt;&gt;"Transferencia",P1695&lt;&gt;"Pago tarjeta"),"⚠ Destino solo aplica a transferencias",IF(AND(K1695&lt;&gt;"",K1695=Q1695),"⚠ Origen igual a destino",IF(AND(K1695&lt;&gt;"",ISNA(MATCH(K1695,ctaNombre,0))),"⚠ Destino no registrado",IF(AND(P1695="Pago tarjeta",AE1695&lt;&gt;"Tarjeta de crédito"),"⚠ El destino debe ser tarjeta de crédito",IF(AND(P1695="Gasto",E1695="Depósitos y retiros"),"⚠ Usa tipo Transferencia",IF(AND(P1695="Resultado trading",AD1695&lt;&gt;"Cuenta de trading"),"⚠ Usa una cuenta de trading",IF(AND(G1695&lt;=0,P1695&lt;&gt;"Ajuste",P1695&lt;&gt;"Resultado trading"),"⚠ El monto debe ser positivo","✓")))))))))))))))</f>
        <v/>
      </c>
      <c r="P1695" s="52">
        <f>IF(OR(B1695="",G1695=""),"",IF(C1695="","Gasto",C1695))</f>
        <v/>
      </c>
      <c r="Q1695" s="52">
        <f>IF(P1695="","",IF(J1695&lt;&gt;"",J1695,CuentaPred&amp;""))</f>
        <v/>
      </c>
      <c r="R1695" s="52">
        <f>IF(P1695="","",IF(ISNUMBER(I1695),I1695,TasaUSD))</f>
        <v/>
      </c>
      <c r="S1695" s="53">
        <f>IF(P1695="","",IF(H1695="USD",G1695*R1695,G1695))</f>
        <v/>
      </c>
      <c r="T1695" s="53">
        <f>IF(P1695="","",IF(H1695="USD",G1695,IF(R1695&gt;0,G1695/R1695,0)))</f>
        <v/>
      </c>
      <c r="U1695" s="53">
        <f>IF(P1695="","",IF(P1695="Gasto",S1695,IF(P1695="Reembolso",-S1695,0)))</f>
        <v/>
      </c>
      <c r="V1695" s="53">
        <f>IF(P1695="","",IF(P1695="Ingreso",S1695,0))</f>
        <v/>
      </c>
      <c r="W1695" s="53">
        <f>IF(P1695="","",IF(P1695="Resultado trading",S1695,0))</f>
        <v/>
      </c>
      <c r="X1695" s="52">
        <f>IF(OR(P1695="Gasto",P1695="Reembolso"),IF(M1695&lt;&gt;"",M1695,IFERROR(INDEX(catClasif,MATCH(D1695&amp;"|"&amp;E1695,catClave,0))&amp;"","Variable")),"")</f>
        <v/>
      </c>
      <c r="Y1695" s="52">
        <f>IF(P1695="","",IFERROR(INDEX(catGrupo,MATCH(D1695&amp;"|"&amp;E1695,catClave,0))&amp;"",""))</f>
        <v/>
      </c>
      <c r="Z1695" s="52">
        <f>IF(P1695="","",WEEKDAY(B1695,2))</f>
        <v/>
      </c>
      <c r="AA1695" s="52">
        <f>IF(P1695="","",IF(AND(P1695="Gasto",X1695="Variable",D1695&lt;&gt;catTrading,S1695&gt;0,S1695&lt;=Umbral),1,0))</f>
        <v/>
      </c>
      <c r="AB1695" s="52">
        <f>IF(OR(P1695="",Q1695=""),"",IFERROR(IF(INDEX(ctaVinc,MATCH(Q1695,ctaNombre,0))&amp;""&lt;&gt;"",INDEX(ctaVinc,MATCH(Q1695,ctaNombre,0))&amp;"",Q1695),Q1695))</f>
        <v/>
      </c>
      <c r="AC1695" s="52">
        <f>IF(OR(K1695="",AND(P1695&lt;&gt;"Transferencia",P1695&lt;&gt;"Pago tarjeta")),"",IFERROR(IF(INDEX(ctaVinc,MATCH(K1695,ctaNombre,0))&amp;""&lt;&gt;"",INDEX(ctaVinc,MATCH(K1695,ctaNombre,0))&amp;"",K1695),K1695))</f>
        <v/>
      </c>
      <c r="AD1695" s="52">
        <f>IF(AB1695="","",IFERROR(INDEX(ctaTipo,MATCH(AB1695,ctaNombre,0))&amp;"",""))</f>
        <v/>
      </c>
      <c r="AE1695" s="52">
        <f>IF(AC1695="","",IFERROR(INDEX(ctaTipo,MATCH(AC1695,ctaNombre,0))&amp;"",""))</f>
        <v/>
      </c>
      <c r="AF1695" s="53">
        <f>IF(OR(P1695="",AB1695=""),"",IF(OR(P1695="Gasto",P1695="Transferencia",P1695="Pago tarjeta"),-1,1)*IF(IFERROR(INDEX(ctaMoneda,MATCH(AB1695,ctaNombre,0))&amp;"","DOP")="USD",T1695,S1695))</f>
        <v/>
      </c>
      <c r="AG1695" s="53">
        <f>IF(AC1695="","",IF(IFERROR(INDEX(ctaMoneda,MATCH(AC1695,ctaNombre,0))&amp;"","DOP")="USD",T1695,S1695))</f>
        <v/>
      </c>
      <c r="AH1695" s="53">
        <f>IF(P1695="","",IF(AND(AD1695&lt;&gt;"",COUNTIFS(tcTipo,AD1695,tcLiq,"Sí")&gt;0),IF(OR(P1695="Gasto",P1695="Transferencia",P1695="Pago tarjeta"),-1,1)*S1695,0)+IF(AND(AE1695&lt;&gt;"",COUNTIFS(tcTipo,AE1695,tcLiq,"Sí")&gt;0),S1695,0))</f>
        <v/>
      </c>
      <c r="AI1695" s="52">
        <f>IF(OR(L1695="",P1695=""),"",IF(COUNTIFS(L$6:L1695,L1695,P$6:P1695,"?*")=1,MAX(AI$5:AI1694)+1,""))</f>
        <v/>
      </c>
    </row>
    <row r="1696">
      <c r="B1696" s="47" t="n"/>
      <c r="C1696" s="48" t="n"/>
      <c r="D1696" s="48" t="n"/>
      <c r="E1696" s="48" t="n"/>
      <c r="F1696" s="48" t="n"/>
      <c r="G1696" s="49" t="n"/>
      <c r="H1696" s="48" t="n"/>
      <c r="I1696" s="50" t="n"/>
      <c r="J1696" s="48" t="n"/>
      <c r="K1696" s="48" t="n"/>
      <c r="L1696" s="48" t="n"/>
      <c r="M1696" s="48" t="n"/>
      <c r="N1696" s="48" t="n"/>
      <c r="O1696" s="51">
        <f>IF(AND(B1696="",G1696="",C1696="",D1696="",J1696=""),"",IF(B1696="","⚠ Falta fecha",IF(G1696="","⚠ Falta monto",IF(Q1696="","⚠ Falta cuenta",IF(ISNA(MATCH(Q1696,ctaNombre,0)),"⚠ Cuenta no registrada",IF(AND(OR(P1696="Gasto",P1696="Reembolso"),D1696=""),"⚠ Falta categoría",IF(AND(D1696&lt;&gt;"",E1696&lt;&gt;"",ISNA(MATCH(D1696&amp;"|"&amp;E1696,catClave,0))),"⚠ Subcategoría no corresponde",IF(AND(OR(P1696="Transferencia",P1696="Pago tarjeta"),K1696=""),"⚠ Falta cuenta destino",IF(AND(K1696&lt;&gt;"",P1696&lt;&gt;"Transferencia",P1696&lt;&gt;"Pago tarjeta"),"⚠ Destino solo aplica a transferencias",IF(AND(K1696&lt;&gt;"",K1696=Q1696),"⚠ Origen igual a destino",IF(AND(K1696&lt;&gt;"",ISNA(MATCH(K1696,ctaNombre,0))),"⚠ Destino no registrado",IF(AND(P1696="Pago tarjeta",AE1696&lt;&gt;"Tarjeta de crédito"),"⚠ El destino debe ser tarjeta de crédito",IF(AND(P1696="Gasto",E1696="Depósitos y retiros"),"⚠ Usa tipo Transferencia",IF(AND(P1696="Resultado trading",AD1696&lt;&gt;"Cuenta de trading"),"⚠ Usa una cuenta de trading",IF(AND(G1696&lt;=0,P1696&lt;&gt;"Ajuste",P1696&lt;&gt;"Resultado trading"),"⚠ El monto debe ser positivo","✓")))))))))))))))</f>
        <v/>
      </c>
      <c r="P1696" s="52">
        <f>IF(OR(B1696="",G1696=""),"",IF(C1696="","Gasto",C1696))</f>
        <v/>
      </c>
      <c r="Q1696" s="52">
        <f>IF(P1696="","",IF(J1696&lt;&gt;"",J1696,CuentaPred&amp;""))</f>
        <v/>
      </c>
      <c r="R1696" s="52">
        <f>IF(P1696="","",IF(ISNUMBER(I1696),I1696,TasaUSD))</f>
        <v/>
      </c>
      <c r="S1696" s="53">
        <f>IF(P1696="","",IF(H1696="USD",G1696*R1696,G1696))</f>
        <v/>
      </c>
      <c r="T1696" s="53">
        <f>IF(P1696="","",IF(H1696="USD",G1696,IF(R1696&gt;0,G1696/R1696,0)))</f>
        <v/>
      </c>
      <c r="U1696" s="53">
        <f>IF(P1696="","",IF(P1696="Gasto",S1696,IF(P1696="Reembolso",-S1696,0)))</f>
        <v/>
      </c>
      <c r="V1696" s="53">
        <f>IF(P1696="","",IF(P1696="Ingreso",S1696,0))</f>
        <v/>
      </c>
      <c r="W1696" s="53">
        <f>IF(P1696="","",IF(P1696="Resultado trading",S1696,0))</f>
        <v/>
      </c>
      <c r="X1696" s="52">
        <f>IF(OR(P1696="Gasto",P1696="Reembolso"),IF(M1696&lt;&gt;"",M1696,IFERROR(INDEX(catClasif,MATCH(D1696&amp;"|"&amp;E1696,catClave,0))&amp;"","Variable")),"")</f>
        <v/>
      </c>
      <c r="Y1696" s="52">
        <f>IF(P1696="","",IFERROR(INDEX(catGrupo,MATCH(D1696&amp;"|"&amp;E1696,catClave,0))&amp;"",""))</f>
        <v/>
      </c>
      <c r="Z1696" s="52">
        <f>IF(P1696="","",WEEKDAY(B1696,2))</f>
        <v/>
      </c>
      <c r="AA1696" s="52">
        <f>IF(P1696="","",IF(AND(P1696="Gasto",X1696="Variable",D1696&lt;&gt;catTrading,S1696&gt;0,S1696&lt;=Umbral),1,0))</f>
        <v/>
      </c>
      <c r="AB1696" s="52">
        <f>IF(OR(P1696="",Q1696=""),"",IFERROR(IF(INDEX(ctaVinc,MATCH(Q1696,ctaNombre,0))&amp;""&lt;&gt;"",INDEX(ctaVinc,MATCH(Q1696,ctaNombre,0))&amp;"",Q1696),Q1696))</f>
        <v/>
      </c>
      <c r="AC1696" s="52">
        <f>IF(OR(K1696="",AND(P1696&lt;&gt;"Transferencia",P1696&lt;&gt;"Pago tarjeta")),"",IFERROR(IF(INDEX(ctaVinc,MATCH(K1696,ctaNombre,0))&amp;""&lt;&gt;"",INDEX(ctaVinc,MATCH(K1696,ctaNombre,0))&amp;"",K1696),K1696))</f>
        <v/>
      </c>
      <c r="AD1696" s="52">
        <f>IF(AB1696="","",IFERROR(INDEX(ctaTipo,MATCH(AB1696,ctaNombre,0))&amp;"",""))</f>
        <v/>
      </c>
      <c r="AE1696" s="52">
        <f>IF(AC1696="","",IFERROR(INDEX(ctaTipo,MATCH(AC1696,ctaNombre,0))&amp;"",""))</f>
        <v/>
      </c>
      <c r="AF1696" s="53">
        <f>IF(OR(P1696="",AB1696=""),"",IF(OR(P1696="Gasto",P1696="Transferencia",P1696="Pago tarjeta"),-1,1)*IF(IFERROR(INDEX(ctaMoneda,MATCH(AB1696,ctaNombre,0))&amp;"","DOP")="USD",T1696,S1696))</f>
        <v/>
      </c>
      <c r="AG1696" s="53">
        <f>IF(AC1696="","",IF(IFERROR(INDEX(ctaMoneda,MATCH(AC1696,ctaNombre,0))&amp;"","DOP")="USD",T1696,S1696))</f>
        <v/>
      </c>
      <c r="AH1696" s="53">
        <f>IF(P1696="","",IF(AND(AD1696&lt;&gt;"",COUNTIFS(tcTipo,AD1696,tcLiq,"Sí")&gt;0),IF(OR(P1696="Gasto",P1696="Transferencia",P1696="Pago tarjeta"),-1,1)*S1696,0)+IF(AND(AE1696&lt;&gt;"",COUNTIFS(tcTipo,AE1696,tcLiq,"Sí")&gt;0),S1696,0))</f>
        <v/>
      </c>
      <c r="AI1696" s="52">
        <f>IF(OR(L1696="",P1696=""),"",IF(COUNTIFS(L$6:L1696,L1696,P$6:P1696,"?*")=1,MAX(AI$5:AI1695)+1,""))</f>
        <v/>
      </c>
    </row>
    <row r="1697">
      <c r="B1697" s="47" t="n"/>
      <c r="C1697" s="48" t="n"/>
      <c r="D1697" s="48" t="n"/>
      <c r="E1697" s="48" t="n"/>
      <c r="F1697" s="48" t="n"/>
      <c r="G1697" s="49" t="n"/>
      <c r="H1697" s="48" t="n"/>
      <c r="I1697" s="50" t="n"/>
      <c r="J1697" s="48" t="n"/>
      <c r="K1697" s="48" t="n"/>
      <c r="L1697" s="48" t="n"/>
      <c r="M1697" s="48" t="n"/>
      <c r="N1697" s="48" t="n"/>
      <c r="O1697" s="51">
        <f>IF(AND(B1697="",G1697="",C1697="",D1697="",J1697=""),"",IF(B1697="","⚠ Falta fecha",IF(G1697="","⚠ Falta monto",IF(Q1697="","⚠ Falta cuenta",IF(ISNA(MATCH(Q1697,ctaNombre,0)),"⚠ Cuenta no registrada",IF(AND(OR(P1697="Gasto",P1697="Reembolso"),D1697=""),"⚠ Falta categoría",IF(AND(D1697&lt;&gt;"",E1697&lt;&gt;"",ISNA(MATCH(D1697&amp;"|"&amp;E1697,catClave,0))),"⚠ Subcategoría no corresponde",IF(AND(OR(P1697="Transferencia",P1697="Pago tarjeta"),K1697=""),"⚠ Falta cuenta destino",IF(AND(K1697&lt;&gt;"",P1697&lt;&gt;"Transferencia",P1697&lt;&gt;"Pago tarjeta"),"⚠ Destino solo aplica a transferencias",IF(AND(K1697&lt;&gt;"",K1697=Q1697),"⚠ Origen igual a destino",IF(AND(K1697&lt;&gt;"",ISNA(MATCH(K1697,ctaNombre,0))),"⚠ Destino no registrado",IF(AND(P1697="Pago tarjeta",AE1697&lt;&gt;"Tarjeta de crédito"),"⚠ El destino debe ser tarjeta de crédito",IF(AND(P1697="Gasto",E1697="Depósitos y retiros"),"⚠ Usa tipo Transferencia",IF(AND(P1697="Resultado trading",AD1697&lt;&gt;"Cuenta de trading"),"⚠ Usa una cuenta de trading",IF(AND(G1697&lt;=0,P1697&lt;&gt;"Ajuste",P1697&lt;&gt;"Resultado trading"),"⚠ El monto debe ser positivo","✓")))))))))))))))</f>
        <v/>
      </c>
      <c r="P1697" s="52">
        <f>IF(OR(B1697="",G1697=""),"",IF(C1697="","Gasto",C1697))</f>
        <v/>
      </c>
      <c r="Q1697" s="52">
        <f>IF(P1697="","",IF(J1697&lt;&gt;"",J1697,CuentaPred&amp;""))</f>
        <v/>
      </c>
      <c r="R1697" s="52">
        <f>IF(P1697="","",IF(ISNUMBER(I1697),I1697,TasaUSD))</f>
        <v/>
      </c>
      <c r="S1697" s="53">
        <f>IF(P1697="","",IF(H1697="USD",G1697*R1697,G1697))</f>
        <v/>
      </c>
      <c r="T1697" s="53">
        <f>IF(P1697="","",IF(H1697="USD",G1697,IF(R1697&gt;0,G1697/R1697,0)))</f>
        <v/>
      </c>
      <c r="U1697" s="53">
        <f>IF(P1697="","",IF(P1697="Gasto",S1697,IF(P1697="Reembolso",-S1697,0)))</f>
        <v/>
      </c>
      <c r="V1697" s="53">
        <f>IF(P1697="","",IF(P1697="Ingreso",S1697,0))</f>
        <v/>
      </c>
      <c r="W1697" s="53">
        <f>IF(P1697="","",IF(P1697="Resultado trading",S1697,0))</f>
        <v/>
      </c>
      <c r="X1697" s="52">
        <f>IF(OR(P1697="Gasto",P1697="Reembolso"),IF(M1697&lt;&gt;"",M1697,IFERROR(INDEX(catClasif,MATCH(D1697&amp;"|"&amp;E1697,catClave,0))&amp;"","Variable")),"")</f>
        <v/>
      </c>
      <c r="Y1697" s="52">
        <f>IF(P1697="","",IFERROR(INDEX(catGrupo,MATCH(D1697&amp;"|"&amp;E1697,catClave,0))&amp;"",""))</f>
        <v/>
      </c>
      <c r="Z1697" s="52">
        <f>IF(P1697="","",WEEKDAY(B1697,2))</f>
        <v/>
      </c>
      <c r="AA1697" s="52">
        <f>IF(P1697="","",IF(AND(P1697="Gasto",X1697="Variable",D1697&lt;&gt;catTrading,S1697&gt;0,S1697&lt;=Umbral),1,0))</f>
        <v/>
      </c>
      <c r="AB1697" s="52">
        <f>IF(OR(P1697="",Q1697=""),"",IFERROR(IF(INDEX(ctaVinc,MATCH(Q1697,ctaNombre,0))&amp;""&lt;&gt;"",INDEX(ctaVinc,MATCH(Q1697,ctaNombre,0))&amp;"",Q1697),Q1697))</f>
        <v/>
      </c>
      <c r="AC1697" s="52">
        <f>IF(OR(K1697="",AND(P1697&lt;&gt;"Transferencia",P1697&lt;&gt;"Pago tarjeta")),"",IFERROR(IF(INDEX(ctaVinc,MATCH(K1697,ctaNombre,0))&amp;""&lt;&gt;"",INDEX(ctaVinc,MATCH(K1697,ctaNombre,0))&amp;"",K1697),K1697))</f>
        <v/>
      </c>
      <c r="AD1697" s="52">
        <f>IF(AB1697="","",IFERROR(INDEX(ctaTipo,MATCH(AB1697,ctaNombre,0))&amp;"",""))</f>
        <v/>
      </c>
      <c r="AE1697" s="52">
        <f>IF(AC1697="","",IFERROR(INDEX(ctaTipo,MATCH(AC1697,ctaNombre,0))&amp;"",""))</f>
        <v/>
      </c>
      <c r="AF1697" s="53">
        <f>IF(OR(P1697="",AB1697=""),"",IF(OR(P1697="Gasto",P1697="Transferencia",P1697="Pago tarjeta"),-1,1)*IF(IFERROR(INDEX(ctaMoneda,MATCH(AB1697,ctaNombre,0))&amp;"","DOP")="USD",T1697,S1697))</f>
        <v/>
      </c>
      <c r="AG1697" s="53">
        <f>IF(AC1697="","",IF(IFERROR(INDEX(ctaMoneda,MATCH(AC1697,ctaNombre,0))&amp;"","DOP")="USD",T1697,S1697))</f>
        <v/>
      </c>
      <c r="AH1697" s="53">
        <f>IF(P1697="","",IF(AND(AD1697&lt;&gt;"",COUNTIFS(tcTipo,AD1697,tcLiq,"Sí")&gt;0),IF(OR(P1697="Gasto",P1697="Transferencia",P1697="Pago tarjeta"),-1,1)*S1697,0)+IF(AND(AE1697&lt;&gt;"",COUNTIFS(tcTipo,AE1697,tcLiq,"Sí")&gt;0),S1697,0))</f>
        <v/>
      </c>
      <c r="AI1697" s="52">
        <f>IF(OR(L1697="",P1697=""),"",IF(COUNTIFS(L$6:L1697,L1697,P$6:P1697,"?*")=1,MAX(AI$5:AI1696)+1,""))</f>
        <v/>
      </c>
    </row>
    <row r="1698">
      <c r="B1698" s="47" t="n"/>
      <c r="C1698" s="48" t="n"/>
      <c r="D1698" s="48" t="n"/>
      <c r="E1698" s="48" t="n"/>
      <c r="F1698" s="48" t="n"/>
      <c r="G1698" s="49" t="n"/>
      <c r="H1698" s="48" t="n"/>
      <c r="I1698" s="50" t="n"/>
      <c r="J1698" s="48" t="n"/>
      <c r="K1698" s="48" t="n"/>
      <c r="L1698" s="48" t="n"/>
      <c r="M1698" s="48" t="n"/>
      <c r="N1698" s="48" t="n"/>
      <c r="O1698" s="51">
        <f>IF(AND(B1698="",G1698="",C1698="",D1698="",J1698=""),"",IF(B1698="","⚠ Falta fecha",IF(G1698="","⚠ Falta monto",IF(Q1698="","⚠ Falta cuenta",IF(ISNA(MATCH(Q1698,ctaNombre,0)),"⚠ Cuenta no registrada",IF(AND(OR(P1698="Gasto",P1698="Reembolso"),D1698=""),"⚠ Falta categoría",IF(AND(D1698&lt;&gt;"",E1698&lt;&gt;"",ISNA(MATCH(D1698&amp;"|"&amp;E1698,catClave,0))),"⚠ Subcategoría no corresponde",IF(AND(OR(P1698="Transferencia",P1698="Pago tarjeta"),K1698=""),"⚠ Falta cuenta destino",IF(AND(K1698&lt;&gt;"",P1698&lt;&gt;"Transferencia",P1698&lt;&gt;"Pago tarjeta"),"⚠ Destino solo aplica a transferencias",IF(AND(K1698&lt;&gt;"",K1698=Q1698),"⚠ Origen igual a destino",IF(AND(K1698&lt;&gt;"",ISNA(MATCH(K1698,ctaNombre,0))),"⚠ Destino no registrado",IF(AND(P1698="Pago tarjeta",AE1698&lt;&gt;"Tarjeta de crédito"),"⚠ El destino debe ser tarjeta de crédito",IF(AND(P1698="Gasto",E1698="Depósitos y retiros"),"⚠ Usa tipo Transferencia",IF(AND(P1698="Resultado trading",AD1698&lt;&gt;"Cuenta de trading"),"⚠ Usa una cuenta de trading",IF(AND(G1698&lt;=0,P1698&lt;&gt;"Ajuste",P1698&lt;&gt;"Resultado trading"),"⚠ El monto debe ser positivo","✓")))))))))))))))</f>
        <v/>
      </c>
      <c r="P1698" s="52">
        <f>IF(OR(B1698="",G1698=""),"",IF(C1698="","Gasto",C1698))</f>
        <v/>
      </c>
      <c r="Q1698" s="52">
        <f>IF(P1698="","",IF(J1698&lt;&gt;"",J1698,CuentaPred&amp;""))</f>
        <v/>
      </c>
      <c r="R1698" s="52">
        <f>IF(P1698="","",IF(ISNUMBER(I1698),I1698,TasaUSD))</f>
        <v/>
      </c>
      <c r="S1698" s="53">
        <f>IF(P1698="","",IF(H1698="USD",G1698*R1698,G1698))</f>
        <v/>
      </c>
      <c r="T1698" s="53">
        <f>IF(P1698="","",IF(H1698="USD",G1698,IF(R1698&gt;0,G1698/R1698,0)))</f>
        <v/>
      </c>
      <c r="U1698" s="53">
        <f>IF(P1698="","",IF(P1698="Gasto",S1698,IF(P1698="Reembolso",-S1698,0)))</f>
        <v/>
      </c>
      <c r="V1698" s="53">
        <f>IF(P1698="","",IF(P1698="Ingreso",S1698,0))</f>
        <v/>
      </c>
      <c r="W1698" s="53">
        <f>IF(P1698="","",IF(P1698="Resultado trading",S1698,0))</f>
        <v/>
      </c>
      <c r="X1698" s="52">
        <f>IF(OR(P1698="Gasto",P1698="Reembolso"),IF(M1698&lt;&gt;"",M1698,IFERROR(INDEX(catClasif,MATCH(D1698&amp;"|"&amp;E1698,catClave,0))&amp;"","Variable")),"")</f>
        <v/>
      </c>
      <c r="Y1698" s="52">
        <f>IF(P1698="","",IFERROR(INDEX(catGrupo,MATCH(D1698&amp;"|"&amp;E1698,catClave,0))&amp;"",""))</f>
        <v/>
      </c>
      <c r="Z1698" s="52">
        <f>IF(P1698="","",WEEKDAY(B1698,2))</f>
        <v/>
      </c>
      <c r="AA1698" s="52">
        <f>IF(P1698="","",IF(AND(P1698="Gasto",X1698="Variable",D1698&lt;&gt;catTrading,S1698&gt;0,S1698&lt;=Umbral),1,0))</f>
        <v/>
      </c>
      <c r="AB1698" s="52">
        <f>IF(OR(P1698="",Q1698=""),"",IFERROR(IF(INDEX(ctaVinc,MATCH(Q1698,ctaNombre,0))&amp;""&lt;&gt;"",INDEX(ctaVinc,MATCH(Q1698,ctaNombre,0))&amp;"",Q1698),Q1698))</f>
        <v/>
      </c>
      <c r="AC1698" s="52">
        <f>IF(OR(K1698="",AND(P1698&lt;&gt;"Transferencia",P1698&lt;&gt;"Pago tarjeta")),"",IFERROR(IF(INDEX(ctaVinc,MATCH(K1698,ctaNombre,0))&amp;""&lt;&gt;"",INDEX(ctaVinc,MATCH(K1698,ctaNombre,0))&amp;"",K1698),K1698))</f>
        <v/>
      </c>
      <c r="AD1698" s="52">
        <f>IF(AB1698="","",IFERROR(INDEX(ctaTipo,MATCH(AB1698,ctaNombre,0))&amp;"",""))</f>
        <v/>
      </c>
      <c r="AE1698" s="52">
        <f>IF(AC1698="","",IFERROR(INDEX(ctaTipo,MATCH(AC1698,ctaNombre,0))&amp;"",""))</f>
        <v/>
      </c>
      <c r="AF1698" s="53">
        <f>IF(OR(P1698="",AB1698=""),"",IF(OR(P1698="Gasto",P1698="Transferencia",P1698="Pago tarjeta"),-1,1)*IF(IFERROR(INDEX(ctaMoneda,MATCH(AB1698,ctaNombre,0))&amp;"","DOP")="USD",T1698,S1698))</f>
        <v/>
      </c>
      <c r="AG1698" s="53">
        <f>IF(AC1698="","",IF(IFERROR(INDEX(ctaMoneda,MATCH(AC1698,ctaNombre,0))&amp;"","DOP")="USD",T1698,S1698))</f>
        <v/>
      </c>
      <c r="AH1698" s="53">
        <f>IF(P1698="","",IF(AND(AD1698&lt;&gt;"",COUNTIFS(tcTipo,AD1698,tcLiq,"Sí")&gt;0),IF(OR(P1698="Gasto",P1698="Transferencia",P1698="Pago tarjeta"),-1,1)*S1698,0)+IF(AND(AE1698&lt;&gt;"",COUNTIFS(tcTipo,AE1698,tcLiq,"Sí")&gt;0),S1698,0))</f>
        <v/>
      </c>
      <c r="AI1698" s="52">
        <f>IF(OR(L1698="",P1698=""),"",IF(COUNTIFS(L$6:L1698,L1698,P$6:P1698,"?*")=1,MAX(AI$5:AI1697)+1,""))</f>
        <v/>
      </c>
    </row>
    <row r="1699">
      <c r="B1699" s="47" t="n"/>
      <c r="C1699" s="48" t="n"/>
      <c r="D1699" s="48" t="n"/>
      <c r="E1699" s="48" t="n"/>
      <c r="F1699" s="48" t="n"/>
      <c r="G1699" s="49" t="n"/>
      <c r="H1699" s="48" t="n"/>
      <c r="I1699" s="50" t="n"/>
      <c r="J1699" s="48" t="n"/>
      <c r="K1699" s="48" t="n"/>
      <c r="L1699" s="48" t="n"/>
      <c r="M1699" s="48" t="n"/>
      <c r="N1699" s="48" t="n"/>
      <c r="O1699" s="51">
        <f>IF(AND(B1699="",G1699="",C1699="",D1699="",J1699=""),"",IF(B1699="","⚠ Falta fecha",IF(G1699="","⚠ Falta monto",IF(Q1699="","⚠ Falta cuenta",IF(ISNA(MATCH(Q1699,ctaNombre,0)),"⚠ Cuenta no registrada",IF(AND(OR(P1699="Gasto",P1699="Reembolso"),D1699=""),"⚠ Falta categoría",IF(AND(D1699&lt;&gt;"",E1699&lt;&gt;"",ISNA(MATCH(D1699&amp;"|"&amp;E1699,catClave,0))),"⚠ Subcategoría no corresponde",IF(AND(OR(P1699="Transferencia",P1699="Pago tarjeta"),K1699=""),"⚠ Falta cuenta destino",IF(AND(K1699&lt;&gt;"",P1699&lt;&gt;"Transferencia",P1699&lt;&gt;"Pago tarjeta"),"⚠ Destino solo aplica a transferencias",IF(AND(K1699&lt;&gt;"",K1699=Q1699),"⚠ Origen igual a destino",IF(AND(K1699&lt;&gt;"",ISNA(MATCH(K1699,ctaNombre,0))),"⚠ Destino no registrado",IF(AND(P1699="Pago tarjeta",AE1699&lt;&gt;"Tarjeta de crédito"),"⚠ El destino debe ser tarjeta de crédito",IF(AND(P1699="Gasto",E1699="Depósitos y retiros"),"⚠ Usa tipo Transferencia",IF(AND(P1699="Resultado trading",AD1699&lt;&gt;"Cuenta de trading"),"⚠ Usa una cuenta de trading",IF(AND(G1699&lt;=0,P1699&lt;&gt;"Ajuste",P1699&lt;&gt;"Resultado trading"),"⚠ El monto debe ser positivo","✓")))))))))))))))</f>
        <v/>
      </c>
      <c r="P1699" s="52">
        <f>IF(OR(B1699="",G1699=""),"",IF(C1699="","Gasto",C1699))</f>
        <v/>
      </c>
      <c r="Q1699" s="52">
        <f>IF(P1699="","",IF(J1699&lt;&gt;"",J1699,CuentaPred&amp;""))</f>
        <v/>
      </c>
      <c r="R1699" s="52">
        <f>IF(P1699="","",IF(ISNUMBER(I1699),I1699,TasaUSD))</f>
        <v/>
      </c>
      <c r="S1699" s="53">
        <f>IF(P1699="","",IF(H1699="USD",G1699*R1699,G1699))</f>
        <v/>
      </c>
      <c r="T1699" s="53">
        <f>IF(P1699="","",IF(H1699="USD",G1699,IF(R1699&gt;0,G1699/R1699,0)))</f>
        <v/>
      </c>
      <c r="U1699" s="53">
        <f>IF(P1699="","",IF(P1699="Gasto",S1699,IF(P1699="Reembolso",-S1699,0)))</f>
        <v/>
      </c>
      <c r="V1699" s="53">
        <f>IF(P1699="","",IF(P1699="Ingreso",S1699,0))</f>
        <v/>
      </c>
      <c r="W1699" s="53">
        <f>IF(P1699="","",IF(P1699="Resultado trading",S1699,0))</f>
        <v/>
      </c>
      <c r="X1699" s="52">
        <f>IF(OR(P1699="Gasto",P1699="Reembolso"),IF(M1699&lt;&gt;"",M1699,IFERROR(INDEX(catClasif,MATCH(D1699&amp;"|"&amp;E1699,catClave,0))&amp;"","Variable")),"")</f>
        <v/>
      </c>
      <c r="Y1699" s="52">
        <f>IF(P1699="","",IFERROR(INDEX(catGrupo,MATCH(D1699&amp;"|"&amp;E1699,catClave,0))&amp;"",""))</f>
        <v/>
      </c>
      <c r="Z1699" s="52">
        <f>IF(P1699="","",WEEKDAY(B1699,2))</f>
        <v/>
      </c>
      <c r="AA1699" s="52">
        <f>IF(P1699="","",IF(AND(P1699="Gasto",X1699="Variable",D1699&lt;&gt;catTrading,S1699&gt;0,S1699&lt;=Umbral),1,0))</f>
        <v/>
      </c>
      <c r="AB1699" s="52">
        <f>IF(OR(P1699="",Q1699=""),"",IFERROR(IF(INDEX(ctaVinc,MATCH(Q1699,ctaNombre,0))&amp;""&lt;&gt;"",INDEX(ctaVinc,MATCH(Q1699,ctaNombre,0))&amp;"",Q1699),Q1699))</f>
        <v/>
      </c>
      <c r="AC1699" s="52">
        <f>IF(OR(K1699="",AND(P1699&lt;&gt;"Transferencia",P1699&lt;&gt;"Pago tarjeta")),"",IFERROR(IF(INDEX(ctaVinc,MATCH(K1699,ctaNombre,0))&amp;""&lt;&gt;"",INDEX(ctaVinc,MATCH(K1699,ctaNombre,0))&amp;"",K1699),K1699))</f>
        <v/>
      </c>
      <c r="AD1699" s="52">
        <f>IF(AB1699="","",IFERROR(INDEX(ctaTipo,MATCH(AB1699,ctaNombre,0))&amp;"",""))</f>
        <v/>
      </c>
      <c r="AE1699" s="52">
        <f>IF(AC1699="","",IFERROR(INDEX(ctaTipo,MATCH(AC1699,ctaNombre,0))&amp;"",""))</f>
        <v/>
      </c>
      <c r="AF1699" s="53">
        <f>IF(OR(P1699="",AB1699=""),"",IF(OR(P1699="Gasto",P1699="Transferencia",P1699="Pago tarjeta"),-1,1)*IF(IFERROR(INDEX(ctaMoneda,MATCH(AB1699,ctaNombre,0))&amp;"","DOP")="USD",T1699,S1699))</f>
        <v/>
      </c>
      <c r="AG1699" s="53">
        <f>IF(AC1699="","",IF(IFERROR(INDEX(ctaMoneda,MATCH(AC1699,ctaNombre,0))&amp;"","DOP")="USD",T1699,S1699))</f>
        <v/>
      </c>
      <c r="AH1699" s="53">
        <f>IF(P1699="","",IF(AND(AD1699&lt;&gt;"",COUNTIFS(tcTipo,AD1699,tcLiq,"Sí")&gt;0),IF(OR(P1699="Gasto",P1699="Transferencia",P1699="Pago tarjeta"),-1,1)*S1699,0)+IF(AND(AE1699&lt;&gt;"",COUNTIFS(tcTipo,AE1699,tcLiq,"Sí")&gt;0),S1699,0))</f>
        <v/>
      </c>
      <c r="AI1699" s="52">
        <f>IF(OR(L1699="",P1699=""),"",IF(COUNTIFS(L$6:L1699,L1699,P$6:P1699,"?*")=1,MAX(AI$5:AI1698)+1,""))</f>
        <v/>
      </c>
    </row>
    <row r="1700">
      <c r="B1700" s="47" t="n"/>
      <c r="C1700" s="48" t="n"/>
      <c r="D1700" s="48" t="n"/>
      <c r="E1700" s="48" t="n"/>
      <c r="F1700" s="48" t="n"/>
      <c r="G1700" s="49" t="n"/>
      <c r="H1700" s="48" t="n"/>
      <c r="I1700" s="50" t="n"/>
      <c r="J1700" s="48" t="n"/>
      <c r="K1700" s="48" t="n"/>
      <c r="L1700" s="48" t="n"/>
      <c r="M1700" s="48" t="n"/>
      <c r="N1700" s="48" t="n"/>
      <c r="O1700" s="51">
        <f>IF(AND(B1700="",G1700="",C1700="",D1700="",J1700=""),"",IF(B1700="","⚠ Falta fecha",IF(G1700="","⚠ Falta monto",IF(Q1700="","⚠ Falta cuenta",IF(ISNA(MATCH(Q1700,ctaNombre,0)),"⚠ Cuenta no registrada",IF(AND(OR(P1700="Gasto",P1700="Reembolso"),D1700=""),"⚠ Falta categoría",IF(AND(D1700&lt;&gt;"",E1700&lt;&gt;"",ISNA(MATCH(D1700&amp;"|"&amp;E1700,catClave,0))),"⚠ Subcategoría no corresponde",IF(AND(OR(P1700="Transferencia",P1700="Pago tarjeta"),K1700=""),"⚠ Falta cuenta destino",IF(AND(K1700&lt;&gt;"",P1700&lt;&gt;"Transferencia",P1700&lt;&gt;"Pago tarjeta"),"⚠ Destino solo aplica a transferencias",IF(AND(K1700&lt;&gt;"",K1700=Q1700),"⚠ Origen igual a destino",IF(AND(K1700&lt;&gt;"",ISNA(MATCH(K1700,ctaNombre,0))),"⚠ Destino no registrado",IF(AND(P1700="Pago tarjeta",AE1700&lt;&gt;"Tarjeta de crédito"),"⚠ El destino debe ser tarjeta de crédito",IF(AND(P1700="Gasto",E1700="Depósitos y retiros"),"⚠ Usa tipo Transferencia",IF(AND(P1700="Resultado trading",AD1700&lt;&gt;"Cuenta de trading"),"⚠ Usa una cuenta de trading",IF(AND(G1700&lt;=0,P1700&lt;&gt;"Ajuste",P1700&lt;&gt;"Resultado trading"),"⚠ El monto debe ser positivo","✓")))))))))))))))</f>
        <v/>
      </c>
      <c r="P1700" s="52">
        <f>IF(OR(B1700="",G1700=""),"",IF(C1700="","Gasto",C1700))</f>
        <v/>
      </c>
      <c r="Q1700" s="52">
        <f>IF(P1700="","",IF(J1700&lt;&gt;"",J1700,CuentaPred&amp;""))</f>
        <v/>
      </c>
      <c r="R1700" s="52">
        <f>IF(P1700="","",IF(ISNUMBER(I1700),I1700,TasaUSD))</f>
        <v/>
      </c>
      <c r="S1700" s="53">
        <f>IF(P1700="","",IF(H1700="USD",G1700*R1700,G1700))</f>
        <v/>
      </c>
      <c r="T1700" s="53">
        <f>IF(P1700="","",IF(H1700="USD",G1700,IF(R1700&gt;0,G1700/R1700,0)))</f>
        <v/>
      </c>
      <c r="U1700" s="53">
        <f>IF(P1700="","",IF(P1700="Gasto",S1700,IF(P1700="Reembolso",-S1700,0)))</f>
        <v/>
      </c>
      <c r="V1700" s="53">
        <f>IF(P1700="","",IF(P1700="Ingreso",S1700,0))</f>
        <v/>
      </c>
      <c r="W1700" s="53">
        <f>IF(P1700="","",IF(P1700="Resultado trading",S1700,0))</f>
        <v/>
      </c>
      <c r="X1700" s="52">
        <f>IF(OR(P1700="Gasto",P1700="Reembolso"),IF(M1700&lt;&gt;"",M1700,IFERROR(INDEX(catClasif,MATCH(D1700&amp;"|"&amp;E1700,catClave,0))&amp;"","Variable")),"")</f>
        <v/>
      </c>
      <c r="Y1700" s="52">
        <f>IF(P1700="","",IFERROR(INDEX(catGrupo,MATCH(D1700&amp;"|"&amp;E1700,catClave,0))&amp;"",""))</f>
        <v/>
      </c>
      <c r="Z1700" s="52">
        <f>IF(P1700="","",WEEKDAY(B1700,2))</f>
        <v/>
      </c>
      <c r="AA1700" s="52">
        <f>IF(P1700="","",IF(AND(P1700="Gasto",X1700="Variable",D1700&lt;&gt;catTrading,S1700&gt;0,S1700&lt;=Umbral),1,0))</f>
        <v/>
      </c>
      <c r="AB1700" s="52">
        <f>IF(OR(P1700="",Q1700=""),"",IFERROR(IF(INDEX(ctaVinc,MATCH(Q1700,ctaNombre,0))&amp;""&lt;&gt;"",INDEX(ctaVinc,MATCH(Q1700,ctaNombre,0))&amp;"",Q1700),Q1700))</f>
        <v/>
      </c>
      <c r="AC1700" s="52">
        <f>IF(OR(K1700="",AND(P1700&lt;&gt;"Transferencia",P1700&lt;&gt;"Pago tarjeta")),"",IFERROR(IF(INDEX(ctaVinc,MATCH(K1700,ctaNombre,0))&amp;""&lt;&gt;"",INDEX(ctaVinc,MATCH(K1700,ctaNombre,0))&amp;"",K1700),K1700))</f>
        <v/>
      </c>
      <c r="AD1700" s="52">
        <f>IF(AB1700="","",IFERROR(INDEX(ctaTipo,MATCH(AB1700,ctaNombre,0))&amp;"",""))</f>
        <v/>
      </c>
      <c r="AE1700" s="52">
        <f>IF(AC1700="","",IFERROR(INDEX(ctaTipo,MATCH(AC1700,ctaNombre,0))&amp;"",""))</f>
        <v/>
      </c>
      <c r="AF1700" s="53">
        <f>IF(OR(P1700="",AB1700=""),"",IF(OR(P1700="Gasto",P1700="Transferencia",P1700="Pago tarjeta"),-1,1)*IF(IFERROR(INDEX(ctaMoneda,MATCH(AB1700,ctaNombre,0))&amp;"","DOP")="USD",T1700,S1700))</f>
        <v/>
      </c>
      <c r="AG1700" s="53">
        <f>IF(AC1700="","",IF(IFERROR(INDEX(ctaMoneda,MATCH(AC1700,ctaNombre,0))&amp;"","DOP")="USD",T1700,S1700))</f>
        <v/>
      </c>
      <c r="AH1700" s="53">
        <f>IF(P1700="","",IF(AND(AD1700&lt;&gt;"",COUNTIFS(tcTipo,AD1700,tcLiq,"Sí")&gt;0),IF(OR(P1700="Gasto",P1700="Transferencia",P1700="Pago tarjeta"),-1,1)*S1700,0)+IF(AND(AE1700&lt;&gt;"",COUNTIFS(tcTipo,AE1700,tcLiq,"Sí")&gt;0),S1700,0))</f>
        <v/>
      </c>
      <c r="AI1700" s="52">
        <f>IF(OR(L1700="",P1700=""),"",IF(COUNTIFS(L$6:L1700,L1700,P$6:P1700,"?*")=1,MAX(AI$5:AI1699)+1,""))</f>
        <v/>
      </c>
    </row>
    <row r="1701">
      <c r="B1701" s="47" t="n"/>
      <c r="C1701" s="48" t="n"/>
      <c r="D1701" s="48" t="n"/>
      <c r="E1701" s="48" t="n"/>
      <c r="F1701" s="48" t="n"/>
      <c r="G1701" s="49" t="n"/>
      <c r="H1701" s="48" t="n"/>
      <c r="I1701" s="50" t="n"/>
      <c r="J1701" s="48" t="n"/>
      <c r="K1701" s="48" t="n"/>
      <c r="L1701" s="48" t="n"/>
      <c r="M1701" s="48" t="n"/>
      <c r="N1701" s="48" t="n"/>
      <c r="O1701" s="51">
        <f>IF(AND(B1701="",G1701="",C1701="",D1701="",J1701=""),"",IF(B1701="","⚠ Falta fecha",IF(G1701="","⚠ Falta monto",IF(Q1701="","⚠ Falta cuenta",IF(ISNA(MATCH(Q1701,ctaNombre,0)),"⚠ Cuenta no registrada",IF(AND(OR(P1701="Gasto",P1701="Reembolso"),D1701=""),"⚠ Falta categoría",IF(AND(D1701&lt;&gt;"",E1701&lt;&gt;"",ISNA(MATCH(D1701&amp;"|"&amp;E1701,catClave,0))),"⚠ Subcategoría no corresponde",IF(AND(OR(P1701="Transferencia",P1701="Pago tarjeta"),K1701=""),"⚠ Falta cuenta destino",IF(AND(K1701&lt;&gt;"",P1701&lt;&gt;"Transferencia",P1701&lt;&gt;"Pago tarjeta"),"⚠ Destino solo aplica a transferencias",IF(AND(K1701&lt;&gt;"",K1701=Q1701),"⚠ Origen igual a destino",IF(AND(K1701&lt;&gt;"",ISNA(MATCH(K1701,ctaNombre,0))),"⚠ Destino no registrado",IF(AND(P1701="Pago tarjeta",AE1701&lt;&gt;"Tarjeta de crédito"),"⚠ El destino debe ser tarjeta de crédito",IF(AND(P1701="Gasto",E1701="Depósitos y retiros"),"⚠ Usa tipo Transferencia",IF(AND(P1701="Resultado trading",AD1701&lt;&gt;"Cuenta de trading"),"⚠ Usa una cuenta de trading",IF(AND(G1701&lt;=0,P1701&lt;&gt;"Ajuste",P1701&lt;&gt;"Resultado trading"),"⚠ El monto debe ser positivo","✓")))))))))))))))</f>
        <v/>
      </c>
      <c r="P1701" s="52">
        <f>IF(OR(B1701="",G1701=""),"",IF(C1701="","Gasto",C1701))</f>
        <v/>
      </c>
      <c r="Q1701" s="52">
        <f>IF(P1701="","",IF(J1701&lt;&gt;"",J1701,CuentaPred&amp;""))</f>
        <v/>
      </c>
      <c r="R1701" s="52">
        <f>IF(P1701="","",IF(ISNUMBER(I1701),I1701,TasaUSD))</f>
        <v/>
      </c>
      <c r="S1701" s="53">
        <f>IF(P1701="","",IF(H1701="USD",G1701*R1701,G1701))</f>
        <v/>
      </c>
      <c r="T1701" s="53">
        <f>IF(P1701="","",IF(H1701="USD",G1701,IF(R1701&gt;0,G1701/R1701,0)))</f>
        <v/>
      </c>
      <c r="U1701" s="53">
        <f>IF(P1701="","",IF(P1701="Gasto",S1701,IF(P1701="Reembolso",-S1701,0)))</f>
        <v/>
      </c>
      <c r="V1701" s="53">
        <f>IF(P1701="","",IF(P1701="Ingreso",S1701,0))</f>
        <v/>
      </c>
      <c r="W1701" s="53">
        <f>IF(P1701="","",IF(P1701="Resultado trading",S1701,0))</f>
        <v/>
      </c>
      <c r="X1701" s="52">
        <f>IF(OR(P1701="Gasto",P1701="Reembolso"),IF(M1701&lt;&gt;"",M1701,IFERROR(INDEX(catClasif,MATCH(D1701&amp;"|"&amp;E1701,catClave,0))&amp;"","Variable")),"")</f>
        <v/>
      </c>
      <c r="Y1701" s="52">
        <f>IF(P1701="","",IFERROR(INDEX(catGrupo,MATCH(D1701&amp;"|"&amp;E1701,catClave,0))&amp;"",""))</f>
        <v/>
      </c>
      <c r="Z1701" s="52">
        <f>IF(P1701="","",WEEKDAY(B1701,2))</f>
        <v/>
      </c>
      <c r="AA1701" s="52">
        <f>IF(P1701="","",IF(AND(P1701="Gasto",X1701="Variable",D1701&lt;&gt;catTrading,S1701&gt;0,S1701&lt;=Umbral),1,0))</f>
        <v/>
      </c>
      <c r="AB1701" s="52">
        <f>IF(OR(P1701="",Q1701=""),"",IFERROR(IF(INDEX(ctaVinc,MATCH(Q1701,ctaNombre,0))&amp;""&lt;&gt;"",INDEX(ctaVinc,MATCH(Q1701,ctaNombre,0))&amp;"",Q1701),Q1701))</f>
        <v/>
      </c>
      <c r="AC1701" s="52">
        <f>IF(OR(K1701="",AND(P1701&lt;&gt;"Transferencia",P1701&lt;&gt;"Pago tarjeta")),"",IFERROR(IF(INDEX(ctaVinc,MATCH(K1701,ctaNombre,0))&amp;""&lt;&gt;"",INDEX(ctaVinc,MATCH(K1701,ctaNombre,0))&amp;"",K1701),K1701))</f>
        <v/>
      </c>
      <c r="AD1701" s="52">
        <f>IF(AB1701="","",IFERROR(INDEX(ctaTipo,MATCH(AB1701,ctaNombre,0))&amp;"",""))</f>
        <v/>
      </c>
      <c r="AE1701" s="52">
        <f>IF(AC1701="","",IFERROR(INDEX(ctaTipo,MATCH(AC1701,ctaNombre,0))&amp;"",""))</f>
        <v/>
      </c>
      <c r="AF1701" s="53">
        <f>IF(OR(P1701="",AB1701=""),"",IF(OR(P1701="Gasto",P1701="Transferencia",P1701="Pago tarjeta"),-1,1)*IF(IFERROR(INDEX(ctaMoneda,MATCH(AB1701,ctaNombre,0))&amp;"","DOP")="USD",T1701,S1701))</f>
        <v/>
      </c>
      <c r="AG1701" s="53">
        <f>IF(AC1701="","",IF(IFERROR(INDEX(ctaMoneda,MATCH(AC1701,ctaNombre,0))&amp;"","DOP")="USD",T1701,S1701))</f>
        <v/>
      </c>
      <c r="AH1701" s="53">
        <f>IF(P1701="","",IF(AND(AD1701&lt;&gt;"",COUNTIFS(tcTipo,AD1701,tcLiq,"Sí")&gt;0),IF(OR(P1701="Gasto",P1701="Transferencia",P1701="Pago tarjeta"),-1,1)*S1701,0)+IF(AND(AE1701&lt;&gt;"",COUNTIFS(tcTipo,AE1701,tcLiq,"Sí")&gt;0),S1701,0))</f>
        <v/>
      </c>
      <c r="AI1701" s="52">
        <f>IF(OR(L1701="",P1701=""),"",IF(COUNTIFS(L$6:L1701,L1701,P$6:P1701,"?*")=1,MAX(AI$5:AI1700)+1,""))</f>
        <v/>
      </c>
    </row>
    <row r="1702">
      <c r="B1702" s="47" t="n"/>
      <c r="C1702" s="48" t="n"/>
      <c r="D1702" s="48" t="n"/>
      <c r="E1702" s="48" t="n"/>
      <c r="F1702" s="48" t="n"/>
      <c r="G1702" s="49" t="n"/>
      <c r="H1702" s="48" t="n"/>
      <c r="I1702" s="50" t="n"/>
      <c r="J1702" s="48" t="n"/>
      <c r="K1702" s="48" t="n"/>
      <c r="L1702" s="48" t="n"/>
      <c r="M1702" s="48" t="n"/>
      <c r="N1702" s="48" t="n"/>
      <c r="O1702" s="51">
        <f>IF(AND(B1702="",G1702="",C1702="",D1702="",J1702=""),"",IF(B1702="","⚠ Falta fecha",IF(G1702="","⚠ Falta monto",IF(Q1702="","⚠ Falta cuenta",IF(ISNA(MATCH(Q1702,ctaNombre,0)),"⚠ Cuenta no registrada",IF(AND(OR(P1702="Gasto",P1702="Reembolso"),D1702=""),"⚠ Falta categoría",IF(AND(D1702&lt;&gt;"",E1702&lt;&gt;"",ISNA(MATCH(D1702&amp;"|"&amp;E1702,catClave,0))),"⚠ Subcategoría no corresponde",IF(AND(OR(P1702="Transferencia",P1702="Pago tarjeta"),K1702=""),"⚠ Falta cuenta destino",IF(AND(K1702&lt;&gt;"",P1702&lt;&gt;"Transferencia",P1702&lt;&gt;"Pago tarjeta"),"⚠ Destino solo aplica a transferencias",IF(AND(K1702&lt;&gt;"",K1702=Q1702),"⚠ Origen igual a destino",IF(AND(K1702&lt;&gt;"",ISNA(MATCH(K1702,ctaNombre,0))),"⚠ Destino no registrado",IF(AND(P1702="Pago tarjeta",AE1702&lt;&gt;"Tarjeta de crédito"),"⚠ El destino debe ser tarjeta de crédito",IF(AND(P1702="Gasto",E1702="Depósitos y retiros"),"⚠ Usa tipo Transferencia",IF(AND(P1702="Resultado trading",AD1702&lt;&gt;"Cuenta de trading"),"⚠ Usa una cuenta de trading",IF(AND(G1702&lt;=0,P1702&lt;&gt;"Ajuste",P1702&lt;&gt;"Resultado trading"),"⚠ El monto debe ser positivo","✓")))))))))))))))</f>
        <v/>
      </c>
      <c r="P1702" s="52">
        <f>IF(OR(B1702="",G1702=""),"",IF(C1702="","Gasto",C1702))</f>
        <v/>
      </c>
      <c r="Q1702" s="52">
        <f>IF(P1702="","",IF(J1702&lt;&gt;"",J1702,CuentaPred&amp;""))</f>
        <v/>
      </c>
      <c r="R1702" s="52">
        <f>IF(P1702="","",IF(ISNUMBER(I1702),I1702,TasaUSD))</f>
        <v/>
      </c>
      <c r="S1702" s="53">
        <f>IF(P1702="","",IF(H1702="USD",G1702*R1702,G1702))</f>
        <v/>
      </c>
      <c r="T1702" s="53">
        <f>IF(P1702="","",IF(H1702="USD",G1702,IF(R1702&gt;0,G1702/R1702,0)))</f>
        <v/>
      </c>
      <c r="U1702" s="53">
        <f>IF(P1702="","",IF(P1702="Gasto",S1702,IF(P1702="Reembolso",-S1702,0)))</f>
        <v/>
      </c>
      <c r="V1702" s="53">
        <f>IF(P1702="","",IF(P1702="Ingreso",S1702,0))</f>
        <v/>
      </c>
      <c r="W1702" s="53">
        <f>IF(P1702="","",IF(P1702="Resultado trading",S1702,0))</f>
        <v/>
      </c>
      <c r="X1702" s="52">
        <f>IF(OR(P1702="Gasto",P1702="Reembolso"),IF(M1702&lt;&gt;"",M1702,IFERROR(INDEX(catClasif,MATCH(D1702&amp;"|"&amp;E1702,catClave,0))&amp;"","Variable")),"")</f>
        <v/>
      </c>
      <c r="Y1702" s="52">
        <f>IF(P1702="","",IFERROR(INDEX(catGrupo,MATCH(D1702&amp;"|"&amp;E1702,catClave,0))&amp;"",""))</f>
        <v/>
      </c>
      <c r="Z1702" s="52">
        <f>IF(P1702="","",WEEKDAY(B1702,2))</f>
        <v/>
      </c>
      <c r="AA1702" s="52">
        <f>IF(P1702="","",IF(AND(P1702="Gasto",X1702="Variable",D1702&lt;&gt;catTrading,S1702&gt;0,S1702&lt;=Umbral),1,0))</f>
        <v/>
      </c>
      <c r="AB1702" s="52">
        <f>IF(OR(P1702="",Q1702=""),"",IFERROR(IF(INDEX(ctaVinc,MATCH(Q1702,ctaNombre,0))&amp;""&lt;&gt;"",INDEX(ctaVinc,MATCH(Q1702,ctaNombre,0))&amp;"",Q1702),Q1702))</f>
        <v/>
      </c>
      <c r="AC1702" s="52">
        <f>IF(OR(K1702="",AND(P1702&lt;&gt;"Transferencia",P1702&lt;&gt;"Pago tarjeta")),"",IFERROR(IF(INDEX(ctaVinc,MATCH(K1702,ctaNombre,0))&amp;""&lt;&gt;"",INDEX(ctaVinc,MATCH(K1702,ctaNombre,0))&amp;"",K1702),K1702))</f>
        <v/>
      </c>
      <c r="AD1702" s="52">
        <f>IF(AB1702="","",IFERROR(INDEX(ctaTipo,MATCH(AB1702,ctaNombre,0))&amp;"",""))</f>
        <v/>
      </c>
      <c r="AE1702" s="52">
        <f>IF(AC1702="","",IFERROR(INDEX(ctaTipo,MATCH(AC1702,ctaNombre,0))&amp;"",""))</f>
        <v/>
      </c>
      <c r="AF1702" s="53">
        <f>IF(OR(P1702="",AB1702=""),"",IF(OR(P1702="Gasto",P1702="Transferencia",P1702="Pago tarjeta"),-1,1)*IF(IFERROR(INDEX(ctaMoneda,MATCH(AB1702,ctaNombre,0))&amp;"","DOP")="USD",T1702,S1702))</f>
        <v/>
      </c>
      <c r="AG1702" s="53">
        <f>IF(AC1702="","",IF(IFERROR(INDEX(ctaMoneda,MATCH(AC1702,ctaNombre,0))&amp;"","DOP")="USD",T1702,S1702))</f>
        <v/>
      </c>
      <c r="AH1702" s="53">
        <f>IF(P1702="","",IF(AND(AD1702&lt;&gt;"",COUNTIFS(tcTipo,AD1702,tcLiq,"Sí")&gt;0),IF(OR(P1702="Gasto",P1702="Transferencia",P1702="Pago tarjeta"),-1,1)*S1702,0)+IF(AND(AE1702&lt;&gt;"",COUNTIFS(tcTipo,AE1702,tcLiq,"Sí")&gt;0),S1702,0))</f>
        <v/>
      </c>
      <c r="AI1702" s="52">
        <f>IF(OR(L1702="",P1702=""),"",IF(COUNTIFS(L$6:L1702,L1702,P$6:P1702,"?*")=1,MAX(AI$5:AI1701)+1,""))</f>
        <v/>
      </c>
    </row>
    <row r="1703">
      <c r="B1703" s="47" t="n"/>
      <c r="C1703" s="48" t="n"/>
      <c r="D1703" s="48" t="n"/>
      <c r="E1703" s="48" t="n"/>
      <c r="F1703" s="48" t="n"/>
      <c r="G1703" s="49" t="n"/>
      <c r="H1703" s="48" t="n"/>
      <c r="I1703" s="50" t="n"/>
      <c r="J1703" s="48" t="n"/>
      <c r="K1703" s="48" t="n"/>
      <c r="L1703" s="48" t="n"/>
      <c r="M1703" s="48" t="n"/>
      <c r="N1703" s="48" t="n"/>
      <c r="O1703" s="51">
        <f>IF(AND(B1703="",G1703="",C1703="",D1703="",J1703=""),"",IF(B1703="","⚠ Falta fecha",IF(G1703="","⚠ Falta monto",IF(Q1703="","⚠ Falta cuenta",IF(ISNA(MATCH(Q1703,ctaNombre,0)),"⚠ Cuenta no registrada",IF(AND(OR(P1703="Gasto",P1703="Reembolso"),D1703=""),"⚠ Falta categoría",IF(AND(D1703&lt;&gt;"",E1703&lt;&gt;"",ISNA(MATCH(D1703&amp;"|"&amp;E1703,catClave,0))),"⚠ Subcategoría no corresponde",IF(AND(OR(P1703="Transferencia",P1703="Pago tarjeta"),K1703=""),"⚠ Falta cuenta destino",IF(AND(K1703&lt;&gt;"",P1703&lt;&gt;"Transferencia",P1703&lt;&gt;"Pago tarjeta"),"⚠ Destino solo aplica a transferencias",IF(AND(K1703&lt;&gt;"",K1703=Q1703),"⚠ Origen igual a destino",IF(AND(K1703&lt;&gt;"",ISNA(MATCH(K1703,ctaNombre,0))),"⚠ Destino no registrado",IF(AND(P1703="Pago tarjeta",AE1703&lt;&gt;"Tarjeta de crédito"),"⚠ El destino debe ser tarjeta de crédito",IF(AND(P1703="Gasto",E1703="Depósitos y retiros"),"⚠ Usa tipo Transferencia",IF(AND(P1703="Resultado trading",AD1703&lt;&gt;"Cuenta de trading"),"⚠ Usa una cuenta de trading",IF(AND(G1703&lt;=0,P1703&lt;&gt;"Ajuste",P1703&lt;&gt;"Resultado trading"),"⚠ El monto debe ser positivo","✓")))))))))))))))</f>
        <v/>
      </c>
      <c r="P1703" s="52">
        <f>IF(OR(B1703="",G1703=""),"",IF(C1703="","Gasto",C1703))</f>
        <v/>
      </c>
      <c r="Q1703" s="52">
        <f>IF(P1703="","",IF(J1703&lt;&gt;"",J1703,CuentaPred&amp;""))</f>
        <v/>
      </c>
      <c r="R1703" s="52">
        <f>IF(P1703="","",IF(ISNUMBER(I1703),I1703,TasaUSD))</f>
        <v/>
      </c>
      <c r="S1703" s="53">
        <f>IF(P1703="","",IF(H1703="USD",G1703*R1703,G1703))</f>
        <v/>
      </c>
      <c r="T1703" s="53">
        <f>IF(P1703="","",IF(H1703="USD",G1703,IF(R1703&gt;0,G1703/R1703,0)))</f>
        <v/>
      </c>
      <c r="U1703" s="53">
        <f>IF(P1703="","",IF(P1703="Gasto",S1703,IF(P1703="Reembolso",-S1703,0)))</f>
        <v/>
      </c>
      <c r="V1703" s="53">
        <f>IF(P1703="","",IF(P1703="Ingreso",S1703,0))</f>
        <v/>
      </c>
      <c r="W1703" s="53">
        <f>IF(P1703="","",IF(P1703="Resultado trading",S1703,0))</f>
        <v/>
      </c>
      <c r="X1703" s="52">
        <f>IF(OR(P1703="Gasto",P1703="Reembolso"),IF(M1703&lt;&gt;"",M1703,IFERROR(INDEX(catClasif,MATCH(D1703&amp;"|"&amp;E1703,catClave,0))&amp;"","Variable")),"")</f>
        <v/>
      </c>
      <c r="Y1703" s="52">
        <f>IF(P1703="","",IFERROR(INDEX(catGrupo,MATCH(D1703&amp;"|"&amp;E1703,catClave,0))&amp;"",""))</f>
        <v/>
      </c>
      <c r="Z1703" s="52">
        <f>IF(P1703="","",WEEKDAY(B1703,2))</f>
        <v/>
      </c>
      <c r="AA1703" s="52">
        <f>IF(P1703="","",IF(AND(P1703="Gasto",X1703="Variable",D1703&lt;&gt;catTrading,S1703&gt;0,S1703&lt;=Umbral),1,0))</f>
        <v/>
      </c>
      <c r="AB1703" s="52">
        <f>IF(OR(P1703="",Q1703=""),"",IFERROR(IF(INDEX(ctaVinc,MATCH(Q1703,ctaNombre,0))&amp;""&lt;&gt;"",INDEX(ctaVinc,MATCH(Q1703,ctaNombre,0))&amp;"",Q1703),Q1703))</f>
        <v/>
      </c>
      <c r="AC1703" s="52">
        <f>IF(OR(K1703="",AND(P1703&lt;&gt;"Transferencia",P1703&lt;&gt;"Pago tarjeta")),"",IFERROR(IF(INDEX(ctaVinc,MATCH(K1703,ctaNombre,0))&amp;""&lt;&gt;"",INDEX(ctaVinc,MATCH(K1703,ctaNombre,0))&amp;"",K1703),K1703))</f>
        <v/>
      </c>
      <c r="AD1703" s="52">
        <f>IF(AB1703="","",IFERROR(INDEX(ctaTipo,MATCH(AB1703,ctaNombre,0))&amp;"",""))</f>
        <v/>
      </c>
      <c r="AE1703" s="52">
        <f>IF(AC1703="","",IFERROR(INDEX(ctaTipo,MATCH(AC1703,ctaNombre,0))&amp;"",""))</f>
        <v/>
      </c>
      <c r="AF1703" s="53">
        <f>IF(OR(P1703="",AB1703=""),"",IF(OR(P1703="Gasto",P1703="Transferencia",P1703="Pago tarjeta"),-1,1)*IF(IFERROR(INDEX(ctaMoneda,MATCH(AB1703,ctaNombre,0))&amp;"","DOP")="USD",T1703,S1703))</f>
        <v/>
      </c>
      <c r="AG1703" s="53">
        <f>IF(AC1703="","",IF(IFERROR(INDEX(ctaMoneda,MATCH(AC1703,ctaNombre,0))&amp;"","DOP")="USD",T1703,S1703))</f>
        <v/>
      </c>
      <c r="AH1703" s="53">
        <f>IF(P1703="","",IF(AND(AD1703&lt;&gt;"",COUNTIFS(tcTipo,AD1703,tcLiq,"Sí")&gt;0),IF(OR(P1703="Gasto",P1703="Transferencia",P1703="Pago tarjeta"),-1,1)*S1703,0)+IF(AND(AE1703&lt;&gt;"",COUNTIFS(tcTipo,AE1703,tcLiq,"Sí")&gt;0),S1703,0))</f>
        <v/>
      </c>
      <c r="AI1703" s="52">
        <f>IF(OR(L1703="",P1703=""),"",IF(COUNTIFS(L$6:L1703,L1703,P$6:P1703,"?*")=1,MAX(AI$5:AI1702)+1,""))</f>
        <v/>
      </c>
    </row>
    <row r="1704">
      <c r="B1704" s="47" t="n"/>
      <c r="C1704" s="48" t="n"/>
      <c r="D1704" s="48" t="n"/>
      <c r="E1704" s="48" t="n"/>
      <c r="F1704" s="48" t="n"/>
      <c r="G1704" s="49" t="n"/>
      <c r="H1704" s="48" t="n"/>
      <c r="I1704" s="50" t="n"/>
      <c r="J1704" s="48" t="n"/>
      <c r="K1704" s="48" t="n"/>
      <c r="L1704" s="48" t="n"/>
      <c r="M1704" s="48" t="n"/>
      <c r="N1704" s="48" t="n"/>
      <c r="O1704" s="51">
        <f>IF(AND(B1704="",G1704="",C1704="",D1704="",J1704=""),"",IF(B1704="","⚠ Falta fecha",IF(G1704="","⚠ Falta monto",IF(Q1704="","⚠ Falta cuenta",IF(ISNA(MATCH(Q1704,ctaNombre,0)),"⚠ Cuenta no registrada",IF(AND(OR(P1704="Gasto",P1704="Reembolso"),D1704=""),"⚠ Falta categoría",IF(AND(D1704&lt;&gt;"",E1704&lt;&gt;"",ISNA(MATCH(D1704&amp;"|"&amp;E1704,catClave,0))),"⚠ Subcategoría no corresponde",IF(AND(OR(P1704="Transferencia",P1704="Pago tarjeta"),K1704=""),"⚠ Falta cuenta destino",IF(AND(K1704&lt;&gt;"",P1704&lt;&gt;"Transferencia",P1704&lt;&gt;"Pago tarjeta"),"⚠ Destino solo aplica a transferencias",IF(AND(K1704&lt;&gt;"",K1704=Q1704),"⚠ Origen igual a destino",IF(AND(K1704&lt;&gt;"",ISNA(MATCH(K1704,ctaNombre,0))),"⚠ Destino no registrado",IF(AND(P1704="Pago tarjeta",AE1704&lt;&gt;"Tarjeta de crédito"),"⚠ El destino debe ser tarjeta de crédito",IF(AND(P1704="Gasto",E1704="Depósitos y retiros"),"⚠ Usa tipo Transferencia",IF(AND(P1704="Resultado trading",AD1704&lt;&gt;"Cuenta de trading"),"⚠ Usa una cuenta de trading",IF(AND(G1704&lt;=0,P1704&lt;&gt;"Ajuste",P1704&lt;&gt;"Resultado trading"),"⚠ El monto debe ser positivo","✓")))))))))))))))</f>
        <v/>
      </c>
      <c r="P1704" s="52">
        <f>IF(OR(B1704="",G1704=""),"",IF(C1704="","Gasto",C1704))</f>
        <v/>
      </c>
      <c r="Q1704" s="52">
        <f>IF(P1704="","",IF(J1704&lt;&gt;"",J1704,CuentaPred&amp;""))</f>
        <v/>
      </c>
      <c r="R1704" s="52">
        <f>IF(P1704="","",IF(ISNUMBER(I1704),I1704,TasaUSD))</f>
        <v/>
      </c>
      <c r="S1704" s="53">
        <f>IF(P1704="","",IF(H1704="USD",G1704*R1704,G1704))</f>
        <v/>
      </c>
      <c r="T1704" s="53">
        <f>IF(P1704="","",IF(H1704="USD",G1704,IF(R1704&gt;0,G1704/R1704,0)))</f>
        <v/>
      </c>
      <c r="U1704" s="53">
        <f>IF(P1704="","",IF(P1704="Gasto",S1704,IF(P1704="Reembolso",-S1704,0)))</f>
        <v/>
      </c>
      <c r="V1704" s="53">
        <f>IF(P1704="","",IF(P1704="Ingreso",S1704,0))</f>
        <v/>
      </c>
      <c r="W1704" s="53">
        <f>IF(P1704="","",IF(P1704="Resultado trading",S1704,0))</f>
        <v/>
      </c>
      <c r="X1704" s="52">
        <f>IF(OR(P1704="Gasto",P1704="Reembolso"),IF(M1704&lt;&gt;"",M1704,IFERROR(INDEX(catClasif,MATCH(D1704&amp;"|"&amp;E1704,catClave,0))&amp;"","Variable")),"")</f>
        <v/>
      </c>
      <c r="Y1704" s="52">
        <f>IF(P1704="","",IFERROR(INDEX(catGrupo,MATCH(D1704&amp;"|"&amp;E1704,catClave,0))&amp;"",""))</f>
        <v/>
      </c>
      <c r="Z1704" s="52">
        <f>IF(P1704="","",WEEKDAY(B1704,2))</f>
        <v/>
      </c>
      <c r="AA1704" s="52">
        <f>IF(P1704="","",IF(AND(P1704="Gasto",X1704="Variable",D1704&lt;&gt;catTrading,S1704&gt;0,S1704&lt;=Umbral),1,0))</f>
        <v/>
      </c>
      <c r="AB1704" s="52">
        <f>IF(OR(P1704="",Q1704=""),"",IFERROR(IF(INDEX(ctaVinc,MATCH(Q1704,ctaNombre,0))&amp;""&lt;&gt;"",INDEX(ctaVinc,MATCH(Q1704,ctaNombre,0))&amp;"",Q1704),Q1704))</f>
        <v/>
      </c>
      <c r="AC1704" s="52">
        <f>IF(OR(K1704="",AND(P1704&lt;&gt;"Transferencia",P1704&lt;&gt;"Pago tarjeta")),"",IFERROR(IF(INDEX(ctaVinc,MATCH(K1704,ctaNombre,0))&amp;""&lt;&gt;"",INDEX(ctaVinc,MATCH(K1704,ctaNombre,0))&amp;"",K1704),K1704))</f>
        <v/>
      </c>
      <c r="AD1704" s="52">
        <f>IF(AB1704="","",IFERROR(INDEX(ctaTipo,MATCH(AB1704,ctaNombre,0))&amp;"",""))</f>
        <v/>
      </c>
      <c r="AE1704" s="52">
        <f>IF(AC1704="","",IFERROR(INDEX(ctaTipo,MATCH(AC1704,ctaNombre,0))&amp;"",""))</f>
        <v/>
      </c>
      <c r="AF1704" s="53">
        <f>IF(OR(P1704="",AB1704=""),"",IF(OR(P1704="Gasto",P1704="Transferencia",P1704="Pago tarjeta"),-1,1)*IF(IFERROR(INDEX(ctaMoneda,MATCH(AB1704,ctaNombre,0))&amp;"","DOP")="USD",T1704,S1704))</f>
        <v/>
      </c>
      <c r="AG1704" s="53">
        <f>IF(AC1704="","",IF(IFERROR(INDEX(ctaMoneda,MATCH(AC1704,ctaNombre,0))&amp;"","DOP")="USD",T1704,S1704))</f>
        <v/>
      </c>
      <c r="AH1704" s="53">
        <f>IF(P1704="","",IF(AND(AD1704&lt;&gt;"",COUNTIFS(tcTipo,AD1704,tcLiq,"Sí")&gt;0),IF(OR(P1704="Gasto",P1704="Transferencia",P1704="Pago tarjeta"),-1,1)*S1704,0)+IF(AND(AE1704&lt;&gt;"",COUNTIFS(tcTipo,AE1704,tcLiq,"Sí")&gt;0),S1704,0))</f>
        <v/>
      </c>
      <c r="AI1704" s="52">
        <f>IF(OR(L1704="",P1704=""),"",IF(COUNTIFS(L$6:L1704,L1704,P$6:P1704,"?*")=1,MAX(AI$5:AI1703)+1,""))</f>
        <v/>
      </c>
    </row>
    <row r="1705">
      <c r="B1705" s="47" t="n"/>
      <c r="C1705" s="48" t="n"/>
      <c r="D1705" s="48" t="n"/>
      <c r="E1705" s="48" t="n"/>
      <c r="F1705" s="48" t="n"/>
      <c r="G1705" s="49" t="n"/>
      <c r="H1705" s="48" t="n"/>
      <c r="I1705" s="50" t="n"/>
      <c r="J1705" s="48" t="n"/>
      <c r="K1705" s="48" t="n"/>
      <c r="L1705" s="48" t="n"/>
      <c r="M1705" s="48" t="n"/>
      <c r="N1705" s="48" t="n"/>
      <c r="O1705" s="51">
        <f>IF(AND(B1705="",G1705="",C1705="",D1705="",J1705=""),"",IF(B1705="","⚠ Falta fecha",IF(G1705="","⚠ Falta monto",IF(Q1705="","⚠ Falta cuenta",IF(ISNA(MATCH(Q1705,ctaNombre,0)),"⚠ Cuenta no registrada",IF(AND(OR(P1705="Gasto",P1705="Reembolso"),D1705=""),"⚠ Falta categoría",IF(AND(D1705&lt;&gt;"",E1705&lt;&gt;"",ISNA(MATCH(D1705&amp;"|"&amp;E1705,catClave,0))),"⚠ Subcategoría no corresponde",IF(AND(OR(P1705="Transferencia",P1705="Pago tarjeta"),K1705=""),"⚠ Falta cuenta destino",IF(AND(K1705&lt;&gt;"",P1705&lt;&gt;"Transferencia",P1705&lt;&gt;"Pago tarjeta"),"⚠ Destino solo aplica a transferencias",IF(AND(K1705&lt;&gt;"",K1705=Q1705),"⚠ Origen igual a destino",IF(AND(K1705&lt;&gt;"",ISNA(MATCH(K1705,ctaNombre,0))),"⚠ Destino no registrado",IF(AND(P1705="Pago tarjeta",AE1705&lt;&gt;"Tarjeta de crédito"),"⚠ El destino debe ser tarjeta de crédito",IF(AND(P1705="Gasto",E1705="Depósitos y retiros"),"⚠ Usa tipo Transferencia",IF(AND(P1705="Resultado trading",AD1705&lt;&gt;"Cuenta de trading"),"⚠ Usa una cuenta de trading",IF(AND(G1705&lt;=0,P1705&lt;&gt;"Ajuste",P1705&lt;&gt;"Resultado trading"),"⚠ El monto debe ser positivo","✓")))))))))))))))</f>
        <v/>
      </c>
      <c r="P1705" s="52">
        <f>IF(OR(B1705="",G1705=""),"",IF(C1705="","Gasto",C1705))</f>
        <v/>
      </c>
      <c r="Q1705" s="52">
        <f>IF(P1705="","",IF(J1705&lt;&gt;"",J1705,CuentaPred&amp;""))</f>
        <v/>
      </c>
      <c r="R1705" s="52">
        <f>IF(P1705="","",IF(ISNUMBER(I1705),I1705,TasaUSD))</f>
        <v/>
      </c>
      <c r="S1705" s="53">
        <f>IF(P1705="","",IF(H1705="USD",G1705*R1705,G1705))</f>
        <v/>
      </c>
      <c r="T1705" s="53">
        <f>IF(P1705="","",IF(H1705="USD",G1705,IF(R1705&gt;0,G1705/R1705,0)))</f>
        <v/>
      </c>
      <c r="U1705" s="53">
        <f>IF(P1705="","",IF(P1705="Gasto",S1705,IF(P1705="Reembolso",-S1705,0)))</f>
        <v/>
      </c>
      <c r="V1705" s="53">
        <f>IF(P1705="","",IF(P1705="Ingreso",S1705,0))</f>
        <v/>
      </c>
      <c r="W1705" s="53">
        <f>IF(P1705="","",IF(P1705="Resultado trading",S1705,0))</f>
        <v/>
      </c>
      <c r="X1705" s="52">
        <f>IF(OR(P1705="Gasto",P1705="Reembolso"),IF(M1705&lt;&gt;"",M1705,IFERROR(INDEX(catClasif,MATCH(D1705&amp;"|"&amp;E1705,catClave,0))&amp;"","Variable")),"")</f>
        <v/>
      </c>
      <c r="Y1705" s="52">
        <f>IF(P1705="","",IFERROR(INDEX(catGrupo,MATCH(D1705&amp;"|"&amp;E1705,catClave,0))&amp;"",""))</f>
        <v/>
      </c>
      <c r="Z1705" s="52">
        <f>IF(P1705="","",WEEKDAY(B1705,2))</f>
        <v/>
      </c>
      <c r="AA1705" s="52">
        <f>IF(P1705="","",IF(AND(P1705="Gasto",X1705="Variable",D1705&lt;&gt;catTrading,S1705&gt;0,S1705&lt;=Umbral),1,0))</f>
        <v/>
      </c>
      <c r="AB1705" s="52">
        <f>IF(OR(P1705="",Q1705=""),"",IFERROR(IF(INDEX(ctaVinc,MATCH(Q1705,ctaNombre,0))&amp;""&lt;&gt;"",INDEX(ctaVinc,MATCH(Q1705,ctaNombre,0))&amp;"",Q1705),Q1705))</f>
        <v/>
      </c>
      <c r="AC1705" s="52">
        <f>IF(OR(K1705="",AND(P1705&lt;&gt;"Transferencia",P1705&lt;&gt;"Pago tarjeta")),"",IFERROR(IF(INDEX(ctaVinc,MATCH(K1705,ctaNombre,0))&amp;""&lt;&gt;"",INDEX(ctaVinc,MATCH(K1705,ctaNombre,0))&amp;"",K1705),K1705))</f>
        <v/>
      </c>
      <c r="AD1705" s="52">
        <f>IF(AB1705="","",IFERROR(INDEX(ctaTipo,MATCH(AB1705,ctaNombre,0))&amp;"",""))</f>
        <v/>
      </c>
      <c r="AE1705" s="52">
        <f>IF(AC1705="","",IFERROR(INDEX(ctaTipo,MATCH(AC1705,ctaNombre,0))&amp;"",""))</f>
        <v/>
      </c>
      <c r="AF1705" s="53">
        <f>IF(OR(P1705="",AB1705=""),"",IF(OR(P1705="Gasto",P1705="Transferencia",P1705="Pago tarjeta"),-1,1)*IF(IFERROR(INDEX(ctaMoneda,MATCH(AB1705,ctaNombre,0))&amp;"","DOP")="USD",T1705,S1705))</f>
        <v/>
      </c>
      <c r="AG1705" s="53">
        <f>IF(AC1705="","",IF(IFERROR(INDEX(ctaMoneda,MATCH(AC1705,ctaNombre,0))&amp;"","DOP")="USD",T1705,S1705))</f>
        <v/>
      </c>
      <c r="AH1705" s="53">
        <f>IF(P1705="","",IF(AND(AD1705&lt;&gt;"",COUNTIFS(tcTipo,AD1705,tcLiq,"Sí")&gt;0),IF(OR(P1705="Gasto",P1705="Transferencia",P1705="Pago tarjeta"),-1,1)*S1705,0)+IF(AND(AE1705&lt;&gt;"",COUNTIFS(tcTipo,AE1705,tcLiq,"Sí")&gt;0),S1705,0))</f>
        <v/>
      </c>
      <c r="AI1705" s="52">
        <f>IF(OR(L1705="",P1705=""),"",IF(COUNTIFS(L$6:L1705,L1705,P$6:P1705,"?*")=1,MAX(AI$5:AI1704)+1,""))</f>
        <v/>
      </c>
    </row>
    <row r="1706">
      <c r="B1706" s="47" t="n"/>
      <c r="C1706" s="48" t="n"/>
      <c r="D1706" s="48" t="n"/>
      <c r="E1706" s="48" t="n"/>
      <c r="F1706" s="48" t="n"/>
      <c r="G1706" s="49" t="n"/>
      <c r="H1706" s="48" t="n"/>
      <c r="I1706" s="50" t="n"/>
      <c r="J1706" s="48" t="n"/>
      <c r="K1706" s="48" t="n"/>
      <c r="L1706" s="48" t="n"/>
      <c r="M1706" s="48" t="n"/>
      <c r="N1706" s="48" t="n"/>
      <c r="O1706" s="51">
        <f>IF(AND(B1706="",G1706="",C1706="",D1706="",J1706=""),"",IF(B1706="","⚠ Falta fecha",IF(G1706="","⚠ Falta monto",IF(Q1706="","⚠ Falta cuenta",IF(ISNA(MATCH(Q1706,ctaNombre,0)),"⚠ Cuenta no registrada",IF(AND(OR(P1706="Gasto",P1706="Reembolso"),D1706=""),"⚠ Falta categoría",IF(AND(D1706&lt;&gt;"",E1706&lt;&gt;"",ISNA(MATCH(D1706&amp;"|"&amp;E1706,catClave,0))),"⚠ Subcategoría no corresponde",IF(AND(OR(P1706="Transferencia",P1706="Pago tarjeta"),K1706=""),"⚠ Falta cuenta destino",IF(AND(K1706&lt;&gt;"",P1706&lt;&gt;"Transferencia",P1706&lt;&gt;"Pago tarjeta"),"⚠ Destino solo aplica a transferencias",IF(AND(K1706&lt;&gt;"",K1706=Q1706),"⚠ Origen igual a destino",IF(AND(K1706&lt;&gt;"",ISNA(MATCH(K1706,ctaNombre,0))),"⚠ Destino no registrado",IF(AND(P1706="Pago tarjeta",AE1706&lt;&gt;"Tarjeta de crédito"),"⚠ El destino debe ser tarjeta de crédito",IF(AND(P1706="Gasto",E1706="Depósitos y retiros"),"⚠ Usa tipo Transferencia",IF(AND(P1706="Resultado trading",AD1706&lt;&gt;"Cuenta de trading"),"⚠ Usa una cuenta de trading",IF(AND(G1706&lt;=0,P1706&lt;&gt;"Ajuste",P1706&lt;&gt;"Resultado trading"),"⚠ El monto debe ser positivo","✓")))))))))))))))</f>
        <v/>
      </c>
      <c r="P1706" s="52">
        <f>IF(OR(B1706="",G1706=""),"",IF(C1706="","Gasto",C1706))</f>
        <v/>
      </c>
      <c r="Q1706" s="52">
        <f>IF(P1706="","",IF(J1706&lt;&gt;"",J1706,CuentaPred&amp;""))</f>
        <v/>
      </c>
      <c r="R1706" s="52">
        <f>IF(P1706="","",IF(ISNUMBER(I1706),I1706,TasaUSD))</f>
        <v/>
      </c>
      <c r="S1706" s="53">
        <f>IF(P1706="","",IF(H1706="USD",G1706*R1706,G1706))</f>
        <v/>
      </c>
      <c r="T1706" s="53">
        <f>IF(P1706="","",IF(H1706="USD",G1706,IF(R1706&gt;0,G1706/R1706,0)))</f>
        <v/>
      </c>
      <c r="U1706" s="53">
        <f>IF(P1706="","",IF(P1706="Gasto",S1706,IF(P1706="Reembolso",-S1706,0)))</f>
        <v/>
      </c>
      <c r="V1706" s="53">
        <f>IF(P1706="","",IF(P1706="Ingreso",S1706,0))</f>
        <v/>
      </c>
      <c r="W1706" s="53">
        <f>IF(P1706="","",IF(P1706="Resultado trading",S1706,0))</f>
        <v/>
      </c>
      <c r="X1706" s="52">
        <f>IF(OR(P1706="Gasto",P1706="Reembolso"),IF(M1706&lt;&gt;"",M1706,IFERROR(INDEX(catClasif,MATCH(D1706&amp;"|"&amp;E1706,catClave,0))&amp;"","Variable")),"")</f>
        <v/>
      </c>
      <c r="Y1706" s="52">
        <f>IF(P1706="","",IFERROR(INDEX(catGrupo,MATCH(D1706&amp;"|"&amp;E1706,catClave,0))&amp;"",""))</f>
        <v/>
      </c>
      <c r="Z1706" s="52">
        <f>IF(P1706="","",WEEKDAY(B1706,2))</f>
        <v/>
      </c>
      <c r="AA1706" s="52">
        <f>IF(P1706="","",IF(AND(P1706="Gasto",X1706="Variable",D1706&lt;&gt;catTrading,S1706&gt;0,S1706&lt;=Umbral),1,0))</f>
        <v/>
      </c>
      <c r="AB1706" s="52">
        <f>IF(OR(P1706="",Q1706=""),"",IFERROR(IF(INDEX(ctaVinc,MATCH(Q1706,ctaNombre,0))&amp;""&lt;&gt;"",INDEX(ctaVinc,MATCH(Q1706,ctaNombre,0))&amp;"",Q1706),Q1706))</f>
        <v/>
      </c>
      <c r="AC1706" s="52">
        <f>IF(OR(K1706="",AND(P1706&lt;&gt;"Transferencia",P1706&lt;&gt;"Pago tarjeta")),"",IFERROR(IF(INDEX(ctaVinc,MATCH(K1706,ctaNombre,0))&amp;""&lt;&gt;"",INDEX(ctaVinc,MATCH(K1706,ctaNombre,0))&amp;"",K1706),K1706))</f>
        <v/>
      </c>
      <c r="AD1706" s="52">
        <f>IF(AB1706="","",IFERROR(INDEX(ctaTipo,MATCH(AB1706,ctaNombre,0))&amp;"",""))</f>
        <v/>
      </c>
      <c r="AE1706" s="52">
        <f>IF(AC1706="","",IFERROR(INDEX(ctaTipo,MATCH(AC1706,ctaNombre,0))&amp;"",""))</f>
        <v/>
      </c>
      <c r="AF1706" s="53">
        <f>IF(OR(P1706="",AB1706=""),"",IF(OR(P1706="Gasto",P1706="Transferencia",P1706="Pago tarjeta"),-1,1)*IF(IFERROR(INDEX(ctaMoneda,MATCH(AB1706,ctaNombre,0))&amp;"","DOP")="USD",T1706,S1706))</f>
        <v/>
      </c>
      <c r="AG1706" s="53">
        <f>IF(AC1706="","",IF(IFERROR(INDEX(ctaMoneda,MATCH(AC1706,ctaNombre,0))&amp;"","DOP")="USD",T1706,S1706))</f>
        <v/>
      </c>
      <c r="AH1706" s="53">
        <f>IF(P1706="","",IF(AND(AD1706&lt;&gt;"",COUNTIFS(tcTipo,AD1706,tcLiq,"Sí")&gt;0),IF(OR(P1706="Gasto",P1706="Transferencia",P1706="Pago tarjeta"),-1,1)*S1706,0)+IF(AND(AE1706&lt;&gt;"",COUNTIFS(tcTipo,AE1706,tcLiq,"Sí")&gt;0),S1706,0))</f>
        <v/>
      </c>
      <c r="AI1706" s="52">
        <f>IF(OR(L1706="",P1706=""),"",IF(COUNTIFS(L$6:L1706,L1706,P$6:P1706,"?*")=1,MAX(AI$5:AI1705)+1,""))</f>
        <v/>
      </c>
    </row>
    <row r="1707">
      <c r="B1707" s="47" t="n"/>
      <c r="C1707" s="48" t="n"/>
      <c r="D1707" s="48" t="n"/>
      <c r="E1707" s="48" t="n"/>
      <c r="F1707" s="48" t="n"/>
      <c r="G1707" s="49" t="n"/>
      <c r="H1707" s="48" t="n"/>
      <c r="I1707" s="50" t="n"/>
      <c r="J1707" s="48" t="n"/>
      <c r="K1707" s="48" t="n"/>
      <c r="L1707" s="48" t="n"/>
      <c r="M1707" s="48" t="n"/>
      <c r="N1707" s="48" t="n"/>
      <c r="O1707" s="51">
        <f>IF(AND(B1707="",G1707="",C1707="",D1707="",J1707=""),"",IF(B1707="","⚠ Falta fecha",IF(G1707="","⚠ Falta monto",IF(Q1707="","⚠ Falta cuenta",IF(ISNA(MATCH(Q1707,ctaNombre,0)),"⚠ Cuenta no registrada",IF(AND(OR(P1707="Gasto",P1707="Reembolso"),D1707=""),"⚠ Falta categoría",IF(AND(D1707&lt;&gt;"",E1707&lt;&gt;"",ISNA(MATCH(D1707&amp;"|"&amp;E1707,catClave,0))),"⚠ Subcategoría no corresponde",IF(AND(OR(P1707="Transferencia",P1707="Pago tarjeta"),K1707=""),"⚠ Falta cuenta destino",IF(AND(K1707&lt;&gt;"",P1707&lt;&gt;"Transferencia",P1707&lt;&gt;"Pago tarjeta"),"⚠ Destino solo aplica a transferencias",IF(AND(K1707&lt;&gt;"",K1707=Q1707),"⚠ Origen igual a destino",IF(AND(K1707&lt;&gt;"",ISNA(MATCH(K1707,ctaNombre,0))),"⚠ Destino no registrado",IF(AND(P1707="Pago tarjeta",AE1707&lt;&gt;"Tarjeta de crédito"),"⚠ El destino debe ser tarjeta de crédito",IF(AND(P1707="Gasto",E1707="Depósitos y retiros"),"⚠ Usa tipo Transferencia",IF(AND(P1707="Resultado trading",AD1707&lt;&gt;"Cuenta de trading"),"⚠ Usa una cuenta de trading",IF(AND(G1707&lt;=0,P1707&lt;&gt;"Ajuste",P1707&lt;&gt;"Resultado trading"),"⚠ El monto debe ser positivo","✓")))))))))))))))</f>
        <v/>
      </c>
      <c r="P1707" s="52">
        <f>IF(OR(B1707="",G1707=""),"",IF(C1707="","Gasto",C1707))</f>
        <v/>
      </c>
      <c r="Q1707" s="52">
        <f>IF(P1707="","",IF(J1707&lt;&gt;"",J1707,CuentaPred&amp;""))</f>
        <v/>
      </c>
      <c r="R1707" s="52">
        <f>IF(P1707="","",IF(ISNUMBER(I1707),I1707,TasaUSD))</f>
        <v/>
      </c>
      <c r="S1707" s="53">
        <f>IF(P1707="","",IF(H1707="USD",G1707*R1707,G1707))</f>
        <v/>
      </c>
      <c r="T1707" s="53">
        <f>IF(P1707="","",IF(H1707="USD",G1707,IF(R1707&gt;0,G1707/R1707,0)))</f>
        <v/>
      </c>
      <c r="U1707" s="53">
        <f>IF(P1707="","",IF(P1707="Gasto",S1707,IF(P1707="Reembolso",-S1707,0)))</f>
        <v/>
      </c>
      <c r="V1707" s="53">
        <f>IF(P1707="","",IF(P1707="Ingreso",S1707,0))</f>
        <v/>
      </c>
      <c r="W1707" s="53">
        <f>IF(P1707="","",IF(P1707="Resultado trading",S1707,0))</f>
        <v/>
      </c>
      <c r="X1707" s="52">
        <f>IF(OR(P1707="Gasto",P1707="Reembolso"),IF(M1707&lt;&gt;"",M1707,IFERROR(INDEX(catClasif,MATCH(D1707&amp;"|"&amp;E1707,catClave,0))&amp;"","Variable")),"")</f>
        <v/>
      </c>
      <c r="Y1707" s="52">
        <f>IF(P1707="","",IFERROR(INDEX(catGrupo,MATCH(D1707&amp;"|"&amp;E1707,catClave,0))&amp;"",""))</f>
        <v/>
      </c>
      <c r="Z1707" s="52">
        <f>IF(P1707="","",WEEKDAY(B1707,2))</f>
        <v/>
      </c>
      <c r="AA1707" s="52">
        <f>IF(P1707="","",IF(AND(P1707="Gasto",X1707="Variable",D1707&lt;&gt;catTrading,S1707&gt;0,S1707&lt;=Umbral),1,0))</f>
        <v/>
      </c>
      <c r="AB1707" s="52">
        <f>IF(OR(P1707="",Q1707=""),"",IFERROR(IF(INDEX(ctaVinc,MATCH(Q1707,ctaNombre,0))&amp;""&lt;&gt;"",INDEX(ctaVinc,MATCH(Q1707,ctaNombre,0))&amp;"",Q1707),Q1707))</f>
        <v/>
      </c>
      <c r="AC1707" s="52">
        <f>IF(OR(K1707="",AND(P1707&lt;&gt;"Transferencia",P1707&lt;&gt;"Pago tarjeta")),"",IFERROR(IF(INDEX(ctaVinc,MATCH(K1707,ctaNombre,0))&amp;""&lt;&gt;"",INDEX(ctaVinc,MATCH(K1707,ctaNombre,0))&amp;"",K1707),K1707))</f>
        <v/>
      </c>
      <c r="AD1707" s="52">
        <f>IF(AB1707="","",IFERROR(INDEX(ctaTipo,MATCH(AB1707,ctaNombre,0))&amp;"",""))</f>
        <v/>
      </c>
      <c r="AE1707" s="52">
        <f>IF(AC1707="","",IFERROR(INDEX(ctaTipo,MATCH(AC1707,ctaNombre,0))&amp;"",""))</f>
        <v/>
      </c>
      <c r="AF1707" s="53">
        <f>IF(OR(P1707="",AB1707=""),"",IF(OR(P1707="Gasto",P1707="Transferencia",P1707="Pago tarjeta"),-1,1)*IF(IFERROR(INDEX(ctaMoneda,MATCH(AB1707,ctaNombre,0))&amp;"","DOP")="USD",T1707,S1707))</f>
        <v/>
      </c>
      <c r="AG1707" s="53">
        <f>IF(AC1707="","",IF(IFERROR(INDEX(ctaMoneda,MATCH(AC1707,ctaNombre,0))&amp;"","DOP")="USD",T1707,S1707))</f>
        <v/>
      </c>
      <c r="AH1707" s="53">
        <f>IF(P1707="","",IF(AND(AD1707&lt;&gt;"",COUNTIFS(tcTipo,AD1707,tcLiq,"Sí")&gt;0),IF(OR(P1707="Gasto",P1707="Transferencia",P1707="Pago tarjeta"),-1,1)*S1707,0)+IF(AND(AE1707&lt;&gt;"",COUNTIFS(tcTipo,AE1707,tcLiq,"Sí")&gt;0),S1707,0))</f>
        <v/>
      </c>
      <c r="AI1707" s="52">
        <f>IF(OR(L1707="",P1707=""),"",IF(COUNTIFS(L$6:L1707,L1707,P$6:P1707,"?*")=1,MAX(AI$5:AI1706)+1,""))</f>
        <v/>
      </c>
    </row>
    <row r="1708">
      <c r="B1708" s="47" t="n"/>
      <c r="C1708" s="48" t="n"/>
      <c r="D1708" s="48" t="n"/>
      <c r="E1708" s="48" t="n"/>
      <c r="F1708" s="48" t="n"/>
      <c r="G1708" s="49" t="n"/>
      <c r="H1708" s="48" t="n"/>
      <c r="I1708" s="50" t="n"/>
      <c r="J1708" s="48" t="n"/>
      <c r="K1708" s="48" t="n"/>
      <c r="L1708" s="48" t="n"/>
      <c r="M1708" s="48" t="n"/>
      <c r="N1708" s="48" t="n"/>
      <c r="O1708" s="51">
        <f>IF(AND(B1708="",G1708="",C1708="",D1708="",J1708=""),"",IF(B1708="","⚠ Falta fecha",IF(G1708="","⚠ Falta monto",IF(Q1708="","⚠ Falta cuenta",IF(ISNA(MATCH(Q1708,ctaNombre,0)),"⚠ Cuenta no registrada",IF(AND(OR(P1708="Gasto",P1708="Reembolso"),D1708=""),"⚠ Falta categoría",IF(AND(D1708&lt;&gt;"",E1708&lt;&gt;"",ISNA(MATCH(D1708&amp;"|"&amp;E1708,catClave,0))),"⚠ Subcategoría no corresponde",IF(AND(OR(P1708="Transferencia",P1708="Pago tarjeta"),K1708=""),"⚠ Falta cuenta destino",IF(AND(K1708&lt;&gt;"",P1708&lt;&gt;"Transferencia",P1708&lt;&gt;"Pago tarjeta"),"⚠ Destino solo aplica a transferencias",IF(AND(K1708&lt;&gt;"",K1708=Q1708),"⚠ Origen igual a destino",IF(AND(K1708&lt;&gt;"",ISNA(MATCH(K1708,ctaNombre,0))),"⚠ Destino no registrado",IF(AND(P1708="Pago tarjeta",AE1708&lt;&gt;"Tarjeta de crédito"),"⚠ El destino debe ser tarjeta de crédito",IF(AND(P1708="Gasto",E1708="Depósitos y retiros"),"⚠ Usa tipo Transferencia",IF(AND(P1708="Resultado trading",AD1708&lt;&gt;"Cuenta de trading"),"⚠ Usa una cuenta de trading",IF(AND(G1708&lt;=0,P1708&lt;&gt;"Ajuste",P1708&lt;&gt;"Resultado trading"),"⚠ El monto debe ser positivo","✓")))))))))))))))</f>
        <v/>
      </c>
      <c r="P1708" s="52">
        <f>IF(OR(B1708="",G1708=""),"",IF(C1708="","Gasto",C1708))</f>
        <v/>
      </c>
      <c r="Q1708" s="52">
        <f>IF(P1708="","",IF(J1708&lt;&gt;"",J1708,CuentaPred&amp;""))</f>
        <v/>
      </c>
      <c r="R1708" s="52">
        <f>IF(P1708="","",IF(ISNUMBER(I1708),I1708,TasaUSD))</f>
        <v/>
      </c>
      <c r="S1708" s="53">
        <f>IF(P1708="","",IF(H1708="USD",G1708*R1708,G1708))</f>
        <v/>
      </c>
      <c r="T1708" s="53">
        <f>IF(P1708="","",IF(H1708="USD",G1708,IF(R1708&gt;0,G1708/R1708,0)))</f>
        <v/>
      </c>
      <c r="U1708" s="53">
        <f>IF(P1708="","",IF(P1708="Gasto",S1708,IF(P1708="Reembolso",-S1708,0)))</f>
        <v/>
      </c>
      <c r="V1708" s="53">
        <f>IF(P1708="","",IF(P1708="Ingreso",S1708,0))</f>
        <v/>
      </c>
      <c r="W1708" s="53">
        <f>IF(P1708="","",IF(P1708="Resultado trading",S1708,0))</f>
        <v/>
      </c>
      <c r="X1708" s="52">
        <f>IF(OR(P1708="Gasto",P1708="Reembolso"),IF(M1708&lt;&gt;"",M1708,IFERROR(INDEX(catClasif,MATCH(D1708&amp;"|"&amp;E1708,catClave,0))&amp;"","Variable")),"")</f>
        <v/>
      </c>
      <c r="Y1708" s="52">
        <f>IF(P1708="","",IFERROR(INDEX(catGrupo,MATCH(D1708&amp;"|"&amp;E1708,catClave,0))&amp;"",""))</f>
        <v/>
      </c>
      <c r="Z1708" s="52">
        <f>IF(P1708="","",WEEKDAY(B1708,2))</f>
        <v/>
      </c>
      <c r="AA1708" s="52">
        <f>IF(P1708="","",IF(AND(P1708="Gasto",X1708="Variable",D1708&lt;&gt;catTrading,S1708&gt;0,S1708&lt;=Umbral),1,0))</f>
        <v/>
      </c>
      <c r="AB1708" s="52">
        <f>IF(OR(P1708="",Q1708=""),"",IFERROR(IF(INDEX(ctaVinc,MATCH(Q1708,ctaNombre,0))&amp;""&lt;&gt;"",INDEX(ctaVinc,MATCH(Q1708,ctaNombre,0))&amp;"",Q1708),Q1708))</f>
        <v/>
      </c>
      <c r="AC1708" s="52">
        <f>IF(OR(K1708="",AND(P1708&lt;&gt;"Transferencia",P1708&lt;&gt;"Pago tarjeta")),"",IFERROR(IF(INDEX(ctaVinc,MATCH(K1708,ctaNombre,0))&amp;""&lt;&gt;"",INDEX(ctaVinc,MATCH(K1708,ctaNombre,0))&amp;"",K1708),K1708))</f>
        <v/>
      </c>
      <c r="AD1708" s="52">
        <f>IF(AB1708="","",IFERROR(INDEX(ctaTipo,MATCH(AB1708,ctaNombre,0))&amp;"",""))</f>
        <v/>
      </c>
      <c r="AE1708" s="52">
        <f>IF(AC1708="","",IFERROR(INDEX(ctaTipo,MATCH(AC1708,ctaNombre,0))&amp;"",""))</f>
        <v/>
      </c>
      <c r="AF1708" s="53">
        <f>IF(OR(P1708="",AB1708=""),"",IF(OR(P1708="Gasto",P1708="Transferencia",P1708="Pago tarjeta"),-1,1)*IF(IFERROR(INDEX(ctaMoneda,MATCH(AB1708,ctaNombre,0))&amp;"","DOP")="USD",T1708,S1708))</f>
        <v/>
      </c>
      <c r="AG1708" s="53">
        <f>IF(AC1708="","",IF(IFERROR(INDEX(ctaMoneda,MATCH(AC1708,ctaNombre,0))&amp;"","DOP")="USD",T1708,S1708))</f>
        <v/>
      </c>
      <c r="AH1708" s="53">
        <f>IF(P1708="","",IF(AND(AD1708&lt;&gt;"",COUNTIFS(tcTipo,AD1708,tcLiq,"Sí")&gt;0),IF(OR(P1708="Gasto",P1708="Transferencia",P1708="Pago tarjeta"),-1,1)*S1708,0)+IF(AND(AE1708&lt;&gt;"",COUNTIFS(tcTipo,AE1708,tcLiq,"Sí")&gt;0),S1708,0))</f>
        <v/>
      </c>
      <c r="AI1708" s="52">
        <f>IF(OR(L1708="",P1708=""),"",IF(COUNTIFS(L$6:L1708,L1708,P$6:P1708,"?*")=1,MAX(AI$5:AI1707)+1,""))</f>
        <v/>
      </c>
    </row>
    <row r="1709">
      <c r="B1709" s="47" t="n"/>
      <c r="C1709" s="48" t="n"/>
      <c r="D1709" s="48" t="n"/>
      <c r="E1709" s="48" t="n"/>
      <c r="F1709" s="48" t="n"/>
      <c r="G1709" s="49" t="n"/>
      <c r="H1709" s="48" t="n"/>
      <c r="I1709" s="50" t="n"/>
      <c r="J1709" s="48" t="n"/>
      <c r="K1709" s="48" t="n"/>
      <c r="L1709" s="48" t="n"/>
      <c r="M1709" s="48" t="n"/>
      <c r="N1709" s="48" t="n"/>
      <c r="O1709" s="51">
        <f>IF(AND(B1709="",G1709="",C1709="",D1709="",J1709=""),"",IF(B1709="","⚠ Falta fecha",IF(G1709="","⚠ Falta monto",IF(Q1709="","⚠ Falta cuenta",IF(ISNA(MATCH(Q1709,ctaNombre,0)),"⚠ Cuenta no registrada",IF(AND(OR(P1709="Gasto",P1709="Reembolso"),D1709=""),"⚠ Falta categoría",IF(AND(D1709&lt;&gt;"",E1709&lt;&gt;"",ISNA(MATCH(D1709&amp;"|"&amp;E1709,catClave,0))),"⚠ Subcategoría no corresponde",IF(AND(OR(P1709="Transferencia",P1709="Pago tarjeta"),K1709=""),"⚠ Falta cuenta destino",IF(AND(K1709&lt;&gt;"",P1709&lt;&gt;"Transferencia",P1709&lt;&gt;"Pago tarjeta"),"⚠ Destino solo aplica a transferencias",IF(AND(K1709&lt;&gt;"",K1709=Q1709),"⚠ Origen igual a destino",IF(AND(K1709&lt;&gt;"",ISNA(MATCH(K1709,ctaNombre,0))),"⚠ Destino no registrado",IF(AND(P1709="Pago tarjeta",AE1709&lt;&gt;"Tarjeta de crédito"),"⚠ El destino debe ser tarjeta de crédito",IF(AND(P1709="Gasto",E1709="Depósitos y retiros"),"⚠ Usa tipo Transferencia",IF(AND(P1709="Resultado trading",AD1709&lt;&gt;"Cuenta de trading"),"⚠ Usa una cuenta de trading",IF(AND(G1709&lt;=0,P1709&lt;&gt;"Ajuste",P1709&lt;&gt;"Resultado trading"),"⚠ El monto debe ser positivo","✓")))))))))))))))</f>
        <v/>
      </c>
      <c r="P1709" s="52">
        <f>IF(OR(B1709="",G1709=""),"",IF(C1709="","Gasto",C1709))</f>
        <v/>
      </c>
      <c r="Q1709" s="52">
        <f>IF(P1709="","",IF(J1709&lt;&gt;"",J1709,CuentaPred&amp;""))</f>
        <v/>
      </c>
      <c r="R1709" s="52">
        <f>IF(P1709="","",IF(ISNUMBER(I1709),I1709,TasaUSD))</f>
        <v/>
      </c>
      <c r="S1709" s="53">
        <f>IF(P1709="","",IF(H1709="USD",G1709*R1709,G1709))</f>
        <v/>
      </c>
      <c r="T1709" s="53">
        <f>IF(P1709="","",IF(H1709="USD",G1709,IF(R1709&gt;0,G1709/R1709,0)))</f>
        <v/>
      </c>
      <c r="U1709" s="53">
        <f>IF(P1709="","",IF(P1709="Gasto",S1709,IF(P1709="Reembolso",-S1709,0)))</f>
        <v/>
      </c>
      <c r="V1709" s="53">
        <f>IF(P1709="","",IF(P1709="Ingreso",S1709,0))</f>
        <v/>
      </c>
      <c r="W1709" s="53">
        <f>IF(P1709="","",IF(P1709="Resultado trading",S1709,0))</f>
        <v/>
      </c>
      <c r="X1709" s="52">
        <f>IF(OR(P1709="Gasto",P1709="Reembolso"),IF(M1709&lt;&gt;"",M1709,IFERROR(INDEX(catClasif,MATCH(D1709&amp;"|"&amp;E1709,catClave,0))&amp;"","Variable")),"")</f>
        <v/>
      </c>
      <c r="Y1709" s="52">
        <f>IF(P1709="","",IFERROR(INDEX(catGrupo,MATCH(D1709&amp;"|"&amp;E1709,catClave,0))&amp;"",""))</f>
        <v/>
      </c>
      <c r="Z1709" s="52">
        <f>IF(P1709="","",WEEKDAY(B1709,2))</f>
        <v/>
      </c>
      <c r="AA1709" s="52">
        <f>IF(P1709="","",IF(AND(P1709="Gasto",X1709="Variable",D1709&lt;&gt;catTrading,S1709&gt;0,S1709&lt;=Umbral),1,0))</f>
        <v/>
      </c>
      <c r="AB1709" s="52">
        <f>IF(OR(P1709="",Q1709=""),"",IFERROR(IF(INDEX(ctaVinc,MATCH(Q1709,ctaNombre,0))&amp;""&lt;&gt;"",INDEX(ctaVinc,MATCH(Q1709,ctaNombre,0))&amp;"",Q1709),Q1709))</f>
        <v/>
      </c>
      <c r="AC1709" s="52">
        <f>IF(OR(K1709="",AND(P1709&lt;&gt;"Transferencia",P1709&lt;&gt;"Pago tarjeta")),"",IFERROR(IF(INDEX(ctaVinc,MATCH(K1709,ctaNombre,0))&amp;""&lt;&gt;"",INDEX(ctaVinc,MATCH(K1709,ctaNombre,0))&amp;"",K1709),K1709))</f>
        <v/>
      </c>
      <c r="AD1709" s="52">
        <f>IF(AB1709="","",IFERROR(INDEX(ctaTipo,MATCH(AB1709,ctaNombre,0))&amp;"",""))</f>
        <v/>
      </c>
      <c r="AE1709" s="52">
        <f>IF(AC1709="","",IFERROR(INDEX(ctaTipo,MATCH(AC1709,ctaNombre,0))&amp;"",""))</f>
        <v/>
      </c>
      <c r="AF1709" s="53">
        <f>IF(OR(P1709="",AB1709=""),"",IF(OR(P1709="Gasto",P1709="Transferencia",P1709="Pago tarjeta"),-1,1)*IF(IFERROR(INDEX(ctaMoneda,MATCH(AB1709,ctaNombre,0))&amp;"","DOP")="USD",T1709,S1709))</f>
        <v/>
      </c>
      <c r="AG1709" s="53">
        <f>IF(AC1709="","",IF(IFERROR(INDEX(ctaMoneda,MATCH(AC1709,ctaNombre,0))&amp;"","DOP")="USD",T1709,S1709))</f>
        <v/>
      </c>
      <c r="AH1709" s="53">
        <f>IF(P1709="","",IF(AND(AD1709&lt;&gt;"",COUNTIFS(tcTipo,AD1709,tcLiq,"Sí")&gt;0),IF(OR(P1709="Gasto",P1709="Transferencia",P1709="Pago tarjeta"),-1,1)*S1709,0)+IF(AND(AE1709&lt;&gt;"",COUNTIFS(tcTipo,AE1709,tcLiq,"Sí")&gt;0),S1709,0))</f>
        <v/>
      </c>
      <c r="AI1709" s="52">
        <f>IF(OR(L1709="",P1709=""),"",IF(COUNTIFS(L$6:L1709,L1709,P$6:P1709,"?*")=1,MAX(AI$5:AI1708)+1,""))</f>
        <v/>
      </c>
    </row>
    <row r="1710">
      <c r="B1710" s="47" t="n"/>
      <c r="C1710" s="48" t="n"/>
      <c r="D1710" s="48" t="n"/>
      <c r="E1710" s="48" t="n"/>
      <c r="F1710" s="48" t="n"/>
      <c r="G1710" s="49" t="n"/>
      <c r="H1710" s="48" t="n"/>
      <c r="I1710" s="50" t="n"/>
      <c r="J1710" s="48" t="n"/>
      <c r="K1710" s="48" t="n"/>
      <c r="L1710" s="48" t="n"/>
      <c r="M1710" s="48" t="n"/>
      <c r="N1710" s="48" t="n"/>
      <c r="O1710" s="51">
        <f>IF(AND(B1710="",G1710="",C1710="",D1710="",J1710=""),"",IF(B1710="","⚠ Falta fecha",IF(G1710="","⚠ Falta monto",IF(Q1710="","⚠ Falta cuenta",IF(ISNA(MATCH(Q1710,ctaNombre,0)),"⚠ Cuenta no registrada",IF(AND(OR(P1710="Gasto",P1710="Reembolso"),D1710=""),"⚠ Falta categoría",IF(AND(D1710&lt;&gt;"",E1710&lt;&gt;"",ISNA(MATCH(D1710&amp;"|"&amp;E1710,catClave,0))),"⚠ Subcategoría no corresponde",IF(AND(OR(P1710="Transferencia",P1710="Pago tarjeta"),K1710=""),"⚠ Falta cuenta destino",IF(AND(K1710&lt;&gt;"",P1710&lt;&gt;"Transferencia",P1710&lt;&gt;"Pago tarjeta"),"⚠ Destino solo aplica a transferencias",IF(AND(K1710&lt;&gt;"",K1710=Q1710),"⚠ Origen igual a destino",IF(AND(K1710&lt;&gt;"",ISNA(MATCH(K1710,ctaNombre,0))),"⚠ Destino no registrado",IF(AND(P1710="Pago tarjeta",AE1710&lt;&gt;"Tarjeta de crédito"),"⚠ El destino debe ser tarjeta de crédito",IF(AND(P1710="Gasto",E1710="Depósitos y retiros"),"⚠ Usa tipo Transferencia",IF(AND(P1710="Resultado trading",AD1710&lt;&gt;"Cuenta de trading"),"⚠ Usa una cuenta de trading",IF(AND(G1710&lt;=0,P1710&lt;&gt;"Ajuste",P1710&lt;&gt;"Resultado trading"),"⚠ El monto debe ser positivo","✓")))))))))))))))</f>
        <v/>
      </c>
      <c r="P1710" s="52">
        <f>IF(OR(B1710="",G1710=""),"",IF(C1710="","Gasto",C1710))</f>
        <v/>
      </c>
      <c r="Q1710" s="52">
        <f>IF(P1710="","",IF(J1710&lt;&gt;"",J1710,CuentaPred&amp;""))</f>
        <v/>
      </c>
      <c r="R1710" s="52">
        <f>IF(P1710="","",IF(ISNUMBER(I1710),I1710,TasaUSD))</f>
        <v/>
      </c>
      <c r="S1710" s="53">
        <f>IF(P1710="","",IF(H1710="USD",G1710*R1710,G1710))</f>
        <v/>
      </c>
      <c r="T1710" s="53">
        <f>IF(P1710="","",IF(H1710="USD",G1710,IF(R1710&gt;0,G1710/R1710,0)))</f>
        <v/>
      </c>
      <c r="U1710" s="53">
        <f>IF(P1710="","",IF(P1710="Gasto",S1710,IF(P1710="Reembolso",-S1710,0)))</f>
        <v/>
      </c>
      <c r="V1710" s="53">
        <f>IF(P1710="","",IF(P1710="Ingreso",S1710,0))</f>
        <v/>
      </c>
      <c r="W1710" s="53">
        <f>IF(P1710="","",IF(P1710="Resultado trading",S1710,0))</f>
        <v/>
      </c>
      <c r="X1710" s="52">
        <f>IF(OR(P1710="Gasto",P1710="Reembolso"),IF(M1710&lt;&gt;"",M1710,IFERROR(INDEX(catClasif,MATCH(D1710&amp;"|"&amp;E1710,catClave,0))&amp;"","Variable")),"")</f>
        <v/>
      </c>
      <c r="Y1710" s="52">
        <f>IF(P1710="","",IFERROR(INDEX(catGrupo,MATCH(D1710&amp;"|"&amp;E1710,catClave,0))&amp;"",""))</f>
        <v/>
      </c>
      <c r="Z1710" s="52">
        <f>IF(P1710="","",WEEKDAY(B1710,2))</f>
        <v/>
      </c>
      <c r="AA1710" s="52">
        <f>IF(P1710="","",IF(AND(P1710="Gasto",X1710="Variable",D1710&lt;&gt;catTrading,S1710&gt;0,S1710&lt;=Umbral),1,0))</f>
        <v/>
      </c>
      <c r="AB1710" s="52">
        <f>IF(OR(P1710="",Q1710=""),"",IFERROR(IF(INDEX(ctaVinc,MATCH(Q1710,ctaNombre,0))&amp;""&lt;&gt;"",INDEX(ctaVinc,MATCH(Q1710,ctaNombre,0))&amp;"",Q1710),Q1710))</f>
        <v/>
      </c>
      <c r="AC1710" s="52">
        <f>IF(OR(K1710="",AND(P1710&lt;&gt;"Transferencia",P1710&lt;&gt;"Pago tarjeta")),"",IFERROR(IF(INDEX(ctaVinc,MATCH(K1710,ctaNombre,0))&amp;""&lt;&gt;"",INDEX(ctaVinc,MATCH(K1710,ctaNombre,0))&amp;"",K1710),K1710))</f>
        <v/>
      </c>
      <c r="AD1710" s="52">
        <f>IF(AB1710="","",IFERROR(INDEX(ctaTipo,MATCH(AB1710,ctaNombre,0))&amp;"",""))</f>
        <v/>
      </c>
      <c r="AE1710" s="52">
        <f>IF(AC1710="","",IFERROR(INDEX(ctaTipo,MATCH(AC1710,ctaNombre,0))&amp;"",""))</f>
        <v/>
      </c>
      <c r="AF1710" s="53">
        <f>IF(OR(P1710="",AB1710=""),"",IF(OR(P1710="Gasto",P1710="Transferencia",P1710="Pago tarjeta"),-1,1)*IF(IFERROR(INDEX(ctaMoneda,MATCH(AB1710,ctaNombre,0))&amp;"","DOP")="USD",T1710,S1710))</f>
        <v/>
      </c>
      <c r="AG1710" s="53">
        <f>IF(AC1710="","",IF(IFERROR(INDEX(ctaMoneda,MATCH(AC1710,ctaNombre,0))&amp;"","DOP")="USD",T1710,S1710))</f>
        <v/>
      </c>
      <c r="AH1710" s="53">
        <f>IF(P1710="","",IF(AND(AD1710&lt;&gt;"",COUNTIFS(tcTipo,AD1710,tcLiq,"Sí")&gt;0),IF(OR(P1710="Gasto",P1710="Transferencia",P1710="Pago tarjeta"),-1,1)*S1710,0)+IF(AND(AE1710&lt;&gt;"",COUNTIFS(tcTipo,AE1710,tcLiq,"Sí")&gt;0),S1710,0))</f>
        <v/>
      </c>
      <c r="AI1710" s="52">
        <f>IF(OR(L1710="",P1710=""),"",IF(COUNTIFS(L$6:L1710,L1710,P$6:P1710,"?*")=1,MAX(AI$5:AI1709)+1,""))</f>
        <v/>
      </c>
    </row>
    <row r="1711">
      <c r="B1711" s="47" t="n"/>
      <c r="C1711" s="48" t="n"/>
      <c r="D1711" s="48" t="n"/>
      <c r="E1711" s="48" t="n"/>
      <c r="F1711" s="48" t="n"/>
      <c r="G1711" s="49" t="n"/>
      <c r="H1711" s="48" t="n"/>
      <c r="I1711" s="50" t="n"/>
      <c r="J1711" s="48" t="n"/>
      <c r="K1711" s="48" t="n"/>
      <c r="L1711" s="48" t="n"/>
      <c r="M1711" s="48" t="n"/>
      <c r="N1711" s="48" t="n"/>
      <c r="O1711" s="51">
        <f>IF(AND(B1711="",G1711="",C1711="",D1711="",J1711=""),"",IF(B1711="","⚠ Falta fecha",IF(G1711="","⚠ Falta monto",IF(Q1711="","⚠ Falta cuenta",IF(ISNA(MATCH(Q1711,ctaNombre,0)),"⚠ Cuenta no registrada",IF(AND(OR(P1711="Gasto",P1711="Reembolso"),D1711=""),"⚠ Falta categoría",IF(AND(D1711&lt;&gt;"",E1711&lt;&gt;"",ISNA(MATCH(D1711&amp;"|"&amp;E1711,catClave,0))),"⚠ Subcategoría no corresponde",IF(AND(OR(P1711="Transferencia",P1711="Pago tarjeta"),K1711=""),"⚠ Falta cuenta destino",IF(AND(K1711&lt;&gt;"",P1711&lt;&gt;"Transferencia",P1711&lt;&gt;"Pago tarjeta"),"⚠ Destino solo aplica a transferencias",IF(AND(K1711&lt;&gt;"",K1711=Q1711),"⚠ Origen igual a destino",IF(AND(K1711&lt;&gt;"",ISNA(MATCH(K1711,ctaNombre,0))),"⚠ Destino no registrado",IF(AND(P1711="Pago tarjeta",AE1711&lt;&gt;"Tarjeta de crédito"),"⚠ El destino debe ser tarjeta de crédito",IF(AND(P1711="Gasto",E1711="Depósitos y retiros"),"⚠ Usa tipo Transferencia",IF(AND(P1711="Resultado trading",AD1711&lt;&gt;"Cuenta de trading"),"⚠ Usa una cuenta de trading",IF(AND(G1711&lt;=0,P1711&lt;&gt;"Ajuste",P1711&lt;&gt;"Resultado trading"),"⚠ El monto debe ser positivo","✓")))))))))))))))</f>
        <v/>
      </c>
      <c r="P1711" s="52">
        <f>IF(OR(B1711="",G1711=""),"",IF(C1711="","Gasto",C1711))</f>
        <v/>
      </c>
      <c r="Q1711" s="52">
        <f>IF(P1711="","",IF(J1711&lt;&gt;"",J1711,CuentaPred&amp;""))</f>
        <v/>
      </c>
      <c r="R1711" s="52">
        <f>IF(P1711="","",IF(ISNUMBER(I1711),I1711,TasaUSD))</f>
        <v/>
      </c>
      <c r="S1711" s="53">
        <f>IF(P1711="","",IF(H1711="USD",G1711*R1711,G1711))</f>
        <v/>
      </c>
      <c r="T1711" s="53">
        <f>IF(P1711="","",IF(H1711="USD",G1711,IF(R1711&gt;0,G1711/R1711,0)))</f>
        <v/>
      </c>
      <c r="U1711" s="53">
        <f>IF(P1711="","",IF(P1711="Gasto",S1711,IF(P1711="Reembolso",-S1711,0)))</f>
        <v/>
      </c>
      <c r="V1711" s="53">
        <f>IF(P1711="","",IF(P1711="Ingreso",S1711,0))</f>
        <v/>
      </c>
      <c r="W1711" s="53">
        <f>IF(P1711="","",IF(P1711="Resultado trading",S1711,0))</f>
        <v/>
      </c>
      <c r="X1711" s="52">
        <f>IF(OR(P1711="Gasto",P1711="Reembolso"),IF(M1711&lt;&gt;"",M1711,IFERROR(INDEX(catClasif,MATCH(D1711&amp;"|"&amp;E1711,catClave,0))&amp;"","Variable")),"")</f>
        <v/>
      </c>
      <c r="Y1711" s="52">
        <f>IF(P1711="","",IFERROR(INDEX(catGrupo,MATCH(D1711&amp;"|"&amp;E1711,catClave,0))&amp;"",""))</f>
        <v/>
      </c>
      <c r="Z1711" s="52">
        <f>IF(P1711="","",WEEKDAY(B1711,2))</f>
        <v/>
      </c>
      <c r="AA1711" s="52">
        <f>IF(P1711="","",IF(AND(P1711="Gasto",X1711="Variable",D1711&lt;&gt;catTrading,S1711&gt;0,S1711&lt;=Umbral),1,0))</f>
        <v/>
      </c>
      <c r="AB1711" s="52">
        <f>IF(OR(P1711="",Q1711=""),"",IFERROR(IF(INDEX(ctaVinc,MATCH(Q1711,ctaNombre,0))&amp;""&lt;&gt;"",INDEX(ctaVinc,MATCH(Q1711,ctaNombre,0))&amp;"",Q1711),Q1711))</f>
        <v/>
      </c>
      <c r="AC1711" s="52">
        <f>IF(OR(K1711="",AND(P1711&lt;&gt;"Transferencia",P1711&lt;&gt;"Pago tarjeta")),"",IFERROR(IF(INDEX(ctaVinc,MATCH(K1711,ctaNombre,0))&amp;""&lt;&gt;"",INDEX(ctaVinc,MATCH(K1711,ctaNombre,0))&amp;"",K1711),K1711))</f>
        <v/>
      </c>
      <c r="AD1711" s="52">
        <f>IF(AB1711="","",IFERROR(INDEX(ctaTipo,MATCH(AB1711,ctaNombre,0))&amp;"",""))</f>
        <v/>
      </c>
      <c r="AE1711" s="52">
        <f>IF(AC1711="","",IFERROR(INDEX(ctaTipo,MATCH(AC1711,ctaNombre,0))&amp;"",""))</f>
        <v/>
      </c>
      <c r="AF1711" s="53">
        <f>IF(OR(P1711="",AB1711=""),"",IF(OR(P1711="Gasto",P1711="Transferencia",P1711="Pago tarjeta"),-1,1)*IF(IFERROR(INDEX(ctaMoneda,MATCH(AB1711,ctaNombre,0))&amp;"","DOP")="USD",T1711,S1711))</f>
        <v/>
      </c>
      <c r="AG1711" s="53">
        <f>IF(AC1711="","",IF(IFERROR(INDEX(ctaMoneda,MATCH(AC1711,ctaNombre,0))&amp;"","DOP")="USD",T1711,S1711))</f>
        <v/>
      </c>
      <c r="AH1711" s="53">
        <f>IF(P1711="","",IF(AND(AD1711&lt;&gt;"",COUNTIFS(tcTipo,AD1711,tcLiq,"Sí")&gt;0),IF(OR(P1711="Gasto",P1711="Transferencia",P1711="Pago tarjeta"),-1,1)*S1711,0)+IF(AND(AE1711&lt;&gt;"",COUNTIFS(tcTipo,AE1711,tcLiq,"Sí")&gt;0),S1711,0))</f>
        <v/>
      </c>
      <c r="AI1711" s="52">
        <f>IF(OR(L1711="",P1711=""),"",IF(COUNTIFS(L$6:L1711,L1711,P$6:P1711,"?*")=1,MAX(AI$5:AI1710)+1,""))</f>
        <v/>
      </c>
    </row>
    <row r="1712">
      <c r="B1712" s="47" t="n"/>
      <c r="C1712" s="48" t="n"/>
      <c r="D1712" s="48" t="n"/>
      <c r="E1712" s="48" t="n"/>
      <c r="F1712" s="48" t="n"/>
      <c r="G1712" s="49" t="n"/>
      <c r="H1712" s="48" t="n"/>
      <c r="I1712" s="50" t="n"/>
      <c r="J1712" s="48" t="n"/>
      <c r="K1712" s="48" t="n"/>
      <c r="L1712" s="48" t="n"/>
      <c r="M1712" s="48" t="n"/>
      <c r="N1712" s="48" t="n"/>
      <c r="O1712" s="51">
        <f>IF(AND(B1712="",G1712="",C1712="",D1712="",J1712=""),"",IF(B1712="","⚠ Falta fecha",IF(G1712="","⚠ Falta monto",IF(Q1712="","⚠ Falta cuenta",IF(ISNA(MATCH(Q1712,ctaNombre,0)),"⚠ Cuenta no registrada",IF(AND(OR(P1712="Gasto",P1712="Reembolso"),D1712=""),"⚠ Falta categoría",IF(AND(D1712&lt;&gt;"",E1712&lt;&gt;"",ISNA(MATCH(D1712&amp;"|"&amp;E1712,catClave,0))),"⚠ Subcategoría no corresponde",IF(AND(OR(P1712="Transferencia",P1712="Pago tarjeta"),K1712=""),"⚠ Falta cuenta destino",IF(AND(K1712&lt;&gt;"",P1712&lt;&gt;"Transferencia",P1712&lt;&gt;"Pago tarjeta"),"⚠ Destino solo aplica a transferencias",IF(AND(K1712&lt;&gt;"",K1712=Q1712),"⚠ Origen igual a destino",IF(AND(K1712&lt;&gt;"",ISNA(MATCH(K1712,ctaNombre,0))),"⚠ Destino no registrado",IF(AND(P1712="Pago tarjeta",AE1712&lt;&gt;"Tarjeta de crédito"),"⚠ El destino debe ser tarjeta de crédito",IF(AND(P1712="Gasto",E1712="Depósitos y retiros"),"⚠ Usa tipo Transferencia",IF(AND(P1712="Resultado trading",AD1712&lt;&gt;"Cuenta de trading"),"⚠ Usa una cuenta de trading",IF(AND(G1712&lt;=0,P1712&lt;&gt;"Ajuste",P1712&lt;&gt;"Resultado trading"),"⚠ El monto debe ser positivo","✓")))))))))))))))</f>
        <v/>
      </c>
      <c r="P1712" s="52">
        <f>IF(OR(B1712="",G1712=""),"",IF(C1712="","Gasto",C1712))</f>
        <v/>
      </c>
      <c r="Q1712" s="52">
        <f>IF(P1712="","",IF(J1712&lt;&gt;"",J1712,CuentaPred&amp;""))</f>
        <v/>
      </c>
      <c r="R1712" s="52">
        <f>IF(P1712="","",IF(ISNUMBER(I1712),I1712,TasaUSD))</f>
        <v/>
      </c>
      <c r="S1712" s="53">
        <f>IF(P1712="","",IF(H1712="USD",G1712*R1712,G1712))</f>
        <v/>
      </c>
      <c r="T1712" s="53">
        <f>IF(P1712="","",IF(H1712="USD",G1712,IF(R1712&gt;0,G1712/R1712,0)))</f>
        <v/>
      </c>
      <c r="U1712" s="53">
        <f>IF(P1712="","",IF(P1712="Gasto",S1712,IF(P1712="Reembolso",-S1712,0)))</f>
        <v/>
      </c>
      <c r="V1712" s="53">
        <f>IF(P1712="","",IF(P1712="Ingreso",S1712,0))</f>
        <v/>
      </c>
      <c r="W1712" s="53">
        <f>IF(P1712="","",IF(P1712="Resultado trading",S1712,0))</f>
        <v/>
      </c>
      <c r="X1712" s="52">
        <f>IF(OR(P1712="Gasto",P1712="Reembolso"),IF(M1712&lt;&gt;"",M1712,IFERROR(INDEX(catClasif,MATCH(D1712&amp;"|"&amp;E1712,catClave,0))&amp;"","Variable")),"")</f>
        <v/>
      </c>
      <c r="Y1712" s="52">
        <f>IF(P1712="","",IFERROR(INDEX(catGrupo,MATCH(D1712&amp;"|"&amp;E1712,catClave,0))&amp;"",""))</f>
        <v/>
      </c>
      <c r="Z1712" s="52">
        <f>IF(P1712="","",WEEKDAY(B1712,2))</f>
        <v/>
      </c>
      <c r="AA1712" s="52">
        <f>IF(P1712="","",IF(AND(P1712="Gasto",X1712="Variable",D1712&lt;&gt;catTrading,S1712&gt;0,S1712&lt;=Umbral),1,0))</f>
        <v/>
      </c>
      <c r="AB1712" s="52">
        <f>IF(OR(P1712="",Q1712=""),"",IFERROR(IF(INDEX(ctaVinc,MATCH(Q1712,ctaNombre,0))&amp;""&lt;&gt;"",INDEX(ctaVinc,MATCH(Q1712,ctaNombre,0))&amp;"",Q1712),Q1712))</f>
        <v/>
      </c>
      <c r="AC1712" s="52">
        <f>IF(OR(K1712="",AND(P1712&lt;&gt;"Transferencia",P1712&lt;&gt;"Pago tarjeta")),"",IFERROR(IF(INDEX(ctaVinc,MATCH(K1712,ctaNombre,0))&amp;""&lt;&gt;"",INDEX(ctaVinc,MATCH(K1712,ctaNombre,0))&amp;"",K1712),K1712))</f>
        <v/>
      </c>
      <c r="AD1712" s="52">
        <f>IF(AB1712="","",IFERROR(INDEX(ctaTipo,MATCH(AB1712,ctaNombre,0))&amp;"",""))</f>
        <v/>
      </c>
      <c r="AE1712" s="52">
        <f>IF(AC1712="","",IFERROR(INDEX(ctaTipo,MATCH(AC1712,ctaNombre,0))&amp;"",""))</f>
        <v/>
      </c>
      <c r="AF1712" s="53">
        <f>IF(OR(P1712="",AB1712=""),"",IF(OR(P1712="Gasto",P1712="Transferencia",P1712="Pago tarjeta"),-1,1)*IF(IFERROR(INDEX(ctaMoneda,MATCH(AB1712,ctaNombre,0))&amp;"","DOP")="USD",T1712,S1712))</f>
        <v/>
      </c>
      <c r="AG1712" s="53">
        <f>IF(AC1712="","",IF(IFERROR(INDEX(ctaMoneda,MATCH(AC1712,ctaNombre,0))&amp;"","DOP")="USD",T1712,S1712))</f>
        <v/>
      </c>
      <c r="AH1712" s="53">
        <f>IF(P1712="","",IF(AND(AD1712&lt;&gt;"",COUNTIFS(tcTipo,AD1712,tcLiq,"Sí")&gt;0),IF(OR(P1712="Gasto",P1712="Transferencia",P1712="Pago tarjeta"),-1,1)*S1712,0)+IF(AND(AE1712&lt;&gt;"",COUNTIFS(tcTipo,AE1712,tcLiq,"Sí")&gt;0),S1712,0))</f>
        <v/>
      </c>
      <c r="AI1712" s="52">
        <f>IF(OR(L1712="",P1712=""),"",IF(COUNTIFS(L$6:L1712,L1712,P$6:P1712,"?*")=1,MAX(AI$5:AI1711)+1,""))</f>
        <v/>
      </c>
    </row>
    <row r="1713">
      <c r="B1713" s="47" t="n"/>
      <c r="C1713" s="48" t="n"/>
      <c r="D1713" s="48" t="n"/>
      <c r="E1713" s="48" t="n"/>
      <c r="F1713" s="48" t="n"/>
      <c r="G1713" s="49" t="n"/>
      <c r="H1713" s="48" t="n"/>
      <c r="I1713" s="50" t="n"/>
      <c r="J1713" s="48" t="n"/>
      <c r="K1713" s="48" t="n"/>
      <c r="L1713" s="48" t="n"/>
      <c r="M1713" s="48" t="n"/>
      <c r="N1713" s="48" t="n"/>
      <c r="O1713" s="51">
        <f>IF(AND(B1713="",G1713="",C1713="",D1713="",J1713=""),"",IF(B1713="","⚠ Falta fecha",IF(G1713="","⚠ Falta monto",IF(Q1713="","⚠ Falta cuenta",IF(ISNA(MATCH(Q1713,ctaNombre,0)),"⚠ Cuenta no registrada",IF(AND(OR(P1713="Gasto",P1713="Reembolso"),D1713=""),"⚠ Falta categoría",IF(AND(D1713&lt;&gt;"",E1713&lt;&gt;"",ISNA(MATCH(D1713&amp;"|"&amp;E1713,catClave,0))),"⚠ Subcategoría no corresponde",IF(AND(OR(P1713="Transferencia",P1713="Pago tarjeta"),K1713=""),"⚠ Falta cuenta destino",IF(AND(K1713&lt;&gt;"",P1713&lt;&gt;"Transferencia",P1713&lt;&gt;"Pago tarjeta"),"⚠ Destino solo aplica a transferencias",IF(AND(K1713&lt;&gt;"",K1713=Q1713),"⚠ Origen igual a destino",IF(AND(K1713&lt;&gt;"",ISNA(MATCH(K1713,ctaNombre,0))),"⚠ Destino no registrado",IF(AND(P1713="Pago tarjeta",AE1713&lt;&gt;"Tarjeta de crédito"),"⚠ El destino debe ser tarjeta de crédito",IF(AND(P1713="Gasto",E1713="Depósitos y retiros"),"⚠ Usa tipo Transferencia",IF(AND(P1713="Resultado trading",AD1713&lt;&gt;"Cuenta de trading"),"⚠ Usa una cuenta de trading",IF(AND(G1713&lt;=0,P1713&lt;&gt;"Ajuste",P1713&lt;&gt;"Resultado trading"),"⚠ El monto debe ser positivo","✓")))))))))))))))</f>
        <v/>
      </c>
      <c r="P1713" s="52">
        <f>IF(OR(B1713="",G1713=""),"",IF(C1713="","Gasto",C1713))</f>
        <v/>
      </c>
      <c r="Q1713" s="52">
        <f>IF(P1713="","",IF(J1713&lt;&gt;"",J1713,CuentaPred&amp;""))</f>
        <v/>
      </c>
      <c r="R1713" s="52">
        <f>IF(P1713="","",IF(ISNUMBER(I1713),I1713,TasaUSD))</f>
        <v/>
      </c>
      <c r="S1713" s="53">
        <f>IF(P1713="","",IF(H1713="USD",G1713*R1713,G1713))</f>
        <v/>
      </c>
      <c r="T1713" s="53">
        <f>IF(P1713="","",IF(H1713="USD",G1713,IF(R1713&gt;0,G1713/R1713,0)))</f>
        <v/>
      </c>
      <c r="U1713" s="53">
        <f>IF(P1713="","",IF(P1713="Gasto",S1713,IF(P1713="Reembolso",-S1713,0)))</f>
        <v/>
      </c>
      <c r="V1713" s="53">
        <f>IF(P1713="","",IF(P1713="Ingreso",S1713,0))</f>
        <v/>
      </c>
      <c r="W1713" s="53">
        <f>IF(P1713="","",IF(P1713="Resultado trading",S1713,0))</f>
        <v/>
      </c>
      <c r="X1713" s="52">
        <f>IF(OR(P1713="Gasto",P1713="Reembolso"),IF(M1713&lt;&gt;"",M1713,IFERROR(INDEX(catClasif,MATCH(D1713&amp;"|"&amp;E1713,catClave,0))&amp;"","Variable")),"")</f>
        <v/>
      </c>
      <c r="Y1713" s="52">
        <f>IF(P1713="","",IFERROR(INDEX(catGrupo,MATCH(D1713&amp;"|"&amp;E1713,catClave,0))&amp;"",""))</f>
        <v/>
      </c>
      <c r="Z1713" s="52">
        <f>IF(P1713="","",WEEKDAY(B1713,2))</f>
        <v/>
      </c>
      <c r="AA1713" s="52">
        <f>IF(P1713="","",IF(AND(P1713="Gasto",X1713="Variable",D1713&lt;&gt;catTrading,S1713&gt;0,S1713&lt;=Umbral),1,0))</f>
        <v/>
      </c>
      <c r="AB1713" s="52">
        <f>IF(OR(P1713="",Q1713=""),"",IFERROR(IF(INDEX(ctaVinc,MATCH(Q1713,ctaNombre,0))&amp;""&lt;&gt;"",INDEX(ctaVinc,MATCH(Q1713,ctaNombre,0))&amp;"",Q1713),Q1713))</f>
        <v/>
      </c>
      <c r="AC1713" s="52">
        <f>IF(OR(K1713="",AND(P1713&lt;&gt;"Transferencia",P1713&lt;&gt;"Pago tarjeta")),"",IFERROR(IF(INDEX(ctaVinc,MATCH(K1713,ctaNombre,0))&amp;""&lt;&gt;"",INDEX(ctaVinc,MATCH(K1713,ctaNombre,0))&amp;"",K1713),K1713))</f>
        <v/>
      </c>
      <c r="AD1713" s="52">
        <f>IF(AB1713="","",IFERROR(INDEX(ctaTipo,MATCH(AB1713,ctaNombre,0))&amp;"",""))</f>
        <v/>
      </c>
      <c r="AE1713" s="52">
        <f>IF(AC1713="","",IFERROR(INDEX(ctaTipo,MATCH(AC1713,ctaNombre,0))&amp;"",""))</f>
        <v/>
      </c>
      <c r="AF1713" s="53">
        <f>IF(OR(P1713="",AB1713=""),"",IF(OR(P1713="Gasto",P1713="Transferencia",P1713="Pago tarjeta"),-1,1)*IF(IFERROR(INDEX(ctaMoneda,MATCH(AB1713,ctaNombre,0))&amp;"","DOP")="USD",T1713,S1713))</f>
        <v/>
      </c>
      <c r="AG1713" s="53">
        <f>IF(AC1713="","",IF(IFERROR(INDEX(ctaMoneda,MATCH(AC1713,ctaNombre,0))&amp;"","DOP")="USD",T1713,S1713))</f>
        <v/>
      </c>
      <c r="AH1713" s="53">
        <f>IF(P1713="","",IF(AND(AD1713&lt;&gt;"",COUNTIFS(tcTipo,AD1713,tcLiq,"Sí")&gt;0),IF(OR(P1713="Gasto",P1713="Transferencia",P1713="Pago tarjeta"),-1,1)*S1713,0)+IF(AND(AE1713&lt;&gt;"",COUNTIFS(tcTipo,AE1713,tcLiq,"Sí")&gt;0),S1713,0))</f>
        <v/>
      </c>
      <c r="AI1713" s="52">
        <f>IF(OR(L1713="",P1713=""),"",IF(COUNTIFS(L$6:L1713,L1713,P$6:P1713,"?*")=1,MAX(AI$5:AI1712)+1,""))</f>
        <v/>
      </c>
    </row>
    <row r="1714">
      <c r="B1714" s="47" t="n"/>
      <c r="C1714" s="48" t="n"/>
      <c r="D1714" s="48" t="n"/>
      <c r="E1714" s="48" t="n"/>
      <c r="F1714" s="48" t="n"/>
      <c r="G1714" s="49" t="n"/>
      <c r="H1714" s="48" t="n"/>
      <c r="I1714" s="50" t="n"/>
      <c r="J1714" s="48" t="n"/>
      <c r="K1714" s="48" t="n"/>
      <c r="L1714" s="48" t="n"/>
      <c r="M1714" s="48" t="n"/>
      <c r="N1714" s="48" t="n"/>
      <c r="O1714" s="51">
        <f>IF(AND(B1714="",G1714="",C1714="",D1714="",J1714=""),"",IF(B1714="","⚠ Falta fecha",IF(G1714="","⚠ Falta monto",IF(Q1714="","⚠ Falta cuenta",IF(ISNA(MATCH(Q1714,ctaNombre,0)),"⚠ Cuenta no registrada",IF(AND(OR(P1714="Gasto",P1714="Reembolso"),D1714=""),"⚠ Falta categoría",IF(AND(D1714&lt;&gt;"",E1714&lt;&gt;"",ISNA(MATCH(D1714&amp;"|"&amp;E1714,catClave,0))),"⚠ Subcategoría no corresponde",IF(AND(OR(P1714="Transferencia",P1714="Pago tarjeta"),K1714=""),"⚠ Falta cuenta destino",IF(AND(K1714&lt;&gt;"",P1714&lt;&gt;"Transferencia",P1714&lt;&gt;"Pago tarjeta"),"⚠ Destino solo aplica a transferencias",IF(AND(K1714&lt;&gt;"",K1714=Q1714),"⚠ Origen igual a destino",IF(AND(K1714&lt;&gt;"",ISNA(MATCH(K1714,ctaNombre,0))),"⚠ Destino no registrado",IF(AND(P1714="Pago tarjeta",AE1714&lt;&gt;"Tarjeta de crédito"),"⚠ El destino debe ser tarjeta de crédito",IF(AND(P1714="Gasto",E1714="Depósitos y retiros"),"⚠ Usa tipo Transferencia",IF(AND(P1714="Resultado trading",AD1714&lt;&gt;"Cuenta de trading"),"⚠ Usa una cuenta de trading",IF(AND(G1714&lt;=0,P1714&lt;&gt;"Ajuste",P1714&lt;&gt;"Resultado trading"),"⚠ El monto debe ser positivo","✓")))))))))))))))</f>
        <v/>
      </c>
      <c r="P1714" s="52">
        <f>IF(OR(B1714="",G1714=""),"",IF(C1714="","Gasto",C1714))</f>
        <v/>
      </c>
      <c r="Q1714" s="52">
        <f>IF(P1714="","",IF(J1714&lt;&gt;"",J1714,CuentaPred&amp;""))</f>
        <v/>
      </c>
      <c r="R1714" s="52">
        <f>IF(P1714="","",IF(ISNUMBER(I1714),I1714,TasaUSD))</f>
        <v/>
      </c>
      <c r="S1714" s="53">
        <f>IF(P1714="","",IF(H1714="USD",G1714*R1714,G1714))</f>
        <v/>
      </c>
      <c r="T1714" s="53">
        <f>IF(P1714="","",IF(H1714="USD",G1714,IF(R1714&gt;0,G1714/R1714,0)))</f>
        <v/>
      </c>
      <c r="U1714" s="53">
        <f>IF(P1714="","",IF(P1714="Gasto",S1714,IF(P1714="Reembolso",-S1714,0)))</f>
        <v/>
      </c>
      <c r="V1714" s="53">
        <f>IF(P1714="","",IF(P1714="Ingreso",S1714,0))</f>
        <v/>
      </c>
      <c r="W1714" s="53">
        <f>IF(P1714="","",IF(P1714="Resultado trading",S1714,0))</f>
        <v/>
      </c>
      <c r="X1714" s="52">
        <f>IF(OR(P1714="Gasto",P1714="Reembolso"),IF(M1714&lt;&gt;"",M1714,IFERROR(INDEX(catClasif,MATCH(D1714&amp;"|"&amp;E1714,catClave,0))&amp;"","Variable")),"")</f>
        <v/>
      </c>
      <c r="Y1714" s="52">
        <f>IF(P1714="","",IFERROR(INDEX(catGrupo,MATCH(D1714&amp;"|"&amp;E1714,catClave,0))&amp;"",""))</f>
        <v/>
      </c>
      <c r="Z1714" s="52">
        <f>IF(P1714="","",WEEKDAY(B1714,2))</f>
        <v/>
      </c>
      <c r="AA1714" s="52">
        <f>IF(P1714="","",IF(AND(P1714="Gasto",X1714="Variable",D1714&lt;&gt;catTrading,S1714&gt;0,S1714&lt;=Umbral),1,0))</f>
        <v/>
      </c>
      <c r="AB1714" s="52">
        <f>IF(OR(P1714="",Q1714=""),"",IFERROR(IF(INDEX(ctaVinc,MATCH(Q1714,ctaNombre,0))&amp;""&lt;&gt;"",INDEX(ctaVinc,MATCH(Q1714,ctaNombre,0))&amp;"",Q1714),Q1714))</f>
        <v/>
      </c>
      <c r="AC1714" s="52">
        <f>IF(OR(K1714="",AND(P1714&lt;&gt;"Transferencia",P1714&lt;&gt;"Pago tarjeta")),"",IFERROR(IF(INDEX(ctaVinc,MATCH(K1714,ctaNombre,0))&amp;""&lt;&gt;"",INDEX(ctaVinc,MATCH(K1714,ctaNombre,0))&amp;"",K1714),K1714))</f>
        <v/>
      </c>
      <c r="AD1714" s="52">
        <f>IF(AB1714="","",IFERROR(INDEX(ctaTipo,MATCH(AB1714,ctaNombre,0))&amp;"",""))</f>
        <v/>
      </c>
      <c r="AE1714" s="52">
        <f>IF(AC1714="","",IFERROR(INDEX(ctaTipo,MATCH(AC1714,ctaNombre,0))&amp;"",""))</f>
        <v/>
      </c>
      <c r="AF1714" s="53">
        <f>IF(OR(P1714="",AB1714=""),"",IF(OR(P1714="Gasto",P1714="Transferencia",P1714="Pago tarjeta"),-1,1)*IF(IFERROR(INDEX(ctaMoneda,MATCH(AB1714,ctaNombre,0))&amp;"","DOP")="USD",T1714,S1714))</f>
        <v/>
      </c>
      <c r="AG1714" s="53">
        <f>IF(AC1714="","",IF(IFERROR(INDEX(ctaMoneda,MATCH(AC1714,ctaNombre,0))&amp;"","DOP")="USD",T1714,S1714))</f>
        <v/>
      </c>
      <c r="AH1714" s="53">
        <f>IF(P1714="","",IF(AND(AD1714&lt;&gt;"",COUNTIFS(tcTipo,AD1714,tcLiq,"Sí")&gt;0),IF(OR(P1714="Gasto",P1714="Transferencia",P1714="Pago tarjeta"),-1,1)*S1714,0)+IF(AND(AE1714&lt;&gt;"",COUNTIFS(tcTipo,AE1714,tcLiq,"Sí")&gt;0),S1714,0))</f>
        <v/>
      </c>
      <c r="AI1714" s="52">
        <f>IF(OR(L1714="",P1714=""),"",IF(COUNTIFS(L$6:L1714,L1714,P$6:P1714,"?*")=1,MAX(AI$5:AI1713)+1,""))</f>
        <v/>
      </c>
    </row>
    <row r="1715">
      <c r="B1715" s="47" t="n"/>
      <c r="C1715" s="48" t="n"/>
      <c r="D1715" s="48" t="n"/>
      <c r="E1715" s="48" t="n"/>
      <c r="F1715" s="48" t="n"/>
      <c r="G1715" s="49" t="n"/>
      <c r="H1715" s="48" t="n"/>
      <c r="I1715" s="50" t="n"/>
      <c r="J1715" s="48" t="n"/>
      <c r="K1715" s="48" t="n"/>
      <c r="L1715" s="48" t="n"/>
      <c r="M1715" s="48" t="n"/>
      <c r="N1715" s="48" t="n"/>
      <c r="O1715" s="51">
        <f>IF(AND(B1715="",G1715="",C1715="",D1715="",J1715=""),"",IF(B1715="","⚠ Falta fecha",IF(G1715="","⚠ Falta monto",IF(Q1715="","⚠ Falta cuenta",IF(ISNA(MATCH(Q1715,ctaNombre,0)),"⚠ Cuenta no registrada",IF(AND(OR(P1715="Gasto",P1715="Reembolso"),D1715=""),"⚠ Falta categoría",IF(AND(D1715&lt;&gt;"",E1715&lt;&gt;"",ISNA(MATCH(D1715&amp;"|"&amp;E1715,catClave,0))),"⚠ Subcategoría no corresponde",IF(AND(OR(P1715="Transferencia",P1715="Pago tarjeta"),K1715=""),"⚠ Falta cuenta destino",IF(AND(K1715&lt;&gt;"",P1715&lt;&gt;"Transferencia",P1715&lt;&gt;"Pago tarjeta"),"⚠ Destino solo aplica a transferencias",IF(AND(K1715&lt;&gt;"",K1715=Q1715),"⚠ Origen igual a destino",IF(AND(K1715&lt;&gt;"",ISNA(MATCH(K1715,ctaNombre,0))),"⚠ Destino no registrado",IF(AND(P1715="Pago tarjeta",AE1715&lt;&gt;"Tarjeta de crédito"),"⚠ El destino debe ser tarjeta de crédito",IF(AND(P1715="Gasto",E1715="Depósitos y retiros"),"⚠ Usa tipo Transferencia",IF(AND(P1715="Resultado trading",AD1715&lt;&gt;"Cuenta de trading"),"⚠ Usa una cuenta de trading",IF(AND(G1715&lt;=0,P1715&lt;&gt;"Ajuste",P1715&lt;&gt;"Resultado trading"),"⚠ El monto debe ser positivo","✓")))))))))))))))</f>
        <v/>
      </c>
      <c r="P1715" s="52">
        <f>IF(OR(B1715="",G1715=""),"",IF(C1715="","Gasto",C1715))</f>
        <v/>
      </c>
      <c r="Q1715" s="52">
        <f>IF(P1715="","",IF(J1715&lt;&gt;"",J1715,CuentaPred&amp;""))</f>
        <v/>
      </c>
      <c r="R1715" s="52">
        <f>IF(P1715="","",IF(ISNUMBER(I1715),I1715,TasaUSD))</f>
        <v/>
      </c>
      <c r="S1715" s="53">
        <f>IF(P1715="","",IF(H1715="USD",G1715*R1715,G1715))</f>
        <v/>
      </c>
      <c r="T1715" s="53">
        <f>IF(P1715="","",IF(H1715="USD",G1715,IF(R1715&gt;0,G1715/R1715,0)))</f>
        <v/>
      </c>
      <c r="U1715" s="53">
        <f>IF(P1715="","",IF(P1715="Gasto",S1715,IF(P1715="Reembolso",-S1715,0)))</f>
        <v/>
      </c>
      <c r="V1715" s="53">
        <f>IF(P1715="","",IF(P1715="Ingreso",S1715,0))</f>
        <v/>
      </c>
      <c r="W1715" s="53">
        <f>IF(P1715="","",IF(P1715="Resultado trading",S1715,0))</f>
        <v/>
      </c>
      <c r="X1715" s="52">
        <f>IF(OR(P1715="Gasto",P1715="Reembolso"),IF(M1715&lt;&gt;"",M1715,IFERROR(INDEX(catClasif,MATCH(D1715&amp;"|"&amp;E1715,catClave,0))&amp;"","Variable")),"")</f>
        <v/>
      </c>
      <c r="Y1715" s="52">
        <f>IF(P1715="","",IFERROR(INDEX(catGrupo,MATCH(D1715&amp;"|"&amp;E1715,catClave,0))&amp;"",""))</f>
        <v/>
      </c>
      <c r="Z1715" s="52">
        <f>IF(P1715="","",WEEKDAY(B1715,2))</f>
        <v/>
      </c>
      <c r="AA1715" s="52">
        <f>IF(P1715="","",IF(AND(P1715="Gasto",X1715="Variable",D1715&lt;&gt;catTrading,S1715&gt;0,S1715&lt;=Umbral),1,0))</f>
        <v/>
      </c>
      <c r="AB1715" s="52">
        <f>IF(OR(P1715="",Q1715=""),"",IFERROR(IF(INDEX(ctaVinc,MATCH(Q1715,ctaNombre,0))&amp;""&lt;&gt;"",INDEX(ctaVinc,MATCH(Q1715,ctaNombre,0))&amp;"",Q1715),Q1715))</f>
        <v/>
      </c>
      <c r="AC1715" s="52">
        <f>IF(OR(K1715="",AND(P1715&lt;&gt;"Transferencia",P1715&lt;&gt;"Pago tarjeta")),"",IFERROR(IF(INDEX(ctaVinc,MATCH(K1715,ctaNombre,0))&amp;""&lt;&gt;"",INDEX(ctaVinc,MATCH(K1715,ctaNombre,0))&amp;"",K1715),K1715))</f>
        <v/>
      </c>
      <c r="AD1715" s="52">
        <f>IF(AB1715="","",IFERROR(INDEX(ctaTipo,MATCH(AB1715,ctaNombre,0))&amp;"",""))</f>
        <v/>
      </c>
      <c r="AE1715" s="52">
        <f>IF(AC1715="","",IFERROR(INDEX(ctaTipo,MATCH(AC1715,ctaNombre,0))&amp;"",""))</f>
        <v/>
      </c>
      <c r="AF1715" s="53">
        <f>IF(OR(P1715="",AB1715=""),"",IF(OR(P1715="Gasto",P1715="Transferencia",P1715="Pago tarjeta"),-1,1)*IF(IFERROR(INDEX(ctaMoneda,MATCH(AB1715,ctaNombre,0))&amp;"","DOP")="USD",T1715,S1715))</f>
        <v/>
      </c>
      <c r="AG1715" s="53">
        <f>IF(AC1715="","",IF(IFERROR(INDEX(ctaMoneda,MATCH(AC1715,ctaNombre,0))&amp;"","DOP")="USD",T1715,S1715))</f>
        <v/>
      </c>
      <c r="AH1715" s="53">
        <f>IF(P1715="","",IF(AND(AD1715&lt;&gt;"",COUNTIFS(tcTipo,AD1715,tcLiq,"Sí")&gt;0),IF(OR(P1715="Gasto",P1715="Transferencia",P1715="Pago tarjeta"),-1,1)*S1715,0)+IF(AND(AE1715&lt;&gt;"",COUNTIFS(tcTipo,AE1715,tcLiq,"Sí")&gt;0),S1715,0))</f>
        <v/>
      </c>
      <c r="AI1715" s="52">
        <f>IF(OR(L1715="",P1715=""),"",IF(COUNTIFS(L$6:L1715,L1715,P$6:P1715,"?*")=1,MAX(AI$5:AI1714)+1,""))</f>
        <v/>
      </c>
    </row>
    <row r="1716">
      <c r="B1716" s="47" t="n"/>
      <c r="C1716" s="48" t="n"/>
      <c r="D1716" s="48" t="n"/>
      <c r="E1716" s="48" t="n"/>
      <c r="F1716" s="48" t="n"/>
      <c r="G1716" s="49" t="n"/>
      <c r="H1716" s="48" t="n"/>
      <c r="I1716" s="50" t="n"/>
      <c r="J1716" s="48" t="n"/>
      <c r="K1716" s="48" t="n"/>
      <c r="L1716" s="48" t="n"/>
      <c r="M1716" s="48" t="n"/>
      <c r="N1716" s="48" t="n"/>
      <c r="O1716" s="51">
        <f>IF(AND(B1716="",G1716="",C1716="",D1716="",J1716=""),"",IF(B1716="","⚠ Falta fecha",IF(G1716="","⚠ Falta monto",IF(Q1716="","⚠ Falta cuenta",IF(ISNA(MATCH(Q1716,ctaNombre,0)),"⚠ Cuenta no registrada",IF(AND(OR(P1716="Gasto",P1716="Reembolso"),D1716=""),"⚠ Falta categoría",IF(AND(D1716&lt;&gt;"",E1716&lt;&gt;"",ISNA(MATCH(D1716&amp;"|"&amp;E1716,catClave,0))),"⚠ Subcategoría no corresponde",IF(AND(OR(P1716="Transferencia",P1716="Pago tarjeta"),K1716=""),"⚠ Falta cuenta destino",IF(AND(K1716&lt;&gt;"",P1716&lt;&gt;"Transferencia",P1716&lt;&gt;"Pago tarjeta"),"⚠ Destino solo aplica a transferencias",IF(AND(K1716&lt;&gt;"",K1716=Q1716),"⚠ Origen igual a destino",IF(AND(K1716&lt;&gt;"",ISNA(MATCH(K1716,ctaNombre,0))),"⚠ Destino no registrado",IF(AND(P1716="Pago tarjeta",AE1716&lt;&gt;"Tarjeta de crédito"),"⚠ El destino debe ser tarjeta de crédito",IF(AND(P1716="Gasto",E1716="Depósitos y retiros"),"⚠ Usa tipo Transferencia",IF(AND(P1716="Resultado trading",AD1716&lt;&gt;"Cuenta de trading"),"⚠ Usa una cuenta de trading",IF(AND(G1716&lt;=0,P1716&lt;&gt;"Ajuste",P1716&lt;&gt;"Resultado trading"),"⚠ El monto debe ser positivo","✓")))))))))))))))</f>
        <v/>
      </c>
      <c r="P1716" s="52">
        <f>IF(OR(B1716="",G1716=""),"",IF(C1716="","Gasto",C1716))</f>
        <v/>
      </c>
      <c r="Q1716" s="52">
        <f>IF(P1716="","",IF(J1716&lt;&gt;"",J1716,CuentaPred&amp;""))</f>
        <v/>
      </c>
      <c r="R1716" s="52">
        <f>IF(P1716="","",IF(ISNUMBER(I1716),I1716,TasaUSD))</f>
        <v/>
      </c>
      <c r="S1716" s="53">
        <f>IF(P1716="","",IF(H1716="USD",G1716*R1716,G1716))</f>
        <v/>
      </c>
      <c r="T1716" s="53">
        <f>IF(P1716="","",IF(H1716="USD",G1716,IF(R1716&gt;0,G1716/R1716,0)))</f>
        <v/>
      </c>
      <c r="U1716" s="53">
        <f>IF(P1716="","",IF(P1716="Gasto",S1716,IF(P1716="Reembolso",-S1716,0)))</f>
        <v/>
      </c>
      <c r="V1716" s="53">
        <f>IF(P1716="","",IF(P1716="Ingreso",S1716,0))</f>
        <v/>
      </c>
      <c r="W1716" s="53">
        <f>IF(P1716="","",IF(P1716="Resultado trading",S1716,0))</f>
        <v/>
      </c>
      <c r="X1716" s="52">
        <f>IF(OR(P1716="Gasto",P1716="Reembolso"),IF(M1716&lt;&gt;"",M1716,IFERROR(INDEX(catClasif,MATCH(D1716&amp;"|"&amp;E1716,catClave,0))&amp;"","Variable")),"")</f>
        <v/>
      </c>
      <c r="Y1716" s="52">
        <f>IF(P1716="","",IFERROR(INDEX(catGrupo,MATCH(D1716&amp;"|"&amp;E1716,catClave,0))&amp;"",""))</f>
        <v/>
      </c>
      <c r="Z1716" s="52">
        <f>IF(P1716="","",WEEKDAY(B1716,2))</f>
        <v/>
      </c>
      <c r="AA1716" s="52">
        <f>IF(P1716="","",IF(AND(P1716="Gasto",X1716="Variable",D1716&lt;&gt;catTrading,S1716&gt;0,S1716&lt;=Umbral),1,0))</f>
        <v/>
      </c>
      <c r="AB1716" s="52">
        <f>IF(OR(P1716="",Q1716=""),"",IFERROR(IF(INDEX(ctaVinc,MATCH(Q1716,ctaNombre,0))&amp;""&lt;&gt;"",INDEX(ctaVinc,MATCH(Q1716,ctaNombre,0))&amp;"",Q1716),Q1716))</f>
        <v/>
      </c>
      <c r="AC1716" s="52">
        <f>IF(OR(K1716="",AND(P1716&lt;&gt;"Transferencia",P1716&lt;&gt;"Pago tarjeta")),"",IFERROR(IF(INDEX(ctaVinc,MATCH(K1716,ctaNombre,0))&amp;""&lt;&gt;"",INDEX(ctaVinc,MATCH(K1716,ctaNombre,0))&amp;"",K1716),K1716))</f>
        <v/>
      </c>
      <c r="AD1716" s="52">
        <f>IF(AB1716="","",IFERROR(INDEX(ctaTipo,MATCH(AB1716,ctaNombre,0))&amp;"",""))</f>
        <v/>
      </c>
      <c r="AE1716" s="52">
        <f>IF(AC1716="","",IFERROR(INDEX(ctaTipo,MATCH(AC1716,ctaNombre,0))&amp;"",""))</f>
        <v/>
      </c>
      <c r="AF1716" s="53">
        <f>IF(OR(P1716="",AB1716=""),"",IF(OR(P1716="Gasto",P1716="Transferencia",P1716="Pago tarjeta"),-1,1)*IF(IFERROR(INDEX(ctaMoneda,MATCH(AB1716,ctaNombre,0))&amp;"","DOP")="USD",T1716,S1716))</f>
        <v/>
      </c>
      <c r="AG1716" s="53">
        <f>IF(AC1716="","",IF(IFERROR(INDEX(ctaMoneda,MATCH(AC1716,ctaNombre,0))&amp;"","DOP")="USD",T1716,S1716))</f>
        <v/>
      </c>
      <c r="AH1716" s="53">
        <f>IF(P1716="","",IF(AND(AD1716&lt;&gt;"",COUNTIFS(tcTipo,AD1716,tcLiq,"Sí")&gt;0),IF(OR(P1716="Gasto",P1716="Transferencia",P1716="Pago tarjeta"),-1,1)*S1716,0)+IF(AND(AE1716&lt;&gt;"",COUNTIFS(tcTipo,AE1716,tcLiq,"Sí")&gt;0),S1716,0))</f>
        <v/>
      </c>
      <c r="AI1716" s="52">
        <f>IF(OR(L1716="",P1716=""),"",IF(COUNTIFS(L$6:L1716,L1716,P$6:P1716,"?*")=1,MAX(AI$5:AI1715)+1,""))</f>
        <v/>
      </c>
    </row>
    <row r="1717">
      <c r="B1717" s="47" t="n"/>
      <c r="C1717" s="48" t="n"/>
      <c r="D1717" s="48" t="n"/>
      <c r="E1717" s="48" t="n"/>
      <c r="F1717" s="48" t="n"/>
      <c r="G1717" s="49" t="n"/>
      <c r="H1717" s="48" t="n"/>
      <c r="I1717" s="50" t="n"/>
      <c r="J1717" s="48" t="n"/>
      <c r="K1717" s="48" t="n"/>
      <c r="L1717" s="48" t="n"/>
      <c r="M1717" s="48" t="n"/>
      <c r="N1717" s="48" t="n"/>
      <c r="O1717" s="51">
        <f>IF(AND(B1717="",G1717="",C1717="",D1717="",J1717=""),"",IF(B1717="","⚠ Falta fecha",IF(G1717="","⚠ Falta monto",IF(Q1717="","⚠ Falta cuenta",IF(ISNA(MATCH(Q1717,ctaNombre,0)),"⚠ Cuenta no registrada",IF(AND(OR(P1717="Gasto",P1717="Reembolso"),D1717=""),"⚠ Falta categoría",IF(AND(D1717&lt;&gt;"",E1717&lt;&gt;"",ISNA(MATCH(D1717&amp;"|"&amp;E1717,catClave,0))),"⚠ Subcategoría no corresponde",IF(AND(OR(P1717="Transferencia",P1717="Pago tarjeta"),K1717=""),"⚠ Falta cuenta destino",IF(AND(K1717&lt;&gt;"",P1717&lt;&gt;"Transferencia",P1717&lt;&gt;"Pago tarjeta"),"⚠ Destino solo aplica a transferencias",IF(AND(K1717&lt;&gt;"",K1717=Q1717),"⚠ Origen igual a destino",IF(AND(K1717&lt;&gt;"",ISNA(MATCH(K1717,ctaNombre,0))),"⚠ Destino no registrado",IF(AND(P1717="Pago tarjeta",AE1717&lt;&gt;"Tarjeta de crédito"),"⚠ El destino debe ser tarjeta de crédito",IF(AND(P1717="Gasto",E1717="Depósitos y retiros"),"⚠ Usa tipo Transferencia",IF(AND(P1717="Resultado trading",AD1717&lt;&gt;"Cuenta de trading"),"⚠ Usa una cuenta de trading",IF(AND(G1717&lt;=0,P1717&lt;&gt;"Ajuste",P1717&lt;&gt;"Resultado trading"),"⚠ El monto debe ser positivo","✓")))))))))))))))</f>
        <v/>
      </c>
      <c r="P1717" s="52">
        <f>IF(OR(B1717="",G1717=""),"",IF(C1717="","Gasto",C1717))</f>
        <v/>
      </c>
      <c r="Q1717" s="52">
        <f>IF(P1717="","",IF(J1717&lt;&gt;"",J1717,CuentaPred&amp;""))</f>
        <v/>
      </c>
      <c r="R1717" s="52">
        <f>IF(P1717="","",IF(ISNUMBER(I1717),I1717,TasaUSD))</f>
        <v/>
      </c>
      <c r="S1717" s="53">
        <f>IF(P1717="","",IF(H1717="USD",G1717*R1717,G1717))</f>
        <v/>
      </c>
      <c r="T1717" s="53">
        <f>IF(P1717="","",IF(H1717="USD",G1717,IF(R1717&gt;0,G1717/R1717,0)))</f>
        <v/>
      </c>
      <c r="U1717" s="53">
        <f>IF(P1717="","",IF(P1717="Gasto",S1717,IF(P1717="Reembolso",-S1717,0)))</f>
        <v/>
      </c>
      <c r="V1717" s="53">
        <f>IF(P1717="","",IF(P1717="Ingreso",S1717,0))</f>
        <v/>
      </c>
      <c r="W1717" s="53">
        <f>IF(P1717="","",IF(P1717="Resultado trading",S1717,0))</f>
        <v/>
      </c>
      <c r="X1717" s="52">
        <f>IF(OR(P1717="Gasto",P1717="Reembolso"),IF(M1717&lt;&gt;"",M1717,IFERROR(INDEX(catClasif,MATCH(D1717&amp;"|"&amp;E1717,catClave,0))&amp;"","Variable")),"")</f>
        <v/>
      </c>
      <c r="Y1717" s="52">
        <f>IF(P1717="","",IFERROR(INDEX(catGrupo,MATCH(D1717&amp;"|"&amp;E1717,catClave,0))&amp;"",""))</f>
        <v/>
      </c>
      <c r="Z1717" s="52">
        <f>IF(P1717="","",WEEKDAY(B1717,2))</f>
        <v/>
      </c>
      <c r="AA1717" s="52">
        <f>IF(P1717="","",IF(AND(P1717="Gasto",X1717="Variable",D1717&lt;&gt;catTrading,S1717&gt;0,S1717&lt;=Umbral),1,0))</f>
        <v/>
      </c>
      <c r="AB1717" s="52">
        <f>IF(OR(P1717="",Q1717=""),"",IFERROR(IF(INDEX(ctaVinc,MATCH(Q1717,ctaNombre,0))&amp;""&lt;&gt;"",INDEX(ctaVinc,MATCH(Q1717,ctaNombre,0))&amp;"",Q1717),Q1717))</f>
        <v/>
      </c>
      <c r="AC1717" s="52">
        <f>IF(OR(K1717="",AND(P1717&lt;&gt;"Transferencia",P1717&lt;&gt;"Pago tarjeta")),"",IFERROR(IF(INDEX(ctaVinc,MATCH(K1717,ctaNombre,0))&amp;""&lt;&gt;"",INDEX(ctaVinc,MATCH(K1717,ctaNombre,0))&amp;"",K1717),K1717))</f>
        <v/>
      </c>
      <c r="AD1717" s="52">
        <f>IF(AB1717="","",IFERROR(INDEX(ctaTipo,MATCH(AB1717,ctaNombre,0))&amp;"",""))</f>
        <v/>
      </c>
      <c r="AE1717" s="52">
        <f>IF(AC1717="","",IFERROR(INDEX(ctaTipo,MATCH(AC1717,ctaNombre,0))&amp;"",""))</f>
        <v/>
      </c>
      <c r="AF1717" s="53">
        <f>IF(OR(P1717="",AB1717=""),"",IF(OR(P1717="Gasto",P1717="Transferencia",P1717="Pago tarjeta"),-1,1)*IF(IFERROR(INDEX(ctaMoneda,MATCH(AB1717,ctaNombre,0))&amp;"","DOP")="USD",T1717,S1717))</f>
        <v/>
      </c>
      <c r="AG1717" s="53">
        <f>IF(AC1717="","",IF(IFERROR(INDEX(ctaMoneda,MATCH(AC1717,ctaNombre,0))&amp;"","DOP")="USD",T1717,S1717))</f>
        <v/>
      </c>
      <c r="AH1717" s="53">
        <f>IF(P1717="","",IF(AND(AD1717&lt;&gt;"",COUNTIFS(tcTipo,AD1717,tcLiq,"Sí")&gt;0),IF(OR(P1717="Gasto",P1717="Transferencia",P1717="Pago tarjeta"),-1,1)*S1717,0)+IF(AND(AE1717&lt;&gt;"",COUNTIFS(tcTipo,AE1717,tcLiq,"Sí")&gt;0),S1717,0))</f>
        <v/>
      </c>
      <c r="AI1717" s="52">
        <f>IF(OR(L1717="",P1717=""),"",IF(COUNTIFS(L$6:L1717,L1717,P$6:P1717,"?*")=1,MAX(AI$5:AI1716)+1,""))</f>
        <v/>
      </c>
    </row>
    <row r="1718">
      <c r="B1718" s="47" t="n"/>
      <c r="C1718" s="48" t="n"/>
      <c r="D1718" s="48" t="n"/>
      <c r="E1718" s="48" t="n"/>
      <c r="F1718" s="48" t="n"/>
      <c r="G1718" s="49" t="n"/>
      <c r="H1718" s="48" t="n"/>
      <c r="I1718" s="50" t="n"/>
      <c r="J1718" s="48" t="n"/>
      <c r="K1718" s="48" t="n"/>
      <c r="L1718" s="48" t="n"/>
      <c r="M1718" s="48" t="n"/>
      <c r="N1718" s="48" t="n"/>
      <c r="O1718" s="51">
        <f>IF(AND(B1718="",G1718="",C1718="",D1718="",J1718=""),"",IF(B1718="","⚠ Falta fecha",IF(G1718="","⚠ Falta monto",IF(Q1718="","⚠ Falta cuenta",IF(ISNA(MATCH(Q1718,ctaNombre,0)),"⚠ Cuenta no registrada",IF(AND(OR(P1718="Gasto",P1718="Reembolso"),D1718=""),"⚠ Falta categoría",IF(AND(D1718&lt;&gt;"",E1718&lt;&gt;"",ISNA(MATCH(D1718&amp;"|"&amp;E1718,catClave,0))),"⚠ Subcategoría no corresponde",IF(AND(OR(P1718="Transferencia",P1718="Pago tarjeta"),K1718=""),"⚠ Falta cuenta destino",IF(AND(K1718&lt;&gt;"",P1718&lt;&gt;"Transferencia",P1718&lt;&gt;"Pago tarjeta"),"⚠ Destino solo aplica a transferencias",IF(AND(K1718&lt;&gt;"",K1718=Q1718),"⚠ Origen igual a destino",IF(AND(K1718&lt;&gt;"",ISNA(MATCH(K1718,ctaNombre,0))),"⚠ Destino no registrado",IF(AND(P1718="Pago tarjeta",AE1718&lt;&gt;"Tarjeta de crédito"),"⚠ El destino debe ser tarjeta de crédito",IF(AND(P1718="Gasto",E1718="Depósitos y retiros"),"⚠ Usa tipo Transferencia",IF(AND(P1718="Resultado trading",AD1718&lt;&gt;"Cuenta de trading"),"⚠ Usa una cuenta de trading",IF(AND(G1718&lt;=0,P1718&lt;&gt;"Ajuste",P1718&lt;&gt;"Resultado trading"),"⚠ El monto debe ser positivo","✓")))))))))))))))</f>
        <v/>
      </c>
      <c r="P1718" s="52">
        <f>IF(OR(B1718="",G1718=""),"",IF(C1718="","Gasto",C1718))</f>
        <v/>
      </c>
      <c r="Q1718" s="52">
        <f>IF(P1718="","",IF(J1718&lt;&gt;"",J1718,CuentaPred&amp;""))</f>
        <v/>
      </c>
      <c r="R1718" s="52">
        <f>IF(P1718="","",IF(ISNUMBER(I1718),I1718,TasaUSD))</f>
        <v/>
      </c>
      <c r="S1718" s="53">
        <f>IF(P1718="","",IF(H1718="USD",G1718*R1718,G1718))</f>
        <v/>
      </c>
      <c r="T1718" s="53">
        <f>IF(P1718="","",IF(H1718="USD",G1718,IF(R1718&gt;0,G1718/R1718,0)))</f>
        <v/>
      </c>
      <c r="U1718" s="53">
        <f>IF(P1718="","",IF(P1718="Gasto",S1718,IF(P1718="Reembolso",-S1718,0)))</f>
        <v/>
      </c>
      <c r="V1718" s="53">
        <f>IF(P1718="","",IF(P1718="Ingreso",S1718,0))</f>
        <v/>
      </c>
      <c r="W1718" s="53">
        <f>IF(P1718="","",IF(P1718="Resultado trading",S1718,0))</f>
        <v/>
      </c>
      <c r="X1718" s="52">
        <f>IF(OR(P1718="Gasto",P1718="Reembolso"),IF(M1718&lt;&gt;"",M1718,IFERROR(INDEX(catClasif,MATCH(D1718&amp;"|"&amp;E1718,catClave,0))&amp;"","Variable")),"")</f>
        <v/>
      </c>
      <c r="Y1718" s="52">
        <f>IF(P1718="","",IFERROR(INDEX(catGrupo,MATCH(D1718&amp;"|"&amp;E1718,catClave,0))&amp;"",""))</f>
        <v/>
      </c>
      <c r="Z1718" s="52">
        <f>IF(P1718="","",WEEKDAY(B1718,2))</f>
        <v/>
      </c>
      <c r="AA1718" s="52">
        <f>IF(P1718="","",IF(AND(P1718="Gasto",X1718="Variable",D1718&lt;&gt;catTrading,S1718&gt;0,S1718&lt;=Umbral),1,0))</f>
        <v/>
      </c>
      <c r="AB1718" s="52">
        <f>IF(OR(P1718="",Q1718=""),"",IFERROR(IF(INDEX(ctaVinc,MATCH(Q1718,ctaNombre,0))&amp;""&lt;&gt;"",INDEX(ctaVinc,MATCH(Q1718,ctaNombre,0))&amp;"",Q1718),Q1718))</f>
        <v/>
      </c>
      <c r="AC1718" s="52">
        <f>IF(OR(K1718="",AND(P1718&lt;&gt;"Transferencia",P1718&lt;&gt;"Pago tarjeta")),"",IFERROR(IF(INDEX(ctaVinc,MATCH(K1718,ctaNombre,0))&amp;""&lt;&gt;"",INDEX(ctaVinc,MATCH(K1718,ctaNombre,0))&amp;"",K1718),K1718))</f>
        <v/>
      </c>
      <c r="AD1718" s="52">
        <f>IF(AB1718="","",IFERROR(INDEX(ctaTipo,MATCH(AB1718,ctaNombre,0))&amp;"",""))</f>
        <v/>
      </c>
      <c r="AE1718" s="52">
        <f>IF(AC1718="","",IFERROR(INDEX(ctaTipo,MATCH(AC1718,ctaNombre,0))&amp;"",""))</f>
        <v/>
      </c>
      <c r="AF1718" s="53">
        <f>IF(OR(P1718="",AB1718=""),"",IF(OR(P1718="Gasto",P1718="Transferencia",P1718="Pago tarjeta"),-1,1)*IF(IFERROR(INDEX(ctaMoneda,MATCH(AB1718,ctaNombre,0))&amp;"","DOP")="USD",T1718,S1718))</f>
        <v/>
      </c>
      <c r="AG1718" s="53">
        <f>IF(AC1718="","",IF(IFERROR(INDEX(ctaMoneda,MATCH(AC1718,ctaNombre,0))&amp;"","DOP")="USD",T1718,S1718))</f>
        <v/>
      </c>
      <c r="AH1718" s="53">
        <f>IF(P1718="","",IF(AND(AD1718&lt;&gt;"",COUNTIFS(tcTipo,AD1718,tcLiq,"Sí")&gt;0),IF(OR(P1718="Gasto",P1718="Transferencia",P1718="Pago tarjeta"),-1,1)*S1718,0)+IF(AND(AE1718&lt;&gt;"",COUNTIFS(tcTipo,AE1718,tcLiq,"Sí")&gt;0),S1718,0))</f>
        <v/>
      </c>
      <c r="AI1718" s="52">
        <f>IF(OR(L1718="",P1718=""),"",IF(COUNTIFS(L$6:L1718,L1718,P$6:P1718,"?*")=1,MAX(AI$5:AI1717)+1,""))</f>
        <v/>
      </c>
    </row>
    <row r="1719">
      <c r="B1719" s="47" t="n"/>
      <c r="C1719" s="48" t="n"/>
      <c r="D1719" s="48" t="n"/>
      <c r="E1719" s="48" t="n"/>
      <c r="F1719" s="48" t="n"/>
      <c r="G1719" s="49" t="n"/>
      <c r="H1719" s="48" t="n"/>
      <c r="I1719" s="50" t="n"/>
      <c r="J1719" s="48" t="n"/>
      <c r="K1719" s="48" t="n"/>
      <c r="L1719" s="48" t="n"/>
      <c r="M1719" s="48" t="n"/>
      <c r="N1719" s="48" t="n"/>
      <c r="O1719" s="51">
        <f>IF(AND(B1719="",G1719="",C1719="",D1719="",J1719=""),"",IF(B1719="","⚠ Falta fecha",IF(G1719="","⚠ Falta monto",IF(Q1719="","⚠ Falta cuenta",IF(ISNA(MATCH(Q1719,ctaNombre,0)),"⚠ Cuenta no registrada",IF(AND(OR(P1719="Gasto",P1719="Reembolso"),D1719=""),"⚠ Falta categoría",IF(AND(D1719&lt;&gt;"",E1719&lt;&gt;"",ISNA(MATCH(D1719&amp;"|"&amp;E1719,catClave,0))),"⚠ Subcategoría no corresponde",IF(AND(OR(P1719="Transferencia",P1719="Pago tarjeta"),K1719=""),"⚠ Falta cuenta destino",IF(AND(K1719&lt;&gt;"",P1719&lt;&gt;"Transferencia",P1719&lt;&gt;"Pago tarjeta"),"⚠ Destino solo aplica a transferencias",IF(AND(K1719&lt;&gt;"",K1719=Q1719),"⚠ Origen igual a destino",IF(AND(K1719&lt;&gt;"",ISNA(MATCH(K1719,ctaNombre,0))),"⚠ Destino no registrado",IF(AND(P1719="Pago tarjeta",AE1719&lt;&gt;"Tarjeta de crédito"),"⚠ El destino debe ser tarjeta de crédito",IF(AND(P1719="Gasto",E1719="Depósitos y retiros"),"⚠ Usa tipo Transferencia",IF(AND(P1719="Resultado trading",AD1719&lt;&gt;"Cuenta de trading"),"⚠ Usa una cuenta de trading",IF(AND(G1719&lt;=0,P1719&lt;&gt;"Ajuste",P1719&lt;&gt;"Resultado trading"),"⚠ El monto debe ser positivo","✓")))))))))))))))</f>
        <v/>
      </c>
      <c r="P1719" s="52">
        <f>IF(OR(B1719="",G1719=""),"",IF(C1719="","Gasto",C1719))</f>
        <v/>
      </c>
      <c r="Q1719" s="52">
        <f>IF(P1719="","",IF(J1719&lt;&gt;"",J1719,CuentaPred&amp;""))</f>
        <v/>
      </c>
      <c r="R1719" s="52">
        <f>IF(P1719="","",IF(ISNUMBER(I1719),I1719,TasaUSD))</f>
        <v/>
      </c>
      <c r="S1719" s="53">
        <f>IF(P1719="","",IF(H1719="USD",G1719*R1719,G1719))</f>
        <v/>
      </c>
      <c r="T1719" s="53">
        <f>IF(P1719="","",IF(H1719="USD",G1719,IF(R1719&gt;0,G1719/R1719,0)))</f>
        <v/>
      </c>
      <c r="U1719" s="53">
        <f>IF(P1719="","",IF(P1719="Gasto",S1719,IF(P1719="Reembolso",-S1719,0)))</f>
        <v/>
      </c>
      <c r="V1719" s="53">
        <f>IF(P1719="","",IF(P1719="Ingreso",S1719,0))</f>
        <v/>
      </c>
      <c r="W1719" s="53">
        <f>IF(P1719="","",IF(P1719="Resultado trading",S1719,0))</f>
        <v/>
      </c>
      <c r="X1719" s="52">
        <f>IF(OR(P1719="Gasto",P1719="Reembolso"),IF(M1719&lt;&gt;"",M1719,IFERROR(INDEX(catClasif,MATCH(D1719&amp;"|"&amp;E1719,catClave,0))&amp;"","Variable")),"")</f>
        <v/>
      </c>
      <c r="Y1719" s="52">
        <f>IF(P1719="","",IFERROR(INDEX(catGrupo,MATCH(D1719&amp;"|"&amp;E1719,catClave,0))&amp;"",""))</f>
        <v/>
      </c>
      <c r="Z1719" s="52">
        <f>IF(P1719="","",WEEKDAY(B1719,2))</f>
        <v/>
      </c>
      <c r="AA1719" s="52">
        <f>IF(P1719="","",IF(AND(P1719="Gasto",X1719="Variable",D1719&lt;&gt;catTrading,S1719&gt;0,S1719&lt;=Umbral),1,0))</f>
        <v/>
      </c>
      <c r="AB1719" s="52">
        <f>IF(OR(P1719="",Q1719=""),"",IFERROR(IF(INDEX(ctaVinc,MATCH(Q1719,ctaNombre,0))&amp;""&lt;&gt;"",INDEX(ctaVinc,MATCH(Q1719,ctaNombre,0))&amp;"",Q1719),Q1719))</f>
        <v/>
      </c>
      <c r="AC1719" s="52">
        <f>IF(OR(K1719="",AND(P1719&lt;&gt;"Transferencia",P1719&lt;&gt;"Pago tarjeta")),"",IFERROR(IF(INDEX(ctaVinc,MATCH(K1719,ctaNombre,0))&amp;""&lt;&gt;"",INDEX(ctaVinc,MATCH(K1719,ctaNombre,0))&amp;"",K1719),K1719))</f>
        <v/>
      </c>
      <c r="AD1719" s="52">
        <f>IF(AB1719="","",IFERROR(INDEX(ctaTipo,MATCH(AB1719,ctaNombre,0))&amp;"",""))</f>
        <v/>
      </c>
      <c r="AE1719" s="52">
        <f>IF(AC1719="","",IFERROR(INDEX(ctaTipo,MATCH(AC1719,ctaNombre,0))&amp;"",""))</f>
        <v/>
      </c>
      <c r="AF1719" s="53">
        <f>IF(OR(P1719="",AB1719=""),"",IF(OR(P1719="Gasto",P1719="Transferencia",P1719="Pago tarjeta"),-1,1)*IF(IFERROR(INDEX(ctaMoneda,MATCH(AB1719,ctaNombre,0))&amp;"","DOP")="USD",T1719,S1719))</f>
        <v/>
      </c>
      <c r="AG1719" s="53">
        <f>IF(AC1719="","",IF(IFERROR(INDEX(ctaMoneda,MATCH(AC1719,ctaNombre,0))&amp;"","DOP")="USD",T1719,S1719))</f>
        <v/>
      </c>
      <c r="AH1719" s="53">
        <f>IF(P1719="","",IF(AND(AD1719&lt;&gt;"",COUNTIFS(tcTipo,AD1719,tcLiq,"Sí")&gt;0),IF(OR(P1719="Gasto",P1719="Transferencia",P1719="Pago tarjeta"),-1,1)*S1719,0)+IF(AND(AE1719&lt;&gt;"",COUNTIFS(tcTipo,AE1719,tcLiq,"Sí")&gt;0),S1719,0))</f>
        <v/>
      </c>
      <c r="AI1719" s="52">
        <f>IF(OR(L1719="",P1719=""),"",IF(COUNTIFS(L$6:L1719,L1719,P$6:P1719,"?*")=1,MAX(AI$5:AI1718)+1,""))</f>
        <v/>
      </c>
    </row>
    <row r="1720">
      <c r="B1720" s="47" t="n"/>
      <c r="C1720" s="48" t="n"/>
      <c r="D1720" s="48" t="n"/>
      <c r="E1720" s="48" t="n"/>
      <c r="F1720" s="48" t="n"/>
      <c r="G1720" s="49" t="n"/>
      <c r="H1720" s="48" t="n"/>
      <c r="I1720" s="50" t="n"/>
      <c r="J1720" s="48" t="n"/>
      <c r="K1720" s="48" t="n"/>
      <c r="L1720" s="48" t="n"/>
      <c r="M1720" s="48" t="n"/>
      <c r="N1720" s="48" t="n"/>
      <c r="O1720" s="51">
        <f>IF(AND(B1720="",G1720="",C1720="",D1720="",J1720=""),"",IF(B1720="","⚠ Falta fecha",IF(G1720="","⚠ Falta monto",IF(Q1720="","⚠ Falta cuenta",IF(ISNA(MATCH(Q1720,ctaNombre,0)),"⚠ Cuenta no registrada",IF(AND(OR(P1720="Gasto",P1720="Reembolso"),D1720=""),"⚠ Falta categoría",IF(AND(D1720&lt;&gt;"",E1720&lt;&gt;"",ISNA(MATCH(D1720&amp;"|"&amp;E1720,catClave,0))),"⚠ Subcategoría no corresponde",IF(AND(OR(P1720="Transferencia",P1720="Pago tarjeta"),K1720=""),"⚠ Falta cuenta destino",IF(AND(K1720&lt;&gt;"",P1720&lt;&gt;"Transferencia",P1720&lt;&gt;"Pago tarjeta"),"⚠ Destino solo aplica a transferencias",IF(AND(K1720&lt;&gt;"",K1720=Q1720),"⚠ Origen igual a destino",IF(AND(K1720&lt;&gt;"",ISNA(MATCH(K1720,ctaNombre,0))),"⚠ Destino no registrado",IF(AND(P1720="Pago tarjeta",AE1720&lt;&gt;"Tarjeta de crédito"),"⚠ El destino debe ser tarjeta de crédito",IF(AND(P1720="Gasto",E1720="Depósitos y retiros"),"⚠ Usa tipo Transferencia",IF(AND(P1720="Resultado trading",AD1720&lt;&gt;"Cuenta de trading"),"⚠ Usa una cuenta de trading",IF(AND(G1720&lt;=0,P1720&lt;&gt;"Ajuste",P1720&lt;&gt;"Resultado trading"),"⚠ El monto debe ser positivo","✓")))))))))))))))</f>
        <v/>
      </c>
      <c r="P1720" s="52">
        <f>IF(OR(B1720="",G1720=""),"",IF(C1720="","Gasto",C1720))</f>
        <v/>
      </c>
      <c r="Q1720" s="52">
        <f>IF(P1720="","",IF(J1720&lt;&gt;"",J1720,CuentaPred&amp;""))</f>
        <v/>
      </c>
      <c r="R1720" s="52">
        <f>IF(P1720="","",IF(ISNUMBER(I1720),I1720,TasaUSD))</f>
        <v/>
      </c>
      <c r="S1720" s="53">
        <f>IF(P1720="","",IF(H1720="USD",G1720*R1720,G1720))</f>
        <v/>
      </c>
      <c r="T1720" s="53">
        <f>IF(P1720="","",IF(H1720="USD",G1720,IF(R1720&gt;0,G1720/R1720,0)))</f>
        <v/>
      </c>
      <c r="U1720" s="53">
        <f>IF(P1720="","",IF(P1720="Gasto",S1720,IF(P1720="Reembolso",-S1720,0)))</f>
        <v/>
      </c>
      <c r="V1720" s="53">
        <f>IF(P1720="","",IF(P1720="Ingreso",S1720,0))</f>
        <v/>
      </c>
      <c r="W1720" s="53">
        <f>IF(P1720="","",IF(P1720="Resultado trading",S1720,0))</f>
        <v/>
      </c>
      <c r="X1720" s="52">
        <f>IF(OR(P1720="Gasto",P1720="Reembolso"),IF(M1720&lt;&gt;"",M1720,IFERROR(INDEX(catClasif,MATCH(D1720&amp;"|"&amp;E1720,catClave,0))&amp;"","Variable")),"")</f>
        <v/>
      </c>
      <c r="Y1720" s="52">
        <f>IF(P1720="","",IFERROR(INDEX(catGrupo,MATCH(D1720&amp;"|"&amp;E1720,catClave,0))&amp;"",""))</f>
        <v/>
      </c>
      <c r="Z1720" s="52">
        <f>IF(P1720="","",WEEKDAY(B1720,2))</f>
        <v/>
      </c>
      <c r="AA1720" s="52">
        <f>IF(P1720="","",IF(AND(P1720="Gasto",X1720="Variable",D1720&lt;&gt;catTrading,S1720&gt;0,S1720&lt;=Umbral),1,0))</f>
        <v/>
      </c>
      <c r="AB1720" s="52">
        <f>IF(OR(P1720="",Q1720=""),"",IFERROR(IF(INDEX(ctaVinc,MATCH(Q1720,ctaNombre,0))&amp;""&lt;&gt;"",INDEX(ctaVinc,MATCH(Q1720,ctaNombre,0))&amp;"",Q1720),Q1720))</f>
        <v/>
      </c>
      <c r="AC1720" s="52">
        <f>IF(OR(K1720="",AND(P1720&lt;&gt;"Transferencia",P1720&lt;&gt;"Pago tarjeta")),"",IFERROR(IF(INDEX(ctaVinc,MATCH(K1720,ctaNombre,0))&amp;""&lt;&gt;"",INDEX(ctaVinc,MATCH(K1720,ctaNombre,0))&amp;"",K1720),K1720))</f>
        <v/>
      </c>
      <c r="AD1720" s="52">
        <f>IF(AB1720="","",IFERROR(INDEX(ctaTipo,MATCH(AB1720,ctaNombre,0))&amp;"",""))</f>
        <v/>
      </c>
      <c r="AE1720" s="52">
        <f>IF(AC1720="","",IFERROR(INDEX(ctaTipo,MATCH(AC1720,ctaNombre,0))&amp;"",""))</f>
        <v/>
      </c>
      <c r="AF1720" s="53">
        <f>IF(OR(P1720="",AB1720=""),"",IF(OR(P1720="Gasto",P1720="Transferencia",P1720="Pago tarjeta"),-1,1)*IF(IFERROR(INDEX(ctaMoneda,MATCH(AB1720,ctaNombre,0))&amp;"","DOP")="USD",T1720,S1720))</f>
        <v/>
      </c>
      <c r="AG1720" s="53">
        <f>IF(AC1720="","",IF(IFERROR(INDEX(ctaMoneda,MATCH(AC1720,ctaNombre,0))&amp;"","DOP")="USD",T1720,S1720))</f>
        <v/>
      </c>
      <c r="AH1720" s="53">
        <f>IF(P1720="","",IF(AND(AD1720&lt;&gt;"",COUNTIFS(tcTipo,AD1720,tcLiq,"Sí")&gt;0),IF(OR(P1720="Gasto",P1720="Transferencia",P1720="Pago tarjeta"),-1,1)*S1720,0)+IF(AND(AE1720&lt;&gt;"",COUNTIFS(tcTipo,AE1720,tcLiq,"Sí")&gt;0),S1720,0))</f>
        <v/>
      </c>
      <c r="AI1720" s="52">
        <f>IF(OR(L1720="",P1720=""),"",IF(COUNTIFS(L$6:L1720,L1720,P$6:P1720,"?*")=1,MAX(AI$5:AI1719)+1,""))</f>
        <v/>
      </c>
    </row>
    <row r="1721">
      <c r="B1721" s="47" t="n"/>
      <c r="C1721" s="48" t="n"/>
      <c r="D1721" s="48" t="n"/>
      <c r="E1721" s="48" t="n"/>
      <c r="F1721" s="48" t="n"/>
      <c r="G1721" s="49" t="n"/>
      <c r="H1721" s="48" t="n"/>
      <c r="I1721" s="50" t="n"/>
      <c r="J1721" s="48" t="n"/>
      <c r="K1721" s="48" t="n"/>
      <c r="L1721" s="48" t="n"/>
      <c r="M1721" s="48" t="n"/>
      <c r="N1721" s="48" t="n"/>
      <c r="O1721" s="51">
        <f>IF(AND(B1721="",G1721="",C1721="",D1721="",J1721=""),"",IF(B1721="","⚠ Falta fecha",IF(G1721="","⚠ Falta monto",IF(Q1721="","⚠ Falta cuenta",IF(ISNA(MATCH(Q1721,ctaNombre,0)),"⚠ Cuenta no registrada",IF(AND(OR(P1721="Gasto",P1721="Reembolso"),D1721=""),"⚠ Falta categoría",IF(AND(D1721&lt;&gt;"",E1721&lt;&gt;"",ISNA(MATCH(D1721&amp;"|"&amp;E1721,catClave,0))),"⚠ Subcategoría no corresponde",IF(AND(OR(P1721="Transferencia",P1721="Pago tarjeta"),K1721=""),"⚠ Falta cuenta destino",IF(AND(K1721&lt;&gt;"",P1721&lt;&gt;"Transferencia",P1721&lt;&gt;"Pago tarjeta"),"⚠ Destino solo aplica a transferencias",IF(AND(K1721&lt;&gt;"",K1721=Q1721),"⚠ Origen igual a destino",IF(AND(K1721&lt;&gt;"",ISNA(MATCH(K1721,ctaNombre,0))),"⚠ Destino no registrado",IF(AND(P1721="Pago tarjeta",AE1721&lt;&gt;"Tarjeta de crédito"),"⚠ El destino debe ser tarjeta de crédito",IF(AND(P1721="Gasto",E1721="Depósitos y retiros"),"⚠ Usa tipo Transferencia",IF(AND(P1721="Resultado trading",AD1721&lt;&gt;"Cuenta de trading"),"⚠ Usa una cuenta de trading",IF(AND(G1721&lt;=0,P1721&lt;&gt;"Ajuste",P1721&lt;&gt;"Resultado trading"),"⚠ El monto debe ser positivo","✓")))))))))))))))</f>
        <v/>
      </c>
      <c r="P1721" s="52">
        <f>IF(OR(B1721="",G1721=""),"",IF(C1721="","Gasto",C1721))</f>
        <v/>
      </c>
      <c r="Q1721" s="52">
        <f>IF(P1721="","",IF(J1721&lt;&gt;"",J1721,CuentaPred&amp;""))</f>
        <v/>
      </c>
      <c r="R1721" s="52">
        <f>IF(P1721="","",IF(ISNUMBER(I1721),I1721,TasaUSD))</f>
        <v/>
      </c>
      <c r="S1721" s="53">
        <f>IF(P1721="","",IF(H1721="USD",G1721*R1721,G1721))</f>
        <v/>
      </c>
      <c r="T1721" s="53">
        <f>IF(P1721="","",IF(H1721="USD",G1721,IF(R1721&gt;0,G1721/R1721,0)))</f>
        <v/>
      </c>
      <c r="U1721" s="53">
        <f>IF(P1721="","",IF(P1721="Gasto",S1721,IF(P1721="Reembolso",-S1721,0)))</f>
        <v/>
      </c>
      <c r="V1721" s="53">
        <f>IF(P1721="","",IF(P1721="Ingreso",S1721,0))</f>
        <v/>
      </c>
      <c r="W1721" s="53">
        <f>IF(P1721="","",IF(P1721="Resultado trading",S1721,0))</f>
        <v/>
      </c>
      <c r="X1721" s="52">
        <f>IF(OR(P1721="Gasto",P1721="Reembolso"),IF(M1721&lt;&gt;"",M1721,IFERROR(INDEX(catClasif,MATCH(D1721&amp;"|"&amp;E1721,catClave,0))&amp;"","Variable")),"")</f>
        <v/>
      </c>
      <c r="Y1721" s="52">
        <f>IF(P1721="","",IFERROR(INDEX(catGrupo,MATCH(D1721&amp;"|"&amp;E1721,catClave,0))&amp;"",""))</f>
        <v/>
      </c>
      <c r="Z1721" s="52">
        <f>IF(P1721="","",WEEKDAY(B1721,2))</f>
        <v/>
      </c>
      <c r="AA1721" s="52">
        <f>IF(P1721="","",IF(AND(P1721="Gasto",X1721="Variable",D1721&lt;&gt;catTrading,S1721&gt;0,S1721&lt;=Umbral),1,0))</f>
        <v/>
      </c>
      <c r="AB1721" s="52">
        <f>IF(OR(P1721="",Q1721=""),"",IFERROR(IF(INDEX(ctaVinc,MATCH(Q1721,ctaNombre,0))&amp;""&lt;&gt;"",INDEX(ctaVinc,MATCH(Q1721,ctaNombre,0))&amp;"",Q1721),Q1721))</f>
        <v/>
      </c>
      <c r="AC1721" s="52">
        <f>IF(OR(K1721="",AND(P1721&lt;&gt;"Transferencia",P1721&lt;&gt;"Pago tarjeta")),"",IFERROR(IF(INDEX(ctaVinc,MATCH(K1721,ctaNombre,0))&amp;""&lt;&gt;"",INDEX(ctaVinc,MATCH(K1721,ctaNombre,0))&amp;"",K1721),K1721))</f>
        <v/>
      </c>
      <c r="AD1721" s="52">
        <f>IF(AB1721="","",IFERROR(INDEX(ctaTipo,MATCH(AB1721,ctaNombre,0))&amp;"",""))</f>
        <v/>
      </c>
      <c r="AE1721" s="52">
        <f>IF(AC1721="","",IFERROR(INDEX(ctaTipo,MATCH(AC1721,ctaNombre,0))&amp;"",""))</f>
        <v/>
      </c>
      <c r="AF1721" s="53">
        <f>IF(OR(P1721="",AB1721=""),"",IF(OR(P1721="Gasto",P1721="Transferencia",P1721="Pago tarjeta"),-1,1)*IF(IFERROR(INDEX(ctaMoneda,MATCH(AB1721,ctaNombre,0))&amp;"","DOP")="USD",T1721,S1721))</f>
        <v/>
      </c>
      <c r="AG1721" s="53">
        <f>IF(AC1721="","",IF(IFERROR(INDEX(ctaMoneda,MATCH(AC1721,ctaNombre,0))&amp;"","DOP")="USD",T1721,S1721))</f>
        <v/>
      </c>
      <c r="AH1721" s="53">
        <f>IF(P1721="","",IF(AND(AD1721&lt;&gt;"",COUNTIFS(tcTipo,AD1721,tcLiq,"Sí")&gt;0),IF(OR(P1721="Gasto",P1721="Transferencia",P1721="Pago tarjeta"),-1,1)*S1721,0)+IF(AND(AE1721&lt;&gt;"",COUNTIFS(tcTipo,AE1721,tcLiq,"Sí")&gt;0),S1721,0))</f>
        <v/>
      </c>
      <c r="AI1721" s="52">
        <f>IF(OR(L1721="",P1721=""),"",IF(COUNTIFS(L$6:L1721,L1721,P$6:P1721,"?*")=1,MAX(AI$5:AI1720)+1,""))</f>
        <v/>
      </c>
    </row>
    <row r="1722">
      <c r="B1722" s="47" t="n"/>
      <c r="C1722" s="48" t="n"/>
      <c r="D1722" s="48" t="n"/>
      <c r="E1722" s="48" t="n"/>
      <c r="F1722" s="48" t="n"/>
      <c r="G1722" s="49" t="n"/>
      <c r="H1722" s="48" t="n"/>
      <c r="I1722" s="50" t="n"/>
      <c r="J1722" s="48" t="n"/>
      <c r="K1722" s="48" t="n"/>
      <c r="L1722" s="48" t="n"/>
      <c r="M1722" s="48" t="n"/>
      <c r="N1722" s="48" t="n"/>
      <c r="O1722" s="51">
        <f>IF(AND(B1722="",G1722="",C1722="",D1722="",J1722=""),"",IF(B1722="","⚠ Falta fecha",IF(G1722="","⚠ Falta monto",IF(Q1722="","⚠ Falta cuenta",IF(ISNA(MATCH(Q1722,ctaNombre,0)),"⚠ Cuenta no registrada",IF(AND(OR(P1722="Gasto",P1722="Reembolso"),D1722=""),"⚠ Falta categoría",IF(AND(D1722&lt;&gt;"",E1722&lt;&gt;"",ISNA(MATCH(D1722&amp;"|"&amp;E1722,catClave,0))),"⚠ Subcategoría no corresponde",IF(AND(OR(P1722="Transferencia",P1722="Pago tarjeta"),K1722=""),"⚠ Falta cuenta destino",IF(AND(K1722&lt;&gt;"",P1722&lt;&gt;"Transferencia",P1722&lt;&gt;"Pago tarjeta"),"⚠ Destino solo aplica a transferencias",IF(AND(K1722&lt;&gt;"",K1722=Q1722),"⚠ Origen igual a destino",IF(AND(K1722&lt;&gt;"",ISNA(MATCH(K1722,ctaNombre,0))),"⚠ Destino no registrado",IF(AND(P1722="Pago tarjeta",AE1722&lt;&gt;"Tarjeta de crédito"),"⚠ El destino debe ser tarjeta de crédito",IF(AND(P1722="Gasto",E1722="Depósitos y retiros"),"⚠ Usa tipo Transferencia",IF(AND(P1722="Resultado trading",AD1722&lt;&gt;"Cuenta de trading"),"⚠ Usa una cuenta de trading",IF(AND(G1722&lt;=0,P1722&lt;&gt;"Ajuste",P1722&lt;&gt;"Resultado trading"),"⚠ El monto debe ser positivo","✓")))))))))))))))</f>
        <v/>
      </c>
      <c r="P1722" s="52">
        <f>IF(OR(B1722="",G1722=""),"",IF(C1722="","Gasto",C1722))</f>
        <v/>
      </c>
      <c r="Q1722" s="52">
        <f>IF(P1722="","",IF(J1722&lt;&gt;"",J1722,CuentaPred&amp;""))</f>
        <v/>
      </c>
      <c r="R1722" s="52">
        <f>IF(P1722="","",IF(ISNUMBER(I1722),I1722,TasaUSD))</f>
        <v/>
      </c>
      <c r="S1722" s="53">
        <f>IF(P1722="","",IF(H1722="USD",G1722*R1722,G1722))</f>
        <v/>
      </c>
      <c r="T1722" s="53">
        <f>IF(P1722="","",IF(H1722="USD",G1722,IF(R1722&gt;0,G1722/R1722,0)))</f>
        <v/>
      </c>
      <c r="U1722" s="53">
        <f>IF(P1722="","",IF(P1722="Gasto",S1722,IF(P1722="Reembolso",-S1722,0)))</f>
        <v/>
      </c>
      <c r="V1722" s="53">
        <f>IF(P1722="","",IF(P1722="Ingreso",S1722,0))</f>
        <v/>
      </c>
      <c r="W1722" s="53">
        <f>IF(P1722="","",IF(P1722="Resultado trading",S1722,0))</f>
        <v/>
      </c>
      <c r="X1722" s="52">
        <f>IF(OR(P1722="Gasto",P1722="Reembolso"),IF(M1722&lt;&gt;"",M1722,IFERROR(INDEX(catClasif,MATCH(D1722&amp;"|"&amp;E1722,catClave,0))&amp;"","Variable")),"")</f>
        <v/>
      </c>
      <c r="Y1722" s="52">
        <f>IF(P1722="","",IFERROR(INDEX(catGrupo,MATCH(D1722&amp;"|"&amp;E1722,catClave,0))&amp;"",""))</f>
        <v/>
      </c>
      <c r="Z1722" s="52">
        <f>IF(P1722="","",WEEKDAY(B1722,2))</f>
        <v/>
      </c>
      <c r="AA1722" s="52">
        <f>IF(P1722="","",IF(AND(P1722="Gasto",X1722="Variable",D1722&lt;&gt;catTrading,S1722&gt;0,S1722&lt;=Umbral),1,0))</f>
        <v/>
      </c>
      <c r="AB1722" s="52">
        <f>IF(OR(P1722="",Q1722=""),"",IFERROR(IF(INDEX(ctaVinc,MATCH(Q1722,ctaNombre,0))&amp;""&lt;&gt;"",INDEX(ctaVinc,MATCH(Q1722,ctaNombre,0))&amp;"",Q1722),Q1722))</f>
        <v/>
      </c>
      <c r="AC1722" s="52">
        <f>IF(OR(K1722="",AND(P1722&lt;&gt;"Transferencia",P1722&lt;&gt;"Pago tarjeta")),"",IFERROR(IF(INDEX(ctaVinc,MATCH(K1722,ctaNombre,0))&amp;""&lt;&gt;"",INDEX(ctaVinc,MATCH(K1722,ctaNombre,0))&amp;"",K1722),K1722))</f>
        <v/>
      </c>
      <c r="AD1722" s="52">
        <f>IF(AB1722="","",IFERROR(INDEX(ctaTipo,MATCH(AB1722,ctaNombre,0))&amp;"",""))</f>
        <v/>
      </c>
      <c r="AE1722" s="52">
        <f>IF(AC1722="","",IFERROR(INDEX(ctaTipo,MATCH(AC1722,ctaNombre,0))&amp;"",""))</f>
        <v/>
      </c>
      <c r="AF1722" s="53">
        <f>IF(OR(P1722="",AB1722=""),"",IF(OR(P1722="Gasto",P1722="Transferencia",P1722="Pago tarjeta"),-1,1)*IF(IFERROR(INDEX(ctaMoneda,MATCH(AB1722,ctaNombre,0))&amp;"","DOP")="USD",T1722,S1722))</f>
        <v/>
      </c>
      <c r="AG1722" s="53">
        <f>IF(AC1722="","",IF(IFERROR(INDEX(ctaMoneda,MATCH(AC1722,ctaNombre,0))&amp;"","DOP")="USD",T1722,S1722))</f>
        <v/>
      </c>
      <c r="AH1722" s="53">
        <f>IF(P1722="","",IF(AND(AD1722&lt;&gt;"",COUNTIFS(tcTipo,AD1722,tcLiq,"Sí")&gt;0),IF(OR(P1722="Gasto",P1722="Transferencia",P1722="Pago tarjeta"),-1,1)*S1722,0)+IF(AND(AE1722&lt;&gt;"",COUNTIFS(tcTipo,AE1722,tcLiq,"Sí")&gt;0),S1722,0))</f>
        <v/>
      </c>
      <c r="AI1722" s="52">
        <f>IF(OR(L1722="",P1722=""),"",IF(COUNTIFS(L$6:L1722,L1722,P$6:P1722,"?*")=1,MAX(AI$5:AI1721)+1,""))</f>
        <v/>
      </c>
    </row>
    <row r="1723">
      <c r="B1723" s="47" t="n"/>
      <c r="C1723" s="48" t="n"/>
      <c r="D1723" s="48" t="n"/>
      <c r="E1723" s="48" t="n"/>
      <c r="F1723" s="48" t="n"/>
      <c r="G1723" s="49" t="n"/>
      <c r="H1723" s="48" t="n"/>
      <c r="I1723" s="50" t="n"/>
      <c r="J1723" s="48" t="n"/>
      <c r="K1723" s="48" t="n"/>
      <c r="L1723" s="48" t="n"/>
      <c r="M1723" s="48" t="n"/>
      <c r="N1723" s="48" t="n"/>
      <c r="O1723" s="51">
        <f>IF(AND(B1723="",G1723="",C1723="",D1723="",J1723=""),"",IF(B1723="","⚠ Falta fecha",IF(G1723="","⚠ Falta monto",IF(Q1723="","⚠ Falta cuenta",IF(ISNA(MATCH(Q1723,ctaNombre,0)),"⚠ Cuenta no registrada",IF(AND(OR(P1723="Gasto",P1723="Reembolso"),D1723=""),"⚠ Falta categoría",IF(AND(D1723&lt;&gt;"",E1723&lt;&gt;"",ISNA(MATCH(D1723&amp;"|"&amp;E1723,catClave,0))),"⚠ Subcategoría no corresponde",IF(AND(OR(P1723="Transferencia",P1723="Pago tarjeta"),K1723=""),"⚠ Falta cuenta destino",IF(AND(K1723&lt;&gt;"",P1723&lt;&gt;"Transferencia",P1723&lt;&gt;"Pago tarjeta"),"⚠ Destino solo aplica a transferencias",IF(AND(K1723&lt;&gt;"",K1723=Q1723),"⚠ Origen igual a destino",IF(AND(K1723&lt;&gt;"",ISNA(MATCH(K1723,ctaNombre,0))),"⚠ Destino no registrado",IF(AND(P1723="Pago tarjeta",AE1723&lt;&gt;"Tarjeta de crédito"),"⚠ El destino debe ser tarjeta de crédito",IF(AND(P1723="Gasto",E1723="Depósitos y retiros"),"⚠ Usa tipo Transferencia",IF(AND(P1723="Resultado trading",AD1723&lt;&gt;"Cuenta de trading"),"⚠ Usa una cuenta de trading",IF(AND(G1723&lt;=0,P1723&lt;&gt;"Ajuste",P1723&lt;&gt;"Resultado trading"),"⚠ El monto debe ser positivo","✓")))))))))))))))</f>
        <v/>
      </c>
      <c r="P1723" s="52">
        <f>IF(OR(B1723="",G1723=""),"",IF(C1723="","Gasto",C1723))</f>
        <v/>
      </c>
      <c r="Q1723" s="52">
        <f>IF(P1723="","",IF(J1723&lt;&gt;"",J1723,CuentaPred&amp;""))</f>
        <v/>
      </c>
      <c r="R1723" s="52">
        <f>IF(P1723="","",IF(ISNUMBER(I1723),I1723,TasaUSD))</f>
        <v/>
      </c>
      <c r="S1723" s="53">
        <f>IF(P1723="","",IF(H1723="USD",G1723*R1723,G1723))</f>
        <v/>
      </c>
      <c r="T1723" s="53">
        <f>IF(P1723="","",IF(H1723="USD",G1723,IF(R1723&gt;0,G1723/R1723,0)))</f>
        <v/>
      </c>
      <c r="U1723" s="53">
        <f>IF(P1723="","",IF(P1723="Gasto",S1723,IF(P1723="Reembolso",-S1723,0)))</f>
        <v/>
      </c>
      <c r="V1723" s="53">
        <f>IF(P1723="","",IF(P1723="Ingreso",S1723,0))</f>
        <v/>
      </c>
      <c r="W1723" s="53">
        <f>IF(P1723="","",IF(P1723="Resultado trading",S1723,0))</f>
        <v/>
      </c>
      <c r="X1723" s="52">
        <f>IF(OR(P1723="Gasto",P1723="Reembolso"),IF(M1723&lt;&gt;"",M1723,IFERROR(INDEX(catClasif,MATCH(D1723&amp;"|"&amp;E1723,catClave,0))&amp;"","Variable")),"")</f>
        <v/>
      </c>
      <c r="Y1723" s="52">
        <f>IF(P1723="","",IFERROR(INDEX(catGrupo,MATCH(D1723&amp;"|"&amp;E1723,catClave,0))&amp;"",""))</f>
        <v/>
      </c>
      <c r="Z1723" s="52">
        <f>IF(P1723="","",WEEKDAY(B1723,2))</f>
        <v/>
      </c>
      <c r="AA1723" s="52">
        <f>IF(P1723="","",IF(AND(P1723="Gasto",X1723="Variable",D1723&lt;&gt;catTrading,S1723&gt;0,S1723&lt;=Umbral),1,0))</f>
        <v/>
      </c>
      <c r="AB1723" s="52">
        <f>IF(OR(P1723="",Q1723=""),"",IFERROR(IF(INDEX(ctaVinc,MATCH(Q1723,ctaNombre,0))&amp;""&lt;&gt;"",INDEX(ctaVinc,MATCH(Q1723,ctaNombre,0))&amp;"",Q1723),Q1723))</f>
        <v/>
      </c>
      <c r="AC1723" s="52">
        <f>IF(OR(K1723="",AND(P1723&lt;&gt;"Transferencia",P1723&lt;&gt;"Pago tarjeta")),"",IFERROR(IF(INDEX(ctaVinc,MATCH(K1723,ctaNombre,0))&amp;""&lt;&gt;"",INDEX(ctaVinc,MATCH(K1723,ctaNombre,0))&amp;"",K1723),K1723))</f>
        <v/>
      </c>
      <c r="AD1723" s="52">
        <f>IF(AB1723="","",IFERROR(INDEX(ctaTipo,MATCH(AB1723,ctaNombre,0))&amp;"",""))</f>
        <v/>
      </c>
      <c r="AE1723" s="52">
        <f>IF(AC1723="","",IFERROR(INDEX(ctaTipo,MATCH(AC1723,ctaNombre,0))&amp;"",""))</f>
        <v/>
      </c>
      <c r="AF1723" s="53">
        <f>IF(OR(P1723="",AB1723=""),"",IF(OR(P1723="Gasto",P1723="Transferencia",P1723="Pago tarjeta"),-1,1)*IF(IFERROR(INDEX(ctaMoneda,MATCH(AB1723,ctaNombre,0))&amp;"","DOP")="USD",T1723,S1723))</f>
        <v/>
      </c>
      <c r="AG1723" s="53">
        <f>IF(AC1723="","",IF(IFERROR(INDEX(ctaMoneda,MATCH(AC1723,ctaNombre,0))&amp;"","DOP")="USD",T1723,S1723))</f>
        <v/>
      </c>
      <c r="AH1723" s="53">
        <f>IF(P1723="","",IF(AND(AD1723&lt;&gt;"",COUNTIFS(tcTipo,AD1723,tcLiq,"Sí")&gt;0),IF(OR(P1723="Gasto",P1723="Transferencia",P1723="Pago tarjeta"),-1,1)*S1723,0)+IF(AND(AE1723&lt;&gt;"",COUNTIFS(tcTipo,AE1723,tcLiq,"Sí")&gt;0),S1723,0))</f>
        <v/>
      </c>
      <c r="AI1723" s="52">
        <f>IF(OR(L1723="",P1723=""),"",IF(COUNTIFS(L$6:L1723,L1723,P$6:P1723,"?*")=1,MAX(AI$5:AI1722)+1,""))</f>
        <v/>
      </c>
    </row>
    <row r="1724">
      <c r="B1724" s="47" t="n"/>
      <c r="C1724" s="48" t="n"/>
      <c r="D1724" s="48" t="n"/>
      <c r="E1724" s="48" t="n"/>
      <c r="F1724" s="48" t="n"/>
      <c r="G1724" s="49" t="n"/>
      <c r="H1724" s="48" t="n"/>
      <c r="I1724" s="50" t="n"/>
      <c r="J1724" s="48" t="n"/>
      <c r="K1724" s="48" t="n"/>
      <c r="L1724" s="48" t="n"/>
      <c r="M1724" s="48" t="n"/>
      <c r="N1724" s="48" t="n"/>
      <c r="O1724" s="51">
        <f>IF(AND(B1724="",G1724="",C1724="",D1724="",J1724=""),"",IF(B1724="","⚠ Falta fecha",IF(G1724="","⚠ Falta monto",IF(Q1724="","⚠ Falta cuenta",IF(ISNA(MATCH(Q1724,ctaNombre,0)),"⚠ Cuenta no registrada",IF(AND(OR(P1724="Gasto",P1724="Reembolso"),D1724=""),"⚠ Falta categoría",IF(AND(D1724&lt;&gt;"",E1724&lt;&gt;"",ISNA(MATCH(D1724&amp;"|"&amp;E1724,catClave,0))),"⚠ Subcategoría no corresponde",IF(AND(OR(P1724="Transferencia",P1724="Pago tarjeta"),K1724=""),"⚠ Falta cuenta destino",IF(AND(K1724&lt;&gt;"",P1724&lt;&gt;"Transferencia",P1724&lt;&gt;"Pago tarjeta"),"⚠ Destino solo aplica a transferencias",IF(AND(K1724&lt;&gt;"",K1724=Q1724),"⚠ Origen igual a destino",IF(AND(K1724&lt;&gt;"",ISNA(MATCH(K1724,ctaNombre,0))),"⚠ Destino no registrado",IF(AND(P1724="Pago tarjeta",AE1724&lt;&gt;"Tarjeta de crédito"),"⚠ El destino debe ser tarjeta de crédito",IF(AND(P1724="Gasto",E1724="Depósitos y retiros"),"⚠ Usa tipo Transferencia",IF(AND(P1724="Resultado trading",AD1724&lt;&gt;"Cuenta de trading"),"⚠ Usa una cuenta de trading",IF(AND(G1724&lt;=0,P1724&lt;&gt;"Ajuste",P1724&lt;&gt;"Resultado trading"),"⚠ El monto debe ser positivo","✓")))))))))))))))</f>
        <v/>
      </c>
      <c r="P1724" s="52">
        <f>IF(OR(B1724="",G1724=""),"",IF(C1724="","Gasto",C1724))</f>
        <v/>
      </c>
      <c r="Q1724" s="52">
        <f>IF(P1724="","",IF(J1724&lt;&gt;"",J1724,CuentaPred&amp;""))</f>
        <v/>
      </c>
      <c r="R1724" s="52">
        <f>IF(P1724="","",IF(ISNUMBER(I1724),I1724,TasaUSD))</f>
        <v/>
      </c>
      <c r="S1724" s="53">
        <f>IF(P1724="","",IF(H1724="USD",G1724*R1724,G1724))</f>
        <v/>
      </c>
      <c r="T1724" s="53">
        <f>IF(P1724="","",IF(H1724="USD",G1724,IF(R1724&gt;0,G1724/R1724,0)))</f>
        <v/>
      </c>
      <c r="U1724" s="53">
        <f>IF(P1724="","",IF(P1724="Gasto",S1724,IF(P1724="Reembolso",-S1724,0)))</f>
        <v/>
      </c>
      <c r="V1724" s="53">
        <f>IF(P1724="","",IF(P1724="Ingreso",S1724,0))</f>
        <v/>
      </c>
      <c r="W1724" s="53">
        <f>IF(P1724="","",IF(P1724="Resultado trading",S1724,0))</f>
        <v/>
      </c>
      <c r="X1724" s="52">
        <f>IF(OR(P1724="Gasto",P1724="Reembolso"),IF(M1724&lt;&gt;"",M1724,IFERROR(INDEX(catClasif,MATCH(D1724&amp;"|"&amp;E1724,catClave,0))&amp;"","Variable")),"")</f>
        <v/>
      </c>
      <c r="Y1724" s="52">
        <f>IF(P1724="","",IFERROR(INDEX(catGrupo,MATCH(D1724&amp;"|"&amp;E1724,catClave,0))&amp;"",""))</f>
        <v/>
      </c>
      <c r="Z1724" s="52">
        <f>IF(P1724="","",WEEKDAY(B1724,2))</f>
        <v/>
      </c>
      <c r="AA1724" s="52">
        <f>IF(P1724="","",IF(AND(P1724="Gasto",X1724="Variable",D1724&lt;&gt;catTrading,S1724&gt;0,S1724&lt;=Umbral),1,0))</f>
        <v/>
      </c>
      <c r="AB1724" s="52">
        <f>IF(OR(P1724="",Q1724=""),"",IFERROR(IF(INDEX(ctaVinc,MATCH(Q1724,ctaNombre,0))&amp;""&lt;&gt;"",INDEX(ctaVinc,MATCH(Q1724,ctaNombre,0))&amp;"",Q1724),Q1724))</f>
        <v/>
      </c>
      <c r="AC1724" s="52">
        <f>IF(OR(K1724="",AND(P1724&lt;&gt;"Transferencia",P1724&lt;&gt;"Pago tarjeta")),"",IFERROR(IF(INDEX(ctaVinc,MATCH(K1724,ctaNombre,0))&amp;""&lt;&gt;"",INDEX(ctaVinc,MATCH(K1724,ctaNombre,0))&amp;"",K1724),K1724))</f>
        <v/>
      </c>
      <c r="AD1724" s="52">
        <f>IF(AB1724="","",IFERROR(INDEX(ctaTipo,MATCH(AB1724,ctaNombre,0))&amp;"",""))</f>
        <v/>
      </c>
      <c r="AE1724" s="52">
        <f>IF(AC1724="","",IFERROR(INDEX(ctaTipo,MATCH(AC1724,ctaNombre,0))&amp;"",""))</f>
        <v/>
      </c>
      <c r="AF1724" s="53">
        <f>IF(OR(P1724="",AB1724=""),"",IF(OR(P1724="Gasto",P1724="Transferencia",P1724="Pago tarjeta"),-1,1)*IF(IFERROR(INDEX(ctaMoneda,MATCH(AB1724,ctaNombre,0))&amp;"","DOP")="USD",T1724,S1724))</f>
        <v/>
      </c>
      <c r="AG1724" s="53">
        <f>IF(AC1724="","",IF(IFERROR(INDEX(ctaMoneda,MATCH(AC1724,ctaNombre,0))&amp;"","DOP")="USD",T1724,S1724))</f>
        <v/>
      </c>
      <c r="AH1724" s="53">
        <f>IF(P1724="","",IF(AND(AD1724&lt;&gt;"",COUNTIFS(tcTipo,AD1724,tcLiq,"Sí")&gt;0),IF(OR(P1724="Gasto",P1724="Transferencia",P1724="Pago tarjeta"),-1,1)*S1724,0)+IF(AND(AE1724&lt;&gt;"",COUNTIFS(tcTipo,AE1724,tcLiq,"Sí")&gt;0),S1724,0))</f>
        <v/>
      </c>
      <c r="AI1724" s="52">
        <f>IF(OR(L1724="",P1724=""),"",IF(COUNTIFS(L$6:L1724,L1724,P$6:P1724,"?*")=1,MAX(AI$5:AI1723)+1,""))</f>
        <v/>
      </c>
    </row>
    <row r="1725">
      <c r="B1725" s="47" t="n"/>
      <c r="C1725" s="48" t="n"/>
      <c r="D1725" s="48" t="n"/>
      <c r="E1725" s="48" t="n"/>
      <c r="F1725" s="48" t="n"/>
      <c r="G1725" s="49" t="n"/>
      <c r="H1725" s="48" t="n"/>
      <c r="I1725" s="50" t="n"/>
      <c r="J1725" s="48" t="n"/>
      <c r="K1725" s="48" t="n"/>
      <c r="L1725" s="48" t="n"/>
      <c r="M1725" s="48" t="n"/>
      <c r="N1725" s="48" t="n"/>
      <c r="O1725" s="51">
        <f>IF(AND(B1725="",G1725="",C1725="",D1725="",J1725=""),"",IF(B1725="","⚠ Falta fecha",IF(G1725="","⚠ Falta monto",IF(Q1725="","⚠ Falta cuenta",IF(ISNA(MATCH(Q1725,ctaNombre,0)),"⚠ Cuenta no registrada",IF(AND(OR(P1725="Gasto",P1725="Reembolso"),D1725=""),"⚠ Falta categoría",IF(AND(D1725&lt;&gt;"",E1725&lt;&gt;"",ISNA(MATCH(D1725&amp;"|"&amp;E1725,catClave,0))),"⚠ Subcategoría no corresponde",IF(AND(OR(P1725="Transferencia",P1725="Pago tarjeta"),K1725=""),"⚠ Falta cuenta destino",IF(AND(K1725&lt;&gt;"",P1725&lt;&gt;"Transferencia",P1725&lt;&gt;"Pago tarjeta"),"⚠ Destino solo aplica a transferencias",IF(AND(K1725&lt;&gt;"",K1725=Q1725),"⚠ Origen igual a destino",IF(AND(K1725&lt;&gt;"",ISNA(MATCH(K1725,ctaNombre,0))),"⚠ Destino no registrado",IF(AND(P1725="Pago tarjeta",AE1725&lt;&gt;"Tarjeta de crédito"),"⚠ El destino debe ser tarjeta de crédito",IF(AND(P1725="Gasto",E1725="Depósitos y retiros"),"⚠ Usa tipo Transferencia",IF(AND(P1725="Resultado trading",AD1725&lt;&gt;"Cuenta de trading"),"⚠ Usa una cuenta de trading",IF(AND(G1725&lt;=0,P1725&lt;&gt;"Ajuste",P1725&lt;&gt;"Resultado trading"),"⚠ El monto debe ser positivo","✓")))))))))))))))</f>
        <v/>
      </c>
      <c r="P1725" s="52">
        <f>IF(OR(B1725="",G1725=""),"",IF(C1725="","Gasto",C1725))</f>
        <v/>
      </c>
      <c r="Q1725" s="52">
        <f>IF(P1725="","",IF(J1725&lt;&gt;"",J1725,CuentaPred&amp;""))</f>
        <v/>
      </c>
      <c r="R1725" s="52">
        <f>IF(P1725="","",IF(ISNUMBER(I1725),I1725,TasaUSD))</f>
        <v/>
      </c>
      <c r="S1725" s="53">
        <f>IF(P1725="","",IF(H1725="USD",G1725*R1725,G1725))</f>
        <v/>
      </c>
      <c r="T1725" s="53">
        <f>IF(P1725="","",IF(H1725="USD",G1725,IF(R1725&gt;0,G1725/R1725,0)))</f>
        <v/>
      </c>
      <c r="U1725" s="53">
        <f>IF(P1725="","",IF(P1725="Gasto",S1725,IF(P1725="Reembolso",-S1725,0)))</f>
        <v/>
      </c>
      <c r="V1725" s="53">
        <f>IF(P1725="","",IF(P1725="Ingreso",S1725,0))</f>
        <v/>
      </c>
      <c r="W1725" s="53">
        <f>IF(P1725="","",IF(P1725="Resultado trading",S1725,0))</f>
        <v/>
      </c>
      <c r="X1725" s="52">
        <f>IF(OR(P1725="Gasto",P1725="Reembolso"),IF(M1725&lt;&gt;"",M1725,IFERROR(INDEX(catClasif,MATCH(D1725&amp;"|"&amp;E1725,catClave,0))&amp;"","Variable")),"")</f>
        <v/>
      </c>
      <c r="Y1725" s="52">
        <f>IF(P1725="","",IFERROR(INDEX(catGrupo,MATCH(D1725&amp;"|"&amp;E1725,catClave,0))&amp;"",""))</f>
        <v/>
      </c>
      <c r="Z1725" s="52">
        <f>IF(P1725="","",WEEKDAY(B1725,2))</f>
        <v/>
      </c>
      <c r="AA1725" s="52">
        <f>IF(P1725="","",IF(AND(P1725="Gasto",X1725="Variable",D1725&lt;&gt;catTrading,S1725&gt;0,S1725&lt;=Umbral),1,0))</f>
        <v/>
      </c>
      <c r="AB1725" s="52">
        <f>IF(OR(P1725="",Q1725=""),"",IFERROR(IF(INDEX(ctaVinc,MATCH(Q1725,ctaNombre,0))&amp;""&lt;&gt;"",INDEX(ctaVinc,MATCH(Q1725,ctaNombre,0))&amp;"",Q1725),Q1725))</f>
        <v/>
      </c>
      <c r="AC1725" s="52">
        <f>IF(OR(K1725="",AND(P1725&lt;&gt;"Transferencia",P1725&lt;&gt;"Pago tarjeta")),"",IFERROR(IF(INDEX(ctaVinc,MATCH(K1725,ctaNombre,0))&amp;""&lt;&gt;"",INDEX(ctaVinc,MATCH(K1725,ctaNombre,0))&amp;"",K1725),K1725))</f>
        <v/>
      </c>
      <c r="AD1725" s="52">
        <f>IF(AB1725="","",IFERROR(INDEX(ctaTipo,MATCH(AB1725,ctaNombre,0))&amp;"",""))</f>
        <v/>
      </c>
      <c r="AE1725" s="52">
        <f>IF(AC1725="","",IFERROR(INDEX(ctaTipo,MATCH(AC1725,ctaNombre,0))&amp;"",""))</f>
        <v/>
      </c>
      <c r="AF1725" s="53">
        <f>IF(OR(P1725="",AB1725=""),"",IF(OR(P1725="Gasto",P1725="Transferencia",P1725="Pago tarjeta"),-1,1)*IF(IFERROR(INDEX(ctaMoneda,MATCH(AB1725,ctaNombre,0))&amp;"","DOP")="USD",T1725,S1725))</f>
        <v/>
      </c>
      <c r="AG1725" s="53">
        <f>IF(AC1725="","",IF(IFERROR(INDEX(ctaMoneda,MATCH(AC1725,ctaNombre,0))&amp;"","DOP")="USD",T1725,S1725))</f>
        <v/>
      </c>
      <c r="AH1725" s="53">
        <f>IF(P1725="","",IF(AND(AD1725&lt;&gt;"",COUNTIFS(tcTipo,AD1725,tcLiq,"Sí")&gt;0),IF(OR(P1725="Gasto",P1725="Transferencia",P1725="Pago tarjeta"),-1,1)*S1725,0)+IF(AND(AE1725&lt;&gt;"",COUNTIFS(tcTipo,AE1725,tcLiq,"Sí")&gt;0),S1725,0))</f>
        <v/>
      </c>
      <c r="AI1725" s="52">
        <f>IF(OR(L1725="",P1725=""),"",IF(COUNTIFS(L$6:L1725,L1725,P$6:P1725,"?*")=1,MAX(AI$5:AI1724)+1,""))</f>
        <v/>
      </c>
    </row>
    <row r="1726">
      <c r="B1726" s="47" t="n"/>
      <c r="C1726" s="48" t="n"/>
      <c r="D1726" s="48" t="n"/>
      <c r="E1726" s="48" t="n"/>
      <c r="F1726" s="48" t="n"/>
      <c r="G1726" s="49" t="n"/>
      <c r="H1726" s="48" t="n"/>
      <c r="I1726" s="50" t="n"/>
      <c r="J1726" s="48" t="n"/>
      <c r="K1726" s="48" t="n"/>
      <c r="L1726" s="48" t="n"/>
      <c r="M1726" s="48" t="n"/>
      <c r="N1726" s="48" t="n"/>
      <c r="O1726" s="51">
        <f>IF(AND(B1726="",G1726="",C1726="",D1726="",J1726=""),"",IF(B1726="","⚠ Falta fecha",IF(G1726="","⚠ Falta monto",IF(Q1726="","⚠ Falta cuenta",IF(ISNA(MATCH(Q1726,ctaNombre,0)),"⚠ Cuenta no registrada",IF(AND(OR(P1726="Gasto",P1726="Reembolso"),D1726=""),"⚠ Falta categoría",IF(AND(D1726&lt;&gt;"",E1726&lt;&gt;"",ISNA(MATCH(D1726&amp;"|"&amp;E1726,catClave,0))),"⚠ Subcategoría no corresponde",IF(AND(OR(P1726="Transferencia",P1726="Pago tarjeta"),K1726=""),"⚠ Falta cuenta destino",IF(AND(K1726&lt;&gt;"",P1726&lt;&gt;"Transferencia",P1726&lt;&gt;"Pago tarjeta"),"⚠ Destino solo aplica a transferencias",IF(AND(K1726&lt;&gt;"",K1726=Q1726),"⚠ Origen igual a destino",IF(AND(K1726&lt;&gt;"",ISNA(MATCH(K1726,ctaNombre,0))),"⚠ Destino no registrado",IF(AND(P1726="Pago tarjeta",AE1726&lt;&gt;"Tarjeta de crédito"),"⚠ El destino debe ser tarjeta de crédito",IF(AND(P1726="Gasto",E1726="Depósitos y retiros"),"⚠ Usa tipo Transferencia",IF(AND(P1726="Resultado trading",AD1726&lt;&gt;"Cuenta de trading"),"⚠ Usa una cuenta de trading",IF(AND(G1726&lt;=0,P1726&lt;&gt;"Ajuste",P1726&lt;&gt;"Resultado trading"),"⚠ El monto debe ser positivo","✓")))))))))))))))</f>
        <v/>
      </c>
      <c r="P1726" s="52">
        <f>IF(OR(B1726="",G1726=""),"",IF(C1726="","Gasto",C1726))</f>
        <v/>
      </c>
      <c r="Q1726" s="52">
        <f>IF(P1726="","",IF(J1726&lt;&gt;"",J1726,CuentaPred&amp;""))</f>
        <v/>
      </c>
      <c r="R1726" s="52">
        <f>IF(P1726="","",IF(ISNUMBER(I1726),I1726,TasaUSD))</f>
        <v/>
      </c>
      <c r="S1726" s="53">
        <f>IF(P1726="","",IF(H1726="USD",G1726*R1726,G1726))</f>
        <v/>
      </c>
      <c r="T1726" s="53">
        <f>IF(P1726="","",IF(H1726="USD",G1726,IF(R1726&gt;0,G1726/R1726,0)))</f>
        <v/>
      </c>
      <c r="U1726" s="53">
        <f>IF(P1726="","",IF(P1726="Gasto",S1726,IF(P1726="Reembolso",-S1726,0)))</f>
        <v/>
      </c>
      <c r="V1726" s="53">
        <f>IF(P1726="","",IF(P1726="Ingreso",S1726,0))</f>
        <v/>
      </c>
      <c r="W1726" s="53">
        <f>IF(P1726="","",IF(P1726="Resultado trading",S1726,0))</f>
        <v/>
      </c>
      <c r="X1726" s="52">
        <f>IF(OR(P1726="Gasto",P1726="Reembolso"),IF(M1726&lt;&gt;"",M1726,IFERROR(INDEX(catClasif,MATCH(D1726&amp;"|"&amp;E1726,catClave,0))&amp;"","Variable")),"")</f>
        <v/>
      </c>
      <c r="Y1726" s="52">
        <f>IF(P1726="","",IFERROR(INDEX(catGrupo,MATCH(D1726&amp;"|"&amp;E1726,catClave,0))&amp;"",""))</f>
        <v/>
      </c>
      <c r="Z1726" s="52">
        <f>IF(P1726="","",WEEKDAY(B1726,2))</f>
        <v/>
      </c>
      <c r="AA1726" s="52">
        <f>IF(P1726="","",IF(AND(P1726="Gasto",X1726="Variable",D1726&lt;&gt;catTrading,S1726&gt;0,S1726&lt;=Umbral),1,0))</f>
        <v/>
      </c>
      <c r="AB1726" s="52">
        <f>IF(OR(P1726="",Q1726=""),"",IFERROR(IF(INDEX(ctaVinc,MATCH(Q1726,ctaNombre,0))&amp;""&lt;&gt;"",INDEX(ctaVinc,MATCH(Q1726,ctaNombre,0))&amp;"",Q1726),Q1726))</f>
        <v/>
      </c>
      <c r="AC1726" s="52">
        <f>IF(OR(K1726="",AND(P1726&lt;&gt;"Transferencia",P1726&lt;&gt;"Pago tarjeta")),"",IFERROR(IF(INDEX(ctaVinc,MATCH(K1726,ctaNombre,0))&amp;""&lt;&gt;"",INDEX(ctaVinc,MATCH(K1726,ctaNombre,0))&amp;"",K1726),K1726))</f>
        <v/>
      </c>
      <c r="AD1726" s="52">
        <f>IF(AB1726="","",IFERROR(INDEX(ctaTipo,MATCH(AB1726,ctaNombre,0))&amp;"",""))</f>
        <v/>
      </c>
      <c r="AE1726" s="52">
        <f>IF(AC1726="","",IFERROR(INDEX(ctaTipo,MATCH(AC1726,ctaNombre,0))&amp;"",""))</f>
        <v/>
      </c>
      <c r="AF1726" s="53">
        <f>IF(OR(P1726="",AB1726=""),"",IF(OR(P1726="Gasto",P1726="Transferencia",P1726="Pago tarjeta"),-1,1)*IF(IFERROR(INDEX(ctaMoneda,MATCH(AB1726,ctaNombre,0))&amp;"","DOP")="USD",T1726,S1726))</f>
        <v/>
      </c>
      <c r="AG1726" s="53">
        <f>IF(AC1726="","",IF(IFERROR(INDEX(ctaMoneda,MATCH(AC1726,ctaNombre,0))&amp;"","DOP")="USD",T1726,S1726))</f>
        <v/>
      </c>
      <c r="AH1726" s="53">
        <f>IF(P1726="","",IF(AND(AD1726&lt;&gt;"",COUNTIFS(tcTipo,AD1726,tcLiq,"Sí")&gt;0),IF(OR(P1726="Gasto",P1726="Transferencia",P1726="Pago tarjeta"),-1,1)*S1726,0)+IF(AND(AE1726&lt;&gt;"",COUNTIFS(tcTipo,AE1726,tcLiq,"Sí")&gt;0),S1726,0))</f>
        <v/>
      </c>
      <c r="AI1726" s="52">
        <f>IF(OR(L1726="",P1726=""),"",IF(COUNTIFS(L$6:L1726,L1726,P$6:P1726,"?*")=1,MAX(AI$5:AI1725)+1,""))</f>
        <v/>
      </c>
    </row>
    <row r="1727">
      <c r="B1727" s="47" t="n"/>
      <c r="C1727" s="48" t="n"/>
      <c r="D1727" s="48" t="n"/>
      <c r="E1727" s="48" t="n"/>
      <c r="F1727" s="48" t="n"/>
      <c r="G1727" s="49" t="n"/>
      <c r="H1727" s="48" t="n"/>
      <c r="I1727" s="50" t="n"/>
      <c r="J1727" s="48" t="n"/>
      <c r="K1727" s="48" t="n"/>
      <c r="L1727" s="48" t="n"/>
      <c r="M1727" s="48" t="n"/>
      <c r="N1727" s="48" t="n"/>
      <c r="O1727" s="51">
        <f>IF(AND(B1727="",G1727="",C1727="",D1727="",J1727=""),"",IF(B1727="","⚠ Falta fecha",IF(G1727="","⚠ Falta monto",IF(Q1727="","⚠ Falta cuenta",IF(ISNA(MATCH(Q1727,ctaNombre,0)),"⚠ Cuenta no registrada",IF(AND(OR(P1727="Gasto",P1727="Reembolso"),D1727=""),"⚠ Falta categoría",IF(AND(D1727&lt;&gt;"",E1727&lt;&gt;"",ISNA(MATCH(D1727&amp;"|"&amp;E1727,catClave,0))),"⚠ Subcategoría no corresponde",IF(AND(OR(P1727="Transferencia",P1727="Pago tarjeta"),K1727=""),"⚠ Falta cuenta destino",IF(AND(K1727&lt;&gt;"",P1727&lt;&gt;"Transferencia",P1727&lt;&gt;"Pago tarjeta"),"⚠ Destino solo aplica a transferencias",IF(AND(K1727&lt;&gt;"",K1727=Q1727),"⚠ Origen igual a destino",IF(AND(K1727&lt;&gt;"",ISNA(MATCH(K1727,ctaNombre,0))),"⚠ Destino no registrado",IF(AND(P1727="Pago tarjeta",AE1727&lt;&gt;"Tarjeta de crédito"),"⚠ El destino debe ser tarjeta de crédito",IF(AND(P1727="Gasto",E1727="Depósitos y retiros"),"⚠ Usa tipo Transferencia",IF(AND(P1727="Resultado trading",AD1727&lt;&gt;"Cuenta de trading"),"⚠ Usa una cuenta de trading",IF(AND(G1727&lt;=0,P1727&lt;&gt;"Ajuste",P1727&lt;&gt;"Resultado trading"),"⚠ El monto debe ser positivo","✓")))))))))))))))</f>
        <v/>
      </c>
      <c r="P1727" s="52">
        <f>IF(OR(B1727="",G1727=""),"",IF(C1727="","Gasto",C1727))</f>
        <v/>
      </c>
      <c r="Q1727" s="52">
        <f>IF(P1727="","",IF(J1727&lt;&gt;"",J1727,CuentaPred&amp;""))</f>
        <v/>
      </c>
      <c r="R1727" s="52">
        <f>IF(P1727="","",IF(ISNUMBER(I1727),I1727,TasaUSD))</f>
        <v/>
      </c>
      <c r="S1727" s="53">
        <f>IF(P1727="","",IF(H1727="USD",G1727*R1727,G1727))</f>
        <v/>
      </c>
      <c r="T1727" s="53">
        <f>IF(P1727="","",IF(H1727="USD",G1727,IF(R1727&gt;0,G1727/R1727,0)))</f>
        <v/>
      </c>
      <c r="U1727" s="53">
        <f>IF(P1727="","",IF(P1727="Gasto",S1727,IF(P1727="Reembolso",-S1727,0)))</f>
        <v/>
      </c>
      <c r="V1727" s="53">
        <f>IF(P1727="","",IF(P1727="Ingreso",S1727,0))</f>
        <v/>
      </c>
      <c r="W1727" s="53">
        <f>IF(P1727="","",IF(P1727="Resultado trading",S1727,0))</f>
        <v/>
      </c>
      <c r="X1727" s="52">
        <f>IF(OR(P1727="Gasto",P1727="Reembolso"),IF(M1727&lt;&gt;"",M1727,IFERROR(INDEX(catClasif,MATCH(D1727&amp;"|"&amp;E1727,catClave,0))&amp;"","Variable")),"")</f>
        <v/>
      </c>
      <c r="Y1727" s="52">
        <f>IF(P1727="","",IFERROR(INDEX(catGrupo,MATCH(D1727&amp;"|"&amp;E1727,catClave,0))&amp;"",""))</f>
        <v/>
      </c>
      <c r="Z1727" s="52">
        <f>IF(P1727="","",WEEKDAY(B1727,2))</f>
        <v/>
      </c>
      <c r="AA1727" s="52">
        <f>IF(P1727="","",IF(AND(P1727="Gasto",X1727="Variable",D1727&lt;&gt;catTrading,S1727&gt;0,S1727&lt;=Umbral),1,0))</f>
        <v/>
      </c>
      <c r="AB1727" s="52">
        <f>IF(OR(P1727="",Q1727=""),"",IFERROR(IF(INDEX(ctaVinc,MATCH(Q1727,ctaNombre,0))&amp;""&lt;&gt;"",INDEX(ctaVinc,MATCH(Q1727,ctaNombre,0))&amp;"",Q1727),Q1727))</f>
        <v/>
      </c>
      <c r="AC1727" s="52">
        <f>IF(OR(K1727="",AND(P1727&lt;&gt;"Transferencia",P1727&lt;&gt;"Pago tarjeta")),"",IFERROR(IF(INDEX(ctaVinc,MATCH(K1727,ctaNombre,0))&amp;""&lt;&gt;"",INDEX(ctaVinc,MATCH(K1727,ctaNombre,0))&amp;"",K1727),K1727))</f>
        <v/>
      </c>
      <c r="AD1727" s="52">
        <f>IF(AB1727="","",IFERROR(INDEX(ctaTipo,MATCH(AB1727,ctaNombre,0))&amp;"",""))</f>
        <v/>
      </c>
      <c r="AE1727" s="52">
        <f>IF(AC1727="","",IFERROR(INDEX(ctaTipo,MATCH(AC1727,ctaNombre,0))&amp;"",""))</f>
        <v/>
      </c>
      <c r="AF1727" s="53">
        <f>IF(OR(P1727="",AB1727=""),"",IF(OR(P1727="Gasto",P1727="Transferencia",P1727="Pago tarjeta"),-1,1)*IF(IFERROR(INDEX(ctaMoneda,MATCH(AB1727,ctaNombre,0))&amp;"","DOP")="USD",T1727,S1727))</f>
        <v/>
      </c>
      <c r="AG1727" s="53">
        <f>IF(AC1727="","",IF(IFERROR(INDEX(ctaMoneda,MATCH(AC1727,ctaNombre,0))&amp;"","DOP")="USD",T1727,S1727))</f>
        <v/>
      </c>
      <c r="AH1727" s="53">
        <f>IF(P1727="","",IF(AND(AD1727&lt;&gt;"",COUNTIFS(tcTipo,AD1727,tcLiq,"Sí")&gt;0),IF(OR(P1727="Gasto",P1727="Transferencia",P1727="Pago tarjeta"),-1,1)*S1727,0)+IF(AND(AE1727&lt;&gt;"",COUNTIFS(tcTipo,AE1727,tcLiq,"Sí")&gt;0),S1727,0))</f>
        <v/>
      </c>
      <c r="AI1727" s="52">
        <f>IF(OR(L1727="",P1727=""),"",IF(COUNTIFS(L$6:L1727,L1727,P$6:P1727,"?*")=1,MAX(AI$5:AI1726)+1,""))</f>
        <v/>
      </c>
    </row>
    <row r="1728">
      <c r="B1728" s="47" t="n"/>
      <c r="C1728" s="48" t="n"/>
      <c r="D1728" s="48" t="n"/>
      <c r="E1728" s="48" t="n"/>
      <c r="F1728" s="48" t="n"/>
      <c r="G1728" s="49" t="n"/>
      <c r="H1728" s="48" t="n"/>
      <c r="I1728" s="50" t="n"/>
      <c r="J1728" s="48" t="n"/>
      <c r="K1728" s="48" t="n"/>
      <c r="L1728" s="48" t="n"/>
      <c r="M1728" s="48" t="n"/>
      <c r="N1728" s="48" t="n"/>
      <c r="O1728" s="51">
        <f>IF(AND(B1728="",G1728="",C1728="",D1728="",J1728=""),"",IF(B1728="","⚠ Falta fecha",IF(G1728="","⚠ Falta monto",IF(Q1728="","⚠ Falta cuenta",IF(ISNA(MATCH(Q1728,ctaNombre,0)),"⚠ Cuenta no registrada",IF(AND(OR(P1728="Gasto",P1728="Reembolso"),D1728=""),"⚠ Falta categoría",IF(AND(D1728&lt;&gt;"",E1728&lt;&gt;"",ISNA(MATCH(D1728&amp;"|"&amp;E1728,catClave,0))),"⚠ Subcategoría no corresponde",IF(AND(OR(P1728="Transferencia",P1728="Pago tarjeta"),K1728=""),"⚠ Falta cuenta destino",IF(AND(K1728&lt;&gt;"",P1728&lt;&gt;"Transferencia",P1728&lt;&gt;"Pago tarjeta"),"⚠ Destino solo aplica a transferencias",IF(AND(K1728&lt;&gt;"",K1728=Q1728),"⚠ Origen igual a destino",IF(AND(K1728&lt;&gt;"",ISNA(MATCH(K1728,ctaNombre,0))),"⚠ Destino no registrado",IF(AND(P1728="Pago tarjeta",AE1728&lt;&gt;"Tarjeta de crédito"),"⚠ El destino debe ser tarjeta de crédito",IF(AND(P1728="Gasto",E1728="Depósitos y retiros"),"⚠ Usa tipo Transferencia",IF(AND(P1728="Resultado trading",AD1728&lt;&gt;"Cuenta de trading"),"⚠ Usa una cuenta de trading",IF(AND(G1728&lt;=0,P1728&lt;&gt;"Ajuste",P1728&lt;&gt;"Resultado trading"),"⚠ El monto debe ser positivo","✓")))))))))))))))</f>
        <v/>
      </c>
      <c r="P1728" s="52">
        <f>IF(OR(B1728="",G1728=""),"",IF(C1728="","Gasto",C1728))</f>
        <v/>
      </c>
      <c r="Q1728" s="52">
        <f>IF(P1728="","",IF(J1728&lt;&gt;"",J1728,CuentaPred&amp;""))</f>
        <v/>
      </c>
      <c r="R1728" s="52">
        <f>IF(P1728="","",IF(ISNUMBER(I1728),I1728,TasaUSD))</f>
        <v/>
      </c>
      <c r="S1728" s="53">
        <f>IF(P1728="","",IF(H1728="USD",G1728*R1728,G1728))</f>
        <v/>
      </c>
      <c r="T1728" s="53">
        <f>IF(P1728="","",IF(H1728="USD",G1728,IF(R1728&gt;0,G1728/R1728,0)))</f>
        <v/>
      </c>
      <c r="U1728" s="53">
        <f>IF(P1728="","",IF(P1728="Gasto",S1728,IF(P1728="Reembolso",-S1728,0)))</f>
        <v/>
      </c>
      <c r="V1728" s="53">
        <f>IF(P1728="","",IF(P1728="Ingreso",S1728,0))</f>
        <v/>
      </c>
      <c r="W1728" s="53">
        <f>IF(P1728="","",IF(P1728="Resultado trading",S1728,0))</f>
        <v/>
      </c>
      <c r="X1728" s="52">
        <f>IF(OR(P1728="Gasto",P1728="Reembolso"),IF(M1728&lt;&gt;"",M1728,IFERROR(INDEX(catClasif,MATCH(D1728&amp;"|"&amp;E1728,catClave,0))&amp;"","Variable")),"")</f>
        <v/>
      </c>
      <c r="Y1728" s="52">
        <f>IF(P1728="","",IFERROR(INDEX(catGrupo,MATCH(D1728&amp;"|"&amp;E1728,catClave,0))&amp;"",""))</f>
        <v/>
      </c>
      <c r="Z1728" s="52">
        <f>IF(P1728="","",WEEKDAY(B1728,2))</f>
        <v/>
      </c>
      <c r="AA1728" s="52">
        <f>IF(P1728="","",IF(AND(P1728="Gasto",X1728="Variable",D1728&lt;&gt;catTrading,S1728&gt;0,S1728&lt;=Umbral),1,0))</f>
        <v/>
      </c>
      <c r="AB1728" s="52">
        <f>IF(OR(P1728="",Q1728=""),"",IFERROR(IF(INDEX(ctaVinc,MATCH(Q1728,ctaNombre,0))&amp;""&lt;&gt;"",INDEX(ctaVinc,MATCH(Q1728,ctaNombre,0))&amp;"",Q1728),Q1728))</f>
        <v/>
      </c>
      <c r="AC1728" s="52">
        <f>IF(OR(K1728="",AND(P1728&lt;&gt;"Transferencia",P1728&lt;&gt;"Pago tarjeta")),"",IFERROR(IF(INDEX(ctaVinc,MATCH(K1728,ctaNombre,0))&amp;""&lt;&gt;"",INDEX(ctaVinc,MATCH(K1728,ctaNombre,0))&amp;"",K1728),K1728))</f>
        <v/>
      </c>
      <c r="AD1728" s="52">
        <f>IF(AB1728="","",IFERROR(INDEX(ctaTipo,MATCH(AB1728,ctaNombre,0))&amp;"",""))</f>
        <v/>
      </c>
      <c r="AE1728" s="52">
        <f>IF(AC1728="","",IFERROR(INDEX(ctaTipo,MATCH(AC1728,ctaNombre,0))&amp;"",""))</f>
        <v/>
      </c>
      <c r="AF1728" s="53">
        <f>IF(OR(P1728="",AB1728=""),"",IF(OR(P1728="Gasto",P1728="Transferencia",P1728="Pago tarjeta"),-1,1)*IF(IFERROR(INDEX(ctaMoneda,MATCH(AB1728,ctaNombre,0))&amp;"","DOP")="USD",T1728,S1728))</f>
        <v/>
      </c>
      <c r="AG1728" s="53">
        <f>IF(AC1728="","",IF(IFERROR(INDEX(ctaMoneda,MATCH(AC1728,ctaNombre,0))&amp;"","DOP")="USD",T1728,S1728))</f>
        <v/>
      </c>
      <c r="AH1728" s="53">
        <f>IF(P1728="","",IF(AND(AD1728&lt;&gt;"",COUNTIFS(tcTipo,AD1728,tcLiq,"Sí")&gt;0),IF(OR(P1728="Gasto",P1728="Transferencia",P1728="Pago tarjeta"),-1,1)*S1728,0)+IF(AND(AE1728&lt;&gt;"",COUNTIFS(tcTipo,AE1728,tcLiq,"Sí")&gt;0),S1728,0))</f>
        <v/>
      </c>
      <c r="AI1728" s="52">
        <f>IF(OR(L1728="",P1728=""),"",IF(COUNTIFS(L$6:L1728,L1728,P$6:P1728,"?*")=1,MAX(AI$5:AI1727)+1,""))</f>
        <v/>
      </c>
    </row>
    <row r="1729">
      <c r="B1729" s="47" t="n"/>
      <c r="C1729" s="48" t="n"/>
      <c r="D1729" s="48" t="n"/>
      <c r="E1729" s="48" t="n"/>
      <c r="F1729" s="48" t="n"/>
      <c r="G1729" s="49" t="n"/>
      <c r="H1729" s="48" t="n"/>
      <c r="I1729" s="50" t="n"/>
      <c r="J1729" s="48" t="n"/>
      <c r="K1729" s="48" t="n"/>
      <c r="L1729" s="48" t="n"/>
      <c r="M1729" s="48" t="n"/>
      <c r="N1729" s="48" t="n"/>
      <c r="O1729" s="51">
        <f>IF(AND(B1729="",G1729="",C1729="",D1729="",J1729=""),"",IF(B1729="","⚠ Falta fecha",IF(G1729="","⚠ Falta monto",IF(Q1729="","⚠ Falta cuenta",IF(ISNA(MATCH(Q1729,ctaNombre,0)),"⚠ Cuenta no registrada",IF(AND(OR(P1729="Gasto",P1729="Reembolso"),D1729=""),"⚠ Falta categoría",IF(AND(D1729&lt;&gt;"",E1729&lt;&gt;"",ISNA(MATCH(D1729&amp;"|"&amp;E1729,catClave,0))),"⚠ Subcategoría no corresponde",IF(AND(OR(P1729="Transferencia",P1729="Pago tarjeta"),K1729=""),"⚠ Falta cuenta destino",IF(AND(K1729&lt;&gt;"",P1729&lt;&gt;"Transferencia",P1729&lt;&gt;"Pago tarjeta"),"⚠ Destino solo aplica a transferencias",IF(AND(K1729&lt;&gt;"",K1729=Q1729),"⚠ Origen igual a destino",IF(AND(K1729&lt;&gt;"",ISNA(MATCH(K1729,ctaNombre,0))),"⚠ Destino no registrado",IF(AND(P1729="Pago tarjeta",AE1729&lt;&gt;"Tarjeta de crédito"),"⚠ El destino debe ser tarjeta de crédito",IF(AND(P1729="Gasto",E1729="Depósitos y retiros"),"⚠ Usa tipo Transferencia",IF(AND(P1729="Resultado trading",AD1729&lt;&gt;"Cuenta de trading"),"⚠ Usa una cuenta de trading",IF(AND(G1729&lt;=0,P1729&lt;&gt;"Ajuste",P1729&lt;&gt;"Resultado trading"),"⚠ El monto debe ser positivo","✓")))))))))))))))</f>
        <v/>
      </c>
      <c r="P1729" s="52">
        <f>IF(OR(B1729="",G1729=""),"",IF(C1729="","Gasto",C1729))</f>
        <v/>
      </c>
      <c r="Q1729" s="52">
        <f>IF(P1729="","",IF(J1729&lt;&gt;"",J1729,CuentaPred&amp;""))</f>
        <v/>
      </c>
      <c r="R1729" s="52">
        <f>IF(P1729="","",IF(ISNUMBER(I1729),I1729,TasaUSD))</f>
        <v/>
      </c>
      <c r="S1729" s="53">
        <f>IF(P1729="","",IF(H1729="USD",G1729*R1729,G1729))</f>
        <v/>
      </c>
      <c r="T1729" s="53">
        <f>IF(P1729="","",IF(H1729="USD",G1729,IF(R1729&gt;0,G1729/R1729,0)))</f>
        <v/>
      </c>
      <c r="U1729" s="53">
        <f>IF(P1729="","",IF(P1729="Gasto",S1729,IF(P1729="Reembolso",-S1729,0)))</f>
        <v/>
      </c>
      <c r="V1729" s="53">
        <f>IF(P1729="","",IF(P1729="Ingreso",S1729,0))</f>
        <v/>
      </c>
      <c r="W1729" s="53">
        <f>IF(P1729="","",IF(P1729="Resultado trading",S1729,0))</f>
        <v/>
      </c>
      <c r="X1729" s="52">
        <f>IF(OR(P1729="Gasto",P1729="Reembolso"),IF(M1729&lt;&gt;"",M1729,IFERROR(INDEX(catClasif,MATCH(D1729&amp;"|"&amp;E1729,catClave,0))&amp;"","Variable")),"")</f>
        <v/>
      </c>
      <c r="Y1729" s="52">
        <f>IF(P1729="","",IFERROR(INDEX(catGrupo,MATCH(D1729&amp;"|"&amp;E1729,catClave,0))&amp;"",""))</f>
        <v/>
      </c>
      <c r="Z1729" s="52">
        <f>IF(P1729="","",WEEKDAY(B1729,2))</f>
        <v/>
      </c>
      <c r="AA1729" s="52">
        <f>IF(P1729="","",IF(AND(P1729="Gasto",X1729="Variable",D1729&lt;&gt;catTrading,S1729&gt;0,S1729&lt;=Umbral),1,0))</f>
        <v/>
      </c>
      <c r="AB1729" s="52">
        <f>IF(OR(P1729="",Q1729=""),"",IFERROR(IF(INDEX(ctaVinc,MATCH(Q1729,ctaNombre,0))&amp;""&lt;&gt;"",INDEX(ctaVinc,MATCH(Q1729,ctaNombre,0))&amp;"",Q1729),Q1729))</f>
        <v/>
      </c>
      <c r="AC1729" s="52">
        <f>IF(OR(K1729="",AND(P1729&lt;&gt;"Transferencia",P1729&lt;&gt;"Pago tarjeta")),"",IFERROR(IF(INDEX(ctaVinc,MATCH(K1729,ctaNombre,0))&amp;""&lt;&gt;"",INDEX(ctaVinc,MATCH(K1729,ctaNombre,0))&amp;"",K1729),K1729))</f>
        <v/>
      </c>
      <c r="AD1729" s="52">
        <f>IF(AB1729="","",IFERROR(INDEX(ctaTipo,MATCH(AB1729,ctaNombre,0))&amp;"",""))</f>
        <v/>
      </c>
      <c r="AE1729" s="52">
        <f>IF(AC1729="","",IFERROR(INDEX(ctaTipo,MATCH(AC1729,ctaNombre,0))&amp;"",""))</f>
        <v/>
      </c>
      <c r="AF1729" s="53">
        <f>IF(OR(P1729="",AB1729=""),"",IF(OR(P1729="Gasto",P1729="Transferencia",P1729="Pago tarjeta"),-1,1)*IF(IFERROR(INDEX(ctaMoneda,MATCH(AB1729,ctaNombre,0))&amp;"","DOP")="USD",T1729,S1729))</f>
        <v/>
      </c>
      <c r="AG1729" s="53">
        <f>IF(AC1729="","",IF(IFERROR(INDEX(ctaMoneda,MATCH(AC1729,ctaNombre,0))&amp;"","DOP")="USD",T1729,S1729))</f>
        <v/>
      </c>
      <c r="AH1729" s="53">
        <f>IF(P1729="","",IF(AND(AD1729&lt;&gt;"",COUNTIFS(tcTipo,AD1729,tcLiq,"Sí")&gt;0),IF(OR(P1729="Gasto",P1729="Transferencia",P1729="Pago tarjeta"),-1,1)*S1729,0)+IF(AND(AE1729&lt;&gt;"",COUNTIFS(tcTipo,AE1729,tcLiq,"Sí")&gt;0),S1729,0))</f>
        <v/>
      </c>
      <c r="AI1729" s="52">
        <f>IF(OR(L1729="",P1729=""),"",IF(COUNTIFS(L$6:L1729,L1729,P$6:P1729,"?*")=1,MAX(AI$5:AI1728)+1,""))</f>
        <v/>
      </c>
    </row>
    <row r="1730">
      <c r="B1730" s="47" t="n"/>
      <c r="C1730" s="48" t="n"/>
      <c r="D1730" s="48" t="n"/>
      <c r="E1730" s="48" t="n"/>
      <c r="F1730" s="48" t="n"/>
      <c r="G1730" s="49" t="n"/>
      <c r="H1730" s="48" t="n"/>
      <c r="I1730" s="50" t="n"/>
      <c r="J1730" s="48" t="n"/>
      <c r="K1730" s="48" t="n"/>
      <c r="L1730" s="48" t="n"/>
      <c r="M1730" s="48" t="n"/>
      <c r="N1730" s="48" t="n"/>
      <c r="O1730" s="51">
        <f>IF(AND(B1730="",G1730="",C1730="",D1730="",J1730=""),"",IF(B1730="","⚠ Falta fecha",IF(G1730="","⚠ Falta monto",IF(Q1730="","⚠ Falta cuenta",IF(ISNA(MATCH(Q1730,ctaNombre,0)),"⚠ Cuenta no registrada",IF(AND(OR(P1730="Gasto",P1730="Reembolso"),D1730=""),"⚠ Falta categoría",IF(AND(D1730&lt;&gt;"",E1730&lt;&gt;"",ISNA(MATCH(D1730&amp;"|"&amp;E1730,catClave,0))),"⚠ Subcategoría no corresponde",IF(AND(OR(P1730="Transferencia",P1730="Pago tarjeta"),K1730=""),"⚠ Falta cuenta destino",IF(AND(K1730&lt;&gt;"",P1730&lt;&gt;"Transferencia",P1730&lt;&gt;"Pago tarjeta"),"⚠ Destino solo aplica a transferencias",IF(AND(K1730&lt;&gt;"",K1730=Q1730),"⚠ Origen igual a destino",IF(AND(K1730&lt;&gt;"",ISNA(MATCH(K1730,ctaNombre,0))),"⚠ Destino no registrado",IF(AND(P1730="Pago tarjeta",AE1730&lt;&gt;"Tarjeta de crédito"),"⚠ El destino debe ser tarjeta de crédito",IF(AND(P1730="Gasto",E1730="Depósitos y retiros"),"⚠ Usa tipo Transferencia",IF(AND(P1730="Resultado trading",AD1730&lt;&gt;"Cuenta de trading"),"⚠ Usa una cuenta de trading",IF(AND(G1730&lt;=0,P1730&lt;&gt;"Ajuste",P1730&lt;&gt;"Resultado trading"),"⚠ El monto debe ser positivo","✓")))))))))))))))</f>
        <v/>
      </c>
      <c r="P1730" s="52">
        <f>IF(OR(B1730="",G1730=""),"",IF(C1730="","Gasto",C1730))</f>
        <v/>
      </c>
      <c r="Q1730" s="52">
        <f>IF(P1730="","",IF(J1730&lt;&gt;"",J1730,CuentaPred&amp;""))</f>
        <v/>
      </c>
      <c r="R1730" s="52">
        <f>IF(P1730="","",IF(ISNUMBER(I1730),I1730,TasaUSD))</f>
        <v/>
      </c>
      <c r="S1730" s="53">
        <f>IF(P1730="","",IF(H1730="USD",G1730*R1730,G1730))</f>
        <v/>
      </c>
      <c r="T1730" s="53">
        <f>IF(P1730="","",IF(H1730="USD",G1730,IF(R1730&gt;0,G1730/R1730,0)))</f>
        <v/>
      </c>
      <c r="U1730" s="53">
        <f>IF(P1730="","",IF(P1730="Gasto",S1730,IF(P1730="Reembolso",-S1730,0)))</f>
        <v/>
      </c>
      <c r="V1730" s="53">
        <f>IF(P1730="","",IF(P1730="Ingreso",S1730,0))</f>
        <v/>
      </c>
      <c r="W1730" s="53">
        <f>IF(P1730="","",IF(P1730="Resultado trading",S1730,0))</f>
        <v/>
      </c>
      <c r="X1730" s="52">
        <f>IF(OR(P1730="Gasto",P1730="Reembolso"),IF(M1730&lt;&gt;"",M1730,IFERROR(INDEX(catClasif,MATCH(D1730&amp;"|"&amp;E1730,catClave,0))&amp;"","Variable")),"")</f>
        <v/>
      </c>
      <c r="Y1730" s="52">
        <f>IF(P1730="","",IFERROR(INDEX(catGrupo,MATCH(D1730&amp;"|"&amp;E1730,catClave,0))&amp;"",""))</f>
        <v/>
      </c>
      <c r="Z1730" s="52">
        <f>IF(P1730="","",WEEKDAY(B1730,2))</f>
        <v/>
      </c>
      <c r="AA1730" s="52">
        <f>IF(P1730="","",IF(AND(P1730="Gasto",X1730="Variable",D1730&lt;&gt;catTrading,S1730&gt;0,S1730&lt;=Umbral),1,0))</f>
        <v/>
      </c>
      <c r="AB1730" s="52">
        <f>IF(OR(P1730="",Q1730=""),"",IFERROR(IF(INDEX(ctaVinc,MATCH(Q1730,ctaNombre,0))&amp;""&lt;&gt;"",INDEX(ctaVinc,MATCH(Q1730,ctaNombre,0))&amp;"",Q1730),Q1730))</f>
        <v/>
      </c>
      <c r="AC1730" s="52">
        <f>IF(OR(K1730="",AND(P1730&lt;&gt;"Transferencia",P1730&lt;&gt;"Pago tarjeta")),"",IFERROR(IF(INDEX(ctaVinc,MATCH(K1730,ctaNombre,0))&amp;""&lt;&gt;"",INDEX(ctaVinc,MATCH(K1730,ctaNombre,0))&amp;"",K1730),K1730))</f>
        <v/>
      </c>
      <c r="AD1730" s="52">
        <f>IF(AB1730="","",IFERROR(INDEX(ctaTipo,MATCH(AB1730,ctaNombre,0))&amp;"",""))</f>
        <v/>
      </c>
      <c r="AE1730" s="52">
        <f>IF(AC1730="","",IFERROR(INDEX(ctaTipo,MATCH(AC1730,ctaNombre,0))&amp;"",""))</f>
        <v/>
      </c>
      <c r="AF1730" s="53">
        <f>IF(OR(P1730="",AB1730=""),"",IF(OR(P1730="Gasto",P1730="Transferencia",P1730="Pago tarjeta"),-1,1)*IF(IFERROR(INDEX(ctaMoneda,MATCH(AB1730,ctaNombre,0))&amp;"","DOP")="USD",T1730,S1730))</f>
        <v/>
      </c>
      <c r="AG1730" s="53">
        <f>IF(AC1730="","",IF(IFERROR(INDEX(ctaMoneda,MATCH(AC1730,ctaNombre,0))&amp;"","DOP")="USD",T1730,S1730))</f>
        <v/>
      </c>
      <c r="AH1730" s="53">
        <f>IF(P1730="","",IF(AND(AD1730&lt;&gt;"",COUNTIFS(tcTipo,AD1730,tcLiq,"Sí")&gt;0),IF(OR(P1730="Gasto",P1730="Transferencia",P1730="Pago tarjeta"),-1,1)*S1730,0)+IF(AND(AE1730&lt;&gt;"",COUNTIFS(tcTipo,AE1730,tcLiq,"Sí")&gt;0),S1730,0))</f>
        <v/>
      </c>
      <c r="AI1730" s="52">
        <f>IF(OR(L1730="",P1730=""),"",IF(COUNTIFS(L$6:L1730,L1730,P$6:P1730,"?*")=1,MAX(AI$5:AI1729)+1,""))</f>
        <v/>
      </c>
    </row>
    <row r="1731">
      <c r="B1731" s="47" t="n"/>
      <c r="C1731" s="48" t="n"/>
      <c r="D1731" s="48" t="n"/>
      <c r="E1731" s="48" t="n"/>
      <c r="F1731" s="48" t="n"/>
      <c r="G1731" s="49" t="n"/>
      <c r="H1731" s="48" t="n"/>
      <c r="I1731" s="50" t="n"/>
      <c r="J1731" s="48" t="n"/>
      <c r="K1731" s="48" t="n"/>
      <c r="L1731" s="48" t="n"/>
      <c r="M1731" s="48" t="n"/>
      <c r="N1731" s="48" t="n"/>
      <c r="O1731" s="51">
        <f>IF(AND(B1731="",G1731="",C1731="",D1731="",J1731=""),"",IF(B1731="","⚠ Falta fecha",IF(G1731="","⚠ Falta monto",IF(Q1731="","⚠ Falta cuenta",IF(ISNA(MATCH(Q1731,ctaNombre,0)),"⚠ Cuenta no registrada",IF(AND(OR(P1731="Gasto",P1731="Reembolso"),D1731=""),"⚠ Falta categoría",IF(AND(D1731&lt;&gt;"",E1731&lt;&gt;"",ISNA(MATCH(D1731&amp;"|"&amp;E1731,catClave,0))),"⚠ Subcategoría no corresponde",IF(AND(OR(P1731="Transferencia",P1731="Pago tarjeta"),K1731=""),"⚠ Falta cuenta destino",IF(AND(K1731&lt;&gt;"",P1731&lt;&gt;"Transferencia",P1731&lt;&gt;"Pago tarjeta"),"⚠ Destino solo aplica a transferencias",IF(AND(K1731&lt;&gt;"",K1731=Q1731),"⚠ Origen igual a destino",IF(AND(K1731&lt;&gt;"",ISNA(MATCH(K1731,ctaNombre,0))),"⚠ Destino no registrado",IF(AND(P1731="Pago tarjeta",AE1731&lt;&gt;"Tarjeta de crédito"),"⚠ El destino debe ser tarjeta de crédito",IF(AND(P1731="Gasto",E1731="Depósitos y retiros"),"⚠ Usa tipo Transferencia",IF(AND(P1731="Resultado trading",AD1731&lt;&gt;"Cuenta de trading"),"⚠ Usa una cuenta de trading",IF(AND(G1731&lt;=0,P1731&lt;&gt;"Ajuste",P1731&lt;&gt;"Resultado trading"),"⚠ El monto debe ser positivo","✓")))))))))))))))</f>
        <v/>
      </c>
      <c r="P1731" s="52">
        <f>IF(OR(B1731="",G1731=""),"",IF(C1731="","Gasto",C1731))</f>
        <v/>
      </c>
      <c r="Q1731" s="52">
        <f>IF(P1731="","",IF(J1731&lt;&gt;"",J1731,CuentaPred&amp;""))</f>
        <v/>
      </c>
      <c r="R1731" s="52">
        <f>IF(P1731="","",IF(ISNUMBER(I1731),I1731,TasaUSD))</f>
        <v/>
      </c>
      <c r="S1731" s="53">
        <f>IF(P1731="","",IF(H1731="USD",G1731*R1731,G1731))</f>
        <v/>
      </c>
      <c r="T1731" s="53">
        <f>IF(P1731="","",IF(H1731="USD",G1731,IF(R1731&gt;0,G1731/R1731,0)))</f>
        <v/>
      </c>
      <c r="U1731" s="53">
        <f>IF(P1731="","",IF(P1731="Gasto",S1731,IF(P1731="Reembolso",-S1731,0)))</f>
        <v/>
      </c>
      <c r="V1731" s="53">
        <f>IF(P1731="","",IF(P1731="Ingreso",S1731,0))</f>
        <v/>
      </c>
      <c r="W1731" s="53">
        <f>IF(P1731="","",IF(P1731="Resultado trading",S1731,0))</f>
        <v/>
      </c>
      <c r="X1731" s="52">
        <f>IF(OR(P1731="Gasto",P1731="Reembolso"),IF(M1731&lt;&gt;"",M1731,IFERROR(INDEX(catClasif,MATCH(D1731&amp;"|"&amp;E1731,catClave,0))&amp;"","Variable")),"")</f>
        <v/>
      </c>
      <c r="Y1731" s="52">
        <f>IF(P1731="","",IFERROR(INDEX(catGrupo,MATCH(D1731&amp;"|"&amp;E1731,catClave,0))&amp;"",""))</f>
        <v/>
      </c>
      <c r="Z1731" s="52">
        <f>IF(P1731="","",WEEKDAY(B1731,2))</f>
        <v/>
      </c>
      <c r="AA1731" s="52">
        <f>IF(P1731="","",IF(AND(P1731="Gasto",X1731="Variable",D1731&lt;&gt;catTrading,S1731&gt;0,S1731&lt;=Umbral),1,0))</f>
        <v/>
      </c>
      <c r="AB1731" s="52">
        <f>IF(OR(P1731="",Q1731=""),"",IFERROR(IF(INDEX(ctaVinc,MATCH(Q1731,ctaNombre,0))&amp;""&lt;&gt;"",INDEX(ctaVinc,MATCH(Q1731,ctaNombre,0))&amp;"",Q1731),Q1731))</f>
        <v/>
      </c>
      <c r="AC1731" s="52">
        <f>IF(OR(K1731="",AND(P1731&lt;&gt;"Transferencia",P1731&lt;&gt;"Pago tarjeta")),"",IFERROR(IF(INDEX(ctaVinc,MATCH(K1731,ctaNombre,0))&amp;""&lt;&gt;"",INDEX(ctaVinc,MATCH(K1731,ctaNombre,0))&amp;"",K1731),K1731))</f>
        <v/>
      </c>
      <c r="AD1731" s="52">
        <f>IF(AB1731="","",IFERROR(INDEX(ctaTipo,MATCH(AB1731,ctaNombre,0))&amp;"",""))</f>
        <v/>
      </c>
      <c r="AE1731" s="52">
        <f>IF(AC1731="","",IFERROR(INDEX(ctaTipo,MATCH(AC1731,ctaNombre,0))&amp;"",""))</f>
        <v/>
      </c>
      <c r="AF1731" s="53">
        <f>IF(OR(P1731="",AB1731=""),"",IF(OR(P1731="Gasto",P1731="Transferencia",P1731="Pago tarjeta"),-1,1)*IF(IFERROR(INDEX(ctaMoneda,MATCH(AB1731,ctaNombre,0))&amp;"","DOP")="USD",T1731,S1731))</f>
        <v/>
      </c>
      <c r="AG1731" s="53">
        <f>IF(AC1731="","",IF(IFERROR(INDEX(ctaMoneda,MATCH(AC1731,ctaNombre,0))&amp;"","DOP")="USD",T1731,S1731))</f>
        <v/>
      </c>
      <c r="AH1731" s="53">
        <f>IF(P1731="","",IF(AND(AD1731&lt;&gt;"",COUNTIFS(tcTipo,AD1731,tcLiq,"Sí")&gt;0),IF(OR(P1731="Gasto",P1731="Transferencia",P1731="Pago tarjeta"),-1,1)*S1731,0)+IF(AND(AE1731&lt;&gt;"",COUNTIFS(tcTipo,AE1731,tcLiq,"Sí")&gt;0),S1731,0))</f>
        <v/>
      </c>
      <c r="AI1731" s="52">
        <f>IF(OR(L1731="",P1731=""),"",IF(COUNTIFS(L$6:L1731,L1731,P$6:P1731,"?*")=1,MAX(AI$5:AI1730)+1,""))</f>
        <v/>
      </c>
    </row>
    <row r="1732">
      <c r="B1732" s="47" t="n"/>
      <c r="C1732" s="48" t="n"/>
      <c r="D1732" s="48" t="n"/>
      <c r="E1732" s="48" t="n"/>
      <c r="F1732" s="48" t="n"/>
      <c r="G1732" s="49" t="n"/>
      <c r="H1732" s="48" t="n"/>
      <c r="I1732" s="50" t="n"/>
      <c r="J1732" s="48" t="n"/>
      <c r="K1732" s="48" t="n"/>
      <c r="L1732" s="48" t="n"/>
      <c r="M1732" s="48" t="n"/>
      <c r="N1732" s="48" t="n"/>
      <c r="O1732" s="51">
        <f>IF(AND(B1732="",G1732="",C1732="",D1732="",J1732=""),"",IF(B1732="","⚠ Falta fecha",IF(G1732="","⚠ Falta monto",IF(Q1732="","⚠ Falta cuenta",IF(ISNA(MATCH(Q1732,ctaNombre,0)),"⚠ Cuenta no registrada",IF(AND(OR(P1732="Gasto",P1732="Reembolso"),D1732=""),"⚠ Falta categoría",IF(AND(D1732&lt;&gt;"",E1732&lt;&gt;"",ISNA(MATCH(D1732&amp;"|"&amp;E1732,catClave,0))),"⚠ Subcategoría no corresponde",IF(AND(OR(P1732="Transferencia",P1732="Pago tarjeta"),K1732=""),"⚠ Falta cuenta destino",IF(AND(K1732&lt;&gt;"",P1732&lt;&gt;"Transferencia",P1732&lt;&gt;"Pago tarjeta"),"⚠ Destino solo aplica a transferencias",IF(AND(K1732&lt;&gt;"",K1732=Q1732),"⚠ Origen igual a destino",IF(AND(K1732&lt;&gt;"",ISNA(MATCH(K1732,ctaNombre,0))),"⚠ Destino no registrado",IF(AND(P1732="Pago tarjeta",AE1732&lt;&gt;"Tarjeta de crédito"),"⚠ El destino debe ser tarjeta de crédito",IF(AND(P1732="Gasto",E1732="Depósitos y retiros"),"⚠ Usa tipo Transferencia",IF(AND(P1732="Resultado trading",AD1732&lt;&gt;"Cuenta de trading"),"⚠ Usa una cuenta de trading",IF(AND(G1732&lt;=0,P1732&lt;&gt;"Ajuste",P1732&lt;&gt;"Resultado trading"),"⚠ El monto debe ser positivo","✓")))))))))))))))</f>
        <v/>
      </c>
      <c r="P1732" s="52">
        <f>IF(OR(B1732="",G1732=""),"",IF(C1732="","Gasto",C1732))</f>
        <v/>
      </c>
      <c r="Q1732" s="52">
        <f>IF(P1732="","",IF(J1732&lt;&gt;"",J1732,CuentaPred&amp;""))</f>
        <v/>
      </c>
      <c r="R1732" s="52">
        <f>IF(P1732="","",IF(ISNUMBER(I1732),I1732,TasaUSD))</f>
        <v/>
      </c>
      <c r="S1732" s="53">
        <f>IF(P1732="","",IF(H1732="USD",G1732*R1732,G1732))</f>
        <v/>
      </c>
      <c r="T1732" s="53">
        <f>IF(P1732="","",IF(H1732="USD",G1732,IF(R1732&gt;0,G1732/R1732,0)))</f>
        <v/>
      </c>
      <c r="U1732" s="53">
        <f>IF(P1732="","",IF(P1732="Gasto",S1732,IF(P1732="Reembolso",-S1732,0)))</f>
        <v/>
      </c>
      <c r="V1732" s="53">
        <f>IF(P1732="","",IF(P1732="Ingreso",S1732,0))</f>
        <v/>
      </c>
      <c r="W1732" s="53">
        <f>IF(P1732="","",IF(P1732="Resultado trading",S1732,0))</f>
        <v/>
      </c>
      <c r="X1732" s="52">
        <f>IF(OR(P1732="Gasto",P1732="Reembolso"),IF(M1732&lt;&gt;"",M1732,IFERROR(INDEX(catClasif,MATCH(D1732&amp;"|"&amp;E1732,catClave,0))&amp;"","Variable")),"")</f>
        <v/>
      </c>
      <c r="Y1732" s="52">
        <f>IF(P1732="","",IFERROR(INDEX(catGrupo,MATCH(D1732&amp;"|"&amp;E1732,catClave,0))&amp;"",""))</f>
        <v/>
      </c>
      <c r="Z1732" s="52">
        <f>IF(P1732="","",WEEKDAY(B1732,2))</f>
        <v/>
      </c>
      <c r="AA1732" s="52">
        <f>IF(P1732="","",IF(AND(P1732="Gasto",X1732="Variable",D1732&lt;&gt;catTrading,S1732&gt;0,S1732&lt;=Umbral),1,0))</f>
        <v/>
      </c>
      <c r="AB1732" s="52">
        <f>IF(OR(P1732="",Q1732=""),"",IFERROR(IF(INDEX(ctaVinc,MATCH(Q1732,ctaNombre,0))&amp;""&lt;&gt;"",INDEX(ctaVinc,MATCH(Q1732,ctaNombre,0))&amp;"",Q1732),Q1732))</f>
        <v/>
      </c>
      <c r="AC1732" s="52">
        <f>IF(OR(K1732="",AND(P1732&lt;&gt;"Transferencia",P1732&lt;&gt;"Pago tarjeta")),"",IFERROR(IF(INDEX(ctaVinc,MATCH(K1732,ctaNombre,0))&amp;""&lt;&gt;"",INDEX(ctaVinc,MATCH(K1732,ctaNombre,0))&amp;"",K1732),K1732))</f>
        <v/>
      </c>
      <c r="AD1732" s="52">
        <f>IF(AB1732="","",IFERROR(INDEX(ctaTipo,MATCH(AB1732,ctaNombre,0))&amp;"",""))</f>
        <v/>
      </c>
      <c r="AE1732" s="52">
        <f>IF(AC1732="","",IFERROR(INDEX(ctaTipo,MATCH(AC1732,ctaNombre,0))&amp;"",""))</f>
        <v/>
      </c>
      <c r="AF1732" s="53">
        <f>IF(OR(P1732="",AB1732=""),"",IF(OR(P1732="Gasto",P1732="Transferencia",P1732="Pago tarjeta"),-1,1)*IF(IFERROR(INDEX(ctaMoneda,MATCH(AB1732,ctaNombre,0))&amp;"","DOP")="USD",T1732,S1732))</f>
        <v/>
      </c>
      <c r="AG1732" s="53">
        <f>IF(AC1732="","",IF(IFERROR(INDEX(ctaMoneda,MATCH(AC1732,ctaNombre,0))&amp;"","DOP")="USD",T1732,S1732))</f>
        <v/>
      </c>
      <c r="AH1732" s="53">
        <f>IF(P1732="","",IF(AND(AD1732&lt;&gt;"",COUNTIFS(tcTipo,AD1732,tcLiq,"Sí")&gt;0),IF(OR(P1732="Gasto",P1732="Transferencia",P1732="Pago tarjeta"),-1,1)*S1732,0)+IF(AND(AE1732&lt;&gt;"",COUNTIFS(tcTipo,AE1732,tcLiq,"Sí")&gt;0),S1732,0))</f>
        <v/>
      </c>
      <c r="AI1732" s="52">
        <f>IF(OR(L1732="",P1732=""),"",IF(COUNTIFS(L$6:L1732,L1732,P$6:P1732,"?*")=1,MAX(AI$5:AI1731)+1,""))</f>
        <v/>
      </c>
    </row>
    <row r="1733">
      <c r="B1733" s="47" t="n"/>
      <c r="C1733" s="48" t="n"/>
      <c r="D1733" s="48" t="n"/>
      <c r="E1733" s="48" t="n"/>
      <c r="F1733" s="48" t="n"/>
      <c r="G1733" s="49" t="n"/>
      <c r="H1733" s="48" t="n"/>
      <c r="I1733" s="50" t="n"/>
      <c r="J1733" s="48" t="n"/>
      <c r="K1733" s="48" t="n"/>
      <c r="L1733" s="48" t="n"/>
      <c r="M1733" s="48" t="n"/>
      <c r="N1733" s="48" t="n"/>
      <c r="O1733" s="51">
        <f>IF(AND(B1733="",G1733="",C1733="",D1733="",J1733=""),"",IF(B1733="","⚠ Falta fecha",IF(G1733="","⚠ Falta monto",IF(Q1733="","⚠ Falta cuenta",IF(ISNA(MATCH(Q1733,ctaNombre,0)),"⚠ Cuenta no registrada",IF(AND(OR(P1733="Gasto",P1733="Reembolso"),D1733=""),"⚠ Falta categoría",IF(AND(D1733&lt;&gt;"",E1733&lt;&gt;"",ISNA(MATCH(D1733&amp;"|"&amp;E1733,catClave,0))),"⚠ Subcategoría no corresponde",IF(AND(OR(P1733="Transferencia",P1733="Pago tarjeta"),K1733=""),"⚠ Falta cuenta destino",IF(AND(K1733&lt;&gt;"",P1733&lt;&gt;"Transferencia",P1733&lt;&gt;"Pago tarjeta"),"⚠ Destino solo aplica a transferencias",IF(AND(K1733&lt;&gt;"",K1733=Q1733),"⚠ Origen igual a destino",IF(AND(K1733&lt;&gt;"",ISNA(MATCH(K1733,ctaNombre,0))),"⚠ Destino no registrado",IF(AND(P1733="Pago tarjeta",AE1733&lt;&gt;"Tarjeta de crédito"),"⚠ El destino debe ser tarjeta de crédito",IF(AND(P1733="Gasto",E1733="Depósitos y retiros"),"⚠ Usa tipo Transferencia",IF(AND(P1733="Resultado trading",AD1733&lt;&gt;"Cuenta de trading"),"⚠ Usa una cuenta de trading",IF(AND(G1733&lt;=0,P1733&lt;&gt;"Ajuste",P1733&lt;&gt;"Resultado trading"),"⚠ El monto debe ser positivo","✓")))))))))))))))</f>
        <v/>
      </c>
      <c r="P1733" s="52">
        <f>IF(OR(B1733="",G1733=""),"",IF(C1733="","Gasto",C1733))</f>
        <v/>
      </c>
      <c r="Q1733" s="52">
        <f>IF(P1733="","",IF(J1733&lt;&gt;"",J1733,CuentaPred&amp;""))</f>
        <v/>
      </c>
      <c r="R1733" s="52">
        <f>IF(P1733="","",IF(ISNUMBER(I1733),I1733,TasaUSD))</f>
        <v/>
      </c>
      <c r="S1733" s="53">
        <f>IF(P1733="","",IF(H1733="USD",G1733*R1733,G1733))</f>
        <v/>
      </c>
      <c r="T1733" s="53">
        <f>IF(P1733="","",IF(H1733="USD",G1733,IF(R1733&gt;0,G1733/R1733,0)))</f>
        <v/>
      </c>
      <c r="U1733" s="53">
        <f>IF(P1733="","",IF(P1733="Gasto",S1733,IF(P1733="Reembolso",-S1733,0)))</f>
        <v/>
      </c>
      <c r="V1733" s="53">
        <f>IF(P1733="","",IF(P1733="Ingreso",S1733,0))</f>
        <v/>
      </c>
      <c r="W1733" s="53">
        <f>IF(P1733="","",IF(P1733="Resultado trading",S1733,0))</f>
        <v/>
      </c>
      <c r="X1733" s="52">
        <f>IF(OR(P1733="Gasto",P1733="Reembolso"),IF(M1733&lt;&gt;"",M1733,IFERROR(INDEX(catClasif,MATCH(D1733&amp;"|"&amp;E1733,catClave,0))&amp;"","Variable")),"")</f>
        <v/>
      </c>
      <c r="Y1733" s="52">
        <f>IF(P1733="","",IFERROR(INDEX(catGrupo,MATCH(D1733&amp;"|"&amp;E1733,catClave,0))&amp;"",""))</f>
        <v/>
      </c>
      <c r="Z1733" s="52">
        <f>IF(P1733="","",WEEKDAY(B1733,2))</f>
        <v/>
      </c>
      <c r="AA1733" s="52">
        <f>IF(P1733="","",IF(AND(P1733="Gasto",X1733="Variable",D1733&lt;&gt;catTrading,S1733&gt;0,S1733&lt;=Umbral),1,0))</f>
        <v/>
      </c>
      <c r="AB1733" s="52">
        <f>IF(OR(P1733="",Q1733=""),"",IFERROR(IF(INDEX(ctaVinc,MATCH(Q1733,ctaNombre,0))&amp;""&lt;&gt;"",INDEX(ctaVinc,MATCH(Q1733,ctaNombre,0))&amp;"",Q1733),Q1733))</f>
        <v/>
      </c>
      <c r="AC1733" s="52">
        <f>IF(OR(K1733="",AND(P1733&lt;&gt;"Transferencia",P1733&lt;&gt;"Pago tarjeta")),"",IFERROR(IF(INDEX(ctaVinc,MATCH(K1733,ctaNombre,0))&amp;""&lt;&gt;"",INDEX(ctaVinc,MATCH(K1733,ctaNombre,0))&amp;"",K1733),K1733))</f>
        <v/>
      </c>
      <c r="AD1733" s="52">
        <f>IF(AB1733="","",IFERROR(INDEX(ctaTipo,MATCH(AB1733,ctaNombre,0))&amp;"",""))</f>
        <v/>
      </c>
      <c r="AE1733" s="52">
        <f>IF(AC1733="","",IFERROR(INDEX(ctaTipo,MATCH(AC1733,ctaNombre,0))&amp;"",""))</f>
        <v/>
      </c>
      <c r="AF1733" s="53">
        <f>IF(OR(P1733="",AB1733=""),"",IF(OR(P1733="Gasto",P1733="Transferencia",P1733="Pago tarjeta"),-1,1)*IF(IFERROR(INDEX(ctaMoneda,MATCH(AB1733,ctaNombre,0))&amp;"","DOP")="USD",T1733,S1733))</f>
        <v/>
      </c>
      <c r="AG1733" s="53">
        <f>IF(AC1733="","",IF(IFERROR(INDEX(ctaMoneda,MATCH(AC1733,ctaNombre,0))&amp;"","DOP")="USD",T1733,S1733))</f>
        <v/>
      </c>
      <c r="AH1733" s="53">
        <f>IF(P1733="","",IF(AND(AD1733&lt;&gt;"",COUNTIFS(tcTipo,AD1733,tcLiq,"Sí")&gt;0),IF(OR(P1733="Gasto",P1733="Transferencia",P1733="Pago tarjeta"),-1,1)*S1733,0)+IF(AND(AE1733&lt;&gt;"",COUNTIFS(tcTipo,AE1733,tcLiq,"Sí")&gt;0),S1733,0))</f>
        <v/>
      </c>
      <c r="AI1733" s="52">
        <f>IF(OR(L1733="",P1733=""),"",IF(COUNTIFS(L$6:L1733,L1733,P$6:P1733,"?*")=1,MAX(AI$5:AI1732)+1,""))</f>
        <v/>
      </c>
    </row>
    <row r="1734">
      <c r="B1734" s="47" t="n"/>
      <c r="C1734" s="48" t="n"/>
      <c r="D1734" s="48" t="n"/>
      <c r="E1734" s="48" t="n"/>
      <c r="F1734" s="48" t="n"/>
      <c r="G1734" s="49" t="n"/>
      <c r="H1734" s="48" t="n"/>
      <c r="I1734" s="50" t="n"/>
      <c r="J1734" s="48" t="n"/>
      <c r="K1734" s="48" t="n"/>
      <c r="L1734" s="48" t="n"/>
      <c r="M1734" s="48" t="n"/>
      <c r="N1734" s="48" t="n"/>
      <c r="O1734" s="51">
        <f>IF(AND(B1734="",G1734="",C1734="",D1734="",J1734=""),"",IF(B1734="","⚠ Falta fecha",IF(G1734="","⚠ Falta monto",IF(Q1734="","⚠ Falta cuenta",IF(ISNA(MATCH(Q1734,ctaNombre,0)),"⚠ Cuenta no registrada",IF(AND(OR(P1734="Gasto",P1734="Reembolso"),D1734=""),"⚠ Falta categoría",IF(AND(D1734&lt;&gt;"",E1734&lt;&gt;"",ISNA(MATCH(D1734&amp;"|"&amp;E1734,catClave,0))),"⚠ Subcategoría no corresponde",IF(AND(OR(P1734="Transferencia",P1734="Pago tarjeta"),K1734=""),"⚠ Falta cuenta destino",IF(AND(K1734&lt;&gt;"",P1734&lt;&gt;"Transferencia",P1734&lt;&gt;"Pago tarjeta"),"⚠ Destino solo aplica a transferencias",IF(AND(K1734&lt;&gt;"",K1734=Q1734),"⚠ Origen igual a destino",IF(AND(K1734&lt;&gt;"",ISNA(MATCH(K1734,ctaNombre,0))),"⚠ Destino no registrado",IF(AND(P1734="Pago tarjeta",AE1734&lt;&gt;"Tarjeta de crédito"),"⚠ El destino debe ser tarjeta de crédito",IF(AND(P1734="Gasto",E1734="Depósitos y retiros"),"⚠ Usa tipo Transferencia",IF(AND(P1734="Resultado trading",AD1734&lt;&gt;"Cuenta de trading"),"⚠ Usa una cuenta de trading",IF(AND(G1734&lt;=0,P1734&lt;&gt;"Ajuste",P1734&lt;&gt;"Resultado trading"),"⚠ El monto debe ser positivo","✓")))))))))))))))</f>
        <v/>
      </c>
      <c r="P1734" s="52">
        <f>IF(OR(B1734="",G1734=""),"",IF(C1734="","Gasto",C1734))</f>
        <v/>
      </c>
      <c r="Q1734" s="52">
        <f>IF(P1734="","",IF(J1734&lt;&gt;"",J1734,CuentaPred&amp;""))</f>
        <v/>
      </c>
      <c r="R1734" s="52">
        <f>IF(P1734="","",IF(ISNUMBER(I1734),I1734,TasaUSD))</f>
        <v/>
      </c>
      <c r="S1734" s="53">
        <f>IF(P1734="","",IF(H1734="USD",G1734*R1734,G1734))</f>
        <v/>
      </c>
      <c r="T1734" s="53">
        <f>IF(P1734="","",IF(H1734="USD",G1734,IF(R1734&gt;0,G1734/R1734,0)))</f>
        <v/>
      </c>
      <c r="U1734" s="53">
        <f>IF(P1734="","",IF(P1734="Gasto",S1734,IF(P1734="Reembolso",-S1734,0)))</f>
        <v/>
      </c>
      <c r="V1734" s="53">
        <f>IF(P1734="","",IF(P1734="Ingreso",S1734,0))</f>
        <v/>
      </c>
      <c r="W1734" s="53">
        <f>IF(P1734="","",IF(P1734="Resultado trading",S1734,0))</f>
        <v/>
      </c>
      <c r="X1734" s="52">
        <f>IF(OR(P1734="Gasto",P1734="Reembolso"),IF(M1734&lt;&gt;"",M1734,IFERROR(INDEX(catClasif,MATCH(D1734&amp;"|"&amp;E1734,catClave,0))&amp;"","Variable")),"")</f>
        <v/>
      </c>
      <c r="Y1734" s="52">
        <f>IF(P1734="","",IFERROR(INDEX(catGrupo,MATCH(D1734&amp;"|"&amp;E1734,catClave,0))&amp;"",""))</f>
        <v/>
      </c>
      <c r="Z1734" s="52">
        <f>IF(P1734="","",WEEKDAY(B1734,2))</f>
        <v/>
      </c>
      <c r="AA1734" s="52">
        <f>IF(P1734="","",IF(AND(P1734="Gasto",X1734="Variable",D1734&lt;&gt;catTrading,S1734&gt;0,S1734&lt;=Umbral),1,0))</f>
        <v/>
      </c>
      <c r="AB1734" s="52">
        <f>IF(OR(P1734="",Q1734=""),"",IFERROR(IF(INDEX(ctaVinc,MATCH(Q1734,ctaNombre,0))&amp;""&lt;&gt;"",INDEX(ctaVinc,MATCH(Q1734,ctaNombre,0))&amp;"",Q1734),Q1734))</f>
        <v/>
      </c>
      <c r="AC1734" s="52">
        <f>IF(OR(K1734="",AND(P1734&lt;&gt;"Transferencia",P1734&lt;&gt;"Pago tarjeta")),"",IFERROR(IF(INDEX(ctaVinc,MATCH(K1734,ctaNombre,0))&amp;""&lt;&gt;"",INDEX(ctaVinc,MATCH(K1734,ctaNombre,0))&amp;"",K1734),K1734))</f>
        <v/>
      </c>
      <c r="AD1734" s="52">
        <f>IF(AB1734="","",IFERROR(INDEX(ctaTipo,MATCH(AB1734,ctaNombre,0))&amp;"",""))</f>
        <v/>
      </c>
      <c r="AE1734" s="52">
        <f>IF(AC1734="","",IFERROR(INDEX(ctaTipo,MATCH(AC1734,ctaNombre,0))&amp;"",""))</f>
        <v/>
      </c>
      <c r="AF1734" s="53">
        <f>IF(OR(P1734="",AB1734=""),"",IF(OR(P1734="Gasto",P1734="Transferencia",P1734="Pago tarjeta"),-1,1)*IF(IFERROR(INDEX(ctaMoneda,MATCH(AB1734,ctaNombre,0))&amp;"","DOP")="USD",T1734,S1734))</f>
        <v/>
      </c>
      <c r="AG1734" s="53">
        <f>IF(AC1734="","",IF(IFERROR(INDEX(ctaMoneda,MATCH(AC1734,ctaNombre,0))&amp;"","DOP")="USD",T1734,S1734))</f>
        <v/>
      </c>
      <c r="AH1734" s="53">
        <f>IF(P1734="","",IF(AND(AD1734&lt;&gt;"",COUNTIFS(tcTipo,AD1734,tcLiq,"Sí")&gt;0),IF(OR(P1734="Gasto",P1734="Transferencia",P1734="Pago tarjeta"),-1,1)*S1734,0)+IF(AND(AE1734&lt;&gt;"",COUNTIFS(tcTipo,AE1734,tcLiq,"Sí")&gt;0),S1734,0))</f>
        <v/>
      </c>
      <c r="AI1734" s="52">
        <f>IF(OR(L1734="",P1734=""),"",IF(COUNTIFS(L$6:L1734,L1734,P$6:P1734,"?*")=1,MAX(AI$5:AI1733)+1,""))</f>
        <v/>
      </c>
    </row>
    <row r="1735">
      <c r="B1735" s="47" t="n"/>
      <c r="C1735" s="48" t="n"/>
      <c r="D1735" s="48" t="n"/>
      <c r="E1735" s="48" t="n"/>
      <c r="F1735" s="48" t="n"/>
      <c r="G1735" s="49" t="n"/>
      <c r="H1735" s="48" t="n"/>
      <c r="I1735" s="50" t="n"/>
      <c r="J1735" s="48" t="n"/>
      <c r="K1735" s="48" t="n"/>
      <c r="L1735" s="48" t="n"/>
      <c r="M1735" s="48" t="n"/>
      <c r="N1735" s="48" t="n"/>
      <c r="O1735" s="51">
        <f>IF(AND(B1735="",G1735="",C1735="",D1735="",J1735=""),"",IF(B1735="","⚠ Falta fecha",IF(G1735="","⚠ Falta monto",IF(Q1735="","⚠ Falta cuenta",IF(ISNA(MATCH(Q1735,ctaNombre,0)),"⚠ Cuenta no registrada",IF(AND(OR(P1735="Gasto",P1735="Reembolso"),D1735=""),"⚠ Falta categoría",IF(AND(D1735&lt;&gt;"",E1735&lt;&gt;"",ISNA(MATCH(D1735&amp;"|"&amp;E1735,catClave,0))),"⚠ Subcategoría no corresponde",IF(AND(OR(P1735="Transferencia",P1735="Pago tarjeta"),K1735=""),"⚠ Falta cuenta destino",IF(AND(K1735&lt;&gt;"",P1735&lt;&gt;"Transferencia",P1735&lt;&gt;"Pago tarjeta"),"⚠ Destino solo aplica a transferencias",IF(AND(K1735&lt;&gt;"",K1735=Q1735),"⚠ Origen igual a destino",IF(AND(K1735&lt;&gt;"",ISNA(MATCH(K1735,ctaNombre,0))),"⚠ Destino no registrado",IF(AND(P1735="Pago tarjeta",AE1735&lt;&gt;"Tarjeta de crédito"),"⚠ El destino debe ser tarjeta de crédito",IF(AND(P1735="Gasto",E1735="Depósitos y retiros"),"⚠ Usa tipo Transferencia",IF(AND(P1735="Resultado trading",AD1735&lt;&gt;"Cuenta de trading"),"⚠ Usa una cuenta de trading",IF(AND(G1735&lt;=0,P1735&lt;&gt;"Ajuste",P1735&lt;&gt;"Resultado trading"),"⚠ El monto debe ser positivo","✓")))))))))))))))</f>
        <v/>
      </c>
      <c r="P1735" s="52">
        <f>IF(OR(B1735="",G1735=""),"",IF(C1735="","Gasto",C1735))</f>
        <v/>
      </c>
      <c r="Q1735" s="52">
        <f>IF(P1735="","",IF(J1735&lt;&gt;"",J1735,CuentaPred&amp;""))</f>
        <v/>
      </c>
      <c r="R1735" s="52">
        <f>IF(P1735="","",IF(ISNUMBER(I1735),I1735,TasaUSD))</f>
        <v/>
      </c>
      <c r="S1735" s="53">
        <f>IF(P1735="","",IF(H1735="USD",G1735*R1735,G1735))</f>
        <v/>
      </c>
      <c r="T1735" s="53">
        <f>IF(P1735="","",IF(H1735="USD",G1735,IF(R1735&gt;0,G1735/R1735,0)))</f>
        <v/>
      </c>
      <c r="U1735" s="53">
        <f>IF(P1735="","",IF(P1735="Gasto",S1735,IF(P1735="Reembolso",-S1735,0)))</f>
        <v/>
      </c>
      <c r="V1735" s="53">
        <f>IF(P1735="","",IF(P1735="Ingreso",S1735,0))</f>
        <v/>
      </c>
      <c r="W1735" s="53">
        <f>IF(P1735="","",IF(P1735="Resultado trading",S1735,0))</f>
        <v/>
      </c>
      <c r="X1735" s="52">
        <f>IF(OR(P1735="Gasto",P1735="Reembolso"),IF(M1735&lt;&gt;"",M1735,IFERROR(INDEX(catClasif,MATCH(D1735&amp;"|"&amp;E1735,catClave,0))&amp;"","Variable")),"")</f>
        <v/>
      </c>
      <c r="Y1735" s="52">
        <f>IF(P1735="","",IFERROR(INDEX(catGrupo,MATCH(D1735&amp;"|"&amp;E1735,catClave,0))&amp;"",""))</f>
        <v/>
      </c>
      <c r="Z1735" s="52">
        <f>IF(P1735="","",WEEKDAY(B1735,2))</f>
        <v/>
      </c>
      <c r="AA1735" s="52">
        <f>IF(P1735="","",IF(AND(P1735="Gasto",X1735="Variable",D1735&lt;&gt;catTrading,S1735&gt;0,S1735&lt;=Umbral),1,0))</f>
        <v/>
      </c>
      <c r="AB1735" s="52">
        <f>IF(OR(P1735="",Q1735=""),"",IFERROR(IF(INDEX(ctaVinc,MATCH(Q1735,ctaNombre,0))&amp;""&lt;&gt;"",INDEX(ctaVinc,MATCH(Q1735,ctaNombre,0))&amp;"",Q1735),Q1735))</f>
        <v/>
      </c>
      <c r="AC1735" s="52">
        <f>IF(OR(K1735="",AND(P1735&lt;&gt;"Transferencia",P1735&lt;&gt;"Pago tarjeta")),"",IFERROR(IF(INDEX(ctaVinc,MATCH(K1735,ctaNombre,0))&amp;""&lt;&gt;"",INDEX(ctaVinc,MATCH(K1735,ctaNombre,0))&amp;"",K1735),K1735))</f>
        <v/>
      </c>
      <c r="AD1735" s="52">
        <f>IF(AB1735="","",IFERROR(INDEX(ctaTipo,MATCH(AB1735,ctaNombre,0))&amp;"",""))</f>
        <v/>
      </c>
      <c r="AE1735" s="52">
        <f>IF(AC1735="","",IFERROR(INDEX(ctaTipo,MATCH(AC1735,ctaNombre,0))&amp;"",""))</f>
        <v/>
      </c>
      <c r="AF1735" s="53">
        <f>IF(OR(P1735="",AB1735=""),"",IF(OR(P1735="Gasto",P1735="Transferencia",P1735="Pago tarjeta"),-1,1)*IF(IFERROR(INDEX(ctaMoneda,MATCH(AB1735,ctaNombre,0))&amp;"","DOP")="USD",T1735,S1735))</f>
        <v/>
      </c>
      <c r="AG1735" s="53">
        <f>IF(AC1735="","",IF(IFERROR(INDEX(ctaMoneda,MATCH(AC1735,ctaNombre,0))&amp;"","DOP")="USD",T1735,S1735))</f>
        <v/>
      </c>
      <c r="AH1735" s="53">
        <f>IF(P1735="","",IF(AND(AD1735&lt;&gt;"",COUNTIFS(tcTipo,AD1735,tcLiq,"Sí")&gt;0),IF(OR(P1735="Gasto",P1735="Transferencia",P1735="Pago tarjeta"),-1,1)*S1735,0)+IF(AND(AE1735&lt;&gt;"",COUNTIFS(tcTipo,AE1735,tcLiq,"Sí")&gt;0),S1735,0))</f>
        <v/>
      </c>
      <c r="AI1735" s="52">
        <f>IF(OR(L1735="",P1735=""),"",IF(COUNTIFS(L$6:L1735,L1735,P$6:P1735,"?*")=1,MAX(AI$5:AI1734)+1,""))</f>
        <v/>
      </c>
    </row>
    <row r="1736">
      <c r="B1736" s="47" t="n"/>
      <c r="C1736" s="48" t="n"/>
      <c r="D1736" s="48" t="n"/>
      <c r="E1736" s="48" t="n"/>
      <c r="F1736" s="48" t="n"/>
      <c r="G1736" s="49" t="n"/>
      <c r="H1736" s="48" t="n"/>
      <c r="I1736" s="50" t="n"/>
      <c r="J1736" s="48" t="n"/>
      <c r="K1736" s="48" t="n"/>
      <c r="L1736" s="48" t="n"/>
      <c r="M1736" s="48" t="n"/>
      <c r="N1736" s="48" t="n"/>
      <c r="O1736" s="51">
        <f>IF(AND(B1736="",G1736="",C1736="",D1736="",J1736=""),"",IF(B1736="","⚠ Falta fecha",IF(G1736="","⚠ Falta monto",IF(Q1736="","⚠ Falta cuenta",IF(ISNA(MATCH(Q1736,ctaNombre,0)),"⚠ Cuenta no registrada",IF(AND(OR(P1736="Gasto",P1736="Reembolso"),D1736=""),"⚠ Falta categoría",IF(AND(D1736&lt;&gt;"",E1736&lt;&gt;"",ISNA(MATCH(D1736&amp;"|"&amp;E1736,catClave,0))),"⚠ Subcategoría no corresponde",IF(AND(OR(P1736="Transferencia",P1736="Pago tarjeta"),K1736=""),"⚠ Falta cuenta destino",IF(AND(K1736&lt;&gt;"",P1736&lt;&gt;"Transferencia",P1736&lt;&gt;"Pago tarjeta"),"⚠ Destino solo aplica a transferencias",IF(AND(K1736&lt;&gt;"",K1736=Q1736),"⚠ Origen igual a destino",IF(AND(K1736&lt;&gt;"",ISNA(MATCH(K1736,ctaNombre,0))),"⚠ Destino no registrado",IF(AND(P1736="Pago tarjeta",AE1736&lt;&gt;"Tarjeta de crédito"),"⚠ El destino debe ser tarjeta de crédito",IF(AND(P1736="Gasto",E1736="Depósitos y retiros"),"⚠ Usa tipo Transferencia",IF(AND(P1736="Resultado trading",AD1736&lt;&gt;"Cuenta de trading"),"⚠ Usa una cuenta de trading",IF(AND(G1736&lt;=0,P1736&lt;&gt;"Ajuste",P1736&lt;&gt;"Resultado trading"),"⚠ El monto debe ser positivo","✓")))))))))))))))</f>
        <v/>
      </c>
      <c r="P1736" s="52">
        <f>IF(OR(B1736="",G1736=""),"",IF(C1736="","Gasto",C1736))</f>
        <v/>
      </c>
      <c r="Q1736" s="52">
        <f>IF(P1736="","",IF(J1736&lt;&gt;"",J1736,CuentaPred&amp;""))</f>
        <v/>
      </c>
      <c r="R1736" s="52">
        <f>IF(P1736="","",IF(ISNUMBER(I1736),I1736,TasaUSD))</f>
        <v/>
      </c>
      <c r="S1736" s="53">
        <f>IF(P1736="","",IF(H1736="USD",G1736*R1736,G1736))</f>
        <v/>
      </c>
      <c r="T1736" s="53">
        <f>IF(P1736="","",IF(H1736="USD",G1736,IF(R1736&gt;0,G1736/R1736,0)))</f>
        <v/>
      </c>
      <c r="U1736" s="53">
        <f>IF(P1736="","",IF(P1736="Gasto",S1736,IF(P1736="Reembolso",-S1736,0)))</f>
        <v/>
      </c>
      <c r="V1736" s="53">
        <f>IF(P1736="","",IF(P1736="Ingreso",S1736,0))</f>
        <v/>
      </c>
      <c r="W1736" s="53">
        <f>IF(P1736="","",IF(P1736="Resultado trading",S1736,0))</f>
        <v/>
      </c>
      <c r="X1736" s="52">
        <f>IF(OR(P1736="Gasto",P1736="Reembolso"),IF(M1736&lt;&gt;"",M1736,IFERROR(INDEX(catClasif,MATCH(D1736&amp;"|"&amp;E1736,catClave,0))&amp;"","Variable")),"")</f>
        <v/>
      </c>
      <c r="Y1736" s="52">
        <f>IF(P1736="","",IFERROR(INDEX(catGrupo,MATCH(D1736&amp;"|"&amp;E1736,catClave,0))&amp;"",""))</f>
        <v/>
      </c>
      <c r="Z1736" s="52">
        <f>IF(P1736="","",WEEKDAY(B1736,2))</f>
        <v/>
      </c>
      <c r="AA1736" s="52">
        <f>IF(P1736="","",IF(AND(P1736="Gasto",X1736="Variable",D1736&lt;&gt;catTrading,S1736&gt;0,S1736&lt;=Umbral),1,0))</f>
        <v/>
      </c>
      <c r="AB1736" s="52">
        <f>IF(OR(P1736="",Q1736=""),"",IFERROR(IF(INDEX(ctaVinc,MATCH(Q1736,ctaNombre,0))&amp;""&lt;&gt;"",INDEX(ctaVinc,MATCH(Q1736,ctaNombre,0))&amp;"",Q1736),Q1736))</f>
        <v/>
      </c>
      <c r="AC1736" s="52">
        <f>IF(OR(K1736="",AND(P1736&lt;&gt;"Transferencia",P1736&lt;&gt;"Pago tarjeta")),"",IFERROR(IF(INDEX(ctaVinc,MATCH(K1736,ctaNombre,0))&amp;""&lt;&gt;"",INDEX(ctaVinc,MATCH(K1736,ctaNombre,0))&amp;"",K1736),K1736))</f>
        <v/>
      </c>
      <c r="AD1736" s="52">
        <f>IF(AB1736="","",IFERROR(INDEX(ctaTipo,MATCH(AB1736,ctaNombre,0))&amp;"",""))</f>
        <v/>
      </c>
      <c r="AE1736" s="52">
        <f>IF(AC1736="","",IFERROR(INDEX(ctaTipo,MATCH(AC1736,ctaNombre,0))&amp;"",""))</f>
        <v/>
      </c>
      <c r="AF1736" s="53">
        <f>IF(OR(P1736="",AB1736=""),"",IF(OR(P1736="Gasto",P1736="Transferencia",P1736="Pago tarjeta"),-1,1)*IF(IFERROR(INDEX(ctaMoneda,MATCH(AB1736,ctaNombre,0))&amp;"","DOP")="USD",T1736,S1736))</f>
        <v/>
      </c>
      <c r="AG1736" s="53">
        <f>IF(AC1736="","",IF(IFERROR(INDEX(ctaMoneda,MATCH(AC1736,ctaNombre,0))&amp;"","DOP")="USD",T1736,S1736))</f>
        <v/>
      </c>
      <c r="AH1736" s="53">
        <f>IF(P1736="","",IF(AND(AD1736&lt;&gt;"",COUNTIFS(tcTipo,AD1736,tcLiq,"Sí")&gt;0),IF(OR(P1736="Gasto",P1736="Transferencia",P1736="Pago tarjeta"),-1,1)*S1736,0)+IF(AND(AE1736&lt;&gt;"",COUNTIFS(tcTipo,AE1736,tcLiq,"Sí")&gt;0),S1736,0))</f>
        <v/>
      </c>
      <c r="AI1736" s="52">
        <f>IF(OR(L1736="",P1736=""),"",IF(COUNTIFS(L$6:L1736,L1736,P$6:P1736,"?*")=1,MAX(AI$5:AI1735)+1,""))</f>
        <v/>
      </c>
    </row>
    <row r="1737">
      <c r="B1737" s="47" t="n"/>
      <c r="C1737" s="48" t="n"/>
      <c r="D1737" s="48" t="n"/>
      <c r="E1737" s="48" t="n"/>
      <c r="F1737" s="48" t="n"/>
      <c r="G1737" s="49" t="n"/>
      <c r="H1737" s="48" t="n"/>
      <c r="I1737" s="50" t="n"/>
      <c r="J1737" s="48" t="n"/>
      <c r="K1737" s="48" t="n"/>
      <c r="L1737" s="48" t="n"/>
      <c r="M1737" s="48" t="n"/>
      <c r="N1737" s="48" t="n"/>
      <c r="O1737" s="51">
        <f>IF(AND(B1737="",G1737="",C1737="",D1737="",J1737=""),"",IF(B1737="","⚠ Falta fecha",IF(G1737="","⚠ Falta monto",IF(Q1737="","⚠ Falta cuenta",IF(ISNA(MATCH(Q1737,ctaNombre,0)),"⚠ Cuenta no registrada",IF(AND(OR(P1737="Gasto",P1737="Reembolso"),D1737=""),"⚠ Falta categoría",IF(AND(D1737&lt;&gt;"",E1737&lt;&gt;"",ISNA(MATCH(D1737&amp;"|"&amp;E1737,catClave,0))),"⚠ Subcategoría no corresponde",IF(AND(OR(P1737="Transferencia",P1737="Pago tarjeta"),K1737=""),"⚠ Falta cuenta destino",IF(AND(K1737&lt;&gt;"",P1737&lt;&gt;"Transferencia",P1737&lt;&gt;"Pago tarjeta"),"⚠ Destino solo aplica a transferencias",IF(AND(K1737&lt;&gt;"",K1737=Q1737),"⚠ Origen igual a destino",IF(AND(K1737&lt;&gt;"",ISNA(MATCH(K1737,ctaNombre,0))),"⚠ Destino no registrado",IF(AND(P1737="Pago tarjeta",AE1737&lt;&gt;"Tarjeta de crédito"),"⚠ El destino debe ser tarjeta de crédito",IF(AND(P1737="Gasto",E1737="Depósitos y retiros"),"⚠ Usa tipo Transferencia",IF(AND(P1737="Resultado trading",AD1737&lt;&gt;"Cuenta de trading"),"⚠ Usa una cuenta de trading",IF(AND(G1737&lt;=0,P1737&lt;&gt;"Ajuste",P1737&lt;&gt;"Resultado trading"),"⚠ El monto debe ser positivo","✓")))))))))))))))</f>
        <v/>
      </c>
      <c r="P1737" s="52">
        <f>IF(OR(B1737="",G1737=""),"",IF(C1737="","Gasto",C1737))</f>
        <v/>
      </c>
      <c r="Q1737" s="52">
        <f>IF(P1737="","",IF(J1737&lt;&gt;"",J1737,CuentaPred&amp;""))</f>
        <v/>
      </c>
      <c r="R1737" s="52">
        <f>IF(P1737="","",IF(ISNUMBER(I1737),I1737,TasaUSD))</f>
        <v/>
      </c>
      <c r="S1737" s="53">
        <f>IF(P1737="","",IF(H1737="USD",G1737*R1737,G1737))</f>
        <v/>
      </c>
      <c r="T1737" s="53">
        <f>IF(P1737="","",IF(H1737="USD",G1737,IF(R1737&gt;0,G1737/R1737,0)))</f>
        <v/>
      </c>
      <c r="U1737" s="53">
        <f>IF(P1737="","",IF(P1737="Gasto",S1737,IF(P1737="Reembolso",-S1737,0)))</f>
        <v/>
      </c>
      <c r="V1737" s="53">
        <f>IF(P1737="","",IF(P1737="Ingreso",S1737,0))</f>
        <v/>
      </c>
      <c r="W1737" s="53">
        <f>IF(P1737="","",IF(P1737="Resultado trading",S1737,0))</f>
        <v/>
      </c>
      <c r="X1737" s="52">
        <f>IF(OR(P1737="Gasto",P1737="Reembolso"),IF(M1737&lt;&gt;"",M1737,IFERROR(INDEX(catClasif,MATCH(D1737&amp;"|"&amp;E1737,catClave,0))&amp;"","Variable")),"")</f>
        <v/>
      </c>
      <c r="Y1737" s="52">
        <f>IF(P1737="","",IFERROR(INDEX(catGrupo,MATCH(D1737&amp;"|"&amp;E1737,catClave,0))&amp;"",""))</f>
        <v/>
      </c>
      <c r="Z1737" s="52">
        <f>IF(P1737="","",WEEKDAY(B1737,2))</f>
        <v/>
      </c>
      <c r="AA1737" s="52">
        <f>IF(P1737="","",IF(AND(P1737="Gasto",X1737="Variable",D1737&lt;&gt;catTrading,S1737&gt;0,S1737&lt;=Umbral),1,0))</f>
        <v/>
      </c>
      <c r="AB1737" s="52">
        <f>IF(OR(P1737="",Q1737=""),"",IFERROR(IF(INDEX(ctaVinc,MATCH(Q1737,ctaNombre,0))&amp;""&lt;&gt;"",INDEX(ctaVinc,MATCH(Q1737,ctaNombre,0))&amp;"",Q1737),Q1737))</f>
        <v/>
      </c>
      <c r="AC1737" s="52">
        <f>IF(OR(K1737="",AND(P1737&lt;&gt;"Transferencia",P1737&lt;&gt;"Pago tarjeta")),"",IFERROR(IF(INDEX(ctaVinc,MATCH(K1737,ctaNombre,0))&amp;""&lt;&gt;"",INDEX(ctaVinc,MATCH(K1737,ctaNombre,0))&amp;"",K1737),K1737))</f>
        <v/>
      </c>
      <c r="AD1737" s="52">
        <f>IF(AB1737="","",IFERROR(INDEX(ctaTipo,MATCH(AB1737,ctaNombre,0))&amp;"",""))</f>
        <v/>
      </c>
      <c r="AE1737" s="52">
        <f>IF(AC1737="","",IFERROR(INDEX(ctaTipo,MATCH(AC1737,ctaNombre,0))&amp;"",""))</f>
        <v/>
      </c>
      <c r="AF1737" s="53">
        <f>IF(OR(P1737="",AB1737=""),"",IF(OR(P1737="Gasto",P1737="Transferencia",P1737="Pago tarjeta"),-1,1)*IF(IFERROR(INDEX(ctaMoneda,MATCH(AB1737,ctaNombre,0))&amp;"","DOP")="USD",T1737,S1737))</f>
        <v/>
      </c>
      <c r="AG1737" s="53">
        <f>IF(AC1737="","",IF(IFERROR(INDEX(ctaMoneda,MATCH(AC1737,ctaNombre,0))&amp;"","DOP")="USD",T1737,S1737))</f>
        <v/>
      </c>
      <c r="AH1737" s="53">
        <f>IF(P1737="","",IF(AND(AD1737&lt;&gt;"",COUNTIFS(tcTipo,AD1737,tcLiq,"Sí")&gt;0),IF(OR(P1737="Gasto",P1737="Transferencia",P1737="Pago tarjeta"),-1,1)*S1737,0)+IF(AND(AE1737&lt;&gt;"",COUNTIFS(tcTipo,AE1737,tcLiq,"Sí")&gt;0),S1737,0))</f>
        <v/>
      </c>
      <c r="AI1737" s="52">
        <f>IF(OR(L1737="",P1737=""),"",IF(COUNTIFS(L$6:L1737,L1737,P$6:P1737,"?*")=1,MAX(AI$5:AI1736)+1,""))</f>
        <v/>
      </c>
    </row>
    <row r="1738">
      <c r="B1738" s="47" t="n"/>
      <c r="C1738" s="48" t="n"/>
      <c r="D1738" s="48" t="n"/>
      <c r="E1738" s="48" t="n"/>
      <c r="F1738" s="48" t="n"/>
      <c r="G1738" s="49" t="n"/>
      <c r="H1738" s="48" t="n"/>
      <c r="I1738" s="50" t="n"/>
      <c r="J1738" s="48" t="n"/>
      <c r="K1738" s="48" t="n"/>
      <c r="L1738" s="48" t="n"/>
      <c r="M1738" s="48" t="n"/>
      <c r="N1738" s="48" t="n"/>
      <c r="O1738" s="51">
        <f>IF(AND(B1738="",G1738="",C1738="",D1738="",J1738=""),"",IF(B1738="","⚠ Falta fecha",IF(G1738="","⚠ Falta monto",IF(Q1738="","⚠ Falta cuenta",IF(ISNA(MATCH(Q1738,ctaNombre,0)),"⚠ Cuenta no registrada",IF(AND(OR(P1738="Gasto",P1738="Reembolso"),D1738=""),"⚠ Falta categoría",IF(AND(D1738&lt;&gt;"",E1738&lt;&gt;"",ISNA(MATCH(D1738&amp;"|"&amp;E1738,catClave,0))),"⚠ Subcategoría no corresponde",IF(AND(OR(P1738="Transferencia",P1738="Pago tarjeta"),K1738=""),"⚠ Falta cuenta destino",IF(AND(K1738&lt;&gt;"",P1738&lt;&gt;"Transferencia",P1738&lt;&gt;"Pago tarjeta"),"⚠ Destino solo aplica a transferencias",IF(AND(K1738&lt;&gt;"",K1738=Q1738),"⚠ Origen igual a destino",IF(AND(K1738&lt;&gt;"",ISNA(MATCH(K1738,ctaNombre,0))),"⚠ Destino no registrado",IF(AND(P1738="Pago tarjeta",AE1738&lt;&gt;"Tarjeta de crédito"),"⚠ El destino debe ser tarjeta de crédito",IF(AND(P1738="Gasto",E1738="Depósitos y retiros"),"⚠ Usa tipo Transferencia",IF(AND(P1738="Resultado trading",AD1738&lt;&gt;"Cuenta de trading"),"⚠ Usa una cuenta de trading",IF(AND(G1738&lt;=0,P1738&lt;&gt;"Ajuste",P1738&lt;&gt;"Resultado trading"),"⚠ El monto debe ser positivo","✓")))))))))))))))</f>
        <v/>
      </c>
      <c r="P1738" s="52">
        <f>IF(OR(B1738="",G1738=""),"",IF(C1738="","Gasto",C1738))</f>
        <v/>
      </c>
      <c r="Q1738" s="52">
        <f>IF(P1738="","",IF(J1738&lt;&gt;"",J1738,CuentaPred&amp;""))</f>
        <v/>
      </c>
      <c r="R1738" s="52">
        <f>IF(P1738="","",IF(ISNUMBER(I1738),I1738,TasaUSD))</f>
        <v/>
      </c>
      <c r="S1738" s="53">
        <f>IF(P1738="","",IF(H1738="USD",G1738*R1738,G1738))</f>
        <v/>
      </c>
      <c r="T1738" s="53">
        <f>IF(P1738="","",IF(H1738="USD",G1738,IF(R1738&gt;0,G1738/R1738,0)))</f>
        <v/>
      </c>
      <c r="U1738" s="53">
        <f>IF(P1738="","",IF(P1738="Gasto",S1738,IF(P1738="Reembolso",-S1738,0)))</f>
        <v/>
      </c>
      <c r="V1738" s="53">
        <f>IF(P1738="","",IF(P1738="Ingreso",S1738,0))</f>
        <v/>
      </c>
      <c r="W1738" s="53">
        <f>IF(P1738="","",IF(P1738="Resultado trading",S1738,0))</f>
        <v/>
      </c>
      <c r="X1738" s="52">
        <f>IF(OR(P1738="Gasto",P1738="Reembolso"),IF(M1738&lt;&gt;"",M1738,IFERROR(INDEX(catClasif,MATCH(D1738&amp;"|"&amp;E1738,catClave,0))&amp;"","Variable")),"")</f>
        <v/>
      </c>
      <c r="Y1738" s="52">
        <f>IF(P1738="","",IFERROR(INDEX(catGrupo,MATCH(D1738&amp;"|"&amp;E1738,catClave,0))&amp;"",""))</f>
        <v/>
      </c>
      <c r="Z1738" s="52">
        <f>IF(P1738="","",WEEKDAY(B1738,2))</f>
        <v/>
      </c>
      <c r="AA1738" s="52">
        <f>IF(P1738="","",IF(AND(P1738="Gasto",X1738="Variable",D1738&lt;&gt;catTrading,S1738&gt;0,S1738&lt;=Umbral),1,0))</f>
        <v/>
      </c>
      <c r="AB1738" s="52">
        <f>IF(OR(P1738="",Q1738=""),"",IFERROR(IF(INDEX(ctaVinc,MATCH(Q1738,ctaNombre,0))&amp;""&lt;&gt;"",INDEX(ctaVinc,MATCH(Q1738,ctaNombre,0))&amp;"",Q1738),Q1738))</f>
        <v/>
      </c>
      <c r="AC1738" s="52">
        <f>IF(OR(K1738="",AND(P1738&lt;&gt;"Transferencia",P1738&lt;&gt;"Pago tarjeta")),"",IFERROR(IF(INDEX(ctaVinc,MATCH(K1738,ctaNombre,0))&amp;""&lt;&gt;"",INDEX(ctaVinc,MATCH(K1738,ctaNombre,0))&amp;"",K1738),K1738))</f>
        <v/>
      </c>
      <c r="AD1738" s="52">
        <f>IF(AB1738="","",IFERROR(INDEX(ctaTipo,MATCH(AB1738,ctaNombre,0))&amp;"",""))</f>
        <v/>
      </c>
      <c r="AE1738" s="52">
        <f>IF(AC1738="","",IFERROR(INDEX(ctaTipo,MATCH(AC1738,ctaNombre,0))&amp;"",""))</f>
        <v/>
      </c>
      <c r="AF1738" s="53">
        <f>IF(OR(P1738="",AB1738=""),"",IF(OR(P1738="Gasto",P1738="Transferencia",P1738="Pago tarjeta"),-1,1)*IF(IFERROR(INDEX(ctaMoneda,MATCH(AB1738,ctaNombre,0))&amp;"","DOP")="USD",T1738,S1738))</f>
        <v/>
      </c>
      <c r="AG1738" s="53">
        <f>IF(AC1738="","",IF(IFERROR(INDEX(ctaMoneda,MATCH(AC1738,ctaNombre,0))&amp;"","DOP")="USD",T1738,S1738))</f>
        <v/>
      </c>
      <c r="AH1738" s="53">
        <f>IF(P1738="","",IF(AND(AD1738&lt;&gt;"",COUNTIFS(tcTipo,AD1738,tcLiq,"Sí")&gt;0),IF(OR(P1738="Gasto",P1738="Transferencia",P1738="Pago tarjeta"),-1,1)*S1738,0)+IF(AND(AE1738&lt;&gt;"",COUNTIFS(tcTipo,AE1738,tcLiq,"Sí")&gt;0),S1738,0))</f>
        <v/>
      </c>
      <c r="AI1738" s="52">
        <f>IF(OR(L1738="",P1738=""),"",IF(COUNTIFS(L$6:L1738,L1738,P$6:P1738,"?*")=1,MAX(AI$5:AI1737)+1,""))</f>
        <v/>
      </c>
    </row>
    <row r="1739">
      <c r="B1739" s="47" t="n"/>
      <c r="C1739" s="48" t="n"/>
      <c r="D1739" s="48" t="n"/>
      <c r="E1739" s="48" t="n"/>
      <c r="F1739" s="48" t="n"/>
      <c r="G1739" s="49" t="n"/>
      <c r="H1739" s="48" t="n"/>
      <c r="I1739" s="50" t="n"/>
      <c r="J1739" s="48" t="n"/>
      <c r="K1739" s="48" t="n"/>
      <c r="L1739" s="48" t="n"/>
      <c r="M1739" s="48" t="n"/>
      <c r="N1739" s="48" t="n"/>
      <c r="O1739" s="51">
        <f>IF(AND(B1739="",G1739="",C1739="",D1739="",J1739=""),"",IF(B1739="","⚠ Falta fecha",IF(G1739="","⚠ Falta monto",IF(Q1739="","⚠ Falta cuenta",IF(ISNA(MATCH(Q1739,ctaNombre,0)),"⚠ Cuenta no registrada",IF(AND(OR(P1739="Gasto",P1739="Reembolso"),D1739=""),"⚠ Falta categoría",IF(AND(D1739&lt;&gt;"",E1739&lt;&gt;"",ISNA(MATCH(D1739&amp;"|"&amp;E1739,catClave,0))),"⚠ Subcategoría no corresponde",IF(AND(OR(P1739="Transferencia",P1739="Pago tarjeta"),K1739=""),"⚠ Falta cuenta destino",IF(AND(K1739&lt;&gt;"",P1739&lt;&gt;"Transferencia",P1739&lt;&gt;"Pago tarjeta"),"⚠ Destino solo aplica a transferencias",IF(AND(K1739&lt;&gt;"",K1739=Q1739),"⚠ Origen igual a destino",IF(AND(K1739&lt;&gt;"",ISNA(MATCH(K1739,ctaNombre,0))),"⚠ Destino no registrado",IF(AND(P1739="Pago tarjeta",AE1739&lt;&gt;"Tarjeta de crédito"),"⚠ El destino debe ser tarjeta de crédito",IF(AND(P1739="Gasto",E1739="Depósitos y retiros"),"⚠ Usa tipo Transferencia",IF(AND(P1739="Resultado trading",AD1739&lt;&gt;"Cuenta de trading"),"⚠ Usa una cuenta de trading",IF(AND(G1739&lt;=0,P1739&lt;&gt;"Ajuste",P1739&lt;&gt;"Resultado trading"),"⚠ El monto debe ser positivo","✓")))))))))))))))</f>
        <v/>
      </c>
      <c r="P1739" s="52">
        <f>IF(OR(B1739="",G1739=""),"",IF(C1739="","Gasto",C1739))</f>
        <v/>
      </c>
      <c r="Q1739" s="52">
        <f>IF(P1739="","",IF(J1739&lt;&gt;"",J1739,CuentaPred&amp;""))</f>
        <v/>
      </c>
      <c r="R1739" s="52">
        <f>IF(P1739="","",IF(ISNUMBER(I1739),I1739,TasaUSD))</f>
        <v/>
      </c>
      <c r="S1739" s="53">
        <f>IF(P1739="","",IF(H1739="USD",G1739*R1739,G1739))</f>
        <v/>
      </c>
      <c r="T1739" s="53">
        <f>IF(P1739="","",IF(H1739="USD",G1739,IF(R1739&gt;0,G1739/R1739,0)))</f>
        <v/>
      </c>
      <c r="U1739" s="53">
        <f>IF(P1739="","",IF(P1739="Gasto",S1739,IF(P1739="Reembolso",-S1739,0)))</f>
        <v/>
      </c>
      <c r="V1739" s="53">
        <f>IF(P1739="","",IF(P1739="Ingreso",S1739,0))</f>
        <v/>
      </c>
      <c r="W1739" s="53">
        <f>IF(P1739="","",IF(P1739="Resultado trading",S1739,0))</f>
        <v/>
      </c>
      <c r="X1739" s="52">
        <f>IF(OR(P1739="Gasto",P1739="Reembolso"),IF(M1739&lt;&gt;"",M1739,IFERROR(INDEX(catClasif,MATCH(D1739&amp;"|"&amp;E1739,catClave,0))&amp;"","Variable")),"")</f>
        <v/>
      </c>
      <c r="Y1739" s="52">
        <f>IF(P1739="","",IFERROR(INDEX(catGrupo,MATCH(D1739&amp;"|"&amp;E1739,catClave,0))&amp;"",""))</f>
        <v/>
      </c>
      <c r="Z1739" s="52">
        <f>IF(P1739="","",WEEKDAY(B1739,2))</f>
        <v/>
      </c>
      <c r="AA1739" s="52">
        <f>IF(P1739="","",IF(AND(P1739="Gasto",X1739="Variable",D1739&lt;&gt;catTrading,S1739&gt;0,S1739&lt;=Umbral),1,0))</f>
        <v/>
      </c>
      <c r="AB1739" s="52">
        <f>IF(OR(P1739="",Q1739=""),"",IFERROR(IF(INDEX(ctaVinc,MATCH(Q1739,ctaNombre,0))&amp;""&lt;&gt;"",INDEX(ctaVinc,MATCH(Q1739,ctaNombre,0))&amp;"",Q1739),Q1739))</f>
        <v/>
      </c>
      <c r="AC1739" s="52">
        <f>IF(OR(K1739="",AND(P1739&lt;&gt;"Transferencia",P1739&lt;&gt;"Pago tarjeta")),"",IFERROR(IF(INDEX(ctaVinc,MATCH(K1739,ctaNombre,0))&amp;""&lt;&gt;"",INDEX(ctaVinc,MATCH(K1739,ctaNombre,0))&amp;"",K1739),K1739))</f>
        <v/>
      </c>
      <c r="AD1739" s="52">
        <f>IF(AB1739="","",IFERROR(INDEX(ctaTipo,MATCH(AB1739,ctaNombre,0))&amp;"",""))</f>
        <v/>
      </c>
      <c r="AE1739" s="52">
        <f>IF(AC1739="","",IFERROR(INDEX(ctaTipo,MATCH(AC1739,ctaNombre,0))&amp;"",""))</f>
        <v/>
      </c>
      <c r="AF1739" s="53">
        <f>IF(OR(P1739="",AB1739=""),"",IF(OR(P1739="Gasto",P1739="Transferencia",P1739="Pago tarjeta"),-1,1)*IF(IFERROR(INDEX(ctaMoneda,MATCH(AB1739,ctaNombre,0))&amp;"","DOP")="USD",T1739,S1739))</f>
        <v/>
      </c>
      <c r="AG1739" s="53">
        <f>IF(AC1739="","",IF(IFERROR(INDEX(ctaMoneda,MATCH(AC1739,ctaNombre,0))&amp;"","DOP")="USD",T1739,S1739))</f>
        <v/>
      </c>
      <c r="AH1739" s="53">
        <f>IF(P1739="","",IF(AND(AD1739&lt;&gt;"",COUNTIFS(tcTipo,AD1739,tcLiq,"Sí")&gt;0),IF(OR(P1739="Gasto",P1739="Transferencia",P1739="Pago tarjeta"),-1,1)*S1739,0)+IF(AND(AE1739&lt;&gt;"",COUNTIFS(tcTipo,AE1739,tcLiq,"Sí")&gt;0),S1739,0))</f>
        <v/>
      </c>
      <c r="AI1739" s="52">
        <f>IF(OR(L1739="",P1739=""),"",IF(COUNTIFS(L$6:L1739,L1739,P$6:P1739,"?*")=1,MAX(AI$5:AI1738)+1,""))</f>
        <v/>
      </c>
    </row>
    <row r="1740">
      <c r="B1740" s="47" t="n"/>
      <c r="C1740" s="48" t="n"/>
      <c r="D1740" s="48" t="n"/>
      <c r="E1740" s="48" t="n"/>
      <c r="F1740" s="48" t="n"/>
      <c r="G1740" s="49" t="n"/>
      <c r="H1740" s="48" t="n"/>
      <c r="I1740" s="50" t="n"/>
      <c r="J1740" s="48" t="n"/>
      <c r="K1740" s="48" t="n"/>
      <c r="L1740" s="48" t="n"/>
      <c r="M1740" s="48" t="n"/>
      <c r="N1740" s="48" t="n"/>
      <c r="O1740" s="51">
        <f>IF(AND(B1740="",G1740="",C1740="",D1740="",J1740=""),"",IF(B1740="","⚠ Falta fecha",IF(G1740="","⚠ Falta monto",IF(Q1740="","⚠ Falta cuenta",IF(ISNA(MATCH(Q1740,ctaNombre,0)),"⚠ Cuenta no registrada",IF(AND(OR(P1740="Gasto",P1740="Reembolso"),D1740=""),"⚠ Falta categoría",IF(AND(D1740&lt;&gt;"",E1740&lt;&gt;"",ISNA(MATCH(D1740&amp;"|"&amp;E1740,catClave,0))),"⚠ Subcategoría no corresponde",IF(AND(OR(P1740="Transferencia",P1740="Pago tarjeta"),K1740=""),"⚠ Falta cuenta destino",IF(AND(K1740&lt;&gt;"",P1740&lt;&gt;"Transferencia",P1740&lt;&gt;"Pago tarjeta"),"⚠ Destino solo aplica a transferencias",IF(AND(K1740&lt;&gt;"",K1740=Q1740),"⚠ Origen igual a destino",IF(AND(K1740&lt;&gt;"",ISNA(MATCH(K1740,ctaNombre,0))),"⚠ Destino no registrado",IF(AND(P1740="Pago tarjeta",AE1740&lt;&gt;"Tarjeta de crédito"),"⚠ El destino debe ser tarjeta de crédito",IF(AND(P1740="Gasto",E1740="Depósitos y retiros"),"⚠ Usa tipo Transferencia",IF(AND(P1740="Resultado trading",AD1740&lt;&gt;"Cuenta de trading"),"⚠ Usa una cuenta de trading",IF(AND(G1740&lt;=0,P1740&lt;&gt;"Ajuste",P1740&lt;&gt;"Resultado trading"),"⚠ El monto debe ser positivo","✓")))))))))))))))</f>
        <v/>
      </c>
      <c r="P1740" s="52">
        <f>IF(OR(B1740="",G1740=""),"",IF(C1740="","Gasto",C1740))</f>
        <v/>
      </c>
      <c r="Q1740" s="52">
        <f>IF(P1740="","",IF(J1740&lt;&gt;"",J1740,CuentaPred&amp;""))</f>
        <v/>
      </c>
      <c r="R1740" s="52">
        <f>IF(P1740="","",IF(ISNUMBER(I1740),I1740,TasaUSD))</f>
        <v/>
      </c>
      <c r="S1740" s="53">
        <f>IF(P1740="","",IF(H1740="USD",G1740*R1740,G1740))</f>
        <v/>
      </c>
      <c r="T1740" s="53">
        <f>IF(P1740="","",IF(H1740="USD",G1740,IF(R1740&gt;0,G1740/R1740,0)))</f>
        <v/>
      </c>
      <c r="U1740" s="53">
        <f>IF(P1740="","",IF(P1740="Gasto",S1740,IF(P1740="Reembolso",-S1740,0)))</f>
        <v/>
      </c>
      <c r="V1740" s="53">
        <f>IF(P1740="","",IF(P1740="Ingreso",S1740,0))</f>
        <v/>
      </c>
      <c r="W1740" s="53">
        <f>IF(P1740="","",IF(P1740="Resultado trading",S1740,0))</f>
        <v/>
      </c>
      <c r="X1740" s="52">
        <f>IF(OR(P1740="Gasto",P1740="Reembolso"),IF(M1740&lt;&gt;"",M1740,IFERROR(INDEX(catClasif,MATCH(D1740&amp;"|"&amp;E1740,catClave,0))&amp;"","Variable")),"")</f>
        <v/>
      </c>
      <c r="Y1740" s="52">
        <f>IF(P1740="","",IFERROR(INDEX(catGrupo,MATCH(D1740&amp;"|"&amp;E1740,catClave,0))&amp;"",""))</f>
        <v/>
      </c>
      <c r="Z1740" s="52">
        <f>IF(P1740="","",WEEKDAY(B1740,2))</f>
        <v/>
      </c>
      <c r="AA1740" s="52">
        <f>IF(P1740="","",IF(AND(P1740="Gasto",X1740="Variable",D1740&lt;&gt;catTrading,S1740&gt;0,S1740&lt;=Umbral),1,0))</f>
        <v/>
      </c>
      <c r="AB1740" s="52">
        <f>IF(OR(P1740="",Q1740=""),"",IFERROR(IF(INDEX(ctaVinc,MATCH(Q1740,ctaNombre,0))&amp;""&lt;&gt;"",INDEX(ctaVinc,MATCH(Q1740,ctaNombre,0))&amp;"",Q1740),Q1740))</f>
        <v/>
      </c>
      <c r="AC1740" s="52">
        <f>IF(OR(K1740="",AND(P1740&lt;&gt;"Transferencia",P1740&lt;&gt;"Pago tarjeta")),"",IFERROR(IF(INDEX(ctaVinc,MATCH(K1740,ctaNombre,0))&amp;""&lt;&gt;"",INDEX(ctaVinc,MATCH(K1740,ctaNombre,0))&amp;"",K1740),K1740))</f>
        <v/>
      </c>
      <c r="AD1740" s="52">
        <f>IF(AB1740="","",IFERROR(INDEX(ctaTipo,MATCH(AB1740,ctaNombre,0))&amp;"",""))</f>
        <v/>
      </c>
      <c r="AE1740" s="52">
        <f>IF(AC1740="","",IFERROR(INDEX(ctaTipo,MATCH(AC1740,ctaNombre,0))&amp;"",""))</f>
        <v/>
      </c>
      <c r="AF1740" s="53">
        <f>IF(OR(P1740="",AB1740=""),"",IF(OR(P1740="Gasto",P1740="Transferencia",P1740="Pago tarjeta"),-1,1)*IF(IFERROR(INDEX(ctaMoneda,MATCH(AB1740,ctaNombre,0))&amp;"","DOP")="USD",T1740,S1740))</f>
        <v/>
      </c>
      <c r="AG1740" s="53">
        <f>IF(AC1740="","",IF(IFERROR(INDEX(ctaMoneda,MATCH(AC1740,ctaNombre,0))&amp;"","DOP")="USD",T1740,S1740))</f>
        <v/>
      </c>
      <c r="AH1740" s="53">
        <f>IF(P1740="","",IF(AND(AD1740&lt;&gt;"",COUNTIFS(tcTipo,AD1740,tcLiq,"Sí")&gt;0),IF(OR(P1740="Gasto",P1740="Transferencia",P1740="Pago tarjeta"),-1,1)*S1740,0)+IF(AND(AE1740&lt;&gt;"",COUNTIFS(tcTipo,AE1740,tcLiq,"Sí")&gt;0),S1740,0))</f>
        <v/>
      </c>
      <c r="AI1740" s="52">
        <f>IF(OR(L1740="",P1740=""),"",IF(COUNTIFS(L$6:L1740,L1740,P$6:P1740,"?*")=1,MAX(AI$5:AI1739)+1,""))</f>
        <v/>
      </c>
    </row>
    <row r="1741">
      <c r="B1741" s="47" t="n"/>
      <c r="C1741" s="48" t="n"/>
      <c r="D1741" s="48" t="n"/>
      <c r="E1741" s="48" t="n"/>
      <c r="F1741" s="48" t="n"/>
      <c r="G1741" s="49" t="n"/>
      <c r="H1741" s="48" t="n"/>
      <c r="I1741" s="50" t="n"/>
      <c r="J1741" s="48" t="n"/>
      <c r="K1741" s="48" t="n"/>
      <c r="L1741" s="48" t="n"/>
      <c r="M1741" s="48" t="n"/>
      <c r="N1741" s="48" t="n"/>
      <c r="O1741" s="51">
        <f>IF(AND(B1741="",G1741="",C1741="",D1741="",J1741=""),"",IF(B1741="","⚠ Falta fecha",IF(G1741="","⚠ Falta monto",IF(Q1741="","⚠ Falta cuenta",IF(ISNA(MATCH(Q1741,ctaNombre,0)),"⚠ Cuenta no registrada",IF(AND(OR(P1741="Gasto",P1741="Reembolso"),D1741=""),"⚠ Falta categoría",IF(AND(D1741&lt;&gt;"",E1741&lt;&gt;"",ISNA(MATCH(D1741&amp;"|"&amp;E1741,catClave,0))),"⚠ Subcategoría no corresponde",IF(AND(OR(P1741="Transferencia",P1741="Pago tarjeta"),K1741=""),"⚠ Falta cuenta destino",IF(AND(K1741&lt;&gt;"",P1741&lt;&gt;"Transferencia",P1741&lt;&gt;"Pago tarjeta"),"⚠ Destino solo aplica a transferencias",IF(AND(K1741&lt;&gt;"",K1741=Q1741),"⚠ Origen igual a destino",IF(AND(K1741&lt;&gt;"",ISNA(MATCH(K1741,ctaNombre,0))),"⚠ Destino no registrado",IF(AND(P1741="Pago tarjeta",AE1741&lt;&gt;"Tarjeta de crédito"),"⚠ El destino debe ser tarjeta de crédito",IF(AND(P1741="Gasto",E1741="Depósitos y retiros"),"⚠ Usa tipo Transferencia",IF(AND(P1741="Resultado trading",AD1741&lt;&gt;"Cuenta de trading"),"⚠ Usa una cuenta de trading",IF(AND(G1741&lt;=0,P1741&lt;&gt;"Ajuste",P1741&lt;&gt;"Resultado trading"),"⚠ El monto debe ser positivo","✓")))))))))))))))</f>
        <v/>
      </c>
      <c r="P1741" s="52">
        <f>IF(OR(B1741="",G1741=""),"",IF(C1741="","Gasto",C1741))</f>
        <v/>
      </c>
      <c r="Q1741" s="52">
        <f>IF(P1741="","",IF(J1741&lt;&gt;"",J1741,CuentaPred&amp;""))</f>
        <v/>
      </c>
      <c r="R1741" s="52">
        <f>IF(P1741="","",IF(ISNUMBER(I1741),I1741,TasaUSD))</f>
        <v/>
      </c>
      <c r="S1741" s="53">
        <f>IF(P1741="","",IF(H1741="USD",G1741*R1741,G1741))</f>
        <v/>
      </c>
      <c r="T1741" s="53">
        <f>IF(P1741="","",IF(H1741="USD",G1741,IF(R1741&gt;0,G1741/R1741,0)))</f>
        <v/>
      </c>
      <c r="U1741" s="53">
        <f>IF(P1741="","",IF(P1741="Gasto",S1741,IF(P1741="Reembolso",-S1741,0)))</f>
        <v/>
      </c>
      <c r="V1741" s="53">
        <f>IF(P1741="","",IF(P1741="Ingreso",S1741,0))</f>
        <v/>
      </c>
      <c r="W1741" s="53">
        <f>IF(P1741="","",IF(P1741="Resultado trading",S1741,0))</f>
        <v/>
      </c>
      <c r="X1741" s="52">
        <f>IF(OR(P1741="Gasto",P1741="Reembolso"),IF(M1741&lt;&gt;"",M1741,IFERROR(INDEX(catClasif,MATCH(D1741&amp;"|"&amp;E1741,catClave,0))&amp;"","Variable")),"")</f>
        <v/>
      </c>
      <c r="Y1741" s="52">
        <f>IF(P1741="","",IFERROR(INDEX(catGrupo,MATCH(D1741&amp;"|"&amp;E1741,catClave,0))&amp;"",""))</f>
        <v/>
      </c>
      <c r="Z1741" s="52">
        <f>IF(P1741="","",WEEKDAY(B1741,2))</f>
        <v/>
      </c>
      <c r="AA1741" s="52">
        <f>IF(P1741="","",IF(AND(P1741="Gasto",X1741="Variable",D1741&lt;&gt;catTrading,S1741&gt;0,S1741&lt;=Umbral),1,0))</f>
        <v/>
      </c>
      <c r="AB1741" s="52">
        <f>IF(OR(P1741="",Q1741=""),"",IFERROR(IF(INDEX(ctaVinc,MATCH(Q1741,ctaNombre,0))&amp;""&lt;&gt;"",INDEX(ctaVinc,MATCH(Q1741,ctaNombre,0))&amp;"",Q1741),Q1741))</f>
        <v/>
      </c>
      <c r="AC1741" s="52">
        <f>IF(OR(K1741="",AND(P1741&lt;&gt;"Transferencia",P1741&lt;&gt;"Pago tarjeta")),"",IFERROR(IF(INDEX(ctaVinc,MATCH(K1741,ctaNombre,0))&amp;""&lt;&gt;"",INDEX(ctaVinc,MATCH(K1741,ctaNombre,0))&amp;"",K1741),K1741))</f>
        <v/>
      </c>
      <c r="AD1741" s="52">
        <f>IF(AB1741="","",IFERROR(INDEX(ctaTipo,MATCH(AB1741,ctaNombre,0))&amp;"",""))</f>
        <v/>
      </c>
      <c r="AE1741" s="52">
        <f>IF(AC1741="","",IFERROR(INDEX(ctaTipo,MATCH(AC1741,ctaNombre,0))&amp;"",""))</f>
        <v/>
      </c>
      <c r="AF1741" s="53">
        <f>IF(OR(P1741="",AB1741=""),"",IF(OR(P1741="Gasto",P1741="Transferencia",P1741="Pago tarjeta"),-1,1)*IF(IFERROR(INDEX(ctaMoneda,MATCH(AB1741,ctaNombre,0))&amp;"","DOP")="USD",T1741,S1741))</f>
        <v/>
      </c>
      <c r="AG1741" s="53">
        <f>IF(AC1741="","",IF(IFERROR(INDEX(ctaMoneda,MATCH(AC1741,ctaNombre,0))&amp;"","DOP")="USD",T1741,S1741))</f>
        <v/>
      </c>
      <c r="AH1741" s="53">
        <f>IF(P1741="","",IF(AND(AD1741&lt;&gt;"",COUNTIFS(tcTipo,AD1741,tcLiq,"Sí")&gt;0),IF(OR(P1741="Gasto",P1741="Transferencia",P1741="Pago tarjeta"),-1,1)*S1741,0)+IF(AND(AE1741&lt;&gt;"",COUNTIFS(tcTipo,AE1741,tcLiq,"Sí")&gt;0),S1741,0))</f>
        <v/>
      </c>
      <c r="AI1741" s="52">
        <f>IF(OR(L1741="",P1741=""),"",IF(COUNTIFS(L$6:L1741,L1741,P$6:P1741,"?*")=1,MAX(AI$5:AI1740)+1,""))</f>
        <v/>
      </c>
    </row>
    <row r="1742">
      <c r="B1742" s="47" t="n"/>
      <c r="C1742" s="48" t="n"/>
      <c r="D1742" s="48" t="n"/>
      <c r="E1742" s="48" t="n"/>
      <c r="F1742" s="48" t="n"/>
      <c r="G1742" s="49" t="n"/>
      <c r="H1742" s="48" t="n"/>
      <c r="I1742" s="50" t="n"/>
      <c r="J1742" s="48" t="n"/>
      <c r="K1742" s="48" t="n"/>
      <c r="L1742" s="48" t="n"/>
      <c r="M1742" s="48" t="n"/>
      <c r="N1742" s="48" t="n"/>
      <c r="O1742" s="51">
        <f>IF(AND(B1742="",G1742="",C1742="",D1742="",J1742=""),"",IF(B1742="","⚠ Falta fecha",IF(G1742="","⚠ Falta monto",IF(Q1742="","⚠ Falta cuenta",IF(ISNA(MATCH(Q1742,ctaNombre,0)),"⚠ Cuenta no registrada",IF(AND(OR(P1742="Gasto",P1742="Reembolso"),D1742=""),"⚠ Falta categoría",IF(AND(D1742&lt;&gt;"",E1742&lt;&gt;"",ISNA(MATCH(D1742&amp;"|"&amp;E1742,catClave,0))),"⚠ Subcategoría no corresponde",IF(AND(OR(P1742="Transferencia",P1742="Pago tarjeta"),K1742=""),"⚠ Falta cuenta destino",IF(AND(K1742&lt;&gt;"",P1742&lt;&gt;"Transferencia",P1742&lt;&gt;"Pago tarjeta"),"⚠ Destino solo aplica a transferencias",IF(AND(K1742&lt;&gt;"",K1742=Q1742),"⚠ Origen igual a destino",IF(AND(K1742&lt;&gt;"",ISNA(MATCH(K1742,ctaNombre,0))),"⚠ Destino no registrado",IF(AND(P1742="Pago tarjeta",AE1742&lt;&gt;"Tarjeta de crédito"),"⚠ El destino debe ser tarjeta de crédito",IF(AND(P1742="Gasto",E1742="Depósitos y retiros"),"⚠ Usa tipo Transferencia",IF(AND(P1742="Resultado trading",AD1742&lt;&gt;"Cuenta de trading"),"⚠ Usa una cuenta de trading",IF(AND(G1742&lt;=0,P1742&lt;&gt;"Ajuste",P1742&lt;&gt;"Resultado trading"),"⚠ El monto debe ser positivo","✓")))))))))))))))</f>
        <v/>
      </c>
      <c r="P1742" s="52">
        <f>IF(OR(B1742="",G1742=""),"",IF(C1742="","Gasto",C1742))</f>
        <v/>
      </c>
      <c r="Q1742" s="52">
        <f>IF(P1742="","",IF(J1742&lt;&gt;"",J1742,CuentaPred&amp;""))</f>
        <v/>
      </c>
      <c r="R1742" s="52">
        <f>IF(P1742="","",IF(ISNUMBER(I1742),I1742,TasaUSD))</f>
        <v/>
      </c>
      <c r="S1742" s="53">
        <f>IF(P1742="","",IF(H1742="USD",G1742*R1742,G1742))</f>
        <v/>
      </c>
      <c r="T1742" s="53">
        <f>IF(P1742="","",IF(H1742="USD",G1742,IF(R1742&gt;0,G1742/R1742,0)))</f>
        <v/>
      </c>
      <c r="U1742" s="53">
        <f>IF(P1742="","",IF(P1742="Gasto",S1742,IF(P1742="Reembolso",-S1742,0)))</f>
        <v/>
      </c>
      <c r="V1742" s="53">
        <f>IF(P1742="","",IF(P1742="Ingreso",S1742,0))</f>
        <v/>
      </c>
      <c r="W1742" s="53">
        <f>IF(P1742="","",IF(P1742="Resultado trading",S1742,0))</f>
        <v/>
      </c>
      <c r="X1742" s="52">
        <f>IF(OR(P1742="Gasto",P1742="Reembolso"),IF(M1742&lt;&gt;"",M1742,IFERROR(INDEX(catClasif,MATCH(D1742&amp;"|"&amp;E1742,catClave,0))&amp;"","Variable")),"")</f>
        <v/>
      </c>
      <c r="Y1742" s="52">
        <f>IF(P1742="","",IFERROR(INDEX(catGrupo,MATCH(D1742&amp;"|"&amp;E1742,catClave,0))&amp;"",""))</f>
        <v/>
      </c>
      <c r="Z1742" s="52">
        <f>IF(P1742="","",WEEKDAY(B1742,2))</f>
        <v/>
      </c>
      <c r="AA1742" s="52">
        <f>IF(P1742="","",IF(AND(P1742="Gasto",X1742="Variable",D1742&lt;&gt;catTrading,S1742&gt;0,S1742&lt;=Umbral),1,0))</f>
        <v/>
      </c>
      <c r="AB1742" s="52">
        <f>IF(OR(P1742="",Q1742=""),"",IFERROR(IF(INDEX(ctaVinc,MATCH(Q1742,ctaNombre,0))&amp;""&lt;&gt;"",INDEX(ctaVinc,MATCH(Q1742,ctaNombre,0))&amp;"",Q1742),Q1742))</f>
        <v/>
      </c>
      <c r="AC1742" s="52">
        <f>IF(OR(K1742="",AND(P1742&lt;&gt;"Transferencia",P1742&lt;&gt;"Pago tarjeta")),"",IFERROR(IF(INDEX(ctaVinc,MATCH(K1742,ctaNombre,0))&amp;""&lt;&gt;"",INDEX(ctaVinc,MATCH(K1742,ctaNombre,0))&amp;"",K1742),K1742))</f>
        <v/>
      </c>
      <c r="AD1742" s="52">
        <f>IF(AB1742="","",IFERROR(INDEX(ctaTipo,MATCH(AB1742,ctaNombre,0))&amp;"",""))</f>
        <v/>
      </c>
      <c r="AE1742" s="52">
        <f>IF(AC1742="","",IFERROR(INDEX(ctaTipo,MATCH(AC1742,ctaNombre,0))&amp;"",""))</f>
        <v/>
      </c>
      <c r="AF1742" s="53">
        <f>IF(OR(P1742="",AB1742=""),"",IF(OR(P1742="Gasto",P1742="Transferencia",P1742="Pago tarjeta"),-1,1)*IF(IFERROR(INDEX(ctaMoneda,MATCH(AB1742,ctaNombre,0))&amp;"","DOP")="USD",T1742,S1742))</f>
        <v/>
      </c>
      <c r="AG1742" s="53">
        <f>IF(AC1742="","",IF(IFERROR(INDEX(ctaMoneda,MATCH(AC1742,ctaNombre,0))&amp;"","DOP")="USD",T1742,S1742))</f>
        <v/>
      </c>
      <c r="AH1742" s="53">
        <f>IF(P1742="","",IF(AND(AD1742&lt;&gt;"",COUNTIFS(tcTipo,AD1742,tcLiq,"Sí")&gt;0),IF(OR(P1742="Gasto",P1742="Transferencia",P1742="Pago tarjeta"),-1,1)*S1742,0)+IF(AND(AE1742&lt;&gt;"",COUNTIFS(tcTipo,AE1742,tcLiq,"Sí")&gt;0),S1742,0))</f>
        <v/>
      </c>
      <c r="AI1742" s="52">
        <f>IF(OR(L1742="",P1742=""),"",IF(COUNTIFS(L$6:L1742,L1742,P$6:P1742,"?*")=1,MAX(AI$5:AI1741)+1,""))</f>
        <v/>
      </c>
    </row>
    <row r="1743">
      <c r="B1743" s="47" t="n"/>
      <c r="C1743" s="48" t="n"/>
      <c r="D1743" s="48" t="n"/>
      <c r="E1743" s="48" t="n"/>
      <c r="F1743" s="48" t="n"/>
      <c r="G1743" s="49" t="n"/>
      <c r="H1743" s="48" t="n"/>
      <c r="I1743" s="50" t="n"/>
      <c r="J1743" s="48" t="n"/>
      <c r="K1743" s="48" t="n"/>
      <c r="L1743" s="48" t="n"/>
      <c r="M1743" s="48" t="n"/>
      <c r="N1743" s="48" t="n"/>
      <c r="O1743" s="51">
        <f>IF(AND(B1743="",G1743="",C1743="",D1743="",J1743=""),"",IF(B1743="","⚠ Falta fecha",IF(G1743="","⚠ Falta monto",IF(Q1743="","⚠ Falta cuenta",IF(ISNA(MATCH(Q1743,ctaNombre,0)),"⚠ Cuenta no registrada",IF(AND(OR(P1743="Gasto",P1743="Reembolso"),D1743=""),"⚠ Falta categoría",IF(AND(D1743&lt;&gt;"",E1743&lt;&gt;"",ISNA(MATCH(D1743&amp;"|"&amp;E1743,catClave,0))),"⚠ Subcategoría no corresponde",IF(AND(OR(P1743="Transferencia",P1743="Pago tarjeta"),K1743=""),"⚠ Falta cuenta destino",IF(AND(K1743&lt;&gt;"",P1743&lt;&gt;"Transferencia",P1743&lt;&gt;"Pago tarjeta"),"⚠ Destino solo aplica a transferencias",IF(AND(K1743&lt;&gt;"",K1743=Q1743),"⚠ Origen igual a destino",IF(AND(K1743&lt;&gt;"",ISNA(MATCH(K1743,ctaNombre,0))),"⚠ Destino no registrado",IF(AND(P1743="Pago tarjeta",AE1743&lt;&gt;"Tarjeta de crédito"),"⚠ El destino debe ser tarjeta de crédito",IF(AND(P1743="Gasto",E1743="Depósitos y retiros"),"⚠ Usa tipo Transferencia",IF(AND(P1743="Resultado trading",AD1743&lt;&gt;"Cuenta de trading"),"⚠ Usa una cuenta de trading",IF(AND(G1743&lt;=0,P1743&lt;&gt;"Ajuste",P1743&lt;&gt;"Resultado trading"),"⚠ El monto debe ser positivo","✓")))))))))))))))</f>
        <v/>
      </c>
      <c r="P1743" s="52">
        <f>IF(OR(B1743="",G1743=""),"",IF(C1743="","Gasto",C1743))</f>
        <v/>
      </c>
      <c r="Q1743" s="52">
        <f>IF(P1743="","",IF(J1743&lt;&gt;"",J1743,CuentaPred&amp;""))</f>
        <v/>
      </c>
      <c r="R1743" s="52">
        <f>IF(P1743="","",IF(ISNUMBER(I1743),I1743,TasaUSD))</f>
        <v/>
      </c>
      <c r="S1743" s="53">
        <f>IF(P1743="","",IF(H1743="USD",G1743*R1743,G1743))</f>
        <v/>
      </c>
      <c r="T1743" s="53">
        <f>IF(P1743="","",IF(H1743="USD",G1743,IF(R1743&gt;0,G1743/R1743,0)))</f>
        <v/>
      </c>
      <c r="U1743" s="53">
        <f>IF(P1743="","",IF(P1743="Gasto",S1743,IF(P1743="Reembolso",-S1743,0)))</f>
        <v/>
      </c>
      <c r="V1743" s="53">
        <f>IF(P1743="","",IF(P1743="Ingreso",S1743,0))</f>
        <v/>
      </c>
      <c r="W1743" s="53">
        <f>IF(P1743="","",IF(P1743="Resultado trading",S1743,0))</f>
        <v/>
      </c>
      <c r="X1743" s="52">
        <f>IF(OR(P1743="Gasto",P1743="Reembolso"),IF(M1743&lt;&gt;"",M1743,IFERROR(INDEX(catClasif,MATCH(D1743&amp;"|"&amp;E1743,catClave,0))&amp;"","Variable")),"")</f>
        <v/>
      </c>
      <c r="Y1743" s="52">
        <f>IF(P1743="","",IFERROR(INDEX(catGrupo,MATCH(D1743&amp;"|"&amp;E1743,catClave,0))&amp;"",""))</f>
        <v/>
      </c>
      <c r="Z1743" s="52">
        <f>IF(P1743="","",WEEKDAY(B1743,2))</f>
        <v/>
      </c>
      <c r="AA1743" s="52">
        <f>IF(P1743="","",IF(AND(P1743="Gasto",X1743="Variable",D1743&lt;&gt;catTrading,S1743&gt;0,S1743&lt;=Umbral),1,0))</f>
        <v/>
      </c>
      <c r="AB1743" s="52">
        <f>IF(OR(P1743="",Q1743=""),"",IFERROR(IF(INDEX(ctaVinc,MATCH(Q1743,ctaNombre,0))&amp;""&lt;&gt;"",INDEX(ctaVinc,MATCH(Q1743,ctaNombre,0))&amp;"",Q1743),Q1743))</f>
        <v/>
      </c>
      <c r="AC1743" s="52">
        <f>IF(OR(K1743="",AND(P1743&lt;&gt;"Transferencia",P1743&lt;&gt;"Pago tarjeta")),"",IFERROR(IF(INDEX(ctaVinc,MATCH(K1743,ctaNombre,0))&amp;""&lt;&gt;"",INDEX(ctaVinc,MATCH(K1743,ctaNombre,0))&amp;"",K1743),K1743))</f>
        <v/>
      </c>
      <c r="AD1743" s="52">
        <f>IF(AB1743="","",IFERROR(INDEX(ctaTipo,MATCH(AB1743,ctaNombre,0))&amp;"",""))</f>
        <v/>
      </c>
      <c r="AE1743" s="52">
        <f>IF(AC1743="","",IFERROR(INDEX(ctaTipo,MATCH(AC1743,ctaNombre,0))&amp;"",""))</f>
        <v/>
      </c>
      <c r="AF1743" s="53">
        <f>IF(OR(P1743="",AB1743=""),"",IF(OR(P1743="Gasto",P1743="Transferencia",P1743="Pago tarjeta"),-1,1)*IF(IFERROR(INDEX(ctaMoneda,MATCH(AB1743,ctaNombre,0))&amp;"","DOP")="USD",T1743,S1743))</f>
        <v/>
      </c>
      <c r="AG1743" s="53">
        <f>IF(AC1743="","",IF(IFERROR(INDEX(ctaMoneda,MATCH(AC1743,ctaNombre,0))&amp;"","DOP")="USD",T1743,S1743))</f>
        <v/>
      </c>
      <c r="AH1743" s="53">
        <f>IF(P1743="","",IF(AND(AD1743&lt;&gt;"",COUNTIFS(tcTipo,AD1743,tcLiq,"Sí")&gt;0),IF(OR(P1743="Gasto",P1743="Transferencia",P1743="Pago tarjeta"),-1,1)*S1743,0)+IF(AND(AE1743&lt;&gt;"",COUNTIFS(tcTipo,AE1743,tcLiq,"Sí")&gt;0),S1743,0))</f>
        <v/>
      </c>
      <c r="AI1743" s="52">
        <f>IF(OR(L1743="",P1743=""),"",IF(COUNTIFS(L$6:L1743,L1743,P$6:P1743,"?*")=1,MAX(AI$5:AI1742)+1,""))</f>
        <v/>
      </c>
    </row>
    <row r="1744">
      <c r="B1744" s="47" t="n"/>
      <c r="C1744" s="48" t="n"/>
      <c r="D1744" s="48" t="n"/>
      <c r="E1744" s="48" t="n"/>
      <c r="F1744" s="48" t="n"/>
      <c r="G1744" s="49" t="n"/>
      <c r="H1744" s="48" t="n"/>
      <c r="I1744" s="50" t="n"/>
      <c r="J1744" s="48" t="n"/>
      <c r="K1744" s="48" t="n"/>
      <c r="L1744" s="48" t="n"/>
      <c r="M1744" s="48" t="n"/>
      <c r="N1744" s="48" t="n"/>
      <c r="O1744" s="51">
        <f>IF(AND(B1744="",G1744="",C1744="",D1744="",J1744=""),"",IF(B1744="","⚠ Falta fecha",IF(G1744="","⚠ Falta monto",IF(Q1744="","⚠ Falta cuenta",IF(ISNA(MATCH(Q1744,ctaNombre,0)),"⚠ Cuenta no registrada",IF(AND(OR(P1744="Gasto",P1744="Reembolso"),D1744=""),"⚠ Falta categoría",IF(AND(D1744&lt;&gt;"",E1744&lt;&gt;"",ISNA(MATCH(D1744&amp;"|"&amp;E1744,catClave,0))),"⚠ Subcategoría no corresponde",IF(AND(OR(P1744="Transferencia",P1744="Pago tarjeta"),K1744=""),"⚠ Falta cuenta destino",IF(AND(K1744&lt;&gt;"",P1744&lt;&gt;"Transferencia",P1744&lt;&gt;"Pago tarjeta"),"⚠ Destino solo aplica a transferencias",IF(AND(K1744&lt;&gt;"",K1744=Q1744),"⚠ Origen igual a destino",IF(AND(K1744&lt;&gt;"",ISNA(MATCH(K1744,ctaNombre,0))),"⚠ Destino no registrado",IF(AND(P1744="Pago tarjeta",AE1744&lt;&gt;"Tarjeta de crédito"),"⚠ El destino debe ser tarjeta de crédito",IF(AND(P1744="Gasto",E1744="Depósitos y retiros"),"⚠ Usa tipo Transferencia",IF(AND(P1744="Resultado trading",AD1744&lt;&gt;"Cuenta de trading"),"⚠ Usa una cuenta de trading",IF(AND(G1744&lt;=0,P1744&lt;&gt;"Ajuste",P1744&lt;&gt;"Resultado trading"),"⚠ El monto debe ser positivo","✓")))))))))))))))</f>
        <v/>
      </c>
      <c r="P1744" s="52">
        <f>IF(OR(B1744="",G1744=""),"",IF(C1744="","Gasto",C1744))</f>
        <v/>
      </c>
      <c r="Q1744" s="52">
        <f>IF(P1744="","",IF(J1744&lt;&gt;"",J1744,CuentaPred&amp;""))</f>
        <v/>
      </c>
      <c r="R1744" s="52">
        <f>IF(P1744="","",IF(ISNUMBER(I1744),I1744,TasaUSD))</f>
        <v/>
      </c>
      <c r="S1744" s="53">
        <f>IF(P1744="","",IF(H1744="USD",G1744*R1744,G1744))</f>
        <v/>
      </c>
      <c r="T1744" s="53">
        <f>IF(P1744="","",IF(H1744="USD",G1744,IF(R1744&gt;0,G1744/R1744,0)))</f>
        <v/>
      </c>
      <c r="U1744" s="53">
        <f>IF(P1744="","",IF(P1744="Gasto",S1744,IF(P1744="Reembolso",-S1744,0)))</f>
        <v/>
      </c>
      <c r="V1744" s="53">
        <f>IF(P1744="","",IF(P1744="Ingreso",S1744,0))</f>
        <v/>
      </c>
      <c r="W1744" s="53">
        <f>IF(P1744="","",IF(P1744="Resultado trading",S1744,0))</f>
        <v/>
      </c>
      <c r="X1744" s="52">
        <f>IF(OR(P1744="Gasto",P1744="Reembolso"),IF(M1744&lt;&gt;"",M1744,IFERROR(INDEX(catClasif,MATCH(D1744&amp;"|"&amp;E1744,catClave,0))&amp;"","Variable")),"")</f>
        <v/>
      </c>
      <c r="Y1744" s="52">
        <f>IF(P1744="","",IFERROR(INDEX(catGrupo,MATCH(D1744&amp;"|"&amp;E1744,catClave,0))&amp;"",""))</f>
        <v/>
      </c>
      <c r="Z1744" s="52">
        <f>IF(P1744="","",WEEKDAY(B1744,2))</f>
        <v/>
      </c>
      <c r="AA1744" s="52">
        <f>IF(P1744="","",IF(AND(P1744="Gasto",X1744="Variable",D1744&lt;&gt;catTrading,S1744&gt;0,S1744&lt;=Umbral),1,0))</f>
        <v/>
      </c>
      <c r="AB1744" s="52">
        <f>IF(OR(P1744="",Q1744=""),"",IFERROR(IF(INDEX(ctaVinc,MATCH(Q1744,ctaNombre,0))&amp;""&lt;&gt;"",INDEX(ctaVinc,MATCH(Q1744,ctaNombre,0))&amp;"",Q1744),Q1744))</f>
        <v/>
      </c>
      <c r="AC1744" s="52">
        <f>IF(OR(K1744="",AND(P1744&lt;&gt;"Transferencia",P1744&lt;&gt;"Pago tarjeta")),"",IFERROR(IF(INDEX(ctaVinc,MATCH(K1744,ctaNombre,0))&amp;""&lt;&gt;"",INDEX(ctaVinc,MATCH(K1744,ctaNombre,0))&amp;"",K1744),K1744))</f>
        <v/>
      </c>
      <c r="AD1744" s="52">
        <f>IF(AB1744="","",IFERROR(INDEX(ctaTipo,MATCH(AB1744,ctaNombre,0))&amp;"",""))</f>
        <v/>
      </c>
      <c r="AE1744" s="52">
        <f>IF(AC1744="","",IFERROR(INDEX(ctaTipo,MATCH(AC1744,ctaNombre,0))&amp;"",""))</f>
        <v/>
      </c>
      <c r="AF1744" s="53">
        <f>IF(OR(P1744="",AB1744=""),"",IF(OR(P1744="Gasto",P1744="Transferencia",P1744="Pago tarjeta"),-1,1)*IF(IFERROR(INDEX(ctaMoneda,MATCH(AB1744,ctaNombre,0))&amp;"","DOP")="USD",T1744,S1744))</f>
        <v/>
      </c>
      <c r="AG1744" s="53">
        <f>IF(AC1744="","",IF(IFERROR(INDEX(ctaMoneda,MATCH(AC1744,ctaNombre,0))&amp;"","DOP")="USD",T1744,S1744))</f>
        <v/>
      </c>
      <c r="AH1744" s="53">
        <f>IF(P1744="","",IF(AND(AD1744&lt;&gt;"",COUNTIFS(tcTipo,AD1744,tcLiq,"Sí")&gt;0),IF(OR(P1744="Gasto",P1744="Transferencia",P1744="Pago tarjeta"),-1,1)*S1744,0)+IF(AND(AE1744&lt;&gt;"",COUNTIFS(tcTipo,AE1744,tcLiq,"Sí")&gt;0),S1744,0))</f>
        <v/>
      </c>
      <c r="AI1744" s="52">
        <f>IF(OR(L1744="",P1744=""),"",IF(COUNTIFS(L$6:L1744,L1744,P$6:P1744,"?*")=1,MAX(AI$5:AI1743)+1,""))</f>
        <v/>
      </c>
    </row>
    <row r="1745">
      <c r="B1745" s="47" t="n"/>
      <c r="C1745" s="48" t="n"/>
      <c r="D1745" s="48" t="n"/>
      <c r="E1745" s="48" t="n"/>
      <c r="F1745" s="48" t="n"/>
      <c r="G1745" s="49" t="n"/>
      <c r="H1745" s="48" t="n"/>
      <c r="I1745" s="50" t="n"/>
      <c r="J1745" s="48" t="n"/>
      <c r="K1745" s="48" t="n"/>
      <c r="L1745" s="48" t="n"/>
      <c r="M1745" s="48" t="n"/>
      <c r="N1745" s="48" t="n"/>
      <c r="O1745" s="51">
        <f>IF(AND(B1745="",G1745="",C1745="",D1745="",J1745=""),"",IF(B1745="","⚠ Falta fecha",IF(G1745="","⚠ Falta monto",IF(Q1745="","⚠ Falta cuenta",IF(ISNA(MATCH(Q1745,ctaNombre,0)),"⚠ Cuenta no registrada",IF(AND(OR(P1745="Gasto",P1745="Reembolso"),D1745=""),"⚠ Falta categoría",IF(AND(D1745&lt;&gt;"",E1745&lt;&gt;"",ISNA(MATCH(D1745&amp;"|"&amp;E1745,catClave,0))),"⚠ Subcategoría no corresponde",IF(AND(OR(P1745="Transferencia",P1745="Pago tarjeta"),K1745=""),"⚠ Falta cuenta destino",IF(AND(K1745&lt;&gt;"",P1745&lt;&gt;"Transferencia",P1745&lt;&gt;"Pago tarjeta"),"⚠ Destino solo aplica a transferencias",IF(AND(K1745&lt;&gt;"",K1745=Q1745),"⚠ Origen igual a destino",IF(AND(K1745&lt;&gt;"",ISNA(MATCH(K1745,ctaNombre,0))),"⚠ Destino no registrado",IF(AND(P1745="Pago tarjeta",AE1745&lt;&gt;"Tarjeta de crédito"),"⚠ El destino debe ser tarjeta de crédito",IF(AND(P1745="Gasto",E1745="Depósitos y retiros"),"⚠ Usa tipo Transferencia",IF(AND(P1745="Resultado trading",AD1745&lt;&gt;"Cuenta de trading"),"⚠ Usa una cuenta de trading",IF(AND(G1745&lt;=0,P1745&lt;&gt;"Ajuste",P1745&lt;&gt;"Resultado trading"),"⚠ El monto debe ser positivo","✓")))))))))))))))</f>
        <v/>
      </c>
      <c r="P1745" s="52">
        <f>IF(OR(B1745="",G1745=""),"",IF(C1745="","Gasto",C1745))</f>
        <v/>
      </c>
      <c r="Q1745" s="52">
        <f>IF(P1745="","",IF(J1745&lt;&gt;"",J1745,CuentaPred&amp;""))</f>
        <v/>
      </c>
      <c r="R1745" s="52">
        <f>IF(P1745="","",IF(ISNUMBER(I1745),I1745,TasaUSD))</f>
        <v/>
      </c>
      <c r="S1745" s="53">
        <f>IF(P1745="","",IF(H1745="USD",G1745*R1745,G1745))</f>
        <v/>
      </c>
      <c r="T1745" s="53">
        <f>IF(P1745="","",IF(H1745="USD",G1745,IF(R1745&gt;0,G1745/R1745,0)))</f>
        <v/>
      </c>
      <c r="U1745" s="53">
        <f>IF(P1745="","",IF(P1745="Gasto",S1745,IF(P1745="Reembolso",-S1745,0)))</f>
        <v/>
      </c>
      <c r="V1745" s="53">
        <f>IF(P1745="","",IF(P1745="Ingreso",S1745,0))</f>
        <v/>
      </c>
      <c r="W1745" s="53">
        <f>IF(P1745="","",IF(P1745="Resultado trading",S1745,0))</f>
        <v/>
      </c>
      <c r="X1745" s="52">
        <f>IF(OR(P1745="Gasto",P1745="Reembolso"),IF(M1745&lt;&gt;"",M1745,IFERROR(INDEX(catClasif,MATCH(D1745&amp;"|"&amp;E1745,catClave,0))&amp;"","Variable")),"")</f>
        <v/>
      </c>
      <c r="Y1745" s="52">
        <f>IF(P1745="","",IFERROR(INDEX(catGrupo,MATCH(D1745&amp;"|"&amp;E1745,catClave,0))&amp;"",""))</f>
        <v/>
      </c>
      <c r="Z1745" s="52">
        <f>IF(P1745="","",WEEKDAY(B1745,2))</f>
        <v/>
      </c>
      <c r="AA1745" s="52">
        <f>IF(P1745="","",IF(AND(P1745="Gasto",X1745="Variable",D1745&lt;&gt;catTrading,S1745&gt;0,S1745&lt;=Umbral),1,0))</f>
        <v/>
      </c>
      <c r="AB1745" s="52">
        <f>IF(OR(P1745="",Q1745=""),"",IFERROR(IF(INDEX(ctaVinc,MATCH(Q1745,ctaNombre,0))&amp;""&lt;&gt;"",INDEX(ctaVinc,MATCH(Q1745,ctaNombre,0))&amp;"",Q1745),Q1745))</f>
        <v/>
      </c>
      <c r="AC1745" s="52">
        <f>IF(OR(K1745="",AND(P1745&lt;&gt;"Transferencia",P1745&lt;&gt;"Pago tarjeta")),"",IFERROR(IF(INDEX(ctaVinc,MATCH(K1745,ctaNombre,0))&amp;""&lt;&gt;"",INDEX(ctaVinc,MATCH(K1745,ctaNombre,0))&amp;"",K1745),K1745))</f>
        <v/>
      </c>
      <c r="AD1745" s="52">
        <f>IF(AB1745="","",IFERROR(INDEX(ctaTipo,MATCH(AB1745,ctaNombre,0))&amp;"",""))</f>
        <v/>
      </c>
      <c r="AE1745" s="52">
        <f>IF(AC1745="","",IFERROR(INDEX(ctaTipo,MATCH(AC1745,ctaNombre,0))&amp;"",""))</f>
        <v/>
      </c>
      <c r="AF1745" s="53">
        <f>IF(OR(P1745="",AB1745=""),"",IF(OR(P1745="Gasto",P1745="Transferencia",P1745="Pago tarjeta"),-1,1)*IF(IFERROR(INDEX(ctaMoneda,MATCH(AB1745,ctaNombre,0))&amp;"","DOP")="USD",T1745,S1745))</f>
        <v/>
      </c>
      <c r="AG1745" s="53">
        <f>IF(AC1745="","",IF(IFERROR(INDEX(ctaMoneda,MATCH(AC1745,ctaNombre,0))&amp;"","DOP")="USD",T1745,S1745))</f>
        <v/>
      </c>
      <c r="AH1745" s="53">
        <f>IF(P1745="","",IF(AND(AD1745&lt;&gt;"",COUNTIFS(tcTipo,AD1745,tcLiq,"Sí")&gt;0),IF(OR(P1745="Gasto",P1745="Transferencia",P1745="Pago tarjeta"),-1,1)*S1745,0)+IF(AND(AE1745&lt;&gt;"",COUNTIFS(tcTipo,AE1745,tcLiq,"Sí")&gt;0),S1745,0))</f>
        <v/>
      </c>
      <c r="AI1745" s="52">
        <f>IF(OR(L1745="",P1745=""),"",IF(COUNTIFS(L$6:L1745,L1745,P$6:P1745,"?*")=1,MAX(AI$5:AI1744)+1,""))</f>
        <v/>
      </c>
    </row>
    <row r="1746">
      <c r="B1746" s="47" t="n"/>
      <c r="C1746" s="48" t="n"/>
      <c r="D1746" s="48" t="n"/>
      <c r="E1746" s="48" t="n"/>
      <c r="F1746" s="48" t="n"/>
      <c r="G1746" s="49" t="n"/>
      <c r="H1746" s="48" t="n"/>
      <c r="I1746" s="50" t="n"/>
      <c r="J1746" s="48" t="n"/>
      <c r="K1746" s="48" t="n"/>
      <c r="L1746" s="48" t="n"/>
      <c r="M1746" s="48" t="n"/>
      <c r="N1746" s="48" t="n"/>
      <c r="O1746" s="51">
        <f>IF(AND(B1746="",G1746="",C1746="",D1746="",J1746=""),"",IF(B1746="","⚠ Falta fecha",IF(G1746="","⚠ Falta monto",IF(Q1746="","⚠ Falta cuenta",IF(ISNA(MATCH(Q1746,ctaNombre,0)),"⚠ Cuenta no registrada",IF(AND(OR(P1746="Gasto",P1746="Reembolso"),D1746=""),"⚠ Falta categoría",IF(AND(D1746&lt;&gt;"",E1746&lt;&gt;"",ISNA(MATCH(D1746&amp;"|"&amp;E1746,catClave,0))),"⚠ Subcategoría no corresponde",IF(AND(OR(P1746="Transferencia",P1746="Pago tarjeta"),K1746=""),"⚠ Falta cuenta destino",IF(AND(K1746&lt;&gt;"",P1746&lt;&gt;"Transferencia",P1746&lt;&gt;"Pago tarjeta"),"⚠ Destino solo aplica a transferencias",IF(AND(K1746&lt;&gt;"",K1746=Q1746),"⚠ Origen igual a destino",IF(AND(K1746&lt;&gt;"",ISNA(MATCH(K1746,ctaNombre,0))),"⚠ Destino no registrado",IF(AND(P1746="Pago tarjeta",AE1746&lt;&gt;"Tarjeta de crédito"),"⚠ El destino debe ser tarjeta de crédito",IF(AND(P1746="Gasto",E1746="Depósitos y retiros"),"⚠ Usa tipo Transferencia",IF(AND(P1746="Resultado trading",AD1746&lt;&gt;"Cuenta de trading"),"⚠ Usa una cuenta de trading",IF(AND(G1746&lt;=0,P1746&lt;&gt;"Ajuste",P1746&lt;&gt;"Resultado trading"),"⚠ El monto debe ser positivo","✓")))))))))))))))</f>
        <v/>
      </c>
      <c r="P1746" s="52">
        <f>IF(OR(B1746="",G1746=""),"",IF(C1746="","Gasto",C1746))</f>
        <v/>
      </c>
      <c r="Q1746" s="52">
        <f>IF(P1746="","",IF(J1746&lt;&gt;"",J1746,CuentaPred&amp;""))</f>
        <v/>
      </c>
      <c r="R1746" s="52">
        <f>IF(P1746="","",IF(ISNUMBER(I1746),I1746,TasaUSD))</f>
        <v/>
      </c>
      <c r="S1746" s="53">
        <f>IF(P1746="","",IF(H1746="USD",G1746*R1746,G1746))</f>
        <v/>
      </c>
      <c r="T1746" s="53">
        <f>IF(P1746="","",IF(H1746="USD",G1746,IF(R1746&gt;0,G1746/R1746,0)))</f>
        <v/>
      </c>
      <c r="U1746" s="53">
        <f>IF(P1746="","",IF(P1746="Gasto",S1746,IF(P1746="Reembolso",-S1746,0)))</f>
        <v/>
      </c>
      <c r="V1746" s="53">
        <f>IF(P1746="","",IF(P1746="Ingreso",S1746,0))</f>
        <v/>
      </c>
      <c r="W1746" s="53">
        <f>IF(P1746="","",IF(P1746="Resultado trading",S1746,0))</f>
        <v/>
      </c>
      <c r="X1746" s="52">
        <f>IF(OR(P1746="Gasto",P1746="Reembolso"),IF(M1746&lt;&gt;"",M1746,IFERROR(INDEX(catClasif,MATCH(D1746&amp;"|"&amp;E1746,catClave,0))&amp;"","Variable")),"")</f>
        <v/>
      </c>
      <c r="Y1746" s="52">
        <f>IF(P1746="","",IFERROR(INDEX(catGrupo,MATCH(D1746&amp;"|"&amp;E1746,catClave,0))&amp;"",""))</f>
        <v/>
      </c>
      <c r="Z1746" s="52">
        <f>IF(P1746="","",WEEKDAY(B1746,2))</f>
        <v/>
      </c>
      <c r="AA1746" s="52">
        <f>IF(P1746="","",IF(AND(P1746="Gasto",X1746="Variable",D1746&lt;&gt;catTrading,S1746&gt;0,S1746&lt;=Umbral),1,0))</f>
        <v/>
      </c>
      <c r="AB1746" s="52">
        <f>IF(OR(P1746="",Q1746=""),"",IFERROR(IF(INDEX(ctaVinc,MATCH(Q1746,ctaNombre,0))&amp;""&lt;&gt;"",INDEX(ctaVinc,MATCH(Q1746,ctaNombre,0))&amp;"",Q1746),Q1746))</f>
        <v/>
      </c>
      <c r="AC1746" s="52">
        <f>IF(OR(K1746="",AND(P1746&lt;&gt;"Transferencia",P1746&lt;&gt;"Pago tarjeta")),"",IFERROR(IF(INDEX(ctaVinc,MATCH(K1746,ctaNombre,0))&amp;""&lt;&gt;"",INDEX(ctaVinc,MATCH(K1746,ctaNombre,0))&amp;"",K1746),K1746))</f>
        <v/>
      </c>
      <c r="AD1746" s="52">
        <f>IF(AB1746="","",IFERROR(INDEX(ctaTipo,MATCH(AB1746,ctaNombre,0))&amp;"",""))</f>
        <v/>
      </c>
      <c r="AE1746" s="52">
        <f>IF(AC1746="","",IFERROR(INDEX(ctaTipo,MATCH(AC1746,ctaNombre,0))&amp;"",""))</f>
        <v/>
      </c>
      <c r="AF1746" s="53">
        <f>IF(OR(P1746="",AB1746=""),"",IF(OR(P1746="Gasto",P1746="Transferencia",P1746="Pago tarjeta"),-1,1)*IF(IFERROR(INDEX(ctaMoneda,MATCH(AB1746,ctaNombre,0))&amp;"","DOP")="USD",T1746,S1746))</f>
        <v/>
      </c>
      <c r="AG1746" s="53">
        <f>IF(AC1746="","",IF(IFERROR(INDEX(ctaMoneda,MATCH(AC1746,ctaNombre,0))&amp;"","DOP")="USD",T1746,S1746))</f>
        <v/>
      </c>
      <c r="AH1746" s="53">
        <f>IF(P1746="","",IF(AND(AD1746&lt;&gt;"",COUNTIFS(tcTipo,AD1746,tcLiq,"Sí")&gt;0),IF(OR(P1746="Gasto",P1746="Transferencia",P1746="Pago tarjeta"),-1,1)*S1746,0)+IF(AND(AE1746&lt;&gt;"",COUNTIFS(tcTipo,AE1746,tcLiq,"Sí")&gt;0),S1746,0))</f>
        <v/>
      </c>
      <c r="AI1746" s="52">
        <f>IF(OR(L1746="",P1746=""),"",IF(COUNTIFS(L$6:L1746,L1746,P$6:P1746,"?*")=1,MAX(AI$5:AI1745)+1,""))</f>
        <v/>
      </c>
    </row>
    <row r="1747">
      <c r="B1747" s="47" t="n"/>
      <c r="C1747" s="48" t="n"/>
      <c r="D1747" s="48" t="n"/>
      <c r="E1747" s="48" t="n"/>
      <c r="F1747" s="48" t="n"/>
      <c r="G1747" s="49" t="n"/>
      <c r="H1747" s="48" t="n"/>
      <c r="I1747" s="50" t="n"/>
      <c r="J1747" s="48" t="n"/>
      <c r="K1747" s="48" t="n"/>
      <c r="L1747" s="48" t="n"/>
      <c r="M1747" s="48" t="n"/>
      <c r="N1747" s="48" t="n"/>
      <c r="O1747" s="51">
        <f>IF(AND(B1747="",G1747="",C1747="",D1747="",J1747=""),"",IF(B1747="","⚠ Falta fecha",IF(G1747="","⚠ Falta monto",IF(Q1747="","⚠ Falta cuenta",IF(ISNA(MATCH(Q1747,ctaNombre,0)),"⚠ Cuenta no registrada",IF(AND(OR(P1747="Gasto",P1747="Reembolso"),D1747=""),"⚠ Falta categoría",IF(AND(D1747&lt;&gt;"",E1747&lt;&gt;"",ISNA(MATCH(D1747&amp;"|"&amp;E1747,catClave,0))),"⚠ Subcategoría no corresponde",IF(AND(OR(P1747="Transferencia",P1747="Pago tarjeta"),K1747=""),"⚠ Falta cuenta destino",IF(AND(K1747&lt;&gt;"",P1747&lt;&gt;"Transferencia",P1747&lt;&gt;"Pago tarjeta"),"⚠ Destino solo aplica a transferencias",IF(AND(K1747&lt;&gt;"",K1747=Q1747),"⚠ Origen igual a destino",IF(AND(K1747&lt;&gt;"",ISNA(MATCH(K1747,ctaNombre,0))),"⚠ Destino no registrado",IF(AND(P1747="Pago tarjeta",AE1747&lt;&gt;"Tarjeta de crédito"),"⚠ El destino debe ser tarjeta de crédito",IF(AND(P1747="Gasto",E1747="Depósitos y retiros"),"⚠ Usa tipo Transferencia",IF(AND(P1747="Resultado trading",AD1747&lt;&gt;"Cuenta de trading"),"⚠ Usa una cuenta de trading",IF(AND(G1747&lt;=0,P1747&lt;&gt;"Ajuste",P1747&lt;&gt;"Resultado trading"),"⚠ El monto debe ser positivo","✓")))))))))))))))</f>
        <v/>
      </c>
      <c r="P1747" s="52">
        <f>IF(OR(B1747="",G1747=""),"",IF(C1747="","Gasto",C1747))</f>
        <v/>
      </c>
      <c r="Q1747" s="52">
        <f>IF(P1747="","",IF(J1747&lt;&gt;"",J1747,CuentaPred&amp;""))</f>
        <v/>
      </c>
      <c r="R1747" s="52">
        <f>IF(P1747="","",IF(ISNUMBER(I1747),I1747,TasaUSD))</f>
        <v/>
      </c>
      <c r="S1747" s="53">
        <f>IF(P1747="","",IF(H1747="USD",G1747*R1747,G1747))</f>
        <v/>
      </c>
      <c r="T1747" s="53">
        <f>IF(P1747="","",IF(H1747="USD",G1747,IF(R1747&gt;0,G1747/R1747,0)))</f>
        <v/>
      </c>
      <c r="U1747" s="53">
        <f>IF(P1747="","",IF(P1747="Gasto",S1747,IF(P1747="Reembolso",-S1747,0)))</f>
        <v/>
      </c>
      <c r="V1747" s="53">
        <f>IF(P1747="","",IF(P1747="Ingreso",S1747,0))</f>
        <v/>
      </c>
      <c r="W1747" s="53">
        <f>IF(P1747="","",IF(P1747="Resultado trading",S1747,0))</f>
        <v/>
      </c>
      <c r="X1747" s="52">
        <f>IF(OR(P1747="Gasto",P1747="Reembolso"),IF(M1747&lt;&gt;"",M1747,IFERROR(INDEX(catClasif,MATCH(D1747&amp;"|"&amp;E1747,catClave,0))&amp;"","Variable")),"")</f>
        <v/>
      </c>
      <c r="Y1747" s="52">
        <f>IF(P1747="","",IFERROR(INDEX(catGrupo,MATCH(D1747&amp;"|"&amp;E1747,catClave,0))&amp;"",""))</f>
        <v/>
      </c>
      <c r="Z1747" s="52">
        <f>IF(P1747="","",WEEKDAY(B1747,2))</f>
        <v/>
      </c>
      <c r="AA1747" s="52">
        <f>IF(P1747="","",IF(AND(P1747="Gasto",X1747="Variable",D1747&lt;&gt;catTrading,S1747&gt;0,S1747&lt;=Umbral),1,0))</f>
        <v/>
      </c>
      <c r="AB1747" s="52">
        <f>IF(OR(P1747="",Q1747=""),"",IFERROR(IF(INDEX(ctaVinc,MATCH(Q1747,ctaNombre,0))&amp;""&lt;&gt;"",INDEX(ctaVinc,MATCH(Q1747,ctaNombre,0))&amp;"",Q1747),Q1747))</f>
        <v/>
      </c>
      <c r="AC1747" s="52">
        <f>IF(OR(K1747="",AND(P1747&lt;&gt;"Transferencia",P1747&lt;&gt;"Pago tarjeta")),"",IFERROR(IF(INDEX(ctaVinc,MATCH(K1747,ctaNombre,0))&amp;""&lt;&gt;"",INDEX(ctaVinc,MATCH(K1747,ctaNombre,0))&amp;"",K1747),K1747))</f>
        <v/>
      </c>
      <c r="AD1747" s="52">
        <f>IF(AB1747="","",IFERROR(INDEX(ctaTipo,MATCH(AB1747,ctaNombre,0))&amp;"",""))</f>
        <v/>
      </c>
      <c r="AE1747" s="52">
        <f>IF(AC1747="","",IFERROR(INDEX(ctaTipo,MATCH(AC1747,ctaNombre,0))&amp;"",""))</f>
        <v/>
      </c>
      <c r="AF1747" s="53">
        <f>IF(OR(P1747="",AB1747=""),"",IF(OR(P1747="Gasto",P1747="Transferencia",P1747="Pago tarjeta"),-1,1)*IF(IFERROR(INDEX(ctaMoneda,MATCH(AB1747,ctaNombre,0))&amp;"","DOP")="USD",T1747,S1747))</f>
        <v/>
      </c>
      <c r="AG1747" s="53">
        <f>IF(AC1747="","",IF(IFERROR(INDEX(ctaMoneda,MATCH(AC1747,ctaNombre,0))&amp;"","DOP")="USD",T1747,S1747))</f>
        <v/>
      </c>
      <c r="AH1747" s="53">
        <f>IF(P1747="","",IF(AND(AD1747&lt;&gt;"",COUNTIFS(tcTipo,AD1747,tcLiq,"Sí")&gt;0),IF(OR(P1747="Gasto",P1747="Transferencia",P1747="Pago tarjeta"),-1,1)*S1747,0)+IF(AND(AE1747&lt;&gt;"",COUNTIFS(tcTipo,AE1747,tcLiq,"Sí")&gt;0),S1747,0))</f>
        <v/>
      </c>
      <c r="AI1747" s="52">
        <f>IF(OR(L1747="",P1747=""),"",IF(COUNTIFS(L$6:L1747,L1747,P$6:P1747,"?*")=1,MAX(AI$5:AI1746)+1,""))</f>
        <v/>
      </c>
    </row>
    <row r="1748">
      <c r="B1748" s="47" t="n"/>
      <c r="C1748" s="48" t="n"/>
      <c r="D1748" s="48" t="n"/>
      <c r="E1748" s="48" t="n"/>
      <c r="F1748" s="48" t="n"/>
      <c r="G1748" s="49" t="n"/>
      <c r="H1748" s="48" t="n"/>
      <c r="I1748" s="50" t="n"/>
      <c r="J1748" s="48" t="n"/>
      <c r="K1748" s="48" t="n"/>
      <c r="L1748" s="48" t="n"/>
      <c r="M1748" s="48" t="n"/>
      <c r="N1748" s="48" t="n"/>
      <c r="O1748" s="51">
        <f>IF(AND(B1748="",G1748="",C1748="",D1748="",J1748=""),"",IF(B1748="","⚠ Falta fecha",IF(G1748="","⚠ Falta monto",IF(Q1748="","⚠ Falta cuenta",IF(ISNA(MATCH(Q1748,ctaNombre,0)),"⚠ Cuenta no registrada",IF(AND(OR(P1748="Gasto",P1748="Reembolso"),D1748=""),"⚠ Falta categoría",IF(AND(D1748&lt;&gt;"",E1748&lt;&gt;"",ISNA(MATCH(D1748&amp;"|"&amp;E1748,catClave,0))),"⚠ Subcategoría no corresponde",IF(AND(OR(P1748="Transferencia",P1748="Pago tarjeta"),K1748=""),"⚠ Falta cuenta destino",IF(AND(K1748&lt;&gt;"",P1748&lt;&gt;"Transferencia",P1748&lt;&gt;"Pago tarjeta"),"⚠ Destino solo aplica a transferencias",IF(AND(K1748&lt;&gt;"",K1748=Q1748),"⚠ Origen igual a destino",IF(AND(K1748&lt;&gt;"",ISNA(MATCH(K1748,ctaNombre,0))),"⚠ Destino no registrado",IF(AND(P1748="Pago tarjeta",AE1748&lt;&gt;"Tarjeta de crédito"),"⚠ El destino debe ser tarjeta de crédito",IF(AND(P1748="Gasto",E1748="Depósitos y retiros"),"⚠ Usa tipo Transferencia",IF(AND(P1748="Resultado trading",AD1748&lt;&gt;"Cuenta de trading"),"⚠ Usa una cuenta de trading",IF(AND(G1748&lt;=0,P1748&lt;&gt;"Ajuste",P1748&lt;&gt;"Resultado trading"),"⚠ El monto debe ser positivo","✓")))))))))))))))</f>
        <v/>
      </c>
      <c r="P1748" s="52">
        <f>IF(OR(B1748="",G1748=""),"",IF(C1748="","Gasto",C1748))</f>
        <v/>
      </c>
      <c r="Q1748" s="52">
        <f>IF(P1748="","",IF(J1748&lt;&gt;"",J1748,CuentaPred&amp;""))</f>
        <v/>
      </c>
      <c r="R1748" s="52">
        <f>IF(P1748="","",IF(ISNUMBER(I1748),I1748,TasaUSD))</f>
        <v/>
      </c>
      <c r="S1748" s="53">
        <f>IF(P1748="","",IF(H1748="USD",G1748*R1748,G1748))</f>
        <v/>
      </c>
      <c r="T1748" s="53">
        <f>IF(P1748="","",IF(H1748="USD",G1748,IF(R1748&gt;0,G1748/R1748,0)))</f>
        <v/>
      </c>
      <c r="U1748" s="53">
        <f>IF(P1748="","",IF(P1748="Gasto",S1748,IF(P1748="Reembolso",-S1748,0)))</f>
        <v/>
      </c>
      <c r="V1748" s="53">
        <f>IF(P1748="","",IF(P1748="Ingreso",S1748,0))</f>
        <v/>
      </c>
      <c r="W1748" s="53">
        <f>IF(P1748="","",IF(P1748="Resultado trading",S1748,0))</f>
        <v/>
      </c>
      <c r="X1748" s="52">
        <f>IF(OR(P1748="Gasto",P1748="Reembolso"),IF(M1748&lt;&gt;"",M1748,IFERROR(INDEX(catClasif,MATCH(D1748&amp;"|"&amp;E1748,catClave,0))&amp;"","Variable")),"")</f>
        <v/>
      </c>
      <c r="Y1748" s="52">
        <f>IF(P1748="","",IFERROR(INDEX(catGrupo,MATCH(D1748&amp;"|"&amp;E1748,catClave,0))&amp;"",""))</f>
        <v/>
      </c>
      <c r="Z1748" s="52">
        <f>IF(P1748="","",WEEKDAY(B1748,2))</f>
        <v/>
      </c>
      <c r="AA1748" s="52">
        <f>IF(P1748="","",IF(AND(P1748="Gasto",X1748="Variable",D1748&lt;&gt;catTrading,S1748&gt;0,S1748&lt;=Umbral),1,0))</f>
        <v/>
      </c>
      <c r="AB1748" s="52">
        <f>IF(OR(P1748="",Q1748=""),"",IFERROR(IF(INDEX(ctaVinc,MATCH(Q1748,ctaNombre,0))&amp;""&lt;&gt;"",INDEX(ctaVinc,MATCH(Q1748,ctaNombre,0))&amp;"",Q1748),Q1748))</f>
        <v/>
      </c>
      <c r="AC1748" s="52">
        <f>IF(OR(K1748="",AND(P1748&lt;&gt;"Transferencia",P1748&lt;&gt;"Pago tarjeta")),"",IFERROR(IF(INDEX(ctaVinc,MATCH(K1748,ctaNombre,0))&amp;""&lt;&gt;"",INDEX(ctaVinc,MATCH(K1748,ctaNombre,0))&amp;"",K1748),K1748))</f>
        <v/>
      </c>
      <c r="AD1748" s="52">
        <f>IF(AB1748="","",IFERROR(INDEX(ctaTipo,MATCH(AB1748,ctaNombre,0))&amp;"",""))</f>
        <v/>
      </c>
      <c r="AE1748" s="52">
        <f>IF(AC1748="","",IFERROR(INDEX(ctaTipo,MATCH(AC1748,ctaNombre,0))&amp;"",""))</f>
        <v/>
      </c>
      <c r="AF1748" s="53">
        <f>IF(OR(P1748="",AB1748=""),"",IF(OR(P1748="Gasto",P1748="Transferencia",P1748="Pago tarjeta"),-1,1)*IF(IFERROR(INDEX(ctaMoneda,MATCH(AB1748,ctaNombre,0))&amp;"","DOP")="USD",T1748,S1748))</f>
        <v/>
      </c>
      <c r="AG1748" s="53">
        <f>IF(AC1748="","",IF(IFERROR(INDEX(ctaMoneda,MATCH(AC1748,ctaNombre,0))&amp;"","DOP")="USD",T1748,S1748))</f>
        <v/>
      </c>
      <c r="AH1748" s="53">
        <f>IF(P1748="","",IF(AND(AD1748&lt;&gt;"",COUNTIFS(tcTipo,AD1748,tcLiq,"Sí")&gt;0),IF(OR(P1748="Gasto",P1748="Transferencia",P1748="Pago tarjeta"),-1,1)*S1748,0)+IF(AND(AE1748&lt;&gt;"",COUNTIFS(tcTipo,AE1748,tcLiq,"Sí")&gt;0),S1748,0))</f>
        <v/>
      </c>
      <c r="AI1748" s="52">
        <f>IF(OR(L1748="",P1748=""),"",IF(COUNTIFS(L$6:L1748,L1748,P$6:P1748,"?*")=1,MAX(AI$5:AI1747)+1,""))</f>
        <v/>
      </c>
    </row>
    <row r="1749">
      <c r="B1749" s="47" t="n"/>
      <c r="C1749" s="48" t="n"/>
      <c r="D1749" s="48" t="n"/>
      <c r="E1749" s="48" t="n"/>
      <c r="F1749" s="48" t="n"/>
      <c r="G1749" s="49" t="n"/>
      <c r="H1749" s="48" t="n"/>
      <c r="I1749" s="50" t="n"/>
      <c r="J1749" s="48" t="n"/>
      <c r="K1749" s="48" t="n"/>
      <c r="L1749" s="48" t="n"/>
      <c r="M1749" s="48" t="n"/>
      <c r="N1749" s="48" t="n"/>
      <c r="O1749" s="51">
        <f>IF(AND(B1749="",G1749="",C1749="",D1749="",J1749=""),"",IF(B1749="","⚠ Falta fecha",IF(G1749="","⚠ Falta monto",IF(Q1749="","⚠ Falta cuenta",IF(ISNA(MATCH(Q1749,ctaNombre,0)),"⚠ Cuenta no registrada",IF(AND(OR(P1749="Gasto",P1749="Reembolso"),D1749=""),"⚠ Falta categoría",IF(AND(D1749&lt;&gt;"",E1749&lt;&gt;"",ISNA(MATCH(D1749&amp;"|"&amp;E1749,catClave,0))),"⚠ Subcategoría no corresponde",IF(AND(OR(P1749="Transferencia",P1749="Pago tarjeta"),K1749=""),"⚠ Falta cuenta destino",IF(AND(K1749&lt;&gt;"",P1749&lt;&gt;"Transferencia",P1749&lt;&gt;"Pago tarjeta"),"⚠ Destino solo aplica a transferencias",IF(AND(K1749&lt;&gt;"",K1749=Q1749),"⚠ Origen igual a destino",IF(AND(K1749&lt;&gt;"",ISNA(MATCH(K1749,ctaNombre,0))),"⚠ Destino no registrado",IF(AND(P1749="Pago tarjeta",AE1749&lt;&gt;"Tarjeta de crédito"),"⚠ El destino debe ser tarjeta de crédito",IF(AND(P1749="Gasto",E1749="Depósitos y retiros"),"⚠ Usa tipo Transferencia",IF(AND(P1749="Resultado trading",AD1749&lt;&gt;"Cuenta de trading"),"⚠ Usa una cuenta de trading",IF(AND(G1749&lt;=0,P1749&lt;&gt;"Ajuste",P1749&lt;&gt;"Resultado trading"),"⚠ El monto debe ser positivo","✓")))))))))))))))</f>
        <v/>
      </c>
      <c r="P1749" s="52">
        <f>IF(OR(B1749="",G1749=""),"",IF(C1749="","Gasto",C1749))</f>
        <v/>
      </c>
      <c r="Q1749" s="52">
        <f>IF(P1749="","",IF(J1749&lt;&gt;"",J1749,CuentaPred&amp;""))</f>
        <v/>
      </c>
      <c r="R1749" s="52">
        <f>IF(P1749="","",IF(ISNUMBER(I1749),I1749,TasaUSD))</f>
        <v/>
      </c>
      <c r="S1749" s="53">
        <f>IF(P1749="","",IF(H1749="USD",G1749*R1749,G1749))</f>
        <v/>
      </c>
      <c r="T1749" s="53">
        <f>IF(P1749="","",IF(H1749="USD",G1749,IF(R1749&gt;0,G1749/R1749,0)))</f>
        <v/>
      </c>
      <c r="U1749" s="53">
        <f>IF(P1749="","",IF(P1749="Gasto",S1749,IF(P1749="Reembolso",-S1749,0)))</f>
        <v/>
      </c>
      <c r="V1749" s="53">
        <f>IF(P1749="","",IF(P1749="Ingreso",S1749,0))</f>
        <v/>
      </c>
      <c r="W1749" s="53">
        <f>IF(P1749="","",IF(P1749="Resultado trading",S1749,0))</f>
        <v/>
      </c>
      <c r="X1749" s="52">
        <f>IF(OR(P1749="Gasto",P1749="Reembolso"),IF(M1749&lt;&gt;"",M1749,IFERROR(INDEX(catClasif,MATCH(D1749&amp;"|"&amp;E1749,catClave,0))&amp;"","Variable")),"")</f>
        <v/>
      </c>
      <c r="Y1749" s="52">
        <f>IF(P1749="","",IFERROR(INDEX(catGrupo,MATCH(D1749&amp;"|"&amp;E1749,catClave,0))&amp;"",""))</f>
        <v/>
      </c>
      <c r="Z1749" s="52">
        <f>IF(P1749="","",WEEKDAY(B1749,2))</f>
        <v/>
      </c>
      <c r="AA1749" s="52">
        <f>IF(P1749="","",IF(AND(P1749="Gasto",X1749="Variable",D1749&lt;&gt;catTrading,S1749&gt;0,S1749&lt;=Umbral),1,0))</f>
        <v/>
      </c>
      <c r="AB1749" s="52">
        <f>IF(OR(P1749="",Q1749=""),"",IFERROR(IF(INDEX(ctaVinc,MATCH(Q1749,ctaNombre,0))&amp;""&lt;&gt;"",INDEX(ctaVinc,MATCH(Q1749,ctaNombre,0))&amp;"",Q1749),Q1749))</f>
        <v/>
      </c>
      <c r="AC1749" s="52">
        <f>IF(OR(K1749="",AND(P1749&lt;&gt;"Transferencia",P1749&lt;&gt;"Pago tarjeta")),"",IFERROR(IF(INDEX(ctaVinc,MATCH(K1749,ctaNombre,0))&amp;""&lt;&gt;"",INDEX(ctaVinc,MATCH(K1749,ctaNombre,0))&amp;"",K1749),K1749))</f>
        <v/>
      </c>
      <c r="AD1749" s="52">
        <f>IF(AB1749="","",IFERROR(INDEX(ctaTipo,MATCH(AB1749,ctaNombre,0))&amp;"",""))</f>
        <v/>
      </c>
      <c r="AE1749" s="52">
        <f>IF(AC1749="","",IFERROR(INDEX(ctaTipo,MATCH(AC1749,ctaNombre,0))&amp;"",""))</f>
        <v/>
      </c>
      <c r="AF1749" s="53">
        <f>IF(OR(P1749="",AB1749=""),"",IF(OR(P1749="Gasto",P1749="Transferencia",P1749="Pago tarjeta"),-1,1)*IF(IFERROR(INDEX(ctaMoneda,MATCH(AB1749,ctaNombre,0))&amp;"","DOP")="USD",T1749,S1749))</f>
        <v/>
      </c>
      <c r="AG1749" s="53">
        <f>IF(AC1749="","",IF(IFERROR(INDEX(ctaMoneda,MATCH(AC1749,ctaNombre,0))&amp;"","DOP")="USD",T1749,S1749))</f>
        <v/>
      </c>
      <c r="AH1749" s="53">
        <f>IF(P1749="","",IF(AND(AD1749&lt;&gt;"",COUNTIFS(tcTipo,AD1749,tcLiq,"Sí")&gt;0),IF(OR(P1749="Gasto",P1749="Transferencia",P1749="Pago tarjeta"),-1,1)*S1749,0)+IF(AND(AE1749&lt;&gt;"",COUNTIFS(tcTipo,AE1749,tcLiq,"Sí")&gt;0),S1749,0))</f>
        <v/>
      </c>
      <c r="AI1749" s="52">
        <f>IF(OR(L1749="",P1749=""),"",IF(COUNTIFS(L$6:L1749,L1749,P$6:P1749,"?*")=1,MAX(AI$5:AI1748)+1,""))</f>
        <v/>
      </c>
    </row>
    <row r="1750">
      <c r="B1750" s="47" t="n"/>
      <c r="C1750" s="48" t="n"/>
      <c r="D1750" s="48" t="n"/>
      <c r="E1750" s="48" t="n"/>
      <c r="F1750" s="48" t="n"/>
      <c r="G1750" s="49" t="n"/>
      <c r="H1750" s="48" t="n"/>
      <c r="I1750" s="50" t="n"/>
      <c r="J1750" s="48" t="n"/>
      <c r="K1750" s="48" t="n"/>
      <c r="L1750" s="48" t="n"/>
      <c r="M1750" s="48" t="n"/>
      <c r="N1750" s="48" t="n"/>
      <c r="O1750" s="51">
        <f>IF(AND(B1750="",G1750="",C1750="",D1750="",J1750=""),"",IF(B1750="","⚠ Falta fecha",IF(G1750="","⚠ Falta monto",IF(Q1750="","⚠ Falta cuenta",IF(ISNA(MATCH(Q1750,ctaNombre,0)),"⚠ Cuenta no registrada",IF(AND(OR(P1750="Gasto",P1750="Reembolso"),D1750=""),"⚠ Falta categoría",IF(AND(D1750&lt;&gt;"",E1750&lt;&gt;"",ISNA(MATCH(D1750&amp;"|"&amp;E1750,catClave,0))),"⚠ Subcategoría no corresponde",IF(AND(OR(P1750="Transferencia",P1750="Pago tarjeta"),K1750=""),"⚠ Falta cuenta destino",IF(AND(K1750&lt;&gt;"",P1750&lt;&gt;"Transferencia",P1750&lt;&gt;"Pago tarjeta"),"⚠ Destino solo aplica a transferencias",IF(AND(K1750&lt;&gt;"",K1750=Q1750),"⚠ Origen igual a destino",IF(AND(K1750&lt;&gt;"",ISNA(MATCH(K1750,ctaNombre,0))),"⚠ Destino no registrado",IF(AND(P1750="Pago tarjeta",AE1750&lt;&gt;"Tarjeta de crédito"),"⚠ El destino debe ser tarjeta de crédito",IF(AND(P1750="Gasto",E1750="Depósitos y retiros"),"⚠ Usa tipo Transferencia",IF(AND(P1750="Resultado trading",AD1750&lt;&gt;"Cuenta de trading"),"⚠ Usa una cuenta de trading",IF(AND(G1750&lt;=0,P1750&lt;&gt;"Ajuste",P1750&lt;&gt;"Resultado trading"),"⚠ El monto debe ser positivo","✓")))))))))))))))</f>
        <v/>
      </c>
      <c r="P1750" s="52">
        <f>IF(OR(B1750="",G1750=""),"",IF(C1750="","Gasto",C1750))</f>
        <v/>
      </c>
      <c r="Q1750" s="52">
        <f>IF(P1750="","",IF(J1750&lt;&gt;"",J1750,CuentaPred&amp;""))</f>
        <v/>
      </c>
      <c r="R1750" s="52">
        <f>IF(P1750="","",IF(ISNUMBER(I1750),I1750,TasaUSD))</f>
        <v/>
      </c>
      <c r="S1750" s="53">
        <f>IF(P1750="","",IF(H1750="USD",G1750*R1750,G1750))</f>
        <v/>
      </c>
      <c r="T1750" s="53">
        <f>IF(P1750="","",IF(H1750="USD",G1750,IF(R1750&gt;0,G1750/R1750,0)))</f>
        <v/>
      </c>
      <c r="U1750" s="53">
        <f>IF(P1750="","",IF(P1750="Gasto",S1750,IF(P1750="Reembolso",-S1750,0)))</f>
        <v/>
      </c>
      <c r="V1750" s="53">
        <f>IF(P1750="","",IF(P1750="Ingreso",S1750,0))</f>
        <v/>
      </c>
      <c r="W1750" s="53">
        <f>IF(P1750="","",IF(P1750="Resultado trading",S1750,0))</f>
        <v/>
      </c>
      <c r="X1750" s="52">
        <f>IF(OR(P1750="Gasto",P1750="Reembolso"),IF(M1750&lt;&gt;"",M1750,IFERROR(INDEX(catClasif,MATCH(D1750&amp;"|"&amp;E1750,catClave,0))&amp;"","Variable")),"")</f>
        <v/>
      </c>
      <c r="Y1750" s="52">
        <f>IF(P1750="","",IFERROR(INDEX(catGrupo,MATCH(D1750&amp;"|"&amp;E1750,catClave,0))&amp;"",""))</f>
        <v/>
      </c>
      <c r="Z1750" s="52">
        <f>IF(P1750="","",WEEKDAY(B1750,2))</f>
        <v/>
      </c>
      <c r="AA1750" s="52">
        <f>IF(P1750="","",IF(AND(P1750="Gasto",X1750="Variable",D1750&lt;&gt;catTrading,S1750&gt;0,S1750&lt;=Umbral),1,0))</f>
        <v/>
      </c>
      <c r="AB1750" s="52">
        <f>IF(OR(P1750="",Q1750=""),"",IFERROR(IF(INDEX(ctaVinc,MATCH(Q1750,ctaNombre,0))&amp;""&lt;&gt;"",INDEX(ctaVinc,MATCH(Q1750,ctaNombre,0))&amp;"",Q1750),Q1750))</f>
        <v/>
      </c>
      <c r="AC1750" s="52">
        <f>IF(OR(K1750="",AND(P1750&lt;&gt;"Transferencia",P1750&lt;&gt;"Pago tarjeta")),"",IFERROR(IF(INDEX(ctaVinc,MATCH(K1750,ctaNombre,0))&amp;""&lt;&gt;"",INDEX(ctaVinc,MATCH(K1750,ctaNombre,0))&amp;"",K1750),K1750))</f>
        <v/>
      </c>
      <c r="AD1750" s="52">
        <f>IF(AB1750="","",IFERROR(INDEX(ctaTipo,MATCH(AB1750,ctaNombre,0))&amp;"",""))</f>
        <v/>
      </c>
      <c r="AE1750" s="52">
        <f>IF(AC1750="","",IFERROR(INDEX(ctaTipo,MATCH(AC1750,ctaNombre,0))&amp;"",""))</f>
        <v/>
      </c>
      <c r="AF1750" s="53">
        <f>IF(OR(P1750="",AB1750=""),"",IF(OR(P1750="Gasto",P1750="Transferencia",P1750="Pago tarjeta"),-1,1)*IF(IFERROR(INDEX(ctaMoneda,MATCH(AB1750,ctaNombre,0))&amp;"","DOP")="USD",T1750,S1750))</f>
        <v/>
      </c>
      <c r="AG1750" s="53">
        <f>IF(AC1750="","",IF(IFERROR(INDEX(ctaMoneda,MATCH(AC1750,ctaNombre,0))&amp;"","DOP")="USD",T1750,S1750))</f>
        <v/>
      </c>
      <c r="AH1750" s="53">
        <f>IF(P1750="","",IF(AND(AD1750&lt;&gt;"",COUNTIFS(tcTipo,AD1750,tcLiq,"Sí")&gt;0),IF(OR(P1750="Gasto",P1750="Transferencia",P1750="Pago tarjeta"),-1,1)*S1750,0)+IF(AND(AE1750&lt;&gt;"",COUNTIFS(tcTipo,AE1750,tcLiq,"Sí")&gt;0),S1750,0))</f>
        <v/>
      </c>
      <c r="AI1750" s="52">
        <f>IF(OR(L1750="",P1750=""),"",IF(COUNTIFS(L$6:L1750,L1750,P$6:P1750,"?*")=1,MAX(AI$5:AI1749)+1,""))</f>
        <v/>
      </c>
    </row>
    <row r="1751">
      <c r="B1751" s="47" t="n"/>
      <c r="C1751" s="48" t="n"/>
      <c r="D1751" s="48" t="n"/>
      <c r="E1751" s="48" t="n"/>
      <c r="F1751" s="48" t="n"/>
      <c r="G1751" s="49" t="n"/>
      <c r="H1751" s="48" t="n"/>
      <c r="I1751" s="50" t="n"/>
      <c r="J1751" s="48" t="n"/>
      <c r="K1751" s="48" t="n"/>
      <c r="L1751" s="48" t="n"/>
      <c r="M1751" s="48" t="n"/>
      <c r="N1751" s="48" t="n"/>
      <c r="O1751" s="51">
        <f>IF(AND(B1751="",G1751="",C1751="",D1751="",J1751=""),"",IF(B1751="","⚠ Falta fecha",IF(G1751="","⚠ Falta monto",IF(Q1751="","⚠ Falta cuenta",IF(ISNA(MATCH(Q1751,ctaNombre,0)),"⚠ Cuenta no registrada",IF(AND(OR(P1751="Gasto",P1751="Reembolso"),D1751=""),"⚠ Falta categoría",IF(AND(D1751&lt;&gt;"",E1751&lt;&gt;"",ISNA(MATCH(D1751&amp;"|"&amp;E1751,catClave,0))),"⚠ Subcategoría no corresponde",IF(AND(OR(P1751="Transferencia",P1751="Pago tarjeta"),K1751=""),"⚠ Falta cuenta destino",IF(AND(K1751&lt;&gt;"",P1751&lt;&gt;"Transferencia",P1751&lt;&gt;"Pago tarjeta"),"⚠ Destino solo aplica a transferencias",IF(AND(K1751&lt;&gt;"",K1751=Q1751),"⚠ Origen igual a destino",IF(AND(K1751&lt;&gt;"",ISNA(MATCH(K1751,ctaNombre,0))),"⚠ Destino no registrado",IF(AND(P1751="Pago tarjeta",AE1751&lt;&gt;"Tarjeta de crédito"),"⚠ El destino debe ser tarjeta de crédito",IF(AND(P1751="Gasto",E1751="Depósitos y retiros"),"⚠ Usa tipo Transferencia",IF(AND(P1751="Resultado trading",AD1751&lt;&gt;"Cuenta de trading"),"⚠ Usa una cuenta de trading",IF(AND(G1751&lt;=0,P1751&lt;&gt;"Ajuste",P1751&lt;&gt;"Resultado trading"),"⚠ El monto debe ser positivo","✓")))))))))))))))</f>
        <v/>
      </c>
      <c r="P1751" s="52">
        <f>IF(OR(B1751="",G1751=""),"",IF(C1751="","Gasto",C1751))</f>
        <v/>
      </c>
      <c r="Q1751" s="52">
        <f>IF(P1751="","",IF(J1751&lt;&gt;"",J1751,CuentaPred&amp;""))</f>
        <v/>
      </c>
      <c r="R1751" s="52">
        <f>IF(P1751="","",IF(ISNUMBER(I1751),I1751,TasaUSD))</f>
        <v/>
      </c>
      <c r="S1751" s="53">
        <f>IF(P1751="","",IF(H1751="USD",G1751*R1751,G1751))</f>
        <v/>
      </c>
      <c r="T1751" s="53">
        <f>IF(P1751="","",IF(H1751="USD",G1751,IF(R1751&gt;0,G1751/R1751,0)))</f>
        <v/>
      </c>
      <c r="U1751" s="53">
        <f>IF(P1751="","",IF(P1751="Gasto",S1751,IF(P1751="Reembolso",-S1751,0)))</f>
        <v/>
      </c>
      <c r="V1751" s="53">
        <f>IF(P1751="","",IF(P1751="Ingreso",S1751,0))</f>
        <v/>
      </c>
      <c r="W1751" s="53">
        <f>IF(P1751="","",IF(P1751="Resultado trading",S1751,0))</f>
        <v/>
      </c>
      <c r="X1751" s="52">
        <f>IF(OR(P1751="Gasto",P1751="Reembolso"),IF(M1751&lt;&gt;"",M1751,IFERROR(INDEX(catClasif,MATCH(D1751&amp;"|"&amp;E1751,catClave,0))&amp;"","Variable")),"")</f>
        <v/>
      </c>
      <c r="Y1751" s="52">
        <f>IF(P1751="","",IFERROR(INDEX(catGrupo,MATCH(D1751&amp;"|"&amp;E1751,catClave,0))&amp;"",""))</f>
        <v/>
      </c>
      <c r="Z1751" s="52">
        <f>IF(P1751="","",WEEKDAY(B1751,2))</f>
        <v/>
      </c>
      <c r="AA1751" s="52">
        <f>IF(P1751="","",IF(AND(P1751="Gasto",X1751="Variable",D1751&lt;&gt;catTrading,S1751&gt;0,S1751&lt;=Umbral),1,0))</f>
        <v/>
      </c>
      <c r="AB1751" s="52">
        <f>IF(OR(P1751="",Q1751=""),"",IFERROR(IF(INDEX(ctaVinc,MATCH(Q1751,ctaNombre,0))&amp;""&lt;&gt;"",INDEX(ctaVinc,MATCH(Q1751,ctaNombre,0))&amp;"",Q1751),Q1751))</f>
        <v/>
      </c>
      <c r="AC1751" s="52">
        <f>IF(OR(K1751="",AND(P1751&lt;&gt;"Transferencia",P1751&lt;&gt;"Pago tarjeta")),"",IFERROR(IF(INDEX(ctaVinc,MATCH(K1751,ctaNombre,0))&amp;""&lt;&gt;"",INDEX(ctaVinc,MATCH(K1751,ctaNombre,0))&amp;"",K1751),K1751))</f>
        <v/>
      </c>
      <c r="AD1751" s="52">
        <f>IF(AB1751="","",IFERROR(INDEX(ctaTipo,MATCH(AB1751,ctaNombre,0))&amp;"",""))</f>
        <v/>
      </c>
      <c r="AE1751" s="52">
        <f>IF(AC1751="","",IFERROR(INDEX(ctaTipo,MATCH(AC1751,ctaNombre,0))&amp;"",""))</f>
        <v/>
      </c>
      <c r="AF1751" s="53">
        <f>IF(OR(P1751="",AB1751=""),"",IF(OR(P1751="Gasto",P1751="Transferencia",P1751="Pago tarjeta"),-1,1)*IF(IFERROR(INDEX(ctaMoneda,MATCH(AB1751,ctaNombre,0))&amp;"","DOP")="USD",T1751,S1751))</f>
        <v/>
      </c>
      <c r="AG1751" s="53">
        <f>IF(AC1751="","",IF(IFERROR(INDEX(ctaMoneda,MATCH(AC1751,ctaNombre,0))&amp;"","DOP")="USD",T1751,S1751))</f>
        <v/>
      </c>
      <c r="AH1751" s="53">
        <f>IF(P1751="","",IF(AND(AD1751&lt;&gt;"",COUNTIFS(tcTipo,AD1751,tcLiq,"Sí")&gt;0),IF(OR(P1751="Gasto",P1751="Transferencia",P1751="Pago tarjeta"),-1,1)*S1751,0)+IF(AND(AE1751&lt;&gt;"",COUNTIFS(tcTipo,AE1751,tcLiq,"Sí")&gt;0),S1751,0))</f>
        <v/>
      </c>
      <c r="AI1751" s="52">
        <f>IF(OR(L1751="",P1751=""),"",IF(COUNTIFS(L$6:L1751,L1751,P$6:P1751,"?*")=1,MAX(AI$5:AI1750)+1,""))</f>
        <v/>
      </c>
    </row>
    <row r="1752">
      <c r="B1752" s="47" t="n"/>
      <c r="C1752" s="48" t="n"/>
      <c r="D1752" s="48" t="n"/>
      <c r="E1752" s="48" t="n"/>
      <c r="F1752" s="48" t="n"/>
      <c r="G1752" s="49" t="n"/>
      <c r="H1752" s="48" t="n"/>
      <c r="I1752" s="50" t="n"/>
      <c r="J1752" s="48" t="n"/>
      <c r="K1752" s="48" t="n"/>
      <c r="L1752" s="48" t="n"/>
      <c r="M1752" s="48" t="n"/>
      <c r="N1752" s="48" t="n"/>
      <c r="O1752" s="51">
        <f>IF(AND(B1752="",G1752="",C1752="",D1752="",J1752=""),"",IF(B1752="","⚠ Falta fecha",IF(G1752="","⚠ Falta monto",IF(Q1752="","⚠ Falta cuenta",IF(ISNA(MATCH(Q1752,ctaNombre,0)),"⚠ Cuenta no registrada",IF(AND(OR(P1752="Gasto",P1752="Reembolso"),D1752=""),"⚠ Falta categoría",IF(AND(D1752&lt;&gt;"",E1752&lt;&gt;"",ISNA(MATCH(D1752&amp;"|"&amp;E1752,catClave,0))),"⚠ Subcategoría no corresponde",IF(AND(OR(P1752="Transferencia",P1752="Pago tarjeta"),K1752=""),"⚠ Falta cuenta destino",IF(AND(K1752&lt;&gt;"",P1752&lt;&gt;"Transferencia",P1752&lt;&gt;"Pago tarjeta"),"⚠ Destino solo aplica a transferencias",IF(AND(K1752&lt;&gt;"",K1752=Q1752),"⚠ Origen igual a destino",IF(AND(K1752&lt;&gt;"",ISNA(MATCH(K1752,ctaNombre,0))),"⚠ Destino no registrado",IF(AND(P1752="Pago tarjeta",AE1752&lt;&gt;"Tarjeta de crédito"),"⚠ El destino debe ser tarjeta de crédito",IF(AND(P1752="Gasto",E1752="Depósitos y retiros"),"⚠ Usa tipo Transferencia",IF(AND(P1752="Resultado trading",AD1752&lt;&gt;"Cuenta de trading"),"⚠ Usa una cuenta de trading",IF(AND(G1752&lt;=0,P1752&lt;&gt;"Ajuste",P1752&lt;&gt;"Resultado trading"),"⚠ El monto debe ser positivo","✓")))))))))))))))</f>
        <v/>
      </c>
      <c r="P1752" s="52">
        <f>IF(OR(B1752="",G1752=""),"",IF(C1752="","Gasto",C1752))</f>
        <v/>
      </c>
      <c r="Q1752" s="52">
        <f>IF(P1752="","",IF(J1752&lt;&gt;"",J1752,CuentaPred&amp;""))</f>
        <v/>
      </c>
      <c r="R1752" s="52">
        <f>IF(P1752="","",IF(ISNUMBER(I1752),I1752,TasaUSD))</f>
        <v/>
      </c>
      <c r="S1752" s="53">
        <f>IF(P1752="","",IF(H1752="USD",G1752*R1752,G1752))</f>
        <v/>
      </c>
      <c r="T1752" s="53">
        <f>IF(P1752="","",IF(H1752="USD",G1752,IF(R1752&gt;0,G1752/R1752,0)))</f>
        <v/>
      </c>
      <c r="U1752" s="53">
        <f>IF(P1752="","",IF(P1752="Gasto",S1752,IF(P1752="Reembolso",-S1752,0)))</f>
        <v/>
      </c>
      <c r="V1752" s="53">
        <f>IF(P1752="","",IF(P1752="Ingreso",S1752,0))</f>
        <v/>
      </c>
      <c r="W1752" s="53">
        <f>IF(P1752="","",IF(P1752="Resultado trading",S1752,0))</f>
        <v/>
      </c>
      <c r="X1752" s="52">
        <f>IF(OR(P1752="Gasto",P1752="Reembolso"),IF(M1752&lt;&gt;"",M1752,IFERROR(INDEX(catClasif,MATCH(D1752&amp;"|"&amp;E1752,catClave,0))&amp;"","Variable")),"")</f>
        <v/>
      </c>
      <c r="Y1752" s="52">
        <f>IF(P1752="","",IFERROR(INDEX(catGrupo,MATCH(D1752&amp;"|"&amp;E1752,catClave,0))&amp;"",""))</f>
        <v/>
      </c>
      <c r="Z1752" s="52">
        <f>IF(P1752="","",WEEKDAY(B1752,2))</f>
        <v/>
      </c>
      <c r="AA1752" s="52">
        <f>IF(P1752="","",IF(AND(P1752="Gasto",X1752="Variable",D1752&lt;&gt;catTrading,S1752&gt;0,S1752&lt;=Umbral),1,0))</f>
        <v/>
      </c>
      <c r="AB1752" s="52">
        <f>IF(OR(P1752="",Q1752=""),"",IFERROR(IF(INDEX(ctaVinc,MATCH(Q1752,ctaNombre,0))&amp;""&lt;&gt;"",INDEX(ctaVinc,MATCH(Q1752,ctaNombre,0))&amp;"",Q1752),Q1752))</f>
        <v/>
      </c>
      <c r="AC1752" s="52">
        <f>IF(OR(K1752="",AND(P1752&lt;&gt;"Transferencia",P1752&lt;&gt;"Pago tarjeta")),"",IFERROR(IF(INDEX(ctaVinc,MATCH(K1752,ctaNombre,0))&amp;""&lt;&gt;"",INDEX(ctaVinc,MATCH(K1752,ctaNombre,0))&amp;"",K1752),K1752))</f>
        <v/>
      </c>
      <c r="AD1752" s="52">
        <f>IF(AB1752="","",IFERROR(INDEX(ctaTipo,MATCH(AB1752,ctaNombre,0))&amp;"",""))</f>
        <v/>
      </c>
      <c r="AE1752" s="52">
        <f>IF(AC1752="","",IFERROR(INDEX(ctaTipo,MATCH(AC1752,ctaNombre,0))&amp;"",""))</f>
        <v/>
      </c>
      <c r="AF1752" s="53">
        <f>IF(OR(P1752="",AB1752=""),"",IF(OR(P1752="Gasto",P1752="Transferencia",P1752="Pago tarjeta"),-1,1)*IF(IFERROR(INDEX(ctaMoneda,MATCH(AB1752,ctaNombre,0))&amp;"","DOP")="USD",T1752,S1752))</f>
        <v/>
      </c>
      <c r="AG1752" s="53">
        <f>IF(AC1752="","",IF(IFERROR(INDEX(ctaMoneda,MATCH(AC1752,ctaNombre,0))&amp;"","DOP")="USD",T1752,S1752))</f>
        <v/>
      </c>
      <c r="AH1752" s="53">
        <f>IF(P1752="","",IF(AND(AD1752&lt;&gt;"",COUNTIFS(tcTipo,AD1752,tcLiq,"Sí")&gt;0),IF(OR(P1752="Gasto",P1752="Transferencia",P1752="Pago tarjeta"),-1,1)*S1752,0)+IF(AND(AE1752&lt;&gt;"",COUNTIFS(tcTipo,AE1752,tcLiq,"Sí")&gt;0),S1752,0))</f>
        <v/>
      </c>
      <c r="AI1752" s="52">
        <f>IF(OR(L1752="",P1752=""),"",IF(COUNTIFS(L$6:L1752,L1752,P$6:P1752,"?*")=1,MAX(AI$5:AI1751)+1,""))</f>
        <v/>
      </c>
    </row>
    <row r="1753">
      <c r="B1753" s="47" t="n"/>
      <c r="C1753" s="48" t="n"/>
      <c r="D1753" s="48" t="n"/>
      <c r="E1753" s="48" t="n"/>
      <c r="F1753" s="48" t="n"/>
      <c r="G1753" s="49" t="n"/>
      <c r="H1753" s="48" t="n"/>
      <c r="I1753" s="50" t="n"/>
      <c r="J1753" s="48" t="n"/>
      <c r="K1753" s="48" t="n"/>
      <c r="L1753" s="48" t="n"/>
      <c r="M1753" s="48" t="n"/>
      <c r="N1753" s="48" t="n"/>
      <c r="O1753" s="51">
        <f>IF(AND(B1753="",G1753="",C1753="",D1753="",J1753=""),"",IF(B1753="","⚠ Falta fecha",IF(G1753="","⚠ Falta monto",IF(Q1753="","⚠ Falta cuenta",IF(ISNA(MATCH(Q1753,ctaNombre,0)),"⚠ Cuenta no registrada",IF(AND(OR(P1753="Gasto",P1753="Reembolso"),D1753=""),"⚠ Falta categoría",IF(AND(D1753&lt;&gt;"",E1753&lt;&gt;"",ISNA(MATCH(D1753&amp;"|"&amp;E1753,catClave,0))),"⚠ Subcategoría no corresponde",IF(AND(OR(P1753="Transferencia",P1753="Pago tarjeta"),K1753=""),"⚠ Falta cuenta destino",IF(AND(K1753&lt;&gt;"",P1753&lt;&gt;"Transferencia",P1753&lt;&gt;"Pago tarjeta"),"⚠ Destino solo aplica a transferencias",IF(AND(K1753&lt;&gt;"",K1753=Q1753),"⚠ Origen igual a destino",IF(AND(K1753&lt;&gt;"",ISNA(MATCH(K1753,ctaNombre,0))),"⚠ Destino no registrado",IF(AND(P1753="Pago tarjeta",AE1753&lt;&gt;"Tarjeta de crédito"),"⚠ El destino debe ser tarjeta de crédito",IF(AND(P1753="Gasto",E1753="Depósitos y retiros"),"⚠ Usa tipo Transferencia",IF(AND(P1753="Resultado trading",AD1753&lt;&gt;"Cuenta de trading"),"⚠ Usa una cuenta de trading",IF(AND(G1753&lt;=0,P1753&lt;&gt;"Ajuste",P1753&lt;&gt;"Resultado trading"),"⚠ El monto debe ser positivo","✓")))))))))))))))</f>
        <v/>
      </c>
      <c r="P1753" s="52">
        <f>IF(OR(B1753="",G1753=""),"",IF(C1753="","Gasto",C1753))</f>
        <v/>
      </c>
      <c r="Q1753" s="52">
        <f>IF(P1753="","",IF(J1753&lt;&gt;"",J1753,CuentaPred&amp;""))</f>
        <v/>
      </c>
      <c r="R1753" s="52">
        <f>IF(P1753="","",IF(ISNUMBER(I1753),I1753,TasaUSD))</f>
        <v/>
      </c>
      <c r="S1753" s="53">
        <f>IF(P1753="","",IF(H1753="USD",G1753*R1753,G1753))</f>
        <v/>
      </c>
      <c r="T1753" s="53">
        <f>IF(P1753="","",IF(H1753="USD",G1753,IF(R1753&gt;0,G1753/R1753,0)))</f>
        <v/>
      </c>
      <c r="U1753" s="53">
        <f>IF(P1753="","",IF(P1753="Gasto",S1753,IF(P1753="Reembolso",-S1753,0)))</f>
        <v/>
      </c>
      <c r="V1753" s="53">
        <f>IF(P1753="","",IF(P1753="Ingreso",S1753,0))</f>
        <v/>
      </c>
      <c r="W1753" s="53">
        <f>IF(P1753="","",IF(P1753="Resultado trading",S1753,0))</f>
        <v/>
      </c>
      <c r="X1753" s="52">
        <f>IF(OR(P1753="Gasto",P1753="Reembolso"),IF(M1753&lt;&gt;"",M1753,IFERROR(INDEX(catClasif,MATCH(D1753&amp;"|"&amp;E1753,catClave,0))&amp;"","Variable")),"")</f>
        <v/>
      </c>
      <c r="Y1753" s="52">
        <f>IF(P1753="","",IFERROR(INDEX(catGrupo,MATCH(D1753&amp;"|"&amp;E1753,catClave,0))&amp;"",""))</f>
        <v/>
      </c>
      <c r="Z1753" s="52">
        <f>IF(P1753="","",WEEKDAY(B1753,2))</f>
        <v/>
      </c>
      <c r="AA1753" s="52">
        <f>IF(P1753="","",IF(AND(P1753="Gasto",X1753="Variable",D1753&lt;&gt;catTrading,S1753&gt;0,S1753&lt;=Umbral),1,0))</f>
        <v/>
      </c>
      <c r="AB1753" s="52">
        <f>IF(OR(P1753="",Q1753=""),"",IFERROR(IF(INDEX(ctaVinc,MATCH(Q1753,ctaNombre,0))&amp;""&lt;&gt;"",INDEX(ctaVinc,MATCH(Q1753,ctaNombre,0))&amp;"",Q1753),Q1753))</f>
        <v/>
      </c>
      <c r="AC1753" s="52">
        <f>IF(OR(K1753="",AND(P1753&lt;&gt;"Transferencia",P1753&lt;&gt;"Pago tarjeta")),"",IFERROR(IF(INDEX(ctaVinc,MATCH(K1753,ctaNombre,0))&amp;""&lt;&gt;"",INDEX(ctaVinc,MATCH(K1753,ctaNombre,0))&amp;"",K1753),K1753))</f>
        <v/>
      </c>
      <c r="AD1753" s="52">
        <f>IF(AB1753="","",IFERROR(INDEX(ctaTipo,MATCH(AB1753,ctaNombre,0))&amp;"",""))</f>
        <v/>
      </c>
      <c r="AE1753" s="52">
        <f>IF(AC1753="","",IFERROR(INDEX(ctaTipo,MATCH(AC1753,ctaNombre,0))&amp;"",""))</f>
        <v/>
      </c>
      <c r="AF1753" s="53">
        <f>IF(OR(P1753="",AB1753=""),"",IF(OR(P1753="Gasto",P1753="Transferencia",P1753="Pago tarjeta"),-1,1)*IF(IFERROR(INDEX(ctaMoneda,MATCH(AB1753,ctaNombre,0))&amp;"","DOP")="USD",T1753,S1753))</f>
        <v/>
      </c>
      <c r="AG1753" s="53">
        <f>IF(AC1753="","",IF(IFERROR(INDEX(ctaMoneda,MATCH(AC1753,ctaNombre,0))&amp;"","DOP")="USD",T1753,S1753))</f>
        <v/>
      </c>
      <c r="AH1753" s="53">
        <f>IF(P1753="","",IF(AND(AD1753&lt;&gt;"",COUNTIFS(tcTipo,AD1753,tcLiq,"Sí")&gt;0),IF(OR(P1753="Gasto",P1753="Transferencia",P1753="Pago tarjeta"),-1,1)*S1753,0)+IF(AND(AE1753&lt;&gt;"",COUNTIFS(tcTipo,AE1753,tcLiq,"Sí")&gt;0),S1753,0))</f>
        <v/>
      </c>
      <c r="AI1753" s="52">
        <f>IF(OR(L1753="",P1753=""),"",IF(COUNTIFS(L$6:L1753,L1753,P$6:P1753,"?*")=1,MAX(AI$5:AI1752)+1,""))</f>
        <v/>
      </c>
    </row>
    <row r="1754">
      <c r="B1754" s="47" t="n"/>
      <c r="C1754" s="48" t="n"/>
      <c r="D1754" s="48" t="n"/>
      <c r="E1754" s="48" t="n"/>
      <c r="F1754" s="48" t="n"/>
      <c r="G1754" s="49" t="n"/>
      <c r="H1754" s="48" t="n"/>
      <c r="I1754" s="50" t="n"/>
      <c r="J1754" s="48" t="n"/>
      <c r="K1754" s="48" t="n"/>
      <c r="L1754" s="48" t="n"/>
      <c r="M1754" s="48" t="n"/>
      <c r="N1754" s="48" t="n"/>
      <c r="O1754" s="51">
        <f>IF(AND(B1754="",G1754="",C1754="",D1754="",J1754=""),"",IF(B1754="","⚠ Falta fecha",IF(G1754="","⚠ Falta monto",IF(Q1754="","⚠ Falta cuenta",IF(ISNA(MATCH(Q1754,ctaNombre,0)),"⚠ Cuenta no registrada",IF(AND(OR(P1754="Gasto",P1754="Reembolso"),D1754=""),"⚠ Falta categoría",IF(AND(D1754&lt;&gt;"",E1754&lt;&gt;"",ISNA(MATCH(D1754&amp;"|"&amp;E1754,catClave,0))),"⚠ Subcategoría no corresponde",IF(AND(OR(P1754="Transferencia",P1754="Pago tarjeta"),K1754=""),"⚠ Falta cuenta destino",IF(AND(K1754&lt;&gt;"",P1754&lt;&gt;"Transferencia",P1754&lt;&gt;"Pago tarjeta"),"⚠ Destino solo aplica a transferencias",IF(AND(K1754&lt;&gt;"",K1754=Q1754),"⚠ Origen igual a destino",IF(AND(K1754&lt;&gt;"",ISNA(MATCH(K1754,ctaNombre,0))),"⚠ Destino no registrado",IF(AND(P1754="Pago tarjeta",AE1754&lt;&gt;"Tarjeta de crédito"),"⚠ El destino debe ser tarjeta de crédito",IF(AND(P1754="Gasto",E1754="Depósitos y retiros"),"⚠ Usa tipo Transferencia",IF(AND(P1754="Resultado trading",AD1754&lt;&gt;"Cuenta de trading"),"⚠ Usa una cuenta de trading",IF(AND(G1754&lt;=0,P1754&lt;&gt;"Ajuste",P1754&lt;&gt;"Resultado trading"),"⚠ El monto debe ser positivo","✓")))))))))))))))</f>
        <v/>
      </c>
      <c r="P1754" s="52">
        <f>IF(OR(B1754="",G1754=""),"",IF(C1754="","Gasto",C1754))</f>
        <v/>
      </c>
      <c r="Q1754" s="52">
        <f>IF(P1754="","",IF(J1754&lt;&gt;"",J1754,CuentaPred&amp;""))</f>
        <v/>
      </c>
      <c r="R1754" s="52">
        <f>IF(P1754="","",IF(ISNUMBER(I1754),I1754,TasaUSD))</f>
        <v/>
      </c>
      <c r="S1754" s="53">
        <f>IF(P1754="","",IF(H1754="USD",G1754*R1754,G1754))</f>
        <v/>
      </c>
      <c r="T1754" s="53">
        <f>IF(P1754="","",IF(H1754="USD",G1754,IF(R1754&gt;0,G1754/R1754,0)))</f>
        <v/>
      </c>
      <c r="U1754" s="53">
        <f>IF(P1754="","",IF(P1754="Gasto",S1754,IF(P1754="Reembolso",-S1754,0)))</f>
        <v/>
      </c>
      <c r="V1754" s="53">
        <f>IF(P1754="","",IF(P1754="Ingreso",S1754,0))</f>
        <v/>
      </c>
      <c r="W1754" s="53">
        <f>IF(P1754="","",IF(P1754="Resultado trading",S1754,0))</f>
        <v/>
      </c>
      <c r="X1754" s="52">
        <f>IF(OR(P1754="Gasto",P1754="Reembolso"),IF(M1754&lt;&gt;"",M1754,IFERROR(INDEX(catClasif,MATCH(D1754&amp;"|"&amp;E1754,catClave,0))&amp;"","Variable")),"")</f>
        <v/>
      </c>
      <c r="Y1754" s="52">
        <f>IF(P1754="","",IFERROR(INDEX(catGrupo,MATCH(D1754&amp;"|"&amp;E1754,catClave,0))&amp;"",""))</f>
        <v/>
      </c>
      <c r="Z1754" s="52">
        <f>IF(P1754="","",WEEKDAY(B1754,2))</f>
        <v/>
      </c>
      <c r="AA1754" s="52">
        <f>IF(P1754="","",IF(AND(P1754="Gasto",X1754="Variable",D1754&lt;&gt;catTrading,S1754&gt;0,S1754&lt;=Umbral),1,0))</f>
        <v/>
      </c>
      <c r="AB1754" s="52">
        <f>IF(OR(P1754="",Q1754=""),"",IFERROR(IF(INDEX(ctaVinc,MATCH(Q1754,ctaNombre,0))&amp;""&lt;&gt;"",INDEX(ctaVinc,MATCH(Q1754,ctaNombre,0))&amp;"",Q1754),Q1754))</f>
        <v/>
      </c>
      <c r="AC1754" s="52">
        <f>IF(OR(K1754="",AND(P1754&lt;&gt;"Transferencia",P1754&lt;&gt;"Pago tarjeta")),"",IFERROR(IF(INDEX(ctaVinc,MATCH(K1754,ctaNombre,0))&amp;""&lt;&gt;"",INDEX(ctaVinc,MATCH(K1754,ctaNombre,0))&amp;"",K1754),K1754))</f>
        <v/>
      </c>
      <c r="AD1754" s="52">
        <f>IF(AB1754="","",IFERROR(INDEX(ctaTipo,MATCH(AB1754,ctaNombre,0))&amp;"",""))</f>
        <v/>
      </c>
      <c r="AE1754" s="52">
        <f>IF(AC1754="","",IFERROR(INDEX(ctaTipo,MATCH(AC1754,ctaNombre,0))&amp;"",""))</f>
        <v/>
      </c>
      <c r="AF1754" s="53">
        <f>IF(OR(P1754="",AB1754=""),"",IF(OR(P1754="Gasto",P1754="Transferencia",P1754="Pago tarjeta"),-1,1)*IF(IFERROR(INDEX(ctaMoneda,MATCH(AB1754,ctaNombre,0))&amp;"","DOP")="USD",T1754,S1754))</f>
        <v/>
      </c>
      <c r="AG1754" s="53">
        <f>IF(AC1754="","",IF(IFERROR(INDEX(ctaMoneda,MATCH(AC1754,ctaNombre,0))&amp;"","DOP")="USD",T1754,S1754))</f>
        <v/>
      </c>
      <c r="AH1754" s="53">
        <f>IF(P1754="","",IF(AND(AD1754&lt;&gt;"",COUNTIFS(tcTipo,AD1754,tcLiq,"Sí")&gt;0),IF(OR(P1754="Gasto",P1754="Transferencia",P1754="Pago tarjeta"),-1,1)*S1754,0)+IF(AND(AE1754&lt;&gt;"",COUNTIFS(tcTipo,AE1754,tcLiq,"Sí")&gt;0),S1754,0))</f>
        <v/>
      </c>
      <c r="AI1754" s="52">
        <f>IF(OR(L1754="",P1754=""),"",IF(COUNTIFS(L$6:L1754,L1754,P$6:P1754,"?*")=1,MAX(AI$5:AI1753)+1,""))</f>
        <v/>
      </c>
    </row>
    <row r="1755">
      <c r="B1755" s="47" t="n"/>
      <c r="C1755" s="48" t="n"/>
      <c r="D1755" s="48" t="n"/>
      <c r="E1755" s="48" t="n"/>
      <c r="F1755" s="48" t="n"/>
      <c r="G1755" s="49" t="n"/>
      <c r="H1755" s="48" t="n"/>
      <c r="I1755" s="50" t="n"/>
      <c r="J1755" s="48" t="n"/>
      <c r="K1755" s="48" t="n"/>
      <c r="L1755" s="48" t="n"/>
      <c r="M1755" s="48" t="n"/>
      <c r="N1755" s="48" t="n"/>
      <c r="O1755" s="51">
        <f>IF(AND(B1755="",G1755="",C1755="",D1755="",J1755=""),"",IF(B1755="","⚠ Falta fecha",IF(G1755="","⚠ Falta monto",IF(Q1755="","⚠ Falta cuenta",IF(ISNA(MATCH(Q1755,ctaNombre,0)),"⚠ Cuenta no registrada",IF(AND(OR(P1755="Gasto",P1755="Reembolso"),D1755=""),"⚠ Falta categoría",IF(AND(D1755&lt;&gt;"",E1755&lt;&gt;"",ISNA(MATCH(D1755&amp;"|"&amp;E1755,catClave,0))),"⚠ Subcategoría no corresponde",IF(AND(OR(P1755="Transferencia",P1755="Pago tarjeta"),K1755=""),"⚠ Falta cuenta destino",IF(AND(K1755&lt;&gt;"",P1755&lt;&gt;"Transferencia",P1755&lt;&gt;"Pago tarjeta"),"⚠ Destino solo aplica a transferencias",IF(AND(K1755&lt;&gt;"",K1755=Q1755),"⚠ Origen igual a destino",IF(AND(K1755&lt;&gt;"",ISNA(MATCH(K1755,ctaNombre,0))),"⚠ Destino no registrado",IF(AND(P1755="Pago tarjeta",AE1755&lt;&gt;"Tarjeta de crédito"),"⚠ El destino debe ser tarjeta de crédito",IF(AND(P1755="Gasto",E1755="Depósitos y retiros"),"⚠ Usa tipo Transferencia",IF(AND(P1755="Resultado trading",AD1755&lt;&gt;"Cuenta de trading"),"⚠ Usa una cuenta de trading",IF(AND(G1755&lt;=0,P1755&lt;&gt;"Ajuste",P1755&lt;&gt;"Resultado trading"),"⚠ El monto debe ser positivo","✓")))))))))))))))</f>
        <v/>
      </c>
      <c r="P1755" s="52">
        <f>IF(OR(B1755="",G1755=""),"",IF(C1755="","Gasto",C1755))</f>
        <v/>
      </c>
      <c r="Q1755" s="52">
        <f>IF(P1755="","",IF(J1755&lt;&gt;"",J1755,CuentaPred&amp;""))</f>
        <v/>
      </c>
      <c r="R1755" s="52">
        <f>IF(P1755="","",IF(ISNUMBER(I1755),I1755,TasaUSD))</f>
        <v/>
      </c>
      <c r="S1755" s="53">
        <f>IF(P1755="","",IF(H1755="USD",G1755*R1755,G1755))</f>
        <v/>
      </c>
      <c r="T1755" s="53">
        <f>IF(P1755="","",IF(H1755="USD",G1755,IF(R1755&gt;0,G1755/R1755,0)))</f>
        <v/>
      </c>
      <c r="U1755" s="53">
        <f>IF(P1755="","",IF(P1755="Gasto",S1755,IF(P1755="Reembolso",-S1755,0)))</f>
        <v/>
      </c>
      <c r="V1755" s="53">
        <f>IF(P1755="","",IF(P1755="Ingreso",S1755,0))</f>
        <v/>
      </c>
      <c r="W1755" s="53">
        <f>IF(P1755="","",IF(P1755="Resultado trading",S1755,0))</f>
        <v/>
      </c>
      <c r="X1755" s="52">
        <f>IF(OR(P1755="Gasto",P1755="Reembolso"),IF(M1755&lt;&gt;"",M1755,IFERROR(INDEX(catClasif,MATCH(D1755&amp;"|"&amp;E1755,catClave,0))&amp;"","Variable")),"")</f>
        <v/>
      </c>
      <c r="Y1755" s="52">
        <f>IF(P1755="","",IFERROR(INDEX(catGrupo,MATCH(D1755&amp;"|"&amp;E1755,catClave,0))&amp;"",""))</f>
        <v/>
      </c>
      <c r="Z1755" s="52">
        <f>IF(P1755="","",WEEKDAY(B1755,2))</f>
        <v/>
      </c>
      <c r="AA1755" s="52">
        <f>IF(P1755="","",IF(AND(P1755="Gasto",X1755="Variable",D1755&lt;&gt;catTrading,S1755&gt;0,S1755&lt;=Umbral),1,0))</f>
        <v/>
      </c>
      <c r="AB1755" s="52">
        <f>IF(OR(P1755="",Q1755=""),"",IFERROR(IF(INDEX(ctaVinc,MATCH(Q1755,ctaNombre,0))&amp;""&lt;&gt;"",INDEX(ctaVinc,MATCH(Q1755,ctaNombre,0))&amp;"",Q1755),Q1755))</f>
        <v/>
      </c>
      <c r="AC1755" s="52">
        <f>IF(OR(K1755="",AND(P1755&lt;&gt;"Transferencia",P1755&lt;&gt;"Pago tarjeta")),"",IFERROR(IF(INDEX(ctaVinc,MATCH(K1755,ctaNombre,0))&amp;""&lt;&gt;"",INDEX(ctaVinc,MATCH(K1755,ctaNombre,0))&amp;"",K1755),K1755))</f>
        <v/>
      </c>
      <c r="AD1755" s="52">
        <f>IF(AB1755="","",IFERROR(INDEX(ctaTipo,MATCH(AB1755,ctaNombre,0))&amp;"",""))</f>
        <v/>
      </c>
      <c r="AE1755" s="52">
        <f>IF(AC1755="","",IFERROR(INDEX(ctaTipo,MATCH(AC1755,ctaNombre,0))&amp;"",""))</f>
        <v/>
      </c>
      <c r="AF1755" s="53">
        <f>IF(OR(P1755="",AB1755=""),"",IF(OR(P1755="Gasto",P1755="Transferencia",P1755="Pago tarjeta"),-1,1)*IF(IFERROR(INDEX(ctaMoneda,MATCH(AB1755,ctaNombre,0))&amp;"","DOP")="USD",T1755,S1755))</f>
        <v/>
      </c>
      <c r="AG1755" s="53">
        <f>IF(AC1755="","",IF(IFERROR(INDEX(ctaMoneda,MATCH(AC1755,ctaNombre,0))&amp;"","DOP")="USD",T1755,S1755))</f>
        <v/>
      </c>
      <c r="AH1755" s="53">
        <f>IF(P1755="","",IF(AND(AD1755&lt;&gt;"",COUNTIFS(tcTipo,AD1755,tcLiq,"Sí")&gt;0),IF(OR(P1755="Gasto",P1755="Transferencia",P1755="Pago tarjeta"),-1,1)*S1755,0)+IF(AND(AE1755&lt;&gt;"",COUNTIFS(tcTipo,AE1755,tcLiq,"Sí")&gt;0),S1755,0))</f>
        <v/>
      </c>
      <c r="AI1755" s="52">
        <f>IF(OR(L1755="",P1755=""),"",IF(COUNTIFS(L$6:L1755,L1755,P$6:P1755,"?*")=1,MAX(AI$5:AI1754)+1,""))</f>
        <v/>
      </c>
    </row>
    <row r="1756">
      <c r="B1756" s="47" t="n"/>
      <c r="C1756" s="48" t="n"/>
      <c r="D1756" s="48" t="n"/>
      <c r="E1756" s="48" t="n"/>
      <c r="F1756" s="48" t="n"/>
      <c r="G1756" s="49" t="n"/>
      <c r="H1756" s="48" t="n"/>
      <c r="I1756" s="50" t="n"/>
      <c r="J1756" s="48" t="n"/>
      <c r="K1756" s="48" t="n"/>
      <c r="L1756" s="48" t="n"/>
      <c r="M1756" s="48" t="n"/>
      <c r="N1756" s="48" t="n"/>
      <c r="O1756" s="51">
        <f>IF(AND(B1756="",G1756="",C1756="",D1756="",J1756=""),"",IF(B1756="","⚠ Falta fecha",IF(G1756="","⚠ Falta monto",IF(Q1756="","⚠ Falta cuenta",IF(ISNA(MATCH(Q1756,ctaNombre,0)),"⚠ Cuenta no registrada",IF(AND(OR(P1756="Gasto",P1756="Reembolso"),D1756=""),"⚠ Falta categoría",IF(AND(D1756&lt;&gt;"",E1756&lt;&gt;"",ISNA(MATCH(D1756&amp;"|"&amp;E1756,catClave,0))),"⚠ Subcategoría no corresponde",IF(AND(OR(P1756="Transferencia",P1756="Pago tarjeta"),K1756=""),"⚠ Falta cuenta destino",IF(AND(K1756&lt;&gt;"",P1756&lt;&gt;"Transferencia",P1756&lt;&gt;"Pago tarjeta"),"⚠ Destino solo aplica a transferencias",IF(AND(K1756&lt;&gt;"",K1756=Q1756),"⚠ Origen igual a destino",IF(AND(K1756&lt;&gt;"",ISNA(MATCH(K1756,ctaNombre,0))),"⚠ Destino no registrado",IF(AND(P1756="Pago tarjeta",AE1756&lt;&gt;"Tarjeta de crédito"),"⚠ El destino debe ser tarjeta de crédito",IF(AND(P1756="Gasto",E1756="Depósitos y retiros"),"⚠ Usa tipo Transferencia",IF(AND(P1756="Resultado trading",AD1756&lt;&gt;"Cuenta de trading"),"⚠ Usa una cuenta de trading",IF(AND(G1756&lt;=0,P1756&lt;&gt;"Ajuste",P1756&lt;&gt;"Resultado trading"),"⚠ El monto debe ser positivo","✓")))))))))))))))</f>
        <v/>
      </c>
      <c r="P1756" s="52">
        <f>IF(OR(B1756="",G1756=""),"",IF(C1756="","Gasto",C1756))</f>
        <v/>
      </c>
      <c r="Q1756" s="52">
        <f>IF(P1756="","",IF(J1756&lt;&gt;"",J1756,CuentaPred&amp;""))</f>
        <v/>
      </c>
      <c r="R1756" s="52">
        <f>IF(P1756="","",IF(ISNUMBER(I1756),I1756,TasaUSD))</f>
        <v/>
      </c>
      <c r="S1756" s="53">
        <f>IF(P1756="","",IF(H1756="USD",G1756*R1756,G1756))</f>
        <v/>
      </c>
      <c r="T1756" s="53">
        <f>IF(P1756="","",IF(H1756="USD",G1756,IF(R1756&gt;0,G1756/R1756,0)))</f>
        <v/>
      </c>
      <c r="U1756" s="53">
        <f>IF(P1756="","",IF(P1756="Gasto",S1756,IF(P1756="Reembolso",-S1756,0)))</f>
        <v/>
      </c>
      <c r="V1756" s="53">
        <f>IF(P1756="","",IF(P1756="Ingreso",S1756,0))</f>
        <v/>
      </c>
      <c r="W1756" s="53">
        <f>IF(P1756="","",IF(P1756="Resultado trading",S1756,0))</f>
        <v/>
      </c>
      <c r="X1756" s="52">
        <f>IF(OR(P1756="Gasto",P1756="Reembolso"),IF(M1756&lt;&gt;"",M1756,IFERROR(INDEX(catClasif,MATCH(D1756&amp;"|"&amp;E1756,catClave,0))&amp;"","Variable")),"")</f>
        <v/>
      </c>
      <c r="Y1756" s="52">
        <f>IF(P1756="","",IFERROR(INDEX(catGrupo,MATCH(D1756&amp;"|"&amp;E1756,catClave,0))&amp;"",""))</f>
        <v/>
      </c>
      <c r="Z1756" s="52">
        <f>IF(P1756="","",WEEKDAY(B1756,2))</f>
        <v/>
      </c>
      <c r="AA1756" s="52">
        <f>IF(P1756="","",IF(AND(P1756="Gasto",X1756="Variable",D1756&lt;&gt;catTrading,S1756&gt;0,S1756&lt;=Umbral),1,0))</f>
        <v/>
      </c>
      <c r="AB1756" s="52">
        <f>IF(OR(P1756="",Q1756=""),"",IFERROR(IF(INDEX(ctaVinc,MATCH(Q1756,ctaNombre,0))&amp;""&lt;&gt;"",INDEX(ctaVinc,MATCH(Q1756,ctaNombre,0))&amp;"",Q1756),Q1756))</f>
        <v/>
      </c>
      <c r="AC1756" s="52">
        <f>IF(OR(K1756="",AND(P1756&lt;&gt;"Transferencia",P1756&lt;&gt;"Pago tarjeta")),"",IFERROR(IF(INDEX(ctaVinc,MATCH(K1756,ctaNombre,0))&amp;""&lt;&gt;"",INDEX(ctaVinc,MATCH(K1756,ctaNombre,0))&amp;"",K1756),K1756))</f>
        <v/>
      </c>
      <c r="AD1756" s="52">
        <f>IF(AB1756="","",IFERROR(INDEX(ctaTipo,MATCH(AB1756,ctaNombre,0))&amp;"",""))</f>
        <v/>
      </c>
      <c r="AE1756" s="52">
        <f>IF(AC1756="","",IFERROR(INDEX(ctaTipo,MATCH(AC1756,ctaNombre,0))&amp;"",""))</f>
        <v/>
      </c>
      <c r="AF1756" s="53">
        <f>IF(OR(P1756="",AB1756=""),"",IF(OR(P1756="Gasto",P1756="Transferencia",P1756="Pago tarjeta"),-1,1)*IF(IFERROR(INDEX(ctaMoneda,MATCH(AB1756,ctaNombre,0))&amp;"","DOP")="USD",T1756,S1756))</f>
        <v/>
      </c>
      <c r="AG1756" s="53">
        <f>IF(AC1756="","",IF(IFERROR(INDEX(ctaMoneda,MATCH(AC1756,ctaNombre,0))&amp;"","DOP")="USD",T1756,S1756))</f>
        <v/>
      </c>
      <c r="AH1756" s="53">
        <f>IF(P1756="","",IF(AND(AD1756&lt;&gt;"",COUNTIFS(tcTipo,AD1756,tcLiq,"Sí")&gt;0),IF(OR(P1756="Gasto",P1756="Transferencia",P1756="Pago tarjeta"),-1,1)*S1756,0)+IF(AND(AE1756&lt;&gt;"",COUNTIFS(tcTipo,AE1756,tcLiq,"Sí")&gt;0),S1756,0))</f>
        <v/>
      </c>
      <c r="AI1756" s="52">
        <f>IF(OR(L1756="",P1756=""),"",IF(COUNTIFS(L$6:L1756,L1756,P$6:P1756,"?*")=1,MAX(AI$5:AI1755)+1,""))</f>
        <v/>
      </c>
    </row>
    <row r="1757">
      <c r="B1757" s="47" t="n"/>
      <c r="C1757" s="48" t="n"/>
      <c r="D1757" s="48" t="n"/>
      <c r="E1757" s="48" t="n"/>
      <c r="F1757" s="48" t="n"/>
      <c r="G1757" s="49" t="n"/>
      <c r="H1757" s="48" t="n"/>
      <c r="I1757" s="50" t="n"/>
      <c r="J1757" s="48" t="n"/>
      <c r="K1757" s="48" t="n"/>
      <c r="L1757" s="48" t="n"/>
      <c r="M1757" s="48" t="n"/>
      <c r="N1757" s="48" t="n"/>
      <c r="O1757" s="51">
        <f>IF(AND(B1757="",G1757="",C1757="",D1757="",J1757=""),"",IF(B1757="","⚠ Falta fecha",IF(G1757="","⚠ Falta monto",IF(Q1757="","⚠ Falta cuenta",IF(ISNA(MATCH(Q1757,ctaNombre,0)),"⚠ Cuenta no registrada",IF(AND(OR(P1757="Gasto",P1757="Reembolso"),D1757=""),"⚠ Falta categoría",IF(AND(D1757&lt;&gt;"",E1757&lt;&gt;"",ISNA(MATCH(D1757&amp;"|"&amp;E1757,catClave,0))),"⚠ Subcategoría no corresponde",IF(AND(OR(P1757="Transferencia",P1757="Pago tarjeta"),K1757=""),"⚠ Falta cuenta destino",IF(AND(K1757&lt;&gt;"",P1757&lt;&gt;"Transferencia",P1757&lt;&gt;"Pago tarjeta"),"⚠ Destino solo aplica a transferencias",IF(AND(K1757&lt;&gt;"",K1757=Q1757),"⚠ Origen igual a destino",IF(AND(K1757&lt;&gt;"",ISNA(MATCH(K1757,ctaNombre,0))),"⚠ Destino no registrado",IF(AND(P1757="Pago tarjeta",AE1757&lt;&gt;"Tarjeta de crédito"),"⚠ El destino debe ser tarjeta de crédito",IF(AND(P1757="Gasto",E1757="Depósitos y retiros"),"⚠ Usa tipo Transferencia",IF(AND(P1757="Resultado trading",AD1757&lt;&gt;"Cuenta de trading"),"⚠ Usa una cuenta de trading",IF(AND(G1757&lt;=0,P1757&lt;&gt;"Ajuste",P1757&lt;&gt;"Resultado trading"),"⚠ El monto debe ser positivo","✓")))))))))))))))</f>
        <v/>
      </c>
      <c r="P1757" s="52">
        <f>IF(OR(B1757="",G1757=""),"",IF(C1757="","Gasto",C1757))</f>
        <v/>
      </c>
      <c r="Q1757" s="52">
        <f>IF(P1757="","",IF(J1757&lt;&gt;"",J1757,CuentaPred&amp;""))</f>
        <v/>
      </c>
      <c r="R1757" s="52">
        <f>IF(P1757="","",IF(ISNUMBER(I1757),I1757,TasaUSD))</f>
        <v/>
      </c>
      <c r="S1757" s="53">
        <f>IF(P1757="","",IF(H1757="USD",G1757*R1757,G1757))</f>
        <v/>
      </c>
      <c r="T1757" s="53">
        <f>IF(P1757="","",IF(H1757="USD",G1757,IF(R1757&gt;0,G1757/R1757,0)))</f>
        <v/>
      </c>
      <c r="U1757" s="53">
        <f>IF(P1757="","",IF(P1757="Gasto",S1757,IF(P1757="Reembolso",-S1757,0)))</f>
        <v/>
      </c>
      <c r="V1757" s="53">
        <f>IF(P1757="","",IF(P1757="Ingreso",S1757,0))</f>
        <v/>
      </c>
      <c r="W1757" s="53">
        <f>IF(P1757="","",IF(P1757="Resultado trading",S1757,0))</f>
        <v/>
      </c>
      <c r="X1757" s="52">
        <f>IF(OR(P1757="Gasto",P1757="Reembolso"),IF(M1757&lt;&gt;"",M1757,IFERROR(INDEX(catClasif,MATCH(D1757&amp;"|"&amp;E1757,catClave,0))&amp;"","Variable")),"")</f>
        <v/>
      </c>
      <c r="Y1757" s="52">
        <f>IF(P1757="","",IFERROR(INDEX(catGrupo,MATCH(D1757&amp;"|"&amp;E1757,catClave,0))&amp;"",""))</f>
        <v/>
      </c>
      <c r="Z1757" s="52">
        <f>IF(P1757="","",WEEKDAY(B1757,2))</f>
        <v/>
      </c>
      <c r="AA1757" s="52">
        <f>IF(P1757="","",IF(AND(P1757="Gasto",X1757="Variable",D1757&lt;&gt;catTrading,S1757&gt;0,S1757&lt;=Umbral),1,0))</f>
        <v/>
      </c>
      <c r="AB1757" s="52">
        <f>IF(OR(P1757="",Q1757=""),"",IFERROR(IF(INDEX(ctaVinc,MATCH(Q1757,ctaNombre,0))&amp;""&lt;&gt;"",INDEX(ctaVinc,MATCH(Q1757,ctaNombre,0))&amp;"",Q1757),Q1757))</f>
        <v/>
      </c>
      <c r="AC1757" s="52">
        <f>IF(OR(K1757="",AND(P1757&lt;&gt;"Transferencia",P1757&lt;&gt;"Pago tarjeta")),"",IFERROR(IF(INDEX(ctaVinc,MATCH(K1757,ctaNombre,0))&amp;""&lt;&gt;"",INDEX(ctaVinc,MATCH(K1757,ctaNombre,0))&amp;"",K1757),K1757))</f>
        <v/>
      </c>
      <c r="AD1757" s="52">
        <f>IF(AB1757="","",IFERROR(INDEX(ctaTipo,MATCH(AB1757,ctaNombre,0))&amp;"",""))</f>
        <v/>
      </c>
      <c r="AE1757" s="52">
        <f>IF(AC1757="","",IFERROR(INDEX(ctaTipo,MATCH(AC1757,ctaNombre,0))&amp;"",""))</f>
        <v/>
      </c>
      <c r="AF1757" s="53">
        <f>IF(OR(P1757="",AB1757=""),"",IF(OR(P1757="Gasto",P1757="Transferencia",P1757="Pago tarjeta"),-1,1)*IF(IFERROR(INDEX(ctaMoneda,MATCH(AB1757,ctaNombre,0))&amp;"","DOP")="USD",T1757,S1757))</f>
        <v/>
      </c>
      <c r="AG1757" s="53">
        <f>IF(AC1757="","",IF(IFERROR(INDEX(ctaMoneda,MATCH(AC1757,ctaNombre,0))&amp;"","DOP")="USD",T1757,S1757))</f>
        <v/>
      </c>
      <c r="AH1757" s="53">
        <f>IF(P1757="","",IF(AND(AD1757&lt;&gt;"",COUNTIFS(tcTipo,AD1757,tcLiq,"Sí")&gt;0),IF(OR(P1757="Gasto",P1757="Transferencia",P1757="Pago tarjeta"),-1,1)*S1757,0)+IF(AND(AE1757&lt;&gt;"",COUNTIFS(tcTipo,AE1757,tcLiq,"Sí")&gt;0),S1757,0))</f>
        <v/>
      </c>
      <c r="AI1757" s="52">
        <f>IF(OR(L1757="",P1757=""),"",IF(COUNTIFS(L$6:L1757,L1757,P$6:P1757,"?*")=1,MAX(AI$5:AI1756)+1,""))</f>
        <v/>
      </c>
    </row>
    <row r="1758">
      <c r="B1758" s="47" t="n"/>
      <c r="C1758" s="48" t="n"/>
      <c r="D1758" s="48" t="n"/>
      <c r="E1758" s="48" t="n"/>
      <c r="F1758" s="48" t="n"/>
      <c r="G1758" s="49" t="n"/>
      <c r="H1758" s="48" t="n"/>
      <c r="I1758" s="50" t="n"/>
      <c r="J1758" s="48" t="n"/>
      <c r="K1758" s="48" t="n"/>
      <c r="L1758" s="48" t="n"/>
      <c r="M1758" s="48" t="n"/>
      <c r="N1758" s="48" t="n"/>
      <c r="O1758" s="51">
        <f>IF(AND(B1758="",G1758="",C1758="",D1758="",J1758=""),"",IF(B1758="","⚠ Falta fecha",IF(G1758="","⚠ Falta monto",IF(Q1758="","⚠ Falta cuenta",IF(ISNA(MATCH(Q1758,ctaNombre,0)),"⚠ Cuenta no registrada",IF(AND(OR(P1758="Gasto",P1758="Reembolso"),D1758=""),"⚠ Falta categoría",IF(AND(D1758&lt;&gt;"",E1758&lt;&gt;"",ISNA(MATCH(D1758&amp;"|"&amp;E1758,catClave,0))),"⚠ Subcategoría no corresponde",IF(AND(OR(P1758="Transferencia",P1758="Pago tarjeta"),K1758=""),"⚠ Falta cuenta destino",IF(AND(K1758&lt;&gt;"",P1758&lt;&gt;"Transferencia",P1758&lt;&gt;"Pago tarjeta"),"⚠ Destino solo aplica a transferencias",IF(AND(K1758&lt;&gt;"",K1758=Q1758),"⚠ Origen igual a destino",IF(AND(K1758&lt;&gt;"",ISNA(MATCH(K1758,ctaNombre,0))),"⚠ Destino no registrado",IF(AND(P1758="Pago tarjeta",AE1758&lt;&gt;"Tarjeta de crédito"),"⚠ El destino debe ser tarjeta de crédito",IF(AND(P1758="Gasto",E1758="Depósitos y retiros"),"⚠ Usa tipo Transferencia",IF(AND(P1758="Resultado trading",AD1758&lt;&gt;"Cuenta de trading"),"⚠ Usa una cuenta de trading",IF(AND(G1758&lt;=0,P1758&lt;&gt;"Ajuste",P1758&lt;&gt;"Resultado trading"),"⚠ El monto debe ser positivo","✓")))))))))))))))</f>
        <v/>
      </c>
      <c r="P1758" s="52">
        <f>IF(OR(B1758="",G1758=""),"",IF(C1758="","Gasto",C1758))</f>
        <v/>
      </c>
      <c r="Q1758" s="52">
        <f>IF(P1758="","",IF(J1758&lt;&gt;"",J1758,CuentaPred&amp;""))</f>
        <v/>
      </c>
      <c r="R1758" s="52">
        <f>IF(P1758="","",IF(ISNUMBER(I1758),I1758,TasaUSD))</f>
        <v/>
      </c>
      <c r="S1758" s="53">
        <f>IF(P1758="","",IF(H1758="USD",G1758*R1758,G1758))</f>
        <v/>
      </c>
      <c r="T1758" s="53">
        <f>IF(P1758="","",IF(H1758="USD",G1758,IF(R1758&gt;0,G1758/R1758,0)))</f>
        <v/>
      </c>
      <c r="U1758" s="53">
        <f>IF(P1758="","",IF(P1758="Gasto",S1758,IF(P1758="Reembolso",-S1758,0)))</f>
        <v/>
      </c>
      <c r="V1758" s="53">
        <f>IF(P1758="","",IF(P1758="Ingreso",S1758,0))</f>
        <v/>
      </c>
      <c r="W1758" s="53">
        <f>IF(P1758="","",IF(P1758="Resultado trading",S1758,0))</f>
        <v/>
      </c>
      <c r="X1758" s="52">
        <f>IF(OR(P1758="Gasto",P1758="Reembolso"),IF(M1758&lt;&gt;"",M1758,IFERROR(INDEX(catClasif,MATCH(D1758&amp;"|"&amp;E1758,catClave,0))&amp;"","Variable")),"")</f>
        <v/>
      </c>
      <c r="Y1758" s="52">
        <f>IF(P1758="","",IFERROR(INDEX(catGrupo,MATCH(D1758&amp;"|"&amp;E1758,catClave,0))&amp;"",""))</f>
        <v/>
      </c>
      <c r="Z1758" s="52">
        <f>IF(P1758="","",WEEKDAY(B1758,2))</f>
        <v/>
      </c>
      <c r="AA1758" s="52">
        <f>IF(P1758="","",IF(AND(P1758="Gasto",X1758="Variable",D1758&lt;&gt;catTrading,S1758&gt;0,S1758&lt;=Umbral),1,0))</f>
        <v/>
      </c>
      <c r="AB1758" s="52">
        <f>IF(OR(P1758="",Q1758=""),"",IFERROR(IF(INDEX(ctaVinc,MATCH(Q1758,ctaNombre,0))&amp;""&lt;&gt;"",INDEX(ctaVinc,MATCH(Q1758,ctaNombre,0))&amp;"",Q1758),Q1758))</f>
        <v/>
      </c>
      <c r="AC1758" s="52">
        <f>IF(OR(K1758="",AND(P1758&lt;&gt;"Transferencia",P1758&lt;&gt;"Pago tarjeta")),"",IFERROR(IF(INDEX(ctaVinc,MATCH(K1758,ctaNombre,0))&amp;""&lt;&gt;"",INDEX(ctaVinc,MATCH(K1758,ctaNombre,0))&amp;"",K1758),K1758))</f>
        <v/>
      </c>
      <c r="AD1758" s="52">
        <f>IF(AB1758="","",IFERROR(INDEX(ctaTipo,MATCH(AB1758,ctaNombre,0))&amp;"",""))</f>
        <v/>
      </c>
      <c r="AE1758" s="52">
        <f>IF(AC1758="","",IFERROR(INDEX(ctaTipo,MATCH(AC1758,ctaNombre,0))&amp;"",""))</f>
        <v/>
      </c>
      <c r="AF1758" s="53">
        <f>IF(OR(P1758="",AB1758=""),"",IF(OR(P1758="Gasto",P1758="Transferencia",P1758="Pago tarjeta"),-1,1)*IF(IFERROR(INDEX(ctaMoneda,MATCH(AB1758,ctaNombre,0))&amp;"","DOP")="USD",T1758,S1758))</f>
        <v/>
      </c>
      <c r="AG1758" s="53">
        <f>IF(AC1758="","",IF(IFERROR(INDEX(ctaMoneda,MATCH(AC1758,ctaNombre,0))&amp;"","DOP")="USD",T1758,S1758))</f>
        <v/>
      </c>
      <c r="AH1758" s="53">
        <f>IF(P1758="","",IF(AND(AD1758&lt;&gt;"",COUNTIFS(tcTipo,AD1758,tcLiq,"Sí")&gt;0),IF(OR(P1758="Gasto",P1758="Transferencia",P1758="Pago tarjeta"),-1,1)*S1758,0)+IF(AND(AE1758&lt;&gt;"",COUNTIFS(tcTipo,AE1758,tcLiq,"Sí")&gt;0),S1758,0))</f>
        <v/>
      </c>
      <c r="AI1758" s="52">
        <f>IF(OR(L1758="",P1758=""),"",IF(COUNTIFS(L$6:L1758,L1758,P$6:P1758,"?*")=1,MAX(AI$5:AI1757)+1,""))</f>
        <v/>
      </c>
    </row>
    <row r="1759">
      <c r="B1759" s="47" t="n"/>
      <c r="C1759" s="48" t="n"/>
      <c r="D1759" s="48" t="n"/>
      <c r="E1759" s="48" t="n"/>
      <c r="F1759" s="48" t="n"/>
      <c r="G1759" s="49" t="n"/>
      <c r="H1759" s="48" t="n"/>
      <c r="I1759" s="50" t="n"/>
      <c r="J1759" s="48" t="n"/>
      <c r="K1759" s="48" t="n"/>
      <c r="L1759" s="48" t="n"/>
      <c r="M1759" s="48" t="n"/>
      <c r="N1759" s="48" t="n"/>
      <c r="O1759" s="51">
        <f>IF(AND(B1759="",G1759="",C1759="",D1759="",J1759=""),"",IF(B1759="","⚠ Falta fecha",IF(G1759="","⚠ Falta monto",IF(Q1759="","⚠ Falta cuenta",IF(ISNA(MATCH(Q1759,ctaNombre,0)),"⚠ Cuenta no registrada",IF(AND(OR(P1759="Gasto",P1759="Reembolso"),D1759=""),"⚠ Falta categoría",IF(AND(D1759&lt;&gt;"",E1759&lt;&gt;"",ISNA(MATCH(D1759&amp;"|"&amp;E1759,catClave,0))),"⚠ Subcategoría no corresponde",IF(AND(OR(P1759="Transferencia",P1759="Pago tarjeta"),K1759=""),"⚠ Falta cuenta destino",IF(AND(K1759&lt;&gt;"",P1759&lt;&gt;"Transferencia",P1759&lt;&gt;"Pago tarjeta"),"⚠ Destino solo aplica a transferencias",IF(AND(K1759&lt;&gt;"",K1759=Q1759),"⚠ Origen igual a destino",IF(AND(K1759&lt;&gt;"",ISNA(MATCH(K1759,ctaNombre,0))),"⚠ Destino no registrado",IF(AND(P1759="Pago tarjeta",AE1759&lt;&gt;"Tarjeta de crédito"),"⚠ El destino debe ser tarjeta de crédito",IF(AND(P1759="Gasto",E1759="Depósitos y retiros"),"⚠ Usa tipo Transferencia",IF(AND(P1759="Resultado trading",AD1759&lt;&gt;"Cuenta de trading"),"⚠ Usa una cuenta de trading",IF(AND(G1759&lt;=0,P1759&lt;&gt;"Ajuste",P1759&lt;&gt;"Resultado trading"),"⚠ El monto debe ser positivo","✓")))))))))))))))</f>
        <v/>
      </c>
      <c r="P1759" s="52">
        <f>IF(OR(B1759="",G1759=""),"",IF(C1759="","Gasto",C1759))</f>
        <v/>
      </c>
      <c r="Q1759" s="52">
        <f>IF(P1759="","",IF(J1759&lt;&gt;"",J1759,CuentaPred&amp;""))</f>
        <v/>
      </c>
      <c r="R1759" s="52">
        <f>IF(P1759="","",IF(ISNUMBER(I1759),I1759,TasaUSD))</f>
        <v/>
      </c>
      <c r="S1759" s="53">
        <f>IF(P1759="","",IF(H1759="USD",G1759*R1759,G1759))</f>
        <v/>
      </c>
      <c r="T1759" s="53">
        <f>IF(P1759="","",IF(H1759="USD",G1759,IF(R1759&gt;0,G1759/R1759,0)))</f>
        <v/>
      </c>
      <c r="U1759" s="53">
        <f>IF(P1759="","",IF(P1759="Gasto",S1759,IF(P1759="Reembolso",-S1759,0)))</f>
        <v/>
      </c>
      <c r="V1759" s="53">
        <f>IF(P1759="","",IF(P1759="Ingreso",S1759,0))</f>
        <v/>
      </c>
      <c r="W1759" s="53">
        <f>IF(P1759="","",IF(P1759="Resultado trading",S1759,0))</f>
        <v/>
      </c>
      <c r="X1759" s="52">
        <f>IF(OR(P1759="Gasto",P1759="Reembolso"),IF(M1759&lt;&gt;"",M1759,IFERROR(INDEX(catClasif,MATCH(D1759&amp;"|"&amp;E1759,catClave,0))&amp;"","Variable")),"")</f>
        <v/>
      </c>
      <c r="Y1759" s="52">
        <f>IF(P1759="","",IFERROR(INDEX(catGrupo,MATCH(D1759&amp;"|"&amp;E1759,catClave,0))&amp;"",""))</f>
        <v/>
      </c>
      <c r="Z1759" s="52">
        <f>IF(P1759="","",WEEKDAY(B1759,2))</f>
        <v/>
      </c>
      <c r="AA1759" s="52">
        <f>IF(P1759="","",IF(AND(P1759="Gasto",X1759="Variable",D1759&lt;&gt;catTrading,S1759&gt;0,S1759&lt;=Umbral),1,0))</f>
        <v/>
      </c>
      <c r="AB1759" s="52">
        <f>IF(OR(P1759="",Q1759=""),"",IFERROR(IF(INDEX(ctaVinc,MATCH(Q1759,ctaNombre,0))&amp;""&lt;&gt;"",INDEX(ctaVinc,MATCH(Q1759,ctaNombre,0))&amp;"",Q1759),Q1759))</f>
        <v/>
      </c>
      <c r="AC1759" s="52">
        <f>IF(OR(K1759="",AND(P1759&lt;&gt;"Transferencia",P1759&lt;&gt;"Pago tarjeta")),"",IFERROR(IF(INDEX(ctaVinc,MATCH(K1759,ctaNombre,0))&amp;""&lt;&gt;"",INDEX(ctaVinc,MATCH(K1759,ctaNombre,0))&amp;"",K1759),K1759))</f>
        <v/>
      </c>
      <c r="AD1759" s="52">
        <f>IF(AB1759="","",IFERROR(INDEX(ctaTipo,MATCH(AB1759,ctaNombre,0))&amp;"",""))</f>
        <v/>
      </c>
      <c r="AE1759" s="52">
        <f>IF(AC1759="","",IFERROR(INDEX(ctaTipo,MATCH(AC1759,ctaNombre,0))&amp;"",""))</f>
        <v/>
      </c>
      <c r="AF1759" s="53">
        <f>IF(OR(P1759="",AB1759=""),"",IF(OR(P1759="Gasto",P1759="Transferencia",P1759="Pago tarjeta"),-1,1)*IF(IFERROR(INDEX(ctaMoneda,MATCH(AB1759,ctaNombre,0))&amp;"","DOP")="USD",T1759,S1759))</f>
        <v/>
      </c>
      <c r="AG1759" s="53">
        <f>IF(AC1759="","",IF(IFERROR(INDEX(ctaMoneda,MATCH(AC1759,ctaNombre,0))&amp;"","DOP")="USD",T1759,S1759))</f>
        <v/>
      </c>
      <c r="AH1759" s="53">
        <f>IF(P1759="","",IF(AND(AD1759&lt;&gt;"",COUNTIFS(tcTipo,AD1759,tcLiq,"Sí")&gt;0),IF(OR(P1759="Gasto",P1759="Transferencia",P1759="Pago tarjeta"),-1,1)*S1759,0)+IF(AND(AE1759&lt;&gt;"",COUNTIFS(tcTipo,AE1759,tcLiq,"Sí")&gt;0),S1759,0))</f>
        <v/>
      </c>
      <c r="AI1759" s="52">
        <f>IF(OR(L1759="",P1759=""),"",IF(COUNTIFS(L$6:L1759,L1759,P$6:P1759,"?*")=1,MAX(AI$5:AI1758)+1,""))</f>
        <v/>
      </c>
    </row>
    <row r="1760">
      <c r="B1760" s="47" t="n"/>
      <c r="C1760" s="48" t="n"/>
      <c r="D1760" s="48" t="n"/>
      <c r="E1760" s="48" t="n"/>
      <c r="F1760" s="48" t="n"/>
      <c r="G1760" s="49" t="n"/>
      <c r="H1760" s="48" t="n"/>
      <c r="I1760" s="50" t="n"/>
      <c r="J1760" s="48" t="n"/>
      <c r="K1760" s="48" t="n"/>
      <c r="L1760" s="48" t="n"/>
      <c r="M1760" s="48" t="n"/>
      <c r="N1760" s="48" t="n"/>
      <c r="O1760" s="51">
        <f>IF(AND(B1760="",G1760="",C1760="",D1760="",J1760=""),"",IF(B1760="","⚠ Falta fecha",IF(G1760="","⚠ Falta monto",IF(Q1760="","⚠ Falta cuenta",IF(ISNA(MATCH(Q1760,ctaNombre,0)),"⚠ Cuenta no registrada",IF(AND(OR(P1760="Gasto",P1760="Reembolso"),D1760=""),"⚠ Falta categoría",IF(AND(D1760&lt;&gt;"",E1760&lt;&gt;"",ISNA(MATCH(D1760&amp;"|"&amp;E1760,catClave,0))),"⚠ Subcategoría no corresponde",IF(AND(OR(P1760="Transferencia",P1760="Pago tarjeta"),K1760=""),"⚠ Falta cuenta destino",IF(AND(K1760&lt;&gt;"",P1760&lt;&gt;"Transferencia",P1760&lt;&gt;"Pago tarjeta"),"⚠ Destino solo aplica a transferencias",IF(AND(K1760&lt;&gt;"",K1760=Q1760),"⚠ Origen igual a destino",IF(AND(K1760&lt;&gt;"",ISNA(MATCH(K1760,ctaNombre,0))),"⚠ Destino no registrado",IF(AND(P1760="Pago tarjeta",AE1760&lt;&gt;"Tarjeta de crédito"),"⚠ El destino debe ser tarjeta de crédito",IF(AND(P1760="Gasto",E1760="Depósitos y retiros"),"⚠ Usa tipo Transferencia",IF(AND(P1760="Resultado trading",AD1760&lt;&gt;"Cuenta de trading"),"⚠ Usa una cuenta de trading",IF(AND(G1760&lt;=0,P1760&lt;&gt;"Ajuste",P1760&lt;&gt;"Resultado trading"),"⚠ El monto debe ser positivo","✓")))))))))))))))</f>
        <v/>
      </c>
      <c r="P1760" s="52">
        <f>IF(OR(B1760="",G1760=""),"",IF(C1760="","Gasto",C1760))</f>
        <v/>
      </c>
      <c r="Q1760" s="52">
        <f>IF(P1760="","",IF(J1760&lt;&gt;"",J1760,CuentaPred&amp;""))</f>
        <v/>
      </c>
      <c r="R1760" s="52">
        <f>IF(P1760="","",IF(ISNUMBER(I1760),I1760,TasaUSD))</f>
        <v/>
      </c>
      <c r="S1760" s="53">
        <f>IF(P1760="","",IF(H1760="USD",G1760*R1760,G1760))</f>
        <v/>
      </c>
      <c r="T1760" s="53">
        <f>IF(P1760="","",IF(H1760="USD",G1760,IF(R1760&gt;0,G1760/R1760,0)))</f>
        <v/>
      </c>
      <c r="U1760" s="53">
        <f>IF(P1760="","",IF(P1760="Gasto",S1760,IF(P1760="Reembolso",-S1760,0)))</f>
        <v/>
      </c>
      <c r="V1760" s="53">
        <f>IF(P1760="","",IF(P1760="Ingreso",S1760,0))</f>
        <v/>
      </c>
      <c r="W1760" s="53">
        <f>IF(P1760="","",IF(P1760="Resultado trading",S1760,0))</f>
        <v/>
      </c>
      <c r="X1760" s="52">
        <f>IF(OR(P1760="Gasto",P1760="Reembolso"),IF(M1760&lt;&gt;"",M1760,IFERROR(INDEX(catClasif,MATCH(D1760&amp;"|"&amp;E1760,catClave,0))&amp;"","Variable")),"")</f>
        <v/>
      </c>
      <c r="Y1760" s="52">
        <f>IF(P1760="","",IFERROR(INDEX(catGrupo,MATCH(D1760&amp;"|"&amp;E1760,catClave,0))&amp;"",""))</f>
        <v/>
      </c>
      <c r="Z1760" s="52">
        <f>IF(P1760="","",WEEKDAY(B1760,2))</f>
        <v/>
      </c>
      <c r="AA1760" s="52">
        <f>IF(P1760="","",IF(AND(P1760="Gasto",X1760="Variable",D1760&lt;&gt;catTrading,S1760&gt;0,S1760&lt;=Umbral),1,0))</f>
        <v/>
      </c>
      <c r="AB1760" s="52">
        <f>IF(OR(P1760="",Q1760=""),"",IFERROR(IF(INDEX(ctaVinc,MATCH(Q1760,ctaNombre,0))&amp;""&lt;&gt;"",INDEX(ctaVinc,MATCH(Q1760,ctaNombre,0))&amp;"",Q1760),Q1760))</f>
        <v/>
      </c>
      <c r="AC1760" s="52">
        <f>IF(OR(K1760="",AND(P1760&lt;&gt;"Transferencia",P1760&lt;&gt;"Pago tarjeta")),"",IFERROR(IF(INDEX(ctaVinc,MATCH(K1760,ctaNombre,0))&amp;""&lt;&gt;"",INDEX(ctaVinc,MATCH(K1760,ctaNombre,0))&amp;"",K1760),K1760))</f>
        <v/>
      </c>
      <c r="AD1760" s="52">
        <f>IF(AB1760="","",IFERROR(INDEX(ctaTipo,MATCH(AB1760,ctaNombre,0))&amp;"",""))</f>
        <v/>
      </c>
      <c r="AE1760" s="52">
        <f>IF(AC1760="","",IFERROR(INDEX(ctaTipo,MATCH(AC1760,ctaNombre,0))&amp;"",""))</f>
        <v/>
      </c>
      <c r="AF1760" s="53">
        <f>IF(OR(P1760="",AB1760=""),"",IF(OR(P1760="Gasto",P1760="Transferencia",P1760="Pago tarjeta"),-1,1)*IF(IFERROR(INDEX(ctaMoneda,MATCH(AB1760,ctaNombre,0))&amp;"","DOP")="USD",T1760,S1760))</f>
        <v/>
      </c>
      <c r="AG1760" s="53">
        <f>IF(AC1760="","",IF(IFERROR(INDEX(ctaMoneda,MATCH(AC1760,ctaNombre,0))&amp;"","DOP")="USD",T1760,S1760))</f>
        <v/>
      </c>
      <c r="AH1760" s="53">
        <f>IF(P1760="","",IF(AND(AD1760&lt;&gt;"",COUNTIFS(tcTipo,AD1760,tcLiq,"Sí")&gt;0),IF(OR(P1760="Gasto",P1760="Transferencia",P1760="Pago tarjeta"),-1,1)*S1760,0)+IF(AND(AE1760&lt;&gt;"",COUNTIFS(tcTipo,AE1760,tcLiq,"Sí")&gt;0),S1760,0))</f>
        <v/>
      </c>
      <c r="AI1760" s="52">
        <f>IF(OR(L1760="",P1760=""),"",IF(COUNTIFS(L$6:L1760,L1760,P$6:P1760,"?*")=1,MAX(AI$5:AI1759)+1,""))</f>
        <v/>
      </c>
    </row>
    <row r="1761">
      <c r="B1761" s="47" t="n"/>
      <c r="C1761" s="48" t="n"/>
      <c r="D1761" s="48" t="n"/>
      <c r="E1761" s="48" t="n"/>
      <c r="F1761" s="48" t="n"/>
      <c r="G1761" s="49" t="n"/>
      <c r="H1761" s="48" t="n"/>
      <c r="I1761" s="50" t="n"/>
      <c r="J1761" s="48" t="n"/>
      <c r="K1761" s="48" t="n"/>
      <c r="L1761" s="48" t="n"/>
      <c r="M1761" s="48" t="n"/>
      <c r="N1761" s="48" t="n"/>
      <c r="O1761" s="51">
        <f>IF(AND(B1761="",G1761="",C1761="",D1761="",J1761=""),"",IF(B1761="","⚠ Falta fecha",IF(G1761="","⚠ Falta monto",IF(Q1761="","⚠ Falta cuenta",IF(ISNA(MATCH(Q1761,ctaNombre,0)),"⚠ Cuenta no registrada",IF(AND(OR(P1761="Gasto",P1761="Reembolso"),D1761=""),"⚠ Falta categoría",IF(AND(D1761&lt;&gt;"",E1761&lt;&gt;"",ISNA(MATCH(D1761&amp;"|"&amp;E1761,catClave,0))),"⚠ Subcategoría no corresponde",IF(AND(OR(P1761="Transferencia",P1761="Pago tarjeta"),K1761=""),"⚠ Falta cuenta destino",IF(AND(K1761&lt;&gt;"",P1761&lt;&gt;"Transferencia",P1761&lt;&gt;"Pago tarjeta"),"⚠ Destino solo aplica a transferencias",IF(AND(K1761&lt;&gt;"",K1761=Q1761),"⚠ Origen igual a destino",IF(AND(K1761&lt;&gt;"",ISNA(MATCH(K1761,ctaNombre,0))),"⚠ Destino no registrado",IF(AND(P1761="Pago tarjeta",AE1761&lt;&gt;"Tarjeta de crédito"),"⚠ El destino debe ser tarjeta de crédito",IF(AND(P1761="Gasto",E1761="Depósitos y retiros"),"⚠ Usa tipo Transferencia",IF(AND(P1761="Resultado trading",AD1761&lt;&gt;"Cuenta de trading"),"⚠ Usa una cuenta de trading",IF(AND(G1761&lt;=0,P1761&lt;&gt;"Ajuste",P1761&lt;&gt;"Resultado trading"),"⚠ El monto debe ser positivo","✓")))))))))))))))</f>
        <v/>
      </c>
      <c r="P1761" s="52">
        <f>IF(OR(B1761="",G1761=""),"",IF(C1761="","Gasto",C1761))</f>
        <v/>
      </c>
      <c r="Q1761" s="52">
        <f>IF(P1761="","",IF(J1761&lt;&gt;"",J1761,CuentaPred&amp;""))</f>
        <v/>
      </c>
      <c r="R1761" s="52">
        <f>IF(P1761="","",IF(ISNUMBER(I1761),I1761,TasaUSD))</f>
        <v/>
      </c>
      <c r="S1761" s="53">
        <f>IF(P1761="","",IF(H1761="USD",G1761*R1761,G1761))</f>
        <v/>
      </c>
      <c r="T1761" s="53">
        <f>IF(P1761="","",IF(H1761="USD",G1761,IF(R1761&gt;0,G1761/R1761,0)))</f>
        <v/>
      </c>
      <c r="U1761" s="53">
        <f>IF(P1761="","",IF(P1761="Gasto",S1761,IF(P1761="Reembolso",-S1761,0)))</f>
        <v/>
      </c>
      <c r="V1761" s="53">
        <f>IF(P1761="","",IF(P1761="Ingreso",S1761,0))</f>
        <v/>
      </c>
      <c r="W1761" s="53">
        <f>IF(P1761="","",IF(P1761="Resultado trading",S1761,0))</f>
        <v/>
      </c>
      <c r="X1761" s="52">
        <f>IF(OR(P1761="Gasto",P1761="Reembolso"),IF(M1761&lt;&gt;"",M1761,IFERROR(INDEX(catClasif,MATCH(D1761&amp;"|"&amp;E1761,catClave,0))&amp;"","Variable")),"")</f>
        <v/>
      </c>
      <c r="Y1761" s="52">
        <f>IF(P1761="","",IFERROR(INDEX(catGrupo,MATCH(D1761&amp;"|"&amp;E1761,catClave,0))&amp;"",""))</f>
        <v/>
      </c>
      <c r="Z1761" s="52">
        <f>IF(P1761="","",WEEKDAY(B1761,2))</f>
        <v/>
      </c>
      <c r="AA1761" s="52">
        <f>IF(P1761="","",IF(AND(P1761="Gasto",X1761="Variable",D1761&lt;&gt;catTrading,S1761&gt;0,S1761&lt;=Umbral),1,0))</f>
        <v/>
      </c>
      <c r="AB1761" s="52">
        <f>IF(OR(P1761="",Q1761=""),"",IFERROR(IF(INDEX(ctaVinc,MATCH(Q1761,ctaNombre,0))&amp;""&lt;&gt;"",INDEX(ctaVinc,MATCH(Q1761,ctaNombre,0))&amp;"",Q1761),Q1761))</f>
        <v/>
      </c>
      <c r="AC1761" s="52">
        <f>IF(OR(K1761="",AND(P1761&lt;&gt;"Transferencia",P1761&lt;&gt;"Pago tarjeta")),"",IFERROR(IF(INDEX(ctaVinc,MATCH(K1761,ctaNombre,0))&amp;""&lt;&gt;"",INDEX(ctaVinc,MATCH(K1761,ctaNombre,0))&amp;"",K1761),K1761))</f>
        <v/>
      </c>
      <c r="AD1761" s="52">
        <f>IF(AB1761="","",IFERROR(INDEX(ctaTipo,MATCH(AB1761,ctaNombre,0))&amp;"",""))</f>
        <v/>
      </c>
      <c r="AE1761" s="52">
        <f>IF(AC1761="","",IFERROR(INDEX(ctaTipo,MATCH(AC1761,ctaNombre,0))&amp;"",""))</f>
        <v/>
      </c>
      <c r="AF1761" s="53">
        <f>IF(OR(P1761="",AB1761=""),"",IF(OR(P1761="Gasto",P1761="Transferencia",P1761="Pago tarjeta"),-1,1)*IF(IFERROR(INDEX(ctaMoneda,MATCH(AB1761,ctaNombre,0))&amp;"","DOP")="USD",T1761,S1761))</f>
        <v/>
      </c>
      <c r="AG1761" s="53">
        <f>IF(AC1761="","",IF(IFERROR(INDEX(ctaMoneda,MATCH(AC1761,ctaNombre,0))&amp;"","DOP")="USD",T1761,S1761))</f>
        <v/>
      </c>
      <c r="AH1761" s="53">
        <f>IF(P1761="","",IF(AND(AD1761&lt;&gt;"",COUNTIFS(tcTipo,AD1761,tcLiq,"Sí")&gt;0),IF(OR(P1761="Gasto",P1761="Transferencia",P1761="Pago tarjeta"),-1,1)*S1761,0)+IF(AND(AE1761&lt;&gt;"",COUNTIFS(tcTipo,AE1761,tcLiq,"Sí")&gt;0),S1761,0))</f>
        <v/>
      </c>
      <c r="AI1761" s="52">
        <f>IF(OR(L1761="",P1761=""),"",IF(COUNTIFS(L$6:L1761,L1761,P$6:P1761,"?*")=1,MAX(AI$5:AI1760)+1,""))</f>
        <v/>
      </c>
    </row>
    <row r="1762">
      <c r="B1762" s="47" t="n"/>
      <c r="C1762" s="48" t="n"/>
      <c r="D1762" s="48" t="n"/>
      <c r="E1762" s="48" t="n"/>
      <c r="F1762" s="48" t="n"/>
      <c r="G1762" s="49" t="n"/>
      <c r="H1762" s="48" t="n"/>
      <c r="I1762" s="50" t="n"/>
      <c r="J1762" s="48" t="n"/>
      <c r="K1762" s="48" t="n"/>
      <c r="L1762" s="48" t="n"/>
      <c r="M1762" s="48" t="n"/>
      <c r="N1762" s="48" t="n"/>
      <c r="O1762" s="51">
        <f>IF(AND(B1762="",G1762="",C1762="",D1762="",J1762=""),"",IF(B1762="","⚠ Falta fecha",IF(G1762="","⚠ Falta monto",IF(Q1762="","⚠ Falta cuenta",IF(ISNA(MATCH(Q1762,ctaNombre,0)),"⚠ Cuenta no registrada",IF(AND(OR(P1762="Gasto",P1762="Reembolso"),D1762=""),"⚠ Falta categoría",IF(AND(D1762&lt;&gt;"",E1762&lt;&gt;"",ISNA(MATCH(D1762&amp;"|"&amp;E1762,catClave,0))),"⚠ Subcategoría no corresponde",IF(AND(OR(P1762="Transferencia",P1762="Pago tarjeta"),K1762=""),"⚠ Falta cuenta destino",IF(AND(K1762&lt;&gt;"",P1762&lt;&gt;"Transferencia",P1762&lt;&gt;"Pago tarjeta"),"⚠ Destino solo aplica a transferencias",IF(AND(K1762&lt;&gt;"",K1762=Q1762),"⚠ Origen igual a destino",IF(AND(K1762&lt;&gt;"",ISNA(MATCH(K1762,ctaNombre,0))),"⚠ Destino no registrado",IF(AND(P1762="Pago tarjeta",AE1762&lt;&gt;"Tarjeta de crédito"),"⚠ El destino debe ser tarjeta de crédito",IF(AND(P1762="Gasto",E1762="Depósitos y retiros"),"⚠ Usa tipo Transferencia",IF(AND(P1762="Resultado trading",AD1762&lt;&gt;"Cuenta de trading"),"⚠ Usa una cuenta de trading",IF(AND(G1762&lt;=0,P1762&lt;&gt;"Ajuste",P1762&lt;&gt;"Resultado trading"),"⚠ El monto debe ser positivo","✓")))))))))))))))</f>
        <v/>
      </c>
      <c r="P1762" s="52">
        <f>IF(OR(B1762="",G1762=""),"",IF(C1762="","Gasto",C1762))</f>
        <v/>
      </c>
      <c r="Q1762" s="52">
        <f>IF(P1762="","",IF(J1762&lt;&gt;"",J1762,CuentaPred&amp;""))</f>
        <v/>
      </c>
      <c r="R1762" s="52">
        <f>IF(P1762="","",IF(ISNUMBER(I1762),I1762,TasaUSD))</f>
        <v/>
      </c>
      <c r="S1762" s="53">
        <f>IF(P1762="","",IF(H1762="USD",G1762*R1762,G1762))</f>
        <v/>
      </c>
      <c r="T1762" s="53">
        <f>IF(P1762="","",IF(H1762="USD",G1762,IF(R1762&gt;0,G1762/R1762,0)))</f>
        <v/>
      </c>
      <c r="U1762" s="53">
        <f>IF(P1762="","",IF(P1762="Gasto",S1762,IF(P1762="Reembolso",-S1762,0)))</f>
        <v/>
      </c>
      <c r="V1762" s="53">
        <f>IF(P1762="","",IF(P1762="Ingreso",S1762,0))</f>
        <v/>
      </c>
      <c r="W1762" s="53">
        <f>IF(P1762="","",IF(P1762="Resultado trading",S1762,0))</f>
        <v/>
      </c>
      <c r="X1762" s="52">
        <f>IF(OR(P1762="Gasto",P1762="Reembolso"),IF(M1762&lt;&gt;"",M1762,IFERROR(INDEX(catClasif,MATCH(D1762&amp;"|"&amp;E1762,catClave,0))&amp;"","Variable")),"")</f>
        <v/>
      </c>
      <c r="Y1762" s="52">
        <f>IF(P1762="","",IFERROR(INDEX(catGrupo,MATCH(D1762&amp;"|"&amp;E1762,catClave,0))&amp;"",""))</f>
        <v/>
      </c>
      <c r="Z1762" s="52">
        <f>IF(P1762="","",WEEKDAY(B1762,2))</f>
        <v/>
      </c>
      <c r="AA1762" s="52">
        <f>IF(P1762="","",IF(AND(P1762="Gasto",X1762="Variable",D1762&lt;&gt;catTrading,S1762&gt;0,S1762&lt;=Umbral),1,0))</f>
        <v/>
      </c>
      <c r="AB1762" s="52">
        <f>IF(OR(P1762="",Q1762=""),"",IFERROR(IF(INDEX(ctaVinc,MATCH(Q1762,ctaNombre,0))&amp;""&lt;&gt;"",INDEX(ctaVinc,MATCH(Q1762,ctaNombre,0))&amp;"",Q1762),Q1762))</f>
        <v/>
      </c>
      <c r="AC1762" s="52">
        <f>IF(OR(K1762="",AND(P1762&lt;&gt;"Transferencia",P1762&lt;&gt;"Pago tarjeta")),"",IFERROR(IF(INDEX(ctaVinc,MATCH(K1762,ctaNombre,0))&amp;""&lt;&gt;"",INDEX(ctaVinc,MATCH(K1762,ctaNombre,0))&amp;"",K1762),K1762))</f>
        <v/>
      </c>
      <c r="AD1762" s="52">
        <f>IF(AB1762="","",IFERROR(INDEX(ctaTipo,MATCH(AB1762,ctaNombre,0))&amp;"",""))</f>
        <v/>
      </c>
      <c r="AE1762" s="52">
        <f>IF(AC1762="","",IFERROR(INDEX(ctaTipo,MATCH(AC1762,ctaNombre,0))&amp;"",""))</f>
        <v/>
      </c>
      <c r="AF1762" s="53">
        <f>IF(OR(P1762="",AB1762=""),"",IF(OR(P1762="Gasto",P1762="Transferencia",P1762="Pago tarjeta"),-1,1)*IF(IFERROR(INDEX(ctaMoneda,MATCH(AB1762,ctaNombre,0))&amp;"","DOP")="USD",T1762,S1762))</f>
        <v/>
      </c>
      <c r="AG1762" s="53">
        <f>IF(AC1762="","",IF(IFERROR(INDEX(ctaMoneda,MATCH(AC1762,ctaNombre,0))&amp;"","DOP")="USD",T1762,S1762))</f>
        <v/>
      </c>
      <c r="AH1762" s="53">
        <f>IF(P1762="","",IF(AND(AD1762&lt;&gt;"",COUNTIFS(tcTipo,AD1762,tcLiq,"Sí")&gt;0),IF(OR(P1762="Gasto",P1762="Transferencia",P1762="Pago tarjeta"),-1,1)*S1762,0)+IF(AND(AE1762&lt;&gt;"",COUNTIFS(tcTipo,AE1762,tcLiq,"Sí")&gt;0),S1762,0))</f>
        <v/>
      </c>
      <c r="AI1762" s="52">
        <f>IF(OR(L1762="",P1762=""),"",IF(COUNTIFS(L$6:L1762,L1762,P$6:P1762,"?*")=1,MAX(AI$5:AI1761)+1,""))</f>
        <v/>
      </c>
    </row>
    <row r="1763">
      <c r="B1763" s="47" t="n"/>
      <c r="C1763" s="48" t="n"/>
      <c r="D1763" s="48" t="n"/>
      <c r="E1763" s="48" t="n"/>
      <c r="F1763" s="48" t="n"/>
      <c r="G1763" s="49" t="n"/>
      <c r="H1763" s="48" t="n"/>
      <c r="I1763" s="50" t="n"/>
      <c r="J1763" s="48" t="n"/>
      <c r="K1763" s="48" t="n"/>
      <c r="L1763" s="48" t="n"/>
      <c r="M1763" s="48" t="n"/>
      <c r="N1763" s="48" t="n"/>
      <c r="O1763" s="51">
        <f>IF(AND(B1763="",G1763="",C1763="",D1763="",J1763=""),"",IF(B1763="","⚠ Falta fecha",IF(G1763="","⚠ Falta monto",IF(Q1763="","⚠ Falta cuenta",IF(ISNA(MATCH(Q1763,ctaNombre,0)),"⚠ Cuenta no registrada",IF(AND(OR(P1763="Gasto",P1763="Reembolso"),D1763=""),"⚠ Falta categoría",IF(AND(D1763&lt;&gt;"",E1763&lt;&gt;"",ISNA(MATCH(D1763&amp;"|"&amp;E1763,catClave,0))),"⚠ Subcategoría no corresponde",IF(AND(OR(P1763="Transferencia",P1763="Pago tarjeta"),K1763=""),"⚠ Falta cuenta destino",IF(AND(K1763&lt;&gt;"",P1763&lt;&gt;"Transferencia",P1763&lt;&gt;"Pago tarjeta"),"⚠ Destino solo aplica a transferencias",IF(AND(K1763&lt;&gt;"",K1763=Q1763),"⚠ Origen igual a destino",IF(AND(K1763&lt;&gt;"",ISNA(MATCH(K1763,ctaNombre,0))),"⚠ Destino no registrado",IF(AND(P1763="Pago tarjeta",AE1763&lt;&gt;"Tarjeta de crédito"),"⚠ El destino debe ser tarjeta de crédito",IF(AND(P1763="Gasto",E1763="Depósitos y retiros"),"⚠ Usa tipo Transferencia",IF(AND(P1763="Resultado trading",AD1763&lt;&gt;"Cuenta de trading"),"⚠ Usa una cuenta de trading",IF(AND(G1763&lt;=0,P1763&lt;&gt;"Ajuste",P1763&lt;&gt;"Resultado trading"),"⚠ El monto debe ser positivo","✓")))))))))))))))</f>
        <v/>
      </c>
      <c r="P1763" s="52">
        <f>IF(OR(B1763="",G1763=""),"",IF(C1763="","Gasto",C1763))</f>
        <v/>
      </c>
      <c r="Q1763" s="52">
        <f>IF(P1763="","",IF(J1763&lt;&gt;"",J1763,CuentaPred&amp;""))</f>
        <v/>
      </c>
      <c r="R1763" s="52">
        <f>IF(P1763="","",IF(ISNUMBER(I1763),I1763,TasaUSD))</f>
        <v/>
      </c>
      <c r="S1763" s="53">
        <f>IF(P1763="","",IF(H1763="USD",G1763*R1763,G1763))</f>
        <v/>
      </c>
      <c r="T1763" s="53">
        <f>IF(P1763="","",IF(H1763="USD",G1763,IF(R1763&gt;0,G1763/R1763,0)))</f>
        <v/>
      </c>
      <c r="U1763" s="53">
        <f>IF(P1763="","",IF(P1763="Gasto",S1763,IF(P1763="Reembolso",-S1763,0)))</f>
        <v/>
      </c>
      <c r="V1763" s="53">
        <f>IF(P1763="","",IF(P1763="Ingreso",S1763,0))</f>
        <v/>
      </c>
      <c r="W1763" s="53">
        <f>IF(P1763="","",IF(P1763="Resultado trading",S1763,0))</f>
        <v/>
      </c>
      <c r="X1763" s="52">
        <f>IF(OR(P1763="Gasto",P1763="Reembolso"),IF(M1763&lt;&gt;"",M1763,IFERROR(INDEX(catClasif,MATCH(D1763&amp;"|"&amp;E1763,catClave,0))&amp;"","Variable")),"")</f>
        <v/>
      </c>
      <c r="Y1763" s="52">
        <f>IF(P1763="","",IFERROR(INDEX(catGrupo,MATCH(D1763&amp;"|"&amp;E1763,catClave,0))&amp;"",""))</f>
        <v/>
      </c>
      <c r="Z1763" s="52">
        <f>IF(P1763="","",WEEKDAY(B1763,2))</f>
        <v/>
      </c>
      <c r="AA1763" s="52">
        <f>IF(P1763="","",IF(AND(P1763="Gasto",X1763="Variable",D1763&lt;&gt;catTrading,S1763&gt;0,S1763&lt;=Umbral),1,0))</f>
        <v/>
      </c>
      <c r="AB1763" s="52">
        <f>IF(OR(P1763="",Q1763=""),"",IFERROR(IF(INDEX(ctaVinc,MATCH(Q1763,ctaNombre,0))&amp;""&lt;&gt;"",INDEX(ctaVinc,MATCH(Q1763,ctaNombre,0))&amp;"",Q1763),Q1763))</f>
        <v/>
      </c>
      <c r="AC1763" s="52">
        <f>IF(OR(K1763="",AND(P1763&lt;&gt;"Transferencia",P1763&lt;&gt;"Pago tarjeta")),"",IFERROR(IF(INDEX(ctaVinc,MATCH(K1763,ctaNombre,0))&amp;""&lt;&gt;"",INDEX(ctaVinc,MATCH(K1763,ctaNombre,0))&amp;"",K1763),K1763))</f>
        <v/>
      </c>
      <c r="AD1763" s="52">
        <f>IF(AB1763="","",IFERROR(INDEX(ctaTipo,MATCH(AB1763,ctaNombre,0))&amp;"",""))</f>
        <v/>
      </c>
      <c r="AE1763" s="52">
        <f>IF(AC1763="","",IFERROR(INDEX(ctaTipo,MATCH(AC1763,ctaNombre,0))&amp;"",""))</f>
        <v/>
      </c>
      <c r="AF1763" s="53">
        <f>IF(OR(P1763="",AB1763=""),"",IF(OR(P1763="Gasto",P1763="Transferencia",P1763="Pago tarjeta"),-1,1)*IF(IFERROR(INDEX(ctaMoneda,MATCH(AB1763,ctaNombre,0))&amp;"","DOP")="USD",T1763,S1763))</f>
        <v/>
      </c>
      <c r="AG1763" s="53">
        <f>IF(AC1763="","",IF(IFERROR(INDEX(ctaMoneda,MATCH(AC1763,ctaNombre,0))&amp;"","DOP")="USD",T1763,S1763))</f>
        <v/>
      </c>
      <c r="AH1763" s="53">
        <f>IF(P1763="","",IF(AND(AD1763&lt;&gt;"",COUNTIFS(tcTipo,AD1763,tcLiq,"Sí")&gt;0),IF(OR(P1763="Gasto",P1763="Transferencia",P1763="Pago tarjeta"),-1,1)*S1763,0)+IF(AND(AE1763&lt;&gt;"",COUNTIFS(tcTipo,AE1763,tcLiq,"Sí")&gt;0),S1763,0))</f>
        <v/>
      </c>
      <c r="AI1763" s="52">
        <f>IF(OR(L1763="",P1763=""),"",IF(COUNTIFS(L$6:L1763,L1763,P$6:P1763,"?*")=1,MAX(AI$5:AI1762)+1,""))</f>
        <v/>
      </c>
    </row>
    <row r="1764">
      <c r="B1764" s="47" t="n"/>
      <c r="C1764" s="48" t="n"/>
      <c r="D1764" s="48" t="n"/>
      <c r="E1764" s="48" t="n"/>
      <c r="F1764" s="48" t="n"/>
      <c r="G1764" s="49" t="n"/>
      <c r="H1764" s="48" t="n"/>
      <c r="I1764" s="50" t="n"/>
      <c r="J1764" s="48" t="n"/>
      <c r="K1764" s="48" t="n"/>
      <c r="L1764" s="48" t="n"/>
      <c r="M1764" s="48" t="n"/>
      <c r="N1764" s="48" t="n"/>
      <c r="O1764" s="51">
        <f>IF(AND(B1764="",G1764="",C1764="",D1764="",J1764=""),"",IF(B1764="","⚠ Falta fecha",IF(G1764="","⚠ Falta monto",IF(Q1764="","⚠ Falta cuenta",IF(ISNA(MATCH(Q1764,ctaNombre,0)),"⚠ Cuenta no registrada",IF(AND(OR(P1764="Gasto",P1764="Reembolso"),D1764=""),"⚠ Falta categoría",IF(AND(D1764&lt;&gt;"",E1764&lt;&gt;"",ISNA(MATCH(D1764&amp;"|"&amp;E1764,catClave,0))),"⚠ Subcategoría no corresponde",IF(AND(OR(P1764="Transferencia",P1764="Pago tarjeta"),K1764=""),"⚠ Falta cuenta destino",IF(AND(K1764&lt;&gt;"",P1764&lt;&gt;"Transferencia",P1764&lt;&gt;"Pago tarjeta"),"⚠ Destino solo aplica a transferencias",IF(AND(K1764&lt;&gt;"",K1764=Q1764),"⚠ Origen igual a destino",IF(AND(K1764&lt;&gt;"",ISNA(MATCH(K1764,ctaNombre,0))),"⚠ Destino no registrado",IF(AND(P1764="Pago tarjeta",AE1764&lt;&gt;"Tarjeta de crédito"),"⚠ El destino debe ser tarjeta de crédito",IF(AND(P1764="Gasto",E1764="Depósitos y retiros"),"⚠ Usa tipo Transferencia",IF(AND(P1764="Resultado trading",AD1764&lt;&gt;"Cuenta de trading"),"⚠ Usa una cuenta de trading",IF(AND(G1764&lt;=0,P1764&lt;&gt;"Ajuste",P1764&lt;&gt;"Resultado trading"),"⚠ El monto debe ser positivo","✓")))))))))))))))</f>
        <v/>
      </c>
      <c r="P1764" s="52">
        <f>IF(OR(B1764="",G1764=""),"",IF(C1764="","Gasto",C1764))</f>
        <v/>
      </c>
      <c r="Q1764" s="52">
        <f>IF(P1764="","",IF(J1764&lt;&gt;"",J1764,CuentaPred&amp;""))</f>
        <v/>
      </c>
      <c r="R1764" s="52">
        <f>IF(P1764="","",IF(ISNUMBER(I1764),I1764,TasaUSD))</f>
        <v/>
      </c>
      <c r="S1764" s="53">
        <f>IF(P1764="","",IF(H1764="USD",G1764*R1764,G1764))</f>
        <v/>
      </c>
      <c r="T1764" s="53">
        <f>IF(P1764="","",IF(H1764="USD",G1764,IF(R1764&gt;0,G1764/R1764,0)))</f>
        <v/>
      </c>
      <c r="U1764" s="53">
        <f>IF(P1764="","",IF(P1764="Gasto",S1764,IF(P1764="Reembolso",-S1764,0)))</f>
        <v/>
      </c>
      <c r="V1764" s="53">
        <f>IF(P1764="","",IF(P1764="Ingreso",S1764,0))</f>
        <v/>
      </c>
      <c r="W1764" s="53">
        <f>IF(P1764="","",IF(P1764="Resultado trading",S1764,0))</f>
        <v/>
      </c>
      <c r="X1764" s="52">
        <f>IF(OR(P1764="Gasto",P1764="Reembolso"),IF(M1764&lt;&gt;"",M1764,IFERROR(INDEX(catClasif,MATCH(D1764&amp;"|"&amp;E1764,catClave,0))&amp;"","Variable")),"")</f>
        <v/>
      </c>
      <c r="Y1764" s="52">
        <f>IF(P1764="","",IFERROR(INDEX(catGrupo,MATCH(D1764&amp;"|"&amp;E1764,catClave,0))&amp;"",""))</f>
        <v/>
      </c>
      <c r="Z1764" s="52">
        <f>IF(P1764="","",WEEKDAY(B1764,2))</f>
        <v/>
      </c>
      <c r="AA1764" s="52">
        <f>IF(P1764="","",IF(AND(P1764="Gasto",X1764="Variable",D1764&lt;&gt;catTrading,S1764&gt;0,S1764&lt;=Umbral),1,0))</f>
        <v/>
      </c>
      <c r="AB1764" s="52">
        <f>IF(OR(P1764="",Q1764=""),"",IFERROR(IF(INDEX(ctaVinc,MATCH(Q1764,ctaNombre,0))&amp;""&lt;&gt;"",INDEX(ctaVinc,MATCH(Q1764,ctaNombre,0))&amp;"",Q1764),Q1764))</f>
        <v/>
      </c>
      <c r="AC1764" s="52">
        <f>IF(OR(K1764="",AND(P1764&lt;&gt;"Transferencia",P1764&lt;&gt;"Pago tarjeta")),"",IFERROR(IF(INDEX(ctaVinc,MATCH(K1764,ctaNombre,0))&amp;""&lt;&gt;"",INDEX(ctaVinc,MATCH(K1764,ctaNombre,0))&amp;"",K1764),K1764))</f>
        <v/>
      </c>
      <c r="AD1764" s="52">
        <f>IF(AB1764="","",IFERROR(INDEX(ctaTipo,MATCH(AB1764,ctaNombre,0))&amp;"",""))</f>
        <v/>
      </c>
      <c r="AE1764" s="52">
        <f>IF(AC1764="","",IFERROR(INDEX(ctaTipo,MATCH(AC1764,ctaNombre,0))&amp;"",""))</f>
        <v/>
      </c>
      <c r="AF1764" s="53">
        <f>IF(OR(P1764="",AB1764=""),"",IF(OR(P1764="Gasto",P1764="Transferencia",P1764="Pago tarjeta"),-1,1)*IF(IFERROR(INDEX(ctaMoneda,MATCH(AB1764,ctaNombre,0))&amp;"","DOP")="USD",T1764,S1764))</f>
        <v/>
      </c>
      <c r="AG1764" s="53">
        <f>IF(AC1764="","",IF(IFERROR(INDEX(ctaMoneda,MATCH(AC1764,ctaNombre,0))&amp;"","DOP")="USD",T1764,S1764))</f>
        <v/>
      </c>
      <c r="AH1764" s="53">
        <f>IF(P1764="","",IF(AND(AD1764&lt;&gt;"",COUNTIFS(tcTipo,AD1764,tcLiq,"Sí")&gt;0),IF(OR(P1764="Gasto",P1764="Transferencia",P1764="Pago tarjeta"),-1,1)*S1764,0)+IF(AND(AE1764&lt;&gt;"",COUNTIFS(tcTipo,AE1764,tcLiq,"Sí")&gt;0),S1764,0))</f>
        <v/>
      </c>
      <c r="AI1764" s="52">
        <f>IF(OR(L1764="",P1764=""),"",IF(COUNTIFS(L$6:L1764,L1764,P$6:P1764,"?*")=1,MAX(AI$5:AI1763)+1,""))</f>
        <v/>
      </c>
    </row>
    <row r="1765">
      <c r="B1765" s="47" t="n"/>
      <c r="C1765" s="48" t="n"/>
      <c r="D1765" s="48" t="n"/>
      <c r="E1765" s="48" t="n"/>
      <c r="F1765" s="48" t="n"/>
      <c r="G1765" s="49" t="n"/>
      <c r="H1765" s="48" t="n"/>
      <c r="I1765" s="50" t="n"/>
      <c r="J1765" s="48" t="n"/>
      <c r="K1765" s="48" t="n"/>
      <c r="L1765" s="48" t="n"/>
      <c r="M1765" s="48" t="n"/>
      <c r="N1765" s="48" t="n"/>
      <c r="O1765" s="51">
        <f>IF(AND(B1765="",G1765="",C1765="",D1765="",J1765=""),"",IF(B1765="","⚠ Falta fecha",IF(G1765="","⚠ Falta monto",IF(Q1765="","⚠ Falta cuenta",IF(ISNA(MATCH(Q1765,ctaNombre,0)),"⚠ Cuenta no registrada",IF(AND(OR(P1765="Gasto",P1765="Reembolso"),D1765=""),"⚠ Falta categoría",IF(AND(D1765&lt;&gt;"",E1765&lt;&gt;"",ISNA(MATCH(D1765&amp;"|"&amp;E1765,catClave,0))),"⚠ Subcategoría no corresponde",IF(AND(OR(P1765="Transferencia",P1765="Pago tarjeta"),K1765=""),"⚠ Falta cuenta destino",IF(AND(K1765&lt;&gt;"",P1765&lt;&gt;"Transferencia",P1765&lt;&gt;"Pago tarjeta"),"⚠ Destino solo aplica a transferencias",IF(AND(K1765&lt;&gt;"",K1765=Q1765),"⚠ Origen igual a destino",IF(AND(K1765&lt;&gt;"",ISNA(MATCH(K1765,ctaNombre,0))),"⚠ Destino no registrado",IF(AND(P1765="Pago tarjeta",AE1765&lt;&gt;"Tarjeta de crédito"),"⚠ El destino debe ser tarjeta de crédito",IF(AND(P1765="Gasto",E1765="Depósitos y retiros"),"⚠ Usa tipo Transferencia",IF(AND(P1765="Resultado trading",AD1765&lt;&gt;"Cuenta de trading"),"⚠ Usa una cuenta de trading",IF(AND(G1765&lt;=0,P1765&lt;&gt;"Ajuste",P1765&lt;&gt;"Resultado trading"),"⚠ El monto debe ser positivo","✓")))))))))))))))</f>
        <v/>
      </c>
      <c r="P1765" s="52">
        <f>IF(OR(B1765="",G1765=""),"",IF(C1765="","Gasto",C1765))</f>
        <v/>
      </c>
      <c r="Q1765" s="52">
        <f>IF(P1765="","",IF(J1765&lt;&gt;"",J1765,CuentaPred&amp;""))</f>
        <v/>
      </c>
      <c r="R1765" s="52">
        <f>IF(P1765="","",IF(ISNUMBER(I1765),I1765,TasaUSD))</f>
        <v/>
      </c>
      <c r="S1765" s="53">
        <f>IF(P1765="","",IF(H1765="USD",G1765*R1765,G1765))</f>
        <v/>
      </c>
      <c r="T1765" s="53">
        <f>IF(P1765="","",IF(H1765="USD",G1765,IF(R1765&gt;0,G1765/R1765,0)))</f>
        <v/>
      </c>
      <c r="U1765" s="53">
        <f>IF(P1765="","",IF(P1765="Gasto",S1765,IF(P1765="Reembolso",-S1765,0)))</f>
        <v/>
      </c>
      <c r="V1765" s="53">
        <f>IF(P1765="","",IF(P1765="Ingreso",S1765,0))</f>
        <v/>
      </c>
      <c r="W1765" s="53">
        <f>IF(P1765="","",IF(P1765="Resultado trading",S1765,0))</f>
        <v/>
      </c>
      <c r="X1765" s="52">
        <f>IF(OR(P1765="Gasto",P1765="Reembolso"),IF(M1765&lt;&gt;"",M1765,IFERROR(INDEX(catClasif,MATCH(D1765&amp;"|"&amp;E1765,catClave,0))&amp;"","Variable")),"")</f>
        <v/>
      </c>
      <c r="Y1765" s="52">
        <f>IF(P1765="","",IFERROR(INDEX(catGrupo,MATCH(D1765&amp;"|"&amp;E1765,catClave,0))&amp;"",""))</f>
        <v/>
      </c>
      <c r="Z1765" s="52">
        <f>IF(P1765="","",WEEKDAY(B1765,2))</f>
        <v/>
      </c>
      <c r="AA1765" s="52">
        <f>IF(P1765="","",IF(AND(P1765="Gasto",X1765="Variable",D1765&lt;&gt;catTrading,S1765&gt;0,S1765&lt;=Umbral),1,0))</f>
        <v/>
      </c>
      <c r="AB1765" s="52">
        <f>IF(OR(P1765="",Q1765=""),"",IFERROR(IF(INDEX(ctaVinc,MATCH(Q1765,ctaNombre,0))&amp;""&lt;&gt;"",INDEX(ctaVinc,MATCH(Q1765,ctaNombre,0))&amp;"",Q1765),Q1765))</f>
        <v/>
      </c>
      <c r="AC1765" s="52">
        <f>IF(OR(K1765="",AND(P1765&lt;&gt;"Transferencia",P1765&lt;&gt;"Pago tarjeta")),"",IFERROR(IF(INDEX(ctaVinc,MATCH(K1765,ctaNombre,0))&amp;""&lt;&gt;"",INDEX(ctaVinc,MATCH(K1765,ctaNombre,0))&amp;"",K1765),K1765))</f>
        <v/>
      </c>
      <c r="AD1765" s="52">
        <f>IF(AB1765="","",IFERROR(INDEX(ctaTipo,MATCH(AB1765,ctaNombre,0))&amp;"",""))</f>
        <v/>
      </c>
      <c r="AE1765" s="52">
        <f>IF(AC1765="","",IFERROR(INDEX(ctaTipo,MATCH(AC1765,ctaNombre,0))&amp;"",""))</f>
        <v/>
      </c>
      <c r="AF1765" s="53">
        <f>IF(OR(P1765="",AB1765=""),"",IF(OR(P1765="Gasto",P1765="Transferencia",P1765="Pago tarjeta"),-1,1)*IF(IFERROR(INDEX(ctaMoneda,MATCH(AB1765,ctaNombre,0))&amp;"","DOP")="USD",T1765,S1765))</f>
        <v/>
      </c>
      <c r="AG1765" s="53">
        <f>IF(AC1765="","",IF(IFERROR(INDEX(ctaMoneda,MATCH(AC1765,ctaNombre,0))&amp;"","DOP")="USD",T1765,S1765))</f>
        <v/>
      </c>
      <c r="AH1765" s="53">
        <f>IF(P1765="","",IF(AND(AD1765&lt;&gt;"",COUNTIFS(tcTipo,AD1765,tcLiq,"Sí")&gt;0),IF(OR(P1765="Gasto",P1765="Transferencia",P1765="Pago tarjeta"),-1,1)*S1765,0)+IF(AND(AE1765&lt;&gt;"",COUNTIFS(tcTipo,AE1765,tcLiq,"Sí")&gt;0),S1765,0))</f>
        <v/>
      </c>
      <c r="AI1765" s="52">
        <f>IF(OR(L1765="",P1765=""),"",IF(COUNTIFS(L$6:L1765,L1765,P$6:P1765,"?*")=1,MAX(AI$5:AI1764)+1,""))</f>
        <v/>
      </c>
    </row>
    <row r="1766">
      <c r="B1766" s="47" t="n"/>
      <c r="C1766" s="48" t="n"/>
      <c r="D1766" s="48" t="n"/>
      <c r="E1766" s="48" t="n"/>
      <c r="F1766" s="48" t="n"/>
      <c r="G1766" s="49" t="n"/>
      <c r="H1766" s="48" t="n"/>
      <c r="I1766" s="50" t="n"/>
      <c r="J1766" s="48" t="n"/>
      <c r="K1766" s="48" t="n"/>
      <c r="L1766" s="48" t="n"/>
      <c r="M1766" s="48" t="n"/>
      <c r="N1766" s="48" t="n"/>
      <c r="O1766" s="51">
        <f>IF(AND(B1766="",G1766="",C1766="",D1766="",J1766=""),"",IF(B1766="","⚠ Falta fecha",IF(G1766="","⚠ Falta monto",IF(Q1766="","⚠ Falta cuenta",IF(ISNA(MATCH(Q1766,ctaNombre,0)),"⚠ Cuenta no registrada",IF(AND(OR(P1766="Gasto",P1766="Reembolso"),D1766=""),"⚠ Falta categoría",IF(AND(D1766&lt;&gt;"",E1766&lt;&gt;"",ISNA(MATCH(D1766&amp;"|"&amp;E1766,catClave,0))),"⚠ Subcategoría no corresponde",IF(AND(OR(P1766="Transferencia",P1766="Pago tarjeta"),K1766=""),"⚠ Falta cuenta destino",IF(AND(K1766&lt;&gt;"",P1766&lt;&gt;"Transferencia",P1766&lt;&gt;"Pago tarjeta"),"⚠ Destino solo aplica a transferencias",IF(AND(K1766&lt;&gt;"",K1766=Q1766),"⚠ Origen igual a destino",IF(AND(K1766&lt;&gt;"",ISNA(MATCH(K1766,ctaNombre,0))),"⚠ Destino no registrado",IF(AND(P1766="Pago tarjeta",AE1766&lt;&gt;"Tarjeta de crédito"),"⚠ El destino debe ser tarjeta de crédito",IF(AND(P1766="Gasto",E1766="Depósitos y retiros"),"⚠ Usa tipo Transferencia",IF(AND(P1766="Resultado trading",AD1766&lt;&gt;"Cuenta de trading"),"⚠ Usa una cuenta de trading",IF(AND(G1766&lt;=0,P1766&lt;&gt;"Ajuste",P1766&lt;&gt;"Resultado trading"),"⚠ El monto debe ser positivo","✓")))))))))))))))</f>
        <v/>
      </c>
      <c r="P1766" s="52">
        <f>IF(OR(B1766="",G1766=""),"",IF(C1766="","Gasto",C1766))</f>
        <v/>
      </c>
      <c r="Q1766" s="52">
        <f>IF(P1766="","",IF(J1766&lt;&gt;"",J1766,CuentaPred&amp;""))</f>
        <v/>
      </c>
      <c r="R1766" s="52">
        <f>IF(P1766="","",IF(ISNUMBER(I1766),I1766,TasaUSD))</f>
        <v/>
      </c>
      <c r="S1766" s="53">
        <f>IF(P1766="","",IF(H1766="USD",G1766*R1766,G1766))</f>
        <v/>
      </c>
      <c r="T1766" s="53">
        <f>IF(P1766="","",IF(H1766="USD",G1766,IF(R1766&gt;0,G1766/R1766,0)))</f>
        <v/>
      </c>
      <c r="U1766" s="53">
        <f>IF(P1766="","",IF(P1766="Gasto",S1766,IF(P1766="Reembolso",-S1766,0)))</f>
        <v/>
      </c>
      <c r="V1766" s="53">
        <f>IF(P1766="","",IF(P1766="Ingreso",S1766,0))</f>
        <v/>
      </c>
      <c r="W1766" s="53">
        <f>IF(P1766="","",IF(P1766="Resultado trading",S1766,0))</f>
        <v/>
      </c>
      <c r="X1766" s="52">
        <f>IF(OR(P1766="Gasto",P1766="Reembolso"),IF(M1766&lt;&gt;"",M1766,IFERROR(INDEX(catClasif,MATCH(D1766&amp;"|"&amp;E1766,catClave,0))&amp;"","Variable")),"")</f>
        <v/>
      </c>
      <c r="Y1766" s="52">
        <f>IF(P1766="","",IFERROR(INDEX(catGrupo,MATCH(D1766&amp;"|"&amp;E1766,catClave,0))&amp;"",""))</f>
        <v/>
      </c>
      <c r="Z1766" s="52">
        <f>IF(P1766="","",WEEKDAY(B1766,2))</f>
        <v/>
      </c>
      <c r="AA1766" s="52">
        <f>IF(P1766="","",IF(AND(P1766="Gasto",X1766="Variable",D1766&lt;&gt;catTrading,S1766&gt;0,S1766&lt;=Umbral),1,0))</f>
        <v/>
      </c>
      <c r="AB1766" s="52">
        <f>IF(OR(P1766="",Q1766=""),"",IFERROR(IF(INDEX(ctaVinc,MATCH(Q1766,ctaNombre,0))&amp;""&lt;&gt;"",INDEX(ctaVinc,MATCH(Q1766,ctaNombre,0))&amp;"",Q1766),Q1766))</f>
        <v/>
      </c>
      <c r="AC1766" s="52">
        <f>IF(OR(K1766="",AND(P1766&lt;&gt;"Transferencia",P1766&lt;&gt;"Pago tarjeta")),"",IFERROR(IF(INDEX(ctaVinc,MATCH(K1766,ctaNombre,0))&amp;""&lt;&gt;"",INDEX(ctaVinc,MATCH(K1766,ctaNombre,0))&amp;"",K1766),K1766))</f>
        <v/>
      </c>
      <c r="AD1766" s="52">
        <f>IF(AB1766="","",IFERROR(INDEX(ctaTipo,MATCH(AB1766,ctaNombre,0))&amp;"",""))</f>
        <v/>
      </c>
      <c r="AE1766" s="52">
        <f>IF(AC1766="","",IFERROR(INDEX(ctaTipo,MATCH(AC1766,ctaNombre,0))&amp;"",""))</f>
        <v/>
      </c>
      <c r="AF1766" s="53">
        <f>IF(OR(P1766="",AB1766=""),"",IF(OR(P1766="Gasto",P1766="Transferencia",P1766="Pago tarjeta"),-1,1)*IF(IFERROR(INDEX(ctaMoneda,MATCH(AB1766,ctaNombre,0))&amp;"","DOP")="USD",T1766,S1766))</f>
        <v/>
      </c>
      <c r="AG1766" s="53">
        <f>IF(AC1766="","",IF(IFERROR(INDEX(ctaMoneda,MATCH(AC1766,ctaNombre,0))&amp;"","DOP")="USD",T1766,S1766))</f>
        <v/>
      </c>
      <c r="AH1766" s="53">
        <f>IF(P1766="","",IF(AND(AD1766&lt;&gt;"",COUNTIFS(tcTipo,AD1766,tcLiq,"Sí")&gt;0),IF(OR(P1766="Gasto",P1766="Transferencia",P1766="Pago tarjeta"),-1,1)*S1766,0)+IF(AND(AE1766&lt;&gt;"",COUNTIFS(tcTipo,AE1766,tcLiq,"Sí")&gt;0),S1766,0))</f>
        <v/>
      </c>
      <c r="AI1766" s="52">
        <f>IF(OR(L1766="",P1766=""),"",IF(COUNTIFS(L$6:L1766,L1766,P$6:P1766,"?*")=1,MAX(AI$5:AI1765)+1,""))</f>
        <v/>
      </c>
    </row>
    <row r="1767">
      <c r="B1767" s="47" t="n"/>
      <c r="C1767" s="48" t="n"/>
      <c r="D1767" s="48" t="n"/>
      <c r="E1767" s="48" t="n"/>
      <c r="F1767" s="48" t="n"/>
      <c r="G1767" s="49" t="n"/>
      <c r="H1767" s="48" t="n"/>
      <c r="I1767" s="50" t="n"/>
      <c r="J1767" s="48" t="n"/>
      <c r="K1767" s="48" t="n"/>
      <c r="L1767" s="48" t="n"/>
      <c r="M1767" s="48" t="n"/>
      <c r="N1767" s="48" t="n"/>
      <c r="O1767" s="51">
        <f>IF(AND(B1767="",G1767="",C1767="",D1767="",J1767=""),"",IF(B1767="","⚠ Falta fecha",IF(G1767="","⚠ Falta monto",IF(Q1767="","⚠ Falta cuenta",IF(ISNA(MATCH(Q1767,ctaNombre,0)),"⚠ Cuenta no registrada",IF(AND(OR(P1767="Gasto",P1767="Reembolso"),D1767=""),"⚠ Falta categoría",IF(AND(D1767&lt;&gt;"",E1767&lt;&gt;"",ISNA(MATCH(D1767&amp;"|"&amp;E1767,catClave,0))),"⚠ Subcategoría no corresponde",IF(AND(OR(P1767="Transferencia",P1767="Pago tarjeta"),K1767=""),"⚠ Falta cuenta destino",IF(AND(K1767&lt;&gt;"",P1767&lt;&gt;"Transferencia",P1767&lt;&gt;"Pago tarjeta"),"⚠ Destino solo aplica a transferencias",IF(AND(K1767&lt;&gt;"",K1767=Q1767),"⚠ Origen igual a destino",IF(AND(K1767&lt;&gt;"",ISNA(MATCH(K1767,ctaNombre,0))),"⚠ Destino no registrado",IF(AND(P1767="Pago tarjeta",AE1767&lt;&gt;"Tarjeta de crédito"),"⚠ El destino debe ser tarjeta de crédito",IF(AND(P1767="Gasto",E1767="Depósitos y retiros"),"⚠ Usa tipo Transferencia",IF(AND(P1767="Resultado trading",AD1767&lt;&gt;"Cuenta de trading"),"⚠ Usa una cuenta de trading",IF(AND(G1767&lt;=0,P1767&lt;&gt;"Ajuste",P1767&lt;&gt;"Resultado trading"),"⚠ El monto debe ser positivo","✓")))))))))))))))</f>
        <v/>
      </c>
      <c r="P1767" s="52">
        <f>IF(OR(B1767="",G1767=""),"",IF(C1767="","Gasto",C1767))</f>
        <v/>
      </c>
      <c r="Q1767" s="52">
        <f>IF(P1767="","",IF(J1767&lt;&gt;"",J1767,CuentaPred&amp;""))</f>
        <v/>
      </c>
      <c r="R1767" s="52">
        <f>IF(P1767="","",IF(ISNUMBER(I1767),I1767,TasaUSD))</f>
        <v/>
      </c>
      <c r="S1767" s="53">
        <f>IF(P1767="","",IF(H1767="USD",G1767*R1767,G1767))</f>
        <v/>
      </c>
      <c r="T1767" s="53">
        <f>IF(P1767="","",IF(H1767="USD",G1767,IF(R1767&gt;0,G1767/R1767,0)))</f>
        <v/>
      </c>
      <c r="U1767" s="53">
        <f>IF(P1767="","",IF(P1767="Gasto",S1767,IF(P1767="Reembolso",-S1767,0)))</f>
        <v/>
      </c>
      <c r="V1767" s="53">
        <f>IF(P1767="","",IF(P1767="Ingreso",S1767,0))</f>
        <v/>
      </c>
      <c r="W1767" s="53">
        <f>IF(P1767="","",IF(P1767="Resultado trading",S1767,0))</f>
        <v/>
      </c>
      <c r="X1767" s="52">
        <f>IF(OR(P1767="Gasto",P1767="Reembolso"),IF(M1767&lt;&gt;"",M1767,IFERROR(INDEX(catClasif,MATCH(D1767&amp;"|"&amp;E1767,catClave,0))&amp;"","Variable")),"")</f>
        <v/>
      </c>
      <c r="Y1767" s="52">
        <f>IF(P1767="","",IFERROR(INDEX(catGrupo,MATCH(D1767&amp;"|"&amp;E1767,catClave,0))&amp;"",""))</f>
        <v/>
      </c>
      <c r="Z1767" s="52">
        <f>IF(P1767="","",WEEKDAY(B1767,2))</f>
        <v/>
      </c>
      <c r="AA1767" s="52">
        <f>IF(P1767="","",IF(AND(P1767="Gasto",X1767="Variable",D1767&lt;&gt;catTrading,S1767&gt;0,S1767&lt;=Umbral),1,0))</f>
        <v/>
      </c>
      <c r="AB1767" s="52">
        <f>IF(OR(P1767="",Q1767=""),"",IFERROR(IF(INDEX(ctaVinc,MATCH(Q1767,ctaNombre,0))&amp;""&lt;&gt;"",INDEX(ctaVinc,MATCH(Q1767,ctaNombre,0))&amp;"",Q1767),Q1767))</f>
        <v/>
      </c>
      <c r="AC1767" s="52">
        <f>IF(OR(K1767="",AND(P1767&lt;&gt;"Transferencia",P1767&lt;&gt;"Pago tarjeta")),"",IFERROR(IF(INDEX(ctaVinc,MATCH(K1767,ctaNombre,0))&amp;""&lt;&gt;"",INDEX(ctaVinc,MATCH(K1767,ctaNombre,0))&amp;"",K1767),K1767))</f>
        <v/>
      </c>
      <c r="AD1767" s="52">
        <f>IF(AB1767="","",IFERROR(INDEX(ctaTipo,MATCH(AB1767,ctaNombre,0))&amp;"",""))</f>
        <v/>
      </c>
      <c r="AE1767" s="52">
        <f>IF(AC1767="","",IFERROR(INDEX(ctaTipo,MATCH(AC1767,ctaNombre,0))&amp;"",""))</f>
        <v/>
      </c>
      <c r="AF1767" s="53">
        <f>IF(OR(P1767="",AB1767=""),"",IF(OR(P1767="Gasto",P1767="Transferencia",P1767="Pago tarjeta"),-1,1)*IF(IFERROR(INDEX(ctaMoneda,MATCH(AB1767,ctaNombre,0))&amp;"","DOP")="USD",T1767,S1767))</f>
        <v/>
      </c>
      <c r="AG1767" s="53">
        <f>IF(AC1767="","",IF(IFERROR(INDEX(ctaMoneda,MATCH(AC1767,ctaNombre,0))&amp;"","DOP")="USD",T1767,S1767))</f>
        <v/>
      </c>
      <c r="AH1767" s="53">
        <f>IF(P1767="","",IF(AND(AD1767&lt;&gt;"",COUNTIFS(tcTipo,AD1767,tcLiq,"Sí")&gt;0),IF(OR(P1767="Gasto",P1767="Transferencia",P1767="Pago tarjeta"),-1,1)*S1767,0)+IF(AND(AE1767&lt;&gt;"",COUNTIFS(tcTipo,AE1767,tcLiq,"Sí")&gt;0),S1767,0))</f>
        <v/>
      </c>
      <c r="AI1767" s="52">
        <f>IF(OR(L1767="",P1767=""),"",IF(COUNTIFS(L$6:L1767,L1767,P$6:P1767,"?*")=1,MAX(AI$5:AI1766)+1,""))</f>
        <v/>
      </c>
    </row>
    <row r="1768">
      <c r="B1768" s="47" t="n"/>
      <c r="C1768" s="48" t="n"/>
      <c r="D1768" s="48" t="n"/>
      <c r="E1768" s="48" t="n"/>
      <c r="F1768" s="48" t="n"/>
      <c r="G1768" s="49" t="n"/>
      <c r="H1768" s="48" t="n"/>
      <c r="I1768" s="50" t="n"/>
      <c r="J1768" s="48" t="n"/>
      <c r="K1768" s="48" t="n"/>
      <c r="L1768" s="48" t="n"/>
      <c r="M1768" s="48" t="n"/>
      <c r="N1768" s="48" t="n"/>
      <c r="O1768" s="51">
        <f>IF(AND(B1768="",G1768="",C1768="",D1768="",J1768=""),"",IF(B1768="","⚠ Falta fecha",IF(G1768="","⚠ Falta monto",IF(Q1768="","⚠ Falta cuenta",IF(ISNA(MATCH(Q1768,ctaNombre,0)),"⚠ Cuenta no registrada",IF(AND(OR(P1768="Gasto",P1768="Reembolso"),D1768=""),"⚠ Falta categoría",IF(AND(D1768&lt;&gt;"",E1768&lt;&gt;"",ISNA(MATCH(D1768&amp;"|"&amp;E1768,catClave,0))),"⚠ Subcategoría no corresponde",IF(AND(OR(P1768="Transferencia",P1768="Pago tarjeta"),K1768=""),"⚠ Falta cuenta destino",IF(AND(K1768&lt;&gt;"",P1768&lt;&gt;"Transferencia",P1768&lt;&gt;"Pago tarjeta"),"⚠ Destino solo aplica a transferencias",IF(AND(K1768&lt;&gt;"",K1768=Q1768),"⚠ Origen igual a destino",IF(AND(K1768&lt;&gt;"",ISNA(MATCH(K1768,ctaNombre,0))),"⚠ Destino no registrado",IF(AND(P1768="Pago tarjeta",AE1768&lt;&gt;"Tarjeta de crédito"),"⚠ El destino debe ser tarjeta de crédito",IF(AND(P1768="Gasto",E1768="Depósitos y retiros"),"⚠ Usa tipo Transferencia",IF(AND(P1768="Resultado trading",AD1768&lt;&gt;"Cuenta de trading"),"⚠ Usa una cuenta de trading",IF(AND(G1768&lt;=0,P1768&lt;&gt;"Ajuste",P1768&lt;&gt;"Resultado trading"),"⚠ El monto debe ser positivo","✓")))))))))))))))</f>
        <v/>
      </c>
      <c r="P1768" s="52">
        <f>IF(OR(B1768="",G1768=""),"",IF(C1768="","Gasto",C1768))</f>
        <v/>
      </c>
      <c r="Q1768" s="52">
        <f>IF(P1768="","",IF(J1768&lt;&gt;"",J1768,CuentaPred&amp;""))</f>
        <v/>
      </c>
      <c r="R1768" s="52">
        <f>IF(P1768="","",IF(ISNUMBER(I1768),I1768,TasaUSD))</f>
        <v/>
      </c>
      <c r="S1768" s="53">
        <f>IF(P1768="","",IF(H1768="USD",G1768*R1768,G1768))</f>
        <v/>
      </c>
      <c r="T1768" s="53">
        <f>IF(P1768="","",IF(H1768="USD",G1768,IF(R1768&gt;0,G1768/R1768,0)))</f>
        <v/>
      </c>
      <c r="U1768" s="53">
        <f>IF(P1768="","",IF(P1768="Gasto",S1768,IF(P1768="Reembolso",-S1768,0)))</f>
        <v/>
      </c>
      <c r="V1768" s="53">
        <f>IF(P1768="","",IF(P1768="Ingreso",S1768,0))</f>
        <v/>
      </c>
      <c r="W1768" s="53">
        <f>IF(P1768="","",IF(P1768="Resultado trading",S1768,0))</f>
        <v/>
      </c>
      <c r="X1768" s="52">
        <f>IF(OR(P1768="Gasto",P1768="Reembolso"),IF(M1768&lt;&gt;"",M1768,IFERROR(INDEX(catClasif,MATCH(D1768&amp;"|"&amp;E1768,catClave,0))&amp;"","Variable")),"")</f>
        <v/>
      </c>
      <c r="Y1768" s="52">
        <f>IF(P1768="","",IFERROR(INDEX(catGrupo,MATCH(D1768&amp;"|"&amp;E1768,catClave,0))&amp;"",""))</f>
        <v/>
      </c>
      <c r="Z1768" s="52">
        <f>IF(P1768="","",WEEKDAY(B1768,2))</f>
        <v/>
      </c>
      <c r="AA1768" s="52">
        <f>IF(P1768="","",IF(AND(P1768="Gasto",X1768="Variable",D1768&lt;&gt;catTrading,S1768&gt;0,S1768&lt;=Umbral),1,0))</f>
        <v/>
      </c>
      <c r="AB1768" s="52">
        <f>IF(OR(P1768="",Q1768=""),"",IFERROR(IF(INDEX(ctaVinc,MATCH(Q1768,ctaNombre,0))&amp;""&lt;&gt;"",INDEX(ctaVinc,MATCH(Q1768,ctaNombre,0))&amp;"",Q1768),Q1768))</f>
        <v/>
      </c>
      <c r="AC1768" s="52">
        <f>IF(OR(K1768="",AND(P1768&lt;&gt;"Transferencia",P1768&lt;&gt;"Pago tarjeta")),"",IFERROR(IF(INDEX(ctaVinc,MATCH(K1768,ctaNombre,0))&amp;""&lt;&gt;"",INDEX(ctaVinc,MATCH(K1768,ctaNombre,0))&amp;"",K1768),K1768))</f>
        <v/>
      </c>
      <c r="AD1768" s="52">
        <f>IF(AB1768="","",IFERROR(INDEX(ctaTipo,MATCH(AB1768,ctaNombre,0))&amp;"",""))</f>
        <v/>
      </c>
      <c r="AE1768" s="52">
        <f>IF(AC1768="","",IFERROR(INDEX(ctaTipo,MATCH(AC1768,ctaNombre,0))&amp;"",""))</f>
        <v/>
      </c>
      <c r="AF1768" s="53">
        <f>IF(OR(P1768="",AB1768=""),"",IF(OR(P1768="Gasto",P1768="Transferencia",P1768="Pago tarjeta"),-1,1)*IF(IFERROR(INDEX(ctaMoneda,MATCH(AB1768,ctaNombre,0))&amp;"","DOP")="USD",T1768,S1768))</f>
        <v/>
      </c>
      <c r="AG1768" s="53">
        <f>IF(AC1768="","",IF(IFERROR(INDEX(ctaMoneda,MATCH(AC1768,ctaNombre,0))&amp;"","DOP")="USD",T1768,S1768))</f>
        <v/>
      </c>
      <c r="AH1768" s="53">
        <f>IF(P1768="","",IF(AND(AD1768&lt;&gt;"",COUNTIFS(tcTipo,AD1768,tcLiq,"Sí")&gt;0),IF(OR(P1768="Gasto",P1768="Transferencia",P1768="Pago tarjeta"),-1,1)*S1768,0)+IF(AND(AE1768&lt;&gt;"",COUNTIFS(tcTipo,AE1768,tcLiq,"Sí")&gt;0),S1768,0))</f>
        <v/>
      </c>
      <c r="AI1768" s="52">
        <f>IF(OR(L1768="",P1768=""),"",IF(COUNTIFS(L$6:L1768,L1768,P$6:P1768,"?*")=1,MAX(AI$5:AI1767)+1,""))</f>
        <v/>
      </c>
    </row>
    <row r="1769">
      <c r="B1769" s="47" t="n"/>
      <c r="C1769" s="48" t="n"/>
      <c r="D1769" s="48" t="n"/>
      <c r="E1769" s="48" t="n"/>
      <c r="F1769" s="48" t="n"/>
      <c r="G1769" s="49" t="n"/>
      <c r="H1769" s="48" t="n"/>
      <c r="I1769" s="50" t="n"/>
      <c r="J1769" s="48" t="n"/>
      <c r="K1769" s="48" t="n"/>
      <c r="L1769" s="48" t="n"/>
      <c r="M1769" s="48" t="n"/>
      <c r="N1769" s="48" t="n"/>
      <c r="O1769" s="51">
        <f>IF(AND(B1769="",G1769="",C1769="",D1769="",J1769=""),"",IF(B1769="","⚠ Falta fecha",IF(G1769="","⚠ Falta monto",IF(Q1769="","⚠ Falta cuenta",IF(ISNA(MATCH(Q1769,ctaNombre,0)),"⚠ Cuenta no registrada",IF(AND(OR(P1769="Gasto",P1769="Reembolso"),D1769=""),"⚠ Falta categoría",IF(AND(D1769&lt;&gt;"",E1769&lt;&gt;"",ISNA(MATCH(D1769&amp;"|"&amp;E1769,catClave,0))),"⚠ Subcategoría no corresponde",IF(AND(OR(P1769="Transferencia",P1769="Pago tarjeta"),K1769=""),"⚠ Falta cuenta destino",IF(AND(K1769&lt;&gt;"",P1769&lt;&gt;"Transferencia",P1769&lt;&gt;"Pago tarjeta"),"⚠ Destino solo aplica a transferencias",IF(AND(K1769&lt;&gt;"",K1769=Q1769),"⚠ Origen igual a destino",IF(AND(K1769&lt;&gt;"",ISNA(MATCH(K1769,ctaNombre,0))),"⚠ Destino no registrado",IF(AND(P1769="Pago tarjeta",AE1769&lt;&gt;"Tarjeta de crédito"),"⚠ El destino debe ser tarjeta de crédito",IF(AND(P1769="Gasto",E1769="Depósitos y retiros"),"⚠ Usa tipo Transferencia",IF(AND(P1769="Resultado trading",AD1769&lt;&gt;"Cuenta de trading"),"⚠ Usa una cuenta de trading",IF(AND(G1769&lt;=0,P1769&lt;&gt;"Ajuste",P1769&lt;&gt;"Resultado trading"),"⚠ El monto debe ser positivo","✓")))))))))))))))</f>
        <v/>
      </c>
      <c r="P1769" s="52">
        <f>IF(OR(B1769="",G1769=""),"",IF(C1769="","Gasto",C1769))</f>
        <v/>
      </c>
      <c r="Q1769" s="52">
        <f>IF(P1769="","",IF(J1769&lt;&gt;"",J1769,CuentaPred&amp;""))</f>
        <v/>
      </c>
      <c r="R1769" s="52">
        <f>IF(P1769="","",IF(ISNUMBER(I1769),I1769,TasaUSD))</f>
        <v/>
      </c>
      <c r="S1769" s="53">
        <f>IF(P1769="","",IF(H1769="USD",G1769*R1769,G1769))</f>
        <v/>
      </c>
      <c r="T1769" s="53">
        <f>IF(P1769="","",IF(H1769="USD",G1769,IF(R1769&gt;0,G1769/R1769,0)))</f>
        <v/>
      </c>
      <c r="U1769" s="53">
        <f>IF(P1769="","",IF(P1769="Gasto",S1769,IF(P1769="Reembolso",-S1769,0)))</f>
        <v/>
      </c>
      <c r="V1769" s="53">
        <f>IF(P1769="","",IF(P1769="Ingreso",S1769,0))</f>
        <v/>
      </c>
      <c r="W1769" s="53">
        <f>IF(P1769="","",IF(P1769="Resultado trading",S1769,0))</f>
        <v/>
      </c>
      <c r="X1769" s="52">
        <f>IF(OR(P1769="Gasto",P1769="Reembolso"),IF(M1769&lt;&gt;"",M1769,IFERROR(INDEX(catClasif,MATCH(D1769&amp;"|"&amp;E1769,catClave,0))&amp;"","Variable")),"")</f>
        <v/>
      </c>
      <c r="Y1769" s="52">
        <f>IF(P1769="","",IFERROR(INDEX(catGrupo,MATCH(D1769&amp;"|"&amp;E1769,catClave,0))&amp;"",""))</f>
        <v/>
      </c>
      <c r="Z1769" s="52">
        <f>IF(P1769="","",WEEKDAY(B1769,2))</f>
        <v/>
      </c>
      <c r="AA1769" s="52">
        <f>IF(P1769="","",IF(AND(P1769="Gasto",X1769="Variable",D1769&lt;&gt;catTrading,S1769&gt;0,S1769&lt;=Umbral),1,0))</f>
        <v/>
      </c>
      <c r="AB1769" s="52">
        <f>IF(OR(P1769="",Q1769=""),"",IFERROR(IF(INDEX(ctaVinc,MATCH(Q1769,ctaNombre,0))&amp;""&lt;&gt;"",INDEX(ctaVinc,MATCH(Q1769,ctaNombre,0))&amp;"",Q1769),Q1769))</f>
        <v/>
      </c>
      <c r="AC1769" s="52">
        <f>IF(OR(K1769="",AND(P1769&lt;&gt;"Transferencia",P1769&lt;&gt;"Pago tarjeta")),"",IFERROR(IF(INDEX(ctaVinc,MATCH(K1769,ctaNombre,0))&amp;""&lt;&gt;"",INDEX(ctaVinc,MATCH(K1769,ctaNombre,0))&amp;"",K1769),K1769))</f>
        <v/>
      </c>
      <c r="AD1769" s="52">
        <f>IF(AB1769="","",IFERROR(INDEX(ctaTipo,MATCH(AB1769,ctaNombre,0))&amp;"",""))</f>
        <v/>
      </c>
      <c r="AE1769" s="52">
        <f>IF(AC1769="","",IFERROR(INDEX(ctaTipo,MATCH(AC1769,ctaNombre,0))&amp;"",""))</f>
        <v/>
      </c>
      <c r="AF1769" s="53">
        <f>IF(OR(P1769="",AB1769=""),"",IF(OR(P1769="Gasto",P1769="Transferencia",P1769="Pago tarjeta"),-1,1)*IF(IFERROR(INDEX(ctaMoneda,MATCH(AB1769,ctaNombre,0))&amp;"","DOP")="USD",T1769,S1769))</f>
        <v/>
      </c>
      <c r="AG1769" s="53">
        <f>IF(AC1769="","",IF(IFERROR(INDEX(ctaMoneda,MATCH(AC1769,ctaNombre,0))&amp;"","DOP")="USD",T1769,S1769))</f>
        <v/>
      </c>
      <c r="AH1769" s="53">
        <f>IF(P1769="","",IF(AND(AD1769&lt;&gt;"",COUNTIFS(tcTipo,AD1769,tcLiq,"Sí")&gt;0),IF(OR(P1769="Gasto",P1769="Transferencia",P1769="Pago tarjeta"),-1,1)*S1769,0)+IF(AND(AE1769&lt;&gt;"",COUNTIFS(tcTipo,AE1769,tcLiq,"Sí")&gt;0),S1769,0))</f>
        <v/>
      </c>
      <c r="AI1769" s="52">
        <f>IF(OR(L1769="",P1769=""),"",IF(COUNTIFS(L$6:L1769,L1769,P$6:P1769,"?*")=1,MAX(AI$5:AI1768)+1,""))</f>
        <v/>
      </c>
    </row>
    <row r="1770">
      <c r="B1770" s="47" t="n"/>
      <c r="C1770" s="48" t="n"/>
      <c r="D1770" s="48" t="n"/>
      <c r="E1770" s="48" t="n"/>
      <c r="F1770" s="48" t="n"/>
      <c r="G1770" s="49" t="n"/>
      <c r="H1770" s="48" t="n"/>
      <c r="I1770" s="50" t="n"/>
      <c r="J1770" s="48" t="n"/>
      <c r="K1770" s="48" t="n"/>
      <c r="L1770" s="48" t="n"/>
      <c r="M1770" s="48" t="n"/>
      <c r="N1770" s="48" t="n"/>
      <c r="O1770" s="51">
        <f>IF(AND(B1770="",G1770="",C1770="",D1770="",J1770=""),"",IF(B1770="","⚠ Falta fecha",IF(G1770="","⚠ Falta monto",IF(Q1770="","⚠ Falta cuenta",IF(ISNA(MATCH(Q1770,ctaNombre,0)),"⚠ Cuenta no registrada",IF(AND(OR(P1770="Gasto",P1770="Reembolso"),D1770=""),"⚠ Falta categoría",IF(AND(D1770&lt;&gt;"",E1770&lt;&gt;"",ISNA(MATCH(D1770&amp;"|"&amp;E1770,catClave,0))),"⚠ Subcategoría no corresponde",IF(AND(OR(P1770="Transferencia",P1770="Pago tarjeta"),K1770=""),"⚠ Falta cuenta destino",IF(AND(K1770&lt;&gt;"",P1770&lt;&gt;"Transferencia",P1770&lt;&gt;"Pago tarjeta"),"⚠ Destino solo aplica a transferencias",IF(AND(K1770&lt;&gt;"",K1770=Q1770),"⚠ Origen igual a destino",IF(AND(K1770&lt;&gt;"",ISNA(MATCH(K1770,ctaNombre,0))),"⚠ Destino no registrado",IF(AND(P1770="Pago tarjeta",AE1770&lt;&gt;"Tarjeta de crédito"),"⚠ El destino debe ser tarjeta de crédito",IF(AND(P1770="Gasto",E1770="Depósitos y retiros"),"⚠ Usa tipo Transferencia",IF(AND(P1770="Resultado trading",AD1770&lt;&gt;"Cuenta de trading"),"⚠ Usa una cuenta de trading",IF(AND(G1770&lt;=0,P1770&lt;&gt;"Ajuste",P1770&lt;&gt;"Resultado trading"),"⚠ El monto debe ser positivo","✓")))))))))))))))</f>
        <v/>
      </c>
      <c r="P1770" s="52">
        <f>IF(OR(B1770="",G1770=""),"",IF(C1770="","Gasto",C1770))</f>
        <v/>
      </c>
      <c r="Q1770" s="52">
        <f>IF(P1770="","",IF(J1770&lt;&gt;"",J1770,CuentaPred&amp;""))</f>
        <v/>
      </c>
      <c r="R1770" s="52">
        <f>IF(P1770="","",IF(ISNUMBER(I1770),I1770,TasaUSD))</f>
        <v/>
      </c>
      <c r="S1770" s="53">
        <f>IF(P1770="","",IF(H1770="USD",G1770*R1770,G1770))</f>
        <v/>
      </c>
      <c r="T1770" s="53">
        <f>IF(P1770="","",IF(H1770="USD",G1770,IF(R1770&gt;0,G1770/R1770,0)))</f>
        <v/>
      </c>
      <c r="U1770" s="53">
        <f>IF(P1770="","",IF(P1770="Gasto",S1770,IF(P1770="Reembolso",-S1770,0)))</f>
        <v/>
      </c>
      <c r="V1770" s="53">
        <f>IF(P1770="","",IF(P1770="Ingreso",S1770,0))</f>
        <v/>
      </c>
      <c r="W1770" s="53">
        <f>IF(P1770="","",IF(P1770="Resultado trading",S1770,0))</f>
        <v/>
      </c>
      <c r="X1770" s="52">
        <f>IF(OR(P1770="Gasto",P1770="Reembolso"),IF(M1770&lt;&gt;"",M1770,IFERROR(INDEX(catClasif,MATCH(D1770&amp;"|"&amp;E1770,catClave,0))&amp;"","Variable")),"")</f>
        <v/>
      </c>
      <c r="Y1770" s="52">
        <f>IF(P1770="","",IFERROR(INDEX(catGrupo,MATCH(D1770&amp;"|"&amp;E1770,catClave,0))&amp;"",""))</f>
        <v/>
      </c>
      <c r="Z1770" s="52">
        <f>IF(P1770="","",WEEKDAY(B1770,2))</f>
        <v/>
      </c>
      <c r="AA1770" s="52">
        <f>IF(P1770="","",IF(AND(P1770="Gasto",X1770="Variable",D1770&lt;&gt;catTrading,S1770&gt;0,S1770&lt;=Umbral),1,0))</f>
        <v/>
      </c>
      <c r="AB1770" s="52">
        <f>IF(OR(P1770="",Q1770=""),"",IFERROR(IF(INDEX(ctaVinc,MATCH(Q1770,ctaNombre,0))&amp;""&lt;&gt;"",INDEX(ctaVinc,MATCH(Q1770,ctaNombre,0))&amp;"",Q1770),Q1770))</f>
        <v/>
      </c>
      <c r="AC1770" s="52">
        <f>IF(OR(K1770="",AND(P1770&lt;&gt;"Transferencia",P1770&lt;&gt;"Pago tarjeta")),"",IFERROR(IF(INDEX(ctaVinc,MATCH(K1770,ctaNombre,0))&amp;""&lt;&gt;"",INDEX(ctaVinc,MATCH(K1770,ctaNombre,0))&amp;"",K1770),K1770))</f>
        <v/>
      </c>
      <c r="AD1770" s="52">
        <f>IF(AB1770="","",IFERROR(INDEX(ctaTipo,MATCH(AB1770,ctaNombre,0))&amp;"",""))</f>
        <v/>
      </c>
      <c r="AE1770" s="52">
        <f>IF(AC1770="","",IFERROR(INDEX(ctaTipo,MATCH(AC1770,ctaNombre,0))&amp;"",""))</f>
        <v/>
      </c>
      <c r="AF1770" s="53">
        <f>IF(OR(P1770="",AB1770=""),"",IF(OR(P1770="Gasto",P1770="Transferencia",P1770="Pago tarjeta"),-1,1)*IF(IFERROR(INDEX(ctaMoneda,MATCH(AB1770,ctaNombre,0))&amp;"","DOP")="USD",T1770,S1770))</f>
        <v/>
      </c>
      <c r="AG1770" s="53">
        <f>IF(AC1770="","",IF(IFERROR(INDEX(ctaMoneda,MATCH(AC1770,ctaNombre,0))&amp;"","DOP")="USD",T1770,S1770))</f>
        <v/>
      </c>
      <c r="AH1770" s="53">
        <f>IF(P1770="","",IF(AND(AD1770&lt;&gt;"",COUNTIFS(tcTipo,AD1770,tcLiq,"Sí")&gt;0),IF(OR(P1770="Gasto",P1770="Transferencia",P1770="Pago tarjeta"),-1,1)*S1770,0)+IF(AND(AE1770&lt;&gt;"",COUNTIFS(tcTipo,AE1770,tcLiq,"Sí")&gt;0),S1770,0))</f>
        <v/>
      </c>
      <c r="AI1770" s="52">
        <f>IF(OR(L1770="",P1770=""),"",IF(COUNTIFS(L$6:L1770,L1770,P$6:P1770,"?*")=1,MAX(AI$5:AI1769)+1,""))</f>
        <v/>
      </c>
    </row>
    <row r="1771">
      <c r="B1771" s="47" t="n"/>
      <c r="C1771" s="48" t="n"/>
      <c r="D1771" s="48" t="n"/>
      <c r="E1771" s="48" t="n"/>
      <c r="F1771" s="48" t="n"/>
      <c r="G1771" s="49" t="n"/>
      <c r="H1771" s="48" t="n"/>
      <c r="I1771" s="50" t="n"/>
      <c r="J1771" s="48" t="n"/>
      <c r="K1771" s="48" t="n"/>
      <c r="L1771" s="48" t="n"/>
      <c r="M1771" s="48" t="n"/>
      <c r="N1771" s="48" t="n"/>
      <c r="O1771" s="51">
        <f>IF(AND(B1771="",G1771="",C1771="",D1771="",J1771=""),"",IF(B1771="","⚠ Falta fecha",IF(G1771="","⚠ Falta monto",IF(Q1771="","⚠ Falta cuenta",IF(ISNA(MATCH(Q1771,ctaNombre,0)),"⚠ Cuenta no registrada",IF(AND(OR(P1771="Gasto",P1771="Reembolso"),D1771=""),"⚠ Falta categoría",IF(AND(D1771&lt;&gt;"",E1771&lt;&gt;"",ISNA(MATCH(D1771&amp;"|"&amp;E1771,catClave,0))),"⚠ Subcategoría no corresponde",IF(AND(OR(P1771="Transferencia",P1771="Pago tarjeta"),K1771=""),"⚠ Falta cuenta destino",IF(AND(K1771&lt;&gt;"",P1771&lt;&gt;"Transferencia",P1771&lt;&gt;"Pago tarjeta"),"⚠ Destino solo aplica a transferencias",IF(AND(K1771&lt;&gt;"",K1771=Q1771),"⚠ Origen igual a destino",IF(AND(K1771&lt;&gt;"",ISNA(MATCH(K1771,ctaNombre,0))),"⚠ Destino no registrado",IF(AND(P1771="Pago tarjeta",AE1771&lt;&gt;"Tarjeta de crédito"),"⚠ El destino debe ser tarjeta de crédito",IF(AND(P1771="Gasto",E1771="Depósitos y retiros"),"⚠ Usa tipo Transferencia",IF(AND(P1771="Resultado trading",AD1771&lt;&gt;"Cuenta de trading"),"⚠ Usa una cuenta de trading",IF(AND(G1771&lt;=0,P1771&lt;&gt;"Ajuste",P1771&lt;&gt;"Resultado trading"),"⚠ El monto debe ser positivo","✓")))))))))))))))</f>
        <v/>
      </c>
      <c r="P1771" s="52">
        <f>IF(OR(B1771="",G1771=""),"",IF(C1771="","Gasto",C1771))</f>
        <v/>
      </c>
      <c r="Q1771" s="52">
        <f>IF(P1771="","",IF(J1771&lt;&gt;"",J1771,CuentaPred&amp;""))</f>
        <v/>
      </c>
      <c r="R1771" s="52">
        <f>IF(P1771="","",IF(ISNUMBER(I1771),I1771,TasaUSD))</f>
        <v/>
      </c>
      <c r="S1771" s="53">
        <f>IF(P1771="","",IF(H1771="USD",G1771*R1771,G1771))</f>
        <v/>
      </c>
      <c r="T1771" s="53">
        <f>IF(P1771="","",IF(H1771="USD",G1771,IF(R1771&gt;0,G1771/R1771,0)))</f>
        <v/>
      </c>
      <c r="U1771" s="53">
        <f>IF(P1771="","",IF(P1771="Gasto",S1771,IF(P1771="Reembolso",-S1771,0)))</f>
        <v/>
      </c>
      <c r="V1771" s="53">
        <f>IF(P1771="","",IF(P1771="Ingreso",S1771,0))</f>
        <v/>
      </c>
      <c r="W1771" s="53">
        <f>IF(P1771="","",IF(P1771="Resultado trading",S1771,0))</f>
        <v/>
      </c>
      <c r="X1771" s="52">
        <f>IF(OR(P1771="Gasto",P1771="Reembolso"),IF(M1771&lt;&gt;"",M1771,IFERROR(INDEX(catClasif,MATCH(D1771&amp;"|"&amp;E1771,catClave,0))&amp;"","Variable")),"")</f>
        <v/>
      </c>
      <c r="Y1771" s="52">
        <f>IF(P1771="","",IFERROR(INDEX(catGrupo,MATCH(D1771&amp;"|"&amp;E1771,catClave,0))&amp;"",""))</f>
        <v/>
      </c>
      <c r="Z1771" s="52">
        <f>IF(P1771="","",WEEKDAY(B1771,2))</f>
        <v/>
      </c>
      <c r="AA1771" s="52">
        <f>IF(P1771="","",IF(AND(P1771="Gasto",X1771="Variable",D1771&lt;&gt;catTrading,S1771&gt;0,S1771&lt;=Umbral),1,0))</f>
        <v/>
      </c>
      <c r="AB1771" s="52">
        <f>IF(OR(P1771="",Q1771=""),"",IFERROR(IF(INDEX(ctaVinc,MATCH(Q1771,ctaNombre,0))&amp;""&lt;&gt;"",INDEX(ctaVinc,MATCH(Q1771,ctaNombre,0))&amp;"",Q1771),Q1771))</f>
        <v/>
      </c>
      <c r="AC1771" s="52">
        <f>IF(OR(K1771="",AND(P1771&lt;&gt;"Transferencia",P1771&lt;&gt;"Pago tarjeta")),"",IFERROR(IF(INDEX(ctaVinc,MATCH(K1771,ctaNombre,0))&amp;""&lt;&gt;"",INDEX(ctaVinc,MATCH(K1771,ctaNombre,0))&amp;"",K1771),K1771))</f>
        <v/>
      </c>
      <c r="AD1771" s="52">
        <f>IF(AB1771="","",IFERROR(INDEX(ctaTipo,MATCH(AB1771,ctaNombre,0))&amp;"",""))</f>
        <v/>
      </c>
      <c r="AE1771" s="52">
        <f>IF(AC1771="","",IFERROR(INDEX(ctaTipo,MATCH(AC1771,ctaNombre,0))&amp;"",""))</f>
        <v/>
      </c>
      <c r="AF1771" s="53">
        <f>IF(OR(P1771="",AB1771=""),"",IF(OR(P1771="Gasto",P1771="Transferencia",P1771="Pago tarjeta"),-1,1)*IF(IFERROR(INDEX(ctaMoneda,MATCH(AB1771,ctaNombre,0))&amp;"","DOP")="USD",T1771,S1771))</f>
        <v/>
      </c>
      <c r="AG1771" s="53">
        <f>IF(AC1771="","",IF(IFERROR(INDEX(ctaMoneda,MATCH(AC1771,ctaNombre,0))&amp;"","DOP")="USD",T1771,S1771))</f>
        <v/>
      </c>
      <c r="AH1771" s="53">
        <f>IF(P1771="","",IF(AND(AD1771&lt;&gt;"",COUNTIFS(tcTipo,AD1771,tcLiq,"Sí")&gt;0),IF(OR(P1771="Gasto",P1771="Transferencia",P1771="Pago tarjeta"),-1,1)*S1771,0)+IF(AND(AE1771&lt;&gt;"",COUNTIFS(tcTipo,AE1771,tcLiq,"Sí")&gt;0),S1771,0))</f>
        <v/>
      </c>
      <c r="AI1771" s="52">
        <f>IF(OR(L1771="",P1771=""),"",IF(COUNTIFS(L$6:L1771,L1771,P$6:P1771,"?*")=1,MAX(AI$5:AI1770)+1,""))</f>
        <v/>
      </c>
    </row>
    <row r="1772">
      <c r="B1772" s="47" t="n"/>
      <c r="C1772" s="48" t="n"/>
      <c r="D1772" s="48" t="n"/>
      <c r="E1772" s="48" t="n"/>
      <c r="F1772" s="48" t="n"/>
      <c r="G1772" s="49" t="n"/>
      <c r="H1772" s="48" t="n"/>
      <c r="I1772" s="50" t="n"/>
      <c r="J1772" s="48" t="n"/>
      <c r="K1772" s="48" t="n"/>
      <c r="L1772" s="48" t="n"/>
      <c r="M1772" s="48" t="n"/>
      <c r="N1772" s="48" t="n"/>
      <c r="O1772" s="51">
        <f>IF(AND(B1772="",G1772="",C1772="",D1772="",J1772=""),"",IF(B1772="","⚠ Falta fecha",IF(G1772="","⚠ Falta monto",IF(Q1772="","⚠ Falta cuenta",IF(ISNA(MATCH(Q1772,ctaNombre,0)),"⚠ Cuenta no registrada",IF(AND(OR(P1772="Gasto",P1772="Reembolso"),D1772=""),"⚠ Falta categoría",IF(AND(D1772&lt;&gt;"",E1772&lt;&gt;"",ISNA(MATCH(D1772&amp;"|"&amp;E1772,catClave,0))),"⚠ Subcategoría no corresponde",IF(AND(OR(P1772="Transferencia",P1772="Pago tarjeta"),K1772=""),"⚠ Falta cuenta destino",IF(AND(K1772&lt;&gt;"",P1772&lt;&gt;"Transferencia",P1772&lt;&gt;"Pago tarjeta"),"⚠ Destino solo aplica a transferencias",IF(AND(K1772&lt;&gt;"",K1772=Q1772),"⚠ Origen igual a destino",IF(AND(K1772&lt;&gt;"",ISNA(MATCH(K1772,ctaNombre,0))),"⚠ Destino no registrado",IF(AND(P1772="Pago tarjeta",AE1772&lt;&gt;"Tarjeta de crédito"),"⚠ El destino debe ser tarjeta de crédito",IF(AND(P1772="Gasto",E1772="Depósitos y retiros"),"⚠ Usa tipo Transferencia",IF(AND(P1772="Resultado trading",AD1772&lt;&gt;"Cuenta de trading"),"⚠ Usa una cuenta de trading",IF(AND(G1772&lt;=0,P1772&lt;&gt;"Ajuste",P1772&lt;&gt;"Resultado trading"),"⚠ El monto debe ser positivo","✓")))))))))))))))</f>
        <v/>
      </c>
      <c r="P1772" s="52">
        <f>IF(OR(B1772="",G1772=""),"",IF(C1772="","Gasto",C1772))</f>
        <v/>
      </c>
      <c r="Q1772" s="52">
        <f>IF(P1772="","",IF(J1772&lt;&gt;"",J1772,CuentaPred&amp;""))</f>
        <v/>
      </c>
      <c r="R1772" s="52">
        <f>IF(P1772="","",IF(ISNUMBER(I1772),I1772,TasaUSD))</f>
        <v/>
      </c>
      <c r="S1772" s="53">
        <f>IF(P1772="","",IF(H1772="USD",G1772*R1772,G1772))</f>
        <v/>
      </c>
      <c r="T1772" s="53">
        <f>IF(P1772="","",IF(H1772="USD",G1772,IF(R1772&gt;0,G1772/R1772,0)))</f>
        <v/>
      </c>
      <c r="U1772" s="53">
        <f>IF(P1772="","",IF(P1772="Gasto",S1772,IF(P1772="Reembolso",-S1772,0)))</f>
        <v/>
      </c>
      <c r="V1772" s="53">
        <f>IF(P1772="","",IF(P1772="Ingreso",S1772,0))</f>
        <v/>
      </c>
      <c r="W1772" s="53">
        <f>IF(P1772="","",IF(P1772="Resultado trading",S1772,0))</f>
        <v/>
      </c>
      <c r="X1772" s="52">
        <f>IF(OR(P1772="Gasto",P1772="Reembolso"),IF(M1772&lt;&gt;"",M1772,IFERROR(INDEX(catClasif,MATCH(D1772&amp;"|"&amp;E1772,catClave,0))&amp;"","Variable")),"")</f>
        <v/>
      </c>
      <c r="Y1772" s="52">
        <f>IF(P1772="","",IFERROR(INDEX(catGrupo,MATCH(D1772&amp;"|"&amp;E1772,catClave,0))&amp;"",""))</f>
        <v/>
      </c>
      <c r="Z1772" s="52">
        <f>IF(P1772="","",WEEKDAY(B1772,2))</f>
        <v/>
      </c>
      <c r="AA1772" s="52">
        <f>IF(P1772="","",IF(AND(P1772="Gasto",X1772="Variable",D1772&lt;&gt;catTrading,S1772&gt;0,S1772&lt;=Umbral),1,0))</f>
        <v/>
      </c>
      <c r="AB1772" s="52">
        <f>IF(OR(P1772="",Q1772=""),"",IFERROR(IF(INDEX(ctaVinc,MATCH(Q1772,ctaNombre,0))&amp;""&lt;&gt;"",INDEX(ctaVinc,MATCH(Q1772,ctaNombre,0))&amp;"",Q1772),Q1772))</f>
        <v/>
      </c>
      <c r="AC1772" s="52">
        <f>IF(OR(K1772="",AND(P1772&lt;&gt;"Transferencia",P1772&lt;&gt;"Pago tarjeta")),"",IFERROR(IF(INDEX(ctaVinc,MATCH(K1772,ctaNombre,0))&amp;""&lt;&gt;"",INDEX(ctaVinc,MATCH(K1772,ctaNombre,0))&amp;"",K1772),K1772))</f>
        <v/>
      </c>
      <c r="AD1772" s="52">
        <f>IF(AB1772="","",IFERROR(INDEX(ctaTipo,MATCH(AB1772,ctaNombre,0))&amp;"",""))</f>
        <v/>
      </c>
      <c r="AE1772" s="52">
        <f>IF(AC1772="","",IFERROR(INDEX(ctaTipo,MATCH(AC1772,ctaNombre,0))&amp;"",""))</f>
        <v/>
      </c>
      <c r="AF1772" s="53">
        <f>IF(OR(P1772="",AB1772=""),"",IF(OR(P1772="Gasto",P1772="Transferencia",P1772="Pago tarjeta"),-1,1)*IF(IFERROR(INDEX(ctaMoneda,MATCH(AB1772,ctaNombre,0))&amp;"","DOP")="USD",T1772,S1772))</f>
        <v/>
      </c>
      <c r="AG1772" s="53">
        <f>IF(AC1772="","",IF(IFERROR(INDEX(ctaMoneda,MATCH(AC1772,ctaNombre,0))&amp;"","DOP")="USD",T1772,S1772))</f>
        <v/>
      </c>
      <c r="AH1772" s="53">
        <f>IF(P1772="","",IF(AND(AD1772&lt;&gt;"",COUNTIFS(tcTipo,AD1772,tcLiq,"Sí")&gt;0),IF(OR(P1772="Gasto",P1772="Transferencia",P1772="Pago tarjeta"),-1,1)*S1772,0)+IF(AND(AE1772&lt;&gt;"",COUNTIFS(tcTipo,AE1772,tcLiq,"Sí")&gt;0),S1772,0))</f>
        <v/>
      </c>
      <c r="AI1772" s="52">
        <f>IF(OR(L1772="",P1772=""),"",IF(COUNTIFS(L$6:L1772,L1772,P$6:P1772,"?*")=1,MAX(AI$5:AI1771)+1,""))</f>
        <v/>
      </c>
    </row>
    <row r="1773">
      <c r="B1773" s="47" t="n"/>
      <c r="C1773" s="48" t="n"/>
      <c r="D1773" s="48" t="n"/>
      <c r="E1773" s="48" t="n"/>
      <c r="F1773" s="48" t="n"/>
      <c r="G1773" s="49" t="n"/>
      <c r="H1773" s="48" t="n"/>
      <c r="I1773" s="50" t="n"/>
      <c r="J1773" s="48" t="n"/>
      <c r="K1773" s="48" t="n"/>
      <c r="L1773" s="48" t="n"/>
      <c r="M1773" s="48" t="n"/>
      <c r="N1773" s="48" t="n"/>
      <c r="O1773" s="51">
        <f>IF(AND(B1773="",G1773="",C1773="",D1773="",J1773=""),"",IF(B1773="","⚠ Falta fecha",IF(G1773="","⚠ Falta monto",IF(Q1773="","⚠ Falta cuenta",IF(ISNA(MATCH(Q1773,ctaNombre,0)),"⚠ Cuenta no registrada",IF(AND(OR(P1773="Gasto",P1773="Reembolso"),D1773=""),"⚠ Falta categoría",IF(AND(D1773&lt;&gt;"",E1773&lt;&gt;"",ISNA(MATCH(D1773&amp;"|"&amp;E1773,catClave,0))),"⚠ Subcategoría no corresponde",IF(AND(OR(P1773="Transferencia",P1773="Pago tarjeta"),K1773=""),"⚠ Falta cuenta destino",IF(AND(K1773&lt;&gt;"",P1773&lt;&gt;"Transferencia",P1773&lt;&gt;"Pago tarjeta"),"⚠ Destino solo aplica a transferencias",IF(AND(K1773&lt;&gt;"",K1773=Q1773),"⚠ Origen igual a destino",IF(AND(K1773&lt;&gt;"",ISNA(MATCH(K1773,ctaNombre,0))),"⚠ Destino no registrado",IF(AND(P1773="Pago tarjeta",AE1773&lt;&gt;"Tarjeta de crédito"),"⚠ El destino debe ser tarjeta de crédito",IF(AND(P1773="Gasto",E1773="Depósitos y retiros"),"⚠ Usa tipo Transferencia",IF(AND(P1773="Resultado trading",AD1773&lt;&gt;"Cuenta de trading"),"⚠ Usa una cuenta de trading",IF(AND(G1773&lt;=0,P1773&lt;&gt;"Ajuste",P1773&lt;&gt;"Resultado trading"),"⚠ El monto debe ser positivo","✓")))))))))))))))</f>
        <v/>
      </c>
      <c r="P1773" s="52">
        <f>IF(OR(B1773="",G1773=""),"",IF(C1773="","Gasto",C1773))</f>
        <v/>
      </c>
      <c r="Q1773" s="52">
        <f>IF(P1773="","",IF(J1773&lt;&gt;"",J1773,CuentaPred&amp;""))</f>
        <v/>
      </c>
      <c r="R1773" s="52">
        <f>IF(P1773="","",IF(ISNUMBER(I1773),I1773,TasaUSD))</f>
        <v/>
      </c>
      <c r="S1773" s="53">
        <f>IF(P1773="","",IF(H1773="USD",G1773*R1773,G1773))</f>
        <v/>
      </c>
      <c r="T1773" s="53">
        <f>IF(P1773="","",IF(H1773="USD",G1773,IF(R1773&gt;0,G1773/R1773,0)))</f>
        <v/>
      </c>
      <c r="U1773" s="53">
        <f>IF(P1773="","",IF(P1773="Gasto",S1773,IF(P1773="Reembolso",-S1773,0)))</f>
        <v/>
      </c>
      <c r="V1773" s="53">
        <f>IF(P1773="","",IF(P1773="Ingreso",S1773,0))</f>
        <v/>
      </c>
      <c r="W1773" s="53">
        <f>IF(P1773="","",IF(P1773="Resultado trading",S1773,0))</f>
        <v/>
      </c>
      <c r="X1773" s="52">
        <f>IF(OR(P1773="Gasto",P1773="Reembolso"),IF(M1773&lt;&gt;"",M1773,IFERROR(INDEX(catClasif,MATCH(D1773&amp;"|"&amp;E1773,catClave,0))&amp;"","Variable")),"")</f>
        <v/>
      </c>
      <c r="Y1773" s="52">
        <f>IF(P1773="","",IFERROR(INDEX(catGrupo,MATCH(D1773&amp;"|"&amp;E1773,catClave,0))&amp;"",""))</f>
        <v/>
      </c>
      <c r="Z1773" s="52">
        <f>IF(P1773="","",WEEKDAY(B1773,2))</f>
        <v/>
      </c>
      <c r="AA1773" s="52">
        <f>IF(P1773="","",IF(AND(P1773="Gasto",X1773="Variable",D1773&lt;&gt;catTrading,S1773&gt;0,S1773&lt;=Umbral),1,0))</f>
        <v/>
      </c>
      <c r="AB1773" s="52">
        <f>IF(OR(P1773="",Q1773=""),"",IFERROR(IF(INDEX(ctaVinc,MATCH(Q1773,ctaNombre,0))&amp;""&lt;&gt;"",INDEX(ctaVinc,MATCH(Q1773,ctaNombre,0))&amp;"",Q1773),Q1773))</f>
        <v/>
      </c>
      <c r="AC1773" s="52">
        <f>IF(OR(K1773="",AND(P1773&lt;&gt;"Transferencia",P1773&lt;&gt;"Pago tarjeta")),"",IFERROR(IF(INDEX(ctaVinc,MATCH(K1773,ctaNombre,0))&amp;""&lt;&gt;"",INDEX(ctaVinc,MATCH(K1773,ctaNombre,0))&amp;"",K1773),K1773))</f>
        <v/>
      </c>
      <c r="AD1773" s="52">
        <f>IF(AB1773="","",IFERROR(INDEX(ctaTipo,MATCH(AB1773,ctaNombre,0))&amp;"",""))</f>
        <v/>
      </c>
      <c r="AE1773" s="52">
        <f>IF(AC1773="","",IFERROR(INDEX(ctaTipo,MATCH(AC1773,ctaNombre,0))&amp;"",""))</f>
        <v/>
      </c>
      <c r="AF1773" s="53">
        <f>IF(OR(P1773="",AB1773=""),"",IF(OR(P1773="Gasto",P1773="Transferencia",P1773="Pago tarjeta"),-1,1)*IF(IFERROR(INDEX(ctaMoneda,MATCH(AB1773,ctaNombre,0))&amp;"","DOP")="USD",T1773,S1773))</f>
        <v/>
      </c>
      <c r="AG1773" s="53">
        <f>IF(AC1773="","",IF(IFERROR(INDEX(ctaMoneda,MATCH(AC1773,ctaNombre,0))&amp;"","DOP")="USD",T1773,S1773))</f>
        <v/>
      </c>
      <c r="AH1773" s="53">
        <f>IF(P1773="","",IF(AND(AD1773&lt;&gt;"",COUNTIFS(tcTipo,AD1773,tcLiq,"Sí")&gt;0),IF(OR(P1773="Gasto",P1773="Transferencia",P1773="Pago tarjeta"),-1,1)*S1773,0)+IF(AND(AE1773&lt;&gt;"",COUNTIFS(tcTipo,AE1773,tcLiq,"Sí")&gt;0),S1773,0))</f>
        <v/>
      </c>
      <c r="AI1773" s="52">
        <f>IF(OR(L1773="",P1773=""),"",IF(COUNTIFS(L$6:L1773,L1773,P$6:P1773,"?*")=1,MAX(AI$5:AI1772)+1,""))</f>
        <v/>
      </c>
    </row>
    <row r="1774">
      <c r="B1774" s="47" t="n"/>
      <c r="C1774" s="48" t="n"/>
      <c r="D1774" s="48" t="n"/>
      <c r="E1774" s="48" t="n"/>
      <c r="F1774" s="48" t="n"/>
      <c r="G1774" s="49" t="n"/>
      <c r="H1774" s="48" t="n"/>
      <c r="I1774" s="50" t="n"/>
      <c r="J1774" s="48" t="n"/>
      <c r="K1774" s="48" t="n"/>
      <c r="L1774" s="48" t="n"/>
      <c r="M1774" s="48" t="n"/>
      <c r="N1774" s="48" t="n"/>
      <c r="O1774" s="51">
        <f>IF(AND(B1774="",G1774="",C1774="",D1774="",J1774=""),"",IF(B1774="","⚠ Falta fecha",IF(G1774="","⚠ Falta monto",IF(Q1774="","⚠ Falta cuenta",IF(ISNA(MATCH(Q1774,ctaNombre,0)),"⚠ Cuenta no registrada",IF(AND(OR(P1774="Gasto",P1774="Reembolso"),D1774=""),"⚠ Falta categoría",IF(AND(D1774&lt;&gt;"",E1774&lt;&gt;"",ISNA(MATCH(D1774&amp;"|"&amp;E1774,catClave,0))),"⚠ Subcategoría no corresponde",IF(AND(OR(P1774="Transferencia",P1774="Pago tarjeta"),K1774=""),"⚠ Falta cuenta destino",IF(AND(K1774&lt;&gt;"",P1774&lt;&gt;"Transferencia",P1774&lt;&gt;"Pago tarjeta"),"⚠ Destino solo aplica a transferencias",IF(AND(K1774&lt;&gt;"",K1774=Q1774),"⚠ Origen igual a destino",IF(AND(K1774&lt;&gt;"",ISNA(MATCH(K1774,ctaNombre,0))),"⚠ Destino no registrado",IF(AND(P1774="Pago tarjeta",AE1774&lt;&gt;"Tarjeta de crédito"),"⚠ El destino debe ser tarjeta de crédito",IF(AND(P1774="Gasto",E1774="Depósitos y retiros"),"⚠ Usa tipo Transferencia",IF(AND(P1774="Resultado trading",AD1774&lt;&gt;"Cuenta de trading"),"⚠ Usa una cuenta de trading",IF(AND(G1774&lt;=0,P1774&lt;&gt;"Ajuste",P1774&lt;&gt;"Resultado trading"),"⚠ El monto debe ser positivo","✓")))))))))))))))</f>
        <v/>
      </c>
      <c r="P1774" s="52">
        <f>IF(OR(B1774="",G1774=""),"",IF(C1774="","Gasto",C1774))</f>
        <v/>
      </c>
      <c r="Q1774" s="52">
        <f>IF(P1774="","",IF(J1774&lt;&gt;"",J1774,CuentaPred&amp;""))</f>
        <v/>
      </c>
      <c r="R1774" s="52">
        <f>IF(P1774="","",IF(ISNUMBER(I1774),I1774,TasaUSD))</f>
        <v/>
      </c>
      <c r="S1774" s="53">
        <f>IF(P1774="","",IF(H1774="USD",G1774*R1774,G1774))</f>
        <v/>
      </c>
      <c r="T1774" s="53">
        <f>IF(P1774="","",IF(H1774="USD",G1774,IF(R1774&gt;0,G1774/R1774,0)))</f>
        <v/>
      </c>
      <c r="U1774" s="53">
        <f>IF(P1774="","",IF(P1774="Gasto",S1774,IF(P1774="Reembolso",-S1774,0)))</f>
        <v/>
      </c>
      <c r="V1774" s="53">
        <f>IF(P1774="","",IF(P1774="Ingreso",S1774,0))</f>
        <v/>
      </c>
      <c r="W1774" s="53">
        <f>IF(P1774="","",IF(P1774="Resultado trading",S1774,0))</f>
        <v/>
      </c>
      <c r="X1774" s="52">
        <f>IF(OR(P1774="Gasto",P1774="Reembolso"),IF(M1774&lt;&gt;"",M1774,IFERROR(INDEX(catClasif,MATCH(D1774&amp;"|"&amp;E1774,catClave,0))&amp;"","Variable")),"")</f>
        <v/>
      </c>
      <c r="Y1774" s="52">
        <f>IF(P1774="","",IFERROR(INDEX(catGrupo,MATCH(D1774&amp;"|"&amp;E1774,catClave,0))&amp;"",""))</f>
        <v/>
      </c>
      <c r="Z1774" s="52">
        <f>IF(P1774="","",WEEKDAY(B1774,2))</f>
        <v/>
      </c>
      <c r="AA1774" s="52">
        <f>IF(P1774="","",IF(AND(P1774="Gasto",X1774="Variable",D1774&lt;&gt;catTrading,S1774&gt;0,S1774&lt;=Umbral),1,0))</f>
        <v/>
      </c>
      <c r="AB1774" s="52">
        <f>IF(OR(P1774="",Q1774=""),"",IFERROR(IF(INDEX(ctaVinc,MATCH(Q1774,ctaNombre,0))&amp;""&lt;&gt;"",INDEX(ctaVinc,MATCH(Q1774,ctaNombre,0))&amp;"",Q1774),Q1774))</f>
        <v/>
      </c>
      <c r="AC1774" s="52">
        <f>IF(OR(K1774="",AND(P1774&lt;&gt;"Transferencia",P1774&lt;&gt;"Pago tarjeta")),"",IFERROR(IF(INDEX(ctaVinc,MATCH(K1774,ctaNombre,0))&amp;""&lt;&gt;"",INDEX(ctaVinc,MATCH(K1774,ctaNombre,0))&amp;"",K1774),K1774))</f>
        <v/>
      </c>
      <c r="AD1774" s="52">
        <f>IF(AB1774="","",IFERROR(INDEX(ctaTipo,MATCH(AB1774,ctaNombre,0))&amp;"",""))</f>
        <v/>
      </c>
      <c r="AE1774" s="52">
        <f>IF(AC1774="","",IFERROR(INDEX(ctaTipo,MATCH(AC1774,ctaNombre,0))&amp;"",""))</f>
        <v/>
      </c>
      <c r="AF1774" s="53">
        <f>IF(OR(P1774="",AB1774=""),"",IF(OR(P1774="Gasto",P1774="Transferencia",P1774="Pago tarjeta"),-1,1)*IF(IFERROR(INDEX(ctaMoneda,MATCH(AB1774,ctaNombre,0))&amp;"","DOP")="USD",T1774,S1774))</f>
        <v/>
      </c>
      <c r="AG1774" s="53">
        <f>IF(AC1774="","",IF(IFERROR(INDEX(ctaMoneda,MATCH(AC1774,ctaNombre,0))&amp;"","DOP")="USD",T1774,S1774))</f>
        <v/>
      </c>
      <c r="AH1774" s="53">
        <f>IF(P1774="","",IF(AND(AD1774&lt;&gt;"",COUNTIFS(tcTipo,AD1774,tcLiq,"Sí")&gt;0),IF(OR(P1774="Gasto",P1774="Transferencia",P1774="Pago tarjeta"),-1,1)*S1774,0)+IF(AND(AE1774&lt;&gt;"",COUNTIFS(tcTipo,AE1774,tcLiq,"Sí")&gt;0),S1774,0))</f>
        <v/>
      </c>
      <c r="AI1774" s="52">
        <f>IF(OR(L1774="",P1774=""),"",IF(COUNTIFS(L$6:L1774,L1774,P$6:P1774,"?*")=1,MAX(AI$5:AI1773)+1,""))</f>
        <v/>
      </c>
    </row>
    <row r="1775">
      <c r="B1775" s="47" t="n"/>
      <c r="C1775" s="48" t="n"/>
      <c r="D1775" s="48" t="n"/>
      <c r="E1775" s="48" t="n"/>
      <c r="F1775" s="48" t="n"/>
      <c r="G1775" s="49" t="n"/>
      <c r="H1775" s="48" t="n"/>
      <c r="I1775" s="50" t="n"/>
      <c r="J1775" s="48" t="n"/>
      <c r="K1775" s="48" t="n"/>
      <c r="L1775" s="48" t="n"/>
      <c r="M1775" s="48" t="n"/>
      <c r="N1775" s="48" t="n"/>
      <c r="O1775" s="51">
        <f>IF(AND(B1775="",G1775="",C1775="",D1775="",J1775=""),"",IF(B1775="","⚠ Falta fecha",IF(G1775="","⚠ Falta monto",IF(Q1775="","⚠ Falta cuenta",IF(ISNA(MATCH(Q1775,ctaNombre,0)),"⚠ Cuenta no registrada",IF(AND(OR(P1775="Gasto",P1775="Reembolso"),D1775=""),"⚠ Falta categoría",IF(AND(D1775&lt;&gt;"",E1775&lt;&gt;"",ISNA(MATCH(D1775&amp;"|"&amp;E1775,catClave,0))),"⚠ Subcategoría no corresponde",IF(AND(OR(P1775="Transferencia",P1775="Pago tarjeta"),K1775=""),"⚠ Falta cuenta destino",IF(AND(K1775&lt;&gt;"",P1775&lt;&gt;"Transferencia",P1775&lt;&gt;"Pago tarjeta"),"⚠ Destino solo aplica a transferencias",IF(AND(K1775&lt;&gt;"",K1775=Q1775),"⚠ Origen igual a destino",IF(AND(K1775&lt;&gt;"",ISNA(MATCH(K1775,ctaNombre,0))),"⚠ Destino no registrado",IF(AND(P1775="Pago tarjeta",AE1775&lt;&gt;"Tarjeta de crédito"),"⚠ El destino debe ser tarjeta de crédito",IF(AND(P1775="Gasto",E1775="Depósitos y retiros"),"⚠ Usa tipo Transferencia",IF(AND(P1775="Resultado trading",AD1775&lt;&gt;"Cuenta de trading"),"⚠ Usa una cuenta de trading",IF(AND(G1775&lt;=0,P1775&lt;&gt;"Ajuste",P1775&lt;&gt;"Resultado trading"),"⚠ El monto debe ser positivo","✓")))))))))))))))</f>
        <v/>
      </c>
      <c r="P1775" s="52">
        <f>IF(OR(B1775="",G1775=""),"",IF(C1775="","Gasto",C1775))</f>
        <v/>
      </c>
      <c r="Q1775" s="52">
        <f>IF(P1775="","",IF(J1775&lt;&gt;"",J1775,CuentaPred&amp;""))</f>
        <v/>
      </c>
      <c r="R1775" s="52">
        <f>IF(P1775="","",IF(ISNUMBER(I1775),I1775,TasaUSD))</f>
        <v/>
      </c>
      <c r="S1775" s="53">
        <f>IF(P1775="","",IF(H1775="USD",G1775*R1775,G1775))</f>
        <v/>
      </c>
      <c r="T1775" s="53">
        <f>IF(P1775="","",IF(H1775="USD",G1775,IF(R1775&gt;0,G1775/R1775,0)))</f>
        <v/>
      </c>
      <c r="U1775" s="53">
        <f>IF(P1775="","",IF(P1775="Gasto",S1775,IF(P1775="Reembolso",-S1775,0)))</f>
        <v/>
      </c>
      <c r="V1775" s="53">
        <f>IF(P1775="","",IF(P1775="Ingreso",S1775,0))</f>
        <v/>
      </c>
      <c r="W1775" s="53">
        <f>IF(P1775="","",IF(P1775="Resultado trading",S1775,0))</f>
        <v/>
      </c>
      <c r="X1775" s="52">
        <f>IF(OR(P1775="Gasto",P1775="Reembolso"),IF(M1775&lt;&gt;"",M1775,IFERROR(INDEX(catClasif,MATCH(D1775&amp;"|"&amp;E1775,catClave,0))&amp;"","Variable")),"")</f>
        <v/>
      </c>
      <c r="Y1775" s="52">
        <f>IF(P1775="","",IFERROR(INDEX(catGrupo,MATCH(D1775&amp;"|"&amp;E1775,catClave,0))&amp;"",""))</f>
        <v/>
      </c>
      <c r="Z1775" s="52">
        <f>IF(P1775="","",WEEKDAY(B1775,2))</f>
        <v/>
      </c>
      <c r="AA1775" s="52">
        <f>IF(P1775="","",IF(AND(P1775="Gasto",X1775="Variable",D1775&lt;&gt;catTrading,S1775&gt;0,S1775&lt;=Umbral),1,0))</f>
        <v/>
      </c>
      <c r="AB1775" s="52">
        <f>IF(OR(P1775="",Q1775=""),"",IFERROR(IF(INDEX(ctaVinc,MATCH(Q1775,ctaNombre,0))&amp;""&lt;&gt;"",INDEX(ctaVinc,MATCH(Q1775,ctaNombre,0))&amp;"",Q1775),Q1775))</f>
        <v/>
      </c>
      <c r="AC1775" s="52">
        <f>IF(OR(K1775="",AND(P1775&lt;&gt;"Transferencia",P1775&lt;&gt;"Pago tarjeta")),"",IFERROR(IF(INDEX(ctaVinc,MATCH(K1775,ctaNombre,0))&amp;""&lt;&gt;"",INDEX(ctaVinc,MATCH(K1775,ctaNombre,0))&amp;"",K1775),K1775))</f>
        <v/>
      </c>
      <c r="AD1775" s="52">
        <f>IF(AB1775="","",IFERROR(INDEX(ctaTipo,MATCH(AB1775,ctaNombre,0))&amp;"",""))</f>
        <v/>
      </c>
      <c r="AE1775" s="52">
        <f>IF(AC1775="","",IFERROR(INDEX(ctaTipo,MATCH(AC1775,ctaNombre,0))&amp;"",""))</f>
        <v/>
      </c>
      <c r="AF1775" s="53">
        <f>IF(OR(P1775="",AB1775=""),"",IF(OR(P1775="Gasto",P1775="Transferencia",P1775="Pago tarjeta"),-1,1)*IF(IFERROR(INDEX(ctaMoneda,MATCH(AB1775,ctaNombre,0))&amp;"","DOP")="USD",T1775,S1775))</f>
        <v/>
      </c>
      <c r="AG1775" s="53">
        <f>IF(AC1775="","",IF(IFERROR(INDEX(ctaMoneda,MATCH(AC1775,ctaNombre,0))&amp;"","DOP")="USD",T1775,S1775))</f>
        <v/>
      </c>
      <c r="AH1775" s="53">
        <f>IF(P1775="","",IF(AND(AD1775&lt;&gt;"",COUNTIFS(tcTipo,AD1775,tcLiq,"Sí")&gt;0),IF(OR(P1775="Gasto",P1775="Transferencia",P1775="Pago tarjeta"),-1,1)*S1775,0)+IF(AND(AE1775&lt;&gt;"",COUNTIFS(tcTipo,AE1775,tcLiq,"Sí")&gt;0),S1775,0))</f>
        <v/>
      </c>
      <c r="AI1775" s="52">
        <f>IF(OR(L1775="",P1775=""),"",IF(COUNTIFS(L$6:L1775,L1775,P$6:P1775,"?*")=1,MAX(AI$5:AI1774)+1,""))</f>
        <v/>
      </c>
    </row>
    <row r="1776">
      <c r="B1776" s="47" t="n"/>
      <c r="C1776" s="48" t="n"/>
      <c r="D1776" s="48" t="n"/>
      <c r="E1776" s="48" t="n"/>
      <c r="F1776" s="48" t="n"/>
      <c r="G1776" s="49" t="n"/>
      <c r="H1776" s="48" t="n"/>
      <c r="I1776" s="50" t="n"/>
      <c r="J1776" s="48" t="n"/>
      <c r="K1776" s="48" t="n"/>
      <c r="L1776" s="48" t="n"/>
      <c r="M1776" s="48" t="n"/>
      <c r="N1776" s="48" t="n"/>
      <c r="O1776" s="51">
        <f>IF(AND(B1776="",G1776="",C1776="",D1776="",J1776=""),"",IF(B1776="","⚠ Falta fecha",IF(G1776="","⚠ Falta monto",IF(Q1776="","⚠ Falta cuenta",IF(ISNA(MATCH(Q1776,ctaNombre,0)),"⚠ Cuenta no registrada",IF(AND(OR(P1776="Gasto",P1776="Reembolso"),D1776=""),"⚠ Falta categoría",IF(AND(D1776&lt;&gt;"",E1776&lt;&gt;"",ISNA(MATCH(D1776&amp;"|"&amp;E1776,catClave,0))),"⚠ Subcategoría no corresponde",IF(AND(OR(P1776="Transferencia",P1776="Pago tarjeta"),K1776=""),"⚠ Falta cuenta destino",IF(AND(K1776&lt;&gt;"",P1776&lt;&gt;"Transferencia",P1776&lt;&gt;"Pago tarjeta"),"⚠ Destino solo aplica a transferencias",IF(AND(K1776&lt;&gt;"",K1776=Q1776),"⚠ Origen igual a destino",IF(AND(K1776&lt;&gt;"",ISNA(MATCH(K1776,ctaNombre,0))),"⚠ Destino no registrado",IF(AND(P1776="Pago tarjeta",AE1776&lt;&gt;"Tarjeta de crédito"),"⚠ El destino debe ser tarjeta de crédito",IF(AND(P1776="Gasto",E1776="Depósitos y retiros"),"⚠ Usa tipo Transferencia",IF(AND(P1776="Resultado trading",AD1776&lt;&gt;"Cuenta de trading"),"⚠ Usa una cuenta de trading",IF(AND(G1776&lt;=0,P1776&lt;&gt;"Ajuste",P1776&lt;&gt;"Resultado trading"),"⚠ El monto debe ser positivo","✓")))))))))))))))</f>
        <v/>
      </c>
      <c r="P1776" s="52">
        <f>IF(OR(B1776="",G1776=""),"",IF(C1776="","Gasto",C1776))</f>
        <v/>
      </c>
      <c r="Q1776" s="52">
        <f>IF(P1776="","",IF(J1776&lt;&gt;"",J1776,CuentaPred&amp;""))</f>
        <v/>
      </c>
      <c r="R1776" s="52">
        <f>IF(P1776="","",IF(ISNUMBER(I1776),I1776,TasaUSD))</f>
        <v/>
      </c>
      <c r="S1776" s="53">
        <f>IF(P1776="","",IF(H1776="USD",G1776*R1776,G1776))</f>
        <v/>
      </c>
      <c r="T1776" s="53">
        <f>IF(P1776="","",IF(H1776="USD",G1776,IF(R1776&gt;0,G1776/R1776,0)))</f>
        <v/>
      </c>
      <c r="U1776" s="53">
        <f>IF(P1776="","",IF(P1776="Gasto",S1776,IF(P1776="Reembolso",-S1776,0)))</f>
        <v/>
      </c>
      <c r="V1776" s="53">
        <f>IF(P1776="","",IF(P1776="Ingreso",S1776,0))</f>
        <v/>
      </c>
      <c r="W1776" s="53">
        <f>IF(P1776="","",IF(P1776="Resultado trading",S1776,0))</f>
        <v/>
      </c>
      <c r="X1776" s="52">
        <f>IF(OR(P1776="Gasto",P1776="Reembolso"),IF(M1776&lt;&gt;"",M1776,IFERROR(INDEX(catClasif,MATCH(D1776&amp;"|"&amp;E1776,catClave,0))&amp;"","Variable")),"")</f>
        <v/>
      </c>
      <c r="Y1776" s="52">
        <f>IF(P1776="","",IFERROR(INDEX(catGrupo,MATCH(D1776&amp;"|"&amp;E1776,catClave,0))&amp;"",""))</f>
        <v/>
      </c>
      <c r="Z1776" s="52">
        <f>IF(P1776="","",WEEKDAY(B1776,2))</f>
        <v/>
      </c>
      <c r="AA1776" s="52">
        <f>IF(P1776="","",IF(AND(P1776="Gasto",X1776="Variable",D1776&lt;&gt;catTrading,S1776&gt;0,S1776&lt;=Umbral),1,0))</f>
        <v/>
      </c>
      <c r="AB1776" s="52">
        <f>IF(OR(P1776="",Q1776=""),"",IFERROR(IF(INDEX(ctaVinc,MATCH(Q1776,ctaNombre,0))&amp;""&lt;&gt;"",INDEX(ctaVinc,MATCH(Q1776,ctaNombre,0))&amp;"",Q1776),Q1776))</f>
        <v/>
      </c>
      <c r="AC1776" s="52">
        <f>IF(OR(K1776="",AND(P1776&lt;&gt;"Transferencia",P1776&lt;&gt;"Pago tarjeta")),"",IFERROR(IF(INDEX(ctaVinc,MATCH(K1776,ctaNombre,0))&amp;""&lt;&gt;"",INDEX(ctaVinc,MATCH(K1776,ctaNombre,0))&amp;"",K1776),K1776))</f>
        <v/>
      </c>
      <c r="AD1776" s="52">
        <f>IF(AB1776="","",IFERROR(INDEX(ctaTipo,MATCH(AB1776,ctaNombre,0))&amp;"",""))</f>
        <v/>
      </c>
      <c r="AE1776" s="52">
        <f>IF(AC1776="","",IFERROR(INDEX(ctaTipo,MATCH(AC1776,ctaNombre,0))&amp;"",""))</f>
        <v/>
      </c>
      <c r="AF1776" s="53">
        <f>IF(OR(P1776="",AB1776=""),"",IF(OR(P1776="Gasto",P1776="Transferencia",P1776="Pago tarjeta"),-1,1)*IF(IFERROR(INDEX(ctaMoneda,MATCH(AB1776,ctaNombre,0))&amp;"","DOP")="USD",T1776,S1776))</f>
        <v/>
      </c>
      <c r="AG1776" s="53">
        <f>IF(AC1776="","",IF(IFERROR(INDEX(ctaMoneda,MATCH(AC1776,ctaNombre,0))&amp;"","DOP")="USD",T1776,S1776))</f>
        <v/>
      </c>
      <c r="AH1776" s="53">
        <f>IF(P1776="","",IF(AND(AD1776&lt;&gt;"",COUNTIFS(tcTipo,AD1776,tcLiq,"Sí")&gt;0),IF(OR(P1776="Gasto",P1776="Transferencia",P1776="Pago tarjeta"),-1,1)*S1776,0)+IF(AND(AE1776&lt;&gt;"",COUNTIFS(tcTipo,AE1776,tcLiq,"Sí")&gt;0),S1776,0))</f>
        <v/>
      </c>
      <c r="AI1776" s="52">
        <f>IF(OR(L1776="",P1776=""),"",IF(COUNTIFS(L$6:L1776,L1776,P$6:P1776,"?*")=1,MAX(AI$5:AI1775)+1,""))</f>
        <v/>
      </c>
    </row>
    <row r="1777">
      <c r="B1777" s="47" t="n"/>
      <c r="C1777" s="48" t="n"/>
      <c r="D1777" s="48" t="n"/>
      <c r="E1777" s="48" t="n"/>
      <c r="F1777" s="48" t="n"/>
      <c r="G1777" s="49" t="n"/>
      <c r="H1777" s="48" t="n"/>
      <c r="I1777" s="50" t="n"/>
      <c r="J1777" s="48" t="n"/>
      <c r="K1777" s="48" t="n"/>
      <c r="L1777" s="48" t="n"/>
      <c r="M1777" s="48" t="n"/>
      <c r="N1777" s="48" t="n"/>
      <c r="O1777" s="51">
        <f>IF(AND(B1777="",G1777="",C1777="",D1777="",J1777=""),"",IF(B1777="","⚠ Falta fecha",IF(G1777="","⚠ Falta monto",IF(Q1777="","⚠ Falta cuenta",IF(ISNA(MATCH(Q1777,ctaNombre,0)),"⚠ Cuenta no registrada",IF(AND(OR(P1777="Gasto",P1777="Reembolso"),D1777=""),"⚠ Falta categoría",IF(AND(D1777&lt;&gt;"",E1777&lt;&gt;"",ISNA(MATCH(D1777&amp;"|"&amp;E1777,catClave,0))),"⚠ Subcategoría no corresponde",IF(AND(OR(P1777="Transferencia",P1777="Pago tarjeta"),K1777=""),"⚠ Falta cuenta destino",IF(AND(K1777&lt;&gt;"",P1777&lt;&gt;"Transferencia",P1777&lt;&gt;"Pago tarjeta"),"⚠ Destino solo aplica a transferencias",IF(AND(K1777&lt;&gt;"",K1777=Q1777),"⚠ Origen igual a destino",IF(AND(K1777&lt;&gt;"",ISNA(MATCH(K1777,ctaNombre,0))),"⚠ Destino no registrado",IF(AND(P1777="Pago tarjeta",AE1777&lt;&gt;"Tarjeta de crédito"),"⚠ El destino debe ser tarjeta de crédito",IF(AND(P1777="Gasto",E1777="Depósitos y retiros"),"⚠ Usa tipo Transferencia",IF(AND(P1777="Resultado trading",AD1777&lt;&gt;"Cuenta de trading"),"⚠ Usa una cuenta de trading",IF(AND(G1777&lt;=0,P1777&lt;&gt;"Ajuste",P1777&lt;&gt;"Resultado trading"),"⚠ El monto debe ser positivo","✓")))))))))))))))</f>
        <v/>
      </c>
      <c r="P1777" s="52">
        <f>IF(OR(B1777="",G1777=""),"",IF(C1777="","Gasto",C1777))</f>
        <v/>
      </c>
      <c r="Q1777" s="52">
        <f>IF(P1777="","",IF(J1777&lt;&gt;"",J1777,CuentaPred&amp;""))</f>
        <v/>
      </c>
      <c r="R1777" s="52">
        <f>IF(P1777="","",IF(ISNUMBER(I1777),I1777,TasaUSD))</f>
        <v/>
      </c>
      <c r="S1777" s="53">
        <f>IF(P1777="","",IF(H1777="USD",G1777*R1777,G1777))</f>
        <v/>
      </c>
      <c r="T1777" s="53">
        <f>IF(P1777="","",IF(H1777="USD",G1777,IF(R1777&gt;0,G1777/R1777,0)))</f>
        <v/>
      </c>
      <c r="U1777" s="53">
        <f>IF(P1777="","",IF(P1777="Gasto",S1777,IF(P1777="Reembolso",-S1777,0)))</f>
        <v/>
      </c>
      <c r="V1777" s="53">
        <f>IF(P1777="","",IF(P1777="Ingreso",S1777,0))</f>
        <v/>
      </c>
      <c r="W1777" s="53">
        <f>IF(P1777="","",IF(P1777="Resultado trading",S1777,0))</f>
        <v/>
      </c>
      <c r="X1777" s="52">
        <f>IF(OR(P1777="Gasto",P1777="Reembolso"),IF(M1777&lt;&gt;"",M1777,IFERROR(INDEX(catClasif,MATCH(D1777&amp;"|"&amp;E1777,catClave,0))&amp;"","Variable")),"")</f>
        <v/>
      </c>
      <c r="Y1777" s="52">
        <f>IF(P1777="","",IFERROR(INDEX(catGrupo,MATCH(D1777&amp;"|"&amp;E1777,catClave,0))&amp;"",""))</f>
        <v/>
      </c>
      <c r="Z1777" s="52">
        <f>IF(P1777="","",WEEKDAY(B1777,2))</f>
        <v/>
      </c>
      <c r="AA1777" s="52">
        <f>IF(P1777="","",IF(AND(P1777="Gasto",X1777="Variable",D1777&lt;&gt;catTrading,S1777&gt;0,S1777&lt;=Umbral),1,0))</f>
        <v/>
      </c>
      <c r="AB1777" s="52">
        <f>IF(OR(P1777="",Q1777=""),"",IFERROR(IF(INDEX(ctaVinc,MATCH(Q1777,ctaNombre,0))&amp;""&lt;&gt;"",INDEX(ctaVinc,MATCH(Q1777,ctaNombre,0))&amp;"",Q1777),Q1777))</f>
        <v/>
      </c>
      <c r="AC1777" s="52">
        <f>IF(OR(K1777="",AND(P1777&lt;&gt;"Transferencia",P1777&lt;&gt;"Pago tarjeta")),"",IFERROR(IF(INDEX(ctaVinc,MATCH(K1777,ctaNombre,0))&amp;""&lt;&gt;"",INDEX(ctaVinc,MATCH(K1777,ctaNombre,0))&amp;"",K1777),K1777))</f>
        <v/>
      </c>
      <c r="AD1777" s="52">
        <f>IF(AB1777="","",IFERROR(INDEX(ctaTipo,MATCH(AB1777,ctaNombre,0))&amp;"",""))</f>
        <v/>
      </c>
      <c r="AE1777" s="52">
        <f>IF(AC1777="","",IFERROR(INDEX(ctaTipo,MATCH(AC1777,ctaNombre,0))&amp;"",""))</f>
        <v/>
      </c>
      <c r="AF1777" s="53">
        <f>IF(OR(P1777="",AB1777=""),"",IF(OR(P1777="Gasto",P1777="Transferencia",P1777="Pago tarjeta"),-1,1)*IF(IFERROR(INDEX(ctaMoneda,MATCH(AB1777,ctaNombre,0))&amp;"","DOP")="USD",T1777,S1777))</f>
        <v/>
      </c>
      <c r="AG1777" s="53">
        <f>IF(AC1777="","",IF(IFERROR(INDEX(ctaMoneda,MATCH(AC1777,ctaNombre,0))&amp;"","DOP")="USD",T1777,S1777))</f>
        <v/>
      </c>
      <c r="AH1777" s="53">
        <f>IF(P1777="","",IF(AND(AD1777&lt;&gt;"",COUNTIFS(tcTipo,AD1777,tcLiq,"Sí")&gt;0),IF(OR(P1777="Gasto",P1777="Transferencia",P1777="Pago tarjeta"),-1,1)*S1777,0)+IF(AND(AE1777&lt;&gt;"",COUNTIFS(tcTipo,AE1777,tcLiq,"Sí")&gt;0),S1777,0))</f>
        <v/>
      </c>
      <c r="AI1777" s="52">
        <f>IF(OR(L1777="",P1777=""),"",IF(COUNTIFS(L$6:L1777,L1777,P$6:P1777,"?*")=1,MAX(AI$5:AI1776)+1,""))</f>
        <v/>
      </c>
    </row>
    <row r="1778">
      <c r="B1778" s="47" t="n"/>
      <c r="C1778" s="48" t="n"/>
      <c r="D1778" s="48" t="n"/>
      <c r="E1778" s="48" t="n"/>
      <c r="F1778" s="48" t="n"/>
      <c r="G1778" s="49" t="n"/>
      <c r="H1778" s="48" t="n"/>
      <c r="I1778" s="50" t="n"/>
      <c r="J1778" s="48" t="n"/>
      <c r="K1778" s="48" t="n"/>
      <c r="L1778" s="48" t="n"/>
      <c r="M1778" s="48" t="n"/>
      <c r="N1778" s="48" t="n"/>
      <c r="O1778" s="51">
        <f>IF(AND(B1778="",G1778="",C1778="",D1778="",J1778=""),"",IF(B1778="","⚠ Falta fecha",IF(G1778="","⚠ Falta monto",IF(Q1778="","⚠ Falta cuenta",IF(ISNA(MATCH(Q1778,ctaNombre,0)),"⚠ Cuenta no registrada",IF(AND(OR(P1778="Gasto",P1778="Reembolso"),D1778=""),"⚠ Falta categoría",IF(AND(D1778&lt;&gt;"",E1778&lt;&gt;"",ISNA(MATCH(D1778&amp;"|"&amp;E1778,catClave,0))),"⚠ Subcategoría no corresponde",IF(AND(OR(P1778="Transferencia",P1778="Pago tarjeta"),K1778=""),"⚠ Falta cuenta destino",IF(AND(K1778&lt;&gt;"",P1778&lt;&gt;"Transferencia",P1778&lt;&gt;"Pago tarjeta"),"⚠ Destino solo aplica a transferencias",IF(AND(K1778&lt;&gt;"",K1778=Q1778),"⚠ Origen igual a destino",IF(AND(K1778&lt;&gt;"",ISNA(MATCH(K1778,ctaNombre,0))),"⚠ Destino no registrado",IF(AND(P1778="Pago tarjeta",AE1778&lt;&gt;"Tarjeta de crédito"),"⚠ El destino debe ser tarjeta de crédito",IF(AND(P1778="Gasto",E1778="Depósitos y retiros"),"⚠ Usa tipo Transferencia",IF(AND(P1778="Resultado trading",AD1778&lt;&gt;"Cuenta de trading"),"⚠ Usa una cuenta de trading",IF(AND(G1778&lt;=0,P1778&lt;&gt;"Ajuste",P1778&lt;&gt;"Resultado trading"),"⚠ El monto debe ser positivo","✓")))))))))))))))</f>
        <v/>
      </c>
      <c r="P1778" s="52">
        <f>IF(OR(B1778="",G1778=""),"",IF(C1778="","Gasto",C1778))</f>
        <v/>
      </c>
      <c r="Q1778" s="52">
        <f>IF(P1778="","",IF(J1778&lt;&gt;"",J1778,CuentaPred&amp;""))</f>
        <v/>
      </c>
      <c r="R1778" s="52">
        <f>IF(P1778="","",IF(ISNUMBER(I1778),I1778,TasaUSD))</f>
        <v/>
      </c>
      <c r="S1778" s="53">
        <f>IF(P1778="","",IF(H1778="USD",G1778*R1778,G1778))</f>
        <v/>
      </c>
      <c r="T1778" s="53">
        <f>IF(P1778="","",IF(H1778="USD",G1778,IF(R1778&gt;0,G1778/R1778,0)))</f>
        <v/>
      </c>
      <c r="U1778" s="53">
        <f>IF(P1778="","",IF(P1778="Gasto",S1778,IF(P1778="Reembolso",-S1778,0)))</f>
        <v/>
      </c>
      <c r="V1778" s="53">
        <f>IF(P1778="","",IF(P1778="Ingreso",S1778,0))</f>
        <v/>
      </c>
      <c r="W1778" s="53">
        <f>IF(P1778="","",IF(P1778="Resultado trading",S1778,0))</f>
        <v/>
      </c>
      <c r="X1778" s="52">
        <f>IF(OR(P1778="Gasto",P1778="Reembolso"),IF(M1778&lt;&gt;"",M1778,IFERROR(INDEX(catClasif,MATCH(D1778&amp;"|"&amp;E1778,catClave,0))&amp;"","Variable")),"")</f>
        <v/>
      </c>
      <c r="Y1778" s="52">
        <f>IF(P1778="","",IFERROR(INDEX(catGrupo,MATCH(D1778&amp;"|"&amp;E1778,catClave,0))&amp;"",""))</f>
        <v/>
      </c>
      <c r="Z1778" s="52">
        <f>IF(P1778="","",WEEKDAY(B1778,2))</f>
        <v/>
      </c>
      <c r="AA1778" s="52">
        <f>IF(P1778="","",IF(AND(P1778="Gasto",X1778="Variable",D1778&lt;&gt;catTrading,S1778&gt;0,S1778&lt;=Umbral),1,0))</f>
        <v/>
      </c>
      <c r="AB1778" s="52">
        <f>IF(OR(P1778="",Q1778=""),"",IFERROR(IF(INDEX(ctaVinc,MATCH(Q1778,ctaNombre,0))&amp;""&lt;&gt;"",INDEX(ctaVinc,MATCH(Q1778,ctaNombre,0))&amp;"",Q1778),Q1778))</f>
        <v/>
      </c>
      <c r="AC1778" s="52">
        <f>IF(OR(K1778="",AND(P1778&lt;&gt;"Transferencia",P1778&lt;&gt;"Pago tarjeta")),"",IFERROR(IF(INDEX(ctaVinc,MATCH(K1778,ctaNombre,0))&amp;""&lt;&gt;"",INDEX(ctaVinc,MATCH(K1778,ctaNombre,0))&amp;"",K1778),K1778))</f>
        <v/>
      </c>
      <c r="AD1778" s="52">
        <f>IF(AB1778="","",IFERROR(INDEX(ctaTipo,MATCH(AB1778,ctaNombre,0))&amp;"",""))</f>
        <v/>
      </c>
      <c r="AE1778" s="52">
        <f>IF(AC1778="","",IFERROR(INDEX(ctaTipo,MATCH(AC1778,ctaNombre,0))&amp;"",""))</f>
        <v/>
      </c>
      <c r="AF1778" s="53">
        <f>IF(OR(P1778="",AB1778=""),"",IF(OR(P1778="Gasto",P1778="Transferencia",P1778="Pago tarjeta"),-1,1)*IF(IFERROR(INDEX(ctaMoneda,MATCH(AB1778,ctaNombre,0))&amp;"","DOP")="USD",T1778,S1778))</f>
        <v/>
      </c>
      <c r="AG1778" s="53">
        <f>IF(AC1778="","",IF(IFERROR(INDEX(ctaMoneda,MATCH(AC1778,ctaNombre,0))&amp;"","DOP")="USD",T1778,S1778))</f>
        <v/>
      </c>
      <c r="AH1778" s="53">
        <f>IF(P1778="","",IF(AND(AD1778&lt;&gt;"",COUNTIFS(tcTipo,AD1778,tcLiq,"Sí")&gt;0),IF(OR(P1778="Gasto",P1778="Transferencia",P1778="Pago tarjeta"),-1,1)*S1778,0)+IF(AND(AE1778&lt;&gt;"",COUNTIFS(tcTipo,AE1778,tcLiq,"Sí")&gt;0),S1778,0))</f>
        <v/>
      </c>
      <c r="AI1778" s="52">
        <f>IF(OR(L1778="",P1778=""),"",IF(COUNTIFS(L$6:L1778,L1778,P$6:P1778,"?*")=1,MAX(AI$5:AI1777)+1,""))</f>
        <v/>
      </c>
    </row>
    <row r="1779">
      <c r="B1779" s="47" t="n"/>
      <c r="C1779" s="48" t="n"/>
      <c r="D1779" s="48" t="n"/>
      <c r="E1779" s="48" t="n"/>
      <c r="F1779" s="48" t="n"/>
      <c r="G1779" s="49" t="n"/>
      <c r="H1779" s="48" t="n"/>
      <c r="I1779" s="50" t="n"/>
      <c r="J1779" s="48" t="n"/>
      <c r="K1779" s="48" t="n"/>
      <c r="L1779" s="48" t="n"/>
      <c r="M1779" s="48" t="n"/>
      <c r="N1779" s="48" t="n"/>
      <c r="O1779" s="51">
        <f>IF(AND(B1779="",G1779="",C1779="",D1779="",J1779=""),"",IF(B1779="","⚠ Falta fecha",IF(G1779="","⚠ Falta monto",IF(Q1779="","⚠ Falta cuenta",IF(ISNA(MATCH(Q1779,ctaNombre,0)),"⚠ Cuenta no registrada",IF(AND(OR(P1779="Gasto",P1779="Reembolso"),D1779=""),"⚠ Falta categoría",IF(AND(D1779&lt;&gt;"",E1779&lt;&gt;"",ISNA(MATCH(D1779&amp;"|"&amp;E1779,catClave,0))),"⚠ Subcategoría no corresponde",IF(AND(OR(P1779="Transferencia",P1779="Pago tarjeta"),K1779=""),"⚠ Falta cuenta destino",IF(AND(K1779&lt;&gt;"",P1779&lt;&gt;"Transferencia",P1779&lt;&gt;"Pago tarjeta"),"⚠ Destino solo aplica a transferencias",IF(AND(K1779&lt;&gt;"",K1779=Q1779),"⚠ Origen igual a destino",IF(AND(K1779&lt;&gt;"",ISNA(MATCH(K1779,ctaNombre,0))),"⚠ Destino no registrado",IF(AND(P1779="Pago tarjeta",AE1779&lt;&gt;"Tarjeta de crédito"),"⚠ El destino debe ser tarjeta de crédito",IF(AND(P1779="Gasto",E1779="Depósitos y retiros"),"⚠ Usa tipo Transferencia",IF(AND(P1779="Resultado trading",AD1779&lt;&gt;"Cuenta de trading"),"⚠ Usa una cuenta de trading",IF(AND(G1779&lt;=0,P1779&lt;&gt;"Ajuste",P1779&lt;&gt;"Resultado trading"),"⚠ El monto debe ser positivo","✓")))))))))))))))</f>
        <v/>
      </c>
      <c r="P1779" s="52">
        <f>IF(OR(B1779="",G1779=""),"",IF(C1779="","Gasto",C1779))</f>
        <v/>
      </c>
      <c r="Q1779" s="52">
        <f>IF(P1779="","",IF(J1779&lt;&gt;"",J1779,CuentaPred&amp;""))</f>
        <v/>
      </c>
      <c r="R1779" s="52">
        <f>IF(P1779="","",IF(ISNUMBER(I1779),I1779,TasaUSD))</f>
        <v/>
      </c>
      <c r="S1779" s="53">
        <f>IF(P1779="","",IF(H1779="USD",G1779*R1779,G1779))</f>
        <v/>
      </c>
      <c r="T1779" s="53">
        <f>IF(P1779="","",IF(H1779="USD",G1779,IF(R1779&gt;0,G1779/R1779,0)))</f>
        <v/>
      </c>
      <c r="U1779" s="53">
        <f>IF(P1779="","",IF(P1779="Gasto",S1779,IF(P1779="Reembolso",-S1779,0)))</f>
        <v/>
      </c>
      <c r="V1779" s="53">
        <f>IF(P1779="","",IF(P1779="Ingreso",S1779,0))</f>
        <v/>
      </c>
      <c r="W1779" s="53">
        <f>IF(P1779="","",IF(P1779="Resultado trading",S1779,0))</f>
        <v/>
      </c>
      <c r="X1779" s="52">
        <f>IF(OR(P1779="Gasto",P1779="Reembolso"),IF(M1779&lt;&gt;"",M1779,IFERROR(INDEX(catClasif,MATCH(D1779&amp;"|"&amp;E1779,catClave,0))&amp;"","Variable")),"")</f>
        <v/>
      </c>
      <c r="Y1779" s="52">
        <f>IF(P1779="","",IFERROR(INDEX(catGrupo,MATCH(D1779&amp;"|"&amp;E1779,catClave,0))&amp;"",""))</f>
        <v/>
      </c>
      <c r="Z1779" s="52">
        <f>IF(P1779="","",WEEKDAY(B1779,2))</f>
        <v/>
      </c>
      <c r="AA1779" s="52">
        <f>IF(P1779="","",IF(AND(P1779="Gasto",X1779="Variable",D1779&lt;&gt;catTrading,S1779&gt;0,S1779&lt;=Umbral),1,0))</f>
        <v/>
      </c>
      <c r="AB1779" s="52">
        <f>IF(OR(P1779="",Q1779=""),"",IFERROR(IF(INDEX(ctaVinc,MATCH(Q1779,ctaNombre,0))&amp;""&lt;&gt;"",INDEX(ctaVinc,MATCH(Q1779,ctaNombre,0))&amp;"",Q1779),Q1779))</f>
        <v/>
      </c>
      <c r="AC1779" s="52">
        <f>IF(OR(K1779="",AND(P1779&lt;&gt;"Transferencia",P1779&lt;&gt;"Pago tarjeta")),"",IFERROR(IF(INDEX(ctaVinc,MATCH(K1779,ctaNombre,0))&amp;""&lt;&gt;"",INDEX(ctaVinc,MATCH(K1779,ctaNombre,0))&amp;"",K1779),K1779))</f>
        <v/>
      </c>
      <c r="AD1779" s="52">
        <f>IF(AB1779="","",IFERROR(INDEX(ctaTipo,MATCH(AB1779,ctaNombre,0))&amp;"",""))</f>
        <v/>
      </c>
      <c r="AE1779" s="52">
        <f>IF(AC1779="","",IFERROR(INDEX(ctaTipo,MATCH(AC1779,ctaNombre,0))&amp;"",""))</f>
        <v/>
      </c>
      <c r="AF1779" s="53">
        <f>IF(OR(P1779="",AB1779=""),"",IF(OR(P1779="Gasto",P1779="Transferencia",P1779="Pago tarjeta"),-1,1)*IF(IFERROR(INDEX(ctaMoneda,MATCH(AB1779,ctaNombre,0))&amp;"","DOP")="USD",T1779,S1779))</f>
        <v/>
      </c>
      <c r="AG1779" s="53">
        <f>IF(AC1779="","",IF(IFERROR(INDEX(ctaMoneda,MATCH(AC1779,ctaNombre,0))&amp;"","DOP")="USD",T1779,S1779))</f>
        <v/>
      </c>
      <c r="AH1779" s="53">
        <f>IF(P1779="","",IF(AND(AD1779&lt;&gt;"",COUNTIFS(tcTipo,AD1779,tcLiq,"Sí")&gt;0),IF(OR(P1779="Gasto",P1779="Transferencia",P1779="Pago tarjeta"),-1,1)*S1779,0)+IF(AND(AE1779&lt;&gt;"",COUNTIFS(tcTipo,AE1779,tcLiq,"Sí")&gt;0),S1779,0))</f>
        <v/>
      </c>
      <c r="AI1779" s="52">
        <f>IF(OR(L1779="",P1779=""),"",IF(COUNTIFS(L$6:L1779,L1779,P$6:P1779,"?*")=1,MAX(AI$5:AI1778)+1,""))</f>
        <v/>
      </c>
    </row>
    <row r="1780">
      <c r="B1780" s="47" t="n"/>
      <c r="C1780" s="48" t="n"/>
      <c r="D1780" s="48" t="n"/>
      <c r="E1780" s="48" t="n"/>
      <c r="F1780" s="48" t="n"/>
      <c r="G1780" s="49" t="n"/>
      <c r="H1780" s="48" t="n"/>
      <c r="I1780" s="50" t="n"/>
      <c r="J1780" s="48" t="n"/>
      <c r="K1780" s="48" t="n"/>
      <c r="L1780" s="48" t="n"/>
      <c r="M1780" s="48" t="n"/>
      <c r="N1780" s="48" t="n"/>
      <c r="O1780" s="51">
        <f>IF(AND(B1780="",G1780="",C1780="",D1780="",J1780=""),"",IF(B1780="","⚠ Falta fecha",IF(G1780="","⚠ Falta monto",IF(Q1780="","⚠ Falta cuenta",IF(ISNA(MATCH(Q1780,ctaNombre,0)),"⚠ Cuenta no registrada",IF(AND(OR(P1780="Gasto",P1780="Reembolso"),D1780=""),"⚠ Falta categoría",IF(AND(D1780&lt;&gt;"",E1780&lt;&gt;"",ISNA(MATCH(D1780&amp;"|"&amp;E1780,catClave,0))),"⚠ Subcategoría no corresponde",IF(AND(OR(P1780="Transferencia",P1780="Pago tarjeta"),K1780=""),"⚠ Falta cuenta destino",IF(AND(K1780&lt;&gt;"",P1780&lt;&gt;"Transferencia",P1780&lt;&gt;"Pago tarjeta"),"⚠ Destino solo aplica a transferencias",IF(AND(K1780&lt;&gt;"",K1780=Q1780),"⚠ Origen igual a destino",IF(AND(K1780&lt;&gt;"",ISNA(MATCH(K1780,ctaNombre,0))),"⚠ Destino no registrado",IF(AND(P1780="Pago tarjeta",AE1780&lt;&gt;"Tarjeta de crédito"),"⚠ El destino debe ser tarjeta de crédito",IF(AND(P1780="Gasto",E1780="Depósitos y retiros"),"⚠ Usa tipo Transferencia",IF(AND(P1780="Resultado trading",AD1780&lt;&gt;"Cuenta de trading"),"⚠ Usa una cuenta de trading",IF(AND(G1780&lt;=0,P1780&lt;&gt;"Ajuste",P1780&lt;&gt;"Resultado trading"),"⚠ El monto debe ser positivo","✓")))))))))))))))</f>
        <v/>
      </c>
      <c r="P1780" s="52">
        <f>IF(OR(B1780="",G1780=""),"",IF(C1780="","Gasto",C1780))</f>
        <v/>
      </c>
      <c r="Q1780" s="52">
        <f>IF(P1780="","",IF(J1780&lt;&gt;"",J1780,CuentaPred&amp;""))</f>
        <v/>
      </c>
      <c r="R1780" s="52">
        <f>IF(P1780="","",IF(ISNUMBER(I1780),I1780,TasaUSD))</f>
        <v/>
      </c>
      <c r="S1780" s="53">
        <f>IF(P1780="","",IF(H1780="USD",G1780*R1780,G1780))</f>
        <v/>
      </c>
      <c r="T1780" s="53">
        <f>IF(P1780="","",IF(H1780="USD",G1780,IF(R1780&gt;0,G1780/R1780,0)))</f>
        <v/>
      </c>
      <c r="U1780" s="53">
        <f>IF(P1780="","",IF(P1780="Gasto",S1780,IF(P1780="Reembolso",-S1780,0)))</f>
        <v/>
      </c>
      <c r="V1780" s="53">
        <f>IF(P1780="","",IF(P1780="Ingreso",S1780,0))</f>
        <v/>
      </c>
      <c r="W1780" s="53">
        <f>IF(P1780="","",IF(P1780="Resultado trading",S1780,0))</f>
        <v/>
      </c>
      <c r="X1780" s="52">
        <f>IF(OR(P1780="Gasto",P1780="Reembolso"),IF(M1780&lt;&gt;"",M1780,IFERROR(INDEX(catClasif,MATCH(D1780&amp;"|"&amp;E1780,catClave,0))&amp;"","Variable")),"")</f>
        <v/>
      </c>
      <c r="Y1780" s="52">
        <f>IF(P1780="","",IFERROR(INDEX(catGrupo,MATCH(D1780&amp;"|"&amp;E1780,catClave,0))&amp;"",""))</f>
        <v/>
      </c>
      <c r="Z1780" s="52">
        <f>IF(P1780="","",WEEKDAY(B1780,2))</f>
        <v/>
      </c>
      <c r="AA1780" s="52">
        <f>IF(P1780="","",IF(AND(P1780="Gasto",X1780="Variable",D1780&lt;&gt;catTrading,S1780&gt;0,S1780&lt;=Umbral),1,0))</f>
        <v/>
      </c>
      <c r="AB1780" s="52">
        <f>IF(OR(P1780="",Q1780=""),"",IFERROR(IF(INDEX(ctaVinc,MATCH(Q1780,ctaNombre,0))&amp;""&lt;&gt;"",INDEX(ctaVinc,MATCH(Q1780,ctaNombre,0))&amp;"",Q1780),Q1780))</f>
        <v/>
      </c>
      <c r="AC1780" s="52">
        <f>IF(OR(K1780="",AND(P1780&lt;&gt;"Transferencia",P1780&lt;&gt;"Pago tarjeta")),"",IFERROR(IF(INDEX(ctaVinc,MATCH(K1780,ctaNombre,0))&amp;""&lt;&gt;"",INDEX(ctaVinc,MATCH(K1780,ctaNombre,0))&amp;"",K1780),K1780))</f>
        <v/>
      </c>
      <c r="AD1780" s="52">
        <f>IF(AB1780="","",IFERROR(INDEX(ctaTipo,MATCH(AB1780,ctaNombre,0))&amp;"",""))</f>
        <v/>
      </c>
      <c r="AE1780" s="52">
        <f>IF(AC1780="","",IFERROR(INDEX(ctaTipo,MATCH(AC1780,ctaNombre,0))&amp;"",""))</f>
        <v/>
      </c>
      <c r="AF1780" s="53">
        <f>IF(OR(P1780="",AB1780=""),"",IF(OR(P1780="Gasto",P1780="Transferencia",P1780="Pago tarjeta"),-1,1)*IF(IFERROR(INDEX(ctaMoneda,MATCH(AB1780,ctaNombre,0))&amp;"","DOP")="USD",T1780,S1780))</f>
        <v/>
      </c>
      <c r="AG1780" s="53">
        <f>IF(AC1780="","",IF(IFERROR(INDEX(ctaMoneda,MATCH(AC1780,ctaNombre,0))&amp;"","DOP")="USD",T1780,S1780))</f>
        <v/>
      </c>
      <c r="AH1780" s="53">
        <f>IF(P1780="","",IF(AND(AD1780&lt;&gt;"",COUNTIFS(tcTipo,AD1780,tcLiq,"Sí")&gt;0),IF(OR(P1780="Gasto",P1780="Transferencia",P1780="Pago tarjeta"),-1,1)*S1780,0)+IF(AND(AE1780&lt;&gt;"",COUNTIFS(tcTipo,AE1780,tcLiq,"Sí")&gt;0),S1780,0))</f>
        <v/>
      </c>
      <c r="AI1780" s="52">
        <f>IF(OR(L1780="",P1780=""),"",IF(COUNTIFS(L$6:L1780,L1780,P$6:P1780,"?*")=1,MAX(AI$5:AI1779)+1,""))</f>
        <v/>
      </c>
    </row>
    <row r="1781">
      <c r="B1781" s="47" t="n"/>
      <c r="C1781" s="48" t="n"/>
      <c r="D1781" s="48" t="n"/>
      <c r="E1781" s="48" t="n"/>
      <c r="F1781" s="48" t="n"/>
      <c r="G1781" s="49" t="n"/>
      <c r="H1781" s="48" t="n"/>
      <c r="I1781" s="50" t="n"/>
      <c r="J1781" s="48" t="n"/>
      <c r="K1781" s="48" t="n"/>
      <c r="L1781" s="48" t="n"/>
      <c r="M1781" s="48" t="n"/>
      <c r="N1781" s="48" t="n"/>
      <c r="O1781" s="51">
        <f>IF(AND(B1781="",G1781="",C1781="",D1781="",J1781=""),"",IF(B1781="","⚠ Falta fecha",IF(G1781="","⚠ Falta monto",IF(Q1781="","⚠ Falta cuenta",IF(ISNA(MATCH(Q1781,ctaNombre,0)),"⚠ Cuenta no registrada",IF(AND(OR(P1781="Gasto",P1781="Reembolso"),D1781=""),"⚠ Falta categoría",IF(AND(D1781&lt;&gt;"",E1781&lt;&gt;"",ISNA(MATCH(D1781&amp;"|"&amp;E1781,catClave,0))),"⚠ Subcategoría no corresponde",IF(AND(OR(P1781="Transferencia",P1781="Pago tarjeta"),K1781=""),"⚠ Falta cuenta destino",IF(AND(K1781&lt;&gt;"",P1781&lt;&gt;"Transferencia",P1781&lt;&gt;"Pago tarjeta"),"⚠ Destino solo aplica a transferencias",IF(AND(K1781&lt;&gt;"",K1781=Q1781),"⚠ Origen igual a destino",IF(AND(K1781&lt;&gt;"",ISNA(MATCH(K1781,ctaNombre,0))),"⚠ Destino no registrado",IF(AND(P1781="Pago tarjeta",AE1781&lt;&gt;"Tarjeta de crédito"),"⚠ El destino debe ser tarjeta de crédito",IF(AND(P1781="Gasto",E1781="Depósitos y retiros"),"⚠ Usa tipo Transferencia",IF(AND(P1781="Resultado trading",AD1781&lt;&gt;"Cuenta de trading"),"⚠ Usa una cuenta de trading",IF(AND(G1781&lt;=0,P1781&lt;&gt;"Ajuste",P1781&lt;&gt;"Resultado trading"),"⚠ El monto debe ser positivo","✓")))))))))))))))</f>
        <v/>
      </c>
      <c r="P1781" s="52">
        <f>IF(OR(B1781="",G1781=""),"",IF(C1781="","Gasto",C1781))</f>
        <v/>
      </c>
      <c r="Q1781" s="52">
        <f>IF(P1781="","",IF(J1781&lt;&gt;"",J1781,CuentaPred&amp;""))</f>
        <v/>
      </c>
      <c r="R1781" s="52">
        <f>IF(P1781="","",IF(ISNUMBER(I1781),I1781,TasaUSD))</f>
        <v/>
      </c>
      <c r="S1781" s="53">
        <f>IF(P1781="","",IF(H1781="USD",G1781*R1781,G1781))</f>
        <v/>
      </c>
      <c r="T1781" s="53">
        <f>IF(P1781="","",IF(H1781="USD",G1781,IF(R1781&gt;0,G1781/R1781,0)))</f>
        <v/>
      </c>
      <c r="U1781" s="53">
        <f>IF(P1781="","",IF(P1781="Gasto",S1781,IF(P1781="Reembolso",-S1781,0)))</f>
        <v/>
      </c>
      <c r="V1781" s="53">
        <f>IF(P1781="","",IF(P1781="Ingreso",S1781,0))</f>
        <v/>
      </c>
      <c r="W1781" s="53">
        <f>IF(P1781="","",IF(P1781="Resultado trading",S1781,0))</f>
        <v/>
      </c>
      <c r="X1781" s="52">
        <f>IF(OR(P1781="Gasto",P1781="Reembolso"),IF(M1781&lt;&gt;"",M1781,IFERROR(INDEX(catClasif,MATCH(D1781&amp;"|"&amp;E1781,catClave,0))&amp;"","Variable")),"")</f>
        <v/>
      </c>
      <c r="Y1781" s="52">
        <f>IF(P1781="","",IFERROR(INDEX(catGrupo,MATCH(D1781&amp;"|"&amp;E1781,catClave,0))&amp;"",""))</f>
        <v/>
      </c>
      <c r="Z1781" s="52">
        <f>IF(P1781="","",WEEKDAY(B1781,2))</f>
        <v/>
      </c>
      <c r="AA1781" s="52">
        <f>IF(P1781="","",IF(AND(P1781="Gasto",X1781="Variable",D1781&lt;&gt;catTrading,S1781&gt;0,S1781&lt;=Umbral),1,0))</f>
        <v/>
      </c>
      <c r="AB1781" s="52">
        <f>IF(OR(P1781="",Q1781=""),"",IFERROR(IF(INDEX(ctaVinc,MATCH(Q1781,ctaNombre,0))&amp;""&lt;&gt;"",INDEX(ctaVinc,MATCH(Q1781,ctaNombre,0))&amp;"",Q1781),Q1781))</f>
        <v/>
      </c>
      <c r="AC1781" s="52">
        <f>IF(OR(K1781="",AND(P1781&lt;&gt;"Transferencia",P1781&lt;&gt;"Pago tarjeta")),"",IFERROR(IF(INDEX(ctaVinc,MATCH(K1781,ctaNombre,0))&amp;""&lt;&gt;"",INDEX(ctaVinc,MATCH(K1781,ctaNombre,0))&amp;"",K1781),K1781))</f>
        <v/>
      </c>
      <c r="AD1781" s="52">
        <f>IF(AB1781="","",IFERROR(INDEX(ctaTipo,MATCH(AB1781,ctaNombre,0))&amp;"",""))</f>
        <v/>
      </c>
      <c r="AE1781" s="52">
        <f>IF(AC1781="","",IFERROR(INDEX(ctaTipo,MATCH(AC1781,ctaNombre,0))&amp;"",""))</f>
        <v/>
      </c>
      <c r="AF1781" s="53">
        <f>IF(OR(P1781="",AB1781=""),"",IF(OR(P1781="Gasto",P1781="Transferencia",P1781="Pago tarjeta"),-1,1)*IF(IFERROR(INDEX(ctaMoneda,MATCH(AB1781,ctaNombre,0))&amp;"","DOP")="USD",T1781,S1781))</f>
        <v/>
      </c>
      <c r="AG1781" s="53">
        <f>IF(AC1781="","",IF(IFERROR(INDEX(ctaMoneda,MATCH(AC1781,ctaNombre,0))&amp;"","DOP")="USD",T1781,S1781))</f>
        <v/>
      </c>
      <c r="AH1781" s="53">
        <f>IF(P1781="","",IF(AND(AD1781&lt;&gt;"",COUNTIFS(tcTipo,AD1781,tcLiq,"Sí")&gt;0),IF(OR(P1781="Gasto",P1781="Transferencia",P1781="Pago tarjeta"),-1,1)*S1781,0)+IF(AND(AE1781&lt;&gt;"",COUNTIFS(tcTipo,AE1781,tcLiq,"Sí")&gt;0),S1781,0))</f>
        <v/>
      </c>
      <c r="AI1781" s="52">
        <f>IF(OR(L1781="",P1781=""),"",IF(COUNTIFS(L$6:L1781,L1781,P$6:P1781,"?*")=1,MAX(AI$5:AI1780)+1,""))</f>
        <v/>
      </c>
    </row>
    <row r="1782">
      <c r="B1782" s="47" t="n"/>
      <c r="C1782" s="48" t="n"/>
      <c r="D1782" s="48" t="n"/>
      <c r="E1782" s="48" t="n"/>
      <c r="F1782" s="48" t="n"/>
      <c r="G1782" s="49" t="n"/>
      <c r="H1782" s="48" t="n"/>
      <c r="I1782" s="50" t="n"/>
      <c r="J1782" s="48" t="n"/>
      <c r="K1782" s="48" t="n"/>
      <c r="L1782" s="48" t="n"/>
      <c r="M1782" s="48" t="n"/>
      <c r="N1782" s="48" t="n"/>
      <c r="O1782" s="51">
        <f>IF(AND(B1782="",G1782="",C1782="",D1782="",J1782=""),"",IF(B1782="","⚠ Falta fecha",IF(G1782="","⚠ Falta monto",IF(Q1782="","⚠ Falta cuenta",IF(ISNA(MATCH(Q1782,ctaNombre,0)),"⚠ Cuenta no registrada",IF(AND(OR(P1782="Gasto",P1782="Reembolso"),D1782=""),"⚠ Falta categoría",IF(AND(D1782&lt;&gt;"",E1782&lt;&gt;"",ISNA(MATCH(D1782&amp;"|"&amp;E1782,catClave,0))),"⚠ Subcategoría no corresponde",IF(AND(OR(P1782="Transferencia",P1782="Pago tarjeta"),K1782=""),"⚠ Falta cuenta destino",IF(AND(K1782&lt;&gt;"",P1782&lt;&gt;"Transferencia",P1782&lt;&gt;"Pago tarjeta"),"⚠ Destino solo aplica a transferencias",IF(AND(K1782&lt;&gt;"",K1782=Q1782),"⚠ Origen igual a destino",IF(AND(K1782&lt;&gt;"",ISNA(MATCH(K1782,ctaNombre,0))),"⚠ Destino no registrado",IF(AND(P1782="Pago tarjeta",AE1782&lt;&gt;"Tarjeta de crédito"),"⚠ El destino debe ser tarjeta de crédito",IF(AND(P1782="Gasto",E1782="Depósitos y retiros"),"⚠ Usa tipo Transferencia",IF(AND(P1782="Resultado trading",AD1782&lt;&gt;"Cuenta de trading"),"⚠ Usa una cuenta de trading",IF(AND(G1782&lt;=0,P1782&lt;&gt;"Ajuste",P1782&lt;&gt;"Resultado trading"),"⚠ El monto debe ser positivo","✓")))))))))))))))</f>
        <v/>
      </c>
      <c r="P1782" s="52">
        <f>IF(OR(B1782="",G1782=""),"",IF(C1782="","Gasto",C1782))</f>
        <v/>
      </c>
      <c r="Q1782" s="52">
        <f>IF(P1782="","",IF(J1782&lt;&gt;"",J1782,CuentaPred&amp;""))</f>
        <v/>
      </c>
      <c r="R1782" s="52">
        <f>IF(P1782="","",IF(ISNUMBER(I1782),I1782,TasaUSD))</f>
        <v/>
      </c>
      <c r="S1782" s="53">
        <f>IF(P1782="","",IF(H1782="USD",G1782*R1782,G1782))</f>
        <v/>
      </c>
      <c r="T1782" s="53">
        <f>IF(P1782="","",IF(H1782="USD",G1782,IF(R1782&gt;0,G1782/R1782,0)))</f>
        <v/>
      </c>
      <c r="U1782" s="53">
        <f>IF(P1782="","",IF(P1782="Gasto",S1782,IF(P1782="Reembolso",-S1782,0)))</f>
        <v/>
      </c>
      <c r="V1782" s="53">
        <f>IF(P1782="","",IF(P1782="Ingreso",S1782,0))</f>
        <v/>
      </c>
      <c r="W1782" s="53">
        <f>IF(P1782="","",IF(P1782="Resultado trading",S1782,0))</f>
        <v/>
      </c>
      <c r="X1782" s="52">
        <f>IF(OR(P1782="Gasto",P1782="Reembolso"),IF(M1782&lt;&gt;"",M1782,IFERROR(INDEX(catClasif,MATCH(D1782&amp;"|"&amp;E1782,catClave,0))&amp;"","Variable")),"")</f>
        <v/>
      </c>
      <c r="Y1782" s="52">
        <f>IF(P1782="","",IFERROR(INDEX(catGrupo,MATCH(D1782&amp;"|"&amp;E1782,catClave,0))&amp;"",""))</f>
        <v/>
      </c>
      <c r="Z1782" s="52">
        <f>IF(P1782="","",WEEKDAY(B1782,2))</f>
        <v/>
      </c>
      <c r="AA1782" s="52">
        <f>IF(P1782="","",IF(AND(P1782="Gasto",X1782="Variable",D1782&lt;&gt;catTrading,S1782&gt;0,S1782&lt;=Umbral),1,0))</f>
        <v/>
      </c>
      <c r="AB1782" s="52">
        <f>IF(OR(P1782="",Q1782=""),"",IFERROR(IF(INDEX(ctaVinc,MATCH(Q1782,ctaNombre,0))&amp;""&lt;&gt;"",INDEX(ctaVinc,MATCH(Q1782,ctaNombre,0))&amp;"",Q1782),Q1782))</f>
        <v/>
      </c>
      <c r="AC1782" s="52">
        <f>IF(OR(K1782="",AND(P1782&lt;&gt;"Transferencia",P1782&lt;&gt;"Pago tarjeta")),"",IFERROR(IF(INDEX(ctaVinc,MATCH(K1782,ctaNombre,0))&amp;""&lt;&gt;"",INDEX(ctaVinc,MATCH(K1782,ctaNombre,0))&amp;"",K1782),K1782))</f>
        <v/>
      </c>
      <c r="AD1782" s="52">
        <f>IF(AB1782="","",IFERROR(INDEX(ctaTipo,MATCH(AB1782,ctaNombre,0))&amp;"",""))</f>
        <v/>
      </c>
      <c r="AE1782" s="52">
        <f>IF(AC1782="","",IFERROR(INDEX(ctaTipo,MATCH(AC1782,ctaNombre,0))&amp;"",""))</f>
        <v/>
      </c>
      <c r="AF1782" s="53">
        <f>IF(OR(P1782="",AB1782=""),"",IF(OR(P1782="Gasto",P1782="Transferencia",P1782="Pago tarjeta"),-1,1)*IF(IFERROR(INDEX(ctaMoneda,MATCH(AB1782,ctaNombre,0))&amp;"","DOP")="USD",T1782,S1782))</f>
        <v/>
      </c>
      <c r="AG1782" s="53">
        <f>IF(AC1782="","",IF(IFERROR(INDEX(ctaMoneda,MATCH(AC1782,ctaNombre,0))&amp;"","DOP")="USD",T1782,S1782))</f>
        <v/>
      </c>
      <c r="AH1782" s="53">
        <f>IF(P1782="","",IF(AND(AD1782&lt;&gt;"",COUNTIFS(tcTipo,AD1782,tcLiq,"Sí")&gt;0),IF(OR(P1782="Gasto",P1782="Transferencia",P1782="Pago tarjeta"),-1,1)*S1782,0)+IF(AND(AE1782&lt;&gt;"",COUNTIFS(tcTipo,AE1782,tcLiq,"Sí")&gt;0),S1782,0))</f>
        <v/>
      </c>
      <c r="AI1782" s="52">
        <f>IF(OR(L1782="",P1782=""),"",IF(COUNTIFS(L$6:L1782,L1782,P$6:P1782,"?*")=1,MAX(AI$5:AI1781)+1,""))</f>
        <v/>
      </c>
    </row>
    <row r="1783">
      <c r="B1783" s="47" t="n"/>
      <c r="C1783" s="48" t="n"/>
      <c r="D1783" s="48" t="n"/>
      <c r="E1783" s="48" t="n"/>
      <c r="F1783" s="48" t="n"/>
      <c r="G1783" s="49" t="n"/>
      <c r="H1783" s="48" t="n"/>
      <c r="I1783" s="50" t="n"/>
      <c r="J1783" s="48" t="n"/>
      <c r="K1783" s="48" t="n"/>
      <c r="L1783" s="48" t="n"/>
      <c r="M1783" s="48" t="n"/>
      <c r="N1783" s="48" t="n"/>
      <c r="O1783" s="51">
        <f>IF(AND(B1783="",G1783="",C1783="",D1783="",J1783=""),"",IF(B1783="","⚠ Falta fecha",IF(G1783="","⚠ Falta monto",IF(Q1783="","⚠ Falta cuenta",IF(ISNA(MATCH(Q1783,ctaNombre,0)),"⚠ Cuenta no registrada",IF(AND(OR(P1783="Gasto",P1783="Reembolso"),D1783=""),"⚠ Falta categoría",IF(AND(D1783&lt;&gt;"",E1783&lt;&gt;"",ISNA(MATCH(D1783&amp;"|"&amp;E1783,catClave,0))),"⚠ Subcategoría no corresponde",IF(AND(OR(P1783="Transferencia",P1783="Pago tarjeta"),K1783=""),"⚠ Falta cuenta destino",IF(AND(K1783&lt;&gt;"",P1783&lt;&gt;"Transferencia",P1783&lt;&gt;"Pago tarjeta"),"⚠ Destino solo aplica a transferencias",IF(AND(K1783&lt;&gt;"",K1783=Q1783),"⚠ Origen igual a destino",IF(AND(K1783&lt;&gt;"",ISNA(MATCH(K1783,ctaNombre,0))),"⚠ Destino no registrado",IF(AND(P1783="Pago tarjeta",AE1783&lt;&gt;"Tarjeta de crédito"),"⚠ El destino debe ser tarjeta de crédito",IF(AND(P1783="Gasto",E1783="Depósitos y retiros"),"⚠ Usa tipo Transferencia",IF(AND(P1783="Resultado trading",AD1783&lt;&gt;"Cuenta de trading"),"⚠ Usa una cuenta de trading",IF(AND(G1783&lt;=0,P1783&lt;&gt;"Ajuste",P1783&lt;&gt;"Resultado trading"),"⚠ El monto debe ser positivo","✓")))))))))))))))</f>
        <v/>
      </c>
      <c r="P1783" s="52">
        <f>IF(OR(B1783="",G1783=""),"",IF(C1783="","Gasto",C1783))</f>
        <v/>
      </c>
      <c r="Q1783" s="52">
        <f>IF(P1783="","",IF(J1783&lt;&gt;"",J1783,CuentaPred&amp;""))</f>
        <v/>
      </c>
      <c r="R1783" s="52">
        <f>IF(P1783="","",IF(ISNUMBER(I1783),I1783,TasaUSD))</f>
        <v/>
      </c>
      <c r="S1783" s="53">
        <f>IF(P1783="","",IF(H1783="USD",G1783*R1783,G1783))</f>
        <v/>
      </c>
      <c r="T1783" s="53">
        <f>IF(P1783="","",IF(H1783="USD",G1783,IF(R1783&gt;0,G1783/R1783,0)))</f>
        <v/>
      </c>
      <c r="U1783" s="53">
        <f>IF(P1783="","",IF(P1783="Gasto",S1783,IF(P1783="Reembolso",-S1783,0)))</f>
        <v/>
      </c>
      <c r="V1783" s="53">
        <f>IF(P1783="","",IF(P1783="Ingreso",S1783,0))</f>
        <v/>
      </c>
      <c r="W1783" s="53">
        <f>IF(P1783="","",IF(P1783="Resultado trading",S1783,0))</f>
        <v/>
      </c>
      <c r="X1783" s="52">
        <f>IF(OR(P1783="Gasto",P1783="Reembolso"),IF(M1783&lt;&gt;"",M1783,IFERROR(INDEX(catClasif,MATCH(D1783&amp;"|"&amp;E1783,catClave,0))&amp;"","Variable")),"")</f>
        <v/>
      </c>
      <c r="Y1783" s="52">
        <f>IF(P1783="","",IFERROR(INDEX(catGrupo,MATCH(D1783&amp;"|"&amp;E1783,catClave,0))&amp;"",""))</f>
        <v/>
      </c>
      <c r="Z1783" s="52">
        <f>IF(P1783="","",WEEKDAY(B1783,2))</f>
        <v/>
      </c>
      <c r="AA1783" s="52">
        <f>IF(P1783="","",IF(AND(P1783="Gasto",X1783="Variable",D1783&lt;&gt;catTrading,S1783&gt;0,S1783&lt;=Umbral),1,0))</f>
        <v/>
      </c>
      <c r="AB1783" s="52">
        <f>IF(OR(P1783="",Q1783=""),"",IFERROR(IF(INDEX(ctaVinc,MATCH(Q1783,ctaNombre,0))&amp;""&lt;&gt;"",INDEX(ctaVinc,MATCH(Q1783,ctaNombre,0))&amp;"",Q1783),Q1783))</f>
        <v/>
      </c>
      <c r="AC1783" s="52">
        <f>IF(OR(K1783="",AND(P1783&lt;&gt;"Transferencia",P1783&lt;&gt;"Pago tarjeta")),"",IFERROR(IF(INDEX(ctaVinc,MATCH(K1783,ctaNombre,0))&amp;""&lt;&gt;"",INDEX(ctaVinc,MATCH(K1783,ctaNombre,0))&amp;"",K1783),K1783))</f>
        <v/>
      </c>
      <c r="AD1783" s="52">
        <f>IF(AB1783="","",IFERROR(INDEX(ctaTipo,MATCH(AB1783,ctaNombre,0))&amp;"",""))</f>
        <v/>
      </c>
      <c r="AE1783" s="52">
        <f>IF(AC1783="","",IFERROR(INDEX(ctaTipo,MATCH(AC1783,ctaNombre,0))&amp;"",""))</f>
        <v/>
      </c>
      <c r="AF1783" s="53">
        <f>IF(OR(P1783="",AB1783=""),"",IF(OR(P1783="Gasto",P1783="Transferencia",P1783="Pago tarjeta"),-1,1)*IF(IFERROR(INDEX(ctaMoneda,MATCH(AB1783,ctaNombre,0))&amp;"","DOP")="USD",T1783,S1783))</f>
        <v/>
      </c>
      <c r="AG1783" s="53">
        <f>IF(AC1783="","",IF(IFERROR(INDEX(ctaMoneda,MATCH(AC1783,ctaNombre,0))&amp;"","DOP")="USD",T1783,S1783))</f>
        <v/>
      </c>
      <c r="AH1783" s="53">
        <f>IF(P1783="","",IF(AND(AD1783&lt;&gt;"",COUNTIFS(tcTipo,AD1783,tcLiq,"Sí")&gt;0),IF(OR(P1783="Gasto",P1783="Transferencia",P1783="Pago tarjeta"),-1,1)*S1783,0)+IF(AND(AE1783&lt;&gt;"",COUNTIFS(tcTipo,AE1783,tcLiq,"Sí")&gt;0),S1783,0))</f>
        <v/>
      </c>
      <c r="AI1783" s="52">
        <f>IF(OR(L1783="",P1783=""),"",IF(COUNTIFS(L$6:L1783,L1783,P$6:P1783,"?*")=1,MAX(AI$5:AI1782)+1,""))</f>
        <v/>
      </c>
    </row>
    <row r="1784">
      <c r="B1784" s="47" t="n"/>
      <c r="C1784" s="48" t="n"/>
      <c r="D1784" s="48" t="n"/>
      <c r="E1784" s="48" t="n"/>
      <c r="F1784" s="48" t="n"/>
      <c r="G1784" s="49" t="n"/>
      <c r="H1784" s="48" t="n"/>
      <c r="I1784" s="50" t="n"/>
      <c r="J1784" s="48" t="n"/>
      <c r="K1784" s="48" t="n"/>
      <c r="L1784" s="48" t="n"/>
      <c r="M1784" s="48" t="n"/>
      <c r="N1784" s="48" t="n"/>
      <c r="O1784" s="51">
        <f>IF(AND(B1784="",G1784="",C1784="",D1784="",J1784=""),"",IF(B1784="","⚠ Falta fecha",IF(G1784="","⚠ Falta monto",IF(Q1784="","⚠ Falta cuenta",IF(ISNA(MATCH(Q1784,ctaNombre,0)),"⚠ Cuenta no registrada",IF(AND(OR(P1784="Gasto",P1784="Reembolso"),D1784=""),"⚠ Falta categoría",IF(AND(D1784&lt;&gt;"",E1784&lt;&gt;"",ISNA(MATCH(D1784&amp;"|"&amp;E1784,catClave,0))),"⚠ Subcategoría no corresponde",IF(AND(OR(P1784="Transferencia",P1784="Pago tarjeta"),K1784=""),"⚠ Falta cuenta destino",IF(AND(K1784&lt;&gt;"",P1784&lt;&gt;"Transferencia",P1784&lt;&gt;"Pago tarjeta"),"⚠ Destino solo aplica a transferencias",IF(AND(K1784&lt;&gt;"",K1784=Q1784),"⚠ Origen igual a destino",IF(AND(K1784&lt;&gt;"",ISNA(MATCH(K1784,ctaNombre,0))),"⚠ Destino no registrado",IF(AND(P1784="Pago tarjeta",AE1784&lt;&gt;"Tarjeta de crédito"),"⚠ El destino debe ser tarjeta de crédito",IF(AND(P1784="Gasto",E1784="Depósitos y retiros"),"⚠ Usa tipo Transferencia",IF(AND(P1784="Resultado trading",AD1784&lt;&gt;"Cuenta de trading"),"⚠ Usa una cuenta de trading",IF(AND(G1784&lt;=0,P1784&lt;&gt;"Ajuste",P1784&lt;&gt;"Resultado trading"),"⚠ El monto debe ser positivo","✓")))))))))))))))</f>
        <v/>
      </c>
      <c r="P1784" s="52">
        <f>IF(OR(B1784="",G1784=""),"",IF(C1784="","Gasto",C1784))</f>
        <v/>
      </c>
      <c r="Q1784" s="52">
        <f>IF(P1784="","",IF(J1784&lt;&gt;"",J1784,CuentaPred&amp;""))</f>
        <v/>
      </c>
      <c r="R1784" s="52">
        <f>IF(P1784="","",IF(ISNUMBER(I1784),I1784,TasaUSD))</f>
        <v/>
      </c>
      <c r="S1784" s="53">
        <f>IF(P1784="","",IF(H1784="USD",G1784*R1784,G1784))</f>
        <v/>
      </c>
      <c r="T1784" s="53">
        <f>IF(P1784="","",IF(H1784="USD",G1784,IF(R1784&gt;0,G1784/R1784,0)))</f>
        <v/>
      </c>
      <c r="U1784" s="53">
        <f>IF(P1784="","",IF(P1784="Gasto",S1784,IF(P1784="Reembolso",-S1784,0)))</f>
        <v/>
      </c>
      <c r="V1784" s="53">
        <f>IF(P1784="","",IF(P1784="Ingreso",S1784,0))</f>
        <v/>
      </c>
      <c r="W1784" s="53">
        <f>IF(P1784="","",IF(P1784="Resultado trading",S1784,0))</f>
        <v/>
      </c>
      <c r="X1784" s="52">
        <f>IF(OR(P1784="Gasto",P1784="Reembolso"),IF(M1784&lt;&gt;"",M1784,IFERROR(INDEX(catClasif,MATCH(D1784&amp;"|"&amp;E1784,catClave,0))&amp;"","Variable")),"")</f>
        <v/>
      </c>
      <c r="Y1784" s="52">
        <f>IF(P1784="","",IFERROR(INDEX(catGrupo,MATCH(D1784&amp;"|"&amp;E1784,catClave,0))&amp;"",""))</f>
        <v/>
      </c>
      <c r="Z1784" s="52">
        <f>IF(P1784="","",WEEKDAY(B1784,2))</f>
        <v/>
      </c>
      <c r="AA1784" s="52">
        <f>IF(P1784="","",IF(AND(P1784="Gasto",X1784="Variable",D1784&lt;&gt;catTrading,S1784&gt;0,S1784&lt;=Umbral),1,0))</f>
        <v/>
      </c>
      <c r="AB1784" s="52">
        <f>IF(OR(P1784="",Q1784=""),"",IFERROR(IF(INDEX(ctaVinc,MATCH(Q1784,ctaNombre,0))&amp;""&lt;&gt;"",INDEX(ctaVinc,MATCH(Q1784,ctaNombre,0))&amp;"",Q1784),Q1784))</f>
        <v/>
      </c>
      <c r="AC1784" s="52">
        <f>IF(OR(K1784="",AND(P1784&lt;&gt;"Transferencia",P1784&lt;&gt;"Pago tarjeta")),"",IFERROR(IF(INDEX(ctaVinc,MATCH(K1784,ctaNombre,0))&amp;""&lt;&gt;"",INDEX(ctaVinc,MATCH(K1784,ctaNombre,0))&amp;"",K1784),K1784))</f>
        <v/>
      </c>
      <c r="AD1784" s="52">
        <f>IF(AB1784="","",IFERROR(INDEX(ctaTipo,MATCH(AB1784,ctaNombre,0))&amp;"",""))</f>
        <v/>
      </c>
      <c r="AE1784" s="52">
        <f>IF(AC1784="","",IFERROR(INDEX(ctaTipo,MATCH(AC1784,ctaNombre,0))&amp;"",""))</f>
        <v/>
      </c>
      <c r="AF1784" s="53">
        <f>IF(OR(P1784="",AB1784=""),"",IF(OR(P1784="Gasto",P1784="Transferencia",P1784="Pago tarjeta"),-1,1)*IF(IFERROR(INDEX(ctaMoneda,MATCH(AB1784,ctaNombre,0))&amp;"","DOP")="USD",T1784,S1784))</f>
        <v/>
      </c>
      <c r="AG1784" s="53">
        <f>IF(AC1784="","",IF(IFERROR(INDEX(ctaMoneda,MATCH(AC1784,ctaNombre,0))&amp;"","DOP")="USD",T1784,S1784))</f>
        <v/>
      </c>
      <c r="AH1784" s="53">
        <f>IF(P1784="","",IF(AND(AD1784&lt;&gt;"",COUNTIFS(tcTipo,AD1784,tcLiq,"Sí")&gt;0),IF(OR(P1784="Gasto",P1784="Transferencia",P1784="Pago tarjeta"),-1,1)*S1784,0)+IF(AND(AE1784&lt;&gt;"",COUNTIFS(tcTipo,AE1784,tcLiq,"Sí")&gt;0),S1784,0))</f>
        <v/>
      </c>
      <c r="AI1784" s="52">
        <f>IF(OR(L1784="",P1784=""),"",IF(COUNTIFS(L$6:L1784,L1784,P$6:P1784,"?*")=1,MAX(AI$5:AI1783)+1,""))</f>
        <v/>
      </c>
    </row>
    <row r="1785">
      <c r="B1785" s="47" t="n"/>
      <c r="C1785" s="48" t="n"/>
      <c r="D1785" s="48" t="n"/>
      <c r="E1785" s="48" t="n"/>
      <c r="F1785" s="48" t="n"/>
      <c r="G1785" s="49" t="n"/>
      <c r="H1785" s="48" t="n"/>
      <c r="I1785" s="50" t="n"/>
      <c r="J1785" s="48" t="n"/>
      <c r="K1785" s="48" t="n"/>
      <c r="L1785" s="48" t="n"/>
      <c r="M1785" s="48" t="n"/>
      <c r="N1785" s="48" t="n"/>
      <c r="O1785" s="51">
        <f>IF(AND(B1785="",G1785="",C1785="",D1785="",J1785=""),"",IF(B1785="","⚠ Falta fecha",IF(G1785="","⚠ Falta monto",IF(Q1785="","⚠ Falta cuenta",IF(ISNA(MATCH(Q1785,ctaNombre,0)),"⚠ Cuenta no registrada",IF(AND(OR(P1785="Gasto",P1785="Reembolso"),D1785=""),"⚠ Falta categoría",IF(AND(D1785&lt;&gt;"",E1785&lt;&gt;"",ISNA(MATCH(D1785&amp;"|"&amp;E1785,catClave,0))),"⚠ Subcategoría no corresponde",IF(AND(OR(P1785="Transferencia",P1785="Pago tarjeta"),K1785=""),"⚠ Falta cuenta destino",IF(AND(K1785&lt;&gt;"",P1785&lt;&gt;"Transferencia",P1785&lt;&gt;"Pago tarjeta"),"⚠ Destino solo aplica a transferencias",IF(AND(K1785&lt;&gt;"",K1785=Q1785),"⚠ Origen igual a destino",IF(AND(K1785&lt;&gt;"",ISNA(MATCH(K1785,ctaNombre,0))),"⚠ Destino no registrado",IF(AND(P1785="Pago tarjeta",AE1785&lt;&gt;"Tarjeta de crédito"),"⚠ El destino debe ser tarjeta de crédito",IF(AND(P1785="Gasto",E1785="Depósitos y retiros"),"⚠ Usa tipo Transferencia",IF(AND(P1785="Resultado trading",AD1785&lt;&gt;"Cuenta de trading"),"⚠ Usa una cuenta de trading",IF(AND(G1785&lt;=0,P1785&lt;&gt;"Ajuste",P1785&lt;&gt;"Resultado trading"),"⚠ El monto debe ser positivo","✓")))))))))))))))</f>
        <v/>
      </c>
      <c r="P1785" s="52">
        <f>IF(OR(B1785="",G1785=""),"",IF(C1785="","Gasto",C1785))</f>
        <v/>
      </c>
      <c r="Q1785" s="52">
        <f>IF(P1785="","",IF(J1785&lt;&gt;"",J1785,CuentaPred&amp;""))</f>
        <v/>
      </c>
      <c r="R1785" s="52">
        <f>IF(P1785="","",IF(ISNUMBER(I1785),I1785,TasaUSD))</f>
        <v/>
      </c>
      <c r="S1785" s="53">
        <f>IF(P1785="","",IF(H1785="USD",G1785*R1785,G1785))</f>
        <v/>
      </c>
      <c r="T1785" s="53">
        <f>IF(P1785="","",IF(H1785="USD",G1785,IF(R1785&gt;0,G1785/R1785,0)))</f>
        <v/>
      </c>
      <c r="U1785" s="53">
        <f>IF(P1785="","",IF(P1785="Gasto",S1785,IF(P1785="Reembolso",-S1785,0)))</f>
        <v/>
      </c>
      <c r="V1785" s="53">
        <f>IF(P1785="","",IF(P1785="Ingreso",S1785,0))</f>
        <v/>
      </c>
      <c r="W1785" s="53">
        <f>IF(P1785="","",IF(P1785="Resultado trading",S1785,0))</f>
        <v/>
      </c>
      <c r="X1785" s="52">
        <f>IF(OR(P1785="Gasto",P1785="Reembolso"),IF(M1785&lt;&gt;"",M1785,IFERROR(INDEX(catClasif,MATCH(D1785&amp;"|"&amp;E1785,catClave,0))&amp;"","Variable")),"")</f>
        <v/>
      </c>
      <c r="Y1785" s="52">
        <f>IF(P1785="","",IFERROR(INDEX(catGrupo,MATCH(D1785&amp;"|"&amp;E1785,catClave,0))&amp;"",""))</f>
        <v/>
      </c>
      <c r="Z1785" s="52">
        <f>IF(P1785="","",WEEKDAY(B1785,2))</f>
        <v/>
      </c>
      <c r="AA1785" s="52">
        <f>IF(P1785="","",IF(AND(P1785="Gasto",X1785="Variable",D1785&lt;&gt;catTrading,S1785&gt;0,S1785&lt;=Umbral),1,0))</f>
        <v/>
      </c>
      <c r="AB1785" s="52">
        <f>IF(OR(P1785="",Q1785=""),"",IFERROR(IF(INDEX(ctaVinc,MATCH(Q1785,ctaNombre,0))&amp;""&lt;&gt;"",INDEX(ctaVinc,MATCH(Q1785,ctaNombre,0))&amp;"",Q1785),Q1785))</f>
        <v/>
      </c>
      <c r="AC1785" s="52">
        <f>IF(OR(K1785="",AND(P1785&lt;&gt;"Transferencia",P1785&lt;&gt;"Pago tarjeta")),"",IFERROR(IF(INDEX(ctaVinc,MATCH(K1785,ctaNombre,0))&amp;""&lt;&gt;"",INDEX(ctaVinc,MATCH(K1785,ctaNombre,0))&amp;"",K1785),K1785))</f>
        <v/>
      </c>
      <c r="AD1785" s="52">
        <f>IF(AB1785="","",IFERROR(INDEX(ctaTipo,MATCH(AB1785,ctaNombre,0))&amp;"",""))</f>
        <v/>
      </c>
      <c r="AE1785" s="52">
        <f>IF(AC1785="","",IFERROR(INDEX(ctaTipo,MATCH(AC1785,ctaNombre,0))&amp;"",""))</f>
        <v/>
      </c>
      <c r="AF1785" s="53">
        <f>IF(OR(P1785="",AB1785=""),"",IF(OR(P1785="Gasto",P1785="Transferencia",P1785="Pago tarjeta"),-1,1)*IF(IFERROR(INDEX(ctaMoneda,MATCH(AB1785,ctaNombre,0))&amp;"","DOP")="USD",T1785,S1785))</f>
        <v/>
      </c>
      <c r="AG1785" s="53">
        <f>IF(AC1785="","",IF(IFERROR(INDEX(ctaMoneda,MATCH(AC1785,ctaNombre,0))&amp;"","DOP")="USD",T1785,S1785))</f>
        <v/>
      </c>
      <c r="AH1785" s="53">
        <f>IF(P1785="","",IF(AND(AD1785&lt;&gt;"",COUNTIFS(tcTipo,AD1785,tcLiq,"Sí")&gt;0),IF(OR(P1785="Gasto",P1785="Transferencia",P1785="Pago tarjeta"),-1,1)*S1785,0)+IF(AND(AE1785&lt;&gt;"",COUNTIFS(tcTipo,AE1785,tcLiq,"Sí")&gt;0),S1785,0))</f>
        <v/>
      </c>
      <c r="AI1785" s="52">
        <f>IF(OR(L1785="",P1785=""),"",IF(COUNTIFS(L$6:L1785,L1785,P$6:P1785,"?*")=1,MAX(AI$5:AI1784)+1,""))</f>
        <v/>
      </c>
    </row>
    <row r="1786">
      <c r="B1786" s="47" t="n"/>
      <c r="C1786" s="48" t="n"/>
      <c r="D1786" s="48" t="n"/>
      <c r="E1786" s="48" t="n"/>
      <c r="F1786" s="48" t="n"/>
      <c r="G1786" s="49" t="n"/>
      <c r="H1786" s="48" t="n"/>
      <c r="I1786" s="50" t="n"/>
      <c r="J1786" s="48" t="n"/>
      <c r="K1786" s="48" t="n"/>
      <c r="L1786" s="48" t="n"/>
      <c r="M1786" s="48" t="n"/>
      <c r="N1786" s="48" t="n"/>
      <c r="O1786" s="51">
        <f>IF(AND(B1786="",G1786="",C1786="",D1786="",J1786=""),"",IF(B1786="","⚠ Falta fecha",IF(G1786="","⚠ Falta monto",IF(Q1786="","⚠ Falta cuenta",IF(ISNA(MATCH(Q1786,ctaNombre,0)),"⚠ Cuenta no registrada",IF(AND(OR(P1786="Gasto",P1786="Reembolso"),D1786=""),"⚠ Falta categoría",IF(AND(D1786&lt;&gt;"",E1786&lt;&gt;"",ISNA(MATCH(D1786&amp;"|"&amp;E1786,catClave,0))),"⚠ Subcategoría no corresponde",IF(AND(OR(P1786="Transferencia",P1786="Pago tarjeta"),K1786=""),"⚠ Falta cuenta destino",IF(AND(K1786&lt;&gt;"",P1786&lt;&gt;"Transferencia",P1786&lt;&gt;"Pago tarjeta"),"⚠ Destino solo aplica a transferencias",IF(AND(K1786&lt;&gt;"",K1786=Q1786),"⚠ Origen igual a destino",IF(AND(K1786&lt;&gt;"",ISNA(MATCH(K1786,ctaNombre,0))),"⚠ Destino no registrado",IF(AND(P1786="Pago tarjeta",AE1786&lt;&gt;"Tarjeta de crédito"),"⚠ El destino debe ser tarjeta de crédito",IF(AND(P1786="Gasto",E1786="Depósitos y retiros"),"⚠ Usa tipo Transferencia",IF(AND(P1786="Resultado trading",AD1786&lt;&gt;"Cuenta de trading"),"⚠ Usa una cuenta de trading",IF(AND(G1786&lt;=0,P1786&lt;&gt;"Ajuste",P1786&lt;&gt;"Resultado trading"),"⚠ El monto debe ser positivo","✓")))))))))))))))</f>
        <v/>
      </c>
      <c r="P1786" s="52">
        <f>IF(OR(B1786="",G1786=""),"",IF(C1786="","Gasto",C1786))</f>
        <v/>
      </c>
      <c r="Q1786" s="52">
        <f>IF(P1786="","",IF(J1786&lt;&gt;"",J1786,CuentaPred&amp;""))</f>
        <v/>
      </c>
      <c r="R1786" s="52">
        <f>IF(P1786="","",IF(ISNUMBER(I1786),I1786,TasaUSD))</f>
        <v/>
      </c>
      <c r="S1786" s="53">
        <f>IF(P1786="","",IF(H1786="USD",G1786*R1786,G1786))</f>
        <v/>
      </c>
      <c r="T1786" s="53">
        <f>IF(P1786="","",IF(H1786="USD",G1786,IF(R1786&gt;0,G1786/R1786,0)))</f>
        <v/>
      </c>
      <c r="U1786" s="53">
        <f>IF(P1786="","",IF(P1786="Gasto",S1786,IF(P1786="Reembolso",-S1786,0)))</f>
        <v/>
      </c>
      <c r="V1786" s="53">
        <f>IF(P1786="","",IF(P1786="Ingreso",S1786,0))</f>
        <v/>
      </c>
      <c r="W1786" s="53">
        <f>IF(P1786="","",IF(P1786="Resultado trading",S1786,0))</f>
        <v/>
      </c>
      <c r="X1786" s="52">
        <f>IF(OR(P1786="Gasto",P1786="Reembolso"),IF(M1786&lt;&gt;"",M1786,IFERROR(INDEX(catClasif,MATCH(D1786&amp;"|"&amp;E1786,catClave,0))&amp;"","Variable")),"")</f>
        <v/>
      </c>
      <c r="Y1786" s="52">
        <f>IF(P1786="","",IFERROR(INDEX(catGrupo,MATCH(D1786&amp;"|"&amp;E1786,catClave,0))&amp;"",""))</f>
        <v/>
      </c>
      <c r="Z1786" s="52">
        <f>IF(P1786="","",WEEKDAY(B1786,2))</f>
        <v/>
      </c>
      <c r="AA1786" s="52">
        <f>IF(P1786="","",IF(AND(P1786="Gasto",X1786="Variable",D1786&lt;&gt;catTrading,S1786&gt;0,S1786&lt;=Umbral),1,0))</f>
        <v/>
      </c>
      <c r="AB1786" s="52">
        <f>IF(OR(P1786="",Q1786=""),"",IFERROR(IF(INDEX(ctaVinc,MATCH(Q1786,ctaNombre,0))&amp;""&lt;&gt;"",INDEX(ctaVinc,MATCH(Q1786,ctaNombre,0))&amp;"",Q1786),Q1786))</f>
        <v/>
      </c>
      <c r="AC1786" s="52">
        <f>IF(OR(K1786="",AND(P1786&lt;&gt;"Transferencia",P1786&lt;&gt;"Pago tarjeta")),"",IFERROR(IF(INDEX(ctaVinc,MATCH(K1786,ctaNombre,0))&amp;""&lt;&gt;"",INDEX(ctaVinc,MATCH(K1786,ctaNombre,0))&amp;"",K1786),K1786))</f>
        <v/>
      </c>
      <c r="AD1786" s="52">
        <f>IF(AB1786="","",IFERROR(INDEX(ctaTipo,MATCH(AB1786,ctaNombre,0))&amp;"",""))</f>
        <v/>
      </c>
      <c r="AE1786" s="52">
        <f>IF(AC1786="","",IFERROR(INDEX(ctaTipo,MATCH(AC1786,ctaNombre,0))&amp;"",""))</f>
        <v/>
      </c>
      <c r="AF1786" s="53">
        <f>IF(OR(P1786="",AB1786=""),"",IF(OR(P1786="Gasto",P1786="Transferencia",P1786="Pago tarjeta"),-1,1)*IF(IFERROR(INDEX(ctaMoneda,MATCH(AB1786,ctaNombre,0))&amp;"","DOP")="USD",T1786,S1786))</f>
        <v/>
      </c>
      <c r="AG1786" s="53">
        <f>IF(AC1786="","",IF(IFERROR(INDEX(ctaMoneda,MATCH(AC1786,ctaNombre,0))&amp;"","DOP")="USD",T1786,S1786))</f>
        <v/>
      </c>
      <c r="AH1786" s="53">
        <f>IF(P1786="","",IF(AND(AD1786&lt;&gt;"",COUNTIFS(tcTipo,AD1786,tcLiq,"Sí")&gt;0),IF(OR(P1786="Gasto",P1786="Transferencia",P1786="Pago tarjeta"),-1,1)*S1786,0)+IF(AND(AE1786&lt;&gt;"",COUNTIFS(tcTipo,AE1786,tcLiq,"Sí")&gt;0),S1786,0))</f>
        <v/>
      </c>
      <c r="AI1786" s="52">
        <f>IF(OR(L1786="",P1786=""),"",IF(COUNTIFS(L$6:L1786,L1786,P$6:P1786,"?*")=1,MAX(AI$5:AI1785)+1,""))</f>
        <v/>
      </c>
    </row>
    <row r="1787">
      <c r="B1787" s="47" t="n"/>
      <c r="C1787" s="48" t="n"/>
      <c r="D1787" s="48" t="n"/>
      <c r="E1787" s="48" t="n"/>
      <c r="F1787" s="48" t="n"/>
      <c r="G1787" s="49" t="n"/>
      <c r="H1787" s="48" t="n"/>
      <c r="I1787" s="50" t="n"/>
      <c r="J1787" s="48" t="n"/>
      <c r="K1787" s="48" t="n"/>
      <c r="L1787" s="48" t="n"/>
      <c r="M1787" s="48" t="n"/>
      <c r="N1787" s="48" t="n"/>
      <c r="O1787" s="51">
        <f>IF(AND(B1787="",G1787="",C1787="",D1787="",J1787=""),"",IF(B1787="","⚠ Falta fecha",IF(G1787="","⚠ Falta monto",IF(Q1787="","⚠ Falta cuenta",IF(ISNA(MATCH(Q1787,ctaNombre,0)),"⚠ Cuenta no registrada",IF(AND(OR(P1787="Gasto",P1787="Reembolso"),D1787=""),"⚠ Falta categoría",IF(AND(D1787&lt;&gt;"",E1787&lt;&gt;"",ISNA(MATCH(D1787&amp;"|"&amp;E1787,catClave,0))),"⚠ Subcategoría no corresponde",IF(AND(OR(P1787="Transferencia",P1787="Pago tarjeta"),K1787=""),"⚠ Falta cuenta destino",IF(AND(K1787&lt;&gt;"",P1787&lt;&gt;"Transferencia",P1787&lt;&gt;"Pago tarjeta"),"⚠ Destino solo aplica a transferencias",IF(AND(K1787&lt;&gt;"",K1787=Q1787),"⚠ Origen igual a destino",IF(AND(K1787&lt;&gt;"",ISNA(MATCH(K1787,ctaNombre,0))),"⚠ Destino no registrado",IF(AND(P1787="Pago tarjeta",AE1787&lt;&gt;"Tarjeta de crédito"),"⚠ El destino debe ser tarjeta de crédito",IF(AND(P1787="Gasto",E1787="Depósitos y retiros"),"⚠ Usa tipo Transferencia",IF(AND(P1787="Resultado trading",AD1787&lt;&gt;"Cuenta de trading"),"⚠ Usa una cuenta de trading",IF(AND(G1787&lt;=0,P1787&lt;&gt;"Ajuste",P1787&lt;&gt;"Resultado trading"),"⚠ El monto debe ser positivo","✓")))))))))))))))</f>
        <v/>
      </c>
      <c r="P1787" s="52">
        <f>IF(OR(B1787="",G1787=""),"",IF(C1787="","Gasto",C1787))</f>
        <v/>
      </c>
      <c r="Q1787" s="52">
        <f>IF(P1787="","",IF(J1787&lt;&gt;"",J1787,CuentaPred&amp;""))</f>
        <v/>
      </c>
      <c r="R1787" s="52">
        <f>IF(P1787="","",IF(ISNUMBER(I1787),I1787,TasaUSD))</f>
        <v/>
      </c>
      <c r="S1787" s="53">
        <f>IF(P1787="","",IF(H1787="USD",G1787*R1787,G1787))</f>
        <v/>
      </c>
      <c r="T1787" s="53">
        <f>IF(P1787="","",IF(H1787="USD",G1787,IF(R1787&gt;0,G1787/R1787,0)))</f>
        <v/>
      </c>
      <c r="U1787" s="53">
        <f>IF(P1787="","",IF(P1787="Gasto",S1787,IF(P1787="Reembolso",-S1787,0)))</f>
        <v/>
      </c>
      <c r="V1787" s="53">
        <f>IF(P1787="","",IF(P1787="Ingreso",S1787,0))</f>
        <v/>
      </c>
      <c r="W1787" s="53">
        <f>IF(P1787="","",IF(P1787="Resultado trading",S1787,0))</f>
        <v/>
      </c>
      <c r="X1787" s="52">
        <f>IF(OR(P1787="Gasto",P1787="Reembolso"),IF(M1787&lt;&gt;"",M1787,IFERROR(INDEX(catClasif,MATCH(D1787&amp;"|"&amp;E1787,catClave,0))&amp;"","Variable")),"")</f>
        <v/>
      </c>
      <c r="Y1787" s="52">
        <f>IF(P1787="","",IFERROR(INDEX(catGrupo,MATCH(D1787&amp;"|"&amp;E1787,catClave,0))&amp;"",""))</f>
        <v/>
      </c>
      <c r="Z1787" s="52">
        <f>IF(P1787="","",WEEKDAY(B1787,2))</f>
        <v/>
      </c>
      <c r="AA1787" s="52">
        <f>IF(P1787="","",IF(AND(P1787="Gasto",X1787="Variable",D1787&lt;&gt;catTrading,S1787&gt;0,S1787&lt;=Umbral),1,0))</f>
        <v/>
      </c>
      <c r="AB1787" s="52">
        <f>IF(OR(P1787="",Q1787=""),"",IFERROR(IF(INDEX(ctaVinc,MATCH(Q1787,ctaNombre,0))&amp;""&lt;&gt;"",INDEX(ctaVinc,MATCH(Q1787,ctaNombre,0))&amp;"",Q1787),Q1787))</f>
        <v/>
      </c>
      <c r="AC1787" s="52">
        <f>IF(OR(K1787="",AND(P1787&lt;&gt;"Transferencia",P1787&lt;&gt;"Pago tarjeta")),"",IFERROR(IF(INDEX(ctaVinc,MATCH(K1787,ctaNombre,0))&amp;""&lt;&gt;"",INDEX(ctaVinc,MATCH(K1787,ctaNombre,0))&amp;"",K1787),K1787))</f>
        <v/>
      </c>
      <c r="AD1787" s="52">
        <f>IF(AB1787="","",IFERROR(INDEX(ctaTipo,MATCH(AB1787,ctaNombre,0))&amp;"",""))</f>
        <v/>
      </c>
      <c r="AE1787" s="52">
        <f>IF(AC1787="","",IFERROR(INDEX(ctaTipo,MATCH(AC1787,ctaNombre,0))&amp;"",""))</f>
        <v/>
      </c>
      <c r="AF1787" s="53">
        <f>IF(OR(P1787="",AB1787=""),"",IF(OR(P1787="Gasto",P1787="Transferencia",P1787="Pago tarjeta"),-1,1)*IF(IFERROR(INDEX(ctaMoneda,MATCH(AB1787,ctaNombre,0))&amp;"","DOP")="USD",T1787,S1787))</f>
        <v/>
      </c>
      <c r="AG1787" s="53">
        <f>IF(AC1787="","",IF(IFERROR(INDEX(ctaMoneda,MATCH(AC1787,ctaNombre,0))&amp;"","DOP")="USD",T1787,S1787))</f>
        <v/>
      </c>
      <c r="AH1787" s="53">
        <f>IF(P1787="","",IF(AND(AD1787&lt;&gt;"",COUNTIFS(tcTipo,AD1787,tcLiq,"Sí")&gt;0),IF(OR(P1787="Gasto",P1787="Transferencia",P1787="Pago tarjeta"),-1,1)*S1787,0)+IF(AND(AE1787&lt;&gt;"",COUNTIFS(tcTipo,AE1787,tcLiq,"Sí")&gt;0),S1787,0))</f>
        <v/>
      </c>
      <c r="AI1787" s="52">
        <f>IF(OR(L1787="",P1787=""),"",IF(COUNTIFS(L$6:L1787,L1787,P$6:P1787,"?*")=1,MAX(AI$5:AI1786)+1,""))</f>
        <v/>
      </c>
    </row>
    <row r="1788">
      <c r="B1788" s="47" t="n"/>
      <c r="C1788" s="48" t="n"/>
      <c r="D1788" s="48" t="n"/>
      <c r="E1788" s="48" t="n"/>
      <c r="F1788" s="48" t="n"/>
      <c r="G1788" s="49" t="n"/>
      <c r="H1788" s="48" t="n"/>
      <c r="I1788" s="50" t="n"/>
      <c r="J1788" s="48" t="n"/>
      <c r="K1788" s="48" t="n"/>
      <c r="L1788" s="48" t="n"/>
      <c r="M1788" s="48" t="n"/>
      <c r="N1788" s="48" t="n"/>
      <c r="O1788" s="51">
        <f>IF(AND(B1788="",G1788="",C1788="",D1788="",J1788=""),"",IF(B1788="","⚠ Falta fecha",IF(G1788="","⚠ Falta monto",IF(Q1788="","⚠ Falta cuenta",IF(ISNA(MATCH(Q1788,ctaNombre,0)),"⚠ Cuenta no registrada",IF(AND(OR(P1788="Gasto",P1788="Reembolso"),D1788=""),"⚠ Falta categoría",IF(AND(D1788&lt;&gt;"",E1788&lt;&gt;"",ISNA(MATCH(D1788&amp;"|"&amp;E1788,catClave,0))),"⚠ Subcategoría no corresponde",IF(AND(OR(P1788="Transferencia",P1788="Pago tarjeta"),K1788=""),"⚠ Falta cuenta destino",IF(AND(K1788&lt;&gt;"",P1788&lt;&gt;"Transferencia",P1788&lt;&gt;"Pago tarjeta"),"⚠ Destino solo aplica a transferencias",IF(AND(K1788&lt;&gt;"",K1788=Q1788),"⚠ Origen igual a destino",IF(AND(K1788&lt;&gt;"",ISNA(MATCH(K1788,ctaNombre,0))),"⚠ Destino no registrado",IF(AND(P1788="Pago tarjeta",AE1788&lt;&gt;"Tarjeta de crédito"),"⚠ El destino debe ser tarjeta de crédito",IF(AND(P1788="Gasto",E1788="Depósitos y retiros"),"⚠ Usa tipo Transferencia",IF(AND(P1788="Resultado trading",AD1788&lt;&gt;"Cuenta de trading"),"⚠ Usa una cuenta de trading",IF(AND(G1788&lt;=0,P1788&lt;&gt;"Ajuste",P1788&lt;&gt;"Resultado trading"),"⚠ El monto debe ser positivo","✓")))))))))))))))</f>
        <v/>
      </c>
      <c r="P1788" s="52">
        <f>IF(OR(B1788="",G1788=""),"",IF(C1788="","Gasto",C1788))</f>
        <v/>
      </c>
      <c r="Q1788" s="52">
        <f>IF(P1788="","",IF(J1788&lt;&gt;"",J1788,CuentaPred&amp;""))</f>
        <v/>
      </c>
      <c r="R1788" s="52">
        <f>IF(P1788="","",IF(ISNUMBER(I1788),I1788,TasaUSD))</f>
        <v/>
      </c>
      <c r="S1788" s="53">
        <f>IF(P1788="","",IF(H1788="USD",G1788*R1788,G1788))</f>
        <v/>
      </c>
      <c r="T1788" s="53">
        <f>IF(P1788="","",IF(H1788="USD",G1788,IF(R1788&gt;0,G1788/R1788,0)))</f>
        <v/>
      </c>
      <c r="U1788" s="53">
        <f>IF(P1788="","",IF(P1788="Gasto",S1788,IF(P1788="Reembolso",-S1788,0)))</f>
        <v/>
      </c>
      <c r="V1788" s="53">
        <f>IF(P1788="","",IF(P1788="Ingreso",S1788,0))</f>
        <v/>
      </c>
      <c r="W1788" s="53">
        <f>IF(P1788="","",IF(P1788="Resultado trading",S1788,0))</f>
        <v/>
      </c>
      <c r="X1788" s="52">
        <f>IF(OR(P1788="Gasto",P1788="Reembolso"),IF(M1788&lt;&gt;"",M1788,IFERROR(INDEX(catClasif,MATCH(D1788&amp;"|"&amp;E1788,catClave,0))&amp;"","Variable")),"")</f>
        <v/>
      </c>
      <c r="Y1788" s="52">
        <f>IF(P1788="","",IFERROR(INDEX(catGrupo,MATCH(D1788&amp;"|"&amp;E1788,catClave,0))&amp;"",""))</f>
        <v/>
      </c>
      <c r="Z1788" s="52">
        <f>IF(P1788="","",WEEKDAY(B1788,2))</f>
        <v/>
      </c>
      <c r="AA1788" s="52">
        <f>IF(P1788="","",IF(AND(P1788="Gasto",X1788="Variable",D1788&lt;&gt;catTrading,S1788&gt;0,S1788&lt;=Umbral),1,0))</f>
        <v/>
      </c>
      <c r="AB1788" s="52">
        <f>IF(OR(P1788="",Q1788=""),"",IFERROR(IF(INDEX(ctaVinc,MATCH(Q1788,ctaNombre,0))&amp;""&lt;&gt;"",INDEX(ctaVinc,MATCH(Q1788,ctaNombre,0))&amp;"",Q1788),Q1788))</f>
        <v/>
      </c>
      <c r="AC1788" s="52">
        <f>IF(OR(K1788="",AND(P1788&lt;&gt;"Transferencia",P1788&lt;&gt;"Pago tarjeta")),"",IFERROR(IF(INDEX(ctaVinc,MATCH(K1788,ctaNombre,0))&amp;""&lt;&gt;"",INDEX(ctaVinc,MATCH(K1788,ctaNombre,0))&amp;"",K1788),K1788))</f>
        <v/>
      </c>
      <c r="AD1788" s="52">
        <f>IF(AB1788="","",IFERROR(INDEX(ctaTipo,MATCH(AB1788,ctaNombre,0))&amp;"",""))</f>
        <v/>
      </c>
      <c r="AE1788" s="52">
        <f>IF(AC1788="","",IFERROR(INDEX(ctaTipo,MATCH(AC1788,ctaNombre,0))&amp;"",""))</f>
        <v/>
      </c>
      <c r="AF1788" s="53">
        <f>IF(OR(P1788="",AB1788=""),"",IF(OR(P1788="Gasto",P1788="Transferencia",P1788="Pago tarjeta"),-1,1)*IF(IFERROR(INDEX(ctaMoneda,MATCH(AB1788,ctaNombre,0))&amp;"","DOP")="USD",T1788,S1788))</f>
        <v/>
      </c>
      <c r="AG1788" s="53">
        <f>IF(AC1788="","",IF(IFERROR(INDEX(ctaMoneda,MATCH(AC1788,ctaNombre,0))&amp;"","DOP")="USD",T1788,S1788))</f>
        <v/>
      </c>
      <c r="AH1788" s="53">
        <f>IF(P1788="","",IF(AND(AD1788&lt;&gt;"",COUNTIFS(tcTipo,AD1788,tcLiq,"Sí")&gt;0),IF(OR(P1788="Gasto",P1788="Transferencia",P1788="Pago tarjeta"),-1,1)*S1788,0)+IF(AND(AE1788&lt;&gt;"",COUNTIFS(tcTipo,AE1788,tcLiq,"Sí")&gt;0),S1788,0))</f>
        <v/>
      </c>
      <c r="AI1788" s="52">
        <f>IF(OR(L1788="",P1788=""),"",IF(COUNTIFS(L$6:L1788,L1788,P$6:P1788,"?*")=1,MAX(AI$5:AI1787)+1,""))</f>
        <v/>
      </c>
    </row>
    <row r="1789">
      <c r="B1789" s="47" t="n"/>
      <c r="C1789" s="48" t="n"/>
      <c r="D1789" s="48" t="n"/>
      <c r="E1789" s="48" t="n"/>
      <c r="F1789" s="48" t="n"/>
      <c r="G1789" s="49" t="n"/>
      <c r="H1789" s="48" t="n"/>
      <c r="I1789" s="50" t="n"/>
      <c r="J1789" s="48" t="n"/>
      <c r="K1789" s="48" t="n"/>
      <c r="L1789" s="48" t="n"/>
      <c r="M1789" s="48" t="n"/>
      <c r="N1789" s="48" t="n"/>
      <c r="O1789" s="51">
        <f>IF(AND(B1789="",G1789="",C1789="",D1789="",J1789=""),"",IF(B1789="","⚠ Falta fecha",IF(G1789="","⚠ Falta monto",IF(Q1789="","⚠ Falta cuenta",IF(ISNA(MATCH(Q1789,ctaNombre,0)),"⚠ Cuenta no registrada",IF(AND(OR(P1789="Gasto",P1789="Reembolso"),D1789=""),"⚠ Falta categoría",IF(AND(D1789&lt;&gt;"",E1789&lt;&gt;"",ISNA(MATCH(D1789&amp;"|"&amp;E1789,catClave,0))),"⚠ Subcategoría no corresponde",IF(AND(OR(P1789="Transferencia",P1789="Pago tarjeta"),K1789=""),"⚠ Falta cuenta destino",IF(AND(K1789&lt;&gt;"",P1789&lt;&gt;"Transferencia",P1789&lt;&gt;"Pago tarjeta"),"⚠ Destino solo aplica a transferencias",IF(AND(K1789&lt;&gt;"",K1789=Q1789),"⚠ Origen igual a destino",IF(AND(K1789&lt;&gt;"",ISNA(MATCH(K1789,ctaNombre,0))),"⚠ Destino no registrado",IF(AND(P1789="Pago tarjeta",AE1789&lt;&gt;"Tarjeta de crédito"),"⚠ El destino debe ser tarjeta de crédito",IF(AND(P1789="Gasto",E1789="Depósitos y retiros"),"⚠ Usa tipo Transferencia",IF(AND(P1789="Resultado trading",AD1789&lt;&gt;"Cuenta de trading"),"⚠ Usa una cuenta de trading",IF(AND(G1789&lt;=0,P1789&lt;&gt;"Ajuste",P1789&lt;&gt;"Resultado trading"),"⚠ El monto debe ser positivo","✓")))))))))))))))</f>
        <v/>
      </c>
      <c r="P1789" s="52">
        <f>IF(OR(B1789="",G1789=""),"",IF(C1789="","Gasto",C1789))</f>
        <v/>
      </c>
      <c r="Q1789" s="52">
        <f>IF(P1789="","",IF(J1789&lt;&gt;"",J1789,CuentaPred&amp;""))</f>
        <v/>
      </c>
      <c r="R1789" s="52">
        <f>IF(P1789="","",IF(ISNUMBER(I1789),I1789,TasaUSD))</f>
        <v/>
      </c>
      <c r="S1789" s="53">
        <f>IF(P1789="","",IF(H1789="USD",G1789*R1789,G1789))</f>
        <v/>
      </c>
      <c r="T1789" s="53">
        <f>IF(P1789="","",IF(H1789="USD",G1789,IF(R1789&gt;0,G1789/R1789,0)))</f>
        <v/>
      </c>
      <c r="U1789" s="53">
        <f>IF(P1789="","",IF(P1789="Gasto",S1789,IF(P1789="Reembolso",-S1789,0)))</f>
        <v/>
      </c>
      <c r="V1789" s="53">
        <f>IF(P1789="","",IF(P1789="Ingreso",S1789,0))</f>
        <v/>
      </c>
      <c r="W1789" s="53">
        <f>IF(P1789="","",IF(P1789="Resultado trading",S1789,0))</f>
        <v/>
      </c>
      <c r="X1789" s="52">
        <f>IF(OR(P1789="Gasto",P1789="Reembolso"),IF(M1789&lt;&gt;"",M1789,IFERROR(INDEX(catClasif,MATCH(D1789&amp;"|"&amp;E1789,catClave,0))&amp;"","Variable")),"")</f>
        <v/>
      </c>
      <c r="Y1789" s="52">
        <f>IF(P1789="","",IFERROR(INDEX(catGrupo,MATCH(D1789&amp;"|"&amp;E1789,catClave,0))&amp;"",""))</f>
        <v/>
      </c>
      <c r="Z1789" s="52">
        <f>IF(P1789="","",WEEKDAY(B1789,2))</f>
        <v/>
      </c>
      <c r="AA1789" s="52">
        <f>IF(P1789="","",IF(AND(P1789="Gasto",X1789="Variable",D1789&lt;&gt;catTrading,S1789&gt;0,S1789&lt;=Umbral),1,0))</f>
        <v/>
      </c>
      <c r="AB1789" s="52">
        <f>IF(OR(P1789="",Q1789=""),"",IFERROR(IF(INDEX(ctaVinc,MATCH(Q1789,ctaNombre,0))&amp;""&lt;&gt;"",INDEX(ctaVinc,MATCH(Q1789,ctaNombre,0))&amp;"",Q1789),Q1789))</f>
        <v/>
      </c>
      <c r="AC1789" s="52">
        <f>IF(OR(K1789="",AND(P1789&lt;&gt;"Transferencia",P1789&lt;&gt;"Pago tarjeta")),"",IFERROR(IF(INDEX(ctaVinc,MATCH(K1789,ctaNombre,0))&amp;""&lt;&gt;"",INDEX(ctaVinc,MATCH(K1789,ctaNombre,0))&amp;"",K1789),K1789))</f>
        <v/>
      </c>
      <c r="AD1789" s="52">
        <f>IF(AB1789="","",IFERROR(INDEX(ctaTipo,MATCH(AB1789,ctaNombre,0))&amp;"",""))</f>
        <v/>
      </c>
      <c r="AE1789" s="52">
        <f>IF(AC1789="","",IFERROR(INDEX(ctaTipo,MATCH(AC1789,ctaNombre,0))&amp;"",""))</f>
        <v/>
      </c>
      <c r="AF1789" s="53">
        <f>IF(OR(P1789="",AB1789=""),"",IF(OR(P1789="Gasto",P1789="Transferencia",P1789="Pago tarjeta"),-1,1)*IF(IFERROR(INDEX(ctaMoneda,MATCH(AB1789,ctaNombre,0))&amp;"","DOP")="USD",T1789,S1789))</f>
        <v/>
      </c>
      <c r="AG1789" s="53">
        <f>IF(AC1789="","",IF(IFERROR(INDEX(ctaMoneda,MATCH(AC1789,ctaNombre,0))&amp;"","DOP")="USD",T1789,S1789))</f>
        <v/>
      </c>
      <c r="AH1789" s="53">
        <f>IF(P1789="","",IF(AND(AD1789&lt;&gt;"",COUNTIFS(tcTipo,AD1789,tcLiq,"Sí")&gt;0),IF(OR(P1789="Gasto",P1789="Transferencia",P1789="Pago tarjeta"),-1,1)*S1789,0)+IF(AND(AE1789&lt;&gt;"",COUNTIFS(tcTipo,AE1789,tcLiq,"Sí")&gt;0),S1789,0))</f>
        <v/>
      </c>
      <c r="AI1789" s="52">
        <f>IF(OR(L1789="",P1789=""),"",IF(COUNTIFS(L$6:L1789,L1789,P$6:P1789,"?*")=1,MAX(AI$5:AI1788)+1,""))</f>
        <v/>
      </c>
    </row>
    <row r="1790">
      <c r="B1790" s="47" t="n"/>
      <c r="C1790" s="48" t="n"/>
      <c r="D1790" s="48" t="n"/>
      <c r="E1790" s="48" t="n"/>
      <c r="F1790" s="48" t="n"/>
      <c r="G1790" s="49" t="n"/>
      <c r="H1790" s="48" t="n"/>
      <c r="I1790" s="50" t="n"/>
      <c r="J1790" s="48" t="n"/>
      <c r="K1790" s="48" t="n"/>
      <c r="L1790" s="48" t="n"/>
      <c r="M1790" s="48" t="n"/>
      <c r="N1790" s="48" t="n"/>
      <c r="O1790" s="51">
        <f>IF(AND(B1790="",G1790="",C1790="",D1790="",J1790=""),"",IF(B1790="","⚠ Falta fecha",IF(G1790="","⚠ Falta monto",IF(Q1790="","⚠ Falta cuenta",IF(ISNA(MATCH(Q1790,ctaNombre,0)),"⚠ Cuenta no registrada",IF(AND(OR(P1790="Gasto",P1790="Reembolso"),D1790=""),"⚠ Falta categoría",IF(AND(D1790&lt;&gt;"",E1790&lt;&gt;"",ISNA(MATCH(D1790&amp;"|"&amp;E1790,catClave,0))),"⚠ Subcategoría no corresponde",IF(AND(OR(P1790="Transferencia",P1790="Pago tarjeta"),K1790=""),"⚠ Falta cuenta destino",IF(AND(K1790&lt;&gt;"",P1790&lt;&gt;"Transferencia",P1790&lt;&gt;"Pago tarjeta"),"⚠ Destino solo aplica a transferencias",IF(AND(K1790&lt;&gt;"",K1790=Q1790),"⚠ Origen igual a destino",IF(AND(K1790&lt;&gt;"",ISNA(MATCH(K1790,ctaNombre,0))),"⚠ Destino no registrado",IF(AND(P1790="Pago tarjeta",AE1790&lt;&gt;"Tarjeta de crédito"),"⚠ El destino debe ser tarjeta de crédito",IF(AND(P1790="Gasto",E1790="Depósitos y retiros"),"⚠ Usa tipo Transferencia",IF(AND(P1790="Resultado trading",AD1790&lt;&gt;"Cuenta de trading"),"⚠ Usa una cuenta de trading",IF(AND(G1790&lt;=0,P1790&lt;&gt;"Ajuste",P1790&lt;&gt;"Resultado trading"),"⚠ El monto debe ser positivo","✓")))))))))))))))</f>
        <v/>
      </c>
      <c r="P1790" s="52">
        <f>IF(OR(B1790="",G1790=""),"",IF(C1790="","Gasto",C1790))</f>
        <v/>
      </c>
      <c r="Q1790" s="52">
        <f>IF(P1790="","",IF(J1790&lt;&gt;"",J1790,CuentaPred&amp;""))</f>
        <v/>
      </c>
      <c r="R1790" s="52">
        <f>IF(P1790="","",IF(ISNUMBER(I1790),I1790,TasaUSD))</f>
        <v/>
      </c>
      <c r="S1790" s="53">
        <f>IF(P1790="","",IF(H1790="USD",G1790*R1790,G1790))</f>
        <v/>
      </c>
      <c r="T1790" s="53">
        <f>IF(P1790="","",IF(H1790="USD",G1790,IF(R1790&gt;0,G1790/R1790,0)))</f>
        <v/>
      </c>
      <c r="U1790" s="53">
        <f>IF(P1790="","",IF(P1790="Gasto",S1790,IF(P1790="Reembolso",-S1790,0)))</f>
        <v/>
      </c>
      <c r="V1790" s="53">
        <f>IF(P1790="","",IF(P1790="Ingreso",S1790,0))</f>
        <v/>
      </c>
      <c r="W1790" s="53">
        <f>IF(P1790="","",IF(P1790="Resultado trading",S1790,0))</f>
        <v/>
      </c>
      <c r="X1790" s="52">
        <f>IF(OR(P1790="Gasto",P1790="Reembolso"),IF(M1790&lt;&gt;"",M1790,IFERROR(INDEX(catClasif,MATCH(D1790&amp;"|"&amp;E1790,catClave,0))&amp;"","Variable")),"")</f>
        <v/>
      </c>
      <c r="Y1790" s="52">
        <f>IF(P1790="","",IFERROR(INDEX(catGrupo,MATCH(D1790&amp;"|"&amp;E1790,catClave,0))&amp;"",""))</f>
        <v/>
      </c>
      <c r="Z1790" s="52">
        <f>IF(P1790="","",WEEKDAY(B1790,2))</f>
        <v/>
      </c>
      <c r="AA1790" s="52">
        <f>IF(P1790="","",IF(AND(P1790="Gasto",X1790="Variable",D1790&lt;&gt;catTrading,S1790&gt;0,S1790&lt;=Umbral),1,0))</f>
        <v/>
      </c>
      <c r="AB1790" s="52">
        <f>IF(OR(P1790="",Q1790=""),"",IFERROR(IF(INDEX(ctaVinc,MATCH(Q1790,ctaNombre,0))&amp;""&lt;&gt;"",INDEX(ctaVinc,MATCH(Q1790,ctaNombre,0))&amp;"",Q1790),Q1790))</f>
        <v/>
      </c>
      <c r="AC1790" s="52">
        <f>IF(OR(K1790="",AND(P1790&lt;&gt;"Transferencia",P1790&lt;&gt;"Pago tarjeta")),"",IFERROR(IF(INDEX(ctaVinc,MATCH(K1790,ctaNombre,0))&amp;""&lt;&gt;"",INDEX(ctaVinc,MATCH(K1790,ctaNombre,0))&amp;"",K1790),K1790))</f>
        <v/>
      </c>
      <c r="AD1790" s="52">
        <f>IF(AB1790="","",IFERROR(INDEX(ctaTipo,MATCH(AB1790,ctaNombre,0))&amp;"",""))</f>
        <v/>
      </c>
      <c r="AE1790" s="52">
        <f>IF(AC1790="","",IFERROR(INDEX(ctaTipo,MATCH(AC1790,ctaNombre,0))&amp;"",""))</f>
        <v/>
      </c>
      <c r="AF1790" s="53">
        <f>IF(OR(P1790="",AB1790=""),"",IF(OR(P1790="Gasto",P1790="Transferencia",P1790="Pago tarjeta"),-1,1)*IF(IFERROR(INDEX(ctaMoneda,MATCH(AB1790,ctaNombre,0))&amp;"","DOP")="USD",T1790,S1790))</f>
        <v/>
      </c>
      <c r="AG1790" s="53">
        <f>IF(AC1790="","",IF(IFERROR(INDEX(ctaMoneda,MATCH(AC1790,ctaNombre,0))&amp;"","DOP")="USD",T1790,S1790))</f>
        <v/>
      </c>
      <c r="AH1790" s="53">
        <f>IF(P1790="","",IF(AND(AD1790&lt;&gt;"",COUNTIFS(tcTipo,AD1790,tcLiq,"Sí")&gt;0),IF(OR(P1790="Gasto",P1790="Transferencia",P1790="Pago tarjeta"),-1,1)*S1790,0)+IF(AND(AE1790&lt;&gt;"",COUNTIFS(tcTipo,AE1790,tcLiq,"Sí")&gt;0),S1790,0))</f>
        <v/>
      </c>
      <c r="AI1790" s="52">
        <f>IF(OR(L1790="",P1790=""),"",IF(COUNTIFS(L$6:L1790,L1790,P$6:P1790,"?*")=1,MAX(AI$5:AI1789)+1,""))</f>
        <v/>
      </c>
    </row>
    <row r="1791">
      <c r="B1791" s="47" t="n"/>
      <c r="C1791" s="48" t="n"/>
      <c r="D1791" s="48" t="n"/>
      <c r="E1791" s="48" t="n"/>
      <c r="F1791" s="48" t="n"/>
      <c r="G1791" s="49" t="n"/>
      <c r="H1791" s="48" t="n"/>
      <c r="I1791" s="50" t="n"/>
      <c r="J1791" s="48" t="n"/>
      <c r="K1791" s="48" t="n"/>
      <c r="L1791" s="48" t="n"/>
      <c r="M1791" s="48" t="n"/>
      <c r="N1791" s="48" t="n"/>
      <c r="O1791" s="51">
        <f>IF(AND(B1791="",G1791="",C1791="",D1791="",J1791=""),"",IF(B1791="","⚠ Falta fecha",IF(G1791="","⚠ Falta monto",IF(Q1791="","⚠ Falta cuenta",IF(ISNA(MATCH(Q1791,ctaNombre,0)),"⚠ Cuenta no registrada",IF(AND(OR(P1791="Gasto",P1791="Reembolso"),D1791=""),"⚠ Falta categoría",IF(AND(D1791&lt;&gt;"",E1791&lt;&gt;"",ISNA(MATCH(D1791&amp;"|"&amp;E1791,catClave,0))),"⚠ Subcategoría no corresponde",IF(AND(OR(P1791="Transferencia",P1791="Pago tarjeta"),K1791=""),"⚠ Falta cuenta destino",IF(AND(K1791&lt;&gt;"",P1791&lt;&gt;"Transferencia",P1791&lt;&gt;"Pago tarjeta"),"⚠ Destino solo aplica a transferencias",IF(AND(K1791&lt;&gt;"",K1791=Q1791),"⚠ Origen igual a destino",IF(AND(K1791&lt;&gt;"",ISNA(MATCH(K1791,ctaNombre,0))),"⚠ Destino no registrado",IF(AND(P1791="Pago tarjeta",AE1791&lt;&gt;"Tarjeta de crédito"),"⚠ El destino debe ser tarjeta de crédito",IF(AND(P1791="Gasto",E1791="Depósitos y retiros"),"⚠ Usa tipo Transferencia",IF(AND(P1791="Resultado trading",AD1791&lt;&gt;"Cuenta de trading"),"⚠ Usa una cuenta de trading",IF(AND(G1791&lt;=0,P1791&lt;&gt;"Ajuste",P1791&lt;&gt;"Resultado trading"),"⚠ El monto debe ser positivo","✓")))))))))))))))</f>
        <v/>
      </c>
      <c r="P1791" s="52">
        <f>IF(OR(B1791="",G1791=""),"",IF(C1791="","Gasto",C1791))</f>
        <v/>
      </c>
      <c r="Q1791" s="52">
        <f>IF(P1791="","",IF(J1791&lt;&gt;"",J1791,CuentaPred&amp;""))</f>
        <v/>
      </c>
      <c r="R1791" s="52">
        <f>IF(P1791="","",IF(ISNUMBER(I1791),I1791,TasaUSD))</f>
        <v/>
      </c>
      <c r="S1791" s="53">
        <f>IF(P1791="","",IF(H1791="USD",G1791*R1791,G1791))</f>
        <v/>
      </c>
      <c r="T1791" s="53">
        <f>IF(P1791="","",IF(H1791="USD",G1791,IF(R1791&gt;0,G1791/R1791,0)))</f>
        <v/>
      </c>
      <c r="U1791" s="53">
        <f>IF(P1791="","",IF(P1791="Gasto",S1791,IF(P1791="Reembolso",-S1791,0)))</f>
        <v/>
      </c>
      <c r="V1791" s="53">
        <f>IF(P1791="","",IF(P1791="Ingreso",S1791,0))</f>
        <v/>
      </c>
      <c r="W1791" s="53">
        <f>IF(P1791="","",IF(P1791="Resultado trading",S1791,0))</f>
        <v/>
      </c>
      <c r="X1791" s="52">
        <f>IF(OR(P1791="Gasto",P1791="Reembolso"),IF(M1791&lt;&gt;"",M1791,IFERROR(INDEX(catClasif,MATCH(D1791&amp;"|"&amp;E1791,catClave,0))&amp;"","Variable")),"")</f>
        <v/>
      </c>
      <c r="Y1791" s="52">
        <f>IF(P1791="","",IFERROR(INDEX(catGrupo,MATCH(D1791&amp;"|"&amp;E1791,catClave,0))&amp;"",""))</f>
        <v/>
      </c>
      <c r="Z1791" s="52">
        <f>IF(P1791="","",WEEKDAY(B1791,2))</f>
        <v/>
      </c>
      <c r="AA1791" s="52">
        <f>IF(P1791="","",IF(AND(P1791="Gasto",X1791="Variable",D1791&lt;&gt;catTrading,S1791&gt;0,S1791&lt;=Umbral),1,0))</f>
        <v/>
      </c>
      <c r="AB1791" s="52">
        <f>IF(OR(P1791="",Q1791=""),"",IFERROR(IF(INDEX(ctaVinc,MATCH(Q1791,ctaNombre,0))&amp;""&lt;&gt;"",INDEX(ctaVinc,MATCH(Q1791,ctaNombre,0))&amp;"",Q1791),Q1791))</f>
        <v/>
      </c>
      <c r="AC1791" s="52">
        <f>IF(OR(K1791="",AND(P1791&lt;&gt;"Transferencia",P1791&lt;&gt;"Pago tarjeta")),"",IFERROR(IF(INDEX(ctaVinc,MATCH(K1791,ctaNombre,0))&amp;""&lt;&gt;"",INDEX(ctaVinc,MATCH(K1791,ctaNombre,0))&amp;"",K1791),K1791))</f>
        <v/>
      </c>
      <c r="AD1791" s="52">
        <f>IF(AB1791="","",IFERROR(INDEX(ctaTipo,MATCH(AB1791,ctaNombre,0))&amp;"",""))</f>
        <v/>
      </c>
      <c r="AE1791" s="52">
        <f>IF(AC1791="","",IFERROR(INDEX(ctaTipo,MATCH(AC1791,ctaNombre,0))&amp;"",""))</f>
        <v/>
      </c>
      <c r="AF1791" s="53">
        <f>IF(OR(P1791="",AB1791=""),"",IF(OR(P1791="Gasto",P1791="Transferencia",P1791="Pago tarjeta"),-1,1)*IF(IFERROR(INDEX(ctaMoneda,MATCH(AB1791,ctaNombre,0))&amp;"","DOP")="USD",T1791,S1791))</f>
        <v/>
      </c>
      <c r="AG1791" s="53">
        <f>IF(AC1791="","",IF(IFERROR(INDEX(ctaMoneda,MATCH(AC1791,ctaNombre,0))&amp;"","DOP")="USD",T1791,S1791))</f>
        <v/>
      </c>
      <c r="AH1791" s="53">
        <f>IF(P1791="","",IF(AND(AD1791&lt;&gt;"",COUNTIFS(tcTipo,AD1791,tcLiq,"Sí")&gt;0),IF(OR(P1791="Gasto",P1791="Transferencia",P1791="Pago tarjeta"),-1,1)*S1791,0)+IF(AND(AE1791&lt;&gt;"",COUNTIFS(tcTipo,AE1791,tcLiq,"Sí")&gt;0),S1791,0))</f>
        <v/>
      </c>
      <c r="AI1791" s="52">
        <f>IF(OR(L1791="",P1791=""),"",IF(COUNTIFS(L$6:L1791,L1791,P$6:P1791,"?*")=1,MAX(AI$5:AI1790)+1,""))</f>
        <v/>
      </c>
    </row>
    <row r="1792">
      <c r="B1792" s="47" t="n"/>
      <c r="C1792" s="48" t="n"/>
      <c r="D1792" s="48" t="n"/>
      <c r="E1792" s="48" t="n"/>
      <c r="F1792" s="48" t="n"/>
      <c r="G1792" s="49" t="n"/>
      <c r="H1792" s="48" t="n"/>
      <c r="I1792" s="50" t="n"/>
      <c r="J1792" s="48" t="n"/>
      <c r="K1792" s="48" t="n"/>
      <c r="L1792" s="48" t="n"/>
      <c r="M1792" s="48" t="n"/>
      <c r="N1792" s="48" t="n"/>
      <c r="O1792" s="51">
        <f>IF(AND(B1792="",G1792="",C1792="",D1792="",J1792=""),"",IF(B1792="","⚠ Falta fecha",IF(G1792="","⚠ Falta monto",IF(Q1792="","⚠ Falta cuenta",IF(ISNA(MATCH(Q1792,ctaNombre,0)),"⚠ Cuenta no registrada",IF(AND(OR(P1792="Gasto",P1792="Reembolso"),D1792=""),"⚠ Falta categoría",IF(AND(D1792&lt;&gt;"",E1792&lt;&gt;"",ISNA(MATCH(D1792&amp;"|"&amp;E1792,catClave,0))),"⚠ Subcategoría no corresponde",IF(AND(OR(P1792="Transferencia",P1792="Pago tarjeta"),K1792=""),"⚠ Falta cuenta destino",IF(AND(K1792&lt;&gt;"",P1792&lt;&gt;"Transferencia",P1792&lt;&gt;"Pago tarjeta"),"⚠ Destino solo aplica a transferencias",IF(AND(K1792&lt;&gt;"",K1792=Q1792),"⚠ Origen igual a destino",IF(AND(K1792&lt;&gt;"",ISNA(MATCH(K1792,ctaNombre,0))),"⚠ Destino no registrado",IF(AND(P1792="Pago tarjeta",AE1792&lt;&gt;"Tarjeta de crédito"),"⚠ El destino debe ser tarjeta de crédito",IF(AND(P1792="Gasto",E1792="Depósitos y retiros"),"⚠ Usa tipo Transferencia",IF(AND(P1792="Resultado trading",AD1792&lt;&gt;"Cuenta de trading"),"⚠ Usa una cuenta de trading",IF(AND(G1792&lt;=0,P1792&lt;&gt;"Ajuste",P1792&lt;&gt;"Resultado trading"),"⚠ El monto debe ser positivo","✓")))))))))))))))</f>
        <v/>
      </c>
      <c r="P1792" s="52">
        <f>IF(OR(B1792="",G1792=""),"",IF(C1792="","Gasto",C1792))</f>
        <v/>
      </c>
      <c r="Q1792" s="52">
        <f>IF(P1792="","",IF(J1792&lt;&gt;"",J1792,CuentaPred&amp;""))</f>
        <v/>
      </c>
      <c r="R1792" s="52">
        <f>IF(P1792="","",IF(ISNUMBER(I1792),I1792,TasaUSD))</f>
        <v/>
      </c>
      <c r="S1792" s="53">
        <f>IF(P1792="","",IF(H1792="USD",G1792*R1792,G1792))</f>
        <v/>
      </c>
      <c r="T1792" s="53">
        <f>IF(P1792="","",IF(H1792="USD",G1792,IF(R1792&gt;0,G1792/R1792,0)))</f>
        <v/>
      </c>
      <c r="U1792" s="53">
        <f>IF(P1792="","",IF(P1792="Gasto",S1792,IF(P1792="Reembolso",-S1792,0)))</f>
        <v/>
      </c>
      <c r="V1792" s="53">
        <f>IF(P1792="","",IF(P1792="Ingreso",S1792,0))</f>
        <v/>
      </c>
      <c r="W1792" s="53">
        <f>IF(P1792="","",IF(P1792="Resultado trading",S1792,0))</f>
        <v/>
      </c>
      <c r="X1792" s="52">
        <f>IF(OR(P1792="Gasto",P1792="Reembolso"),IF(M1792&lt;&gt;"",M1792,IFERROR(INDEX(catClasif,MATCH(D1792&amp;"|"&amp;E1792,catClave,0))&amp;"","Variable")),"")</f>
        <v/>
      </c>
      <c r="Y1792" s="52">
        <f>IF(P1792="","",IFERROR(INDEX(catGrupo,MATCH(D1792&amp;"|"&amp;E1792,catClave,0))&amp;"",""))</f>
        <v/>
      </c>
      <c r="Z1792" s="52">
        <f>IF(P1792="","",WEEKDAY(B1792,2))</f>
        <v/>
      </c>
      <c r="AA1792" s="52">
        <f>IF(P1792="","",IF(AND(P1792="Gasto",X1792="Variable",D1792&lt;&gt;catTrading,S1792&gt;0,S1792&lt;=Umbral),1,0))</f>
        <v/>
      </c>
      <c r="AB1792" s="52">
        <f>IF(OR(P1792="",Q1792=""),"",IFERROR(IF(INDEX(ctaVinc,MATCH(Q1792,ctaNombre,0))&amp;""&lt;&gt;"",INDEX(ctaVinc,MATCH(Q1792,ctaNombre,0))&amp;"",Q1792),Q1792))</f>
        <v/>
      </c>
      <c r="AC1792" s="52">
        <f>IF(OR(K1792="",AND(P1792&lt;&gt;"Transferencia",P1792&lt;&gt;"Pago tarjeta")),"",IFERROR(IF(INDEX(ctaVinc,MATCH(K1792,ctaNombre,0))&amp;""&lt;&gt;"",INDEX(ctaVinc,MATCH(K1792,ctaNombre,0))&amp;"",K1792),K1792))</f>
        <v/>
      </c>
      <c r="AD1792" s="52">
        <f>IF(AB1792="","",IFERROR(INDEX(ctaTipo,MATCH(AB1792,ctaNombre,0))&amp;"",""))</f>
        <v/>
      </c>
      <c r="AE1792" s="52">
        <f>IF(AC1792="","",IFERROR(INDEX(ctaTipo,MATCH(AC1792,ctaNombre,0))&amp;"",""))</f>
        <v/>
      </c>
      <c r="AF1792" s="53">
        <f>IF(OR(P1792="",AB1792=""),"",IF(OR(P1792="Gasto",P1792="Transferencia",P1792="Pago tarjeta"),-1,1)*IF(IFERROR(INDEX(ctaMoneda,MATCH(AB1792,ctaNombre,0))&amp;"","DOP")="USD",T1792,S1792))</f>
        <v/>
      </c>
      <c r="AG1792" s="53">
        <f>IF(AC1792="","",IF(IFERROR(INDEX(ctaMoneda,MATCH(AC1792,ctaNombre,0))&amp;"","DOP")="USD",T1792,S1792))</f>
        <v/>
      </c>
      <c r="AH1792" s="53">
        <f>IF(P1792="","",IF(AND(AD1792&lt;&gt;"",COUNTIFS(tcTipo,AD1792,tcLiq,"Sí")&gt;0),IF(OR(P1792="Gasto",P1792="Transferencia",P1792="Pago tarjeta"),-1,1)*S1792,0)+IF(AND(AE1792&lt;&gt;"",COUNTIFS(tcTipo,AE1792,tcLiq,"Sí")&gt;0),S1792,0))</f>
        <v/>
      </c>
      <c r="AI1792" s="52">
        <f>IF(OR(L1792="",P1792=""),"",IF(COUNTIFS(L$6:L1792,L1792,P$6:P1792,"?*")=1,MAX(AI$5:AI1791)+1,""))</f>
        <v/>
      </c>
    </row>
    <row r="1793">
      <c r="B1793" s="47" t="n"/>
      <c r="C1793" s="48" t="n"/>
      <c r="D1793" s="48" t="n"/>
      <c r="E1793" s="48" t="n"/>
      <c r="F1793" s="48" t="n"/>
      <c r="G1793" s="49" t="n"/>
      <c r="H1793" s="48" t="n"/>
      <c r="I1793" s="50" t="n"/>
      <c r="J1793" s="48" t="n"/>
      <c r="K1793" s="48" t="n"/>
      <c r="L1793" s="48" t="n"/>
      <c r="M1793" s="48" t="n"/>
      <c r="N1793" s="48" t="n"/>
      <c r="O1793" s="51">
        <f>IF(AND(B1793="",G1793="",C1793="",D1793="",J1793=""),"",IF(B1793="","⚠ Falta fecha",IF(G1793="","⚠ Falta monto",IF(Q1793="","⚠ Falta cuenta",IF(ISNA(MATCH(Q1793,ctaNombre,0)),"⚠ Cuenta no registrada",IF(AND(OR(P1793="Gasto",P1793="Reembolso"),D1793=""),"⚠ Falta categoría",IF(AND(D1793&lt;&gt;"",E1793&lt;&gt;"",ISNA(MATCH(D1793&amp;"|"&amp;E1793,catClave,0))),"⚠ Subcategoría no corresponde",IF(AND(OR(P1793="Transferencia",P1793="Pago tarjeta"),K1793=""),"⚠ Falta cuenta destino",IF(AND(K1793&lt;&gt;"",P1793&lt;&gt;"Transferencia",P1793&lt;&gt;"Pago tarjeta"),"⚠ Destino solo aplica a transferencias",IF(AND(K1793&lt;&gt;"",K1793=Q1793),"⚠ Origen igual a destino",IF(AND(K1793&lt;&gt;"",ISNA(MATCH(K1793,ctaNombre,0))),"⚠ Destino no registrado",IF(AND(P1793="Pago tarjeta",AE1793&lt;&gt;"Tarjeta de crédito"),"⚠ El destino debe ser tarjeta de crédito",IF(AND(P1793="Gasto",E1793="Depósitos y retiros"),"⚠ Usa tipo Transferencia",IF(AND(P1793="Resultado trading",AD1793&lt;&gt;"Cuenta de trading"),"⚠ Usa una cuenta de trading",IF(AND(G1793&lt;=0,P1793&lt;&gt;"Ajuste",P1793&lt;&gt;"Resultado trading"),"⚠ El monto debe ser positivo","✓")))))))))))))))</f>
        <v/>
      </c>
      <c r="P1793" s="52">
        <f>IF(OR(B1793="",G1793=""),"",IF(C1793="","Gasto",C1793))</f>
        <v/>
      </c>
      <c r="Q1793" s="52">
        <f>IF(P1793="","",IF(J1793&lt;&gt;"",J1793,CuentaPred&amp;""))</f>
        <v/>
      </c>
      <c r="R1793" s="52">
        <f>IF(P1793="","",IF(ISNUMBER(I1793),I1793,TasaUSD))</f>
        <v/>
      </c>
      <c r="S1793" s="53">
        <f>IF(P1793="","",IF(H1793="USD",G1793*R1793,G1793))</f>
        <v/>
      </c>
      <c r="T1793" s="53">
        <f>IF(P1793="","",IF(H1793="USD",G1793,IF(R1793&gt;0,G1793/R1793,0)))</f>
        <v/>
      </c>
      <c r="U1793" s="53">
        <f>IF(P1793="","",IF(P1793="Gasto",S1793,IF(P1793="Reembolso",-S1793,0)))</f>
        <v/>
      </c>
      <c r="V1793" s="53">
        <f>IF(P1793="","",IF(P1793="Ingreso",S1793,0))</f>
        <v/>
      </c>
      <c r="W1793" s="53">
        <f>IF(P1793="","",IF(P1793="Resultado trading",S1793,0))</f>
        <v/>
      </c>
      <c r="X1793" s="52">
        <f>IF(OR(P1793="Gasto",P1793="Reembolso"),IF(M1793&lt;&gt;"",M1793,IFERROR(INDEX(catClasif,MATCH(D1793&amp;"|"&amp;E1793,catClave,0))&amp;"","Variable")),"")</f>
        <v/>
      </c>
      <c r="Y1793" s="52">
        <f>IF(P1793="","",IFERROR(INDEX(catGrupo,MATCH(D1793&amp;"|"&amp;E1793,catClave,0))&amp;"",""))</f>
        <v/>
      </c>
      <c r="Z1793" s="52">
        <f>IF(P1793="","",WEEKDAY(B1793,2))</f>
        <v/>
      </c>
      <c r="AA1793" s="52">
        <f>IF(P1793="","",IF(AND(P1793="Gasto",X1793="Variable",D1793&lt;&gt;catTrading,S1793&gt;0,S1793&lt;=Umbral),1,0))</f>
        <v/>
      </c>
      <c r="AB1793" s="52">
        <f>IF(OR(P1793="",Q1793=""),"",IFERROR(IF(INDEX(ctaVinc,MATCH(Q1793,ctaNombre,0))&amp;""&lt;&gt;"",INDEX(ctaVinc,MATCH(Q1793,ctaNombre,0))&amp;"",Q1793),Q1793))</f>
        <v/>
      </c>
      <c r="AC1793" s="52">
        <f>IF(OR(K1793="",AND(P1793&lt;&gt;"Transferencia",P1793&lt;&gt;"Pago tarjeta")),"",IFERROR(IF(INDEX(ctaVinc,MATCH(K1793,ctaNombre,0))&amp;""&lt;&gt;"",INDEX(ctaVinc,MATCH(K1793,ctaNombre,0))&amp;"",K1793),K1793))</f>
        <v/>
      </c>
      <c r="AD1793" s="52">
        <f>IF(AB1793="","",IFERROR(INDEX(ctaTipo,MATCH(AB1793,ctaNombre,0))&amp;"",""))</f>
        <v/>
      </c>
      <c r="AE1793" s="52">
        <f>IF(AC1793="","",IFERROR(INDEX(ctaTipo,MATCH(AC1793,ctaNombre,0))&amp;"",""))</f>
        <v/>
      </c>
      <c r="AF1793" s="53">
        <f>IF(OR(P1793="",AB1793=""),"",IF(OR(P1793="Gasto",P1793="Transferencia",P1793="Pago tarjeta"),-1,1)*IF(IFERROR(INDEX(ctaMoneda,MATCH(AB1793,ctaNombre,0))&amp;"","DOP")="USD",T1793,S1793))</f>
        <v/>
      </c>
      <c r="AG1793" s="53">
        <f>IF(AC1793="","",IF(IFERROR(INDEX(ctaMoneda,MATCH(AC1793,ctaNombre,0))&amp;"","DOP")="USD",T1793,S1793))</f>
        <v/>
      </c>
      <c r="AH1793" s="53">
        <f>IF(P1793="","",IF(AND(AD1793&lt;&gt;"",COUNTIFS(tcTipo,AD1793,tcLiq,"Sí")&gt;0),IF(OR(P1793="Gasto",P1793="Transferencia",P1793="Pago tarjeta"),-1,1)*S1793,0)+IF(AND(AE1793&lt;&gt;"",COUNTIFS(tcTipo,AE1793,tcLiq,"Sí")&gt;0),S1793,0))</f>
        <v/>
      </c>
      <c r="AI1793" s="52">
        <f>IF(OR(L1793="",P1793=""),"",IF(COUNTIFS(L$6:L1793,L1793,P$6:P1793,"?*")=1,MAX(AI$5:AI1792)+1,""))</f>
        <v/>
      </c>
    </row>
    <row r="1794">
      <c r="B1794" s="47" t="n"/>
      <c r="C1794" s="48" t="n"/>
      <c r="D1794" s="48" t="n"/>
      <c r="E1794" s="48" t="n"/>
      <c r="F1794" s="48" t="n"/>
      <c r="G1794" s="49" t="n"/>
      <c r="H1794" s="48" t="n"/>
      <c r="I1794" s="50" t="n"/>
      <c r="J1794" s="48" t="n"/>
      <c r="K1794" s="48" t="n"/>
      <c r="L1794" s="48" t="n"/>
      <c r="M1794" s="48" t="n"/>
      <c r="N1794" s="48" t="n"/>
      <c r="O1794" s="51">
        <f>IF(AND(B1794="",G1794="",C1794="",D1794="",J1794=""),"",IF(B1794="","⚠ Falta fecha",IF(G1794="","⚠ Falta monto",IF(Q1794="","⚠ Falta cuenta",IF(ISNA(MATCH(Q1794,ctaNombre,0)),"⚠ Cuenta no registrada",IF(AND(OR(P1794="Gasto",P1794="Reembolso"),D1794=""),"⚠ Falta categoría",IF(AND(D1794&lt;&gt;"",E1794&lt;&gt;"",ISNA(MATCH(D1794&amp;"|"&amp;E1794,catClave,0))),"⚠ Subcategoría no corresponde",IF(AND(OR(P1794="Transferencia",P1794="Pago tarjeta"),K1794=""),"⚠ Falta cuenta destino",IF(AND(K1794&lt;&gt;"",P1794&lt;&gt;"Transferencia",P1794&lt;&gt;"Pago tarjeta"),"⚠ Destino solo aplica a transferencias",IF(AND(K1794&lt;&gt;"",K1794=Q1794),"⚠ Origen igual a destino",IF(AND(K1794&lt;&gt;"",ISNA(MATCH(K1794,ctaNombre,0))),"⚠ Destino no registrado",IF(AND(P1794="Pago tarjeta",AE1794&lt;&gt;"Tarjeta de crédito"),"⚠ El destino debe ser tarjeta de crédito",IF(AND(P1794="Gasto",E1794="Depósitos y retiros"),"⚠ Usa tipo Transferencia",IF(AND(P1794="Resultado trading",AD1794&lt;&gt;"Cuenta de trading"),"⚠ Usa una cuenta de trading",IF(AND(G1794&lt;=0,P1794&lt;&gt;"Ajuste",P1794&lt;&gt;"Resultado trading"),"⚠ El monto debe ser positivo","✓")))))))))))))))</f>
        <v/>
      </c>
      <c r="P1794" s="52">
        <f>IF(OR(B1794="",G1794=""),"",IF(C1794="","Gasto",C1794))</f>
        <v/>
      </c>
      <c r="Q1794" s="52">
        <f>IF(P1794="","",IF(J1794&lt;&gt;"",J1794,CuentaPred&amp;""))</f>
        <v/>
      </c>
      <c r="R1794" s="52">
        <f>IF(P1794="","",IF(ISNUMBER(I1794),I1794,TasaUSD))</f>
        <v/>
      </c>
      <c r="S1794" s="53">
        <f>IF(P1794="","",IF(H1794="USD",G1794*R1794,G1794))</f>
        <v/>
      </c>
      <c r="T1794" s="53">
        <f>IF(P1794="","",IF(H1794="USD",G1794,IF(R1794&gt;0,G1794/R1794,0)))</f>
        <v/>
      </c>
      <c r="U1794" s="53">
        <f>IF(P1794="","",IF(P1794="Gasto",S1794,IF(P1794="Reembolso",-S1794,0)))</f>
        <v/>
      </c>
      <c r="V1794" s="53">
        <f>IF(P1794="","",IF(P1794="Ingreso",S1794,0))</f>
        <v/>
      </c>
      <c r="W1794" s="53">
        <f>IF(P1794="","",IF(P1794="Resultado trading",S1794,0))</f>
        <v/>
      </c>
      <c r="X1794" s="52">
        <f>IF(OR(P1794="Gasto",P1794="Reembolso"),IF(M1794&lt;&gt;"",M1794,IFERROR(INDEX(catClasif,MATCH(D1794&amp;"|"&amp;E1794,catClave,0))&amp;"","Variable")),"")</f>
        <v/>
      </c>
      <c r="Y1794" s="52">
        <f>IF(P1794="","",IFERROR(INDEX(catGrupo,MATCH(D1794&amp;"|"&amp;E1794,catClave,0))&amp;"",""))</f>
        <v/>
      </c>
      <c r="Z1794" s="52">
        <f>IF(P1794="","",WEEKDAY(B1794,2))</f>
        <v/>
      </c>
      <c r="AA1794" s="52">
        <f>IF(P1794="","",IF(AND(P1794="Gasto",X1794="Variable",D1794&lt;&gt;catTrading,S1794&gt;0,S1794&lt;=Umbral),1,0))</f>
        <v/>
      </c>
      <c r="AB1794" s="52">
        <f>IF(OR(P1794="",Q1794=""),"",IFERROR(IF(INDEX(ctaVinc,MATCH(Q1794,ctaNombre,0))&amp;""&lt;&gt;"",INDEX(ctaVinc,MATCH(Q1794,ctaNombre,0))&amp;"",Q1794),Q1794))</f>
        <v/>
      </c>
      <c r="AC1794" s="52">
        <f>IF(OR(K1794="",AND(P1794&lt;&gt;"Transferencia",P1794&lt;&gt;"Pago tarjeta")),"",IFERROR(IF(INDEX(ctaVinc,MATCH(K1794,ctaNombre,0))&amp;""&lt;&gt;"",INDEX(ctaVinc,MATCH(K1794,ctaNombre,0))&amp;"",K1794),K1794))</f>
        <v/>
      </c>
      <c r="AD1794" s="52">
        <f>IF(AB1794="","",IFERROR(INDEX(ctaTipo,MATCH(AB1794,ctaNombre,0))&amp;"",""))</f>
        <v/>
      </c>
      <c r="AE1794" s="52">
        <f>IF(AC1794="","",IFERROR(INDEX(ctaTipo,MATCH(AC1794,ctaNombre,0))&amp;"",""))</f>
        <v/>
      </c>
      <c r="AF1794" s="53">
        <f>IF(OR(P1794="",AB1794=""),"",IF(OR(P1794="Gasto",P1794="Transferencia",P1794="Pago tarjeta"),-1,1)*IF(IFERROR(INDEX(ctaMoneda,MATCH(AB1794,ctaNombre,0))&amp;"","DOP")="USD",T1794,S1794))</f>
        <v/>
      </c>
      <c r="AG1794" s="53">
        <f>IF(AC1794="","",IF(IFERROR(INDEX(ctaMoneda,MATCH(AC1794,ctaNombre,0))&amp;"","DOP")="USD",T1794,S1794))</f>
        <v/>
      </c>
      <c r="AH1794" s="53">
        <f>IF(P1794="","",IF(AND(AD1794&lt;&gt;"",COUNTIFS(tcTipo,AD1794,tcLiq,"Sí")&gt;0),IF(OR(P1794="Gasto",P1794="Transferencia",P1794="Pago tarjeta"),-1,1)*S1794,0)+IF(AND(AE1794&lt;&gt;"",COUNTIFS(tcTipo,AE1794,tcLiq,"Sí")&gt;0),S1794,0))</f>
        <v/>
      </c>
      <c r="AI1794" s="52">
        <f>IF(OR(L1794="",P1794=""),"",IF(COUNTIFS(L$6:L1794,L1794,P$6:P1794,"?*")=1,MAX(AI$5:AI1793)+1,""))</f>
        <v/>
      </c>
    </row>
    <row r="1795">
      <c r="B1795" s="47" t="n"/>
      <c r="C1795" s="48" t="n"/>
      <c r="D1795" s="48" t="n"/>
      <c r="E1795" s="48" t="n"/>
      <c r="F1795" s="48" t="n"/>
      <c r="G1795" s="49" t="n"/>
      <c r="H1795" s="48" t="n"/>
      <c r="I1795" s="50" t="n"/>
      <c r="J1795" s="48" t="n"/>
      <c r="K1795" s="48" t="n"/>
      <c r="L1795" s="48" t="n"/>
      <c r="M1795" s="48" t="n"/>
      <c r="N1795" s="48" t="n"/>
      <c r="O1795" s="51">
        <f>IF(AND(B1795="",G1795="",C1795="",D1795="",J1795=""),"",IF(B1795="","⚠ Falta fecha",IF(G1795="","⚠ Falta monto",IF(Q1795="","⚠ Falta cuenta",IF(ISNA(MATCH(Q1795,ctaNombre,0)),"⚠ Cuenta no registrada",IF(AND(OR(P1795="Gasto",P1795="Reembolso"),D1795=""),"⚠ Falta categoría",IF(AND(D1795&lt;&gt;"",E1795&lt;&gt;"",ISNA(MATCH(D1795&amp;"|"&amp;E1795,catClave,0))),"⚠ Subcategoría no corresponde",IF(AND(OR(P1795="Transferencia",P1795="Pago tarjeta"),K1795=""),"⚠ Falta cuenta destino",IF(AND(K1795&lt;&gt;"",P1795&lt;&gt;"Transferencia",P1795&lt;&gt;"Pago tarjeta"),"⚠ Destino solo aplica a transferencias",IF(AND(K1795&lt;&gt;"",K1795=Q1795),"⚠ Origen igual a destino",IF(AND(K1795&lt;&gt;"",ISNA(MATCH(K1795,ctaNombre,0))),"⚠ Destino no registrado",IF(AND(P1795="Pago tarjeta",AE1795&lt;&gt;"Tarjeta de crédito"),"⚠ El destino debe ser tarjeta de crédito",IF(AND(P1795="Gasto",E1795="Depósitos y retiros"),"⚠ Usa tipo Transferencia",IF(AND(P1795="Resultado trading",AD1795&lt;&gt;"Cuenta de trading"),"⚠ Usa una cuenta de trading",IF(AND(G1795&lt;=0,P1795&lt;&gt;"Ajuste",P1795&lt;&gt;"Resultado trading"),"⚠ El monto debe ser positivo","✓")))))))))))))))</f>
        <v/>
      </c>
      <c r="P1795" s="52">
        <f>IF(OR(B1795="",G1795=""),"",IF(C1795="","Gasto",C1795))</f>
        <v/>
      </c>
      <c r="Q1795" s="52">
        <f>IF(P1795="","",IF(J1795&lt;&gt;"",J1795,CuentaPred&amp;""))</f>
        <v/>
      </c>
      <c r="R1795" s="52">
        <f>IF(P1795="","",IF(ISNUMBER(I1795),I1795,TasaUSD))</f>
        <v/>
      </c>
      <c r="S1795" s="53">
        <f>IF(P1795="","",IF(H1795="USD",G1795*R1795,G1795))</f>
        <v/>
      </c>
      <c r="T1795" s="53">
        <f>IF(P1795="","",IF(H1795="USD",G1795,IF(R1795&gt;0,G1795/R1795,0)))</f>
        <v/>
      </c>
      <c r="U1795" s="53">
        <f>IF(P1795="","",IF(P1795="Gasto",S1795,IF(P1795="Reembolso",-S1795,0)))</f>
        <v/>
      </c>
      <c r="V1795" s="53">
        <f>IF(P1795="","",IF(P1795="Ingreso",S1795,0))</f>
        <v/>
      </c>
      <c r="W1795" s="53">
        <f>IF(P1795="","",IF(P1795="Resultado trading",S1795,0))</f>
        <v/>
      </c>
      <c r="X1795" s="52">
        <f>IF(OR(P1795="Gasto",P1795="Reembolso"),IF(M1795&lt;&gt;"",M1795,IFERROR(INDEX(catClasif,MATCH(D1795&amp;"|"&amp;E1795,catClave,0))&amp;"","Variable")),"")</f>
        <v/>
      </c>
      <c r="Y1795" s="52">
        <f>IF(P1795="","",IFERROR(INDEX(catGrupo,MATCH(D1795&amp;"|"&amp;E1795,catClave,0))&amp;"",""))</f>
        <v/>
      </c>
      <c r="Z1795" s="52">
        <f>IF(P1795="","",WEEKDAY(B1795,2))</f>
        <v/>
      </c>
      <c r="AA1795" s="52">
        <f>IF(P1795="","",IF(AND(P1795="Gasto",X1795="Variable",D1795&lt;&gt;catTrading,S1795&gt;0,S1795&lt;=Umbral),1,0))</f>
        <v/>
      </c>
      <c r="AB1795" s="52">
        <f>IF(OR(P1795="",Q1795=""),"",IFERROR(IF(INDEX(ctaVinc,MATCH(Q1795,ctaNombre,0))&amp;""&lt;&gt;"",INDEX(ctaVinc,MATCH(Q1795,ctaNombre,0))&amp;"",Q1795),Q1795))</f>
        <v/>
      </c>
      <c r="AC1795" s="52">
        <f>IF(OR(K1795="",AND(P1795&lt;&gt;"Transferencia",P1795&lt;&gt;"Pago tarjeta")),"",IFERROR(IF(INDEX(ctaVinc,MATCH(K1795,ctaNombre,0))&amp;""&lt;&gt;"",INDEX(ctaVinc,MATCH(K1795,ctaNombre,0))&amp;"",K1795),K1795))</f>
        <v/>
      </c>
      <c r="AD1795" s="52">
        <f>IF(AB1795="","",IFERROR(INDEX(ctaTipo,MATCH(AB1795,ctaNombre,0))&amp;"",""))</f>
        <v/>
      </c>
      <c r="AE1795" s="52">
        <f>IF(AC1795="","",IFERROR(INDEX(ctaTipo,MATCH(AC1795,ctaNombre,0))&amp;"",""))</f>
        <v/>
      </c>
      <c r="AF1795" s="53">
        <f>IF(OR(P1795="",AB1795=""),"",IF(OR(P1795="Gasto",P1795="Transferencia",P1795="Pago tarjeta"),-1,1)*IF(IFERROR(INDEX(ctaMoneda,MATCH(AB1795,ctaNombre,0))&amp;"","DOP")="USD",T1795,S1795))</f>
        <v/>
      </c>
      <c r="AG1795" s="53">
        <f>IF(AC1795="","",IF(IFERROR(INDEX(ctaMoneda,MATCH(AC1795,ctaNombre,0))&amp;"","DOP")="USD",T1795,S1795))</f>
        <v/>
      </c>
      <c r="AH1795" s="53">
        <f>IF(P1795="","",IF(AND(AD1795&lt;&gt;"",COUNTIFS(tcTipo,AD1795,tcLiq,"Sí")&gt;0),IF(OR(P1795="Gasto",P1795="Transferencia",P1795="Pago tarjeta"),-1,1)*S1795,0)+IF(AND(AE1795&lt;&gt;"",COUNTIFS(tcTipo,AE1795,tcLiq,"Sí")&gt;0),S1795,0))</f>
        <v/>
      </c>
      <c r="AI1795" s="52">
        <f>IF(OR(L1795="",P1795=""),"",IF(COUNTIFS(L$6:L1795,L1795,P$6:P1795,"?*")=1,MAX(AI$5:AI1794)+1,""))</f>
        <v/>
      </c>
    </row>
    <row r="1796">
      <c r="B1796" s="47" t="n"/>
      <c r="C1796" s="48" t="n"/>
      <c r="D1796" s="48" t="n"/>
      <c r="E1796" s="48" t="n"/>
      <c r="F1796" s="48" t="n"/>
      <c r="G1796" s="49" t="n"/>
      <c r="H1796" s="48" t="n"/>
      <c r="I1796" s="50" t="n"/>
      <c r="J1796" s="48" t="n"/>
      <c r="K1796" s="48" t="n"/>
      <c r="L1796" s="48" t="n"/>
      <c r="M1796" s="48" t="n"/>
      <c r="N1796" s="48" t="n"/>
      <c r="O1796" s="51">
        <f>IF(AND(B1796="",G1796="",C1796="",D1796="",J1796=""),"",IF(B1796="","⚠ Falta fecha",IF(G1796="","⚠ Falta monto",IF(Q1796="","⚠ Falta cuenta",IF(ISNA(MATCH(Q1796,ctaNombre,0)),"⚠ Cuenta no registrada",IF(AND(OR(P1796="Gasto",P1796="Reembolso"),D1796=""),"⚠ Falta categoría",IF(AND(D1796&lt;&gt;"",E1796&lt;&gt;"",ISNA(MATCH(D1796&amp;"|"&amp;E1796,catClave,0))),"⚠ Subcategoría no corresponde",IF(AND(OR(P1796="Transferencia",P1796="Pago tarjeta"),K1796=""),"⚠ Falta cuenta destino",IF(AND(K1796&lt;&gt;"",P1796&lt;&gt;"Transferencia",P1796&lt;&gt;"Pago tarjeta"),"⚠ Destino solo aplica a transferencias",IF(AND(K1796&lt;&gt;"",K1796=Q1796),"⚠ Origen igual a destino",IF(AND(K1796&lt;&gt;"",ISNA(MATCH(K1796,ctaNombre,0))),"⚠ Destino no registrado",IF(AND(P1796="Pago tarjeta",AE1796&lt;&gt;"Tarjeta de crédito"),"⚠ El destino debe ser tarjeta de crédito",IF(AND(P1796="Gasto",E1796="Depósitos y retiros"),"⚠ Usa tipo Transferencia",IF(AND(P1796="Resultado trading",AD1796&lt;&gt;"Cuenta de trading"),"⚠ Usa una cuenta de trading",IF(AND(G1796&lt;=0,P1796&lt;&gt;"Ajuste",P1796&lt;&gt;"Resultado trading"),"⚠ El monto debe ser positivo","✓")))))))))))))))</f>
        <v/>
      </c>
      <c r="P1796" s="52">
        <f>IF(OR(B1796="",G1796=""),"",IF(C1796="","Gasto",C1796))</f>
        <v/>
      </c>
      <c r="Q1796" s="52">
        <f>IF(P1796="","",IF(J1796&lt;&gt;"",J1796,CuentaPred&amp;""))</f>
        <v/>
      </c>
      <c r="R1796" s="52">
        <f>IF(P1796="","",IF(ISNUMBER(I1796),I1796,TasaUSD))</f>
        <v/>
      </c>
      <c r="S1796" s="53">
        <f>IF(P1796="","",IF(H1796="USD",G1796*R1796,G1796))</f>
        <v/>
      </c>
      <c r="T1796" s="53">
        <f>IF(P1796="","",IF(H1796="USD",G1796,IF(R1796&gt;0,G1796/R1796,0)))</f>
        <v/>
      </c>
      <c r="U1796" s="53">
        <f>IF(P1796="","",IF(P1796="Gasto",S1796,IF(P1796="Reembolso",-S1796,0)))</f>
        <v/>
      </c>
      <c r="V1796" s="53">
        <f>IF(P1796="","",IF(P1796="Ingreso",S1796,0))</f>
        <v/>
      </c>
      <c r="W1796" s="53">
        <f>IF(P1796="","",IF(P1796="Resultado trading",S1796,0))</f>
        <v/>
      </c>
      <c r="X1796" s="52">
        <f>IF(OR(P1796="Gasto",P1796="Reembolso"),IF(M1796&lt;&gt;"",M1796,IFERROR(INDEX(catClasif,MATCH(D1796&amp;"|"&amp;E1796,catClave,0))&amp;"","Variable")),"")</f>
        <v/>
      </c>
      <c r="Y1796" s="52">
        <f>IF(P1796="","",IFERROR(INDEX(catGrupo,MATCH(D1796&amp;"|"&amp;E1796,catClave,0))&amp;"",""))</f>
        <v/>
      </c>
      <c r="Z1796" s="52">
        <f>IF(P1796="","",WEEKDAY(B1796,2))</f>
        <v/>
      </c>
      <c r="AA1796" s="52">
        <f>IF(P1796="","",IF(AND(P1796="Gasto",X1796="Variable",D1796&lt;&gt;catTrading,S1796&gt;0,S1796&lt;=Umbral),1,0))</f>
        <v/>
      </c>
      <c r="AB1796" s="52">
        <f>IF(OR(P1796="",Q1796=""),"",IFERROR(IF(INDEX(ctaVinc,MATCH(Q1796,ctaNombre,0))&amp;""&lt;&gt;"",INDEX(ctaVinc,MATCH(Q1796,ctaNombre,0))&amp;"",Q1796),Q1796))</f>
        <v/>
      </c>
      <c r="AC1796" s="52">
        <f>IF(OR(K1796="",AND(P1796&lt;&gt;"Transferencia",P1796&lt;&gt;"Pago tarjeta")),"",IFERROR(IF(INDEX(ctaVinc,MATCH(K1796,ctaNombre,0))&amp;""&lt;&gt;"",INDEX(ctaVinc,MATCH(K1796,ctaNombre,0))&amp;"",K1796),K1796))</f>
        <v/>
      </c>
      <c r="AD1796" s="52">
        <f>IF(AB1796="","",IFERROR(INDEX(ctaTipo,MATCH(AB1796,ctaNombre,0))&amp;"",""))</f>
        <v/>
      </c>
      <c r="AE1796" s="52">
        <f>IF(AC1796="","",IFERROR(INDEX(ctaTipo,MATCH(AC1796,ctaNombre,0))&amp;"",""))</f>
        <v/>
      </c>
      <c r="AF1796" s="53">
        <f>IF(OR(P1796="",AB1796=""),"",IF(OR(P1796="Gasto",P1796="Transferencia",P1796="Pago tarjeta"),-1,1)*IF(IFERROR(INDEX(ctaMoneda,MATCH(AB1796,ctaNombre,0))&amp;"","DOP")="USD",T1796,S1796))</f>
        <v/>
      </c>
      <c r="AG1796" s="53">
        <f>IF(AC1796="","",IF(IFERROR(INDEX(ctaMoneda,MATCH(AC1796,ctaNombre,0))&amp;"","DOP")="USD",T1796,S1796))</f>
        <v/>
      </c>
      <c r="AH1796" s="53">
        <f>IF(P1796="","",IF(AND(AD1796&lt;&gt;"",COUNTIFS(tcTipo,AD1796,tcLiq,"Sí")&gt;0),IF(OR(P1796="Gasto",P1796="Transferencia",P1796="Pago tarjeta"),-1,1)*S1796,0)+IF(AND(AE1796&lt;&gt;"",COUNTIFS(tcTipo,AE1796,tcLiq,"Sí")&gt;0),S1796,0))</f>
        <v/>
      </c>
      <c r="AI1796" s="52">
        <f>IF(OR(L1796="",P1796=""),"",IF(COUNTIFS(L$6:L1796,L1796,P$6:P1796,"?*")=1,MAX(AI$5:AI1795)+1,""))</f>
        <v/>
      </c>
    </row>
    <row r="1797">
      <c r="B1797" s="47" t="n"/>
      <c r="C1797" s="48" t="n"/>
      <c r="D1797" s="48" t="n"/>
      <c r="E1797" s="48" t="n"/>
      <c r="F1797" s="48" t="n"/>
      <c r="G1797" s="49" t="n"/>
      <c r="H1797" s="48" t="n"/>
      <c r="I1797" s="50" t="n"/>
      <c r="J1797" s="48" t="n"/>
      <c r="K1797" s="48" t="n"/>
      <c r="L1797" s="48" t="n"/>
      <c r="M1797" s="48" t="n"/>
      <c r="N1797" s="48" t="n"/>
      <c r="O1797" s="51">
        <f>IF(AND(B1797="",G1797="",C1797="",D1797="",J1797=""),"",IF(B1797="","⚠ Falta fecha",IF(G1797="","⚠ Falta monto",IF(Q1797="","⚠ Falta cuenta",IF(ISNA(MATCH(Q1797,ctaNombre,0)),"⚠ Cuenta no registrada",IF(AND(OR(P1797="Gasto",P1797="Reembolso"),D1797=""),"⚠ Falta categoría",IF(AND(D1797&lt;&gt;"",E1797&lt;&gt;"",ISNA(MATCH(D1797&amp;"|"&amp;E1797,catClave,0))),"⚠ Subcategoría no corresponde",IF(AND(OR(P1797="Transferencia",P1797="Pago tarjeta"),K1797=""),"⚠ Falta cuenta destino",IF(AND(K1797&lt;&gt;"",P1797&lt;&gt;"Transferencia",P1797&lt;&gt;"Pago tarjeta"),"⚠ Destino solo aplica a transferencias",IF(AND(K1797&lt;&gt;"",K1797=Q1797),"⚠ Origen igual a destino",IF(AND(K1797&lt;&gt;"",ISNA(MATCH(K1797,ctaNombre,0))),"⚠ Destino no registrado",IF(AND(P1797="Pago tarjeta",AE1797&lt;&gt;"Tarjeta de crédito"),"⚠ El destino debe ser tarjeta de crédito",IF(AND(P1797="Gasto",E1797="Depósitos y retiros"),"⚠ Usa tipo Transferencia",IF(AND(P1797="Resultado trading",AD1797&lt;&gt;"Cuenta de trading"),"⚠ Usa una cuenta de trading",IF(AND(G1797&lt;=0,P1797&lt;&gt;"Ajuste",P1797&lt;&gt;"Resultado trading"),"⚠ El monto debe ser positivo","✓")))))))))))))))</f>
        <v/>
      </c>
      <c r="P1797" s="52">
        <f>IF(OR(B1797="",G1797=""),"",IF(C1797="","Gasto",C1797))</f>
        <v/>
      </c>
      <c r="Q1797" s="52">
        <f>IF(P1797="","",IF(J1797&lt;&gt;"",J1797,CuentaPred&amp;""))</f>
        <v/>
      </c>
      <c r="R1797" s="52">
        <f>IF(P1797="","",IF(ISNUMBER(I1797),I1797,TasaUSD))</f>
        <v/>
      </c>
      <c r="S1797" s="53">
        <f>IF(P1797="","",IF(H1797="USD",G1797*R1797,G1797))</f>
        <v/>
      </c>
      <c r="T1797" s="53">
        <f>IF(P1797="","",IF(H1797="USD",G1797,IF(R1797&gt;0,G1797/R1797,0)))</f>
        <v/>
      </c>
      <c r="U1797" s="53">
        <f>IF(P1797="","",IF(P1797="Gasto",S1797,IF(P1797="Reembolso",-S1797,0)))</f>
        <v/>
      </c>
      <c r="V1797" s="53">
        <f>IF(P1797="","",IF(P1797="Ingreso",S1797,0))</f>
        <v/>
      </c>
      <c r="W1797" s="53">
        <f>IF(P1797="","",IF(P1797="Resultado trading",S1797,0))</f>
        <v/>
      </c>
      <c r="X1797" s="52">
        <f>IF(OR(P1797="Gasto",P1797="Reembolso"),IF(M1797&lt;&gt;"",M1797,IFERROR(INDEX(catClasif,MATCH(D1797&amp;"|"&amp;E1797,catClave,0))&amp;"","Variable")),"")</f>
        <v/>
      </c>
      <c r="Y1797" s="52">
        <f>IF(P1797="","",IFERROR(INDEX(catGrupo,MATCH(D1797&amp;"|"&amp;E1797,catClave,0))&amp;"",""))</f>
        <v/>
      </c>
      <c r="Z1797" s="52">
        <f>IF(P1797="","",WEEKDAY(B1797,2))</f>
        <v/>
      </c>
      <c r="AA1797" s="52">
        <f>IF(P1797="","",IF(AND(P1797="Gasto",X1797="Variable",D1797&lt;&gt;catTrading,S1797&gt;0,S1797&lt;=Umbral),1,0))</f>
        <v/>
      </c>
      <c r="AB1797" s="52">
        <f>IF(OR(P1797="",Q1797=""),"",IFERROR(IF(INDEX(ctaVinc,MATCH(Q1797,ctaNombre,0))&amp;""&lt;&gt;"",INDEX(ctaVinc,MATCH(Q1797,ctaNombre,0))&amp;"",Q1797),Q1797))</f>
        <v/>
      </c>
      <c r="AC1797" s="52">
        <f>IF(OR(K1797="",AND(P1797&lt;&gt;"Transferencia",P1797&lt;&gt;"Pago tarjeta")),"",IFERROR(IF(INDEX(ctaVinc,MATCH(K1797,ctaNombre,0))&amp;""&lt;&gt;"",INDEX(ctaVinc,MATCH(K1797,ctaNombre,0))&amp;"",K1797),K1797))</f>
        <v/>
      </c>
      <c r="AD1797" s="52">
        <f>IF(AB1797="","",IFERROR(INDEX(ctaTipo,MATCH(AB1797,ctaNombre,0))&amp;"",""))</f>
        <v/>
      </c>
      <c r="AE1797" s="52">
        <f>IF(AC1797="","",IFERROR(INDEX(ctaTipo,MATCH(AC1797,ctaNombre,0))&amp;"",""))</f>
        <v/>
      </c>
      <c r="AF1797" s="53">
        <f>IF(OR(P1797="",AB1797=""),"",IF(OR(P1797="Gasto",P1797="Transferencia",P1797="Pago tarjeta"),-1,1)*IF(IFERROR(INDEX(ctaMoneda,MATCH(AB1797,ctaNombre,0))&amp;"","DOP")="USD",T1797,S1797))</f>
        <v/>
      </c>
      <c r="AG1797" s="53">
        <f>IF(AC1797="","",IF(IFERROR(INDEX(ctaMoneda,MATCH(AC1797,ctaNombre,0))&amp;"","DOP")="USD",T1797,S1797))</f>
        <v/>
      </c>
      <c r="AH1797" s="53">
        <f>IF(P1797="","",IF(AND(AD1797&lt;&gt;"",COUNTIFS(tcTipo,AD1797,tcLiq,"Sí")&gt;0),IF(OR(P1797="Gasto",P1797="Transferencia",P1797="Pago tarjeta"),-1,1)*S1797,0)+IF(AND(AE1797&lt;&gt;"",COUNTIFS(tcTipo,AE1797,tcLiq,"Sí")&gt;0),S1797,0))</f>
        <v/>
      </c>
      <c r="AI1797" s="52">
        <f>IF(OR(L1797="",P1797=""),"",IF(COUNTIFS(L$6:L1797,L1797,P$6:P1797,"?*")=1,MAX(AI$5:AI1796)+1,""))</f>
        <v/>
      </c>
    </row>
    <row r="1798">
      <c r="B1798" s="47" t="n"/>
      <c r="C1798" s="48" t="n"/>
      <c r="D1798" s="48" t="n"/>
      <c r="E1798" s="48" t="n"/>
      <c r="F1798" s="48" t="n"/>
      <c r="G1798" s="49" t="n"/>
      <c r="H1798" s="48" t="n"/>
      <c r="I1798" s="50" t="n"/>
      <c r="J1798" s="48" t="n"/>
      <c r="K1798" s="48" t="n"/>
      <c r="L1798" s="48" t="n"/>
      <c r="M1798" s="48" t="n"/>
      <c r="N1798" s="48" t="n"/>
      <c r="O1798" s="51">
        <f>IF(AND(B1798="",G1798="",C1798="",D1798="",J1798=""),"",IF(B1798="","⚠ Falta fecha",IF(G1798="","⚠ Falta monto",IF(Q1798="","⚠ Falta cuenta",IF(ISNA(MATCH(Q1798,ctaNombre,0)),"⚠ Cuenta no registrada",IF(AND(OR(P1798="Gasto",P1798="Reembolso"),D1798=""),"⚠ Falta categoría",IF(AND(D1798&lt;&gt;"",E1798&lt;&gt;"",ISNA(MATCH(D1798&amp;"|"&amp;E1798,catClave,0))),"⚠ Subcategoría no corresponde",IF(AND(OR(P1798="Transferencia",P1798="Pago tarjeta"),K1798=""),"⚠ Falta cuenta destino",IF(AND(K1798&lt;&gt;"",P1798&lt;&gt;"Transferencia",P1798&lt;&gt;"Pago tarjeta"),"⚠ Destino solo aplica a transferencias",IF(AND(K1798&lt;&gt;"",K1798=Q1798),"⚠ Origen igual a destino",IF(AND(K1798&lt;&gt;"",ISNA(MATCH(K1798,ctaNombre,0))),"⚠ Destino no registrado",IF(AND(P1798="Pago tarjeta",AE1798&lt;&gt;"Tarjeta de crédito"),"⚠ El destino debe ser tarjeta de crédito",IF(AND(P1798="Gasto",E1798="Depósitos y retiros"),"⚠ Usa tipo Transferencia",IF(AND(P1798="Resultado trading",AD1798&lt;&gt;"Cuenta de trading"),"⚠ Usa una cuenta de trading",IF(AND(G1798&lt;=0,P1798&lt;&gt;"Ajuste",P1798&lt;&gt;"Resultado trading"),"⚠ El monto debe ser positivo","✓")))))))))))))))</f>
        <v/>
      </c>
      <c r="P1798" s="52">
        <f>IF(OR(B1798="",G1798=""),"",IF(C1798="","Gasto",C1798))</f>
        <v/>
      </c>
      <c r="Q1798" s="52">
        <f>IF(P1798="","",IF(J1798&lt;&gt;"",J1798,CuentaPred&amp;""))</f>
        <v/>
      </c>
      <c r="R1798" s="52">
        <f>IF(P1798="","",IF(ISNUMBER(I1798),I1798,TasaUSD))</f>
        <v/>
      </c>
      <c r="S1798" s="53">
        <f>IF(P1798="","",IF(H1798="USD",G1798*R1798,G1798))</f>
        <v/>
      </c>
      <c r="T1798" s="53">
        <f>IF(P1798="","",IF(H1798="USD",G1798,IF(R1798&gt;0,G1798/R1798,0)))</f>
        <v/>
      </c>
      <c r="U1798" s="53">
        <f>IF(P1798="","",IF(P1798="Gasto",S1798,IF(P1798="Reembolso",-S1798,0)))</f>
        <v/>
      </c>
      <c r="V1798" s="53">
        <f>IF(P1798="","",IF(P1798="Ingreso",S1798,0))</f>
        <v/>
      </c>
      <c r="W1798" s="53">
        <f>IF(P1798="","",IF(P1798="Resultado trading",S1798,0))</f>
        <v/>
      </c>
      <c r="X1798" s="52">
        <f>IF(OR(P1798="Gasto",P1798="Reembolso"),IF(M1798&lt;&gt;"",M1798,IFERROR(INDEX(catClasif,MATCH(D1798&amp;"|"&amp;E1798,catClave,0))&amp;"","Variable")),"")</f>
        <v/>
      </c>
      <c r="Y1798" s="52">
        <f>IF(P1798="","",IFERROR(INDEX(catGrupo,MATCH(D1798&amp;"|"&amp;E1798,catClave,0))&amp;"",""))</f>
        <v/>
      </c>
      <c r="Z1798" s="52">
        <f>IF(P1798="","",WEEKDAY(B1798,2))</f>
        <v/>
      </c>
      <c r="AA1798" s="52">
        <f>IF(P1798="","",IF(AND(P1798="Gasto",X1798="Variable",D1798&lt;&gt;catTrading,S1798&gt;0,S1798&lt;=Umbral),1,0))</f>
        <v/>
      </c>
      <c r="AB1798" s="52">
        <f>IF(OR(P1798="",Q1798=""),"",IFERROR(IF(INDEX(ctaVinc,MATCH(Q1798,ctaNombre,0))&amp;""&lt;&gt;"",INDEX(ctaVinc,MATCH(Q1798,ctaNombre,0))&amp;"",Q1798),Q1798))</f>
        <v/>
      </c>
      <c r="AC1798" s="52">
        <f>IF(OR(K1798="",AND(P1798&lt;&gt;"Transferencia",P1798&lt;&gt;"Pago tarjeta")),"",IFERROR(IF(INDEX(ctaVinc,MATCH(K1798,ctaNombre,0))&amp;""&lt;&gt;"",INDEX(ctaVinc,MATCH(K1798,ctaNombre,0))&amp;"",K1798),K1798))</f>
        <v/>
      </c>
      <c r="AD1798" s="52">
        <f>IF(AB1798="","",IFERROR(INDEX(ctaTipo,MATCH(AB1798,ctaNombre,0))&amp;"",""))</f>
        <v/>
      </c>
      <c r="AE1798" s="52">
        <f>IF(AC1798="","",IFERROR(INDEX(ctaTipo,MATCH(AC1798,ctaNombre,0))&amp;"",""))</f>
        <v/>
      </c>
      <c r="AF1798" s="53">
        <f>IF(OR(P1798="",AB1798=""),"",IF(OR(P1798="Gasto",P1798="Transferencia",P1798="Pago tarjeta"),-1,1)*IF(IFERROR(INDEX(ctaMoneda,MATCH(AB1798,ctaNombre,0))&amp;"","DOP")="USD",T1798,S1798))</f>
        <v/>
      </c>
      <c r="AG1798" s="53">
        <f>IF(AC1798="","",IF(IFERROR(INDEX(ctaMoneda,MATCH(AC1798,ctaNombre,0))&amp;"","DOP")="USD",T1798,S1798))</f>
        <v/>
      </c>
      <c r="AH1798" s="53">
        <f>IF(P1798="","",IF(AND(AD1798&lt;&gt;"",COUNTIFS(tcTipo,AD1798,tcLiq,"Sí")&gt;0),IF(OR(P1798="Gasto",P1798="Transferencia",P1798="Pago tarjeta"),-1,1)*S1798,0)+IF(AND(AE1798&lt;&gt;"",COUNTIFS(tcTipo,AE1798,tcLiq,"Sí")&gt;0),S1798,0))</f>
        <v/>
      </c>
      <c r="AI1798" s="52">
        <f>IF(OR(L1798="",P1798=""),"",IF(COUNTIFS(L$6:L1798,L1798,P$6:P1798,"?*")=1,MAX(AI$5:AI1797)+1,""))</f>
        <v/>
      </c>
    </row>
    <row r="1799">
      <c r="B1799" s="47" t="n"/>
      <c r="C1799" s="48" t="n"/>
      <c r="D1799" s="48" t="n"/>
      <c r="E1799" s="48" t="n"/>
      <c r="F1799" s="48" t="n"/>
      <c r="G1799" s="49" t="n"/>
      <c r="H1799" s="48" t="n"/>
      <c r="I1799" s="50" t="n"/>
      <c r="J1799" s="48" t="n"/>
      <c r="K1799" s="48" t="n"/>
      <c r="L1799" s="48" t="n"/>
      <c r="M1799" s="48" t="n"/>
      <c r="N1799" s="48" t="n"/>
      <c r="O1799" s="51">
        <f>IF(AND(B1799="",G1799="",C1799="",D1799="",J1799=""),"",IF(B1799="","⚠ Falta fecha",IF(G1799="","⚠ Falta monto",IF(Q1799="","⚠ Falta cuenta",IF(ISNA(MATCH(Q1799,ctaNombre,0)),"⚠ Cuenta no registrada",IF(AND(OR(P1799="Gasto",P1799="Reembolso"),D1799=""),"⚠ Falta categoría",IF(AND(D1799&lt;&gt;"",E1799&lt;&gt;"",ISNA(MATCH(D1799&amp;"|"&amp;E1799,catClave,0))),"⚠ Subcategoría no corresponde",IF(AND(OR(P1799="Transferencia",P1799="Pago tarjeta"),K1799=""),"⚠ Falta cuenta destino",IF(AND(K1799&lt;&gt;"",P1799&lt;&gt;"Transferencia",P1799&lt;&gt;"Pago tarjeta"),"⚠ Destino solo aplica a transferencias",IF(AND(K1799&lt;&gt;"",K1799=Q1799),"⚠ Origen igual a destino",IF(AND(K1799&lt;&gt;"",ISNA(MATCH(K1799,ctaNombre,0))),"⚠ Destino no registrado",IF(AND(P1799="Pago tarjeta",AE1799&lt;&gt;"Tarjeta de crédito"),"⚠ El destino debe ser tarjeta de crédito",IF(AND(P1799="Gasto",E1799="Depósitos y retiros"),"⚠ Usa tipo Transferencia",IF(AND(P1799="Resultado trading",AD1799&lt;&gt;"Cuenta de trading"),"⚠ Usa una cuenta de trading",IF(AND(G1799&lt;=0,P1799&lt;&gt;"Ajuste",P1799&lt;&gt;"Resultado trading"),"⚠ El monto debe ser positivo","✓")))))))))))))))</f>
        <v/>
      </c>
      <c r="P1799" s="52">
        <f>IF(OR(B1799="",G1799=""),"",IF(C1799="","Gasto",C1799))</f>
        <v/>
      </c>
      <c r="Q1799" s="52">
        <f>IF(P1799="","",IF(J1799&lt;&gt;"",J1799,CuentaPred&amp;""))</f>
        <v/>
      </c>
      <c r="R1799" s="52">
        <f>IF(P1799="","",IF(ISNUMBER(I1799),I1799,TasaUSD))</f>
        <v/>
      </c>
      <c r="S1799" s="53">
        <f>IF(P1799="","",IF(H1799="USD",G1799*R1799,G1799))</f>
        <v/>
      </c>
      <c r="T1799" s="53">
        <f>IF(P1799="","",IF(H1799="USD",G1799,IF(R1799&gt;0,G1799/R1799,0)))</f>
        <v/>
      </c>
      <c r="U1799" s="53">
        <f>IF(P1799="","",IF(P1799="Gasto",S1799,IF(P1799="Reembolso",-S1799,0)))</f>
        <v/>
      </c>
      <c r="V1799" s="53">
        <f>IF(P1799="","",IF(P1799="Ingreso",S1799,0))</f>
        <v/>
      </c>
      <c r="W1799" s="53">
        <f>IF(P1799="","",IF(P1799="Resultado trading",S1799,0))</f>
        <v/>
      </c>
      <c r="X1799" s="52">
        <f>IF(OR(P1799="Gasto",P1799="Reembolso"),IF(M1799&lt;&gt;"",M1799,IFERROR(INDEX(catClasif,MATCH(D1799&amp;"|"&amp;E1799,catClave,0))&amp;"","Variable")),"")</f>
        <v/>
      </c>
      <c r="Y1799" s="52">
        <f>IF(P1799="","",IFERROR(INDEX(catGrupo,MATCH(D1799&amp;"|"&amp;E1799,catClave,0))&amp;"",""))</f>
        <v/>
      </c>
      <c r="Z1799" s="52">
        <f>IF(P1799="","",WEEKDAY(B1799,2))</f>
        <v/>
      </c>
      <c r="AA1799" s="52">
        <f>IF(P1799="","",IF(AND(P1799="Gasto",X1799="Variable",D1799&lt;&gt;catTrading,S1799&gt;0,S1799&lt;=Umbral),1,0))</f>
        <v/>
      </c>
      <c r="AB1799" s="52">
        <f>IF(OR(P1799="",Q1799=""),"",IFERROR(IF(INDEX(ctaVinc,MATCH(Q1799,ctaNombre,0))&amp;""&lt;&gt;"",INDEX(ctaVinc,MATCH(Q1799,ctaNombre,0))&amp;"",Q1799),Q1799))</f>
        <v/>
      </c>
      <c r="AC1799" s="52">
        <f>IF(OR(K1799="",AND(P1799&lt;&gt;"Transferencia",P1799&lt;&gt;"Pago tarjeta")),"",IFERROR(IF(INDEX(ctaVinc,MATCH(K1799,ctaNombre,0))&amp;""&lt;&gt;"",INDEX(ctaVinc,MATCH(K1799,ctaNombre,0))&amp;"",K1799),K1799))</f>
        <v/>
      </c>
      <c r="AD1799" s="52">
        <f>IF(AB1799="","",IFERROR(INDEX(ctaTipo,MATCH(AB1799,ctaNombre,0))&amp;"",""))</f>
        <v/>
      </c>
      <c r="AE1799" s="52">
        <f>IF(AC1799="","",IFERROR(INDEX(ctaTipo,MATCH(AC1799,ctaNombre,0))&amp;"",""))</f>
        <v/>
      </c>
      <c r="AF1799" s="53">
        <f>IF(OR(P1799="",AB1799=""),"",IF(OR(P1799="Gasto",P1799="Transferencia",P1799="Pago tarjeta"),-1,1)*IF(IFERROR(INDEX(ctaMoneda,MATCH(AB1799,ctaNombre,0))&amp;"","DOP")="USD",T1799,S1799))</f>
        <v/>
      </c>
      <c r="AG1799" s="53">
        <f>IF(AC1799="","",IF(IFERROR(INDEX(ctaMoneda,MATCH(AC1799,ctaNombre,0))&amp;"","DOP")="USD",T1799,S1799))</f>
        <v/>
      </c>
      <c r="AH1799" s="53">
        <f>IF(P1799="","",IF(AND(AD1799&lt;&gt;"",COUNTIFS(tcTipo,AD1799,tcLiq,"Sí")&gt;0),IF(OR(P1799="Gasto",P1799="Transferencia",P1799="Pago tarjeta"),-1,1)*S1799,0)+IF(AND(AE1799&lt;&gt;"",COUNTIFS(tcTipo,AE1799,tcLiq,"Sí")&gt;0),S1799,0))</f>
        <v/>
      </c>
      <c r="AI1799" s="52">
        <f>IF(OR(L1799="",P1799=""),"",IF(COUNTIFS(L$6:L1799,L1799,P$6:P1799,"?*")=1,MAX(AI$5:AI1798)+1,""))</f>
        <v/>
      </c>
    </row>
    <row r="1800">
      <c r="B1800" s="47" t="n"/>
      <c r="C1800" s="48" t="n"/>
      <c r="D1800" s="48" t="n"/>
      <c r="E1800" s="48" t="n"/>
      <c r="F1800" s="48" t="n"/>
      <c r="G1800" s="49" t="n"/>
      <c r="H1800" s="48" t="n"/>
      <c r="I1800" s="50" t="n"/>
      <c r="J1800" s="48" t="n"/>
      <c r="K1800" s="48" t="n"/>
      <c r="L1800" s="48" t="n"/>
      <c r="M1800" s="48" t="n"/>
      <c r="N1800" s="48" t="n"/>
      <c r="O1800" s="51">
        <f>IF(AND(B1800="",G1800="",C1800="",D1800="",J1800=""),"",IF(B1800="","⚠ Falta fecha",IF(G1800="","⚠ Falta monto",IF(Q1800="","⚠ Falta cuenta",IF(ISNA(MATCH(Q1800,ctaNombre,0)),"⚠ Cuenta no registrada",IF(AND(OR(P1800="Gasto",P1800="Reembolso"),D1800=""),"⚠ Falta categoría",IF(AND(D1800&lt;&gt;"",E1800&lt;&gt;"",ISNA(MATCH(D1800&amp;"|"&amp;E1800,catClave,0))),"⚠ Subcategoría no corresponde",IF(AND(OR(P1800="Transferencia",P1800="Pago tarjeta"),K1800=""),"⚠ Falta cuenta destino",IF(AND(K1800&lt;&gt;"",P1800&lt;&gt;"Transferencia",P1800&lt;&gt;"Pago tarjeta"),"⚠ Destino solo aplica a transferencias",IF(AND(K1800&lt;&gt;"",K1800=Q1800),"⚠ Origen igual a destino",IF(AND(K1800&lt;&gt;"",ISNA(MATCH(K1800,ctaNombre,0))),"⚠ Destino no registrado",IF(AND(P1800="Pago tarjeta",AE1800&lt;&gt;"Tarjeta de crédito"),"⚠ El destino debe ser tarjeta de crédito",IF(AND(P1800="Gasto",E1800="Depósitos y retiros"),"⚠ Usa tipo Transferencia",IF(AND(P1800="Resultado trading",AD1800&lt;&gt;"Cuenta de trading"),"⚠ Usa una cuenta de trading",IF(AND(G1800&lt;=0,P1800&lt;&gt;"Ajuste",P1800&lt;&gt;"Resultado trading"),"⚠ El monto debe ser positivo","✓")))))))))))))))</f>
        <v/>
      </c>
      <c r="P1800" s="52">
        <f>IF(OR(B1800="",G1800=""),"",IF(C1800="","Gasto",C1800))</f>
        <v/>
      </c>
      <c r="Q1800" s="52">
        <f>IF(P1800="","",IF(J1800&lt;&gt;"",J1800,CuentaPred&amp;""))</f>
        <v/>
      </c>
      <c r="R1800" s="52">
        <f>IF(P1800="","",IF(ISNUMBER(I1800),I1800,TasaUSD))</f>
        <v/>
      </c>
      <c r="S1800" s="53">
        <f>IF(P1800="","",IF(H1800="USD",G1800*R1800,G1800))</f>
        <v/>
      </c>
      <c r="T1800" s="53">
        <f>IF(P1800="","",IF(H1800="USD",G1800,IF(R1800&gt;0,G1800/R1800,0)))</f>
        <v/>
      </c>
      <c r="U1800" s="53">
        <f>IF(P1800="","",IF(P1800="Gasto",S1800,IF(P1800="Reembolso",-S1800,0)))</f>
        <v/>
      </c>
      <c r="V1800" s="53">
        <f>IF(P1800="","",IF(P1800="Ingreso",S1800,0))</f>
        <v/>
      </c>
      <c r="W1800" s="53">
        <f>IF(P1800="","",IF(P1800="Resultado trading",S1800,0))</f>
        <v/>
      </c>
      <c r="X1800" s="52">
        <f>IF(OR(P1800="Gasto",P1800="Reembolso"),IF(M1800&lt;&gt;"",M1800,IFERROR(INDEX(catClasif,MATCH(D1800&amp;"|"&amp;E1800,catClave,0))&amp;"","Variable")),"")</f>
        <v/>
      </c>
      <c r="Y1800" s="52">
        <f>IF(P1800="","",IFERROR(INDEX(catGrupo,MATCH(D1800&amp;"|"&amp;E1800,catClave,0))&amp;"",""))</f>
        <v/>
      </c>
      <c r="Z1800" s="52">
        <f>IF(P1800="","",WEEKDAY(B1800,2))</f>
        <v/>
      </c>
      <c r="AA1800" s="52">
        <f>IF(P1800="","",IF(AND(P1800="Gasto",X1800="Variable",D1800&lt;&gt;catTrading,S1800&gt;0,S1800&lt;=Umbral),1,0))</f>
        <v/>
      </c>
      <c r="AB1800" s="52">
        <f>IF(OR(P1800="",Q1800=""),"",IFERROR(IF(INDEX(ctaVinc,MATCH(Q1800,ctaNombre,0))&amp;""&lt;&gt;"",INDEX(ctaVinc,MATCH(Q1800,ctaNombre,0))&amp;"",Q1800),Q1800))</f>
        <v/>
      </c>
      <c r="AC1800" s="52">
        <f>IF(OR(K1800="",AND(P1800&lt;&gt;"Transferencia",P1800&lt;&gt;"Pago tarjeta")),"",IFERROR(IF(INDEX(ctaVinc,MATCH(K1800,ctaNombre,0))&amp;""&lt;&gt;"",INDEX(ctaVinc,MATCH(K1800,ctaNombre,0))&amp;"",K1800),K1800))</f>
        <v/>
      </c>
      <c r="AD1800" s="52">
        <f>IF(AB1800="","",IFERROR(INDEX(ctaTipo,MATCH(AB1800,ctaNombre,0))&amp;"",""))</f>
        <v/>
      </c>
      <c r="AE1800" s="52">
        <f>IF(AC1800="","",IFERROR(INDEX(ctaTipo,MATCH(AC1800,ctaNombre,0))&amp;"",""))</f>
        <v/>
      </c>
      <c r="AF1800" s="53">
        <f>IF(OR(P1800="",AB1800=""),"",IF(OR(P1800="Gasto",P1800="Transferencia",P1800="Pago tarjeta"),-1,1)*IF(IFERROR(INDEX(ctaMoneda,MATCH(AB1800,ctaNombre,0))&amp;"","DOP")="USD",T1800,S1800))</f>
        <v/>
      </c>
      <c r="AG1800" s="53">
        <f>IF(AC1800="","",IF(IFERROR(INDEX(ctaMoneda,MATCH(AC1800,ctaNombre,0))&amp;"","DOP")="USD",T1800,S1800))</f>
        <v/>
      </c>
      <c r="AH1800" s="53">
        <f>IF(P1800="","",IF(AND(AD1800&lt;&gt;"",COUNTIFS(tcTipo,AD1800,tcLiq,"Sí")&gt;0),IF(OR(P1800="Gasto",P1800="Transferencia",P1800="Pago tarjeta"),-1,1)*S1800,0)+IF(AND(AE1800&lt;&gt;"",COUNTIFS(tcTipo,AE1800,tcLiq,"Sí")&gt;0),S1800,0))</f>
        <v/>
      </c>
      <c r="AI1800" s="52">
        <f>IF(OR(L1800="",P1800=""),"",IF(COUNTIFS(L$6:L1800,L1800,P$6:P1800,"?*")=1,MAX(AI$5:AI1799)+1,""))</f>
        <v/>
      </c>
    </row>
    <row r="1801">
      <c r="B1801" s="47" t="n"/>
      <c r="C1801" s="48" t="n"/>
      <c r="D1801" s="48" t="n"/>
      <c r="E1801" s="48" t="n"/>
      <c r="F1801" s="48" t="n"/>
      <c r="G1801" s="49" t="n"/>
      <c r="H1801" s="48" t="n"/>
      <c r="I1801" s="50" t="n"/>
      <c r="J1801" s="48" t="n"/>
      <c r="K1801" s="48" t="n"/>
      <c r="L1801" s="48" t="n"/>
      <c r="M1801" s="48" t="n"/>
      <c r="N1801" s="48" t="n"/>
      <c r="O1801" s="51">
        <f>IF(AND(B1801="",G1801="",C1801="",D1801="",J1801=""),"",IF(B1801="","⚠ Falta fecha",IF(G1801="","⚠ Falta monto",IF(Q1801="","⚠ Falta cuenta",IF(ISNA(MATCH(Q1801,ctaNombre,0)),"⚠ Cuenta no registrada",IF(AND(OR(P1801="Gasto",P1801="Reembolso"),D1801=""),"⚠ Falta categoría",IF(AND(D1801&lt;&gt;"",E1801&lt;&gt;"",ISNA(MATCH(D1801&amp;"|"&amp;E1801,catClave,0))),"⚠ Subcategoría no corresponde",IF(AND(OR(P1801="Transferencia",P1801="Pago tarjeta"),K1801=""),"⚠ Falta cuenta destino",IF(AND(K1801&lt;&gt;"",P1801&lt;&gt;"Transferencia",P1801&lt;&gt;"Pago tarjeta"),"⚠ Destino solo aplica a transferencias",IF(AND(K1801&lt;&gt;"",K1801=Q1801),"⚠ Origen igual a destino",IF(AND(K1801&lt;&gt;"",ISNA(MATCH(K1801,ctaNombre,0))),"⚠ Destino no registrado",IF(AND(P1801="Pago tarjeta",AE1801&lt;&gt;"Tarjeta de crédito"),"⚠ El destino debe ser tarjeta de crédito",IF(AND(P1801="Gasto",E1801="Depósitos y retiros"),"⚠ Usa tipo Transferencia",IF(AND(P1801="Resultado trading",AD1801&lt;&gt;"Cuenta de trading"),"⚠ Usa una cuenta de trading",IF(AND(G1801&lt;=0,P1801&lt;&gt;"Ajuste",P1801&lt;&gt;"Resultado trading"),"⚠ El monto debe ser positivo","✓")))))))))))))))</f>
        <v/>
      </c>
      <c r="P1801" s="52">
        <f>IF(OR(B1801="",G1801=""),"",IF(C1801="","Gasto",C1801))</f>
        <v/>
      </c>
      <c r="Q1801" s="52">
        <f>IF(P1801="","",IF(J1801&lt;&gt;"",J1801,CuentaPred&amp;""))</f>
        <v/>
      </c>
      <c r="R1801" s="52">
        <f>IF(P1801="","",IF(ISNUMBER(I1801),I1801,TasaUSD))</f>
        <v/>
      </c>
      <c r="S1801" s="53">
        <f>IF(P1801="","",IF(H1801="USD",G1801*R1801,G1801))</f>
        <v/>
      </c>
      <c r="T1801" s="53">
        <f>IF(P1801="","",IF(H1801="USD",G1801,IF(R1801&gt;0,G1801/R1801,0)))</f>
        <v/>
      </c>
      <c r="U1801" s="53">
        <f>IF(P1801="","",IF(P1801="Gasto",S1801,IF(P1801="Reembolso",-S1801,0)))</f>
        <v/>
      </c>
      <c r="V1801" s="53">
        <f>IF(P1801="","",IF(P1801="Ingreso",S1801,0))</f>
        <v/>
      </c>
      <c r="W1801" s="53">
        <f>IF(P1801="","",IF(P1801="Resultado trading",S1801,0))</f>
        <v/>
      </c>
      <c r="X1801" s="52">
        <f>IF(OR(P1801="Gasto",P1801="Reembolso"),IF(M1801&lt;&gt;"",M1801,IFERROR(INDEX(catClasif,MATCH(D1801&amp;"|"&amp;E1801,catClave,0))&amp;"","Variable")),"")</f>
        <v/>
      </c>
      <c r="Y1801" s="52">
        <f>IF(P1801="","",IFERROR(INDEX(catGrupo,MATCH(D1801&amp;"|"&amp;E1801,catClave,0))&amp;"",""))</f>
        <v/>
      </c>
      <c r="Z1801" s="52">
        <f>IF(P1801="","",WEEKDAY(B1801,2))</f>
        <v/>
      </c>
      <c r="AA1801" s="52">
        <f>IF(P1801="","",IF(AND(P1801="Gasto",X1801="Variable",D1801&lt;&gt;catTrading,S1801&gt;0,S1801&lt;=Umbral),1,0))</f>
        <v/>
      </c>
      <c r="AB1801" s="52">
        <f>IF(OR(P1801="",Q1801=""),"",IFERROR(IF(INDEX(ctaVinc,MATCH(Q1801,ctaNombre,0))&amp;""&lt;&gt;"",INDEX(ctaVinc,MATCH(Q1801,ctaNombre,0))&amp;"",Q1801),Q1801))</f>
        <v/>
      </c>
      <c r="AC1801" s="52">
        <f>IF(OR(K1801="",AND(P1801&lt;&gt;"Transferencia",P1801&lt;&gt;"Pago tarjeta")),"",IFERROR(IF(INDEX(ctaVinc,MATCH(K1801,ctaNombre,0))&amp;""&lt;&gt;"",INDEX(ctaVinc,MATCH(K1801,ctaNombre,0))&amp;"",K1801),K1801))</f>
        <v/>
      </c>
      <c r="AD1801" s="52">
        <f>IF(AB1801="","",IFERROR(INDEX(ctaTipo,MATCH(AB1801,ctaNombre,0))&amp;"",""))</f>
        <v/>
      </c>
      <c r="AE1801" s="52">
        <f>IF(AC1801="","",IFERROR(INDEX(ctaTipo,MATCH(AC1801,ctaNombre,0))&amp;"",""))</f>
        <v/>
      </c>
      <c r="AF1801" s="53">
        <f>IF(OR(P1801="",AB1801=""),"",IF(OR(P1801="Gasto",P1801="Transferencia",P1801="Pago tarjeta"),-1,1)*IF(IFERROR(INDEX(ctaMoneda,MATCH(AB1801,ctaNombre,0))&amp;"","DOP")="USD",T1801,S1801))</f>
        <v/>
      </c>
      <c r="AG1801" s="53">
        <f>IF(AC1801="","",IF(IFERROR(INDEX(ctaMoneda,MATCH(AC1801,ctaNombre,0))&amp;"","DOP")="USD",T1801,S1801))</f>
        <v/>
      </c>
      <c r="AH1801" s="53">
        <f>IF(P1801="","",IF(AND(AD1801&lt;&gt;"",COUNTIFS(tcTipo,AD1801,tcLiq,"Sí")&gt;0),IF(OR(P1801="Gasto",P1801="Transferencia",P1801="Pago tarjeta"),-1,1)*S1801,0)+IF(AND(AE1801&lt;&gt;"",COUNTIFS(tcTipo,AE1801,tcLiq,"Sí")&gt;0),S1801,0))</f>
        <v/>
      </c>
      <c r="AI1801" s="52">
        <f>IF(OR(L1801="",P1801=""),"",IF(COUNTIFS(L$6:L1801,L1801,P$6:P1801,"?*")=1,MAX(AI$5:AI1800)+1,""))</f>
        <v/>
      </c>
    </row>
    <row r="1802">
      <c r="B1802" s="47" t="n"/>
      <c r="C1802" s="48" t="n"/>
      <c r="D1802" s="48" t="n"/>
      <c r="E1802" s="48" t="n"/>
      <c r="F1802" s="48" t="n"/>
      <c r="G1802" s="49" t="n"/>
      <c r="H1802" s="48" t="n"/>
      <c r="I1802" s="50" t="n"/>
      <c r="J1802" s="48" t="n"/>
      <c r="K1802" s="48" t="n"/>
      <c r="L1802" s="48" t="n"/>
      <c r="M1802" s="48" t="n"/>
      <c r="N1802" s="48" t="n"/>
      <c r="O1802" s="51">
        <f>IF(AND(B1802="",G1802="",C1802="",D1802="",J1802=""),"",IF(B1802="","⚠ Falta fecha",IF(G1802="","⚠ Falta monto",IF(Q1802="","⚠ Falta cuenta",IF(ISNA(MATCH(Q1802,ctaNombre,0)),"⚠ Cuenta no registrada",IF(AND(OR(P1802="Gasto",P1802="Reembolso"),D1802=""),"⚠ Falta categoría",IF(AND(D1802&lt;&gt;"",E1802&lt;&gt;"",ISNA(MATCH(D1802&amp;"|"&amp;E1802,catClave,0))),"⚠ Subcategoría no corresponde",IF(AND(OR(P1802="Transferencia",P1802="Pago tarjeta"),K1802=""),"⚠ Falta cuenta destino",IF(AND(K1802&lt;&gt;"",P1802&lt;&gt;"Transferencia",P1802&lt;&gt;"Pago tarjeta"),"⚠ Destino solo aplica a transferencias",IF(AND(K1802&lt;&gt;"",K1802=Q1802),"⚠ Origen igual a destino",IF(AND(K1802&lt;&gt;"",ISNA(MATCH(K1802,ctaNombre,0))),"⚠ Destino no registrado",IF(AND(P1802="Pago tarjeta",AE1802&lt;&gt;"Tarjeta de crédito"),"⚠ El destino debe ser tarjeta de crédito",IF(AND(P1802="Gasto",E1802="Depósitos y retiros"),"⚠ Usa tipo Transferencia",IF(AND(P1802="Resultado trading",AD1802&lt;&gt;"Cuenta de trading"),"⚠ Usa una cuenta de trading",IF(AND(G1802&lt;=0,P1802&lt;&gt;"Ajuste",P1802&lt;&gt;"Resultado trading"),"⚠ El monto debe ser positivo","✓")))))))))))))))</f>
        <v/>
      </c>
      <c r="P1802" s="52">
        <f>IF(OR(B1802="",G1802=""),"",IF(C1802="","Gasto",C1802))</f>
        <v/>
      </c>
      <c r="Q1802" s="52">
        <f>IF(P1802="","",IF(J1802&lt;&gt;"",J1802,CuentaPred&amp;""))</f>
        <v/>
      </c>
      <c r="R1802" s="52">
        <f>IF(P1802="","",IF(ISNUMBER(I1802),I1802,TasaUSD))</f>
        <v/>
      </c>
      <c r="S1802" s="53">
        <f>IF(P1802="","",IF(H1802="USD",G1802*R1802,G1802))</f>
        <v/>
      </c>
      <c r="T1802" s="53">
        <f>IF(P1802="","",IF(H1802="USD",G1802,IF(R1802&gt;0,G1802/R1802,0)))</f>
        <v/>
      </c>
      <c r="U1802" s="53">
        <f>IF(P1802="","",IF(P1802="Gasto",S1802,IF(P1802="Reembolso",-S1802,0)))</f>
        <v/>
      </c>
      <c r="V1802" s="53">
        <f>IF(P1802="","",IF(P1802="Ingreso",S1802,0))</f>
        <v/>
      </c>
      <c r="W1802" s="53">
        <f>IF(P1802="","",IF(P1802="Resultado trading",S1802,0))</f>
        <v/>
      </c>
      <c r="X1802" s="52">
        <f>IF(OR(P1802="Gasto",P1802="Reembolso"),IF(M1802&lt;&gt;"",M1802,IFERROR(INDEX(catClasif,MATCH(D1802&amp;"|"&amp;E1802,catClave,0))&amp;"","Variable")),"")</f>
        <v/>
      </c>
      <c r="Y1802" s="52">
        <f>IF(P1802="","",IFERROR(INDEX(catGrupo,MATCH(D1802&amp;"|"&amp;E1802,catClave,0))&amp;"",""))</f>
        <v/>
      </c>
      <c r="Z1802" s="52">
        <f>IF(P1802="","",WEEKDAY(B1802,2))</f>
        <v/>
      </c>
      <c r="AA1802" s="52">
        <f>IF(P1802="","",IF(AND(P1802="Gasto",X1802="Variable",D1802&lt;&gt;catTrading,S1802&gt;0,S1802&lt;=Umbral),1,0))</f>
        <v/>
      </c>
      <c r="AB1802" s="52">
        <f>IF(OR(P1802="",Q1802=""),"",IFERROR(IF(INDEX(ctaVinc,MATCH(Q1802,ctaNombre,0))&amp;""&lt;&gt;"",INDEX(ctaVinc,MATCH(Q1802,ctaNombre,0))&amp;"",Q1802),Q1802))</f>
        <v/>
      </c>
      <c r="AC1802" s="52">
        <f>IF(OR(K1802="",AND(P1802&lt;&gt;"Transferencia",P1802&lt;&gt;"Pago tarjeta")),"",IFERROR(IF(INDEX(ctaVinc,MATCH(K1802,ctaNombre,0))&amp;""&lt;&gt;"",INDEX(ctaVinc,MATCH(K1802,ctaNombre,0))&amp;"",K1802),K1802))</f>
        <v/>
      </c>
      <c r="AD1802" s="52">
        <f>IF(AB1802="","",IFERROR(INDEX(ctaTipo,MATCH(AB1802,ctaNombre,0))&amp;"",""))</f>
        <v/>
      </c>
      <c r="AE1802" s="52">
        <f>IF(AC1802="","",IFERROR(INDEX(ctaTipo,MATCH(AC1802,ctaNombre,0))&amp;"",""))</f>
        <v/>
      </c>
      <c r="AF1802" s="53">
        <f>IF(OR(P1802="",AB1802=""),"",IF(OR(P1802="Gasto",P1802="Transferencia",P1802="Pago tarjeta"),-1,1)*IF(IFERROR(INDEX(ctaMoneda,MATCH(AB1802,ctaNombre,0))&amp;"","DOP")="USD",T1802,S1802))</f>
        <v/>
      </c>
      <c r="AG1802" s="53">
        <f>IF(AC1802="","",IF(IFERROR(INDEX(ctaMoneda,MATCH(AC1802,ctaNombre,0))&amp;"","DOP")="USD",T1802,S1802))</f>
        <v/>
      </c>
      <c r="AH1802" s="53">
        <f>IF(P1802="","",IF(AND(AD1802&lt;&gt;"",COUNTIFS(tcTipo,AD1802,tcLiq,"Sí")&gt;0),IF(OR(P1802="Gasto",P1802="Transferencia",P1802="Pago tarjeta"),-1,1)*S1802,0)+IF(AND(AE1802&lt;&gt;"",COUNTIFS(tcTipo,AE1802,tcLiq,"Sí")&gt;0),S1802,0))</f>
        <v/>
      </c>
      <c r="AI1802" s="52">
        <f>IF(OR(L1802="",P1802=""),"",IF(COUNTIFS(L$6:L1802,L1802,P$6:P1802,"?*")=1,MAX(AI$5:AI1801)+1,""))</f>
        <v/>
      </c>
    </row>
    <row r="1803">
      <c r="B1803" s="47" t="n"/>
      <c r="C1803" s="48" t="n"/>
      <c r="D1803" s="48" t="n"/>
      <c r="E1803" s="48" t="n"/>
      <c r="F1803" s="48" t="n"/>
      <c r="G1803" s="49" t="n"/>
      <c r="H1803" s="48" t="n"/>
      <c r="I1803" s="50" t="n"/>
      <c r="J1803" s="48" t="n"/>
      <c r="K1803" s="48" t="n"/>
      <c r="L1803" s="48" t="n"/>
      <c r="M1803" s="48" t="n"/>
      <c r="N1803" s="48" t="n"/>
      <c r="O1803" s="51">
        <f>IF(AND(B1803="",G1803="",C1803="",D1803="",J1803=""),"",IF(B1803="","⚠ Falta fecha",IF(G1803="","⚠ Falta monto",IF(Q1803="","⚠ Falta cuenta",IF(ISNA(MATCH(Q1803,ctaNombre,0)),"⚠ Cuenta no registrada",IF(AND(OR(P1803="Gasto",P1803="Reembolso"),D1803=""),"⚠ Falta categoría",IF(AND(D1803&lt;&gt;"",E1803&lt;&gt;"",ISNA(MATCH(D1803&amp;"|"&amp;E1803,catClave,0))),"⚠ Subcategoría no corresponde",IF(AND(OR(P1803="Transferencia",P1803="Pago tarjeta"),K1803=""),"⚠ Falta cuenta destino",IF(AND(K1803&lt;&gt;"",P1803&lt;&gt;"Transferencia",P1803&lt;&gt;"Pago tarjeta"),"⚠ Destino solo aplica a transferencias",IF(AND(K1803&lt;&gt;"",K1803=Q1803),"⚠ Origen igual a destino",IF(AND(K1803&lt;&gt;"",ISNA(MATCH(K1803,ctaNombre,0))),"⚠ Destino no registrado",IF(AND(P1803="Pago tarjeta",AE1803&lt;&gt;"Tarjeta de crédito"),"⚠ El destino debe ser tarjeta de crédito",IF(AND(P1803="Gasto",E1803="Depósitos y retiros"),"⚠ Usa tipo Transferencia",IF(AND(P1803="Resultado trading",AD1803&lt;&gt;"Cuenta de trading"),"⚠ Usa una cuenta de trading",IF(AND(G1803&lt;=0,P1803&lt;&gt;"Ajuste",P1803&lt;&gt;"Resultado trading"),"⚠ El monto debe ser positivo","✓")))))))))))))))</f>
        <v/>
      </c>
      <c r="P1803" s="52">
        <f>IF(OR(B1803="",G1803=""),"",IF(C1803="","Gasto",C1803))</f>
        <v/>
      </c>
      <c r="Q1803" s="52">
        <f>IF(P1803="","",IF(J1803&lt;&gt;"",J1803,CuentaPred&amp;""))</f>
        <v/>
      </c>
      <c r="R1803" s="52">
        <f>IF(P1803="","",IF(ISNUMBER(I1803),I1803,TasaUSD))</f>
        <v/>
      </c>
      <c r="S1803" s="53">
        <f>IF(P1803="","",IF(H1803="USD",G1803*R1803,G1803))</f>
        <v/>
      </c>
      <c r="T1803" s="53">
        <f>IF(P1803="","",IF(H1803="USD",G1803,IF(R1803&gt;0,G1803/R1803,0)))</f>
        <v/>
      </c>
      <c r="U1803" s="53">
        <f>IF(P1803="","",IF(P1803="Gasto",S1803,IF(P1803="Reembolso",-S1803,0)))</f>
        <v/>
      </c>
      <c r="V1803" s="53">
        <f>IF(P1803="","",IF(P1803="Ingreso",S1803,0))</f>
        <v/>
      </c>
      <c r="W1803" s="53">
        <f>IF(P1803="","",IF(P1803="Resultado trading",S1803,0))</f>
        <v/>
      </c>
      <c r="X1803" s="52">
        <f>IF(OR(P1803="Gasto",P1803="Reembolso"),IF(M1803&lt;&gt;"",M1803,IFERROR(INDEX(catClasif,MATCH(D1803&amp;"|"&amp;E1803,catClave,0))&amp;"","Variable")),"")</f>
        <v/>
      </c>
      <c r="Y1803" s="52">
        <f>IF(P1803="","",IFERROR(INDEX(catGrupo,MATCH(D1803&amp;"|"&amp;E1803,catClave,0))&amp;"",""))</f>
        <v/>
      </c>
      <c r="Z1803" s="52">
        <f>IF(P1803="","",WEEKDAY(B1803,2))</f>
        <v/>
      </c>
      <c r="AA1803" s="52">
        <f>IF(P1803="","",IF(AND(P1803="Gasto",X1803="Variable",D1803&lt;&gt;catTrading,S1803&gt;0,S1803&lt;=Umbral),1,0))</f>
        <v/>
      </c>
      <c r="AB1803" s="52">
        <f>IF(OR(P1803="",Q1803=""),"",IFERROR(IF(INDEX(ctaVinc,MATCH(Q1803,ctaNombre,0))&amp;""&lt;&gt;"",INDEX(ctaVinc,MATCH(Q1803,ctaNombre,0))&amp;"",Q1803),Q1803))</f>
        <v/>
      </c>
      <c r="AC1803" s="52">
        <f>IF(OR(K1803="",AND(P1803&lt;&gt;"Transferencia",P1803&lt;&gt;"Pago tarjeta")),"",IFERROR(IF(INDEX(ctaVinc,MATCH(K1803,ctaNombre,0))&amp;""&lt;&gt;"",INDEX(ctaVinc,MATCH(K1803,ctaNombre,0))&amp;"",K1803),K1803))</f>
        <v/>
      </c>
      <c r="AD1803" s="52">
        <f>IF(AB1803="","",IFERROR(INDEX(ctaTipo,MATCH(AB1803,ctaNombre,0))&amp;"",""))</f>
        <v/>
      </c>
      <c r="AE1803" s="52">
        <f>IF(AC1803="","",IFERROR(INDEX(ctaTipo,MATCH(AC1803,ctaNombre,0))&amp;"",""))</f>
        <v/>
      </c>
      <c r="AF1803" s="53">
        <f>IF(OR(P1803="",AB1803=""),"",IF(OR(P1803="Gasto",P1803="Transferencia",P1803="Pago tarjeta"),-1,1)*IF(IFERROR(INDEX(ctaMoneda,MATCH(AB1803,ctaNombre,0))&amp;"","DOP")="USD",T1803,S1803))</f>
        <v/>
      </c>
      <c r="AG1803" s="53">
        <f>IF(AC1803="","",IF(IFERROR(INDEX(ctaMoneda,MATCH(AC1803,ctaNombre,0))&amp;"","DOP")="USD",T1803,S1803))</f>
        <v/>
      </c>
      <c r="AH1803" s="53">
        <f>IF(P1803="","",IF(AND(AD1803&lt;&gt;"",COUNTIFS(tcTipo,AD1803,tcLiq,"Sí")&gt;0),IF(OR(P1803="Gasto",P1803="Transferencia",P1803="Pago tarjeta"),-1,1)*S1803,0)+IF(AND(AE1803&lt;&gt;"",COUNTIFS(tcTipo,AE1803,tcLiq,"Sí")&gt;0),S1803,0))</f>
        <v/>
      </c>
      <c r="AI1803" s="52">
        <f>IF(OR(L1803="",P1803=""),"",IF(COUNTIFS(L$6:L1803,L1803,P$6:P1803,"?*")=1,MAX(AI$5:AI1802)+1,""))</f>
        <v/>
      </c>
    </row>
    <row r="1804">
      <c r="B1804" s="47" t="n"/>
      <c r="C1804" s="48" t="n"/>
      <c r="D1804" s="48" t="n"/>
      <c r="E1804" s="48" t="n"/>
      <c r="F1804" s="48" t="n"/>
      <c r="G1804" s="49" t="n"/>
      <c r="H1804" s="48" t="n"/>
      <c r="I1804" s="50" t="n"/>
      <c r="J1804" s="48" t="n"/>
      <c r="K1804" s="48" t="n"/>
      <c r="L1804" s="48" t="n"/>
      <c r="M1804" s="48" t="n"/>
      <c r="N1804" s="48" t="n"/>
      <c r="O1804" s="51">
        <f>IF(AND(B1804="",G1804="",C1804="",D1804="",J1804=""),"",IF(B1804="","⚠ Falta fecha",IF(G1804="","⚠ Falta monto",IF(Q1804="","⚠ Falta cuenta",IF(ISNA(MATCH(Q1804,ctaNombre,0)),"⚠ Cuenta no registrada",IF(AND(OR(P1804="Gasto",P1804="Reembolso"),D1804=""),"⚠ Falta categoría",IF(AND(D1804&lt;&gt;"",E1804&lt;&gt;"",ISNA(MATCH(D1804&amp;"|"&amp;E1804,catClave,0))),"⚠ Subcategoría no corresponde",IF(AND(OR(P1804="Transferencia",P1804="Pago tarjeta"),K1804=""),"⚠ Falta cuenta destino",IF(AND(K1804&lt;&gt;"",P1804&lt;&gt;"Transferencia",P1804&lt;&gt;"Pago tarjeta"),"⚠ Destino solo aplica a transferencias",IF(AND(K1804&lt;&gt;"",K1804=Q1804),"⚠ Origen igual a destino",IF(AND(K1804&lt;&gt;"",ISNA(MATCH(K1804,ctaNombre,0))),"⚠ Destino no registrado",IF(AND(P1804="Pago tarjeta",AE1804&lt;&gt;"Tarjeta de crédito"),"⚠ El destino debe ser tarjeta de crédito",IF(AND(P1804="Gasto",E1804="Depósitos y retiros"),"⚠ Usa tipo Transferencia",IF(AND(P1804="Resultado trading",AD1804&lt;&gt;"Cuenta de trading"),"⚠ Usa una cuenta de trading",IF(AND(G1804&lt;=0,P1804&lt;&gt;"Ajuste",P1804&lt;&gt;"Resultado trading"),"⚠ El monto debe ser positivo","✓")))))))))))))))</f>
        <v/>
      </c>
      <c r="P1804" s="52">
        <f>IF(OR(B1804="",G1804=""),"",IF(C1804="","Gasto",C1804))</f>
        <v/>
      </c>
      <c r="Q1804" s="52">
        <f>IF(P1804="","",IF(J1804&lt;&gt;"",J1804,CuentaPred&amp;""))</f>
        <v/>
      </c>
      <c r="R1804" s="52">
        <f>IF(P1804="","",IF(ISNUMBER(I1804),I1804,TasaUSD))</f>
        <v/>
      </c>
      <c r="S1804" s="53">
        <f>IF(P1804="","",IF(H1804="USD",G1804*R1804,G1804))</f>
        <v/>
      </c>
      <c r="T1804" s="53">
        <f>IF(P1804="","",IF(H1804="USD",G1804,IF(R1804&gt;0,G1804/R1804,0)))</f>
        <v/>
      </c>
      <c r="U1804" s="53">
        <f>IF(P1804="","",IF(P1804="Gasto",S1804,IF(P1804="Reembolso",-S1804,0)))</f>
        <v/>
      </c>
      <c r="V1804" s="53">
        <f>IF(P1804="","",IF(P1804="Ingreso",S1804,0))</f>
        <v/>
      </c>
      <c r="W1804" s="53">
        <f>IF(P1804="","",IF(P1804="Resultado trading",S1804,0))</f>
        <v/>
      </c>
      <c r="X1804" s="52">
        <f>IF(OR(P1804="Gasto",P1804="Reembolso"),IF(M1804&lt;&gt;"",M1804,IFERROR(INDEX(catClasif,MATCH(D1804&amp;"|"&amp;E1804,catClave,0))&amp;"","Variable")),"")</f>
        <v/>
      </c>
      <c r="Y1804" s="52">
        <f>IF(P1804="","",IFERROR(INDEX(catGrupo,MATCH(D1804&amp;"|"&amp;E1804,catClave,0))&amp;"",""))</f>
        <v/>
      </c>
      <c r="Z1804" s="52">
        <f>IF(P1804="","",WEEKDAY(B1804,2))</f>
        <v/>
      </c>
      <c r="AA1804" s="52">
        <f>IF(P1804="","",IF(AND(P1804="Gasto",X1804="Variable",D1804&lt;&gt;catTrading,S1804&gt;0,S1804&lt;=Umbral),1,0))</f>
        <v/>
      </c>
      <c r="AB1804" s="52">
        <f>IF(OR(P1804="",Q1804=""),"",IFERROR(IF(INDEX(ctaVinc,MATCH(Q1804,ctaNombre,0))&amp;""&lt;&gt;"",INDEX(ctaVinc,MATCH(Q1804,ctaNombre,0))&amp;"",Q1804),Q1804))</f>
        <v/>
      </c>
      <c r="AC1804" s="52">
        <f>IF(OR(K1804="",AND(P1804&lt;&gt;"Transferencia",P1804&lt;&gt;"Pago tarjeta")),"",IFERROR(IF(INDEX(ctaVinc,MATCH(K1804,ctaNombre,0))&amp;""&lt;&gt;"",INDEX(ctaVinc,MATCH(K1804,ctaNombre,0))&amp;"",K1804),K1804))</f>
        <v/>
      </c>
      <c r="AD1804" s="52">
        <f>IF(AB1804="","",IFERROR(INDEX(ctaTipo,MATCH(AB1804,ctaNombre,0))&amp;"",""))</f>
        <v/>
      </c>
      <c r="AE1804" s="52">
        <f>IF(AC1804="","",IFERROR(INDEX(ctaTipo,MATCH(AC1804,ctaNombre,0))&amp;"",""))</f>
        <v/>
      </c>
      <c r="AF1804" s="53">
        <f>IF(OR(P1804="",AB1804=""),"",IF(OR(P1804="Gasto",P1804="Transferencia",P1804="Pago tarjeta"),-1,1)*IF(IFERROR(INDEX(ctaMoneda,MATCH(AB1804,ctaNombre,0))&amp;"","DOP")="USD",T1804,S1804))</f>
        <v/>
      </c>
      <c r="AG1804" s="53">
        <f>IF(AC1804="","",IF(IFERROR(INDEX(ctaMoneda,MATCH(AC1804,ctaNombre,0))&amp;"","DOP")="USD",T1804,S1804))</f>
        <v/>
      </c>
      <c r="AH1804" s="53">
        <f>IF(P1804="","",IF(AND(AD1804&lt;&gt;"",COUNTIFS(tcTipo,AD1804,tcLiq,"Sí")&gt;0),IF(OR(P1804="Gasto",P1804="Transferencia",P1804="Pago tarjeta"),-1,1)*S1804,0)+IF(AND(AE1804&lt;&gt;"",COUNTIFS(tcTipo,AE1804,tcLiq,"Sí")&gt;0),S1804,0))</f>
        <v/>
      </c>
      <c r="AI1804" s="52">
        <f>IF(OR(L1804="",P1804=""),"",IF(COUNTIFS(L$6:L1804,L1804,P$6:P1804,"?*")=1,MAX(AI$5:AI1803)+1,""))</f>
        <v/>
      </c>
    </row>
    <row r="1805">
      <c r="B1805" s="47" t="n"/>
      <c r="C1805" s="48" t="n"/>
      <c r="D1805" s="48" t="n"/>
      <c r="E1805" s="48" t="n"/>
      <c r="F1805" s="48" t="n"/>
      <c r="G1805" s="49" t="n"/>
      <c r="H1805" s="48" t="n"/>
      <c r="I1805" s="50" t="n"/>
      <c r="J1805" s="48" t="n"/>
      <c r="K1805" s="48" t="n"/>
      <c r="L1805" s="48" t="n"/>
      <c r="M1805" s="48" t="n"/>
      <c r="N1805" s="48" t="n"/>
      <c r="O1805" s="51">
        <f>IF(AND(B1805="",G1805="",C1805="",D1805="",J1805=""),"",IF(B1805="","⚠ Falta fecha",IF(G1805="","⚠ Falta monto",IF(Q1805="","⚠ Falta cuenta",IF(ISNA(MATCH(Q1805,ctaNombre,0)),"⚠ Cuenta no registrada",IF(AND(OR(P1805="Gasto",P1805="Reembolso"),D1805=""),"⚠ Falta categoría",IF(AND(D1805&lt;&gt;"",E1805&lt;&gt;"",ISNA(MATCH(D1805&amp;"|"&amp;E1805,catClave,0))),"⚠ Subcategoría no corresponde",IF(AND(OR(P1805="Transferencia",P1805="Pago tarjeta"),K1805=""),"⚠ Falta cuenta destino",IF(AND(K1805&lt;&gt;"",P1805&lt;&gt;"Transferencia",P1805&lt;&gt;"Pago tarjeta"),"⚠ Destino solo aplica a transferencias",IF(AND(K1805&lt;&gt;"",K1805=Q1805),"⚠ Origen igual a destino",IF(AND(K1805&lt;&gt;"",ISNA(MATCH(K1805,ctaNombre,0))),"⚠ Destino no registrado",IF(AND(P1805="Pago tarjeta",AE1805&lt;&gt;"Tarjeta de crédito"),"⚠ El destino debe ser tarjeta de crédito",IF(AND(P1805="Gasto",E1805="Depósitos y retiros"),"⚠ Usa tipo Transferencia",IF(AND(P1805="Resultado trading",AD1805&lt;&gt;"Cuenta de trading"),"⚠ Usa una cuenta de trading",IF(AND(G1805&lt;=0,P1805&lt;&gt;"Ajuste",P1805&lt;&gt;"Resultado trading"),"⚠ El monto debe ser positivo","✓")))))))))))))))</f>
        <v/>
      </c>
      <c r="P1805" s="52">
        <f>IF(OR(B1805="",G1805=""),"",IF(C1805="","Gasto",C1805))</f>
        <v/>
      </c>
      <c r="Q1805" s="52">
        <f>IF(P1805="","",IF(J1805&lt;&gt;"",J1805,CuentaPred&amp;""))</f>
        <v/>
      </c>
      <c r="R1805" s="52">
        <f>IF(P1805="","",IF(ISNUMBER(I1805),I1805,TasaUSD))</f>
        <v/>
      </c>
      <c r="S1805" s="53">
        <f>IF(P1805="","",IF(H1805="USD",G1805*R1805,G1805))</f>
        <v/>
      </c>
      <c r="T1805" s="53">
        <f>IF(P1805="","",IF(H1805="USD",G1805,IF(R1805&gt;0,G1805/R1805,0)))</f>
        <v/>
      </c>
      <c r="U1805" s="53">
        <f>IF(P1805="","",IF(P1805="Gasto",S1805,IF(P1805="Reembolso",-S1805,0)))</f>
        <v/>
      </c>
      <c r="V1805" s="53">
        <f>IF(P1805="","",IF(P1805="Ingreso",S1805,0))</f>
        <v/>
      </c>
      <c r="W1805" s="53">
        <f>IF(P1805="","",IF(P1805="Resultado trading",S1805,0))</f>
        <v/>
      </c>
      <c r="X1805" s="52">
        <f>IF(OR(P1805="Gasto",P1805="Reembolso"),IF(M1805&lt;&gt;"",M1805,IFERROR(INDEX(catClasif,MATCH(D1805&amp;"|"&amp;E1805,catClave,0))&amp;"","Variable")),"")</f>
        <v/>
      </c>
      <c r="Y1805" s="52">
        <f>IF(P1805="","",IFERROR(INDEX(catGrupo,MATCH(D1805&amp;"|"&amp;E1805,catClave,0))&amp;"",""))</f>
        <v/>
      </c>
      <c r="Z1805" s="52">
        <f>IF(P1805="","",WEEKDAY(B1805,2))</f>
        <v/>
      </c>
      <c r="AA1805" s="52">
        <f>IF(P1805="","",IF(AND(P1805="Gasto",X1805="Variable",D1805&lt;&gt;catTrading,S1805&gt;0,S1805&lt;=Umbral),1,0))</f>
        <v/>
      </c>
      <c r="AB1805" s="52">
        <f>IF(OR(P1805="",Q1805=""),"",IFERROR(IF(INDEX(ctaVinc,MATCH(Q1805,ctaNombre,0))&amp;""&lt;&gt;"",INDEX(ctaVinc,MATCH(Q1805,ctaNombre,0))&amp;"",Q1805),Q1805))</f>
        <v/>
      </c>
      <c r="AC1805" s="52">
        <f>IF(OR(K1805="",AND(P1805&lt;&gt;"Transferencia",P1805&lt;&gt;"Pago tarjeta")),"",IFERROR(IF(INDEX(ctaVinc,MATCH(K1805,ctaNombre,0))&amp;""&lt;&gt;"",INDEX(ctaVinc,MATCH(K1805,ctaNombre,0))&amp;"",K1805),K1805))</f>
        <v/>
      </c>
      <c r="AD1805" s="52">
        <f>IF(AB1805="","",IFERROR(INDEX(ctaTipo,MATCH(AB1805,ctaNombre,0))&amp;"",""))</f>
        <v/>
      </c>
      <c r="AE1805" s="52">
        <f>IF(AC1805="","",IFERROR(INDEX(ctaTipo,MATCH(AC1805,ctaNombre,0))&amp;"",""))</f>
        <v/>
      </c>
      <c r="AF1805" s="53">
        <f>IF(OR(P1805="",AB1805=""),"",IF(OR(P1805="Gasto",P1805="Transferencia",P1805="Pago tarjeta"),-1,1)*IF(IFERROR(INDEX(ctaMoneda,MATCH(AB1805,ctaNombre,0))&amp;"","DOP")="USD",T1805,S1805))</f>
        <v/>
      </c>
      <c r="AG1805" s="53">
        <f>IF(AC1805="","",IF(IFERROR(INDEX(ctaMoneda,MATCH(AC1805,ctaNombre,0))&amp;"","DOP")="USD",T1805,S1805))</f>
        <v/>
      </c>
      <c r="AH1805" s="53">
        <f>IF(P1805="","",IF(AND(AD1805&lt;&gt;"",COUNTIFS(tcTipo,AD1805,tcLiq,"Sí")&gt;0),IF(OR(P1805="Gasto",P1805="Transferencia",P1805="Pago tarjeta"),-1,1)*S1805,0)+IF(AND(AE1805&lt;&gt;"",COUNTIFS(tcTipo,AE1805,tcLiq,"Sí")&gt;0),S1805,0))</f>
        <v/>
      </c>
      <c r="AI1805" s="52">
        <f>IF(OR(L1805="",P1805=""),"",IF(COUNTIFS(L$6:L1805,L1805,P$6:P1805,"?*")=1,MAX(AI$5:AI1804)+1,""))</f>
        <v/>
      </c>
    </row>
    <row r="1806">
      <c r="B1806" s="47" t="n"/>
      <c r="C1806" s="48" t="n"/>
      <c r="D1806" s="48" t="n"/>
      <c r="E1806" s="48" t="n"/>
      <c r="F1806" s="48" t="n"/>
      <c r="G1806" s="49" t="n"/>
      <c r="H1806" s="48" t="n"/>
      <c r="I1806" s="50" t="n"/>
      <c r="J1806" s="48" t="n"/>
      <c r="K1806" s="48" t="n"/>
      <c r="L1806" s="48" t="n"/>
      <c r="M1806" s="48" t="n"/>
      <c r="N1806" s="48" t="n"/>
      <c r="O1806" s="51">
        <f>IF(AND(B1806="",G1806="",C1806="",D1806="",J1806=""),"",IF(B1806="","⚠ Falta fecha",IF(G1806="","⚠ Falta monto",IF(Q1806="","⚠ Falta cuenta",IF(ISNA(MATCH(Q1806,ctaNombre,0)),"⚠ Cuenta no registrada",IF(AND(OR(P1806="Gasto",P1806="Reembolso"),D1806=""),"⚠ Falta categoría",IF(AND(D1806&lt;&gt;"",E1806&lt;&gt;"",ISNA(MATCH(D1806&amp;"|"&amp;E1806,catClave,0))),"⚠ Subcategoría no corresponde",IF(AND(OR(P1806="Transferencia",P1806="Pago tarjeta"),K1806=""),"⚠ Falta cuenta destino",IF(AND(K1806&lt;&gt;"",P1806&lt;&gt;"Transferencia",P1806&lt;&gt;"Pago tarjeta"),"⚠ Destino solo aplica a transferencias",IF(AND(K1806&lt;&gt;"",K1806=Q1806),"⚠ Origen igual a destino",IF(AND(K1806&lt;&gt;"",ISNA(MATCH(K1806,ctaNombre,0))),"⚠ Destino no registrado",IF(AND(P1806="Pago tarjeta",AE1806&lt;&gt;"Tarjeta de crédito"),"⚠ El destino debe ser tarjeta de crédito",IF(AND(P1806="Gasto",E1806="Depósitos y retiros"),"⚠ Usa tipo Transferencia",IF(AND(P1806="Resultado trading",AD1806&lt;&gt;"Cuenta de trading"),"⚠ Usa una cuenta de trading",IF(AND(G1806&lt;=0,P1806&lt;&gt;"Ajuste",P1806&lt;&gt;"Resultado trading"),"⚠ El monto debe ser positivo","✓")))))))))))))))</f>
        <v/>
      </c>
      <c r="P1806" s="52">
        <f>IF(OR(B1806="",G1806=""),"",IF(C1806="","Gasto",C1806))</f>
        <v/>
      </c>
      <c r="Q1806" s="52">
        <f>IF(P1806="","",IF(J1806&lt;&gt;"",J1806,CuentaPred&amp;""))</f>
        <v/>
      </c>
      <c r="R1806" s="52">
        <f>IF(P1806="","",IF(ISNUMBER(I1806),I1806,TasaUSD))</f>
        <v/>
      </c>
      <c r="S1806" s="53">
        <f>IF(P1806="","",IF(H1806="USD",G1806*R1806,G1806))</f>
        <v/>
      </c>
      <c r="T1806" s="53">
        <f>IF(P1806="","",IF(H1806="USD",G1806,IF(R1806&gt;0,G1806/R1806,0)))</f>
        <v/>
      </c>
      <c r="U1806" s="53">
        <f>IF(P1806="","",IF(P1806="Gasto",S1806,IF(P1806="Reembolso",-S1806,0)))</f>
        <v/>
      </c>
      <c r="V1806" s="53">
        <f>IF(P1806="","",IF(P1806="Ingreso",S1806,0))</f>
        <v/>
      </c>
      <c r="W1806" s="53">
        <f>IF(P1806="","",IF(P1806="Resultado trading",S1806,0))</f>
        <v/>
      </c>
      <c r="X1806" s="52">
        <f>IF(OR(P1806="Gasto",P1806="Reembolso"),IF(M1806&lt;&gt;"",M1806,IFERROR(INDEX(catClasif,MATCH(D1806&amp;"|"&amp;E1806,catClave,0))&amp;"","Variable")),"")</f>
        <v/>
      </c>
      <c r="Y1806" s="52">
        <f>IF(P1806="","",IFERROR(INDEX(catGrupo,MATCH(D1806&amp;"|"&amp;E1806,catClave,0))&amp;"",""))</f>
        <v/>
      </c>
      <c r="Z1806" s="52">
        <f>IF(P1806="","",WEEKDAY(B1806,2))</f>
        <v/>
      </c>
      <c r="AA1806" s="52">
        <f>IF(P1806="","",IF(AND(P1806="Gasto",X1806="Variable",D1806&lt;&gt;catTrading,S1806&gt;0,S1806&lt;=Umbral),1,0))</f>
        <v/>
      </c>
      <c r="AB1806" s="52">
        <f>IF(OR(P1806="",Q1806=""),"",IFERROR(IF(INDEX(ctaVinc,MATCH(Q1806,ctaNombre,0))&amp;""&lt;&gt;"",INDEX(ctaVinc,MATCH(Q1806,ctaNombre,0))&amp;"",Q1806),Q1806))</f>
        <v/>
      </c>
      <c r="AC1806" s="52">
        <f>IF(OR(K1806="",AND(P1806&lt;&gt;"Transferencia",P1806&lt;&gt;"Pago tarjeta")),"",IFERROR(IF(INDEX(ctaVinc,MATCH(K1806,ctaNombre,0))&amp;""&lt;&gt;"",INDEX(ctaVinc,MATCH(K1806,ctaNombre,0))&amp;"",K1806),K1806))</f>
        <v/>
      </c>
      <c r="AD1806" s="52">
        <f>IF(AB1806="","",IFERROR(INDEX(ctaTipo,MATCH(AB1806,ctaNombre,0))&amp;"",""))</f>
        <v/>
      </c>
      <c r="AE1806" s="52">
        <f>IF(AC1806="","",IFERROR(INDEX(ctaTipo,MATCH(AC1806,ctaNombre,0))&amp;"",""))</f>
        <v/>
      </c>
      <c r="AF1806" s="53">
        <f>IF(OR(P1806="",AB1806=""),"",IF(OR(P1806="Gasto",P1806="Transferencia",P1806="Pago tarjeta"),-1,1)*IF(IFERROR(INDEX(ctaMoneda,MATCH(AB1806,ctaNombre,0))&amp;"","DOP")="USD",T1806,S1806))</f>
        <v/>
      </c>
      <c r="AG1806" s="53">
        <f>IF(AC1806="","",IF(IFERROR(INDEX(ctaMoneda,MATCH(AC1806,ctaNombre,0))&amp;"","DOP")="USD",T1806,S1806))</f>
        <v/>
      </c>
      <c r="AH1806" s="53">
        <f>IF(P1806="","",IF(AND(AD1806&lt;&gt;"",COUNTIFS(tcTipo,AD1806,tcLiq,"Sí")&gt;0),IF(OR(P1806="Gasto",P1806="Transferencia",P1806="Pago tarjeta"),-1,1)*S1806,0)+IF(AND(AE1806&lt;&gt;"",COUNTIFS(tcTipo,AE1806,tcLiq,"Sí")&gt;0),S1806,0))</f>
        <v/>
      </c>
      <c r="AI1806" s="52">
        <f>IF(OR(L1806="",P1806=""),"",IF(COUNTIFS(L$6:L1806,L1806,P$6:P1806,"?*")=1,MAX(AI$5:AI1805)+1,""))</f>
        <v/>
      </c>
    </row>
    <row r="1807">
      <c r="B1807" s="47" t="n"/>
      <c r="C1807" s="48" t="n"/>
      <c r="D1807" s="48" t="n"/>
      <c r="E1807" s="48" t="n"/>
      <c r="F1807" s="48" t="n"/>
      <c r="G1807" s="49" t="n"/>
      <c r="H1807" s="48" t="n"/>
      <c r="I1807" s="50" t="n"/>
      <c r="J1807" s="48" t="n"/>
      <c r="K1807" s="48" t="n"/>
      <c r="L1807" s="48" t="n"/>
      <c r="M1807" s="48" t="n"/>
      <c r="N1807" s="48" t="n"/>
      <c r="O1807" s="51">
        <f>IF(AND(B1807="",G1807="",C1807="",D1807="",J1807=""),"",IF(B1807="","⚠ Falta fecha",IF(G1807="","⚠ Falta monto",IF(Q1807="","⚠ Falta cuenta",IF(ISNA(MATCH(Q1807,ctaNombre,0)),"⚠ Cuenta no registrada",IF(AND(OR(P1807="Gasto",P1807="Reembolso"),D1807=""),"⚠ Falta categoría",IF(AND(D1807&lt;&gt;"",E1807&lt;&gt;"",ISNA(MATCH(D1807&amp;"|"&amp;E1807,catClave,0))),"⚠ Subcategoría no corresponde",IF(AND(OR(P1807="Transferencia",P1807="Pago tarjeta"),K1807=""),"⚠ Falta cuenta destino",IF(AND(K1807&lt;&gt;"",P1807&lt;&gt;"Transferencia",P1807&lt;&gt;"Pago tarjeta"),"⚠ Destino solo aplica a transferencias",IF(AND(K1807&lt;&gt;"",K1807=Q1807),"⚠ Origen igual a destino",IF(AND(K1807&lt;&gt;"",ISNA(MATCH(K1807,ctaNombre,0))),"⚠ Destino no registrado",IF(AND(P1807="Pago tarjeta",AE1807&lt;&gt;"Tarjeta de crédito"),"⚠ El destino debe ser tarjeta de crédito",IF(AND(P1807="Gasto",E1807="Depósitos y retiros"),"⚠ Usa tipo Transferencia",IF(AND(P1807="Resultado trading",AD1807&lt;&gt;"Cuenta de trading"),"⚠ Usa una cuenta de trading",IF(AND(G1807&lt;=0,P1807&lt;&gt;"Ajuste",P1807&lt;&gt;"Resultado trading"),"⚠ El monto debe ser positivo","✓")))))))))))))))</f>
        <v/>
      </c>
      <c r="P1807" s="52">
        <f>IF(OR(B1807="",G1807=""),"",IF(C1807="","Gasto",C1807))</f>
        <v/>
      </c>
      <c r="Q1807" s="52">
        <f>IF(P1807="","",IF(J1807&lt;&gt;"",J1807,CuentaPred&amp;""))</f>
        <v/>
      </c>
      <c r="R1807" s="52">
        <f>IF(P1807="","",IF(ISNUMBER(I1807),I1807,TasaUSD))</f>
        <v/>
      </c>
      <c r="S1807" s="53">
        <f>IF(P1807="","",IF(H1807="USD",G1807*R1807,G1807))</f>
        <v/>
      </c>
      <c r="T1807" s="53">
        <f>IF(P1807="","",IF(H1807="USD",G1807,IF(R1807&gt;0,G1807/R1807,0)))</f>
        <v/>
      </c>
      <c r="U1807" s="53">
        <f>IF(P1807="","",IF(P1807="Gasto",S1807,IF(P1807="Reembolso",-S1807,0)))</f>
        <v/>
      </c>
      <c r="V1807" s="53">
        <f>IF(P1807="","",IF(P1807="Ingreso",S1807,0))</f>
        <v/>
      </c>
      <c r="W1807" s="53">
        <f>IF(P1807="","",IF(P1807="Resultado trading",S1807,0))</f>
        <v/>
      </c>
      <c r="X1807" s="52">
        <f>IF(OR(P1807="Gasto",P1807="Reembolso"),IF(M1807&lt;&gt;"",M1807,IFERROR(INDEX(catClasif,MATCH(D1807&amp;"|"&amp;E1807,catClave,0))&amp;"","Variable")),"")</f>
        <v/>
      </c>
      <c r="Y1807" s="52">
        <f>IF(P1807="","",IFERROR(INDEX(catGrupo,MATCH(D1807&amp;"|"&amp;E1807,catClave,0))&amp;"",""))</f>
        <v/>
      </c>
      <c r="Z1807" s="52">
        <f>IF(P1807="","",WEEKDAY(B1807,2))</f>
        <v/>
      </c>
      <c r="AA1807" s="52">
        <f>IF(P1807="","",IF(AND(P1807="Gasto",X1807="Variable",D1807&lt;&gt;catTrading,S1807&gt;0,S1807&lt;=Umbral),1,0))</f>
        <v/>
      </c>
      <c r="AB1807" s="52">
        <f>IF(OR(P1807="",Q1807=""),"",IFERROR(IF(INDEX(ctaVinc,MATCH(Q1807,ctaNombre,0))&amp;""&lt;&gt;"",INDEX(ctaVinc,MATCH(Q1807,ctaNombre,0))&amp;"",Q1807),Q1807))</f>
        <v/>
      </c>
      <c r="AC1807" s="52">
        <f>IF(OR(K1807="",AND(P1807&lt;&gt;"Transferencia",P1807&lt;&gt;"Pago tarjeta")),"",IFERROR(IF(INDEX(ctaVinc,MATCH(K1807,ctaNombre,0))&amp;""&lt;&gt;"",INDEX(ctaVinc,MATCH(K1807,ctaNombre,0))&amp;"",K1807),K1807))</f>
        <v/>
      </c>
      <c r="AD1807" s="52">
        <f>IF(AB1807="","",IFERROR(INDEX(ctaTipo,MATCH(AB1807,ctaNombre,0))&amp;"",""))</f>
        <v/>
      </c>
      <c r="AE1807" s="52">
        <f>IF(AC1807="","",IFERROR(INDEX(ctaTipo,MATCH(AC1807,ctaNombre,0))&amp;"",""))</f>
        <v/>
      </c>
      <c r="AF1807" s="53">
        <f>IF(OR(P1807="",AB1807=""),"",IF(OR(P1807="Gasto",P1807="Transferencia",P1807="Pago tarjeta"),-1,1)*IF(IFERROR(INDEX(ctaMoneda,MATCH(AB1807,ctaNombre,0))&amp;"","DOP")="USD",T1807,S1807))</f>
        <v/>
      </c>
      <c r="AG1807" s="53">
        <f>IF(AC1807="","",IF(IFERROR(INDEX(ctaMoneda,MATCH(AC1807,ctaNombre,0))&amp;"","DOP")="USD",T1807,S1807))</f>
        <v/>
      </c>
      <c r="AH1807" s="53">
        <f>IF(P1807="","",IF(AND(AD1807&lt;&gt;"",COUNTIFS(tcTipo,AD1807,tcLiq,"Sí")&gt;0),IF(OR(P1807="Gasto",P1807="Transferencia",P1807="Pago tarjeta"),-1,1)*S1807,0)+IF(AND(AE1807&lt;&gt;"",COUNTIFS(tcTipo,AE1807,tcLiq,"Sí")&gt;0),S1807,0))</f>
        <v/>
      </c>
      <c r="AI1807" s="52">
        <f>IF(OR(L1807="",P1807=""),"",IF(COUNTIFS(L$6:L1807,L1807,P$6:P1807,"?*")=1,MAX(AI$5:AI1806)+1,""))</f>
        <v/>
      </c>
    </row>
    <row r="1808">
      <c r="B1808" s="47" t="n"/>
      <c r="C1808" s="48" t="n"/>
      <c r="D1808" s="48" t="n"/>
      <c r="E1808" s="48" t="n"/>
      <c r="F1808" s="48" t="n"/>
      <c r="G1808" s="49" t="n"/>
      <c r="H1808" s="48" t="n"/>
      <c r="I1808" s="50" t="n"/>
      <c r="J1808" s="48" t="n"/>
      <c r="K1808" s="48" t="n"/>
      <c r="L1808" s="48" t="n"/>
      <c r="M1808" s="48" t="n"/>
      <c r="N1808" s="48" t="n"/>
      <c r="O1808" s="51">
        <f>IF(AND(B1808="",G1808="",C1808="",D1808="",J1808=""),"",IF(B1808="","⚠ Falta fecha",IF(G1808="","⚠ Falta monto",IF(Q1808="","⚠ Falta cuenta",IF(ISNA(MATCH(Q1808,ctaNombre,0)),"⚠ Cuenta no registrada",IF(AND(OR(P1808="Gasto",P1808="Reembolso"),D1808=""),"⚠ Falta categoría",IF(AND(D1808&lt;&gt;"",E1808&lt;&gt;"",ISNA(MATCH(D1808&amp;"|"&amp;E1808,catClave,0))),"⚠ Subcategoría no corresponde",IF(AND(OR(P1808="Transferencia",P1808="Pago tarjeta"),K1808=""),"⚠ Falta cuenta destino",IF(AND(K1808&lt;&gt;"",P1808&lt;&gt;"Transferencia",P1808&lt;&gt;"Pago tarjeta"),"⚠ Destino solo aplica a transferencias",IF(AND(K1808&lt;&gt;"",K1808=Q1808),"⚠ Origen igual a destino",IF(AND(K1808&lt;&gt;"",ISNA(MATCH(K1808,ctaNombre,0))),"⚠ Destino no registrado",IF(AND(P1808="Pago tarjeta",AE1808&lt;&gt;"Tarjeta de crédito"),"⚠ El destino debe ser tarjeta de crédito",IF(AND(P1808="Gasto",E1808="Depósitos y retiros"),"⚠ Usa tipo Transferencia",IF(AND(P1808="Resultado trading",AD1808&lt;&gt;"Cuenta de trading"),"⚠ Usa una cuenta de trading",IF(AND(G1808&lt;=0,P1808&lt;&gt;"Ajuste",P1808&lt;&gt;"Resultado trading"),"⚠ El monto debe ser positivo","✓")))))))))))))))</f>
        <v/>
      </c>
      <c r="P1808" s="52">
        <f>IF(OR(B1808="",G1808=""),"",IF(C1808="","Gasto",C1808))</f>
        <v/>
      </c>
      <c r="Q1808" s="52">
        <f>IF(P1808="","",IF(J1808&lt;&gt;"",J1808,CuentaPred&amp;""))</f>
        <v/>
      </c>
      <c r="R1808" s="52">
        <f>IF(P1808="","",IF(ISNUMBER(I1808),I1808,TasaUSD))</f>
        <v/>
      </c>
      <c r="S1808" s="53">
        <f>IF(P1808="","",IF(H1808="USD",G1808*R1808,G1808))</f>
        <v/>
      </c>
      <c r="T1808" s="53">
        <f>IF(P1808="","",IF(H1808="USD",G1808,IF(R1808&gt;0,G1808/R1808,0)))</f>
        <v/>
      </c>
      <c r="U1808" s="53">
        <f>IF(P1808="","",IF(P1808="Gasto",S1808,IF(P1808="Reembolso",-S1808,0)))</f>
        <v/>
      </c>
      <c r="V1808" s="53">
        <f>IF(P1808="","",IF(P1808="Ingreso",S1808,0))</f>
        <v/>
      </c>
      <c r="W1808" s="53">
        <f>IF(P1808="","",IF(P1808="Resultado trading",S1808,0))</f>
        <v/>
      </c>
      <c r="X1808" s="52">
        <f>IF(OR(P1808="Gasto",P1808="Reembolso"),IF(M1808&lt;&gt;"",M1808,IFERROR(INDEX(catClasif,MATCH(D1808&amp;"|"&amp;E1808,catClave,0))&amp;"","Variable")),"")</f>
        <v/>
      </c>
      <c r="Y1808" s="52">
        <f>IF(P1808="","",IFERROR(INDEX(catGrupo,MATCH(D1808&amp;"|"&amp;E1808,catClave,0))&amp;"",""))</f>
        <v/>
      </c>
      <c r="Z1808" s="52">
        <f>IF(P1808="","",WEEKDAY(B1808,2))</f>
        <v/>
      </c>
      <c r="AA1808" s="52">
        <f>IF(P1808="","",IF(AND(P1808="Gasto",X1808="Variable",D1808&lt;&gt;catTrading,S1808&gt;0,S1808&lt;=Umbral),1,0))</f>
        <v/>
      </c>
      <c r="AB1808" s="52">
        <f>IF(OR(P1808="",Q1808=""),"",IFERROR(IF(INDEX(ctaVinc,MATCH(Q1808,ctaNombre,0))&amp;""&lt;&gt;"",INDEX(ctaVinc,MATCH(Q1808,ctaNombre,0))&amp;"",Q1808),Q1808))</f>
        <v/>
      </c>
      <c r="AC1808" s="52">
        <f>IF(OR(K1808="",AND(P1808&lt;&gt;"Transferencia",P1808&lt;&gt;"Pago tarjeta")),"",IFERROR(IF(INDEX(ctaVinc,MATCH(K1808,ctaNombre,0))&amp;""&lt;&gt;"",INDEX(ctaVinc,MATCH(K1808,ctaNombre,0))&amp;"",K1808),K1808))</f>
        <v/>
      </c>
      <c r="AD1808" s="52">
        <f>IF(AB1808="","",IFERROR(INDEX(ctaTipo,MATCH(AB1808,ctaNombre,0))&amp;"",""))</f>
        <v/>
      </c>
      <c r="AE1808" s="52">
        <f>IF(AC1808="","",IFERROR(INDEX(ctaTipo,MATCH(AC1808,ctaNombre,0))&amp;"",""))</f>
        <v/>
      </c>
      <c r="AF1808" s="53">
        <f>IF(OR(P1808="",AB1808=""),"",IF(OR(P1808="Gasto",P1808="Transferencia",P1808="Pago tarjeta"),-1,1)*IF(IFERROR(INDEX(ctaMoneda,MATCH(AB1808,ctaNombre,0))&amp;"","DOP")="USD",T1808,S1808))</f>
        <v/>
      </c>
      <c r="AG1808" s="53">
        <f>IF(AC1808="","",IF(IFERROR(INDEX(ctaMoneda,MATCH(AC1808,ctaNombre,0))&amp;"","DOP")="USD",T1808,S1808))</f>
        <v/>
      </c>
      <c r="AH1808" s="53">
        <f>IF(P1808="","",IF(AND(AD1808&lt;&gt;"",COUNTIFS(tcTipo,AD1808,tcLiq,"Sí")&gt;0),IF(OR(P1808="Gasto",P1808="Transferencia",P1808="Pago tarjeta"),-1,1)*S1808,0)+IF(AND(AE1808&lt;&gt;"",COUNTIFS(tcTipo,AE1808,tcLiq,"Sí")&gt;0),S1808,0))</f>
        <v/>
      </c>
      <c r="AI1808" s="52">
        <f>IF(OR(L1808="",P1808=""),"",IF(COUNTIFS(L$6:L1808,L1808,P$6:P1808,"?*")=1,MAX(AI$5:AI1807)+1,""))</f>
        <v/>
      </c>
    </row>
    <row r="1809">
      <c r="B1809" s="47" t="n"/>
      <c r="C1809" s="48" t="n"/>
      <c r="D1809" s="48" t="n"/>
      <c r="E1809" s="48" t="n"/>
      <c r="F1809" s="48" t="n"/>
      <c r="G1809" s="49" t="n"/>
      <c r="H1809" s="48" t="n"/>
      <c r="I1809" s="50" t="n"/>
      <c r="J1809" s="48" t="n"/>
      <c r="K1809" s="48" t="n"/>
      <c r="L1809" s="48" t="n"/>
      <c r="M1809" s="48" t="n"/>
      <c r="N1809" s="48" t="n"/>
      <c r="O1809" s="51">
        <f>IF(AND(B1809="",G1809="",C1809="",D1809="",J1809=""),"",IF(B1809="","⚠ Falta fecha",IF(G1809="","⚠ Falta monto",IF(Q1809="","⚠ Falta cuenta",IF(ISNA(MATCH(Q1809,ctaNombre,0)),"⚠ Cuenta no registrada",IF(AND(OR(P1809="Gasto",P1809="Reembolso"),D1809=""),"⚠ Falta categoría",IF(AND(D1809&lt;&gt;"",E1809&lt;&gt;"",ISNA(MATCH(D1809&amp;"|"&amp;E1809,catClave,0))),"⚠ Subcategoría no corresponde",IF(AND(OR(P1809="Transferencia",P1809="Pago tarjeta"),K1809=""),"⚠ Falta cuenta destino",IF(AND(K1809&lt;&gt;"",P1809&lt;&gt;"Transferencia",P1809&lt;&gt;"Pago tarjeta"),"⚠ Destino solo aplica a transferencias",IF(AND(K1809&lt;&gt;"",K1809=Q1809),"⚠ Origen igual a destino",IF(AND(K1809&lt;&gt;"",ISNA(MATCH(K1809,ctaNombre,0))),"⚠ Destino no registrado",IF(AND(P1809="Pago tarjeta",AE1809&lt;&gt;"Tarjeta de crédito"),"⚠ El destino debe ser tarjeta de crédito",IF(AND(P1809="Gasto",E1809="Depósitos y retiros"),"⚠ Usa tipo Transferencia",IF(AND(P1809="Resultado trading",AD1809&lt;&gt;"Cuenta de trading"),"⚠ Usa una cuenta de trading",IF(AND(G1809&lt;=0,P1809&lt;&gt;"Ajuste",P1809&lt;&gt;"Resultado trading"),"⚠ El monto debe ser positivo","✓")))))))))))))))</f>
        <v/>
      </c>
      <c r="P1809" s="52">
        <f>IF(OR(B1809="",G1809=""),"",IF(C1809="","Gasto",C1809))</f>
        <v/>
      </c>
      <c r="Q1809" s="52">
        <f>IF(P1809="","",IF(J1809&lt;&gt;"",J1809,CuentaPred&amp;""))</f>
        <v/>
      </c>
      <c r="R1809" s="52">
        <f>IF(P1809="","",IF(ISNUMBER(I1809),I1809,TasaUSD))</f>
        <v/>
      </c>
      <c r="S1809" s="53">
        <f>IF(P1809="","",IF(H1809="USD",G1809*R1809,G1809))</f>
        <v/>
      </c>
      <c r="T1809" s="53">
        <f>IF(P1809="","",IF(H1809="USD",G1809,IF(R1809&gt;0,G1809/R1809,0)))</f>
        <v/>
      </c>
      <c r="U1809" s="53">
        <f>IF(P1809="","",IF(P1809="Gasto",S1809,IF(P1809="Reembolso",-S1809,0)))</f>
        <v/>
      </c>
      <c r="V1809" s="53">
        <f>IF(P1809="","",IF(P1809="Ingreso",S1809,0))</f>
        <v/>
      </c>
      <c r="W1809" s="53">
        <f>IF(P1809="","",IF(P1809="Resultado trading",S1809,0))</f>
        <v/>
      </c>
      <c r="X1809" s="52">
        <f>IF(OR(P1809="Gasto",P1809="Reembolso"),IF(M1809&lt;&gt;"",M1809,IFERROR(INDEX(catClasif,MATCH(D1809&amp;"|"&amp;E1809,catClave,0))&amp;"","Variable")),"")</f>
        <v/>
      </c>
      <c r="Y1809" s="52">
        <f>IF(P1809="","",IFERROR(INDEX(catGrupo,MATCH(D1809&amp;"|"&amp;E1809,catClave,0))&amp;"",""))</f>
        <v/>
      </c>
      <c r="Z1809" s="52">
        <f>IF(P1809="","",WEEKDAY(B1809,2))</f>
        <v/>
      </c>
      <c r="AA1809" s="52">
        <f>IF(P1809="","",IF(AND(P1809="Gasto",X1809="Variable",D1809&lt;&gt;catTrading,S1809&gt;0,S1809&lt;=Umbral),1,0))</f>
        <v/>
      </c>
      <c r="AB1809" s="52">
        <f>IF(OR(P1809="",Q1809=""),"",IFERROR(IF(INDEX(ctaVinc,MATCH(Q1809,ctaNombre,0))&amp;""&lt;&gt;"",INDEX(ctaVinc,MATCH(Q1809,ctaNombre,0))&amp;"",Q1809),Q1809))</f>
        <v/>
      </c>
      <c r="AC1809" s="52">
        <f>IF(OR(K1809="",AND(P1809&lt;&gt;"Transferencia",P1809&lt;&gt;"Pago tarjeta")),"",IFERROR(IF(INDEX(ctaVinc,MATCH(K1809,ctaNombre,0))&amp;""&lt;&gt;"",INDEX(ctaVinc,MATCH(K1809,ctaNombre,0))&amp;"",K1809),K1809))</f>
        <v/>
      </c>
      <c r="AD1809" s="52">
        <f>IF(AB1809="","",IFERROR(INDEX(ctaTipo,MATCH(AB1809,ctaNombre,0))&amp;"",""))</f>
        <v/>
      </c>
      <c r="AE1809" s="52">
        <f>IF(AC1809="","",IFERROR(INDEX(ctaTipo,MATCH(AC1809,ctaNombre,0))&amp;"",""))</f>
        <v/>
      </c>
      <c r="AF1809" s="53">
        <f>IF(OR(P1809="",AB1809=""),"",IF(OR(P1809="Gasto",P1809="Transferencia",P1809="Pago tarjeta"),-1,1)*IF(IFERROR(INDEX(ctaMoneda,MATCH(AB1809,ctaNombre,0))&amp;"","DOP")="USD",T1809,S1809))</f>
        <v/>
      </c>
      <c r="AG1809" s="53">
        <f>IF(AC1809="","",IF(IFERROR(INDEX(ctaMoneda,MATCH(AC1809,ctaNombre,0))&amp;"","DOP")="USD",T1809,S1809))</f>
        <v/>
      </c>
      <c r="AH1809" s="53">
        <f>IF(P1809="","",IF(AND(AD1809&lt;&gt;"",COUNTIFS(tcTipo,AD1809,tcLiq,"Sí")&gt;0),IF(OR(P1809="Gasto",P1809="Transferencia",P1809="Pago tarjeta"),-1,1)*S1809,0)+IF(AND(AE1809&lt;&gt;"",COUNTIFS(tcTipo,AE1809,tcLiq,"Sí")&gt;0),S1809,0))</f>
        <v/>
      </c>
      <c r="AI1809" s="52">
        <f>IF(OR(L1809="",P1809=""),"",IF(COUNTIFS(L$6:L1809,L1809,P$6:P1809,"?*")=1,MAX(AI$5:AI1808)+1,""))</f>
        <v/>
      </c>
    </row>
    <row r="1810">
      <c r="B1810" s="47" t="n"/>
      <c r="C1810" s="48" t="n"/>
      <c r="D1810" s="48" t="n"/>
      <c r="E1810" s="48" t="n"/>
      <c r="F1810" s="48" t="n"/>
      <c r="G1810" s="49" t="n"/>
      <c r="H1810" s="48" t="n"/>
      <c r="I1810" s="50" t="n"/>
      <c r="J1810" s="48" t="n"/>
      <c r="K1810" s="48" t="n"/>
      <c r="L1810" s="48" t="n"/>
      <c r="M1810" s="48" t="n"/>
      <c r="N1810" s="48" t="n"/>
      <c r="O1810" s="51">
        <f>IF(AND(B1810="",G1810="",C1810="",D1810="",J1810=""),"",IF(B1810="","⚠ Falta fecha",IF(G1810="","⚠ Falta monto",IF(Q1810="","⚠ Falta cuenta",IF(ISNA(MATCH(Q1810,ctaNombre,0)),"⚠ Cuenta no registrada",IF(AND(OR(P1810="Gasto",P1810="Reembolso"),D1810=""),"⚠ Falta categoría",IF(AND(D1810&lt;&gt;"",E1810&lt;&gt;"",ISNA(MATCH(D1810&amp;"|"&amp;E1810,catClave,0))),"⚠ Subcategoría no corresponde",IF(AND(OR(P1810="Transferencia",P1810="Pago tarjeta"),K1810=""),"⚠ Falta cuenta destino",IF(AND(K1810&lt;&gt;"",P1810&lt;&gt;"Transferencia",P1810&lt;&gt;"Pago tarjeta"),"⚠ Destino solo aplica a transferencias",IF(AND(K1810&lt;&gt;"",K1810=Q1810),"⚠ Origen igual a destino",IF(AND(K1810&lt;&gt;"",ISNA(MATCH(K1810,ctaNombre,0))),"⚠ Destino no registrado",IF(AND(P1810="Pago tarjeta",AE1810&lt;&gt;"Tarjeta de crédito"),"⚠ El destino debe ser tarjeta de crédito",IF(AND(P1810="Gasto",E1810="Depósitos y retiros"),"⚠ Usa tipo Transferencia",IF(AND(P1810="Resultado trading",AD1810&lt;&gt;"Cuenta de trading"),"⚠ Usa una cuenta de trading",IF(AND(G1810&lt;=0,P1810&lt;&gt;"Ajuste",P1810&lt;&gt;"Resultado trading"),"⚠ El monto debe ser positivo","✓")))))))))))))))</f>
        <v/>
      </c>
      <c r="P1810" s="52">
        <f>IF(OR(B1810="",G1810=""),"",IF(C1810="","Gasto",C1810))</f>
        <v/>
      </c>
      <c r="Q1810" s="52">
        <f>IF(P1810="","",IF(J1810&lt;&gt;"",J1810,CuentaPred&amp;""))</f>
        <v/>
      </c>
      <c r="R1810" s="52">
        <f>IF(P1810="","",IF(ISNUMBER(I1810),I1810,TasaUSD))</f>
        <v/>
      </c>
      <c r="S1810" s="53">
        <f>IF(P1810="","",IF(H1810="USD",G1810*R1810,G1810))</f>
        <v/>
      </c>
      <c r="T1810" s="53">
        <f>IF(P1810="","",IF(H1810="USD",G1810,IF(R1810&gt;0,G1810/R1810,0)))</f>
        <v/>
      </c>
      <c r="U1810" s="53">
        <f>IF(P1810="","",IF(P1810="Gasto",S1810,IF(P1810="Reembolso",-S1810,0)))</f>
        <v/>
      </c>
      <c r="V1810" s="53">
        <f>IF(P1810="","",IF(P1810="Ingreso",S1810,0))</f>
        <v/>
      </c>
      <c r="W1810" s="53">
        <f>IF(P1810="","",IF(P1810="Resultado trading",S1810,0))</f>
        <v/>
      </c>
      <c r="X1810" s="52">
        <f>IF(OR(P1810="Gasto",P1810="Reembolso"),IF(M1810&lt;&gt;"",M1810,IFERROR(INDEX(catClasif,MATCH(D1810&amp;"|"&amp;E1810,catClave,0))&amp;"","Variable")),"")</f>
        <v/>
      </c>
      <c r="Y1810" s="52">
        <f>IF(P1810="","",IFERROR(INDEX(catGrupo,MATCH(D1810&amp;"|"&amp;E1810,catClave,0))&amp;"",""))</f>
        <v/>
      </c>
      <c r="Z1810" s="52">
        <f>IF(P1810="","",WEEKDAY(B1810,2))</f>
        <v/>
      </c>
      <c r="AA1810" s="52">
        <f>IF(P1810="","",IF(AND(P1810="Gasto",X1810="Variable",D1810&lt;&gt;catTrading,S1810&gt;0,S1810&lt;=Umbral),1,0))</f>
        <v/>
      </c>
      <c r="AB1810" s="52">
        <f>IF(OR(P1810="",Q1810=""),"",IFERROR(IF(INDEX(ctaVinc,MATCH(Q1810,ctaNombre,0))&amp;""&lt;&gt;"",INDEX(ctaVinc,MATCH(Q1810,ctaNombre,0))&amp;"",Q1810),Q1810))</f>
        <v/>
      </c>
      <c r="AC1810" s="52">
        <f>IF(OR(K1810="",AND(P1810&lt;&gt;"Transferencia",P1810&lt;&gt;"Pago tarjeta")),"",IFERROR(IF(INDEX(ctaVinc,MATCH(K1810,ctaNombre,0))&amp;""&lt;&gt;"",INDEX(ctaVinc,MATCH(K1810,ctaNombre,0))&amp;"",K1810),K1810))</f>
        <v/>
      </c>
      <c r="AD1810" s="52">
        <f>IF(AB1810="","",IFERROR(INDEX(ctaTipo,MATCH(AB1810,ctaNombre,0))&amp;"",""))</f>
        <v/>
      </c>
      <c r="AE1810" s="52">
        <f>IF(AC1810="","",IFERROR(INDEX(ctaTipo,MATCH(AC1810,ctaNombre,0))&amp;"",""))</f>
        <v/>
      </c>
      <c r="AF1810" s="53">
        <f>IF(OR(P1810="",AB1810=""),"",IF(OR(P1810="Gasto",P1810="Transferencia",P1810="Pago tarjeta"),-1,1)*IF(IFERROR(INDEX(ctaMoneda,MATCH(AB1810,ctaNombre,0))&amp;"","DOP")="USD",T1810,S1810))</f>
        <v/>
      </c>
      <c r="AG1810" s="53">
        <f>IF(AC1810="","",IF(IFERROR(INDEX(ctaMoneda,MATCH(AC1810,ctaNombre,0))&amp;"","DOP")="USD",T1810,S1810))</f>
        <v/>
      </c>
      <c r="AH1810" s="53">
        <f>IF(P1810="","",IF(AND(AD1810&lt;&gt;"",COUNTIFS(tcTipo,AD1810,tcLiq,"Sí")&gt;0),IF(OR(P1810="Gasto",P1810="Transferencia",P1810="Pago tarjeta"),-1,1)*S1810,0)+IF(AND(AE1810&lt;&gt;"",COUNTIFS(tcTipo,AE1810,tcLiq,"Sí")&gt;0),S1810,0))</f>
        <v/>
      </c>
      <c r="AI1810" s="52">
        <f>IF(OR(L1810="",P1810=""),"",IF(COUNTIFS(L$6:L1810,L1810,P$6:P1810,"?*")=1,MAX(AI$5:AI1809)+1,""))</f>
        <v/>
      </c>
    </row>
    <row r="1811">
      <c r="B1811" s="47" t="n"/>
      <c r="C1811" s="48" t="n"/>
      <c r="D1811" s="48" t="n"/>
      <c r="E1811" s="48" t="n"/>
      <c r="F1811" s="48" t="n"/>
      <c r="G1811" s="49" t="n"/>
      <c r="H1811" s="48" t="n"/>
      <c r="I1811" s="50" t="n"/>
      <c r="J1811" s="48" t="n"/>
      <c r="K1811" s="48" t="n"/>
      <c r="L1811" s="48" t="n"/>
      <c r="M1811" s="48" t="n"/>
      <c r="N1811" s="48" t="n"/>
      <c r="O1811" s="51">
        <f>IF(AND(B1811="",G1811="",C1811="",D1811="",J1811=""),"",IF(B1811="","⚠ Falta fecha",IF(G1811="","⚠ Falta monto",IF(Q1811="","⚠ Falta cuenta",IF(ISNA(MATCH(Q1811,ctaNombre,0)),"⚠ Cuenta no registrada",IF(AND(OR(P1811="Gasto",P1811="Reembolso"),D1811=""),"⚠ Falta categoría",IF(AND(D1811&lt;&gt;"",E1811&lt;&gt;"",ISNA(MATCH(D1811&amp;"|"&amp;E1811,catClave,0))),"⚠ Subcategoría no corresponde",IF(AND(OR(P1811="Transferencia",P1811="Pago tarjeta"),K1811=""),"⚠ Falta cuenta destino",IF(AND(K1811&lt;&gt;"",P1811&lt;&gt;"Transferencia",P1811&lt;&gt;"Pago tarjeta"),"⚠ Destino solo aplica a transferencias",IF(AND(K1811&lt;&gt;"",K1811=Q1811),"⚠ Origen igual a destino",IF(AND(K1811&lt;&gt;"",ISNA(MATCH(K1811,ctaNombre,0))),"⚠ Destino no registrado",IF(AND(P1811="Pago tarjeta",AE1811&lt;&gt;"Tarjeta de crédito"),"⚠ El destino debe ser tarjeta de crédito",IF(AND(P1811="Gasto",E1811="Depósitos y retiros"),"⚠ Usa tipo Transferencia",IF(AND(P1811="Resultado trading",AD1811&lt;&gt;"Cuenta de trading"),"⚠ Usa una cuenta de trading",IF(AND(G1811&lt;=0,P1811&lt;&gt;"Ajuste",P1811&lt;&gt;"Resultado trading"),"⚠ El monto debe ser positivo","✓")))))))))))))))</f>
        <v/>
      </c>
      <c r="P1811" s="52">
        <f>IF(OR(B1811="",G1811=""),"",IF(C1811="","Gasto",C1811))</f>
        <v/>
      </c>
      <c r="Q1811" s="52">
        <f>IF(P1811="","",IF(J1811&lt;&gt;"",J1811,CuentaPred&amp;""))</f>
        <v/>
      </c>
      <c r="R1811" s="52">
        <f>IF(P1811="","",IF(ISNUMBER(I1811),I1811,TasaUSD))</f>
        <v/>
      </c>
      <c r="S1811" s="53">
        <f>IF(P1811="","",IF(H1811="USD",G1811*R1811,G1811))</f>
        <v/>
      </c>
      <c r="T1811" s="53">
        <f>IF(P1811="","",IF(H1811="USD",G1811,IF(R1811&gt;0,G1811/R1811,0)))</f>
        <v/>
      </c>
      <c r="U1811" s="53">
        <f>IF(P1811="","",IF(P1811="Gasto",S1811,IF(P1811="Reembolso",-S1811,0)))</f>
        <v/>
      </c>
      <c r="V1811" s="53">
        <f>IF(P1811="","",IF(P1811="Ingreso",S1811,0))</f>
        <v/>
      </c>
      <c r="W1811" s="53">
        <f>IF(P1811="","",IF(P1811="Resultado trading",S1811,0))</f>
        <v/>
      </c>
      <c r="X1811" s="52">
        <f>IF(OR(P1811="Gasto",P1811="Reembolso"),IF(M1811&lt;&gt;"",M1811,IFERROR(INDEX(catClasif,MATCH(D1811&amp;"|"&amp;E1811,catClave,0))&amp;"","Variable")),"")</f>
        <v/>
      </c>
      <c r="Y1811" s="52">
        <f>IF(P1811="","",IFERROR(INDEX(catGrupo,MATCH(D1811&amp;"|"&amp;E1811,catClave,0))&amp;"",""))</f>
        <v/>
      </c>
      <c r="Z1811" s="52">
        <f>IF(P1811="","",WEEKDAY(B1811,2))</f>
        <v/>
      </c>
      <c r="AA1811" s="52">
        <f>IF(P1811="","",IF(AND(P1811="Gasto",X1811="Variable",D1811&lt;&gt;catTrading,S1811&gt;0,S1811&lt;=Umbral),1,0))</f>
        <v/>
      </c>
      <c r="AB1811" s="52">
        <f>IF(OR(P1811="",Q1811=""),"",IFERROR(IF(INDEX(ctaVinc,MATCH(Q1811,ctaNombre,0))&amp;""&lt;&gt;"",INDEX(ctaVinc,MATCH(Q1811,ctaNombre,0))&amp;"",Q1811),Q1811))</f>
        <v/>
      </c>
      <c r="AC1811" s="52">
        <f>IF(OR(K1811="",AND(P1811&lt;&gt;"Transferencia",P1811&lt;&gt;"Pago tarjeta")),"",IFERROR(IF(INDEX(ctaVinc,MATCH(K1811,ctaNombre,0))&amp;""&lt;&gt;"",INDEX(ctaVinc,MATCH(K1811,ctaNombre,0))&amp;"",K1811),K1811))</f>
        <v/>
      </c>
      <c r="AD1811" s="52">
        <f>IF(AB1811="","",IFERROR(INDEX(ctaTipo,MATCH(AB1811,ctaNombre,0))&amp;"",""))</f>
        <v/>
      </c>
      <c r="AE1811" s="52">
        <f>IF(AC1811="","",IFERROR(INDEX(ctaTipo,MATCH(AC1811,ctaNombre,0))&amp;"",""))</f>
        <v/>
      </c>
      <c r="AF1811" s="53">
        <f>IF(OR(P1811="",AB1811=""),"",IF(OR(P1811="Gasto",P1811="Transferencia",P1811="Pago tarjeta"),-1,1)*IF(IFERROR(INDEX(ctaMoneda,MATCH(AB1811,ctaNombre,0))&amp;"","DOP")="USD",T1811,S1811))</f>
        <v/>
      </c>
      <c r="AG1811" s="53">
        <f>IF(AC1811="","",IF(IFERROR(INDEX(ctaMoneda,MATCH(AC1811,ctaNombre,0))&amp;"","DOP")="USD",T1811,S1811))</f>
        <v/>
      </c>
      <c r="AH1811" s="53">
        <f>IF(P1811="","",IF(AND(AD1811&lt;&gt;"",COUNTIFS(tcTipo,AD1811,tcLiq,"Sí")&gt;0),IF(OR(P1811="Gasto",P1811="Transferencia",P1811="Pago tarjeta"),-1,1)*S1811,0)+IF(AND(AE1811&lt;&gt;"",COUNTIFS(tcTipo,AE1811,tcLiq,"Sí")&gt;0),S1811,0))</f>
        <v/>
      </c>
      <c r="AI1811" s="52">
        <f>IF(OR(L1811="",P1811=""),"",IF(COUNTIFS(L$6:L1811,L1811,P$6:P1811,"?*")=1,MAX(AI$5:AI1810)+1,""))</f>
        <v/>
      </c>
    </row>
    <row r="1812">
      <c r="B1812" s="47" t="n"/>
      <c r="C1812" s="48" t="n"/>
      <c r="D1812" s="48" t="n"/>
      <c r="E1812" s="48" t="n"/>
      <c r="F1812" s="48" t="n"/>
      <c r="G1812" s="49" t="n"/>
      <c r="H1812" s="48" t="n"/>
      <c r="I1812" s="50" t="n"/>
      <c r="J1812" s="48" t="n"/>
      <c r="K1812" s="48" t="n"/>
      <c r="L1812" s="48" t="n"/>
      <c r="M1812" s="48" t="n"/>
      <c r="N1812" s="48" t="n"/>
      <c r="O1812" s="51">
        <f>IF(AND(B1812="",G1812="",C1812="",D1812="",J1812=""),"",IF(B1812="","⚠ Falta fecha",IF(G1812="","⚠ Falta monto",IF(Q1812="","⚠ Falta cuenta",IF(ISNA(MATCH(Q1812,ctaNombre,0)),"⚠ Cuenta no registrada",IF(AND(OR(P1812="Gasto",P1812="Reembolso"),D1812=""),"⚠ Falta categoría",IF(AND(D1812&lt;&gt;"",E1812&lt;&gt;"",ISNA(MATCH(D1812&amp;"|"&amp;E1812,catClave,0))),"⚠ Subcategoría no corresponde",IF(AND(OR(P1812="Transferencia",P1812="Pago tarjeta"),K1812=""),"⚠ Falta cuenta destino",IF(AND(K1812&lt;&gt;"",P1812&lt;&gt;"Transferencia",P1812&lt;&gt;"Pago tarjeta"),"⚠ Destino solo aplica a transferencias",IF(AND(K1812&lt;&gt;"",K1812=Q1812),"⚠ Origen igual a destino",IF(AND(K1812&lt;&gt;"",ISNA(MATCH(K1812,ctaNombre,0))),"⚠ Destino no registrado",IF(AND(P1812="Pago tarjeta",AE1812&lt;&gt;"Tarjeta de crédito"),"⚠ El destino debe ser tarjeta de crédito",IF(AND(P1812="Gasto",E1812="Depósitos y retiros"),"⚠ Usa tipo Transferencia",IF(AND(P1812="Resultado trading",AD1812&lt;&gt;"Cuenta de trading"),"⚠ Usa una cuenta de trading",IF(AND(G1812&lt;=0,P1812&lt;&gt;"Ajuste",P1812&lt;&gt;"Resultado trading"),"⚠ El monto debe ser positivo","✓")))))))))))))))</f>
        <v/>
      </c>
      <c r="P1812" s="52">
        <f>IF(OR(B1812="",G1812=""),"",IF(C1812="","Gasto",C1812))</f>
        <v/>
      </c>
      <c r="Q1812" s="52">
        <f>IF(P1812="","",IF(J1812&lt;&gt;"",J1812,CuentaPred&amp;""))</f>
        <v/>
      </c>
      <c r="R1812" s="52">
        <f>IF(P1812="","",IF(ISNUMBER(I1812),I1812,TasaUSD))</f>
        <v/>
      </c>
      <c r="S1812" s="53">
        <f>IF(P1812="","",IF(H1812="USD",G1812*R1812,G1812))</f>
        <v/>
      </c>
      <c r="T1812" s="53">
        <f>IF(P1812="","",IF(H1812="USD",G1812,IF(R1812&gt;0,G1812/R1812,0)))</f>
        <v/>
      </c>
      <c r="U1812" s="53">
        <f>IF(P1812="","",IF(P1812="Gasto",S1812,IF(P1812="Reembolso",-S1812,0)))</f>
        <v/>
      </c>
      <c r="V1812" s="53">
        <f>IF(P1812="","",IF(P1812="Ingreso",S1812,0))</f>
        <v/>
      </c>
      <c r="W1812" s="53">
        <f>IF(P1812="","",IF(P1812="Resultado trading",S1812,0))</f>
        <v/>
      </c>
      <c r="X1812" s="52">
        <f>IF(OR(P1812="Gasto",P1812="Reembolso"),IF(M1812&lt;&gt;"",M1812,IFERROR(INDEX(catClasif,MATCH(D1812&amp;"|"&amp;E1812,catClave,0))&amp;"","Variable")),"")</f>
        <v/>
      </c>
      <c r="Y1812" s="52">
        <f>IF(P1812="","",IFERROR(INDEX(catGrupo,MATCH(D1812&amp;"|"&amp;E1812,catClave,0))&amp;"",""))</f>
        <v/>
      </c>
      <c r="Z1812" s="52">
        <f>IF(P1812="","",WEEKDAY(B1812,2))</f>
        <v/>
      </c>
      <c r="AA1812" s="52">
        <f>IF(P1812="","",IF(AND(P1812="Gasto",X1812="Variable",D1812&lt;&gt;catTrading,S1812&gt;0,S1812&lt;=Umbral),1,0))</f>
        <v/>
      </c>
      <c r="AB1812" s="52">
        <f>IF(OR(P1812="",Q1812=""),"",IFERROR(IF(INDEX(ctaVinc,MATCH(Q1812,ctaNombre,0))&amp;""&lt;&gt;"",INDEX(ctaVinc,MATCH(Q1812,ctaNombre,0))&amp;"",Q1812),Q1812))</f>
        <v/>
      </c>
      <c r="AC1812" s="52">
        <f>IF(OR(K1812="",AND(P1812&lt;&gt;"Transferencia",P1812&lt;&gt;"Pago tarjeta")),"",IFERROR(IF(INDEX(ctaVinc,MATCH(K1812,ctaNombre,0))&amp;""&lt;&gt;"",INDEX(ctaVinc,MATCH(K1812,ctaNombre,0))&amp;"",K1812),K1812))</f>
        <v/>
      </c>
      <c r="AD1812" s="52">
        <f>IF(AB1812="","",IFERROR(INDEX(ctaTipo,MATCH(AB1812,ctaNombre,0))&amp;"",""))</f>
        <v/>
      </c>
      <c r="AE1812" s="52">
        <f>IF(AC1812="","",IFERROR(INDEX(ctaTipo,MATCH(AC1812,ctaNombre,0))&amp;"",""))</f>
        <v/>
      </c>
      <c r="AF1812" s="53">
        <f>IF(OR(P1812="",AB1812=""),"",IF(OR(P1812="Gasto",P1812="Transferencia",P1812="Pago tarjeta"),-1,1)*IF(IFERROR(INDEX(ctaMoneda,MATCH(AB1812,ctaNombre,0))&amp;"","DOP")="USD",T1812,S1812))</f>
        <v/>
      </c>
      <c r="AG1812" s="53">
        <f>IF(AC1812="","",IF(IFERROR(INDEX(ctaMoneda,MATCH(AC1812,ctaNombre,0))&amp;"","DOP")="USD",T1812,S1812))</f>
        <v/>
      </c>
      <c r="AH1812" s="53">
        <f>IF(P1812="","",IF(AND(AD1812&lt;&gt;"",COUNTIFS(tcTipo,AD1812,tcLiq,"Sí")&gt;0),IF(OR(P1812="Gasto",P1812="Transferencia",P1812="Pago tarjeta"),-1,1)*S1812,0)+IF(AND(AE1812&lt;&gt;"",COUNTIFS(tcTipo,AE1812,tcLiq,"Sí")&gt;0),S1812,0))</f>
        <v/>
      </c>
      <c r="AI1812" s="52">
        <f>IF(OR(L1812="",P1812=""),"",IF(COUNTIFS(L$6:L1812,L1812,P$6:P1812,"?*")=1,MAX(AI$5:AI1811)+1,""))</f>
        <v/>
      </c>
    </row>
    <row r="1813">
      <c r="B1813" s="47" t="n"/>
      <c r="C1813" s="48" t="n"/>
      <c r="D1813" s="48" t="n"/>
      <c r="E1813" s="48" t="n"/>
      <c r="F1813" s="48" t="n"/>
      <c r="G1813" s="49" t="n"/>
      <c r="H1813" s="48" t="n"/>
      <c r="I1813" s="50" t="n"/>
      <c r="J1813" s="48" t="n"/>
      <c r="K1813" s="48" t="n"/>
      <c r="L1813" s="48" t="n"/>
      <c r="M1813" s="48" t="n"/>
      <c r="N1813" s="48" t="n"/>
      <c r="O1813" s="51">
        <f>IF(AND(B1813="",G1813="",C1813="",D1813="",J1813=""),"",IF(B1813="","⚠ Falta fecha",IF(G1813="","⚠ Falta monto",IF(Q1813="","⚠ Falta cuenta",IF(ISNA(MATCH(Q1813,ctaNombre,0)),"⚠ Cuenta no registrada",IF(AND(OR(P1813="Gasto",P1813="Reembolso"),D1813=""),"⚠ Falta categoría",IF(AND(D1813&lt;&gt;"",E1813&lt;&gt;"",ISNA(MATCH(D1813&amp;"|"&amp;E1813,catClave,0))),"⚠ Subcategoría no corresponde",IF(AND(OR(P1813="Transferencia",P1813="Pago tarjeta"),K1813=""),"⚠ Falta cuenta destino",IF(AND(K1813&lt;&gt;"",P1813&lt;&gt;"Transferencia",P1813&lt;&gt;"Pago tarjeta"),"⚠ Destino solo aplica a transferencias",IF(AND(K1813&lt;&gt;"",K1813=Q1813),"⚠ Origen igual a destino",IF(AND(K1813&lt;&gt;"",ISNA(MATCH(K1813,ctaNombre,0))),"⚠ Destino no registrado",IF(AND(P1813="Pago tarjeta",AE1813&lt;&gt;"Tarjeta de crédito"),"⚠ El destino debe ser tarjeta de crédito",IF(AND(P1813="Gasto",E1813="Depósitos y retiros"),"⚠ Usa tipo Transferencia",IF(AND(P1813="Resultado trading",AD1813&lt;&gt;"Cuenta de trading"),"⚠ Usa una cuenta de trading",IF(AND(G1813&lt;=0,P1813&lt;&gt;"Ajuste",P1813&lt;&gt;"Resultado trading"),"⚠ El monto debe ser positivo","✓")))))))))))))))</f>
        <v/>
      </c>
      <c r="P1813" s="52">
        <f>IF(OR(B1813="",G1813=""),"",IF(C1813="","Gasto",C1813))</f>
        <v/>
      </c>
      <c r="Q1813" s="52">
        <f>IF(P1813="","",IF(J1813&lt;&gt;"",J1813,CuentaPred&amp;""))</f>
        <v/>
      </c>
      <c r="R1813" s="52">
        <f>IF(P1813="","",IF(ISNUMBER(I1813),I1813,TasaUSD))</f>
        <v/>
      </c>
      <c r="S1813" s="53">
        <f>IF(P1813="","",IF(H1813="USD",G1813*R1813,G1813))</f>
        <v/>
      </c>
      <c r="T1813" s="53">
        <f>IF(P1813="","",IF(H1813="USD",G1813,IF(R1813&gt;0,G1813/R1813,0)))</f>
        <v/>
      </c>
      <c r="U1813" s="53">
        <f>IF(P1813="","",IF(P1813="Gasto",S1813,IF(P1813="Reembolso",-S1813,0)))</f>
        <v/>
      </c>
      <c r="V1813" s="53">
        <f>IF(P1813="","",IF(P1813="Ingreso",S1813,0))</f>
        <v/>
      </c>
      <c r="W1813" s="53">
        <f>IF(P1813="","",IF(P1813="Resultado trading",S1813,0))</f>
        <v/>
      </c>
      <c r="X1813" s="52">
        <f>IF(OR(P1813="Gasto",P1813="Reembolso"),IF(M1813&lt;&gt;"",M1813,IFERROR(INDEX(catClasif,MATCH(D1813&amp;"|"&amp;E1813,catClave,0))&amp;"","Variable")),"")</f>
        <v/>
      </c>
      <c r="Y1813" s="52">
        <f>IF(P1813="","",IFERROR(INDEX(catGrupo,MATCH(D1813&amp;"|"&amp;E1813,catClave,0))&amp;"",""))</f>
        <v/>
      </c>
      <c r="Z1813" s="52">
        <f>IF(P1813="","",WEEKDAY(B1813,2))</f>
        <v/>
      </c>
      <c r="AA1813" s="52">
        <f>IF(P1813="","",IF(AND(P1813="Gasto",X1813="Variable",D1813&lt;&gt;catTrading,S1813&gt;0,S1813&lt;=Umbral),1,0))</f>
        <v/>
      </c>
      <c r="AB1813" s="52">
        <f>IF(OR(P1813="",Q1813=""),"",IFERROR(IF(INDEX(ctaVinc,MATCH(Q1813,ctaNombre,0))&amp;""&lt;&gt;"",INDEX(ctaVinc,MATCH(Q1813,ctaNombre,0))&amp;"",Q1813),Q1813))</f>
        <v/>
      </c>
      <c r="AC1813" s="52">
        <f>IF(OR(K1813="",AND(P1813&lt;&gt;"Transferencia",P1813&lt;&gt;"Pago tarjeta")),"",IFERROR(IF(INDEX(ctaVinc,MATCH(K1813,ctaNombre,0))&amp;""&lt;&gt;"",INDEX(ctaVinc,MATCH(K1813,ctaNombre,0))&amp;"",K1813),K1813))</f>
        <v/>
      </c>
      <c r="AD1813" s="52">
        <f>IF(AB1813="","",IFERROR(INDEX(ctaTipo,MATCH(AB1813,ctaNombre,0))&amp;"",""))</f>
        <v/>
      </c>
      <c r="AE1813" s="52">
        <f>IF(AC1813="","",IFERROR(INDEX(ctaTipo,MATCH(AC1813,ctaNombre,0))&amp;"",""))</f>
        <v/>
      </c>
      <c r="AF1813" s="53">
        <f>IF(OR(P1813="",AB1813=""),"",IF(OR(P1813="Gasto",P1813="Transferencia",P1813="Pago tarjeta"),-1,1)*IF(IFERROR(INDEX(ctaMoneda,MATCH(AB1813,ctaNombre,0))&amp;"","DOP")="USD",T1813,S1813))</f>
        <v/>
      </c>
      <c r="AG1813" s="53">
        <f>IF(AC1813="","",IF(IFERROR(INDEX(ctaMoneda,MATCH(AC1813,ctaNombre,0))&amp;"","DOP")="USD",T1813,S1813))</f>
        <v/>
      </c>
      <c r="AH1813" s="53">
        <f>IF(P1813="","",IF(AND(AD1813&lt;&gt;"",COUNTIFS(tcTipo,AD1813,tcLiq,"Sí")&gt;0),IF(OR(P1813="Gasto",P1813="Transferencia",P1813="Pago tarjeta"),-1,1)*S1813,0)+IF(AND(AE1813&lt;&gt;"",COUNTIFS(tcTipo,AE1813,tcLiq,"Sí")&gt;0),S1813,0))</f>
        <v/>
      </c>
      <c r="AI1813" s="52">
        <f>IF(OR(L1813="",P1813=""),"",IF(COUNTIFS(L$6:L1813,L1813,P$6:P1813,"?*")=1,MAX(AI$5:AI1812)+1,""))</f>
        <v/>
      </c>
    </row>
    <row r="1814">
      <c r="B1814" s="47" t="n"/>
      <c r="C1814" s="48" t="n"/>
      <c r="D1814" s="48" t="n"/>
      <c r="E1814" s="48" t="n"/>
      <c r="F1814" s="48" t="n"/>
      <c r="G1814" s="49" t="n"/>
      <c r="H1814" s="48" t="n"/>
      <c r="I1814" s="50" t="n"/>
      <c r="J1814" s="48" t="n"/>
      <c r="K1814" s="48" t="n"/>
      <c r="L1814" s="48" t="n"/>
      <c r="M1814" s="48" t="n"/>
      <c r="N1814" s="48" t="n"/>
      <c r="O1814" s="51">
        <f>IF(AND(B1814="",G1814="",C1814="",D1814="",J1814=""),"",IF(B1814="","⚠ Falta fecha",IF(G1814="","⚠ Falta monto",IF(Q1814="","⚠ Falta cuenta",IF(ISNA(MATCH(Q1814,ctaNombre,0)),"⚠ Cuenta no registrada",IF(AND(OR(P1814="Gasto",P1814="Reembolso"),D1814=""),"⚠ Falta categoría",IF(AND(D1814&lt;&gt;"",E1814&lt;&gt;"",ISNA(MATCH(D1814&amp;"|"&amp;E1814,catClave,0))),"⚠ Subcategoría no corresponde",IF(AND(OR(P1814="Transferencia",P1814="Pago tarjeta"),K1814=""),"⚠ Falta cuenta destino",IF(AND(K1814&lt;&gt;"",P1814&lt;&gt;"Transferencia",P1814&lt;&gt;"Pago tarjeta"),"⚠ Destino solo aplica a transferencias",IF(AND(K1814&lt;&gt;"",K1814=Q1814),"⚠ Origen igual a destino",IF(AND(K1814&lt;&gt;"",ISNA(MATCH(K1814,ctaNombre,0))),"⚠ Destino no registrado",IF(AND(P1814="Pago tarjeta",AE1814&lt;&gt;"Tarjeta de crédito"),"⚠ El destino debe ser tarjeta de crédito",IF(AND(P1814="Gasto",E1814="Depósitos y retiros"),"⚠ Usa tipo Transferencia",IF(AND(P1814="Resultado trading",AD1814&lt;&gt;"Cuenta de trading"),"⚠ Usa una cuenta de trading",IF(AND(G1814&lt;=0,P1814&lt;&gt;"Ajuste",P1814&lt;&gt;"Resultado trading"),"⚠ El monto debe ser positivo","✓")))))))))))))))</f>
        <v/>
      </c>
      <c r="P1814" s="52">
        <f>IF(OR(B1814="",G1814=""),"",IF(C1814="","Gasto",C1814))</f>
        <v/>
      </c>
      <c r="Q1814" s="52">
        <f>IF(P1814="","",IF(J1814&lt;&gt;"",J1814,CuentaPred&amp;""))</f>
        <v/>
      </c>
      <c r="R1814" s="52">
        <f>IF(P1814="","",IF(ISNUMBER(I1814),I1814,TasaUSD))</f>
        <v/>
      </c>
      <c r="S1814" s="53">
        <f>IF(P1814="","",IF(H1814="USD",G1814*R1814,G1814))</f>
        <v/>
      </c>
      <c r="T1814" s="53">
        <f>IF(P1814="","",IF(H1814="USD",G1814,IF(R1814&gt;0,G1814/R1814,0)))</f>
        <v/>
      </c>
      <c r="U1814" s="53">
        <f>IF(P1814="","",IF(P1814="Gasto",S1814,IF(P1814="Reembolso",-S1814,0)))</f>
        <v/>
      </c>
      <c r="V1814" s="53">
        <f>IF(P1814="","",IF(P1814="Ingreso",S1814,0))</f>
        <v/>
      </c>
      <c r="W1814" s="53">
        <f>IF(P1814="","",IF(P1814="Resultado trading",S1814,0))</f>
        <v/>
      </c>
      <c r="X1814" s="52">
        <f>IF(OR(P1814="Gasto",P1814="Reembolso"),IF(M1814&lt;&gt;"",M1814,IFERROR(INDEX(catClasif,MATCH(D1814&amp;"|"&amp;E1814,catClave,0))&amp;"","Variable")),"")</f>
        <v/>
      </c>
      <c r="Y1814" s="52">
        <f>IF(P1814="","",IFERROR(INDEX(catGrupo,MATCH(D1814&amp;"|"&amp;E1814,catClave,0))&amp;"",""))</f>
        <v/>
      </c>
      <c r="Z1814" s="52">
        <f>IF(P1814="","",WEEKDAY(B1814,2))</f>
        <v/>
      </c>
      <c r="AA1814" s="52">
        <f>IF(P1814="","",IF(AND(P1814="Gasto",X1814="Variable",D1814&lt;&gt;catTrading,S1814&gt;0,S1814&lt;=Umbral),1,0))</f>
        <v/>
      </c>
      <c r="AB1814" s="52">
        <f>IF(OR(P1814="",Q1814=""),"",IFERROR(IF(INDEX(ctaVinc,MATCH(Q1814,ctaNombre,0))&amp;""&lt;&gt;"",INDEX(ctaVinc,MATCH(Q1814,ctaNombre,0))&amp;"",Q1814),Q1814))</f>
        <v/>
      </c>
      <c r="AC1814" s="52">
        <f>IF(OR(K1814="",AND(P1814&lt;&gt;"Transferencia",P1814&lt;&gt;"Pago tarjeta")),"",IFERROR(IF(INDEX(ctaVinc,MATCH(K1814,ctaNombre,0))&amp;""&lt;&gt;"",INDEX(ctaVinc,MATCH(K1814,ctaNombre,0))&amp;"",K1814),K1814))</f>
        <v/>
      </c>
      <c r="AD1814" s="52">
        <f>IF(AB1814="","",IFERROR(INDEX(ctaTipo,MATCH(AB1814,ctaNombre,0))&amp;"",""))</f>
        <v/>
      </c>
      <c r="AE1814" s="52">
        <f>IF(AC1814="","",IFERROR(INDEX(ctaTipo,MATCH(AC1814,ctaNombre,0))&amp;"",""))</f>
        <v/>
      </c>
      <c r="AF1814" s="53">
        <f>IF(OR(P1814="",AB1814=""),"",IF(OR(P1814="Gasto",P1814="Transferencia",P1814="Pago tarjeta"),-1,1)*IF(IFERROR(INDEX(ctaMoneda,MATCH(AB1814,ctaNombre,0))&amp;"","DOP")="USD",T1814,S1814))</f>
        <v/>
      </c>
      <c r="AG1814" s="53">
        <f>IF(AC1814="","",IF(IFERROR(INDEX(ctaMoneda,MATCH(AC1814,ctaNombre,0))&amp;"","DOP")="USD",T1814,S1814))</f>
        <v/>
      </c>
      <c r="AH1814" s="53">
        <f>IF(P1814="","",IF(AND(AD1814&lt;&gt;"",COUNTIFS(tcTipo,AD1814,tcLiq,"Sí")&gt;0),IF(OR(P1814="Gasto",P1814="Transferencia",P1814="Pago tarjeta"),-1,1)*S1814,0)+IF(AND(AE1814&lt;&gt;"",COUNTIFS(tcTipo,AE1814,tcLiq,"Sí")&gt;0),S1814,0))</f>
        <v/>
      </c>
      <c r="AI1814" s="52">
        <f>IF(OR(L1814="",P1814=""),"",IF(COUNTIFS(L$6:L1814,L1814,P$6:P1814,"?*")=1,MAX(AI$5:AI1813)+1,""))</f>
        <v/>
      </c>
    </row>
    <row r="1815">
      <c r="B1815" s="47" t="n"/>
      <c r="C1815" s="48" t="n"/>
      <c r="D1815" s="48" t="n"/>
      <c r="E1815" s="48" t="n"/>
      <c r="F1815" s="48" t="n"/>
      <c r="G1815" s="49" t="n"/>
      <c r="H1815" s="48" t="n"/>
      <c r="I1815" s="50" t="n"/>
      <c r="J1815" s="48" t="n"/>
      <c r="K1815" s="48" t="n"/>
      <c r="L1815" s="48" t="n"/>
      <c r="M1815" s="48" t="n"/>
      <c r="N1815" s="48" t="n"/>
      <c r="O1815" s="51">
        <f>IF(AND(B1815="",G1815="",C1815="",D1815="",J1815=""),"",IF(B1815="","⚠ Falta fecha",IF(G1815="","⚠ Falta monto",IF(Q1815="","⚠ Falta cuenta",IF(ISNA(MATCH(Q1815,ctaNombre,0)),"⚠ Cuenta no registrada",IF(AND(OR(P1815="Gasto",P1815="Reembolso"),D1815=""),"⚠ Falta categoría",IF(AND(D1815&lt;&gt;"",E1815&lt;&gt;"",ISNA(MATCH(D1815&amp;"|"&amp;E1815,catClave,0))),"⚠ Subcategoría no corresponde",IF(AND(OR(P1815="Transferencia",P1815="Pago tarjeta"),K1815=""),"⚠ Falta cuenta destino",IF(AND(K1815&lt;&gt;"",P1815&lt;&gt;"Transferencia",P1815&lt;&gt;"Pago tarjeta"),"⚠ Destino solo aplica a transferencias",IF(AND(K1815&lt;&gt;"",K1815=Q1815),"⚠ Origen igual a destino",IF(AND(K1815&lt;&gt;"",ISNA(MATCH(K1815,ctaNombre,0))),"⚠ Destino no registrado",IF(AND(P1815="Pago tarjeta",AE1815&lt;&gt;"Tarjeta de crédito"),"⚠ El destino debe ser tarjeta de crédito",IF(AND(P1815="Gasto",E1815="Depósitos y retiros"),"⚠ Usa tipo Transferencia",IF(AND(P1815="Resultado trading",AD1815&lt;&gt;"Cuenta de trading"),"⚠ Usa una cuenta de trading",IF(AND(G1815&lt;=0,P1815&lt;&gt;"Ajuste",P1815&lt;&gt;"Resultado trading"),"⚠ El monto debe ser positivo","✓")))))))))))))))</f>
        <v/>
      </c>
      <c r="P1815" s="52">
        <f>IF(OR(B1815="",G1815=""),"",IF(C1815="","Gasto",C1815))</f>
        <v/>
      </c>
      <c r="Q1815" s="52">
        <f>IF(P1815="","",IF(J1815&lt;&gt;"",J1815,CuentaPred&amp;""))</f>
        <v/>
      </c>
      <c r="R1815" s="52">
        <f>IF(P1815="","",IF(ISNUMBER(I1815),I1815,TasaUSD))</f>
        <v/>
      </c>
      <c r="S1815" s="53">
        <f>IF(P1815="","",IF(H1815="USD",G1815*R1815,G1815))</f>
        <v/>
      </c>
      <c r="T1815" s="53">
        <f>IF(P1815="","",IF(H1815="USD",G1815,IF(R1815&gt;0,G1815/R1815,0)))</f>
        <v/>
      </c>
      <c r="U1815" s="53">
        <f>IF(P1815="","",IF(P1815="Gasto",S1815,IF(P1815="Reembolso",-S1815,0)))</f>
        <v/>
      </c>
      <c r="V1815" s="53">
        <f>IF(P1815="","",IF(P1815="Ingreso",S1815,0))</f>
        <v/>
      </c>
      <c r="W1815" s="53">
        <f>IF(P1815="","",IF(P1815="Resultado trading",S1815,0))</f>
        <v/>
      </c>
      <c r="X1815" s="52">
        <f>IF(OR(P1815="Gasto",P1815="Reembolso"),IF(M1815&lt;&gt;"",M1815,IFERROR(INDEX(catClasif,MATCH(D1815&amp;"|"&amp;E1815,catClave,0))&amp;"","Variable")),"")</f>
        <v/>
      </c>
      <c r="Y1815" s="52">
        <f>IF(P1815="","",IFERROR(INDEX(catGrupo,MATCH(D1815&amp;"|"&amp;E1815,catClave,0))&amp;"",""))</f>
        <v/>
      </c>
      <c r="Z1815" s="52">
        <f>IF(P1815="","",WEEKDAY(B1815,2))</f>
        <v/>
      </c>
      <c r="AA1815" s="52">
        <f>IF(P1815="","",IF(AND(P1815="Gasto",X1815="Variable",D1815&lt;&gt;catTrading,S1815&gt;0,S1815&lt;=Umbral),1,0))</f>
        <v/>
      </c>
      <c r="AB1815" s="52">
        <f>IF(OR(P1815="",Q1815=""),"",IFERROR(IF(INDEX(ctaVinc,MATCH(Q1815,ctaNombre,0))&amp;""&lt;&gt;"",INDEX(ctaVinc,MATCH(Q1815,ctaNombre,0))&amp;"",Q1815),Q1815))</f>
        <v/>
      </c>
      <c r="AC1815" s="52">
        <f>IF(OR(K1815="",AND(P1815&lt;&gt;"Transferencia",P1815&lt;&gt;"Pago tarjeta")),"",IFERROR(IF(INDEX(ctaVinc,MATCH(K1815,ctaNombre,0))&amp;""&lt;&gt;"",INDEX(ctaVinc,MATCH(K1815,ctaNombre,0))&amp;"",K1815),K1815))</f>
        <v/>
      </c>
      <c r="AD1815" s="52">
        <f>IF(AB1815="","",IFERROR(INDEX(ctaTipo,MATCH(AB1815,ctaNombre,0))&amp;"",""))</f>
        <v/>
      </c>
      <c r="AE1815" s="52">
        <f>IF(AC1815="","",IFERROR(INDEX(ctaTipo,MATCH(AC1815,ctaNombre,0))&amp;"",""))</f>
        <v/>
      </c>
      <c r="AF1815" s="53">
        <f>IF(OR(P1815="",AB1815=""),"",IF(OR(P1815="Gasto",P1815="Transferencia",P1815="Pago tarjeta"),-1,1)*IF(IFERROR(INDEX(ctaMoneda,MATCH(AB1815,ctaNombre,0))&amp;"","DOP")="USD",T1815,S1815))</f>
        <v/>
      </c>
      <c r="AG1815" s="53">
        <f>IF(AC1815="","",IF(IFERROR(INDEX(ctaMoneda,MATCH(AC1815,ctaNombre,0))&amp;"","DOP")="USD",T1815,S1815))</f>
        <v/>
      </c>
      <c r="AH1815" s="53">
        <f>IF(P1815="","",IF(AND(AD1815&lt;&gt;"",COUNTIFS(tcTipo,AD1815,tcLiq,"Sí")&gt;0),IF(OR(P1815="Gasto",P1815="Transferencia",P1815="Pago tarjeta"),-1,1)*S1815,0)+IF(AND(AE1815&lt;&gt;"",COUNTIFS(tcTipo,AE1815,tcLiq,"Sí")&gt;0),S1815,0))</f>
        <v/>
      </c>
      <c r="AI1815" s="52">
        <f>IF(OR(L1815="",P1815=""),"",IF(COUNTIFS(L$6:L1815,L1815,P$6:P1815,"?*")=1,MAX(AI$5:AI1814)+1,""))</f>
        <v/>
      </c>
    </row>
    <row r="1816">
      <c r="B1816" s="47" t="n"/>
      <c r="C1816" s="48" t="n"/>
      <c r="D1816" s="48" t="n"/>
      <c r="E1816" s="48" t="n"/>
      <c r="F1816" s="48" t="n"/>
      <c r="G1816" s="49" t="n"/>
      <c r="H1816" s="48" t="n"/>
      <c r="I1816" s="50" t="n"/>
      <c r="J1816" s="48" t="n"/>
      <c r="K1816" s="48" t="n"/>
      <c r="L1816" s="48" t="n"/>
      <c r="M1816" s="48" t="n"/>
      <c r="N1816" s="48" t="n"/>
      <c r="O1816" s="51">
        <f>IF(AND(B1816="",G1816="",C1816="",D1816="",J1816=""),"",IF(B1816="","⚠ Falta fecha",IF(G1816="","⚠ Falta monto",IF(Q1816="","⚠ Falta cuenta",IF(ISNA(MATCH(Q1816,ctaNombre,0)),"⚠ Cuenta no registrada",IF(AND(OR(P1816="Gasto",P1816="Reembolso"),D1816=""),"⚠ Falta categoría",IF(AND(D1816&lt;&gt;"",E1816&lt;&gt;"",ISNA(MATCH(D1816&amp;"|"&amp;E1816,catClave,0))),"⚠ Subcategoría no corresponde",IF(AND(OR(P1816="Transferencia",P1816="Pago tarjeta"),K1816=""),"⚠ Falta cuenta destino",IF(AND(K1816&lt;&gt;"",P1816&lt;&gt;"Transferencia",P1816&lt;&gt;"Pago tarjeta"),"⚠ Destino solo aplica a transferencias",IF(AND(K1816&lt;&gt;"",K1816=Q1816),"⚠ Origen igual a destino",IF(AND(K1816&lt;&gt;"",ISNA(MATCH(K1816,ctaNombre,0))),"⚠ Destino no registrado",IF(AND(P1816="Pago tarjeta",AE1816&lt;&gt;"Tarjeta de crédito"),"⚠ El destino debe ser tarjeta de crédito",IF(AND(P1816="Gasto",E1816="Depósitos y retiros"),"⚠ Usa tipo Transferencia",IF(AND(P1816="Resultado trading",AD1816&lt;&gt;"Cuenta de trading"),"⚠ Usa una cuenta de trading",IF(AND(G1816&lt;=0,P1816&lt;&gt;"Ajuste",P1816&lt;&gt;"Resultado trading"),"⚠ El monto debe ser positivo","✓")))))))))))))))</f>
        <v/>
      </c>
      <c r="P1816" s="52">
        <f>IF(OR(B1816="",G1816=""),"",IF(C1816="","Gasto",C1816))</f>
        <v/>
      </c>
      <c r="Q1816" s="52">
        <f>IF(P1816="","",IF(J1816&lt;&gt;"",J1816,CuentaPred&amp;""))</f>
        <v/>
      </c>
      <c r="R1816" s="52">
        <f>IF(P1816="","",IF(ISNUMBER(I1816),I1816,TasaUSD))</f>
        <v/>
      </c>
      <c r="S1816" s="53">
        <f>IF(P1816="","",IF(H1816="USD",G1816*R1816,G1816))</f>
        <v/>
      </c>
      <c r="T1816" s="53">
        <f>IF(P1816="","",IF(H1816="USD",G1816,IF(R1816&gt;0,G1816/R1816,0)))</f>
        <v/>
      </c>
      <c r="U1816" s="53">
        <f>IF(P1816="","",IF(P1816="Gasto",S1816,IF(P1816="Reembolso",-S1816,0)))</f>
        <v/>
      </c>
      <c r="V1816" s="53">
        <f>IF(P1816="","",IF(P1816="Ingreso",S1816,0))</f>
        <v/>
      </c>
      <c r="W1816" s="53">
        <f>IF(P1816="","",IF(P1816="Resultado trading",S1816,0))</f>
        <v/>
      </c>
      <c r="X1816" s="52">
        <f>IF(OR(P1816="Gasto",P1816="Reembolso"),IF(M1816&lt;&gt;"",M1816,IFERROR(INDEX(catClasif,MATCH(D1816&amp;"|"&amp;E1816,catClave,0))&amp;"","Variable")),"")</f>
        <v/>
      </c>
      <c r="Y1816" s="52">
        <f>IF(P1816="","",IFERROR(INDEX(catGrupo,MATCH(D1816&amp;"|"&amp;E1816,catClave,0))&amp;"",""))</f>
        <v/>
      </c>
      <c r="Z1816" s="52">
        <f>IF(P1816="","",WEEKDAY(B1816,2))</f>
        <v/>
      </c>
      <c r="AA1816" s="52">
        <f>IF(P1816="","",IF(AND(P1816="Gasto",X1816="Variable",D1816&lt;&gt;catTrading,S1816&gt;0,S1816&lt;=Umbral),1,0))</f>
        <v/>
      </c>
      <c r="AB1816" s="52">
        <f>IF(OR(P1816="",Q1816=""),"",IFERROR(IF(INDEX(ctaVinc,MATCH(Q1816,ctaNombre,0))&amp;""&lt;&gt;"",INDEX(ctaVinc,MATCH(Q1816,ctaNombre,0))&amp;"",Q1816),Q1816))</f>
        <v/>
      </c>
      <c r="AC1816" s="52">
        <f>IF(OR(K1816="",AND(P1816&lt;&gt;"Transferencia",P1816&lt;&gt;"Pago tarjeta")),"",IFERROR(IF(INDEX(ctaVinc,MATCH(K1816,ctaNombre,0))&amp;""&lt;&gt;"",INDEX(ctaVinc,MATCH(K1816,ctaNombre,0))&amp;"",K1816),K1816))</f>
        <v/>
      </c>
      <c r="AD1816" s="52">
        <f>IF(AB1816="","",IFERROR(INDEX(ctaTipo,MATCH(AB1816,ctaNombre,0))&amp;"",""))</f>
        <v/>
      </c>
      <c r="AE1816" s="52">
        <f>IF(AC1816="","",IFERROR(INDEX(ctaTipo,MATCH(AC1816,ctaNombre,0))&amp;"",""))</f>
        <v/>
      </c>
      <c r="AF1816" s="53">
        <f>IF(OR(P1816="",AB1816=""),"",IF(OR(P1816="Gasto",P1816="Transferencia",P1816="Pago tarjeta"),-1,1)*IF(IFERROR(INDEX(ctaMoneda,MATCH(AB1816,ctaNombre,0))&amp;"","DOP")="USD",T1816,S1816))</f>
        <v/>
      </c>
      <c r="AG1816" s="53">
        <f>IF(AC1816="","",IF(IFERROR(INDEX(ctaMoneda,MATCH(AC1816,ctaNombre,0))&amp;"","DOP")="USD",T1816,S1816))</f>
        <v/>
      </c>
      <c r="AH1816" s="53">
        <f>IF(P1816="","",IF(AND(AD1816&lt;&gt;"",COUNTIFS(tcTipo,AD1816,tcLiq,"Sí")&gt;0),IF(OR(P1816="Gasto",P1816="Transferencia",P1816="Pago tarjeta"),-1,1)*S1816,0)+IF(AND(AE1816&lt;&gt;"",COUNTIFS(tcTipo,AE1816,tcLiq,"Sí")&gt;0),S1816,0))</f>
        <v/>
      </c>
      <c r="AI1816" s="52">
        <f>IF(OR(L1816="",P1816=""),"",IF(COUNTIFS(L$6:L1816,L1816,P$6:P1816,"?*")=1,MAX(AI$5:AI1815)+1,""))</f>
        <v/>
      </c>
    </row>
    <row r="1817">
      <c r="B1817" s="47" t="n"/>
      <c r="C1817" s="48" t="n"/>
      <c r="D1817" s="48" t="n"/>
      <c r="E1817" s="48" t="n"/>
      <c r="F1817" s="48" t="n"/>
      <c r="G1817" s="49" t="n"/>
      <c r="H1817" s="48" t="n"/>
      <c r="I1817" s="50" t="n"/>
      <c r="J1817" s="48" t="n"/>
      <c r="K1817" s="48" t="n"/>
      <c r="L1817" s="48" t="n"/>
      <c r="M1817" s="48" t="n"/>
      <c r="N1817" s="48" t="n"/>
      <c r="O1817" s="51">
        <f>IF(AND(B1817="",G1817="",C1817="",D1817="",J1817=""),"",IF(B1817="","⚠ Falta fecha",IF(G1817="","⚠ Falta monto",IF(Q1817="","⚠ Falta cuenta",IF(ISNA(MATCH(Q1817,ctaNombre,0)),"⚠ Cuenta no registrada",IF(AND(OR(P1817="Gasto",P1817="Reembolso"),D1817=""),"⚠ Falta categoría",IF(AND(D1817&lt;&gt;"",E1817&lt;&gt;"",ISNA(MATCH(D1817&amp;"|"&amp;E1817,catClave,0))),"⚠ Subcategoría no corresponde",IF(AND(OR(P1817="Transferencia",P1817="Pago tarjeta"),K1817=""),"⚠ Falta cuenta destino",IF(AND(K1817&lt;&gt;"",P1817&lt;&gt;"Transferencia",P1817&lt;&gt;"Pago tarjeta"),"⚠ Destino solo aplica a transferencias",IF(AND(K1817&lt;&gt;"",K1817=Q1817),"⚠ Origen igual a destino",IF(AND(K1817&lt;&gt;"",ISNA(MATCH(K1817,ctaNombre,0))),"⚠ Destino no registrado",IF(AND(P1817="Pago tarjeta",AE1817&lt;&gt;"Tarjeta de crédito"),"⚠ El destino debe ser tarjeta de crédito",IF(AND(P1817="Gasto",E1817="Depósitos y retiros"),"⚠ Usa tipo Transferencia",IF(AND(P1817="Resultado trading",AD1817&lt;&gt;"Cuenta de trading"),"⚠ Usa una cuenta de trading",IF(AND(G1817&lt;=0,P1817&lt;&gt;"Ajuste",P1817&lt;&gt;"Resultado trading"),"⚠ El monto debe ser positivo","✓")))))))))))))))</f>
        <v/>
      </c>
      <c r="P1817" s="52">
        <f>IF(OR(B1817="",G1817=""),"",IF(C1817="","Gasto",C1817))</f>
        <v/>
      </c>
      <c r="Q1817" s="52">
        <f>IF(P1817="","",IF(J1817&lt;&gt;"",J1817,CuentaPred&amp;""))</f>
        <v/>
      </c>
      <c r="R1817" s="52">
        <f>IF(P1817="","",IF(ISNUMBER(I1817),I1817,TasaUSD))</f>
        <v/>
      </c>
      <c r="S1817" s="53">
        <f>IF(P1817="","",IF(H1817="USD",G1817*R1817,G1817))</f>
        <v/>
      </c>
      <c r="T1817" s="53">
        <f>IF(P1817="","",IF(H1817="USD",G1817,IF(R1817&gt;0,G1817/R1817,0)))</f>
        <v/>
      </c>
      <c r="U1817" s="53">
        <f>IF(P1817="","",IF(P1817="Gasto",S1817,IF(P1817="Reembolso",-S1817,0)))</f>
        <v/>
      </c>
      <c r="V1817" s="53">
        <f>IF(P1817="","",IF(P1817="Ingreso",S1817,0))</f>
        <v/>
      </c>
      <c r="W1817" s="53">
        <f>IF(P1817="","",IF(P1817="Resultado trading",S1817,0))</f>
        <v/>
      </c>
      <c r="X1817" s="52">
        <f>IF(OR(P1817="Gasto",P1817="Reembolso"),IF(M1817&lt;&gt;"",M1817,IFERROR(INDEX(catClasif,MATCH(D1817&amp;"|"&amp;E1817,catClave,0))&amp;"","Variable")),"")</f>
        <v/>
      </c>
      <c r="Y1817" s="52">
        <f>IF(P1817="","",IFERROR(INDEX(catGrupo,MATCH(D1817&amp;"|"&amp;E1817,catClave,0))&amp;"",""))</f>
        <v/>
      </c>
      <c r="Z1817" s="52">
        <f>IF(P1817="","",WEEKDAY(B1817,2))</f>
        <v/>
      </c>
      <c r="AA1817" s="52">
        <f>IF(P1817="","",IF(AND(P1817="Gasto",X1817="Variable",D1817&lt;&gt;catTrading,S1817&gt;0,S1817&lt;=Umbral),1,0))</f>
        <v/>
      </c>
      <c r="AB1817" s="52">
        <f>IF(OR(P1817="",Q1817=""),"",IFERROR(IF(INDEX(ctaVinc,MATCH(Q1817,ctaNombre,0))&amp;""&lt;&gt;"",INDEX(ctaVinc,MATCH(Q1817,ctaNombre,0))&amp;"",Q1817),Q1817))</f>
        <v/>
      </c>
      <c r="AC1817" s="52">
        <f>IF(OR(K1817="",AND(P1817&lt;&gt;"Transferencia",P1817&lt;&gt;"Pago tarjeta")),"",IFERROR(IF(INDEX(ctaVinc,MATCH(K1817,ctaNombre,0))&amp;""&lt;&gt;"",INDEX(ctaVinc,MATCH(K1817,ctaNombre,0))&amp;"",K1817),K1817))</f>
        <v/>
      </c>
      <c r="AD1817" s="52">
        <f>IF(AB1817="","",IFERROR(INDEX(ctaTipo,MATCH(AB1817,ctaNombre,0))&amp;"",""))</f>
        <v/>
      </c>
      <c r="AE1817" s="52">
        <f>IF(AC1817="","",IFERROR(INDEX(ctaTipo,MATCH(AC1817,ctaNombre,0))&amp;"",""))</f>
        <v/>
      </c>
      <c r="AF1817" s="53">
        <f>IF(OR(P1817="",AB1817=""),"",IF(OR(P1817="Gasto",P1817="Transferencia",P1817="Pago tarjeta"),-1,1)*IF(IFERROR(INDEX(ctaMoneda,MATCH(AB1817,ctaNombre,0))&amp;"","DOP")="USD",T1817,S1817))</f>
        <v/>
      </c>
      <c r="AG1817" s="53">
        <f>IF(AC1817="","",IF(IFERROR(INDEX(ctaMoneda,MATCH(AC1817,ctaNombre,0))&amp;"","DOP")="USD",T1817,S1817))</f>
        <v/>
      </c>
      <c r="AH1817" s="53">
        <f>IF(P1817="","",IF(AND(AD1817&lt;&gt;"",COUNTIFS(tcTipo,AD1817,tcLiq,"Sí")&gt;0),IF(OR(P1817="Gasto",P1817="Transferencia",P1817="Pago tarjeta"),-1,1)*S1817,0)+IF(AND(AE1817&lt;&gt;"",COUNTIFS(tcTipo,AE1817,tcLiq,"Sí")&gt;0),S1817,0))</f>
        <v/>
      </c>
      <c r="AI1817" s="52">
        <f>IF(OR(L1817="",P1817=""),"",IF(COUNTIFS(L$6:L1817,L1817,P$6:P1817,"?*")=1,MAX(AI$5:AI1816)+1,""))</f>
        <v/>
      </c>
    </row>
    <row r="1818">
      <c r="B1818" s="47" t="n"/>
      <c r="C1818" s="48" t="n"/>
      <c r="D1818" s="48" t="n"/>
      <c r="E1818" s="48" t="n"/>
      <c r="F1818" s="48" t="n"/>
      <c r="G1818" s="49" t="n"/>
      <c r="H1818" s="48" t="n"/>
      <c r="I1818" s="50" t="n"/>
      <c r="J1818" s="48" t="n"/>
      <c r="K1818" s="48" t="n"/>
      <c r="L1818" s="48" t="n"/>
      <c r="M1818" s="48" t="n"/>
      <c r="N1818" s="48" t="n"/>
      <c r="O1818" s="51">
        <f>IF(AND(B1818="",G1818="",C1818="",D1818="",J1818=""),"",IF(B1818="","⚠ Falta fecha",IF(G1818="","⚠ Falta monto",IF(Q1818="","⚠ Falta cuenta",IF(ISNA(MATCH(Q1818,ctaNombre,0)),"⚠ Cuenta no registrada",IF(AND(OR(P1818="Gasto",P1818="Reembolso"),D1818=""),"⚠ Falta categoría",IF(AND(D1818&lt;&gt;"",E1818&lt;&gt;"",ISNA(MATCH(D1818&amp;"|"&amp;E1818,catClave,0))),"⚠ Subcategoría no corresponde",IF(AND(OR(P1818="Transferencia",P1818="Pago tarjeta"),K1818=""),"⚠ Falta cuenta destino",IF(AND(K1818&lt;&gt;"",P1818&lt;&gt;"Transferencia",P1818&lt;&gt;"Pago tarjeta"),"⚠ Destino solo aplica a transferencias",IF(AND(K1818&lt;&gt;"",K1818=Q1818),"⚠ Origen igual a destino",IF(AND(K1818&lt;&gt;"",ISNA(MATCH(K1818,ctaNombre,0))),"⚠ Destino no registrado",IF(AND(P1818="Pago tarjeta",AE1818&lt;&gt;"Tarjeta de crédito"),"⚠ El destino debe ser tarjeta de crédito",IF(AND(P1818="Gasto",E1818="Depósitos y retiros"),"⚠ Usa tipo Transferencia",IF(AND(P1818="Resultado trading",AD1818&lt;&gt;"Cuenta de trading"),"⚠ Usa una cuenta de trading",IF(AND(G1818&lt;=0,P1818&lt;&gt;"Ajuste",P1818&lt;&gt;"Resultado trading"),"⚠ El monto debe ser positivo","✓")))))))))))))))</f>
        <v/>
      </c>
      <c r="P1818" s="52">
        <f>IF(OR(B1818="",G1818=""),"",IF(C1818="","Gasto",C1818))</f>
        <v/>
      </c>
      <c r="Q1818" s="52">
        <f>IF(P1818="","",IF(J1818&lt;&gt;"",J1818,CuentaPred&amp;""))</f>
        <v/>
      </c>
      <c r="R1818" s="52">
        <f>IF(P1818="","",IF(ISNUMBER(I1818),I1818,TasaUSD))</f>
        <v/>
      </c>
      <c r="S1818" s="53">
        <f>IF(P1818="","",IF(H1818="USD",G1818*R1818,G1818))</f>
        <v/>
      </c>
      <c r="T1818" s="53">
        <f>IF(P1818="","",IF(H1818="USD",G1818,IF(R1818&gt;0,G1818/R1818,0)))</f>
        <v/>
      </c>
      <c r="U1818" s="53">
        <f>IF(P1818="","",IF(P1818="Gasto",S1818,IF(P1818="Reembolso",-S1818,0)))</f>
        <v/>
      </c>
      <c r="V1818" s="53">
        <f>IF(P1818="","",IF(P1818="Ingreso",S1818,0))</f>
        <v/>
      </c>
      <c r="W1818" s="53">
        <f>IF(P1818="","",IF(P1818="Resultado trading",S1818,0))</f>
        <v/>
      </c>
      <c r="X1818" s="52">
        <f>IF(OR(P1818="Gasto",P1818="Reembolso"),IF(M1818&lt;&gt;"",M1818,IFERROR(INDEX(catClasif,MATCH(D1818&amp;"|"&amp;E1818,catClave,0))&amp;"","Variable")),"")</f>
        <v/>
      </c>
      <c r="Y1818" s="52">
        <f>IF(P1818="","",IFERROR(INDEX(catGrupo,MATCH(D1818&amp;"|"&amp;E1818,catClave,0))&amp;"",""))</f>
        <v/>
      </c>
      <c r="Z1818" s="52">
        <f>IF(P1818="","",WEEKDAY(B1818,2))</f>
        <v/>
      </c>
      <c r="AA1818" s="52">
        <f>IF(P1818="","",IF(AND(P1818="Gasto",X1818="Variable",D1818&lt;&gt;catTrading,S1818&gt;0,S1818&lt;=Umbral),1,0))</f>
        <v/>
      </c>
      <c r="AB1818" s="52">
        <f>IF(OR(P1818="",Q1818=""),"",IFERROR(IF(INDEX(ctaVinc,MATCH(Q1818,ctaNombre,0))&amp;""&lt;&gt;"",INDEX(ctaVinc,MATCH(Q1818,ctaNombre,0))&amp;"",Q1818),Q1818))</f>
        <v/>
      </c>
      <c r="AC1818" s="52">
        <f>IF(OR(K1818="",AND(P1818&lt;&gt;"Transferencia",P1818&lt;&gt;"Pago tarjeta")),"",IFERROR(IF(INDEX(ctaVinc,MATCH(K1818,ctaNombre,0))&amp;""&lt;&gt;"",INDEX(ctaVinc,MATCH(K1818,ctaNombre,0))&amp;"",K1818),K1818))</f>
        <v/>
      </c>
      <c r="AD1818" s="52">
        <f>IF(AB1818="","",IFERROR(INDEX(ctaTipo,MATCH(AB1818,ctaNombre,0))&amp;"",""))</f>
        <v/>
      </c>
      <c r="AE1818" s="52">
        <f>IF(AC1818="","",IFERROR(INDEX(ctaTipo,MATCH(AC1818,ctaNombre,0))&amp;"",""))</f>
        <v/>
      </c>
      <c r="AF1818" s="53">
        <f>IF(OR(P1818="",AB1818=""),"",IF(OR(P1818="Gasto",P1818="Transferencia",P1818="Pago tarjeta"),-1,1)*IF(IFERROR(INDEX(ctaMoneda,MATCH(AB1818,ctaNombre,0))&amp;"","DOP")="USD",T1818,S1818))</f>
        <v/>
      </c>
      <c r="AG1818" s="53">
        <f>IF(AC1818="","",IF(IFERROR(INDEX(ctaMoneda,MATCH(AC1818,ctaNombre,0))&amp;"","DOP")="USD",T1818,S1818))</f>
        <v/>
      </c>
      <c r="AH1818" s="53">
        <f>IF(P1818="","",IF(AND(AD1818&lt;&gt;"",COUNTIFS(tcTipo,AD1818,tcLiq,"Sí")&gt;0),IF(OR(P1818="Gasto",P1818="Transferencia",P1818="Pago tarjeta"),-1,1)*S1818,0)+IF(AND(AE1818&lt;&gt;"",COUNTIFS(tcTipo,AE1818,tcLiq,"Sí")&gt;0),S1818,0))</f>
        <v/>
      </c>
      <c r="AI1818" s="52">
        <f>IF(OR(L1818="",P1818=""),"",IF(COUNTIFS(L$6:L1818,L1818,P$6:P1818,"?*")=1,MAX(AI$5:AI1817)+1,""))</f>
        <v/>
      </c>
    </row>
    <row r="1819">
      <c r="B1819" s="47" t="n"/>
      <c r="C1819" s="48" t="n"/>
      <c r="D1819" s="48" t="n"/>
      <c r="E1819" s="48" t="n"/>
      <c r="F1819" s="48" t="n"/>
      <c r="G1819" s="49" t="n"/>
      <c r="H1819" s="48" t="n"/>
      <c r="I1819" s="50" t="n"/>
      <c r="J1819" s="48" t="n"/>
      <c r="K1819" s="48" t="n"/>
      <c r="L1819" s="48" t="n"/>
      <c r="M1819" s="48" t="n"/>
      <c r="N1819" s="48" t="n"/>
      <c r="O1819" s="51">
        <f>IF(AND(B1819="",G1819="",C1819="",D1819="",J1819=""),"",IF(B1819="","⚠ Falta fecha",IF(G1819="","⚠ Falta monto",IF(Q1819="","⚠ Falta cuenta",IF(ISNA(MATCH(Q1819,ctaNombre,0)),"⚠ Cuenta no registrada",IF(AND(OR(P1819="Gasto",P1819="Reembolso"),D1819=""),"⚠ Falta categoría",IF(AND(D1819&lt;&gt;"",E1819&lt;&gt;"",ISNA(MATCH(D1819&amp;"|"&amp;E1819,catClave,0))),"⚠ Subcategoría no corresponde",IF(AND(OR(P1819="Transferencia",P1819="Pago tarjeta"),K1819=""),"⚠ Falta cuenta destino",IF(AND(K1819&lt;&gt;"",P1819&lt;&gt;"Transferencia",P1819&lt;&gt;"Pago tarjeta"),"⚠ Destino solo aplica a transferencias",IF(AND(K1819&lt;&gt;"",K1819=Q1819),"⚠ Origen igual a destino",IF(AND(K1819&lt;&gt;"",ISNA(MATCH(K1819,ctaNombre,0))),"⚠ Destino no registrado",IF(AND(P1819="Pago tarjeta",AE1819&lt;&gt;"Tarjeta de crédito"),"⚠ El destino debe ser tarjeta de crédito",IF(AND(P1819="Gasto",E1819="Depósitos y retiros"),"⚠ Usa tipo Transferencia",IF(AND(P1819="Resultado trading",AD1819&lt;&gt;"Cuenta de trading"),"⚠ Usa una cuenta de trading",IF(AND(G1819&lt;=0,P1819&lt;&gt;"Ajuste",P1819&lt;&gt;"Resultado trading"),"⚠ El monto debe ser positivo","✓")))))))))))))))</f>
        <v/>
      </c>
      <c r="P1819" s="52">
        <f>IF(OR(B1819="",G1819=""),"",IF(C1819="","Gasto",C1819))</f>
        <v/>
      </c>
      <c r="Q1819" s="52">
        <f>IF(P1819="","",IF(J1819&lt;&gt;"",J1819,CuentaPred&amp;""))</f>
        <v/>
      </c>
      <c r="R1819" s="52">
        <f>IF(P1819="","",IF(ISNUMBER(I1819),I1819,TasaUSD))</f>
        <v/>
      </c>
      <c r="S1819" s="53">
        <f>IF(P1819="","",IF(H1819="USD",G1819*R1819,G1819))</f>
        <v/>
      </c>
      <c r="T1819" s="53">
        <f>IF(P1819="","",IF(H1819="USD",G1819,IF(R1819&gt;0,G1819/R1819,0)))</f>
        <v/>
      </c>
      <c r="U1819" s="53">
        <f>IF(P1819="","",IF(P1819="Gasto",S1819,IF(P1819="Reembolso",-S1819,0)))</f>
        <v/>
      </c>
      <c r="V1819" s="53">
        <f>IF(P1819="","",IF(P1819="Ingreso",S1819,0))</f>
        <v/>
      </c>
      <c r="W1819" s="53">
        <f>IF(P1819="","",IF(P1819="Resultado trading",S1819,0))</f>
        <v/>
      </c>
      <c r="X1819" s="52">
        <f>IF(OR(P1819="Gasto",P1819="Reembolso"),IF(M1819&lt;&gt;"",M1819,IFERROR(INDEX(catClasif,MATCH(D1819&amp;"|"&amp;E1819,catClave,0))&amp;"","Variable")),"")</f>
        <v/>
      </c>
      <c r="Y1819" s="52">
        <f>IF(P1819="","",IFERROR(INDEX(catGrupo,MATCH(D1819&amp;"|"&amp;E1819,catClave,0))&amp;"",""))</f>
        <v/>
      </c>
      <c r="Z1819" s="52">
        <f>IF(P1819="","",WEEKDAY(B1819,2))</f>
        <v/>
      </c>
      <c r="AA1819" s="52">
        <f>IF(P1819="","",IF(AND(P1819="Gasto",X1819="Variable",D1819&lt;&gt;catTrading,S1819&gt;0,S1819&lt;=Umbral),1,0))</f>
        <v/>
      </c>
      <c r="AB1819" s="52">
        <f>IF(OR(P1819="",Q1819=""),"",IFERROR(IF(INDEX(ctaVinc,MATCH(Q1819,ctaNombre,0))&amp;""&lt;&gt;"",INDEX(ctaVinc,MATCH(Q1819,ctaNombre,0))&amp;"",Q1819),Q1819))</f>
        <v/>
      </c>
      <c r="AC1819" s="52">
        <f>IF(OR(K1819="",AND(P1819&lt;&gt;"Transferencia",P1819&lt;&gt;"Pago tarjeta")),"",IFERROR(IF(INDEX(ctaVinc,MATCH(K1819,ctaNombre,0))&amp;""&lt;&gt;"",INDEX(ctaVinc,MATCH(K1819,ctaNombre,0))&amp;"",K1819),K1819))</f>
        <v/>
      </c>
      <c r="AD1819" s="52">
        <f>IF(AB1819="","",IFERROR(INDEX(ctaTipo,MATCH(AB1819,ctaNombre,0))&amp;"",""))</f>
        <v/>
      </c>
      <c r="AE1819" s="52">
        <f>IF(AC1819="","",IFERROR(INDEX(ctaTipo,MATCH(AC1819,ctaNombre,0))&amp;"",""))</f>
        <v/>
      </c>
      <c r="AF1819" s="53">
        <f>IF(OR(P1819="",AB1819=""),"",IF(OR(P1819="Gasto",P1819="Transferencia",P1819="Pago tarjeta"),-1,1)*IF(IFERROR(INDEX(ctaMoneda,MATCH(AB1819,ctaNombre,0))&amp;"","DOP")="USD",T1819,S1819))</f>
        <v/>
      </c>
      <c r="AG1819" s="53">
        <f>IF(AC1819="","",IF(IFERROR(INDEX(ctaMoneda,MATCH(AC1819,ctaNombre,0))&amp;"","DOP")="USD",T1819,S1819))</f>
        <v/>
      </c>
      <c r="AH1819" s="53">
        <f>IF(P1819="","",IF(AND(AD1819&lt;&gt;"",COUNTIFS(tcTipo,AD1819,tcLiq,"Sí")&gt;0),IF(OR(P1819="Gasto",P1819="Transferencia",P1819="Pago tarjeta"),-1,1)*S1819,0)+IF(AND(AE1819&lt;&gt;"",COUNTIFS(tcTipo,AE1819,tcLiq,"Sí")&gt;0),S1819,0))</f>
        <v/>
      </c>
      <c r="AI1819" s="52">
        <f>IF(OR(L1819="",P1819=""),"",IF(COUNTIFS(L$6:L1819,L1819,P$6:P1819,"?*")=1,MAX(AI$5:AI1818)+1,""))</f>
        <v/>
      </c>
    </row>
    <row r="1820">
      <c r="B1820" s="47" t="n"/>
      <c r="C1820" s="48" t="n"/>
      <c r="D1820" s="48" t="n"/>
      <c r="E1820" s="48" t="n"/>
      <c r="F1820" s="48" t="n"/>
      <c r="G1820" s="49" t="n"/>
      <c r="H1820" s="48" t="n"/>
      <c r="I1820" s="50" t="n"/>
      <c r="J1820" s="48" t="n"/>
      <c r="K1820" s="48" t="n"/>
      <c r="L1820" s="48" t="n"/>
      <c r="M1820" s="48" t="n"/>
      <c r="N1820" s="48" t="n"/>
      <c r="O1820" s="51">
        <f>IF(AND(B1820="",G1820="",C1820="",D1820="",J1820=""),"",IF(B1820="","⚠ Falta fecha",IF(G1820="","⚠ Falta monto",IF(Q1820="","⚠ Falta cuenta",IF(ISNA(MATCH(Q1820,ctaNombre,0)),"⚠ Cuenta no registrada",IF(AND(OR(P1820="Gasto",P1820="Reembolso"),D1820=""),"⚠ Falta categoría",IF(AND(D1820&lt;&gt;"",E1820&lt;&gt;"",ISNA(MATCH(D1820&amp;"|"&amp;E1820,catClave,0))),"⚠ Subcategoría no corresponde",IF(AND(OR(P1820="Transferencia",P1820="Pago tarjeta"),K1820=""),"⚠ Falta cuenta destino",IF(AND(K1820&lt;&gt;"",P1820&lt;&gt;"Transferencia",P1820&lt;&gt;"Pago tarjeta"),"⚠ Destino solo aplica a transferencias",IF(AND(K1820&lt;&gt;"",K1820=Q1820),"⚠ Origen igual a destino",IF(AND(K1820&lt;&gt;"",ISNA(MATCH(K1820,ctaNombre,0))),"⚠ Destino no registrado",IF(AND(P1820="Pago tarjeta",AE1820&lt;&gt;"Tarjeta de crédito"),"⚠ El destino debe ser tarjeta de crédito",IF(AND(P1820="Gasto",E1820="Depósitos y retiros"),"⚠ Usa tipo Transferencia",IF(AND(P1820="Resultado trading",AD1820&lt;&gt;"Cuenta de trading"),"⚠ Usa una cuenta de trading",IF(AND(G1820&lt;=0,P1820&lt;&gt;"Ajuste",P1820&lt;&gt;"Resultado trading"),"⚠ El monto debe ser positivo","✓")))))))))))))))</f>
        <v/>
      </c>
      <c r="P1820" s="52">
        <f>IF(OR(B1820="",G1820=""),"",IF(C1820="","Gasto",C1820))</f>
        <v/>
      </c>
      <c r="Q1820" s="52">
        <f>IF(P1820="","",IF(J1820&lt;&gt;"",J1820,CuentaPred&amp;""))</f>
        <v/>
      </c>
      <c r="R1820" s="52">
        <f>IF(P1820="","",IF(ISNUMBER(I1820),I1820,TasaUSD))</f>
        <v/>
      </c>
      <c r="S1820" s="53">
        <f>IF(P1820="","",IF(H1820="USD",G1820*R1820,G1820))</f>
        <v/>
      </c>
      <c r="T1820" s="53">
        <f>IF(P1820="","",IF(H1820="USD",G1820,IF(R1820&gt;0,G1820/R1820,0)))</f>
        <v/>
      </c>
      <c r="U1820" s="53">
        <f>IF(P1820="","",IF(P1820="Gasto",S1820,IF(P1820="Reembolso",-S1820,0)))</f>
        <v/>
      </c>
      <c r="V1820" s="53">
        <f>IF(P1820="","",IF(P1820="Ingreso",S1820,0))</f>
        <v/>
      </c>
      <c r="W1820" s="53">
        <f>IF(P1820="","",IF(P1820="Resultado trading",S1820,0))</f>
        <v/>
      </c>
      <c r="X1820" s="52">
        <f>IF(OR(P1820="Gasto",P1820="Reembolso"),IF(M1820&lt;&gt;"",M1820,IFERROR(INDEX(catClasif,MATCH(D1820&amp;"|"&amp;E1820,catClave,0))&amp;"","Variable")),"")</f>
        <v/>
      </c>
      <c r="Y1820" s="52">
        <f>IF(P1820="","",IFERROR(INDEX(catGrupo,MATCH(D1820&amp;"|"&amp;E1820,catClave,0))&amp;"",""))</f>
        <v/>
      </c>
      <c r="Z1820" s="52">
        <f>IF(P1820="","",WEEKDAY(B1820,2))</f>
        <v/>
      </c>
      <c r="AA1820" s="52">
        <f>IF(P1820="","",IF(AND(P1820="Gasto",X1820="Variable",D1820&lt;&gt;catTrading,S1820&gt;0,S1820&lt;=Umbral),1,0))</f>
        <v/>
      </c>
      <c r="AB1820" s="52">
        <f>IF(OR(P1820="",Q1820=""),"",IFERROR(IF(INDEX(ctaVinc,MATCH(Q1820,ctaNombre,0))&amp;""&lt;&gt;"",INDEX(ctaVinc,MATCH(Q1820,ctaNombre,0))&amp;"",Q1820),Q1820))</f>
        <v/>
      </c>
      <c r="AC1820" s="52">
        <f>IF(OR(K1820="",AND(P1820&lt;&gt;"Transferencia",P1820&lt;&gt;"Pago tarjeta")),"",IFERROR(IF(INDEX(ctaVinc,MATCH(K1820,ctaNombre,0))&amp;""&lt;&gt;"",INDEX(ctaVinc,MATCH(K1820,ctaNombre,0))&amp;"",K1820),K1820))</f>
        <v/>
      </c>
      <c r="AD1820" s="52">
        <f>IF(AB1820="","",IFERROR(INDEX(ctaTipo,MATCH(AB1820,ctaNombre,0))&amp;"",""))</f>
        <v/>
      </c>
      <c r="AE1820" s="52">
        <f>IF(AC1820="","",IFERROR(INDEX(ctaTipo,MATCH(AC1820,ctaNombre,0))&amp;"",""))</f>
        <v/>
      </c>
      <c r="AF1820" s="53">
        <f>IF(OR(P1820="",AB1820=""),"",IF(OR(P1820="Gasto",P1820="Transferencia",P1820="Pago tarjeta"),-1,1)*IF(IFERROR(INDEX(ctaMoneda,MATCH(AB1820,ctaNombre,0))&amp;"","DOP")="USD",T1820,S1820))</f>
        <v/>
      </c>
      <c r="AG1820" s="53">
        <f>IF(AC1820="","",IF(IFERROR(INDEX(ctaMoneda,MATCH(AC1820,ctaNombre,0))&amp;"","DOP")="USD",T1820,S1820))</f>
        <v/>
      </c>
      <c r="AH1820" s="53">
        <f>IF(P1820="","",IF(AND(AD1820&lt;&gt;"",COUNTIFS(tcTipo,AD1820,tcLiq,"Sí")&gt;0),IF(OR(P1820="Gasto",P1820="Transferencia",P1820="Pago tarjeta"),-1,1)*S1820,0)+IF(AND(AE1820&lt;&gt;"",COUNTIFS(tcTipo,AE1820,tcLiq,"Sí")&gt;0),S1820,0))</f>
        <v/>
      </c>
      <c r="AI1820" s="52">
        <f>IF(OR(L1820="",P1820=""),"",IF(COUNTIFS(L$6:L1820,L1820,P$6:P1820,"?*")=1,MAX(AI$5:AI1819)+1,""))</f>
        <v/>
      </c>
    </row>
    <row r="1821">
      <c r="B1821" s="47" t="n"/>
      <c r="C1821" s="48" t="n"/>
      <c r="D1821" s="48" t="n"/>
      <c r="E1821" s="48" t="n"/>
      <c r="F1821" s="48" t="n"/>
      <c r="G1821" s="49" t="n"/>
      <c r="H1821" s="48" t="n"/>
      <c r="I1821" s="50" t="n"/>
      <c r="J1821" s="48" t="n"/>
      <c r="K1821" s="48" t="n"/>
      <c r="L1821" s="48" t="n"/>
      <c r="M1821" s="48" t="n"/>
      <c r="N1821" s="48" t="n"/>
      <c r="O1821" s="51">
        <f>IF(AND(B1821="",G1821="",C1821="",D1821="",J1821=""),"",IF(B1821="","⚠ Falta fecha",IF(G1821="","⚠ Falta monto",IF(Q1821="","⚠ Falta cuenta",IF(ISNA(MATCH(Q1821,ctaNombre,0)),"⚠ Cuenta no registrada",IF(AND(OR(P1821="Gasto",P1821="Reembolso"),D1821=""),"⚠ Falta categoría",IF(AND(D1821&lt;&gt;"",E1821&lt;&gt;"",ISNA(MATCH(D1821&amp;"|"&amp;E1821,catClave,0))),"⚠ Subcategoría no corresponde",IF(AND(OR(P1821="Transferencia",P1821="Pago tarjeta"),K1821=""),"⚠ Falta cuenta destino",IF(AND(K1821&lt;&gt;"",P1821&lt;&gt;"Transferencia",P1821&lt;&gt;"Pago tarjeta"),"⚠ Destino solo aplica a transferencias",IF(AND(K1821&lt;&gt;"",K1821=Q1821),"⚠ Origen igual a destino",IF(AND(K1821&lt;&gt;"",ISNA(MATCH(K1821,ctaNombre,0))),"⚠ Destino no registrado",IF(AND(P1821="Pago tarjeta",AE1821&lt;&gt;"Tarjeta de crédito"),"⚠ El destino debe ser tarjeta de crédito",IF(AND(P1821="Gasto",E1821="Depósitos y retiros"),"⚠ Usa tipo Transferencia",IF(AND(P1821="Resultado trading",AD1821&lt;&gt;"Cuenta de trading"),"⚠ Usa una cuenta de trading",IF(AND(G1821&lt;=0,P1821&lt;&gt;"Ajuste",P1821&lt;&gt;"Resultado trading"),"⚠ El monto debe ser positivo","✓")))))))))))))))</f>
        <v/>
      </c>
      <c r="P1821" s="52">
        <f>IF(OR(B1821="",G1821=""),"",IF(C1821="","Gasto",C1821))</f>
        <v/>
      </c>
      <c r="Q1821" s="52">
        <f>IF(P1821="","",IF(J1821&lt;&gt;"",J1821,CuentaPred&amp;""))</f>
        <v/>
      </c>
      <c r="R1821" s="52">
        <f>IF(P1821="","",IF(ISNUMBER(I1821),I1821,TasaUSD))</f>
        <v/>
      </c>
      <c r="S1821" s="53">
        <f>IF(P1821="","",IF(H1821="USD",G1821*R1821,G1821))</f>
        <v/>
      </c>
      <c r="T1821" s="53">
        <f>IF(P1821="","",IF(H1821="USD",G1821,IF(R1821&gt;0,G1821/R1821,0)))</f>
        <v/>
      </c>
      <c r="U1821" s="53">
        <f>IF(P1821="","",IF(P1821="Gasto",S1821,IF(P1821="Reembolso",-S1821,0)))</f>
        <v/>
      </c>
      <c r="V1821" s="53">
        <f>IF(P1821="","",IF(P1821="Ingreso",S1821,0))</f>
        <v/>
      </c>
      <c r="W1821" s="53">
        <f>IF(P1821="","",IF(P1821="Resultado trading",S1821,0))</f>
        <v/>
      </c>
      <c r="X1821" s="52">
        <f>IF(OR(P1821="Gasto",P1821="Reembolso"),IF(M1821&lt;&gt;"",M1821,IFERROR(INDEX(catClasif,MATCH(D1821&amp;"|"&amp;E1821,catClave,0))&amp;"","Variable")),"")</f>
        <v/>
      </c>
      <c r="Y1821" s="52">
        <f>IF(P1821="","",IFERROR(INDEX(catGrupo,MATCH(D1821&amp;"|"&amp;E1821,catClave,0))&amp;"",""))</f>
        <v/>
      </c>
      <c r="Z1821" s="52">
        <f>IF(P1821="","",WEEKDAY(B1821,2))</f>
        <v/>
      </c>
      <c r="AA1821" s="52">
        <f>IF(P1821="","",IF(AND(P1821="Gasto",X1821="Variable",D1821&lt;&gt;catTrading,S1821&gt;0,S1821&lt;=Umbral),1,0))</f>
        <v/>
      </c>
      <c r="AB1821" s="52">
        <f>IF(OR(P1821="",Q1821=""),"",IFERROR(IF(INDEX(ctaVinc,MATCH(Q1821,ctaNombre,0))&amp;""&lt;&gt;"",INDEX(ctaVinc,MATCH(Q1821,ctaNombre,0))&amp;"",Q1821),Q1821))</f>
        <v/>
      </c>
      <c r="AC1821" s="52">
        <f>IF(OR(K1821="",AND(P1821&lt;&gt;"Transferencia",P1821&lt;&gt;"Pago tarjeta")),"",IFERROR(IF(INDEX(ctaVinc,MATCH(K1821,ctaNombre,0))&amp;""&lt;&gt;"",INDEX(ctaVinc,MATCH(K1821,ctaNombre,0))&amp;"",K1821),K1821))</f>
        <v/>
      </c>
      <c r="AD1821" s="52">
        <f>IF(AB1821="","",IFERROR(INDEX(ctaTipo,MATCH(AB1821,ctaNombre,0))&amp;"",""))</f>
        <v/>
      </c>
      <c r="AE1821" s="52">
        <f>IF(AC1821="","",IFERROR(INDEX(ctaTipo,MATCH(AC1821,ctaNombre,0))&amp;"",""))</f>
        <v/>
      </c>
      <c r="AF1821" s="53">
        <f>IF(OR(P1821="",AB1821=""),"",IF(OR(P1821="Gasto",P1821="Transferencia",P1821="Pago tarjeta"),-1,1)*IF(IFERROR(INDEX(ctaMoneda,MATCH(AB1821,ctaNombre,0))&amp;"","DOP")="USD",T1821,S1821))</f>
        <v/>
      </c>
      <c r="AG1821" s="53">
        <f>IF(AC1821="","",IF(IFERROR(INDEX(ctaMoneda,MATCH(AC1821,ctaNombre,0))&amp;"","DOP")="USD",T1821,S1821))</f>
        <v/>
      </c>
      <c r="AH1821" s="53">
        <f>IF(P1821="","",IF(AND(AD1821&lt;&gt;"",COUNTIFS(tcTipo,AD1821,tcLiq,"Sí")&gt;0),IF(OR(P1821="Gasto",P1821="Transferencia",P1821="Pago tarjeta"),-1,1)*S1821,0)+IF(AND(AE1821&lt;&gt;"",COUNTIFS(tcTipo,AE1821,tcLiq,"Sí")&gt;0),S1821,0))</f>
        <v/>
      </c>
      <c r="AI1821" s="52">
        <f>IF(OR(L1821="",P1821=""),"",IF(COUNTIFS(L$6:L1821,L1821,P$6:P1821,"?*")=1,MAX(AI$5:AI1820)+1,""))</f>
        <v/>
      </c>
    </row>
    <row r="1822">
      <c r="B1822" s="47" t="n"/>
      <c r="C1822" s="48" t="n"/>
      <c r="D1822" s="48" t="n"/>
      <c r="E1822" s="48" t="n"/>
      <c r="F1822" s="48" t="n"/>
      <c r="G1822" s="49" t="n"/>
      <c r="H1822" s="48" t="n"/>
      <c r="I1822" s="50" t="n"/>
      <c r="J1822" s="48" t="n"/>
      <c r="K1822" s="48" t="n"/>
      <c r="L1822" s="48" t="n"/>
      <c r="M1822" s="48" t="n"/>
      <c r="N1822" s="48" t="n"/>
      <c r="O1822" s="51">
        <f>IF(AND(B1822="",G1822="",C1822="",D1822="",J1822=""),"",IF(B1822="","⚠ Falta fecha",IF(G1822="","⚠ Falta monto",IF(Q1822="","⚠ Falta cuenta",IF(ISNA(MATCH(Q1822,ctaNombre,0)),"⚠ Cuenta no registrada",IF(AND(OR(P1822="Gasto",P1822="Reembolso"),D1822=""),"⚠ Falta categoría",IF(AND(D1822&lt;&gt;"",E1822&lt;&gt;"",ISNA(MATCH(D1822&amp;"|"&amp;E1822,catClave,0))),"⚠ Subcategoría no corresponde",IF(AND(OR(P1822="Transferencia",P1822="Pago tarjeta"),K1822=""),"⚠ Falta cuenta destino",IF(AND(K1822&lt;&gt;"",P1822&lt;&gt;"Transferencia",P1822&lt;&gt;"Pago tarjeta"),"⚠ Destino solo aplica a transferencias",IF(AND(K1822&lt;&gt;"",K1822=Q1822),"⚠ Origen igual a destino",IF(AND(K1822&lt;&gt;"",ISNA(MATCH(K1822,ctaNombre,0))),"⚠ Destino no registrado",IF(AND(P1822="Pago tarjeta",AE1822&lt;&gt;"Tarjeta de crédito"),"⚠ El destino debe ser tarjeta de crédito",IF(AND(P1822="Gasto",E1822="Depósitos y retiros"),"⚠ Usa tipo Transferencia",IF(AND(P1822="Resultado trading",AD1822&lt;&gt;"Cuenta de trading"),"⚠ Usa una cuenta de trading",IF(AND(G1822&lt;=0,P1822&lt;&gt;"Ajuste",P1822&lt;&gt;"Resultado trading"),"⚠ El monto debe ser positivo","✓")))))))))))))))</f>
        <v/>
      </c>
      <c r="P1822" s="52">
        <f>IF(OR(B1822="",G1822=""),"",IF(C1822="","Gasto",C1822))</f>
        <v/>
      </c>
      <c r="Q1822" s="52">
        <f>IF(P1822="","",IF(J1822&lt;&gt;"",J1822,CuentaPred&amp;""))</f>
        <v/>
      </c>
      <c r="R1822" s="52">
        <f>IF(P1822="","",IF(ISNUMBER(I1822),I1822,TasaUSD))</f>
        <v/>
      </c>
      <c r="S1822" s="53">
        <f>IF(P1822="","",IF(H1822="USD",G1822*R1822,G1822))</f>
        <v/>
      </c>
      <c r="T1822" s="53">
        <f>IF(P1822="","",IF(H1822="USD",G1822,IF(R1822&gt;0,G1822/R1822,0)))</f>
        <v/>
      </c>
      <c r="U1822" s="53">
        <f>IF(P1822="","",IF(P1822="Gasto",S1822,IF(P1822="Reembolso",-S1822,0)))</f>
        <v/>
      </c>
      <c r="V1822" s="53">
        <f>IF(P1822="","",IF(P1822="Ingreso",S1822,0))</f>
        <v/>
      </c>
      <c r="W1822" s="53">
        <f>IF(P1822="","",IF(P1822="Resultado trading",S1822,0))</f>
        <v/>
      </c>
      <c r="X1822" s="52">
        <f>IF(OR(P1822="Gasto",P1822="Reembolso"),IF(M1822&lt;&gt;"",M1822,IFERROR(INDEX(catClasif,MATCH(D1822&amp;"|"&amp;E1822,catClave,0))&amp;"","Variable")),"")</f>
        <v/>
      </c>
      <c r="Y1822" s="52">
        <f>IF(P1822="","",IFERROR(INDEX(catGrupo,MATCH(D1822&amp;"|"&amp;E1822,catClave,0))&amp;"",""))</f>
        <v/>
      </c>
      <c r="Z1822" s="52">
        <f>IF(P1822="","",WEEKDAY(B1822,2))</f>
        <v/>
      </c>
      <c r="AA1822" s="52">
        <f>IF(P1822="","",IF(AND(P1822="Gasto",X1822="Variable",D1822&lt;&gt;catTrading,S1822&gt;0,S1822&lt;=Umbral),1,0))</f>
        <v/>
      </c>
      <c r="AB1822" s="52">
        <f>IF(OR(P1822="",Q1822=""),"",IFERROR(IF(INDEX(ctaVinc,MATCH(Q1822,ctaNombre,0))&amp;""&lt;&gt;"",INDEX(ctaVinc,MATCH(Q1822,ctaNombre,0))&amp;"",Q1822),Q1822))</f>
        <v/>
      </c>
      <c r="AC1822" s="52">
        <f>IF(OR(K1822="",AND(P1822&lt;&gt;"Transferencia",P1822&lt;&gt;"Pago tarjeta")),"",IFERROR(IF(INDEX(ctaVinc,MATCH(K1822,ctaNombre,0))&amp;""&lt;&gt;"",INDEX(ctaVinc,MATCH(K1822,ctaNombre,0))&amp;"",K1822),K1822))</f>
        <v/>
      </c>
      <c r="AD1822" s="52">
        <f>IF(AB1822="","",IFERROR(INDEX(ctaTipo,MATCH(AB1822,ctaNombre,0))&amp;"",""))</f>
        <v/>
      </c>
      <c r="AE1822" s="52">
        <f>IF(AC1822="","",IFERROR(INDEX(ctaTipo,MATCH(AC1822,ctaNombre,0))&amp;"",""))</f>
        <v/>
      </c>
      <c r="AF1822" s="53">
        <f>IF(OR(P1822="",AB1822=""),"",IF(OR(P1822="Gasto",P1822="Transferencia",P1822="Pago tarjeta"),-1,1)*IF(IFERROR(INDEX(ctaMoneda,MATCH(AB1822,ctaNombre,0))&amp;"","DOP")="USD",T1822,S1822))</f>
        <v/>
      </c>
      <c r="AG1822" s="53">
        <f>IF(AC1822="","",IF(IFERROR(INDEX(ctaMoneda,MATCH(AC1822,ctaNombre,0))&amp;"","DOP")="USD",T1822,S1822))</f>
        <v/>
      </c>
      <c r="AH1822" s="53">
        <f>IF(P1822="","",IF(AND(AD1822&lt;&gt;"",COUNTIFS(tcTipo,AD1822,tcLiq,"Sí")&gt;0),IF(OR(P1822="Gasto",P1822="Transferencia",P1822="Pago tarjeta"),-1,1)*S1822,0)+IF(AND(AE1822&lt;&gt;"",COUNTIFS(tcTipo,AE1822,tcLiq,"Sí")&gt;0),S1822,0))</f>
        <v/>
      </c>
      <c r="AI1822" s="52">
        <f>IF(OR(L1822="",P1822=""),"",IF(COUNTIFS(L$6:L1822,L1822,P$6:P1822,"?*")=1,MAX(AI$5:AI1821)+1,""))</f>
        <v/>
      </c>
    </row>
    <row r="1823">
      <c r="B1823" s="47" t="n"/>
      <c r="C1823" s="48" t="n"/>
      <c r="D1823" s="48" t="n"/>
      <c r="E1823" s="48" t="n"/>
      <c r="F1823" s="48" t="n"/>
      <c r="G1823" s="49" t="n"/>
      <c r="H1823" s="48" t="n"/>
      <c r="I1823" s="50" t="n"/>
      <c r="J1823" s="48" t="n"/>
      <c r="K1823" s="48" t="n"/>
      <c r="L1823" s="48" t="n"/>
      <c r="M1823" s="48" t="n"/>
      <c r="N1823" s="48" t="n"/>
      <c r="O1823" s="51">
        <f>IF(AND(B1823="",G1823="",C1823="",D1823="",J1823=""),"",IF(B1823="","⚠ Falta fecha",IF(G1823="","⚠ Falta monto",IF(Q1823="","⚠ Falta cuenta",IF(ISNA(MATCH(Q1823,ctaNombre,0)),"⚠ Cuenta no registrada",IF(AND(OR(P1823="Gasto",P1823="Reembolso"),D1823=""),"⚠ Falta categoría",IF(AND(D1823&lt;&gt;"",E1823&lt;&gt;"",ISNA(MATCH(D1823&amp;"|"&amp;E1823,catClave,0))),"⚠ Subcategoría no corresponde",IF(AND(OR(P1823="Transferencia",P1823="Pago tarjeta"),K1823=""),"⚠ Falta cuenta destino",IF(AND(K1823&lt;&gt;"",P1823&lt;&gt;"Transferencia",P1823&lt;&gt;"Pago tarjeta"),"⚠ Destino solo aplica a transferencias",IF(AND(K1823&lt;&gt;"",K1823=Q1823),"⚠ Origen igual a destino",IF(AND(K1823&lt;&gt;"",ISNA(MATCH(K1823,ctaNombre,0))),"⚠ Destino no registrado",IF(AND(P1823="Pago tarjeta",AE1823&lt;&gt;"Tarjeta de crédito"),"⚠ El destino debe ser tarjeta de crédito",IF(AND(P1823="Gasto",E1823="Depósitos y retiros"),"⚠ Usa tipo Transferencia",IF(AND(P1823="Resultado trading",AD1823&lt;&gt;"Cuenta de trading"),"⚠ Usa una cuenta de trading",IF(AND(G1823&lt;=0,P1823&lt;&gt;"Ajuste",P1823&lt;&gt;"Resultado trading"),"⚠ El monto debe ser positivo","✓")))))))))))))))</f>
        <v/>
      </c>
      <c r="P1823" s="52">
        <f>IF(OR(B1823="",G1823=""),"",IF(C1823="","Gasto",C1823))</f>
        <v/>
      </c>
      <c r="Q1823" s="52">
        <f>IF(P1823="","",IF(J1823&lt;&gt;"",J1823,CuentaPred&amp;""))</f>
        <v/>
      </c>
      <c r="R1823" s="52">
        <f>IF(P1823="","",IF(ISNUMBER(I1823),I1823,TasaUSD))</f>
        <v/>
      </c>
      <c r="S1823" s="53">
        <f>IF(P1823="","",IF(H1823="USD",G1823*R1823,G1823))</f>
        <v/>
      </c>
      <c r="T1823" s="53">
        <f>IF(P1823="","",IF(H1823="USD",G1823,IF(R1823&gt;0,G1823/R1823,0)))</f>
        <v/>
      </c>
      <c r="U1823" s="53">
        <f>IF(P1823="","",IF(P1823="Gasto",S1823,IF(P1823="Reembolso",-S1823,0)))</f>
        <v/>
      </c>
      <c r="V1823" s="53">
        <f>IF(P1823="","",IF(P1823="Ingreso",S1823,0))</f>
        <v/>
      </c>
      <c r="W1823" s="53">
        <f>IF(P1823="","",IF(P1823="Resultado trading",S1823,0))</f>
        <v/>
      </c>
      <c r="X1823" s="52">
        <f>IF(OR(P1823="Gasto",P1823="Reembolso"),IF(M1823&lt;&gt;"",M1823,IFERROR(INDEX(catClasif,MATCH(D1823&amp;"|"&amp;E1823,catClave,0))&amp;"","Variable")),"")</f>
        <v/>
      </c>
      <c r="Y1823" s="52">
        <f>IF(P1823="","",IFERROR(INDEX(catGrupo,MATCH(D1823&amp;"|"&amp;E1823,catClave,0))&amp;"",""))</f>
        <v/>
      </c>
      <c r="Z1823" s="52">
        <f>IF(P1823="","",WEEKDAY(B1823,2))</f>
        <v/>
      </c>
      <c r="AA1823" s="52">
        <f>IF(P1823="","",IF(AND(P1823="Gasto",X1823="Variable",D1823&lt;&gt;catTrading,S1823&gt;0,S1823&lt;=Umbral),1,0))</f>
        <v/>
      </c>
      <c r="AB1823" s="52">
        <f>IF(OR(P1823="",Q1823=""),"",IFERROR(IF(INDEX(ctaVinc,MATCH(Q1823,ctaNombre,0))&amp;""&lt;&gt;"",INDEX(ctaVinc,MATCH(Q1823,ctaNombre,0))&amp;"",Q1823),Q1823))</f>
        <v/>
      </c>
      <c r="AC1823" s="52">
        <f>IF(OR(K1823="",AND(P1823&lt;&gt;"Transferencia",P1823&lt;&gt;"Pago tarjeta")),"",IFERROR(IF(INDEX(ctaVinc,MATCH(K1823,ctaNombre,0))&amp;""&lt;&gt;"",INDEX(ctaVinc,MATCH(K1823,ctaNombre,0))&amp;"",K1823),K1823))</f>
        <v/>
      </c>
      <c r="AD1823" s="52">
        <f>IF(AB1823="","",IFERROR(INDEX(ctaTipo,MATCH(AB1823,ctaNombre,0))&amp;"",""))</f>
        <v/>
      </c>
      <c r="AE1823" s="52">
        <f>IF(AC1823="","",IFERROR(INDEX(ctaTipo,MATCH(AC1823,ctaNombre,0))&amp;"",""))</f>
        <v/>
      </c>
      <c r="AF1823" s="53">
        <f>IF(OR(P1823="",AB1823=""),"",IF(OR(P1823="Gasto",P1823="Transferencia",P1823="Pago tarjeta"),-1,1)*IF(IFERROR(INDEX(ctaMoneda,MATCH(AB1823,ctaNombre,0))&amp;"","DOP")="USD",T1823,S1823))</f>
        <v/>
      </c>
      <c r="AG1823" s="53">
        <f>IF(AC1823="","",IF(IFERROR(INDEX(ctaMoneda,MATCH(AC1823,ctaNombre,0))&amp;"","DOP")="USD",T1823,S1823))</f>
        <v/>
      </c>
      <c r="AH1823" s="53">
        <f>IF(P1823="","",IF(AND(AD1823&lt;&gt;"",COUNTIFS(tcTipo,AD1823,tcLiq,"Sí")&gt;0),IF(OR(P1823="Gasto",P1823="Transferencia",P1823="Pago tarjeta"),-1,1)*S1823,0)+IF(AND(AE1823&lt;&gt;"",COUNTIFS(tcTipo,AE1823,tcLiq,"Sí")&gt;0),S1823,0))</f>
        <v/>
      </c>
      <c r="AI1823" s="52">
        <f>IF(OR(L1823="",P1823=""),"",IF(COUNTIFS(L$6:L1823,L1823,P$6:P1823,"?*")=1,MAX(AI$5:AI1822)+1,""))</f>
        <v/>
      </c>
    </row>
    <row r="1824">
      <c r="B1824" s="47" t="n"/>
      <c r="C1824" s="48" t="n"/>
      <c r="D1824" s="48" t="n"/>
      <c r="E1824" s="48" t="n"/>
      <c r="F1824" s="48" t="n"/>
      <c r="G1824" s="49" t="n"/>
      <c r="H1824" s="48" t="n"/>
      <c r="I1824" s="50" t="n"/>
      <c r="J1824" s="48" t="n"/>
      <c r="K1824" s="48" t="n"/>
      <c r="L1824" s="48" t="n"/>
      <c r="M1824" s="48" t="n"/>
      <c r="N1824" s="48" t="n"/>
      <c r="O1824" s="51">
        <f>IF(AND(B1824="",G1824="",C1824="",D1824="",J1824=""),"",IF(B1824="","⚠ Falta fecha",IF(G1824="","⚠ Falta monto",IF(Q1824="","⚠ Falta cuenta",IF(ISNA(MATCH(Q1824,ctaNombre,0)),"⚠ Cuenta no registrada",IF(AND(OR(P1824="Gasto",P1824="Reembolso"),D1824=""),"⚠ Falta categoría",IF(AND(D1824&lt;&gt;"",E1824&lt;&gt;"",ISNA(MATCH(D1824&amp;"|"&amp;E1824,catClave,0))),"⚠ Subcategoría no corresponde",IF(AND(OR(P1824="Transferencia",P1824="Pago tarjeta"),K1824=""),"⚠ Falta cuenta destino",IF(AND(K1824&lt;&gt;"",P1824&lt;&gt;"Transferencia",P1824&lt;&gt;"Pago tarjeta"),"⚠ Destino solo aplica a transferencias",IF(AND(K1824&lt;&gt;"",K1824=Q1824),"⚠ Origen igual a destino",IF(AND(K1824&lt;&gt;"",ISNA(MATCH(K1824,ctaNombre,0))),"⚠ Destino no registrado",IF(AND(P1824="Pago tarjeta",AE1824&lt;&gt;"Tarjeta de crédito"),"⚠ El destino debe ser tarjeta de crédito",IF(AND(P1824="Gasto",E1824="Depósitos y retiros"),"⚠ Usa tipo Transferencia",IF(AND(P1824="Resultado trading",AD1824&lt;&gt;"Cuenta de trading"),"⚠ Usa una cuenta de trading",IF(AND(G1824&lt;=0,P1824&lt;&gt;"Ajuste",P1824&lt;&gt;"Resultado trading"),"⚠ El monto debe ser positivo","✓")))))))))))))))</f>
        <v/>
      </c>
      <c r="P1824" s="52">
        <f>IF(OR(B1824="",G1824=""),"",IF(C1824="","Gasto",C1824))</f>
        <v/>
      </c>
      <c r="Q1824" s="52">
        <f>IF(P1824="","",IF(J1824&lt;&gt;"",J1824,CuentaPred&amp;""))</f>
        <v/>
      </c>
      <c r="R1824" s="52">
        <f>IF(P1824="","",IF(ISNUMBER(I1824),I1824,TasaUSD))</f>
        <v/>
      </c>
      <c r="S1824" s="53">
        <f>IF(P1824="","",IF(H1824="USD",G1824*R1824,G1824))</f>
        <v/>
      </c>
      <c r="T1824" s="53">
        <f>IF(P1824="","",IF(H1824="USD",G1824,IF(R1824&gt;0,G1824/R1824,0)))</f>
        <v/>
      </c>
      <c r="U1824" s="53">
        <f>IF(P1824="","",IF(P1824="Gasto",S1824,IF(P1824="Reembolso",-S1824,0)))</f>
        <v/>
      </c>
      <c r="V1824" s="53">
        <f>IF(P1824="","",IF(P1824="Ingreso",S1824,0))</f>
        <v/>
      </c>
      <c r="W1824" s="53">
        <f>IF(P1824="","",IF(P1824="Resultado trading",S1824,0))</f>
        <v/>
      </c>
      <c r="X1824" s="52">
        <f>IF(OR(P1824="Gasto",P1824="Reembolso"),IF(M1824&lt;&gt;"",M1824,IFERROR(INDEX(catClasif,MATCH(D1824&amp;"|"&amp;E1824,catClave,0))&amp;"","Variable")),"")</f>
        <v/>
      </c>
      <c r="Y1824" s="52">
        <f>IF(P1824="","",IFERROR(INDEX(catGrupo,MATCH(D1824&amp;"|"&amp;E1824,catClave,0))&amp;"",""))</f>
        <v/>
      </c>
      <c r="Z1824" s="52">
        <f>IF(P1824="","",WEEKDAY(B1824,2))</f>
        <v/>
      </c>
      <c r="AA1824" s="52">
        <f>IF(P1824="","",IF(AND(P1824="Gasto",X1824="Variable",D1824&lt;&gt;catTrading,S1824&gt;0,S1824&lt;=Umbral),1,0))</f>
        <v/>
      </c>
      <c r="AB1824" s="52">
        <f>IF(OR(P1824="",Q1824=""),"",IFERROR(IF(INDEX(ctaVinc,MATCH(Q1824,ctaNombre,0))&amp;""&lt;&gt;"",INDEX(ctaVinc,MATCH(Q1824,ctaNombre,0))&amp;"",Q1824),Q1824))</f>
        <v/>
      </c>
      <c r="AC1824" s="52">
        <f>IF(OR(K1824="",AND(P1824&lt;&gt;"Transferencia",P1824&lt;&gt;"Pago tarjeta")),"",IFERROR(IF(INDEX(ctaVinc,MATCH(K1824,ctaNombre,0))&amp;""&lt;&gt;"",INDEX(ctaVinc,MATCH(K1824,ctaNombre,0))&amp;"",K1824),K1824))</f>
        <v/>
      </c>
      <c r="AD1824" s="52">
        <f>IF(AB1824="","",IFERROR(INDEX(ctaTipo,MATCH(AB1824,ctaNombre,0))&amp;"",""))</f>
        <v/>
      </c>
      <c r="AE1824" s="52">
        <f>IF(AC1824="","",IFERROR(INDEX(ctaTipo,MATCH(AC1824,ctaNombre,0))&amp;"",""))</f>
        <v/>
      </c>
      <c r="AF1824" s="53">
        <f>IF(OR(P1824="",AB1824=""),"",IF(OR(P1824="Gasto",P1824="Transferencia",P1824="Pago tarjeta"),-1,1)*IF(IFERROR(INDEX(ctaMoneda,MATCH(AB1824,ctaNombre,0))&amp;"","DOP")="USD",T1824,S1824))</f>
        <v/>
      </c>
      <c r="AG1824" s="53">
        <f>IF(AC1824="","",IF(IFERROR(INDEX(ctaMoneda,MATCH(AC1824,ctaNombre,0))&amp;"","DOP")="USD",T1824,S1824))</f>
        <v/>
      </c>
      <c r="AH1824" s="53">
        <f>IF(P1824="","",IF(AND(AD1824&lt;&gt;"",COUNTIFS(tcTipo,AD1824,tcLiq,"Sí")&gt;0),IF(OR(P1824="Gasto",P1824="Transferencia",P1824="Pago tarjeta"),-1,1)*S1824,0)+IF(AND(AE1824&lt;&gt;"",COUNTIFS(tcTipo,AE1824,tcLiq,"Sí")&gt;0),S1824,0))</f>
        <v/>
      </c>
      <c r="AI1824" s="52">
        <f>IF(OR(L1824="",P1824=""),"",IF(COUNTIFS(L$6:L1824,L1824,P$6:P1824,"?*")=1,MAX(AI$5:AI1823)+1,""))</f>
        <v/>
      </c>
    </row>
    <row r="1825">
      <c r="B1825" s="47" t="n"/>
      <c r="C1825" s="48" t="n"/>
      <c r="D1825" s="48" t="n"/>
      <c r="E1825" s="48" t="n"/>
      <c r="F1825" s="48" t="n"/>
      <c r="G1825" s="49" t="n"/>
      <c r="H1825" s="48" t="n"/>
      <c r="I1825" s="50" t="n"/>
      <c r="J1825" s="48" t="n"/>
      <c r="K1825" s="48" t="n"/>
      <c r="L1825" s="48" t="n"/>
      <c r="M1825" s="48" t="n"/>
      <c r="N1825" s="48" t="n"/>
      <c r="O1825" s="51">
        <f>IF(AND(B1825="",G1825="",C1825="",D1825="",J1825=""),"",IF(B1825="","⚠ Falta fecha",IF(G1825="","⚠ Falta monto",IF(Q1825="","⚠ Falta cuenta",IF(ISNA(MATCH(Q1825,ctaNombre,0)),"⚠ Cuenta no registrada",IF(AND(OR(P1825="Gasto",P1825="Reembolso"),D1825=""),"⚠ Falta categoría",IF(AND(D1825&lt;&gt;"",E1825&lt;&gt;"",ISNA(MATCH(D1825&amp;"|"&amp;E1825,catClave,0))),"⚠ Subcategoría no corresponde",IF(AND(OR(P1825="Transferencia",P1825="Pago tarjeta"),K1825=""),"⚠ Falta cuenta destino",IF(AND(K1825&lt;&gt;"",P1825&lt;&gt;"Transferencia",P1825&lt;&gt;"Pago tarjeta"),"⚠ Destino solo aplica a transferencias",IF(AND(K1825&lt;&gt;"",K1825=Q1825),"⚠ Origen igual a destino",IF(AND(K1825&lt;&gt;"",ISNA(MATCH(K1825,ctaNombre,0))),"⚠ Destino no registrado",IF(AND(P1825="Pago tarjeta",AE1825&lt;&gt;"Tarjeta de crédito"),"⚠ El destino debe ser tarjeta de crédito",IF(AND(P1825="Gasto",E1825="Depósitos y retiros"),"⚠ Usa tipo Transferencia",IF(AND(P1825="Resultado trading",AD1825&lt;&gt;"Cuenta de trading"),"⚠ Usa una cuenta de trading",IF(AND(G1825&lt;=0,P1825&lt;&gt;"Ajuste",P1825&lt;&gt;"Resultado trading"),"⚠ El monto debe ser positivo","✓")))))))))))))))</f>
        <v/>
      </c>
      <c r="P1825" s="52">
        <f>IF(OR(B1825="",G1825=""),"",IF(C1825="","Gasto",C1825))</f>
        <v/>
      </c>
      <c r="Q1825" s="52">
        <f>IF(P1825="","",IF(J1825&lt;&gt;"",J1825,CuentaPred&amp;""))</f>
        <v/>
      </c>
      <c r="R1825" s="52">
        <f>IF(P1825="","",IF(ISNUMBER(I1825),I1825,TasaUSD))</f>
        <v/>
      </c>
      <c r="S1825" s="53">
        <f>IF(P1825="","",IF(H1825="USD",G1825*R1825,G1825))</f>
        <v/>
      </c>
      <c r="T1825" s="53">
        <f>IF(P1825="","",IF(H1825="USD",G1825,IF(R1825&gt;0,G1825/R1825,0)))</f>
        <v/>
      </c>
      <c r="U1825" s="53">
        <f>IF(P1825="","",IF(P1825="Gasto",S1825,IF(P1825="Reembolso",-S1825,0)))</f>
        <v/>
      </c>
      <c r="V1825" s="53">
        <f>IF(P1825="","",IF(P1825="Ingreso",S1825,0))</f>
        <v/>
      </c>
      <c r="W1825" s="53">
        <f>IF(P1825="","",IF(P1825="Resultado trading",S1825,0))</f>
        <v/>
      </c>
      <c r="X1825" s="52">
        <f>IF(OR(P1825="Gasto",P1825="Reembolso"),IF(M1825&lt;&gt;"",M1825,IFERROR(INDEX(catClasif,MATCH(D1825&amp;"|"&amp;E1825,catClave,0))&amp;"","Variable")),"")</f>
        <v/>
      </c>
      <c r="Y1825" s="52">
        <f>IF(P1825="","",IFERROR(INDEX(catGrupo,MATCH(D1825&amp;"|"&amp;E1825,catClave,0))&amp;"",""))</f>
        <v/>
      </c>
      <c r="Z1825" s="52">
        <f>IF(P1825="","",WEEKDAY(B1825,2))</f>
        <v/>
      </c>
      <c r="AA1825" s="52">
        <f>IF(P1825="","",IF(AND(P1825="Gasto",X1825="Variable",D1825&lt;&gt;catTrading,S1825&gt;0,S1825&lt;=Umbral),1,0))</f>
        <v/>
      </c>
      <c r="AB1825" s="52">
        <f>IF(OR(P1825="",Q1825=""),"",IFERROR(IF(INDEX(ctaVinc,MATCH(Q1825,ctaNombre,0))&amp;""&lt;&gt;"",INDEX(ctaVinc,MATCH(Q1825,ctaNombre,0))&amp;"",Q1825),Q1825))</f>
        <v/>
      </c>
      <c r="AC1825" s="52">
        <f>IF(OR(K1825="",AND(P1825&lt;&gt;"Transferencia",P1825&lt;&gt;"Pago tarjeta")),"",IFERROR(IF(INDEX(ctaVinc,MATCH(K1825,ctaNombre,0))&amp;""&lt;&gt;"",INDEX(ctaVinc,MATCH(K1825,ctaNombre,0))&amp;"",K1825),K1825))</f>
        <v/>
      </c>
      <c r="AD1825" s="52">
        <f>IF(AB1825="","",IFERROR(INDEX(ctaTipo,MATCH(AB1825,ctaNombre,0))&amp;"",""))</f>
        <v/>
      </c>
      <c r="AE1825" s="52">
        <f>IF(AC1825="","",IFERROR(INDEX(ctaTipo,MATCH(AC1825,ctaNombre,0))&amp;"",""))</f>
        <v/>
      </c>
      <c r="AF1825" s="53">
        <f>IF(OR(P1825="",AB1825=""),"",IF(OR(P1825="Gasto",P1825="Transferencia",P1825="Pago tarjeta"),-1,1)*IF(IFERROR(INDEX(ctaMoneda,MATCH(AB1825,ctaNombre,0))&amp;"","DOP")="USD",T1825,S1825))</f>
        <v/>
      </c>
      <c r="AG1825" s="53">
        <f>IF(AC1825="","",IF(IFERROR(INDEX(ctaMoneda,MATCH(AC1825,ctaNombre,0))&amp;"","DOP")="USD",T1825,S1825))</f>
        <v/>
      </c>
      <c r="AH1825" s="53">
        <f>IF(P1825="","",IF(AND(AD1825&lt;&gt;"",COUNTIFS(tcTipo,AD1825,tcLiq,"Sí")&gt;0),IF(OR(P1825="Gasto",P1825="Transferencia",P1825="Pago tarjeta"),-1,1)*S1825,0)+IF(AND(AE1825&lt;&gt;"",COUNTIFS(tcTipo,AE1825,tcLiq,"Sí")&gt;0),S1825,0))</f>
        <v/>
      </c>
      <c r="AI1825" s="52">
        <f>IF(OR(L1825="",P1825=""),"",IF(COUNTIFS(L$6:L1825,L1825,P$6:P1825,"?*")=1,MAX(AI$5:AI1824)+1,""))</f>
        <v/>
      </c>
    </row>
    <row r="1826">
      <c r="B1826" s="47" t="n"/>
      <c r="C1826" s="48" t="n"/>
      <c r="D1826" s="48" t="n"/>
      <c r="E1826" s="48" t="n"/>
      <c r="F1826" s="48" t="n"/>
      <c r="G1826" s="49" t="n"/>
      <c r="H1826" s="48" t="n"/>
      <c r="I1826" s="50" t="n"/>
      <c r="J1826" s="48" t="n"/>
      <c r="K1826" s="48" t="n"/>
      <c r="L1826" s="48" t="n"/>
      <c r="M1826" s="48" t="n"/>
      <c r="N1826" s="48" t="n"/>
      <c r="O1826" s="51">
        <f>IF(AND(B1826="",G1826="",C1826="",D1826="",J1826=""),"",IF(B1826="","⚠ Falta fecha",IF(G1826="","⚠ Falta monto",IF(Q1826="","⚠ Falta cuenta",IF(ISNA(MATCH(Q1826,ctaNombre,0)),"⚠ Cuenta no registrada",IF(AND(OR(P1826="Gasto",P1826="Reembolso"),D1826=""),"⚠ Falta categoría",IF(AND(D1826&lt;&gt;"",E1826&lt;&gt;"",ISNA(MATCH(D1826&amp;"|"&amp;E1826,catClave,0))),"⚠ Subcategoría no corresponde",IF(AND(OR(P1826="Transferencia",P1826="Pago tarjeta"),K1826=""),"⚠ Falta cuenta destino",IF(AND(K1826&lt;&gt;"",P1826&lt;&gt;"Transferencia",P1826&lt;&gt;"Pago tarjeta"),"⚠ Destino solo aplica a transferencias",IF(AND(K1826&lt;&gt;"",K1826=Q1826),"⚠ Origen igual a destino",IF(AND(K1826&lt;&gt;"",ISNA(MATCH(K1826,ctaNombre,0))),"⚠ Destino no registrado",IF(AND(P1826="Pago tarjeta",AE1826&lt;&gt;"Tarjeta de crédito"),"⚠ El destino debe ser tarjeta de crédito",IF(AND(P1826="Gasto",E1826="Depósitos y retiros"),"⚠ Usa tipo Transferencia",IF(AND(P1826="Resultado trading",AD1826&lt;&gt;"Cuenta de trading"),"⚠ Usa una cuenta de trading",IF(AND(G1826&lt;=0,P1826&lt;&gt;"Ajuste",P1826&lt;&gt;"Resultado trading"),"⚠ El monto debe ser positivo","✓")))))))))))))))</f>
        <v/>
      </c>
      <c r="P1826" s="52">
        <f>IF(OR(B1826="",G1826=""),"",IF(C1826="","Gasto",C1826))</f>
        <v/>
      </c>
      <c r="Q1826" s="52">
        <f>IF(P1826="","",IF(J1826&lt;&gt;"",J1826,CuentaPred&amp;""))</f>
        <v/>
      </c>
      <c r="R1826" s="52">
        <f>IF(P1826="","",IF(ISNUMBER(I1826),I1826,TasaUSD))</f>
        <v/>
      </c>
      <c r="S1826" s="53">
        <f>IF(P1826="","",IF(H1826="USD",G1826*R1826,G1826))</f>
        <v/>
      </c>
      <c r="T1826" s="53">
        <f>IF(P1826="","",IF(H1826="USD",G1826,IF(R1826&gt;0,G1826/R1826,0)))</f>
        <v/>
      </c>
      <c r="U1826" s="53">
        <f>IF(P1826="","",IF(P1826="Gasto",S1826,IF(P1826="Reembolso",-S1826,0)))</f>
        <v/>
      </c>
      <c r="V1826" s="53">
        <f>IF(P1826="","",IF(P1826="Ingreso",S1826,0))</f>
        <v/>
      </c>
      <c r="W1826" s="53">
        <f>IF(P1826="","",IF(P1826="Resultado trading",S1826,0))</f>
        <v/>
      </c>
      <c r="X1826" s="52">
        <f>IF(OR(P1826="Gasto",P1826="Reembolso"),IF(M1826&lt;&gt;"",M1826,IFERROR(INDEX(catClasif,MATCH(D1826&amp;"|"&amp;E1826,catClave,0))&amp;"","Variable")),"")</f>
        <v/>
      </c>
      <c r="Y1826" s="52">
        <f>IF(P1826="","",IFERROR(INDEX(catGrupo,MATCH(D1826&amp;"|"&amp;E1826,catClave,0))&amp;"",""))</f>
        <v/>
      </c>
      <c r="Z1826" s="52">
        <f>IF(P1826="","",WEEKDAY(B1826,2))</f>
        <v/>
      </c>
      <c r="AA1826" s="52">
        <f>IF(P1826="","",IF(AND(P1826="Gasto",X1826="Variable",D1826&lt;&gt;catTrading,S1826&gt;0,S1826&lt;=Umbral),1,0))</f>
        <v/>
      </c>
      <c r="AB1826" s="52">
        <f>IF(OR(P1826="",Q1826=""),"",IFERROR(IF(INDEX(ctaVinc,MATCH(Q1826,ctaNombre,0))&amp;""&lt;&gt;"",INDEX(ctaVinc,MATCH(Q1826,ctaNombre,0))&amp;"",Q1826),Q1826))</f>
        <v/>
      </c>
      <c r="AC1826" s="52">
        <f>IF(OR(K1826="",AND(P1826&lt;&gt;"Transferencia",P1826&lt;&gt;"Pago tarjeta")),"",IFERROR(IF(INDEX(ctaVinc,MATCH(K1826,ctaNombre,0))&amp;""&lt;&gt;"",INDEX(ctaVinc,MATCH(K1826,ctaNombre,0))&amp;"",K1826),K1826))</f>
        <v/>
      </c>
      <c r="AD1826" s="52">
        <f>IF(AB1826="","",IFERROR(INDEX(ctaTipo,MATCH(AB1826,ctaNombre,0))&amp;"",""))</f>
        <v/>
      </c>
      <c r="AE1826" s="52">
        <f>IF(AC1826="","",IFERROR(INDEX(ctaTipo,MATCH(AC1826,ctaNombre,0))&amp;"",""))</f>
        <v/>
      </c>
      <c r="AF1826" s="53">
        <f>IF(OR(P1826="",AB1826=""),"",IF(OR(P1826="Gasto",P1826="Transferencia",P1826="Pago tarjeta"),-1,1)*IF(IFERROR(INDEX(ctaMoneda,MATCH(AB1826,ctaNombre,0))&amp;"","DOP")="USD",T1826,S1826))</f>
        <v/>
      </c>
      <c r="AG1826" s="53">
        <f>IF(AC1826="","",IF(IFERROR(INDEX(ctaMoneda,MATCH(AC1826,ctaNombre,0))&amp;"","DOP")="USD",T1826,S1826))</f>
        <v/>
      </c>
      <c r="AH1826" s="53">
        <f>IF(P1826="","",IF(AND(AD1826&lt;&gt;"",COUNTIFS(tcTipo,AD1826,tcLiq,"Sí")&gt;0),IF(OR(P1826="Gasto",P1826="Transferencia",P1826="Pago tarjeta"),-1,1)*S1826,0)+IF(AND(AE1826&lt;&gt;"",COUNTIFS(tcTipo,AE1826,tcLiq,"Sí")&gt;0),S1826,0))</f>
        <v/>
      </c>
      <c r="AI1826" s="52">
        <f>IF(OR(L1826="",P1826=""),"",IF(COUNTIFS(L$6:L1826,L1826,P$6:P1826,"?*")=1,MAX(AI$5:AI1825)+1,""))</f>
        <v/>
      </c>
    </row>
    <row r="1827">
      <c r="B1827" s="47" t="n"/>
      <c r="C1827" s="48" t="n"/>
      <c r="D1827" s="48" t="n"/>
      <c r="E1827" s="48" t="n"/>
      <c r="F1827" s="48" t="n"/>
      <c r="G1827" s="49" t="n"/>
      <c r="H1827" s="48" t="n"/>
      <c r="I1827" s="50" t="n"/>
      <c r="J1827" s="48" t="n"/>
      <c r="K1827" s="48" t="n"/>
      <c r="L1827" s="48" t="n"/>
      <c r="M1827" s="48" t="n"/>
      <c r="N1827" s="48" t="n"/>
      <c r="O1827" s="51">
        <f>IF(AND(B1827="",G1827="",C1827="",D1827="",J1827=""),"",IF(B1827="","⚠ Falta fecha",IF(G1827="","⚠ Falta monto",IF(Q1827="","⚠ Falta cuenta",IF(ISNA(MATCH(Q1827,ctaNombre,0)),"⚠ Cuenta no registrada",IF(AND(OR(P1827="Gasto",P1827="Reembolso"),D1827=""),"⚠ Falta categoría",IF(AND(D1827&lt;&gt;"",E1827&lt;&gt;"",ISNA(MATCH(D1827&amp;"|"&amp;E1827,catClave,0))),"⚠ Subcategoría no corresponde",IF(AND(OR(P1827="Transferencia",P1827="Pago tarjeta"),K1827=""),"⚠ Falta cuenta destino",IF(AND(K1827&lt;&gt;"",P1827&lt;&gt;"Transferencia",P1827&lt;&gt;"Pago tarjeta"),"⚠ Destino solo aplica a transferencias",IF(AND(K1827&lt;&gt;"",K1827=Q1827),"⚠ Origen igual a destino",IF(AND(K1827&lt;&gt;"",ISNA(MATCH(K1827,ctaNombre,0))),"⚠ Destino no registrado",IF(AND(P1827="Pago tarjeta",AE1827&lt;&gt;"Tarjeta de crédito"),"⚠ El destino debe ser tarjeta de crédito",IF(AND(P1827="Gasto",E1827="Depósitos y retiros"),"⚠ Usa tipo Transferencia",IF(AND(P1827="Resultado trading",AD1827&lt;&gt;"Cuenta de trading"),"⚠ Usa una cuenta de trading",IF(AND(G1827&lt;=0,P1827&lt;&gt;"Ajuste",P1827&lt;&gt;"Resultado trading"),"⚠ El monto debe ser positivo","✓")))))))))))))))</f>
        <v/>
      </c>
      <c r="P1827" s="52">
        <f>IF(OR(B1827="",G1827=""),"",IF(C1827="","Gasto",C1827))</f>
        <v/>
      </c>
      <c r="Q1827" s="52">
        <f>IF(P1827="","",IF(J1827&lt;&gt;"",J1827,CuentaPred&amp;""))</f>
        <v/>
      </c>
      <c r="R1827" s="52">
        <f>IF(P1827="","",IF(ISNUMBER(I1827),I1827,TasaUSD))</f>
        <v/>
      </c>
      <c r="S1827" s="53">
        <f>IF(P1827="","",IF(H1827="USD",G1827*R1827,G1827))</f>
        <v/>
      </c>
      <c r="T1827" s="53">
        <f>IF(P1827="","",IF(H1827="USD",G1827,IF(R1827&gt;0,G1827/R1827,0)))</f>
        <v/>
      </c>
      <c r="U1827" s="53">
        <f>IF(P1827="","",IF(P1827="Gasto",S1827,IF(P1827="Reembolso",-S1827,0)))</f>
        <v/>
      </c>
      <c r="V1827" s="53">
        <f>IF(P1827="","",IF(P1827="Ingreso",S1827,0))</f>
        <v/>
      </c>
      <c r="W1827" s="53">
        <f>IF(P1827="","",IF(P1827="Resultado trading",S1827,0))</f>
        <v/>
      </c>
      <c r="X1827" s="52">
        <f>IF(OR(P1827="Gasto",P1827="Reembolso"),IF(M1827&lt;&gt;"",M1827,IFERROR(INDEX(catClasif,MATCH(D1827&amp;"|"&amp;E1827,catClave,0))&amp;"","Variable")),"")</f>
        <v/>
      </c>
      <c r="Y1827" s="52">
        <f>IF(P1827="","",IFERROR(INDEX(catGrupo,MATCH(D1827&amp;"|"&amp;E1827,catClave,0))&amp;"",""))</f>
        <v/>
      </c>
      <c r="Z1827" s="52">
        <f>IF(P1827="","",WEEKDAY(B1827,2))</f>
        <v/>
      </c>
      <c r="AA1827" s="52">
        <f>IF(P1827="","",IF(AND(P1827="Gasto",X1827="Variable",D1827&lt;&gt;catTrading,S1827&gt;0,S1827&lt;=Umbral),1,0))</f>
        <v/>
      </c>
      <c r="AB1827" s="52">
        <f>IF(OR(P1827="",Q1827=""),"",IFERROR(IF(INDEX(ctaVinc,MATCH(Q1827,ctaNombre,0))&amp;""&lt;&gt;"",INDEX(ctaVinc,MATCH(Q1827,ctaNombre,0))&amp;"",Q1827),Q1827))</f>
        <v/>
      </c>
      <c r="AC1827" s="52">
        <f>IF(OR(K1827="",AND(P1827&lt;&gt;"Transferencia",P1827&lt;&gt;"Pago tarjeta")),"",IFERROR(IF(INDEX(ctaVinc,MATCH(K1827,ctaNombre,0))&amp;""&lt;&gt;"",INDEX(ctaVinc,MATCH(K1827,ctaNombre,0))&amp;"",K1827),K1827))</f>
        <v/>
      </c>
      <c r="AD1827" s="52">
        <f>IF(AB1827="","",IFERROR(INDEX(ctaTipo,MATCH(AB1827,ctaNombre,0))&amp;"",""))</f>
        <v/>
      </c>
      <c r="AE1827" s="52">
        <f>IF(AC1827="","",IFERROR(INDEX(ctaTipo,MATCH(AC1827,ctaNombre,0))&amp;"",""))</f>
        <v/>
      </c>
      <c r="AF1827" s="53">
        <f>IF(OR(P1827="",AB1827=""),"",IF(OR(P1827="Gasto",P1827="Transferencia",P1827="Pago tarjeta"),-1,1)*IF(IFERROR(INDEX(ctaMoneda,MATCH(AB1827,ctaNombre,0))&amp;"","DOP")="USD",T1827,S1827))</f>
        <v/>
      </c>
      <c r="AG1827" s="53">
        <f>IF(AC1827="","",IF(IFERROR(INDEX(ctaMoneda,MATCH(AC1827,ctaNombre,0))&amp;"","DOP")="USD",T1827,S1827))</f>
        <v/>
      </c>
      <c r="AH1827" s="53">
        <f>IF(P1827="","",IF(AND(AD1827&lt;&gt;"",COUNTIFS(tcTipo,AD1827,tcLiq,"Sí")&gt;0),IF(OR(P1827="Gasto",P1827="Transferencia",P1827="Pago tarjeta"),-1,1)*S1827,0)+IF(AND(AE1827&lt;&gt;"",COUNTIFS(tcTipo,AE1827,tcLiq,"Sí")&gt;0),S1827,0))</f>
        <v/>
      </c>
      <c r="AI1827" s="52">
        <f>IF(OR(L1827="",P1827=""),"",IF(COUNTIFS(L$6:L1827,L1827,P$6:P1827,"?*")=1,MAX(AI$5:AI1826)+1,""))</f>
        <v/>
      </c>
    </row>
    <row r="1828">
      <c r="B1828" s="47" t="n"/>
      <c r="C1828" s="48" t="n"/>
      <c r="D1828" s="48" t="n"/>
      <c r="E1828" s="48" t="n"/>
      <c r="F1828" s="48" t="n"/>
      <c r="G1828" s="49" t="n"/>
      <c r="H1828" s="48" t="n"/>
      <c r="I1828" s="50" t="n"/>
      <c r="J1828" s="48" t="n"/>
      <c r="K1828" s="48" t="n"/>
      <c r="L1828" s="48" t="n"/>
      <c r="M1828" s="48" t="n"/>
      <c r="N1828" s="48" t="n"/>
      <c r="O1828" s="51">
        <f>IF(AND(B1828="",G1828="",C1828="",D1828="",J1828=""),"",IF(B1828="","⚠ Falta fecha",IF(G1828="","⚠ Falta monto",IF(Q1828="","⚠ Falta cuenta",IF(ISNA(MATCH(Q1828,ctaNombre,0)),"⚠ Cuenta no registrada",IF(AND(OR(P1828="Gasto",P1828="Reembolso"),D1828=""),"⚠ Falta categoría",IF(AND(D1828&lt;&gt;"",E1828&lt;&gt;"",ISNA(MATCH(D1828&amp;"|"&amp;E1828,catClave,0))),"⚠ Subcategoría no corresponde",IF(AND(OR(P1828="Transferencia",P1828="Pago tarjeta"),K1828=""),"⚠ Falta cuenta destino",IF(AND(K1828&lt;&gt;"",P1828&lt;&gt;"Transferencia",P1828&lt;&gt;"Pago tarjeta"),"⚠ Destino solo aplica a transferencias",IF(AND(K1828&lt;&gt;"",K1828=Q1828),"⚠ Origen igual a destino",IF(AND(K1828&lt;&gt;"",ISNA(MATCH(K1828,ctaNombre,0))),"⚠ Destino no registrado",IF(AND(P1828="Pago tarjeta",AE1828&lt;&gt;"Tarjeta de crédito"),"⚠ El destino debe ser tarjeta de crédito",IF(AND(P1828="Gasto",E1828="Depósitos y retiros"),"⚠ Usa tipo Transferencia",IF(AND(P1828="Resultado trading",AD1828&lt;&gt;"Cuenta de trading"),"⚠ Usa una cuenta de trading",IF(AND(G1828&lt;=0,P1828&lt;&gt;"Ajuste",P1828&lt;&gt;"Resultado trading"),"⚠ El monto debe ser positivo","✓")))))))))))))))</f>
        <v/>
      </c>
      <c r="P1828" s="52">
        <f>IF(OR(B1828="",G1828=""),"",IF(C1828="","Gasto",C1828))</f>
        <v/>
      </c>
      <c r="Q1828" s="52">
        <f>IF(P1828="","",IF(J1828&lt;&gt;"",J1828,CuentaPred&amp;""))</f>
        <v/>
      </c>
      <c r="R1828" s="52">
        <f>IF(P1828="","",IF(ISNUMBER(I1828),I1828,TasaUSD))</f>
        <v/>
      </c>
      <c r="S1828" s="53">
        <f>IF(P1828="","",IF(H1828="USD",G1828*R1828,G1828))</f>
        <v/>
      </c>
      <c r="T1828" s="53">
        <f>IF(P1828="","",IF(H1828="USD",G1828,IF(R1828&gt;0,G1828/R1828,0)))</f>
        <v/>
      </c>
      <c r="U1828" s="53">
        <f>IF(P1828="","",IF(P1828="Gasto",S1828,IF(P1828="Reembolso",-S1828,0)))</f>
        <v/>
      </c>
      <c r="V1828" s="53">
        <f>IF(P1828="","",IF(P1828="Ingreso",S1828,0))</f>
        <v/>
      </c>
      <c r="W1828" s="53">
        <f>IF(P1828="","",IF(P1828="Resultado trading",S1828,0))</f>
        <v/>
      </c>
      <c r="X1828" s="52">
        <f>IF(OR(P1828="Gasto",P1828="Reembolso"),IF(M1828&lt;&gt;"",M1828,IFERROR(INDEX(catClasif,MATCH(D1828&amp;"|"&amp;E1828,catClave,0))&amp;"","Variable")),"")</f>
        <v/>
      </c>
      <c r="Y1828" s="52">
        <f>IF(P1828="","",IFERROR(INDEX(catGrupo,MATCH(D1828&amp;"|"&amp;E1828,catClave,0))&amp;"",""))</f>
        <v/>
      </c>
      <c r="Z1828" s="52">
        <f>IF(P1828="","",WEEKDAY(B1828,2))</f>
        <v/>
      </c>
      <c r="AA1828" s="52">
        <f>IF(P1828="","",IF(AND(P1828="Gasto",X1828="Variable",D1828&lt;&gt;catTrading,S1828&gt;0,S1828&lt;=Umbral),1,0))</f>
        <v/>
      </c>
      <c r="AB1828" s="52">
        <f>IF(OR(P1828="",Q1828=""),"",IFERROR(IF(INDEX(ctaVinc,MATCH(Q1828,ctaNombre,0))&amp;""&lt;&gt;"",INDEX(ctaVinc,MATCH(Q1828,ctaNombre,0))&amp;"",Q1828),Q1828))</f>
        <v/>
      </c>
      <c r="AC1828" s="52">
        <f>IF(OR(K1828="",AND(P1828&lt;&gt;"Transferencia",P1828&lt;&gt;"Pago tarjeta")),"",IFERROR(IF(INDEX(ctaVinc,MATCH(K1828,ctaNombre,0))&amp;""&lt;&gt;"",INDEX(ctaVinc,MATCH(K1828,ctaNombre,0))&amp;"",K1828),K1828))</f>
        <v/>
      </c>
      <c r="AD1828" s="52">
        <f>IF(AB1828="","",IFERROR(INDEX(ctaTipo,MATCH(AB1828,ctaNombre,0))&amp;"",""))</f>
        <v/>
      </c>
      <c r="AE1828" s="52">
        <f>IF(AC1828="","",IFERROR(INDEX(ctaTipo,MATCH(AC1828,ctaNombre,0))&amp;"",""))</f>
        <v/>
      </c>
      <c r="AF1828" s="53">
        <f>IF(OR(P1828="",AB1828=""),"",IF(OR(P1828="Gasto",P1828="Transferencia",P1828="Pago tarjeta"),-1,1)*IF(IFERROR(INDEX(ctaMoneda,MATCH(AB1828,ctaNombre,0))&amp;"","DOP")="USD",T1828,S1828))</f>
        <v/>
      </c>
      <c r="AG1828" s="53">
        <f>IF(AC1828="","",IF(IFERROR(INDEX(ctaMoneda,MATCH(AC1828,ctaNombre,0))&amp;"","DOP")="USD",T1828,S1828))</f>
        <v/>
      </c>
      <c r="AH1828" s="53">
        <f>IF(P1828="","",IF(AND(AD1828&lt;&gt;"",COUNTIFS(tcTipo,AD1828,tcLiq,"Sí")&gt;0),IF(OR(P1828="Gasto",P1828="Transferencia",P1828="Pago tarjeta"),-1,1)*S1828,0)+IF(AND(AE1828&lt;&gt;"",COUNTIFS(tcTipo,AE1828,tcLiq,"Sí")&gt;0),S1828,0))</f>
        <v/>
      </c>
      <c r="AI1828" s="52">
        <f>IF(OR(L1828="",P1828=""),"",IF(COUNTIFS(L$6:L1828,L1828,P$6:P1828,"?*")=1,MAX(AI$5:AI1827)+1,""))</f>
        <v/>
      </c>
    </row>
    <row r="1829">
      <c r="B1829" s="47" t="n"/>
      <c r="C1829" s="48" t="n"/>
      <c r="D1829" s="48" t="n"/>
      <c r="E1829" s="48" t="n"/>
      <c r="F1829" s="48" t="n"/>
      <c r="G1829" s="49" t="n"/>
      <c r="H1829" s="48" t="n"/>
      <c r="I1829" s="50" t="n"/>
      <c r="J1829" s="48" t="n"/>
      <c r="K1829" s="48" t="n"/>
      <c r="L1829" s="48" t="n"/>
      <c r="M1829" s="48" t="n"/>
      <c r="N1829" s="48" t="n"/>
      <c r="O1829" s="51">
        <f>IF(AND(B1829="",G1829="",C1829="",D1829="",J1829=""),"",IF(B1829="","⚠ Falta fecha",IF(G1829="","⚠ Falta monto",IF(Q1829="","⚠ Falta cuenta",IF(ISNA(MATCH(Q1829,ctaNombre,0)),"⚠ Cuenta no registrada",IF(AND(OR(P1829="Gasto",P1829="Reembolso"),D1829=""),"⚠ Falta categoría",IF(AND(D1829&lt;&gt;"",E1829&lt;&gt;"",ISNA(MATCH(D1829&amp;"|"&amp;E1829,catClave,0))),"⚠ Subcategoría no corresponde",IF(AND(OR(P1829="Transferencia",P1829="Pago tarjeta"),K1829=""),"⚠ Falta cuenta destino",IF(AND(K1829&lt;&gt;"",P1829&lt;&gt;"Transferencia",P1829&lt;&gt;"Pago tarjeta"),"⚠ Destino solo aplica a transferencias",IF(AND(K1829&lt;&gt;"",K1829=Q1829),"⚠ Origen igual a destino",IF(AND(K1829&lt;&gt;"",ISNA(MATCH(K1829,ctaNombre,0))),"⚠ Destino no registrado",IF(AND(P1829="Pago tarjeta",AE1829&lt;&gt;"Tarjeta de crédito"),"⚠ El destino debe ser tarjeta de crédito",IF(AND(P1829="Gasto",E1829="Depósitos y retiros"),"⚠ Usa tipo Transferencia",IF(AND(P1829="Resultado trading",AD1829&lt;&gt;"Cuenta de trading"),"⚠ Usa una cuenta de trading",IF(AND(G1829&lt;=0,P1829&lt;&gt;"Ajuste",P1829&lt;&gt;"Resultado trading"),"⚠ El monto debe ser positivo","✓")))))))))))))))</f>
        <v/>
      </c>
      <c r="P1829" s="52">
        <f>IF(OR(B1829="",G1829=""),"",IF(C1829="","Gasto",C1829))</f>
        <v/>
      </c>
      <c r="Q1829" s="52">
        <f>IF(P1829="","",IF(J1829&lt;&gt;"",J1829,CuentaPred&amp;""))</f>
        <v/>
      </c>
      <c r="R1829" s="52">
        <f>IF(P1829="","",IF(ISNUMBER(I1829),I1829,TasaUSD))</f>
        <v/>
      </c>
      <c r="S1829" s="53">
        <f>IF(P1829="","",IF(H1829="USD",G1829*R1829,G1829))</f>
        <v/>
      </c>
      <c r="T1829" s="53">
        <f>IF(P1829="","",IF(H1829="USD",G1829,IF(R1829&gt;0,G1829/R1829,0)))</f>
        <v/>
      </c>
      <c r="U1829" s="53">
        <f>IF(P1829="","",IF(P1829="Gasto",S1829,IF(P1829="Reembolso",-S1829,0)))</f>
        <v/>
      </c>
      <c r="V1829" s="53">
        <f>IF(P1829="","",IF(P1829="Ingreso",S1829,0))</f>
        <v/>
      </c>
      <c r="W1829" s="53">
        <f>IF(P1829="","",IF(P1829="Resultado trading",S1829,0))</f>
        <v/>
      </c>
      <c r="X1829" s="52">
        <f>IF(OR(P1829="Gasto",P1829="Reembolso"),IF(M1829&lt;&gt;"",M1829,IFERROR(INDEX(catClasif,MATCH(D1829&amp;"|"&amp;E1829,catClave,0))&amp;"","Variable")),"")</f>
        <v/>
      </c>
      <c r="Y1829" s="52">
        <f>IF(P1829="","",IFERROR(INDEX(catGrupo,MATCH(D1829&amp;"|"&amp;E1829,catClave,0))&amp;"",""))</f>
        <v/>
      </c>
      <c r="Z1829" s="52">
        <f>IF(P1829="","",WEEKDAY(B1829,2))</f>
        <v/>
      </c>
      <c r="AA1829" s="52">
        <f>IF(P1829="","",IF(AND(P1829="Gasto",X1829="Variable",D1829&lt;&gt;catTrading,S1829&gt;0,S1829&lt;=Umbral),1,0))</f>
        <v/>
      </c>
      <c r="AB1829" s="52">
        <f>IF(OR(P1829="",Q1829=""),"",IFERROR(IF(INDEX(ctaVinc,MATCH(Q1829,ctaNombre,0))&amp;""&lt;&gt;"",INDEX(ctaVinc,MATCH(Q1829,ctaNombre,0))&amp;"",Q1829),Q1829))</f>
        <v/>
      </c>
      <c r="AC1829" s="52">
        <f>IF(OR(K1829="",AND(P1829&lt;&gt;"Transferencia",P1829&lt;&gt;"Pago tarjeta")),"",IFERROR(IF(INDEX(ctaVinc,MATCH(K1829,ctaNombre,0))&amp;""&lt;&gt;"",INDEX(ctaVinc,MATCH(K1829,ctaNombre,0))&amp;"",K1829),K1829))</f>
        <v/>
      </c>
      <c r="AD1829" s="52">
        <f>IF(AB1829="","",IFERROR(INDEX(ctaTipo,MATCH(AB1829,ctaNombre,0))&amp;"",""))</f>
        <v/>
      </c>
      <c r="AE1829" s="52">
        <f>IF(AC1829="","",IFERROR(INDEX(ctaTipo,MATCH(AC1829,ctaNombre,0))&amp;"",""))</f>
        <v/>
      </c>
      <c r="AF1829" s="53">
        <f>IF(OR(P1829="",AB1829=""),"",IF(OR(P1829="Gasto",P1829="Transferencia",P1829="Pago tarjeta"),-1,1)*IF(IFERROR(INDEX(ctaMoneda,MATCH(AB1829,ctaNombre,0))&amp;"","DOP")="USD",T1829,S1829))</f>
        <v/>
      </c>
      <c r="AG1829" s="53">
        <f>IF(AC1829="","",IF(IFERROR(INDEX(ctaMoneda,MATCH(AC1829,ctaNombre,0))&amp;"","DOP")="USD",T1829,S1829))</f>
        <v/>
      </c>
      <c r="AH1829" s="53">
        <f>IF(P1829="","",IF(AND(AD1829&lt;&gt;"",COUNTIFS(tcTipo,AD1829,tcLiq,"Sí")&gt;0),IF(OR(P1829="Gasto",P1829="Transferencia",P1829="Pago tarjeta"),-1,1)*S1829,0)+IF(AND(AE1829&lt;&gt;"",COUNTIFS(tcTipo,AE1829,tcLiq,"Sí")&gt;0),S1829,0))</f>
        <v/>
      </c>
      <c r="AI1829" s="52">
        <f>IF(OR(L1829="",P1829=""),"",IF(COUNTIFS(L$6:L1829,L1829,P$6:P1829,"?*")=1,MAX(AI$5:AI1828)+1,""))</f>
        <v/>
      </c>
    </row>
    <row r="1830">
      <c r="B1830" s="47" t="n"/>
      <c r="C1830" s="48" t="n"/>
      <c r="D1830" s="48" t="n"/>
      <c r="E1830" s="48" t="n"/>
      <c r="F1830" s="48" t="n"/>
      <c r="G1830" s="49" t="n"/>
      <c r="H1830" s="48" t="n"/>
      <c r="I1830" s="50" t="n"/>
      <c r="J1830" s="48" t="n"/>
      <c r="K1830" s="48" t="n"/>
      <c r="L1830" s="48" t="n"/>
      <c r="M1830" s="48" t="n"/>
      <c r="N1830" s="48" t="n"/>
      <c r="O1830" s="51">
        <f>IF(AND(B1830="",G1830="",C1830="",D1830="",J1830=""),"",IF(B1830="","⚠ Falta fecha",IF(G1830="","⚠ Falta monto",IF(Q1830="","⚠ Falta cuenta",IF(ISNA(MATCH(Q1830,ctaNombre,0)),"⚠ Cuenta no registrada",IF(AND(OR(P1830="Gasto",P1830="Reembolso"),D1830=""),"⚠ Falta categoría",IF(AND(D1830&lt;&gt;"",E1830&lt;&gt;"",ISNA(MATCH(D1830&amp;"|"&amp;E1830,catClave,0))),"⚠ Subcategoría no corresponde",IF(AND(OR(P1830="Transferencia",P1830="Pago tarjeta"),K1830=""),"⚠ Falta cuenta destino",IF(AND(K1830&lt;&gt;"",P1830&lt;&gt;"Transferencia",P1830&lt;&gt;"Pago tarjeta"),"⚠ Destino solo aplica a transferencias",IF(AND(K1830&lt;&gt;"",K1830=Q1830),"⚠ Origen igual a destino",IF(AND(K1830&lt;&gt;"",ISNA(MATCH(K1830,ctaNombre,0))),"⚠ Destino no registrado",IF(AND(P1830="Pago tarjeta",AE1830&lt;&gt;"Tarjeta de crédito"),"⚠ El destino debe ser tarjeta de crédito",IF(AND(P1830="Gasto",E1830="Depósitos y retiros"),"⚠ Usa tipo Transferencia",IF(AND(P1830="Resultado trading",AD1830&lt;&gt;"Cuenta de trading"),"⚠ Usa una cuenta de trading",IF(AND(G1830&lt;=0,P1830&lt;&gt;"Ajuste",P1830&lt;&gt;"Resultado trading"),"⚠ El monto debe ser positivo","✓")))))))))))))))</f>
        <v/>
      </c>
      <c r="P1830" s="52">
        <f>IF(OR(B1830="",G1830=""),"",IF(C1830="","Gasto",C1830))</f>
        <v/>
      </c>
      <c r="Q1830" s="52">
        <f>IF(P1830="","",IF(J1830&lt;&gt;"",J1830,CuentaPred&amp;""))</f>
        <v/>
      </c>
      <c r="R1830" s="52">
        <f>IF(P1830="","",IF(ISNUMBER(I1830),I1830,TasaUSD))</f>
        <v/>
      </c>
      <c r="S1830" s="53">
        <f>IF(P1830="","",IF(H1830="USD",G1830*R1830,G1830))</f>
        <v/>
      </c>
      <c r="T1830" s="53">
        <f>IF(P1830="","",IF(H1830="USD",G1830,IF(R1830&gt;0,G1830/R1830,0)))</f>
        <v/>
      </c>
      <c r="U1830" s="53">
        <f>IF(P1830="","",IF(P1830="Gasto",S1830,IF(P1830="Reembolso",-S1830,0)))</f>
        <v/>
      </c>
      <c r="V1830" s="53">
        <f>IF(P1830="","",IF(P1830="Ingreso",S1830,0))</f>
        <v/>
      </c>
      <c r="W1830" s="53">
        <f>IF(P1830="","",IF(P1830="Resultado trading",S1830,0))</f>
        <v/>
      </c>
      <c r="X1830" s="52">
        <f>IF(OR(P1830="Gasto",P1830="Reembolso"),IF(M1830&lt;&gt;"",M1830,IFERROR(INDEX(catClasif,MATCH(D1830&amp;"|"&amp;E1830,catClave,0))&amp;"","Variable")),"")</f>
        <v/>
      </c>
      <c r="Y1830" s="52">
        <f>IF(P1830="","",IFERROR(INDEX(catGrupo,MATCH(D1830&amp;"|"&amp;E1830,catClave,0))&amp;"",""))</f>
        <v/>
      </c>
      <c r="Z1830" s="52">
        <f>IF(P1830="","",WEEKDAY(B1830,2))</f>
        <v/>
      </c>
      <c r="AA1830" s="52">
        <f>IF(P1830="","",IF(AND(P1830="Gasto",X1830="Variable",D1830&lt;&gt;catTrading,S1830&gt;0,S1830&lt;=Umbral),1,0))</f>
        <v/>
      </c>
      <c r="AB1830" s="52">
        <f>IF(OR(P1830="",Q1830=""),"",IFERROR(IF(INDEX(ctaVinc,MATCH(Q1830,ctaNombre,0))&amp;""&lt;&gt;"",INDEX(ctaVinc,MATCH(Q1830,ctaNombre,0))&amp;"",Q1830),Q1830))</f>
        <v/>
      </c>
      <c r="AC1830" s="52">
        <f>IF(OR(K1830="",AND(P1830&lt;&gt;"Transferencia",P1830&lt;&gt;"Pago tarjeta")),"",IFERROR(IF(INDEX(ctaVinc,MATCH(K1830,ctaNombre,0))&amp;""&lt;&gt;"",INDEX(ctaVinc,MATCH(K1830,ctaNombre,0))&amp;"",K1830),K1830))</f>
        <v/>
      </c>
      <c r="AD1830" s="52">
        <f>IF(AB1830="","",IFERROR(INDEX(ctaTipo,MATCH(AB1830,ctaNombre,0))&amp;"",""))</f>
        <v/>
      </c>
      <c r="AE1830" s="52">
        <f>IF(AC1830="","",IFERROR(INDEX(ctaTipo,MATCH(AC1830,ctaNombre,0))&amp;"",""))</f>
        <v/>
      </c>
      <c r="AF1830" s="53">
        <f>IF(OR(P1830="",AB1830=""),"",IF(OR(P1830="Gasto",P1830="Transferencia",P1830="Pago tarjeta"),-1,1)*IF(IFERROR(INDEX(ctaMoneda,MATCH(AB1830,ctaNombre,0))&amp;"","DOP")="USD",T1830,S1830))</f>
        <v/>
      </c>
      <c r="AG1830" s="53">
        <f>IF(AC1830="","",IF(IFERROR(INDEX(ctaMoneda,MATCH(AC1830,ctaNombre,0))&amp;"","DOP")="USD",T1830,S1830))</f>
        <v/>
      </c>
      <c r="AH1830" s="53">
        <f>IF(P1830="","",IF(AND(AD1830&lt;&gt;"",COUNTIFS(tcTipo,AD1830,tcLiq,"Sí")&gt;0),IF(OR(P1830="Gasto",P1830="Transferencia",P1830="Pago tarjeta"),-1,1)*S1830,0)+IF(AND(AE1830&lt;&gt;"",COUNTIFS(tcTipo,AE1830,tcLiq,"Sí")&gt;0),S1830,0))</f>
        <v/>
      </c>
      <c r="AI1830" s="52">
        <f>IF(OR(L1830="",P1830=""),"",IF(COUNTIFS(L$6:L1830,L1830,P$6:P1830,"?*")=1,MAX(AI$5:AI1829)+1,""))</f>
        <v/>
      </c>
    </row>
    <row r="1831">
      <c r="B1831" s="47" t="n"/>
      <c r="C1831" s="48" t="n"/>
      <c r="D1831" s="48" t="n"/>
      <c r="E1831" s="48" t="n"/>
      <c r="F1831" s="48" t="n"/>
      <c r="G1831" s="49" t="n"/>
      <c r="H1831" s="48" t="n"/>
      <c r="I1831" s="50" t="n"/>
      <c r="J1831" s="48" t="n"/>
      <c r="K1831" s="48" t="n"/>
      <c r="L1831" s="48" t="n"/>
      <c r="M1831" s="48" t="n"/>
      <c r="N1831" s="48" t="n"/>
      <c r="O1831" s="51">
        <f>IF(AND(B1831="",G1831="",C1831="",D1831="",J1831=""),"",IF(B1831="","⚠ Falta fecha",IF(G1831="","⚠ Falta monto",IF(Q1831="","⚠ Falta cuenta",IF(ISNA(MATCH(Q1831,ctaNombre,0)),"⚠ Cuenta no registrada",IF(AND(OR(P1831="Gasto",P1831="Reembolso"),D1831=""),"⚠ Falta categoría",IF(AND(D1831&lt;&gt;"",E1831&lt;&gt;"",ISNA(MATCH(D1831&amp;"|"&amp;E1831,catClave,0))),"⚠ Subcategoría no corresponde",IF(AND(OR(P1831="Transferencia",P1831="Pago tarjeta"),K1831=""),"⚠ Falta cuenta destino",IF(AND(K1831&lt;&gt;"",P1831&lt;&gt;"Transferencia",P1831&lt;&gt;"Pago tarjeta"),"⚠ Destino solo aplica a transferencias",IF(AND(K1831&lt;&gt;"",K1831=Q1831),"⚠ Origen igual a destino",IF(AND(K1831&lt;&gt;"",ISNA(MATCH(K1831,ctaNombre,0))),"⚠ Destino no registrado",IF(AND(P1831="Pago tarjeta",AE1831&lt;&gt;"Tarjeta de crédito"),"⚠ El destino debe ser tarjeta de crédito",IF(AND(P1831="Gasto",E1831="Depósitos y retiros"),"⚠ Usa tipo Transferencia",IF(AND(P1831="Resultado trading",AD1831&lt;&gt;"Cuenta de trading"),"⚠ Usa una cuenta de trading",IF(AND(G1831&lt;=0,P1831&lt;&gt;"Ajuste",P1831&lt;&gt;"Resultado trading"),"⚠ El monto debe ser positivo","✓")))))))))))))))</f>
        <v/>
      </c>
      <c r="P1831" s="52">
        <f>IF(OR(B1831="",G1831=""),"",IF(C1831="","Gasto",C1831))</f>
        <v/>
      </c>
      <c r="Q1831" s="52">
        <f>IF(P1831="","",IF(J1831&lt;&gt;"",J1831,CuentaPred&amp;""))</f>
        <v/>
      </c>
      <c r="R1831" s="52">
        <f>IF(P1831="","",IF(ISNUMBER(I1831),I1831,TasaUSD))</f>
        <v/>
      </c>
      <c r="S1831" s="53">
        <f>IF(P1831="","",IF(H1831="USD",G1831*R1831,G1831))</f>
        <v/>
      </c>
      <c r="T1831" s="53">
        <f>IF(P1831="","",IF(H1831="USD",G1831,IF(R1831&gt;0,G1831/R1831,0)))</f>
        <v/>
      </c>
      <c r="U1831" s="53">
        <f>IF(P1831="","",IF(P1831="Gasto",S1831,IF(P1831="Reembolso",-S1831,0)))</f>
        <v/>
      </c>
      <c r="V1831" s="53">
        <f>IF(P1831="","",IF(P1831="Ingreso",S1831,0))</f>
        <v/>
      </c>
      <c r="W1831" s="53">
        <f>IF(P1831="","",IF(P1831="Resultado trading",S1831,0))</f>
        <v/>
      </c>
      <c r="X1831" s="52">
        <f>IF(OR(P1831="Gasto",P1831="Reembolso"),IF(M1831&lt;&gt;"",M1831,IFERROR(INDEX(catClasif,MATCH(D1831&amp;"|"&amp;E1831,catClave,0))&amp;"","Variable")),"")</f>
        <v/>
      </c>
      <c r="Y1831" s="52">
        <f>IF(P1831="","",IFERROR(INDEX(catGrupo,MATCH(D1831&amp;"|"&amp;E1831,catClave,0))&amp;"",""))</f>
        <v/>
      </c>
      <c r="Z1831" s="52">
        <f>IF(P1831="","",WEEKDAY(B1831,2))</f>
        <v/>
      </c>
      <c r="AA1831" s="52">
        <f>IF(P1831="","",IF(AND(P1831="Gasto",X1831="Variable",D1831&lt;&gt;catTrading,S1831&gt;0,S1831&lt;=Umbral),1,0))</f>
        <v/>
      </c>
      <c r="AB1831" s="52">
        <f>IF(OR(P1831="",Q1831=""),"",IFERROR(IF(INDEX(ctaVinc,MATCH(Q1831,ctaNombre,0))&amp;""&lt;&gt;"",INDEX(ctaVinc,MATCH(Q1831,ctaNombre,0))&amp;"",Q1831),Q1831))</f>
        <v/>
      </c>
      <c r="AC1831" s="52">
        <f>IF(OR(K1831="",AND(P1831&lt;&gt;"Transferencia",P1831&lt;&gt;"Pago tarjeta")),"",IFERROR(IF(INDEX(ctaVinc,MATCH(K1831,ctaNombre,0))&amp;""&lt;&gt;"",INDEX(ctaVinc,MATCH(K1831,ctaNombre,0))&amp;"",K1831),K1831))</f>
        <v/>
      </c>
      <c r="AD1831" s="52">
        <f>IF(AB1831="","",IFERROR(INDEX(ctaTipo,MATCH(AB1831,ctaNombre,0))&amp;"",""))</f>
        <v/>
      </c>
      <c r="AE1831" s="52">
        <f>IF(AC1831="","",IFERROR(INDEX(ctaTipo,MATCH(AC1831,ctaNombre,0))&amp;"",""))</f>
        <v/>
      </c>
      <c r="AF1831" s="53">
        <f>IF(OR(P1831="",AB1831=""),"",IF(OR(P1831="Gasto",P1831="Transferencia",P1831="Pago tarjeta"),-1,1)*IF(IFERROR(INDEX(ctaMoneda,MATCH(AB1831,ctaNombre,0))&amp;"","DOP")="USD",T1831,S1831))</f>
        <v/>
      </c>
      <c r="AG1831" s="53">
        <f>IF(AC1831="","",IF(IFERROR(INDEX(ctaMoneda,MATCH(AC1831,ctaNombre,0))&amp;"","DOP")="USD",T1831,S1831))</f>
        <v/>
      </c>
      <c r="AH1831" s="53">
        <f>IF(P1831="","",IF(AND(AD1831&lt;&gt;"",COUNTIFS(tcTipo,AD1831,tcLiq,"Sí")&gt;0),IF(OR(P1831="Gasto",P1831="Transferencia",P1831="Pago tarjeta"),-1,1)*S1831,0)+IF(AND(AE1831&lt;&gt;"",COUNTIFS(tcTipo,AE1831,tcLiq,"Sí")&gt;0),S1831,0))</f>
        <v/>
      </c>
      <c r="AI1831" s="52">
        <f>IF(OR(L1831="",P1831=""),"",IF(COUNTIFS(L$6:L1831,L1831,P$6:P1831,"?*")=1,MAX(AI$5:AI1830)+1,""))</f>
        <v/>
      </c>
    </row>
    <row r="1832">
      <c r="B1832" s="47" t="n"/>
      <c r="C1832" s="48" t="n"/>
      <c r="D1832" s="48" t="n"/>
      <c r="E1832" s="48" t="n"/>
      <c r="F1832" s="48" t="n"/>
      <c r="G1832" s="49" t="n"/>
      <c r="H1832" s="48" t="n"/>
      <c r="I1832" s="50" t="n"/>
      <c r="J1832" s="48" t="n"/>
      <c r="K1832" s="48" t="n"/>
      <c r="L1832" s="48" t="n"/>
      <c r="M1832" s="48" t="n"/>
      <c r="N1832" s="48" t="n"/>
      <c r="O1832" s="51">
        <f>IF(AND(B1832="",G1832="",C1832="",D1832="",J1832=""),"",IF(B1832="","⚠ Falta fecha",IF(G1832="","⚠ Falta monto",IF(Q1832="","⚠ Falta cuenta",IF(ISNA(MATCH(Q1832,ctaNombre,0)),"⚠ Cuenta no registrada",IF(AND(OR(P1832="Gasto",P1832="Reembolso"),D1832=""),"⚠ Falta categoría",IF(AND(D1832&lt;&gt;"",E1832&lt;&gt;"",ISNA(MATCH(D1832&amp;"|"&amp;E1832,catClave,0))),"⚠ Subcategoría no corresponde",IF(AND(OR(P1832="Transferencia",P1832="Pago tarjeta"),K1832=""),"⚠ Falta cuenta destino",IF(AND(K1832&lt;&gt;"",P1832&lt;&gt;"Transferencia",P1832&lt;&gt;"Pago tarjeta"),"⚠ Destino solo aplica a transferencias",IF(AND(K1832&lt;&gt;"",K1832=Q1832),"⚠ Origen igual a destino",IF(AND(K1832&lt;&gt;"",ISNA(MATCH(K1832,ctaNombre,0))),"⚠ Destino no registrado",IF(AND(P1832="Pago tarjeta",AE1832&lt;&gt;"Tarjeta de crédito"),"⚠ El destino debe ser tarjeta de crédito",IF(AND(P1832="Gasto",E1832="Depósitos y retiros"),"⚠ Usa tipo Transferencia",IF(AND(P1832="Resultado trading",AD1832&lt;&gt;"Cuenta de trading"),"⚠ Usa una cuenta de trading",IF(AND(G1832&lt;=0,P1832&lt;&gt;"Ajuste",P1832&lt;&gt;"Resultado trading"),"⚠ El monto debe ser positivo","✓")))))))))))))))</f>
        <v/>
      </c>
      <c r="P1832" s="52">
        <f>IF(OR(B1832="",G1832=""),"",IF(C1832="","Gasto",C1832))</f>
        <v/>
      </c>
      <c r="Q1832" s="52">
        <f>IF(P1832="","",IF(J1832&lt;&gt;"",J1832,CuentaPred&amp;""))</f>
        <v/>
      </c>
      <c r="R1832" s="52">
        <f>IF(P1832="","",IF(ISNUMBER(I1832),I1832,TasaUSD))</f>
        <v/>
      </c>
      <c r="S1832" s="53">
        <f>IF(P1832="","",IF(H1832="USD",G1832*R1832,G1832))</f>
        <v/>
      </c>
      <c r="T1832" s="53">
        <f>IF(P1832="","",IF(H1832="USD",G1832,IF(R1832&gt;0,G1832/R1832,0)))</f>
        <v/>
      </c>
      <c r="U1832" s="53">
        <f>IF(P1832="","",IF(P1832="Gasto",S1832,IF(P1832="Reembolso",-S1832,0)))</f>
        <v/>
      </c>
      <c r="V1832" s="53">
        <f>IF(P1832="","",IF(P1832="Ingreso",S1832,0))</f>
        <v/>
      </c>
      <c r="W1832" s="53">
        <f>IF(P1832="","",IF(P1832="Resultado trading",S1832,0))</f>
        <v/>
      </c>
      <c r="X1832" s="52">
        <f>IF(OR(P1832="Gasto",P1832="Reembolso"),IF(M1832&lt;&gt;"",M1832,IFERROR(INDEX(catClasif,MATCH(D1832&amp;"|"&amp;E1832,catClave,0))&amp;"","Variable")),"")</f>
        <v/>
      </c>
      <c r="Y1832" s="52">
        <f>IF(P1832="","",IFERROR(INDEX(catGrupo,MATCH(D1832&amp;"|"&amp;E1832,catClave,0))&amp;"",""))</f>
        <v/>
      </c>
      <c r="Z1832" s="52">
        <f>IF(P1832="","",WEEKDAY(B1832,2))</f>
        <v/>
      </c>
      <c r="AA1832" s="52">
        <f>IF(P1832="","",IF(AND(P1832="Gasto",X1832="Variable",D1832&lt;&gt;catTrading,S1832&gt;0,S1832&lt;=Umbral),1,0))</f>
        <v/>
      </c>
      <c r="AB1832" s="52">
        <f>IF(OR(P1832="",Q1832=""),"",IFERROR(IF(INDEX(ctaVinc,MATCH(Q1832,ctaNombre,0))&amp;""&lt;&gt;"",INDEX(ctaVinc,MATCH(Q1832,ctaNombre,0))&amp;"",Q1832),Q1832))</f>
        <v/>
      </c>
      <c r="AC1832" s="52">
        <f>IF(OR(K1832="",AND(P1832&lt;&gt;"Transferencia",P1832&lt;&gt;"Pago tarjeta")),"",IFERROR(IF(INDEX(ctaVinc,MATCH(K1832,ctaNombre,0))&amp;""&lt;&gt;"",INDEX(ctaVinc,MATCH(K1832,ctaNombre,0))&amp;"",K1832),K1832))</f>
        <v/>
      </c>
      <c r="AD1832" s="52">
        <f>IF(AB1832="","",IFERROR(INDEX(ctaTipo,MATCH(AB1832,ctaNombre,0))&amp;"",""))</f>
        <v/>
      </c>
      <c r="AE1832" s="52">
        <f>IF(AC1832="","",IFERROR(INDEX(ctaTipo,MATCH(AC1832,ctaNombre,0))&amp;"",""))</f>
        <v/>
      </c>
      <c r="AF1832" s="53">
        <f>IF(OR(P1832="",AB1832=""),"",IF(OR(P1832="Gasto",P1832="Transferencia",P1832="Pago tarjeta"),-1,1)*IF(IFERROR(INDEX(ctaMoneda,MATCH(AB1832,ctaNombre,0))&amp;"","DOP")="USD",T1832,S1832))</f>
        <v/>
      </c>
      <c r="AG1832" s="53">
        <f>IF(AC1832="","",IF(IFERROR(INDEX(ctaMoneda,MATCH(AC1832,ctaNombre,0))&amp;"","DOP")="USD",T1832,S1832))</f>
        <v/>
      </c>
      <c r="AH1832" s="53">
        <f>IF(P1832="","",IF(AND(AD1832&lt;&gt;"",COUNTIFS(tcTipo,AD1832,tcLiq,"Sí")&gt;0),IF(OR(P1832="Gasto",P1832="Transferencia",P1832="Pago tarjeta"),-1,1)*S1832,0)+IF(AND(AE1832&lt;&gt;"",COUNTIFS(tcTipo,AE1832,tcLiq,"Sí")&gt;0),S1832,0))</f>
        <v/>
      </c>
      <c r="AI1832" s="52">
        <f>IF(OR(L1832="",P1832=""),"",IF(COUNTIFS(L$6:L1832,L1832,P$6:P1832,"?*")=1,MAX(AI$5:AI1831)+1,""))</f>
        <v/>
      </c>
    </row>
    <row r="1833">
      <c r="B1833" s="47" t="n"/>
      <c r="C1833" s="48" t="n"/>
      <c r="D1833" s="48" t="n"/>
      <c r="E1833" s="48" t="n"/>
      <c r="F1833" s="48" t="n"/>
      <c r="G1833" s="49" t="n"/>
      <c r="H1833" s="48" t="n"/>
      <c r="I1833" s="50" t="n"/>
      <c r="J1833" s="48" t="n"/>
      <c r="K1833" s="48" t="n"/>
      <c r="L1833" s="48" t="n"/>
      <c r="M1833" s="48" t="n"/>
      <c r="N1833" s="48" t="n"/>
      <c r="O1833" s="51">
        <f>IF(AND(B1833="",G1833="",C1833="",D1833="",J1833=""),"",IF(B1833="","⚠ Falta fecha",IF(G1833="","⚠ Falta monto",IF(Q1833="","⚠ Falta cuenta",IF(ISNA(MATCH(Q1833,ctaNombre,0)),"⚠ Cuenta no registrada",IF(AND(OR(P1833="Gasto",P1833="Reembolso"),D1833=""),"⚠ Falta categoría",IF(AND(D1833&lt;&gt;"",E1833&lt;&gt;"",ISNA(MATCH(D1833&amp;"|"&amp;E1833,catClave,0))),"⚠ Subcategoría no corresponde",IF(AND(OR(P1833="Transferencia",P1833="Pago tarjeta"),K1833=""),"⚠ Falta cuenta destino",IF(AND(K1833&lt;&gt;"",P1833&lt;&gt;"Transferencia",P1833&lt;&gt;"Pago tarjeta"),"⚠ Destino solo aplica a transferencias",IF(AND(K1833&lt;&gt;"",K1833=Q1833),"⚠ Origen igual a destino",IF(AND(K1833&lt;&gt;"",ISNA(MATCH(K1833,ctaNombre,0))),"⚠ Destino no registrado",IF(AND(P1833="Pago tarjeta",AE1833&lt;&gt;"Tarjeta de crédito"),"⚠ El destino debe ser tarjeta de crédito",IF(AND(P1833="Gasto",E1833="Depósitos y retiros"),"⚠ Usa tipo Transferencia",IF(AND(P1833="Resultado trading",AD1833&lt;&gt;"Cuenta de trading"),"⚠ Usa una cuenta de trading",IF(AND(G1833&lt;=0,P1833&lt;&gt;"Ajuste",P1833&lt;&gt;"Resultado trading"),"⚠ El monto debe ser positivo","✓")))))))))))))))</f>
        <v/>
      </c>
      <c r="P1833" s="52">
        <f>IF(OR(B1833="",G1833=""),"",IF(C1833="","Gasto",C1833))</f>
        <v/>
      </c>
      <c r="Q1833" s="52">
        <f>IF(P1833="","",IF(J1833&lt;&gt;"",J1833,CuentaPred&amp;""))</f>
        <v/>
      </c>
      <c r="R1833" s="52">
        <f>IF(P1833="","",IF(ISNUMBER(I1833),I1833,TasaUSD))</f>
        <v/>
      </c>
      <c r="S1833" s="53">
        <f>IF(P1833="","",IF(H1833="USD",G1833*R1833,G1833))</f>
        <v/>
      </c>
      <c r="T1833" s="53">
        <f>IF(P1833="","",IF(H1833="USD",G1833,IF(R1833&gt;0,G1833/R1833,0)))</f>
        <v/>
      </c>
      <c r="U1833" s="53">
        <f>IF(P1833="","",IF(P1833="Gasto",S1833,IF(P1833="Reembolso",-S1833,0)))</f>
        <v/>
      </c>
      <c r="V1833" s="53">
        <f>IF(P1833="","",IF(P1833="Ingreso",S1833,0))</f>
        <v/>
      </c>
      <c r="W1833" s="53">
        <f>IF(P1833="","",IF(P1833="Resultado trading",S1833,0))</f>
        <v/>
      </c>
      <c r="X1833" s="52">
        <f>IF(OR(P1833="Gasto",P1833="Reembolso"),IF(M1833&lt;&gt;"",M1833,IFERROR(INDEX(catClasif,MATCH(D1833&amp;"|"&amp;E1833,catClave,0))&amp;"","Variable")),"")</f>
        <v/>
      </c>
      <c r="Y1833" s="52">
        <f>IF(P1833="","",IFERROR(INDEX(catGrupo,MATCH(D1833&amp;"|"&amp;E1833,catClave,0))&amp;"",""))</f>
        <v/>
      </c>
      <c r="Z1833" s="52">
        <f>IF(P1833="","",WEEKDAY(B1833,2))</f>
        <v/>
      </c>
      <c r="AA1833" s="52">
        <f>IF(P1833="","",IF(AND(P1833="Gasto",X1833="Variable",D1833&lt;&gt;catTrading,S1833&gt;0,S1833&lt;=Umbral),1,0))</f>
        <v/>
      </c>
      <c r="AB1833" s="52">
        <f>IF(OR(P1833="",Q1833=""),"",IFERROR(IF(INDEX(ctaVinc,MATCH(Q1833,ctaNombre,0))&amp;""&lt;&gt;"",INDEX(ctaVinc,MATCH(Q1833,ctaNombre,0))&amp;"",Q1833),Q1833))</f>
        <v/>
      </c>
      <c r="AC1833" s="52">
        <f>IF(OR(K1833="",AND(P1833&lt;&gt;"Transferencia",P1833&lt;&gt;"Pago tarjeta")),"",IFERROR(IF(INDEX(ctaVinc,MATCH(K1833,ctaNombre,0))&amp;""&lt;&gt;"",INDEX(ctaVinc,MATCH(K1833,ctaNombre,0))&amp;"",K1833),K1833))</f>
        <v/>
      </c>
      <c r="AD1833" s="52">
        <f>IF(AB1833="","",IFERROR(INDEX(ctaTipo,MATCH(AB1833,ctaNombre,0))&amp;"",""))</f>
        <v/>
      </c>
      <c r="AE1833" s="52">
        <f>IF(AC1833="","",IFERROR(INDEX(ctaTipo,MATCH(AC1833,ctaNombre,0))&amp;"",""))</f>
        <v/>
      </c>
      <c r="AF1833" s="53">
        <f>IF(OR(P1833="",AB1833=""),"",IF(OR(P1833="Gasto",P1833="Transferencia",P1833="Pago tarjeta"),-1,1)*IF(IFERROR(INDEX(ctaMoneda,MATCH(AB1833,ctaNombre,0))&amp;"","DOP")="USD",T1833,S1833))</f>
        <v/>
      </c>
      <c r="AG1833" s="53">
        <f>IF(AC1833="","",IF(IFERROR(INDEX(ctaMoneda,MATCH(AC1833,ctaNombre,0))&amp;"","DOP")="USD",T1833,S1833))</f>
        <v/>
      </c>
      <c r="AH1833" s="53">
        <f>IF(P1833="","",IF(AND(AD1833&lt;&gt;"",COUNTIFS(tcTipo,AD1833,tcLiq,"Sí")&gt;0),IF(OR(P1833="Gasto",P1833="Transferencia",P1833="Pago tarjeta"),-1,1)*S1833,0)+IF(AND(AE1833&lt;&gt;"",COUNTIFS(tcTipo,AE1833,tcLiq,"Sí")&gt;0),S1833,0))</f>
        <v/>
      </c>
      <c r="AI1833" s="52">
        <f>IF(OR(L1833="",P1833=""),"",IF(COUNTIFS(L$6:L1833,L1833,P$6:P1833,"?*")=1,MAX(AI$5:AI1832)+1,""))</f>
        <v/>
      </c>
    </row>
    <row r="1834">
      <c r="B1834" s="47" t="n"/>
      <c r="C1834" s="48" t="n"/>
      <c r="D1834" s="48" t="n"/>
      <c r="E1834" s="48" t="n"/>
      <c r="F1834" s="48" t="n"/>
      <c r="G1834" s="49" t="n"/>
      <c r="H1834" s="48" t="n"/>
      <c r="I1834" s="50" t="n"/>
      <c r="J1834" s="48" t="n"/>
      <c r="K1834" s="48" t="n"/>
      <c r="L1834" s="48" t="n"/>
      <c r="M1834" s="48" t="n"/>
      <c r="N1834" s="48" t="n"/>
      <c r="O1834" s="51">
        <f>IF(AND(B1834="",G1834="",C1834="",D1834="",J1834=""),"",IF(B1834="","⚠ Falta fecha",IF(G1834="","⚠ Falta monto",IF(Q1834="","⚠ Falta cuenta",IF(ISNA(MATCH(Q1834,ctaNombre,0)),"⚠ Cuenta no registrada",IF(AND(OR(P1834="Gasto",P1834="Reembolso"),D1834=""),"⚠ Falta categoría",IF(AND(D1834&lt;&gt;"",E1834&lt;&gt;"",ISNA(MATCH(D1834&amp;"|"&amp;E1834,catClave,0))),"⚠ Subcategoría no corresponde",IF(AND(OR(P1834="Transferencia",P1834="Pago tarjeta"),K1834=""),"⚠ Falta cuenta destino",IF(AND(K1834&lt;&gt;"",P1834&lt;&gt;"Transferencia",P1834&lt;&gt;"Pago tarjeta"),"⚠ Destino solo aplica a transferencias",IF(AND(K1834&lt;&gt;"",K1834=Q1834),"⚠ Origen igual a destino",IF(AND(K1834&lt;&gt;"",ISNA(MATCH(K1834,ctaNombre,0))),"⚠ Destino no registrado",IF(AND(P1834="Pago tarjeta",AE1834&lt;&gt;"Tarjeta de crédito"),"⚠ El destino debe ser tarjeta de crédito",IF(AND(P1834="Gasto",E1834="Depósitos y retiros"),"⚠ Usa tipo Transferencia",IF(AND(P1834="Resultado trading",AD1834&lt;&gt;"Cuenta de trading"),"⚠ Usa una cuenta de trading",IF(AND(G1834&lt;=0,P1834&lt;&gt;"Ajuste",P1834&lt;&gt;"Resultado trading"),"⚠ El monto debe ser positivo","✓")))))))))))))))</f>
        <v/>
      </c>
      <c r="P1834" s="52">
        <f>IF(OR(B1834="",G1834=""),"",IF(C1834="","Gasto",C1834))</f>
        <v/>
      </c>
      <c r="Q1834" s="52">
        <f>IF(P1834="","",IF(J1834&lt;&gt;"",J1834,CuentaPred&amp;""))</f>
        <v/>
      </c>
      <c r="R1834" s="52">
        <f>IF(P1834="","",IF(ISNUMBER(I1834),I1834,TasaUSD))</f>
        <v/>
      </c>
      <c r="S1834" s="53">
        <f>IF(P1834="","",IF(H1834="USD",G1834*R1834,G1834))</f>
        <v/>
      </c>
      <c r="T1834" s="53">
        <f>IF(P1834="","",IF(H1834="USD",G1834,IF(R1834&gt;0,G1834/R1834,0)))</f>
        <v/>
      </c>
      <c r="U1834" s="53">
        <f>IF(P1834="","",IF(P1834="Gasto",S1834,IF(P1834="Reembolso",-S1834,0)))</f>
        <v/>
      </c>
      <c r="V1834" s="53">
        <f>IF(P1834="","",IF(P1834="Ingreso",S1834,0))</f>
        <v/>
      </c>
      <c r="W1834" s="53">
        <f>IF(P1834="","",IF(P1834="Resultado trading",S1834,0))</f>
        <v/>
      </c>
      <c r="X1834" s="52">
        <f>IF(OR(P1834="Gasto",P1834="Reembolso"),IF(M1834&lt;&gt;"",M1834,IFERROR(INDEX(catClasif,MATCH(D1834&amp;"|"&amp;E1834,catClave,0))&amp;"","Variable")),"")</f>
        <v/>
      </c>
      <c r="Y1834" s="52">
        <f>IF(P1834="","",IFERROR(INDEX(catGrupo,MATCH(D1834&amp;"|"&amp;E1834,catClave,0))&amp;"",""))</f>
        <v/>
      </c>
      <c r="Z1834" s="52">
        <f>IF(P1834="","",WEEKDAY(B1834,2))</f>
        <v/>
      </c>
      <c r="AA1834" s="52">
        <f>IF(P1834="","",IF(AND(P1834="Gasto",X1834="Variable",D1834&lt;&gt;catTrading,S1834&gt;0,S1834&lt;=Umbral),1,0))</f>
        <v/>
      </c>
      <c r="AB1834" s="52">
        <f>IF(OR(P1834="",Q1834=""),"",IFERROR(IF(INDEX(ctaVinc,MATCH(Q1834,ctaNombre,0))&amp;""&lt;&gt;"",INDEX(ctaVinc,MATCH(Q1834,ctaNombre,0))&amp;"",Q1834),Q1834))</f>
        <v/>
      </c>
      <c r="AC1834" s="52">
        <f>IF(OR(K1834="",AND(P1834&lt;&gt;"Transferencia",P1834&lt;&gt;"Pago tarjeta")),"",IFERROR(IF(INDEX(ctaVinc,MATCH(K1834,ctaNombre,0))&amp;""&lt;&gt;"",INDEX(ctaVinc,MATCH(K1834,ctaNombre,0))&amp;"",K1834),K1834))</f>
        <v/>
      </c>
      <c r="AD1834" s="52">
        <f>IF(AB1834="","",IFERROR(INDEX(ctaTipo,MATCH(AB1834,ctaNombre,0))&amp;"",""))</f>
        <v/>
      </c>
      <c r="AE1834" s="52">
        <f>IF(AC1834="","",IFERROR(INDEX(ctaTipo,MATCH(AC1834,ctaNombre,0))&amp;"",""))</f>
        <v/>
      </c>
      <c r="AF1834" s="53">
        <f>IF(OR(P1834="",AB1834=""),"",IF(OR(P1834="Gasto",P1834="Transferencia",P1834="Pago tarjeta"),-1,1)*IF(IFERROR(INDEX(ctaMoneda,MATCH(AB1834,ctaNombre,0))&amp;"","DOP")="USD",T1834,S1834))</f>
        <v/>
      </c>
      <c r="AG1834" s="53">
        <f>IF(AC1834="","",IF(IFERROR(INDEX(ctaMoneda,MATCH(AC1834,ctaNombre,0))&amp;"","DOP")="USD",T1834,S1834))</f>
        <v/>
      </c>
      <c r="AH1834" s="53">
        <f>IF(P1834="","",IF(AND(AD1834&lt;&gt;"",COUNTIFS(tcTipo,AD1834,tcLiq,"Sí")&gt;0),IF(OR(P1834="Gasto",P1834="Transferencia",P1834="Pago tarjeta"),-1,1)*S1834,0)+IF(AND(AE1834&lt;&gt;"",COUNTIFS(tcTipo,AE1834,tcLiq,"Sí")&gt;0),S1834,0))</f>
        <v/>
      </c>
      <c r="AI1834" s="52">
        <f>IF(OR(L1834="",P1834=""),"",IF(COUNTIFS(L$6:L1834,L1834,P$6:P1834,"?*")=1,MAX(AI$5:AI1833)+1,""))</f>
        <v/>
      </c>
    </row>
    <row r="1835">
      <c r="B1835" s="47" t="n"/>
      <c r="C1835" s="48" t="n"/>
      <c r="D1835" s="48" t="n"/>
      <c r="E1835" s="48" t="n"/>
      <c r="F1835" s="48" t="n"/>
      <c r="G1835" s="49" t="n"/>
      <c r="H1835" s="48" t="n"/>
      <c r="I1835" s="50" t="n"/>
      <c r="J1835" s="48" t="n"/>
      <c r="K1835" s="48" t="n"/>
      <c r="L1835" s="48" t="n"/>
      <c r="M1835" s="48" t="n"/>
      <c r="N1835" s="48" t="n"/>
      <c r="O1835" s="51">
        <f>IF(AND(B1835="",G1835="",C1835="",D1835="",J1835=""),"",IF(B1835="","⚠ Falta fecha",IF(G1835="","⚠ Falta monto",IF(Q1835="","⚠ Falta cuenta",IF(ISNA(MATCH(Q1835,ctaNombre,0)),"⚠ Cuenta no registrada",IF(AND(OR(P1835="Gasto",P1835="Reembolso"),D1835=""),"⚠ Falta categoría",IF(AND(D1835&lt;&gt;"",E1835&lt;&gt;"",ISNA(MATCH(D1835&amp;"|"&amp;E1835,catClave,0))),"⚠ Subcategoría no corresponde",IF(AND(OR(P1835="Transferencia",P1835="Pago tarjeta"),K1835=""),"⚠ Falta cuenta destino",IF(AND(K1835&lt;&gt;"",P1835&lt;&gt;"Transferencia",P1835&lt;&gt;"Pago tarjeta"),"⚠ Destino solo aplica a transferencias",IF(AND(K1835&lt;&gt;"",K1835=Q1835),"⚠ Origen igual a destino",IF(AND(K1835&lt;&gt;"",ISNA(MATCH(K1835,ctaNombre,0))),"⚠ Destino no registrado",IF(AND(P1835="Pago tarjeta",AE1835&lt;&gt;"Tarjeta de crédito"),"⚠ El destino debe ser tarjeta de crédito",IF(AND(P1835="Gasto",E1835="Depósitos y retiros"),"⚠ Usa tipo Transferencia",IF(AND(P1835="Resultado trading",AD1835&lt;&gt;"Cuenta de trading"),"⚠ Usa una cuenta de trading",IF(AND(G1835&lt;=0,P1835&lt;&gt;"Ajuste",P1835&lt;&gt;"Resultado trading"),"⚠ El monto debe ser positivo","✓")))))))))))))))</f>
        <v/>
      </c>
      <c r="P1835" s="52">
        <f>IF(OR(B1835="",G1835=""),"",IF(C1835="","Gasto",C1835))</f>
        <v/>
      </c>
      <c r="Q1835" s="52">
        <f>IF(P1835="","",IF(J1835&lt;&gt;"",J1835,CuentaPred&amp;""))</f>
        <v/>
      </c>
      <c r="R1835" s="52">
        <f>IF(P1835="","",IF(ISNUMBER(I1835),I1835,TasaUSD))</f>
        <v/>
      </c>
      <c r="S1835" s="53">
        <f>IF(P1835="","",IF(H1835="USD",G1835*R1835,G1835))</f>
        <v/>
      </c>
      <c r="T1835" s="53">
        <f>IF(P1835="","",IF(H1835="USD",G1835,IF(R1835&gt;0,G1835/R1835,0)))</f>
        <v/>
      </c>
      <c r="U1835" s="53">
        <f>IF(P1835="","",IF(P1835="Gasto",S1835,IF(P1835="Reembolso",-S1835,0)))</f>
        <v/>
      </c>
      <c r="V1835" s="53">
        <f>IF(P1835="","",IF(P1835="Ingreso",S1835,0))</f>
        <v/>
      </c>
      <c r="W1835" s="53">
        <f>IF(P1835="","",IF(P1835="Resultado trading",S1835,0))</f>
        <v/>
      </c>
      <c r="X1835" s="52">
        <f>IF(OR(P1835="Gasto",P1835="Reembolso"),IF(M1835&lt;&gt;"",M1835,IFERROR(INDEX(catClasif,MATCH(D1835&amp;"|"&amp;E1835,catClave,0))&amp;"","Variable")),"")</f>
        <v/>
      </c>
      <c r="Y1835" s="52">
        <f>IF(P1835="","",IFERROR(INDEX(catGrupo,MATCH(D1835&amp;"|"&amp;E1835,catClave,0))&amp;"",""))</f>
        <v/>
      </c>
      <c r="Z1835" s="52">
        <f>IF(P1835="","",WEEKDAY(B1835,2))</f>
        <v/>
      </c>
      <c r="AA1835" s="52">
        <f>IF(P1835="","",IF(AND(P1835="Gasto",X1835="Variable",D1835&lt;&gt;catTrading,S1835&gt;0,S1835&lt;=Umbral),1,0))</f>
        <v/>
      </c>
      <c r="AB1835" s="52">
        <f>IF(OR(P1835="",Q1835=""),"",IFERROR(IF(INDEX(ctaVinc,MATCH(Q1835,ctaNombre,0))&amp;""&lt;&gt;"",INDEX(ctaVinc,MATCH(Q1835,ctaNombre,0))&amp;"",Q1835),Q1835))</f>
        <v/>
      </c>
      <c r="AC1835" s="52">
        <f>IF(OR(K1835="",AND(P1835&lt;&gt;"Transferencia",P1835&lt;&gt;"Pago tarjeta")),"",IFERROR(IF(INDEX(ctaVinc,MATCH(K1835,ctaNombre,0))&amp;""&lt;&gt;"",INDEX(ctaVinc,MATCH(K1835,ctaNombre,0))&amp;"",K1835),K1835))</f>
        <v/>
      </c>
      <c r="AD1835" s="52">
        <f>IF(AB1835="","",IFERROR(INDEX(ctaTipo,MATCH(AB1835,ctaNombre,0))&amp;"",""))</f>
        <v/>
      </c>
      <c r="AE1835" s="52">
        <f>IF(AC1835="","",IFERROR(INDEX(ctaTipo,MATCH(AC1835,ctaNombre,0))&amp;"",""))</f>
        <v/>
      </c>
      <c r="AF1835" s="53">
        <f>IF(OR(P1835="",AB1835=""),"",IF(OR(P1835="Gasto",P1835="Transferencia",P1835="Pago tarjeta"),-1,1)*IF(IFERROR(INDEX(ctaMoneda,MATCH(AB1835,ctaNombre,0))&amp;"","DOP")="USD",T1835,S1835))</f>
        <v/>
      </c>
      <c r="AG1835" s="53">
        <f>IF(AC1835="","",IF(IFERROR(INDEX(ctaMoneda,MATCH(AC1835,ctaNombre,0))&amp;"","DOP")="USD",T1835,S1835))</f>
        <v/>
      </c>
      <c r="AH1835" s="53">
        <f>IF(P1835="","",IF(AND(AD1835&lt;&gt;"",COUNTIFS(tcTipo,AD1835,tcLiq,"Sí")&gt;0),IF(OR(P1835="Gasto",P1835="Transferencia",P1835="Pago tarjeta"),-1,1)*S1835,0)+IF(AND(AE1835&lt;&gt;"",COUNTIFS(tcTipo,AE1835,tcLiq,"Sí")&gt;0),S1835,0))</f>
        <v/>
      </c>
      <c r="AI1835" s="52">
        <f>IF(OR(L1835="",P1835=""),"",IF(COUNTIFS(L$6:L1835,L1835,P$6:P1835,"?*")=1,MAX(AI$5:AI1834)+1,""))</f>
        <v/>
      </c>
    </row>
    <row r="1836">
      <c r="B1836" s="47" t="n"/>
      <c r="C1836" s="48" t="n"/>
      <c r="D1836" s="48" t="n"/>
      <c r="E1836" s="48" t="n"/>
      <c r="F1836" s="48" t="n"/>
      <c r="G1836" s="49" t="n"/>
      <c r="H1836" s="48" t="n"/>
      <c r="I1836" s="50" t="n"/>
      <c r="J1836" s="48" t="n"/>
      <c r="K1836" s="48" t="n"/>
      <c r="L1836" s="48" t="n"/>
      <c r="M1836" s="48" t="n"/>
      <c r="N1836" s="48" t="n"/>
      <c r="O1836" s="51">
        <f>IF(AND(B1836="",G1836="",C1836="",D1836="",J1836=""),"",IF(B1836="","⚠ Falta fecha",IF(G1836="","⚠ Falta monto",IF(Q1836="","⚠ Falta cuenta",IF(ISNA(MATCH(Q1836,ctaNombre,0)),"⚠ Cuenta no registrada",IF(AND(OR(P1836="Gasto",P1836="Reembolso"),D1836=""),"⚠ Falta categoría",IF(AND(D1836&lt;&gt;"",E1836&lt;&gt;"",ISNA(MATCH(D1836&amp;"|"&amp;E1836,catClave,0))),"⚠ Subcategoría no corresponde",IF(AND(OR(P1836="Transferencia",P1836="Pago tarjeta"),K1836=""),"⚠ Falta cuenta destino",IF(AND(K1836&lt;&gt;"",P1836&lt;&gt;"Transferencia",P1836&lt;&gt;"Pago tarjeta"),"⚠ Destino solo aplica a transferencias",IF(AND(K1836&lt;&gt;"",K1836=Q1836),"⚠ Origen igual a destino",IF(AND(K1836&lt;&gt;"",ISNA(MATCH(K1836,ctaNombre,0))),"⚠ Destino no registrado",IF(AND(P1836="Pago tarjeta",AE1836&lt;&gt;"Tarjeta de crédito"),"⚠ El destino debe ser tarjeta de crédito",IF(AND(P1836="Gasto",E1836="Depósitos y retiros"),"⚠ Usa tipo Transferencia",IF(AND(P1836="Resultado trading",AD1836&lt;&gt;"Cuenta de trading"),"⚠ Usa una cuenta de trading",IF(AND(G1836&lt;=0,P1836&lt;&gt;"Ajuste",P1836&lt;&gt;"Resultado trading"),"⚠ El monto debe ser positivo","✓")))))))))))))))</f>
        <v/>
      </c>
      <c r="P1836" s="52">
        <f>IF(OR(B1836="",G1836=""),"",IF(C1836="","Gasto",C1836))</f>
        <v/>
      </c>
      <c r="Q1836" s="52">
        <f>IF(P1836="","",IF(J1836&lt;&gt;"",J1836,CuentaPred&amp;""))</f>
        <v/>
      </c>
      <c r="R1836" s="52">
        <f>IF(P1836="","",IF(ISNUMBER(I1836),I1836,TasaUSD))</f>
        <v/>
      </c>
      <c r="S1836" s="53">
        <f>IF(P1836="","",IF(H1836="USD",G1836*R1836,G1836))</f>
        <v/>
      </c>
      <c r="T1836" s="53">
        <f>IF(P1836="","",IF(H1836="USD",G1836,IF(R1836&gt;0,G1836/R1836,0)))</f>
        <v/>
      </c>
      <c r="U1836" s="53">
        <f>IF(P1836="","",IF(P1836="Gasto",S1836,IF(P1836="Reembolso",-S1836,0)))</f>
        <v/>
      </c>
      <c r="V1836" s="53">
        <f>IF(P1836="","",IF(P1836="Ingreso",S1836,0))</f>
        <v/>
      </c>
      <c r="W1836" s="53">
        <f>IF(P1836="","",IF(P1836="Resultado trading",S1836,0))</f>
        <v/>
      </c>
      <c r="X1836" s="52">
        <f>IF(OR(P1836="Gasto",P1836="Reembolso"),IF(M1836&lt;&gt;"",M1836,IFERROR(INDEX(catClasif,MATCH(D1836&amp;"|"&amp;E1836,catClave,0))&amp;"","Variable")),"")</f>
        <v/>
      </c>
      <c r="Y1836" s="52">
        <f>IF(P1836="","",IFERROR(INDEX(catGrupo,MATCH(D1836&amp;"|"&amp;E1836,catClave,0))&amp;"",""))</f>
        <v/>
      </c>
      <c r="Z1836" s="52">
        <f>IF(P1836="","",WEEKDAY(B1836,2))</f>
        <v/>
      </c>
      <c r="AA1836" s="52">
        <f>IF(P1836="","",IF(AND(P1836="Gasto",X1836="Variable",D1836&lt;&gt;catTrading,S1836&gt;0,S1836&lt;=Umbral),1,0))</f>
        <v/>
      </c>
      <c r="AB1836" s="52">
        <f>IF(OR(P1836="",Q1836=""),"",IFERROR(IF(INDEX(ctaVinc,MATCH(Q1836,ctaNombre,0))&amp;""&lt;&gt;"",INDEX(ctaVinc,MATCH(Q1836,ctaNombre,0))&amp;"",Q1836),Q1836))</f>
        <v/>
      </c>
      <c r="AC1836" s="52">
        <f>IF(OR(K1836="",AND(P1836&lt;&gt;"Transferencia",P1836&lt;&gt;"Pago tarjeta")),"",IFERROR(IF(INDEX(ctaVinc,MATCH(K1836,ctaNombre,0))&amp;""&lt;&gt;"",INDEX(ctaVinc,MATCH(K1836,ctaNombre,0))&amp;"",K1836),K1836))</f>
        <v/>
      </c>
      <c r="AD1836" s="52">
        <f>IF(AB1836="","",IFERROR(INDEX(ctaTipo,MATCH(AB1836,ctaNombre,0))&amp;"",""))</f>
        <v/>
      </c>
      <c r="AE1836" s="52">
        <f>IF(AC1836="","",IFERROR(INDEX(ctaTipo,MATCH(AC1836,ctaNombre,0))&amp;"",""))</f>
        <v/>
      </c>
      <c r="AF1836" s="53">
        <f>IF(OR(P1836="",AB1836=""),"",IF(OR(P1836="Gasto",P1836="Transferencia",P1836="Pago tarjeta"),-1,1)*IF(IFERROR(INDEX(ctaMoneda,MATCH(AB1836,ctaNombre,0))&amp;"","DOP")="USD",T1836,S1836))</f>
        <v/>
      </c>
      <c r="AG1836" s="53">
        <f>IF(AC1836="","",IF(IFERROR(INDEX(ctaMoneda,MATCH(AC1836,ctaNombre,0))&amp;"","DOP")="USD",T1836,S1836))</f>
        <v/>
      </c>
      <c r="AH1836" s="53">
        <f>IF(P1836="","",IF(AND(AD1836&lt;&gt;"",COUNTIFS(tcTipo,AD1836,tcLiq,"Sí")&gt;0),IF(OR(P1836="Gasto",P1836="Transferencia",P1836="Pago tarjeta"),-1,1)*S1836,0)+IF(AND(AE1836&lt;&gt;"",COUNTIFS(tcTipo,AE1836,tcLiq,"Sí")&gt;0),S1836,0))</f>
        <v/>
      </c>
      <c r="AI1836" s="52">
        <f>IF(OR(L1836="",P1836=""),"",IF(COUNTIFS(L$6:L1836,L1836,P$6:P1836,"?*")=1,MAX(AI$5:AI1835)+1,""))</f>
        <v/>
      </c>
    </row>
    <row r="1837">
      <c r="B1837" s="47" t="n"/>
      <c r="C1837" s="48" t="n"/>
      <c r="D1837" s="48" t="n"/>
      <c r="E1837" s="48" t="n"/>
      <c r="F1837" s="48" t="n"/>
      <c r="G1837" s="49" t="n"/>
      <c r="H1837" s="48" t="n"/>
      <c r="I1837" s="50" t="n"/>
      <c r="J1837" s="48" t="n"/>
      <c r="K1837" s="48" t="n"/>
      <c r="L1837" s="48" t="n"/>
      <c r="M1837" s="48" t="n"/>
      <c r="N1837" s="48" t="n"/>
      <c r="O1837" s="51">
        <f>IF(AND(B1837="",G1837="",C1837="",D1837="",J1837=""),"",IF(B1837="","⚠ Falta fecha",IF(G1837="","⚠ Falta monto",IF(Q1837="","⚠ Falta cuenta",IF(ISNA(MATCH(Q1837,ctaNombre,0)),"⚠ Cuenta no registrada",IF(AND(OR(P1837="Gasto",P1837="Reembolso"),D1837=""),"⚠ Falta categoría",IF(AND(D1837&lt;&gt;"",E1837&lt;&gt;"",ISNA(MATCH(D1837&amp;"|"&amp;E1837,catClave,0))),"⚠ Subcategoría no corresponde",IF(AND(OR(P1837="Transferencia",P1837="Pago tarjeta"),K1837=""),"⚠ Falta cuenta destino",IF(AND(K1837&lt;&gt;"",P1837&lt;&gt;"Transferencia",P1837&lt;&gt;"Pago tarjeta"),"⚠ Destino solo aplica a transferencias",IF(AND(K1837&lt;&gt;"",K1837=Q1837),"⚠ Origen igual a destino",IF(AND(K1837&lt;&gt;"",ISNA(MATCH(K1837,ctaNombre,0))),"⚠ Destino no registrado",IF(AND(P1837="Pago tarjeta",AE1837&lt;&gt;"Tarjeta de crédito"),"⚠ El destino debe ser tarjeta de crédito",IF(AND(P1837="Gasto",E1837="Depósitos y retiros"),"⚠ Usa tipo Transferencia",IF(AND(P1837="Resultado trading",AD1837&lt;&gt;"Cuenta de trading"),"⚠ Usa una cuenta de trading",IF(AND(G1837&lt;=0,P1837&lt;&gt;"Ajuste",P1837&lt;&gt;"Resultado trading"),"⚠ El monto debe ser positivo","✓")))))))))))))))</f>
        <v/>
      </c>
      <c r="P1837" s="52">
        <f>IF(OR(B1837="",G1837=""),"",IF(C1837="","Gasto",C1837))</f>
        <v/>
      </c>
      <c r="Q1837" s="52">
        <f>IF(P1837="","",IF(J1837&lt;&gt;"",J1837,CuentaPred&amp;""))</f>
        <v/>
      </c>
      <c r="R1837" s="52">
        <f>IF(P1837="","",IF(ISNUMBER(I1837),I1837,TasaUSD))</f>
        <v/>
      </c>
      <c r="S1837" s="53">
        <f>IF(P1837="","",IF(H1837="USD",G1837*R1837,G1837))</f>
        <v/>
      </c>
      <c r="T1837" s="53">
        <f>IF(P1837="","",IF(H1837="USD",G1837,IF(R1837&gt;0,G1837/R1837,0)))</f>
        <v/>
      </c>
      <c r="U1837" s="53">
        <f>IF(P1837="","",IF(P1837="Gasto",S1837,IF(P1837="Reembolso",-S1837,0)))</f>
        <v/>
      </c>
      <c r="V1837" s="53">
        <f>IF(P1837="","",IF(P1837="Ingreso",S1837,0))</f>
        <v/>
      </c>
      <c r="W1837" s="53">
        <f>IF(P1837="","",IF(P1837="Resultado trading",S1837,0))</f>
        <v/>
      </c>
      <c r="X1837" s="52">
        <f>IF(OR(P1837="Gasto",P1837="Reembolso"),IF(M1837&lt;&gt;"",M1837,IFERROR(INDEX(catClasif,MATCH(D1837&amp;"|"&amp;E1837,catClave,0))&amp;"","Variable")),"")</f>
        <v/>
      </c>
      <c r="Y1837" s="52">
        <f>IF(P1837="","",IFERROR(INDEX(catGrupo,MATCH(D1837&amp;"|"&amp;E1837,catClave,0))&amp;"",""))</f>
        <v/>
      </c>
      <c r="Z1837" s="52">
        <f>IF(P1837="","",WEEKDAY(B1837,2))</f>
        <v/>
      </c>
      <c r="AA1837" s="52">
        <f>IF(P1837="","",IF(AND(P1837="Gasto",X1837="Variable",D1837&lt;&gt;catTrading,S1837&gt;0,S1837&lt;=Umbral),1,0))</f>
        <v/>
      </c>
      <c r="AB1837" s="52">
        <f>IF(OR(P1837="",Q1837=""),"",IFERROR(IF(INDEX(ctaVinc,MATCH(Q1837,ctaNombre,0))&amp;""&lt;&gt;"",INDEX(ctaVinc,MATCH(Q1837,ctaNombre,0))&amp;"",Q1837),Q1837))</f>
        <v/>
      </c>
      <c r="AC1837" s="52">
        <f>IF(OR(K1837="",AND(P1837&lt;&gt;"Transferencia",P1837&lt;&gt;"Pago tarjeta")),"",IFERROR(IF(INDEX(ctaVinc,MATCH(K1837,ctaNombre,0))&amp;""&lt;&gt;"",INDEX(ctaVinc,MATCH(K1837,ctaNombre,0))&amp;"",K1837),K1837))</f>
        <v/>
      </c>
      <c r="AD1837" s="52">
        <f>IF(AB1837="","",IFERROR(INDEX(ctaTipo,MATCH(AB1837,ctaNombre,0))&amp;"",""))</f>
        <v/>
      </c>
      <c r="AE1837" s="52">
        <f>IF(AC1837="","",IFERROR(INDEX(ctaTipo,MATCH(AC1837,ctaNombre,0))&amp;"",""))</f>
        <v/>
      </c>
      <c r="AF1837" s="53">
        <f>IF(OR(P1837="",AB1837=""),"",IF(OR(P1837="Gasto",P1837="Transferencia",P1837="Pago tarjeta"),-1,1)*IF(IFERROR(INDEX(ctaMoneda,MATCH(AB1837,ctaNombre,0))&amp;"","DOP")="USD",T1837,S1837))</f>
        <v/>
      </c>
      <c r="AG1837" s="53">
        <f>IF(AC1837="","",IF(IFERROR(INDEX(ctaMoneda,MATCH(AC1837,ctaNombre,0))&amp;"","DOP")="USD",T1837,S1837))</f>
        <v/>
      </c>
      <c r="AH1837" s="53">
        <f>IF(P1837="","",IF(AND(AD1837&lt;&gt;"",COUNTIFS(tcTipo,AD1837,tcLiq,"Sí")&gt;0),IF(OR(P1837="Gasto",P1837="Transferencia",P1837="Pago tarjeta"),-1,1)*S1837,0)+IF(AND(AE1837&lt;&gt;"",COUNTIFS(tcTipo,AE1837,tcLiq,"Sí")&gt;0),S1837,0))</f>
        <v/>
      </c>
      <c r="AI1837" s="52">
        <f>IF(OR(L1837="",P1837=""),"",IF(COUNTIFS(L$6:L1837,L1837,P$6:P1837,"?*")=1,MAX(AI$5:AI1836)+1,""))</f>
        <v/>
      </c>
    </row>
    <row r="1838">
      <c r="B1838" s="47" t="n"/>
      <c r="C1838" s="48" t="n"/>
      <c r="D1838" s="48" t="n"/>
      <c r="E1838" s="48" t="n"/>
      <c r="F1838" s="48" t="n"/>
      <c r="G1838" s="49" t="n"/>
      <c r="H1838" s="48" t="n"/>
      <c r="I1838" s="50" t="n"/>
      <c r="J1838" s="48" t="n"/>
      <c r="K1838" s="48" t="n"/>
      <c r="L1838" s="48" t="n"/>
      <c r="M1838" s="48" t="n"/>
      <c r="N1838" s="48" t="n"/>
      <c r="O1838" s="51">
        <f>IF(AND(B1838="",G1838="",C1838="",D1838="",J1838=""),"",IF(B1838="","⚠ Falta fecha",IF(G1838="","⚠ Falta monto",IF(Q1838="","⚠ Falta cuenta",IF(ISNA(MATCH(Q1838,ctaNombre,0)),"⚠ Cuenta no registrada",IF(AND(OR(P1838="Gasto",P1838="Reembolso"),D1838=""),"⚠ Falta categoría",IF(AND(D1838&lt;&gt;"",E1838&lt;&gt;"",ISNA(MATCH(D1838&amp;"|"&amp;E1838,catClave,0))),"⚠ Subcategoría no corresponde",IF(AND(OR(P1838="Transferencia",P1838="Pago tarjeta"),K1838=""),"⚠ Falta cuenta destino",IF(AND(K1838&lt;&gt;"",P1838&lt;&gt;"Transferencia",P1838&lt;&gt;"Pago tarjeta"),"⚠ Destino solo aplica a transferencias",IF(AND(K1838&lt;&gt;"",K1838=Q1838),"⚠ Origen igual a destino",IF(AND(K1838&lt;&gt;"",ISNA(MATCH(K1838,ctaNombre,0))),"⚠ Destino no registrado",IF(AND(P1838="Pago tarjeta",AE1838&lt;&gt;"Tarjeta de crédito"),"⚠ El destino debe ser tarjeta de crédito",IF(AND(P1838="Gasto",E1838="Depósitos y retiros"),"⚠ Usa tipo Transferencia",IF(AND(P1838="Resultado trading",AD1838&lt;&gt;"Cuenta de trading"),"⚠ Usa una cuenta de trading",IF(AND(G1838&lt;=0,P1838&lt;&gt;"Ajuste",P1838&lt;&gt;"Resultado trading"),"⚠ El monto debe ser positivo","✓")))))))))))))))</f>
        <v/>
      </c>
      <c r="P1838" s="52">
        <f>IF(OR(B1838="",G1838=""),"",IF(C1838="","Gasto",C1838))</f>
        <v/>
      </c>
      <c r="Q1838" s="52">
        <f>IF(P1838="","",IF(J1838&lt;&gt;"",J1838,CuentaPred&amp;""))</f>
        <v/>
      </c>
      <c r="R1838" s="52">
        <f>IF(P1838="","",IF(ISNUMBER(I1838),I1838,TasaUSD))</f>
        <v/>
      </c>
      <c r="S1838" s="53">
        <f>IF(P1838="","",IF(H1838="USD",G1838*R1838,G1838))</f>
        <v/>
      </c>
      <c r="T1838" s="53">
        <f>IF(P1838="","",IF(H1838="USD",G1838,IF(R1838&gt;0,G1838/R1838,0)))</f>
        <v/>
      </c>
      <c r="U1838" s="53">
        <f>IF(P1838="","",IF(P1838="Gasto",S1838,IF(P1838="Reembolso",-S1838,0)))</f>
        <v/>
      </c>
      <c r="V1838" s="53">
        <f>IF(P1838="","",IF(P1838="Ingreso",S1838,0))</f>
        <v/>
      </c>
      <c r="W1838" s="53">
        <f>IF(P1838="","",IF(P1838="Resultado trading",S1838,0))</f>
        <v/>
      </c>
      <c r="X1838" s="52">
        <f>IF(OR(P1838="Gasto",P1838="Reembolso"),IF(M1838&lt;&gt;"",M1838,IFERROR(INDEX(catClasif,MATCH(D1838&amp;"|"&amp;E1838,catClave,0))&amp;"","Variable")),"")</f>
        <v/>
      </c>
      <c r="Y1838" s="52">
        <f>IF(P1838="","",IFERROR(INDEX(catGrupo,MATCH(D1838&amp;"|"&amp;E1838,catClave,0))&amp;"",""))</f>
        <v/>
      </c>
      <c r="Z1838" s="52">
        <f>IF(P1838="","",WEEKDAY(B1838,2))</f>
        <v/>
      </c>
      <c r="AA1838" s="52">
        <f>IF(P1838="","",IF(AND(P1838="Gasto",X1838="Variable",D1838&lt;&gt;catTrading,S1838&gt;0,S1838&lt;=Umbral),1,0))</f>
        <v/>
      </c>
      <c r="AB1838" s="52">
        <f>IF(OR(P1838="",Q1838=""),"",IFERROR(IF(INDEX(ctaVinc,MATCH(Q1838,ctaNombre,0))&amp;""&lt;&gt;"",INDEX(ctaVinc,MATCH(Q1838,ctaNombre,0))&amp;"",Q1838),Q1838))</f>
        <v/>
      </c>
      <c r="AC1838" s="52">
        <f>IF(OR(K1838="",AND(P1838&lt;&gt;"Transferencia",P1838&lt;&gt;"Pago tarjeta")),"",IFERROR(IF(INDEX(ctaVinc,MATCH(K1838,ctaNombre,0))&amp;""&lt;&gt;"",INDEX(ctaVinc,MATCH(K1838,ctaNombre,0))&amp;"",K1838),K1838))</f>
        <v/>
      </c>
      <c r="AD1838" s="52">
        <f>IF(AB1838="","",IFERROR(INDEX(ctaTipo,MATCH(AB1838,ctaNombre,0))&amp;"",""))</f>
        <v/>
      </c>
      <c r="AE1838" s="52">
        <f>IF(AC1838="","",IFERROR(INDEX(ctaTipo,MATCH(AC1838,ctaNombre,0))&amp;"",""))</f>
        <v/>
      </c>
      <c r="AF1838" s="53">
        <f>IF(OR(P1838="",AB1838=""),"",IF(OR(P1838="Gasto",P1838="Transferencia",P1838="Pago tarjeta"),-1,1)*IF(IFERROR(INDEX(ctaMoneda,MATCH(AB1838,ctaNombre,0))&amp;"","DOP")="USD",T1838,S1838))</f>
        <v/>
      </c>
      <c r="AG1838" s="53">
        <f>IF(AC1838="","",IF(IFERROR(INDEX(ctaMoneda,MATCH(AC1838,ctaNombre,0))&amp;"","DOP")="USD",T1838,S1838))</f>
        <v/>
      </c>
      <c r="AH1838" s="53">
        <f>IF(P1838="","",IF(AND(AD1838&lt;&gt;"",COUNTIFS(tcTipo,AD1838,tcLiq,"Sí")&gt;0),IF(OR(P1838="Gasto",P1838="Transferencia",P1838="Pago tarjeta"),-1,1)*S1838,0)+IF(AND(AE1838&lt;&gt;"",COUNTIFS(tcTipo,AE1838,tcLiq,"Sí")&gt;0),S1838,0))</f>
        <v/>
      </c>
      <c r="AI1838" s="52">
        <f>IF(OR(L1838="",P1838=""),"",IF(COUNTIFS(L$6:L1838,L1838,P$6:P1838,"?*")=1,MAX(AI$5:AI1837)+1,""))</f>
        <v/>
      </c>
    </row>
    <row r="1839">
      <c r="B1839" s="47" t="n"/>
      <c r="C1839" s="48" t="n"/>
      <c r="D1839" s="48" t="n"/>
      <c r="E1839" s="48" t="n"/>
      <c r="F1839" s="48" t="n"/>
      <c r="G1839" s="49" t="n"/>
      <c r="H1839" s="48" t="n"/>
      <c r="I1839" s="50" t="n"/>
      <c r="J1839" s="48" t="n"/>
      <c r="K1839" s="48" t="n"/>
      <c r="L1839" s="48" t="n"/>
      <c r="M1839" s="48" t="n"/>
      <c r="N1839" s="48" t="n"/>
      <c r="O1839" s="51">
        <f>IF(AND(B1839="",G1839="",C1839="",D1839="",J1839=""),"",IF(B1839="","⚠ Falta fecha",IF(G1839="","⚠ Falta monto",IF(Q1839="","⚠ Falta cuenta",IF(ISNA(MATCH(Q1839,ctaNombre,0)),"⚠ Cuenta no registrada",IF(AND(OR(P1839="Gasto",P1839="Reembolso"),D1839=""),"⚠ Falta categoría",IF(AND(D1839&lt;&gt;"",E1839&lt;&gt;"",ISNA(MATCH(D1839&amp;"|"&amp;E1839,catClave,0))),"⚠ Subcategoría no corresponde",IF(AND(OR(P1839="Transferencia",P1839="Pago tarjeta"),K1839=""),"⚠ Falta cuenta destino",IF(AND(K1839&lt;&gt;"",P1839&lt;&gt;"Transferencia",P1839&lt;&gt;"Pago tarjeta"),"⚠ Destino solo aplica a transferencias",IF(AND(K1839&lt;&gt;"",K1839=Q1839),"⚠ Origen igual a destino",IF(AND(K1839&lt;&gt;"",ISNA(MATCH(K1839,ctaNombre,0))),"⚠ Destino no registrado",IF(AND(P1839="Pago tarjeta",AE1839&lt;&gt;"Tarjeta de crédito"),"⚠ El destino debe ser tarjeta de crédito",IF(AND(P1839="Gasto",E1839="Depósitos y retiros"),"⚠ Usa tipo Transferencia",IF(AND(P1839="Resultado trading",AD1839&lt;&gt;"Cuenta de trading"),"⚠ Usa una cuenta de trading",IF(AND(G1839&lt;=0,P1839&lt;&gt;"Ajuste",P1839&lt;&gt;"Resultado trading"),"⚠ El monto debe ser positivo","✓")))))))))))))))</f>
        <v/>
      </c>
      <c r="P1839" s="52">
        <f>IF(OR(B1839="",G1839=""),"",IF(C1839="","Gasto",C1839))</f>
        <v/>
      </c>
      <c r="Q1839" s="52">
        <f>IF(P1839="","",IF(J1839&lt;&gt;"",J1839,CuentaPred&amp;""))</f>
        <v/>
      </c>
      <c r="R1839" s="52">
        <f>IF(P1839="","",IF(ISNUMBER(I1839),I1839,TasaUSD))</f>
        <v/>
      </c>
      <c r="S1839" s="53">
        <f>IF(P1839="","",IF(H1839="USD",G1839*R1839,G1839))</f>
        <v/>
      </c>
      <c r="T1839" s="53">
        <f>IF(P1839="","",IF(H1839="USD",G1839,IF(R1839&gt;0,G1839/R1839,0)))</f>
        <v/>
      </c>
      <c r="U1839" s="53">
        <f>IF(P1839="","",IF(P1839="Gasto",S1839,IF(P1839="Reembolso",-S1839,0)))</f>
        <v/>
      </c>
      <c r="V1839" s="53">
        <f>IF(P1839="","",IF(P1839="Ingreso",S1839,0))</f>
        <v/>
      </c>
      <c r="W1839" s="53">
        <f>IF(P1839="","",IF(P1839="Resultado trading",S1839,0))</f>
        <v/>
      </c>
      <c r="X1839" s="52">
        <f>IF(OR(P1839="Gasto",P1839="Reembolso"),IF(M1839&lt;&gt;"",M1839,IFERROR(INDEX(catClasif,MATCH(D1839&amp;"|"&amp;E1839,catClave,0))&amp;"","Variable")),"")</f>
        <v/>
      </c>
      <c r="Y1839" s="52">
        <f>IF(P1839="","",IFERROR(INDEX(catGrupo,MATCH(D1839&amp;"|"&amp;E1839,catClave,0))&amp;"",""))</f>
        <v/>
      </c>
      <c r="Z1839" s="52">
        <f>IF(P1839="","",WEEKDAY(B1839,2))</f>
        <v/>
      </c>
      <c r="AA1839" s="52">
        <f>IF(P1839="","",IF(AND(P1839="Gasto",X1839="Variable",D1839&lt;&gt;catTrading,S1839&gt;0,S1839&lt;=Umbral),1,0))</f>
        <v/>
      </c>
      <c r="AB1839" s="52">
        <f>IF(OR(P1839="",Q1839=""),"",IFERROR(IF(INDEX(ctaVinc,MATCH(Q1839,ctaNombre,0))&amp;""&lt;&gt;"",INDEX(ctaVinc,MATCH(Q1839,ctaNombre,0))&amp;"",Q1839),Q1839))</f>
        <v/>
      </c>
      <c r="AC1839" s="52">
        <f>IF(OR(K1839="",AND(P1839&lt;&gt;"Transferencia",P1839&lt;&gt;"Pago tarjeta")),"",IFERROR(IF(INDEX(ctaVinc,MATCH(K1839,ctaNombre,0))&amp;""&lt;&gt;"",INDEX(ctaVinc,MATCH(K1839,ctaNombre,0))&amp;"",K1839),K1839))</f>
        <v/>
      </c>
      <c r="AD1839" s="52">
        <f>IF(AB1839="","",IFERROR(INDEX(ctaTipo,MATCH(AB1839,ctaNombre,0))&amp;"",""))</f>
        <v/>
      </c>
      <c r="AE1839" s="52">
        <f>IF(AC1839="","",IFERROR(INDEX(ctaTipo,MATCH(AC1839,ctaNombre,0))&amp;"",""))</f>
        <v/>
      </c>
      <c r="AF1839" s="53">
        <f>IF(OR(P1839="",AB1839=""),"",IF(OR(P1839="Gasto",P1839="Transferencia",P1839="Pago tarjeta"),-1,1)*IF(IFERROR(INDEX(ctaMoneda,MATCH(AB1839,ctaNombre,0))&amp;"","DOP")="USD",T1839,S1839))</f>
        <v/>
      </c>
      <c r="AG1839" s="53">
        <f>IF(AC1839="","",IF(IFERROR(INDEX(ctaMoneda,MATCH(AC1839,ctaNombre,0))&amp;"","DOP")="USD",T1839,S1839))</f>
        <v/>
      </c>
      <c r="AH1839" s="53">
        <f>IF(P1839="","",IF(AND(AD1839&lt;&gt;"",COUNTIFS(tcTipo,AD1839,tcLiq,"Sí")&gt;0),IF(OR(P1839="Gasto",P1839="Transferencia",P1839="Pago tarjeta"),-1,1)*S1839,0)+IF(AND(AE1839&lt;&gt;"",COUNTIFS(tcTipo,AE1839,tcLiq,"Sí")&gt;0),S1839,0))</f>
        <v/>
      </c>
      <c r="AI1839" s="52">
        <f>IF(OR(L1839="",P1839=""),"",IF(COUNTIFS(L$6:L1839,L1839,P$6:P1839,"?*")=1,MAX(AI$5:AI1838)+1,""))</f>
        <v/>
      </c>
    </row>
    <row r="1840">
      <c r="B1840" s="47" t="n"/>
      <c r="C1840" s="48" t="n"/>
      <c r="D1840" s="48" t="n"/>
      <c r="E1840" s="48" t="n"/>
      <c r="F1840" s="48" t="n"/>
      <c r="G1840" s="49" t="n"/>
      <c r="H1840" s="48" t="n"/>
      <c r="I1840" s="50" t="n"/>
      <c r="J1840" s="48" t="n"/>
      <c r="K1840" s="48" t="n"/>
      <c r="L1840" s="48" t="n"/>
      <c r="M1840" s="48" t="n"/>
      <c r="N1840" s="48" t="n"/>
      <c r="O1840" s="51">
        <f>IF(AND(B1840="",G1840="",C1840="",D1840="",J1840=""),"",IF(B1840="","⚠ Falta fecha",IF(G1840="","⚠ Falta monto",IF(Q1840="","⚠ Falta cuenta",IF(ISNA(MATCH(Q1840,ctaNombre,0)),"⚠ Cuenta no registrada",IF(AND(OR(P1840="Gasto",P1840="Reembolso"),D1840=""),"⚠ Falta categoría",IF(AND(D1840&lt;&gt;"",E1840&lt;&gt;"",ISNA(MATCH(D1840&amp;"|"&amp;E1840,catClave,0))),"⚠ Subcategoría no corresponde",IF(AND(OR(P1840="Transferencia",P1840="Pago tarjeta"),K1840=""),"⚠ Falta cuenta destino",IF(AND(K1840&lt;&gt;"",P1840&lt;&gt;"Transferencia",P1840&lt;&gt;"Pago tarjeta"),"⚠ Destino solo aplica a transferencias",IF(AND(K1840&lt;&gt;"",K1840=Q1840),"⚠ Origen igual a destino",IF(AND(K1840&lt;&gt;"",ISNA(MATCH(K1840,ctaNombre,0))),"⚠ Destino no registrado",IF(AND(P1840="Pago tarjeta",AE1840&lt;&gt;"Tarjeta de crédito"),"⚠ El destino debe ser tarjeta de crédito",IF(AND(P1840="Gasto",E1840="Depósitos y retiros"),"⚠ Usa tipo Transferencia",IF(AND(P1840="Resultado trading",AD1840&lt;&gt;"Cuenta de trading"),"⚠ Usa una cuenta de trading",IF(AND(G1840&lt;=0,P1840&lt;&gt;"Ajuste",P1840&lt;&gt;"Resultado trading"),"⚠ El monto debe ser positivo","✓")))))))))))))))</f>
        <v/>
      </c>
      <c r="P1840" s="52">
        <f>IF(OR(B1840="",G1840=""),"",IF(C1840="","Gasto",C1840))</f>
        <v/>
      </c>
      <c r="Q1840" s="52">
        <f>IF(P1840="","",IF(J1840&lt;&gt;"",J1840,CuentaPred&amp;""))</f>
        <v/>
      </c>
      <c r="R1840" s="52">
        <f>IF(P1840="","",IF(ISNUMBER(I1840),I1840,TasaUSD))</f>
        <v/>
      </c>
      <c r="S1840" s="53">
        <f>IF(P1840="","",IF(H1840="USD",G1840*R1840,G1840))</f>
        <v/>
      </c>
      <c r="T1840" s="53">
        <f>IF(P1840="","",IF(H1840="USD",G1840,IF(R1840&gt;0,G1840/R1840,0)))</f>
        <v/>
      </c>
      <c r="U1840" s="53">
        <f>IF(P1840="","",IF(P1840="Gasto",S1840,IF(P1840="Reembolso",-S1840,0)))</f>
        <v/>
      </c>
      <c r="V1840" s="53">
        <f>IF(P1840="","",IF(P1840="Ingreso",S1840,0))</f>
        <v/>
      </c>
      <c r="W1840" s="53">
        <f>IF(P1840="","",IF(P1840="Resultado trading",S1840,0))</f>
        <v/>
      </c>
      <c r="X1840" s="52">
        <f>IF(OR(P1840="Gasto",P1840="Reembolso"),IF(M1840&lt;&gt;"",M1840,IFERROR(INDEX(catClasif,MATCH(D1840&amp;"|"&amp;E1840,catClave,0))&amp;"","Variable")),"")</f>
        <v/>
      </c>
      <c r="Y1840" s="52">
        <f>IF(P1840="","",IFERROR(INDEX(catGrupo,MATCH(D1840&amp;"|"&amp;E1840,catClave,0))&amp;"",""))</f>
        <v/>
      </c>
      <c r="Z1840" s="52">
        <f>IF(P1840="","",WEEKDAY(B1840,2))</f>
        <v/>
      </c>
      <c r="AA1840" s="52">
        <f>IF(P1840="","",IF(AND(P1840="Gasto",X1840="Variable",D1840&lt;&gt;catTrading,S1840&gt;0,S1840&lt;=Umbral),1,0))</f>
        <v/>
      </c>
      <c r="AB1840" s="52">
        <f>IF(OR(P1840="",Q1840=""),"",IFERROR(IF(INDEX(ctaVinc,MATCH(Q1840,ctaNombre,0))&amp;""&lt;&gt;"",INDEX(ctaVinc,MATCH(Q1840,ctaNombre,0))&amp;"",Q1840),Q1840))</f>
        <v/>
      </c>
      <c r="AC1840" s="52">
        <f>IF(OR(K1840="",AND(P1840&lt;&gt;"Transferencia",P1840&lt;&gt;"Pago tarjeta")),"",IFERROR(IF(INDEX(ctaVinc,MATCH(K1840,ctaNombre,0))&amp;""&lt;&gt;"",INDEX(ctaVinc,MATCH(K1840,ctaNombre,0))&amp;"",K1840),K1840))</f>
        <v/>
      </c>
      <c r="AD1840" s="52">
        <f>IF(AB1840="","",IFERROR(INDEX(ctaTipo,MATCH(AB1840,ctaNombre,0))&amp;"",""))</f>
        <v/>
      </c>
      <c r="AE1840" s="52">
        <f>IF(AC1840="","",IFERROR(INDEX(ctaTipo,MATCH(AC1840,ctaNombre,0))&amp;"",""))</f>
        <v/>
      </c>
      <c r="AF1840" s="53">
        <f>IF(OR(P1840="",AB1840=""),"",IF(OR(P1840="Gasto",P1840="Transferencia",P1840="Pago tarjeta"),-1,1)*IF(IFERROR(INDEX(ctaMoneda,MATCH(AB1840,ctaNombre,0))&amp;"","DOP")="USD",T1840,S1840))</f>
        <v/>
      </c>
      <c r="AG1840" s="53">
        <f>IF(AC1840="","",IF(IFERROR(INDEX(ctaMoneda,MATCH(AC1840,ctaNombre,0))&amp;"","DOP")="USD",T1840,S1840))</f>
        <v/>
      </c>
      <c r="AH1840" s="53">
        <f>IF(P1840="","",IF(AND(AD1840&lt;&gt;"",COUNTIFS(tcTipo,AD1840,tcLiq,"Sí")&gt;0),IF(OR(P1840="Gasto",P1840="Transferencia",P1840="Pago tarjeta"),-1,1)*S1840,0)+IF(AND(AE1840&lt;&gt;"",COUNTIFS(tcTipo,AE1840,tcLiq,"Sí")&gt;0),S1840,0))</f>
        <v/>
      </c>
      <c r="AI1840" s="52">
        <f>IF(OR(L1840="",P1840=""),"",IF(COUNTIFS(L$6:L1840,L1840,P$6:P1840,"?*")=1,MAX(AI$5:AI1839)+1,""))</f>
        <v/>
      </c>
    </row>
    <row r="1841">
      <c r="B1841" s="47" t="n"/>
      <c r="C1841" s="48" t="n"/>
      <c r="D1841" s="48" t="n"/>
      <c r="E1841" s="48" t="n"/>
      <c r="F1841" s="48" t="n"/>
      <c r="G1841" s="49" t="n"/>
      <c r="H1841" s="48" t="n"/>
      <c r="I1841" s="50" t="n"/>
      <c r="J1841" s="48" t="n"/>
      <c r="K1841" s="48" t="n"/>
      <c r="L1841" s="48" t="n"/>
      <c r="M1841" s="48" t="n"/>
      <c r="N1841" s="48" t="n"/>
      <c r="O1841" s="51">
        <f>IF(AND(B1841="",G1841="",C1841="",D1841="",J1841=""),"",IF(B1841="","⚠ Falta fecha",IF(G1841="","⚠ Falta monto",IF(Q1841="","⚠ Falta cuenta",IF(ISNA(MATCH(Q1841,ctaNombre,0)),"⚠ Cuenta no registrada",IF(AND(OR(P1841="Gasto",P1841="Reembolso"),D1841=""),"⚠ Falta categoría",IF(AND(D1841&lt;&gt;"",E1841&lt;&gt;"",ISNA(MATCH(D1841&amp;"|"&amp;E1841,catClave,0))),"⚠ Subcategoría no corresponde",IF(AND(OR(P1841="Transferencia",P1841="Pago tarjeta"),K1841=""),"⚠ Falta cuenta destino",IF(AND(K1841&lt;&gt;"",P1841&lt;&gt;"Transferencia",P1841&lt;&gt;"Pago tarjeta"),"⚠ Destino solo aplica a transferencias",IF(AND(K1841&lt;&gt;"",K1841=Q1841),"⚠ Origen igual a destino",IF(AND(K1841&lt;&gt;"",ISNA(MATCH(K1841,ctaNombre,0))),"⚠ Destino no registrado",IF(AND(P1841="Pago tarjeta",AE1841&lt;&gt;"Tarjeta de crédito"),"⚠ El destino debe ser tarjeta de crédito",IF(AND(P1841="Gasto",E1841="Depósitos y retiros"),"⚠ Usa tipo Transferencia",IF(AND(P1841="Resultado trading",AD1841&lt;&gt;"Cuenta de trading"),"⚠ Usa una cuenta de trading",IF(AND(G1841&lt;=0,P1841&lt;&gt;"Ajuste",P1841&lt;&gt;"Resultado trading"),"⚠ El monto debe ser positivo","✓")))))))))))))))</f>
        <v/>
      </c>
      <c r="P1841" s="52">
        <f>IF(OR(B1841="",G1841=""),"",IF(C1841="","Gasto",C1841))</f>
        <v/>
      </c>
      <c r="Q1841" s="52">
        <f>IF(P1841="","",IF(J1841&lt;&gt;"",J1841,CuentaPred&amp;""))</f>
        <v/>
      </c>
      <c r="R1841" s="52">
        <f>IF(P1841="","",IF(ISNUMBER(I1841),I1841,TasaUSD))</f>
        <v/>
      </c>
      <c r="S1841" s="53">
        <f>IF(P1841="","",IF(H1841="USD",G1841*R1841,G1841))</f>
        <v/>
      </c>
      <c r="T1841" s="53">
        <f>IF(P1841="","",IF(H1841="USD",G1841,IF(R1841&gt;0,G1841/R1841,0)))</f>
        <v/>
      </c>
      <c r="U1841" s="53">
        <f>IF(P1841="","",IF(P1841="Gasto",S1841,IF(P1841="Reembolso",-S1841,0)))</f>
        <v/>
      </c>
      <c r="V1841" s="53">
        <f>IF(P1841="","",IF(P1841="Ingreso",S1841,0))</f>
        <v/>
      </c>
      <c r="W1841" s="53">
        <f>IF(P1841="","",IF(P1841="Resultado trading",S1841,0))</f>
        <v/>
      </c>
      <c r="X1841" s="52">
        <f>IF(OR(P1841="Gasto",P1841="Reembolso"),IF(M1841&lt;&gt;"",M1841,IFERROR(INDEX(catClasif,MATCH(D1841&amp;"|"&amp;E1841,catClave,0))&amp;"","Variable")),"")</f>
        <v/>
      </c>
      <c r="Y1841" s="52">
        <f>IF(P1841="","",IFERROR(INDEX(catGrupo,MATCH(D1841&amp;"|"&amp;E1841,catClave,0))&amp;"",""))</f>
        <v/>
      </c>
      <c r="Z1841" s="52">
        <f>IF(P1841="","",WEEKDAY(B1841,2))</f>
        <v/>
      </c>
      <c r="AA1841" s="52">
        <f>IF(P1841="","",IF(AND(P1841="Gasto",X1841="Variable",D1841&lt;&gt;catTrading,S1841&gt;0,S1841&lt;=Umbral),1,0))</f>
        <v/>
      </c>
      <c r="AB1841" s="52">
        <f>IF(OR(P1841="",Q1841=""),"",IFERROR(IF(INDEX(ctaVinc,MATCH(Q1841,ctaNombre,0))&amp;""&lt;&gt;"",INDEX(ctaVinc,MATCH(Q1841,ctaNombre,0))&amp;"",Q1841),Q1841))</f>
        <v/>
      </c>
      <c r="AC1841" s="52">
        <f>IF(OR(K1841="",AND(P1841&lt;&gt;"Transferencia",P1841&lt;&gt;"Pago tarjeta")),"",IFERROR(IF(INDEX(ctaVinc,MATCH(K1841,ctaNombre,0))&amp;""&lt;&gt;"",INDEX(ctaVinc,MATCH(K1841,ctaNombre,0))&amp;"",K1841),K1841))</f>
        <v/>
      </c>
      <c r="AD1841" s="52">
        <f>IF(AB1841="","",IFERROR(INDEX(ctaTipo,MATCH(AB1841,ctaNombre,0))&amp;"",""))</f>
        <v/>
      </c>
      <c r="AE1841" s="52">
        <f>IF(AC1841="","",IFERROR(INDEX(ctaTipo,MATCH(AC1841,ctaNombre,0))&amp;"",""))</f>
        <v/>
      </c>
      <c r="AF1841" s="53">
        <f>IF(OR(P1841="",AB1841=""),"",IF(OR(P1841="Gasto",P1841="Transferencia",P1841="Pago tarjeta"),-1,1)*IF(IFERROR(INDEX(ctaMoneda,MATCH(AB1841,ctaNombre,0))&amp;"","DOP")="USD",T1841,S1841))</f>
        <v/>
      </c>
      <c r="AG1841" s="53">
        <f>IF(AC1841="","",IF(IFERROR(INDEX(ctaMoneda,MATCH(AC1841,ctaNombre,0))&amp;"","DOP")="USD",T1841,S1841))</f>
        <v/>
      </c>
      <c r="AH1841" s="53">
        <f>IF(P1841="","",IF(AND(AD1841&lt;&gt;"",COUNTIFS(tcTipo,AD1841,tcLiq,"Sí")&gt;0),IF(OR(P1841="Gasto",P1841="Transferencia",P1841="Pago tarjeta"),-1,1)*S1841,0)+IF(AND(AE1841&lt;&gt;"",COUNTIFS(tcTipo,AE1841,tcLiq,"Sí")&gt;0),S1841,0))</f>
        <v/>
      </c>
      <c r="AI1841" s="52">
        <f>IF(OR(L1841="",P1841=""),"",IF(COUNTIFS(L$6:L1841,L1841,P$6:P1841,"?*")=1,MAX(AI$5:AI1840)+1,""))</f>
        <v/>
      </c>
    </row>
    <row r="1842">
      <c r="B1842" s="47" t="n"/>
      <c r="C1842" s="48" t="n"/>
      <c r="D1842" s="48" t="n"/>
      <c r="E1842" s="48" t="n"/>
      <c r="F1842" s="48" t="n"/>
      <c r="G1842" s="49" t="n"/>
      <c r="H1842" s="48" t="n"/>
      <c r="I1842" s="50" t="n"/>
      <c r="J1842" s="48" t="n"/>
      <c r="K1842" s="48" t="n"/>
      <c r="L1842" s="48" t="n"/>
      <c r="M1842" s="48" t="n"/>
      <c r="N1842" s="48" t="n"/>
      <c r="O1842" s="51">
        <f>IF(AND(B1842="",G1842="",C1842="",D1842="",J1842=""),"",IF(B1842="","⚠ Falta fecha",IF(G1842="","⚠ Falta monto",IF(Q1842="","⚠ Falta cuenta",IF(ISNA(MATCH(Q1842,ctaNombre,0)),"⚠ Cuenta no registrada",IF(AND(OR(P1842="Gasto",P1842="Reembolso"),D1842=""),"⚠ Falta categoría",IF(AND(D1842&lt;&gt;"",E1842&lt;&gt;"",ISNA(MATCH(D1842&amp;"|"&amp;E1842,catClave,0))),"⚠ Subcategoría no corresponde",IF(AND(OR(P1842="Transferencia",P1842="Pago tarjeta"),K1842=""),"⚠ Falta cuenta destino",IF(AND(K1842&lt;&gt;"",P1842&lt;&gt;"Transferencia",P1842&lt;&gt;"Pago tarjeta"),"⚠ Destino solo aplica a transferencias",IF(AND(K1842&lt;&gt;"",K1842=Q1842),"⚠ Origen igual a destino",IF(AND(K1842&lt;&gt;"",ISNA(MATCH(K1842,ctaNombre,0))),"⚠ Destino no registrado",IF(AND(P1842="Pago tarjeta",AE1842&lt;&gt;"Tarjeta de crédito"),"⚠ El destino debe ser tarjeta de crédito",IF(AND(P1842="Gasto",E1842="Depósitos y retiros"),"⚠ Usa tipo Transferencia",IF(AND(P1842="Resultado trading",AD1842&lt;&gt;"Cuenta de trading"),"⚠ Usa una cuenta de trading",IF(AND(G1842&lt;=0,P1842&lt;&gt;"Ajuste",P1842&lt;&gt;"Resultado trading"),"⚠ El monto debe ser positivo","✓")))))))))))))))</f>
        <v/>
      </c>
      <c r="P1842" s="52">
        <f>IF(OR(B1842="",G1842=""),"",IF(C1842="","Gasto",C1842))</f>
        <v/>
      </c>
      <c r="Q1842" s="52">
        <f>IF(P1842="","",IF(J1842&lt;&gt;"",J1842,CuentaPred&amp;""))</f>
        <v/>
      </c>
      <c r="R1842" s="52">
        <f>IF(P1842="","",IF(ISNUMBER(I1842),I1842,TasaUSD))</f>
        <v/>
      </c>
      <c r="S1842" s="53">
        <f>IF(P1842="","",IF(H1842="USD",G1842*R1842,G1842))</f>
        <v/>
      </c>
      <c r="T1842" s="53">
        <f>IF(P1842="","",IF(H1842="USD",G1842,IF(R1842&gt;0,G1842/R1842,0)))</f>
        <v/>
      </c>
      <c r="U1842" s="53">
        <f>IF(P1842="","",IF(P1842="Gasto",S1842,IF(P1842="Reembolso",-S1842,0)))</f>
        <v/>
      </c>
      <c r="V1842" s="53">
        <f>IF(P1842="","",IF(P1842="Ingreso",S1842,0))</f>
        <v/>
      </c>
      <c r="W1842" s="53">
        <f>IF(P1842="","",IF(P1842="Resultado trading",S1842,0))</f>
        <v/>
      </c>
      <c r="X1842" s="52">
        <f>IF(OR(P1842="Gasto",P1842="Reembolso"),IF(M1842&lt;&gt;"",M1842,IFERROR(INDEX(catClasif,MATCH(D1842&amp;"|"&amp;E1842,catClave,0))&amp;"","Variable")),"")</f>
        <v/>
      </c>
      <c r="Y1842" s="52">
        <f>IF(P1842="","",IFERROR(INDEX(catGrupo,MATCH(D1842&amp;"|"&amp;E1842,catClave,0))&amp;"",""))</f>
        <v/>
      </c>
      <c r="Z1842" s="52">
        <f>IF(P1842="","",WEEKDAY(B1842,2))</f>
        <v/>
      </c>
      <c r="AA1842" s="52">
        <f>IF(P1842="","",IF(AND(P1842="Gasto",X1842="Variable",D1842&lt;&gt;catTrading,S1842&gt;0,S1842&lt;=Umbral),1,0))</f>
        <v/>
      </c>
      <c r="AB1842" s="52">
        <f>IF(OR(P1842="",Q1842=""),"",IFERROR(IF(INDEX(ctaVinc,MATCH(Q1842,ctaNombre,0))&amp;""&lt;&gt;"",INDEX(ctaVinc,MATCH(Q1842,ctaNombre,0))&amp;"",Q1842),Q1842))</f>
        <v/>
      </c>
      <c r="AC1842" s="52">
        <f>IF(OR(K1842="",AND(P1842&lt;&gt;"Transferencia",P1842&lt;&gt;"Pago tarjeta")),"",IFERROR(IF(INDEX(ctaVinc,MATCH(K1842,ctaNombre,0))&amp;""&lt;&gt;"",INDEX(ctaVinc,MATCH(K1842,ctaNombre,0))&amp;"",K1842),K1842))</f>
        <v/>
      </c>
      <c r="AD1842" s="52">
        <f>IF(AB1842="","",IFERROR(INDEX(ctaTipo,MATCH(AB1842,ctaNombre,0))&amp;"",""))</f>
        <v/>
      </c>
      <c r="AE1842" s="52">
        <f>IF(AC1842="","",IFERROR(INDEX(ctaTipo,MATCH(AC1842,ctaNombre,0))&amp;"",""))</f>
        <v/>
      </c>
      <c r="AF1842" s="53">
        <f>IF(OR(P1842="",AB1842=""),"",IF(OR(P1842="Gasto",P1842="Transferencia",P1842="Pago tarjeta"),-1,1)*IF(IFERROR(INDEX(ctaMoneda,MATCH(AB1842,ctaNombre,0))&amp;"","DOP")="USD",T1842,S1842))</f>
        <v/>
      </c>
      <c r="AG1842" s="53">
        <f>IF(AC1842="","",IF(IFERROR(INDEX(ctaMoneda,MATCH(AC1842,ctaNombre,0))&amp;"","DOP")="USD",T1842,S1842))</f>
        <v/>
      </c>
      <c r="AH1842" s="53">
        <f>IF(P1842="","",IF(AND(AD1842&lt;&gt;"",COUNTIFS(tcTipo,AD1842,tcLiq,"Sí")&gt;0),IF(OR(P1842="Gasto",P1842="Transferencia",P1842="Pago tarjeta"),-1,1)*S1842,0)+IF(AND(AE1842&lt;&gt;"",COUNTIFS(tcTipo,AE1842,tcLiq,"Sí")&gt;0),S1842,0))</f>
        <v/>
      </c>
      <c r="AI1842" s="52">
        <f>IF(OR(L1842="",P1842=""),"",IF(COUNTIFS(L$6:L1842,L1842,P$6:P1842,"?*")=1,MAX(AI$5:AI1841)+1,""))</f>
        <v/>
      </c>
    </row>
    <row r="1843">
      <c r="B1843" s="47" t="n"/>
      <c r="C1843" s="48" t="n"/>
      <c r="D1843" s="48" t="n"/>
      <c r="E1843" s="48" t="n"/>
      <c r="F1843" s="48" t="n"/>
      <c r="G1843" s="49" t="n"/>
      <c r="H1843" s="48" t="n"/>
      <c r="I1843" s="50" t="n"/>
      <c r="J1843" s="48" t="n"/>
      <c r="K1843" s="48" t="n"/>
      <c r="L1843" s="48" t="n"/>
      <c r="M1843" s="48" t="n"/>
      <c r="N1843" s="48" t="n"/>
      <c r="O1843" s="51">
        <f>IF(AND(B1843="",G1843="",C1843="",D1843="",J1843=""),"",IF(B1843="","⚠ Falta fecha",IF(G1843="","⚠ Falta monto",IF(Q1843="","⚠ Falta cuenta",IF(ISNA(MATCH(Q1843,ctaNombre,0)),"⚠ Cuenta no registrada",IF(AND(OR(P1843="Gasto",P1843="Reembolso"),D1843=""),"⚠ Falta categoría",IF(AND(D1843&lt;&gt;"",E1843&lt;&gt;"",ISNA(MATCH(D1843&amp;"|"&amp;E1843,catClave,0))),"⚠ Subcategoría no corresponde",IF(AND(OR(P1843="Transferencia",P1843="Pago tarjeta"),K1843=""),"⚠ Falta cuenta destino",IF(AND(K1843&lt;&gt;"",P1843&lt;&gt;"Transferencia",P1843&lt;&gt;"Pago tarjeta"),"⚠ Destino solo aplica a transferencias",IF(AND(K1843&lt;&gt;"",K1843=Q1843),"⚠ Origen igual a destino",IF(AND(K1843&lt;&gt;"",ISNA(MATCH(K1843,ctaNombre,0))),"⚠ Destino no registrado",IF(AND(P1843="Pago tarjeta",AE1843&lt;&gt;"Tarjeta de crédito"),"⚠ El destino debe ser tarjeta de crédito",IF(AND(P1843="Gasto",E1843="Depósitos y retiros"),"⚠ Usa tipo Transferencia",IF(AND(P1843="Resultado trading",AD1843&lt;&gt;"Cuenta de trading"),"⚠ Usa una cuenta de trading",IF(AND(G1843&lt;=0,P1843&lt;&gt;"Ajuste",P1843&lt;&gt;"Resultado trading"),"⚠ El monto debe ser positivo","✓")))))))))))))))</f>
        <v/>
      </c>
      <c r="P1843" s="52">
        <f>IF(OR(B1843="",G1843=""),"",IF(C1843="","Gasto",C1843))</f>
        <v/>
      </c>
      <c r="Q1843" s="52">
        <f>IF(P1843="","",IF(J1843&lt;&gt;"",J1843,CuentaPred&amp;""))</f>
        <v/>
      </c>
      <c r="R1843" s="52">
        <f>IF(P1843="","",IF(ISNUMBER(I1843),I1843,TasaUSD))</f>
        <v/>
      </c>
      <c r="S1843" s="53">
        <f>IF(P1843="","",IF(H1843="USD",G1843*R1843,G1843))</f>
        <v/>
      </c>
      <c r="T1843" s="53">
        <f>IF(P1843="","",IF(H1843="USD",G1843,IF(R1843&gt;0,G1843/R1843,0)))</f>
        <v/>
      </c>
      <c r="U1843" s="53">
        <f>IF(P1843="","",IF(P1843="Gasto",S1843,IF(P1843="Reembolso",-S1843,0)))</f>
        <v/>
      </c>
      <c r="V1843" s="53">
        <f>IF(P1843="","",IF(P1843="Ingreso",S1843,0))</f>
        <v/>
      </c>
      <c r="W1843" s="53">
        <f>IF(P1843="","",IF(P1843="Resultado trading",S1843,0))</f>
        <v/>
      </c>
      <c r="X1843" s="52">
        <f>IF(OR(P1843="Gasto",P1843="Reembolso"),IF(M1843&lt;&gt;"",M1843,IFERROR(INDEX(catClasif,MATCH(D1843&amp;"|"&amp;E1843,catClave,0))&amp;"","Variable")),"")</f>
        <v/>
      </c>
      <c r="Y1843" s="52">
        <f>IF(P1843="","",IFERROR(INDEX(catGrupo,MATCH(D1843&amp;"|"&amp;E1843,catClave,0))&amp;"",""))</f>
        <v/>
      </c>
      <c r="Z1843" s="52">
        <f>IF(P1843="","",WEEKDAY(B1843,2))</f>
        <v/>
      </c>
      <c r="AA1843" s="52">
        <f>IF(P1843="","",IF(AND(P1843="Gasto",X1843="Variable",D1843&lt;&gt;catTrading,S1843&gt;0,S1843&lt;=Umbral),1,0))</f>
        <v/>
      </c>
      <c r="AB1843" s="52">
        <f>IF(OR(P1843="",Q1843=""),"",IFERROR(IF(INDEX(ctaVinc,MATCH(Q1843,ctaNombre,0))&amp;""&lt;&gt;"",INDEX(ctaVinc,MATCH(Q1843,ctaNombre,0))&amp;"",Q1843),Q1843))</f>
        <v/>
      </c>
      <c r="AC1843" s="52">
        <f>IF(OR(K1843="",AND(P1843&lt;&gt;"Transferencia",P1843&lt;&gt;"Pago tarjeta")),"",IFERROR(IF(INDEX(ctaVinc,MATCH(K1843,ctaNombre,0))&amp;""&lt;&gt;"",INDEX(ctaVinc,MATCH(K1843,ctaNombre,0))&amp;"",K1843),K1843))</f>
        <v/>
      </c>
      <c r="AD1843" s="52">
        <f>IF(AB1843="","",IFERROR(INDEX(ctaTipo,MATCH(AB1843,ctaNombre,0))&amp;"",""))</f>
        <v/>
      </c>
      <c r="AE1843" s="52">
        <f>IF(AC1843="","",IFERROR(INDEX(ctaTipo,MATCH(AC1843,ctaNombre,0))&amp;"",""))</f>
        <v/>
      </c>
      <c r="AF1843" s="53">
        <f>IF(OR(P1843="",AB1843=""),"",IF(OR(P1843="Gasto",P1843="Transferencia",P1843="Pago tarjeta"),-1,1)*IF(IFERROR(INDEX(ctaMoneda,MATCH(AB1843,ctaNombre,0))&amp;"","DOP")="USD",T1843,S1843))</f>
        <v/>
      </c>
      <c r="AG1843" s="53">
        <f>IF(AC1843="","",IF(IFERROR(INDEX(ctaMoneda,MATCH(AC1843,ctaNombre,0))&amp;"","DOP")="USD",T1843,S1843))</f>
        <v/>
      </c>
      <c r="AH1843" s="53">
        <f>IF(P1843="","",IF(AND(AD1843&lt;&gt;"",COUNTIFS(tcTipo,AD1843,tcLiq,"Sí")&gt;0),IF(OR(P1843="Gasto",P1843="Transferencia",P1843="Pago tarjeta"),-1,1)*S1843,0)+IF(AND(AE1843&lt;&gt;"",COUNTIFS(tcTipo,AE1843,tcLiq,"Sí")&gt;0),S1843,0))</f>
        <v/>
      </c>
      <c r="AI1843" s="52">
        <f>IF(OR(L1843="",P1843=""),"",IF(COUNTIFS(L$6:L1843,L1843,P$6:P1843,"?*")=1,MAX(AI$5:AI1842)+1,""))</f>
        <v/>
      </c>
    </row>
    <row r="1844">
      <c r="B1844" s="47" t="n"/>
      <c r="C1844" s="48" t="n"/>
      <c r="D1844" s="48" t="n"/>
      <c r="E1844" s="48" t="n"/>
      <c r="F1844" s="48" t="n"/>
      <c r="G1844" s="49" t="n"/>
      <c r="H1844" s="48" t="n"/>
      <c r="I1844" s="50" t="n"/>
      <c r="J1844" s="48" t="n"/>
      <c r="K1844" s="48" t="n"/>
      <c r="L1844" s="48" t="n"/>
      <c r="M1844" s="48" t="n"/>
      <c r="N1844" s="48" t="n"/>
      <c r="O1844" s="51">
        <f>IF(AND(B1844="",G1844="",C1844="",D1844="",J1844=""),"",IF(B1844="","⚠ Falta fecha",IF(G1844="","⚠ Falta monto",IF(Q1844="","⚠ Falta cuenta",IF(ISNA(MATCH(Q1844,ctaNombre,0)),"⚠ Cuenta no registrada",IF(AND(OR(P1844="Gasto",P1844="Reembolso"),D1844=""),"⚠ Falta categoría",IF(AND(D1844&lt;&gt;"",E1844&lt;&gt;"",ISNA(MATCH(D1844&amp;"|"&amp;E1844,catClave,0))),"⚠ Subcategoría no corresponde",IF(AND(OR(P1844="Transferencia",P1844="Pago tarjeta"),K1844=""),"⚠ Falta cuenta destino",IF(AND(K1844&lt;&gt;"",P1844&lt;&gt;"Transferencia",P1844&lt;&gt;"Pago tarjeta"),"⚠ Destino solo aplica a transferencias",IF(AND(K1844&lt;&gt;"",K1844=Q1844),"⚠ Origen igual a destino",IF(AND(K1844&lt;&gt;"",ISNA(MATCH(K1844,ctaNombre,0))),"⚠ Destino no registrado",IF(AND(P1844="Pago tarjeta",AE1844&lt;&gt;"Tarjeta de crédito"),"⚠ El destino debe ser tarjeta de crédito",IF(AND(P1844="Gasto",E1844="Depósitos y retiros"),"⚠ Usa tipo Transferencia",IF(AND(P1844="Resultado trading",AD1844&lt;&gt;"Cuenta de trading"),"⚠ Usa una cuenta de trading",IF(AND(G1844&lt;=0,P1844&lt;&gt;"Ajuste",P1844&lt;&gt;"Resultado trading"),"⚠ El monto debe ser positivo","✓")))))))))))))))</f>
        <v/>
      </c>
      <c r="P1844" s="52">
        <f>IF(OR(B1844="",G1844=""),"",IF(C1844="","Gasto",C1844))</f>
        <v/>
      </c>
      <c r="Q1844" s="52">
        <f>IF(P1844="","",IF(J1844&lt;&gt;"",J1844,CuentaPred&amp;""))</f>
        <v/>
      </c>
      <c r="R1844" s="52">
        <f>IF(P1844="","",IF(ISNUMBER(I1844),I1844,TasaUSD))</f>
        <v/>
      </c>
      <c r="S1844" s="53">
        <f>IF(P1844="","",IF(H1844="USD",G1844*R1844,G1844))</f>
        <v/>
      </c>
      <c r="T1844" s="53">
        <f>IF(P1844="","",IF(H1844="USD",G1844,IF(R1844&gt;0,G1844/R1844,0)))</f>
        <v/>
      </c>
      <c r="U1844" s="53">
        <f>IF(P1844="","",IF(P1844="Gasto",S1844,IF(P1844="Reembolso",-S1844,0)))</f>
        <v/>
      </c>
      <c r="V1844" s="53">
        <f>IF(P1844="","",IF(P1844="Ingreso",S1844,0))</f>
        <v/>
      </c>
      <c r="W1844" s="53">
        <f>IF(P1844="","",IF(P1844="Resultado trading",S1844,0))</f>
        <v/>
      </c>
      <c r="X1844" s="52">
        <f>IF(OR(P1844="Gasto",P1844="Reembolso"),IF(M1844&lt;&gt;"",M1844,IFERROR(INDEX(catClasif,MATCH(D1844&amp;"|"&amp;E1844,catClave,0))&amp;"","Variable")),"")</f>
        <v/>
      </c>
      <c r="Y1844" s="52">
        <f>IF(P1844="","",IFERROR(INDEX(catGrupo,MATCH(D1844&amp;"|"&amp;E1844,catClave,0))&amp;"",""))</f>
        <v/>
      </c>
      <c r="Z1844" s="52">
        <f>IF(P1844="","",WEEKDAY(B1844,2))</f>
        <v/>
      </c>
      <c r="AA1844" s="52">
        <f>IF(P1844="","",IF(AND(P1844="Gasto",X1844="Variable",D1844&lt;&gt;catTrading,S1844&gt;0,S1844&lt;=Umbral),1,0))</f>
        <v/>
      </c>
      <c r="AB1844" s="52">
        <f>IF(OR(P1844="",Q1844=""),"",IFERROR(IF(INDEX(ctaVinc,MATCH(Q1844,ctaNombre,0))&amp;""&lt;&gt;"",INDEX(ctaVinc,MATCH(Q1844,ctaNombre,0))&amp;"",Q1844),Q1844))</f>
        <v/>
      </c>
      <c r="AC1844" s="52">
        <f>IF(OR(K1844="",AND(P1844&lt;&gt;"Transferencia",P1844&lt;&gt;"Pago tarjeta")),"",IFERROR(IF(INDEX(ctaVinc,MATCH(K1844,ctaNombre,0))&amp;""&lt;&gt;"",INDEX(ctaVinc,MATCH(K1844,ctaNombre,0))&amp;"",K1844),K1844))</f>
        <v/>
      </c>
      <c r="AD1844" s="52">
        <f>IF(AB1844="","",IFERROR(INDEX(ctaTipo,MATCH(AB1844,ctaNombre,0))&amp;"",""))</f>
        <v/>
      </c>
      <c r="AE1844" s="52">
        <f>IF(AC1844="","",IFERROR(INDEX(ctaTipo,MATCH(AC1844,ctaNombre,0))&amp;"",""))</f>
        <v/>
      </c>
      <c r="AF1844" s="53">
        <f>IF(OR(P1844="",AB1844=""),"",IF(OR(P1844="Gasto",P1844="Transferencia",P1844="Pago tarjeta"),-1,1)*IF(IFERROR(INDEX(ctaMoneda,MATCH(AB1844,ctaNombre,0))&amp;"","DOP")="USD",T1844,S1844))</f>
        <v/>
      </c>
      <c r="AG1844" s="53">
        <f>IF(AC1844="","",IF(IFERROR(INDEX(ctaMoneda,MATCH(AC1844,ctaNombre,0))&amp;"","DOP")="USD",T1844,S1844))</f>
        <v/>
      </c>
      <c r="AH1844" s="53">
        <f>IF(P1844="","",IF(AND(AD1844&lt;&gt;"",COUNTIFS(tcTipo,AD1844,tcLiq,"Sí")&gt;0),IF(OR(P1844="Gasto",P1844="Transferencia",P1844="Pago tarjeta"),-1,1)*S1844,0)+IF(AND(AE1844&lt;&gt;"",COUNTIFS(tcTipo,AE1844,tcLiq,"Sí")&gt;0),S1844,0))</f>
        <v/>
      </c>
      <c r="AI1844" s="52">
        <f>IF(OR(L1844="",P1844=""),"",IF(COUNTIFS(L$6:L1844,L1844,P$6:P1844,"?*")=1,MAX(AI$5:AI1843)+1,""))</f>
        <v/>
      </c>
    </row>
    <row r="1845">
      <c r="B1845" s="47" t="n"/>
      <c r="C1845" s="48" t="n"/>
      <c r="D1845" s="48" t="n"/>
      <c r="E1845" s="48" t="n"/>
      <c r="F1845" s="48" t="n"/>
      <c r="G1845" s="49" t="n"/>
      <c r="H1845" s="48" t="n"/>
      <c r="I1845" s="50" t="n"/>
      <c r="J1845" s="48" t="n"/>
      <c r="K1845" s="48" t="n"/>
      <c r="L1845" s="48" t="n"/>
      <c r="M1845" s="48" t="n"/>
      <c r="N1845" s="48" t="n"/>
      <c r="O1845" s="51">
        <f>IF(AND(B1845="",G1845="",C1845="",D1845="",J1845=""),"",IF(B1845="","⚠ Falta fecha",IF(G1845="","⚠ Falta monto",IF(Q1845="","⚠ Falta cuenta",IF(ISNA(MATCH(Q1845,ctaNombre,0)),"⚠ Cuenta no registrada",IF(AND(OR(P1845="Gasto",P1845="Reembolso"),D1845=""),"⚠ Falta categoría",IF(AND(D1845&lt;&gt;"",E1845&lt;&gt;"",ISNA(MATCH(D1845&amp;"|"&amp;E1845,catClave,0))),"⚠ Subcategoría no corresponde",IF(AND(OR(P1845="Transferencia",P1845="Pago tarjeta"),K1845=""),"⚠ Falta cuenta destino",IF(AND(K1845&lt;&gt;"",P1845&lt;&gt;"Transferencia",P1845&lt;&gt;"Pago tarjeta"),"⚠ Destino solo aplica a transferencias",IF(AND(K1845&lt;&gt;"",K1845=Q1845),"⚠ Origen igual a destino",IF(AND(K1845&lt;&gt;"",ISNA(MATCH(K1845,ctaNombre,0))),"⚠ Destino no registrado",IF(AND(P1845="Pago tarjeta",AE1845&lt;&gt;"Tarjeta de crédito"),"⚠ El destino debe ser tarjeta de crédito",IF(AND(P1845="Gasto",E1845="Depósitos y retiros"),"⚠ Usa tipo Transferencia",IF(AND(P1845="Resultado trading",AD1845&lt;&gt;"Cuenta de trading"),"⚠ Usa una cuenta de trading",IF(AND(G1845&lt;=0,P1845&lt;&gt;"Ajuste",P1845&lt;&gt;"Resultado trading"),"⚠ El monto debe ser positivo","✓")))))))))))))))</f>
        <v/>
      </c>
      <c r="P1845" s="52">
        <f>IF(OR(B1845="",G1845=""),"",IF(C1845="","Gasto",C1845))</f>
        <v/>
      </c>
      <c r="Q1845" s="52">
        <f>IF(P1845="","",IF(J1845&lt;&gt;"",J1845,CuentaPred&amp;""))</f>
        <v/>
      </c>
      <c r="R1845" s="52">
        <f>IF(P1845="","",IF(ISNUMBER(I1845),I1845,TasaUSD))</f>
        <v/>
      </c>
      <c r="S1845" s="53">
        <f>IF(P1845="","",IF(H1845="USD",G1845*R1845,G1845))</f>
        <v/>
      </c>
      <c r="T1845" s="53">
        <f>IF(P1845="","",IF(H1845="USD",G1845,IF(R1845&gt;0,G1845/R1845,0)))</f>
        <v/>
      </c>
      <c r="U1845" s="53">
        <f>IF(P1845="","",IF(P1845="Gasto",S1845,IF(P1845="Reembolso",-S1845,0)))</f>
        <v/>
      </c>
      <c r="V1845" s="53">
        <f>IF(P1845="","",IF(P1845="Ingreso",S1845,0))</f>
        <v/>
      </c>
      <c r="W1845" s="53">
        <f>IF(P1845="","",IF(P1845="Resultado trading",S1845,0))</f>
        <v/>
      </c>
      <c r="X1845" s="52">
        <f>IF(OR(P1845="Gasto",P1845="Reembolso"),IF(M1845&lt;&gt;"",M1845,IFERROR(INDEX(catClasif,MATCH(D1845&amp;"|"&amp;E1845,catClave,0))&amp;"","Variable")),"")</f>
        <v/>
      </c>
      <c r="Y1845" s="52">
        <f>IF(P1845="","",IFERROR(INDEX(catGrupo,MATCH(D1845&amp;"|"&amp;E1845,catClave,0))&amp;"",""))</f>
        <v/>
      </c>
      <c r="Z1845" s="52">
        <f>IF(P1845="","",WEEKDAY(B1845,2))</f>
        <v/>
      </c>
      <c r="AA1845" s="52">
        <f>IF(P1845="","",IF(AND(P1845="Gasto",X1845="Variable",D1845&lt;&gt;catTrading,S1845&gt;0,S1845&lt;=Umbral),1,0))</f>
        <v/>
      </c>
      <c r="AB1845" s="52">
        <f>IF(OR(P1845="",Q1845=""),"",IFERROR(IF(INDEX(ctaVinc,MATCH(Q1845,ctaNombre,0))&amp;""&lt;&gt;"",INDEX(ctaVinc,MATCH(Q1845,ctaNombre,0))&amp;"",Q1845),Q1845))</f>
        <v/>
      </c>
      <c r="AC1845" s="52">
        <f>IF(OR(K1845="",AND(P1845&lt;&gt;"Transferencia",P1845&lt;&gt;"Pago tarjeta")),"",IFERROR(IF(INDEX(ctaVinc,MATCH(K1845,ctaNombre,0))&amp;""&lt;&gt;"",INDEX(ctaVinc,MATCH(K1845,ctaNombre,0))&amp;"",K1845),K1845))</f>
        <v/>
      </c>
      <c r="AD1845" s="52">
        <f>IF(AB1845="","",IFERROR(INDEX(ctaTipo,MATCH(AB1845,ctaNombre,0))&amp;"",""))</f>
        <v/>
      </c>
      <c r="AE1845" s="52">
        <f>IF(AC1845="","",IFERROR(INDEX(ctaTipo,MATCH(AC1845,ctaNombre,0))&amp;"",""))</f>
        <v/>
      </c>
      <c r="AF1845" s="53">
        <f>IF(OR(P1845="",AB1845=""),"",IF(OR(P1845="Gasto",P1845="Transferencia",P1845="Pago tarjeta"),-1,1)*IF(IFERROR(INDEX(ctaMoneda,MATCH(AB1845,ctaNombre,0))&amp;"","DOP")="USD",T1845,S1845))</f>
        <v/>
      </c>
      <c r="AG1845" s="53">
        <f>IF(AC1845="","",IF(IFERROR(INDEX(ctaMoneda,MATCH(AC1845,ctaNombre,0))&amp;"","DOP")="USD",T1845,S1845))</f>
        <v/>
      </c>
      <c r="AH1845" s="53">
        <f>IF(P1845="","",IF(AND(AD1845&lt;&gt;"",COUNTIFS(tcTipo,AD1845,tcLiq,"Sí")&gt;0),IF(OR(P1845="Gasto",P1845="Transferencia",P1845="Pago tarjeta"),-1,1)*S1845,0)+IF(AND(AE1845&lt;&gt;"",COUNTIFS(tcTipo,AE1845,tcLiq,"Sí")&gt;0),S1845,0))</f>
        <v/>
      </c>
      <c r="AI1845" s="52">
        <f>IF(OR(L1845="",P1845=""),"",IF(COUNTIFS(L$6:L1845,L1845,P$6:P1845,"?*")=1,MAX(AI$5:AI1844)+1,""))</f>
        <v/>
      </c>
    </row>
    <row r="1846">
      <c r="B1846" s="47" t="n"/>
      <c r="C1846" s="48" t="n"/>
      <c r="D1846" s="48" t="n"/>
      <c r="E1846" s="48" t="n"/>
      <c r="F1846" s="48" t="n"/>
      <c r="G1846" s="49" t="n"/>
      <c r="H1846" s="48" t="n"/>
      <c r="I1846" s="50" t="n"/>
      <c r="J1846" s="48" t="n"/>
      <c r="K1846" s="48" t="n"/>
      <c r="L1846" s="48" t="n"/>
      <c r="M1846" s="48" t="n"/>
      <c r="N1846" s="48" t="n"/>
      <c r="O1846" s="51">
        <f>IF(AND(B1846="",G1846="",C1846="",D1846="",J1846=""),"",IF(B1846="","⚠ Falta fecha",IF(G1846="","⚠ Falta monto",IF(Q1846="","⚠ Falta cuenta",IF(ISNA(MATCH(Q1846,ctaNombre,0)),"⚠ Cuenta no registrada",IF(AND(OR(P1846="Gasto",P1846="Reembolso"),D1846=""),"⚠ Falta categoría",IF(AND(D1846&lt;&gt;"",E1846&lt;&gt;"",ISNA(MATCH(D1846&amp;"|"&amp;E1846,catClave,0))),"⚠ Subcategoría no corresponde",IF(AND(OR(P1846="Transferencia",P1846="Pago tarjeta"),K1846=""),"⚠ Falta cuenta destino",IF(AND(K1846&lt;&gt;"",P1846&lt;&gt;"Transferencia",P1846&lt;&gt;"Pago tarjeta"),"⚠ Destino solo aplica a transferencias",IF(AND(K1846&lt;&gt;"",K1846=Q1846),"⚠ Origen igual a destino",IF(AND(K1846&lt;&gt;"",ISNA(MATCH(K1846,ctaNombre,0))),"⚠ Destino no registrado",IF(AND(P1846="Pago tarjeta",AE1846&lt;&gt;"Tarjeta de crédito"),"⚠ El destino debe ser tarjeta de crédito",IF(AND(P1846="Gasto",E1846="Depósitos y retiros"),"⚠ Usa tipo Transferencia",IF(AND(P1846="Resultado trading",AD1846&lt;&gt;"Cuenta de trading"),"⚠ Usa una cuenta de trading",IF(AND(G1846&lt;=0,P1846&lt;&gt;"Ajuste",P1846&lt;&gt;"Resultado trading"),"⚠ El monto debe ser positivo","✓")))))))))))))))</f>
        <v/>
      </c>
      <c r="P1846" s="52">
        <f>IF(OR(B1846="",G1846=""),"",IF(C1846="","Gasto",C1846))</f>
        <v/>
      </c>
      <c r="Q1846" s="52">
        <f>IF(P1846="","",IF(J1846&lt;&gt;"",J1846,CuentaPred&amp;""))</f>
        <v/>
      </c>
      <c r="R1846" s="52">
        <f>IF(P1846="","",IF(ISNUMBER(I1846),I1846,TasaUSD))</f>
        <v/>
      </c>
      <c r="S1846" s="53">
        <f>IF(P1846="","",IF(H1846="USD",G1846*R1846,G1846))</f>
        <v/>
      </c>
      <c r="T1846" s="53">
        <f>IF(P1846="","",IF(H1846="USD",G1846,IF(R1846&gt;0,G1846/R1846,0)))</f>
        <v/>
      </c>
      <c r="U1846" s="53">
        <f>IF(P1846="","",IF(P1846="Gasto",S1846,IF(P1846="Reembolso",-S1846,0)))</f>
        <v/>
      </c>
      <c r="V1846" s="53">
        <f>IF(P1846="","",IF(P1846="Ingreso",S1846,0))</f>
        <v/>
      </c>
      <c r="W1846" s="53">
        <f>IF(P1846="","",IF(P1846="Resultado trading",S1846,0))</f>
        <v/>
      </c>
      <c r="X1846" s="52">
        <f>IF(OR(P1846="Gasto",P1846="Reembolso"),IF(M1846&lt;&gt;"",M1846,IFERROR(INDEX(catClasif,MATCH(D1846&amp;"|"&amp;E1846,catClave,0))&amp;"","Variable")),"")</f>
        <v/>
      </c>
      <c r="Y1846" s="52">
        <f>IF(P1846="","",IFERROR(INDEX(catGrupo,MATCH(D1846&amp;"|"&amp;E1846,catClave,0))&amp;"",""))</f>
        <v/>
      </c>
      <c r="Z1846" s="52">
        <f>IF(P1846="","",WEEKDAY(B1846,2))</f>
        <v/>
      </c>
      <c r="AA1846" s="52">
        <f>IF(P1846="","",IF(AND(P1846="Gasto",X1846="Variable",D1846&lt;&gt;catTrading,S1846&gt;0,S1846&lt;=Umbral),1,0))</f>
        <v/>
      </c>
      <c r="AB1846" s="52">
        <f>IF(OR(P1846="",Q1846=""),"",IFERROR(IF(INDEX(ctaVinc,MATCH(Q1846,ctaNombre,0))&amp;""&lt;&gt;"",INDEX(ctaVinc,MATCH(Q1846,ctaNombre,0))&amp;"",Q1846),Q1846))</f>
        <v/>
      </c>
      <c r="AC1846" s="52">
        <f>IF(OR(K1846="",AND(P1846&lt;&gt;"Transferencia",P1846&lt;&gt;"Pago tarjeta")),"",IFERROR(IF(INDEX(ctaVinc,MATCH(K1846,ctaNombre,0))&amp;""&lt;&gt;"",INDEX(ctaVinc,MATCH(K1846,ctaNombre,0))&amp;"",K1846),K1846))</f>
        <v/>
      </c>
      <c r="AD1846" s="52">
        <f>IF(AB1846="","",IFERROR(INDEX(ctaTipo,MATCH(AB1846,ctaNombre,0))&amp;"",""))</f>
        <v/>
      </c>
      <c r="AE1846" s="52">
        <f>IF(AC1846="","",IFERROR(INDEX(ctaTipo,MATCH(AC1846,ctaNombre,0))&amp;"",""))</f>
        <v/>
      </c>
      <c r="AF1846" s="53">
        <f>IF(OR(P1846="",AB1846=""),"",IF(OR(P1846="Gasto",P1846="Transferencia",P1846="Pago tarjeta"),-1,1)*IF(IFERROR(INDEX(ctaMoneda,MATCH(AB1846,ctaNombre,0))&amp;"","DOP")="USD",T1846,S1846))</f>
        <v/>
      </c>
      <c r="AG1846" s="53">
        <f>IF(AC1846="","",IF(IFERROR(INDEX(ctaMoneda,MATCH(AC1846,ctaNombre,0))&amp;"","DOP")="USD",T1846,S1846))</f>
        <v/>
      </c>
      <c r="AH1846" s="53">
        <f>IF(P1846="","",IF(AND(AD1846&lt;&gt;"",COUNTIFS(tcTipo,AD1846,tcLiq,"Sí")&gt;0),IF(OR(P1846="Gasto",P1846="Transferencia",P1846="Pago tarjeta"),-1,1)*S1846,0)+IF(AND(AE1846&lt;&gt;"",COUNTIFS(tcTipo,AE1846,tcLiq,"Sí")&gt;0),S1846,0))</f>
        <v/>
      </c>
      <c r="AI1846" s="52">
        <f>IF(OR(L1846="",P1846=""),"",IF(COUNTIFS(L$6:L1846,L1846,P$6:P1846,"?*")=1,MAX(AI$5:AI1845)+1,""))</f>
        <v/>
      </c>
    </row>
    <row r="1847">
      <c r="B1847" s="47" t="n"/>
      <c r="C1847" s="48" t="n"/>
      <c r="D1847" s="48" t="n"/>
      <c r="E1847" s="48" t="n"/>
      <c r="F1847" s="48" t="n"/>
      <c r="G1847" s="49" t="n"/>
      <c r="H1847" s="48" t="n"/>
      <c r="I1847" s="50" t="n"/>
      <c r="J1847" s="48" t="n"/>
      <c r="K1847" s="48" t="n"/>
      <c r="L1847" s="48" t="n"/>
      <c r="M1847" s="48" t="n"/>
      <c r="N1847" s="48" t="n"/>
      <c r="O1847" s="51">
        <f>IF(AND(B1847="",G1847="",C1847="",D1847="",J1847=""),"",IF(B1847="","⚠ Falta fecha",IF(G1847="","⚠ Falta monto",IF(Q1847="","⚠ Falta cuenta",IF(ISNA(MATCH(Q1847,ctaNombre,0)),"⚠ Cuenta no registrada",IF(AND(OR(P1847="Gasto",P1847="Reembolso"),D1847=""),"⚠ Falta categoría",IF(AND(D1847&lt;&gt;"",E1847&lt;&gt;"",ISNA(MATCH(D1847&amp;"|"&amp;E1847,catClave,0))),"⚠ Subcategoría no corresponde",IF(AND(OR(P1847="Transferencia",P1847="Pago tarjeta"),K1847=""),"⚠ Falta cuenta destino",IF(AND(K1847&lt;&gt;"",P1847&lt;&gt;"Transferencia",P1847&lt;&gt;"Pago tarjeta"),"⚠ Destino solo aplica a transferencias",IF(AND(K1847&lt;&gt;"",K1847=Q1847),"⚠ Origen igual a destino",IF(AND(K1847&lt;&gt;"",ISNA(MATCH(K1847,ctaNombre,0))),"⚠ Destino no registrado",IF(AND(P1847="Pago tarjeta",AE1847&lt;&gt;"Tarjeta de crédito"),"⚠ El destino debe ser tarjeta de crédito",IF(AND(P1847="Gasto",E1847="Depósitos y retiros"),"⚠ Usa tipo Transferencia",IF(AND(P1847="Resultado trading",AD1847&lt;&gt;"Cuenta de trading"),"⚠ Usa una cuenta de trading",IF(AND(G1847&lt;=0,P1847&lt;&gt;"Ajuste",P1847&lt;&gt;"Resultado trading"),"⚠ El monto debe ser positivo","✓")))))))))))))))</f>
        <v/>
      </c>
      <c r="P1847" s="52">
        <f>IF(OR(B1847="",G1847=""),"",IF(C1847="","Gasto",C1847))</f>
        <v/>
      </c>
      <c r="Q1847" s="52">
        <f>IF(P1847="","",IF(J1847&lt;&gt;"",J1847,CuentaPred&amp;""))</f>
        <v/>
      </c>
      <c r="R1847" s="52">
        <f>IF(P1847="","",IF(ISNUMBER(I1847),I1847,TasaUSD))</f>
        <v/>
      </c>
      <c r="S1847" s="53">
        <f>IF(P1847="","",IF(H1847="USD",G1847*R1847,G1847))</f>
        <v/>
      </c>
      <c r="T1847" s="53">
        <f>IF(P1847="","",IF(H1847="USD",G1847,IF(R1847&gt;0,G1847/R1847,0)))</f>
        <v/>
      </c>
      <c r="U1847" s="53">
        <f>IF(P1847="","",IF(P1847="Gasto",S1847,IF(P1847="Reembolso",-S1847,0)))</f>
        <v/>
      </c>
      <c r="V1847" s="53">
        <f>IF(P1847="","",IF(P1847="Ingreso",S1847,0))</f>
        <v/>
      </c>
      <c r="W1847" s="53">
        <f>IF(P1847="","",IF(P1847="Resultado trading",S1847,0))</f>
        <v/>
      </c>
      <c r="X1847" s="52">
        <f>IF(OR(P1847="Gasto",P1847="Reembolso"),IF(M1847&lt;&gt;"",M1847,IFERROR(INDEX(catClasif,MATCH(D1847&amp;"|"&amp;E1847,catClave,0))&amp;"","Variable")),"")</f>
        <v/>
      </c>
      <c r="Y1847" s="52">
        <f>IF(P1847="","",IFERROR(INDEX(catGrupo,MATCH(D1847&amp;"|"&amp;E1847,catClave,0))&amp;"",""))</f>
        <v/>
      </c>
      <c r="Z1847" s="52">
        <f>IF(P1847="","",WEEKDAY(B1847,2))</f>
        <v/>
      </c>
      <c r="AA1847" s="52">
        <f>IF(P1847="","",IF(AND(P1847="Gasto",X1847="Variable",D1847&lt;&gt;catTrading,S1847&gt;0,S1847&lt;=Umbral),1,0))</f>
        <v/>
      </c>
      <c r="AB1847" s="52">
        <f>IF(OR(P1847="",Q1847=""),"",IFERROR(IF(INDEX(ctaVinc,MATCH(Q1847,ctaNombre,0))&amp;""&lt;&gt;"",INDEX(ctaVinc,MATCH(Q1847,ctaNombre,0))&amp;"",Q1847),Q1847))</f>
        <v/>
      </c>
      <c r="AC1847" s="52">
        <f>IF(OR(K1847="",AND(P1847&lt;&gt;"Transferencia",P1847&lt;&gt;"Pago tarjeta")),"",IFERROR(IF(INDEX(ctaVinc,MATCH(K1847,ctaNombre,0))&amp;""&lt;&gt;"",INDEX(ctaVinc,MATCH(K1847,ctaNombre,0))&amp;"",K1847),K1847))</f>
        <v/>
      </c>
      <c r="AD1847" s="52">
        <f>IF(AB1847="","",IFERROR(INDEX(ctaTipo,MATCH(AB1847,ctaNombre,0))&amp;"",""))</f>
        <v/>
      </c>
      <c r="AE1847" s="52">
        <f>IF(AC1847="","",IFERROR(INDEX(ctaTipo,MATCH(AC1847,ctaNombre,0))&amp;"",""))</f>
        <v/>
      </c>
      <c r="AF1847" s="53">
        <f>IF(OR(P1847="",AB1847=""),"",IF(OR(P1847="Gasto",P1847="Transferencia",P1847="Pago tarjeta"),-1,1)*IF(IFERROR(INDEX(ctaMoneda,MATCH(AB1847,ctaNombre,0))&amp;"","DOP")="USD",T1847,S1847))</f>
        <v/>
      </c>
      <c r="AG1847" s="53">
        <f>IF(AC1847="","",IF(IFERROR(INDEX(ctaMoneda,MATCH(AC1847,ctaNombre,0))&amp;"","DOP")="USD",T1847,S1847))</f>
        <v/>
      </c>
      <c r="AH1847" s="53">
        <f>IF(P1847="","",IF(AND(AD1847&lt;&gt;"",COUNTIFS(tcTipo,AD1847,tcLiq,"Sí")&gt;0),IF(OR(P1847="Gasto",P1847="Transferencia",P1847="Pago tarjeta"),-1,1)*S1847,0)+IF(AND(AE1847&lt;&gt;"",COUNTIFS(tcTipo,AE1847,tcLiq,"Sí")&gt;0),S1847,0))</f>
        <v/>
      </c>
      <c r="AI1847" s="52">
        <f>IF(OR(L1847="",P1847=""),"",IF(COUNTIFS(L$6:L1847,L1847,P$6:P1847,"?*")=1,MAX(AI$5:AI1846)+1,""))</f>
        <v/>
      </c>
    </row>
    <row r="1848">
      <c r="B1848" s="47" t="n"/>
      <c r="C1848" s="48" t="n"/>
      <c r="D1848" s="48" t="n"/>
      <c r="E1848" s="48" t="n"/>
      <c r="F1848" s="48" t="n"/>
      <c r="G1848" s="49" t="n"/>
      <c r="H1848" s="48" t="n"/>
      <c r="I1848" s="50" t="n"/>
      <c r="J1848" s="48" t="n"/>
      <c r="K1848" s="48" t="n"/>
      <c r="L1848" s="48" t="n"/>
      <c r="M1848" s="48" t="n"/>
      <c r="N1848" s="48" t="n"/>
      <c r="O1848" s="51">
        <f>IF(AND(B1848="",G1848="",C1848="",D1848="",J1848=""),"",IF(B1848="","⚠ Falta fecha",IF(G1848="","⚠ Falta monto",IF(Q1848="","⚠ Falta cuenta",IF(ISNA(MATCH(Q1848,ctaNombre,0)),"⚠ Cuenta no registrada",IF(AND(OR(P1848="Gasto",P1848="Reembolso"),D1848=""),"⚠ Falta categoría",IF(AND(D1848&lt;&gt;"",E1848&lt;&gt;"",ISNA(MATCH(D1848&amp;"|"&amp;E1848,catClave,0))),"⚠ Subcategoría no corresponde",IF(AND(OR(P1848="Transferencia",P1848="Pago tarjeta"),K1848=""),"⚠ Falta cuenta destino",IF(AND(K1848&lt;&gt;"",P1848&lt;&gt;"Transferencia",P1848&lt;&gt;"Pago tarjeta"),"⚠ Destino solo aplica a transferencias",IF(AND(K1848&lt;&gt;"",K1848=Q1848),"⚠ Origen igual a destino",IF(AND(K1848&lt;&gt;"",ISNA(MATCH(K1848,ctaNombre,0))),"⚠ Destino no registrado",IF(AND(P1848="Pago tarjeta",AE1848&lt;&gt;"Tarjeta de crédito"),"⚠ El destino debe ser tarjeta de crédito",IF(AND(P1848="Gasto",E1848="Depósitos y retiros"),"⚠ Usa tipo Transferencia",IF(AND(P1848="Resultado trading",AD1848&lt;&gt;"Cuenta de trading"),"⚠ Usa una cuenta de trading",IF(AND(G1848&lt;=0,P1848&lt;&gt;"Ajuste",P1848&lt;&gt;"Resultado trading"),"⚠ El monto debe ser positivo","✓")))))))))))))))</f>
        <v/>
      </c>
      <c r="P1848" s="52">
        <f>IF(OR(B1848="",G1848=""),"",IF(C1848="","Gasto",C1848))</f>
        <v/>
      </c>
      <c r="Q1848" s="52">
        <f>IF(P1848="","",IF(J1848&lt;&gt;"",J1848,CuentaPred&amp;""))</f>
        <v/>
      </c>
      <c r="R1848" s="52">
        <f>IF(P1848="","",IF(ISNUMBER(I1848),I1848,TasaUSD))</f>
        <v/>
      </c>
      <c r="S1848" s="53">
        <f>IF(P1848="","",IF(H1848="USD",G1848*R1848,G1848))</f>
        <v/>
      </c>
      <c r="T1848" s="53">
        <f>IF(P1848="","",IF(H1848="USD",G1848,IF(R1848&gt;0,G1848/R1848,0)))</f>
        <v/>
      </c>
      <c r="U1848" s="53">
        <f>IF(P1848="","",IF(P1848="Gasto",S1848,IF(P1848="Reembolso",-S1848,0)))</f>
        <v/>
      </c>
      <c r="V1848" s="53">
        <f>IF(P1848="","",IF(P1848="Ingreso",S1848,0))</f>
        <v/>
      </c>
      <c r="W1848" s="53">
        <f>IF(P1848="","",IF(P1848="Resultado trading",S1848,0))</f>
        <v/>
      </c>
      <c r="X1848" s="52">
        <f>IF(OR(P1848="Gasto",P1848="Reembolso"),IF(M1848&lt;&gt;"",M1848,IFERROR(INDEX(catClasif,MATCH(D1848&amp;"|"&amp;E1848,catClave,0))&amp;"","Variable")),"")</f>
        <v/>
      </c>
      <c r="Y1848" s="52">
        <f>IF(P1848="","",IFERROR(INDEX(catGrupo,MATCH(D1848&amp;"|"&amp;E1848,catClave,0))&amp;"",""))</f>
        <v/>
      </c>
      <c r="Z1848" s="52">
        <f>IF(P1848="","",WEEKDAY(B1848,2))</f>
        <v/>
      </c>
      <c r="AA1848" s="52">
        <f>IF(P1848="","",IF(AND(P1848="Gasto",X1848="Variable",D1848&lt;&gt;catTrading,S1848&gt;0,S1848&lt;=Umbral),1,0))</f>
        <v/>
      </c>
      <c r="AB1848" s="52">
        <f>IF(OR(P1848="",Q1848=""),"",IFERROR(IF(INDEX(ctaVinc,MATCH(Q1848,ctaNombre,0))&amp;""&lt;&gt;"",INDEX(ctaVinc,MATCH(Q1848,ctaNombre,0))&amp;"",Q1848),Q1848))</f>
        <v/>
      </c>
      <c r="AC1848" s="52">
        <f>IF(OR(K1848="",AND(P1848&lt;&gt;"Transferencia",P1848&lt;&gt;"Pago tarjeta")),"",IFERROR(IF(INDEX(ctaVinc,MATCH(K1848,ctaNombre,0))&amp;""&lt;&gt;"",INDEX(ctaVinc,MATCH(K1848,ctaNombre,0))&amp;"",K1848),K1848))</f>
        <v/>
      </c>
      <c r="AD1848" s="52">
        <f>IF(AB1848="","",IFERROR(INDEX(ctaTipo,MATCH(AB1848,ctaNombre,0))&amp;"",""))</f>
        <v/>
      </c>
      <c r="AE1848" s="52">
        <f>IF(AC1848="","",IFERROR(INDEX(ctaTipo,MATCH(AC1848,ctaNombre,0))&amp;"",""))</f>
        <v/>
      </c>
      <c r="AF1848" s="53">
        <f>IF(OR(P1848="",AB1848=""),"",IF(OR(P1848="Gasto",P1848="Transferencia",P1848="Pago tarjeta"),-1,1)*IF(IFERROR(INDEX(ctaMoneda,MATCH(AB1848,ctaNombre,0))&amp;"","DOP")="USD",T1848,S1848))</f>
        <v/>
      </c>
      <c r="AG1848" s="53">
        <f>IF(AC1848="","",IF(IFERROR(INDEX(ctaMoneda,MATCH(AC1848,ctaNombre,0))&amp;"","DOP")="USD",T1848,S1848))</f>
        <v/>
      </c>
      <c r="AH1848" s="53">
        <f>IF(P1848="","",IF(AND(AD1848&lt;&gt;"",COUNTIFS(tcTipo,AD1848,tcLiq,"Sí")&gt;0),IF(OR(P1848="Gasto",P1848="Transferencia",P1848="Pago tarjeta"),-1,1)*S1848,0)+IF(AND(AE1848&lt;&gt;"",COUNTIFS(tcTipo,AE1848,tcLiq,"Sí")&gt;0),S1848,0))</f>
        <v/>
      </c>
      <c r="AI1848" s="52">
        <f>IF(OR(L1848="",P1848=""),"",IF(COUNTIFS(L$6:L1848,L1848,P$6:P1848,"?*")=1,MAX(AI$5:AI1847)+1,""))</f>
        <v/>
      </c>
    </row>
    <row r="1849">
      <c r="B1849" s="47" t="n"/>
      <c r="C1849" s="48" t="n"/>
      <c r="D1849" s="48" t="n"/>
      <c r="E1849" s="48" t="n"/>
      <c r="F1849" s="48" t="n"/>
      <c r="G1849" s="49" t="n"/>
      <c r="H1849" s="48" t="n"/>
      <c r="I1849" s="50" t="n"/>
      <c r="J1849" s="48" t="n"/>
      <c r="K1849" s="48" t="n"/>
      <c r="L1849" s="48" t="n"/>
      <c r="M1849" s="48" t="n"/>
      <c r="N1849" s="48" t="n"/>
      <c r="O1849" s="51">
        <f>IF(AND(B1849="",G1849="",C1849="",D1849="",J1849=""),"",IF(B1849="","⚠ Falta fecha",IF(G1849="","⚠ Falta monto",IF(Q1849="","⚠ Falta cuenta",IF(ISNA(MATCH(Q1849,ctaNombre,0)),"⚠ Cuenta no registrada",IF(AND(OR(P1849="Gasto",P1849="Reembolso"),D1849=""),"⚠ Falta categoría",IF(AND(D1849&lt;&gt;"",E1849&lt;&gt;"",ISNA(MATCH(D1849&amp;"|"&amp;E1849,catClave,0))),"⚠ Subcategoría no corresponde",IF(AND(OR(P1849="Transferencia",P1849="Pago tarjeta"),K1849=""),"⚠ Falta cuenta destino",IF(AND(K1849&lt;&gt;"",P1849&lt;&gt;"Transferencia",P1849&lt;&gt;"Pago tarjeta"),"⚠ Destino solo aplica a transferencias",IF(AND(K1849&lt;&gt;"",K1849=Q1849),"⚠ Origen igual a destino",IF(AND(K1849&lt;&gt;"",ISNA(MATCH(K1849,ctaNombre,0))),"⚠ Destino no registrado",IF(AND(P1849="Pago tarjeta",AE1849&lt;&gt;"Tarjeta de crédito"),"⚠ El destino debe ser tarjeta de crédito",IF(AND(P1849="Gasto",E1849="Depósitos y retiros"),"⚠ Usa tipo Transferencia",IF(AND(P1849="Resultado trading",AD1849&lt;&gt;"Cuenta de trading"),"⚠ Usa una cuenta de trading",IF(AND(G1849&lt;=0,P1849&lt;&gt;"Ajuste",P1849&lt;&gt;"Resultado trading"),"⚠ El monto debe ser positivo","✓")))))))))))))))</f>
        <v/>
      </c>
      <c r="P1849" s="52">
        <f>IF(OR(B1849="",G1849=""),"",IF(C1849="","Gasto",C1849))</f>
        <v/>
      </c>
      <c r="Q1849" s="52">
        <f>IF(P1849="","",IF(J1849&lt;&gt;"",J1849,CuentaPred&amp;""))</f>
        <v/>
      </c>
      <c r="R1849" s="52">
        <f>IF(P1849="","",IF(ISNUMBER(I1849),I1849,TasaUSD))</f>
        <v/>
      </c>
      <c r="S1849" s="53">
        <f>IF(P1849="","",IF(H1849="USD",G1849*R1849,G1849))</f>
        <v/>
      </c>
      <c r="T1849" s="53">
        <f>IF(P1849="","",IF(H1849="USD",G1849,IF(R1849&gt;0,G1849/R1849,0)))</f>
        <v/>
      </c>
      <c r="U1849" s="53">
        <f>IF(P1849="","",IF(P1849="Gasto",S1849,IF(P1849="Reembolso",-S1849,0)))</f>
        <v/>
      </c>
      <c r="V1849" s="53">
        <f>IF(P1849="","",IF(P1849="Ingreso",S1849,0))</f>
        <v/>
      </c>
      <c r="W1849" s="53">
        <f>IF(P1849="","",IF(P1849="Resultado trading",S1849,0))</f>
        <v/>
      </c>
      <c r="X1849" s="52">
        <f>IF(OR(P1849="Gasto",P1849="Reembolso"),IF(M1849&lt;&gt;"",M1849,IFERROR(INDEX(catClasif,MATCH(D1849&amp;"|"&amp;E1849,catClave,0))&amp;"","Variable")),"")</f>
        <v/>
      </c>
      <c r="Y1849" s="52">
        <f>IF(P1849="","",IFERROR(INDEX(catGrupo,MATCH(D1849&amp;"|"&amp;E1849,catClave,0))&amp;"",""))</f>
        <v/>
      </c>
      <c r="Z1849" s="52">
        <f>IF(P1849="","",WEEKDAY(B1849,2))</f>
        <v/>
      </c>
      <c r="AA1849" s="52">
        <f>IF(P1849="","",IF(AND(P1849="Gasto",X1849="Variable",D1849&lt;&gt;catTrading,S1849&gt;0,S1849&lt;=Umbral),1,0))</f>
        <v/>
      </c>
      <c r="AB1849" s="52">
        <f>IF(OR(P1849="",Q1849=""),"",IFERROR(IF(INDEX(ctaVinc,MATCH(Q1849,ctaNombre,0))&amp;""&lt;&gt;"",INDEX(ctaVinc,MATCH(Q1849,ctaNombre,0))&amp;"",Q1849),Q1849))</f>
        <v/>
      </c>
      <c r="AC1849" s="52">
        <f>IF(OR(K1849="",AND(P1849&lt;&gt;"Transferencia",P1849&lt;&gt;"Pago tarjeta")),"",IFERROR(IF(INDEX(ctaVinc,MATCH(K1849,ctaNombre,0))&amp;""&lt;&gt;"",INDEX(ctaVinc,MATCH(K1849,ctaNombre,0))&amp;"",K1849),K1849))</f>
        <v/>
      </c>
      <c r="AD1849" s="52">
        <f>IF(AB1849="","",IFERROR(INDEX(ctaTipo,MATCH(AB1849,ctaNombre,0))&amp;"",""))</f>
        <v/>
      </c>
      <c r="AE1849" s="52">
        <f>IF(AC1849="","",IFERROR(INDEX(ctaTipo,MATCH(AC1849,ctaNombre,0))&amp;"",""))</f>
        <v/>
      </c>
      <c r="AF1849" s="53">
        <f>IF(OR(P1849="",AB1849=""),"",IF(OR(P1849="Gasto",P1849="Transferencia",P1849="Pago tarjeta"),-1,1)*IF(IFERROR(INDEX(ctaMoneda,MATCH(AB1849,ctaNombre,0))&amp;"","DOP")="USD",T1849,S1849))</f>
        <v/>
      </c>
      <c r="AG1849" s="53">
        <f>IF(AC1849="","",IF(IFERROR(INDEX(ctaMoneda,MATCH(AC1849,ctaNombre,0))&amp;"","DOP")="USD",T1849,S1849))</f>
        <v/>
      </c>
      <c r="AH1849" s="53">
        <f>IF(P1849="","",IF(AND(AD1849&lt;&gt;"",COUNTIFS(tcTipo,AD1849,tcLiq,"Sí")&gt;0),IF(OR(P1849="Gasto",P1849="Transferencia",P1849="Pago tarjeta"),-1,1)*S1849,0)+IF(AND(AE1849&lt;&gt;"",COUNTIFS(tcTipo,AE1849,tcLiq,"Sí")&gt;0),S1849,0))</f>
        <v/>
      </c>
      <c r="AI1849" s="52">
        <f>IF(OR(L1849="",P1849=""),"",IF(COUNTIFS(L$6:L1849,L1849,P$6:P1849,"?*")=1,MAX(AI$5:AI1848)+1,""))</f>
        <v/>
      </c>
    </row>
    <row r="1850">
      <c r="B1850" s="47" t="n"/>
      <c r="C1850" s="48" t="n"/>
      <c r="D1850" s="48" t="n"/>
      <c r="E1850" s="48" t="n"/>
      <c r="F1850" s="48" t="n"/>
      <c r="G1850" s="49" t="n"/>
      <c r="H1850" s="48" t="n"/>
      <c r="I1850" s="50" t="n"/>
      <c r="J1850" s="48" t="n"/>
      <c r="K1850" s="48" t="n"/>
      <c r="L1850" s="48" t="n"/>
      <c r="M1850" s="48" t="n"/>
      <c r="N1850" s="48" t="n"/>
      <c r="O1850" s="51">
        <f>IF(AND(B1850="",G1850="",C1850="",D1850="",J1850=""),"",IF(B1850="","⚠ Falta fecha",IF(G1850="","⚠ Falta monto",IF(Q1850="","⚠ Falta cuenta",IF(ISNA(MATCH(Q1850,ctaNombre,0)),"⚠ Cuenta no registrada",IF(AND(OR(P1850="Gasto",P1850="Reembolso"),D1850=""),"⚠ Falta categoría",IF(AND(D1850&lt;&gt;"",E1850&lt;&gt;"",ISNA(MATCH(D1850&amp;"|"&amp;E1850,catClave,0))),"⚠ Subcategoría no corresponde",IF(AND(OR(P1850="Transferencia",P1850="Pago tarjeta"),K1850=""),"⚠ Falta cuenta destino",IF(AND(K1850&lt;&gt;"",P1850&lt;&gt;"Transferencia",P1850&lt;&gt;"Pago tarjeta"),"⚠ Destino solo aplica a transferencias",IF(AND(K1850&lt;&gt;"",K1850=Q1850),"⚠ Origen igual a destino",IF(AND(K1850&lt;&gt;"",ISNA(MATCH(K1850,ctaNombre,0))),"⚠ Destino no registrado",IF(AND(P1850="Pago tarjeta",AE1850&lt;&gt;"Tarjeta de crédito"),"⚠ El destino debe ser tarjeta de crédito",IF(AND(P1850="Gasto",E1850="Depósitos y retiros"),"⚠ Usa tipo Transferencia",IF(AND(P1850="Resultado trading",AD1850&lt;&gt;"Cuenta de trading"),"⚠ Usa una cuenta de trading",IF(AND(G1850&lt;=0,P1850&lt;&gt;"Ajuste",P1850&lt;&gt;"Resultado trading"),"⚠ El monto debe ser positivo","✓")))))))))))))))</f>
        <v/>
      </c>
      <c r="P1850" s="52">
        <f>IF(OR(B1850="",G1850=""),"",IF(C1850="","Gasto",C1850))</f>
        <v/>
      </c>
      <c r="Q1850" s="52">
        <f>IF(P1850="","",IF(J1850&lt;&gt;"",J1850,CuentaPred&amp;""))</f>
        <v/>
      </c>
      <c r="R1850" s="52">
        <f>IF(P1850="","",IF(ISNUMBER(I1850),I1850,TasaUSD))</f>
        <v/>
      </c>
      <c r="S1850" s="53">
        <f>IF(P1850="","",IF(H1850="USD",G1850*R1850,G1850))</f>
        <v/>
      </c>
      <c r="T1850" s="53">
        <f>IF(P1850="","",IF(H1850="USD",G1850,IF(R1850&gt;0,G1850/R1850,0)))</f>
        <v/>
      </c>
      <c r="U1850" s="53">
        <f>IF(P1850="","",IF(P1850="Gasto",S1850,IF(P1850="Reembolso",-S1850,0)))</f>
        <v/>
      </c>
      <c r="V1850" s="53">
        <f>IF(P1850="","",IF(P1850="Ingreso",S1850,0))</f>
        <v/>
      </c>
      <c r="W1850" s="53">
        <f>IF(P1850="","",IF(P1850="Resultado trading",S1850,0))</f>
        <v/>
      </c>
      <c r="X1850" s="52">
        <f>IF(OR(P1850="Gasto",P1850="Reembolso"),IF(M1850&lt;&gt;"",M1850,IFERROR(INDEX(catClasif,MATCH(D1850&amp;"|"&amp;E1850,catClave,0))&amp;"","Variable")),"")</f>
        <v/>
      </c>
      <c r="Y1850" s="52">
        <f>IF(P1850="","",IFERROR(INDEX(catGrupo,MATCH(D1850&amp;"|"&amp;E1850,catClave,0))&amp;"",""))</f>
        <v/>
      </c>
      <c r="Z1850" s="52">
        <f>IF(P1850="","",WEEKDAY(B1850,2))</f>
        <v/>
      </c>
      <c r="AA1850" s="52">
        <f>IF(P1850="","",IF(AND(P1850="Gasto",X1850="Variable",D1850&lt;&gt;catTrading,S1850&gt;0,S1850&lt;=Umbral),1,0))</f>
        <v/>
      </c>
      <c r="AB1850" s="52">
        <f>IF(OR(P1850="",Q1850=""),"",IFERROR(IF(INDEX(ctaVinc,MATCH(Q1850,ctaNombre,0))&amp;""&lt;&gt;"",INDEX(ctaVinc,MATCH(Q1850,ctaNombre,0))&amp;"",Q1850),Q1850))</f>
        <v/>
      </c>
      <c r="AC1850" s="52">
        <f>IF(OR(K1850="",AND(P1850&lt;&gt;"Transferencia",P1850&lt;&gt;"Pago tarjeta")),"",IFERROR(IF(INDEX(ctaVinc,MATCH(K1850,ctaNombre,0))&amp;""&lt;&gt;"",INDEX(ctaVinc,MATCH(K1850,ctaNombre,0))&amp;"",K1850),K1850))</f>
        <v/>
      </c>
      <c r="AD1850" s="52">
        <f>IF(AB1850="","",IFERROR(INDEX(ctaTipo,MATCH(AB1850,ctaNombre,0))&amp;"",""))</f>
        <v/>
      </c>
      <c r="AE1850" s="52">
        <f>IF(AC1850="","",IFERROR(INDEX(ctaTipo,MATCH(AC1850,ctaNombre,0))&amp;"",""))</f>
        <v/>
      </c>
      <c r="AF1850" s="53">
        <f>IF(OR(P1850="",AB1850=""),"",IF(OR(P1850="Gasto",P1850="Transferencia",P1850="Pago tarjeta"),-1,1)*IF(IFERROR(INDEX(ctaMoneda,MATCH(AB1850,ctaNombre,0))&amp;"","DOP")="USD",T1850,S1850))</f>
        <v/>
      </c>
      <c r="AG1850" s="53">
        <f>IF(AC1850="","",IF(IFERROR(INDEX(ctaMoneda,MATCH(AC1850,ctaNombre,0))&amp;"","DOP")="USD",T1850,S1850))</f>
        <v/>
      </c>
      <c r="AH1850" s="53">
        <f>IF(P1850="","",IF(AND(AD1850&lt;&gt;"",COUNTIFS(tcTipo,AD1850,tcLiq,"Sí")&gt;0),IF(OR(P1850="Gasto",P1850="Transferencia",P1850="Pago tarjeta"),-1,1)*S1850,0)+IF(AND(AE1850&lt;&gt;"",COUNTIFS(tcTipo,AE1850,tcLiq,"Sí")&gt;0),S1850,0))</f>
        <v/>
      </c>
      <c r="AI1850" s="52">
        <f>IF(OR(L1850="",P1850=""),"",IF(COUNTIFS(L$6:L1850,L1850,P$6:P1850,"?*")=1,MAX(AI$5:AI1849)+1,""))</f>
        <v/>
      </c>
    </row>
    <row r="1851">
      <c r="B1851" s="47" t="n"/>
      <c r="C1851" s="48" t="n"/>
      <c r="D1851" s="48" t="n"/>
      <c r="E1851" s="48" t="n"/>
      <c r="F1851" s="48" t="n"/>
      <c r="G1851" s="49" t="n"/>
      <c r="H1851" s="48" t="n"/>
      <c r="I1851" s="50" t="n"/>
      <c r="J1851" s="48" t="n"/>
      <c r="K1851" s="48" t="n"/>
      <c r="L1851" s="48" t="n"/>
      <c r="M1851" s="48" t="n"/>
      <c r="N1851" s="48" t="n"/>
      <c r="O1851" s="51">
        <f>IF(AND(B1851="",G1851="",C1851="",D1851="",J1851=""),"",IF(B1851="","⚠ Falta fecha",IF(G1851="","⚠ Falta monto",IF(Q1851="","⚠ Falta cuenta",IF(ISNA(MATCH(Q1851,ctaNombre,0)),"⚠ Cuenta no registrada",IF(AND(OR(P1851="Gasto",P1851="Reembolso"),D1851=""),"⚠ Falta categoría",IF(AND(D1851&lt;&gt;"",E1851&lt;&gt;"",ISNA(MATCH(D1851&amp;"|"&amp;E1851,catClave,0))),"⚠ Subcategoría no corresponde",IF(AND(OR(P1851="Transferencia",P1851="Pago tarjeta"),K1851=""),"⚠ Falta cuenta destino",IF(AND(K1851&lt;&gt;"",P1851&lt;&gt;"Transferencia",P1851&lt;&gt;"Pago tarjeta"),"⚠ Destino solo aplica a transferencias",IF(AND(K1851&lt;&gt;"",K1851=Q1851),"⚠ Origen igual a destino",IF(AND(K1851&lt;&gt;"",ISNA(MATCH(K1851,ctaNombre,0))),"⚠ Destino no registrado",IF(AND(P1851="Pago tarjeta",AE1851&lt;&gt;"Tarjeta de crédito"),"⚠ El destino debe ser tarjeta de crédito",IF(AND(P1851="Gasto",E1851="Depósitos y retiros"),"⚠ Usa tipo Transferencia",IF(AND(P1851="Resultado trading",AD1851&lt;&gt;"Cuenta de trading"),"⚠ Usa una cuenta de trading",IF(AND(G1851&lt;=0,P1851&lt;&gt;"Ajuste",P1851&lt;&gt;"Resultado trading"),"⚠ El monto debe ser positivo","✓")))))))))))))))</f>
        <v/>
      </c>
      <c r="P1851" s="52">
        <f>IF(OR(B1851="",G1851=""),"",IF(C1851="","Gasto",C1851))</f>
        <v/>
      </c>
      <c r="Q1851" s="52">
        <f>IF(P1851="","",IF(J1851&lt;&gt;"",J1851,CuentaPred&amp;""))</f>
        <v/>
      </c>
      <c r="R1851" s="52">
        <f>IF(P1851="","",IF(ISNUMBER(I1851),I1851,TasaUSD))</f>
        <v/>
      </c>
      <c r="S1851" s="53">
        <f>IF(P1851="","",IF(H1851="USD",G1851*R1851,G1851))</f>
        <v/>
      </c>
      <c r="T1851" s="53">
        <f>IF(P1851="","",IF(H1851="USD",G1851,IF(R1851&gt;0,G1851/R1851,0)))</f>
        <v/>
      </c>
      <c r="U1851" s="53">
        <f>IF(P1851="","",IF(P1851="Gasto",S1851,IF(P1851="Reembolso",-S1851,0)))</f>
        <v/>
      </c>
      <c r="V1851" s="53">
        <f>IF(P1851="","",IF(P1851="Ingreso",S1851,0))</f>
        <v/>
      </c>
      <c r="W1851" s="53">
        <f>IF(P1851="","",IF(P1851="Resultado trading",S1851,0))</f>
        <v/>
      </c>
      <c r="X1851" s="52">
        <f>IF(OR(P1851="Gasto",P1851="Reembolso"),IF(M1851&lt;&gt;"",M1851,IFERROR(INDEX(catClasif,MATCH(D1851&amp;"|"&amp;E1851,catClave,0))&amp;"","Variable")),"")</f>
        <v/>
      </c>
      <c r="Y1851" s="52">
        <f>IF(P1851="","",IFERROR(INDEX(catGrupo,MATCH(D1851&amp;"|"&amp;E1851,catClave,0))&amp;"",""))</f>
        <v/>
      </c>
      <c r="Z1851" s="52">
        <f>IF(P1851="","",WEEKDAY(B1851,2))</f>
        <v/>
      </c>
      <c r="AA1851" s="52">
        <f>IF(P1851="","",IF(AND(P1851="Gasto",X1851="Variable",D1851&lt;&gt;catTrading,S1851&gt;0,S1851&lt;=Umbral),1,0))</f>
        <v/>
      </c>
      <c r="AB1851" s="52">
        <f>IF(OR(P1851="",Q1851=""),"",IFERROR(IF(INDEX(ctaVinc,MATCH(Q1851,ctaNombre,0))&amp;""&lt;&gt;"",INDEX(ctaVinc,MATCH(Q1851,ctaNombre,0))&amp;"",Q1851),Q1851))</f>
        <v/>
      </c>
      <c r="AC1851" s="52">
        <f>IF(OR(K1851="",AND(P1851&lt;&gt;"Transferencia",P1851&lt;&gt;"Pago tarjeta")),"",IFERROR(IF(INDEX(ctaVinc,MATCH(K1851,ctaNombre,0))&amp;""&lt;&gt;"",INDEX(ctaVinc,MATCH(K1851,ctaNombre,0))&amp;"",K1851),K1851))</f>
        <v/>
      </c>
      <c r="AD1851" s="52">
        <f>IF(AB1851="","",IFERROR(INDEX(ctaTipo,MATCH(AB1851,ctaNombre,0))&amp;"",""))</f>
        <v/>
      </c>
      <c r="AE1851" s="52">
        <f>IF(AC1851="","",IFERROR(INDEX(ctaTipo,MATCH(AC1851,ctaNombre,0))&amp;"",""))</f>
        <v/>
      </c>
      <c r="AF1851" s="53">
        <f>IF(OR(P1851="",AB1851=""),"",IF(OR(P1851="Gasto",P1851="Transferencia",P1851="Pago tarjeta"),-1,1)*IF(IFERROR(INDEX(ctaMoneda,MATCH(AB1851,ctaNombre,0))&amp;"","DOP")="USD",T1851,S1851))</f>
        <v/>
      </c>
      <c r="AG1851" s="53">
        <f>IF(AC1851="","",IF(IFERROR(INDEX(ctaMoneda,MATCH(AC1851,ctaNombre,0))&amp;"","DOP")="USD",T1851,S1851))</f>
        <v/>
      </c>
      <c r="AH1851" s="53">
        <f>IF(P1851="","",IF(AND(AD1851&lt;&gt;"",COUNTIFS(tcTipo,AD1851,tcLiq,"Sí")&gt;0),IF(OR(P1851="Gasto",P1851="Transferencia",P1851="Pago tarjeta"),-1,1)*S1851,0)+IF(AND(AE1851&lt;&gt;"",COUNTIFS(tcTipo,AE1851,tcLiq,"Sí")&gt;0),S1851,0))</f>
        <v/>
      </c>
      <c r="AI1851" s="52">
        <f>IF(OR(L1851="",P1851=""),"",IF(COUNTIFS(L$6:L1851,L1851,P$6:P1851,"?*")=1,MAX(AI$5:AI1850)+1,""))</f>
        <v/>
      </c>
    </row>
    <row r="1852">
      <c r="B1852" s="47" t="n"/>
      <c r="C1852" s="48" t="n"/>
      <c r="D1852" s="48" t="n"/>
      <c r="E1852" s="48" t="n"/>
      <c r="F1852" s="48" t="n"/>
      <c r="G1852" s="49" t="n"/>
      <c r="H1852" s="48" t="n"/>
      <c r="I1852" s="50" t="n"/>
      <c r="J1852" s="48" t="n"/>
      <c r="K1852" s="48" t="n"/>
      <c r="L1852" s="48" t="n"/>
      <c r="M1852" s="48" t="n"/>
      <c r="N1852" s="48" t="n"/>
      <c r="O1852" s="51">
        <f>IF(AND(B1852="",G1852="",C1852="",D1852="",J1852=""),"",IF(B1852="","⚠ Falta fecha",IF(G1852="","⚠ Falta monto",IF(Q1852="","⚠ Falta cuenta",IF(ISNA(MATCH(Q1852,ctaNombre,0)),"⚠ Cuenta no registrada",IF(AND(OR(P1852="Gasto",P1852="Reembolso"),D1852=""),"⚠ Falta categoría",IF(AND(D1852&lt;&gt;"",E1852&lt;&gt;"",ISNA(MATCH(D1852&amp;"|"&amp;E1852,catClave,0))),"⚠ Subcategoría no corresponde",IF(AND(OR(P1852="Transferencia",P1852="Pago tarjeta"),K1852=""),"⚠ Falta cuenta destino",IF(AND(K1852&lt;&gt;"",P1852&lt;&gt;"Transferencia",P1852&lt;&gt;"Pago tarjeta"),"⚠ Destino solo aplica a transferencias",IF(AND(K1852&lt;&gt;"",K1852=Q1852),"⚠ Origen igual a destino",IF(AND(K1852&lt;&gt;"",ISNA(MATCH(K1852,ctaNombre,0))),"⚠ Destino no registrado",IF(AND(P1852="Pago tarjeta",AE1852&lt;&gt;"Tarjeta de crédito"),"⚠ El destino debe ser tarjeta de crédito",IF(AND(P1852="Gasto",E1852="Depósitos y retiros"),"⚠ Usa tipo Transferencia",IF(AND(P1852="Resultado trading",AD1852&lt;&gt;"Cuenta de trading"),"⚠ Usa una cuenta de trading",IF(AND(G1852&lt;=0,P1852&lt;&gt;"Ajuste",P1852&lt;&gt;"Resultado trading"),"⚠ El monto debe ser positivo","✓")))))))))))))))</f>
        <v/>
      </c>
      <c r="P1852" s="52">
        <f>IF(OR(B1852="",G1852=""),"",IF(C1852="","Gasto",C1852))</f>
        <v/>
      </c>
      <c r="Q1852" s="52">
        <f>IF(P1852="","",IF(J1852&lt;&gt;"",J1852,CuentaPred&amp;""))</f>
        <v/>
      </c>
      <c r="R1852" s="52">
        <f>IF(P1852="","",IF(ISNUMBER(I1852),I1852,TasaUSD))</f>
        <v/>
      </c>
      <c r="S1852" s="53">
        <f>IF(P1852="","",IF(H1852="USD",G1852*R1852,G1852))</f>
        <v/>
      </c>
      <c r="T1852" s="53">
        <f>IF(P1852="","",IF(H1852="USD",G1852,IF(R1852&gt;0,G1852/R1852,0)))</f>
        <v/>
      </c>
      <c r="U1852" s="53">
        <f>IF(P1852="","",IF(P1852="Gasto",S1852,IF(P1852="Reembolso",-S1852,0)))</f>
        <v/>
      </c>
      <c r="V1852" s="53">
        <f>IF(P1852="","",IF(P1852="Ingreso",S1852,0))</f>
        <v/>
      </c>
      <c r="W1852" s="53">
        <f>IF(P1852="","",IF(P1852="Resultado trading",S1852,0))</f>
        <v/>
      </c>
      <c r="X1852" s="52">
        <f>IF(OR(P1852="Gasto",P1852="Reembolso"),IF(M1852&lt;&gt;"",M1852,IFERROR(INDEX(catClasif,MATCH(D1852&amp;"|"&amp;E1852,catClave,0))&amp;"","Variable")),"")</f>
        <v/>
      </c>
      <c r="Y1852" s="52">
        <f>IF(P1852="","",IFERROR(INDEX(catGrupo,MATCH(D1852&amp;"|"&amp;E1852,catClave,0))&amp;"",""))</f>
        <v/>
      </c>
      <c r="Z1852" s="52">
        <f>IF(P1852="","",WEEKDAY(B1852,2))</f>
        <v/>
      </c>
      <c r="AA1852" s="52">
        <f>IF(P1852="","",IF(AND(P1852="Gasto",X1852="Variable",D1852&lt;&gt;catTrading,S1852&gt;0,S1852&lt;=Umbral),1,0))</f>
        <v/>
      </c>
      <c r="AB1852" s="52">
        <f>IF(OR(P1852="",Q1852=""),"",IFERROR(IF(INDEX(ctaVinc,MATCH(Q1852,ctaNombre,0))&amp;""&lt;&gt;"",INDEX(ctaVinc,MATCH(Q1852,ctaNombre,0))&amp;"",Q1852),Q1852))</f>
        <v/>
      </c>
      <c r="AC1852" s="52">
        <f>IF(OR(K1852="",AND(P1852&lt;&gt;"Transferencia",P1852&lt;&gt;"Pago tarjeta")),"",IFERROR(IF(INDEX(ctaVinc,MATCH(K1852,ctaNombre,0))&amp;""&lt;&gt;"",INDEX(ctaVinc,MATCH(K1852,ctaNombre,0))&amp;"",K1852),K1852))</f>
        <v/>
      </c>
      <c r="AD1852" s="52">
        <f>IF(AB1852="","",IFERROR(INDEX(ctaTipo,MATCH(AB1852,ctaNombre,0))&amp;"",""))</f>
        <v/>
      </c>
      <c r="AE1852" s="52">
        <f>IF(AC1852="","",IFERROR(INDEX(ctaTipo,MATCH(AC1852,ctaNombre,0))&amp;"",""))</f>
        <v/>
      </c>
      <c r="AF1852" s="53">
        <f>IF(OR(P1852="",AB1852=""),"",IF(OR(P1852="Gasto",P1852="Transferencia",P1852="Pago tarjeta"),-1,1)*IF(IFERROR(INDEX(ctaMoneda,MATCH(AB1852,ctaNombre,0))&amp;"","DOP")="USD",T1852,S1852))</f>
        <v/>
      </c>
      <c r="AG1852" s="53">
        <f>IF(AC1852="","",IF(IFERROR(INDEX(ctaMoneda,MATCH(AC1852,ctaNombre,0))&amp;"","DOP")="USD",T1852,S1852))</f>
        <v/>
      </c>
      <c r="AH1852" s="53">
        <f>IF(P1852="","",IF(AND(AD1852&lt;&gt;"",COUNTIFS(tcTipo,AD1852,tcLiq,"Sí")&gt;0),IF(OR(P1852="Gasto",P1852="Transferencia",P1852="Pago tarjeta"),-1,1)*S1852,0)+IF(AND(AE1852&lt;&gt;"",COUNTIFS(tcTipo,AE1852,tcLiq,"Sí")&gt;0),S1852,0))</f>
        <v/>
      </c>
      <c r="AI1852" s="52">
        <f>IF(OR(L1852="",P1852=""),"",IF(COUNTIFS(L$6:L1852,L1852,P$6:P1852,"?*")=1,MAX(AI$5:AI1851)+1,""))</f>
        <v/>
      </c>
    </row>
    <row r="1853">
      <c r="B1853" s="47" t="n"/>
      <c r="C1853" s="48" t="n"/>
      <c r="D1853" s="48" t="n"/>
      <c r="E1853" s="48" t="n"/>
      <c r="F1853" s="48" t="n"/>
      <c r="G1853" s="49" t="n"/>
      <c r="H1853" s="48" t="n"/>
      <c r="I1853" s="50" t="n"/>
      <c r="J1853" s="48" t="n"/>
      <c r="K1853" s="48" t="n"/>
      <c r="L1853" s="48" t="n"/>
      <c r="M1853" s="48" t="n"/>
      <c r="N1853" s="48" t="n"/>
      <c r="O1853" s="51">
        <f>IF(AND(B1853="",G1853="",C1853="",D1853="",J1853=""),"",IF(B1853="","⚠ Falta fecha",IF(G1853="","⚠ Falta monto",IF(Q1853="","⚠ Falta cuenta",IF(ISNA(MATCH(Q1853,ctaNombre,0)),"⚠ Cuenta no registrada",IF(AND(OR(P1853="Gasto",P1853="Reembolso"),D1853=""),"⚠ Falta categoría",IF(AND(D1853&lt;&gt;"",E1853&lt;&gt;"",ISNA(MATCH(D1853&amp;"|"&amp;E1853,catClave,0))),"⚠ Subcategoría no corresponde",IF(AND(OR(P1853="Transferencia",P1853="Pago tarjeta"),K1853=""),"⚠ Falta cuenta destino",IF(AND(K1853&lt;&gt;"",P1853&lt;&gt;"Transferencia",P1853&lt;&gt;"Pago tarjeta"),"⚠ Destino solo aplica a transferencias",IF(AND(K1853&lt;&gt;"",K1853=Q1853),"⚠ Origen igual a destino",IF(AND(K1853&lt;&gt;"",ISNA(MATCH(K1853,ctaNombre,0))),"⚠ Destino no registrado",IF(AND(P1853="Pago tarjeta",AE1853&lt;&gt;"Tarjeta de crédito"),"⚠ El destino debe ser tarjeta de crédito",IF(AND(P1853="Gasto",E1853="Depósitos y retiros"),"⚠ Usa tipo Transferencia",IF(AND(P1853="Resultado trading",AD1853&lt;&gt;"Cuenta de trading"),"⚠ Usa una cuenta de trading",IF(AND(G1853&lt;=0,P1853&lt;&gt;"Ajuste",P1853&lt;&gt;"Resultado trading"),"⚠ El monto debe ser positivo","✓")))))))))))))))</f>
        <v/>
      </c>
      <c r="P1853" s="52">
        <f>IF(OR(B1853="",G1853=""),"",IF(C1853="","Gasto",C1853))</f>
        <v/>
      </c>
      <c r="Q1853" s="52">
        <f>IF(P1853="","",IF(J1853&lt;&gt;"",J1853,CuentaPred&amp;""))</f>
        <v/>
      </c>
      <c r="R1853" s="52">
        <f>IF(P1853="","",IF(ISNUMBER(I1853),I1853,TasaUSD))</f>
        <v/>
      </c>
      <c r="S1853" s="53">
        <f>IF(P1853="","",IF(H1853="USD",G1853*R1853,G1853))</f>
        <v/>
      </c>
      <c r="T1853" s="53">
        <f>IF(P1853="","",IF(H1853="USD",G1853,IF(R1853&gt;0,G1853/R1853,0)))</f>
        <v/>
      </c>
      <c r="U1853" s="53">
        <f>IF(P1853="","",IF(P1853="Gasto",S1853,IF(P1853="Reembolso",-S1853,0)))</f>
        <v/>
      </c>
      <c r="V1853" s="53">
        <f>IF(P1853="","",IF(P1853="Ingreso",S1853,0))</f>
        <v/>
      </c>
      <c r="W1853" s="53">
        <f>IF(P1853="","",IF(P1853="Resultado trading",S1853,0))</f>
        <v/>
      </c>
      <c r="X1853" s="52">
        <f>IF(OR(P1853="Gasto",P1853="Reembolso"),IF(M1853&lt;&gt;"",M1853,IFERROR(INDEX(catClasif,MATCH(D1853&amp;"|"&amp;E1853,catClave,0))&amp;"","Variable")),"")</f>
        <v/>
      </c>
      <c r="Y1853" s="52">
        <f>IF(P1853="","",IFERROR(INDEX(catGrupo,MATCH(D1853&amp;"|"&amp;E1853,catClave,0))&amp;"",""))</f>
        <v/>
      </c>
      <c r="Z1853" s="52">
        <f>IF(P1853="","",WEEKDAY(B1853,2))</f>
        <v/>
      </c>
      <c r="AA1853" s="52">
        <f>IF(P1853="","",IF(AND(P1853="Gasto",X1853="Variable",D1853&lt;&gt;catTrading,S1853&gt;0,S1853&lt;=Umbral),1,0))</f>
        <v/>
      </c>
      <c r="AB1853" s="52">
        <f>IF(OR(P1853="",Q1853=""),"",IFERROR(IF(INDEX(ctaVinc,MATCH(Q1853,ctaNombre,0))&amp;""&lt;&gt;"",INDEX(ctaVinc,MATCH(Q1853,ctaNombre,0))&amp;"",Q1853),Q1853))</f>
        <v/>
      </c>
      <c r="AC1853" s="52">
        <f>IF(OR(K1853="",AND(P1853&lt;&gt;"Transferencia",P1853&lt;&gt;"Pago tarjeta")),"",IFERROR(IF(INDEX(ctaVinc,MATCH(K1853,ctaNombre,0))&amp;""&lt;&gt;"",INDEX(ctaVinc,MATCH(K1853,ctaNombre,0))&amp;"",K1853),K1853))</f>
        <v/>
      </c>
      <c r="AD1853" s="52">
        <f>IF(AB1853="","",IFERROR(INDEX(ctaTipo,MATCH(AB1853,ctaNombre,0))&amp;"",""))</f>
        <v/>
      </c>
      <c r="AE1853" s="52">
        <f>IF(AC1853="","",IFERROR(INDEX(ctaTipo,MATCH(AC1853,ctaNombre,0))&amp;"",""))</f>
        <v/>
      </c>
      <c r="AF1853" s="53">
        <f>IF(OR(P1853="",AB1853=""),"",IF(OR(P1853="Gasto",P1853="Transferencia",P1853="Pago tarjeta"),-1,1)*IF(IFERROR(INDEX(ctaMoneda,MATCH(AB1853,ctaNombre,0))&amp;"","DOP")="USD",T1853,S1853))</f>
        <v/>
      </c>
      <c r="AG1853" s="53">
        <f>IF(AC1853="","",IF(IFERROR(INDEX(ctaMoneda,MATCH(AC1853,ctaNombre,0))&amp;"","DOP")="USD",T1853,S1853))</f>
        <v/>
      </c>
      <c r="AH1853" s="53">
        <f>IF(P1853="","",IF(AND(AD1853&lt;&gt;"",COUNTIFS(tcTipo,AD1853,tcLiq,"Sí")&gt;0),IF(OR(P1853="Gasto",P1853="Transferencia",P1853="Pago tarjeta"),-1,1)*S1853,0)+IF(AND(AE1853&lt;&gt;"",COUNTIFS(tcTipo,AE1853,tcLiq,"Sí")&gt;0),S1853,0))</f>
        <v/>
      </c>
      <c r="AI1853" s="52">
        <f>IF(OR(L1853="",P1853=""),"",IF(COUNTIFS(L$6:L1853,L1853,P$6:P1853,"?*")=1,MAX(AI$5:AI1852)+1,""))</f>
        <v/>
      </c>
    </row>
    <row r="1854">
      <c r="B1854" s="47" t="n"/>
      <c r="C1854" s="48" t="n"/>
      <c r="D1854" s="48" t="n"/>
      <c r="E1854" s="48" t="n"/>
      <c r="F1854" s="48" t="n"/>
      <c r="G1854" s="49" t="n"/>
      <c r="H1854" s="48" t="n"/>
      <c r="I1854" s="50" t="n"/>
      <c r="J1854" s="48" t="n"/>
      <c r="K1854" s="48" t="n"/>
      <c r="L1854" s="48" t="n"/>
      <c r="M1854" s="48" t="n"/>
      <c r="N1854" s="48" t="n"/>
      <c r="O1854" s="51">
        <f>IF(AND(B1854="",G1854="",C1854="",D1854="",J1854=""),"",IF(B1854="","⚠ Falta fecha",IF(G1854="","⚠ Falta monto",IF(Q1854="","⚠ Falta cuenta",IF(ISNA(MATCH(Q1854,ctaNombre,0)),"⚠ Cuenta no registrada",IF(AND(OR(P1854="Gasto",P1854="Reembolso"),D1854=""),"⚠ Falta categoría",IF(AND(D1854&lt;&gt;"",E1854&lt;&gt;"",ISNA(MATCH(D1854&amp;"|"&amp;E1854,catClave,0))),"⚠ Subcategoría no corresponde",IF(AND(OR(P1854="Transferencia",P1854="Pago tarjeta"),K1854=""),"⚠ Falta cuenta destino",IF(AND(K1854&lt;&gt;"",P1854&lt;&gt;"Transferencia",P1854&lt;&gt;"Pago tarjeta"),"⚠ Destino solo aplica a transferencias",IF(AND(K1854&lt;&gt;"",K1854=Q1854),"⚠ Origen igual a destino",IF(AND(K1854&lt;&gt;"",ISNA(MATCH(K1854,ctaNombre,0))),"⚠ Destino no registrado",IF(AND(P1854="Pago tarjeta",AE1854&lt;&gt;"Tarjeta de crédito"),"⚠ El destino debe ser tarjeta de crédito",IF(AND(P1854="Gasto",E1854="Depósitos y retiros"),"⚠ Usa tipo Transferencia",IF(AND(P1854="Resultado trading",AD1854&lt;&gt;"Cuenta de trading"),"⚠ Usa una cuenta de trading",IF(AND(G1854&lt;=0,P1854&lt;&gt;"Ajuste",P1854&lt;&gt;"Resultado trading"),"⚠ El monto debe ser positivo","✓")))))))))))))))</f>
        <v/>
      </c>
      <c r="P1854" s="52">
        <f>IF(OR(B1854="",G1854=""),"",IF(C1854="","Gasto",C1854))</f>
        <v/>
      </c>
      <c r="Q1854" s="52">
        <f>IF(P1854="","",IF(J1854&lt;&gt;"",J1854,CuentaPred&amp;""))</f>
        <v/>
      </c>
      <c r="R1854" s="52">
        <f>IF(P1854="","",IF(ISNUMBER(I1854),I1854,TasaUSD))</f>
        <v/>
      </c>
      <c r="S1854" s="53">
        <f>IF(P1854="","",IF(H1854="USD",G1854*R1854,G1854))</f>
        <v/>
      </c>
      <c r="T1854" s="53">
        <f>IF(P1854="","",IF(H1854="USD",G1854,IF(R1854&gt;0,G1854/R1854,0)))</f>
        <v/>
      </c>
      <c r="U1854" s="53">
        <f>IF(P1854="","",IF(P1854="Gasto",S1854,IF(P1854="Reembolso",-S1854,0)))</f>
        <v/>
      </c>
      <c r="V1854" s="53">
        <f>IF(P1854="","",IF(P1854="Ingreso",S1854,0))</f>
        <v/>
      </c>
      <c r="W1854" s="53">
        <f>IF(P1854="","",IF(P1854="Resultado trading",S1854,0))</f>
        <v/>
      </c>
      <c r="X1854" s="52">
        <f>IF(OR(P1854="Gasto",P1854="Reembolso"),IF(M1854&lt;&gt;"",M1854,IFERROR(INDEX(catClasif,MATCH(D1854&amp;"|"&amp;E1854,catClave,0))&amp;"","Variable")),"")</f>
        <v/>
      </c>
      <c r="Y1854" s="52">
        <f>IF(P1854="","",IFERROR(INDEX(catGrupo,MATCH(D1854&amp;"|"&amp;E1854,catClave,0))&amp;"",""))</f>
        <v/>
      </c>
      <c r="Z1854" s="52">
        <f>IF(P1854="","",WEEKDAY(B1854,2))</f>
        <v/>
      </c>
      <c r="AA1854" s="52">
        <f>IF(P1854="","",IF(AND(P1854="Gasto",X1854="Variable",D1854&lt;&gt;catTrading,S1854&gt;0,S1854&lt;=Umbral),1,0))</f>
        <v/>
      </c>
      <c r="AB1854" s="52">
        <f>IF(OR(P1854="",Q1854=""),"",IFERROR(IF(INDEX(ctaVinc,MATCH(Q1854,ctaNombre,0))&amp;""&lt;&gt;"",INDEX(ctaVinc,MATCH(Q1854,ctaNombre,0))&amp;"",Q1854),Q1854))</f>
        <v/>
      </c>
      <c r="AC1854" s="52">
        <f>IF(OR(K1854="",AND(P1854&lt;&gt;"Transferencia",P1854&lt;&gt;"Pago tarjeta")),"",IFERROR(IF(INDEX(ctaVinc,MATCH(K1854,ctaNombre,0))&amp;""&lt;&gt;"",INDEX(ctaVinc,MATCH(K1854,ctaNombre,0))&amp;"",K1854),K1854))</f>
        <v/>
      </c>
      <c r="AD1854" s="52">
        <f>IF(AB1854="","",IFERROR(INDEX(ctaTipo,MATCH(AB1854,ctaNombre,0))&amp;"",""))</f>
        <v/>
      </c>
      <c r="AE1854" s="52">
        <f>IF(AC1854="","",IFERROR(INDEX(ctaTipo,MATCH(AC1854,ctaNombre,0))&amp;"",""))</f>
        <v/>
      </c>
      <c r="AF1854" s="53">
        <f>IF(OR(P1854="",AB1854=""),"",IF(OR(P1854="Gasto",P1854="Transferencia",P1854="Pago tarjeta"),-1,1)*IF(IFERROR(INDEX(ctaMoneda,MATCH(AB1854,ctaNombre,0))&amp;"","DOP")="USD",T1854,S1854))</f>
        <v/>
      </c>
      <c r="AG1854" s="53">
        <f>IF(AC1854="","",IF(IFERROR(INDEX(ctaMoneda,MATCH(AC1854,ctaNombre,0))&amp;"","DOP")="USD",T1854,S1854))</f>
        <v/>
      </c>
      <c r="AH1854" s="53">
        <f>IF(P1854="","",IF(AND(AD1854&lt;&gt;"",COUNTIFS(tcTipo,AD1854,tcLiq,"Sí")&gt;0),IF(OR(P1854="Gasto",P1854="Transferencia",P1854="Pago tarjeta"),-1,1)*S1854,0)+IF(AND(AE1854&lt;&gt;"",COUNTIFS(tcTipo,AE1854,tcLiq,"Sí")&gt;0),S1854,0))</f>
        <v/>
      </c>
      <c r="AI1854" s="52">
        <f>IF(OR(L1854="",P1854=""),"",IF(COUNTIFS(L$6:L1854,L1854,P$6:P1854,"?*")=1,MAX(AI$5:AI1853)+1,""))</f>
        <v/>
      </c>
    </row>
    <row r="1855">
      <c r="B1855" s="47" t="n"/>
      <c r="C1855" s="48" t="n"/>
      <c r="D1855" s="48" t="n"/>
      <c r="E1855" s="48" t="n"/>
      <c r="F1855" s="48" t="n"/>
      <c r="G1855" s="49" t="n"/>
      <c r="H1855" s="48" t="n"/>
      <c r="I1855" s="50" t="n"/>
      <c r="J1855" s="48" t="n"/>
      <c r="K1855" s="48" t="n"/>
      <c r="L1855" s="48" t="n"/>
      <c r="M1855" s="48" t="n"/>
      <c r="N1855" s="48" t="n"/>
      <c r="O1855" s="51">
        <f>IF(AND(B1855="",G1855="",C1855="",D1855="",J1855=""),"",IF(B1855="","⚠ Falta fecha",IF(G1855="","⚠ Falta monto",IF(Q1855="","⚠ Falta cuenta",IF(ISNA(MATCH(Q1855,ctaNombre,0)),"⚠ Cuenta no registrada",IF(AND(OR(P1855="Gasto",P1855="Reembolso"),D1855=""),"⚠ Falta categoría",IF(AND(D1855&lt;&gt;"",E1855&lt;&gt;"",ISNA(MATCH(D1855&amp;"|"&amp;E1855,catClave,0))),"⚠ Subcategoría no corresponde",IF(AND(OR(P1855="Transferencia",P1855="Pago tarjeta"),K1855=""),"⚠ Falta cuenta destino",IF(AND(K1855&lt;&gt;"",P1855&lt;&gt;"Transferencia",P1855&lt;&gt;"Pago tarjeta"),"⚠ Destino solo aplica a transferencias",IF(AND(K1855&lt;&gt;"",K1855=Q1855),"⚠ Origen igual a destino",IF(AND(K1855&lt;&gt;"",ISNA(MATCH(K1855,ctaNombre,0))),"⚠ Destino no registrado",IF(AND(P1855="Pago tarjeta",AE1855&lt;&gt;"Tarjeta de crédito"),"⚠ El destino debe ser tarjeta de crédito",IF(AND(P1855="Gasto",E1855="Depósitos y retiros"),"⚠ Usa tipo Transferencia",IF(AND(P1855="Resultado trading",AD1855&lt;&gt;"Cuenta de trading"),"⚠ Usa una cuenta de trading",IF(AND(G1855&lt;=0,P1855&lt;&gt;"Ajuste",P1855&lt;&gt;"Resultado trading"),"⚠ El monto debe ser positivo","✓")))))))))))))))</f>
        <v/>
      </c>
      <c r="P1855" s="52">
        <f>IF(OR(B1855="",G1855=""),"",IF(C1855="","Gasto",C1855))</f>
        <v/>
      </c>
      <c r="Q1855" s="52">
        <f>IF(P1855="","",IF(J1855&lt;&gt;"",J1855,CuentaPred&amp;""))</f>
        <v/>
      </c>
      <c r="R1855" s="52">
        <f>IF(P1855="","",IF(ISNUMBER(I1855),I1855,TasaUSD))</f>
        <v/>
      </c>
      <c r="S1855" s="53">
        <f>IF(P1855="","",IF(H1855="USD",G1855*R1855,G1855))</f>
        <v/>
      </c>
      <c r="T1855" s="53">
        <f>IF(P1855="","",IF(H1855="USD",G1855,IF(R1855&gt;0,G1855/R1855,0)))</f>
        <v/>
      </c>
      <c r="U1855" s="53">
        <f>IF(P1855="","",IF(P1855="Gasto",S1855,IF(P1855="Reembolso",-S1855,0)))</f>
        <v/>
      </c>
      <c r="V1855" s="53">
        <f>IF(P1855="","",IF(P1855="Ingreso",S1855,0))</f>
        <v/>
      </c>
      <c r="W1855" s="53">
        <f>IF(P1855="","",IF(P1855="Resultado trading",S1855,0))</f>
        <v/>
      </c>
      <c r="X1855" s="52">
        <f>IF(OR(P1855="Gasto",P1855="Reembolso"),IF(M1855&lt;&gt;"",M1855,IFERROR(INDEX(catClasif,MATCH(D1855&amp;"|"&amp;E1855,catClave,0))&amp;"","Variable")),"")</f>
        <v/>
      </c>
      <c r="Y1855" s="52">
        <f>IF(P1855="","",IFERROR(INDEX(catGrupo,MATCH(D1855&amp;"|"&amp;E1855,catClave,0))&amp;"",""))</f>
        <v/>
      </c>
      <c r="Z1855" s="52">
        <f>IF(P1855="","",WEEKDAY(B1855,2))</f>
        <v/>
      </c>
      <c r="AA1855" s="52">
        <f>IF(P1855="","",IF(AND(P1855="Gasto",X1855="Variable",D1855&lt;&gt;catTrading,S1855&gt;0,S1855&lt;=Umbral),1,0))</f>
        <v/>
      </c>
      <c r="AB1855" s="52">
        <f>IF(OR(P1855="",Q1855=""),"",IFERROR(IF(INDEX(ctaVinc,MATCH(Q1855,ctaNombre,0))&amp;""&lt;&gt;"",INDEX(ctaVinc,MATCH(Q1855,ctaNombre,0))&amp;"",Q1855),Q1855))</f>
        <v/>
      </c>
      <c r="AC1855" s="52">
        <f>IF(OR(K1855="",AND(P1855&lt;&gt;"Transferencia",P1855&lt;&gt;"Pago tarjeta")),"",IFERROR(IF(INDEX(ctaVinc,MATCH(K1855,ctaNombre,0))&amp;""&lt;&gt;"",INDEX(ctaVinc,MATCH(K1855,ctaNombre,0))&amp;"",K1855),K1855))</f>
        <v/>
      </c>
      <c r="AD1855" s="52">
        <f>IF(AB1855="","",IFERROR(INDEX(ctaTipo,MATCH(AB1855,ctaNombre,0))&amp;"",""))</f>
        <v/>
      </c>
      <c r="AE1855" s="52">
        <f>IF(AC1855="","",IFERROR(INDEX(ctaTipo,MATCH(AC1855,ctaNombre,0))&amp;"",""))</f>
        <v/>
      </c>
      <c r="AF1855" s="53">
        <f>IF(OR(P1855="",AB1855=""),"",IF(OR(P1855="Gasto",P1855="Transferencia",P1855="Pago tarjeta"),-1,1)*IF(IFERROR(INDEX(ctaMoneda,MATCH(AB1855,ctaNombre,0))&amp;"","DOP")="USD",T1855,S1855))</f>
        <v/>
      </c>
      <c r="AG1855" s="53">
        <f>IF(AC1855="","",IF(IFERROR(INDEX(ctaMoneda,MATCH(AC1855,ctaNombre,0))&amp;"","DOP")="USD",T1855,S1855))</f>
        <v/>
      </c>
      <c r="AH1855" s="53">
        <f>IF(P1855="","",IF(AND(AD1855&lt;&gt;"",COUNTIFS(tcTipo,AD1855,tcLiq,"Sí")&gt;0),IF(OR(P1855="Gasto",P1855="Transferencia",P1855="Pago tarjeta"),-1,1)*S1855,0)+IF(AND(AE1855&lt;&gt;"",COUNTIFS(tcTipo,AE1855,tcLiq,"Sí")&gt;0),S1855,0))</f>
        <v/>
      </c>
      <c r="AI1855" s="52">
        <f>IF(OR(L1855="",P1855=""),"",IF(COUNTIFS(L$6:L1855,L1855,P$6:P1855,"?*")=1,MAX(AI$5:AI1854)+1,""))</f>
        <v/>
      </c>
    </row>
    <row r="1856">
      <c r="B1856" s="47" t="n"/>
      <c r="C1856" s="48" t="n"/>
      <c r="D1856" s="48" t="n"/>
      <c r="E1856" s="48" t="n"/>
      <c r="F1856" s="48" t="n"/>
      <c r="G1856" s="49" t="n"/>
      <c r="H1856" s="48" t="n"/>
      <c r="I1856" s="50" t="n"/>
      <c r="J1856" s="48" t="n"/>
      <c r="K1856" s="48" t="n"/>
      <c r="L1856" s="48" t="n"/>
      <c r="M1856" s="48" t="n"/>
      <c r="N1856" s="48" t="n"/>
      <c r="O1856" s="51">
        <f>IF(AND(B1856="",G1856="",C1856="",D1856="",J1856=""),"",IF(B1856="","⚠ Falta fecha",IF(G1856="","⚠ Falta monto",IF(Q1856="","⚠ Falta cuenta",IF(ISNA(MATCH(Q1856,ctaNombre,0)),"⚠ Cuenta no registrada",IF(AND(OR(P1856="Gasto",P1856="Reembolso"),D1856=""),"⚠ Falta categoría",IF(AND(D1856&lt;&gt;"",E1856&lt;&gt;"",ISNA(MATCH(D1856&amp;"|"&amp;E1856,catClave,0))),"⚠ Subcategoría no corresponde",IF(AND(OR(P1856="Transferencia",P1856="Pago tarjeta"),K1856=""),"⚠ Falta cuenta destino",IF(AND(K1856&lt;&gt;"",P1856&lt;&gt;"Transferencia",P1856&lt;&gt;"Pago tarjeta"),"⚠ Destino solo aplica a transferencias",IF(AND(K1856&lt;&gt;"",K1856=Q1856),"⚠ Origen igual a destino",IF(AND(K1856&lt;&gt;"",ISNA(MATCH(K1856,ctaNombre,0))),"⚠ Destino no registrado",IF(AND(P1856="Pago tarjeta",AE1856&lt;&gt;"Tarjeta de crédito"),"⚠ El destino debe ser tarjeta de crédito",IF(AND(P1856="Gasto",E1856="Depósitos y retiros"),"⚠ Usa tipo Transferencia",IF(AND(P1856="Resultado trading",AD1856&lt;&gt;"Cuenta de trading"),"⚠ Usa una cuenta de trading",IF(AND(G1856&lt;=0,P1856&lt;&gt;"Ajuste",P1856&lt;&gt;"Resultado trading"),"⚠ El monto debe ser positivo","✓")))))))))))))))</f>
        <v/>
      </c>
      <c r="P1856" s="52">
        <f>IF(OR(B1856="",G1856=""),"",IF(C1856="","Gasto",C1856))</f>
        <v/>
      </c>
      <c r="Q1856" s="52">
        <f>IF(P1856="","",IF(J1856&lt;&gt;"",J1856,CuentaPred&amp;""))</f>
        <v/>
      </c>
      <c r="R1856" s="52">
        <f>IF(P1856="","",IF(ISNUMBER(I1856),I1856,TasaUSD))</f>
        <v/>
      </c>
      <c r="S1856" s="53">
        <f>IF(P1856="","",IF(H1856="USD",G1856*R1856,G1856))</f>
        <v/>
      </c>
      <c r="T1856" s="53">
        <f>IF(P1856="","",IF(H1856="USD",G1856,IF(R1856&gt;0,G1856/R1856,0)))</f>
        <v/>
      </c>
      <c r="U1856" s="53">
        <f>IF(P1856="","",IF(P1856="Gasto",S1856,IF(P1856="Reembolso",-S1856,0)))</f>
        <v/>
      </c>
      <c r="V1856" s="53">
        <f>IF(P1856="","",IF(P1856="Ingreso",S1856,0))</f>
        <v/>
      </c>
      <c r="W1856" s="53">
        <f>IF(P1856="","",IF(P1856="Resultado trading",S1856,0))</f>
        <v/>
      </c>
      <c r="X1856" s="52">
        <f>IF(OR(P1856="Gasto",P1856="Reembolso"),IF(M1856&lt;&gt;"",M1856,IFERROR(INDEX(catClasif,MATCH(D1856&amp;"|"&amp;E1856,catClave,0))&amp;"","Variable")),"")</f>
        <v/>
      </c>
      <c r="Y1856" s="52">
        <f>IF(P1856="","",IFERROR(INDEX(catGrupo,MATCH(D1856&amp;"|"&amp;E1856,catClave,0))&amp;"",""))</f>
        <v/>
      </c>
      <c r="Z1856" s="52">
        <f>IF(P1856="","",WEEKDAY(B1856,2))</f>
        <v/>
      </c>
      <c r="AA1856" s="52">
        <f>IF(P1856="","",IF(AND(P1856="Gasto",X1856="Variable",D1856&lt;&gt;catTrading,S1856&gt;0,S1856&lt;=Umbral),1,0))</f>
        <v/>
      </c>
      <c r="AB1856" s="52">
        <f>IF(OR(P1856="",Q1856=""),"",IFERROR(IF(INDEX(ctaVinc,MATCH(Q1856,ctaNombre,0))&amp;""&lt;&gt;"",INDEX(ctaVinc,MATCH(Q1856,ctaNombre,0))&amp;"",Q1856),Q1856))</f>
        <v/>
      </c>
      <c r="AC1856" s="52">
        <f>IF(OR(K1856="",AND(P1856&lt;&gt;"Transferencia",P1856&lt;&gt;"Pago tarjeta")),"",IFERROR(IF(INDEX(ctaVinc,MATCH(K1856,ctaNombre,0))&amp;""&lt;&gt;"",INDEX(ctaVinc,MATCH(K1856,ctaNombre,0))&amp;"",K1856),K1856))</f>
        <v/>
      </c>
      <c r="AD1856" s="52">
        <f>IF(AB1856="","",IFERROR(INDEX(ctaTipo,MATCH(AB1856,ctaNombre,0))&amp;"",""))</f>
        <v/>
      </c>
      <c r="AE1856" s="52">
        <f>IF(AC1856="","",IFERROR(INDEX(ctaTipo,MATCH(AC1856,ctaNombre,0))&amp;"",""))</f>
        <v/>
      </c>
      <c r="AF1856" s="53">
        <f>IF(OR(P1856="",AB1856=""),"",IF(OR(P1856="Gasto",P1856="Transferencia",P1856="Pago tarjeta"),-1,1)*IF(IFERROR(INDEX(ctaMoneda,MATCH(AB1856,ctaNombre,0))&amp;"","DOP")="USD",T1856,S1856))</f>
        <v/>
      </c>
      <c r="AG1856" s="53">
        <f>IF(AC1856="","",IF(IFERROR(INDEX(ctaMoneda,MATCH(AC1856,ctaNombre,0))&amp;"","DOP")="USD",T1856,S1856))</f>
        <v/>
      </c>
      <c r="AH1856" s="53">
        <f>IF(P1856="","",IF(AND(AD1856&lt;&gt;"",COUNTIFS(tcTipo,AD1856,tcLiq,"Sí")&gt;0),IF(OR(P1856="Gasto",P1856="Transferencia",P1856="Pago tarjeta"),-1,1)*S1856,0)+IF(AND(AE1856&lt;&gt;"",COUNTIFS(tcTipo,AE1856,tcLiq,"Sí")&gt;0),S1856,0))</f>
        <v/>
      </c>
      <c r="AI1856" s="52">
        <f>IF(OR(L1856="",P1856=""),"",IF(COUNTIFS(L$6:L1856,L1856,P$6:P1856,"?*")=1,MAX(AI$5:AI1855)+1,""))</f>
        <v/>
      </c>
    </row>
    <row r="1857">
      <c r="B1857" s="47" t="n"/>
      <c r="C1857" s="48" t="n"/>
      <c r="D1857" s="48" t="n"/>
      <c r="E1857" s="48" t="n"/>
      <c r="F1857" s="48" t="n"/>
      <c r="G1857" s="49" t="n"/>
      <c r="H1857" s="48" t="n"/>
      <c r="I1857" s="50" t="n"/>
      <c r="J1857" s="48" t="n"/>
      <c r="K1857" s="48" t="n"/>
      <c r="L1857" s="48" t="n"/>
      <c r="M1857" s="48" t="n"/>
      <c r="N1857" s="48" t="n"/>
      <c r="O1857" s="51">
        <f>IF(AND(B1857="",G1857="",C1857="",D1857="",J1857=""),"",IF(B1857="","⚠ Falta fecha",IF(G1857="","⚠ Falta monto",IF(Q1857="","⚠ Falta cuenta",IF(ISNA(MATCH(Q1857,ctaNombre,0)),"⚠ Cuenta no registrada",IF(AND(OR(P1857="Gasto",P1857="Reembolso"),D1857=""),"⚠ Falta categoría",IF(AND(D1857&lt;&gt;"",E1857&lt;&gt;"",ISNA(MATCH(D1857&amp;"|"&amp;E1857,catClave,0))),"⚠ Subcategoría no corresponde",IF(AND(OR(P1857="Transferencia",P1857="Pago tarjeta"),K1857=""),"⚠ Falta cuenta destino",IF(AND(K1857&lt;&gt;"",P1857&lt;&gt;"Transferencia",P1857&lt;&gt;"Pago tarjeta"),"⚠ Destino solo aplica a transferencias",IF(AND(K1857&lt;&gt;"",K1857=Q1857),"⚠ Origen igual a destino",IF(AND(K1857&lt;&gt;"",ISNA(MATCH(K1857,ctaNombre,0))),"⚠ Destino no registrado",IF(AND(P1857="Pago tarjeta",AE1857&lt;&gt;"Tarjeta de crédito"),"⚠ El destino debe ser tarjeta de crédito",IF(AND(P1857="Gasto",E1857="Depósitos y retiros"),"⚠ Usa tipo Transferencia",IF(AND(P1857="Resultado trading",AD1857&lt;&gt;"Cuenta de trading"),"⚠ Usa una cuenta de trading",IF(AND(G1857&lt;=0,P1857&lt;&gt;"Ajuste",P1857&lt;&gt;"Resultado trading"),"⚠ El monto debe ser positivo","✓")))))))))))))))</f>
        <v/>
      </c>
      <c r="P1857" s="52">
        <f>IF(OR(B1857="",G1857=""),"",IF(C1857="","Gasto",C1857))</f>
        <v/>
      </c>
      <c r="Q1857" s="52">
        <f>IF(P1857="","",IF(J1857&lt;&gt;"",J1857,CuentaPred&amp;""))</f>
        <v/>
      </c>
      <c r="R1857" s="52">
        <f>IF(P1857="","",IF(ISNUMBER(I1857),I1857,TasaUSD))</f>
        <v/>
      </c>
      <c r="S1857" s="53">
        <f>IF(P1857="","",IF(H1857="USD",G1857*R1857,G1857))</f>
        <v/>
      </c>
      <c r="T1857" s="53">
        <f>IF(P1857="","",IF(H1857="USD",G1857,IF(R1857&gt;0,G1857/R1857,0)))</f>
        <v/>
      </c>
      <c r="U1857" s="53">
        <f>IF(P1857="","",IF(P1857="Gasto",S1857,IF(P1857="Reembolso",-S1857,0)))</f>
        <v/>
      </c>
      <c r="V1857" s="53">
        <f>IF(P1857="","",IF(P1857="Ingreso",S1857,0))</f>
        <v/>
      </c>
      <c r="W1857" s="53">
        <f>IF(P1857="","",IF(P1857="Resultado trading",S1857,0))</f>
        <v/>
      </c>
      <c r="X1857" s="52">
        <f>IF(OR(P1857="Gasto",P1857="Reembolso"),IF(M1857&lt;&gt;"",M1857,IFERROR(INDEX(catClasif,MATCH(D1857&amp;"|"&amp;E1857,catClave,0))&amp;"","Variable")),"")</f>
        <v/>
      </c>
      <c r="Y1857" s="52">
        <f>IF(P1857="","",IFERROR(INDEX(catGrupo,MATCH(D1857&amp;"|"&amp;E1857,catClave,0))&amp;"",""))</f>
        <v/>
      </c>
      <c r="Z1857" s="52">
        <f>IF(P1857="","",WEEKDAY(B1857,2))</f>
        <v/>
      </c>
      <c r="AA1857" s="52">
        <f>IF(P1857="","",IF(AND(P1857="Gasto",X1857="Variable",D1857&lt;&gt;catTrading,S1857&gt;0,S1857&lt;=Umbral),1,0))</f>
        <v/>
      </c>
      <c r="AB1857" s="52">
        <f>IF(OR(P1857="",Q1857=""),"",IFERROR(IF(INDEX(ctaVinc,MATCH(Q1857,ctaNombre,0))&amp;""&lt;&gt;"",INDEX(ctaVinc,MATCH(Q1857,ctaNombre,0))&amp;"",Q1857),Q1857))</f>
        <v/>
      </c>
      <c r="AC1857" s="52">
        <f>IF(OR(K1857="",AND(P1857&lt;&gt;"Transferencia",P1857&lt;&gt;"Pago tarjeta")),"",IFERROR(IF(INDEX(ctaVinc,MATCH(K1857,ctaNombre,0))&amp;""&lt;&gt;"",INDEX(ctaVinc,MATCH(K1857,ctaNombre,0))&amp;"",K1857),K1857))</f>
        <v/>
      </c>
      <c r="AD1857" s="52">
        <f>IF(AB1857="","",IFERROR(INDEX(ctaTipo,MATCH(AB1857,ctaNombre,0))&amp;"",""))</f>
        <v/>
      </c>
      <c r="AE1857" s="52">
        <f>IF(AC1857="","",IFERROR(INDEX(ctaTipo,MATCH(AC1857,ctaNombre,0))&amp;"",""))</f>
        <v/>
      </c>
      <c r="AF1857" s="53">
        <f>IF(OR(P1857="",AB1857=""),"",IF(OR(P1857="Gasto",P1857="Transferencia",P1857="Pago tarjeta"),-1,1)*IF(IFERROR(INDEX(ctaMoneda,MATCH(AB1857,ctaNombre,0))&amp;"","DOP")="USD",T1857,S1857))</f>
        <v/>
      </c>
      <c r="AG1857" s="53">
        <f>IF(AC1857="","",IF(IFERROR(INDEX(ctaMoneda,MATCH(AC1857,ctaNombre,0))&amp;"","DOP")="USD",T1857,S1857))</f>
        <v/>
      </c>
      <c r="AH1857" s="53">
        <f>IF(P1857="","",IF(AND(AD1857&lt;&gt;"",COUNTIFS(tcTipo,AD1857,tcLiq,"Sí")&gt;0),IF(OR(P1857="Gasto",P1857="Transferencia",P1857="Pago tarjeta"),-1,1)*S1857,0)+IF(AND(AE1857&lt;&gt;"",COUNTIFS(tcTipo,AE1857,tcLiq,"Sí")&gt;0),S1857,0))</f>
        <v/>
      </c>
      <c r="AI1857" s="52">
        <f>IF(OR(L1857="",P1857=""),"",IF(COUNTIFS(L$6:L1857,L1857,P$6:P1857,"?*")=1,MAX(AI$5:AI1856)+1,""))</f>
        <v/>
      </c>
    </row>
    <row r="1858">
      <c r="B1858" s="47" t="n"/>
      <c r="C1858" s="48" t="n"/>
      <c r="D1858" s="48" t="n"/>
      <c r="E1858" s="48" t="n"/>
      <c r="F1858" s="48" t="n"/>
      <c r="G1858" s="49" t="n"/>
      <c r="H1858" s="48" t="n"/>
      <c r="I1858" s="50" t="n"/>
      <c r="J1858" s="48" t="n"/>
      <c r="K1858" s="48" t="n"/>
      <c r="L1858" s="48" t="n"/>
      <c r="M1858" s="48" t="n"/>
      <c r="N1858" s="48" t="n"/>
      <c r="O1858" s="51">
        <f>IF(AND(B1858="",G1858="",C1858="",D1858="",J1858=""),"",IF(B1858="","⚠ Falta fecha",IF(G1858="","⚠ Falta monto",IF(Q1858="","⚠ Falta cuenta",IF(ISNA(MATCH(Q1858,ctaNombre,0)),"⚠ Cuenta no registrada",IF(AND(OR(P1858="Gasto",P1858="Reembolso"),D1858=""),"⚠ Falta categoría",IF(AND(D1858&lt;&gt;"",E1858&lt;&gt;"",ISNA(MATCH(D1858&amp;"|"&amp;E1858,catClave,0))),"⚠ Subcategoría no corresponde",IF(AND(OR(P1858="Transferencia",P1858="Pago tarjeta"),K1858=""),"⚠ Falta cuenta destino",IF(AND(K1858&lt;&gt;"",P1858&lt;&gt;"Transferencia",P1858&lt;&gt;"Pago tarjeta"),"⚠ Destino solo aplica a transferencias",IF(AND(K1858&lt;&gt;"",K1858=Q1858),"⚠ Origen igual a destino",IF(AND(K1858&lt;&gt;"",ISNA(MATCH(K1858,ctaNombre,0))),"⚠ Destino no registrado",IF(AND(P1858="Pago tarjeta",AE1858&lt;&gt;"Tarjeta de crédito"),"⚠ El destino debe ser tarjeta de crédito",IF(AND(P1858="Gasto",E1858="Depósitos y retiros"),"⚠ Usa tipo Transferencia",IF(AND(P1858="Resultado trading",AD1858&lt;&gt;"Cuenta de trading"),"⚠ Usa una cuenta de trading",IF(AND(G1858&lt;=0,P1858&lt;&gt;"Ajuste",P1858&lt;&gt;"Resultado trading"),"⚠ El monto debe ser positivo","✓")))))))))))))))</f>
        <v/>
      </c>
      <c r="P1858" s="52">
        <f>IF(OR(B1858="",G1858=""),"",IF(C1858="","Gasto",C1858))</f>
        <v/>
      </c>
      <c r="Q1858" s="52">
        <f>IF(P1858="","",IF(J1858&lt;&gt;"",J1858,CuentaPred&amp;""))</f>
        <v/>
      </c>
      <c r="R1858" s="52">
        <f>IF(P1858="","",IF(ISNUMBER(I1858),I1858,TasaUSD))</f>
        <v/>
      </c>
      <c r="S1858" s="53">
        <f>IF(P1858="","",IF(H1858="USD",G1858*R1858,G1858))</f>
        <v/>
      </c>
      <c r="T1858" s="53">
        <f>IF(P1858="","",IF(H1858="USD",G1858,IF(R1858&gt;0,G1858/R1858,0)))</f>
        <v/>
      </c>
      <c r="U1858" s="53">
        <f>IF(P1858="","",IF(P1858="Gasto",S1858,IF(P1858="Reembolso",-S1858,0)))</f>
        <v/>
      </c>
      <c r="V1858" s="53">
        <f>IF(P1858="","",IF(P1858="Ingreso",S1858,0))</f>
        <v/>
      </c>
      <c r="W1858" s="53">
        <f>IF(P1858="","",IF(P1858="Resultado trading",S1858,0))</f>
        <v/>
      </c>
      <c r="X1858" s="52">
        <f>IF(OR(P1858="Gasto",P1858="Reembolso"),IF(M1858&lt;&gt;"",M1858,IFERROR(INDEX(catClasif,MATCH(D1858&amp;"|"&amp;E1858,catClave,0))&amp;"","Variable")),"")</f>
        <v/>
      </c>
      <c r="Y1858" s="52">
        <f>IF(P1858="","",IFERROR(INDEX(catGrupo,MATCH(D1858&amp;"|"&amp;E1858,catClave,0))&amp;"",""))</f>
        <v/>
      </c>
      <c r="Z1858" s="52">
        <f>IF(P1858="","",WEEKDAY(B1858,2))</f>
        <v/>
      </c>
      <c r="AA1858" s="52">
        <f>IF(P1858="","",IF(AND(P1858="Gasto",X1858="Variable",D1858&lt;&gt;catTrading,S1858&gt;0,S1858&lt;=Umbral),1,0))</f>
        <v/>
      </c>
      <c r="AB1858" s="52">
        <f>IF(OR(P1858="",Q1858=""),"",IFERROR(IF(INDEX(ctaVinc,MATCH(Q1858,ctaNombre,0))&amp;""&lt;&gt;"",INDEX(ctaVinc,MATCH(Q1858,ctaNombre,0))&amp;"",Q1858),Q1858))</f>
        <v/>
      </c>
      <c r="AC1858" s="52">
        <f>IF(OR(K1858="",AND(P1858&lt;&gt;"Transferencia",P1858&lt;&gt;"Pago tarjeta")),"",IFERROR(IF(INDEX(ctaVinc,MATCH(K1858,ctaNombre,0))&amp;""&lt;&gt;"",INDEX(ctaVinc,MATCH(K1858,ctaNombre,0))&amp;"",K1858),K1858))</f>
        <v/>
      </c>
      <c r="AD1858" s="52">
        <f>IF(AB1858="","",IFERROR(INDEX(ctaTipo,MATCH(AB1858,ctaNombre,0))&amp;"",""))</f>
        <v/>
      </c>
      <c r="AE1858" s="52">
        <f>IF(AC1858="","",IFERROR(INDEX(ctaTipo,MATCH(AC1858,ctaNombre,0))&amp;"",""))</f>
        <v/>
      </c>
      <c r="AF1858" s="53">
        <f>IF(OR(P1858="",AB1858=""),"",IF(OR(P1858="Gasto",P1858="Transferencia",P1858="Pago tarjeta"),-1,1)*IF(IFERROR(INDEX(ctaMoneda,MATCH(AB1858,ctaNombre,0))&amp;"","DOP")="USD",T1858,S1858))</f>
        <v/>
      </c>
      <c r="AG1858" s="53">
        <f>IF(AC1858="","",IF(IFERROR(INDEX(ctaMoneda,MATCH(AC1858,ctaNombre,0))&amp;"","DOP")="USD",T1858,S1858))</f>
        <v/>
      </c>
      <c r="AH1858" s="53">
        <f>IF(P1858="","",IF(AND(AD1858&lt;&gt;"",COUNTIFS(tcTipo,AD1858,tcLiq,"Sí")&gt;0),IF(OR(P1858="Gasto",P1858="Transferencia",P1858="Pago tarjeta"),-1,1)*S1858,0)+IF(AND(AE1858&lt;&gt;"",COUNTIFS(tcTipo,AE1858,tcLiq,"Sí")&gt;0),S1858,0))</f>
        <v/>
      </c>
      <c r="AI1858" s="52">
        <f>IF(OR(L1858="",P1858=""),"",IF(COUNTIFS(L$6:L1858,L1858,P$6:P1858,"?*")=1,MAX(AI$5:AI1857)+1,""))</f>
        <v/>
      </c>
    </row>
    <row r="1859">
      <c r="B1859" s="47" t="n"/>
      <c r="C1859" s="48" t="n"/>
      <c r="D1859" s="48" t="n"/>
      <c r="E1859" s="48" t="n"/>
      <c r="F1859" s="48" t="n"/>
      <c r="G1859" s="49" t="n"/>
      <c r="H1859" s="48" t="n"/>
      <c r="I1859" s="50" t="n"/>
      <c r="J1859" s="48" t="n"/>
      <c r="K1859" s="48" t="n"/>
      <c r="L1859" s="48" t="n"/>
      <c r="M1859" s="48" t="n"/>
      <c r="N1859" s="48" t="n"/>
      <c r="O1859" s="51">
        <f>IF(AND(B1859="",G1859="",C1859="",D1859="",J1859=""),"",IF(B1859="","⚠ Falta fecha",IF(G1859="","⚠ Falta monto",IF(Q1859="","⚠ Falta cuenta",IF(ISNA(MATCH(Q1859,ctaNombre,0)),"⚠ Cuenta no registrada",IF(AND(OR(P1859="Gasto",P1859="Reembolso"),D1859=""),"⚠ Falta categoría",IF(AND(D1859&lt;&gt;"",E1859&lt;&gt;"",ISNA(MATCH(D1859&amp;"|"&amp;E1859,catClave,0))),"⚠ Subcategoría no corresponde",IF(AND(OR(P1859="Transferencia",P1859="Pago tarjeta"),K1859=""),"⚠ Falta cuenta destino",IF(AND(K1859&lt;&gt;"",P1859&lt;&gt;"Transferencia",P1859&lt;&gt;"Pago tarjeta"),"⚠ Destino solo aplica a transferencias",IF(AND(K1859&lt;&gt;"",K1859=Q1859),"⚠ Origen igual a destino",IF(AND(K1859&lt;&gt;"",ISNA(MATCH(K1859,ctaNombre,0))),"⚠ Destino no registrado",IF(AND(P1859="Pago tarjeta",AE1859&lt;&gt;"Tarjeta de crédito"),"⚠ El destino debe ser tarjeta de crédito",IF(AND(P1859="Gasto",E1859="Depósitos y retiros"),"⚠ Usa tipo Transferencia",IF(AND(P1859="Resultado trading",AD1859&lt;&gt;"Cuenta de trading"),"⚠ Usa una cuenta de trading",IF(AND(G1859&lt;=0,P1859&lt;&gt;"Ajuste",P1859&lt;&gt;"Resultado trading"),"⚠ El monto debe ser positivo","✓")))))))))))))))</f>
        <v/>
      </c>
      <c r="P1859" s="52">
        <f>IF(OR(B1859="",G1859=""),"",IF(C1859="","Gasto",C1859))</f>
        <v/>
      </c>
      <c r="Q1859" s="52">
        <f>IF(P1859="","",IF(J1859&lt;&gt;"",J1859,CuentaPred&amp;""))</f>
        <v/>
      </c>
      <c r="R1859" s="52">
        <f>IF(P1859="","",IF(ISNUMBER(I1859),I1859,TasaUSD))</f>
        <v/>
      </c>
      <c r="S1859" s="53">
        <f>IF(P1859="","",IF(H1859="USD",G1859*R1859,G1859))</f>
        <v/>
      </c>
      <c r="T1859" s="53">
        <f>IF(P1859="","",IF(H1859="USD",G1859,IF(R1859&gt;0,G1859/R1859,0)))</f>
        <v/>
      </c>
      <c r="U1859" s="53">
        <f>IF(P1859="","",IF(P1859="Gasto",S1859,IF(P1859="Reembolso",-S1859,0)))</f>
        <v/>
      </c>
      <c r="V1859" s="53">
        <f>IF(P1859="","",IF(P1859="Ingreso",S1859,0))</f>
        <v/>
      </c>
      <c r="W1859" s="53">
        <f>IF(P1859="","",IF(P1859="Resultado trading",S1859,0))</f>
        <v/>
      </c>
      <c r="X1859" s="52">
        <f>IF(OR(P1859="Gasto",P1859="Reembolso"),IF(M1859&lt;&gt;"",M1859,IFERROR(INDEX(catClasif,MATCH(D1859&amp;"|"&amp;E1859,catClave,0))&amp;"","Variable")),"")</f>
        <v/>
      </c>
      <c r="Y1859" s="52">
        <f>IF(P1859="","",IFERROR(INDEX(catGrupo,MATCH(D1859&amp;"|"&amp;E1859,catClave,0))&amp;"",""))</f>
        <v/>
      </c>
      <c r="Z1859" s="52">
        <f>IF(P1859="","",WEEKDAY(B1859,2))</f>
        <v/>
      </c>
      <c r="AA1859" s="52">
        <f>IF(P1859="","",IF(AND(P1859="Gasto",X1859="Variable",D1859&lt;&gt;catTrading,S1859&gt;0,S1859&lt;=Umbral),1,0))</f>
        <v/>
      </c>
      <c r="AB1859" s="52">
        <f>IF(OR(P1859="",Q1859=""),"",IFERROR(IF(INDEX(ctaVinc,MATCH(Q1859,ctaNombre,0))&amp;""&lt;&gt;"",INDEX(ctaVinc,MATCH(Q1859,ctaNombre,0))&amp;"",Q1859),Q1859))</f>
        <v/>
      </c>
      <c r="AC1859" s="52">
        <f>IF(OR(K1859="",AND(P1859&lt;&gt;"Transferencia",P1859&lt;&gt;"Pago tarjeta")),"",IFERROR(IF(INDEX(ctaVinc,MATCH(K1859,ctaNombre,0))&amp;""&lt;&gt;"",INDEX(ctaVinc,MATCH(K1859,ctaNombre,0))&amp;"",K1859),K1859))</f>
        <v/>
      </c>
      <c r="AD1859" s="52">
        <f>IF(AB1859="","",IFERROR(INDEX(ctaTipo,MATCH(AB1859,ctaNombre,0))&amp;"",""))</f>
        <v/>
      </c>
      <c r="AE1859" s="52">
        <f>IF(AC1859="","",IFERROR(INDEX(ctaTipo,MATCH(AC1859,ctaNombre,0))&amp;"",""))</f>
        <v/>
      </c>
      <c r="AF1859" s="53">
        <f>IF(OR(P1859="",AB1859=""),"",IF(OR(P1859="Gasto",P1859="Transferencia",P1859="Pago tarjeta"),-1,1)*IF(IFERROR(INDEX(ctaMoneda,MATCH(AB1859,ctaNombre,0))&amp;"","DOP")="USD",T1859,S1859))</f>
        <v/>
      </c>
      <c r="AG1859" s="53">
        <f>IF(AC1859="","",IF(IFERROR(INDEX(ctaMoneda,MATCH(AC1859,ctaNombre,0))&amp;"","DOP")="USD",T1859,S1859))</f>
        <v/>
      </c>
      <c r="AH1859" s="53">
        <f>IF(P1859="","",IF(AND(AD1859&lt;&gt;"",COUNTIFS(tcTipo,AD1859,tcLiq,"Sí")&gt;0),IF(OR(P1859="Gasto",P1859="Transferencia",P1859="Pago tarjeta"),-1,1)*S1859,0)+IF(AND(AE1859&lt;&gt;"",COUNTIFS(tcTipo,AE1859,tcLiq,"Sí")&gt;0),S1859,0))</f>
        <v/>
      </c>
      <c r="AI1859" s="52">
        <f>IF(OR(L1859="",P1859=""),"",IF(COUNTIFS(L$6:L1859,L1859,P$6:P1859,"?*")=1,MAX(AI$5:AI1858)+1,""))</f>
        <v/>
      </c>
    </row>
    <row r="1860">
      <c r="B1860" s="47" t="n"/>
      <c r="C1860" s="48" t="n"/>
      <c r="D1860" s="48" t="n"/>
      <c r="E1860" s="48" t="n"/>
      <c r="F1860" s="48" t="n"/>
      <c r="G1860" s="49" t="n"/>
      <c r="H1860" s="48" t="n"/>
      <c r="I1860" s="50" t="n"/>
      <c r="J1860" s="48" t="n"/>
      <c r="K1860" s="48" t="n"/>
      <c r="L1860" s="48" t="n"/>
      <c r="M1860" s="48" t="n"/>
      <c r="N1860" s="48" t="n"/>
      <c r="O1860" s="51">
        <f>IF(AND(B1860="",G1860="",C1860="",D1860="",J1860=""),"",IF(B1860="","⚠ Falta fecha",IF(G1860="","⚠ Falta monto",IF(Q1860="","⚠ Falta cuenta",IF(ISNA(MATCH(Q1860,ctaNombre,0)),"⚠ Cuenta no registrada",IF(AND(OR(P1860="Gasto",P1860="Reembolso"),D1860=""),"⚠ Falta categoría",IF(AND(D1860&lt;&gt;"",E1860&lt;&gt;"",ISNA(MATCH(D1860&amp;"|"&amp;E1860,catClave,0))),"⚠ Subcategoría no corresponde",IF(AND(OR(P1860="Transferencia",P1860="Pago tarjeta"),K1860=""),"⚠ Falta cuenta destino",IF(AND(K1860&lt;&gt;"",P1860&lt;&gt;"Transferencia",P1860&lt;&gt;"Pago tarjeta"),"⚠ Destino solo aplica a transferencias",IF(AND(K1860&lt;&gt;"",K1860=Q1860),"⚠ Origen igual a destino",IF(AND(K1860&lt;&gt;"",ISNA(MATCH(K1860,ctaNombre,0))),"⚠ Destino no registrado",IF(AND(P1860="Pago tarjeta",AE1860&lt;&gt;"Tarjeta de crédito"),"⚠ El destino debe ser tarjeta de crédito",IF(AND(P1860="Gasto",E1860="Depósitos y retiros"),"⚠ Usa tipo Transferencia",IF(AND(P1860="Resultado trading",AD1860&lt;&gt;"Cuenta de trading"),"⚠ Usa una cuenta de trading",IF(AND(G1860&lt;=0,P1860&lt;&gt;"Ajuste",P1860&lt;&gt;"Resultado trading"),"⚠ El monto debe ser positivo","✓")))))))))))))))</f>
        <v/>
      </c>
      <c r="P1860" s="52">
        <f>IF(OR(B1860="",G1860=""),"",IF(C1860="","Gasto",C1860))</f>
        <v/>
      </c>
      <c r="Q1860" s="52">
        <f>IF(P1860="","",IF(J1860&lt;&gt;"",J1860,CuentaPred&amp;""))</f>
        <v/>
      </c>
      <c r="R1860" s="52">
        <f>IF(P1860="","",IF(ISNUMBER(I1860),I1860,TasaUSD))</f>
        <v/>
      </c>
      <c r="S1860" s="53">
        <f>IF(P1860="","",IF(H1860="USD",G1860*R1860,G1860))</f>
        <v/>
      </c>
      <c r="T1860" s="53">
        <f>IF(P1860="","",IF(H1860="USD",G1860,IF(R1860&gt;0,G1860/R1860,0)))</f>
        <v/>
      </c>
      <c r="U1860" s="53">
        <f>IF(P1860="","",IF(P1860="Gasto",S1860,IF(P1860="Reembolso",-S1860,0)))</f>
        <v/>
      </c>
      <c r="V1860" s="53">
        <f>IF(P1860="","",IF(P1860="Ingreso",S1860,0))</f>
        <v/>
      </c>
      <c r="W1860" s="53">
        <f>IF(P1860="","",IF(P1860="Resultado trading",S1860,0))</f>
        <v/>
      </c>
      <c r="X1860" s="52">
        <f>IF(OR(P1860="Gasto",P1860="Reembolso"),IF(M1860&lt;&gt;"",M1860,IFERROR(INDEX(catClasif,MATCH(D1860&amp;"|"&amp;E1860,catClave,0))&amp;"","Variable")),"")</f>
        <v/>
      </c>
      <c r="Y1860" s="52">
        <f>IF(P1860="","",IFERROR(INDEX(catGrupo,MATCH(D1860&amp;"|"&amp;E1860,catClave,0))&amp;"",""))</f>
        <v/>
      </c>
      <c r="Z1860" s="52">
        <f>IF(P1860="","",WEEKDAY(B1860,2))</f>
        <v/>
      </c>
      <c r="AA1860" s="52">
        <f>IF(P1860="","",IF(AND(P1860="Gasto",X1860="Variable",D1860&lt;&gt;catTrading,S1860&gt;0,S1860&lt;=Umbral),1,0))</f>
        <v/>
      </c>
      <c r="AB1860" s="52">
        <f>IF(OR(P1860="",Q1860=""),"",IFERROR(IF(INDEX(ctaVinc,MATCH(Q1860,ctaNombre,0))&amp;""&lt;&gt;"",INDEX(ctaVinc,MATCH(Q1860,ctaNombre,0))&amp;"",Q1860),Q1860))</f>
        <v/>
      </c>
      <c r="AC1860" s="52">
        <f>IF(OR(K1860="",AND(P1860&lt;&gt;"Transferencia",P1860&lt;&gt;"Pago tarjeta")),"",IFERROR(IF(INDEX(ctaVinc,MATCH(K1860,ctaNombre,0))&amp;""&lt;&gt;"",INDEX(ctaVinc,MATCH(K1860,ctaNombre,0))&amp;"",K1860),K1860))</f>
        <v/>
      </c>
      <c r="AD1860" s="52">
        <f>IF(AB1860="","",IFERROR(INDEX(ctaTipo,MATCH(AB1860,ctaNombre,0))&amp;"",""))</f>
        <v/>
      </c>
      <c r="AE1860" s="52">
        <f>IF(AC1860="","",IFERROR(INDEX(ctaTipo,MATCH(AC1860,ctaNombre,0))&amp;"",""))</f>
        <v/>
      </c>
      <c r="AF1860" s="53">
        <f>IF(OR(P1860="",AB1860=""),"",IF(OR(P1860="Gasto",P1860="Transferencia",P1860="Pago tarjeta"),-1,1)*IF(IFERROR(INDEX(ctaMoneda,MATCH(AB1860,ctaNombre,0))&amp;"","DOP")="USD",T1860,S1860))</f>
        <v/>
      </c>
      <c r="AG1860" s="53">
        <f>IF(AC1860="","",IF(IFERROR(INDEX(ctaMoneda,MATCH(AC1860,ctaNombre,0))&amp;"","DOP")="USD",T1860,S1860))</f>
        <v/>
      </c>
      <c r="AH1860" s="53">
        <f>IF(P1860="","",IF(AND(AD1860&lt;&gt;"",COUNTIFS(tcTipo,AD1860,tcLiq,"Sí")&gt;0),IF(OR(P1860="Gasto",P1860="Transferencia",P1860="Pago tarjeta"),-1,1)*S1860,0)+IF(AND(AE1860&lt;&gt;"",COUNTIFS(tcTipo,AE1860,tcLiq,"Sí")&gt;0),S1860,0))</f>
        <v/>
      </c>
      <c r="AI1860" s="52">
        <f>IF(OR(L1860="",P1860=""),"",IF(COUNTIFS(L$6:L1860,L1860,P$6:P1860,"?*")=1,MAX(AI$5:AI1859)+1,""))</f>
        <v/>
      </c>
    </row>
    <row r="1861">
      <c r="B1861" s="47" t="n"/>
      <c r="C1861" s="48" t="n"/>
      <c r="D1861" s="48" t="n"/>
      <c r="E1861" s="48" t="n"/>
      <c r="F1861" s="48" t="n"/>
      <c r="G1861" s="49" t="n"/>
      <c r="H1861" s="48" t="n"/>
      <c r="I1861" s="50" t="n"/>
      <c r="J1861" s="48" t="n"/>
      <c r="K1861" s="48" t="n"/>
      <c r="L1861" s="48" t="n"/>
      <c r="M1861" s="48" t="n"/>
      <c r="N1861" s="48" t="n"/>
      <c r="O1861" s="51">
        <f>IF(AND(B1861="",G1861="",C1861="",D1861="",J1861=""),"",IF(B1861="","⚠ Falta fecha",IF(G1861="","⚠ Falta monto",IF(Q1861="","⚠ Falta cuenta",IF(ISNA(MATCH(Q1861,ctaNombre,0)),"⚠ Cuenta no registrada",IF(AND(OR(P1861="Gasto",P1861="Reembolso"),D1861=""),"⚠ Falta categoría",IF(AND(D1861&lt;&gt;"",E1861&lt;&gt;"",ISNA(MATCH(D1861&amp;"|"&amp;E1861,catClave,0))),"⚠ Subcategoría no corresponde",IF(AND(OR(P1861="Transferencia",P1861="Pago tarjeta"),K1861=""),"⚠ Falta cuenta destino",IF(AND(K1861&lt;&gt;"",P1861&lt;&gt;"Transferencia",P1861&lt;&gt;"Pago tarjeta"),"⚠ Destino solo aplica a transferencias",IF(AND(K1861&lt;&gt;"",K1861=Q1861),"⚠ Origen igual a destino",IF(AND(K1861&lt;&gt;"",ISNA(MATCH(K1861,ctaNombre,0))),"⚠ Destino no registrado",IF(AND(P1861="Pago tarjeta",AE1861&lt;&gt;"Tarjeta de crédito"),"⚠ El destino debe ser tarjeta de crédito",IF(AND(P1861="Gasto",E1861="Depósitos y retiros"),"⚠ Usa tipo Transferencia",IF(AND(P1861="Resultado trading",AD1861&lt;&gt;"Cuenta de trading"),"⚠ Usa una cuenta de trading",IF(AND(G1861&lt;=0,P1861&lt;&gt;"Ajuste",P1861&lt;&gt;"Resultado trading"),"⚠ El monto debe ser positivo","✓")))))))))))))))</f>
        <v/>
      </c>
      <c r="P1861" s="52">
        <f>IF(OR(B1861="",G1861=""),"",IF(C1861="","Gasto",C1861))</f>
        <v/>
      </c>
      <c r="Q1861" s="52">
        <f>IF(P1861="","",IF(J1861&lt;&gt;"",J1861,CuentaPred&amp;""))</f>
        <v/>
      </c>
      <c r="R1861" s="52">
        <f>IF(P1861="","",IF(ISNUMBER(I1861),I1861,TasaUSD))</f>
        <v/>
      </c>
      <c r="S1861" s="53">
        <f>IF(P1861="","",IF(H1861="USD",G1861*R1861,G1861))</f>
        <v/>
      </c>
      <c r="T1861" s="53">
        <f>IF(P1861="","",IF(H1861="USD",G1861,IF(R1861&gt;0,G1861/R1861,0)))</f>
        <v/>
      </c>
      <c r="U1861" s="53">
        <f>IF(P1861="","",IF(P1861="Gasto",S1861,IF(P1861="Reembolso",-S1861,0)))</f>
        <v/>
      </c>
      <c r="V1861" s="53">
        <f>IF(P1861="","",IF(P1861="Ingreso",S1861,0))</f>
        <v/>
      </c>
      <c r="W1861" s="53">
        <f>IF(P1861="","",IF(P1861="Resultado trading",S1861,0))</f>
        <v/>
      </c>
      <c r="X1861" s="52">
        <f>IF(OR(P1861="Gasto",P1861="Reembolso"),IF(M1861&lt;&gt;"",M1861,IFERROR(INDEX(catClasif,MATCH(D1861&amp;"|"&amp;E1861,catClave,0))&amp;"","Variable")),"")</f>
        <v/>
      </c>
      <c r="Y1861" s="52">
        <f>IF(P1861="","",IFERROR(INDEX(catGrupo,MATCH(D1861&amp;"|"&amp;E1861,catClave,0))&amp;"",""))</f>
        <v/>
      </c>
      <c r="Z1861" s="52">
        <f>IF(P1861="","",WEEKDAY(B1861,2))</f>
        <v/>
      </c>
      <c r="AA1861" s="52">
        <f>IF(P1861="","",IF(AND(P1861="Gasto",X1861="Variable",D1861&lt;&gt;catTrading,S1861&gt;0,S1861&lt;=Umbral),1,0))</f>
        <v/>
      </c>
      <c r="AB1861" s="52">
        <f>IF(OR(P1861="",Q1861=""),"",IFERROR(IF(INDEX(ctaVinc,MATCH(Q1861,ctaNombre,0))&amp;""&lt;&gt;"",INDEX(ctaVinc,MATCH(Q1861,ctaNombre,0))&amp;"",Q1861),Q1861))</f>
        <v/>
      </c>
      <c r="AC1861" s="52">
        <f>IF(OR(K1861="",AND(P1861&lt;&gt;"Transferencia",P1861&lt;&gt;"Pago tarjeta")),"",IFERROR(IF(INDEX(ctaVinc,MATCH(K1861,ctaNombre,0))&amp;""&lt;&gt;"",INDEX(ctaVinc,MATCH(K1861,ctaNombre,0))&amp;"",K1861),K1861))</f>
        <v/>
      </c>
      <c r="AD1861" s="52">
        <f>IF(AB1861="","",IFERROR(INDEX(ctaTipo,MATCH(AB1861,ctaNombre,0))&amp;"",""))</f>
        <v/>
      </c>
      <c r="AE1861" s="52">
        <f>IF(AC1861="","",IFERROR(INDEX(ctaTipo,MATCH(AC1861,ctaNombre,0))&amp;"",""))</f>
        <v/>
      </c>
      <c r="AF1861" s="53">
        <f>IF(OR(P1861="",AB1861=""),"",IF(OR(P1861="Gasto",P1861="Transferencia",P1861="Pago tarjeta"),-1,1)*IF(IFERROR(INDEX(ctaMoneda,MATCH(AB1861,ctaNombre,0))&amp;"","DOP")="USD",T1861,S1861))</f>
        <v/>
      </c>
      <c r="AG1861" s="53">
        <f>IF(AC1861="","",IF(IFERROR(INDEX(ctaMoneda,MATCH(AC1861,ctaNombre,0))&amp;"","DOP")="USD",T1861,S1861))</f>
        <v/>
      </c>
      <c r="AH1861" s="53">
        <f>IF(P1861="","",IF(AND(AD1861&lt;&gt;"",COUNTIFS(tcTipo,AD1861,tcLiq,"Sí")&gt;0),IF(OR(P1861="Gasto",P1861="Transferencia",P1861="Pago tarjeta"),-1,1)*S1861,0)+IF(AND(AE1861&lt;&gt;"",COUNTIFS(tcTipo,AE1861,tcLiq,"Sí")&gt;0),S1861,0))</f>
        <v/>
      </c>
      <c r="AI1861" s="52">
        <f>IF(OR(L1861="",P1861=""),"",IF(COUNTIFS(L$6:L1861,L1861,P$6:P1861,"?*")=1,MAX(AI$5:AI1860)+1,""))</f>
        <v/>
      </c>
    </row>
    <row r="1862">
      <c r="B1862" s="47" t="n"/>
      <c r="C1862" s="48" t="n"/>
      <c r="D1862" s="48" t="n"/>
      <c r="E1862" s="48" t="n"/>
      <c r="F1862" s="48" t="n"/>
      <c r="G1862" s="49" t="n"/>
      <c r="H1862" s="48" t="n"/>
      <c r="I1862" s="50" t="n"/>
      <c r="J1862" s="48" t="n"/>
      <c r="K1862" s="48" t="n"/>
      <c r="L1862" s="48" t="n"/>
      <c r="M1862" s="48" t="n"/>
      <c r="N1862" s="48" t="n"/>
      <c r="O1862" s="51">
        <f>IF(AND(B1862="",G1862="",C1862="",D1862="",J1862=""),"",IF(B1862="","⚠ Falta fecha",IF(G1862="","⚠ Falta monto",IF(Q1862="","⚠ Falta cuenta",IF(ISNA(MATCH(Q1862,ctaNombre,0)),"⚠ Cuenta no registrada",IF(AND(OR(P1862="Gasto",P1862="Reembolso"),D1862=""),"⚠ Falta categoría",IF(AND(D1862&lt;&gt;"",E1862&lt;&gt;"",ISNA(MATCH(D1862&amp;"|"&amp;E1862,catClave,0))),"⚠ Subcategoría no corresponde",IF(AND(OR(P1862="Transferencia",P1862="Pago tarjeta"),K1862=""),"⚠ Falta cuenta destino",IF(AND(K1862&lt;&gt;"",P1862&lt;&gt;"Transferencia",P1862&lt;&gt;"Pago tarjeta"),"⚠ Destino solo aplica a transferencias",IF(AND(K1862&lt;&gt;"",K1862=Q1862),"⚠ Origen igual a destino",IF(AND(K1862&lt;&gt;"",ISNA(MATCH(K1862,ctaNombre,0))),"⚠ Destino no registrado",IF(AND(P1862="Pago tarjeta",AE1862&lt;&gt;"Tarjeta de crédito"),"⚠ El destino debe ser tarjeta de crédito",IF(AND(P1862="Gasto",E1862="Depósitos y retiros"),"⚠ Usa tipo Transferencia",IF(AND(P1862="Resultado trading",AD1862&lt;&gt;"Cuenta de trading"),"⚠ Usa una cuenta de trading",IF(AND(G1862&lt;=0,P1862&lt;&gt;"Ajuste",P1862&lt;&gt;"Resultado trading"),"⚠ El monto debe ser positivo","✓")))))))))))))))</f>
        <v/>
      </c>
      <c r="P1862" s="52">
        <f>IF(OR(B1862="",G1862=""),"",IF(C1862="","Gasto",C1862))</f>
        <v/>
      </c>
      <c r="Q1862" s="52">
        <f>IF(P1862="","",IF(J1862&lt;&gt;"",J1862,CuentaPred&amp;""))</f>
        <v/>
      </c>
      <c r="R1862" s="52">
        <f>IF(P1862="","",IF(ISNUMBER(I1862),I1862,TasaUSD))</f>
        <v/>
      </c>
      <c r="S1862" s="53">
        <f>IF(P1862="","",IF(H1862="USD",G1862*R1862,G1862))</f>
        <v/>
      </c>
      <c r="T1862" s="53">
        <f>IF(P1862="","",IF(H1862="USD",G1862,IF(R1862&gt;0,G1862/R1862,0)))</f>
        <v/>
      </c>
      <c r="U1862" s="53">
        <f>IF(P1862="","",IF(P1862="Gasto",S1862,IF(P1862="Reembolso",-S1862,0)))</f>
        <v/>
      </c>
      <c r="V1862" s="53">
        <f>IF(P1862="","",IF(P1862="Ingreso",S1862,0))</f>
        <v/>
      </c>
      <c r="W1862" s="53">
        <f>IF(P1862="","",IF(P1862="Resultado trading",S1862,0))</f>
        <v/>
      </c>
      <c r="X1862" s="52">
        <f>IF(OR(P1862="Gasto",P1862="Reembolso"),IF(M1862&lt;&gt;"",M1862,IFERROR(INDEX(catClasif,MATCH(D1862&amp;"|"&amp;E1862,catClave,0))&amp;"","Variable")),"")</f>
        <v/>
      </c>
      <c r="Y1862" s="52">
        <f>IF(P1862="","",IFERROR(INDEX(catGrupo,MATCH(D1862&amp;"|"&amp;E1862,catClave,0))&amp;"",""))</f>
        <v/>
      </c>
      <c r="Z1862" s="52">
        <f>IF(P1862="","",WEEKDAY(B1862,2))</f>
        <v/>
      </c>
      <c r="AA1862" s="52">
        <f>IF(P1862="","",IF(AND(P1862="Gasto",X1862="Variable",D1862&lt;&gt;catTrading,S1862&gt;0,S1862&lt;=Umbral),1,0))</f>
        <v/>
      </c>
      <c r="AB1862" s="52">
        <f>IF(OR(P1862="",Q1862=""),"",IFERROR(IF(INDEX(ctaVinc,MATCH(Q1862,ctaNombre,0))&amp;""&lt;&gt;"",INDEX(ctaVinc,MATCH(Q1862,ctaNombre,0))&amp;"",Q1862),Q1862))</f>
        <v/>
      </c>
      <c r="AC1862" s="52">
        <f>IF(OR(K1862="",AND(P1862&lt;&gt;"Transferencia",P1862&lt;&gt;"Pago tarjeta")),"",IFERROR(IF(INDEX(ctaVinc,MATCH(K1862,ctaNombre,0))&amp;""&lt;&gt;"",INDEX(ctaVinc,MATCH(K1862,ctaNombre,0))&amp;"",K1862),K1862))</f>
        <v/>
      </c>
      <c r="AD1862" s="52">
        <f>IF(AB1862="","",IFERROR(INDEX(ctaTipo,MATCH(AB1862,ctaNombre,0))&amp;"",""))</f>
        <v/>
      </c>
      <c r="AE1862" s="52">
        <f>IF(AC1862="","",IFERROR(INDEX(ctaTipo,MATCH(AC1862,ctaNombre,0))&amp;"",""))</f>
        <v/>
      </c>
      <c r="AF1862" s="53">
        <f>IF(OR(P1862="",AB1862=""),"",IF(OR(P1862="Gasto",P1862="Transferencia",P1862="Pago tarjeta"),-1,1)*IF(IFERROR(INDEX(ctaMoneda,MATCH(AB1862,ctaNombre,0))&amp;"","DOP")="USD",T1862,S1862))</f>
        <v/>
      </c>
      <c r="AG1862" s="53">
        <f>IF(AC1862="","",IF(IFERROR(INDEX(ctaMoneda,MATCH(AC1862,ctaNombre,0))&amp;"","DOP")="USD",T1862,S1862))</f>
        <v/>
      </c>
      <c r="AH1862" s="53">
        <f>IF(P1862="","",IF(AND(AD1862&lt;&gt;"",COUNTIFS(tcTipo,AD1862,tcLiq,"Sí")&gt;0),IF(OR(P1862="Gasto",P1862="Transferencia",P1862="Pago tarjeta"),-1,1)*S1862,0)+IF(AND(AE1862&lt;&gt;"",COUNTIFS(tcTipo,AE1862,tcLiq,"Sí")&gt;0),S1862,0))</f>
        <v/>
      </c>
      <c r="AI1862" s="52">
        <f>IF(OR(L1862="",P1862=""),"",IF(COUNTIFS(L$6:L1862,L1862,P$6:P1862,"?*")=1,MAX(AI$5:AI1861)+1,""))</f>
        <v/>
      </c>
    </row>
    <row r="1863">
      <c r="B1863" s="47" t="n"/>
      <c r="C1863" s="48" t="n"/>
      <c r="D1863" s="48" t="n"/>
      <c r="E1863" s="48" t="n"/>
      <c r="F1863" s="48" t="n"/>
      <c r="G1863" s="49" t="n"/>
      <c r="H1863" s="48" t="n"/>
      <c r="I1863" s="50" t="n"/>
      <c r="J1863" s="48" t="n"/>
      <c r="K1863" s="48" t="n"/>
      <c r="L1863" s="48" t="n"/>
      <c r="M1863" s="48" t="n"/>
      <c r="N1863" s="48" t="n"/>
      <c r="O1863" s="51">
        <f>IF(AND(B1863="",G1863="",C1863="",D1863="",J1863=""),"",IF(B1863="","⚠ Falta fecha",IF(G1863="","⚠ Falta monto",IF(Q1863="","⚠ Falta cuenta",IF(ISNA(MATCH(Q1863,ctaNombre,0)),"⚠ Cuenta no registrada",IF(AND(OR(P1863="Gasto",P1863="Reembolso"),D1863=""),"⚠ Falta categoría",IF(AND(D1863&lt;&gt;"",E1863&lt;&gt;"",ISNA(MATCH(D1863&amp;"|"&amp;E1863,catClave,0))),"⚠ Subcategoría no corresponde",IF(AND(OR(P1863="Transferencia",P1863="Pago tarjeta"),K1863=""),"⚠ Falta cuenta destino",IF(AND(K1863&lt;&gt;"",P1863&lt;&gt;"Transferencia",P1863&lt;&gt;"Pago tarjeta"),"⚠ Destino solo aplica a transferencias",IF(AND(K1863&lt;&gt;"",K1863=Q1863),"⚠ Origen igual a destino",IF(AND(K1863&lt;&gt;"",ISNA(MATCH(K1863,ctaNombre,0))),"⚠ Destino no registrado",IF(AND(P1863="Pago tarjeta",AE1863&lt;&gt;"Tarjeta de crédito"),"⚠ El destino debe ser tarjeta de crédito",IF(AND(P1863="Gasto",E1863="Depósitos y retiros"),"⚠ Usa tipo Transferencia",IF(AND(P1863="Resultado trading",AD1863&lt;&gt;"Cuenta de trading"),"⚠ Usa una cuenta de trading",IF(AND(G1863&lt;=0,P1863&lt;&gt;"Ajuste",P1863&lt;&gt;"Resultado trading"),"⚠ El monto debe ser positivo","✓")))))))))))))))</f>
        <v/>
      </c>
      <c r="P1863" s="52">
        <f>IF(OR(B1863="",G1863=""),"",IF(C1863="","Gasto",C1863))</f>
        <v/>
      </c>
      <c r="Q1863" s="52">
        <f>IF(P1863="","",IF(J1863&lt;&gt;"",J1863,CuentaPred&amp;""))</f>
        <v/>
      </c>
      <c r="R1863" s="52">
        <f>IF(P1863="","",IF(ISNUMBER(I1863),I1863,TasaUSD))</f>
        <v/>
      </c>
      <c r="S1863" s="53">
        <f>IF(P1863="","",IF(H1863="USD",G1863*R1863,G1863))</f>
        <v/>
      </c>
      <c r="T1863" s="53">
        <f>IF(P1863="","",IF(H1863="USD",G1863,IF(R1863&gt;0,G1863/R1863,0)))</f>
        <v/>
      </c>
      <c r="U1863" s="53">
        <f>IF(P1863="","",IF(P1863="Gasto",S1863,IF(P1863="Reembolso",-S1863,0)))</f>
        <v/>
      </c>
      <c r="V1863" s="53">
        <f>IF(P1863="","",IF(P1863="Ingreso",S1863,0))</f>
        <v/>
      </c>
      <c r="W1863" s="53">
        <f>IF(P1863="","",IF(P1863="Resultado trading",S1863,0))</f>
        <v/>
      </c>
      <c r="X1863" s="52">
        <f>IF(OR(P1863="Gasto",P1863="Reembolso"),IF(M1863&lt;&gt;"",M1863,IFERROR(INDEX(catClasif,MATCH(D1863&amp;"|"&amp;E1863,catClave,0))&amp;"","Variable")),"")</f>
        <v/>
      </c>
      <c r="Y1863" s="52">
        <f>IF(P1863="","",IFERROR(INDEX(catGrupo,MATCH(D1863&amp;"|"&amp;E1863,catClave,0))&amp;"",""))</f>
        <v/>
      </c>
      <c r="Z1863" s="52">
        <f>IF(P1863="","",WEEKDAY(B1863,2))</f>
        <v/>
      </c>
      <c r="AA1863" s="52">
        <f>IF(P1863="","",IF(AND(P1863="Gasto",X1863="Variable",D1863&lt;&gt;catTrading,S1863&gt;0,S1863&lt;=Umbral),1,0))</f>
        <v/>
      </c>
      <c r="AB1863" s="52">
        <f>IF(OR(P1863="",Q1863=""),"",IFERROR(IF(INDEX(ctaVinc,MATCH(Q1863,ctaNombre,0))&amp;""&lt;&gt;"",INDEX(ctaVinc,MATCH(Q1863,ctaNombre,0))&amp;"",Q1863),Q1863))</f>
        <v/>
      </c>
      <c r="AC1863" s="52">
        <f>IF(OR(K1863="",AND(P1863&lt;&gt;"Transferencia",P1863&lt;&gt;"Pago tarjeta")),"",IFERROR(IF(INDEX(ctaVinc,MATCH(K1863,ctaNombre,0))&amp;""&lt;&gt;"",INDEX(ctaVinc,MATCH(K1863,ctaNombre,0))&amp;"",K1863),K1863))</f>
        <v/>
      </c>
      <c r="AD1863" s="52">
        <f>IF(AB1863="","",IFERROR(INDEX(ctaTipo,MATCH(AB1863,ctaNombre,0))&amp;"",""))</f>
        <v/>
      </c>
      <c r="AE1863" s="52">
        <f>IF(AC1863="","",IFERROR(INDEX(ctaTipo,MATCH(AC1863,ctaNombre,0))&amp;"",""))</f>
        <v/>
      </c>
      <c r="AF1863" s="53">
        <f>IF(OR(P1863="",AB1863=""),"",IF(OR(P1863="Gasto",P1863="Transferencia",P1863="Pago tarjeta"),-1,1)*IF(IFERROR(INDEX(ctaMoneda,MATCH(AB1863,ctaNombre,0))&amp;"","DOP")="USD",T1863,S1863))</f>
        <v/>
      </c>
      <c r="AG1863" s="53">
        <f>IF(AC1863="","",IF(IFERROR(INDEX(ctaMoneda,MATCH(AC1863,ctaNombre,0))&amp;"","DOP")="USD",T1863,S1863))</f>
        <v/>
      </c>
      <c r="AH1863" s="53">
        <f>IF(P1863="","",IF(AND(AD1863&lt;&gt;"",COUNTIFS(tcTipo,AD1863,tcLiq,"Sí")&gt;0),IF(OR(P1863="Gasto",P1863="Transferencia",P1863="Pago tarjeta"),-1,1)*S1863,0)+IF(AND(AE1863&lt;&gt;"",COUNTIFS(tcTipo,AE1863,tcLiq,"Sí")&gt;0),S1863,0))</f>
        <v/>
      </c>
      <c r="AI1863" s="52">
        <f>IF(OR(L1863="",P1863=""),"",IF(COUNTIFS(L$6:L1863,L1863,P$6:P1863,"?*")=1,MAX(AI$5:AI1862)+1,""))</f>
        <v/>
      </c>
    </row>
    <row r="1864">
      <c r="B1864" s="47" t="n"/>
      <c r="C1864" s="48" t="n"/>
      <c r="D1864" s="48" t="n"/>
      <c r="E1864" s="48" t="n"/>
      <c r="F1864" s="48" t="n"/>
      <c r="G1864" s="49" t="n"/>
      <c r="H1864" s="48" t="n"/>
      <c r="I1864" s="50" t="n"/>
      <c r="J1864" s="48" t="n"/>
      <c r="K1864" s="48" t="n"/>
      <c r="L1864" s="48" t="n"/>
      <c r="M1864" s="48" t="n"/>
      <c r="N1864" s="48" t="n"/>
      <c r="O1864" s="51">
        <f>IF(AND(B1864="",G1864="",C1864="",D1864="",J1864=""),"",IF(B1864="","⚠ Falta fecha",IF(G1864="","⚠ Falta monto",IF(Q1864="","⚠ Falta cuenta",IF(ISNA(MATCH(Q1864,ctaNombre,0)),"⚠ Cuenta no registrada",IF(AND(OR(P1864="Gasto",P1864="Reembolso"),D1864=""),"⚠ Falta categoría",IF(AND(D1864&lt;&gt;"",E1864&lt;&gt;"",ISNA(MATCH(D1864&amp;"|"&amp;E1864,catClave,0))),"⚠ Subcategoría no corresponde",IF(AND(OR(P1864="Transferencia",P1864="Pago tarjeta"),K1864=""),"⚠ Falta cuenta destino",IF(AND(K1864&lt;&gt;"",P1864&lt;&gt;"Transferencia",P1864&lt;&gt;"Pago tarjeta"),"⚠ Destino solo aplica a transferencias",IF(AND(K1864&lt;&gt;"",K1864=Q1864),"⚠ Origen igual a destino",IF(AND(K1864&lt;&gt;"",ISNA(MATCH(K1864,ctaNombre,0))),"⚠ Destino no registrado",IF(AND(P1864="Pago tarjeta",AE1864&lt;&gt;"Tarjeta de crédito"),"⚠ El destino debe ser tarjeta de crédito",IF(AND(P1864="Gasto",E1864="Depósitos y retiros"),"⚠ Usa tipo Transferencia",IF(AND(P1864="Resultado trading",AD1864&lt;&gt;"Cuenta de trading"),"⚠ Usa una cuenta de trading",IF(AND(G1864&lt;=0,P1864&lt;&gt;"Ajuste",P1864&lt;&gt;"Resultado trading"),"⚠ El monto debe ser positivo","✓")))))))))))))))</f>
        <v/>
      </c>
      <c r="P1864" s="52">
        <f>IF(OR(B1864="",G1864=""),"",IF(C1864="","Gasto",C1864))</f>
        <v/>
      </c>
      <c r="Q1864" s="52">
        <f>IF(P1864="","",IF(J1864&lt;&gt;"",J1864,CuentaPred&amp;""))</f>
        <v/>
      </c>
      <c r="R1864" s="52">
        <f>IF(P1864="","",IF(ISNUMBER(I1864),I1864,TasaUSD))</f>
        <v/>
      </c>
      <c r="S1864" s="53">
        <f>IF(P1864="","",IF(H1864="USD",G1864*R1864,G1864))</f>
        <v/>
      </c>
      <c r="T1864" s="53">
        <f>IF(P1864="","",IF(H1864="USD",G1864,IF(R1864&gt;0,G1864/R1864,0)))</f>
        <v/>
      </c>
      <c r="U1864" s="53">
        <f>IF(P1864="","",IF(P1864="Gasto",S1864,IF(P1864="Reembolso",-S1864,0)))</f>
        <v/>
      </c>
      <c r="V1864" s="53">
        <f>IF(P1864="","",IF(P1864="Ingreso",S1864,0))</f>
        <v/>
      </c>
      <c r="W1864" s="53">
        <f>IF(P1864="","",IF(P1864="Resultado trading",S1864,0))</f>
        <v/>
      </c>
      <c r="X1864" s="52">
        <f>IF(OR(P1864="Gasto",P1864="Reembolso"),IF(M1864&lt;&gt;"",M1864,IFERROR(INDEX(catClasif,MATCH(D1864&amp;"|"&amp;E1864,catClave,0))&amp;"","Variable")),"")</f>
        <v/>
      </c>
      <c r="Y1864" s="52">
        <f>IF(P1864="","",IFERROR(INDEX(catGrupo,MATCH(D1864&amp;"|"&amp;E1864,catClave,0))&amp;"",""))</f>
        <v/>
      </c>
      <c r="Z1864" s="52">
        <f>IF(P1864="","",WEEKDAY(B1864,2))</f>
        <v/>
      </c>
      <c r="AA1864" s="52">
        <f>IF(P1864="","",IF(AND(P1864="Gasto",X1864="Variable",D1864&lt;&gt;catTrading,S1864&gt;0,S1864&lt;=Umbral),1,0))</f>
        <v/>
      </c>
      <c r="AB1864" s="52">
        <f>IF(OR(P1864="",Q1864=""),"",IFERROR(IF(INDEX(ctaVinc,MATCH(Q1864,ctaNombre,0))&amp;""&lt;&gt;"",INDEX(ctaVinc,MATCH(Q1864,ctaNombre,0))&amp;"",Q1864),Q1864))</f>
        <v/>
      </c>
      <c r="AC1864" s="52">
        <f>IF(OR(K1864="",AND(P1864&lt;&gt;"Transferencia",P1864&lt;&gt;"Pago tarjeta")),"",IFERROR(IF(INDEX(ctaVinc,MATCH(K1864,ctaNombre,0))&amp;""&lt;&gt;"",INDEX(ctaVinc,MATCH(K1864,ctaNombre,0))&amp;"",K1864),K1864))</f>
        <v/>
      </c>
      <c r="AD1864" s="52">
        <f>IF(AB1864="","",IFERROR(INDEX(ctaTipo,MATCH(AB1864,ctaNombre,0))&amp;"",""))</f>
        <v/>
      </c>
      <c r="AE1864" s="52">
        <f>IF(AC1864="","",IFERROR(INDEX(ctaTipo,MATCH(AC1864,ctaNombre,0))&amp;"",""))</f>
        <v/>
      </c>
      <c r="AF1864" s="53">
        <f>IF(OR(P1864="",AB1864=""),"",IF(OR(P1864="Gasto",P1864="Transferencia",P1864="Pago tarjeta"),-1,1)*IF(IFERROR(INDEX(ctaMoneda,MATCH(AB1864,ctaNombre,0))&amp;"","DOP")="USD",T1864,S1864))</f>
        <v/>
      </c>
      <c r="AG1864" s="53">
        <f>IF(AC1864="","",IF(IFERROR(INDEX(ctaMoneda,MATCH(AC1864,ctaNombre,0))&amp;"","DOP")="USD",T1864,S1864))</f>
        <v/>
      </c>
      <c r="AH1864" s="53">
        <f>IF(P1864="","",IF(AND(AD1864&lt;&gt;"",COUNTIFS(tcTipo,AD1864,tcLiq,"Sí")&gt;0),IF(OR(P1864="Gasto",P1864="Transferencia",P1864="Pago tarjeta"),-1,1)*S1864,0)+IF(AND(AE1864&lt;&gt;"",COUNTIFS(tcTipo,AE1864,tcLiq,"Sí")&gt;0),S1864,0))</f>
        <v/>
      </c>
      <c r="AI1864" s="52">
        <f>IF(OR(L1864="",P1864=""),"",IF(COUNTIFS(L$6:L1864,L1864,P$6:P1864,"?*")=1,MAX(AI$5:AI1863)+1,""))</f>
        <v/>
      </c>
    </row>
    <row r="1865">
      <c r="B1865" s="47" t="n"/>
      <c r="C1865" s="48" t="n"/>
      <c r="D1865" s="48" t="n"/>
      <c r="E1865" s="48" t="n"/>
      <c r="F1865" s="48" t="n"/>
      <c r="G1865" s="49" t="n"/>
      <c r="H1865" s="48" t="n"/>
      <c r="I1865" s="50" t="n"/>
      <c r="J1865" s="48" t="n"/>
      <c r="K1865" s="48" t="n"/>
      <c r="L1865" s="48" t="n"/>
      <c r="M1865" s="48" t="n"/>
      <c r="N1865" s="48" t="n"/>
      <c r="O1865" s="51">
        <f>IF(AND(B1865="",G1865="",C1865="",D1865="",J1865=""),"",IF(B1865="","⚠ Falta fecha",IF(G1865="","⚠ Falta monto",IF(Q1865="","⚠ Falta cuenta",IF(ISNA(MATCH(Q1865,ctaNombre,0)),"⚠ Cuenta no registrada",IF(AND(OR(P1865="Gasto",P1865="Reembolso"),D1865=""),"⚠ Falta categoría",IF(AND(D1865&lt;&gt;"",E1865&lt;&gt;"",ISNA(MATCH(D1865&amp;"|"&amp;E1865,catClave,0))),"⚠ Subcategoría no corresponde",IF(AND(OR(P1865="Transferencia",P1865="Pago tarjeta"),K1865=""),"⚠ Falta cuenta destino",IF(AND(K1865&lt;&gt;"",P1865&lt;&gt;"Transferencia",P1865&lt;&gt;"Pago tarjeta"),"⚠ Destino solo aplica a transferencias",IF(AND(K1865&lt;&gt;"",K1865=Q1865),"⚠ Origen igual a destino",IF(AND(K1865&lt;&gt;"",ISNA(MATCH(K1865,ctaNombre,0))),"⚠ Destino no registrado",IF(AND(P1865="Pago tarjeta",AE1865&lt;&gt;"Tarjeta de crédito"),"⚠ El destino debe ser tarjeta de crédito",IF(AND(P1865="Gasto",E1865="Depósitos y retiros"),"⚠ Usa tipo Transferencia",IF(AND(P1865="Resultado trading",AD1865&lt;&gt;"Cuenta de trading"),"⚠ Usa una cuenta de trading",IF(AND(G1865&lt;=0,P1865&lt;&gt;"Ajuste",P1865&lt;&gt;"Resultado trading"),"⚠ El monto debe ser positivo","✓")))))))))))))))</f>
        <v/>
      </c>
      <c r="P1865" s="52">
        <f>IF(OR(B1865="",G1865=""),"",IF(C1865="","Gasto",C1865))</f>
        <v/>
      </c>
      <c r="Q1865" s="52">
        <f>IF(P1865="","",IF(J1865&lt;&gt;"",J1865,CuentaPred&amp;""))</f>
        <v/>
      </c>
      <c r="R1865" s="52">
        <f>IF(P1865="","",IF(ISNUMBER(I1865),I1865,TasaUSD))</f>
        <v/>
      </c>
      <c r="S1865" s="53">
        <f>IF(P1865="","",IF(H1865="USD",G1865*R1865,G1865))</f>
        <v/>
      </c>
      <c r="T1865" s="53">
        <f>IF(P1865="","",IF(H1865="USD",G1865,IF(R1865&gt;0,G1865/R1865,0)))</f>
        <v/>
      </c>
      <c r="U1865" s="53">
        <f>IF(P1865="","",IF(P1865="Gasto",S1865,IF(P1865="Reembolso",-S1865,0)))</f>
        <v/>
      </c>
      <c r="V1865" s="53">
        <f>IF(P1865="","",IF(P1865="Ingreso",S1865,0))</f>
        <v/>
      </c>
      <c r="W1865" s="53">
        <f>IF(P1865="","",IF(P1865="Resultado trading",S1865,0))</f>
        <v/>
      </c>
      <c r="X1865" s="52">
        <f>IF(OR(P1865="Gasto",P1865="Reembolso"),IF(M1865&lt;&gt;"",M1865,IFERROR(INDEX(catClasif,MATCH(D1865&amp;"|"&amp;E1865,catClave,0))&amp;"","Variable")),"")</f>
        <v/>
      </c>
      <c r="Y1865" s="52">
        <f>IF(P1865="","",IFERROR(INDEX(catGrupo,MATCH(D1865&amp;"|"&amp;E1865,catClave,0))&amp;"",""))</f>
        <v/>
      </c>
      <c r="Z1865" s="52">
        <f>IF(P1865="","",WEEKDAY(B1865,2))</f>
        <v/>
      </c>
      <c r="AA1865" s="52">
        <f>IF(P1865="","",IF(AND(P1865="Gasto",X1865="Variable",D1865&lt;&gt;catTrading,S1865&gt;0,S1865&lt;=Umbral),1,0))</f>
        <v/>
      </c>
      <c r="AB1865" s="52">
        <f>IF(OR(P1865="",Q1865=""),"",IFERROR(IF(INDEX(ctaVinc,MATCH(Q1865,ctaNombre,0))&amp;""&lt;&gt;"",INDEX(ctaVinc,MATCH(Q1865,ctaNombre,0))&amp;"",Q1865),Q1865))</f>
        <v/>
      </c>
      <c r="AC1865" s="52">
        <f>IF(OR(K1865="",AND(P1865&lt;&gt;"Transferencia",P1865&lt;&gt;"Pago tarjeta")),"",IFERROR(IF(INDEX(ctaVinc,MATCH(K1865,ctaNombre,0))&amp;""&lt;&gt;"",INDEX(ctaVinc,MATCH(K1865,ctaNombre,0))&amp;"",K1865),K1865))</f>
        <v/>
      </c>
      <c r="AD1865" s="52">
        <f>IF(AB1865="","",IFERROR(INDEX(ctaTipo,MATCH(AB1865,ctaNombre,0))&amp;"",""))</f>
        <v/>
      </c>
      <c r="AE1865" s="52">
        <f>IF(AC1865="","",IFERROR(INDEX(ctaTipo,MATCH(AC1865,ctaNombre,0))&amp;"",""))</f>
        <v/>
      </c>
      <c r="AF1865" s="53">
        <f>IF(OR(P1865="",AB1865=""),"",IF(OR(P1865="Gasto",P1865="Transferencia",P1865="Pago tarjeta"),-1,1)*IF(IFERROR(INDEX(ctaMoneda,MATCH(AB1865,ctaNombre,0))&amp;"","DOP")="USD",T1865,S1865))</f>
        <v/>
      </c>
      <c r="AG1865" s="53">
        <f>IF(AC1865="","",IF(IFERROR(INDEX(ctaMoneda,MATCH(AC1865,ctaNombre,0))&amp;"","DOP")="USD",T1865,S1865))</f>
        <v/>
      </c>
      <c r="AH1865" s="53">
        <f>IF(P1865="","",IF(AND(AD1865&lt;&gt;"",COUNTIFS(tcTipo,AD1865,tcLiq,"Sí")&gt;0),IF(OR(P1865="Gasto",P1865="Transferencia",P1865="Pago tarjeta"),-1,1)*S1865,0)+IF(AND(AE1865&lt;&gt;"",COUNTIFS(tcTipo,AE1865,tcLiq,"Sí")&gt;0),S1865,0))</f>
        <v/>
      </c>
      <c r="AI1865" s="52">
        <f>IF(OR(L1865="",P1865=""),"",IF(COUNTIFS(L$6:L1865,L1865,P$6:P1865,"?*")=1,MAX(AI$5:AI1864)+1,""))</f>
        <v/>
      </c>
    </row>
    <row r="1866">
      <c r="B1866" s="47" t="n"/>
      <c r="C1866" s="48" t="n"/>
      <c r="D1866" s="48" t="n"/>
      <c r="E1866" s="48" t="n"/>
      <c r="F1866" s="48" t="n"/>
      <c r="G1866" s="49" t="n"/>
      <c r="H1866" s="48" t="n"/>
      <c r="I1866" s="50" t="n"/>
      <c r="J1866" s="48" t="n"/>
      <c r="K1866" s="48" t="n"/>
      <c r="L1866" s="48" t="n"/>
      <c r="M1866" s="48" t="n"/>
      <c r="N1866" s="48" t="n"/>
      <c r="O1866" s="51">
        <f>IF(AND(B1866="",G1866="",C1866="",D1866="",J1866=""),"",IF(B1866="","⚠ Falta fecha",IF(G1866="","⚠ Falta monto",IF(Q1866="","⚠ Falta cuenta",IF(ISNA(MATCH(Q1866,ctaNombre,0)),"⚠ Cuenta no registrada",IF(AND(OR(P1866="Gasto",P1866="Reembolso"),D1866=""),"⚠ Falta categoría",IF(AND(D1866&lt;&gt;"",E1866&lt;&gt;"",ISNA(MATCH(D1866&amp;"|"&amp;E1866,catClave,0))),"⚠ Subcategoría no corresponde",IF(AND(OR(P1866="Transferencia",P1866="Pago tarjeta"),K1866=""),"⚠ Falta cuenta destino",IF(AND(K1866&lt;&gt;"",P1866&lt;&gt;"Transferencia",P1866&lt;&gt;"Pago tarjeta"),"⚠ Destino solo aplica a transferencias",IF(AND(K1866&lt;&gt;"",K1866=Q1866),"⚠ Origen igual a destino",IF(AND(K1866&lt;&gt;"",ISNA(MATCH(K1866,ctaNombre,0))),"⚠ Destino no registrado",IF(AND(P1866="Pago tarjeta",AE1866&lt;&gt;"Tarjeta de crédito"),"⚠ El destino debe ser tarjeta de crédito",IF(AND(P1866="Gasto",E1866="Depósitos y retiros"),"⚠ Usa tipo Transferencia",IF(AND(P1866="Resultado trading",AD1866&lt;&gt;"Cuenta de trading"),"⚠ Usa una cuenta de trading",IF(AND(G1866&lt;=0,P1866&lt;&gt;"Ajuste",P1866&lt;&gt;"Resultado trading"),"⚠ El monto debe ser positivo","✓")))))))))))))))</f>
        <v/>
      </c>
      <c r="P1866" s="52">
        <f>IF(OR(B1866="",G1866=""),"",IF(C1866="","Gasto",C1866))</f>
        <v/>
      </c>
      <c r="Q1866" s="52">
        <f>IF(P1866="","",IF(J1866&lt;&gt;"",J1866,CuentaPred&amp;""))</f>
        <v/>
      </c>
      <c r="R1866" s="52">
        <f>IF(P1866="","",IF(ISNUMBER(I1866),I1866,TasaUSD))</f>
        <v/>
      </c>
      <c r="S1866" s="53">
        <f>IF(P1866="","",IF(H1866="USD",G1866*R1866,G1866))</f>
        <v/>
      </c>
      <c r="T1866" s="53">
        <f>IF(P1866="","",IF(H1866="USD",G1866,IF(R1866&gt;0,G1866/R1866,0)))</f>
        <v/>
      </c>
      <c r="U1866" s="53">
        <f>IF(P1866="","",IF(P1866="Gasto",S1866,IF(P1866="Reembolso",-S1866,0)))</f>
        <v/>
      </c>
      <c r="V1866" s="53">
        <f>IF(P1866="","",IF(P1866="Ingreso",S1866,0))</f>
        <v/>
      </c>
      <c r="W1866" s="53">
        <f>IF(P1866="","",IF(P1866="Resultado trading",S1866,0))</f>
        <v/>
      </c>
      <c r="X1866" s="52">
        <f>IF(OR(P1866="Gasto",P1866="Reembolso"),IF(M1866&lt;&gt;"",M1866,IFERROR(INDEX(catClasif,MATCH(D1866&amp;"|"&amp;E1866,catClave,0))&amp;"","Variable")),"")</f>
        <v/>
      </c>
      <c r="Y1866" s="52">
        <f>IF(P1866="","",IFERROR(INDEX(catGrupo,MATCH(D1866&amp;"|"&amp;E1866,catClave,0))&amp;"",""))</f>
        <v/>
      </c>
      <c r="Z1866" s="52">
        <f>IF(P1866="","",WEEKDAY(B1866,2))</f>
        <v/>
      </c>
      <c r="AA1866" s="52">
        <f>IF(P1866="","",IF(AND(P1866="Gasto",X1866="Variable",D1866&lt;&gt;catTrading,S1866&gt;0,S1866&lt;=Umbral),1,0))</f>
        <v/>
      </c>
      <c r="AB1866" s="52">
        <f>IF(OR(P1866="",Q1866=""),"",IFERROR(IF(INDEX(ctaVinc,MATCH(Q1866,ctaNombre,0))&amp;""&lt;&gt;"",INDEX(ctaVinc,MATCH(Q1866,ctaNombre,0))&amp;"",Q1866),Q1866))</f>
        <v/>
      </c>
      <c r="AC1866" s="52">
        <f>IF(OR(K1866="",AND(P1866&lt;&gt;"Transferencia",P1866&lt;&gt;"Pago tarjeta")),"",IFERROR(IF(INDEX(ctaVinc,MATCH(K1866,ctaNombre,0))&amp;""&lt;&gt;"",INDEX(ctaVinc,MATCH(K1866,ctaNombre,0))&amp;"",K1866),K1866))</f>
        <v/>
      </c>
      <c r="AD1866" s="52">
        <f>IF(AB1866="","",IFERROR(INDEX(ctaTipo,MATCH(AB1866,ctaNombre,0))&amp;"",""))</f>
        <v/>
      </c>
      <c r="AE1866" s="52">
        <f>IF(AC1866="","",IFERROR(INDEX(ctaTipo,MATCH(AC1866,ctaNombre,0))&amp;"",""))</f>
        <v/>
      </c>
      <c r="AF1866" s="53">
        <f>IF(OR(P1866="",AB1866=""),"",IF(OR(P1866="Gasto",P1866="Transferencia",P1866="Pago tarjeta"),-1,1)*IF(IFERROR(INDEX(ctaMoneda,MATCH(AB1866,ctaNombre,0))&amp;"","DOP")="USD",T1866,S1866))</f>
        <v/>
      </c>
      <c r="AG1866" s="53">
        <f>IF(AC1866="","",IF(IFERROR(INDEX(ctaMoneda,MATCH(AC1866,ctaNombre,0))&amp;"","DOP")="USD",T1866,S1866))</f>
        <v/>
      </c>
      <c r="AH1866" s="53">
        <f>IF(P1866="","",IF(AND(AD1866&lt;&gt;"",COUNTIFS(tcTipo,AD1866,tcLiq,"Sí")&gt;0),IF(OR(P1866="Gasto",P1866="Transferencia",P1866="Pago tarjeta"),-1,1)*S1866,0)+IF(AND(AE1866&lt;&gt;"",COUNTIFS(tcTipo,AE1866,tcLiq,"Sí")&gt;0),S1866,0))</f>
        <v/>
      </c>
      <c r="AI1866" s="52">
        <f>IF(OR(L1866="",P1866=""),"",IF(COUNTIFS(L$6:L1866,L1866,P$6:P1866,"?*")=1,MAX(AI$5:AI1865)+1,""))</f>
        <v/>
      </c>
    </row>
    <row r="1867">
      <c r="B1867" s="47" t="n"/>
      <c r="C1867" s="48" t="n"/>
      <c r="D1867" s="48" t="n"/>
      <c r="E1867" s="48" t="n"/>
      <c r="F1867" s="48" t="n"/>
      <c r="G1867" s="49" t="n"/>
      <c r="H1867" s="48" t="n"/>
      <c r="I1867" s="50" t="n"/>
      <c r="J1867" s="48" t="n"/>
      <c r="K1867" s="48" t="n"/>
      <c r="L1867" s="48" t="n"/>
      <c r="M1867" s="48" t="n"/>
      <c r="N1867" s="48" t="n"/>
      <c r="O1867" s="51">
        <f>IF(AND(B1867="",G1867="",C1867="",D1867="",J1867=""),"",IF(B1867="","⚠ Falta fecha",IF(G1867="","⚠ Falta monto",IF(Q1867="","⚠ Falta cuenta",IF(ISNA(MATCH(Q1867,ctaNombre,0)),"⚠ Cuenta no registrada",IF(AND(OR(P1867="Gasto",P1867="Reembolso"),D1867=""),"⚠ Falta categoría",IF(AND(D1867&lt;&gt;"",E1867&lt;&gt;"",ISNA(MATCH(D1867&amp;"|"&amp;E1867,catClave,0))),"⚠ Subcategoría no corresponde",IF(AND(OR(P1867="Transferencia",P1867="Pago tarjeta"),K1867=""),"⚠ Falta cuenta destino",IF(AND(K1867&lt;&gt;"",P1867&lt;&gt;"Transferencia",P1867&lt;&gt;"Pago tarjeta"),"⚠ Destino solo aplica a transferencias",IF(AND(K1867&lt;&gt;"",K1867=Q1867),"⚠ Origen igual a destino",IF(AND(K1867&lt;&gt;"",ISNA(MATCH(K1867,ctaNombre,0))),"⚠ Destino no registrado",IF(AND(P1867="Pago tarjeta",AE1867&lt;&gt;"Tarjeta de crédito"),"⚠ El destino debe ser tarjeta de crédito",IF(AND(P1867="Gasto",E1867="Depósitos y retiros"),"⚠ Usa tipo Transferencia",IF(AND(P1867="Resultado trading",AD1867&lt;&gt;"Cuenta de trading"),"⚠ Usa una cuenta de trading",IF(AND(G1867&lt;=0,P1867&lt;&gt;"Ajuste",P1867&lt;&gt;"Resultado trading"),"⚠ El monto debe ser positivo","✓")))))))))))))))</f>
        <v/>
      </c>
      <c r="P1867" s="52">
        <f>IF(OR(B1867="",G1867=""),"",IF(C1867="","Gasto",C1867))</f>
        <v/>
      </c>
      <c r="Q1867" s="52">
        <f>IF(P1867="","",IF(J1867&lt;&gt;"",J1867,CuentaPred&amp;""))</f>
        <v/>
      </c>
      <c r="R1867" s="52">
        <f>IF(P1867="","",IF(ISNUMBER(I1867),I1867,TasaUSD))</f>
        <v/>
      </c>
      <c r="S1867" s="53">
        <f>IF(P1867="","",IF(H1867="USD",G1867*R1867,G1867))</f>
        <v/>
      </c>
      <c r="T1867" s="53">
        <f>IF(P1867="","",IF(H1867="USD",G1867,IF(R1867&gt;0,G1867/R1867,0)))</f>
        <v/>
      </c>
      <c r="U1867" s="53">
        <f>IF(P1867="","",IF(P1867="Gasto",S1867,IF(P1867="Reembolso",-S1867,0)))</f>
        <v/>
      </c>
      <c r="V1867" s="53">
        <f>IF(P1867="","",IF(P1867="Ingreso",S1867,0))</f>
        <v/>
      </c>
      <c r="W1867" s="53">
        <f>IF(P1867="","",IF(P1867="Resultado trading",S1867,0))</f>
        <v/>
      </c>
      <c r="X1867" s="52">
        <f>IF(OR(P1867="Gasto",P1867="Reembolso"),IF(M1867&lt;&gt;"",M1867,IFERROR(INDEX(catClasif,MATCH(D1867&amp;"|"&amp;E1867,catClave,0))&amp;"","Variable")),"")</f>
        <v/>
      </c>
      <c r="Y1867" s="52">
        <f>IF(P1867="","",IFERROR(INDEX(catGrupo,MATCH(D1867&amp;"|"&amp;E1867,catClave,0))&amp;"",""))</f>
        <v/>
      </c>
      <c r="Z1867" s="52">
        <f>IF(P1867="","",WEEKDAY(B1867,2))</f>
        <v/>
      </c>
      <c r="AA1867" s="52">
        <f>IF(P1867="","",IF(AND(P1867="Gasto",X1867="Variable",D1867&lt;&gt;catTrading,S1867&gt;0,S1867&lt;=Umbral),1,0))</f>
        <v/>
      </c>
      <c r="AB1867" s="52">
        <f>IF(OR(P1867="",Q1867=""),"",IFERROR(IF(INDEX(ctaVinc,MATCH(Q1867,ctaNombre,0))&amp;""&lt;&gt;"",INDEX(ctaVinc,MATCH(Q1867,ctaNombre,0))&amp;"",Q1867),Q1867))</f>
        <v/>
      </c>
      <c r="AC1867" s="52">
        <f>IF(OR(K1867="",AND(P1867&lt;&gt;"Transferencia",P1867&lt;&gt;"Pago tarjeta")),"",IFERROR(IF(INDEX(ctaVinc,MATCH(K1867,ctaNombre,0))&amp;""&lt;&gt;"",INDEX(ctaVinc,MATCH(K1867,ctaNombre,0))&amp;"",K1867),K1867))</f>
        <v/>
      </c>
      <c r="AD1867" s="52">
        <f>IF(AB1867="","",IFERROR(INDEX(ctaTipo,MATCH(AB1867,ctaNombre,0))&amp;"",""))</f>
        <v/>
      </c>
      <c r="AE1867" s="52">
        <f>IF(AC1867="","",IFERROR(INDEX(ctaTipo,MATCH(AC1867,ctaNombre,0))&amp;"",""))</f>
        <v/>
      </c>
      <c r="AF1867" s="53">
        <f>IF(OR(P1867="",AB1867=""),"",IF(OR(P1867="Gasto",P1867="Transferencia",P1867="Pago tarjeta"),-1,1)*IF(IFERROR(INDEX(ctaMoneda,MATCH(AB1867,ctaNombre,0))&amp;"","DOP")="USD",T1867,S1867))</f>
        <v/>
      </c>
      <c r="AG1867" s="53">
        <f>IF(AC1867="","",IF(IFERROR(INDEX(ctaMoneda,MATCH(AC1867,ctaNombre,0))&amp;"","DOP")="USD",T1867,S1867))</f>
        <v/>
      </c>
      <c r="AH1867" s="53">
        <f>IF(P1867="","",IF(AND(AD1867&lt;&gt;"",COUNTIFS(tcTipo,AD1867,tcLiq,"Sí")&gt;0),IF(OR(P1867="Gasto",P1867="Transferencia",P1867="Pago tarjeta"),-1,1)*S1867,0)+IF(AND(AE1867&lt;&gt;"",COUNTIFS(tcTipo,AE1867,tcLiq,"Sí")&gt;0),S1867,0))</f>
        <v/>
      </c>
      <c r="AI1867" s="52">
        <f>IF(OR(L1867="",P1867=""),"",IF(COUNTIFS(L$6:L1867,L1867,P$6:P1867,"?*")=1,MAX(AI$5:AI1866)+1,""))</f>
        <v/>
      </c>
    </row>
    <row r="1868">
      <c r="B1868" s="47" t="n"/>
      <c r="C1868" s="48" t="n"/>
      <c r="D1868" s="48" t="n"/>
      <c r="E1868" s="48" t="n"/>
      <c r="F1868" s="48" t="n"/>
      <c r="G1868" s="49" t="n"/>
      <c r="H1868" s="48" t="n"/>
      <c r="I1868" s="50" t="n"/>
      <c r="J1868" s="48" t="n"/>
      <c r="K1868" s="48" t="n"/>
      <c r="L1868" s="48" t="n"/>
      <c r="M1868" s="48" t="n"/>
      <c r="N1868" s="48" t="n"/>
      <c r="O1868" s="51">
        <f>IF(AND(B1868="",G1868="",C1868="",D1868="",J1868=""),"",IF(B1868="","⚠ Falta fecha",IF(G1868="","⚠ Falta monto",IF(Q1868="","⚠ Falta cuenta",IF(ISNA(MATCH(Q1868,ctaNombre,0)),"⚠ Cuenta no registrada",IF(AND(OR(P1868="Gasto",P1868="Reembolso"),D1868=""),"⚠ Falta categoría",IF(AND(D1868&lt;&gt;"",E1868&lt;&gt;"",ISNA(MATCH(D1868&amp;"|"&amp;E1868,catClave,0))),"⚠ Subcategoría no corresponde",IF(AND(OR(P1868="Transferencia",P1868="Pago tarjeta"),K1868=""),"⚠ Falta cuenta destino",IF(AND(K1868&lt;&gt;"",P1868&lt;&gt;"Transferencia",P1868&lt;&gt;"Pago tarjeta"),"⚠ Destino solo aplica a transferencias",IF(AND(K1868&lt;&gt;"",K1868=Q1868),"⚠ Origen igual a destino",IF(AND(K1868&lt;&gt;"",ISNA(MATCH(K1868,ctaNombre,0))),"⚠ Destino no registrado",IF(AND(P1868="Pago tarjeta",AE1868&lt;&gt;"Tarjeta de crédito"),"⚠ El destino debe ser tarjeta de crédito",IF(AND(P1868="Gasto",E1868="Depósitos y retiros"),"⚠ Usa tipo Transferencia",IF(AND(P1868="Resultado trading",AD1868&lt;&gt;"Cuenta de trading"),"⚠ Usa una cuenta de trading",IF(AND(G1868&lt;=0,P1868&lt;&gt;"Ajuste",P1868&lt;&gt;"Resultado trading"),"⚠ El monto debe ser positivo","✓")))))))))))))))</f>
        <v/>
      </c>
      <c r="P1868" s="52">
        <f>IF(OR(B1868="",G1868=""),"",IF(C1868="","Gasto",C1868))</f>
        <v/>
      </c>
      <c r="Q1868" s="52">
        <f>IF(P1868="","",IF(J1868&lt;&gt;"",J1868,CuentaPred&amp;""))</f>
        <v/>
      </c>
      <c r="R1868" s="52">
        <f>IF(P1868="","",IF(ISNUMBER(I1868),I1868,TasaUSD))</f>
        <v/>
      </c>
      <c r="S1868" s="53">
        <f>IF(P1868="","",IF(H1868="USD",G1868*R1868,G1868))</f>
        <v/>
      </c>
      <c r="T1868" s="53">
        <f>IF(P1868="","",IF(H1868="USD",G1868,IF(R1868&gt;0,G1868/R1868,0)))</f>
        <v/>
      </c>
      <c r="U1868" s="53">
        <f>IF(P1868="","",IF(P1868="Gasto",S1868,IF(P1868="Reembolso",-S1868,0)))</f>
        <v/>
      </c>
      <c r="V1868" s="53">
        <f>IF(P1868="","",IF(P1868="Ingreso",S1868,0))</f>
        <v/>
      </c>
      <c r="W1868" s="53">
        <f>IF(P1868="","",IF(P1868="Resultado trading",S1868,0))</f>
        <v/>
      </c>
      <c r="X1868" s="52">
        <f>IF(OR(P1868="Gasto",P1868="Reembolso"),IF(M1868&lt;&gt;"",M1868,IFERROR(INDEX(catClasif,MATCH(D1868&amp;"|"&amp;E1868,catClave,0))&amp;"","Variable")),"")</f>
        <v/>
      </c>
      <c r="Y1868" s="52">
        <f>IF(P1868="","",IFERROR(INDEX(catGrupo,MATCH(D1868&amp;"|"&amp;E1868,catClave,0))&amp;"",""))</f>
        <v/>
      </c>
      <c r="Z1868" s="52">
        <f>IF(P1868="","",WEEKDAY(B1868,2))</f>
        <v/>
      </c>
      <c r="AA1868" s="52">
        <f>IF(P1868="","",IF(AND(P1868="Gasto",X1868="Variable",D1868&lt;&gt;catTrading,S1868&gt;0,S1868&lt;=Umbral),1,0))</f>
        <v/>
      </c>
      <c r="AB1868" s="52">
        <f>IF(OR(P1868="",Q1868=""),"",IFERROR(IF(INDEX(ctaVinc,MATCH(Q1868,ctaNombre,0))&amp;""&lt;&gt;"",INDEX(ctaVinc,MATCH(Q1868,ctaNombre,0))&amp;"",Q1868),Q1868))</f>
        <v/>
      </c>
      <c r="AC1868" s="52">
        <f>IF(OR(K1868="",AND(P1868&lt;&gt;"Transferencia",P1868&lt;&gt;"Pago tarjeta")),"",IFERROR(IF(INDEX(ctaVinc,MATCH(K1868,ctaNombre,0))&amp;""&lt;&gt;"",INDEX(ctaVinc,MATCH(K1868,ctaNombre,0))&amp;"",K1868),K1868))</f>
        <v/>
      </c>
      <c r="AD1868" s="52">
        <f>IF(AB1868="","",IFERROR(INDEX(ctaTipo,MATCH(AB1868,ctaNombre,0))&amp;"",""))</f>
        <v/>
      </c>
      <c r="AE1868" s="52">
        <f>IF(AC1868="","",IFERROR(INDEX(ctaTipo,MATCH(AC1868,ctaNombre,0))&amp;"",""))</f>
        <v/>
      </c>
      <c r="AF1868" s="53">
        <f>IF(OR(P1868="",AB1868=""),"",IF(OR(P1868="Gasto",P1868="Transferencia",P1868="Pago tarjeta"),-1,1)*IF(IFERROR(INDEX(ctaMoneda,MATCH(AB1868,ctaNombre,0))&amp;"","DOP")="USD",T1868,S1868))</f>
        <v/>
      </c>
      <c r="AG1868" s="53">
        <f>IF(AC1868="","",IF(IFERROR(INDEX(ctaMoneda,MATCH(AC1868,ctaNombre,0))&amp;"","DOP")="USD",T1868,S1868))</f>
        <v/>
      </c>
      <c r="AH1868" s="53">
        <f>IF(P1868="","",IF(AND(AD1868&lt;&gt;"",COUNTIFS(tcTipo,AD1868,tcLiq,"Sí")&gt;0),IF(OR(P1868="Gasto",P1868="Transferencia",P1868="Pago tarjeta"),-1,1)*S1868,0)+IF(AND(AE1868&lt;&gt;"",COUNTIFS(tcTipo,AE1868,tcLiq,"Sí")&gt;0),S1868,0))</f>
        <v/>
      </c>
      <c r="AI1868" s="52">
        <f>IF(OR(L1868="",P1868=""),"",IF(COUNTIFS(L$6:L1868,L1868,P$6:P1868,"?*")=1,MAX(AI$5:AI1867)+1,""))</f>
        <v/>
      </c>
    </row>
    <row r="1869">
      <c r="B1869" s="47" t="n"/>
      <c r="C1869" s="48" t="n"/>
      <c r="D1869" s="48" t="n"/>
      <c r="E1869" s="48" t="n"/>
      <c r="F1869" s="48" t="n"/>
      <c r="G1869" s="49" t="n"/>
      <c r="H1869" s="48" t="n"/>
      <c r="I1869" s="50" t="n"/>
      <c r="J1869" s="48" t="n"/>
      <c r="K1869" s="48" t="n"/>
      <c r="L1869" s="48" t="n"/>
      <c r="M1869" s="48" t="n"/>
      <c r="N1869" s="48" t="n"/>
      <c r="O1869" s="51">
        <f>IF(AND(B1869="",G1869="",C1869="",D1869="",J1869=""),"",IF(B1869="","⚠ Falta fecha",IF(G1869="","⚠ Falta monto",IF(Q1869="","⚠ Falta cuenta",IF(ISNA(MATCH(Q1869,ctaNombre,0)),"⚠ Cuenta no registrada",IF(AND(OR(P1869="Gasto",P1869="Reembolso"),D1869=""),"⚠ Falta categoría",IF(AND(D1869&lt;&gt;"",E1869&lt;&gt;"",ISNA(MATCH(D1869&amp;"|"&amp;E1869,catClave,0))),"⚠ Subcategoría no corresponde",IF(AND(OR(P1869="Transferencia",P1869="Pago tarjeta"),K1869=""),"⚠ Falta cuenta destino",IF(AND(K1869&lt;&gt;"",P1869&lt;&gt;"Transferencia",P1869&lt;&gt;"Pago tarjeta"),"⚠ Destino solo aplica a transferencias",IF(AND(K1869&lt;&gt;"",K1869=Q1869),"⚠ Origen igual a destino",IF(AND(K1869&lt;&gt;"",ISNA(MATCH(K1869,ctaNombre,0))),"⚠ Destino no registrado",IF(AND(P1869="Pago tarjeta",AE1869&lt;&gt;"Tarjeta de crédito"),"⚠ El destino debe ser tarjeta de crédito",IF(AND(P1869="Gasto",E1869="Depósitos y retiros"),"⚠ Usa tipo Transferencia",IF(AND(P1869="Resultado trading",AD1869&lt;&gt;"Cuenta de trading"),"⚠ Usa una cuenta de trading",IF(AND(G1869&lt;=0,P1869&lt;&gt;"Ajuste",P1869&lt;&gt;"Resultado trading"),"⚠ El monto debe ser positivo","✓")))))))))))))))</f>
        <v/>
      </c>
      <c r="P1869" s="52">
        <f>IF(OR(B1869="",G1869=""),"",IF(C1869="","Gasto",C1869))</f>
        <v/>
      </c>
      <c r="Q1869" s="52">
        <f>IF(P1869="","",IF(J1869&lt;&gt;"",J1869,CuentaPred&amp;""))</f>
        <v/>
      </c>
      <c r="R1869" s="52">
        <f>IF(P1869="","",IF(ISNUMBER(I1869),I1869,TasaUSD))</f>
        <v/>
      </c>
      <c r="S1869" s="53">
        <f>IF(P1869="","",IF(H1869="USD",G1869*R1869,G1869))</f>
        <v/>
      </c>
      <c r="T1869" s="53">
        <f>IF(P1869="","",IF(H1869="USD",G1869,IF(R1869&gt;0,G1869/R1869,0)))</f>
        <v/>
      </c>
      <c r="U1869" s="53">
        <f>IF(P1869="","",IF(P1869="Gasto",S1869,IF(P1869="Reembolso",-S1869,0)))</f>
        <v/>
      </c>
      <c r="V1869" s="53">
        <f>IF(P1869="","",IF(P1869="Ingreso",S1869,0))</f>
        <v/>
      </c>
      <c r="W1869" s="53">
        <f>IF(P1869="","",IF(P1869="Resultado trading",S1869,0))</f>
        <v/>
      </c>
      <c r="X1869" s="52">
        <f>IF(OR(P1869="Gasto",P1869="Reembolso"),IF(M1869&lt;&gt;"",M1869,IFERROR(INDEX(catClasif,MATCH(D1869&amp;"|"&amp;E1869,catClave,0))&amp;"","Variable")),"")</f>
        <v/>
      </c>
      <c r="Y1869" s="52">
        <f>IF(P1869="","",IFERROR(INDEX(catGrupo,MATCH(D1869&amp;"|"&amp;E1869,catClave,0))&amp;"",""))</f>
        <v/>
      </c>
      <c r="Z1869" s="52">
        <f>IF(P1869="","",WEEKDAY(B1869,2))</f>
        <v/>
      </c>
      <c r="AA1869" s="52">
        <f>IF(P1869="","",IF(AND(P1869="Gasto",X1869="Variable",D1869&lt;&gt;catTrading,S1869&gt;0,S1869&lt;=Umbral),1,0))</f>
        <v/>
      </c>
      <c r="AB1869" s="52">
        <f>IF(OR(P1869="",Q1869=""),"",IFERROR(IF(INDEX(ctaVinc,MATCH(Q1869,ctaNombre,0))&amp;""&lt;&gt;"",INDEX(ctaVinc,MATCH(Q1869,ctaNombre,0))&amp;"",Q1869),Q1869))</f>
        <v/>
      </c>
      <c r="AC1869" s="52">
        <f>IF(OR(K1869="",AND(P1869&lt;&gt;"Transferencia",P1869&lt;&gt;"Pago tarjeta")),"",IFERROR(IF(INDEX(ctaVinc,MATCH(K1869,ctaNombre,0))&amp;""&lt;&gt;"",INDEX(ctaVinc,MATCH(K1869,ctaNombre,0))&amp;"",K1869),K1869))</f>
        <v/>
      </c>
      <c r="AD1869" s="52">
        <f>IF(AB1869="","",IFERROR(INDEX(ctaTipo,MATCH(AB1869,ctaNombre,0))&amp;"",""))</f>
        <v/>
      </c>
      <c r="AE1869" s="52">
        <f>IF(AC1869="","",IFERROR(INDEX(ctaTipo,MATCH(AC1869,ctaNombre,0))&amp;"",""))</f>
        <v/>
      </c>
      <c r="AF1869" s="53">
        <f>IF(OR(P1869="",AB1869=""),"",IF(OR(P1869="Gasto",P1869="Transferencia",P1869="Pago tarjeta"),-1,1)*IF(IFERROR(INDEX(ctaMoneda,MATCH(AB1869,ctaNombre,0))&amp;"","DOP")="USD",T1869,S1869))</f>
        <v/>
      </c>
      <c r="AG1869" s="53">
        <f>IF(AC1869="","",IF(IFERROR(INDEX(ctaMoneda,MATCH(AC1869,ctaNombre,0))&amp;"","DOP")="USD",T1869,S1869))</f>
        <v/>
      </c>
      <c r="AH1869" s="53">
        <f>IF(P1869="","",IF(AND(AD1869&lt;&gt;"",COUNTIFS(tcTipo,AD1869,tcLiq,"Sí")&gt;0),IF(OR(P1869="Gasto",P1869="Transferencia",P1869="Pago tarjeta"),-1,1)*S1869,0)+IF(AND(AE1869&lt;&gt;"",COUNTIFS(tcTipo,AE1869,tcLiq,"Sí")&gt;0),S1869,0))</f>
        <v/>
      </c>
      <c r="AI1869" s="52">
        <f>IF(OR(L1869="",P1869=""),"",IF(COUNTIFS(L$6:L1869,L1869,P$6:P1869,"?*")=1,MAX(AI$5:AI1868)+1,""))</f>
        <v/>
      </c>
    </row>
    <row r="1870">
      <c r="B1870" s="47" t="n"/>
      <c r="C1870" s="48" t="n"/>
      <c r="D1870" s="48" t="n"/>
      <c r="E1870" s="48" t="n"/>
      <c r="F1870" s="48" t="n"/>
      <c r="G1870" s="49" t="n"/>
      <c r="H1870" s="48" t="n"/>
      <c r="I1870" s="50" t="n"/>
      <c r="J1870" s="48" t="n"/>
      <c r="K1870" s="48" t="n"/>
      <c r="L1870" s="48" t="n"/>
      <c r="M1870" s="48" t="n"/>
      <c r="N1870" s="48" t="n"/>
      <c r="O1870" s="51">
        <f>IF(AND(B1870="",G1870="",C1870="",D1870="",J1870=""),"",IF(B1870="","⚠ Falta fecha",IF(G1870="","⚠ Falta monto",IF(Q1870="","⚠ Falta cuenta",IF(ISNA(MATCH(Q1870,ctaNombre,0)),"⚠ Cuenta no registrada",IF(AND(OR(P1870="Gasto",P1870="Reembolso"),D1870=""),"⚠ Falta categoría",IF(AND(D1870&lt;&gt;"",E1870&lt;&gt;"",ISNA(MATCH(D1870&amp;"|"&amp;E1870,catClave,0))),"⚠ Subcategoría no corresponde",IF(AND(OR(P1870="Transferencia",P1870="Pago tarjeta"),K1870=""),"⚠ Falta cuenta destino",IF(AND(K1870&lt;&gt;"",P1870&lt;&gt;"Transferencia",P1870&lt;&gt;"Pago tarjeta"),"⚠ Destino solo aplica a transferencias",IF(AND(K1870&lt;&gt;"",K1870=Q1870),"⚠ Origen igual a destino",IF(AND(K1870&lt;&gt;"",ISNA(MATCH(K1870,ctaNombre,0))),"⚠ Destino no registrado",IF(AND(P1870="Pago tarjeta",AE1870&lt;&gt;"Tarjeta de crédito"),"⚠ El destino debe ser tarjeta de crédito",IF(AND(P1870="Gasto",E1870="Depósitos y retiros"),"⚠ Usa tipo Transferencia",IF(AND(P1870="Resultado trading",AD1870&lt;&gt;"Cuenta de trading"),"⚠ Usa una cuenta de trading",IF(AND(G1870&lt;=0,P1870&lt;&gt;"Ajuste",P1870&lt;&gt;"Resultado trading"),"⚠ El monto debe ser positivo","✓")))))))))))))))</f>
        <v/>
      </c>
      <c r="P1870" s="52">
        <f>IF(OR(B1870="",G1870=""),"",IF(C1870="","Gasto",C1870))</f>
        <v/>
      </c>
      <c r="Q1870" s="52">
        <f>IF(P1870="","",IF(J1870&lt;&gt;"",J1870,CuentaPred&amp;""))</f>
        <v/>
      </c>
      <c r="R1870" s="52">
        <f>IF(P1870="","",IF(ISNUMBER(I1870),I1870,TasaUSD))</f>
        <v/>
      </c>
      <c r="S1870" s="53">
        <f>IF(P1870="","",IF(H1870="USD",G1870*R1870,G1870))</f>
        <v/>
      </c>
      <c r="T1870" s="53">
        <f>IF(P1870="","",IF(H1870="USD",G1870,IF(R1870&gt;0,G1870/R1870,0)))</f>
        <v/>
      </c>
      <c r="U1870" s="53">
        <f>IF(P1870="","",IF(P1870="Gasto",S1870,IF(P1870="Reembolso",-S1870,0)))</f>
        <v/>
      </c>
      <c r="V1870" s="53">
        <f>IF(P1870="","",IF(P1870="Ingreso",S1870,0))</f>
        <v/>
      </c>
      <c r="W1870" s="53">
        <f>IF(P1870="","",IF(P1870="Resultado trading",S1870,0))</f>
        <v/>
      </c>
      <c r="X1870" s="52">
        <f>IF(OR(P1870="Gasto",P1870="Reembolso"),IF(M1870&lt;&gt;"",M1870,IFERROR(INDEX(catClasif,MATCH(D1870&amp;"|"&amp;E1870,catClave,0))&amp;"","Variable")),"")</f>
        <v/>
      </c>
      <c r="Y1870" s="52">
        <f>IF(P1870="","",IFERROR(INDEX(catGrupo,MATCH(D1870&amp;"|"&amp;E1870,catClave,0))&amp;"",""))</f>
        <v/>
      </c>
      <c r="Z1870" s="52">
        <f>IF(P1870="","",WEEKDAY(B1870,2))</f>
        <v/>
      </c>
      <c r="AA1870" s="52">
        <f>IF(P1870="","",IF(AND(P1870="Gasto",X1870="Variable",D1870&lt;&gt;catTrading,S1870&gt;0,S1870&lt;=Umbral),1,0))</f>
        <v/>
      </c>
      <c r="AB1870" s="52">
        <f>IF(OR(P1870="",Q1870=""),"",IFERROR(IF(INDEX(ctaVinc,MATCH(Q1870,ctaNombre,0))&amp;""&lt;&gt;"",INDEX(ctaVinc,MATCH(Q1870,ctaNombre,0))&amp;"",Q1870),Q1870))</f>
        <v/>
      </c>
      <c r="AC1870" s="52">
        <f>IF(OR(K1870="",AND(P1870&lt;&gt;"Transferencia",P1870&lt;&gt;"Pago tarjeta")),"",IFERROR(IF(INDEX(ctaVinc,MATCH(K1870,ctaNombre,0))&amp;""&lt;&gt;"",INDEX(ctaVinc,MATCH(K1870,ctaNombre,0))&amp;"",K1870),K1870))</f>
        <v/>
      </c>
      <c r="AD1870" s="52">
        <f>IF(AB1870="","",IFERROR(INDEX(ctaTipo,MATCH(AB1870,ctaNombre,0))&amp;"",""))</f>
        <v/>
      </c>
      <c r="AE1870" s="52">
        <f>IF(AC1870="","",IFERROR(INDEX(ctaTipo,MATCH(AC1870,ctaNombre,0))&amp;"",""))</f>
        <v/>
      </c>
      <c r="AF1870" s="53">
        <f>IF(OR(P1870="",AB1870=""),"",IF(OR(P1870="Gasto",P1870="Transferencia",P1870="Pago tarjeta"),-1,1)*IF(IFERROR(INDEX(ctaMoneda,MATCH(AB1870,ctaNombre,0))&amp;"","DOP")="USD",T1870,S1870))</f>
        <v/>
      </c>
      <c r="AG1870" s="53">
        <f>IF(AC1870="","",IF(IFERROR(INDEX(ctaMoneda,MATCH(AC1870,ctaNombre,0))&amp;"","DOP")="USD",T1870,S1870))</f>
        <v/>
      </c>
      <c r="AH1870" s="53">
        <f>IF(P1870="","",IF(AND(AD1870&lt;&gt;"",COUNTIFS(tcTipo,AD1870,tcLiq,"Sí")&gt;0),IF(OR(P1870="Gasto",P1870="Transferencia",P1870="Pago tarjeta"),-1,1)*S1870,0)+IF(AND(AE1870&lt;&gt;"",COUNTIFS(tcTipo,AE1870,tcLiq,"Sí")&gt;0),S1870,0))</f>
        <v/>
      </c>
      <c r="AI1870" s="52">
        <f>IF(OR(L1870="",P1870=""),"",IF(COUNTIFS(L$6:L1870,L1870,P$6:P1870,"?*")=1,MAX(AI$5:AI1869)+1,""))</f>
        <v/>
      </c>
    </row>
    <row r="1871">
      <c r="B1871" s="47" t="n"/>
      <c r="C1871" s="48" t="n"/>
      <c r="D1871" s="48" t="n"/>
      <c r="E1871" s="48" t="n"/>
      <c r="F1871" s="48" t="n"/>
      <c r="G1871" s="49" t="n"/>
      <c r="H1871" s="48" t="n"/>
      <c r="I1871" s="50" t="n"/>
      <c r="J1871" s="48" t="n"/>
      <c r="K1871" s="48" t="n"/>
      <c r="L1871" s="48" t="n"/>
      <c r="M1871" s="48" t="n"/>
      <c r="N1871" s="48" t="n"/>
      <c r="O1871" s="51">
        <f>IF(AND(B1871="",G1871="",C1871="",D1871="",J1871=""),"",IF(B1871="","⚠ Falta fecha",IF(G1871="","⚠ Falta monto",IF(Q1871="","⚠ Falta cuenta",IF(ISNA(MATCH(Q1871,ctaNombre,0)),"⚠ Cuenta no registrada",IF(AND(OR(P1871="Gasto",P1871="Reembolso"),D1871=""),"⚠ Falta categoría",IF(AND(D1871&lt;&gt;"",E1871&lt;&gt;"",ISNA(MATCH(D1871&amp;"|"&amp;E1871,catClave,0))),"⚠ Subcategoría no corresponde",IF(AND(OR(P1871="Transferencia",P1871="Pago tarjeta"),K1871=""),"⚠ Falta cuenta destino",IF(AND(K1871&lt;&gt;"",P1871&lt;&gt;"Transferencia",P1871&lt;&gt;"Pago tarjeta"),"⚠ Destino solo aplica a transferencias",IF(AND(K1871&lt;&gt;"",K1871=Q1871),"⚠ Origen igual a destino",IF(AND(K1871&lt;&gt;"",ISNA(MATCH(K1871,ctaNombre,0))),"⚠ Destino no registrado",IF(AND(P1871="Pago tarjeta",AE1871&lt;&gt;"Tarjeta de crédito"),"⚠ El destino debe ser tarjeta de crédito",IF(AND(P1871="Gasto",E1871="Depósitos y retiros"),"⚠ Usa tipo Transferencia",IF(AND(P1871="Resultado trading",AD1871&lt;&gt;"Cuenta de trading"),"⚠ Usa una cuenta de trading",IF(AND(G1871&lt;=0,P1871&lt;&gt;"Ajuste",P1871&lt;&gt;"Resultado trading"),"⚠ El monto debe ser positivo","✓")))))))))))))))</f>
        <v/>
      </c>
      <c r="P1871" s="52">
        <f>IF(OR(B1871="",G1871=""),"",IF(C1871="","Gasto",C1871))</f>
        <v/>
      </c>
      <c r="Q1871" s="52">
        <f>IF(P1871="","",IF(J1871&lt;&gt;"",J1871,CuentaPred&amp;""))</f>
        <v/>
      </c>
      <c r="R1871" s="52">
        <f>IF(P1871="","",IF(ISNUMBER(I1871),I1871,TasaUSD))</f>
        <v/>
      </c>
      <c r="S1871" s="53">
        <f>IF(P1871="","",IF(H1871="USD",G1871*R1871,G1871))</f>
        <v/>
      </c>
      <c r="T1871" s="53">
        <f>IF(P1871="","",IF(H1871="USD",G1871,IF(R1871&gt;0,G1871/R1871,0)))</f>
        <v/>
      </c>
      <c r="U1871" s="53">
        <f>IF(P1871="","",IF(P1871="Gasto",S1871,IF(P1871="Reembolso",-S1871,0)))</f>
        <v/>
      </c>
      <c r="V1871" s="53">
        <f>IF(P1871="","",IF(P1871="Ingreso",S1871,0))</f>
        <v/>
      </c>
      <c r="W1871" s="53">
        <f>IF(P1871="","",IF(P1871="Resultado trading",S1871,0))</f>
        <v/>
      </c>
      <c r="X1871" s="52">
        <f>IF(OR(P1871="Gasto",P1871="Reembolso"),IF(M1871&lt;&gt;"",M1871,IFERROR(INDEX(catClasif,MATCH(D1871&amp;"|"&amp;E1871,catClave,0))&amp;"","Variable")),"")</f>
        <v/>
      </c>
      <c r="Y1871" s="52">
        <f>IF(P1871="","",IFERROR(INDEX(catGrupo,MATCH(D1871&amp;"|"&amp;E1871,catClave,0))&amp;"",""))</f>
        <v/>
      </c>
      <c r="Z1871" s="52">
        <f>IF(P1871="","",WEEKDAY(B1871,2))</f>
        <v/>
      </c>
      <c r="AA1871" s="52">
        <f>IF(P1871="","",IF(AND(P1871="Gasto",X1871="Variable",D1871&lt;&gt;catTrading,S1871&gt;0,S1871&lt;=Umbral),1,0))</f>
        <v/>
      </c>
      <c r="AB1871" s="52">
        <f>IF(OR(P1871="",Q1871=""),"",IFERROR(IF(INDEX(ctaVinc,MATCH(Q1871,ctaNombre,0))&amp;""&lt;&gt;"",INDEX(ctaVinc,MATCH(Q1871,ctaNombre,0))&amp;"",Q1871),Q1871))</f>
        <v/>
      </c>
      <c r="AC1871" s="52">
        <f>IF(OR(K1871="",AND(P1871&lt;&gt;"Transferencia",P1871&lt;&gt;"Pago tarjeta")),"",IFERROR(IF(INDEX(ctaVinc,MATCH(K1871,ctaNombre,0))&amp;""&lt;&gt;"",INDEX(ctaVinc,MATCH(K1871,ctaNombre,0))&amp;"",K1871),K1871))</f>
        <v/>
      </c>
      <c r="AD1871" s="52">
        <f>IF(AB1871="","",IFERROR(INDEX(ctaTipo,MATCH(AB1871,ctaNombre,0))&amp;"",""))</f>
        <v/>
      </c>
      <c r="AE1871" s="52">
        <f>IF(AC1871="","",IFERROR(INDEX(ctaTipo,MATCH(AC1871,ctaNombre,0))&amp;"",""))</f>
        <v/>
      </c>
      <c r="AF1871" s="53">
        <f>IF(OR(P1871="",AB1871=""),"",IF(OR(P1871="Gasto",P1871="Transferencia",P1871="Pago tarjeta"),-1,1)*IF(IFERROR(INDEX(ctaMoneda,MATCH(AB1871,ctaNombre,0))&amp;"","DOP")="USD",T1871,S1871))</f>
        <v/>
      </c>
      <c r="AG1871" s="53">
        <f>IF(AC1871="","",IF(IFERROR(INDEX(ctaMoneda,MATCH(AC1871,ctaNombre,0))&amp;"","DOP")="USD",T1871,S1871))</f>
        <v/>
      </c>
      <c r="AH1871" s="53">
        <f>IF(P1871="","",IF(AND(AD1871&lt;&gt;"",COUNTIFS(tcTipo,AD1871,tcLiq,"Sí")&gt;0),IF(OR(P1871="Gasto",P1871="Transferencia",P1871="Pago tarjeta"),-1,1)*S1871,0)+IF(AND(AE1871&lt;&gt;"",COUNTIFS(tcTipo,AE1871,tcLiq,"Sí")&gt;0),S1871,0))</f>
        <v/>
      </c>
      <c r="AI1871" s="52">
        <f>IF(OR(L1871="",P1871=""),"",IF(COUNTIFS(L$6:L1871,L1871,P$6:P1871,"?*")=1,MAX(AI$5:AI1870)+1,""))</f>
        <v/>
      </c>
    </row>
    <row r="1872">
      <c r="B1872" s="47" t="n"/>
      <c r="C1872" s="48" t="n"/>
      <c r="D1872" s="48" t="n"/>
      <c r="E1872" s="48" t="n"/>
      <c r="F1872" s="48" t="n"/>
      <c r="G1872" s="49" t="n"/>
      <c r="H1872" s="48" t="n"/>
      <c r="I1872" s="50" t="n"/>
      <c r="J1872" s="48" t="n"/>
      <c r="K1872" s="48" t="n"/>
      <c r="L1872" s="48" t="n"/>
      <c r="M1872" s="48" t="n"/>
      <c r="N1872" s="48" t="n"/>
      <c r="O1872" s="51">
        <f>IF(AND(B1872="",G1872="",C1872="",D1872="",J1872=""),"",IF(B1872="","⚠ Falta fecha",IF(G1872="","⚠ Falta monto",IF(Q1872="","⚠ Falta cuenta",IF(ISNA(MATCH(Q1872,ctaNombre,0)),"⚠ Cuenta no registrada",IF(AND(OR(P1872="Gasto",P1872="Reembolso"),D1872=""),"⚠ Falta categoría",IF(AND(D1872&lt;&gt;"",E1872&lt;&gt;"",ISNA(MATCH(D1872&amp;"|"&amp;E1872,catClave,0))),"⚠ Subcategoría no corresponde",IF(AND(OR(P1872="Transferencia",P1872="Pago tarjeta"),K1872=""),"⚠ Falta cuenta destino",IF(AND(K1872&lt;&gt;"",P1872&lt;&gt;"Transferencia",P1872&lt;&gt;"Pago tarjeta"),"⚠ Destino solo aplica a transferencias",IF(AND(K1872&lt;&gt;"",K1872=Q1872),"⚠ Origen igual a destino",IF(AND(K1872&lt;&gt;"",ISNA(MATCH(K1872,ctaNombre,0))),"⚠ Destino no registrado",IF(AND(P1872="Pago tarjeta",AE1872&lt;&gt;"Tarjeta de crédito"),"⚠ El destino debe ser tarjeta de crédito",IF(AND(P1872="Gasto",E1872="Depósitos y retiros"),"⚠ Usa tipo Transferencia",IF(AND(P1872="Resultado trading",AD1872&lt;&gt;"Cuenta de trading"),"⚠ Usa una cuenta de trading",IF(AND(G1872&lt;=0,P1872&lt;&gt;"Ajuste",P1872&lt;&gt;"Resultado trading"),"⚠ El monto debe ser positivo","✓")))))))))))))))</f>
        <v/>
      </c>
      <c r="P1872" s="52">
        <f>IF(OR(B1872="",G1872=""),"",IF(C1872="","Gasto",C1872))</f>
        <v/>
      </c>
      <c r="Q1872" s="52">
        <f>IF(P1872="","",IF(J1872&lt;&gt;"",J1872,CuentaPred&amp;""))</f>
        <v/>
      </c>
      <c r="R1872" s="52">
        <f>IF(P1872="","",IF(ISNUMBER(I1872),I1872,TasaUSD))</f>
        <v/>
      </c>
      <c r="S1872" s="53">
        <f>IF(P1872="","",IF(H1872="USD",G1872*R1872,G1872))</f>
        <v/>
      </c>
      <c r="T1872" s="53">
        <f>IF(P1872="","",IF(H1872="USD",G1872,IF(R1872&gt;0,G1872/R1872,0)))</f>
        <v/>
      </c>
      <c r="U1872" s="53">
        <f>IF(P1872="","",IF(P1872="Gasto",S1872,IF(P1872="Reembolso",-S1872,0)))</f>
        <v/>
      </c>
      <c r="V1872" s="53">
        <f>IF(P1872="","",IF(P1872="Ingreso",S1872,0))</f>
        <v/>
      </c>
      <c r="W1872" s="53">
        <f>IF(P1872="","",IF(P1872="Resultado trading",S1872,0))</f>
        <v/>
      </c>
      <c r="X1872" s="52">
        <f>IF(OR(P1872="Gasto",P1872="Reembolso"),IF(M1872&lt;&gt;"",M1872,IFERROR(INDEX(catClasif,MATCH(D1872&amp;"|"&amp;E1872,catClave,0))&amp;"","Variable")),"")</f>
        <v/>
      </c>
      <c r="Y1872" s="52">
        <f>IF(P1872="","",IFERROR(INDEX(catGrupo,MATCH(D1872&amp;"|"&amp;E1872,catClave,0))&amp;"",""))</f>
        <v/>
      </c>
      <c r="Z1872" s="52">
        <f>IF(P1872="","",WEEKDAY(B1872,2))</f>
        <v/>
      </c>
      <c r="AA1872" s="52">
        <f>IF(P1872="","",IF(AND(P1872="Gasto",X1872="Variable",D1872&lt;&gt;catTrading,S1872&gt;0,S1872&lt;=Umbral),1,0))</f>
        <v/>
      </c>
      <c r="AB1872" s="52">
        <f>IF(OR(P1872="",Q1872=""),"",IFERROR(IF(INDEX(ctaVinc,MATCH(Q1872,ctaNombre,0))&amp;""&lt;&gt;"",INDEX(ctaVinc,MATCH(Q1872,ctaNombre,0))&amp;"",Q1872),Q1872))</f>
        <v/>
      </c>
      <c r="AC1872" s="52">
        <f>IF(OR(K1872="",AND(P1872&lt;&gt;"Transferencia",P1872&lt;&gt;"Pago tarjeta")),"",IFERROR(IF(INDEX(ctaVinc,MATCH(K1872,ctaNombre,0))&amp;""&lt;&gt;"",INDEX(ctaVinc,MATCH(K1872,ctaNombre,0))&amp;"",K1872),K1872))</f>
        <v/>
      </c>
      <c r="AD1872" s="52">
        <f>IF(AB1872="","",IFERROR(INDEX(ctaTipo,MATCH(AB1872,ctaNombre,0))&amp;"",""))</f>
        <v/>
      </c>
      <c r="AE1872" s="52">
        <f>IF(AC1872="","",IFERROR(INDEX(ctaTipo,MATCH(AC1872,ctaNombre,0))&amp;"",""))</f>
        <v/>
      </c>
      <c r="AF1872" s="53">
        <f>IF(OR(P1872="",AB1872=""),"",IF(OR(P1872="Gasto",P1872="Transferencia",P1872="Pago tarjeta"),-1,1)*IF(IFERROR(INDEX(ctaMoneda,MATCH(AB1872,ctaNombre,0))&amp;"","DOP")="USD",T1872,S1872))</f>
        <v/>
      </c>
      <c r="AG1872" s="53">
        <f>IF(AC1872="","",IF(IFERROR(INDEX(ctaMoneda,MATCH(AC1872,ctaNombre,0))&amp;"","DOP")="USD",T1872,S1872))</f>
        <v/>
      </c>
      <c r="AH1872" s="53">
        <f>IF(P1872="","",IF(AND(AD1872&lt;&gt;"",COUNTIFS(tcTipo,AD1872,tcLiq,"Sí")&gt;0),IF(OR(P1872="Gasto",P1872="Transferencia",P1872="Pago tarjeta"),-1,1)*S1872,0)+IF(AND(AE1872&lt;&gt;"",COUNTIFS(tcTipo,AE1872,tcLiq,"Sí")&gt;0),S1872,0))</f>
        <v/>
      </c>
      <c r="AI1872" s="52">
        <f>IF(OR(L1872="",P1872=""),"",IF(COUNTIFS(L$6:L1872,L1872,P$6:P1872,"?*")=1,MAX(AI$5:AI1871)+1,""))</f>
        <v/>
      </c>
    </row>
    <row r="1873">
      <c r="B1873" s="47" t="n"/>
      <c r="C1873" s="48" t="n"/>
      <c r="D1873" s="48" t="n"/>
      <c r="E1873" s="48" t="n"/>
      <c r="F1873" s="48" t="n"/>
      <c r="G1873" s="49" t="n"/>
      <c r="H1873" s="48" t="n"/>
      <c r="I1873" s="50" t="n"/>
      <c r="J1873" s="48" t="n"/>
      <c r="K1873" s="48" t="n"/>
      <c r="L1873" s="48" t="n"/>
      <c r="M1873" s="48" t="n"/>
      <c r="N1873" s="48" t="n"/>
      <c r="O1873" s="51">
        <f>IF(AND(B1873="",G1873="",C1873="",D1873="",J1873=""),"",IF(B1873="","⚠ Falta fecha",IF(G1873="","⚠ Falta monto",IF(Q1873="","⚠ Falta cuenta",IF(ISNA(MATCH(Q1873,ctaNombre,0)),"⚠ Cuenta no registrada",IF(AND(OR(P1873="Gasto",P1873="Reembolso"),D1873=""),"⚠ Falta categoría",IF(AND(D1873&lt;&gt;"",E1873&lt;&gt;"",ISNA(MATCH(D1873&amp;"|"&amp;E1873,catClave,0))),"⚠ Subcategoría no corresponde",IF(AND(OR(P1873="Transferencia",P1873="Pago tarjeta"),K1873=""),"⚠ Falta cuenta destino",IF(AND(K1873&lt;&gt;"",P1873&lt;&gt;"Transferencia",P1873&lt;&gt;"Pago tarjeta"),"⚠ Destino solo aplica a transferencias",IF(AND(K1873&lt;&gt;"",K1873=Q1873),"⚠ Origen igual a destino",IF(AND(K1873&lt;&gt;"",ISNA(MATCH(K1873,ctaNombre,0))),"⚠ Destino no registrado",IF(AND(P1873="Pago tarjeta",AE1873&lt;&gt;"Tarjeta de crédito"),"⚠ El destino debe ser tarjeta de crédito",IF(AND(P1873="Gasto",E1873="Depósitos y retiros"),"⚠ Usa tipo Transferencia",IF(AND(P1873="Resultado trading",AD1873&lt;&gt;"Cuenta de trading"),"⚠ Usa una cuenta de trading",IF(AND(G1873&lt;=0,P1873&lt;&gt;"Ajuste",P1873&lt;&gt;"Resultado trading"),"⚠ El monto debe ser positivo","✓")))))))))))))))</f>
        <v/>
      </c>
      <c r="P1873" s="52">
        <f>IF(OR(B1873="",G1873=""),"",IF(C1873="","Gasto",C1873))</f>
        <v/>
      </c>
      <c r="Q1873" s="52">
        <f>IF(P1873="","",IF(J1873&lt;&gt;"",J1873,CuentaPred&amp;""))</f>
        <v/>
      </c>
      <c r="R1873" s="52">
        <f>IF(P1873="","",IF(ISNUMBER(I1873),I1873,TasaUSD))</f>
        <v/>
      </c>
      <c r="S1873" s="53">
        <f>IF(P1873="","",IF(H1873="USD",G1873*R1873,G1873))</f>
        <v/>
      </c>
      <c r="T1873" s="53">
        <f>IF(P1873="","",IF(H1873="USD",G1873,IF(R1873&gt;0,G1873/R1873,0)))</f>
        <v/>
      </c>
      <c r="U1873" s="53">
        <f>IF(P1873="","",IF(P1873="Gasto",S1873,IF(P1873="Reembolso",-S1873,0)))</f>
        <v/>
      </c>
      <c r="V1873" s="53">
        <f>IF(P1873="","",IF(P1873="Ingreso",S1873,0))</f>
        <v/>
      </c>
      <c r="W1873" s="53">
        <f>IF(P1873="","",IF(P1873="Resultado trading",S1873,0))</f>
        <v/>
      </c>
      <c r="X1873" s="52">
        <f>IF(OR(P1873="Gasto",P1873="Reembolso"),IF(M1873&lt;&gt;"",M1873,IFERROR(INDEX(catClasif,MATCH(D1873&amp;"|"&amp;E1873,catClave,0))&amp;"","Variable")),"")</f>
        <v/>
      </c>
      <c r="Y1873" s="52">
        <f>IF(P1873="","",IFERROR(INDEX(catGrupo,MATCH(D1873&amp;"|"&amp;E1873,catClave,0))&amp;"",""))</f>
        <v/>
      </c>
      <c r="Z1873" s="52">
        <f>IF(P1873="","",WEEKDAY(B1873,2))</f>
        <v/>
      </c>
      <c r="AA1873" s="52">
        <f>IF(P1873="","",IF(AND(P1873="Gasto",X1873="Variable",D1873&lt;&gt;catTrading,S1873&gt;0,S1873&lt;=Umbral),1,0))</f>
        <v/>
      </c>
      <c r="AB1873" s="52">
        <f>IF(OR(P1873="",Q1873=""),"",IFERROR(IF(INDEX(ctaVinc,MATCH(Q1873,ctaNombre,0))&amp;""&lt;&gt;"",INDEX(ctaVinc,MATCH(Q1873,ctaNombre,0))&amp;"",Q1873),Q1873))</f>
        <v/>
      </c>
      <c r="AC1873" s="52">
        <f>IF(OR(K1873="",AND(P1873&lt;&gt;"Transferencia",P1873&lt;&gt;"Pago tarjeta")),"",IFERROR(IF(INDEX(ctaVinc,MATCH(K1873,ctaNombre,0))&amp;""&lt;&gt;"",INDEX(ctaVinc,MATCH(K1873,ctaNombre,0))&amp;"",K1873),K1873))</f>
        <v/>
      </c>
      <c r="AD1873" s="52">
        <f>IF(AB1873="","",IFERROR(INDEX(ctaTipo,MATCH(AB1873,ctaNombre,0))&amp;"",""))</f>
        <v/>
      </c>
      <c r="AE1873" s="52">
        <f>IF(AC1873="","",IFERROR(INDEX(ctaTipo,MATCH(AC1873,ctaNombre,0))&amp;"",""))</f>
        <v/>
      </c>
      <c r="AF1873" s="53">
        <f>IF(OR(P1873="",AB1873=""),"",IF(OR(P1873="Gasto",P1873="Transferencia",P1873="Pago tarjeta"),-1,1)*IF(IFERROR(INDEX(ctaMoneda,MATCH(AB1873,ctaNombre,0))&amp;"","DOP")="USD",T1873,S1873))</f>
        <v/>
      </c>
      <c r="AG1873" s="53">
        <f>IF(AC1873="","",IF(IFERROR(INDEX(ctaMoneda,MATCH(AC1873,ctaNombre,0))&amp;"","DOP")="USD",T1873,S1873))</f>
        <v/>
      </c>
      <c r="AH1873" s="53">
        <f>IF(P1873="","",IF(AND(AD1873&lt;&gt;"",COUNTIFS(tcTipo,AD1873,tcLiq,"Sí")&gt;0),IF(OR(P1873="Gasto",P1873="Transferencia",P1873="Pago tarjeta"),-1,1)*S1873,0)+IF(AND(AE1873&lt;&gt;"",COUNTIFS(tcTipo,AE1873,tcLiq,"Sí")&gt;0),S1873,0))</f>
        <v/>
      </c>
      <c r="AI1873" s="52">
        <f>IF(OR(L1873="",P1873=""),"",IF(COUNTIFS(L$6:L1873,L1873,P$6:P1873,"?*")=1,MAX(AI$5:AI1872)+1,""))</f>
        <v/>
      </c>
    </row>
    <row r="1874">
      <c r="B1874" s="47" t="n"/>
      <c r="C1874" s="48" t="n"/>
      <c r="D1874" s="48" t="n"/>
      <c r="E1874" s="48" t="n"/>
      <c r="F1874" s="48" t="n"/>
      <c r="G1874" s="49" t="n"/>
      <c r="H1874" s="48" t="n"/>
      <c r="I1874" s="50" t="n"/>
      <c r="J1874" s="48" t="n"/>
      <c r="K1874" s="48" t="n"/>
      <c r="L1874" s="48" t="n"/>
      <c r="M1874" s="48" t="n"/>
      <c r="N1874" s="48" t="n"/>
      <c r="O1874" s="51">
        <f>IF(AND(B1874="",G1874="",C1874="",D1874="",J1874=""),"",IF(B1874="","⚠ Falta fecha",IF(G1874="","⚠ Falta monto",IF(Q1874="","⚠ Falta cuenta",IF(ISNA(MATCH(Q1874,ctaNombre,0)),"⚠ Cuenta no registrada",IF(AND(OR(P1874="Gasto",P1874="Reembolso"),D1874=""),"⚠ Falta categoría",IF(AND(D1874&lt;&gt;"",E1874&lt;&gt;"",ISNA(MATCH(D1874&amp;"|"&amp;E1874,catClave,0))),"⚠ Subcategoría no corresponde",IF(AND(OR(P1874="Transferencia",P1874="Pago tarjeta"),K1874=""),"⚠ Falta cuenta destino",IF(AND(K1874&lt;&gt;"",P1874&lt;&gt;"Transferencia",P1874&lt;&gt;"Pago tarjeta"),"⚠ Destino solo aplica a transferencias",IF(AND(K1874&lt;&gt;"",K1874=Q1874),"⚠ Origen igual a destino",IF(AND(K1874&lt;&gt;"",ISNA(MATCH(K1874,ctaNombre,0))),"⚠ Destino no registrado",IF(AND(P1874="Pago tarjeta",AE1874&lt;&gt;"Tarjeta de crédito"),"⚠ El destino debe ser tarjeta de crédito",IF(AND(P1874="Gasto",E1874="Depósitos y retiros"),"⚠ Usa tipo Transferencia",IF(AND(P1874="Resultado trading",AD1874&lt;&gt;"Cuenta de trading"),"⚠ Usa una cuenta de trading",IF(AND(G1874&lt;=0,P1874&lt;&gt;"Ajuste",P1874&lt;&gt;"Resultado trading"),"⚠ El monto debe ser positivo","✓")))))))))))))))</f>
        <v/>
      </c>
      <c r="P1874" s="52">
        <f>IF(OR(B1874="",G1874=""),"",IF(C1874="","Gasto",C1874))</f>
        <v/>
      </c>
      <c r="Q1874" s="52">
        <f>IF(P1874="","",IF(J1874&lt;&gt;"",J1874,CuentaPred&amp;""))</f>
        <v/>
      </c>
      <c r="R1874" s="52">
        <f>IF(P1874="","",IF(ISNUMBER(I1874),I1874,TasaUSD))</f>
        <v/>
      </c>
      <c r="S1874" s="53">
        <f>IF(P1874="","",IF(H1874="USD",G1874*R1874,G1874))</f>
        <v/>
      </c>
      <c r="T1874" s="53">
        <f>IF(P1874="","",IF(H1874="USD",G1874,IF(R1874&gt;0,G1874/R1874,0)))</f>
        <v/>
      </c>
      <c r="U1874" s="53">
        <f>IF(P1874="","",IF(P1874="Gasto",S1874,IF(P1874="Reembolso",-S1874,0)))</f>
        <v/>
      </c>
      <c r="V1874" s="53">
        <f>IF(P1874="","",IF(P1874="Ingreso",S1874,0))</f>
        <v/>
      </c>
      <c r="W1874" s="53">
        <f>IF(P1874="","",IF(P1874="Resultado trading",S1874,0))</f>
        <v/>
      </c>
      <c r="X1874" s="52">
        <f>IF(OR(P1874="Gasto",P1874="Reembolso"),IF(M1874&lt;&gt;"",M1874,IFERROR(INDEX(catClasif,MATCH(D1874&amp;"|"&amp;E1874,catClave,0))&amp;"","Variable")),"")</f>
        <v/>
      </c>
      <c r="Y1874" s="52">
        <f>IF(P1874="","",IFERROR(INDEX(catGrupo,MATCH(D1874&amp;"|"&amp;E1874,catClave,0))&amp;"",""))</f>
        <v/>
      </c>
      <c r="Z1874" s="52">
        <f>IF(P1874="","",WEEKDAY(B1874,2))</f>
        <v/>
      </c>
      <c r="AA1874" s="52">
        <f>IF(P1874="","",IF(AND(P1874="Gasto",X1874="Variable",D1874&lt;&gt;catTrading,S1874&gt;0,S1874&lt;=Umbral),1,0))</f>
        <v/>
      </c>
      <c r="AB1874" s="52">
        <f>IF(OR(P1874="",Q1874=""),"",IFERROR(IF(INDEX(ctaVinc,MATCH(Q1874,ctaNombre,0))&amp;""&lt;&gt;"",INDEX(ctaVinc,MATCH(Q1874,ctaNombre,0))&amp;"",Q1874),Q1874))</f>
        <v/>
      </c>
      <c r="AC1874" s="52">
        <f>IF(OR(K1874="",AND(P1874&lt;&gt;"Transferencia",P1874&lt;&gt;"Pago tarjeta")),"",IFERROR(IF(INDEX(ctaVinc,MATCH(K1874,ctaNombre,0))&amp;""&lt;&gt;"",INDEX(ctaVinc,MATCH(K1874,ctaNombre,0))&amp;"",K1874),K1874))</f>
        <v/>
      </c>
      <c r="AD1874" s="52">
        <f>IF(AB1874="","",IFERROR(INDEX(ctaTipo,MATCH(AB1874,ctaNombre,0))&amp;"",""))</f>
        <v/>
      </c>
      <c r="AE1874" s="52">
        <f>IF(AC1874="","",IFERROR(INDEX(ctaTipo,MATCH(AC1874,ctaNombre,0))&amp;"",""))</f>
        <v/>
      </c>
      <c r="AF1874" s="53">
        <f>IF(OR(P1874="",AB1874=""),"",IF(OR(P1874="Gasto",P1874="Transferencia",P1874="Pago tarjeta"),-1,1)*IF(IFERROR(INDEX(ctaMoneda,MATCH(AB1874,ctaNombre,0))&amp;"","DOP")="USD",T1874,S1874))</f>
        <v/>
      </c>
      <c r="AG1874" s="53">
        <f>IF(AC1874="","",IF(IFERROR(INDEX(ctaMoneda,MATCH(AC1874,ctaNombre,0))&amp;"","DOP")="USD",T1874,S1874))</f>
        <v/>
      </c>
      <c r="AH1874" s="53">
        <f>IF(P1874="","",IF(AND(AD1874&lt;&gt;"",COUNTIFS(tcTipo,AD1874,tcLiq,"Sí")&gt;0),IF(OR(P1874="Gasto",P1874="Transferencia",P1874="Pago tarjeta"),-1,1)*S1874,0)+IF(AND(AE1874&lt;&gt;"",COUNTIFS(tcTipo,AE1874,tcLiq,"Sí")&gt;0),S1874,0))</f>
        <v/>
      </c>
      <c r="AI1874" s="52">
        <f>IF(OR(L1874="",P1874=""),"",IF(COUNTIFS(L$6:L1874,L1874,P$6:P1874,"?*")=1,MAX(AI$5:AI1873)+1,""))</f>
        <v/>
      </c>
    </row>
    <row r="1875">
      <c r="B1875" s="47" t="n"/>
      <c r="C1875" s="48" t="n"/>
      <c r="D1875" s="48" t="n"/>
      <c r="E1875" s="48" t="n"/>
      <c r="F1875" s="48" t="n"/>
      <c r="G1875" s="49" t="n"/>
      <c r="H1875" s="48" t="n"/>
      <c r="I1875" s="50" t="n"/>
      <c r="J1875" s="48" t="n"/>
      <c r="K1875" s="48" t="n"/>
      <c r="L1875" s="48" t="n"/>
      <c r="M1875" s="48" t="n"/>
      <c r="N1875" s="48" t="n"/>
      <c r="O1875" s="51">
        <f>IF(AND(B1875="",G1875="",C1875="",D1875="",J1875=""),"",IF(B1875="","⚠ Falta fecha",IF(G1875="","⚠ Falta monto",IF(Q1875="","⚠ Falta cuenta",IF(ISNA(MATCH(Q1875,ctaNombre,0)),"⚠ Cuenta no registrada",IF(AND(OR(P1875="Gasto",P1875="Reembolso"),D1875=""),"⚠ Falta categoría",IF(AND(D1875&lt;&gt;"",E1875&lt;&gt;"",ISNA(MATCH(D1875&amp;"|"&amp;E1875,catClave,0))),"⚠ Subcategoría no corresponde",IF(AND(OR(P1875="Transferencia",P1875="Pago tarjeta"),K1875=""),"⚠ Falta cuenta destino",IF(AND(K1875&lt;&gt;"",P1875&lt;&gt;"Transferencia",P1875&lt;&gt;"Pago tarjeta"),"⚠ Destino solo aplica a transferencias",IF(AND(K1875&lt;&gt;"",K1875=Q1875),"⚠ Origen igual a destino",IF(AND(K1875&lt;&gt;"",ISNA(MATCH(K1875,ctaNombre,0))),"⚠ Destino no registrado",IF(AND(P1875="Pago tarjeta",AE1875&lt;&gt;"Tarjeta de crédito"),"⚠ El destino debe ser tarjeta de crédito",IF(AND(P1875="Gasto",E1875="Depósitos y retiros"),"⚠ Usa tipo Transferencia",IF(AND(P1875="Resultado trading",AD1875&lt;&gt;"Cuenta de trading"),"⚠ Usa una cuenta de trading",IF(AND(G1875&lt;=0,P1875&lt;&gt;"Ajuste",P1875&lt;&gt;"Resultado trading"),"⚠ El monto debe ser positivo","✓")))))))))))))))</f>
        <v/>
      </c>
      <c r="P1875" s="52">
        <f>IF(OR(B1875="",G1875=""),"",IF(C1875="","Gasto",C1875))</f>
        <v/>
      </c>
      <c r="Q1875" s="52">
        <f>IF(P1875="","",IF(J1875&lt;&gt;"",J1875,CuentaPred&amp;""))</f>
        <v/>
      </c>
      <c r="R1875" s="52">
        <f>IF(P1875="","",IF(ISNUMBER(I1875),I1875,TasaUSD))</f>
        <v/>
      </c>
      <c r="S1875" s="53">
        <f>IF(P1875="","",IF(H1875="USD",G1875*R1875,G1875))</f>
        <v/>
      </c>
      <c r="T1875" s="53">
        <f>IF(P1875="","",IF(H1875="USD",G1875,IF(R1875&gt;0,G1875/R1875,0)))</f>
        <v/>
      </c>
      <c r="U1875" s="53">
        <f>IF(P1875="","",IF(P1875="Gasto",S1875,IF(P1875="Reembolso",-S1875,0)))</f>
        <v/>
      </c>
      <c r="V1875" s="53">
        <f>IF(P1875="","",IF(P1875="Ingreso",S1875,0))</f>
        <v/>
      </c>
      <c r="W1875" s="53">
        <f>IF(P1875="","",IF(P1875="Resultado trading",S1875,0))</f>
        <v/>
      </c>
      <c r="X1875" s="52">
        <f>IF(OR(P1875="Gasto",P1875="Reembolso"),IF(M1875&lt;&gt;"",M1875,IFERROR(INDEX(catClasif,MATCH(D1875&amp;"|"&amp;E1875,catClave,0))&amp;"","Variable")),"")</f>
        <v/>
      </c>
      <c r="Y1875" s="52">
        <f>IF(P1875="","",IFERROR(INDEX(catGrupo,MATCH(D1875&amp;"|"&amp;E1875,catClave,0))&amp;"",""))</f>
        <v/>
      </c>
      <c r="Z1875" s="52">
        <f>IF(P1875="","",WEEKDAY(B1875,2))</f>
        <v/>
      </c>
      <c r="AA1875" s="52">
        <f>IF(P1875="","",IF(AND(P1875="Gasto",X1875="Variable",D1875&lt;&gt;catTrading,S1875&gt;0,S1875&lt;=Umbral),1,0))</f>
        <v/>
      </c>
      <c r="AB1875" s="52">
        <f>IF(OR(P1875="",Q1875=""),"",IFERROR(IF(INDEX(ctaVinc,MATCH(Q1875,ctaNombre,0))&amp;""&lt;&gt;"",INDEX(ctaVinc,MATCH(Q1875,ctaNombre,0))&amp;"",Q1875),Q1875))</f>
        <v/>
      </c>
      <c r="AC1875" s="52">
        <f>IF(OR(K1875="",AND(P1875&lt;&gt;"Transferencia",P1875&lt;&gt;"Pago tarjeta")),"",IFERROR(IF(INDEX(ctaVinc,MATCH(K1875,ctaNombre,0))&amp;""&lt;&gt;"",INDEX(ctaVinc,MATCH(K1875,ctaNombre,0))&amp;"",K1875),K1875))</f>
        <v/>
      </c>
      <c r="AD1875" s="52">
        <f>IF(AB1875="","",IFERROR(INDEX(ctaTipo,MATCH(AB1875,ctaNombre,0))&amp;"",""))</f>
        <v/>
      </c>
      <c r="AE1875" s="52">
        <f>IF(AC1875="","",IFERROR(INDEX(ctaTipo,MATCH(AC1875,ctaNombre,0))&amp;"",""))</f>
        <v/>
      </c>
      <c r="AF1875" s="53">
        <f>IF(OR(P1875="",AB1875=""),"",IF(OR(P1875="Gasto",P1875="Transferencia",P1875="Pago tarjeta"),-1,1)*IF(IFERROR(INDEX(ctaMoneda,MATCH(AB1875,ctaNombre,0))&amp;"","DOP")="USD",T1875,S1875))</f>
        <v/>
      </c>
      <c r="AG1875" s="53">
        <f>IF(AC1875="","",IF(IFERROR(INDEX(ctaMoneda,MATCH(AC1875,ctaNombre,0))&amp;"","DOP")="USD",T1875,S1875))</f>
        <v/>
      </c>
      <c r="AH1875" s="53">
        <f>IF(P1875="","",IF(AND(AD1875&lt;&gt;"",COUNTIFS(tcTipo,AD1875,tcLiq,"Sí")&gt;0),IF(OR(P1875="Gasto",P1875="Transferencia",P1875="Pago tarjeta"),-1,1)*S1875,0)+IF(AND(AE1875&lt;&gt;"",COUNTIFS(tcTipo,AE1875,tcLiq,"Sí")&gt;0),S1875,0))</f>
        <v/>
      </c>
      <c r="AI1875" s="52">
        <f>IF(OR(L1875="",P1875=""),"",IF(COUNTIFS(L$6:L1875,L1875,P$6:P1875,"?*")=1,MAX(AI$5:AI1874)+1,""))</f>
        <v/>
      </c>
    </row>
    <row r="1876">
      <c r="B1876" s="47" t="n"/>
      <c r="C1876" s="48" t="n"/>
      <c r="D1876" s="48" t="n"/>
      <c r="E1876" s="48" t="n"/>
      <c r="F1876" s="48" t="n"/>
      <c r="G1876" s="49" t="n"/>
      <c r="H1876" s="48" t="n"/>
      <c r="I1876" s="50" t="n"/>
      <c r="J1876" s="48" t="n"/>
      <c r="K1876" s="48" t="n"/>
      <c r="L1876" s="48" t="n"/>
      <c r="M1876" s="48" t="n"/>
      <c r="N1876" s="48" t="n"/>
      <c r="O1876" s="51">
        <f>IF(AND(B1876="",G1876="",C1876="",D1876="",J1876=""),"",IF(B1876="","⚠ Falta fecha",IF(G1876="","⚠ Falta monto",IF(Q1876="","⚠ Falta cuenta",IF(ISNA(MATCH(Q1876,ctaNombre,0)),"⚠ Cuenta no registrada",IF(AND(OR(P1876="Gasto",P1876="Reembolso"),D1876=""),"⚠ Falta categoría",IF(AND(D1876&lt;&gt;"",E1876&lt;&gt;"",ISNA(MATCH(D1876&amp;"|"&amp;E1876,catClave,0))),"⚠ Subcategoría no corresponde",IF(AND(OR(P1876="Transferencia",P1876="Pago tarjeta"),K1876=""),"⚠ Falta cuenta destino",IF(AND(K1876&lt;&gt;"",P1876&lt;&gt;"Transferencia",P1876&lt;&gt;"Pago tarjeta"),"⚠ Destino solo aplica a transferencias",IF(AND(K1876&lt;&gt;"",K1876=Q1876),"⚠ Origen igual a destino",IF(AND(K1876&lt;&gt;"",ISNA(MATCH(K1876,ctaNombre,0))),"⚠ Destino no registrado",IF(AND(P1876="Pago tarjeta",AE1876&lt;&gt;"Tarjeta de crédito"),"⚠ El destino debe ser tarjeta de crédito",IF(AND(P1876="Gasto",E1876="Depósitos y retiros"),"⚠ Usa tipo Transferencia",IF(AND(P1876="Resultado trading",AD1876&lt;&gt;"Cuenta de trading"),"⚠ Usa una cuenta de trading",IF(AND(G1876&lt;=0,P1876&lt;&gt;"Ajuste",P1876&lt;&gt;"Resultado trading"),"⚠ El monto debe ser positivo","✓")))))))))))))))</f>
        <v/>
      </c>
      <c r="P1876" s="52">
        <f>IF(OR(B1876="",G1876=""),"",IF(C1876="","Gasto",C1876))</f>
        <v/>
      </c>
      <c r="Q1876" s="52">
        <f>IF(P1876="","",IF(J1876&lt;&gt;"",J1876,CuentaPred&amp;""))</f>
        <v/>
      </c>
      <c r="R1876" s="52">
        <f>IF(P1876="","",IF(ISNUMBER(I1876),I1876,TasaUSD))</f>
        <v/>
      </c>
      <c r="S1876" s="53">
        <f>IF(P1876="","",IF(H1876="USD",G1876*R1876,G1876))</f>
        <v/>
      </c>
      <c r="T1876" s="53">
        <f>IF(P1876="","",IF(H1876="USD",G1876,IF(R1876&gt;0,G1876/R1876,0)))</f>
        <v/>
      </c>
      <c r="U1876" s="53">
        <f>IF(P1876="","",IF(P1876="Gasto",S1876,IF(P1876="Reembolso",-S1876,0)))</f>
        <v/>
      </c>
      <c r="V1876" s="53">
        <f>IF(P1876="","",IF(P1876="Ingreso",S1876,0))</f>
        <v/>
      </c>
      <c r="W1876" s="53">
        <f>IF(P1876="","",IF(P1876="Resultado trading",S1876,0))</f>
        <v/>
      </c>
      <c r="X1876" s="52">
        <f>IF(OR(P1876="Gasto",P1876="Reembolso"),IF(M1876&lt;&gt;"",M1876,IFERROR(INDEX(catClasif,MATCH(D1876&amp;"|"&amp;E1876,catClave,0))&amp;"","Variable")),"")</f>
        <v/>
      </c>
      <c r="Y1876" s="52">
        <f>IF(P1876="","",IFERROR(INDEX(catGrupo,MATCH(D1876&amp;"|"&amp;E1876,catClave,0))&amp;"",""))</f>
        <v/>
      </c>
      <c r="Z1876" s="52">
        <f>IF(P1876="","",WEEKDAY(B1876,2))</f>
        <v/>
      </c>
      <c r="AA1876" s="52">
        <f>IF(P1876="","",IF(AND(P1876="Gasto",X1876="Variable",D1876&lt;&gt;catTrading,S1876&gt;0,S1876&lt;=Umbral),1,0))</f>
        <v/>
      </c>
      <c r="AB1876" s="52">
        <f>IF(OR(P1876="",Q1876=""),"",IFERROR(IF(INDEX(ctaVinc,MATCH(Q1876,ctaNombre,0))&amp;""&lt;&gt;"",INDEX(ctaVinc,MATCH(Q1876,ctaNombre,0))&amp;"",Q1876),Q1876))</f>
        <v/>
      </c>
      <c r="AC1876" s="52">
        <f>IF(OR(K1876="",AND(P1876&lt;&gt;"Transferencia",P1876&lt;&gt;"Pago tarjeta")),"",IFERROR(IF(INDEX(ctaVinc,MATCH(K1876,ctaNombre,0))&amp;""&lt;&gt;"",INDEX(ctaVinc,MATCH(K1876,ctaNombre,0))&amp;"",K1876),K1876))</f>
        <v/>
      </c>
      <c r="AD1876" s="52">
        <f>IF(AB1876="","",IFERROR(INDEX(ctaTipo,MATCH(AB1876,ctaNombre,0))&amp;"",""))</f>
        <v/>
      </c>
      <c r="AE1876" s="52">
        <f>IF(AC1876="","",IFERROR(INDEX(ctaTipo,MATCH(AC1876,ctaNombre,0))&amp;"",""))</f>
        <v/>
      </c>
      <c r="AF1876" s="53">
        <f>IF(OR(P1876="",AB1876=""),"",IF(OR(P1876="Gasto",P1876="Transferencia",P1876="Pago tarjeta"),-1,1)*IF(IFERROR(INDEX(ctaMoneda,MATCH(AB1876,ctaNombre,0))&amp;"","DOP")="USD",T1876,S1876))</f>
        <v/>
      </c>
      <c r="AG1876" s="53">
        <f>IF(AC1876="","",IF(IFERROR(INDEX(ctaMoneda,MATCH(AC1876,ctaNombre,0))&amp;"","DOP")="USD",T1876,S1876))</f>
        <v/>
      </c>
      <c r="AH1876" s="53">
        <f>IF(P1876="","",IF(AND(AD1876&lt;&gt;"",COUNTIFS(tcTipo,AD1876,tcLiq,"Sí")&gt;0),IF(OR(P1876="Gasto",P1876="Transferencia",P1876="Pago tarjeta"),-1,1)*S1876,0)+IF(AND(AE1876&lt;&gt;"",COUNTIFS(tcTipo,AE1876,tcLiq,"Sí")&gt;0),S1876,0))</f>
        <v/>
      </c>
      <c r="AI1876" s="52">
        <f>IF(OR(L1876="",P1876=""),"",IF(COUNTIFS(L$6:L1876,L1876,P$6:P1876,"?*")=1,MAX(AI$5:AI1875)+1,""))</f>
        <v/>
      </c>
    </row>
    <row r="1877">
      <c r="B1877" s="47" t="n"/>
      <c r="C1877" s="48" t="n"/>
      <c r="D1877" s="48" t="n"/>
      <c r="E1877" s="48" t="n"/>
      <c r="F1877" s="48" t="n"/>
      <c r="G1877" s="49" t="n"/>
      <c r="H1877" s="48" t="n"/>
      <c r="I1877" s="50" t="n"/>
      <c r="J1877" s="48" t="n"/>
      <c r="K1877" s="48" t="n"/>
      <c r="L1877" s="48" t="n"/>
      <c r="M1877" s="48" t="n"/>
      <c r="N1877" s="48" t="n"/>
      <c r="O1877" s="51">
        <f>IF(AND(B1877="",G1877="",C1877="",D1877="",J1877=""),"",IF(B1877="","⚠ Falta fecha",IF(G1877="","⚠ Falta monto",IF(Q1877="","⚠ Falta cuenta",IF(ISNA(MATCH(Q1877,ctaNombre,0)),"⚠ Cuenta no registrada",IF(AND(OR(P1877="Gasto",P1877="Reembolso"),D1877=""),"⚠ Falta categoría",IF(AND(D1877&lt;&gt;"",E1877&lt;&gt;"",ISNA(MATCH(D1877&amp;"|"&amp;E1877,catClave,0))),"⚠ Subcategoría no corresponde",IF(AND(OR(P1877="Transferencia",P1877="Pago tarjeta"),K1877=""),"⚠ Falta cuenta destino",IF(AND(K1877&lt;&gt;"",P1877&lt;&gt;"Transferencia",P1877&lt;&gt;"Pago tarjeta"),"⚠ Destino solo aplica a transferencias",IF(AND(K1877&lt;&gt;"",K1877=Q1877),"⚠ Origen igual a destino",IF(AND(K1877&lt;&gt;"",ISNA(MATCH(K1877,ctaNombre,0))),"⚠ Destino no registrado",IF(AND(P1877="Pago tarjeta",AE1877&lt;&gt;"Tarjeta de crédito"),"⚠ El destino debe ser tarjeta de crédito",IF(AND(P1877="Gasto",E1877="Depósitos y retiros"),"⚠ Usa tipo Transferencia",IF(AND(P1877="Resultado trading",AD1877&lt;&gt;"Cuenta de trading"),"⚠ Usa una cuenta de trading",IF(AND(G1877&lt;=0,P1877&lt;&gt;"Ajuste",P1877&lt;&gt;"Resultado trading"),"⚠ El monto debe ser positivo","✓")))))))))))))))</f>
        <v/>
      </c>
      <c r="P1877" s="52">
        <f>IF(OR(B1877="",G1877=""),"",IF(C1877="","Gasto",C1877))</f>
        <v/>
      </c>
      <c r="Q1877" s="52">
        <f>IF(P1877="","",IF(J1877&lt;&gt;"",J1877,CuentaPred&amp;""))</f>
        <v/>
      </c>
      <c r="R1877" s="52">
        <f>IF(P1877="","",IF(ISNUMBER(I1877),I1877,TasaUSD))</f>
        <v/>
      </c>
      <c r="S1877" s="53">
        <f>IF(P1877="","",IF(H1877="USD",G1877*R1877,G1877))</f>
        <v/>
      </c>
      <c r="T1877" s="53">
        <f>IF(P1877="","",IF(H1877="USD",G1877,IF(R1877&gt;0,G1877/R1877,0)))</f>
        <v/>
      </c>
      <c r="U1877" s="53">
        <f>IF(P1877="","",IF(P1877="Gasto",S1877,IF(P1877="Reembolso",-S1877,0)))</f>
        <v/>
      </c>
      <c r="V1877" s="53">
        <f>IF(P1877="","",IF(P1877="Ingreso",S1877,0))</f>
        <v/>
      </c>
      <c r="W1877" s="53">
        <f>IF(P1877="","",IF(P1877="Resultado trading",S1877,0))</f>
        <v/>
      </c>
      <c r="X1877" s="52">
        <f>IF(OR(P1877="Gasto",P1877="Reembolso"),IF(M1877&lt;&gt;"",M1877,IFERROR(INDEX(catClasif,MATCH(D1877&amp;"|"&amp;E1877,catClave,0))&amp;"","Variable")),"")</f>
        <v/>
      </c>
      <c r="Y1877" s="52">
        <f>IF(P1877="","",IFERROR(INDEX(catGrupo,MATCH(D1877&amp;"|"&amp;E1877,catClave,0))&amp;"",""))</f>
        <v/>
      </c>
      <c r="Z1877" s="52">
        <f>IF(P1877="","",WEEKDAY(B1877,2))</f>
        <v/>
      </c>
      <c r="AA1877" s="52">
        <f>IF(P1877="","",IF(AND(P1877="Gasto",X1877="Variable",D1877&lt;&gt;catTrading,S1877&gt;0,S1877&lt;=Umbral),1,0))</f>
        <v/>
      </c>
      <c r="AB1877" s="52">
        <f>IF(OR(P1877="",Q1877=""),"",IFERROR(IF(INDEX(ctaVinc,MATCH(Q1877,ctaNombre,0))&amp;""&lt;&gt;"",INDEX(ctaVinc,MATCH(Q1877,ctaNombre,0))&amp;"",Q1877),Q1877))</f>
        <v/>
      </c>
      <c r="AC1877" s="52">
        <f>IF(OR(K1877="",AND(P1877&lt;&gt;"Transferencia",P1877&lt;&gt;"Pago tarjeta")),"",IFERROR(IF(INDEX(ctaVinc,MATCH(K1877,ctaNombre,0))&amp;""&lt;&gt;"",INDEX(ctaVinc,MATCH(K1877,ctaNombre,0))&amp;"",K1877),K1877))</f>
        <v/>
      </c>
      <c r="AD1877" s="52">
        <f>IF(AB1877="","",IFERROR(INDEX(ctaTipo,MATCH(AB1877,ctaNombre,0))&amp;"",""))</f>
        <v/>
      </c>
      <c r="AE1877" s="52">
        <f>IF(AC1877="","",IFERROR(INDEX(ctaTipo,MATCH(AC1877,ctaNombre,0))&amp;"",""))</f>
        <v/>
      </c>
      <c r="AF1877" s="53">
        <f>IF(OR(P1877="",AB1877=""),"",IF(OR(P1877="Gasto",P1877="Transferencia",P1877="Pago tarjeta"),-1,1)*IF(IFERROR(INDEX(ctaMoneda,MATCH(AB1877,ctaNombre,0))&amp;"","DOP")="USD",T1877,S1877))</f>
        <v/>
      </c>
      <c r="AG1877" s="53">
        <f>IF(AC1877="","",IF(IFERROR(INDEX(ctaMoneda,MATCH(AC1877,ctaNombre,0))&amp;"","DOP")="USD",T1877,S1877))</f>
        <v/>
      </c>
      <c r="AH1877" s="53">
        <f>IF(P1877="","",IF(AND(AD1877&lt;&gt;"",COUNTIFS(tcTipo,AD1877,tcLiq,"Sí")&gt;0),IF(OR(P1877="Gasto",P1877="Transferencia",P1877="Pago tarjeta"),-1,1)*S1877,0)+IF(AND(AE1877&lt;&gt;"",COUNTIFS(tcTipo,AE1877,tcLiq,"Sí")&gt;0),S1877,0))</f>
        <v/>
      </c>
      <c r="AI1877" s="52">
        <f>IF(OR(L1877="",P1877=""),"",IF(COUNTIFS(L$6:L1877,L1877,P$6:P1877,"?*")=1,MAX(AI$5:AI1876)+1,""))</f>
        <v/>
      </c>
    </row>
    <row r="1878">
      <c r="B1878" s="47" t="n"/>
      <c r="C1878" s="48" t="n"/>
      <c r="D1878" s="48" t="n"/>
      <c r="E1878" s="48" t="n"/>
      <c r="F1878" s="48" t="n"/>
      <c r="G1878" s="49" t="n"/>
      <c r="H1878" s="48" t="n"/>
      <c r="I1878" s="50" t="n"/>
      <c r="J1878" s="48" t="n"/>
      <c r="K1878" s="48" t="n"/>
      <c r="L1878" s="48" t="n"/>
      <c r="M1878" s="48" t="n"/>
      <c r="N1878" s="48" t="n"/>
      <c r="O1878" s="51">
        <f>IF(AND(B1878="",G1878="",C1878="",D1878="",J1878=""),"",IF(B1878="","⚠ Falta fecha",IF(G1878="","⚠ Falta monto",IF(Q1878="","⚠ Falta cuenta",IF(ISNA(MATCH(Q1878,ctaNombre,0)),"⚠ Cuenta no registrada",IF(AND(OR(P1878="Gasto",P1878="Reembolso"),D1878=""),"⚠ Falta categoría",IF(AND(D1878&lt;&gt;"",E1878&lt;&gt;"",ISNA(MATCH(D1878&amp;"|"&amp;E1878,catClave,0))),"⚠ Subcategoría no corresponde",IF(AND(OR(P1878="Transferencia",P1878="Pago tarjeta"),K1878=""),"⚠ Falta cuenta destino",IF(AND(K1878&lt;&gt;"",P1878&lt;&gt;"Transferencia",P1878&lt;&gt;"Pago tarjeta"),"⚠ Destino solo aplica a transferencias",IF(AND(K1878&lt;&gt;"",K1878=Q1878),"⚠ Origen igual a destino",IF(AND(K1878&lt;&gt;"",ISNA(MATCH(K1878,ctaNombre,0))),"⚠ Destino no registrado",IF(AND(P1878="Pago tarjeta",AE1878&lt;&gt;"Tarjeta de crédito"),"⚠ El destino debe ser tarjeta de crédito",IF(AND(P1878="Gasto",E1878="Depósitos y retiros"),"⚠ Usa tipo Transferencia",IF(AND(P1878="Resultado trading",AD1878&lt;&gt;"Cuenta de trading"),"⚠ Usa una cuenta de trading",IF(AND(G1878&lt;=0,P1878&lt;&gt;"Ajuste",P1878&lt;&gt;"Resultado trading"),"⚠ El monto debe ser positivo","✓")))))))))))))))</f>
        <v/>
      </c>
      <c r="P1878" s="52">
        <f>IF(OR(B1878="",G1878=""),"",IF(C1878="","Gasto",C1878))</f>
        <v/>
      </c>
      <c r="Q1878" s="52">
        <f>IF(P1878="","",IF(J1878&lt;&gt;"",J1878,CuentaPred&amp;""))</f>
        <v/>
      </c>
      <c r="R1878" s="52">
        <f>IF(P1878="","",IF(ISNUMBER(I1878),I1878,TasaUSD))</f>
        <v/>
      </c>
      <c r="S1878" s="53">
        <f>IF(P1878="","",IF(H1878="USD",G1878*R1878,G1878))</f>
        <v/>
      </c>
      <c r="T1878" s="53">
        <f>IF(P1878="","",IF(H1878="USD",G1878,IF(R1878&gt;0,G1878/R1878,0)))</f>
        <v/>
      </c>
      <c r="U1878" s="53">
        <f>IF(P1878="","",IF(P1878="Gasto",S1878,IF(P1878="Reembolso",-S1878,0)))</f>
        <v/>
      </c>
      <c r="V1878" s="53">
        <f>IF(P1878="","",IF(P1878="Ingreso",S1878,0))</f>
        <v/>
      </c>
      <c r="W1878" s="53">
        <f>IF(P1878="","",IF(P1878="Resultado trading",S1878,0))</f>
        <v/>
      </c>
      <c r="X1878" s="52">
        <f>IF(OR(P1878="Gasto",P1878="Reembolso"),IF(M1878&lt;&gt;"",M1878,IFERROR(INDEX(catClasif,MATCH(D1878&amp;"|"&amp;E1878,catClave,0))&amp;"","Variable")),"")</f>
        <v/>
      </c>
      <c r="Y1878" s="52">
        <f>IF(P1878="","",IFERROR(INDEX(catGrupo,MATCH(D1878&amp;"|"&amp;E1878,catClave,0))&amp;"",""))</f>
        <v/>
      </c>
      <c r="Z1878" s="52">
        <f>IF(P1878="","",WEEKDAY(B1878,2))</f>
        <v/>
      </c>
      <c r="AA1878" s="52">
        <f>IF(P1878="","",IF(AND(P1878="Gasto",X1878="Variable",D1878&lt;&gt;catTrading,S1878&gt;0,S1878&lt;=Umbral),1,0))</f>
        <v/>
      </c>
      <c r="AB1878" s="52">
        <f>IF(OR(P1878="",Q1878=""),"",IFERROR(IF(INDEX(ctaVinc,MATCH(Q1878,ctaNombre,0))&amp;""&lt;&gt;"",INDEX(ctaVinc,MATCH(Q1878,ctaNombre,0))&amp;"",Q1878),Q1878))</f>
        <v/>
      </c>
      <c r="AC1878" s="52">
        <f>IF(OR(K1878="",AND(P1878&lt;&gt;"Transferencia",P1878&lt;&gt;"Pago tarjeta")),"",IFERROR(IF(INDEX(ctaVinc,MATCH(K1878,ctaNombre,0))&amp;""&lt;&gt;"",INDEX(ctaVinc,MATCH(K1878,ctaNombre,0))&amp;"",K1878),K1878))</f>
        <v/>
      </c>
      <c r="AD1878" s="52">
        <f>IF(AB1878="","",IFERROR(INDEX(ctaTipo,MATCH(AB1878,ctaNombre,0))&amp;"",""))</f>
        <v/>
      </c>
      <c r="AE1878" s="52">
        <f>IF(AC1878="","",IFERROR(INDEX(ctaTipo,MATCH(AC1878,ctaNombre,0))&amp;"",""))</f>
        <v/>
      </c>
      <c r="AF1878" s="53">
        <f>IF(OR(P1878="",AB1878=""),"",IF(OR(P1878="Gasto",P1878="Transferencia",P1878="Pago tarjeta"),-1,1)*IF(IFERROR(INDEX(ctaMoneda,MATCH(AB1878,ctaNombre,0))&amp;"","DOP")="USD",T1878,S1878))</f>
        <v/>
      </c>
      <c r="AG1878" s="53">
        <f>IF(AC1878="","",IF(IFERROR(INDEX(ctaMoneda,MATCH(AC1878,ctaNombre,0))&amp;"","DOP")="USD",T1878,S1878))</f>
        <v/>
      </c>
      <c r="AH1878" s="53">
        <f>IF(P1878="","",IF(AND(AD1878&lt;&gt;"",COUNTIFS(tcTipo,AD1878,tcLiq,"Sí")&gt;0),IF(OR(P1878="Gasto",P1878="Transferencia",P1878="Pago tarjeta"),-1,1)*S1878,0)+IF(AND(AE1878&lt;&gt;"",COUNTIFS(tcTipo,AE1878,tcLiq,"Sí")&gt;0),S1878,0))</f>
        <v/>
      </c>
      <c r="AI1878" s="52">
        <f>IF(OR(L1878="",P1878=""),"",IF(COUNTIFS(L$6:L1878,L1878,P$6:P1878,"?*")=1,MAX(AI$5:AI1877)+1,""))</f>
        <v/>
      </c>
    </row>
    <row r="1879">
      <c r="B1879" s="47" t="n"/>
      <c r="C1879" s="48" t="n"/>
      <c r="D1879" s="48" t="n"/>
      <c r="E1879" s="48" t="n"/>
      <c r="F1879" s="48" t="n"/>
      <c r="G1879" s="49" t="n"/>
      <c r="H1879" s="48" t="n"/>
      <c r="I1879" s="50" t="n"/>
      <c r="J1879" s="48" t="n"/>
      <c r="K1879" s="48" t="n"/>
      <c r="L1879" s="48" t="n"/>
      <c r="M1879" s="48" t="n"/>
      <c r="N1879" s="48" t="n"/>
      <c r="O1879" s="51">
        <f>IF(AND(B1879="",G1879="",C1879="",D1879="",J1879=""),"",IF(B1879="","⚠ Falta fecha",IF(G1879="","⚠ Falta monto",IF(Q1879="","⚠ Falta cuenta",IF(ISNA(MATCH(Q1879,ctaNombre,0)),"⚠ Cuenta no registrada",IF(AND(OR(P1879="Gasto",P1879="Reembolso"),D1879=""),"⚠ Falta categoría",IF(AND(D1879&lt;&gt;"",E1879&lt;&gt;"",ISNA(MATCH(D1879&amp;"|"&amp;E1879,catClave,0))),"⚠ Subcategoría no corresponde",IF(AND(OR(P1879="Transferencia",P1879="Pago tarjeta"),K1879=""),"⚠ Falta cuenta destino",IF(AND(K1879&lt;&gt;"",P1879&lt;&gt;"Transferencia",P1879&lt;&gt;"Pago tarjeta"),"⚠ Destino solo aplica a transferencias",IF(AND(K1879&lt;&gt;"",K1879=Q1879),"⚠ Origen igual a destino",IF(AND(K1879&lt;&gt;"",ISNA(MATCH(K1879,ctaNombre,0))),"⚠ Destino no registrado",IF(AND(P1879="Pago tarjeta",AE1879&lt;&gt;"Tarjeta de crédito"),"⚠ El destino debe ser tarjeta de crédito",IF(AND(P1879="Gasto",E1879="Depósitos y retiros"),"⚠ Usa tipo Transferencia",IF(AND(P1879="Resultado trading",AD1879&lt;&gt;"Cuenta de trading"),"⚠ Usa una cuenta de trading",IF(AND(G1879&lt;=0,P1879&lt;&gt;"Ajuste",P1879&lt;&gt;"Resultado trading"),"⚠ El monto debe ser positivo","✓")))))))))))))))</f>
        <v/>
      </c>
      <c r="P1879" s="52">
        <f>IF(OR(B1879="",G1879=""),"",IF(C1879="","Gasto",C1879))</f>
        <v/>
      </c>
      <c r="Q1879" s="52">
        <f>IF(P1879="","",IF(J1879&lt;&gt;"",J1879,CuentaPred&amp;""))</f>
        <v/>
      </c>
      <c r="R1879" s="52">
        <f>IF(P1879="","",IF(ISNUMBER(I1879),I1879,TasaUSD))</f>
        <v/>
      </c>
      <c r="S1879" s="53">
        <f>IF(P1879="","",IF(H1879="USD",G1879*R1879,G1879))</f>
        <v/>
      </c>
      <c r="T1879" s="53">
        <f>IF(P1879="","",IF(H1879="USD",G1879,IF(R1879&gt;0,G1879/R1879,0)))</f>
        <v/>
      </c>
      <c r="U1879" s="53">
        <f>IF(P1879="","",IF(P1879="Gasto",S1879,IF(P1879="Reembolso",-S1879,0)))</f>
        <v/>
      </c>
      <c r="V1879" s="53">
        <f>IF(P1879="","",IF(P1879="Ingreso",S1879,0))</f>
        <v/>
      </c>
      <c r="W1879" s="53">
        <f>IF(P1879="","",IF(P1879="Resultado trading",S1879,0))</f>
        <v/>
      </c>
      <c r="X1879" s="52">
        <f>IF(OR(P1879="Gasto",P1879="Reembolso"),IF(M1879&lt;&gt;"",M1879,IFERROR(INDEX(catClasif,MATCH(D1879&amp;"|"&amp;E1879,catClave,0))&amp;"","Variable")),"")</f>
        <v/>
      </c>
      <c r="Y1879" s="52">
        <f>IF(P1879="","",IFERROR(INDEX(catGrupo,MATCH(D1879&amp;"|"&amp;E1879,catClave,0))&amp;"",""))</f>
        <v/>
      </c>
      <c r="Z1879" s="52">
        <f>IF(P1879="","",WEEKDAY(B1879,2))</f>
        <v/>
      </c>
      <c r="AA1879" s="52">
        <f>IF(P1879="","",IF(AND(P1879="Gasto",X1879="Variable",D1879&lt;&gt;catTrading,S1879&gt;0,S1879&lt;=Umbral),1,0))</f>
        <v/>
      </c>
      <c r="AB1879" s="52">
        <f>IF(OR(P1879="",Q1879=""),"",IFERROR(IF(INDEX(ctaVinc,MATCH(Q1879,ctaNombre,0))&amp;""&lt;&gt;"",INDEX(ctaVinc,MATCH(Q1879,ctaNombre,0))&amp;"",Q1879),Q1879))</f>
        <v/>
      </c>
      <c r="AC1879" s="52">
        <f>IF(OR(K1879="",AND(P1879&lt;&gt;"Transferencia",P1879&lt;&gt;"Pago tarjeta")),"",IFERROR(IF(INDEX(ctaVinc,MATCH(K1879,ctaNombre,0))&amp;""&lt;&gt;"",INDEX(ctaVinc,MATCH(K1879,ctaNombre,0))&amp;"",K1879),K1879))</f>
        <v/>
      </c>
      <c r="AD1879" s="52">
        <f>IF(AB1879="","",IFERROR(INDEX(ctaTipo,MATCH(AB1879,ctaNombre,0))&amp;"",""))</f>
        <v/>
      </c>
      <c r="AE1879" s="52">
        <f>IF(AC1879="","",IFERROR(INDEX(ctaTipo,MATCH(AC1879,ctaNombre,0))&amp;"",""))</f>
        <v/>
      </c>
      <c r="AF1879" s="53">
        <f>IF(OR(P1879="",AB1879=""),"",IF(OR(P1879="Gasto",P1879="Transferencia",P1879="Pago tarjeta"),-1,1)*IF(IFERROR(INDEX(ctaMoneda,MATCH(AB1879,ctaNombre,0))&amp;"","DOP")="USD",T1879,S1879))</f>
        <v/>
      </c>
      <c r="AG1879" s="53">
        <f>IF(AC1879="","",IF(IFERROR(INDEX(ctaMoneda,MATCH(AC1879,ctaNombre,0))&amp;"","DOP")="USD",T1879,S1879))</f>
        <v/>
      </c>
      <c r="AH1879" s="53">
        <f>IF(P1879="","",IF(AND(AD1879&lt;&gt;"",COUNTIFS(tcTipo,AD1879,tcLiq,"Sí")&gt;0),IF(OR(P1879="Gasto",P1879="Transferencia",P1879="Pago tarjeta"),-1,1)*S1879,0)+IF(AND(AE1879&lt;&gt;"",COUNTIFS(tcTipo,AE1879,tcLiq,"Sí")&gt;0),S1879,0))</f>
        <v/>
      </c>
      <c r="AI1879" s="52">
        <f>IF(OR(L1879="",P1879=""),"",IF(COUNTIFS(L$6:L1879,L1879,P$6:P1879,"?*")=1,MAX(AI$5:AI1878)+1,""))</f>
        <v/>
      </c>
    </row>
    <row r="1880">
      <c r="B1880" s="47" t="n"/>
      <c r="C1880" s="48" t="n"/>
      <c r="D1880" s="48" t="n"/>
      <c r="E1880" s="48" t="n"/>
      <c r="F1880" s="48" t="n"/>
      <c r="G1880" s="49" t="n"/>
      <c r="H1880" s="48" t="n"/>
      <c r="I1880" s="50" t="n"/>
      <c r="J1880" s="48" t="n"/>
      <c r="K1880" s="48" t="n"/>
      <c r="L1880" s="48" t="n"/>
      <c r="M1880" s="48" t="n"/>
      <c r="N1880" s="48" t="n"/>
      <c r="O1880" s="51">
        <f>IF(AND(B1880="",G1880="",C1880="",D1880="",J1880=""),"",IF(B1880="","⚠ Falta fecha",IF(G1880="","⚠ Falta monto",IF(Q1880="","⚠ Falta cuenta",IF(ISNA(MATCH(Q1880,ctaNombre,0)),"⚠ Cuenta no registrada",IF(AND(OR(P1880="Gasto",P1880="Reembolso"),D1880=""),"⚠ Falta categoría",IF(AND(D1880&lt;&gt;"",E1880&lt;&gt;"",ISNA(MATCH(D1880&amp;"|"&amp;E1880,catClave,0))),"⚠ Subcategoría no corresponde",IF(AND(OR(P1880="Transferencia",P1880="Pago tarjeta"),K1880=""),"⚠ Falta cuenta destino",IF(AND(K1880&lt;&gt;"",P1880&lt;&gt;"Transferencia",P1880&lt;&gt;"Pago tarjeta"),"⚠ Destino solo aplica a transferencias",IF(AND(K1880&lt;&gt;"",K1880=Q1880),"⚠ Origen igual a destino",IF(AND(K1880&lt;&gt;"",ISNA(MATCH(K1880,ctaNombre,0))),"⚠ Destino no registrado",IF(AND(P1880="Pago tarjeta",AE1880&lt;&gt;"Tarjeta de crédito"),"⚠ El destino debe ser tarjeta de crédito",IF(AND(P1880="Gasto",E1880="Depósitos y retiros"),"⚠ Usa tipo Transferencia",IF(AND(P1880="Resultado trading",AD1880&lt;&gt;"Cuenta de trading"),"⚠ Usa una cuenta de trading",IF(AND(G1880&lt;=0,P1880&lt;&gt;"Ajuste",P1880&lt;&gt;"Resultado trading"),"⚠ El monto debe ser positivo","✓")))))))))))))))</f>
        <v/>
      </c>
      <c r="P1880" s="52">
        <f>IF(OR(B1880="",G1880=""),"",IF(C1880="","Gasto",C1880))</f>
        <v/>
      </c>
      <c r="Q1880" s="52">
        <f>IF(P1880="","",IF(J1880&lt;&gt;"",J1880,CuentaPred&amp;""))</f>
        <v/>
      </c>
      <c r="R1880" s="52">
        <f>IF(P1880="","",IF(ISNUMBER(I1880),I1880,TasaUSD))</f>
        <v/>
      </c>
      <c r="S1880" s="53">
        <f>IF(P1880="","",IF(H1880="USD",G1880*R1880,G1880))</f>
        <v/>
      </c>
      <c r="T1880" s="53">
        <f>IF(P1880="","",IF(H1880="USD",G1880,IF(R1880&gt;0,G1880/R1880,0)))</f>
        <v/>
      </c>
      <c r="U1880" s="53">
        <f>IF(P1880="","",IF(P1880="Gasto",S1880,IF(P1880="Reembolso",-S1880,0)))</f>
        <v/>
      </c>
      <c r="V1880" s="53">
        <f>IF(P1880="","",IF(P1880="Ingreso",S1880,0))</f>
        <v/>
      </c>
      <c r="W1880" s="53">
        <f>IF(P1880="","",IF(P1880="Resultado trading",S1880,0))</f>
        <v/>
      </c>
      <c r="X1880" s="52">
        <f>IF(OR(P1880="Gasto",P1880="Reembolso"),IF(M1880&lt;&gt;"",M1880,IFERROR(INDEX(catClasif,MATCH(D1880&amp;"|"&amp;E1880,catClave,0))&amp;"","Variable")),"")</f>
        <v/>
      </c>
      <c r="Y1880" s="52">
        <f>IF(P1880="","",IFERROR(INDEX(catGrupo,MATCH(D1880&amp;"|"&amp;E1880,catClave,0))&amp;"",""))</f>
        <v/>
      </c>
      <c r="Z1880" s="52">
        <f>IF(P1880="","",WEEKDAY(B1880,2))</f>
        <v/>
      </c>
      <c r="AA1880" s="52">
        <f>IF(P1880="","",IF(AND(P1880="Gasto",X1880="Variable",D1880&lt;&gt;catTrading,S1880&gt;0,S1880&lt;=Umbral),1,0))</f>
        <v/>
      </c>
      <c r="AB1880" s="52">
        <f>IF(OR(P1880="",Q1880=""),"",IFERROR(IF(INDEX(ctaVinc,MATCH(Q1880,ctaNombre,0))&amp;""&lt;&gt;"",INDEX(ctaVinc,MATCH(Q1880,ctaNombre,0))&amp;"",Q1880),Q1880))</f>
        <v/>
      </c>
      <c r="AC1880" s="52">
        <f>IF(OR(K1880="",AND(P1880&lt;&gt;"Transferencia",P1880&lt;&gt;"Pago tarjeta")),"",IFERROR(IF(INDEX(ctaVinc,MATCH(K1880,ctaNombre,0))&amp;""&lt;&gt;"",INDEX(ctaVinc,MATCH(K1880,ctaNombre,0))&amp;"",K1880),K1880))</f>
        <v/>
      </c>
      <c r="AD1880" s="52">
        <f>IF(AB1880="","",IFERROR(INDEX(ctaTipo,MATCH(AB1880,ctaNombre,0))&amp;"",""))</f>
        <v/>
      </c>
      <c r="AE1880" s="52">
        <f>IF(AC1880="","",IFERROR(INDEX(ctaTipo,MATCH(AC1880,ctaNombre,0))&amp;"",""))</f>
        <v/>
      </c>
      <c r="AF1880" s="53">
        <f>IF(OR(P1880="",AB1880=""),"",IF(OR(P1880="Gasto",P1880="Transferencia",P1880="Pago tarjeta"),-1,1)*IF(IFERROR(INDEX(ctaMoneda,MATCH(AB1880,ctaNombre,0))&amp;"","DOP")="USD",T1880,S1880))</f>
        <v/>
      </c>
      <c r="AG1880" s="53">
        <f>IF(AC1880="","",IF(IFERROR(INDEX(ctaMoneda,MATCH(AC1880,ctaNombre,0))&amp;"","DOP")="USD",T1880,S1880))</f>
        <v/>
      </c>
      <c r="AH1880" s="53">
        <f>IF(P1880="","",IF(AND(AD1880&lt;&gt;"",COUNTIFS(tcTipo,AD1880,tcLiq,"Sí")&gt;0),IF(OR(P1880="Gasto",P1880="Transferencia",P1880="Pago tarjeta"),-1,1)*S1880,0)+IF(AND(AE1880&lt;&gt;"",COUNTIFS(tcTipo,AE1880,tcLiq,"Sí")&gt;0),S1880,0))</f>
        <v/>
      </c>
      <c r="AI1880" s="52">
        <f>IF(OR(L1880="",P1880=""),"",IF(COUNTIFS(L$6:L1880,L1880,P$6:P1880,"?*")=1,MAX(AI$5:AI1879)+1,""))</f>
        <v/>
      </c>
    </row>
    <row r="1881">
      <c r="B1881" s="47" t="n"/>
      <c r="C1881" s="48" t="n"/>
      <c r="D1881" s="48" t="n"/>
      <c r="E1881" s="48" t="n"/>
      <c r="F1881" s="48" t="n"/>
      <c r="G1881" s="49" t="n"/>
      <c r="H1881" s="48" t="n"/>
      <c r="I1881" s="50" t="n"/>
      <c r="J1881" s="48" t="n"/>
      <c r="K1881" s="48" t="n"/>
      <c r="L1881" s="48" t="n"/>
      <c r="M1881" s="48" t="n"/>
      <c r="N1881" s="48" t="n"/>
      <c r="O1881" s="51">
        <f>IF(AND(B1881="",G1881="",C1881="",D1881="",J1881=""),"",IF(B1881="","⚠ Falta fecha",IF(G1881="","⚠ Falta monto",IF(Q1881="","⚠ Falta cuenta",IF(ISNA(MATCH(Q1881,ctaNombre,0)),"⚠ Cuenta no registrada",IF(AND(OR(P1881="Gasto",P1881="Reembolso"),D1881=""),"⚠ Falta categoría",IF(AND(D1881&lt;&gt;"",E1881&lt;&gt;"",ISNA(MATCH(D1881&amp;"|"&amp;E1881,catClave,0))),"⚠ Subcategoría no corresponde",IF(AND(OR(P1881="Transferencia",P1881="Pago tarjeta"),K1881=""),"⚠ Falta cuenta destino",IF(AND(K1881&lt;&gt;"",P1881&lt;&gt;"Transferencia",P1881&lt;&gt;"Pago tarjeta"),"⚠ Destino solo aplica a transferencias",IF(AND(K1881&lt;&gt;"",K1881=Q1881),"⚠ Origen igual a destino",IF(AND(K1881&lt;&gt;"",ISNA(MATCH(K1881,ctaNombre,0))),"⚠ Destino no registrado",IF(AND(P1881="Pago tarjeta",AE1881&lt;&gt;"Tarjeta de crédito"),"⚠ El destino debe ser tarjeta de crédito",IF(AND(P1881="Gasto",E1881="Depósitos y retiros"),"⚠ Usa tipo Transferencia",IF(AND(P1881="Resultado trading",AD1881&lt;&gt;"Cuenta de trading"),"⚠ Usa una cuenta de trading",IF(AND(G1881&lt;=0,P1881&lt;&gt;"Ajuste",P1881&lt;&gt;"Resultado trading"),"⚠ El monto debe ser positivo","✓")))))))))))))))</f>
        <v/>
      </c>
      <c r="P1881" s="52">
        <f>IF(OR(B1881="",G1881=""),"",IF(C1881="","Gasto",C1881))</f>
        <v/>
      </c>
      <c r="Q1881" s="52">
        <f>IF(P1881="","",IF(J1881&lt;&gt;"",J1881,CuentaPred&amp;""))</f>
        <v/>
      </c>
      <c r="R1881" s="52">
        <f>IF(P1881="","",IF(ISNUMBER(I1881),I1881,TasaUSD))</f>
        <v/>
      </c>
      <c r="S1881" s="53">
        <f>IF(P1881="","",IF(H1881="USD",G1881*R1881,G1881))</f>
        <v/>
      </c>
      <c r="T1881" s="53">
        <f>IF(P1881="","",IF(H1881="USD",G1881,IF(R1881&gt;0,G1881/R1881,0)))</f>
        <v/>
      </c>
      <c r="U1881" s="53">
        <f>IF(P1881="","",IF(P1881="Gasto",S1881,IF(P1881="Reembolso",-S1881,0)))</f>
        <v/>
      </c>
      <c r="V1881" s="53">
        <f>IF(P1881="","",IF(P1881="Ingreso",S1881,0))</f>
        <v/>
      </c>
      <c r="W1881" s="53">
        <f>IF(P1881="","",IF(P1881="Resultado trading",S1881,0))</f>
        <v/>
      </c>
      <c r="X1881" s="52">
        <f>IF(OR(P1881="Gasto",P1881="Reembolso"),IF(M1881&lt;&gt;"",M1881,IFERROR(INDEX(catClasif,MATCH(D1881&amp;"|"&amp;E1881,catClave,0))&amp;"","Variable")),"")</f>
        <v/>
      </c>
      <c r="Y1881" s="52">
        <f>IF(P1881="","",IFERROR(INDEX(catGrupo,MATCH(D1881&amp;"|"&amp;E1881,catClave,0))&amp;"",""))</f>
        <v/>
      </c>
      <c r="Z1881" s="52">
        <f>IF(P1881="","",WEEKDAY(B1881,2))</f>
        <v/>
      </c>
      <c r="AA1881" s="52">
        <f>IF(P1881="","",IF(AND(P1881="Gasto",X1881="Variable",D1881&lt;&gt;catTrading,S1881&gt;0,S1881&lt;=Umbral),1,0))</f>
        <v/>
      </c>
      <c r="AB1881" s="52">
        <f>IF(OR(P1881="",Q1881=""),"",IFERROR(IF(INDEX(ctaVinc,MATCH(Q1881,ctaNombre,0))&amp;""&lt;&gt;"",INDEX(ctaVinc,MATCH(Q1881,ctaNombre,0))&amp;"",Q1881),Q1881))</f>
        <v/>
      </c>
      <c r="AC1881" s="52">
        <f>IF(OR(K1881="",AND(P1881&lt;&gt;"Transferencia",P1881&lt;&gt;"Pago tarjeta")),"",IFERROR(IF(INDEX(ctaVinc,MATCH(K1881,ctaNombre,0))&amp;""&lt;&gt;"",INDEX(ctaVinc,MATCH(K1881,ctaNombre,0))&amp;"",K1881),K1881))</f>
        <v/>
      </c>
      <c r="AD1881" s="52">
        <f>IF(AB1881="","",IFERROR(INDEX(ctaTipo,MATCH(AB1881,ctaNombre,0))&amp;"",""))</f>
        <v/>
      </c>
      <c r="AE1881" s="52">
        <f>IF(AC1881="","",IFERROR(INDEX(ctaTipo,MATCH(AC1881,ctaNombre,0))&amp;"",""))</f>
        <v/>
      </c>
      <c r="AF1881" s="53">
        <f>IF(OR(P1881="",AB1881=""),"",IF(OR(P1881="Gasto",P1881="Transferencia",P1881="Pago tarjeta"),-1,1)*IF(IFERROR(INDEX(ctaMoneda,MATCH(AB1881,ctaNombre,0))&amp;"","DOP")="USD",T1881,S1881))</f>
        <v/>
      </c>
      <c r="AG1881" s="53">
        <f>IF(AC1881="","",IF(IFERROR(INDEX(ctaMoneda,MATCH(AC1881,ctaNombre,0))&amp;"","DOP")="USD",T1881,S1881))</f>
        <v/>
      </c>
      <c r="AH1881" s="53">
        <f>IF(P1881="","",IF(AND(AD1881&lt;&gt;"",COUNTIFS(tcTipo,AD1881,tcLiq,"Sí")&gt;0),IF(OR(P1881="Gasto",P1881="Transferencia",P1881="Pago tarjeta"),-1,1)*S1881,0)+IF(AND(AE1881&lt;&gt;"",COUNTIFS(tcTipo,AE1881,tcLiq,"Sí")&gt;0),S1881,0))</f>
        <v/>
      </c>
      <c r="AI1881" s="52">
        <f>IF(OR(L1881="",P1881=""),"",IF(COUNTIFS(L$6:L1881,L1881,P$6:P1881,"?*")=1,MAX(AI$5:AI1880)+1,""))</f>
        <v/>
      </c>
    </row>
    <row r="1882">
      <c r="B1882" s="47" t="n"/>
      <c r="C1882" s="48" t="n"/>
      <c r="D1882" s="48" t="n"/>
      <c r="E1882" s="48" t="n"/>
      <c r="F1882" s="48" t="n"/>
      <c r="G1882" s="49" t="n"/>
      <c r="H1882" s="48" t="n"/>
      <c r="I1882" s="50" t="n"/>
      <c r="J1882" s="48" t="n"/>
      <c r="K1882" s="48" t="n"/>
      <c r="L1882" s="48" t="n"/>
      <c r="M1882" s="48" t="n"/>
      <c r="N1882" s="48" t="n"/>
      <c r="O1882" s="51">
        <f>IF(AND(B1882="",G1882="",C1882="",D1882="",J1882=""),"",IF(B1882="","⚠ Falta fecha",IF(G1882="","⚠ Falta monto",IF(Q1882="","⚠ Falta cuenta",IF(ISNA(MATCH(Q1882,ctaNombre,0)),"⚠ Cuenta no registrada",IF(AND(OR(P1882="Gasto",P1882="Reembolso"),D1882=""),"⚠ Falta categoría",IF(AND(D1882&lt;&gt;"",E1882&lt;&gt;"",ISNA(MATCH(D1882&amp;"|"&amp;E1882,catClave,0))),"⚠ Subcategoría no corresponde",IF(AND(OR(P1882="Transferencia",P1882="Pago tarjeta"),K1882=""),"⚠ Falta cuenta destino",IF(AND(K1882&lt;&gt;"",P1882&lt;&gt;"Transferencia",P1882&lt;&gt;"Pago tarjeta"),"⚠ Destino solo aplica a transferencias",IF(AND(K1882&lt;&gt;"",K1882=Q1882),"⚠ Origen igual a destino",IF(AND(K1882&lt;&gt;"",ISNA(MATCH(K1882,ctaNombre,0))),"⚠ Destino no registrado",IF(AND(P1882="Pago tarjeta",AE1882&lt;&gt;"Tarjeta de crédito"),"⚠ El destino debe ser tarjeta de crédito",IF(AND(P1882="Gasto",E1882="Depósitos y retiros"),"⚠ Usa tipo Transferencia",IF(AND(P1882="Resultado trading",AD1882&lt;&gt;"Cuenta de trading"),"⚠ Usa una cuenta de trading",IF(AND(G1882&lt;=0,P1882&lt;&gt;"Ajuste",P1882&lt;&gt;"Resultado trading"),"⚠ El monto debe ser positivo","✓")))))))))))))))</f>
        <v/>
      </c>
      <c r="P1882" s="52">
        <f>IF(OR(B1882="",G1882=""),"",IF(C1882="","Gasto",C1882))</f>
        <v/>
      </c>
      <c r="Q1882" s="52">
        <f>IF(P1882="","",IF(J1882&lt;&gt;"",J1882,CuentaPred&amp;""))</f>
        <v/>
      </c>
      <c r="R1882" s="52">
        <f>IF(P1882="","",IF(ISNUMBER(I1882),I1882,TasaUSD))</f>
        <v/>
      </c>
      <c r="S1882" s="53">
        <f>IF(P1882="","",IF(H1882="USD",G1882*R1882,G1882))</f>
        <v/>
      </c>
      <c r="T1882" s="53">
        <f>IF(P1882="","",IF(H1882="USD",G1882,IF(R1882&gt;0,G1882/R1882,0)))</f>
        <v/>
      </c>
      <c r="U1882" s="53">
        <f>IF(P1882="","",IF(P1882="Gasto",S1882,IF(P1882="Reembolso",-S1882,0)))</f>
        <v/>
      </c>
      <c r="V1882" s="53">
        <f>IF(P1882="","",IF(P1882="Ingreso",S1882,0))</f>
        <v/>
      </c>
      <c r="W1882" s="53">
        <f>IF(P1882="","",IF(P1882="Resultado trading",S1882,0))</f>
        <v/>
      </c>
      <c r="X1882" s="52">
        <f>IF(OR(P1882="Gasto",P1882="Reembolso"),IF(M1882&lt;&gt;"",M1882,IFERROR(INDEX(catClasif,MATCH(D1882&amp;"|"&amp;E1882,catClave,0))&amp;"","Variable")),"")</f>
        <v/>
      </c>
      <c r="Y1882" s="52">
        <f>IF(P1882="","",IFERROR(INDEX(catGrupo,MATCH(D1882&amp;"|"&amp;E1882,catClave,0))&amp;"",""))</f>
        <v/>
      </c>
      <c r="Z1882" s="52">
        <f>IF(P1882="","",WEEKDAY(B1882,2))</f>
        <v/>
      </c>
      <c r="AA1882" s="52">
        <f>IF(P1882="","",IF(AND(P1882="Gasto",X1882="Variable",D1882&lt;&gt;catTrading,S1882&gt;0,S1882&lt;=Umbral),1,0))</f>
        <v/>
      </c>
      <c r="AB1882" s="52">
        <f>IF(OR(P1882="",Q1882=""),"",IFERROR(IF(INDEX(ctaVinc,MATCH(Q1882,ctaNombre,0))&amp;""&lt;&gt;"",INDEX(ctaVinc,MATCH(Q1882,ctaNombre,0))&amp;"",Q1882),Q1882))</f>
        <v/>
      </c>
      <c r="AC1882" s="52">
        <f>IF(OR(K1882="",AND(P1882&lt;&gt;"Transferencia",P1882&lt;&gt;"Pago tarjeta")),"",IFERROR(IF(INDEX(ctaVinc,MATCH(K1882,ctaNombre,0))&amp;""&lt;&gt;"",INDEX(ctaVinc,MATCH(K1882,ctaNombre,0))&amp;"",K1882),K1882))</f>
        <v/>
      </c>
      <c r="AD1882" s="52">
        <f>IF(AB1882="","",IFERROR(INDEX(ctaTipo,MATCH(AB1882,ctaNombre,0))&amp;"",""))</f>
        <v/>
      </c>
      <c r="AE1882" s="52">
        <f>IF(AC1882="","",IFERROR(INDEX(ctaTipo,MATCH(AC1882,ctaNombre,0))&amp;"",""))</f>
        <v/>
      </c>
      <c r="AF1882" s="53">
        <f>IF(OR(P1882="",AB1882=""),"",IF(OR(P1882="Gasto",P1882="Transferencia",P1882="Pago tarjeta"),-1,1)*IF(IFERROR(INDEX(ctaMoneda,MATCH(AB1882,ctaNombre,0))&amp;"","DOP")="USD",T1882,S1882))</f>
        <v/>
      </c>
      <c r="AG1882" s="53">
        <f>IF(AC1882="","",IF(IFERROR(INDEX(ctaMoneda,MATCH(AC1882,ctaNombre,0))&amp;"","DOP")="USD",T1882,S1882))</f>
        <v/>
      </c>
      <c r="AH1882" s="53">
        <f>IF(P1882="","",IF(AND(AD1882&lt;&gt;"",COUNTIFS(tcTipo,AD1882,tcLiq,"Sí")&gt;0),IF(OR(P1882="Gasto",P1882="Transferencia",P1882="Pago tarjeta"),-1,1)*S1882,0)+IF(AND(AE1882&lt;&gt;"",COUNTIFS(tcTipo,AE1882,tcLiq,"Sí")&gt;0),S1882,0))</f>
        <v/>
      </c>
      <c r="AI1882" s="52">
        <f>IF(OR(L1882="",P1882=""),"",IF(COUNTIFS(L$6:L1882,L1882,P$6:P1882,"?*")=1,MAX(AI$5:AI1881)+1,""))</f>
        <v/>
      </c>
    </row>
    <row r="1883">
      <c r="B1883" s="47" t="n"/>
      <c r="C1883" s="48" t="n"/>
      <c r="D1883" s="48" t="n"/>
      <c r="E1883" s="48" t="n"/>
      <c r="F1883" s="48" t="n"/>
      <c r="G1883" s="49" t="n"/>
      <c r="H1883" s="48" t="n"/>
      <c r="I1883" s="50" t="n"/>
      <c r="J1883" s="48" t="n"/>
      <c r="K1883" s="48" t="n"/>
      <c r="L1883" s="48" t="n"/>
      <c r="M1883" s="48" t="n"/>
      <c r="N1883" s="48" t="n"/>
      <c r="O1883" s="51">
        <f>IF(AND(B1883="",G1883="",C1883="",D1883="",J1883=""),"",IF(B1883="","⚠ Falta fecha",IF(G1883="","⚠ Falta monto",IF(Q1883="","⚠ Falta cuenta",IF(ISNA(MATCH(Q1883,ctaNombre,0)),"⚠ Cuenta no registrada",IF(AND(OR(P1883="Gasto",P1883="Reembolso"),D1883=""),"⚠ Falta categoría",IF(AND(D1883&lt;&gt;"",E1883&lt;&gt;"",ISNA(MATCH(D1883&amp;"|"&amp;E1883,catClave,0))),"⚠ Subcategoría no corresponde",IF(AND(OR(P1883="Transferencia",P1883="Pago tarjeta"),K1883=""),"⚠ Falta cuenta destino",IF(AND(K1883&lt;&gt;"",P1883&lt;&gt;"Transferencia",P1883&lt;&gt;"Pago tarjeta"),"⚠ Destino solo aplica a transferencias",IF(AND(K1883&lt;&gt;"",K1883=Q1883),"⚠ Origen igual a destino",IF(AND(K1883&lt;&gt;"",ISNA(MATCH(K1883,ctaNombre,0))),"⚠ Destino no registrado",IF(AND(P1883="Pago tarjeta",AE1883&lt;&gt;"Tarjeta de crédito"),"⚠ El destino debe ser tarjeta de crédito",IF(AND(P1883="Gasto",E1883="Depósitos y retiros"),"⚠ Usa tipo Transferencia",IF(AND(P1883="Resultado trading",AD1883&lt;&gt;"Cuenta de trading"),"⚠ Usa una cuenta de trading",IF(AND(G1883&lt;=0,P1883&lt;&gt;"Ajuste",P1883&lt;&gt;"Resultado trading"),"⚠ El monto debe ser positivo","✓")))))))))))))))</f>
        <v/>
      </c>
      <c r="P1883" s="52">
        <f>IF(OR(B1883="",G1883=""),"",IF(C1883="","Gasto",C1883))</f>
        <v/>
      </c>
      <c r="Q1883" s="52">
        <f>IF(P1883="","",IF(J1883&lt;&gt;"",J1883,CuentaPred&amp;""))</f>
        <v/>
      </c>
      <c r="R1883" s="52">
        <f>IF(P1883="","",IF(ISNUMBER(I1883),I1883,TasaUSD))</f>
        <v/>
      </c>
      <c r="S1883" s="53">
        <f>IF(P1883="","",IF(H1883="USD",G1883*R1883,G1883))</f>
        <v/>
      </c>
      <c r="T1883" s="53">
        <f>IF(P1883="","",IF(H1883="USD",G1883,IF(R1883&gt;0,G1883/R1883,0)))</f>
        <v/>
      </c>
      <c r="U1883" s="53">
        <f>IF(P1883="","",IF(P1883="Gasto",S1883,IF(P1883="Reembolso",-S1883,0)))</f>
        <v/>
      </c>
      <c r="V1883" s="53">
        <f>IF(P1883="","",IF(P1883="Ingreso",S1883,0))</f>
        <v/>
      </c>
      <c r="W1883" s="53">
        <f>IF(P1883="","",IF(P1883="Resultado trading",S1883,0))</f>
        <v/>
      </c>
      <c r="X1883" s="52">
        <f>IF(OR(P1883="Gasto",P1883="Reembolso"),IF(M1883&lt;&gt;"",M1883,IFERROR(INDEX(catClasif,MATCH(D1883&amp;"|"&amp;E1883,catClave,0))&amp;"","Variable")),"")</f>
        <v/>
      </c>
      <c r="Y1883" s="52">
        <f>IF(P1883="","",IFERROR(INDEX(catGrupo,MATCH(D1883&amp;"|"&amp;E1883,catClave,0))&amp;"",""))</f>
        <v/>
      </c>
      <c r="Z1883" s="52">
        <f>IF(P1883="","",WEEKDAY(B1883,2))</f>
        <v/>
      </c>
      <c r="AA1883" s="52">
        <f>IF(P1883="","",IF(AND(P1883="Gasto",X1883="Variable",D1883&lt;&gt;catTrading,S1883&gt;0,S1883&lt;=Umbral),1,0))</f>
        <v/>
      </c>
      <c r="AB1883" s="52">
        <f>IF(OR(P1883="",Q1883=""),"",IFERROR(IF(INDEX(ctaVinc,MATCH(Q1883,ctaNombre,0))&amp;""&lt;&gt;"",INDEX(ctaVinc,MATCH(Q1883,ctaNombre,0))&amp;"",Q1883),Q1883))</f>
        <v/>
      </c>
      <c r="AC1883" s="52">
        <f>IF(OR(K1883="",AND(P1883&lt;&gt;"Transferencia",P1883&lt;&gt;"Pago tarjeta")),"",IFERROR(IF(INDEX(ctaVinc,MATCH(K1883,ctaNombre,0))&amp;""&lt;&gt;"",INDEX(ctaVinc,MATCH(K1883,ctaNombre,0))&amp;"",K1883),K1883))</f>
        <v/>
      </c>
      <c r="AD1883" s="52">
        <f>IF(AB1883="","",IFERROR(INDEX(ctaTipo,MATCH(AB1883,ctaNombre,0))&amp;"",""))</f>
        <v/>
      </c>
      <c r="AE1883" s="52">
        <f>IF(AC1883="","",IFERROR(INDEX(ctaTipo,MATCH(AC1883,ctaNombre,0))&amp;"",""))</f>
        <v/>
      </c>
      <c r="AF1883" s="53">
        <f>IF(OR(P1883="",AB1883=""),"",IF(OR(P1883="Gasto",P1883="Transferencia",P1883="Pago tarjeta"),-1,1)*IF(IFERROR(INDEX(ctaMoneda,MATCH(AB1883,ctaNombre,0))&amp;"","DOP")="USD",T1883,S1883))</f>
        <v/>
      </c>
      <c r="AG1883" s="53">
        <f>IF(AC1883="","",IF(IFERROR(INDEX(ctaMoneda,MATCH(AC1883,ctaNombre,0))&amp;"","DOP")="USD",T1883,S1883))</f>
        <v/>
      </c>
      <c r="AH1883" s="53">
        <f>IF(P1883="","",IF(AND(AD1883&lt;&gt;"",COUNTIFS(tcTipo,AD1883,tcLiq,"Sí")&gt;0),IF(OR(P1883="Gasto",P1883="Transferencia",P1883="Pago tarjeta"),-1,1)*S1883,0)+IF(AND(AE1883&lt;&gt;"",COUNTIFS(tcTipo,AE1883,tcLiq,"Sí")&gt;0),S1883,0))</f>
        <v/>
      </c>
      <c r="AI1883" s="52">
        <f>IF(OR(L1883="",P1883=""),"",IF(COUNTIFS(L$6:L1883,L1883,P$6:P1883,"?*")=1,MAX(AI$5:AI1882)+1,""))</f>
        <v/>
      </c>
    </row>
    <row r="1884">
      <c r="B1884" s="47" t="n"/>
      <c r="C1884" s="48" t="n"/>
      <c r="D1884" s="48" t="n"/>
      <c r="E1884" s="48" t="n"/>
      <c r="F1884" s="48" t="n"/>
      <c r="G1884" s="49" t="n"/>
      <c r="H1884" s="48" t="n"/>
      <c r="I1884" s="50" t="n"/>
      <c r="J1884" s="48" t="n"/>
      <c r="K1884" s="48" t="n"/>
      <c r="L1884" s="48" t="n"/>
      <c r="M1884" s="48" t="n"/>
      <c r="N1884" s="48" t="n"/>
      <c r="O1884" s="51">
        <f>IF(AND(B1884="",G1884="",C1884="",D1884="",J1884=""),"",IF(B1884="","⚠ Falta fecha",IF(G1884="","⚠ Falta monto",IF(Q1884="","⚠ Falta cuenta",IF(ISNA(MATCH(Q1884,ctaNombre,0)),"⚠ Cuenta no registrada",IF(AND(OR(P1884="Gasto",P1884="Reembolso"),D1884=""),"⚠ Falta categoría",IF(AND(D1884&lt;&gt;"",E1884&lt;&gt;"",ISNA(MATCH(D1884&amp;"|"&amp;E1884,catClave,0))),"⚠ Subcategoría no corresponde",IF(AND(OR(P1884="Transferencia",P1884="Pago tarjeta"),K1884=""),"⚠ Falta cuenta destino",IF(AND(K1884&lt;&gt;"",P1884&lt;&gt;"Transferencia",P1884&lt;&gt;"Pago tarjeta"),"⚠ Destino solo aplica a transferencias",IF(AND(K1884&lt;&gt;"",K1884=Q1884),"⚠ Origen igual a destino",IF(AND(K1884&lt;&gt;"",ISNA(MATCH(K1884,ctaNombre,0))),"⚠ Destino no registrado",IF(AND(P1884="Pago tarjeta",AE1884&lt;&gt;"Tarjeta de crédito"),"⚠ El destino debe ser tarjeta de crédito",IF(AND(P1884="Gasto",E1884="Depósitos y retiros"),"⚠ Usa tipo Transferencia",IF(AND(P1884="Resultado trading",AD1884&lt;&gt;"Cuenta de trading"),"⚠ Usa una cuenta de trading",IF(AND(G1884&lt;=0,P1884&lt;&gt;"Ajuste",P1884&lt;&gt;"Resultado trading"),"⚠ El monto debe ser positivo","✓")))))))))))))))</f>
        <v/>
      </c>
      <c r="P1884" s="52">
        <f>IF(OR(B1884="",G1884=""),"",IF(C1884="","Gasto",C1884))</f>
        <v/>
      </c>
      <c r="Q1884" s="52">
        <f>IF(P1884="","",IF(J1884&lt;&gt;"",J1884,CuentaPred&amp;""))</f>
        <v/>
      </c>
      <c r="R1884" s="52">
        <f>IF(P1884="","",IF(ISNUMBER(I1884),I1884,TasaUSD))</f>
        <v/>
      </c>
      <c r="S1884" s="53">
        <f>IF(P1884="","",IF(H1884="USD",G1884*R1884,G1884))</f>
        <v/>
      </c>
      <c r="T1884" s="53">
        <f>IF(P1884="","",IF(H1884="USD",G1884,IF(R1884&gt;0,G1884/R1884,0)))</f>
        <v/>
      </c>
      <c r="U1884" s="53">
        <f>IF(P1884="","",IF(P1884="Gasto",S1884,IF(P1884="Reembolso",-S1884,0)))</f>
        <v/>
      </c>
      <c r="V1884" s="53">
        <f>IF(P1884="","",IF(P1884="Ingreso",S1884,0))</f>
        <v/>
      </c>
      <c r="W1884" s="53">
        <f>IF(P1884="","",IF(P1884="Resultado trading",S1884,0))</f>
        <v/>
      </c>
      <c r="X1884" s="52">
        <f>IF(OR(P1884="Gasto",P1884="Reembolso"),IF(M1884&lt;&gt;"",M1884,IFERROR(INDEX(catClasif,MATCH(D1884&amp;"|"&amp;E1884,catClave,0))&amp;"","Variable")),"")</f>
        <v/>
      </c>
      <c r="Y1884" s="52">
        <f>IF(P1884="","",IFERROR(INDEX(catGrupo,MATCH(D1884&amp;"|"&amp;E1884,catClave,0))&amp;"",""))</f>
        <v/>
      </c>
      <c r="Z1884" s="52">
        <f>IF(P1884="","",WEEKDAY(B1884,2))</f>
        <v/>
      </c>
      <c r="AA1884" s="52">
        <f>IF(P1884="","",IF(AND(P1884="Gasto",X1884="Variable",D1884&lt;&gt;catTrading,S1884&gt;0,S1884&lt;=Umbral),1,0))</f>
        <v/>
      </c>
      <c r="AB1884" s="52">
        <f>IF(OR(P1884="",Q1884=""),"",IFERROR(IF(INDEX(ctaVinc,MATCH(Q1884,ctaNombre,0))&amp;""&lt;&gt;"",INDEX(ctaVinc,MATCH(Q1884,ctaNombre,0))&amp;"",Q1884),Q1884))</f>
        <v/>
      </c>
      <c r="AC1884" s="52">
        <f>IF(OR(K1884="",AND(P1884&lt;&gt;"Transferencia",P1884&lt;&gt;"Pago tarjeta")),"",IFERROR(IF(INDEX(ctaVinc,MATCH(K1884,ctaNombre,0))&amp;""&lt;&gt;"",INDEX(ctaVinc,MATCH(K1884,ctaNombre,0))&amp;"",K1884),K1884))</f>
        <v/>
      </c>
      <c r="AD1884" s="52">
        <f>IF(AB1884="","",IFERROR(INDEX(ctaTipo,MATCH(AB1884,ctaNombre,0))&amp;"",""))</f>
        <v/>
      </c>
      <c r="AE1884" s="52">
        <f>IF(AC1884="","",IFERROR(INDEX(ctaTipo,MATCH(AC1884,ctaNombre,0))&amp;"",""))</f>
        <v/>
      </c>
      <c r="AF1884" s="53">
        <f>IF(OR(P1884="",AB1884=""),"",IF(OR(P1884="Gasto",P1884="Transferencia",P1884="Pago tarjeta"),-1,1)*IF(IFERROR(INDEX(ctaMoneda,MATCH(AB1884,ctaNombre,0))&amp;"","DOP")="USD",T1884,S1884))</f>
        <v/>
      </c>
      <c r="AG1884" s="53">
        <f>IF(AC1884="","",IF(IFERROR(INDEX(ctaMoneda,MATCH(AC1884,ctaNombre,0))&amp;"","DOP")="USD",T1884,S1884))</f>
        <v/>
      </c>
      <c r="AH1884" s="53">
        <f>IF(P1884="","",IF(AND(AD1884&lt;&gt;"",COUNTIFS(tcTipo,AD1884,tcLiq,"Sí")&gt;0),IF(OR(P1884="Gasto",P1884="Transferencia",P1884="Pago tarjeta"),-1,1)*S1884,0)+IF(AND(AE1884&lt;&gt;"",COUNTIFS(tcTipo,AE1884,tcLiq,"Sí")&gt;0),S1884,0))</f>
        <v/>
      </c>
      <c r="AI1884" s="52">
        <f>IF(OR(L1884="",P1884=""),"",IF(COUNTIFS(L$6:L1884,L1884,P$6:P1884,"?*")=1,MAX(AI$5:AI1883)+1,""))</f>
        <v/>
      </c>
    </row>
    <row r="1885">
      <c r="B1885" s="47" t="n"/>
      <c r="C1885" s="48" t="n"/>
      <c r="D1885" s="48" t="n"/>
      <c r="E1885" s="48" t="n"/>
      <c r="F1885" s="48" t="n"/>
      <c r="G1885" s="49" t="n"/>
      <c r="H1885" s="48" t="n"/>
      <c r="I1885" s="50" t="n"/>
      <c r="J1885" s="48" t="n"/>
      <c r="K1885" s="48" t="n"/>
      <c r="L1885" s="48" t="n"/>
      <c r="M1885" s="48" t="n"/>
      <c r="N1885" s="48" t="n"/>
      <c r="O1885" s="51">
        <f>IF(AND(B1885="",G1885="",C1885="",D1885="",J1885=""),"",IF(B1885="","⚠ Falta fecha",IF(G1885="","⚠ Falta monto",IF(Q1885="","⚠ Falta cuenta",IF(ISNA(MATCH(Q1885,ctaNombre,0)),"⚠ Cuenta no registrada",IF(AND(OR(P1885="Gasto",P1885="Reembolso"),D1885=""),"⚠ Falta categoría",IF(AND(D1885&lt;&gt;"",E1885&lt;&gt;"",ISNA(MATCH(D1885&amp;"|"&amp;E1885,catClave,0))),"⚠ Subcategoría no corresponde",IF(AND(OR(P1885="Transferencia",P1885="Pago tarjeta"),K1885=""),"⚠ Falta cuenta destino",IF(AND(K1885&lt;&gt;"",P1885&lt;&gt;"Transferencia",P1885&lt;&gt;"Pago tarjeta"),"⚠ Destino solo aplica a transferencias",IF(AND(K1885&lt;&gt;"",K1885=Q1885),"⚠ Origen igual a destino",IF(AND(K1885&lt;&gt;"",ISNA(MATCH(K1885,ctaNombre,0))),"⚠ Destino no registrado",IF(AND(P1885="Pago tarjeta",AE1885&lt;&gt;"Tarjeta de crédito"),"⚠ El destino debe ser tarjeta de crédito",IF(AND(P1885="Gasto",E1885="Depósitos y retiros"),"⚠ Usa tipo Transferencia",IF(AND(P1885="Resultado trading",AD1885&lt;&gt;"Cuenta de trading"),"⚠ Usa una cuenta de trading",IF(AND(G1885&lt;=0,P1885&lt;&gt;"Ajuste",P1885&lt;&gt;"Resultado trading"),"⚠ El monto debe ser positivo","✓")))))))))))))))</f>
        <v/>
      </c>
      <c r="P1885" s="52">
        <f>IF(OR(B1885="",G1885=""),"",IF(C1885="","Gasto",C1885))</f>
        <v/>
      </c>
      <c r="Q1885" s="52">
        <f>IF(P1885="","",IF(J1885&lt;&gt;"",J1885,CuentaPred&amp;""))</f>
        <v/>
      </c>
      <c r="R1885" s="52">
        <f>IF(P1885="","",IF(ISNUMBER(I1885),I1885,TasaUSD))</f>
        <v/>
      </c>
      <c r="S1885" s="53">
        <f>IF(P1885="","",IF(H1885="USD",G1885*R1885,G1885))</f>
        <v/>
      </c>
      <c r="T1885" s="53">
        <f>IF(P1885="","",IF(H1885="USD",G1885,IF(R1885&gt;0,G1885/R1885,0)))</f>
        <v/>
      </c>
      <c r="U1885" s="53">
        <f>IF(P1885="","",IF(P1885="Gasto",S1885,IF(P1885="Reembolso",-S1885,0)))</f>
        <v/>
      </c>
      <c r="V1885" s="53">
        <f>IF(P1885="","",IF(P1885="Ingreso",S1885,0))</f>
        <v/>
      </c>
      <c r="W1885" s="53">
        <f>IF(P1885="","",IF(P1885="Resultado trading",S1885,0))</f>
        <v/>
      </c>
      <c r="X1885" s="52">
        <f>IF(OR(P1885="Gasto",P1885="Reembolso"),IF(M1885&lt;&gt;"",M1885,IFERROR(INDEX(catClasif,MATCH(D1885&amp;"|"&amp;E1885,catClave,0))&amp;"","Variable")),"")</f>
        <v/>
      </c>
      <c r="Y1885" s="52">
        <f>IF(P1885="","",IFERROR(INDEX(catGrupo,MATCH(D1885&amp;"|"&amp;E1885,catClave,0))&amp;"",""))</f>
        <v/>
      </c>
      <c r="Z1885" s="52">
        <f>IF(P1885="","",WEEKDAY(B1885,2))</f>
        <v/>
      </c>
      <c r="AA1885" s="52">
        <f>IF(P1885="","",IF(AND(P1885="Gasto",X1885="Variable",D1885&lt;&gt;catTrading,S1885&gt;0,S1885&lt;=Umbral),1,0))</f>
        <v/>
      </c>
      <c r="AB1885" s="52">
        <f>IF(OR(P1885="",Q1885=""),"",IFERROR(IF(INDEX(ctaVinc,MATCH(Q1885,ctaNombre,0))&amp;""&lt;&gt;"",INDEX(ctaVinc,MATCH(Q1885,ctaNombre,0))&amp;"",Q1885),Q1885))</f>
        <v/>
      </c>
      <c r="AC1885" s="52">
        <f>IF(OR(K1885="",AND(P1885&lt;&gt;"Transferencia",P1885&lt;&gt;"Pago tarjeta")),"",IFERROR(IF(INDEX(ctaVinc,MATCH(K1885,ctaNombre,0))&amp;""&lt;&gt;"",INDEX(ctaVinc,MATCH(K1885,ctaNombre,0))&amp;"",K1885),K1885))</f>
        <v/>
      </c>
      <c r="AD1885" s="52">
        <f>IF(AB1885="","",IFERROR(INDEX(ctaTipo,MATCH(AB1885,ctaNombre,0))&amp;"",""))</f>
        <v/>
      </c>
      <c r="AE1885" s="52">
        <f>IF(AC1885="","",IFERROR(INDEX(ctaTipo,MATCH(AC1885,ctaNombre,0))&amp;"",""))</f>
        <v/>
      </c>
      <c r="AF1885" s="53">
        <f>IF(OR(P1885="",AB1885=""),"",IF(OR(P1885="Gasto",P1885="Transferencia",P1885="Pago tarjeta"),-1,1)*IF(IFERROR(INDEX(ctaMoneda,MATCH(AB1885,ctaNombre,0))&amp;"","DOP")="USD",T1885,S1885))</f>
        <v/>
      </c>
      <c r="AG1885" s="53">
        <f>IF(AC1885="","",IF(IFERROR(INDEX(ctaMoneda,MATCH(AC1885,ctaNombre,0))&amp;"","DOP")="USD",T1885,S1885))</f>
        <v/>
      </c>
      <c r="AH1885" s="53">
        <f>IF(P1885="","",IF(AND(AD1885&lt;&gt;"",COUNTIFS(tcTipo,AD1885,tcLiq,"Sí")&gt;0),IF(OR(P1885="Gasto",P1885="Transferencia",P1885="Pago tarjeta"),-1,1)*S1885,0)+IF(AND(AE1885&lt;&gt;"",COUNTIFS(tcTipo,AE1885,tcLiq,"Sí")&gt;0),S1885,0))</f>
        <v/>
      </c>
      <c r="AI1885" s="52">
        <f>IF(OR(L1885="",P1885=""),"",IF(COUNTIFS(L$6:L1885,L1885,P$6:P1885,"?*")=1,MAX(AI$5:AI1884)+1,""))</f>
        <v/>
      </c>
    </row>
    <row r="1886">
      <c r="B1886" s="47" t="n"/>
      <c r="C1886" s="48" t="n"/>
      <c r="D1886" s="48" t="n"/>
      <c r="E1886" s="48" t="n"/>
      <c r="F1886" s="48" t="n"/>
      <c r="G1886" s="49" t="n"/>
      <c r="H1886" s="48" t="n"/>
      <c r="I1886" s="50" t="n"/>
      <c r="J1886" s="48" t="n"/>
      <c r="K1886" s="48" t="n"/>
      <c r="L1886" s="48" t="n"/>
      <c r="M1886" s="48" t="n"/>
      <c r="N1886" s="48" t="n"/>
      <c r="O1886" s="51">
        <f>IF(AND(B1886="",G1886="",C1886="",D1886="",J1886=""),"",IF(B1886="","⚠ Falta fecha",IF(G1886="","⚠ Falta monto",IF(Q1886="","⚠ Falta cuenta",IF(ISNA(MATCH(Q1886,ctaNombre,0)),"⚠ Cuenta no registrada",IF(AND(OR(P1886="Gasto",P1886="Reembolso"),D1886=""),"⚠ Falta categoría",IF(AND(D1886&lt;&gt;"",E1886&lt;&gt;"",ISNA(MATCH(D1886&amp;"|"&amp;E1886,catClave,0))),"⚠ Subcategoría no corresponde",IF(AND(OR(P1886="Transferencia",P1886="Pago tarjeta"),K1886=""),"⚠ Falta cuenta destino",IF(AND(K1886&lt;&gt;"",P1886&lt;&gt;"Transferencia",P1886&lt;&gt;"Pago tarjeta"),"⚠ Destino solo aplica a transferencias",IF(AND(K1886&lt;&gt;"",K1886=Q1886),"⚠ Origen igual a destino",IF(AND(K1886&lt;&gt;"",ISNA(MATCH(K1886,ctaNombre,0))),"⚠ Destino no registrado",IF(AND(P1886="Pago tarjeta",AE1886&lt;&gt;"Tarjeta de crédito"),"⚠ El destino debe ser tarjeta de crédito",IF(AND(P1886="Gasto",E1886="Depósitos y retiros"),"⚠ Usa tipo Transferencia",IF(AND(P1886="Resultado trading",AD1886&lt;&gt;"Cuenta de trading"),"⚠ Usa una cuenta de trading",IF(AND(G1886&lt;=0,P1886&lt;&gt;"Ajuste",P1886&lt;&gt;"Resultado trading"),"⚠ El monto debe ser positivo","✓")))))))))))))))</f>
        <v/>
      </c>
      <c r="P1886" s="52">
        <f>IF(OR(B1886="",G1886=""),"",IF(C1886="","Gasto",C1886))</f>
        <v/>
      </c>
      <c r="Q1886" s="52">
        <f>IF(P1886="","",IF(J1886&lt;&gt;"",J1886,CuentaPred&amp;""))</f>
        <v/>
      </c>
      <c r="R1886" s="52">
        <f>IF(P1886="","",IF(ISNUMBER(I1886),I1886,TasaUSD))</f>
        <v/>
      </c>
      <c r="S1886" s="53">
        <f>IF(P1886="","",IF(H1886="USD",G1886*R1886,G1886))</f>
        <v/>
      </c>
      <c r="T1886" s="53">
        <f>IF(P1886="","",IF(H1886="USD",G1886,IF(R1886&gt;0,G1886/R1886,0)))</f>
        <v/>
      </c>
      <c r="U1886" s="53">
        <f>IF(P1886="","",IF(P1886="Gasto",S1886,IF(P1886="Reembolso",-S1886,0)))</f>
        <v/>
      </c>
      <c r="V1886" s="53">
        <f>IF(P1886="","",IF(P1886="Ingreso",S1886,0))</f>
        <v/>
      </c>
      <c r="W1886" s="53">
        <f>IF(P1886="","",IF(P1886="Resultado trading",S1886,0))</f>
        <v/>
      </c>
      <c r="X1886" s="52">
        <f>IF(OR(P1886="Gasto",P1886="Reembolso"),IF(M1886&lt;&gt;"",M1886,IFERROR(INDEX(catClasif,MATCH(D1886&amp;"|"&amp;E1886,catClave,0))&amp;"","Variable")),"")</f>
        <v/>
      </c>
      <c r="Y1886" s="52">
        <f>IF(P1886="","",IFERROR(INDEX(catGrupo,MATCH(D1886&amp;"|"&amp;E1886,catClave,0))&amp;"",""))</f>
        <v/>
      </c>
      <c r="Z1886" s="52">
        <f>IF(P1886="","",WEEKDAY(B1886,2))</f>
        <v/>
      </c>
      <c r="AA1886" s="52">
        <f>IF(P1886="","",IF(AND(P1886="Gasto",X1886="Variable",D1886&lt;&gt;catTrading,S1886&gt;0,S1886&lt;=Umbral),1,0))</f>
        <v/>
      </c>
      <c r="AB1886" s="52">
        <f>IF(OR(P1886="",Q1886=""),"",IFERROR(IF(INDEX(ctaVinc,MATCH(Q1886,ctaNombre,0))&amp;""&lt;&gt;"",INDEX(ctaVinc,MATCH(Q1886,ctaNombre,0))&amp;"",Q1886),Q1886))</f>
        <v/>
      </c>
      <c r="AC1886" s="52">
        <f>IF(OR(K1886="",AND(P1886&lt;&gt;"Transferencia",P1886&lt;&gt;"Pago tarjeta")),"",IFERROR(IF(INDEX(ctaVinc,MATCH(K1886,ctaNombre,0))&amp;""&lt;&gt;"",INDEX(ctaVinc,MATCH(K1886,ctaNombre,0))&amp;"",K1886),K1886))</f>
        <v/>
      </c>
      <c r="AD1886" s="52">
        <f>IF(AB1886="","",IFERROR(INDEX(ctaTipo,MATCH(AB1886,ctaNombre,0))&amp;"",""))</f>
        <v/>
      </c>
      <c r="AE1886" s="52">
        <f>IF(AC1886="","",IFERROR(INDEX(ctaTipo,MATCH(AC1886,ctaNombre,0))&amp;"",""))</f>
        <v/>
      </c>
      <c r="AF1886" s="53">
        <f>IF(OR(P1886="",AB1886=""),"",IF(OR(P1886="Gasto",P1886="Transferencia",P1886="Pago tarjeta"),-1,1)*IF(IFERROR(INDEX(ctaMoneda,MATCH(AB1886,ctaNombre,0))&amp;"","DOP")="USD",T1886,S1886))</f>
        <v/>
      </c>
      <c r="AG1886" s="53">
        <f>IF(AC1886="","",IF(IFERROR(INDEX(ctaMoneda,MATCH(AC1886,ctaNombre,0))&amp;"","DOP")="USD",T1886,S1886))</f>
        <v/>
      </c>
      <c r="AH1886" s="53">
        <f>IF(P1886="","",IF(AND(AD1886&lt;&gt;"",COUNTIFS(tcTipo,AD1886,tcLiq,"Sí")&gt;0),IF(OR(P1886="Gasto",P1886="Transferencia",P1886="Pago tarjeta"),-1,1)*S1886,0)+IF(AND(AE1886&lt;&gt;"",COUNTIFS(tcTipo,AE1886,tcLiq,"Sí")&gt;0),S1886,0))</f>
        <v/>
      </c>
      <c r="AI1886" s="52">
        <f>IF(OR(L1886="",P1886=""),"",IF(COUNTIFS(L$6:L1886,L1886,P$6:P1886,"?*")=1,MAX(AI$5:AI1885)+1,""))</f>
        <v/>
      </c>
    </row>
    <row r="1887">
      <c r="B1887" s="47" t="n"/>
      <c r="C1887" s="48" t="n"/>
      <c r="D1887" s="48" t="n"/>
      <c r="E1887" s="48" t="n"/>
      <c r="F1887" s="48" t="n"/>
      <c r="G1887" s="49" t="n"/>
      <c r="H1887" s="48" t="n"/>
      <c r="I1887" s="50" t="n"/>
      <c r="J1887" s="48" t="n"/>
      <c r="K1887" s="48" t="n"/>
      <c r="L1887" s="48" t="n"/>
      <c r="M1887" s="48" t="n"/>
      <c r="N1887" s="48" t="n"/>
      <c r="O1887" s="51">
        <f>IF(AND(B1887="",G1887="",C1887="",D1887="",J1887=""),"",IF(B1887="","⚠ Falta fecha",IF(G1887="","⚠ Falta monto",IF(Q1887="","⚠ Falta cuenta",IF(ISNA(MATCH(Q1887,ctaNombre,0)),"⚠ Cuenta no registrada",IF(AND(OR(P1887="Gasto",P1887="Reembolso"),D1887=""),"⚠ Falta categoría",IF(AND(D1887&lt;&gt;"",E1887&lt;&gt;"",ISNA(MATCH(D1887&amp;"|"&amp;E1887,catClave,0))),"⚠ Subcategoría no corresponde",IF(AND(OR(P1887="Transferencia",P1887="Pago tarjeta"),K1887=""),"⚠ Falta cuenta destino",IF(AND(K1887&lt;&gt;"",P1887&lt;&gt;"Transferencia",P1887&lt;&gt;"Pago tarjeta"),"⚠ Destino solo aplica a transferencias",IF(AND(K1887&lt;&gt;"",K1887=Q1887),"⚠ Origen igual a destino",IF(AND(K1887&lt;&gt;"",ISNA(MATCH(K1887,ctaNombre,0))),"⚠ Destino no registrado",IF(AND(P1887="Pago tarjeta",AE1887&lt;&gt;"Tarjeta de crédito"),"⚠ El destino debe ser tarjeta de crédito",IF(AND(P1887="Gasto",E1887="Depósitos y retiros"),"⚠ Usa tipo Transferencia",IF(AND(P1887="Resultado trading",AD1887&lt;&gt;"Cuenta de trading"),"⚠ Usa una cuenta de trading",IF(AND(G1887&lt;=0,P1887&lt;&gt;"Ajuste",P1887&lt;&gt;"Resultado trading"),"⚠ El monto debe ser positivo","✓")))))))))))))))</f>
        <v/>
      </c>
      <c r="P1887" s="52">
        <f>IF(OR(B1887="",G1887=""),"",IF(C1887="","Gasto",C1887))</f>
        <v/>
      </c>
      <c r="Q1887" s="52">
        <f>IF(P1887="","",IF(J1887&lt;&gt;"",J1887,CuentaPred&amp;""))</f>
        <v/>
      </c>
      <c r="R1887" s="52">
        <f>IF(P1887="","",IF(ISNUMBER(I1887),I1887,TasaUSD))</f>
        <v/>
      </c>
      <c r="S1887" s="53">
        <f>IF(P1887="","",IF(H1887="USD",G1887*R1887,G1887))</f>
        <v/>
      </c>
      <c r="T1887" s="53">
        <f>IF(P1887="","",IF(H1887="USD",G1887,IF(R1887&gt;0,G1887/R1887,0)))</f>
        <v/>
      </c>
      <c r="U1887" s="53">
        <f>IF(P1887="","",IF(P1887="Gasto",S1887,IF(P1887="Reembolso",-S1887,0)))</f>
        <v/>
      </c>
      <c r="V1887" s="53">
        <f>IF(P1887="","",IF(P1887="Ingreso",S1887,0))</f>
        <v/>
      </c>
      <c r="W1887" s="53">
        <f>IF(P1887="","",IF(P1887="Resultado trading",S1887,0))</f>
        <v/>
      </c>
      <c r="X1887" s="52">
        <f>IF(OR(P1887="Gasto",P1887="Reembolso"),IF(M1887&lt;&gt;"",M1887,IFERROR(INDEX(catClasif,MATCH(D1887&amp;"|"&amp;E1887,catClave,0))&amp;"","Variable")),"")</f>
        <v/>
      </c>
      <c r="Y1887" s="52">
        <f>IF(P1887="","",IFERROR(INDEX(catGrupo,MATCH(D1887&amp;"|"&amp;E1887,catClave,0))&amp;"",""))</f>
        <v/>
      </c>
      <c r="Z1887" s="52">
        <f>IF(P1887="","",WEEKDAY(B1887,2))</f>
        <v/>
      </c>
      <c r="AA1887" s="52">
        <f>IF(P1887="","",IF(AND(P1887="Gasto",X1887="Variable",D1887&lt;&gt;catTrading,S1887&gt;0,S1887&lt;=Umbral),1,0))</f>
        <v/>
      </c>
      <c r="AB1887" s="52">
        <f>IF(OR(P1887="",Q1887=""),"",IFERROR(IF(INDEX(ctaVinc,MATCH(Q1887,ctaNombre,0))&amp;""&lt;&gt;"",INDEX(ctaVinc,MATCH(Q1887,ctaNombre,0))&amp;"",Q1887),Q1887))</f>
        <v/>
      </c>
      <c r="AC1887" s="52">
        <f>IF(OR(K1887="",AND(P1887&lt;&gt;"Transferencia",P1887&lt;&gt;"Pago tarjeta")),"",IFERROR(IF(INDEX(ctaVinc,MATCH(K1887,ctaNombre,0))&amp;""&lt;&gt;"",INDEX(ctaVinc,MATCH(K1887,ctaNombre,0))&amp;"",K1887),K1887))</f>
        <v/>
      </c>
      <c r="AD1887" s="52">
        <f>IF(AB1887="","",IFERROR(INDEX(ctaTipo,MATCH(AB1887,ctaNombre,0))&amp;"",""))</f>
        <v/>
      </c>
      <c r="AE1887" s="52">
        <f>IF(AC1887="","",IFERROR(INDEX(ctaTipo,MATCH(AC1887,ctaNombre,0))&amp;"",""))</f>
        <v/>
      </c>
      <c r="AF1887" s="53">
        <f>IF(OR(P1887="",AB1887=""),"",IF(OR(P1887="Gasto",P1887="Transferencia",P1887="Pago tarjeta"),-1,1)*IF(IFERROR(INDEX(ctaMoneda,MATCH(AB1887,ctaNombre,0))&amp;"","DOP")="USD",T1887,S1887))</f>
        <v/>
      </c>
      <c r="AG1887" s="53">
        <f>IF(AC1887="","",IF(IFERROR(INDEX(ctaMoneda,MATCH(AC1887,ctaNombre,0))&amp;"","DOP")="USD",T1887,S1887))</f>
        <v/>
      </c>
      <c r="AH1887" s="53">
        <f>IF(P1887="","",IF(AND(AD1887&lt;&gt;"",COUNTIFS(tcTipo,AD1887,tcLiq,"Sí")&gt;0),IF(OR(P1887="Gasto",P1887="Transferencia",P1887="Pago tarjeta"),-1,1)*S1887,0)+IF(AND(AE1887&lt;&gt;"",COUNTIFS(tcTipo,AE1887,tcLiq,"Sí")&gt;0),S1887,0))</f>
        <v/>
      </c>
      <c r="AI1887" s="52">
        <f>IF(OR(L1887="",P1887=""),"",IF(COUNTIFS(L$6:L1887,L1887,P$6:P1887,"?*")=1,MAX(AI$5:AI1886)+1,""))</f>
        <v/>
      </c>
    </row>
    <row r="1888">
      <c r="B1888" s="47" t="n"/>
      <c r="C1888" s="48" t="n"/>
      <c r="D1888" s="48" t="n"/>
      <c r="E1888" s="48" t="n"/>
      <c r="F1888" s="48" t="n"/>
      <c r="G1888" s="49" t="n"/>
      <c r="H1888" s="48" t="n"/>
      <c r="I1888" s="50" t="n"/>
      <c r="J1888" s="48" t="n"/>
      <c r="K1888" s="48" t="n"/>
      <c r="L1888" s="48" t="n"/>
      <c r="M1888" s="48" t="n"/>
      <c r="N1888" s="48" t="n"/>
      <c r="O1888" s="51">
        <f>IF(AND(B1888="",G1888="",C1888="",D1888="",J1888=""),"",IF(B1888="","⚠ Falta fecha",IF(G1888="","⚠ Falta monto",IF(Q1888="","⚠ Falta cuenta",IF(ISNA(MATCH(Q1888,ctaNombre,0)),"⚠ Cuenta no registrada",IF(AND(OR(P1888="Gasto",P1888="Reembolso"),D1888=""),"⚠ Falta categoría",IF(AND(D1888&lt;&gt;"",E1888&lt;&gt;"",ISNA(MATCH(D1888&amp;"|"&amp;E1888,catClave,0))),"⚠ Subcategoría no corresponde",IF(AND(OR(P1888="Transferencia",P1888="Pago tarjeta"),K1888=""),"⚠ Falta cuenta destino",IF(AND(K1888&lt;&gt;"",P1888&lt;&gt;"Transferencia",P1888&lt;&gt;"Pago tarjeta"),"⚠ Destino solo aplica a transferencias",IF(AND(K1888&lt;&gt;"",K1888=Q1888),"⚠ Origen igual a destino",IF(AND(K1888&lt;&gt;"",ISNA(MATCH(K1888,ctaNombre,0))),"⚠ Destino no registrado",IF(AND(P1888="Pago tarjeta",AE1888&lt;&gt;"Tarjeta de crédito"),"⚠ El destino debe ser tarjeta de crédito",IF(AND(P1888="Gasto",E1888="Depósitos y retiros"),"⚠ Usa tipo Transferencia",IF(AND(P1888="Resultado trading",AD1888&lt;&gt;"Cuenta de trading"),"⚠ Usa una cuenta de trading",IF(AND(G1888&lt;=0,P1888&lt;&gt;"Ajuste",P1888&lt;&gt;"Resultado trading"),"⚠ El monto debe ser positivo","✓")))))))))))))))</f>
        <v/>
      </c>
      <c r="P1888" s="52">
        <f>IF(OR(B1888="",G1888=""),"",IF(C1888="","Gasto",C1888))</f>
        <v/>
      </c>
      <c r="Q1888" s="52">
        <f>IF(P1888="","",IF(J1888&lt;&gt;"",J1888,CuentaPred&amp;""))</f>
        <v/>
      </c>
      <c r="R1888" s="52">
        <f>IF(P1888="","",IF(ISNUMBER(I1888),I1888,TasaUSD))</f>
        <v/>
      </c>
      <c r="S1888" s="53">
        <f>IF(P1888="","",IF(H1888="USD",G1888*R1888,G1888))</f>
        <v/>
      </c>
      <c r="T1888" s="53">
        <f>IF(P1888="","",IF(H1888="USD",G1888,IF(R1888&gt;0,G1888/R1888,0)))</f>
        <v/>
      </c>
      <c r="U1888" s="53">
        <f>IF(P1888="","",IF(P1888="Gasto",S1888,IF(P1888="Reembolso",-S1888,0)))</f>
        <v/>
      </c>
      <c r="V1888" s="53">
        <f>IF(P1888="","",IF(P1888="Ingreso",S1888,0))</f>
        <v/>
      </c>
      <c r="W1888" s="53">
        <f>IF(P1888="","",IF(P1888="Resultado trading",S1888,0))</f>
        <v/>
      </c>
      <c r="X1888" s="52">
        <f>IF(OR(P1888="Gasto",P1888="Reembolso"),IF(M1888&lt;&gt;"",M1888,IFERROR(INDEX(catClasif,MATCH(D1888&amp;"|"&amp;E1888,catClave,0))&amp;"","Variable")),"")</f>
        <v/>
      </c>
      <c r="Y1888" s="52">
        <f>IF(P1888="","",IFERROR(INDEX(catGrupo,MATCH(D1888&amp;"|"&amp;E1888,catClave,0))&amp;"",""))</f>
        <v/>
      </c>
      <c r="Z1888" s="52">
        <f>IF(P1888="","",WEEKDAY(B1888,2))</f>
        <v/>
      </c>
      <c r="AA1888" s="52">
        <f>IF(P1888="","",IF(AND(P1888="Gasto",X1888="Variable",D1888&lt;&gt;catTrading,S1888&gt;0,S1888&lt;=Umbral),1,0))</f>
        <v/>
      </c>
      <c r="AB1888" s="52">
        <f>IF(OR(P1888="",Q1888=""),"",IFERROR(IF(INDEX(ctaVinc,MATCH(Q1888,ctaNombre,0))&amp;""&lt;&gt;"",INDEX(ctaVinc,MATCH(Q1888,ctaNombre,0))&amp;"",Q1888),Q1888))</f>
        <v/>
      </c>
      <c r="AC1888" s="52">
        <f>IF(OR(K1888="",AND(P1888&lt;&gt;"Transferencia",P1888&lt;&gt;"Pago tarjeta")),"",IFERROR(IF(INDEX(ctaVinc,MATCH(K1888,ctaNombre,0))&amp;""&lt;&gt;"",INDEX(ctaVinc,MATCH(K1888,ctaNombre,0))&amp;"",K1888),K1888))</f>
        <v/>
      </c>
      <c r="AD1888" s="52">
        <f>IF(AB1888="","",IFERROR(INDEX(ctaTipo,MATCH(AB1888,ctaNombre,0))&amp;"",""))</f>
        <v/>
      </c>
      <c r="AE1888" s="52">
        <f>IF(AC1888="","",IFERROR(INDEX(ctaTipo,MATCH(AC1888,ctaNombre,0))&amp;"",""))</f>
        <v/>
      </c>
      <c r="AF1888" s="53">
        <f>IF(OR(P1888="",AB1888=""),"",IF(OR(P1888="Gasto",P1888="Transferencia",P1888="Pago tarjeta"),-1,1)*IF(IFERROR(INDEX(ctaMoneda,MATCH(AB1888,ctaNombre,0))&amp;"","DOP")="USD",T1888,S1888))</f>
        <v/>
      </c>
      <c r="AG1888" s="53">
        <f>IF(AC1888="","",IF(IFERROR(INDEX(ctaMoneda,MATCH(AC1888,ctaNombre,0))&amp;"","DOP")="USD",T1888,S1888))</f>
        <v/>
      </c>
      <c r="AH1888" s="53">
        <f>IF(P1888="","",IF(AND(AD1888&lt;&gt;"",COUNTIFS(tcTipo,AD1888,tcLiq,"Sí")&gt;0),IF(OR(P1888="Gasto",P1888="Transferencia",P1888="Pago tarjeta"),-1,1)*S1888,0)+IF(AND(AE1888&lt;&gt;"",COUNTIFS(tcTipo,AE1888,tcLiq,"Sí")&gt;0),S1888,0))</f>
        <v/>
      </c>
      <c r="AI1888" s="52">
        <f>IF(OR(L1888="",P1888=""),"",IF(COUNTIFS(L$6:L1888,L1888,P$6:P1888,"?*")=1,MAX(AI$5:AI1887)+1,""))</f>
        <v/>
      </c>
    </row>
    <row r="1889">
      <c r="B1889" s="47" t="n"/>
      <c r="C1889" s="48" t="n"/>
      <c r="D1889" s="48" t="n"/>
      <c r="E1889" s="48" t="n"/>
      <c r="F1889" s="48" t="n"/>
      <c r="G1889" s="49" t="n"/>
      <c r="H1889" s="48" t="n"/>
      <c r="I1889" s="50" t="n"/>
      <c r="J1889" s="48" t="n"/>
      <c r="K1889" s="48" t="n"/>
      <c r="L1889" s="48" t="n"/>
      <c r="M1889" s="48" t="n"/>
      <c r="N1889" s="48" t="n"/>
      <c r="O1889" s="51">
        <f>IF(AND(B1889="",G1889="",C1889="",D1889="",J1889=""),"",IF(B1889="","⚠ Falta fecha",IF(G1889="","⚠ Falta monto",IF(Q1889="","⚠ Falta cuenta",IF(ISNA(MATCH(Q1889,ctaNombre,0)),"⚠ Cuenta no registrada",IF(AND(OR(P1889="Gasto",P1889="Reembolso"),D1889=""),"⚠ Falta categoría",IF(AND(D1889&lt;&gt;"",E1889&lt;&gt;"",ISNA(MATCH(D1889&amp;"|"&amp;E1889,catClave,0))),"⚠ Subcategoría no corresponde",IF(AND(OR(P1889="Transferencia",P1889="Pago tarjeta"),K1889=""),"⚠ Falta cuenta destino",IF(AND(K1889&lt;&gt;"",P1889&lt;&gt;"Transferencia",P1889&lt;&gt;"Pago tarjeta"),"⚠ Destino solo aplica a transferencias",IF(AND(K1889&lt;&gt;"",K1889=Q1889),"⚠ Origen igual a destino",IF(AND(K1889&lt;&gt;"",ISNA(MATCH(K1889,ctaNombre,0))),"⚠ Destino no registrado",IF(AND(P1889="Pago tarjeta",AE1889&lt;&gt;"Tarjeta de crédito"),"⚠ El destino debe ser tarjeta de crédito",IF(AND(P1889="Gasto",E1889="Depósitos y retiros"),"⚠ Usa tipo Transferencia",IF(AND(P1889="Resultado trading",AD1889&lt;&gt;"Cuenta de trading"),"⚠ Usa una cuenta de trading",IF(AND(G1889&lt;=0,P1889&lt;&gt;"Ajuste",P1889&lt;&gt;"Resultado trading"),"⚠ El monto debe ser positivo","✓")))))))))))))))</f>
        <v/>
      </c>
      <c r="P1889" s="52">
        <f>IF(OR(B1889="",G1889=""),"",IF(C1889="","Gasto",C1889))</f>
        <v/>
      </c>
      <c r="Q1889" s="52">
        <f>IF(P1889="","",IF(J1889&lt;&gt;"",J1889,CuentaPred&amp;""))</f>
        <v/>
      </c>
      <c r="R1889" s="52">
        <f>IF(P1889="","",IF(ISNUMBER(I1889),I1889,TasaUSD))</f>
        <v/>
      </c>
      <c r="S1889" s="53">
        <f>IF(P1889="","",IF(H1889="USD",G1889*R1889,G1889))</f>
        <v/>
      </c>
      <c r="T1889" s="53">
        <f>IF(P1889="","",IF(H1889="USD",G1889,IF(R1889&gt;0,G1889/R1889,0)))</f>
        <v/>
      </c>
      <c r="U1889" s="53">
        <f>IF(P1889="","",IF(P1889="Gasto",S1889,IF(P1889="Reembolso",-S1889,0)))</f>
        <v/>
      </c>
      <c r="V1889" s="53">
        <f>IF(P1889="","",IF(P1889="Ingreso",S1889,0))</f>
        <v/>
      </c>
      <c r="W1889" s="53">
        <f>IF(P1889="","",IF(P1889="Resultado trading",S1889,0))</f>
        <v/>
      </c>
      <c r="X1889" s="52">
        <f>IF(OR(P1889="Gasto",P1889="Reembolso"),IF(M1889&lt;&gt;"",M1889,IFERROR(INDEX(catClasif,MATCH(D1889&amp;"|"&amp;E1889,catClave,0))&amp;"","Variable")),"")</f>
        <v/>
      </c>
      <c r="Y1889" s="52">
        <f>IF(P1889="","",IFERROR(INDEX(catGrupo,MATCH(D1889&amp;"|"&amp;E1889,catClave,0))&amp;"",""))</f>
        <v/>
      </c>
      <c r="Z1889" s="52">
        <f>IF(P1889="","",WEEKDAY(B1889,2))</f>
        <v/>
      </c>
      <c r="AA1889" s="52">
        <f>IF(P1889="","",IF(AND(P1889="Gasto",X1889="Variable",D1889&lt;&gt;catTrading,S1889&gt;0,S1889&lt;=Umbral),1,0))</f>
        <v/>
      </c>
      <c r="AB1889" s="52">
        <f>IF(OR(P1889="",Q1889=""),"",IFERROR(IF(INDEX(ctaVinc,MATCH(Q1889,ctaNombre,0))&amp;""&lt;&gt;"",INDEX(ctaVinc,MATCH(Q1889,ctaNombre,0))&amp;"",Q1889),Q1889))</f>
        <v/>
      </c>
      <c r="AC1889" s="52">
        <f>IF(OR(K1889="",AND(P1889&lt;&gt;"Transferencia",P1889&lt;&gt;"Pago tarjeta")),"",IFERROR(IF(INDEX(ctaVinc,MATCH(K1889,ctaNombre,0))&amp;""&lt;&gt;"",INDEX(ctaVinc,MATCH(K1889,ctaNombre,0))&amp;"",K1889),K1889))</f>
        <v/>
      </c>
      <c r="AD1889" s="52">
        <f>IF(AB1889="","",IFERROR(INDEX(ctaTipo,MATCH(AB1889,ctaNombre,0))&amp;"",""))</f>
        <v/>
      </c>
      <c r="AE1889" s="52">
        <f>IF(AC1889="","",IFERROR(INDEX(ctaTipo,MATCH(AC1889,ctaNombre,0))&amp;"",""))</f>
        <v/>
      </c>
      <c r="AF1889" s="53">
        <f>IF(OR(P1889="",AB1889=""),"",IF(OR(P1889="Gasto",P1889="Transferencia",P1889="Pago tarjeta"),-1,1)*IF(IFERROR(INDEX(ctaMoneda,MATCH(AB1889,ctaNombre,0))&amp;"","DOP")="USD",T1889,S1889))</f>
        <v/>
      </c>
      <c r="AG1889" s="53">
        <f>IF(AC1889="","",IF(IFERROR(INDEX(ctaMoneda,MATCH(AC1889,ctaNombre,0))&amp;"","DOP")="USD",T1889,S1889))</f>
        <v/>
      </c>
      <c r="AH1889" s="53">
        <f>IF(P1889="","",IF(AND(AD1889&lt;&gt;"",COUNTIFS(tcTipo,AD1889,tcLiq,"Sí")&gt;0),IF(OR(P1889="Gasto",P1889="Transferencia",P1889="Pago tarjeta"),-1,1)*S1889,0)+IF(AND(AE1889&lt;&gt;"",COUNTIFS(tcTipo,AE1889,tcLiq,"Sí")&gt;0),S1889,0))</f>
        <v/>
      </c>
      <c r="AI1889" s="52">
        <f>IF(OR(L1889="",P1889=""),"",IF(COUNTIFS(L$6:L1889,L1889,P$6:P1889,"?*")=1,MAX(AI$5:AI1888)+1,""))</f>
        <v/>
      </c>
    </row>
    <row r="1890">
      <c r="B1890" s="47" t="n"/>
      <c r="C1890" s="48" t="n"/>
      <c r="D1890" s="48" t="n"/>
      <c r="E1890" s="48" t="n"/>
      <c r="F1890" s="48" t="n"/>
      <c r="G1890" s="49" t="n"/>
      <c r="H1890" s="48" t="n"/>
      <c r="I1890" s="50" t="n"/>
      <c r="J1890" s="48" t="n"/>
      <c r="K1890" s="48" t="n"/>
      <c r="L1890" s="48" t="n"/>
      <c r="M1890" s="48" t="n"/>
      <c r="N1890" s="48" t="n"/>
      <c r="O1890" s="51">
        <f>IF(AND(B1890="",G1890="",C1890="",D1890="",J1890=""),"",IF(B1890="","⚠ Falta fecha",IF(G1890="","⚠ Falta monto",IF(Q1890="","⚠ Falta cuenta",IF(ISNA(MATCH(Q1890,ctaNombre,0)),"⚠ Cuenta no registrada",IF(AND(OR(P1890="Gasto",P1890="Reembolso"),D1890=""),"⚠ Falta categoría",IF(AND(D1890&lt;&gt;"",E1890&lt;&gt;"",ISNA(MATCH(D1890&amp;"|"&amp;E1890,catClave,0))),"⚠ Subcategoría no corresponde",IF(AND(OR(P1890="Transferencia",P1890="Pago tarjeta"),K1890=""),"⚠ Falta cuenta destino",IF(AND(K1890&lt;&gt;"",P1890&lt;&gt;"Transferencia",P1890&lt;&gt;"Pago tarjeta"),"⚠ Destino solo aplica a transferencias",IF(AND(K1890&lt;&gt;"",K1890=Q1890),"⚠ Origen igual a destino",IF(AND(K1890&lt;&gt;"",ISNA(MATCH(K1890,ctaNombre,0))),"⚠ Destino no registrado",IF(AND(P1890="Pago tarjeta",AE1890&lt;&gt;"Tarjeta de crédito"),"⚠ El destino debe ser tarjeta de crédito",IF(AND(P1890="Gasto",E1890="Depósitos y retiros"),"⚠ Usa tipo Transferencia",IF(AND(P1890="Resultado trading",AD1890&lt;&gt;"Cuenta de trading"),"⚠ Usa una cuenta de trading",IF(AND(G1890&lt;=0,P1890&lt;&gt;"Ajuste",P1890&lt;&gt;"Resultado trading"),"⚠ El monto debe ser positivo","✓")))))))))))))))</f>
        <v/>
      </c>
      <c r="P1890" s="52">
        <f>IF(OR(B1890="",G1890=""),"",IF(C1890="","Gasto",C1890))</f>
        <v/>
      </c>
      <c r="Q1890" s="52">
        <f>IF(P1890="","",IF(J1890&lt;&gt;"",J1890,CuentaPred&amp;""))</f>
        <v/>
      </c>
      <c r="R1890" s="52">
        <f>IF(P1890="","",IF(ISNUMBER(I1890),I1890,TasaUSD))</f>
        <v/>
      </c>
      <c r="S1890" s="53">
        <f>IF(P1890="","",IF(H1890="USD",G1890*R1890,G1890))</f>
        <v/>
      </c>
      <c r="T1890" s="53">
        <f>IF(P1890="","",IF(H1890="USD",G1890,IF(R1890&gt;0,G1890/R1890,0)))</f>
        <v/>
      </c>
      <c r="U1890" s="53">
        <f>IF(P1890="","",IF(P1890="Gasto",S1890,IF(P1890="Reembolso",-S1890,0)))</f>
        <v/>
      </c>
      <c r="V1890" s="53">
        <f>IF(P1890="","",IF(P1890="Ingreso",S1890,0))</f>
        <v/>
      </c>
      <c r="W1890" s="53">
        <f>IF(P1890="","",IF(P1890="Resultado trading",S1890,0))</f>
        <v/>
      </c>
      <c r="X1890" s="52">
        <f>IF(OR(P1890="Gasto",P1890="Reembolso"),IF(M1890&lt;&gt;"",M1890,IFERROR(INDEX(catClasif,MATCH(D1890&amp;"|"&amp;E1890,catClave,0))&amp;"","Variable")),"")</f>
        <v/>
      </c>
      <c r="Y1890" s="52">
        <f>IF(P1890="","",IFERROR(INDEX(catGrupo,MATCH(D1890&amp;"|"&amp;E1890,catClave,0))&amp;"",""))</f>
        <v/>
      </c>
      <c r="Z1890" s="52">
        <f>IF(P1890="","",WEEKDAY(B1890,2))</f>
        <v/>
      </c>
      <c r="AA1890" s="52">
        <f>IF(P1890="","",IF(AND(P1890="Gasto",X1890="Variable",D1890&lt;&gt;catTrading,S1890&gt;0,S1890&lt;=Umbral),1,0))</f>
        <v/>
      </c>
      <c r="AB1890" s="52">
        <f>IF(OR(P1890="",Q1890=""),"",IFERROR(IF(INDEX(ctaVinc,MATCH(Q1890,ctaNombre,0))&amp;""&lt;&gt;"",INDEX(ctaVinc,MATCH(Q1890,ctaNombre,0))&amp;"",Q1890),Q1890))</f>
        <v/>
      </c>
      <c r="AC1890" s="52">
        <f>IF(OR(K1890="",AND(P1890&lt;&gt;"Transferencia",P1890&lt;&gt;"Pago tarjeta")),"",IFERROR(IF(INDEX(ctaVinc,MATCH(K1890,ctaNombre,0))&amp;""&lt;&gt;"",INDEX(ctaVinc,MATCH(K1890,ctaNombre,0))&amp;"",K1890),K1890))</f>
        <v/>
      </c>
      <c r="AD1890" s="52">
        <f>IF(AB1890="","",IFERROR(INDEX(ctaTipo,MATCH(AB1890,ctaNombre,0))&amp;"",""))</f>
        <v/>
      </c>
      <c r="AE1890" s="52">
        <f>IF(AC1890="","",IFERROR(INDEX(ctaTipo,MATCH(AC1890,ctaNombre,0))&amp;"",""))</f>
        <v/>
      </c>
      <c r="AF1890" s="53">
        <f>IF(OR(P1890="",AB1890=""),"",IF(OR(P1890="Gasto",P1890="Transferencia",P1890="Pago tarjeta"),-1,1)*IF(IFERROR(INDEX(ctaMoneda,MATCH(AB1890,ctaNombre,0))&amp;"","DOP")="USD",T1890,S1890))</f>
        <v/>
      </c>
      <c r="AG1890" s="53">
        <f>IF(AC1890="","",IF(IFERROR(INDEX(ctaMoneda,MATCH(AC1890,ctaNombre,0))&amp;"","DOP")="USD",T1890,S1890))</f>
        <v/>
      </c>
      <c r="AH1890" s="53">
        <f>IF(P1890="","",IF(AND(AD1890&lt;&gt;"",COUNTIFS(tcTipo,AD1890,tcLiq,"Sí")&gt;0),IF(OR(P1890="Gasto",P1890="Transferencia",P1890="Pago tarjeta"),-1,1)*S1890,0)+IF(AND(AE1890&lt;&gt;"",COUNTIFS(tcTipo,AE1890,tcLiq,"Sí")&gt;0),S1890,0))</f>
        <v/>
      </c>
      <c r="AI1890" s="52">
        <f>IF(OR(L1890="",P1890=""),"",IF(COUNTIFS(L$6:L1890,L1890,P$6:P1890,"?*")=1,MAX(AI$5:AI1889)+1,""))</f>
        <v/>
      </c>
    </row>
    <row r="1891">
      <c r="B1891" s="47" t="n"/>
      <c r="C1891" s="48" t="n"/>
      <c r="D1891" s="48" t="n"/>
      <c r="E1891" s="48" t="n"/>
      <c r="F1891" s="48" t="n"/>
      <c r="G1891" s="49" t="n"/>
      <c r="H1891" s="48" t="n"/>
      <c r="I1891" s="50" t="n"/>
      <c r="J1891" s="48" t="n"/>
      <c r="K1891" s="48" t="n"/>
      <c r="L1891" s="48" t="n"/>
      <c r="M1891" s="48" t="n"/>
      <c r="N1891" s="48" t="n"/>
      <c r="O1891" s="51">
        <f>IF(AND(B1891="",G1891="",C1891="",D1891="",J1891=""),"",IF(B1891="","⚠ Falta fecha",IF(G1891="","⚠ Falta monto",IF(Q1891="","⚠ Falta cuenta",IF(ISNA(MATCH(Q1891,ctaNombre,0)),"⚠ Cuenta no registrada",IF(AND(OR(P1891="Gasto",P1891="Reembolso"),D1891=""),"⚠ Falta categoría",IF(AND(D1891&lt;&gt;"",E1891&lt;&gt;"",ISNA(MATCH(D1891&amp;"|"&amp;E1891,catClave,0))),"⚠ Subcategoría no corresponde",IF(AND(OR(P1891="Transferencia",P1891="Pago tarjeta"),K1891=""),"⚠ Falta cuenta destino",IF(AND(K1891&lt;&gt;"",P1891&lt;&gt;"Transferencia",P1891&lt;&gt;"Pago tarjeta"),"⚠ Destino solo aplica a transferencias",IF(AND(K1891&lt;&gt;"",K1891=Q1891),"⚠ Origen igual a destino",IF(AND(K1891&lt;&gt;"",ISNA(MATCH(K1891,ctaNombre,0))),"⚠ Destino no registrado",IF(AND(P1891="Pago tarjeta",AE1891&lt;&gt;"Tarjeta de crédito"),"⚠ El destino debe ser tarjeta de crédito",IF(AND(P1891="Gasto",E1891="Depósitos y retiros"),"⚠ Usa tipo Transferencia",IF(AND(P1891="Resultado trading",AD1891&lt;&gt;"Cuenta de trading"),"⚠ Usa una cuenta de trading",IF(AND(G1891&lt;=0,P1891&lt;&gt;"Ajuste",P1891&lt;&gt;"Resultado trading"),"⚠ El monto debe ser positivo","✓")))))))))))))))</f>
        <v/>
      </c>
      <c r="P1891" s="52">
        <f>IF(OR(B1891="",G1891=""),"",IF(C1891="","Gasto",C1891))</f>
        <v/>
      </c>
      <c r="Q1891" s="52">
        <f>IF(P1891="","",IF(J1891&lt;&gt;"",J1891,CuentaPred&amp;""))</f>
        <v/>
      </c>
      <c r="R1891" s="52">
        <f>IF(P1891="","",IF(ISNUMBER(I1891),I1891,TasaUSD))</f>
        <v/>
      </c>
      <c r="S1891" s="53">
        <f>IF(P1891="","",IF(H1891="USD",G1891*R1891,G1891))</f>
        <v/>
      </c>
      <c r="T1891" s="53">
        <f>IF(P1891="","",IF(H1891="USD",G1891,IF(R1891&gt;0,G1891/R1891,0)))</f>
        <v/>
      </c>
      <c r="U1891" s="53">
        <f>IF(P1891="","",IF(P1891="Gasto",S1891,IF(P1891="Reembolso",-S1891,0)))</f>
        <v/>
      </c>
      <c r="V1891" s="53">
        <f>IF(P1891="","",IF(P1891="Ingreso",S1891,0))</f>
        <v/>
      </c>
      <c r="W1891" s="53">
        <f>IF(P1891="","",IF(P1891="Resultado trading",S1891,0))</f>
        <v/>
      </c>
      <c r="X1891" s="52">
        <f>IF(OR(P1891="Gasto",P1891="Reembolso"),IF(M1891&lt;&gt;"",M1891,IFERROR(INDEX(catClasif,MATCH(D1891&amp;"|"&amp;E1891,catClave,0))&amp;"","Variable")),"")</f>
        <v/>
      </c>
      <c r="Y1891" s="52">
        <f>IF(P1891="","",IFERROR(INDEX(catGrupo,MATCH(D1891&amp;"|"&amp;E1891,catClave,0))&amp;"",""))</f>
        <v/>
      </c>
      <c r="Z1891" s="52">
        <f>IF(P1891="","",WEEKDAY(B1891,2))</f>
        <v/>
      </c>
      <c r="AA1891" s="52">
        <f>IF(P1891="","",IF(AND(P1891="Gasto",X1891="Variable",D1891&lt;&gt;catTrading,S1891&gt;0,S1891&lt;=Umbral),1,0))</f>
        <v/>
      </c>
      <c r="AB1891" s="52">
        <f>IF(OR(P1891="",Q1891=""),"",IFERROR(IF(INDEX(ctaVinc,MATCH(Q1891,ctaNombre,0))&amp;""&lt;&gt;"",INDEX(ctaVinc,MATCH(Q1891,ctaNombre,0))&amp;"",Q1891),Q1891))</f>
        <v/>
      </c>
      <c r="AC1891" s="52">
        <f>IF(OR(K1891="",AND(P1891&lt;&gt;"Transferencia",P1891&lt;&gt;"Pago tarjeta")),"",IFERROR(IF(INDEX(ctaVinc,MATCH(K1891,ctaNombre,0))&amp;""&lt;&gt;"",INDEX(ctaVinc,MATCH(K1891,ctaNombre,0))&amp;"",K1891),K1891))</f>
        <v/>
      </c>
      <c r="AD1891" s="52">
        <f>IF(AB1891="","",IFERROR(INDEX(ctaTipo,MATCH(AB1891,ctaNombre,0))&amp;"",""))</f>
        <v/>
      </c>
      <c r="AE1891" s="52">
        <f>IF(AC1891="","",IFERROR(INDEX(ctaTipo,MATCH(AC1891,ctaNombre,0))&amp;"",""))</f>
        <v/>
      </c>
      <c r="AF1891" s="53">
        <f>IF(OR(P1891="",AB1891=""),"",IF(OR(P1891="Gasto",P1891="Transferencia",P1891="Pago tarjeta"),-1,1)*IF(IFERROR(INDEX(ctaMoneda,MATCH(AB1891,ctaNombre,0))&amp;"","DOP")="USD",T1891,S1891))</f>
        <v/>
      </c>
      <c r="AG1891" s="53">
        <f>IF(AC1891="","",IF(IFERROR(INDEX(ctaMoneda,MATCH(AC1891,ctaNombre,0))&amp;"","DOP")="USD",T1891,S1891))</f>
        <v/>
      </c>
      <c r="AH1891" s="53">
        <f>IF(P1891="","",IF(AND(AD1891&lt;&gt;"",COUNTIFS(tcTipo,AD1891,tcLiq,"Sí")&gt;0),IF(OR(P1891="Gasto",P1891="Transferencia",P1891="Pago tarjeta"),-1,1)*S1891,0)+IF(AND(AE1891&lt;&gt;"",COUNTIFS(tcTipo,AE1891,tcLiq,"Sí")&gt;0),S1891,0))</f>
        <v/>
      </c>
      <c r="AI1891" s="52">
        <f>IF(OR(L1891="",P1891=""),"",IF(COUNTIFS(L$6:L1891,L1891,P$6:P1891,"?*")=1,MAX(AI$5:AI1890)+1,""))</f>
        <v/>
      </c>
    </row>
    <row r="1892">
      <c r="B1892" s="47" t="n"/>
      <c r="C1892" s="48" t="n"/>
      <c r="D1892" s="48" t="n"/>
      <c r="E1892" s="48" t="n"/>
      <c r="F1892" s="48" t="n"/>
      <c r="G1892" s="49" t="n"/>
      <c r="H1892" s="48" t="n"/>
      <c r="I1892" s="50" t="n"/>
      <c r="J1892" s="48" t="n"/>
      <c r="K1892" s="48" t="n"/>
      <c r="L1892" s="48" t="n"/>
      <c r="M1892" s="48" t="n"/>
      <c r="N1892" s="48" t="n"/>
      <c r="O1892" s="51">
        <f>IF(AND(B1892="",G1892="",C1892="",D1892="",J1892=""),"",IF(B1892="","⚠ Falta fecha",IF(G1892="","⚠ Falta monto",IF(Q1892="","⚠ Falta cuenta",IF(ISNA(MATCH(Q1892,ctaNombre,0)),"⚠ Cuenta no registrada",IF(AND(OR(P1892="Gasto",P1892="Reembolso"),D1892=""),"⚠ Falta categoría",IF(AND(D1892&lt;&gt;"",E1892&lt;&gt;"",ISNA(MATCH(D1892&amp;"|"&amp;E1892,catClave,0))),"⚠ Subcategoría no corresponde",IF(AND(OR(P1892="Transferencia",P1892="Pago tarjeta"),K1892=""),"⚠ Falta cuenta destino",IF(AND(K1892&lt;&gt;"",P1892&lt;&gt;"Transferencia",P1892&lt;&gt;"Pago tarjeta"),"⚠ Destino solo aplica a transferencias",IF(AND(K1892&lt;&gt;"",K1892=Q1892),"⚠ Origen igual a destino",IF(AND(K1892&lt;&gt;"",ISNA(MATCH(K1892,ctaNombre,0))),"⚠ Destino no registrado",IF(AND(P1892="Pago tarjeta",AE1892&lt;&gt;"Tarjeta de crédito"),"⚠ El destino debe ser tarjeta de crédito",IF(AND(P1892="Gasto",E1892="Depósitos y retiros"),"⚠ Usa tipo Transferencia",IF(AND(P1892="Resultado trading",AD1892&lt;&gt;"Cuenta de trading"),"⚠ Usa una cuenta de trading",IF(AND(G1892&lt;=0,P1892&lt;&gt;"Ajuste",P1892&lt;&gt;"Resultado trading"),"⚠ El monto debe ser positivo","✓")))))))))))))))</f>
        <v/>
      </c>
      <c r="P1892" s="52">
        <f>IF(OR(B1892="",G1892=""),"",IF(C1892="","Gasto",C1892))</f>
        <v/>
      </c>
      <c r="Q1892" s="52">
        <f>IF(P1892="","",IF(J1892&lt;&gt;"",J1892,CuentaPred&amp;""))</f>
        <v/>
      </c>
      <c r="R1892" s="52">
        <f>IF(P1892="","",IF(ISNUMBER(I1892),I1892,TasaUSD))</f>
        <v/>
      </c>
      <c r="S1892" s="53">
        <f>IF(P1892="","",IF(H1892="USD",G1892*R1892,G1892))</f>
        <v/>
      </c>
      <c r="T1892" s="53">
        <f>IF(P1892="","",IF(H1892="USD",G1892,IF(R1892&gt;0,G1892/R1892,0)))</f>
        <v/>
      </c>
      <c r="U1892" s="53">
        <f>IF(P1892="","",IF(P1892="Gasto",S1892,IF(P1892="Reembolso",-S1892,0)))</f>
        <v/>
      </c>
      <c r="V1892" s="53">
        <f>IF(P1892="","",IF(P1892="Ingreso",S1892,0))</f>
        <v/>
      </c>
      <c r="W1892" s="53">
        <f>IF(P1892="","",IF(P1892="Resultado trading",S1892,0))</f>
        <v/>
      </c>
      <c r="X1892" s="52">
        <f>IF(OR(P1892="Gasto",P1892="Reembolso"),IF(M1892&lt;&gt;"",M1892,IFERROR(INDEX(catClasif,MATCH(D1892&amp;"|"&amp;E1892,catClave,0))&amp;"","Variable")),"")</f>
        <v/>
      </c>
      <c r="Y1892" s="52">
        <f>IF(P1892="","",IFERROR(INDEX(catGrupo,MATCH(D1892&amp;"|"&amp;E1892,catClave,0))&amp;"",""))</f>
        <v/>
      </c>
      <c r="Z1892" s="52">
        <f>IF(P1892="","",WEEKDAY(B1892,2))</f>
        <v/>
      </c>
      <c r="AA1892" s="52">
        <f>IF(P1892="","",IF(AND(P1892="Gasto",X1892="Variable",D1892&lt;&gt;catTrading,S1892&gt;0,S1892&lt;=Umbral),1,0))</f>
        <v/>
      </c>
      <c r="AB1892" s="52">
        <f>IF(OR(P1892="",Q1892=""),"",IFERROR(IF(INDEX(ctaVinc,MATCH(Q1892,ctaNombre,0))&amp;""&lt;&gt;"",INDEX(ctaVinc,MATCH(Q1892,ctaNombre,0))&amp;"",Q1892),Q1892))</f>
        <v/>
      </c>
      <c r="AC1892" s="52">
        <f>IF(OR(K1892="",AND(P1892&lt;&gt;"Transferencia",P1892&lt;&gt;"Pago tarjeta")),"",IFERROR(IF(INDEX(ctaVinc,MATCH(K1892,ctaNombre,0))&amp;""&lt;&gt;"",INDEX(ctaVinc,MATCH(K1892,ctaNombre,0))&amp;"",K1892),K1892))</f>
        <v/>
      </c>
      <c r="AD1892" s="52">
        <f>IF(AB1892="","",IFERROR(INDEX(ctaTipo,MATCH(AB1892,ctaNombre,0))&amp;"",""))</f>
        <v/>
      </c>
      <c r="AE1892" s="52">
        <f>IF(AC1892="","",IFERROR(INDEX(ctaTipo,MATCH(AC1892,ctaNombre,0))&amp;"",""))</f>
        <v/>
      </c>
      <c r="AF1892" s="53">
        <f>IF(OR(P1892="",AB1892=""),"",IF(OR(P1892="Gasto",P1892="Transferencia",P1892="Pago tarjeta"),-1,1)*IF(IFERROR(INDEX(ctaMoneda,MATCH(AB1892,ctaNombre,0))&amp;"","DOP")="USD",T1892,S1892))</f>
        <v/>
      </c>
      <c r="AG1892" s="53">
        <f>IF(AC1892="","",IF(IFERROR(INDEX(ctaMoneda,MATCH(AC1892,ctaNombre,0))&amp;"","DOP")="USD",T1892,S1892))</f>
        <v/>
      </c>
      <c r="AH1892" s="53">
        <f>IF(P1892="","",IF(AND(AD1892&lt;&gt;"",COUNTIFS(tcTipo,AD1892,tcLiq,"Sí")&gt;0),IF(OR(P1892="Gasto",P1892="Transferencia",P1892="Pago tarjeta"),-1,1)*S1892,0)+IF(AND(AE1892&lt;&gt;"",COUNTIFS(tcTipo,AE1892,tcLiq,"Sí")&gt;0),S1892,0))</f>
        <v/>
      </c>
      <c r="AI1892" s="52">
        <f>IF(OR(L1892="",P1892=""),"",IF(COUNTIFS(L$6:L1892,L1892,P$6:P1892,"?*")=1,MAX(AI$5:AI1891)+1,""))</f>
        <v/>
      </c>
    </row>
    <row r="1893">
      <c r="B1893" s="47" t="n"/>
      <c r="C1893" s="48" t="n"/>
      <c r="D1893" s="48" t="n"/>
      <c r="E1893" s="48" t="n"/>
      <c r="F1893" s="48" t="n"/>
      <c r="G1893" s="49" t="n"/>
      <c r="H1893" s="48" t="n"/>
      <c r="I1893" s="50" t="n"/>
      <c r="J1893" s="48" t="n"/>
      <c r="K1893" s="48" t="n"/>
      <c r="L1893" s="48" t="n"/>
      <c r="M1893" s="48" t="n"/>
      <c r="N1893" s="48" t="n"/>
      <c r="O1893" s="51">
        <f>IF(AND(B1893="",G1893="",C1893="",D1893="",J1893=""),"",IF(B1893="","⚠ Falta fecha",IF(G1893="","⚠ Falta monto",IF(Q1893="","⚠ Falta cuenta",IF(ISNA(MATCH(Q1893,ctaNombre,0)),"⚠ Cuenta no registrada",IF(AND(OR(P1893="Gasto",P1893="Reembolso"),D1893=""),"⚠ Falta categoría",IF(AND(D1893&lt;&gt;"",E1893&lt;&gt;"",ISNA(MATCH(D1893&amp;"|"&amp;E1893,catClave,0))),"⚠ Subcategoría no corresponde",IF(AND(OR(P1893="Transferencia",P1893="Pago tarjeta"),K1893=""),"⚠ Falta cuenta destino",IF(AND(K1893&lt;&gt;"",P1893&lt;&gt;"Transferencia",P1893&lt;&gt;"Pago tarjeta"),"⚠ Destino solo aplica a transferencias",IF(AND(K1893&lt;&gt;"",K1893=Q1893),"⚠ Origen igual a destino",IF(AND(K1893&lt;&gt;"",ISNA(MATCH(K1893,ctaNombre,0))),"⚠ Destino no registrado",IF(AND(P1893="Pago tarjeta",AE1893&lt;&gt;"Tarjeta de crédito"),"⚠ El destino debe ser tarjeta de crédito",IF(AND(P1893="Gasto",E1893="Depósitos y retiros"),"⚠ Usa tipo Transferencia",IF(AND(P1893="Resultado trading",AD1893&lt;&gt;"Cuenta de trading"),"⚠ Usa una cuenta de trading",IF(AND(G1893&lt;=0,P1893&lt;&gt;"Ajuste",P1893&lt;&gt;"Resultado trading"),"⚠ El monto debe ser positivo","✓")))))))))))))))</f>
        <v/>
      </c>
      <c r="P1893" s="52">
        <f>IF(OR(B1893="",G1893=""),"",IF(C1893="","Gasto",C1893))</f>
        <v/>
      </c>
      <c r="Q1893" s="52">
        <f>IF(P1893="","",IF(J1893&lt;&gt;"",J1893,CuentaPred&amp;""))</f>
        <v/>
      </c>
      <c r="R1893" s="52">
        <f>IF(P1893="","",IF(ISNUMBER(I1893),I1893,TasaUSD))</f>
        <v/>
      </c>
      <c r="S1893" s="53">
        <f>IF(P1893="","",IF(H1893="USD",G1893*R1893,G1893))</f>
        <v/>
      </c>
      <c r="T1893" s="53">
        <f>IF(P1893="","",IF(H1893="USD",G1893,IF(R1893&gt;0,G1893/R1893,0)))</f>
        <v/>
      </c>
      <c r="U1893" s="53">
        <f>IF(P1893="","",IF(P1893="Gasto",S1893,IF(P1893="Reembolso",-S1893,0)))</f>
        <v/>
      </c>
      <c r="V1893" s="53">
        <f>IF(P1893="","",IF(P1893="Ingreso",S1893,0))</f>
        <v/>
      </c>
      <c r="W1893" s="53">
        <f>IF(P1893="","",IF(P1893="Resultado trading",S1893,0))</f>
        <v/>
      </c>
      <c r="X1893" s="52">
        <f>IF(OR(P1893="Gasto",P1893="Reembolso"),IF(M1893&lt;&gt;"",M1893,IFERROR(INDEX(catClasif,MATCH(D1893&amp;"|"&amp;E1893,catClave,0))&amp;"","Variable")),"")</f>
        <v/>
      </c>
      <c r="Y1893" s="52">
        <f>IF(P1893="","",IFERROR(INDEX(catGrupo,MATCH(D1893&amp;"|"&amp;E1893,catClave,0))&amp;"",""))</f>
        <v/>
      </c>
      <c r="Z1893" s="52">
        <f>IF(P1893="","",WEEKDAY(B1893,2))</f>
        <v/>
      </c>
      <c r="AA1893" s="52">
        <f>IF(P1893="","",IF(AND(P1893="Gasto",X1893="Variable",D1893&lt;&gt;catTrading,S1893&gt;0,S1893&lt;=Umbral),1,0))</f>
        <v/>
      </c>
      <c r="AB1893" s="52">
        <f>IF(OR(P1893="",Q1893=""),"",IFERROR(IF(INDEX(ctaVinc,MATCH(Q1893,ctaNombre,0))&amp;""&lt;&gt;"",INDEX(ctaVinc,MATCH(Q1893,ctaNombre,0))&amp;"",Q1893),Q1893))</f>
        <v/>
      </c>
      <c r="AC1893" s="52">
        <f>IF(OR(K1893="",AND(P1893&lt;&gt;"Transferencia",P1893&lt;&gt;"Pago tarjeta")),"",IFERROR(IF(INDEX(ctaVinc,MATCH(K1893,ctaNombre,0))&amp;""&lt;&gt;"",INDEX(ctaVinc,MATCH(K1893,ctaNombre,0))&amp;"",K1893),K1893))</f>
        <v/>
      </c>
      <c r="AD1893" s="52">
        <f>IF(AB1893="","",IFERROR(INDEX(ctaTipo,MATCH(AB1893,ctaNombre,0))&amp;"",""))</f>
        <v/>
      </c>
      <c r="AE1893" s="52">
        <f>IF(AC1893="","",IFERROR(INDEX(ctaTipo,MATCH(AC1893,ctaNombre,0))&amp;"",""))</f>
        <v/>
      </c>
      <c r="AF1893" s="53">
        <f>IF(OR(P1893="",AB1893=""),"",IF(OR(P1893="Gasto",P1893="Transferencia",P1893="Pago tarjeta"),-1,1)*IF(IFERROR(INDEX(ctaMoneda,MATCH(AB1893,ctaNombre,0))&amp;"","DOP")="USD",T1893,S1893))</f>
        <v/>
      </c>
      <c r="AG1893" s="53">
        <f>IF(AC1893="","",IF(IFERROR(INDEX(ctaMoneda,MATCH(AC1893,ctaNombre,0))&amp;"","DOP")="USD",T1893,S1893))</f>
        <v/>
      </c>
      <c r="AH1893" s="53">
        <f>IF(P1893="","",IF(AND(AD1893&lt;&gt;"",COUNTIFS(tcTipo,AD1893,tcLiq,"Sí")&gt;0),IF(OR(P1893="Gasto",P1893="Transferencia",P1893="Pago tarjeta"),-1,1)*S1893,0)+IF(AND(AE1893&lt;&gt;"",COUNTIFS(tcTipo,AE1893,tcLiq,"Sí")&gt;0),S1893,0))</f>
        <v/>
      </c>
      <c r="AI1893" s="52">
        <f>IF(OR(L1893="",P1893=""),"",IF(COUNTIFS(L$6:L1893,L1893,P$6:P1893,"?*")=1,MAX(AI$5:AI1892)+1,""))</f>
        <v/>
      </c>
    </row>
    <row r="1894">
      <c r="B1894" s="47" t="n"/>
      <c r="C1894" s="48" t="n"/>
      <c r="D1894" s="48" t="n"/>
      <c r="E1894" s="48" t="n"/>
      <c r="F1894" s="48" t="n"/>
      <c r="G1894" s="49" t="n"/>
      <c r="H1894" s="48" t="n"/>
      <c r="I1894" s="50" t="n"/>
      <c r="J1894" s="48" t="n"/>
      <c r="K1894" s="48" t="n"/>
      <c r="L1894" s="48" t="n"/>
      <c r="M1894" s="48" t="n"/>
      <c r="N1894" s="48" t="n"/>
      <c r="O1894" s="51">
        <f>IF(AND(B1894="",G1894="",C1894="",D1894="",J1894=""),"",IF(B1894="","⚠ Falta fecha",IF(G1894="","⚠ Falta monto",IF(Q1894="","⚠ Falta cuenta",IF(ISNA(MATCH(Q1894,ctaNombre,0)),"⚠ Cuenta no registrada",IF(AND(OR(P1894="Gasto",P1894="Reembolso"),D1894=""),"⚠ Falta categoría",IF(AND(D1894&lt;&gt;"",E1894&lt;&gt;"",ISNA(MATCH(D1894&amp;"|"&amp;E1894,catClave,0))),"⚠ Subcategoría no corresponde",IF(AND(OR(P1894="Transferencia",P1894="Pago tarjeta"),K1894=""),"⚠ Falta cuenta destino",IF(AND(K1894&lt;&gt;"",P1894&lt;&gt;"Transferencia",P1894&lt;&gt;"Pago tarjeta"),"⚠ Destino solo aplica a transferencias",IF(AND(K1894&lt;&gt;"",K1894=Q1894),"⚠ Origen igual a destino",IF(AND(K1894&lt;&gt;"",ISNA(MATCH(K1894,ctaNombre,0))),"⚠ Destino no registrado",IF(AND(P1894="Pago tarjeta",AE1894&lt;&gt;"Tarjeta de crédito"),"⚠ El destino debe ser tarjeta de crédito",IF(AND(P1894="Gasto",E1894="Depósitos y retiros"),"⚠ Usa tipo Transferencia",IF(AND(P1894="Resultado trading",AD1894&lt;&gt;"Cuenta de trading"),"⚠ Usa una cuenta de trading",IF(AND(G1894&lt;=0,P1894&lt;&gt;"Ajuste",P1894&lt;&gt;"Resultado trading"),"⚠ El monto debe ser positivo","✓")))))))))))))))</f>
        <v/>
      </c>
      <c r="P1894" s="52">
        <f>IF(OR(B1894="",G1894=""),"",IF(C1894="","Gasto",C1894))</f>
        <v/>
      </c>
      <c r="Q1894" s="52">
        <f>IF(P1894="","",IF(J1894&lt;&gt;"",J1894,CuentaPred&amp;""))</f>
        <v/>
      </c>
      <c r="R1894" s="52">
        <f>IF(P1894="","",IF(ISNUMBER(I1894),I1894,TasaUSD))</f>
        <v/>
      </c>
      <c r="S1894" s="53">
        <f>IF(P1894="","",IF(H1894="USD",G1894*R1894,G1894))</f>
        <v/>
      </c>
      <c r="T1894" s="53">
        <f>IF(P1894="","",IF(H1894="USD",G1894,IF(R1894&gt;0,G1894/R1894,0)))</f>
        <v/>
      </c>
      <c r="U1894" s="53">
        <f>IF(P1894="","",IF(P1894="Gasto",S1894,IF(P1894="Reembolso",-S1894,0)))</f>
        <v/>
      </c>
      <c r="V1894" s="53">
        <f>IF(P1894="","",IF(P1894="Ingreso",S1894,0))</f>
        <v/>
      </c>
      <c r="W1894" s="53">
        <f>IF(P1894="","",IF(P1894="Resultado trading",S1894,0))</f>
        <v/>
      </c>
      <c r="X1894" s="52">
        <f>IF(OR(P1894="Gasto",P1894="Reembolso"),IF(M1894&lt;&gt;"",M1894,IFERROR(INDEX(catClasif,MATCH(D1894&amp;"|"&amp;E1894,catClave,0))&amp;"","Variable")),"")</f>
        <v/>
      </c>
      <c r="Y1894" s="52">
        <f>IF(P1894="","",IFERROR(INDEX(catGrupo,MATCH(D1894&amp;"|"&amp;E1894,catClave,0))&amp;"",""))</f>
        <v/>
      </c>
      <c r="Z1894" s="52">
        <f>IF(P1894="","",WEEKDAY(B1894,2))</f>
        <v/>
      </c>
      <c r="AA1894" s="52">
        <f>IF(P1894="","",IF(AND(P1894="Gasto",X1894="Variable",D1894&lt;&gt;catTrading,S1894&gt;0,S1894&lt;=Umbral),1,0))</f>
        <v/>
      </c>
      <c r="AB1894" s="52">
        <f>IF(OR(P1894="",Q1894=""),"",IFERROR(IF(INDEX(ctaVinc,MATCH(Q1894,ctaNombre,0))&amp;""&lt;&gt;"",INDEX(ctaVinc,MATCH(Q1894,ctaNombre,0))&amp;"",Q1894),Q1894))</f>
        <v/>
      </c>
      <c r="AC1894" s="52">
        <f>IF(OR(K1894="",AND(P1894&lt;&gt;"Transferencia",P1894&lt;&gt;"Pago tarjeta")),"",IFERROR(IF(INDEX(ctaVinc,MATCH(K1894,ctaNombre,0))&amp;""&lt;&gt;"",INDEX(ctaVinc,MATCH(K1894,ctaNombre,0))&amp;"",K1894),K1894))</f>
        <v/>
      </c>
      <c r="AD1894" s="52">
        <f>IF(AB1894="","",IFERROR(INDEX(ctaTipo,MATCH(AB1894,ctaNombre,0))&amp;"",""))</f>
        <v/>
      </c>
      <c r="AE1894" s="52">
        <f>IF(AC1894="","",IFERROR(INDEX(ctaTipo,MATCH(AC1894,ctaNombre,0))&amp;"",""))</f>
        <v/>
      </c>
      <c r="AF1894" s="53">
        <f>IF(OR(P1894="",AB1894=""),"",IF(OR(P1894="Gasto",P1894="Transferencia",P1894="Pago tarjeta"),-1,1)*IF(IFERROR(INDEX(ctaMoneda,MATCH(AB1894,ctaNombre,0))&amp;"","DOP")="USD",T1894,S1894))</f>
        <v/>
      </c>
      <c r="AG1894" s="53">
        <f>IF(AC1894="","",IF(IFERROR(INDEX(ctaMoneda,MATCH(AC1894,ctaNombre,0))&amp;"","DOP")="USD",T1894,S1894))</f>
        <v/>
      </c>
      <c r="AH1894" s="53">
        <f>IF(P1894="","",IF(AND(AD1894&lt;&gt;"",COUNTIFS(tcTipo,AD1894,tcLiq,"Sí")&gt;0),IF(OR(P1894="Gasto",P1894="Transferencia",P1894="Pago tarjeta"),-1,1)*S1894,0)+IF(AND(AE1894&lt;&gt;"",COUNTIFS(tcTipo,AE1894,tcLiq,"Sí")&gt;0),S1894,0))</f>
        <v/>
      </c>
      <c r="AI1894" s="52">
        <f>IF(OR(L1894="",P1894=""),"",IF(COUNTIFS(L$6:L1894,L1894,P$6:P1894,"?*")=1,MAX(AI$5:AI1893)+1,""))</f>
        <v/>
      </c>
    </row>
    <row r="1895">
      <c r="B1895" s="47" t="n"/>
      <c r="C1895" s="48" t="n"/>
      <c r="D1895" s="48" t="n"/>
      <c r="E1895" s="48" t="n"/>
      <c r="F1895" s="48" t="n"/>
      <c r="G1895" s="49" t="n"/>
      <c r="H1895" s="48" t="n"/>
      <c r="I1895" s="50" t="n"/>
      <c r="J1895" s="48" t="n"/>
      <c r="K1895" s="48" t="n"/>
      <c r="L1895" s="48" t="n"/>
      <c r="M1895" s="48" t="n"/>
      <c r="N1895" s="48" t="n"/>
      <c r="O1895" s="51">
        <f>IF(AND(B1895="",G1895="",C1895="",D1895="",J1895=""),"",IF(B1895="","⚠ Falta fecha",IF(G1895="","⚠ Falta monto",IF(Q1895="","⚠ Falta cuenta",IF(ISNA(MATCH(Q1895,ctaNombre,0)),"⚠ Cuenta no registrada",IF(AND(OR(P1895="Gasto",P1895="Reembolso"),D1895=""),"⚠ Falta categoría",IF(AND(D1895&lt;&gt;"",E1895&lt;&gt;"",ISNA(MATCH(D1895&amp;"|"&amp;E1895,catClave,0))),"⚠ Subcategoría no corresponde",IF(AND(OR(P1895="Transferencia",P1895="Pago tarjeta"),K1895=""),"⚠ Falta cuenta destino",IF(AND(K1895&lt;&gt;"",P1895&lt;&gt;"Transferencia",P1895&lt;&gt;"Pago tarjeta"),"⚠ Destino solo aplica a transferencias",IF(AND(K1895&lt;&gt;"",K1895=Q1895),"⚠ Origen igual a destino",IF(AND(K1895&lt;&gt;"",ISNA(MATCH(K1895,ctaNombre,0))),"⚠ Destino no registrado",IF(AND(P1895="Pago tarjeta",AE1895&lt;&gt;"Tarjeta de crédito"),"⚠ El destino debe ser tarjeta de crédito",IF(AND(P1895="Gasto",E1895="Depósitos y retiros"),"⚠ Usa tipo Transferencia",IF(AND(P1895="Resultado trading",AD1895&lt;&gt;"Cuenta de trading"),"⚠ Usa una cuenta de trading",IF(AND(G1895&lt;=0,P1895&lt;&gt;"Ajuste",P1895&lt;&gt;"Resultado trading"),"⚠ El monto debe ser positivo","✓")))))))))))))))</f>
        <v/>
      </c>
      <c r="P1895" s="52">
        <f>IF(OR(B1895="",G1895=""),"",IF(C1895="","Gasto",C1895))</f>
        <v/>
      </c>
      <c r="Q1895" s="52">
        <f>IF(P1895="","",IF(J1895&lt;&gt;"",J1895,CuentaPred&amp;""))</f>
        <v/>
      </c>
      <c r="R1895" s="52">
        <f>IF(P1895="","",IF(ISNUMBER(I1895),I1895,TasaUSD))</f>
        <v/>
      </c>
      <c r="S1895" s="53">
        <f>IF(P1895="","",IF(H1895="USD",G1895*R1895,G1895))</f>
        <v/>
      </c>
      <c r="T1895" s="53">
        <f>IF(P1895="","",IF(H1895="USD",G1895,IF(R1895&gt;0,G1895/R1895,0)))</f>
        <v/>
      </c>
      <c r="U1895" s="53">
        <f>IF(P1895="","",IF(P1895="Gasto",S1895,IF(P1895="Reembolso",-S1895,0)))</f>
        <v/>
      </c>
      <c r="V1895" s="53">
        <f>IF(P1895="","",IF(P1895="Ingreso",S1895,0))</f>
        <v/>
      </c>
      <c r="W1895" s="53">
        <f>IF(P1895="","",IF(P1895="Resultado trading",S1895,0))</f>
        <v/>
      </c>
      <c r="X1895" s="52">
        <f>IF(OR(P1895="Gasto",P1895="Reembolso"),IF(M1895&lt;&gt;"",M1895,IFERROR(INDEX(catClasif,MATCH(D1895&amp;"|"&amp;E1895,catClave,0))&amp;"","Variable")),"")</f>
        <v/>
      </c>
      <c r="Y1895" s="52">
        <f>IF(P1895="","",IFERROR(INDEX(catGrupo,MATCH(D1895&amp;"|"&amp;E1895,catClave,0))&amp;"",""))</f>
        <v/>
      </c>
      <c r="Z1895" s="52">
        <f>IF(P1895="","",WEEKDAY(B1895,2))</f>
        <v/>
      </c>
      <c r="AA1895" s="52">
        <f>IF(P1895="","",IF(AND(P1895="Gasto",X1895="Variable",D1895&lt;&gt;catTrading,S1895&gt;0,S1895&lt;=Umbral),1,0))</f>
        <v/>
      </c>
      <c r="AB1895" s="52">
        <f>IF(OR(P1895="",Q1895=""),"",IFERROR(IF(INDEX(ctaVinc,MATCH(Q1895,ctaNombre,0))&amp;""&lt;&gt;"",INDEX(ctaVinc,MATCH(Q1895,ctaNombre,0))&amp;"",Q1895),Q1895))</f>
        <v/>
      </c>
      <c r="AC1895" s="52">
        <f>IF(OR(K1895="",AND(P1895&lt;&gt;"Transferencia",P1895&lt;&gt;"Pago tarjeta")),"",IFERROR(IF(INDEX(ctaVinc,MATCH(K1895,ctaNombre,0))&amp;""&lt;&gt;"",INDEX(ctaVinc,MATCH(K1895,ctaNombre,0))&amp;"",K1895),K1895))</f>
        <v/>
      </c>
      <c r="AD1895" s="52">
        <f>IF(AB1895="","",IFERROR(INDEX(ctaTipo,MATCH(AB1895,ctaNombre,0))&amp;"",""))</f>
        <v/>
      </c>
      <c r="AE1895" s="52">
        <f>IF(AC1895="","",IFERROR(INDEX(ctaTipo,MATCH(AC1895,ctaNombre,0))&amp;"",""))</f>
        <v/>
      </c>
      <c r="AF1895" s="53">
        <f>IF(OR(P1895="",AB1895=""),"",IF(OR(P1895="Gasto",P1895="Transferencia",P1895="Pago tarjeta"),-1,1)*IF(IFERROR(INDEX(ctaMoneda,MATCH(AB1895,ctaNombre,0))&amp;"","DOP")="USD",T1895,S1895))</f>
        <v/>
      </c>
      <c r="AG1895" s="53">
        <f>IF(AC1895="","",IF(IFERROR(INDEX(ctaMoneda,MATCH(AC1895,ctaNombre,0))&amp;"","DOP")="USD",T1895,S1895))</f>
        <v/>
      </c>
      <c r="AH1895" s="53">
        <f>IF(P1895="","",IF(AND(AD1895&lt;&gt;"",COUNTIFS(tcTipo,AD1895,tcLiq,"Sí")&gt;0),IF(OR(P1895="Gasto",P1895="Transferencia",P1895="Pago tarjeta"),-1,1)*S1895,0)+IF(AND(AE1895&lt;&gt;"",COUNTIFS(tcTipo,AE1895,tcLiq,"Sí")&gt;0),S1895,0))</f>
        <v/>
      </c>
      <c r="AI1895" s="52">
        <f>IF(OR(L1895="",P1895=""),"",IF(COUNTIFS(L$6:L1895,L1895,P$6:P1895,"?*")=1,MAX(AI$5:AI1894)+1,""))</f>
        <v/>
      </c>
    </row>
    <row r="1896">
      <c r="B1896" s="47" t="n"/>
      <c r="C1896" s="48" t="n"/>
      <c r="D1896" s="48" t="n"/>
      <c r="E1896" s="48" t="n"/>
      <c r="F1896" s="48" t="n"/>
      <c r="G1896" s="49" t="n"/>
      <c r="H1896" s="48" t="n"/>
      <c r="I1896" s="50" t="n"/>
      <c r="J1896" s="48" t="n"/>
      <c r="K1896" s="48" t="n"/>
      <c r="L1896" s="48" t="n"/>
      <c r="M1896" s="48" t="n"/>
      <c r="N1896" s="48" t="n"/>
      <c r="O1896" s="51">
        <f>IF(AND(B1896="",G1896="",C1896="",D1896="",J1896=""),"",IF(B1896="","⚠ Falta fecha",IF(G1896="","⚠ Falta monto",IF(Q1896="","⚠ Falta cuenta",IF(ISNA(MATCH(Q1896,ctaNombre,0)),"⚠ Cuenta no registrada",IF(AND(OR(P1896="Gasto",P1896="Reembolso"),D1896=""),"⚠ Falta categoría",IF(AND(D1896&lt;&gt;"",E1896&lt;&gt;"",ISNA(MATCH(D1896&amp;"|"&amp;E1896,catClave,0))),"⚠ Subcategoría no corresponde",IF(AND(OR(P1896="Transferencia",P1896="Pago tarjeta"),K1896=""),"⚠ Falta cuenta destino",IF(AND(K1896&lt;&gt;"",P1896&lt;&gt;"Transferencia",P1896&lt;&gt;"Pago tarjeta"),"⚠ Destino solo aplica a transferencias",IF(AND(K1896&lt;&gt;"",K1896=Q1896),"⚠ Origen igual a destino",IF(AND(K1896&lt;&gt;"",ISNA(MATCH(K1896,ctaNombre,0))),"⚠ Destino no registrado",IF(AND(P1896="Pago tarjeta",AE1896&lt;&gt;"Tarjeta de crédito"),"⚠ El destino debe ser tarjeta de crédito",IF(AND(P1896="Gasto",E1896="Depósitos y retiros"),"⚠ Usa tipo Transferencia",IF(AND(P1896="Resultado trading",AD1896&lt;&gt;"Cuenta de trading"),"⚠ Usa una cuenta de trading",IF(AND(G1896&lt;=0,P1896&lt;&gt;"Ajuste",P1896&lt;&gt;"Resultado trading"),"⚠ El monto debe ser positivo","✓")))))))))))))))</f>
        <v/>
      </c>
      <c r="P1896" s="52">
        <f>IF(OR(B1896="",G1896=""),"",IF(C1896="","Gasto",C1896))</f>
        <v/>
      </c>
      <c r="Q1896" s="52">
        <f>IF(P1896="","",IF(J1896&lt;&gt;"",J1896,CuentaPred&amp;""))</f>
        <v/>
      </c>
      <c r="R1896" s="52">
        <f>IF(P1896="","",IF(ISNUMBER(I1896),I1896,TasaUSD))</f>
        <v/>
      </c>
      <c r="S1896" s="53">
        <f>IF(P1896="","",IF(H1896="USD",G1896*R1896,G1896))</f>
        <v/>
      </c>
      <c r="T1896" s="53">
        <f>IF(P1896="","",IF(H1896="USD",G1896,IF(R1896&gt;0,G1896/R1896,0)))</f>
        <v/>
      </c>
      <c r="U1896" s="53">
        <f>IF(P1896="","",IF(P1896="Gasto",S1896,IF(P1896="Reembolso",-S1896,0)))</f>
        <v/>
      </c>
      <c r="V1896" s="53">
        <f>IF(P1896="","",IF(P1896="Ingreso",S1896,0))</f>
        <v/>
      </c>
      <c r="W1896" s="53">
        <f>IF(P1896="","",IF(P1896="Resultado trading",S1896,0))</f>
        <v/>
      </c>
      <c r="X1896" s="52">
        <f>IF(OR(P1896="Gasto",P1896="Reembolso"),IF(M1896&lt;&gt;"",M1896,IFERROR(INDEX(catClasif,MATCH(D1896&amp;"|"&amp;E1896,catClave,0))&amp;"","Variable")),"")</f>
        <v/>
      </c>
      <c r="Y1896" s="52">
        <f>IF(P1896="","",IFERROR(INDEX(catGrupo,MATCH(D1896&amp;"|"&amp;E1896,catClave,0))&amp;"",""))</f>
        <v/>
      </c>
      <c r="Z1896" s="52">
        <f>IF(P1896="","",WEEKDAY(B1896,2))</f>
        <v/>
      </c>
      <c r="AA1896" s="52">
        <f>IF(P1896="","",IF(AND(P1896="Gasto",X1896="Variable",D1896&lt;&gt;catTrading,S1896&gt;0,S1896&lt;=Umbral),1,0))</f>
        <v/>
      </c>
      <c r="AB1896" s="52">
        <f>IF(OR(P1896="",Q1896=""),"",IFERROR(IF(INDEX(ctaVinc,MATCH(Q1896,ctaNombre,0))&amp;""&lt;&gt;"",INDEX(ctaVinc,MATCH(Q1896,ctaNombre,0))&amp;"",Q1896),Q1896))</f>
        <v/>
      </c>
      <c r="AC1896" s="52">
        <f>IF(OR(K1896="",AND(P1896&lt;&gt;"Transferencia",P1896&lt;&gt;"Pago tarjeta")),"",IFERROR(IF(INDEX(ctaVinc,MATCH(K1896,ctaNombre,0))&amp;""&lt;&gt;"",INDEX(ctaVinc,MATCH(K1896,ctaNombre,0))&amp;"",K1896),K1896))</f>
        <v/>
      </c>
      <c r="AD1896" s="52">
        <f>IF(AB1896="","",IFERROR(INDEX(ctaTipo,MATCH(AB1896,ctaNombre,0))&amp;"",""))</f>
        <v/>
      </c>
      <c r="AE1896" s="52">
        <f>IF(AC1896="","",IFERROR(INDEX(ctaTipo,MATCH(AC1896,ctaNombre,0))&amp;"",""))</f>
        <v/>
      </c>
      <c r="AF1896" s="53">
        <f>IF(OR(P1896="",AB1896=""),"",IF(OR(P1896="Gasto",P1896="Transferencia",P1896="Pago tarjeta"),-1,1)*IF(IFERROR(INDEX(ctaMoneda,MATCH(AB1896,ctaNombre,0))&amp;"","DOP")="USD",T1896,S1896))</f>
        <v/>
      </c>
      <c r="AG1896" s="53">
        <f>IF(AC1896="","",IF(IFERROR(INDEX(ctaMoneda,MATCH(AC1896,ctaNombre,0))&amp;"","DOP")="USD",T1896,S1896))</f>
        <v/>
      </c>
      <c r="AH1896" s="53">
        <f>IF(P1896="","",IF(AND(AD1896&lt;&gt;"",COUNTIFS(tcTipo,AD1896,tcLiq,"Sí")&gt;0),IF(OR(P1896="Gasto",P1896="Transferencia",P1896="Pago tarjeta"),-1,1)*S1896,0)+IF(AND(AE1896&lt;&gt;"",COUNTIFS(tcTipo,AE1896,tcLiq,"Sí")&gt;0),S1896,0))</f>
        <v/>
      </c>
      <c r="AI1896" s="52">
        <f>IF(OR(L1896="",P1896=""),"",IF(COUNTIFS(L$6:L1896,L1896,P$6:P1896,"?*")=1,MAX(AI$5:AI1895)+1,""))</f>
        <v/>
      </c>
    </row>
    <row r="1897">
      <c r="B1897" s="47" t="n"/>
      <c r="C1897" s="48" t="n"/>
      <c r="D1897" s="48" t="n"/>
      <c r="E1897" s="48" t="n"/>
      <c r="F1897" s="48" t="n"/>
      <c r="G1897" s="49" t="n"/>
      <c r="H1897" s="48" t="n"/>
      <c r="I1897" s="50" t="n"/>
      <c r="J1897" s="48" t="n"/>
      <c r="K1897" s="48" t="n"/>
      <c r="L1897" s="48" t="n"/>
      <c r="M1897" s="48" t="n"/>
      <c r="N1897" s="48" t="n"/>
      <c r="O1897" s="51">
        <f>IF(AND(B1897="",G1897="",C1897="",D1897="",J1897=""),"",IF(B1897="","⚠ Falta fecha",IF(G1897="","⚠ Falta monto",IF(Q1897="","⚠ Falta cuenta",IF(ISNA(MATCH(Q1897,ctaNombre,0)),"⚠ Cuenta no registrada",IF(AND(OR(P1897="Gasto",P1897="Reembolso"),D1897=""),"⚠ Falta categoría",IF(AND(D1897&lt;&gt;"",E1897&lt;&gt;"",ISNA(MATCH(D1897&amp;"|"&amp;E1897,catClave,0))),"⚠ Subcategoría no corresponde",IF(AND(OR(P1897="Transferencia",P1897="Pago tarjeta"),K1897=""),"⚠ Falta cuenta destino",IF(AND(K1897&lt;&gt;"",P1897&lt;&gt;"Transferencia",P1897&lt;&gt;"Pago tarjeta"),"⚠ Destino solo aplica a transferencias",IF(AND(K1897&lt;&gt;"",K1897=Q1897),"⚠ Origen igual a destino",IF(AND(K1897&lt;&gt;"",ISNA(MATCH(K1897,ctaNombre,0))),"⚠ Destino no registrado",IF(AND(P1897="Pago tarjeta",AE1897&lt;&gt;"Tarjeta de crédito"),"⚠ El destino debe ser tarjeta de crédito",IF(AND(P1897="Gasto",E1897="Depósitos y retiros"),"⚠ Usa tipo Transferencia",IF(AND(P1897="Resultado trading",AD1897&lt;&gt;"Cuenta de trading"),"⚠ Usa una cuenta de trading",IF(AND(G1897&lt;=0,P1897&lt;&gt;"Ajuste",P1897&lt;&gt;"Resultado trading"),"⚠ El monto debe ser positivo","✓")))))))))))))))</f>
        <v/>
      </c>
      <c r="P1897" s="52">
        <f>IF(OR(B1897="",G1897=""),"",IF(C1897="","Gasto",C1897))</f>
        <v/>
      </c>
      <c r="Q1897" s="52">
        <f>IF(P1897="","",IF(J1897&lt;&gt;"",J1897,CuentaPred&amp;""))</f>
        <v/>
      </c>
      <c r="R1897" s="52">
        <f>IF(P1897="","",IF(ISNUMBER(I1897),I1897,TasaUSD))</f>
        <v/>
      </c>
      <c r="S1897" s="53">
        <f>IF(P1897="","",IF(H1897="USD",G1897*R1897,G1897))</f>
        <v/>
      </c>
      <c r="T1897" s="53">
        <f>IF(P1897="","",IF(H1897="USD",G1897,IF(R1897&gt;0,G1897/R1897,0)))</f>
        <v/>
      </c>
      <c r="U1897" s="53">
        <f>IF(P1897="","",IF(P1897="Gasto",S1897,IF(P1897="Reembolso",-S1897,0)))</f>
        <v/>
      </c>
      <c r="V1897" s="53">
        <f>IF(P1897="","",IF(P1897="Ingreso",S1897,0))</f>
        <v/>
      </c>
      <c r="W1897" s="53">
        <f>IF(P1897="","",IF(P1897="Resultado trading",S1897,0))</f>
        <v/>
      </c>
      <c r="X1897" s="52">
        <f>IF(OR(P1897="Gasto",P1897="Reembolso"),IF(M1897&lt;&gt;"",M1897,IFERROR(INDEX(catClasif,MATCH(D1897&amp;"|"&amp;E1897,catClave,0))&amp;"","Variable")),"")</f>
        <v/>
      </c>
      <c r="Y1897" s="52">
        <f>IF(P1897="","",IFERROR(INDEX(catGrupo,MATCH(D1897&amp;"|"&amp;E1897,catClave,0))&amp;"",""))</f>
        <v/>
      </c>
      <c r="Z1897" s="52">
        <f>IF(P1897="","",WEEKDAY(B1897,2))</f>
        <v/>
      </c>
      <c r="AA1897" s="52">
        <f>IF(P1897="","",IF(AND(P1897="Gasto",X1897="Variable",D1897&lt;&gt;catTrading,S1897&gt;0,S1897&lt;=Umbral),1,0))</f>
        <v/>
      </c>
      <c r="AB1897" s="52">
        <f>IF(OR(P1897="",Q1897=""),"",IFERROR(IF(INDEX(ctaVinc,MATCH(Q1897,ctaNombre,0))&amp;""&lt;&gt;"",INDEX(ctaVinc,MATCH(Q1897,ctaNombre,0))&amp;"",Q1897),Q1897))</f>
        <v/>
      </c>
      <c r="AC1897" s="52">
        <f>IF(OR(K1897="",AND(P1897&lt;&gt;"Transferencia",P1897&lt;&gt;"Pago tarjeta")),"",IFERROR(IF(INDEX(ctaVinc,MATCH(K1897,ctaNombre,0))&amp;""&lt;&gt;"",INDEX(ctaVinc,MATCH(K1897,ctaNombre,0))&amp;"",K1897),K1897))</f>
        <v/>
      </c>
      <c r="AD1897" s="52">
        <f>IF(AB1897="","",IFERROR(INDEX(ctaTipo,MATCH(AB1897,ctaNombre,0))&amp;"",""))</f>
        <v/>
      </c>
      <c r="AE1897" s="52">
        <f>IF(AC1897="","",IFERROR(INDEX(ctaTipo,MATCH(AC1897,ctaNombre,0))&amp;"",""))</f>
        <v/>
      </c>
      <c r="AF1897" s="53">
        <f>IF(OR(P1897="",AB1897=""),"",IF(OR(P1897="Gasto",P1897="Transferencia",P1897="Pago tarjeta"),-1,1)*IF(IFERROR(INDEX(ctaMoneda,MATCH(AB1897,ctaNombre,0))&amp;"","DOP")="USD",T1897,S1897))</f>
        <v/>
      </c>
      <c r="AG1897" s="53">
        <f>IF(AC1897="","",IF(IFERROR(INDEX(ctaMoneda,MATCH(AC1897,ctaNombre,0))&amp;"","DOP")="USD",T1897,S1897))</f>
        <v/>
      </c>
      <c r="AH1897" s="53">
        <f>IF(P1897="","",IF(AND(AD1897&lt;&gt;"",COUNTIFS(tcTipo,AD1897,tcLiq,"Sí")&gt;0),IF(OR(P1897="Gasto",P1897="Transferencia",P1897="Pago tarjeta"),-1,1)*S1897,0)+IF(AND(AE1897&lt;&gt;"",COUNTIFS(tcTipo,AE1897,tcLiq,"Sí")&gt;0),S1897,0))</f>
        <v/>
      </c>
      <c r="AI1897" s="52">
        <f>IF(OR(L1897="",P1897=""),"",IF(COUNTIFS(L$6:L1897,L1897,P$6:P1897,"?*")=1,MAX(AI$5:AI1896)+1,""))</f>
        <v/>
      </c>
    </row>
    <row r="1898">
      <c r="B1898" s="47" t="n"/>
      <c r="C1898" s="48" t="n"/>
      <c r="D1898" s="48" t="n"/>
      <c r="E1898" s="48" t="n"/>
      <c r="F1898" s="48" t="n"/>
      <c r="G1898" s="49" t="n"/>
      <c r="H1898" s="48" t="n"/>
      <c r="I1898" s="50" t="n"/>
      <c r="J1898" s="48" t="n"/>
      <c r="K1898" s="48" t="n"/>
      <c r="L1898" s="48" t="n"/>
      <c r="M1898" s="48" t="n"/>
      <c r="N1898" s="48" t="n"/>
      <c r="O1898" s="51">
        <f>IF(AND(B1898="",G1898="",C1898="",D1898="",J1898=""),"",IF(B1898="","⚠ Falta fecha",IF(G1898="","⚠ Falta monto",IF(Q1898="","⚠ Falta cuenta",IF(ISNA(MATCH(Q1898,ctaNombre,0)),"⚠ Cuenta no registrada",IF(AND(OR(P1898="Gasto",P1898="Reembolso"),D1898=""),"⚠ Falta categoría",IF(AND(D1898&lt;&gt;"",E1898&lt;&gt;"",ISNA(MATCH(D1898&amp;"|"&amp;E1898,catClave,0))),"⚠ Subcategoría no corresponde",IF(AND(OR(P1898="Transferencia",P1898="Pago tarjeta"),K1898=""),"⚠ Falta cuenta destino",IF(AND(K1898&lt;&gt;"",P1898&lt;&gt;"Transferencia",P1898&lt;&gt;"Pago tarjeta"),"⚠ Destino solo aplica a transferencias",IF(AND(K1898&lt;&gt;"",K1898=Q1898),"⚠ Origen igual a destino",IF(AND(K1898&lt;&gt;"",ISNA(MATCH(K1898,ctaNombre,0))),"⚠ Destino no registrado",IF(AND(P1898="Pago tarjeta",AE1898&lt;&gt;"Tarjeta de crédito"),"⚠ El destino debe ser tarjeta de crédito",IF(AND(P1898="Gasto",E1898="Depósitos y retiros"),"⚠ Usa tipo Transferencia",IF(AND(P1898="Resultado trading",AD1898&lt;&gt;"Cuenta de trading"),"⚠ Usa una cuenta de trading",IF(AND(G1898&lt;=0,P1898&lt;&gt;"Ajuste",P1898&lt;&gt;"Resultado trading"),"⚠ El monto debe ser positivo","✓")))))))))))))))</f>
        <v/>
      </c>
      <c r="P1898" s="52">
        <f>IF(OR(B1898="",G1898=""),"",IF(C1898="","Gasto",C1898))</f>
        <v/>
      </c>
      <c r="Q1898" s="52">
        <f>IF(P1898="","",IF(J1898&lt;&gt;"",J1898,CuentaPred&amp;""))</f>
        <v/>
      </c>
      <c r="R1898" s="52">
        <f>IF(P1898="","",IF(ISNUMBER(I1898),I1898,TasaUSD))</f>
        <v/>
      </c>
      <c r="S1898" s="53">
        <f>IF(P1898="","",IF(H1898="USD",G1898*R1898,G1898))</f>
        <v/>
      </c>
      <c r="T1898" s="53">
        <f>IF(P1898="","",IF(H1898="USD",G1898,IF(R1898&gt;0,G1898/R1898,0)))</f>
        <v/>
      </c>
      <c r="U1898" s="53">
        <f>IF(P1898="","",IF(P1898="Gasto",S1898,IF(P1898="Reembolso",-S1898,0)))</f>
        <v/>
      </c>
      <c r="V1898" s="53">
        <f>IF(P1898="","",IF(P1898="Ingreso",S1898,0))</f>
        <v/>
      </c>
      <c r="W1898" s="53">
        <f>IF(P1898="","",IF(P1898="Resultado trading",S1898,0))</f>
        <v/>
      </c>
      <c r="X1898" s="52">
        <f>IF(OR(P1898="Gasto",P1898="Reembolso"),IF(M1898&lt;&gt;"",M1898,IFERROR(INDEX(catClasif,MATCH(D1898&amp;"|"&amp;E1898,catClave,0))&amp;"","Variable")),"")</f>
        <v/>
      </c>
      <c r="Y1898" s="52">
        <f>IF(P1898="","",IFERROR(INDEX(catGrupo,MATCH(D1898&amp;"|"&amp;E1898,catClave,0))&amp;"",""))</f>
        <v/>
      </c>
      <c r="Z1898" s="52">
        <f>IF(P1898="","",WEEKDAY(B1898,2))</f>
        <v/>
      </c>
      <c r="AA1898" s="52">
        <f>IF(P1898="","",IF(AND(P1898="Gasto",X1898="Variable",D1898&lt;&gt;catTrading,S1898&gt;0,S1898&lt;=Umbral),1,0))</f>
        <v/>
      </c>
      <c r="AB1898" s="52">
        <f>IF(OR(P1898="",Q1898=""),"",IFERROR(IF(INDEX(ctaVinc,MATCH(Q1898,ctaNombre,0))&amp;""&lt;&gt;"",INDEX(ctaVinc,MATCH(Q1898,ctaNombre,0))&amp;"",Q1898),Q1898))</f>
        <v/>
      </c>
      <c r="AC1898" s="52">
        <f>IF(OR(K1898="",AND(P1898&lt;&gt;"Transferencia",P1898&lt;&gt;"Pago tarjeta")),"",IFERROR(IF(INDEX(ctaVinc,MATCH(K1898,ctaNombre,0))&amp;""&lt;&gt;"",INDEX(ctaVinc,MATCH(K1898,ctaNombre,0))&amp;"",K1898),K1898))</f>
        <v/>
      </c>
      <c r="AD1898" s="52">
        <f>IF(AB1898="","",IFERROR(INDEX(ctaTipo,MATCH(AB1898,ctaNombre,0))&amp;"",""))</f>
        <v/>
      </c>
      <c r="AE1898" s="52">
        <f>IF(AC1898="","",IFERROR(INDEX(ctaTipo,MATCH(AC1898,ctaNombre,0))&amp;"",""))</f>
        <v/>
      </c>
      <c r="AF1898" s="53">
        <f>IF(OR(P1898="",AB1898=""),"",IF(OR(P1898="Gasto",P1898="Transferencia",P1898="Pago tarjeta"),-1,1)*IF(IFERROR(INDEX(ctaMoneda,MATCH(AB1898,ctaNombre,0))&amp;"","DOP")="USD",T1898,S1898))</f>
        <v/>
      </c>
      <c r="AG1898" s="53">
        <f>IF(AC1898="","",IF(IFERROR(INDEX(ctaMoneda,MATCH(AC1898,ctaNombre,0))&amp;"","DOP")="USD",T1898,S1898))</f>
        <v/>
      </c>
      <c r="AH1898" s="53">
        <f>IF(P1898="","",IF(AND(AD1898&lt;&gt;"",COUNTIFS(tcTipo,AD1898,tcLiq,"Sí")&gt;0),IF(OR(P1898="Gasto",P1898="Transferencia",P1898="Pago tarjeta"),-1,1)*S1898,0)+IF(AND(AE1898&lt;&gt;"",COUNTIFS(tcTipo,AE1898,tcLiq,"Sí")&gt;0),S1898,0))</f>
        <v/>
      </c>
      <c r="AI1898" s="52">
        <f>IF(OR(L1898="",P1898=""),"",IF(COUNTIFS(L$6:L1898,L1898,P$6:P1898,"?*")=1,MAX(AI$5:AI1897)+1,""))</f>
        <v/>
      </c>
    </row>
    <row r="1899">
      <c r="B1899" s="47" t="n"/>
      <c r="C1899" s="48" t="n"/>
      <c r="D1899" s="48" t="n"/>
      <c r="E1899" s="48" t="n"/>
      <c r="F1899" s="48" t="n"/>
      <c r="G1899" s="49" t="n"/>
      <c r="H1899" s="48" t="n"/>
      <c r="I1899" s="50" t="n"/>
      <c r="J1899" s="48" t="n"/>
      <c r="K1899" s="48" t="n"/>
      <c r="L1899" s="48" t="n"/>
      <c r="M1899" s="48" t="n"/>
      <c r="N1899" s="48" t="n"/>
      <c r="O1899" s="51">
        <f>IF(AND(B1899="",G1899="",C1899="",D1899="",J1899=""),"",IF(B1899="","⚠ Falta fecha",IF(G1899="","⚠ Falta monto",IF(Q1899="","⚠ Falta cuenta",IF(ISNA(MATCH(Q1899,ctaNombre,0)),"⚠ Cuenta no registrada",IF(AND(OR(P1899="Gasto",P1899="Reembolso"),D1899=""),"⚠ Falta categoría",IF(AND(D1899&lt;&gt;"",E1899&lt;&gt;"",ISNA(MATCH(D1899&amp;"|"&amp;E1899,catClave,0))),"⚠ Subcategoría no corresponde",IF(AND(OR(P1899="Transferencia",P1899="Pago tarjeta"),K1899=""),"⚠ Falta cuenta destino",IF(AND(K1899&lt;&gt;"",P1899&lt;&gt;"Transferencia",P1899&lt;&gt;"Pago tarjeta"),"⚠ Destino solo aplica a transferencias",IF(AND(K1899&lt;&gt;"",K1899=Q1899),"⚠ Origen igual a destino",IF(AND(K1899&lt;&gt;"",ISNA(MATCH(K1899,ctaNombre,0))),"⚠ Destino no registrado",IF(AND(P1899="Pago tarjeta",AE1899&lt;&gt;"Tarjeta de crédito"),"⚠ El destino debe ser tarjeta de crédito",IF(AND(P1899="Gasto",E1899="Depósitos y retiros"),"⚠ Usa tipo Transferencia",IF(AND(P1899="Resultado trading",AD1899&lt;&gt;"Cuenta de trading"),"⚠ Usa una cuenta de trading",IF(AND(G1899&lt;=0,P1899&lt;&gt;"Ajuste",P1899&lt;&gt;"Resultado trading"),"⚠ El monto debe ser positivo","✓")))))))))))))))</f>
        <v/>
      </c>
      <c r="P1899" s="52">
        <f>IF(OR(B1899="",G1899=""),"",IF(C1899="","Gasto",C1899))</f>
        <v/>
      </c>
      <c r="Q1899" s="52">
        <f>IF(P1899="","",IF(J1899&lt;&gt;"",J1899,CuentaPred&amp;""))</f>
        <v/>
      </c>
      <c r="R1899" s="52">
        <f>IF(P1899="","",IF(ISNUMBER(I1899),I1899,TasaUSD))</f>
        <v/>
      </c>
      <c r="S1899" s="53">
        <f>IF(P1899="","",IF(H1899="USD",G1899*R1899,G1899))</f>
        <v/>
      </c>
      <c r="T1899" s="53">
        <f>IF(P1899="","",IF(H1899="USD",G1899,IF(R1899&gt;0,G1899/R1899,0)))</f>
        <v/>
      </c>
      <c r="U1899" s="53">
        <f>IF(P1899="","",IF(P1899="Gasto",S1899,IF(P1899="Reembolso",-S1899,0)))</f>
        <v/>
      </c>
      <c r="V1899" s="53">
        <f>IF(P1899="","",IF(P1899="Ingreso",S1899,0))</f>
        <v/>
      </c>
      <c r="W1899" s="53">
        <f>IF(P1899="","",IF(P1899="Resultado trading",S1899,0))</f>
        <v/>
      </c>
      <c r="X1899" s="52">
        <f>IF(OR(P1899="Gasto",P1899="Reembolso"),IF(M1899&lt;&gt;"",M1899,IFERROR(INDEX(catClasif,MATCH(D1899&amp;"|"&amp;E1899,catClave,0))&amp;"","Variable")),"")</f>
        <v/>
      </c>
      <c r="Y1899" s="52">
        <f>IF(P1899="","",IFERROR(INDEX(catGrupo,MATCH(D1899&amp;"|"&amp;E1899,catClave,0))&amp;"",""))</f>
        <v/>
      </c>
      <c r="Z1899" s="52">
        <f>IF(P1899="","",WEEKDAY(B1899,2))</f>
        <v/>
      </c>
      <c r="AA1899" s="52">
        <f>IF(P1899="","",IF(AND(P1899="Gasto",X1899="Variable",D1899&lt;&gt;catTrading,S1899&gt;0,S1899&lt;=Umbral),1,0))</f>
        <v/>
      </c>
      <c r="AB1899" s="52">
        <f>IF(OR(P1899="",Q1899=""),"",IFERROR(IF(INDEX(ctaVinc,MATCH(Q1899,ctaNombre,0))&amp;""&lt;&gt;"",INDEX(ctaVinc,MATCH(Q1899,ctaNombre,0))&amp;"",Q1899),Q1899))</f>
        <v/>
      </c>
      <c r="AC1899" s="52">
        <f>IF(OR(K1899="",AND(P1899&lt;&gt;"Transferencia",P1899&lt;&gt;"Pago tarjeta")),"",IFERROR(IF(INDEX(ctaVinc,MATCH(K1899,ctaNombre,0))&amp;""&lt;&gt;"",INDEX(ctaVinc,MATCH(K1899,ctaNombre,0))&amp;"",K1899),K1899))</f>
        <v/>
      </c>
      <c r="AD1899" s="52">
        <f>IF(AB1899="","",IFERROR(INDEX(ctaTipo,MATCH(AB1899,ctaNombre,0))&amp;"",""))</f>
        <v/>
      </c>
      <c r="AE1899" s="52">
        <f>IF(AC1899="","",IFERROR(INDEX(ctaTipo,MATCH(AC1899,ctaNombre,0))&amp;"",""))</f>
        <v/>
      </c>
      <c r="AF1899" s="53">
        <f>IF(OR(P1899="",AB1899=""),"",IF(OR(P1899="Gasto",P1899="Transferencia",P1899="Pago tarjeta"),-1,1)*IF(IFERROR(INDEX(ctaMoneda,MATCH(AB1899,ctaNombre,0))&amp;"","DOP")="USD",T1899,S1899))</f>
        <v/>
      </c>
      <c r="AG1899" s="53">
        <f>IF(AC1899="","",IF(IFERROR(INDEX(ctaMoneda,MATCH(AC1899,ctaNombre,0))&amp;"","DOP")="USD",T1899,S1899))</f>
        <v/>
      </c>
      <c r="AH1899" s="53">
        <f>IF(P1899="","",IF(AND(AD1899&lt;&gt;"",COUNTIFS(tcTipo,AD1899,tcLiq,"Sí")&gt;0),IF(OR(P1899="Gasto",P1899="Transferencia",P1899="Pago tarjeta"),-1,1)*S1899,0)+IF(AND(AE1899&lt;&gt;"",COUNTIFS(tcTipo,AE1899,tcLiq,"Sí")&gt;0),S1899,0))</f>
        <v/>
      </c>
      <c r="AI1899" s="52">
        <f>IF(OR(L1899="",P1899=""),"",IF(COUNTIFS(L$6:L1899,L1899,P$6:P1899,"?*")=1,MAX(AI$5:AI1898)+1,""))</f>
        <v/>
      </c>
    </row>
    <row r="1900">
      <c r="B1900" s="47" t="n"/>
      <c r="C1900" s="48" t="n"/>
      <c r="D1900" s="48" t="n"/>
      <c r="E1900" s="48" t="n"/>
      <c r="F1900" s="48" t="n"/>
      <c r="G1900" s="49" t="n"/>
      <c r="H1900" s="48" t="n"/>
      <c r="I1900" s="50" t="n"/>
      <c r="J1900" s="48" t="n"/>
      <c r="K1900" s="48" t="n"/>
      <c r="L1900" s="48" t="n"/>
      <c r="M1900" s="48" t="n"/>
      <c r="N1900" s="48" t="n"/>
      <c r="O1900" s="51">
        <f>IF(AND(B1900="",G1900="",C1900="",D1900="",J1900=""),"",IF(B1900="","⚠ Falta fecha",IF(G1900="","⚠ Falta monto",IF(Q1900="","⚠ Falta cuenta",IF(ISNA(MATCH(Q1900,ctaNombre,0)),"⚠ Cuenta no registrada",IF(AND(OR(P1900="Gasto",P1900="Reembolso"),D1900=""),"⚠ Falta categoría",IF(AND(D1900&lt;&gt;"",E1900&lt;&gt;"",ISNA(MATCH(D1900&amp;"|"&amp;E1900,catClave,0))),"⚠ Subcategoría no corresponde",IF(AND(OR(P1900="Transferencia",P1900="Pago tarjeta"),K1900=""),"⚠ Falta cuenta destino",IF(AND(K1900&lt;&gt;"",P1900&lt;&gt;"Transferencia",P1900&lt;&gt;"Pago tarjeta"),"⚠ Destino solo aplica a transferencias",IF(AND(K1900&lt;&gt;"",K1900=Q1900),"⚠ Origen igual a destino",IF(AND(K1900&lt;&gt;"",ISNA(MATCH(K1900,ctaNombre,0))),"⚠ Destino no registrado",IF(AND(P1900="Pago tarjeta",AE1900&lt;&gt;"Tarjeta de crédito"),"⚠ El destino debe ser tarjeta de crédito",IF(AND(P1900="Gasto",E1900="Depósitos y retiros"),"⚠ Usa tipo Transferencia",IF(AND(P1900="Resultado trading",AD1900&lt;&gt;"Cuenta de trading"),"⚠ Usa una cuenta de trading",IF(AND(G1900&lt;=0,P1900&lt;&gt;"Ajuste",P1900&lt;&gt;"Resultado trading"),"⚠ El monto debe ser positivo","✓")))))))))))))))</f>
        <v/>
      </c>
      <c r="P1900" s="52">
        <f>IF(OR(B1900="",G1900=""),"",IF(C1900="","Gasto",C1900))</f>
        <v/>
      </c>
      <c r="Q1900" s="52">
        <f>IF(P1900="","",IF(J1900&lt;&gt;"",J1900,CuentaPred&amp;""))</f>
        <v/>
      </c>
      <c r="R1900" s="52">
        <f>IF(P1900="","",IF(ISNUMBER(I1900),I1900,TasaUSD))</f>
        <v/>
      </c>
      <c r="S1900" s="53">
        <f>IF(P1900="","",IF(H1900="USD",G1900*R1900,G1900))</f>
        <v/>
      </c>
      <c r="T1900" s="53">
        <f>IF(P1900="","",IF(H1900="USD",G1900,IF(R1900&gt;0,G1900/R1900,0)))</f>
        <v/>
      </c>
      <c r="U1900" s="53">
        <f>IF(P1900="","",IF(P1900="Gasto",S1900,IF(P1900="Reembolso",-S1900,0)))</f>
        <v/>
      </c>
      <c r="V1900" s="53">
        <f>IF(P1900="","",IF(P1900="Ingreso",S1900,0))</f>
        <v/>
      </c>
      <c r="W1900" s="53">
        <f>IF(P1900="","",IF(P1900="Resultado trading",S1900,0))</f>
        <v/>
      </c>
      <c r="X1900" s="52">
        <f>IF(OR(P1900="Gasto",P1900="Reembolso"),IF(M1900&lt;&gt;"",M1900,IFERROR(INDEX(catClasif,MATCH(D1900&amp;"|"&amp;E1900,catClave,0))&amp;"","Variable")),"")</f>
        <v/>
      </c>
      <c r="Y1900" s="52">
        <f>IF(P1900="","",IFERROR(INDEX(catGrupo,MATCH(D1900&amp;"|"&amp;E1900,catClave,0))&amp;"",""))</f>
        <v/>
      </c>
      <c r="Z1900" s="52">
        <f>IF(P1900="","",WEEKDAY(B1900,2))</f>
        <v/>
      </c>
      <c r="AA1900" s="52">
        <f>IF(P1900="","",IF(AND(P1900="Gasto",X1900="Variable",D1900&lt;&gt;catTrading,S1900&gt;0,S1900&lt;=Umbral),1,0))</f>
        <v/>
      </c>
      <c r="AB1900" s="52">
        <f>IF(OR(P1900="",Q1900=""),"",IFERROR(IF(INDEX(ctaVinc,MATCH(Q1900,ctaNombre,0))&amp;""&lt;&gt;"",INDEX(ctaVinc,MATCH(Q1900,ctaNombre,0))&amp;"",Q1900),Q1900))</f>
        <v/>
      </c>
      <c r="AC1900" s="52">
        <f>IF(OR(K1900="",AND(P1900&lt;&gt;"Transferencia",P1900&lt;&gt;"Pago tarjeta")),"",IFERROR(IF(INDEX(ctaVinc,MATCH(K1900,ctaNombre,0))&amp;""&lt;&gt;"",INDEX(ctaVinc,MATCH(K1900,ctaNombre,0))&amp;"",K1900),K1900))</f>
        <v/>
      </c>
      <c r="AD1900" s="52">
        <f>IF(AB1900="","",IFERROR(INDEX(ctaTipo,MATCH(AB1900,ctaNombre,0))&amp;"",""))</f>
        <v/>
      </c>
      <c r="AE1900" s="52">
        <f>IF(AC1900="","",IFERROR(INDEX(ctaTipo,MATCH(AC1900,ctaNombre,0))&amp;"",""))</f>
        <v/>
      </c>
      <c r="AF1900" s="53">
        <f>IF(OR(P1900="",AB1900=""),"",IF(OR(P1900="Gasto",P1900="Transferencia",P1900="Pago tarjeta"),-1,1)*IF(IFERROR(INDEX(ctaMoneda,MATCH(AB1900,ctaNombre,0))&amp;"","DOP")="USD",T1900,S1900))</f>
        <v/>
      </c>
      <c r="AG1900" s="53">
        <f>IF(AC1900="","",IF(IFERROR(INDEX(ctaMoneda,MATCH(AC1900,ctaNombre,0))&amp;"","DOP")="USD",T1900,S1900))</f>
        <v/>
      </c>
      <c r="AH1900" s="53">
        <f>IF(P1900="","",IF(AND(AD1900&lt;&gt;"",COUNTIFS(tcTipo,AD1900,tcLiq,"Sí")&gt;0),IF(OR(P1900="Gasto",P1900="Transferencia",P1900="Pago tarjeta"),-1,1)*S1900,0)+IF(AND(AE1900&lt;&gt;"",COUNTIFS(tcTipo,AE1900,tcLiq,"Sí")&gt;0),S1900,0))</f>
        <v/>
      </c>
      <c r="AI1900" s="52">
        <f>IF(OR(L1900="",P1900=""),"",IF(COUNTIFS(L$6:L1900,L1900,P$6:P1900,"?*")=1,MAX(AI$5:AI1899)+1,""))</f>
        <v/>
      </c>
    </row>
    <row r="1901">
      <c r="B1901" s="47" t="n"/>
      <c r="C1901" s="48" t="n"/>
      <c r="D1901" s="48" t="n"/>
      <c r="E1901" s="48" t="n"/>
      <c r="F1901" s="48" t="n"/>
      <c r="G1901" s="49" t="n"/>
      <c r="H1901" s="48" t="n"/>
      <c r="I1901" s="50" t="n"/>
      <c r="J1901" s="48" t="n"/>
      <c r="K1901" s="48" t="n"/>
      <c r="L1901" s="48" t="n"/>
      <c r="M1901" s="48" t="n"/>
      <c r="N1901" s="48" t="n"/>
      <c r="O1901" s="51">
        <f>IF(AND(B1901="",G1901="",C1901="",D1901="",J1901=""),"",IF(B1901="","⚠ Falta fecha",IF(G1901="","⚠ Falta monto",IF(Q1901="","⚠ Falta cuenta",IF(ISNA(MATCH(Q1901,ctaNombre,0)),"⚠ Cuenta no registrada",IF(AND(OR(P1901="Gasto",P1901="Reembolso"),D1901=""),"⚠ Falta categoría",IF(AND(D1901&lt;&gt;"",E1901&lt;&gt;"",ISNA(MATCH(D1901&amp;"|"&amp;E1901,catClave,0))),"⚠ Subcategoría no corresponde",IF(AND(OR(P1901="Transferencia",P1901="Pago tarjeta"),K1901=""),"⚠ Falta cuenta destino",IF(AND(K1901&lt;&gt;"",P1901&lt;&gt;"Transferencia",P1901&lt;&gt;"Pago tarjeta"),"⚠ Destino solo aplica a transferencias",IF(AND(K1901&lt;&gt;"",K1901=Q1901),"⚠ Origen igual a destino",IF(AND(K1901&lt;&gt;"",ISNA(MATCH(K1901,ctaNombre,0))),"⚠ Destino no registrado",IF(AND(P1901="Pago tarjeta",AE1901&lt;&gt;"Tarjeta de crédito"),"⚠ El destino debe ser tarjeta de crédito",IF(AND(P1901="Gasto",E1901="Depósitos y retiros"),"⚠ Usa tipo Transferencia",IF(AND(P1901="Resultado trading",AD1901&lt;&gt;"Cuenta de trading"),"⚠ Usa una cuenta de trading",IF(AND(G1901&lt;=0,P1901&lt;&gt;"Ajuste",P1901&lt;&gt;"Resultado trading"),"⚠ El monto debe ser positivo","✓")))))))))))))))</f>
        <v/>
      </c>
      <c r="P1901" s="52">
        <f>IF(OR(B1901="",G1901=""),"",IF(C1901="","Gasto",C1901))</f>
        <v/>
      </c>
      <c r="Q1901" s="52">
        <f>IF(P1901="","",IF(J1901&lt;&gt;"",J1901,CuentaPred&amp;""))</f>
        <v/>
      </c>
      <c r="R1901" s="52">
        <f>IF(P1901="","",IF(ISNUMBER(I1901),I1901,TasaUSD))</f>
        <v/>
      </c>
      <c r="S1901" s="53">
        <f>IF(P1901="","",IF(H1901="USD",G1901*R1901,G1901))</f>
        <v/>
      </c>
      <c r="T1901" s="53">
        <f>IF(P1901="","",IF(H1901="USD",G1901,IF(R1901&gt;0,G1901/R1901,0)))</f>
        <v/>
      </c>
      <c r="U1901" s="53">
        <f>IF(P1901="","",IF(P1901="Gasto",S1901,IF(P1901="Reembolso",-S1901,0)))</f>
        <v/>
      </c>
      <c r="V1901" s="53">
        <f>IF(P1901="","",IF(P1901="Ingreso",S1901,0))</f>
        <v/>
      </c>
      <c r="W1901" s="53">
        <f>IF(P1901="","",IF(P1901="Resultado trading",S1901,0))</f>
        <v/>
      </c>
      <c r="X1901" s="52">
        <f>IF(OR(P1901="Gasto",P1901="Reembolso"),IF(M1901&lt;&gt;"",M1901,IFERROR(INDEX(catClasif,MATCH(D1901&amp;"|"&amp;E1901,catClave,0))&amp;"","Variable")),"")</f>
        <v/>
      </c>
      <c r="Y1901" s="52">
        <f>IF(P1901="","",IFERROR(INDEX(catGrupo,MATCH(D1901&amp;"|"&amp;E1901,catClave,0))&amp;"",""))</f>
        <v/>
      </c>
      <c r="Z1901" s="52">
        <f>IF(P1901="","",WEEKDAY(B1901,2))</f>
        <v/>
      </c>
      <c r="AA1901" s="52">
        <f>IF(P1901="","",IF(AND(P1901="Gasto",X1901="Variable",D1901&lt;&gt;catTrading,S1901&gt;0,S1901&lt;=Umbral),1,0))</f>
        <v/>
      </c>
      <c r="AB1901" s="52">
        <f>IF(OR(P1901="",Q1901=""),"",IFERROR(IF(INDEX(ctaVinc,MATCH(Q1901,ctaNombre,0))&amp;""&lt;&gt;"",INDEX(ctaVinc,MATCH(Q1901,ctaNombre,0))&amp;"",Q1901),Q1901))</f>
        <v/>
      </c>
      <c r="AC1901" s="52">
        <f>IF(OR(K1901="",AND(P1901&lt;&gt;"Transferencia",P1901&lt;&gt;"Pago tarjeta")),"",IFERROR(IF(INDEX(ctaVinc,MATCH(K1901,ctaNombre,0))&amp;""&lt;&gt;"",INDEX(ctaVinc,MATCH(K1901,ctaNombre,0))&amp;"",K1901),K1901))</f>
        <v/>
      </c>
      <c r="AD1901" s="52">
        <f>IF(AB1901="","",IFERROR(INDEX(ctaTipo,MATCH(AB1901,ctaNombre,0))&amp;"",""))</f>
        <v/>
      </c>
      <c r="AE1901" s="52">
        <f>IF(AC1901="","",IFERROR(INDEX(ctaTipo,MATCH(AC1901,ctaNombre,0))&amp;"",""))</f>
        <v/>
      </c>
      <c r="AF1901" s="53">
        <f>IF(OR(P1901="",AB1901=""),"",IF(OR(P1901="Gasto",P1901="Transferencia",P1901="Pago tarjeta"),-1,1)*IF(IFERROR(INDEX(ctaMoneda,MATCH(AB1901,ctaNombre,0))&amp;"","DOP")="USD",T1901,S1901))</f>
        <v/>
      </c>
      <c r="AG1901" s="53">
        <f>IF(AC1901="","",IF(IFERROR(INDEX(ctaMoneda,MATCH(AC1901,ctaNombre,0))&amp;"","DOP")="USD",T1901,S1901))</f>
        <v/>
      </c>
      <c r="AH1901" s="53">
        <f>IF(P1901="","",IF(AND(AD1901&lt;&gt;"",COUNTIFS(tcTipo,AD1901,tcLiq,"Sí")&gt;0),IF(OR(P1901="Gasto",P1901="Transferencia",P1901="Pago tarjeta"),-1,1)*S1901,0)+IF(AND(AE1901&lt;&gt;"",COUNTIFS(tcTipo,AE1901,tcLiq,"Sí")&gt;0),S1901,0))</f>
        <v/>
      </c>
      <c r="AI1901" s="52">
        <f>IF(OR(L1901="",P1901=""),"",IF(COUNTIFS(L$6:L1901,L1901,P$6:P1901,"?*")=1,MAX(AI$5:AI1900)+1,""))</f>
        <v/>
      </c>
    </row>
    <row r="1902">
      <c r="B1902" s="47" t="n"/>
      <c r="C1902" s="48" t="n"/>
      <c r="D1902" s="48" t="n"/>
      <c r="E1902" s="48" t="n"/>
      <c r="F1902" s="48" t="n"/>
      <c r="G1902" s="49" t="n"/>
      <c r="H1902" s="48" t="n"/>
      <c r="I1902" s="50" t="n"/>
      <c r="J1902" s="48" t="n"/>
      <c r="K1902" s="48" t="n"/>
      <c r="L1902" s="48" t="n"/>
      <c r="M1902" s="48" t="n"/>
      <c r="N1902" s="48" t="n"/>
      <c r="O1902" s="51">
        <f>IF(AND(B1902="",G1902="",C1902="",D1902="",J1902=""),"",IF(B1902="","⚠ Falta fecha",IF(G1902="","⚠ Falta monto",IF(Q1902="","⚠ Falta cuenta",IF(ISNA(MATCH(Q1902,ctaNombre,0)),"⚠ Cuenta no registrada",IF(AND(OR(P1902="Gasto",P1902="Reembolso"),D1902=""),"⚠ Falta categoría",IF(AND(D1902&lt;&gt;"",E1902&lt;&gt;"",ISNA(MATCH(D1902&amp;"|"&amp;E1902,catClave,0))),"⚠ Subcategoría no corresponde",IF(AND(OR(P1902="Transferencia",P1902="Pago tarjeta"),K1902=""),"⚠ Falta cuenta destino",IF(AND(K1902&lt;&gt;"",P1902&lt;&gt;"Transferencia",P1902&lt;&gt;"Pago tarjeta"),"⚠ Destino solo aplica a transferencias",IF(AND(K1902&lt;&gt;"",K1902=Q1902),"⚠ Origen igual a destino",IF(AND(K1902&lt;&gt;"",ISNA(MATCH(K1902,ctaNombre,0))),"⚠ Destino no registrado",IF(AND(P1902="Pago tarjeta",AE1902&lt;&gt;"Tarjeta de crédito"),"⚠ El destino debe ser tarjeta de crédito",IF(AND(P1902="Gasto",E1902="Depósitos y retiros"),"⚠ Usa tipo Transferencia",IF(AND(P1902="Resultado trading",AD1902&lt;&gt;"Cuenta de trading"),"⚠ Usa una cuenta de trading",IF(AND(G1902&lt;=0,P1902&lt;&gt;"Ajuste",P1902&lt;&gt;"Resultado trading"),"⚠ El monto debe ser positivo","✓")))))))))))))))</f>
        <v/>
      </c>
      <c r="P1902" s="52">
        <f>IF(OR(B1902="",G1902=""),"",IF(C1902="","Gasto",C1902))</f>
        <v/>
      </c>
      <c r="Q1902" s="52">
        <f>IF(P1902="","",IF(J1902&lt;&gt;"",J1902,CuentaPred&amp;""))</f>
        <v/>
      </c>
      <c r="R1902" s="52">
        <f>IF(P1902="","",IF(ISNUMBER(I1902),I1902,TasaUSD))</f>
        <v/>
      </c>
      <c r="S1902" s="53">
        <f>IF(P1902="","",IF(H1902="USD",G1902*R1902,G1902))</f>
        <v/>
      </c>
      <c r="T1902" s="53">
        <f>IF(P1902="","",IF(H1902="USD",G1902,IF(R1902&gt;0,G1902/R1902,0)))</f>
        <v/>
      </c>
      <c r="U1902" s="53">
        <f>IF(P1902="","",IF(P1902="Gasto",S1902,IF(P1902="Reembolso",-S1902,0)))</f>
        <v/>
      </c>
      <c r="V1902" s="53">
        <f>IF(P1902="","",IF(P1902="Ingreso",S1902,0))</f>
        <v/>
      </c>
      <c r="W1902" s="53">
        <f>IF(P1902="","",IF(P1902="Resultado trading",S1902,0))</f>
        <v/>
      </c>
      <c r="X1902" s="52">
        <f>IF(OR(P1902="Gasto",P1902="Reembolso"),IF(M1902&lt;&gt;"",M1902,IFERROR(INDEX(catClasif,MATCH(D1902&amp;"|"&amp;E1902,catClave,0))&amp;"","Variable")),"")</f>
        <v/>
      </c>
      <c r="Y1902" s="52">
        <f>IF(P1902="","",IFERROR(INDEX(catGrupo,MATCH(D1902&amp;"|"&amp;E1902,catClave,0))&amp;"",""))</f>
        <v/>
      </c>
      <c r="Z1902" s="52">
        <f>IF(P1902="","",WEEKDAY(B1902,2))</f>
        <v/>
      </c>
      <c r="AA1902" s="52">
        <f>IF(P1902="","",IF(AND(P1902="Gasto",X1902="Variable",D1902&lt;&gt;catTrading,S1902&gt;0,S1902&lt;=Umbral),1,0))</f>
        <v/>
      </c>
      <c r="AB1902" s="52">
        <f>IF(OR(P1902="",Q1902=""),"",IFERROR(IF(INDEX(ctaVinc,MATCH(Q1902,ctaNombre,0))&amp;""&lt;&gt;"",INDEX(ctaVinc,MATCH(Q1902,ctaNombre,0))&amp;"",Q1902),Q1902))</f>
        <v/>
      </c>
      <c r="AC1902" s="52">
        <f>IF(OR(K1902="",AND(P1902&lt;&gt;"Transferencia",P1902&lt;&gt;"Pago tarjeta")),"",IFERROR(IF(INDEX(ctaVinc,MATCH(K1902,ctaNombre,0))&amp;""&lt;&gt;"",INDEX(ctaVinc,MATCH(K1902,ctaNombre,0))&amp;"",K1902),K1902))</f>
        <v/>
      </c>
      <c r="AD1902" s="52">
        <f>IF(AB1902="","",IFERROR(INDEX(ctaTipo,MATCH(AB1902,ctaNombre,0))&amp;"",""))</f>
        <v/>
      </c>
      <c r="AE1902" s="52">
        <f>IF(AC1902="","",IFERROR(INDEX(ctaTipo,MATCH(AC1902,ctaNombre,0))&amp;"",""))</f>
        <v/>
      </c>
      <c r="AF1902" s="53">
        <f>IF(OR(P1902="",AB1902=""),"",IF(OR(P1902="Gasto",P1902="Transferencia",P1902="Pago tarjeta"),-1,1)*IF(IFERROR(INDEX(ctaMoneda,MATCH(AB1902,ctaNombre,0))&amp;"","DOP")="USD",T1902,S1902))</f>
        <v/>
      </c>
      <c r="AG1902" s="53">
        <f>IF(AC1902="","",IF(IFERROR(INDEX(ctaMoneda,MATCH(AC1902,ctaNombre,0))&amp;"","DOP")="USD",T1902,S1902))</f>
        <v/>
      </c>
      <c r="AH1902" s="53">
        <f>IF(P1902="","",IF(AND(AD1902&lt;&gt;"",COUNTIFS(tcTipo,AD1902,tcLiq,"Sí")&gt;0),IF(OR(P1902="Gasto",P1902="Transferencia",P1902="Pago tarjeta"),-1,1)*S1902,0)+IF(AND(AE1902&lt;&gt;"",COUNTIFS(tcTipo,AE1902,tcLiq,"Sí")&gt;0),S1902,0))</f>
        <v/>
      </c>
      <c r="AI1902" s="52">
        <f>IF(OR(L1902="",P1902=""),"",IF(COUNTIFS(L$6:L1902,L1902,P$6:P1902,"?*")=1,MAX(AI$5:AI1901)+1,""))</f>
        <v/>
      </c>
    </row>
    <row r="1903">
      <c r="B1903" s="47" t="n"/>
      <c r="C1903" s="48" t="n"/>
      <c r="D1903" s="48" t="n"/>
      <c r="E1903" s="48" t="n"/>
      <c r="F1903" s="48" t="n"/>
      <c r="G1903" s="49" t="n"/>
      <c r="H1903" s="48" t="n"/>
      <c r="I1903" s="50" t="n"/>
      <c r="J1903" s="48" t="n"/>
      <c r="K1903" s="48" t="n"/>
      <c r="L1903" s="48" t="n"/>
      <c r="M1903" s="48" t="n"/>
      <c r="N1903" s="48" t="n"/>
      <c r="O1903" s="51">
        <f>IF(AND(B1903="",G1903="",C1903="",D1903="",J1903=""),"",IF(B1903="","⚠ Falta fecha",IF(G1903="","⚠ Falta monto",IF(Q1903="","⚠ Falta cuenta",IF(ISNA(MATCH(Q1903,ctaNombre,0)),"⚠ Cuenta no registrada",IF(AND(OR(P1903="Gasto",P1903="Reembolso"),D1903=""),"⚠ Falta categoría",IF(AND(D1903&lt;&gt;"",E1903&lt;&gt;"",ISNA(MATCH(D1903&amp;"|"&amp;E1903,catClave,0))),"⚠ Subcategoría no corresponde",IF(AND(OR(P1903="Transferencia",P1903="Pago tarjeta"),K1903=""),"⚠ Falta cuenta destino",IF(AND(K1903&lt;&gt;"",P1903&lt;&gt;"Transferencia",P1903&lt;&gt;"Pago tarjeta"),"⚠ Destino solo aplica a transferencias",IF(AND(K1903&lt;&gt;"",K1903=Q1903),"⚠ Origen igual a destino",IF(AND(K1903&lt;&gt;"",ISNA(MATCH(K1903,ctaNombre,0))),"⚠ Destino no registrado",IF(AND(P1903="Pago tarjeta",AE1903&lt;&gt;"Tarjeta de crédito"),"⚠ El destino debe ser tarjeta de crédito",IF(AND(P1903="Gasto",E1903="Depósitos y retiros"),"⚠ Usa tipo Transferencia",IF(AND(P1903="Resultado trading",AD1903&lt;&gt;"Cuenta de trading"),"⚠ Usa una cuenta de trading",IF(AND(G1903&lt;=0,P1903&lt;&gt;"Ajuste",P1903&lt;&gt;"Resultado trading"),"⚠ El monto debe ser positivo","✓")))))))))))))))</f>
        <v/>
      </c>
      <c r="P1903" s="52">
        <f>IF(OR(B1903="",G1903=""),"",IF(C1903="","Gasto",C1903))</f>
        <v/>
      </c>
      <c r="Q1903" s="52">
        <f>IF(P1903="","",IF(J1903&lt;&gt;"",J1903,CuentaPred&amp;""))</f>
        <v/>
      </c>
      <c r="R1903" s="52">
        <f>IF(P1903="","",IF(ISNUMBER(I1903),I1903,TasaUSD))</f>
        <v/>
      </c>
      <c r="S1903" s="53">
        <f>IF(P1903="","",IF(H1903="USD",G1903*R1903,G1903))</f>
        <v/>
      </c>
      <c r="T1903" s="53">
        <f>IF(P1903="","",IF(H1903="USD",G1903,IF(R1903&gt;0,G1903/R1903,0)))</f>
        <v/>
      </c>
      <c r="U1903" s="53">
        <f>IF(P1903="","",IF(P1903="Gasto",S1903,IF(P1903="Reembolso",-S1903,0)))</f>
        <v/>
      </c>
      <c r="V1903" s="53">
        <f>IF(P1903="","",IF(P1903="Ingreso",S1903,0))</f>
        <v/>
      </c>
      <c r="W1903" s="53">
        <f>IF(P1903="","",IF(P1903="Resultado trading",S1903,0))</f>
        <v/>
      </c>
      <c r="X1903" s="52">
        <f>IF(OR(P1903="Gasto",P1903="Reembolso"),IF(M1903&lt;&gt;"",M1903,IFERROR(INDEX(catClasif,MATCH(D1903&amp;"|"&amp;E1903,catClave,0))&amp;"","Variable")),"")</f>
        <v/>
      </c>
      <c r="Y1903" s="52">
        <f>IF(P1903="","",IFERROR(INDEX(catGrupo,MATCH(D1903&amp;"|"&amp;E1903,catClave,0))&amp;"",""))</f>
        <v/>
      </c>
      <c r="Z1903" s="52">
        <f>IF(P1903="","",WEEKDAY(B1903,2))</f>
        <v/>
      </c>
      <c r="AA1903" s="52">
        <f>IF(P1903="","",IF(AND(P1903="Gasto",X1903="Variable",D1903&lt;&gt;catTrading,S1903&gt;0,S1903&lt;=Umbral),1,0))</f>
        <v/>
      </c>
      <c r="AB1903" s="52">
        <f>IF(OR(P1903="",Q1903=""),"",IFERROR(IF(INDEX(ctaVinc,MATCH(Q1903,ctaNombre,0))&amp;""&lt;&gt;"",INDEX(ctaVinc,MATCH(Q1903,ctaNombre,0))&amp;"",Q1903),Q1903))</f>
        <v/>
      </c>
      <c r="AC1903" s="52">
        <f>IF(OR(K1903="",AND(P1903&lt;&gt;"Transferencia",P1903&lt;&gt;"Pago tarjeta")),"",IFERROR(IF(INDEX(ctaVinc,MATCH(K1903,ctaNombre,0))&amp;""&lt;&gt;"",INDEX(ctaVinc,MATCH(K1903,ctaNombre,0))&amp;"",K1903),K1903))</f>
        <v/>
      </c>
      <c r="AD1903" s="52">
        <f>IF(AB1903="","",IFERROR(INDEX(ctaTipo,MATCH(AB1903,ctaNombre,0))&amp;"",""))</f>
        <v/>
      </c>
      <c r="AE1903" s="52">
        <f>IF(AC1903="","",IFERROR(INDEX(ctaTipo,MATCH(AC1903,ctaNombre,0))&amp;"",""))</f>
        <v/>
      </c>
      <c r="AF1903" s="53">
        <f>IF(OR(P1903="",AB1903=""),"",IF(OR(P1903="Gasto",P1903="Transferencia",P1903="Pago tarjeta"),-1,1)*IF(IFERROR(INDEX(ctaMoneda,MATCH(AB1903,ctaNombre,0))&amp;"","DOP")="USD",T1903,S1903))</f>
        <v/>
      </c>
      <c r="AG1903" s="53">
        <f>IF(AC1903="","",IF(IFERROR(INDEX(ctaMoneda,MATCH(AC1903,ctaNombre,0))&amp;"","DOP")="USD",T1903,S1903))</f>
        <v/>
      </c>
      <c r="AH1903" s="53">
        <f>IF(P1903="","",IF(AND(AD1903&lt;&gt;"",COUNTIFS(tcTipo,AD1903,tcLiq,"Sí")&gt;0),IF(OR(P1903="Gasto",P1903="Transferencia",P1903="Pago tarjeta"),-1,1)*S1903,0)+IF(AND(AE1903&lt;&gt;"",COUNTIFS(tcTipo,AE1903,tcLiq,"Sí")&gt;0),S1903,0))</f>
        <v/>
      </c>
      <c r="AI1903" s="52">
        <f>IF(OR(L1903="",P1903=""),"",IF(COUNTIFS(L$6:L1903,L1903,P$6:P1903,"?*")=1,MAX(AI$5:AI1902)+1,""))</f>
        <v/>
      </c>
    </row>
    <row r="1904">
      <c r="B1904" s="47" t="n"/>
      <c r="C1904" s="48" t="n"/>
      <c r="D1904" s="48" t="n"/>
      <c r="E1904" s="48" t="n"/>
      <c r="F1904" s="48" t="n"/>
      <c r="G1904" s="49" t="n"/>
      <c r="H1904" s="48" t="n"/>
      <c r="I1904" s="50" t="n"/>
      <c r="J1904" s="48" t="n"/>
      <c r="K1904" s="48" t="n"/>
      <c r="L1904" s="48" t="n"/>
      <c r="M1904" s="48" t="n"/>
      <c r="N1904" s="48" t="n"/>
      <c r="O1904" s="51">
        <f>IF(AND(B1904="",G1904="",C1904="",D1904="",J1904=""),"",IF(B1904="","⚠ Falta fecha",IF(G1904="","⚠ Falta monto",IF(Q1904="","⚠ Falta cuenta",IF(ISNA(MATCH(Q1904,ctaNombre,0)),"⚠ Cuenta no registrada",IF(AND(OR(P1904="Gasto",P1904="Reembolso"),D1904=""),"⚠ Falta categoría",IF(AND(D1904&lt;&gt;"",E1904&lt;&gt;"",ISNA(MATCH(D1904&amp;"|"&amp;E1904,catClave,0))),"⚠ Subcategoría no corresponde",IF(AND(OR(P1904="Transferencia",P1904="Pago tarjeta"),K1904=""),"⚠ Falta cuenta destino",IF(AND(K1904&lt;&gt;"",P1904&lt;&gt;"Transferencia",P1904&lt;&gt;"Pago tarjeta"),"⚠ Destino solo aplica a transferencias",IF(AND(K1904&lt;&gt;"",K1904=Q1904),"⚠ Origen igual a destino",IF(AND(K1904&lt;&gt;"",ISNA(MATCH(K1904,ctaNombre,0))),"⚠ Destino no registrado",IF(AND(P1904="Pago tarjeta",AE1904&lt;&gt;"Tarjeta de crédito"),"⚠ El destino debe ser tarjeta de crédito",IF(AND(P1904="Gasto",E1904="Depósitos y retiros"),"⚠ Usa tipo Transferencia",IF(AND(P1904="Resultado trading",AD1904&lt;&gt;"Cuenta de trading"),"⚠ Usa una cuenta de trading",IF(AND(G1904&lt;=0,P1904&lt;&gt;"Ajuste",P1904&lt;&gt;"Resultado trading"),"⚠ El monto debe ser positivo","✓")))))))))))))))</f>
        <v/>
      </c>
      <c r="P1904" s="52">
        <f>IF(OR(B1904="",G1904=""),"",IF(C1904="","Gasto",C1904))</f>
        <v/>
      </c>
      <c r="Q1904" s="52">
        <f>IF(P1904="","",IF(J1904&lt;&gt;"",J1904,CuentaPred&amp;""))</f>
        <v/>
      </c>
      <c r="R1904" s="52">
        <f>IF(P1904="","",IF(ISNUMBER(I1904),I1904,TasaUSD))</f>
        <v/>
      </c>
      <c r="S1904" s="53">
        <f>IF(P1904="","",IF(H1904="USD",G1904*R1904,G1904))</f>
        <v/>
      </c>
      <c r="T1904" s="53">
        <f>IF(P1904="","",IF(H1904="USD",G1904,IF(R1904&gt;0,G1904/R1904,0)))</f>
        <v/>
      </c>
      <c r="U1904" s="53">
        <f>IF(P1904="","",IF(P1904="Gasto",S1904,IF(P1904="Reembolso",-S1904,0)))</f>
        <v/>
      </c>
      <c r="V1904" s="53">
        <f>IF(P1904="","",IF(P1904="Ingreso",S1904,0))</f>
        <v/>
      </c>
      <c r="W1904" s="53">
        <f>IF(P1904="","",IF(P1904="Resultado trading",S1904,0))</f>
        <v/>
      </c>
      <c r="X1904" s="52">
        <f>IF(OR(P1904="Gasto",P1904="Reembolso"),IF(M1904&lt;&gt;"",M1904,IFERROR(INDEX(catClasif,MATCH(D1904&amp;"|"&amp;E1904,catClave,0))&amp;"","Variable")),"")</f>
        <v/>
      </c>
      <c r="Y1904" s="52">
        <f>IF(P1904="","",IFERROR(INDEX(catGrupo,MATCH(D1904&amp;"|"&amp;E1904,catClave,0))&amp;"",""))</f>
        <v/>
      </c>
      <c r="Z1904" s="52">
        <f>IF(P1904="","",WEEKDAY(B1904,2))</f>
        <v/>
      </c>
      <c r="AA1904" s="52">
        <f>IF(P1904="","",IF(AND(P1904="Gasto",X1904="Variable",D1904&lt;&gt;catTrading,S1904&gt;0,S1904&lt;=Umbral),1,0))</f>
        <v/>
      </c>
      <c r="AB1904" s="52">
        <f>IF(OR(P1904="",Q1904=""),"",IFERROR(IF(INDEX(ctaVinc,MATCH(Q1904,ctaNombre,0))&amp;""&lt;&gt;"",INDEX(ctaVinc,MATCH(Q1904,ctaNombre,0))&amp;"",Q1904),Q1904))</f>
        <v/>
      </c>
      <c r="AC1904" s="52">
        <f>IF(OR(K1904="",AND(P1904&lt;&gt;"Transferencia",P1904&lt;&gt;"Pago tarjeta")),"",IFERROR(IF(INDEX(ctaVinc,MATCH(K1904,ctaNombre,0))&amp;""&lt;&gt;"",INDEX(ctaVinc,MATCH(K1904,ctaNombre,0))&amp;"",K1904),K1904))</f>
        <v/>
      </c>
      <c r="AD1904" s="52">
        <f>IF(AB1904="","",IFERROR(INDEX(ctaTipo,MATCH(AB1904,ctaNombre,0))&amp;"",""))</f>
        <v/>
      </c>
      <c r="AE1904" s="52">
        <f>IF(AC1904="","",IFERROR(INDEX(ctaTipo,MATCH(AC1904,ctaNombre,0))&amp;"",""))</f>
        <v/>
      </c>
      <c r="AF1904" s="53">
        <f>IF(OR(P1904="",AB1904=""),"",IF(OR(P1904="Gasto",P1904="Transferencia",P1904="Pago tarjeta"),-1,1)*IF(IFERROR(INDEX(ctaMoneda,MATCH(AB1904,ctaNombre,0))&amp;"","DOP")="USD",T1904,S1904))</f>
        <v/>
      </c>
      <c r="AG1904" s="53">
        <f>IF(AC1904="","",IF(IFERROR(INDEX(ctaMoneda,MATCH(AC1904,ctaNombre,0))&amp;"","DOP")="USD",T1904,S1904))</f>
        <v/>
      </c>
      <c r="AH1904" s="53">
        <f>IF(P1904="","",IF(AND(AD1904&lt;&gt;"",COUNTIFS(tcTipo,AD1904,tcLiq,"Sí")&gt;0),IF(OR(P1904="Gasto",P1904="Transferencia",P1904="Pago tarjeta"),-1,1)*S1904,0)+IF(AND(AE1904&lt;&gt;"",COUNTIFS(tcTipo,AE1904,tcLiq,"Sí")&gt;0),S1904,0))</f>
        <v/>
      </c>
      <c r="AI1904" s="52">
        <f>IF(OR(L1904="",P1904=""),"",IF(COUNTIFS(L$6:L1904,L1904,P$6:P1904,"?*")=1,MAX(AI$5:AI1903)+1,""))</f>
        <v/>
      </c>
    </row>
    <row r="1905">
      <c r="B1905" s="47" t="n"/>
      <c r="C1905" s="48" t="n"/>
      <c r="D1905" s="48" t="n"/>
      <c r="E1905" s="48" t="n"/>
      <c r="F1905" s="48" t="n"/>
      <c r="G1905" s="49" t="n"/>
      <c r="H1905" s="48" t="n"/>
      <c r="I1905" s="50" t="n"/>
      <c r="J1905" s="48" t="n"/>
      <c r="K1905" s="48" t="n"/>
      <c r="L1905" s="48" t="n"/>
      <c r="M1905" s="48" t="n"/>
      <c r="N1905" s="48" t="n"/>
      <c r="O1905" s="51">
        <f>IF(AND(B1905="",G1905="",C1905="",D1905="",J1905=""),"",IF(B1905="","⚠ Falta fecha",IF(G1905="","⚠ Falta monto",IF(Q1905="","⚠ Falta cuenta",IF(ISNA(MATCH(Q1905,ctaNombre,0)),"⚠ Cuenta no registrada",IF(AND(OR(P1905="Gasto",P1905="Reembolso"),D1905=""),"⚠ Falta categoría",IF(AND(D1905&lt;&gt;"",E1905&lt;&gt;"",ISNA(MATCH(D1905&amp;"|"&amp;E1905,catClave,0))),"⚠ Subcategoría no corresponde",IF(AND(OR(P1905="Transferencia",P1905="Pago tarjeta"),K1905=""),"⚠ Falta cuenta destino",IF(AND(K1905&lt;&gt;"",P1905&lt;&gt;"Transferencia",P1905&lt;&gt;"Pago tarjeta"),"⚠ Destino solo aplica a transferencias",IF(AND(K1905&lt;&gt;"",K1905=Q1905),"⚠ Origen igual a destino",IF(AND(K1905&lt;&gt;"",ISNA(MATCH(K1905,ctaNombre,0))),"⚠ Destino no registrado",IF(AND(P1905="Pago tarjeta",AE1905&lt;&gt;"Tarjeta de crédito"),"⚠ El destino debe ser tarjeta de crédito",IF(AND(P1905="Gasto",E1905="Depósitos y retiros"),"⚠ Usa tipo Transferencia",IF(AND(P1905="Resultado trading",AD1905&lt;&gt;"Cuenta de trading"),"⚠ Usa una cuenta de trading",IF(AND(G1905&lt;=0,P1905&lt;&gt;"Ajuste",P1905&lt;&gt;"Resultado trading"),"⚠ El monto debe ser positivo","✓")))))))))))))))</f>
        <v/>
      </c>
      <c r="P1905" s="52">
        <f>IF(OR(B1905="",G1905=""),"",IF(C1905="","Gasto",C1905))</f>
        <v/>
      </c>
      <c r="Q1905" s="52">
        <f>IF(P1905="","",IF(J1905&lt;&gt;"",J1905,CuentaPred&amp;""))</f>
        <v/>
      </c>
      <c r="R1905" s="52">
        <f>IF(P1905="","",IF(ISNUMBER(I1905),I1905,TasaUSD))</f>
        <v/>
      </c>
      <c r="S1905" s="53">
        <f>IF(P1905="","",IF(H1905="USD",G1905*R1905,G1905))</f>
        <v/>
      </c>
      <c r="T1905" s="53">
        <f>IF(P1905="","",IF(H1905="USD",G1905,IF(R1905&gt;0,G1905/R1905,0)))</f>
        <v/>
      </c>
      <c r="U1905" s="53">
        <f>IF(P1905="","",IF(P1905="Gasto",S1905,IF(P1905="Reembolso",-S1905,0)))</f>
        <v/>
      </c>
      <c r="V1905" s="53">
        <f>IF(P1905="","",IF(P1905="Ingreso",S1905,0))</f>
        <v/>
      </c>
      <c r="W1905" s="53">
        <f>IF(P1905="","",IF(P1905="Resultado trading",S1905,0))</f>
        <v/>
      </c>
      <c r="X1905" s="52">
        <f>IF(OR(P1905="Gasto",P1905="Reembolso"),IF(M1905&lt;&gt;"",M1905,IFERROR(INDEX(catClasif,MATCH(D1905&amp;"|"&amp;E1905,catClave,0))&amp;"","Variable")),"")</f>
        <v/>
      </c>
      <c r="Y1905" s="52">
        <f>IF(P1905="","",IFERROR(INDEX(catGrupo,MATCH(D1905&amp;"|"&amp;E1905,catClave,0))&amp;"",""))</f>
        <v/>
      </c>
      <c r="Z1905" s="52">
        <f>IF(P1905="","",WEEKDAY(B1905,2))</f>
        <v/>
      </c>
      <c r="AA1905" s="52">
        <f>IF(P1905="","",IF(AND(P1905="Gasto",X1905="Variable",D1905&lt;&gt;catTrading,S1905&gt;0,S1905&lt;=Umbral),1,0))</f>
        <v/>
      </c>
      <c r="AB1905" s="52">
        <f>IF(OR(P1905="",Q1905=""),"",IFERROR(IF(INDEX(ctaVinc,MATCH(Q1905,ctaNombre,0))&amp;""&lt;&gt;"",INDEX(ctaVinc,MATCH(Q1905,ctaNombre,0))&amp;"",Q1905),Q1905))</f>
        <v/>
      </c>
      <c r="AC1905" s="52">
        <f>IF(OR(K1905="",AND(P1905&lt;&gt;"Transferencia",P1905&lt;&gt;"Pago tarjeta")),"",IFERROR(IF(INDEX(ctaVinc,MATCH(K1905,ctaNombre,0))&amp;""&lt;&gt;"",INDEX(ctaVinc,MATCH(K1905,ctaNombre,0))&amp;"",K1905),K1905))</f>
        <v/>
      </c>
      <c r="AD1905" s="52">
        <f>IF(AB1905="","",IFERROR(INDEX(ctaTipo,MATCH(AB1905,ctaNombre,0))&amp;"",""))</f>
        <v/>
      </c>
      <c r="AE1905" s="52">
        <f>IF(AC1905="","",IFERROR(INDEX(ctaTipo,MATCH(AC1905,ctaNombre,0))&amp;"",""))</f>
        <v/>
      </c>
      <c r="AF1905" s="53">
        <f>IF(OR(P1905="",AB1905=""),"",IF(OR(P1905="Gasto",P1905="Transferencia",P1905="Pago tarjeta"),-1,1)*IF(IFERROR(INDEX(ctaMoneda,MATCH(AB1905,ctaNombre,0))&amp;"","DOP")="USD",T1905,S1905))</f>
        <v/>
      </c>
      <c r="AG1905" s="53">
        <f>IF(AC1905="","",IF(IFERROR(INDEX(ctaMoneda,MATCH(AC1905,ctaNombre,0))&amp;"","DOP")="USD",T1905,S1905))</f>
        <v/>
      </c>
      <c r="AH1905" s="53">
        <f>IF(P1905="","",IF(AND(AD1905&lt;&gt;"",COUNTIFS(tcTipo,AD1905,tcLiq,"Sí")&gt;0),IF(OR(P1905="Gasto",P1905="Transferencia",P1905="Pago tarjeta"),-1,1)*S1905,0)+IF(AND(AE1905&lt;&gt;"",COUNTIFS(tcTipo,AE1905,tcLiq,"Sí")&gt;0),S1905,0))</f>
        <v/>
      </c>
      <c r="AI1905" s="52">
        <f>IF(OR(L1905="",P1905=""),"",IF(COUNTIFS(L$6:L1905,L1905,P$6:P1905,"?*")=1,MAX(AI$5:AI1904)+1,""))</f>
        <v/>
      </c>
    </row>
    <row r="1906">
      <c r="B1906" s="47" t="n"/>
      <c r="C1906" s="48" t="n"/>
      <c r="D1906" s="48" t="n"/>
      <c r="E1906" s="48" t="n"/>
      <c r="F1906" s="48" t="n"/>
      <c r="G1906" s="49" t="n"/>
      <c r="H1906" s="48" t="n"/>
      <c r="I1906" s="50" t="n"/>
      <c r="J1906" s="48" t="n"/>
      <c r="K1906" s="48" t="n"/>
      <c r="L1906" s="48" t="n"/>
      <c r="M1906" s="48" t="n"/>
      <c r="N1906" s="48" t="n"/>
      <c r="O1906" s="51">
        <f>IF(AND(B1906="",G1906="",C1906="",D1906="",J1906=""),"",IF(B1906="","⚠ Falta fecha",IF(G1906="","⚠ Falta monto",IF(Q1906="","⚠ Falta cuenta",IF(ISNA(MATCH(Q1906,ctaNombre,0)),"⚠ Cuenta no registrada",IF(AND(OR(P1906="Gasto",P1906="Reembolso"),D1906=""),"⚠ Falta categoría",IF(AND(D1906&lt;&gt;"",E1906&lt;&gt;"",ISNA(MATCH(D1906&amp;"|"&amp;E1906,catClave,0))),"⚠ Subcategoría no corresponde",IF(AND(OR(P1906="Transferencia",P1906="Pago tarjeta"),K1906=""),"⚠ Falta cuenta destino",IF(AND(K1906&lt;&gt;"",P1906&lt;&gt;"Transferencia",P1906&lt;&gt;"Pago tarjeta"),"⚠ Destino solo aplica a transferencias",IF(AND(K1906&lt;&gt;"",K1906=Q1906),"⚠ Origen igual a destino",IF(AND(K1906&lt;&gt;"",ISNA(MATCH(K1906,ctaNombre,0))),"⚠ Destino no registrado",IF(AND(P1906="Pago tarjeta",AE1906&lt;&gt;"Tarjeta de crédito"),"⚠ El destino debe ser tarjeta de crédito",IF(AND(P1906="Gasto",E1906="Depósitos y retiros"),"⚠ Usa tipo Transferencia",IF(AND(P1906="Resultado trading",AD1906&lt;&gt;"Cuenta de trading"),"⚠ Usa una cuenta de trading",IF(AND(G1906&lt;=0,P1906&lt;&gt;"Ajuste",P1906&lt;&gt;"Resultado trading"),"⚠ El monto debe ser positivo","✓")))))))))))))))</f>
        <v/>
      </c>
      <c r="P1906" s="52">
        <f>IF(OR(B1906="",G1906=""),"",IF(C1906="","Gasto",C1906))</f>
        <v/>
      </c>
      <c r="Q1906" s="52">
        <f>IF(P1906="","",IF(J1906&lt;&gt;"",J1906,CuentaPred&amp;""))</f>
        <v/>
      </c>
      <c r="R1906" s="52">
        <f>IF(P1906="","",IF(ISNUMBER(I1906),I1906,TasaUSD))</f>
        <v/>
      </c>
      <c r="S1906" s="53">
        <f>IF(P1906="","",IF(H1906="USD",G1906*R1906,G1906))</f>
        <v/>
      </c>
      <c r="T1906" s="53">
        <f>IF(P1906="","",IF(H1906="USD",G1906,IF(R1906&gt;0,G1906/R1906,0)))</f>
        <v/>
      </c>
      <c r="U1906" s="53">
        <f>IF(P1906="","",IF(P1906="Gasto",S1906,IF(P1906="Reembolso",-S1906,0)))</f>
        <v/>
      </c>
      <c r="V1906" s="53">
        <f>IF(P1906="","",IF(P1906="Ingreso",S1906,0))</f>
        <v/>
      </c>
      <c r="W1906" s="53">
        <f>IF(P1906="","",IF(P1906="Resultado trading",S1906,0))</f>
        <v/>
      </c>
      <c r="X1906" s="52">
        <f>IF(OR(P1906="Gasto",P1906="Reembolso"),IF(M1906&lt;&gt;"",M1906,IFERROR(INDEX(catClasif,MATCH(D1906&amp;"|"&amp;E1906,catClave,0))&amp;"","Variable")),"")</f>
        <v/>
      </c>
      <c r="Y1906" s="52">
        <f>IF(P1906="","",IFERROR(INDEX(catGrupo,MATCH(D1906&amp;"|"&amp;E1906,catClave,0))&amp;"",""))</f>
        <v/>
      </c>
      <c r="Z1906" s="52">
        <f>IF(P1906="","",WEEKDAY(B1906,2))</f>
        <v/>
      </c>
      <c r="AA1906" s="52">
        <f>IF(P1906="","",IF(AND(P1906="Gasto",X1906="Variable",D1906&lt;&gt;catTrading,S1906&gt;0,S1906&lt;=Umbral),1,0))</f>
        <v/>
      </c>
      <c r="AB1906" s="52">
        <f>IF(OR(P1906="",Q1906=""),"",IFERROR(IF(INDEX(ctaVinc,MATCH(Q1906,ctaNombre,0))&amp;""&lt;&gt;"",INDEX(ctaVinc,MATCH(Q1906,ctaNombre,0))&amp;"",Q1906),Q1906))</f>
        <v/>
      </c>
      <c r="AC1906" s="52">
        <f>IF(OR(K1906="",AND(P1906&lt;&gt;"Transferencia",P1906&lt;&gt;"Pago tarjeta")),"",IFERROR(IF(INDEX(ctaVinc,MATCH(K1906,ctaNombre,0))&amp;""&lt;&gt;"",INDEX(ctaVinc,MATCH(K1906,ctaNombre,0))&amp;"",K1906),K1906))</f>
        <v/>
      </c>
      <c r="AD1906" s="52">
        <f>IF(AB1906="","",IFERROR(INDEX(ctaTipo,MATCH(AB1906,ctaNombre,0))&amp;"",""))</f>
        <v/>
      </c>
      <c r="AE1906" s="52">
        <f>IF(AC1906="","",IFERROR(INDEX(ctaTipo,MATCH(AC1906,ctaNombre,0))&amp;"",""))</f>
        <v/>
      </c>
      <c r="AF1906" s="53">
        <f>IF(OR(P1906="",AB1906=""),"",IF(OR(P1906="Gasto",P1906="Transferencia",P1906="Pago tarjeta"),-1,1)*IF(IFERROR(INDEX(ctaMoneda,MATCH(AB1906,ctaNombre,0))&amp;"","DOP")="USD",T1906,S1906))</f>
        <v/>
      </c>
      <c r="AG1906" s="53">
        <f>IF(AC1906="","",IF(IFERROR(INDEX(ctaMoneda,MATCH(AC1906,ctaNombre,0))&amp;"","DOP")="USD",T1906,S1906))</f>
        <v/>
      </c>
      <c r="AH1906" s="53">
        <f>IF(P1906="","",IF(AND(AD1906&lt;&gt;"",COUNTIFS(tcTipo,AD1906,tcLiq,"Sí")&gt;0),IF(OR(P1906="Gasto",P1906="Transferencia",P1906="Pago tarjeta"),-1,1)*S1906,0)+IF(AND(AE1906&lt;&gt;"",COUNTIFS(tcTipo,AE1906,tcLiq,"Sí")&gt;0),S1906,0))</f>
        <v/>
      </c>
      <c r="AI1906" s="52">
        <f>IF(OR(L1906="",P1906=""),"",IF(COUNTIFS(L$6:L1906,L1906,P$6:P1906,"?*")=1,MAX(AI$5:AI1905)+1,""))</f>
        <v/>
      </c>
    </row>
    <row r="1907">
      <c r="B1907" s="47" t="n"/>
      <c r="C1907" s="48" t="n"/>
      <c r="D1907" s="48" t="n"/>
      <c r="E1907" s="48" t="n"/>
      <c r="F1907" s="48" t="n"/>
      <c r="G1907" s="49" t="n"/>
      <c r="H1907" s="48" t="n"/>
      <c r="I1907" s="50" t="n"/>
      <c r="J1907" s="48" t="n"/>
      <c r="K1907" s="48" t="n"/>
      <c r="L1907" s="48" t="n"/>
      <c r="M1907" s="48" t="n"/>
      <c r="N1907" s="48" t="n"/>
      <c r="O1907" s="51">
        <f>IF(AND(B1907="",G1907="",C1907="",D1907="",J1907=""),"",IF(B1907="","⚠ Falta fecha",IF(G1907="","⚠ Falta monto",IF(Q1907="","⚠ Falta cuenta",IF(ISNA(MATCH(Q1907,ctaNombre,0)),"⚠ Cuenta no registrada",IF(AND(OR(P1907="Gasto",P1907="Reembolso"),D1907=""),"⚠ Falta categoría",IF(AND(D1907&lt;&gt;"",E1907&lt;&gt;"",ISNA(MATCH(D1907&amp;"|"&amp;E1907,catClave,0))),"⚠ Subcategoría no corresponde",IF(AND(OR(P1907="Transferencia",P1907="Pago tarjeta"),K1907=""),"⚠ Falta cuenta destino",IF(AND(K1907&lt;&gt;"",P1907&lt;&gt;"Transferencia",P1907&lt;&gt;"Pago tarjeta"),"⚠ Destino solo aplica a transferencias",IF(AND(K1907&lt;&gt;"",K1907=Q1907),"⚠ Origen igual a destino",IF(AND(K1907&lt;&gt;"",ISNA(MATCH(K1907,ctaNombre,0))),"⚠ Destino no registrado",IF(AND(P1907="Pago tarjeta",AE1907&lt;&gt;"Tarjeta de crédito"),"⚠ El destino debe ser tarjeta de crédito",IF(AND(P1907="Gasto",E1907="Depósitos y retiros"),"⚠ Usa tipo Transferencia",IF(AND(P1907="Resultado trading",AD1907&lt;&gt;"Cuenta de trading"),"⚠ Usa una cuenta de trading",IF(AND(G1907&lt;=0,P1907&lt;&gt;"Ajuste",P1907&lt;&gt;"Resultado trading"),"⚠ El monto debe ser positivo","✓")))))))))))))))</f>
        <v/>
      </c>
      <c r="P1907" s="52">
        <f>IF(OR(B1907="",G1907=""),"",IF(C1907="","Gasto",C1907))</f>
        <v/>
      </c>
      <c r="Q1907" s="52">
        <f>IF(P1907="","",IF(J1907&lt;&gt;"",J1907,CuentaPred&amp;""))</f>
        <v/>
      </c>
      <c r="R1907" s="52">
        <f>IF(P1907="","",IF(ISNUMBER(I1907),I1907,TasaUSD))</f>
        <v/>
      </c>
      <c r="S1907" s="53">
        <f>IF(P1907="","",IF(H1907="USD",G1907*R1907,G1907))</f>
        <v/>
      </c>
      <c r="T1907" s="53">
        <f>IF(P1907="","",IF(H1907="USD",G1907,IF(R1907&gt;0,G1907/R1907,0)))</f>
        <v/>
      </c>
      <c r="U1907" s="53">
        <f>IF(P1907="","",IF(P1907="Gasto",S1907,IF(P1907="Reembolso",-S1907,0)))</f>
        <v/>
      </c>
      <c r="V1907" s="53">
        <f>IF(P1907="","",IF(P1907="Ingreso",S1907,0))</f>
        <v/>
      </c>
      <c r="W1907" s="53">
        <f>IF(P1907="","",IF(P1907="Resultado trading",S1907,0))</f>
        <v/>
      </c>
      <c r="X1907" s="52">
        <f>IF(OR(P1907="Gasto",P1907="Reembolso"),IF(M1907&lt;&gt;"",M1907,IFERROR(INDEX(catClasif,MATCH(D1907&amp;"|"&amp;E1907,catClave,0))&amp;"","Variable")),"")</f>
        <v/>
      </c>
      <c r="Y1907" s="52">
        <f>IF(P1907="","",IFERROR(INDEX(catGrupo,MATCH(D1907&amp;"|"&amp;E1907,catClave,0))&amp;"",""))</f>
        <v/>
      </c>
      <c r="Z1907" s="52">
        <f>IF(P1907="","",WEEKDAY(B1907,2))</f>
        <v/>
      </c>
      <c r="AA1907" s="52">
        <f>IF(P1907="","",IF(AND(P1907="Gasto",X1907="Variable",D1907&lt;&gt;catTrading,S1907&gt;0,S1907&lt;=Umbral),1,0))</f>
        <v/>
      </c>
      <c r="AB1907" s="52">
        <f>IF(OR(P1907="",Q1907=""),"",IFERROR(IF(INDEX(ctaVinc,MATCH(Q1907,ctaNombre,0))&amp;""&lt;&gt;"",INDEX(ctaVinc,MATCH(Q1907,ctaNombre,0))&amp;"",Q1907),Q1907))</f>
        <v/>
      </c>
      <c r="AC1907" s="52">
        <f>IF(OR(K1907="",AND(P1907&lt;&gt;"Transferencia",P1907&lt;&gt;"Pago tarjeta")),"",IFERROR(IF(INDEX(ctaVinc,MATCH(K1907,ctaNombre,0))&amp;""&lt;&gt;"",INDEX(ctaVinc,MATCH(K1907,ctaNombre,0))&amp;"",K1907),K1907))</f>
        <v/>
      </c>
      <c r="AD1907" s="52">
        <f>IF(AB1907="","",IFERROR(INDEX(ctaTipo,MATCH(AB1907,ctaNombre,0))&amp;"",""))</f>
        <v/>
      </c>
      <c r="AE1907" s="52">
        <f>IF(AC1907="","",IFERROR(INDEX(ctaTipo,MATCH(AC1907,ctaNombre,0))&amp;"",""))</f>
        <v/>
      </c>
      <c r="AF1907" s="53">
        <f>IF(OR(P1907="",AB1907=""),"",IF(OR(P1907="Gasto",P1907="Transferencia",P1907="Pago tarjeta"),-1,1)*IF(IFERROR(INDEX(ctaMoneda,MATCH(AB1907,ctaNombre,0))&amp;"","DOP")="USD",T1907,S1907))</f>
        <v/>
      </c>
      <c r="AG1907" s="53">
        <f>IF(AC1907="","",IF(IFERROR(INDEX(ctaMoneda,MATCH(AC1907,ctaNombre,0))&amp;"","DOP")="USD",T1907,S1907))</f>
        <v/>
      </c>
      <c r="AH1907" s="53">
        <f>IF(P1907="","",IF(AND(AD1907&lt;&gt;"",COUNTIFS(tcTipo,AD1907,tcLiq,"Sí")&gt;0),IF(OR(P1907="Gasto",P1907="Transferencia",P1907="Pago tarjeta"),-1,1)*S1907,0)+IF(AND(AE1907&lt;&gt;"",COUNTIFS(tcTipo,AE1907,tcLiq,"Sí")&gt;0),S1907,0))</f>
        <v/>
      </c>
      <c r="AI1907" s="52">
        <f>IF(OR(L1907="",P1907=""),"",IF(COUNTIFS(L$6:L1907,L1907,P$6:P1907,"?*")=1,MAX(AI$5:AI1906)+1,""))</f>
        <v/>
      </c>
    </row>
    <row r="1908">
      <c r="B1908" s="47" t="n"/>
      <c r="C1908" s="48" t="n"/>
      <c r="D1908" s="48" t="n"/>
      <c r="E1908" s="48" t="n"/>
      <c r="F1908" s="48" t="n"/>
      <c r="G1908" s="49" t="n"/>
      <c r="H1908" s="48" t="n"/>
      <c r="I1908" s="50" t="n"/>
      <c r="J1908" s="48" t="n"/>
      <c r="K1908" s="48" t="n"/>
      <c r="L1908" s="48" t="n"/>
      <c r="M1908" s="48" t="n"/>
      <c r="N1908" s="48" t="n"/>
      <c r="O1908" s="51">
        <f>IF(AND(B1908="",G1908="",C1908="",D1908="",J1908=""),"",IF(B1908="","⚠ Falta fecha",IF(G1908="","⚠ Falta monto",IF(Q1908="","⚠ Falta cuenta",IF(ISNA(MATCH(Q1908,ctaNombre,0)),"⚠ Cuenta no registrada",IF(AND(OR(P1908="Gasto",P1908="Reembolso"),D1908=""),"⚠ Falta categoría",IF(AND(D1908&lt;&gt;"",E1908&lt;&gt;"",ISNA(MATCH(D1908&amp;"|"&amp;E1908,catClave,0))),"⚠ Subcategoría no corresponde",IF(AND(OR(P1908="Transferencia",P1908="Pago tarjeta"),K1908=""),"⚠ Falta cuenta destino",IF(AND(K1908&lt;&gt;"",P1908&lt;&gt;"Transferencia",P1908&lt;&gt;"Pago tarjeta"),"⚠ Destino solo aplica a transferencias",IF(AND(K1908&lt;&gt;"",K1908=Q1908),"⚠ Origen igual a destino",IF(AND(K1908&lt;&gt;"",ISNA(MATCH(K1908,ctaNombre,0))),"⚠ Destino no registrado",IF(AND(P1908="Pago tarjeta",AE1908&lt;&gt;"Tarjeta de crédito"),"⚠ El destino debe ser tarjeta de crédito",IF(AND(P1908="Gasto",E1908="Depósitos y retiros"),"⚠ Usa tipo Transferencia",IF(AND(P1908="Resultado trading",AD1908&lt;&gt;"Cuenta de trading"),"⚠ Usa una cuenta de trading",IF(AND(G1908&lt;=0,P1908&lt;&gt;"Ajuste",P1908&lt;&gt;"Resultado trading"),"⚠ El monto debe ser positivo","✓")))))))))))))))</f>
        <v/>
      </c>
      <c r="P1908" s="52">
        <f>IF(OR(B1908="",G1908=""),"",IF(C1908="","Gasto",C1908))</f>
        <v/>
      </c>
      <c r="Q1908" s="52">
        <f>IF(P1908="","",IF(J1908&lt;&gt;"",J1908,CuentaPred&amp;""))</f>
        <v/>
      </c>
      <c r="R1908" s="52">
        <f>IF(P1908="","",IF(ISNUMBER(I1908),I1908,TasaUSD))</f>
        <v/>
      </c>
      <c r="S1908" s="53">
        <f>IF(P1908="","",IF(H1908="USD",G1908*R1908,G1908))</f>
        <v/>
      </c>
      <c r="T1908" s="53">
        <f>IF(P1908="","",IF(H1908="USD",G1908,IF(R1908&gt;0,G1908/R1908,0)))</f>
        <v/>
      </c>
      <c r="U1908" s="53">
        <f>IF(P1908="","",IF(P1908="Gasto",S1908,IF(P1908="Reembolso",-S1908,0)))</f>
        <v/>
      </c>
      <c r="V1908" s="53">
        <f>IF(P1908="","",IF(P1908="Ingreso",S1908,0))</f>
        <v/>
      </c>
      <c r="W1908" s="53">
        <f>IF(P1908="","",IF(P1908="Resultado trading",S1908,0))</f>
        <v/>
      </c>
      <c r="X1908" s="52">
        <f>IF(OR(P1908="Gasto",P1908="Reembolso"),IF(M1908&lt;&gt;"",M1908,IFERROR(INDEX(catClasif,MATCH(D1908&amp;"|"&amp;E1908,catClave,0))&amp;"","Variable")),"")</f>
        <v/>
      </c>
      <c r="Y1908" s="52">
        <f>IF(P1908="","",IFERROR(INDEX(catGrupo,MATCH(D1908&amp;"|"&amp;E1908,catClave,0))&amp;"",""))</f>
        <v/>
      </c>
      <c r="Z1908" s="52">
        <f>IF(P1908="","",WEEKDAY(B1908,2))</f>
        <v/>
      </c>
      <c r="AA1908" s="52">
        <f>IF(P1908="","",IF(AND(P1908="Gasto",X1908="Variable",D1908&lt;&gt;catTrading,S1908&gt;0,S1908&lt;=Umbral),1,0))</f>
        <v/>
      </c>
      <c r="AB1908" s="52">
        <f>IF(OR(P1908="",Q1908=""),"",IFERROR(IF(INDEX(ctaVinc,MATCH(Q1908,ctaNombre,0))&amp;""&lt;&gt;"",INDEX(ctaVinc,MATCH(Q1908,ctaNombre,0))&amp;"",Q1908),Q1908))</f>
        <v/>
      </c>
      <c r="AC1908" s="52">
        <f>IF(OR(K1908="",AND(P1908&lt;&gt;"Transferencia",P1908&lt;&gt;"Pago tarjeta")),"",IFERROR(IF(INDEX(ctaVinc,MATCH(K1908,ctaNombre,0))&amp;""&lt;&gt;"",INDEX(ctaVinc,MATCH(K1908,ctaNombre,0))&amp;"",K1908),K1908))</f>
        <v/>
      </c>
      <c r="AD1908" s="52">
        <f>IF(AB1908="","",IFERROR(INDEX(ctaTipo,MATCH(AB1908,ctaNombre,0))&amp;"",""))</f>
        <v/>
      </c>
      <c r="AE1908" s="52">
        <f>IF(AC1908="","",IFERROR(INDEX(ctaTipo,MATCH(AC1908,ctaNombre,0))&amp;"",""))</f>
        <v/>
      </c>
      <c r="AF1908" s="53">
        <f>IF(OR(P1908="",AB1908=""),"",IF(OR(P1908="Gasto",P1908="Transferencia",P1908="Pago tarjeta"),-1,1)*IF(IFERROR(INDEX(ctaMoneda,MATCH(AB1908,ctaNombre,0))&amp;"","DOP")="USD",T1908,S1908))</f>
        <v/>
      </c>
      <c r="AG1908" s="53">
        <f>IF(AC1908="","",IF(IFERROR(INDEX(ctaMoneda,MATCH(AC1908,ctaNombre,0))&amp;"","DOP")="USD",T1908,S1908))</f>
        <v/>
      </c>
      <c r="AH1908" s="53">
        <f>IF(P1908="","",IF(AND(AD1908&lt;&gt;"",COUNTIFS(tcTipo,AD1908,tcLiq,"Sí")&gt;0),IF(OR(P1908="Gasto",P1908="Transferencia",P1908="Pago tarjeta"),-1,1)*S1908,0)+IF(AND(AE1908&lt;&gt;"",COUNTIFS(tcTipo,AE1908,tcLiq,"Sí")&gt;0),S1908,0))</f>
        <v/>
      </c>
      <c r="AI1908" s="52">
        <f>IF(OR(L1908="",P1908=""),"",IF(COUNTIFS(L$6:L1908,L1908,P$6:P1908,"?*")=1,MAX(AI$5:AI1907)+1,""))</f>
        <v/>
      </c>
    </row>
    <row r="1909">
      <c r="B1909" s="47" t="n"/>
      <c r="C1909" s="48" t="n"/>
      <c r="D1909" s="48" t="n"/>
      <c r="E1909" s="48" t="n"/>
      <c r="F1909" s="48" t="n"/>
      <c r="G1909" s="49" t="n"/>
      <c r="H1909" s="48" t="n"/>
      <c r="I1909" s="50" t="n"/>
      <c r="J1909" s="48" t="n"/>
      <c r="K1909" s="48" t="n"/>
      <c r="L1909" s="48" t="n"/>
      <c r="M1909" s="48" t="n"/>
      <c r="N1909" s="48" t="n"/>
      <c r="O1909" s="51">
        <f>IF(AND(B1909="",G1909="",C1909="",D1909="",J1909=""),"",IF(B1909="","⚠ Falta fecha",IF(G1909="","⚠ Falta monto",IF(Q1909="","⚠ Falta cuenta",IF(ISNA(MATCH(Q1909,ctaNombre,0)),"⚠ Cuenta no registrada",IF(AND(OR(P1909="Gasto",P1909="Reembolso"),D1909=""),"⚠ Falta categoría",IF(AND(D1909&lt;&gt;"",E1909&lt;&gt;"",ISNA(MATCH(D1909&amp;"|"&amp;E1909,catClave,0))),"⚠ Subcategoría no corresponde",IF(AND(OR(P1909="Transferencia",P1909="Pago tarjeta"),K1909=""),"⚠ Falta cuenta destino",IF(AND(K1909&lt;&gt;"",P1909&lt;&gt;"Transferencia",P1909&lt;&gt;"Pago tarjeta"),"⚠ Destino solo aplica a transferencias",IF(AND(K1909&lt;&gt;"",K1909=Q1909),"⚠ Origen igual a destino",IF(AND(K1909&lt;&gt;"",ISNA(MATCH(K1909,ctaNombre,0))),"⚠ Destino no registrado",IF(AND(P1909="Pago tarjeta",AE1909&lt;&gt;"Tarjeta de crédito"),"⚠ El destino debe ser tarjeta de crédito",IF(AND(P1909="Gasto",E1909="Depósitos y retiros"),"⚠ Usa tipo Transferencia",IF(AND(P1909="Resultado trading",AD1909&lt;&gt;"Cuenta de trading"),"⚠ Usa una cuenta de trading",IF(AND(G1909&lt;=0,P1909&lt;&gt;"Ajuste",P1909&lt;&gt;"Resultado trading"),"⚠ El monto debe ser positivo","✓")))))))))))))))</f>
        <v/>
      </c>
      <c r="P1909" s="52">
        <f>IF(OR(B1909="",G1909=""),"",IF(C1909="","Gasto",C1909))</f>
        <v/>
      </c>
      <c r="Q1909" s="52">
        <f>IF(P1909="","",IF(J1909&lt;&gt;"",J1909,CuentaPred&amp;""))</f>
        <v/>
      </c>
      <c r="R1909" s="52">
        <f>IF(P1909="","",IF(ISNUMBER(I1909),I1909,TasaUSD))</f>
        <v/>
      </c>
      <c r="S1909" s="53">
        <f>IF(P1909="","",IF(H1909="USD",G1909*R1909,G1909))</f>
        <v/>
      </c>
      <c r="T1909" s="53">
        <f>IF(P1909="","",IF(H1909="USD",G1909,IF(R1909&gt;0,G1909/R1909,0)))</f>
        <v/>
      </c>
      <c r="U1909" s="53">
        <f>IF(P1909="","",IF(P1909="Gasto",S1909,IF(P1909="Reembolso",-S1909,0)))</f>
        <v/>
      </c>
      <c r="V1909" s="53">
        <f>IF(P1909="","",IF(P1909="Ingreso",S1909,0))</f>
        <v/>
      </c>
      <c r="W1909" s="53">
        <f>IF(P1909="","",IF(P1909="Resultado trading",S1909,0))</f>
        <v/>
      </c>
      <c r="X1909" s="52">
        <f>IF(OR(P1909="Gasto",P1909="Reembolso"),IF(M1909&lt;&gt;"",M1909,IFERROR(INDEX(catClasif,MATCH(D1909&amp;"|"&amp;E1909,catClave,0))&amp;"","Variable")),"")</f>
        <v/>
      </c>
      <c r="Y1909" s="52">
        <f>IF(P1909="","",IFERROR(INDEX(catGrupo,MATCH(D1909&amp;"|"&amp;E1909,catClave,0))&amp;"",""))</f>
        <v/>
      </c>
      <c r="Z1909" s="52">
        <f>IF(P1909="","",WEEKDAY(B1909,2))</f>
        <v/>
      </c>
      <c r="AA1909" s="52">
        <f>IF(P1909="","",IF(AND(P1909="Gasto",X1909="Variable",D1909&lt;&gt;catTrading,S1909&gt;0,S1909&lt;=Umbral),1,0))</f>
        <v/>
      </c>
      <c r="AB1909" s="52">
        <f>IF(OR(P1909="",Q1909=""),"",IFERROR(IF(INDEX(ctaVinc,MATCH(Q1909,ctaNombre,0))&amp;""&lt;&gt;"",INDEX(ctaVinc,MATCH(Q1909,ctaNombre,0))&amp;"",Q1909),Q1909))</f>
        <v/>
      </c>
      <c r="AC1909" s="52">
        <f>IF(OR(K1909="",AND(P1909&lt;&gt;"Transferencia",P1909&lt;&gt;"Pago tarjeta")),"",IFERROR(IF(INDEX(ctaVinc,MATCH(K1909,ctaNombre,0))&amp;""&lt;&gt;"",INDEX(ctaVinc,MATCH(K1909,ctaNombre,0))&amp;"",K1909),K1909))</f>
        <v/>
      </c>
      <c r="AD1909" s="52">
        <f>IF(AB1909="","",IFERROR(INDEX(ctaTipo,MATCH(AB1909,ctaNombre,0))&amp;"",""))</f>
        <v/>
      </c>
      <c r="AE1909" s="52">
        <f>IF(AC1909="","",IFERROR(INDEX(ctaTipo,MATCH(AC1909,ctaNombre,0))&amp;"",""))</f>
        <v/>
      </c>
      <c r="AF1909" s="53">
        <f>IF(OR(P1909="",AB1909=""),"",IF(OR(P1909="Gasto",P1909="Transferencia",P1909="Pago tarjeta"),-1,1)*IF(IFERROR(INDEX(ctaMoneda,MATCH(AB1909,ctaNombre,0))&amp;"","DOP")="USD",T1909,S1909))</f>
        <v/>
      </c>
      <c r="AG1909" s="53">
        <f>IF(AC1909="","",IF(IFERROR(INDEX(ctaMoneda,MATCH(AC1909,ctaNombre,0))&amp;"","DOP")="USD",T1909,S1909))</f>
        <v/>
      </c>
      <c r="AH1909" s="53">
        <f>IF(P1909="","",IF(AND(AD1909&lt;&gt;"",COUNTIFS(tcTipo,AD1909,tcLiq,"Sí")&gt;0),IF(OR(P1909="Gasto",P1909="Transferencia",P1909="Pago tarjeta"),-1,1)*S1909,0)+IF(AND(AE1909&lt;&gt;"",COUNTIFS(tcTipo,AE1909,tcLiq,"Sí")&gt;0),S1909,0))</f>
        <v/>
      </c>
      <c r="AI1909" s="52">
        <f>IF(OR(L1909="",P1909=""),"",IF(COUNTIFS(L$6:L1909,L1909,P$6:P1909,"?*")=1,MAX(AI$5:AI1908)+1,""))</f>
        <v/>
      </c>
    </row>
    <row r="1910">
      <c r="B1910" s="47" t="n"/>
      <c r="C1910" s="48" t="n"/>
      <c r="D1910" s="48" t="n"/>
      <c r="E1910" s="48" t="n"/>
      <c r="F1910" s="48" t="n"/>
      <c r="G1910" s="49" t="n"/>
      <c r="H1910" s="48" t="n"/>
      <c r="I1910" s="50" t="n"/>
      <c r="J1910" s="48" t="n"/>
      <c r="K1910" s="48" t="n"/>
      <c r="L1910" s="48" t="n"/>
      <c r="M1910" s="48" t="n"/>
      <c r="N1910" s="48" t="n"/>
      <c r="O1910" s="51">
        <f>IF(AND(B1910="",G1910="",C1910="",D1910="",J1910=""),"",IF(B1910="","⚠ Falta fecha",IF(G1910="","⚠ Falta monto",IF(Q1910="","⚠ Falta cuenta",IF(ISNA(MATCH(Q1910,ctaNombre,0)),"⚠ Cuenta no registrada",IF(AND(OR(P1910="Gasto",P1910="Reembolso"),D1910=""),"⚠ Falta categoría",IF(AND(D1910&lt;&gt;"",E1910&lt;&gt;"",ISNA(MATCH(D1910&amp;"|"&amp;E1910,catClave,0))),"⚠ Subcategoría no corresponde",IF(AND(OR(P1910="Transferencia",P1910="Pago tarjeta"),K1910=""),"⚠ Falta cuenta destino",IF(AND(K1910&lt;&gt;"",P1910&lt;&gt;"Transferencia",P1910&lt;&gt;"Pago tarjeta"),"⚠ Destino solo aplica a transferencias",IF(AND(K1910&lt;&gt;"",K1910=Q1910),"⚠ Origen igual a destino",IF(AND(K1910&lt;&gt;"",ISNA(MATCH(K1910,ctaNombre,0))),"⚠ Destino no registrado",IF(AND(P1910="Pago tarjeta",AE1910&lt;&gt;"Tarjeta de crédito"),"⚠ El destino debe ser tarjeta de crédito",IF(AND(P1910="Gasto",E1910="Depósitos y retiros"),"⚠ Usa tipo Transferencia",IF(AND(P1910="Resultado trading",AD1910&lt;&gt;"Cuenta de trading"),"⚠ Usa una cuenta de trading",IF(AND(G1910&lt;=0,P1910&lt;&gt;"Ajuste",P1910&lt;&gt;"Resultado trading"),"⚠ El monto debe ser positivo","✓")))))))))))))))</f>
        <v/>
      </c>
      <c r="P1910" s="52">
        <f>IF(OR(B1910="",G1910=""),"",IF(C1910="","Gasto",C1910))</f>
        <v/>
      </c>
      <c r="Q1910" s="52">
        <f>IF(P1910="","",IF(J1910&lt;&gt;"",J1910,CuentaPred&amp;""))</f>
        <v/>
      </c>
      <c r="R1910" s="52">
        <f>IF(P1910="","",IF(ISNUMBER(I1910),I1910,TasaUSD))</f>
        <v/>
      </c>
      <c r="S1910" s="53">
        <f>IF(P1910="","",IF(H1910="USD",G1910*R1910,G1910))</f>
        <v/>
      </c>
      <c r="T1910" s="53">
        <f>IF(P1910="","",IF(H1910="USD",G1910,IF(R1910&gt;0,G1910/R1910,0)))</f>
        <v/>
      </c>
      <c r="U1910" s="53">
        <f>IF(P1910="","",IF(P1910="Gasto",S1910,IF(P1910="Reembolso",-S1910,0)))</f>
        <v/>
      </c>
      <c r="V1910" s="53">
        <f>IF(P1910="","",IF(P1910="Ingreso",S1910,0))</f>
        <v/>
      </c>
      <c r="W1910" s="53">
        <f>IF(P1910="","",IF(P1910="Resultado trading",S1910,0))</f>
        <v/>
      </c>
      <c r="X1910" s="52">
        <f>IF(OR(P1910="Gasto",P1910="Reembolso"),IF(M1910&lt;&gt;"",M1910,IFERROR(INDEX(catClasif,MATCH(D1910&amp;"|"&amp;E1910,catClave,0))&amp;"","Variable")),"")</f>
        <v/>
      </c>
      <c r="Y1910" s="52">
        <f>IF(P1910="","",IFERROR(INDEX(catGrupo,MATCH(D1910&amp;"|"&amp;E1910,catClave,0))&amp;"",""))</f>
        <v/>
      </c>
      <c r="Z1910" s="52">
        <f>IF(P1910="","",WEEKDAY(B1910,2))</f>
        <v/>
      </c>
      <c r="AA1910" s="52">
        <f>IF(P1910="","",IF(AND(P1910="Gasto",X1910="Variable",D1910&lt;&gt;catTrading,S1910&gt;0,S1910&lt;=Umbral),1,0))</f>
        <v/>
      </c>
      <c r="AB1910" s="52">
        <f>IF(OR(P1910="",Q1910=""),"",IFERROR(IF(INDEX(ctaVinc,MATCH(Q1910,ctaNombre,0))&amp;""&lt;&gt;"",INDEX(ctaVinc,MATCH(Q1910,ctaNombre,0))&amp;"",Q1910),Q1910))</f>
        <v/>
      </c>
      <c r="AC1910" s="52">
        <f>IF(OR(K1910="",AND(P1910&lt;&gt;"Transferencia",P1910&lt;&gt;"Pago tarjeta")),"",IFERROR(IF(INDEX(ctaVinc,MATCH(K1910,ctaNombre,0))&amp;""&lt;&gt;"",INDEX(ctaVinc,MATCH(K1910,ctaNombre,0))&amp;"",K1910),K1910))</f>
        <v/>
      </c>
      <c r="AD1910" s="52">
        <f>IF(AB1910="","",IFERROR(INDEX(ctaTipo,MATCH(AB1910,ctaNombre,0))&amp;"",""))</f>
        <v/>
      </c>
      <c r="AE1910" s="52">
        <f>IF(AC1910="","",IFERROR(INDEX(ctaTipo,MATCH(AC1910,ctaNombre,0))&amp;"",""))</f>
        <v/>
      </c>
      <c r="AF1910" s="53">
        <f>IF(OR(P1910="",AB1910=""),"",IF(OR(P1910="Gasto",P1910="Transferencia",P1910="Pago tarjeta"),-1,1)*IF(IFERROR(INDEX(ctaMoneda,MATCH(AB1910,ctaNombre,0))&amp;"","DOP")="USD",T1910,S1910))</f>
        <v/>
      </c>
      <c r="AG1910" s="53">
        <f>IF(AC1910="","",IF(IFERROR(INDEX(ctaMoneda,MATCH(AC1910,ctaNombre,0))&amp;"","DOP")="USD",T1910,S1910))</f>
        <v/>
      </c>
      <c r="AH1910" s="53">
        <f>IF(P1910="","",IF(AND(AD1910&lt;&gt;"",COUNTIFS(tcTipo,AD1910,tcLiq,"Sí")&gt;0),IF(OR(P1910="Gasto",P1910="Transferencia",P1910="Pago tarjeta"),-1,1)*S1910,0)+IF(AND(AE1910&lt;&gt;"",COUNTIFS(tcTipo,AE1910,tcLiq,"Sí")&gt;0),S1910,0))</f>
        <v/>
      </c>
      <c r="AI1910" s="52">
        <f>IF(OR(L1910="",P1910=""),"",IF(COUNTIFS(L$6:L1910,L1910,P$6:P1910,"?*")=1,MAX(AI$5:AI1909)+1,""))</f>
        <v/>
      </c>
    </row>
    <row r="1911">
      <c r="B1911" s="47" t="n"/>
      <c r="C1911" s="48" t="n"/>
      <c r="D1911" s="48" t="n"/>
      <c r="E1911" s="48" t="n"/>
      <c r="F1911" s="48" t="n"/>
      <c r="G1911" s="49" t="n"/>
      <c r="H1911" s="48" t="n"/>
      <c r="I1911" s="50" t="n"/>
      <c r="J1911" s="48" t="n"/>
      <c r="K1911" s="48" t="n"/>
      <c r="L1911" s="48" t="n"/>
      <c r="M1911" s="48" t="n"/>
      <c r="N1911" s="48" t="n"/>
      <c r="O1911" s="51">
        <f>IF(AND(B1911="",G1911="",C1911="",D1911="",J1911=""),"",IF(B1911="","⚠ Falta fecha",IF(G1911="","⚠ Falta monto",IF(Q1911="","⚠ Falta cuenta",IF(ISNA(MATCH(Q1911,ctaNombre,0)),"⚠ Cuenta no registrada",IF(AND(OR(P1911="Gasto",P1911="Reembolso"),D1911=""),"⚠ Falta categoría",IF(AND(D1911&lt;&gt;"",E1911&lt;&gt;"",ISNA(MATCH(D1911&amp;"|"&amp;E1911,catClave,0))),"⚠ Subcategoría no corresponde",IF(AND(OR(P1911="Transferencia",P1911="Pago tarjeta"),K1911=""),"⚠ Falta cuenta destino",IF(AND(K1911&lt;&gt;"",P1911&lt;&gt;"Transferencia",P1911&lt;&gt;"Pago tarjeta"),"⚠ Destino solo aplica a transferencias",IF(AND(K1911&lt;&gt;"",K1911=Q1911),"⚠ Origen igual a destino",IF(AND(K1911&lt;&gt;"",ISNA(MATCH(K1911,ctaNombre,0))),"⚠ Destino no registrado",IF(AND(P1911="Pago tarjeta",AE1911&lt;&gt;"Tarjeta de crédito"),"⚠ El destino debe ser tarjeta de crédito",IF(AND(P1911="Gasto",E1911="Depósitos y retiros"),"⚠ Usa tipo Transferencia",IF(AND(P1911="Resultado trading",AD1911&lt;&gt;"Cuenta de trading"),"⚠ Usa una cuenta de trading",IF(AND(G1911&lt;=0,P1911&lt;&gt;"Ajuste",P1911&lt;&gt;"Resultado trading"),"⚠ El monto debe ser positivo","✓")))))))))))))))</f>
        <v/>
      </c>
      <c r="P1911" s="52">
        <f>IF(OR(B1911="",G1911=""),"",IF(C1911="","Gasto",C1911))</f>
        <v/>
      </c>
      <c r="Q1911" s="52">
        <f>IF(P1911="","",IF(J1911&lt;&gt;"",J1911,CuentaPred&amp;""))</f>
        <v/>
      </c>
      <c r="R1911" s="52">
        <f>IF(P1911="","",IF(ISNUMBER(I1911),I1911,TasaUSD))</f>
        <v/>
      </c>
      <c r="S1911" s="53">
        <f>IF(P1911="","",IF(H1911="USD",G1911*R1911,G1911))</f>
        <v/>
      </c>
      <c r="T1911" s="53">
        <f>IF(P1911="","",IF(H1911="USD",G1911,IF(R1911&gt;0,G1911/R1911,0)))</f>
        <v/>
      </c>
      <c r="U1911" s="53">
        <f>IF(P1911="","",IF(P1911="Gasto",S1911,IF(P1911="Reembolso",-S1911,0)))</f>
        <v/>
      </c>
      <c r="V1911" s="53">
        <f>IF(P1911="","",IF(P1911="Ingreso",S1911,0))</f>
        <v/>
      </c>
      <c r="W1911" s="53">
        <f>IF(P1911="","",IF(P1911="Resultado trading",S1911,0))</f>
        <v/>
      </c>
      <c r="X1911" s="52">
        <f>IF(OR(P1911="Gasto",P1911="Reembolso"),IF(M1911&lt;&gt;"",M1911,IFERROR(INDEX(catClasif,MATCH(D1911&amp;"|"&amp;E1911,catClave,0))&amp;"","Variable")),"")</f>
        <v/>
      </c>
      <c r="Y1911" s="52">
        <f>IF(P1911="","",IFERROR(INDEX(catGrupo,MATCH(D1911&amp;"|"&amp;E1911,catClave,0))&amp;"",""))</f>
        <v/>
      </c>
      <c r="Z1911" s="52">
        <f>IF(P1911="","",WEEKDAY(B1911,2))</f>
        <v/>
      </c>
      <c r="AA1911" s="52">
        <f>IF(P1911="","",IF(AND(P1911="Gasto",X1911="Variable",D1911&lt;&gt;catTrading,S1911&gt;0,S1911&lt;=Umbral),1,0))</f>
        <v/>
      </c>
      <c r="AB1911" s="52">
        <f>IF(OR(P1911="",Q1911=""),"",IFERROR(IF(INDEX(ctaVinc,MATCH(Q1911,ctaNombre,0))&amp;""&lt;&gt;"",INDEX(ctaVinc,MATCH(Q1911,ctaNombre,0))&amp;"",Q1911),Q1911))</f>
        <v/>
      </c>
      <c r="AC1911" s="52">
        <f>IF(OR(K1911="",AND(P1911&lt;&gt;"Transferencia",P1911&lt;&gt;"Pago tarjeta")),"",IFERROR(IF(INDEX(ctaVinc,MATCH(K1911,ctaNombre,0))&amp;""&lt;&gt;"",INDEX(ctaVinc,MATCH(K1911,ctaNombre,0))&amp;"",K1911),K1911))</f>
        <v/>
      </c>
      <c r="AD1911" s="52">
        <f>IF(AB1911="","",IFERROR(INDEX(ctaTipo,MATCH(AB1911,ctaNombre,0))&amp;"",""))</f>
        <v/>
      </c>
      <c r="AE1911" s="52">
        <f>IF(AC1911="","",IFERROR(INDEX(ctaTipo,MATCH(AC1911,ctaNombre,0))&amp;"",""))</f>
        <v/>
      </c>
      <c r="AF1911" s="53">
        <f>IF(OR(P1911="",AB1911=""),"",IF(OR(P1911="Gasto",P1911="Transferencia",P1911="Pago tarjeta"),-1,1)*IF(IFERROR(INDEX(ctaMoneda,MATCH(AB1911,ctaNombre,0))&amp;"","DOP")="USD",T1911,S1911))</f>
        <v/>
      </c>
      <c r="AG1911" s="53">
        <f>IF(AC1911="","",IF(IFERROR(INDEX(ctaMoneda,MATCH(AC1911,ctaNombre,0))&amp;"","DOP")="USD",T1911,S1911))</f>
        <v/>
      </c>
      <c r="AH1911" s="53">
        <f>IF(P1911="","",IF(AND(AD1911&lt;&gt;"",COUNTIFS(tcTipo,AD1911,tcLiq,"Sí")&gt;0),IF(OR(P1911="Gasto",P1911="Transferencia",P1911="Pago tarjeta"),-1,1)*S1911,0)+IF(AND(AE1911&lt;&gt;"",COUNTIFS(tcTipo,AE1911,tcLiq,"Sí")&gt;0),S1911,0))</f>
        <v/>
      </c>
      <c r="AI1911" s="52">
        <f>IF(OR(L1911="",P1911=""),"",IF(COUNTIFS(L$6:L1911,L1911,P$6:P1911,"?*")=1,MAX(AI$5:AI1910)+1,""))</f>
        <v/>
      </c>
    </row>
    <row r="1912">
      <c r="B1912" s="47" t="n"/>
      <c r="C1912" s="48" t="n"/>
      <c r="D1912" s="48" t="n"/>
      <c r="E1912" s="48" t="n"/>
      <c r="F1912" s="48" t="n"/>
      <c r="G1912" s="49" t="n"/>
      <c r="H1912" s="48" t="n"/>
      <c r="I1912" s="50" t="n"/>
      <c r="J1912" s="48" t="n"/>
      <c r="K1912" s="48" t="n"/>
      <c r="L1912" s="48" t="n"/>
      <c r="M1912" s="48" t="n"/>
      <c r="N1912" s="48" t="n"/>
      <c r="O1912" s="51">
        <f>IF(AND(B1912="",G1912="",C1912="",D1912="",J1912=""),"",IF(B1912="","⚠ Falta fecha",IF(G1912="","⚠ Falta monto",IF(Q1912="","⚠ Falta cuenta",IF(ISNA(MATCH(Q1912,ctaNombre,0)),"⚠ Cuenta no registrada",IF(AND(OR(P1912="Gasto",P1912="Reembolso"),D1912=""),"⚠ Falta categoría",IF(AND(D1912&lt;&gt;"",E1912&lt;&gt;"",ISNA(MATCH(D1912&amp;"|"&amp;E1912,catClave,0))),"⚠ Subcategoría no corresponde",IF(AND(OR(P1912="Transferencia",P1912="Pago tarjeta"),K1912=""),"⚠ Falta cuenta destino",IF(AND(K1912&lt;&gt;"",P1912&lt;&gt;"Transferencia",P1912&lt;&gt;"Pago tarjeta"),"⚠ Destino solo aplica a transferencias",IF(AND(K1912&lt;&gt;"",K1912=Q1912),"⚠ Origen igual a destino",IF(AND(K1912&lt;&gt;"",ISNA(MATCH(K1912,ctaNombre,0))),"⚠ Destino no registrado",IF(AND(P1912="Pago tarjeta",AE1912&lt;&gt;"Tarjeta de crédito"),"⚠ El destino debe ser tarjeta de crédito",IF(AND(P1912="Gasto",E1912="Depósitos y retiros"),"⚠ Usa tipo Transferencia",IF(AND(P1912="Resultado trading",AD1912&lt;&gt;"Cuenta de trading"),"⚠ Usa una cuenta de trading",IF(AND(G1912&lt;=0,P1912&lt;&gt;"Ajuste",P1912&lt;&gt;"Resultado trading"),"⚠ El monto debe ser positivo","✓")))))))))))))))</f>
        <v/>
      </c>
      <c r="P1912" s="52">
        <f>IF(OR(B1912="",G1912=""),"",IF(C1912="","Gasto",C1912))</f>
        <v/>
      </c>
      <c r="Q1912" s="52">
        <f>IF(P1912="","",IF(J1912&lt;&gt;"",J1912,CuentaPred&amp;""))</f>
        <v/>
      </c>
      <c r="R1912" s="52">
        <f>IF(P1912="","",IF(ISNUMBER(I1912),I1912,TasaUSD))</f>
        <v/>
      </c>
      <c r="S1912" s="53">
        <f>IF(P1912="","",IF(H1912="USD",G1912*R1912,G1912))</f>
        <v/>
      </c>
      <c r="T1912" s="53">
        <f>IF(P1912="","",IF(H1912="USD",G1912,IF(R1912&gt;0,G1912/R1912,0)))</f>
        <v/>
      </c>
      <c r="U1912" s="53">
        <f>IF(P1912="","",IF(P1912="Gasto",S1912,IF(P1912="Reembolso",-S1912,0)))</f>
        <v/>
      </c>
      <c r="V1912" s="53">
        <f>IF(P1912="","",IF(P1912="Ingreso",S1912,0))</f>
        <v/>
      </c>
      <c r="W1912" s="53">
        <f>IF(P1912="","",IF(P1912="Resultado trading",S1912,0))</f>
        <v/>
      </c>
      <c r="X1912" s="52">
        <f>IF(OR(P1912="Gasto",P1912="Reembolso"),IF(M1912&lt;&gt;"",M1912,IFERROR(INDEX(catClasif,MATCH(D1912&amp;"|"&amp;E1912,catClave,0))&amp;"","Variable")),"")</f>
        <v/>
      </c>
      <c r="Y1912" s="52">
        <f>IF(P1912="","",IFERROR(INDEX(catGrupo,MATCH(D1912&amp;"|"&amp;E1912,catClave,0))&amp;"",""))</f>
        <v/>
      </c>
      <c r="Z1912" s="52">
        <f>IF(P1912="","",WEEKDAY(B1912,2))</f>
        <v/>
      </c>
      <c r="AA1912" s="52">
        <f>IF(P1912="","",IF(AND(P1912="Gasto",X1912="Variable",D1912&lt;&gt;catTrading,S1912&gt;0,S1912&lt;=Umbral),1,0))</f>
        <v/>
      </c>
      <c r="AB1912" s="52">
        <f>IF(OR(P1912="",Q1912=""),"",IFERROR(IF(INDEX(ctaVinc,MATCH(Q1912,ctaNombre,0))&amp;""&lt;&gt;"",INDEX(ctaVinc,MATCH(Q1912,ctaNombre,0))&amp;"",Q1912),Q1912))</f>
        <v/>
      </c>
      <c r="AC1912" s="52">
        <f>IF(OR(K1912="",AND(P1912&lt;&gt;"Transferencia",P1912&lt;&gt;"Pago tarjeta")),"",IFERROR(IF(INDEX(ctaVinc,MATCH(K1912,ctaNombre,0))&amp;""&lt;&gt;"",INDEX(ctaVinc,MATCH(K1912,ctaNombre,0))&amp;"",K1912),K1912))</f>
        <v/>
      </c>
      <c r="AD1912" s="52">
        <f>IF(AB1912="","",IFERROR(INDEX(ctaTipo,MATCH(AB1912,ctaNombre,0))&amp;"",""))</f>
        <v/>
      </c>
      <c r="AE1912" s="52">
        <f>IF(AC1912="","",IFERROR(INDEX(ctaTipo,MATCH(AC1912,ctaNombre,0))&amp;"",""))</f>
        <v/>
      </c>
      <c r="AF1912" s="53">
        <f>IF(OR(P1912="",AB1912=""),"",IF(OR(P1912="Gasto",P1912="Transferencia",P1912="Pago tarjeta"),-1,1)*IF(IFERROR(INDEX(ctaMoneda,MATCH(AB1912,ctaNombre,0))&amp;"","DOP")="USD",T1912,S1912))</f>
        <v/>
      </c>
      <c r="AG1912" s="53">
        <f>IF(AC1912="","",IF(IFERROR(INDEX(ctaMoneda,MATCH(AC1912,ctaNombre,0))&amp;"","DOP")="USD",T1912,S1912))</f>
        <v/>
      </c>
      <c r="AH1912" s="53">
        <f>IF(P1912="","",IF(AND(AD1912&lt;&gt;"",COUNTIFS(tcTipo,AD1912,tcLiq,"Sí")&gt;0),IF(OR(P1912="Gasto",P1912="Transferencia",P1912="Pago tarjeta"),-1,1)*S1912,0)+IF(AND(AE1912&lt;&gt;"",COUNTIFS(tcTipo,AE1912,tcLiq,"Sí")&gt;0),S1912,0))</f>
        <v/>
      </c>
      <c r="AI1912" s="52">
        <f>IF(OR(L1912="",P1912=""),"",IF(COUNTIFS(L$6:L1912,L1912,P$6:P1912,"?*")=1,MAX(AI$5:AI1911)+1,""))</f>
        <v/>
      </c>
    </row>
    <row r="1913">
      <c r="B1913" s="47" t="n"/>
      <c r="C1913" s="48" t="n"/>
      <c r="D1913" s="48" t="n"/>
      <c r="E1913" s="48" t="n"/>
      <c r="F1913" s="48" t="n"/>
      <c r="G1913" s="49" t="n"/>
      <c r="H1913" s="48" t="n"/>
      <c r="I1913" s="50" t="n"/>
      <c r="J1913" s="48" t="n"/>
      <c r="K1913" s="48" t="n"/>
      <c r="L1913" s="48" t="n"/>
      <c r="M1913" s="48" t="n"/>
      <c r="N1913" s="48" t="n"/>
      <c r="O1913" s="51">
        <f>IF(AND(B1913="",G1913="",C1913="",D1913="",J1913=""),"",IF(B1913="","⚠ Falta fecha",IF(G1913="","⚠ Falta monto",IF(Q1913="","⚠ Falta cuenta",IF(ISNA(MATCH(Q1913,ctaNombre,0)),"⚠ Cuenta no registrada",IF(AND(OR(P1913="Gasto",P1913="Reembolso"),D1913=""),"⚠ Falta categoría",IF(AND(D1913&lt;&gt;"",E1913&lt;&gt;"",ISNA(MATCH(D1913&amp;"|"&amp;E1913,catClave,0))),"⚠ Subcategoría no corresponde",IF(AND(OR(P1913="Transferencia",P1913="Pago tarjeta"),K1913=""),"⚠ Falta cuenta destino",IF(AND(K1913&lt;&gt;"",P1913&lt;&gt;"Transferencia",P1913&lt;&gt;"Pago tarjeta"),"⚠ Destino solo aplica a transferencias",IF(AND(K1913&lt;&gt;"",K1913=Q1913),"⚠ Origen igual a destino",IF(AND(K1913&lt;&gt;"",ISNA(MATCH(K1913,ctaNombre,0))),"⚠ Destino no registrado",IF(AND(P1913="Pago tarjeta",AE1913&lt;&gt;"Tarjeta de crédito"),"⚠ El destino debe ser tarjeta de crédito",IF(AND(P1913="Gasto",E1913="Depósitos y retiros"),"⚠ Usa tipo Transferencia",IF(AND(P1913="Resultado trading",AD1913&lt;&gt;"Cuenta de trading"),"⚠ Usa una cuenta de trading",IF(AND(G1913&lt;=0,P1913&lt;&gt;"Ajuste",P1913&lt;&gt;"Resultado trading"),"⚠ El monto debe ser positivo","✓")))))))))))))))</f>
        <v/>
      </c>
      <c r="P1913" s="52">
        <f>IF(OR(B1913="",G1913=""),"",IF(C1913="","Gasto",C1913))</f>
        <v/>
      </c>
      <c r="Q1913" s="52">
        <f>IF(P1913="","",IF(J1913&lt;&gt;"",J1913,CuentaPred&amp;""))</f>
        <v/>
      </c>
      <c r="R1913" s="52">
        <f>IF(P1913="","",IF(ISNUMBER(I1913),I1913,TasaUSD))</f>
        <v/>
      </c>
      <c r="S1913" s="53">
        <f>IF(P1913="","",IF(H1913="USD",G1913*R1913,G1913))</f>
        <v/>
      </c>
      <c r="T1913" s="53">
        <f>IF(P1913="","",IF(H1913="USD",G1913,IF(R1913&gt;0,G1913/R1913,0)))</f>
        <v/>
      </c>
      <c r="U1913" s="53">
        <f>IF(P1913="","",IF(P1913="Gasto",S1913,IF(P1913="Reembolso",-S1913,0)))</f>
        <v/>
      </c>
      <c r="V1913" s="53">
        <f>IF(P1913="","",IF(P1913="Ingreso",S1913,0))</f>
        <v/>
      </c>
      <c r="W1913" s="53">
        <f>IF(P1913="","",IF(P1913="Resultado trading",S1913,0))</f>
        <v/>
      </c>
      <c r="X1913" s="52">
        <f>IF(OR(P1913="Gasto",P1913="Reembolso"),IF(M1913&lt;&gt;"",M1913,IFERROR(INDEX(catClasif,MATCH(D1913&amp;"|"&amp;E1913,catClave,0))&amp;"","Variable")),"")</f>
        <v/>
      </c>
      <c r="Y1913" s="52">
        <f>IF(P1913="","",IFERROR(INDEX(catGrupo,MATCH(D1913&amp;"|"&amp;E1913,catClave,0))&amp;"",""))</f>
        <v/>
      </c>
      <c r="Z1913" s="52">
        <f>IF(P1913="","",WEEKDAY(B1913,2))</f>
        <v/>
      </c>
      <c r="AA1913" s="52">
        <f>IF(P1913="","",IF(AND(P1913="Gasto",X1913="Variable",D1913&lt;&gt;catTrading,S1913&gt;0,S1913&lt;=Umbral),1,0))</f>
        <v/>
      </c>
      <c r="AB1913" s="52">
        <f>IF(OR(P1913="",Q1913=""),"",IFERROR(IF(INDEX(ctaVinc,MATCH(Q1913,ctaNombre,0))&amp;""&lt;&gt;"",INDEX(ctaVinc,MATCH(Q1913,ctaNombre,0))&amp;"",Q1913),Q1913))</f>
        <v/>
      </c>
      <c r="AC1913" s="52">
        <f>IF(OR(K1913="",AND(P1913&lt;&gt;"Transferencia",P1913&lt;&gt;"Pago tarjeta")),"",IFERROR(IF(INDEX(ctaVinc,MATCH(K1913,ctaNombre,0))&amp;""&lt;&gt;"",INDEX(ctaVinc,MATCH(K1913,ctaNombre,0))&amp;"",K1913),K1913))</f>
        <v/>
      </c>
      <c r="AD1913" s="52">
        <f>IF(AB1913="","",IFERROR(INDEX(ctaTipo,MATCH(AB1913,ctaNombre,0))&amp;"",""))</f>
        <v/>
      </c>
      <c r="AE1913" s="52">
        <f>IF(AC1913="","",IFERROR(INDEX(ctaTipo,MATCH(AC1913,ctaNombre,0))&amp;"",""))</f>
        <v/>
      </c>
      <c r="AF1913" s="53">
        <f>IF(OR(P1913="",AB1913=""),"",IF(OR(P1913="Gasto",P1913="Transferencia",P1913="Pago tarjeta"),-1,1)*IF(IFERROR(INDEX(ctaMoneda,MATCH(AB1913,ctaNombre,0))&amp;"","DOP")="USD",T1913,S1913))</f>
        <v/>
      </c>
      <c r="AG1913" s="53">
        <f>IF(AC1913="","",IF(IFERROR(INDEX(ctaMoneda,MATCH(AC1913,ctaNombre,0))&amp;"","DOP")="USD",T1913,S1913))</f>
        <v/>
      </c>
      <c r="AH1913" s="53">
        <f>IF(P1913="","",IF(AND(AD1913&lt;&gt;"",COUNTIFS(tcTipo,AD1913,tcLiq,"Sí")&gt;0),IF(OR(P1913="Gasto",P1913="Transferencia",P1913="Pago tarjeta"),-1,1)*S1913,0)+IF(AND(AE1913&lt;&gt;"",COUNTIFS(tcTipo,AE1913,tcLiq,"Sí")&gt;0),S1913,0))</f>
        <v/>
      </c>
      <c r="AI1913" s="52">
        <f>IF(OR(L1913="",P1913=""),"",IF(COUNTIFS(L$6:L1913,L1913,P$6:P1913,"?*")=1,MAX(AI$5:AI1912)+1,""))</f>
        <v/>
      </c>
    </row>
    <row r="1914">
      <c r="B1914" s="47" t="n"/>
      <c r="C1914" s="48" t="n"/>
      <c r="D1914" s="48" t="n"/>
      <c r="E1914" s="48" t="n"/>
      <c r="F1914" s="48" t="n"/>
      <c r="G1914" s="49" t="n"/>
      <c r="H1914" s="48" t="n"/>
      <c r="I1914" s="50" t="n"/>
      <c r="J1914" s="48" t="n"/>
      <c r="K1914" s="48" t="n"/>
      <c r="L1914" s="48" t="n"/>
      <c r="M1914" s="48" t="n"/>
      <c r="N1914" s="48" t="n"/>
      <c r="O1914" s="51">
        <f>IF(AND(B1914="",G1914="",C1914="",D1914="",J1914=""),"",IF(B1914="","⚠ Falta fecha",IF(G1914="","⚠ Falta monto",IF(Q1914="","⚠ Falta cuenta",IF(ISNA(MATCH(Q1914,ctaNombre,0)),"⚠ Cuenta no registrada",IF(AND(OR(P1914="Gasto",P1914="Reembolso"),D1914=""),"⚠ Falta categoría",IF(AND(D1914&lt;&gt;"",E1914&lt;&gt;"",ISNA(MATCH(D1914&amp;"|"&amp;E1914,catClave,0))),"⚠ Subcategoría no corresponde",IF(AND(OR(P1914="Transferencia",P1914="Pago tarjeta"),K1914=""),"⚠ Falta cuenta destino",IF(AND(K1914&lt;&gt;"",P1914&lt;&gt;"Transferencia",P1914&lt;&gt;"Pago tarjeta"),"⚠ Destino solo aplica a transferencias",IF(AND(K1914&lt;&gt;"",K1914=Q1914),"⚠ Origen igual a destino",IF(AND(K1914&lt;&gt;"",ISNA(MATCH(K1914,ctaNombre,0))),"⚠ Destino no registrado",IF(AND(P1914="Pago tarjeta",AE1914&lt;&gt;"Tarjeta de crédito"),"⚠ El destino debe ser tarjeta de crédito",IF(AND(P1914="Gasto",E1914="Depósitos y retiros"),"⚠ Usa tipo Transferencia",IF(AND(P1914="Resultado trading",AD1914&lt;&gt;"Cuenta de trading"),"⚠ Usa una cuenta de trading",IF(AND(G1914&lt;=0,P1914&lt;&gt;"Ajuste",P1914&lt;&gt;"Resultado trading"),"⚠ El monto debe ser positivo","✓")))))))))))))))</f>
        <v/>
      </c>
      <c r="P1914" s="52">
        <f>IF(OR(B1914="",G1914=""),"",IF(C1914="","Gasto",C1914))</f>
        <v/>
      </c>
      <c r="Q1914" s="52">
        <f>IF(P1914="","",IF(J1914&lt;&gt;"",J1914,CuentaPred&amp;""))</f>
        <v/>
      </c>
      <c r="R1914" s="52">
        <f>IF(P1914="","",IF(ISNUMBER(I1914),I1914,TasaUSD))</f>
        <v/>
      </c>
      <c r="S1914" s="53">
        <f>IF(P1914="","",IF(H1914="USD",G1914*R1914,G1914))</f>
        <v/>
      </c>
      <c r="T1914" s="53">
        <f>IF(P1914="","",IF(H1914="USD",G1914,IF(R1914&gt;0,G1914/R1914,0)))</f>
        <v/>
      </c>
      <c r="U1914" s="53">
        <f>IF(P1914="","",IF(P1914="Gasto",S1914,IF(P1914="Reembolso",-S1914,0)))</f>
        <v/>
      </c>
      <c r="V1914" s="53">
        <f>IF(P1914="","",IF(P1914="Ingreso",S1914,0))</f>
        <v/>
      </c>
      <c r="W1914" s="53">
        <f>IF(P1914="","",IF(P1914="Resultado trading",S1914,0))</f>
        <v/>
      </c>
      <c r="X1914" s="52">
        <f>IF(OR(P1914="Gasto",P1914="Reembolso"),IF(M1914&lt;&gt;"",M1914,IFERROR(INDEX(catClasif,MATCH(D1914&amp;"|"&amp;E1914,catClave,0))&amp;"","Variable")),"")</f>
        <v/>
      </c>
      <c r="Y1914" s="52">
        <f>IF(P1914="","",IFERROR(INDEX(catGrupo,MATCH(D1914&amp;"|"&amp;E1914,catClave,0))&amp;"",""))</f>
        <v/>
      </c>
      <c r="Z1914" s="52">
        <f>IF(P1914="","",WEEKDAY(B1914,2))</f>
        <v/>
      </c>
      <c r="AA1914" s="52">
        <f>IF(P1914="","",IF(AND(P1914="Gasto",X1914="Variable",D1914&lt;&gt;catTrading,S1914&gt;0,S1914&lt;=Umbral),1,0))</f>
        <v/>
      </c>
      <c r="AB1914" s="52">
        <f>IF(OR(P1914="",Q1914=""),"",IFERROR(IF(INDEX(ctaVinc,MATCH(Q1914,ctaNombre,0))&amp;""&lt;&gt;"",INDEX(ctaVinc,MATCH(Q1914,ctaNombre,0))&amp;"",Q1914),Q1914))</f>
        <v/>
      </c>
      <c r="AC1914" s="52">
        <f>IF(OR(K1914="",AND(P1914&lt;&gt;"Transferencia",P1914&lt;&gt;"Pago tarjeta")),"",IFERROR(IF(INDEX(ctaVinc,MATCH(K1914,ctaNombre,0))&amp;""&lt;&gt;"",INDEX(ctaVinc,MATCH(K1914,ctaNombre,0))&amp;"",K1914),K1914))</f>
        <v/>
      </c>
      <c r="AD1914" s="52">
        <f>IF(AB1914="","",IFERROR(INDEX(ctaTipo,MATCH(AB1914,ctaNombre,0))&amp;"",""))</f>
        <v/>
      </c>
      <c r="AE1914" s="52">
        <f>IF(AC1914="","",IFERROR(INDEX(ctaTipo,MATCH(AC1914,ctaNombre,0))&amp;"",""))</f>
        <v/>
      </c>
      <c r="AF1914" s="53">
        <f>IF(OR(P1914="",AB1914=""),"",IF(OR(P1914="Gasto",P1914="Transferencia",P1914="Pago tarjeta"),-1,1)*IF(IFERROR(INDEX(ctaMoneda,MATCH(AB1914,ctaNombre,0))&amp;"","DOP")="USD",T1914,S1914))</f>
        <v/>
      </c>
      <c r="AG1914" s="53">
        <f>IF(AC1914="","",IF(IFERROR(INDEX(ctaMoneda,MATCH(AC1914,ctaNombre,0))&amp;"","DOP")="USD",T1914,S1914))</f>
        <v/>
      </c>
      <c r="AH1914" s="53">
        <f>IF(P1914="","",IF(AND(AD1914&lt;&gt;"",COUNTIFS(tcTipo,AD1914,tcLiq,"Sí")&gt;0),IF(OR(P1914="Gasto",P1914="Transferencia",P1914="Pago tarjeta"),-1,1)*S1914,0)+IF(AND(AE1914&lt;&gt;"",COUNTIFS(tcTipo,AE1914,tcLiq,"Sí")&gt;0),S1914,0))</f>
        <v/>
      </c>
      <c r="AI1914" s="52">
        <f>IF(OR(L1914="",P1914=""),"",IF(COUNTIFS(L$6:L1914,L1914,P$6:P1914,"?*")=1,MAX(AI$5:AI1913)+1,""))</f>
        <v/>
      </c>
    </row>
    <row r="1915">
      <c r="B1915" s="47" t="n"/>
      <c r="C1915" s="48" t="n"/>
      <c r="D1915" s="48" t="n"/>
      <c r="E1915" s="48" t="n"/>
      <c r="F1915" s="48" t="n"/>
      <c r="G1915" s="49" t="n"/>
      <c r="H1915" s="48" t="n"/>
      <c r="I1915" s="50" t="n"/>
      <c r="J1915" s="48" t="n"/>
      <c r="K1915" s="48" t="n"/>
      <c r="L1915" s="48" t="n"/>
      <c r="M1915" s="48" t="n"/>
      <c r="N1915" s="48" t="n"/>
      <c r="O1915" s="51">
        <f>IF(AND(B1915="",G1915="",C1915="",D1915="",J1915=""),"",IF(B1915="","⚠ Falta fecha",IF(G1915="","⚠ Falta monto",IF(Q1915="","⚠ Falta cuenta",IF(ISNA(MATCH(Q1915,ctaNombre,0)),"⚠ Cuenta no registrada",IF(AND(OR(P1915="Gasto",P1915="Reembolso"),D1915=""),"⚠ Falta categoría",IF(AND(D1915&lt;&gt;"",E1915&lt;&gt;"",ISNA(MATCH(D1915&amp;"|"&amp;E1915,catClave,0))),"⚠ Subcategoría no corresponde",IF(AND(OR(P1915="Transferencia",P1915="Pago tarjeta"),K1915=""),"⚠ Falta cuenta destino",IF(AND(K1915&lt;&gt;"",P1915&lt;&gt;"Transferencia",P1915&lt;&gt;"Pago tarjeta"),"⚠ Destino solo aplica a transferencias",IF(AND(K1915&lt;&gt;"",K1915=Q1915),"⚠ Origen igual a destino",IF(AND(K1915&lt;&gt;"",ISNA(MATCH(K1915,ctaNombre,0))),"⚠ Destino no registrado",IF(AND(P1915="Pago tarjeta",AE1915&lt;&gt;"Tarjeta de crédito"),"⚠ El destino debe ser tarjeta de crédito",IF(AND(P1915="Gasto",E1915="Depósitos y retiros"),"⚠ Usa tipo Transferencia",IF(AND(P1915="Resultado trading",AD1915&lt;&gt;"Cuenta de trading"),"⚠ Usa una cuenta de trading",IF(AND(G1915&lt;=0,P1915&lt;&gt;"Ajuste",P1915&lt;&gt;"Resultado trading"),"⚠ El monto debe ser positivo","✓")))))))))))))))</f>
        <v/>
      </c>
      <c r="P1915" s="52">
        <f>IF(OR(B1915="",G1915=""),"",IF(C1915="","Gasto",C1915))</f>
        <v/>
      </c>
      <c r="Q1915" s="52">
        <f>IF(P1915="","",IF(J1915&lt;&gt;"",J1915,CuentaPred&amp;""))</f>
        <v/>
      </c>
      <c r="R1915" s="52">
        <f>IF(P1915="","",IF(ISNUMBER(I1915),I1915,TasaUSD))</f>
        <v/>
      </c>
      <c r="S1915" s="53">
        <f>IF(P1915="","",IF(H1915="USD",G1915*R1915,G1915))</f>
        <v/>
      </c>
      <c r="T1915" s="53">
        <f>IF(P1915="","",IF(H1915="USD",G1915,IF(R1915&gt;0,G1915/R1915,0)))</f>
        <v/>
      </c>
      <c r="U1915" s="53">
        <f>IF(P1915="","",IF(P1915="Gasto",S1915,IF(P1915="Reembolso",-S1915,0)))</f>
        <v/>
      </c>
      <c r="V1915" s="53">
        <f>IF(P1915="","",IF(P1915="Ingreso",S1915,0))</f>
        <v/>
      </c>
      <c r="W1915" s="53">
        <f>IF(P1915="","",IF(P1915="Resultado trading",S1915,0))</f>
        <v/>
      </c>
      <c r="X1915" s="52">
        <f>IF(OR(P1915="Gasto",P1915="Reembolso"),IF(M1915&lt;&gt;"",M1915,IFERROR(INDEX(catClasif,MATCH(D1915&amp;"|"&amp;E1915,catClave,0))&amp;"","Variable")),"")</f>
        <v/>
      </c>
      <c r="Y1915" s="52">
        <f>IF(P1915="","",IFERROR(INDEX(catGrupo,MATCH(D1915&amp;"|"&amp;E1915,catClave,0))&amp;"",""))</f>
        <v/>
      </c>
      <c r="Z1915" s="52">
        <f>IF(P1915="","",WEEKDAY(B1915,2))</f>
        <v/>
      </c>
      <c r="AA1915" s="52">
        <f>IF(P1915="","",IF(AND(P1915="Gasto",X1915="Variable",D1915&lt;&gt;catTrading,S1915&gt;0,S1915&lt;=Umbral),1,0))</f>
        <v/>
      </c>
      <c r="AB1915" s="52">
        <f>IF(OR(P1915="",Q1915=""),"",IFERROR(IF(INDEX(ctaVinc,MATCH(Q1915,ctaNombre,0))&amp;""&lt;&gt;"",INDEX(ctaVinc,MATCH(Q1915,ctaNombre,0))&amp;"",Q1915),Q1915))</f>
        <v/>
      </c>
      <c r="AC1915" s="52">
        <f>IF(OR(K1915="",AND(P1915&lt;&gt;"Transferencia",P1915&lt;&gt;"Pago tarjeta")),"",IFERROR(IF(INDEX(ctaVinc,MATCH(K1915,ctaNombre,0))&amp;""&lt;&gt;"",INDEX(ctaVinc,MATCH(K1915,ctaNombre,0))&amp;"",K1915),K1915))</f>
        <v/>
      </c>
      <c r="AD1915" s="52">
        <f>IF(AB1915="","",IFERROR(INDEX(ctaTipo,MATCH(AB1915,ctaNombre,0))&amp;"",""))</f>
        <v/>
      </c>
      <c r="AE1915" s="52">
        <f>IF(AC1915="","",IFERROR(INDEX(ctaTipo,MATCH(AC1915,ctaNombre,0))&amp;"",""))</f>
        <v/>
      </c>
      <c r="AF1915" s="53">
        <f>IF(OR(P1915="",AB1915=""),"",IF(OR(P1915="Gasto",P1915="Transferencia",P1915="Pago tarjeta"),-1,1)*IF(IFERROR(INDEX(ctaMoneda,MATCH(AB1915,ctaNombre,0))&amp;"","DOP")="USD",T1915,S1915))</f>
        <v/>
      </c>
      <c r="AG1915" s="53">
        <f>IF(AC1915="","",IF(IFERROR(INDEX(ctaMoneda,MATCH(AC1915,ctaNombre,0))&amp;"","DOP")="USD",T1915,S1915))</f>
        <v/>
      </c>
      <c r="AH1915" s="53">
        <f>IF(P1915="","",IF(AND(AD1915&lt;&gt;"",COUNTIFS(tcTipo,AD1915,tcLiq,"Sí")&gt;0),IF(OR(P1915="Gasto",P1915="Transferencia",P1915="Pago tarjeta"),-1,1)*S1915,0)+IF(AND(AE1915&lt;&gt;"",COUNTIFS(tcTipo,AE1915,tcLiq,"Sí")&gt;0),S1915,0))</f>
        <v/>
      </c>
      <c r="AI1915" s="52">
        <f>IF(OR(L1915="",P1915=""),"",IF(COUNTIFS(L$6:L1915,L1915,P$6:P1915,"?*")=1,MAX(AI$5:AI1914)+1,""))</f>
        <v/>
      </c>
    </row>
    <row r="1916">
      <c r="B1916" s="47" t="n"/>
      <c r="C1916" s="48" t="n"/>
      <c r="D1916" s="48" t="n"/>
      <c r="E1916" s="48" t="n"/>
      <c r="F1916" s="48" t="n"/>
      <c r="G1916" s="49" t="n"/>
      <c r="H1916" s="48" t="n"/>
      <c r="I1916" s="50" t="n"/>
      <c r="J1916" s="48" t="n"/>
      <c r="K1916" s="48" t="n"/>
      <c r="L1916" s="48" t="n"/>
      <c r="M1916" s="48" t="n"/>
      <c r="N1916" s="48" t="n"/>
      <c r="O1916" s="51">
        <f>IF(AND(B1916="",G1916="",C1916="",D1916="",J1916=""),"",IF(B1916="","⚠ Falta fecha",IF(G1916="","⚠ Falta monto",IF(Q1916="","⚠ Falta cuenta",IF(ISNA(MATCH(Q1916,ctaNombre,0)),"⚠ Cuenta no registrada",IF(AND(OR(P1916="Gasto",P1916="Reembolso"),D1916=""),"⚠ Falta categoría",IF(AND(D1916&lt;&gt;"",E1916&lt;&gt;"",ISNA(MATCH(D1916&amp;"|"&amp;E1916,catClave,0))),"⚠ Subcategoría no corresponde",IF(AND(OR(P1916="Transferencia",P1916="Pago tarjeta"),K1916=""),"⚠ Falta cuenta destino",IF(AND(K1916&lt;&gt;"",P1916&lt;&gt;"Transferencia",P1916&lt;&gt;"Pago tarjeta"),"⚠ Destino solo aplica a transferencias",IF(AND(K1916&lt;&gt;"",K1916=Q1916),"⚠ Origen igual a destino",IF(AND(K1916&lt;&gt;"",ISNA(MATCH(K1916,ctaNombre,0))),"⚠ Destino no registrado",IF(AND(P1916="Pago tarjeta",AE1916&lt;&gt;"Tarjeta de crédito"),"⚠ El destino debe ser tarjeta de crédito",IF(AND(P1916="Gasto",E1916="Depósitos y retiros"),"⚠ Usa tipo Transferencia",IF(AND(P1916="Resultado trading",AD1916&lt;&gt;"Cuenta de trading"),"⚠ Usa una cuenta de trading",IF(AND(G1916&lt;=0,P1916&lt;&gt;"Ajuste",P1916&lt;&gt;"Resultado trading"),"⚠ El monto debe ser positivo","✓")))))))))))))))</f>
        <v/>
      </c>
      <c r="P1916" s="52">
        <f>IF(OR(B1916="",G1916=""),"",IF(C1916="","Gasto",C1916))</f>
        <v/>
      </c>
      <c r="Q1916" s="52">
        <f>IF(P1916="","",IF(J1916&lt;&gt;"",J1916,CuentaPred&amp;""))</f>
        <v/>
      </c>
      <c r="R1916" s="52">
        <f>IF(P1916="","",IF(ISNUMBER(I1916),I1916,TasaUSD))</f>
        <v/>
      </c>
      <c r="S1916" s="53">
        <f>IF(P1916="","",IF(H1916="USD",G1916*R1916,G1916))</f>
        <v/>
      </c>
      <c r="T1916" s="53">
        <f>IF(P1916="","",IF(H1916="USD",G1916,IF(R1916&gt;0,G1916/R1916,0)))</f>
        <v/>
      </c>
      <c r="U1916" s="53">
        <f>IF(P1916="","",IF(P1916="Gasto",S1916,IF(P1916="Reembolso",-S1916,0)))</f>
        <v/>
      </c>
      <c r="V1916" s="53">
        <f>IF(P1916="","",IF(P1916="Ingreso",S1916,0))</f>
        <v/>
      </c>
      <c r="W1916" s="53">
        <f>IF(P1916="","",IF(P1916="Resultado trading",S1916,0))</f>
        <v/>
      </c>
      <c r="X1916" s="52">
        <f>IF(OR(P1916="Gasto",P1916="Reembolso"),IF(M1916&lt;&gt;"",M1916,IFERROR(INDEX(catClasif,MATCH(D1916&amp;"|"&amp;E1916,catClave,0))&amp;"","Variable")),"")</f>
        <v/>
      </c>
      <c r="Y1916" s="52">
        <f>IF(P1916="","",IFERROR(INDEX(catGrupo,MATCH(D1916&amp;"|"&amp;E1916,catClave,0))&amp;"",""))</f>
        <v/>
      </c>
      <c r="Z1916" s="52">
        <f>IF(P1916="","",WEEKDAY(B1916,2))</f>
        <v/>
      </c>
      <c r="AA1916" s="52">
        <f>IF(P1916="","",IF(AND(P1916="Gasto",X1916="Variable",D1916&lt;&gt;catTrading,S1916&gt;0,S1916&lt;=Umbral),1,0))</f>
        <v/>
      </c>
      <c r="AB1916" s="52">
        <f>IF(OR(P1916="",Q1916=""),"",IFERROR(IF(INDEX(ctaVinc,MATCH(Q1916,ctaNombre,0))&amp;""&lt;&gt;"",INDEX(ctaVinc,MATCH(Q1916,ctaNombre,0))&amp;"",Q1916),Q1916))</f>
        <v/>
      </c>
      <c r="AC1916" s="52">
        <f>IF(OR(K1916="",AND(P1916&lt;&gt;"Transferencia",P1916&lt;&gt;"Pago tarjeta")),"",IFERROR(IF(INDEX(ctaVinc,MATCH(K1916,ctaNombre,0))&amp;""&lt;&gt;"",INDEX(ctaVinc,MATCH(K1916,ctaNombre,0))&amp;"",K1916),K1916))</f>
        <v/>
      </c>
      <c r="AD1916" s="52">
        <f>IF(AB1916="","",IFERROR(INDEX(ctaTipo,MATCH(AB1916,ctaNombre,0))&amp;"",""))</f>
        <v/>
      </c>
      <c r="AE1916" s="52">
        <f>IF(AC1916="","",IFERROR(INDEX(ctaTipo,MATCH(AC1916,ctaNombre,0))&amp;"",""))</f>
        <v/>
      </c>
      <c r="AF1916" s="53">
        <f>IF(OR(P1916="",AB1916=""),"",IF(OR(P1916="Gasto",P1916="Transferencia",P1916="Pago tarjeta"),-1,1)*IF(IFERROR(INDEX(ctaMoneda,MATCH(AB1916,ctaNombre,0))&amp;"","DOP")="USD",T1916,S1916))</f>
        <v/>
      </c>
      <c r="AG1916" s="53">
        <f>IF(AC1916="","",IF(IFERROR(INDEX(ctaMoneda,MATCH(AC1916,ctaNombre,0))&amp;"","DOP")="USD",T1916,S1916))</f>
        <v/>
      </c>
      <c r="AH1916" s="53">
        <f>IF(P1916="","",IF(AND(AD1916&lt;&gt;"",COUNTIFS(tcTipo,AD1916,tcLiq,"Sí")&gt;0),IF(OR(P1916="Gasto",P1916="Transferencia",P1916="Pago tarjeta"),-1,1)*S1916,0)+IF(AND(AE1916&lt;&gt;"",COUNTIFS(tcTipo,AE1916,tcLiq,"Sí")&gt;0),S1916,0))</f>
        <v/>
      </c>
      <c r="AI1916" s="52">
        <f>IF(OR(L1916="",P1916=""),"",IF(COUNTIFS(L$6:L1916,L1916,P$6:P1916,"?*")=1,MAX(AI$5:AI1915)+1,""))</f>
        <v/>
      </c>
    </row>
    <row r="1917">
      <c r="B1917" s="47" t="n"/>
      <c r="C1917" s="48" t="n"/>
      <c r="D1917" s="48" t="n"/>
      <c r="E1917" s="48" t="n"/>
      <c r="F1917" s="48" t="n"/>
      <c r="G1917" s="49" t="n"/>
      <c r="H1917" s="48" t="n"/>
      <c r="I1917" s="50" t="n"/>
      <c r="J1917" s="48" t="n"/>
      <c r="K1917" s="48" t="n"/>
      <c r="L1917" s="48" t="n"/>
      <c r="M1917" s="48" t="n"/>
      <c r="N1917" s="48" t="n"/>
      <c r="O1917" s="51">
        <f>IF(AND(B1917="",G1917="",C1917="",D1917="",J1917=""),"",IF(B1917="","⚠ Falta fecha",IF(G1917="","⚠ Falta monto",IF(Q1917="","⚠ Falta cuenta",IF(ISNA(MATCH(Q1917,ctaNombre,0)),"⚠ Cuenta no registrada",IF(AND(OR(P1917="Gasto",P1917="Reembolso"),D1917=""),"⚠ Falta categoría",IF(AND(D1917&lt;&gt;"",E1917&lt;&gt;"",ISNA(MATCH(D1917&amp;"|"&amp;E1917,catClave,0))),"⚠ Subcategoría no corresponde",IF(AND(OR(P1917="Transferencia",P1917="Pago tarjeta"),K1917=""),"⚠ Falta cuenta destino",IF(AND(K1917&lt;&gt;"",P1917&lt;&gt;"Transferencia",P1917&lt;&gt;"Pago tarjeta"),"⚠ Destino solo aplica a transferencias",IF(AND(K1917&lt;&gt;"",K1917=Q1917),"⚠ Origen igual a destino",IF(AND(K1917&lt;&gt;"",ISNA(MATCH(K1917,ctaNombre,0))),"⚠ Destino no registrado",IF(AND(P1917="Pago tarjeta",AE1917&lt;&gt;"Tarjeta de crédito"),"⚠ El destino debe ser tarjeta de crédito",IF(AND(P1917="Gasto",E1917="Depósitos y retiros"),"⚠ Usa tipo Transferencia",IF(AND(P1917="Resultado trading",AD1917&lt;&gt;"Cuenta de trading"),"⚠ Usa una cuenta de trading",IF(AND(G1917&lt;=0,P1917&lt;&gt;"Ajuste",P1917&lt;&gt;"Resultado trading"),"⚠ El monto debe ser positivo","✓")))))))))))))))</f>
        <v/>
      </c>
      <c r="P1917" s="52">
        <f>IF(OR(B1917="",G1917=""),"",IF(C1917="","Gasto",C1917))</f>
        <v/>
      </c>
      <c r="Q1917" s="52">
        <f>IF(P1917="","",IF(J1917&lt;&gt;"",J1917,CuentaPred&amp;""))</f>
        <v/>
      </c>
      <c r="R1917" s="52">
        <f>IF(P1917="","",IF(ISNUMBER(I1917),I1917,TasaUSD))</f>
        <v/>
      </c>
      <c r="S1917" s="53">
        <f>IF(P1917="","",IF(H1917="USD",G1917*R1917,G1917))</f>
        <v/>
      </c>
      <c r="T1917" s="53">
        <f>IF(P1917="","",IF(H1917="USD",G1917,IF(R1917&gt;0,G1917/R1917,0)))</f>
        <v/>
      </c>
      <c r="U1917" s="53">
        <f>IF(P1917="","",IF(P1917="Gasto",S1917,IF(P1917="Reembolso",-S1917,0)))</f>
        <v/>
      </c>
      <c r="V1917" s="53">
        <f>IF(P1917="","",IF(P1917="Ingreso",S1917,0))</f>
        <v/>
      </c>
      <c r="W1917" s="53">
        <f>IF(P1917="","",IF(P1917="Resultado trading",S1917,0))</f>
        <v/>
      </c>
      <c r="X1917" s="52">
        <f>IF(OR(P1917="Gasto",P1917="Reembolso"),IF(M1917&lt;&gt;"",M1917,IFERROR(INDEX(catClasif,MATCH(D1917&amp;"|"&amp;E1917,catClave,0))&amp;"","Variable")),"")</f>
        <v/>
      </c>
      <c r="Y1917" s="52">
        <f>IF(P1917="","",IFERROR(INDEX(catGrupo,MATCH(D1917&amp;"|"&amp;E1917,catClave,0))&amp;"",""))</f>
        <v/>
      </c>
      <c r="Z1917" s="52">
        <f>IF(P1917="","",WEEKDAY(B1917,2))</f>
        <v/>
      </c>
      <c r="AA1917" s="52">
        <f>IF(P1917="","",IF(AND(P1917="Gasto",X1917="Variable",D1917&lt;&gt;catTrading,S1917&gt;0,S1917&lt;=Umbral),1,0))</f>
        <v/>
      </c>
      <c r="AB1917" s="52">
        <f>IF(OR(P1917="",Q1917=""),"",IFERROR(IF(INDEX(ctaVinc,MATCH(Q1917,ctaNombre,0))&amp;""&lt;&gt;"",INDEX(ctaVinc,MATCH(Q1917,ctaNombre,0))&amp;"",Q1917),Q1917))</f>
        <v/>
      </c>
      <c r="AC1917" s="52">
        <f>IF(OR(K1917="",AND(P1917&lt;&gt;"Transferencia",P1917&lt;&gt;"Pago tarjeta")),"",IFERROR(IF(INDEX(ctaVinc,MATCH(K1917,ctaNombre,0))&amp;""&lt;&gt;"",INDEX(ctaVinc,MATCH(K1917,ctaNombre,0))&amp;"",K1917),K1917))</f>
        <v/>
      </c>
      <c r="AD1917" s="52">
        <f>IF(AB1917="","",IFERROR(INDEX(ctaTipo,MATCH(AB1917,ctaNombre,0))&amp;"",""))</f>
        <v/>
      </c>
      <c r="AE1917" s="52">
        <f>IF(AC1917="","",IFERROR(INDEX(ctaTipo,MATCH(AC1917,ctaNombre,0))&amp;"",""))</f>
        <v/>
      </c>
      <c r="AF1917" s="53">
        <f>IF(OR(P1917="",AB1917=""),"",IF(OR(P1917="Gasto",P1917="Transferencia",P1917="Pago tarjeta"),-1,1)*IF(IFERROR(INDEX(ctaMoneda,MATCH(AB1917,ctaNombre,0))&amp;"","DOP")="USD",T1917,S1917))</f>
        <v/>
      </c>
      <c r="AG1917" s="53">
        <f>IF(AC1917="","",IF(IFERROR(INDEX(ctaMoneda,MATCH(AC1917,ctaNombre,0))&amp;"","DOP")="USD",T1917,S1917))</f>
        <v/>
      </c>
      <c r="AH1917" s="53">
        <f>IF(P1917="","",IF(AND(AD1917&lt;&gt;"",COUNTIFS(tcTipo,AD1917,tcLiq,"Sí")&gt;0),IF(OR(P1917="Gasto",P1917="Transferencia",P1917="Pago tarjeta"),-1,1)*S1917,0)+IF(AND(AE1917&lt;&gt;"",COUNTIFS(tcTipo,AE1917,tcLiq,"Sí")&gt;0),S1917,0))</f>
        <v/>
      </c>
      <c r="AI1917" s="52">
        <f>IF(OR(L1917="",P1917=""),"",IF(COUNTIFS(L$6:L1917,L1917,P$6:P1917,"?*")=1,MAX(AI$5:AI1916)+1,""))</f>
        <v/>
      </c>
    </row>
    <row r="1918">
      <c r="B1918" s="47" t="n"/>
      <c r="C1918" s="48" t="n"/>
      <c r="D1918" s="48" t="n"/>
      <c r="E1918" s="48" t="n"/>
      <c r="F1918" s="48" t="n"/>
      <c r="G1918" s="49" t="n"/>
      <c r="H1918" s="48" t="n"/>
      <c r="I1918" s="50" t="n"/>
      <c r="J1918" s="48" t="n"/>
      <c r="K1918" s="48" t="n"/>
      <c r="L1918" s="48" t="n"/>
      <c r="M1918" s="48" t="n"/>
      <c r="N1918" s="48" t="n"/>
      <c r="O1918" s="51">
        <f>IF(AND(B1918="",G1918="",C1918="",D1918="",J1918=""),"",IF(B1918="","⚠ Falta fecha",IF(G1918="","⚠ Falta monto",IF(Q1918="","⚠ Falta cuenta",IF(ISNA(MATCH(Q1918,ctaNombre,0)),"⚠ Cuenta no registrada",IF(AND(OR(P1918="Gasto",P1918="Reembolso"),D1918=""),"⚠ Falta categoría",IF(AND(D1918&lt;&gt;"",E1918&lt;&gt;"",ISNA(MATCH(D1918&amp;"|"&amp;E1918,catClave,0))),"⚠ Subcategoría no corresponde",IF(AND(OR(P1918="Transferencia",P1918="Pago tarjeta"),K1918=""),"⚠ Falta cuenta destino",IF(AND(K1918&lt;&gt;"",P1918&lt;&gt;"Transferencia",P1918&lt;&gt;"Pago tarjeta"),"⚠ Destino solo aplica a transferencias",IF(AND(K1918&lt;&gt;"",K1918=Q1918),"⚠ Origen igual a destino",IF(AND(K1918&lt;&gt;"",ISNA(MATCH(K1918,ctaNombre,0))),"⚠ Destino no registrado",IF(AND(P1918="Pago tarjeta",AE1918&lt;&gt;"Tarjeta de crédito"),"⚠ El destino debe ser tarjeta de crédito",IF(AND(P1918="Gasto",E1918="Depósitos y retiros"),"⚠ Usa tipo Transferencia",IF(AND(P1918="Resultado trading",AD1918&lt;&gt;"Cuenta de trading"),"⚠ Usa una cuenta de trading",IF(AND(G1918&lt;=0,P1918&lt;&gt;"Ajuste",P1918&lt;&gt;"Resultado trading"),"⚠ El monto debe ser positivo","✓")))))))))))))))</f>
        <v/>
      </c>
      <c r="P1918" s="52">
        <f>IF(OR(B1918="",G1918=""),"",IF(C1918="","Gasto",C1918))</f>
        <v/>
      </c>
      <c r="Q1918" s="52">
        <f>IF(P1918="","",IF(J1918&lt;&gt;"",J1918,CuentaPred&amp;""))</f>
        <v/>
      </c>
      <c r="R1918" s="52">
        <f>IF(P1918="","",IF(ISNUMBER(I1918),I1918,TasaUSD))</f>
        <v/>
      </c>
      <c r="S1918" s="53">
        <f>IF(P1918="","",IF(H1918="USD",G1918*R1918,G1918))</f>
        <v/>
      </c>
      <c r="T1918" s="53">
        <f>IF(P1918="","",IF(H1918="USD",G1918,IF(R1918&gt;0,G1918/R1918,0)))</f>
        <v/>
      </c>
      <c r="U1918" s="53">
        <f>IF(P1918="","",IF(P1918="Gasto",S1918,IF(P1918="Reembolso",-S1918,0)))</f>
        <v/>
      </c>
      <c r="V1918" s="53">
        <f>IF(P1918="","",IF(P1918="Ingreso",S1918,0))</f>
        <v/>
      </c>
      <c r="W1918" s="53">
        <f>IF(P1918="","",IF(P1918="Resultado trading",S1918,0))</f>
        <v/>
      </c>
      <c r="X1918" s="52">
        <f>IF(OR(P1918="Gasto",P1918="Reembolso"),IF(M1918&lt;&gt;"",M1918,IFERROR(INDEX(catClasif,MATCH(D1918&amp;"|"&amp;E1918,catClave,0))&amp;"","Variable")),"")</f>
        <v/>
      </c>
      <c r="Y1918" s="52">
        <f>IF(P1918="","",IFERROR(INDEX(catGrupo,MATCH(D1918&amp;"|"&amp;E1918,catClave,0))&amp;"",""))</f>
        <v/>
      </c>
      <c r="Z1918" s="52">
        <f>IF(P1918="","",WEEKDAY(B1918,2))</f>
        <v/>
      </c>
      <c r="AA1918" s="52">
        <f>IF(P1918="","",IF(AND(P1918="Gasto",X1918="Variable",D1918&lt;&gt;catTrading,S1918&gt;0,S1918&lt;=Umbral),1,0))</f>
        <v/>
      </c>
      <c r="AB1918" s="52">
        <f>IF(OR(P1918="",Q1918=""),"",IFERROR(IF(INDEX(ctaVinc,MATCH(Q1918,ctaNombre,0))&amp;""&lt;&gt;"",INDEX(ctaVinc,MATCH(Q1918,ctaNombre,0))&amp;"",Q1918),Q1918))</f>
        <v/>
      </c>
      <c r="AC1918" s="52">
        <f>IF(OR(K1918="",AND(P1918&lt;&gt;"Transferencia",P1918&lt;&gt;"Pago tarjeta")),"",IFERROR(IF(INDEX(ctaVinc,MATCH(K1918,ctaNombre,0))&amp;""&lt;&gt;"",INDEX(ctaVinc,MATCH(K1918,ctaNombre,0))&amp;"",K1918),K1918))</f>
        <v/>
      </c>
      <c r="AD1918" s="52">
        <f>IF(AB1918="","",IFERROR(INDEX(ctaTipo,MATCH(AB1918,ctaNombre,0))&amp;"",""))</f>
        <v/>
      </c>
      <c r="AE1918" s="52">
        <f>IF(AC1918="","",IFERROR(INDEX(ctaTipo,MATCH(AC1918,ctaNombre,0))&amp;"",""))</f>
        <v/>
      </c>
      <c r="AF1918" s="53">
        <f>IF(OR(P1918="",AB1918=""),"",IF(OR(P1918="Gasto",P1918="Transferencia",P1918="Pago tarjeta"),-1,1)*IF(IFERROR(INDEX(ctaMoneda,MATCH(AB1918,ctaNombre,0))&amp;"","DOP")="USD",T1918,S1918))</f>
        <v/>
      </c>
      <c r="AG1918" s="53">
        <f>IF(AC1918="","",IF(IFERROR(INDEX(ctaMoneda,MATCH(AC1918,ctaNombre,0))&amp;"","DOP")="USD",T1918,S1918))</f>
        <v/>
      </c>
      <c r="AH1918" s="53">
        <f>IF(P1918="","",IF(AND(AD1918&lt;&gt;"",COUNTIFS(tcTipo,AD1918,tcLiq,"Sí")&gt;0),IF(OR(P1918="Gasto",P1918="Transferencia",P1918="Pago tarjeta"),-1,1)*S1918,0)+IF(AND(AE1918&lt;&gt;"",COUNTIFS(tcTipo,AE1918,tcLiq,"Sí")&gt;0),S1918,0))</f>
        <v/>
      </c>
      <c r="AI1918" s="52">
        <f>IF(OR(L1918="",P1918=""),"",IF(COUNTIFS(L$6:L1918,L1918,P$6:P1918,"?*")=1,MAX(AI$5:AI1917)+1,""))</f>
        <v/>
      </c>
    </row>
    <row r="1919">
      <c r="B1919" s="47" t="n"/>
      <c r="C1919" s="48" t="n"/>
      <c r="D1919" s="48" t="n"/>
      <c r="E1919" s="48" t="n"/>
      <c r="F1919" s="48" t="n"/>
      <c r="G1919" s="49" t="n"/>
      <c r="H1919" s="48" t="n"/>
      <c r="I1919" s="50" t="n"/>
      <c r="J1919" s="48" t="n"/>
      <c r="K1919" s="48" t="n"/>
      <c r="L1919" s="48" t="n"/>
      <c r="M1919" s="48" t="n"/>
      <c r="N1919" s="48" t="n"/>
      <c r="O1919" s="51">
        <f>IF(AND(B1919="",G1919="",C1919="",D1919="",J1919=""),"",IF(B1919="","⚠ Falta fecha",IF(G1919="","⚠ Falta monto",IF(Q1919="","⚠ Falta cuenta",IF(ISNA(MATCH(Q1919,ctaNombre,0)),"⚠ Cuenta no registrada",IF(AND(OR(P1919="Gasto",P1919="Reembolso"),D1919=""),"⚠ Falta categoría",IF(AND(D1919&lt;&gt;"",E1919&lt;&gt;"",ISNA(MATCH(D1919&amp;"|"&amp;E1919,catClave,0))),"⚠ Subcategoría no corresponde",IF(AND(OR(P1919="Transferencia",P1919="Pago tarjeta"),K1919=""),"⚠ Falta cuenta destino",IF(AND(K1919&lt;&gt;"",P1919&lt;&gt;"Transferencia",P1919&lt;&gt;"Pago tarjeta"),"⚠ Destino solo aplica a transferencias",IF(AND(K1919&lt;&gt;"",K1919=Q1919),"⚠ Origen igual a destino",IF(AND(K1919&lt;&gt;"",ISNA(MATCH(K1919,ctaNombre,0))),"⚠ Destino no registrado",IF(AND(P1919="Pago tarjeta",AE1919&lt;&gt;"Tarjeta de crédito"),"⚠ El destino debe ser tarjeta de crédito",IF(AND(P1919="Gasto",E1919="Depósitos y retiros"),"⚠ Usa tipo Transferencia",IF(AND(P1919="Resultado trading",AD1919&lt;&gt;"Cuenta de trading"),"⚠ Usa una cuenta de trading",IF(AND(G1919&lt;=0,P1919&lt;&gt;"Ajuste",P1919&lt;&gt;"Resultado trading"),"⚠ El monto debe ser positivo","✓")))))))))))))))</f>
        <v/>
      </c>
      <c r="P1919" s="52">
        <f>IF(OR(B1919="",G1919=""),"",IF(C1919="","Gasto",C1919))</f>
        <v/>
      </c>
      <c r="Q1919" s="52">
        <f>IF(P1919="","",IF(J1919&lt;&gt;"",J1919,CuentaPred&amp;""))</f>
        <v/>
      </c>
      <c r="R1919" s="52">
        <f>IF(P1919="","",IF(ISNUMBER(I1919),I1919,TasaUSD))</f>
        <v/>
      </c>
      <c r="S1919" s="53">
        <f>IF(P1919="","",IF(H1919="USD",G1919*R1919,G1919))</f>
        <v/>
      </c>
      <c r="T1919" s="53">
        <f>IF(P1919="","",IF(H1919="USD",G1919,IF(R1919&gt;0,G1919/R1919,0)))</f>
        <v/>
      </c>
      <c r="U1919" s="53">
        <f>IF(P1919="","",IF(P1919="Gasto",S1919,IF(P1919="Reembolso",-S1919,0)))</f>
        <v/>
      </c>
      <c r="V1919" s="53">
        <f>IF(P1919="","",IF(P1919="Ingreso",S1919,0))</f>
        <v/>
      </c>
      <c r="W1919" s="53">
        <f>IF(P1919="","",IF(P1919="Resultado trading",S1919,0))</f>
        <v/>
      </c>
      <c r="X1919" s="52">
        <f>IF(OR(P1919="Gasto",P1919="Reembolso"),IF(M1919&lt;&gt;"",M1919,IFERROR(INDEX(catClasif,MATCH(D1919&amp;"|"&amp;E1919,catClave,0))&amp;"","Variable")),"")</f>
        <v/>
      </c>
      <c r="Y1919" s="52">
        <f>IF(P1919="","",IFERROR(INDEX(catGrupo,MATCH(D1919&amp;"|"&amp;E1919,catClave,0))&amp;"",""))</f>
        <v/>
      </c>
      <c r="Z1919" s="52">
        <f>IF(P1919="","",WEEKDAY(B1919,2))</f>
        <v/>
      </c>
      <c r="AA1919" s="52">
        <f>IF(P1919="","",IF(AND(P1919="Gasto",X1919="Variable",D1919&lt;&gt;catTrading,S1919&gt;0,S1919&lt;=Umbral),1,0))</f>
        <v/>
      </c>
      <c r="AB1919" s="52">
        <f>IF(OR(P1919="",Q1919=""),"",IFERROR(IF(INDEX(ctaVinc,MATCH(Q1919,ctaNombre,0))&amp;""&lt;&gt;"",INDEX(ctaVinc,MATCH(Q1919,ctaNombre,0))&amp;"",Q1919),Q1919))</f>
        <v/>
      </c>
      <c r="AC1919" s="52">
        <f>IF(OR(K1919="",AND(P1919&lt;&gt;"Transferencia",P1919&lt;&gt;"Pago tarjeta")),"",IFERROR(IF(INDEX(ctaVinc,MATCH(K1919,ctaNombre,0))&amp;""&lt;&gt;"",INDEX(ctaVinc,MATCH(K1919,ctaNombre,0))&amp;"",K1919),K1919))</f>
        <v/>
      </c>
      <c r="AD1919" s="52">
        <f>IF(AB1919="","",IFERROR(INDEX(ctaTipo,MATCH(AB1919,ctaNombre,0))&amp;"",""))</f>
        <v/>
      </c>
      <c r="AE1919" s="52">
        <f>IF(AC1919="","",IFERROR(INDEX(ctaTipo,MATCH(AC1919,ctaNombre,0))&amp;"",""))</f>
        <v/>
      </c>
      <c r="AF1919" s="53">
        <f>IF(OR(P1919="",AB1919=""),"",IF(OR(P1919="Gasto",P1919="Transferencia",P1919="Pago tarjeta"),-1,1)*IF(IFERROR(INDEX(ctaMoneda,MATCH(AB1919,ctaNombre,0))&amp;"","DOP")="USD",T1919,S1919))</f>
        <v/>
      </c>
      <c r="AG1919" s="53">
        <f>IF(AC1919="","",IF(IFERROR(INDEX(ctaMoneda,MATCH(AC1919,ctaNombre,0))&amp;"","DOP")="USD",T1919,S1919))</f>
        <v/>
      </c>
      <c r="AH1919" s="53">
        <f>IF(P1919="","",IF(AND(AD1919&lt;&gt;"",COUNTIFS(tcTipo,AD1919,tcLiq,"Sí")&gt;0),IF(OR(P1919="Gasto",P1919="Transferencia",P1919="Pago tarjeta"),-1,1)*S1919,0)+IF(AND(AE1919&lt;&gt;"",COUNTIFS(tcTipo,AE1919,tcLiq,"Sí")&gt;0),S1919,0))</f>
        <v/>
      </c>
      <c r="AI1919" s="52">
        <f>IF(OR(L1919="",P1919=""),"",IF(COUNTIFS(L$6:L1919,L1919,P$6:P1919,"?*")=1,MAX(AI$5:AI1918)+1,""))</f>
        <v/>
      </c>
    </row>
    <row r="1920">
      <c r="B1920" s="47" t="n"/>
      <c r="C1920" s="48" t="n"/>
      <c r="D1920" s="48" t="n"/>
      <c r="E1920" s="48" t="n"/>
      <c r="F1920" s="48" t="n"/>
      <c r="G1920" s="49" t="n"/>
      <c r="H1920" s="48" t="n"/>
      <c r="I1920" s="50" t="n"/>
      <c r="J1920" s="48" t="n"/>
      <c r="K1920" s="48" t="n"/>
      <c r="L1920" s="48" t="n"/>
      <c r="M1920" s="48" t="n"/>
      <c r="N1920" s="48" t="n"/>
      <c r="O1920" s="51">
        <f>IF(AND(B1920="",G1920="",C1920="",D1920="",J1920=""),"",IF(B1920="","⚠ Falta fecha",IF(G1920="","⚠ Falta monto",IF(Q1920="","⚠ Falta cuenta",IF(ISNA(MATCH(Q1920,ctaNombre,0)),"⚠ Cuenta no registrada",IF(AND(OR(P1920="Gasto",P1920="Reembolso"),D1920=""),"⚠ Falta categoría",IF(AND(D1920&lt;&gt;"",E1920&lt;&gt;"",ISNA(MATCH(D1920&amp;"|"&amp;E1920,catClave,0))),"⚠ Subcategoría no corresponde",IF(AND(OR(P1920="Transferencia",P1920="Pago tarjeta"),K1920=""),"⚠ Falta cuenta destino",IF(AND(K1920&lt;&gt;"",P1920&lt;&gt;"Transferencia",P1920&lt;&gt;"Pago tarjeta"),"⚠ Destino solo aplica a transferencias",IF(AND(K1920&lt;&gt;"",K1920=Q1920),"⚠ Origen igual a destino",IF(AND(K1920&lt;&gt;"",ISNA(MATCH(K1920,ctaNombre,0))),"⚠ Destino no registrado",IF(AND(P1920="Pago tarjeta",AE1920&lt;&gt;"Tarjeta de crédito"),"⚠ El destino debe ser tarjeta de crédito",IF(AND(P1920="Gasto",E1920="Depósitos y retiros"),"⚠ Usa tipo Transferencia",IF(AND(P1920="Resultado trading",AD1920&lt;&gt;"Cuenta de trading"),"⚠ Usa una cuenta de trading",IF(AND(G1920&lt;=0,P1920&lt;&gt;"Ajuste",P1920&lt;&gt;"Resultado trading"),"⚠ El monto debe ser positivo","✓")))))))))))))))</f>
        <v/>
      </c>
      <c r="P1920" s="52">
        <f>IF(OR(B1920="",G1920=""),"",IF(C1920="","Gasto",C1920))</f>
        <v/>
      </c>
      <c r="Q1920" s="52">
        <f>IF(P1920="","",IF(J1920&lt;&gt;"",J1920,CuentaPred&amp;""))</f>
        <v/>
      </c>
      <c r="R1920" s="52">
        <f>IF(P1920="","",IF(ISNUMBER(I1920),I1920,TasaUSD))</f>
        <v/>
      </c>
      <c r="S1920" s="53">
        <f>IF(P1920="","",IF(H1920="USD",G1920*R1920,G1920))</f>
        <v/>
      </c>
      <c r="T1920" s="53">
        <f>IF(P1920="","",IF(H1920="USD",G1920,IF(R1920&gt;0,G1920/R1920,0)))</f>
        <v/>
      </c>
      <c r="U1920" s="53">
        <f>IF(P1920="","",IF(P1920="Gasto",S1920,IF(P1920="Reembolso",-S1920,0)))</f>
        <v/>
      </c>
      <c r="V1920" s="53">
        <f>IF(P1920="","",IF(P1920="Ingreso",S1920,0))</f>
        <v/>
      </c>
      <c r="W1920" s="53">
        <f>IF(P1920="","",IF(P1920="Resultado trading",S1920,0))</f>
        <v/>
      </c>
      <c r="X1920" s="52">
        <f>IF(OR(P1920="Gasto",P1920="Reembolso"),IF(M1920&lt;&gt;"",M1920,IFERROR(INDEX(catClasif,MATCH(D1920&amp;"|"&amp;E1920,catClave,0))&amp;"","Variable")),"")</f>
        <v/>
      </c>
      <c r="Y1920" s="52">
        <f>IF(P1920="","",IFERROR(INDEX(catGrupo,MATCH(D1920&amp;"|"&amp;E1920,catClave,0))&amp;"",""))</f>
        <v/>
      </c>
      <c r="Z1920" s="52">
        <f>IF(P1920="","",WEEKDAY(B1920,2))</f>
        <v/>
      </c>
      <c r="AA1920" s="52">
        <f>IF(P1920="","",IF(AND(P1920="Gasto",X1920="Variable",D1920&lt;&gt;catTrading,S1920&gt;0,S1920&lt;=Umbral),1,0))</f>
        <v/>
      </c>
      <c r="AB1920" s="52">
        <f>IF(OR(P1920="",Q1920=""),"",IFERROR(IF(INDEX(ctaVinc,MATCH(Q1920,ctaNombre,0))&amp;""&lt;&gt;"",INDEX(ctaVinc,MATCH(Q1920,ctaNombre,0))&amp;"",Q1920),Q1920))</f>
        <v/>
      </c>
      <c r="AC1920" s="52">
        <f>IF(OR(K1920="",AND(P1920&lt;&gt;"Transferencia",P1920&lt;&gt;"Pago tarjeta")),"",IFERROR(IF(INDEX(ctaVinc,MATCH(K1920,ctaNombre,0))&amp;""&lt;&gt;"",INDEX(ctaVinc,MATCH(K1920,ctaNombre,0))&amp;"",K1920),K1920))</f>
        <v/>
      </c>
      <c r="AD1920" s="52">
        <f>IF(AB1920="","",IFERROR(INDEX(ctaTipo,MATCH(AB1920,ctaNombre,0))&amp;"",""))</f>
        <v/>
      </c>
      <c r="AE1920" s="52">
        <f>IF(AC1920="","",IFERROR(INDEX(ctaTipo,MATCH(AC1920,ctaNombre,0))&amp;"",""))</f>
        <v/>
      </c>
      <c r="AF1920" s="53">
        <f>IF(OR(P1920="",AB1920=""),"",IF(OR(P1920="Gasto",P1920="Transferencia",P1920="Pago tarjeta"),-1,1)*IF(IFERROR(INDEX(ctaMoneda,MATCH(AB1920,ctaNombre,0))&amp;"","DOP")="USD",T1920,S1920))</f>
        <v/>
      </c>
      <c r="AG1920" s="53">
        <f>IF(AC1920="","",IF(IFERROR(INDEX(ctaMoneda,MATCH(AC1920,ctaNombre,0))&amp;"","DOP")="USD",T1920,S1920))</f>
        <v/>
      </c>
      <c r="AH1920" s="53">
        <f>IF(P1920="","",IF(AND(AD1920&lt;&gt;"",COUNTIFS(tcTipo,AD1920,tcLiq,"Sí")&gt;0),IF(OR(P1920="Gasto",P1920="Transferencia",P1920="Pago tarjeta"),-1,1)*S1920,0)+IF(AND(AE1920&lt;&gt;"",COUNTIFS(tcTipo,AE1920,tcLiq,"Sí")&gt;0),S1920,0))</f>
        <v/>
      </c>
      <c r="AI1920" s="52">
        <f>IF(OR(L1920="",P1920=""),"",IF(COUNTIFS(L$6:L1920,L1920,P$6:P1920,"?*")=1,MAX(AI$5:AI1919)+1,""))</f>
        <v/>
      </c>
    </row>
    <row r="1921">
      <c r="B1921" s="47" t="n"/>
      <c r="C1921" s="48" t="n"/>
      <c r="D1921" s="48" t="n"/>
      <c r="E1921" s="48" t="n"/>
      <c r="F1921" s="48" t="n"/>
      <c r="G1921" s="49" t="n"/>
      <c r="H1921" s="48" t="n"/>
      <c r="I1921" s="50" t="n"/>
      <c r="J1921" s="48" t="n"/>
      <c r="K1921" s="48" t="n"/>
      <c r="L1921" s="48" t="n"/>
      <c r="M1921" s="48" t="n"/>
      <c r="N1921" s="48" t="n"/>
      <c r="O1921" s="51">
        <f>IF(AND(B1921="",G1921="",C1921="",D1921="",J1921=""),"",IF(B1921="","⚠ Falta fecha",IF(G1921="","⚠ Falta monto",IF(Q1921="","⚠ Falta cuenta",IF(ISNA(MATCH(Q1921,ctaNombre,0)),"⚠ Cuenta no registrada",IF(AND(OR(P1921="Gasto",P1921="Reembolso"),D1921=""),"⚠ Falta categoría",IF(AND(D1921&lt;&gt;"",E1921&lt;&gt;"",ISNA(MATCH(D1921&amp;"|"&amp;E1921,catClave,0))),"⚠ Subcategoría no corresponde",IF(AND(OR(P1921="Transferencia",P1921="Pago tarjeta"),K1921=""),"⚠ Falta cuenta destino",IF(AND(K1921&lt;&gt;"",P1921&lt;&gt;"Transferencia",P1921&lt;&gt;"Pago tarjeta"),"⚠ Destino solo aplica a transferencias",IF(AND(K1921&lt;&gt;"",K1921=Q1921),"⚠ Origen igual a destino",IF(AND(K1921&lt;&gt;"",ISNA(MATCH(K1921,ctaNombre,0))),"⚠ Destino no registrado",IF(AND(P1921="Pago tarjeta",AE1921&lt;&gt;"Tarjeta de crédito"),"⚠ El destino debe ser tarjeta de crédito",IF(AND(P1921="Gasto",E1921="Depósitos y retiros"),"⚠ Usa tipo Transferencia",IF(AND(P1921="Resultado trading",AD1921&lt;&gt;"Cuenta de trading"),"⚠ Usa una cuenta de trading",IF(AND(G1921&lt;=0,P1921&lt;&gt;"Ajuste",P1921&lt;&gt;"Resultado trading"),"⚠ El monto debe ser positivo","✓")))))))))))))))</f>
        <v/>
      </c>
      <c r="P1921" s="52">
        <f>IF(OR(B1921="",G1921=""),"",IF(C1921="","Gasto",C1921))</f>
        <v/>
      </c>
      <c r="Q1921" s="52">
        <f>IF(P1921="","",IF(J1921&lt;&gt;"",J1921,CuentaPred&amp;""))</f>
        <v/>
      </c>
      <c r="R1921" s="52">
        <f>IF(P1921="","",IF(ISNUMBER(I1921),I1921,TasaUSD))</f>
        <v/>
      </c>
      <c r="S1921" s="53">
        <f>IF(P1921="","",IF(H1921="USD",G1921*R1921,G1921))</f>
        <v/>
      </c>
      <c r="T1921" s="53">
        <f>IF(P1921="","",IF(H1921="USD",G1921,IF(R1921&gt;0,G1921/R1921,0)))</f>
        <v/>
      </c>
      <c r="U1921" s="53">
        <f>IF(P1921="","",IF(P1921="Gasto",S1921,IF(P1921="Reembolso",-S1921,0)))</f>
        <v/>
      </c>
      <c r="V1921" s="53">
        <f>IF(P1921="","",IF(P1921="Ingreso",S1921,0))</f>
        <v/>
      </c>
      <c r="W1921" s="53">
        <f>IF(P1921="","",IF(P1921="Resultado trading",S1921,0))</f>
        <v/>
      </c>
      <c r="X1921" s="52">
        <f>IF(OR(P1921="Gasto",P1921="Reembolso"),IF(M1921&lt;&gt;"",M1921,IFERROR(INDEX(catClasif,MATCH(D1921&amp;"|"&amp;E1921,catClave,0))&amp;"","Variable")),"")</f>
        <v/>
      </c>
      <c r="Y1921" s="52">
        <f>IF(P1921="","",IFERROR(INDEX(catGrupo,MATCH(D1921&amp;"|"&amp;E1921,catClave,0))&amp;"",""))</f>
        <v/>
      </c>
      <c r="Z1921" s="52">
        <f>IF(P1921="","",WEEKDAY(B1921,2))</f>
        <v/>
      </c>
      <c r="AA1921" s="52">
        <f>IF(P1921="","",IF(AND(P1921="Gasto",X1921="Variable",D1921&lt;&gt;catTrading,S1921&gt;0,S1921&lt;=Umbral),1,0))</f>
        <v/>
      </c>
      <c r="AB1921" s="52">
        <f>IF(OR(P1921="",Q1921=""),"",IFERROR(IF(INDEX(ctaVinc,MATCH(Q1921,ctaNombre,0))&amp;""&lt;&gt;"",INDEX(ctaVinc,MATCH(Q1921,ctaNombre,0))&amp;"",Q1921),Q1921))</f>
        <v/>
      </c>
      <c r="AC1921" s="52">
        <f>IF(OR(K1921="",AND(P1921&lt;&gt;"Transferencia",P1921&lt;&gt;"Pago tarjeta")),"",IFERROR(IF(INDEX(ctaVinc,MATCH(K1921,ctaNombre,0))&amp;""&lt;&gt;"",INDEX(ctaVinc,MATCH(K1921,ctaNombre,0))&amp;"",K1921),K1921))</f>
        <v/>
      </c>
      <c r="AD1921" s="52">
        <f>IF(AB1921="","",IFERROR(INDEX(ctaTipo,MATCH(AB1921,ctaNombre,0))&amp;"",""))</f>
        <v/>
      </c>
      <c r="AE1921" s="52">
        <f>IF(AC1921="","",IFERROR(INDEX(ctaTipo,MATCH(AC1921,ctaNombre,0))&amp;"",""))</f>
        <v/>
      </c>
      <c r="AF1921" s="53">
        <f>IF(OR(P1921="",AB1921=""),"",IF(OR(P1921="Gasto",P1921="Transferencia",P1921="Pago tarjeta"),-1,1)*IF(IFERROR(INDEX(ctaMoneda,MATCH(AB1921,ctaNombre,0))&amp;"","DOP")="USD",T1921,S1921))</f>
        <v/>
      </c>
      <c r="AG1921" s="53">
        <f>IF(AC1921="","",IF(IFERROR(INDEX(ctaMoneda,MATCH(AC1921,ctaNombre,0))&amp;"","DOP")="USD",T1921,S1921))</f>
        <v/>
      </c>
      <c r="AH1921" s="53">
        <f>IF(P1921="","",IF(AND(AD1921&lt;&gt;"",COUNTIFS(tcTipo,AD1921,tcLiq,"Sí")&gt;0),IF(OR(P1921="Gasto",P1921="Transferencia",P1921="Pago tarjeta"),-1,1)*S1921,0)+IF(AND(AE1921&lt;&gt;"",COUNTIFS(tcTipo,AE1921,tcLiq,"Sí")&gt;0),S1921,0))</f>
        <v/>
      </c>
      <c r="AI1921" s="52">
        <f>IF(OR(L1921="",P1921=""),"",IF(COUNTIFS(L$6:L1921,L1921,P$6:P1921,"?*")=1,MAX(AI$5:AI1920)+1,""))</f>
        <v/>
      </c>
    </row>
    <row r="1922">
      <c r="B1922" s="47" t="n"/>
      <c r="C1922" s="48" t="n"/>
      <c r="D1922" s="48" t="n"/>
      <c r="E1922" s="48" t="n"/>
      <c r="F1922" s="48" t="n"/>
      <c r="G1922" s="49" t="n"/>
      <c r="H1922" s="48" t="n"/>
      <c r="I1922" s="50" t="n"/>
      <c r="J1922" s="48" t="n"/>
      <c r="K1922" s="48" t="n"/>
      <c r="L1922" s="48" t="n"/>
      <c r="M1922" s="48" t="n"/>
      <c r="N1922" s="48" t="n"/>
      <c r="O1922" s="51">
        <f>IF(AND(B1922="",G1922="",C1922="",D1922="",J1922=""),"",IF(B1922="","⚠ Falta fecha",IF(G1922="","⚠ Falta monto",IF(Q1922="","⚠ Falta cuenta",IF(ISNA(MATCH(Q1922,ctaNombre,0)),"⚠ Cuenta no registrada",IF(AND(OR(P1922="Gasto",P1922="Reembolso"),D1922=""),"⚠ Falta categoría",IF(AND(D1922&lt;&gt;"",E1922&lt;&gt;"",ISNA(MATCH(D1922&amp;"|"&amp;E1922,catClave,0))),"⚠ Subcategoría no corresponde",IF(AND(OR(P1922="Transferencia",P1922="Pago tarjeta"),K1922=""),"⚠ Falta cuenta destino",IF(AND(K1922&lt;&gt;"",P1922&lt;&gt;"Transferencia",P1922&lt;&gt;"Pago tarjeta"),"⚠ Destino solo aplica a transferencias",IF(AND(K1922&lt;&gt;"",K1922=Q1922),"⚠ Origen igual a destino",IF(AND(K1922&lt;&gt;"",ISNA(MATCH(K1922,ctaNombre,0))),"⚠ Destino no registrado",IF(AND(P1922="Pago tarjeta",AE1922&lt;&gt;"Tarjeta de crédito"),"⚠ El destino debe ser tarjeta de crédito",IF(AND(P1922="Gasto",E1922="Depósitos y retiros"),"⚠ Usa tipo Transferencia",IF(AND(P1922="Resultado trading",AD1922&lt;&gt;"Cuenta de trading"),"⚠ Usa una cuenta de trading",IF(AND(G1922&lt;=0,P1922&lt;&gt;"Ajuste",P1922&lt;&gt;"Resultado trading"),"⚠ El monto debe ser positivo","✓")))))))))))))))</f>
        <v/>
      </c>
      <c r="P1922" s="52">
        <f>IF(OR(B1922="",G1922=""),"",IF(C1922="","Gasto",C1922))</f>
        <v/>
      </c>
      <c r="Q1922" s="52">
        <f>IF(P1922="","",IF(J1922&lt;&gt;"",J1922,CuentaPred&amp;""))</f>
        <v/>
      </c>
      <c r="R1922" s="52">
        <f>IF(P1922="","",IF(ISNUMBER(I1922),I1922,TasaUSD))</f>
        <v/>
      </c>
      <c r="S1922" s="53">
        <f>IF(P1922="","",IF(H1922="USD",G1922*R1922,G1922))</f>
        <v/>
      </c>
      <c r="T1922" s="53">
        <f>IF(P1922="","",IF(H1922="USD",G1922,IF(R1922&gt;0,G1922/R1922,0)))</f>
        <v/>
      </c>
      <c r="U1922" s="53">
        <f>IF(P1922="","",IF(P1922="Gasto",S1922,IF(P1922="Reembolso",-S1922,0)))</f>
        <v/>
      </c>
      <c r="V1922" s="53">
        <f>IF(P1922="","",IF(P1922="Ingreso",S1922,0))</f>
        <v/>
      </c>
      <c r="W1922" s="53">
        <f>IF(P1922="","",IF(P1922="Resultado trading",S1922,0))</f>
        <v/>
      </c>
      <c r="X1922" s="52">
        <f>IF(OR(P1922="Gasto",P1922="Reembolso"),IF(M1922&lt;&gt;"",M1922,IFERROR(INDEX(catClasif,MATCH(D1922&amp;"|"&amp;E1922,catClave,0))&amp;"","Variable")),"")</f>
        <v/>
      </c>
      <c r="Y1922" s="52">
        <f>IF(P1922="","",IFERROR(INDEX(catGrupo,MATCH(D1922&amp;"|"&amp;E1922,catClave,0))&amp;"",""))</f>
        <v/>
      </c>
      <c r="Z1922" s="52">
        <f>IF(P1922="","",WEEKDAY(B1922,2))</f>
        <v/>
      </c>
      <c r="AA1922" s="52">
        <f>IF(P1922="","",IF(AND(P1922="Gasto",X1922="Variable",D1922&lt;&gt;catTrading,S1922&gt;0,S1922&lt;=Umbral),1,0))</f>
        <v/>
      </c>
      <c r="AB1922" s="52">
        <f>IF(OR(P1922="",Q1922=""),"",IFERROR(IF(INDEX(ctaVinc,MATCH(Q1922,ctaNombre,0))&amp;""&lt;&gt;"",INDEX(ctaVinc,MATCH(Q1922,ctaNombre,0))&amp;"",Q1922),Q1922))</f>
        <v/>
      </c>
      <c r="AC1922" s="52">
        <f>IF(OR(K1922="",AND(P1922&lt;&gt;"Transferencia",P1922&lt;&gt;"Pago tarjeta")),"",IFERROR(IF(INDEX(ctaVinc,MATCH(K1922,ctaNombre,0))&amp;""&lt;&gt;"",INDEX(ctaVinc,MATCH(K1922,ctaNombre,0))&amp;"",K1922),K1922))</f>
        <v/>
      </c>
      <c r="AD1922" s="52">
        <f>IF(AB1922="","",IFERROR(INDEX(ctaTipo,MATCH(AB1922,ctaNombre,0))&amp;"",""))</f>
        <v/>
      </c>
      <c r="AE1922" s="52">
        <f>IF(AC1922="","",IFERROR(INDEX(ctaTipo,MATCH(AC1922,ctaNombre,0))&amp;"",""))</f>
        <v/>
      </c>
      <c r="AF1922" s="53">
        <f>IF(OR(P1922="",AB1922=""),"",IF(OR(P1922="Gasto",P1922="Transferencia",P1922="Pago tarjeta"),-1,1)*IF(IFERROR(INDEX(ctaMoneda,MATCH(AB1922,ctaNombre,0))&amp;"","DOP")="USD",T1922,S1922))</f>
        <v/>
      </c>
      <c r="AG1922" s="53">
        <f>IF(AC1922="","",IF(IFERROR(INDEX(ctaMoneda,MATCH(AC1922,ctaNombre,0))&amp;"","DOP")="USD",T1922,S1922))</f>
        <v/>
      </c>
      <c r="AH1922" s="53">
        <f>IF(P1922="","",IF(AND(AD1922&lt;&gt;"",COUNTIFS(tcTipo,AD1922,tcLiq,"Sí")&gt;0),IF(OR(P1922="Gasto",P1922="Transferencia",P1922="Pago tarjeta"),-1,1)*S1922,0)+IF(AND(AE1922&lt;&gt;"",COUNTIFS(tcTipo,AE1922,tcLiq,"Sí")&gt;0),S1922,0))</f>
        <v/>
      </c>
      <c r="AI1922" s="52">
        <f>IF(OR(L1922="",P1922=""),"",IF(COUNTIFS(L$6:L1922,L1922,P$6:P1922,"?*")=1,MAX(AI$5:AI1921)+1,""))</f>
        <v/>
      </c>
    </row>
    <row r="1923">
      <c r="B1923" s="47" t="n"/>
      <c r="C1923" s="48" t="n"/>
      <c r="D1923" s="48" t="n"/>
      <c r="E1923" s="48" t="n"/>
      <c r="F1923" s="48" t="n"/>
      <c r="G1923" s="49" t="n"/>
      <c r="H1923" s="48" t="n"/>
      <c r="I1923" s="50" t="n"/>
      <c r="J1923" s="48" t="n"/>
      <c r="K1923" s="48" t="n"/>
      <c r="L1923" s="48" t="n"/>
      <c r="M1923" s="48" t="n"/>
      <c r="N1923" s="48" t="n"/>
      <c r="O1923" s="51">
        <f>IF(AND(B1923="",G1923="",C1923="",D1923="",J1923=""),"",IF(B1923="","⚠ Falta fecha",IF(G1923="","⚠ Falta monto",IF(Q1923="","⚠ Falta cuenta",IF(ISNA(MATCH(Q1923,ctaNombre,0)),"⚠ Cuenta no registrada",IF(AND(OR(P1923="Gasto",P1923="Reembolso"),D1923=""),"⚠ Falta categoría",IF(AND(D1923&lt;&gt;"",E1923&lt;&gt;"",ISNA(MATCH(D1923&amp;"|"&amp;E1923,catClave,0))),"⚠ Subcategoría no corresponde",IF(AND(OR(P1923="Transferencia",P1923="Pago tarjeta"),K1923=""),"⚠ Falta cuenta destino",IF(AND(K1923&lt;&gt;"",P1923&lt;&gt;"Transferencia",P1923&lt;&gt;"Pago tarjeta"),"⚠ Destino solo aplica a transferencias",IF(AND(K1923&lt;&gt;"",K1923=Q1923),"⚠ Origen igual a destino",IF(AND(K1923&lt;&gt;"",ISNA(MATCH(K1923,ctaNombre,0))),"⚠ Destino no registrado",IF(AND(P1923="Pago tarjeta",AE1923&lt;&gt;"Tarjeta de crédito"),"⚠ El destino debe ser tarjeta de crédito",IF(AND(P1923="Gasto",E1923="Depósitos y retiros"),"⚠ Usa tipo Transferencia",IF(AND(P1923="Resultado trading",AD1923&lt;&gt;"Cuenta de trading"),"⚠ Usa una cuenta de trading",IF(AND(G1923&lt;=0,P1923&lt;&gt;"Ajuste",P1923&lt;&gt;"Resultado trading"),"⚠ El monto debe ser positivo","✓")))))))))))))))</f>
        <v/>
      </c>
      <c r="P1923" s="52">
        <f>IF(OR(B1923="",G1923=""),"",IF(C1923="","Gasto",C1923))</f>
        <v/>
      </c>
      <c r="Q1923" s="52">
        <f>IF(P1923="","",IF(J1923&lt;&gt;"",J1923,CuentaPred&amp;""))</f>
        <v/>
      </c>
      <c r="R1923" s="52">
        <f>IF(P1923="","",IF(ISNUMBER(I1923),I1923,TasaUSD))</f>
        <v/>
      </c>
      <c r="S1923" s="53">
        <f>IF(P1923="","",IF(H1923="USD",G1923*R1923,G1923))</f>
        <v/>
      </c>
      <c r="T1923" s="53">
        <f>IF(P1923="","",IF(H1923="USD",G1923,IF(R1923&gt;0,G1923/R1923,0)))</f>
        <v/>
      </c>
      <c r="U1923" s="53">
        <f>IF(P1923="","",IF(P1923="Gasto",S1923,IF(P1923="Reembolso",-S1923,0)))</f>
        <v/>
      </c>
      <c r="V1923" s="53">
        <f>IF(P1923="","",IF(P1923="Ingreso",S1923,0))</f>
        <v/>
      </c>
      <c r="W1923" s="53">
        <f>IF(P1923="","",IF(P1923="Resultado trading",S1923,0))</f>
        <v/>
      </c>
      <c r="X1923" s="52">
        <f>IF(OR(P1923="Gasto",P1923="Reembolso"),IF(M1923&lt;&gt;"",M1923,IFERROR(INDEX(catClasif,MATCH(D1923&amp;"|"&amp;E1923,catClave,0))&amp;"","Variable")),"")</f>
        <v/>
      </c>
      <c r="Y1923" s="52">
        <f>IF(P1923="","",IFERROR(INDEX(catGrupo,MATCH(D1923&amp;"|"&amp;E1923,catClave,0))&amp;"",""))</f>
        <v/>
      </c>
      <c r="Z1923" s="52">
        <f>IF(P1923="","",WEEKDAY(B1923,2))</f>
        <v/>
      </c>
      <c r="AA1923" s="52">
        <f>IF(P1923="","",IF(AND(P1923="Gasto",X1923="Variable",D1923&lt;&gt;catTrading,S1923&gt;0,S1923&lt;=Umbral),1,0))</f>
        <v/>
      </c>
      <c r="AB1923" s="52">
        <f>IF(OR(P1923="",Q1923=""),"",IFERROR(IF(INDEX(ctaVinc,MATCH(Q1923,ctaNombre,0))&amp;""&lt;&gt;"",INDEX(ctaVinc,MATCH(Q1923,ctaNombre,0))&amp;"",Q1923),Q1923))</f>
        <v/>
      </c>
      <c r="AC1923" s="52">
        <f>IF(OR(K1923="",AND(P1923&lt;&gt;"Transferencia",P1923&lt;&gt;"Pago tarjeta")),"",IFERROR(IF(INDEX(ctaVinc,MATCH(K1923,ctaNombre,0))&amp;""&lt;&gt;"",INDEX(ctaVinc,MATCH(K1923,ctaNombre,0))&amp;"",K1923),K1923))</f>
        <v/>
      </c>
      <c r="AD1923" s="52">
        <f>IF(AB1923="","",IFERROR(INDEX(ctaTipo,MATCH(AB1923,ctaNombre,0))&amp;"",""))</f>
        <v/>
      </c>
      <c r="AE1923" s="52">
        <f>IF(AC1923="","",IFERROR(INDEX(ctaTipo,MATCH(AC1923,ctaNombre,0))&amp;"",""))</f>
        <v/>
      </c>
      <c r="AF1923" s="53">
        <f>IF(OR(P1923="",AB1923=""),"",IF(OR(P1923="Gasto",P1923="Transferencia",P1923="Pago tarjeta"),-1,1)*IF(IFERROR(INDEX(ctaMoneda,MATCH(AB1923,ctaNombre,0))&amp;"","DOP")="USD",T1923,S1923))</f>
        <v/>
      </c>
      <c r="AG1923" s="53">
        <f>IF(AC1923="","",IF(IFERROR(INDEX(ctaMoneda,MATCH(AC1923,ctaNombre,0))&amp;"","DOP")="USD",T1923,S1923))</f>
        <v/>
      </c>
      <c r="AH1923" s="53">
        <f>IF(P1923="","",IF(AND(AD1923&lt;&gt;"",COUNTIFS(tcTipo,AD1923,tcLiq,"Sí")&gt;0),IF(OR(P1923="Gasto",P1923="Transferencia",P1923="Pago tarjeta"),-1,1)*S1923,0)+IF(AND(AE1923&lt;&gt;"",COUNTIFS(tcTipo,AE1923,tcLiq,"Sí")&gt;0),S1923,0))</f>
        <v/>
      </c>
      <c r="AI1923" s="52">
        <f>IF(OR(L1923="",P1923=""),"",IF(COUNTIFS(L$6:L1923,L1923,P$6:P1923,"?*")=1,MAX(AI$5:AI1922)+1,""))</f>
        <v/>
      </c>
    </row>
    <row r="1924">
      <c r="B1924" s="47" t="n"/>
      <c r="C1924" s="48" t="n"/>
      <c r="D1924" s="48" t="n"/>
      <c r="E1924" s="48" t="n"/>
      <c r="F1924" s="48" t="n"/>
      <c r="G1924" s="49" t="n"/>
      <c r="H1924" s="48" t="n"/>
      <c r="I1924" s="50" t="n"/>
      <c r="J1924" s="48" t="n"/>
      <c r="K1924" s="48" t="n"/>
      <c r="L1924" s="48" t="n"/>
      <c r="M1924" s="48" t="n"/>
      <c r="N1924" s="48" t="n"/>
      <c r="O1924" s="51">
        <f>IF(AND(B1924="",G1924="",C1924="",D1924="",J1924=""),"",IF(B1924="","⚠ Falta fecha",IF(G1924="","⚠ Falta monto",IF(Q1924="","⚠ Falta cuenta",IF(ISNA(MATCH(Q1924,ctaNombre,0)),"⚠ Cuenta no registrada",IF(AND(OR(P1924="Gasto",P1924="Reembolso"),D1924=""),"⚠ Falta categoría",IF(AND(D1924&lt;&gt;"",E1924&lt;&gt;"",ISNA(MATCH(D1924&amp;"|"&amp;E1924,catClave,0))),"⚠ Subcategoría no corresponde",IF(AND(OR(P1924="Transferencia",P1924="Pago tarjeta"),K1924=""),"⚠ Falta cuenta destino",IF(AND(K1924&lt;&gt;"",P1924&lt;&gt;"Transferencia",P1924&lt;&gt;"Pago tarjeta"),"⚠ Destino solo aplica a transferencias",IF(AND(K1924&lt;&gt;"",K1924=Q1924),"⚠ Origen igual a destino",IF(AND(K1924&lt;&gt;"",ISNA(MATCH(K1924,ctaNombre,0))),"⚠ Destino no registrado",IF(AND(P1924="Pago tarjeta",AE1924&lt;&gt;"Tarjeta de crédito"),"⚠ El destino debe ser tarjeta de crédito",IF(AND(P1924="Gasto",E1924="Depósitos y retiros"),"⚠ Usa tipo Transferencia",IF(AND(P1924="Resultado trading",AD1924&lt;&gt;"Cuenta de trading"),"⚠ Usa una cuenta de trading",IF(AND(G1924&lt;=0,P1924&lt;&gt;"Ajuste",P1924&lt;&gt;"Resultado trading"),"⚠ El monto debe ser positivo","✓")))))))))))))))</f>
        <v/>
      </c>
      <c r="P1924" s="52">
        <f>IF(OR(B1924="",G1924=""),"",IF(C1924="","Gasto",C1924))</f>
        <v/>
      </c>
      <c r="Q1924" s="52">
        <f>IF(P1924="","",IF(J1924&lt;&gt;"",J1924,CuentaPred&amp;""))</f>
        <v/>
      </c>
      <c r="R1924" s="52">
        <f>IF(P1924="","",IF(ISNUMBER(I1924),I1924,TasaUSD))</f>
        <v/>
      </c>
      <c r="S1924" s="53">
        <f>IF(P1924="","",IF(H1924="USD",G1924*R1924,G1924))</f>
        <v/>
      </c>
      <c r="T1924" s="53">
        <f>IF(P1924="","",IF(H1924="USD",G1924,IF(R1924&gt;0,G1924/R1924,0)))</f>
        <v/>
      </c>
      <c r="U1924" s="53">
        <f>IF(P1924="","",IF(P1924="Gasto",S1924,IF(P1924="Reembolso",-S1924,0)))</f>
        <v/>
      </c>
      <c r="V1924" s="53">
        <f>IF(P1924="","",IF(P1924="Ingreso",S1924,0))</f>
        <v/>
      </c>
      <c r="W1924" s="53">
        <f>IF(P1924="","",IF(P1924="Resultado trading",S1924,0))</f>
        <v/>
      </c>
      <c r="X1924" s="52">
        <f>IF(OR(P1924="Gasto",P1924="Reembolso"),IF(M1924&lt;&gt;"",M1924,IFERROR(INDEX(catClasif,MATCH(D1924&amp;"|"&amp;E1924,catClave,0))&amp;"","Variable")),"")</f>
        <v/>
      </c>
      <c r="Y1924" s="52">
        <f>IF(P1924="","",IFERROR(INDEX(catGrupo,MATCH(D1924&amp;"|"&amp;E1924,catClave,0))&amp;"",""))</f>
        <v/>
      </c>
      <c r="Z1924" s="52">
        <f>IF(P1924="","",WEEKDAY(B1924,2))</f>
        <v/>
      </c>
      <c r="AA1924" s="52">
        <f>IF(P1924="","",IF(AND(P1924="Gasto",X1924="Variable",D1924&lt;&gt;catTrading,S1924&gt;0,S1924&lt;=Umbral),1,0))</f>
        <v/>
      </c>
      <c r="AB1924" s="52">
        <f>IF(OR(P1924="",Q1924=""),"",IFERROR(IF(INDEX(ctaVinc,MATCH(Q1924,ctaNombre,0))&amp;""&lt;&gt;"",INDEX(ctaVinc,MATCH(Q1924,ctaNombre,0))&amp;"",Q1924),Q1924))</f>
        <v/>
      </c>
      <c r="AC1924" s="52">
        <f>IF(OR(K1924="",AND(P1924&lt;&gt;"Transferencia",P1924&lt;&gt;"Pago tarjeta")),"",IFERROR(IF(INDEX(ctaVinc,MATCH(K1924,ctaNombre,0))&amp;""&lt;&gt;"",INDEX(ctaVinc,MATCH(K1924,ctaNombre,0))&amp;"",K1924),K1924))</f>
        <v/>
      </c>
      <c r="AD1924" s="52">
        <f>IF(AB1924="","",IFERROR(INDEX(ctaTipo,MATCH(AB1924,ctaNombre,0))&amp;"",""))</f>
        <v/>
      </c>
      <c r="AE1924" s="52">
        <f>IF(AC1924="","",IFERROR(INDEX(ctaTipo,MATCH(AC1924,ctaNombre,0))&amp;"",""))</f>
        <v/>
      </c>
      <c r="AF1924" s="53">
        <f>IF(OR(P1924="",AB1924=""),"",IF(OR(P1924="Gasto",P1924="Transferencia",P1924="Pago tarjeta"),-1,1)*IF(IFERROR(INDEX(ctaMoneda,MATCH(AB1924,ctaNombre,0))&amp;"","DOP")="USD",T1924,S1924))</f>
        <v/>
      </c>
      <c r="AG1924" s="53">
        <f>IF(AC1924="","",IF(IFERROR(INDEX(ctaMoneda,MATCH(AC1924,ctaNombre,0))&amp;"","DOP")="USD",T1924,S1924))</f>
        <v/>
      </c>
      <c r="AH1924" s="53">
        <f>IF(P1924="","",IF(AND(AD1924&lt;&gt;"",COUNTIFS(tcTipo,AD1924,tcLiq,"Sí")&gt;0),IF(OR(P1924="Gasto",P1924="Transferencia",P1924="Pago tarjeta"),-1,1)*S1924,0)+IF(AND(AE1924&lt;&gt;"",COUNTIFS(tcTipo,AE1924,tcLiq,"Sí")&gt;0),S1924,0))</f>
        <v/>
      </c>
      <c r="AI1924" s="52">
        <f>IF(OR(L1924="",P1924=""),"",IF(COUNTIFS(L$6:L1924,L1924,P$6:P1924,"?*")=1,MAX(AI$5:AI1923)+1,""))</f>
        <v/>
      </c>
    </row>
    <row r="1925">
      <c r="B1925" s="47" t="n"/>
      <c r="C1925" s="48" t="n"/>
      <c r="D1925" s="48" t="n"/>
      <c r="E1925" s="48" t="n"/>
      <c r="F1925" s="48" t="n"/>
      <c r="G1925" s="49" t="n"/>
      <c r="H1925" s="48" t="n"/>
      <c r="I1925" s="50" t="n"/>
      <c r="J1925" s="48" t="n"/>
      <c r="K1925" s="48" t="n"/>
      <c r="L1925" s="48" t="n"/>
      <c r="M1925" s="48" t="n"/>
      <c r="N1925" s="48" t="n"/>
      <c r="O1925" s="51">
        <f>IF(AND(B1925="",G1925="",C1925="",D1925="",J1925=""),"",IF(B1925="","⚠ Falta fecha",IF(G1925="","⚠ Falta monto",IF(Q1925="","⚠ Falta cuenta",IF(ISNA(MATCH(Q1925,ctaNombre,0)),"⚠ Cuenta no registrada",IF(AND(OR(P1925="Gasto",P1925="Reembolso"),D1925=""),"⚠ Falta categoría",IF(AND(D1925&lt;&gt;"",E1925&lt;&gt;"",ISNA(MATCH(D1925&amp;"|"&amp;E1925,catClave,0))),"⚠ Subcategoría no corresponde",IF(AND(OR(P1925="Transferencia",P1925="Pago tarjeta"),K1925=""),"⚠ Falta cuenta destino",IF(AND(K1925&lt;&gt;"",P1925&lt;&gt;"Transferencia",P1925&lt;&gt;"Pago tarjeta"),"⚠ Destino solo aplica a transferencias",IF(AND(K1925&lt;&gt;"",K1925=Q1925),"⚠ Origen igual a destino",IF(AND(K1925&lt;&gt;"",ISNA(MATCH(K1925,ctaNombre,0))),"⚠ Destino no registrado",IF(AND(P1925="Pago tarjeta",AE1925&lt;&gt;"Tarjeta de crédito"),"⚠ El destino debe ser tarjeta de crédito",IF(AND(P1925="Gasto",E1925="Depósitos y retiros"),"⚠ Usa tipo Transferencia",IF(AND(P1925="Resultado trading",AD1925&lt;&gt;"Cuenta de trading"),"⚠ Usa una cuenta de trading",IF(AND(G1925&lt;=0,P1925&lt;&gt;"Ajuste",P1925&lt;&gt;"Resultado trading"),"⚠ El monto debe ser positivo","✓")))))))))))))))</f>
        <v/>
      </c>
      <c r="P1925" s="52">
        <f>IF(OR(B1925="",G1925=""),"",IF(C1925="","Gasto",C1925))</f>
        <v/>
      </c>
      <c r="Q1925" s="52">
        <f>IF(P1925="","",IF(J1925&lt;&gt;"",J1925,CuentaPred&amp;""))</f>
        <v/>
      </c>
      <c r="R1925" s="52">
        <f>IF(P1925="","",IF(ISNUMBER(I1925),I1925,TasaUSD))</f>
        <v/>
      </c>
      <c r="S1925" s="53">
        <f>IF(P1925="","",IF(H1925="USD",G1925*R1925,G1925))</f>
        <v/>
      </c>
      <c r="T1925" s="53">
        <f>IF(P1925="","",IF(H1925="USD",G1925,IF(R1925&gt;0,G1925/R1925,0)))</f>
        <v/>
      </c>
      <c r="U1925" s="53">
        <f>IF(P1925="","",IF(P1925="Gasto",S1925,IF(P1925="Reembolso",-S1925,0)))</f>
        <v/>
      </c>
      <c r="V1925" s="53">
        <f>IF(P1925="","",IF(P1925="Ingreso",S1925,0))</f>
        <v/>
      </c>
      <c r="W1925" s="53">
        <f>IF(P1925="","",IF(P1925="Resultado trading",S1925,0))</f>
        <v/>
      </c>
      <c r="X1925" s="52">
        <f>IF(OR(P1925="Gasto",P1925="Reembolso"),IF(M1925&lt;&gt;"",M1925,IFERROR(INDEX(catClasif,MATCH(D1925&amp;"|"&amp;E1925,catClave,0))&amp;"","Variable")),"")</f>
        <v/>
      </c>
      <c r="Y1925" s="52">
        <f>IF(P1925="","",IFERROR(INDEX(catGrupo,MATCH(D1925&amp;"|"&amp;E1925,catClave,0))&amp;"",""))</f>
        <v/>
      </c>
      <c r="Z1925" s="52">
        <f>IF(P1925="","",WEEKDAY(B1925,2))</f>
        <v/>
      </c>
      <c r="AA1925" s="52">
        <f>IF(P1925="","",IF(AND(P1925="Gasto",X1925="Variable",D1925&lt;&gt;catTrading,S1925&gt;0,S1925&lt;=Umbral),1,0))</f>
        <v/>
      </c>
      <c r="AB1925" s="52">
        <f>IF(OR(P1925="",Q1925=""),"",IFERROR(IF(INDEX(ctaVinc,MATCH(Q1925,ctaNombre,0))&amp;""&lt;&gt;"",INDEX(ctaVinc,MATCH(Q1925,ctaNombre,0))&amp;"",Q1925),Q1925))</f>
        <v/>
      </c>
      <c r="AC1925" s="52">
        <f>IF(OR(K1925="",AND(P1925&lt;&gt;"Transferencia",P1925&lt;&gt;"Pago tarjeta")),"",IFERROR(IF(INDEX(ctaVinc,MATCH(K1925,ctaNombre,0))&amp;""&lt;&gt;"",INDEX(ctaVinc,MATCH(K1925,ctaNombre,0))&amp;"",K1925),K1925))</f>
        <v/>
      </c>
      <c r="AD1925" s="52">
        <f>IF(AB1925="","",IFERROR(INDEX(ctaTipo,MATCH(AB1925,ctaNombre,0))&amp;"",""))</f>
        <v/>
      </c>
      <c r="AE1925" s="52">
        <f>IF(AC1925="","",IFERROR(INDEX(ctaTipo,MATCH(AC1925,ctaNombre,0))&amp;"",""))</f>
        <v/>
      </c>
      <c r="AF1925" s="53">
        <f>IF(OR(P1925="",AB1925=""),"",IF(OR(P1925="Gasto",P1925="Transferencia",P1925="Pago tarjeta"),-1,1)*IF(IFERROR(INDEX(ctaMoneda,MATCH(AB1925,ctaNombre,0))&amp;"","DOP")="USD",T1925,S1925))</f>
        <v/>
      </c>
      <c r="AG1925" s="53">
        <f>IF(AC1925="","",IF(IFERROR(INDEX(ctaMoneda,MATCH(AC1925,ctaNombre,0))&amp;"","DOP")="USD",T1925,S1925))</f>
        <v/>
      </c>
      <c r="AH1925" s="53">
        <f>IF(P1925="","",IF(AND(AD1925&lt;&gt;"",COUNTIFS(tcTipo,AD1925,tcLiq,"Sí")&gt;0),IF(OR(P1925="Gasto",P1925="Transferencia",P1925="Pago tarjeta"),-1,1)*S1925,0)+IF(AND(AE1925&lt;&gt;"",COUNTIFS(tcTipo,AE1925,tcLiq,"Sí")&gt;0),S1925,0))</f>
        <v/>
      </c>
      <c r="AI1925" s="52">
        <f>IF(OR(L1925="",P1925=""),"",IF(COUNTIFS(L$6:L1925,L1925,P$6:P1925,"?*")=1,MAX(AI$5:AI1924)+1,""))</f>
        <v/>
      </c>
    </row>
    <row r="1926">
      <c r="B1926" s="47" t="n"/>
      <c r="C1926" s="48" t="n"/>
      <c r="D1926" s="48" t="n"/>
      <c r="E1926" s="48" t="n"/>
      <c r="F1926" s="48" t="n"/>
      <c r="G1926" s="49" t="n"/>
      <c r="H1926" s="48" t="n"/>
      <c r="I1926" s="50" t="n"/>
      <c r="J1926" s="48" t="n"/>
      <c r="K1926" s="48" t="n"/>
      <c r="L1926" s="48" t="n"/>
      <c r="M1926" s="48" t="n"/>
      <c r="N1926" s="48" t="n"/>
      <c r="O1926" s="51">
        <f>IF(AND(B1926="",G1926="",C1926="",D1926="",J1926=""),"",IF(B1926="","⚠ Falta fecha",IF(G1926="","⚠ Falta monto",IF(Q1926="","⚠ Falta cuenta",IF(ISNA(MATCH(Q1926,ctaNombre,0)),"⚠ Cuenta no registrada",IF(AND(OR(P1926="Gasto",P1926="Reembolso"),D1926=""),"⚠ Falta categoría",IF(AND(D1926&lt;&gt;"",E1926&lt;&gt;"",ISNA(MATCH(D1926&amp;"|"&amp;E1926,catClave,0))),"⚠ Subcategoría no corresponde",IF(AND(OR(P1926="Transferencia",P1926="Pago tarjeta"),K1926=""),"⚠ Falta cuenta destino",IF(AND(K1926&lt;&gt;"",P1926&lt;&gt;"Transferencia",P1926&lt;&gt;"Pago tarjeta"),"⚠ Destino solo aplica a transferencias",IF(AND(K1926&lt;&gt;"",K1926=Q1926),"⚠ Origen igual a destino",IF(AND(K1926&lt;&gt;"",ISNA(MATCH(K1926,ctaNombre,0))),"⚠ Destino no registrado",IF(AND(P1926="Pago tarjeta",AE1926&lt;&gt;"Tarjeta de crédito"),"⚠ El destino debe ser tarjeta de crédito",IF(AND(P1926="Gasto",E1926="Depósitos y retiros"),"⚠ Usa tipo Transferencia",IF(AND(P1926="Resultado trading",AD1926&lt;&gt;"Cuenta de trading"),"⚠ Usa una cuenta de trading",IF(AND(G1926&lt;=0,P1926&lt;&gt;"Ajuste",P1926&lt;&gt;"Resultado trading"),"⚠ El monto debe ser positivo","✓")))))))))))))))</f>
        <v/>
      </c>
      <c r="P1926" s="52">
        <f>IF(OR(B1926="",G1926=""),"",IF(C1926="","Gasto",C1926))</f>
        <v/>
      </c>
      <c r="Q1926" s="52">
        <f>IF(P1926="","",IF(J1926&lt;&gt;"",J1926,CuentaPred&amp;""))</f>
        <v/>
      </c>
      <c r="R1926" s="52">
        <f>IF(P1926="","",IF(ISNUMBER(I1926),I1926,TasaUSD))</f>
        <v/>
      </c>
      <c r="S1926" s="53">
        <f>IF(P1926="","",IF(H1926="USD",G1926*R1926,G1926))</f>
        <v/>
      </c>
      <c r="T1926" s="53">
        <f>IF(P1926="","",IF(H1926="USD",G1926,IF(R1926&gt;0,G1926/R1926,0)))</f>
        <v/>
      </c>
      <c r="U1926" s="53">
        <f>IF(P1926="","",IF(P1926="Gasto",S1926,IF(P1926="Reembolso",-S1926,0)))</f>
        <v/>
      </c>
      <c r="V1926" s="53">
        <f>IF(P1926="","",IF(P1926="Ingreso",S1926,0))</f>
        <v/>
      </c>
      <c r="W1926" s="53">
        <f>IF(P1926="","",IF(P1926="Resultado trading",S1926,0))</f>
        <v/>
      </c>
      <c r="X1926" s="52">
        <f>IF(OR(P1926="Gasto",P1926="Reembolso"),IF(M1926&lt;&gt;"",M1926,IFERROR(INDEX(catClasif,MATCH(D1926&amp;"|"&amp;E1926,catClave,0))&amp;"","Variable")),"")</f>
        <v/>
      </c>
      <c r="Y1926" s="52">
        <f>IF(P1926="","",IFERROR(INDEX(catGrupo,MATCH(D1926&amp;"|"&amp;E1926,catClave,0))&amp;"",""))</f>
        <v/>
      </c>
      <c r="Z1926" s="52">
        <f>IF(P1926="","",WEEKDAY(B1926,2))</f>
        <v/>
      </c>
      <c r="AA1926" s="52">
        <f>IF(P1926="","",IF(AND(P1926="Gasto",X1926="Variable",D1926&lt;&gt;catTrading,S1926&gt;0,S1926&lt;=Umbral),1,0))</f>
        <v/>
      </c>
      <c r="AB1926" s="52">
        <f>IF(OR(P1926="",Q1926=""),"",IFERROR(IF(INDEX(ctaVinc,MATCH(Q1926,ctaNombre,0))&amp;""&lt;&gt;"",INDEX(ctaVinc,MATCH(Q1926,ctaNombre,0))&amp;"",Q1926),Q1926))</f>
        <v/>
      </c>
      <c r="AC1926" s="52">
        <f>IF(OR(K1926="",AND(P1926&lt;&gt;"Transferencia",P1926&lt;&gt;"Pago tarjeta")),"",IFERROR(IF(INDEX(ctaVinc,MATCH(K1926,ctaNombre,0))&amp;""&lt;&gt;"",INDEX(ctaVinc,MATCH(K1926,ctaNombre,0))&amp;"",K1926),K1926))</f>
        <v/>
      </c>
      <c r="AD1926" s="52">
        <f>IF(AB1926="","",IFERROR(INDEX(ctaTipo,MATCH(AB1926,ctaNombre,0))&amp;"",""))</f>
        <v/>
      </c>
      <c r="AE1926" s="52">
        <f>IF(AC1926="","",IFERROR(INDEX(ctaTipo,MATCH(AC1926,ctaNombre,0))&amp;"",""))</f>
        <v/>
      </c>
      <c r="AF1926" s="53">
        <f>IF(OR(P1926="",AB1926=""),"",IF(OR(P1926="Gasto",P1926="Transferencia",P1926="Pago tarjeta"),-1,1)*IF(IFERROR(INDEX(ctaMoneda,MATCH(AB1926,ctaNombre,0))&amp;"","DOP")="USD",T1926,S1926))</f>
        <v/>
      </c>
      <c r="AG1926" s="53">
        <f>IF(AC1926="","",IF(IFERROR(INDEX(ctaMoneda,MATCH(AC1926,ctaNombre,0))&amp;"","DOP")="USD",T1926,S1926))</f>
        <v/>
      </c>
      <c r="AH1926" s="53">
        <f>IF(P1926="","",IF(AND(AD1926&lt;&gt;"",COUNTIFS(tcTipo,AD1926,tcLiq,"Sí")&gt;0),IF(OR(P1926="Gasto",P1926="Transferencia",P1926="Pago tarjeta"),-1,1)*S1926,0)+IF(AND(AE1926&lt;&gt;"",COUNTIFS(tcTipo,AE1926,tcLiq,"Sí")&gt;0),S1926,0))</f>
        <v/>
      </c>
      <c r="AI1926" s="52">
        <f>IF(OR(L1926="",P1926=""),"",IF(COUNTIFS(L$6:L1926,L1926,P$6:P1926,"?*")=1,MAX(AI$5:AI1925)+1,""))</f>
        <v/>
      </c>
    </row>
    <row r="1927">
      <c r="B1927" s="47" t="n"/>
      <c r="C1927" s="48" t="n"/>
      <c r="D1927" s="48" t="n"/>
      <c r="E1927" s="48" t="n"/>
      <c r="F1927" s="48" t="n"/>
      <c r="G1927" s="49" t="n"/>
      <c r="H1927" s="48" t="n"/>
      <c r="I1927" s="50" t="n"/>
      <c r="J1927" s="48" t="n"/>
      <c r="K1927" s="48" t="n"/>
      <c r="L1927" s="48" t="n"/>
      <c r="M1927" s="48" t="n"/>
      <c r="N1927" s="48" t="n"/>
      <c r="O1927" s="51">
        <f>IF(AND(B1927="",G1927="",C1927="",D1927="",J1927=""),"",IF(B1927="","⚠ Falta fecha",IF(G1927="","⚠ Falta monto",IF(Q1927="","⚠ Falta cuenta",IF(ISNA(MATCH(Q1927,ctaNombre,0)),"⚠ Cuenta no registrada",IF(AND(OR(P1927="Gasto",P1927="Reembolso"),D1927=""),"⚠ Falta categoría",IF(AND(D1927&lt;&gt;"",E1927&lt;&gt;"",ISNA(MATCH(D1927&amp;"|"&amp;E1927,catClave,0))),"⚠ Subcategoría no corresponde",IF(AND(OR(P1927="Transferencia",P1927="Pago tarjeta"),K1927=""),"⚠ Falta cuenta destino",IF(AND(K1927&lt;&gt;"",P1927&lt;&gt;"Transferencia",P1927&lt;&gt;"Pago tarjeta"),"⚠ Destino solo aplica a transferencias",IF(AND(K1927&lt;&gt;"",K1927=Q1927),"⚠ Origen igual a destino",IF(AND(K1927&lt;&gt;"",ISNA(MATCH(K1927,ctaNombre,0))),"⚠ Destino no registrado",IF(AND(P1927="Pago tarjeta",AE1927&lt;&gt;"Tarjeta de crédito"),"⚠ El destino debe ser tarjeta de crédito",IF(AND(P1927="Gasto",E1927="Depósitos y retiros"),"⚠ Usa tipo Transferencia",IF(AND(P1927="Resultado trading",AD1927&lt;&gt;"Cuenta de trading"),"⚠ Usa una cuenta de trading",IF(AND(G1927&lt;=0,P1927&lt;&gt;"Ajuste",P1927&lt;&gt;"Resultado trading"),"⚠ El monto debe ser positivo","✓")))))))))))))))</f>
        <v/>
      </c>
      <c r="P1927" s="52">
        <f>IF(OR(B1927="",G1927=""),"",IF(C1927="","Gasto",C1927))</f>
        <v/>
      </c>
      <c r="Q1927" s="52">
        <f>IF(P1927="","",IF(J1927&lt;&gt;"",J1927,CuentaPred&amp;""))</f>
        <v/>
      </c>
      <c r="R1927" s="52">
        <f>IF(P1927="","",IF(ISNUMBER(I1927),I1927,TasaUSD))</f>
        <v/>
      </c>
      <c r="S1927" s="53">
        <f>IF(P1927="","",IF(H1927="USD",G1927*R1927,G1927))</f>
        <v/>
      </c>
      <c r="T1927" s="53">
        <f>IF(P1927="","",IF(H1927="USD",G1927,IF(R1927&gt;0,G1927/R1927,0)))</f>
        <v/>
      </c>
      <c r="U1927" s="53">
        <f>IF(P1927="","",IF(P1927="Gasto",S1927,IF(P1927="Reembolso",-S1927,0)))</f>
        <v/>
      </c>
      <c r="V1927" s="53">
        <f>IF(P1927="","",IF(P1927="Ingreso",S1927,0))</f>
        <v/>
      </c>
      <c r="W1927" s="53">
        <f>IF(P1927="","",IF(P1927="Resultado trading",S1927,0))</f>
        <v/>
      </c>
      <c r="X1927" s="52">
        <f>IF(OR(P1927="Gasto",P1927="Reembolso"),IF(M1927&lt;&gt;"",M1927,IFERROR(INDEX(catClasif,MATCH(D1927&amp;"|"&amp;E1927,catClave,0))&amp;"","Variable")),"")</f>
        <v/>
      </c>
      <c r="Y1927" s="52">
        <f>IF(P1927="","",IFERROR(INDEX(catGrupo,MATCH(D1927&amp;"|"&amp;E1927,catClave,0))&amp;"",""))</f>
        <v/>
      </c>
      <c r="Z1927" s="52">
        <f>IF(P1927="","",WEEKDAY(B1927,2))</f>
        <v/>
      </c>
      <c r="AA1927" s="52">
        <f>IF(P1927="","",IF(AND(P1927="Gasto",X1927="Variable",D1927&lt;&gt;catTrading,S1927&gt;0,S1927&lt;=Umbral),1,0))</f>
        <v/>
      </c>
      <c r="AB1927" s="52">
        <f>IF(OR(P1927="",Q1927=""),"",IFERROR(IF(INDEX(ctaVinc,MATCH(Q1927,ctaNombre,0))&amp;""&lt;&gt;"",INDEX(ctaVinc,MATCH(Q1927,ctaNombre,0))&amp;"",Q1927),Q1927))</f>
        <v/>
      </c>
      <c r="AC1927" s="52">
        <f>IF(OR(K1927="",AND(P1927&lt;&gt;"Transferencia",P1927&lt;&gt;"Pago tarjeta")),"",IFERROR(IF(INDEX(ctaVinc,MATCH(K1927,ctaNombre,0))&amp;""&lt;&gt;"",INDEX(ctaVinc,MATCH(K1927,ctaNombre,0))&amp;"",K1927),K1927))</f>
        <v/>
      </c>
      <c r="AD1927" s="52">
        <f>IF(AB1927="","",IFERROR(INDEX(ctaTipo,MATCH(AB1927,ctaNombre,0))&amp;"",""))</f>
        <v/>
      </c>
      <c r="AE1927" s="52">
        <f>IF(AC1927="","",IFERROR(INDEX(ctaTipo,MATCH(AC1927,ctaNombre,0))&amp;"",""))</f>
        <v/>
      </c>
      <c r="AF1927" s="53">
        <f>IF(OR(P1927="",AB1927=""),"",IF(OR(P1927="Gasto",P1927="Transferencia",P1927="Pago tarjeta"),-1,1)*IF(IFERROR(INDEX(ctaMoneda,MATCH(AB1927,ctaNombre,0))&amp;"","DOP")="USD",T1927,S1927))</f>
        <v/>
      </c>
      <c r="AG1927" s="53">
        <f>IF(AC1927="","",IF(IFERROR(INDEX(ctaMoneda,MATCH(AC1927,ctaNombre,0))&amp;"","DOP")="USD",T1927,S1927))</f>
        <v/>
      </c>
      <c r="AH1927" s="53">
        <f>IF(P1927="","",IF(AND(AD1927&lt;&gt;"",COUNTIFS(tcTipo,AD1927,tcLiq,"Sí")&gt;0),IF(OR(P1927="Gasto",P1927="Transferencia",P1927="Pago tarjeta"),-1,1)*S1927,0)+IF(AND(AE1927&lt;&gt;"",COUNTIFS(tcTipo,AE1927,tcLiq,"Sí")&gt;0),S1927,0))</f>
        <v/>
      </c>
      <c r="AI1927" s="52">
        <f>IF(OR(L1927="",P1927=""),"",IF(COUNTIFS(L$6:L1927,L1927,P$6:P1927,"?*")=1,MAX(AI$5:AI1926)+1,""))</f>
        <v/>
      </c>
    </row>
    <row r="1928">
      <c r="B1928" s="47" t="n"/>
      <c r="C1928" s="48" t="n"/>
      <c r="D1928" s="48" t="n"/>
      <c r="E1928" s="48" t="n"/>
      <c r="F1928" s="48" t="n"/>
      <c r="G1928" s="49" t="n"/>
      <c r="H1928" s="48" t="n"/>
      <c r="I1928" s="50" t="n"/>
      <c r="J1928" s="48" t="n"/>
      <c r="K1928" s="48" t="n"/>
      <c r="L1928" s="48" t="n"/>
      <c r="M1928" s="48" t="n"/>
      <c r="N1928" s="48" t="n"/>
      <c r="O1928" s="51">
        <f>IF(AND(B1928="",G1928="",C1928="",D1928="",J1928=""),"",IF(B1928="","⚠ Falta fecha",IF(G1928="","⚠ Falta monto",IF(Q1928="","⚠ Falta cuenta",IF(ISNA(MATCH(Q1928,ctaNombre,0)),"⚠ Cuenta no registrada",IF(AND(OR(P1928="Gasto",P1928="Reembolso"),D1928=""),"⚠ Falta categoría",IF(AND(D1928&lt;&gt;"",E1928&lt;&gt;"",ISNA(MATCH(D1928&amp;"|"&amp;E1928,catClave,0))),"⚠ Subcategoría no corresponde",IF(AND(OR(P1928="Transferencia",P1928="Pago tarjeta"),K1928=""),"⚠ Falta cuenta destino",IF(AND(K1928&lt;&gt;"",P1928&lt;&gt;"Transferencia",P1928&lt;&gt;"Pago tarjeta"),"⚠ Destino solo aplica a transferencias",IF(AND(K1928&lt;&gt;"",K1928=Q1928),"⚠ Origen igual a destino",IF(AND(K1928&lt;&gt;"",ISNA(MATCH(K1928,ctaNombre,0))),"⚠ Destino no registrado",IF(AND(P1928="Pago tarjeta",AE1928&lt;&gt;"Tarjeta de crédito"),"⚠ El destino debe ser tarjeta de crédito",IF(AND(P1928="Gasto",E1928="Depósitos y retiros"),"⚠ Usa tipo Transferencia",IF(AND(P1928="Resultado trading",AD1928&lt;&gt;"Cuenta de trading"),"⚠ Usa una cuenta de trading",IF(AND(G1928&lt;=0,P1928&lt;&gt;"Ajuste",P1928&lt;&gt;"Resultado trading"),"⚠ El monto debe ser positivo","✓")))))))))))))))</f>
        <v/>
      </c>
      <c r="P1928" s="52">
        <f>IF(OR(B1928="",G1928=""),"",IF(C1928="","Gasto",C1928))</f>
        <v/>
      </c>
      <c r="Q1928" s="52">
        <f>IF(P1928="","",IF(J1928&lt;&gt;"",J1928,CuentaPred&amp;""))</f>
        <v/>
      </c>
      <c r="R1928" s="52">
        <f>IF(P1928="","",IF(ISNUMBER(I1928),I1928,TasaUSD))</f>
        <v/>
      </c>
      <c r="S1928" s="53">
        <f>IF(P1928="","",IF(H1928="USD",G1928*R1928,G1928))</f>
        <v/>
      </c>
      <c r="T1928" s="53">
        <f>IF(P1928="","",IF(H1928="USD",G1928,IF(R1928&gt;0,G1928/R1928,0)))</f>
        <v/>
      </c>
      <c r="U1928" s="53">
        <f>IF(P1928="","",IF(P1928="Gasto",S1928,IF(P1928="Reembolso",-S1928,0)))</f>
        <v/>
      </c>
      <c r="V1928" s="53">
        <f>IF(P1928="","",IF(P1928="Ingreso",S1928,0))</f>
        <v/>
      </c>
      <c r="W1928" s="53">
        <f>IF(P1928="","",IF(P1928="Resultado trading",S1928,0))</f>
        <v/>
      </c>
      <c r="X1928" s="52">
        <f>IF(OR(P1928="Gasto",P1928="Reembolso"),IF(M1928&lt;&gt;"",M1928,IFERROR(INDEX(catClasif,MATCH(D1928&amp;"|"&amp;E1928,catClave,0))&amp;"","Variable")),"")</f>
        <v/>
      </c>
      <c r="Y1928" s="52">
        <f>IF(P1928="","",IFERROR(INDEX(catGrupo,MATCH(D1928&amp;"|"&amp;E1928,catClave,0))&amp;"",""))</f>
        <v/>
      </c>
      <c r="Z1928" s="52">
        <f>IF(P1928="","",WEEKDAY(B1928,2))</f>
        <v/>
      </c>
      <c r="AA1928" s="52">
        <f>IF(P1928="","",IF(AND(P1928="Gasto",X1928="Variable",D1928&lt;&gt;catTrading,S1928&gt;0,S1928&lt;=Umbral),1,0))</f>
        <v/>
      </c>
      <c r="AB1928" s="52">
        <f>IF(OR(P1928="",Q1928=""),"",IFERROR(IF(INDEX(ctaVinc,MATCH(Q1928,ctaNombre,0))&amp;""&lt;&gt;"",INDEX(ctaVinc,MATCH(Q1928,ctaNombre,0))&amp;"",Q1928),Q1928))</f>
        <v/>
      </c>
      <c r="AC1928" s="52">
        <f>IF(OR(K1928="",AND(P1928&lt;&gt;"Transferencia",P1928&lt;&gt;"Pago tarjeta")),"",IFERROR(IF(INDEX(ctaVinc,MATCH(K1928,ctaNombre,0))&amp;""&lt;&gt;"",INDEX(ctaVinc,MATCH(K1928,ctaNombre,0))&amp;"",K1928),K1928))</f>
        <v/>
      </c>
      <c r="AD1928" s="52">
        <f>IF(AB1928="","",IFERROR(INDEX(ctaTipo,MATCH(AB1928,ctaNombre,0))&amp;"",""))</f>
        <v/>
      </c>
      <c r="AE1928" s="52">
        <f>IF(AC1928="","",IFERROR(INDEX(ctaTipo,MATCH(AC1928,ctaNombre,0))&amp;"",""))</f>
        <v/>
      </c>
      <c r="AF1928" s="53">
        <f>IF(OR(P1928="",AB1928=""),"",IF(OR(P1928="Gasto",P1928="Transferencia",P1928="Pago tarjeta"),-1,1)*IF(IFERROR(INDEX(ctaMoneda,MATCH(AB1928,ctaNombre,0))&amp;"","DOP")="USD",T1928,S1928))</f>
        <v/>
      </c>
      <c r="AG1928" s="53">
        <f>IF(AC1928="","",IF(IFERROR(INDEX(ctaMoneda,MATCH(AC1928,ctaNombre,0))&amp;"","DOP")="USD",T1928,S1928))</f>
        <v/>
      </c>
      <c r="AH1928" s="53">
        <f>IF(P1928="","",IF(AND(AD1928&lt;&gt;"",COUNTIFS(tcTipo,AD1928,tcLiq,"Sí")&gt;0),IF(OR(P1928="Gasto",P1928="Transferencia",P1928="Pago tarjeta"),-1,1)*S1928,0)+IF(AND(AE1928&lt;&gt;"",COUNTIFS(tcTipo,AE1928,tcLiq,"Sí")&gt;0),S1928,0))</f>
        <v/>
      </c>
      <c r="AI1928" s="52">
        <f>IF(OR(L1928="",P1928=""),"",IF(COUNTIFS(L$6:L1928,L1928,P$6:P1928,"?*")=1,MAX(AI$5:AI1927)+1,""))</f>
        <v/>
      </c>
    </row>
    <row r="1929">
      <c r="B1929" s="47" t="n"/>
      <c r="C1929" s="48" t="n"/>
      <c r="D1929" s="48" t="n"/>
      <c r="E1929" s="48" t="n"/>
      <c r="F1929" s="48" t="n"/>
      <c r="G1929" s="49" t="n"/>
      <c r="H1929" s="48" t="n"/>
      <c r="I1929" s="50" t="n"/>
      <c r="J1929" s="48" t="n"/>
      <c r="K1929" s="48" t="n"/>
      <c r="L1929" s="48" t="n"/>
      <c r="M1929" s="48" t="n"/>
      <c r="N1929" s="48" t="n"/>
      <c r="O1929" s="51">
        <f>IF(AND(B1929="",G1929="",C1929="",D1929="",J1929=""),"",IF(B1929="","⚠ Falta fecha",IF(G1929="","⚠ Falta monto",IF(Q1929="","⚠ Falta cuenta",IF(ISNA(MATCH(Q1929,ctaNombre,0)),"⚠ Cuenta no registrada",IF(AND(OR(P1929="Gasto",P1929="Reembolso"),D1929=""),"⚠ Falta categoría",IF(AND(D1929&lt;&gt;"",E1929&lt;&gt;"",ISNA(MATCH(D1929&amp;"|"&amp;E1929,catClave,0))),"⚠ Subcategoría no corresponde",IF(AND(OR(P1929="Transferencia",P1929="Pago tarjeta"),K1929=""),"⚠ Falta cuenta destino",IF(AND(K1929&lt;&gt;"",P1929&lt;&gt;"Transferencia",P1929&lt;&gt;"Pago tarjeta"),"⚠ Destino solo aplica a transferencias",IF(AND(K1929&lt;&gt;"",K1929=Q1929),"⚠ Origen igual a destino",IF(AND(K1929&lt;&gt;"",ISNA(MATCH(K1929,ctaNombre,0))),"⚠ Destino no registrado",IF(AND(P1929="Pago tarjeta",AE1929&lt;&gt;"Tarjeta de crédito"),"⚠ El destino debe ser tarjeta de crédito",IF(AND(P1929="Gasto",E1929="Depósitos y retiros"),"⚠ Usa tipo Transferencia",IF(AND(P1929="Resultado trading",AD1929&lt;&gt;"Cuenta de trading"),"⚠ Usa una cuenta de trading",IF(AND(G1929&lt;=0,P1929&lt;&gt;"Ajuste",P1929&lt;&gt;"Resultado trading"),"⚠ El monto debe ser positivo","✓")))))))))))))))</f>
        <v/>
      </c>
      <c r="P1929" s="52">
        <f>IF(OR(B1929="",G1929=""),"",IF(C1929="","Gasto",C1929))</f>
        <v/>
      </c>
      <c r="Q1929" s="52">
        <f>IF(P1929="","",IF(J1929&lt;&gt;"",J1929,CuentaPred&amp;""))</f>
        <v/>
      </c>
      <c r="R1929" s="52">
        <f>IF(P1929="","",IF(ISNUMBER(I1929),I1929,TasaUSD))</f>
        <v/>
      </c>
      <c r="S1929" s="53">
        <f>IF(P1929="","",IF(H1929="USD",G1929*R1929,G1929))</f>
        <v/>
      </c>
      <c r="T1929" s="53">
        <f>IF(P1929="","",IF(H1929="USD",G1929,IF(R1929&gt;0,G1929/R1929,0)))</f>
        <v/>
      </c>
      <c r="U1929" s="53">
        <f>IF(P1929="","",IF(P1929="Gasto",S1929,IF(P1929="Reembolso",-S1929,0)))</f>
        <v/>
      </c>
      <c r="V1929" s="53">
        <f>IF(P1929="","",IF(P1929="Ingreso",S1929,0))</f>
        <v/>
      </c>
      <c r="W1929" s="53">
        <f>IF(P1929="","",IF(P1929="Resultado trading",S1929,0))</f>
        <v/>
      </c>
      <c r="X1929" s="52">
        <f>IF(OR(P1929="Gasto",P1929="Reembolso"),IF(M1929&lt;&gt;"",M1929,IFERROR(INDEX(catClasif,MATCH(D1929&amp;"|"&amp;E1929,catClave,0))&amp;"","Variable")),"")</f>
        <v/>
      </c>
      <c r="Y1929" s="52">
        <f>IF(P1929="","",IFERROR(INDEX(catGrupo,MATCH(D1929&amp;"|"&amp;E1929,catClave,0))&amp;"",""))</f>
        <v/>
      </c>
      <c r="Z1929" s="52">
        <f>IF(P1929="","",WEEKDAY(B1929,2))</f>
        <v/>
      </c>
      <c r="AA1929" s="52">
        <f>IF(P1929="","",IF(AND(P1929="Gasto",X1929="Variable",D1929&lt;&gt;catTrading,S1929&gt;0,S1929&lt;=Umbral),1,0))</f>
        <v/>
      </c>
      <c r="AB1929" s="52">
        <f>IF(OR(P1929="",Q1929=""),"",IFERROR(IF(INDEX(ctaVinc,MATCH(Q1929,ctaNombre,0))&amp;""&lt;&gt;"",INDEX(ctaVinc,MATCH(Q1929,ctaNombre,0))&amp;"",Q1929),Q1929))</f>
        <v/>
      </c>
      <c r="AC1929" s="52">
        <f>IF(OR(K1929="",AND(P1929&lt;&gt;"Transferencia",P1929&lt;&gt;"Pago tarjeta")),"",IFERROR(IF(INDEX(ctaVinc,MATCH(K1929,ctaNombre,0))&amp;""&lt;&gt;"",INDEX(ctaVinc,MATCH(K1929,ctaNombre,0))&amp;"",K1929),K1929))</f>
        <v/>
      </c>
      <c r="AD1929" s="52">
        <f>IF(AB1929="","",IFERROR(INDEX(ctaTipo,MATCH(AB1929,ctaNombre,0))&amp;"",""))</f>
        <v/>
      </c>
      <c r="AE1929" s="52">
        <f>IF(AC1929="","",IFERROR(INDEX(ctaTipo,MATCH(AC1929,ctaNombre,0))&amp;"",""))</f>
        <v/>
      </c>
      <c r="AF1929" s="53">
        <f>IF(OR(P1929="",AB1929=""),"",IF(OR(P1929="Gasto",P1929="Transferencia",P1929="Pago tarjeta"),-1,1)*IF(IFERROR(INDEX(ctaMoneda,MATCH(AB1929,ctaNombre,0))&amp;"","DOP")="USD",T1929,S1929))</f>
        <v/>
      </c>
      <c r="AG1929" s="53">
        <f>IF(AC1929="","",IF(IFERROR(INDEX(ctaMoneda,MATCH(AC1929,ctaNombre,0))&amp;"","DOP")="USD",T1929,S1929))</f>
        <v/>
      </c>
      <c r="AH1929" s="53">
        <f>IF(P1929="","",IF(AND(AD1929&lt;&gt;"",COUNTIFS(tcTipo,AD1929,tcLiq,"Sí")&gt;0),IF(OR(P1929="Gasto",P1929="Transferencia",P1929="Pago tarjeta"),-1,1)*S1929,0)+IF(AND(AE1929&lt;&gt;"",COUNTIFS(tcTipo,AE1929,tcLiq,"Sí")&gt;0),S1929,0))</f>
        <v/>
      </c>
      <c r="AI1929" s="52">
        <f>IF(OR(L1929="",P1929=""),"",IF(COUNTIFS(L$6:L1929,L1929,P$6:P1929,"?*")=1,MAX(AI$5:AI1928)+1,""))</f>
        <v/>
      </c>
    </row>
    <row r="1930">
      <c r="B1930" s="47" t="n"/>
      <c r="C1930" s="48" t="n"/>
      <c r="D1930" s="48" t="n"/>
      <c r="E1930" s="48" t="n"/>
      <c r="F1930" s="48" t="n"/>
      <c r="G1930" s="49" t="n"/>
      <c r="H1930" s="48" t="n"/>
      <c r="I1930" s="50" t="n"/>
      <c r="J1930" s="48" t="n"/>
      <c r="K1930" s="48" t="n"/>
      <c r="L1930" s="48" t="n"/>
      <c r="M1930" s="48" t="n"/>
      <c r="N1930" s="48" t="n"/>
      <c r="O1930" s="51">
        <f>IF(AND(B1930="",G1930="",C1930="",D1930="",J1930=""),"",IF(B1930="","⚠ Falta fecha",IF(G1930="","⚠ Falta monto",IF(Q1930="","⚠ Falta cuenta",IF(ISNA(MATCH(Q1930,ctaNombre,0)),"⚠ Cuenta no registrada",IF(AND(OR(P1930="Gasto",P1930="Reembolso"),D1930=""),"⚠ Falta categoría",IF(AND(D1930&lt;&gt;"",E1930&lt;&gt;"",ISNA(MATCH(D1930&amp;"|"&amp;E1930,catClave,0))),"⚠ Subcategoría no corresponde",IF(AND(OR(P1930="Transferencia",P1930="Pago tarjeta"),K1930=""),"⚠ Falta cuenta destino",IF(AND(K1930&lt;&gt;"",P1930&lt;&gt;"Transferencia",P1930&lt;&gt;"Pago tarjeta"),"⚠ Destino solo aplica a transferencias",IF(AND(K1930&lt;&gt;"",K1930=Q1930),"⚠ Origen igual a destino",IF(AND(K1930&lt;&gt;"",ISNA(MATCH(K1930,ctaNombre,0))),"⚠ Destino no registrado",IF(AND(P1930="Pago tarjeta",AE1930&lt;&gt;"Tarjeta de crédito"),"⚠ El destino debe ser tarjeta de crédito",IF(AND(P1930="Gasto",E1930="Depósitos y retiros"),"⚠ Usa tipo Transferencia",IF(AND(P1930="Resultado trading",AD1930&lt;&gt;"Cuenta de trading"),"⚠ Usa una cuenta de trading",IF(AND(G1930&lt;=0,P1930&lt;&gt;"Ajuste",P1930&lt;&gt;"Resultado trading"),"⚠ El monto debe ser positivo","✓")))))))))))))))</f>
        <v/>
      </c>
      <c r="P1930" s="52">
        <f>IF(OR(B1930="",G1930=""),"",IF(C1930="","Gasto",C1930))</f>
        <v/>
      </c>
      <c r="Q1930" s="52">
        <f>IF(P1930="","",IF(J1930&lt;&gt;"",J1930,CuentaPred&amp;""))</f>
        <v/>
      </c>
      <c r="R1930" s="52">
        <f>IF(P1930="","",IF(ISNUMBER(I1930),I1930,TasaUSD))</f>
        <v/>
      </c>
      <c r="S1930" s="53">
        <f>IF(P1930="","",IF(H1930="USD",G1930*R1930,G1930))</f>
        <v/>
      </c>
      <c r="T1930" s="53">
        <f>IF(P1930="","",IF(H1930="USD",G1930,IF(R1930&gt;0,G1930/R1930,0)))</f>
        <v/>
      </c>
      <c r="U1930" s="53">
        <f>IF(P1930="","",IF(P1930="Gasto",S1930,IF(P1930="Reembolso",-S1930,0)))</f>
        <v/>
      </c>
      <c r="V1930" s="53">
        <f>IF(P1930="","",IF(P1930="Ingreso",S1930,0))</f>
        <v/>
      </c>
      <c r="W1930" s="53">
        <f>IF(P1930="","",IF(P1930="Resultado trading",S1930,0))</f>
        <v/>
      </c>
      <c r="X1930" s="52">
        <f>IF(OR(P1930="Gasto",P1930="Reembolso"),IF(M1930&lt;&gt;"",M1930,IFERROR(INDEX(catClasif,MATCH(D1930&amp;"|"&amp;E1930,catClave,0))&amp;"","Variable")),"")</f>
        <v/>
      </c>
      <c r="Y1930" s="52">
        <f>IF(P1930="","",IFERROR(INDEX(catGrupo,MATCH(D1930&amp;"|"&amp;E1930,catClave,0))&amp;"",""))</f>
        <v/>
      </c>
      <c r="Z1930" s="52">
        <f>IF(P1930="","",WEEKDAY(B1930,2))</f>
        <v/>
      </c>
      <c r="AA1930" s="52">
        <f>IF(P1930="","",IF(AND(P1930="Gasto",X1930="Variable",D1930&lt;&gt;catTrading,S1930&gt;0,S1930&lt;=Umbral),1,0))</f>
        <v/>
      </c>
      <c r="AB1930" s="52">
        <f>IF(OR(P1930="",Q1930=""),"",IFERROR(IF(INDEX(ctaVinc,MATCH(Q1930,ctaNombre,0))&amp;""&lt;&gt;"",INDEX(ctaVinc,MATCH(Q1930,ctaNombre,0))&amp;"",Q1930),Q1930))</f>
        <v/>
      </c>
      <c r="AC1930" s="52">
        <f>IF(OR(K1930="",AND(P1930&lt;&gt;"Transferencia",P1930&lt;&gt;"Pago tarjeta")),"",IFERROR(IF(INDEX(ctaVinc,MATCH(K1930,ctaNombre,0))&amp;""&lt;&gt;"",INDEX(ctaVinc,MATCH(K1930,ctaNombre,0))&amp;"",K1930),K1930))</f>
        <v/>
      </c>
      <c r="AD1930" s="52">
        <f>IF(AB1930="","",IFERROR(INDEX(ctaTipo,MATCH(AB1930,ctaNombre,0))&amp;"",""))</f>
        <v/>
      </c>
      <c r="AE1930" s="52">
        <f>IF(AC1930="","",IFERROR(INDEX(ctaTipo,MATCH(AC1930,ctaNombre,0))&amp;"",""))</f>
        <v/>
      </c>
      <c r="AF1930" s="53">
        <f>IF(OR(P1930="",AB1930=""),"",IF(OR(P1930="Gasto",P1930="Transferencia",P1930="Pago tarjeta"),-1,1)*IF(IFERROR(INDEX(ctaMoneda,MATCH(AB1930,ctaNombre,0))&amp;"","DOP")="USD",T1930,S1930))</f>
        <v/>
      </c>
      <c r="AG1930" s="53">
        <f>IF(AC1930="","",IF(IFERROR(INDEX(ctaMoneda,MATCH(AC1930,ctaNombre,0))&amp;"","DOP")="USD",T1930,S1930))</f>
        <v/>
      </c>
      <c r="AH1930" s="53">
        <f>IF(P1930="","",IF(AND(AD1930&lt;&gt;"",COUNTIFS(tcTipo,AD1930,tcLiq,"Sí")&gt;0),IF(OR(P1930="Gasto",P1930="Transferencia",P1930="Pago tarjeta"),-1,1)*S1930,0)+IF(AND(AE1930&lt;&gt;"",COUNTIFS(tcTipo,AE1930,tcLiq,"Sí")&gt;0),S1930,0))</f>
        <v/>
      </c>
      <c r="AI1930" s="52">
        <f>IF(OR(L1930="",P1930=""),"",IF(COUNTIFS(L$6:L1930,L1930,P$6:P1930,"?*")=1,MAX(AI$5:AI1929)+1,""))</f>
        <v/>
      </c>
    </row>
    <row r="1931">
      <c r="B1931" s="47" t="n"/>
      <c r="C1931" s="48" t="n"/>
      <c r="D1931" s="48" t="n"/>
      <c r="E1931" s="48" t="n"/>
      <c r="F1931" s="48" t="n"/>
      <c r="G1931" s="49" t="n"/>
      <c r="H1931" s="48" t="n"/>
      <c r="I1931" s="50" t="n"/>
      <c r="J1931" s="48" t="n"/>
      <c r="K1931" s="48" t="n"/>
      <c r="L1931" s="48" t="n"/>
      <c r="M1931" s="48" t="n"/>
      <c r="N1931" s="48" t="n"/>
      <c r="O1931" s="51">
        <f>IF(AND(B1931="",G1931="",C1931="",D1931="",J1931=""),"",IF(B1931="","⚠ Falta fecha",IF(G1931="","⚠ Falta monto",IF(Q1931="","⚠ Falta cuenta",IF(ISNA(MATCH(Q1931,ctaNombre,0)),"⚠ Cuenta no registrada",IF(AND(OR(P1931="Gasto",P1931="Reembolso"),D1931=""),"⚠ Falta categoría",IF(AND(D1931&lt;&gt;"",E1931&lt;&gt;"",ISNA(MATCH(D1931&amp;"|"&amp;E1931,catClave,0))),"⚠ Subcategoría no corresponde",IF(AND(OR(P1931="Transferencia",P1931="Pago tarjeta"),K1931=""),"⚠ Falta cuenta destino",IF(AND(K1931&lt;&gt;"",P1931&lt;&gt;"Transferencia",P1931&lt;&gt;"Pago tarjeta"),"⚠ Destino solo aplica a transferencias",IF(AND(K1931&lt;&gt;"",K1931=Q1931),"⚠ Origen igual a destino",IF(AND(K1931&lt;&gt;"",ISNA(MATCH(K1931,ctaNombre,0))),"⚠ Destino no registrado",IF(AND(P1931="Pago tarjeta",AE1931&lt;&gt;"Tarjeta de crédito"),"⚠ El destino debe ser tarjeta de crédito",IF(AND(P1931="Gasto",E1931="Depósitos y retiros"),"⚠ Usa tipo Transferencia",IF(AND(P1931="Resultado trading",AD1931&lt;&gt;"Cuenta de trading"),"⚠ Usa una cuenta de trading",IF(AND(G1931&lt;=0,P1931&lt;&gt;"Ajuste",P1931&lt;&gt;"Resultado trading"),"⚠ El monto debe ser positivo","✓")))))))))))))))</f>
        <v/>
      </c>
      <c r="P1931" s="52">
        <f>IF(OR(B1931="",G1931=""),"",IF(C1931="","Gasto",C1931))</f>
        <v/>
      </c>
      <c r="Q1931" s="52">
        <f>IF(P1931="","",IF(J1931&lt;&gt;"",J1931,CuentaPred&amp;""))</f>
        <v/>
      </c>
      <c r="R1931" s="52">
        <f>IF(P1931="","",IF(ISNUMBER(I1931),I1931,TasaUSD))</f>
        <v/>
      </c>
      <c r="S1931" s="53">
        <f>IF(P1931="","",IF(H1931="USD",G1931*R1931,G1931))</f>
        <v/>
      </c>
      <c r="T1931" s="53">
        <f>IF(P1931="","",IF(H1931="USD",G1931,IF(R1931&gt;0,G1931/R1931,0)))</f>
        <v/>
      </c>
      <c r="U1931" s="53">
        <f>IF(P1931="","",IF(P1931="Gasto",S1931,IF(P1931="Reembolso",-S1931,0)))</f>
        <v/>
      </c>
      <c r="V1931" s="53">
        <f>IF(P1931="","",IF(P1931="Ingreso",S1931,0))</f>
        <v/>
      </c>
      <c r="W1931" s="53">
        <f>IF(P1931="","",IF(P1931="Resultado trading",S1931,0))</f>
        <v/>
      </c>
      <c r="X1931" s="52">
        <f>IF(OR(P1931="Gasto",P1931="Reembolso"),IF(M1931&lt;&gt;"",M1931,IFERROR(INDEX(catClasif,MATCH(D1931&amp;"|"&amp;E1931,catClave,0))&amp;"","Variable")),"")</f>
        <v/>
      </c>
      <c r="Y1931" s="52">
        <f>IF(P1931="","",IFERROR(INDEX(catGrupo,MATCH(D1931&amp;"|"&amp;E1931,catClave,0))&amp;"",""))</f>
        <v/>
      </c>
      <c r="Z1931" s="52">
        <f>IF(P1931="","",WEEKDAY(B1931,2))</f>
        <v/>
      </c>
      <c r="AA1931" s="52">
        <f>IF(P1931="","",IF(AND(P1931="Gasto",X1931="Variable",D1931&lt;&gt;catTrading,S1931&gt;0,S1931&lt;=Umbral),1,0))</f>
        <v/>
      </c>
      <c r="AB1931" s="52">
        <f>IF(OR(P1931="",Q1931=""),"",IFERROR(IF(INDEX(ctaVinc,MATCH(Q1931,ctaNombre,0))&amp;""&lt;&gt;"",INDEX(ctaVinc,MATCH(Q1931,ctaNombre,0))&amp;"",Q1931),Q1931))</f>
        <v/>
      </c>
      <c r="AC1931" s="52">
        <f>IF(OR(K1931="",AND(P1931&lt;&gt;"Transferencia",P1931&lt;&gt;"Pago tarjeta")),"",IFERROR(IF(INDEX(ctaVinc,MATCH(K1931,ctaNombre,0))&amp;""&lt;&gt;"",INDEX(ctaVinc,MATCH(K1931,ctaNombre,0))&amp;"",K1931),K1931))</f>
        <v/>
      </c>
      <c r="AD1931" s="52">
        <f>IF(AB1931="","",IFERROR(INDEX(ctaTipo,MATCH(AB1931,ctaNombre,0))&amp;"",""))</f>
        <v/>
      </c>
      <c r="AE1931" s="52">
        <f>IF(AC1931="","",IFERROR(INDEX(ctaTipo,MATCH(AC1931,ctaNombre,0))&amp;"",""))</f>
        <v/>
      </c>
      <c r="AF1931" s="53">
        <f>IF(OR(P1931="",AB1931=""),"",IF(OR(P1931="Gasto",P1931="Transferencia",P1931="Pago tarjeta"),-1,1)*IF(IFERROR(INDEX(ctaMoneda,MATCH(AB1931,ctaNombre,0))&amp;"","DOP")="USD",T1931,S1931))</f>
        <v/>
      </c>
      <c r="AG1931" s="53">
        <f>IF(AC1931="","",IF(IFERROR(INDEX(ctaMoneda,MATCH(AC1931,ctaNombre,0))&amp;"","DOP")="USD",T1931,S1931))</f>
        <v/>
      </c>
      <c r="AH1931" s="53">
        <f>IF(P1931="","",IF(AND(AD1931&lt;&gt;"",COUNTIFS(tcTipo,AD1931,tcLiq,"Sí")&gt;0),IF(OR(P1931="Gasto",P1931="Transferencia",P1931="Pago tarjeta"),-1,1)*S1931,0)+IF(AND(AE1931&lt;&gt;"",COUNTIFS(tcTipo,AE1931,tcLiq,"Sí")&gt;0),S1931,0))</f>
        <v/>
      </c>
      <c r="AI1931" s="52">
        <f>IF(OR(L1931="",P1931=""),"",IF(COUNTIFS(L$6:L1931,L1931,P$6:P1931,"?*")=1,MAX(AI$5:AI1930)+1,""))</f>
        <v/>
      </c>
    </row>
    <row r="1932">
      <c r="B1932" s="47" t="n"/>
      <c r="C1932" s="48" t="n"/>
      <c r="D1932" s="48" t="n"/>
      <c r="E1932" s="48" t="n"/>
      <c r="F1932" s="48" t="n"/>
      <c r="G1932" s="49" t="n"/>
      <c r="H1932" s="48" t="n"/>
      <c r="I1932" s="50" t="n"/>
      <c r="J1932" s="48" t="n"/>
      <c r="K1932" s="48" t="n"/>
      <c r="L1932" s="48" t="n"/>
      <c r="M1932" s="48" t="n"/>
      <c r="N1932" s="48" t="n"/>
      <c r="O1932" s="51">
        <f>IF(AND(B1932="",G1932="",C1932="",D1932="",J1932=""),"",IF(B1932="","⚠ Falta fecha",IF(G1932="","⚠ Falta monto",IF(Q1932="","⚠ Falta cuenta",IF(ISNA(MATCH(Q1932,ctaNombre,0)),"⚠ Cuenta no registrada",IF(AND(OR(P1932="Gasto",P1932="Reembolso"),D1932=""),"⚠ Falta categoría",IF(AND(D1932&lt;&gt;"",E1932&lt;&gt;"",ISNA(MATCH(D1932&amp;"|"&amp;E1932,catClave,0))),"⚠ Subcategoría no corresponde",IF(AND(OR(P1932="Transferencia",P1932="Pago tarjeta"),K1932=""),"⚠ Falta cuenta destino",IF(AND(K1932&lt;&gt;"",P1932&lt;&gt;"Transferencia",P1932&lt;&gt;"Pago tarjeta"),"⚠ Destino solo aplica a transferencias",IF(AND(K1932&lt;&gt;"",K1932=Q1932),"⚠ Origen igual a destino",IF(AND(K1932&lt;&gt;"",ISNA(MATCH(K1932,ctaNombre,0))),"⚠ Destino no registrado",IF(AND(P1932="Pago tarjeta",AE1932&lt;&gt;"Tarjeta de crédito"),"⚠ El destino debe ser tarjeta de crédito",IF(AND(P1932="Gasto",E1932="Depósitos y retiros"),"⚠ Usa tipo Transferencia",IF(AND(P1932="Resultado trading",AD1932&lt;&gt;"Cuenta de trading"),"⚠ Usa una cuenta de trading",IF(AND(G1932&lt;=0,P1932&lt;&gt;"Ajuste",P1932&lt;&gt;"Resultado trading"),"⚠ El monto debe ser positivo","✓")))))))))))))))</f>
        <v/>
      </c>
      <c r="P1932" s="52">
        <f>IF(OR(B1932="",G1932=""),"",IF(C1932="","Gasto",C1932))</f>
        <v/>
      </c>
      <c r="Q1932" s="52">
        <f>IF(P1932="","",IF(J1932&lt;&gt;"",J1932,CuentaPred&amp;""))</f>
        <v/>
      </c>
      <c r="R1932" s="52">
        <f>IF(P1932="","",IF(ISNUMBER(I1932),I1932,TasaUSD))</f>
        <v/>
      </c>
      <c r="S1932" s="53">
        <f>IF(P1932="","",IF(H1932="USD",G1932*R1932,G1932))</f>
        <v/>
      </c>
      <c r="T1932" s="53">
        <f>IF(P1932="","",IF(H1932="USD",G1932,IF(R1932&gt;0,G1932/R1932,0)))</f>
        <v/>
      </c>
      <c r="U1932" s="53">
        <f>IF(P1932="","",IF(P1932="Gasto",S1932,IF(P1932="Reembolso",-S1932,0)))</f>
        <v/>
      </c>
      <c r="V1932" s="53">
        <f>IF(P1932="","",IF(P1932="Ingreso",S1932,0))</f>
        <v/>
      </c>
      <c r="W1932" s="53">
        <f>IF(P1932="","",IF(P1932="Resultado trading",S1932,0))</f>
        <v/>
      </c>
      <c r="X1932" s="52">
        <f>IF(OR(P1932="Gasto",P1932="Reembolso"),IF(M1932&lt;&gt;"",M1932,IFERROR(INDEX(catClasif,MATCH(D1932&amp;"|"&amp;E1932,catClave,0))&amp;"","Variable")),"")</f>
        <v/>
      </c>
      <c r="Y1932" s="52">
        <f>IF(P1932="","",IFERROR(INDEX(catGrupo,MATCH(D1932&amp;"|"&amp;E1932,catClave,0))&amp;"",""))</f>
        <v/>
      </c>
      <c r="Z1932" s="52">
        <f>IF(P1932="","",WEEKDAY(B1932,2))</f>
        <v/>
      </c>
      <c r="AA1932" s="52">
        <f>IF(P1932="","",IF(AND(P1932="Gasto",X1932="Variable",D1932&lt;&gt;catTrading,S1932&gt;0,S1932&lt;=Umbral),1,0))</f>
        <v/>
      </c>
      <c r="AB1932" s="52">
        <f>IF(OR(P1932="",Q1932=""),"",IFERROR(IF(INDEX(ctaVinc,MATCH(Q1932,ctaNombre,0))&amp;""&lt;&gt;"",INDEX(ctaVinc,MATCH(Q1932,ctaNombre,0))&amp;"",Q1932),Q1932))</f>
        <v/>
      </c>
      <c r="AC1932" s="52">
        <f>IF(OR(K1932="",AND(P1932&lt;&gt;"Transferencia",P1932&lt;&gt;"Pago tarjeta")),"",IFERROR(IF(INDEX(ctaVinc,MATCH(K1932,ctaNombre,0))&amp;""&lt;&gt;"",INDEX(ctaVinc,MATCH(K1932,ctaNombre,0))&amp;"",K1932),K1932))</f>
        <v/>
      </c>
      <c r="AD1932" s="52">
        <f>IF(AB1932="","",IFERROR(INDEX(ctaTipo,MATCH(AB1932,ctaNombre,0))&amp;"",""))</f>
        <v/>
      </c>
      <c r="AE1932" s="52">
        <f>IF(AC1932="","",IFERROR(INDEX(ctaTipo,MATCH(AC1932,ctaNombre,0))&amp;"",""))</f>
        <v/>
      </c>
      <c r="AF1932" s="53">
        <f>IF(OR(P1932="",AB1932=""),"",IF(OR(P1932="Gasto",P1932="Transferencia",P1932="Pago tarjeta"),-1,1)*IF(IFERROR(INDEX(ctaMoneda,MATCH(AB1932,ctaNombre,0))&amp;"","DOP")="USD",T1932,S1932))</f>
        <v/>
      </c>
      <c r="AG1932" s="53">
        <f>IF(AC1932="","",IF(IFERROR(INDEX(ctaMoneda,MATCH(AC1932,ctaNombre,0))&amp;"","DOP")="USD",T1932,S1932))</f>
        <v/>
      </c>
      <c r="AH1932" s="53">
        <f>IF(P1932="","",IF(AND(AD1932&lt;&gt;"",COUNTIFS(tcTipo,AD1932,tcLiq,"Sí")&gt;0),IF(OR(P1932="Gasto",P1932="Transferencia",P1932="Pago tarjeta"),-1,1)*S1932,0)+IF(AND(AE1932&lt;&gt;"",COUNTIFS(tcTipo,AE1932,tcLiq,"Sí")&gt;0),S1932,0))</f>
        <v/>
      </c>
      <c r="AI1932" s="52">
        <f>IF(OR(L1932="",P1932=""),"",IF(COUNTIFS(L$6:L1932,L1932,P$6:P1932,"?*")=1,MAX(AI$5:AI1931)+1,""))</f>
        <v/>
      </c>
    </row>
    <row r="1933">
      <c r="B1933" s="47" t="n"/>
      <c r="C1933" s="48" t="n"/>
      <c r="D1933" s="48" t="n"/>
      <c r="E1933" s="48" t="n"/>
      <c r="F1933" s="48" t="n"/>
      <c r="G1933" s="49" t="n"/>
      <c r="H1933" s="48" t="n"/>
      <c r="I1933" s="50" t="n"/>
      <c r="J1933" s="48" t="n"/>
      <c r="K1933" s="48" t="n"/>
      <c r="L1933" s="48" t="n"/>
      <c r="M1933" s="48" t="n"/>
      <c r="N1933" s="48" t="n"/>
      <c r="O1933" s="51">
        <f>IF(AND(B1933="",G1933="",C1933="",D1933="",J1933=""),"",IF(B1933="","⚠ Falta fecha",IF(G1933="","⚠ Falta monto",IF(Q1933="","⚠ Falta cuenta",IF(ISNA(MATCH(Q1933,ctaNombre,0)),"⚠ Cuenta no registrada",IF(AND(OR(P1933="Gasto",P1933="Reembolso"),D1933=""),"⚠ Falta categoría",IF(AND(D1933&lt;&gt;"",E1933&lt;&gt;"",ISNA(MATCH(D1933&amp;"|"&amp;E1933,catClave,0))),"⚠ Subcategoría no corresponde",IF(AND(OR(P1933="Transferencia",P1933="Pago tarjeta"),K1933=""),"⚠ Falta cuenta destino",IF(AND(K1933&lt;&gt;"",P1933&lt;&gt;"Transferencia",P1933&lt;&gt;"Pago tarjeta"),"⚠ Destino solo aplica a transferencias",IF(AND(K1933&lt;&gt;"",K1933=Q1933),"⚠ Origen igual a destino",IF(AND(K1933&lt;&gt;"",ISNA(MATCH(K1933,ctaNombre,0))),"⚠ Destino no registrado",IF(AND(P1933="Pago tarjeta",AE1933&lt;&gt;"Tarjeta de crédito"),"⚠ El destino debe ser tarjeta de crédito",IF(AND(P1933="Gasto",E1933="Depósitos y retiros"),"⚠ Usa tipo Transferencia",IF(AND(P1933="Resultado trading",AD1933&lt;&gt;"Cuenta de trading"),"⚠ Usa una cuenta de trading",IF(AND(G1933&lt;=0,P1933&lt;&gt;"Ajuste",P1933&lt;&gt;"Resultado trading"),"⚠ El monto debe ser positivo","✓")))))))))))))))</f>
        <v/>
      </c>
      <c r="P1933" s="52">
        <f>IF(OR(B1933="",G1933=""),"",IF(C1933="","Gasto",C1933))</f>
        <v/>
      </c>
      <c r="Q1933" s="52">
        <f>IF(P1933="","",IF(J1933&lt;&gt;"",J1933,CuentaPred&amp;""))</f>
        <v/>
      </c>
      <c r="R1933" s="52">
        <f>IF(P1933="","",IF(ISNUMBER(I1933),I1933,TasaUSD))</f>
        <v/>
      </c>
      <c r="S1933" s="53">
        <f>IF(P1933="","",IF(H1933="USD",G1933*R1933,G1933))</f>
        <v/>
      </c>
      <c r="T1933" s="53">
        <f>IF(P1933="","",IF(H1933="USD",G1933,IF(R1933&gt;0,G1933/R1933,0)))</f>
        <v/>
      </c>
      <c r="U1933" s="53">
        <f>IF(P1933="","",IF(P1933="Gasto",S1933,IF(P1933="Reembolso",-S1933,0)))</f>
        <v/>
      </c>
      <c r="V1933" s="53">
        <f>IF(P1933="","",IF(P1933="Ingreso",S1933,0))</f>
        <v/>
      </c>
      <c r="W1933" s="53">
        <f>IF(P1933="","",IF(P1933="Resultado trading",S1933,0))</f>
        <v/>
      </c>
      <c r="X1933" s="52">
        <f>IF(OR(P1933="Gasto",P1933="Reembolso"),IF(M1933&lt;&gt;"",M1933,IFERROR(INDEX(catClasif,MATCH(D1933&amp;"|"&amp;E1933,catClave,0))&amp;"","Variable")),"")</f>
        <v/>
      </c>
      <c r="Y1933" s="52">
        <f>IF(P1933="","",IFERROR(INDEX(catGrupo,MATCH(D1933&amp;"|"&amp;E1933,catClave,0))&amp;"",""))</f>
        <v/>
      </c>
      <c r="Z1933" s="52">
        <f>IF(P1933="","",WEEKDAY(B1933,2))</f>
        <v/>
      </c>
      <c r="AA1933" s="52">
        <f>IF(P1933="","",IF(AND(P1933="Gasto",X1933="Variable",D1933&lt;&gt;catTrading,S1933&gt;0,S1933&lt;=Umbral),1,0))</f>
        <v/>
      </c>
      <c r="AB1933" s="52">
        <f>IF(OR(P1933="",Q1933=""),"",IFERROR(IF(INDEX(ctaVinc,MATCH(Q1933,ctaNombre,0))&amp;""&lt;&gt;"",INDEX(ctaVinc,MATCH(Q1933,ctaNombre,0))&amp;"",Q1933),Q1933))</f>
        <v/>
      </c>
      <c r="AC1933" s="52">
        <f>IF(OR(K1933="",AND(P1933&lt;&gt;"Transferencia",P1933&lt;&gt;"Pago tarjeta")),"",IFERROR(IF(INDEX(ctaVinc,MATCH(K1933,ctaNombre,0))&amp;""&lt;&gt;"",INDEX(ctaVinc,MATCH(K1933,ctaNombre,0))&amp;"",K1933),K1933))</f>
        <v/>
      </c>
      <c r="AD1933" s="52">
        <f>IF(AB1933="","",IFERROR(INDEX(ctaTipo,MATCH(AB1933,ctaNombre,0))&amp;"",""))</f>
        <v/>
      </c>
      <c r="AE1933" s="52">
        <f>IF(AC1933="","",IFERROR(INDEX(ctaTipo,MATCH(AC1933,ctaNombre,0))&amp;"",""))</f>
        <v/>
      </c>
      <c r="AF1933" s="53">
        <f>IF(OR(P1933="",AB1933=""),"",IF(OR(P1933="Gasto",P1933="Transferencia",P1933="Pago tarjeta"),-1,1)*IF(IFERROR(INDEX(ctaMoneda,MATCH(AB1933,ctaNombre,0))&amp;"","DOP")="USD",T1933,S1933))</f>
        <v/>
      </c>
      <c r="AG1933" s="53">
        <f>IF(AC1933="","",IF(IFERROR(INDEX(ctaMoneda,MATCH(AC1933,ctaNombre,0))&amp;"","DOP")="USD",T1933,S1933))</f>
        <v/>
      </c>
      <c r="AH1933" s="53">
        <f>IF(P1933="","",IF(AND(AD1933&lt;&gt;"",COUNTIFS(tcTipo,AD1933,tcLiq,"Sí")&gt;0),IF(OR(P1933="Gasto",P1933="Transferencia",P1933="Pago tarjeta"),-1,1)*S1933,0)+IF(AND(AE1933&lt;&gt;"",COUNTIFS(tcTipo,AE1933,tcLiq,"Sí")&gt;0),S1933,0))</f>
        <v/>
      </c>
      <c r="AI1933" s="52">
        <f>IF(OR(L1933="",P1933=""),"",IF(COUNTIFS(L$6:L1933,L1933,P$6:P1933,"?*")=1,MAX(AI$5:AI1932)+1,""))</f>
        <v/>
      </c>
    </row>
    <row r="1934">
      <c r="B1934" s="47" t="n"/>
      <c r="C1934" s="48" t="n"/>
      <c r="D1934" s="48" t="n"/>
      <c r="E1934" s="48" t="n"/>
      <c r="F1934" s="48" t="n"/>
      <c r="G1934" s="49" t="n"/>
      <c r="H1934" s="48" t="n"/>
      <c r="I1934" s="50" t="n"/>
      <c r="J1934" s="48" t="n"/>
      <c r="K1934" s="48" t="n"/>
      <c r="L1934" s="48" t="n"/>
      <c r="M1934" s="48" t="n"/>
      <c r="N1934" s="48" t="n"/>
      <c r="O1934" s="51">
        <f>IF(AND(B1934="",G1934="",C1934="",D1934="",J1934=""),"",IF(B1934="","⚠ Falta fecha",IF(G1934="","⚠ Falta monto",IF(Q1934="","⚠ Falta cuenta",IF(ISNA(MATCH(Q1934,ctaNombre,0)),"⚠ Cuenta no registrada",IF(AND(OR(P1934="Gasto",P1934="Reembolso"),D1934=""),"⚠ Falta categoría",IF(AND(D1934&lt;&gt;"",E1934&lt;&gt;"",ISNA(MATCH(D1934&amp;"|"&amp;E1934,catClave,0))),"⚠ Subcategoría no corresponde",IF(AND(OR(P1934="Transferencia",P1934="Pago tarjeta"),K1934=""),"⚠ Falta cuenta destino",IF(AND(K1934&lt;&gt;"",P1934&lt;&gt;"Transferencia",P1934&lt;&gt;"Pago tarjeta"),"⚠ Destino solo aplica a transferencias",IF(AND(K1934&lt;&gt;"",K1934=Q1934),"⚠ Origen igual a destino",IF(AND(K1934&lt;&gt;"",ISNA(MATCH(K1934,ctaNombre,0))),"⚠ Destino no registrado",IF(AND(P1934="Pago tarjeta",AE1934&lt;&gt;"Tarjeta de crédito"),"⚠ El destino debe ser tarjeta de crédito",IF(AND(P1934="Gasto",E1934="Depósitos y retiros"),"⚠ Usa tipo Transferencia",IF(AND(P1934="Resultado trading",AD1934&lt;&gt;"Cuenta de trading"),"⚠ Usa una cuenta de trading",IF(AND(G1934&lt;=0,P1934&lt;&gt;"Ajuste",P1934&lt;&gt;"Resultado trading"),"⚠ El monto debe ser positivo","✓")))))))))))))))</f>
        <v/>
      </c>
      <c r="P1934" s="52">
        <f>IF(OR(B1934="",G1934=""),"",IF(C1934="","Gasto",C1934))</f>
        <v/>
      </c>
      <c r="Q1934" s="52">
        <f>IF(P1934="","",IF(J1934&lt;&gt;"",J1934,CuentaPred&amp;""))</f>
        <v/>
      </c>
      <c r="R1934" s="52">
        <f>IF(P1934="","",IF(ISNUMBER(I1934),I1934,TasaUSD))</f>
        <v/>
      </c>
      <c r="S1934" s="53">
        <f>IF(P1934="","",IF(H1934="USD",G1934*R1934,G1934))</f>
        <v/>
      </c>
      <c r="T1934" s="53">
        <f>IF(P1934="","",IF(H1934="USD",G1934,IF(R1934&gt;0,G1934/R1934,0)))</f>
        <v/>
      </c>
      <c r="U1934" s="53">
        <f>IF(P1934="","",IF(P1934="Gasto",S1934,IF(P1934="Reembolso",-S1934,0)))</f>
        <v/>
      </c>
      <c r="V1934" s="53">
        <f>IF(P1934="","",IF(P1934="Ingreso",S1934,0))</f>
        <v/>
      </c>
      <c r="W1934" s="53">
        <f>IF(P1934="","",IF(P1934="Resultado trading",S1934,0))</f>
        <v/>
      </c>
      <c r="X1934" s="52">
        <f>IF(OR(P1934="Gasto",P1934="Reembolso"),IF(M1934&lt;&gt;"",M1934,IFERROR(INDEX(catClasif,MATCH(D1934&amp;"|"&amp;E1934,catClave,0))&amp;"","Variable")),"")</f>
        <v/>
      </c>
      <c r="Y1934" s="52">
        <f>IF(P1934="","",IFERROR(INDEX(catGrupo,MATCH(D1934&amp;"|"&amp;E1934,catClave,0))&amp;"",""))</f>
        <v/>
      </c>
      <c r="Z1934" s="52">
        <f>IF(P1934="","",WEEKDAY(B1934,2))</f>
        <v/>
      </c>
      <c r="AA1934" s="52">
        <f>IF(P1934="","",IF(AND(P1934="Gasto",X1934="Variable",D1934&lt;&gt;catTrading,S1934&gt;0,S1934&lt;=Umbral),1,0))</f>
        <v/>
      </c>
      <c r="AB1934" s="52">
        <f>IF(OR(P1934="",Q1934=""),"",IFERROR(IF(INDEX(ctaVinc,MATCH(Q1934,ctaNombre,0))&amp;""&lt;&gt;"",INDEX(ctaVinc,MATCH(Q1934,ctaNombre,0))&amp;"",Q1934),Q1934))</f>
        <v/>
      </c>
      <c r="AC1934" s="52">
        <f>IF(OR(K1934="",AND(P1934&lt;&gt;"Transferencia",P1934&lt;&gt;"Pago tarjeta")),"",IFERROR(IF(INDEX(ctaVinc,MATCH(K1934,ctaNombre,0))&amp;""&lt;&gt;"",INDEX(ctaVinc,MATCH(K1934,ctaNombre,0))&amp;"",K1934),K1934))</f>
        <v/>
      </c>
      <c r="AD1934" s="52">
        <f>IF(AB1934="","",IFERROR(INDEX(ctaTipo,MATCH(AB1934,ctaNombre,0))&amp;"",""))</f>
        <v/>
      </c>
      <c r="AE1934" s="52">
        <f>IF(AC1934="","",IFERROR(INDEX(ctaTipo,MATCH(AC1934,ctaNombre,0))&amp;"",""))</f>
        <v/>
      </c>
      <c r="AF1934" s="53">
        <f>IF(OR(P1934="",AB1934=""),"",IF(OR(P1934="Gasto",P1934="Transferencia",P1934="Pago tarjeta"),-1,1)*IF(IFERROR(INDEX(ctaMoneda,MATCH(AB1934,ctaNombre,0))&amp;"","DOP")="USD",T1934,S1934))</f>
        <v/>
      </c>
      <c r="AG1934" s="53">
        <f>IF(AC1934="","",IF(IFERROR(INDEX(ctaMoneda,MATCH(AC1934,ctaNombre,0))&amp;"","DOP")="USD",T1934,S1934))</f>
        <v/>
      </c>
      <c r="AH1934" s="53">
        <f>IF(P1934="","",IF(AND(AD1934&lt;&gt;"",COUNTIFS(tcTipo,AD1934,tcLiq,"Sí")&gt;0),IF(OR(P1934="Gasto",P1934="Transferencia",P1934="Pago tarjeta"),-1,1)*S1934,0)+IF(AND(AE1934&lt;&gt;"",COUNTIFS(tcTipo,AE1934,tcLiq,"Sí")&gt;0),S1934,0))</f>
        <v/>
      </c>
      <c r="AI1934" s="52">
        <f>IF(OR(L1934="",P1934=""),"",IF(COUNTIFS(L$6:L1934,L1934,P$6:P1934,"?*")=1,MAX(AI$5:AI1933)+1,""))</f>
        <v/>
      </c>
    </row>
    <row r="1935">
      <c r="B1935" s="47" t="n"/>
      <c r="C1935" s="48" t="n"/>
      <c r="D1935" s="48" t="n"/>
      <c r="E1935" s="48" t="n"/>
      <c r="F1935" s="48" t="n"/>
      <c r="G1935" s="49" t="n"/>
      <c r="H1935" s="48" t="n"/>
      <c r="I1935" s="50" t="n"/>
      <c r="J1935" s="48" t="n"/>
      <c r="K1935" s="48" t="n"/>
      <c r="L1935" s="48" t="n"/>
      <c r="M1935" s="48" t="n"/>
      <c r="N1935" s="48" t="n"/>
      <c r="O1935" s="51">
        <f>IF(AND(B1935="",G1935="",C1935="",D1935="",J1935=""),"",IF(B1935="","⚠ Falta fecha",IF(G1935="","⚠ Falta monto",IF(Q1935="","⚠ Falta cuenta",IF(ISNA(MATCH(Q1935,ctaNombre,0)),"⚠ Cuenta no registrada",IF(AND(OR(P1935="Gasto",P1935="Reembolso"),D1935=""),"⚠ Falta categoría",IF(AND(D1935&lt;&gt;"",E1935&lt;&gt;"",ISNA(MATCH(D1935&amp;"|"&amp;E1935,catClave,0))),"⚠ Subcategoría no corresponde",IF(AND(OR(P1935="Transferencia",P1935="Pago tarjeta"),K1935=""),"⚠ Falta cuenta destino",IF(AND(K1935&lt;&gt;"",P1935&lt;&gt;"Transferencia",P1935&lt;&gt;"Pago tarjeta"),"⚠ Destino solo aplica a transferencias",IF(AND(K1935&lt;&gt;"",K1935=Q1935),"⚠ Origen igual a destino",IF(AND(K1935&lt;&gt;"",ISNA(MATCH(K1935,ctaNombre,0))),"⚠ Destino no registrado",IF(AND(P1935="Pago tarjeta",AE1935&lt;&gt;"Tarjeta de crédito"),"⚠ El destino debe ser tarjeta de crédito",IF(AND(P1935="Gasto",E1935="Depósitos y retiros"),"⚠ Usa tipo Transferencia",IF(AND(P1935="Resultado trading",AD1935&lt;&gt;"Cuenta de trading"),"⚠ Usa una cuenta de trading",IF(AND(G1935&lt;=0,P1935&lt;&gt;"Ajuste",P1935&lt;&gt;"Resultado trading"),"⚠ El monto debe ser positivo","✓")))))))))))))))</f>
        <v/>
      </c>
      <c r="P1935" s="52">
        <f>IF(OR(B1935="",G1935=""),"",IF(C1935="","Gasto",C1935))</f>
        <v/>
      </c>
      <c r="Q1935" s="52">
        <f>IF(P1935="","",IF(J1935&lt;&gt;"",J1935,CuentaPred&amp;""))</f>
        <v/>
      </c>
      <c r="R1935" s="52">
        <f>IF(P1935="","",IF(ISNUMBER(I1935),I1935,TasaUSD))</f>
        <v/>
      </c>
      <c r="S1935" s="53">
        <f>IF(P1935="","",IF(H1935="USD",G1935*R1935,G1935))</f>
        <v/>
      </c>
      <c r="T1935" s="53">
        <f>IF(P1935="","",IF(H1935="USD",G1935,IF(R1935&gt;0,G1935/R1935,0)))</f>
        <v/>
      </c>
      <c r="U1935" s="53">
        <f>IF(P1935="","",IF(P1935="Gasto",S1935,IF(P1935="Reembolso",-S1935,0)))</f>
        <v/>
      </c>
      <c r="V1935" s="53">
        <f>IF(P1935="","",IF(P1935="Ingreso",S1935,0))</f>
        <v/>
      </c>
      <c r="W1935" s="53">
        <f>IF(P1935="","",IF(P1935="Resultado trading",S1935,0))</f>
        <v/>
      </c>
      <c r="X1935" s="52">
        <f>IF(OR(P1935="Gasto",P1935="Reembolso"),IF(M1935&lt;&gt;"",M1935,IFERROR(INDEX(catClasif,MATCH(D1935&amp;"|"&amp;E1935,catClave,0))&amp;"","Variable")),"")</f>
        <v/>
      </c>
      <c r="Y1935" s="52">
        <f>IF(P1935="","",IFERROR(INDEX(catGrupo,MATCH(D1935&amp;"|"&amp;E1935,catClave,0))&amp;"",""))</f>
        <v/>
      </c>
      <c r="Z1935" s="52">
        <f>IF(P1935="","",WEEKDAY(B1935,2))</f>
        <v/>
      </c>
      <c r="AA1935" s="52">
        <f>IF(P1935="","",IF(AND(P1935="Gasto",X1935="Variable",D1935&lt;&gt;catTrading,S1935&gt;0,S1935&lt;=Umbral),1,0))</f>
        <v/>
      </c>
      <c r="AB1935" s="52">
        <f>IF(OR(P1935="",Q1935=""),"",IFERROR(IF(INDEX(ctaVinc,MATCH(Q1935,ctaNombre,0))&amp;""&lt;&gt;"",INDEX(ctaVinc,MATCH(Q1935,ctaNombre,0))&amp;"",Q1935),Q1935))</f>
        <v/>
      </c>
      <c r="AC1935" s="52">
        <f>IF(OR(K1935="",AND(P1935&lt;&gt;"Transferencia",P1935&lt;&gt;"Pago tarjeta")),"",IFERROR(IF(INDEX(ctaVinc,MATCH(K1935,ctaNombre,0))&amp;""&lt;&gt;"",INDEX(ctaVinc,MATCH(K1935,ctaNombre,0))&amp;"",K1935),K1935))</f>
        <v/>
      </c>
      <c r="AD1935" s="52">
        <f>IF(AB1935="","",IFERROR(INDEX(ctaTipo,MATCH(AB1935,ctaNombre,0))&amp;"",""))</f>
        <v/>
      </c>
      <c r="AE1935" s="52">
        <f>IF(AC1935="","",IFERROR(INDEX(ctaTipo,MATCH(AC1935,ctaNombre,0))&amp;"",""))</f>
        <v/>
      </c>
      <c r="AF1935" s="53">
        <f>IF(OR(P1935="",AB1935=""),"",IF(OR(P1935="Gasto",P1935="Transferencia",P1935="Pago tarjeta"),-1,1)*IF(IFERROR(INDEX(ctaMoneda,MATCH(AB1935,ctaNombre,0))&amp;"","DOP")="USD",T1935,S1935))</f>
        <v/>
      </c>
      <c r="AG1935" s="53">
        <f>IF(AC1935="","",IF(IFERROR(INDEX(ctaMoneda,MATCH(AC1935,ctaNombre,0))&amp;"","DOP")="USD",T1935,S1935))</f>
        <v/>
      </c>
      <c r="AH1935" s="53">
        <f>IF(P1935="","",IF(AND(AD1935&lt;&gt;"",COUNTIFS(tcTipo,AD1935,tcLiq,"Sí")&gt;0),IF(OR(P1935="Gasto",P1935="Transferencia",P1935="Pago tarjeta"),-1,1)*S1935,0)+IF(AND(AE1935&lt;&gt;"",COUNTIFS(tcTipo,AE1935,tcLiq,"Sí")&gt;0),S1935,0))</f>
        <v/>
      </c>
      <c r="AI1935" s="52">
        <f>IF(OR(L1935="",P1935=""),"",IF(COUNTIFS(L$6:L1935,L1935,P$6:P1935,"?*")=1,MAX(AI$5:AI1934)+1,""))</f>
        <v/>
      </c>
    </row>
    <row r="1936">
      <c r="B1936" s="47" t="n"/>
      <c r="C1936" s="48" t="n"/>
      <c r="D1936" s="48" t="n"/>
      <c r="E1936" s="48" t="n"/>
      <c r="F1936" s="48" t="n"/>
      <c r="G1936" s="49" t="n"/>
      <c r="H1936" s="48" t="n"/>
      <c r="I1936" s="50" t="n"/>
      <c r="J1936" s="48" t="n"/>
      <c r="K1936" s="48" t="n"/>
      <c r="L1936" s="48" t="n"/>
      <c r="M1936" s="48" t="n"/>
      <c r="N1936" s="48" t="n"/>
      <c r="O1936" s="51">
        <f>IF(AND(B1936="",G1936="",C1936="",D1936="",J1936=""),"",IF(B1936="","⚠ Falta fecha",IF(G1936="","⚠ Falta monto",IF(Q1936="","⚠ Falta cuenta",IF(ISNA(MATCH(Q1936,ctaNombre,0)),"⚠ Cuenta no registrada",IF(AND(OR(P1936="Gasto",P1936="Reembolso"),D1936=""),"⚠ Falta categoría",IF(AND(D1936&lt;&gt;"",E1936&lt;&gt;"",ISNA(MATCH(D1936&amp;"|"&amp;E1936,catClave,0))),"⚠ Subcategoría no corresponde",IF(AND(OR(P1936="Transferencia",P1936="Pago tarjeta"),K1936=""),"⚠ Falta cuenta destino",IF(AND(K1936&lt;&gt;"",P1936&lt;&gt;"Transferencia",P1936&lt;&gt;"Pago tarjeta"),"⚠ Destino solo aplica a transferencias",IF(AND(K1936&lt;&gt;"",K1936=Q1936),"⚠ Origen igual a destino",IF(AND(K1936&lt;&gt;"",ISNA(MATCH(K1936,ctaNombre,0))),"⚠ Destino no registrado",IF(AND(P1936="Pago tarjeta",AE1936&lt;&gt;"Tarjeta de crédito"),"⚠ El destino debe ser tarjeta de crédito",IF(AND(P1936="Gasto",E1936="Depósitos y retiros"),"⚠ Usa tipo Transferencia",IF(AND(P1936="Resultado trading",AD1936&lt;&gt;"Cuenta de trading"),"⚠ Usa una cuenta de trading",IF(AND(G1936&lt;=0,P1936&lt;&gt;"Ajuste",P1936&lt;&gt;"Resultado trading"),"⚠ El monto debe ser positivo","✓")))))))))))))))</f>
        <v/>
      </c>
      <c r="P1936" s="52">
        <f>IF(OR(B1936="",G1936=""),"",IF(C1936="","Gasto",C1936))</f>
        <v/>
      </c>
      <c r="Q1936" s="52">
        <f>IF(P1936="","",IF(J1936&lt;&gt;"",J1936,CuentaPred&amp;""))</f>
        <v/>
      </c>
      <c r="R1936" s="52">
        <f>IF(P1936="","",IF(ISNUMBER(I1936),I1936,TasaUSD))</f>
        <v/>
      </c>
      <c r="S1936" s="53">
        <f>IF(P1936="","",IF(H1936="USD",G1936*R1936,G1936))</f>
        <v/>
      </c>
      <c r="T1936" s="53">
        <f>IF(P1936="","",IF(H1936="USD",G1936,IF(R1936&gt;0,G1936/R1936,0)))</f>
        <v/>
      </c>
      <c r="U1936" s="53">
        <f>IF(P1936="","",IF(P1936="Gasto",S1936,IF(P1936="Reembolso",-S1936,0)))</f>
        <v/>
      </c>
      <c r="V1936" s="53">
        <f>IF(P1936="","",IF(P1936="Ingreso",S1936,0))</f>
        <v/>
      </c>
      <c r="W1936" s="53">
        <f>IF(P1936="","",IF(P1936="Resultado trading",S1936,0))</f>
        <v/>
      </c>
      <c r="X1936" s="52">
        <f>IF(OR(P1936="Gasto",P1936="Reembolso"),IF(M1936&lt;&gt;"",M1936,IFERROR(INDEX(catClasif,MATCH(D1936&amp;"|"&amp;E1936,catClave,0))&amp;"","Variable")),"")</f>
        <v/>
      </c>
      <c r="Y1936" s="52">
        <f>IF(P1936="","",IFERROR(INDEX(catGrupo,MATCH(D1936&amp;"|"&amp;E1936,catClave,0))&amp;"",""))</f>
        <v/>
      </c>
      <c r="Z1936" s="52">
        <f>IF(P1936="","",WEEKDAY(B1936,2))</f>
        <v/>
      </c>
      <c r="AA1936" s="52">
        <f>IF(P1936="","",IF(AND(P1936="Gasto",X1936="Variable",D1936&lt;&gt;catTrading,S1936&gt;0,S1936&lt;=Umbral),1,0))</f>
        <v/>
      </c>
      <c r="AB1936" s="52">
        <f>IF(OR(P1936="",Q1936=""),"",IFERROR(IF(INDEX(ctaVinc,MATCH(Q1936,ctaNombre,0))&amp;""&lt;&gt;"",INDEX(ctaVinc,MATCH(Q1936,ctaNombre,0))&amp;"",Q1936),Q1936))</f>
        <v/>
      </c>
      <c r="AC1936" s="52">
        <f>IF(OR(K1936="",AND(P1936&lt;&gt;"Transferencia",P1936&lt;&gt;"Pago tarjeta")),"",IFERROR(IF(INDEX(ctaVinc,MATCH(K1936,ctaNombre,0))&amp;""&lt;&gt;"",INDEX(ctaVinc,MATCH(K1936,ctaNombre,0))&amp;"",K1936),K1936))</f>
        <v/>
      </c>
      <c r="AD1936" s="52">
        <f>IF(AB1936="","",IFERROR(INDEX(ctaTipo,MATCH(AB1936,ctaNombre,0))&amp;"",""))</f>
        <v/>
      </c>
      <c r="AE1936" s="52">
        <f>IF(AC1936="","",IFERROR(INDEX(ctaTipo,MATCH(AC1936,ctaNombre,0))&amp;"",""))</f>
        <v/>
      </c>
      <c r="AF1936" s="53">
        <f>IF(OR(P1936="",AB1936=""),"",IF(OR(P1936="Gasto",P1936="Transferencia",P1936="Pago tarjeta"),-1,1)*IF(IFERROR(INDEX(ctaMoneda,MATCH(AB1936,ctaNombre,0))&amp;"","DOP")="USD",T1936,S1936))</f>
        <v/>
      </c>
      <c r="AG1936" s="53">
        <f>IF(AC1936="","",IF(IFERROR(INDEX(ctaMoneda,MATCH(AC1936,ctaNombre,0))&amp;"","DOP")="USD",T1936,S1936))</f>
        <v/>
      </c>
      <c r="AH1936" s="53">
        <f>IF(P1936="","",IF(AND(AD1936&lt;&gt;"",COUNTIFS(tcTipo,AD1936,tcLiq,"Sí")&gt;0),IF(OR(P1936="Gasto",P1936="Transferencia",P1936="Pago tarjeta"),-1,1)*S1936,0)+IF(AND(AE1936&lt;&gt;"",COUNTIFS(tcTipo,AE1936,tcLiq,"Sí")&gt;0),S1936,0))</f>
        <v/>
      </c>
      <c r="AI1936" s="52">
        <f>IF(OR(L1936="",P1936=""),"",IF(COUNTIFS(L$6:L1936,L1936,P$6:P1936,"?*")=1,MAX(AI$5:AI1935)+1,""))</f>
        <v/>
      </c>
    </row>
    <row r="1937">
      <c r="B1937" s="47" t="n"/>
      <c r="C1937" s="48" t="n"/>
      <c r="D1937" s="48" t="n"/>
      <c r="E1937" s="48" t="n"/>
      <c r="F1937" s="48" t="n"/>
      <c r="G1937" s="49" t="n"/>
      <c r="H1937" s="48" t="n"/>
      <c r="I1937" s="50" t="n"/>
      <c r="J1937" s="48" t="n"/>
      <c r="K1937" s="48" t="n"/>
      <c r="L1937" s="48" t="n"/>
      <c r="M1937" s="48" t="n"/>
      <c r="N1937" s="48" t="n"/>
      <c r="O1937" s="51">
        <f>IF(AND(B1937="",G1937="",C1937="",D1937="",J1937=""),"",IF(B1937="","⚠ Falta fecha",IF(G1937="","⚠ Falta monto",IF(Q1937="","⚠ Falta cuenta",IF(ISNA(MATCH(Q1937,ctaNombre,0)),"⚠ Cuenta no registrada",IF(AND(OR(P1937="Gasto",P1937="Reembolso"),D1937=""),"⚠ Falta categoría",IF(AND(D1937&lt;&gt;"",E1937&lt;&gt;"",ISNA(MATCH(D1937&amp;"|"&amp;E1937,catClave,0))),"⚠ Subcategoría no corresponde",IF(AND(OR(P1937="Transferencia",P1937="Pago tarjeta"),K1937=""),"⚠ Falta cuenta destino",IF(AND(K1937&lt;&gt;"",P1937&lt;&gt;"Transferencia",P1937&lt;&gt;"Pago tarjeta"),"⚠ Destino solo aplica a transferencias",IF(AND(K1937&lt;&gt;"",K1937=Q1937),"⚠ Origen igual a destino",IF(AND(K1937&lt;&gt;"",ISNA(MATCH(K1937,ctaNombre,0))),"⚠ Destino no registrado",IF(AND(P1937="Pago tarjeta",AE1937&lt;&gt;"Tarjeta de crédito"),"⚠ El destino debe ser tarjeta de crédito",IF(AND(P1937="Gasto",E1937="Depósitos y retiros"),"⚠ Usa tipo Transferencia",IF(AND(P1937="Resultado trading",AD1937&lt;&gt;"Cuenta de trading"),"⚠ Usa una cuenta de trading",IF(AND(G1937&lt;=0,P1937&lt;&gt;"Ajuste",P1937&lt;&gt;"Resultado trading"),"⚠ El monto debe ser positivo","✓")))))))))))))))</f>
        <v/>
      </c>
      <c r="P1937" s="52">
        <f>IF(OR(B1937="",G1937=""),"",IF(C1937="","Gasto",C1937))</f>
        <v/>
      </c>
      <c r="Q1937" s="52">
        <f>IF(P1937="","",IF(J1937&lt;&gt;"",J1937,CuentaPred&amp;""))</f>
        <v/>
      </c>
      <c r="R1937" s="52">
        <f>IF(P1937="","",IF(ISNUMBER(I1937),I1937,TasaUSD))</f>
        <v/>
      </c>
      <c r="S1937" s="53">
        <f>IF(P1937="","",IF(H1937="USD",G1937*R1937,G1937))</f>
        <v/>
      </c>
      <c r="T1937" s="53">
        <f>IF(P1937="","",IF(H1937="USD",G1937,IF(R1937&gt;0,G1937/R1937,0)))</f>
        <v/>
      </c>
      <c r="U1937" s="53">
        <f>IF(P1937="","",IF(P1937="Gasto",S1937,IF(P1937="Reembolso",-S1937,0)))</f>
        <v/>
      </c>
      <c r="V1937" s="53">
        <f>IF(P1937="","",IF(P1937="Ingreso",S1937,0))</f>
        <v/>
      </c>
      <c r="W1937" s="53">
        <f>IF(P1937="","",IF(P1937="Resultado trading",S1937,0))</f>
        <v/>
      </c>
      <c r="X1937" s="52">
        <f>IF(OR(P1937="Gasto",P1937="Reembolso"),IF(M1937&lt;&gt;"",M1937,IFERROR(INDEX(catClasif,MATCH(D1937&amp;"|"&amp;E1937,catClave,0))&amp;"","Variable")),"")</f>
        <v/>
      </c>
      <c r="Y1937" s="52">
        <f>IF(P1937="","",IFERROR(INDEX(catGrupo,MATCH(D1937&amp;"|"&amp;E1937,catClave,0))&amp;"",""))</f>
        <v/>
      </c>
      <c r="Z1937" s="52">
        <f>IF(P1937="","",WEEKDAY(B1937,2))</f>
        <v/>
      </c>
      <c r="AA1937" s="52">
        <f>IF(P1937="","",IF(AND(P1937="Gasto",X1937="Variable",D1937&lt;&gt;catTrading,S1937&gt;0,S1937&lt;=Umbral),1,0))</f>
        <v/>
      </c>
      <c r="AB1937" s="52">
        <f>IF(OR(P1937="",Q1937=""),"",IFERROR(IF(INDEX(ctaVinc,MATCH(Q1937,ctaNombre,0))&amp;""&lt;&gt;"",INDEX(ctaVinc,MATCH(Q1937,ctaNombre,0))&amp;"",Q1937),Q1937))</f>
        <v/>
      </c>
      <c r="AC1937" s="52">
        <f>IF(OR(K1937="",AND(P1937&lt;&gt;"Transferencia",P1937&lt;&gt;"Pago tarjeta")),"",IFERROR(IF(INDEX(ctaVinc,MATCH(K1937,ctaNombre,0))&amp;""&lt;&gt;"",INDEX(ctaVinc,MATCH(K1937,ctaNombre,0))&amp;"",K1937),K1937))</f>
        <v/>
      </c>
      <c r="AD1937" s="52">
        <f>IF(AB1937="","",IFERROR(INDEX(ctaTipo,MATCH(AB1937,ctaNombre,0))&amp;"",""))</f>
        <v/>
      </c>
      <c r="AE1937" s="52">
        <f>IF(AC1937="","",IFERROR(INDEX(ctaTipo,MATCH(AC1937,ctaNombre,0))&amp;"",""))</f>
        <v/>
      </c>
      <c r="AF1937" s="53">
        <f>IF(OR(P1937="",AB1937=""),"",IF(OR(P1937="Gasto",P1937="Transferencia",P1937="Pago tarjeta"),-1,1)*IF(IFERROR(INDEX(ctaMoneda,MATCH(AB1937,ctaNombre,0))&amp;"","DOP")="USD",T1937,S1937))</f>
        <v/>
      </c>
      <c r="AG1937" s="53">
        <f>IF(AC1937="","",IF(IFERROR(INDEX(ctaMoneda,MATCH(AC1937,ctaNombre,0))&amp;"","DOP")="USD",T1937,S1937))</f>
        <v/>
      </c>
      <c r="AH1937" s="53">
        <f>IF(P1937="","",IF(AND(AD1937&lt;&gt;"",COUNTIFS(tcTipo,AD1937,tcLiq,"Sí")&gt;0),IF(OR(P1937="Gasto",P1937="Transferencia",P1937="Pago tarjeta"),-1,1)*S1937,0)+IF(AND(AE1937&lt;&gt;"",COUNTIFS(tcTipo,AE1937,tcLiq,"Sí")&gt;0),S1937,0))</f>
        <v/>
      </c>
      <c r="AI1937" s="52">
        <f>IF(OR(L1937="",P1937=""),"",IF(COUNTIFS(L$6:L1937,L1937,P$6:P1937,"?*")=1,MAX(AI$5:AI1936)+1,""))</f>
        <v/>
      </c>
    </row>
    <row r="1938">
      <c r="B1938" s="47" t="n"/>
      <c r="C1938" s="48" t="n"/>
      <c r="D1938" s="48" t="n"/>
      <c r="E1938" s="48" t="n"/>
      <c r="F1938" s="48" t="n"/>
      <c r="G1938" s="49" t="n"/>
      <c r="H1938" s="48" t="n"/>
      <c r="I1938" s="50" t="n"/>
      <c r="J1938" s="48" t="n"/>
      <c r="K1938" s="48" t="n"/>
      <c r="L1938" s="48" t="n"/>
      <c r="M1938" s="48" t="n"/>
      <c r="N1938" s="48" t="n"/>
      <c r="O1938" s="51">
        <f>IF(AND(B1938="",G1938="",C1938="",D1938="",J1938=""),"",IF(B1938="","⚠ Falta fecha",IF(G1938="","⚠ Falta monto",IF(Q1938="","⚠ Falta cuenta",IF(ISNA(MATCH(Q1938,ctaNombre,0)),"⚠ Cuenta no registrada",IF(AND(OR(P1938="Gasto",P1938="Reembolso"),D1938=""),"⚠ Falta categoría",IF(AND(D1938&lt;&gt;"",E1938&lt;&gt;"",ISNA(MATCH(D1938&amp;"|"&amp;E1938,catClave,0))),"⚠ Subcategoría no corresponde",IF(AND(OR(P1938="Transferencia",P1938="Pago tarjeta"),K1938=""),"⚠ Falta cuenta destino",IF(AND(K1938&lt;&gt;"",P1938&lt;&gt;"Transferencia",P1938&lt;&gt;"Pago tarjeta"),"⚠ Destino solo aplica a transferencias",IF(AND(K1938&lt;&gt;"",K1938=Q1938),"⚠ Origen igual a destino",IF(AND(K1938&lt;&gt;"",ISNA(MATCH(K1938,ctaNombre,0))),"⚠ Destino no registrado",IF(AND(P1938="Pago tarjeta",AE1938&lt;&gt;"Tarjeta de crédito"),"⚠ El destino debe ser tarjeta de crédito",IF(AND(P1938="Gasto",E1938="Depósitos y retiros"),"⚠ Usa tipo Transferencia",IF(AND(P1938="Resultado trading",AD1938&lt;&gt;"Cuenta de trading"),"⚠ Usa una cuenta de trading",IF(AND(G1938&lt;=0,P1938&lt;&gt;"Ajuste",P1938&lt;&gt;"Resultado trading"),"⚠ El monto debe ser positivo","✓")))))))))))))))</f>
        <v/>
      </c>
      <c r="P1938" s="52">
        <f>IF(OR(B1938="",G1938=""),"",IF(C1938="","Gasto",C1938))</f>
        <v/>
      </c>
      <c r="Q1938" s="52">
        <f>IF(P1938="","",IF(J1938&lt;&gt;"",J1938,CuentaPred&amp;""))</f>
        <v/>
      </c>
      <c r="R1938" s="52">
        <f>IF(P1938="","",IF(ISNUMBER(I1938),I1938,TasaUSD))</f>
        <v/>
      </c>
      <c r="S1938" s="53">
        <f>IF(P1938="","",IF(H1938="USD",G1938*R1938,G1938))</f>
        <v/>
      </c>
      <c r="T1938" s="53">
        <f>IF(P1938="","",IF(H1938="USD",G1938,IF(R1938&gt;0,G1938/R1938,0)))</f>
        <v/>
      </c>
      <c r="U1938" s="53">
        <f>IF(P1938="","",IF(P1938="Gasto",S1938,IF(P1938="Reembolso",-S1938,0)))</f>
        <v/>
      </c>
      <c r="V1938" s="53">
        <f>IF(P1938="","",IF(P1938="Ingreso",S1938,0))</f>
        <v/>
      </c>
      <c r="W1938" s="53">
        <f>IF(P1938="","",IF(P1938="Resultado trading",S1938,0))</f>
        <v/>
      </c>
      <c r="X1938" s="52">
        <f>IF(OR(P1938="Gasto",P1938="Reembolso"),IF(M1938&lt;&gt;"",M1938,IFERROR(INDEX(catClasif,MATCH(D1938&amp;"|"&amp;E1938,catClave,0))&amp;"","Variable")),"")</f>
        <v/>
      </c>
      <c r="Y1938" s="52">
        <f>IF(P1938="","",IFERROR(INDEX(catGrupo,MATCH(D1938&amp;"|"&amp;E1938,catClave,0))&amp;"",""))</f>
        <v/>
      </c>
      <c r="Z1938" s="52">
        <f>IF(P1938="","",WEEKDAY(B1938,2))</f>
        <v/>
      </c>
      <c r="AA1938" s="52">
        <f>IF(P1938="","",IF(AND(P1938="Gasto",X1938="Variable",D1938&lt;&gt;catTrading,S1938&gt;0,S1938&lt;=Umbral),1,0))</f>
        <v/>
      </c>
      <c r="AB1938" s="52">
        <f>IF(OR(P1938="",Q1938=""),"",IFERROR(IF(INDEX(ctaVinc,MATCH(Q1938,ctaNombre,0))&amp;""&lt;&gt;"",INDEX(ctaVinc,MATCH(Q1938,ctaNombre,0))&amp;"",Q1938),Q1938))</f>
        <v/>
      </c>
      <c r="AC1938" s="52">
        <f>IF(OR(K1938="",AND(P1938&lt;&gt;"Transferencia",P1938&lt;&gt;"Pago tarjeta")),"",IFERROR(IF(INDEX(ctaVinc,MATCH(K1938,ctaNombre,0))&amp;""&lt;&gt;"",INDEX(ctaVinc,MATCH(K1938,ctaNombre,0))&amp;"",K1938),K1938))</f>
        <v/>
      </c>
      <c r="AD1938" s="52">
        <f>IF(AB1938="","",IFERROR(INDEX(ctaTipo,MATCH(AB1938,ctaNombre,0))&amp;"",""))</f>
        <v/>
      </c>
      <c r="AE1938" s="52">
        <f>IF(AC1938="","",IFERROR(INDEX(ctaTipo,MATCH(AC1938,ctaNombre,0))&amp;"",""))</f>
        <v/>
      </c>
      <c r="AF1938" s="53">
        <f>IF(OR(P1938="",AB1938=""),"",IF(OR(P1938="Gasto",P1938="Transferencia",P1938="Pago tarjeta"),-1,1)*IF(IFERROR(INDEX(ctaMoneda,MATCH(AB1938,ctaNombre,0))&amp;"","DOP")="USD",T1938,S1938))</f>
        <v/>
      </c>
      <c r="AG1938" s="53">
        <f>IF(AC1938="","",IF(IFERROR(INDEX(ctaMoneda,MATCH(AC1938,ctaNombre,0))&amp;"","DOP")="USD",T1938,S1938))</f>
        <v/>
      </c>
      <c r="AH1938" s="53">
        <f>IF(P1938="","",IF(AND(AD1938&lt;&gt;"",COUNTIFS(tcTipo,AD1938,tcLiq,"Sí")&gt;0),IF(OR(P1938="Gasto",P1938="Transferencia",P1938="Pago tarjeta"),-1,1)*S1938,0)+IF(AND(AE1938&lt;&gt;"",COUNTIFS(tcTipo,AE1938,tcLiq,"Sí")&gt;0),S1938,0))</f>
        <v/>
      </c>
      <c r="AI1938" s="52">
        <f>IF(OR(L1938="",P1938=""),"",IF(COUNTIFS(L$6:L1938,L1938,P$6:P1938,"?*")=1,MAX(AI$5:AI1937)+1,""))</f>
        <v/>
      </c>
    </row>
    <row r="1939">
      <c r="B1939" s="47" t="n"/>
      <c r="C1939" s="48" t="n"/>
      <c r="D1939" s="48" t="n"/>
      <c r="E1939" s="48" t="n"/>
      <c r="F1939" s="48" t="n"/>
      <c r="G1939" s="49" t="n"/>
      <c r="H1939" s="48" t="n"/>
      <c r="I1939" s="50" t="n"/>
      <c r="J1939" s="48" t="n"/>
      <c r="K1939" s="48" t="n"/>
      <c r="L1939" s="48" t="n"/>
      <c r="M1939" s="48" t="n"/>
      <c r="N1939" s="48" t="n"/>
      <c r="O1939" s="51">
        <f>IF(AND(B1939="",G1939="",C1939="",D1939="",J1939=""),"",IF(B1939="","⚠ Falta fecha",IF(G1939="","⚠ Falta monto",IF(Q1939="","⚠ Falta cuenta",IF(ISNA(MATCH(Q1939,ctaNombre,0)),"⚠ Cuenta no registrada",IF(AND(OR(P1939="Gasto",P1939="Reembolso"),D1939=""),"⚠ Falta categoría",IF(AND(D1939&lt;&gt;"",E1939&lt;&gt;"",ISNA(MATCH(D1939&amp;"|"&amp;E1939,catClave,0))),"⚠ Subcategoría no corresponde",IF(AND(OR(P1939="Transferencia",P1939="Pago tarjeta"),K1939=""),"⚠ Falta cuenta destino",IF(AND(K1939&lt;&gt;"",P1939&lt;&gt;"Transferencia",P1939&lt;&gt;"Pago tarjeta"),"⚠ Destino solo aplica a transferencias",IF(AND(K1939&lt;&gt;"",K1939=Q1939),"⚠ Origen igual a destino",IF(AND(K1939&lt;&gt;"",ISNA(MATCH(K1939,ctaNombre,0))),"⚠ Destino no registrado",IF(AND(P1939="Pago tarjeta",AE1939&lt;&gt;"Tarjeta de crédito"),"⚠ El destino debe ser tarjeta de crédito",IF(AND(P1939="Gasto",E1939="Depósitos y retiros"),"⚠ Usa tipo Transferencia",IF(AND(P1939="Resultado trading",AD1939&lt;&gt;"Cuenta de trading"),"⚠ Usa una cuenta de trading",IF(AND(G1939&lt;=0,P1939&lt;&gt;"Ajuste",P1939&lt;&gt;"Resultado trading"),"⚠ El monto debe ser positivo","✓")))))))))))))))</f>
        <v/>
      </c>
      <c r="P1939" s="52">
        <f>IF(OR(B1939="",G1939=""),"",IF(C1939="","Gasto",C1939))</f>
        <v/>
      </c>
      <c r="Q1939" s="52">
        <f>IF(P1939="","",IF(J1939&lt;&gt;"",J1939,CuentaPred&amp;""))</f>
        <v/>
      </c>
      <c r="R1939" s="52">
        <f>IF(P1939="","",IF(ISNUMBER(I1939),I1939,TasaUSD))</f>
        <v/>
      </c>
      <c r="S1939" s="53">
        <f>IF(P1939="","",IF(H1939="USD",G1939*R1939,G1939))</f>
        <v/>
      </c>
      <c r="T1939" s="53">
        <f>IF(P1939="","",IF(H1939="USD",G1939,IF(R1939&gt;0,G1939/R1939,0)))</f>
        <v/>
      </c>
      <c r="U1939" s="53">
        <f>IF(P1939="","",IF(P1939="Gasto",S1939,IF(P1939="Reembolso",-S1939,0)))</f>
        <v/>
      </c>
      <c r="V1939" s="53">
        <f>IF(P1939="","",IF(P1939="Ingreso",S1939,0))</f>
        <v/>
      </c>
      <c r="W1939" s="53">
        <f>IF(P1939="","",IF(P1939="Resultado trading",S1939,0))</f>
        <v/>
      </c>
      <c r="X1939" s="52">
        <f>IF(OR(P1939="Gasto",P1939="Reembolso"),IF(M1939&lt;&gt;"",M1939,IFERROR(INDEX(catClasif,MATCH(D1939&amp;"|"&amp;E1939,catClave,0))&amp;"","Variable")),"")</f>
        <v/>
      </c>
      <c r="Y1939" s="52">
        <f>IF(P1939="","",IFERROR(INDEX(catGrupo,MATCH(D1939&amp;"|"&amp;E1939,catClave,0))&amp;"",""))</f>
        <v/>
      </c>
      <c r="Z1939" s="52">
        <f>IF(P1939="","",WEEKDAY(B1939,2))</f>
        <v/>
      </c>
      <c r="AA1939" s="52">
        <f>IF(P1939="","",IF(AND(P1939="Gasto",X1939="Variable",D1939&lt;&gt;catTrading,S1939&gt;0,S1939&lt;=Umbral),1,0))</f>
        <v/>
      </c>
      <c r="AB1939" s="52">
        <f>IF(OR(P1939="",Q1939=""),"",IFERROR(IF(INDEX(ctaVinc,MATCH(Q1939,ctaNombre,0))&amp;""&lt;&gt;"",INDEX(ctaVinc,MATCH(Q1939,ctaNombre,0))&amp;"",Q1939),Q1939))</f>
        <v/>
      </c>
      <c r="AC1939" s="52">
        <f>IF(OR(K1939="",AND(P1939&lt;&gt;"Transferencia",P1939&lt;&gt;"Pago tarjeta")),"",IFERROR(IF(INDEX(ctaVinc,MATCH(K1939,ctaNombre,0))&amp;""&lt;&gt;"",INDEX(ctaVinc,MATCH(K1939,ctaNombre,0))&amp;"",K1939),K1939))</f>
        <v/>
      </c>
      <c r="AD1939" s="52">
        <f>IF(AB1939="","",IFERROR(INDEX(ctaTipo,MATCH(AB1939,ctaNombre,0))&amp;"",""))</f>
        <v/>
      </c>
      <c r="AE1939" s="52">
        <f>IF(AC1939="","",IFERROR(INDEX(ctaTipo,MATCH(AC1939,ctaNombre,0))&amp;"",""))</f>
        <v/>
      </c>
      <c r="AF1939" s="53">
        <f>IF(OR(P1939="",AB1939=""),"",IF(OR(P1939="Gasto",P1939="Transferencia",P1939="Pago tarjeta"),-1,1)*IF(IFERROR(INDEX(ctaMoneda,MATCH(AB1939,ctaNombre,0))&amp;"","DOP")="USD",T1939,S1939))</f>
        <v/>
      </c>
      <c r="AG1939" s="53">
        <f>IF(AC1939="","",IF(IFERROR(INDEX(ctaMoneda,MATCH(AC1939,ctaNombre,0))&amp;"","DOP")="USD",T1939,S1939))</f>
        <v/>
      </c>
      <c r="AH1939" s="53">
        <f>IF(P1939="","",IF(AND(AD1939&lt;&gt;"",COUNTIFS(tcTipo,AD1939,tcLiq,"Sí")&gt;0),IF(OR(P1939="Gasto",P1939="Transferencia",P1939="Pago tarjeta"),-1,1)*S1939,0)+IF(AND(AE1939&lt;&gt;"",COUNTIFS(tcTipo,AE1939,tcLiq,"Sí")&gt;0),S1939,0))</f>
        <v/>
      </c>
      <c r="AI1939" s="52">
        <f>IF(OR(L1939="",P1939=""),"",IF(COUNTIFS(L$6:L1939,L1939,P$6:P1939,"?*")=1,MAX(AI$5:AI1938)+1,""))</f>
        <v/>
      </c>
    </row>
    <row r="1940">
      <c r="B1940" s="47" t="n"/>
      <c r="C1940" s="48" t="n"/>
      <c r="D1940" s="48" t="n"/>
      <c r="E1940" s="48" t="n"/>
      <c r="F1940" s="48" t="n"/>
      <c r="G1940" s="49" t="n"/>
      <c r="H1940" s="48" t="n"/>
      <c r="I1940" s="50" t="n"/>
      <c r="J1940" s="48" t="n"/>
      <c r="K1940" s="48" t="n"/>
      <c r="L1940" s="48" t="n"/>
      <c r="M1940" s="48" t="n"/>
      <c r="N1940" s="48" t="n"/>
      <c r="O1940" s="51">
        <f>IF(AND(B1940="",G1940="",C1940="",D1940="",J1940=""),"",IF(B1940="","⚠ Falta fecha",IF(G1940="","⚠ Falta monto",IF(Q1940="","⚠ Falta cuenta",IF(ISNA(MATCH(Q1940,ctaNombre,0)),"⚠ Cuenta no registrada",IF(AND(OR(P1940="Gasto",P1940="Reembolso"),D1940=""),"⚠ Falta categoría",IF(AND(D1940&lt;&gt;"",E1940&lt;&gt;"",ISNA(MATCH(D1940&amp;"|"&amp;E1940,catClave,0))),"⚠ Subcategoría no corresponde",IF(AND(OR(P1940="Transferencia",P1940="Pago tarjeta"),K1940=""),"⚠ Falta cuenta destino",IF(AND(K1940&lt;&gt;"",P1940&lt;&gt;"Transferencia",P1940&lt;&gt;"Pago tarjeta"),"⚠ Destino solo aplica a transferencias",IF(AND(K1940&lt;&gt;"",K1940=Q1940),"⚠ Origen igual a destino",IF(AND(K1940&lt;&gt;"",ISNA(MATCH(K1940,ctaNombre,0))),"⚠ Destino no registrado",IF(AND(P1940="Pago tarjeta",AE1940&lt;&gt;"Tarjeta de crédito"),"⚠ El destino debe ser tarjeta de crédito",IF(AND(P1940="Gasto",E1940="Depósitos y retiros"),"⚠ Usa tipo Transferencia",IF(AND(P1940="Resultado trading",AD1940&lt;&gt;"Cuenta de trading"),"⚠ Usa una cuenta de trading",IF(AND(G1940&lt;=0,P1940&lt;&gt;"Ajuste",P1940&lt;&gt;"Resultado trading"),"⚠ El monto debe ser positivo","✓")))))))))))))))</f>
        <v/>
      </c>
      <c r="P1940" s="52">
        <f>IF(OR(B1940="",G1940=""),"",IF(C1940="","Gasto",C1940))</f>
        <v/>
      </c>
      <c r="Q1940" s="52">
        <f>IF(P1940="","",IF(J1940&lt;&gt;"",J1940,CuentaPred&amp;""))</f>
        <v/>
      </c>
      <c r="R1940" s="52">
        <f>IF(P1940="","",IF(ISNUMBER(I1940),I1940,TasaUSD))</f>
        <v/>
      </c>
      <c r="S1940" s="53">
        <f>IF(P1940="","",IF(H1940="USD",G1940*R1940,G1940))</f>
        <v/>
      </c>
      <c r="T1940" s="53">
        <f>IF(P1940="","",IF(H1940="USD",G1940,IF(R1940&gt;0,G1940/R1940,0)))</f>
        <v/>
      </c>
      <c r="U1940" s="53">
        <f>IF(P1940="","",IF(P1940="Gasto",S1940,IF(P1940="Reembolso",-S1940,0)))</f>
        <v/>
      </c>
      <c r="V1940" s="53">
        <f>IF(P1940="","",IF(P1940="Ingreso",S1940,0))</f>
        <v/>
      </c>
      <c r="W1940" s="53">
        <f>IF(P1940="","",IF(P1940="Resultado trading",S1940,0))</f>
        <v/>
      </c>
      <c r="X1940" s="52">
        <f>IF(OR(P1940="Gasto",P1940="Reembolso"),IF(M1940&lt;&gt;"",M1940,IFERROR(INDEX(catClasif,MATCH(D1940&amp;"|"&amp;E1940,catClave,0))&amp;"","Variable")),"")</f>
        <v/>
      </c>
      <c r="Y1940" s="52">
        <f>IF(P1940="","",IFERROR(INDEX(catGrupo,MATCH(D1940&amp;"|"&amp;E1940,catClave,0))&amp;"",""))</f>
        <v/>
      </c>
      <c r="Z1940" s="52">
        <f>IF(P1940="","",WEEKDAY(B1940,2))</f>
        <v/>
      </c>
      <c r="AA1940" s="52">
        <f>IF(P1940="","",IF(AND(P1940="Gasto",X1940="Variable",D1940&lt;&gt;catTrading,S1940&gt;0,S1940&lt;=Umbral),1,0))</f>
        <v/>
      </c>
      <c r="AB1940" s="52">
        <f>IF(OR(P1940="",Q1940=""),"",IFERROR(IF(INDEX(ctaVinc,MATCH(Q1940,ctaNombre,0))&amp;""&lt;&gt;"",INDEX(ctaVinc,MATCH(Q1940,ctaNombre,0))&amp;"",Q1940),Q1940))</f>
        <v/>
      </c>
      <c r="AC1940" s="52">
        <f>IF(OR(K1940="",AND(P1940&lt;&gt;"Transferencia",P1940&lt;&gt;"Pago tarjeta")),"",IFERROR(IF(INDEX(ctaVinc,MATCH(K1940,ctaNombre,0))&amp;""&lt;&gt;"",INDEX(ctaVinc,MATCH(K1940,ctaNombre,0))&amp;"",K1940),K1940))</f>
        <v/>
      </c>
      <c r="AD1940" s="52">
        <f>IF(AB1940="","",IFERROR(INDEX(ctaTipo,MATCH(AB1940,ctaNombre,0))&amp;"",""))</f>
        <v/>
      </c>
      <c r="AE1940" s="52">
        <f>IF(AC1940="","",IFERROR(INDEX(ctaTipo,MATCH(AC1940,ctaNombre,0))&amp;"",""))</f>
        <v/>
      </c>
      <c r="AF1940" s="53">
        <f>IF(OR(P1940="",AB1940=""),"",IF(OR(P1940="Gasto",P1940="Transferencia",P1940="Pago tarjeta"),-1,1)*IF(IFERROR(INDEX(ctaMoneda,MATCH(AB1940,ctaNombre,0))&amp;"","DOP")="USD",T1940,S1940))</f>
        <v/>
      </c>
      <c r="AG1940" s="53">
        <f>IF(AC1940="","",IF(IFERROR(INDEX(ctaMoneda,MATCH(AC1940,ctaNombre,0))&amp;"","DOP")="USD",T1940,S1940))</f>
        <v/>
      </c>
      <c r="AH1940" s="53">
        <f>IF(P1940="","",IF(AND(AD1940&lt;&gt;"",COUNTIFS(tcTipo,AD1940,tcLiq,"Sí")&gt;0),IF(OR(P1940="Gasto",P1940="Transferencia",P1940="Pago tarjeta"),-1,1)*S1940,0)+IF(AND(AE1940&lt;&gt;"",COUNTIFS(tcTipo,AE1940,tcLiq,"Sí")&gt;0),S1940,0))</f>
        <v/>
      </c>
      <c r="AI1940" s="52">
        <f>IF(OR(L1940="",P1940=""),"",IF(COUNTIFS(L$6:L1940,L1940,P$6:P1940,"?*")=1,MAX(AI$5:AI1939)+1,""))</f>
        <v/>
      </c>
    </row>
    <row r="1941">
      <c r="B1941" s="47" t="n"/>
      <c r="C1941" s="48" t="n"/>
      <c r="D1941" s="48" t="n"/>
      <c r="E1941" s="48" t="n"/>
      <c r="F1941" s="48" t="n"/>
      <c r="G1941" s="49" t="n"/>
      <c r="H1941" s="48" t="n"/>
      <c r="I1941" s="50" t="n"/>
      <c r="J1941" s="48" t="n"/>
      <c r="K1941" s="48" t="n"/>
      <c r="L1941" s="48" t="n"/>
      <c r="M1941" s="48" t="n"/>
      <c r="N1941" s="48" t="n"/>
      <c r="O1941" s="51">
        <f>IF(AND(B1941="",G1941="",C1941="",D1941="",J1941=""),"",IF(B1941="","⚠ Falta fecha",IF(G1941="","⚠ Falta monto",IF(Q1941="","⚠ Falta cuenta",IF(ISNA(MATCH(Q1941,ctaNombre,0)),"⚠ Cuenta no registrada",IF(AND(OR(P1941="Gasto",P1941="Reembolso"),D1941=""),"⚠ Falta categoría",IF(AND(D1941&lt;&gt;"",E1941&lt;&gt;"",ISNA(MATCH(D1941&amp;"|"&amp;E1941,catClave,0))),"⚠ Subcategoría no corresponde",IF(AND(OR(P1941="Transferencia",P1941="Pago tarjeta"),K1941=""),"⚠ Falta cuenta destino",IF(AND(K1941&lt;&gt;"",P1941&lt;&gt;"Transferencia",P1941&lt;&gt;"Pago tarjeta"),"⚠ Destino solo aplica a transferencias",IF(AND(K1941&lt;&gt;"",K1941=Q1941),"⚠ Origen igual a destino",IF(AND(K1941&lt;&gt;"",ISNA(MATCH(K1941,ctaNombre,0))),"⚠ Destino no registrado",IF(AND(P1941="Pago tarjeta",AE1941&lt;&gt;"Tarjeta de crédito"),"⚠ El destino debe ser tarjeta de crédito",IF(AND(P1941="Gasto",E1941="Depósitos y retiros"),"⚠ Usa tipo Transferencia",IF(AND(P1941="Resultado trading",AD1941&lt;&gt;"Cuenta de trading"),"⚠ Usa una cuenta de trading",IF(AND(G1941&lt;=0,P1941&lt;&gt;"Ajuste",P1941&lt;&gt;"Resultado trading"),"⚠ El monto debe ser positivo","✓")))))))))))))))</f>
        <v/>
      </c>
      <c r="P1941" s="52">
        <f>IF(OR(B1941="",G1941=""),"",IF(C1941="","Gasto",C1941))</f>
        <v/>
      </c>
      <c r="Q1941" s="52">
        <f>IF(P1941="","",IF(J1941&lt;&gt;"",J1941,CuentaPred&amp;""))</f>
        <v/>
      </c>
      <c r="R1941" s="52">
        <f>IF(P1941="","",IF(ISNUMBER(I1941),I1941,TasaUSD))</f>
        <v/>
      </c>
      <c r="S1941" s="53">
        <f>IF(P1941="","",IF(H1941="USD",G1941*R1941,G1941))</f>
        <v/>
      </c>
      <c r="T1941" s="53">
        <f>IF(P1941="","",IF(H1941="USD",G1941,IF(R1941&gt;0,G1941/R1941,0)))</f>
        <v/>
      </c>
      <c r="U1941" s="53">
        <f>IF(P1941="","",IF(P1941="Gasto",S1941,IF(P1941="Reembolso",-S1941,0)))</f>
        <v/>
      </c>
      <c r="V1941" s="53">
        <f>IF(P1941="","",IF(P1941="Ingreso",S1941,0))</f>
        <v/>
      </c>
      <c r="W1941" s="53">
        <f>IF(P1941="","",IF(P1941="Resultado trading",S1941,0))</f>
        <v/>
      </c>
      <c r="X1941" s="52">
        <f>IF(OR(P1941="Gasto",P1941="Reembolso"),IF(M1941&lt;&gt;"",M1941,IFERROR(INDEX(catClasif,MATCH(D1941&amp;"|"&amp;E1941,catClave,0))&amp;"","Variable")),"")</f>
        <v/>
      </c>
      <c r="Y1941" s="52">
        <f>IF(P1941="","",IFERROR(INDEX(catGrupo,MATCH(D1941&amp;"|"&amp;E1941,catClave,0))&amp;"",""))</f>
        <v/>
      </c>
      <c r="Z1941" s="52">
        <f>IF(P1941="","",WEEKDAY(B1941,2))</f>
        <v/>
      </c>
      <c r="AA1941" s="52">
        <f>IF(P1941="","",IF(AND(P1941="Gasto",X1941="Variable",D1941&lt;&gt;catTrading,S1941&gt;0,S1941&lt;=Umbral),1,0))</f>
        <v/>
      </c>
      <c r="AB1941" s="52">
        <f>IF(OR(P1941="",Q1941=""),"",IFERROR(IF(INDEX(ctaVinc,MATCH(Q1941,ctaNombre,0))&amp;""&lt;&gt;"",INDEX(ctaVinc,MATCH(Q1941,ctaNombre,0))&amp;"",Q1941),Q1941))</f>
        <v/>
      </c>
      <c r="AC1941" s="52">
        <f>IF(OR(K1941="",AND(P1941&lt;&gt;"Transferencia",P1941&lt;&gt;"Pago tarjeta")),"",IFERROR(IF(INDEX(ctaVinc,MATCH(K1941,ctaNombre,0))&amp;""&lt;&gt;"",INDEX(ctaVinc,MATCH(K1941,ctaNombre,0))&amp;"",K1941),K1941))</f>
        <v/>
      </c>
      <c r="AD1941" s="52">
        <f>IF(AB1941="","",IFERROR(INDEX(ctaTipo,MATCH(AB1941,ctaNombre,0))&amp;"",""))</f>
        <v/>
      </c>
      <c r="AE1941" s="52">
        <f>IF(AC1941="","",IFERROR(INDEX(ctaTipo,MATCH(AC1941,ctaNombre,0))&amp;"",""))</f>
        <v/>
      </c>
      <c r="AF1941" s="53">
        <f>IF(OR(P1941="",AB1941=""),"",IF(OR(P1941="Gasto",P1941="Transferencia",P1941="Pago tarjeta"),-1,1)*IF(IFERROR(INDEX(ctaMoneda,MATCH(AB1941,ctaNombre,0))&amp;"","DOP")="USD",T1941,S1941))</f>
        <v/>
      </c>
      <c r="AG1941" s="53">
        <f>IF(AC1941="","",IF(IFERROR(INDEX(ctaMoneda,MATCH(AC1941,ctaNombre,0))&amp;"","DOP")="USD",T1941,S1941))</f>
        <v/>
      </c>
      <c r="AH1941" s="53">
        <f>IF(P1941="","",IF(AND(AD1941&lt;&gt;"",COUNTIFS(tcTipo,AD1941,tcLiq,"Sí")&gt;0),IF(OR(P1941="Gasto",P1941="Transferencia",P1941="Pago tarjeta"),-1,1)*S1941,0)+IF(AND(AE1941&lt;&gt;"",COUNTIFS(tcTipo,AE1941,tcLiq,"Sí")&gt;0),S1941,0))</f>
        <v/>
      </c>
      <c r="AI1941" s="52">
        <f>IF(OR(L1941="",P1941=""),"",IF(COUNTIFS(L$6:L1941,L1941,P$6:P1941,"?*")=1,MAX(AI$5:AI1940)+1,""))</f>
        <v/>
      </c>
    </row>
    <row r="1942">
      <c r="B1942" s="47" t="n"/>
      <c r="C1942" s="48" t="n"/>
      <c r="D1942" s="48" t="n"/>
      <c r="E1942" s="48" t="n"/>
      <c r="F1942" s="48" t="n"/>
      <c r="G1942" s="49" t="n"/>
      <c r="H1942" s="48" t="n"/>
      <c r="I1942" s="50" t="n"/>
      <c r="J1942" s="48" t="n"/>
      <c r="K1942" s="48" t="n"/>
      <c r="L1942" s="48" t="n"/>
      <c r="M1942" s="48" t="n"/>
      <c r="N1942" s="48" t="n"/>
      <c r="O1942" s="51">
        <f>IF(AND(B1942="",G1942="",C1942="",D1942="",J1942=""),"",IF(B1942="","⚠ Falta fecha",IF(G1942="","⚠ Falta monto",IF(Q1942="","⚠ Falta cuenta",IF(ISNA(MATCH(Q1942,ctaNombre,0)),"⚠ Cuenta no registrada",IF(AND(OR(P1942="Gasto",P1942="Reembolso"),D1942=""),"⚠ Falta categoría",IF(AND(D1942&lt;&gt;"",E1942&lt;&gt;"",ISNA(MATCH(D1942&amp;"|"&amp;E1942,catClave,0))),"⚠ Subcategoría no corresponde",IF(AND(OR(P1942="Transferencia",P1942="Pago tarjeta"),K1942=""),"⚠ Falta cuenta destino",IF(AND(K1942&lt;&gt;"",P1942&lt;&gt;"Transferencia",P1942&lt;&gt;"Pago tarjeta"),"⚠ Destino solo aplica a transferencias",IF(AND(K1942&lt;&gt;"",K1942=Q1942),"⚠ Origen igual a destino",IF(AND(K1942&lt;&gt;"",ISNA(MATCH(K1942,ctaNombre,0))),"⚠ Destino no registrado",IF(AND(P1942="Pago tarjeta",AE1942&lt;&gt;"Tarjeta de crédito"),"⚠ El destino debe ser tarjeta de crédito",IF(AND(P1942="Gasto",E1942="Depósitos y retiros"),"⚠ Usa tipo Transferencia",IF(AND(P1942="Resultado trading",AD1942&lt;&gt;"Cuenta de trading"),"⚠ Usa una cuenta de trading",IF(AND(G1942&lt;=0,P1942&lt;&gt;"Ajuste",P1942&lt;&gt;"Resultado trading"),"⚠ El monto debe ser positivo","✓")))))))))))))))</f>
        <v/>
      </c>
      <c r="P1942" s="52">
        <f>IF(OR(B1942="",G1942=""),"",IF(C1942="","Gasto",C1942))</f>
        <v/>
      </c>
      <c r="Q1942" s="52">
        <f>IF(P1942="","",IF(J1942&lt;&gt;"",J1942,CuentaPred&amp;""))</f>
        <v/>
      </c>
      <c r="R1942" s="52">
        <f>IF(P1942="","",IF(ISNUMBER(I1942),I1942,TasaUSD))</f>
        <v/>
      </c>
      <c r="S1942" s="53">
        <f>IF(P1942="","",IF(H1942="USD",G1942*R1942,G1942))</f>
        <v/>
      </c>
      <c r="T1942" s="53">
        <f>IF(P1942="","",IF(H1942="USD",G1942,IF(R1942&gt;0,G1942/R1942,0)))</f>
        <v/>
      </c>
      <c r="U1942" s="53">
        <f>IF(P1942="","",IF(P1942="Gasto",S1942,IF(P1942="Reembolso",-S1942,0)))</f>
        <v/>
      </c>
      <c r="V1942" s="53">
        <f>IF(P1942="","",IF(P1942="Ingreso",S1942,0))</f>
        <v/>
      </c>
      <c r="W1942" s="53">
        <f>IF(P1942="","",IF(P1942="Resultado trading",S1942,0))</f>
        <v/>
      </c>
      <c r="X1942" s="52">
        <f>IF(OR(P1942="Gasto",P1942="Reembolso"),IF(M1942&lt;&gt;"",M1942,IFERROR(INDEX(catClasif,MATCH(D1942&amp;"|"&amp;E1942,catClave,0))&amp;"","Variable")),"")</f>
        <v/>
      </c>
      <c r="Y1942" s="52">
        <f>IF(P1942="","",IFERROR(INDEX(catGrupo,MATCH(D1942&amp;"|"&amp;E1942,catClave,0))&amp;"",""))</f>
        <v/>
      </c>
      <c r="Z1942" s="52">
        <f>IF(P1942="","",WEEKDAY(B1942,2))</f>
        <v/>
      </c>
      <c r="AA1942" s="52">
        <f>IF(P1942="","",IF(AND(P1942="Gasto",X1942="Variable",D1942&lt;&gt;catTrading,S1942&gt;0,S1942&lt;=Umbral),1,0))</f>
        <v/>
      </c>
      <c r="AB1942" s="52">
        <f>IF(OR(P1942="",Q1942=""),"",IFERROR(IF(INDEX(ctaVinc,MATCH(Q1942,ctaNombre,0))&amp;""&lt;&gt;"",INDEX(ctaVinc,MATCH(Q1942,ctaNombre,0))&amp;"",Q1942),Q1942))</f>
        <v/>
      </c>
      <c r="AC1942" s="52">
        <f>IF(OR(K1942="",AND(P1942&lt;&gt;"Transferencia",P1942&lt;&gt;"Pago tarjeta")),"",IFERROR(IF(INDEX(ctaVinc,MATCH(K1942,ctaNombre,0))&amp;""&lt;&gt;"",INDEX(ctaVinc,MATCH(K1942,ctaNombre,0))&amp;"",K1942),K1942))</f>
        <v/>
      </c>
      <c r="AD1942" s="52">
        <f>IF(AB1942="","",IFERROR(INDEX(ctaTipo,MATCH(AB1942,ctaNombre,0))&amp;"",""))</f>
        <v/>
      </c>
      <c r="AE1942" s="52">
        <f>IF(AC1942="","",IFERROR(INDEX(ctaTipo,MATCH(AC1942,ctaNombre,0))&amp;"",""))</f>
        <v/>
      </c>
      <c r="AF1942" s="53">
        <f>IF(OR(P1942="",AB1942=""),"",IF(OR(P1942="Gasto",P1942="Transferencia",P1942="Pago tarjeta"),-1,1)*IF(IFERROR(INDEX(ctaMoneda,MATCH(AB1942,ctaNombre,0))&amp;"","DOP")="USD",T1942,S1942))</f>
        <v/>
      </c>
      <c r="AG1942" s="53">
        <f>IF(AC1942="","",IF(IFERROR(INDEX(ctaMoneda,MATCH(AC1942,ctaNombre,0))&amp;"","DOP")="USD",T1942,S1942))</f>
        <v/>
      </c>
      <c r="AH1942" s="53">
        <f>IF(P1942="","",IF(AND(AD1942&lt;&gt;"",COUNTIFS(tcTipo,AD1942,tcLiq,"Sí")&gt;0),IF(OR(P1942="Gasto",P1942="Transferencia",P1942="Pago tarjeta"),-1,1)*S1942,0)+IF(AND(AE1942&lt;&gt;"",COUNTIFS(tcTipo,AE1942,tcLiq,"Sí")&gt;0),S1942,0))</f>
        <v/>
      </c>
      <c r="AI1942" s="52">
        <f>IF(OR(L1942="",P1942=""),"",IF(COUNTIFS(L$6:L1942,L1942,P$6:P1942,"?*")=1,MAX(AI$5:AI1941)+1,""))</f>
        <v/>
      </c>
    </row>
    <row r="1943">
      <c r="B1943" s="47" t="n"/>
      <c r="C1943" s="48" t="n"/>
      <c r="D1943" s="48" t="n"/>
      <c r="E1943" s="48" t="n"/>
      <c r="F1943" s="48" t="n"/>
      <c r="G1943" s="49" t="n"/>
      <c r="H1943" s="48" t="n"/>
      <c r="I1943" s="50" t="n"/>
      <c r="J1943" s="48" t="n"/>
      <c r="K1943" s="48" t="n"/>
      <c r="L1943" s="48" t="n"/>
      <c r="M1943" s="48" t="n"/>
      <c r="N1943" s="48" t="n"/>
      <c r="O1943" s="51">
        <f>IF(AND(B1943="",G1943="",C1943="",D1943="",J1943=""),"",IF(B1943="","⚠ Falta fecha",IF(G1943="","⚠ Falta monto",IF(Q1943="","⚠ Falta cuenta",IF(ISNA(MATCH(Q1943,ctaNombre,0)),"⚠ Cuenta no registrada",IF(AND(OR(P1943="Gasto",P1943="Reembolso"),D1943=""),"⚠ Falta categoría",IF(AND(D1943&lt;&gt;"",E1943&lt;&gt;"",ISNA(MATCH(D1943&amp;"|"&amp;E1943,catClave,0))),"⚠ Subcategoría no corresponde",IF(AND(OR(P1943="Transferencia",P1943="Pago tarjeta"),K1943=""),"⚠ Falta cuenta destino",IF(AND(K1943&lt;&gt;"",P1943&lt;&gt;"Transferencia",P1943&lt;&gt;"Pago tarjeta"),"⚠ Destino solo aplica a transferencias",IF(AND(K1943&lt;&gt;"",K1943=Q1943),"⚠ Origen igual a destino",IF(AND(K1943&lt;&gt;"",ISNA(MATCH(K1943,ctaNombre,0))),"⚠ Destino no registrado",IF(AND(P1943="Pago tarjeta",AE1943&lt;&gt;"Tarjeta de crédito"),"⚠ El destino debe ser tarjeta de crédito",IF(AND(P1943="Gasto",E1943="Depósitos y retiros"),"⚠ Usa tipo Transferencia",IF(AND(P1943="Resultado trading",AD1943&lt;&gt;"Cuenta de trading"),"⚠ Usa una cuenta de trading",IF(AND(G1943&lt;=0,P1943&lt;&gt;"Ajuste",P1943&lt;&gt;"Resultado trading"),"⚠ El monto debe ser positivo","✓")))))))))))))))</f>
        <v/>
      </c>
      <c r="P1943" s="52">
        <f>IF(OR(B1943="",G1943=""),"",IF(C1943="","Gasto",C1943))</f>
        <v/>
      </c>
      <c r="Q1943" s="52">
        <f>IF(P1943="","",IF(J1943&lt;&gt;"",J1943,CuentaPred&amp;""))</f>
        <v/>
      </c>
      <c r="R1943" s="52">
        <f>IF(P1943="","",IF(ISNUMBER(I1943),I1943,TasaUSD))</f>
        <v/>
      </c>
      <c r="S1943" s="53">
        <f>IF(P1943="","",IF(H1943="USD",G1943*R1943,G1943))</f>
        <v/>
      </c>
      <c r="T1943" s="53">
        <f>IF(P1943="","",IF(H1943="USD",G1943,IF(R1943&gt;0,G1943/R1943,0)))</f>
        <v/>
      </c>
      <c r="U1943" s="53">
        <f>IF(P1943="","",IF(P1943="Gasto",S1943,IF(P1943="Reembolso",-S1943,0)))</f>
        <v/>
      </c>
      <c r="V1943" s="53">
        <f>IF(P1943="","",IF(P1943="Ingreso",S1943,0))</f>
        <v/>
      </c>
      <c r="W1943" s="53">
        <f>IF(P1943="","",IF(P1943="Resultado trading",S1943,0))</f>
        <v/>
      </c>
      <c r="X1943" s="52">
        <f>IF(OR(P1943="Gasto",P1943="Reembolso"),IF(M1943&lt;&gt;"",M1943,IFERROR(INDEX(catClasif,MATCH(D1943&amp;"|"&amp;E1943,catClave,0))&amp;"","Variable")),"")</f>
        <v/>
      </c>
      <c r="Y1943" s="52">
        <f>IF(P1943="","",IFERROR(INDEX(catGrupo,MATCH(D1943&amp;"|"&amp;E1943,catClave,0))&amp;"",""))</f>
        <v/>
      </c>
      <c r="Z1943" s="52">
        <f>IF(P1943="","",WEEKDAY(B1943,2))</f>
        <v/>
      </c>
      <c r="AA1943" s="52">
        <f>IF(P1943="","",IF(AND(P1943="Gasto",X1943="Variable",D1943&lt;&gt;catTrading,S1943&gt;0,S1943&lt;=Umbral),1,0))</f>
        <v/>
      </c>
      <c r="AB1943" s="52">
        <f>IF(OR(P1943="",Q1943=""),"",IFERROR(IF(INDEX(ctaVinc,MATCH(Q1943,ctaNombre,0))&amp;""&lt;&gt;"",INDEX(ctaVinc,MATCH(Q1943,ctaNombre,0))&amp;"",Q1943),Q1943))</f>
        <v/>
      </c>
      <c r="AC1943" s="52">
        <f>IF(OR(K1943="",AND(P1943&lt;&gt;"Transferencia",P1943&lt;&gt;"Pago tarjeta")),"",IFERROR(IF(INDEX(ctaVinc,MATCH(K1943,ctaNombre,0))&amp;""&lt;&gt;"",INDEX(ctaVinc,MATCH(K1943,ctaNombre,0))&amp;"",K1943),K1943))</f>
        <v/>
      </c>
      <c r="AD1943" s="52">
        <f>IF(AB1943="","",IFERROR(INDEX(ctaTipo,MATCH(AB1943,ctaNombre,0))&amp;"",""))</f>
        <v/>
      </c>
      <c r="AE1943" s="52">
        <f>IF(AC1943="","",IFERROR(INDEX(ctaTipo,MATCH(AC1943,ctaNombre,0))&amp;"",""))</f>
        <v/>
      </c>
      <c r="AF1943" s="53">
        <f>IF(OR(P1943="",AB1943=""),"",IF(OR(P1943="Gasto",P1943="Transferencia",P1943="Pago tarjeta"),-1,1)*IF(IFERROR(INDEX(ctaMoneda,MATCH(AB1943,ctaNombre,0))&amp;"","DOP")="USD",T1943,S1943))</f>
        <v/>
      </c>
      <c r="AG1943" s="53">
        <f>IF(AC1943="","",IF(IFERROR(INDEX(ctaMoneda,MATCH(AC1943,ctaNombre,0))&amp;"","DOP")="USD",T1943,S1943))</f>
        <v/>
      </c>
      <c r="AH1943" s="53">
        <f>IF(P1943="","",IF(AND(AD1943&lt;&gt;"",COUNTIFS(tcTipo,AD1943,tcLiq,"Sí")&gt;0),IF(OR(P1943="Gasto",P1943="Transferencia",P1943="Pago tarjeta"),-1,1)*S1943,0)+IF(AND(AE1943&lt;&gt;"",COUNTIFS(tcTipo,AE1943,tcLiq,"Sí")&gt;0),S1943,0))</f>
        <v/>
      </c>
      <c r="AI1943" s="52">
        <f>IF(OR(L1943="",P1943=""),"",IF(COUNTIFS(L$6:L1943,L1943,P$6:P1943,"?*")=1,MAX(AI$5:AI1942)+1,""))</f>
        <v/>
      </c>
    </row>
    <row r="1944">
      <c r="B1944" s="47" t="n"/>
      <c r="C1944" s="48" t="n"/>
      <c r="D1944" s="48" t="n"/>
      <c r="E1944" s="48" t="n"/>
      <c r="F1944" s="48" t="n"/>
      <c r="G1944" s="49" t="n"/>
      <c r="H1944" s="48" t="n"/>
      <c r="I1944" s="50" t="n"/>
      <c r="J1944" s="48" t="n"/>
      <c r="K1944" s="48" t="n"/>
      <c r="L1944" s="48" t="n"/>
      <c r="M1944" s="48" t="n"/>
      <c r="N1944" s="48" t="n"/>
      <c r="O1944" s="51">
        <f>IF(AND(B1944="",G1944="",C1944="",D1944="",J1944=""),"",IF(B1944="","⚠ Falta fecha",IF(G1944="","⚠ Falta monto",IF(Q1944="","⚠ Falta cuenta",IF(ISNA(MATCH(Q1944,ctaNombre,0)),"⚠ Cuenta no registrada",IF(AND(OR(P1944="Gasto",P1944="Reembolso"),D1944=""),"⚠ Falta categoría",IF(AND(D1944&lt;&gt;"",E1944&lt;&gt;"",ISNA(MATCH(D1944&amp;"|"&amp;E1944,catClave,0))),"⚠ Subcategoría no corresponde",IF(AND(OR(P1944="Transferencia",P1944="Pago tarjeta"),K1944=""),"⚠ Falta cuenta destino",IF(AND(K1944&lt;&gt;"",P1944&lt;&gt;"Transferencia",P1944&lt;&gt;"Pago tarjeta"),"⚠ Destino solo aplica a transferencias",IF(AND(K1944&lt;&gt;"",K1944=Q1944),"⚠ Origen igual a destino",IF(AND(K1944&lt;&gt;"",ISNA(MATCH(K1944,ctaNombre,0))),"⚠ Destino no registrado",IF(AND(P1944="Pago tarjeta",AE1944&lt;&gt;"Tarjeta de crédito"),"⚠ El destino debe ser tarjeta de crédito",IF(AND(P1944="Gasto",E1944="Depósitos y retiros"),"⚠ Usa tipo Transferencia",IF(AND(P1944="Resultado trading",AD1944&lt;&gt;"Cuenta de trading"),"⚠ Usa una cuenta de trading",IF(AND(G1944&lt;=0,P1944&lt;&gt;"Ajuste",P1944&lt;&gt;"Resultado trading"),"⚠ El monto debe ser positivo","✓")))))))))))))))</f>
        <v/>
      </c>
      <c r="P1944" s="52">
        <f>IF(OR(B1944="",G1944=""),"",IF(C1944="","Gasto",C1944))</f>
        <v/>
      </c>
      <c r="Q1944" s="52">
        <f>IF(P1944="","",IF(J1944&lt;&gt;"",J1944,CuentaPred&amp;""))</f>
        <v/>
      </c>
      <c r="R1944" s="52">
        <f>IF(P1944="","",IF(ISNUMBER(I1944),I1944,TasaUSD))</f>
        <v/>
      </c>
      <c r="S1944" s="53">
        <f>IF(P1944="","",IF(H1944="USD",G1944*R1944,G1944))</f>
        <v/>
      </c>
      <c r="T1944" s="53">
        <f>IF(P1944="","",IF(H1944="USD",G1944,IF(R1944&gt;0,G1944/R1944,0)))</f>
        <v/>
      </c>
      <c r="U1944" s="53">
        <f>IF(P1944="","",IF(P1944="Gasto",S1944,IF(P1944="Reembolso",-S1944,0)))</f>
        <v/>
      </c>
      <c r="V1944" s="53">
        <f>IF(P1944="","",IF(P1944="Ingreso",S1944,0))</f>
        <v/>
      </c>
      <c r="W1944" s="53">
        <f>IF(P1944="","",IF(P1944="Resultado trading",S1944,0))</f>
        <v/>
      </c>
      <c r="X1944" s="52">
        <f>IF(OR(P1944="Gasto",P1944="Reembolso"),IF(M1944&lt;&gt;"",M1944,IFERROR(INDEX(catClasif,MATCH(D1944&amp;"|"&amp;E1944,catClave,0))&amp;"","Variable")),"")</f>
        <v/>
      </c>
      <c r="Y1944" s="52">
        <f>IF(P1944="","",IFERROR(INDEX(catGrupo,MATCH(D1944&amp;"|"&amp;E1944,catClave,0))&amp;"",""))</f>
        <v/>
      </c>
      <c r="Z1944" s="52">
        <f>IF(P1944="","",WEEKDAY(B1944,2))</f>
        <v/>
      </c>
      <c r="AA1944" s="52">
        <f>IF(P1944="","",IF(AND(P1944="Gasto",X1944="Variable",D1944&lt;&gt;catTrading,S1944&gt;0,S1944&lt;=Umbral),1,0))</f>
        <v/>
      </c>
      <c r="AB1944" s="52">
        <f>IF(OR(P1944="",Q1944=""),"",IFERROR(IF(INDEX(ctaVinc,MATCH(Q1944,ctaNombre,0))&amp;""&lt;&gt;"",INDEX(ctaVinc,MATCH(Q1944,ctaNombre,0))&amp;"",Q1944),Q1944))</f>
        <v/>
      </c>
      <c r="AC1944" s="52">
        <f>IF(OR(K1944="",AND(P1944&lt;&gt;"Transferencia",P1944&lt;&gt;"Pago tarjeta")),"",IFERROR(IF(INDEX(ctaVinc,MATCH(K1944,ctaNombre,0))&amp;""&lt;&gt;"",INDEX(ctaVinc,MATCH(K1944,ctaNombre,0))&amp;"",K1944),K1944))</f>
        <v/>
      </c>
      <c r="AD1944" s="52">
        <f>IF(AB1944="","",IFERROR(INDEX(ctaTipo,MATCH(AB1944,ctaNombre,0))&amp;"",""))</f>
        <v/>
      </c>
      <c r="AE1944" s="52">
        <f>IF(AC1944="","",IFERROR(INDEX(ctaTipo,MATCH(AC1944,ctaNombre,0))&amp;"",""))</f>
        <v/>
      </c>
      <c r="AF1944" s="53">
        <f>IF(OR(P1944="",AB1944=""),"",IF(OR(P1944="Gasto",P1944="Transferencia",P1944="Pago tarjeta"),-1,1)*IF(IFERROR(INDEX(ctaMoneda,MATCH(AB1944,ctaNombre,0))&amp;"","DOP")="USD",T1944,S1944))</f>
        <v/>
      </c>
      <c r="AG1944" s="53">
        <f>IF(AC1944="","",IF(IFERROR(INDEX(ctaMoneda,MATCH(AC1944,ctaNombre,0))&amp;"","DOP")="USD",T1944,S1944))</f>
        <v/>
      </c>
      <c r="AH1944" s="53">
        <f>IF(P1944="","",IF(AND(AD1944&lt;&gt;"",COUNTIFS(tcTipo,AD1944,tcLiq,"Sí")&gt;0),IF(OR(P1944="Gasto",P1944="Transferencia",P1944="Pago tarjeta"),-1,1)*S1944,0)+IF(AND(AE1944&lt;&gt;"",COUNTIFS(tcTipo,AE1944,tcLiq,"Sí")&gt;0),S1944,0))</f>
        <v/>
      </c>
      <c r="AI1944" s="52">
        <f>IF(OR(L1944="",P1944=""),"",IF(COUNTIFS(L$6:L1944,L1944,P$6:P1944,"?*")=1,MAX(AI$5:AI1943)+1,""))</f>
        <v/>
      </c>
    </row>
    <row r="1945">
      <c r="B1945" s="47" t="n"/>
      <c r="C1945" s="48" t="n"/>
      <c r="D1945" s="48" t="n"/>
      <c r="E1945" s="48" t="n"/>
      <c r="F1945" s="48" t="n"/>
      <c r="G1945" s="49" t="n"/>
      <c r="H1945" s="48" t="n"/>
      <c r="I1945" s="50" t="n"/>
      <c r="J1945" s="48" t="n"/>
      <c r="K1945" s="48" t="n"/>
      <c r="L1945" s="48" t="n"/>
      <c r="M1945" s="48" t="n"/>
      <c r="N1945" s="48" t="n"/>
      <c r="O1945" s="51">
        <f>IF(AND(B1945="",G1945="",C1945="",D1945="",J1945=""),"",IF(B1945="","⚠ Falta fecha",IF(G1945="","⚠ Falta monto",IF(Q1945="","⚠ Falta cuenta",IF(ISNA(MATCH(Q1945,ctaNombre,0)),"⚠ Cuenta no registrada",IF(AND(OR(P1945="Gasto",P1945="Reembolso"),D1945=""),"⚠ Falta categoría",IF(AND(D1945&lt;&gt;"",E1945&lt;&gt;"",ISNA(MATCH(D1945&amp;"|"&amp;E1945,catClave,0))),"⚠ Subcategoría no corresponde",IF(AND(OR(P1945="Transferencia",P1945="Pago tarjeta"),K1945=""),"⚠ Falta cuenta destino",IF(AND(K1945&lt;&gt;"",P1945&lt;&gt;"Transferencia",P1945&lt;&gt;"Pago tarjeta"),"⚠ Destino solo aplica a transferencias",IF(AND(K1945&lt;&gt;"",K1945=Q1945),"⚠ Origen igual a destino",IF(AND(K1945&lt;&gt;"",ISNA(MATCH(K1945,ctaNombre,0))),"⚠ Destino no registrado",IF(AND(P1945="Pago tarjeta",AE1945&lt;&gt;"Tarjeta de crédito"),"⚠ El destino debe ser tarjeta de crédito",IF(AND(P1945="Gasto",E1945="Depósitos y retiros"),"⚠ Usa tipo Transferencia",IF(AND(P1945="Resultado trading",AD1945&lt;&gt;"Cuenta de trading"),"⚠ Usa una cuenta de trading",IF(AND(G1945&lt;=0,P1945&lt;&gt;"Ajuste",P1945&lt;&gt;"Resultado trading"),"⚠ El monto debe ser positivo","✓")))))))))))))))</f>
        <v/>
      </c>
      <c r="P1945" s="52">
        <f>IF(OR(B1945="",G1945=""),"",IF(C1945="","Gasto",C1945))</f>
        <v/>
      </c>
      <c r="Q1945" s="52">
        <f>IF(P1945="","",IF(J1945&lt;&gt;"",J1945,CuentaPred&amp;""))</f>
        <v/>
      </c>
      <c r="R1945" s="52">
        <f>IF(P1945="","",IF(ISNUMBER(I1945),I1945,TasaUSD))</f>
        <v/>
      </c>
      <c r="S1945" s="53">
        <f>IF(P1945="","",IF(H1945="USD",G1945*R1945,G1945))</f>
        <v/>
      </c>
      <c r="T1945" s="53">
        <f>IF(P1945="","",IF(H1945="USD",G1945,IF(R1945&gt;0,G1945/R1945,0)))</f>
        <v/>
      </c>
      <c r="U1945" s="53">
        <f>IF(P1945="","",IF(P1945="Gasto",S1945,IF(P1945="Reembolso",-S1945,0)))</f>
        <v/>
      </c>
      <c r="V1945" s="53">
        <f>IF(P1945="","",IF(P1945="Ingreso",S1945,0))</f>
        <v/>
      </c>
      <c r="W1945" s="53">
        <f>IF(P1945="","",IF(P1945="Resultado trading",S1945,0))</f>
        <v/>
      </c>
      <c r="X1945" s="52">
        <f>IF(OR(P1945="Gasto",P1945="Reembolso"),IF(M1945&lt;&gt;"",M1945,IFERROR(INDEX(catClasif,MATCH(D1945&amp;"|"&amp;E1945,catClave,0))&amp;"","Variable")),"")</f>
        <v/>
      </c>
      <c r="Y1945" s="52">
        <f>IF(P1945="","",IFERROR(INDEX(catGrupo,MATCH(D1945&amp;"|"&amp;E1945,catClave,0))&amp;"",""))</f>
        <v/>
      </c>
      <c r="Z1945" s="52">
        <f>IF(P1945="","",WEEKDAY(B1945,2))</f>
        <v/>
      </c>
      <c r="AA1945" s="52">
        <f>IF(P1945="","",IF(AND(P1945="Gasto",X1945="Variable",D1945&lt;&gt;catTrading,S1945&gt;0,S1945&lt;=Umbral),1,0))</f>
        <v/>
      </c>
      <c r="AB1945" s="52">
        <f>IF(OR(P1945="",Q1945=""),"",IFERROR(IF(INDEX(ctaVinc,MATCH(Q1945,ctaNombre,0))&amp;""&lt;&gt;"",INDEX(ctaVinc,MATCH(Q1945,ctaNombre,0))&amp;"",Q1945),Q1945))</f>
        <v/>
      </c>
      <c r="AC1945" s="52">
        <f>IF(OR(K1945="",AND(P1945&lt;&gt;"Transferencia",P1945&lt;&gt;"Pago tarjeta")),"",IFERROR(IF(INDEX(ctaVinc,MATCH(K1945,ctaNombre,0))&amp;""&lt;&gt;"",INDEX(ctaVinc,MATCH(K1945,ctaNombre,0))&amp;"",K1945),K1945))</f>
        <v/>
      </c>
      <c r="AD1945" s="52">
        <f>IF(AB1945="","",IFERROR(INDEX(ctaTipo,MATCH(AB1945,ctaNombre,0))&amp;"",""))</f>
        <v/>
      </c>
      <c r="AE1945" s="52">
        <f>IF(AC1945="","",IFERROR(INDEX(ctaTipo,MATCH(AC1945,ctaNombre,0))&amp;"",""))</f>
        <v/>
      </c>
      <c r="AF1945" s="53">
        <f>IF(OR(P1945="",AB1945=""),"",IF(OR(P1945="Gasto",P1945="Transferencia",P1945="Pago tarjeta"),-1,1)*IF(IFERROR(INDEX(ctaMoneda,MATCH(AB1945,ctaNombre,0))&amp;"","DOP")="USD",T1945,S1945))</f>
        <v/>
      </c>
      <c r="AG1945" s="53">
        <f>IF(AC1945="","",IF(IFERROR(INDEX(ctaMoneda,MATCH(AC1945,ctaNombre,0))&amp;"","DOP")="USD",T1945,S1945))</f>
        <v/>
      </c>
      <c r="AH1945" s="53">
        <f>IF(P1945="","",IF(AND(AD1945&lt;&gt;"",COUNTIFS(tcTipo,AD1945,tcLiq,"Sí")&gt;0),IF(OR(P1945="Gasto",P1945="Transferencia",P1945="Pago tarjeta"),-1,1)*S1945,0)+IF(AND(AE1945&lt;&gt;"",COUNTIFS(tcTipo,AE1945,tcLiq,"Sí")&gt;0),S1945,0))</f>
        <v/>
      </c>
      <c r="AI1945" s="52">
        <f>IF(OR(L1945="",P1945=""),"",IF(COUNTIFS(L$6:L1945,L1945,P$6:P1945,"?*")=1,MAX(AI$5:AI1944)+1,""))</f>
        <v/>
      </c>
    </row>
    <row r="1946">
      <c r="B1946" s="47" t="n"/>
      <c r="C1946" s="48" t="n"/>
      <c r="D1946" s="48" t="n"/>
      <c r="E1946" s="48" t="n"/>
      <c r="F1946" s="48" t="n"/>
      <c r="G1946" s="49" t="n"/>
      <c r="H1946" s="48" t="n"/>
      <c r="I1946" s="50" t="n"/>
      <c r="J1946" s="48" t="n"/>
      <c r="K1946" s="48" t="n"/>
      <c r="L1946" s="48" t="n"/>
      <c r="M1946" s="48" t="n"/>
      <c r="N1946" s="48" t="n"/>
      <c r="O1946" s="51">
        <f>IF(AND(B1946="",G1946="",C1946="",D1946="",J1946=""),"",IF(B1946="","⚠ Falta fecha",IF(G1946="","⚠ Falta monto",IF(Q1946="","⚠ Falta cuenta",IF(ISNA(MATCH(Q1946,ctaNombre,0)),"⚠ Cuenta no registrada",IF(AND(OR(P1946="Gasto",P1946="Reembolso"),D1946=""),"⚠ Falta categoría",IF(AND(D1946&lt;&gt;"",E1946&lt;&gt;"",ISNA(MATCH(D1946&amp;"|"&amp;E1946,catClave,0))),"⚠ Subcategoría no corresponde",IF(AND(OR(P1946="Transferencia",P1946="Pago tarjeta"),K1946=""),"⚠ Falta cuenta destino",IF(AND(K1946&lt;&gt;"",P1946&lt;&gt;"Transferencia",P1946&lt;&gt;"Pago tarjeta"),"⚠ Destino solo aplica a transferencias",IF(AND(K1946&lt;&gt;"",K1946=Q1946),"⚠ Origen igual a destino",IF(AND(K1946&lt;&gt;"",ISNA(MATCH(K1946,ctaNombre,0))),"⚠ Destino no registrado",IF(AND(P1946="Pago tarjeta",AE1946&lt;&gt;"Tarjeta de crédito"),"⚠ El destino debe ser tarjeta de crédito",IF(AND(P1946="Gasto",E1946="Depósitos y retiros"),"⚠ Usa tipo Transferencia",IF(AND(P1946="Resultado trading",AD1946&lt;&gt;"Cuenta de trading"),"⚠ Usa una cuenta de trading",IF(AND(G1946&lt;=0,P1946&lt;&gt;"Ajuste",P1946&lt;&gt;"Resultado trading"),"⚠ El monto debe ser positivo","✓")))))))))))))))</f>
        <v/>
      </c>
      <c r="P1946" s="52">
        <f>IF(OR(B1946="",G1946=""),"",IF(C1946="","Gasto",C1946))</f>
        <v/>
      </c>
      <c r="Q1946" s="52">
        <f>IF(P1946="","",IF(J1946&lt;&gt;"",J1946,CuentaPred&amp;""))</f>
        <v/>
      </c>
      <c r="R1946" s="52">
        <f>IF(P1946="","",IF(ISNUMBER(I1946),I1946,TasaUSD))</f>
        <v/>
      </c>
      <c r="S1946" s="53">
        <f>IF(P1946="","",IF(H1946="USD",G1946*R1946,G1946))</f>
        <v/>
      </c>
      <c r="T1946" s="53">
        <f>IF(P1946="","",IF(H1946="USD",G1946,IF(R1946&gt;0,G1946/R1946,0)))</f>
        <v/>
      </c>
      <c r="U1946" s="53">
        <f>IF(P1946="","",IF(P1946="Gasto",S1946,IF(P1946="Reembolso",-S1946,0)))</f>
        <v/>
      </c>
      <c r="V1946" s="53">
        <f>IF(P1946="","",IF(P1946="Ingreso",S1946,0))</f>
        <v/>
      </c>
      <c r="W1946" s="53">
        <f>IF(P1946="","",IF(P1946="Resultado trading",S1946,0))</f>
        <v/>
      </c>
      <c r="X1946" s="52">
        <f>IF(OR(P1946="Gasto",P1946="Reembolso"),IF(M1946&lt;&gt;"",M1946,IFERROR(INDEX(catClasif,MATCH(D1946&amp;"|"&amp;E1946,catClave,0))&amp;"","Variable")),"")</f>
        <v/>
      </c>
      <c r="Y1946" s="52">
        <f>IF(P1946="","",IFERROR(INDEX(catGrupo,MATCH(D1946&amp;"|"&amp;E1946,catClave,0))&amp;"",""))</f>
        <v/>
      </c>
      <c r="Z1946" s="52">
        <f>IF(P1946="","",WEEKDAY(B1946,2))</f>
        <v/>
      </c>
      <c r="AA1946" s="52">
        <f>IF(P1946="","",IF(AND(P1946="Gasto",X1946="Variable",D1946&lt;&gt;catTrading,S1946&gt;0,S1946&lt;=Umbral),1,0))</f>
        <v/>
      </c>
      <c r="AB1946" s="52">
        <f>IF(OR(P1946="",Q1946=""),"",IFERROR(IF(INDEX(ctaVinc,MATCH(Q1946,ctaNombre,0))&amp;""&lt;&gt;"",INDEX(ctaVinc,MATCH(Q1946,ctaNombre,0))&amp;"",Q1946),Q1946))</f>
        <v/>
      </c>
      <c r="AC1946" s="52">
        <f>IF(OR(K1946="",AND(P1946&lt;&gt;"Transferencia",P1946&lt;&gt;"Pago tarjeta")),"",IFERROR(IF(INDEX(ctaVinc,MATCH(K1946,ctaNombre,0))&amp;""&lt;&gt;"",INDEX(ctaVinc,MATCH(K1946,ctaNombre,0))&amp;"",K1946),K1946))</f>
        <v/>
      </c>
      <c r="AD1946" s="52">
        <f>IF(AB1946="","",IFERROR(INDEX(ctaTipo,MATCH(AB1946,ctaNombre,0))&amp;"",""))</f>
        <v/>
      </c>
      <c r="AE1946" s="52">
        <f>IF(AC1946="","",IFERROR(INDEX(ctaTipo,MATCH(AC1946,ctaNombre,0))&amp;"",""))</f>
        <v/>
      </c>
      <c r="AF1946" s="53">
        <f>IF(OR(P1946="",AB1946=""),"",IF(OR(P1946="Gasto",P1946="Transferencia",P1946="Pago tarjeta"),-1,1)*IF(IFERROR(INDEX(ctaMoneda,MATCH(AB1946,ctaNombre,0))&amp;"","DOP")="USD",T1946,S1946))</f>
        <v/>
      </c>
      <c r="AG1946" s="53">
        <f>IF(AC1946="","",IF(IFERROR(INDEX(ctaMoneda,MATCH(AC1946,ctaNombre,0))&amp;"","DOP")="USD",T1946,S1946))</f>
        <v/>
      </c>
      <c r="AH1946" s="53">
        <f>IF(P1946="","",IF(AND(AD1946&lt;&gt;"",COUNTIFS(tcTipo,AD1946,tcLiq,"Sí")&gt;0),IF(OR(P1946="Gasto",P1946="Transferencia",P1946="Pago tarjeta"),-1,1)*S1946,0)+IF(AND(AE1946&lt;&gt;"",COUNTIFS(tcTipo,AE1946,tcLiq,"Sí")&gt;0),S1946,0))</f>
        <v/>
      </c>
      <c r="AI1946" s="52">
        <f>IF(OR(L1946="",P1946=""),"",IF(COUNTIFS(L$6:L1946,L1946,P$6:P1946,"?*")=1,MAX(AI$5:AI1945)+1,""))</f>
        <v/>
      </c>
    </row>
    <row r="1947">
      <c r="B1947" s="47" t="n"/>
      <c r="C1947" s="48" t="n"/>
      <c r="D1947" s="48" t="n"/>
      <c r="E1947" s="48" t="n"/>
      <c r="F1947" s="48" t="n"/>
      <c r="G1947" s="49" t="n"/>
      <c r="H1947" s="48" t="n"/>
      <c r="I1947" s="50" t="n"/>
      <c r="J1947" s="48" t="n"/>
      <c r="K1947" s="48" t="n"/>
      <c r="L1947" s="48" t="n"/>
      <c r="M1947" s="48" t="n"/>
      <c r="N1947" s="48" t="n"/>
      <c r="O1947" s="51">
        <f>IF(AND(B1947="",G1947="",C1947="",D1947="",J1947=""),"",IF(B1947="","⚠ Falta fecha",IF(G1947="","⚠ Falta monto",IF(Q1947="","⚠ Falta cuenta",IF(ISNA(MATCH(Q1947,ctaNombre,0)),"⚠ Cuenta no registrada",IF(AND(OR(P1947="Gasto",P1947="Reembolso"),D1947=""),"⚠ Falta categoría",IF(AND(D1947&lt;&gt;"",E1947&lt;&gt;"",ISNA(MATCH(D1947&amp;"|"&amp;E1947,catClave,0))),"⚠ Subcategoría no corresponde",IF(AND(OR(P1947="Transferencia",P1947="Pago tarjeta"),K1947=""),"⚠ Falta cuenta destino",IF(AND(K1947&lt;&gt;"",P1947&lt;&gt;"Transferencia",P1947&lt;&gt;"Pago tarjeta"),"⚠ Destino solo aplica a transferencias",IF(AND(K1947&lt;&gt;"",K1947=Q1947),"⚠ Origen igual a destino",IF(AND(K1947&lt;&gt;"",ISNA(MATCH(K1947,ctaNombre,0))),"⚠ Destino no registrado",IF(AND(P1947="Pago tarjeta",AE1947&lt;&gt;"Tarjeta de crédito"),"⚠ El destino debe ser tarjeta de crédito",IF(AND(P1947="Gasto",E1947="Depósitos y retiros"),"⚠ Usa tipo Transferencia",IF(AND(P1947="Resultado trading",AD1947&lt;&gt;"Cuenta de trading"),"⚠ Usa una cuenta de trading",IF(AND(G1947&lt;=0,P1947&lt;&gt;"Ajuste",P1947&lt;&gt;"Resultado trading"),"⚠ El monto debe ser positivo","✓")))))))))))))))</f>
        <v/>
      </c>
      <c r="P1947" s="52">
        <f>IF(OR(B1947="",G1947=""),"",IF(C1947="","Gasto",C1947))</f>
        <v/>
      </c>
      <c r="Q1947" s="52">
        <f>IF(P1947="","",IF(J1947&lt;&gt;"",J1947,CuentaPred&amp;""))</f>
        <v/>
      </c>
      <c r="R1947" s="52">
        <f>IF(P1947="","",IF(ISNUMBER(I1947),I1947,TasaUSD))</f>
        <v/>
      </c>
      <c r="S1947" s="53">
        <f>IF(P1947="","",IF(H1947="USD",G1947*R1947,G1947))</f>
        <v/>
      </c>
      <c r="T1947" s="53">
        <f>IF(P1947="","",IF(H1947="USD",G1947,IF(R1947&gt;0,G1947/R1947,0)))</f>
        <v/>
      </c>
      <c r="U1947" s="53">
        <f>IF(P1947="","",IF(P1947="Gasto",S1947,IF(P1947="Reembolso",-S1947,0)))</f>
        <v/>
      </c>
      <c r="V1947" s="53">
        <f>IF(P1947="","",IF(P1947="Ingreso",S1947,0))</f>
        <v/>
      </c>
      <c r="W1947" s="53">
        <f>IF(P1947="","",IF(P1947="Resultado trading",S1947,0))</f>
        <v/>
      </c>
      <c r="X1947" s="52">
        <f>IF(OR(P1947="Gasto",P1947="Reembolso"),IF(M1947&lt;&gt;"",M1947,IFERROR(INDEX(catClasif,MATCH(D1947&amp;"|"&amp;E1947,catClave,0))&amp;"","Variable")),"")</f>
        <v/>
      </c>
      <c r="Y1947" s="52">
        <f>IF(P1947="","",IFERROR(INDEX(catGrupo,MATCH(D1947&amp;"|"&amp;E1947,catClave,0))&amp;"",""))</f>
        <v/>
      </c>
      <c r="Z1947" s="52">
        <f>IF(P1947="","",WEEKDAY(B1947,2))</f>
        <v/>
      </c>
      <c r="AA1947" s="52">
        <f>IF(P1947="","",IF(AND(P1947="Gasto",X1947="Variable",D1947&lt;&gt;catTrading,S1947&gt;0,S1947&lt;=Umbral),1,0))</f>
        <v/>
      </c>
      <c r="AB1947" s="52">
        <f>IF(OR(P1947="",Q1947=""),"",IFERROR(IF(INDEX(ctaVinc,MATCH(Q1947,ctaNombre,0))&amp;""&lt;&gt;"",INDEX(ctaVinc,MATCH(Q1947,ctaNombre,0))&amp;"",Q1947),Q1947))</f>
        <v/>
      </c>
      <c r="AC1947" s="52">
        <f>IF(OR(K1947="",AND(P1947&lt;&gt;"Transferencia",P1947&lt;&gt;"Pago tarjeta")),"",IFERROR(IF(INDEX(ctaVinc,MATCH(K1947,ctaNombre,0))&amp;""&lt;&gt;"",INDEX(ctaVinc,MATCH(K1947,ctaNombre,0))&amp;"",K1947),K1947))</f>
        <v/>
      </c>
      <c r="AD1947" s="52">
        <f>IF(AB1947="","",IFERROR(INDEX(ctaTipo,MATCH(AB1947,ctaNombre,0))&amp;"",""))</f>
        <v/>
      </c>
      <c r="AE1947" s="52">
        <f>IF(AC1947="","",IFERROR(INDEX(ctaTipo,MATCH(AC1947,ctaNombre,0))&amp;"",""))</f>
        <v/>
      </c>
      <c r="AF1947" s="53">
        <f>IF(OR(P1947="",AB1947=""),"",IF(OR(P1947="Gasto",P1947="Transferencia",P1947="Pago tarjeta"),-1,1)*IF(IFERROR(INDEX(ctaMoneda,MATCH(AB1947,ctaNombre,0))&amp;"","DOP")="USD",T1947,S1947))</f>
        <v/>
      </c>
      <c r="AG1947" s="53">
        <f>IF(AC1947="","",IF(IFERROR(INDEX(ctaMoneda,MATCH(AC1947,ctaNombre,0))&amp;"","DOP")="USD",T1947,S1947))</f>
        <v/>
      </c>
      <c r="AH1947" s="53">
        <f>IF(P1947="","",IF(AND(AD1947&lt;&gt;"",COUNTIFS(tcTipo,AD1947,tcLiq,"Sí")&gt;0),IF(OR(P1947="Gasto",P1947="Transferencia",P1947="Pago tarjeta"),-1,1)*S1947,0)+IF(AND(AE1947&lt;&gt;"",COUNTIFS(tcTipo,AE1947,tcLiq,"Sí")&gt;0),S1947,0))</f>
        <v/>
      </c>
      <c r="AI1947" s="52">
        <f>IF(OR(L1947="",P1947=""),"",IF(COUNTIFS(L$6:L1947,L1947,P$6:P1947,"?*")=1,MAX(AI$5:AI1946)+1,""))</f>
        <v/>
      </c>
    </row>
    <row r="1948">
      <c r="B1948" s="47" t="n"/>
      <c r="C1948" s="48" t="n"/>
      <c r="D1948" s="48" t="n"/>
      <c r="E1948" s="48" t="n"/>
      <c r="F1948" s="48" t="n"/>
      <c r="G1948" s="49" t="n"/>
      <c r="H1948" s="48" t="n"/>
      <c r="I1948" s="50" t="n"/>
      <c r="J1948" s="48" t="n"/>
      <c r="K1948" s="48" t="n"/>
      <c r="L1948" s="48" t="n"/>
      <c r="M1948" s="48" t="n"/>
      <c r="N1948" s="48" t="n"/>
      <c r="O1948" s="51">
        <f>IF(AND(B1948="",G1948="",C1948="",D1948="",J1948=""),"",IF(B1948="","⚠ Falta fecha",IF(G1948="","⚠ Falta monto",IF(Q1948="","⚠ Falta cuenta",IF(ISNA(MATCH(Q1948,ctaNombre,0)),"⚠ Cuenta no registrada",IF(AND(OR(P1948="Gasto",P1948="Reembolso"),D1948=""),"⚠ Falta categoría",IF(AND(D1948&lt;&gt;"",E1948&lt;&gt;"",ISNA(MATCH(D1948&amp;"|"&amp;E1948,catClave,0))),"⚠ Subcategoría no corresponde",IF(AND(OR(P1948="Transferencia",P1948="Pago tarjeta"),K1948=""),"⚠ Falta cuenta destino",IF(AND(K1948&lt;&gt;"",P1948&lt;&gt;"Transferencia",P1948&lt;&gt;"Pago tarjeta"),"⚠ Destino solo aplica a transferencias",IF(AND(K1948&lt;&gt;"",K1948=Q1948),"⚠ Origen igual a destino",IF(AND(K1948&lt;&gt;"",ISNA(MATCH(K1948,ctaNombre,0))),"⚠ Destino no registrado",IF(AND(P1948="Pago tarjeta",AE1948&lt;&gt;"Tarjeta de crédito"),"⚠ El destino debe ser tarjeta de crédito",IF(AND(P1948="Gasto",E1948="Depósitos y retiros"),"⚠ Usa tipo Transferencia",IF(AND(P1948="Resultado trading",AD1948&lt;&gt;"Cuenta de trading"),"⚠ Usa una cuenta de trading",IF(AND(G1948&lt;=0,P1948&lt;&gt;"Ajuste",P1948&lt;&gt;"Resultado trading"),"⚠ El monto debe ser positivo","✓")))))))))))))))</f>
        <v/>
      </c>
      <c r="P1948" s="52">
        <f>IF(OR(B1948="",G1948=""),"",IF(C1948="","Gasto",C1948))</f>
        <v/>
      </c>
      <c r="Q1948" s="52">
        <f>IF(P1948="","",IF(J1948&lt;&gt;"",J1948,CuentaPred&amp;""))</f>
        <v/>
      </c>
      <c r="R1948" s="52">
        <f>IF(P1948="","",IF(ISNUMBER(I1948),I1948,TasaUSD))</f>
        <v/>
      </c>
      <c r="S1948" s="53">
        <f>IF(P1948="","",IF(H1948="USD",G1948*R1948,G1948))</f>
        <v/>
      </c>
      <c r="T1948" s="53">
        <f>IF(P1948="","",IF(H1948="USD",G1948,IF(R1948&gt;0,G1948/R1948,0)))</f>
        <v/>
      </c>
      <c r="U1948" s="53">
        <f>IF(P1948="","",IF(P1948="Gasto",S1948,IF(P1948="Reembolso",-S1948,0)))</f>
        <v/>
      </c>
      <c r="V1948" s="53">
        <f>IF(P1948="","",IF(P1948="Ingreso",S1948,0))</f>
        <v/>
      </c>
      <c r="W1948" s="53">
        <f>IF(P1948="","",IF(P1948="Resultado trading",S1948,0))</f>
        <v/>
      </c>
      <c r="X1948" s="52">
        <f>IF(OR(P1948="Gasto",P1948="Reembolso"),IF(M1948&lt;&gt;"",M1948,IFERROR(INDEX(catClasif,MATCH(D1948&amp;"|"&amp;E1948,catClave,0))&amp;"","Variable")),"")</f>
        <v/>
      </c>
      <c r="Y1948" s="52">
        <f>IF(P1948="","",IFERROR(INDEX(catGrupo,MATCH(D1948&amp;"|"&amp;E1948,catClave,0))&amp;"",""))</f>
        <v/>
      </c>
      <c r="Z1948" s="52">
        <f>IF(P1948="","",WEEKDAY(B1948,2))</f>
        <v/>
      </c>
      <c r="AA1948" s="52">
        <f>IF(P1948="","",IF(AND(P1948="Gasto",X1948="Variable",D1948&lt;&gt;catTrading,S1948&gt;0,S1948&lt;=Umbral),1,0))</f>
        <v/>
      </c>
      <c r="AB1948" s="52">
        <f>IF(OR(P1948="",Q1948=""),"",IFERROR(IF(INDEX(ctaVinc,MATCH(Q1948,ctaNombre,0))&amp;""&lt;&gt;"",INDEX(ctaVinc,MATCH(Q1948,ctaNombre,0))&amp;"",Q1948),Q1948))</f>
        <v/>
      </c>
      <c r="AC1948" s="52">
        <f>IF(OR(K1948="",AND(P1948&lt;&gt;"Transferencia",P1948&lt;&gt;"Pago tarjeta")),"",IFERROR(IF(INDEX(ctaVinc,MATCH(K1948,ctaNombre,0))&amp;""&lt;&gt;"",INDEX(ctaVinc,MATCH(K1948,ctaNombre,0))&amp;"",K1948),K1948))</f>
        <v/>
      </c>
      <c r="AD1948" s="52">
        <f>IF(AB1948="","",IFERROR(INDEX(ctaTipo,MATCH(AB1948,ctaNombre,0))&amp;"",""))</f>
        <v/>
      </c>
      <c r="AE1948" s="52">
        <f>IF(AC1948="","",IFERROR(INDEX(ctaTipo,MATCH(AC1948,ctaNombre,0))&amp;"",""))</f>
        <v/>
      </c>
      <c r="AF1948" s="53">
        <f>IF(OR(P1948="",AB1948=""),"",IF(OR(P1948="Gasto",P1948="Transferencia",P1948="Pago tarjeta"),-1,1)*IF(IFERROR(INDEX(ctaMoneda,MATCH(AB1948,ctaNombre,0))&amp;"","DOP")="USD",T1948,S1948))</f>
        <v/>
      </c>
      <c r="AG1948" s="53">
        <f>IF(AC1948="","",IF(IFERROR(INDEX(ctaMoneda,MATCH(AC1948,ctaNombre,0))&amp;"","DOP")="USD",T1948,S1948))</f>
        <v/>
      </c>
      <c r="AH1948" s="53">
        <f>IF(P1948="","",IF(AND(AD1948&lt;&gt;"",COUNTIFS(tcTipo,AD1948,tcLiq,"Sí")&gt;0),IF(OR(P1948="Gasto",P1948="Transferencia",P1948="Pago tarjeta"),-1,1)*S1948,0)+IF(AND(AE1948&lt;&gt;"",COUNTIFS(tcTipo,AE1948,tcLiq,"Sí")&gt;0),S1948,0))</f>
        <v/>
      </c>
      <c r="AI1948" s="52">
        <f>IF(OR(L1948="",P1948=""),"",IF(COUNTIFS(L$6:L1948,L1948,P$6:P1948,"?*")=1,MAX(AI$5:AI1947)+1,""))</f>
        <v/>
      </c>
    </row>
    <row r="1949">
      <c r="B1949" s="47" t="n"/>
      <c r="C1949" s="48" t="n"/>
      <c r="D1949" s="48" t="n"/>
      <c r="E1949" s="48" t="n"/>
      <c r="F1949" s="48" t="n"/>
      <c r="G1949" s="49" t="n"/>
      <c r="H1949" s="48" t="n"/>
      <c r="I1949" s="50" t="n"/>
      <c r="J1949" s="48" t="n"/>
      <c r="K1949" s="48" t="n"/>
      <c r="L1949" s="48" t="n"/>
      <c r="M1949" s="48" t="n"/>
      <c r="N1949" s="48" t="n"/>
      <c r="O1949" s="51">
        <f>IF(AND(B1949="",G1949="",C1949="",D1949="",J1949=""),"",IF(B1949="","⚠ Falta fecha",IF(G1949="","⚠ Falta monto",IF(Q1949="","⚠ Falta cuenta",IF(ISNA(MATCH(Q1949,ctaNombre,0)),"⚠ Cuenta no registrada",IF(AND(OR(P1949="Gasto",P1949="Reembolso"),D1949=""),"⚠ Falta categoría",IF(AND(D1949&lt;&gt;"",E1949&lt;&gt;"",ISNA(MATCH(D1949&amp;"|"&amp;E1949,catClave,0))),"⚠ Subcategoría no corresponde",IF(AND(OR(P1949="Transferencia",P1949="Pago tarjeta"),K1949=""),"⚠ Falta cuenta destino",IF(AND(K1949&lt;&gt;"",P1949&lt;&gt;"Transferencia",P1949&lt;&gt;"Pago tarjeta"),"⚠ Destino solo aplica a transferencias",IF(AND(K1949&lt;&gt;"",K1949=Q1949),"⚠ Origen igual a destino",IF(AND(K1949&lt;&gt;"",ISNA(MATCH(K1949,ctaNombre,0))),"⚠ Destino no registrado",IF(AND(P1949="Pago tarjeta",AE1949&lt;&gt;"Tarjeta de crédito"),"⚠ El destino debe ser tarjeta de crédito",IF(AND(P1949="Gasto",E1949="Depósitos y retiros"),"⚠ Usa tipo Transferencia",IF(AND(P1949="Resultado trading",AD1949&lt;&gt;"Cuenta de trading"),"⚠ Usa una cuenta de trading",IF(AND(G1949&lt;=0,P1949&lt;&gt;"Ajuste",P1949&lt;&gt;"Resultado trading"),"⚠ El monto debe ser positivo","✓")))))))))))))))</f>
        <v/>
      </c>
      <c r="P1949" s="52">
        <f>IF(OR(B1949="",G1949=""),"",IF(C1949="","Gasto",C1949))</f>
        <v/>
      </c>
      <c r="Q1949" s="52">
        <f>IF(P1949="","",IF(J1949&lt;&gt;"",J1949,CuentaPred&amp;""))</f>
        <v/>
      </c>
      <c r="R1949" s="52">
        <f>IF(P1949="","",IF(ISNUMBER(I1949),I1949,TasaUSD))</f>
        <v/>
      </c>
      <c r="S1949" s="53">
        <f>IF(P1949="","",IF(H1949="USD",G1949*R1949,G1949))</f>
        <v/>
      </c>
      <c r="T1949" s="53">
        <f>IF(P1949="","",IF(H1949="USD",G1949,IF(R1949&gt;0,G1949/R1949,0)))</f>
        <v/>
      </c>
      <c r="U1949" s="53">
        <f>IF(P1949="","",IF(P1949="Gasto",S1949,IF(P1949="Reembolso",-S1949,0)))</f>
        <v/>
      </c>
      <c r="V1949" s="53">
        <f>IF(P1949="","",IF(P1949="Ingreso",S1949,0))</f>
        <v/>
      </c>
      <c r="W1949" s="53">
        <f>IF(P1949="","",IF(P1949="Resultado trading",S1949,0))</f>
        <v/>
      </c>
      <c r="X1949" s="52">
        <f>IF(OR(P1949="Gasto",P1949="Reembolso"),IF(M1949&lt;&gt;"",M1949,IFERROR(INDEX(catClasif,MATCH(D1949&amp;"|"&amp;E1949,catClave,0))&amp;"","Variable")),"")</f>
        <v/>
      </c>
      <c r="Y1949" s="52">
        <f>IF(P1949="","",IFERROR(INDEX(catGrupo,MATCH(D1949&amp;"|"&amp;E1949,catClave,0))&amp;"",""))</f>
        <v/>
      </c>
      <c r="Z1949" s="52">
        <f>IF(P1949="","",WEEKDAY(B1949,2))</f>
        <v/>
      </c>
      <c r="AA1949" s="52">
        <f>IF(P1949="","",IF(AND(P1949="Gasto",X1949="Variable",D1949&lt;&gt;catTrading,S1949&gt;0,S1949&lt;=Umbral),1,0))</f>
        <v/>
      </c>
      <c r="AB1949" s="52">
        <f>IF(OR(P1949="",Q1949=""),"",IFERROR(IF(INDEX(ctaVinc,MATCH(Q1949,ctaNombre,0))&amp;""&lt;&gt;"",INDEX(ctaVinc,MATCH(Q1949,ctaNombre,0))&amp;"",Q1949),Q1949))</f>
        <v/>
      </c>
      <c r="AC1949" s="52">
        <f>IF(OR(K1949="",AND(P1949&lt;&gt;"Transferencia",P1949&lt;&gt;"Pago tarjeta")),"",IFERROR(IF(INDEX(ctaVinc,MATCH(K1949,ctaNombre,0))&amp;""&lt;&gt;"",INDEX(ctaVinc,MATCH(K1949,ctaNombre,0))&amp;"",K1949),K1949))</f>
        <v/>
      </c>
      <c r="AD1949" s="52">
        <f>IF(AB1949="","",IFERROR(INDEX(ctaTipo,MATCH(AB1949,ctaNombre,0))&amp;"",""))</f>
        <v/>
      </c>
      <c r="AE1949" s="52">
        <f>IF(AC1949="","",IFERROR(INDEX(ctaTipo,MATCH(AC1949,ctaNombre,0))&amp;"",""))</f>
        <v/>
      </c>
      <c r="AF1949" s="53">
        <f>IF(OR(P1949="",AB1949=""),"",IF(OR(P1949="Gasto",P1949="Transferencia",P1949="Pago tarjeta"),-1,1)*IF(IFERROR(INDEX(ctaMoneda,MATCH(AB1949,ctaNombre,0))&amp;"","DOP")="USD",T1949,S1949))</f>
        <v/>
      </c>
      <c r="AG1949" s="53">
        <f>IF(AC1949="","",IF(IFERROR(INDEX(ctaMoneda,MATCH(AC1949,ctaNombre,0))&amp;"","DOP")="USD",T1949,S1949))</f>
        <v/>
      </c>
      <c r="AH1949" s="53">
        <f>IF(P1949="","",IF(AND(AD1949&lt;&gt;"",COUNTIFS(tcTipo,AD1949,tcLiq,"Sí")&gt;0),IF(OR(P1949="Gasto",P1949="Transferencia",P1949="Pago tarjeta"),-1,1)*S1949,0)+IF(AND(AE1949&lt;&gt;"",COUNTIFS(tcTipo,AE1949,tcLiq,"Sí")&gt;0),S1949,0))</f>
        <v/>
      </c>
      <c r="AI1949" s="52">
        <f>IF(OR(L1949="",P1949=""),"",IF(COUNTIFS(L$6:L1949,L1949,P$6:P1949,"?*")=1,MAX(AI$5:AI1948)+1,""))</f>
        <v/>
      </c>
    </row>
    <row r="1950">
      <c r="B1950" s="47" t="n"/>
      <c r="C1950" s="48" t="n"/>
      <c r="D1950" s="48" t="n"/>
      <c r="E1950" s="48" t="n"/>
      <c r="F1950" s="48" t="n"/>
      <c r="G1950" s="49" t="n"/>
      <c r="H1950" s="48" t="n"/>
      <c r="I1950" s="50" t="n"/>
      <c r="J1950" s="48" t="n"/>
      <c r="K1950" s="48" t="n"/>
      <c r="L1950" s="48" t="n"/>
      <c r="M1950" s="48" t="n"/>
      <c r="N1950" s="48" t="n"/>
      <c r="O1950" s="51">
        <f>IF(AND(B1950="",G1950="",C1950="",D1950="",J1950=""),"",IF(B1950="","⚠ Falta fecha",IF(G1950="","⚠ Falta monto",IF(Q1950="","⚠ Falta cuenta",IF(ISNA(MATCH(Q1950,ctaNombre,0)),"⚠ Cuenta no registrada",IF(AND(OR(P1950="Gasto",P1950="Reembolso"),D1950=""),"⚠ Falta categoría",IF(AND(D1950&lt;&gt;"",E1950&lt;&gt;"",ISNA(MATCH(D1950&amp;"|"&amp;E1950,catClave,0))),"⚠ Subcategoría no corresponde",IF(AND(OR(P1950="Transferencia",P1950="Pago tarjeta"),K1950=""),"⚠ Falta cuenta destino",IF(AND(K1950&lt;&gt;"",P1950&lt;&gt;"Transferencia",P1950&lt;&gt;"Pago tarjeta"),"⚠ Destino solo aplica a transferencias",IF(AND(K1950&lt;&gt;"",K1950=Q1950),"⚠ Origen igual a destino",IF(AND(K1950&lt;&gt;"",ISNA(MATCH(K1950,ctaNombre,0))),"⚠ Destino no registrado",IF(AND(P1950="Pago tarjeta",AE1950&lt;&gt;"Tarjeta de crédito"),"⚠ El destino debe ser tarjeta de crédito",IF(AND(P1950="Gasto",E1950="Depósitos y retiros"),"⚠ Usa tipo Transferencia",IF(AND(P1950="Resultado trading",AD1950&lt;&gt;"Cuenta de trading"),"⚠ Usa una cuenta de trading",IF(AND(G1950&lt;=0,P1950&lt;&gt;"Ajuste",P1950&lt;&gt;"Resultado trading"),"⚠ El monto debe ser positivo","✓")))))))))))))))</f>
        <v/>
      </c>
      <c r="P1950" s="52">
        <f>IF(OR(B1950="",G1950=""),"",IF(C1950="","Gasto",C1950))</f>
        <v/>
      </c>
      <c r="Q1950" s="52">
        <f>IF(P1950="","",IF(J1950&lt;&gt;"",J1950,CuentaPred&amp;""))</f>
        <v/>
      </c>
      <c r="R1950" s="52">
        <f>IF(P1950="","",IF(ISNUMBER(I1950),I1950,TasaUSD))</f>
        <v/>
      </c>
      <c r="S1950" s="53">
        <f>IF(P1950="","",IF(H1950="USD",G1950*R1950,G1950))</f>
        <v/>
      </c>
      <c r="T1950" s="53">
        <f>IF(P1950="","",IF(H1950="USD",G1950,IF(R1950&gt;0,G1950/R1950,0)))</f>
        <v/>
      </c>
      <c r="U1950" s="53">
        <f>IF(P1950="","",IF(P1950="Gasto",S1950,IF(P1950="Reembolso",-S1950,0)))</f>
        <v/>
      </c>
      <c r="V1950" s="53">
        <f>IF(P1950="","",IF(P1950="Ingreso",S1950,0))</f>
        <v/>
      </c>
      <c r="W1950" s="53">
        <f>IF(P1950="","",IF(P1950="Resultado trading",S1950,0))</f>
        <v/>
      </c>
      <c r="X1950" s="52">
        <f>IF(OR(P1950="Gasto",P1950="Reembolso"),IF(M1950&lt;&gt;"",M1950,IFERROR(INDEX(catClasif,MATCH(D1950&amp;"|"&amp;E1950,catClave,0))&amp;"","Variable")),"")</f>
        <v/>
      </c>
      <c r="Y1950" s="52">
        <f>IF(P1950="","",IFERROR(INDEX(catGrupo,MATCH(D1950&amp;"|"&amp;E1950,catClave,0))&amp;"",""))</f>
        <v/>
      </c>
      <c r="Z1950" s="52">
        <f>IF(P1950="","",WEEKDAY(B1950,2))</f>
        <v/>
      </c>
      <c r="AA1950" s="52">
        <f>IF(P1950="","",IF(AND(P1950="Gasto",X1950="Variable",D1950&lt;&gt;catTrading,S1950&gt;0,S1950&lt;=Umbral),1,0))</f>
        <v/>
      </c>
      <c r="AB1950" s="52">
        <f>IF(OR(P1950="",Q1950=""),"",IFERROR(IF(INDEX(ctaVinc,MATCH(Q1950,ctaNombre,0))&amp;""&lt;&gt;"",INDEX(ctaVinc,MATCH(Q1950,ctaNombre,0))&amp;"",Q1950),Q1950))</f>
        <v/>
      </c>
      <c r="AC1950" s="52">
        <f>IF(OR(K1950="",AND(P1950&lt;&gt;"Transferencia",P1950&lt;&gt;"Pago tarjeta")),"",IFERROR(IF(INDEX(ctaVinc,MATCH(K1950,ctaNombre,0))&amp;""&lt;&gt;"",INDEX(ctaVinc,MATCH(K1950,ctaNombre,0))&amp;"",K1950),K1950))</f>
        <v/>
      </c>
      <c r="AD1950" s="52">
        <f>IF(AB1950="","",IFERROR(INDEX(ctaTipo,MATCH(AB1950,ctaNombre,0))&amp;"",""))</f>
        <v/>
      </c>
      <c r="AE1950" s="52">
        <f>IF(AC1950="","",IFERROR(INDEX(ctaTipo,MATCH(AC1950,ctaNombre,0))&amp;"",""))</f>
        <v/>
      </c>
      <c r="AF1950" s="53">
        <f>IF(OR(P1950="",AB1950=""),"",IF(OR(P1950="Gasto",P1950="Transferencia",P1950="Pago tarjeta"),-1,1)*IF(IFERROR(INDEX(ctaMoneda,MATCH(AB1950,ctaNombre,0))&amp;"","DOP")="USD",T1950,S1950))</f>
        <v/>
      </c>
      <c r="AG1950" s="53">
        <f>IF(AC1950="","",IF(IFERROR(INDEX(ctaMoneda,MATCH(AC1950,ctaNombre,0))&amp;"","DOP")="USD",T1950,S1950))</f>
        <v/>
      </c>
      <c r="AH1950" s="53">
        <f>IF(P1950="","",IF(AND(AD1950&lt;&gt;"",COUNTIFS(tcTipo,AD1950,tcLiq,"Sí")&gt;0),IF(OR(P1950="Gasto",P1950="Transferencia",P1950="Pago tarjeta"),-1,1)*S1950,0)+IF(AND(AE1950&lt;&gt;"",COUNTIFS(tcTipo,AE1950,tcLiq,"Sí")&gt;0),S1950,0))</f>
        <v/>
      </c>
      <c r="AI1950" s="52">
        <f>IF(OR(L1950="",P1950=""),"",IF(COUNTIFS(L$6:L1950,L1950,P$6:P1950,"?*")=1,MAX(AI$5:AI1949)+1,""))</f>
        <v/>
      </c>
    </row>
    <row r="1951">
      <c r="B1951" s="47" t="n"/>
      <c r="C1951" s="48" t="n"/>
      <c r="D1951" s="48" t="n"/>
      <c r="E1951" s="48" t="n"/>
      <c r="F1951" s="48" t="n"/>
      <c r="G1951" s="49" t="n"/>
      <c r="H1951" s="48" t="n"/>
      <c r="I1951" s="50" t="n"/>
      <c r="J1951" s="48" t="n"/>
      <c r="K1951" s="48" t="n"/>
      <c r="L1951" s="48" t="n"/>
      <c r="M1951" s="48" t="n"/>
      <c r="N1951" s="48" t="n"/>
      <c r="O1951" s="51">
        <f>IF(AND(B1951="",G1951="",C1951="",D1951="",J1951=""),"",IF(B1951="","⚠ Falta fecha",IF(G1951="","⚠ Falta monto",IF(Q1951="","⚠ Falta cuenta",IF(ISNA(MATCH(Q1951,ctaNombre,0)),"⚠ Cuenta no registrada",IF(AND(OR(P1951="Gasto",P1951="Reembolso"),D1951=""),"⚠ Falta categoría",IF(AND(D1951&lt;&gt;"",E1951&lt;&gt;"",ISNA(MATCH(D1951&amp;"|"&amp;E1951,catClave,0))),"⚠ Subcategoría no corresponde",IF(AND(OR(P1951="Transferencia",P1951="Pago tarjeta"),K1951=""),"⚠ Falta cuenta destino",IF(AND(K1951&lt;&gt;"",P1951&lt;&gt;"Transferencia",P1951&lt;&gt;"Pago tarjeta"),"⚠ Destino solo aplica a transferencias",IF(AND(K1951&lt;&gt;"",K1951=Q1951),"⚠ Origen igual a destino",IF(AND(K1951&lt;&gt;"",ISNA(MATCH(K1951,ctaNombre,0))),"⚠ Destino no registrado",IF(AND(P1951="Pago tarjeta",AE1951&lt;&gt;"Tarjeta de crédito"),"⚠ El destino debe ser tarjeta de crédito",IF(AND(P1951="Gasto",E1951="Depósitos y retiros"),"⚠ Usa tipo Transferencia",IF(AND(P1951="Resultado trading",AD1951&lt;&gt;"Cuenta de trading"),"⚠ Usa una cuenta de trading",IF(AND(G1951&lt;=0,P1951&lt;&gt;"Ajuste",P1951&lt;&gt;"Resultado trading"),"⚠ El monto debe ser positivo","✓")))))))))))))))</f>
        <v/>
      </c>
      <c r="P1951" s="52">
        <f>IF(OR(B1951="",G1951=""),"",IF(C1951="","Gasto",C1951))</f>
        <v/>
      </c>
      <c r="Q1951" s="52">
        <f>IF(P1951="","",IF(J1951&lt;&gt;"",J1951,CuentaPred&amp;""))</f>
        <v/>
      </c>
      <c r="R1951" s="52">
        <f>IF(P1951="","",IF(ISNUMBER(I1951),I1951,TasaUSD))</f>
        <v/>
      </c>
      <c r="S1951" s="53">
        <f>IF(P1951="","",IF(H1951="USD",G1951*R1951,G1951))</f>
        <v/>
      </c>
      <c r="T1951" s="53">
        <f>IF(P1951="","",IF(H1951="USD",G1951,IF(R1951&gt;0,G1951/R1951,0)))</f>
        <v/>
      </c>
      <c r="U1951" s="53">
        <f>IF(P1951="","",IF(P1951="Gasto",S1951,IF(P1951="Reembolso",-S1951,0)))</f>
        <v/>
      </c>
      <c r="V1951" s="53">
        <f>IF(P1951="","",IF(P1951="Ingreso",S1951,0))</f>
        <v/>
      </c>
      <c r="W1951" s="53">
        <f>IF(P1951="","",IF(P1951="Resultado trading",S1951,0))</f>
        <v/>
      </c>
      <c r="X1951" s="52">
        <f>IF(OR(P1951="Gasto",P1951="Reembolso"),IF(M1951&lt;&gt;"",M1951,IFERROR(INDEX(catClasif,MATCH(D1951&amp;"|"&amp;E1951,catClave,0))&amp;"","Variable")),"")</f>
        <v/>
      </c>
      <c r="Y1951" s="52">
        <f>IF(P1951="","",IFERROR(INDEX(catGrupo,MATCH(D1951&amp;"|"&amp;E1951,catClave,0))&amp;"",""))</f>
        <v/>
      </c>
      <c r="Z1951" s="52">
        <f>IF(P1951="","",WEEKDAY(B1951,2))</f>
        <v/>
      </c>
      <c r="AA1951" s="52">
        <f>IF(P1951="","",IF(AND(P1951="Gasto",X1951="Variable",D1951&lt;&gt;catTrading,S1951&gt;0,S1951&lt;=Umbral),1,0))</f>
        <v/>
      </c>
      <c r="AB1951" s="52">
        <f>IF(OR(P1951="",Q1951=""),"",IFERROR(IF(INDEX(ctaVinc,MATCH(Q1951,ctaNombre,0))&amp;""&lt;&gt;"",INDEX(ctaVinc,MATCH(Q1951,ctaNombre,0))&amp;"",Q1951),Q1951))</f>
        <v/>
      </c>
      <c r="AC1951" s="52">
        <f>IF(OR(K1951="",AND(P1951&lt;&gt;"Transferencia",P1951&lt;&gt;"Pago tarjeta")),"",IFERROR(IF(INDEX(ctaVinc,MATCH(K1951,ctaNombre,0))&amp;""&lt;&gt;"",INDEX(ctaVinc,MATCH(K1951,ctaNombre,0))&amp;"",K1951),K1951))</f>
        <v/>
      </c>
      <c r="AD1951" s="52">
        <f>IF(AB1951="","",IFERROR(INDEX(ctaTipo,MATCH(AB1951,ctaNombre,0))&amp;"",""))</f>
        <v/>
      </c>
      <c r="AE1951" s="52">
        <f>IF(AC1951="","",IFERROR(INDEX(ctaTipo,MATCH(AC1951,ctaNombre,0))&amp;"",""))</f>
        <v/>
      </c>
      <c r="AF1951" s="53">
        <f>IF(OR(P1951="",AB1951=""),"",IF(OR(P1951="Gasto",P1951="Transferencia",P1951="Pago tarjeta"),-1,1)*IF(IFERROR(INDEX(ctaMoneda,MATCH(AB1951,ctaNombre,0))&amp;"","DOP")="USD",T1951,S1951))</f>
        <v/>
      </c>
      <c r="AG1951" s="53">
        <f>IF(AC1951="","",IF(IFERROR(INDEX(ctaMoneda,MATCH(AC1951,ctaNombre,0))&amp;"","DOP")="USD",T1951,S1951))</f>
        <v/>
      </c>
      <c r="AH1951" s="53">
        <f>IF(P1951="","",IF(AND(AD1951&lt;&gt;"",COUNTIFS(tcTipo,AD1951,tcLiq,"Sí")&gt;0),IF(OR(P1951="Gasto",P1951="Transferencia",P1951="Pago tarjeta"),-1,1)*S1951,0)+IF(AND(AE1951&lt;&gt;"",COUNTIFS(tcTipo,AE1951,tcLiq,"Sí")&gt;0),S1951,0))</f>
        <v/>
      </c>
      <c r="AI1951" s="52">
        <f>IF(OR(L1951="",P1951=""),"",IF(COUNTIFS(L$6:L1951,L1951,P$6:P1951,"?*")=1,MAX(AI$5:AI1950)+1,""))</f>
        <v/>
      </c>
    </row>
    <row r="1952">
      <c r="B1952" s="47" t="n"/>
      <c r="C1952" s="48" t="n"/>
      <c r="D1952" s="48" t="n"/>
      <c r="E1952" s="48" t="n"/>
      <c r="F1952" s="48" t="n"/>
      <c r="G1952" s="49" t="n"/>
      <c r="H1952" s="48" t="n"/>
      <c r="I1952" s="50" t="n"/>
      <c r="J1952" s="48" t="n"/>
      <c r="K1952" s="48" t="n"/>
      <c r="L1952" s="48" t="n"/>
      <c r="M1952" s="48" t="n"/>
      <c r="N1952" s="48" t="n"/>
      <c r="O1952" s="51">
        <f>IF(AND(B1952="",G1952="",C1952="",D1952="",J1952=""),"",IF(B1952="","⚠ Falta fecha",IF(G1952="","⚠ Falta monto",IF(Q1952="","⚠ Falta cuenta",IF(ISNA(MATCH(Q1952,ctaNombre,0)),"⚠ Cuenta no registrada",IF(AND(OR(P1952="Gasto",P1952="Reembolso"),D1952=""),"⚠ Falta categoría",IF(AND(D1952&lt;&gt;"",E1952&lt;&gt;"",ISNA(MATCH(D1952&amp;"|"&amp;E1952,catClave,0))),"⚠ Subcategoría no corresponde",IF(AND(OR(P1952="Transferencia",P1952="Pago tarjeta"),K1952=""),"⚠ Falta cuenta destino",IF(AND(K1952&lt;&gt;"",P1952&lt;&gt;"Transferencia",P1952&lt;&gt;"Pago tarjeta"),"⚠ Destino solo aplica a transferencias",IF(AND(K1952&lt;&gt;"",K1952=Q1952),"⚠ Origen igual a destino",IF(AND(K1952&lt;&gt;"",ISNA(MATCH(K1952,ctaNombre,0))),"⚠ Destino no registrado",IF(AND(P1952="Pago tarjeta",AE1952&lt;&gt;"Tarjeta de crédito"),"⚠ El destino debe ser tarjeta de crédito",IF(AND(P1952="Gasto",E1952="Depósitos y retiros"),"⚠ Usa tipo Transferencia",IF(AND(P1952="Resultado trading",AD1952&lt;&gt;"Cuenta de trading"),"⚠ Usa una cuenta de trading",IF(AND(G1952&lt;=0,P1952&lt;&gt;"Ajuste",P1952&lt;&gt;"Resultado trading"),"⚠ El monto debe ser positivo","✓")))))))))))))))</f>
        <v/>
      </c>
      <c r="P1952" s="52">
        <f>IF(OR(B1952="",G1952=""),"",IF(C1952="","Gasto",C1952))</f>
        <v/>
      </c>
      <c r="Q1952" s="52">
        <f>IF(P1952="","",IF(J1952&lt;&gt;"",J1952,CuentaPred&amp;""))</f>
        <v/>
      </c>
      <c r="R1952" s="52">
        <f>IF(P1952="","",IF(ISNUMBER(I1952),I1952,TasaUSD))</f>
        <v/>
      </c>
      <c r="S1952" s="53">
        <f>IF(P1952="","",IF(H1952="USD",G1952*R1952,G1952))</f>
        <v/>
      </c>
      <c r="T1952" s="53">
        <f>IF(P1952="","",IF(H1952="USD",G1952,IF(R1952&gt;0,G1952/R1952,0)))</f>
        <v/>
      </c>
      <c r="U1952" s="53">
        <f>IF(P1952="","",IF(P1952="Gasto",S1952,IF(P1952="Reembolso",-S1952,0)))</f>
        <v/>
      </c>
      <c r="V1952" s="53">
        <f>IF(P1952="","",IF(P1952="Ingreso",S1952,0))</f>
        <v/>
      </c>
      <c r="W1952" s="53">
        <f>IF(P1952="","",IF(P1952="Resultado trading",S1952,0))</f>
        <v/>
      </c>
      <c r="X1952" s="52">
        <f>IF(OR(P1952="Gasto",P1952="Reembolso"),IF(M1952&lt;&gt;"",M1952,IFERROR(INDEX(catClasif,MATCH(D1952&amp;"|"&amp;E1952,catClave,0))&amp;"","Variable")),"")</f>
        <v/>
      </c>
      <c r="Y1952" s="52">
        <f>IF(P1952="","",IFERROR(INDEX(catGrupo,MATCH(D1952&amp;"|"&amp;E1952,catClave,0))&amp;"",""))</f>
        <v/>
      </c>
      <c r="Z1952" s="52">
        <f>IF(P1952="","",WEEKDAY(B1952,2))</f>
        <v/>
      </c>
      <c r="AA1952" s="52">
        <f>IF(P1952="","",IF(AND(P1952="Gasto",X1952="Variable",D1952&lt;&gt;catTrading,S1952&gt;0,S1952&lt;=Umbral),1,0))</f>
        <v/>
      </c>
      <c r="AB1952" s="52">
        <f>IF(OR(P1952="",Q1952=""),"",IFERROR(IF(INDEX(ctaVinc,MATCH(Q1952,ctaNombre,0))&amp;""&lt;&gt;"",INDEX(ctaVinc,MATCH(Q1952,ctaNombre,0))&amp;"",Q1952),Q1952))</f>
        <v/>
      </c>
      <c r="AC1952" s="52">
        <f>IF(OR(K1952="",AND(P1952&lt;&gt;"Transferencia",P1952&lt;&gt;"Pago tarjeta")),"",IFERROR(IF(INDEX(ctaVinc,MATCH(K1952,ctaNombre,0))&amp;""&lt;&gt;"",INDEX(ctaVinc,MATCH(K1952,ctaNombre,0))&amp;"",K1952),K1952))</f>
        <v/>
      </c>
      <c r="AD1952" s="52">
        <f>IF(AB1952="","",IFERROR(INDEX(ctaTipo,MATCH(AB1952,ctaNombre,0))&amp;"",""))</f>
        <v/>
      </c>
      <c r="AE1952" s="52">
        <f>IF(AC1952="","",IFERROR(INDEX(ctaTipo,MATCH(AC1952,ctaNombre,0))&amp;"",""))</f>
        <v/>
      </c>
      <c r="AF1952" s="53">
        <f>IF(OR(P1952="",AB1952=""),"",IF(OR(P1952="Gasto",P1952="Transferencia",P1952="Pago tarjeta"),-1,1)*IF(IFERROR(INDEX(ctaMoneda,MATCH(AB1952,ctaNombre,0))&amp;"","DOP")="USD",T1952,S1952))</f>
        <v/>
      </c>
      <c r="AG1952" s="53">
        <f>IF(AC1952="","",IF(IFERROR(INDEX(ctaMoneda,MATCH(AC1952,ctaNombre,0))&amp;"","DOP")="USD",T1952,S1952))</f>
        <v/>
      </c>
      <c r="AH1952" s="53">
        <f>IF(P1952="","",IF(AND(AD1952&lt;&gt;"",COUNTIFS(tcTipo,AD1952,tcLiq,"Sí")&gt;0),IF(OR(P1952="Gasto",P1952="Transferencia",P1952="Pago tarjeta"),-1,1)*S1952,0)+IF(AND(AE1952&lt;&gt;"",COUNTIFS(tcTipo,AE1952,tcLiq,"Sí")&gt;0),S1952,0))</f>
        <v/>
      </c>
      <c r="AI1952" s="52">
        <f>IF(OR(L1952="",P1952=""),"",IF(COUNTIFS(L$6:L1952,L1952,P$6:P1952,"?*")=1,MAX(AI$5:AI1951)+1,""))</f>
        <v/>
      </c>
    </row>
    <row r="1953">
      <c r="B1953" s="47" t="n"/>
      <c r="C1953" s="48" t="n"/>
      <c r="D1953" s="48" t="n"/>
      <c r="E1953" s="48" t="n"/>
      <c r="F1953" s="48" t="n"/>
      <c r="G1953" s="49" t="n"/>
      <c r="H1953" s="48" t="n"/>
      <c r="I1953" s="50" t="n"/>
      <c r="J1953" s="48" t="n"/>
      <c r="K1953" s="48" t="n"/>
      <c r="L1953" s="48" t="n"/>
      <c r="M1953" s="48" t="n"/>
      <c r="N1953" s="48" t="n"/>
      <c r="O1953" s="51">
        <f>IF(AND(B1953="",G1953="",C1953="",D1953="",J1953=""),"",IF(B1953="","⚠ Falta fecha",IF(G1953="","⚠ Falta monto",IF(Q1953="","⚠ Falta cuenta",IF(ISNA(MATCH(Q1953,ctaNombre,0)),"⚠ Cuenta no registrada",IF(AND(OR(P1953="Gasto",P1953="Reembolso"),D1953=""),"⚠ Falta categoría",IF(AND(D1953&lt;&gt;"",E1953&lt;&gt;"",ISNA(MATCH(D1953&amp;"|"&amp;E1953,catClave,0))),"⚠ Subcategoría no corresponde",IF(AND(OR(P1953="Transferencia",P1953="Pago tarjeta"),K1953=""),"⚠ Falta cuenta destino",IF(AND(K1953&lt;&gt;"",P1953&lt;&gt;"Transferencia",P1953&lt;&gt;"Pago tarjeta"),"⚠ Destino solo aplica a transferencias",IF(AND(K1953&lt;&gt;"",K1953=Q1953),"⚠ Origen igual a destino",IF(AND(K1953&lt;&gt;"",ISNA(MATCH(K1953,ctaNombre,0))),"⚠ Destino no registrado",IF(AND(P1953="Pago tarjeta",AE1953&lt;&gt;"Tarjeta de crédito"),"⚠ El destino debe ser tarjeta de crédito",IF(AND(P1953="Gasto",E1953="Depósitos y retiros"),"⚠ Usa tipo Transferencia",IF(AND(P1953="Resultado trading",AD1953&lt;&gt;"Cuenta de trading"),"⚠ Usa una cuenta de trading",IF(AND(G1953&lt;=0,P1953&lt;&gt;"Ajuste",P1953&lt;&gt;"Resultado trading"),"⚠ El monto debe ser positivo","✓")))))))))))))))</f>
        <v/>
      </c>
      <c r="P1953" s="52">
        <f>IF(OR(B1953="",G1953=""),"",IF(C1953="","Gasto",C1953))</f>
        <v/>
      </c>
      <c r="Q1953" s="52">
        <f>IF(P1953="","",IF(J1953&lt;&gt;"",J1953,CuentaPred&amp;""))</f>
        <v/>
      </c>
      <c r="R1953" s="52">
        <f>IF(P1953="","",IF(ISNUMBER(I1953),I1953,TasaUSD))</f>
        <v/>
      </c>
      <c r="S1953" s="53">
        <f>IF(P1953="","",IF(H1953="USD",G1953*R1953,G1953))</f>
        <v/>
      </c>
      <c r="T1953" s="53">
        <f>IF(P1953="","",IF(H1953="USD",G1953,IF(R1953&gt;0,G1953/R1953,0)))</f>
        <v/>
      </c>
      <c r="U1953" s="53">
        <f>IF(P1953="","",IF(P1953="Gasto",S1953,IF(P1953="Reembolso",-S1953,0)))</f>
        <v/>
      </c>
      <c r="V1953" s="53">
        <f>IF(P1953="","",IF(P1953="Ingreso",S1953,0))</f>
        <v/>
      </c>
      <c r="W1953" s="53">
        <f>IF(P1953="","",IF(P1953="Resultado trading",S1953,0))</f>
        <v/>
      </c>
      <c r="X1953" s="52">
        <f>IF(OR(P1953="Gasto",P1953="Reembolso"),IF(M1953&lt;&gt;"",M1953,IFERROR(INDEX(catClasif,MATCH(D1953&amp;"|"&amp;E1953,catClave,0))&amp;"","Variable")),"")</f>
        <v/>
      </c>
      <c r="Y1953" s="52">
        <f>IF(P1953="","",IFERROR(INDEX(catGrupo,MATCH(D1953&amp;"|"&amp;E1953,catClave,0))&amp;"",""))</f>
        <v/>
      </c>
      <c r="Z1953" s="52">
        <f>IF(P1953="","",WEEKDAY(B1953,2))</f>
        <v/>
      </c>
      <c r="AA1953" s="52">
        <f>IF(P1953="","",IF(AND(P1953="Gasto",X1953="Variable",D1953&lt;&gt;catTrading,S1953&gt;0,S1953&lt;=Umbral),1,0))</f>
        <v/>
      </c>
      <c r="AB1953" s="52">
        <f>IF(OR(P1953="",Q1953=""),"",IFERROR(IF(INDEX(ctaVinc,MATCH(Q1953,ctaNombre,0))&amp;""&lt;&gt;"",INDEX(ctaVinc,MATCH(Q1953,ctaNombre,0))&amp;"",Q1953),Q1953))</f>
        <v/>
      </c>
      <c r="AC1953" s="52">
        <f>IF(OR(K1953="",AND(P1953&lt;&gt;"Transferencia",P1953&lt;&gt;"Pago tarjeta")),"",IFERROR(IF(INDEX(ctaVinc,MATCH(K1953,ctaNombre,0))&amp;""&lt;&gt;"",INDEX(ctaVinc,MATCH(K1953,ctaNombre,0))&amp;"",K1953),K1953))</f>
        <v/>
      </c>
      <c r="AD1953" s="52">
        <f>IF(AB1953="","",IFERROR(INDEX(ctaTipo,MATCH(AB1953,ctaNombre,0))&amp;"",""))</f>
        <v/>
      </c>
      <c r="AE1953" s="52">
        <f>IF(AC1953="","",IFERROR(INDEX(ctaTipo,MATCH(AC1953,ctaNombre,0))&amp;"",""))</f>
        <v/>
      </c>
      <c r="AF1953" s="53">
        <f>IF(OR(P1953="",AB1953=""),"",IF(OR(P1953="Gasto",P1953="Transferencia",P1953="Pago tarjeta"),-1,1)*IF(IFERROR(INDEX(ctaMoneda,MATCH(AB1953,ctaNombre,0))&amp;"","DOP")="USD",T1953,S1953))</f>
        <v/>
      </c>
      <c r="AG1953" s="53">
        <f>IF(AC1953="","",IF(IFERROR(INDEX(ctaMoneda,MATCH(AC1953,ctaNombre,0))&amp;"","DOP")="USD",T1953,S1953))</f>
        <v/>
      </c>
      <c r="AH1953" s="53">
        <f>IF(P1953="","",IF(AND(AD1953&lt;&gt;"",COUNTIFS(tcTipo,AD1953,tcLiq,"Sí")&gt;0),IF(OR(P1953="Gasto",P1953="Transferencia",P1953="Pago tarjeta"),-1,1)*S1953,0)+IF(AND(AE1953&lt;&gt;"",COUNTIFS(tcTipo,AE1953,tcLiq,"Sí")&gt;0),S1953,0))</f>
        <v/>
      </c>
      <c r="AI1953" s="52">
        <f>IF(OR(L1953="",P1953=""),"",IF(COUNTIFS(L$6:L1953,L1953,P$6:P1953,"?*")=1,MAX(AI$5:AI1952)+1,""))</f>
        <v/>
      </c>
    </row>
    <row r="1954">
      <c r="B1954" s="47" t="n"/>
      <c r="C1954" s="48" t="n"/>
      <c r="D1954" s="48" t="n"/>
      <c r="E1954" s="48" t="n"/>
      <c r="F1954" s="48" t="n"/>
      <c r="G1954" s="49" t="n"/>
      <c r="H1954" s="48" t="n"/>
      <c r="I1954" s="50" t="n"/>
      <c r="J1954" s="48" t="n"/>
      <c r="K1954" s="48" t="n"/>
      <c r="L1954" s="48" t="n"/>
      <c r="M1954" s="48" t="n"/>
      <c r="N1954" s="48" t="n"/>
      <c r="O1954" s="51">
        <f>IF(AND(B1954="",G1954="",C1954="",D1954="",J1954=""),"",IF(B1954="","⚠ Falta fecha",IF(G1954="","⚠ Falta monto",IF(Q1954="","⚠ Falta cuenta",IF(ISNA(MATCH(Q1954,ctaNombre,0)),"⚠ Cuenta no registrada",IF(AND(OR(P1954="Gasto",P1954="Reembolso"),D1954=""),"⚠ Falta categoría",IF(AND(D1954&lt;&gt;"",E1954&lt;&gt;"",ISNA(MATCH(D1954&amp;"|"&amp;E1954,catClave,0))),"⚠ Subcategoría no corresponde",IF(AND(OR(P1954="Transferencia",P1954="Pago tarjeta"),K1954=""),"⚠ Falta cuenta destino",IF(AND(K1954&lt;&gt;"",P1954&lt;&gt;"Transferencia",P1954&lt;&gt;"Pago tarjeta"),"⚠ Destino solo aplica a transferencias",IF(AND(K1954&lt;&gt;"",K1954=Q1954),"⚠ Origen igual a destino",IF(AND(K1954&lt;&gt;"",ISNA(MATCH(K1954,ctaNombre,0))),"⚠ Destino no registrado",IF(AND(P1954="Pago tarjeta",AE1954&lt;&gt;"Tarjeta de crédito"),"⚠ El destino debe ser tarjeta de crédito",IF(AND(P1954="Gasto",E1954="Depósitos y retiros"),"⚠ Usa tipo Transferencia",IF(AND(P1954="Resultado trading",AD1954&lt;&gt;"Cuenta de trading"),"⚠ Usa una cuenta de trading",IF(AND(G1954&lt;=0,P1954&lt;&gt;"Ajuste",P1954&lt;&gt;"Resultado trading"),"⚠ El monto debe ser positivo","✓")))))))))))))))</f>
        <v/>
      </c>
      <c r="P1954" s="52">
        <f>IF(OR(B1954="",G1954=""),"",IF(C1954="","Gasto",C1954))</f>
        <v/>
      </c>
      <c r="Q1954" s="52">
        <f>IF(P1954="","",IF(J1954&lt;&gt;"",J1954,CuentaPred&amp;""))</f>
        <v/>
      </c>
      <c r="R1954" s="52">
        <f>IF(P1954="","",IF(ISNUMBER(I1954),I1954,TasaUSD))</f>
        <v/>
      </c>
      <c r="S1954" s="53">
        <f>IF(P1954="","",IF(H1954="USD",G1954*R1954,G1954))</f>
        <v/>
      </c>
      <c r="T1954" s="53">
        <f>IF(P1954="","",IF(H1954="USD",G1954,IF(R1954&gt;0,G1954/R1954,0)))</f>
        <v/>
      </c>
      <c r="U1954" s="53">
        <f>IF(P1954="","",IF(P1954="Gasto",S1954,IF(P1954="Reembolso",-S1954,0)))</f>
        <v/>
      </c>
      <c r="V1954" s="53">
        <f>IF(P1954="","",IF(P1954="Ingreso",S1954,0))</f>
        <v/>
      </c>
      <c r="W1954" s="53">
        <f>IF(P1954="","",IF(P1954="Resultado trading",S1954,0))</f>
        <v/>
      </c>
      <c r="X1954" s="52">
        <f>IF(OR(P1954="Gasto",P1954="Reembolso"),IF(M1954&lt;&gt;"",M1954,IFERROR(INDEX(catClasif,MATCH(D1954&amp;"|"&amp;E1954,catClave,0))&amp;"","Variable")),"")</f>
        <v/>
      </c>
      <c r="Y1954" s="52">
        <f>IF(P1954="","",IFERROR(INDEX(catGrupo,MATCH(D1954&amp;"|"&amp;E1954,catClave,0))&amp;"",""))</f>
        <v/>
      </c>
      <c r="Z1954" s="52">
        <f>IF(P1954="","",WEEKDAY(B1954,2))</f>
        <v/>
      </c>
      <c r="AA1954" s="52">
        <f>IF(P1954="","",IF(AND(P1954="Gasto",X1954="Variable",D1954&lt;&gt;catTrading,S1954&gt;0,S1954&lt;=Umbral),1,0))</f>
        <v/>
      </c>
      <c r="AB1954" s="52">
        <f>IF(OR(P1954="",Q1954=""),"",IFERROR(IF(INDEX(ctaVinc,MATCH(Q1954,ctaNombre,0))&amp;""&lt;&gt;"",INDEX(ctaVinc,MATCH(Q1954,ctaNombre,0))&amp;"",Q1954),Q1954))</f>
        <v/>
      </c>
      <c r="AC1954" s="52">
        <f>IF(OR(K1954="",AND(P1954&lt;&gt;"Transferencia",P1954&lt;&gt;"Pago tarjeta")),"",IFERROR(IF(INDEX(ctaVinc,MATCH(K1954,ctaNombre,0))&amp;""&lt;&gt;"",INDEX(ctaVinc,MATCH(K1954,ctaNombre,0))&amp;"",K1954),K1954))</f>
        <v/>
      </c>
      <c r="AD1954" s="52">
        <f>IF(AB1954="","",IFERROR(INDEX(ctaTipo,MATCH(AB1954,ctaNombre,0))&amp;"",""))</f>
        <v/>
      </c>
      <c r="AE1954" s="52">
        <f>IF(AC1954="","",IFERROR(INDEX(ctaTipo,MATCH(AC1954,ctaNombre,0))&amp;"",""))</f>
        <v/>
      </c>
      <c r="AF1954" s="53">
        <f>IF(OR(P1954="",AB1954=""),"",IF(OR(P1954="Gasto",P1954="Transferencia",P1954="Pago tarjeta"),-1,1)*IF(IFERROR(INDEX(ctaMoneda,MATCH(AB1954,ctaNombre,0))&amp;"","DOP")="USD",T1954,S1954))</f>
        <v/>
      </c>
      <c r="AG1954" s="53">
        <f>IF(AC1954="","",IF(IFERROR(INDEX(ctaMoneda,MATCH(AC1954,ctaNombre,0))&amp;"","DOP")="USD",T1954,S1954))</f>
        <v/>
      </c>
      <c r="AH1954" s="53">
        <f>IF(P1954="","",IF(AND(AD1954&lt;&gt;"",COUNTIFS(tcTipo,AD1954,tcLiq,"Sí")&gt;0),IF(OR(P1954="Gasto",P1954="Transferencia",P1954="Pago tarjeta"),-1,1)*S1954,0)+IF(AND(AE1954&lt;&gt;"",COUNTIFS(tcTipo,AE1954,tcLiq,"Sí")&gt;0),S1954,0))</f>
        <v/>
      </c>
      <c r="AI1954" s="52">
        <f>IF(OR(L1954="",P1954=""),"",IF(COUNTIFS(L$6:L1954,L1954,P$6:P1954,"?*")=1,MAX(AI$5:AI1953)+1,""))</f>
        <v/>
      </c>
    </row>
    <row r="1955">
      <c r="B1955" s="47" t="n"/>
      <c r="C1955" s="48" t="n"/>
      <c r="D1955" s="48" t="n"/>
      <c r="E1955" s="48" t="n"/>
      <c r="F1955" s="48" t="n"/>
      <c r="G1955" s="49" t="n"/>
      <c r="H1955" s="48" t="n"/>
      <c r="I1955" s="50" t="n"/>
      <c r="J1955" s="48" t="n"/>
      <c r="K1955" s="48" t="n"/>
      <c r="L1955" s="48" t="n"/>
      <c r="M1955" s="48" t="n"/>
      <c r="N1955" s="48" t="n"/>
      <c r="O1955" s="51">
        <f>IF(AND(B1955="",G1955="",C1955="",D1955="",J1955=""),"",IF(B1955="","⚠ Falta fecha",IF(G1955="","⚠ Falta monto",IF(Q1955="","⚠ Falta cuenta",IF(ISNA(MATCH(Q1955,ctaNombre,0)),"⚠ Cuenta no registrada",IF(AND(OR(P1955="Gasto",P1955="Reembolso"),D1955=""),"⚠ Falta categoría",IF(AND(D1955&lt;&gt;"",E1955&lt;&gt;"",ISNA(MATCH(D1955&amp;"|"&amp;E1955,catClave,0))),"⚠ Subcategoría no corresponde",IF(AND(OR(P1955="Transferencia",P1955="Pago tarjeta"),K1955=""),"⚠ Falta cuenta destino",IF(AND(K1955&lt;&gt;"",P1955&lt;&gt;"Transferencia",P1955&lt;&gt;"Pago tarjeta"),"⚠ Destino solo aplica a transferencias",IF(AND(K1955&lt;&gt;"",K1955=Q1955),"⚠ Origen igual a destino",IF(AND(K1955&lt;&gt;"",ISNA(MATCH(K1955,ctaNombre,0))),"⚠ Destino no registrado",IF(AND(P1955="Pago tarjeta",AE1955&lt;&gt;"Tarjeta de crédito"),"⚠ El destino debe ser tarjeta de crédito",IF(AND(P1955="Gasto",E1955="Depósitos y retiros"),"⚠ Usa tipo Transferencia",IF(AND(P1955="Resultado trading",AD1955&lt;&gt;"Cuenta de trading"),"⚠ Usa una cuenta de trading",IF(AND(G1955&lt;=0,P1955&lt;&gt;"Ajuste",P1955&lt;&gt;"Resultado trading"),"⚠ El monto debe ser positivo","✓")))))))))))))))</f>
        <v/>
      </c>
      <c r="P1955" s="52">
        <f>IF(OR(B1955="",G1955=""),"",IF(C1955="","Gasto",C1955))</f>
        <v/>
      </c>
      <c r="Q1955" s="52">
        <f>IF(P1955="","",IF(J1955&lt;&gt;"",J1955,CuentaPred&amp;""))</f>
        <v/>
      </c>
      <c r="R1955" s="52">
        <f>IF(P1955="","",IF(ISNUMBER(I1955),I1955,TasaUSD))</f>
        <v/>
      </c>
      <c r="S1955" s="53">
        <f>IF(P1955="","",IF(H1955="USD",G1955*R1955,G1955))</f>
        <v/>
      </c>
      <c r="T1955" s="53">
        <f>IF(P1955="","",IF(H1955="USD",G1955,IF(R1955&gt;0,G1955/R1955,0)))</f>
        <v/>
      </c>
      <c r="U1955" s="53">
        <f>IF(P1955="","",IF(P1955="Gasto",S1955,IF(P1955="Reembolso",-S1955,0)))</f>
        <v/>
      </c>
      <c r="V1955" s="53">
        <f>IF(P1955="","",IF(P1955="Ingreso",S1955,0))</f>
        <v/>
      </c>
      <c r="W1955" s="53">
        <f>IF(P1955="","",IF(P1955="Resultado trading",S1955,0))</f>
        <v/>
      </c>
      <c r="X1955" s="52">
        <f>IF(OR(P1955="Gasto",P1955="Reembolso"),IF(M1955&lt;&gt;"",M1955,IFERROR(INDEX(catClasif,MATCH(D1955&amp;"|"&amp;E1955,catClave,0))&amp;"","Variable")),"")</f>
        <v/>
      </c>
      <c r="Y1955" s="52">
        <f>IF(P1955="","",IFERROR(INDEX(catGrupo,MATCH(D1955&amp;"|"&amp;E1955,catClave,0))&amp;"",""))</f>
        <v/>
      </c>
      <c r="Z1955" s="52">
        <f>IF(P1955="","",WEEKDAY(B1955,2))</f>
        <v/>
      </c>
      <c r="AA1955" s="52">
        <f>IF(P1955="","",IF(AND(P1955="Gasto",X1955="Variable",D1955&lt;&gt;catTrading,S1955&gt;0,S1955&lt;=Umbral),1,0))</f>
        <v/>
      </c>
      <c r="AB1955" s="52">
        <f>IF(OR(P1955="",Q1955=""),"",IFERROR(IF(INDEX(ctaVinc,MATCH(Q1955,ctaNombre,0))&amp;""&lt;&gt;"",INDEX(ctaVinc,MATCH(Q1955,ctaNombre,0))&amp;"",Q1955),Q1955))</f>
        <v/>
      </c>
      <c r="AC1955" s="52">
        <f>IF(OR(K1955="",AND(P1955&lt;&gt;"Transferencia",P1955&lt;&gt;"Pago tarjeta")),"",IFERROR(IF(INDEX(ctaVinc,MATCH(K1955,ctaNombre,0))&amp;""&lt;&gt;"",INDEX(ctaVinc,MATCH(K1955,ctaNombre,0))&amp;"",K1955),K1955))</f>
        <v/>
      </c>
      <c r="AD1955" s="52">
        <f>IF(AB1955="","",IFERROR(INDEX(ctaTipo,MATCH(AB1955,ctaNombre,0))&amp;"",""))</f>
        <v/>
      </c>
      <c r="AE1955" s="52">
        <f>IF(AC1955="","",IFERROR(INDEX(ctaTipo,MATCH(AC1955,ctaNombre,0))&amp;"",""))</f>
        <v/>
      </c>
      <c r="AF1955" s="53">
        <f>IF(OR(P1955="",AB1955=""),"",IF(OR(P1955="Gasto",P1955="Transferencia",P1955="Pago tarjeta"),-1,1)*IF(IFERROR(INDEX(ctaMoneda,MATCH(AB1955,ctaNombre,0))&amp;"","DOP")="USD",T1955,S1955))</f>
        <v/>
      </c>
      <c r="AG1955" s="53">
        <f>IF(AC1955="","",IF(IFERROR(INDEX(ctaMoneda,MATCH(AC1955,ctaNombre,0))&amp;"","DOP")="USD",T1955,S1955))</f>
        <v/>
      </c>
      <c r="AH1955" s="53">
        <f>IF(P1955="","",IF(AND(AD1955&lt;&gt;"",COUNTIFS(tcTipo,AD1955,tcLiq,"Sí")&gt;0),IF(OR(P1955="Gasto",P1955="Transferencia",P1955="Pago tarjeta"),-1,1)*S1955,0)+IF(AND(AE1955&lt;&gt;"",COUNTIFS(tcTipo,AE1955,tcLiq,"Sí")&gt;0),S1955,0))</f>
        <v/>
      </c>
      <c r="AI1955" s="52">
        <f>IF(OR(L1955="",P1955=""),"",IF(COUNTIFS(L$6:L1955,L1955,P$6:P1955,"?*")=1,MAX(AI$5:AI1954)+1,""))</f>
        <v/>
      </c>
    </row>
    <row r="1956">
      <c r="B1956" s="47" t="n"/>
      <c r="C1956" s="48" t="n"/>
      <c r="D1956" s="48" t="n"/>
      <c r="E1956" s="48" t="n"/>
      <c r="F1956" s="48" t="n"/>
      <c r="G1956" s="49" t="n"/>
      <c r="H1956" s="48" t="n"/>
      <c r="I1956" s="50" t="n"/>
      <c r="J1956" s="48" t="n"/>
      <c r="K1956" s="48" t="n"/>
      <c r="L1956" s="48" t="n"/>
      <c r="M1956" s="48" t="n"/>
      <c r="N1956" s="48" t="n"/>
      <c r="O1956" s="51">
        <f>IF(AND(B1956="",G1956="",C1956="",D1956="",J1956=""),"",IF(B1956="","⚠ Falta fecha",IF(G1956="","⚠ Falta monto",IF(Q1956="","⚠ Falta cuenta",IF(ISNA(MATCH(Q1956,ctaNombre,0)),"⚠ Cuenta no registrada",IF(AND(OR(P1956="Gasto",P1956="Reembolso"),D1956=""),"⚠ Falta categoría",IF(AND(D1956&lt;&gt;"",E1956&lt;&gt;"",ISNA(MATCH(D1956&amp;"|"&amp;E1956,catClave,0))),"⚠ Subcategoría no corresponde",IF(AND(OR(P1956="Transferencia",P1956="Pago tarjeta"),K1956=""),"⚠ Falta cuenta destino",IF(AND(K1956&lt;&gt;"",P1956&lt;&gt;"Transferencia",P1956&lt;&gt;"Pago tarjeta"),"⚠ Destino solo aplica a transferencias",IF(AND(K1956&lt;&gt;"",K1956=Q1956),"⚠ Origen igual a destino",IF(AND(K1956&lt;&gt;"",ISNA(MATCH(K1956,ctaNombre,0))),"⚠ Destino no registrado",IF(AND(P1956="Pago tarjeta",AE1956&lt;&gt;"Tarjeta de crédito"),"⚠ El destino debe ser tarjeta de crédito",IF(AND(P1956="Gasto",E1956="Depósitos y retiros"),"⚠ Usa tipo Transferencia",IF(AND(P1956="Resultado trading",AD1956&lt;&gt;"Cuenta de trading"),"⚠ Usa una cuenta de trading",IF(AND(G1956&lt;=0,P1956&lt;&gt;"Ajuste",P1956&lt;&gt;"Resultado trading"),"⚠ El monto debe ser positivo","✓")))))))))))))))</f>
        <v/>
      </c>
      <c r="P1956" s="52">
        <f>IF(OR(B1956="",G1956=""),"",IF(C1956="","Gasto",C1956))</f>
        <v/>
      </c>
      <c r="Q1956" s="52">
        <f>IF(P1956="","",IF(J1956&lt;&gt;"",J1956,CuentaPred&amp;""))</f>
        <v/>
      </c>
      <c r="R1956" s="52">
        <f>IF(P1956="","",IF(ISNUMBER(I1956),I1956,TasaUSD))</f>
        <v/>
      </c>
      <c r="S1956" s="53">
        <f>IF(P1956="","",IF(H1956="USD",G1956*R1956,G1956))</f>
        <v/>
      </c>
      <c r="T1956" s="53">
        <f>IF(P1956="","",IF(H1956="USD",G1956,IF(R1956&gt;0,G1956/R1956,0)))</f>
        <v/>
      </c>
      <c r="U1956" s="53">
        <f>IF(P1956="","",IF(P1956="Gasto",S1956,IF(P1956="Reembolso",-S1956,0)))</f>
        <v/>
      </c>
      <c r="V1956" s="53">
        <f>IF(P1956="","",IF(P1956="Ingreso",S1956,0))</f>
        <v/>
      </c>
      <c r="W1956" s="53">
        <f>IF(P1956="","",IF(P1956="Resultado trading",S1956,0))</f>
        <v/>
      </c>
      <c r="X1956" s="52">
        <f>IF(OR(P1956="Gasto",P1956="Reembolso"),IF(M1956&lt;&gt;"",M1956,IFERROR(INDEX(catClasif,MATCH(D1956&amp;"|"&amp;E1956,catClave,0))&amp;"","Variable")),"")</f>
        <v/>
      </c>
      <c r="Y1956" s="52">
        <f>IF(P1956="","",IFERROR(INDEX(catGrupo,MATCH(D1956&amp;"|"&amp;E1956,catClave,0))&amp;"",""))</f>
        <v/>
      </c>
      <c r="Z1956" s="52">
        <f>IF(P1956="","",WEEKDAY(B1956,2))</f>
        <v/>
      </c>
      <c r="AA1956" s="52">
        <f>IF(P1956="","",IF(AND(P1956="Gasto",X1956="Variable",D1956&lt;&gt;catTrading,S1956&gt;0,S1956&lt;=Umbral),1,0))</f>
        <v/>
      </c>
      <c r="AB1956" s="52">
        <f>IF(OR(P1956="",Q1956=""),"",IFERROR(IF(INDEX(ctaVinc,MATCH(Q1956,ctaNombre,0))&amp;""&lt;&gt;"",INDEX(ctaVinc,MATCH(Q1956,ctaNombre,0))&amp;"",Q1956),Q1956))</f>
        <v/>
      </c>
      <c r="AC1956" s="52">
        <f>IF(OR(K1956="",AND(P1956&lt;&gt;"Transferencia",P1956&lt;&gt;"Pago tarjeta")),"",IFERROR(IF(INDEX(ctaVinc,MATCH(K1956,ctaNombre,0))&amp;""&lt;&gt;"",INDEX(ctaVinc,MATCH(K1956,ctaNombre,0))&amp;"",K1956),K1956))</f>
        <v/>
      </c>
      <c r="AD1956" s="52">
        <f>IF(AB1956="","",IFERROR(INDEX(ctaTipo,MATCH(AB1956,ctaNombre,0))&amp;"",""))</f>
        <v/>
      </c>
      <c r="AE1956" s="52">
        <f>IF(AC1956="","",IFERROR(INDEX(ctaTipo,MATCH(AC1956,ctaNombre,0))&amp;"",""))</f>
        <v/>
      </c>
      <c r="AF1956" s="53">
        <f>IF(OR(P1956="",AB1956=""),"",IF(OR(P1956="Gasto",P1956="Transferencia",P1956="Pago tarjeta"),-1,1)*IF(IFERROR(INDEX(ctaMoneda,MATCH(AB1956,ctaNombre,0))&amp;"","DOP")="USD",T1956,S1956))</f>
        <v/>
      </c>
      <c r="AG1956" s="53">
        <f>IF(AC1956="","",IF(IFERROR(INDEX(ctaMoneda,MATCH(AC1956,ctaNombre,0))&amp;"","DOP")="USD",T1956,S1956))</f>
        <v/>
      </c>
      <c r="AH1956" s="53">
        <f>IF(P1956="","",IF(AND(AD1956&lt;&gt;"",COUNTIFS(tcTipo,AD1956,tcLiq,"Sí")&gt;0),IF(OR(P1956="Gasto",P1956="Transferencia",P1956="Pago tarjeta"),-1,1)*S1956,0)+IF(AND(AE1956&lt;&gt;"",COUNTIFS(tcTipo,AE1956,tcLiq,"Sí")&gt;0),S1956,0))</f>
        <v/>
      </c>
      <c r="AI1956" s="52">
        <f>IF(OR(L1956="",P1956=""),"",IF(COUNTIFS(L$6:L1956,L1956,P$6:P1956,"?*")=1,MAX(AI$5:AI1955)+1,""))</f>
        <v/>
      </c>
    </row>
    <row r="1957">
      <c r="B1957" s="47" t="n"/>
      <c r="C1957" s="48" t="n"/>
      <c r="D1957" s="48" t="n"/>
      <c r="E1957" s="48" t="n"/>
      <c r="F1957" s="48" t="n"/>
      <c r="G1957" s="49" t="n"/>
      <c r="H1957" s="48" t="n"/>
      <c r="I1957" s="50" t="n"/>
      <c r="J1957" s="48" t="n"/>
      <c r="K1957" s="48" t="n"/>
      <c r="L1957" s="48" t="n"/>
      <c r="M1957" s="48" t="n"/>
      <c r="N1957" s="48" t="n"/>
      <c r="O1957" s="51">
        <f>IF(AND(B1957="",G1957="",C1957="",D1957="",J1957=""),"",IF(B1957="","⚠ Falta fecha",IF(G1957="","⚠ Falta monto",IF(Q1957="","⚠ Falta cuenta",IF(ISNA(MATCH(Q1957,ctaNombre,0)),"⚠ Cuenta no registrada",IF(AND(OR(P1957="Gasto",P1957="Reembolso"),D1957=""),"⚠ Falta categoría",IF(AND(D1957&lt;&gt;"",E1957&lt;&gt;"",ISNA(MATCH(D1957&amp;"|"&amp;E1957,catClave,0))),"⚠ Subcategoría no corresponde",IF(AND(OR(P1957="Transferencia",P1957="Pago tarjeta"),K1957=""),"⚠ Falta cuenta destino",IF(AND(K1957&lt;&gt;"",P1957&lt;&gt;"Transferencia",P1957&lt;&gt;"Pago tarjeta"),"⚠ Destino solo aplica a transferencias",IF(AND(K1957&lt;&gt;"",K1957=Q1957),"⚠ Origen igual a destino",IF(AND(K1957&lt;&gt;"",ISNA(MATCH(K1957,ctaNombre,0))),"⚠ Destino no registrado",IF(AND(P1957="Pago tarjeta",AE1957&lt;&gt;"Tarjeta de crédito"),"⚠ El destino debe ser tarjeta de crédito",IF(AND(P1957="Gasto",E1957="Depósitos y retiros"),"⚠ Usa tipo Transferencia",IF(AND(P1957="Resultado trading",AD1957&lt;&gt;"Cuenta de trading"),"⚠ Usa una cuenta de trading",IF(AND(G1957&lt;=0,P1957&lt;&gt;"Ajuste",P1957&lt;&gt;"Resultado trading"),"⚠ El monto debe ser positivo","✓")))))))))))))))</f>
        <v/>
      </c>
      <c r="P1957" s="52">
        <f>IF(OR(B1957="",G1957=""),"",IF(C1957="","Gasto",C1957))</f>
        <v/>
      </c>
      <c r="Q1957" s="52">
        <f>IF(P1957="","",IF(J1957&lt;&gt;"",J1957,CuentaPred&amp;""))</f>
        <v/>
      </c>
      <c r="R1957" s="52">
        <f>IF(P1957="","",IF(ISNUMBER(I1957),I1957,TasaUSD))</f>
        <v/>
      </c>
      <c r="S1957" s="53">
        <f>IF(P1957="","",IF(H1957="USD",G1957*R1957,G1957))</f>
        <v/>
      </c>
      <c r="T1957" s="53">
        <f>IF(P1957="","",IF(H1957="USD",G1957,IF(R1957&gt;0,G1957/R1957,0)))</f>
        <v/>
      </c>
      <c r="U1957" s="53">
        <f>IF(P1957="","",IF(P1957="Gasto",S1957,IF(P1957="Reembolso",-S1957,0)))</f>
        <v/>
      </c>
      <c r="V1957" s="53">
        <f>IF(P1957="","",IF(P1957="Ingreso",S1957,0))</f>
        <v/>
      </c>
      <c r="W1957" s="53">
        <f>IF(P1957="","",IF(P1957="Resultado trading",S1957,0))</f>
        <v/>
      </c>
      <c r="X1957" s="52">
        <f>IF(OR(P1957="Gasto",P1957="Reembolso"),IF(M1957&lt;&gt;"",M1957,IFERROR(INDEX(catClasif,MATCH(D1957&amp;"|"&amp;E1957,catClave,0))&amp;"","Variable")),"")</f>
        <v/>
      </c>
      <c r="Y1957" s="52">
        <f>IF(P1957="","",IFERROR(INDEX(catGrupo,MATCH(D1957&amp;"|"&amp;E1957,catClave,0))&amp;"",""))</f>
        <v/>
      </c>
      <c r="Z1957" s="52">
        <f>IF(P1957="","",WEEKDAY(B1957,2))</f>
        <v/>
      </c>
      <c r="AA1957" s="52">
        <f>IF(P1957="","",IF(AND(P1957="Gasto",X1957="Variable",D1957&lt;&gt;catTrading,S1957&gt;0,S1957&lt;=Umbral),1,0))</f>
        <v/>
      </c>
      <c r="AB1957" s="52">
        <f>IF(OR(P1957="",Q1957=""),"",IFERROR(IF(INDEX(ctaVinc,MATCH(Q1957,ctaNombre,0))&amp;""&lt;&gt;"",INDEX(ctaVinc,MATCH(Q1957,ctaNombre,0))&amp;"",Q1957),Q1957))</f>
        <v/>
      </c>
      <c r="AC1957" s="52">
        <f>IF(OR(K1957="",AND(P1957&lt;&gt;"Transferencia",P1957&lt;&gt;"Pago tarjeta")),"",IFERROR(IF(INDEX(ctaVinc,MATCH(K1957,ctaNombre,0))&amp;""&lt;&gt;"",INDEX(ctaVinc,MATCH(K1957,ctaNombre,0))&amp;"",K1957),K1957))</f>
        <v/>
      </c>
      <c r="AD1957" s="52">
        <f>IF(AB1957="","",IFERROR(INDEX(ctaTipo,MATCH(AB1957,ctaNombre,0))&amp;"",""))</f>
        <v/>
      </c>
      <c r="AE1957" s="52">
        <f>IF(AC1957="","",IFERROR(INDEX(ctaTipo,MATCH(AC1957,ctaNombre,0))&amp;"",""))</f>
        <v/>
      </c>
      <c r="AF1957" s="53">
        <f>IF(OR(P1957="",AB1957=""),"",IF(OR(P1957="Gasto",P1957="Transferencia",P1957="Pago tarjeta"),-1,1)*IF(IFERROR(INDEX(ctaMoneda,MATCH(AB1957,ctaNombre,0))&amp;"","DOP")="USD",T1957,S1957))</f>
        <v/>
      </c>
      <c r="AG1957" s="53">
        <f>IF(AC1957="","",IF(IFERROR(INDEX(ctaMoneda,MATCH(AC1957,ctaNombre,0))&amp;"","DOP")="USD",T1957,S1957))</f>
        <v/>
      </c>
      <c r="AH1957" s="53">
        <f>IF(P1957="","",IF(AND(AD1957&lt;&gt;"",COUNTIFS(tcTipo,AD1957,tcLiq,"Sí")&gt;0),IF(OR(P1957="Gasto",P1957="Transferencia",P1957="Pago tarjeta"),-1,1)*S1957,0)+IF(AND(AE1957&lt;&gt;"",COUNTIFS(tcTipo,AE1957,tcLiq,"Sí")&gt;0),S1957,0))</f>
        <v/>
      </c>
      <c r="AI1957" s="52">
        <f>IF(OR(L1957="",P1957=""),"",IF(COUNTIFS(L$6:L1957,L1957,P$6:P1957,"?*")=1,MAX(AI$5:AI1956)+1,""))</f>
        <v/>
      </c>
    </row>
    <row r="1958">
      <c r="B1958" s="47" t="n"/>
      <c r="C1958" s="48" t="n"/>
      <c r="D1958" s="48" t="n"/>
      <c r="E1958" s="48" t="n"/>
      <c r="F1958" s="48" t="n"/>
      <c r="G1958" s="49" t="n"/>
      <c r="H1958" s="48" t="n"/>
      <c r="I1958" s="50" t="n"/>
      <c r="J1958" s="48" t="n"/>
      <c r="K1958" s="48" t="n"/>
      <c r="L1958" s="48" t="n"/>
      <c r="M1958" s="48" t="n"/>
      <c r="N1958" s="48" t="n"/>
      <c r="O1958" s="51">
        <f>IF(AND(B1958="",G1958="",C1958="",D1958="",J1958=""),"",IF(B1958="","⚠ Falta fecha",IF(G1958="","⚠ Falta monto",IF(Q1958="","⚠ Falta cuenta",IF(ISNA(MATCH(Q1958,ctaNombre,0)),"⚠ Cuenta no registrada",IF(AND(OR(P1958="Gasto",P1958="Reembolso"),D1958=""),"⚠ Falta categoría",IF(AND(D1958&lt;&gt;"",E1958&lt;&gt;"",ISNA(MATCH(D1958&amp;"|"&amp;E1958,catClave,0))),"⚠ Subcategoría no corresponde",IF(AND(OR(P1958="Transferencia",P1958="Pago tarjeta"),K1958=""),"⚠ Falta cuenta destino",IF(AND(K1958&lt;&gt;"",P1958&lt;&gt;"Transferencia",P1958&lt;&gt;"Pago tarjeta"),"⚠ Destino solo aplica a transferencias",IF(AND(K1958&lt;&gt;"",K1958=Q1958),"⚠ Origen igual a destino",IF(AND(K1958&lt;&gt;"",ISNA(MATCH(K1958,ctaNombre,0))),"⚠ Destino no registrado",IF(AND(P1958="Pago tarjeta",AE1958&lt;&gt;"Tarjeta de crédito"),"⚠ El destino debe ser tarjeta de crédito",IF(AND(P1958="Gasto",E1958="Depósitos y retiros"),"⚠ Usa tipo Transferencia",IF(AND(P1958="Resultado trading",AD1958&lt;&gt;"Cuenta de trading"),"⚠ Usa una cuenta de trading",IF(AND(G1958&lt;=0,P1958&lt;&gt;"Ajuste",P1958&lt;&gt;"Resultado trading"),"⚠ El monto debe ser positivo","✓")))))))))))))))</f>
        <v/>
      </c>
      <c r="P1958" s="52">
        <f>IF(OR(B1958="",G1958=""),"",IF(C1958="","Gasto",C1958))</f>
        <v/>
      </c>
      <c r="Q1958" s="52">
        <f>IF(P1958="","",IF(J1958&lt;&gt;"",J1958,CuentaPred&amp;""))</f>
        <v/>
      </c>
      <c r="R1958" s="52">
        <f>IF(P1958="","",IF(ISNUMBER(I1958),I1958,TasaUSD))</f>
        <v/>
      </c>
      <c r="S1958" s="53">
        <f>IF(P1958="","",IF(H1958="USD",G1958*R1958,G1958))</f>
        <v/>
      </c>
      <c r="T1958" s="53">
        <f>IF(P1958="","",IF(H1958="USD",G1958,IF(R1958&gt;0,G1958/R1958,0)))</f>
        <v/>
      </c>
      <c r="U1958" s="53">
        <f>IF(P1958="","",IF(P1958="Gasto",S1958,IF(P1958="Reembolso",-S1958,0)))</f>
        <v/>
      </c>
      <c r="V1958" s="53">
        <f>IF(P1958="","",IF(P1958="Ingreso",S1958,0))</f>
        <v/>
      </c>
      <c r="W1958" s="53">
        <f>IF(P1958="","",IF(P1958="Resultado trading",S1958,0))</f>
        <v/>
      </c>
      <c r="X1958" s="52">
        <f>IF(OR(P1958="Gasto",P1958="Reembolso"),IF(M1958&lt;&gt;"",M1958,IFERROR(INDEX(catClasif,MATCH(D1958&amp;"|"&amp;E1958,catClave,0))&amp;"","Variable")),"")</f>
        <v/>
      </c>
      <c r="Y1958" s="52">
        <f>IF(P1958="","",IFERROR(INDEX(catGrupo,MATCH(D1958&amp;"|"&amp;E1958,catClave,0))&amp;"",""))</f>
        <v/>
      </c>
      <c r="Z1958" s="52">
        <f>IF(P1958="","",WEEKDAY(B1958,2))</f>
        <v/>
      </c>
      <c r="AA1958" s="52">
        <f>IF(P1958="","",IF(AND(P1958="Gasto",X1958="Variable",D1958&lt;&gt;catTrading,S1958&gt;0,S1958&lt;=Umbral),1,0))</f>
        <v/>
      </c>
      <c r="AB1958" s="52">
        <f>IF(OR(P1958="",Q1958=""),"",IFERROR(IF(INDEX(ctaVinc,MATCH(Q1958,ctaNombre,0))&amp;""&lt;&gt;"",INDEX(ctaVinc,MATCH(Q1958,ctaNombre,0))&amp;"",Q1958),Q1958))</f>
        <v/>
      </c>
      <c r="AC1958" s="52">
        <f>IF(OR(K1958="",AND(P1958&lt;&gt;"Transferencia",P1958&lt;&gt;"Pago tarjeta")),"",IFERROR(IF(INDEX(ctaVinc,MATCH(K1958,ctaNombre,0))&amp;""&lt;&gt;"",INDEX(ctaVinc,MATCH(K1958,ctaNombre,0))&amp;"",K1958),K1958))</f>
        <v/>
      </c>
      <c r="AD1958" s="52">
        <f>IF(AB1958="","",IFERROR(INDEX(ctaTipo,MATCH(AB1958,ctaNombre,0))&amp;"",""))</f>
        <v/>
      </c>
      <c r="AE1958" s="52">
        <f>IF(AC1958="","",IFERROR(INDEX(ctaTipo,MATCH(AC1958,ctaNombre,0))&amp;"",""))</f>
        <v/>
      </c>
      <c r="AF1958" s="53">
        <f>IF(OR(P1958="",AB1958=""),"",IF(OR(P1958="Gasto",P1958="Transferencia",P1958="Pago tarjeta"),-1,1)*IF(IFERROR(INDEX(ctaMoneda,MATCH(AB1958,ctaNombre,0))&amp;"","DOP")="USD",T1958,S1958))</f>
        <v/>
      </c>
      <c r="AG1958" s="53">
        <f>IF(AC1958="","",IF(IFERROR(INDEX(ctaMoneda,MATCH(AC1958,ctaNombre,0))&amp;"","DOP")="USD",T1958,S1958))</f>
        <v/>
      </c>
      <c r="AH1958" s="53">
        <f>IF(P1958="","",IF(AND(AD1958&lt;&gt;"",COUNTIFS(tcTipo,AD1958,tcLiq,"Sí")&gt;0),IF(OR(P1958="Gasto",P1958="Transferencia",P1958="Pago tarjeta"),-1,1)*S1958,0)+IF(AND(AE1958&lt;&gt;"",COUNTIFS(tcTipo,AE1958,tcLiq,"Sí")&gt;0),S1958,0))</f>
        <v/>
      </c>
      <c r="AI1958" s="52">
        <f>IF(OR(L1958="",P1958=""),"",IF(COUNTIFS(L$6:L1958,L1958,P$6:P1958,"?*")=1,MAX(AI$5:AI1957)+1,""))</f>
        <v/>
      </c>
    </row>
    <row r="1959">
      <c r="B1959" s="47" t="n"/>
      <c r="C1959" s="48" t="n"/>
      <c r="D1959" s="48" t="n"/>
      <c r="E1959" s="48" t="n"/>
      <c r="F1959" s="48" t="n"/>
      <c r="G1959" s="49" t="n"/>
      <c r="H1959" s="48" t="n"/>
      <c r="I1959" s="50" t="n"/>
      <c r="J1959" s="48" t="n"/>
      <c r="K1959" s="48" t="n"/>
      <c r="L1959" s="48" t="n"/>
      <c r="M1959" s="48" t="n"/>
      <c r="N1959" s="48" t="n"/>
      <c r="O1959" s="51">
        <f>IF(AND(B1959="",G1959="",C1959="",D1959="",J1959=""),"",IF(B1959="","⚠ Falta fecha",IF(G1959="","⚠ Falta monto",IF(Q1959="","⚠ Falta cuenta",IF(ISNA(MATCH(Q1959,ctaNombre,0)),"⚠ Cuenta no registrada",IF(AND(OR(P1959="Gasto",P1959="Reembolso"),D1959=""),"⚠ Falta categoría",IF(AND(D1959&lt;&gt;"",E1959&lt;&gt;"",ISNA(MATCH(D1959&amp;"|"&amp;E1959,catClave,0))),"⚠ Subcategoría no corresponde",IF(AND(OR(P1959="Transferencia",P1959="Pago tarjeta"),K1959=""),"⚠ Falta cuenta destino",IF(AND(K1959&lt;&gt;"",P1959&lt;&gt;"Transferencia",P1959&lt;&gt;"Pago tarjeta"),"⚠ Destino solo aplica a transferencias",IF(AND(K1959&lt;&gt;"",K1959=Q1959),"⚠ Origen igual a destino",IF(AND(K1959&lt;&gt;"",ISNA(MATCH(K1959,ctaNombre,0))),"⚠ Destino no registrado",IF(AND(P1959="Pago tarjeta",AE1959&lt;&gt;"Tarjeta de crédito"),"⚠ El destino debe ser tarjeta de crédito",IF(AND(P1959="Gasto",E1959="Depósitos y retiros"),"⚠ Usa tipo Transferencia",IF(AND(P1959="Resultado trading",AD1959&lt;&gt;"Cuenta de trading"),"⚠ Usa una cuenta de trading",IF(AND(G1959&lt;=0,P1959&lt;&gt;"Ajuste",P1959&lt;&gt;"Resultado trading"),"⚠ El monto debe ser positivo","✓")))))))))))))))</f>
        <v/>
      </c>
      <c r="P1959" s="52">
        <f>IF(OR(B1959="",G1959=""),"",IF(C1959="","Gasto",C1959))</f>
        <v/>
      </c>
      <c r="Q1959" s="52">
        <f>IF(P1959="","",IF(J1959&lt;&gt;"",J1959,CuentaPred&amp;""))</f>
        <v/>
      </c>
      <c r="R1959" s="52">
        <f>IF(P1959="","",IF(ISNUMBER(I1959),I1959,TasaUSD))</f>
        <v/>
      </c>
      <c r="S1959" s="53">
        <f>IF(P1959="","",IF(H1959="USD",G1959*R1959,G1959))</f>
        <v/>
      </c>
      <c r="T1959" s="53">
        <f>IF(P1959="","",IF(H1959="USD",G1959,IF(R1959&gt;0,G1959/R1959,0)))</f>
        <v/>
      </c>
      <c r="U1959" s="53">
        <f>IF(P1959="","",IF(P1959="Gasto",S1959,IF(P1959="Reembolso",-S1959,0)))</f>
        <v/>
      </c>
      <c r="V1959" s="53">
        <f>IF(P1959="","",IF(P1959="Ingreso",S1959,0))</f>
        <v/>
      </c>
      <c r="W1959" s="53">
        <f>IF(P1959="","",IF(P1959="Resultado trading",S1959,0))</f>
        <v/>
      </c>
      <c r="X1959" s="52">
        <f>IF(OR(P1959="Gasto",P1959="Reembolso"),IF(M1959&lt;&gt;"",M1959,IFERROR(INDEX(catClasif,MATCH(D1959&amp;"|"&amp;E1959,catClave,0))&amp;"","Variable")),"")</f>
        <v/>
      </c>
      <c r="Y1959" s="52">
        <f>IF(P1959="","",IFERROR(INDEX(catGrupo,MATCH(D1959&amp;"|"&amp;E1959,catClave,0))&amp;"",""))</f>
        <v/>
      </c>
      <c r="Z1959" s="52">
        <f>IF(P1959="","",WEEKDAY(B1959,2))</f>
        <v/>
      </c>
      <c r="AA1959" s="52">
        <f>IF(P1959="","",IF(AND(P1959="Gasto",X1959="Variable",D1959&lt;&gt;catTrading,S1959&gt;0,S1959&lt;=Umbral),1,0))</f>
        <v/>
      </c>
      <c r="AB1959" s="52">
        <f>IF(OR(P1959="",Q1959=""),"",IFERROR(IF(INDEX(ctaVinc,MATCH(Q1959,ctaNombre,0))&amp;""&lt;&gt;"",INDEX(ctaVinc,MATCH(Q1959,ctaNombre,0))&amp;"",Q1959),Q1959))</f>
        <v/>
      </c>
      <c r="AC1959" s="52">
        <f>IF(OR(K1959="",AND(P1959&lt;&gt;"Transferencia",P1959&lt;&gt;"Pago tarjeta")),"",IFERROR(IF(INDEX(ctaVinc,MATCH(K1959,ctaNombre,0))&amp;""&lt;&gt;"",INDEX(ctaVinc,MATCH(K1959,ctaNombre,0))&amp;"",K1959),K1959))</f>
        <v/>
      </c>
      <c r="AD1959" s="52">
        <f>IF(AB1959="","",IFERROR(INDEX(ctaTipo,MATCH(AB1959,ctaNombre,0))&amp;"",""))</f>
        <v/>
      </c>
      <c r="AE1959" s="52">
        <f>IF(AC1959="","",IFERROR(INDEX(ctaTipo,MATCH(AC1959,ctaNombre,0))&amp;"",""))</f>
        <v/>
      </c>
      <c r="AF1959" s="53">
        <f>IF(OR(P1959="",AB1959=""),"",IF(OR(P1959="Gasto",P1959="Transferencia",P1959="Pago tarjeta"),-1,1)*IF(IFERROR(INDEX(ctaMoneda,MATCH(AB1959,ctaNombre,0))&amp;"","DOP")="USD",T1959,S1959))</f>
        <v/>
      </c>
      <c r="AG1959" s="53">
        <f>IF(AC1959="","",IF(IFERROR(INDEX(ctaMoneda,MATCH(AC1959,ctaNombre,0))&amp;"","DOP")="USD",T1959,S1959))</f>
        <v/>
      </c>
      <c r="AH1959" s="53">
        <f>IF(P1959="","",IF(AND(AD1959&lt;&gt;"",COUNTIFS(tcTipo,AD1959,tcLiq,"Sí")&gt;0),IF(OR(P1959="Gasto",P1959="Transferencia",P1959="Pago tarjeta"),-1,1)*S1959,0)+IF(AND(AE1959&lt;&gt;"",COUNTIFS(tcTipo,AE1959,tcLiq,"Sí")&gt;0),S1959,0))</f>
        <v/>
      </c>
      <c r="AI1959" s="52">
        <f>IF(OR(L1959="",P1959=""),"",IF(COUNTIFS(L$6:L1959,L1959,P$6:P1959,"?*")=1,MAX(AI$5:AI1958)+1,""))</f>
        <v/>
      </c>
    </row>
    <row r="1960">
      <c r="B1960" s="47" t="n"/>
      <c r="C1960" s="48" t="n"/>
      <c r="D1960" s="48" t="n"/>
      <c r="E1960" s="48" t="n"/>
      <c r="F1960" s="48" t="n"/>
      <c r="G1960" s="49" t="n"/>
      <c r="H1960" s="48" t="n"/>
      <c r="I1960" s="50" t="n"/>
      <c r="J1960" s="48" t="n"/>
      <c r="K1960" s="48" t="n"/>
      <c r="L1960" s="48" t="n"/>
      <c r="M1960" s="48" t="n"/>
      <c r="N1960" s="48" t="n"/>
      <c r="O1960" s="51">
        <f>IF(AND(B1960="",G1960="",C1960="",D1960="",J1960=""),"",IF(B1960="","⚠ Falta fecha",IF(G1960="","⚠ Falta monto",IF(Q1960="","⚠ Falta cuenta",IF(ISNA(MATCH(Q1960,ctaNombre,0)),"⚠ Cuenta no registrada",IF(AND(OR(P1960="Gasto",P1960="Reembolso"),D1960=""),"⚠ Falta categoría",IF(AND(D1960&lt;&gt;"",E1960&lt;&gt;"",ISNA(MATCH(D1960&amp;"|"&amp;E1960,catClave,0))),"⚠ Subcategoría no corresponde",IF(AND(OR(P1960="Transferencia",P1960="Pago tarjeta"),K1960=""),"⚠ Falta cuenta destino",IF(AND(K1960&lt;&gt;"",P1960&lt;&gt;"Transferencia",P1960&lt;&gt;"Pago tarjeta"),"⚠ Destino solo aplica a transferencias",IF(AND(K1960&lt;&gt;"",K1960=Q1960),"⚠ Origen igual a destino",IF(AND(K1960&lt;&gt;"",ISNA(MATCH(K1960,ctaNombre,0))),"⚠ Destino no registrado",IF(AND(P1960="Pago tarjeta",AE1960&lt;&gt;"Tarjeta de crédito"),"⚠ El destino debe ser tarjeta de crédito",IF(AND(P1960="Gasto",E1960="Depósitos y retiros"),"⚠ Usa tipo Transferencia",IF(AND(P1960="Resultado trading",AD1960&lt;&gt;"Cuenta de trading"),"⚠ Usa una cuenta de trading",IF(AND(G1960&lt;=0,P1960&lt;&gt;"Ajuste",P1960&lt;&gt;"Resultado trading"),"⚠ El monto debe ser positivo","✓")))))))))))))))</f>
        <v/>
      </c>
      <c r="P1960" s="52">
        <f>IF(OR(B1960="",G1960=""),"",IF(C1960="","Gasto",C1960))</f>
        <v/>
      </c>
      <c r="Q1960" s="52">
        <f>IF(P1960="","",IF(J1960&lt;&gt;"",J1960,CuentaPred&amp;""))</f>
        <v/>
      </c>
      <c r="R1960" s="52">
        <f>IF(P1960="","",IF(ISNUMBER(I1960),I1960,TasaUSD))</f>
        <v/>
      </c>
      <c r="S1960" s="53">
        <f>IF(P1960="","",IF(H1960="USD",G1960*R1960,G1960))</f>
        <v/>
      </c>
      <c r="T1960" s="53">
        <f>IF(P1960="","",IF(H1960="USD",G1960,IF(R1960&gt;0,G1960/R1960,0)))</f>
        <v/>
      </c>
      <c r="U1960" s="53">
        <f>IF(P1960="","",IF(P1960="Gasto",S1960,IF(P1960="Reembolso",-S1960,0)))</f>
        <v/>
      </c>
      <c r="V1960" s="53">
        <f>IF(P1960="","",IF(P1960="Ingreso",S1960,0))</f>
        <v/>
      </c>
      <c r="W1960" s="53">
        <f>IF(P1960="","",IF(P1960="Resultado trading",S1960,0))</f>
        <v/>
      </c>
      <c r="X1960" s="52">
        <f>IF(OR(P1960="Gasto",P1960="Reembolso"),IF(M1960&lt;&gt;"",M1960,IFERROR(INDEX(catClasif,MATCH(D1960&amp;"|"&amp;E1960,catClave,0))&amp;"","Variable")),"")</f>
        <v/>
      </c>
      <c r="Y1960" s="52">
        <f>IF(P1960="","",IFERROR(INDEX(catGrupo,MATCH(D1960&amp;"|"&amp;E1960,catClave,0))&amp;"",""))</f>
        <v/>
      </c>
      <c r="Z1960" s="52">
        <f>IF(P1960="","",WEEKDAY(B1960,2))</f>
        <v/>
      </c>
      <c r="AA1960" s="52">
        <f>IF(P1960="","",IF(AND(P1960="Gasto",X1960="Variable",D1960&lt;&gt;catTrading,S1960&gt;0,S1960&lt;=Umbral),1,0))</f>
        <v/>
      </c>
      <c r="AB1960" s="52">
        <f>IF(OR(P1960="",Q1960=""),"",IFERROR(IF(INDEX(ctaVinc,MATCH(Q1960,ctaNombre,0))&amp;""&lt;&gt;"",INDEX(ctaVinc,MATCH(Q1960,ctaNombre,0))&amp;"",Q1960),Q1960))</f>
        <v/>
      </c>
      <c r="AC1960" s="52">
        <f>IF(OR(K1960="",AND(P1960&lt;&gt;"Transferencia",P1960&lt;&gt;"Pago tarjeta")),"",IFERROR(IF(INDEX(ctaVinc,MATCH(K1960,ctaNombre,0))&amp;""&lt;&gt;"",INDEX(ctaVinc,MATCH(K1960,ctaNombre,0))&amp;"",K1960),K1960))</f>
        <v/>
      </c>
      <c r="AD1960" s="52">
        <f>IF(AB1960="","",IFERROR(INDEX(ctaTipo,MATCH(AB1960,ctaNombre,0))&amp;"",""))</f>
        <v/>
      </c>
      <c r="AE1960" s="52">
        <f>IF(AC1960="","",IFERROR(INDEX(ctaTipo,MATCH(AC1960,ctaNombre,0))&amp;"",""))</f>
        <v/>
      </c>
      <c r="AF1960" s="53">
        <f>IF(OR(P1960="",AB1960=""),"",IF(OR(P1960="Gasto",P1960="Transferencia",P1960="Pago tarjeta"),-1,1)*IF(IFERROR(INDEX(ctaMoneda,MATCH(AB1960,ctaNombre,0))&amp;"","DOP")="USD",T1960,S1960))</f>
        <v/>
      </c>
      <c r="AG1960" s="53">
        <f>IF(AC1960="","",IF(IFERROR(INDEX(ctaMoneda,MATCH(AC1960,ctaNombre,0))&amp;"","DOP")="USD",T1960,S1960))</f>
        <v/>
      </c>
      <c r="AH1960" s="53">
        <f>IF(P1960="","",IF(AND(AD1960&lt;&gt;"",COUNTIFS(tcTipo,AD1960,tcLiq,"Sí")&gt;0),IF(OR(P1960="Gasto",P1960="Transferencia",P1960="Pago tarjeta"),-1,1)*S1960,0)+IF(AND(AE1960&lt;&gt;"",COUNTIFS(tcTipo,AE1960,tcLiq,"Sí")&gt;0),S1960,0))</f>
        <v/>
      </c>
      <c r="AI1960" s="52">
        <f>IF(OR(L1960="",P1960=""),"",IF(COUNTIFS(L$6:L1960,L1960,P$6:P1960,"?*")=1,MAX(AI$5:AI1959)+1,""))</f>
        <v/>
      </c>
    </row>
    <row r="1961">
      <c r="B1961" s="47" t="n"/>
      <c r="C1961" s="48" t="n"/>
      <c r="D1961" s="48" t="n"/>
      <c r="E1961" s="48" t="n"/>
      <c r="F1961" s="48" t="n"/>
      <c r="G1961" s="49" t="n"/>
      <c r="H1961" s="48" t="n"/>
      <c r="I1961" s="50" t="n"/>
      <c r="J1961" s="48" t="n"/>
      <c r="K1961" s="48" t="n"/>
      <c r="L1961" s="48" t="n"/>
      <c r="M1961" s="48" t="n"/>
      <c r="N1961" s="48" t="n"/>
      <c r="O1961" s="51">
        <f>IF(AND(B1961="",G1961="",C1961="",D1961="",J1961=""),"",IF(B1961="","⚠ Falta fecha",IF(G1961="","⚠ Falta monto",IF(Q1961="","⚠ Falta cuenta",IF(ISNA(MATCH(Q1961,ctaNombre,0)),"⚠ Cuenta no registrada",IF(AND(OR(P1961="Gasto",P1961="Reembolso"),D1961=""),"⚠ Falta categoría",IF(AND(D1961&lt;&gt;"",E1961&lt;&gt;"",ISNA(MATCH(D1961&amp;"|"&amp;E1961,catClave,0))),"⚠ Subcategoría no corresponde",IF(AND(OR(P1961="Transferencia",P1961="Pago tarjeta"),K1961=""),"⚠ Falta cuenta destino",IF(AND(K1961&lt;&gt;"",P1961&lt;&gt;"Transferencia",P1961&lt;&gt;"Pago tarjeta"),"⚠ Destino solo aplica a transferencias",IF(AND(K1961&lt;&gt;"",K1961=Q1961),"⚠ Origen igual a destino",IF(AND(K1961&lt;&gt;"",ISNA(MATCH(K1961,ctaNombre,0))),"⚠ Destino no registrado",IF(AND(P1961="Pago tarjeta",AE1961&lt;&gt;"Tarjeta de crédito"),"⚠ El destino debe ser tarjeta de crédito",IF(AND(P1961="Gasto",E1961="Depósitos y retiros"),"⚠ Usa tipo Transferencia",IF(AND(P1961="Resultado trading",AD1961&lt;&gt;"Cuenta de trading"),"⚠ Usa una cuenta de trading",IF(AND(G1961&lt;=0,P1961&lt;&gt;"Ajuste",P1961&lt;&gt;"Resultado trading"),"⚠ El monto debe ser positivo","✓")))))))))))))))</f>
        <v/>
      </c>
      <c r="P1961" s="52">
        <f>IF(OR(B1961="",G1961=""),"",IF(C1961="","Gasto",C1961))</f>
        <v/>
      </c>
      <c r="Q1961" s="52">
        <f>IF(P1961="","",IF(J1961&lt;&gt;"",J1961,CuentaPred&amp;""))</f>
        <v/>
      </c>
      <c r="R1961" s="52">
        <f>IF(P1961="","",IF(ISNUMBER(I1961),I1961,TasaUSD))</f>
        <v/>
      </c>
      <c r="S1961" s="53">
        <f>IF(P1961="","",IF(H1961="USD",G1961*R1961,G1961))</f>
        <v/>
      </c>
      <c r="T1961" s="53">
        <f>IF(P1961="","",IF(H1961="USD",G1961,IF(R1961&gt;0,G1961/R1961,0)))</f>
        <v/>
      </c>
      <c r="U1961" s="53">
        <f>IF(P1961="","",IF(P1961="Gasto",S1961,IF(P1961="Reembolso",-S1961,0)))</f>
        <v/>
      </c>
      <c r="V1961" s="53">
        <f>IF(P1961="","",IF(P1961="Ingreso",S1961,0))</f>
        <v/>
      </c>
      <c r="W1961" s="53">
        <f>IF(P1961="","",IF(P1961="Resultado trading",S1961,0))</f>
        <v/>
      </c>
      <c r="X1961" s="52">
        <f>IF(OR(P1961="Gasto",P1961="Reembolso"),IF(M1961&lt;&gt;"",M1961,IFERROR(INDEX(catClasif,MATCH(D1961&amp;"|"&amp;E1961,catClave,0))&amp;"","Variable")),"")</f>
        <v/>
      </c>
      <c r="Y1961" s="52">
        <f>IF(P1961="","",IFERROR(INDEX(catGrupo,MATCH(D1961&amp;"|"&amp;E1961,catClave,0))&amp;"",""))</f>
        <v/>
      </c>
      <c r="Z1961" s="52">
        <f>IF(P1961="","",WEEKDAY(B1961,2))</f>
        <v/>
      </c>
      <c r="AA1961" s="52">
        <f>IF(P1961="","",IF(AND(P1961="Gasto",X1961="Variable",D1961&lt;&gt;catTrading,S1961&gt;0,S1961&lt;=Umbral),1,0))</f>
        <v/>
      </c>
      <c r="AB1961" s="52">
        <f>IF(OR(P1961="",Q1961=""),"",IFERROR(IF(INDEX(ctaVinc,MATCH(Q1961,ctaNombre,0))&amp;""&lt;&gt;"",INDEX(ctaVinc,MATCH(Q1961,ctaNombre,0))&amp;"",Q1961),Q1961))</f>
        <v/>
      </c>
      <c r="AC1961" s="52">
        <f>IF(OR(K1961="",AND(P1961&lt;&gt;"Transferencia",P1961&lt;&gt;"Pago tarjeta")),"",IFERROR(IF(INDEX(ctaVinc,MATCH(K1961,ctaNombre,0))&amp;""&lt;&gt;"",INDEX(ctaVinc,MATCH(K1961,ctaNombre,0))&amp;"",K1961),K1961))</f>
        <v/>
      </c>
      <c r="AD1961" s="52">
        <f>IF(AB1961="","",IFERROR(INDEX(ctaTipo,MATCH(AB1961,ctaNombre,0))&amp;"",""))</f>
        <v/>
      </c>
      <c r="AE1961" s="52">
        <f>IF(AC1961="","",IFERROR(INDEX(ctaTipo,MATCH(AC1961,ctaNombre,0))&amp;"",""))</f>
        <v/>
      </c>
      <c r="AF1961" s="53">
        <f>IF(OR(P1961="",AB1961=""),"",IF(OR(P1961="Gasto",P1961="Transferencia",P1961="Pago tarjeta"),-1,1)*IF(IFERROR(INDEX(ctaMoneda,MATCH(AB1961,ctaNombre,0))&amp;"","DOP")="USD",T1961,S1961))</f>
        <v/>
      </c>
      <c r="AG1961" s="53">
        <f>IF(AC1961="","",IF(IFERROR(INDEX(ctaMoneda,MATCH(AC1961,ctaNombre,0))&amp;"","DOP")="USD",T1961,S1961))</f>
        <v/>
      </c>
      <c r="AH1961" s="53">
        <f>IF(P1961="","",IF(AND(AD1961&lt;&gt;"",COUNTIFS(tcTipo,AD1961,tcLiq,"Sí")&gt;0),IF(OR(P1961="Gasto",P1961="Transferencia",P1961="Pago tarjeta"),-1,1)*S1961,0)+IF(AND(AE1961&lt;&gt;"",COUNTIFS(tcTipo,AE1961,tcLiq,"Sí")&gt;0),S1961,0))</f>
        <v/>
      </c>
      <c r="AI1961" s="52">
        <f>IF(OR(L1961="",P1961=""),"",IF(COUNTIFS(L$6:L1961,L1961,P$6:P1961,"?*")=1,MAX(AI$5:AI1960)+1,""))</f>
        <v/>
      </c>
    </row>
    <row r="1962">
      <c r="B1962" s="47" t="n"/>
      <c r="C1962" s="48" t="n"/>
      <c r="D1962" s="48" t="n"/>
      <c r="E1962" s="48" t="n"/>
      <c r="F1962" s="48" t="n"/>
      <c r="G1962" s="49" t="n"/>
      <c r="H1962" s="48" t="n"/>
      <c r="I1962" s="50" t="n"/>
      <c r="J1962" s="48" t="n"/>
      <c r="K1962" s="48" t="n"/>
      <c r="L1962" s="48" t="n"/>
      <c r="M1962" s="48" t="n"/>
      <c r="N1962" s="48" t="n"/>
      <c r="O1962" s="51">
        <f>IF(AND(B1962="",G1962="",C1962="",D1962="",J1962=""),"",IF(B1962="","⚠ Falta fecha",IF(G1962="","⚠ Falta monto",IF(Q1962="","⚠ Falta cuenta",IF(ISNA(MATCH(Q1962,ctaNombre,0)),"⚠ Cuenta no registrada",IF(AND(OR(P1962="Gasto",P1962="Reembolso"),D1962=""),"⚠ Falta categoría",IF(AND(D1962&lt;&gt;"",E1962&lt;&gt;"",ISNA(MATCH(D1962&amp;"|"&amp;E1962,catClave,0))),"⚠ Subcategoría no corresponde",IF(AND(OR(P1962="Transferencia",P1962="Pago tarjeta"),K1962=""),"⚠ Falta cuenta destino",IF(AND(K1962&lt;&gt;"",P1962&lt;&gt;"Transferencia",P1962&lt;&gt;"Pago tarjeta"),"⚠ Destino solo aplica a transferencias",IF(AND(K1962&lt;&gt;"",K1962=Q1962),"⚠ Origen igual a destino",IF(AND(K1962&lt;&gt;"",ISNA(MATCH(K1962,ctaNombre,0))),"⚠ Destino no registrado",IF(AND(P1962="Pago tarjeta",AE1962&lt;&gt;"Tarjeta de crédito"),"⚠ El destino debe ser tarjeta de crédito",IF(AND(P1962="Gasto",E1962="Depósitos y retiros"),"⚠ Usa tipo Transferencia",IF(AND(P1962="Resultado trading",AD1962&lt;&gt;"Cuenta de trading"),"⚠ Usa una cuenta de trading",IF(AND(G1962&lt;=0,P1962&lt;&gt;"Ajuste",P1962&lt;&gt;"Resultado trading"),"⚠ El monto debe ser positivo","✓")))))))))))))))</f>
        <v/>
      </c>
      <c r="P1962" s="52">
        <f>IF(OR(B1962="",G1962=""),"",IF(C1962="","Gasto",C1962))</f>
        <v/>
      </c>
      <c r="Q1962" s="52">
        <f>IF(P1962="","",IF(J1962&lt;&gt;"",J1962,CuentaPred&amp;""))</f>
        <v/>
      </c>
      <c r="R1962" s="52">
        <f>IF(P1962="","",IF(ISNUMBER(I1962),I1962,TasaUSD))</f>
        <v/>
      </c>
      <c r="S1962" s="53">
        <f>IF(P1962="","",IF(H1962="USD",G1962*R1962,G1962))</f>
        <v/>
      </c>
      <c r="T1962" s="53">
        <f>IF(P1962="","",IF(H1962="USD",G1962,IF(R1962&gt;0,G1962/R1962,0)))</f>
        <v/>
      </c>
      <c r="U1962" s="53">
        <f>IF(P1962="","",IF(P1962="Gasto",S1962,IF(P1962="Reembolso",-S1962,0)))</f>
        <v/>
      </c>
      <c r="V1962" s="53">
        <f>IF(P1962="","",IF(P1962="Ingreso",S1962,0))</f>
        <v/>
      </c>
      <c r="W1962" s="53">
        <f>IF(P1962="","",IF(P1962="Resultado trading",S1962,0))</f>
        <v/>
      </c>
      <c r="X1962" s="52">
        <f>IF(OR(P1962="Gasto",P1962="Reembolso"),IF(M1962&lt;&gt;"",M1962,IFERROR(INDEX(catClasif,MATCH(D1962&amp;"|"&amp;E1962,catClave,0))&amp;"","Variable")),"")</f>
        <v/>
      </c>
      <c r="Y1962" s="52">
        <f>IF(P1962="","",IFERROR(INDEX(catGrupo,MATCH(D1962&amp;"|"&amp;E1962,catClave,0))&amp;"",""))</f>
        <v/>
      </c>
      <c r="Z1962" s="52">
        <f>IF(P1962="","",WEEKDAY(B1962,2))</f>
        <v/>
      </c>
      <c r="AA1962" s="52">
        <f>IF(P1962="","",IF(AND(P1962="Gasto",X1962="Variable",D1962&lt;&gt;catTrading,S1962&gt;0,S1962&lt;=Umbral),1,0))</f>
        <v/>
      </c>
      <c r="AB1962" s="52">
        <f>IF(OR(P1962="",Q1962=""),"",IFERROR(IF(INDEX(ctaVinc,MATCH(Q1962,ctaNombre,0))&amp;""&lt;&gt;"",INDEX(ctaVinc,MATCH(Q1962,ctaNombre,0))&amp;"",Q1962),Q1962))</f>
        <v/>
      </c>
      <c r="AC1962" s="52">
        <f>IF(OR(K1962="",AND(P1962&lt;&gt;"Transferencia",P1962&lt;&gt;"Pago tarjeta")),"",IFERROR(IF(INDEX(ctaVinc,MATCH(K1962,ctaNombre,0))&amp;""&lt;&gt;"",INDEX(ctaVinc,MATCH(K1962,ctaNombre,0))&amp;"",K1962),K1962))</f>
        <v/>
      </c>
      <c r="AD1962" s="52">
        <f>IF(AB1962="","",IFERROR(INDEX(ctaTipo,MATCH(AB1962,ctaNombre,0))&amp;"",""))</f>
        <v/>
      </c>
      <c r="AE1962" s="52">
        <f>IF(AC1962="","",IFERROR(INDEX(ctaTipo,MATCH(AC1962,ctaNombre,0))&amp;"",""))</f>
        <v/>
      </c>
      <c r="AF1962" s="53">
        <f>IF(OR(P1962="",AB1962=""),"",IF(OR(P1962="Gasto",P1962="Transferencia",P1962="Pago tarjeta"),-1,1)*IF(IFERROR(INDEX(ctaMoneda,MATCH(AB1962,ctaNombre,0))&amp;"","DOP")="USD",T1962,S1962))</f>
        <v/>
      </c>
      <c r="AG1962" s="53">
        <f>IF(AC1962="","",IF(IFERROR(INDEX(ctaMoneda,MATCH(AC1962,ctaNombre,0))&amp;"","DOP")="USD",T1962,S1962))</f>
        <v/>
      </c>
      <c r="AH1962" s="53">
        <f>IF(P1962="","",IF(AND(AD1962&lt;&gt;"",COUNTIFS(tcTipo,AD1962,tcLiq,"Sí")&gt;0),IF(OR(P1962="Gasto",P1962="Transferencia",P1962="Pago tarjeta"),-1,1)*S1962,0)+IF(AND(AE1962&lt;&gt;"",COUNTIFS(tcTipo,AE1962,tcLiq,"Sí")&gt;0),S1962,0))</f>
        <v/>
      </c>
      <c r="AI1962" s="52">
        <f>IF(OR(L1962="",P1962=""),"",IF(COUNTIFS(L$6:L1962,L1962,P$6:P1962,"?*")=1,MAX(AI$5:AI1961)+1,""))</f>
        <v/>
      </c>
    </row>
    <row r="1963">
      <c r="B1963" s="47" t="n"/>
      <c r="C1963" s="48" t="n"/>
      <c r="D1963" s="48" t="n"/>
      <c r="E1963" s="48" t="n"/>
      <c r="F1963" s="48" t="n"/>
      <c r="G1963" s="49" t="n"/>
      <c r="H1963" s="48" t="n"/>
      <c r="I1963" s="50" t="n"/>
      <c r="J1963" s="48" t="n"/>
      <c r="K1963" s="48" t="n"/>
      <c r="L1963" s="48" t="n"/>
      <c r="M1963" s="48" t="n"/>
      <c r="N1963" s="48" t="n"/>
      <c r="O1963" s="51">
        <f>IF(AND(B1963="",G1963="",C1963="",D1963="",J1963=""),"",IF(B1963="","⚠ Falta fecha",IF(G1963="","⚠ Falta monto",IF(Q1963="","⚠ Falta cuenta",IF(ISNA(MATCH(Q1963,ctaNombre,0)),"⚠ Cuenta no registrada",IF(AND(OR(P1963="Gasto",P1963="Reembolso"),D1963=""),"⚠ Falta categoría",IF(AND(D1963&lt;&gt;"",E1963&lt;&gt;"",ISNA(MATCH(D1963&amp;"|"&amp;E1963,catClave,0))),"⚠ Subcategoría no corresponde",IF(AND(OR(P1963="Transferencia",P1963="Pago tarjeta"),K1963=""),"⚠ Falta cuenta destino",IF(AND(K1963&lt;&gt;"",P1963&lt;&gt;"Transferencia",P1963&lt;&gt;"Pago tarjeta"),"⚠ Destino solo aplica a transferencias",IF(AND(K1963&lt;&gt;"",K1963=Q1963),"⚠ Origen igual a destino",IF(AND(K1963&lt;&gt;"",ISNA(MATCH(K1963,ctaNombre,0))),"⚠ Destino no registrado",IF(AND(P1963="Pago tarjeta",AE1963&lt;&gt;"Tarjeta de crédito"),"⚠ El destino debe ser tarjeta de crédito",IF(AND(P1963="Gasto",E1963="Depósitos y retiros"),"⚠ Usa tipo Transferencia",IF(AND(P1963="Resultado trading",AD1963&lt;&gt;"Cuenta de trading"),"⚠ Usa una cuenta de trading",IF(AND(G1963&lt;=0,P1963&lt;&gt;"Ajuste",P1963&lt;&gt;"Resultado trading"),"⚠ El monto debe ser positivo","✓")))))))))))))))</f>
        <v/>
      </c>
      <c r="P1963" s="52">
        <f>IF(OR(B1963="",G1963=""),"",IF(C1963="","Gasto",C1963))</f>
        <v/>
      </c>
      <c r="Q1963" s="52">
        <f>IF(P1963="","",IF(J1963&lt;&gt;"",J1963,CuentaPred&amp;""))</f>
        <v/>
      </c>
      <c r="R1963" s="52">
        <f>IF(P1963="","",IF(ISNUMBER(I1963),I1963,TasaUSD))</f>
        <v/>
      </c>
      <c r="S1963" s="53">
        <f>IF(P1963="","",IF(H1963="USD",G1963*R1963,G1963))</f>
        <v/>
      </c>
      <c r="T1963" s="53">
        <f>IF(P1963="","",IF(H1963="USD",G1963,IF(R1963&gt;0,G1963/R1963,0)))</f>
        <v/>
      </c>
      <c r="U1963" s="53">
        <f>IF(P1963="","",IF(P1963="Gasto",S1963,IF(P1963="Reembolso",-S1963,0)))</f>
        <v/>
      </c>
      <c r="V1963" s="53">
        <f>IF(P1963="","",IF(P1963="Ingreso",S1963,0))</f>
        <v/>
      </c>
      <c r="W1963" s="53">
        <f>IF(P1963="","",IF(P1963="Resultado trading",S1963,0))</f>
        <v/>
      </c>
      <c r="X1963" s="52">
        <f>IF(OR(P1963="Gasto",P1963="Reembolso"),IF(M1963&lt;&gt;"",M1963,IFERROR(INDEX(catClasif,MATCH(D1963&amp;"|"&amp;E1963,catClave,0))&amp;"","Variable")),"")</f>
        <v/>
      </c>
      <c r="Y1963" s="52">
        <f>IF(P1963="","",IFERROR(INDEX(catGrupo,MATCH(D1963&amp;"|"&amp;E1963,catClave,0))&amp;"",""))</f>
        <v/>
      </c>
      <c r="Z1963" s="52">
        <f>IF(P1963="","",WEEKDAY(B1963,2))</f>
        <v/>
      </c>
      <c r="AA1963" s="52">
        <f>IF(P1963="","",IF(AND(P1963="Gasto",X1963="Variable",D1963&lt;&gt;catTrading,S1963&gt;0,S1963&lt;=Umbral),1,0))</f>
        <v/>
      </c>
      <c r="AB1963" s="52">
        <f>IF(OR(P1963="",Q1963=""),"",IFERROR(IF(INDEX(ctaVinc,MATCH(Q1963,ctaNombre,0))&amp;""&lt;&gt;"",INDEX(ctaVinc,MATCH(Q1963,ctaNombre,0))&amp;"",Q1963),Q1963))</f>
        <v/>
      </c>
      <c r="AC1963" s="52">
        <f>IF(OR(K1963="",AND(P1963&lt;&gt;"Transferencia",P1963&lt;&gt;"Pago tarjeta")),"",IFERROR(IF(INDEX(ctaVinc,MATCH(K1963,ctaNombre,0))&amp;""&lt;&gt;"",INDEX(ctaVinc,MATCH(K1963,ctaNombre,0))&amp;"",K1963),K1963))</f>
        <v/>
      </c>
      <c r="AD1963" s="52">
        <f>IF(AB1963="","",IFERROR(INDEX(ctaTipo,MATCH(AB1963,ctaNombre,0))&amp;"",""))</f>
        <v/>
      </c>
      <c r="AE1963" s="52">
        <f>IF(AC1963="","",IFERROR(INDEX(ctaTipo,MATCH(AC1963,ctaNombre,0))&amp;"",""))</f>
        <v/>
      </c>
      <c r="AF1963" s="53">
        <f>IF(OR(P1963="",AB1963=""),"",IF(OR(P1963="Gasto",P1963="Transferencia",P1963="Pago tarjeta"),-1,1)*IF(IFERROR(INDEX(ctaMoneda,MATCH(AB1963,ctaNombre,0))&amp;"","DOP")="USD",T1963,S1963))</f>
        <v/>
      </c>
      <c r="AG1963" s="53">
        <f>IF(AC1963="","",IF(IFERROR(INDEX(ctaMoneda,MATCH(AC1963,ctaNombre,0))&amp;"","DOP")="USD",T1963,S1963))</f>
        <v/>
      </c>
      <c r="AH1963" s="53">
        <f>IF(P1963="","",IF(AND(AD1963&lt;&gt;"",COUNTIFS(tcTipo,AD1963,tcLiq,"Sí")&gt;0),IF(OR(P1963="Gasto",P1963="Transferencia",P1963="Pago tarjeta"),-1,1)*S1963,0)+IF(AND(AE1963&lt;&gt;"",COUNTIFS(tcTipo,AE1963,tcLiq,"Sí")&gt;0),S1963,0))</f>
        <v/>
      </c>
      <c r="AI1963" s="52">
        <f>IF(OR(L1963="",P1963=""),"",IF(COUNTIFS(L$6:L1963,L1963,P$6:P1963,"?*")=1,MAX(AI$5:AI1962)+1,""))</f>
        <v/>
      </c>
    </row>
    <row r="1964">
      <c r="B1964" s="47" t="n"/>
      <c r="C1964" s="48" t="n"/>
      <c r="D1964" s="48" t="n"/>
      <c r="E1964" s="48" t="n"/>
      <c r="F1964" s="48" t="n"/>
      <c r="G1964" s="49" t="n"/>
      <c r="H1964" s="48" t="n"/>
      <c r="I1964" s="50" t="n"/>
      <c r="J1964" s="48" t="n"/>
      <c r="K1964" s="48" t="n"/>
      <c r="L1964" s="48" t="n"/>
      <c r="M1964" s="48" t="n"/>
      <c r="N1964" s="48" t="n"/>
      <c r="O1964" s="51">
        <f>IF(AND(B1964="",G1964="",C1964="",D1964="",J1964=""),"",IF(B1964="","⚠ Falta fecha",IF(G1964="","⚠ Falta monto",IF(Q1964="","⚠ Falta cuenta",IF(ISNA(MATCH(Q1964,ctaNombre,0)),"⚠ Cuenta no registrada",IF(AND(OR(P1964="Gasto",P1964="Reembolso"),D1964=""),"⚠ Falta categoría",IF(AND(D1964&lt;&gt;"",E1964&lt;&gt;"",ISNA(MATCH(D1964&amp;"|"&amp;E1964,catClave,0))),"⚠ Subcategoría no corresponde",IF(AND(OR(P1964="Transferencia",P1964="Pago tarjeta"),K1964=""),"⚠ Falta cuenta destino",IF(AND(K1964&lt;&gt;"",P1964&lt;&gt;"Transferencia",P1964&lt;&gt;"Pago tarjeta"),"⚠ Destino solo aplica a transferencias",IF(AND(K1964&lt;&gt;"",K1964=Q1964),"⚠ Origen igual a destino",IF(AND(K1964&lt;&gt;"",ISNA(MATCH(K1964,ctaNombre,0))),"⚠ Destino no registrado",IF(AND(P1964="Pago tarjeta",AE1964&lt;&gt;"Tarjeta de crédito"),"⚠ El destino debe ser tarjeta de crédito",IF(AND(P1964="Gasto",E1964="Depósitos y retiros"),"⚠ Usa tipo Transferencia",IF(AND(P1964="Resultado trading",AD1964&lt;&gt;"Cuenta de trading"),"⚠ Usa una cuenta de trading",IF(AND(G1964&lt;=0,P1964&lt;&gt;"Ajuste",P1964&lt;&gt;"Resultado trading"),"⚠ El monto debe ser positivo","✓")))))))))))))))</f>
        <v/>
      </c>
      <c r="P1964" s="52">
        <f>IF(OR(B1964="",G1964=""),"",IF(C1964="","Gasto",C1964))</f>
        <v/>
      </c>
      <c r="Q1964" s="52">
        <f>IF(P1964="","",IF(J1964&lt;&gt;"",J1964,CuentaPred&amp;""))</f>
        <v/>
      </c>
      <c r="R1964" s="52">
        <f>IF(P1964="","",IF(ISNUMBER(I1964),I1964,TasaUSD))</f>
        <v/>
      </c>
      <c r="S1964" s="53">
        <f>IF(P1964="","",IF(H1964="USD",G1964*R1964,G1964))</f>
        <v/>
      </c>
      <c r="T1964" s="53">
        <f>IF(P1964="","",IF(H1964="USD",G1964,IF(R1964&gt;0,G1964/R1964,0)))</f>
        <v/>
      </c>
      <c r="U1964" s="53">
        <f>IF(P1964="","",IF(P1964="Gasto",S1964,IF(P1964="Reembolso",-S1964,0)))</f>
        <v/>
      </c>
      <c r="V1964" s="53">
        <f>IF(P1964="","",IF(P1964="Ingreso",S1964,0))</f>
        <v/>
      </c>
      <c r="W1964" s="53">
        <f>IF(P1964="","",IF(P1964="Resultado trading",S1964,0))</f>
        <v/>
      </c>
      <c r="X1964" s="52">
        <f>IF(OR(P1964="Gasto",P1964="Reembolso"),IF(M1964&lt;&gt;"",M1964,IFERROR(INDEX(catClasif,MATCH(D1964&amp;"|"&amp;E1964,catClave,0))&amp;"","Variable")),"")</f>
        <v/>
      </c>
      <c r="Y1964" s="52">
        <f>IF(P1964="","",IFERROR(INDEX(catGrupo,MATCH(D1964&amp;"|"&amp;E1964,catClave,0))&amp;"",""))</f>
        <v/>
      </c>
      <c r="Z1964" s="52">
        <f>IF(P1964="","",WEEKDAY(B1964,2))</f>
        <v/>
      </c>
      <c r="AA1964" s="52">
        <f>IF(P1964="","",IF(AND(P1964="Gasto",X1964="Variable",D1964&lt;&gt;catTrading,S1964&gt;0,S1964&lt;=Umbral),1,0))</f>
        <v/>
      </c>
      <c r="AB1964" s="52">
        <f>IF(OR(P1964="",Q1964=""),"",IFERROR(IF(INDEX(ctaVinc,MATCH(Q1964,ctaNombre,0))&amp;""&lt;&gt;"",INDEX(ctaVinc,MATCH(Q1964,ctaNombre,0))&amp;"",Q1964),Q1964))</f>
        <v/>
      </c>
      <c r="AC1964" s="52">
        <f>IF(OR(K1964="",AND(P1964&lt;&gt;"Transferencia",P1964&lt;&gt;"Pago tarjeta")),"",IFERROR(IF(INDEX(ctaVinc,MATCH(K1964,ctaNombre,0))&amp;""&lt;&gt;"",INDEX(ctaVinc,MATCH(K1964,ctaNombre,0))&amp;"",K1964),K1964))</f>
        <v/>
      </c>
      <c r="AD1964" s="52">
        <f>IF(AB1964="","",IFERROR(INDEX(ctaTipo,MATCH(AB1964,ctaNombre,0))&amp;"",""))</f>
        <v/>
      </c>
      <c r="AE1964" s="52">
        <f>IF(AC1964="","",IFERROR(INDEX(ctaTipo,MATCH(AC1964,ctaNombre,0))&amp;"",""))</f>
        <v/>
      </c>
      <c r="AF1964" s="53">
        <f>IF(OR(P1964="",AB1964=""),"",IF(OR(P1964="Gasto",P1964="Transferencia",P1964="Pago tarjeta"),-1,1)*IF(IFERROR(INDEX(ctaMoneda,MATCH(AB1964,ctaNombre,0))&amp;"","DOP")="USD",T1964,S1964))</f>
        <v/>
      </c>
      <c r="AG1964" s="53">
        <f>IF(AC1964="","",IF(IFERROR(INDEX(ctaMoneda,MATCH(AC1964,ctaNombre,0))&amp;"","DOP")="USD",T1964,S1964))</f>
        <v/>
      </c>
      <c r="AH1964" s="53">
        <f>IF(P1964="","",IF(AND(AD1964&lt;&gt;"",COUNTIFS(tcTipo,AD1964,tcLiq,"Sí")&gt;0),IF(OR(P1964="Gasto",P1964="Transferencia",P1964="Pago tarjeta"),-1,1)*S1964,0)+IF(AND(AE1964&lt;&gt;"",COUNTIFS(tcTipo,AE1964,tcLiq,"Sí")&gt;0),S1964,0))</f>
        <v/>
      </c>
      <c r="AI1964" s="52">
        <f>IF(OR(L1964="",P1964=""),"",IF(COUNTIFS(L$6:L1964,L1964,P$6:P1964,"?*")=1,MAX(AI$5:AI1963)+1,""))</f>
        <v/>
      </c>
    </row>
    <row r="1965">
      <c r="B1965" s="47" t="n"/>
      <c r="C1965" s="48" t="n"/>
      <c r="D1965" s="48" t="n"/>
      <c r="E1965" s="48" t="n"/>
      <c r="F1965" s="48" t="n"/>
      <c r="G1965" s="49" t="n"/>
      <c r="H1965" s="48" t="n"/>
      <c r="I1965" s="50" t="n"/>
      <c r="J1965" s="48" t="n"/>
      <c r="K1965" s="48" t="n"/>
      <c r="L1965" s="48" t="n"/>
      <c r="M1965" s="48" t="n"/>
      <c r="N1965" s="48" t="n"/>
      <c r="O1965" s="51">
        <f>IF(AND(B1965="",G1965="",C1965="",D1965="",J1965=""),"",IF(B1965="","⚠ Falta fecha",IF(G1965="","⚠ Falta monto",IF(Q1965="","⚠ Falta cuenta",IF(ISNA(MATCH(Q1965,ctaNombre,0)),"⚠ Cuenta no registrada",IF(AND(OR(P1965="Gasto",P1965="Reembolso"),D1965=""),"⚠ Falta categoría",IF(AND(D1965&lt;&gt;"",E1965&lt;&gt;"",ISNA(MATCH(D1965&amp;"|"&amp;E1965,catClave,0))),"⚠ Subcategoría no corresponde",IF(AND(OR(P1965="Transferencia",P1965="Pago tarjeta"),K1965=""),"⚠ Falta cuenta destino",IF(AND(K1965&lt;&gt;"",P1965&lt;&gt;"Transferencia",P1965&lt;&gt;"Pago tarjeta"),"⚠ Destino solo aplica a transferencias",IF(AND(K1965&lt;&gt;"",K1965=Q1965),"⚠ Origen igual a destino",IF(AND(K1965&lt;&gt;"",ISNA(MATCH(K1965,ctaNombre,0))),"⚠ Destino no registrado",IF(AND(P1965="Pago tarjeta",AE1965&lt;&gt;"Tarjeta de crédito"),"⚠ El destino debe ser tarjeta de crédito",IF(AND(P1965="Gasto",E1965="Depósitos y retiros"),"⚠ Usa tipo Transferencia",IF(AND(P1965="Resultado trading",AD1965&lt;&gt;"Cuenta de trading"),"⚠ Usa una cuenta de trading",IF(AND(G1965&lt;=0,P1965&lt;&gt;"Ajuste",P1965&lt;&gt;"Resultado trading"),"⚠ El monto debe ser positivo","✓")))))))))))))))</f>
        <v/>
      </c>
      <c r="P1965" s="52">
        <f>IF(OR(B1965="",G1965=""),"",IF(C1965="","Gasto",C1965))</f>
        <v/>
      </c>
      <c r="Q1965" s="52">
        <f>IF(P1965="","",IF(J1965&lt;&gt;"",J1965,CuentaPred&amp;""))</f>
        <v/>
      </c>
      <c r="R1965" s="52">
        <f>IF(P1965="","",IF(ISNUMBER(I1965),I1965,TasaUSD))</f>
        <v/>
      </c>
      <c r="S1965" s="53">
        <f>IF(P1965="","",IF(H1965="USD",G1965*R1965,G1965))</f>
        <v/>
      </c>
      <c r="T1965" s="53">
        <f>IF(P1965="","",IF(H1965="USD",G1965,IF(R1965&gt;0,G1965/R1965,0)))</f>
        <v/>
      </c>
      <c r="U1965" s="53">
        <f>IF(P1965="","",IF(P1965="Gasto",S1965,IF(P1965="Reembolso",-S1965,0)))</f>
        <v/>
      </c>
      <c r="V1965" s="53">
        <f>IF(P1965="","",IF(P1965="Ingreso",S1965,0))</f>
        <v/>
      </c>
      <c r="W1965" s="53">
        <f>IF(P1965="","",IF(P1965="Resultado trading",S1965,0))</f>
        <v/>
      </c>
      <c r="X1965" s="52">
        <f>IF(OR(P1965="Gasto",P1965="Reembolso"),IF(M1965&lt;&gt;"",M1965,IFERROR(INDEX(catClasif,MATCH(D1965&amp;"|"&amp;E1965,catClave,0))&amp;"","Variable")),"")</f>
        <v/>
      </c>
      <c r="Y1965" s="52">
        <f>IF(P1965="","",IFERROR(INDEX(catGrupo,MATCH(D1965&amp;"|"&amp;E1965,catClave,0))&amp;"",""))</f>
        <v/>
      </c>
      <c r="Z1965" s="52">
        <f>IF(P1965="","",WEEKDAY(B1965,2))</f>
        <v/>
      </c>
      <c r="AA1965" s="52">
        <f>IF(P1965="","",IF(AND(P1965="Gasto",X1965="Variable",D1965&lt;&gt;catTrading,S1965&gt;0,S1965&lt;=Umbral),1,0))</f>
        <v/>
      </c>
      <c r="AB1965" s="52">
        <f>IF(OR(P1965="",Q1965=""),"",IFERROR(IF(INDEX(ctaVinc,MATCH(Q1965,ctaNombre,0))&amp;""&lt;&gt;"",INDEX(ctaVinc,MATCH(Q1965,ctaNombre,0))&amp;"",Q1965),Q1965))</f>
        <v/>
      </c>
      <c r="AC1965" s="52">
        <f>IF(OR(K1965="",AND(P1965&lt;&gt;"Transferencia",P1965&lt;&gt;"Pago tarjeta")),"",IFERROR(IF(INDEX(ctaVinc,MATCH(K1965,ctaNombre,0))&amp;""&lt;&gt;"",INDEX(ctaVinc,MATCH(K1965,ctaNombre,0))&amp;"",K1965),K1965))</f>
        <v/>
      </c>
      <c r="AD1965" s="52">
        <f>IF(AB1965="","",IFERROR(INDEX(ctaTipo,MATCH(AB1965,ctaNombre,0))&amp;"",""))</f>
        <v/>
      </c>
      <c r="AE1965" s="52">
        <f>IF(AC1965="","",IFERROR(INDEX(ctaTipo,MATCH(AC1965,ctaNombre,0))&amp;"",""))</f>
        <v/>
      </c>
      <c r="AF1965" s="53">
        <f>IF(OR(P1965="",AB1965=""),"",IF(OR(P1965="Gasto",P1965="Transferencia",P1965="Pago tarjeta"),-1,1)*IF(IFERROR(INDEX(ctaMoneda,MATCH(AB1965,ctaNombre,0))&amp;"","DOP")="USD",T1965,S1965))</f>
        <v/>
      </c>
      <c r="AG1965" s="53">
        <f>IF(AC1965="","",IF(IFERROR(INDEX(ctaMoneda,MATCH(AC1965,ctaNombre,0))&amp;"","DOP")="USD",T1965,S1965))</f>
        <v/>
      </c>
      <c r="AH1965" s="53">
        <f>IF(P1965="","",IF(AND(AD1965&lt;&gt;"",COUNTIFS(tcTipo,AD1965,tcLiq,"Sí")&gt;0),IF(OR(P1965="Gasto",P1965="Transferencia",P1965="Pago tarjeta"),-1,1)*S1965,0)+IF(AND(AE1965&lt;&gt;"",COUNTIFS(tcTipo,AE1965,tcLiq,"Sí")&gt;0),S1965,0))</f>
        <v/>
      </c>
      <c r="AI1965" s="52">
        <f>IF(OR(L1965="",P1965=""),"",IF(COUNTIFS(L$6:L1965,L1965,P$6:P1965,"?*")=1,MAX(AI$5:AI1964)+1,""))</f>
        <v/>
      </c>
    </row>
    <row r="1966">
      <c r="B1966" s="47" t="n"/>
      <c r="C1966" s="48" t="n"/>
      <c r="D1966" s="48" t="n"/>
      <c r="E1966" s="48" t="n"/>
      <c r="F1966" s="48" t="n"/>
      <c r="G1966" s="49" t="n"/>
      <c r="H1966" s="48" t="n"/>
      <c r="I1966" s="50" t="n"/>
      <c r="J1966" s="48" t="n"/>
      <c r="K1966" s="48" t="n"/>
      <c r="L1966" s="48" t="n"/>
      <c r="M1966" s="48" t="n"/>
      <c r="N1966" s="48" t="n"/>
      <c r="O1966" s="51">
        <f>IF(AND(B1966="",G1966="",C1966="",D1966="",J1966=""),"",IF(B1966="","⚠ Falta fecha",IF(G1966="","⚠ Falta monto",IF(Q1966="","⚠ Falta cuenta",IF(ISNA(MATCH(Q1966,ctaNombre,0)),"⚠ Cuenta no registrada",IF(AND(OR(P1966="Gasto",P1966="Reembolso"),D1966=""),"⚠ Falta categoría",IF(AND(D1966&lt;&gt;"",E1966&lt;&gt;"",ISNA(MATCH(D1966&amp;"|"&amp;E1966,catClave,0))),"⚠ Subcategoría no corresponde",IF(AND(OR(P1966="Transferencia",P1966="Pago tarjeta"),K1966=""),"⚠ Falta cuenta destino",IF(AND(K1966&lt;&gt;"",P1966&lt;&gt;"Transferencia",P1966&lt;&gt;"Pago tarjeta"),"⚠ Destino solo aplica a transferencias",IF(AND(K1966&lt;&gt;"",K1966=Q1966),"⚠ Origen igual a destino",IF(AND(K1966&lt;&gt;"",ISNA(MATCH(K1966,ctaNombre,0))),"⚠ Destino no registrado",IF(AND(P1966="Pago tarjeta",AE1966&lt;&gt;"Tarjeta de crédito"),"⚠ El destino debe ser tarjeta de crédito",IF(AND(P1966="Gasto",E1966="Depósitos y retiros"),"⚠ Usa tipo Transferencia",IF(AND(P1966="Resultado trading",AD1966&lt;&gt;"Cuenta de trading"),"⚠ Usa una cuenta de trading",IF(AND(G1966&lt;=0,P1966&lt;&gt;"Ajuste",P1966&lt;&gt;"Resultado trading"),"⚠ El monto debe ser positivo","✓")))))))))))))))</f>
        <v/>
      </c>
      <c r="P1966" s="52">
        <f>IF(OR(B1966="",G1966=""),"",IF(C1966="","Gasto",C1966))</f>
        <v/>
      </c>
      <c r="Q1966" s="52">
        <f>IF(P1966="","",IF(J1966&lt;&gt;"",J1966,CuentaPred&amp;""))</f>
        <v/>
      </c>
      <c r="R1966" s="52">
        <f>IF(P1966="","",IF(ISNUMBER(I1966),I1966,TasaUSD))</f>
        <v/>
      </c>
      <c r="S1966" s="53">
        <f>IF(P1966="","",IF(H1966="USD",G1966*R1966,G1966))</f>
        <v/>
      </c>
      <c r="T1966" s="53">
        <f>IF(P1966="","",IF(H1966="USD",G1966,IF(R1966&gt;0,G1966/R1966,0)))</f>
        <v/>
      </c>
      <c r="U1966" s="53">
        <f>IF(P1966="","",IF(P1966="Gasto",S1966,IF(P1966="Reembolso",-S1966,0)))</f>
        <v/>
      </c>
      <c r="V1966" s="53">
        <f>IF(P1966="","",IF(P1966="Ingreso",S1966,0))</f>
        <v/>
      </c>
      <c r="W1966" s="53">
        <f>IF(P1966="","",IF(P1966="Resultado trading",S1966,0))</f>
        <v/>
      </c>
      <c r="X1966" s="52">
        <f>IF(OR(P1966="Gasto",P1966="Reembolso"),IF(M1966&lt;&gt;"",M1966,IFERROR(INDEX(catClasif,MATCH(D1966&amp;"|"&amp;E1966,catClave,0))&amp;"","Variable")),"")</f>
        <v/>
      </c>
      <c r="Y1966" s="52">
        <f>IF(P1966="","",IFERROR(INDEX(catGrupo,MATCH(D1966&amp;"|"&amp;E1966,catClave,0))&amp;"",""))</f>
        <v/>
      </c>
      <c r="Z1966" s="52">
        <f>IF(P1966="","",WEEKDAY(B1966,2))</f>
        <v/>
      </c>
      <c r="AA1966" s="52">
        <f>IF(P1966="","",IF(AND(P1966="Gasto",X1966="Variable",D1966&lt;&gt;catTrading,S1966&gt;0,S1966&lt;=Umbral),1,0))</f>
        <v/>
      </c>
      <c r="AB1966" s="52">
        <f>IF(OR(P1966="",Q1966=""),"",IFERROR(IF(INDEX(ctaVinc,MATCH(Q1966,ctaNombre,0))&amp;""&lt;&gt;"",INDEX(ctaVinc,MATCH(Q1966,ctaNombre,0))&amp;"",Q1966),Q1966))</f>
        <v/>
      </c>
      <c r="AC1966" s="52">
        <f>IF(OR(K1966="",AND(P1966&lt;&gt;"Transferencia",P1966&lt;&gt;"Pago tarjeta")),"",IFERROR(IF(INDEX(ctaVinc,MATCH(K1966,ctaNombre,0))&amp;""&lt;&gt;"",INDEX(ctaVinc,MATCH(K1966,ctaNombre,0))&amp;"",K1966),K1966))</f>
        <v/>
      </c>
      <c r="AD1966" s="52">
        <f>IF(AB1966="","",IFERROR(INDEX(ctaTipo,MATCH(AB1966,ctaNombre,0))&amp;"",""))</f>
        <v/>
      </c>
      <c r="AE1966" s="52">
        <f>IF(AC1966="","",IFERROR(INDEX(ctaTipo,MATCH(AC1966,ctaNombre,0))&amp;"",""))</f>
        <v/>
      </c>
      <c r="AF1966" s="53">
        <f>IF(OR(P1966="",AB1966=""),"",IF(OR(P1966="Gasto",P1966="Transferencia",P1966="Pago tarjeta"),-1,1)*IF(IFERROR(INDEX(ctaMoneda,MATCH(AB1966,ctaNombre,0))&amp;"","DOP")="USD",T1966,S1966))</f>
        <v/>
      </c>
      <c r="AG1966" s="53">
        <f>IF(AC1966="","",IF(IFERROR(INDEX(ctaMoneda,MATCH(AC1966,ctaNombre,0))&amp;"","DOP")="USD",T1966,S1966))</f>
        <v/>
      </c>
      <c r="AH1966" s="53">
        <f>IF(P1966="","",IF(AND(AD1966&lt;&gt;"",COUNTIFS(tcTipo,AD1966,tcLiq,"Sí")&gt;0),IF(OR(P1966="Gasto",P1966="Transferencia",P1966="Pago tarjeta"),-1,1)*S1966,0)+IF(AND(AE1966&lt;&gt;"",COUNTIFS(tcTipo,AE1966,tcLiq,"Sí")&gt;0),S1966,0))</f>
        <v/>
      </c>
      <c r="AI1966" s="52">
        <f>IF(OR(L1966="",P1966=""),"",IF(COUNTIFS(L$6:L1966,L1966,P$6:P1966,"?*")=1,MAX(AI$5:AI1965)+1,""))</f>
        <v/>
      </c>
    </row>
    <row r="1967">
      <c r="B1967" s="47" t="n"/>
      <c r="C1967" s="48" t="n"/>
      <c r="D1967" s="48" t="n"/>
      <c r="E1967" s="48" t="n"/>
      <c r="F1967" s="48" t="n"/>
      <c r="G1967" s="49" t="n"/>
      <c r="H1967" s="48" t="n"/>
      <c r="I1967" s="50" t="n"/>
      <c r="J1967" s="48" t="n"/>
      <c r="K1967" s="48" t="n"/>
      <c r="L1967" s="48" t="n"/>
      <c r="M1967" s="48" t="n"/>
      <c r="N1967" s="48" t="n"/>
      <c r="O1967" s="51">
        <f>IF(AND(B1967="",G1967="",C1967="",D1967="",J1967=""),"",IF(B1967="","⚠ Falta fecha",IF(G1967="","⚠ Falta monto",IF(Q1967="","⚠ Falta cuenta",IF(ISNA(MATCH(Q1967,ctaNombre,0)),"⚠ Cuenta no registrada",IF(AND(OR(P1967="Gasto",P1967="Reembolso"),D1967=""),"⚠ Falta categoría",IF(AND(D1967&lt;&gt;"",E1967&lt;&gt;"",ISNA(MATCH(D1967&amp;"|"&amp;E1967,catClave,0))),"⚠ Subcategoría no corresponde",IF(AND(OR(P1967="Transferencia",P1967="Pago tarjeta"),K1967=""),"⚠ Falta cuenta destino",IF(AND(K1967&lt;&gt;"",P1967&lt;&gt;"Transferencia",P1967&lt;&gt;"Pago tarjeta"),"⚠ Destino solo aplica a transferencias",IF(AND(K1967&lt;&gt;"",K1967=Q1967),"⚠ Origen igual a destino",IF(AND(K1967&lt;&gt;"",ISNA(MATCH(K1967,ctaNombre,0))),"⚠ Destino no registrado",IF(AND(P1967="Pago tarjeta",AE1967&lt;&gt;"Tarjeta de crédito"),"⚠ El destino debe ser tarjeta de crédito",IF(AND(P1967="Gasto",E1967="Depósitos y retiros"),"⚠ Usa tipo Transferencia",IF(AND(P1967="Resultado trading",AD1967&lt;&gt;"Cuenta de trading"),"⚠ Usa una cuenta de trading",IF(AND(G1967&lt;=0,P1967&lt;&gt;"Ajuste",P1967&lt;&gt;"Resultado trading"),"⚠ El monto debe ser positivo","✓")))))))))))))))</f>
        <v/>
      </c>
      <c r="P1967" s="52">
        <f>IF(OR(B1967="",G1967=""),"",IF(C1967="","Gasto",C1967))</f>
        <v/>
      </c>
      <c r="Q1967" s="52">
        <f>IF(P1967="","",IF(J1967&lt;&gt;"",J1967,CuentaPred&amp;""))</f>
        <v/>
      </c>
      <c r="R1967" s="52">
        <f>IF(P1967="","",IF(ISNUMBER(I1967),I1967,TasaUSD))</f>
        <v/>
      </c>
      <c r="S1967" s="53">
        <f>IF(P1967="","",IF(H1967="USD",G1967*R1967,G1967))</f>
        <v/>
      </c>
      <c r="T1967" s="53">
        <f>IF(P1967="","",IF(H1967="USD",G1967,IF(R1967&gt;0,G1967/R1967,0)))</f>
        <v/>
      </c>
      <c r="U1967" s="53">
        <f>IF(P1967="","",IF(P1967="Gasto",S1967,IF(P1967="Reembolso",-S1967,0)))</f>
        <v/>
      </c>
      <c r="V1967" s="53">
        <f>IF(P1967="","",IF(P1967="Ingreso",S1967,0))</f>
        <v/>
      </c>
      <c r="W1967" s="53">
        <f>IF(P1967="","",IF(P1967="Resultado trading",S1967,0))</f>
        <v/>
      </c>
      <c r="X1967" s="52">
        <f>IF(OR(P1967="Gasto",P1967="Reembolso"),IF(M1967&lt;&gt;"",M1967,IFERROR(INDEX(catClasif,MATCH(D1967&amp;"|"&amp;E1967,catClave,0))&amp;"","Variable")),"")</f>
        <v/>
      </c>
      <c r="Y1967" s="52">
        <f>IF(P1967="","",IFERROR(INDEX(catGrupo,MATCH(D1967&amp;"|"&amp;E1967,catClave,0))&amp;"",""))</f>
        <v/>
      </c>
      <c r="Z1967" s="52">
        <f>IF(P1967="","",WEEKDAY(B1967,2))</f>
        <v/>
      </c>
      <c r="AA1967" s="52">
        <f>IF(P1967="","",IF(AND(P1967="Gasto",X1967="Variable",D1967&lt;&gt;catTrading,S1967&gt;0,S1967&lt;=Umbral),1,0))</f>
        <v/>
      </c>
      <c r="AB1967" s="52">
        <f>IF(OR(P1967="",Q1967=""),"",IFERROR(IF(INDEX(ctaVinc,MATCH(Q1967,ctaNombre,0))&amp;""&lt;&gt;"",INDEX(ctaVinc,MATCH(Q1967,ctaNombre,0))&amp;"",Q1967),Q1967))</f>
        <v/>
      </c>
      <c r="AC1967" s="52">
        <f>IF(OR(K1967="",AND(P1967&lt;&gt;"Transferencia",P1967&lt;&gt;"Pago tarjeta")),"",IFERROR(IF(INDEX(ctaVinc,MATCH(K1967,ctaNombre,0))&amp;""&lt;&gt;"",INDEX(ctaVinc,MATCH(K1967,ctaNombre,0))&amp;"",K1967),K1967))</f>
        <v/>
      </c>
      <c r="AD1967" s="52">
        <f>IF(AB1967="","",IFERROR(INDEX(ctaTipo,MATCH(AB1967,ctaNombre,0))&amp;"",""))</f>
        <v/>
      </c>
      <c r="AE1967" s="52">
        <f>IF(AC1967="","",IFERROR(INDEX(ctaTipo,MATCH(AC1967,ctaNombre,0))&amp;"",""))</f>
        <v/>
      </c>
      <c r="AF1967" s="53">
        <f>IF(OR(P1967="",AB1967=""),"",IF(OR(P1967="Gasto",P1967="Transferencia",P1967="Pago tarjeta"),-1,1)*IF(IFERROR(INDEX(ctaMoneda,MATCH(AB1967,ctaNombre,0))&amp;"","DOP")="USD",T1967,S1967))</f>
        <v/>
      </c>
      <c r="AG1967" s="53">
        <f>IF(AC1967="","",IF(IFERROR(INDEX(ctaMoneda,MATCH(AC1967,ctaNombre,0))&amp;"","DOP")="USD",T1967,S1967))</f>
        <v/>
      </c>
      <c r="AH1967" s="53">
        <f>IF(P1967="","",IF(AND(AD1967&lt;&gt;"",COUNTIFS(tcTipo,AD1967,tcLiq,"Sí")&gt;0),IF(OR(P1967="Gasto",P1967="Transferencia",P1967="Pago tarjeta"),-1,1)*S1967,0)+IF(AND(AE1967&lt;&gt;"",COUNTIFS(tcTipo,AE1967,tcLiq,"Sí")&gt;0),S1967,0))</f>
        <v/>
      </c>
      <c r="AI1967" s="52">
        <f>IF(OR(L1967="",P1967=""),"",IF(COUNTIFS(L$6:L1967,L1967,P$6:P1967,"?*")=1,MAX(AI$5:AI1966)+1,""))</f>
        <v/>
      </c>
    </row>
    <row r="1968">
      <c r="B1968" s="47" t="n"/>
      <c r="C1968" s="48" t="n"/>
      <c r="D1968" s="48" t="n"/>
      <c r="E1968" s="48" t="n"/>
      <c r="F1968" s="48" t="n"/>
      <c r="G1968" s="49" t="n"/>
      <c r="H1968" s="48" t="n"/>
      <c r="I1968" s="50" t="n"/>
      <c r="J1968" s="48" t="n"/>
      <c r="K1968" s="48" t="n"/>
      <c r="L1968" s="48" t="n"/>
      <c r="M1968" s="48" t="n"/>
      <c r="N1968" s="48" t="n"/>
      <c r="O1968" s="51">
        <f>IF(AND(B1968="",G1968="",C1968="",D1968="",J1968=""),"",IF(B1968="","⚠ Falta fecha",IF(G1968="","⚠ Falta monto",IF(Q1968="","⚠ Falta cuenta",IF(ISNA(MATCH(Q1968,ctaNombre,0)),"⚠ Cuenta no registrada",IF(AND(OR(P1968="Gasto",P1968="Reembolso"),D1968=""),"⚠ Falta categoría",IF(AND(D1968&lt;&gt;"",E1968&lt;&gt;"",ISNA(MATCH(D1968&amp;"|"&amp;E1968,catClave,0))),"⚠ Subcategoría no corresponde",IF(AND(OR(P1968="Transferencia",P1968="Pago tarjeta"),K1968=""),"⚠ Falta cuenta destino",IF(AND(K1968&lt;&gt;"",P1968&lt;&gt;"Transferencia",P1968&lt;&gt;"Pago tarjeta"),"⚠ Destino solo aplica a transferencias",IF(AND(K1968&lt;&gt;"",K1968=Q1968),"⚠ Origen igual a destino",IF(AND(K1968&lt;&gt;"",ISNA(MATCH(K1968,ctaNombre,0))),"⚠ Destino no registrado",IF(AND(P1968="Pago tarjeta",AE1968&lt;&gt;"Tarjeta de crédito"),"⚠ El destino debe ser tarjeta de crédito",IF(AND(P1968="Gasto",E1968="Depósitos y retiros"),"⚠ Usa tipo Transferencia",IF(AND(P1968="Resultado trading",AD1968&lt;&gt;"Cuenta de trading"),"⚠ Usa una cuenta de trading",IF(AND(G1968&lt;=0,P1968&lt;&gt;"Ajuste",P1968&lt;&gt;"Resultado trading"),"⚠ El monto debe ser positivo","✓")))))))))))))))</f>
        <v/>
      </c>
      <c r="P1968" s="52">
        <f>IF(OR(B1968="",G1968=""),"",IF(C1968="","Gasto",C1968))</f>
        <v/>
      </c>
      <c r="Q1968" s="52">
        <f>IF(P1968="","",IF(J1968&lt;&gt;"",J1968,CuentaPred&amp;""))</f>
        <v/>
      </c>
      <c r="R1968" s="52">
        <f>IF(P1968="","",IF(ISNUMBER(I1968),I1968,TasaUSD))</f>
        <v/>
      </c>
      <c r="S1968" s="53">
        <f>IF(P1968="","",IF(H1968="USD",G1968*R1968,G1968))</f>
        <v/>
      </c>
      <c r="T1968" s="53">
        <f>IF(P1968="","",IF(H1968="USD",G1968,IF(R1968&gt;0,G1968/R1968,0)))</f>
        <v/>
      </c>
      <c r="U1968" s="53">
        <f>IF(P1968="","",IF(P1968="Gasto",S1968,IF(P1968="Reembolso",-S1968,0)))</f>
        <v/>
      </c>
      <c r="V1968" s="53">
        <f>IF(P1968="","",IF(P1968="Ingreso",S1968,0))</f>
        <v/>
      </c>
      <c r="W1968" s="53">
        <f>IF(P1968="","",IF(P1968="Resultado trading",S1968,0))</f>
        <v/>
      </c>
      <c r="X1968" s="52">
        <f>IF(OR(P1968="Gasto",P1968="Reembolso"),IF(M1968&lt;&gt;"",M1968,IFERROR(INDEX(catClasif,MATCH(D1968&amp;"|"&amp;E1968,catClave,0))&amp;"","Variable")),"")</f>
        <v/>
      </c>
      <c r="Y1968" s="52">
        <f>IF(P1968="","",IFERROR(INDEX(catGrupo,MATCH(D1968&amp;"|"&amp;E1968,catClave,0))&amp;"",""))</f>
        <v/>
      </c>
      <c r="Z1968" s="52">
        <f>IF(P1968="","",WEEKDAY(B1968,2))</f>
        <v/>
      </c>
      <c r="AA1968" s="52">
        <f>IF(P1968="","",IF(AND(P1968="Gasto",X1968="Variable",D1968&lt;&gt;catTrading,S1968&gt;0,S1968&lt;=Umbral),1,0))</f>
        <v/>
      </c>
      <c r="AB1968" s="52">
        <f>IF(OR(P1968="",Q1968=""),"",IFERROR(IF(INDEX(ctaVinc,MATCH(Q1968,ctaNombre,0))&amp;""&lt;&gt;"",INDEX(ctaVinc,MATCH(Q1968,ctaNombre,0))&amp;"",Q1968),Q1968))</f>
        <v/>
      </c>
      <c r="AC1968" s="52">
        <f>IF(OR(K1968="",AND(P1968&lt;&gt;"Transferencia",P1968&lt;&gt;"Pago tarjeta")),"",IFERROR(IF(INDEX(ctaVinc,MATCH(K1968,ctaNombre,0))&amp;""&lt;&gt;"",INDEX(ctaVinc,MATCH(K1968,ctaNombre,0))&amp;"",K1968),K1968))</f>
        <v/>
      </c>
      <c r="AD1968" s="52">
        <f>IF(AB1968="","",IFERROR(INDEX(ctaTipo,MATCH(AB1968,ctaNombre,0))&amp;"",""))</f>
        <v/>
      </c>
      <c r="AE1968" s="52">
        <f>IF(AC1968="","",IFERROR(INDEX(ctaTipo,MATCH(AC1968,ctaNombre,0))&amp;"",""))</f>
        <v/>
      </c>
      <c r="AF1968" s="53">
        <f>IF(OR(P1968="",AB1968=""),"",IF(OR(P1968="Gasto",P1968="Transferencia",P1968="Pago tarjeta"),-1,1)*IF(IFERROR(INDEX(ctaMoneda,MATCH(AB1968,ctaNombre,0))&amp;"","DOP")="USD",T1968,S1968))</f>
        <v/>
      </c>
      <c r="AG1968" s="53">
        <f>IF(AC1968="","",IF(IFERROR(INDEX(ctaMoneda,MATCH(AC1968,ctaNombre,0))&amp;"","DOP")="USD",T1968,S1968))</f>
        <v/>
      </c>
      <c r="AH1968" s="53">
        <f>IF(P1968="","",IF(AND(AD1968&lt;&gt;"",COUNTIFS(tcTipo,AD1968,tcLiq,"Sí")&gt;0),IF(OR(P1968="Gasto",P1968="Transferencia",P1968="Pago tarjeta"),-1,1)*S1968,0)+IF(AND(AE1968&lt;&gt;"",COUNTIFS(tcTipo,AE1968,tcLiq,"Sí")&gt;0),S1968,0))</f>
        <v/>
      </c>
      <c r="AI1968" s="52">
        <f>IF(OR(L1968="",P1968=""),"",IF(COUNTIFS(L$6:L1968,L1968,P$6:P1968,"?*")=1,MAX(AI$5:AI1967)+1,""))</f>
        <v/>
      </c>
    </row>
    <row r="1969">
      <c r="B1969" s="47" t="n"/>
      <c r="C1969" s="48" t="n"/>
      <c r="D1969" s="48" t="n"/>
      <c r="E1969" s="48" t="n"/>
      <c r="F1969" s="48" t="n"/>
      <c r="G1969" s="49" t="n"/>
      <c r="H1969" s="48" t="n"/>
      <c r="I1969" s="50" t="n"/>
      <c r="J1969" s="48" t="n"/>
      <c r="K1969" s="48" t="n"/>
      <c r="L1969" s="48" t="n"/>
      <c r="M1969" s="48" t="n"/>
      <c r="N1969" s="48" t="n"/>
      <c r="O1969" s="51">
        <f>IF(AND(B1969="",G1969="",C1969="",D1969="",J1969=""),"",IF(B1969="","⚠ Falta fecha",IF(G1969="","⚠ Falta monto",IF(Q1969="","⚠ Falta cuenta",IF(ISNA(MATCH(Q1969,ctaNombre,0)),"⚠ Cuenta no registrada",IF(AND(OR(P1969="Gasto",P1969="Reembolso"),D1969=""),"⚠ Falta categoría",IF(AND(D1969&lt;&gt;"",E1969&lt;&gt;"",ISNA(MATCH(D1969&amp;"|"&amp;E1969,catClave,0))),"⚠ Subcategoría no corresponde",IF(AND(OR(P1969="Transferencia",P1969="Pago tarjeta"),K1969=""),"⚠ Falta cuenta destino",IF(AND(K1969&lt;&gt;"",P1969&lt;&gt;"Transferencia",P1969&lt;&gt;"Pago tarjeta"),"⚠ Destino solo aplica a transferencias",IF(AND(K1969&lt;&gt;"",K1969=Q1969),"⚠ Origen igual a destino",IF(AND(K1969&lt;&gt;"",ISNA(MATCH(K1969,ctaNombre,0))),"⚠ Destino no registrado",IF(AND(P1969="Pago tarjeta",AE1969&lt;&gt;"Tarjeta de crédito"),"⚠ El destino debe ser tarjeta de crédito",IF(AND(P1969="Gasto",E1969="Depósitos y retiros"),"⚠ Usa tipo Transferencia",IF(AND(P1969="Resultado trading",AD1969&lt;&gt;"Cuenta de trading"),"⚠ Usa una cuenta de trading",IF(AND(G1969&lt;=0,P1969&lt;&gt;"Ajuste",P1969&lt;&gt;"Resultado trading"),"⚠ El monto debe ser positivo","✓")))))))))))))))</f>
        <v/>
      </c>
      <c r="P1969" s="52">
        <f>IF(OR(B1969="",G1969=""),"",IF(C1969="","Gasto",C1969))</f>
        <v/>
      </c>
      <c r="Q1969" s="52">
        <f>IF(P1969="","",IF(J1969&lt;&gt;"",J1969,CuentaPred&amp;""))</f>
        <v/>
      </c>
      <c r="R1969" s="52">
        <f>IF(P1969="","",IF(ISNUMBER(I1969),I1969,TasaUSD))</f>
        <v/>
      </c>
      <c r="S1969" s="53">
        <f>IF(P1969="","",IF(H1969="USD",G1969*R1969,G1969))</f>
        <v/>
      </c>
      <c r="T1969" s="53">
        <f>IF(P1969="","",IF(H1969="USD",G1969,IF(R1969&gt;0,G1969/R1969,0)))</f>
        <v/>
      </c>
      <c r="U1969" s="53">
        <f>IF(P1969="","",IF(P1969="Gasto",S1969,IF(P1969="Reembolso",-S1969,0)))</f>
        <v/>
      </c>
      <c r="V1969" s="53">
        <f>IF(P1969="","",IF(P1969="Ingreso",S1969,0))</f>
        <v/>
      </c>
      <c r="W1969" s="53">
        <f>IF(P1969="","",IF(P1969="Resultado trading",S1969,0))</f>
        <v/>
      </c>
      <c r="X1969" s="52">
        <f>IF(OR(P1969="Gasto",P1969="Reembolso"),IF(M1969&lt;&gt;"",M1969,IFERROR(INDEX(catClasif,MATCH(D1969&amp;"|"&amp;E1969,catClave,0))&amp;"","Variable")),"")</f>
        <v/>
      </c>
      <c r="Y1969" s="52">
        <f>IF(P1969="","",IFERROR(INDEX(catGrupo,MATCH(D1969&amp;"|"&amp;E1969,catClave,0))&amp;"",""))</f>
        <v/>
      </c>
      <c r="Z1969" s="52">
        <f>IF(P1969="","",WEEKDAY(B1969,2))</f>
        <v/>
      </c>
      <c r="AA1969" s="52">
        <f>IF(P1969="","",IF(AND(P1969="Gasto",X1969="Variable",D1969&lt;&gt;catTrading,S1969&gt;0,S1969&lt;=Umbral),1,0))</f>
        <v/>
      </c>
      <c r="AB1969" s="52">
        <f>IF(OR(P1969="",Q1969=""),"",IFERROR(IF(INDEX(ctaVinc,MATCH(Q1969,ctaNombre,0))&amp;""&lt;&gt;"",INDEX(ctaVinc,MATCH(Q1969,ctaNombre,0))&amp;"",Q1969),Q1969))</f>
        <v/>
      </c>
      <c r="AC1969" s="52">
        <f>IF(OR(K1969="",AND(P1969&lt;&gt;"Transferencia",P1969&lt;&gt;"Pago tarjeta")),"",IFERROR(IF(INDEX(ctaVinc,MATCH(K1969,ctaNombre,0))&amp;""&lt;&gt;"",INDEX(ctaVinc,MATCH(K1969,ctaNombre,0))&amp;"",K1969),K1969))</f>
        <v/>
      </c>
      <c r="AD1969" s="52">
        <f>IF(AB1969="","",IFERROR(INDEX(ctaTipo,MATCH(AB1969,ctaNombre,0))&amp;"",""))</f>
        <v/>
      </c>
      <c r="AE1969" s="52">
        <f>IF(AC1969="","",IFERROR(INDEX(ctaTipo,MATCH(AC1969,ctaNombre,0))&amp;"",""))</f>
        <v/>
      </c>
      <c r="AF1969" s="53">
        <f>IF(OR(P1969="",AB1969=""),"",IF(OR(P1969="Gasto",P1969="Transferencia",P1969="Pago tarjeta"),-1,1)*IF(IFERROR(INDEX(ctaMoneda,MATCH(AB1969,ctaNombre,0))&amp;"","DOP")="USD",T1969,S1969))</f>
        <v/>
      </c>
      <c r="AG1969" s="53">
        <f>IF(AC1969="","",IF(IFERROR(INDEX(ctaMoneda,MATCH(AC1969,ctaNombre,0))&amp;"","DOP")="USD",T1969,S1969))</f>
        <v/>
      </c>
      <c r="AH1969" s="53">
        <f>IF(P1969="","",IF(AND(AD1969&lt;&gt;"",COUNTIFS(tcTipo,AD1969,tcLiq,"Sí")&gt;0),IF(OR(P1969="Gasto",P1969="Transferencia",P1969="Pago tarjeta"),-1,1)*S1969,0)+IF(AND(AE1969&lt;&gt;"",COUNTIFS(tcTipo,AE1969,tcLiq,"Sí")&gt;0),S1969,0))</f>
        <v/>
      </c>
      <c r="AI1969" s="52">
        <f>IF(OR(L1969="",P1969=""),"",IF(COUNTIFS(L$6:L1969,L1969,P$6:P1969,"?*")=1,MAX(AI$5:AI1968)+1,""))</f>
        <v/>
      </c>
    </row>
    <row r="1970">
      <c r="B1970" s="47" t="n"/>
      <c r="C1970" s="48" t="n"/>
      <c r="D1970" s="48" t="n"/>
      <c r="E1970" s="48" t="n"/>
      <c r="F1970" s="48" t="n"/>
      <c r="G1970" s="49" t="n"/>
      <c r="H1970" s="48" t="n"/>
      <c r="I1970" s="50" t="n"/>
      <c r="J1970" s="48" t="n"/>
      <c r="K1970" s="48" t="n"/>
      <c r="L1970" s="48" t="n"/>
      <c r="M1970" s="48" t="n"/>
      <c r="N1970" s="48" t="n"/>
      <c r="O1970" s="51">
        <f>IF(AND(B1970="",G1970="",C1970="",D1970="",J1970=""),"",IF(B1970="","⚠ Falta fecha",IF(G1970="","⚠ Falta monto",IF(Q1970="","⚠ Falta cuenta",IF(ISNA(MATCH(Q1970,ctaNombre,0)),"⚠ Cuenta no registrada",IF(AND(OR(P1970="Gasto",P1970="Reembolso"),D1970=""),"⚠ Falta categoría",IF(AND(D1970&lt;&gt;"",E1970&lt;&gt;"",ISNA(MATCH(D1970&amp;"|"&amp;E1970,catClave,0))),"⚠ Subcategoría no corresponde",IF(AND(OR(P1970="Transferencia",P1970="Pago tarjeta"),K1970=""),"⚠ Falta cuenta destino",IF(AND(K1970&lt;&gt;"",P1970&lt;&gt;"Transferencia",P1970&lt;&gt;"Pago tarjeta"),"⚠ Destino solo aplica a transferencias",IF(AND(K1970&lt;&gt;"",K1970=Q1970),"⚠ Origen igual a destino",IF(AND(K1970&lt;&gt;"",ISNA(MATCH(K1970,ctaNombre,0))),"⚠ Destino no registrado",IF(AND(P1970="Pago tarjeta",AE1970&lt;&gt;"Tarjeta de crédito"),"⚠ El destino debe ser tarjeta de crédito",IF(AND(P1970="Gasto",E1970="Depósitos y retiros"),"⚠ Usa tipo Transferencia",IF(AND(P1970="Resultado trading",AD1970&lt;&gt;"Cuenta de trading"),"⚠ Usa una cuenta de trading",IF(AND(G1970&lt;=0,P1970&lt;&gt;"Ajuste",P1970&lt;&gt;"Resultado trading"),"⚠ El monto debe ser positivo","✓")))))))))))))))</f>
        <v/>
      </c>
      <c r="P1970" s="52">
        <f>IF(OR(B1970="",G1970=""),"",IF(C1970="","Gasto",C1970))</f>
        <v/>
      </c>
      <c r="Q1970" s="52">
        <f>IF(P1970="","",IF(J1970&lt;&gt;"",J1970,CuentaPred&amp;""))</f>
        <v/>
      </c>
      <c r="R1970" s="52">
        <f>IF(P1970="","",IF(ISNUMBER(I1970),I1970,TasaUSD))</f>
        <v/>
      </c>
      <c r="S1970" s="53">
        <f>IF(P1970="","",IF(H1970="USD",G1970*R1970,G1970))</f>
        <v/>
      </c>
      <c r="T1970" s="53">
        <f>IF(P1970="","",IF(H1970="USD",G1970,IF(R1970&gt;0,G1970/R1970,0)))</f>
        <v/>
      </c>
      <c r="U1970" s="53">
        <f>IF(P1970="","",IF(P1970="Gasto",S1970,IF(P1970="Reembolso",-S1970,0)))</f>
        <v/>
      </c>
      <c r="V1970" s="53">
        <f>IF(P1970="","",IF(P1970="Ingreso",S1970,0))</f>
        <v/>
      </c>
      <c r="W1970" s="53">
        <f>IF(P1970="","",IF(P1970="Resultado trading",S1970,0))</f>
        <v/>
      </c>
      <c r="X1970" s="52">
        <f>IF(OR(P1970="Gasto",P1970="Reembolso"),IF(M1970&lt;&gt;"",M1970,IFERROR(INDEX(catClasif,MATCH(D1970&amp;"|"&amp;E1970,catClave,0))&amp;"","Variable")),"")</f>
        <v/>
      </c>
      <c r="Y1970" s="52">
        <f>IF(P1970="","",IFERROR(INDEX(catGrupo,MATCH(D1970&amp;"|"&amp;E1970,catClave,0))&amp;"",""))</f>
        <v/>
      </c>
      <c r="Z1970" s="52">
        <f>IF(P1970="","",WEEKDAY(B1970,2))</f>
        <v/>
      </c>
      <c r="AA1970" s="52">
        <f>IF(P1970="","",IF(AND(P1970="Gasto",X1970="Variable",D1970&lt;&gt;catTrading,S1970&gt;0,S1970&lt;=Umbral),1,0))</f>
        <v/>
      </c>
      <c r="AB1970" s="52">
        <f>IF(OR(P1970="",Q1970=""),"",IFERROR(IF(INDEX(ctaVinc,MATCH(Q1970,ctaNombre,0))&amp;""&lt;&gt;"",INDEX(ctaVinc,MATCH(Q1970,ctaNombre,0))&amp;"",Q1970),Q1970))</f>
        <v/>
      </c>
      <c r="AC1970" s="52">
        <f>IF(OR(K1970="",AND(P1970&lt;&gt;"Transferencia",P1970&lt;&gt;"Pago tarjeta")),"",IFERROR(IF(INDEX(ctaVinc,MATCH(K1970,ctaNombre,0))&amp;""&lt;&gt;"",INDEX(ctaVinc,MATCH(K1970,ctaNombre,0))&amp;"",K1970),K1970))</f>
        <v/>
      </c>
      <c r="AD1970" s="52">
        <f>IF(AB1970="","",IFERROR(INDEX(ctaTipo,MATCH(AB1970,ctaNombre,0))&amp;"",""))</f>
        <v/>
      </c>
      <c r="AE1970" s="52">
        <f>IF(AC1970="","",IFERROR(INDEX(ctaTipo,MATCH(AC1970,ctaNombre,0))&amp;"",""))</f>
        <v/>
      </c>
      <c r="AF1970" s="53">
        <f>IF(OR(P1970="",AB1970=""),"",IF(OR(P1970="Gasto",P1970="Transferencia",P1970="Pago tarjeta"),-1,1)*IF(IFERROR(INDEX(ctaMoneda,MATCH(AB1970,ctaNombre,0))&amp;"","DOP")="USD",T1970,S1970))</f>
        <v/>
      </c>
      <c r="AG1970" s="53">
        <f>IF(AC1970="","",IF(IFERROR(INDEX(ctaMoneda,MATCH(AC1970,ctaNombre,0))&amp;"","DOP")="USD",T1970,S1970))</f>
        <v/>
      </c>
      <c r="AH1970" s="53">
        <f>IF(P1970="","",IF(AND(AD1970&lt;&gt;"",COUNTIFS(tcTipo,AD1970,tcLiq,"Sí")&gt;0),IF(OR(P1970="Gasto",P1970="Transferencia",P1970="Pago tarjeta"),-1,1)*S1970,0)+IF(AND(AE1970&lt;&gt;"",COUNTIFS(tcTipo,AE1970,tcLiq,"Sí")&gt;0),S1970,0))</f>
        <v/>
      </c>
      <c r="AI1970" s="52">
        <f>IF(OR(L1970="",P1970=""),"",IF(COUNTIFS(L$6:L1970,L1970,P$6:P1970,"?*")=1,MAX(AI$5:AI1969)+1,""))</f>
        <v/>
      </c>
    </row>
    <row r="1971">
      <c r="B1971" s="47" t="n"/>
      <c r="C1971" s="48" t="n"/>
      <c r="D1971" s="48" t="n"/>
      <c r="E1971" s="48" t="n"/>
      <c r="F1971" s="48" t="n"/>
      <c r="G1971" s="49" t="n"/>
      <c r="H1971" s="48" t="n"/>
      <c r="I1971" s="50" t="n"/>
      <c r="J1971" s="48" t="n"/>
      <c r="K1971" s="48" t="n"/>
      <c r="L1971" s="48" t="n"/>
      <c r="M1971" s="48" t="n"/>
      <c r="N1971" s="48" t="n"/>
      <c r="O1971" s="51">
        <f>IF(AND(B1971="",G1971="",C1971="",D1971="",J1971=""),"",IF(B1971="","⚠ Falta fecha",IF(G1971="","⚠ Falta monto",IF(Q1971="","⚠ Falta cuenta",IF(ISNA(MATCH(Q1971,ctaNombre,0)),"⚠ Cuenta no registrada",IF(AND(OR(P1971="Gasto",P1971="Reembolso"),D1971=""),"⚠ Falta categoría",IF(AND(D1971&lt;&gt;"",E1971&lt;&gt;"",ISNA(MATCH(D1971&amp;"|"&amp;E1971,catClave,0))),"⚠ Subcategoría no corresponde",IF(AND(OR(P1971="Transferencia",P1971="Pago tarjeta"),K1971=""),"⚠ Falta cuenta destino",IF(AND(K1971&lt;&gt;"",P1971&lt;&gt;"Transferencia",P1971&lt;&gt;"Pago tarjeta"),"⚠ Destino solo aplica a transferencias",IF(AND(K1971&lt;&gt;"",K1971=Q1971),"⚠ Origen igual a destino",IF(AND(K1971&lt;&gt;"",ISNA(MATCH(K1971,ctaNombre,0))),"⚠ Destino no registrado",IF(AND(P1971="Pago tarjeta",AE1971&lt;&gt;"Tarjeta de crédito"),"⚠ El destino debe ser tarjeta de crédito",IF(AND(P1971="Gasto",E1971="Depósitos y retiros"),"⚠ Usa tipo Transferencia",IF(AND(P1971="Resultado trading",AD1971&lt;&gt;"Cuenta de trading"),"⚠ Usa una cuenta de trading",IF(AND(G1971&lt;=0,P1971&lt;&gt;"Ajuste",P1971&lt;&gt;"Resultado trading"),"⚠ El monto debe ser positivo","✓")))))))))))))))</f>
        <v/>
      </c>
      <c r="P1971" s="52">
        <f>IF(OR(B1971="",G1971=""),"",IF(C1971="","Gasto",C1971))</f>
        <v/>
      </c>
      <c r="Q1971" s="52">
        <f>IF(P1971="","",IF(J1971&lt;&gt;"",J1971,CuentaPred&amp;""))</f>
        <v/>
      </c>
      <c r="R1971" s="52">
        <f>IF(P1971="","",IF(ISNUMBER(I1971),I1971,TasaUSD))</f>
        <v/>
      </c>
      <c r="S1971" s="53">
        <f>IF(P1971="","",IF(H1971="USD",G1971*R1971,G1971))</f>
        <v/>
      </c>
      <c r="T1971" s="53">
        <f>IF(P1971="","",IF(H1971="USD",G1971,IF(R1971&gt;0,G1971/R1971,0)))</f>
        <v/>
      </c>
      <c r="U1971" s="53">
        <f>IF(P1971="","",IF(P1971="Gasto",S1971,IF(P1971="Reembolso",-S1971,0)))</f>
        <v/>
      </c>
      <c r="V1971" s="53">
        <f>IF(P1971="","",IF(P1971="Ingreso",S1971,0))</f>
        <v/>
      </c>
      <c r="W1971" s="53">
        <f>IF(P1971="","",IF(P1971="Resultado trading",S1971,0))</f>
        <v/>
      </c>
      <c r="X1971" s="52">
        <f>IF(OR(P1971="Gasto",P1971="Reembolso"),IF(M1971&lt;&gt;"",M1971,IFERROR(INDEX(catClasif,MATCH(D1971&amp;"|"&amp;E1971,catClave,0))&amp;"","Variable")),"")</f>
        <v/>
      </c>
      <c r="Y1971" s="52">
        <f>IF(P1971="","",IFERROR(INDEX(catGrupo,MATCH(D1971&amp;"|"&amp;E1971,catClave,0))&amp;"",""))</f>
        <v/>
      </c>
      <c r="Z1971" s="52">
        <f>IF(P1971="","",WEEKDAY(B1971,2))</f>
        <v/>
      </c>
      <c r="AA1971" s="52">
        <f>IF(P1971="","",IF(AND(P1971="Gasto",X1971="Variable",D1971&lt;&gt;catTrading,S1971&gt;0,S1971&lt;=Umbral),1,0))</f>
        <v/>
      </c>
      <c r="AB1971" s="52">
        <f>IF(OR(P1971="",Q1971=""),"",IFERROR(IF(INDEX(ctaVinc,MATCH(Q1971,ctaNombre,0))&amp;""&lt;&gt;"",INDEX(ctaVinc,MATCH(Q1971,ctaNombre,0))&amp;"",Q1971),Q1971))</f>
        <v/>
      </c>
      <c r="AC1971" s="52">
        <f>IF(OR(K1971="",AND(P1971&lt;&gt;"Transferencia",P1971&lt;&gt;"Pago tarjeta")),"",IFERROR(IF(INDEX(ctaVinc,MATCH(K1971,ctaNombre,0))&amp;""&lt;&gt;"",INDEX(ctaVinc,MATCH(K1971,ctaNombre,0))&amp;"",K1971),K1971))</f>
        <v/>
      </c>
      <c r="AD1971" s="52">
        <f>IF(AB1971="","",IFERROR(INDEX(ctaTipo,MATCH(AB1971,ctaNombre,0))&amp;"",""))</f>
        <v/>
      </c>
      <c r="AE1971" s="52">
        <f>IF(AC1971="","",IFERROR(INDEX(ctaTipo,MATCH(AC1971,ctaNombre,0))&amp;"",""))</f>
        <v/>
      </c>
      <c r="AF1971" s="53">
        <f>IF(OR(P1971="",AB1971=""),"",IF(OR(P1971="Gasto",P1971="Transferencia",P1971="Pago tarjeta"),-1,1)*IF(IFERROR(INDEX(ctaMoneda,MATCH(AB1971,ctaNombre,0))&amp;"","DOP")="USD",T1971,S1971))</f>
        <v/>
      </c>
      <c r="AG1971" s="53">
        <f>IF(AC1971="","",IF(IFERROR(INDEX(ctaMoneda,MATCH(AC1971,ctaNombre,0))&amp;"","DOP")="USD",T1971,S1971))</f>
        <v/>
      </c>
      <c r="AH1971" s="53">
        <f>IF(P1971="","",IF(AND(AD1971&lt;&gt;"",COUNTIFS(tcTipo,AD1971,tcLiq,"Sí")&gt;0),IF(OR(P1971="Gasto",P1971="Transferencia",P1971="Pago tarjeta"),-1,1)*S1971,0)+IF(AND(AE1971&lt;&gt;"",COUNTIFS(tcTipo,AE1971,tcLiq,"Sí")&gt;0),S1971,0))</f>
        <v/>
      </c>
      <c r="AI1971" s="52">
        <f>IF(OR(L1971="",P1971=""),"",IF(COUNTIFS(L$6:L1971,L1971,P$6:P1971,"?*")=1,MAX(AI$5:AI1970)+1,""))</f>
        <v/>
      </c>
    </row>
    <row r="1972">
      <c r="B1972" s="47" t="n"/>
      <c r="C1972" s="48" t="n"/>
      <c r="D1972" s="48" t="n"/>
      <c r="E1972" s="48" t="n"/>
      <c r="F1972" s="48" t="n"/>
      <c r="G1972" s="49" t="n"/>
      <c r="H1972" s="48" t="n"/>
      <c r="I1972" s="50" t="n"/>
      <c r="J1972" s="48" t="n"/>
      <c r="K1972" s="48" t="n"/>
      <c r="L1972" s="48" t="n"/>
      <c r="M1972" s="48" t="n"/>
      <c r="N1972" s="48" t="n"/>
      <c r="O1972" s="51">
        <f>IF(AND(B1972="",G1972="",C1972="",D1972="",J1972=""),"",IF(B1972="","⚠ Falta fecha",IF(G1972="","⚠ Falta monto",IF(Q1972="","⚠ Falta cuenta",IF(ISNA(MATCH(Q1972,ctaNombre,0)),"⚠ Cuenta no registrada",IF(AND(OR(P1972="Gasto",P1972="Reembolso"),D1972=""),"⚠ Falta categoría",IF(AND(D1972&lt;&gt;"",E1972&lt;&gt;"",ISNA(MATCH(D1972&amp;"|"&amp;E1972,catClave,0))),"⚠ Subcategoría no corresponde",IF(AND(OR(P1972="Transferencia",P1972="Pago tarjeta"),K1972=""),"⚠ Falta cuenta destino",IF(AND(K1972&lt;&gt;"",P1972&lt;&gt;"Transferencia",P1972&lt;&gt;"Pago tarjeta"),"⚠ Destino solo aplica a transferencias",IF(AND(K1972&lt;&gt;"",K1972=Q1972),"⚠ Origen igual a destino",IF(AND(K1972&lt;&gt;"",ISNA(MATCH(K1972,ctaNombre,0))),"⚠ Destino no registrado",IF(AND(P1972="Pago tarjeta",AE1972&lt;&gt;"Tarjeta de crédito"),"⚠ El destino debe ser tarjeta de crédito",IF(AND(P1972="Gasto",E1972="Depósitos y retiros"),"⚠ Usa tipo Transferencia",IF(AND(P1972="Resultado trading",AD1972&lt;&gt;"Cuenta de trading"),"⚠ Usa una cuenta de trading",IF(AND(G1972&lt;=0,P1972&lt;&gt;"Ajuste",P1972&lt;&gt;"Resultado trading"),"⚠ El monto debe ser positivo","✓")))))))))))))))</f>
        <v/>
      </c>
      <c r="P1972" s="52">
        <f>IF(OR(B1972="",G1972=""),"",IF(C1972="","Gasto",C1972))</f>
        <v/>
      </c>
      <c r="Q1972" s="52">
        <f>IF(P1972="","",IF(J1972&lt;&gt;"",J1972,CuentaPred&amp;""))</f>
        <v/>
      </c>
      <c r="R1972" s="52">
        <f>IF(P1972="","",IF(ISNUMBER(I1972),I1972,TasaUSD))</f>
        <v/>
      </c>
      <c r="S1972" s="53">
        <f>IF(P1972="","",IF(H1972="USD",G1972*R1972,G1972))</f>
        <v/>
      </c>
      <c r="T1972" s="53">
        <f>IF(P1972="","",IF(H1972="USD",G1972,IF(R1972&gt;0,G1972/R1972,0)))</f>
        <v/>
      </c>
      <c r="U1972" s="53">
        <f>IF(P1972="","",IF(P1972="Gasto",S1972,IF(P1972="Reembolso",-S1972,0)))</f>
        <v/>
      </c>
      <c r="V1972" s="53">
        <f>IF(P1972="","",IF(P1972="Ingreso",S1972,0))</f>
        <v/>
      </c>
      <c r="W1972" s="53">
        <f>IF(P1972="","",IF(P1972="Resultado trading",S1972,0))</f>
        <v/>
      </c>
      <c r="X1972" s="52">
        <f>IF(OR(P1972="Gasto",P1972="Reembolso"),IF(M1972&lt;&gt;"",M1972,IFERROR(INDEX(catClasif,MATCH(D1972&amp;"|"&amp;E1972,catClave,0))&amp;"","Variable")),"")</f>
        <v/>
      </c>
      <c r="Y1972" s="52">
        <f>IF(P1972="","",IFERROR(INDEX(catGrupo,MATCH(D1972&amp;"|"&amp;E1972,catClave,0))&amp;"",""))</f>
        <v/>
      </c>
      <c r="Z1972" s="52">
        <f>IF(P1972="","",WEEKDAY(B1972,2))</f>
        <v/>
      </c>
      <c r="AA1972" s="52">
        <f>IF(P1972="","",IF(AND(P1972="Gasto",X1972="Variable",D1972&lt;&gt;catTrading,S1972&gt;0,S1972&lt;=Umbral),1,0))</f>
        <v/>
      </c>
      <c r="AB1972" s="52">
        <f>IF(OR(P1972="",Q1972=""),"",IFERROR(IF(INDEX(ctaVinc,MATCH(Q1972,ctaNombre,0))&amp;""&lt;&gt;"",INDEX(ctaVinc,MATCH(Q1972,ctaNombre,0))&amp;"",Q1972),Q1972))</f>
        <v/>
      </c>
      <c r="AC1972" s="52">
        <f>IF(OR(K1972="",AND(P1972&lt;&gt;"Transferencia",P1972&lt;&gt;"Pago tarjeta")),"",IFERROR(IF(INDEX(ctaVinc,MATCH(K1972,ctaNombre,0))&amp;""&lt;&gt;"",INDEX(ctaVinc,MATCH(K1972,ctaNombre,0))&amp;"",K1972),K1972))</f>
        <v/>
      </c>
      <c r="AD1972" s="52">
        <f>IF(AB1972="","",IFERROR(INDEX(ctaTipo,MATCH(AB1972,ctaNombre,0))&amp;"",""))</f>
        <v/>
      </c>
      <c r="AE1972" s="52">
        <f>IF(AC1972="","",IFERROR(INDEX(ctaTipo,MATCH(AC1972,ctaNombre,0))&amp;"",""))</f>
        <v/>
      </c>
      <c r="AF1972" s="53">
        <f>IF(OR(P1972="",AB1972=""),"",IF(OR(P1972="Gasto",P1972="Transferencia",P1972="Pago tarjeta"),-1,1)*IF(IFERROR(INDEX(ctaMoneda,MATCH(AB1972,ctaNombre,0))&amp;"","DOP")="USD",T1972,S1972))</f>
        <v/>
      </c>
      <c r="AG1972" s="53">
        <f>IF(AC1972="","",IF(IFERROR(INDEX(ctaMoneda,MATCH(AC1972,ctaNombre,0))&amp;"","DOP")="USD",T1972,S1972))</f>
        <v/>
      </c>
      <c r="AH1972" s="53">
        <f>IF(P1972="","",IF(AND(AD1972&lt;&gt;"",COUNTIFS(tcTipo,AD1972,tcLiq,"Sí")&gt;0),IF(OR(P1972="Gasto",P1972="Transferencia",P1972="Pago tarjeta"),-1,1)*S1972,0)+IF(AND(AE1972&lt;&gt;"",COUNTIFS(tcTipo,AE1972,tcLiq,"Sí")&gt;0),S1972,0))</f>
        <v/>
      </c>
      <c r="AI1972" s="52">
        <f>IF(OR(L1972="",P1972=""),"",IF(COUNTIFS(L$6:L1972,L1972,P$6:P1972,"?*")=1,MAX(AI$5:AI1971)+1,""))</f>
        <v/>
      </c>
    </row>
    <row r="1973">
      <c r="B1973" s="47" t="n"/>
      <c r="C1973" s="48" t="n"/>
      <c r="D1973" s="48" t="n"/>
      <c r="E1973" s="48" t="n"/>
      <c r="F1973" s="48" t="n"/>
      <c r="G1973" s="49" t="n"/>
      <c r="H1973" s="48" t="n"/>
      <c r="I1973" s="50" t="n"/>
      <c r="J1973" s="48" t="n"/>
      <c r="K1973" s="48" t="n"/>
      <c r="L1973" s="48" t="n"/>
      <c r="M1973" s="48" t="n"/>
      <c r="N1973" s="48" t="n"/>
      <c r="O1973" s="51">
        <f>IF(AND(B1973="",G1973="",C1973="",D1973="",J1973=""),"",IF(B1973="","⚠ Falta fecha",IF(G1973="","⚠ Falta monto",IF(Q1973="","⚠ Falta cuenta",IF(ISNA(MATCH(Q1973,ctaNombre,0)),"⚠ Cuenta no registrada",IF(AND(OR(P1973="Gasto",P1973="Reembolso"),D1973=""),"⚠ Falta categoría",IF(AND(D1973&lt;&gt;"",E1973&lt;&gt;"",ISNA(MATCH(D1973&amp;"|"&amp;E1973,catClave,0))),"⚠ Subcategoría no corresponde",IF(AND(OR(P1973="Transferencia",P1973="Pago tarjeta"),K1973=""),"⚠ Falta cuenta destino",IF(AND(K1973&lt;&gt;"",P1973&lt;&gt;"Transferencia",P1973&lt;&gt;"Pago tarjeta"),"⚠ Destino solo aplica a transferencias",IF(AND(K1973&lt;&gt;"",K1973=Q1973),"⚠ Origen igual a destino",IF(AND(K1973&lt;&gt;"",ISNA(MATCH(K1973,ctaNombre,0))),"⚠ Destino no registrado",IF(AND(P1973="Pago tarjeta",AE1973&lt;&gt;"Tarjeta de crédito"),"⚠ El destino debe ser tarjeta de crédito",IF(AND(P1973="Gasto",E1973="Depósitos y retiros"),"⚠ Usa tipo Transferencia",IF(AND(P1973="Resultado trading",AD1973&lt;&gt;"Cuenta de trading"),"⚠ Usa una cuenta de trading",IF(AND(G1973&lt;=0,P1973&lt;&gt;"Ajuste",P1973&lt;&gt;"Resultado trading"),"⚠ El monto debe ser positivo","✓")))))))))))))))</f>
        <v/>
      </c>
      <c r="P1973" s="52">
        <f>IF(OR(B1973="",G1973=""),"",IF(C1973="","Gasto",C1973))</f>
        <v/>
      </c>
      <c r="Q1973" s="52">
        <f>IF(P1973="","",IF(J1973&lt;&gt;"",J1973,CuentaPred&amp;""))</f>
        <v/>
      </c>
      <c r="R1973" s="52">
        <f>IF(P1973="","",IF(ISNUMBER(I1973),I1973,TasaUSD))</f>
        <v/>
      </c>
      <c r="S1973" s="53">
        <f>IF(P1973="","",IF(H1973="USD",G1973*R1973,G1973))</f>
        <v/>
      </c>
      <c r="T1973" s="53">
        <f>IF(P1973="","",IF(H1973="USD",G1973,IF(R1973&gt;0,G1973/R1973,0)))</f>
        <v/>
      </c>
      <c r="U1973" s="53">
        <f>IF(P1973="","",IF(P1973="Gasto",S1973,IF(P1973="Reembolso",-S1973,0)))</f>
        <v/>
      </c>
      <c r="V1973" s="53">
        <f>IF(P1973="","",IF(P1973="Ingreso",S1973,0))</f>
        <v/>
      </c>
      <c r="W1973" s="53">
        <f>IF(P1973="","",IF(P1973="Resultado trading",S1973,0))</f>
        <v/>
      </c>
      <c r="X1973" s="52">
        <f>IF(OR(P1973="Gasto",P1973="Reembolso"),IF(M1973&lt;&gt;"",M1973,IFERROR(INDEX(catClasif,MATCH(D1973&amp;"|"&amp;E1973,catClave,0))&amp;"","Variable")),"")</f>
        <v/>
      </c>
      <c r="Y1973" s="52">
        <f>IF(P1973="","",IFERROR(INDEX(catGrupo,MATCH(D1973&amp;"|"&amp;E1973,catClave,0))&amp;"",""))</f>
        <v/>
      </c>
      <c r="Z1973" s="52">
        <f>IF(P1973="","",WEEKDAY(B1973,2))</f>
        <v/>
      </c>
      <c r="AA1973" s="52">
        <f>IF(P1973="","",IF(AND(P1973="Gasto",X1973="Variable",D1973&lt;&gt;catTrading,S1973&gt;0,S1973&lt;=Umbral),1,0))</f>
        <v/>
      </c>
      <c r="AB1973" s="52">
        <f>IF(OR(P1973="",Q1973=""),"",IFERROR(IF(INDEX(ctaVinc,MATCH(Q1973,ctaNombre,0))&amp;""&lt;&gt;"",INDEX(ctaVinc,MATCH(Q1973,ctaNombre,0))&amp;"",Q1973),Q1973))</f>
        <v/>
      </c>
      <c r="AC1973" s="52">
        <f>IF(OR(K1973="",AND(P1973&lt;&gt;"Transferencia",P1973&lt;&gt;"Pago tarjeta")),"",IFERROR(IF(INDEX(ctaVinc,MATCH(K1973,ctaNombre,0))&amp;""&lt;&gt;"",INDEX(ctaVinc,MATCH(K1973,ctaNombre,0))&amp;"",K1973),K1973))</f>
        <v/>
      </c>
      <c r="AD1973" s="52">
        <f>IF(AB1973="","",IFERROR(INDEX(ctaTipo,MATCH(AB1973,ctaNombre,0))&amp;"",""))</f>
        <v/>
      </c>
      <c r="AE1973" s="52">
        <f>IF(AC1973="","",IFERROR(INDEX(ctaTipo,MATCH(AC1973,ctaNombre,0))&amp;"",""))</f>
        <v/>
      </c>
      <c r="AF1973" s="53">
        <f>IF(OR(P1973="",AB1973=""),"",IF(OR(P1973="Gasto",P1973="Transferencia",P1973="Pago tarjeta"),-1,1)*IF(IFERROR(INDEX(ctaMoneda,MATCH(AB1973,ctaNombre,0))&amp;"","DOP")="USD",T1973,S1973))</f>
        <v/>
      </c>
      <c r="AG1973" s="53">
        <f>IF(AC1973="","",IF(IFERROR(INDEX(ctaMoneda,MATCH(AC1973,ctaNombre,0))&amp;"","DOP")="USD",T1973,S1973))</f>
        <v/>
      </c>
      <c r="AH1973" s="53">
        <f>IF(P1973="","",IF(AND(AD1973&lt;&gt;"",COUNTIFS(tcTipo,AD1973,tcLiq,"Sí")&gt;0),IF(OR(P1973="Gasto",P1973="Transferencia",P1973="Pago tarjeta"),-1,1)*S1973,0)+IF(AND(AE1973&lt;&gt;"",COUNTIFS(tcTipo,AE1973,tcLiq,"Sí")&gt;0),S1973,0))</f>
        <v/>
      </c>
      <c r="AI1973" s="52">
        <f>IF(OR(L1973="",P1973=""),"",IF(COUNTIFS(L$6:L1973,L1973,P$6:P1973,"?*")=1,MAX(AI$5:AI1972)+1,""))</f>
        <v/>
      </c>
    </row>
    <row r="1974">
      <c r="B1974" s="47" t="n"/>
      <c r="C1974" s="48" t="n"/>
      <c r="D1974" s="48" t="n"/>
      <c r="E1974" s="48" t="n"/>
      <c r="F1974" s="48" t="n"/>
      <c r="G1974" s="49" t="n"/>
      <c r="H1974" s="48" t="n"/>
      <c r="I1974" s="50" t="n"/>
      <c r="J1974" s="48" t="n"/>
      <c r="K1974" s="48" t="n"/>
      <c r="L1974" s="48" t="n"/>
      <c r="M1974" s="48" t="n"/>
      <c r="N1974" s="48" t="n"/>
      <c r="O1974" s="51">
        <f>IF(AND(B1974="",G1974="",C1974="",D1974="",J1974=""),"",IF(B1974="","⚠ Falta fecha",IF(G1974="","⚠ Falta monto",IF(Q1974="","⚠ Falta cuenta",IF(ISNA(MATCH(Q1974,ctaNombre,0)),"⚠ Cuenta no registrada",IF(AND(OR(P1974="Gasto",P1974="Reembolso"),D1974=""),"⚠ Falta categoría",IF(AND(D1974&lt;&gt;"",E1974&lt;&gt;"",ISNA(MATCH(D1974&amp;"|"&amp;E1974,catClave,0))),"⚠ Subcategoría no corresponde",IF(AND(OR(P1974="Transferencia",P1974="Pago tarjeta"),K1974=""),"⚠ Falta cuenta destino",IF(AND(K1974&lt;&gt;"",P1974&lt;&gt;"Transferencia",P1974&lt;&gt;"Pago tarjeta"),"⚠ Destino solo aplica a transferencias",IF(AND(K1974&lt;&gt;"",K1974=Q1974),"⚠ Origen igual a destino",IF(AND(K1974&lt;&gt;"",ISNA(MATCH(K1974,ctaNombre,0))),"⚠ Destino no registrado",IF(AND(P1974="Pago tarjeta",AE1974&lt;&gt;"Tarjeta de crédito"),"⚠ El destino debe ser tarjeta de crédito",IF(AND(P1974="Gasto",E1974="Depósitos y retiros"),"⚠ Usa tipo Transferencia",IF(AND(P1974="Resultado trading",AD1974&lt;&gt;"Cuenta de trading"),"⚠ Usa una cuenta de trading",IF(AND(G1974&lt;=0,P1974&lt;&gt;"Ajuste",P1974&lt;&gt;"Resultado trading"),"⚠ El monto debe ser positivo","✓")))))))))))))))</f>
        <v/>
      </c>
      <c r="P1974" s="52">
        <f>IF(OR(B1974="",G1974=""),"",IF(C1974="","Gasto",C1974))</f>
        <v/>
      </c>
      <c r="Q1974" s="52">
        <f>IF(P1974="","",IF(J1974&lt;&gt;"",J1974,CuentaPred&amp;""))</f>
        <v/>
      </c>
      <c r="R1974" s="52">
        <f>IF(P1974="","",IF(ISNUMBER(I1974),I1974,TasaUSD))</f>
        <v/>
      </c>
      <c r="S1974" s="53">
        <f>IF(P1974="","",IF(H1974="USD",G1974*R1974,G1974))</f>
        <v/>
      </c>
      <c r="T1974" s="53">
        <f>IF(P1974="","",IF(H1974="USD",G1974,IF(R1974&gt;0,G1974/R1974,0)))</f>
        <v/>
      </c>
      <c r="U1974" s="53">
        <f>IF(P1974="","",IF(P1974="Gasto",S1974,IF(P1974="Reembolso",-S1974,0)))</f>
        <v/>
      </c>
      <c r="V1974" s="53">
        <f>IF(P1974="","",IF(P1974="Ingreso",S1974,0))</f>
        <v/>
      </c>
      <c r="W1974" s="53">
        <f>IF(P1974="","",IF(P1974="Resultado trading",S1974,0))</f>
        <v/>
      </c>
      <c r="X1974" s="52">
        <f>IF(OR(P1974="Gasto",P1974="Reembolso"),IF(M1974&lt;&gt;"",M1974,IFERROR(INDEX(catClasif,MATCH(D1974&amp;"|"&amp;E1974,catClave,0))&amp;"","Variable")),"")</f>
        <v/>
      </c>
      <c r="Y1974" s="52">
        <f>IF(P1974="","",IFERROR(INDEX(catGrupo,MATCH(D1974&amp;"|"&amp;E1974,catClave,0))&amp;"",""))</f>
        <v/>
      </c>
      <c r="Z1974" s="52">
        <f>IF(P1974="","",WEEKDAY(B1974,2))</f>
        <v/>
      </c>
      <c r="AA1974" s="52">
        <f>IF(P1974="","",IF(AND(P1974="Gasto",X1974="Variable",D1974&lt;&gt;catTrading,S1974&gt;0,S1974&lt;=Umbral),1,0))</f>
        <v/>
      </c>
      <c r="AB1974" s="52">
        <f>IF(OR(P1974="",Q1974=""),"",IFERROR(IF(INDEX(ctaVinc,MATCH(Q1974,ctaNombre,0))&amp;""&lt;&gt;"",INDEX(ctaVinc,MATCH(Q1974,ctaNombre,0))&amp;"",Q1974),Q1974))</f>
        <v/>
      </c>
      <c r="AC1974" s="52">
        <f>IF(OR(K1974="",AND(P1974&lt;&gt;"Transferencia",P1974&lt;&gt;"Pago tarjeta")),"",IFERROR(IF(INDEX(ctaVinc,MATCH(K1974,ctaNombre,0))&amp;""&lt;&gt;"",INDEX(ctaVinc,MATCH(K1974,ctaNombre,0))&amp;"",K1974),K1974))</f>
        <v/>
      </c>
      <c r="AD1974" s="52">
        <f>IF(AB1974="","",IFERROR(INDEX(ctaTipo,MATCH(AB1974,ctaNombre,0))&amp;"",""))</f>
        <v/>
      </c>
      <c r="AE1974" s="52">
        <f>IF(AC1974="","",IFERROR(INDEX(ctaTipo,MATCH(AC1974,ctaNombre,0))&amp;"",""))</f>
        <v/>
      </c>
      <c r="AF1974" s="53">
        <f>IF(OR(P1974="",AB1974=""),"",IF(OR(P1974="Gasto",P1974="Transferencia",P1974="Pago tarjeta"),-1,1)*IF(IFERROR(INDEX(ctaMoneda,MATCH(AB1974,ctaNombre,0))&amp;"","DOP")="USD",T1974,S1974))</f>
        <v/>
      </c>
      <c r="AG1974" s="53">
        <f>IF(AC1974="","",IF(IFERROR(INDEX(ctaMoneda,MATCH(AC1974,ctaNombre,0))&amp;"","DOP")="USD",T1974,S1974))</f>
        <v/>
      </c>
      <c r="AH1974" s="53">
        <f>IF(P1974="","",IF(AND(AD1974&lt;&gt;"",COUNTIFS(tcTipo,AD1974,tcLiq,"Sí")&gt;0),IF(OR(P1974="Gasto",P1974="Transferencia",P1974="Pago tarjeta"),-1,1)*S1974,0)+IF(AND(AE1974&lt;&gt;"",COUNTIFS(tcTipo,AE1974,tcLiq,"Sí")&gt;0),S1974,0))</f>
        <v/>
      </c>
      <c r="AI1974" s="52">
        <f>IF(OR(L1974="",P1974=""),"",IF(COUNTIFS(L$6:L1974,L1974,P$6:P1974,"?*")=1,MAX(AI$5:AI1973)+1,""))</f>
        <v/>
      </c>
    </row>
    <row r="1975">
      <c r="B1975" s="47" t="n"/>
      <c r="C1975" s="48" t="n"/>
      <c r="D1975" s="48" t="n"/>
      <c r="E1975" s="48" t="n"/>
      <c r="F1975" s="48" t="n"/>
      <c r="G1975" s="49" t="n"/>
      <c r="H1975" s="48" t="n"/>
      <c r="I1975" s="50" t="n"/>
      <c r="J1975" s="48" t="n"/>
      <c r="K1975" s="48" t="n"/>
      <c r="L1975" s="48" t="n"/>
      <c r="M1975" s="48" t="n"/>
      <c r="N1975" s="48" t="n"/>
      <c r="O1975" s="51">
        <f>IF(AND(B1975="",G1975="",C1975="",D1975="",J1975=""),"",IF(B1975="","⚠ Falta fecha",IF(G1975="","⚠ Falta monto",IF(Q1975="","⚠ Falta cuenta",IF(ISNA(MATCH(Q1975,ctaNombre,0)),"⚠ Cuenta no registrada",IF(AND(OR(P1975="Gasto",P1975="Reembolso"),D1975=""),"⚠ Falta categoría",IF(AND(D1975&lt;&gt;"",E1975&lt;&gt;"",ISNA(MATCH(D1975&amp;"|"&amp;E1975,catClave,0))),"⚠ Subcategoría no corresponde",IF(AND(OR(P1975="Transferencia",P1975="Pago tarjeta"),K1975=""),"⚠ Falta cuenta destino",IF(AND(K1975&lt;&gt;"",P1975&lt;&gt;"Transferencia",P1975&lt;&gt;"Pago tarjeta"),"⚠ Destino solo aplica a transferencias",IF(AND(K1975&lt;&gt;"",K1975=Q1975),"⚠ Origen igual a destino",IF(AND(K1975&lt;&gt;"",ISNA(MATCH(K1975,ctaNombre,0))),"⚠ Destino no registrado",IF(AND(P1975="Pago tarjeta",AE1975&lt;&gt;"Tarjeta de crédito"),"⚠ El destino debe ser tarjeta de crédito",IF(AND(P1975="Gasto",E1975="Depósitos y retiros"),"⚠ Usa tipo Transferencia",IF(AND(P1975="Resultado trading",AD1975&lt;&gt;"Cuenta de trading"),"⚠ Usa una cuenta de trading",IF(AND(G1975&lt;=0,P1975&lt;&gt;"Ajuste",P1975&lt;&gt;"Resultado trading"),"⚠ El monto debe ser positivo","✓")))))))))))))))</f>
        <v/>
      </c>
      <c r="P1975" s="52">
        <f>IF(OR(B1975="",G1975=""),"",IF(C1975="","Gasto",C1975))</f>
        <v/>
      </c>
      <c r="Q1975" s="52">
        <f>IF(P1975="","",IF(J1975&lt;&gt;"",J1975,CuentaPred&amp;""))</f>
        <v/>
      </c>
      <c r="R1975" s="52">
        <f>IF(P1975="","",IF(ISNUMBER(I1975),I1975,TasaUSD))</f>
        <v/>
      </c>
      <c r="S1975" s="53">
        <f>IF(P1975="","",IF(H1975="USD",G1975*R1975,G1975))</f>
        <v/>
      </c>
      <c r="T1975" s="53">
        <f>IF(P1975="","",IF(H1975="USD",G1975,IF(R1975&gt;0,G1975/R1975,0)))</f>
        <v/>
      </c>
      <c r="U1975" s="53">
        <f>IF(P1975="","",IF(P1975="Gasto",S1975,IF(P1975="Reembolso",-S1975,0)))</f>
        <v/>
      </c>
      <c r="V1975" s="53">
        <f>IF(P1975="","",IF(P1975="Ingreso",S1975,0))</f>
        <v/>
      </c>
      <c r="W1975" s="53">
        <f>IF(P1975="","",IF(P1975="Resultado trading",S1975,0))</f>
        <v/>
      </c>
      <c r="X1975" s="52">
        <f>IF(OR(P1975="Gasto",P1975="Reembolso"),IF(M1975&lt;&gt;"",M1975,IFERROR(INDEX(catClasif,MATCH(D1975&amp;"|"&amp;E1975,catClave,0))&amp;"","Variable")),"")</f>
        <v/>
      </c>
      <c r="Y1975" s="52">
        <f>IF(P1975="","",IFERROR(INDEX(catGrupo,MATCH(D1975&amp;"|"&amp;E1975,catClave,0))&amp;"",""))</f>
        <v/>
      </c>
      <c r="Z1975" s="52">
        <f>IF(P1975="","",WEEKDAY(B1975,2))</f>
        <v/>
      </c>
      <c r="AA1975" s="52">
        <f>IF(P1975="","",IF(AND(P1975="Gasto",X1975="Variable",D1975&lt;&gt;catTrading,S1975&gt;0,S1975&lt;=Umbral),1,0))</f>
        <v/>
      </c>
      <c r="AB1975" s="52">
        <f>IF(OR(P1975="",Q1975=""),"",IFERROR(IF(INDEX(ctaVinc,MATCH(Q1975,ctaNombre,0))&amp;""&lt;&gt;"",INDEX(ctaVinc,MATCH(Q1975,ctaNombre,0))&amp;"",Q1975),Q1975))</f>
        <v/>
      </c>
      <c r="AC1975" s="52">
        <f>IF(OR(K1975="",AND(P1975&lt;&gt;"Transferencia",P1975&lt;&gt;"Pago tarjeta")),"",IFERROR(IF(INDEX(ctaVinc,MATCH(K1975,ctaNombre,0))&amp;""&lt;&gt;"",INDEX(ctaVinc,MATCH(K1975,ctaNombre,0))&amp;"",K1975),K1975))</f>
        <v/>
      </c>
      <c r="AD1975" s="52">
        <f>IF(AB1975="","",IFERROR(INDEX(ctaTipo,MATCH(AB1975,ctaNombre,0))&amp;"",""))</f>
        <v/>
      </c>
      <c r="AE1975" s="52">
        <f>IF(AC1975="","",IFERROR(INDEX(ctaTipo,MATCH(AC1975,ctaNombre,0))&amp;"",""))</f>
        <v/>
      </c>
      <c r="AF1975" s="53">
        <f>IF(OR(P1975="",AB1975=""),"",IF(OR(P1975="Gasto",P1975="Transferencia",P1975="Pago tarjeta"),-1,1)*IF(IFERROR(INDEX(ctaMoneda,MATCH(AB1975,ctaNombre,0))&amp;"","DOP")="USD",T1975,S1975))</f>
        <v/>
      </c>
      <c r="AG1975" s="53">
        <f>IF(AC1975="","",IF(IFERROR(INDEX(ctaMoneda,MATCH(AC1975,ctaNombre,0))&amp;"","DOP")="USD",T1975,S1975))</f>
        <v/>
      </c>
      <c r="AH1975" s="53">
        <f>IF(P1975="","",IF(AND(AD1975&lt;&gt;"",COUNTIFS(tcTipo,AD1975,tcLiq,"Sí")&gt;0),IF(OR(P1975="Gasto",P1975="Transferencia",P1975="Pago tarjeta"),-1,1)*S1975,0)+IF(AND(AE1975&lt;&gt;"",COUNTIFS(tcTipo,AE1975,tcLiq,"Sí")&gt;0),S1975,0))</f>
        <v/>
      </c>
      <c r="AI1975" s="52">
        <f>IF(OR(L1975="",P1975=""),"",IF(COUNTIFS(L$6:L1975,L1975,P$6:P1975,"?*")=1,MAX(AI$5:AI1974)+1,""))</f>
        <v/>
      </c>
    </row>
    <row r="1976">
      <c r="B1976" s="47" t="n"/>
      <c r="C1976" s="48" t="n"/>
      <c r="D1976" s="48" t="n"/>
      <c r="E1976" s="48" t="n"/>
      <c r="F1976" s="48" t="n"/>
      <c r="G1976" s="49" t="n"/>
      <c r="H1976" s="48" t="n"/>
      <c r="I1976" s="50" t="n"/>
      <c r="J1976" s="48" t="n"/>
      <c r="K1976" s="48" t="n"/>
      <c r="L1976" s="48" t="n"/>
      <c r="M1976" s="48" t="n"/>
      <c r="N1976" s="48" t="n"/>
      <c r="O1976" s="51">
        <f>IF(AND(B1976="",G1976="",C1976="",D1976="",J1976=""),"",IF(B1976="","⚠ Falta fecha",IF(G1976="","⚠ Falta monto",IF(Q1976="","⚠ Falta cuenta",IF(ISNA(MATCH(Q1976,ctaNombre,0)),"⚠ Cuenta no registrada",IF(AND(OR(P1976="Gasto",P1976="Reembolso"),D1976=""),"⚠ Falta categoría",IF(AND(D1976&lt;&gt;"",E1976&lt;&gt;"",ISNA(MATCH(D1976&amp;"|"&amp;E1976,catClave,0))),"⚠ Subcategoría no corresponde",IF(AND(OR(P1976="Transferencia",P1976="Pago tarjeta"),K1976=""),"⚠ Falta cuenta destino",IF(AND(K1976&lt;&gt;"",P1976&lt;&gt;"Transferencia",P1976&lt;&gt;"Pago tarjeta"),"⚠ Destino solo aplica a transferencias",IF(AND(K1976&lt;&gt;"",K1976=Q1976),"⚠ Origen igual a destino",IF(AND(K1976&lt;&gt;"",ISNA(MATCH(K1976,ctaNombre,0))),"⚠ Destino no registrado",IF(AND(P1976="Pago tarjeta",AE1976&lt;&gt;"Tarjeta de crédito"),"⚠ El destino debe ser tarjeta de crédito",IF(AND(P1976="Gasto",E1976="Depósitos y retiros"),"⚠ Usa tipo Transferencia",IF(AND(P1976="Resultado trading",AD1976&lt;&gt;"Cuenta de trading"),"⚠ Usa una cuenta de trading",IF(AND(G1976&lt;=0,P1976&lt;&gt;"Ajuste",P1976&lt;&gt;"Resultado trading"),"⚠ El monto debe ser positivo","✓")))))))))))))))</f>
        <v/>
      </c>
      <c r="P1976" s="52">
        <f>IF(OR(B1976="",G1976=""),"",IF(C1976="","Gasto",C1976))</f>
        <v/>
      </c>
      <c r="Q1976" s="52">
        <f>IF(P1976="","",IF(J1976&lt;&gt;"",J1976,CuentaPred&amp;""))</f>
        <v/>
      </c>
      <c r="R1976" s="52">
        <f>IF(P1976="","",IF(ISNUMBER(I1976),I1976,TasaUSD))</f>
        <v/>
      </c>
      <c r="S1976" s="53">
        <f>IF(P1976="","",IF(H1976="USD",G1976*R1976,G1976))</f>
        <v/>
      </c>
      <c r="T1976" s="53">
        <f>IF(P1976="","",IF(H1976="USD",G1976,IF(R1976&gt;0,G1976/R1976,0)))</f>
        <v/>
      </c>
      <c r="U1976" s="53">
        <f>IF(P1976="","",IF(P1976="Gasto",S1976,IF(P1976="Reembolso",-S1976,0)))</f>
        <v/>
      </c>
      <c r="V1976" s="53">
        <f>IF(P1976="","",IF(P1976="Ingreso",S1976,0))</f>
        <v/>
      </c>
      <c r="W1976" s="53">
        <f>IF(P1976="","",IF(P1976="Resultado trading",S1976,0))</f>
        <v/>
      </c>
      <c r="X1976" s="52">
        <f>IF(OR(P1976="Gasto",P1976="Reembolso"),IF(M1976&lt;&gt;"",M1976,IFERROR(INDEX(catClasif,MATCH(D1976&amp;"|"&amp;E1976,catClave,0))&amp;"","Variable")),"")</f>
        <v/>
      </c>
      <c r="Y1976" s="52">
        <f>IF(P1976="","",IFERROR(INDEX(catGrupo,MATCH(D1976&amp;"|"&amp;E1976,catClave,0))&amp;"",""))</f>
        <v/>
      </c>
      <c r="Z1976" s="52">
        <f>IF(P1976="","",WEEKDAY(B1976,2))</f>
        <v/>
      </c>
      <c r="AA1976" s="52">
        <f>IF(P1976="","",IF(AND(P1976="Gasto",X1976="Variable",D1976&lt;&gt;catTrading,S1976&gt;0,S1976&lt;=Umbral),1,0))</f>
        <v/>
      </c>
      <c r="AB1976" s="52">
        <f>IF(OR(P1976="",Q1976=""),"",IFERROR(IF(INDEX(ctaVinc,MATCH(Q1976,ctaNombre,0))&amp;""&lt;&gt;"",INDEX(ctaVinc,MATCH(Q1976,ctaNombre,0))&amp;"",Q1976),Q1976))</f>
        <v/>
      </c>
      <c r="AC1976" s="52">
        <f>IF(OR(K1976="",AND(P1976&lt;&gt;"Transferencia",P1976&lt;&gt;"Pago tarjeta")),"",IFERROR(IF(INDEX(ctaVinc,MATCH(K1976,ctaNombre,0))&amp;""&lt;&gt;"",INDEX(ctaVinc,MATCH(K1976,ctaNombre,0))&amp;"",K1976),K1976))</f>
        <v/>
      </c>
      <c r="AD1976" s="52">
        <f>IF(AB1976="","",IFERROR(INDEX(ctaTipo,MATCH(AB1976,ctaNombre,0))&amp;"",""))</f>
        <v/>
      </c>
      <c r="AE1976" s="52">
        <f>IF(AC1976="","",IFERROR(INDEX(ctaTipo,MATCH(AC1976,ctaNombre,0))&amp;"",""))</f>
        <v/>
      </c>
      <c r="AF1976" s="53">
        <f>IF(OR(P1976="",AB1976=""),"",IF(OR(P1976="Gasto",P1976="Transferencia",P1976="Pago tarjeta"),-1,1)*IF(IFERROR(INDEX(ctaMoneda,MATCH(AB1976,ctaNombre,0))&amp;"","DOP")="USD",T1976,S1976))</f>
        <v/>
      </c>
      <c r="AG1976" s="53">
        <f>IF(AC1976="","",IF(IFERROR(INDEX(ctaMoneda,MATCH(AC1976,ctaNombre,0))&amp;"","DOP")="USD",T1976,S1976))</f>
        <v/>
      </c>
      <c r="AH1976" s="53">
        <f>IF(P1976="","",IF(AND(AD1976&lt;&gt;"",COUNTIFS(tcTipo,AD1976,tcLiq,"Sí")&gt;0),IF(OR(P1976="Gasto",P1976="Transferencia",P1976="Pago tarjeta"),-1,1)*S1976,0)+IF(AND(AE1976&lt;&gt;"",COUNTIFS(tcTipo,AE1976,tcLiq,"Sí")&gt;0),S1976,0))</f>
        <v/>
      </c>
      <c r="AI1976" s="52">
        <f>IF(OR(L1976="",P1976=""),"",IF(COUNTIFS(L$6:L1976,L1976,P$6:P1976,"?*")=1,MAX(AI$5:AI1975)+1,""))</f>
        <v/>
      </c>
    </row>
    <row r="1977">
      <c r="B1977" s="47" t="n"/>
      <c r="C1977" s="48" t="n"/>
      <c r="D1977" s="48" t="n"/>
      <c r="E1977" s="48" t="n"/>
      <c r="F1977" s="48" t="n"/>
      <c r="G1977" s="49" t="n"/>
      <c r="H1977" s="48" t="n"/>
      <c r="I1977" s="50" t="n"/>
      <c r="J1977" s="48" t="n"/>
      <c r="K1977" s="48" t="n"/>
      <c r="L1977" s="48" t="n"/>
      <c r="M1977" s="48" t="n"/>
      <c r="N1977" s="48" t="n"/>
      <c r="O1977" s="51">
        <f>IF(AND(B1977="",G1977="",C1977="",D1977="",J1977=""),"",IF(B1977="","⚠ Falta fecha",IF(G1977="","⚠ Falta monto",IF(Q1977="","⚠ Falta cuenta",IF(ISNA(MATCH(Q1977,ctaNombre,0)),"⚠ Cuenta no registrada",IF(AND(OR(P1977="Gasto",P1977="Reembolso"),D1977=""),"⚠ Falta categoría",IF(AND(D1977&lt;&gt;"",E1977&lt;&gt;"",ISNA(MATCH(D1977&amp;"|"&amp;E1977,catClave,0))),"⚠ Subcategoría no corresponde",IF(AND(OR(P1977="Transferencia",P1977="Pago tarjeta"),K1977=""),"⚠ Falta cuenta destino",IF(AND(K1977&lt;&gt;"",P1977&lt;&gt;"Transferencia",P1977&lt;&gt;"Pago tarjeta"),"⚠ Destino solo aplica a transferencias",IF(AND(K1977&lt;&gt;"",K1977=Q1977),"⚠ Origen igual a destino",IF(AND(K1977&lt;&gt;"",ISNA(MATCH(K1977,ctaNombre,0))),"⚠ Destino no registrado",IF(AND(P1977="Pago tarjeta",AE1977&lt;&gt;"Tarjeta de crédito"),"⚠ El destino debe ser tarjeta de crédito",IF(AND(P1977="Gasto",E1977="Depósitos y retiros"),"⚠ Usa tipo Transferencia",IF(AND(P1977="Resultado trading",AD1977&lt;&gt;"Cuenta de trading"),"⚠ Usa una cuenta de trading",IF(AND(G1977&lt;=0,P1977&lt;&gt;"Ajuste",P1977&lt;&gt;"Resultado trading"),"⚠ El monto debe ser positivo","✓")))))))))))))))</f>
        <v/>
      </c>
      <c r="P1977" s="52">
        <f>IF(OR(B1977="",G1977=""),"",IF(C1977="","Gasto",C1977))</f>
        <v/>
      </c>
      <c r="Q1977" s="52">
        <f>IF(P1977="","",IF(J1977&lt;&gt;"",J1977,CuentaPred&amp;""))</f>
        <v/>
      </c>
      <c r="R1977" s="52">
        <f>IF(P1977="","",IF(ISNUMBER(I1977),I1977,TasaUSD))</f>
        <v/>
      </c>
      <c r="S1977" s="53">
        <f>IF(P1977="","",IF(H1977="USD",G1977*R1977,G1977))</f>
        <v/>
      </c>
      <c r="T1977" s="53">
        <f>IF(P1977="","",IF(H1977="USD",G1977,IF(R1977&gt;0,G1977/R1977,0)))</f>
        <v/>
      </c>
      <c r="U1977" s="53">
        <f>IF(P1977="","",IF(P1977="Gasto",S1977,IF(P1977="Reembolso",-S1977,0)))</f>
        <v/>
      </c>
      <c r="V1977" s="53">
        <f>IF(P1977="","",IF(P1977="Ingreso",S1977,0))</f>
        <v/>
      </c>
      <c r="W1977" s="53">
        <f>IF(P1977="","",IF(P1977="Resultado trading",S1977,0))</f>
        <v/>
      </c>
      <c r="X1977" s="52">
        <f>IF(OR(P1977="Gasto",P1977="Reembolso"),IF(M1977&lt;&gt;"",M1977,IFERROR(INDEX(catClasif,MATCH(D1977&amp;"|"&amp;E1977,catClave,0))&amp;"","Variable")),"")</f>
        <v/>
      </c>
      <c r="Y1977" s="52">
        <f>IF(P1977="","",IFERROR(INDEX(catGrupo,MATCH(D1977&amp;"|"&amp;E1977,catClave,0))&amp;"",""))</f>
        <v/>
      </c>
      <c r="Z1977" s="52">
        <f>IF(P1977="","",WEEKDAY(B1977,2))</f>
        <v/>
      </c>
      <c r="AA1977" s="52">
        <f>IF(P1977="","",IF(AND(P1977="Gasto",X1977="Variable",D1977&lt;&gt;catTrading,S1977&gt;0,S1977&lt;=Umbral),1,0))</f>
        <v/>
      </c>
      <c r="AB1977" s="52">
        <f>IF(OR(P1977="",Q1977=""),"",IFERROR(IF(INDEX(ctaVinc,MATCH(Q1977,ctaNombre,0))&amp;""&lt;&gt;"",INDEX(ctaVinc,MATCH(Q1977,ctaNombre,0))&amp;"",Q1977),Q1977))</f>
        <v/>
      </c>
      <c r="AC1977" s="52">
        <f>IF(OR(K1977="",AND(P1977&lt;&gt;"Transferencia",P1977&lt;&gt;"Pago tarjeta")),"",IFERROR(IF(INDEX(ctaVinc,MATCH(K1977,ctaNombre,0))&amp;""&lt;&gt;"",INDEX(ctaVinc,MATCH(K1977,ctaNombre,0))&amp;"",K1977),K1977))</f>
        <v/>
      </c>
      <c r="AD1977" s="52">
        <f>IF(AB1977="","",IFERROR(INDEX(ctaTipo,MATCH(AB1977,ctaNombre,0))&amp;"",""))</f>
        <v/>
      </c>
      <c r="AE1977" s="52">
        <f>IF(AC1977="","",IFERROR(INDEX(ctaTipo,MATCH(AC1977,ctaNombre,0))&amp;"",""))</f>
        <v/>
      </c>
      <c r="AF1977" s="53">
        <f>IF(OR(P1977="",AB1977=""),"",IF(OR(P1977="Gasto",P1977="Transferencia",P1977="Pago tarjeta"),-1,1)*IF(IFERROR(INDEX(ctaMoneda,MATCH(AB1977,ctaNombre,0))&amp;"","DOP")="USD",T1977,S1977))</f>
        <v/>
      </c>
      <c r="AG1977" s="53">
        <f>IF(AC1977="","",IF(IFERROR(INDEX(ctaMoneda,MATCH(AC1977,ctaNombre,0))&amp;"","DOP")="USD",T1977,S1977))</f>
        <v/>
      </c>
      <c r="AH1977" s="53">
        <f>IF(P1977="","",IF(AND(AD1977&lt;&gt;"",COUNTIFS(tcTipo,AD1977,tcLiq,"Sí")&gt;0),IF(OR(P1977="Gasto",P1977="Transferencia",P1977="Pago tarjeta"),-1,1)*S1977,0)+IF(AND(AE1977&lt;&gt;"",COUNTIFS(tcTipo,AE1977,tcLiq,"Sí")&gt;0),S1977,0))</f>
        <v/>
      </c>
      <c r="AI1977" s="52">
        <f>IF(OR(L1977="",P1977=""),"",IF(COUNTIFS(L$6:L1977,L1977,P$6:P1977,"?*")=1,MAX(AI$5:AI1976)+1,""))</f>
        <v/>
      </c>
    </row>
    <row r="1978">
      <c r="B1978" s="47" t="n"/>
      <c r="C1978" s="48" t="n"/>
      <c r="D1978" s="48" t="n"/>
      <c r="E1978" s="48" t="n"/>
      <c r="F1978" s="48" t="n"/>
      <c r="G1978" s="49" t="n"/>
      <c r="H1978" s="48" t="n"/>
      <c r="I1978" s="50" t="n"/>
      <c r="J1978" s="48" t="n"/>
      <c r="K1978" s="48" t="n"/>
      <c r="L1978" s="48" t="n"/>
      <c r="M1978" s="48" t="n"/>
      <c r="N1978" s="48" t="n"/>
      <c r="O1978" s="51">
        <f>IF(AND(B1978="",G1978="",C1978="",D1978="",J1978=""),"",IF(B1978="","⚠ Falta fecha",IF(G1978="","⚠ Falta monto",IF(Q1978="","⚠ Falta cuenta",IF(ISNA(MATCH(Q1978,ctaNombre,0)),"⚠ Cuenta no registrada",IF(AND(OR(P1978="Gasto",P1978="Reembolso"),D1978=""),"⚠ Falta categoría",IF(AND(D1978&lt;&gt;"",E1978&lt;&gt;"",ISNA(MATCH(D1978&amp;"|"&amp;E1978,catClave,0))),"⚠ Subcategoría no corresponde",IF(AND(OR(P1978="Transferencia",P1978="Pago tarjeta"),K1978=""),"⚠ Falta cuenta destino",IF(AND(K1978&lt;&gt;"",P1978&lt;&gt;"Transferencia",P1978&lt;&gt;"Pago tarjeta"),"⚠ Destino solo aplica a transferencias",IF(AND(K1978&lt;&gt;"",K1978=Q1978),"⚠ Origen igual a destino",IF(AND(K1978&lt;&gt;"",ISNA(MATCH(K1978,ctaNombre,0))),"⚠ Destino no registrado",IF(AND(P1978="Pago tarjeta",AE1978&lt;&gt;"Tarjeta de crédito"),"⚠ El destino debe ser tarjeta de crédito",IF(AND(P1978="Gasto",E1978="Depósitos y retiros"),"⚠ Usa tipo Transferencia",IF(AND(P1978="Resultado trading",AD1978&lt;&gt;"Cuenta de trading"),"⚠ Usa una cuenta de trading",IF(AND(G1978&lt;=0,P1978&lt;&gt;"Ajuste",P1978&lt;&gt;"Resultado trading"),"⚠ El monto debe ser positivo","✓")))))))))))))))</f>
        <v/>
      </c>
      <c r="P1978" s="52">
        <f>IF(OR(B1978="",G1978=""),"",IF(C1978="","Gasto",C1978))</f>
        <v/>
      </c>
      <c r="Q1978" s="52">
        <f>IF(P1978="","",IF(J1978&lt;&gt;"",J1978,CuentaPred&amp;""))</f>
        <v/>
      </c>
      <c r="R1978" s="52">
        <f>IF(P1978="","",IF(ISNUMBER(I1978),I1978,TasaUSD))</f>
        <v/>
      </c>
      <c r="S1978" s="53">
        <f>IF(P1978="","",IF(H1978="USD",G1978*R1978,G1978))</f>
        <v/>
      </c>
      <c r="T1978" s="53">
        <f>IF(P1978="","",IF(H1978="USD",G1978,IF(R1978&gt;0,G1978/R1978,0)))</f>
        <v/>
      </c>
      <c r="U1978" s="53">
        <f>IF(P1978="","",IF(P1978="Gasto",S1978,IF(P1978="Reembolso",-S1978,0)))</f>
        <v/>
      </c>
      <c r="V1978" s="53">
        <f>IF(P1978="","",IF(P1978="Ingreso",S1978,0))</f>
        <v/>
      </c>
      <c r="W1978" s="53">
        <f>IF(P1978="","",IF(P1978="Resultado trading",S1978,0))</f>
        <v/>
      </c>
      <c r="X1978" s="52">
        <f>IF(OR(P1978="Gasto",P1978="Reembolso"),IF(M1978&lt;&gt;"",M1978,IFERROR(INDEX(catClasif,MATCH(D1978&amp;"|"&amp;E1978,catClave,0))&amp;"","Variable")),"")</f>
        <v/>
      </c>
      <c r="Y1978" s="52">
        <f>IF(P1978="","",IFERROR(INDEX(catGrupo,MATCH(D1978&amp;"|"&amp;E1978,catClave,0))&amp;"",""))</f>
        <v/>
      </c>
      <c r="Z1978" s="52">
        <f>IF(P1978="","",WEEKDAY(B1978,2))</f>
        <v/>
      </c>
      <c r="AA1978" s="52">
        <f>IF(P1978="","",IF(AND(P1978="Gasto",X1978="Variable",D1978&lt;&gt;catTrading,S1978&gt;0,S1978&lt;=Umbral),1,0))</f>
        <v/>
      </c>
      <c r="AB1978" s="52">
        <f>IF(OR(P1978="",Q1978=""),"",IFERROR(IF(INDEX(ctaVinc,MATCH(Q1978,ctaNombre,0))&amp;""&lt;&gt;"",INDEX(ctaVinc,MATCH(Q1978,ctaNombre,0))&amp;"",Q1978),Q1978))</f>
        <v/>
      </c>
      <c r="AC1978" s="52">
        <f>IF(OR(K1978="",AND(P1978&lt;&gt;"Transferencia",P1978&lt;&gt;"Pago tarjeta")),"",IFERROR(IF(INDEX(ctaVinc,MATCH(K1978,ctaNombre,0))&amp;""&lt;&gt;"",INDEX(ctaVinc,MATCH(K1978,ctaNombre,0))&amp;"",K1978),K1978))</f>
        <v/>
      </c>
      <c r="AD1978" s="52">
        <f>IF(AB1978="","",IFERROR(INDEX(ctaTipo,MATCH(AB1978,ctaNombre,0))&amp;"",""))</f>
        <v/>
      </c>
      <c r="AE1978" s="52">
        <f>IF(AC1978="","",IFERROR(INDEX(ctaTipo,MATCH(AC1978,ctaNombre,0))&amp;"",""))</f>
        <v/>
      </c>
      <c r="AF1978" s="53">
        <f>IF(OR(P1978="",AB1978=""),"",IF(OR(P1978="Gasto",P1978="Transferencia",P1978="Pago tarjeta"),-1,1)*IF(IFERROR(INDEX(ctaMoneda,MATCH(AB1978,ctaNombre,0))&amp;"","DOP")="USD",T1978,S1978))</f>
        <v/>
      </c>
      <c r="AG1978" s="53">
        <f>IF(AC1978="","",IF(IFERROR(INDEX(ctaMoneda,MATCH(AC1978,ctaNombre,0))&amp;"","DOP")="USD",T1978,S1978))</f>
        <v/>
      </c>
      <c r="AH1978" s="53">
        <f>IF(P1978="","",IF(AND(AD1978&lt;&gt;"",COUNTIFS(tcTipo,AD1978,tcLiq,"Sí")&gt;0),IF(OR(P1978="Gasto",P1978="Transferencia",P1978="Pago tarjeta"),-1,1)*S1978,0)+IF(AND(AE1978&lt;&gt;"",COUNTIFS(tcTipo,AE1978,tcLiq,"Sí")&gt;0),S1978,0))</f>
        <v/>
      </c>
      <c r="AI1978" s="52">
        <f>IF(OR(L1978="",P1978=""),"",IF(COUNTIFS(L$6:L1978,L1978,P$6:P1978,"?*")=1,MAX(AI$5:AI1977)+1,""))</f>
        <v/>
      </c>
    </row>
    <row r="1979">
      <c r="B1979" s="47" t="n"/>
      <c r="C1979" s="48" t="n"/>
      <c r="D1979" s="48" t="n"/>
      <c r="E1979" s="48" t="n"/>
      <c r="F1979" s="48" t="n"/>
      <c r="G1979" s="49" t="n"/>
      <c r="H1979" s="48" t="n"/>
      <c r="I1979" s="50" t="n"/>
      <c r="J1979" s="48" t="n"/>
      <c r="K1979" s="48" t="n"/>
      <c r="L1979" s="48" t="n"/>
      <c r="M1979" s="48" t="n"/>
      <c r="N1979" s="48" t="n"/>
      <c r="O1979" s="51">
        <f>IF(AND(B1979="",G1979="",C1979="",D1979="",J1979=""),"",IF(B1979="","⚠ Falta fecha",IF(G1979="","⚠ Falta monto",IF(Q1979="","⚠ Falta cuenta",IF(ISNA(MATCH(Q1979,ctaNombre,0)),"⚠ Cuenta no registrada",IF(AND(OR(P1979="Gasto",P1979="Reembolso"),D1979=""),"⚠ Falta categoría",IF(AND(D1979&lt;&gt;"",E1979&lt;&gt;"",ISNA(MATCH(D1979&amp;"|"&amp;E1979,catClave,0))),"⚠ Subcategoría no corresponde",IF(AND(OR(P1979="Transferencia",P1979="Pago tarjeta"),K1979=""),"⚠ Falta cuenta destino",IF(AND(K1979&lt;&gt;"",P1979&lt;&gt;"Transferencia",P1979&lt;&gt;"Pago tarjeta"),"⚠ Destino solo aplica a transferencias",IF(AND(K1979&lt;&gt;"",K1979=Q1979),"⚠ Origen igual a destino",IF(AND(K1979&lt;&gt;"",ISNA(MATCH(K1979,ctaNombre,0))),"⚠ Destino no registrado",IF(AND(P1979="Pago tarjeta",AE1979&lt;&gt;"Tarjeta de crédito"),"⚠ El destino debe ser tarjeta de crédito",IF(AND(P1979="Gasto",E1979="Depósitos y retiros"),"⚠ Usa tipo Transferencia",IF(AND(P1979="Resultado trading",AD1979&lt;&gt;"Cuenta de trading"),"⚠ Usa una cuenta de trading",IF(AND(G1979&lt;=0,P1979&lt;&gt;"Ajuste",P1979&lt;&gt;"Resultado trading"),"⚠ El monto debe ser positivo","✓")))))))))))))))</f>
        <v/>
      </c>
      <c r="P1979" s="52">
        <f>IF(OR(B1979="",G1979=""),"",IF(C1979="","Gasto",C1979))</f>
        <v/>
      </c>
      <c r="Q1979" s="52">
        <f>IF(P1979="","",IF(J1979&lt;&gt;"",J1979,CuentaPred&amp;""))</f>
        <v/>
      </c>
      <c r="R1979" s="52">
        <f>IF(P1979="","",IF(ISNUMBER(I1979),I1979,TasaUSD))</f>
        <v/>
      </c>
      <c r="S1979" s="53">
        <f>IF(P1979="","",IF(H1979="USD",G1979*R1979,G1979))</f>
        <v/>
      </c>
      <c r="T1979" s="53">
        <f>IF(P1979="","",IF(H1979="USD",G1979,IF(R1979&gt;0,G1979/R1979,0)))</f>
        <v/>
      </c>
      <c r="U1979" s="53">
        <f>IF(P1979="","",IF(P1979="Gasto",S1979,IF(P1979="Reembolso",-S1979,0)))</f>
        <v/>
      </c>
      <c r="V1979" s="53">
        <f>IF(P1979="","",IF(P1979="Ingreso",S1979,0))</f>
        <v/>
      </c>
      <c r="W1979" s="53">
        <f>IF(P1979="","",IF(P1979="Resultado trading",S1979,0))</f>
        <v/>
      </c>
      <c r="X1979" s="52">
        <f>IF(OR(P1979="Gasto",P1979="Reembolso"),IF(M1979&lt;&gt;"",M1979,IFERROR(INDEX(catClasif,MATCH(D1979&amp;"|"&amp;E1979,catClave,0))&amp;"","Variable")),"")</f>
        <v/>
      </c>
      <c r="Y1979" s="52">
        <f>IF(P1979="","",IFERROR(INDEX(catGrupo,MATCH(D1979&amp;"|"&amp;E1979,catClave,0))&amp;"",""))</f>
        <v/>
      </c>
      <c r="Z1979" s="52">
        <f>IF(P1979="","",WEEKDAY(B1979,2))</f>
        <v/>
      </c>
      <c r="AA1979" s="52">
        <f>IF(P1979="","",IF(AND(P1979="Gasto",X1979="Variable",D1979&lt;&gt;catTrading,S1979&gt;0,S1979&lt;=Umbral),1,0))</f>
        <v/>
      </c>
      <c r="AB1979" s="52">
        <f>IF(OR(P1979="",Q1979=""),"",IFERROR(IF(INDEX(ctaVinc,MATCH(Q1979,ctaNombre,0))&amp;""&lt;&gt;"",INDEX(ctaVinc,MATCH(Q1979,ctaNombre,0))&amp;"",Q1979),Q1979))</f>
        <v/>
      </c>
      <c r="AC1979" s="52">
        <f>IF(OR(K1979="",AND(P1979&lt;&gt;"Transferencia",P1979&lt;&gt;"Pago tarjeta")),"",IFERROR(IF(INDEX(ctaVinc,MATCH(K1979,ctaNombre,0))&amp;""&lt;&gt;"",INDEX(ctaVinc,MATCH(K1979,ctaNombre,0))&amp;"",K1979),K1979))</f>
        <v/>
      </c>
      <c r="AD1979" s="52">
        <f>IF(AB1979="","",IFERROR(INDEX(ctaTipo,MATCH(AB1979,ctaNombre,0))&amp;"",""))</f>
        <v/>
      </c>
      <c r="AE1979" s="52">
        <f>IF(AC1979="","",IFERROR(INDEX(ctaTipo,MATCH(AC1979,ctaNombre,0))&amp;"",""))</f>
        <v/>
      </c>
      <c r="AF1979" s="53">
        <f>IF(OR(P1979="",AB1979=""),"",IF(OR(P1979="Gasto",P1979="Transferencia",P1979="Pago tarjeta"),-1,1)*IF(IFERROR(INDEX(ctaMoneda,MATCH(AB1979,ctaNombre,0))&amp;"","DOP")="USD",T1979,S1979))</f>
        <v/>
      </c>
      <c r="AG1979" s="53">
        <f>IF(AC1979="","",IF(IFERROR(INDEX(ctaMoneda,MATCH(AC1979,ctaNombre,0))&amp;"","DOP")="USD",T1979,S1979))</f>
        <v/>
      </c>
      <c r="AH1979" s="53">
        <f>IF(P1979="","",IF(AND(AD1979&lt;&gt;"",COUNTIFS(tcTipo,AD1979,tcLiq,"Sí")&gt;0),IF(OR(P1979="Gasto",P1979="Transferencia",P1979="Pago tarjeta"),-1,1)*S1979,0)+IF(AND(AE1979&lt;&gt;"",COUNTIFS(tcTipo,AE1979,tcLiq,"Sí")&gt;0),S1979,0))</f>
        <v/>
      </c>
      <c r="AI1979" s="52">
        <f>IF(OR(L1979="",P1979=""),"",IF(COUNTIFS(L$6:L1979,L1979,P$6:P1979,"?*")=1,MAX(AI$5:AI1978)+1,""))</f>
        <v/>
      </c>
    </row>
    <row r="1980">
      <c r="B1980" s="47" t="n"/>
      <c r="C1980" s="48" t="n"/>
      <c r="D1980" s="48" t="n"/>
      <c r="E1980" s="48" t="n"/>
      <c r="F1980" s="48" t="n"/>
      <c r="G1980" s="49" t="n"/>
      <c r="H1980" s="48" t="n"/>
      <c r="I1980" s="50" t="n"/>
      <c r="J1980" s="48" t="n"/>
      <c r="K1980" s="48" t="n"/>
      <c r="L1980" s="48" t="n"/>
      <c r="M1980" s="48" t="n"/>
      <c r="N1980" s="48" t="n"/>
      <c r="O1980" s="51">
        <f>IF(AND(B1980="",G1980="",C1980="",D1980="",J1980=""),"",IF(B1980="","⚠ Falta fecha",IF(G1980="","⚠ Falta monto",IF(Q1980="","⚠ Falta cuenta",IF(ISNA(MATCH(Q1980,ctaNombre,0)),"⚠ Cuenta no registrada",IF(AND(OR(P1980="Gasto",P1980="Reembolso"),D1980=""),"⚠ Falta categoría",IF(AND(D1980&lt;&gt;"",E1980&lt;&gt;"",ISNA(MATCH(D1980&amp;"|"&amp;E1980,catClave,0))),"⚠ Subcategoría no corresponde",IF(AND(OR(P1980="Transferencia",P1980="Pago tarjeta"),K1980=""),"⚠ Falta cuenta destino",IF(AND(K1980&lt;&gt;"",P1980&lt;&gt;"Transferencia",P1980&lt;&gt;"Pago tarjeta"),"⚠ Destino solo aplica a transferencias",IF(AND(K1980&lt;&gt;"",K1980=Q1980),"⚠ Origen igual a destino",IF(AND(K1980&lt;&gt;"",ISNA(MATCH(K1980,ctaNombre,0))),"⚠ Destino no registrado",IF(AND(P1980="Pago tarjeta",AE1980&lt;&gt;"Tarjeta de crédito"),"⚠ El destino debe ser tarjeta de crédito",IF(AND(P1980="Gasto",E1980="Depósitos y retiros"),"⚠ Usa tipo Transferencia",IF(AND(P1980="Resultado trading",AD1980&lt;&gt;"Cuenta de trading"),"⚠ Usa una cuenta de trading",IF(AND(G1980&lt;=0,P1980&lt;&gt;"Ajuste",P1980&lt;&gt;"Resultado trading"),"⚠ El monto debe ser positivo","✓")))))))))))))))</f>
        <v/>
      </c>
      <c r="P1980" s="52">
        <f>IF(OR(B1980="",G1980=""),"",IF(C1980="","Gasto",C1980))</f>
        <v/>
      </c>
      <c r="Q1980" s="52">
        <f>IF(P1980="","",IF(J1980&lt;&gt;"",J1980,CuentaPred&amp;""))</f>
        <v/>
      </c>
      <c r="R1980" s="52">
        <f>IF(P1980="","",IF(ISNUMBER(I1980),I1980,TasaUSD))</f>
        <v/>
      </c>
      <c r="S1980" s="53">
        <f>IF(P1980="","",IF(H1980="USD",G1980*R1980,G1980))</f>
        <v/>
      </c>
      <c r="T1980" s="53">
        <f>IF(P1980="","",IF(H1980="USD",G1980,IF(R1980&gt;0,G1980/R1980,0)))</f>
        <v/>
      </c>
      <c r="U1980" s="53">
        <f>IF(P1980="","",IF(P1980="Gasto",S1980,IF(P1980="Reembolso",-S1980,0)))</f>
        <v/>
      </c>
      <c r="V1980" s="53">
        <f>IF(P1980="","",IF(P1980="Ingreso",S1980,0))</f>
        <v/>
      </c>
      <c r="W1980" s="53">
        <f>IF(P1980="","",IF(P1980="Resultado trading",S1980,0))</f>
        <v/>
      </c>
      <c r="X1980" s="52">
        <f>IF(OR(P1980="Gasto",P1980="Reembolso"),IF(M1980&lt;&gt;"",M1980,IFERROR(INDEX(catClasif,MATCH(D1980&amp;"|"&amp;E1980,catClave,0))&amp;"","Variable")),"")</f>
        <v/>
      </c>
      <c r="Y1980" s="52">
        <f>IF(P1980="","",IFERROR(INDEX(catGrupo,MATCH(D1980&amp;"|"&amp;E1980,catClave,0))&amp;"",""))</f>
        <v/>
      </c>
      <c r="Z1980" s="52">
        <f>IF(P1980="","",WEEKDAY(B1980,2))</f>
        <v/>
      </c>
      <c r="AA1980" s="52">
        <f>IF(P1980="","",IF(AND(P1980="Gasto",X1980="Variable",D1980&lt;&gt;catTrading,S1980&gt;0,S1980&lt;=Umbral),1,0))</f>
        <v/>
      </c>
      <c r="AB1980" s="52">
        <f>IF(OR(P1980="",Q1980=""),"",IFERROR(IF(INDEX(ctaVinc,MATCH(Q1980,ctaNombre,0))&amp;""&lt;&gt;"",INDEX(ctaVinc,MATCH(Q1980,ctaNombre,0))&amp;"",Q1980),Q1980))</f>
        <v/>
      </c>
      <c r="AC1980" s="52">
        <f>IF(OR(K1980="",AND(P1980&lt;&gt;"Transferencia",P1980&lt;&gt;"Pago tarjeta")),"",IFERROR(IF(INDEX(ctaVinc,MATCH(K1980,ctaNombre,0))&amp;""&lt;&gt;"",INDEX(ctaVinc,MATCH(K1980,ctaNombre,0))&amp;"",K1980),K1980))</f>
        <v/>
      </c>
      <c r="AD1980" s="52">
        <f>IF(AB1980="","",IFERROR(INDEX(ctaTipo,MATCH(AB1980,ctaNombre,0))&amp;"",""))</f>
        <v/>
      </c>
      <c r="AE1980" s="52">
        <f>IF(AC1980="","",IFERROR(INDEX(ctaTipo,MATCH(AC1980,ctaNombre,0))&amp;"",""))</f>
        <v/>
      </c>
      <c r="AF1980" s="53">
        <f>IF(OR(P1980="",AB1980=""),"",IF(OR(P1980="Gasto",P1980="Transferencia",P1980="Pago tarjeta"),-1,1)*IF(IFERROR(INDEX(ctaMoneda,MATCH(AB1980,ctaNombre,0))&amp;"","DOP")="USD",T1980,S1980))</f>
        <v/>
      </c>
      <c r="AG1980" s="53">
        <f>IF(AC1980="","",IF(IFERROR(INDEX(ctaMoneda,MATCH(AC1980,ctaNombre,0))&amp;"","DOP")="USD",T1980,S1980))</f>
        <v/>
      </c>
      <c r="AH1980" s="53">
        <f>IF(P1980="","",IF(AND(AD1980&lt;&gt;"",COUNTIFS(tcTipo,AD1980,tcLiq,"Sí")&gt;0),IF(OR(P1980="Gasto",P1980="Transferencia",P1980="Pago tarjeta"),-1,1)*S1980,0)+IF(AND(AE1980&lt;&gt;"",COUNTIFS(tcTipo,AE1980,tcLiq,"Sí")&gt;0),S1980,0))</f>
        <v/>
      </c>
      <c r="AI1980" s="52">
        <f>IF(OR(L1980="",P1980=""),"",IF(COUNTIFS(L$6:L1980,L1980,P$6:P1980,"?*")=1,MAX(AI$5:AI1979)+1,""))</f>
        <v/>
      </c>
    </row>
    <row r="1981">
      <c r="B1981" s="47" t="n"/>
      <c r="C1981" s="48" t="n"/>
      <c r="D1981" s="48" t="n"/>
      <c r="E1981" s="48" t="n"/>
      <c r="F1981" s="48" t="n"/>
      <c r="G1981" s="49" t="n"/>
      <c r="H1981" s="48" t="n"/>
      <c r="I1981" s="50" t="n"/>
      <c r="J1981" s="48" t="n"/>
      <c r="K1981" s="48" t="n"/>
      <c r="L1981" s="48" t="n"/>
      <c r="M1981" s="48" t="n"/>
      <c r="N1981" s="48" t="n"/>
      <c r="O1981" s="51">
        <f>IF(AND(B1981="",G1981="",C1981="",D1981="",J1981=""),"",IF(B1981="","⚠ Falta fecha",IF(G1981="","⚠ Falta monto",IF(Q1981="","⚠ Falta cuenta",IF(ISNA(MATCH(Q1981,ctaNombre,0)),"⚠ Cuenta no registrada",IF(AND(OR(P1981="Gasto",P1981="Reembolso"),D1981=""),"⚠ Falta categoría",IF(AND(D1981&lt;&gt;"",E1981&lt;&gt;"",ISNA(MATCH(D1981&amp;"|"&amp;E1981,catClave,0))),"⚠ Subcategoría no corresponde",IF(AND(OR(P1981="Transferencia",P1981="Pago tarjeta"),K1981=""),"⚠ Falta cuenta destino",IF(AND(K1981&lt;&gt;"",P1981&lt;&gt;"Transferencia",P1981&lt;&gt;"Pago tarjeta"),"⚠ Destino solo aplica a transferencias",IF(AND(K1981&lt;&gt;"",K1981=Q1981),"⚠ Origen igual a destino",IF(AND(K1981&lt;&gt;"",ISNA(MATCH(K1981,ctaNombre,0))),"⚠ Destino no registrado",IF(AND(P1981="Pago tarjeta",AE1981&lt;&gt;"Tarjeta de crédito"),"⚠ El destino debe ser tarjeta de crédito",IF(AND(P1981="Gasto",E1981="Depósitos y retiros"),"⚠ Usa tipo Transferencia",IF(AND(P1981="Resultado trading",AD1981&lt;&gt;"Cuenta de trading"),"⚠ Usa una cuenta de trading",IF(AND(G1981&lt;=0,P1981&lt;&gt;"Ajuste",P1981&lt;&gt;"Resultado trading"),"⚠ El monto debe ser positivo","✓")))))))))))))))</f>
        <v/>
      </c>
      <c r="P1981" s="52">
        <f>IF(OR(B1981="",G1981=""),"",IF(C1981="","Gasto",C1981))</f>
        <v/>
      </c>
      <c r="Q1981" s="52">
        <f>IF(P1981="","",IF(J1981&lt;&gt;"",J1981,CuentaPred&amp;""))</f>
        <v/>
      </c>
      <c r="R1981" s="52">
        <f>IF(P1981="","",IF(ISNUMBER(I1981),I1981,TasaUSD))</f>
        <v/>
      </c>
      <c r="S1981" s="53">
        <f>IF(P1981="","",IF(H1981="USD",G1981*R1981,G1981))</f>
        <v/>
      </c>
      <c r="T1981" s="53">
        <f>IF(P1981="","",IF(H1981="USD",G1981,IF(R1981&gt;0,G1981/R1981,0)))</f>
        <v/>
      </c>
      <c r="U1981" s="53">
        <f>IF(P1981="","",IF(P1981="Gasto",S1981,IF(P1981="Reembolso",-S1981,0)))</f>
        <v/>
      </c>
      <c r="V1981" s="53">
        <f>IF(P1981="","",IF(P1981="Ingreso",S1981,0))</f>
        <v/>
      </c>
      <c r="W1981" s="53">
        <f>IF(P1981="","",IF(P1981="Resultado trading",S1981,0))</f>
        <v/>
      </c>
      <c r="X1981" s="52">
        <f>IF(OR(P1981="Gasto",P1981="Reembolso"),IF(M1981&lt;&gt;"",M1981,IFERROR(INDEX(catClasif,MATCH(D1981&amp;"|"&amp;E1981,catClave,0))&amp;"","Variable")),"")</f>
        <v/>
      </c>
      <c r="Y1981" s="52">
        <f>IF(P1981="","",IFERROR(INDEX(catGrupo,MATCH(D1981&amp;"|"&amp;E1981,catClave,0))&amp;"",""))</f>
        <v/>
      </c>
      <c r="Z1981" s="52">
        <f>IF(P1981="","",WEEKDAY(B1981,2))</f>
        <v/>
      </c>
      <c r="AA1981" s="52">
        <f>IF(P1981="","",IF(AND(P1981="Gasto",X1981="Variable",D1981&lt;&gt;catTrading,S1981&gt;0,S1981&lt;=Umbral),1,0))</f>
        <v/>
      </c>
      <c r="AB1981" s="52">
        <f>IF(OR(P1981="",Q1981=""),"",IFERROR(IF(INDEX(ctaVinc,MATCH(Q1981,ctaNombre,0))&amp;""&lt;&gt;"",INDEX(ctaVinc,MATCH(Q1981,ctaNombre,0))&amp;"",Q1981),Q1981))</f>
        <v/>
      </c>
      <c r="AC1981" s="52">
        <f>IF(OR(K1981="",AND(P1981&lt;&gt;"Transferencia",P1981&lt;&gt;"Pago tarjeta")),"",IFERROR(IF(INDEX(ctaVinc,MATCH(K1981,ctaNombre,0))&amp;""&lt;&gt;"",INDEX(ctaVinc,MATCH(K1981,ctaNombre,0))&amp;"",K1981),K1981))</f>
        <v/>
      </c>
      <c r="AD1981" s="52">
        <f>IF(AB1981="","",IFERROR(INDEX(ctaTipo,MATCH(AB1981,ctaNombre,0))&amp;"",""))</f>
        <v/>
      </c>
      <c r="AE1981" s="52">
        <f>IF(AC1981="","",IFERROR(INDEX(ctaTipo,MATCH(AC1981,ctaNombre,0))&amp;"",""))</f>
        <v/>
      </c>
      <c r="AF1981" s="53">
        <f>IF(OR(P1981="",AB1981=""),"",IF(OR(P1981="Gasto",P1981="Transferencia",P1981="Pago tarjeta"),-1,1)*IF(IFERROR(INDEX(ctaMoneda,MATCH(AB1981,ctaNombre,0))&amp;"","DOP")="USD",T1981,S1981))</f>
        <v/>
      </c>
      <c r="AG1981" s="53">
        <f>IF(AC1981="","",IF(IFERROR(INDEX(ctaMoneda,MATCH(AC1981,ctaNombre,0))&amp;"","DOP")="USD",T1981,S1981))</f>
        <v/>
      </c>
      <c r="AH1981" s="53">
        <f>IF(P1981="","",IF(AND(AD1981&lt;&gt;"",COUNTIFS(tcTipo,AD1981,tcLiq,"Sí")&gt;0),IF(OR(P1981="Gasto",P1981="Transferencia",P1981="Pago tarjeta"),-1,1)*S1981,0)+IF(AND(AE1981&lt;&gt;"",COUNTIFS(tcTipo,AE1981,tcLiq,"Sí")&gt;0),S1981,0))</f>
        <v/>
      </c>
      <c r="AI1981" s="52">
        <f>IF(OR(L1981="",P1981=""),"",IF(COUNTIFS(L$6:L1981,L1981,P$6:P1981,"?*")=1,MAX(AI$5:AI1980)+1,""))</f>
        <v/>
      </c>
    </row>
    <row r="1982">
      <c r="B1982" s="47" t="n"/>
      <c r="C1982" s="48" t="n"/>
      <c r="D1982" s="48" t="n"/>
      <c r="E1982" s="48" t="n"/>
      <c r="F1982" s="48" t="n"/>
      <c r="G1982" s="49" t="n"/>
      <c r="H1982" s="48" t="n"/>
      <c r="I1982" s="50" t="n"/>
      <c r="J1982" s="48" t="n"/>
      <c r="K1982" s="48" t="n"/>
      <c r="L1982" s="48" t="n"/>
      <c r="M1982" s="48" t="n"/>
      <c r="N1982" s="48" t="n"/>
      <c r="O1982" s="51">
        <f>IF(AND(B1982="",G1982="",C1982="",D1982="",J1982=""),"",IF(B1982="","⚠ Falta fecha",IF(G1982="","⚠ Falta monto",IF(Q1982="","⚠ Falta cuenta",IF(ISNA(MATCH(Q1982,ctaNombre,0)),"⚠ Cuenta no registrada",IF(AND(OR(P1982="Gasto",P1982="Reembolso"),D1982=""),"⚠ Falta categoría",IF(AND(D1982&lt;&gt;"",E1982&lt;&gt;"",ISNA(MATCH(D1982&amp;"|"&amp;E1982,catClave,0))),"⚠ Subcategoría no corresponde",IF(AND(OR(P1982="Transferencia",P1982="Pago tarjeta"),K1982=""),"⚠ Falta cuenta destino",IF(AND(K1982&lt;&gt;"",P1982&lt;&gt;"Transferencia",P1982&lt;&gt;"Pago tarjeta"),"⚠ Destino solo aplica a transferencias",IF(AND(K1982&lt;&gt;"",K1982=Q1982),"⚠ Origen igual a destino",IF(AND(K1982&lt;&gt;"",ISNA(MATCH(K1982,ctaNombre,0))),"⚠ Destino no registrado",IF(AND(P1982="Pago tarjeta",AE1982&lt;&gt;"Tarjeta de crédito"),"⚠ El destino debe ser tarjeta de crédito",IF(AND(P1982="Gasto",E1982="Depósitos y retiros"),"⚠ Usa tipo Transferencia",IF(AND(P1982="Resultado trading",AD1982&lt;&gt;"Cuenta de trading"),"⚠ Usa una cuenta de trading",IF(AND(G1982&lt;=0,P1982&lt;&gt;"Ajuste",P1982&lt;&gt;"Resultado trading"),"⚠ El monto debe ser positivo","✓")))))))))))))))</f>
        <v/>
      </c>
      <c r="P1982" s="52">
        <f>IF(OR(B1982="",G1982=""),"",IF(C1982="","Gasto",C1982))</f>
        <v/>
      </c>
      <c r="Q1982" s="52">
        <f>IF(P1982="","",IF(J1982&lt;&gt;"",J1982,CuentaPred&amp;""))</f>
        <v/>
      </c>
      <c r="R1982" s="52">
        <f>IF(P1982="","",IF(ISNUMBER(I1982),I1982,TasaUSD))</f>
        <v/>
      </c>
      <c r="S1982" s="53">
        <f>IF(P1982="","",IF(H1982="USD",G1982*R1982,G1982))</f>
        <v/>
      </c>
      <c r="T1982" s="53">
        <f>IF(P1982="","",IF(H1982="USD",G1982,IF(R1982&gt;0,G1982/R1982,0)))</f>
        <v/>
      </c>
      <c r="U1982" s="53">
        <f>IF(P1982="","",IF(P1982="Gasto",S1982,IF(P1982="Reembolso",-S1982,0)))</f>
        <v/>
      </c>
      <c r="V1982" s="53">
        <f>IF(P1982="","",IF(P1982="Ingreso",S1982,0))</f>
        <v/>
      </c>
      <c r="W1982" s="53">
        <f>IF(P1982="","",IF(P1982="Resultado trading",S1982,0))</f>
        <v/>
      </c>
      <c r="X1982" s="52">
        <f>IF(OR(P1982="Gasto",P1982="Reembolso"),IF(M1982&lt;&gt;"",M1982,IFERROR(INDEX(catClasif,MATCH(D1982&amp;"|"&amp;E1982,catClave,0))&amp;"","Variable")),"")</f>
        <v/>
      </c>
      <c r="Y1982" s="52">
        <f>IF(P1982="","",IFERROR(INDEX(catGrupo,MATCH(D1982&amp;"|"&amp;E1982,catClave,0))&amp;"",""))</f>
        <v/>
      </c>
      <c r="Z1982" s="52">
        <f>IF(P1982="","",WEEKDAY(B1982,2))</f>
        <v/>
      </c>
      <c r="AA1982" s="52">
        <f>IF(P1982="","",IF(AND(P1982="Gasto",X1982="Variable",D1982&lt;&gt;catTrading,S1982&gt;0,S1982&lt;=Umbral),1,0))</f>
        <v/>
      </c>
      <c r="AB1982" s="52">
        <f>IF(OR(P1982="",Q1982=""),"",IFERROR(IF(INDEX(ctaVinc,MATCH(Q1982,ctaNombre,0))&amp;""&lt;&gt;"",INDEX(ctaVinc,MATCH(Q1982,ctaNombre,0))&amp;"",Q1982),Q1982))</f>
        <v/>
      </c>
      <c r="AC1982" s="52">
        <f>IF(OR(K1982="",AND(P1982&lt;&gt;"Transferencia",P1982&lt;&gt;"Pago tarjeta")),"",IFERROR(IF(INDEX(ctaVinc,MATCH(K1982,ctaNombre,0))&amp;""&lt;&gt;"",INDEX(ctaVinc,MATCH(K1982,ctaNombre,0))&amp;"",K1982),K1982))</f>
        <v/>
      </c>
      <c r="AD1982" s="52">
        <f>IF(AB1982="","",IFERROR(INDEX(ctaTipo,MATCH(AB1982,ctaNombre,0))&amp;"",""))</f>
        <v/>
      </c>
      <c r="AE1982" s="52">
        <f>IF(AC1982="","",IFERROR(INDEX(ctaTipo,MATCH(AC1982,ctaNombre,0))&amp;"",""))</f>
        <v/>
      </c>
      <c r="AF1982" s="53">
        <f>IF(OR(P1982="",AB1982=""),"",IF(OR(P1982="Gasto",P1982="Transferencia",P1982="Pago tarjeta"),-1,1)*IF(IFERROR(INDEX(ctaMoneda,MATCH(AB1982,ctaNombre,0))&amp;"","DOP")="USD",T1982,S1982))</f>
        <v/>
      </c>
      <c r="AG1982" s="53">
        <f>IF(AC1982="","",IF(IFERROR(INDEX(ctaMoneda,MATCH(AC1982,ctaNombre,0))&amp;"","DOP")="USD",T1982,S1982))</f>
        <v/>
      </c>
      <c r="AH1982" s="53">
        <f>IF(P1982="","",IF(AND(AD1982&lt;&gt;"",COUNTIFS(tcTipo,AD1982,tcLiq,"Sí")&gt;0),IF(OR(P1982="Gasto",P1982="Transferencia",P1982="Pago tarjeta"),-1,1)*S1982,0)+IF(AND(AE1982&lt;&gt;"",COUNTIFS(tcTipo,AE1982,tcLiq,"Sí")&gt;0),S1982,0))</f>
        <v/>
      </c>
      <c r="AI1982" s="52">
        <f>IF(OR(L1982="",P1982=""),"",IF(COUNTIFS(L$6:L1982,L1982,P$6:P1982,"?*")=1,MAX(AI$5:AI1981)+1,""))</f>
        <v/>
      </c>
    </row>
    <row r="1983">
      <c r="B1983" s="47" t="n"/>
      <c r="C1983" s="48" t="n"/>
      <c r="D1983" s="48" t="n"/>
      <c r="E1983" s="48" t="n"/>
      <c r="F1983" s="48" t="n"/>
      <c r="G1983" s="49" t="n"/>
      <c r="H1983" s="48" t="n"/>
      <c r="I1983" s="50" t="n"/>
      <c r="J1983" s="48" t="n"/>
      <c r="K1983" s="48" t="n"/>
      <c r="L1983" s="48" t="n"/>
      <c r="M1983" s="48" t="n"/>
      <c r="N1983" s="48" t="n"/>
      <c r="O1983" s="51">
        <f>IF(AND(B1983="",G1983="",C1983="",D1983="",J1983=""),"",IF(B1983="","⚠ Falta fecha",IF(G1983="","⚠ Falta monto",IF(Q1983="","⚠ Falta cuenta",IF(ISNA(MATCH(Q1983,ctaNombre,0)),"⚠ Cuenta no registrada",IF(AND(OR(P1983="Gasto",P1983="Reembolso"),D1983=""),"⚠ Falta categoría",IF(AND(D1983&lt;&gt;"",E1983&lt;&gt;"",ISNA(MATCH(D1983&amp;"|"&amp;E1983,catClave,0))),"⚠ Subcategoría no corresponde",IF(AND(OR(P1983="Transferencia",P1983="Pago tarjeta"),K1983=""),"⚠ Falta cuenta destino",IF(AND(K1983&lt;&gt;"",P1983&lt;&gt;"Transferencia",P1983&lt;&gt;"Pago tarjeta"),"⚠ Destino solo aplica a transferencias",IF(AND(K1983&lt;&gt;"",K1983=Q1983),"⚠ Origen igual a destino",IF(AND(K1983&lt;&gt;"",ISNA(MATCH(K1983,ctaNombre,0))),"⚠ Destino no registrado",IF(AND(P1983="Pago tarjeta",AE1983&lt;&gt;"Tarjeta de crédito"),"⚠ El destino debe ser tarjeta de crédito",IF(AND(P1983="Gasto",E1983="Depósitos y retiros"),"⚠ Usa tipo Transferencia",IF(AND(P1983="Resultado trading",AD1983&lt;&gt;"Cuenta de trading"),"⚠ Usa una cuenta de trading",IF(AND(G1983&lt;=0,P1983&lt;&gt;"Ajuste",P1983&lt;&gt;"Resultado trading"),"⚠ El monto debe ser positivo","✓")))))))))))))))</f>
        <v/>
      </c>
      <c r="P1983" s="52">
        <f>IF(OR(B1983="",G1983=""),"",IF(C1983="","Gasto",C1983))</f>
        <v/>
      </c>
      <c r="Q1983" s="52">
        <f>IF(P1983="","",IF(J1983&lt;&gt;"",J1983,CuentaPred&amp;""))</f>
        <v/>
      </c>
      <c r="R1983" s="52">
        <f>IF(P1983="","",IF(ISNUMBER(I1983),I1983,TasaUSD))</f>
        <v/>
      </c>
      <c r="S1983" s="53">
        <f>IF(P1983="","",IF(H1983="USD",G1983*R1983,G1983))</f>
        <v/>
      </c>
      <c r="T1983" s="53">
        <f>IF(P1983="","",IF(H1983="USD",G1983,IF(R1983&gt;0,G1983/R1983,0)))</f>
        <v/>
      </c>
      <c r="U1983" s="53">
        <f>IF(P1983="","",IF(P1983="Gasto",S1983,IF(P1983="Reembolso",-S1983,0)))</f>
        <v/>
      </c>
      <c r="V1983" s="53">
        <f>IF(P1983="","",IF(P1983="Ingreso",S1983,0))</f>
        <v/>
      </c>
      <c r="W1983" s="53">
        <f>IF(P1983="","",IF(P1983="Resultado trading",S1983,0))</f>
        <v/>
      </c>
      <c r="X1983" s="52">
        <f>IF(OR(P1983="Gasto",P1983="Reembolso"),IF(M1983&lt;&gt;"",M1983,IFERROR(INDEX(catClasif,MATCH(D1983&amp;"|"&amp;E1983,catClave,0))&amp;"","Variable")),"")</f>
        <v/>
      </c>
      <c r="Y1983" s="52">
        <f>IF(P1983="","",IFERROR(INDEX(catGrupo,MATCH(D1983&amp;"|"&amp;E1983,catClave,0))&amp;"",""))</f>
        <v/>
      </c>
      <c r="Z1983" s="52">
        <f>IF(P1983="","",WEEKDAY(B1983,2))</f>
        <v/>
      </c>
      <c r="AA1983" s="52">
        <f>IF(P1983="","",IF(AND(P1983="Gasto",X1983="Variable",D1983&lt;&gt;catTrading,S1983&gt;0,S1983&lt;=Umbral),1,0))</f>
        <v/>
      </c>
      <c r="AB1983" s="52">
        <f>IF(OR(P1983="",Q1983=""),"",IFERROR(IF(INDEX(ctaVinc,MATCH(Q1983,ctaNombre,0))&amp;""&lt;&gt;"",INDEX(ctaVinc,MATCH(Q1983,ctaNombre,0))&amp;"",Q1983),Q1983))</f>
        <v/>
      </c>
      <c r="AC1983" s="52">
        <f>IF(OR(K1983="",AND(P1983&lt;&gt;"Transferencia",P1983&lt;&gt;"Pago tarjeta")),"",IFERROR(IF(INDEX(ctaVinc,MATCH(K1983,ctaNombre,0))&amp;""&lt;&gt;"",INDEX(ctaVinc,MATCH(K1983,ctaNombre,0))&amp;"",K1983),K1983))</f>
        <v/>
      </c>
      <c r="AD1983" s="52">
        <f>IF(AB1983="","",IFERROR(INDEX(ctaTipo,MATCH(AB1983,ctaNombre,0))&amp;"",""))</f>
        <v/>
      </c>
      <c r="AE1983" s="52">
        <f>IF(AC1983="","",IFERROR(INDEX(ctaTipo,MATCH(AC1983,ctaNombre,0))&amp;"",""))</f>
        <v/>
      </c>
      <c r="AF1983" s="53">
        <f>IF(OR(P1983="",AB1983=""),"",IF(OR(P1983="Gasto",P1983="Transferencia",P1983="Pago tarjeta"),-1,1)*IF(IFERROR(INDEX(ctaMoneda,MATCH(AB1983,ctaNombre,0))&amp;"","DOP")="USD",T1983,S1983))</f>
        <v/>
      </c>
      <c r="AG1983" s="53">
        <f>IF(AC1983="","",IF(IFERROR(INDEX(ctaMoneda,MATCH(AC1983,ctaNombre,0))&amp;"","DOP")="USD",T1983,S1983))</f>
        <v/>
      </c>
      <c r="AH1983" s="53">
        <f>IF(P1983="","",IF(AND(AD1983&lt;&gt;"",COUNTIFS(tcTipo,AD1983,tcLiq,"Sí")&gt;0),IF(OR(P1983="Gasto",P1983="Transferencia",P1983="Pago tarjeta"),-1,1)*S1983,0)+IF(AND(AE1983&lt;&gt;"",COUNTIFS(tcTipo,AE1983,tcLiq,"Sí")&gt;0),S1983,0))</f>
        <v/>
      </c>
      <c r="AI1983" s="52">
        <f>IF(OR(L1983="",P1983=""),"",IF(COUNTIFS(L$6:L1983,L1983,P$6:P1983,"?*")=1,MAX(AI$5:AI1982)+1,""))</f>
        <v/>
      </c>
    </row>
    <row r="1984">
      <c r="B1984" s="47" t="n"/>
      <c r="C1984" s="48" t="n"/>
      <c r="D1984" s="48" t="n"/>
      <c r="E1984" s="48" t="n"/>
      <c r="F1984" s="48" t="n"/>
      <c r="G1984" s="49" t="n"/>
      <c r="H1984" s="48" t="n"/>
      <c r="I1984" s="50" t="n"/>
      <c r="J1984" s="48" t="n"/>
      <c r="K1984" s="48" t="n"/>
      <c r="L1984" s="48" t="n"/>
      <c r="M1984" s="48" t="n"/>
      <c r="N1984" s="48" t="n"/>
      <c r="O1984" s="51">
        <f>IF(AND(B1984="",G1984="",C1984="",D1984="",J1984=""),"",IF(B1984="","⚠ Falta fecha",IF(G1984="","⚠ Falta monto",IF(Q1984="","⚠ Falta cuenta",IF(ISNA(MATCH(Q1984,ctaNombre,0)),"⚠ Cuenta no registrada",IF(AND(OR(P1984="Gasto",P1984="Reembolso"),D1984=""),"⚠ Falta categoría",IF(AND(D1984&lt;&gt;"",E1984&lt;&gt;"",ISNA(MATCH(D1984&amp;"|"&amp;E1984,catClave,0))),"⚠ Subcategoría no corresponde",IF(AND(OR(P1984="Transferencia",P1984="Pago tarjeta"),K1984=""),"⚠ Falta cuenta destino",IF(AND(K1984&lt;&gt;"",P1984&lt;&gt;"Transferencia",P1984&lt;&gt;"Pago tarjeta"),"⚠ Destino solo aplica a transferencias",IF(AND(K1984&lt;&gt;"",K1984=Q1984),"⚠ Origen igual a destino",IF(AND(K1984&lt;&gt;"",ISNA(MATCH(K1984,ctaNombre,0))),"⚠ Destino no registrado",IF(AND(P1984="Pago tarjeta",AE1984&lt;&gt;"Tarjeta de crédito"),"⚠ El destino debe ser tarjeta de crédito",IF(AND(P1984="Gasto",E1984="Depósitos y retiros"),"⚠ Usa tipo Transferencia",IF(AND(P1984="Resultado trading",AD1984&lt;&gt;"Cuenta de trading"),"⚠ Usa una cuenta de trading",IF(AND(G1984&lt;=0,P1984&lt;&gt;"Ajuste",P1984&lt;&gt;"Resultado trading"),"⚠ El monto debe ser positivo","✓")))))))))))))))</f>
        <v/>
      </c>
      <c r="P1984" s="52">
        <f>IF(OR(B1984="",G1984=""),"",IF(C1984="","Gasto",C1984))</f>
        <v/>
      </c>
      <c r="Q1984" s="52">
        <f>IF(P1984="","",IF(J1984&lt;&gt;"",J1984,CuentaPred&amp;""))</f>
        <v/>
      </c>
      <c r="R1984" s="52">
        <f>IF(P1984="","",IF(ISNUMBER(I1984),I1984,TasaUSD))</f>
        <v/>
      </c>
      <c r="S1984" s="53">
        <f>IF(P1984="","",IF(H1984="USD",G1984*R1984,G1984))</f>
        <v/>
      </c>
      <c r="T1984" s="53">
        <f>IF(P1984="","",IF(H1984="USD",G1984,IF(R1984&gt;0,G1984/R1984,0)))</f>
        <v/>
      </c>
      <c r="U1984" s="53">
        <f>IF(P1984="","",IF(P1984="Gasto",S1984,IF(P1984="Reembolso",-S1984,0)))</f>
        <v/>
      </c>
      <c r="V1984" s="53">
        <f>IF(P1984="","",IF(P1984="Ingreso",S1984,0))</f>
        <v/>
      </c>
      <c r="W1984" s="53">
        <f>IF(P1984="","",IF(P1984="Resultado trading",S1984,0))</f>
        <v/>
      </c>
      <c r="X1984" s="52">
        <f>IF(OR(P1984="Gasto",P1984="Reembolso"),IF(M1984&lt;&gt;"",M1984,IFERROR(INDEX(catClasif,MATCH(D1984&amp;"|"&amp;E1984,catClave,0))&amp;"","Variable")),"")</f>
        <v/>
      </c>
      <c r="Y1984" s="52">
        <f>IF(P1984="","",IFERROR(INDEX(catGrupo,MATCH(D1984&amp;"|"&amp;E1984,catClave,0))&amp;"",""))</f>
        <v/>
      </c>
      <c r="Z1984" s="52">
        <f>IF(P1984="","",WEEKDAY(B1984,2))</f>
        <v/>
      </c>
      <c r="AA1984" s="52">
        <f>IF(P1984="","",IF(AND(P1984="Gasto",X1984="Variable",D1984&lt;&gt;catTrading,S1984&gt;0,S1984&lt;=Umbral),1,0))</f>
        <v/>
      </c>
      <c r="AB1984" s="52">
        <f>IF(OR(P1984="",Q1984=""),"",IFERROR(IF(INDEX(ctaVinc,MATCH(Q1984,ctaNombre,0))&amp;""&lt;&gt;"",INDEX(ctaVinc,MATCH(Q1984,ctaNombre,0))&amp;"",Q1984),Q1984))</f>
        <v/>
      </c>
      <c r="AC1984" s="52">
        <f>IF(OR(K1984="",AND(P1984&lt;&gt;"Transferencia",P1984&lt;&gt;"Pago tarjeta")),"",IFERROR(IF(INDEX(ctaVinc,MATCH(K1984,ctaNombre,0))&amp;""&lt;&gt;"",INDEX(ctaVinc,MATCH(K1984,ctaNombre,0))&amp;"",K1984),K1984))</f>
        <v/>
      </c>
      <c r="AD1984" s="52">
        <f>IF(AB1984="","",IFERROR(INDEX(ctaTipo,MATCH(AB1984,ctaNombre,0))&amp;"",""))</f>
        <v/>
      </c>
      <c r="AE1984" s="52">
        <f>IF(AC1984="","",IFERROR(INDEX(ctaTipo,MATCH(AC1984,ctaNombre,0))&amp;"",""))</f>
        <v/>
      </c>
      <c r="AF1984" s="53">
        <f>IF(OR(P1984="",AB1984=""),"",IF(OR(P1984="Gasto",P1984="Transferencia",P1984="Pago tarjeta"),-1,1)*IF(IFERROR(INDEX(ctaMoneda,MATCH(AB1984,ctaNombre,0))&amp;"","DOP")="USD",T1984,S1984))</f>
        <v/>
      </c>
      <c r="AG1984" s="53">
        <f>IF(AC1984="","",IF(IFERROR(INDEX(ctaMoneda,MATCH(AC1984,ctaNombre,0))&amp;"","DOP")="USD",T1984,S1984))</f>
        <v/>
      </c>
      <c r="AH1984" s="53">
        <f>IF(P1984="","",IF(AND(AD1984&lt;&gt;"",COUNTIFS(tcTipo,AD1984,tcLiq,"Sí")&gt;0),IF(OR(P1984="Gasto",P1984="Transferencia",P1984="Pago tarjeta"),-1,1)*S1984,0)+IF(AND(AE1984&lt;&gt;"",COUNTIFS(tcTipo,AE1984,tcLiq,"Sí")&gt;0),S1984,0))</f>
        <v/>
      </c>
      <c r="AI1984" s="52">
        <f>IF(OR(L1984="",P1984=""),"",IF(COUNTIFS(L$6:L1984,L1984,P$6:P1984,"?*")=1,MAX(AI$5:AI1983)+1,""))</f>
        <v/>
      </c>
    </row>
    <row r="1985">
      <c r="B1985" s="47" t="n"/>
      <c r="C1985" s="48" t="n"/>
      <c r="D1985" s="48" t="n"/>
      <c r="E1985" s="48" t="n"/>
      <c r="F1985" s="48" t="n"/>
      <c r="G1985" s="49" t="n"/>
      <c r="H1985" s="48" t="n"/>
      <c r="I1985" s="50" t="n"/>
      <c r="J1985" s="48" t="n"/>
      <c r="K1985" s="48" t="n"/>
      <c r="L1985" s="48" t="n"/>
      <c r="M1985" s="48" t="n"/>
      <c r="N1985" s="48" t="n"/>
      <c r="O1985" s="51">
        <f>IF(AND(B1985="",G1985="",C1985="",D1985="",J1985=""),"",IF(B1985="","⚠ Falta fecha",IF(G1985="","⚠ Falta monto",IF(Q1985="","⚠ Falta cuenta",IF(ISNA(MATCH(Q1985,ctaNombre,0)),"⚠ Cuenta no registrada",IF(AND(OR(P1985="Gasto",P1985="Reembolso"),D1985=""),"⚠ Falta categoría",IF(AND(D1985&lt;&gt;"",E1985&lt;&gt;"",ISNA(MATCH(D1985&amp;"|"&amp;E1985,catClave,0))),"⚠ Subcategoría no corresponde",IF(AND(OR(P1985="Transferencia",P1985="Pago tarjeta"),K1985=""),"⚠ Falta cuenta destino",IF(AND(K1985&lt;&gt;"",P1985&lt;&gt;"Transferencia",P1985&lt;&gt;"Pago tarjeta"),"⚠ Destino solo aplica a transferencias",IF(AND(K1985&lt;&gt;"",K1985=Q1985),"⚠ Origen igual a destino",IF(AND(K1985&lt;&gt;"",ISNA(MATCH(K1985,ctaNombre,0))),"⚠ Destino no registrado",IF(AND(P1985="Pago tarjeta",AE1985&lt;&gt;"Tarjeta de crédito"),"⚠ El destino debe ser tarjeta de crédito",IF(AND(P1985="Gasto",E1985="Depósitos y retiros"),"⚠ Usa tipo Transferencia",IF(AND(P1985="Resultado trading",AD1985&lt;&gt;"Cuenta de trading"),"⚠ Usa una cuenta de trading",IF(AND(G1985&lt;=0,P1985&lt;&gt;"Ajuste",P1985&lt;&gt;"Resultado trading"),"⚠ El monto debe ser positivo","✓")))))))))))))))</f>
        <v/>
      </c>
      <c r="P1985" s="52">
        <f>IF(OR(B1985="",G1985=""),"",IF(C1985="","Gasto",C1985))</f>
        <v/>
      </c>
      <c r="Q1985" s="52">
        <f>IF(P1985="","",IF(J1985&lt;&gt;"",J1985,CuentaPred&amp;""))</f>
        <v/>
      </c>
      <c r="R1985" s="52">
        <f>IF(P1985="","",IF(ISNUMBER(I1985),I1985,TasaUSD))</f>
        <v/>
      </c>
      <c r="S1985" s="53">
        <f>IF(P1985="","",IF(H1985="USD",G1985*R1985,G1985))</f>
        <v/>
      </c>
      <c r="T1985" s="53">
        <f>IF(P1985="","",IF(H1985="USD",G1985,IF(R1985&gt;0,G1985/R1985,0)))</f>
        <v/>
      </c>
      <c r="U1985" s="53">
        <f>IF(P1985="","",IF(P1985="Gasto",S1985,IF(P1985="Reembolso",-S1985,0)))</f>
        <v/>
      </c>
      <c r="V1985" s="53">
        <f>IF(P1985="","",IF(P1985="Ingreso",S1985,0))</f>
        <v/>
      </c>
      <c r="W1985" s="53">
        <f>IF(P1985="","",IF(P1985="Resultado trading",S1985,0))</f>
        <v/>
      </c>
      <c r="X1985" s="52">
        <f>IF(OR(P1985="Gasto",P1985="Reembolso"),IF(M1985&lt;&gt;"",M1985,IFERROR(INDEX(catClasif,MATCH(D1985&amp;"|"&amp;E1985,catClave,0))&amp;"","Variable")),"")</f>
        <v/>
      </c>
      <c r="Y1985" s="52">
        <f>IF(P1985="","",IFERROR(INDEX(catGrupo,MATCH(D1985&amp;"|"&amp;E1985,catClave,0))&amp;"",""))</f>
        <v/>
      </c>
      <c r="Z1985" s="52">
        <f>IF(P1985="","",WEEKDAY(B1985,2))</f>
        <v/>
      </c>
      <c r="AA1985" s="52">
        <f>IF(P1985="","",IF(AND(P1985="Gasto",X1985="Variable",D1985&lt;&gt;catTrading,S1985&gt;0,S1985&lt;=Umbral),1,0))</f>
        <v/>
      </c>
      <c r="AB1985" s="52">
        <f>IF(OR(P1985="",Q1985=""),"",IFERROR(IF(INDEX(ctaVinc,MATCH(Q1985,ctaNombre,0))&amp;""&lt;&gt;"",INDEX(ctaVinc,MATCH(Q1985,ctaNombre,0))&amp;"",Q1985),Q1985))</f>
        <v/>
      </c>
      <c r="AC1985" s="52">
        <f>IF(OR(K1985="",AND(P1985&lt;&gt;"Transferencia",P1985&lt;&gt;"Pago tarjeta")),"",IFERROR(IF(INDEX(ctaVinc,MATCH(K1985,ctaNombre,0))&amp;""&lt;&gt;"",INDEX(ctaVinc,MATCH(K1985,ctaNombre,0))&amp;"",K1985),K1985))</f>
        <v/>
      </c>
      <c r="AD1985" s="52">
        <f>IF(AB1985="","",IFERROR(INDEX(ctaTipo,MATCH(AB1985,ctaNombre,0))&amp;"",""))</f>
        <v/>
      </c>
      <c r="AE1985" s="52">
        <f>IF(AC1985="","",IFERROR(INDEX(ctaTipo,MATCH(AC1985,ctaNombre,0))&amp;"",""))</f>
        <v/>
      </c>
      <c r="AF1985" s="53">
        <f>IF(OR(P1985="",AB1985=""),"",IF(OR(P1985="Gasto",P1985="Transferencia",P1985="Pago tarjeta"),-1,1)*IF(IFERROR(INDEX(ctaMoneda,MATCH(AB1985,ctaNombre,0))&amp;"","DOP")="USD",T1985,S1985))</f>
        <v/>
      </c>
      <c r="AG1985" s="53">
        <f>IF(AC1985="","",IF(IFERROR(INDEX(ctaMoneda,MATCH(AC1985,ctaNombre,0))&amp;"","DOP")="USD",T1985,S1985))</f>
        <v/>
      </c>
      <c r="AH1985" s="53">
        <f>IF(P1985="","",IF(AND(AD1985&lt;&gt;"",COUNTIFS(tcTipo,AD1985,tcLiq,"Sí")&gt;0),IF(OR(P1985="Gasto",P1985="Transferencia",P1985="Pago tarjeta"),-1,1)*S1985,0)+IF(AND(AE1985&lt;&gt;"",COUNTIFS(tcTipo,AE1985,tcLiq,"Sí")&gt;0),S1985,0))</f>
        <v/>
      </c>
      <c r="AI1985" s="52">
        <f>IF(OR(L1985="",P1985=""),"",IF(COUNTIFS(L$6:L1985,L1985,P$6:P1985,"?*")=1,MAX(AI$5:AI1984)+1,""))</f>
        <v/>
      </c>
    </row>
    <row r="1986">
      <c r="B1986" s="47" t="n"/>
      <c r="C1986" s="48" t="n"/>
      <c r="D1986" s="48" t="n"/>
      <c r="E1986" s="48" t="n"/>
      <c r="F1986" s="48" t="n"/>
      <c r="G1986" s="49" t="n"/>
      <c r="H1986" s="48" t="n"/>
      <c r="I1986" s="50" t="n"/>
      <c r="J1986" s="48" t="n"/>
      <c r="K1986" s="48" t="n"/>
      <c r="L1986" s="48" t="n"/>
      <c r="M1986" s="48" t="n"/>
      <c r="N1986" s="48" t="n"/>
      <c r="O1986" s="51">
        <f>IF(AND(B1986="",G1986="",C1986="",D1986="",J1986=""),"",IF(B1986="","⚠ Falta fecha",IF(G1986="","⚠ Falta monto",IF(Q1986="","⚠ Falta cuenta",IF(ISNA(MATCH(Q1986,ctaNombre,0)),"⚠ Cuenta no registrada",IF(AND(OR(P1986="Gasto",P1986="Reembolso"),D1986=""),"⚠ Falta categoría",IF(AND(D1986&lt;&gt;"",E1986&lt;&gt;"",ISNA(MATCH(D1986&amp;"|"&amp;E1986,catClave,0))),"⚠ Subcategoría no corresponde",IF(AND(OR(P1986="Transferencia",P1986="Pago tarjeta"),K1986=""),"⚠ Falta cuenta destino",IF(AND(K1986&lt;&gt;"",P1986&lt;&gt;"Transferencia",P1986&lt;&gt;"Pago tarjeta"),"⚠ Destino solo aplica a transferencias",IF(AND(K1986&lt;&gt;"",K1986=Q1986),"⚠ Origen igual a destino",IF(AND(K1986&lt;&gt;"",ISNA(MATCH(K1986,ctaNombre,0))),"⚠ Destino no registrado",IF(AND(P1986="Pago tarjeta",AE1986&lt;&gt;"Tarjeta de crédito"),"⚠ El destino debe ser tarjeta de crédito",IF(AND(P1986="Gasto",E1986="Depósitos y retiros"),"⚠ Usa tipo Transferencia",IF(AND(P1986="Resultado trading",AD1986&lt;&gt;"Cuenta de trading"),"⚠ Usa una cuenta de trading",IF(AND(G1986&lt;=0,P1986&lt;&gt;"Ajuste",P1986&lt;&gt;"Resultado trading"),"⚠ El monto debe ser positivo","✓")))))))))))))))</f>
        <v/>
      </c>
      <c r="P1986" s="52">
        <f>IF(OR(B1986="",G1986=""),"",IF(C1986="","Gasto",C1986))</f>
        <v/>
      </c>
      <c r="Q1986" s="52">
        <f>IF(P1986="","",IF(J1986&lt;&gt;"",J1986,CuentaPred&amp;""))</f>
        <v/>
      </c>
      <c r="R1986" s="52">
        <f>IF(P1986="","",IF(ISNUMBER(I1986),I1986,TasaUSD))</f>
        <v/>
      </c>
      <c r="S1986" s="53">
        <f>IF(P1986="","",IF(H1986="USD",G1986*R1986,G1986))</f>
        <v/>
      </c>
      <c r="T1986" s="53">
        <f>IF(P1986="","",IF(H1986="USD",G1986,IF(R1986&gt;0,G1986/R1986,0)))</f>
        <v/>
      </c>
      <c r="U1986" s="53">
        <f>IF(P1986="","",IF(P1986="Gasto",S1986,IF(P1986="Reembolso",-S1986,0)))</f>
        <v/>
      </c>
      <c r="V1986" s="53">
        <f>IF(P1986="","",IF(P1986="Ingreso",S1986,0))</f>
        <v/>
      </c>
      <c r="W1986" s="53">
        <f>IF(P1986="","",IF(P1986="Resultado trading",S1986,0))</f>
        <v/>
      </c>
      <c r="X1986" s="52">
        <f>IF(OR(P1986="Gasto",P1986="Reembolso"),IF(M1986&lt;&gt;"",M1986,IFERROR(INDEX(catClasif,MATCH(D1986&amp;"|"&amp;E1986,catClave,0))&amp;"","Variable")),"")</f>
        <v/>
      </c>
      <c r="Y1986" s="52">
        <f>IF(P1986="","",IFERROR(INDEX(catGrupo,MATCH(D1986&amp;"|"&amp;E1986,catClave,0))&amp;"",""))</f>
        <v/>
      </c>
      <c r="Z1986" s="52">
        <f>IF(P1986="","",WEEKDAY(B1986,2))</f>
        <v/>
      </c>
      <c r="AA1986" s="52">
        <f>IF(P1986="","",IF(AND(P1986="Gasto",X1986="Variable",D1986&lt;&gt;catTrading,S1986&gt;0,S1986&lt;=Umbral),1,0))</f>
        <v/>
      </c>
      <c r="AB1986" s="52">
        <f>IF(OR(P1986="",Q1986=""),"",IFERROR(IF(INDEX(ctaVinc,MATCH(Q1986,ctaNombre,0))&amp;""&lt;&gt;"",INDEX(ctaVinc,MATCH(Q1986,ctaNombre,0))&amp;"",Q1986),Q1986))</f>
        <v/>
      </c>
      <c r="AC1986" s="52">
        <f>IF(OR(K1986="",AND(P1986&lt;&gt;"Transferencia",P1986&lt;&gt;"Pago tarjeta")),"",IFERROR(IF(INDEX(ctaVinc,MATCH(K1986,ctaNombre,0))&amp;""&lt;&gt;"",INDEX(ctaVinc,MATCH(K1986,ctaNombre,0))&amp;"",K1986),K1986))</f>
        <v/>
      </c>
      <c r="AD1986" s="52">
        <f>IF(AB1986="","",IFERROR(INDEX(ctaTipo,MATCH(AB1986,ctaNombre,0))&amp;"",""))</f>
        <v/>
      </c>
      <c r="AE1986" s="52">
        <f>IF(AC1986="","",IFERROR(INDEX(ctaTipo,MATCH(AC1986,ctaNombre,0))&amp;"",""))</f>
        <v/>
      </c>
      <c r="AF1986" s="53">
        <f>IF(OR(P1986="",AB1986=""),"",IF(OR(P1986="Gasto",P1986="Transferencia",P1986="Pago tarjeta"),-1,1)*IF(IFERROR(INDEX(ctaMoneda,MATCH(AB1986,ctaNombre,0))&amp;"","DOP")="USD",T1986,S1986))</f>
        <v/>
      </c>
      <c r="AG1986" s="53">
        <f>IF(AC1986="","",IF(IFERROR(INDEX(ctaMoneda,MATCH(AC1986,ctaNombre,0))&amp;"","DOP")="USD",T1986,S1986))</f>
        <v/>
      </c>
      <c r="AH1986" s="53">
        <f>IF(P1986="","",IF(AND(AD1986&lt;&gt;"",COUNTIFS(tcTipo,AD1986,tcLiq,"Sí")&gt;0),IF(OR(P1986="Gasto",P1986="Transferencia",P1986="Pago tarjeta"),-1,1)*S1986,0)+IF(AND(AE1986&lt;&gt;"",COUNTIFS(tcTipo,AE1986,tcLiq,"Sí")&gt;0),S1986,0))</f>
        <v/>
      </c>
      <c r="AI1986" s="52">
        <f>IF(OR(L1986="",P1986=""),"",IF(COUNTIFS(L$6:L1986,L1986,P$6:P1986,"?*")=1,MAX(AI$5:AI1985)+1,""))</f>
        <v/>
      </c>
    </row>
    <row r="1987">
      <c r="B1987" s="47" t="n"/>
      <c r="C1987" s="48" t="n"/>
      <c r="D1987" s="48" t="n"/>
      <c r="E1987" s="48" t="n"/>
      <c r="F1987" s="48" t="n"/>
      <c r="G1987" s="49" t="n"/>
      <c r="H1987" s="48" t="n"/>
      <c r="I1987" s="50" t="n"/>
      <c r="J1987" s="48" t="n"/>
      <c r="K1987" s="48" t="n"/>
      <c r="L1987" s="48" t="n"/>
      <c r="M1987" s="48" t="n"/>
      <c r="N1987" s="48" t="n"/>
      <c r="O1987" s="51">
        <f>IF(AND(B1987="",G1987="",C1987="",D1987="",J1987=""),"",IF(B1987="","⚠ Falta fecha",IF(G1987="","⚠ Falta monto",IF(Q1987="","⚠ Falta cuenta",IF(ISNA(MATCH(Q1987,ctaNombre,0)),"⚠ Cuenta no registrada",IF(AND(OR(P1987="Gasto",P1987="Reembolso"),D1987=""),"⚠ Falta categoría",IF(AND(D1987&lt;&gt;"",E1987&lt;&gt;"",ISNA(MATCH(D1987&amp;"|"&amp;E1987,catClave,0))),"⚠ Subcategoría no corresponde",IF(AND(OR(P1987="Transferencia",P1987="Pago tarjeta"),K1987=""),"⚠ Falta cuenta destino",IF(AND(K1987&lt;&gt;"",P1987&lt;&gt;"Transferencia",P1987&lt;&gt;"Pago tarjeta"),"⚠ Destino solo aplica a transferencias",IF(AND(K1987&lt;&gt;"",K1987=Q1987),"⚠ Origen igual a destino",IF(AND(K1987&lt;&gt;"",ISNA(MATCH(K1987,ctaNombre,0))),"⚠ Destino no registrado",IF(AND(P1987="Pago tarjeta",AE1987&lt;&gt;"Tarjeta de crédito"),"⚠ El destino debe ser tarjeta de crédito",IF(AND(P1987="Gasto",E1987="Depósitos y retiros"),"⚠ Usa tipo Transferencia",IF(AND(P1987="Resultado trading",AD1987&lt;&gt;"Cuenta de trading"),"⚠ Usa una cuenta de trading",IF(AND(G1987&lt;=0,P1987&lt;&gt;"Ajuste",P1987&lt;&gt;"Resultado trading"),"⚠ El monto debe ser positivo","✓")))))))))))))))</f>
        <v/>
      </c>
      <c r="P1987" s="52">
        <f>IF(OR(B1987="",G1987=""),"",IF(C1987="","Gasto",C1987))</f>
        <v/>
      </c>
      <c r="Q1987" s="52">
        <f>IF(P1987="","",IF(J1987&lt;&gt;"",J1987,CuentaPred&amp;""))</f>
        <v/>
      </c>
      <c r="R1987" s="52">
        <f>IF(P1987="","",IF(ISNUMBER(I1987),I1987,TasaUSD))</f>
        <v/>
      </c>
      <c r="S1987" s="53">
        <f>IF(P1987="","",IF(H1987="USD",G1987*R1987,G1987))</f>
        <v/>
      </c>
      <c r="T1987" s="53">
        <f>IF(P1987="","",IF(H1987="USD",G1987,IF(R1987&gt;0,G1987/R1987,0)))</f>
        <v/>
      </c>
      <c r="U1987" s="53">
        <f>IF(P1987="","",IF(P1987="Gasto",S1987,IF(P1987="Reembolso",-S1987,0)))</f>
        <v/>
      </c>
      <c r="V1987" s="53">
        <f>IF(P1987="","",IF(P1987="Ingreso",S1987,0))</f>
        <v/>
      </c>
      <c r="W1987" s="53">
        <f>IF(P1987="","",IF(P1987="Resultado trading",S1987,0))</f>
        <v/>
      </c>
      <c r="X1987" s="52">
        <f>IF(OR(P1987="Gasto",P1987="Reembolso"),IF(M1987&lt;&gt;"",M1987,IFERROR(INDEX(catClasif,MATCH(D1987&amp;"|"&amp;E1987,catClave,0))&amp;"","Variable")),"")</f>
        <v/>
      </c>
      <c r="Y1987" s="52">
        <f>IF(P1987="","",IFERROR(INDEX(catGrupo,MATCH(D1987&amp;"|"&amp;E1987,catClave,0))&amp;"",""))</f>
        <v/>
      </c>
      <c r="Z1987" s="52">
        <f>IF(P1987="","",WEEKDAY(B1987,2))</f>
        <v/>
      </c>
      <c r="AA1987" s="52">
        <f>IF(P1987="","",IF(AND(P1987="Gasto",X1987="Variable",D1987&lt;&gt;catTrading,S1987&gt;0,S1987&lt;=Umbral),1,0))</f>
        <v/>
      </c>
      <c r="AB1987" s="52">
        <f>IF(OR(P1987="",Q1987=""),"",IFERROR(IF(INDEX(ctaVinc,MATCH(Q1987,ctaNombre,0))&amp;""&lt;&gt;"",INDEX(ctaVinc,MATCH(Q1987,ctaNombre,0))&amp;"",Q1987),Q1987))</f>
        <v/>
      </c>
      <c r="AC1987" s="52">
        <f>IF(OR(K1987="",AND(P1987&lt;&gt;"Transferencia",P1987&lt;&gt;"Pago tarjeta")),"",IFERROR(IF(INDEX(ctaVinc,MATCH(K1987,ctaNombre,0))&amp;""&lt;&gt;"",INDEX(ctaVinc,MATCH(K1987,ctaNombre,0))&amp;"",K1987),K1987))</f>
        <v/>
      </c>
      <c r="AD1987" s="52">
        <f>IF(AB1987="","",IFERROR(INDEX(ctaTipo,MATCH(AB1987,ctaNombre,0))&amp;"",""))</f>
        <v/>
      </c>
      <c r="AE1987" s="52">
        <f>IF(AC1987="","",IFERROR(INDEX(ctaTipo,MATCH(AC1987,ctaNombre,0))&amp;"",""))</f>
        <v/>
      </c>
      <c r="AF1987" s="53">
        <f>IF(OR(P1987="",AB1987=""),"",IF(OR(P1987="Gasto",P1987="Transferencia",P1987="Pago tarjeta"),-1,1)*IF(IFERROR(INDEX(ctaMoneda,MATCH(AB1987,ctaNombre,0))&amp;"","DOP")="USD",T1987,S1987))</f>
        <v/>
      </c>
      <c r="AG1987" s="53">
        <f>IF(AC1987="","",IF(IFERROR(INDEX(ctaMoneda,MATCH(AC1987,ctaNombre,0))&amp;"","DOP")="USD",T1987,S1987))</f>
        <v/>
      </c>
      <c r="AH1987" s="53">
        <f>IF(P1987="","",IF(AND(AD1987&lt;&gt;"",COUNTIFS(tcTipo,AD1987,tcLiq,"Sí")&gt;0),IF(OR(P1987="Gasto",P1987="Transferencia",P1987="Pago tarjeta"),-1,1)*S1987,0)+IF(AND(AE1987&lt;&gt;"",COUNTIFS(tcTipo,AE1987,tcLiq,"Sí")&gt;0),S1987,0))</f>
        <v/>
      </c>
      <c r="AI1987" s="52">
        <f>IF(OR(L1987="",P1987=""),"",IF(COUNTIFS(L$6:L1987,L1987,P$6:P1987,"?*")=1,MAX(AI$5:AI1986)+1,""))</f>
        <v/>
      </c>
    </row>
    <row r="1988">
      <c r="B1988" s="47" t="n"/>
      <c r="C1988" s="48" t="n"/>
      <c r="D1988" s="48" t="n"/>
      <c r="E1988" s="48" t="n"/>
      <c r="F1988" s="48" t="n"/>
      <c r="G1988" s="49" t="n"/>
      <c r="H1988" s="48" t="n"/>
      <c r="I1988" s="50" t="n"/>
      <c r="J1988" s="48" t="n"/>
      <c r="K1988" s="48" t="n"/>
      <c r="L1988" s="48" t="n"/>
      <c r="M1988" s="48" t="n"/>
      <c r="N1988" s="48" t="n"/>
      <c r="O1988" s="51">
        <f>IF(AND(B1988="",G1988="",C1988="",D1988="",J1988=""),"",IF(B1988="","⚠ Falta fecha",IF(G1988="","⚠ Falta monto",IF(Q1988="","⚠ Falta cuenta",IF(ISNA(MATCH(Q1988,ctaNombre,0)),"⚠ Cuenta no registrada",IF(AND(OR(P1988="Gasto",P1988="Reembolso"),D1988=""),"⚠ Falta categoría",IF(AND(D1988&lt;&gt;"",E1988&lt;&gt;"",ISNA(MATCH(D1988&amp;"|"&amp;E1988,catClave,0))),"⚠ Subcategoría no corresponde",IF(AND(OR(P1988="Transferencia",P1988="Pago tarjeta"),K1988=""),"⚠ Falta cuenta destino",IF(AND(K1988&lt;&gt;"",P1988&lt;&gt;"Transferencia",P1988&lt;&gt;"Pago tarjeta"),"⚠ Destino solo aplica a transferencias",IF(AND(K1988&lt;&gt;"",K1988=Q1988),"⚠ Origen igual a destino",IF(AND(K1988&lt;&gt;"",ISNA(MATCH(K1988,ctaNombre,0))),"⚠ Destino no registrado",IF(AND(P1988="Pago tarjeta",AE1988&lt;&gt;"Tarjeta de crédito"),"⚠ El destino debe ser tarjeta de crédito",IF(AND(P1988="Gasto",E1988="Depósitos y retiros"),"⚠ Usa tipo Transferencia",IF(AND(P1988="Resultado trading",AD1988&lt;&gt;"Cuenta de trading"),"⚠ Usa una cuenta de trading",IF(AND(G1988&lt;=0,P1988&lt;&gt;"Ajuste",P1988&lt;&gt;"Resultado trading"),"⚠ El monto debe ser positivo","✓")))))))))))))))</f>
        <v/>
      </c>
      <c r="P1988" s="52">
        <f>IF(OR(B1988="",G1988=""),"",IF(C1988="","Gasto",C1988))</f>
        <v/>
      </c>
      <c r="Q1988" s="52">
        <f>IF(P1988="","",IF(J1988&lt;&gt;"",J1988,CuentaPred&amp;""))</f>
        <v/>
      </c>
      <c r="R1988" s="52">
        <f>IF(P1988="","",IF(ISNUMBER(I1988),I1988,TasaUSD))</f>
        <v/>
      </c>
      <c r="S1988" s="53">
        <f>IF(P1988="","",IF(H1988="USD",G1988*R1988,G1988))</f>
        <v/>
      </c>
      <c r="T1988" s="53">
        <f>IF(P1988="","",IF(H1988="USD",G1988,IF(R1988&gt;0,G1988/R1988,0)))</f>
        <v/>
      </c>
      <c r="U1988" s="53">
        <f>IF(P1988="","",IF(P1988="Gasto",S1988,IF(P1988="Reembolso",-S1988,0)))</f>
        <v/>
      </c>
      <c r="V1988" s="53">
        <f>IF(P1988="","",IF(P1988="Ingreso",S1988,0))</f>
        <v/>
      </c>
      <c r="W1988" s="53">
        <f>IF(P1988="","",IF(P1988="Resultado trading",S1988,0))</f>
        <v/>
      </c>
      <c r="X1988" s="52">
        <f>IF(OR(P1988="Gasto",P1988="Reembolso"),IF(M1988&lt;&gt;"",M1988,IFERROR(INDEX(catClasif,MATCH(D1988&amp;"|"&amp;E1988,catClave,0))&amp;"","Variable")),"")</f>
        <v/>
      </c>
      <c r="Y1988" s="52">
        <f>IF(P1988="","",IFERROR(INDEX(catGrupo,MATCH(D1988&amp;"|"&amp;E1988,catClave,0))&amp;"",""))</f>
        <v/>
      </c>
      <c r="Z1988" s="52">
        <f>IF(P1988="","",WEEKDAY(B1988,2))</f>
        <v/>
      </c>
      <c r="AA1988" s="52">
        <f>IF(P1988="","",IF(AND(P1988="Gasto",X1988="Variable",D1988&lt;&gt;catTrading,S1988&gt;0,S1988&lt;=Umbral),1,0))</f>
        <v/>
      </c>
      <c r="AB1988" s="52">
        <f>IF(OR(P1988="",Q1988=""),"",IFERROR(IF(INDEX(ctaVinc,MATCH(Q1988,ctaNombre,0))&amp;""&lt;&gt;"",INDEX(ctaVinc,MATCH(Q1988,ctaNombre,0))&amp;"",Q1988),Q1988))</f>
        <v/>
      </c>
      <c r="AC1988" s="52">
        <f>IF(OR(K1988="",AND(P1988&lt;&gt;"Transferencia",P1988&lt;&gt;"Pago tarjeta")),"",IFERROR(IF(INDEX(ctaVinc,MATCH(K1988,ctaNombre,0))&amp;""&lt;&gt;"",INDEX(ctaVinc,MATCH(K1988,ctaNombre,0))&amp;"",K1988),K1988))</f>
        <v/>
      </c>
      <c r="AD1988" s="52">
        <f>IF(AB1988="","",IFERROR(INDEX(ctaTipo,MATCH(AB1988,ctaNombre,0))&amp;"",""))</f>
        <v/>
      </c>
      <c r="AE1988" s="52">
        <f>IF(AC1988="","",IFERROR(INDEX(ctaTipo,MATCH(AC1988,ctaNombre,0))&amp;"",""))</f>
        <v/>
      </c>
      <c r="AF1988" s="53">
        <f>IF(OR(P1988="",AB1988=""),"",IF(OR(P1988="Gasto",P1988="Transferencia",P1988="Pago tarjeta"),-1,1)*IF(IFERROR(INDEX(ctaMoneda,MATCH(AB1988,ctaNombre,0))&amp;"","DOP")="USD",T1988,S1988))</f>
        <v/>
      </c>
      <c r="AG1988" s="53">
        <f>IF(AC1988="","",IF(IFERROR(INDEX(ctaMoneda,MATCH(AC1988,ctaNombre,0))&amp;"","DOP")="USD",T1988,S1988))</f>
        <v/>
      </c>
      <c r="AH1988" s="53">
        <f>IF(P1988="","",IF(AND(AD1988&lt;&gt;"",COUNTIFS(tcTipo,AD1988,tcLiq,"Sí")&gt;0),IF(OR(P1988="Gasto",P1988="Transferencia",P1988="Pago tarjeta"),-1,1)*S1988,0)+IF(AND(AE1988&lt;&gt;"",COUNTIFS(tcTipo,AE1988,tcLiq,"Sí")&gt;0),S1988,0))</f>
        <v/>
      </c>
      <c r="AI1988" s="52">
        <f>IF(OR(L1988="",P1988=""),"",IF(COUNTIFS(L$6:L1988,L1988,P$6:P1988,"?*")=1,MAX(AI$5:AI1987)+1,""))</f>
        <v/>
      </c>
    </row>
    <row r="1989">
      <c r="B1989" s="47" t="n"/>
      <c r="C1989" s="48" t="n"/>
      <c r="D1989" s="48" t="n"/>
      <c r="E1989" s="48" t="n"/>
      <c r="F1989" s="48" t="n"/>
      <c r="G1989" s="49" t="n"/>
      <c r="H1989" s="48" t="n"/>
      <c r="I1989" s="50" t="n"/>
      <c r="J1989" s="48" t="n"/>
      <c r="K1989" s="48" t="n"/>
      <c r="L1989" s="48" t="n"/>
      <c r="M1989" s="48" t="n"/>
      <c r="N1989" s="48" t="n"/>
      <c r="O1989" s="51">
        <f>IF(AND(B1989="",G1989="",C1989="",D1989="",J1989=""),"",IF(B1989="","⚠ Falta fecha",IF(G1989="","⚠ Falta monto",IF(Q1989="","⚠ Falta cuenta",IF(ISNA(MATCH(Q1989,ctaNombre,0)),"⚠ Cuenta no registrada",IF(AND(OR(P1989="Gasto",P1989="Reembolso"),D1989=""),"⚠ Falta categoría",IF(AND(D1989&lt;&gt;"",E1989&lt;&gt;"",ISNA(MATCH(D1989&amp;"|"&amp;E1989,catClave,0))),"⚠ Subcategoría no corresponde",IF(AND(OR(P1989="Transferencia",P1989="Pago tarjeta"),K1989=""),"⚠ Falta cuenta destino",IF(AND(K1989&lt;&gt;"",P1989&lt;&gt;"Transferencia",P1989&lt;&gt;"Pago tarjeta"),"⚠ Destino solo aplica a transferencias",IF(AND(K1989&lt;&gt;"",K1989=Q1989),"⚠ Origen igual a destino",IF(AND(K1989&lt;&gt;"",ISNA(MATCH(K1989,ctaNombre,0))),"⚠ Destino no registrado",IF(AND(P1989="Pago tarjeta",AE1989&lt;&gt;"Tarjeta de crédito"),"⚠ El destino debe ser tarjeta de crédito",IF(AND(P1989="Gasto",E1989="Depósitos y retiros"),"⚠ Usa tipo Transferencia",IF(AND(P1989="Resultado trading",AD1989&lt;&gt;"Cuenta de trading"),"⚠ Usa una cuenta de trading",IF(AND(G1989&lt;=0,P1989&lt;&gt;"Ajuste",P1989&lt;&gt;"Resultado trading"),"⚠ El monto debe ser positivo","✓")))))))))))))))</f>
        <v/>
      </c>
      <c r="P1989" s="52">
        <f>IF(OR(B1989="",G1989=""),"",IF(C1989="","Gasto",C1989))</f>
        <v/>
      </c>
      <c r="Q1989" s="52">
        <f>IF(P1989="","",IF(J1989&lt;&gt;"",J1989,CuentaPred&amp;""))</f>
        <v/>
      </c>
      <c r="R1989" s="52">
        <f>IF(P1989="","",IF(ISNUMBER(I1989),I1989,TasaUSD))</f>
        <v/>
      </c>
      <c r="S1989" s="53">
        <f>IF(P1989="","",IF(H1989="USD",G1989*R1989,G1989))</f>
        <v/>
      </c>
      <c r="T1989" s="53">
        <f>IF(P1989="","",IF(H1989="USD",G1989,IF(R1989&gt;0,G1989/R1989,0)))</f>
        <v/>
      </c>
      <c r="U1989" s="53">
        <f>IF(P1989="","",IF(P1989="Gasto",S1989,IF(P1989="Reembolso",-S1989,0)))</f>
        <v/>
      </c>
      <c r="V1989" s="53">
        <f>IF(P1989="","",IF(P1989="Ingreso",S1989,0))</f>
        <v/>
      </c>
      <c r="W1989" s="53">
        <f>IF(P1989="","",IF(P1989="Resultado trading",S1989,0))</f>
        <v/>
      </c>
      <c r="X1989" s="52">
        <f>IF(OR(P1989="Gasto",P1989="Reembolso"),IF(M1989&lt;&gt;"",M1989,IFERROR(INDEX(catClasif,MATCH(D1989&amp;"|"&amp;E1989,catClave,0))&amp;"","Variable")),"")</f>
        <v/>
      </c>
      <c r="Y1989" s="52">
        <f>IF(P1989="","",IFERROR(INDEX(catGrupo,MATCH(D1989&amp;"|"&amp;E1989,catClave,0))&amp;"",""))</f>
        <v/>
      </c>
      <c r="Z1989" s="52">
        <f>IF(P1989="","",WEEKDAY(B1989,2))</f>
        <v/>
      </c>
      <c r="AA1989" s="52">
        <f>IF(P1989="","",IF(AND(P1989="Gasto",X1989="Variable",D1989&lt;&gt;catTrading,S1989&gt;0,S1989&lt;=Umbral),1,0))</f>
        <v/>
      </c>
      <c r="AB1989" s="52">
        <f>IF(OR(P1989="",Q1989=""),"",IFERROR(IF(INDEX(ctaVinc,MATCH(Q1989,ctaNombre,0))&amp;""&lt;&gt;"",INDEX(ctaVinc,MATCH(Q1989,ctaNombre,0))&amp;"",Q1989),Q1989))</f>
        <v/>
      </c>
      <c r="AC1989" s="52">
        <f>IF(OR(K1989="",AND(P1989&lt;&gt;"Transferencia",P1989&lt;&gt;"Pago tarjeta")),"",IFERROR(IF(INDEX(ctaVinc,MATCH(K1989,ctaNombre,0))&amp;""&lt;&gt;"",INDEX(ctaVinc,MATCH(K1989,ctaNombre,0))&amp;"",K1989),K1989))</f>
        <v/>
      </c>
      <c r="AD1989" s="52">
        <f>IF(AB1989="","",IFERROR(INDEX(ctaTipo,MATCH(AB1989,ctaNombre,0))&amp;"",""))</f>
        <v/>
      </c>
      <c r="AE1989" s="52">
        <f>IF(AC1989="","",IFERROR(INDEX(ctaTipo,MATCH(AC1989,ctaNombre,0))&amp;"",""))</f>
        <v/>
      </c>
      <c r="AF1989" s="53">
        <f>IF(OR(P1989="",AB1989=""),"",IF(OR(P1989="Gasto",P1989="Transferencia",P1989="Pago tarjeta"),-1,1)*IF(IFERROR(INDEX(ctaMoneda,MATCH(AB1989,ctaNombre,0))&amp;"","DOP")="USD",T1989,S1989))</f>
        <v/>
      </c>
      <c r="AG1989" s="53">
        <f>IF(AC1989="","",IF(IFERROR(INDEX(ctaMoneda,MATCH(AC1989,ctaNombre,0))&amp;"","DOP")="USD",T1989,S1989))</f>
        <v/>
      </c>
      <c r="AH1989" s="53">
        <f>IF(P1989="","",IF(AND(AD1989&lt;&gt;"",COUNTIFS(tcTipo,AD1989,tcLiq,"Sí")&gt;0),IF(OR(P1989="Gasto",P1989="Transferencia",P1989="Pago tarjeta"),-1,1)*S1989,0)+IF(AND(AE1989&lt;&gt;"",COUNTIFS(tcTipo,AE1989,tcLiq,"Sí")&gt;0),S1989,0))</f>
        <v/>
      </c>
      <c r="AI1989" s="52">
        <f>IF(OR(L1989="",P1989=""),"",IF(COUNTIFS(L$6:L1989,L1989,P$6:P1989,"?*")=1,MAX(AI$5:AI1988)+1,""))</f>
        <v/>
      </c>
    </row>
    <row r="1990">
      <c r="B1990" s="47" t="n"/>
      <c r="C1990" s="48" t="n"/>
      <c r="D1990" s="48" t="n"/>
      <c r="E1990" s="48" t="n"/>
      <c r="F1990" s="48" t="n"/>
      <c r="G1990" s="49" t="n"/>
      <c r="H1990" s="48" t="n"/>
      <c r="I1990" s="50" t="n"/>
      <c r="J1990" s="48" t="n"/>
      <c r="K1990" s="48" t="n"/>
      <c r="L1990" s="48" t="n"/>
      <c r="M1990" s="48" t="n"/>
      <c r="N1990" s="48" t="n"/>
      <c r="O1990" s="51">
        <f>IF(AND(B1990="",G1990="",C1990="",D1990="",J1990=""),"",IF(B1990="","⚠ Falta fecha",IF(G1990="","⚠ Falta monto",IF(Q1990="","⚠ Falta cuenta",IF(ISNA(MATCH(Q1990,ctaNombre,0)),"⚠ Cuenta no registrada",IF(AND(OR(P1990="Gasto",P1990="Reembolso"),D1990=""),"⚠ Falta categoría",IF(AND(D1990&lt;&gt;"",E1990&lt;&gt;"",ISNA(MATCH(D1990&amp;"|"&amp;E1990,catClave,0))),"⚠ Subcategoría no corresponde",IF(AND(OR(P1990="Transferencia",P1990="Pago tarjeta"),K1990=""),"⚠ Falta cuenta destino",IF(AND(K1990&lt;&gt;"",P1990&lt;&gt;"Transferencia",P1990&lt;&gt;"Pago tarjeta"),"⚠ Destino solo aplica a transferencias",IF(AND(K1990&lt;&gt;"",K1990=Q1990),"⚠ Origen igual a destino",IF(AND(K1990&lt;&gt;"",ISNA(MATCH(K1990,ctaNombre,0))),"⚠ Destino no registrado",IF(AND(P1990="Pago tarjeta",AE1990&lt;&gt;"Tarjeta de crédito"),"⚠ El destino debe ser tarjeta de crédito",IF(AND(P1990="Gasto",E1990="Depósitos y retiros"),"⚠ Usa tipo Transferencia",IF(AND(P1990="Resultado trading",AD1990&lt;&gt;"Cuenta de trading"),"⚠ Usa una cuenta de trading",IF(AND(G1990&lt;=0,P1990&lt;&gt;"Ajuste",P1990&lt;&gt;"Resultado trading"),"⚠ El monto debe ser positivo","✓")))))))))))))))</f>
        <v/>
      </c>
      <c r="P1990" s="52">
        <f>IF(OR(B1990="",G1990=""),"",IF(C1990="","Gasto",C1990))</f>
        <v/>
      </c>
      <c r="Q1990" s="52">
        <f>IF(P1990="","",IF(J1990&lt;&gt;"",J1990,CuentaPred&amp;""))</f>
        <v/>
      </c>
      <c r="R1990" s="52">
        <f>IF(P1990="","",IF(ISNUMBER(I1990),I1990,TasaUSD))</f>
        <v/>
      </c>
      <c r="S1990" s="53">
        <f>IF(P1990="","",IF(H1990="USD",G1990*R1990,G1990))</f>
        <v/>
      </c>
      <c r="T1990" s="53">
        <f>IF(P1990="","",IF(H1990="USD",G1990,IF(R1990&gt;0,G1990/R1990,0)))</f>
        <v/>
      </c>
      <c r="U1990" s="53">
        <f>IF(P1990="","",IF(P1990="Gasto",S1990,IF(P1990="Reembolso",-S1990,0)))</f>
        <v/>
      </c>
      <c r="V1990" s="53">
        <f>IF(P1990="","",IF(P1990="Ingreso",S1990,0))</f>
        <v/>
      </c>
      <c r="W1990" s="53">
        <f>IF(P1990="","",IF(P1990="Resultado trading",S1990,0))</f>
        <v/>
      </c>
      <c r="X1990" s="52">
        <f>IF(OR(P1990="Gasto",P1990="Reembolso"),IF(M1990&lt;&gt;"",M1990,IFERROR(INDEX(catClasif,MATCH(D1990&amp;"|"&amp;E1990,catClave,0))&amp;"","Variable")),"")</f>
        <v/>
      </c>
      <c r="Y1990" s="52">
        <f>IF(P1990="","",IFERROR(INDEX(catGrupo,MATCH(D1990&amp;"|"&amp;E1990,catClave,0))&amp;"",""))</f>
        <v/>
      </c>
      <c r="Z1990" s="52">
        <f>IF(P1990="","",WEEKDAY(B1990,2))</f>
        <v/>
      </c>
      <c r="AA1990" s="52">
        <f>IF(P1990="","",IF(AND(P1990="Gasto",X1990="Variable",D1990&lt;&gt;catTrading,S1990&gt;0,S1990&lt;=Umbral),1,0))</f>
        <v/>
      </c>
      <c r="AB1990" s="52">
        <f>IF(OR(P1990="",Q1990=""),"",IFERROR(IF(INDEX(ctaVinc,MATCH(Q1990,ctaNombre,0))&amp;""&lt;&gt;"",INDEX(ctaVinc,MATCH(Q1990,ctaNombre,0))&amp;"",Q1990),Q1990))</f>
        <v/>
      </c>
      <c r="AC1990" s="52">
        <f>IF(OR(K1990="",AND(P1990&lt;&gt;"Transferencia",P1990&lt;&gt;"Pago tarjeta")),"",IFERROR(IF(INDEX(ctaVinc,MATCH(K1990,ctaNombre,0))&amp;""&lt;&gt;"",INDEX(ctaVinc,MATCH(K1990,ctaNombre,0))&amp;"",K1990),K1990))</f>
        <v/>
      </c>
      <c r="AD1990" s="52">
        <f>IF(AB1990="","",IFERROR(INDEX(ctaTipo,MATCH(AB1990,ctaNombre,0))&amp;"",""))</f>
        <v/>
      </c>
      <c r="AE1990" s="52">
        <f>IF(AC1990="","",IFERROR(INDEX(ctaTipo,MATCH(AC1990,ctaNombre,0))&amp;"",""))</f>
        <v/>
      </c>
      <c r="AF1990" s="53">
        <f>IF(OR(P1990="",AB1990=""),"",IF(OR(P1990="Gasto",P1990="Transferencia",P1990="Pago tarjeta"),-1,1)*IF(IFERROR(INDEX(ctaMoneda,MATCH(AB1990,ctaNombre,0))&amp;"","DOP")="USD",T1990,S1990))</f>
        <v/>
      </c>
      <c r="AG1990" s="53">
        <f>IF(AC1990="","",IF(IFERROR(INDEX(ctaMoneda,MATCH(AC1990,ctaNombre,0))&amp;"","DOP")="USD",T1990,S1990))</f>
        <v/>
      </c>
      <c r="AH1990" s="53">
        <f>IF(P1990="","",IF(AND(AD1990&lt;&gt;"",COUNTIFS(tcTipo,AD1990,tcLiq,"Sí")&gt;0),IF(OR(P1990="Gasto",P1990="Transferencia",P1990="Pago tarjeta"),-1,1)*S1990,0)+IF(AND(AE1990&lt;&gt;"",COUNTIFS(tcTipo,AE1990,tcLiq,"Sí")&gt;0),S1990,0))</f>
        <v/>
      </c>
      <c r="AI1990" s="52">
        <f>IF(OR(L1990="",P1990=""),"",IF(COUNTIFS(L$6:L1990,L1990,P$6:P1990,"?*")=1,MAX(AI$5:AI1989)+1,""))</f>
        <v/>
      </c>
    </row>
    <row r="1991">
      <c r="B1991" s="47" t="n"/>
      <c r="C1991" s="48" t="n"/>
      <c r="D1991" s="48" t="n"/>
      <c r="E1991" s="48" t="n"/>
      <c r="F1991" s="48" t="n"/>
      <c r="G1991" s="49" t="n"/>
      <c r="H1991" s="48" t="n"/>
      <c r="I1991" s="50" t="n"/>
      <c r="J1991" s="48" t="n"/>
      <c r="K1991" s="48" t="n"/>
      <c r="L1991" s="48" t="n"/>
      <c r="M1991" s="48" t="n"/>
      <c r="N1991" s="48" t="n"/>
      <c r="O1991" s="51">
        <f>IF(AND(B1991="",G1991="",C1991="",D1991="",J1991=""),"",IF(B1991="","⚠ Falta fecha",IF(G1991="","⚠ Falta monto",IF(Q1991="","⚠ Falta cuenta",IF(ISNA(MATCH(Q1991,ctaNombre,0)),"⚠ Cuenta no registrada",IF(AND(OR(P1991="Gasto",P1991="Reembolso"),D1991=""),"⚠ Falta categoría",IF(AND(D1991&lt;&gt;"",E1991&lt;&gt;"",ISNA(MATCH(D1991&amp;"|"&amp;E1991,catClave,0))),"⚠ Subcategoría no corresponde",IF(AND(OR(P1991="Transferencia",P1991="Pago tarjeta"),K1991=""),"⚠ Falta cuenta destino",IF(AND(K1991&lt;&gt;"",P1991&lt;&gt;"Transferencia",P1991&lt;&gt;"Pago tarjeta"),"⚠ Destino solo aplica a transferencias",IF(AND(K1991&lt;&gt;"",K1991=Q1991),"⚠ Origen igual a destino",IF(AND(K1991&lt;&gt;"",ISNA(MATCH(K1991,ctaNombre,0))),"⚠ Destino no registrado",IF(AND(P1991="Pago tarjeta",AE1991&lt;&gt;"Tarjeta de crédito"),"⚠ El destino debe ser tarjeta de crédito",IF(AND(P1991="Gasto",E1991="Depósitos y retiros"),"⚠ Usa tipo Transferencia",IF(AND(P1991="Resultado trading",AD1991&lt;&gt;"Cuenta de trading"),"⚠ Usa una cuenta de trading",IF(AND(G1991&lt;=0,P1991&lt;&gt;"Ajuste",P1991&lt;&gt;"Resultado trading"),"⚠ El monto debe ser positivo","✓")))))))))))))))</f>
        <v/>
      </c>
      <c r="P1991" s="52">
        <f>IF(OR(B1991="",G1991=""),"",IF(C1991="","Gasto",C1991))</f>
        <v/>
      </c>
      <c r="Q1991" s="52">
        <f>IF(P1991="","",IF(J1991&lt;&gt;"",J1991,CuentaPred&amp;""))</f>
        <v/>
      </c>
      <c r="R1991" s="52">
        <f>IF(P1991="","",IF(ISNUMBER(I1991),I1991,TasaUSD))</f>
        <v/>
      </c>
      <c r="S1991" s="53">
        <f>IF(P1991="","",IF(H1991="USD",G1991*R1991,G1991))</f>
        <v/>
      </c>
      <c r="T1991" s="53">
        <f>IF(P1991="","",IF(H1991="USD",G1991,IF(R1991&gt;0,G1991/R1991,0)))</f>
        <v/>
      </c>
      <c r="U1991" s="53">
        <f>IF(P1991="","",IF(P1991="Gasto",S1991,IF(P1991="Reembolso",-S1991,0)))</f>
        <v/>
      </c>
      <c r="V1991" s="53">
        <f>IF(P1991="","",IF(P1991="Ingreso",S1991,0))</f>
        <v/>
      </c>
      <c r="W1991" s="53">
        <f>IF(P1991="","",IF(P1991="Resultado trading",S1991,0))</f>
        <v/>
      </c>
      <c r="X1991" s="52">
        <f>IF(OR(P1991="Gasto",P1991="Reembolso"),IF(M1991&lt;&gt;"",M1991,IFERROR(INDEX(catClasif,MATCH(D1991&amp;"|"&amp;E1991,catClave,0))&amp;"","Variable")),"")</f>
        <v/>
      </c>
      <c r="Y1991" s="52">
        <f>IF(P1991="","",IFERROR(INDEX(catGrupo,MATCH(D1991&amp;"|"&amp;E1991,catClave,0))&amp;"",""))</f>
        <v/>
      </c>
      <c r="Z1991" s="52">
        <f>IF(P1991="","",WEEKDAY(B1991,2))</f>
        <v/>
      </c>
      <c r="AA1991" s="52">
        <f>IF(P1991="","",IF(AND(P1991="Gasto",X1991="Variable",D1991&lt;&gt;catTrading,S1991&gt;0,S1991&lt;=Umbral),1,0))</f>
        <v/>
      </c>
      <c r="AB1991" s="52">
        <f>IF(OR(P1991="",Q1991=""),"",IFERROR(IF(INDEX(ctaVinc,MATCH(Q1991,ctaNombre,0))&amp;""&lt;&gt;"",INDEX(ctaVinc,MATCH(Q1991,ctaNombre,0))&amp;"",Q1991),Q1991))</f>
        <v/>
      </c>
      <c r="AC1991" s="52">
        <f>IF(OR(K1991="",AND(P1991&lt;&gt;"Transferencia",P1991&lt;&gt;"Pago tarjeta")),"",IFERROR(IF(INDEX(ctaVinc,MATCH(K1991,ctaNombre,0))&amp;""&lt;&gt;"",INDEX(ctaVinc,MATCH(K1991,ctaNombre,0))&amp;"",K1991),K1991))</f>
        <v/>
      </c>
      <c r="AD1991" s="52">
        <f>IF(AB1991="","",IFERROR(INDEX(ctaTipo,MATCH(AB1991,ctaNombre,0))&amp;"",""))</f>
        <v/>
      </c>
      <c r="AE1991" s="52">
        <f>IF(AC1991="","",IFERROR(INDEX(ctaTipo,MATCH(AC1991,ctaNombre,0))&amp;"",""))</f>
        <v/>
      </c>
      <c r="AF1991" s="53">
        <f>IF(OR(P1991="",AB1991=""),"",IF(OR(P1991="Gasto",P1991="Transferencia",P1991="Pago tarjeta"),-1,1)*IF(IFERROR(INDEX(ctaMoneda,MATCH(AB1991,ctaNombre,0))&amp;"","DOP")="USD",T1991,S1991))</f>
        <v/>
      </c>
      <c r="AG1991" s="53">
        <f>IF(AC1991="","",IF(IFERROR(INDEX(ctaMoneda,MATCH(AC1991,ctaNombre,0))&amp;"","DOP")="USD",T1991,S1991))</f>
        <v/>
      </c>
      <c r="AH1991" s="53">
        <f>IF(P1991="","",IF(AND(AD1991&lt;&gt;"",COUNTIFS(tcTipo,AD1991,tcLiq,"Sí")&gt;0),IF(OR(P1991="Gasto",P1991="Transferencia",P1991="Pago tarjeta"),-1,1)*S1991,0)+IF(AND(AE1991&lt;&gt;"",COUNTIFS(tcTipo,AE1991,tcLiq,"Sí")&gt;0),S1991,0))</f>
        <v/>
      </c>
      <c r="AI1991" s="52">
        <f>IF(OR(L1991="",P1991=""),"",IF(COUNTIFS(L$6:L1991,L1991,P$6:P1991,"?*")=1,MAX(AI$5:AI1990)+1,""))</f>
        <v/>
      </c>
    </row>
    <row r="1992">
      <c r="B1992" s="47" t="n"/>
      <c r="C1992" s="48" t="n"/>
      <c r="D1992" s="48" t="n"/>
      <c r="E1992" s="48" t="n"/>
      <c r="F1992" s="48" t="n"/>
      <c r="G1992" s="49" t="n"/>
      <c r="H1992" s="48" t="n"/>
      <c r="I1992" s="50" t="n"/>
      <c r="J1992" s="48" t="n"/>
      <c r="K1992" s="48" t="n"/>
      <c r="L1992" s="48" t="n"/>
      <c r="M1992" s="48" t="n"/>
      <c r="N1992" s="48" t="n"/>
      <c r="O1992" s="51">
        <f>IF(AND(B1992="",G1992="",C1992="",D1992="",J1992=""),"",IF(B1992="","⚠ Falta fecha",IF(G1992="","⚠ Falta monto",IF(Q1992="","⚠ Falta cuenta",IF(ISNA(MATCH(Q1992,ctaNombre,0)),"⚠ Cuenta no registrada",IF(AND(OR(P1992="Gasto",P1992="Reembolso"),D1992=""),"⚠ Falta categoría",IF(AND(D1992&lt;&gt;"",E1992&lt;&gt;"",ISNA(MATCH(D1992&amp;"|"&amp;E1992,catClave,0))),"⚠ Subcategoría no corresponde",IF(AND(OR(P1992="Transferencia",P1992="Pago tarjeta"),K1992=""),"⚠ Falta cuenta destino",IF(AND(K1992&lt;&gt;"",P1992&lt;&gt;"Transferencia",P1992&lt;&gt;"Pago tarjeta"),"⚠ Destino solo aplica a transferencias",IF(AND(K1992&lt;&gt;"",K1992=Q1992),"⚠ Origen igual a destino",IF(AND(K1992&lt;&gt;"",ISNA(MATCH(K1992,ctaNombre,0))),"⚠ Destino no registrado",IF(AND(P1992="Pago tarjeta",AE1992&lt;&gt;"Tarjeta de crédito"),"⚠ El destino debe ser tarjeta de crédito",IF(AND(P1992="Gasto",E1992="Depósitos y retiros"),"⚠ Usa tipo Transferencia",IF(AND(P1992="Resultado trading",AD1992&lt;&gt;"Cuenta de trading"),"⚠ Usa una cuenta de trading",IF(AND(G1992&lt;=0,P1992&lt;&gt;"Ajuste",P1992&lt;&gt;"Resultado trading"),"⚠ El monto debe ser positivo","✓")))))))))))))))</f>
        <v/>
      </c>
      <c r="P1992" s="52">
        <f>IF(OR(B1992="",G1992=""),"",IF(C1992="","Gasto",C1992))</f>
        <v/>
      </c>
      <c r="Q1992" s="52">
        <f>IF(P1992="","",IF(J1992&lt;&gt;"",J1992,CuentaPred&amp;""))</f>
        <v/>
      </c>
      <c r="R1992" s="52">
        <f>IF(P1992="","",IF(ISNUMBER(I1992),I1992,TasaUSD))</f>
        <v/>
      </c>
      <c r="S1992" s="53">
        <f>IF(P1992="","",IF(H1992="USD",G1992*R1992,G1992))</f>
        <v/>
      </c>
      <c r="T1992" s="53">
        <f>IF(P1992="","",IF(H1992="USD",G1992,IF(R1992&gt;0,G1992/R1992,0)))</f>
        <v/>
      </c>
      <c r="U1992" s="53">
        <f>IF(P1992="","",IF(P1992="Gasto",S1992,IF(P1992="Reembolso",-S1992,0)))</f>
        <v/>
      </c>
      <c r="V1992" s="53">
        <f>IF(P1992="","",IF(P1992="Ingreso",S1992,0))</f>
        <v/>
      </c>
      <c r="W1992" s="53">
        <f>IF(P1992="","",IF(P1992="Resultado trading",S1992,0))</f>
        <v/>
      </c>
      <c r="X1992" s="52">
        <f>IF(OR(P1992="Gasto",P1992="Reembolso"),IF(M1992&lt;&gt;"",M1992,IFERROR(INDEX(catClasif,MATCH(D1992&amp;"|"&amp;E1992,catClave,0))&amp;"","Variable")),"")</f>
        <v/>
      </c>
      <c r="Y1992" s="52">
        <f>IF(P1992="","",IFERROR(INDEX(catGrupo,MATCH(D1992&amp;"|"&amp;E1992,catClave,0))&amp;"",""))</f>
        <v/>
      </c>
      <c r="Z1992" s="52">
        <f>IF(P1992="","",WEEKDAY(B1992,2))</f>
        <v/>
      </c>
      <c r="AA1992" s="52">
        <f>IF(P1992="","",IF(AND(P1992="Gasto",X1992="Variable",D1992&lt;&gt;catTrading,S1992&gt;0,S1992&lt;=Umbral),1,0))</f>
        <v/>
      </c>
      <c r="AB1992" s="52">
        <f>IF(OR(P1992="",Q1992=""),"",IFERROR(IF(INDEX(ctaVinc,MATCH(Q1992,ctaNombre,0))&amp;""&lt;&gt;"",INDEX(ctaVinc,MATCH(Q1992,ctaNombre,0))&amp;"",Q1992),Q1992))</f>
        <v/>
      </c>
      <c r="AC1992" s="52">
        <f>IF(OR(K1992="",AND(P1992&lt;&gt;"Transferencia",P1992&lt;&gt;"Pago tarjeta")),"",IFERROR(IF(INDEX(ctaVinc,MATCH(K1992,ctaNombre,0))&amp;""&lt;&gt;"",INDEX(ctaVinc,MATCH(K1992,ctaNombre,0))&amp;"",K1992),K1992))</f>
        <v/>
      </c>
      <c r="AD1992" s="52">
        <f>IF(AB1992="","",IFERROR(INDEX(ctaTipo,MATCH(AB1992,ctaNombre,0))&amp;"",""))</f>
        <v/>
      </c>
      <c r="AE1992" s="52">
        <f>IF(AC1992="","",IFERROR(INDEX(ctaTipo,MATCH(AC1992,ctaNombre,0))&amp;"",""))</f>
        <v/>
      </c>
      <c r="AF1992" s="53">
        <f>IF(OR(P1992="",AB1992=""),"",IF(OR(P1992="Gasto",P1992="Transferencia",P1992="Pago tarjeta"),-1,1)*IF(IFERROR(INDEX(ctaMoneda,MATCH(AB1992,ctaNombre,0))&amp;"","DOP")="USD",T1992,S1992))</f>
        <v/>
      </c>
      <c r="AG1992" s="53">
        <f>IF(AC1992="","",IF(IFERROR(INDEX(ctaMoneda,MATCH(AC1992,ctaNombre,0))&amp;"","DOP")="USD",T1992,S1992))</f>
        <v/>
      </c>
      <c r="AH1992" s="53">
        <f>IF(P1992="","",IF(AND(AD1992&lt;&gt;"",COUNTIFS(tcTipo,AD1992,tcLiq,"Sí")&gt;0),IF(OR(P1992="Gasto",P1992="Transferencia",P1992="Pago tarjeta"),-1,1)*S1992,0)+IF(AND(AE1992&lt;&gt;"",COUNTIFS(tcTipo,AE1992,tcLiq,"Sí")&gt;0),S1992,0))</f>
        <v/>
      </c>
      <c r="AI1992" s="52">
        <f>IF(OR(L1992="",P1992=""),"",IF(COUNTIFS(L$6:L1992,L1992,P$6:P1992,"?*")=1,MAX(AI$5:AI1991)+1,""))</f>
        <v/>
      </c>
    </row>
    <row r="1993">
      <c r="B1993" s="47" t="n"/>
      <c r="C1993" s="48" t="n"/>
      <c r="D1993" s="48" t="n"/>
      <c r="E1993" s="48" t="n"/>
      <c r="F1993" s="48" t="n"/>
      <c r="G1993" s="49" t="n"/>
      <c r="H1993" s="48" t="n"/>
      <c r="I1993" s="50" t="n"/>
      <c r="J1993" s="48" t="n"/>
      <c r="K1993" s="48" t="n"/>
      <c r="L1993" s="48" t="n"/>
      <c r="M1993" s="48" t="n"/>
      <c r="N1993" s="48" t="n"/>
      <c r="O1993" s="51">
        <f>IF(AND(B1993="",G1993="",C1993="",D1993="",J1993=""),"",IF(B1993="","⚠ Falta fecha",IF(G1993="","⚠ Falta monto",IF(Q1993="","⚠ Falta cuenta",IF(ISNA(MATCH(Q1993,ctaNombre,0)),"⚠ Cuenta no registrada",IF(AND(OR(P1993="Gasto",P1993="Reembolso"),D1993=""),"⚠ Falta categoría",IF(AND(D1993&lt;&gt;"",E1993&lt;&gt;"",ISNA(MATCH(D1993&amp;"|"&amp;E1993,catClave,0))),"⚠ Subcategoría no corresponde",IF(AND(OR(P1993="Transferencia",P1993="Pago tarjeta"),K1993=""),"⚠ Falta cuenta destino",IF(AND(K1993&lt;&gt;"",P1993&lt;&gt;"Transferencia",P1993&lt;&gt;"Pago tarjeta"),"⚠ Destino solo aplica a transferencias",IF(AND(K1993&lt;&gt;"",K1993=Q1993),"⚠ Origen igual a destino",IF(AND(K1993&lt;&gt;"",ISNA(MATCH(K1993,ctaNombre,0))),"⚠ Destino no registrado",IF(AND(P1993="Pago tarjeta",AE1993&lt;&gt;"Tarjeta de crédito"),"⚠ El destino debe ser tarjeta de crédito",IF(AND(P1993="Gasto",E1993="Depósitos y retiros"),"⚠ Usa tipo Transferencia",IF(AND(P1993="Resultado trading",AD1993&lt;&gt;"Cuenta de trading"),"⚠ Usa una cuenta de trading",IF(AND(G1993&lt;=0,P1993&lt;&gt;"Ajuste",P1993&lt;&gt;"Resultado trading"),"⚠ El monto debe ser positivo","✓")))))))))))))))</f>
        <v/>
      </c>
      <c r="P1993" s="52">
        <f>IF(OR(B1993="",G1993=""),"",IF(C1993="","Gasto",C1993))</f>
        <v/>
      </c>
      <c r="Q1993" s="52">
        <f>IF(P1993="","",IF(J1993&lt;&gt;"",J1993,CuentaPred&amp;""))</f>
        <v/>
      </c>
      <c r="R1993" s="52">
        <f>IF(P1993="","",IF(ISNUMBER(I1993),I1993,TasaUSD))</f>
        <v/>
      </c>
      <c r="S1993" s="53">
        <f>IF(P1993="","",IF(H1993="USD",G1993*R1993,G1993))</f>
        <v/>
      </c>
      <c r="T1993" s="53">
        <f>IF(P1993="","",IF(H1993="USD",G1993,IF(R1993&gt;0,G1993/R1993,0)))</f>
        <v/>
      </c>
      <c r="U1993" s="53">
        <f>IF(P1993="","",IF(P1993="Gasto",S1993,IF(P1993="Reembolso",-S1993,0)))</f>
        <v/>
      </c>
      <c r="V1993" s="53">
        <f>IF(P1993="","",IF(P1993="Ingreso",S1993,0))</f>
        <v/>
      </c>
      <c r="W1993" s="53">
        <f>IF(P1993="","",IF(P1993="Resultado trading",S1993,0))</f>
        <v/>
      </c>
      <c r="X1993" s="52">
        <f>IF(OR(P1993="Gasto",P1993="Reembolso"),IF(M1993&lt;&gt;"",M1993,IFERROR(INDEX(catClasif,MATCH(D1993&amp;"|"&amp;E1993,catClave,0))&amp;"","Variable")),"")</f>
        <v/>
      </c>
      <c r="Y1993" s="52">
        <f>IF(P1993="","",IFERROR(INDEX(catGrupo,MATCH(D1993&amp;"|"&amp;E1993,catClave,0))&amp;"",""))</f>
        <v/>
      </c>
      <c r="Z1993" s="52">
        <f>IF(P1993="","",WEEKDAY(B1993,2))</f>
        <v/>
      </c>
      <c r="AA1993" s="52">
        <f>IF(P1993="","",IF(AND(P1993="Gasto",X1993="Variable",D1993&lt;&gt;catTrading,S1993&gt;0,S1993&lt;=Umbral),1,0))</f>
        <v/>
      </c>
      <c r="AB1993" s="52">
        <f>IF(OR(P1993="",Q1993=""),"",IFERROR(IF(INDEX(ctaVinc,MATCH(Q1993,ctaNombre,0))&amp;""&lt;&gt;"",INDEX(ctaVinc,MATCH(Q1993,ctaNombre,0))&amp;"",Q1993),Q1993))</f>
        <v/>
      </c>
      <c r="AC1993" s="52">
        <f>IF(OR(K1993="",AND(P1993&lt;&gt;"Transferencia",P1993&lt;&gt;"Pago tarjeta")),"",IFERROR(IF(INDEX(ctaVinc,MATCH(K1993,ctaNombre,0))&amp;""&lt;&gt;"",INDEX(ctaVinc,MATCH(K1993,ctaNombre,0))&amp;"",K1993),K1993))</f>
        <v/>
      </c>
      <c r="AD1993" s="52">
        <f>IF(AB1993="","",IFERROR(INDEX(ctaTipo,MATCH(AB1993,ctaNombre,0))&amp;"",""))</f>
        <v/>
      </c>
      <c r="AE1993" s="52">
        <f>IF(AC1993="","",IFERROR(INDEX(ctaTipo,MATCH(AC1993,ctaNombre,0))&amp;"",""))</f>
        <v/>
      </c>
      <c r="AF1993" s="53">
        <f>IF(OR(P1993="",AB1993=""),"",IF(OR(P1993="Gasto",P1993="Transferencia",P1993="Pago tarjeta"),-1,1)*IF(IFERROR(INDEX(ctaMoneda,MATCH(AB1993,ctaNombre,0))&amp;"","DOP")="USD",T1993,S1993))</f>
        <v/>
      </c>
      <c r="AG1993" s="53">
        <f>IF(AC1993="","",IF(IFERROR(INDEX(ctaMoneda,MATCH(AC1993,ctaNombre,0))&amp;"","DOP")="USD",T1993,S1993))</f>
        <v/>
      </c>
      <c r="AH1993" s="53">
        <f>IF(P1993="","",IF(AND(AD1993&lt;&gt;"",COUNTIFS(tcTipo,AD1993,tcLiq,"Sí")&gt;0),IF(OR(P1993="Gasto",P1993="Transferencia",P1993="Pago tarjeta"),-1,1)*S1993,0)+IF(AND(AE1993&lt;&gt;"",COUNTIFS(tcTipo,AE1993,tcLiq,"Sí")&gt;0),S1993,0))</f>
        <v/>
      </c>
      <c r="AI1993" s="52">
        <f>IF(OR(L1993="",P1993=""),"",IF(COUNTIFS(L$6:L1993,L1993,P$6:P1993,"?*")=1,MAX(AI$5:AI1992)+1,""))</f>
        <v/>
      </c>
    </row>
    <row r="1994">
      <c r="B1994" s="47" t="n"/>
      <c r="C1994" s="48" t="n"/>
      <c r="D1994" s="48" t="n"/>
      <c r="E1994" s="48" t="n"/>
      <c r="F1994" s="48" t="n"/>
      <c r="G1994" s="49" t="n"/>
      <c r="H1994" s="48" t="n"/>
      <c r="I1994" s="50" t="n"/>
      <c r="J1994" s="48" t="n"/>
      <c r="K1994" s="48" t="n"/>
      <c r="L1994" s="48" t="n"/>
      <c r="M1994" s="48" t="n"/>
      <c r="N1994" s="48" t="n"/>
      <c r="O1994" s="51">
        <f>IF(AND(B1994="",G1994="",C1994="",D1994="",J1994=""),"",IF(B1994="","⚠ Falta fecha",IF(G1994="","⚠ Falta monto",IF(Q1994="","⚠ Falta cuenta",IF(ISNA(MATCH(Q1994,ctaNombre,0)),"⚠ Cuenta no registrada",IF(AND(OR(P1994="Gasto",P1994="Reembolso"),D1994=""),"⚠ Falta categoría",IF(AND(D1994&lt;&gt;"",E1994&lt;&gt;"",ISNA(MATCH(D1994&amp;"|"&amp;E1994,catClave,0))),"⚠ Subcategoría no corresponde",IF(AND(OR(P1994="Transferencia",P1994="Pago tarjeta"),K1994=""),"⚠ Falta cuenta destino",IF(AND(K1994&lt;&gt;"",P1994&lt;&gt;"Transferencia",P1994&lt;&gt;"Pago tarjeta"),"⚠ Destino solo aplica a transferencias",IF(AND(K1994&lt;&gt;"",K1994=Q1994),"⚠ Origen igual a destino",IF(AND(K1994&lt;&gt;"",ISNA(MATCH(K1994,ctaNombre,0))),"⚠ Destino no registrado",IF(AND(P1994="Pago tarjeta",AE1994&lt;&gt;"Tarjeta de crédito"),"⚠ El destino debe ser tarjeta de crédito",IF(AND(P1994="Gasto",E1994="Depósitos y retiros"),"⚠ Usa tipo Transferencia",IF(AND(P1994="Resultado trading",AD1994&lt;&gt;"Cuenta de trading"),"⚠ Usa una cuenta de trading",IF(AND(G1994&lt;=0,P1994&lt;&gt;"Ajuste",P1994&lt;&gt;"Resultado trading"),"⚠ El monto debe ser positivo","✓")))))))))))))))</f>
        <v/>
      </c>
      <c r="P1994" s="52">
        <f>IF(OR(B1994="",G1994=""),"",IF(C1994="","Gasto",C1994))</f>
        <v/>
      </c>
      <c r="Q1994" s="52">
        <f>IF(P1994="","",IF(J1994&lt;&gt;"",J1994,CuentaPred&amp;""))</f>
        <v/>
      </c>
      <c r="R1994" s="52">
        <f>IF(P1994="","",IF(ISNUMBER(I1994),I1994,TasaUSD))</f>
        <v/>
      </c>
      <c r="S1994" s="53">
        <f>IF(P1994="","",IF(H1994="USD",G1994*R1994,G1994))</f>
        <v/>
      </c>
      <c r="T1994" s="53">
        <f>IF(P1994="","",IF(H1994="USD",G1994,IF(R1994&gt;0,G1994/R1994,0)))</f>
        <v/>
      </c>
      <c r="U1994" s="53">
        <f>IF(P1994="","",IF(P1994="Gasto",S1994,IF(P1994="Reembolso",-S1994,0)))</f>
        <v/>
      </c>
      <c r="V1994" s="53">
        <f>IF(P1994="","",IF(P1994="Ingreso",S1994,0))</f>
        <v/>
      </c>
      <c r="W1994" s="53">
        <f>IF(P1994="","",IF(P1994="Resultado trading",S1994,0))</f>
        <v/>
      </c>
      <c r="X1994" s="52">
        <f>IF(OR(P1994="Gasto",P1994="Reembolso"),IF(M1994&lt;&gt;"",M1994,IFERROR(INDEX(catClasif,MATCH(D1994&amp;"|"&amp;E1994,catClave,0))&amp;"","Variable")),"")</f>
        <v/>
      </c>
      <c r="Y1994" s="52">
        <f>IF(P1994="","",IFERROR(INDEX(catGrupo,MATCH(D1994&amp;"|"&amp;E1994,catClave,0))&amp;"",""))</f>
        <v/>
      </c>
      <c r="Z1994" s="52">
        <f>IF(P1994="","",WEEKDAY(B1994,2))</f>
        <v/>
      </c>
      <c r="AA1994" s="52">
        <f>IF(P1994="","",IF(AND(P1994="Gasto",X1994="Variable",D1994&lt;&gt;catTrading,S1994&gt;0,S1994&lt;=Umbral),1,0))</f>
        <v/>
      </c>
      <c r="AB1994" s="52">
        <f>IF(OR(P1994="",Q1994=""),"",IFERROR(IF(INDEX(ctaVinc,MATCH(Q1994,ctaNombre,0))&amp;""&lt;&gt;"",INDEX(ctaVinc,MATCH(Q1994,ctaNombre,0))&amp;"",Q1994),Q1994))</f>
        <v/>
      </c>
      <c r="AC1994" s="52">
        <f>IF(OR(K1994="",AND(P1994&lt;&gt;"Transferencia",P1994&lt;&gt;"Pago tarjeta")),"",IFERROR(IF(INDEX(ctaVinc,MATCH(K1994,ctaNombre,0))&amp;""&lt;&gt;"",INDEX(ctaVinc,MATCH(K1994,ctaNombre,0))&amp;"",K1994),K1994))</f>
        <v/>
      </c>
      <c r="AD1994" s="52">
        <f>IF(AB1994="","",IFERROR(INDEX(ctaTipo,MATCH(AB1994,ctaNombre,0))&amp;"",""))</f>
        <v/>
      </c>
      <c r="AE1994" s="52">
        <f>IF(AC1994="","",IFERROR(INDEX(ctaTipo,MATCH(AC1994,ctaNombre,0))&amp;"",""))</f>
        <v/>
      </c>
      <c r="AF1994" s="53">
        <f>IF(OR(P1994="",AB1994=""),"",IF(OR(P1994="Gasto",P1994="Transferencia",P1994="Pago tarjeta"),-1,1)*IF(IFERROR(INDEX(ctaMoneda,MATCH(AB1994,ctaNombre,0))&amp;"","DOP")="USD",T1994,S1994))</f>
        <v/>
      </c>
      <c r="AG1994" s="53">
        <f>IF(AC1994="","",IF(IFERROR(INDEX(ctaMoneda,MATCH(AC1994,ctaNombre,0))&amp;"","DOP")="USD",T1994,S1994))</f>
        <v/>
      </c>
      <c r="AH1994" s="53">
        <f>IF(P1994="","",IF(AND(AD1994&lt;&gt;"",COUNTIFS(tcTipo,AD1994,tcLiq,"Sí")&gt;0),IF(OR(P1994="Gasto",P1994="Transferencia",P1994="Pago tarjeta"),-1,1)*S1994,0)+IF(AND(AE1994&lt;&gt;"",COUNTIFS(tcTipo,AE1994,tcLiq,"Sí")&gt;0),S1994,0))</f>
        <v/>
      </c>
      <c r="AI1994" s="52">
        <f>IF(OR(L1994="",P1994=""),"",IF(COUNTIFS(L$6:L1994,L1994,P$6:P1994,"?*")=1,MAX(AI$5:AI1993)+1,""))</f>
        <v/>
      </c>
    </row>
    <row r="1995">
      <c r="B1995" s="47" t="n"/>
      <c r="C1995" s="48" t="n"/>
      <c r="D1995" s="48" t="n"/>
      <c r="E1995" s="48" t="n"/>
      <c r="F1995" s="48" t="n"/>
      <c r="G1995" s="49" t="n"/>
      <c r="H1995" s="48" t="n"/>
      <c r="I1995" s="50" t="n"/>
      <c r="J1995" s="48" t="n"/>
      <c r="K1995" s="48" t="n"/>
      <c r="L1995" s="48" t="n"/>
      <c r="M1995" s="48" t="n"/>
      <c r="N1995" s="48" t="n"/>
      <c r="O1995" s="51">
        <f>IF(AND(B1995="",G1995="",C1995="",D1995="",J1995=""),"",IF(B1995="","⚠ Falta fecha",IF(G1995="","⚠ Falta monto",IF(Q1995="","⚠ Falta cuenta",IF(ISNA(MATCH(Q1995,ctaNombre,0)),"⚠ Cuenta no registrada",IF(AND(OR(P1995="Gasto",P1995="Reembolso"),D1995=""),"⚠ Falta categoría",IF(AND(D1995&lt;&gt;"",E1995&lt;&gt;"",ISNA(MATCH(D1995&amp;"|"&amp;E1995,catClave,0))),"⚠ Subcategoría no corresponde",IF(AND(OR(P1995="Transferencia",P1995="Pago tarjeta"),K1995=""),"⚠ Falta cuenta destino",IF(AND(K1995&lt;&gt;"",P1995&lt;&gt;"Transferencia",P1995&lt;&gt;"Pago tarjeta"),"⚠ Destino solo aplica a transferencias",IF(AND(K1995&lt;&gt;"",K1995=Q1995),"⚠ Origen igual a destino",IF(AND(K1995&lt;&gt;"",ISNA(MATCH(K1995,ctaNombre,0))),"⚠ Destino no registrado",IF(AND(P1995="Pago tarjeta",AE1995&lt;&gt;"Tarjeta de crédito"),"⚠ El destino debe ser tarjeta de crédito",IF(AND(P1995="Gasto",E1995="Depósitos y retiros"),"⚠ Usa tipo Transferencia",IF(AND(P1995="Resultado trading",AD1995&lt;&gt;"Cuenta de trading"),"⚠ Usa una cuenta de trading",IF(AND(G1995&lt;=0,P1995&lt;&gt;"Ajuste",P1995&lt;&gt;"Resultado trading"),"⚠ El monto debe ser positivo","✓")))))))))))))))</f>
        <v/>
      </c>
      <c r="P1995" s="52">
        <f>IF(OR(B1995="",G1995=""),"",IF(C1995="","Gasto",C1995))</f>
        <v/>
      </c>
      <c r="Q1995" s="52">
        <f>IF(P1995="","",IF(J1995&lt;&gt;"",J1995,CuentaPred&amp;""))</f>
        <v/>
      </c>
      <c r="R1995" s="52">
        <f>IF(P1995="","",IF(ISNUMBER(I1995),I1995,TasaUSD))</f>
        <v/>
      </c>
      <c r="S1995" s="53">
        <f>IF(P1995="","",IF(H1995="USD",G1995*R1995,G1995))</f>
        <v/>
      </c>
      <c r="T1995" s="53">
        <f>IF(P1995="","",IF(H1995="USD",G1995,IF(R1995&gt;0,G1995/R1995,0)))</f>
        <v/>
      </c>
      <c r="U1995" s="53">
        <f>IF(P1995="","",IF(P1995="Gasto",S1995,IF(P1995="Reembolso",-S1995,0)))</f>
        <v/>
      </c>
      <c r="V1995" s="53">
        <f>IF(P1995="","",IF(P1995="Ingreso",S1995,0))</f>
        <v/>
      </c>
      <c r="W1995" s="53">
        <f>IF(P1995="","",IF(P1995="Resultado trading",S1995,0))</f>
        <v/>
      </c>
      <c r="X1995" s="52">
        <f>IF(OR(P1995="Gasto",P1995="Reembolso"),IF(M1995&lt;&gt;"",M1995,IFERROR(INDEX(catClasif,MATCH(D1995&amp;"|"&amp;E1995,catClave,0))&amp;"","Variable")),"")</f>
        <v/>
      </c>
      <c r="Y1995" s="52">
        <f>IF(P1995="","",IFERROR(INDEX(catGrupo,MATCH(D1995&amp;"|"&amp;E1995,catClave,0))&amp;"",""))</f>
        <v/>
      </c>
      <c r="Z1995" s="52">
        <f>IF(P1995="","",WEEKDAY(B1995,2))</f>
        <v/>
      </c>
      <c r="AA1995" s="52">
        <f>IF(P1995="","",IF(AND(P1995="Gasto",X1995="Variable",D1995&lt;&gt;catTrading,S1995&gt;0,S1995&lt;=Umbral),1,0))</f>
        <v/>
      </c>
      <c r="AB1995" s="52">
        <f>IF(OR(P1995="",Q1995=""),"",IFERROR(IF(INDEX(ctaVinc,MATCH(Q1995,ctaNombre,0))&amp;""&lt;&gt;"",INDEX(ctaVinc,MATCH(Q1995,ctaNombre,0))&amp;"",Q1995),Q1995))</f>
        <v/>
      </c>
      <c r="AC1995" s="52">
        <f>IF(OR(K1995="",AND(P1995&lt;&gt;"Transferencia",P1995&lt;&gt;"Pago tarjeta")),"",IFERROR(IF(INDEX(ctaVinc,MATCH(K1995,ctaNombre,0))&amp;""&lt;&gt;"",INDEX(ctaVinc,MATCH(K1995,ctaNombre,0))&amp;"",K1995),K1995))</f>
        <v/>
      </c>
      <c r="AD1995" s="52">
        <f>IF(AB1995="","",IFERROR(INDEX(ctaTipo,MATCH(AB1995,ctaNombre,0))&amp;"",""))</f>
        <v/>
      </c>
      <c r="AE1995" s="52">
        <f>IF(AC1995="","",IFERROR(INDEX(ctaTipo,MATCH(AC1995,ctaNombre,0))&amp;"",""))</f>
        <v/>
      </c>
      <c r="AF1995" s="53">
        <f>IF(OR(P1995="",AB1995=""),"",IF(OR(P1995="Gasto",P1995="Transferencia",P1995="Pago tarjeta"),-1,1)*IF(IFERROR(INDEX(ctaMoneda,MATCH(AB1995,ctaNombre,0))&amp;"","DOP")="USD",T1995,S1995))</f>
        <v/>
      </c>
      <c r="AG1995" s="53">
        <f>IF(AC1995="","",IF(IFERROR(INDEX(ctaMoneda,MATCH(AC1995,ctaNombre,0))&amp;"","DOP")="USD",T1995,S1995))</f>
        <v/>
      </c>
      <c r="AH1995" s="53">
        <f>IF(P1995="","",IF(AND(AD1995&lt;&gt;"",COUNTIFS(tcTipo,AD1995,tcLiq,"Sí")&gt;0),IF(OR(P1995="Gasto",P1995="Transferencia",P1995="Pago tarjeta"),-1,1)*S1995,0)+IF(AND(AE1995&lt;&gt;"",COUNTIFS(tcTipo,AE1995,tcLiq,"Sí")&gt;0),S1995,0))</f>
        <v/>
      </c>
      <c r="AI1995" s="52">
        <f>IF(OR(L1995="",P1995=""),"",IF(COUNTIFS(L$6:L1995,L1995,P$6:P1995,"?*")=1,MAX(AI$5:AI1994)+1,""))</f>
        <v/>
      </c>
    </row>
    <row r="1996">
      <c r="B1996" s="47" t="n"/>
      <c r="C1996" s="48" t="n"/>
      <c r="D1996" s="48" t="n"/>
      <c r="E1996" s="48" t="n"/>
      <c r="F1996" s="48" t="n"/>
      <c r="G1996" s="49" t="n"/>
      <c r="H1996" s="48" t="n"/>
      <c r="I1996" s="50" t="n"/>
      <c r="J1996" s="48" t="n"/>
      <c r="K1996" s="48" t="n"/>
      <c r="L1996" s="48" t="n"/>
      <c r="M1996" s="48" t="n"/>
      <c r="N1996" s="48" t="n"/>
      <c r="O1996" s="51">
        <f>IF(AND(B1996="",G1996="",C1996="",D1996="",J1996=""),"",IF(B1996="","⚠ Falta fecha",IF(G1996="","⚠ Falta monto",IF(Q1996="","⚠ Falta cuenta",IF(ISNA(MATCH(Q1996,ctaNombre,0)),"⚠ Cuenta no registrada",IF(AND(OR(P1996="Gasto",P1996="Reembolso"),D1996=""),"⚠ Falta categoría",IF(AND(D1996&lt;&gt;"",E1996&lt;&gt;"",ISNA(MATCH(D1996&amp;"|"&amp;E1996,catClave,0))),"⚠ Subcategoría no corresponde",IF(AND(OR(P1996="Transferencia",P1996="Pago tarjeta"),K1996=""),"⚠ Falta cuenta destino",IF(AND(K1996&lt;&gt;"",P1996&lt;&gt;"Transferencia",P1996&lt;&gt;"Pago tarjeta"),"⚠ Destino solo aplica a transferencias",IF(AND(K1996&lt;&gt;"",K1996=Q1996),"⚠ Origen igual a destino",IF(AND(K1996&lt;&gt;"",ISNA(MATCH(K1996,ctaNombre,0))),"⚠ Destino no registrado",IF(AND(P1996="Pago tarjeta",AE1996&lt;&gt;"Tarjeta de crédito"),"⚠ El destino debe ser tarjeta de crédito",IF(AND(P1996="Gasto",E1996="Depósitos y retiros"),"⚠ Usa tipo Transferencia",IF(AND(P1996="Resultado trading",AD1996&lt;&gt;"Cuenta de trading"),"⚠ Usa una cuenta de trading",IF(AND(G1996&lt;=0,P1996&lt;&gt;"Ajuste",P1996&lt;&gt;"Resultado trading"),"⚠ El monto debe ser positivo","✓")))))))))))))))</f>
        <v/>
      </c>
      <c r="P1996" s="52">
        <f>IF(OR(B1996="",G1996=""),"",IF(C1996="","Gasto",C1996))</f>
        <v/>
      </c>
      <c r="Q1996" s="52">
        <f>IF(P1996="","",IF(J1996&lt;&gt;"",J1996,CuentaPred&amp;""))</f>
        <v/>
      </c>
      <c r="R1996" s="52">
        <f>IF(P1996="","",IF(ISNUMBER(I1996),I1996,TasaUSD))</f>
        <v/>
      </c>
      <c r="S1996" s="53">
        <f>IF(P1996="","",IF(H1996="USD",G1996*R1996,G1996))</f>
        <v/>
      </c>
      <c r="T1996" s="53">
        <f>IF(P1996="","",IF(H1996="USD",G1996,IF(R1996&gt;0,G1996/R1996,0)))</f>
        <v/>
      </c>
      <c r="U1996" s="53">
        <f>IF(P1996="","",IF(P1996="Gasto",S1996,IF(P1996="Reembolso",-S1996,0)))</f>
        <v/>
      </c>
      <c r="V1996" s="53">
        <f>IF(P1996="","",IF(P1996="Ingreso",S1996,0))</f>
        <v/>
      </c>
      <c r="W1996" s="53">
        <f>IF(P1996="","",IF(P1996="Resultado trading",S1996,0))</f>
        <v/>
      </c>
      <c r="X1996" s="52">
        <f>IF(OR(P1996="Gasto",P1996="Reembolso"),IF(M1996&lt;&gt;"",M1996,IFERROR(INDEX(catClasif,MATCH(D1996&amp;"|"&amp;E1996,catClave,0))&amp;"","Variable")),"")</f>
        <v/>
      </c>
      <c r="Y1996" s="52">
        <f>IF(P1996="","",IFERROR(INDEX(catGrupo,MATCH(D1996&amp;"|"&amp;E1996,catClave,0))&amp;"",""))</f>
        <v/>
      </c>
      <c r="Z1996" s="52">
        <f>IF(P1996="","",WEEKDAY(B1996,2))</f>
        <v/>
      </c>
      <c r="AA1996" s="52">
        <f>IF(P1996="","",IF(AND(P1996="Gasto",X1996="Variable",D1996&lt;&gt;catTrading,S1996&gt;0,S1996&lt;=Umbral),1,0))</f>
        <v/>
      </c>
      <c r="AB1996" s="52">
        <f>IF(OR(P1996="",Q1996=""),"",IFERROR(IF(INDEX(ctaVinc,MATCH(Q1996,ctaNombre,0))&amp;""&lt;&gt;"",INDEX(ctaVinc,MATCH(Q1996,ctaNombre,0))&amp;"",Q1996),Q1996))</f>
        <v/>
      </c>
      <c r="AC1996" s="52">
        <f>IF(OR(K1996="",AND(P1996&lt;&gt;"Transferencia",P1996&lt;&gt;"Pago tarjeta")),"",IFERROR(IF(INDEX(ctaVinc,MATCH(K1996,ctaNombre,0))&amp;""&lt;&gt;"",INDEX(ctaVinc,MATCH(K1996,ctaNombre,0))&amp;"",K1996),K1996))</f>
        <v/>
      </c>
      <c r="AD1996" s="52">
        <f>IF(AB1996="","",IFERROR(INDEX(ctaTipo,MATCH(AB1996,ctaNombre,0))&amp;"",""))</f>
        <v/>
      </c>
      <c r="AE1996" s="52">
        <f>IF(AC1996="","",IFERROR(INDEX(ctaTipo,MATCH(AC1996,ctaNombre,0))&amp;"",""))</f>
        <v/>
      </c>
      <c r="AF1996" s="53">
        <f>IF(OR(P1996="",AB1996=""),"",IF(OR(P1996="Gasto",P1996="Transferencia",P1996="Pago tarjeta"),-1,1)*IF(IFERROR(INDEX(ctaMoneda,MATCH(AB1996,ctaNombre,0))&amp;"","DOP")="USD",T1996,S1996))</f>
        <v/>
      </c>
      <c r="AG1996" s="53">
        <f>IF(AC1996="","",IF(IFERROR(INDEX(ctaMoneda,MATCH(AC1996,ctaNombre,0))&amp;"","DOP")="USD",T1996,S1996))</f>
        <v/>
      </c>
      <c r="AH1996" s="53">
        <f>IF(P1996="","",IF(AND(AD1996&lt;&gt;"",COUNTIFS(tcTipo,AD1996,tcLiq,"Sí")&gt;0),IF(OR(P1996="Gasto",P1996="Transferencia",P1996="Pago tarjeta"),-1,1)*S1996,0)+IF(AND(AE1996&lt;&gt;"",COUNTIFS(tcTipo,AE1996,tcLiq,"Sí")&gt;0),S1996,0))</f>
        <v/>
      </c>
      <c r="AI1996" s="52">
        <f>IF(OR(L1996="",P1996=""),"",IF(COUNTIFS(L$6:L1996,L1996,P$6:P1996,"?*")=1,MAX(AI$5:AI1995)+1,""))</f>
        <v/>
      </c>
    </row>
    <row r="1997">
      <c r="B1997" s="47" t="n"/>
      <c r="C1997" s="48" t="n"/>
      <c r="D1997" s="48" t="n"/>
      <c r="E1997" s="48" t="n"/>
      <c r="F1997" s="48" t="n"/>
      <c r="G1997" s="49" t="n"/>
      <c r="H1997" s="48" t="n"/>
      <c r="I1997" s="50" t="n"/>
      <c r="J1997" s="48" t="n"/>
      <c r="K1997" s="48" t="n"/>
      <c r="L1997" s="48" t="n"/>
      <c r="M1997" s="48" t="n"/>
      <c r="N1997" s="48" t="n"/>
      <c r="O1997" s="51">
        <f>IF(AND(B1997="",G1997="",C1997="",D1997="",J1997=""),"",IF(B1997="","⚠ Falta fecha",IF(G1997="","⚠ Falta monto",IF(Q1997="","⚠ Falta cuenta",IF(ISNA(MATCH(Q1997,ctaNombre,0)),"⚠ Cuenta no registrada",IF(AND(OR(P1997="Gasto",P1997="Reembolso"),D1997=""),"⚠ Falta categoría",IF(AND(D1997&lt;&gt;"",E1997&lt;&gt;"",ISNA(MATCH(D1997&amp;"|"&amp;E1997,catClave,0))),"⚠ Subcategoría no corresponde",IF(AND(OR(P1997="Transferencia",P1997="Pago tarjeta"),K1997=""),"⚠ Falta cuenta destino",IF(AND(K1997&lt;&gt;"",P1997&lt;&gt;"Transferencia",P1997&lt;&gt;"Pago tarjeta"),"⚠ Destino solo aplica a transferencias",IF(AND(K1997&lt;&gt;"",K1997=Q1997),"⚠ Origen igual a destino",IF(AND(K1997&lt;&gt;"",ISNA(MATCH(K1997,ctaNombre,0))),"⚠ Destino no registrado",IF(AND(P1997="Pago tarjeta",AE1997&lt;&gt;"Tarjeta de crédito"),"⚠ El destino debe ser tarjeta de crédito",IF(AND(P1997="Gasto",E1997="Depósitos y retiros"),"⚠ Usa tipo Transferencia",IF(AND(P1997="Resultado trading",AD1997&lt;&gt;"Cuenta de trading"),"⚠ Usa una cuenta de trading",IF(AND(G1997&lt;=0,P1997&lt;&gt;"Ajuste",P1997&lt;&gt;"Resultado trading"),"⚠ El monto debe ser positivo","✓")))))))))))))))</f>
        <v/>
      </c>
      <c r="P1997" s="52">
        <f>IF(OR(B1997="",G1997=""),"",IF(C1997="","Gasto",C1997))</f>
        <v/>
      </c>
      <c r="Q1997" s="52">
        <f>IF(P1997="","",IF(J1997&lt;&gt;"",J1997,CuentaPred&amp;""))</f>
        <v/>
      </c>
      <c r="R1997" s="52">
        <f>IF(P1997="","",IF(ISNUMBER(I1997),I1997,TasaUSD))</f>
        <v/>
      </c>
      <c r="S1997" s="53">
        <f>IF(P1997="","",IF(H1997="USD",G1997*R1997,G1997))</f>
        <v/>
      </c>
      <c r="T1997" s="53">
        <f>IF(P1997="","",IF(H1997="USD",G1997,IF(R1997&gt;0,G1997/R1997,0)))</f>
        <v/>
      </c>
      <c r="U1997" s="53">
        <f>IF(P1997="","",IF(P1997="Gasto",S1997,IF(P1997="Reembolso",-S1997,0)))</f>
        <v/>
      </c>
      <c r="V1997" s="53">
        <f>IF(P1997="","",IF(P1997="Ingreso",S1997,0))</f>
        <v/>
      </c>
      <c r="W1997" s="53">
        <f>IF(P1997="","",IF(P1997="Resultado trading",S1997,0))</f>
        <v/>
      </c>
      <c r="X1997" s="52">
        <f>IF(OR(P1997="Gasto",P1997="Reembolso"),IF(M1997&lt;&gt;"",M1997,IFERROR(INDEX(catClasif,MATCH(D1997&amp;"|"&amp;E1997,catClave,0))&amp;"","Variable")),"")</f>
        <v/>
      </c>
      <c r="Y1997" s="52">
        <f>IF(P1997="","",IFERROR(INDEX(catGrupo,MATCH(D1997&amp;"|"&amp;E1997,catClave,0))&amp;"",""))</f>
        <v/>
      </c>
      <c r="Z1997" s="52">
        <f>IF(P1997="","",WEEKDAY(B1997,2))</f>
        <v/>
      </c>
      <c r="AA1997" s="52">
        <f>IF(P1997="","",IF(AND(P1997="Gasto",X1997="Variable",D1997&lt;&gt;catTrading,S1997&gt;0,S1997&lt;=Umbral),1,0))</f>
        <v/>
      </c>
      <c r="AB1997" s="52">
        <f>IF(OR(P1997="",Q1997=""),"",IFERROR(IF(INDEX(ctaVinc,MATCH(Q1997,ctaNombre,0))&amp;""&lt;&gt;"",INDEX(ctaVinc,MATCH(Q1997,ctaNombre,0))&amp;"",Q1997),Q1997))</f>
        <v/>
      </c>
      <c r="AC1997" s="52">
        <f>IF(OR(K1997="",AND(P1997&lt;&gt;"Transferencia",P1997&lt;&gt;"Pago tarjeta")),"",IFERROR(IF(INDEX(ctaVinc,MATCH(K1997,ctaNombre,0))&amp;""&lt;&gt;"",INDEX(ctaVinc,MATCH(K1997,ctaNombre,0))&amp;"",K1997),K1997))</f>
        <v/>
      </c>
      <c r="AD1997" s="52">
        <f>IF(AB1997="","",IFERROR(INDEX(ctaTipo,MATCH(AB1997,ctaNombre,0))&amp;"",""))</f>
        <v/>
      </c>
      <c r="AE1997" s="52">
        <f>IF(AC1997="","",IFERROR(INDEX(ctaTipo,MATCH(AC1997,ctaNombre,0))&amp;"",""))</f>
        <v/>
      </c>
      <c r="AF1997" s="53">
        <f>IF(OR(P1997="",AB1997=""),"",IF(OR(P1997="Gasto",P1997="Transferencia",P1997="Pago tarjeta"),-1,1)*IF(IFERROR(INDEX(ctaMoneda,MATCH(AB1997,ctaNombre,0))&amp;"","DOP")="USD",T1997,S1997))</f>
        <v/>
      </c>
      <c r="AG1997" s="53">
        <f>IF(AC1997="","",IF(IFERROR(INDEX(ctaMoneda,MATCH(AC1997,ctaNombre,0))&amp;"","DOP")="USD",T1997,S1997))</f>
        <v/>
      </c>
      <c r="AH1997" s="53">
        <f>IF(P1997="","",IF(AND(AD1997&lt;&gt;"",COUNTIFS(tcTipo,AD1997,tcLiq,"Sí")&gt;0),IF(OR(P1997="Gasto",P1997="Transferencia",P1997="Pago tarjeta"),-1,1)*S1997,0)+IF(AND(AE1997&lt;&gt;"",COUNTIFS(tcTipo,AE1997,tcLiq,"Sí")&gt;0),S1997,0))</f>
        <v/>
      </c>
      <c r="AI1997" s="52">
        <f>IF(OR(L1997="",P1997=""),"",IF(COUNTIFS(L$6:L1997,L1997,P$6:P1997,"?*")=1,MAX(AI$5:AI1996)+1,""))</f>
        <v/>
      </c>
    </row>
    <row r="1998">
      <c r="B1998" s="47" t="n"/>
      <c r="C1998" s="48" t="n"/>
      <c r="D1998" s="48" t="n"/>
      <c r="E1998" s="48" t="n"/>
      <c r="F1998" s="48" t="n"/>
      <c r="G1998" s="49" t="n"/>
      <c r="H1998" s="48" t="n"/>
      <c r="I1998" s="50" t="n"/>
      <c r="J1998" s="48" t="n"/>
      <c r="K1998" s="48" t="n"/>
      <c r="L1998" s="48" t="n"/>
      <c r="M1998" s="48" t="n"/>
      <c r="N1998" s="48" t="n"/>
      <c r="O1998" s="51">
        <f>IF(AND(B1998="",G1998="",C1998="",D1998="",J1998=""),"",IF(B1998="","⚠ Falta fecha",IF(G1998="","⚠ Falta monto",IF(Q1998="","⚠ Falta cuenta",IF(ISNA(MATCH(Q1998,ctaNombre,0)),"⚠ Cuenta no registrada",IF(AND(OR(P1998="Gasto",P1998="Reembolso"),D1998=""),"⚠ Falta categoría",IF(AND(D1998&lt;&gt;"",E1998&lt;&gt;"",ISNA(MATCH(D1998&amp;"|"&amp;E1998,catClave,0))),"⚠ Subcategoría no corresponde",IF(AND(OR(P1998="Transferencia",P1998="Pago tarjeta"),K1998=""),"⚠ Falta cuenta destino",IF(AND(K1998&lt;&gt;"",P1998&lt;&gt;"Transferencia",P1998&lt;&gt;"Pago tarjeta"),"⚠ Destino solo aplica a transferencias",IF(AND(K1998&lt;&gt;"",K1998=Q1998),"⚠ Origen igual a destino",IF(AND(K1998&lt;&gt;"",ISNA(MATCH(K1998,ctaNombre,0))),"⚠ Destino no registrado",IF(AND(P1998="Pago tarjeta",AE1998&lt;&gt;"Tarjeta de crédito"),"⚠ El destino debe ser tarjeta de crédito",IF(AND(P1998="Gasto",E1998="Depósitos y retiros"),"⚠ Usa tipo Transferencia",IF(AND(P1998="Resultado trading",AD1998&lt;&gt;"Cuenta de trading"),"⚠ Usa una cuenta de trading",IF(AND(G1998&lt;=0,P1998&lt;&gt;"Ajuste",P1998&lt;&gt;"Resultado trading"),"⚠ El monto debe ser positivo","✓")))))))))))))))</f>
        <v/>
      </c>
      <c r="P1998" s="52">
        <f>IF(OR(B1998="",G1998=""),"",IF(C1998="","Gasto",C1998))</f>
        <v/>
      </c>
      <c r="Q1998" s="52">
        <f>IF(P1998="","",IF(J1998&lt;&gt;"",J1998,CuentaPred&amp;""))</f>
        <v/>
      </c>
      <c r="R1998" s="52">
        <f>IF(P1998="","",IF(ISNUMBER(I1998),I1998,TasaUSD))</f>
        <v/>
      </c>
      <c r="S1998" s="53">
        <f>IF(P1998="","",IF(H1998="USD",G1998*R1998,G1998))</f>
        <v/>
      </c>
      <c r="T1998" s="53">
        <f>IF(P1998="","",IF(H1998="USD",G1998,IF(R1998&gt;0,G1998/R1998,0)))</f>
        <v/>
      </c>
      <c r="U1998" s="53">
        <f>IF(P1998="","",IF(P1998="Gasto",S1998,IF(P1998="Reembolso",-S1998,0)))</f>
        <v/>
      </c>
      <c r="V1998" s="53">
        <f>IF(P1998="","",IF(P1998="Ingreso",S1998,0))</f>
        <v/>
      </c>
      <c r="W1998" s="53">
        <f>IF(P1998="","",IF(P1998="Resultado trading",S1998,0))</f>
        <v/>
      </c>
      <c r="X1998" s="52">
        <f>IF(OR(P1998="Gasto",P1998="Reembolso"),IF(M1998&lt;&gt;"",M1998,IFERROR(INDEX(catClasif,MATCH(D1998&amp;"|"&amp;E1998,catClave,0))&amp;"","Variable")),"")</f>
        <v/>
      </c>
      <c r="Y1998" s="52">
        <f>IF(P1998="","",IFERROR(INDEX(catGrupo,MATCH(D1998&amp;"|"&amp;E1998,catClave,0))&amp;"",""))</f>
        <v/>
      </c>
      <c r="Z1998" s="52">
        <f>IF(P1998="","",WEEKDAY(B1998,2))</f>
        <v/>
      </c>
      <c r="AA1998" s="52">
        <f>IF(P1998="","",IF(AND(P1998="Gasto",X1998="Variable",D1998&lt;&gt;catTrading,S1998&gt;0,S1998&lt;=Umbral),1,0))</f>
        <v/>
      </c>
      <c r="AB1998" s="52">
        <f>IF(OR(P1998="",Q1998=""),"",IFERROR(IF(INDEX(ctaVinc,MATCH(Q1998,ctaNombre,0))&amp;""&lt;&gt;"",INDEX(ctaVinc,MATCH(Q1998,ctaNombre,0))&amp;"",Q1998),Q1998))</f>
        <v/>
      </c>
      <c r="AC1998" s="52">
        <f>IF(OR(K1998="",AND(P1998&lt;&gt;"Transferencia",P1998&lt;&gt;"Pago tarjeta")),"",IFERROR(IF(INDEX(ctaVinc,MATCH(K1998,ctaNombre,0))&amp;""&lt;&gt;"",INDEX(ctaVinc,MATCH(K1998,ctaNombre,0))&amp;"",K1998),K1998))</f>
        <v/>
      </c>
      <c r="AD1998" s="52">
        <f>IF(AB1998="","",IFERROR(INDEX(ctaTipo,MATCH(AB1998,ctaNombre,0))&amp;"",""))</f>
        <v/>
      </c>
      <c r="AE1998" s="52">
        <f>IF(AC1998="","",IFERROR(INDEX(ctaTipo,MATCH(AC1998,ctaNombre,0))&amp;"",""))</f>
        <v/>
      </c>
      <c r="AF1998" s="53">
        <f>IF(OR(P1998="",AB1998=""),"",IF(OR(P1998="Gasto",P1998="Transferencia",P1998="Pago tarjeta"),-1,1)*IF(IFERROR(INDEX(ctaMoneda,MATCH(AB1998,ctaNombre,0))&amp;"","DOP")="USD",T1998,S1998))</f>
        <v/>
      </c>
      <c r="AG1998" s="53">
        <f>IF(AC1998="","",IF(IFERROR(INDEX(ctaMoneda,MATCH(AC1998,ctaNombre,0))&amp;"","DOP")="USD",T1998,S1998))</f>
        <v/>
      </c>
      <c r="AH1998" s="53">
        <f>IF(P1998="","",IF(AND(AD1998&lt;&gt;"",COUNTIFS(tcTipo,AD1998,tcLiq,"Sí")&gt;0),IF(OR(P1998="Gasto",P1998="Transferencia",P1998="Pago tarjeta"),-1,1)*S1998,0)+IF(AND(AE1998&lt;&gt;"",COUNTIFS(tcTipo,AE1998,tcLiq,"Sí")&gt;0),S1998,0))</f>
        <v/>
      </c>
      <c r="AI1998" s="52">
        <f>IF(OR(L1998="",P1998=""),"",IF(COUNTIFS(L$6:L1998,L1998,P$6:P1998,"?*")=1,MAX(AI$5:AI1997)+1,""))</f>
        <v/>
      </c>
    </row>
    <row r="1999">
      <c r="B1999" s="47" t="n"/>
      <c r="C1999" s="48" t="n"/>
      <c r="D1999" s="48" t="n"/>
      <c r="E1999" s="48" t="n"/>
      <c r="F1999" s="48" t="n"/>
      <c r="G1999" s="49" t="n"/>
      <c r="H1999" s="48" t="n"/>
      <c r="I1999" s="50" t="n"/>
      <c r="J1999" s="48" t="n"/>
      <c r="K1999" s="48" t="n"/>
      <c r="L1999" s="48" t="n"/>
      <c r="M1999" s="48" t="n"/>
      <c r="N1999" s="48" t="n"/>
      <c r="O1999" s="51">
        <f>IF(AND(B1999="",G1999="",C1999="",D1999="",J1999=""),"",IF(B1999="","⚠ Falta fecha",IF(G1999="","⚠ Falta monto",IF(Q1999="","⚠ Falta cuenta",IF(ISNA(MATCH(Q1999,ctaNombre,0)),"⚠ Cuenta no registrada",IF(AND(OR(P1999="Gasto",P1999="Reembolso"),D1999=""),"⚠ Falta categoría",IF(AND(D1999&lt;&gt;"",E1999&lt;&gt;"",ISNA(MATCH(D1999&amp;"|"&amp;E1999,catClave,0))),"⚠ Subcategoría no corresponde",IF(AND(OR(P1999="Transferencia",P1999="Pago tarjeta"),K1999=""),"⚠ Falta cuenta destino",IF(AND(K1999&lt;&gt;"",P1999&lt;&gt;"Transferencia",P1999&lt;&gt;"Pago tarjeta"),"⚠ Destino solo aplica a transferencias",IF(AND(K1999&lt;&gt;"",K1999=Q1999),"⚠ Origen igual a destino",IF(AND(K1999&lt;&gt;"",ISNA(MATCH(K1999,ctaNombre,0))),"⚠ Destino no registrado",IF(AND(P1999="Pago tarjeta",AE1999&lt;&gt;"Tarjeta de crédito"),"⚠ El destino debe ser tarjeta de crédito",IF(AND(P1999="Gasto",E1999="Depósitos y retiros"),"⚠ Usa tipo Transferencia",IF(AND(P1999="Resultado trading",AD1999&lt;&gt;"Cuenta de trading"),"⚠ Usa una cuenta de trading",IF(AND(G1999&lt;=0,P1999&lt;&gt;"Ajuste",P1999&lt;&gt;"Resultado trading"),"⚠ El monto debe ser positivo","✓")))))))))))))))</f>
        <v/>
      </c>
      <c r="P1999" s="52">
        <f>IF(OR(B1999="",G1999=""),"",IF(C1999="","Gasto",C1999))</f>
        <v/>
      </c>
      <c r="Q1999" s="52">
        <f>IF(P1999="","",IF(J1999&lt;&gt;"",J1999,CuentaPred&amp;""))</f>
        <v/>
      </c>
      <c r="R1999" s="52">
        <f>IF(P1999="","",IF(ISNUMBER(I1999),I1999,TasaUSD))</f>
        <v/>
      </c>
      <c r="S1999" s="53">
        <f>IF(P1999="","",IF(H1999="USD",G1999*R1999,G1999))</f>
        <v/>
      </c>
      <c r="T1999" s="53">
        <f>IF(P1999="","",IF(H1999="USD",G1999,IF(R1999&gt;0,G1999/R1999,0)))</f>
        <v/>
      </c>
      <c r="U1999" s="53">
        <f>IF(P1999="","",IF(P1999="Gasto",S1999,IF(P1999="Reembolso",-S1999,0)))</f>
        <v/>
      </c>
      <c r="V1999" s="53">
        <f>IF(P1999="","",IF(P1999="Ingreso",S1999,0))</f>
        <v/>
      </c>
      <c r="W1999" s="53">
        <f>IF(P1999="","",IF(P1999="Resultado trading",S1999,0))</f>
        <v/>
      </c>
      <c r="X1999" s="52">
        <f>IF(OR(P1999="Gasto",P1999="Reembolso"),IF(M1999&lt;&gt;"",M1999,IFERROR(INDEX(catClasif,MATCH(D1999&amp;"|"&amp;E1999,catClave,0))&amp;"","Variable")),"")</f>
        <v/>
      </c>
      <c r="Y1999" s="52">
        <f>IF(P1999="","",IFERROR(INDEX(catGrupo,MATCH(D1999&amp;"|"&amp;E1999,catClave,0))&amp;"",""))</f>
        <v/>
      </c>
      <c r="Z1999" s="52">
        <f>IF(P1999="","",WEEKDAY(B1999,2))</f>
        <v/>
      </c>
      <c r="AA1999" s="52">
        <f>IF(P1999="","",IF(AND(P1999="Gasto",X1999="Variable",D1999&lt;&gt;catTrading,S1999&gt;0,S1999&lt;=Umbral),1,0))</f>
        <v/>
      </c>
      <c r="AB1999" s="52">
        <f>IF(OR(P1999="",Q1999=""),"",IFERROR(IF(INDEX(ctaVinc,MATCH(Q1999,ctaNombre,0))&amp;""&lt;&gt;"",INDEX(ctaVinc,MATCH(Q1999,ctaNombre,0))&amp;"",Q1999),Q1999))</f>
        <v/>
      </c>
      <c r="AC1999" s="52">
        <f>IF(OR(K1999="",AND(P1999&lt;&gt;"Transferencia",P1999&lt;&gt;"Pago tarjeta")),"",IFERROR(IF(INDEX(ctaVinc,MATCH(K1999,ctaNombre,0))&amp;""&lt;&gt;"",INDEX(ctaVinc,MATCH(K1999,ctaNombre,0))&amp;"",K1999),K1999))</f>
        <v/>
      </c>
      <c r="AD1999" s="52">
        <f>IF(AB1999="","",IFERROR(INDEX(ctaTipo,MATCH(AB1999,ctaNombre,0))&amp;"",""))</f>
        <v/>
      </c>
      <c r="AE1999" s="52">
        <f>IF(AC1999="","",IFERROR(INDEX(ctaTipo,MATCH(AC1999,ctaNombre,0))&amp;"",""))</f>
        <v/>
      </c>
      <c r="AF1999" s="53">
        <f>IF(OR(P1999="",AB1999=""),"",IF(OR(P1999="Gasto",P1999="Transferencia",P1999="Pago tarjeta"),-1,1)*IF(IFERROR(INDEX(ctaMoneda,MATCH(AB1999,ctaNombre,0))&amp;"","DOP")="USD",T1999,S1999))</f>
        <v/>
      </c>
      <c r="AG1999" s="53">
        <f>IF(AC1999="","",IF(IFERROR(INDEX(ctaMoneda,MATCH(AC1999,ctaNombre,0))&amp;"","DOP")="USD",T1999,S1999))</f>
        <v/>
      </c>
      <c r="AH1999" s="53">
        <f>IF(P1999="","",IF(AND(AD1999&lt;&gt;"",COUNTIFS(tcTipo,AD1999,tcLiq,"Sí")&gt;0),IF(OR(P1999="Gasto",P1999="Transferencia",P1999="Pago tarjeta"),-1,1)*S1999,0)+IF(AND(AE1999&lt;&gt;"",COUNTIFS(tcTipo,AE1999,tcLiq,"Sí")&gt;0),S1999,0))</f>
        <v/>
      </c>
      <c r="AI1999" s="52">
        <f>IF(OR(L1999="",P1999=""),"",IF(COUNTIFS(L$6:L1999,L1999,P$6:P1999,"?*")=1,MAX(AI$5:AI1998)+1,""))</f>
        <v/>
      </c>
    </row>
    <row r="2000">
      <c r="B2000" s="47" t="n"/>
      <c r="C2000" s="48" t="n"/>
      <c r="D2000" s="48" t="n"/>
      <c r="E2000" s="48" t="n"/>
      <c r="F2000" s="48" t="n"/>
      <c r="G2000" s="49" t="n"/>
      <c r="H2000" s="48" t="n"/>
      <c r="I2000" s="50" t="n"/>
      <c r="J2000" s="48" t="n"/>
      <c r="K2000" s="48" t="n"/>
      <c r="L2000" s="48" t="n"/>
      <c r="M2000" s="48" t="n"/>
      <c r="N2000" s="48" t="n"/>
      <c r="O2000" s="51">
        <f>IF(AND(B2000="",G2000="",C2000="",D2000="",J2000=""),"",IF(B2000="","⚠ Falta fecha",IF(G2000="","⚠ Falta monto",IF(Q2000="","⚠ Falta cuenta",IF(ISNA(MATCH(Q2000,ctaNombre,0)),"⚠ Cuenta no registrada",IF(AND(OR(P2000="Gasto",P2000="Reembolso"),D2000=""),"⚠ Falta categoría",IF(AND(D2000&lt;&gt;"",E2000&lt;&gt;"",ISNA(MATCH(D2000&amp;"|"&amp;E2000,catClave,0))),"⚠ Subcategoría no corresponde",IF(AND(OR(P2000="Transferencia",P2000="Pago tarjeta"),K2000=""),"⚠ Falta cuenta destino",IF(AND(K2000&lt;&gt;"",P2000&lt;&gt;"Transferencia",P2000&lt;&gt;"Pago tarjeta"),"⚠ Destino solo aplica a transferencias",IF(AND(K2000&lt;&gt;"",K2000=Q2000),"⚠ Origen igual a destino",IF(AND(K2000&lt;&gt;"",ISNA(MATCH(K2000,ctaNombre,0))),"⚠ Destino no registrado",IF(AND(P2000="Pago tarjeta",AE2000&lt;&gt;"Tarjeta de crédito"),"⚠ El destino debe ser tarjeta de crédito",IF(AND(P2000="Gasto",E2000="Depósitos y retiros"),"⚠ Usa tipo Transferencia",IF(AND(P2000="Resultado trading",AD2000&lt;&gt;"Cuenta de trading"),"⚠ Usa una cuenta de trading",IF(AND(G2000&lt;=0,P2000&lt;&gt;"Ajuste",P2000&lt;&gt;"Resultado trading"),"⚠ El monto debe ser positivo","✓")))))))))))))))</f>
        <v/>
      </c>
      <c r="P2000" s="52">
        <f>IF(OR(B2000="",G2000=""),"",IF(C2000="","Gasto",C2000))</f>
        <v/>
      </c>
      <c r="Q2000" s="52">
        <f>IF(P2000="","",IF(J2000&lt;&gt;"",J2000,CuentaPred&amp;""))</f>
        <v/>
      </c>
      <c r="R2000" s="52">
        <f>IF(P2000="","",IF(ISNUMBER(I2000),I2000,TasaUSD))</f>
        <v/>
      </c>
      <c r="S2000" s="53">
        <f>IF(P2000="","",IF(H2000="USD",G2000*R2000,G2000))</f>
        <v/>
      </c>
      <c r="T2000" s="53">
        <f>IF(P2000="","",IF(H2000="USD",G2000,IF(R2000&gt;0,G2000/R2000,0)))</f>
        <v/>
      </c>
      <c r="U2000" s="53">
        <f>IF(P2000="","",IF(P2000="Gasto",S2000,IF(P2000="Reembolso",-S2000,0)))</f>
        <v/>
      </c>
      <c r="V2000" s="53">
        <f>IF(P2000="","",IF(P2000="Ingreso",S2000,0))</f>
        <v/>
      </c>
      <c r="W2000" s="53">
        <f>IF(P2000="","",IF(P2000="Resultado trading",S2000,0))</f>
        <v/>
      </c>
      <c r="X2000" s="52">
        <f>IF(OR(P2000="Gasto",P2000="Reembolso"),IF(M2000&lt;&gt;"",M2000,IFERROR(INDEX(catClasif,MATCH(D2000&amp;"|"&amp;E2000,catClave,0))&amp;"","Variable")),"")</f>
        <v/>
      </c>
      <c r="Y2000" s="52">
        <f>IF(P2000="","",IFERROR(INDEX(catGrupo,MATCH(D2000&amp;"|"&amp;E2000,catClave,0))&amp;"",""))</f>
        <v/>
      </c>
      <c r="Z2000" s="52">
        <f>IF(P2000="","",WEEKDAY(B2000,2))</f>
        <v/>
      </c>
      <c r="AA2000" s="52">
        <f>IF(P2000="","",IF(AND(P2000="Gasto",X2000="Variable",D2000&lt;&gt;catTrading,S2000&gt;0,S2000&lt;=Umbral),1,0))</f>
        <v/>
      </c>
      <c r="AB2000" s="52">
        <f>IF(OR(P2000="",Q2000=""),"",IFERROR(IF(INDEX(ctaVinc,MATCH(Q2000,ctaNombre,0))&amp;""&lt;&gt;"",INDEX(ctaVinc,MATCH(Q2000,ctaNombre,0))&amp;"",Q2000),Q2000))</f>
        <v/>
      </c>
      <c r="AC2000" s="52">
        <f>IF(OR(K2000="",AND(P2000&lt;&gt;"Transferencia",P2000&lt;&gt;"Pago tarjeta")),"",IFERROR(IF(INDEX(ctaVinc,MATCH(K2000,ctaNombre,0))&amp;""&lt;&gt;"",INDEX(ctaVinc,MATCH(K2000,ctaNombre,0))&amp;"",K2000),K2000))</f>
        <v/>
      </c>
      <c r="AD2000" s="52">
        <f>IF(AB2000="","",IFERROR(INDEX(ctaTipo,MATCH(AB2000,ctaNombre,0))&amp;"",""))</f>
        <v/>
      </c>
      <c r="AE2000" s="52">
        <f>IF(AC2000="","",IFERROR(INDEX(ctaTipo,MATCH(AC2000,ctaNombre,0))&amp;"",""))</f>
        <v/>
      </c>
      <c r="AF2000" s="53">
        <f>IF(OR(P2000="",AB2000=""),"",IF(OR(P2000="Gasto",P2000="Transferencia",P2000="Pago tarjeta"),-1,1)*IF(IFERROR(INDEX(ctaMoneda,MATCH(AB2000,ctaNombre,0))&amp;"","DOP")="USD",T2000,S2000))</f>
        <v/>
      </c>
      <c r="AG2000" s="53">
        <f>IF(AC2000="","",IF(IFERROR(INDEX(ctaMoneda,MATCH(AC2000,ctaNombre,0))&amp;"","DOP")="USD",T2000,S2000))</f>
        <v/>
      </c>
      <c r="AH2000" s="53">
        <f>IF(P2000="","",IF(AND(AD2000&lt;&gt;"",COUNTIFS(tcTipo,AD2000,tcLiq,"Sí")&gt;0),IF(OR(P2000="Gasto",P2000="Transferencia",P2000="Pago tarjeta"),-1,1)*S2000,0)+IF(AND(AE2000&lt;&gt;"",COUNTIFS(tcTipo,AE2000,tcLiq,"Sí")&gt;0),S2000,0))</f>
        <v/>
      </c>
      <c r="AI2000" s="52">
        <f>IF(OR(L2000="",P2000=""),"",IF(COUNTIFS(L$6:L2000,L2000,P$6:P2000,"?*")=1,MAX(AI$5:AI1999)+1,""))</f>
        <v/>
      </c>
    </row>
    <row r="2001">
      <c r="B2001" s="47" t="n"/>
      <c r="C2001" s="48" t="n"/>
      <c r="D2001" s="48" t="n"/>
      <c r="E2001" s="48" t="n"/>
      <c r="F2001" s="48" t="n"/>
      <c r="G2001" s="49" t="n"/>
      <c r="H2001" s="48" t="n"/>
      <c r="I2001" s="50" t="n"/>
      <c r="J2001" s="48" t="n"/>
      <c r="K2001" s="48" t="n"/>
      <c r="L2001" s="48" t="n"/>
      <c r="M2001" s="48" t="n"/>
      <c r="N2001" s="48" t="n"/>
      <c r="O2001" s="51">
        <f>IF(AND(B2001="",G2001="",C2001="",D2001="",J2001=""),"",IF(B2001="","⚠ Falta fecha",IF(G2001="","⚠ Falta monto",IF(Q2001="","⚠ Falta cuenta",IF(ISNA(MATCH(Q2001,ctaNombre,0)),"⚠ Cuenta no registrada",IF(AND(OR(P2001="Gasto",P2001="Reembolso"),D2001=""),"⚠ Falta categoría",IF(AND(D2001&lt;&gt;"",E2001&lt;&gt;"",ISNA(MATCH(D2001&amp;"|"&amp;E2001,catClave,0))),"⚠ Subcategoría no corresponde",IF(AND(OR(P2001="Transferencia",P2001="Pago tarjeta"),K2001=""),"⚠ Falta cuenta destino",IF(AND(K2001&lt;&gt;"",P2001&lt;&gt;"Transferencia",P2001&lt;&gt;"Pago tarjeta"),"⚠ Destino solo aplica a transferencias",IF(AND(K2001&lt;&gt;"",K2001=Q2001),"⚠ Origen igual a destino",IF(AND(K2001&lt;&gt;"",ISNA(MATCH(K2001,ctaNombre,0))),"⚠ Destino no registrado",IF(AND(P2001="Pago tarjeta",AE2001&lt;&gt;"Tarjeta de crédito"),"⚠ El destino debe ser tarjeta de crédito",IF(AND(P2001="Gasto",E2001="Depósitos y retiros"),"⚠ Usa tipo Transferencia",IF(AND(P2001="Resultado trading",AD2001&lt;&gt;"Cuenta de trading"),"⚠ Usa una cuenta de trading",IF(AND(G2001&lt;=0,P2001&lt;&gt;"Ajuste",P2001&lt;&gt;"Resultado trading"),"⚠ El monto debe ser positivo","✓")))))))))))))))</f>
        <v/>
      </c>
      <c r="P2001" s="52">
        <f>IF(OR(B2001="",G2001=""),"",IF(C2001="","Gasto",C2001))</f>
        <v/>
      </c>
      <c r="Q2001" s="52">
        <f>IF(P2001="","",IF(J2001&lt;&gt;"",J2001,CuentaPred&amp;""))</f>
        <v/>
      </c>
      <c r="R2001" s="52">
        <f>IF(P2001="","",IF(ISNUMBER(I2001),I2001,TasaUSD))</f>
        <v/>
      </c>
      <c r="S2001" s="53">
        <f>IF(P2001="","",IF(H2001="USD",G2001*R2001,G2001))</f>
        <v/>
      </c>
      <c r="T2001" s="53">
        <f>IF(P2001="","",IF(H2001="USD",G2001,IF(R2001&gt;0,G2001/R2001,0)))</f>
        <v/>
      </c>
      <c r="U2001" s="53">
        <f>IF(P2001="","",IF(P2001="Gasto",S2001,IF(P2001="Reembolso",-S2001,0)))</f>
        <v/>
      </c>
      <c r="V2001" s="53">
        <f>IF(P2001="","",IF(P2001="Ingreso",S2001,0))</f>
        <v/>
      </c>
      <c r="W2001" s="53">
        <f>IF(P2001="","",IF(P2001="Resultado trading",S2001,0))</f>
        <v/>
      </c>
      <c r="X2001" s="52">
        <f>IF(OR(P2001="Gasto",P2001="Reembolso"),IF(M2001&lt;&gt;"",M2001,IFERROR(INDEX(catClasif,MATCH(D2001&amp;"|"&amp;E2001,catClave,0))&amp;"","Variable")),"")</f>
        <v/>
      </c>
      <c r="Y2001" s="52">
        <f>IF(P2001="","",IFERROR(INDEX(catGrupo,MATCH(D2001&amp;"|"&amp;E2001,catClave,0))&amp;"",""))</f>
        <v/>
      </c>
      <c r="Z2001" s="52">
        <f>IF(P2001="","",WEEKDAY(B2001,2))</f>
        <v/>
      </c>
      <c r="AA2001" s="52">
        <f>IF(P2001="","",IF(AND(P2001="Gasto",X2001="Variable",D2001&lt;&gt;catTrading,S2001&gt;0,S2001&lt;=Umbral),1,0))</f>
        <v/>
      </c>
      <c r="AB2001" s="52">
        <f>IF(OR(P2001="",Q2001=""),"",IFERROR(IF(INDEX(ctaVinc,MATCH(Q2001,ctaNombre,0))&amp;""&lt;&gt;"",INDEX(ctaVinc,MATCH(Q2001,ctaNombre,0))&amp;"",Q2001),Q2001))</f>
        <v/>
      </c>
      <c r="AC2001" s="52">
        <f>IF(OR(K2001="",AND(P2001&lt;&gt;"Transferencia",P2001&lt;&gt;"Pago tarjeta")),"",IFERROR(IF(INDEX(ctaVinc,MATCH(K2001,ctaNombre,0))&amp;""&lt;&gt;"",INDEX(ctaVinc,MATCH(K2001,ctaNombre,0))&amp;"",K2001),K2001))</f>
        <v/>
      </c>
      <c r="AD2001" s="52">
        <f>IF(AB2001="","",IFERROR(INDEX(ctaTipo,MATCH(AB2001,ctaNombre,0))&amp;"",""))</f>
        <v/>
      </c>
      <c r="AE2001" s="52">
        <f>IF(AC2001="","",IFERROR(INDEX(ctaTipo,MATCH(AC2001,ctaNombre,0))&amp;"",""))</f>
        <v/>
      </c>
      <c r="AF2001" s="53">
        <f>IF(OR(P2001="",AB2001=""),"",IF(OR(P2001="Gasto",P2001="Transferencia",P2001="Pago tarjeta"),-1,1)*IF(IFERROR(INDEX(ctaMoneda,MATCH(AB2001,ctaNombre,0))&amp;"","DOP")="USD",T2001,S2001))</f>
        <v/>
      </c>
      <c r="AG2001" s="53">
        <f>IF(AC2001="","",IF(IFERROR(INDEX(ctaMoneda,MATCH(AC2001,ctaNombre,0))&amp;"","DOP")="USD",T2001,S2001))</f>
        <v/>
      </c>
      <c r="AH2001" s="53">
        <f>IF(P2001="","",IF(AND(AD2001&lt;&gt;"",COUNTIFS(tcTipo,AD2001,tcLiq,"Sí")&gt;0),IF(OR(P2001="Gasto",P2001="Transferencia",P2001="Pago tarjeta"),-1,1)*S2001,0)+IF(AND(AE2001&lt;&gt;"",COUNTIFS(tcTipo,AE2001,tcLiq,"Sí")&gt;0),S2001,0))</f>
        <v/>
      </c>
      <c r="AI2001" s="52">
        <f>IF(OR(L2001="",P2001=""),"",IF(COUNTIFS(L$6:L2001,L2001,P$6:P2001,"?*")=1,MAX(AI$5:AI2000)+1,""))</f>
        <v/>
      </c>
    </row>
    <row r="2002">
      <c r="B2002" s="47" t="n"/>
      <c r="C2002" s="48" t="n"/>
      <c r="D2002" s="48" t="n"/>
      <c r="E2002" s="48" t="n"/>
      <c r="F2002" s="48" t="n"/>
      <c r="G2002" s="49" t="n"/>
      <c r="H2002" s="48" t="n"/>
      <c r="I2002" s="50" t="n"/>
      <c r="J2002" s="48" t="n"/>
      <c r="K2002" s="48" t="n"/>
      <c r="L2002" s="48" t="n"/>
      <c r="M2002" s="48" t="n"/>
      <c r="N2002" s="48" t="n"/>
      <c r="O2002" s="51">
        <f>IF(AND(B2002="",G2002="",C2002="",D2002="",J2002=""),"",IF(B2002="","⚠ Falta fecha",IF(G2002="","⚠ Falta monto",IF(Q2002="","⚠ Falta cuenta",IF(ISNA(MATCH(Q2002,ctaNombre,0)),"⚠ Cuenta no registrada",IF(AND(OR(P2002="Gasto",P2002="Reembolso"),D2002=""),"⚠ Falta categoría",IF(AND(D2002&lt;&gt;"",E2002&lt;&gt;"",ISNA(MATCH(D2002&amp;"|"&amp;E2002,catClave,0))),"⚠ Subcategoría no corresponde",IF(AND(OR(P2002="Transferencia",P2002="Pago tarjeta"),K2002=""),"⚠ Falta cuenta destino",IF(AND(K2002&lt;&gt;"",P2002&lt;&gt;"Transferencia",P2002&lt;&gt;"Pago tarjeta"),"⚠ Destino solo aplica a transferencias",IF(AND(K2002&lt;&gt;"",K2002=Q2002),"⚠ Origen igual a destino",IF(AND(K2002&lt;&gt;"",ISNA(MATCH(K2002,ctaNombre,0))),"⚠ Destino no registrado",IF(AND(P2002="Pago tarjeta",AE2002&lt;&gt;"Tarjeta de crédito"),"⚠ El destino debe ser tarjeta de crédito",IF(AND(P2002="Gasto",E2002="Depósitos y retiros"),"⚠ Usa tipo Transferencia",IF(AND(P2002="Resultado trading",AD2002&lt;&gt;"Cuenta de trading"),"⚠ Usa una cuenta de trading",IF(AND(G2002&lt;=0,P2002&lt;&gt;"Ajuste",P2002&lt;&gt;"Resultado trading"),"⚠ El monto debe ser positivo","✓")))))))))))))))</f>
        <v/>
      </c>
      <c r="P2002" s="52">
        <f>IF(OR(B2002="",G2002=""),"",IF(C2002="","Gasto",C2002))</f>
        <v/>
      </c>
      <c r="Q2002" s="52">
        <f>IF(P2002="","",IF(J2002&lt;&gt;"",J2002,CuentaPred&amp;""))</f>
        <v/>
      </c>
      <c r="R2002" s="52">
        <f>IF(P2002="","",IF(ISNUMBER(I2002),I2002,TasaUSD))</f>
        <v/>
      </c>
      <c r="S2002" s="53">
        <f>IF(P2002="","",IF(H2002="USD",G2002*R2002,G2002))</f>
        <v/>
      </c>
      <c r="T2002" s="53">
        <f>IF(P2002="","",IF(H2002="USD",G2002,IF(R2002&gt;0,G2002/R2002,0)))</f>
        <v/>
      </c>
      <c r="U2002" s="53">
        <f>IF(P2002="","",IF(P2002="Gasto",S2002,IF(P2002="Reembolso",-S2002,0)))</f>
        <v/>
      </c>
      <c r="V2002" s="53">
        <f>IF(P2002="","",IF(P2002="Ingreso",S2002,0))</f>
        <v/>
      </c>
      <c r="W2002" s="53">
        <f>IF(P2002="","",IF(P2002="Resultado trading",S2002,0))</f>
        <v/>
      </c>
      <c r="X2002" s="52">
        <f>IF(OR(P2002="Gasto",P2002="Reembolso"),IF(M2002&lt;&gt;"",M2002,IFERROR(INDEX(catClasif,MATCH(D2002&amp;"|"&amp;E2002,catClave,0))&amp;"","Variable")),"")</f>
        <v/>
      </c>
      <c r="Y2002" s="52">
        <f>IF(P2002="","",IFERROR(INDEX(catGrupo,MATCH(D2002&amp;"|"&amp;E2002,catClave,0))&amp;"",""))</f>
        <v/>
      </c>
      <c r="Z2002" s="52">
        <f>IF(P2002="","",WEEKDAY(B2002,2))</f>
        <v/>
      </c>
      <c r="AA2002" s="52">
        <f>IF(P2002="","",IF(AND(P2002="Gasto",X2002="Variable",D2002&lt;&gt;catTrading,S2002&gt;0,S2002&lt;=Umbral),1,0))</f>
        <v/>
      </c>
      <c r="AB2002" s="52">
        <f>IF(OR(P2002="",Q2002=""),"",IFERROR(IF(INDEX(ctaVinc,MATCH(Q2002,ctaNombre,0))&amp;""&lt;&gt;"",INDEX(ctaVinc,MATCH(Q2002,ctaNombre,0))&amp;"",Q2002),Q2002))</f>
        <v/>
      </c>
      <c r="AC2002" s="52">
        <f>IF(OR(K2002="",AND(P2002&lt;&gt;"Transferencia",P2002&lt;&gt;"Pago tarjeta")),"",IFERROR(IF(INDEX(ctaVinc,MATCH(K2002,ctaNombre,0))&amp;""&lt;&gt;"",INDEX(ctaVinc,MATCH(K2002,ctaNombre,0))&amp;"",K2002),K2002))</f>
        <v/>
      </c>
      <c r="AD2002" s="52">
        <f>IF(AB2002="","",IFERROR(INDEX(ctaTipo,MATCH(AB2002,ctaNombre,0))&amp;"",""))</f>
        <v/>
      </c>
      <c r="AE2002" s="52">
        <f>IF(AC2002="","",IFERROR(INDEX(ctaTipo,MATCH(AC2002,ctaNombre,0))&amp;"",""))</f>
        <v/>
      </c>
      <c r="AF2002" s="53">
        <f>IF(OR(P2002="",AB2002=""),"",IF(OR(P2002="Gasto",P2002="Transferencia",P2002="Pago tarjeta"),-1,1)*IF(IFERROR(INDEX(ctaMoneda,MATCH(AB2002,ctaNombre,0))&amp;"","DOP")="USD",T2002,S2002))</f>
        <v/>
      </c>
      <c r="AG2002" s="53">
        <f>IF(AC2002="","",IF(IFERROR(INDEX(ctaMoneda,MATCH(AC2002,ctaNombre,0))&amp;"","DOP")="USD",T2002,S2002))</f>
        <v/>
      </c>
      <c r="AH2002" s="53">
        <f>IF(P2002="","",IF(AND(AD2002&lt;&gt;"",COUNTIFS(tcTipo,AD2002,tcLiq,"Sí")&gt;0),IF(OR(P2002="Gasto",P2002="Transferencia",P2002="Pago tarjeta"),-1,1)*S2002,0)+IF(AND(AE2002&lt;&gt;"",COUNTIFS(tcTipo,AE2002,tcLiq,"Sí")&gt;0),S2002,0))</f>
        <v/>
      </c>
      <c r="AI2002" s="52">
        <f>IF(OR(L2002="",P2002=""),"",IF(COUNTIFS(L$6:L2002,L2002,P$6:P2002,"?*")=1,MAX(AI$5:AI2001)+1,""))</f>
        <v/>
      </c>
    </row>
    <row r="2003">
      <c r="B2003" s="47" t="n"/>
      <c r="C2003" s="48" t="n"/>
      <c r="D2003" s="48" t="n"/>
      <c r="E2003" s="48" t="n"/>
      <c r="F2003" s="48" t="n"/>
      <c r="G2003" s="49" t="n"/>
      <c r="H2003" s="48" t="n"/>
      <c r="I2003" s="50" t="n"/>
      <c r="J2003" s="48" t="n"/>
      <c r="K2003" s="48" t="n"/>
      <c r="L2003" s="48" t="n"/>
      <c r="M2003" s="48" t="n"/>
      <c r="N2003" s="48" t="n"/>
      <c r="O2003" s="51">
        <f>IF(AND(B2003="",G2003="",C2003="",D2003="",J2003=""),"",IF(B2003="","⚠ Falta fecha",IF(G2003="","⚠ Falta monto",IF(Q2003="","⚠ Falta cuenta",IF(ISNA(MATCH(Q2003,ctaNombre,0)),"⚠ Cuenta no registrada",IF(AND(OR(P2003="Gasto",P2003="Reembolso"),D2003=""),"⚠ Falta categoría",IF(AND(D2003&lt;&gt;"",E2003&lt;&gt;"",ISNA(MATCH(D2003&amp;"|"&amp;E2003,catClave,0))),"⚠ Subcategoría no corresponde",IF(AND(OR(P2003="Transferencia",P2003="Pago tarjeta"),K2003=""),"⚠ Falta cuenta destino",IF(AND(K2003&lt;&gt;"",P2003&lt;&gt;"Transferencia",P2003&lt;&gt;"Pago tarjeta"),"⚠ Destino solo aplica a transferencias",IF(AND(K2003&lt;&gt;"",K2003=Q2003),"⚠ Origen igual a destino",IF(AND(K2003&lt;&gt;"",ISNA(MATCH(K2003,ctaNombre,0))),"⚠ Destino no registrado",IF(AND(P2003="Pago tarjeta",AE2003&lt;&gt;"Tarjeta de crédito"),"⚠ El destino debe ser tarjeta de crédito",IF(AND(P2003="Gasto",E2003="Depósitos y retiros"),"⚠ Usa tipo Transferencia",IF(AND(P2003="Resultado trading",AD2003&lt;&gt;"Cuenta de trading"),"⚠ Usa una cuenta de trading",IF(AND(G2003&lt;=0,P2003&lt;&gt;"Ajuste",P2003&lt;&gt;"Resultado trading"),"⚠ El monto debe ser positivo","✓")))))))))))))))</f>
        <v/>
      </c>
      <c r="P2003" s="52">
        <f>IF(OR(B2003="",G2003=""),"",IF(C2003="","Gasto",C2003))</f>
        <v/>
      </c>
      <c r="Q2003" s="52">
        <f>IF(P2003="","",IF(J2003&lt;&gt;"",J2003,CuentaPred&amp;""))</f>
        <v/>
      </c>
      <c r="R2003" s="52">
        <f>IF(P2003="","",IF(ISNUMBER(I2003),I2003,TasaUSD))</f>
        <v/>
      </c>
      <c r="S2003" s="53">
        <f>IF(P2003="","",IF(H2003="USD",G2003*R2003,G2003))</f>
        <v/>
      </c>
      <c r="T2003" s="53">
        <f>IF(P2003="","",IF(H2003="USD",G2003,IF(R2003&gt;0,G2003/R2003,0)))</f>
        <v/>
      </c>
      <c r="U2003" s="53">
        <f>IF(P2003="","",IF(P2003="Gasto",S2003,IF(P2003="Reembolso",-S2003,0)))</f>
        <v/>
      </c>
      <c r="V2003" s="53">
        <f>IF(P2003="","",IF(P2003="Ingreso",S2003,0))</f>
        <v/>
      </c>
      <c r="W2003" s="53">
        <f>IF(P2003="","",IF(P2003="Resultado trading",S2003,0))</f>
        <v/>
      </c>
      <c r="X2003" s="52">
        <f>IF(OR(P2003="Gasto",P2003="Reembolso"),IF(M2003&lt;&gt;"",M2003,IFERROR(INDEX(catClasif,MATCH(D2003&amp;"|"&amp;E2003,catClave,0))&amp;"","Variable")),"")</f>
        <v/>
      </c>
      <c r="Y2003" s="52">
        <f>IF(P2003="","",IFERROR(INDEX(catGrupo,MATCH(D2003&amp;"|"&amp;E2003,catClave,0))&amp;"",""))</f>
        <v/>
      </c>
      <c r="Z2003" s="52">
        <f>IF(P2003="","",WEEKDAY(B2003,2))</f>
        <v/>
      </c>
      <c r="AA2003" s="52">
        <f>IF(P2003="","",IF(AND(P2003="Gasto",X2003="Variable",D2003&lt;&gt;catTrading,S2003&gt;0,S2003&lt;=Umbral),1,0))</f>
        <v/>
      </c>
      <c r="AB2003" s="52">
        <f>IF(OR(P2003="",Q2003=""),"",IFERROR(IF(INDEX(ctaVinc,MATCH(Q2003,ctaNombre,0))&amp;""&lt;&gt;"",INDEX(ctaVinc,MATCH(Q2003,ctaNombre,0))&amp;"",Q2003),Q2003))</f>
        <v/>
      </c>
      <c r="AC2003" s="52">
        <f>IF(OR(K2003="",AND(P2003&lt;&gt;"Transferencia",P2003&lt;&gt;"Pago tarjeta")),"",IFERROR(IF(INDEX(ctaVinc,MATCH(K2003,ctaNombre,0))&amp;""&lt;&gt;"",INDEX(ctaVinc,MATCH(K2003,ctaNombre,0))&amp;"",K2003),K2003))</f>
        <v/>
      </c>
      <c r="AD2003" s="52">
        <f>IF(AB2003="","",IFERROR(INDEX(ctaTipo,MATCH(AB2003,ctaNombre,0))&amp;"",""))</f>
        <v/>
      </c>
      <c r="AE2003" s="52">
        <f>IF(AC2003="","",IFERROR(INDEX(ctaTipo,MATCH(AC2003,ctaNombre,0))&amp;"",""))</f>
        <v/>
      </c>
      <c r="AF2003" s="53">
        <f>IF(OR(P2003="",AB2003=""),"",IF(OR(P2003="Gasto",P2003="Transferencia",P2003="Pago tarjeta"),-1,1)*IF(IFERROR(INDEX(ctaMoneda,MATCH(AB2003,ctaNombre,0))&amp;"","DOP")="USD",T2003,S2003))</f>
        <v/>
      </c>
      <c r="AG2003" s="53">
        <f>IF(AC2003="","",IF(IFERROR(INDEX(ctaMoneda,MATCH(AC2003,ctaNombre,0))&amp;"","DOP")="USD",T2003,S2003))</f>
        <v/>
      </c>
      <c r="AH2003" s="53">
        <f>IF(P2003="","",IF(AND(AD2003&lt;&gt;"",COUNTIFS(tcTipo,AD2003,tcLiq,"Sí")&gt;0),IF(OR(P2003="Gasto",P2003="Transferencia",P2003="Pago tarjeta"),-1,1)*S2003,0)+IF(AND(AE2003&lt;&gt;"",COUNTIFS(tcTipo,AE2003,tcLiq,"Sí")&gt;0),S2003,0))</f>
        <v/>
      </c>
      <c r="AI2003" s="52">
        <f>IF(OR(L2003="",P2003=""),"",IF(COUNTIFS(L$6:L2003,L2003,P$6:P2003,"?*")=1,MAX(AI$5:AI2002)+1,""))</f>
        <v/>
      </c>
    </row>
    <row r="2004">
      <c r="B2004" s="47" t="n"/>
      <c r="C2004" s="48" t="n"/>
      <c r="D2004" s="48" t="n"/>
      <c r="E2004" s="48" t="n"/>
      <c r="F2004" s="48" t="n"/>
      <c r="G2004" s="49" t="n"/>
      <c r="H2004" s="48" t="n"/>
      <c r="I2004" s="50" t="n"/>
      <c r="J2004" s="48" t="n"/>
      <c r="K2004" s="48" t="n"/>
      <c r="L2004" s="48" t="n"/>
      <c r="M2004" s="48" t="n"/>
      <c r="N2004" s="48" t="n"/>
      <c r="O2004" s="51">
        <f>IF(AND(B2004="",G2004="",C2004="",D2004="",J2004=""),"",IF(B2004="","⚠ Falta fecha",IF(G2004="","⚠ Falta monto",IF(Q2004="","⚠ Falta cuenta",IF(ISNA(MATCH(Q2004,ctaNombre,0)),"⚠ Cuenta no registrada",IF(AND(OR(P2004="Gasto",P2004="Reembolso"),D2004=""),"⚠ Falta categoría",IF(AND(D2004&lt;&gt;"",E2004&lt;&gt;"",ISNA(MATCH(D2004&amp;"|"&amp;E2004,catClave,0))),"⚠ Subcategoría no corresponde",IF(AND(OR(P2004="Transferencia",P2004="Pago tarjeta"),K2004=""),"⚠ Falta cuenta destino",IF(AND(K2004&lt;&gt;"",P2004&lt;&gt;"Transferencia",P2004&lt;&gt;"Pago tarjeta"),"⚠ Destino solo aplica a transferencias",IF(AND(K2004&lt;&gt;"",K2004=Q2004),"⚠ Origen igual a destino",IF(AND(K2004&lt;&gt;"",ISNA(MATCH(K2004,ctaNombre,0))),"⚠ Destino no registrado",IF(AND(P2004="Pago tarjeta",AE2004&lt;&gt;"Tarjeta de crédito"),"⚠ El destino debe ser tarjeta de crédito",IF(AND(P2004="Gasto",E2004="Depósitos y retiros"),"⚠ Usa tipo Transferencia",IF(AND(P2004="Resultado trading",AD2004&lt;&gt;"Cuenta de trading"),"⚠ Usa una cuenta de trading",IF(AND(G2004&lt;=0,P2004&lt;&gt;"Ajuste",P2004&lt;&gt;"Resultado trading"),"⚠ El monto debe ser positivo","✓")))))))))))))))</f>
        <v/>
      </c>
      <c r="P2004" s="52">
        <f>IF(OR(B2004="",G2004=""),"",IF(C2004="","Gasto",C2004))</f>
        <v/>
      </c>
      <c r="Q2004" s="52">
        <f>IF(P2004="","",IF(J2004&lt;&gt;"",J2004,CuentaPred&amp;""))</f>
        <v/>
      </c>
      <c r="R2004" s="52">
        <f>IF(P2004="","",IF(ISNUMBER(I2004),I2004,TasaUSD))</f>
        <v/>
      </c>
      <c r="S2004" s="53">
        <f>IF(P2004="","",IF(H2004="USD",G2004*R2004,G2004))</f>
        <v/>
      </c>
      <c r="T2004" s="53">
        <f>IF(P2004="","",IF(H2004="USD",G2004,IF(R2004&gt;0,G2004/R2004,0)))</f>
        <v/>
      </c>
      <c r="U2004" s="53">
        <f>IF(P2004="","",IF(P2004="Gasto",S2004,IF(P2004="Reembolso",-S2004,0)))</f>
        <v/>
      </c>
      <c r="V2004" s="53">
        <f>IF(P2004="","",IF(P2004="Ingreso",S2004,0))</f>
        <v/>
      </c>
      <c r="W2004" s="53">
        <f>IF(P2004="","",IF(P2004="Resultado trading",S2004,0))</f>
        <v/>
      </c>
      <c r="X2004" s="52">
        <f>IF(OR(P2004="Gasto",P2004="Reembolso"),IF(M2004&lt;&gt;"",M2004,IFERROR(INDEX(catClasif,MATCH(D2004&amp;"|"&amp;E2004,catClave,0))&amp;"","Variable")),"")</f>
        <v/>
      </c>
      <c r="Y2004" s="52">
        <f>IF(P2004="","",IFERROR(INDEX(catGrupo,MATCH(D2004&amp;"|"&amp;E2004,catClave,0))&amp;"",""))</f>
        <v/>
      </c>
      <c r="Z2004" s="52">
        <f>IF(P2004="","",WEEKDAY(B2004,2))</f>
        <v/>
      </c>
      <c r="AA2004" s="52">
        <f>IF(P2004="","",IF(AND(P2004="Gasto",X2004="Variable",D2004&lt;&gt;catTrading,S2004&gt;0,S2004&lt;=Umbral),1,0))</f>
        <v/>
      </c>
      <c r="AB2004" s="52">
        <f>IF(OR(P2004="",Q2004=""),"",IFERROR(IF(INDEX(ctaVinc,MATCH(Q2004,ctaNombre,0))&amp;""&lt;&gt;"",INDEX(ctaVinc,MATCH(Q2004,ctaNombre,0))&amp;"",Q2004),Q2004))</f>
        <v/>
      </c>
      <c r="AC2004" s="52">
        <f>IF(OR(K2004="",AND(P2004&lt;&gt;"Transferencia",P2004&lt;&gt;"Pago tarjeta")),"",IFERROR(IF(INDEX(ctaVinc,MATCH(K2004,ctaNombre,0))&amp;""&lt;&gt;"",INDEX(ctaVinc,MATCH(K2004,ctaNombre,0))&amp;"",K2004),K2004))</f>
        <v/>
      </c>
      <c r="AD2004" s="52">
        <f>IF(AB2004="","",IFERROR(INDEX(ctaTipo,MATCH(AB2004,ctaNombre,0))&amp;"",""))</f>
        <v/>
      </c>
      <c r="AE2004" s="52">
        <f>IF(AC2004="","",IFERROR(INDEX(ctaTipo,MATCH(AC2004,ctaNombre,0))&amp;"",""))</f>
        <v/>
      </c>
      <c r="AF2004" s="53">
        <f>IF(OR(P2004="",AB2004=""),"",IF(OR(P2004="Gasto",P2004="Transferencia",P2004="Pago tarjeta"),-1,1)*IF(IFERROR(INDEX(ctaMoneda,MATCH(AB2004,ctaNombre,0))&amp;"","DOP")="USD",T2004,S2004))</f>
        <v/>
      </c>
      <c r="AG2004" s="53">
        <f>IF(AC2004="","",IF(IFERROR(INDEX(ctaMoneda,MATCH(AC2004,ctaNombre,0))&amp;"","DOP")="USD",T2004,S2004))</f>
        <v/>
      </c>
      <c r="AH2004" s="53">
        <f>IF(P2004="","",IF(AND(AD2004&lt;&gt;"",COUNTIFS(tcTipo,AD2004,tcLiq,"Sí")&gt;0),IF(OR(P2004="Gasto",P2004="Transferencia",P2004="Pago tarjeta"),-1,1)*S2004,0)+IF(AND(AE2004&lt;&gt;"",COUNTIFS(tcTipo,AE2004,tcLiq,"Sí")&gt;0),S2004,0))</f>
        <v/>
      </c>
      <c r="AI2004" s="52">
        <f>IF(OR(L2004="",P2004=""),"",IF(COUNTIFS(L$6:L2004,L2004,P$6:P2004,"?*")=1,MAX(AI$5:AI2003)+1,""))</f>
        <v/>
      </c>
    </row>
    <row r="2005">
      <c r="B2005" s="47" t="n"/>
      <c r="C2005" s="48" t="n"/>
      <c r="D2005" s="48" t="n"/>
      <c r="E2005" s="48" t="n"/>
      <c r="F2005" s="48" t="n"/>
      <c r="G2005" s="49" t="n"/>
      <c r="H2005" s="48" t="n"/>
      <c r="I2005" s="50" t="n"/>
      <c r="J2005" s="48" t="n"/>
      <c r="K2005" s="48" t="n"/>
      <c r="L2005" s="48" t="n"/>
      <c r="M2005" s="48" t="n"/>
      <c r="N2005" s="48" t="n"/>
      <c r="O2005" s="51">
        <f>IF(AND(B2005="",G2005="",C2005="",D2005="",J2005=""),"",IF(B2005="","⚠ Falta fecha",IF(G2005="","⚠ Falta monto",IF(Q2005="","⚠ Falta cuenta",IF(ISNA(MATCH(Q2005,ctaNombre,0)),"⚠ Cuenta no registrada",IF(AND(OR(P2005="Gasto",P2005="Reembolso"),D2005=""),"⚠ Falta categoría",IF(AND(D2005&lt;&gt;"",E2005&lt;&gt;"",ISNA(MATCH(D2005&amp;"|"&amp;E2005,catClave,0))),"⚠ Subcategoría no corresponde",IF(AND(OR(P2005="Transferencia",P2005="Pago tarjeta"),K2005=""),"⚠ Falta cuenta destino",IF(AND(K2005&lt;&gt;"",P2005&lt;&gt;"Transferencia",P2005&lt;&gt;"Pago tarjeta"),"⚠ Destino solo aplica a transferencias",IF(AND(K2005&lt;&gt;"",K2005=Q2005),"⚠ Origen igual a destino",IF(AND(K2005&lt;&gt;"",ISNA(MATCH(K2005,ctaNombre,0))),"⚠ Destino no registrado",IF(AND(P2005="Pago tarjeta",AE2005&lt;&gt;"Tarjeta de crédito"),"⚠ El destino debe ser tarjeta de crédito",IF(AND(P2005="Gasto",E2005="Depósitos y retiros"),"⚠ Usa tipo Transferencia",IF(AND(P2005="Resultado trading",AD2005&lt;&gt;"Cuenta de trading"),"⚠ Usa una cuenta de trading",IF(AND(G2005&lt;=0,P2005&lt;&gt;"Ajuste",P2005&lt;&gt;"Resultado trading"),"⚠ El monto debe ser positivo","✓")))))))))))))))</f>
        <v/>
      </c>
      <c r="P2005" s="52">
        <f>IF(OR(B2005="",G2005=""),"",IF(C2005="","Gasto",C2005))</f>
        <v/>
      </c>
      <c r="Q2005" s="52">
        <f>IF(P2005="","",IF(J2005&lt;&gt;"",J2005,CuentaPred&amp;""))</f>
        <v/>
      </c>
      <c r="R2005" s="52">
        <f>IF(P2005="","",IF(ISNUMBER(I2005),I2005,TasaUSD))</f>
        <v/>
      </c>
      <c r="S2005" s="53">
        <f>IF(P2005="","",IF(H2005="USD",G2005*R2005,G2005))</f>
        <v/>
      </c>
      <c r="T2005" s="53">
        <f>IF(P2005="","",IF(H2005="USD",G2005,IF(R2005&gt;0,G2005/R2005,0)))</f>
        <v/>
      </c>
      <c r="U2005" s="53">
        <f>IF(P2005="","",IF(P2005="Gasto",S2005,IF(P2005="Reembolso",-S2005,0)))</f>
        <v/>
      </c>
      <c r="V2005" s="53">
        <f>IF(P2005="","",IF(P2005="Ingreso",S2005,0))</f>
        <v/>
      </c>
      <c r="W2005" s="53">
        <f>IF(P2005="","",IF(P2005="Resultado trading",S2005,0))</f>
        <v/>
      </c>
      <c r="X2005" s="52">
        <f>IF(OR(P2005="Gasto",P2005="Reembolso"),IF(M2005&lt;&gt;"",M2005,IFERROR(INDEX(catClasif,MATCH(D2005&amp;"|"&amp;E2005,catClave,0))&amp;"","Variable")),"")</f>
        <v/>
      </c>
      <c r="Y2005" s="52">
        <f>IF(P2005="","",IFERROR(INDEX(catGrupo,MATCH(D2005&amp;"|"&amp;E2005,catClave,0))&amp;"",""))</f>
        <v/>
      </c>
      <c r="Z2005" s="52">
        <f>IF(P2005="","",WEEKDAY(B2005,2))</f>
        <v/>
      </c>
      <c r="AA2005" s="52">
        <f>IF(P2005="","",IF(AND(P2005="Gasto",X2005="Variable",D2005&lt;&gt;catTrading,S2005&gt;0,S2005&lt;=Umbral),1,0))</f>
        <v/>
      </c>
      <c r="AB2005" s="52">
        <f>IF(OR(P2005="",Q2005=""),"",IFERROR(IF(INDEX(ctaVinc,MATCH(Q2005,ctaNombre,0))&amp;""&lt;&gt;"",INDEX(ctaVinc,MATCH(Q2005,ctaNombre,0))&amp;"",Q2005),Q2005))</f>
        <v/>
      </c>
      <c r="AC2005" s="52">
        <f>IF(OR(K2005="",AND(P2005&lt;&gt;"Transferencia",P2005&lt;&gt;"Pago tarjeta")),"",IFERROR(IF(INDEX(ctaVinc,MATCH(K2005,ctaNombre,0))&amp;""&lt;&gt;"",INDEX(ctaVinc,MATCH(K2005,ctaNombre,0))&amp;"",K2005),K2005))</f>
        <v/>
      </c>
      <c r="AD2005" s="52">
        <f>IF(AB2005="","",IFERROR(INDEX(ctaTipo,MATCH(AB2005,ctaNombre,0))&amp;"",""))</f>
        <v/>
      </c>
      <c r="AE2005" s="52">
        <f>IF(AC2005="","",IFERROR(INDEX(ctaTipo,MATCH(AC2005,ctaNombre,0))&amp;"",""))</f>
        <v/>
      </c>
      <c r="AF2005" s="53">
        <f>IF(OR(P2005="",AB2005=""),"",IF(OR(P2005="Gasto",P2005="Transferencia",P2005="Pago tarjeta"),-1,1)*IF(IFERROR(INDEX(ctaMoneda,MATCH(AB2005,ctaNombre,0))&amp;"","DOP")="USD",T2005,S2005))</f>
        <v/>
      </c>
      <c r="AG2005" s="53">
        <f>IF(AC2005="","",IF(IFERROR(INDEX(ctaMoneda,MATCH(AC2005,ctaNombre,0))&amp;"","DOP")="USD",T2005,S2005))</f>
        <v/>
      </c>
      <c r="AH2005" s="53">
        <f>IF(P2005="","",IF(AND(AD2005&lt;&gt;"",COUNTIFS(tcTipo,AD2005,tcLiq,"Sí")&gt;0),IF(OR(P2005="Gasto",P2005="Transferencia",P2005="Pago tarjeta"),-1,1)*S2005,0)+IF(AND(AE2005&lt;&gt;"",COUNTIFS(tcTipo,AE2005,tcLiq,"Sí")&gt;0),S2005,0))</f>
        <v/>
      </c>
      <c r="AI2005" s="52">
        <f>IF(OR(L2005="",P2005=""),"",IF(COUNTIFS(L$6:L2005,L2005,P$6:P2005,"?*")=1,MAX(AI$5:AI2004)+1,""))</f>
        <v/>
      </c>
    </row>
    <row r="2006">
      <c r="B2006" s="47" t="n"/>
      <c r="C2006" s="48" t="n"/>
      <c r="D2006" s="48" t="n"/>
      <c r="E2006" s="48" t="n"/>
      <c r="F2006" s="48" t="n"/>
      <c r="G2006" s="49" t="n"/>
      <c r="H2006" s="48" t="n"/>
      <c r="I2006" s="50" t="n"/>
      <c r="J2006" s="48" t="n"/>
      <c r="K2006" s="48" t="n"/>
      <c r="L2006" s="48" t="n"/>
      <c r="M2006" s="48" t="n"/>
      <c r="N2006" s="48" t="n"/>
      <c r="O2006" s="51">
        <f>IF(AND(B2006="",G2006="",C2006="",D2006="",J2006=""),"",IF(B2006="","⚠ Falta fecha",IF(G2006="","⚠ Falta monto",IF(Q2006="","⚠ Falta cuenta",IF(ISNA(MATCH(Q2006,ctaNombre,0)),"⚠ Cuenta no registrada",IF(AND(OR(P2006="Gasto",P2006="Reembolso"),D2006=""),"⚠ Falta categoría",IF(AND(D2006&lt;&gt;"",E2006&lt;&gt;"",ISNA(MATCH(D2006&amp;"|"&amp;E2006,catClave,0))),"⚠ Subcategoría no corresponde",IF(AND(OR(P2006="Transferencia",P2006="Pago tarjeta"),K2006=""),"⚠ Falta cuenta destino",IF(AND(K2006&lt;&gt;"",P2006&lt;&gt;"Transferencia",P2006&lt;&gt;"Pago tarjeta"),"⚠ Destino solo aplica a transferencias",IF(AND(K2006&lt;&gt;"",K2006=Q2006),"⚠ Origen igual a destino",IF(AND(K2006&lt;&gt;"",ISNA(MATCH(K2006,ctaNombre,0))),"⚠ Destino no registrado",IF(AND(P2006="Pago tarjeta",AE2006&lt;&gt;"Tarjeta de crédito"),"⚠ El destino debe ser tarjeta de crédito",IF(AND(P2006="Gasto",E2006="Depósitos y retiros"),"⚠ Usa tipo Transferencia",IF(AND(P2006="Resultado trading",AD2006&lt;&gt;"Cuenta de trading"),"⚠ Usa una cuenta de trading",IF(AND(G2006&lt;=0,P2006&lt;&gt;"Ajuste",P2006&lt;&gt;"Resultado trading"),"⚠ El monto debe ser positivo","✓")))))))))))))))</f>
        <v/>
      </c>
      <c r="P2006" s="52">
        <f>IF(OR(B2006="",G2006=""),"",IF(C2006="","Gasto",C2006))</f>
        <v/>
      </c>
      <c r="Q2006" s="52">
        <f>IF(P2006="","",IF(J2006&lt;&gt;"",J2006,CuentaPred&amp;""))</f>
        <v/>
      </c>
      <c r="R2006" s="52">
        <f>IF(P2006="","",IF(ISNUMBER(I2006),I2006,TasaUSD))</f>
        <v/>
      </c>
      <c r="S2006" s="53">
        <f>IF(P2006="","",IF(H2006="USD",G2006*R2006,G2006))</f>
        <v/>
      </c>
      <c r="T2006" s="53">
        <f>IF(P2006="","",IF(H2006="USD",G2006,IF(R2006&gt;0,G2006/R2006,0)))</f>
        <v/>
      </c>
      <c r="U2006" s="53">
        <f>IF(P2006="","",IF(P2006="Gasto",S2006,IF(P2006="Reembolso",-S2006,0)))</f>
        <v/>
      </c>
      <c r="V2006" s="53">
        <f>IF(P2006="","",IF(P2006="Ingreso",S2006,0))</f>
        <v/>
      </c>
      <c r="W2006" s="53">
        <f>IF(P2006="","",IF(P2006="Resultado trading",S2006,0))</f>
        <v/>
      </c>
      <c r="X2006" s="52">
        <f>IF(OR(P2006="Gasto",P2006="Reembolso"),IF(M2006&lt;&gt;"",M2006,IFERROR(INDEX(catClasif,MATCH(D2006&amp;"|"&amp;E2006,catClave,0))&amp;"","Variable")),"")</f>
        <v/>
      </c>
      <c r="Y2006" s="52">
        <f>IF(P2006="","",IFERROR(INDEX(catGrupo,MATCH(D2006&amp;"|"&amp;E2006,catClave,0))&amp;"",""))</f>
        <v/>
      </c>
      <c r="Z2006" s="52">
        <f>IF(P2006="","",WEEKDAY(B2006,2))</f>
        <v/>
      </c>
      <c r="AA2006" s="52">
        <f>IF(P2006="","",IF(AND(P2006="Gasto",X2006="Variable",D2006&lt;&gt;catTrading,S2006&gt;0,S2006&lt;=Umbral),1,0))</f>
        <v/>
      </c>
      <c r="AB2006" s="52">
        <f>IF(OR(P2006="",Q2006=""),"",IFERROR(IF(INDEX(ctaVinc,MATCH(Q2006,ctaNombre,0))&amp;""&lt;&gt;"",INDEX(ctaVinc,MATCH(Q2006,ctaNombre,0))&amp;"",Q2006),Q2006))</f>
        <v/>
      </c>
      <c r="AC2006" s="52">
        <f>IF(OR(K2006="",AND(P2006&lt;&gt;"Transferencia",P2006&lt;&gt;"Pago tarjeta")),"",IFERROR(IF(INDEX(ctaVinc,MATCH(K2006,ctaNombre,0))&amp;""&lt;&gt;"",INDEX(ctaVinc,MATCH(K2006,ctaNombre,0))&amp;"",K2006),K2006))</f>
        <v/>
      </c>
      <c r="AD2006" s="52">
        <f>IF(AB2006="","",IFERROR(INDEX(ctaTipo,MATCH(AB2006,ctaNombre,0))&amp;"",""))</f>
        <v/>
      </c>
      <c r="AE2006" s="52">
        <f>IF(AC2006="","",IFERROR(INDEX(ctaTipo,MATCH(AC2006,ctaNombre,0))&amp;"",""))</f>
        <v/>
      </c>
      <c r="AF2006" s="53">
        <f>IF(OR(P2006="",AB2006=""),"",IF(OR(P2006="Gasto",P2006="Transferencia",P2006="Pago tarjeta"),-1,1)*IF(IFERROR(INDEX(ctaMoneda,MATCH(AB2006,ctaNombre,0))&amp;"","DOP")="USD",T2006,S2006))</f>
        <v/>
      </c>
      <c r="AG2006" s="53">
        <f>IF(AC2006="","",IF(IFERROR(INDEX(ctaMoneda,MATCH(AC2006,ctaNombre,0))&amp;"","DOP")="USD",T2006,S2006))</f>
        <v/>
      </c>
      <c r="AH2006" s="53">
        <f>IF(P2006="","",IF(AND(AD2006&lt;&gt;"",COUNTIFS(tcTipo,AD2006,tcLiq,"Sí")&gt;0),IF(OR(P2006="Gasto",P2006="Transferencia",P2006="Pago tarjeta"),-1,1)*S2006,0)+IF(AND(AE2006&lt;&gt;"",COUNTIFS(tcTipo,AE2006,tcLiq,"Sí")&gt;0),S2006,0))</f>
        <v/>
      </c>
      <c r="AI2006" s="52">
        <f>IF(OR(L2006="",P2006=""),"",IF(COUNTIFS(L$6:L2006,L2006,P$6:P2006,"?*")=1,MAX(AI$5:AI2005)+1,""))</f>
        <v/>
      </c>
    </row>
    <row r="2007">
      <c r="B2007" s="47" t="n"/>
      <c r="C2007" s="48" t="n"/>
      <c r="D2007" s="48" t="n"/>
      <c r="E2007" s="48" t="n"/>
      <c r="F2007" s="48" t="n"/>
      <c r="G2007" s="49" t="n"/>
      <c r="H2007" s="48" t="n"/>
      <c r="I2007" s="50" t="n"/>
      <c r="J2007" s="48" t="n"/>
      <c r="K2007" s="48" t="n"/>
      <c r="L2007" s="48" t="n"/>
      <c r="M2007" s="48" t="n"/>
      <c r="N2007" s="48" t="n"/>
      <c r="O2007" s="51">
        <f>IF(AND(B2007="",G2007="",C2007="",D2007="",J2007=""),"",IF(B2007="","⚠ Falta fecha",IF(G2007="","⚠ Falta monto",IF(Q2007="","⚠ Falta cuenta",IF(ISNA(MATCH(Q2007,ctaNombre,0)),"⚠ Cuenta no registrada",IF(AND(OR(P2007="Gasto",P2007="Reembolso"),D2007=""),"⚠ Falta categoría",IF(AND(D2007&lt;&gt;"",E2007&lt;&gt;"",ISNA(MATCH(D2007&amp;"|"&amp;E2007,catClave,0))),"⚠ Subcategoría no corresponde",IF(AND(OR(P2007="Transferencia",P2007="Pago tarjeta"),K2007=""),"⚠ Falta cuenta destino",IF(AND(K2007&lt;&gt;"",P2007&lt;&gt;"Transferencia",P2007&lt;&gt;"Pago tarjeta"),"⚠ Destino solo aplica a transferencias",IF(AND(K2007&lt;&gt;"",K2007=Q2007),"⚠ Origen igual a destino",IF(AND(K2007&lt;&gt;"",ISNA(MATCH(K2007,ctaNombre,0))),"⚠ Destino no registrado",IF(AND(P2007="Pago tarjeta",AE2007&lt;&gt;"Tarjeta de crédito"),"⚠ El destino debe ser tarjeta de crédito",IF(AND(P2007="Gasto",E2007="Depósitos y retiros"),"⚠ Usa tipo Transferencia",IF(AND(P2007="Resultado trading",AD2007&lt;&gt;"Cuenta de trading"),"⚠ Usa una cuenta de trading",IF(AND(G2007&lt;=0,P2007&lt;&gt;"Ajuste",P2007&lt;&gt;"Resultado trading"),"⚠ El monto debe ser positivo","✓")))))))))))))))</f>
        <v/>
      </c>
      <c r="P2007" s="52">
        <f>IF(OR(B2007="",G2007=""),"",IF(C2007="","Gasto",C2007))</f>
        <v/>
      </c>
      <c r="Q2007" s="52">
        <f>IF(P2007="","",IF(J2007&lt;&gt;"",J2007,CuentaPred&amp;""))</f>
        <v/>
      </c>
      <c r="R2007" s="52">
        <f>IF(P2007="","",IF(ISNUMBER(I2007),I2007,TasaUSD))</f>
        <v/>
      </c>
      <c r="S2007" s="53">
        <f>IF(P2007="","",IF(H2007="USD",G2007*R2007,G2007))</f>
        <v/>
      </c>
      <c r="T2007" s="53">
        <f>IF(P2007="","",IF(H2007="USD",G2007,IF(R2007&gt;0,G2007/R2007,0)))</f>
        <v/>
      </c>
      <c r="U2007" s="53">
        <f>IF(P2007="","",IF(P2007="Gasto",S2007,IF(P2007="Reembolso",-S2007,0)))</f>
        <v/>
      </c>
      <c r="V2007" s="53">
        <f>IF(P2007="","",IF(P2007="Ingreso",S2007,0))</f>
        <v/>
      </c>
      <c r="W2007" s="53">
        <f>IF(P2007="","",IF(P2007="Resultado trading",S2007,0))</f>
        <v/>
      </c>
      <c r="X2007" s="52">
        <f>IF(OR(P2007="Gasto",P2007="Reembolso"),IF(M2007&lt;&gt;"",M2007,IFERROR(INDEX(catClasif,MATCH(D2007&amp;"|"&amp;E2007,catClave,0))&amp;"","Variable")),"")</f>
        <v/>
      </c>
      <c r="Y2007" s="52">
        <f>IF(P2007="","",IFERROR(INDEX(catGrupo,MATCH(D2007&amp;"|"&amp;E2007,catClave,0))&amp;"",""))</f>
        <v/>
      </c>
      <c r="Z2007" s="52">
        <f>IF(P2007="","",WEEKDAY(B2007,2))</f>
        <v/>
      </c>
      <c r="AA2007" s="52">
        <f>IF(P2007="","",IF(AND(P2007="Gasto",X2007="Variable",D2007&lt;&gt;catTrading,S2007&gt;0,S2007&lt;=Umbral),1,0))</f>
        <v/>
      </c>
      <c r="AB2007" s="52">
        <f>IF(OR(P2007="",Q2007=""),"",IFERROR(IF(INDEX(ctaVinc,MATCH(Q2007,ctaNombre,0))&amp;""&lt;&gt;"",INDEX(ctaVinc,MATCH(Q2007,ctaNombre,0))&amp;"",Q2007),Q2007))</f>
        <v/>
      </c>
      <c r="AC2007" s="52">
        <f>IF(OR(K2007="",AND(P2007&lt;&gt;"Transferencia",P2007&lt;&gt;"Pago tarjeta")),"",IFERROR(IF(INDEX(ctaVinc,MATCH(K2007,ctaNombre,0))&amp;""&lt;&gt;"",INDEX(ctaVinc,MATCH(K2007,ctaNombre,0))&amp;"",K2007),K2007))</f>
        <v/>
      </c>
      <c r="AD2007" s="52">
        <f>IF(AB2007="","",IFERROR(INDEX(ctaTipo,MATCH(AB2007,ctaNombre,0))&amp;"",""))</f>
        <v/>
      </c>
      <c r="AE2007" s="52">
        <f>IF(AC2007="","",IFERROR(INDEX(ctaTipo,MATCH(AC2007,ctaNombre,0))&amp;"",""))</f>
        <v/>
      </c>
      <c r="AF2007" s="53">
        <f>IF(OR(P2007="",AB2007=""),"",IF(OR(P2007="Gasto",P2007="Transferencia",P2007="Pago tarjeta"),-1,1)*IF(IFERROR(INDEX(ctaMoneda,MATCH(AB2007,ctaNombre,0))&amp;"","DOP")="USD",T2007,S2007))</f>
        <v/>
      </c>
      <c r="AG2007" s="53">
        <f>IF(AC2007="","",IF(IFERROR(INDEX(ctaMoneda,MATCH(AC2007,ctaNombre,0))&amp;"","DOP")="USD",T2007,S2007))</f>
        <v/>
      </c>
      <c r="AH2007" s="53">
        <f>IF(P2007="","",IF(AND(AD2007&lt;&gt;"",COUNTIFS(tcTipo,AD2007,tcLiq,"Sí")&gt;0),IF(OR(P2007="Gasto",P2007="Transferencia",P2007="Pago tarjeta"),-1,1)*S2007,0)+IF(AND(AE2007&lt;&gt;"",COUNTIFS(tcTipo,AE2007,tcLiq,"Sí")&gt;0),S2007,0))</f>
        <v/>
      </c>
      <c r="AI2007" s="52">
        <f>IF(OR(L2007="",P2007=""),"",IF(COUNTIFS(L$6:L2007,L2007,P$6:P2007,"?*")=1,MAX(AI$5:AI2006)+1,""))</f>
        <v/>
      </c>
    </row>
    <row r="2008">
      <c r="B2008" s="47" t="n"/>
      <c r="C2008" s="48" t="n"/>
      <c r="D2008" s="48" t="n"/>
      <c r="E2008" s="48" t="n"/>
      <c r="F2008" s="48" t="n"/>
      <c r="G2008" s="49" t="n"/>
      <c r="H2008" s="48" t="n"/>
      <c r="I2008" s="50" t="n"/>
      <c r="J2008" s="48" t="n"/>
      <c r="K2008" s="48" t="n"/>
      <c r="L2008" s="48" t="n"/>
      <c r="M2008" s="48" t="n"/>
      <c r="N2008" s="48" t="n"/>
      <c r="O2008" s="51">
        <f>IF(AND(B2008="",G2008="",C2008="",D2008="",J2008=""),"",IF(B2008="","⚠ Falta fecha",IF(G2008="","⚠ Falta monto",IF(Q2008="","⚠ Falta cuenta",IF(ISNA(MATCH(Q2008,ctaNombre,0)),"⚠ Cuenta no registrada",IF(AND(OR(P2008="Gasto",P2008="Reembolso"),D2008=""),"⚠ Falta categoría",IF(AND(D2008&lt;&gt;"",E2008&lt;&gt;"",ISNA(MATCH(D2008&amp;"|"&amp;E2008,catClave,0))),"⚠ Subcategoría no corresponde",IF(AND(OR(P2008="Transferencia",P2008="Pago tarjeta"),K2008=""),"⚠ Falta cuenta destino",IF(AND(K2008&lt;&gt;"",P2008&lt;&gt;"Transferencia",P2008&lt;&gt;"Pago tarjeta"),"⚠ Destino solo aplica a transferencias",IF(AND(K2008&lt;&gt;"",K2008=Q2008),"⚠ Origen igual a destino",IF(AND(K2008&lt;&gt;"",ISNA(MATCH(K2008,ctaNombre,0))),"⚠ Destino no registrado",IF(AND(P2008="Pago tarjeta",AE2008&lt;&gt;"Tarjeta de crédito"),"⚠ El destino debe ser tarjeta de crédito",IF(AND(P2008="Gasto",E2008="Depósitos y retiros"),"⚠ Usa tipo Transferencia",IF(AND(P2008="Resultado trading",AD2008&lt;&gt;"Cuenta de trading"),"⚠ Usa una cuenta de trading",IF(AND(G2008&lt;=0,P2008&lt;&gt;"Ajuste",P2008&lt;&gt;"Resultado trading"),"⚠ El monto debe ser positivo","✓")))))))))))))))</f>
        <v/>
      </c>
      <c r="P2008" s="52">
        <f>IF(OR(B2008="",G2008=""),"",IF(C2008="","Gasto",C2008))</f>
        <v/>
      </c>
      <c r="Q2008" s="52">
        <f>IF(P2008="","",IF(J2008&lt;&gt;"",J2008,CuentaPred&amp;""))</f>
        <v/>
      </c>
      <c r="R2008" s="52">
        <f>IF(P2008="","",IF(ISNUMBER(I2008),I2008,TasaUSD))</f>
        <v/>
      </c>
      <c r="S2008" s="53">
        <f>IF(P2008="","",IF(H2008="USD",G2008*R2008,G2008))</f>
        <v/>
      </c>
      <c r="T2008" s="53">
        <f>IF(P2008="","",IF(H2008="USD",G2008,IF(R2008&gt;0,G2008/R2008,0)))</f>
        <v/>
      </c>
      <c r="U2008" s="53">
        <f>IF(P2008="","",IF(P2008="Gasto",S2008,IF(P2008="Reembolso",-S2008,0)))</f>
        <v/>
      </c>
      <c r="V2008" s="53">
        <f>IF(P2008="","",IF(P2008="Ingreso",S2008,0))</f>
        <v/>
      </c>
      <c r="W2008" s="53">
        <f>IF(P2008="","",IF(P2008="Resultado trading",S2008,0))</f>
        <v/>
      </c>
      <c r="X2008" s="52">
        <f>IF(OR(P2008="Gasto",P2008="Reembolso"),IF(M2008&lt;&gt;"",M2008,IFERROR(INDEX(catClasif,MATCH(D2008&amp;"|"&amp;E2008,catClave,0))&amp;"","Variable")),"")</f>
        <v/>
      </c>
      <c r="Y2008" s="52">
        <f>IF(P2008="","",IFERROR(INDEX(catGrupo,MATCH(D2008&amp;"|"&amp;E2008,catClave,0))&amp;"",""))</f>
        <v/>
      </c>
      <c r="Z2008" s="52">
        <f>IF(P2008="","",WEEKDAY(B2008,2))</f>
        <v/>
      </c>
      <c r="AA2008" s="52">
        <f>IF(P2008="","",IF(AND(P2008="Gasto",X2008="Variable",D2008&lt;&gt;catTrading,S2008&gt;0,S2008&lt;=Umbral),1,0))</f>
        <v/>
      </c>
      <c r="AB2008" s="52">
        <f>IF(OR(P2008="",Q2008=""),"",IFERROR(IF(INDEX(ctaVinc,MATCH(Q2008,ctaNombre,0))&amp;""&lt;&gt;"",INDEX(ctaVinc,MATCH(Q2008,ctaNombre,0))&amp;"",Q2008),Q2008))</f>
        <v/>
      </c>
      <c r="AC2008" s="52">
        <f>IF(OR(K2008="",AND(P2008&lt;&gt;"Transferencia",P2008&lt;&gt;"Pago tarjeta")),"",IFERROR(IF(INDEX(ctaVinc,MATCH(K2008,ctaNombre,0))&amp;""&lt;&gt;"",INDEX(ctaVinc,MATCH(K2008,ctaNombre,0))&amp;"",K2008),K2008))</f>
        <v/>
      </c>
      <c r="AD2008" s="52">
        <f>IF(AB2008="","",IFERROR(INDEX(ctaTipo,MATCH(AB2008,ctaNombre,0))&amp;"",""))</f>
        <v/>
      </c>
      <c r="AE2008" s="52">
        <f>IF(AC2008="","",IFERROR(INDEX(ctaTipo,MATCH(AC2008,ctaNombre,0))&amp;"",""))</f>
        <v/>
      </c>
      <c r="AF2008" s="53">
        <f>IF(OR(P2008="",AB2008=""),"",IF(OR(P2008="Gasto",P2008="Transferencia",P2008="Pago tarjeta"),-1,1)*IF(IFERROR(INDEX(ctaMoneda,MATCH(AB2008,ctaNombre,0))&amp;"","DOP")="USD",T2008,S2008))</f>
        <v/>
      </c>
      <c r="AG2008" s="53">
        <f>IF(AC2008="","",IF(IFERROR(INDEX(ctaMoneda,MATCH(AC2008,ctaNombre,0))&amp;"","DOP")="USD",T2008,S2008))</f>
        <v/>
      </c>
      <c r="AH2008" s="53">
        <f>IF(P2008="","",IF(AND(AD2008&lt;&gt;"",COUNTIFS(tcTipo,AD2008,tcLiq,"Sí")&gt;0),IF(OR(P2008="Gasto",P2008="Transferencia",P2008="Pago tarjeta"),-1,1)*S2008,0)+IF(AND(AE2008&lt;&gt;"",COUNTIFS(tcTipo,AE2008,tcLiq,"Sí")&gt;0),S2008,0))</f>
        <v/>
      </c>
      <c r="AI2008" s="52">
        <f>IF(OR(L2008="",P2008=""),"",IF(COUNTIFS(L$6:L2008,L2008,P$6:P2008,"?*")=1,MAX(AI$5:AI2007)+1,""))</f>
        <v/>
      </c>
    </row>
    <row r="2009">
      <c r="B2009" s="47" t="n"/>
      <c r="C2009" s="48" t="n"/>
      <c r="D2009" s="48" t="n"/>
      <c r="E2009" s="48" t="n"/>
      <c r="F2009" s="48" t="n"/>
      <c r="G2009" s="49" t="n"/>
      <c r="H2009" s="48" t="n"/>
      <c r="I2009" s="50" t="n"/>
      <c r="J2009" s="48" t="n"/>
      <c r="K2009" s="48" t="n"/>
      <c r="L2009" s="48" t="n"/>
      <c r="M2009" s="48" t="n"/>
      <c r="N2009" s="48" t="n"/>
      <c r="O2009" s="51">
        <f>IF(AND(B2009="",G2009="",C2009="",D2009="",J2009=""),"",IF(B2009="","⚠ Falta fecha",IF(G2009="","⚠ Falta monto",IF(Q2009="","⚠ Falta cuenta",IF(ISNA(MATCH(Q2009,ctaNombre,0)),"⚠ Cuenta no registrada",IF(AND(OR(P2009="Gasto",P2009="Reembolso"),D2009=""),"⚠ Falta categoría",IF(AND(D2009&lt;&gt;"",E2009&lt;&gt;"",ISNA(MATCH(D2009&amp;"|"&amp;E2009,catClave,0))),"⚠ Subcategoría no corresponde",IF(AND(OR(P2009="Transferencia",P2009="Pago tarjeta"),K2009=""),"⚠ Falta cuenta destino",IF(AND(K2009&lt;&gt;"",P2009&lt;&gt;"Transferencia",P2009&lt;&gt;"Pago tarjeta"),"⚠ Destino solo aplica a transferencias",IF(AND(K2009&lt;&gt;"",K2009=Q2009),"⚠ Origen igual a destino",IF(AND(K2009&lt;&gt;"",ISNA(MATCH(K2009,ctaNombre,0))),"⚠ Destino no registrado",IF(AND(P2009="Pago tarjeta",AE2009&lt;&gt;"Tarjeta de crédito"),"⚠ El destino debe ser tarjeta de crédito",IF(AND(P2009="Gasto",E2009="Depósitos y retiros"),"⚠ Usa tipo Transferencia",IF(AND(P2009="Resultado trading",AD2009&lt;&gt;"Cuenta de trading"),"⚠ Usa una cuenta de trading",IF(AND(G2009&lt;=0,P2009&lt;&gt;"Ajuste",P2009&lt;&gt;"Resultado trading"),"⚠ El monto debe ser positivo","✓")))))))))))))))</f>
        <v/>
      </c>
      <c r="P2009" s="52">
        <f>IF(OR(B2009="",G2009=""),"",IF(C2009="","Gasto",C2009))</f>
        <v/>
      </c>
      <c r="Q2009" s="52">
        <f>IF(P2009="","",IF(J2009&lt;&gt;"",J2009,CuentaPred&amp;""))</f>
        <v/>
      </c>
      <c r="R2009" s="52">
        <f>IF(P2009="","",IF(ISNUMBER(I2009),I2009,TasaUSD))</f>
        <v/>
      </c>
      <c r="S2009" s="53">
        <f>IF(P2009="","",IF(H2009="USD",G2009*R2009,G2009))</f>
        <v/>
      </c>
      <c r="T2009" s="53">
        <f>IF(P2009="","",IF(H2009="USD",G2009,IF(R2009&gt;0,G2009/R2009,0)))</f>
        <v/>
      </c>
      <c r="U2009" s="53">
        <f>IF(P2009="","",IF(P2009="Gasto",S2009,IF(P2009="Reembolso",-S2009,0)))</f>
        <v/>
      </c>
      <c r="V2009" s="53">
        <f>IF(P2009="","",IF(P2009="Ingreso",S2009,0))</f>
        <v/>
      </c>
      <c r="W2009" s="53">
        <f>IF(P2009="","",IF(P2009="Resultado trading",S2009,0))</f>
        <v/>
      </c>
      <c r="X2009" s="52">
        <f>IF(OR(P2009="Gasto",P2009="Reembolso"),IF(M2009&lt;&gt;"",M2009,IFERROR(INDEX(catClasif,MATCH(D2009&amp;"|"&amp;E2009,catClave,0))&amp;"","Variable")),"")</f>
        <v/>
      </c>
      <c r="Y2009" s="52">
        <f>IF(P2009="","",IFERROR(INDEX(catGrupo,MATCH(D2009&amp;"|"&amp;E2009,catClave,0))&amp;"",""))</f>
        <v/>
      </c>
      <c r="Z2009" s="52">
        <f>IF(P2009="","",WEEKDAY(B2009,2))</f>
        <v/>
      </c>
      <c r="AA2009" s="52">
        <f>IF(P2009="","",IF(AND(P2009="Gasto",X2009="Variable",D2009&lt;&gt;catTrading,S2009&gt;0,S2009&lt;=Umbral),1,0))</f>
        <v/>
      </c>
      <c r="AB2009" s="52">
        <f>IF(OR(P2009="",Q2009=""),"",IFERROR(IF(INDEX(ctaVinc,MATCH(Q2009,ctaNombre,0))&amp;""&lt;&gt;"",INDEX(ctaVinc,MATCH(Q2009,ctaNombre,0))&amp;"",Q2009),Q2009))</f>
        <v/>
      </c>
      <c r="AC2009" s="52">
        <f>IF(OR(K2009="",AND(P2009&lt;&gt;"Transferencia",P2009&lt;&gt;"Pago tarjeta")),"",IFERROR(IF(INDEX(ctaVinc,MATCH(K2009,ctaNombre,0))&amp;""&lt;&gt;"",INDEX(ctaVinc,MATCH(K2009,ctaNombre,0))&amp;"",K2009),K2009))</f>
        <v/>
      </c>
      <c r="AD2009" s="52">
        <f>IF(AB2009="","",IFERROR(INDEX(ctaTipo,MATCH(AB2009,ctaNombre,0))&amp;"",""))</f>
        <v/>
      </c>
      <c r="AE2009" s="52">
        <f>IF(AC2009="","",IFERROR(INDEX(ctaTipo,MATCH(AC2009,ctaNombre,0))&amp;"",""))</f>
        <v/>
      </c>
      <c r="AF2009" s="53">
        <f>IF(OR(P2009="",AB2009=""),"",IF(OR(P2009="Gasto",P2009="Transferencia",P2009="Pago tarjeta"),-1,1)*IF(IFERROR(INDEX(ctaMoneda,MATCH(AB2009,ctaNombre,0))&amp;"","DOP")="USD",T2009,S2009))</f>
        <v/>
      </c>
      <c r="AG2009" s="53">
        <f>IF(AC2009="","",IF(IFERROR(INDEX(ctaMoneda,MATCH(AC2009,ctaNombre,0))&amp;"","DOP")="USD",T2009,S2009))</f>
        <v/>
      </c>
      <c r="AH2009" s="53">
        <f>IF(P2009="","",IF(AND(AD2009&lt;&gt;"",COUNTIFS(tcTipo,AD2009,tcLiq,"Sí")&gt;0),IF(OR(P2009="Gasto",P2009="Transferencia",P2009="Pago tarjeta"),-1,1)*S2009,0)+IF(AND(AE2009&lt;&gt;"",COUNTIFS(tcTipo,AE2009,tcLiq,"Sí")&gt;0),S2009,0))</f>
        <v/>
      </c>
      <c r="AI2009" s="52">
        <f>IF(OR(L2009="",P2009=""),"",IF(COUNTIFS(L$6:L2009,L2009,P$6:P2009,"?*")=1,MAX(AI$5:AI2008)+1,""))</f>
        <v/>
      </c>
    </row>
    <row r="2010">
      <c r="B2010" s="47" t="n"/>
      <c r="C2010" s="48" t="n"/>
      <c r="D2010" s="48" t="n"/>
      <c r="E2010" s="48" t="n"/>
      <c r="F2010" s="48" t="n"/>
      <c r="G2010" s="49" t="n"/>
      <c r="H2010" s="48" t="n"/>
      <c r="I2010" s="50" t="n"/>
      <c r="J2010" s="48" t="n"/>
      <c r="K2010" s="48" t="n"/>
      <c r="L2010" s="48" t="n"/>
      <c r="M2010" s="48" t="n"/>
      <c r="N2010" s="48" t="n"/>
      <c r="O2010" s="51">
        <f>IF(AND(B2010="",G2010="",C2010="",D2010="",J2010=""),"",IF(B2010="","⚠ Falta fecha",IF(G2010="","⚠ Falta monto",IF(Q2010="","⚠ Falta cuenta",IF(ISNA(MATCH(Q2010,ctaNombre,0)),"⚠ Cuenta no registrada",IF(AND(OR(P2010="Gasto",P2010="Reembolso"),D2010=""),"⚠ Falta categoría",IF(AND(D2010&lt;&gt;"",E2010&lt;&gt;"",ISNA(MATCH(D2010&amp;"|"&amp;E2010,catClave,0))),"⚠ Subcategoría no corresponde",IF(AND(OR(P2010="Transferencia",P2010="Pago tarjeta"),K2010=""),"⚠ Falta cuenta destino",IF(AND(K2010&lt;&gt;"",P2010&lt;&gt;"Transferencia",P2010&lt;&gt;"Pago tarjeta"),"⚠ Destino solo aplica a transferencias",IF(AND(K2010&lt;&gt;"",K2010=Q2010),"⚠ Origen igual a destino",IF(AND(K2010&lt;&gt;"",ISNA(MATCH(K2010,ctaNombre,0))),"⚠ Destino no registrado",IF(AND(P2010="Pago tarjeta",AE2010&lt;&gt;"Tarjeta de crédito"),"⚠ El destino debe ser tarjeta de crédito",IF(AND(P2010="Gasto",E2010="Depósitos y retiros"),"⚠ Usa tipo Transferencia",IF(AND(P2010="Resultado trading",AD2010&lt;&gt;"Cuenta de trading"),"⚠ Usa una cuenta de trading",IF(AND(G2010&lt;=0,P2010&lt;&gt;"Ajuste",P2010&lt;&gt;"Resultado trading"),"⚠ El monto debe ser positivo","✓")))))))))))))))</f>
        <v/>
      </c>
      <c r="P2010" s="52">
        <f>IF(OR(B2010="",G2010=""),"",IF(C2010="","Gasto",C2010))</f>
        <v/>
      </c>
      <c r="Q2010" s="52">
        <f>IF(P2010="","",IF(J2010&lt;&gt;"",J2010,CuentaPred&amp;""))</f>
        <v/>
      </c>
      <c r="R2010" s="52">
        <f>IF(P2010="","",IF(ISNUMBER(I2010),I2010,TasaUSD))</f>
        <v/>
      </c>
      <c r="S2010" s="53">
        <f>IF(P2010="","",IF(H2010="USD",G2010*R2010,G2010))</f>
        <v/>
      </c>
      <c r="T2010" s="53">
        <f>IF(P2010="","",IF(H2010="USD",G2010,IF(R2010&gt;0,G2010/R2010,0)))</f>
        <v/>
      </c>
      <c r="U2010" s="53">
        <f>IF(P2010="","",IF(P2010="Gasto",S2010,IF(P2010="Reembolso",-S2010,0)))</f>
        <v/>
      </c>
      <c r="V2010" s="53">
        <f>IF(P2010="","",IF(P2010="Ingreso",S2010,0))</f>
        <v/>
      </c>
      <c r="W2010" s="53">
        <f>IF(P2010="","",IF(P2010="Resultado trading",S2010,0))</f>
        <v/>
      </c>
      <c r="X2010" s="52">
        <f>IF(OR(P2010="Gasto",P2010="Reembolso"),IF(M2010&lt;&gt;"",M2010,IFERROR(INDEX(catClasif,MATCH(D2010&amp;"|"&amp;E2010,catClave,0))&amp;"","Variable")),"")</f>
        <v/>
      </c>
      <c r="Y2010" s="52">
        <f>IF(P2010="","",IFERROR(INDEX(catGrupo,MATCH(D2010&amp;"|"&amp;E2010,catClave,0))&amp;"",""))</f>
        <v/>
      </c>
      <c r="Z2010" s="52">
        <f>IF(P2010="","",WEEKDAY(B2010,2))</f>
        <v/>
      </c>
      <c r="AA2010" s="52">
        <f>IF(P2010="","",IF(AND(P2010="Gasto",X2010="Variable",D2010&lt;&gt;catTrading,S2010&gt;0,S2010&lt;=Umbral),1,0))</f>
        <v/>
      </c>
      <c r="AB2010" s="52">
        <f>IF(OR(P2010="",Q2010=""),"",IFERROR(IF(INDEX(ctaVinc,MATCH(Q2010,ctaNombre,0))&amp;""&lt;&gt;"",INDEX(ctaVinc,MATCH(Q2010,ctaNombre,0))&amp;"",Q2010),Q2010))</f>
        <v/>
      </c>
      <c r="AC2010" s="52">
        <f>IF(OR(K2010="",AND(P2010&lt;&gt;"Transferencia",P2010&lt;&gt;"Pago tarjeta")),"",IFERROR(IF(INDEX(ctaVinc,MATCH(K2010,ctaNombre,0))&amp;""&lt;&gt;"",INDEX(ctaVinc,MATCH(K2010,ctaNombre,0))&amp;"",K2010),K2010))</f>
        <v/>
      </c>
      <c r="AD2010" s="52">
        <f>IF(AB2010="","",IFERROR(INDEX(ctaTipo,MATCH(AB2010,ctaNombre,0))&amp;"",""))</f>
        <v/>
      </c>
      <c r="AE2010" s="52">
        <f>IF(AC2010="","",IFERROR(INDEX(ctaTipo,MATCH(AC2010,ctaNombre,0))&amp;"",""))</f>
        <v/>
      </c>
      <c r="AF2010" s="53">
        <f>IF(OR(P2010="",AB2010=""),"",IF(OR(P2010="Gasto",P2010="Transferencia",P2010="Pago tarjeta"),-1,1)*IF(IFERROR(INDEX(ctaMoneda,MATCH(AB2010,ctaNombre,0))&amp;"","DOP")="USD",T2010,S2010))</f>
        <v/>
      </c>
      <c r="AG2010" s="53">
        <f>IF(AC2010="","",IF(IFERROR(INDEX(ctaMoneda,MATCH(AC2010,ctaNombre,0))&amp;"","DOP")="USD",T2010,S2010))</f>
        <v/>
      </c>
      <c r="AH2010" s="53">
        <f>IF(P2010="","",IF(AND(AD2010&lt;&gt;"",COUNTIFS(tcTipo,AD2010,tcLiq,"Sí")&gt;0),IF(OR(P2010="Gasto",P2010="Transferencia",P2010="Pago tarjeta"),-1,1)*S2010,0)+IF(AND(AE2010&lt;&gt;"",COUNTIFS(tcTipo,AE2010,tcLiq,"Sí")&gt;0),S2010,0))</f>
        <v/>
      </c>
      <c r="AI2010" s="52">
        <f>IF(OR(L2010="",P2010=""),"",IF(COUNTIFS(L$6:L2010,L2010,P$6:P2010,"?*")=1,MAX(AI$5:AI2009)+1,""))</f>
        <v/>
      </c>
    </row>
    <row r="2011">
      <c r="B2011" s="47" t="n"/>
      <c r="C2011" s="48" t="n"/>
      <c r="D2011" s="48" t="n"/>
      <c r="E2011" s="48" t="n"/>
      <c r="F2011" s="48" t="n"/>
      <c r="G2011" s="49" t="n"/>
      <c r="H2011" s="48" t="n"/>
      <c r="I2011" s="50" t="n"/>
      <c r="J2011" s="48" t="n"/>
      <c r="K2011" s="48" t="n"/>
      <c r="L2011" s="48" t="n"/>
      <c r="M2011" s="48" t="n"/>
      <c r="N2011" s="48" t="n"/>
      <c r="O2011" s="51">
        <f>IF(AND(B2011="",G2011="",C2011="",D2011="",J2011=""),"",IF(B2011="","⚠ Falta fecha",IF(G2011="","⚠ Falta monto",IF(Q2011="","⚠ Falta cuenta",IF(ISNA(MATCH(Q2011,ctaNombre,0)),"⚠ Cuenta no registrada",IF(AND(OR(P2011="Gasto",P2011="Reembolso"),D2011=""),"⚠ Falta categoría",IF(AND(D2011&lt;&gt;"",E2011&lt;&gt;"",ISNA(MATCH(D2011&amp;"|"&amp;E2011,catClave,0))),"⚠ Subcategoría no corresponde",IF(AND(OR(P2011="Transferencia",P2011="Pago tarjeta"),K2011=""),"⚠ Falta cuenta destino",IF(AND(K2011&lt;&gt;"",P2011&lt;&gt;"Transferencia",P2011&lt;&gt;"Pago tarjeta"),"⚠ Destino solo aplica a transferencias",IF(AND(K2011&lt;&gt;"",K2011=Q2011),"⚠ Origen igual a destino",IF(AND(K2011&lt;&gt;"",ISNA(MATCH(K2011,ctaNombre,0))),"⚠ Destino no registrado",IF(AND(P2011="Pago tarjeta",AE2011&lt;&gt;"Tarjeta de crédito"),"⚠ El destino debe ser tarjeta de crédito",IF(AND(P2011="Gasto",E2011="Depósitos y retiros"),"⚠ Usa tipo Transferencia",IF(AND(P2011="Resultado trading",AD2011&lt;&gt;"Cuenta de trading"),"⚠ Usa una cuenta de trading",IF(AND(G2011&lt;=0,P2011&lt;&gt;"Ajuste",P2011&lt;&gt;"Resultado trading"),"⚠ El monto debe ser positivo","✓")))))))))))))))</f>
        <v/>
      </c>
      <c r="P2011" s="52">
        <f>IF(OR(B2011="",G2011=""),"",IF(C2011="","Gasto",C2011))</f>
        <v/>
      </c>
      <c r="Q2011" s="52">
        <f>IF(P2011="","",IF(J2011&lt;&gt;"",J2011,CuentaPred&amp;""))</f>
        <v/>
      </c>
      <c r="R2011" s="52">
        <f>IF(P2011="","",IF(ISNUMBER(I2011),I2011,TasaUSD))</f>
        <v/>
      </c>
      <c r="S2011" s="53">
        <f>IF(P2011="","",IF(H2011="USD",G2011*R2011,G2011))</f>
        <v/>
      </c>
      <c r="T2011" s="53">
        <f>IF(P2011="","",IF(H2011="USD",G2011,IF(R2011&gt;0,G2011/R2011,0)))</f>
        <v/>
      </c>
      <c r="U2011" s="53">
        <f>IF(P2011="","",IF(P2011="Gasto",S2011,IF(P2011="Reembolso",-S2011,0)))</f>
        <v/>
      </c>
      <c r="V2011" s="53">
        <f>IF(P2011="","",IF(P2011="Ingreso",S2011,0))</f>
        <v/>
      </c>
      <c r="W2011" s="53">
        <f>IF(P2011="","",IF(P2011="Resultado trading",S2011,0))</f>
        <v/>
      </c>
      <c r="X2011" s="52">
        <f>IF(OR(P2011="Gasto",P2011="Reembolso"),IF(M2011&lt;&gt;"",M2011,IFERROR(INDEX(catClasif,MATCH(D2011&amp;"|"&amp;E2011,catClave,0))&amp;"","Variable")),"")</f>
        <v/>
      </c>
      <c r="Y2011" s="52">
        <f>IF(P2011="","",IFERROR(INDEX(catGrupo,MATCH(D2011&amp;"|"&amp;E2011,catClave,0))&amp;"",""))</f>
        <v/>
      </c>
      <c r="Z2011" s="52">
        <f>IF(P2011="","",WEEKDAY(B2011,2))</f>
        <v/>
      </c>
      <c r="AA2011" s="52">
        <f>IF(P2011="","",IF(AND(P2011="Gasto",X2011="Variable",D2011&lt;&gt;catTrading,S2011&gt;0,S2011&lt;=Umbral),1,0))</f>
        <v/>
      </c>
      <c r="AB2011" s="52">
        <f>IF(OR(P2011="",Q2011=""),"",IFERROR(IF(INDEX(ctaVinc,MATCH(Q2011,ctaNombre,0))&amp;""&lt;&gt;"",INDEX(ctaVinc,MATCH(Q2011,ctaNombre,0))&amp;"",Q2011),Q2011))</f>
        <v/>
      </c>
      <c r="AC2011" s="52">
        <f>IF(OR(K2011="",AND(P2011&lt;&gt;"Transferencia",P2011&lt;&gt;"Pago tarjeta")),"",IFERROR(IF(INDEX(ctaVinc,MATCH(K2011,ctaNombre,0))&amp;""&lt;&gt;"",INDEX(ctaVinc,MATCH(K2011,ctaNombre,0))&amp;"",K2011),K2011))</f>
        <v/>
      </c>
      <c r="AD2011" s="52">
        <f>IF(AB2011="","",IFERROR(INDEX(ctaTipo,MATCH(AB2011,ctaNombre,0))&amp;"",""))</f>
        <v/>
      </c>
      <c r="AE2011" s="52">
        <f>IF(AC2011="","",IFERROR(INDEX(ctaTipo,MATCH(AC2011,ctaNombre,0))&amp;"",""))</f>
        <v/>
      </c>
      <c r="AF2011" s="53">
        <f>IF(OR(P2011="",AB2011=""),"",IF(OR(P2011="Gasto",P2011="Transferencia",P2011="Pago tarjeta"),-1,1)*IF(IFERROR(INDEX(ctaMoneda,MATCH(AB2011,ctaNombre,0))&amp;"","DOP")="USD",T2011,S2011))</f>
        <v/>
      </c>
      <c r="AG2011" s="53">
        <f>IF(AC2011="","",IF(IFERROR(INDEX(ctaMoneda,MATCH(AC2011,ctaNombre,0))&amp;"","DOP")="USD",T2011,S2011))</f>
        <v/>
      </c>
      <c r="AH2011" s="53">
        <f>IF(P2011="","",IF(AND(AD2011&lt;&gt;"",COUNTIFS(tcTipo,AD2011,tcLiq,"Sí")&gt;0),IF(OR(P2011="Gasto",P2011="Transferencia",P2011="Pago tarjeta"),-1,1)*S2011,0)+IF(AND(AE2011&lt;&gt;"",COUNTIFS(tcTipo,AE2011,tcLiq,"Sí")&gt;0),S2011,0))</f>
        <v/>
      </c>
      <c r="AI2011" s="52">
        <f>IF(OR(L2011="",P2011=""),"",IF(COUNTIFS(L$6:L2011,L2011,P$6:P2011,"?*")=1,MAX(AI$5:AI2010)+1,""))</f>
        <v/>
      </c>
    </row>
    <row r="2012">
      <c r="B2012" s="47" t="n"/>
      <c r="C2012" s="48" t="n"/>
      <c r="D2012" s="48" t="n"/>
      <c r="E2012" s="48" t="n"/>
      <c r="F2012" s="48" t="n"/>
      <c r="G2012" s="49" t="n"/>
      <c r="H2012" s="48" t="n"/>
      <c r="I2012" s="50" t="n"/>
      <c r="J2012" s="48" t="n"/>
      <c r="K2012" s="48" t="n"/>
      <c r="L2012" s="48" t="n"/>
      <c r="M2012" s="48" t="n"/>
      <c r="N2012" s="48" t="n"/>
      <c r="O2012" s="51">
        <f>IF(AND(B2012="",G2012="",C2012="",D2012="",J2012=""),"",IF(B2012="","⚠ Falta fecha",IF(G2012="","⚠ Falta monto",IF(Q2012="","⚠ Falta cuenta",IF(ISNA(MATCH(Q2012,ctaNombre,0)),"⚠ Cuenta no registrada",IF(AND(OR(P2012="Gasto",P2012="Reembolso"),D2012=""),"⚠ Falta categoría",IF(AND(D2012&lt;&gt;"",E2012&lt;&gt;"",ISNA(MATCH(D2012&amp;"|"&amp;E2012,catClave,0))),"⚠ Subcategoría no corresponde",IF(AND(OR(P2012="Transferencia",P2012="Pago tarjeta"),K2012=""),"⚠ Falta cuenta destino",IF(AND(K2012&lt;&gt;"",P2012&lt;&gt;"Transferencia",P2012&lt;&gt;"Pago tarjeta"),"⚠ Destino solo aplica a transferencias",IF(AND(K2012&lt;&gt;"",K2012=Q2012),"⚠ Origen igual a destino",IF(AND(K2012&lt;&gt;"",ISNA(MATCH(K2012,ctaNombre,0))),"⚠ Destino no registrado",IF(AND(P2012="Pago tarjeta",AE2012&lt;&gt;"Tarjeta de crédito"),"⚠ El destino debe ser tarjeta de crédito",IF(AND(P2012="Gasto",E2012="Depósitos y retiros"),"⚠ Usa tipo Transferencia",IF(AND(P2012="Resultado trading",AD2012&lt;&gt;"Cuenta de trading"),"⚠ Usa una cuenta de trading",IF(AND(G2012&lt;=0,P2012&lt;&gt;"Ajuste",P2012&lt;&gt;"Resultado trading"),"⚠ El monto debe ser positivo","✓")))))))))))))))</f>
        <v/>
      </c>
      <c r="P2012" s="52">
        <f>IF(OR(B2012="",G2012=""),"",IF(C2012="","Gasto",C2012))</f>
        <v/>
      </c>
      <c r="Q2012" s="52">
        <f>IF(P2012="","",IF(J2012&lt;&gt;"",J2012,CuentaPred&amp;""))</f>
        <v/>
      </c>
      <c r="R2012" s="52">
        <f>IF(P2012="","",IF(ISNUMBER(I2012),I2012,TasaUSD))</f>
        <v/>
      </c>
      <c r="S2012" s="53">
        <f>IF(P2012="","",IF(H2012="USD",G2012*R2012,G2012))</f>
        <v/>
      </c>
      <c r="T2012" s="53">
        <f>IF(P2012="","",IF(H2012="USD",G2012,IF(R2012&gt;0,G2012/R2012,0)))</f>
        <v/>
      </c>
      <c r="U2012" s="53">
        <f>IF(P2012="","",IF(P2012="Gasto",S2012,IF(P2012="Reembolso",-S2012,0)))</f>
        <v/>
      </c>
      <c r="V2012" s="53">
        <f>IF(P2012="","",IF(P2012="Ingreso",S2012,0))</f>
        <v/>
      </c>
      <c r="W2012" s="53">
        <f>IF(P2012="","",IF(P2012="Resultado trading",S2012,0))</f>
        <v/>
      </c>
      <c r="X2012" s="52">
        <f>IF(OR(P2012="Gasto",P2012="Reembolso"),IF(M2012&lt;&gt;"",M2012,IFERROR(INDEX(catClasif,MATCH(D2012&amp;"|"&amp;E2012,catClave,0))&amp;"","Variable")),"")</f>
        <v/>
      </c>
      <c r="Y2012" s="52">
        <f>IF(P2012="","",IFERROR(INDEX(catGrupo,MATCH(D2012&amp;"|"&amp;E2012,catClave,0))&amp;"",""))</f>
        <v/>
      </c>
      <c r="Z2012" s="52">
        <f>IF(P2012="","",WEEKDAY(B2012,2))</f>
        <v/>
      </c>
      <c r="AA2012" s="52">
        <f>IF(P2012="","",IF(AND(P2012="Gasto",X2012="Variable",D2012&lt;&gt;catTrading,S2012&gt;0,S2012&lt;=Umbral),1,0))</f>
        <v/>
      </c>
      <c r="AB2012" s="52">
        <f>IF(OR(P2012="",Q2012=""),"",IFERROR(IF(INDEX(ctaVinc,MATCH(Q2012,ctaNombre,0))&amp;""&lt;&gt;"",INDEX(ctaVinc,MATCH(Q2012,ctaNombre,0))&amp;"",Q2012),Q2012))</f>
        <v/>
      </c>
      <c r="AC2012" s="52">
        <f>IF(OR(K2012="",AND(P2012&lt;&gt;"Transferencia",P2012&lt;&gt;"Pago tarjeta")),"",IFERROR(IF(INDEX(ctaVinc,MATCH(K2012,ctaNombre,0))&amp;""&lt;&gt;"",INDEX(ctaVinc,MATCH(K2012,ctaNombre,0))&amp;"",K2012),K2012))</f>
        <v/>
      </c>
      <c r="AD2012" s="52">
        <f>IF(AB2012="","",IFERROR(INDEX(ctaTipo,MATCH(AB2012,ctaNombre,0))&amp;"",""))</f>
        <v/>
      </c>
      <c r="AE2012" s="52">
        <f>IF(AC2012="","",IFERROR(INDEX(ctaTipo,MATCH(AC2012,ctaNombre,0))&amp;"",""))</f>
        <v/>
      </c>
      <c r="AF2012" s="53">
        <f>IF(OR(P2012="",AB2012=""),"",IF(OR(P2012="Gasto",P2012="Transferencia",P2012="Pago tarjeta"),-1,1)*IF(IFERROR(INDEX(ctaMoneda,MATCH(AB2012,ctaNombre,0))&amp;"","DOP")="USD",T2012,S2012))</f>
        <v/>
      </c>
      <c r="AG2012" s="53">
        <f>IF(AC2012="","",IF(IFERROR(INDEX(ctaMoneda,MATCH(AC2012,ctaNombre,0))&amp;"","DOP")="USD",T2012,S2012))</f>
        <v/>
      </c>
      <c r="AH2012" s="53">
        <f>IF(P2012="","",IF(AND(AD2012&lt;&gt;"",COUNTIFS(tcTipo,AD2012,tcLiq,"Sí")&gt;0),IF(OR(P2012="Gasto",P2012="Transferencia",P2012="Pago tarjeta"),-1,1)*S2012,0)+IF(AND(AE2012&lt;&gt;"",COUNTIFS(tcTipo,AE2012,tcLiq,"Sí")&gt;0),S2012,0))</f>
        <v/>
      </c>
      <c r="AI2012" s="52">
        <f>IF(OR(L2012="",P2012=""),"",IF(COUNTIFS(L$6:L2012,L2012,P$6:P2012,"?*")=1,MAX(AI$5:AI2011)+1,""))</f>
        <v/>
      </c>
    </row>
    <row r="2013">
      <c r="B2013" s="47" t="n"/>
      <c r="C2013" s="48" t="n"/>
      <c r="D2013" s="48" t="n"/>
      <c r="E2013" s="48" t="n"/>
      <c r="F2013" s="48" t="n"/>
      <c r="G2013" s="49" t="n"/>
      <c r="H2013" s="48" t="n"/>
      <c r="I2013" s="50" t="n"/>
      <c r="J2013" s="48" t="n"/>
      <c r="K2013" s="48" t="n"/>
      <c r="L2013" s="48" t="n"/>
      <c r="M2013" s="48" t="n"/>
      <c r="N2013" s="48" t="n"/>
      <c r="O2013" s="51">
        <f>IF(AND(B2013="",G2013="",C2013="",D2013="",J2013=""),"",IF(B2013="","⚠ Falta fecha",IF(G2013="","⚠ Falta monto",IF(Q2013="","⚠ Falta cuenta",IF(ISNA(MATCH(Q2013,ctaNombre,0)),"⚠ Cuenta no registrada",IF(AND(OR(P2013="Gasto",P2013="Reembolso"),D2013=""),"⚠ Falta categoría",IF(AND(D2013&lt;&gt;"",E2013&lt;&gt;"",ISNA(MATCH(D2013&amp;"|"&amp;E2013,catClave,0))),"⚠ Subcategoría no corresponde",IF(AND(OR(P2013="Transferencia",P2013="Pago tarjeta"),K2013=""),"⚠ Falta cuenta destino",IF(AND(K2013&lt;&gt;"",P2013&lt;&gt;"Transferencia",P2013&lt;&gt;"Pago tarjeta"),"⚠ Destino solo aplica a transferencias",IF(AND(K2013&lt;&gt;"",K2013=Q2013),"⚠ Origen igual a destino",IF(AND(K2013&lt;&gt;"",ISNA(MATCH(K2013,ctaNombre,0))),"⚠ Destino no registrado",IF(AND(P2013="Pago tarjeta",AE2013&lt;&gt;"Tarjeta de crédito"),"⚠ El destino debe ser tarjeta de crédito",IF(AND(P2013="Gasto",E2013="Depósitos y retiros"),"⚠ Usa tipo Transferencia",IF(AND(P2013="Resultado trading",AD2013&lt;&gt;"Cuenta de trading"),"⚠ Usa una cuenta de trading",IF(AND(G2013&lt;=0,P2013&lt;&gt;"Ajuste",P2013&lt;&gt;"Resultado trading"),"⚠ El monto debe ser positivo","✓")))))))))))))))</f>
        <v/>
      </c>
      <c r="P2013" s="52">
        <f>IF(OR(B2013="",G2013=""),"",IF(C2013="","Gasto",C2013))</f>
        <v/>
      </c>
      <c r="Q2013" s="52">
        <f>IF(P2013="","",IF(J2013&lt;&gt;"",J2013,CuentaPred&amp;""))</f>
        <v/>
      </c>
      <c r="R2013" s="52">
        <f>IF(P2013="","",IF(ISNUMBER(I2013),I2013,TasaUSD))</f>
        <v/>
      </c>
      <c r="S2013" s="53">
        <f>IF(P2013="","",IF(H2013="USD",G2013*R2013,G2013))</f>
        <v/>
      </c>
      <c r="T2013" s="53">
        <f>IF(P2013="","",IF(H2013="USD",G2013,IF(R2013&gt;0,G2013/R2013,0)))</f>
        <v/>
      </c>
      <c r="U2013" s="53">
        <f>IF(P2013="","",IF(P2013="Gasto",S2013,IF(P2013="Reembolso",-S2013,0)))</f>
        <v/>
      </c>
      <c r="V2013" s="53">
        <f>IF(P2013="","",IF(P2013="Ingreso",S2013,0))</f>
        <v/>
      </c>
      <c r="W2013" s="53">
        <f>IF(P2013="","",IF(P2013="Resultado trading",S2013,0))</f>
        <v/>
      </c>
      <c r="X2013" s="52">
        <f>IF(OR(P2013="Gasto",P2013="Reembolso"),IF(M2013&lt;&gt;"",M2013,IFERROR(INDEX(catClasif,MATCH(D2013&amp;"|"&amp;E2013,catClave,0))&amp;"","Variable")),"")</f>
        <v/>
      </c>
      <c r="Y2013" s="52">
        <f>IF(P2013="","",IFERROR(INDEX(catGrupo,MATCH(D2013&amp;"|"&amp;E2013,catClave,0))&amp;"",""))</f>
        <v/>
      </c>
      <c r="Z2013" s="52">
        <f>IF(P2013="","",WEEKDAY(B2013,2))</f>
        <v/>
      </c>
      <c r="AA2013" s="52">
        <f>IF(P2013="","",IF(AND(P2013="Gasto",X2013="Variable",D2013&lt;&gt;catTrading,S2013&gt;0,S2013&lt;=Umbral),1,0))</f>
        <v/>
      </c>
      <c r="AB2013" s="52">
        <f>IF(OR(P2013="",Q2013=""),"",IFERROR(IF(INDEX(ctaVinc,MATCH(Q2013,ctaNombre,0))&amp;""&lt;&gt;"",INDEX(ctaVinc,MATCH(Q2013,ctaNombre,0))&amp;"",Q2013),Q2013))</f>
        <v/>
      </c>
      <c r="AC2013" s="52">
        <f>IF(OR(K2013="",AND(P2013&lt;&gt;"Transferencia",P2013&lt;&gt;"Pago tarjeta")),"",IFERROR(IF(INDEX(ctaVinc,MATCH(K2013,ctaNombre,0))&amp;""&lt;&gt;"",INDEX(ctaVinc,MATCH(K2013,ctaNombre,0))&amp;"",K2013),K2013))</f>
        <v/>
      </c>
      <c r="AD2013" s="52">
        <f>IF(AB2013="","",IFERROR(INDEX(ctaTipo,MATCH(AB2013,ctaNombre,0))&amp;"",""))</f>
        <v/>
      </c>
      <c r="AE2013" s="52">
        <f>IF(AC2013="","",IFERROR(INDEX(ctaTipo,MATCH(AC2013,ctaNombre,0))&amp;"",""))</f>
        <v/>
      </c>
      <c r="AF2013" s="53">
        <f>IF(OR(P2013="",AB2013=""),"",IF(OR(P2013="Gasto",P2013="Transferencia",P2013="Pago tarjeta"),-1,1)*IF(IFERROR(INDEX(ctaMoneda,MATCH(AB2013,ctaNombre,0))&amp;"","DOP")="USD",T2013,S2013))</f>
        <v/>
      </c>
      <c r="AG2013" s="53">
        <f>IF(AC2013="","",IF(IFERROR(INDEX(ctaMoneda,MATCH(AC2013,ctaNombre,0))&amp;"","DOP")="USD",T2013,S2013))</f>
        <v/>
      </c>
      <c r="AH2013" s="53">
        <f>IF(P2013="","",IF(AND(AD2013&lt;&gt;"",COUNTIFS(tcTipo,AD2013,tcLiq,"Sí")&gt;0),IF(OR(P2013="Gasto",P2013="Transferencia",P2013="Pago tarjeta"),-1,1)*S2013,0)+IF(AND(AE2013&lt;&gt;"",COUNTIFS(tcTipo,AE2013,tcLiq,"Sí")&gt;0),S2013,0))</f>
        <v/>
      </c>
      <c r="AI2013" s="52">
        <f>IF(OR(L2013="",P2013=""),"",IF(COUNTIFS(L$6:L2013,L2013,P$6:P2013,"?*")=1,MAX(AI$5:AI2012)+1,""))</f>
        <v/>
      </c>
    </row>
    <row r="2014">
      <c r="B2014" s="47" t="n"/>
      <c r="C2014" s="48" t="n"/>
      <c r="D2014" s="48" t="n"/>
      <c r="E2014" s="48" t="n"/>
      <c r="F2014" s="48" t="n"/>
      <c r="G2014" s="49" t="n"/>
      <c r="H2014" s="48" t="n"/>
      <c r="I2014" s="50" t="n"/>
      <c r="J2014" s="48" t="n"/>
      <c r="K2014" s="48" t="n"/>
      <c r="L2014" s="48" t="n"/>
      <c r="M2014" s="48" t="n"/>
      <c r="N2014" s="48" t="n"/>
      <c r="O2014" s="51">
        <f>IF(AND(B2014="",G2014="",C2014="",D2014="",J2014=""),"",IF(B2014="","⚠ Falta fecha",IF(G2014="","⚠ Falta monto",IF(Q2014="","⚠ Falta cuenta",IF(ISNA(MATCH(Q2014,ctaNombre,0)),"⚠ Cuenta no registrada",IF(AND(OR(P2014="Gasto",P2014="Reembolso"),D2014=""),"⚠ Falta categoría",IF(AND(D2014&lt;&gt;"",E2014&lt;&gt;"",ISNA(MATCH(D2014&amp;"|"&amp;E2014,catClave,0))),"⚠ Subcategoría no corresponde",IF(AND(OR(P2014="Transferencia",P2014="Pago tarjeta"),K2014=""),"⚠ Falta cuenta destino",IF(AND(K2014&lt;&gt;"",P2014&lt;&gt;"Transferencia",P2014&lt;&gt;"Pago tarjeta"),"⚠ Destino solo aplica a transferencias",IF(AND(K2014&lt;&gt;"",K2014=Q2014),"⚠ Origen igual a destino",IF(AND(K2014&lt;&gt;"",ISNA(MATCH(K2014,ctaNombre,0))),"⚠ Destino no registrado",IF(AND(P2014="Pago tarjeta",AE2014&lt;&gt;"Tarjeta de crédito"),"⚠ El destino debe ser tarjeta de crédito",IF(AND(P2014="Gasto",E2014="Depósitos y retiros"),"⚠ Usa tipo Transferencia",IF(AND(P2014="Resultado trading",AD2014&lt;&gt;"Cuenta de trading"),"⚠ Usa una cuenta de trading",IF(AND(G2014&lt;=0,P2014&lt;&gt;"Ajuste",P2014&lt;&gt;"Resultado trading"),"⚠ El monto debe ser positivo","✓")))))))))))))))</f>
        <v/>
      </c>
      <c r="P2014" s="52">
        <f>IF(OR(B2014="",G2014=""),"",IF(C2014="","Gasto",C2014))</f>
        <v/>
      </c>
      <c r="Q2014" s="52">
        <f>IF(P2014="","",IF(J2014&lt;&gt;"",J2014,CuentaPred&amp;""))</f>
        <v/>
      </c>
      <c r="R2014" s="52">
        <f>IF(P2014="","",IF(ISNUMBER(I2014),I2014,TasaUSD))</f>
        <v/>
      </c>
      <c r="S2014" s="53">
        <f>IF(P2014="","",IF(H2014="USD",G2014*R2014,G2014))</f>
        <v/>
      </c>
      <c r="T2014" s="53">
        <f>IF(P2014="","",IF(H2014="USD",G2014,IF(R2014&gt;0,G2014/R2014,0)))</f>
        <v/>
      </c>
      <c r="U2014" s="53">
        <f>IF(P2014="","",IF(P2014="Gasto",S2014,IF(P2014="Reembolso",-S2014,0)))</f>
        <v/>
      </c>
      <c r="V2014" s="53">
        <f>IF(P2014="","",IF(P2014="Ingreso",S2014,0))</f>
        <v/>
      </c>
      <c r="W2014" s="53">
        <f>IF(P2014="","",IF(P2014="Resultado trading",S2014,0))</f>
        <v/>
      </c>
      <c r="X2014" s="52">
        <f>IF(OR(P2014="Gasto",P2014="Reembolso"),IF(M2014&lt;&gt;"",M2014,IFERROR(INDEX(catClasif,MATCH(D2014&amp;"|"&amp;E2014,catClave,0))&amp;"","Variable")),"")</f>
        <v/>
      </c>
      <c r="Y2014" s="52">
        <f>IF(P2014="","",IFERROR(INDEX(catGrupo,MATCH(D2014&amp;"|"&amp;E2014,catClave,0))&amp;"",""))</f>
        <v/>
      </c>
      <c r="Z2014" s="52">
        <f>IF(P2014="","",WEEKDAY(B2014,2))</f>
        <v/>
      </c>
      <c r="AA2014" s="52">
        <f>IF(P2014="","",IF(AND(P2014="Gasto",X2014="Variable",D2014&lt;&gt;catTrading,S2014&gt;0,S2014&lt;=Umbral),1,0))</f>
        <v/>
      </c>
      <c r="AB2014" s="52">
        <f>IF(OR(P2014="",Q2014=""),"",IFERROR(IF(INDEX(ctaVinc,MATCH(Q2014,ctaNombre,0))&amp;""&lt;&gt;"",INDEX(ctaVinc,MATCH(Q2014,ctaNombre,0))&amp;"",Q2014),Q2014))</f>
        <v/>
      </c>
      <c r="AC2014" s="52">
        <f>IF(OR(K2014="",AND(P2014&lt;&gt;"Transferencia",P2014&lt;&gt;"Pago tarjeta")),"",IFERROR(IF(INDEX(ctaVinc,MATCH(K2014,ctaNombre,0))&amp;""&lt;&gt;"",INDEX(ctaVinc,MATCH(K2014,ctaNombre,0))&amp;"",K2014),K2014))</f>
        <v/>
      </c>
      <c r="AD2014" s="52">
        <f>IF(AB2014="","",IFERROR(INDEX(ctaTipo,MATCH(AB2014,ctaNombre,0))&amp;"",""))</f>
        <v/>
      </c>
      <c r="AE2014" s="52">
        <f>IF(AC2014="","",IFERROR(INDEX(ctaTipo,MATCH(AC2014,ctaNombre,0))&amp;"",""))</f>
        <v/>
      </c>
      <c r="AF2014" s="53">
        <f>IF(OR(P2014="",AB2014=""),"",IF(OR(P2014="Gasto",P2014="Transferencia",P2014="Pago tarjeta"),-1,1)*IF(IFERROR(INDEX(ctaMoneda,MATCH(AB2014,ctaNombre,0))&amp;"","DOP")="USD",T2014,S2014))</f>
        <v/>
      </c>
      <c r="AG2014" s="53">
        <f>IF(AC2014="","",IF(IFERROR(INDEX(ctaMoneda,MATCH(AC2014,ctaNombre,0))&amp;"","DOP")="USD",T2014,S2014))</f>
        <v/>
      </c>
      <c r="AH2014" s="53">
        <f>IF(P2014="","",IF(AND(AD2014&lt;&gt;"",COUNTIFS(tcTipo,AD2014,tcLiq,"Sí")&gt;0),IF(OR(P2014="Gasto",P2014="Transferencia",P2014="Pago tarjeta"),-1,1)*S2014,0)+IF(AND(AE2014&lt;&gt;"",COUNTIFS(tcTipo,AE2014,tcLiq,"Sí")&gt;0),S2014,0))</f>
        <v/>
      </c>
      <c r="AI2014" s="52">
        <f>IF(OR(L2014="",P2014=""),"",IF(COUNTIFS(L$6:L2014,L2014,P$6:P2014,"?*")=1,MAX(AI$5:AI2013)+1,""))</f>
        <v/>
      </c>
    </row>
    <row r="2015">
      <c r="B2015" s="47" t="n"/>
      <c r="C2015" s="48" t="n"/>
      <c r="D2015" s="48" t="n"/>
      <c r="E2015" s="48" t="n"/>
      <c r="F2015" s="48" t="n"/>
      <c r="G2015" s="49" t="n"/>
      <c r="H2015" s="48" t="n"/>
      <c r="I2015" s="50" t="n"/>
      <c r="J2015" s="48" t="n"/>
      <c r="K2015" s="48" t="n"/>
      <c r="L2015" s="48" t="n"/>
      <c r="M2015" s="48" t="n"/>
      <c r="N2015" s="48" t="n"/>
      <c r="O2015" s="51">
        <f>IF(AND(B2015="",G2015="",C2015="",D2015="",J2015=""),"",IF(B2015="","⚠ Falta fecha",IF(G2015="","⚠ Falta monto",IF(Q2015="","⚠ Falta cuenta",IF(ISNA(MATCH(Q2015,ctaNombre,0)),"⚠ Cuenta no registrada",IF(AND(OR(P2015="Gasto",P2015="Reembolso"),D2015=""),"⚠ Falta categoría",IF(AND(D2015&lt;&gt;"",E2015&lt;&gt;"",ISNA(MATCH(D2015&amp;"|"&amp;E2015,catClave,0))),"⚠ Subcategoría no corresponde",IF(AND(OR(P2015="Transferencia",P2015="Pago tarjeta"),K2015=""),"⚠ Falta cuenta destino",IF(AND(K2015&lt;&gt;"",P2015&lt;&gt;"Transferencia",P2015&lt;&gt;"Pago tarjeta"),"⚠ Destino solo aplica a transferencias",IF(AND(K2015&lt;&gt;"",K2015=Q2015),"⚠ Origen igual a destino",IF(AND(K2015&lt;&gt;"",ISNA(MATCH(K2015,ctaNombre,0))),"⚠ Destino no registrado",IF(AND(P2015="Pago tarjeta",AE2015&lt;&gt;"Tarjeta de crédito"),"⚠ El destino debe ser tarjeta de crédito",IF(AND(P2015="Gasto",E2015="Depósitos y retiros"),"⚠ Usa tipo Transferencia",IF(AND(P2015="Resultado trading",AD2015&lt;&gt;"Cuenta de trading"),"⚠ Usa una cuenta de trading",IF(AND(G2015&lt;=0,P2015&lt;&gt;"Ajuste",P2015&lt;&gt;"Resultado trading"),"⚠ El monto debe ser positivo","✓")))))))))))))))</f>
        <v/>
      </c>
      <c r="P2015" s="52">
        <f>IF(OR(B2015="",G2015=""),"",IF(C2015="","Gasto",C2015))</f>
        <v/>
      </c>
      <c r="Q2015" s="52">
        <f>IF(P2015="","",IF(J2015&lt;&gt;"",J2015,CuentaPred&amp;""))</f>
        <v/>
      </c>
      <c r="R2015" s="52">
        <f>IF(P2015="","",IF(ISNUMBER(I2015),I2015,TasaUSD))</f>
        <v/>
      </c>
      <c r="S2015" s="53">
        <f>IF(P2015="","",IF(H2015="USD",G2015*R2015,G2015))</f>
        <v/>
      </c>
      <c r="T2015" s="53">
        <f>IF(P2015="","",IF(H2015="USD",G2015,IF(R2015&gt;0,G2015/R2015,0)))</f>
        <v/>
      </c>
      <c r="U2015" s="53">
        <f>IF(P2015="","",IF(P2015="Gasto",S2015,IF(P2015="Reembolso",-S2015,0)))</f>
        <v/>
      </c>
      <c r="V2015" s="53">
        <f>IF(P2015="","",IF(P2015="Ingreso",S2015,0))</f>
        <v/>
      </c>
      <c r="W2015" s="53">
        <f>IF(P2015="","",IF(P2015="Resultado trading",S2015,0))</f>
        <v/>
      </c>
      <c r="X2015" s="52">
        <f>IF(OR(P2015="Gasto",P2015="Reembolso"),IF(M2015&lt;&gt;"",M2015,IFERROR(INDEX(catClasif,MATCH(D2015&amp;"|"&amp;E2015,catClave,0))&amp;"","Variable")),"")</f>
        <v/>
      </c>
      <c r="Y2015" s="52">
        <f>IF(P2015="","",IFERROR(INDEX(catGrupo,MATCH(D2015&amp;"|"&amp;E2015,catClave,0))&amp;"",""))</f>
        <v/>
      </c>
      <c r="Z2015" s="52">
        <f>IF(P2015="","",WEEKDAY(B2015,2))</f>
        <v/>
      </c>
      <c r="AA2015" s="52">
        <f>IF(P2015="","",IF(AND(P2015="Gasto",X2015="Variable",D2015&lt;&gt;catTrading,S2015&gt;0,S2015&lt;=Umbral),1,0))</f>
        <v/>
      </c>
      <c r="AB2015" s="52">
        <f>IF(OR(P2015="",Q2015=""),"",IFERROR(IF(INDEX(ctaVinc,MATCH(Q2015,ctaNombre,0))&amp;""&lt;&gt;"",INDEX(ctaVinc,MATCH(Q2015,ctaNombre,0))&amp;"",Q2015),Q2015))</f>
        <v/>
      </c>
      <c r="AC2015" s="52">
        <f>IF(OR(K2015="",AND(P2015&lt;&gt;"Transferencia",P2015&lt;&gt;"Pago tarjeta")),"",IFERROR(IF(INDEX(ctaVinc,MATCH(K2015,ctaNombre,0))&amp;""&lt;&gt;"",INDEX(ctaVinc,MATCH(K2015,ctaNombre,0))&amp;"",K2015),K2015))</f>
        <v/>
      </c>
      <c r="AD2015" s="52">
        <f>IF(AB2015="","",IFERROR(INDEX(ctaTipo,MATCH(AB2015,ctaNombre,0))&amp;"",""))</f>
        <v/>
      </c>
      <c r="AE2015" s="52">
        <f>IF(AC2015="","",IFERROR(INDEX(ctaTipo,MATCH(AC2015,ctaNombre,0))&amp;"",""))</f>
        <v/>
      </c>
      <c r="AF2015" s="53">
        <f>IF(OR(P2015="",AB2015=""),"",IF(OR(P2015="Gasto",P2015="Transferencia",P2015="Pago tarjeta"),-1,1)*IF(IFERROR(INDEX(ctaMoneda,MATCH(AB2015,ctaNombre,0))&amp;"","DOP")="USD",T2015,S2015))</f>
        <v/>
      </c>
      <c r="AG2015" s="53">
        <f>IF(AC2015="","",IF(IFERROR(INDEX(ctaMoneda,MATCH(AC2015,ctaNombre,0))&amp;"","DOP")="USD",T2015,S2015))</f>
        <v/>
      </c>
      <c r="AH2015" s="53">
        <f>IF(P2015="","",IF(AND(AD2015&lt;&gt;"",COUNTIFS(tcTipo,AD2015,tcLiq,"Sí")&gt;0),IF(OR(P2015="Gasto",P2015="Transferencia",P2015="Pago tarjeta"),-1,1)*S2015,0)+IF(AND(AE2015&lt;&gt;"",COUNTIFS(tcTipo,AE2015,tcLiq,"Sí")&gt;0),S2015,0))</f>
        <v/>
      </c>
      <c r="AI2015" s="52">
        <f>IF(OR(L2015="",P2015=""),"",IF(COUNTIFS(L$6:L2015,L2015,P$6:P2015,"?*")=1,MAX(AI$5:AI2014)+1,""))</f>
        <v/>
      </c>
    </row>
    <row r="2016">
      <c r="B2016" s="47" t="n"/>
      <c r="C2016" s="48" t="n"/>
      <c r="D2016" s="48" t="n"/>
      <c r="E2016" s="48" t="n"/>
      <c r="F2016" s="48" t="n"/>
      <c r="G2016" s="49" t="n"/>
      <c r="H2016" s="48" t="n"/>
      <c r="I2016" s="50" t="n"/>
      <c r="J2016" s="48" t="n"/>
      <c r="K2016" s="48" t="n"/>
      <c r="L2016" s="48" t="n"/>
      <c r="M2016" s="48" t="n"/>
      <c r="N2016" s="48" t="n"/>
      <c r="O2016" s="51">
        <f>IF(AND(B2016="",G2016="",C2016="",D2016="",J2016=""),"",IF(B2016="","⚠ Falta fecha",IF(G2016="","⚠ Falta monto",IF(Q2016="","⚠ Falta cuenta",IF(ISNA(MATCH(Q2016,ctaNombre,0)),"⚠ Cuenta no registrada",IF(AND(OR(P2016="Gasto",P2016="Reembolso"),D2016=""),"⚠ Falta categoría",IF(AND(D2016&lt;&gt;"",E2016&lt;&gt;"",ISNA(MATCH(D2016&amp;"|"&amp;E2016,catClave,0))),"⚠ Subcategoría no corresponde",IF(AND(OR(P2016="Transferencia",P2016="Pago tarjeta"),K2016=""),"⚠ Falta cuenta destino",IF(AND(K2016&lt;&gt;"",P2016&lt;&gt;"Transferencia",P2016&lt;&gt;"Pago tarjeta"),"⚠ Destino solo aplica a transferencias",IF(AND(K2016&lt;&gt;"",K2016=Q2016),"⚠ Origen igual a destino",IF(AND(K2016&lt;&gt;"",ISNA(MATCH(K2016,ctaNombre,0))),"⚠ Destino no registrado",IF(AND(P2016="Pago tarjeta",AE2016&lt;&gt;"Tarjeta de crédito"),"⚠ El destino debe ser tarjeta de crédito",IF(AND(P2016="Gasto",E2016="Depósitos y retiros"),"⚠ Usa tipo Transferencia",IF(AND(P2016="Resultado trading",AD2016&lt;&gt;"Cuenta de trading"),"⚠ Usa una cuenta de trading",IF(AND(G2016&lt;=0,P2016&lt;&gt;"Ajuste",P2016&lt;&gt;"Resultado trading"),"⚠ El monto debe ser positivo","✓")))))))))))))))</f>
        <v/>
      </c>
      <c r="P2016" s="52">
        <f>IF(OR(B2016="",G2016=""),"",IF(C2016="","Gasto",C2016))</f>
        <v/>
      </c>
      <c r="Q2016" s="52">
        <f>IF(P2016="","",IF(J2016&lt;&gt;"",J2016,CuentaPred&amp;""))</f>
        <v/>
      </c>
      <c r="R2016" s="52">
        <f>IF(P2016="","",IF(ISNUMBER(I2016),I2016,TasaUSD))</f>
        <v/>
      </c>
      <c r="S2016" s="53">
        <f>IF(P2016="","",IF(H2016="USD",G2016*R2016,G2016))</f>
        <v/>
      </c>
      <c r="T2016" s="53">
        <f>IF(P2016="","",IF(H2016="USD",G2016,IF(R2016&gt;0,G2016/R2016,0)))</f>
        <v/>
      </c>
      <c r="U2016" s="53">
        <f>IF(P2016="","",IF(P2016="Gasto",S2016,IF(P2016="Reembolso",-S2016,0)))</f>
        <v/>
      </c>
      <c r="V2016" s="53">
        <f>IF(P2016="","",IF(P2016="Ingreso",S2016,0))</f>
        <v/>
      </c>
      <c r="W2016" s="53">
        <f>IF(P2016="","",IF(P2016="Resultado trading",S2016,0))</f>
        <v/>
      </c>
      <c r="X2016" s="52">
        <f>IF(OR(P2016="Gasto",P2016="Reembolso"),IF(M2016&lt;&gt;"",M2016,IFERROR(INDEX(catClasif,MATCH(D2016&amp;"|"&amp;E2016,catClave,0))&amp;"","Variable")),"")</f>
        <v/>
      </c>
      <c r="Y2016" s="52">
        <f>IF(P2016="","",IFERROR(INDEX(catGrupo,MATCH(D2016&amp;"|"&amp;E2016,catClave,0))&amp;"",""))</f>
        <v/>
      </c>
      <c r="Z2016" s="52">
        <f>IF(P2016="","",WEEKDAY(B2016,2))</f>
        <v/>
      </c>
      <c r="AA2016" s="52">
        <f>IF(P2016="","",IF(AND(P2016="Gasto",X2016="Variable",D2016&lt;&gt;catTrading,S2016&gt;0,S2016&lt;=Umbral),1,0))</f>
        <v/>
      </c>
      <c r="AB2016" s="52">
        <f>IF(OR(P2016="",Q2016=""),"",IFERROR(IF(INDEX(ctaVinc,MATCH(Q2016,ctaNombre,0))&amp;""&lt;&gt;"",INDEX(ctaVinc,MATCH(Q2016,ctaNombre,0))&amp;"",Q2016),Q2016))</f>
        <v/>
      </c>
      <c r="AC2016" s="52">
        <f>IF(OR(K2016="",AND(P2016&lt;&gt;"Transferencia",P2016&lt;&gt;"Pago tarjeta")),"",IFERROR(IF(INDEX(ctaVinc,MATCH(K2016,ctaNombre,0))&amp;""&lt;&gt;"",INDEX(ctaVinc,MATCH(K2016,ctaNombre,0))&amp;"",K2016),K2016))</f>
        <v/>
      </c>
      <c r="AD2016" s="52">
        <f>IF(AB2016="","",IFERROR(INDEX(ctaTipo,MATCH(AB2016,ctaNombre,0))&amp;"",""))</f>
        <v/>
      </c>
      <c r="AE2016" s="52">
        <f>IF(AC2016="","",IFERROR(INDEX(ctaTipo,MATCH(AC2016,ctaNombre,0))&amp;"",""))</f>
        <v/>
      </c>
      <c r="AF2016" s="53">
        <f>IF(OR(P2016="",AB2016=""),"",IF(OR(P2016="Gasto",P2016="Transferencia",P2016="Pago tarjeta"),-1,1)*IF(IFERROR(INDEX(ctaMoneda,MATCH(AB2016,ctaNombre,0))&amp;"","DOP")="USD",T2016,S2016))</f>
        <v/>
      </c>
      <c r="AG2016" s="53">
        <f>IF(AC2016="","",IF(IFERROR(INDEX(ctaMoneda,MATCH(AC2016,ctaNombre,0))&amp;"","DOP")="USD",T2016,S2016))</f>
        <v/>
      </c>
      <c r="AH2016" s="53">
        <f>IF(P2016="","",IF(AND(AD2016&lt;&gt;"",COUNTIFS(tcTipo,AD2016,tcLiq,"Sí")&gt;0),IF(OR(P2016="Gasto",P2016="Transferencia",P2016="Pago tarjeta"),-1,1)*S2016,0)+IF(AND(AE2016&lt;&gt;"",COUNTIFS(tcTipo,AE2016,tcLiq,"Sí")&gt;0),S2016,0))</f>
        <v/>
      </c>
      <c r="AI2016" s="52">
        <f>IF(OR(L2016="",P2016=""),"",IF(COUNTIFS(L$6:L2016,L2016,P$6:P2016,"?*")=1,MAX(AI$5:AI2015)+1,""))</f>
        <v/>
      </c>
    </row>
    <row r="2017">
      <c r="B2017" s="47" t="n"/>
      <c r="C2017" s="48" t="n"/>
      <c r="D2017" s="48" t="n"/>
      <c r="E2017" s="48" t="n"/>
      <c r="F2017" s="48" t="n"/>
      <c r="G2017" s="49" t="n"/>
      <c r="H2017" s="48" t="n"/>
      <c r="I2017" s="50" t="n"/>
      <c r="J2017" s="48" t="n"/>
      <c r="K2017" s="48" t="n"/>
      <c r="L2017" s="48" t="n"/>
      <c r="M2017" s="48" t="n"/>
      <c r="N2017" s="48" t="n"/>
      <c r="O2017" s="51">
        <f>IF(AND(B2017="",G2017="",C2017="",D2017="",J2017=""),"",IF(B2017="","⚠ Falta fecha",IF(G2017="","⚠ Falta monto",IF(Q2017="","⚠ Falta cuenta",IF(ISNA(MATCH(Q2017,ctaNombre,0)),"⚠ Cuenta no registrada",IF(AND(OR(P2017="Gasto",P2017="Reembolso"),D2017=""),"⚠ Falta categoría",IF(AND(D2017&lt;&gt;"",E2017&lt;&gt;"",ISNA(MATCH(D2017&amp;"|"&amp;E2017,catClave,0))),"⚠ Subcategoría no corresponde",IF(AND(OR(P2017="Transferencia",P2017="Pago tarjeta"),K2017=""),"⚠ Falta cuenta destino",IF(AND(K2017&lt;&gt;"",P2017&lt;&gt;"Transferencia",P2017&lt;&gt;"Pago tarjeta"),"⚠ Destino solo aplica a transferencias",IF(AND(K2017&lt;&gt;"",K2017=Q2017),"⚠ Origen igual a destino",IF(AND(K2017&lt;&gt;"",ISNA(MATCH(K2017,ctaNombre,0))),"⚠ Destino no registrado",IF(AND(P2017="Pago tarjeta",AE2017&lt;&gt;"Tarjeta de crédito"),"⚠ El destino debe ser tarjeta de crédito",IF(AND(P2017="Gasto",E2017="Depósitos y retiros"),"⚠ Usa tipo Transferencia",IF(AND(P2017="Resultado trading",AD2017&lt;&gt;"Cuenta de trading"),"⚠ Usa una cuenta de trading",IF(AND(G2017&lt;=0,P2017&lt;&gt;"Ajuste",P2017&lt;&gt;"Resultado trading"),"⚠ El monto debe ser positivo","✓")))))))))))))))</f>
        <v/>
      </c>
      <c r="P2017" s="52">
        <f>IF(OR(B2017="",G2017=""),"",IF(C2017="","Gasto",C2017))</f>
        <v/>
      </c>
      <c r="Q2017" s="52">
        <f>IF(P2017="","",IF(J2017&lt;&gt;"",J2017,CuentaPred&amp;""))</f>
        <v/>
      </c>
      <c r="R2017" s="52">
        <f>IF(P2017="","",IF(ISNUMBER(I2017),I2017,TasaUSD))</f>
        <v/>
      </c>
      <c r="S2017" s="53">
        <f>IF(P2017="","",IF(H2017="USD",G2017*R2017,G2017))</f>
        <v/>
      </c>
      <c r="T2017" s="53">
        <f>IF(P2017="","",IF(H2017="USD",G2017,IF(R2017&gt;0,G2017/R2017,0)))</f>
        <v/>
      </c>
      <c r="U2017" s="53">
        <f>IF(P2017="","",IF(P2017="Gasto",S2017,IF(P2017="Reembolso",-S2017,0)))</f>
        <v/>
      </c>
      <c r="V2017" s="53">
        <f>IF(P2017="","",IF(P2017="Ingreso",S2017,0))</f>
        <v/>
      </c>
      <c r="W2017" s="53">
        <f>IF(P2017="","",IF(P2017="Resultado trading",S2017,0))</f>
        <v/>
      </c>
      <c r="X2017" s="52">
        <f>IF(OR(P2017="Gasto",P2017="Reembolso"),IF(M2017&lt;&gt;"",M2017,IFERROR(INDEX(catClasif,MATCH(D2017&amp;"|"&amp;E2017,catClave,0))&amp;"","Variable")),"")</f>
        <v/>
      </c>
      <c r="Y2017" s="52">
        <f>IF(P2017="","",IFERROR(INDEX(catGrupo,MATCH(D2017&amp;"|"&amp;E2017,catClave,0))&amp;"",""))</f>
        <v/>
      </c>
      <c r="Z2017" s="52">
        <f>IF(P2017="","",WEEKDAY(B2017,2))</f>
        <v/>
      </c>
      <c r="AA2017" s="52">
        <f>IF(P2017="","",IF(AND(P2017="Gasto",X2017="Variable",D2017&lt;&gt;catTrading,S2017&gt;0,S2017&lt;=Umbral),1,0))</f>
        <v/>
      </c>
      <c r="AB2017" s="52">
        <f>IF(OR(P2017="",Q2017=""),"",IFERROR(IF(INDEX(ctaVinc,MATCH(Q2017,ctaNombre,0))&amp;""&lt;&gt;"",INDEX(ctaVinc,MATCH(Q2017,ctaNombre,0))&amp;"",Q2017),Q2017))</f>
        <v/>
      </c>
      <c r="AC2017" s="52">
        <f>IF(OR(K2017="",AND(P2017&lt;&gt;"Transferencia",P2017&lt;&gt;"Pago tarjeta")),"",IFERROR(IF(INDEX(ctaVinc,MATCH(K2017,ctaNombre,0))&amp;""&lt;&gt;"",INDEX(ctaVinc,MATCH(K2017,ctaNombre,0))&amp;"",K2017),K2017))</f>
        <v/>
      </c>
      <c r="AD2017" s="52">
        <f>IF(AB2017="","",IFERROR(INDEX(ctaTipo,MATCH(AB2017,ctaNombre,0))&amp;"",""))</f>
        <v/>
      </c>
      <c r="AE2017" s="52">
        <f>IF(AC2017="","",IFERROR(INDEX(ctaTipo,MATCH(AC2017,ctaNombre,0))&amp;"",""))</f>
        <v/>
      </c>
      <c r="AF2017" s="53">
        <f>IF(OR(P2017="",AB2017=""),"",IF(OR(P2017="Gasto",P2017="Transferencia",P2017="Pago tarjeta"),-1,1)*IF(IFERROR(INDEX(ctaMoneda,MATCH(AB2017,ctaNombre,0))&amp;"","DOP")="USD",T2017,S2017))</f>
        <v/>
      </c>
      <c r="AG2017" s="53">
        <f>IF(AC2017="","",IF(IFERROR(INDEX(ctaMoneda,MATCH(AC2017,ctaNombre,0))&amp;"","DOP")="USD",T2017,S2017))</f>
        <v/>
      </c>
      <c r="AH2017" s="53">
        <f>IF(P2017="","",IF(AND(AD2017&lt;&gt;"",COUNTIFS(tcTipo,AD2017,tcLiq,"Sí")&gt;0),IF(OR(P2017="Gasto",P2017="Transferencia",P2017="Pago tarjeta"),-1,1)*S2017,0)+IF(AND(AE2017&lt;&gt;"",COUNTIFS(tcTipo,AE2017,tcLiq,"Sí")&gt;0),S2017,0))</f>
        <v/>
      </c>
      <c r="AI2017" s="52">
        <f>IF(OR(L2017="",P2017=""),"",IF(COUNTIFS(L$6:L2017,L2017,P$6:P2017,"?*")=1,MAX(AI$5:AI2016)+1,""))</f>
        <v/>
      </c>
    </row>
    <row r="2018">
      <c r="B2018" s="47" t="n"/>
      <c r="C2018" s="48" t="n"/>
      <c r="D2018" s="48" t="n"/>
      <c r="E2018" s="48" t="n"/>
      <c r="F2018" s="48" t="n"/>
      <c r="G2018" s="49" t="n"/>
      <c r="H2018" s="48" t="n"/>
      <c r="I2018" s="50" t="n"/>
      <c r="J2018" s="48" t="n"/>
      <c r="K2018" s="48" t="n"/>
      <c r="L2018" s="48" t="n"/>
      <c r="M2018" s="48" t="n"/>
      <c r="N2018" s="48" t="n"/>
      <c r="O2018" s="51">
        <f>IF(AND(B2018="",G2018="",C2018="",D2018="",J2018=""),"",IF(B2018="","⚠ Falta fecha",IF(G2018="","⚠ Falta monto",IF(Q2018="","⚠ Falta cuenta",IF(ISNA(MATCH(Q2018,ctaNombre,0)),"⚠ Cuenta no registrada",IF(AND(OR(P2018="Gasto",P2018="Reembolso"),D2018=""),"⚠ Falta categoría",IF(AND(D2018&lt;&gt;"",E2018&lt;&gt;"",ISNA(MATCH(D2018&amp;"|"&amp;E2018,catClave,0))),"⚠ Subcategoría no corresponde",IF(AND(OR(P2018="Transferencia",P2018="Pago tarjeta"),K2018=""),"⚠ Falta cuenta destino",IF(AND(K2018&lt;&gt;"",P2018&lt;&gt;"Transferencia",P2018&lt;&gt;"Pago tarjeta"),"⚠ Destino solo aplica a transferencias",IF(AND(K2018&lt;&gt;"",K2018=Q2018),"⚠ Origen igual a destino",IF(AND(K2018&lt;&gt;"",ISNA(MATCH(K2018,ctaNombre,0))),"⚠ Destino no registrado",IF(AND(P2018="Pago tarjeta",AE2018&lt;&gt;"Tarjeta de crédito"),"⚠ El destino debe ser tarjeta de crédito",IF(AND(P2018="Gasto",E2018="Depósitos y retiros"),"⚠ Usa tipo Transferencia",IF(AND(P2018="Resultado trading",AD2018&lt;&gt;"Cuenta de trading"),"⚠ Usa una cuenta de trading",IF(AND(G2018&lt;=0,P2018&lt;&gt;"Ajuste",P2018&lt;&gt;"Resultado trading"),"⚠ El monto debe ser positivo","✓")))))))))))))))</f>
        <v/>
      </c>
      <c r="P2018" s="52">
        <f>IF(OR(B2018="",G2018=""),"",IF(C2018="","Gasto",C2018))</f>
        <v/>
      </c>
      <c r="Q2018" s="52">
        <f>IF(P2018="","",IF(J2018&lt;&gt;"",J2018,CuentaPred&amp;""))</f>
        <v/>
      </c>
      <c r="R2018" s="52">
        <f>IF(P2018="","",IF(ISNUMBER(I2018),I2018,TasaUSD))</f>
        <v/>
      </c>
      <c r="S2018" s="53">
        <f>IF(P2018="","",IF(H2018="USD",G2018*R2018,G2018))</f>
        <v/>
      </c>
      <c r="T2018" s="53">
        <f>IF(P2018="","",IF(H2018="USD",G2018,IF(R2018&gt;0,G2018/R2018,0)))</f>
        <v/>
      </c>
      <c r="U2018" s="53">
        <f>IF(P2018="","",IF(P2018="Gasto",S2018,IF(P2018="Reembolso",-S2018,0)))</f>
        <v/>
      </c>
      <c r="V2018" s="53">
        <f>IF(P2018="","",IF(P2018="Ingreso",S2018,0))</f>
        <v/>
      </c>
      <c r="W2018" s="53">
        <f>IF(P2018="","",IF(P2018="Resultado trading",S2018,0))</f>
        <v/>
      </c>
      <c r="X2018" s="52">
        <f>IF(OR(P2018="Gasto",P2018="Reembolso"),IF(M2018&lt;&gt;"",M2018,IFERROR(INDEX(catClasif,MATCH(D2018&amp;"|"&amp;E2018,catClave,0))&amp;"","Variable")),"")</f>
        <v/>
      </c>
      <c r="Y2018" s="52">
        <f>IF(P2018="","",IFERROR(INDEX(catGrupo,MATCH(D2018&amp;"|"&amp;E2018,catClave,0))&amp;"",""))</f>
        <v/>
      </c>
      <c r="Z2018" s="52">
        <f>IF(P2018="","",WEEKDAY(B2018,2))</f>
        <v/>
      </c>
      <c r="AA2018" s="52">
        <f>IF(P2018="","",IF(AND(P2018="Gasto",X2018="Variable",D2018&lt;&gt;catTrading,S2018&gt;0,S2018&lt;=Umbral),1,0))</f>
        <v/>
      </c>
      <c r="AB2018" s="52">
        <f>IF(OR(P2018="",Q2018=""),"",IFERROR(IF(INDEX(ctaVinc,MATCH(Q2018,ctaNombre,0))&amp;""&lt;&gt;"",INDEX(ctaVinc,MATCH(Q2018,ctaNombre,0))&amp;"",Q2018),Q2018))</f>
        <v/>
      </c>
      <c r="AC2018" s="52">
        <f>IF(OR(K2018="",AND(P2018&lt;&gt;"Transferencia",P2018&lt;&gt;"Pago tarjeta")),"",IFERROR(IF(INDEX(ctaVinc,MATCH(K2018,ctaNombre,0))&amp;""&lt;&gt;"",INDEX(ctaVinc,MATCH(K2018,ctaNombre,0))&amp;"",K2018),K2018))</f>
        <v/>
      </c>
      <c r="AD2018" s="52">
        <f>IF(AB2018="","",IFERROR(INDEX(ctaTipo,MATCH(AB2018,ctaNombre,0))&amp;"",""))</f>
        <v/>
      </c>
      <c r="AE2018" s="52">
        <f>IF(AC2018="","",IFERROR(INDEX(ctaTipo,MATCH(AC2018,ctaNombre,0))&amp;"",""))</f>
        <v/>
      </c>
      <c r="AF2018" s="53">
        <f>IF(OR(P2018="",AB2018=""),"",IF(OR(P2018="Gasto",P2018="Transferencia",P2018="Pago tarjeta"),-1,1)*IF(IFERROR(INDEX(ctaMoneda,MATCH(AB2018,ctaNombre,0))&amp;"","DOP")="USD",T2018,S2018))</f>
        <v/>
      </c>
      <c r="AG2018" s="53">
        <f>IF(AC2018="","",IF(IFERROR(INDEX(ctaMoneda,MATCH(AC2018,ctaNombre,0))&amp;"","DOP")="USD",T2018,S2018))</f>
        <v/>
      </c>
      <c r="AH2018" s="53">
        <f>IF(P2018="","",IF(AND(AD2018&lt;&gt;"",COUNTIFS(tcTipo,AD2018,tcLiq,"Sí")&gt;0),IF(OR(P2018="Gasto",P2018="Transferencia",P2018="Pago tarjeta"),-1,1)*S2018,0)+IF(AND(AE2018&lt;&gt;"",COUNTIFS(tcTipo,AE2018,tcLiq,"Sí")&gt;0),S2018,0))</f>
        <v/>
      </c>
      <c r="AI2018" s="52">
        <f>IF(OR(L2018="",P2018=""),"",IF(COUNTIFS(L$6:L2018,L2018,P$6:P2018,"?*")=1,MAX(AI$5:AI2017)+1,""))</f>
        <v/>
      </c>
    </row>
    <row r="2019">
      <c r="B2019" s="47" t="n"/>
      <c r="C2019" s="48" t="n"/>
      <c r="D2019" s="48" t="n"/>
      <c r="E2019" s="48" t="n"/>
      <c r="F2019" s="48" t="n"/>
      <c r="G2019" s="49" t="n"/>
      <c r="H2019" s="48" t="n"/>
      <c r="I2019" s="50" t="n"/>
      <c r="J2019" s="48" t="n"/>
      <c r="K2019" s="48" t="n"/>
      <c r="L2019" s="48" t="n"/>
      <c r="M2019" s="48" t="n"/>
      <c r="N2019" s="48" t="n"/>
      <c r="O2019" s="51">
        <f>IF(AND(B2019="",G2019="",C2019="",D2019="",J2019=""),"",IF(B2019="","⚠ Falta fecha",IF(G2019="","⚠ Falta monto",IF(Q2019="","⚠ Falta cuenta",IF(ISNA(MATCH(Q2019,ctaNombre,0)),"⚠ Cuenta no registrada",IF(AND(OR(P2019="Gasto",P2019="Reembolso"),D2019=""),"⚠ Falta categoría",IF(AND(D2019&lt;&gt;"",E2019&lt;&gt;"",ISNA(MATCH(D2019&amp;"|"&amp;E2019,catClave,0))),"⚠ Subcategoría no corresponde",IF(AND(OR(P2019="Transferencia",P2019="Pago tarjeta"),K2019=""),"⚠ Falta cuenta destino",IF(AND(K2019&lt;&gt;"",P2019&lt;&gt;"Transferencia",P2019&lt;&gt;"Pago tarjeta"),"⚠ Destino solo aplica a transferencias",IF(AND(K2019&lt;&gt;"",K2019=Q2019),"⚠ Origen igual a destino",IF(AND(K2019&lt;&gt;"",ISNA(MATCH(K2019,ctaNombre,0))),"⚠ Destino no registrado",IF(AND(P2019="Pago tarjeta",AE2019&lt;&gt;"Tarjeta de crédito"),"⚠ El destino debe ser tarjeta de crédito",IF(AND(P2019="Gasto",E2019="Depósitos y retiros"),"⚠ Usa tipo Transferencia",IF(AND(P2019="Resultado trading",AD2019&lt;&gt;"Cuenta de trading"),"⚠ Usa una cuenta de trading",IF(AND(G2019&lt;=0,P2019&lt;&gt;"Ajuste",P2019&lt;&gt;"Resultado trading"),"⚠ El monto debe ser positivo","✓")))))))))))))))</f>
        <v/>
      </c>
      <c r="P2019" s="52">
        <f>IF(OR(B2019="",G2019=""),"",IF(C2019="","Gasto",C2019))</f>
        <v/>
      </c>
      <c r="Q2019" s="52">
        <f>IF(P2019="","",IF(J2019&lt;&gt;"",J2019,CuentaPred&amp;""))</f>
        <v/>
      </c>
      <c r="R2019" s="52">
        <f>IF(P2019="","",IF(ISNUMBER(I2019),I2019,TasaUSD))</f>
        <v/>
      </c>
      <c r="S2019" s="53">
        <f>IF(P2019="","",IF(H2019="USD",G2019*R2019,G2019))</f>
        <v/>
      </c>
      <c r="T2019" s="53">
        <f>IF(P2019="","",IF(H2019="USD",G2019,IF(R2019&gt;0,G2019/R2019,0)))</f>
        <v/>
      </c>
      <c r="U2019" s="53">
        <f>IF(P2019="","",IF(P2019="Gasto",S2019,IF(P2019="Reembolso",-S2019,0)))</f>
        <v/>
      </c>
      <c r="V2019" s="53">
        <f>IF(P2019="","",IF(P2019="Ingreso",S2019,0))</f>
        <v/>
      </c>
      <c r="W2019" s="53">
        <f>IF(P2019="","",IF(P2019="Resultado trading",S2019,0))</f>
        <v/>
      </c>
      <c r="X2019" s="52">
        <f>IF(OR(P2019="Gasto",P2019="Reembolso"),IF(M2019&lt;&gt;"",M2019,IFERROR(INDEX(catClasif,MATCH(D2019&amp;"|"&amp;E2019,catClave,0))&amp;"","Variable")),"")</f>
        <v/>
      </c>
      <c r="Y2019" s="52">
        <f>IF(P2019="","",IFERROR(INDEX(catGrupo,MATCH(D2019&amp;"|"&amp;E2019,catClave,0))&amp;"",""))</f>
        <v/>
      </c>
      <c r="Z2019" s="52">
        <f>IF(P2019="","",WEEKDAY(B2019,2))</f>
        <v/>
      </c>
      <c r="AA2019" s="52">
        <f>IF(P2019="","",IF(AND(P2019="Gasto",X2019="Variable",D2019&lt;&gt;catTrading,S2019&gt;0,S2019&lt;=Umbral),1,0))</f>
        <v/>
      </c>
      <c r="AB2019" s="52">
        <f>IF(OR(P2019="",Q2019=""),"",IFERROR(IF(INDEX(ctaVinc,MATCH(Q2019,ctaNombre,0))&amp;""&lt;&gt;"",INDEX(ctaVinc,MATCH(Q2019,ctaNombre,0))&amp;"",Q2019),Q2019))</f>
        <v/>
      </c>
      <c r="AC2019" s="52">
        <f>IF(OR(K2019="",AND(P2019&lt;&gt;"Transferencia",P2019&lt;&gt;"Pago tarjeta")),"",IFERROR(IF(INDEX(ctaVinc,MATCH(K2019,ctaNombre,0))&amp;""&lt;&gt;"",INDEX(ctaVinc,MATCH(K2019,ctaNombre,0))&amp;"",K2019),K2019))</f>
        <v/>
      </c>
      <c r="AD2019" s="52">
        <f>IF(AB2019="","",IFERROR(INDEX(ctaTipo,MATCH(AB2019,ctaNombre,0))&amp;"",""))</f>
        <v/>
      </c>
      <c r="AE2019" s="52">
        <f>IF(AC2019="","",IFERROR(INDEX(ctaTipo,MATCH(AC2019,ctaNombre,0))&amp;"",""))</f>
        <v/>
      </c>
      <c r="AF2019" s="53">
        <f>IF(OR(P2019="",AB2019=""),"",IF(OR(P2019="Gasto",P2019="Transferencia",P2019="Pago tarjeta"),-1,1)*IF(IFERROR(INDEX(ctaMoneda,MATCH(AB2019,ctaNombre,0))&amp;"","DOP")="USD",T2019,S2019))</f>
        <v/>
      </c>
      <c r="AG2019" s="53">
        <f>IF(AC2019="","",IF(IFERROR(INDEX(ctaMoneda,MATCH(AC2019,ctaNombre,0))&amp;"","DOP")="USD",T2019,S2019))</f>
        <v/>
      </c>
      <c r="AH2019" s="53">
        <f>IF(P2019="","",IF(AND(AD2019&lt;&gt;"",COUNTIFS(tcTipo,AD2019,tcLiq,"Sí")&gt;0),IF(OR(P2019="Gasto",P2019="Transferencia",P2019="Pago tarjeta"),-1,1)*S2019,0)+IF(AND(AE2019&lt;&gt;"",COUNTIFS(tcTipo,AE2019,tcLiq,"Sí")&gt;0),S2019,0))</f>
        <v/>
      </c>
      <c r="AI2019" s="52">
        <f>IF(OR(L2019="",P2019=""),"",IF(COUNTIFS(L$6:L2019,L2019,P$6:P2019,"?*")=1,MAX(AI$5:AI2018)+1,""))</f>
        <v/>
      </c>
    </row>
    <row r="2020">
      <c r="B2020" s="47" t="n"/>
      <c r="C2020" s="48" t="n"/>
      <c r="D2020" s="48" t="n"/>
      <c r="E2020" s="48" t="n"/>
      <c r="F2020" s="48" t="n"/>
      <c r="G2020" s="49" t="n"/>
      <c r="H2020" s="48" t="n"/>
      <c r="I2020" s="50" t="n"/>
      <c r="J2020" s="48" t="n"/>
      <c r="K2020" s="48" t="n"/>
      <c r="L2020" s="48" t="n"/>
      <c r="M2020" s="48" t="n"/>
      <c r="N2020" s="48" t="n"/>
      <c r="O2020" s="51">
        <f>IF(AND(B2020="",G2020="",C2020="",D2020="",J2020=""),"",IF(B2020="","⚠ Falta fecha",IF(G2020="","⚠ Falta monto",IF(Q2020="","⚠ Falta cuenta",IF(ISNA(MATCH(Q2020,ctaNombre,0)),"⚠ Cuenta no registrada",IF(AND(OR(P2020="Gasto",P2020="Reembolso"),D2020=""),"⚠ Falta categoría",IF(AND(D2020&lt;&gt;"",E2020&lt;&gt;"",ISNA(MATCH(D2020&amp;"|"&amp;E2020,catClave,0))),"⚠ Subcategoría no corresponde",IF(AND(OR(P2020="Transferencia",P2020="Pago tarjeta"),K2020=""),"⚠ Falta cuenta destino",IF(AND(K2020&lt;&gt;"",P2020&lt;&gt;"Transferencia",P2020&lt;&gt;"Pago tarjeta"),"⚠ Destino solo aplica a transferencias",IF(AND(K2020&lt;&gt;"",K2020=Q2020),"⚠ Origen igual a destino",IF(AND(K2020&lt;&gt;"",ISNA(MATCH(K2020,ctaNombre,0))),"⚠ Destino no registrado",IF(AND(P2020="Pago tarjeta",AE2020&lt;&gt;"Tarjeta de crédito"),"⚠ El destino debe ser tarjeta de crédito",IF(AND(P2020="Gasto",E2020="Depósitos y retiros"),"⚠ Usa tipo Transferencia",IF(AND(P2020="Resultado trading",AD2020&lt;&gt;"Cuenta de trading"),"⚠ Usa una cuenta de trading",IF(AND(G2020&lt;=0,P2020&lt;&gt;"Ajuste",P2020&lt;&gt;"Resultado trading"),"⚠ El monto debe ser positivo","✓")))))))))))))))</f>
        <v/>
      </c>
      <c r="P2020" s="52">
        <f>IF(OR(B2020="",G2020=""),"",IF(C2020="","Gasto",C2020))</f>
        <v/>
      </c>
      <c r="Q2020" s="52">
        <f>IF(P2020="","",IF(J2020&lt;&gt;"",J2020,CuentaPred&amp;""))</f>
        <v/>
      </c>
      <c r="R2020" s="52">
        <f>IF(P2020="","",IF(ISNUMBER(I2020),I2020,TasaUSD))</f>
        <v/>
      </c>
      <c r="S2020" s="53">
        <f>IF(P2020="","",IF(H2020="USD",G2020*R2020,G2020))</f>
        <v/>
      </c>
      <c r="T2020" s="53">
        <f>IF(P2020="","",IF(H2020="USD",G2020,IF(R2020&gt;0,G2020/R2020,0)))</f>
        <v/>
      </c>
      <c r="U2020" s="53">
        <f>IF(P2020="","",IF(P2020="Gasto",S2020,IF(P2020="Reembolso",-S2020,0)))</f>
        <v/>
      </c>
      <c r="V2020" s="53">
        <f>IF(P2020="","",IF(P2020="Ingreso",S2020,0))</f>
        <v/>
      </c>
      <c r="W2020" s="53">
        <f>IF(P2020="","",IF(P2020="Resultado trading",S2020,0))</f>
        <v/>
      </c>
      <c r="X2020" s="52">
        <f>IF(OR(P2020="Gasto",P2020="Reembolso"),IF(M2020&lt;&gt;"",M2020,IFERROR(INDEX(catClasif,MATCH(D2020&amp;"|"&amp;E2020,catClave,0))&amp;"","Variable")),"")</f>
        <v/>
      </c>
      <c r="Y2020" s="52">
        <f>IF(P2020="","",IFERROR(INDEX(catGrupo,MATCH(D2020&amp;"|"&amp;E2020,catClave,0))&amp;"",""))</f>
        <v/>
      </c>
      <c r="Z2020" s="52">
        <f>IF(P2020="","",WEEKDAY(B2020,2))</f>
        <v/>
      </c>
      <c r="AA2020" s="52">
        <f>IF(P2020="","",IF(AND(P2020="Gasto",X2020="Variable",D2020&lt;&gt;catTrading,S2020&gt;0,S2020&lt;=Umbral),1,0))</f>
        <v/>
      </c>
      <c r="AB2020" s="52">
        <f>IF(OR(P2020="",Q2020=""),"",IFERROR(IF(INDEX(ctaVinc,MATCH(Q2020,ctaNombre,0))&amp;""&lt;&gt;"",INDEX(ctaVinc,MATCH(Q2020,ctaNombre,0))&amp;"",Q2020),Q2020))</f>
        <v/>
      </c>
      <c r="AC2020" s="52">
        <f>IF(OR(K2020="",AND(P2020&lt;&gt;"Transferencia",P2020&lt;&gt;"Pago tarjeta")),"",IFERROR(IF(INDEX(ctaVinc,MATCH(K2020,ctaNombre,0))&amp;""&lt;&gt;"",INDEX(ctaVinc,MATCH(K2020,ctaNombre,0))&amp;"",K2020),K2020))</f>
        <v/>
      </c>
      <c r="AD2020" s="52">
        <f>IF(AB2020="","",IFERROR(INDEX(ctaTipo,MATCH(AB2020,ctaNombre,0))&amp;"",""))</f>
        <v/>
      </c>
      <c r="AE2020" s="52">
        <f>IF(AC2020="","",IFERROR(INDEX(ctaTipo,MATCH(AC2020,ctaNombre,0))&amp;"",""))</f>
        <v/>
      </c>
      <c r="AF2020" s="53">
        <f>IF(OR(P2020="",AB2020=""),"",IF(OR(P2020="Gasto",P2020="Transferencia",P2020="Pago tarjeta"),-1,1)*IF(IFERROR(INDEX(ctaMoneda,MATCH(AB2020,ctaNombre,0))&amp;"","DOP")="USD",T2020,S2020))</f>
        <v/>
      </c>
      <c r="AG2020" s="53">
        <f>IF(AC2020="","",IF(IFERROR(INDEX(ctaMoneda,MATCH(AC2020,ctaNombre,0))&amp;"","DOP")="USD",T2020,S2020))</f>
        <v/>
      </c>
      <c r="AH2020" s="53">
        <f>IF(P2020="","",IF(AND(AD2020&lt;&gt;"",COUNTIFS(tcTipo,AD2020,tcLiq,"Sí")&gt;0),IF(OR(P2020="Gasto",P2020="Transferencia",P2020="Pago tarjeta"),-1,1)*S2020,0)+IF(AND(AE2020&lt;&gt;"",COUNTIFS(tcTipo,AE2020,tcLiq,"Sí")&gt;0),S2020,0))</f>
        <v/>
      </c>
      <c r="AI2020" s="52">
        <f>IF(OR(L2020="",P2020=""),"",IF(COUNTIFS(L$6:L2020,L2020,P$6:P2020,"?*")=1,MAX(AI$5:AI2019)+1,""))</f>
        <v/>
      </c>
    </row>
    <row r="2021">
      <c r="B2021" s="47" t="n"/>
      <c r="C2021" s="48" t="n"/>
      <c r="D2021" s="48" t="n"/>
      <c r="E2021" s="48" t="n"/>
      <c r="F2021" s="48" t="n"/>
      <c r="G2021" s="49" t="n"/>
      <c r="H2021" s="48" t="n"/>
      <c r="I2021" s="50" t="n"/>
      <c r="J2021" s="48" t="n"/>
      <c r="K2021" s="48" t="n"/>
      <c r="L2021" s="48" t="n"/>
      <c r="M2021" s="48" t="n"/>
      <c r="N2021" s="48" t="n"/>
      <c r="O2021" s="51">
        <f>IF(AND(B2021="",G2021="",C2021="",D2021="",J2021=""),"",IF(B2021="","⚠ Falta fecha",IF(G2021="","⚠ Falta monto",IF(Q2021="","⚠ Falta cuenta",IF(ISNA(MATCH(Q2021,ctaNombre,0)),"⚠ Cuenta no registrada",IF(AND(OR(P2021="Gasto",P2021="Reembolso"),D2021=""),"⚠ Falta categoría",IF(AND(D2021&lt;&gt;"",E2021&lt;&gt;"",ISNA(MATCH(D2021&amp;"|"&amp;E2021,catClave,0))),"⚠ Subcategoría no corresponde",IF(AND(OR(P2021="Transferencia",P2021="Pago tarjeta"),K2021=""),"⚠ Falta cuenta destino",IF(AND(K2021&lt;&gt;"",P2021&lt;&gt;"Transferencia",P2021&lt;&gt;"Pago tarjeta"),"⚠ Destino solo aplica a transferencias",IF(AND(K2021&lt;&gt;"",K2021=Q2021),"⚠ Origen igual a destino",IF(AND(K2021&lt;&gt;"",ISNA(MATCH(K2021,ctaNombre,0))),"⚠ Destino no registrado",IF(AND(P2021="Pago tarjeta",AE2021&lt;&gt;"Tarjeta de crédito"),"⚠ El destino debe ser tarjeta de crédito",IF(AND(P2021="Gasto",E2021="Depósitos y retiros"),"⚠ Usa tipo Transferencia",IF(AND(P2021="Resultado trading",AD2021&lt;&gt;"Cuenta de trading"),"⚠ Usa una cuenta de trading",IF(AND(G2021&lt;=0,P2021&lt;&gt;"Ajuste",P2021&lt;&gt;"Resultado trading"),"⚠ El monto debe ser positivo","✓")))))))))))))))</f>
        <v/>
      </c>
      <c r="P2021" s="52">
        <f>IF(OR(B2021="",G2021=""),"",IF(C2021="","Gasto",C2021))</f>
        <v/>
      </c>
      <c r="Q2021" s="52">
        <f>IF(P2021="","",IF(J2021&lt;&gt;"",J2021,CuentaPred&amp;""))</f>
        <v/>
      </c>
      <c r="R2021" s="52">
        <f>IF(P2021="","",IF(ISNUMBER(I2021),I2021,TasaUSD))</f>
        <v/>
      </c>
      <c r="S2021" s="53">
        <f>IF(P2021="","",IF(H2021="USD",G2021*R2021,G2021))</f>
        <v/>
      </c>
      <c r="T2021" s="53">
        <f>IF(P2021="","",IF(H2021="USD",G2021,IF(R2021&gt;0,G2021/R2021,0)))</f>
        <v/>
      </c>
      <c r="U2021" s="53">
        <f>IF(P2021="","",IF(P2021="Gasto",S2021,IF(P2021="Reembolso",-S2021,0)))</f>
        <v/>
      </c>
      <c r="V2021" s="53">
        <f>IF(P2021="","",IF(P2021="Ingreso",S2021,0))</f>
        <v/>
      </c>
      <c r="W2021" s="53">
        <f>IF(P2021="","",IF(P2021="Resultado trading",S2021,0))</f>
        <v/>
      </c>
      <c r="X2021" s="52">
        <f>IF(OR(P2021="Gasto",P2021="Reembolso"),IF(M2021&lt;&gt;"",M2021,IFERROR(INDEX(catClasif,MATCH(D2021&amp;"|"&amp;E2021,catClave,0))&amp;"","Variable")),"")</f>
        <v/>
      </c>
      <c r="Y2021" s="52">
        <f>IF(P2021="","",IFERROR(INDEX(catGrupo,MATCH(D2021&amp;"|"&amp;E2021,catClave,0))&amp;"",""))</f>
        <v/>
      </c>
      <c r="Z2021" s="52">
        <f>IF(P2021="","",WEEKDAY(B2021,2))</f>
        <v/>
      </c>
      <c r="AA2021" s="52">
        <f>IF(P2021="","",IF(AND(P2021="Gasto",X2021="Variable",D2021&lt;&gt;catTrading,S2021&gt;0,S2021&lt;=Umbral),1,0))</f>
        <v/>
      </c>
      <c r="AB2021" s="52">
        <f>IF(OR(P2021="",Q2021=""),"",IFERROR(IF(INDEX(ctaVinc,MATCH(Q2021,ctaNombre,0))&amp;""&lt;&gt;"",INDEX(ctaVinc,MATCH(Q2021,ctaNombre,0))&amp;"",Q2021),Q2021))</f>
        <v/>
      </c>
      <c r="AC2021" s="52">
        <f>IF(OR(K2021="",AND(P2021&lt;&gt;"Transferencia",P2021&lt;&gt;"Pago tarjeta")),"",IFERROR(IF(INDEX(ctaVinc,MATCH(K2021,ctaNombre,0))&amp;""&lt;&gt;"",INDEX(ctaVinc,MATCH(K2021,ctaNombre,0))&amp;"",K2021),K2021))</f>
        <v/>
      </c>
      <c r="AD2021" s="52">
        <f>IF(AB2021="","",IFERROR(INDEX(ctaTipo,MATCH(AB2021,ctaNombre,0))&amp;"",""))</f>
        <v/>
      </c>
      <c r="AE2021" s="52">
        <f>IF(AC2021="","",IFERROR(INDEX(ctaTipo,MATCH(AC2021,ctaNombre,0))&amp;"",""))</f>
        <v/>
      </c>
      <c r="AF2021" s="53">
        <f>IF(OR(P2021="",AB2021=""),"",IF(OR(P2021="Gasto",P2021="Transferencia",P2021="Pago tarjeta"),-1,1)*IF(IFERROR(INDEX(ctaMoneda,MATCH(AB2021,ctaNombre,0))&amp;"","DOP")="USD",T2021,S2021))</f>
        <v/>
      </c>
      <c r="AG2021" s="53">
        <f>IF(AC2021="","",IF(IFERROR(INDEX(ctaMoneda,MATCH(AC2021,ctaNombre,0))&amp;"","DOP")="USD",T2021,S2021))</f>
        <v/>
      </c>
      <c r="AH2021" s="53">
        <f>IF(P2021="","",IF(AND(AD2021&lt;&gt;"",COUNTIFS(tcTipo,AD2021,tcLiq,"Sí")&gt;0),IF(OR(P2021="Gasto",P2021="Transferencia",P2021="Pago tarjeta"),-1,1)*S2021,0)+IF(AND(AE2021&lt;&gt;"",COUNTIFS(tcTipo,AE2021,tcLiq,"Sí")&gt;0),S2021,0))</f>
        <v/>
      </c>
      <c r="AI2021" s="52">
        <f>IF(OR(L2021="",P2021=""),"",IF(COUNTIFS(L$6:L2021,L2021,P$6:P2021,"?*")=1,MAX(AI$5:AI2020)+1,""))</f>
        <v/>
      </c>
    </row>
    <row r="2022">
      <c r="B2022" s="47" t="n"/>
      <c r="C2022" s="48" t="n"/>
      <c r="D2022" s="48" t="n"/>
      <c r="E2022" s="48" t="n"/>
      <c r="F2022" s="48" t="n"/>
      <c r="G2022" s="49" t="n"/>
      <c r="H2022" s="48" t="n"/>
      <c r="I2022" s="50" t="n"/>
      <c r="J2022" s="48" t="n"/>
      <c r="K2022" s="48" t="n"/>
      <c r="L2022" s="48" t="n"/>
      <c r="M2022" s="48" t="n"/>
      <c r="N2022" s="48" t="n"/>
      <c r="O2022" s="51">
        <f>IF(AND(B2022="",G2022="",C2022="",D2022="",J2022=""),"",IF(B2022="","⚠ Falta fecha",IF(G2022="","⚠ Falta monto",IF(Q2022="","⚠ Falta cuenta",IF(ISNA(MATCH(Q2022,ctaNombre,0)),"⚠ Cuenta no registrada",IF(AND(OR(P2022="Gasto",P2022="Reembolso"),D2022=""),"⚠ Falta categoría",IF(AND(D2022&lt;&gt;"",E2022&lt;&gt;"",ISNA(MATCH(D2022&amp;"|"&amp;E2022,catClave,0))),"⚠ Subcategoría no corresponde",IF(AND(OR(P2022="Transferencia",P2022="Pago tarjeta"),K2022=""),"⚠ Falta cuenta destino",IF(AND(K2022&lt;&gt;"",P2022&lt;&gt;"Transferencia",P2022&lt;&gt;"Pago tarjeta"),"⚠ Destino solo aplica a transferencias",IF(AND(K2022&lt;&gt;"",K2022=Q2022),"⚠ Origen igual a destino",IF(AND(K2022&lt;&gt;"",ISNA(MATCH(K2022,ctaNombre,0))),"⚠ Destino no registrado",IF(AND(P2022="Pago tarjeta",AE2022&lt;&gt;"Tarjeta de crédito"),"⚠ El destino debe ser tarjeta de crédito",IF(AND(P2022="Gasto",E2022="Depósitos y retiros"),"⚠ Usa tipo Transferencia",IF(AND(P2022="Resultado trading",AD2022&lt;&gt;"Cuenta de trading"),"⚠ Usa una cuenta de trading",IF(AND(G2022&lt;=0,P2022&lt;&gt;"Ajuste",P2022&lt;&gt;"Resultado trading"),"⚠ El monto debe ser positivo","✓")))))))))))))))</f>
        <v/>
      </c>
      <c r="P2022" s="52">
        <f>IF(OR(B2022="",G2022=""),"",IF(C2022="","Gasto",C2022))</f>
        <v/>
      </c>
      <c r="Q2022" s="52">
        <f>IF(P2022="","",IF(J2022&lt;&gt;"",J2022,CuentaPred&amp;""))</f>
        <v/>
      </c>
      <c r="R2022" s="52">
        <f>IF(P2022="","",IF(ISNUMBER(I2022),I2022,TasaUSD))</f>
        <v/>
      </c>
      <c r="S2022" s="53">
        <f>IF(P2022="","",IF(H2022="USD",G2022*R2022,G2022))</f>
        <v/>
      </c>
      <c r="T2022" s="53">
        <f>IF(P2022="","",IF(H2022="USD",G2022,IF(R2022&gt;0,G2022/R2022,0)))</f>
        <v/>
      </c>
      <c r="U2022" s="53">
        <f>IF(P2022="","",IF(P2022="Gasto",S2022,IF(P2022="Reembolso",-S2022,0)))</f>
        <v/>
      </c>
      <c r="V2022" s="53">
        <f>IF(P2022="","",IF(P2022="Ingreso",S2022,0))</f>
        <v/>
      </c>
      <c r="W2022" s="53">
        <f>IF(P2022="","",IF(P2022="Resultado trading",S2022,0))</f>
        <v/>
      </c>
      <c r="X2022" s="52">
        <f>IF(OR(P2022="Gasto",P2022="Reembolso"),IF(M2022&lt;&gt;"",M2022,IFERROR(INDEX(catClasif,MATCH(D2022&amp;"|"&amp;E2022,catClave,0))&amp;"","Variable")),"")</f>
        <v/>
      </c>
      <c r="Y2022" s="52">
        <f>IF(P2022="","",IFERROR(INDEX(catGrupo,MATCH(D2022&amp;"|"&amp;E2022,catClave,0))&amp;"",""))</f>
        <v/>
      </c>
      <c r="Z2022" s="52">
        <f>IF(P2022="","",WEEKDAY(B2022,2))</f>
        <v/>
      </c>
      <c r="AA2022" s="52">
        <f>IF(P2022="","",IF(AND(P2022="Gasto",X2022="Variable",D2022&lt;&gt;catTrading,S2022&gt;0,S2022&lt;=Umbral),1,0))</f>
        <v/>
      </c>
      <c r="AB2022" s="52">
        <f>IF(OR(P2022="",Q2022=""),"",IFERROR(IF(INDEX(ctaVinc,MATCH(Q2022,ctaNombre,0))&amp;""&lt;&gt;"",INDEX(ctaVinc,MATCH(Q2022,ctaNombre,0))&amp;"",Q2022),Q2022))</f>
        <v/>
      </c>
      <c r="AC2022" s="52">
        <f>IF(OR(K2022="",AND(P2022&lt;&gt;"Transferencia",P2022&lt;&gt;"Pago tarjeta")),"",IFERROR(IF(INDEX(ctaVinc,MATCH(K2022,ctaNombre,0))&amp;""&lt;&gt;"",INDEX(ctaVinc,MATCH(K2022,ctaNombre,0))&amp;"",K2022),K2022))</f>
        <v/>
      </c>
      <c r="AD2022" s="52">
        <f>IF(AB2022="","",IFERROR(INDEX(ctaTipo,MATCH(AB2022,ctaNombre,0))&amp;"",""))</f>
        <v/>
      </c>
      <c r="AE2022" s="52">
        <f>IF(AC2022="","",IFERROR(INDEX(ctaTipo,MATCH(AC2022,ctaNombre,0))&amp;"",""))</f>
        <v/>
      </c>
      <c r="AF2022" s="53">
        <f>IF(OR(P2022="",AB2022=""),"",IF(OR(P2022="Gasto",P2022="Transferencia",P2022="Pago tarjeta"),-1,1)*IF(IFERROR(INDEX(ctaMoneda,MATCH(AB2022,ctaNombre,0))&amp;"","DOP")="USD",T2022,S2022))</f>
        <v/>
      </c>
      <c r="AG2022" s="53">
        <f>IF(AC2022="","",IF(IFERROR(INDEX(ctaMoneda,MATCH(AC2022,ctaNombre,0))&amp;"","DOP")="USD",T2022,S2022))</f>
        <v/>
      </c>
      <c r="AH2022" s="53">
        <f>IF(P2022="","",IF(AND(AD2022&lt;&gt;"",COUNTIFS(tcTipo,AD2022,tcLiq,"Sí")&gt;0),IF(OR(P2022="Gasto",P2022="Transferencia",P2022="Pago tarjeta"),-1,1)*S2022,0)+IF(AND(AE2022&lt;&gt;"",COUNTIFS(tcTipo,AE2022,tcLiq,"Sí")&gt;0),S2022,0))</f>
        <v/>
      </c>
      <c r="AI2022" s="52">
        <f>IF(OR(L2022="",P2022=""),"",IF(COUNTIFS(L$6:L2022,L2022,P$6:P2022,"?*")=1,MAX(AI$5:AI2021)+1,""))</f>
        <v/>
      </c>
    </row>
    <row r="2023">
      <c r="B2023" s="47" t="n"/>
      <c r="C2023" s="48" t="n"/>
      <c r="D2023" s="48" t="n"/>
      <c r="E2023" s="48" t="n"/>
      <c r="F2023" s="48" t="n"/>
      <c r="G2023" s="49" t="n"/>
      <c r="H2023" s="48" t="n"/>
      <c r="I2023" s="50" t="n"/>
      <c r="J2023" s="48" t="n"/>
      <c r="K2023" s="48" t="n"/>
      <c r="L2023" s="48" t="n"/>
      <c r="M2023" s="48" t="n"/>
      <c r="N2023" s="48" t="n"/>
      <c r="O2023" s="51">
        <f>IF(AND(B2023="",G2023="",C2023="",D2023="",J2023=""),"",IF(B2023="","⚠ Falta fecha",IF(G2023="","⚠ Falta monto",IF(Q2023="","⚠ Falta cuenta",IF(ISNA(MATCH(Q2023,ctaNombre,0)),"⚠ Cuenta no registrada",IF(AND(OR(P2023="Gasto",P2023="Reembolso"),D2023=""),"⚠ Falta categoría",IF(AND(D2023&lt;&gt;"",E2023&lt;&gt;"",ISNA(MATCH(D2023&amp;"|"&amp;E2023,catClave,0))),"⚠ Subcategoría no corresponde",IF(AND(OR(P2023="Transferencia",P2023="Pago tarjeta"),K2023=""),"⚠ Falta cuenta destino",IF(AND(K2023&lt;&gt;"",P2023&lt;&gt;"Transferencia",P2023&lt;&gt;"Pago tarjeta"),"⚠ Destino solo aplica a transferencias",IF(AND(K2023&lt;&gt;"",K2023=Q2023),"⚠ Origen igual a destino",IF(AND(K2023&lt;&gt;"",ISNA(MATCH(K2023,ctaNombre,0))),"⚠ Destino no registrado",IF(AND(P2023="Pago tarjeta",AE2023&lt;&gt;"Tarjeta de crédito"),"⚠ El destino debe ser tarjeta de crédito",IF(AND(P2023="Gasto",E2023="Depósitos y retiros"),"⚠ Usa tipo Transferencia",IF(AND(P2023="Resultado trading",AD2023&lt;&gt;"Cuenta de trading"),"⚠ Usa una cuenta de trading",IF(AND(G2023&lt;=0,P2023&lt;&gt;"Ajuste",P2023&lt;&gt;"Resultado trading"),"⚠ El monto debe ser positivo","✓")))))))))))))))</f>
        <v/>
      </c>
      <c r="P2023" s="52">
        <f>IF(OR(B2023="",G2023=""),"",IF(C2023="","Gasto",C2023))</f>
        <v/>
      </c>
      <c r="Q2023" s="52">
        <f>IF(P2023="","",IF(J2023&lt;&gt;"",J2023,CuentaPred&amp;""))</f>
        <v/>
      </c>
      <c r="R2023" s="52">
        <f>IF(P2023="","",IF(ISNUMBER(I2023),I2023,TasaUSD))</f>
        <v/>
      </c>
      <c r="S2023" s="53">
        <f>IF(P2023="","",IF(H2023="USD",G2023*R2023,G2023))</f>
        <v/>
      </c>
      <c r="T2023" s="53">
        <f>IF(P2023="","",IF(H2023="USD",G2023,IF(R2023&gt;0,G2023/R2023,0)))</f>
        <v/>
      </c>
      <c r="U2023" s="53">
        <f>IF(P2023="","",IF(P2023="Gasto",S2023,IF(P2023="Reembolso",-S2023,0)))</f>
        <v/>
      </c>
      <c r="V2023" s="53">
        <f>IF(P2023="","",IF(P2023="Ingreso",S2023,0))</f>
        <v/>
      </c>
      <c r="W2023" s="53">
        <f>IF(P2023="","",IF(P2023="Resultado trading",S2023,0))</f>
        <v/>
      </c>
      <c r="X2023" s="52">
        <f>IF(OR(P2023="Gasto",P2023="Reembolso"),IF(M2023&lt;&gt;"",M2023,IFERROR(INDEX(catClasif,MATCH(D2023&amp;"|"&amp;E2023,catClave,0))&amp;"","Variable")),"")</f>
        <v/>
      </c>
      <c r="Y2023" s="52">
        <f>IF(P2023="","",IFERROR(INDEX(catGrupo,MATCH(D2023&amp;"|"&amp;E2023,catClave,0))&amp;"",""))</f>
        <v/>
      </c>
      <c r="Z2023" s="52">
        <f>IF(P2023="","",WEEKDAY(B2023,2))</f>
        <v/>
      </c>
      <c r="AA2023" s="52">
        <f>IF(P2023="","",IF(AND(P2023="Gasto",X2023="Variable",D2023&lt;&gt;catTrading,S2023&gt;0,S2023&lt;=Umbral),1,0))</f>
        <v/>
      </c>
      <c r="AB2023" s="52">
        <f>IF(OR(P2023="",Q2023=""),"",IFERROR(IF(INDEX(ctaVinc,MATCH(Q2023,ctaNombre,0))&amp;""&lt;&gt;"",INDEX(ctaVinc,MATCH(Q2023,ctaNombre,0))&amp;"",Q2023),Q2023))</f>
        <v/>
      </c>
      <c r="AC2023" s="52">
        <f>IF(OR(K2023="",AND(P2023&lt;&gt;"Transferencia",P2023&lt;&gt;"Pago tarjeta")),"",IFERROR(IF(INDEX(ctaVinc,MATCH(K2023,ctaNombre,0))&amp;""&lt;&gt;"",INDEX(ctaVinc,MATCH(K2023,ctaNombre,0))&amp;"",K2023),K2023))</f>
        <v/>
      </c>
      <c r="AD2023" s="52">
        <f>IF(AB2023="","",IFERROR(INDEX(ctaTipo,MATCH(AB2023,ctaNombre,0))&amp;"",""))</f>
        <v/>
      </c>
      <c r="AE2023" s="52">
        <f>IF(AC2023="","",IFERROR(INDEX(ctaTipo,MATCH(AC2023,ctaNombre,0))&amp;"",""))</f>
        <v/>
      </c>
      <c r="AF2023" s="53">
        <f>IF(OR(P2023="",AB2023=""),"",IF(OR(P2023="Gasto",P2023="Transferencia",P2023="Pago tarjeta"),-1,1)*IF(IFERROR(INDEX(ctaMoneda,MATCH(AB2023,ctaNombre,0))&amp;"","DOP")="USD",T2023,S2023))</f>
        <v/>
      </c>
      <c r="AG2023" s="53">
        <f>IF(AC2023="","",IF(IFERROR(INDEX(ctaMoneda,MATCH(AC2023,ctaNombre,0))&amp;"","DOP")="USD",T2023,S2023))</f>
        <v/>
      </c>
      <c r="AH2023" s="53">
        <f>IF(P2023="","",IF(AND(AD2023&lt;&gt;"",COUNTIFS(tcTipo,AD2023,tcLiq,"Sí")&gt;0),IF(OR(P2023="Gasto",P2023="Transferencia",P2023="Pago tarjeta"),-1,1)*S2023,0)+IF(AND(AE2023&lt;&gt;"",COUNTIFS(tcTipo,AE2023,tcLiq,"Sí")&gt;0),S2023,0))</f>
        <v/>
      </c>
      <c r="AI2023" s="52">
        <f>IF(OR(L2023="",P2023=""),"",IF(COUNTIFS(L$6:L2023,L2023,P$6:P2023,"?*")=1,MAX(AI$5:AI2022)+1,""))</f>
        <v/>
      </c>
    </row>
    <row r="2024">
      <c r="B2024" s="47" t="n"/>
      <c r="C2024" s="48" t="n"/>
      <c r="D2024" s="48" t="n"/>
      <c r="E2024" s="48" t="n"/>
      <c r="F2024" s="48" t="n"/>
      <c r="G2024" s="49" t="n"/>
      <c r="H2024" s="48" t="n"/>
      <c r="I2024" s="50" t="n"/>
      <c r="J2024" s="48" t="n"/>
      <c r="K2024" s="48" t="n"/>
      <c r="L2024" s="48" t="n"/>
      <c r="M2024" s="48" t="n"/>
      <c r="N2024" s="48" t="n"/>
      <c r="O2024" s="51">
        <f>IF(AND(B2024="",G2024="",C2024="",D2024="",J2024=""),"",IF(B2024="","⚠ Falta fecha",IF(G2024="","⚠ Falta monto",IF(Q2024="","⚠ Falta cuenta",IF(ISNA(MATCH(Q2024,ctaNombre,0)),"⚠ Cuenta no registrada",IF(AND(OR(P2024="Gasto",P2024="Reembolso"),D2024=""),"⚠ Falta categoría",IF(AND(D2024&lt;&gt;"",E2024&lt;&gt;"",ISNA(MATCH(D2024&amp;"|"&amp;E2024,catClave,0))),"⚠ Subcategoría no corresponde",IF(AND(OR(P2024="Transferencia",P2024="Pago tarjeta"),K2024=""),"⚠ Falta cuenta destino",IF(AND(K2024&lt;&gt;"",P2024&lt;&gt;"Transferencia",P2024&lt;&gt;"Pago tarjeta"),"⚠ Destino solo aplica a transferencias",IF(AND(K2024&lt;&gt;"",K2024=Q2024),"⚠ Origen igual a destino",IF(AND(K2024&lt;&gt;"",ISNA(MATCH(K2024,ctaNombre,0))),"⚠ Destino no registrado",IF(AND(P2024="Pago tarjeta",AE2024&lt;&gt;"Tarjeta de crédito"),"⚠ El destino debe ser tarjeta de crédito",IF(AND(P2024="Gasto",E2024="Depósitos y retiros"),"⚠ Usa tipo Transferencia",IF(AND(P2024="Resultado trading",AD2024&lt;&gt;"Cuenta de trading"),"⚠ Usa una cuenta de trading",IF(AND(G2024&lt;=0,P2024&lt;&gt;"Ajuste",P2024&lt;&gt;"Resultado trading"),"⚠ El monto debe ser positivo","✓")))))))))))))))</f>
        <v/>
      </c>
      <c r="P2024" s="52">
        <f>IF(OR(B2024="",G2024=""),"",IF(C2024="","Gasto",C2024))</f>
        <v/>
      </c>
      <c r="Q2024" s="52">
        <f>IF(P2024="","",IF(J2024&lt;&gt;"",J2024,CuentaPred&amp;""))</f>
        <v/>
      </c>
      <c r="R2024" s="52">
        <f>IF(P2024="","",IF(ISNUMBER(I2024),I2024,TasaUSD))</f>
        <v/>
      </c>
      <c r="S2024" s="53">
        <f>IF(P2024="","",IF(H2024="USD",G2024*R2024,G2024))</f>
        <v/>
      </c>
      <c r="T2024" s="53">
        <f>IF(P2024="","",IF(H2024="USD",G2024,IF(R2024&gt;0,G2024/R2024,0)))</f>
        <v/>
      </c>
      <c r="U2024" s="53">
        <f>IF(P2024="","",IF(P2024="Gasto",S2024,IF(P2024="Reembolso",-S2024,0)))</f>
        <v/>
      </c>
      <c r="V2024" s="53">
        <f>IF(P2024="","",IF(P2024="Ingreso",S2024,0))</f>
        <v/>
      </c>
      <c r="W2024" s="53">
        <f>IF(P2024="","",IF(P2024="Resultado trading",S2024,0))</f>
        <v/>
      </c>
      <c r="X2024" s="52">
        <f>IF(OR(P2024="Gasto",P2024="Reembolso"),IF(M2024&lt;&gt;"",M2024,IFERROR(INDEX(catClasif,MATCH(D2024&amp;"|"&amp;E2024,catClave,0))&amp;"","Variable")),"")</f>
        <v/>
      </c>
      <c r="Y2024" s="52">
        <f>IF(P2024="","",IFERROR(INDEX(catGrupo,MATCH(D2024&amp;"|"&amp;E2024,catClave,0))&amp;"",""))</f>
        <v/>
      </c>
      <c r="Z2024" s="52">
        <f>IF(P2024="","",WEEKDAY(B2024,2))</f>
        <v/>
      </c>
      <c r="AA2024" s="52">
        <f>IF(P2024="","",IF(AND(P2024="Gasto",X2024="Variable",D2024&lt;&gt;catTrading,S2024&gt;0,S2024&lt;=Umbral),1,0))</f>
        <v/>
      </c>
      <c r="AB2024" s="52">
        <f>IF(OR(P2024="",Q2024=""),"",IFERROR(IF(INDEX(ctaVinc,MATCH(Q2024,ctaNombre,0))&amp;""&lt;&gt;"",INDEX(ctaVinc,MATCH(Q2024,ctaNombre,0))&amp;"",Q2024),Q2024))</f>
        <v/>
      </c>
      <c r="AC2024" s="52">
        <f>IF(OR(K2024="",AND(P2024&lt;&gt;"Transferencia",P2024&lt;&gt;"Pago tarjeta")),"",IFERROR(IF(INDEX(ctaVinc,MATCH(K2024,ctaNombre,0))&amp;""&lt;&gt;"",INDEX(ctaVinc,MATCH(K2024,ctaNombre,0))&amp;"",K2024),K2024))</f>
        <v/>
      </c>
      <c r="AD2024" s="52">
        <f>IF(AB2024="","",IFERROR(INDEX(ctaTipo,MATCH(AB2024,ctaNombre,0))&amp;"",""))</f>
        <v/>
      </c>
      <c r="AE2024" s="52">
        <f>IF(AC2024="","",IFERROR(INDEX(ctaTipo,MATCH(AC2024,ctaNombre,0))&amp;"",""))</f>
        <v/>
      </c>
      <c r="AF2024" s="53">
        <f>IF(OR(P2024="",AB2024=""),"",IF(OR(P2024="Gasto",P2024="Transferencia",P2024="Pago tarjeta"),-1,1)*IF(IFERROR(INDEX(ctaMoneda,MATCH(AB2024,ctaNombre,0))&amp;"","DOP")="USD",T2024,S2024))</f>
        <v/>
      </c>
      <c r="AG2024" s="53">
        <f>IF(AC2024="","",IF(IFERROR(INDEX(ctaMoneda,MATCH(AC2024,ctaNombre,0))&amp;"","DOP")="USD",T2024,S2024))</f>
        <v/>
      </c>
      <c r="AH2024" s="53">
        <f>IF(P2024="","",IF(AND(AD2024&lt;&gt;"",COUNTIFS(tcTipo,AD2024,tcLiq,"Sí")&gt;0),IF(OR(P2024="Gasto",P2024="Transferencia",P2024="Pago tarjeta"),-1,1)*S2024,0)+IF(AND(AE2024&lt;&gt;"",COUNTIFS(tcTipo,AE2024,tcLiq,"Sí")&gt;0),S2024,0))</f>
        <v/>
      </c>
      <c r="AI2024" s="52">
        <f>IF(OR(L2024="",P2024=""),"",IF(COUNTIFS(L$6:L2024,L2024,P$6:P2024,"?*")=1,MAX(AI$5:AI2023)+1,""))</f>
        <v/>
      </c>
    </row>
    <row r="2025">
      <c r="B2025" s="47" t="n"/>
      <c r="C2025" s="48" t="n"/>
      <c r="D2025" s="48" t="n"/>
      <c r="E2025" s="48" t="n"/>
      <c r="F2025" s="48" t="n"/>
      <c r="G2025" s="49" t="n"/>
      <c r="H2025" s="48" t="n"/>
      <c r="I2025" s="50" t="n"/>
      <c r="J2025" s="48" t="n"/>
      <c r="K2025" s="48" t="n"/>
      <c r="L2025" s="48" t="n"/>
      <c r="M2025" s="48" t="n"/>
      <c r="N2025" s="48" t="n"/>
      <c r="O2025" s="51">
        <f>IF(AND(B2025="",G2025="",C2025="",D2025="",J2025=""),"",IF(B2025="","⚠ Falta fecha",IF(G2025="","⚠ Falta monto",IF(Q2025="","⚠ Falta cuenta",IF(ISNA(MATCH(Q2025,ctaNombre,0)),"⚠ Cuenta no registrada",IF(AND(OR(P2025="Gasto",P2025="Reembolso"),D2025=""),"⚠ Falta categoría",IF(AND(D2025&lt;&gt;"",E2025&lt;&gt;"",ISNA(MATCH(D2025&amp;"|"&amp;E2025,catClave,0))),"⚠ Subcategoría no corresponde",IF(AND(OR(P2025="Transferencia",P2025="Pago tarjeta"),K2025=""),"⚠ Falta cuenta destino",IF(AND(K2025&lt;&gt;"",P2025&lt;&gt;"Transferencia",P2025&lt;&gt;"Pago tarjeta"),"⚠ Destino solo aplica a transferencias",IF(AND(K2025&lt;&gt;"",K2025=Q2025),"⚠ Origen igual a destino",IF(AND(K2025&lt;&gt;"",ISNA(MATCH(K2025,ctaNombre,0))),"⚠ Destino no registrado",IF(AND(P2025="Pago tarjeta",AE2025&lt;&gt;"Tarjeta de crédito"),"⚠ El destino debe ser tarjeta de crédito",IF(AND(P2025="Gasto",E2025="Depósitos y retiros"),"⚠ Usa tipo Transferencia",IF(AND(P2025="Resultado trading",AD2025&lt;&gt;"Cuenta de trading"),"⚠ Usa una cuenta de trading",IF(AND(G2025&lt;=0,P2025&lt;&gt;"Ajuste",P2025&lt;&gt;"Resultado trading"),"⚠ El monto debe ser positivo","✓")))))))))))))))</f>
        <v/>
      </c>
      <c r="P2025" s="52">
        <f>IF(OR(B2025="",G2025=""),"",IF(C2025="","Gasto",C2025))</f>
        <v/>
      </c>
      <c r="Q2025" s="52">
        <f>IF(P2025="","",IF(J2025&lt;&gt;"",J2025,CuentaPred&amp;""))</f>
        <v/>
      </c>
      <c r="R2025" s="52">
        <f>IF(P2025="","",IF(ISNUMBER(I2025),I2025,TasaUSD))</f>
        <v/>
      </c>
      <c r="S2025" s="53">
        <f>IF(P2025="","",IF(H2025="USD",G2025*R2025,G2025))</f>
        <v/>
      </c>
      <c r="T2025" s="53">
        <f>IF(P2025="","",IF(H2025="USD",G2025,IF(R2025&gt;0,G2025/R2025,0)))</f>
        <v/>
      </c>
      <c r="U2025" s="53">
        <f>IF(P2025="","",IF(P2025="Gasto",S2025,IF(P2025="Reembolso",-S2025,0)))</f>
        <v/>
      </c>
      <c r="V2025" s="53">
        <f>IF(P2025="","",IF(P2025="Ingreso",S2025,0))</f>
        <v/>
      </c>
      <c r="W2025" s="53">
        <f>IF(P2025="","",IF(P2025="Resultado trading",S2025,0))</f>
        <v/>
      </c>
      <c r="X2025" s="52">
        <f>IF(OR(P2025="Gasto",P2025="Reembolso"),IF(M2025&lt;&gt;"",M2025,IFERROR(INDEX(catClasif,MATCH(D2025&amp;"|"&amp;E2025,catClave,0))&amp;"","Variable")),"")</f>
        <v/>
      </c>
      <c r="Y2025" s="52">
        <f>IF(P2025="","",IFERROR(INDEX(catGrupo,MATCH(D2025&amp;"|"&amp;E2025,catClave,0))&amp;"",""))</f>
        <v/>
      </c>
      <c r="Z2025" s="52">
        <f>IF(P2025="","",WEEKDAY(B2025,2))</f>
        <v/>
      </c>
      <c r="AA2025" s="52">
        <f>IF(P2025="","",IF(AND(P2025="Gasto",X2025="Variable",D2025&lt;&gt;catTrading,S2025&gt;0,S2025&lt;=Umbral),1,0))</f>
        <v/>
      </c>
      <c r="AB2025" s="52">
        <f>IF(OR(P2025="",Q2025=""),"",IFERROR(IF(INDEX(ctaVinc,MATCH(Q2025,ctaNombre,0))&amp;""&lt;&gt;"",INDEX(ctaVinc,MATCH(Q2025,ctaNombre,0))&amp;"",Q2025),Q2025))</f>
        <v/>
      </c>
      <c r="AC2025" s="52">
        <f>IF(OR(K2025="",AND(P2025&lt;&gt;"Transferencia",P2025&lt;&gt;"Pago tarjeta")),"",IFERROR(IF(INDEX(ctaVinc,MATCH(K2025,ctaNombre,0))&amp;""&lt;&gt;"",INDEX(ctaVinc,MATCH(K2025,ctaNombre,0))&amp;"",K2025),K2025))</f>
        <v/>
      </c>
      <c r="AD2025" s="52">
        <f>IF(AB2025="","",IFERROR(INDEX(ctaTipo,MATCH(AB2025,ctaNombre,0))&amp;"",""))</f>
        <v/>
      </c>
      <c r="AE2025" s="52">
        <f>IF(AC2025="","",IFERROR(INDEX(ctaTipo,MATCH(AC2025,ctaNombre,0))&amp;"",""))</f>
        <v/>
      </c>
      <c r="AF2025" s="53">
        <f>IF(OR(P2025="",AB2025=""),"",IF(OR(P2025="Gasto",P2025="Transferencia",P2025="Pago tarjeta"),-1,1)*IF(IFERROR(INDEX(ctaMoneda,MATCH(AB2025,ctaNombre,0))&amp;"","DOP")="USD",T2025,S2025))</f>
        <v/>
      </c>
      <c r="AG2025" s="53">
        <f>IF(AC2025="","",IF(IFERROR(INDEX(ctaMoneda,MATCH(AC2025,ctaNombre,0))&amp;"","DOP")="USD",T2025,S2025))</f>
        <v/>
      </c>
      <c r="AH2025" s="53">
        <f>IF(P2025="","",IF(AND(AD2025&lt;&gt;"",COUNTIFS(tcTipo,AD2025,tcLiq,"Sí")&gt;0),IF(OR(P2025="Gasto",P2025="Transferencia",P2025="Pago tarjeta"),-1,1)*S2025,0)+IF(AND(AE2025&lt;&gt;"",COUNTIFS(tcTipo,AE2025,tcLiq,"Sí")&gt;0),S2025,0))</f>
        <v/>
      </c>
      <c r="AI2025" s="52">
        <f>IF(OR(L2025="",P2025=""),"",IF(COUNTIFS(L$6:L2025,L2025,P$6:P2025,"?*")=1,MAX(AI$5:AI2024)+1,""))</f>
        <v/>
      </c>
    </row>
    <row r="2026">
      <c r="B2026" s="47" t="n"/>
      <c r="C2026" s="48" t="n"/>
      <c r="D2026" s="48" t="n"/>
      <c r="E2026" s="48" t="n"/>
      <c r="F2026" s="48" t="n"/>
      <c r="G2026" s="49" t="n"/>
      <c r="H2026" s="48" t="n"/>
      <c r="I2026" s="50" t="n"/>
      <c r="J2026" s="48" t="n"/>
      <c r="K2026" s="48" t="n"/>
      <c r="L2026" s="48" t="n"/>
      <c r="M2026" s="48" t="n"/>
      <c r="N2026" s="48" t="n"/>
      <c r="O2026" s="51">
        <f>IF(AND(B2026="",G2026="",C2026="",D2026="",J2026=""),"",IF(B2026="","⚠ Falta fecha",IF(G2026="","⚠ Falta monto",IF(Q2026="","⚠ Falta cuenta",IF(ISNA(MATCH(Q2026,ctaNombre,0)),"⚠ Cuenta no registrada",IF(AND(OR(P2026="Gasto",P2026="Reembolso"),D2026=""),"⚠ Falta categoría",IF(AND(D2026&lt;&gt;"",E2026&lt;&gt;"",ISNA(MATCH(D2026&amp;"|"&amp;E2026,catClave,0))),"⚠ Subcategoría no corresponde",IF(AND(OR(P2026="Transferencia",P2026="Pago tarjeta"),K2026=""),"⚠ Falta cuenta destino",IF(AND(K2026&lt;&gt;"",P2026&lt;&gt;"Transferencia",P2026&lt;&gt;"Pago tarjeta"),"⚠ Destino solo aplica a transferencias",IF(AND(K2026&lt;&gt;"",K2026=Q2026),"⚠ Origen igual a destino",IF(AND(K2026&lt;&gt;"",ISNA(MATCH(K2026,ctaNombre,0))),"⚠ Destino no registrado",IF(AND(P2026="Pago tarjeta",AE2026&lt;&gt;"Tarjeta de crédito"),"⚠ El destino debe ser tarjeta de crédito",IF(AND(P2026="Gasto",E2026="Depósitos y retiros"),"⚠ Usa tipo Transferencia",IF(AND(P2026="Resultado trading",AD2026&lt;&gt;"Cuenta de trading"),"⚠ Usa una cuenta de trading",IF(AND(G2026&lt;=0,P2026&lt;&gt;"Ajuste",P2026&lt;&gt;"Resultado trading"),"⚠ El monto debe ser positivo","✓")))))))))))))))</f>
        <v/>
      </c>
      <c r="P2026" s="52">
        <f>IF(OR(B2026="",G2026=""),"",IF(C2026="","Gasto",C2026))</f>
        <v/>
      </c>
      <c r="Q2026" s="52">
        <f>IF(P2026="","",IF(J2026&lt;&gt;"",J2026,CuentaPred&amp;""))</f>
        <v/>
      </c>
      <c r="R2026" s="52">
        <f>IF(P2026="","",IF(ISNUMBER(I2026),I2026,TasaUSD))</f>
        <v/>
      </c>
      <c r="S2026" s="53">
        <f>IF(P2026="","",IF(H2026="USD",G2026*R2026,G2026))</f>
        <v/>
      </c>
      <c r="T2026" s="53">
        <f>IF(P2026="","",IF(H2026="USD",G2026,IF(R2026&gt;0,G2026/R2026,0)))</f>
        <v/>
      </c>
      <c r="U2026" s="53">
        <f>IF(P2026="","",IF(P2026="Gasto",S2026,IF(P2026="Reembolso",-S2026,0)))</f>
        <v/>
      </c>
      <c r="V2026" s="53">
        <f>IF(P2026="","",IF(P2026="Ingreso",S2026,0))</f>
        <v/>
      </c>
      <c r="W2026" s="53">
        <f>IF(P2026="","",IF(P2026="Resultado trading",S2026,0))</f>
        <v/>
      </c>
      <c r="X2026" s="52">
        <f>IF(OR(P2026="Gasto",P2026="Reembolso"),IF(M2026&lt;&gt;"",M2026,IFERROR(INDEX(catClasif,MATCH(D2026&amp;"|"&amp;E2026,catClave,0))&amp;"","Variable")),"")</f>
        <v/>
      </c>
      <c r="Y2026" s="52">
        <f>IF(P2026="","",IFERROR(INDEX(catGrupo,MATCH(D2026&amp;"|"&amp;E2026,catClave,0))&amp;"",""))</f>
        <v/>
      </c>
      <c r="Z2026" s="52">
        <f>IF(P2026="","",WEEKDAY(B2026,2))</f>
        <v/>
      </c>
      <c r="AA2026" s="52">
        <f>IF(P2026="","",IF(AND(P2026="Gasto",X2026="Variable",D2026&lt;&gt;catTrading,S2026&gt;0,S2026&lt;=Umbral),1,0))</f>
        <v/>
      </c>
      <c r="AB2026" s="52">
        <f>IF(OR(P2026="",Q2026=""),"",IFERROR(IF(INDEX(ctaVinc,MATCH(Q2026,ctaNombre,0))&amp;""&lt;&gt;"",INDEX(ctaVinc,MATCH(Q2026,ctaNombre,0))&amp;"",Q2026),Q2026))</f>
        <v/>
      </c>
      <c r="AC2026" s="52">
        <f>IF(OR(K2026="",AND(P2026&lt;&gt;"Transferencia",P2026&lt;&gt;"Pago tarjeta")),"",IFERROR(IF(INDEX(ctaVinc,MATCH(K2026,ctaNombre,0))&amp;""&lt;&gt;"",INDEX(ctaVinc,MATCH(K2026,ctaNombre,0))&amp;"",K2026),K2026))</f>
        <v/>
      </c>
      <c r="AD2026" s="52">
        <f>IF(AB2026="","",IFERROR(INDEX(ctaTipo,MATCH(AB2026,ctaNombre,0))&amp;"",""))</f>
        <v/>
      </c>
      <c r="AE2026" s="52">
        <f>IF(AC2026="","",IFERROR(INDEX(ctaTipo,MATCH(AC2026,ctaNombre,0))&amp;"",""))</f>
        <v/>
      </c>
      <c r="AF2026" s="53">
        <f>IF(OR(P2026="",AB2026=""),"",IF(OR(P2026="Gasto",P2026="Transferencia",P2026="Pago tarjeta"),-1,1)*IF(IFERROR(INDEX(ctaMoneda,MATCH(AB2026,ctaNombre,0))&amp;"","DOP")="USD",T2026,S2026))</f>
        <v/>
      </c>
      <c r="AG2026" s="53">
        <f>IF(AC2026="","",IF(IFERROR(INDEX(ctaMoneda,MATCH(AC2026,ctaNombre,0))&amp;"","DOP")="USD",T2026,S2026))</f>
        <v/>
      </c>
      <c r="AH2026" s="53">
        <f>IF(P2026="","",IF(AND(AD2026&lt;&gt;"",COUNTIFS(tcTipo,AD2026,tcLiq,"Sí")&gt;0),IF(OR(P2026="Gasto",P2026="Transferencia",P2026="Pago tarjeta"),-1,1)*S2026,0)+IF(AND(AE2026&lt;&gt;"",COUNTIFS(tcTipo,AE2026,tcLiq,"Sí")&gt;0),S2026,0))</f>
        <v/>
      </c>
      <c r="AI2026" s="52">
        <f>IF(OR(L2026="",P2026=""),"",IF(COUNTIFS(L$6:L2026,L2026,P$6:P2026,"?*")=1,MAX(AI$5:AI2025)+1,""))</f>
        <v/>
      </c>
    </row>
    <row r="2027">
      <c r="B2027" s="47" t="n"/>
      <c r="C2027" s="48" t="n"/>
      <c r="D2027" s="48" t="n"/>
      <c r="E2027" s="48" t="n"/>
      <c r="F2027" s="48" t="n"/>
      <c r="G2027" s="49" t="n"/>
      <c r="H2027" s="48" t="n"/>
      <c r="I2027" s="50" t="n"/>
      <c r="J2027" s="48" t="n"/>
      <c r="K2027" s="48" t="n"/>
      <c r="L2027" s="48" t="n"/>
      <c r="M2027" s="48" t="n"/>
      <c r="N2027" s="48" t="n"/>
      <c r="O2027" s="51">
        <f>IF(AND(B2027="",G2027="",C2027="",D2027="",J2027=""),"",IF(B2027="","⚠ Falta fecha",IF(G2027="","⚠ Falta monto",IF(Q2027="","⚠ Falta cuenta",IF(ISNA(MATCH(Q2027,ctaNombre,0)),"⚠ Cuenta no registrada",IF(AND(OR(P2027="Gasto",P2027="Reembolso"),D2027=""),"⚠ Falta categoría",IF(AND(D2027&lt;&gt;"",E2027&lt;&gt;"",ISNA(MATCH(D2027&amp;"|"&amp;E2027,catClave,0))),"⚠ Subcategoría no corresponde",IF(AND(OR(P2027="Transferencia",P2027="Pago tarjeta"),K2027=""),"⚠ Falta cuenta destino",IF(AND(K2027&lt;&gt;"",P2027&lt;&gt;"Transferencia",P2027&lt;&gt;"Pago tarjeta"),"⚠ Destino solo aplica a transferencias",IF(AND(K2027&lt;&gt;"",K2027=Q2027),"⚠ Origen igual a destino",IF(AND(K2027&lt;&gt;"",ISNA(MATCH(K2027,ctaNombre,0))),"⚠ Destino no registrado",IF(AND(P2027="Pago tarjeta",AE2027&lt;&gt;"Tarjeta de crédito"),"⚠ El destino debe ser tarjeta de crédito",IF(AND(P2027="Gasto",E2027="Depósitos y retiros"),"⚠ Usa tipo Transferencia",IF(AND(P2027="Resultado trading",AD2027&lt;&gt;"Cuenta de trading"),"⚠ Usa una cuenta de trading",IF(AND(G2027&lt;=0,P2027&lt;&gt;"Ajuste",P2027&lt;&gt;"Resultado trading"),"⚠ El monto debe ser positivo","✓")))))))))))))))</f>
        <v/>
      </c>
      <c r="P2027" s="52">
        <f>IF(OR(B2027="",G2027=""),"",IF(C2027="","Gasto",C2027))</f>
        <v/>
      </c>
      <c r="Q2027" s="52">
        <f>IF(P2027="","",IF(J2027&lt;&gt;"",J2027,CuentaPred&amp;""))</f>
        <v/>
      </c>
      <c r="R2027" s="52">
        <f>IF(P2027="","",IF(ISNUMBER(I2027),I2027,TasaUSD))</f>
        <v/>
      </c>
      <c r="S2027" s="53">
        <f>IF(P2027="","",IF(H2027="USD",G2027*R2027,G2027))</f>
        <v/>
      </c>
      <c r="T2027" s="53">
        <f>IF(P2027="","",IF(H2027="USD",G2027,IF(R2027&gt;0,G2027/R2027,0)))</f>
        <v/>
      </c>
      <c r="U2027" s="53">
        <f>IF(P2027="","",IF(P2027="Gasto",S2027,IF(P2027="Reembolso",-S2027,0)))</f>
        <v/>
      </c>
      <c r="V2027" s="53">
        <f>IF(P2027="","",IF(P2027="Ingreso",S2027,0))</f>
        <v/>
      </c>
      <c r="W2027" s="53">
        <f>IF(P2027="","",IF(P2027="Resultado trading",S2027,0))</f>
        <v/>
      </c>
      <c r="X2027" s="52">
        <f>IF(OR(P2027="Gasto",P2027="Reembolso"),IF(M2027&lt;&gt;"",M2027,IFERROR(INDEX(catClasif,MATCH(D2027&amp;"|"&amp;E2027,catClave,0))&amp;"","Variable")),"")</f>
        <v/>
      </c>
      <c r="Y2027" s="52">
        <f>IF(P2027="","",IFERROR(INDEX(catGrupo,MATCH(D2027&amp;"|"&amp;E2027,catClave,0))&amp;"",""))</f>
        <v/>
      </c>
      <c r="Z2027" s="52">
        <f>IF(P2027="","",WEEKDAY(B2027,2))</f>
        <v/>
      </c>
      <c r="AA2027" s="52">
        <f>IF(P2027="","",IF(AND(P2027="Gasto",X2027="Variable",D2027&lt;&gt;catTrading,S2027&gt;0,S2027&lt;=Umbral),1,0))</f>
        <v/>
      </c>
      <c r="AB2027" s="52">
        <f>IF(OR(P2027="",Q2027=""),"",IFERROR(IF(INDEX(ctaVinc,MATCH(Q2027,ctaNombre,0))&amp;""&lt;&gt;"",INDEX(ctaVinc,MATCH(Q2027,ctaNombre,0))&amp;"",Q2027),Q2027))</f>
        <v/>
      </c>
      <c r="AC2027" s="52">
        <f>IF(OR(K2027="",AND(P2027&lt;&gt;"Transferencia",P2027&lt;&gt;"Pago tarjeta")),"",IFERROR(IF(INDEX(ctaVinc,MATCH(K2027,ctaNombre,0))&amp;""&lt;&gt;"",INDEX(ctaVinc,MATCH(K2027,ctaNombre,0))&amp;"",K2027),K2027))</f>
        <v/>
      </c>
      <c r="AD2027" s="52">
        <f>IF(AB2027="","",IFERROR(INDEX(ctaTipo,MATCH(AB2027,ctaNombre,0))&amp;"",""))</f>
        <v/>
      </c>
      <c r="AE2027" s="52">
        <f>IF(AC2027="","",IFERROR(INDEX(ctaTipo,MATCH(AC2027,ctaNombre,0))&amp;"",""))</f>
        <v/>
      </c>
      <c r="AF2027" s="53">
        <f>IF(OR(P2027="",AB2027=""),"",IF(OR(P2027="Gasto",P2027="Transferencia",P2027="Pago tarjeta"),-1,1)*IF(IFERROR(INDEX(ctaMoneda,MATCH(AB2027,ctaNombre,0))&amp;"","DOP")="USD",T2027,S2027))</f>
        <v/>
      </c>
      <c r="AG2027" s="53">
        <f>IF(AC2027="","",IF(IFERROR(INDEX(ctaMoneda,MATCH(AC2027,ctaNombre,0))&amp;"","DOP")="USD",T2027,S2027))</f>
        <v/>
      </c>
      <c r="AH2027" s="53">
        <f>IF(P2027="","",IF(AND(AD2027&lt;&gt;"",COUNTIFS(tcTipo,AD2027,tcLiq,"Sí")&gt;0),IF(OR(P2027="Gasto",P2027="Transferencia",P2027="Pago tarjeta"),-1,1)*S2027,0)+IF(AND(AE2027&lt;&gt;"",COUNTIFS(tcTipo,AE2027,tcLiq,"Sí")&gt;0),S2027,0))</f>
        <v/>
      </c>
      <c r="AI2027" s="52">
        <f>IF(OR(L2027="",P2027=""),"",IF(COUNTIFS(L$6:L2027,L2027,P$6:P2027,"?*")=1,MAX(AI$5:AI2026)+1,""))</f>
        <v/>
      </c>
    </row>
    <row r="2028">
      <c r="B2028" s="47" t="n"/>
      <c r="C2028" s="48" t="n"/>
      <c r="D2028" s="48" t="n"/>
      <c r="E2028" s="48" t="n"/>
      <c r="F2028" s="48" t="n"/>
      <c r="G2028" s="49" t="n"/>
      <c r="H2028" s="48" t="n"/>
      <c r="I2028" s="50" t="n"/>
      <c r="J2028" s="48" t="n"/>
      <c r="K2028" s="48" t="n"/>
      <c r="L2028" s="48" t="n"/>
      <c r="M2028" s="48" t="n"/>
      <c r="N2028" s="48" t="n"/>
      <c r="O2028" s="51">
        <f>IF(AND(B2028="",G2028="",C2028="",D2028="",J2028=""),"",IF(B2028="","⚠ Falta fecha",IF(G2028="","⚠ Falta monto",IF(Q2028="","⚠ Falta cuenta",IF(ISNA(MATCH(Q2028,ctaNombre,0)),"⚠ Cuenta no registrada",IF(AND(OR(P2028="Gasto",P2028="Reembolso"),D2028=""),"⚠ Falta categoría",IF(AND(D2028&lt;&gt;"",E2028&lt;&gt;"",ISNA(MATCH(D2028&amp;"|"&amp;E2028,catClave,0))),"⚠ Subcategoría no corresponde",IF(AND(OR(P2028="Transferencia",P2028="Pago tarjeta"),K2028=""),"⚠ Falta cuenta destino",IF(AND(K2028&lt;&gt;"",P2028&lt;&gt;"Transferencia",P2028&lt;&gt;"Pago tarjeta"),"⚠ Destino solo aplica a transferencias",IF(AND(K2028&lt;&gt;"",K2028=Q2028),"⚠ Origen igual a destino",IF(AND(K2028&lt;&gt;"",ISNA(MATCH(K2028,ctaNombre,0))),"⚠ Destino no registrado",IF(AND(P2028="Pago tarjeta",AE2028&lt;&gt;"Tarjeta de crédito"),"⚠ El destino debe ser tarjeta de crédito",IF(AND(P2028="Gasto",E2028="Depósitos y retiros"),"⚠ Usa tipo Transferencia",IF(AND(P2028="Resultado trading",AD2028&lt;&gt;"Cuenta de trading"),"⚠ Usa una cuenta de trading",IF(AND(G2028&lt;=0,P2028&lt;&gt;"Ajuste",P2028&lt;&gt;"Resultado trading"),"⚠ El monto debe ser positivo","✓")))))))))))))))</f>
        <v/>
      </c>
      <c r="P2028" s="52">
        <f>IF(OR(B2028="",G2028=""),"",IF(C2028="","Gasto",C2028))</f>
        <v/>
      </c>
      <c r="Q2028" s="52">
        <f>IF(P2028="","",IF(J2028&lt;&gt;"",J2028,CuentaPred&amp;""))</f>
        <v/>
      </c>
      <c r="R2028" s="52">
        <f>IF(P2028="","",IF(ISNUMBER(I2028),I2028,TasaUSD))</f>
        <v/>
      </c>
      <c r="S2028" s="53">
        <f>IF(P2028="","",IF(H2028="USD",G2028*R2028,G2028))</f>
        <v/>
      </c>
      <c r="T2028" s="53">
        <f>IF(P2028="","",IF(H2028="USD",G2028,IF(R2028&gt;0,G2028/R2028,0)))</f>
        <v/>
      </c>
      <c r="U2028" s="53">
        <f>IF(P2028="","",IF(P2028="Gasto",S2028,IF(P2028="Reembolso",-S2028,0)))</f>
        <v/>
      </c>
      <c r="V2028" s="53">
        <f>IF(P2028="","",IF(P2028="Ingreso",S2028,0))</f>
        <v/>
      </c>
      <c r="W2028" s="53">
        <f>IF(P2028="","",IF(P2028="Resultado trading",S2028,0))</f>
        <v/>
      </c>
      <c r="X2028" s="52">
        <f>IF(OR(P2028="Gasto",P2028="Reembolso"),IF(M2028&lt;&gt;"",M2028,IFERROR(INDEX(catClasif,MATCH(D2028&amp;"|"&amp;E2028,catClave,0))&amp;"","Variable")),"")</f>
        <v/>
      </c>
      <c r="Y2028" s="52">
        <f>IF(P2028="","",IFERROR(INDEX(catGrupo,MATCH(D2028&amp;"|"&amp;E2028,catClave,0))&amp;"",""))</f>
        <v/>
      </c>
      <c r="Z2028" s="52">
        <f>IF(P2028="","",WEEKDAY(B2028,2))</f>
        <v/>
      </c>
      <c r="AA2028" s="52">
        <f>IF(P2028="","",IF(AND(P2028="Gasto",X2028="Variable",D2028&lt;&gt;catTrading,S2028&gt;0,S2028&lt;=Umbral),1,0))</f>
        <v/>
      </c>
      <c r="AB2028" s="52">
        <f>IF(OR(P2028="",Q2028=""),"",IFERROR(IF(INDEX(ctaVinc,MATCH(Q2028,ctaNombre,0))&amp;""&lt;&gt;"",INDEX(ctaVinc,MATCH(Q2028,ctaNombre,0))&amp;"",Q2028),Q2028))</f>
        <v/>
      </c>
      <c r="AC2028" s="52">
        <f>IF(OR(K2028="",AND(P2028&lt;&gt;"Transferencia",P2028&lt;&gt;"Pago tarjeta")),"",IFERROR(IF(INDEX(ctaVinc,MATCH(K2028,ctaNombre,0))&amp;""&lt;&gt;"",INDEX(ctaVinc,MATCH(K2028,ctaNombre,0))&amp;"",K2028),K2028))</f>
        <v/>
      </c>
      <c r="AD2028" s="52">
        <f>IF(AB2028="","",IFERROR(INDEX(ctaTipo,MATCH(AB2028,ctaNombre,0))&amp;"",""))</f>
        <v/>
      </c>
      <c r="AE2028" s="52">
        <f>IF(AC2028="","",IFERROR(INDEX(ctaTipo,MATCH(AC2028,ctaNombre,0))&amp;"",""))</f>
        <v/>
      </c>
      <c r="AF2028" s="53">
        <f>IF(OR(P2028="",AB2028=""),"",IF(OR(P2028="Gasto",P2028="Transferencia",P2028="Pago tarjeta"),-1,1)*IF(IFERROR(INDEX(ctaMoneda,MATCH(AB2028,ctaNombre,0))&amp;"","DOP")="USD",T2028,S2028))</f>
        <v/>
      </c>
      <c r="AG2028" s="53">
        <f>IF(AC2028="","",IF(IFERROR(INDEX(ctaMoneda,MATCH(AC2028,ctaNombre,0))&amp;"","DOP")="USD",T2028,S2028))</f>
        <v/>
      </c>
      <c r="AH2028" s="53">
        <f>IF(P2028="","",IF(AND(AD2028&lt;&gt;"",COUNTIFS(tcTipo,AD2028,tcLiq,"Sí")&gt;0),IF(OR(P2028="Gasto",P2028="Transferencia",P2028="Pago tarjeta"),-1,1)*S2028,0)+IF(AND(AE2028&lt;&gt;"",COUNTIFS(tcTipo,AE2028,tcLiq,"Sí")&gt;0),S2028,0))</f>
        <v/>
      </c>
      <c r="AI2028" s="52">
        <f>IF(OR(L2028="",P2028=""),"",IF(COUNTIFS(L$6:L2028,L2028,P$6:P2028,"?*")=1,MAX(AI$5:AI2027)+1,""))</f>
        <v/>
      </c>
    </row>
    <row r="2029">
      <c r="B2029" s="47" t="n"/>
      <c r="C2029" s="48" t="n"/>
      <c r="D2029" s="48" t="n"/>
      <c r="E2029" s="48" t="n"/>
      <c r="F2029" s="48" t="n"/>
      <c r="G2029" s="49" t="n"/>
      <c r="H2029" s="48" t="n"/>
      <c r="I2029" s="50" t="n"/>
      <c r="J2029" s="48" t="n"/>
      <c r="K2029" s="48" t="n"/>
      <c r="L2029" s="48" t="n"/>
      <c r="M2029" s="48" t="n"/>
      <c r="N2029" s="48" t="n"/>
      <c r="O2029" s="51">
        <f>IF(AND(B2029="",G2029="",C2029="",D2029="",J2029=""),"",IF(B2029="","⚠ Falta fecha",IF(G2029="","⚠ Falta monto",IF(Q2029="","⚠ Falta cuenta",IF(ISNA(MATCH(Q2029,ctaNombre,0)),"⚠ Cuenta no registrada",IF(AND(OR(P2029="Gasto",P2029="Reembolso"),D2029=""),"⚠ Falta categoría",IF(AND(D2029&lt;&gt;"",E2029&lt;&gt;"",ISNA(MATCH(D2029&amp;"|"&amp;E2029,catClave,0))),"⚠ Subcategoría no corresponde",IF(AND(OR(P2029="Transferencia",P2029="Pago tarjeta"),K2029=""),"⚠ Falta cuenta destino",IF(AND(K2029&lt;&gt;"",P2029&lt;&gt;"Transferencia",P2029&lt;&gt;"Pago tarjeta"),"⚠ Destino solo aplica a transferencias",IF(AND(K2029&lt;&gt;"",K2029=Q2029),"⚠ Origen igual a destino",IF(AND(K2029&lt;&gt;"",ISNA(MATCH(K2029,ctaNombre,0))),"⚠ Destino no registrado",IF(AND(P2029="Pago tarjeta",AE2029&lt;&gt;"Tarjeta de crédito"),"⚠ El destino debe ser tarjeta de crédito",IF(AND(P2029="Gasto",E2029="Depósitos y retiros"),"⚠ Usa tipo Transferencia",IF(AND(P2029="Resultado trading",AD2029&lt;&gt;"Cuenta de trading"),"⚠ Usa una cuenta de trading",IF(AND(G2029&lt;=0,P2029&lt;&gt;"Ajuste",P2029&lt;&gt;"Resultado trading"),"⚠ El monto debe ser positivo","✓")))))))))))))))</f>
        <v/>
      </c>
      <c r="P2029" s="52">
        <f>IF(OR(B2029="",G2029=""),"",IF(C2029="","Gasto",C2029))</f>
        <v/>
      </c>
      <c r="Q2029" s="52">
        <f>IF(P2029="","",IF(J2029&lt;&gt;"",J2029,CuentaPred&amp;""))</f>
        <v/>
      </c>
      <c r="R2029" s="52">
        <f>IF(P2029="","",IF(ISNUMBER(I2029),I2029,TasaUSD))</f>
        <v/>
      </c>
      <c r="S2029" s="53">
        <f>IF(P2029="","",IF(H2029="USD",G2029*R2029,G2029))</f>
        <v/>
      </c>
      <c r="T2029" s="53">
        <f>IF(P2029="","",IF(H2029="USD",G2029,IF(R2029&gt;0,G2029/R2029,0)))</f>
        <v/>
      </c>
      <c r="U2029" s="53">
        <f>IF(P2029="","",IF(P2029="Gasto",S2029,IF(P2029="Reembolso",-S2029,0)))</f>
        <v/>
      </c>
      <c r="V2029" s="53">
        <f>IF(P2029="","",IF(P2029="Ingreso",S2029,0))</f>
        <v/>
      </c>
      <c r="W2029" s="53">
        <f>IF(P2029="","",IF(P2029="Resultado trading",S2029,0))</f>
        <v/>
      </c>
      <c r="X2029" s="52">
        <f>IF(OR(P2029="Gasto",P2029="Reembolso"),IF(M2029&lt;&gt;"",M2029,IFERROR(INDEX(catClasif,MATCH(D2029&amp;"|"&amp;E2029,catClave,0))&amp;"","Variable")),"")</f>
        <v/>
      </c>
      <c r="Y2029" s="52">
        <f>IF(P2029="","",IFERROR(INDEX(catGrupo,MATCH(D2029&amp;"|"&amp;E2029,catClave,0))&amp;"",""))</f>
        <v/>
      </c>
      <c r="Z2029" s="52">
        <f>IF(P2029="","",WEEKDAY(B2029,2))</f>
        <v/>
      </c>
      <c r="AA2029" s="52">
        <f>IF(P2029="","",IF(AND(P2029="Gasto",X2029="Variable",D2029&lt;&gt;catTrading,S2029&gt;0,S2029&lt;=Umbral),1,0))</f>
        <v/>
      </c>
      <c r="AB2029" s="52">
        <f>IF(OR(P2029="",Q2029=""),"",IFERROR(IF(INDEX(ctaVinc,MATCH(Q2029,ctaNombre,0))&amp;""&lt;&gt;"",INDEX(ctaVinc,MATCH(Q2029,ctaNombre,0))&amp;"",Q2029),Q2029))</f>
        <v/>
      </c>
      <c r="AC2029" s="52">
        <f>IF(OR(K2029="",AND(P2029&lt;&gt;"Transferencia",P2029&lt;&gt;"Pago tarjeta")),"",IFERROR(IF(INDEX(ctaVinc,MATCH(K2029,ctaNombre,0))&amp;""&lt;&gt;"",INDEX(ctaVinc,MATCH(K2029,ctaNombre,0))&amp;"",K2029),K2029))</f>
        <v/>
      </c>
      <c r="AD2029" s="52">
        <f>IF(AB2029="","",IFERROR(INDEX(ctaTipo,MATCH(AB2029,ctaNombre,0))&amp;"",""))</f>
        <v/>
      </c>
      <c r="AE2029" s="52">
        <f>IF(AC2029="","",IFERROR(INDEX(ctaTipo,MATCH(AC2029,ctaNombre,0))&amp;"",""))</f>
        <v/>
      </c>
      <c r="AF2029" s="53">
        <f>IF(OR(P2029="",AB2029=""),"",IF(OR(P2029="Gasto",P2029="Transferencia",P2029="Pago tarjeta"),-1,1)*IF(IFERROR(INDEX(ctaMoneda,MATCH(AB2029,ctaNombre,0))&amp;"","DOP")="USD",T2029,S2029))</f>
        <v/>
      </c>
      <c r="AG2029" s="53">
        <f>IF(AC2029="","",IF(IFERROR(INDEX(ctaMoneda,MATCH(AC2029,ctaNombre,0))&amp;"","DOP")="USD",T2029,S2029))</f>
        <v/>
      </c>
      <c r="AH2029" s="53">
        <f>IF(P2029="","",IF(AND(AD2029&lt;&gt;"",COUNTIFS(tcTipo,AD2029,tcLiq,"Sí")&gt;0),IF(OR(P2029="Gasto",P2029="Transferencia",P2029="Pago tarjeta"),-1,1)*S2029,0)+IF(AND(AE2029&lt;&gt;"",COUNTIFS(tcTipo,AE2029,tcLiq,"Sí")&gt;0),S2029,0))</f>
        <v/>
      </c>
      <c r="AI2029" s="52">
        <f>IF(OR(L2029="",P2029=""),"",IF(COUNTIFS(L$6:L2029,L2029,P$6:P2029,"?*")=1,MAX(AI$5:AI2028)+1,""))</f>
        <v/>
      </c>
    </row>
    <row r="2030">
      <c r="B2030" s="47" t="n"/>
      <c r="C2030" s="48" t="n"/>
      <c r="D2030" s="48" t="n"/>
      <c r="E2030" s="48" t="n"/>
      <c r="F2030" s="48" t="n"/>
      <c r="G2030" s="49" t="n"/>
      <c r="H2030" s="48" t="n"/>
      <c r="I2030" s="50" t="n"/>
      <c r="J2030" s="48" t="n"/>
      <c r="K2030" s="48" t="n"/>
      <c r="L2030" s="48" t="n"/>
      <c r="M2030" s="48" t="n"/>
      <c r="N2030" s="48" t="n"/>
      <c r="O2030" s="51">
        <f>IF(AND(B2030="",G2030="",C2030="",D2030="",J2030=""),"",IF(B2030="","⚠ Falta fecha",IF(G2030="","⚠ Falta monto",IF(Q2030="","⚠ Falta cuenta",IF(ISNA(MATCH(Q2030,ctaNombre,0)),"⚠ Cuenta no registrada",IF(AND(OR(P2030="Gasto",P2030="Reembolso"),D2030=""),"⚠ Falta categoría",IF(AND(D2030&lt;&gt;"",E2030&lt;&gt;"",ISNA(MATCH(D2030&amp;"|"&amp;E2030,catClave,0))),"⚠ Subcategoría no corresponde",IF(AND(OR(P2030="Transferencia",P2030="Pago tarjeta"),K2030=""),"⚠ Falta cuenta destino",IF(AND(K2030&lt;&gt;"",P2030&lt;&gt;"Transferencia",P2030&lt;&gt;"Pago tarjeta"),"⚠ Destino solo aplica a transferencias",IF(AND(K2030&lt;&gt;"",K2030=Q2030),"⚠ Origen igual a destino",IF(AND(K2030&lt;&gt;"",ISNA(MATCH(K2030,ctaNombre,0))),"⚠ Destino no registrado",IF(AND(P2030="Pago tarjeta",AE2030&lt;&gt;"Tarjeta de crédito"),"⚠ El destino debe ser tarjeta de crédito",IF(AND(P2030="Gasto",E2030="Depósitos y retiros"),"⚠ Usa tipo Transferencia",IF(AND(P2030="Resultado trading",AD2030&lt;&gt;"Cuenta de trading"),"⚠ Usa una cuenta de trading",IF(AND(G2030&lt;=0,P2030&lt;&gt;"Ajuste",P2030&lt;&gt;"Resultado trading"),"⚠ El monto debe ser positivo","✓")))))))))))))))</f>
        <v/>
      </c>
      <c r="P2030" s="52">
        <f>IF(OR(B2030="",G2030=""),"",IF(C2030="","Gasto",C2030))</f>
        <v/>
      </c>
      <c r="Q2030" s="52">
        <f>IF(P2030="","",IF(J2030&lt;&gt;"",J2030,CuentaPred&amp;""))</f>
        <v/>
      </c>
      <c r="R2030" s="52">
        <f>IF(P2030="","",IF(ISNUMBER(I2030),I2030,TasaUSD))</f>
        <v/>
      </c>
      <c r="S2030" s="53">
        <f>IF(P2030="","",IF(H2030="USD",G2030*R2030,G2030))</f>
        <v/>
      </c>
      <c r="T2030" s="53">
        <f>IF(P2030="","",IF(H2030="USD",G2030,IF(R2030&gt;0,G2030/R2030,0)))</f>
        <v/>
      </c>
      <c r="U2030" s="53">
        <f>IF(P2030="","",IF(P2030="Gasto",S2030,IF(P2030="Reembolso",-S2030,0)))</f>
        <v/>
      </c>
      <c r="V2030" s="53">
        <f>IF(P2030="","",IF(P2030="Ingreso",S2030,0))</f>
        <v/>
      </c>
      <c r="W2030" s="53">
        <f>IF(P2030="","",IF(P2030="Resultado trading",S2030,0))</f>
        <v/>
      </c>
      <c r="X2030" s="52">
        <f>IF(OR(P2030="Gasto",P2030="Reembolso"),IF(M2030&lt;&gt;"",M2030,IFERROR(INDEX(catClasif,MATCH(D2030&amp;"|"&amp;E2030,catClave,0))&amp;"","Variable")),"")</f>
        <v/>
      </c>
      <c r="Y2030" s="52">
        <f>IF(P2030="","",IFERROR(INDEX(catGrupo,MATCH(D2030&amp;"|"&amp;E2030,catClave,0))&amp;"",""))</f>
        <v/>
      </c>
      <c r="Z2030" s="52">
        <f>IF(P2030="","",WEEKDAY(B2030,2))</f>
        <v/>
      </c>
      <c r="AA2030" s="52">
        <f>IF(P2030="","",IF(AND(P2030="Gasto",X2030="Variable",D2030&lt;&gt;catTrading,S2030&gt;0,S2030&lt;=Umbral),1,0))</f>
        <v/>
      </c>
      <c r="AB2030" s="52">
        <f>IF(OR(P2030="",Q2030=""),"",IFERROR(IF(INDEX(ctaVinc,MATCH(Q2030,ctaNombre,0))&amp;""&lt;&gt;"",INDEX(ctaVinc,MATCH(Q2030,ctaNombre,0))&amp;"",Q2030),Q2030))</f>
        <v/>
      </c>
      <c r="AC2030" s="52">
        <f>IF(OR(K2030="",AND(P2030&lt;&gt;"Transferencia",P2030&lt;&gt;"Pago tarjeta")),"",IFERROR(IF(INDEX(ctaVinc,MATCH(K2030,ctaNombre,0))&amp;""&lt;&gt;"",INDEX(ctaVinc,MATCH(K2030,ctaNombre,0))&amp;"",K2030),K2030))</f>
        <v/>
      </c>
      <c r="AD2030" s="52">
        <f>IF(AB2030="","",IFERROR(INDEX(ctaTipo,MATCH(AB2030,ctaNombre,0))&amp;"",""))</f>
        <v/>
      </c>
      <c r="AE2030" s="52">
        <f>IF(AC2030="","",IFERROR(INDEX(ctaTipo,MATCH(AC2030,ctaNombre,0))&amp;"",""))</f>
        <v/>
      </c>
      <c r="AF2030" s="53">
        <f>IF(OR(P2030="",AB2030=""),"",IF(OR(P2030="Gasto",P2030="Transferencia",P2030="Pago tarjeta"),-1,1)*IF(IFERROR(INDEX(ctaMoneda,MATCH(AB2030,ctaNombre,0))&amp;"","DOP")="USD",T2030,S2030))</f>
        <v/>
      </c>
      <c r="AG2030" s="53">
        <f>IF(AC2030="","",IF(IFERROR(INDEX(ctaMoneda,MATCH(AC2030,ctaNombre,0))&amp;"","DOP")="USD",T2030,S2030))</f>
        <v/>
      </c>
      <c r="AH2030" s="53">
        <f>IF(P2030="","",IF(AND(AD2030&lt;&gt;"",COUNTIFS(tcTipo,AD2030,tcLiq,"Sí")&gt;0),IF(OR(P2030="Gasto",P2030="Transferencia",P2030="Pago tarjeta"),-1,1)*S2030,0)+IF(AND(AE2030&lt;&gt;"",COUNTIFS(tcTipo,AE2030,tcLiq,"Sí")&gt;0),S2030,0))</f>
        <v/>
      </c>
      <c r="AI2030" s="52">
        <f>IF(OR(L2030="",P2030=""),"",IF(COUNTIFS(L$6:L2030,L2030,P$6:P2030,"?*")=1,MAX(AI$5:AI2029)+1,""))</f>
        <v/>
      </c>
    </row>
    <row r="2031">
      <c r="B2031" s="47" t="n"/>
      <c r="C2031" s="48" t="n"/>
      <c r="D2031" s="48" t="n"/>
      <c r="E2031" s="48" t="n"/>
      <c r="F2031" s="48" t="n"/>
      <c r="G2031" s="49" t="n"/>
      <c r="H2031" s="48" t="n"/>
      <c r="I2031" s="50" t="n"/>
      <c r="J2031" s="48" t="n"/>
      <c r="K2031" s="48" t="n"/>
      <c r="L2031" s="48" t="n"/>
      <c r="M2031" s="48" t="n"/>
      <c r="N2031" s="48" t="n"/>
      <c r="O2031" s="51">
        <f>IF(AND(B2031="",G2031="",C2031="",D2031="",J2031=""),"",IF(B2031="","⚠ Falta fecha",IF(G2031="","⚠ Falta monto",IF(Q2031="","⚠ Falta cuenta",IF(ISNA(MATCH(Q2031,ctaNombre,0)),"⚠ Cuenta no registrada",IF(AND(OR(P2031="Gasto",P2031="Reembolso"),D2031=""),"⚠ Falta categoría",IF(AND(D2031&lt;&gt;"",E2031&lt;&gt;"",ISNA(MATCH(D2031&amp;"|"&amp;E2031,catClave,0))),"⚠ Subcategoría no corresponde",IF(AND(OR(P2031="Transferencia",P2031="Pago tarjeta"),K2031=""),"⚠ Falta cuenta destino",IF(AND(K2031&lt;&gt;"",P2031&lt;&gt;"Transferencia",P2031&lt;&gt;"Pago tarjeta"),"⚠ Destino solo aplica a transferencias",IF(AND(K2031&lt;&gt;"",K2031=Q2031),"⚠ Origen igual a destino",IF(AND(K2031&lt;&gt;"",ISNA(MATCH(K2031,ctaNombre,0))),"⚠ Destino no registrado",IF(AND(P2031="Pago tarjeta",AE2031&lt;&gt;"Tarjeta de crédito"),"⚠ El destino debe ser tarjeta de crédito",IF(AND(P2031="Gasto",E2031="Depósitos y retiros"),"⚠ Usa tipo Transferencia",IF(AND(P2031="Resultado trading",AD2031&lt;&gt;"Cuenta de trading"),"⚠ Usa una cuenta de trading",IF(AND(G2031&lt;=0,P2031&lt;&gt;"Ajuste",P2031&lt;&gt;"Resultado trading"),"⚠ El monto debe ser positivo","✓")))))))))))))))</f>
        <v/>
      </c>
      <c r="P2031" s="52">
        <f>IF(OR(B2031="",G2031=""),"",IF(C2031="","Gasto",C2031))</f>
        <v/>
      </c>
      <c r="Q2031" s="52">
        <f>IF(P2031="","",IF(J2031&lt;&gt;"",J2031,CuentaPred&amp;""))</f>
        <v/>
      </c>
      <c r="R2031" s="52">
        <f>IF(P2031="","",IF(ISNUMBER(I2031),I2031,TasaUSD))</f>
        <v/>
      </c>
      <c r="S2031" s="53">
        <f>IF(P2031="","",IF(H2031="USD",G2031*R2031,G2031))</f>
        <v/>
      </c>
      <c r="T2031" s="53">
        <f>IF(P2031="","",IF(H2031="USD",G2031,IF(R2031&gt;0,G2031/R2031,0)))</f>
        <v/>
      </c>
      <c r="U2031" s="53">
        <f>IF(P2031="","",IF(P2031="Gasto",S2031,IF(P2031="Reembolso",-S2031,0)))</f>
        <v/>
      </c>
      <c r="V2031" s="53">
        <f>IF(P2031="","",IF(P2031="Ingreso",S2031,0))</f>
        <v/>
      </c>
      <c r="W2031" s="53">
        <f>IF(P2031="","",IF(P2031="Resultado trading",S2031,0))</f>
        <v/>
      </c>
      <c r="X2031" s="52">
        <f>IF(OR(P2031="Gasto",P2031="Reembolso"),IF(M2031&lt;&gt;"",M2031,IFERROR(INDEX(catClasif,MATCH(D2031&amp;"|"&amp;E2031,catClave,0))&amp;"","Variable")),"")</f>
        <v/>
      </c>
      <c r="Y2031" s="52">
        <f>IF(P2031="","",IFERROR(INDEX(catGrupo,MATCH(D2031&amp;"|"&amp;E2031,catClave,0))&amp;"",""))</f>
        <v/>
      </c>
      <c r="Z2031" s="52">
        <f>IF(P2031="","",WEEKDAY(B2031,2))</f>
        <v/>
      </c>
      <c r="AA2031" s="52">
        <f>IF(P2031="","",IF(AND(P2031="Gasto",X2031="Variable",D2031&lt;&gt;catTrading,S2031&gt;0,S2031&lt;=Umbral),1,0))</f>
        <v/>
      </c>
      <c r="AB2031" s="52">
        <f>IF(OR(P2031="",Q2031=""),"",IFERROR(IF(INDEX(ctaVinc,MATCH(Q2031,ctaNombre,0))&amp;""&lt;&gt;"",INDEX(ctaVinc,MATCH(Q2031,ctaNombre,0))&amp;"",Q2031),Q2031))</f>
        <v/>
      </c>
      <c r="AC2031" s="52">
        <f>IF(OR(K2031="",AND(P2031&lt;&gt;"Transferencia",P2031&lt;&gt;"Pago tarjeta")),"",IFERROR(IF(INDEX(ctaVinc,MATCH(K2031,ctaNombre,0))&amp;""&lt;&gt;"",INDEX(ctaVinc,MATCH(K2031,ctaNombre,0))&amp;"",K2031),K2031))</f>
        <v/>
      </c>
      <c r="AD2031" s="52">
        <f>IF(AB2031="","",IFERROR(INDEX(ctaTipo,MATCH(AB2031,ctaNombre,0))&amp;"",""))</f>
        <v/>
      </c>
      <c r="AE2031" s="52">
        <f>IF(AC2031="","",IFERROR(INDEX(ctaTipo,MATCH(AC2031,ctaNombre,0))&amp;"",""))</f>
        <v/>
      </c>
      <c r="AF2031" s="53">
        <f>IF(OR(P2031="",AB2031=""),"",IF(OR(P2031="Gasto",P2031="Transferencia",P2031="Pago tarjeta"),-1,1)*IF(IFERROR(INDEX(ctaMoneda,MATCH(AB2031,ctaNombre,0))&amp;"","DOP")="USD",T2031,S2031))</f>
        <v/>
      </c>
      <c r="AG2031" s="53">
        <f>IF(AC2031="","",IF(IFERROR(INDEX(ctaMoneda,MATCH(AC2031,ctaNombre,0))&amp;"","DOP")="USD",T2031,S2031))</f>
        <v/>
      </c>
      <c r="AH2031" s="53">
        <f>IF(P2031="","",IF(AND(AD2031&lt;&gt;"",COUNTIFS(tcTipo,AD2031,tcLiq,"Sí")&gt;0),IF(OR(P2031="Gasto",P2031="Transferencia",P2031="Pago tarjeta"),-1,1)*S2031,0)+IF(AND(AE2031&lt;&gt;"",COUNTIFS(tcTipo,AE2031,tcLiq,"Sí")&gt;0),S2031,0))</f>
        <v/>
      </c>
      <c r="AI2031" s="52">
        <f>IF(OR(L2031="",P2031=""),"",IF(COUNTIFS(L$6:L2031,L2031,P$6:P2031,"?*")=1,MAX(AI$5:AI2030)+1,""))</f>
        <v/>
      </c>
    </row>
    <row r="2032">
      <c r="B2032" s="47" t="n"/>
      <c r="C2032" s="48" t="n"/>
      <c r="D2032" s="48" t="n"/>
      <c r="E2032" s="48" t="n"/>
      <c r="F2032" s="48" t="n"/>
      <c r="G2032" s="49" t="n"/>
      <c r="H2032" s="48" t="n"/>
      <c r="I2032" s="50" t="n"/>
      <c r="J2032" s="48" t="n"/>
      <c r="K2032" s="48" t="n"/>
      <c r="L2032" s="48" t="n"/>
      <c r="M2032" s="48" t="n"/>
      <c r="N2032" s="48" t="n"/>
      <c r="O2032" s="51">
        <f>IF(AND(B2032="",G2032="",C2032="",D2032="",J2032=""),"",IF(B2032="","⚠ Falta fecha",IF(G2032="","⚠ Falta monto",IF(Q2032="","⚠ Falta cuenta",IF(ISNA(MATCH(Q2032,ctaNombre,0)),"⚠ Cuenta no registrada",IF(AND(OR(P2032="Gasto",P2032="Reembolso"),D2032=""),"⚠ Falta categoría",IF(AND(D2032&lt;&gt;"",E2032&lt;&gt;"",ISNA(MATCH(D2032&amp;"|"&amp;E2032,catClave,0))),"⚠ Subcategoría no corresponde",IF(AND(OR(P2032="Transferencia",P2032="Pago tarjeta"),K2032=""),"⚠ Falta cuenta destino",IF(AND(K2032&lt;&gt;"",P2032&lt;&gt;"Transferencia",P2032&lt;&gt;"Pago tarjeta"),"⚠ Destino solo aplica a transferencias",IF(AND(K2032&lt;&gt;"",K2032=Q2032),"⚠ Origen igual a destino",IF(AND(K2032&lt;&gt;"",ISNA(MATCH(K2032,ctaNombre,0))),"⚠ Destino no registrado",IF(AND(P2032="Pago tarjeta",AE2032&lt;&gt;"Tarjeta de crédito"),"⚠ El destino debe ser tarjeta de crédito",IF(AND(P2032="Gasto",E2032="Depósitos y retiros"),"⚠ Usa tipo Transferencia",IF(AND(P2032="Resultado trading",AD2032&lt;&gt;"Cuenta de trading"),"⚠ Usa una cuenta de trading",IF(AND(G2032&lt;=0,P2032&lt;&gt;"Ajuste",P2032&lt;&gt;"Resultado trading"),"⚠ El monto debe ser positivo","✓")))))))))))))))</f>
        <v/>
      </c>
      <c r="P2032" s="52">
        <f>IF(OR(B2032="",G2032=""),"",IF(C2032="","Gasto",C2032))</f>
        <v/>
      </c>
      <c r="Q2032" s="52">
        <f>IF(P2032="","",IF(J2032&lt;&gt;"",J2032,CuentaPred&amp;""))</f>
        <v/>
      </c>
      <c r="R2032" s="52">
        <f>IF(P2032="","",IF(ISNUMBER(I2032),I2032,TasaUSD))</f>
        <v/>
      </c>
      <c r="S2032" s="53">
        <f>IF(P2032="","",IF(H2032="USD",G2032*R2032,G2032))</f>
        <v/>
      </c>
      <c r="T2032" s="53">
        <f>IF(P2032="","",IF(H2032="USD",G2032,IF(R2032&gt;0,G2032/R2032,0)))</f>
        <v/>
      </c>
      <c r="U2032" s="53">
        <f>IF(P2032="","",IF(P2032="Gasto",S2032,IF(P2032="Reembolso",-S2032,0)))</f>
        <v/>
      </c>
      <c r="V2032" s="53">
        <f>IF(P2032="","",IF(P2032="Ingreso",S2032,0))</f>
        <v/>
      </c>
      <c r="W2032" s="53">
        <f>IF(P2032="","",IF(P2032="Resultado trading",S2032,0))</f>
        <v/>
      </c>
      <c r="X2032" s="52">
        <f>IF(OR(P2032="Gasto",P2032="Reembolso"),IF(M2032&lt;&gt;"",M2032,IFERROR(INDEX(catClasif,MATCH(D2032&amp;"|"&amp;E2032,catClave,0))&amp;"","Variable")),"")</f>
        <v/>
      </c>
      <c r="Y2032" s="52">
        <f>IF(P2032="","",IFERROR(INDEX(catGrupo,MATCH(D2032&amp;"|"&amp;E2032,catClave,0))&amp;"",""))</f>
        <v/>
      </c>
      <c r="Z2032" s="52">
        <f>IF(P2032="","",WEEKDAY(B2032,2))</f>
        <v/>
      </c>
      <c r="AA2032" s="52">
        <f>IF(P2032="","",IF(AND(P2032="Gasto",X2032="Variable",D2032&lt;&gt;catTrading,S2032&gt;0,S2032&lt;=Umbral),1,0))</f>
        <v/>
      </c>
      <c r="AB2032" s="52">
        <f>IF(OR(P2032="",Q2032=""),"",IFERROR(IF(INDEX(ctaVinc,MATCH(Q2032,ctaNombre,0))&amp;""&lt;&gt;"",INDEX(ctaVinc,MATCH(Q2032,ctaNombre,0))&amp;"",Q2032),Q2032))</f>
        <v/>
      </c>
      <c r="AC2032" s="52">
        <f>IF(OR(K2032="",AND(P2032&lt;&gt;"Transferencia",P2032&lt;&gt;"Pago tarjeta")),"",IFERROR(IF(INDEX(ctaVinc,MATCH(K2032,ctaNombre,0))&amp;""&lt;&gt;"",INDEX(ctaVinc,MATCH(K2032,ctaNombre,0))&amp;"",K2032),K2032))</f>
        <v/>
      </c>
      <c r="AD2032" s="52">
        <f>IF(AB2032="","",IFERROR(INDEX(ctaTipo,MATCH(AB2032,ctaNombre,0))&amp;"",""))</f>
        <v/>
      </c>
      <c r="AE2032" s="52">
        <f>IF(AC2032="","",IFERROR(INDEX(ctaTipo,MATCH(AC2032,ctaNombre,0))&amp;"",""))</f>
        <v/>
      </c>
      <c r="AF2032" s="53">
        <f>IF(OR(P2032="",AB2032=""),"",IF(OR(P2032="Gasto",P2032="Transferencia",P2032="Pago tarjeta"),-1,1)*IF(IFERROR(INDEX(ctaMoneda,MATCH(AB2032,ctaNombre,0))&amp;"","DOP")="USD",T2032,S2032))</f>
        <v/>
      </c>
      <c r="AG2032" s="53">
        <f>IF(AC2032="","",IF(IFERROR(INDEX(ctaMoneda,MATCH(AC2032,ctaNombre,0))&amp;"","DOP")="USD",T2032,S2032))</f>
        <v/>
      </c>
      <c r="AH2032" s="53">
        <f>IF(P2032="","",IF(AND(AD2032&lt;&gt;"",COUNTIFS(tcTipo,AD2032,tcLiq,"Sí")&gt;0),IF(OR(P2032="Gasto",P2032="Transferencia",P2032="Pago tarjeta"),-1,1)*S2032,0)+IF(AND(AE2032&lt;&gt;"",COUNTIFS(tcTipo,AE2032,tcLiq,"Sí")&gt;0),S2032,0))</f>
        <v/>
      </c>
      <c r="AI2032" s="52">
        <f>IF(OR(L2032="",P2032=""),"",IF(COUNTIFS(L$6:L2032,L2032,P$6:P2032,"?*")=1,MAX(AI$5:AI2031)+1,""))</f>
        <v/>
      </c>
    </row>
    <row r="2033">
      <c r="B2033" s="47" t="n"/>
      <c r="C2033" s="48" t="n"/>
      <c r="D2033" s="48" t="n"/>
      <c r="E2033" s="48" t="n"/>
      <c r="F2033" s="48" t="n"/>
      <c r="G2033" s="49" t="n"/>
      <c r="H2033" s="48" t="n"/>
      <c r="I2033" s="50" t="n"/>
      <c r="J2033" s="48" t="n"/>
      <c r="K2033" s="48" t="n"/>
      <c r="L2033" s="48" t="n"/>
      <c r="M2033" s="48" t="n"/>
      <c r="N2033" s="48" t="n"/>
      <c r="O2033" s="51">
        <f>IF(AND(B2033="",G2033="",C2033="",D2033="",J2033=""),"",IF(B2033="","⚠ Falta fecha",IF(G2033="","⚠ Falta monto",IF(Q2033="","⚠ Falta cuenta",IF(ISNA(MATCH(Q2033,ctaNombre,0)),"⚠ Cuenta no registrada",IF(AND(OR(P2033="Gasto",P2033="Reembolso"),D2033=""),"⚠ Falta categoría",IF(AND(D2033&lt;&gt;"",E2033&lt;&gt;"",ISNA(MATCH(D2033&amp;"|"&amp;E2033,catClave,0))),"⚠ Subcategoría no corresponde",IF(AND(OR(P2033="Transferencia",P2033="Pago tarjeta"),K2033=""),"⚠ Falta cuenta destino",IF(AND(K2033&lt;&gt;"",P2033&lt;&gt;"Transferencia",P2033&lt;&gt;"Pago tarjeta"),"⚠ Destino solo aplica a transferencias",IF(AND(K2033&lt;&gt;"",K2033=Q2033),"⚠ Origen igual a destino",IF(AND(K2033&lt;&gt;"",ISNA(MATCH(K2033,ctaNombre,0))),"⚠ Destino no registrado",IF(AND(P2033="Pago tarjeta",AE2033&lt;&gt;"Tarjeta de crédito"),"⚠ El destino debe ser tarjeta de crédito",IF(AND(P2033="Gasto",E2033="Depósitos y retiros"),"⚠ Usa tipo Transferencia",IF(AND(P2033="Resultado trading",AD2033&lt;&gt;"Cuenta de trading"),"⚠ Usa una cuenta de trading",IF(AND(G2033&lt;=0,P2033&lt;&gt;"Ajuste",P2033&lt;&gt;"Resultado trading"),"⚠ El monto debe ser positivo","✓")))))))))))))))</f>
        <v/>
      </c>
      <c r="P2033" s="52">
        <f>IF(OR(B2033="",G2033=""),"",IF(C2033="","Gasto",C2033))</f>
        <v/>
      </c>
      <c r="Q2033" s="52">
        <f>IF(P2033="","",IF(J2033&lt;&gt;"",J2033,CuentaPred&amp;""))</f>
        <v/>
      </c>
      <c r="R2033" s="52">
        <f>IF(P2033="","",IF(ISNUMBER(I2033),I2033,TasaUSD))</f>
        <v/>
      </c>
      <c r="S2033" s="53">
        <f>IF(P2033="","",IF(H2033="USD",G2033*R2033,G2033))</f>
        <v/>
      </c>
      <c r="T2033" s="53">
        <f>IF(P2033="","",IF(H2033="USD",G2033,IF(R2033&gt;0,G2033/R2033,0)))</f>
        <v/>
      </c>
      <c r="U2033" s="53">
        <f>IF(P2033="","",IF(P2033="Gasto",S2033,IF(P2033="Reembolso",-S2033,0)))</f>
        <v/>
      </c>
      <c r="V2033" s="53">
        <f>IF(P2033="","",IF(P2033="Ingreso",S2033,0))</f>
        <v/>
      </c>
      <c r="W2033" s="53">
        <f>IF(P2033="","",IF(P2033="Resultado trading",S2033,0))</f>
        <v/>
      </c>
      <c r="X2033" s="52">
        <f>IF(OR(P2033="Gasto",P2033="Reembolso"),IF(M2033&lt;&gt;"",M2033,IFERROR(INDEX(catClasif,MATCH(D2033&amp;"|"&amp;E2033,catClave,0))&amp;"","Variable")),"")</f>
        <v/>
      </c>
      <c r="Y2033" s="52">
        <f>IF(P2033="","",IFERROR(INDEX(catGrupo,MATCH(D2033&amp;"|"&amp;E2033,catClave,0))&amp;"",""))</f>
        <v/>
      </c>
      <c r="Z2033" s="52">
        <f>IF(P2033="","",WEEKDAY(B2033,2))</f>
        <v/>
      </c>
      <c r="AA2033" s="52">
        <f>IF(P2033="","",IF(AND(P2033="Gasto",X2033="Variable",D2033&lt;&gt;catTrading,S2033&gt;0,S2033&lt;=Umbral),1,0))</f>
        <v/>
      </c>
      <c r="AB2033" s="52">
        <f>IF(OR(P2033="",Q2033=""),"",IFERROR(IF(INDEX(ctaVinc,MATCH(Q2033,ctaNombre,0))&amp;""&lt;&gt;"",INDEX(ctaVinc,MATCH(Q2033,ctaNombre,0))&amp;"",Q2033),Q2033))</f>
        <v/>
      </c>
      <c r="AC2033" s="52">
        <f>IF(OR(K2033="",AND(P2033&lt;&gt;"Transferencia",P2033&lt;&gt;"Pago tarjeta")),"",IFERROR(IF(INDEX(ctaVinc,MATCH(K2033,ctaNombre,0))&amp;""&lt;&gt;"",INDEX(ctaVinc,MATCH(K2033,ctaNombre,0))&amp;"",K2033),K2033))</f>
        <v/>
      </c>
      <c r="AD2033" s="52">
        <f>IF(AB2033="","",IFERROR(INDEX(ctaTipo,MATCH(AB2033,ctaNombre,0))&amp;"",""))</f>
        <v/>
      </c>
      <c r="AE2033" s="52">
        <f>IF(AC2033="","",IFERROR(INDEX(ctaTipo,MATCH(AC2033,ctaNombre,0))&amp;"",""))</f>
        <v/>
      </c>
      <c r="AF2033" s="53">
        <f>IF(OR(P2033="",AB2033=""),"",IF(OR(P2033="Gasto",P2033="Transferencia",P2033="Pago tarjeta"),-1,1)*IF(IFERROR(INDEX(ctaMoneda,MATCH(AB2033,ctaNombre,0))&amp;"","DOP")="USD",T2033,S2033))</f>
        <v/>
      </c>
      <c r="AG2033" s="53">
        <f>IF(AC2033="","",IF(IFERROR(INDEX(ctaMoneda,MATCH(AC2033,ctaNombre,0))&amp;"","DOP")="USD",T2033,S2033))</f>
        <v/>
      </c>
      <c r="AH2033" s="53">
        <f>IF(P2033="","",IF(AND(AD2033&lt;&gt;"",COUNTIFS(tcTipo,AD2033,tcLiq,"Sí")&gt;0),IF(OR(P2033="Gasto",P2033="Transferencia",P2033="Pago tarjeta"),-1,1)*S2033,0)+IF(AND(AE2033&lt;&gt;"",COUNTIFS(tcTipo,AE2033,tcLiq,"Sí")&gt;0),S2033,0))</f>
        <v/>
      </c>
      <c r="AI2033" s="52">
        <f>IF(OR(L2033="",P2033=""),"",IF(COUNTIFS(L$6:L2033,L2033,P$6:P2033,"?*")=1,MAX(AI$5:AI2032)+1,""))</f>
        <v/>
      </c>
    </row>
    <row r="2034">
      <c r="B2034" s="47" t="n"/>
      <c r="C2034" s="48" t="n"/>
      <c r="D2034" s="48" t="n"/>
      <c r="E2034" s="48" t="n"/>
      <c r="F2034" s="48" t="n"/>
      <c r="G2034" s="49" t="n"/>
      <c r="H2034" s="48" t="n"/>
      <c r="I2034" s="50" t="n"/>
      <c r="J2034" s="48" t="n"/>
      <c r="K2034" s="48" t="n"/>
      <c r="L2034" s="48" t="n"/>
      <c r="M2034" s="48" t="n"/>
      <c r="N2034" s="48" t="n"/>
      <c r="O2034" s="51">
        <f>IF(AND(B2034="",G2034="",C2034="",D2034="",J2034=""),"",IF(B2034="","⚠ Falta fecha",IF(G2034="","⚠ Falta monto",IF(Q2034="","⚠ Falta cuenta",IF(ISNA(MATCH(Q2034,ctaNombre,0)),"⚠ Cuenta no registrada",IF(AND(OR(P2034="Gasto",P2034="Reembolso"),D2034=""),"⚠ Falta categoría",IF(AND(D2034&lt;&gt;"",E2034&lt;&gt;"",ISNA(MATCH(D2034&amp;"|"&amp;E2034,catClave,0))),"⚠ Subcategoría no corresponde",IF(AND(OR(P2034="Transferencia",P2034="Pago tarjeta"),K2034=""),"⚠ Falta cuenta destino",IF(AND(K2034&lt;&gt;"",P2034&lt;&gt;"Transferencia",P2034&lt;&gt;"Pago tarjeta"),"⚠ Destino solo aplica a transferencias",IF(AND(K2034&lt;&gt;"",K2034=Q2034),"⚠ Origen igual a destino",IF(AND(K2034&lt;&gt;"",ISNA(MATCH(K2034,ctaNombre,0))),"⚠ Destino no registrado",IF(AND(P2034="Pago tarjeta",AE2034&lt;&gt;"Tarjeta de crédito"),"⚠ El destino debe ser tarjeta de crédito",IF(AND(P2034="Gasto",E2034="Depósitos y retiros"),"⚠ Usa tipo Transferencia",IF(AND(P2034="Resultado trading",AD2034&lt;&gt;"Cuenta de trading"),"⚠ Usa una cuenta de trading",IF(AND(G2034&lt;=0,P2034&lt;&gt;"Ajuste",P2034&lt;&gt;"Resultado trading"),"⚠ El monto debe ser positivo","✓")))))))))))))))</f>
        <v/>
      </c>
      <c r="P2034" s="52">
        <f>IF(OR(B2034="",G2034=""),"",IF(C2034="","Gasto",C2034))</f>
        <v/>
      </c>
      <c r="Q2034" s="52">
        <f>IF(P2034="","",IF(J2034&lt;&gt;"",J2034,CuentaPred&amp;""))</f>
        <v/>
      </c>
      <c r="R2034" s="52">
        <f>IF(P2034="","",IF(ISNUMBER(I2034),I2034,TasaUSD))</f>
        <v/>
      </c>
      <c r="S2034" s="53">
        <f>IF(P2034="","",IF(H2034="USD",G2034*R2034,G2034))</f>
        <v/>
      </c>
      <c r="T2034" s="53">
        <f>IF(P2034="","",IF(H2034="USD",G2034,IF(R2034&gt;0,G2034/R2034,0)))</f>
        <v/>
      </c>
      <c r="U2034" s="53">
        <f>IF(P2034="","",IF(P2034="Gasto",S2034,IF(P2034="Reembolso",-S2034,0)))</f>
        <v/>
      </c>
      <c r="V2034" s="53">
        <f>IF(P2034="","",IF(P2034="Ingreso",S2034,0))</f>
        <v/>
      </c>
      <c r="W2034" s="53">
        <f>IF(P2034="","",IF(P2034="Resultado trading",S2034,0))</f>
        <v/>
      </c>
      <c r="X2034" s="52">
        <f>IF(OR(P2034="Gasto",P2034="Reembolso"),IF(M2034&lt;&gt;"",M2034,IFERROR(INDEX(catClasif,MATCH(D2034&amp;"|"&amp;E2034,catClave,0))&amp;"","Variable")),"")</f>
        <v/>
      </c>
      <c r="Y2034" s="52">
        <f>IF(P2034="","",IFERROR(INDEX(catGrupo,MATCH(D2034&amp;"|"&amp;E2034,catClave,0))&amp;"",""))</f>
        <v/>
      </c>
      <c r="Z2034" s="52">
        <f>IF(P2034="","",WEEKDAY(B2034,2))</f>
        <v/>
      </c>
      <c r="AA2034" s="52">
        <f>IF(P2034="","",IF(AND(P2034="Gasto",X2034="Variable",D2034&lt;&gt;catTrading,S2034&gt;0,S2034&lt;=Umbral),1,0))</f>
        <v/>
      </c>
      <c r="AB2034" s="52">
        <f>IF(OR(P2034="",Q2034=""),"",IFERROR(IF(INDEX(ctaVinc,MATCH(Q2034,ctaNombre,0))&amp;""&lt;&gt;"",INDEX(ctaVinc,MATCH(Q2034,ctaNombre,0))&amp;"",Q2034),Q2034))</f>
        <v/>
      </c>
      <c r="AC2034" s="52">
        <f>IF(OR(K2034="",AND(P2034&lt;&gt;"Transferencia",P2034&lt;&gt;"Pago tarjeta")),"",IFERROR(IF(INDEX(ctaVinc,MATCH(K2034,ctaNombre,0))&amp;""&lt;&gt;"",INDEX(ctaVinc,MATCH(K2034,ctaNombre,0))&amp;"",K2034),K2034))</f>
        <v/>
      </c>
      <c r="AD2034" s="52">
        <f>IF(AB2034="","",IFERROR(INDEX(ctaTipo,MATCH(AB2034,ctaNombre,0))&amp;"",""))</f>
        <v/>
      </c>
      <c r="AE2034" s="52">
        <f>IF(AC2034="","",IFERROR(INDEX(ctaTipo,MATCH(AC2034,ctaNombre,0))&amp;"",""))</f>
        <v/>
      </c>
      <c r="AF2034" s="53">
        <f>IF(OR(P2034="",AB2034=""),"",IF(OR(P2034="Gasto",P2034="Transferencia",P2034="Pago tarjeta"),-1,1)*IF(IFERROR(INDEX(ctaMoneda,MATCH(AB2034,ctaNombre,0))&amp;"","DOP")="USD",T2034,S2034))</f>
        <v/>
      </c>
      <c r="AG2034" s="53">
        <f>IF(AC2034="","",IF(IFERROR(INDEX(ctaMoneda,MATCH(AC2034,ctaNombre,0))&amp;"","DOP")="USD",T2034,S2034))</f>
        <v/>
      </c>
      <c r="AH2034" s="53">
        <f>IF(P2034="","",IF(AND(AD2034&lt;&gt;"",COUNTIFS(tcTipo,AD2034,tcLiq,"Sí")&gt;0),IF(OR(P2034="Gasto",P2034="Transferencia",P2034="Pago tarjeta"),-1,1)*S2034,0)+IF(AND(AE2034&lt;&gt;"",COUNTIFS(tcTipo,AE2034,tcLiq,"Sí")&gt;0),S2034,0))</f>
        <v/>
      </c>
      <c r="AI2034" s="52">
        <f>IF(OR(L2034="",P2034=""),"",IF(COUNTIFS(L$6:L2034,L2034,P$6:P2034,"?*")=1,MAX(AI$5:AI2033)+1,""))</f>
        <v/>
      </c>
    </row>
    <row r="2035">
      <c r="B2035" s="47" t="n"/>
      <c r="C2035" s="48" t="n"/>
      <c r="D2035" s="48" t="n"/>
      <c r="E2035" s="48" t="n"/>
      <c r="F2035" s="48" t="n"/>
      <c r="G2035" s="49" t="n"/>
      <c r="H2035" s="48" t="n"/>
      <c r="I2035" s="50" t="n"/>
      <c r="J2035" s="48" t="n"/>
      <c r="K2035" s="48" t="n"/>
      <c r="L2035" s="48" t="n"/>
      <c r="M2035" s="48" t="n"/>
      <c r="N2035" s="48" t="n"/>
      <c r="O2035" s="51">
        <f>IF(AND(B2035="",G2035="",C2035="",D2035="",J2035=""),"",IF(B2035="","⚠ Falta fecha",IF(G2035="","⚠ Falta monto",IF(Q2035="","⚠ Falta cuenta",IF(ISNA(MATCH(Q2035,ctaNombre,0)),"⚠ Cuenta no registrada",IF(AND(OR(P2035="Gasto",P2035="Reembolso"),D2035=""),"⚠ Falta categoría",IF(AND(D2035&lt;&gt;"",E2035&lt;&gt;"",ISNA(MATCH(D2035&amp;"|"&amp;E2035,catClave,0))),"⚠ Subcategoría no corresponde",IF(AND(OR(P2035="Transferencia",P2035="Pago tarjeta"),K2035=""),"⚠ Falta cuenta destino",IF(AND(K2035&lt;&gt;"",P2035&lt;&gt;"Transferencia",P2035&lt;&gt;"Pago tarjeta"),"⚠ Destino solo aplica a transferencias",IF(AND(K2035&lt;&gt;"",K2035=Q2035),"⚠ Origen igual a destino",IF(AND(K2035&lt;&gt;"",ISNA(MATCH(K2035,ctaNombre,0))),"⚠ Destino no registrado",IF(AND(P2035="Pago tarjeta",AE2035&lt;&gt;"Tarjeta de crédito"),"⚠ El destino debe ser tarjeta de crédito",IF(AND(P2035="Gasto",E2035="Depósitos y retiros"),"⚠ Usa tipo Transferencia",IF(AND(P2035="Resultado trading",AD2035&lt;&gt;"Cuenta de trading"),"⚠ Usa una cuenta de trading",IF(AND(G2035&lt;=0,P2035&lt;&gt;"Ajuste",P2035&lt;&gt;"Resultado trading"),"⚠ El monto debe ser positivo","✓")))))))))))))))</f>
        <v/>
      </c>
      <c r="P2035" s="52">
        <f>IF(OR(B2035="",G2035=""),"",IF(C2035="","Gasto",C2035))</f>
        <v/>
      </c>
      <c r="Q2035" s="52">
        <f>IF(P2035="","",IF(J2035&lt;&gt;"",J2035,CuentaPred&amp;""))</f>
        <v/>
      </c>
      <c r="R2035" s="52">
        <f>IF(P2035="","",IF(ISNUMBER(I2035),I2035,TasaUSD))</f>
        <v/>
      </c>
      <c r="S2035" s="53">
        <f>IF(P2035="","",IF(H2035="USD",G2035*R2035,G2035))</f>
        <v/>
      </c>
      <c r="T2035" s="53">
        <f>IF(P2035="","",IF(H2035="USD",G2035,IF(R2035&gt;0,G2035/R2035,0)))</f>
        <v/>
      </c>
      <c r="U2035" s="53">
        <f>IF(P2035="","",IF(P2035="Gasto",S2035,IF(P2035="Reembolso",-S2035,0)))</f>
        <v/>
      </c>
      <c r="V2035" s="53">
        <f>IF(P2035="","",IF(P2035="Ingreso",S2035,0))</f>
        <v/>
      </c>
      <c r="W2035" s="53">
        <f>IF(P2035="","",IF(P2035="Resultado trading",S2035,0))</f>
        <v/>
      </c>
      <c r="X2035" s="52">
        <f>IF(OR(P2035="Gasto",P2035="Reembolso"),IF(M2035&lt;&gt;"",M2035,IFERROR(INDEX(catClasif,MATCH(D2035&amp;"|"&amp;E2035,catClave,0))&amp;"","Variable")),"")</f>
        <v/>
      </c>
      <c r="Y2035" s="52">
        <f>IF(P2035="","",IFERROR(INDEX(catGrupo,MATCH(D2035&amp;"|"&amp;E2035,catClave,0))&amp;"",""))</f>
        <v/>
      </c>
      <c r="Z2035" s="52">
        <f>IF(P2035="","",WEEKDAY(B2035,2))</f>
        <v/>
      </c>
      <c r="AA2035" s="52">
        <f>IF(P2035="","",IF(AND(P2035="Gasto",X2035="Variable",D2035&lt;&gt;catTrading,S2035&gt;0,S2035&lt;=Umbral),1,0))</f>
        <v/>
      </c>
      <c r="AB2035" s="52">
        <f>IF(OR(P2035="",Q2035=""),"",IFERROR(IF(INDEX(ctaVinc,MATCH(Q2035,ctaNombre,0))&amp;""&lt;&gt;"",INDEX(ctaVinc,MATCH(Q2035,ctaNombre,0))&amp;"",Q2035),Q2035))</f>
        <v/>
      </c>
      <c r="AC2035" s="52">
        <f>IF(OR(K2035="",AND(P2035&lt;&gt;"Transferencia",P2035&lt;&gt;"Pago tarjeta")),"",IFERROR(IF(INDEX(ctaVinc,MATCH(K2035,ctaNombre,0))&amp;""&lt;&gt;"",INDEX(ctaVinc,MATCH(K2035,ctaNombre,0))&amp;"",K2035),K2035))</f>
        <v/>
      </c>
      <c r="AD2035" s="52">
        <f>IF(AB2035="","",IFERROR(INDEX(ctaTipo,MATCH(AB2035,ctaNombre,0))&amp;"",""))</f>
        <v/>
      </c>
      <c r="AE2035" s="52">
        <f>IF(AC2035="","",IFERROR(INDEX(ctaTipo,MATCH(AC2035,ctaNombre,0))&amp;"",""))</f>
        <v/>
      </c>
      <c r="AF2035" s="53">
        <f>IF(OR(P2035="",AB2035=""),"",IF(OR(P2035="Gasto",P2035="Transferencia",P2035="Pago tarjeta"),-1,1)*IF(IFERROR(INDEX(ctaMoneda,MATCH(AB2035,ctaNombre,0))&amp;"","DOP")="USD",T2035,S2035))</f>
        <v/>
      </c>
      <c r="AG2035" s="53">
        <f>IF(AC2035="","",IF(IFERROR(INDEX(ctaMoneda,MATCH(AC2035,ctaNombre,0))&amp;"","DOP")="USD",T2035,S2035))</f>
        <v/>
      </c>
      <c r="AH2035" s="53">
        <f>IF(P2035="","",IF(AND(AD2035&lt;&gt;"",COUNTIFS(tcTipo,AD2035,tcLiq,"Sí")&gt;0),IF(OR(P2035="Gasto",P2035="Transferencia",P2035="Pago tarjeta"),-1,1)*S2035,0)+IF(AND(AE2035&lt;&gt;"",COUNTIFS(tcTipo,AE2035,tcLiq,"Sí")&gt;0),S2035,0))</f>
        <v/>
      </c>
      <c r="AI2035" s="52">
        <f>IF(OR(L2035="",P2035=""),"",IF(COUNTIFS(L$6:L2035,L2035,P$6:P2035,"?*")=1,MAX(AI$5:AI2034)+1,""))</f>
        <v/>
      </c>
    </row>
    <row r="2036">
      <c r="B2036" s="47" t="n"/>
      <c r="C2036" s="48" t="n"/>
      <c r="D2036" s="48" t="n"/>
      <c r="E2036" s="48" t="n"/>
      <c r="F2036" s="48" t="n"/>
      <c r="G2036" s="49" t="n"/>
      <c r="H2036" s="48" t="n"/>
      <c r="I2036" s="50" t="n"/>
      <c r="J2036" s="48" t="n"/>
      <c r="K2036" s="48" t="n"/>
      <c r="L2036" s="48" t="n"/>
      <c r="M2036" s="48" t="n"/>
      <c r="N2036" s="48" t="n"/>
      <c r="O2036" s="51">
        <f>IF(AND(B2036="",G2036="",C2036="",D2036="",J2036=""),"",IF(B2036="","⚠ Falta fecha",IF(G2036="","⚠ Falta monto",IF(Q2036="","⚠ Falta cuenta",IF(ISNA(MATCH(Q2036,ctaNombre,0)),"⚠ Cuenta no registrada",IF(AND(OR(P2036="Gasto",P2036="Reembolso"),D2036=""),"⚠ Falta categoría",IF(AND(D2036&lt;&gt;"",E2036&lt;&gt;"",ISNA(MATCH(D2036&amp;"|"&amp;E2036,catClave,0))),"⚠ Subcategoría no corresponde",IF(AND(OR(P2036="Transferencia",P2036="Pago tarjeta"),K2036=""),"⚠ Falta cuenta destino",IF(AND(K2036&lt;&gt;"",P2036&lt;&gt;"Transferencia",P2036&lt;&gt;"Pago tarjeta"),"⚠ Destino solo aplica a transferencias",IF(AND(K2036&lt;&gt;"",K2036=Q2036),"⚠ Origen igual a destino",IF(AND(K2036&lt;&gt;"",ISNA(MATCH(K2036,ctaNombre,0))),"⚠ Destino no registrado",IF(AND(P2036="Pago tarjeta",AE2036&lt;&gt;"Tarjeta de crédito"),"⚠ El destino debe ser tarjeta de crédito",IF(AND(P2036="Gasto",E2036="Depósitos y retiros"),"⚠ Usa tipo Transferencia",IF(AND(P2036="Resultado trading",AD2036&lt;&gt;"Cuenta de trading"),"⚠ Usa una cuenta de trading",IF(AND(G2036&lt;=0,P2036&lt;&gt;"Ajuste",P2036&lt;&gt;"Resultado trading"),"⚠ El monto debe ser positivo","✓")))))))))))))))</f>
        <v/>
      </c>
      <c r="P2036" s="52">
        <f>IF(OR(B2036="",G2036=""),"",IF(C2036="","Gasto",C2036))</f>
        <v/>
      </c>
      <c r="Q2036" s="52">
        <f>IF(P2036="","",IF(J2036&lt;&gt;"",J2036,CuentaPred&amp;""))</f>
        <v/>
      </c>
      <c r="R2036" s="52">
        <f>IF(P2036="","",IF(ISNUMBER(I2036),I2036,TasaUSD))</f>
        <v/>
      </c>
      <c r="S2036" s="53">
        <f>IF(P2036="","",IF(H2036="USD",G2036*R2036,G2036))</f>
        <v/>
      </c>
      <c r="T2036" s="53">
        <f>IF(P2036="","",IF(H2036="USD",G2036,IF(R2036&gt;0,G2036/R2036,0)))</f>
        <v/>
      </c>
      <c r="U2036" s="53">
        <f>IF(P2036="","",IF(P2036="Gasto",S2036,IF(P2036="Reembolso",-S2036,0)))</f>
        <v/>
      </c>
      <c r="V2036" s="53">
        <f>IF(P2036="","",IF(P2036="Ingreso",S2036,0))</f>
        <v/>
      </c>
      <c r="W2036" s="53">
        <f>IF(P2036="","",IF(P2036="Resultado trading",S2036,0))</f>
        <v/>
      </c>
      <c r="X2036" s="52">
        <f>IF(OR(P2036="Gasto",P2036="Reembolso"),IF(M2036&lt;&gt;"",M2036,IFERROR(INDEX(catClasif,MATCH(D2036&amp;"|"&amp;E2036,catClave,0))&amp;"","Variable")),"")</f>
        <v/>
      </c>
      <c r="Y2036" s="52">
        <f>IF(P2036="","",IFERROR(INDEX(catGrupo,MATCH(D2036&amp;"|"&amp;E2036,catClave,0))&amp;"",""))</f>
        <v/>
      </c>
      <c r="Z2036" s="52">
        <f>IF(P2036="","",WEEKDAY(B2036,2))</f>
        <v/>
      </c>
      <c r="AA2036" s="52">
        <f>IF(P2036="","",IF(AND(P2036="Gasto",X2036="Variable",D2036&lt;&gt;catTrading,S2036&gt;0,S2036&lt;=Umbral),1,0))</f>
        <v/>
      </c>
      <c r="AB2036" s="52">
        <f>IF(OR(P2036="",Q2036=""),"",IFERROR(IF(INDEX(ctaVinc,MATCH(Q2036,ctaNombre,0))&amp;""&lt;&gt;"",INDEX(ctaVinc,MATCH(Q2036,ctaNombre,0))&amp;"",Q2036),Q2036))</f>
        <v/>
      </c>
      <c r="AC2036" s="52">
        <f>IF(OR(K2036="",AND(P2036&lt;&gt;"Transferencia",P2036&lt;&gt;"Pago tarjeta")),"",IFERROR(IF(INDEX(ctaVinc,MATCH(K2036,ctaNombre,0))&amp;""&lt;&gt;"",INDEX(ctaVinc,MATCH(K2036,ctaNombre,0))&amp;"",K2036),K2036))</f>
        <v/>
      </c>
      <c r="AD2036" s="52">
        <f>IF(AB2036="","",IFERROR(INDEX(ctaTipo,MATCH(AB2036,ctaNombre,0))&amp;"",""))</f>
        <v/>
      </c>
      <c r="AE2036" s="52">
        <f>IF(AC2036="","",IFERROR(INDEX(ctaTipo,MATCH(AC2036,ctaNombre,0))&amp;"",""))</f>
        <v/>
      </c>
      <c r="AF2036" s="53">
        <f>IF(OR(P2036="",AB2036=""),"",IF(OR(P2036="Gasto",P2036="Transferencia",P2036="Pago tarjeta"),-1,1)*IF(IFERROR(INDEX(ctaMoneda,MATCH(AB2036,ctaNombre,0))&amp;"","DOP")="USD",T2036,S2036))</f>
        <v/>
      </c>
      <c r="AG2036" s="53">
        <f>IF(AC2036="","",IF(IFERROR(INDEX(ctaMoneda,MATCH(AC2036,ctaNombre,0))&amp;"","DOP")="USD",T2036,S2036))</f>
        <v/>
      </c>
      <c r="AH2036" s="53">
        <f>IF(P2036="","",IF(AND(AD2036&lt;&gt;"",COUNTIFS(tcTipo,AD2036,tcLiq,"Sí")&gt;0),IF(OR(P2036="Gasto",P2036="Transferencia",P2036="Pago tarjeta"),-1,1)*S2036,0)+IF(AND(AE2036&lt;&gt;"",COUNTIFS(tcTipo,AE2036,tcLiq,"Sí")&gt;0),S2036,0))</f>
        <v/>
      </c>
      <c r="AI2036" s="52">
        <f>IF(OR(L2036="",P2036=""),"",IF(COUNTIFS(L$6:L2036,L2036,P$6:P2036,"?*")=1,MAX(AI$5:AI2035)+1,""))</f>
        <v/>
      </c>
    </row>
    <row r="2037">
      <c r="B2037" s="47" t="n"/>
      <c r="C2037" s="48" t="n"/>
      <c r="D2037" s="48" t="n"/>
      <c r="E2037" s="48" t="n"/>
      <c r="F2037" s="48" t="n"/>
      <c r="G2037" s="49" t="n"/>
      <c r="H2037" s="48" t="n"/>
      <c r="I2037" s="50" t="n"/>
      <c r="J2037" s="48" t="n"/>
      <c r="K2037" s="48" t="n"/>
      <c r="L2037" s="48" t="n"/>
      <c r="M2037" s="48" t="n"/>
      <c r="N2037" s="48" t="n"/>
      <c r="O2037" s="51">
        <f>IF(AND(B2037="",G2037="",C2037="",D2037="",J2037=""),"",IF(B2037="","⚠ Falta fecha",IF(G2037="","⚠ Falta monto",IF(Q2037="","⚠ Falta cuenta",IF(ISNA(MATCH(Q2037,ctaNombre,0)),"⚠ Cuenta no registrada",IF(AND(OR(P2037="Gasto",P2037="Reembolso"),D2037=""),"⚠ Falta categoría",IF(AND(D2037&lt;&gt;"",E2037&lt;&gt;"",ISNA(MATCH(D2037&amp;"|"&amp;E2037,catClave,0))),"⚠ Subcategoría no corresponde",IF(AND(OR(P2037="Transferencia",P2037="Pago tarjeta"),K2037=""),"⚠ Falta cuenta destino",IF(AND(K2037&lt;&gt;"",P2037&lt;&gt;"Transferencia",P2037&lt;&gt;"Pago tarjeta"),"⚠ Destino solo aplica a transferencias",IF(AND(K2037&lt;&gt;"",K2037=Q2037),"⚠ Origen igual a destino",IF(AND(K2037&lt;&gt;"",ISNA(MATCH(K2037,ctaNombre,0))),"⚠ Destino no registrado",IF(AND(P2037="Pago tarjeta",AE2037&lt;&gt;"Tarjeta de crédito"),"⚠ El destino debe ser tarjeta de crédito",IF(AND(P2037="Gasto",E2037="Depósitos y retiros"),"⚠ Usa tipo Transferencia",IF(AND(P2037="Resultado trading",AD2037&lt;&gt;"Cuenta de trading"),"⚠ Usa una cuenta de trading",IF(AND(G2037&lt;=0,P2037&lt;&gt;"Ajuste",P2037&lt;&gt;"Resultado trading"),"⚠ El monto debe ser positivo","✓")))))))))))))))</f>
        <v/>
      </c>
      <c r="P2037" s="52">
        <f>IF(OR(B2037="",G2037=""),"",IF(C2037="","Gasto",C2037))</f>
        <v/>
      </c>
      <c r="Q2037" s="52">
        <f>IF(P2037="","",IF(J2037&lt;&gt;"",J2037,CuentaPred&amp;""))</f>
        <v/>
      </c>
      <c r="R2037" s="52">
        <f>IF(P2037="","",IF(ISNUMBER(I2037),I2037,TasaUSD))</f>
        <v/>
      </c>
      <c r="S2037" s="53">
        <f>IF(P2037="","",IF(H2037="USD",G2037*R2037,G2037))</f>
        <v/>
      </c>
      <c r="T2037" s="53">
        <f>IF(P2037="","",IF(H2037="USD",G2037,IF(R2037&gt;0,G2037/R2037,0)))</f>
        <v/>
      </c>
      <c r="U2037" s="53">
        <f>IF(P2037="","",IF(P2037="Gasto",S2037,IF(P2037="Reembolso",-S2037,0)))</f>
        <v/>
      </c>
      <c r="V2037" s="53">
        <f>IF(P2037="","",IF(P2037="Ingreso",S2037,0))</f>
        <v/>
      </c>
      <c r="W2037" s="53">
        <f>IF(P2037="","",IF(P2037="Resultado trading",S2037,0))</f>
        <v/>
      </c>
      <c r="X2037" s="52">
        <f>IF(OR(P2037="Gasto",P2037="Reembolso"),IF(M2037&lt;&gt;"",M2037,IFERROR(INDEX(catClasif,MATCH(D2037&amp;"|"&amp;E2037,catClave,0))&amp;"","Variable")),"")</f>
        <v/>
      </c>
      <c r="Y2037" s="52">
        <f>IF(P2037="","",IFERROR(INDEX(catGrupo,MATCH(D2037&amp;"|"&amp;E2037,catClave,0))&amp;"",""))</f>
        <v/>
      </c>
      <c r="Z2037" s="52">
        <f>IF(P2037="","",WEEKDAY(B2037,2))</f>
        <v/>
      </c>
      <c r="AA2037" s="52">
        <f>IF(P2037="","",IF(AND(P2037="Gasto",X2037="Variable",D2037&lt;&gt;catTrading,S2037&gt;0,S2037&lt;=Umbral),1,0))</f>
        <v/>
      </c>
      <c r="AB2037" s="52">
        <f>IF(OR(P2037="",Q2037=""),"",IFERROR(IF(INDEX(ctaVinc,MATCH(Q2037,ctaNombre,0))&amp;""&lt;&gt;"",INDEX(ctaVinc,MATCH(Q2037,ctaNombre,0))&amp;"",Q2037),Q2037))</f>
        <v/>
      </c>
      <c r="AC2037" s="52">
        <f>IF(OR(K2037="",AND(P2037&lt;&gt;"Transferencia",P2037&lt;&gt;"Pago tarjeta")),"",IFERROR(IF(INDEX(ctaVinc,MATCH(K2037,ctaNombre,0))&amp;""&lt;&gt;"",INDEX(ctaVinc,MATCH(K2037,ctaNombre,0))&amp;"",K2037),K2037))</f>
        <v/>
      </c>
      <c r="AD2037" s="52">
        <f>IF(AB2037="","",IFERROR(INDEX(ctaTipo,MATCH(AB2037,ctaNombre,0))&amp;"",""))</f>
        <v/>
      </c>
      <c r="AE2037" s="52">
        <f>IF(AC2037="","",IFERROR(INDEX(ctaTipo,MATCH(AC2037,ctaNombre,0))&amp;"",""))</f>
        <v/>
      </c>
      <c r="AF2037" s="53">
        <f>IF(OR(P2037="",AB2037=""),"",IF(OR(P2037="Gasto",P2037="Transferencia",P2037="Pago tarjeta"),-1,1)*IF(IFERROR(INDEX(ctaMoneda,MATCH(AB2037,ctaNombre,0))&amp;"","DOP")="USD",T2037,S2037))</f>
        <v/>
      </c>
      <c r="AG2037" s="53">
        <f>IF(AC2037="","",IF(IFERROR(INDEX(ctaMoneda,MATCH(AC2037,ctaNombre,0))&amp;"","DOP")="USD",T2037,S2037))</f>
        <v/>
      </c>
      <c r="AH2037" s="53">
        <f>IF(P2037="","",IF(AND(AD2037&lt;&gt;"",COUNTIFS(tcTipo,AD2037,tcLiq,"Sí")&gt;0),IF(OR(P2037="Gasto",P2037="Transferencia",P2037="Pago tarjeta"),-1,1)*S2037,0)+IF(AND(AE2037&lt;&gt;"",COUNTIFS(tcTipo,AE2037,tcLiq,"Sí")&gt;0),S2037,0))</f>
        <v/>
      </c>
      <c r="AI2037" s="52">
        <f>IF(OR(L2037="",P2037=""),"",IF(COUNTIFS(L$6:L2037,L2037,P$6:P2037,"?*")=1,MAX(AI$5:AI2036)+1,""))</f>
        <v/>
      </c>
    </row>
    <row r="2038">
      <c r="B2038" s="47" t="n"/>
      <c r="C2038" s="48" t="n"/>
      <c r="D2038" s="48" t="n"/>
      <c r="E2038" s="48" t="n"/>
      <c r="F2038" s="48" t="n"/>
      <c r="G2038" s="49" t="n"/>
      <c r="H2038" s="48" t="n"/>
      <c r="I2038" s="50" t="n"/>
      <c r="J2038" s="48" t="n"/>
      <c r="K2038" s="48" t="n"/>
      <c r="L2038" s="48" t="n"/>
      <c r="M2038" s="48" t="n"/>
      <c r="N2038" s="48" t="n"/>
      <c r="O2038" s="51">
        <f>IF(AND(B2038="",G2038="",C2038="",D2038="",J2038=""),"",IF(B2038="","⚠ Falta fecha",IF(G2038="","⚠ Falta monto",IF(Q2038="","⚠ Falta cuenta",IF(ISNA(MATCH(Q2038,ctaNombre,0)),"⚠ Cuenta no registrada",IF(AND(OR(P2038="Gasto",P2038="Reembolso"),D2038=""),"⚠ Falta categoría",IF(AND(D2038&lt;&gt;"",E2038&lt;&gt;"",ISNA(MATCH(D2038&amp;"|"&amp;E2038,catClave,0))),"⚠ Subcategoría no corresponde",IF(AND(OR(P2038="Transferencia",P2038="Pago tarjeta"),K2038=""),"⚠ Falta cuenta destino",IF(AND(K2038&lt;&gt;"",P2038&lt;&gt;"Transferencia",P2038&lt;&gt;"Pago tarjeta"),"⚠ Destino solo aplica a transferencias",IF(AND(K2038&lt;&gt;"",K2038=Q2038),"⚠ Origen igual a destino",IF(AND(K2038&lt;&gt;"",ISNA(MATCH(K2038,ctaNombre,0))),"⚠ Destino no registrado",IF(AND(P2038="Pago tarjeta",AE2038&lt;&gt;"Tarjeta de crédito"),"⚠ El destino debe ser tarjeta de crédito",IF(AND(P2038="Gasto",E2038="Depósitos y retiros"),"⚠ Usa tipo Transferencia",IF(AND(P2038="Resultado trading",AD2038&lt;&gt;"Cuenta de trading"),"⚠ Usa una cuenta de trading",IF(AND(G2038&lt;=0,P2038&lt;&gt;"Ajuste",P2038&lt;&gt;"Resultado trading"),"⚠ El monto debe ser positivo","✓")))))))))))))))</f>
        <v/>
      </c>
      <c r="P2038" s="52">
        <f>IF(OR(B2038="",G2038=""),"",IF(C2038="","Gasto",C2038))</f>
        <v/>
      </c>
      <c r="Q2038" s="52">
        <f>IF(P2038="","",IF(J2038&lt;&gt;"",J2038,CuentaPred&amp;""))</f>
        <v/>
      </c>
      <c r="R2038" s="52">
        <f>IF(P2038="","",IF(ISNUMBER(I2038),I2038,TasaUSD))</f>
        <v/>
      </c>
      <c r="S2038" s="53">
        <f>IF(P2038="","",IF(H2038="USD",G2038*R2038,G2038))</f>
        <v/>
      </c>
      <c r="T2038" s="53">
        <f>IF(P2038="","",IF(H2038="USD",G2038,IF(R2038&gt;0,G2038/R2038,0)))</f>
        <v/>
      </c>
      <c r="U2038" s="53">
        <f>IF(P2038="","",IF(P2038="Gasto",S2038,IF(P2038="Reembolso",-S2038,0)))</f>
        <v/>
      </c>
      <c r="V2038" s="53">
        <f>IF(P2038="","",IF(P2038="Ingreso",S2038,0))</f>
        <v/>
      </c>
      <c r="W2038" s="53">
        <f>IF(P2038="","",IF(P2038="Resultado trading",S2038,0))</f>
        <v/>
      </c>
      <c r="X2038" s="52">
        <f>IF(OR(P2038="Gasto",P2038="Reembolso"),IF(M2038&lt;&gt;"",M2038,IFERROR(INDEX(catClasif,MATCH(D2038&amp;"|"&amp;E2038,catClave,0))&amp;"","Variable")),"")</f>
        <v/>
      </c>
      <c r="Y2038" s="52">
        <f>IF(P2038="","",IFERROR(INDEX(catGrupo,MATCH(D2038&amp;"|"&amp;E2038,catClave,0))&amp;"",""))</f>
        <v/>
      </c>
      <c r="Z2038" s="52">
        <f>IF(P2038="","",WEEKDAY(B2038,2))</f>
        <v/>
      </c>
      <c r="AA2038" s="52">
        <f>IF(P2038="","",IF(AND(P2038="Gasto",X2038="Variable",D2038&lt;&gt;catTrading,S2038&gt;0,S2038&lt;=Umbral),1,0))</f>
        <v/>
      </c>
      <c r="AB2038" s="52">
        <f>IF(OR(P2038="",Q2038=""),"",IFERROR(IF(INDEX(ctaVinc,MATCH(Q2038,ctaNombre,0))&amp;""&lt;&gt;"",INDEX(ctaVinc,MATCH(Q2038,ctaNombre,0))&amp;"",Q2038),Q2038))</f>
        <v/>
      </c>
      <c r="AC2038" s="52">
        <f>IF(OR(K2038="",AND(P2038&lt;&gt;"Transferencia",P2038&lt;&gt;"Pago tarjeta")),"",IFERROR(IF(INDEX(ctaVinc,MATCH(K2038,ctaNombre,0))&amp;""&lt;&gt;"",INDEX(ctaVinc,MATCH(K2038,ctaNombre,0))&amp;"",K2038),K2038))</f>
        <v/>
      </c>
      <c r="AD2038" s="52">
        <f>IF(AB2038="","",IFERROR(INDEX(ctaTipo,MATCH(AB2038,ctaNombre,0))&amp;"",""))</f>
        <v/>
      </c>
      <c r="AE2038" s="52">
        <f>IF(AC2038="","",IFERROR(INDEX(ctaTipo,MATCH(AC2038,ctaNombre,0))&amp;"",""))</f>
        <v/>
      </c>
      <c r="AF2038" s="53">
        <f>IF(OR(P2038="",AB2038=""),"",IF(OR(P2038="Gasto",P2038="Transferencia",P2038="Pago tarjeta"),-1,1)*IF(IFERROR(INDEX(ctaMoneda,MATCH(AB2038,ctaNombre,0))&amp;"","DOP")="USD",T2038,S2038))</f>
        <v/>
      </c>
      <c r="AG2038" s="53">
        <f>IF(AC2038="","",IF(IFERROR(INDEX(ctaMoneda,MATCH(AC2038,ctaNombre,0))&amp;"","DOP")="USD",T2038,S2038))</f>
        <v/>
      </c>
      <c r="AH2038" s="53">
        <f>IF(P2038="","",IF(AND(AD2038&lt;&gt;"",COUNTIFS(tcTipo,AD2038,tcLiq,"Sí")&gt;0),IF(OR(P2038="Gasto",P2038="Transferencia",P2038="Pago tarjeta"),-1,1)*S2038,0)+IF(AND(AE2038&lt;&gt;"",COUNTIFS(tcTipo,AE2038,tcLiq,"Sí")&gt;0),S2038,0))</f>
        <v/>
      </c>
      <c r="AI2038" s="52">
        <f>IF(OR(L2038="",P2038=""),"",IF(COUNTIFS(L$6:L2038,L2038,P$6:P2038,"?*")=1,MAX(AI$5:AI2037)+1,""))</f>
        <v/>
      </c>
    </row>
    <row r="2039">
      <c r="B2039" s="47" t="n"/>
      <c r="C2039" s="48" t="n"/>
      <c r="D2039" s="48" t="n"/>
      <c r="E2039" s="48" t="n"/>
      <c r="F2039" s="48" t="n"/>
      <c r="G2039" s="49" t="n"/>
      <c r="H2039" s="48" t="n"/>
      <c r="I2039" s="50" t="n"/>
      <c r="J2039" s="48" t="n"/>
      <c r="K2039" s="48" t="n"/>
      <c r="L2039" s="48" t="n"/>
      <c r="M2039" s="48" t="n"/>
      <c r="N2039" s="48" t="n"/>
      <c r="O2039" s="51">
        <f>IF(AND(B2039="",G2039="",C2039="",D2039="",J2039=""),"",IF(B2039="","⚠ Falta fecha",IF(G2039="","⚠ Falta monto",IF(Q2039="","⚠ Falta cuenta",IF(ISNA(MATCH(Q2039,ctaNombre,0)),"⚠ Cuenta no registrada",IF(AND(OR(P2039="Gasto",P2039="Reembolso"),D2039=""),"⚠ Falta categoría",IF(AND(D2039&lt;&gt;"",E2039&lt;&gt;"",ISNA(MATCH(D2039&amp;"|"&amp;E2039,catClave,0))),"⚠ Subcategoría no corresponde",IF(AND(OR(P2039="Transferencia",P2039="Pago tarjeta"),K2039=""),"⚠ Falta cuenta destino",IF(AND(K2039&lt;&gt;"",P2039&lt;&gt;"Transferencia",P2039&lt;&gt;"Pago tarjeta"),"⚠ Destino solo aplica a transferencias",IF(AND(K2039&lt;&gt;"",K2039=Q2039),"⚠ Origen igual a destino",IF(AND(K2039&lt;&gt;"",ISNA(MATCH(K2039,ctaNombre,0))),"⚠ Destino no registrado",IF(AND(P2039="Pago tarjeta",AE2039&lt;&gt;"Tarjeta de crédito"),"⚠ El destino debe ser tarjeta de crédito",IF(AND(P2039="Gasto",E2039="Depósitos y retiros"),"⚠ Usa tipo Transferencia",IF(AND(P2039="Resultado trading",AD2039&lt;&gt;"Cuenta de trading"),"⚠ Usa una cuenta de trading",IF(AND(G2039&lt;=0,P2039&lt;&gt;"Ajuste",P2039&lt;&gt;"Resultado trading"),"⚠ El monto debe ser positivo","✓")))))))))))))))</f>
        <v/>
      </c>
      <c r="P2039" s="52">
        <f>IF(OR(B2039="",G2039=""),"",IF(C2039="","Gasto",C2039))</f>
        <v/>
      </c>
      <c r="Q2039" s="52">
        <f>IF(P2039="","",IF(J2039&lt;&gt;"",J2039,CuentaPred&amp;""))</f>
        <v/>
      </c>
      <c r="R2039" s="52">
        <f>IF(P2039="","",IF(ISNUMBER(I2039),I2039,TasaUSD))</f>
        <v/>
      </c>
      <c r="S2039" s="53">
        <f>IF(P2039="","",IF(H2039="USD",G2039*R2039,G2039))</f>
        <v/>
      </c>
      <c r="T2039" s="53">
        <f>IF(P2039="","",IF(H2039="USD",G2039,IF(R2039&gt;0,G2039/R2039,0)))</f>
        <v/>
      </c>
      <c r="U2039" s="53">
        <f>IF(P2039="","",IF(P2039="Gasto",S2039,IF(P2039="Reembolso",-S2039,0)))</f>
        <v/>
      </c>
      <c r="V2039" s="53">
        <f>IF(P2039="","",IF(P2039="Ingreso",S2039,0))</f>
        <v/>
      </c>
      <c r="W2039" s="53">
        <f>IF(P2039="","",IF(P2039="Resultado trading",S2039,0))</f>
        <v/>
      </c>
      <c r="X2039" s="52">
        <f>IF(OR(P2039="Gasto",P2039="Reembolso"),IF(M2039&lt;&gt;"",M2039,IFERROR(INDEX(catClasif,MATCH(D2039&amp;"|"&amp;E2039,catClave,0))&amp;"","Variable")),"")</f>
        <v/>
      </c>
      <c r="Y2039" s="52">
        <f>IF(P2039="","",IFERROR(INDEX(catGrupo,MATCH(D2039&amp;"|"&amp;E2039,catClave,0))&amp;"",""))</f>
        <v/>
      </c>
      <c r="Z2039" s="52">
        <f>IF(P2039="","",WEEKDAY(B2039,2))</f>
        <v/>
      </c>
      <c r="AA2039" s="52">
        <f>IF(P2039="","",IF(AND(P2039="Gasto",X2039="Variable",D2039&lt;&gt;catTrading,S2039&gt;0,S2039&lt;=Umbral),1,0))</f>
        <v/>
      </c>
      <c r="AB2039" s="52">
        <f>IF(OR(P2039="",Q2039=""),"",IFERROR(IF(INDEX(ctaVinc,MATCH(Q2039,ctaNombre,0))&amp;""&lt;&gt;"",INDEX(ctaVinc,MATCH(Q2039,ctaNombre,0))&amp;"",Q2039),Q2039))</f>
        <v/>
      </c>
      <c r="AC2039" s="52">
        <f>IF(OR(K2039="",AND(P2039&lt;&gt;"Transferencia",P2039&lt;&gt;"Pago tarjeta")),"",IFERROR(IF(INDEX(ctaVinc,MATCH(K2039,ctaNombre,0))&amp;""&lt;&gt;"",INDEX(ctaVinc,MATCH(K2039,ctaNombre,0))&amp;"",K2039),K2039))</f>
        <v/>
      </c>
      <c r="AD2039" s="52">
        <f>IF(AB2039="","",IFERROR(INDEX(ctaTipo,MATCH(AB2039,ctaNombre,0))&amp;"",""))</f>
        <v/>
      </c>
      <c r="AE2039" s="52">
        <f>IF(AC2039="","",IFERROR(INDEX(ctaTipo,MATCH(AC2039,ctaNombre,0))&amp;"",""))</f>
        <v/>
      </c>
      <c r="AF2039" s="53">
        <f>IF(OR(P2039="",AB2039=""),"",IF(OR(P2039="Gasto",P2039="Transferencia",P2039="Pago tarjeta"),-1,1)*IF(IFERROR(INDEX(ctaMoneda,MATCH(AB2039,ctaNombre,0))&amp;"","DOP")="USD",T2039,S2039))</f>
        <v/>
      </c>
      <c r="AG2039" s="53">
        <f>IF(AC2039="","",IF(IFERROR(INDEX(ctaMoneda,MATCH(AC2039,ctaNombre,0))&amp;"","DOP")="USD",T2039,S2039))</f>
        <v/>
      </c>
      <c r="AH2039" s="53">
        <f>IF(P2039="","",IF(AND(AD2039&lt;&gt;"",COUNTIFS(tcTipo,AD2039,tcLiq,"Sí")&gt;0),IF(OR(P2039="Gasto",P2039="Transferencia",P2039="Pago tarjeta"),-1,1)*S2039,0)+IF(AND(AE2039&lt;&gt;"",COUNTIFS(tcTipo,AE2039,tcLiq,"Sí")&gt;0),S2039,0))</f>
        <v/>
      </c>
      <c r="AI2039" s="52">
        <f>IF(OR(L2039="",P2039=""),"",IF(COUNTIFS(L$6:L2039,L2039,P$6:P2039,"?*")=1,MAX(AI$5:AI2038)+1,""))</f>
        <v/>
      </c>
    </row>
    <row r="2040">
      <c r="B2040" s="47" t="n"/>
      <c r="C2040" s="48" t="n"/>
      <c r="D2040" s="48" t="n"/>
      <c r="E2040" s="48" t="n"/>
      <c r="F2040" s="48" t="n"/>
      <c r="G2040" s="49" t="n"/>
      <c r="H2040" s="48" t="n"/>
      <c r="I2040" s="50" t="n"/>
      <c r="J2040" s="48" t="n"/>
      <c r="K2040" s="48" t="n"/>
      <c r="L2040" s="48" t="n"/>
      <c r="M2040" s="48" t="n"/>
      <c r="N2040" s="48" t="n"/>
      <c r="O2040" s="51">
        <f>IF(AND(B2040="",G2040="",C2040="",D2040="",J2040=""),"",IF(B2040="","⚠ Falta fecha",IF(G2040="","⚠ Falta monto",IF(Q2040="","⚠ Falta cuenta",IF(ISNA(MATCH(Q2040,ctaNombre,0)),"⚠ Cuenta no registrada",IF(AND(OR(P2040="Gasto",P2040="Reembolso"),D2040=""),"⚠ Falta categoría",IF(AND(D2040&lt;&gt;"",E2040&lt;&gt;"",ISNA(MATCH(D2040&amp;"|"&amp;E2040,catClave,0))),"⚠ Subcategoría no corresponde",IF(AND(OR(P2040="Transferencia",P2040="Pago tarjeta"),K2040=""),"⚠ Falta cuenta destino",IF(AND(K2040&lt;&gt;"",P2040&lt;&gt;"Transferencia",P2040&lt;&gt;"Pago tarjeta"),"⚠ Destino solo aplica a transferencias",IF(AND(K2040&lt;&gt;"",K2040=Q2040),"⚠ Origen igual a destino",IF(AND(K2040&lt;&gt;"",ISNA(MATCH(K2040,ctaNombre,0))),"⚠ Destino no registrado",IF(AND(P2040="Pago tarjeta",AE2040&lt;&gt;"Tarjeta de crédito"),"⚠ El destino debe ser tarjeta de crédito",IF(AND(P2040="Gasto",E2040="Depósitos y retiros"),"⚠ Usa tipo Transferencia",IF(AND(P2040="Resultado trading",AD2040&lt;&gt;"Cuenta de trading"),"⚠ Usa una cuenta de trading",IF(AND(G2040&lt;=0,P2040&lt;&gt;"Ajuste",P2040&lt;&gt;"Resultado trading"),"⚠ El monto debe ser positivo","✓")))))))))))))))</f>
        <v/>
      </c>
      <c r="P2040" s="52">
        <f>IF(OR(B2040="",G2040=""),"",IF(C2040="","Gasto",C2040))</f>
        <v/>
      </c>
      <c r="Q2040" s="52">
        <f>IF(P2040="","",IF(J2040&lt;&gt;"",J2040,CuentaPred&amp;""))</f>
        <v/>
      </c>
      <c r="R2040" s="52">
        <f>IF(P2040="","",IF(ISNUMBER(I2040),I2040,TasaUSD))</f>
        <v/>
      </c>
      <c r="S2040" s="53">
        <f>IF(P2040="","",IF(H2040="USD",G2040*R2040,G2040))</f>
        <v/>
      </c>
      <c r="T2040" s="53">
        <f>IF(P2040="","",IF(H2040="USD",G2040,IF(R2040&gt;0,G2040/R2040,0)))</f>
        <v/>
      </c>
      <c r="U2040" s="53">
        <f>IF(P2040="","",IF(P2040="Gasto",S2040,IF(P2040="Reembolso",-S2040,0)))</f>
        <v/>
      </c>
      <c r="V2040" s="53">
        <f>IF(P2040="","",IF(P2040="Ingreso",S2040,0))</f>
        <v/>
      </c>
      <c r="W2040" s="53">
        <f>IF(P2040="","",IF(P2040="Resultado trading",S2040,0))</f>
        <v/>
      </c>
      <c r="X2040" s="52">
        <f>IF(OR(P2040="Gasto",P2040="Reembolso"),IF(M2040&lt;&gt;"",M2040,IFERROR(INDEX(catClasif,MATCH(D2040&amp;"|"&amp;E2040,catClave,0))&amp;"","Variable")),"")</f>
        <v/>
      </c>
      <c r="Y2040" s="52">
        <f>IF(P2040="","",IFERROR(INDEX(catGrupo,MATCH(D2040&amp;"|"&amp;E2040,catClave,0))&amp;"",""))</f>
        <v/>
      </c>
      <c r="Z2040" s="52">
        <f>IF(P2040="","",WEEKDAY(B2040,2))</f>
        <v/>
      </c>
      <c r="AA2040" s="52">
        <f>IF(P2040="","",IF(AND(P2040="Gasto",X2040="Variable",D2040&lt;&gt;catTrading,S2040&gt;0,S2040&lt;=Umbral),1,0))</f>
        <v/>
      </c>
      <c r="AB2040" s="52">
        <f>IF(OR(P2040="",Q2040=""),"",IFERROR(IF(INDEX(ctaVinc,MATCH(Q2040,ctaNombre,0))&amp;""&lt;&gt;"",INDEX(ctaVinc,MATCH(Q2040,ctaNombre,0))&amp;"",Q2040),Q2040))</f>
        <v/>
      </c>
      <c r="AC2040" s="52">
        <f>IF(OR(K2040="",AND(P2040&lt;&gt;"Transferencia",P2040&lt;&gt;"Pago tarjeta")),"",IFERROR(IF(INDEX(ctaVinc,MATCH(K2040,ctaNombre,0))&amp;""&lt;&gt;"",INDEX(ctaVinc,MATCH(K2040,ctaNombre,0))&amp;"",K2040),K2040))</f>
        <v/>
      </c>
      <c r="AD2040" s="52">
        <f>IF(AB2040="","",IFERROR(INDEX(ctaTipo,MATCH(AB2040,ctaNombre,0))&amp;"",""))</f>
        <v/>
      </c>
      <c r="AE2040" s="52">
        <f>IF(AC2040="","",IFERROR(INDEX(ctaTipo,MATCH(AC2040,ctaNombre,0))&amp;"",""))</f>
        <v/>
      </c>
      <c r="AF2040" s="53">
        <f>IF(OR(P2040="",AB2040=""),"",IF(OR(P2040="Gasto",P2040="Transferencia",P2040="Pago tarjeta"),-1,1)*IF(IFERROR(INDEX(ctaMoneda,MATCH(AB2040,ctaNombre,0))&amp;"","DOP")="USD",T2040,S2040))</f>
        <v/>
      </c>
      <c r="AG2040" s="53">
        <f>IF(AC2040="","",IF(IFERROR(INDEX(ctaMoneda,MATCH(AC2040,ctaNombre,0))&amp;"","DOP")="USD",T2040,S2040))</f>
        <v/>
      </c>
      <c r="AH2040" s="53">
        <f>IF(P2040="","",IF(AND(AD2040&lt;&gt;"",COUNTIFS(tcTipo,AD2040,tcLiq,"Sí")&gt;0),IF(OR(P2040="Gasto",P2040="Transferencia",P2040="Pago tarjeta"),-1,1)*S2040,0)+IF(AND(AE2040&lt;&gt;"",COUNTIFS(tcTipo,AE2040,tcLiq,"Sí")&gt;0),S2040,0))</f>
        <v/>
      </c>
      <c r="AI2040" s="52">
        <f>IF(OR(L2040="",P2040=""),"",IF(COUNTIFS(L$6:L2040,L2040,P$6:P2040,"?*")=1,MAX(AI$5:AI2039)+1,""))</f>
        <v/>
      </c>
    </row>
    <row r="2041">
      <c r="B2041" s="47" t="n"/>
      <c r="C2041" s="48" t="n"/>
      <c r="D2041" s="48" t="n"/>
      <c r="E2041" s="48" t="n"/>
      <c r="F2041" s="48" t="n"/>
      <c r="G2041" s="49" t="n"/>
      <c r="H2041" s="48" t="n"/>
      <c r="I2041" s="50" t="n"/>
      <c r="J2041" s="48" t="n"/>
      <c r="K2041" s="48" t="n"/>
      <c r="L2041" s="48" t="n"/>
      <c r="M2041" s="48" t="n"/>
      <c r="N2041" s="48" t="n"/>
      <c r="O2041" s="51">
        <f>IF(AND(B2041="",G2041="",C2041="",D2041="",J2041=""),"",IF(B2041="","⚠ Falta fecha",IF(G2041="","⚠ Falta monto",IF(Q2041="","⚠ Falta cuenta",IF(ISNA(MATCH(Q2041,ctaNombre,0)),"⚠ Cuenta no registrada",IF(AND(OR(P2041="Gasto",P2041="Reembolso"),D2041=""),"⚠ Falta categoría",IF(AND(D2041&lt;&gt;"",E2041&lt;&gt;"",ISNA(MATCH(D2041&amp;"|"&amp;E2041,catClave,0))),"⚠ Subcategoría no corresponde",IF(AND(OR(P2041="Transferencia",P2041="Pago tarjeta"),K2041=""),"⚠ Falta cuenta destino",IF(AND(K2041&lt;&gt;"",P2041&lt;&gt;"Transferencia",P2041&lt;&gt;"Pago tarjeta"),"⚠ Destino solo aplica a transferencias",IF(AND(K2041&lt;&gt;"",K2041=Q2041),"⚠ Origen igual a destino",IF(AND(K2041&lt;&gt;"",ISNA(MATCH(K2041,ctaNombre,0))),"⚠ Destino no registrado",IF(AND(P2041="Pago tarjeta",AE2041&lt;&gt;"Tarjeta de crédito"),"⚠ El destino debe ser tarjeta de crédito",IF(AND(P2041="Gasto",E2041="Depósitos y retiros"),"⚠ Usa tipo Transferencia",IF(AND(P2041="Resultado trading",AD2041&lt;&gt;"Cuenta de trading"),"⚠ Usa una cuenta de trading",IF(AND(G2041&lt;=0,P2041&lt;&gt;"Ajuste",P2041&lt;&gt;"Resultado trading"),"⚠ El monto debe ser positivo","✓")))))))))))))))</f>
        <v/>
      </c>
      <c r="P2041" s="52">
        <f>IF(OR(B2041="",G2041=""),"",IF(C2041="","Gasto",C2041))</f>
        <v/>
      </c>
      <c r="Q2041" s="52">
        <f>IF(P2041="","",IF(J2041&lt;&gt;"",J2041,CuentaPred&amp;""))</f>
        <v/>
      </c>
      <c r="R2041" s="52">
        <f>IF(P2041="","",IF(ISNUMBER(I2041),I2041,TasaUSD))</f>
        <v/>
      </c>
      <c r="S2041" s="53">
        <f>IF(P2041="","",IF(H2041="USD",G2041*R2041,G2041))</f>
        <v/>
      </c>
      <c r="T2041" s="53">
        <f>IF(P2041="","",IF(H2041="USD",G2041,IF(R2041&gt;0,G2041/R2041,0)))</f>
        <v/>
      </c>
      <c r="U2041" s="53">
        <f>IF(P2041="","",IF(P2041="Gasto",S2041,IF(P2041="Reembolso",-S2041,0)))</f>
        <v/>
      </c>
      <c r="V2041" s="53">
        <f>IF(P2041="","",IF(P2041="Ingreso",S2041,0))</f>
        <v/>
      </c>
      <c r="W2041" s="53">
        <f>IF(P2041="","",IF(P2041="Resultado trading",S2041,0))</f>
        <v/>
      </c>
      <c r="X2041" s="52">
        <f>IF(OR(P2041="Gasto",P2041="Reembolso"),IF(M2041&lt;&gt;"",M2041,IFERROR(INDEX(catClasif,MATCH(D2041&amp;"|"&amp;E2041,catClave,0))&amp;"","Variable")),"")</f>
        <v/>
      </c>
      <c r="Y2041" s="52">
        <f>IF(P2041="","",IFERROR(INDEX(catGrupo,MATCH(D2041&amp;"|"&amp;E2041,catClave,0))&amp;"",""))</f>
        <v/>
      </c>
      <c r="Z2041" s="52">
        <f>IF(P2041="","",WEEKDAY(B2041,2))</f>
        <v/>
      </c>
      <c r="AA2041" s="52">
        <f>IF(P2041="","",IF(AND(P2041="Gasto",X2041="Variable",D2041&lt;&gt;catTrading,S2041&gt;0,S2041&lt;=Umbral),1,0))</f>
        <v/>
      </c>
      <c r="AB2041" s="52">
        <f>IF(OR(P2041="",Q2041=""),"",IFERROR(IF(INDEX(ctaVinc,MATCH(Q2041,ctaNombre,0))&amp;""&lt;&gt;"",INDEX(ctaVinc,MATCH(Q2041,ctaNombre,0))&amp;"",Q2041),Q2041))</f>
        <v/>
      </c>
      <c r="AC2041" s="52">
        <f>IF(OR(K2041="",AND(P2041&lt;&gt;"Transferencia",P2041&lt;&gt;"Pago tarjeta")),"",IFERROR(IF(INDEX(ctaVinc,MATCH(K2041,ctaNombre,0))&amp;""&lt;&gt;"",INDEX(ctaVinc,MATCH(K2041,ctaNombre,0))&amp;"",K2041),K2041))</f>
        <v/>
      </c>
      <c r="AD2041" s="52">
        <f>IF(AB2041="","",IFERROR(INDEX(ctaTipo,MATCH(AB2041,ctaNombre,0))&amp;"",""))</f>
        <v/>
      </c>
      <c r="AE2041" s="52">
        <f>IF(AC2041="","",IFERROR(INDEX(ctaTipo,MATCH(AC2041,ctaNombre,0))&amp;"",""))</f>
        <v/>
      </c>
      <c r="AF2041" s="53">
        <f>IF(OR(P2041="",AB2041=""),"",IF(OR(P2041="Gasto",P2041="Transferencia",P2041="Pago tarjeta"),-1,1)*IF(IFERROR(INDEX(ctaMoneda,MATCH(AB2041,ctaNombre,0))&amp;"","DOP")="USD",T2041,S2041))</f>
        <v/>
      </c>
      <c r="AG2041" s="53">
        <f>IF(AC2041="","",IF(IFERROR(INDEX(ctaMoneda,MATCH(AC2041,ctaNombre,0))&amp;"","DOP")="USD",T2041,S2041))</f>
        <v/>
      </c>
      <c r="AH2041" s="53">
        <f>IF(P2041="","",IF(AND(AD2041&lt;&gt;"",COUNTIFS(tcTipo,AD2041,tcLiq,"Sí")&gt;0),IF(OR(P2041="Gasto",P2041="Transferencia",P2041="Pago tarjeta"),-1,1)*S2041,0)+IF(AND(AE2041&lt;&gt;"",COUNTIFS(tcTipo,AE2041,tcLiq,"Sí")&gt;0),S2041,0))</f>
        <v/>
      </c>
      <c r="AI2041" s="52">
        <f>IF(OR(L2041="",P2041=""),"",IF(COUNTIFS(L$6:L2041,L2041,P$6:P2041,"?*")=1,MAX(AI$5:AI2040)+1,""))</f>
        <v/>
      </c>
    </row>
    <row r="2042">
      <c r="B2042" s="47" t="n"/>
      <c r="C2042" s="48" t="n"/>
      <c r="D2042" s="48" t="n"/>
      <c r="E2042" s="48" t="n"/>
      <c r="F2042" s="48" t="n"/>
      <c r="G2042" s="49" t="n"/>
      <c r="H2042" s="48" t="n"/>
      <c r="I2042" s="50" t="n"/>
      <c r="J2042" s="48" t="n"/>
      <c r="K2042" s="48" t="n"/>
      <c r="L2042" s="48" t="n"/>
      <c r="M2042" s="48" t="n"/>
      <c r="N2042" s="48" t="n"/>
      <c r="O2042" s="51">
        <f>IF(AND(B2042="",G2042="",C2042="",D2042="",J2042=""),"",IF(B2042="","⚠ Falta fecha",IF(G2042="","⚠ Falta monto",IF(Q2042="","⚠ Falta cuenta",IF(ISNA(MATCH(Q2042,ctaNombre,0)),"⚠ Cuenta no registrada",IF(AND(OR(P2042="Gasto",P2042="Reembolso"),D2042=""),"⚠ Falta categoría",IF(AND(D2042&lt;&gt;"",E2042&lt;&gt;"",ISNA(MATCH(D2042&amp;"|"&amp;E2042,catClave,0))),"⚠ Subcategoría no corresponde",IF(AND(OR(P2042="Transferencia",P2042="Pago tarjeta"),K2042=""),"⚠ Falta cuenta destino",IF(AND(K2042&lt;&gt;"",P2042&lt;&gt;"Transferencia",P2042&lt;&gt;"Pago tarjeta"),"⚠ Destino solo aplica a transferencias",IF(AND(K2042&lt;&gt;"",K2042=Q2042),"⚠ Origen igual a destino",IF(AND(K2042&lt;&gt;"",ISNA(MATCH(K2042,ctaNombre,0))),"⚠ Destino no registrado",IF(AND(P2042="Pago tarjeta",AE2042&lt;&gt;"Tarjeta de crédito"),"⚠ El destino debe ser tarjeta de crédito",IF(AND(P2042="Gasto",E2042="Depósitos y retiros"),"⚠ Usa tipo Transferencia",IF(AND(P2042="Resultado trading",AD2042&lt;&gt;"Cuenta de trading"),"⚠ Usa una cuenta de trading",IF(AND(G2042&lt;=0,P2042&lt;&gt;"Ajuste",P2042&lt;&gt;"Resultado trading"),"⚠ El monto debe ser positivo","✓")))))))))))))))</f>
        <v/>
      </c>
      <c r="P2042" s="52">
        <f>IF(OR(B2042="",G2042=""),"",IF(C2042="","Gasto",C2042))</f>
        <v/>
      </c>
      <c r="Q2042" s="52">
        <f>IF(P2042="","",IF(J2042&lt;&gt;"",J2042,CuentaPred&amp;""))</f>
        <v/>
      </c>
      <c r="R2042" s="52">
        <f>IF(P2042="","",IF(ISNUMBER(I2042),I2042,TasaUSD))</f>
        <v/>
      </c>
      <c r="S2042" s="53">
        <f>IF(P2042="","",IF(H2042="USD",G2042*R2042,G2042))</f>
        <v/>
      </c>
      <c r="T2042" s="53">
        <f>IF(P2042="","",IF(H2042="USD",G2042,IF(R2042&gt;0,G2042/R2042,0)))</f>
        <v/>
      </c>
      <c r="U2042" s="53">
        <f>IF(P2042="","",IF(P2042="Gasto",S2042,IF(P2042="Reembolso",-S2042,0)))</f>
        <v/>
      </c>
      <c r="V2042" s="53">
        <f>IF(P2042="","",IF(P2042="Ingreso",S2042,0))</f>
        <v/>
      </c>
      <c r="W2042" s="53">
        <f>IF(P2042="","",IF(P2042="Resultado trading",S2042,0))</f>
        <v/>
      </c>
      <c r="X2042" s="52">
        <f>IF(OR(P2042="Gasto",P2042="Reembolso"),IF(M2042&lt;&gt;"",M2042,IFERROR(INDEX(catClasif,MATCH(D2042&amp;"|"&amp;E2042,catClave,0))&amp;"","Variable")),"")</f>
        <v/>
      </c>
      <c r="Y2042" s="52">
        <f>IF(P2042="","",IFERROR(INDEX(catGrupo,MATCH(D2042&amp;"|"&amp;E2042,catClave,0))&amp;"",""))</f>
        <v/>
      </c>
      <c r="Z2042" s="52">
        <f>IF(P2042="","",WEEKDAY(B2042,2))</f>
        <v/>
      </c>
      <c r="AA2042" s="52">
        <f>IF(P2042="","",IF(AND(P2042="Gasto",X2042="Variable",D2042&lt;&gt;catTrading,S2042&gt;0,S2042&lt;=Umbral),1,0))</f>
        <v/>
      </c>
      <c r="AB2042" s="52">
        <f>IF(OR(P2042="",Q2042=""),"",IFERROR(IF(INDEX(ctaVinc,MATCH(Q2042,ctaNombre,0))&amp;""&lt;&gt;"",INDEX(ctaVinc,MATCH(Q2042,ctaNombre,0))&amp;"",Q2042),Q2042))</f>
        <v/>
      </c>
      <c r="AC2042" s="52">
        <f>IF(OR(K2042="",AND(P2042&lt;&gt;"Transferencia",P2042&lt;&gt;"Pago tarjeta")),"",IFERROR(IF(INDEX(ctaVinc,MATCH(K2042,ctaNombre,0))&amp;""&lt;&gt;"",INDEX(ctaVinc,MATCH(K2042,ctaNombre,0))&amp;"",K2042),K2042))</f>
        <v/>
      </c>
      <c r="AD2042" s="52">
        <f>IF(AB2042="","",IFERROR(INDEX(ctaTipo,MATCH(AB2042,ctaNombre,0))&amp;"",""))</f>
        <v/>
      </c>
      <c r="AE2042" s="52">
        <f>IF(AC2042="","",IFERROR(INDEX(ctaTipo,MATCH(AC2042,ctaNombre,0))&amp;"",""))</f>
        <v/>
      </c>
      <c r="AF2042" s="53">
        <f>IF(OR(P2042="",AB2042=""),"",IF(OR(P2042="Gasto",P2042="Transferencia",P2042="Pago tarjeta"),-1,1)*IF(IFERROR(INDEX(ctaMoneda,MATCH(AB2042,ctaNombre,0))&amp;"","DOP")="USD",T2042,S2042))</f>
        <v/>
      </c>
      <c r="AG2042" s="53">
        <f>IF(AC2042="","",IF(IFERROR(INDEX(ctaMoneda,MATCH(AC2042,ctaNombre,0))&amp;"","DOP")="USD",T2042,S2042))</f>
        <v/>
      </c>
      <c r="AH2042" s="53">
        <f>IF(P2042="","",IF(AND(AD2042&lt;&gt;"",COUNTIFS(tcTipo,AD2042,tcLiq,"Sí")&gt;0),IF(OR(P2042="Gasto",P2042="Transferencia",P2042="Pago tarjeta"),-1,1)*S2042,0)+IF(AND(AE2042&lt;&gt;"",COUNTIFS(tcTipo,AE2042,tcLiq,"Sí")&gt;0),S2042,0))</f>
        <v/>
      </c>
      <c r="AI2042" s="52">
        <f>IF(OR(L2042="",P2042=""),"",IF(COUNTIFS(L$6:L2042,L2042,P$6:P2042,"?*")=1,MAX(AI$5:AI2041)+1,""))</f>
        <v/>
      </c>
    </row>
    <row r="2043">
      <c r="B2043" s="47" t="n"/>
      <c r="C2043" s="48" t="n"/>
      <c r="D2043" s="48" t="n"/>
      <c r="E2043" s="48" t="n"/>
      <c r="F2043" s="48" t="n"/>
      <c r="G2043" s="49" t="n"/>
      <c r="H2043" s="48" t="n"/>
      <c r="I2043" s="50" t="n"/>
      <c r="J2043" s="48" t="n"/>
      <c r="K2043" s="48" t="n"/>
      <c r="L2043" s="48" t="n"/>
      <c r="M2043" s="48" t="n"/>
      <c r="N2043" s="48" t="n"/>
      <c r="O2043" s="51">
        <f>IF(AND(B2043="",G2043="",C2043="",D2043="",J2043=""),"",IF(B2043="","⚠ Falta fecha",IF(G2043="","⚠ Falta monto",IF(Q2043="","⚠ Falta cuenta",IF(ISNA(MATCH(Q2043,ctaNombre,0)),"⚠ Cuenta no registrada",IF(AND(OR(P2043="Gasto",P2043="Reembolso"),D2043=""),"⚠ Falta categoría",IF(AND(D2043&lt;&gt;"",E2043&lt;&gt;"",ISNA(MATCH(D2043&amp;"|"&amp;E2043,catClave,0))),"⚠ Subcategoría no corresponde",IF(AND(OR(P2043="Transferencia",P2043="Pago tarjeta"),K2043=""),"⚠ Falta cuenta destino",IF(AND(K2043&lt;&gt;"",P2043&lt;&gt;"Transferencia",P2043&lt;&gt;"Pago tarjeta"),"⚠ Destino solo aplica a transferencias",IF(AND(K2043&lt;&gt;"",K2043=Q2043),"⚠ Origen igual a destino",IF(AND(K2043&lt;&gt;"",ISNA(MATCH(K2043,ctaNombre,0))),"⚠ Destino no registrado",IF(AND(P2043="Pago tarjeta",AE2043&lt;&gt;"Tarjeta de crédito"),"⚠ El destino debe ser tarjeta de crédito",IF(AND(P2043="Gasto",E2043="Depósitos y retiros"),"⚠ Usa tipo Transferencia",IF(AND(P2043="Resultado trading",AD2043&lt;&gt;"Cuenta de trading"),"⚠ Usa una cuenta de trading",IF(AND(G2043&lt;=0,P2043&lt;&gt;"Ajuste",P2043&lt;&gt;"Resultado trading"),"⚠ El monto debe ser positivo","✓")))))))))))))))</f>
        <v/>
      </c>
      <c r="P2043" s="52">
        <f>IF(OR(B2043="",G2043=""),"",IF(C2043="","Gasto",C2043))</f>
        <v/>
      </c>
      <c r="Q2043" s="52">
        <f>IF(P2043="","",IF(J2043&lt;&gt;"",J2043,CuentaPred&amp;""))</f>
        <v/>
      </c>
      <c r="R2043" s="52">
        <f>IF(P2043="","",IF(ISNUMBER(I2043),I2043,TasaUSD))</f>
        <v/>
      </c>
      <c r="S2043" s="53">
        <f>IF(P2043="","",IF(H2043="USD",G2043*R2043,G2043))</f>
        <v/>
      </c>
      <c r="T2043" s="53">
        <f>IF(P2043="","",IF(H2043="USD",G2043,IF(R2043&gt;0,G2043/R2043,0)))</f>
        <v/>
      </c>
      <c r="U2043" s="53">
        <f>IF(P2043="","",IF(P2043="Gasto",S2043,IF(P2043="Reembolso",-S2043,0)))</f>
        <v/>
      </c>
      <c r="V2043" s="53">
        <f>IF(P2043="","",IF(P2043="Ingreso",S2043,0))</f>
        <v/>
      </c>
      <c r="W2043" s="53">
        <f>IF(P2043="","",IF(P2043="Resultado trading",S2043,0))</f>
        <v/>
      </c>
      <c r="X2043" s="52">
        <f>IF(OR(P2043="Gasto",P2043="Reembolso"),IF(M2043&lt;&gt;"",M2043,IFERROR(INDEX(catClasif,MATCH(D2043&amp;"|"&amp;E2043,catClave,0))&amp;"","Variable")),"")</f>
        <v/>
      </c>
      <c r="Y2043" s="52">
        <f>IF(P2043="","",IFERROR(INDEX(catGrupo,MATCH(D2043&amp;"|"&amp;E2043,catClave,0))&amp;"",""))</f>
        <v/>
      </c>
      <c r="Z2043" s="52">
        <f>IF(P2043="","",WEEKDAY(B2043,2))</f>
        <v/>
      </c>
      <c r="AA2043" s="52">
        <f>IF(P2043="","",IF(AND(P2043="Gasto",X2043="Variable",D2043&lt;&gt;catTrading,S2043&gt;0,S2043&lt;=Umbral),1,0))</f>
        <v/>
      </c>
      <c r="AB2043" s="52">
        <f>IF(OR(P2043="",Q2043=""),"",IFERROR(IF(INDEX(ctaVinc,MATCH(Q2043,ctaNombre,0))&amp;""&lt;&gt;"",INDEX(ctaVinc,MATCH(Q2043,ctaNombre,0))&amp;"",Q2043),Q2043))</f>
        <v/>
      </c>
      <c r="AC2043" s="52">
        <f>IF(OR(K2043="",AND(P2043&lt;&gt;"Transferencia",P2043&lt;&gt;"Pago tarjeta")),"",IFERROR(IF(INDEX(ctaVinc,MATCH(K2043,ctaNombre,0))&amp;""&lt;&gt;"",INDEX(ctaVinc,MATCH(K2043,ctaNombre,0))&amp;"",K2043),K2043))</f>
        <v/>
      </c>
      <c r="AD2043" s="52">
        <f>IF(AB2043="","",IFERROR(INDEX(ctaTipo,MATCH(AB2043,ctaNombre,0))&amp;"",""))</f>
        <v/>
      </c>
      <c r="AE2043" s="52">
        <f>IF(AC2043="","",IFERROR(INDEX(ctaTipo,MATCH(AC2043,ctaNombre,0))&amp;"",""))</f>
        <v/>
      </c>
      <c r="AF2043" s="53">
        <f>IF(OR(P2043="",AB2043=""),"",IF(OR(P2043="Gasto",P2043="Transferencia",P2043="Pago tarjeta"),-1,1)*IF(IFERROR(INDEX(ctaMoneda,MATCH(AB2043,ctaNombre,0))&amp;"","DOP")="USD",T2043,S2043))</f>
        <v/>
      </c>
      <c r="AG2043" s="53">
        <f>IF(AC2043="","",IF(IFERROR(INDEX(ctaMoneda,MATCH(AC2043,ctaNombre,0))&amp;"","DOP")="USD",T2043,S2043))</f>
        <v/>
      </c>
      <c r="AH2043" s="53">
        <f>IF(P2043="","",IF(AND(AD2043&lt;&gt;"",COUNTIFS(tcTipo,AD2043,tcLiq,"Sí")&gt;0),IF(OR(P2043="Gasto",P2043="Transferencia",P2043="Pago tarjeta"),-1,1)*S2043,0)+IF(AND(AE2043&lt;&gt;"",COUNTIFS(tcTipo,AE2043,tcLiq,"Sí")&gt;0),S2043,0))</f>
        <v/>
      </c>
      <c r="AI2043" s="52">
        <f>IF(OR(L2043="",P2043=""),"",IF(COUNTIFS(L$6:L2043,L2043,P$6:P2043,"?*")=1,MAX(AI$5:AI2042)+1,""))</f>
        <v/>
      </c>
    </row>
    <row r="2044">
      <c r="B2044" s="47" t="n"/>
      <c r="C2044" s="48" t="n"/>
      <c r="D2044" s="48" t="n"/>
      <c r="E2044" s="48" t="n"/>
      <c r="F2044" s="48" t="n"/>
      <c r="G2044" s="49" t="n"/>
      <c r="H2044" s="48" t="n"/>
      <c r="I2044" s="50" t="n"/>
      <c r="J2044" s="48" t="n"/>
      <c r="K2044" s="48" t="n"/>
      <c r="L2044" s="48" t="n"/>
      <c r="M2044" s="48" t="n"/>
      <c r="N2044" s="48" t="n"/>
      <c r="O2044" s="51">
        <f>IF(AND(B2044="",G2044="",C2044="",D2044="",J2044=""),"",IF(B2044="","⚠ Falta fecha",IF(G2044="","⚠ Falta monto",IF(Q2044="","⚠ Falta cuenta",IF(ISNA(MATCH(Q2044,ctaNombre,0)),"⚠ Cuenta no registrada",IF(AND(OR(P2044="Gasto",P2044="Reembolso"),D2044=""),"⚠ Falta categoría",IF(AND(D2044&lt;&gt;"",E2044&lt;&gt;"",ISNA(MATCH(D2044&amp;"|"&amp;E2044,catClave,0))),"⚠ Subcategoría no corresponde",IF(AND(OR(P2044="Transferencia",P2044="Pago tarjeta"),K2044=""),"⚠ Falta cuenta destino",IF(AND(K2044&lt;&gt;"",P2044&lt;&gt;"Transferencia",P2044&lt;&gt;"Pago tarjeta"),"⚠ Destino solo aplica a transferencias",IF(AND(K2044&lt;&gt;"",K2044=Q2044),"⚠ Origen igual a destino",IF(AND(K2044&lt;&gt;"",ISNA(MATCH(K2044,ctaNombre,0))),"⚠ Destino no registrado",IF(AND(P2044="Pago tarjeta",AE2044&lt;&gt;"Tarjeta de crédito"),"⚠ El destino debe ser tarjeta de crédito",IF(AND(P2044="Gasto",E2044="Depósitos y retiros"),"⚠ Usa tipo Transferencia",IF(AND(P2044="Resultado trading",AD2044&lt;&gt;"Cuenta de trading"),"⚠ Usa una cuenta de trading",IF(AND(G2044&lt;=0,P2044&lt;&gt;"Ajuste",P2044&lt;&gt;"Resultado trading"),"⚠ El monto debe ser positivo","✓")))))))))))))))</f>
        <v/>
      </c>
      <c r="P2044" s="52">
        <f>IF(OR(B2044="",G2044=""),"",IF(C2044="","Gasto",C2044))</f>
        <v/>
      </c>
      <c r="Q2044" s="52">
        <f>IF(P2044="","",IF(J2044&lt;&gt;"",J2044,CuentaPred&amp;""))</f>
        <v/>
      </c>
      <c r="R2044" s="52">
        <f>IF(P2044="","",IF(ISNUMBER(I2044),I2044,TasaUSD))</f>
        <v/>
      </c>
      <c r="S2044" s="53">
        <f>IF(P2044="","",IF(H2044="USD",G2044*R2044,G2044))</f>
        <v/>
      </c>
      <c r="T2044" s="53">
        <f>IF(P2044="","",IF(H2044="USD",G2044,IF(R2044&gt;0,G2044/R2044,0)))</f>
        <v/>
      </c>
      <c r="U2044" s="53">
        <f>IF(P2044="","",IF(P2044="Gasto",S2044,IF(P2044="Reembolso",-S2044,0)))</f>
        <v/>
      </c>
      <c r="V2044" s="53">
        <f>IF(P2044="","",IF(P2044="Ingreso",S2044,0))</f>
        <v/>
      </c>
      <c r="W2044" s="53">
        <f>IF(P2044="","",IF(P2044="Resultado trading",S2044,0))</f>
        <v/>
      </c>
      <c r="X2044" s="52">
        <f>IF(OR(P2044="Gasto",P2044="Reembolso"),IF(M2044&lt;&gt;"",M2044,IFERROR(INDEX(catClasif,MATCH(D2044&amp;"|"&amp;E2044,catClave,0))&amp;"","Variable")),"")</f>
        <v/>
      </c>
      <c r="Y2044" s="52">
        <f>IF(P2044="","",IFERROR(INDEX(catGrupo,MATCH(D2044&amp;"|"&amp;E2044,catClave,0))&amp;"",""))</f>
        <v/>
      </c>
      <c r="Z2044" s="52">
        <f>IF(P2044="","",WEEKDAY(B2044,2))</f>
        <v/>
      </c>
      <c r="AA2044" s="52">
        <f>IF(P2044="","",IF(AND(P2044="Gasto",X2044="Variable",D2044&lt;&gt;catTrading,S2044&gt;0,S2044&lt;=Umbral),1,0))</f>
        <v/>
      </c>
      <c r="AB2044" s="52">
        <f>IF(OR(P2044="",Q2044=""),"",IFERROR(IF(INDEX(ctaVinc,MATCH(Q2044,ctaNombre,0))&amp;""&lt;&gt;"",INDEX(ctaVinc,MATCH(Q2044,ctaNombre,0))&amp;"",Q2044),Q2044))</f>
        <v/>
      </c>
      <c r="AC2044" s="52">
        <f>IF(OR(K2044="",AND(P2044&lt;&gt;"Transferencia",P2044&lt;&gt;"Pago tarjeta")),"",IFERROR(IF(INDEX(ctaVinc,MATCH(K2044,ctaNombre,0))&amp;""&lt;&gt;"",INDEX(ctaVinc,MATCH(K2044,ctaNombre,0))&amp;"",K2044),K2044))</f>
        <v/>
      </c>
      <c r="AD2044" s="52">
        <f>IF(AB2044="","",IFERROR(INDEX(ctaTipo,MATCH(AB2044,ctaNombre,0))&amp;"",""))</f>
        <v/>
      </c>
      <c r="AE2044" s="52">
        <f>IF(AC2044="","",IFERROR(INDEX(ctaTipo,MATCH(AC2044,ctaNombre,0))&amp;"",""))</f>
        <v/>
      </c>
      <c r="AF2044" s="53">
        <f>IF(OR(P2044="",AB2044=""),"",IF(OR(P2044="Gasto",P2044="Transferencia",P2044="Pago tarjeta"),-1,1)*IF(IFERROR(INDEX(ctaMoneda,MATCH(AB2044,ctaNombre,0))&amp;"","DOP")="USD",T2044,S2044))</f>
        <v/>
      </c>
      <c r="AG2044" s="53">
        <f>IF(AC2044="","",IF(IFERROR(INDEX(ctaMoneda,MATCH(AC2044,ctaNombre,0))&amp;"","DOP")="USD",T2044,S2044))</f>
        <v/>
      </c>
      <c r="AH2044" s="53">
        <f>IF(P2044="","",IF(AND(AD2044&lt;&gt;"",COUNTIFS(tcTipo,AD2044,tcLiq,"Sí")&gt;0),IF(OR(P2044="Gasto",P2044="Transferencia",P2044="Pago tarjeta"),-1,1)*S2044,0)+IF(AND(AE2044&lt;&gt;"",COUNTIFS(tcTipo,AE2044,tcLiq,"Sí")&gt;0),S2044,0))</f>
        <v/>
      </c>
      <c r="AI2044" s="52">
        <f>IF(OR(L2044="",P2044=""),"",IF(COUNTIFS(L$6:L2044,L2044,P$6:P2044,"?*")=1,MAX(AI$5:AI2043)+1,""))</f>
        <v/>
      </c>
    </row>
    <row r="2045">
      <c r="B2045" s="47" t="n"/>
      <c r="C2045" s="48" t="n"/>
      <c r="D2045" s="48" t="n"/>
      <c r="E2045" s="48" t="n"/>
      <c r="F2045" s="48" t="n"/>
      <c r="G2045" s="49" t="n"/>
      <c r="H2045" s="48" t="n"/>
      <c r="I2045" s="50" t="n"/>
      <c r="J2045" s="48" t="n"/>
      <c r="K2045" s="48" t="n"/>
      <c r="L2045" s="48" t="n"/>
      <c r="M2045" s="48" t="n"/>
      <c r="N2045" s="48" t="n"/>
      <c r="O2045" s="51">
        <f>IF(AND(B2045="",G2045="",C2045="",D2045="",J2045=""),"",IF(B2045="","⚠ Falta fecha",IF(G2045="","⚠ Falta monto",IF(Q2045="","⚠ Falta cuenta",IF(ISNA(MATCH(Q2045,ctaNombre,0)),"⚠ Cuenta no registrada",IF(AND(OR(P2045="Gasto",P2045="Reembolso"),D2045=""),"⚠ Falta categoría",IF(AND(D2045&lt;&gt;"",E2045&lt;&gt;"",ISNA(MATCH(D2045&amp;"|"&amp;E2045,catClave,0))),"⚠ Subcategoría no corresponde",IF(AND(OR(P2045="Transferencia",P2045="Pago tarjeta"),K2045=""),"⚠ Falta cuenta destino",IF(AND(K2045&lt;&gt;"",P2045&lt;&gt;"Transferencia",P2045&lt;&gt;"Pago tarjeta"),"⚠ Destino solo aplica a transferencias",IF(AND(K2045&lt;&gt;"",K2045=Q2045),"⚠ Origen igual a destino",IF(AND(K2045&lt;&gt;"",ISNA(MATCH(K2045,ctaNombre,0))),"⚠ Destino no registrado",IF(AND(P2045="Pago tarjeta",AE2045&lt;&gt;"Tarjeta de crédito"),"⚠ El destino debe ser tarjeta de crédito",IF(AND(P2045="Gasto",E2045="Depósitos y retiros"),"⚠ Usa tipo Transferencia",IF(AND(P2045="Resultado trading",AD2045&lt;&gt;"Cuenta de trading"),"⚠ Usa una cuenta de trading",IF(AND(G2045&lt;=0,P2045&lt;&gt;"Ajuste",P2045&lt;&gt;"Resultado trading"),"⚠ El monto debe ser positivo","✓")))))))))))))))</f>
        <v/>
      </c>
      <c r="P2045" s="52">
        <f>IF(OR(B2045="",G2045=""),"",IF(C2045="","Gasto",C2045))</f>
        <v/>
      </c>
      <c r="Q2045" s="52">
        <f>IF(P2045="","",IF(J2045&lt;&gt;"",J2045,CuentaPred&amp;""))</f>
        <v/>
      </c>
      <c r="R2045" s="52">
        <f>IF(P2045="","",IF(ISNUMBER(I2045),I2045,TasaUSD))</f>
        <v/>
      </c>
      <c r="S2045" s="53">
        <f>IF(P2045="","",IF(H2045="USD",G2045*R2045,G2045))</f>
        <v/>
      </c>
      <c r="T2045" s="53">
        <f>IF(P2045="","",IF(H2045="USD",G2045,IF(R2045&gt;0,G2045/R2045,0)))</f>
        <v/>
      </c>
      <c r="U2045" s="53">
        <f>IF(P2045="","",IF(P2045="Gasto",S2045,IF(P2045="Reembolso",-S2045,0)))</f>
        <v/>
      </c>
      <c r="V2045" s="53">
        <f>IF(P2045="","",IF(P2045="Ingreso",S2045,0))</f>
        <v/>
      </c>
      <c r="W2045" s="53">
        <f>IF(P2045="","",IF(P2045="Resultado trading",S2045,0))</f>
        <v/>
      </c>
      <c r="X2045" s="52">
        <f>IF(OR(P2045="Gasto",P2045="Reembolso"),IF(M2045&lt;&gt;"",M2045,IFERROR(INDEX(catClasif,MATCH(D2045&amp;"|"&amp;E2045,catClave,0))&amp;"","Variable")),"")</f>
        <v/>
      </c>
      <c r="Y2045" s="52">
        <f>IF(P2045="","",IFERROR(INDEX(catGrupo,MATCH(D2045&amp;"|"&amp;E2045,catClave,0))&amp;"",""))</f>
        <v/>
      </c>
      <c r="Z2045" s="52">
        <f>IF(P2045="","",WEEKDAY(B2045,2))</f>
        <v/>
      </c>
      <c r="AA2045" s="52">
        <f>IF(P2045="","",IF(AND(P2045="Gasto",X2045="Variable",D2045&lt;&gt;catTrading,S2045&gt;0,S2045&lt;=Umbral),1,0))</f>
        <v/>
      </c>
      <c r="AB2045" s="52">
        <f>IF(OR(P2045="",Q2045=""),"",IFERROR(IF(INDEX(ctaVinc,MATCH(Q2045,ctaNombre,0))&amp;""&lt;&gt;"",INDEX(ctaVinc,MATCH(Q2045,ctaNombre,0))&amp;"",Q2045),Q2045))</f>
        <v/>
      </c>
      <c r="AC2045" s="52">
        <f>IF(OR(K2045="",AND(P2045&lt;&gt;"Transferencia",P2045&lt;&gt;"Pago tarjeta")),"",IFERROR(IF(INDEX(ctaVinc,MATCH(K2045,ctaNombre,0))&amp;""&lt;&gt;"",INDEX(ctaVinc,MATCH(K2045,ctaNombre,0))&amp;"",K2045),K2045))</f>
        <v/>
      </c>
      <c r="AD2045" s="52">
        <f>IF(AB2045="","",IFERROR(INDEX(ctaTipo,MATCH(AB2045,ctaNombre,0))&amp;"",""))</f>
        <v/>
      </c>
      <c r="AE2045" s="52">
        <f>IF(AC2045="","",IFERROR(INDEX(ctaTipo,MATCH(AC2045,ctaNombre,0))&amp;"",""))</f>
        <v/>
      </c>
      <c r="AF2045" s="53">
        <f>IF(OR(P2045="",AB2045=""),"",IF(OR(P2045="Gasto",P2045="Transferencia",P2045="Pago tarjeta"),-1,1)*IF(IFERROR(INDEX(ctaMoneda,MATCH(AB2045,ctaNombre,0))&amp;"","DOP")="USD",T2045,S2045))</f>
        <v/>
      </c>
      <c r="AG2045" s="53">
        <f>IF(AC2045="","",IF(IFERROR(INDEX(ctaMoneda,MATCH(AC2045,ctaNombre,0))&amp;"","DOP")="USD",T2045,S2045))</f>
        <v/>
      </c>
      <c r="AH2045" s="53">
        <f>IF(P2045="","",IF(AND(AD2045&lt;&gt;"",COUNTIFS(tcTipo,AD2045,tcLiq,"Sí")&gt;0),IF(OR(P2045="Gasto",P2045="Transferencia",P2045="Pago tarjeta"),-1,1)*S2045,0)+IF(AND(AE2045&lt;&gt;"",COUNTIFS(tcTipo,AE2045,tcLiq,"Sí")&gt;0),S2045,0))</f>
        <v/>
      </c>
      <c r="AI2045" s="52">
        <f>IF(OR(L2045="",P2045=""),"",IF(COUNTIFS(L$6:L2045,L2045,P$6:P2045,"?*")=1,MAX(AI$5:AI2044)+1,""))</f>
        <v/>
      </c>
    </row>
    <row r="2046">
      <c r="B2046" s="47" t="n"/>
      <c r="C2046" s="48" t="n"/>
      <c r="D2046" s="48" t="n"/>
      <c r="E2046" s="48" t="n"/>
      <c r="F2046" s="48" t="n"/>
      <c r="G2046" s="49" t="n"/>
      <c r="H2046" s="48" t="n"/>
      <c r="I2046" s="50" t="n"/>
      <c r="J2046" s="48" t="n"/>
      <c r="K2046" s="48" t="n"/>
      <c r="L2046" s="48" t="n"/>
      <c r="M2046" s="48" t="n"/>
      <c r="N2046" s="48" t="n"/>
      <c r="O2046" s="51">
        <f>IF(AND(B2046="",G2046="",C2046="",D2046="",J2046=""),"",IF(B2046="","⚠ Falta fecha",IF(G2046="","⚠ Falta monto",IF(Q2046="","⚠ Falta cuenta",IF(ISNA(MATCH(Q2046,ctaNombre,0)),"⚠ Cuenta no registrada",IF(AND(OR(P2046="Gasto",P2046="Reembolso"),D2046=""),"⚠ Falta categoría",IF(AND(D2046&lt;&gt;"",E2046&lt;&gt;"",ISNA(MATCH(D2046&amp;"|"&amp;E2046,catClave,0))),"⚠ Subcategoría no corresponde",IF(AND(OR(P2046="Transferencia",P2046="Pago tarjeta"),K2046=""),"⚠ Falta cuenta destino",IF(AND(K2046&lt;&gt;"",P2046&lt;&gt;"Transferencia",P2046&lt;&gt;"Pago tarjeta"),"⚠ Destino solo aplica a transferencias",IF(AND(K2046&lt;&gt;"",K2046=Q2046),"⚠ Origen igual a destino",IF(AND(K2046&lt;&gt;"",ISNA(MATCH(K2046,ctaNombre,0))),"⚠ Destino no registrado",IF(AND(P2046="Pago tarjeta",AE2046&lt;&gt;"Tarjeta de crédito"),"⚠ El destino debe ser tarjeta de crédito",IF(AND(P2046="Gasto",E2046="Depósitos y retiros"),"⚠ Usa tipo Transferencia",IF(AND(P2046="Resultado trading",AD2046&lt;&gt;"Cuenta de trading"),"⚠ Usa una cuenta de trading",IF(AND(G2046&lt;=0,P2046&lt;&gt;"Ajuste",P2046&lt;&gt;"Resultado trading"),"⚠ El monto debe ser positivo","✓")))))))))))))))</f>
        <v/>
      </c>
      <c r="P2046" s="52">
        <f>IF(OR(B2046="",G2046=""),"",IF(C2046="","Gasto",C2046))</f>
        <v/>
      </c>
      <c r="Q2046" s="52">
        <f>IF(P2046="","",IF(J2046&lt;&gt;"",J2046,CuentaPred&amp;""))</f>
        <v/>
      </c>
      <c r="R2046" s="52">
        <f>IF(P2046="","",IF(ISNUMBER(I2046),I2046,TasaUSD))</f>
        <v/>
      </c>
      <c r="S2046" s="53">
        <f>IF(P2046="","",IF(H2046="USD",G2046*R2046,G2046))</f>
        <v/>
      </c>
      <c r="T2046" s="53">
        <f>IF(P2046="","",IF(H2046="USD",G2046,IF(R2046&gt;0,G2046/R2046,0)))</f>
        <v/>
      </c>
      <c r="U2046" s="53">
        <f>IF(P2046="","",IF(P2046="Gasto",S2046,IF(P2046="Reembolso",-S2046,0)))</f>
        <v/>
      </c>
      <c r="V2046" s="53">
        <f>IF(P2046="","",IF(P2046="Ingreso",S2046,0))</f>
        <v/>
      </c>
      <c r="W2046" s="53">
        <f>IF(P2046="","",IF(P2046="Resultado trading",S2046,0))</f>
        <v/>
      </c>
      <c r="X2046" s="52">
        <f>IF(OR(P2046="Gasto",P2046="Reembolso"),IF(M2046&lt;&gt;"",M2046,IFERROR(INDEX(catClasif,MATCH(D2046&amp;"|"&amp;E2046,catClave,0))&amp;"","Variable")),"")</f>
        <v/>
      </c>
      <c r="Y2046" s="52">
        <f>IF(P2046="","",IFERROR(INDEX(catGrupo,MATCH(D2046&amp;"|"&amp;E2046,catClave,0))&amp;"",""))</f>
        <v/>
      </c>
      <c r="Z2046" s="52">
        <f>IF(P2046="","",WEEKDAY(B2046,2))</f>
        <v/>
      </c>
      <c r="AA2046" s="52">
        <f>IF(P2046="","",IF(AND(P2046="Gasto",X2046="Variable",D2046&lt;&gt;catTrading,S2046&gt;0,S2046&lt;=Umbral),1,0))</f>
        <v/>
      </c>
      <c r="AB2046" s="52">
        <f>IF(OR(P2046="",Q2046=""),"",IFERROR(IF(INDEX(ctaVinc,MATCH(Q2046,ctaNombre,0))&amp;""&lt;&gt;"",INDEX(ctaVinc,MATCH(Q2046,ctaNombre,0))&amp;"",Q2046),Q2046))</f>
        <v/>
      </c>
      <c r="AC2046" s="52">
        <f>IF(OR(K2046="",AND(P2046&lt;&gt;"Transferencia",P2046&lt;&gt;"Pago tarjeta")),"",IFERROR(IF(INDEX(ctaVinc,MATCH(K2046,ctaNombre,0))&amp;""&lt;&gt;"",INDEX(ctaVinc,MATCH(K2046,ctaNombre,0))&amp;"",K2046),K2046))</f>
        <v/>
      </c>
      <c r="AD2046" s="52">
        <f>IF(AB2046="","",IFERROR(INDEX(ctaTipo,MATCH(AB2046,ctaNombre,0))&amp;"",""))</f>
        <v/>
      </c>
      <c r="AE2046" s="52">
        <f>IF(AC2046="","",IFERROR(INDEX(ctaTipo,MATCH(AC2046,ctaNombre,0))&amp;"",""))</f>
        <v/>
      </c>
      <c r="AF2046" s="53">
        <f>IF(OR(P2046="",AB2046=""),"",IF(OR(P2046="Gasto",P2046="Transferencia",P2046="Pago tarjeta"),-1,1)*IF(IFERROR(INDEX(ctaMoneda,MATCH(AB2046,ctaNombre,0))&amp;"","DOP")="USD",T2046,S2046))</f>
        <v/>
      </c>
      <c r="AG2046" s="53">
        <f>IF(AC2046="","",IF(IFERROR(INDEX(ctaMoneda,MATCH(AC2046,ctaNombre,0))&amp;"","DOP")="USD",T2046,S2046))</f>
        <v/>
      </c>
      <c r="AH2046" s="53">
        <f>IF(P2046="","",IF(AND(AD2046&lt;&gt;"",COUNTIFS(tcTipo,AD2046,tcLiq,"Sí")&gt;0),IF(OR(P2046="Gasto",P2046="Transferencia",P2046="Pago tarjeta"),-1,1)*S2046,0)+IF(AND(AE2046&lt;&gt;"",COUNTIFS(tcTipo,AE2046,tcLiq,"Sí")&gt;0),S2046,0))</f>
        <v/>
      </c>
      <c r="AI2046" s="52">
        <f>IF(OR(L2046="",P2046=""),"",IF(COUNTIFS(L$6:L2046,L2046,P$6:P2046,"?*")=1,MAX(AI$5:AI2045)+1,""))</f>
        <v/>
      </c>
    </row>
    <row r="2047">
      <c r="B2047" s="47" t="n"/>
      <c r="C2047" s="48" t="n"/>
      <c r="D2047" s="48" t="n"/>
      <c r="E2047" s="48" t="n"/>
      <c r="F2047" s="48" t="n"/>
      <c r="G2047" s="49" t="n"/>
      <c r="H2047" s="48" t="n"/>
      <c r="I2047" s="50" t="n"/>
      <c r="J2047" s="48" t="n"/>
      <c r="K2047" s="48" t="n"/>
      <c r="L2047" s="48" t="n"/>
      <c r="M2047" s="48" t="n"/>
      <c r="N2047" s="48" t="n"/>
      <c r="O2047" s="51">
        <f>IF(AND(B2047="",G2047="",C2047="",D2047="",J2047=""),"",IF(B2047="","⚠ Falta fecha",IF(G2047="","⚠ Falta monto",IF(Q2047="","⚠ Falta cuenta",IF(ISNA(MATCH(Q2047,ctaNombre,0)),"⚠ Cuenta no registrada",IF(AND(OR(P2047="Gasto",P2047="Reembolso"),D2047=""),"⚠ Falta categoría",IF(AND(D2047&lt;&gt;"",E2047&lt;&gt;"",ISNA(MATCH(D2047&amp;"|"&amp;E2047,catClave,0))),"⚠ Subcategoría no corresponde",IF(AND(OR(P2047="Transferencia",P2047="Pago tarjeta"),K2047=""),"⚠ Falta cuenta destino",IF(AND(K2047&lt;&gt;"",P2047&lt;&gt;"Transferencia",P2047&lt;&gt;"Pago tarjeta"),"⚠ Destino solo aplica a transferencias",IF(AND(K2047&lt;&gt;"",K2047=Q2047),"⚠ Origen igual a destino",IF(AND(K2047&lt;&gt;"",ISNA(MATCH(K2047,ctaNombre,0))),"⚠ Destino no registrado",IF(AND(P2047="Pago tarjeta",AE2047&lt;&gt;"Tarjeta de crédito"),"⚠ El destino debe ser tarjeta de crédito",IF(AND(P2047="Gasto",E2047="Depósitos y retiros"),"⚠ Usa tipo Transferencia",IF(AND(P2047="Resultado trading",AD2047&lt;&gt;"Cuenta de trading"),"⚠ Usa una cuenta de trading",IF(AND(G2047&lt;=0,P2047&lt;&gt;"Ajuste",P2047&lt;&gt;"Resultado trading"),"⚠ El monto debe ser positivo","✓")))))))))))))))</f>
        <v/>
      </c>
      <c r="P2047" s="52">
        <f>IF(OR(B2047="",G2047=""),"",IF(C2047="","Gasto",C2047))</f>
        <v/>
      </c>
      <c r="Q2047" s="52">
        <f>IF(P2047="","",IF(J2047&lt;&gt;"",J2047,CuentaPred&amp;""))</f>
        <v/>
      </c>
      <c r="R2047" s="52">
        <f>IF(P2047="","",IF(ISNUMBER(I2047),I2047,TasaUSD))</f>
        <v/>
      </c>
      <c r="S2047" s="53">
        <f>IF(P2047="","",IF(H2047="USD",G2047*R2047,G2047))</f>
        <v/>
      </c>
      <c r="T2047" s="53">
        <f>IF(P2047="","",IF(H2047="USD",G2047,IF(R2047&gt;0,G2047/R2047,0)))</f>
        <v/>
      </c>
      <c r="U2047" s="53">
        <f>IF(P2047="","",IF(P2047="Gasto",S2047,IF(P2047="Reembolso",-S2047,0)))</f>
        <v/>
      </c>
      <c r="V2047" s="53">
        <f>IF(P2047="","",IF(P2047="Ingreso",S2047,0))</f>
        <v/>
      </c>
      <c r="W2047" s="53">
        <f>IF(P2047="","",IF(P2047="Resultado trading",S2047,0))</f>
        <v/>
      </c>
      <c r="X2047" s="52">
        <f>IF(OR(P2047="Gasto",P2047="Reembolso"),IF(M2047&lt;&gt;"",M2047,IFERROR(INDEX(catClasif,MATCH(D2047&amp;"|"&amp;E2047,catClave,0))&amp;"","Variable")),"")</f>
        <v/>
      </c>
      <c r="Y2047" s="52">
        <f>IF(P2047="","",IFERROR(INDEX(catGrupo,MATCH(D2047&amp;"|"&amp;E2047,catClave,0))&amp;"",""))</f>
        <v/>
      </c>
      <c r="Z2047" s="52">
        <f>IF(P2047="","",WEEKDAY(B2047,2))</f>
        <v/>
      </c>
      <c r="AA2047" s="52">
        <f>IF(P2047="","",IF(AND(P2047="Gasto",X2047="Variable",D2047&lt;&gt;catTrading,S2047&gt;0,S2047&lt;=Umbral),1,0))</f>
        <v/>
      </c>
      <c r="AB2047" s="52">
        <f>IF(OR(P2047="",Q2047=""),"",IFERROR(IF(INDEX(ctaVinc,MATCH(Q2047,ctaNombre,0))&amp;""&lt;&gt;"",INDEX(ctaVinc,MATCH(Q2047,ctaNombre,0))&amp;"",Q2047),Q2047))</f>
        <v/>
      </c>
      <c r="AC2047" s="52">
        <f>IF(OR(K2047="",AND(P2047&lt;&gt;"Transferencia",P2047&lt;&gt;"Pago tarjeta")),"",IFERROR(IF(INDEX(ctaVinc,MATCH(K2047,ctaNombre,0))&amp;""&lt;&gt;"",INDEX(ctaVinc,MATCH(K2047,ctaNombre,0))&amp;"",K2047),K2047))</f>
        <v/>
      </c>
      <c r="AD2047" s="52">
        <f>IF(AB2047="","",IFERROR(INDEX(ctaTipo,MATCH(AB2047,ctaNombre,0))&amp;"",""))</f>
        <v/>
      </c>
      <c r="AE2047" s="52">
        <f>IF(AC2047="","",IFERROR(INDEX(ctaTipo,MATCH(AC2047,ctaNombre,0))&amp;"",""))</f>
        <v/>
      </c>
      <c r="AF2047" s="53">
        <f>IF(OR(P2047="",AB2047=""),"",IF(OR(P2047="Gasto",P2047="Transferencia",P2047="Pago tarjeta"),-1,1)*IF(IFERROR(INDEX(ctaMoneda,MATCH(AB2047,ctaNombre,0))&amp;"","DOP")="USD",T2047,S2047))</f>
        <v/>
      </c>
      <c r="AG2047" s="53">
        <f>IF(AC2047="","",IF(IFERROR(INDEX(ctaMoneda,MATCH(AC2047,ctaNombre,0))&amp;"","DOP")="USD",T2047,S2047))</f>
        <v/>
      </c>
      <c r="AH2047" s="53">
        <f>IF(P2047="","",IF(AND(AD2047&lt;&gt;"",COUNTIFS(tcTipo,AD2047,tcLiq,"Sí")&gt;0),IF(OR(P2047="Gasto",P2047="Transferencia",P2047="Pago tarjeta"),-1,1)*S2047,0)+IF(AND(AE2047&lt;&gt;"",COUNTIFS(tcTipo,AE2047,tcLiq,"Sí")&gt;0),S2047,0))</f>
        <v/>
      </c>
      <c r="AI2047" s="52">
        <f>IF(OR(L2047="",P2047=""),"",IF(COUNTIFS(L$6:L2047,L2047,P$6:P2047,"?*")=1,MAX(AI$5:AI2046)+1,""))</f>
        <v/>
      </c>
    </row>
    <row r="2048">
      <c r="B2048" s="47" t="n"/>
      <c r="C2048" s="48" t="n"/>
      <c r="D2048" s="48" t="n"/>
      <c r="E2048" s="48" t="n"/>
      <c r="F2048" s="48" t="n"/>
      <c r="G2048" s="49" t="n"/>
      <c r="H2048" s="48" t="n"/>
      <c r="I2048" s="50" t="n"/>
      <c r="J2048" s="48" t="n"/>
      <c r="K2048" s="48" t="n"/>
      <c r="L2048" s="48" t="n"/>
      <c r="M2048" s="48" t="n"/>
      <c r="N2048" s="48" t="n"/>
      <c r="O2048" s="51">
        <f>IF(AND(B2048="",G2048="",C2048="",D2048="",J2048=""),"",IF(B2048="","⚠ Falta fecha",IF(G2048="","⚠ Falta monto",IF(Q2048="","⚠ Falta cuenta",IF(ISNA(MATCH(Q2048,ctaNombre,0)),"⚠ Cuenta no registrada",IF(AND(OR(P2048="Gasto",P2048="Reembolso"),D2048=""),"⚠ Falta categoría",IF(AND(D2048&lt;&gt;"",E2048&lt;&gt;"",ISNA(MATCH(D2048&amp;"|"&amp;E2048,catClave,0))),"⚠ Subcategoría no corresponde",IF(AND(OR(P2048="Transferencia",P2048="Pago tarjeta"),K2048=""),"⚠ Falta cuenta destino",IF(AND(K2048&lt;&gt;"",P2048&lt;&gt;"Transferencia",P2048&lt;&gt;"Pago tarjeta"),"⚠ Destino solo aplica a transferencias",IF(AND(K2048&lt;&gt;"",K2048=Q2048),"⚠ Origen igual a destino",IF(AND(K2048&lt;&gt;"",ISNA(MATCH(K2048,ctaNombre,0))),"⚠ Destino no registrado",IF(AND(P2048="Pago tarjeta",AE2048&lt;&gt;"Tarjeta de crédito"),"⚠ El destino debe ser tarjeta de crédito",IF(AND(P2048="Gasto",E2048="Depósitos y retiros"),"⚠ Usa tipo Transferencia",IF(AND(P2048="Resultado trading",AD2048&lt;&gt;"Cuenta de trading"),"⚠ Usa una cuenta de trading",IF(AND(G2048&lt;=0,P2048&lt;&gt;"Ajuste",P2048&lt;&gt;"Resultado trading"),"⚠ El monto debe ser positivo","✓")))))))))))))))</f>
        <v/>
      </c>
      <c r="P2048" s="52">
        <f>IF(OR(B2048="",G2048=""),"",IF(C2048="","Gasto",C2048))</f>
        <v/>
      </c>
      <c r="Q2048" s="52">
        <f>IF(P2048="","",IF(J2048&lt;&gt;"",J2048,CuentaPred&amp;""))</f>
        <v/>
      </c>
      <c r="R2048" s="52">
        <f>IF(P2048="","",IF(ISNUMBER(I2048),I2048,TasaUSD))</f>
        <v/>
      </c>
      <c r="S2048" s="53">
        <f>IF(P2048="","",IF(H2048="USD",G2048*R2048,G2048))</f>
        <v/>
      </c>
      <c r="T2048" s="53">
        <f>IF(P2048="","",IF(H2048="USD",G2048,IF(R2048&gt;0,G2048/R2048,0)))</f>
        <v/>
      </c>
      <c r="U2048" s="53">
        <f>IF(P2048="","",IF(P2048="Gasto",S2048,IF(P2048="Reembolso",-S2048,0)))</f>
        <v/>
      </c>
      <c r="V2048" s="53">
        <f>IF(P2048="","",IF(P2048="Ingreso",S2048,0))</f>
        <v/>
      </c>
      <c r="W2048" s="53">
        <f>IF(P2048="","",IF(P2048="Resultado trading",S2048,0))</f>
        <v/>
      </c>
      <c r="X2048" s="52">
        <f>IF(OR(P2048="Gasto",P2048="Reembolso"),IF(M2048&lt;&gt;"",M2048,IFERROR(INDEX(catClasif,MATCH(D2048&amp;"|"&amp;E2048,catClave,0))&amp;"","Variable")),"")</f>
        <v/>
      </c>
      <c r="Y2048" s="52">
        <f>IF(P2048="","",IFERROR(INDEX(catGrupo,MATCH(D2048&amp;"|"&amp;E2048,catClave,0))&amp;"",""))</f>
        <v/>
      </c>
      <c r="Z2048" s="52">
        <f>IF(P2048="","",WEEKDAY(B2048,2))</f>
        <v/>
      </c>
      <c r="AA2048" s="52">
        <f>IF(P2048="","",IF(AND(P2048="Gasto",X2048="Variable",D2048&lt;&gt;catTrading,S2048&gt;0,S2048&lt;=Umbral),1,0))</f>
        <v/>
      </c>
      <c r="AB2048" s="52">
        <f>IF(OR(P2048="",Q2048=""),"",IFERROR(IF(INDEX(ctaVinc,MATCH(Q2048,ctaNombre,0))&amp;""&lt;&gt;"",INDEX(ctaVinc,MATCH(Q2048,ctaNombre,0))&amp;"",Q2048),Q2048))</f>
        <v/>
      </c>
      <c r="AC2048" s="52">
        <f>IF(OR(K2048="",AND(P2048&lt;&gt;"Transferencia",P2048&lt;&gt;"Pago tarjeta")),"",IFERROR(IF(INDEX(ctaVinc,MATCH(K2048,ctaNombre,0))&amp;""&lt;&gt;"",INDEX(ctaVinc,MATCH(K2048,ctaNombre,0))&amp;"",K2048),K2048))</f>
        <v/>
      </c>
      <c r="AD2048" s="52">
        <f>IF(AB2048="","",IFERROR(INDEX(ctaTipo,MATCH(AB2048,ctaNombre,0))&amp;"",""))</f>
        <v/>
      </c>
      <c r="AE2048" s="52">
        <f>IF(AC2048="","",IFERROR(INDEX(ctaTipo,MATCH(AC2048,ctaNombre,0))&amp;"",""))</f>
        <v/>
      </c>
      <c r="AF2048" s="53">
        <f>IF(OR(P2048="",AB2048=""),"",IF(OR(P2048="Gasto",P2048="Transferencia",P2048="Pago tarjeta"),-1,1)*IF(IFERROR(INDEX(ctaMoneda,MATCH(AB2048,ctaNombre,0))&amp;"","DOP")="USD",T2048,S2048))</f>
        <v/>
      </c>
      <c r="AG2048" s="53">
        <f>IF(AC2048="","",IF(IFERROR(INDEX(ctaMoneda,MATCH(AC2048,ctaNombre,0))&amp;"","DOP")="USD",T2048,S2048))</f>
        <v/>
      </c>
      <c r="AH2048" s="53">
        <f>IF(P2048="","",IF(AND(AD2048&lt;&gt;"",COUNTIFS(tcTipo,AD2048,tcLiq,"Sí")&gt;0),IF(OR(P2048="Gasto",P2048="Transferencia",P2048="Pago tarjeta"),-1,1)*S2048,0)+IF(AND(AE2048&lt;&gt;"",COUNTIFS(tcTipo,AE2048,tcLiq,"Sí")&gt;0),S2048,0))</f>
        <v/>
      </c>
      <c r="AI2048" s="52">
        <f>IF(OR(L2048="",P2048=""),"",IF(COUNTIFS(L$6:L2048,L2048,P$6:P2048,"?*")=1,MAX(AI$5:AI2047)+1,""))</f>
        <v/>
      </c>
    </row>
    <row r="2049">
      <c r="B2049" s="47" t="n"/>
      <c r="C2049" s="48" t="n"/>
      <c r="D2049" s="48" t="n"/>
      <c r="E2049" s="48" t="n"/>
      <c r="F2049" s="48" t="n"/>
      <c r="G2049" s="49" t="n"/>
      <c r="H2049" s="48" t="n"/>
      <c r="I2049" s="50" t="n"/>
      <c r="J2049" s="48" t="n"/>
      <c r="K2049" s="48" t="n"/>
      <c r="L2049" s="48" t="n"/>
      <c r="M2049" s="48" t="n"/>
      <c r="N2049" s="48" t="n"/>
      <c r="O2049" s="51">
        <f>IF(AND(B2049="",G2049="",C2049="",D2049="",J2049=""),"",IF(B2049="","⚠ Falta fecha",IF(G2049="","⚠ Falta monto",IF(Q2049="","⚠ Falta cuenta",IF(ISNA(MATCH(Q2049,ctaNombre,0)),"⚠ Cuenta no registrada",IF(AND(OR(P2049="Gasto",P2049="Reembolso"),D2049=""),"⚠ Falta categoría",IF(AND(D2049&lt;&gt;"",E2049&lt;&gt;"",ISNA(MATCH(D2049&amp;"|"&amp;E2049,catClave,0))),"⚠ Subcategoría no corresponde",IF(AND(OR(P2049="Transferencia",P2049="Pago tarjeta"),K2049=""),"⚠ Falta cuenta destino",IF(AND(K2049&lt;&gt;"",P2049&lt;&gt;"Transferencia",P2049&lt;&gt;"Pago tarjeta"),"⚠ Destino solo aplica a transferencias",IF(AND(K2049&lt;&gt;"",K2049=Q2049),"⚠ Origen igual a destino",IF(AND(K2049&lt;&gt;"",ISNA(MATCH(K2049,ctaNombre,0))),"⚠ Destino no registrado",IF(AND(P2049="Pago tarjeta",AE2049&lt;&gt;"Tarjeta de crédito"),"⚠ El destino debe ser tarjeta de crédito",IF(AND(P2049="Gasto",E2049="Depósitos y retiros"),"⚠ Usa tipo Transferencia",IF(AND(P2049="Resultado trading",AD2049&lt;&gt;"Cuenta de trading"),"⚠ Usa una cuenta de trading",IF(AND(G2049&lt;=0,P2049&lt;&gt;"Ajuste",P2049&lt;&gt;"Resultado trading"),"⚠ El monto debe ser positivo","✓")))))))))))))))</f>
        <v/>
      </c>
      <c r="P2049" s="52">
        <f>IF(OR(B2049="",G2049=""),"",IF(C2049="","Gasto",C2049))</f>
        <v/>
      </c>
      <c r="Q2049" s="52">
        <f>IF(P2049="","",IF(J2049&lt;&gt;"",J2049,CuentaPred&amp;""))</f>
        <v/>
      </c>
      <c r="R2049" s="52">
        <f>IF(P2049="","",IF(ISNUMBER(I2049),I2049,TasaUSD))</f>
        <v/>
      </c>
      <c r="S2049" s="53">
        <f>IF(P2049="","",IF(H2049="USD",G2049*R2049,G2049))</f>
        <v/>
      </c>
      <c r="T2049" s="53">
        <f>IF(P2049="","",IF(H2049="USD",G2049,IF(R2049&gt;0,G2049/R2049,0)))</f>
        <v/>
      </c>
      <c r="U2049" s="53">
        <f>IF(P2049="","",IF(P2049="Gasto",S2049,IF(P2049="Reembolso",-S2049,0)))</f>
        <v/>
      </c>
      <c r="V2049" s="53">
        <f>IF(P2049="","",IF(P2049="Ingreso",S2049,0))</f>
        <v/>
      </c>
      <c r="W2049" s="53">
        <f>IF(P2049="","",IF(P2049="Resultado trading",S2049,0))</f>
        <v/>
      </c>
      <c r="X2049" s="52">
        <f>IF(OR(P2049="Gasto",P2049="Reembolso"),IF(M2049&lt;&gt;"",M2049,IFERROR(INDEX(catClasif,MATCH(D2049&amp;"|"&amp;E2049,catClave,0))&amp;"","Variable")),"")</f>
        <v/>
      </c>
      <c r="Y2049" s="52">
        <f>IF(P2049="","",IFERROR(INDEX(catGrupo,MATCH(D2049&amp;"|"&amp;E2049,catClave,0))&amp;"",""))</f>
        <v/>
      </c>
      <c r="Z2049" s="52">
        <f>IF(P2049="","",WEEKDAY(B2049,2))</f>
        <v/>
      </c>
      <c r="AA2049" s="52">
        <f>IF(P2049="","",IF(AND(P2049="Gasto",X2049="Variable",D2049&lt;&gt;catTrading,S2049&gt;0,S2049&lt;=Umbral),1,0))</f>
        <v/>
      </c>
      <c r="AB2049" s="52">
        <f>IF(OR(P2049="",Q2049=""),"",IFERROR(IF(INDEX(ctaVinc,MATCH(Q2049,ctaNombre,0))&amp;""&lt;&gt;"",INDEX(ctaVinc,MATCH(Q2049,ctaNombre,0))&amp;"",Q2049),Q2049))</f>
        <v/>
      </c>
      <c r="AC2049" s="52">
        <f>IF(OR(K2049="",AND(P2049&lt;&gt;"Transferencia",P2049&lt;&gt;"Pago tarjeta")),"",IFERROR(IF(INDEX(ctaVinc,MATCH(K2049,ctaNombre,0))&amp;""&lt;&gt;"",INDEX(ctaVinc,MATCH(K2049,ctaNombre,0))&amp;"",K2049),K2049))</f>
        <v/>
      </c>
      <c r="AD2049" s="52">
        <f>IF(AB2049="","",IFERROR(INDEX(ctaTipo,MATCH(AB2049,ctaNombre,0))&amp;"",""))</f>
        <v/>
      </c>
      <c r="AE2049" s="52">
        <f>IF(AC2049="","",IFERROR(INDEX(ctaTipo,MATCH(AC2049,ctaNombre,0))&amp;"",""))</f>
        <v/>
      </c>
      <c r="AF2049" s="53">
        <f>IF(OR(P2049="",AB2049=""),"",IF(OR(P2049="Gasto",P2049="Transferencia",P2049="Pago tarjeta"),-1,1)*IF(IFERROR(INDEX(ctaMoneda,MATCH(AB2049,ctaNombre,0))&amp;"","DOP")="USD",T2049,S2049))</f>
        <v/>
      </c>
      <c r="AG2049" s="53">
        <f>IF(AC2049="","",IF(IFERROR(INDEX(ctaMoneda,MATCH(AC2049,ctaNombre,0))&amp;"","DOP")="USD",T2049,S2049))</f>
        <v/>
      </c>
      <c r="AH2049" s="53">
        <f>IF(P2049="","",IF(AND(AD2049&lt;&gt;"",COUNTIFS(tcTipo,AD2049,tcLiq,"Sí")&gt;0),IF(OR(P2049="Gasto",P2049="Transferencia",P2049="Pago tarjeta"),-1,1)*S2049,0)+IF(AND(AE2049&lt;&gt;"",COUNTIFS(tcTipo,AE2049,tcLiq,"Sí")&gt;0),S2049,0))</f>
        <v/>
      </c>
      <c r="AI2049" s="52">
        <f>IF(OR(L2049="",P2049=""),"",IF(COUNTIFS(L$6:L2049,L2049,P$6:P2049,"?*")=1,MAX(AI$5:AI2048)+1,""))</f>
        <v/>
      </c>
    </row>
    <row r="2050">
      <c r="B2050" s="47" t="n"/>
      <c r="C2050" s="48" t="n"/>
      <c r="D2050" s="48" t="n"/>
      <c r="E2050" s="48" t="n"/>
      <c r="F2050" s="48" t="n"/>
      <c r="G2050" s="49" t="n"/>
      <c r="H2050" s="48" t="n"/>
      <c r="I2050" s="50" t="n"/>
      <c r="J2050" s="48" t="n"/>
      <c r="K2050" s="48" t="n"/>
      <c r="L2050" s="48" t="n"/>
      <c r="M2050" s="48" t="n"/>
      <c r="N2050" s="48" t="n"/>
      <c r="O2050" s="51">
        <f>IF(AND(B2050="",G2050="",C2050="",D2050="",J2050=""),"",IF(B2050="","⚠ Falta fecha",IF(G2050="","⚠ Falta monto",IF(Q2050="","⚠ Falta cuenta",IF(ISNA(MATCH(Q2050,ctaNombre,0)),"⚠ Cuenta no registrada",IF(AND(OR(P2050="Gasto",P2050="Reembolso"),D2050=""),"⚠ Falta categoría",IF(AND(D2050&lt;&gt;"",E2050&lt;&gt;"",ISNA(MATCH(D2050&amp;"|"&amp;E2050,catClave,0))),"⚠ Subcategoría no corresponde",IF(AND(OR(P2050="Transferencia",P2050="Pago tarjeta"),K2050=""),"⚠ Falta cuenta destino",IF(AND(K2050&lt;&gt;"",P2050&lt;&gt;"Transferencia",P2050&lt;&gt;"Pago tarjeta"),"⚠ Destino solo aplica a transferencias",IF(AND(K2050&lt;&gt;"",K2050=Q2050),"⚠ Origen igual a destino",IF(AND(K2050&lt;&gt;"",ISNA(MATCH(K2050,ctaNombre,0))),"⚠ Destino no registrado",IF(AND(P2050="Pago tarjeta",AE2050&lt;&gt;"Tarjeta de crédito"),"⚠ El destino debe ser tarjeta de crédito",IF(AND(P2050="Gasto",E2050="Depósitos y retiros"),"⚠ Usa tipo Transferencia",IF(AND(P2050="Resultado trading",AD2050&lt;&gt;"Cuenta de trading"),"⚠ Usa una cuenta de trading",IF(AND(G2050&lt;=0,P2050&lt;&gt;"Ajuste",P2050&lt;&gt;"Resultado trading"),"⚠ El monto debe ser positivo","✓")))))))))))))))</f>
        <v/>
      </c>
      <c r="P2050" s="52">
        <f>IF(OR(B2050="",G2050=""),"",IF(C2050="","Gasto",C2050))</f>
        <v/>
      </c>
      <c r="Q2050" s="52">
        <f>IF(P2050="","",IF(J2050&lt;&gt;"",J2050,CuentaPred&amp;""))</f>
        <v/>
      </c>
      <c r="R2050" s="52">
        <f>IF(P2050="","",IF(ISNUMBER(I2050),I2050,TasaUSD))</f>
        <v/>
      </c>
      <c r="S2050" s="53">
        <f>IF(P2050="","",IF(H2050="USD",G2050*R2050,G2050))</f>
        <v/>
      </c>
      <c r="T2050" s="53">
        <f>IF(P2050="","",IF(H2050="USD",G2050,IF(R2050&gt;0,G2050/R2050,0)))</f>
        <v/>
      </c>
      <c r="U2050" s="53">
        <f>IF(P2050="","",IF(P2050="Gasto",S2050,IF(P2050="Reembolso",-S2050,0)))</f>
        <v/>
      </c>
      <c r="V2050" s="53">
        <f>IF(P2050="","",IF(P2050="Ingreso",S2050,0))</f>
        <v/>
      </c>
      <c r="W2050" s="53">
        <f>IF(P2050="","",IF(P2050="Resultado trading",S2050,0))</f>
        <v/>
      </c>
      <c r="X2050" s="52">
        <f>IF(OR(P2050="Gasto",P2050="Reembolso"),IF(M2050&lt;&gt;"",M2050,IFERROR(INDEX(catClasif,MATCH(D2050&amp;"|"&amp;E2050,catClave,0))&amp;"","Variable")),"")</f>
        <v/>
      </c>
      <c r="Y2050" s="52">
        <f>IF(P2050="","",IFERROR(INDEX(catGrupo,MATCH(D2050&amp;"|"&amp;E2050,catClave,0))&amp;"",""))</f>
        <v/>
      </c>
      <c r="Z2050" s="52">
        <f>IF(P2050="","",WEEKDAY(B2050,2))</f>
        <v/>
      </c>
      <c r="AA2050" s="52">
        <f>IF(P2050="","",IF(AND(P2050="Gasto",X2050="Variable",D2050&lt;&gt;catTrading,S2050&gt;0,S2050&lt;=Umbral),1,0))</f>
        <v/>
      </c>
      <c r="AB2050" s="52">
        <f>IF(OR(P2050="",Q2050=""),"",IFERROR(IF(INDEX(ctaVinc,MATCH(Q2050,ctaNombre,0))&amp;""&lt;&gt;"",INDEX(ctaVinc,MATCH(Q2050,ctaNombre,0))&amp;"",Q2050),Q2050))</f>
        <v/>
      </c>
      <c r="AC2050" s="52">
        <f>IF(OR(K2050="",AND(P2050&lt;&gt;"Transferencia",P2050&lt;&gt;"Pago tarjeta")),"",IFERROR(IF(INDEX(ctaVinc,MATCH(K2050,ctaNombre,0))&amp;""&lt;&gt;"",INDEX(ctaVinc,MATCH(K2050,ctaNombre,0))&amp;"",K2050),K2050))</f>
        <v/>
      </c>
      <c r="AD2050" s="52">
        <f>IF(AB2050="","",IFERROR(INDEX(ctaTipo,MATCH(AB2050,ctaNombre,0))&amp;"",""))</f>
        <v/>
      </c>
      <c r="AE2050" s="52">
        <f>IF(AC2050="","",IFERROR(INDEX(ctaTipo,MATCH(AC2050,ctaNombre,0))&amp;"",""))</f>
        <v/>
      </c>
      <c r="AF2050" s="53">
        <f>IF(OR(P2050="",AB2050=""),"",IF(OR(P2050="Gasto",P2050="Transferencia",P2050="Pago tarjeta"),-1,1)*IF(IFERROR(INDEX(ctaMoneda,MATCH(AB2050,ctaNombre,0))&amp;"","DOP")="USD",T2050,S2050))</f>
        <v/>
      </c>
      <c r="AG2050" s="53">
        <f>IF(AC2050="","",IF(IFERROR(INDEX(ctaMoneda,MATCH(AC2050,ctaNombre,0))&amp;"","DOP")="USD",T2050,S2050))</f>
        <v/>
      </c>
      <c r="AH2050" s="53">
        <f>IF(P2050="","",IF(AND(AD2050&lt;&gt;"",COUNTIFS(tcTipo,AD2050,tcLiq,"Sí")&gt;0),IF(OR(P2050="Gasto",P2050="Transferencia",P2050="Pago tarjeta"),-1,1)*S2050,0)+IF(AND(AE2050&lt;&gt;"",COUNTIFS(tcTipo,AE2050,tcLiq,"Sí")&gt;0),S2050,0))</f>
        <v/>
      </c>
      <c r="AI2050" s="52">
        <f>IF(OR(L2050="",P2050=""),"",IF(COUNTIFS(L$6:L2050,L2050,P$6:P2050,"?*")=1,MAX(AI$5:AI2049)+1,""))</f>
        <v/>
      </c>
    </row>
    <row r="2051">
      <c r="B2051" s="47" t="n"/>
      <c r="C2051" s="48" t="n"/>
      <c r="D2051" s="48" t="n"/>
      <c r="E2051" s="48" t="n"/>
      <c r="F2051" s="48" t="n"/>
      <c r="G2051" s="49" t="n"/>
      <c r="H2051" s="48" t="n"/>
      <c r="I2051" s="50" t="n"/>
      <c r="J2051" s="48" t="n"/>
      <c r="K2051" s="48" t="n"/>
      <c r="L2051" s="48" t="n"/>
      <c r="M2051" s="48" t="n"/>
      <c r="N2051" s="48" t="n"/>
      <c r="O2051" s="51">
        <f>IF(AND(B2051="",G2051="",C2051="",D2051="",J2051=""),"",IF(B2051="","⚠ Falta fecha",IF(G2051="","⚠ Falta monto",IF(Q2051="","⚠ Falta cuenta",IF(ISNA(MATCH(Q2051,ctaNombre,0)),"⚠ Cuenta no registrada",IF(AND(OR(P2051="Gasto",P2051="Reembolso"),D2051=""),"⚠ Falta categoría",IF(AND(D2051&lt;&gt;"",E2051&lt;&gt;"",ISNA(MATCH(D2051&amp;"|"&amp;E2051,catClave,0))),"⚠ Subcategoría no corresponde",IF(AND(OR(P2051="Transferencia",P2051="Pago tarjeta"),K2051=""),"⚠ Falta cuenta destino",IF(AND(K2051&lt;&gt;"",P2051&lt;&gt;"Transferencia",P2051&lt;&gt;"Pago tarjeta"),"⚠ Destino solo aplica a transferencias",IF(AND(K2051&lt;&gt;"",K2051=Q2051),"⚠ Origen igual a destino",IF(AND(K2051&lt;&gt;"",ISNA(MATCH(K2051,ctaNombre,0))),"⚠ Destino no registrado",IF(AND(P2051="Pago tarjeta",AE2051&lt;&gt;"Tarjeta de crédito"),"⚠ El destino debe ser tarjeta de crédito",IF(AND(P2051="Gasto",E2051="Depósitos y retiros"),"⚠ Usa tipo Transferencia",IF(AND(P2051="Resultado trading",AD2051&lt;&gt;"Cuenta de trading"),"⚠ Usa una cuenta de trading",IF(AND(G2051&lt;=0,P2051&lt;&gt;"Ajuste",P2051&lt;&gt;"Resultado trading"),"⚠ El monto debe ser positivo","✓")))))))))))))))</f>
        <v/>
      </c>
      <c r="P2051" s="52">
        <f>IF(OR(B2051="",G2051=""),"",IF(C2051="","Gasto",C2051))</f>
        <v/>
      </c>
      <c r="Q2051" s="52">
        <f>IF(P2051="","",IF(J2051&lt;&gt;"",J2051,CuentaPred&amp;""))</f>
        <v/>
      </c>
      <c r="R2051" s="52">
        <f>IF(P2051="","",IF(ISNUMBER(I2051),I2051,TasaUSD))</f>
        <v/>
      </c>
      <c r="S2051" s="53">
        <f>IF(P2051="","",IF(H2051="USD",G2051*R2051,G2051))</f>
        <v/>
      </c>
      <c r="T2051" s="53">
        <f>IF(P2051="","",IF(H2051="USD",G2051,IF(R2051&gt;0,G2051/R2051,0)))</f>
        <v/>
      </c>
      <c r="U2051" s="53">
        <f>IF(P2051="","",IF(P2051="Gasto",S2051,IF(P2051="Reembolso",-S2051,0)))</f>
        <v/>
      </c>
      <c r="V2051" s="53">
        <f>IF(P2051="","",IF(P2051="Ingreso",S2051,0))</f>
        <v/>
      </c>
      <c r="W2051" s="53">
        <f>IF(P2051="","",IF(P2051="Resultado trading",S2051,0))</f>
        <v/>
      </c>
      <c r="X2051" s="52">
        <f>IF(OR(P2051="Gasto",P2051="Reembolso"),IF(M2051&lt;&gt;"",M2051,IFERROR(INDEX(catClasif,MATCH(D2051&amp;"|"&amp;E2051,catClave,0))&amp;"","Variable")),"")</f>
        <v/>
      </c>
      <c r="Y2051" s="52">
        <f>IF(P2051="","",IFERROR(INDEX(catGrupo,MATCH(D2051&amp;"|"&amp;E2051,catClave,0))&amp;"",""))</f>
        <v/>
      </c>
      <c r="Z2051" s="52">
        <f>IF(P2051="","",WEEKDAY(B2051,2))</f>
        <v/>
      </c>
      <c r="AA2051" s="52">
        <f>IF(P2051="","",IF(AND(P2051="Gasto",X2051="Variable",D2051&lt;&gt;catTrading,S2051&gt;0,S2051&lt;=Umbral),1,0))</f>
        <v/>
      </c>
      <c r="AB2051" s="52">
        <f>IF(OR(P2051="",Q2051=""),"",IFERROR(IF(INDEX(ctaVinc,MATCH(Q2051,ctaNombre,0))&amp;""&lt;&gt;"",INDEX(ctaVinc,MATCH(Q2051,ctaNombre,0))&amp;"",Q2051),Q2051))</f>
        <v/>
      </c>
      <c r="AC2051" s="52">
        <f>IF(OR(K2051="",AND(P2051&lt;&gt;"Transferencia",P2051&lt;&gt;"Pago tarjeta")),"",IFERROR(IF(INDEX(ctaVinc,MATCH(K2051,ctaNombre,0))&amp;""&lt;&gt;"",INDEX(ctaVinc,MATCH(K2051,ctaNombre,0))&amp;"",K2051),K2051))</f>
        <v/>
      </c>
      <c r="AD2051" s="52">
        <f>IF(AB2051="","",IFERROR(INDEX(ctaTipo,MATCH(AB2051,ctaNombre,0))&amp;"",""))</f>
        <v/>
      </c>
      <c r="AE2051" s="52">
        <f>IF(AC2051="","",IFERROR(INDEX(ctaTipo,MATCH(AC2051,ctaNombre,0))&amp;"",""))</f>
        <v/>
      </c>
      <c r="AF2051" s="53">
        <f>IF(OR(P2051="",AB2051=""),"",IF(OR(P2051="Gasto",P2051="Transferencia",P2051="Pago tarjeta"),-1,1)*IF(IFERROR(INDEX(ctaMoneda,MATCH(AB2051,ctaNombre,0))&amp;"","DOP")="USD",T2051,S2051))</f>
        <v/>
      </c>
      <c r="AG2051" s="53">
        <f>IF(AC2051="","",IF(IFERROR(INDEX(ctaMoneda,MATCH(AC2051,ctaNombre,0))&amp;"","DOP")="USD",T2051,S2051))</f>
        <v/>
      </c>
      <c r="AH2051" s="53">
        <f>IF(P2051="","",IF(AND(AD2051&lt;&gt;"",COUNTIFS(tcTipo,AD2051,tcLiq,"Sí")&gt;0),IF(OR(P2051="Gasto",P2051="Transferencia",P2051="Pago tarjeta"),-1,1)*S2051,0)+IF(AND(AE2051&lt;&gt;"",COUNTIFS(tcTipo,AE2051,tcLiq,"Sí")&gt;0),S2051,0))</f>
        <v/>
      </c>
      <c r="AI2051" s="52">
        <f>IF(OR(L2051="",P2051=""),"",IF(COUNTIFS(L$6:L2051,L2051,P$6:P2051,"?*")=1,MAX(AI$5:AI2050)+1,""))</f>
        <v/>
      </c>
    </row>
    <row r="2052">
      <c r="B2052" s="47" t="n"/>
      <c r="C2052" s="48" t="n"/>
      <c r="D2052" s="48" t="n"/>
      <c r="E2052" s="48" t="n"/>
      <c r="F2052" s="48" t="n"/>
      <c r="G2052" s="49" t="n"/>
      <c r="H2052" s="48" t="n"/>
      <c r="I2052" s="50" t="n"/>
      <c r="J2052" s="48" t="n"/>
      <c r="K2052" s="48" t="n"/>
      <c r="L2052" s="48" t="n"/>
      <c r="M2052" s="48" t="n"/>
      <c r="N2052" s="48" t="n"/>
      <c r="O2052" s="51">
        <f>IF(AND(B2052="",G2052="",C2052="",D2052="",J2052=""),"",IF(B2052="","⚠ Falta fecha",IF(G2052="","⚠ Falta monto",IF(Q2052="","⚠ Falta cuenta",IF(ISNA(MATCH(Q2052,ctaNombre,0)),"⚠ Cuenta no registrada",IF(AND(OR(P2052="Gasto",P2052="Reembolso"),D2052=""),"⚠ Falta categoría",IF(AND(D2052&lt;&gt;"",E2052&lt;&gt;"",ISNA(MATCH(D2052&amp;"|"&amp;E2052,catClave,0))),"⚠ Subcategoría no corresponde",IF(AND(OR(P2052="Transferencia",P2052="Pago tarjeta"),K2052=""),"⚠ Falta cuenta destino",IF(AND(K2052&lt;&gt;"",P2052&lt;&gt;"Transferencia",P2052&lt;&gt;"Pago tarjeta"),"⚠ Destino solo aplica a transferencias",IF(AND(K2052&lt;&gt;"",K2052=Q2052),"⚠ Origen igual a destino",IF(AND(K2052&lt;&gt;"",ISNA(MATCH(K2052,ctaNombre,0))),"⚠ Destino no registrado",IF(AND(P2052="Pago tarjeta",AE2052&lt;&gt;"Tarjeta de crédito"),"⚠ El destino debe ser tarjeta de crédito",IF(AND(P2052="Gasto",E2052="Depósitos y retiros"),"⚠ Usa tipo Transferencia",IF(AND(P2052="Resultado trading",AD2052&lt;&gt;"Cuenta de trading"),"⚠ Usa una cuenta de trading",IF(AND(G2052&lt;=0,P2052&lt;&gt;"Ajuste",P2052&lt;&gt;"Resultado trading"),"⚠ El monto debe ser positivo","✓")))))))))))))))</f>
        <v/>
      </c>
      <c r="P2052" s="52">
        <f>IF(OR(B2052="",G2052=""),"",IF(C2052="","Gasto",C2052))</f>
        <v/>
      </c>
      <c r="Q2052" s="52">
        <f>IF(P2052="","",IF(J2052&lt;&gt;"",J2052,CuentaPred&amp;""))</f>
        <v/>
      </c>
      <c r="R2052" s="52">
        <f>IF(P2052="","",IF(ISNUMBER(I2052),I2052,TasaUSD))</f>
        <v/>
      </c>
      <c r="S2052" s="53">
        <f>IF(P2052="","",IF(H2052="USD",G2052*R2052,G2052))</f>
        <v/>
      </c>
      <c r="T2052" s="53">
        <f>IF(P2052="","",IF(H2052="USD",G2052,IF(R2052&gt;0,G2052/R2052,0)))</f>
        <v/>
      </c>
      <c r="U2052" s="53">
        <f>IF(P2052="","",IF(P2052="Gasto",S2052,IF(P2052="Reembolso",-S2052,0)))</f>
        <v/>
      </c>
      <c r="V2052" s="53">
        <f>IF(P2052="","",IF(P2052="Ingreso",S2052,0))</f>
        <v/>
      </c>
      <c r="W2052" s="53">
        <f>IF(P2052="","",IF(P2052="Resultado trading",S2052,0))</f>
        <v/>
      </c>
      <c r="X2052" s="52">
        <f>IF(OR(P2052="Gasto",P2052="Reembolso"),IF(M2052&lt;&gt;"",M2052,IFERROR(INDEX(catClasif,MATCH(D2052&amp;"|"&amp;E2052,catClave,0))&amp;"","Variable")),"")</f>
        <v/>
      </c>
      <c r="Y2052" s="52">
        <f>IF(P2052="","",IFERROR(INDEX(catGrupo,MATCH(D2052&amp;"|"&amp;E2052,catClave,0))&amp;"",""))</f>
        <v/>
      </c>
      <c r="Z2052" s="52">
        <f>IF(P2052="","",WEEKDAY(B2052,2))</f>
        <v/>
      </c>
      <c r="AA2052" s="52">
        <f>IF(P2052="","",IF(AND(P2052="Gasto",X2052="Variable",D2052&lt;&gt;catTrading,S2052&gt;0,S2052&lt;=Umbral),1,0))</f>
        <v/>
      </c>
      <c r="AB2052" s="52">
        <f>IF(OR(P2052="",Q2052=""),"",IFERROR(IF(INDEX(ctaVinc,MATCH(Q2052,ctaNombre,0))&amp;""&lt;&gt;"",INDEX(ctaVinc,MATCH(Q2052,ctaNombre,0))&amp;"",Q2052),Q2052))</f>
        <v/>
      </c>
      <c r="AC2052" s="52">
        <f>IF(OR(K2052="",AND(P2052&lt;&gt;"Transferencia",P2052&lt;&gt;"Pago tarjeta")),"",IFERROR(IF(INDEX(ctaVinc,MATCH(K2052,ctaNombre,0))&amp;""&lt;&gt;"",INDEX(ctaVinc,MATCH(K2052,ctaNombre,0))&amp;"",K2052),K2052))</f>
        <v/>
      </c>
      <c r="AD2052" s="52">
        <f>IF(AB2052="","",IFERROR(INDEX(ctaTipo,MATCH(AB2052,ctaNombre,0))&amp;"",""))</f>
        <v/>
      </c>
      <c r="AE2052" s="52">
        <f>IF(AC2052="","",IFERROR(INDEX(ctaTipo,MATCH(AC2052,ctaNombre,0))&amp;"",""))</f>
        <v/>
      </c>
      <c r="AF2052" s="53">
        <f>IF(OR(P2052="",AB2052=""),"",IF(OR(P2052="Gasto",P2052="Transferencia",P2052="Pago tarjeta"),-1,1)*IF(IFERROR(INDEX(ctaMoneda,MATCH(AB2052,ctaNombre,0))&amp;"","DOP")="USD",T2052,S2052))</f>
        <v/>
      </c>
      <c r="AG2052" s="53">
        <f>IF(AC2052="","",IF(IFERROR(INDEX(ctaMoneda,MATCH(AC2052,ctaNombre,0))&amp;"","DOP")="USD",T2052,S2052))</f>
        <v/>
      </c>
      <c r="AH2052" s="53">
        <f>IF(P2052="","",IF(AND(AD2052&lt;&gt;"",COUNTIFS(tcTipo,AD2052,tcLiq,"Sí")&gt;0),IF(OR(P2052="Gasto",P2052="Transferencia",P2052="Pago tarjeta"),-1,1)*S2052,0)+IF(AND(AE2052&lt;&gt;"",COUNTIFS(tcTipo,AE2052,tcLiq,"Sí")&gt;0),S2052,0))</f>
        <v/>
      </c>
      <c r="AI2052" s="52">
        <f>IF(OR(L2052="",P2052=""),"",IF(COUNTIFS(L$6:L2052,L2052,P$6:P2052,"?*")=1,MAX(AI$5:AI2051)+1,""))</f>
        <v/>
      </c>
    </row>
    <row r="2053">
      <c r="B2053" s="47" t="n"/>
      <c r="C2053" s="48" t="n"/>
      <c r="D2053" s="48" t="n"/>
      <c r="E2053" s="48" t="n"/>
      <c r="F2053" s="48" t="n"/>
      <c r="G2053" s="49" t="n"/>
      <c r="H2053" s="48" t="n"/>
      <c r="I2053" s="50" t="n"/>
      <c r="J2053" s="48" t="n"/>
      <c r="K2053" s="48" t="n"/>
      <c r="L2053" s="48" t="n"/>
      <c r="M2053" s="48" t="n"/>
      <c r="N2053" s="48" t="n"/>
      <c r="O2053" s="51">
        <f>IF(AND(B2053="",G2053="",C2053="",D2053="",J2053=""),"",IF(B2053="","⚠ Falta fecha",IF(G2053="","⚠ Falta monto",IF(Q2053="","⚠ Falta cuenta",IF(ISNA(MATCH(Q2053,ctaNombre,0)),"⚠ Cuenta no registrada",IF(AND(OR(P2053="Gasto",P2053="Reembolso"),D2053=""),"⚠ Falta categoría",IF(AND(D2053&lt;&gt;"",E2053&lt;&gt;"",ISNA(MATCH(D2053&amp;"|"&amp;E2053,catClave,0))),"⚠ Subcategoría no corresponde",IF(AND(OR(P2053="Transferencia",P2053="Pago tarjeta"),K2053=""),"⚠ Falta cuenta destino",IF(AND(K2053&lt;&gt;"",P2053&lt;&gt;"Transferencia",P2053&lt;&gt;"Pago tarjeta"),"⚠ Destino solo aplica a transferencias",IF(AND(K2053&lt;&gt;"",K2053=Q2053),"⚠ Origen igual a destino",IF(AND(K2053&lt;&gt;"",ISNA(MATCH(K2053,ctaNombre,0))),"⚠ Destino no registrado",IF(AND(P2053="Pago tarjeta",AE2053&lt;&gt;"Tarjeta de crédito"),"⚠ El destino debe ser tarjeta de crédito",IF(AND(P2053="Gasto",E2053="Depósitos y retiros"),"⚠ Usa tipo Transferencia",IF(AND(P2053="Resultado trading",AD2053&lt;&gt;"Cuenta de trading"),"⚠ Usa una cuenta de trading",IF(AND(G2053&lt;=0,P2053&lt;&gt;"Ajuste",P2053&lt;&gt;"Resultado trading"),"⚠ El monto debe ser positivo","✓")))))))))))))))</f>
        <v/>
      </c>
      <c r="P2053" s="52">
        <f>IF(OR(B2053="",G2053=""),"",IF(C2053="","Gasto",C2053))</f>
        <v/>
      </c>
      <c r="Q2053" s="52">
        <f>IF(P2053="","",IF(J2053&lt;&gt;"",J2053,CuentaPred&amp;""))</f>
        <v/>
      </c>
      <c r="R2053" s="52">
        <f>IF(P2053="","",IF(ISNUMBER(I2053),I2053,TasaUSD))</f>
        <v/>
      </c>
      <c r="S2053" s="53">
        <f>IF(P2053="","",IF(H2053="USD",G2053*R2053,G2053))</f>
        <v/>
      </c>
      <c r="T2053" s="53">
        <f>IF(P2053="","",IF(H2053="USD",G2053,IF(R2053&gt;0,G2053/R2053,0)))</f>
        <v/>
      </c>
      <c r="U2053" s="53">
        <f>IF(P2053="","",IF(P2053="Gasto",S2053,IF(P2053="Reembolso",-S2053,0)))</f>
        <v/>
      </c>
      <c r="V2053" s="53">
        <f>IF(P2053="","",IF(P2053="Ingreso",S2053,0))</f>
        <v/>
      </c>
      <c r="W2053" s="53">
        <f>IF(P2053="","",IF(P2053="Resultado trading",S2053,0))</f>
        <v/>
      </c>
      <c r="X2053" s="52">
        <f>IF(OR(P2053="Gasto",P2053="Reembolso"),IF(M2053&lt;&gt;"",M2053,IFERROR(INDEX(catClasif,MATCH(D2053&amp;"|"&amp;E2053,catClave,0))&amp;"","Variable")),"")</f>
        <v/>
      </c>
      <c r="Y2053" s="52">
        <f>IF(P2053="","",IFERROR(INDEX(catGrupo,MATCH(D2053&amp;"|"&amp;E2053,catClave,0))&amp;"",""))</f>
        <v/>
      </c>
      <c r="Z2053" s="52">
        <f>IF(P2053="","",WEEKDAY(B2053,2))</f>
        <v/>
      </c>
      <c r="AA2053" s="52">
        <f>IF(P2053="","",IF(AND(P2053="Gasto",X2053="Variable",D2053&lt;&gt;catTrading,S2053&gt;0,S2053&lt;=Umbral),1,0))</f>
        <v/>
      </c>
      <c r="AB2053" s="52">
        <f>IF(OR(P2053="",Q2053=""),"",IFERROR(IF(INDEX(ctaVinc,MATCH(Q2053,ctaNombre,0))&amp;""&lt;&gt;"",INDEX(ctaVinc,MATCH(Q2053,ctaNombre,0))&amp;"",Q2053),Q2053))</f>
        <v/>
      </c>
      <c r="AC2053" s="52">
        <f>IF(OR(K2053="",AND(P2053&lt;&gt;"Transferencia",P2053&lt;&gt;"Pago tarjeta")),"",IFERROR(IF(INDEX(ctaVinc,MATCH(K2053,ctaNombre,0))&amp;""&lt;&gt;"",INDEX(ctaVinc,MATCH(K2053,ctaNombre,0))&amp;"",K2053),K2053))</f>
        <v/>
      </c>
      <c r="AD2053" s="52">
        <f>IF(AB2053="","",IFERROR(INDEX(ctaTipo,MATCH(AB2053,ctaNombre,0))&amp;"",""))</f>
        <v/>
      </c>
      <c r="AE2053" s="52">
        <f>IF(AC2053="","",IFERROR(INDEX(ctaTipo,MATCH(AC2053,ctaNombre,0))&amp;"",""))</f>
        <v/>
      </c>
      <c r="AF2053" s="53">
        <f>IF(OR(P2053="",AB2053=""),"",IF(OR(P2053="Gasto",P2053="Transferencia",P2053="Pago tarjeta"),-1,1)*IF(IFERROR(INDEX(ctaMoneda,MATCH(AB2053,ctaNombre,0))&amp;"","DOP")="USD",T2053,S2053))</f>
        <v/>
      </c>
      <c r="AG2053" s="53">
        <f>IF(AC2053="","",IF(IFERROR(INDEX(ctaMoneda,MATCH(AC2053,ctaNombre,0))&amp;"","DOP")="USD",T2053,S2053))</f>
        <v/>
      </c>
      <c r="AH2053" s="53">
        <f>IF(P2053="","",IF(AND(AD2053&lt;&gt;"",COUNTIFS(tcTipo,AD2053,tcLiq,"Sí")&gt;0),IF(OR(P2053="Gasto",P2053="Transferencia",P2053="Pago tarjeta"),-1,1)*S2053,0)+IF(AND(AE2053&lt;&gt;"",COUNTIFS(tcTipo,AE2053,tcLiq,"Sí")&gt;0),S2053,0))</f>
        <v/>
      </c>
      <c r="AI2053" s="52">
        <f>IF(OR(L2053="",P2053=""),"",IF(COUNTIFS(L$6:L2053,L2053,P$6:P2053,"?*")=1,MAX(AI$5:AI2052)+1,""))</f>
        <v/>
      </c>
    </row>
    <row r="2054">
      <c r="B2054" s="47" t="n"/>
      <c r="C2054" s="48" t="n"/>
      <c r="D2054" s="48" t="n"/>
      <c r="E2054" s="48" t="n"/>
      <c r="F2054" s="48" t="n"/>
      <c r="G2054" s="49" t="n"/>
      <c r="H2054" s="48" t="n"/>
      <c r="I2054" s="50" t="n"/>
      <c r="J2054" s="48" t="n"/>
      <c r="K2054" s="48" t="n"/>
      <c r="L2054" s="48" t="n"/>
      <c r="M2054" s="48" t="n"/>
      <c r="N2054" s="48" t="n"/>
      <c r="O2054" s="51">
        <f>IF(AND(B2054="",G2054="",C2054="",D2054="",J2054=""),"",IF(B2054="","⚠ Falta fecha",IF(G2054="","⚠ Falta monto",IF(Q2054="","⚠ Falta cuenta",IF(ISNA(MATCH(Q2054,ctaNombre,0)),"⚠ Cuenta no registrada",IF(AND(OR(P2054="Gasto",P2054="Reembolso"),D2054=""),"⚠ Falta categoría",IF(AND(D2054&lt;&gt;"",E2054&lt;&gt;"",ISNA(MATCH(D2054&amp;"|"&amp;E2054,catClave,0))),"⚠ Subcategoría no corresponde",IF(AND(OR(P2054="Transferencia",P2054="Pago tarjeta"),K2054=""),"⚠ Falta cuenta destino",IF(AND(K2054&lt;&gt;"",P2054&lt;&gt;"Transferencia",P2054&lt;&gt;"Pago tarjeta"),"⚠ Destino solo aplica a transferencias",IF(AND(K2054&lt;&gt;"",K2054=Q2054),"⚠ Origen igual a destino",IF(AND(K2054&lt;&gt;"",ISNA(MATCH(K2054,ctaNombre,0))),"⚠ Destino no registrado",IF(AND(P2054="Pago tarjeta",AE2054&lt;&gt;"Tarjeta de crédito"),"⚠ El destino debe ser tarjeta de crédito",IF(AND(P2054="Gasto",E2054="Depósitos y retiros"),"⚠ Usa tipo Transferencia",IF(AND(P2054="Resultado trading",AD2054&lt;&gt;"Cuenta de trading"),"⚠ Usa una cuenta de trading",IF(AND(G2054&lt;=0,P2054&lt;&gt;"Ajuste",P2054&lt;&gt;"Resultado trading"),"⚠ El monto debe ser positivo","✓")))))))))))))))</f>
        <v/>
      </c>
      <c r="P2054" s="52">
        <f>IF(OR(B2054="",G2054=""),"",IF(C2054="","Gasto",C2054))</f>
        <v/>
      </c>
      <c r="Q2054" s="52">
        <f>IF(P2054="","",IF(J2054&lt;&gt;"",J2054,CuentaPred&amp;""))</f>
        <v/>
      </c>
      <c r="R2054" s="52">
        <f>IF(P2054="","",IF(ISNUMBER(I2054),I2054,TasaUSD))</f>
        <v/>
      </c>
      <c r="S2054" s="53">
        <f>IF(P2054="","",IF(H2054="USD",G2054*R2054,G2054))</f>
        <v/>
      </c>
      <c r="T2054" s="53">
        <f>IF(P2054="","",IF(H2054="USD",G2054,IF(R2054&gt;0,G2054/R2054,0)))</f>
        <v/>
      </c>
      <c r="U2054" s="53">
        <f>IF(P2054="","",IF(P2054="Gasto",S2054,IF(P2054="Reembolso",-S2054,0)))</f>
        <v/>
      </c>
      <c r="V2054" s="53">
        <f>IF(P2054="","",IF(P2054="Ingreso",S2054,0))</f>
        <v/>
      </c>
      <c r="W2054" s="53">
        <f>IF(P2054="","",IF(P2054="Resultado trading",S2054,0))</f>
        <v/>
      </c>
      <c r="X2054" s="52">
        <f>IF(OR(P2054="Gasto",P2054="Reembolso"),IF(M2054&lt;&gt;"",M2054,IFERROR(INDEX(catClasif,MATCH(D2054&amp;"|"&amp;E2054,catClave,0))&amp;"","Variable")),"")</f>
        <v/>
      </c>
      <c r="Y2054" s="52">
        <f>IF(P2054="","",IFERROR(INDEX(catGrupo,MATCH(D2054&amp;"|"&amp;E2054,catClave,0))&amp;"",""))</f>
        <v/>
      </c>
      <c r="Z2054" s="52">
        <f>IF(P2054="","",WEEKDAY(B2054,2))</f>
        <v/>
      </c>
      <c r="AA2054" s="52">
        <f>IF(P2054="","",IF(AND(P2054="Gasto",X2054="Variable",D2054&lt;&gt;catTrading,S2054&gt;0,S2054&lt;=Umbral),1,0))</f>
        <v/>
      </c>
      <c r="AB2054" s="52">
        <f>IF(OR(P2054="",Q2054=""),"",IFERROR(IF(INDEX(ctaVinc,MATCH(Q2054,ctaNombre,0))&amp;""&lt;&gt;"",INDEX(ctaVinc,MATCH(Q2054,ctaNombre,0))&amp;"",Q2054),Q2054))</f>
        <v/>
      </c>
      <c r="AC2054" s="52">
        <f>IF(OR(K2054="",AND(P2054&lt;&gt;"Transferencia",P2054&lt;&gt;"Pago tarjeta")),"",IFERROR(IF(INDEX(ctaVinc,MATCH(K2054,ctaNombre,0))&amp;""&lt;&gt;"",INDEX(ctaVinc,MATCH(K2054,ctaNombre,0))&amp;"",K2054),K2054))</f>
        <v/>
      </c>
      <c r="AD2054" s="52">
        <f>IF(AB2054="","",IFERROR(INDEX(ctaTipo,MATCH(AB2054,ctaNombre,0))&amp;"",""))</f>
        <v/>
      </c>
      <c r="AE2054" s="52">
        <f>IF(AC2054="","",IFERROR(INDEX(ctaTipo,MATCH(AC2054,ctaNombre,0))&amp;"",""))</f>
        <v/>
      </c>
      <c r="AF2054" s="53">
        <f>IF(OR(P2054="",AB2054=""),"",IF(OR(P2054="Gasto",P2054="Transferencia",P2054="Pago tarjeta"),-1,1)*IF(IFERROR(INDEX(ctaMoneda,MATCH(AB2054,ctaNombre,0))&amp;"","DOP")="USD",T2054,S2054))</f>
        <v/>
      </c>
      <c r="AG2054" s="53">
        <f>IF(AC2054="","",IF(IFERROR(INDEX(ctaMoneda,MATCH(AC2054,ctaNombre,0))&amp;"","DOP")="USD",T2054,S2054))</f>
        <v/>
      </c>
      <c r="AH2054" s="53">
        <f>IF(P2054="","",IF(AND(AD2054&lt;&gt;"",COUNTIFS(tcTipo,AD2054,tcLiq,"Sí")&gt;0),IF(OR(P2054="Gasto",P2054="Transferencia",P2054="Pago tarjeta"),-1,1)*S2054,0)+IF(AND(AE2054&lt;&gt;"",COUNTIFS(tcTipo,AE2054,tcLiq,"Sí")&gt;0),S2054,0))</f>
        <v/>
      </c>
      <c r="AI2054" s="52">
        <f>IF(OR(L2054="",P2054=""),"",IF(COUNTIFS(L$6:L2054,L2054,P$6:P2054,"?*")=1,MAX(AI$5:AI2053)+1,""))</f>
        <v/>
      </c>
    </row>
    <row r="2055">
      <c r="B2055" s="47" t="n"/>
      <c r="C2055" s="48" t="n"/>
      <c r="D2055" s="48" t="n"/>
      <c r="E2055" s="48" t="n"/>
      <c r="F2055" s="48" t="n"/>
      <c r="G2055" s="49" t="n"/>
      <c r="H2055" s="48" t="n"/>
      <c r="I2055" s="50" t="n"/>
      <c r="J2055" s="48" t="n"/>
      <c r="K2055" s="48" t="n"/>
      <c r="L2055" s="48" t="n"/>
      <c r="M2055" s="48" t="n"/>
      <c r="N2055" s="48" t="n"/>
      <c r="O2055" s="51">
        <f>IF(AND(B2055="",G2055="",C2055="",D2055="",J2055=""),"",IF(B2055="","⚠ Falta fecha",IF(G2055="","⚠ Falta monto",IF(Q2055="","⚠ Falta cuenta",IF(ISNA(MATCH(Q2055,ctaNombre,0)),"⚠ Cuenta no registrada",IF(AND(OR(P2055="Gasto",P2055="Reembolso"),D2055=""),"⚠ Falta categoría",IF(AND(D2055&lt;&gt;"",E2055&lt;&gt;"",ISNA(MATCH(D2055&amp;"|"&amp;E2055,catClave,0))),"⚠ Subcategoría no corresponde",IF(AND(OR(P2055="Transferencia",P2055="Pago tarjeta"),K2055=""),"⚠ Falta cuenta destino",IF(AND(K2055&lt;&gt;"",P2055&lt;&gt;"Transferencia",P2055&lt;&gt;"Pago tarjeta"),"⚠ Destino solo aplica a transferencias",IF(AND(K2055&lt;&gt;"",K2055=Q2055),"⚠ Origen igual a destino",IF(AND(K2055&lt;&gt;"",ISNA(MATCH(K2055,ctaNombre,0))),"⚠ Destino no registrado",IF(AND(P2055="Pago tarjeta",AE2055&lt;&gt;"Tarjeta de crédito"),"⚠ El destino debe ser tarjeta de crédito",IF(AND(P2055="Gasto",E2055="Depósitos y retiros"),"⚠ Usa tipo Transferencia",IF(AND(P2055="Resultado trading",AD2055&lt;&gt;"Cuenta de trading"),"⚠ Usa una cuenta de trading",IF(AND(G2055&lt;=0,P2055&lt;&gt;"Ajuste",P2055&lt;&gt;"Resultado trading"),"⚠ El monto debe ser positivo","✓")))))))))))))))</f>
        <v/>
      </c>
      <c r="P2055" s="52">
        <f>IF(OR(B2055="",G2055=""),"",IF(C2055="","Gasto",C2055))</f>
        <v/>
      </c>
      <c r="Q2055" s="52">
        <f>IF(P2055="","",IF(J2055&lt;&gt;"",J2055,CuentaPred&amp;""))</f>
        <v/>
      </c>
      <c r="R2055" s="52">
        <f>IF(P2055="","",IF(ISNUMBER(I2055),I2055,TasaUSD))</f>
        <v/>
      </c>
      <c r="S2055" s="53">
        <f>IF(P2055="","",IF(H2055="USD",G2055*R2055,G2055))</f>
        <v/>
      </c>
      <c r="T2055" s="53">
        <f>IF(P2055="","",IF(H2055="USD",G2055,IF(R2055&gt;0,G2055/R2055,0)))</f>
        <v/>
      </c>
      <c r="U2055" s="53">
        <f>IF(P2055="","",IF(P2055="Gasto",S2055,IF(P2055="Reembolso",-S2055,0)))</f>
        <v/>
      </c>
      <c r="V2055" s="53">
        <f>IF(P2055="","",IF(P2055="Ingreso",S2055,0))</f>
        <v/>
      </c>
      <c r="W2055" s="53">
        <f>IF(P2055="","",IF(P2055="Resultado trading",S2055,0))</f>
        <v/>
      </c>
      <c r="X2055" s="52">
        <f>IF(OR(P2055="Gasto",P2055="Reembolso"),IF(M2055&lt;&gt;"",M2055,IFERROR(INDEX(catClasif,MATCH(D2055&amp;"|"&amp;E2055,catClave,0))&amp;"","Variable")),"")</f>
        <v/>
      </c>
      <c r="Y2055" s="52">
        <f>IF(P2055="","",IFERROR(INDEX(catGrupo,MATCH(D2055&amp;"|"&amp;E2055,catClave,0))&amp;"",""))</f>
        <v/>
      </c>
      <c r="Z2055" s="52">
        <f>IF(P2055="","",WEEKDAY(B2055,2))</f>
        <v/>
      </c>
      <c r="AA2055" s="52">
        <f>IF(P2055="","",IF(AND(P2055="Gasto",X2055="Variable",D2055&lt;&gt;catTrading,S2055&gt;0,S2055&lt;=Umbral),1,0))</f>
        <v/>
      </c>
      <c r="AB2055" s="52">
        <f>IF(OR(P2055="",Q2055=""),"",IFERROR(IF(INDEX(ctaVinc,MATCH(Q2055,ctaNombre,0))&amp;""&lt;&gt;"",INDEX(ctaVinc,MATCH(Q2055,ctaNombre,0))&amp;"",Q2055),Q2055))</f>
        <v/>
      </c>
      <c r="AC2055" s="52">
        <f>IF(OR(K2055="",AND(P2055&lt;&gt;"Transferencia",P2055&lt;&gt;"Pago tarjeta")),"",IFERROR(IF(INDEX(ctaVinc,MATCH(K2055,ctaNombre,0))&amp;""&lt;&gt;"",INDEX(ctaVinc,MATCH(K2055,ctaNombre,0))&amp;"",K2055),K2055))</f>
        <v/>
      </c>
      <c r="AD2055" s="52">
        <f>IF(AB2055="","",IFERROR(INDEX(ctaTipo,MATCH(AB2055,ctaNombre,0))&amp;"",""))</f>
        <v/>
      </c>
      <c r="AE2055" s="52">
        <f>IF(AC2055="","",IFERROR(INDEX(ctaTipo,MATCH(AC2055,ctaNombre,0))&amp;"",""))</f>
        <v/>
      </c>
      <c r="AF2055" s="53">
        <f>IF(OR(P2055="",AB2055=""),"",IF(OR(P2055="Gasto",P2055="Transferencia",P2055="Pago tarjeta"),-1,1)*IF(IFERROR(INDEX(ctaMoneda,MATCH(AB2055,ctaNombre,0))&amp;"","DOP")="USD",T2055,S2055))</f>
        <v/>
      </c>
      <c r="AG2055" s="53">
        <f>IF(AC2055="","",IF(IFERROR(INDEX(ctaMoneda,MATCH(AC2055,ctaNombre,0))&amp;"","DOP")="USD",T2055,S2055))</f>
        <v/>
      </c>
      <c r="AH2055" s="53">
        <f>IF(P2055="","",IF(AND(AD2055&lt;&gt;"",COUNTIFS(tcTipo,AD2055,tcLiq,"Sí")&gt;0),IF(OR(P2055="Gasto",P2055="Transferencia",P2055="Pago tarjeta"),-1,1)*S2055,0)+IF(AND(AE2055&lt;&gt;"",COUNTIFS(tcTipo,AE2055,tcLiq,"Sí")&gt;0),S2055,0))</f>
        <v/>
      </c>
      <c r="AI2055" s="52">
        <f>IF(OR(L2055="",P2055=""),"",IF(COUNTIFS(L$6:L2055,L2055,P$6:P2055,"?*")=1,MAX(AI$5:AI2054)+1,""))</f>
        <v/>
      </c>
    </row>
    <row r="2056">
      <c r="B2056" s="47" t="n"/>
      <c r="C2056" s="48" t="n"/>
      <c r="D2056" s="48" t="n"/>
      <c r="E2056" s="48" t="n"/>
      <c r="F2056" s="48" t="n"/>
      <c r="G2056" s="49" t="n"/>
      <c r="H2056" s="48" t="n"/>
      <c r="I2056" s="50" t="n"/>
      <c r="J2056" s="48" t="n"/>
      <c r="K2056" s="48" t="n"/>
      <c r="L2056" s="48" t="n"/>
      <c r="M2056" s="48" t="n"/>
      <c r="N2056" s="48" t="n"/>
      <c r="O2056" s="51">
        <f>IF(AND(B2056="",G2056="",C2056="",D2056="",J2056=""),"",IF(B2056="","⚠ Falta fecha",IF(G2056="","⚠ Falta monto",IF(Q2056="","⚠ Falta cuenta",IF(ISNA(MATCH(Q2056,ctaNombre,0)),"⚠ Cuenta no registrada",IF(AND(OR(P2056="Gasto",P2056="Reembolso"),D2056=""),"⚠ Falta categoría",IF(AND(D2056&lt;&gt;"",E2056&lt;&gt;"",ISNA(MATCH(D2056&amp;"|"&amp;E2056,catClave,0))),"⚠ Subcategoría no corresponde",IF(AND(OR(P2056="Transferencia",P2056="Pago tarjeta"),K2056=""),"⚠ Falta cuenta destino",IF(AND(K2056&lt;&gt;"",P2056&lt;&gt;"Transferencia",P2056&lt;&gt;"Pago tarjeta"),"⚠ Destino solo aplica a transferencias",IF(AND(K2056&lt;&gt;"",K2056=Q2056),"⚠ Origen igual a destino",IF(AND(K2056&lt;&gt;"",ISNA(MATCH(K2056,ctaNombre,0))),"⚠ Destino no registrado",IF(AND(P2056="Pago tarjeta",AE2056&lt;&gt;"Tarjeta de crédito"),"⚠ El destino debe ser tarjeta de crédito",IF(AND(P2056="Gasto",E2056="Depósitos y retiros"),"⚠ Usa tipo Transferencia",IF(AND(P2056="Resultado trading",AD2056&lt;&gt;"Cuenta de trading"),"⚠ Usa una cuenta de trading",IF(AND(G2056&lt;=0,P2056&lt;&gt;"Ajuste",P2056&lt;&gt;"Resultado trading"),"⚠ El monto debe ser positivo","✓")))))))))))))))</f>
        <v/>
      </c>
      <c r="P2056" s="52">
        <f>IF(OR(B2056="",G2056=""),"",IF(C2056="","Gasto",C2056))</f>
        <v/>
      </c>
      <c r="Q2056" s="52">
        <f>IF(P2056="","",IF(J2056&lt;&gt;"",J2056,CuentaPred&amp;""))</f>
        <v/>
      </c>
      <c r="R2056" s="52">
        <f>IF(P2056="","",IF(ISNUMBER(I2056),I2056,TasaUSD))</f>
        <v/>
      </c>
      <c r="S2056" s="53">
        <f>IF(P2056="","",IF(H2056="USD",G2056*R2056,G2056))</f>
        <v/>
      </c>
      <c r="T2056" s="53">
        <f>IF(P2056="","",IF(H2056="USD",G2056,IF(R2056&gt;0,G2056/R2056,0)))</f>
        <v/>
      </c>
      <c r="U2056" s="53">
        <f>IF(P2056="","",IF(P2056="Gasto",S2056,IF(P2056="Reembolso",-S2056,0)))</f>
        <v/>
      </c>
      <c r="V2056" s="53">
        <f>IF(P2056="","",IF(P2056="Ingreso",S2056,0))</f>
        <v/>
      </c>
      <c r="W2056" s="53">
        <f>IF(P2056="","",IF(P2056="Resultado trading",S2056,0))</f>
        <v/>
      </c>
      <c r="X2056" s="52">
        <f>IF(OR(P2056="Gasto",P2056="Reembolso"),IF(M2056&lt;&gt;"",M2056,IFERROR(INDEX(catClasif,MATCH(D2056&amp;"|"&amp;E2056,catClave,0))&amp;"","Variable")),"")</f>
        <v/>
      </c>
      <c r="Y2056" s="52">
        <f>IF(P2056="","",IFERROR(INDEX(catGrupo,MATCH(D2056&amp;"|"&amp;E2056,catClave,0))&amp;"",""))</f>
        <v/>
      </c>
      <c r="Z2056" s="52">
        <f>IF(P2056="","",WEEKDAY(B2056,2))</f>
        <v/>
      </c>
      <c r="AA2056" s="52">
        <f>IF(P2056="","",IF(AND(P2056="Gasto",X2056="Variable",D2056&lt;&gt;catTrading,S2056&gt;0,S2056&lt;=Umbral),1,0))</f>
        <v/>
      </c>
      <c r="AB2056" s="52">
        <f>IF(OR(P2056="",Q2056=""),"",IFERROR(IF(INDEX(ctaVinc,MATCH(Q2056,ctaNombre,0))&amp;""&lt;&gt;"",INDEX(ctaVinc,MATCH(Q2056,ctaNombre,0))&amp;"",Q2056),Q2056))</f>
        <v/>
      </c>
      <c r="AC2056" s="52">
        <f>IF(OR(K2056="",AND(P2056&lt;&gt;"Transferencia",P2056&lt;&gt;"Pago tarjeta")),"",IFERROR(IF(INDEX(ctaVinc,MATCH(K2056,ctaNombre,0))&amp;""&lt;&gt;"",INDEX(ctaVinc,MATCH(K2056,ctaNombre,0))&amp;"",K2056),K2056))</f>
        <v/>
      </c>
      <c r="AD2056" s="52">
        <f>IF(AB2056="","",IFERROR(INDEX(ctaTipo,MATCH(AB2056,ctaNombre,0))&amp;"",""))</f>
        <v/>
      </c>
      <c r="AE2056" s="52">
        <f>IF(AC2056="","",IFERROR(INDEX(ctaTipo,MATCH(AC2056,ctaNombre,0))&amp;"",""))</f>
        <v/>
      </c>
      <c r="AF2056" s="53">
        <f>IF(OR(P2056="",AB2056=""),"",IF(OR(P2056="Gasto",P2056="Transferencia",P2056="Pago tarjeta"),-1,1)*IF(IFERROR(INDEX(ctaMoneda,MATCH(AB2056,ctaNombre,0))&amp;"","DOP")="USD",T2056,S2056))</f>
        <v/>
      </c>
      <c r="AG2056" s="53">
        <f>IF(AC2056="","",IF(IFERROR(INDEX(ctaMoneda,MATCH(AC2056,ctaNombre,0))&amp;"","DOP")="USD",T2056,S2056))</f>
        <v/>
      </c>
      <c r="AH2056" s="53">
        <f>IF(P2056="","",IF(AND(AD2056&lt;&gt;"",COUNTIFS(tcTipo,AD2056,tcLiq,"Sí")&gt;0),IF(OR(P2056="Gasto",P2056="Transferencia",P2056="Pago tarjeta"),-1,1)*S2056,0)+IF(AND(AE2056&lt;&gt;"",COUNTIFS(tcTipo,AE2056,tcLiq,"Sí")&gt;0),S2056,0))</f>
        <v/>
      </c>
      <c r="AI2056" s="52">
        <f>IF(OR(L2056="",P2056=""),"",IF(COUNTIFS(L$6:L2056,L2056,P$6:P2056,"?*")=1,MAX(AI$5:AI2055)+1,""))</f>
        <v/>
      </c>
    </row>
    <row r="2057">
      <c r="B2057" s="47" t="n"/>
      <c r="C2057" s="48" t="n"/>
      <c r="D2057" s="48" t="n"/>
      <c r="E2057" s="48" t="n"/>
      <c r="F2057" s="48" t="n"/>
      <c r="G2057" s="49" t="n"/>
      <c r="H2057" s="48" t="n"/>
      <c r="I2057" s="50" t="n"/>
      <c r="J2057" s="48" t="n"/>
      <c r="K2057" s="48" t="n"/>
      <c r="L2057" s="48" t="n"/>
      <c r="M2057" s="48" t="n"/>
      <c r="N2057" s="48" t="n"/>
      <c r="O2057" s="51">
        <f>IF(AND(B2057="",G2057="",C2057="",D2057="",J2057=""),"",IF(B2057="","⚠ Falta fecha",IF(G2057="","⚠ Falta monto",IF(Q2057="","⚠ Falta cuenta",IF(ISNA(MATCH(Q2057,ctaNombre,0)),"⚠ Cuenta no registrada",IF(AND(OR(P2057="Gasto",P2057="Reembolso"),D2057=""),"⚠ Falta categoría",IF(AND(D2057&lt;&gt;"",E2057&lt;&gt;"",ISNA(MATCH(D2057&amp;"|"&amp;E2057,catClave,0))),"⚠ Subcategoría no corresponde",IF(AND(OR(P2057="Transferencia",P2057="Pago tarjeta"),K2057=""),"⚠ Falta cuenta destino",IF(AND(K2057&lt;&gt;"",P2057&lt;&gt;"Transferencia",P2057&lt;&gt;"Pago tarjeta"),"⚠ Destino solo aplica a transferencias",IF(AND(K2057&lt;&gt;"",K2057=Q2057),"⚠ Origen igual a destino",IF(AND(K2057&lt;&gt;"",ISNA(MATCH(K2057,ctaNombre,0))),"⚠ Destino no registrado",IF(AND(P2057="Pago tarjeta",AE2057&lt;&gt;"Tarjeta de crédito"),"⚠ El destino debe ser tarjeta de crédito",IF(AND(P2057="Gasto",E2057="Depósitos y retiros"),"⚠ Usa tipo Transferencia",IF(AND(P2057="Resultado trading",AD2057&lt;&gt;"Cuenta de trading"),"⚠ Usa una cuenta de trading",IF(AND(G2057&lt;=0,P2057&lt;&gt;"Ajuste",P2057&lt;&gt;"Resultado trading"),"⚠ El monto debe ser positivo","✓")))))))))))))))</f>
        <v/>
      </c>
      <c r="P2057" s="52">
        <f>IF(OR(B2057="",G2057=""),"",IF(C2057="","Gasto",C2057))</f>
        <v/>
      </c>
      <c r="Q2057" s="52">
        <f>IF(P2057="","",IF(J2057&lt;&gt;"",J2057,CuentaPred&amp;""))</f>
        <v/>
      </c>
      <c r="R2057" s="52">
        <f>IF(P2057="","",IF(ISNUMBER(I2057),I2057,TasaUSD))</f>
        <v/>
      </c>
      <c r="S2057" s="53">
        <f>IF(P2057="","",IF(H2057="USD",G2057*R2057,G2057))</f>
        <v/>
      </c>
      <c r="T2057" s="53">
        <f>IF(P2057="","",IF(H2057="USD",G2057,IF(R2057&gt;0,G2057/R2057,0)))</f>
        <v/>
      </c>
      <c r="U2057" s="53">
        <f>IF(P2057="","",IF(P2057="Gasto",S2057,IF(P2057="Reembolso",-S2057,0)))</f>
        <v/>
      </c>
      <c r="V2057" s="53">
        <f>IF(P2057="","",IF(P2057="Ingreso",S2057,0))</f>
        <v/>
      </c>
      <c r="W2057" s="53">
        <f>IF(P2057="","",IF(P2057="Resultado trading",S2057,0))</f>
        <v/>
      </c>
      <c r="X2057" s="52">
        <f>IF(OR(P2057="Gasto",P2057="Reembolso"),IF(M2057&lt;&gt;"",M2057,IFERROR(INDEX(catClasif,MATCH(D2057&amp;"|"&amp;E2057,catClave,0))&amp;"","Variable")),"")</f>
        <v/>
      </c>
      <c r="Y2057" s="52">
        <f>IF(P2057="","",IFERROR(INDEX(catGrupo,MATCH(D2057&amp;"|"&amp;E2057,catClave,0))&amp;"",""))</f>
        <v/>
      </c>
      <c r="Z2057" s="52">
        <f>IF(P2057="","",WEEKDAY(B2057,2))</f>
        <v/>
      </c>
      <c r="AA2057" s="52">
        <f>IF(P2057="","",IF(AND(P2057="Gasto",X2057="Variable",D2057&lt;&gt;catTrading,S2057&gt;0,S2057&lt;=Umbral),1,0))</f>
        <v/>
      </c>
      <c r="AB2057" s="52">
        <f>IF(OR(P2057="",Q2057=""),"",IFERROR(IF(INDEX(ctaVinc,MATCH(Q2057,ctaNombre,0))&amp;""&lt;&gt;"",INDEX(ctaVinc,MATCH(Q2057,ctaNombre,0))&amp;"",Q2057),Q2057))</f>
        <v/>
      </c>
      <c r="AC2057" s="52">
        <f>IF(OR(K2057="",AND(P2057&lt;&gt;"Transferencia",P2057&lt;&gt;"Pago tarjeta")),"",IFERROR(IF(INDEX(ctaVinc,MATCH(K2057,ctaNombre,0))&amp;""&lt;&gt;"",INDEX(ctaVinc,MATCH(K2057,ctaNombre,0))&amp;"",K2057),K2057))</f>
        <v/>
      </c>
      <c r="AD2057" s="52">
        <f>IF(AB2057="","",IFERROR(INDEX(ctaTipo,MATCH(AB2057,ctaNombre,0))&amp;"",""))</f>
        <v/>
      </c>
      <c r="AE2057" s="52">
        <f>IF(AC2057="","",IFERROR(INDEX(ctaTipo,MATCH(AC2057,ctaNombre,0))&amp;"",""))</f>
        <v/>
      </c>
      <c r="AF2057" s="53">
        <f>IF(OR(P2057="",AB2057=""),"",IF(OR(P2057="Gasto",P2057="Transferencia",P2057="Pago tarjeta"),-1,1)*IF(IFERROR(INDEX(ctaMoneda,MATCH(AB2057,ctaNombre,0))&amp;"","DOP")="USD",T2057,S2057))</f>
        <v/>
      </c>
      <c r="AG2057" s="53">
        <f>IF(AC2057="","",IF(IFERROR(INDEX(ctaMoneda,MATCH(AC2057,ctaNombre,0))&amp;"","DOP")="USD",T2057,S2057))</f>
        <v/>
      </c>
      <c r="AH2057" s="53">
        <f>IF(P2057="","",IF(AND(AD2057&lt;&gt;"",COUNTIFS(tcTipo,AD2057,tcLiq,"Sí")&gt;0),IF(OR(P2057="Gasto",P2057="Transferencia",P2057="Pago tarjeta"),-1,1)*S2057,0)+IF(AND(AE2057&lt;&gt;"",COUNTIFS(tcTipo,AE2057,tcLiq,"Sí")&gt;0),S2057,0))</f>
        <v/>
      </c>
      <c r="AI2057" s="52">
        <f>IF(OR(L2057="",P2057=""),"",IF(COUNTIFS(L$6:L2057,L2057,P$6:P2057,"?*")=1,MAX(AI$5:AI2056)+1,""))</f>
        <v/>
      </c>
    </row>
    <row r="2058">
      <c r="B2058" s="47" t="n"/>
      <c r="C2058" s="48" t="n"/>
      <c r="D2058" s="48" t="n"/>
      <c r="E2058" s="48" t="n"/>
      <c r="F2058" s="48" t="n"/>
      <c r="G2058" s="49" t="n"/>
      <c r="H2058" s="48" t="n"/>
      <c r="I2058" s="50" t="n"/>
      <c r="J2058" s="48" t="n"/>
      <c r="K2058" s="48" t="n"/>
      <c r="L2058" s="48" t="n"/>
      <c r="M2058" s="48" t="n"/>
      <c r="N2058" s="48" t="n"/>
      <c r="O2058" s="51">
        <f>IF(AND(B2058="",G2058="",C2058="",D2058="",J2058=""),"",IF(B2058="","⚠ Falta fecha",IF(G2058="","⚠ Falta monto",IF(Q2058="","⚠ Falta cuenta",IF(ISNA(MATCH(Q2058,ctaNombre,0)),"⚠ Cuenta no registrada",IF(AND(OR(P2058="Gasto",P2058="Reembolso"),D2058=""),"⚠ Falta categoría",IF(AND(D2058&lt;&gt;"",E2058&lt;&gt;"",ISNA(MATCH(D2058&amp;"|"&amp;E2058,catClave,0))),"⚠ Subcategoría no corresponde",IF(AND(OR(P2058="Transferencia",P2058="Pago tarjeta"),K2058=""),"⚠ Falta cuenta destino",IF(AND(K2058&lt;&gt;"",P2058&lt;&gt;"Transferencia",P2058&lt;&gt;"Pago tarjeta"),"⚠ Destino solo aplica a transferencias",IF(AND(K2058&lt;&gt;"",K2058=Q2058),"⚠ Origen igual a destino",IF(AND(K2058&lt;&gt;"",ISNA(MATCH(K2058,ctaNombre,0))),"⚠ Destino no registrado",IF(AND(P2058="Pago tarjeta",AE2058&lt;&gt;"Tarjeta de crédito"),"⚠ El destino debe ser tarjeta de crédito",IF(AND(P2058="Gasto",E2058="Depósitos y retiros"),"⚠ Usa tipo Transferencia",IF(AND(P2058="Resultado trading",AD2058&lt;&gt;"Cuenta de trading"),"⚠ Usa una cuenta de trading",IF(AND(G2058&lt;=0,P2058&lt;&gt;"Ajuste",P2058&lt;&gt;"Resultado trading"),"⚠ El monto debe ser positivo","✓")))))))))))))))</f>
        <v/>
      </c>
      <c r="P2058" s="52">
        <f>IF(OR(B2058="",G2058=""),"",IF(C2058="","Gasto",C2058))</f>
        <v/>
      </c>
      <c r="Q2058" s="52">
        <f>IF(P2058="","",IF(J2058&lt;&gt;"",J2058,CuentaPred&amp;""))</f>
        <v/>
      </c>
      <c r="R2058" s="52">
        <f>IF(P2058="","",IF(ISNUMBER(I2058),I2058,TasaUSD))</f>
        <v/>
      </c>
      <c r="S2058" s="53">
        <f>IF(P2058="","",IF(H2058="USD",G2058*R2058,G2058))</f>
        <v/>
      </c>
      <c r="T2058" s="53">
        <f>IF(P2058="","",IF(H2058="USD",G2058,IF(R2058&gt;0,G2058/R2058,0)))</f>
        <v/>
      </c>
      <c r="U2058" s="53">
        <f>IF(P2058="","",IF(P2058="Gasto",S2058,IF(P2058="Reembolso",-S2058,0)))</f>
        <v/>
      </c>
      <c r="V2058" s="53">
        <f>IF(P2058="","",IF(P2058="Ingreso",S2058,0))</f>
        <v/>
      </c>
      <c r="W2058" s="53">
        <f>IF(P2058="","",IF(P2058="Resultado trading",S2058,0))</f>
        <v/>
      </c>
      <c r="X2058" s="52">
        <f>IF(OR(P2058="Gasto",P2058="Reembolso"),IF(M2058&lt;&gt;"",M2058,IFERROR(INDEX(catClasif,MATCH(D2058&amp;"|"&amp;E2058,catClave,0))&amp;"","Variable")),"")</f>
        <v/>
      </c>
      <c r="Y2058" s="52">
        <f>IF(P2058="","",IFERROR(INDEX(catGrupo,MATCH(D2058&amp;"|"&amp;E2058,catClave,0))&amp;"",""))</f>
        <v/>
      </c>
      <c r="Z2058" s="52">
        <f>IF(P2058="","",WEEKDAY(B2058,2))</f>
        <v/>
      </c>
      <c r="AA2058" s="52">
        <f>IF(P2058="","",IF(AND(P2058="Gasto",X2058="Variable",D2058&lt;&gt;catTrading,S2058&gt;0,S2058&lt;=Umbral),1,0))</f>
        <v/>
      </c>
      <c r="AB2058" s="52">
        <f>IF(OR(P2058="",Q2058=""),"",IFERROR(IF(INDEX(ctaVinc,MATCH(Q2058,ctaNombre,0))&amp;""&lt;&gt;"",INDEX(ctaVinc,MATCH(Q2058,ctaNombre,0))&amp;"",Q2058),Q2058))</f>
        <v/>
      </c>
      <c r="AC2058" s="52">
        <f>IF(OR(K2058="",AND(P2058&lt;&gt;"Transferencia",P2058&lt;&gt;"Pago tarjeta")),"",IFERROR(IF(INDEX(ctaVinc,MATCH(K2058,ctaNombre,0))&amp;""&lt;&gt;"",INDEX(ctaVinc,MATCH(K2058,ctaNombre,0))&amp;"",K2058),K2058))</f>
        <v/>
      </c>
      <c r="AD2058" s="52">
        <f>IF(AB2058="","",IFERROR(INDEX(ctaTipo,MATCH(AB2058,ctaNombre,0))&amp;"",""))</f>
        <v/>
      </c>
      <c r="AE2058" s="52">
        <f>IF(AC2058="","",IFERROR(INDEX(ctaTipo,MATCH(AC2058,ctaNombre,0))&amp;"",""))</f>
        <v/>
      </c>
      <c r="AF2058" s="53">
        <f>IF(OR(P2058="",AB2058=""),"",IF(OR(P2058="Gasto",P2058="Transferencia",P2058="Pago tarjeta"),-1,1)*IF(IFERROR(INDEX(ctaMoneda,MATCH(AB2058,ctaNombre,0))&amp;"","DOP")="USD",T2058,S2058))</f>
        <v/>
      </c>
      <c r="AG2058" s="53">
        <f>IF(AC2058="","",IF(IFERROR(INDEX(ctaMoneda,MATCH(AC2058,ctaNombre,0))&amp;"","DOP")="USD",T2058,S2058))</f>
        <v/>
      </c>
      <c r="AH2058" s="53">
        <f>IF(P2058="","",IF(AND(AD2058&lt;&gt;"",COUNTIFS(tcTipo,AD2058,tcLiq,"Sí")&gt;0),IF(OR(P2058="Gasto",P2058="Transferencia",P2058="Pago tarjeta"),-1,1)*S2058,0)+IF(AND(AE2058&lt;&gt;"",COUNTIFS(tcTipo,AE2058,tcLiq,"Sí")&gt;0),S2058,0))</f>
        <v/>
      </c>
      <c r="AI2058" s="52">
        <f>IF(OR(L2058="",P2058=""),"",IF(COUNTIFS(L$6:L2058,L2058,P$6:P2058,"?*")=1,MAX(AI$5:AI2057)+1,""))</f>
        <v/>
      </c>
    </row>
    <row r="2059">
      <c r="B2059" s="47" t="n"/>
      <c r="C2059" s="48" t="n"/>
      <c r="D2059" s="48" t="n"/>
      <c r="E2059" s="48" t="n"/>
      <c r="F2059" s="48" t="n"/>
      <c r="G2059" s="49" t="n"/>
      <c r="H2059" s="48" t="n"/>
      <c r="I2059" s="50" t="n"/>
      <c r="J2059" s="48" t="n"/>
      <c r="K2059" s="48" t="n"/>
      <c r="L2059" s="48" t="n"/>
      <c r="M2059" s="48" t="n"/>
      <c r="N2059" s="48" t="n"/>
      <c r="O2059" s="51">
        <f>IF(AND(B2059="",G2059="",C2059="",D2059="",J2059=""),"",IF(B2059="","⚠ Falta fecha",IF(G2059="","⚠ Falta monto",IF(Q2059="","⚠ Falta cuenta",IF(ISNA(MATCH(Q2059,ctaNombre,0)),"⚠ Cuenta no registrada",IF(AND(OR(P2059="Gasto",P2059="Reembolso"),D2059=""),"⚠ Falta categoría",IF(AND(D2059&lt;&gt;"",E2059&lt;&gt;"",ISNA(MATCH(D2059&amp;"|"&amp;E2059,catClave,0))),"⚠ Subcategoría no corresponde",IF(AND(OR(P2059="Transferencia",P2059="Pago tarjeta"),K2059=""),"⚠ Falta cuenta destino",IF(AND(K2059&lt;&gt;"",P2059&lt;&gt;"Transferencia",P2059&lt;&gt;"Pago tarjeta"),"⚠ Destino solo aplica a transferencias",IF(AND(K2059&lt;&gt;"",K2059=Q2059),"⚠ Origen igual a destino",IF(AND(K2059&lt;&gt;"",ISNA(MATCH(K2059,ctaNombre,0))),"⚠ Destino no registrado",IF(AND(P2059="Pago tarjeta",AE2059&lt;&gt;"Tarjeta de crédito"),"⚠ El destino debe ser tarjeta de crédito",IF(AND(P2059="Gasto",E2059="Depósitos y retiros"),"⚠ Usa tipo Transferencia",IF(AND(P2059="Resultado trading",AD2059&lt;&gt;"Cuenta de trading"),"⚠ Usa una cuenta de trading",IF(AND(G2059&lt;=0,P2059&lt;&gt;"Ajuste",P2059&lt;&gt;"Resultado trading"),"⚠ El monto debe ser positivo","✓")))))))))))))))</f>
        <v/>
      </c>
      <c r="P2059" s="52">
        <f>IF(OR(B2059="",G2059=""),"",IF(C2059="","Gasto",C2059))</f>
        <v/>
      </c>
      <c r="Q2059" s="52">
        <f>IF(P2059="","",IF(J2059&lt;&gt;"",J2059,CuentaPred&amp;""))</f>
        <v/>
      </c>
      <c r="R2059" s="52">
        <f>IF(P2059="","",IF(ISNUMBER(I2059),I2059,TasaUSD))</f>
        <v/>
      </c>
      <c r="S2059" s="53">
        <f>IF(P2059="","",IF(H2059="USD",G2059*R2059,G2059))</f>
        <v/>
      </c>
      <c r="T2059" s="53">
        <f>IF(P2059="","",IF(H2059="USD",G2059,IF(R2059&gt;0,G2059/R2059,0)))</f>
        <v/>
      </c>
      <c r="U2059" s="53">
        <f>IF(P2059="","",IF(P2059="Gasto",S2059,IF(P2059="Reembolso",-S2059,0)))</f>
        <v/>
      </c>
      <c r="V2059" s="53">
        <f>IF(P2059="","",IF(P2059="Ingreso",S2059,0))</f>
        <v/>
      </c>
      <c r="W2059" s="53">
        <f>IF(P2059="","",IF(P2059="Resultado trading",S2059,0))</f>
        <v/>
      </c>
      <c r="X2059" s="52">
        <f>IF(OR(P2059="Gasto",P2059="Reembolso"),IF(M2059&lt;&gt;"",M2059,IFERROR(INDEX(catClasif,MATCH(D2059&amp;"|"&amp;E2059,catClave,0))&amp;"","Variable")),"")</f>
        <v/>
      </c>
      <c r="Y2059" s="52">
        <f>IF(P2059="","",IFERROR(INDEX(catGrupo,MATCH(D2059&amp;"|"&amp;E2059,catClave,0))&amp;"",""))</f>
        <v/>
      </c>
      <c r="Z2059" s="52">
        <f>IF(P2059="","",WEEKDAY(B2059,2))</f>
        <v/>
      </c>
      <c r="AA2059" s="52">
        <f>IF(P2059="","",IF(AND(P2059="Gasto",X2059="Variable",D2059&lt;&gt;catTrading,S2059&gt;0,S2059&lt;=Umbral),1,0))</f>
        <v/>
      </c>
      <c r="AB2059" s="52">
        <f>IF(OR(P2059="",Q2059=""),"",IFERROR(IF(INDEX(ctaVinc,MATCH(Q2059,ctaNombre,0))&amp;""&lt;&gt;"",INDEX(ctaVinc,MATCH(Q2059,ctaNombre,0))&amp;"",Q2059),Q2059))</f>
        <v/>
      </c>
      <c r="AC2059" s="52">
        <f>IF(OR(K2059="",AND(P2059&lt;&gt;"Transferencia",P2059&lt;&gt;"Pago tarjeta")),"",IFERROR(IF(INDEX(ctaVinc,MATCH(K2059,ctaNombre,0))&amp;""&lt;&gt;"",INDEX(ctaVinc,MATCH(K2059,ctaNombre,0))&amp;"",K2059),K2059))</f>
        <v/>
      </c>
      <c r="AD2059" s="52">
        <f>IF(AB2059="","",IFERROR(INDEX(ctaTipo,MATCH(AB2059,ctaNombre,0))&amp;"",""))</f>
        <v/>
      </c>
      <c r="AE2059" s="52">
        <f>IF(AC2059="","",IFERROR(INDEX(ctaTipo,MATCH(AC2059,ctaNombre,0))&amp;"",""))</f>
        <v/>
      </c>
      <c r="AF2059" s="53">
        <f>IF(OR(P2059="",AB2059=""),"",IF(OR(P2059="Gasto",P2059="Transferencia",P2059="Pago tarjeta"),-1,1)*IF(IFERROR(INDEX(ctaMoneda,MATCH(AB2059,ctaNombre,0))&amp;"","DOP")="USD",T2059,S2059))</f>
        <v/>
      </c>
      <c r="AG2059" s="53">
        <f>IF(AC2059="","",IF(IFERROR(INDEX(ctaMoneda,MATCH(AC2059,ctaNombre,0))&amp;"","DOP")="USD",T2059,S2059))</f>
        <v/>
      </c>
      <c r="AH2059" s="53">
        <f>IF(P2059="","",IF(AND(AD2059&lt;&gt;"",COUNTIFS(tcTipo,AD2059,tcLiq,"Sí")&gt;0),IF(OR(P2059="Gasto",P2059="Transferencia",P2059="Pago tarjeta"),-1,1)*S2059,0)+IF(AND(AE2059&lt;&gt;"",COUNTIFS(tcTipo,AE2059,tcLiq,"Sí")&gt;0),S2059,0))</f>
        <v/>
      </c>
      <c r="AI2059" s="52">
        <f>IF(OR(L2059="",P2059=""),"",IF(COUNTIFS(L$6:L2059,L2059,P$6:P2059,"?*")=1,MAX(AI$5:AI2058)+1,""))</f>
        <v/>
      </c>
    </row>
    <row r="2060">
      <c r="B2060" s="47" t="n"/>
      <c r="C2060" s="48" t="n"/>
      <c r="D2060" s="48" t="n"/>
      <c r="E2060" s="48" t="n"/>
      <c r="F2060" s="48" t="n"/>
      <c r="G2060" s="49" t="n"/>
      <c r="H2060" s="48" t="n"/>
      <c r="I2060" s="50" t="n"/>
      <c r="J2060" s="48" t="n"/>
      <c r="K2060" s="48" t="n"/>
      <c r="L2060" s="48" t="n"/>
      <c r="M2060" s="48" t="n"/>
      <c r="N2060" s="48" t="n"/>
      <c r="O2060" s="51">
        <f>IF(AND(B2060="",G2060="",C2060="",D2060="",J2060=""),"",IF(B2060="","⚠ Falta fecha",IF(G2060="","⚠ Falta monto",IF(Q2060="","⚠ Falta cuenta",IF(ISNA(MATCH(Q2060,ctaNombre,0)),"⚠ Cuenta no registrada",IF(AND(OR(P2060="Gasto",P2060="Reembolso"),D2060=""),"⚠ Falta categoría",IF(AND(D2060&lt;&gt;"",E2060&lt;&gt;"",ISNA(MATCH(D2060&amp;"|"&amp;E2060,catClave,0))),"⚠ Subcategoría no corresponde",IF(AND(OR(P2060="Transferencia",P2060="Pago tarjeta"),K2060=""),"⚠ Falta cuenta destino",IF(AND(K2060&lt;&gt;"",P2060&lt;&gt;"Transferencia",P2060&lt;&gt;"Pago tarjeta"),"⚠ Destino solo aplica a transferencias",IF(AND(K2060&lt;&gt;"",K2060=Q2060),"⚠ Origen igual a destino",IF(AND(K2060&lt;&gt;"",ISNA(MATCH(K2060,ctaNombre,0))),"⚠ Destino no registrado",IF(AND(P2060="Pago tarjeta",AE2060&lt;&gt;"Tarjeta de crédito"),"⚠ El destino debe ser tarjeta de crédito",IF(AND(P2060="Gasto",E2060="Depósitos y retiros"),"⚠ Usa tipo Transferencia",IF(AND(P2060="Resultado trading",AD2060&lt;&gt;"Cuenta de trading"),"⚠ Usa una cuenta de trading",IF(AND(G2060&lt;=0,P2060&lt;&gt;"Ajuste",P2060&lt;&gt;"Resultado trading"),"⚠ El monto debe ser positivo","✓")))))))))))))))</f>
        <v/>
      </c>
      <c r="P2060" s="52">
        <f>IF(OR(B2060="",G2060=""),"",IF(C2060="","Gasto",C2060))</f>
        <v/>
      </c>
      <c r="Q2060" s="52">
        <f>IF(P2060="","",IF(J2060&lt;&gt;"",J2060,CuentaPred&amp;""))</f>
        <v/>
      </c>
      <c r="R2060" s="52">
        <f>IF(P2060="","",IF(ISNUMBER(I2060),I2060,TasaUSD))</f>
        <v/>
      </c>
      <c r="S2060" s="53">
        <f>IF(P2060="","",IF(H2060="USD",G2060*R2060,G2060))</f>
        <v/>
      </c>
      <c r="T2060" s="53">
        <f>IF(P2060="","",IF(H2060="USD",G2060,IF(R2060&gt;0,G2060/R2060,0)))</f>
        <v/>
      </c>
      <c r="U2060" s="53">
        <f>IF(P2060="","",IF(P2060="Gasto",S2060,IF(P2060="Reembolso",-S2060,0)))</f>
        <v/>
      </c>
      <c r="V2060" s="53">
        <f>IF(P2060="","",IF(P2060="Ingreso",S2060,0))</f>
        <v/>
      </c>
      <c r="W2060" s="53">
        <f>IF(P2060="","",IF(P2060="Resultado trading",S2060,0))</f>
        <v/>
      </c>
      <c r="X2060" s="52">
        <f>IF(OR(P2060="Gasto",P2060="Reembolso"),IF(M2060&lt;&gt;"",M2060,IFERROR(INDEX(catClasif,MATCH(D2060&amp;"|"&amp;E2060,catClave,0))&amp;"","Variable")),"")</f>
        <v/>
      </c>
      <c r="Y2060" s="52">
        <f>IF(P2060="","",IFERROR(INDEX(catGrupo,MATCH(D2060&amp;"|"&amp;E2060,catClave,0))&amp;"",""))</f>
        <v/>
      </c>
      <c r="Z2060" s="52">
        <f>IF(P2060="","",WEEKDAY(B2060,2))</f>
        <v/>
      </c>
      <c r="AA2060" s="52">
        <f>IF(P2060="","",IF(AND(P2060="Gasto",X2060="Variable",D2060&lt;&gt;catTrading,S2060&gt;0,S2060&lt;=Umbral),1,0))</f>
        <v/>
      </c>
      <c r="AB2060" s="52">
        <f>IF(OR(P2060="",Q2060=""),"",IFERROR(IF(INDEX(ctaVinc,MATCH(Q2060,ctaNombre,0))&amp;""&lt;&gt;"",INDEX(ctaVinc,MATCH(Q2060,ctaNombre,0))&amp;"",Q2060),Q2060))</f>
        <v/>
      </c>
      <c r="AC2060" s="52">
        <f>IF(OR(K2060="",AND(P2060&lt;&gt;"Transferencia",P2060&lt;&gt;"Pago tarjeta")),"",IFERROR(IF(INDEX(ctaVinc,MATCH(K2060,ctaNombre,0))&amp;""&lt;&gt;"",INDEX(ctaVinc,MATCH(K2060,ctaNombre,0))&amp;"",K2060),K2060))</f>
        <v/>
      </c>
      <c r="AD2060" s="52">
        <f>IF(AB2060="","",IFERROR(INDEX(ctaTipo,MATCH(AB2060,ctaNombre,0))&amp;"",""))</f>
        <v/>
      </c>
      <c r="AE2060" s="52">
        <f>IF(AC2060="","",IFERROR(INDEX(ctaTipo,MATCH(AC2060,ctaNombre,0))&amp;"",""))</f>
        <v/>
      </c>
      <c r="AF2060" s="53">
        <f>IF(OR(P2060="",AB2060=""),"",IF(OR(P2060="Gasto",P2060="Transferencia",P2060="Pago tarjeta"),-1,1)*IF(IFERROR(INDEX(ctaMoneda,MATCH(AB2060,ctaNombre,0))&amp;"","DOP")="USD",T2060,S2060))</f>
        <v/>
      </c>
      <c r="AG2060" s="53">
        <f>IF(AC2060="","",IF(IFERROR(INDEX(ctaMoneda,MATCH(AC2060,ctaNombre,0))&amp;"","DOP")="USD",T2060,S2060))</f>
        <v/>
      </c>
      <c r="AH2060" s="53">
        <f>IF(P2060="","",IF(AND(AD2060&lt;&gt;"",COUNTIFS(tcTipo,AD2060,tcLiq,"Sí")&gt;0),IF(OR(P2060="Gasto",P2060="Transferencia",P2060="Pago tarjeta"),-1,1)*S2060,0)+IF(AND(AE2060&lt;&gt;"",COUNTIFS(tcTipo,AE2060,tcLiq,"Sí")&gt;0),S2060,0))</f>
        <v/>
      </c>
      <c r="AI2060" s="52">
        <f>IF(OR(L2060="",P2060=""),"",IF(COUNTIFS(L$6:L2060,L2060,P$6:P2060,"?*")=1,MAX(AI$5:AI2059)+1,""))</f>
        <v/>
      </c>
    </row>
    <row r="2061">
      <c r="B2061" s="47" t="n"/>
      <c r="C2061" s="48" t="n"/>
      <c r="D2061" s="48" t="n"/>
      <c r="E2061" s="48" t="n"/>
      <c r="F2061" s="48" t="n"/>
      <c r="G2061" s="49" t="n"/>
      <c r="H2061" s="48" t="n"/>
      <c r="I2061" s="50" t="n"/>
      <c r="J2061" s="48" t="n"/>
      <c r="K2061" s="48" t="n"/>
      <c r="L2061" s="48" t="n"/>
      <c r="M2061" s="48" t="n"/>
      <c r="N2061" s="48" t="n"/>
      <c r="O2061" s="51">
        <f>IF(AND(B2061="",G2061="",C2061="",D2061="",J2061=""),"",IF(B2061="","⚠ Falta fecha",IF(G2061="","⚠ Falta monto",IF(Q2061="","⚠ Falta cuenta",IF(ISNA(MATCH(Q2061,ctaNombre,0)),"⚠ Cuenta no registrada",IF(AND(OR(P2061="Gasto",P2061="Reembolso"),D2061=""),"⚠ Falta categoría",IF(AND(D2061&lt;&gt;"",E2061&lt;&gt;"",ISNA(MATCH(D2061&amp;"|"&amp;E2061,catClave,0))),"⚠ Subcategoría no corresponde",IF(AND(OR(P2061="Transferencia",P2061="Pago tarjeta"),K2061=""),"⚠ Falta cuenta destino",IF(AND(K2061&lt;&gt;"",P2061&lt;&gt;"Transferencia",P2061&lt;&gt;"Pago tarjeta"),"⚠ Destino solo aplica a transferencias",IF(AND(K2061&lt;&gt;"",K2061=Q2061),"⚠ Origen igual a destino",IF(AND(K2061&lt;&gt;"",ISNA(MATCH(K2061,ctaNombre,0))),"⚠ Destino no registrado",IF(AND(P2061="Pago tarjeta",AE2061&lt;&gt;"Tarjeta de crédito"),"⚠ El destino debe ser tarjeta de crédito",IF(AND(P2061="Gasto",E2061="Depósitos y retiros"),"⚠ Usa tipo Transferencia",IF(AND(P2061="Resultado trading",AD2061&lt;&gt;"Cuenta de trading"),"⚠ Usa una cuenta de trading",IF(AND(G2061&lt;=0,P2061&lt;&gt;"Ajuste",P2061&lt;&gt;"Resultado trading"),"⚠ El monto debe ser positivo","✓")))))))))))))))</f>
        <v/>
      </c>
      <c r="P2061" s="52">
        <f>IF(OR(B2061="",G2061=""),"",IF(C2061="","Gasto",C2061))</f>
        <v/>
      </c>
      <c r="Q2061" s="52">
        <f>IF(P2061="","",IF(J2061&lt;&gt;"",J2061,CuentaPred&amp;""))</f>
        <v/>
      </c>
      <c r="R2061" s="52">
        <f>IF(P2061="","",IF(ISNUMBER(I2061),I2061,TasaUSD))</f>
        <v/>
      </c>
      <c r="S2061" s="53">
        <f>IF(P2061="","",IF(H2061="USD",G2061*R2061,G2061))</f>
        <v/>
      </c>
      <c r="T2061" s="53">
        <f>IF(P2061="","",IF(H2061="USD",G2061,IF(R2061&gt;0,G2061/R2061,0)))</f>
        <v/>
      </c>
      <c r="U2061" s="53">
        <f>IF(P2061="","",IF(P2061="Gasto",S2061,IF(P2061="Reembolso",-S2061,0)))</f>
        <v/>
      </c>
      <c r="V2061" s="53">
        <f>IF(P2061="","",IF(P2061="Ingreso",S2061,0))</f>
        <v/>
      </c>
      <c r="W2061" s="53">
        <f>IF(P2061="","",IF(P2061="Resultado trading",S2061,0))</f>
        <v/>
      </c>
      <c r="X2061" s="52">
        <f>IF(OR(P2061="Gasto",P2061="Reembolso"),IF(M2061&lt;&gt;"",M2061,IFERROR(INDEX(catClasif,MATCH(D2061&amp;"|"&amp;E2061,catClave,0))&amp;"","Variable")),"")</f>
        <v/>
      </c>
      <c r="Y2061" s="52">
        <f>IF(P2061="","",IFERROR(INDEX(catGrupo,MATCH(D2061&amp;"|"&amp;E2061,catClave,0))&amp;"",""))</f>
        <v/>
      </c>
      <c r="Z2061" s="52">
        <f>IF(P2061="","",WEEKDAY(B2061,2))</f>
        <v/>
      </c>
      <c r="AA2061" s="52">
        <f>IF(P2061="","",IF(AND(P2061="Gasto",X2061="Variable",D2061&lt;&gt;catTrading,S2061&gt;0,S2061&lt;=Umbral),1,0))</f>
        <v/>
      </c>
      <c r="AB2061" s="52">
        <f>IF(OR(P2061="",Q2061=""),"",IFERROR(IF(INDEX(ctaVinc,MATCH(Q2061,ctaNombre,0))&amp;""&lt;&gt;"",INDEX(ctaVinc,MATCH(Q2061,ctaNombre,0))&amp;"",Q2061),Q2061))</f>
        <v/>
      </c>
      <c r="AC2061" s="52">
        <f>IF(OR(K2061="",AND(P2061&lt;&gt;"Transferencia",P2061&lt;&gt;"Pago tarjeta")),"",IFERROR(IF(INDEX(ctaVinc,MATCH(K2061,ctaNombre,0))&amp;""&lt;&gt;"",INDEX(ctaVinc,MATCH(K2061,ctaNombre,0))&amp;"",K2061),K2061))</f>
        <v/>
      </c>
      <c r="AD2061" s="52">
        <f>IF(AB2061="","",IFERROR(INDEX(ctaTipo,MATCH(AB2061,ctaNombre,0))&amp;"",""))</f>
        <v/>
      </c>
      <c r="AE2061" s="52">
        <f>IF(AC2061="","",IFERROR(INDEX(ctaTipo,MATCH(AC2061,ctaNombre,0))&amp;"",""))</f>
        <v/>
      </c>
      <c r="AF2061" s="53">
        <f>IF(OR(P2061="",AB2061=""),"",IF(OR(P2061="Gasto",P2061="Transferencia",P2061="Pago tarjeta"),-1,1)*IF(IFERROR(INDEX(ctaMoneda,MATCH(AB2061,ctaNombre,0))&amp;"","DOP")="USD",T2061,S2061))</f>
        <v/>
      </c>
      <c r="AG2061" s="53">
        <f>IF(AC2061="","",IF(IFERROR(INDEX(ctaMoneda,MATCH(AC2061,ctaNombre,0))&amp;"","DOP")="USD",T2061,S2061))</f>
        <v/>
      </c>
      <c r="AH2061" s="53">
        <f>IF(P2061="","",IF(AND(AD2061&lt;&gt;"",COUNTIFS(tcTipo,AD2061,tcLiq,"Sí")&gt;0),IF(OR(P2061="Gasto",P2061="Transferencia",P2061="Pago tarjeta"),-1,1)*S2061,0)+IF(AND(AE2061&lt;&gt;"",COUNTIFS(tcTipo,AE2061,tcLiq,"Sí")&gt;0),S2061,0))</f>
        <v/>
      </c>
      <c r="AI2061" s="52">
        <f>IF(OR(L2061="",P2061=""),"",IF(COUNTIFS(L$6:L2061,L2061,P$6:P2061,"?*")=1,MAX(AI$5:AI2060)+1,""))</f>
        <v/>
      </c>
    </row>
    <row r="2062">
      <c r="B2062" s="47" t="n"/>
      <c r="C2062" s="48" t="n"/>
      <c r="D2062" s="48" t="n"/>
      <c r="E2062" s="48" t="n"/>
      <c r="F2062" s="48" t="n"/>
      <c r="G2062" s="49" t="n"/>
      <c r="H2062" s="48" t="n"/>
      <c r="I2062" s="50" t="n"/>
      <c r="J2062" s="48" t="n"/>
      <c r="K2062" s="48" t="n"/>
      <c r="L2062" s="48" t="n"/>
      <c r="M2062" s="48" t="n"/>
      <c r="N2062" s="48" t="n"/>
      <c r="O2062" s="51">
        <f>IF(AND(B2062="",G2062="",C2062="",D2062="",J2062=""),"",IF(B2062="","⚠ Falta fecha",IF(G2062="","⚠ Falta monto",IF(Q2062="","⚠ Falta cuenta",IF(ISNA(MATCH(Q2062,ctaNombre,0)),"⚠ Cuenta no registrada",IF(AND(OR(P2062="Gasto",P2062="Reembolso"),D2062=""),"⚠ Falta categoría",IF(AND(D2062&lt;&gt;"",E2062&lt;&gt;"",ISNA(MATCH(D2062&amp;"|"&amp;E2062,catClave,0))),"⚠ Subcategoría no corresponde",IF(AND(OR(P2062="Transferencia",P2062="Pago tarjeta"),K2062=""),"⚠ Falta cuenta destino",IF(AND(K2062&lt;&gt;"",P2062&lt;&gt;"Transferencia",P2062&lt;&gt;"Pago tarjeta"),"⚠ Destino solo aplica a transferencias",IF(AND(K2062&lt;&gt;"",K2062=Q2062),"⚠ Origen igual a destino",IF(AND(K2062&lt;&gt;"",ISNA(MATCH(K2062,ctaNombre,0))),"⚠ Destino no registrado",IF(AND(P2062="Pago tarjeta",AE2062&lt;&gt;"Tarjeta de crédito"),"⚠ El destino debe ser tarjeta de crédito",IF(AND(P2062="Gasto",E2062="Depósitos y retiros"),"⚠ Usa tipo Transferencia",IF(AND(P2062="Resultado trading",AD2062&lt;&gt;"Cuenta de trading"),"⚠ Usa una cuenta de trading",IF(AND(G2062&lt;=0,P2062&lt;&gt;"Ajuste",P2062&lt;&gt;"Resultado trading"),"⚠ El monto debe ser positivo","✓")))))))))))))))</f>
        <v/>
      </c>
      <c r="P2062" s="52">
        <f>IF(OR(B2062="",G2062=""),"",IF(C2062="","Gasto",C2062))</f>
        <v/>
      </c>
      <c r="Q2062" s="52">
        <f>IF(P2062="","",IF(J2062&lt;&gt;"",J2062,CuentaPred&amp;""))</f>
        <v/>
      </c>
      <c r="R2062" s="52">
        <f>IF(P2062="","",IF(ISNUMBER(I2062),I2062,TasaUSD))</f>
        <v/>
      </c>
      <c r="S2062" s="53">
        <f>IF(P2062="","",IF(H2062="USD",G2062*R2062,G2062))</f>
        <v/>
      </c>
      <c r="T2062" s="53">
        <f>IF(P2062="","",IF(H2062="USD",G2062,IF(R2062&gt;0,G2062/R2062,0)))</f>
        <v/>
      </c>
      <c r="U2062" s="53">
        <f>IF(P2062="","",IF(P2062="Gasto",S2062,IF(P2062="Reembolso",-S2062,0)))</f>
        <v/>
      </c>
      <c r="V2062" s="53">
        <f>IF(P2062="","",IF(P2062="Ingreso",S2062,0))</f>
        <v/>
      </c>
      <c r="W2062" s="53">
        <f>IF(P2062="","",IF(P2062="Resultado trading",S2062,0))</f>
        <v/>
      </c>
      <c r="X2062" s="52">
        <f>IF(OR(P2062="Gasto",P2062="Reembolso"),IF(M2062&lt;&gt;"",M2062,IFERROR(INDEX(catClasif,MATCH(D2062&amp;"|"&amp;E2062,catClave,0))&amp;"","Variable")),"")</f>
        <v/>
      </c>
      <c r="Y2062" s="52">
        <f>IF(P2062="","",IFERROR(INDEX(catGrupo,MATCH(D2062&amp;"|"&amp;E2062,catClave,0))&amp;"",""))</f>
        <v/>
      </c>
      <c r="Z2062" s="52">
        <f>IF(P2062="","",WEEKDAY(B2062,2))</f>
        <v/>
      </c>
      <c r="AA2062" s="52">
        <f>IF(P2062="","",IF(AND(P2062="Gasto",X2062="Variable",D2062&lt;&gt;catTrading,S2062&gt;0,S2062&lt;=Umbral),1,0))</f>
        <v/>
      </c>
      <c r="AB2062" s="52">
        <f>IF(OR(P2062="",Q2062=""),"",IFERROR(IF(INDEX(ctaVinc,MATCH(Q2062,ctaNombre,0))&amp;""&lt;&gt;"",INDEX(ctaVinc,MATCH(Q2062,ctaNombre,0))&amp;"",Q2062),Q2062))</f>
        <v/>
      </c>
      <c r="AC2062" s="52">
        <f>IF(OR(K2062="",AND(P2062&lt;&gt;"Transferencia",P2062&lt;&gt;"Pago tarjeta")),"",IFERROR(IF(INDEX(ctaVinc,MATCH(K2062,ctaNombre,0))&amp;""&lt;&gt;"",INDEX(ctaVinc,MATCH(K2062,ctaNombre,0))&amp;"",K2062),K2062))</f>
        <v/>
      </c>
      <c r="AD2062" s="52">
        <f>IF(AB2062="","",IFERROR(INDEX(ctaTipo,MATCH(AB2062,ctaNombre,0))&amp;"",""))</f>
        <v/>
      </c>
      <c r="AE2062" s="52">
        <f>IF(AC2062="","",IFERROR(INDEX(ctaTipo,MATCH(AC2062,ctaNombre,0))&amp;"",""))</f>
        <v/>
      </c>
      <c r="AF2062" s="53">
        <f>IF(OR(P2062="",AB2062=""),"",IF(OR(P2062="Gasto",P2062="Transferencia",P2062="Pago tarjeta"),-1,1)*IF(IFERROR(INDEX(ctaMoneda,MATCH(AB2062,ctaNombre,0))&amp;"","DOP")="USD",T2062,S2062))</f>
        <v/>
      </c>
      <c r="AG2062" s="53">
        <f>IF(AC2062="","",IF(IFERROR(INDEX(ctaMoneda,MATCH(AC2062,ctaNombre,0))&amp;"","DOP")="USD",T2062,S2062))</f>
        <v/>
      </c>
      <c r="AH2062" s="53">
        <f>IF(P2062="","",IF(AND(AD2062&lt;&gt;"",COUNTIFS(tcTipo,AD2062,tcLiq,"Sí")&gt;0),IF(OR(P2062="Gasto",P2062="Transferencia",P2062="Pago tarjeta"),-1,1)*S2062,0)+IF(AND(AE2062&lt;&gt;"",COUNTIFS(tcTipo,AE2062,tcLiq,"Sí")&gt;0),S2062,0))</f>
        <v/>
      </c>
      <c r="AI2062" s="52">
        <f>IF(OR(L2062="",P2062=""),"",IF(COUNTIFS(L$6:L2062,L2062,P$6:P2062,"?*")=1,MAX(AI$5:AI2061)+1,""))</f>
        <v/>
      </c>
    </row>
    <row r="2063">
      <c r="B2063" s="47" t="n"/>
      <c r="C2063" s="48" t="n"/>
      <c r="D2063" s="48" t="n"/>
      <c r="E2063" s="48" t="n"/>
      <c r="F2063" s="48" t="n"/>
      <c r="G2063" s="49" t="n"/>
      <c r="H2063" s="48" t="n"/>
      <c r="I2063" s="50" t="n"/>
      <c r="J2063" s="48" t="n"/>
      <c r="K2063" s="48" t="n"/>
      <c r="L2063" s="48" t="n"/>
      <c r="M2063" s="48" t="n"/>
      <c r="N2063" s="48" t="n"/>
      <c r="O2063" s="51">
        <f>IF(AND(B2063="",G2063="",C2063="",D2063="",J2063=""),"",IF(B2063="","⚠ Falta fecha",IF(G2063="","⚠ Falta monto",IF(Q2063="","⚠ Falta cuenta",IF(ISNA(MATCH(Q2063,ctaNombre,0)),"⚠ Cuenta no registrada",IF(AND(OR(P2063="Gasto",P2063="Reembolso"),D2063=""),"⚠ Falta categoría",IF(AND(D2063&lt;&gt;"",E2063&lt;&gt;"",ISNA(MATCH(D2063&amp;"|"&amp;E2063,catClave,0))),"⚠ Subcategoría no corresponde",IF(AND(OR(P2063="Transferencia",P2063="Pago tarjeta"),K2063=""),"⚠ Falta cuenta destino",IF(AND(K2063&lt;&gt;"",P2063&lt;&gt;"Transferencia",P2063&lt;&gt;"Pago tarjeta"),"⚠ Destino solo aplica a transferencias",IF(AND(K2063&lt;&gt;"",K2063=Q2063),"⚠ Origen igual a destino",IF(AND(K2063&lt;&gt;"",ISNA(MATCH(K2063,ctaNombre,0))),"⚠ Destino no registrado",IF(AND(P2063="Pago tarjeta",AE2063&lt;&gt;"Tarjeta de crédito"),"⚠ El destino debe ser tarjeta de crédito",IF(AND(P2063="Gasto",E2063="Depósitos y retiros"),"⚠ Usa tipo Transferencia",IF(AND(P2063="Resultado trading",AD2063&lt;&gt;"Cuenta de trading"),"⚠ Usa una cuenta de trading",IF(AND(G2063&lt;=0,P2063&lt;&gt;"Ajuste",P2063&lt;&gt;"Resultado trading"),"⚠ El monto debe ser positivo","✓")))))))))))))))</f>
        <v/>
      </c>
      <c r="P2063" s="52">
        <f>IF(OR(B2063="",G2063=""),"",IF(C2063="","Gasto",C2063))</f>
        <v/>
      </c>
      <c r="Q2063" s="52">
        <f>IF(P2063="","",IF(J2063&lt;&gt;"",J2063,CuentaPred&amp;""))</f>
        <v/>
      </c>
      <c r="R2063" s="52">
        <f>IF(P2063="","",IF(ISNUMBER(I2063),I2063,TasaUSD))</f>
        <v/>
      </c>
      <c r="S2063" s="53">
        <f>IF(P2063="","",IF(H2063="USD",G2063*R2063,G2063))</f>
        <v/>
      </c>
      <c r="T2063" s="53">
        <f>IF(P2063="","",IF(H2063="USD",G2063,IF(R2063&gt;0,G2063/R2063,0)))</f>
        <v/>
      </c>
      <c r="U2063" s="53">
        <f>IF(P2063="","",IF(P2063="Gasto",S2063,IF(P2063="Reembolso",-S2063,0)))</f>
        <v/>
      </c>
      <c r="V2063" s="53">
        <f>IF(P2063="","",IF(P2063="Ingreso",S2063,0))</f>
        <v/>
      </c>
      <c r="W2063" s="53">
        <f>IF(P2063="","",IF(P2063="Resultado trading",S2063,0))</f>
        <v/>
      </c>
      <c r="X2063" s="52">
        <f>IF(OR(P2063="Gasto",P2063="Reembolso"),IF(M2063&lt;&gt;"",M2063,IFERROR(INDEX(catClasif,MATCH(D2063&amp;"|"&amp;E2063,catClave,0))&amp;"","Variable")),"")</f>
        <v/>
      </c>
      <c r="Y2063" s="52">
        <f>IF(P2063="","",IFERROR(INDEX(catGrupo,MATCH(D2063&amp;"|"&amp;E2063,catClave,0))&amp;"",""))</f>
        <v/>
      </c>
      <c r="Z2063" s="52">
        <f>IF(P2063="","",WEEKDAY(B2063,2))</f>
        <v/>
      </c>
      <c r="AA2063" s="52">
        <f>IF(P2063="","",IF(AND(P2063="Gasto",X2063="Variable",D2063&lt;&gt;catTrading,S2063&gt;0,S2063&lt;=Umbral),1,0))</f>
        <v/>
      </c>
      <c r="AB2063" s="52">
        <f>IF(OR(P2063="",Q2063=""),"",IFERROR(IF(INDEX(ctaVinc,MATCH(Q2063,ctaNombre,0))&amp;""&lt;&gt;"",INDEX(ctaVinc,MATCH(Q2063,ctaNombre,0))&amp;"",Q2063),Q2063))</f>
        <v/>
      </c>
      <c r="AC2063" s="52">
        <f>IF(OR(K2063="",AND(P2063&lt;&gt;"Transferencia",P2063&lt;&gt;"Pago tarjeta")),"",IFERROR(IF(INDEX(ctaVinc,MATCH(K2063,ctaNombre,0))&amp;""&lt;&gt;"",INDEX(ctaVinc,MATCH(K2063,ctaNombre,0))&amp;"",K2063),K2063))</f>
        <v/>
      </c>
      <c r="AD2063" s="52">
        <f>IF(AB2063="","",IFERROR(INDEX(ctaTipo,MATCH(AB2063,ctaNombre,0))&amp;"",""))</f>
        <v/>
      </c>
      <c r="AE2063" s="52">
        <f>IF(AC2063="","",IFERROR(INDEX(ctaTipo,MATCH(AC2063,ctaNombre,0))&amp;"",""))</f>
        <v/>
      </c>
      <c r="AF2063" s="53">
        <f>IF(OR(P2063="",AB2063=""),"",IF(OR(P2063="Gasto",P2063="Transferencia",P2063="Pago tarjeta"),-1,1)*IF(IFERROR(INDEX(ctaMoneda,MATCH(AB2063,ctaNombre,0))&amp;"","DOP")="USD",T2063,S2063))</f>
        <v/>
      </c>
      <c r="AG2063" s="53">
        <f>IF(AC2063="","",IF(IFERROR(INDEX(ctaMoneda,MATCH(AC2063,ctaNombre,0))&amp;"","DOP")="USD",T2063,S2063))</f>
        <v/>
      </c>
      <c r="AH2063" s="53">
        <f>IF(P2063="","",IF(AND(AD2063&lt;&gt;"",COUNTIFS(tcTipo,AD2063,tcLiq,"Sí")&gt;0),IF(OR(P2063="Gasto",P2063="Transferencia",P2063="Pago tarjeta"),-1,1)*S2063,0)+IF(AND(AE2063&lt;&gt;"",COUNTIFS(tcTipo,AE2063,tcLiq,"Sí")&gt;0),S2063,0))</f>
        <v/>
      </c>
      <c r="AI2063" s="52">
        <f>IF(OR(L2063="",P2063=""),"",IF(COUNTIFS(L$6:L2063,L2063,P$6:P2063,"?*")=1,MAX(AI$5:AI2062)+1,""))</f>
        <v/>
      </c>
    </row>
    <row r="2064">
      <c r="B2064" s="47" t="n"/>
      <c r="C2064" s="48" t="n"/>
      <c r="D2064" s="48" t="n"/>
      <c r="E2064" s="48" t="n"/>
      <c r="F2064" s="48" t="n"/>
      <c r="G2064" s="49" t="n"/>
      <c r="H2064" s="48" t="n"/>
      <c r="I2064" s="50" t="n"/>
      <c r="J2064" s="48" t="n"/>
      <c r="K2064" s="48" t="n"/>
      <c r="L2064" s="48" t="n"/>
      <c r="M2064" s="48" t="n"/>
      <c r="N2064" s="48" t="n"/>
      <c r="O2064" s="51">
        <f>IF(AND(B2064="",G2064="",C2064="",D2064="",J2064=""),"",IF(B2064="","⚠ Falta fecha",IF(G2064="","⚠ Falta monto",IF(Q2064="","⚠ Falta cuenta",IF(ISNA(MATCH(Q2064,ctaNombre,0)),"⚠ Cuenta no registrada",IF(AND(OR(P2064="Gasto",P2064="Reembolso"),D2064=""),"⚠ Falta categoría",IF(AND(D2064&lt;&gt;"",E2064&lt;&gt;"",ISNA(MATCH(D2064&amp;"|"&amp;E2064,catClave,0))),"⚠ Subcategoría no corresponde",IF(AND(OR(P2064="Transferencia",P2064="Pago tarjeta"),K2064=""),"⚠ Falta cuenta destino",IF(AND(K2064&lt;&gt;"",P2064&lt;&gt;"Transferencia",P2064&lt;&gt;"Pago tarjeta"),"⚠ Destino solo aplica a transferencias",IF(AND(K2064&lt;&gt;"",K2064=Q2064),"⚠ Origen igual a destino",IF(AND(K2064&lt;&gt;"",ISNA(MATCH(K2064,ctaNombre,0))),"⚠ Destino no registrado",IF(AND(P2064="Pago tarjeta",AE2064&lt;&gt;"Tarjeta de crédito"),"⚠ El destino debe ser tarjeta de crédito",IF(AND(P2064="Gasto",E2064="Depósitos y retiros"),"⚠ Usa tipo Transferencia",IF(AND(P2064="Resultado trading",AD2064&lt;&gt;"Cuenta de trading"),"⚠ Usa una cuenta de trading",IF(AND(G2064&lt;=0,P2064&lt;&gt;"Ajuste",P2064&lt;&gt;"Resultado trading"),"⚠ El monto debe ser positivo","✓")))))))))))))))</f>
        <v/>
      </c>
      <c r="P2064" s="52">
        <f>IF(OR(B2064="",G2064=""),"",IF(C2064="","Gasto",C2064))</f>
        <v/>
      </c>
      <c r="Q2064" s="52">
        <f>IF(P2064="","",IF(J2064&lt;&gt;"",J2064,CuentaPred&amp;""))</f>
        <v/>
      </c>
      <c r="R2064" s="52">
        <f>IF(P2064="","",IF(ISNUMBER(I2064),I2064,TasaUSD))</f>
        <v/>
      </c>
      <c r="S2064" s="53">
        <f>IF(P2064="","",IF(H2064="USD",G2064*R2064,G2064))</f>
        <v/>
      </c>
      <c r="T2064" s="53">
        <f>IF(P2064="","",IF(H2064="USD",G2064,IF(R2064&gt;0,G2064/R2064,0)))</f>
        <v/>
      </c>
      <c r="U2064" s="53">
        <f>IF(P2064="","",IF(P2064="Gasto",S2064,IF(P2064="Reembolso",-S2064,0)))</f>
        <v/>
      </c>
      <c r="V2064" s="53">
        <f>IF(P2064="","",IF(P2064="Ingreso",S2064,0))</f>
        <v/>
      </c>
      <c r="W2064" s="53">
        <f>IF(P2064="","",IF(P2064="Resultado trading",S2064,0))</f>
        <v/>
      </c>
      <c r="X2064" s="52">
        <f>IF(OR(P2064="Gasto",P2064="Reembolso"),IF(M2064&lt;&gt;"",M2064,IFERROR(INDEX(catClasif,MATCH(D2064&amp;"|"&amp;E2064,catClave,0))&amp;"","Variable")),"")</f>
        <v/>
      </c>
      <c r="Y2064" s="52">
        <f>IF(P2064="","",IFERROR(INDEX(catGrupo,MATCH(D2064&amp;"|"&amp;E2064,catClave,0))&amp;"",""))</f>
        <v/>
      </c>
      <c r="Z2064" s="52">
        <f>IF(P2064="","",WEEKDAY(B2064,2))</f>
        <v/>
      </c>
      <c r="AA2064" s="52">
        <f>IF(P2064="","",IF(AND(P2064="Gasto",X2064="Variable",D2064&lt;&gt;catTrading,S2064&gt;0,S2064&lt;=Umbral),1,0))</f>
        <v/>
      </c>
      <c r="AB2064" s="52">
        <f>IF(OR(P2064="",Q2064=""),"",IFERROR(IF(INDEX(ctaVinc,MATCH(Q2064,ctaNombre,0))&amp;""&lt;&gt;"",INDEX(ctaVinc,MATCH(Q2064,ctaNombre,0))&amp;"",Q2064),Q2064))</f>
        <v/>
      </c>
      <c r="AC2064" s="52">
        <f>IF(OR(K2064="",AND(P2064&lt;&gt;"Transferencia",P2064&lt;&gt;"Pago tarjeta")),"",IFERROR(IF(INDEX(ctaVinc,MATCH(K2064,ctaNombre,0))&amp;""&lt;&gt;"",INDEX(ctaVinc,MATCH(K2064,ctaNombre,0))&amp;"",K2064),K2064))</f>
        <v/>
      </c>
      <c r="AD2064" s="52">
        <f>IF(AB2064="","",IFERROR(INDEX(ctaTipo,MATCH(AB2064,ctaNombre,0))&amp;"",""))</f>
        <v/>
      </c>
      <c r="AE2064" s="52">
        <f>IF(AC2064="","",IFERROR(INDEX(ctaTipo,MATCH(AC2064,ctaNombre,0))&amp;"",""))</f>
        <v/>
      </c>
      <c r="AF2064" s="53">
        <f>IF(OR(P2064="",AB2064=""),"",IF(OR(P2064="Gasto",P2064="Transferencia",P2064="Pago tarjeta"),-1,1)*IF(IFERROR(INDEX(ctaMoneda,MATCH(AB2064,ctaNombre,0))&amp;"","DOP")="USD",T2064,S2064))</f>
        <v/>
      </c>
      <c r="AG2064" s="53">
        <f>IF(AC2064="","",IF(IFERROR(INDEX(ctaMoneda,MATCH(AC2064,ctaNombre,0))&amp;"","DOP")="USD",T2064,S2064))</f>
        <v/>
      </c>
      <c r="AH2064" s="53">
        <f>IF(P2064="","",IF(AND(AD2064&lt;&gt;"",COUNTIFS(tcTipo,AD2064,tcLiq,"Sí")&gt;0),IF(OR(P2064="Gasto",P2064="Transferencia",P2064="Pago tarjeta"),-1,1)*S2064,0)+IF(AND(AE2064&lt;&gt;"",COUNTIFS(tcTipo,AE2064,tcLiq,"Sí")&gt;0),S2064,0))</f>
        <v/>
      </c>
      <c r="AI2064" s="52">
        <f>IF(OR(L2064="",P2064=""),"",IF(COUNTIFS(L$6:L2064,L2064,P$6:P2064,"?*")=1,MAX(AI$5:AI2063)+1,""))</f>
        <v/>
      </c>
    </row>
    <row r="2065">
      <c r="B2065" s="47" t="n"/>
      <c r="C2065" s="48" t="n"/>
      <c r="D2065" s="48" t="n"/>
      <c r="E2065" s="48" t="n"/>
      <c r="F2065" s="48" t="n"/>
      <c r="G2065" s="49" t="n"/>
      <c r="H2065" s="48" t="n"/>
      <c r="I2065" s="50" t="n"/>
      <c r="J2065" s="48" t="n"/>
      <c r="K2065" s="48" t="n"/>
      <c r="L2065" s="48" t="n"/>
      <c r="M2065" s="48" t="n"/>
      <c r="N2065" s="48" t="n"/>
      <c r="O2065" s="51">
        <f>IF(AND(B2065="",G2065="",C2065="",D2065="",J2065=""),"",IF(B2065="","⚠ Falta fecha",IF(G2065="","⚠ Falta monto",IF(Q2065="","⚠ Falta cuenta",IF(ISNA(MATCH(Q2065,ctaNombre,0)),"⚠ Cuenta no registrada",IF(AND(OR(P2065="Gasto",P2065="Reembolso"),D2065=""),"⚠ Falta categoría",IF(AND(D2065&lt;&gt;"",E2065&lt;&gt;"",ISNA(MATCH(D2065&amp;"|"&amp;E2065,catClave,0))),"⚠ Subcategoría no corresponde",IF(AND(OR(P2065="Transferencia",P2065="Pago tarjeta"),K2065=""),"⚠ Falta cuenta destino",IF(AND(K2065&lt;&gt;"",P2065&lt;&gt;"Transferencia",P2065&lt;&gt;"Pago tarjeta"),"⚠ Destino solo aplica a transferencias",IF(AND(K2065&lt;&gt;"",K2065=Q2065),"⚠ Origen igual a destino",IF(AND(K2065&lt;&gt;"",ISNA(MATCH(K2065,ctaNombre,0))),"⚠ Destino no registrado",IF(AND(P2065="Pago tarjeta",AE2065&lt;&gt;"Tarjeta de crédito"),"⚠ El destino debe ser tarjeta de crédito",IF(AND(P2065="Gasto",E2065="Depósitos y retiros"),"⚠ Usa tipo Transferencia",IF(AND(P2065="Resultado trading",AD2065&lt;&gt;"Cuenta de trading"),"⚠ Usa una cuenta de trading",IF(AND(G2065&lt;=0,P2065&lt;&gt;"Ajuste",P2065&lt;&gt;"Resultado trading"),"⚠ El monto debe ser positivo","✓")))))))))))))))</f>
        <v/>
      </c>
      <c r="P2065" s="52">
        <f>IF(OR(B2065="",G2065=""),"",IF(C2065="","Gasto",C2065))</f>
        <v/>
      </c>
      <c r="Q2065" s="52">
        <f>IF(P2065="","",IF(J2065&lt;&gt;"",J2065,CuentaPred&amp;""))</f>
        <v/>
      </c>
      <c r="R2065" s="52">
        <f>IF(P2065="","",IF(ISNUMBER(I2065),I2065,TasaUSD))</f>
        <v/>
      </c>
      <c r="S2065" s="53">
        <f>IF(P2065="","",IF(H2065="USD",G2065*R2065,G2065))</f>
        <v/>
      </c>
      <c r="T2065" s="53">
        <f>IF(P2065="","",IF(H2065="USD",G2065,IF(R2065&gt;0,G2065/R2065,0)))</f>
        <v/>
      </c>
      <c r="U2065" s="53">
        <f>IF(P2065="","",IF(P2065="Gasto",S2065,IF(P2065="Reembolso",-S2065,0)))</f>
        <v/>
      </c>
      <c r="V2065" s="53">
        <f>IF(P2065="","",IF(P2065="Ingreso",S2065,0))</f>
        <v/>
      </c>
      <c r="W2065" s="53">
        <f>IF(P2065="","",IF(P2065="Resultado trading",S2065,0))</f>
        <v/>
      </c>
      <c r="X2065" s="52">
        <f>IF(OR(P2065="Gasto",P2065="Reembolso"),IF(M2065&lt;&gt;"",M2065,IFERROR(INDEX(catClasif,MATCH(D2065&amp;"|"&amp;E2065,catClave,0))&amp;"","Variable")),"")</f>
        <v/>
      </c>
      <c r="Y2065" s="52">
        <f>IF(P2065="","",IFERROR(INDEX(catGrupo,MATCH(D2065&amp;"|"&amp;E2065,catClave,0))&amp;"",""))</f>
        <v/>
      </c>
      <c r="Z2065" s="52">
        <f>IF(P2065="","",WEEKDAY(B2065,2))</f>
        <v/>
      </c>
      <c r="AA2065" s="52">
        <f>IF(P2065="","",IF(AND(P2065="Gasto",X2065="Variable",D2065&lt;&gt;catTrading,S2065&gt;0,S2065&lt;=Umbral),1,0))</f>
        <v/>
      </c>
      <c r="AB2065" s="52">
        <f>IF(OR(P2065="",Q2065=""),"",IFERROR(IF(INDEX(ctaVinc,MATCH(Q2065,ctaNombre,0))&amp;""&lt;&gt;"",INDEX(ctaVinc,MATCH(Q2065,ctaNombre,0))&amp;"",Q2065),Q2065))</f>
        <v/>
      </c>
      <c r="AC2065" s="52">
        <f>IF(OR(K2065="",AND(P2065&lt;&gt;"Transferencia",P2065&lt;&gt;"Pago tarjeta")),"",IFERROR(IF(INDEX(ctaVinc,MATCH(K2065,ctaNombre,0))&amp;""&lt;&gt;"",INDEX(ctaVinc,MATCH(K2065,ctaNombre,0))&amp;"",K2065),K2065))</f>
        <v/>
      </c>
      <c r="AD2065" s="52">
        <f>IF(AB2065="","",IFERROR(INDEX(ctaTipo,MATCH(AB2065,ctaNombre,0))&amp;"",""))</f>
        <v/>
      </c>
      <c r="AE2065" s="52">
        <f>IF(AC2065="","",IFERROR(INDEX(ctaTipo,MATCH(AC2065,ctaNombre,0))&amp;"",""))</f>
        <v/>
      </c>
      <c r="AF2065" s="53">
        <f>IF(OR(P2065="",AB2065=""),"",IF(OR(P2065="Gasto",P2065="Transferencia",P2065="Pago tarjeta"),-1,1)*IF(IFERROR(INDEX(ctaMoneda,MATCH(AB2065,ctaNombre,0))&amp;"","DOP")="USD",T2065,S2065))</f>
        <v/>
      </c>
      <c r="AG2065" s="53">
        <f>IF(AC2065="","",IF(IFERROR(INDEX(ctaMoneda,MATCH(AC2065,ctaNombre,0))&amp;"","DOP")="USD",T2065,S2065))</f>
        <v/>
      </c>
      <c r="AH2065" s="53">
        <f>IF(P2065="","",IF(AND(AD2065&lt;&gt;"",COUNTIFS(tcTipo,AD2065,tcLiq,"Sí")&gt;0),IF(OR(P2065="Gasto",P2065="Transferencia",P2065="Pago tarjeta"),-1,1)*S2065,0)+IF(AND(AE2065&lt;&gt;"",COUNTIFS(tcTipo,AE2065,tcLiq,"Sí")&gt;0),S2065,0))</f>
        <v/>
      </c>
      <c r="AI2065" s="52">
        <f>IF(OR(L2065="",P2065=""),"",IF(COUNTIFS(L$6:L2065,L2065,P$6:P2065,"?*")=1,MAX(AI$5:AI2064)+1,""))</f>
        <v/>
      </c>
    </row>
    <row r="2066">
      <c r="B2066" s="47" t="n"/>
      <c r="C2066" s="48" t="n"/>
      <c r="D2066" s="48" t="n"/>
      <c r="E2066" s="48" t="n"/>
      <c r="F2066" s="48" t="n"/>
      <c r="G2066" s="49" t="n"/>
      <c r="H2066" s="48" t="n"/>
      <c r="I2066" s="50" t="n"/>
      <c r="J2066" s="48" t="n"/>
      <c r="K2066" s="48" t="n"/>
      <c r="L2066" s="48" t="n"/>
      <c r="M2066" s="48" t="n"/>
      <c r="N2066" s="48" t="n"/>
      <c r="O2066" s="51">
        <f>IF(AND(B2066="",G2066="",C2066="",D2066="",J2066=""),"",IF(B2066="","⚠ Falta fecha",IF(G2066="","⚠ Falta monto",IF(Q2066="","⚠ Falta cuenta",IF(ISNA(MATCH(Q2066,ctaNombre,0)),"⚠ Cuenta no registrada",IF(AND(OR(P2066="Gasto",P2066="Reembolso"),D2066=""),"⚠ Falta categoría",IF(AND(D2066&lt;&gt;"",E2066&lt;&gt;"",ISNA(MATCH(D2066&amp;"|"&amp;E2066,catClave,0))),"⚠ Subcategoría no corresponde",IF(AND(OR(P2066="Transferencia",P2066="Pago tarjeta"),K2066=""),"⚠ Falta cuenta destino",IF(AND(K2066&lt;&gt;"",P2066&lt;&gt;"Transferencia",P2066&lt;&gt;"Pago tarjeta"),"⚠ Destino solo aplica a transferencias",IF(AND(K2066&lt;&gt;"",K2066=Q2066),"⚠ Origen igual a destino",IF(AND(K2066&lt;&gt;"",ISNA(MATCH(K2066,ctaNombre,0))),"⚠ Destino no registrado",IF(AND(P2066="Pago tarjeta",AE2066&lt;&gt;"Tarjeta de crédito"),"⚠ El destino debe ser tarjeta de crédito",IF(AND(P2066="Gasto",E2066="Depósitos y retiros"),"⚠ Usa tipo Transferencia",IF(AND(P2066="Resultado trading",AD2066&lt;&gt;"Cuenta de trading"),"⚠ Usa una cuenta de trading",IF(AND(G2066&lt;=0,P2066&lt;&gt;"Ajuste",P2066&lt;&gt;"Resultado trading"),"⚠ El monto debe ser positivo","✓")))))))))))))))</f>
        <v/>
      </c>
      <c r="P2066" s="52">
        <f>IF(OR(B2066="",G2066=""),"",IF(C2066="","Gasto",C2066))</f>
        <v/>
      </c>
      <c r="Q2066" s="52">
        <f>IF(P2066="","",IF(J2066&lt;&gt;"",J2066,CuentaPred&amp;""))</f>
        <v/>
      </c>
      <c r="R2066" s="52">
        <f>IF(P2066="","",IF(ISNUMBER(I2066),I2066,TasaUSD))</f>
        <v/>
      </c>
      <c r="S2066" s="53">
        <f>IF(P2066="","",IF(H2066="USD",G2066*R2066,G2066))</f>
        <v/>
      </c>
      <c r="T2066" s="53">
        <f>IF(P2066="","",IF(H2066="USD",G2066,IF(R2066&gt;0,G2066/R2066,0)))</f>
        <v/>
      </c>
      <c r="U2066" s="53">
        <f>IF(P2066="","",IF(P2066="Gasto",S2066,IF(P2066="Reembolso",-S2066,0)))</f>
        <v/>
      </c>
      <c r="V2066" s="53">
        <f>IF(P2066="","",IF(P2066="Ingreso",S2066,0))</f>
        <v/>
      </c>
      <c r="W2066" s="53">
        <f>IF(P2066="","",IF(P2066="Resultado trading",S2066,0))</f>
        <v/>
      </c>
      <c r="X2066" s="52">
        <f>IF(OR(P2066="Gasto",P2066="Reembolso"),IF(M2066&lt;&gt;"",M2066,IFERROR(INDEX(catClasif,MATCH(D2066&amp;"|"&amp;E2066,catClave,0))&amp;"","Variable")),"")</f>
        <v/>
      </c>
      <c r="Y2066" s="52">
        <f>IF(P2066="","",IFERROR(INDEX(catGrupo,MATCH(D2066&amp;"|"&amp;E2066,catClave,0))&amp;"",""))</f>
        <v/>
      </c>
      <c r="Z2066" s="52">
        <f>IF(P2066="","",WEEKDAY(B2066,2))</f>
        <v/>
      </c>
      <c r="AA2066" s="52">
        <f>IF(P2066="","",IF(AND(P2066="Gasto",X2066="Variable",D2066&lt;&gt;catTrading,S2066&gt;0,S2066&lt;=Umbral),1,0))</f>
        <v/>
      </c>
      <c r="AB2066" s="52">
        <f>IF(OR(P2066="",Q2066=""),"",IFERROR(IF(INDEX(ctaVinc,MATCH(Q2066,ctaNombre,0))&amp;""&lt;&gt;"",INDEX(ctaVinc,MATCH(Q2066,ctaNombre,0))&amp;"",Q2066),Q2066))</f>
        <v/>
      </c>
      <c r="AC2066" s="52">
        <f>IF(OR(K2066="",AND(P2066&lt;&gt;"Transferencia",P2066&lt;&gt;"Pago tarjeta")),"",IFERROR(IF(INDEX(ctaVinc,MATCH(K2066,ctaNombre,0))&amp;""&lt;&gt;"",INDEX(ctaVinc,MATCH(K2066,ctaNombre,0))&amp;"",K2066),K2066))</f>
        <v/>
      </c>
      <c r="AD2066" s="52">
        <f>IF(AB2066="","",IFERROR(INDEX(ctaTipo,MATCH(AB2066,ctaNombre,0))&amp;"",""))</f>
        <v/>
      </c>
      <c r="AE2066" s="52">
        <f>IF(AC2066="","",IFERROR(INDEX(ctaTipo,MATCH(AC2066,ctaNombre,0))&amp;"",""))</f>
        <v/>
      </c>
      <c r="AF2066" s="53">
        <f>IF(OR(P2066="",AB2066=""),"",IF(OR(P2066="Gasto",P2066="Transferencia",P2066="Pago tarjeta"),-1,1)*IF(IFERROR(INDEX(ctaMoneda,MATCH(AB2066,ctaNombre,0))&amp;"","DOP")="USD",T2066,S2066))</f>
        <v/>
      </c>
      <c r="AG2066" s="53">
        <f>IF(AC2066="","",IF(IFERROR(INDEX(ctaMoneda,MATCH(AC2066,ctaNombre,0))&amp;"","DOP")="USD",T2066,S2066))</f>
        <v/>
      </c>
      <c r="AH2066" s="53">
        <f>IF(P2066="","",IF(AND(AD2066&lt;&gt;"",COUNTIFS(tcTipo,AD2066,tcLiq,"Sí")&gt;0),IF(OR(P2066="Gasto",P2066="Transferencia",P2066="Pago tarjeta"),-1,1)*S2066,0)+IF(AND(AE2066&lt;&gt;"",COUNTIFS(tcTipo,AE2066,tcLiq,"Sí")&gt;0),S2066,0))</f>
        <v/>
      </c>
      <c r="AI2066" s="52">
        <f>IF(OR(L2066="",P2066=""),"",IF(COUNTIFS(L$6:L2066,L2066,P$6:P2066,"?*")=1,MAX(AI$5:AI2065)+1,""))</f>
        <v/>
      </c>
    </row>
    <row r="2067">
      <c r="B2067" s="47" t="n"/>
      <c r="C2067" s="48" t="n"/>
      <c r="D2067" s="48" t="n"/>
      <c r="E2067" s="48" t="n"/>
      <c r="F2067" s="48" t="n"/>
      <c r="G2067" s="49" t="n"/>
      <c r="H2067" s="48" t="n"/>
      <c r="I2067" s="50" t="n"/>
      <c r="J2067" s="48" t="n"/>
      <c r="K2067" s="48" t="n"/>
      <c r="L2067" s="48" t="n"/>
      <c r="M2067" s="48" t="n"/>
      <c r="N2067" s="48" t="n"/>
      <c r="O2067" s="51">
        <f>IF(AND(B2067="",G2067="",C2067="",D2067="",J2067=""),"",IF(B2067="","⚠ Falta fecha",IF(G2067="","⚠ Falta monto",IF(Q2067="","⚠ Falta cuenta",IF(ISNA(MATCH(Q2067,ctaNombre,0)),"⚠ Cuenta no registrada",IF(AND(OR(P2067="Gasto",P2067="Reembolso"),D2067=""),"⚠ Falta categoría",IF(AND(D2067&lt;&gt;"",E2067&lt;&gt;"",ISNA(MATCH(D2067&amp;"|"&amp;E2067,catClave,0))),"⚠ Subcategoría no corresponde",IF(AND(OR(P2067="Transferencia",P2067="Pago tarjeta"),K2067=""),"⚠ Falta cuenta destino",IF(AND(K2067&lt;&gt;"",P2067&lt;&gt;"Transferencia",P2067&lt;&gt;"Pago tarjeta"),"⚠ Destino solo aplica a transferencias",IF(AND(K2067&lt;&gt;"",K2067=Q2067),"⚠ Origen igual a destino",IF(AND(K2067&lt;&gt;"",ISNA(MATCH(K2067,ctaNombre,0))),"⚠ Destino no registrado",IF(AND(P2067="Pago tarjeta",AE2067&lt;&gt;"Tarjeta de crédito"),"⚠ El destino debe ser tarjeta de crédito",IF(AND(P2067="Gasto",E2067="Depósitos y retiros"),"⚠ Usa tipo Transferencia",IF(AND(P2067="Resultado trading",AD2067&lt;&gt;"Cuenta de trading"),"⚠ Usa una cuenta de trading",IF(AND(G2067&lt;=0,P2067&lt;&gt;"Ajuste",P2067&lt;&gt;"Resultado trading"),"⚠ El monto debe ser positivo","✓")))))))))))))))</f>
        <v/>
      </c>
      <c r="P2067" s="52">
        <f>IF(OR(B2067="",G2067=""),"",IF(C2067="","Gasto",C2067))</f>
        <v/>
      </c>
      <c r="Q2067" s="52">
        <f>IF(P2067="","",IF(J2067&lt;&gt;"",J2067,CuentaPred&amp;""))</f>
        <v/>
      </c>
      <c r="R2067" s="52">
        <f>IF(P2067="","",IF(ISNUMBER(I2067),I2067,TasaUSD))</f>
        <v/>
      </c>
      <c r="S2067" s="53">
        <f>IF(P2067="","",IF(H2067="USD",G2067*R2067,G2067))</f>
        <v/>
      </c>
      <c r="T2067" s="53">
        <f>IF(P2067="","",IF(H2067="USD",G2067,IF(R2067&gt;0,G2067/R2067,0)))</f>
        <v/>
      </c>
      <c r="U2067" s="53">
        <f>IF(P2067="","",IF(P2067="Gasto",S2067,IF(P2067="Reembolso",-S2067,0)))</f>
        <v/>
      </c>
      <c r="V2067" s="53">
        <f>IF(P2067="","",IF(P2067="Ingreso",S2067,0))</f>
        <v/>
      </c>
      <c r="W2067" s="53">
        <f>IF(P2067="","",IF(P2067="Resultado trading",S2067,0))</f>
        <v/>
      </c>
      <c r="X2067" s="52">
        <f>IF(OR(P2067="Gasto",P2067="Reembolso"),IF(M2067&lt;&gt;"",M2067,IFERROR(INDEX(catClasif,MATCH(D2067&amp;"|"&amp;E2067,catClave,0))&amp;"","Variable")),"")</f>
        <v/>
      </c>
      <c r="Y2067" s="52">
        <f>IF(P2067="","",IFERROR(INDEX(catGrupo,MATCH(D2067&amp;"|"&amp;E2067,catClave,0))&amp;"",""))</f>
        <v/>
      </c>
      <c r="Z2067" s="52">
        <f>IF(P2067="","",WEEKDAY(B2067,2))</f>
        <v/>
      </c>
      <c r="AA2067" s="52">
        <f>IF(P2067="","",IF(AND(P2067="Gasto",X2067="Variable",D2067&lt;&gt;catTrading,S2067&gt;0,S2067&lt;=Umbral),1,0))</f>
        <v/>
      </c>
      <c r="AB2067" s="52">
        <f>IF(OR(P2067="",Q2067=""),"",IFERROR(IF(INDEX(ctaVinc,MATCH(Q2067,ctaNombre,0))&amp;""&lt;&gt;"",INDEX(ctaVinc,MATCH(Q2067,ctaNombre,0))&amp;"",Q2067),Q2067))</f>
        <v/>
      </c>
      <c r="AC2067" s="52">
        <f>IF(OR(K2067="",AND(P2067&lt;&gt;"Transferencia",P2067&lt;&gt;"Pago tarjeta")),"",IFERROR(IF(INDEX(ctaVinc,MATCH(K2067,ctaNombre,0))&amp;""&lt;&gt;"",INDEX(ctaVinc,MATCH(K2067,ctaNombre,0))&amp;"",K2067),K2067))</f>
        <v/>
      </c>
      <c r="AD2067" s="52">
        <f>IF(AB2067="","",IFERROR(INDEX(ctaTipo,MATCH(AB2067,ctaNombre,0))&amp;"",""))</f>
        <v/>
      </c>
      <c r="AE2067" s="52">
        <f>IF(AC2067="","",IFERROR(INDEX(ctaTipo,MATCH(AC2067,ctaNombre,0))&amp;"",""))</f>
        <v/>
      </c>
      <c r="AF2067" s="53">
        <f>IF(OR(P2067="",AB2067=""),"",IF(OR(P2067="Gasto",P2067="Transferencia",P2067="Pago tarjeta"),-1,1)*IF(IFERROR(INDEX(ctaMoneda,MATCH(AB2067,ctaNombre,0))&amp;"","DOP")="USD",T2067,S2067))</f>
        <v/>
      </c>
      <c r="AG2067" s="53">
        <f>IF(AC2067="","",IF(IFERROR(INDEX(ctaMoneda,MATCH(AC2067,ctaNombre,0))&amp;"","DOP")="USD",T2067,S2067))</f>
        <v/>
      </c>
      <c r="AH2067" s="53">
        <f>IF(P2067="","",IF(AND(AD2067&lt;&gt;"",COUNTIFS(tcTipo,AD2067,tcLiq,"Sí")&gt;0),IF(OR(P2067="Gasto",P2067="Transferencia",P2067="Pago tarjeta"),-1,1)*S2067,0)+IF(AND(AE2067&lt;&gt;"",COUNTIFS(tcTipo,AE2067,tcLiq,"Sí")&gt;0),S2067,0))</f>
        <v/>
      </c>
      <c r="AI2067" s="52">
        <f>IF(OR(L2067="",P2067=""),"",IF(COUNTIFS(L$6:L2067,L2067,P$6:P2067,"?*")=1,MAX(AI$5:AI2066)+1,""))</f>
        <v/>
      </c>
    </row>
    <row r="2068">
      <c r="B2068" s="47" t="n"/>
      <c r="C2068" s="48" t="n"/>
      <c r="D2068" s="48" t="n"/>
      <c r="E2068" s="48" t="n"/>
      <c r="F2068" s="48" t="n"/>
      <c r="G2068" s="49" t="n"/>
      <c r="H2068" s="48" t="n"/>
      <c r="I2068" s="50" t="n"/>
      <c r="J2068" s="48" t="n"/>
      <c r="K2068" s="48" t="n"/>
      <c r="L2068" s="48" t="n"/>
      <c r="M2068" s="48" t="n"/>
      <c r="N2068" s="48" t="n"/>
      <c r="O2068" s="51">
        <f>IF(AND(B2068="",G2068="",C2068="",D2068="",J2068=""),"",IF(B2068="","⚠ Falta fecha",IF(G2068="","⚠ Falta monto",IF(Q2068="","⚠ Falta cuenta",IF(ISNA(MATCH(Q2068,ctaNombre,0)),"⚠ Cuenta no registrada",IF(AND(OR(P2068="Gasto",P2068="Reembolso"),D2068=""),"⚠ Falta categoría",IF(AND(D2068&lt;&gt;"",E2068&lt;&gt;"",ISNA(MATCH(D2068&amp;"|"&amp;E2068,catClave,0))),"⚠ Subcategoría no corresponde",IF(AND(OR(P2068="Transferencia",P2068="Pago tarjeta"),K2068=""),"⚠ Falta cuenta destino",IF(AND(K2068&lt;&gt;"",P2068&lt;&gt;"Transferencia",P2068&lt;&gt;"Pago tarjeta"),"⚠ Destino solo aplica a transferencias",IF(AND(K2068&lt;&gt;"",K2068=Q2068),"⚠ Origen igual a destino",IF(AND(K2068&lt;&gt;"",ISNA(MATCH(K2068,ctaNombre,0))),"⚠ Destino no registrado",IF(AND(P2068="Pago tarjeta",AE2068&lt;&gt;"Tarjeta de crédito"),"⚠ El destino debe ser tarjeta de crédito",IF(AND(P2068="Gasto",E2068="Depósitos y retiros"),"⚠ Usa tipo Transferencia",IF(AND(P2068="Resultado trading",AD2068&lt;&gt;"Cuenta de trading"),"⚠ Usa una cuenta de trading",IF(AND(G2068&lt;=0,P2068&lt;&gt;"Ajuste",P2068&lt;&gt;"Resultado trading"),"⚠ El monto debe ser positivo","✓")))))))))))))))</f>
        <v/>
      </c>
      <c r="P2068" s="52">
        <f>IF(OR(B2068="",G2068=""),"",IF(C2068="","Gasto",C2068))</f>
        <v/>
      </c>
      <c r="Q2068" s="52">
        <f>IF(P2068="","",IF(J2068&lt;&gt;"",J2068,CuentaPred&amp;""))</f>
        <v/>
      </c>
      <c r="R2068" s="52">
        <f>IF(P2068="","",IF(ISNUMBER(I2068),I2068,TasaUSD))</f>
        <v/>
      </c>
      <c r="S2068" s="53">
        <f>IF(P2068="","",IF(H2068="USD",G2068*R2068,G2068))</f>
        <v/>
      </c>
      <c r="T2068" s="53">
        <f>IF(P2068="","",IF(H2068="USD",G2068,IF(R2068&gt;0,G2068/R2068,0)))</f>
        <v/>
      </c>
      <c r="U2068" s="53">
        <f>IF(P2068="","",IF(P2068="Gasto",S2068,IF(P2068="Reembolso",-S2068,0)))</f>
        <v/>
      </c>
      <c r="V2068" s="53">
        <f>IF(P2068="","",IF(P2068="Ingreso",S2068,0))</f>
        <v/>
      </c>
      <c r="W2068" s="53">
        <f>IF(P2068="","",IF(P2068="Resultado trading",S2068,0))</f>
        <v/>
      </c>
      <c r="X2068" s="52">
        <f>IF(OR(P2068="Gasto",P2068="Reembolso"),IF(M2068&lt;&gt;"",M2068,IFERROR(INDEX(catClasif,MATCH(D2068&amp;"|"&amp;E2068,catClave,0))&amp;"","Variable")),"")</f>
        <v/>
      </c>
      <c r="Y2068" s="52">
        <f>IF(P2068="","",IFERROR(INDEX(catGrupo,MATCH(D2068&amp;"|"&amp;E2068,catClave,0))&amp;"",""))</f>
        <v/>
      </c>
      <c r="Z2068" s="52">
        <f>IF(P2068="","",WEEKDAY(B2068,2))</f>
        <v/>
      </c>
      <c r="AA2068" s="52">
        <f>IF(P2068="","",IF(AND(P2068="Gasto",X2068="Variable",D2068&lt;&gt;catTrading,S2068&gt;0,S2068&lt;=Umbral),1,0))</f>
        <v/>
      </c>
      <c r="AB2068" s="52">
        <f>IF(OR(P2068="",Q2068=""),"",IFERROR(IF(INDEX(ctaVinc,MATCH(Q2068,ctaNombre,0))&amp;""&lt;&gt;"",INDEX(ctaVinc,MATCH(Q2068,ctaNombre,0))&amp;"",Q2068),Q2068))</f>
        <v/>
      </c>
      <c r="AC2068" s="52">
        <f>IF(OR(K2068="",AND(P2068&lt;&gt;"Transferencia",P2068&lt;&gt;"Pago tarjeta")),"",IFERROR(IF(INDEX(ctaVinc,MATCH(K2068,ctaNombre,0))&amp;""&lt;&gt;"",INDEX(ctaVinc,MATCH(K2068,ctaNombre,0))&amp;"",K2068),K2068))</f>
        <v/>
      </c>
      <c r="AD2068" s="52">
        <f>IF(AB2068="","",IFERROR(INDEX(ctaTipo,MATCH(AB2068,ctaNombre,0))&amp;"",""))</f>
        <v/>
      </c>
      <c r="AE2068" s="52">
        <f>IF(AC2068="","",IFERROR(INDEX(ctaTipo,MATCH(AC2068,ctaNombre,0))&amp;"",""))</f>
        <v/>
      </c>
      <c r="AF2068" s="53">
        <f>IF(OR(P2068="",AB2068=""),"",IF(OR(P2068="Gasto",P2068="Transferencia",P2068="Pago tarjeta"),-1,1)*IF(IFERROR(INDEX(ctaMoneda,MATCH(AB2068,ctaNombre,0))&amp;"","DOP")="USD",T2068,S2068))</f>
        <v/>
      </c>
      <c r="AG2068" s="53">
        <f>IF(AC2068="","",IF(IFERROR(INDEX(ctaMoneda,MATCH(AC2068,ctaNombre,0))&amp;"","DOP")="USD",T2068,S2068))</f>
        <v/>
      </c>
      <c r="AH2068" s="53">
        <f>IF(P2068="","",IF(AND(AD2068&lt;&gt;"",COUNTIFS(tcTipo,AD2068,tcLiq,"Sí")&gt;0),IF(OR(P2068="Gasto",P2068="Transferencia",P2068="Pago tarjeta"),-1,1)*S2068,0)+IF(AND(AE2068&lt;&gt;"",COUNTIFS(tcTipo,AE2068,tcLiq,"Sí")&gt;0),S2068,0))</f>
        <v/>
      </c>
      <c r="AI2068" s="52">
        <f>IF(OR(L2068="",P2068=""),"",IF(COUNTIFS(L$6:L2068,L2068,P$6:P2068,"?*")=1,MAX(AI$5:AI2067)+1,""))</f>
        <v/>
      </c>
    </row>
    <row r="2069">
      <c r="B2069" s="47" t="n"/>
      <c r="C2069" s="48" t="n"/>
      <c r="D2069" s="48" t="n"/>
      <c r="E2069" s="48" t="n"/>
      <c r="F2069" s="48" t="n"/>
      <c r="G2069" s="49" t="n"/>
      <c r="H2069" s="48" t="n"/>
      <c r="I2069" s="50" t="n"/>
      <c r="J2069" s="48" t="n"/>
      <c r="K2069" s="48" t="n"/>
      <c r="L2069" s="48" t="n"/>
      <c r="M2069" s="48" t="n"/>
      <c r="N2069" s="48" t="n"/>
      <c r="O2069" s="51">
        <f>IF(AND(B2069="",G2069="",C2069="",D2069="",J2069=""),"",IF(B2069="","⚠ Falta fecha",IF(G2069="","⚠ Falta monto",IF(Q2069="","⚠ Falta cuenta",IF(ISNA(MATCH(Q2069,ctaNombre,0)),"⚠ Cuenta no registrada",IF(AND(OR(P2069="Gasto",P2069="Reembolso"),D2069=""),"⚠ Falta categoría",IF(AND(D2069&lt;&gt;"",E2069&lt;&gt;"",ISNA(MATCH(D2069&amp;"|"&amp;E2069,catClave,0))),"⚠ Subcategoría no corresponde",IF(AND(OR(P2069="Transferencia",P2069="Pago tarjeta"),K2069=""),"⚠ Falta cuenta destino",IF(AND(K2069&lt;&gt;"",P2069&lt;&gt;"Transferencia",P2069&lt;&gt;"Pago tarjeta"),"⚠ Destino solo aplica a transferencias",IF(AND(K2069&lt;&gt;"",K2069=Q2069),"⚠ Origen igual a destino",IF(AND(K2069&lt;&gt;"",ISNA(MATCH(K2069,ctaNombre,0))),"⚠ Destino no registrado",IF(AND(P2069="Pago tarjeta",AE2069&lt;&gt;"Tarjeta de crédito"),"⚠ El destino debe ser tarjeta de crédito",IF(AND(P2069="Gasto",E2069="Depósitos y retiros"),"⚠ Usa tipo Transferencia",IF(AND(P2069="Resultado trading",AD2069&lt;&gt;"Cuenta de trading"),"⚠ Usa una cuenta de trading",IF(AND(G2069&lt;=0,P2069&lt;&gt;"Ajuste",P2069&lt;&gt;"Resultado trading"),"⚠ El monto debe ser positivo","✓")))))))))))))))</f>
        <v/>
      </c>
      <c r="P2069" s="52">
        <f>IF(OR(B2069="",G2069=""),"",IF(C2069="","Gasto",C2069))</f>
        <v/>
      </c>
      <c r="Q2069" s="52">
        <f>IF(P2069="","",IF(J2069&lt;&gt;"",J2069,CuentaPred&amp;""))</f>
        <v/>
      </c>
      <c r="R2069" s="52">
        <f>IF(P2069="","",IF(ISNUMBER(I2069),I2069,TasaUSD))</f>
        <v/>
      </c>
      <c r="S2069" s="53">
        <f>IF(P2069="","",IF(H2069="USD",G2069*R2069,G2069))</f>
        <v/>
      </c>
      <c r="T2069" s="53">
        <f>IF(P2069="","",IF(H2069="USD",G2069,IF(R2069&gt;0,G2069/R2069,0)))</f>
        <v/>
      </c>
      <c r="U2069" s="53">
        <f>IF(P2069="","",IF(P2069="Gasto",S2069,IF(P2069="Reembolso",-S2069,0)))</f>
        <v/>
      </c>
      <c r="V2069" s="53">
        <f>IF(P2069="","",IF(P2069="Ingreso",S2069,0))</f>
        <v/>
      </c>
      <c r="W2069" s="53">
        <f>IF(P2069="","",IF(P2069="Resultado trading",S2069,0))</f>
        <v/>
      </c>
      <c r="X2069" s="52">
        <f>IF(OR(P2069="Gasto",P2069="Reembolso"),IF(M2069&lt;&gt;"",M2069,IFERROR(INDEX(catClasif,MATCH(D2069&amp;"|"&amp;E2069,catClave,0))&amp;"","Variable")),"")</f>
        <v/>
      </c>
      <c r="Y2069" s="52">
        <f>IF(P2069="","",IFERROR(INDEX(catGrupo,MATCH(D2069&amp;"|"&amp;E2069,catClave,0))&amp;"",""))</f>
        <v/>
      </c>
      <c r="Z2069" s="52">
        <f>IF(P2069="","",WEEKDAY(B2069,2))</f>
        <v/>
      </c>
      <c r="AA2069" s="52">
        <f>IF(P2069="","",IF(AND(P2069="Gasto",X2069="Variable",D2069&lt;&gt;catTrading,S2069&gt;0,S2069&lt;=Umbral),1,0))</f>
        <v/>
      </c>
      <c r="AB2069" s="52">
        <f>IF(OR(P2069="",Q2069=""),"",IFERROR(IF(INDEX(ctaVinc,MATCH(Q2069,ctaNombre,0))&amp;""&lt;&gt;"",INDEX(ctaVinc,MATCH(Q2069,ctaNombre,0))&amp;"",Q2069),Q2069))</f>
        <v/>
      </c>
      <c r="AC2069" s="52">
        <f>IF(OR(K2069="",AND(P2069&lt;&gt;"Transferencia",P2069&lt;&gt;"Pago tarjeta")),"",IFERROR(IF(INDEX(ctaVinc,MATCH(K2069,ctaNombre,0))&amp;""&lt;&gt;"",INDEX(ctaVinc,MATCH(K2069,ctaNombre,0))&amp;"",K2069),K2069))</f>
        <v/>
      </c>
      <c r="AD2069" s="52">
        <f>IF(AB2069="","",IFERROR(INDEX(ctaTipo,MATCH(AB2069,ctaNombre,0))&amp;"",""))</f>
        <v/>
      </c>
      <c r="AE2069" s="52">
        <f>IF(AC2069="","",IFERROR(INDEX(ctaTipo,MATCH(AC2069,ctaNombre,0))&amp;"",""))</f>
        <v/>
      </c>
      <c r="AF2069" s="53">
        <f>IF(OR(P2069="",AB2069=""),"",IF(OR(P2069="Gasto",P2069="Transferencia",P2069="Pago tarjeta"),-1,1)*IF(IFERROR(INDEX(ctaMoneda,MATCH(AB2069,ctaNombre,0))&amp;"","DOP")="USD",T2069,S2069))</f>
        <v/>
      </c>
      <c r="AG2069" s="53">
        <f>IF(AC2069="","",IF(IFERROR(INDEX(ctaMoneda,MATCH(AC2069,ctaNombre,0))&amp;"","DOP")="USD",T2069,S2069))</f>
        <v/>
      </c>
      <c r="AH2069" s="53">
        <f>IF(P2069="","",IF(AND(AD2069&lt;&gt;"",COUNTIFS(tcTipo,AD2069,tcLiq,"Sí")&gt;0),IF(OR(P2069="Gasto",P2069="Transferencia",P2069="Pago tarjeta"),-1,1)*S2069,0)+IF(AND(AE2069&lt;&gt;"",COUNTIFS(tcTipo,AE2069,tcLiq,"Sí")&gt;0),S2069,0))</f>
        <v/>
      </c>
      <c r="AI2069" s="52">
        <f>IF(OR(L2069="",P2069=""),"",IF(COUNTIFS(L$6:L2069,L2069,P$6:P2069,"?*")=1,MAX(AI$5:AI2068)+1,""))</f>
        <v/>
      </c>
    </row>
    <row r="2070">
      <c r="B2070" s="47" t="n"/>
      <c r="C2070" s="48" t="n"/>
      <c r="D2070" s="48" t="n"/>
      <c r="E2070" s="48" t="n"/>
      <c r="F2070" s="48" t="n"/>
      <c r="G2070" s="49" t="n"/>
      <c r="H2070" s="48" t="n"/>
      <c r="I2070" s="50" t="n"/>
      <c r="J2070" s="48" t="n"/>
      <c r="K2070" s="48" t="n"/>
      <c r="L2070" s="48" t="n"/>
      <c r="M2070" s="48" t="n"/>
      <c r="N2070" s="48" t="n"/>
      <c r="O2070" s="51">
        <f>IF(AND(B2070="",G2070="",C2070="",D2070="",J2070=""),"",IF(B2070="","⚠ Falta fecha",IF(G2070="","⚠ Falta monto",IF(Q2070="","⚠ Falta cuenta",IF(ISNA(MATCH(Q2070,ctaNombre,0)),"⚠ Cuenta no registrada",IF(AND(OR(P2070="Gasto",P2070="Reembolso"),D2070=""),"⚠ Falta categoría",IF(AND(D2070&lt;&gt;"",E2070&lt;&gt;"",ISNA(MATCH(D2070&amp;"|"&amp;E2070,catClave,0))),"⚠ Subcategoría no corresponde",IF(AND(OR(P2070="Transferencia",P2070="Pago tarjeta"),K2070=""),"⚠ Falta cuenta destino",IF(AND(K2070&lt;&gt;"",P2070&lt;&gt;"Transferencia",P2070&lt;&gt;"Pago tarjeta"),"⚠ Destino solo aplica a transferencias",IF(AND(K2070&lt;&gt;"",K2070=Q2070),"⚠ Origen igual a destino",IF(AND(K2070&lt;&gt;"",ISNA(MATCH(K2070,ctaNombre,0))),"⚠ Destino no registrado",IF(AND(P2070="Pago tarjeta",AE2070&lt;&gt;"Tarjeta de crédito"),"⚠ El destino debe ser tarjeta de crédito",IF(AND(P2070="Gasto",E2070="Depósitos y retiros"),"⚠ Usa tipo Transferencia",IF(AND(P2070="Resultado trading",AD2070&lt;&gt;"Cuenta de trading"),"⚠ Usa una cuenta de trading",IF(AND(G2070&lt;=0,P2070&lt;&gt;"Ajuste",P2070&lt;&gt;"Resultado trading"),"⚠ El monto debe ser positivo","✓")))))))))))))))</f>
        <v/>
      </c>
      <c r="P2070" s="52">
        <f>IF(OR(B2070="",G2070=""),"",IF(C2070="","Gasto",C2070))</f>
        <v/>
      </c>
      <c r="Q2070" s="52">
        <f>IF(P2070="","",IF(J2070&lt;&gt;"",J2070,CuentaPred&amp;""))</f>
        <v/>
      </c>
      <c r="R2070" s="52">
        <f>IF(P2070="","",IF(ISNUMBER(I2070),I2070,TasaUSD))</f>
        <v/>
      </c>
      <c r="S2070" s="53">
        <f>IF(P2070="","",IF(H2070="USD",G2070*R2070,G2070))</f>
        <v/>
      </c>
      <c r="T2070" s="53">
        <f>IF(P2070="","",IF(H2070="USD",G2070,IF(R2070&gt;0,G2070/R2070,0)))</f>
        <v/>
      </c>
      <c r="U2070" s="53">
        <f>IF(P2070="","",IF(P2070="Gasto",S2070,IF(P2070="Reembolso",-S2070,0)))</f>
        <v/>
      </c>
      <c r="V2070" s="53">
        <f>IF(P2070="","",IF(P2070="Ingreso",S2070,0))</f>
        <v/>
      </c>
      <c r="W2070" s="53">
        <f>IF(P2070="","",IF(P2070="Resultado trading",S2070,0))</f>
        <v/>
      </c>
      <c r="X2070" s="52">
        <f>IF(OR(P2070="Gasto",P2070="Reembolso"),IF(M2070&lt;&gt;"",M2070,IFERROR(INDEX(catClasif,MATCH(D2070&amp;"|"&amp;E2070,catClave,0))&amp;"","Variable")),"")</f>
        <v/>
      </c>
      <c r="Y2070" s="52">
        <f>IF(P2070="","",IFERROR(INDEX(catGrupo,MATCH(D2070&amp;"|"&amp;E2070,catClave,0))&amp;"",""))</f>
        <v/>
      </c>
      <c r="Z2070" s="52">
        <f>IF(P2070="","",WEEKDAY(B2070,2))</f>
        <v/>
      </c>
      <c r="AA2070" s="52">
        <f>IF(P2070="","",IF(AND(P2070="Gasto",X2070="Variable",D2070&lt;&gt;catTrading,S2070&gt;0,S2070&lt;=Umbral),1,0))</f>
        <v/>
      </c>
      <c r="AB2070" s="52">
        <f>IF(OR(P2070="",Q2070=""),"",IFERROR(IF(INDEX(ctaVinc,MATCH(Q2070,ctaNombre,0))&amp;""&lt;&gt;"",INDEX(ctaVinc,MATCH(Q2070,ctaNombre,0))&amp;"",Q2070),Q2070))</f>
        <v/>
      </c>
      <c r="AC2070" s="52">
        <f>IF(OR(K2070="",AND(P2070&lt;&gt;"Transferencia",P2070&lt;&gt;"Pago tarjeta")),"",IFERROR(IF(INDEX(ctaVinc,MATCH(K2070,ctaNombre,0))&amp;""&lt;&gt;"",INDEX(ctaVinc,MATCH(K2070,ctaNombre,0))&amp;"",K2070),K2070))</f>
        <v/>
      </c>
      <c r="AD2070" s="52">
        <f>IF(AB2070="","",IFERROR(INDEX(ctaTipo,MATCH(AB2070,ctaNombre,0))&amp;"",""))</f>
        <v/>
      </c>
      <c r="AE2070" s="52">
        <f>IF(AC2070="","",IFERROR(INDEX(ctaTipo,MATCH(AC2070,ctaNombre,0))&amp;"",""))</f>
        <v/>
      </c>
      <c r="AF2070" s="53">
        <f>IF(OR(P2070="",AB2070=""),"",IF(OR(P2070="Gasto",P2070="Transferencia",P2070="Pago tarjeta"),-1,1)*IF(IFERROR(INDEX(ctaMoneda,MATCH(AB2070,ctaNombre,0))&amp;"","DOP")="USD",T2070,S2070))</f>
        <v/>
      </c>
      <c r="AG2070" s="53">
        <f>IF(AC2070="","",IF(IFERROR(INDEX(ctaMoneda,MATCH(AC2070,ctaNombre,0))&amp;"","DOP")="USD",T2070,S2070))</f>
        <v/>
      </c>
      <c r="AH2070" s="53">
        <f>IF(P2070="","",IF(AND(AD2070&lt;&gt;"",COUNTIFS(tcTipo,AD2070,tcLiq,"Sí")&gt;0),IF(OR(P2070="Gasto",P2070="Transferencia",P2070="Pago tarjeta"),-1,1)*S2070,0)+IF(AND(AE2070&lt;&gt;"",COUNTIFS(tcTipo,AE2070,tcLiq,"Sí")&gt;0),S2070,0))</f>
        <v/>
      </c>
      <c r="AI2070" s="52">
        <f>IF(OR(L2070="",P2070=""),"",IF(COUNTIFS(L$6:L2070,L2070,P$6:P2070,"?*")=1,MAX(AI$5:AI2069)+1,""))</f>
        <v/>
      </c>
    </row>
    <row r="2071">
      <c r="B2071" s="47" t="n"/>
      <c r="C2071" s="48" t="n"/>
      <c r="D2071" s="48" t="n"/>
      <c r="E2071" s="48" t="n"/>
      <c r="F2071" s="48" t="n"/>
      <c r="G2071" s="49" t="n"/>
      <c r="H2071" s="48" t="n"/>
      <c r="I2071" s="50" t="n"/>
      <c r="J2071" s="48" t="n"/>
      <c r="K2071" s="48" t="n"/>
      <c r="L2071" s="48" t="n"/>
      <c r="M2071" s="48" t="n"/>
      <c r="N2071" s="48" t="n"/>
      <c r="O2071" s="51">
        <f>IF(AND(B2071="",G2071="",C2071="",D2071="",J2071=""),"",IF(B2071="","⚠ Falta fecha",IF(G2071="","⚠ Falta monto",IF(Q2071="","⚠ Falta cuenta",IF(ISNA(MATCH(Q2071,ctaNombre,0)),"⚠ Cuenta no registrada",IF(AND(OR(P2071="Gasto",P2071="Reembolso"),D2071=""),"⚠ Falta categoría",IF(AND(D2071&lt;&gt;"",E2071&lt;&gt;"",ISNA(MATCH(D2071&amp;"|"&amp;E2071,catClave,0))),"⚠ Subcategoría no corresponde",IF(AND(OR(P2071="Transferencia",P2071="Pago tarjeta"),K2071=""),"⚠ Falta cuenta destino",IF(AND(K2071&lt;&gt;"",P2071&lt;&gt;"Transferencia",P2071&lt;&gt;"Pago tarjeta"),"⚠ Destino solo aplica a transferencias",IF(AND(K2071&lt;&gt;"",K2071=Q2071),"⚠ Origen igual a destino",IF(AND(K2071&lt;&gt;"",ISNA(MATCH(K2071,ctaNombre,0))),"⚠ Destino no registrado",IF(AND(P2071="Pago tarjeta",AE2071&lt;&gt;"Tarjeta de crédito"),"⚠ El destino debe ser tarjeta de crédito",IF(AND(P2071="Gasto",E2071="Depósitos y retiros"),"⚠ Usa tipo Transferencia",IF(AND(P2071="Resultado trading",AD2071&lt;&gt;"Cuenta de trading"),"⚠ Usa una cuenta de trading",IF(AND(G2071&lt;=0,P2071&lt;&gt;"Ajuste",P2071&lt;&gt;"Resultado trading"),"⚠ El monto debe ser positivo","✓")))))))))))))))</f>
        <v/>
      </c>
      <c r="P2071" s="52">
        <f>IF(OR(B2071="",G2071=""),"",IF(C2071="","Gasto",C2071))</f>
        <v/>
      </c>
      <c r="Q2071" s="52">
        <f>IF(P2071="","",IF(J2071&lt;&gt;"",J2071,CuentaPred&amp;""))</f>
        <v/>
      </c>
      <c r="R2071" s="52">
        <f>IF(P2071="","",IF(ISNUMBER(I2071),I2071,TasaUSD))</f>
        <v/>
      </c>
      <c r="S2071" s="53">
        <f>IF(P2071="","",IF(H2071="USD",G2071*R2071,G2071))</f>
        <v/>
      </c>
      <c r="T2071" s="53">
        <f>IF(P2071="","",IF(H2071="USD",G2071,IF(R2071&gt;0,G2071/R2071,0)))</f>
        <v/>
      </c>
      <c r="U2071" s="53">
        <f>IF(P2071="","",IF(P2071="Gasto",S2071,IF(P2071="Reembolso",-S2071,0)))</f>
        <v/>
      </c>
      <c r="V2071" s="53">
        <f>IF(P2071="","",IF(P2071="Ingreso",S2071,0))</f>
        <v/>
      </c>
      <c r="W2071" s="53">
        <f>IF(P2071="","",IF(P2071="Resultado trading",S2071,0))</f>
        <v/>
      </c>
      <c r="X2071" s="52">
        <f>IF(OR(P2071="Gasto",P2071="Reembolso"),IF(M2071&lt;&gt;"",M2071,IFERROR(INDEX(catClasif,MATCH(D2071&amp;"|"&amp;E2071,catClave,0))&amp;"","Variable")),"")</f>
        <v/>
      </c>
      <c r="Y2071" s="52">
        <f>IF(P2071="","",IFERROR(INDEX(catGrupo,MATCH(D2071&amp;"|"&amp;E2071,catClave,0))&amp;"",""))</f>
        <v/>
      </c>
      <c r="Z2071" s="52">
        <f>IF(P2071="","",WEEKDAY(B2071,2))</f>
        <v/>
      </c>
      <c r="AA2071" s="52">
        <f>IF(P2071="","",IF(AND(P2071="Gasto",X2071="Variable",D2071&lt;&gt;catTrading,S2071&gt;0,S2071&lt;=Umbral),1,0))</f>
        <v/>
      </c>
      <c r="AB2071" s="52">
        <f>IF(OR(P2071="",Q2071=""),"",IFERROR(IF(INDEX(ctaVinc,MATCH(Q2071,ctaNombre,0))&amp;""&lt;&gt;"",INDEX(ctaVinc,MATCH(Q2071,ctaNombre,0))&amp;"",Q2071),Q2071))</f>
        <v/>
      </c>
      <c r="AC2071" s="52">
        <f>IF(OR(K2071="",AND(P2071&lt;&gt;"Transferencia",P2071&lt;&gt;"Pago tarjeta")),"",IFERROR(IF(INDEX(ctaVinc,MATCH(K2071,ctaNombre,0))&amp;""&lt;&gt;"",INDEX(ctaVinc,MATCH(K2071,ctaNombre,0))&amp;"",K2071),K2071))</f>
        <v/>
      </c>
      <c r="AD2071" s="52">
        <f>IF(AB2071="","",IFERROR(INDEX(ctaTipo,MATCH(AB2071,ctaNombre,0))&amp;"",""))</f>
        <v/>
      </c>
      <c r="AE2071" s="52">
        <f>IF(AC2071="","",IFERROR(INDEX(ctaTipo,MATCH(AC2071,ctaNombre,0))&amp;"",""))</f>
        <v/>
      </c>
      <c r="AF2071" s="53">
        <f>IF(OR(P2071="",AB2071=""),"",IF(OR(P2071="Gasto",P2071="Transferencia",P2071="Pago tarjeta"),-1,1)*IF(IFERROR(INDEX(ctaMoneda,MATCH(AB2071,ctaNombre,0))&amp;"","DOP")="USD",T2071,S2071))</f>
        <v/>
      </c>
      <c r="AG2071" s="53">
        <f>IF(AC2071="","",IF(IFERROR(INDEX(ctaMoneda,MATCH(AC2071,ctaNombre,0))&amp;"","DOP")="USD",T2071,S2071))</f>
        <v/>
      </c>
      <c r="AH2071" s="53">
        <f>IF(P2071="","",IF(AND(AD2071&lt;&gt;"",COUNTIFS(tcTipo,AD2071,tcLiq,"Sí")&gt;0),IF(OR(P2071="Gasto",P2071="Transferencia",P2071="Pago tarjeta"),-1,1)*S2071,0)+IF(AND(AE2071&lt;&gt;"",COUNTIFS(tcTipo,AE2071,tcLiq,"Sí")&gt;0),S2071,0))</f>
        <v/>
      </c>
      <c r="AI2071" s="52">
        <f>IF(OR(L2071="",P2071=""),"",IF(COUNTIFS(L$6:L2071,L2071,P$6:P2071,"?*")=1,MAX(AI$5:AI2070)+1,""))</f>
        <v/>
      </c>
    </row>
    <row r="2072">
      <c r="B2072" s="47" t="n"/>
      <c r="C2072" s="48" t="n"/>
      <c r="D2072" s="48" t="n"/>
      <c r="E2072" s="48" t="n"/>
      <c r="F2072" s="48" t="n"/>
      <c r="G2072" s="49" t="n"/>
      <c r="H2072" s="48" t="n"/>
      <c r="I2072" s="50" t="n"/>
      <c r="J2072" s="48" t="n"/>
      <c r="K2072" s="48" t="n"/>
      <c r="L2072" s="48" t="n"/>
      <c r="M2072" s="48" t="n"/>
      <c r="N2072" s="48" t="n"/>
      <c r="O2072" s="51">
        <f>IF(AND(B2072="",G2072="",C2072="",D2072="",J2072=""),"",IF(B2072="","⚠ Falta fecha",IF(G2072="","⚠ Falta monto",IF(Q2072="","⚠ Falta cuenta",IF(ISNA(MATCH(Q2072,ctaNombre,0)),"⚠ Cuenta no registrada",IF(AND(OR(P2072="Gasto",P2072="Reembolso"),D2072=""),"⚠ Falta categoría",IF(AND(D2072&lt;&gt;"",E2072&lt;&gt;"",ISNA(MATCH(D2072&amp;"|"&amp;E2072,catClave,0))),"⚠ Subcategoría no corresponde",IF(AND(OR(P2072="Transferencia",P2072="Pago tarjeta"),K2072=""),"⚠ Falta cuenta destino",IF(AND(K2072&lt;&gt;"",P2072&lt;&gt;"Transferencia",P2072&lt;&gt;"Pago tarjeta"),"⚠ Destino solo aplica a transferencias",IF(AND(K2072&lt;&gt;"",K2072=Q2072),"⚠ Origen igual a destino",IF(AND(K2072&lt;&gt;"",ISNA(MATCH(K2072,ctaNombre,0))),"⚠ Destino no registrado",IF(AND(P2072="Pago tarjeta",AE2072&lt;&gt;"Tarjeta de crédito"),"⚠ El destino debe ser tarjeta de crédito",IF(AND(P2072="Gasto",E2072="Depósitos y retiros"),"⚠ Usa tipo Transferencia",IF(AND(P2072="Resultado trading",AD2072&lt;&gt;"Cuenta de trading"),"⚠ Usa una cuenta de trading",IF(AND(G2072&lt;=0,P2072&lt;&gt;"Ajuste",P2072&lt;&gt;"Resultado trading"),"⚠ El monto debe ser positivo","✓")))))))))))))))</f>
        <v/>
      </c>
      <c r="P2072" s="52">
        <f>IF(OR(B2072="",G2072=""),"",IF(C2072="","Gasto",C2072))</f>
        <v/>
      </c>
      <c r="Q2072" s="52">
        <f>IF(P2072="","",IF(J2072&lt;&gt;"",J2072,CuentaPred&amp;""))</f>
        <v/>
      </c>
      <c r="R2072" s="52">
        <f>IF(P2072="","",IF(ISNUMBER(I2072),I2072,TasaUSD))</f>
        <v/>
      </c>
      <c r="S2072" s="53">
        <f>IF(P2072="","",IF(H2072="USD",G2072*R2072,G2072))</f>
        <v/>
      </c>
      <c r="T2072" s="53">
        <f>IF(P2072="","",IF(H2072="USD",G2072,IF(R2072&gt;0,G2072/R2072,0)))</f>
        <v/>
      </c>
      <c r="U2072" s="53">
        <f>IF(P2072="","",IF(P2072="Gasto",S2072,IF(P2072="Reembolso",-S2072,0)))</f>
        <v/>
      </c>
      <c r="V2072" s="53">
        <f>IF(P2072="","",IF(P2072="Ingreso",S2072,0))</f>
        <v/>
      </c>
      <c r="W2072" s="53">
        <f>IF(P2072="","",IF(P2072="Resultado trading",S2072,0))</f>
        <v/>
      </c>
      <c r="X2072" s="52">
        <f>IF(OR(P2072="Gasto",P2072="Reembolso"),IF(M2072&lt;&gt;"",M2072,IFERROR(INDEX(catClasif,MATCH(D2072&amp;"|"&amp;E2072,catClave,0))&amp;"","Variable")),"")</f>
        <v/>
      </c>
      <c r="Y2072" s="52">
        <f>IF(P2072="","",IFERROR(INDEX(catGrupo,MATCH(D2072&amp;"|"&amp;E2072,catClave,0))&amp;"",""))</f>
        <v/>
      </c>
      <c r="Z2072" s="52">
        <f>IF(P2072="","",WEEKDAY(B2072,2))</f>
        <v/>
      </c>
      <c r="AA2072" s="52">
        <f>IF(P2072="","",IF(AND(P2072="Gasto",X2072="Variable",D2072&lt;&gt;catTrading,S2072&gt;0,S2072&lt;=Umbral),1,0))</f>
        <v/>
      </c>
      <c r="AB2072" s="52">
        <f>IF(OR(P2072="",Q2072=""),"",IFERROR(IF(INDEX(ctaVinc,MATCH(Q2072,ctaNombre,0))&amp;""&lt;&gt;"",INDEX(ctaVinc,MATCH(Q2072,ctaNombre,0))&amp;"",Q2072),Q2072))</f>
        <v/>
      </c>
      <c r="AC2072" s="52">
        <f>IF(OR(K2072="",AND(P2072&lt;&gt;"Transferencia",P2072&lt;&gt;"Pago tarjeta")),"",IFERROR(IF(INDEX(ctaVinc,MATCH(K2072,ctaNombre,0))&amp;""&lt;&gt;"",INDEX(ctaVinc,MATCH(K2072,ctaNombre,0))&amp;"",K2072),K2072))</f>
        <v/>
      </c>
      <c r="AD2072" s="52">
        <f>IF(AB2072="","",IFERROR(INDEX(ctaTipo,MATCH(AB2072,ctaNombre,0))&amp;"",""))</f>
        <v/>
      </c>
      <c r="AE2072" s="52">
        <f>IF(AC2072="","",IFERROR(INDEX(ctaTipo,MATCH(AC2072,ctaNombre,0))&amp;"",""))</f>
        <v/>
      </c>
      <c r="AF2072" s="53">
        <f>IF(OR(P2072="",AB2072=""),"",IF(OR(P2072="Gasto",P2072="Transferencia",P2072="Pago tarjeta"),-1,1)*IF(IFERROR(INDEX(ctaMoneda,MATCH(AB2072,ctaNombre,0))&amp;"","DOP")="USD",T2072,S2072))</f>
        <v/>
      </c>
      <c r="AG2072" s="53">
        <f>IF(AC2072="","",IF(IFERROR(INDEX(ctaMoneda,MATCH(AC2072,ctaNombre,0))&amp;"","DOP")="USD",T2072,S2072))</f>
        <v/>
      </c>
      <c r="AH2072" s="53">
        <f>IF(P2072="","",IF(AND(AD2072&lt;&gt;"",COUNTIFS(tcTipo,AD2072,tcLiq,"Sí")&gt;0),IF(OR(P2072="Gasto",P2072="Transferencia",P2072="Pago tarjeta"),-1,1)*S2072,0)+IF(AND(AE2072&lt;&gt;"",COUNTIFS(tcTipo,AE2072,tcLiq,"Sí")&gt;0),S2072,0))</f>
        <v/>
      </c>
      <c r="AI2072" s="52">
        <f>IF(OR(L2072="",P2072=""),"",IF(COUNTIFS(L$6:L2072,L2072,P$6:P2072,"?*")=1,MAX(AI$5:AI2071)+1,""))</f>
        <v/>
      </c>
    </row>
    <row r="2073">
      <c r="B2073" s="47" t="n"/>
      <c r="C2073" s="48" t="n"/>
      <c r="D2073" s="48" t="n"/>
      <c r="E2073" s="48" t="n"/>
      <c r="F2073" s="48" t="n"/>
      <c r="G2073" s="49" t="n"/>
      <c r="H2073" s="48" t="n"/>
      <c r="I2073" s="50" t="n"/>
      <c r="J2073" s="48" t="n"/>
      <c r="K2073" s="48" t="n"/>
      <c r="L2073" s="48" t="n"/>
      <c r="M2073" s="48" t="n"/>
      <c r="N2073" s="48" t="n"/>
      <c r="O2073" s="51">
        <f>IF(AND(B2073="",G2073="",C2073="",D2073="",J2073=""),"",IF(B2073="","⚠ Falta fecha",IF(G2073="","⚠ Falta monto",IF(Q2073="","⚠ Falta cuenta",IF(ISNA(MATCH(Q2073,ctaNombre,0)),"⚠ Cuenta no registrada",IF(AND(OR(P2073="Gasto",P2073="Reembolso"),D2073=""),"⚠ Falta categoría",IF(AND(D2073&lt;&gt;"",E2073&lt;&gt;"",ISNA(MATCH(D2073&amp;"|"&amp;E2073,catClave,0))),"⚠ Subcategoría no corresponde",IF(AND(OR(P2073="Transferencia",P2073="Pago tarjeta"),K2073=""),"⚠ Falta cuenta destino",IF(AND(K2073&lt;&gt;"",P2073&lt;&gt;"Transferencia",P2073&lt;&gt;"Pago tarjeta"),"⚠ Destino solo aplica a transferencias",IF(AND(K2073&lt;&gt;"",K2073=Q2073),"⚠ Origen igual a destino",IF(AND(K2073&lt;&gt;"",ISNA(MATCH(K2073,ctaNombre,0))),"⚠ Destino no registrado",IF(AND(P2073="Pago tarjeta",AE2073&lt;&gt;"Tarjeta de crédito"),"⚠ El destino debe ser tarjeta de crédito",IF(AND(P2073="Gasto",E2073="Depósitos y retiros"),"⚠ Usa tipo Transferencia",IF(AND(P2073="Resultado trading",AD2073&lt;&gt;"Cuenta de trading"),"⚠ Usa una cuenta de trading",IF(AND(G2073&lt;=0,P2073&lt;&gt;"Ajuste",P2073&lt;&gt;"Resultado trading"),"⚠ El monto debe ser positivo","✓")))))))))))))))</f>
        <v/>
      </c>
      <c r="P2073" s="52">
        <f>IF(OR(B2073="",G2073=""),"",IF(C2073="","Gasto",C2073))</f>
        <v/>
      </c>
      <c r="Q2073" s="52">
        <f>IF(P2073="","",IF(J2073&lt;&gt;"",J2073,CuentaPred&amp;""))</f>
        <v/>
      </c>
      <c r="R2073" s="52">
        <f>IF(P2073="","",IF(ISNUMBER(I2073),I2073,TasaUSD))</f>
        <v/>
      </c>
      <c r="S2073" s="53">
        <f>IF(P2073="","",IF(H2073="USD",G2073*R2073,G2073))</f>
        <v/>
      </c>
      <c r="T2073" s="53">
        <f>IF(P2073="","",IF(H2073="USD",G2073,IF(R2073&gt;0,G2073/R2073,0)))</f>
        <v/>
      </c>
      <c r="U2073" s="53">
        <f>IF(P2073="","",IF(P2073="Gasto",S2073,IF(P2073="Reembolso",-S2073,0)))</f>
        <v/>
      </c>
      <c r="V2073" s="53">
        <f>IF(P2073="","",IF(P2073="Ingreso",S2073,0))</f>
        <v/>
      </c>
      <c r="W2073" s="53">
        <f>IF(P2073="","",IF(P2073="Resultado trading",S2073,0))</f>
        <v/>
      </c>
      <c r="X2073" s="52">
        <f>IF(OR(P2073="Gasto",P2073="Reembolso"),IF(M2073&lt;&gt;"",M2073,IFERROR(INDEX(catClasif,MATCH(D2073&amp;"|"&amp;E2073,catClave,0))&amp;"","Variable")),"")</f>
        <v/>
      </c>
      <c r="Y2073" s="52">
        <f>IF(P2073="","",IFERROR(INDEX(catGrupo,MATCH(D2073&amp;"|"&amp;E2073,catClave,0))&amp;"",""))</f>
        <v/>
      </c>
      <c r="Z2073" s="52">
        <f>IF(P2073="","",WEEKDAY(B2073,2))</f>
        <v/>
      </c>
      <c r="AA2073" s="52">
        <f>IF(P2073="","",IF(AND(P2073="Gasto",X2073="Variable",D2073&lt;&gt;catTrading,S2073&gt;0,S2073&lt;=Umbral),1,0))</f>
        <v/>
      </c>
      <c r="AB2073" s="52">
        <f>IF(OR(P2073="",Q2073=""),"",IFERROR(IF(INDEX(ctaVinc,MATCH(Q2073,ctaNombre,0))&amp;""&lt;&gt;"",INDEX(ctaVinc,MATCH(Q2073,ctaNombre,0))&amp;"",Q2073),Q2073))</f>
        <v/>
      </c>
      <c r="AC2073" s="52">
        <f>IF(OR(K2073="",AND(P2073&lt;&gt;"Transferencia",P2073&lt;&gt;"Pago tarjeta")),"",IFERROR(IF(INDEX(ctaVinc,MATCH(K2073,ctaNombre,0))&amp;""&lt;&gt;"",INDEX(ctaVinc,MATCH(K2073,ctaNombre,0))&amp;"",K2073),K2073))</f>
        <v/>
      </c>
      <c r="AD2073" s="52">
        <f>IF(AB2073="","",IFERROR(INDEX(ctaTipo,MATCH(AB2073,ctaNombre,0))&amp;"",""))</f>
        <v/>
      </c>
      <c r="AE2073" s="52">
        <f>IF(AC2073="","",IFERROR(INDEX(ctaTipo,MATCH(AC2073,ctaNombre,0))&amp;"",""))</f>
        <v/>
      </c>
      <c r="AF2073" s="53">
        <f>IF(OR(P2073="",AB2073=""),"",IF(OR(P2073="Gasto",P2073="Transferencia",P2073="Pago tarjeta"),-1,1)*IF(IFERROR(INDEX(ctaMoneda,MATCH(AB2073,ctaNombre,0))&amp;"","DOP")="USD",T2073,S2073))</f>
        <v/>
      </c>
      <c r="AG2073" s="53">
        <f>IF(AC2073="","",IF(IFERROR(INDEX(ctaMoneda,MATCH(AC2073,ctaNombre,0))&amp;"","DOP")="USD",T2073,S2073))</f>
        <v/>
      </c>
      <c r="AH2073" s="53">
        <f>IF(P2073="","",IF(AND(AD2073&lt;&gt;"",COUNTIFS(tcTipo,AD2073,tcLiq,"Sí")&gt;0),IF(OR(P2073="Gasto",P2073="Transferencia",P2073="Pago tarjeta"),-1,1)*S2073,0)+IF(AND(AE2073&lt;&gt;"",COUNTIFS(tcTipo,AE2073,tcLiq,"Sí")&gt;0),S2073,0))</f>
        <v/>
      </c>
      <c r="AI2073" s="52">
        <f>IF(OR(L2073="",P2073=""),"",IF(COUNTIFS(L$6:L2073,L2073,P$6:P2073,"?*")=1,MAX(AI$5:AI2072)+1,""))</f>
        <v/>
      </c>
    </row>
    <row r="2074">
      <c r="B2074" s="47" t="n"/>
      <c r="C2074" s="48" t="n"/>
      <c r="D2074" s="48" t="n"/>
      <c r="E2074" s="48" t="n"/>
      <c r="F2074" s="48" t="n"/>
      <c r="G2074" s="49" t="n"/>
      <c r="H2074" s="48" t="n"/>
      <c r="I2074" s="50" t="n"/>
      <c r="J2074" s="48" t="n"/>
      <c r="K2074" s="48" t="n"/>
      <c r="L2074" s="48" t="n"/>
      <c r="M2074" s="48" t="n"/>
      <c r="N2074" s="48" t="n"/>
      <c r="O2074" s="51">
        <f>IF(AND(B2074="",G2074="",C2074="",D2074="",J2074=""),"",IF(B2074="","⚠ Falta fecha",IF(G2074="","⚠ Falta monto",IF(Q2074="","⚠ Falta cuenta",IF(ISNA(MATCH(Q2074,ctaNombre,0)),"⚠ Cuenta no registrada",IF(AND(OR(P2074="Gasto",P2074="Reembolso"),D2074=""),"⚠ Falta categoría",IF(AND(D2074&lt;&gt;"",E2074&lt;&gt;"",ISNA(MATCH(D2074&amp;"|"&amp;E2074,catClave,0))),"⚠ Subcategoría no corresponde",IF(AND(OR(P2074="Transferencia",P2074="Pago tarjeta"),K2074=""),"⚠ Falta cuenta destino",IF(AND(K2074&lt;&gt;"",P2074&lt;&gt;"Transferencia",P2074&lt;&gt;"Pago tarjeta"),"⚠ Destino solo aplica a transferencias",IF(AND(K2074&lt;&gt;"",K2074=Q2074),"⚠ Origen igual a destino",IF(AND(K2074&lt;&gt;"",ISNA(MATCH(K2074,ctaNombre,0))),"⚠ Destino no registrado",IF(AND(P2074="Pago tarjeta",AE2074&lt;&gt;"Tarjeta de crédito"),"⚠ El destino debe ser tarjeta de crédito",IF(AND(P2074="Gasto",E2074="Depósitos y retiros"),"⚠ Usa tipo Transferencia",IF(AND(P2074="Resultado trading",AD2074&lt;&gt;"Cuenta de trading"),"⚠ Usa una cuenta de trading",IF(AND(G2074&lt;=0,P2074&lt;&gt;"Ajuste",P2074&lt;&gt;"Resultado trading"),"⚠ El monto debe ser positivo","✓")))))))))))))))</f>
        <v/>
      </c>
      <c r="P2074" s="52">
        <f>IF(OR(B2074="",G2074=""),"",IF(C2074="","Gasto",C2074))</f>
        <v/>
      </c>
      <c r="Q2074" s="52">
        <f>IF(P2074="","",IF(J2074&lt;&gt;"",J2074,CuentaPred&amp;""))</f>
        <v/>
      </c>
      <c r="R2074" s="52">
        <f>IF(P2074="","",IF(ISNUMBER(I2074),I2074,TasaUSD))</f>
        <v/>
      </c>
      <c r="S2074" s="53">
        <f>IF(P2074="","",IF(H2074="USD",G2074*R2074,G2074))</f>
        <v/>
      </c>
      <c r="T2074" s="53">
        <f>IF(P2074="","",IF(H2074="USD",G2074,IF(R2074&gt;0,G2074/R2074,0)))</f>
        <v/>
      </c>
      <c r="U2074" s="53">
        <f>IF(P2074="","",IF(P2074="Gasto",S2074,IF(P2074="Reembolso",-S2074,0)))</f>
        <v/>
      </c>
      <c r="V2074" s="53">
        <f>IF(P2074="","",IF(P2074="Ingreso",S2074,0))</f>
        <v/>
      </c>
      <c r="W2074" s="53">
        <f>IF(P2074="","",IF(P2074="Resultado trading",S2074,0))</f>
        <v/>
      </c>
      <c r="X2074" s="52">
        <f>IF(OR(P2074="Gasto",P2074="Reembolso"),IF(M2074&lt;&gt;"",M2074,IFERROR(INDEX(catClasif,MATCH(D2074&amp;"|"&amp;E2074,catClave,0))&amp;"","Variable")),"")</f>
        <v/>
      </c>
      <c r="Y2074" s="52">
        <f>IF(P2074="","",IFERROR(INDEX(catGrupo,MATCH(D2074&amp;"|"&amp;E2074,catClave,0))&amp;"",""))</f>
        <v/>
      </c>
      <c r="Z2074" s="52">
        <f>IF(P2074="","",WEEKDAY(B2074,2))</f>
        <v/>
      </c>
      <c r="AA2074" s="52">
        <f>IF(P2074="","",IF(AND(P2074="Gasto",X2074="Variable",D2074&lt;&gt;catTrading,S2074&gt;0,S2074&lt;=Umbral),1,0))</f>
        <v/>
      </c>
      <c r="AB2074" s="52">
        <f>IF(OR(P2074="",Q2074=""),"",IFERROR(IF(INDEX(ctaVinc,MATCH(Q2074,ctaNombre,0))&amp;""&lt;&gt;"",INDEX(ctaVinc,MATCH(Q2074,ctaNombre,0))&amp;"",Q2074),Q2074))</f>
        <v/>
      </c>
      <c r="AC2074" s="52">
        <f>IF(OR(K2074="",AND(P2074&lt;&gt;"Transferencia",P2074&lt;&gt;"Pago tarjeta")),"",IFERROR(IF(INDEX(ctaVinc,MATCH(K2074,ctaNombre,0))&amp;""&lt;&gt;"",INDEX(ctaVinc,MATCH(K2074,ctaNombre,0))&amp;"",K2074),K2074))</f>
        <v/>
      </c>
      <c r="AD2074" s="52">
        <f>IF(AB2074="","",IFERROR(INDEX(ctaTipo,MATCH(AB2074,ctaNombre,0))&amp;"",""))</f>
        <v/>
      </c>
      <c r="AE2074" s="52">
        <f>IF(AC2074="","",IFERROR(INDEX(ctaTipo,MATCH(AC2074,ctaNombre,0))&amp;"",""))</f>
        <v/>
      </c>
      <c r="AF2074" s="53">
        <f>IF(OR(P2074="",AB2074=""),"",IF(OR(P2074="Gasto",P2074="Transferencia",P2074="Pago tarjeta"),-1,1)*IF(IFERROR(INDEX(ctaMoneda,MATCH(AB2074,ctaNombre,0))&amp;"","DOP")="USD",T2074,S2074))</f>
        <v/>
      </c>
      <c r="AG2074" s="53">
        <f>IF(AC2074="","",IF(IFERROR(INDEX(ctaMoneda,MATCH(AC2074,ctaNombre,0))&amp;"","DOP")="USD",T2074,S2074))</f>
        <v/>
      </c>
      <c r="AH2074" s="53">
        <f>IF(P2074="","",IF(AND(AD2074&lt;&gt;"",COUNTIFS(tcTipo,AD2074,tcLiq,"Sí")&gt;0),IF(OR(P2074="Gasto",P2074="Transferencia",P2074="Pago tarjeta"),-1,1)*S2074,0)+IF(AND(AE2074&lt;&gt;"",COUNTIFS(tcTipo,AE2074,tcLiq,"Sí")&gt;0),S2074,0))</f>
        <v/>
      </c>
      <c r="AI2074" s="52">
        <f>IF(OR(L2074="",P2074=""),"",IF(COUNTIFS(L$6:L2074,L2074,P$6:P2074,"?*")=1,MAX(AI$5:AI2073)+1,""))</f>
        <v/>
      </c>
    </row>
    <row r="2075">
      <c r="B2075" s="47" t="n"/>
      <c r="C2075" s="48" t="n"/>
      <c r="D2075" s="48" t="n"/>
      <c r="E2075" s="48" t="n"/>
      <c r="F2075" s="48" t="n"/>
      <c r="G2075" s="49" t="n"/>
      <c r="H2075" s="48" t="n"/>
      <c r="I2075" s="50" t="n"/>
      <c r="J2075" s="48" t="n"/>
      <c r="K2075" s="48" t="n"/>
      <c r="L2075" s="48" t="n"/>
      <c r="M2075" s="48" t="n"/>
      <c r="N2075" s="48" t="n"/>
      <c r="O2075" s="51">
        <f>IF(AND(B2075="",G2075="",C2075="",D2075="",J2075=""),"",IF(B2075="","⚠ Falta fecha",IF(G2075="","⚠ Falta monto",IF(Q2075="","⚠ Falta cuenta",IF(ISNA(MATCH(Q2075,ctaNombre,0)),"⚠ Cuenta no registrada",IF(AND(OR(P2075="Gasto",P2075="Reembolso"),D2075=""),"⚠ Falta categoría",IF(AND(D2075&lt;&gt;"",E2075&lt;&gt;"",ISNA(MATCH(D2075&amp;"|"&amp;E2075,catClave,0))),"⚠ Subcategoría no corresponde",IF(AND(OR(P2075="Transferencia",P2075="Pago tarjeta"),K2075=""),"⚠ Falta cuenta destino",IF(AND(K2075&lt;&gt;"",P2075&lt;&gt;"Transferencia",P2075&lt;&gt;"Pago tarjeta"),"⚠ Destino solo aplica a transferencias",IF(AND(K2075&lt;&gt;"",K2075=Q2075),"⚠ Origen igual a destino",IF(AND(K2075&lt;&gt;"",ISNA(MATCH(K2075,ctaNombre,0))),"⚠ Destino no registrado",IF(AND(P2075="Pago tarjeta",AE2075&lt;&gt;"Tarjeta de crédito"),"⚠ El destino debe ser tarjeta de crédito",IF(AND(P2075="Gasto",E2075="Depósitos y retiros"),"⚠ Usa tipo Transferencia",IF(AND(P2075="Resultado trading",AD2075&lt;&gt;"Cuenta de trading"),"⚠ Usa una cuenta de trading",IF(AND(G2075&lt;=0,P2075&lt;&gt;"Ajuste",P2075&lt;&gt;"Resultado trading"),"⚠ El monto debe ser positivo","✓")))))))))))))))</f>
        <v/>
      </c>
      <c r="P2075" s="52">
        <f>IF(OR(B2075="",G2075=""),"",IF(C2075="","Gasto",C2075))</f>
        <v/>
      </c>
      <c r="Q2075" s="52">
        <f>IF(P2075="","",IF(J2075&lt;&gt;"",J2075,CuentaPred&amp;""))</f>
        <v/>
      </c>
      <c r="R2075" s="52">
        <f>IF(P2075="","",IF(ISNUMBER(I2075),I2075,TasaUSD))</f>
        <v/>
      </c>
      <c r="S2075" s="53">
        <f>IF(P2075="","",IF(H2075="USD",G2075*R2075,G2075))</f>
        <v/>
      </c>
      <c r="T2075" s="53">
        <f>IF(P2075="","",IF(H2075="USD",G2075,IF(R2075&gt;0,G2075/R2075,0)))</f>
        <v/>
      </c>
      <c r="U2075" s="53">
        <f>IF(P2075="","",IF(P2075="Gasto",S2075,IF(P2075="Reembolso",-S2075,0)))</f>
        <v/>
      </c>
      <c r="V2075" s="53">
        <f>IF(P2075="","",IF(P2075="Ingreso",S2075,0))</f>
        <v/>
      </c>
      <c r="W2075" s="53">
        <f>IF(P2075="","",IF(P2075="Resultado trading",S2075,0))</f>
        <v/>
      </c>
      <c r="X2075" s="52">
        <f>IF(OR(P2075="Gasto",P2075="Reembolso"),IF(M2075&lt;&gt;"",M2075,IFERROR(INDEX(catClasif,MATCH(D2075&amp;"|"&amp;E2075,catClave,0))&amp;"","Variable")),"")</f>
        <v/>
      </c>
      <c r="Y2075" s="52">
        <f>IF(P2075="","",IFERROR(INDEX(catGrupo,MATCH(D2075&amp;"|"&amp;E2075,catClave,0))&amp;"",""))</f>
        <v/>
      </c>
      <c r="Z2075" s="52">
        <f>IF(P2075="","",WEEKDAY(B2075,2))</f>
        <v/>
      </c>
      <c r="AA2075" s="52">
        <f>IF(P2075="","",IF(AND(P2075="Gasto",X2075="Variable",D2075&lt;&gt;catTrading,S2075&gt;0,S2075&lt;=Umbral),1,0))</f>
        <v/>
      </c>
      <c r="AB2075" s="52">
        <f>IF(OR(P2075="",Q2075=""),"",IFERROR(IF(INDEX(ctaVinc,MATCH(Q2075,ctaNombre,0))&amp;""&lt;&gt;"",INDEX(ctaVinc,MATCH(Q2075,ctaNombre,0))&amp;"",Q2075),Q2075))</f>
        <v/>
      </c>
      <c r="AC2075" s="52">
        <f>IF(OR(K2075="",AND(P2075&lt;&gt;"Transferencia",P2075&lt;&gt;"Pago tarjeta")),"",IFERROR(IF(INDEX(ctaVinc,MATCH(K2075,ctaNombre,0))&amp;""&lt;&gt;"",INDEX(ctaVinc,MATCH(K2075,ctaNombre,0))&amp;"",K2075),K2075))</f>
        <v/>
      </c>
      <c r="AD2075" s="52">
        <f>IF(AB2075="","",IFERROR(INDEX(ctaTipo,MATCH(AB2075,ctaNombre,0))&amp;"",""))</f>
        <v/>
      </c>
      <c r="AE2075" s="52">
        <f>IF(AC2075="","",IFERROR(INDEX(ctaTipo,MATCH(AC2075,ctaNombre,0))&amp;"",""))</f>
        <v/>
      </c>
      <c r="AF2075" s="53">
        <f>IF(OR(P2075="",AB2075=""),"",IF(OR(P2075="Gasto",P2075="Transferencia",P2075="Pago tarjeta"),-1,1)*IF(IFERROR(INDEX(ctaMoneda,MATCH(AB2075,ctaNombre,0))&amp;"","DOP")="USD",T2075,S2075))</f>
        <v/>
      </c>
      <c r="AG2075" s="53">
        <f>IF(AC2075="","",IF(IFERROR(INDEX(ctaMoneda,MATCH(AC2075,ctaNombre,0))&amp;"","DOP")="USD",T2075,S2075))</f>
        <v/>
      </c>
      <c r="AH2075" s="53">
        <f>IF(P2075="","",IF(AND(AD2075&lt;&gt;"",COUNTIFS(tcTipo,AD2075,tcLiq,"Sí")&gt;0),IF(OR(P2075="Gasto",P2075="Transferencia",P2075="Pago tarjeta"),-1,1)*S2075,0)+IF(AND(AE2075&lt;&gt;"",COUNTIFS(tcTipo,AE2075,tcLiq,"Sí")&gt;0),S2075,0))</f>
        <v/>
      </c>
      <c r="AI2075" s="52">
        <f>IF(OR(L2075="",P2075=""),"",IF(COUNTIFS(L$6:L2075,L2075,P$6:P2075,"?*")=1,MAX(AI$5:AI2074)+1,""))</f>
        <v/>
      </c>
    </row>
    <row r="2076">
      <c r="B2076" s="47" t="n"/>
      <c r="C2076" s="48" t="n"/>
      <c r="D2076" s="48" t="n"/>
      <c r="E2076" s="48" t="n"/>
      <c r="F2076" s="48" t="n"/>
      <c r="G2076" s="49" t="n"/>
      <c r="H2076" s="48" t="n"/>
      <c r="I2076" s="50" t="n"/>
      <c r="J2076" s="48" t="n"/>
      <c r="K2076" s="48" t="n"/>
      <c r="L2076" s="48" t="n"/>
      <c r="M2076" s="48" t="n"/>
      <c r="N2076" s="48" t="n"/>
      <c r="O2076" s="51">
        <f>IF(AND(B2076="",G2076="",C2076="",D2076="",J2076=""),"",IF(B2076="","⚠ Falta fecha",IF(G2076="","⚠ Falta monto",IF(Q2076="","⚠ Falta cuenta",IF(ISNA(MATCH(Q2076,ctaNombre,0)),"⚠ Cuenta no registrada",IF(AND(OR(P2076="Gasto",P2076="Reembolso"),D2076=""),"⚠ Falta categoría",IF(AND(D2076&lt;&gt;"",E2076&lt;&gt;"",ISNA(MATCH(D2076&amp;"|"&amp;E2076,catClave,0))),"⚠ Subcategoría no corresponde",IF(AND(OR(P2076="Transferencia",P2076="Pago tarjeta"),K2076=""),"⚠ Falta cuenta destino",IF(AND(K2076&lt;&gt;"",P2076&lt;&gt;"Transferencia",P2076&lt;&gt;"Pago tarjeta"),"⚠ Destino solo aplica a transferencias",IF(AND(K2076&lt;&gt;"",K2076=Q2076),"⚠ Origen igual a destino",IF(AND(K2076&lt;&gt;"",ISNA(MATCH(K2076,ctaNombre,0))),"⚠ Destino no registrado",IF(AND(P2076="Pago tarjeta",AE2076&lt;&gt;"Tarjeta de crédito"),"⚠ El destino debe ser tarjeta de crédito",IF(AND(P2076="Gasto",E2076="Depósitos y retiros"),"⚠ Usa tipo Transferencia",IF(AND(P2076="Resultado trading",AD2076&lt;&gt;"Cuenta de trading"),"⚠ Usa una cuenta de trading",IF(AND(G2076&lt;=0,P2076&lt;&gt;"Ajuste",P2076&lt;&gt;"Resultado trading"),"⚠ El monto debe ser positivo","✓")))))))))))))))</f>
        <v/>
      </c>
      <c r="P2076" s="52">
        <f>IF(OR(B2076="",G2076=""),"",IF(C2076="","Gasto",C2076))</f>
        <v/>
      </c>
      <c r="Q2076" s="52">
        <f>IF(P2076="","",IF(J2076&lt;&gt;"",J2076,CuentaPred&amp;""))</f>
        <v/>
      </c>
      <c r="R2076" s="52">
        <f>IF(P2076="","",IF(ISNUMBER(I2076),I2076,TasaUSD))</f>
        <v/>
      </c>
      <c r="S2076" s="53">
        <f>IF(P2076="","",IF(H2076="USD",G2076*R2076,G2076))</f>
        <v/>
      </c>
      <c r="T2076" s="53">
        <f>IF(P2076="","",IF(H2076="USD",G2076,IF(R2076&gt;0,G2076/R2076,0)))</f>
        <v/>
      </c>
      <c r="U2076" s="53">
        <f>IF(P2076="","",IF(P2076="Gasto",S2076,IF(P2076="Reembolso",-S2076,0)))</f>
        <v/>
      </c>
      <c r="V2076" s="53">
        <f>IF(P2076="","",IF(P2076="Ingreso",S2076,0))</f>
        <v/>
      </c>
      <c r="W2076" s="53">
        <f>IF(P2076="","",IF(P2076="Resultado trading",S2076,0))</f>
        <v/>
      </c>
      <c r="X2076" s="52">
        <f>IF(OR(P2076="Gasto",P2076="Reembolso"),IF(M2076&lt;&gt;"",M2076,IFERROR(INDEX(catClasif,MATCH(D2076&amp;"|"&amp;E2076,catClave,0))&amp;"","Variable")),"")</f>
        <v/>
      </c>
      <c r="Y2076" s="52">
        <f>IF(P2076="","",IFERROR(INDEX(catGrupo,MATCH(D2076&amp;"|"&amp;E2076,catClave,0))&amp;"",""))</f>
        <v/>
      </c>
      <c r="Z2076" s="52">
        <f>IF(P2076="","",WEEKDAY(B2076,2))</f>
        <v/>
      </c>
      <c r="AA2076" s="52">
        <f>IF(P2076="","",IF(AND(P2076="Gasto",X2076="Variable",D2076&lt;&gt;catTrading,S2076&gt;0,S2076&lt;=Umbral),1,0))</f>
        <v/>
      </c>
      <c r="AB2076" s="52">
        <f>IF(OR(P2076="",Q2076=""),"",IFERROR(IF(INDEX(ctaVinc,MATCH(Q2076,ctaNombre,0))&amp;""&lt;&gt;"",INDEX(ctaVinc,MATCH(Q2076,ctaNombre,0))&amp;"",Q2076),Q2076))</f>
        <v/>
      </c>
      <c r="AC2076" s="52">
        <f>IF(OR(K2076="",AND(P2076&lt;&gt;"Transferencia",P2076&lt;&gt;"Pago tarjeta")),"",IFERROR(IF(INDEX(ctaVinc,MATCH(K2076,ctaNombre,0))&amp;""&lt;&gt;"",INDEX(ctaVinc,MATCH(K2076,ctaNombre,0))&amp;"",K2076),K2076))</f>
        <v/>
      </c>
      <c r="AD2076" s="52">
        <f>IF(AB2076="","",IFERROR(INDEX(ctaTipo,MATCH(AB2076,ctaNombre,0))&amp;"",""))</f>
        <v/>
      </c>
      <c r="AE2076" s="52">
        <f>IF(AC2076="","",IFERROR(INDEX(ctaTipo,MATCH(AC2076,ctaNombre,0))&amp;"",""))</f>
        <v/>
      </c>
      <c r="AF2076" s="53">
        <f>IF(OR(P2076="",AB2076=""),"",IF(OR(P2076="Gasto",P2076="Transferencia",P2076="Pago tarjeta"),-1,1)*IF(IFERROR(INDEX(ctaMoneda,MATCH(AB2076,ctaNombre,0))&amp;"","DOP")="USD",T2076,S2076))</f>
        <v/>
      </c>
      <c r="AG2076" s="53">
        <f>IF(AC2076="","",IF(IFERROR(INDEX(ctaMoneda,MATCH(AC2076,ctaNombre,0))&amp;"","DOP")="USD",T2076,S2076))</f>
        <v/>
      </c>
      <c r="AH2076" s="53">
        <f>IF(P2076="","",IF(AND(AD2076&lt;&gt;"",COUNTIFS(tcTipo,AD2076,tcLiq,"Sí")&gt;0),IF(OR(P2076="Gasto",P2076="Transferencia",P2076="Pago tarjeta"),-1,1)*S2076,0)+IF(AND(AE2076&lt;&gt;"",COUNTIFS(tcTipo,AE2076,tcLiq,"Sí")&gt;0),S2076,0))</f>
        <v/>
      </c>
      <c r="AI2076" s="52">
        <f>IF(OR(L2076="",P2076=""),"",IF(COUNTIFS(L$6:L2076,L2076,P$6:P2076,"?*")=1,MAX(AI$5:AI2075)+1,""))</f>
        <v/>
      </c>
    </row>
    <row r="2077">
      <c r="B2077" s="47" t="n"/>
      <c r="C2077" s="48" t="n"/>
      <c r="D2077" s="48" t="n"/>
      <c r="E2077" s="48" t="n"/>
      <c r="F2077" s="48" t="n"/>
      <c r="G2077" s="49" t="n"/>
      <c r="H2077" s="48" t="n"/>
      <c r="I2077" s="50" t="n"/>
      <c r="J2077" s="48" t="n"/>
      <c r="K2077" s="48" t="n"/>
      <c r="L2077" s="48" t="n"/>
      <c r="M2077" s="48" t="n"/>
      <c r="N2077" s="48" t="n"/>
      <c r="O2077" s="51">
        <f>IF(AND(B2077="",G2077="",C2077="",D2077="",J2077=""),"",IF(B2077="","⚠ Falta fecha",IF(G2077="","⚠ Falta monto",IF(Q2077="","⚠ Falta cuenta",IF(ISNA(MATCH(Q2077,ctaNombre,0)),"⚠ Cuenta no registrada",IF(AND(OR(P2077="Gasto",P2077="Reembolso"),D2077=""),"⚠ Falta categoría",IF(AND(D2077&lt;&gt;"",E2077&lt;&gt;"",ISNA(MATCH(D2077&amp;"|"&amp;E2077,catClave,0))),"⚠ Subcategoría no corresponde",IF(AND(OR(P2077="Transferencia",P2077="Pago tarjeta"),K2077=""),"⚠ Falta cuenta destino",IF(AND(K2077&lt;&gt;"",P2077&lt;&gt;"Transferencia",P2077&lt;&gt;"Pago tarjeta"),"⚠ Destino solo aplica a transferencias",IF(AND(K2077&lt;&gt;"",K2077=Q2077),"⚠ Origen igual a destino",IF(AND(K2077&lt;&gt;"",ISNA(MATCH(K2077,ctaNombre,0))),"⚠ Destino no registrado",IF(AND(P2077="Pago tarjeta",AE2077&lt;&gt;"Tarjeta de crédito"),"⚠ El destino debe ser tarjeta de crédito",IF(AND(P2077="Gasto",E2077="Depósitos y retiros"),"⚠ Usa tipo Transferencia",IF(AND(P2077="Resultado trading",AD2077&lt;&gt;"Cuenta de trading"),"⚠ Usa una cuenta de trading",IF(AND(G2077&lt;=0,P2077&lt;&gt;"Ajuste",P2077&lt;&gt;"Resultado trading"),"⚠ El monto debe ser positivo","✓")))))))))))))))</f>
        <v/>
      </c>
      <c r="P2077" s="52">
        <f>IF(OR(B2077="",G2077=""),"",IF(C2077="","Gasto",C2077))</f>
        <v/>
      </c>
      <c r="Q2077" s="52">
        <f>IF(P2077="","",IF(J2077&lt;&gt;"",J2077,CuentaPred&amp;""))</f>
        <v/>
      </c>
      <c r="R2077" s="52">
        <f>IF(P2077="","",IF(ISNUMBER(I2077),I2077,TasaUSD))</f>
        <v/>
      </c>
      <c r="S2077" s="53">
        <f>IF(P2077="","",IF(H2077="USD",G2077*R2077,G2077))</f>
        <v/>
      </c>
      <c r="T2077" s="53">
        <f>IF(P2077="","",IF(H2077="USD",G2077,IF(R2077&gt;0,G2077/R2077,0)))</f>
        <v/>
      </c>
      <c r="U2077" s="53">
        <f>IF(P2077="","",IF(P2077="Gasto",S2077,IF(P2077="Reembolso",-S2077,0)))</f>
        <v/>
      </c>
      <c r="V2077" s="53">
        <f>IF(P2077="","",IF(P2077="Ingreso",S2077,0))</f>
        <v/>
      </c>
      <c r="W2077" s="53">
        <f>IF(P2077="","",IF(P2077="Resultado trading",S2077,0))</f>
        <v/>
      </c>
      <c r="X2077" s="52">
        <f>IF(OR(P2077="Gasto",P2077="Reembolso"),IF(M2077&lt;&gt;"",M2077,IFERROR(INDEX(catClasif,MATCH(D2077&amp;"|"&amp;E2077,catClave,0))&amp;"","Variable")),"")</f>
        <v/>
      </c>
      <c r="Y2077" s="52">
        <f>IF(P2077="","",IFERROR(INDEX(catGrupo,MATCH(D2077&amp;"|"&amp;E2077,catClave,0))&amp;"",""))</f>
        <v/>
      </c>
      <c r="Z2077" s="52">
        <f>IF(P2077="","",WEEKDAY(B2077,2))</f>
        <v/>
      </c>
      <c r="AA2077" s="52">
        <f>IF(P2077="","",IF(AND(P2077="Gasto",X2077="Variable",D2077&lt;&gt;catTrading,S2077&gt;0,S2077&lt;=Umbral),1,0))</f>
        <v/>
      </c>
      <c r="AB2077" s="52">
        <f>IF(OR(P2077="",Q2077=""),"",IFERROR(IF(INDEX(ctaVinc,MATCH(Q2077,ctaNombre,0))&amp;""&lt;&gt;"",INDEX(ctaVinc,MATCH(Q2077,ctaNombre,0))&amp;"",Q2077),Q2077))</f>
        <v/>
      </c>
      <c r="AC2077" s="52">
        <f>IF(OR(K2077="",AND(P2077&lt;&gt;"Transferencia",P2077&lt;&gt;"Pago tarjeta")),"",IFERROR(IF(INDEX(ctaVinc,MATCH(K2077,ctaNombre,0))&amp;""&lt;&gt;"",INDEX(ctaVinc,MATCH(K2077,ctaNombre,0))&amp;"",K2077),K2077))</f>
        <v/>
      </c>
      <c r="AD2077" s="52">
        <f>IF(AB2077="","",IFERROR(INDEX(ctaTipo,MATCH(AB2077,ctaNombre,0))&amp;"",""))</f>
        <v/>
      </c>
      <c r="AE2077" s="52">
        <f>IF(AC2077="","",IFERROR(INDEX(ctaTipo,MATCH(AC2077,ctaNombre,0))&amp;"",""))</f>
        <v/>
      </c>
      <c r="AF2077" s="53">
        <f>IF(OR(P2077="",AB2077=""),"",IF(OR(P2077="Gasto",P2077="Transferencia",P2077="Pago tarjeta"),-1,1)*IF(IFERROR(INDEX(ctaMoneda,MATCH(AB2077,ctaNombre,0))&amp;"","DOP")="USD",T2077,S2077))</f>
        <v/>
      </c>
      <c r="AG2077" s="53">
        <f>IF(AC2077="","",IF(IFERROR(INDEX(ctaMoneda,MATCH(AC2077,ctaNombre,0))&amp;"","DOP")="USD",T2077,S2077))</f>
        <v/>
      </c>
      <c r="AH2077" s="53">
        <f>IF(P2077="","",IF(AND(AD2077&lt;&gt;"",COUNTIFS(tcTipo,AD2077,tcLiq,"Sí")&gt;0),IF(OR(P2077="Gasto",P2077="Transferencia",P2077="Pago tarjeta"),-1,1)*S2077,0)+IF(AND(AE2077&lt;&gt;"",COUNTIFS(tcTipo,AE2077,tcLiq,"Sí")&gt;0),S2077,0))</f>
        <v/>
      </c>
      <c r="AI2077" s="52">
        <f>IF(OR(L2077="",P2077=""),"",IF(COUNTIFS(L$6:L2077,L2077,P$6:P2077,"?*")=1,MAX(AI$5:AI2076)+1,""))</f>
        <v/>
      </c>
    </row>
    <row r="2078">
      <c r="B2078" s="47" t="n"/>
      <c r="C2078" s="48" t="n"/>
      <c r="D2078" s="48" t="n"/>
      <c r="E2078" s="48" t="n"/>
      <c r="F2078" s="48" t="n"/>
      <c r="G2078" s="49" t="n"/>
      <c r="H2078" s="48" t="n"/>
      <c r="I2078" s="50" t="n"/>
      <c r="J2078" s="48" t="n"/>
      <c r="K2078" s="48" t="n"/>
      <c r="L2078" s="48" t="n"/>
      <c r="M2078" s="48" t="n"/>
      <c r="N2078" s="48" t="n"/>
      <c r="O2078" s="51">
        <f>IF(AND(B2078="",G2078="",C2078="",D2078="",J2078=""),"",IF(B2078="","⚠ Falta fecha",IF(G2078="","⚠ Falta monto",IF(Q2078="","⚠ Falta cuenta",IF(ISNA(MATCH(Q2078,ctaNombre,0)),"⚠ Cuenta no registrada",IF(AND(OR(P2078="Gasto",P2078="Reembolso"),D2078=""),"⚠ Falta categoría",IF(AND(D2078&lt;&gt;"",E2078&lt;&gt;"",ISNA(MATCH(D2078&amp;"|"&amp;E2078,catClave,0))),"⚠ Subcategoría no corresponde",IF(AND(OR(P2078="Transferencia",P2078="Pago tarjeta"),K2078=""),"⚠ Falta cuenta destino",IF(AND(K2078&lt;&gt;"",P2078&lt;&gt;"Transferencia",P2078&lt;&gt;"Pago tarjeta"),"⚠ Destino solo aplica a transferencias",IF(AND(K2078&lt;&gt;"",K2078=Q2078),"⚠ Origen igual a destino",IF(AND(K2078&lt;&gt;"",ISNA(MATCH(K2078,ctaNombre,0))),"⚠ Destino no registrado",IF(AND(P2078="Pago tarjeta",AE2078&lt;&gt;"Tarjeta de crédito"),"⚠ El destino debe ser tarjeta de crédito",IF(AND(P2078="Gasto",E2078="Depósitos y retiros"),"⚠ Usa tipo Transferencia",IF(AND(P2078="Resultado trading",AD2078&lt;&gt;"Cuenta de trading"),"⚠ Usa una cuenta de trading",IF(AND(G2078&lt;=0,P2078&lt;&gt;"Ajuste",P2078&lt;&gt;"Resultado trading"),"⚠ El monto debe ser positivo","✓")))))))))))))))</f>
        <v/>
      </c>
      <c r="P2078" s="52">
        <f>IF(OR(B2078="",G2078=""),"",IF(C2078="","Gasto",C2078))</f>
        <v/>
      </c>
      <c r="Q2078" s="52">
        <f>IF(P2078="","",IF(J2078&lt;&gt;"",J2078,CuentaPred&amp;""))</f>
        <v/>
      </c>
      <c r="R2078" s="52">
        <f>IF(P2078="","",IF(ISNUMBER(I2078),I2078,TasaUSD))</f>
        <v/>
      </c>
      <c r="S2078" s="53">
        <f>IF(P2078="","",IF(H2078="USD",G2078*R2078,G2078))</f>
        <v/>
      </c>
      <c r="T2078" s="53">
        <f>IF(P2078="","",IF(H2078="USD",G2078,IF(R2078&gt;0,G2078/R2078,0)))</f>
        <v/>
      </c>
      <c r="U2078" s="53">
        <f>IF(P2078="","",IF(P2078="Gasto",S2078,IF(P2078="Reembolso",-S2078,0)))</f>
        <v/>
      </c>
      <c r="V2078" s="53">
        <f>IF(P2078="","",IF(P2078="Ingreso",S2078,0))</f>
        <v/>
      </c>
      <c r="W2078" s="53">
        <f>IF(P2078="","",IF(P2078="Resultado trading",S2078,0))</f>
        <v/>
      </c>
      <c r="X2078" s="52">
        <f>IF(OR(P2078="Gasto",P2078="Reembolso"),IF(M2078&lt;&gt;"",M2078,IFERROR(INDEX(catClasif,MATCH(D2078&amp;"|"&amp;E2078,catClave,0))&amp;"","Variable")),"")</f>
        <v/>
      </c>
      <c r="Y2078" s="52">
        <f>IF(P2078="","",IFERROR(INDEX(catGrupo,MATCH(D2078&amp;"|"&amp;E2078,catClave,0))&amp;"",""))</f>
        <v/>
      </c>
      <c r="Z2078" s="52">
        <f>IF(P2078="","",WEEKDAY(B2078,2))</f>
        <v/>
      </c>
      <c r="AA2078" s="52">
        <f>IF(P2078="","",IF(AND(P2078="Gasto",X2078="Variable",D2078&lt;&gt;catTrading,S2078&gt;0,S2078&lt;=Umbral),1,0))</f>
        <v/>
      </c>
      <c r="AB2078" s="52">
        <f>IF(OR(P2078="",Q2078=""),"",IFERROR(IF(INDEX(ctaVinc,MATCH(Q2078,ctaNombre,0))&amp;""&lt;&gt;"",INDEX(ctaVinc,MATCH(Q2078,ctaNombre,0))&amp;"",Q2078),Q2078))</f>
        <v/>
      </c>
      <c r="AC2078" s="52">
        <f>IF(OR(K2078="",AND(P2078&lt;&gt;"Transferencia",P2078&lt;&gt;"Pago tarjeta")),"",IFERROR(IF(INDEX(ctaVinc,MATCH(K2078,ctaNombre,0))&amp;""&lt;&gt;"",INDEX(ctaVinc,MATCH(K2078,ctaNombre,0))&amp;"",K2078),K2078))</f>
        <v/>
      </c>
      <c r="AD2078" s="52">
        <f>IF(AB2078="","",IFERROR(INDEX(ctaTipo,MATCH(AB2078,ctaNombre,0))&amp;"",""))</f>
        <v/>
      </c>
      <c r="AE2078" s="52">
        <f>IF(AC2078="","",IFERROR(INDEX(ctaTipo,MATCH(AC2078,ctaNombre,0))&amp;"",""))</f>
        <v/>
      </c>
      <c r="AF2078" s="53">
        <f>IF(OR(P2078="",AB2078=""),"",IF(OR(P2078="Gasto",P2078="Transferencia",P2078="Pago tarjeta"),-1,1)*IF(IFERROR(INDEX(ctaMoneda,MATCH(AB2078,ctaNombre,0))&amp;"","DOP")="USD",T2078,S2078))</f>
        <v/>
      </c>
      <c r="AG2078" s="53">
        <f>IF(AC2078="","",IF(IFERROR(INDEX(ctaMoneda,MATCH(AC2078,ctaNombre,0))&amp;"","DOP")="USD",T2078,S2078))</f>
        <v/>
      </c>
      <c r="AH2078" s="53">
        <f>IF(P2078="","",IF(AND(AD2078&lt;&gt;"",COUNTIFS(tcTipo,AD2078,tcLiq,"Sí")&gt;0),IF(OR(P2078="Gasto",P2078="Transferencia",P2078="Pago tarjeta"),-1,1)*S2078,0)+IF(AND(AE2078&lt;&gt;"",COUNTIFS(tcTipo,AE2078,tcLiq,"Sí")&gt;0),S2078,0))</f>
        <v/>
      </c>
      <c r="AI2078" s="52">
        <f>IF(OR(L2078="",P2078=""),"",IF(COUNTIFS(L$6:L2078,L2078,P$6:P2078,"?*")=1,MAX(AI$5:AI2077)+1,""))</f>
        <v/>
      </c>
    </row>
    <row r="2079">
      <c r="B2079" s="47" t="n"/>
      <c r="C2079" s="48" t="n"/>
      <c r="D2079" s="48" t="n"/>
      <c r="E2079" s="48" t="n"/>
      <c r="F2079" s="48" t="n"/>
      <c r="G2079" s="49" t="n"/>
      <c r="H2079" s="48" t="n"/>
      <c r="I2079" s="50" t="n"/>
      <c r="J2079" s="48" t="n"/>
      <c r="K2079" s="48" t="n"/>
      <c r="L2079" s="48" t="n"/>
      <c r="M2079" s="48" t="n"/>
      <c r="N2079" s="48" t="n"/>
      <c r="O2079" s="51">
        <f>IF(AND(B2079="",G2079="",C2079="",D2079="",J2079=""),"",IF(B2079="","⚠ Falta fecha",IF(G2079="","⚠ Falta monto",IF(Q2079="","⚠ Falta cuenta",IF(ISNA(MATCH(Q2079,ctaNombre,0)),"⚠ Cuenta no registrada",IF(AND(OR(P2079="Gasto",P2079="Reembolso"),D2079=""),"⚠ Falta categoría",IF(AND(D2079&lt;&gt;"",E2079&lt;&gt;"",ISNA(MATCH(D2079&amp;"|"&amp;E2079,catClave,0))),"⚠ Subcategoría no corresponde",IF(AND(OR(P2079="Transferencia",P2079="Pago tarjeta"),K2079=""),"⚠ Falta cuenta destino",IF(AND(K2079&lt;&gt;"",P2079&lt;&gt;"Transferencia",P2079&lt;&gt;"Pago tarjeta"),"⚠ Destino solo aplica a transferencias",IF(AND(K2079&lt;&gt;"",K2079=Q2079),"⚠ Origen igual a destino",IF(AND(K2079&lt;&gt;"",ISNA(MATCH(K2079,ctaNombre,0))),"⚠ Destino no registrado",IF(AND(P2079="Pago tarjeta",AE2079&lt;&gt;"Tarjeta de crédito"),"⚠ El destino debe ser tarjeta de crédito",IF(AND(P2079="Gasto",E2079="Depósitos y retiros"),"⚠ Usa tipo Transferencia",IF(AND(P2079="Resultado trading",AD2079&lt;&gt;"Cuenta de trading"),"⚠ Usa una cuenta de trading",IF(AND(G2079&lt;=0,P2079&lt;&gt;"Ajuste",P2079&lt;&gt;"Resultado trading"),"⚠ El monto debe ser positivo","✓")))))))))))))))</f>
        <v/>
      </c>
      <c r="P2079" s="52">
        <f>IF(OR(B2079="",G2079=""),"",IF(C2079="","Gasto",C2079))</f>
        <v/>
      </c>
      <c r="Q2079" s="52">
        <f>IF(P2079="","",IF(J2079&lt;&gt;"",J2079,CuentaPred&amp;""))</f>
        <v/>
      </c>
      <c r="R2079" s="52">
        <f>IF(P2079="","",IF(ISNUMBER(I2079),I2079,TasaUSD))</f>
        <v/>
      </c>
      <c r="S2079" s="53">
        <f>IF(P2079="","",IF(H2079="USD",G2079*R2079,G2079))</f>
        <v/>
      </c>
      <c r="T2079" s="53">
        <f>IF(P2079="","",IF(H2079="USD",G2079,IF(R2079&gt;0,G2079/R2079,0)))</f>
        <v/>
      </c>
      <c r="U2079" s="53">
        <f>IF(P2079="","",IF(P2079="Gasto",S2079,IF(P2079="Reembolso",-S2079,0)))</f>
        <v/>
      </c>
      <c r="V2079" s="53">
        <f>IF(P2079="","",IF(P2079="Ingreso",S2079,0))</f>
        <v/>
      </c>
      <c r="W2079" s="53">
        <f>IF(P2079="","",IF(P2079="Resultado trading",S2079,0))</f>
        <v/>
      </c>
      <c r="X2079" s="52">
        <f>IF(OR(P2079="Gasto",P2079="Reembolso"),IF(M2079&lt;&gt;"",M2079,IFERROR(INDEX(catClasif,MATCH(D2079&amp;"|"&amp;E2079,catClave,0))&amp;"","Variable")),"")</f>
        <v/>
      </c>
      <c r="Y2079" s="52">
        <f>IF(P2079="","",IFERROR(INDEX(catGrupo,MATCH(D2079&amp;"|"&amp;E2079,catClave,0))&amp;"",""))</f>
        <v/>
      </c>
      <c r="Z2079" s="52">
        <f>IF(P2079="","",WEEKDAY(B2079,2))</f>
        <v/>
      </c>
      <c r="AA2079" s="52">
        <f>IF(P2079="","",IF(AND(P2079="Gasto",X2079="Variable",D2079&lt;&gt;catTrading,S2079&gt;0,S2079&lt;=Umbral),1,0))</f>
        <v/>
      </c>
      <c r="AB2079" s="52">
        <f>IF(OR(P2079="",Q2079=""),"",IFERROR(IF(INDEX(ctaVinc,MATCH(Q2079,ctaNombre,0))&amp;""&lt;&gt;"",INDEX(ctaVinc,MATCH(Q2079,ctaNombre,0))&amp;"",Q2079),Q2079))</f>
        <v/>
      </c>
      <c r="AC2079" s="52">
        <f>IF(OR(K2079="",AND(P2079&lt;&gt;"Transferencia",P2079&lt;&gt;"Pago tarjeta")),"",IFERROR(IF(INDEX(ctaVinc,MATCH(K2079,ctaNombre,0))&amp;""&lt;&gt;"",INDEX(ctaVinc,MATCH(K2079,ctaNombre,0))&amp;"",K2079),K2079))</f>
        <v/>
      </c>
      <c r="AD2079" s="52">
        <f>IF(AB2079="","",IFERROR(INDEX(ctaTipo,MATCH(AB2079,ctaNombre,0))&amp;"",""))</f>
        <v/>
      </c>
      <c r="AE2079" s="52">
        <f>IF(AC2079="","",IFERROR(INDEX(ctaTipo,MATCH(AC2079,ctaNombre,0))&amp;"",""))</f>
        <v/>
      </c>
      <c r="AF2079" s="53">
        <f>IF(OR(P2079="",AB2079=""),"",IF(OR(P2079="Gasto",P2079="Transferencia",P2079="Pago tarjeta"),-1,1)*IF(IFERROR(INDEX(ctaMoneda,MATCH(AB2079,ctaNombre,0))&amp;"","DOP")="USD",T2079,S2079))</f>
        <v/>
      </c>
      <c r="AG2079" s="53">
        <f>IF(AC2079="","",IF(IFERROR(INDEX(ctaMoneda,MATCH(AC2079,ctaNombre,0))&amp;"","DOP")="USD",T2079,S2079))</f>
        <v/>
      </c>
      <c r="AH2079" s="53">
        <f>IF(P2079="","",IF(AND(AD2079&lt;&gt;"",COUNTIFS(tcTipo,AD2079,tcLiq,"Sí")&gt;0),IF(OR(P2079="Gasto",P2079="Transferencia",P2079="Pago tarjeta"),-1,1)*S2079,0)+IF(AND(AE2079&lt;&gt;"",COUNTIFS(tcTipo,AE2079,tcLiq,"Sí")&gt;0),S2079,0))</f>
        <v/>
      </c>
      <c r="AI2079" s="52">
        <f>IF(OR(L2079="",P2079=""),"",IF(COUNTIFS(L$6:L2079,L2079,P$6:P2079,"?*")=1,MAX(AI$5:AI2078)+1,""))</f>
        <v/>
      </c>
    </row>
    <row r="2080">
      <c r="B2080" s="47" t="n"/>
      <c r="C2080" s="48" t="n"/>
      <c r="D2080" s="48" t="n"/>
      <c r="E2080" s="48" t="n"/>
      <c r="F2080" s="48" t="n"/>
      <c r="G2080" s="49" t="n"/>
      <c r="H2080" s="48" t="n"/>
      <c r="I2080" s="50" t="n"/>
      <c r="J2080" s="48" t="n"/>
      <c r="K2080" s="48" t="n"/>
      <c r="L2080" s="48" t="n"/>
      <c r="M2080" s="48" t="n"/>
      <c r="N2080" s="48" t="n"/>
      <c r="O2080" s="51">
        <f>IF(AND(B2080="",G2080="",C2080="",D2080="",J2080=""),"",IF(B2080="","⚠ Falta fecha",IF(G2080="","⚠ Falta monto",IF(Q2080="","⚠ Falta cuenta",IF(ISNA(MATCH(Q2080,ctaNombre,0)),"⚠ Cuenta no registrada",IF(AND(OR(P2080="Gasto",P2080="Reembolso"),D2080=""),"⚠ Falta categoría",IF(AND(D2080&lt;&gt;"",E2080&lt;&gt;"",ISNA(MATCH(D2080&amp;"|"&amp;E2080,catClave,0))),"⚠ Subcategoría no corresponde",IF(AND(OR(P2080="Transferencia",P2080="Pago tarjeta"),K2080=""),"⚠ Falta cuenta destino",IF(AND(K2080&lt;&gt;"",P2080&lt;&gt;"Transferencia",P2080&lt;&gt;"Pago tarjeta"),"⚠ Destino solo aplica a transferencias",IF(AND(K2080&lt;&gt;"",K2080=Q2080),"⚠ Origen igual a destino",IF(AND(K2080&lt;&gt;"",ISNA(MATCH(K2080,ctaNombre,0))),"⚠ Destino no registrado",IF(AND(P2080="Pago tarjeta",AE2080&lt;&gt;"Tarjeta de crédito"),"⚠ El destino debe ser tarjeta de crédito",IF(AND(P2080="Gasto",E2080="Depósitos y retiros"),"⚠ Usa tipo Transferencia",IF(AND(P2080="Resultado trading",AD2080&lt;&gt;"Cuenta de trading"),"⚠ Usa una cuenta de trading",IF(AND(G2080&lt;=0,P2080&lt;&gt;"Ajuste",P2080&lt;&gt;"Resultado trading"),"⚠ El monto debe ser positivo","✓")))))))))))))))</f>
        <v/>
      </c>
      <c r="P2080" s="52">
        <f>IF(OR(B2080="",G2080=""),"",IF(C2080="","Gasto",C2080))</f>
        <v/>
      </c>
      <c r="Q2080" s="52">
        <f>IF(P2080="","",IF(J2080&lt;&gt;"",J2080,CuentaPred&amp;""))</f>
        <v/>
      </c>
      <c r="R2080" s="52">
        <f>IF(P2080="","",IF(ISNUMBER(I2080),I2080,TasaUSD))</f>
        <v/>
      </c>
      <c r="S2080" s="53">
        <f>IF(P2080="","",IF(H2080="USD",G2080*R2080,G2080))</f>
        <v/>
      </c>
      <c r="T2080" s="53">
        <f>IF(P2080="","",IF(H2080="USD",G2080,IF(R2080&gt;0,G2080/R2080,0)))</f>
        <v/>
      </c>
      <c r="U2080" s="53">
        <f>IF(P2080="","",IF(P2080="Gasto",S2080,IF(P2080="Reembolso",-S2080,0)))</f>
        <v/>
      </c>
      <c r="V2080" s="53">
        <f>IF(P2080="","",IF(P2080="Ingreso",S2080,0))</f>
        <v/>
      </c>
      <c r="W2080" s="53">
        <f>IF(P2080="","",IF(P2080="Resultado trading",S2080,0))</f>
        <v/>
      </c>
      <c r="X2080" s="52">
        <f>IF(OR(P2080="Gasto",P2080="Reembolso"),IF(M2080&lt;&gt;"",M2080,IFERROR(INDEX(catClasif,MATCH(D2080&amp;"|"&amp;E2080,catClave,0))&amp;"","Variable")),"")</f>
        <v/>
      </c>
      <c r="Y2080" s="52">
        <f>IF(P2080="","",IFERROR(INDEX(catGrupo,MATCH(D2080&amp;"|"&amp;E2080,catClave,0))&amp;"",""))</f>
        <v/>
      </c>
      <c r="Z2080" s="52">
        <f>IF(P2080="","",WEEKDAY(B2080,2))</f>
        <v/>
      </c>
      <c r="AA2080" s="52">
        <f>IF(P2080="","",IF(AND(P2080="Gasto",X2080="Variable",D2080&lt;&gt;catTrading,S2080&gt;0,S2080&lt;=Umbral),1,0))</f>
        <v/>
      </c>
      <c r="AB2080" s="52">
        <f>IF(OR(P2080="",Q2080=""),"",IFERROR(IF(INDEX(ctaVinc,MATCH(Q2080,ctaNombre,0))&amp;""&lt;&gt;"",INDEX(ctaVinc,MATCH(Q2080,ctaNombre,0))&amp;"",Q2080),Q2080))</f>
        <v/>
      </c>
      <c r="AC2080" s="52">
        <f>IF(OR(K2080="",AND(P2080&lt;&gt;"Transferencia",P2080&lt;&gt;"Pago tarjeta")),"",IFERROR(IF(INDEX(ctaVinc,MATCH(K2080,ctaNombre,0))&amp;""&lt;&gt;"",INDEX(ctaVinc,MATCH(K2080,ctaNombre,0))&amp;"",K2080),K2080))</f>
        <v/>
      </c>
      <c r="AD2080" s="52">
        <f>IF(AB2080="","",IFERROR(INDEX(ctaTipo,MATCH(AB2080,ctaNombre,0))&amp;"",""))</f>
        <v/>
      </c>
      <c r="AE2080" s="52">
        <f>IF(AC2080="","",IFERROR(INDEX(ctaTipo,MATCH(AC2080,ctaNombre,0))&amp;"",""))</f>
        <v/>
      </c>
      <c r="AF2080" s="53">
        <f>IF(OR(P2080="",AB2080=""),"",IF(OR(P2080="Gasto",P2080="Transferencia",P2080="Pago tarjeta"),-1,1)*IF(IFERROR(INDEX(ctaMoneda,MATCH(AB2080,ctaNombre,0))&amp;"","DOP")="USD",T2080,S2080))</f>
        <v/>
      </c>
      <c r="AG2080" s="53">
        <f>IF(AC2080="","",IF(IFERROR(INDEX(ctaMoneda,MATCH(AC2080,ctaNombre,0))&amp;"","DOP")="USD",T2080,S2080))</f>
        <v/>
      </c>
      <c r="AH2080" s="53">
        <f>IF(P2080="","",IF(AND(AD2080&lt;&gt;"",COUNTIFS(tcTipo,AD2080,tcLiq,"Sí")&gt;0),IF(OR(P2080="Gasto",P2080="Transferencia",P2080="Pago tarjeta"),-1,1)*S2080,0)+IF(AND(AE2080&lt;&gt;"",COUNTIFS(tcTipo,AE2080,tcLiq,"Sí")&gt;0),S2080,0))</f>
        <v/>
      </c>
      <c r="AI2080" s="52">
        <f>IF(OR(L2080="",P2080=""),"",IF(COUNTIFS(L$6:L2080,L2080,P$6:P2080,"?*")=1,MAX(AI$5:AI2079)+1,""))</f>
        <v/>
      </c>
    </row>
    <row r="2081">
      <c r="B2081" s="47" t="n"/>
      <c r="C2081" s="48" t="n"/>
      <c r="D2081" s="48" t="n"/>
      <c r="E2081" s="48" t="n"/>
      <c r="F2081" s="48" t="n"/>
      <c r="G2081" s="49" t="n"/>
      <c r="H2081" s="48" t="n"/>
      <c r="I2081" s="50" t="n"/>
      <c r="J2081" s="48" t="n"/>
      <c r="K2081" s="48" t="n"/>
      <c r="L2081" s="48" t="n"/>
      <c r="M2081" s="48" t="n"/>
      <c r="N2081" s="48" t="n"/>
      <c r="O2081" s="51">
        <f>IF(AND(B2081="",G2081="",C2081="",D2081="",J2081=""),"",IF(B2081="","⚠ Falta fecha",IF(G2081="","⚠ Falta monto",IF(Q2081="","⚠ Falta cuenta",IF(ISNA(MATCH(Q2081,ctaNombre,0)),"⚠ Cuenta no registrada",IF(AND(OR(P2081="Gasto",P2081="Reembolso"),D2081=""),"⚠ Falta categoría",IF(AND(D2081&lt;&gt;"",E2081&lt;&gt;"",ISNA(MATCH(D2081&amp;"|"&amp;E2081,catClave,0))),"⚠ Subcategoría no corresponde",IF(AND(OR(P2081="Transferencia",P2081="Pago tarjeta"),K2081=""),"⚠ Falta cuenta destino",IF(AND(K2081&lt;&gt;"",P2081&lt;&gt;"Transferencia",P2081&lt;&gt;"Pago tarjeta"),"⚠ Destino solo aplica a transferencias",IF(AND(K2081&lt;&gt;"",K2081=Q2081),"⚠ Origen igual a destino",IF(AND(K2081&lt;&gt;"",ISNA(MATCH(K2081,ctaNombre,0))),"⚠ Destino no registrado",IF(AND(P2081="Pago tarjeta",AE2081&lt;&gt;"Tarjeta de crédito"),"⚠ El destino debe ser tarjeta de crédito",IF(AND(P2081="Gasto",E2081="Depósitos y retiros"),"⚠ Usa tipo Transferencia",IF(AND(P2081="Resultado trading",AD2081&lt;&gt;"Cuenta de trading"),"⚠ Usa una cuenta de trading",IF(AND(G2081&lt;=0,P2081&lt;&gt;"Ajuste",P2081&lt;&gt;"Resultado trading"),"⚠ El monto debe ser positivo","✓")))))))))))))))</f>
        <v/>
      </c>
      <c r="P2081" s="52">
        <f>IF(OR(B2081="",G2081=""),"",IF(C2081="","Gasto",C2081))</f>
        <v/>
      </c>
      <c r="Q2081" s="52">
        <f>IF(P2081="","",IF(J2081&lt;&gt;"",J2081,CuentaPred&amp;""))</f>
        <v/>
      </c>
      <c r="R2081" s="52">
        <f>IF(P2081="","",IF(ISNUMBER(I2081),I2081,TasaUSD))</f>
        <v/>
      </c>
      <c r="S2081" s="53">
        <f>IF(P2081="","",IF(H2081="USD",G2081*R2081,G2081))</f>
        <v/>
      </c>
      <c r="T2081" s="53">
        <f>IF(P2081="","",IF(H2081="USD",G2081,IF(R2081&gt;0,G2081/R2081,0)))</f>
        <v/>
      </c>
      <c r="U2081" s="53">
        <f>IF(P2081="","",IF(P2081="Gasto",S2081,IF(P2081="Reembolso",-S2081,0)))</f>
        <v/>
      </c>
      <c r="V2081" s="53">
        <f>IF(P2081="","",IF(P2081="Ingreso",S2081,0))</f>
        <v/>
      </c>
      <c r="W2081" s="53">
        <f>IF(P2081="","",IF(P2081="Resultado trading",S2081,0))</f>
        <v/>
      </c>
      <c r="X2081" s="52">
        <f>IF(OR(P2081="Gasto",P2081="Reembolso"),IF(M2081&lt;&gt;"",M2081,IFERROR(INDEX(catClasif,MATCH(D2081&amp;"|"&amp;E2081,catClave,0))&amp;"","Variable")),"")</f>
        <v/>
      </c>
      <c r="Y2081" s="52">
        <f>IF(P2081="","",IFERROR(INDEX(catGrupo,MATCH(D2081&amp;"|"&amp;E2081,catClave,0))&amp;"",""))</f>
        <v/>
      </c>
      <c r="Z2081" s="52">
        <f>IF(P2081="","",WEEKDAY(B2081,2))</f>
        <v/>
      </c>
      <c r="AA2081" s="52">
        <f>IF(P2081="","",IF(AND(P2081="Gasto",X2081="Variable",D2081&lt;&gt;catTrading,S2081&gt;0,S2081&lt;=Umbral),1,0))</f>
        <v/>
      </c>
      <c r="AB2081" s="52">
        <f>IF(OR(P2081="",Q2081=""),"",IFERROR(IF(INDEX(ctaVinc,MATCH(Q2081,ctaNombre,0))&amp;""&lt;&gt;"",INDEX(ctaVinc,MATCH(Q2081,ctaNombre,0))&amp;"",Q2081),Q2081))</f>
        <v/>
      </c>
      <c r="AC2081" s="52">
        <f>IF(OR(K2081="",AND(P2081&lt;&gt;"Transferencia",P2081&lt;&gt;"Pago tarjeta")),"",IFERROR(IF(INDEX(ctaVinc,MATCH(K2081,ctaNombre,0))&amp;""&lt;&gt;"",INDEX(ctaVinc,MATCH(K2081,ctaNombre,0))&amp;"",K2081),K2081))</f>
        <v/>
      </c>
      <c r="AD2081" s="52">
        <f>IF(AB2081="","",IFERROR(INDEX(ctaTipo,MATCH(AB2081,ctaNombre,0))&amp;"",""))</f>
        <v/>
      </c>
      <c r="AE2081" s="52">
        <f>IF(AC2081="","",IFERROR(INDEX(ctaTipo,MATCH(AC2081,ctaNombre,0))&amp;"",""))</f>
        <v/>
      </c>
      <c r="AF2081" s="53">
        <f>IF(OR(P2081="",AB2081=""),"",IF(OR(P2081="Gasto",P2081="Transferencia",P2081="Pago tarjeta"),-1,1)*IF(IFERROR(INDEX(ctaMoneda,MATCH(AB2081,ctaNombre,0))&amp;"","DOP")="USD",T2081,S2081))</f>
        <v/>
      </c>
      <c r="AG2081" s="53">
        <f>IF(AC2081="","",IF(IFERROR(INDEX(ctaMoneda,MATCH(AC2081,ctaNombre,0))&amp;"","DOP")="USD",T2081,S2081))</f>
        <v/>
      </c>
      <c r="AH2081" s="53">
        <f>IF(P2081="","",IF(AND(AD2081&lt;&gt;"",COUNTIFS(tcTipo,AD2081,tcLiq,"Sí")&gt;0),IF(OR(P2081="Gasto",P2081="Transferencia",P2081="Pago tarjeta"),-1,1)*S2081,0)+IF(AND(AE2081&lt;&gt;"",COUNTIFS(tcTipo,AE2081,tcLiq,"Sí")&gt;0),S2081,0))</f>
        <v/>
      </c>
      <c r="AI2081" s="52">
        <f>IF(OR(L2081="",P2081=""),"",IF(COUNTIFS(L$6:L2081,L2081,P$6:P2081,"?*")=1,MAX(AI$5:AI2080)+1,""))</f>
        <v/>
      </c>
    </row>
    <row r="2082">
      <c r="B2082" s="47" t="n"/>
      <c r="C2082" s="48" t="n"/>
      <c r="D2082" s="48" t="n"/>
      <c r="E2082" s="48" t="n"/>
      <c r="F2082" s="48" t="n"/>
      <c r="G2082" s="49" t="n"/>
      <c r="H2082" s="48" t="n"/>
      <c r="I2082" s="50" t="n"/>
      <c r="J2082" s="48" t="n"/>
      <c r="K2082" s="48" t="n"/>
      <c r="L2082" s="48" t="n"/>
      <c r="M2082" s="48" t="n"/>
      <c r="N2082" s="48" t="n"/>
      <c r="O2082" s="51">
        <f>IF(AND(B2082="",G2082="",C2082="",D2082="",J2082=""),"",IF(B2082="","⚠ Falta fecha",IF(G2082="","⚠ Falta monto",IF(Q2082="","⚠ Falta cuenta",IF(ISNA(MATCH(Q2082,ctaNombre,0)),"⚠ Cuenta no registrada",IF(AND(OR(P2082="Gasto",P2082="Reembolso"),D2082=""),"⚠ Falta categoría",IF(AND(D2082&lt;&gt;"",E2082&lt;&gt;"",ISNA(MATCH(D2082&amp;"|"&amp;E2082,catClave,0))),"⚠ Subcategoría no corresponde",IF(AND(OR(P2082="Transferencia",P2082="Pago tarjeta"),K2082=""),"⚠ Falta cuenta destino",IF(AND(K2082&lt;&gt;"",P2082&lt;&gt;"Transferencia",P2082&lt;&gt;"Pago tarjeta"),"⚠ Destino solo aplica a transferencias",IF(AND(K2082&lt;&gt;"",K2082=Q2082),"⚠ Origen igual a destino",IF(AND(K2082&lt;&gt;"",ISNA(MATCH(K2082,ctaNombre,0))),"⚠ Destino no registrado",IF(AND(P2082="Pago tarjeta",AE2082&lt;&gt;"Tarjeta de crédito"),"⚠ El destino debe ser tarjeta de crédito",IF(AND(P2082="Gasto",E2082="Depósitos y retiros"),"⚠ Usa tipo Transferencia",IF(AND(P2082="Resultado trading",AD2082&lt;&gt;"Cuenta de trading"),"⚠ Usa una cuenta de trading",IF(AND(G2082&lt;=0,P2082&lt;&gt;"Ajuste",P2082&lt;&gt;"Resultado trading"),"⚠ El monto debe ser positivo","✓")))))))))))))))</f>
        <v/>
      </c>
      <c r="P2082" s="52">
        <f>IF(OR(B2082="",G2082=""),"",IF(C2082="","Gasto",C2082))</f>
        <v/>
      </c>
      <c r="Q2082" s="52">
        <f>IF(P2082="","",IF(J2082&lt;&gt;"",J2082,CuentaPred&amp;""))</f>
        <v/>
      </c>
      <c r="R2082" s="52">
        <f>IF(P2082="","",IF(ISNUMBER(I2082),I2082,TasaUSD))</f>
        <v/>
      </c>
      <c r="S2082" s="53">
        <f>IF(P2082="","",IF(H2082="USD",G2082*R2082,G2082))</f>
        <v/>
      </c>
      <c r="T2082" s="53">
        <f>IF(P2082="","",IF(H2082="USD",G2082,IF(R2082&gt;0,G2082/R2082,0)))</f>
        <v/>
      </c>
      <c r="U2082" s="53">
        <f>IF(P2082="","",IF(P2082="Gasto",S2082,IF(P2082="Reembolso",-S2082,0)))</f>
        <v/>
      </c>
      <c r="V2082" s="53">
        <f>IF(P2082="","",IF(P2082="Ingreso",S2082,0))</f>
        <v/>
      </c>
      <c r="W2082" s="53">
        <f>IF(P2082="","",IF(P2082="Resultado trading",S2082,0))</f>
        <v/>
      </c>
      <c r="X2082" s="52">
        <f>IF(OR(P2082="Gasto",P2082="Reembolso"),IF(M2082&lt;&gt;"",M2082,IFERROR(INDEX(catClasif,MATCH(D2082&amp;"|"&amp;E2082,catClave,0))&amp;"","Variable")),"")</f>
        <v/>
      </c>
      <c r="Y2082" s="52">
        <f>IF(P2082="","",IFERROR(INDEX(catGrupo,MATCH(D2082&amp;"|"&amp;E2082,catClave,0))&amp;"",""))</f>
        <v/>
      </c>
      <c r="Z2082" s="52">
        <f>IF(P2082="","",WEEKDAY(B2082,2))</f>
        <v/>
      </c>
      <c r="AA2082" s="52">
        <f>IF(P2082="","",IF(AND(P2082="Gasto",X2082="Variable",D2082&lt;&gt;catTrading,S2082&gt;0,S2082&lt;=Umbral),1,0))</f>
        <v/>
      </c>
      <c r="AB2082" s="52">
        <f>IF(OR(P2082="",Q2082=""),"",IFERROR(IF(INDEX(ctaVinc,MATCH(Q2082,ctaNombre,0))&amp;""&lt;&gt;"",INDEX(ctaVinc,MATCH(Q2082,ctaNombre,0))&amp;"",Q2082),Q2082))</f>
        <v/>
      </c>
      <c r="AC2082" s="52">
        <f>IF(OR(K2082="",AND(P2082&lt;&gt;"Transferencia",P2082&lt;&gt;"Pago tarjeta")),"",IFERROR(IF(INDEX(ctaVinc,MATCH(K2082,ctaNombre,0))&amp;""&lt;&gt;"",INDEX(ctaVinc,MATCH(K2082,ctaNombre,0))&amp;"",K2082),K2082))</f>
        <v/>
      </c>
      <c r="AD2082" s="52">
        <f>IF(AB2082="","",IFERROR(INDEX(ctaTipo,MATCH(AB2082,ctaNombre,0))&amp;"",""))</f>
        <v/>
      </c>
      <c r="AE2082" s="52">
        <f>IF(AC2082="","",IFERROR(INDEX(ctaTipo,MATCH(AC2082,ctaNombre,0))&amp;"",""))</f>
        <v/>
      </c>
      <c r="AF2082" s="53">
        <f>IF(OR(P2082="",AB2082=""),"",IF(OR(P2082="Gasto",P2082="Transferencia",P2082="Pago tarjeta"),-1,1)*IF(IFERROR(INDEX(ctaMoneda,MATCH(AB2082,ctaNombre,0))&amp;"","DOP")="USD",T2082,S2082))</f>
        <v/>
      </c>
      <c r="AG2082" s="53">
        <f>IF(AC2082="","",IF(IFERROR(INDEX(ctaMoneda,MATCH(AC2082,ctaNombre,0))&amp;"","DOP")="USD",T2082,S2082))</f>
        <v/>
      </c>
      <c r="AH2082" s="53">
        <f>IF(P2082="","",IF(AND(AD2082&lt;&gt;"",COUNTIFS(tcTipo,AD2082,tcLiq,"Sí")&gt;0),IF(OR(P2082="Gasto",P2082="Transferencia",P2082="Pago tarjeta"),-1,1)*S2082,0)+IF(AND(AE2082&lt;&gt;"",COUNTIFS(tcTipo,AE2082,tcLiq,"Sí")&gt;0),S2082,0))</f>
        <v/>
      </c>
      <c r="AI2082" s="52">
        <f>IF(OR(L2082="",P2082=""),"",IF(COUNTIFS(L$6:L2082,L2082,P$6:P2082,"?*")=1,MAX(AI$5:AI2081)+1,""))</f>
        <v/>
      </c>
    </row>
    <row r="2083">
      <c r="B2083" s="47" t="n"/>
      <c r="C2083" s="48" t="n"/>
      <c r="D2083" s="48" t="n"/>
      <c r="E2083" s="48" t="n"/>
      <c r="F2083" s="48" t="n"/>
      <c r="G2083" s="49" t="n"/>
      <c r="H2083" s="48" t="n"/>
      <c r="I2083" s="50" t="n"/>
      <c r="J2083" s="48" t="n"/>
      <c r="K2083" s="48" t="n"/>
      <c r="L2083" s="48" t="n"/>
      <c r="M2083" s="48" t="n"/>
      <c r="N2083" s="48" t="n"/>
      <c r="O2083" s="51">
        <f>IF(AND(B2083="",G2083="",C2083="",D2083="",J2083=""),"",IF(B2083="","⚠ Falta fecha",IF(G2083="","⚠ Falta monto",IF(Q2083="","⚠ Falta cuenta",IF(ISNA(MATCH(Q2083,ctaNombre,0)),"⚠ Cuenta no registrada",IF(AND(OR(P2083="Gasto",P2083="Reembolso"),D2083=""),"⚠ Falta categoría",IF(AND(D2083&lt;&gt;"",E2083&lt;&gt;"",ISNA(MATCH(D2083&amp;"|"&amp;E2083,catClave,0))),"⚠ Subcategoría no corresponde",IF(AND(OR(P2083="Transferencia",P2083="Pago tarjeta"),K2083=""),"⚠ Falta cuenta destino",IF(AND(K2083&lt;&gt;"",P2083&lt;&gt;"Transferencia",P2083&lt;&gt;"Pago tarjeta"),"⚠ Destino solo aplica a transferencias",IF(AND(K2083&lt;&gt;"",K2083=Q2083),"⚠ Origen igual a destino",IF(AND(K2083&lt;&gt;"",ISNA(MATCH(K2083,ctaNombre,0))),"⚠ Destino no registrado",IF(AND(P2083="Pago tarjeta",AE2083&lt;&gt;"Tarjeta de crédito"),"⚠ El destino debe ser tarjeta de crédito",IF(AND(P2083="Gasto",E2083="Depósitos y retiros"),"⚠ Usa tipo Transferencia",IF(AND(P2083="Resultado trading",AD2083&lt;&gt;"Cuenta de trading"),"⚠ Usa una cuenta de trading",IF(AND(G2083&lt;=0,P2083&lt;&gt;"Ajuste",P2083&lt;&gt;"Resultado trading"),"⚠ El monto debe ser positivo","✓")))))))))))))))</f>
        <v/>
      </c>
      <c r="P2083" s="52">
        <f>IF(OR(B2083="",G2083=""),"",IF(C2083="","Gasto",C2083))</f>
        <v/>
      </c>
      <c r="Q2083" s="52">
        <f>IF(P2083="","",IF(J2083&lt;&gt;"",J2083,CuentaPred&amp;""))</f>
        <v/>
      </c>
      <c r="R2083" s="52">
        <f>IF(P2083="","",IF(ISNUMBER(I2083),I2083,TasaUSD))</f>
        <v/>
      </c>
      <c r="S2083" s="53">
        <f>IF(P2083="","",IF(H2083="USD",G2083*R2083,G2083))</f>
        <v/>
      </c>
      <c r="T2083" s="53">
        <f>IF(P2083="","",IF(H2083="USD",G2083,IF(R2083&gt;0,G2083/R2083,0)))</f>
        <v/>
      </c>
      <c r="U2083" s="53">
        <f>IF(P2083="","",IF(P2083="Gasto",S2083,IF(P2083="Reembolso",-S2083,0)))</f>
        <v/>
      </c>
      <c r="V2083" s="53">
        <f>IF(P2083="","",IF(P2083="Ingreso",S2083,0))</f>
        <v/>
      </c>
      <c r="W2083" s="53">
        <f>IF(P2083="","",IF(P2083="Resultado trading",S2083,0))</f>
        <v/>
      </c>
      <c r="X2083" s="52">
        <f>IF(OR(P2083="Gasto",P2083="Reembolso"),IF(M2083&lt;&gt;"",M2083,IFERROR(INDEX(catClasif,MATCH(D2083&amp;"|"&amp;E2083,catClave,0))&amp;"","Variable")),"")</f>
        <v/>
      </c>
      <c r="Y2083" s="52">
        <f>IF(P2083="","",IFERROR(INDEX(catGrupo,MATCH(D2083&amp;"|"&amp;E2083,catClave,0))&amp;"",""))</f>
        <v/>
      </c>
      <c r="Z2083" s="52">
        <f>IF(P2083="","",WEEKDAY(B2083,2))</f>
        <v/>
      </c>
      <c r="AA2083" s="52">
        <f>IF(P2083="","",IF(AND(P2083="Gasto",X2083="Variable",D2083&lt;&gt;catTrading,S2083&gt;0,S2083&lt;=Umbral),1,0))</f>
        <v/>
      </c>
      <c r="AB2083" s="52">
        <f>IF(OR(P2083="",Q2083=""),"",IFERROR(IF(INDEX(ctaVinc,MATCH(Q2083,ctaNombre,0))&amp;""&lt;&gt;"",INDEX(ctaVinc,MATCH(Q2083,ctaNombre,0))&amp;"",Q2083),Q2083))</f>
        <v/>
      </c>
      <c r="AC2083" s="52">
        <f>IF(OR(K2083="",AND(P2083&lt;&gt;"Transferencia",P2083&lt;&gt;"Pago tarjeta")),"",IFERROR(IF(INDEX(ctaVinc,MATCH(K2083,ctaNombre,0))&amp;""&lt;&gt;"",INDEX(ctaVinc,MATCH(K2083,ctaNombre,0))&amp;"",K2083),K2083))</f>
        <v/>
      </c>
      <c r="AD2083" s="52">
        <f>IF(AB2083="","",IFERROR(INDEX(ctaTipo,MATCH(AB2083,ctaNombre,0))&amp;"",""))</f>
        <v/>
      </c>
      <c r="AE2083" s="52">
        <f>IF(AC2083="","",IFERROR(INDEX(ctaTipo,MATCH(AC2083,ctaNombre,0))&amp;"",""))</f>
        <v/>
      </c>
      <c r="AF2083" s="53">
        <f>IF(OR(P2083="",AB2083=""),"",IF(OR(P2083="Gasto",P2083="Transferencia",P2083="Pago tarjeta"),-1,1)*IF(IFERROR(INDEX(ctaMoneda,MATCH(AB2083,ctaNombre,0))&amp;"","DOP")="USD",T2083,S2083))</f>
        <v/>
      </c>
      <c r="AG2083" s="53">
        <f>IF(AC2083="","",IF(IFERROR(INDEX(ctaMoneda,MATCH(AC2083,ctaNombre,0))&amp;"","DOP")="USD",T2083,S2083))</f>
        <v/>
      </c>
      <c r="AH2083" s="53">
        <f>IF(P2083="","",IF(AND(AD2083&lt;&gt;"",COUNTIFS(tcTipo,AD2083,tcLiq,"Sí")&gt;0),IF(OR(P2083="Gasto",P2083="Transferencia",P2083="Pago tarjeta"),-1,1)*S2083,0)+IF(AND(AE2083&lt;&gt;"",COUNTIFS(tcTipo,AE2083,tcLiq,"Sí")&gt;0),S2083,0))</f>
        <v/>
      </c>
      <c r="AI2083" s="52">
        <f>IF(OR(L2083="",P2083=""),"",IF(COUNTIFS(L$6:L2083,L2083,P$6:P2083,"?*")=1,MAX(AI$5:AI2082)+1,""))</f>
        <v/>
      </c>
    </row>
    <row r="2084">
      <c r="B2084" s="47" t="n"/>
      <c r="C2084" s="48" t="n"/>
      <c r="D2084" s="48" t="n"/>
      <c r="E2084" s="48" t="n"/>
      <c r="F2084" s="48" t="n"/>
      <c r="G2084" s="49" t="n"/>
      <c r="H2084" s="48" t="n"/>
      <c r="I2084" s="50" t="n"/>
      <c r="J2084" s="48" t="n"/>
      <c r="K2084" s="48" t="n"/>
      <c r="L2084" s="48" t="n"/>
      <c r="M2084" s="48" t="n"/>
      <c r="N2084" s="48" t="n"/>
      <c r="O2084" s="51">
        <f>IF(AND(B2084="",G2084="",C2084="",D2084="",J2084=""),"",IF(B2084="","⚠ Falta fecha",IF(G2084="","⚠ Falta monto",IF(Q2084="","⚠ Falta cuenta",IF(ISNA(MATCH(Q2084,ctaNombre,0)),"⚠ Cuenta no registrada",IF(AND(OR(P2084="Gasto",P2084="Reembolso"),D2084=""),"⚠ Falta categoría",IF(AND(D2084&lt;&gt;"",E2084&lt;&gt;"",ISNA(MATCH(D2084&amp;"|"&amp;E2084,catClave,0))),"⚠ Subcategoría no corresponde",IF(AND(OR(P2084="Transferencia",P2084="Pago tarjeta"),K2084=""),"⚠ Falta cuenta destino",IF(AND(K2084&lt;&gt;"",P2084&lt;&gt;"Transferencia",P2084&lt;&gt;"Pago tarjeta"),"⚠ Destino solo aplica a transferencias",IF(AND(K2084&lt;&gt;"",K2084=Q2084),"⚠ Origen igual a destino",IF(AND(K2084&lt;&gt;"",ISNA(MATCH(K2084,ctaNombre,0))),"⚠ Destino no registrado",IF(AND(P2084="Pago tarjeta",AE2084&lt;&gt;"Tarjeta de crédito"),"⚠ El destino debe ser tarjeta de crédito",IF(AND(P2084="Gasto",E2084="Depósitos y retiros"),"⚠ Usa tipo Transferencia",IF(AND(P2084="Resultado trading",AD2084&lt;&gt;"Cuenta de trading"),"⚠ Usa una cuenta de trading",IF(AND(G2084&lt;=0,P2084&lt;&gt;"Ajuste",P2084&lt;&gt;"Resultado trading"),"⚠ El monto debe ser positivo","✓")))))))))))))))</f>
        <v/>
      </c>
      <c r="P2084" s="52">
        <f>IF(OR(B2084="",G2084=""),"",IF(C2084="","Gasto",C2084))</f>
        <v/>
      </c>
      <c r="Q2084" s="52">
        <f>IF(P2084="","",IF(J2084&lt;&gt;"",J2084,CuentaPred&amp;""))</f>
        <v/>
      </c>
      <c r="R2084" s="52">
        <f>IF(P2084="","",IF(ISNUMBER(I2084),I2084,TasaUSD))</f>
        <v/>
      </c>
      <c r="S2084" s="53">
        <f>IF(P2084="","",IF(H2084="USD",G2084*R2084,G2084))</f>
        <v/>
      </c>
      <c r="T2084" s="53">
        <f>IF(P2084="","",IF(H2084="USD",G2084,IF(R2084&gt;0,G2084/R2084,0)))</f>
        <v/>
      </c>
      <c r="U2084" s="53">
        <f>IF(P2084="","",IF(P2084="Gasto",S2084,IF(P2084="Reembolso",-S2084,0)))</f>
        <v/>
      </c>
      <c r="V2084" s="53">
        <f>IF(P2084="","",IF(P2084="Ingreso",S2084,0))</f>
        <v/>
      </c>
      <c r="W2084" s="53">
        <f>IF(P2084="","",IF(P2084="Resultado trading",S2084,0))</f>
        <v/>
      </c>
      <c r="X2084" s="52">
        <f>IF(OR(P2084="Gasto",P2084="Reembolso"),IF(M2084&lt;&gt;"",M2084,IFERROR(INDEX(catClasif,MATCH(D2084&amp;"|"&amp;E2084,catClave,0))&amp;"","Variable")),"")</f>
        <v/>
      </c>
      <c r="Y2084" s="52">
        <f>IF(P2084="","",IFERROR(INDEX(catGrupo,MATCH(D2084&amp;"|"&amp;E2084,catClave,0))&amp;"",""))</f>
        <v/>
      </c>
      <c r="Z2084" s="52">
        <f>IF(P2084="","",WEEKDAY(B2084,2))</f>
        <v/>
      </c>
      <c r="AA2084" s="52">
        <f>IF(P2084="","",IF(AND(P2084="Gasto",X2084="Variable",D2084&lt;&gt;catTrading,S2084&gt;0,S2084&lt;=Umbral),1,0))</f>
        <v/>
      </c>
      <c r="AB2084" s="52">
        <f>IF(OR(P2084="",Q2084=""),"",IFERROR(IF(INDEX(ctaVinc,MATCH(Q2084,ctaNombre,0))&amp;""&lt;&gt;"",INDEX(ctaVinc,MATCH(Q2084,ctaNombre,0))&amp;"",Q2084),Q2084))</f>
        <v/>
      </c>
      <c r="AC2084" s="52">
        <f>IF(OR(K2084="",AND(P2084&lt;&gt;"Transferencia",P2084&lt;&gt;"Pago tarjeta")),"",IFERROR(IF(INDEX(ctaVinc,MATCH(K2084,ctaNombre,0))&amp;""&lt;&gt;"",INDEX(ctaVinc,MATCH(K2084,ctaNombre,0))&amp;"",K2084),K2084))</f>
        <v/>
      </c>
      <c r="AD2084" s="52">
        <f>IF(AB2084="","",IFERROR(INDEX(ctaTipo,MATCH(AB2084,ctaNombre,0))&amp;"",""))</f>
        <v/>
      </c>
      <c r="AE2084" s="52">
        <f>IF(AC2084="","",IFERROR(INDEX(ctaTipo,MATCH(AC2084,ctaNombre,0))&amp;"",""))</f>
        <v/>
      </c>
      <c r="AF2084" s="53">
        <f>IF(OR(P2084="",AB2084=""),"",IF(OR(P2084="Gasto",P2084="Transferencia",P2084="Pago tarjeta"),-1,1)*IF(IFERROR(INDEX(ctaMoneda,MATCH(AB2084,ctaNombre,0))&amp;"","DOP")="USD",T2084,S2084))</f>
        <v/>
      </c>
      <c r="AG2084" s="53">
        <f>IF(AC2084="","",IF(IFERROR(INDEX(ctaMoneda,MATCH(AC2084,ctaNombre,0))&amp;"","DOP")="USD",T2084,S2084))</f>
        <v/>
      </c>
      <c r="AH2084" s="53">
        <f>IF(P2084="","",IF(AND(AD2084&lt;&gt;"",COUNTIFS(tcTipo,AD2084,tcLiq,"Sí")&gt;0),IF(OR(P2084="Gasto",P2084="Transferencia",P2084="Pago tarjeta"),-1,1)*S2084,0)+IF(AND(AE2084&lt;&gt;"",COUNTIFS(tcTipo,AE2084,tcLiq,"Sí")&gt;0),S2084,0))</f>
        <v/>
      </c>
      <c r="AI2084" s="52">
        <f>IF(OR(L2084="",P2084=""),"",IF(COUNTIFS(L$6:L2084,L2084,P$6:P2084,"?*")=1,MAX(AI$5:AI2083)+1,""))</f>
        <v/>
      </c>
    </row>
    <row r="2085">
      <c r="B2085" s="47" t="n"/>
      <c r="C2085" s="48" t="n"/>
      <c r="D2085" s="48" t="n"/>
      <c r="E2085" s="48" t="n"/>
      <c r="F2085" s="48" t="n"/>
      <c r="G2085" s="49" t="n"/>
      <c r="H2085" s="48" t="n"/>
      <c r="I2085" s="50" t="n"/>
      <c r="J2085" s="48" t="n"/>
      <c r="K2085" s="48" t="n"/>
      <c r="L2085" s="48" t="n"/>
      <c r="M2085" s="48" t="n"/>
      <c r="N2085" s="48" t="n"/>
      <c r="O2085" s="51">
        <f>IF(AND(B2085="",G2085="",C2085="",D2085="",J2085=""),"",IF(B2085="","⚠ Falta fecha",IF(G2085="","⚠ Falta monto",IF(Q2085="","⚠ Falta cuenta",IF(ISNA(MATCH(Q2085,ctaNombre,0)),"⚠ Cuenta no registrada",IF(AND(OR(P2085="Gasto",P2085="Reembolso"),D2085=""),"⚠ Falta categoría",IF(AND(D2085&lt;&gt;"",E2085&lt;&gt;"",ISNA(MATCH(D2085&amp;"|"&amp;E2085,catClave,0))),"⚠ Subcategoría no corresponde",IF(AND(OR(P2085="Transferencia",P2085="Pago tarjeta"),K2085=""),"⚠ Falta cuenta destino",IF(AND(K2085&lt;&gt;"",P2085&lt;&gt;"Transferencia",P2085&lt;&gt;"Pago tarjeta"),"⚠ Destino solo aplica a transferencias",IF(AND(K2085&lt;&gt;"",K2085=Q2085),"⚠ Origen igual a destino",IF(AND(K2085&lt;&gt;"",ISNA(MATCH(K2085,ctaNombre,0))),"⚠ Destino no registrado",IF(AND(P2085="Pago tarjeta",AE2085&lt;&gt;"Tarjeta de crédito"),"⚠ El destino debe ser tarjeta de crédito",IF(AND(P2085="Gasto",E2085="Depósitos y retiros"),"⚠ Usa tipo Transferencia",IF(AND(P2085="Resultado trading",AD2085&lt;&gt;"Cuenta de trading"),"⚠ Usa una cuenta de trading",IF(AND(G2085&lt;=0,P2085&lt;&gt;"Ajuste",P2085&lt;&gt;"Resultado trading"),"⚠ El monto debe ser positivo","✓")))))))))))))))</f>
        <v/>
      </c>
      <c r="P2085" s="52">
        <f>IF(OR(B2085="",G2085=""),"",IF(C2085="","Gasto",C2085))</f>
        <v/>
      </c>
      <c r="Q2085" s="52">
        <f>IF(P2085="","",IF(J2085&lt;&gt;"",J2085,CuentaPred&amp;""))</f>
        <v/>
      </c>
      <c r="R2085" s="52">
        <f>IF(P2085="","",IF(ISNUMBER(I2085),I2085,TasaUSD))</f>
        <v/>
      </c>
      <c r="S2085" s="53">
        <f>IF(P2085="","",IF(H2085="USD",G2085*R2085,G2085))</f>
        <v/>
      </c>
      <c r="T2085" s="53">
        <f>IF(P2085="","",IF(H2085="USD",G2085,IF(R2085&gt;0,G2085/R2085,0)))</f>
        <v/>
      </c>
      <c r="U2085" s="53">
        <f>IF(P2085="","",IF(P2085="Gasto",S2085,IF(P2085="Reembolso",-S2085,0)))</f>
        <v/>
      </c>
      <c r="V2085" s="53">
        <f>IF(P2085="","",IF(P2085="Ingreso",S2085,0))</f>
        <v/>
      </c>
      <c r="W2085" s="53">
        <f>IF(P2085="","",IF(P2085="Resultado trading",S2085,0))</f>
        <v/>
      </c>
      <c r="X2085" s="52">
        <f>IF(OR(P2085="Gasto",P2085="Reembolso"),IF(M2085&lt;&gt;"",M2085,IFERROR(INDEX(catClasif,MATCH(D2085&amp;"|"&amp;E2085,catClave,0))&amp;"","Variable")),"")</f>
        <v/>
      </c>
      <c r="Y2085" s="52">
        <f>IF(P2085="","",IFERROR(INDEX(catGrupo,MATCH(D2085&amp;"|"&amp;E2085,catClave,0))&amp;"",""))</f>
        <v/>
      </c>
      <c r="Z2085" s="52">
        <f>IF(P2085="","",WEEKDAY(B2085,2))</f>
        <v/>
      </c>
      <c r="AA2085" s="52">
        <f>IF(P2085="","",IF(AND(P2085="Gasto",X2085="Variable",D2085&lt;&gt;catTrading,S2085&gt;0,S2085&lt;=Umbral),1,0))</f>
        <v/>
      </c>
      <c r="AB2085" s="52">
        <f>IF(OR(P2085="",Q2085=""),"",IFERROR(IF(INDEX(ctaVinc,MATCH(Q2085,ctaNombre,0))&amp;""&lt;&gt;"",INDEX(ctaVinc,MATCH(Q2085,ctaNombre,0))&amp;"",Q2085),Q2085))</f>
        <v/>
      </c>
      <c r="AC2085" s="52">
        <f>IF(OR(K2085="",AND(P2085&lt;&gt;"Transferencia",P2085&lt;&gt;"Pago tarjeta")),"",IFERROR(IF(INDEX(ctaVinc,MATCH(K2085,ctaNombre,0))&amp;""&lt;&gt;"",INDEX(ctaVinc,MATCH(K2085,ctaNombre,0))&amp;"",K2085),K2085))</f>
        <v/>
      </c>
      <c r="AD2085" s="52">
        <f>IF(AB2085="","",IFERROR(INDEX(ctaTipo,MATCH(AB2085,ctaNombre,0))&amp;"",""))</f>
        <v/>
      </c>
      <c r="AE2085" s="52">
        <f>IF(AC2085="","",IFERROR(INDEX(ctaTipo,MATCH(AC2085,ctaNombre,0))&amp;"",""))</f>
        <v/>
      </c>
      <c r="AF2085" s="53">
        <f>IF(OR(P2085="",AB2085=""),"",IF(OR(P2085="Gasto",P2085="Transferencia",P2085="Pago tarjeta"),-1,1)*IF(IFERROR(INDEX(ctaMoneda,MATCH(AB2085,ctaNombre,0))&amp;"","DOP")="USD",T2085,S2085))</f>
        <v/>
      </c>
      <c r="AG2085" s="53">
        <f>IF(AC2085="","",IF(IFERROR(INDEX(ctaMoneda,MATCH(AC2085,ctaNombre,0))&amp;"","DOP")="USD",T2085,S2085))</f>
        <v/>
      </c>
      <c r="AH2085" s="53">
        <f>IF(P2085="","",IF(AND(AD2085&lt;&gt;"",COUNTIFS(tcTipo,AD2085,tcLiq,"Sí")&gt;0),IF(OR(P2085="Gasto",P2085="Transferencia",P2085="Pago tarjeta"),-1,1)*S2085,0)+IF(AND(AE2085&lt;&gt;"",COUNTIFS(tcTipo,AE2085,tcLiq,"Sí")&gt;0),S2085,0))</f>
        <v/>
      </c>
      <c r="AI2085" s="52">
        <f>IF(OR(L2085="",P2085=""),"",IF(COUNTIFS(L$6:L2085,L2085,P$6:P2085,"?*")=1,MAX(AI$5:AI2084)+1,""))</f>
        <v/>
      </c>
    </row>
    <row r="2086">
      <c r="B2086" s="47" t="n"/>
      <c r="C2086" s="48" t="n"/>
      <c r="D2086" s="48" t="n"/>
      <c r="E2086" s="48" t="n"/>
      <c r="F2086" s="48" t="n"/>
      <c r="G2086" s="49" t="n"/>
      <c r="H2086" s="48" t="n"/>
      <c r="I2086" s="50" t="n"/>
      <c r="J2086" s="48" t="n"/>
      <c r="K2086" s="48" t="n"/>
      <c r="L2086" s="48" t="n"/>
      <c r="M2086" s="48" t="n"/>
      <c r="N2086" s="48" t="n"/>
      <c r="O2086" s="51">
        <f>IF(AND(B2086="",G2086="",C2086="",D2086="",J2086=""),"",IF(B2086="","⚠ Falta fecha",IF(G2086="","⚠ Falta monto",IF(Q2086="","⚠ Falta cuenta",IF(ISNA(MATCH(Q2086,ctaNombre,0)),"⚠ Cuenta no registrada",IF(AND(OR(P2086="Gasto",P2086="Reembolso"),D2086=""),"⚠ Falta categoría",IF(AND(D2086&lt;&gt;"",E2086&lt;&gt;"",ISNA(MATCH(D2086&amp;"|"&amp;E2086,catClave,0))),"⚠ Subcategoría no corresponde",IF(AND(OR(P2086="Transferencia",P2086="Pago tarjeta"),K2086=""),"⚠ Falta cuenta destino",IF(AND(K2086&lt;&gt;"",P2086&lt;&gt;"Transferencia",P2086&lt;&gt;"Pago tarjeta"),"⚠ Destino solo aplica a transferencias",IF(AND(K2086&lt;&gt;"",K2086=Q2086),"⚠ Origen igual a destino",IF(AND(K2086&lt;&gt;"",ISNA(MATCH(K2086,ctaNombre,0))),"⚠ Destino no registrado",IF(AND(P2086="Pago tarjeta",AE2086&lt;&gt;"Tarjeta de crédito"),"⚠ El destino debe ser tarjeta de crédito",IF(AND(P2086="Gasto",E2086="Depósitos y retiros"),"⚠ Usa tipo Transferencia",IF(AND(P2086="Resultado trading",AD2086&lt;&gt;"Cuenta de trading"),"⚠ Usa una cuenta de trading",IF(AND(G2086&lt;=0,P2086&lt;&gt;"Ajuste",P2086&lt;&gt;"Resultado trading"),"⚠ El monto debe ser positivo","✓")))))))))))))))</f>
        <v/>
      </c>
      <c r="P2086" s="52">
        <f>IF(OR(B2086="",G2086=""),"",IF(C2086="","Gasto",C2086))</f>
        <v/>
      </c>
      <c r="Q2086" s="52">
        <f>IF(P2086="","",IF(J2086&lt;&gt;"",J2086,CuentaPred&amp;""))</f>
        <v/>
      </c>
      <c r="R2086" s="52">
        <f>IF(P2086="","",IF(ISNUMBER(I2086),I2086,TasaUSD))</f>
        <v/>
      </c>
      <c r="S2086" s="53">
        <f>IF(P2086="","",IF(H2086="USD",G2086*R2086,G2086))</f>
        <v/>
      </c>
      <c r="T2086" s="53">
        <f>IF(P2086="","",IF(H2086="USD",G2086,IF(R2086&gt;0,G2086/R2086,0)))</f>
        <v/>
      </c>
      <c r="U2086" s="53">
        <f>IF(P2086="","",IF(P2086="Gasto",S2086,IF(P2086="Reembolso",-S2086,0)))</f>
        <v/>
      </c>
      <c r="V2086" s="53">
        <f>IF(P2086="","",IF(P2086="Ingreso",S2086,0))</f>
        <v/>
      </c>
      <c r="W2086" s="53">
        <f>IF(P2086="","",IF(P2086="Resultado trading",S2086,0))</f>
        <v/>
      </c>
      <c r="X2086" s="52">
        <f>IF(OR(P2086="Gasto",P2086="Reembolso"),IF(M2086&lt;&gt;"",M2086,IFERROR(INDEX(catClasif,MATCH(D2086&amp;"|"&amp;E2086,catClave,0))&amp;"","Variable")),"")</f>
        <v/>
      </c>
      <c r="Y2086" s="52">
        <f>IF(P2086="","",IFERROR(INDEX(catGrupo,MATCH(D2086&amp;"|"&amp;E2086,catClave,0))&amp;"",""))</f>
        <v/>
      </c>
      <c r="Z2086" s="52">
        <f>IF(P2086="","",WEEKDAY(B2086,2))</f>
        <v/>
      </c>
      <c r="AA2086" s="52">
        <f>IF(P2086="","",IF(AND(P2086="Gasto",X2086="Variable",D2086&lt;&gt;catTrading,S2086&gt;0,S2086&lt;=Umbral),1,0))</f>
        <v/>
      </c>
      <c r="AB2086" s="52">
        <f>IF(OR(P2086="",Q2086=""),"",IFERROR(IF(INDEX(ctaVinc,MATCH(Q2086,ctaNombre,0))&amp;""&lt;&gt;"",INDEX(ctaVinc,MATCH(Q2086,ctaNombre,0))&amp;"",Q2086),Q2086))</f>
        <v/>
      </c>
      <c r="AC2086" s="52">
        <f>IF(OR(K2086="",AND(P2086&lt;&gt;"Transferencia",P2086&lt;&gt;"Pago tarjeta")),"",IFERROR(IF(INDEX(ctaVinc,MATCH(K2086,ctaNombre,0))&amp;""&lt;&gt;"",INDEX(ctaVinc,MATCH(K2086,ctaNombre,0))&amp;"",K2086),K2086))</f>
        <v/>
      </c>
      <c r="AD2086" s="52">
        <f>IF(AB2086="","",IFERROR(INDEX(ctaTipo,MATCH(AB2086,ctaNombre,0))&amp;"",""))</f>
        <v/>
      </c>
      <c r="AE2086" s="52">
        <f>IF(AC2086="","",IFERROR(INDEX(ctaTipo,MATCH(AC2086,ctaNombre,0))&amp;"",""))</f>
        <v/>
      </c>
      <c r="AF2086" s="53">
        <f>IF(OR(P2086="",AB2086=""),"",IF(OR(P2086="Gasto",P2086="Transferencia",P2086="Pago tarjeta"),-1,1)*IF(IFERROR(INDEX(ctaMoneda,MATCH(AB2086,ctaNombre,0))&amp;"","DOP")="USD",T2086,S2086))</f>
        <v/>
      </c>
      <c r="AG2086" s="53">
        <f>IF(AC2086="","",IF(IFERROR(INDEX(ctaMoneda,MATCH(AC2086,ctaNombre,0))&amp;"","DOP")="USD",T2086,S2086))</f>
        <v/>
      </c>
      <c r="AH2086" s="53">
        <f>IF(P2086="","",IF(AND(AD2086&lt;&gt;"",COUNTIFS(tcTipo,AD2086,tcLiq,"Sí")&gt;0),IF(OR(P2086="Gasto",P2086="Transferencia",P2086="Pago tarjeta"),-1,1)*S2086,0)+IF(AND(AE2086&lt;&gt;"",COUNTIFS(tcTipo,AE2086,tcLiq,"Sí")&gt;0),S2086,0))</f>
        <v/>
      </c>
      <c r="AI2086" s="52">
        <f>IF(OR(L2086="",P2086=""),"",IF(COUNTIFS(L$6:L2086,L2086,P$6:P2086,"?*")=1,MAX(AI$5:AI2085)+1,""))</f>
        <v/>
      </c>
    </row>
    <row r="2087">
      <c r="B2087" s="47" t="n"/>
      <c r="C2087" s="48" t="n"/>
      <c r="D2087" s="48" t="n"/>
      <c r="E2087" s="48" t="n"/>
      <c r="F2087" s="48" t="n"/>
      <c r="G2087" s="49" t="n"/>
      <c r="H2087" s="48" t="n"/>
      <c r="I2087" s="50" t="n"/>
      <c r="J2087" s="48" t="n"/>
      <c r="K2087" s="48" t="n"/>
      <c r="L2087" s="48" t="n"/>
      <c r="M2087" s="48" t="n"/>
      <c r="N2087" s="48" t="n"/>
      <c r="O2087" s="51">
        <f>IF(AND(B2087="",G2087="",C2087="",D2087="",J2087=""),"",IF(B2087="","⚠ Falta fecha",IF(G2087="","⚠ Falta monto",IF(Q2087="","⚠ Falta cuenta",IF(ISNA(MATCH(Q2087,ctaNombre,0)),"⚠ Cuenta no registrada",IF(AND(OR(P2087="Gasto",P2087="Reembolso"),D2087=""),"⚠ Falta categoría",IF(AND(D2087&lt;&gt;"",E2087&lt;&gt;"",ISNA(MATCH(D2087&amp;"|"&amp;E2087,catClave,0))),"⚠ Subcategoría no corresponde",IF(AND(OR(P2087="Transferencia",P2087="Pago tarjeta"),K2087=""),"⚠ Falta cuenta destino",IF(AND(K2087&lt;&gt;"",P2087&lt;&gt;"Transferencia",P2087&lt;&gt;"Pago tarjeta"),"⚠ Destino solo aplica a transferencias",IF(AND(K2087&lt;&gt;"",K2087=Q2087),"⚠ Origen igual a destino",IF(AND(K2087&lt;&gt;"",ISNA(MATCH(K2087,ctaNombre,0))),"⚠ Destino no registrado",IF(AND(P2087="Pago tarjeta",AE2087&lt;&gt;"Tarjeta de crédito"),"⚠ El destino debe ser tarjeta de crédito",IF(AND(P2087="Gasto",E2087="Depósitos y retiros"),"⚠ Usa tipo Transferencia",IF(AND(P2087="Resultado trading",AD2087&lt;&gt;"Cuenta de trading"),"⚠ Usa una cuenta de trading",IF(AND(G2087&lt;=0,P2087&lt;&gt;"Ajuste",P2087&lt;&gt;"Resultado trading"),"⚠ El monto debe ser positivo","✓")))))))))))))))</f>
        <v/>
      </c>
      <c r="P2087" s="52">
        <f>IF(OR(B2087="",G2087=""),"",IF(C2087="","Gasto",C2087))</f>
        <v/>
      </c>
      <c r="Q2087" s="52">
        <f>IF(P2087="","",IF(J2087&lt;&gt;"",J2087,CuentaPred&amp;""))</f>
        <v/>
      </c>
      <c r="R2087" s="52">
        <f>IF(P2087="","",IF(ISNUMBER(I2087),I2087,TasaUSD))</f>
        <v/>
      </c>
      <c r="S2087" s="53">
        <f>IF(P2087="","",IF(H2087="USD",G2087*R2087,G2087))</f>
        <v/>
      </c>
      <c r="T2087" s="53">
        <f>IF(P2087="","",IF(H2087="USD",G2087,IF(R2087&gt;0,G2087/R2087,0)))</f>
        <v/>
      </c>
      <c r="U2087" s="53">
        <f>IF(P2087="","",IF(P2087="Gasto",S2087,IF(P2087="Reembolso",-S2087,0)))</f>
        <v/>
      </c>
      <c r="V2087" s="53">
        <f>IF(P2087="","",IF(P2087="Ingreso",S2087,0))</f>
        <v/>
      </c>
      <c r="W2087" s="53">
        <f>IF(P2087="","",IF(P2087="Resultado trading",S2087,0))</f>
        <v/>
      </c>
      <c r="X2087" s="52">
        <f>IF(OR(P2087="Gasto",P2087="Reembolso"),IF(M2087&lt;&gt;"",M2087,IFERROR(INDEX(catClasif,MATCH(D2087&amp;"|"&amp;E2087,catClave,0))&amp;"","Variable")),"")</f>
        <v/>
      </c>
      <c r="Y2087" s="52">
        <f>IF(P2087="","",IFERROR(INDEX(catGrupo,MATCH(D2087&amp;"|"&amp;E2087,catClave,0))&amp;"",""))</f>
        <v/>
      </c>
      <c r="Z2087" s="52">
        <f>IF(P2087="","",WEEKDAY(B2087,2))</f>
        <v/>
      </c>
      <c r="AA2087" s="52">
        <f>IF(P2087="","",IF(AND(P2087="Gasto",X2087="Variable",D2087&lt;&gt;catTrading,S2087&gt;0,S2087&lt;=Umbral),1,0))</f>
        <v/>
      </c>
      <c r="AB2087" s="52">
        <f>IF(OR(P2087="",Q2087=""),"",IFERROR(IF(INDEX(ctaVinc,MATCH(Q2087,ctaNombre,0))&amp;""&lt;&gt;"",INDEX(ctaVinc,MATCH(Q2087,ctaNombre,0))&amp;"",Q2087),Q2087))</f>
        <v/>
      </c>
      <c r="AC2087" s="52">
        <f>IF(OR(K2087="",AND(P2087&lt;&gt;"Transferencia",P2087&lt;&gt;"Pago tarjeta")),"",IFERROR(IF(INDEX(ctaVinc,MATCH(K2087,ctaNombre,0))&amp;""&lt;&gt;"",INDEX(ctaVinc,MATCH(K2087,ctaNombre,0))&amp;"",K2087),K2087))</f>
        <v/>
      </c>
      <c r="AD2087" s="52">
        <f>IF(AB2087="","",IFERROR(INDEX(ctaTipo,MATCH(AB2087,ctaNombre,0))&amp;"",""))</f>
        <v/>
      </c>
      <c r="AE2087" s="52">
        <f>IF(AC2087="","",IFERROR(INDEX(ctaTipo,MATCH(AC2087,ctaNombre,0))&amp;"",""))</f>
        <v/>
      </c>
      <c r="AF2087" s="53">
        <f>IF(OR(P2087="",AB2087=""),"",IF(OR(P2087="Gasto",P2087="Transferencia",P2087="Pago tarjeta"),-1,1)*IF(IFERROR(INDEX(ctaMoneda,MATCH(AB2087,ctaNombre,0))&amp;"","DOP")="USD",T2087,S2087))</f>
        <v/>
      </c>
      <c r="AG2087" s="53">
        <f>IF(AC2087="","",IF(IFERROR(INDEX(ctaMoneda,MATCH(AC2087,ctaNombre,0))&amp;"","DOP")="USD",T2087,S2087))</f>
        <v/>
      </c>
      <c r="AH2087" s="53">
        <f>IF(P2087="","",IF(AND(AD2087&lt;&gt;"",COUNTIFS(tcTipo,AD2087,tcLiq,"Sí")&gt;0),IF(OR(P2087="Gasto",P2087="Transferencia",P2087="Pago tarjeta"),-1,1)*S2087,0)+IF(AND(AE2087&lt;&gt;"",COUNTIFS(tcTipo,AE2087,tcLiq,"Sí")&gt;0),S2087,0))</f>
        <v/>
      </c>
      <c r="AI2087" s="52">
        <f>IF(OR(L2087="",P2087=""),"",IF(COUNTIFS(L$6:L2087,L2087,P$6:P2087,"?*")=1,MAX(AI$5:AI2086)+1,""))</f>
        <v/>
      </c>
    </row>
    <row r="2088">
      <c r="B2088" s="47" t="n"/>
      <c r="C2088" s="48" t="n"/>
      <c r="D2088" s="48" t="n"/>
      <c r="E2088" s="48" t="n"/>
      <c r="F2088" s="48" t="n"/>
      <c r="G2088" s="49" t="n"/>
      <c r="H2088" s="48" t="n"/>
      <c r="I2088" s="50" t="n"/>
      <c r="J2088" s="48" t="n"/>
      <c r="K2088" s="48" t="n"/>
      <c r="L2088" s="48" t="n"/>
      <c r="M2088" s="48" t="n"/>
      <c r="N2088" s="48" t="n"/>
      <c r="O2088" s="51">
        <f>IF(AND(B2088="",G2088="",C2088="",D2088="",J2088=""),"",IF(B2088="","⚠ Falta fecha",IF(G2088="","⚠ Falta monto",IF(Q2088="","⚠ Falta cuenta",IF(ISNA(MATCH(Q2088,ctaNombre,0)),"⚠ Cuenta no registrada",IF(AND(OR(P2088="Gasto",P2088="Reembolso"),D2088=""),"⚠ Falta categoría",IF(AND(D2088&lt;&gt;"",E2088&lt;&gt;"",ISNA(MATCH(D2088&amp;"|"&amp;E2088,catClave,0))),"⚠ Subcategoría no corresponde",IF(AND(OR(P2088="Transferencia",P2088="Pago tarjeta"),K2088=""),"⚠ Falta cuenta destino",IF(AND(K2088&lt;&gt;"",P2088&lt;&gt;"Transferencia",P2088&lt;&gt;"Pago tarjeta"),"⚠ Destino solo aplica a transferencias",IF(AND(K2088&lt;&gt;"",K2088=Q2088),"⚠ Origen igual a destino",IF(AND(K2088&lt;&gt;"",ISNA(MATCH(K2088,ctaNombre,0))),"⚠ Destino no registrado",IF(AND(P2088="Pago tarjeta",AE2088&lt;&gt;"Tarjeta de crédito"),"⚠ El destino debe ser tarjeta de crédito",IF(AND(P2088="Gasto",E2088="Depósitos y retiros"),"⚠ Usa tipo Transferencia",IF(AND(P2088="Resultado trading",AD2088&lt;&gt;"Cuenta de trading"),"⚠ Usa una cuenta de trading",IF(AND(G2088&lt;=0,P2088&lt;&gt;"Ajuste",P2088&lt;&gt;"Resultado trading"),"⚠ El monto debe ser positivo","✓")))))))))))))))</f>
        <v/>
      </c>
      <c r="P2088" s="52">
        <f>IF(OR(B2088="",G2088=""),"",IF(C2088="","Gasto",C2088))</f>
        <v/>
      </c>
      <c r="Q2088" s="52">
        <f>IF(P2088="","",IF(J2088&lt;&gt;"",J2088,CuentaPred&amp;""))</f>
        <v/>
      </c>
      <c r="R2088" s="52">
        <f>IF(P2088="","",IF(ISNUMBER(I2088),I2088,TasaUSD))</f>
        <v/>
      </c>
      <c r="S2088" s="53">
        <f>IF(P2088="","",IF(H2088="USD",G2088*R2088,G2088))</f>
        <v/>
      </c>
      <c r="T2088" s="53">
        <f>IF(P2088="","",IF(H2088="USD",G2088,IF(R2088&gt;0,G2088/R2088,0)))</f>
        <v/>
      </c>
      <c r="U2088" s="53">
        <f>IF(P2088="","",IF(P2088="Gasto",S2088,IF(P2088="Reembolso",-S2088,0)))</f>
        <v/>
      </c>
      <c r="V2088" s="53">
        <f>IF(P2088="","",IF(P2088="Ingreso",S2088,0))</f>
        <v/>
      </c>
      <c r="W2088" s="53">
        <f>IF(P2088="","",IF(P2088="Resultado trading",S2088,0))</f>
        <v/>
      </c>
      <c r="X2088" s="52">
        <f>IF(OR(P2088="Gasto",P2088="Reembolso"),IF(M2088&lt;&gt;"",M2088,IFERROR(INDEX(catClasif,MATCH(D2088&amp;"|"&amp;E2088,catClave,0))&amp;"","Variable")),"")</f>
        <v/>
      </c>
      <c r="Y2088" s="52">
        <f>IF(P2088="","",IFERROR(INDEX(catGrupo,MATCH(D2088&amp;"|"&amp;E2088,catClave,0))&amp;"",""))</f>
        <v/>
      </c>
      <c r="Z2088" s="52">
        <f>IF(P2088="","",WEEKDAY(B2088,2))</f>
        <v/>
      </c>
      <c r="AA2088" s="52">
        <f>IF(P2088="","",IF(AND(P2088="Gasto",X2088="Variable",D2088&lt;&gt;catTrading,S2088&gt;0,S2088&lt;=Umbral),1,0))</f>
        <v/>
      </c>
      <c r="AB2088" s="52">
        <f>IF(OR(P2088="",Q2088=""),"",IFERROR(IF(INDEX(ctaVinc,MATCH(Q2088,ctaNombre,0))&amp;""&lt;&gt;"",INDEX(ctaVinc,MATCH(Q2088,ctaNombre,0))&amp;"",Q2088),Q2088))</f>
        <v/>
      </c>
      <c r="AC2088" s="52">
        <f>IF(OR(K2088="",AND(P2088&lt;&gt;"Transferencia",P2088&lt;&gt;"Pago tarjeta")),"",IFERROR(IF(INDEX(ctaVinc,MATCH(K2088,ctaNombre,0))&amp;""&lt;&gt;"",INDEX(ctaVinc,MATCH(K2088,ctaNombre,0))&amp;"",K2088),K2088))</f>
        <v/>
      </c>
      <c r="AD2088" s="52">
        <f>IF(AB2088="","",IFERROR(INDEX(ctaTipo,MATCH(AB2088,ctaNombre,0))&amp;"",""))</f>
        <v/>
      </c>
      <c r="AE2088" s="52">
        <f>IF(AC2088="","",IFERROR(INDEX(ctaTipo,MATCH(AC2088,ctaNombre,0))&amp;"",""))</f>
        <v/>
      </c>
      <c r="AF2088" s="53">
        <f>IF(OR(P2088="",AB2088=""),"",IF(OR(P2088="Gasto",P2088="Transferencia",P2088="Pago tarjeta"),-1,1)*IF(IFERROR(INDEX(ctaMoneda,MATCH(AB2088,ctaNombre,0))&amp;"","DOP")="USD",T2088,S2088))</f>
        <v/>
      </c>
      <c r="AG2088" s="53">
        <f>IF(AC2088="","",IF(IFERROR(INDEX(ctaMoneda,MATCH(AC2088,ctaNombre,0))&amp;"","DOP")="USD",T2088,S2088))</f>
        <v/>
      </c>
      <c r="AH2088" s="53">
        <f>IF(P2088="","",IF(AND(AD2088&lt;&gt;"",COUNTIFS(tcTipo,AD2088,tcLiq,"Sí")&gt;0),IF(OR(P2088="Gasto",P2088="Transferencia",P2088="Pago tarjeta"),-1,1)*S2088,0)+IF(AND(AE2088&lt;&gt;"",COUNTIFS(tcTipo,AE2088,tcLiq,"Sí")&gt;0),S2088,0))</f>
        <v/>
      </c>
      <c r="AI2088" s="52">
        <f>IF(OR(L2088="",P2088=""),"",IF(COUNTIFS(L$6:L2088,L2088,P$6:P2088,"?*")=1,MAX(AI$5:AI2087)+1,""))</f>
        <v/>
      </c>
    </row>
    <row r="2089">
      <c r="B2089" s="47" t="n"/>
      <c r="C2089" s="48" t="n"/>
      <c r="D2089" s="48" t="n"/>
      <c r="E2089" s="48" t="n"/>
      <c r="F2089" s="48" t="n"/>
      <c r="G2089" s="49" t="n"/>
      <c r="H2089" s="48" t="n"/>
      <c r="I2089" s="50" t="n"/>
      <c r="J2089" s="48" t="n"/>
      <c r="K2089" s="48" t="n"/>
      <c r="L2089" s="48" t="n"/>
      <c r="M2089" s="48" t="n"/>
      <c r="N2089" s="48" t="n"/>
      <c r="O2089" s="51">
        <f>IF(AND(B2089="",G2089="",C2089="",D2089="",J2089=""),"",IF(B2089="","⚠ Falta fecha",IF(G2089="","⚠ Falta monto",IF(Q2089="","⚠ Falta cuenta",IF(ISNA(MATCH(Q2089,ctaNombre,0)),"⚠ Cuenta no registrada",IF(AND(OR(P2089="Gasto",P2089="Reembolso"),D2089=""),"⚠ Falta categoría",IF(AND(D2089&lt;&gt;"",E2089&lt;&gt;"",ISNA(MATCH(D2089&amp;"|"&amp;E2089,catClave,0))),"⚠ Subcategoría no corresponde",IF(AND(OR(P2089="Transferencia",P2089="Pago tarjeta"),K2089=""),"⚠ Falta cuenta destino",IF(AND(K2089&lt;&gt;"",P2089&lt;&gt;"Transferencia",P2089&lt;&gt;"Pago tarjeta"),"⚠ Destino solo aplica a transferencias",IF(AND(K2089&lt;&gt;"",K2089=Q2089),"⚠ Origen igual a destino",IF(AND(K2089&lt;&gt;"",ISNA(MATCH(K2089,ctaNombre,0))),"⚠ Destino no registrado",IF(AND(P2089="Pago tarjeta",AE2089&lt;&gt;"Tarjeta de crédito"),"⚠ El destino debe ser tarjeta de crédito",IF(AND(P2089="Gasto",E2089="Depósitos y retiros"),"⚠ Usa tipo Transferencia",IF(AND(P2089="Resultado trading",AD2089&lt;&gt;"Cuenta de trading"),"⚠ Usa una cuenta de trading",IF(AND(G2089&lt;=0,P2089&lt;&gt;"Ajuste",P2089&lt;&gt;"Resultado trading"),"⚠ El monto debe ser positivo","✓")))))))))))))))</f>
        <v/>
      </c>
      <c r="P2089" s="52">
        <f>IF(OR(B2089="",G2089=""),"",IF(C2089="","Gasto",C2089))</f>
        <v/>
      </c>
      <c r="Q2089" s="52">
        <f>IF(P2089="","",IF(J2089&lt;&gt;"",J2089,CuentaPred&amp;""))</f>
        <v/>
      </c>
      <c r="R2089" s="52">
        <f>IF(P2089="","",IF(ISNUMBER(I2089),I2089,TasaUSD))</f>
        <v/>
      </c>
      <c r="S2089" s="53">
        <f>IF(P2089="","",IF(H2089="USD",G2089*R2089,G2089))</f>
        <v/>
      </c>
      <c r="T2089" s="53">
        <f>IF(P2089="","",IF(H2089="USD",G2089,IF(R2089&gt;0,G2089/R2089,0)))</f>
        <v/>
      </c>
      <c r="U2089" s="53">
        <f>IF(P2089="","",IF(P2089="Gasto",S2089,IF(P2089="Reembolso",-S2089,0)))</f>
        <v/>
      </c>
      <c r="V2089" s="53">
        <f>IF(P2089="","",IF(P2089="Ingreso",S2089,0))</f>
        <v/>
      </c>
      <c r="W2089" s="53">
        <f>IF(P2089="","",IF(P2089="Resultado trading",S2089,0))</f>
        <v/>
      </c>
      <c r="X2089" s="52">
        <f>IF(OR(P2089="Gasto",P2089="Reembolso"),IF(M2089&lt;&gt;"",M2089,IFERROR(INDEX(catClasif,MATCH(D2089&amp;"|"&amp;E2089,catClave,0))&amp;"","Variable")),"")</f>
        <v/>
      </c>
      <c r="Y2089" s="52">
        <f>IF(P2089="","",IFERROR(INDEX(catGrupo,MATCH(D2089&amp;"|"&amp;E2089,catClave,0))&amp;"",""))</f>
        <v/>
      </c>
      <c r="Z2089" s="52">
        <f>IF(P2089="","",WEEKDAY(B2089,2))</f>
        <v/>
      </c>
      <c r="AA2089" s="52">
        <f>IF(P2089="","",IF(AND(P2089="Gasto",X2089="Variable",D2089&lt;&gt;catTrading,S2089&gt;0,S2089&lt;=Umbral),1,0))</f>
        <v/>
      </c>
      <c r="AB2089" s="52">
        <f>IF(OR(P2089="",Q2089=""),"",IFERROR(IF(INDEX(ctaVinc,MATCH(Q2089,ctaNombre,0))&amp;""&lt;&gt;"",INDEX(ctaVinc,MATCH(Q2089,ctaNombre,0))&amp;"",Q2089),Q2089))</f>
        <v/>
      </c>
      <c r="AC2089" s="52">
        <f>IF(OR(K2089="",AND(P2089&lt;&gt;"Transferencia",P2089&lt;&gt;"Pago tarjeta")),"",IFERROR(IF(INDEX(ctaVinc,MATCH(K2089,ctaNombre,0))&amp;""&lt;&gt;"",INDEX(ctaVinc,MATCH(K2089,ctaNombre,0))&amp;"",K2089),K2089))</f>
        <v/>
      </c>
      <c r="AD2089" s="52">
        <f>IF(AB2089="","",IFERROR(INDEX(ctaTipo,MATCH(AB2089,ctaNombre,0))&amp;"",""))</f>
        <v/>
      </c>
      <c r="AE2089" s="52">
        <f>IF(AC2089="","",IFERROR(INDEX(ctaTipo,MATCH(AC2089,ctaNombre,0))&amp;"",""))</f>
        <v/>
      </c>
      <c r="AF2089" s="53">
        <f>IF(OR(P2089="",AB2089=""),"",IF(OR(P2089="Gasto",P2089="Transferencia",P2089="Pago tarjeta"),-1,1)*IF(IFERROR(INDEX(ctaMoneda,MATCH(AB2089,ctaNombre,0))&amp;"","DOP")="USD",T2089,S2089))</f>
        <v/>
      </c>
      <c r="AG2089" s="53">
        <f>IF(AC2089="","",IF(IFERROR(INDEX(ctaMoneda,MATCH(AC2089,ctaNombre,0))&amp;"","DOP")="USD",T2089,S2089))</f>
        <v/>
      </c>
      <c r="AH2089" s="53">
        <f>IF(P2089="","",IF(AND(AD2089&lt;&gt;"",COUNTIFS(tcTipo,AD2089,tcLiq,"Sí")&gt;0),IF(OR(P2089="Gasto",P2089="Transferencia",P2089="Pago tarjeta"),-1,1)*S2089,0)+IF(AND(AE2089&lt;&gt;"",COUNTIFS(tcTipo,AE2089,tcLiq,"Sí")&gt;0),S2089,0))</f>
        <v/>
      </c>
      <c r="AI2089" s="52">
        <f>IF(OR(L2089="",P2089=""),"",IF(COUNTIFS(L$6:L2089,L2089,P$6:P2089,"?*")=1,MAX(AI$5:AI2088)+1,""))</f>
        <v/>
      </c>
    </row>
    <row r="2090">
      <c r="B2090" s="47" t="n"/>
      <c r="C2090" s="48" t="n"/>
      <c r="D2090" s="48" t="n"/>
      <c r="E2090" s="48" t="n"/>
      <c r="F2090" s="48" t="n"/>
      <c r="G2090" s="49" t="n"/>
      <c r="H2090" s="48" t="n"/>
      <c r="I2090" s="50" t="n"/>
      <c r="J2090" s="48" t="n"/>
      <c r="K2090" s="48" t="n"/>
      <c r="L2090" s="48" t="n"/>
      <c r="M2090" s="48" t="n"/>
      <c r="N2090" s="48" t="n"/>
      <c r="O2090" s="51">
        <f>IF(AND(B2090="",G2090="",C2090="",D2090="",J2090=""),"",IF(B2090="","⚠ Falta fecha",IF(G2090="","⚠ Falta monto",IF(Q2090="","⚠ Falta cuenta",IF(ISNA(MATCH(Q2090,ctaNombre,0)),"⚠ Cuenta no registrada",IF(AND(OR(P2090="Gasto",P2090="Reembolso"),D2090=""),"⚠ Falta categoría",IF(AND(D2090&lt;&gt;"",E2090&lt;&gt;"",ISNA(MATCH(D2090&amp;"|"&amp;E2090,catClave,0))),"⚠ Subcategoría no corresponde",IF(AND(OR(P2090="Transferencia",P2090="Pago tarjeta"),K2090=""),"⚠ Falta cuenta destino",IF(AND(K2090&lt;&gt;"",P2090&lt;&gt;"Transferencia",P2090&lt;&gt;"Pago tarjeta"),"⚠ Destino solo aplica a transferencias",IF(AND(K2090&lt;&gt;"",K2090=Q2090),"⚠ Origen igual a destino",IF(AND(K2090&lt;&gt;"",ISNA(MATCH(K2090,ctaNombre,0))),"⚠ Destino no registrado",IF(AND(P2090="Pago tarjeta",AE2090&lt;&gt;"Tarjeta de crédito"),"⚠ El destino debe ser tarjeta de crédito",IF(AND(P2090="Gasto",E2090="Depósitos y retiros"),"⚠ Usa tipo Transferencia",IF(AND(P2090="Resultado trading",AD2090&lt;&gt;"Cuenta de trading"),"⚠ Usa una cuenta de trading",IF(AND(G2090&lt;=0,P2090&lt;&gt;"Ajuste",P2090&lt;&gt;"Resultado trading"),"⚠ El monto debe ser positivo","✓")))))))))))))))</f>
        <v/>
      </c>
      <c r="P2090" s="52">
        <f>IF(OR(B2090="",G2090=""),"",IF(C2090="","Gasto",C2090))</f>
        <v/>
      </c>
      <c r="Q2090" s="52">
        <f>IF(P2090="","",IF(J2090&lt;&gt;"",J2090,CuentaPred&amp;""))</f>
        <v/>
      </c>
      <c r="R2090" s="52">
        <f>IF(P2090="","",IF(ISNUMBER(I2090),I2090,TasaUSD))</f>
        <v/>
      </c>
      <c r="S2090" s="53">
        <f>IF(P2090="","",IF(H2090="USD",G2090*R2090,G2090))</f>
        <v/>
      </c>
      <c r="T2090" s="53">
        <f>IF(P2090="","",IF(H2090="USD",G2090,IF(R2090&gt;0,G2090/R2090,0)))</f>
        <v/>
      </c>
      <c r="U2090" s="53">
        <f>IF(P2090="","",IF(P2090="Gasto",S2090,IF(P2090="Reembolso",-S2090,0)))</f>
        <v/>
      </c>
      <c r="V2090" s="53">
        <f>IF(P2090="","",IF(P2090="Ingreso",S2090,0))</f>
        <v/>
      </c>
      <c r="W2090" s="53">
        <f>IF(P2090="","",IF(P2090="Resultado trading",S2090,0))</f>
        <v/>
      </c>
      <c r="X2090" s="52">
        <f>IF(OR(P2090="Gasto",P2090="Reembolso"),IF(M2090&lt;&gt;"",M2090,IFERROR(INDEX(catClasif,MATCH(D2090&amp;"|"&amp;E2090,catClave,0))&amp;"","Variable")),"")</f>
        <v/>
      </c>
      <c r="Y2090" s="52">
        <f>IF(P2090="","",IFERROR(INDEX(catGrupo,MATCH(D2090&amp;"|"&amp;E2090,catClave,0))&amp;"",""))</f>
        <v/>
      </c>
      <c r="Z2090" s="52">
        <f>IF(P2090="","",WEEKDAY(B2090,2))</f>
        <v/>
      </c>
      <c r="AA2090" s="52">
        <f>IF(P2090="","",IF(AND(P2090="Gasto",X2090="Variable",D2090&lt;&gt;catTrading,S2090&gt;0,S2090&lt;=Umbral),1,0))</f>
        <v/>
      </c>
      <c r="AB2090" s="52">
        <f>IF(OR(P2090="",Q2090=""),"",IFERROR(IF(INDEX(ctaVinc,MATCH(Q2090,ctaNombre,0))&amp;""&lt;&gt;"",INDEX(ctaVinc,MATCH(Q2090,ctaNombre,0))&amp;"",Q2090),Q2090))</f>
        <v/>
      </c>
      <c r="AC2090" s="52">
        <f>IF(OR(K2090="",AND(P2090&lt;&gt;"Transferencia",P2090&lt;&gt;"Pago tarjeta")),"",IFERROR(IF(INDEX(ctaVinc,MATCH(K2090,ctaNombre,0))&amp;""&lt;&gt;"",INDEX(ctaVinc,MATCH(K2090,ctaNombre,0))&amp;"",K2090),K2090))</f>
        <v/>
      </c>
      <c r="AD2090" s="52">
        <f>IF(AB2090="","",IFERROR(INDEX(ctaTipo,MATCH(AB2090,ctaNombre,0))&amp;"",""))</f>
        <v/>
      </c>
      <c r="AE2090" s="52">
        <f>IF(AC2090="","",IFERROR(INDEX(ctaTipo,MATCH(AC2090,ctaNombre,0))&amp;"",""))</f>
        <v/>
      </c>
      <c r="AF2090" s="53">
        <f>IF(OR(P2090="",AB2090=""),"",IF(OR(P2090="Gasto",P2090="Transferencia",P2090="Pago tarjeta"),-1,1)*IF(IFERROR(INDEX(ctaMoneda,MATCH(AB2090,ctaNombre,0))&amp;"","DOP")="USD",T2090,S2090))</f>
        <v/>
      </c>
      <c r="AG2090" s="53">
        <f>IF(AC2090="","",IF(IFERROR(INDEX(ctaMoneda,MATCH(AC2090,ctaNombre,0))&amp;"","DOP")="USD",T2090,S2090))</f>
        <v/>
      </c>
      <c r="AH2090" s="53">
        <f>IF(P2090="","",IF(AND(AD2090&lt;&gt;"",COUNTIFS(tcTipo,AD2090,tcLiq,"Sí")&gt;0),IF(OR(P2090="Gasto",P2090="Transferencia",P2090="Pago tarjeta"),-1,1)*S2090,0)+IF(AND(AE2090&lt;&gt;"",COUNTIFS(tcTipo,AE2090,tcLiq,"Sí")&gt;0),S2090,0))</f>
        <v/>
      </c>
      <c r="AI2090" s="52">
        <f>IF(OR(L2090="",P2090=""),"",IF(COUNTIFS(L$6:L2090,L2090,P$6:P2090,"?*")=1,MAX(AI$5:AI2089)+1,""))</f>
        <v/>
      </c>
    </row>
    <row r="2091">
      <c r="B2091" s="47" t="n"/>
      <c r="C2091" s="48" t="n"/>
      <c r="D2091" s="48" t="n"/>
      <c r="E2091" s="48" t="n"/>
      <c r="F2091" s="48" t="n"/>
      <c r="G2091" s="49" t="n"/>
      <c r="H2091" s="48" t="n"/>
      <c r="I2091" s="50" t="n"/>
      <c r="J2091" s="48" t="n"/>
      <c r="K2091" s="48" t="n"/>
      <c r="L2091" s="48" t="n"/>
      <c r="M2091" s="48" t="n"/>
      <c r="N2091" s="48" t="n"/>
      <c r="O2091" s="51">
        <f>IF(AND(B2091="",G2091="",C2091="",D2091="",J2091=""),"",IF(B2091="","⚠ Falta fecha",IF(G2091="","⚠ Falta monto",IF(Q2091="","⚠ Falta cuenta",IF(ISNA(MATCH(Q2091,ctaNombre,0)),"⚠ Cuenta no registrada",IF(AND(OR(P2091="Gasto",P2091="Reembolso"),D2091=""),"⚠ Falta categoría",IF(AND(D2091&lt;&gt;"",E2091&lt;&gt;"",ISNA(MATCH(D2091&amp;"|"&amp;E2091,catClave,0))),"⚠ Subcategoría no corresponde",IF(AND(OR(P2091="Transferencia",P2091="Pago tarjeta"),K2091=""),"⚠ Falta cuenta destino",IF(AND(K2091&lt;&gt;"",P2091&lt;&gt;"Transferencia",P2091&lt;&gt;"Pago tarjeta"),"⚠ Destino solo aplica a transferencias",IF(AND(K2091&lt;&gt;"",K2091=Q2091),"⚠ Origen igual a destino",IF(AND(K2091&lt;&gt;"",ISNA(MATCH(K2091,ctaNombre,0))),"⚠ Destino no registrado",IF(AND(P2091="Pago tarjeta",AE2091&lt;&gt;"Tarjeta de crédito"),"⚠ El destino debe ser tarjeta de crédito",IF(AND(P2091="Gasto",E2091="Depósitos y retiros"),"⚠ Usa tipo Transferencia",IF(AND(P2091="Resultado trading",AD2091&lt;&gt;"Cuenta de trading"),"⚠ Usa una cuenta de trading",IF(AND(G2091&lt;=0,P2091&lt;&gt;"Ajuste",P2091&lt;&gt;"Resultado trading"),"⚠ El monto debe ser positivo","✓")))))))))))))))</f>
        <v/>
      </c>
      <c r="P2091" s="52">
        <f>IF(OR(B2091="",G2091=""),"",IF(C2091="","Gasto",C2091))</f>
        <v/>
      </c>
      <c r="Q2091" s="52">
        <f>IF(P2091="","",IF(J2091&lt;&gt;"",J2091,CuentaPred&amp;""))</f>
        <v/>
      </c>
      <c r="R2091" s="52">
        <f>IF(P2091="","",IF(ISNUMBER(I2091),I2091,TasaUSD))</f>
        <v/>
      </c>
      <c r="S2091" s="53">
        <f>IF(P2091="","",IF(H2091="USD",G2091*R2091,G2091))</f>
        <v/>
      </c>
      <c r="T2091" s="53">
        <f>IF(P2091="","",IF(H2091="USD",G2091,IF(R2091&gt;0,G2091/R2091,0)))</f>
        <v/>
      </c>
      <c r="U2091" s="53">
        <f>IF(P2091="","",IF(P2091="Gasto",S2091,IF(P2091="Reembolso",-S2091,0)))</f>
        <v/>
      </c>
      <c r="V2091" s="53">
        <f>IF(P2091="","",IF(P2091="Ingreso",S2091,0))</f>
        <v/>
      </c>
      <c r="W2091" s="53">
        <f>IF(P2091="","",IF(P2091="Resultado trading",S2091,0))</f>
        <v/>
      </c>
      <c r="X2091" s="52">
        <f>IF(OR(P2091="Gasto",P2091="Reembolso"),IF(M2091&lt;&gt;"",M2091,IFERROR(INDEX(catClasif,MATCH(D2091&amp;"|"&amp;E2091,catClave,0))&amp;"","Variable")),"")</f>
        <v/>
      </c>
      <c r="Y2091" s="52">
        <f>IF(P2091="","",IFERROR(INDEX(catGrupo,MATCH(D2091&amp;"|"&amp;E2091,catClave,0))&amp;"",""))</f>
        <v/>
      </c>
      <c r="Z2091" s="52">
        <f>IF(P2091="","",WEEKDAY(B2091,2))</f>
        <v/>
      </c>
      <c r="AA2091" s="52">
        <f>IF(P2091="","",IF(AND(P2091="Gasto",X2091="Variable",D2091&lt;&gt;catTrading,S2091&gt;0,S2091&lt;=Umbral),1,0))</f>
        <v/>
      </c>
      <c r="AB2091" s="52">
        <f>IF(OR(P2091="",Q2091=""),"",IFERROR(IF(INDEX(ctaVinc,MATCH(Q2091,ctaNombre,0))&amp;""&lt;&gt;"",INDEX(ctaVinc,MATCH(Q2091,ctaNombre,0))&amp;"",Q2091),Q2091))</f>
        <v/>
      </c>
      <c r="AC2091" s="52">
        <f>IF(OR(K2091="",AND(P2091&lt;&gt;"Transferencia",P2091&lt;&gt;"Pago tarjeta")),"",IFERROR(IF(INDEX(ctaVinc,MATCH(K2091,ctaNombre,0))&amp;""&lt;&gt;"",INDEX(ctaVinc,MATCH(K2091,ctaNombre,0))&amp;"",K2091),K2091))</f>
        <v/>
      </c>
      <c r="AD2091" s="52">
        <f>IF(AB2091="","",IFERROR(INDEX(ctaTipo,MATCH(AB2091,ctaNombre,0))&amp;"",""))</f>
        <v/>
      </c>
      <c r="AE2091" s="52">
        <f>IF(AC2091="","",IFERROR(INDEX(ctaTipo,MATCH(AC2091,ctaNombre,0))&amp;"",""))</f>
        <v/>
      </c>
      <c r="AF2091" s="53">
        <f>IF(OR(P2091="",AB2091=""),"",IF(OR(P2091="Gasto",P2091="Transferencia",P2091="Pago tarjeta"),-1,1)*IF(IFERROR(INDEX(ctaMoneda,MATCH(AB2091,ctaNombre,0))&amp;"","DOP")="USD",T2091,S2091))</f>
        <v/>
      </c>
      <c r="AG2091" s="53">
        <f>IF(AC2091="","",IF(IFERROR(INDEX(ctaMoneda,MATCH(AC2091,ctaNombre,0))&amp;"","DOP")="USD",T2091,S2091))</f>
        <v/>
      </c>
      <c r="AH2091" s="53">
        <f>IF(P2091="","",IF(AND(AD2091&lt;&gt;"",COUNTIFS(tcTipo,AD2091,tcLiq,"Sí")&gt;0),IF(OR(P2091="Gasto",P2091="Transferencia",P2091="Pago tarjeta"),-1,1)*S2091,0)+IF(AND(AE2091&lt;&gt;"",COUNTIFS(tcTipo,AE2091,tcLiq,"Sí")&gt;0),S2091,0))</f>
        <v/>
      </c>
      <c r="AI2091" s="52">
        <f>IF(OR(L2091="",P2091=""),"",IF(COUNTIFS(L$6:L2091,L2091,P$6:P2091,"?*")=1,MAX(AI$5:AI2090)+1,""))</f>
        <v/>
      </c>
    </row>
    <row r="2092">
      <c r="B2092" s="47" t="n"/>
      <c r="C2092" s="48" t="n"/>
      <c r="D2092" s="48" t="n"/>
      <c r="E2092" s="48" t="n"/>
      <c r="F2092" s="48" t="n"/>
      <c r="G2092" s="49" t="n"/>
      <c r="H2092" s="48" t="n"/>
      <c r="I2092" s="50" t="n"/>
      <c r="J2092" s="48" t="n"/>
      <c r="K2092" s="48" t="n"/>
      <c r="L2092" s="48" t="n"/>
      <c r="M2092" s="48" t="n"/>
      <c r="N2092" s="48" t="n"/>
      <c r="O2092" s="51">
        <f>IF(AND(B2092="",G2092="",C2092="",D2092="",J2092=""),"",IF(B2092="","⚠ Falta fecha",IF(G2092="","⚠ Falta monto",IF(Q2092="","⚠ Falta cuenta",IF(ISNA(MATCH(Q2092,ctaNombre,0)),"⚠ Cuenta no registrada",IF(AND(OR(P2092="Gasto",P2092="Reembolso"),D2092=""),"⚠ Falta categoría",IF(AND(D2092&lt;&gt;"",E2092&lt;&gt;"",ISNA(MATCH(D2092&amp;"|"&amp;E2092,catClave,0))),"⚠ Subcategoría no corresponde",IF(AND(OR(P2092="Transferencia",P2092="Pago tarjeta"),K2092=""),"⚠ Falta cuenta destino",IF(AND(K2092&lt;&gt;"",P2092&lt;&gt;"Transferencia",P2092&lt;&gt;"Pago tarjeta"),"⚠ Destino solo aplica a transferencias",IF(AND(K2092&lt;&gt;"",K2092=Q2092),"⚠ Origen igual a destino",IF(AND(K2092&lt;&gt;"",ISNA(MATCH(K2092,ctaNombre,0))),"⚠ Destino no registrado",IF(AND(P2092="Pago tarjeta",AE2092&lt;&gt;"Tarjeta de crédito"),"⚠ El destino debe ser tarjeta de crédito",IF(AND(P2092="Gasto",E2092="Depósitos y retiros"),"⚠ Usa tipo Transferencia",IF(AND(P2092="Resultado trading",AD2092&lt;&gt;"Cuenta de trading"),"⚠ Usa una cuenta de trading",IF(AND(G2092&lt;=0,P2092&lt;&gt;"Ajuste",P2092&lt;&gt;"Resultado trading"),"⚠ El monto debe ser positivo","✓")))))))))))))))</f>
        <v/>
      </c>
      <c r="P2092" s="52">
        <f>IF(OR(B2092="",G2092=""),"",IF(C2092="","Gasto",C2092))</f>
        <v/>
      </c>
      <c r="Q2092" s="52">
        <f>IF(P2092="","",IF(J2092&lt;&gt;"",J2092,CuentaPred&amp;""))</f>
        <v/>
      </c>
      <c r="R2092" s="52">
        <f>IF(P2092="","",IF(ISNUMBER(I2092),I2092,TasaUSD))</f>
        <v/>
      </c>
      <c r="S2092" s="53">
        <f>IF(P2092="","",IF(H2092="USD",G2092*R2092,G2092))</f>
        <v/>
      </c>
      <c r="T2092" s="53">
        <f>IF(P2092="","",IF(H2092="USD",G2092,IF(R2092&gt;0,G2092/R2092,0)))</f>
        <v/>
      </c>
      <c r="U2092" s="53">
        <f>IF(P2092="","",IF(P2092="Gasto",S2092,IF(P2092="Reembolso",-S2092,0)))</f>
        <v/>
      </c>
      <c r="V2092" s="53">
        <f>IF(P2092="","",IF(P2092="Ingreso",S2092,0))</f>
        <v/>
      </c>
      <c r="W2092" s="53">
        <f>IF(P2092="","",IF(P2092="Resultado trading",S2092,0))</f>
        <v/>
      </c>
      <c r="X2092" s="52">
        <f>IF(OR(P2092="Gasto",P2092="Reembolso"),IF(M2092&lt;&gt;"",M2092,IFERROR(INDEX(catClasif,MATCH(D2092&amp;"|"&amp;E2092,catClave,0))&amp;"","Variable")),"")</f>
        <v/>
      </c>
      <c r="Y2092" s="52">
        <f>IF(P2092="","",IFERROR(INDEX(catGrupo,MATCH(D2092&amp;"|"&amp;E2092,catClave,0))&amp;"",""))</f>
        <v/>
      </c>
      <c r="Z2092" s="52">
        <f>IF(P2092="","",WEEKDAY(B2092,2))</f>
        <v/>
      </c>
      <c r="AA2092" s="52">
        <f>IF(P2092="","",IF(AND(P2092="Gasto",X2092="Variable",D2092&lt;&gt;catTrading,S2092&gt;0,S2092&lt;=Umbral),1,0))</f>
        <v/>
      </c>
      <c r="AB2092" s="52">
        <f>IF(OR(P2092="",Q2092=""),"",IFERROR(IF(INDEX(ctaVinc,MATCH(Q2092,ctaNombre,0))&amp;""&lt;&gt;"",INDEX(ctaVinc,MATCH(Q2092,ctaNombre,0))&amp;"",Q2092),Q2092))</f>
        <v/>
      </c>
      <c r="AC2092" s="52">
        <f>IF(OR(K2092="",AND(P2092&lt;&gt;"Transferencia",P2092&lt;&gt;"Pago tarjeta")),"",IFERROR(IF(INDEX(ctaVinc,MATCH(K2092,ctaNombre,0))&amp;""&lt;&gt;"",INDEX(ctaVinc,MATCH(K2092,ctaNombre,0))&amp;"",K2092),K2092))</f>
        <v/>
      </c>
      <c r="AD2092" s="52">
        <f>IF(AB2092="","",IFERROR(INDEX(ctaTipo,MATCH(AB2092,ctaNombre,0))&amp;"",""))</f>
        <v/>
      </c>
      <c r="AE2092" s="52">
        <f>IF(AC2092="","",IFERROR(INDEX(ctaTipo,MATCH(AC2092,ctaNombre,0))&amp;"",""))</f>
        <v/>
      </c>
      <c r="AF2092" s="53">
        <f>IF(OR(P2092="",AB2092=""),"",IF(OR(P2092="Gasto",P2092="Transferencia",P2092="Pago tarjeta"),-1,1)*IF(IFERROR(INDEX(ctaMoneda,MATCH(AB2092,ctaNombre,0))&amp;"","DOP")="USD",T2092,S2092))</f>
        <v/>
      </c>
      <c r="AG2092" s="53">
        <f>IF(AC2092="","",IF(IFERROR(INDEX(ctaMoneda,MATCH(AC2092,ctaNombre,0))&amp;"","DOP")="USD",T2092,S2092))</f>
        <v/>
      </c>
      <c r="AH2092" s="53">
        <f>IF(P2092="","",IF(AND(AD2092&lt;&gt;"",COUNTIFS(tcTipo,AD2092,tcLiq,"Sí")&gt;0),IF(OR(P2092="Gasto",P2092="Transferencia",P2092="Pago tarjeta"),-1,1)*S2092,0)+IF(AND(AE2092&lt;&gt;"",COUNTIFS(tcTipo,AE2092,tcLiq,"Sí")&gt;0),S2092,0))</f>
        <v/>
      </c>
      <c r="AI2092" s="52">
        <f>IF(OR(L2092="",P2092=""),"",IF(COUNTIFS(L$6:L2092,L2092,P$6:P2092,"?*")=1,MAX(AI$5:AI2091)+1,""))</f>
        <v/>
      </c>
    </row>
    <row r="2093">
      <c r="B2093" s="47" t="n"/>
      <c r="C2093" s="48" t="n"/>
      <c r="D2093" s="48" t="n"/>
      <c r="E2093" s="48" t="n"/>
      <c r="F2093" s="48" t="n"/>
      <c r="G2093" s="49" t="n"/>
      <c r="H2093" s="48" t="n"/>
      <c r="I2093" s="50" t="n"/>
      <c r="J2093" s="48" t="n"/>
      <c r="K2093" s="48" t="n"/>
      <c r="L2093" s="48" t="n"/>
      <c r="M2093" s="48" t="n"/>
      <c r="N2093" s="48" t="n"/>
      <c r="O2093" s="51">
        <f>IF(AND(B2093="",G2093="",C2093="",D2093="",J2093=""),"",IF(B2093="","⚠ Falta fecha",IF(G2093="","⚠ Falta monto",IF(Q2093="","⚠ Falta cuenta",IF(ISNA(MATCH(Q2093,ctaNombre,0)),"⚠ Cuenta no registrada",IF(AND(OR(P2093="Gasto",P2093="Reembolso"),D2093=""),"⚠ Falta categoría",IF(AND(D2093&lt;&gt;"",E2093&lt;&gt;"",ISNA(MATCH(D2093&amp;"|"&amp;E2093,catClave,0))),"⚠ Subcategoría no corresponde",IF(AND(OR(P2093="Transferencia",P2093="Pago tarjeta"),K2093=""),"⚠ Falta cuenta destino",IF(AND(K2093&lt;&gt;"",P2093&lt;&gt;"Transferencia",P2093&lt;&gt;"Pago tarjeta"),"⚠ Destino solo aplica a transferencias",IF(AND(K2093&lt;&gt;"",K2093=Q2093),"⚠ Origen igual a destino",IF(AND(K2093&lt;&gt;"",ISNA(MATCH(K2093,ctaNombre,0))),"⚠ Destino no registrado",IF(AND(P2093="Pago tarjeta",AE2093&lt;&gt;"Tarjeta de crédito"),"⚠ El destino debe ser tarjeta de crédito",IF(AND(P2093="Gasto",E2093="Depósitos y retiros"),"⚠ Usa tipo Transferencia",IF(AND(P2093="Resultado trading",AD2093&lt;&gt;"Cuenta de trading"),"⚠ Usa una cuenta de trading",IF(AND(G2093&lt;=0,P2093&lt;&gt;"Ajuste",P2093&lt;&gt;"Resultado trading"),"⚠ El monto debe ser positivo","✓")))))))))))))))</f>
        <v/>
      </c>
      <c r="P2093" s="52">
        <f>IF(OR(B2093="",G2093=""),"",IF(C2093="","Gasto",C2093))</f>
        <v/>
      </c>
      <c r="Q2093" s="52">
        <f>IF(P2093="","",IF(J2093&lt;&gt;"",J2093,CuentaPred&amp;""))</f>
        <v/>
      </c>
      <c r="R2093" s="52">
        <f>IF(P2093="","",IF(ISNUMBER(I2093),I2093,TasaUSD))</f>
        <v/>
      </c>
      <c r="S2093" s="53">
        <f>IF(P2093="","",IF(H2093="USD",G2093*R2093,G2093))</f>
        <v/>
      </c>
      <c r="T2093" s="53">
        <f>IF(P2093="","",IF(H2093="USD",G2093,IF(R2093&gt;0,G2093/R2093,0)))</f>
        <v/>
      </c>
      <c r="U2093" s="53">
        <f>IF(P2093="","",IF(P2093="Gasto",S2093,IF(P2093="Reembolso",-S2093,0)))</f>
        <v/>
      </c>
      <c r="V2093" s="53">
        <f>IF(P2093="","",IF(P2093="Ingreso",S2093,0))</f>
        <v/>
      </c>
      <c r="W2093" s="53">
        <f>IF(P2093="","",IF(P2093="Resultado trading",S2093,0))</f>
        <v/>
      </c>
      <c r="X2093" s="52">
        <f>IF(OR(P2093="Gasto",P2093="Reembolso"),IF(M2093&lt;&gt;"",M2093,IFERROR(INDEX(catClasif,MATCH(D2093&amp;"|"&amp;E2093,catClave,0))&amp;"","Variable")),"")</f>
        <v/>
      </c>
      <c r="Y2093" s="52">
        <f>IF(P2093="","",IFERROR(INDEX(catGrupo,MATCH(D2093&amp;"|"&amp;E2093,catClave,0))&amp;"",""))</f>
        <v/>
      </c>
      <c r="Z2093" s="52">
        <f>IF(P2093="","",WEEKDAY(B2093,2))</f>
        <v/>
      </c>
      <c r="AA2093" s="52">
        <f>IF(P2093="","",IF(AND(P2093="Gasto",X2093="Variable",D2093&lt;&gt;catTrading,S2093&gt;0,S2093&lt;=Umbral),1,0))</f>
        <v/>
      </c>
      <c r="AB2093" s="52">
        <f>IF(OR(P2093="",Q2093=""),"",IFERROR(IF(INDEX(ctaVinc,MATCH(Q2093,ctaNombre,0))&amp;""&lt;&gt;"",INDEX(ctaVinc,MATCH(Q2093,ctaNombre,0))&amp;"",Q2093),Q2093))</f>
        <v/>
      </c>
      <c r="AC2093" s="52">
        <f>IF(OR(K2093="",AND(P2093&lt;&gt;"Transferencia",P2093&lt;&gt;"Pago tarjeta")),"",IFERROR(IF(INDEX(ctaVinc,MATCH(K2093,ctaNombre,0))&amp;""&lt;&gt;"",INDEX(ctaVinc,MATCH(K2093,ctaNombre,0))&amp;"",K2093),K2093))</f>
        <v/>
      </c>
      <c r="AD2093" s="52">
        <f>IF(AB2093="","",IFERROR(INDEX(ctaTipo,MATCH(AB2093,ctaNombre,0))&amp;"",""))</f>
        <v/>
      </c>
      <c r="AE2093" s="52">
        <f>IF(AC2093="","",IFERROR(INDEX(ctaTipo,MATCH(AC2093,ctaNombre,0))&amp;"",""))</f>
        <v/>
      </c>
      <c r="AF2093" s="53">
        <f>IF(OR(P2093="",AB2093=""),"",IF(OR(P2093="Gasto",P2093="Transferencia",P2093="Pago tarjeta"),-1,1)*IF(IFERROR(INDEX(ctaMoneda,MATCH(AB2093,ctaNombre,0))&amp;"","DOP")="USD",T2093,S2093))</f>
        <v/>
      </c>
      <c r="AG2093" s="53">
        <f>IF(AC2093="","",IF(IFERROR(INDEX(ctaMoneda,MATCH(AC2093,ctaNombre,0))&amp;"","DOP")="USD",T2093,S2093))</f>
        <v/>
      </c>
      <c r="AH2093" s="53">
        <f>IF(P2093="","",IF(AND(AD2093&lt;&gt;"",COUNTIFS(tcTipo,AD2093,tcLiq,"Sí")&gt;0),IF(OR(P2093="Gasto",P2093="Transferencia",P2093="Pago tarjeta"),-1,1)*S2093,0)+IF(AND(AE2093&lt;&gt;"",COUNTIFS(tcTipo,AE2093,tcLiq,"Sí")&gt;0),S2093,0))</f>
        <v/>
      </c>
      <c r="AI2093" s="52">
        <f>IF(OR(L2093="",P2093=""),"",IF(COUNTIFS(L$6:L2093,L2093,P$6:P2093,"?*")=1,MAX(AI$5:AI2092)+1,""))</f>
        <v/>
      </c>
    </row>
    <row r="2094">
      <c r="B2094" s="47" t="n"/>
      <c r="C2094" s="48" t="n"/>
      <c r="D2094" s="48" t="n"/>
      <c r="E2094" s="48" t="n"/>
      <c r="F2094" s="48" t="n"/>
      <c r="G2094" s="49" t="n"/>
      <c r="H2094" s="48" t="n"/>
      <c r="I2094" s="50" t="n"/>
      <c r="J2094" s="48" t="n"/>
      <c r="K2094" s="48" t="n"/>
      <c r="L2094" s="48" t="n"/>
      <c r="M2094" s="48" t="n"/>
      <c r="N2094" s="48" t="n"/>
      <c r="O2094" s="51">
        <f>IF(AND(B2094="",G2094="",C2094="",D2094="",J2094=""),"",IF(B2094="","⚠ Falta fecha",IF(G2094="","⚠ Falta monto",IF(Q2094="","⚠ Falta cuenta",IF(ISNA(MATCH(Q2094,ctaNombre,0)),"⚠ Cuenta no registrada",IF(AND(OR(P2094="Gasto",P2094="Reembolso"),D2094=""),"⚠ Falta categoría",IF(AND(D2094&lt;&gt;"",E2094&lt;&gt;"",ISNA(MATCH(D2094&amp;"|"&amp;E2094,catClave,0))),"⚠ Subcategoría no corresponde",IF(AND(OR(P2094="Transferencia",P2094="Pago tarjeta"),K2094=""),"⚠ Falta cuenta destino",IF(AND(K2094&lt;&gt;"",P2094&lt;&gt;"Transferencia",P2094&lt;&gt;"Pago tarjeta"),"⚠ Destino solo aplica a transferencias",IF(AND(K2094&lt;&gt;"",K2094=Q2094),"⚠ Origen igual a destino",IF(AND(K2094&lt;&gt;"",ISNA(MATCH(K2094,ctaNombre,0))),"⚠ Destino no registrado",IF(AND(P2094="Pago tarjeta",AE2094&lt;&gt;"Tarjeta de crédito"),"⚠ El destino debe ser tarjeta de crédito",IF(AND(P2094="Gasto",E2094="Depósitos y retiros"),"⚠ Usa tipo Transferencia",IF(AND(P2094="Resultado trading",AD2094&lt;&gt;"Cuenta de trading"),"⚠ Usa una cuenta de trading",IF(AND(G2094&lt;=0,P2094&lt;&gt;"Ajuste",P2094&lt;&gt;"Resultado trading"),"⚠ El monto debe ser positivo","✓")))))))))))))))</f>
        <v/>
      </c>
      <c r="P2094" s="52">
        <f>IF(OR(B2094="",G2094=""),"",IF(C2094="","Gasto",C2094))</f>
        <v/>
      </c>
      <c r="Q2094" s="52">
        <f>IF(P2094="","",IF(J2094&lt;&gt;"",J2094,CuentaPred&amp;""))</f>
        <v/>
      </c>
      <c r="R2094" s="52">
        <f>IF(P2094="","",IF(ISNUMBER(I2094),I2094,TasaUSD))</f>
        <v/>
      </c>
      <c r="S2094" s="53">
        <f>IF(P2094="","",IF(H2094="USD",G2094*R2094,G2094))</f>
        <v/>
      </c>
      <c r="T2094" s="53">
        <f>IF(P2094="","",IF(H2094="USD",G2094,IF(R2094&gt;0,G2094/R2094,0)))</f>
        <v/>
      </c>
      <c r="U2094" s="53">
        <f>IF(P2094="","",IF(P2094="Gasto",S2094,IF(P2094="Reembolso",-S2094,0)))</f>
        <v/>
      </c>
      <c r="V2094" s="53">
        <f>IF(P2094="","",IF(P2094="Ingreso",S2094,0))</f>
        <v/>
      </c>
      <c r="W2094" s="53">
        <f>IF(P2094="","",IF(P2094="Resultado trading",S2094,0))</f>
        <v/>
      </c>
      <c r="X2094" s="52">
        <f>IF(OR(P2094="Gasto",P2094="Reembolso"),IF(M2094&lt;&gt;"",M2094,IFERROR(INDEX(catClasif,MATCH(D2094&amp;"|"&amp;E2094,catClave,0))&amp;"","Variable")),"")</f>
        <v/>
      </c>
      <c r="Y2094" s="52">
        <f>IF(P2094="","",IFERROR(INDEX(catGrupo,MATCH(D2094&amp;"|"&amp;E2094,catClave,0))&amp;"",""))</f>
        <v/>
      </c>
      <c r="Z2094" s="52">
        <f>IF(P2094="","",WEEKDAY(B2094,2))</f>
        <v/>
      </c>
      <c r="AA2094" s="52">
        <f>IF(P2094="","",IF(AND(P2094="Gasto",X2094="Variable",D2094&lt;&gt;catTrading,S2094&gt;0,S2094&lt;=Umbral),1,0))</f>
        <v/>
      </c>
      <c r="AB2094" s="52">
        <f>IF(OR(P2094="",Q2094=""),"",IFERROR(IF(INDEX(ctaVinc,MATCH(Q2094,ctaNombre,0))&amp;""&lt;&gt;"",INDEX(ctaVinc,MATCH(Q2094,ctaNombre,0))&amp;"",Q2094),Q2094))</f>
        <v/>
      </c>
      <c r="AC2094" s="52">
        <f>IF(OR(K2094="",AND(P2094&lt;&gt;"Transferencia",P2094&lt;&gt;"Pago tarjeta")),"",IFERROR(IF(INDEX(ctaVinc,MATCH(K2094,ctaNombre,0))&amp;""&lt;&gt;"",INDEX(ctaVinc,MATCH(K2094,ctaNombre,0))&amp;"",K2094),K2094))</f>
        <v/>
      </c>
      <c r="AD2094" s="52">
        <f>IF(AB2094="","",IFERROR(INDEX(ctaTipo,MATCH(AB2094,ctaNombre,0))&amp;"",""))</f>
        <v/>
      </c>
      <c r="AE2094" s="52">
        <f>IF(AC2094="","",IFERROR(INDEX(ctaTipo,MATCH(AC2094,ctaNombre,0))&amp;"",""))</f>
        <v/>
      </c>
      <c r="AF2094" s="53">
        <f>IF(OR(P2094="",AB2094=""),"",IF(OR(P2094="Gasto",P2094="Transferencia",P2094="Pago tarjeta"),-1,1)*IF(IFERROR(INDEX(ctaMoneda,MATCH(AB2094,ctaNombre,0))&amp;"","DOP")="USD",T2094,S2094))</f>
        <v/>
      </c>
      <c r="AG2094" s="53">
        <f>IF(AC2094="","",IF(IFERROR(INDEX(ctaMoneda,MATCH(AC2094,ctaNombre,0))&amp;"","DOP")="USD",T2094,S2094))</f>
        <v/>
      </c>
      <c r="AH2094" s="53">
        <f>IF(P2094="","",IF(AND(AD2094&lt;&gt;"",COUNTIFS(tcTipo,AD2094,tcLiq,"Sí")&gt;0),IF(OR(P2094="Gasto",P2094="Transferencia",P2094="Pago tarjeta"),-1,1)*S2094,0)+IF(AND(AE2094&lt;&gt;"",COUNTIFS(tcTipo,AE2094,tcLiq,"Sí")&gt;0),S2094,0))</f>
        <v/>
      </c>
      <c r="AI2094" s="52">
        <f>IF(OR(L2094="",P2094=""),"",IF(COUNTIFS(L$6:L2094,L2094,P$6:P2094,"?*")=1,MAX(AI$5:AI2093)+1,""))</f>
        <v/>
      </c>
    </row>
    <row r="2095">
      <c r="B2095" s="47" t="n"/>
      <c r="C2095" s="48" t="n"/>
      <c r="D2095" s="48" t="n"/>
      <c r="E2095" s="48" t="n"/>
      <c r="F2095" s="48" t="n"/>
      <c r="G2095" s="49" t="n"/>
      <c r="H2095" s="48" t="n"/>
      <c r="I2095" s="50" t="n"/>
      <c r="J2095" s="48" t="n"/>
      <c r="K2095" s="48" t="n"/>
      <c r="L2095" s="48" t="n"/>
      <c r="M2095" s="48" t="n"/>
      <c r="N2095" s="48" t="n"/>
      <c r="O2095" s="51">
        <f>IF(AND(B2095="",G2095="",C2095="",D2095="",J2095=""),"",IF(B2095="","⚠ Falta fecha",IF(G2095="","⚠ Falta monto",IF(Q2095="","⚠ Falta cuenta",IF(ISNA(MATCH(Q2095,ctaNombre,0)),"⚠ Cuenta no registrada",IF(AND(OR(P2095="Gasto",P2095="Reembolso"),D2095=""),"⚠ Falta categoría",IF(AND(D2095&lt;&gt;"",E2095&lt;&gt;"",ISNA(MATCH(D2095&amp;"|"&amp;E2095,catClave,0))),"⚠ Subcategoría no corresponde",IF(AND(OR(P2095="Transferencia",P2095="Pago tarjeta"),K2095=""),"⚠ Falta cuenta destino",IF(AND(K2095&lt;&gt;"",P2095&lt;&gt;"Transferencia",P2095&lt;&gt;"Pago tarjeta"),"⚠ Destino solo aplica a transferencias",IF(AND(K2095&lt;&gt;"",K2095=Q2095),"⚠ Origen igual a destino",IF(AND(K2095&lt;&gt;"",ISNA(MATCH(K2095,ctaNombre,0))),"⚠ Destino no registrado",IF(AND(P2095="Pago tarjeta",AE2095&lt;&gt;"Tarjeta de crédito"),"⚠ El destino debe ser tarjeta de crédito",IF(AND(P2095="Gasto",E2095="Depósitos y retiros"),"⚠ Usa tipo Transferencia",IF(AND(P2095="Resultado trading",AD2095&lt;&gt;"Cuenta de trading"),"⚠ Usa una cuenta de trading",IF(AND(G2095&lt;=0,P2095&lt;&gt;"Ajuste",P2095&lt;&gt;"Resultado trading"),"⚠ El monto debe ser positivo","✓")))))))))))))))</f>
        <v/>
      </c>
      <c r="P2095" s="52">
        <f>IF(OR(B2095="",G2095=""),"",IF(C2095="","Gasto",C2095))</f>
        <v/>
      </c>
      <c r="Q2095" s="52">
        <f>IF(P2095="","",IF(J2095&lt;&gt;"",J2095,CuentaPred&amp;""))</f>
        <v/>
      </c>
      <c r="R2095" s="52">
        <f>IF(P2095="","",IF(ISNUMBER(I2095),I2095,TasaUSD))</f>
        <v/>
      </c>
      <c r="S2095" s="53">
        <f>IF(P2095="","",IF(H2095="USD",G2095*R2095,G2095))</f>
        <v/>
      </c>
      <c r="T2095" s="53">
        <f>IF(P2095="","",IF(H2095="USD",G2095,IF(R2095&gt;0,G2095/R2095,0)))</f>
        <v/>
      </c>
      <c r="U2095" s="53">
        <f>IF(P2095="","",IF(P2095="Gasto",S2095,IF(P2095="Reembolso",-S2095,0)))</f>
        <v/>
      </c>
      <c r="V2095" s="53">
        <f>IF(P2095="","",IF(P2095="Ingreso",S2095,0))</f>
        <v/>
      </c>
      <c r="W2095" s="53">
        <f>IF(P2095="","",IF(P2095="Resultado trading",S2095,0))</f>
        <v/>
      </c>
      <c r="X2095" s="52">
        <f>IF(OR(P2095="Gasto",P2095="Reembolso"),IF(M2095&lt;&gt;"",M2095,IFERROR(INDEX(catClasif,MATCH(D2095&amp;"|"&amp;E2095,catClave,0))&amp;"","Variable")),"")</f>
        <v/>
      </c>
      <c r="Y2095" s="52">
        <f>IF(P2095="","",IFERROR(INDEX(catGrupo,MATCH(D2095&amp;"|"&amp;E2095,catClave,0))&amp;"",""))</f>
        <v/>
      </c>
      <c r="Z2095" s="52">
        <f>IF(P2095="","",WEEKDAY(B2095,2))</f>
        <v/>
      </c>
      <c r="AA2095" s="52">
        <f>IF(P2095="","",IF(AND(P2095="Gasto",X2095="Variable",D2095&lt;&gt;catTrading,S2095&gt;0,S2095&lt;=Umbral),1,0))</f>
        <v/>
      </c>
      <c r="AB2095" s="52">
        <f>IF(OR(P2095="",Q2095=""),"",IFERROR(IF(INDEX(ctaVinc,MATCH(Q2095,ctaNombre,0))&amp;""&lt;&gt;"",INDEX(ctaVinc,MATCH(Q2095,ctaNombre,0))&amp;"",Q2095),Q2095))</f>
        <v/>
      </c>
      <c r="AC2095" s="52">
        <f>IF(OR(K2095="",AND(P2095&lt;&gt;"Transferencia",P2095&lt;&gt;"Pago tarjeta")),"",IFERROR(IF(INDEX(ctaVinc,MATCH(K2095,ctaNombre,0))&amp;""&lt;&gt;"",INDEX(ctaVinc,MATCH(K2095,ctaNombre,0))&amp;"",K2095),K2095))</f>
        <v/>
      </c>
      <c r="AD2095" s="52">
        <f>IF(AB2095="","",IFERROR(INDEX(ctaTipo,MATCH(AB2095,ctaNombre,0))&amp;"",""))</f>
        <v/>
      </c>
      <c r="AE2095" s="52">
        <f>IF(AC2095="","",IFERROR(INDEX(ctaTipo,MATCH(AC2095,ctaNombre,0))&amp;"",""))</f>
        <v/>
      </c>
      <c r="AF2095" s="53">
        <f>IF(OR(P2095="",AB2095=""),"",IF(OR(P2095="Gasto",P2095="Transferencia",P2095="Pago tarjeta"),-1,1)*IF(IFERROR(INDEX(ctaMoneda,MATCH(AB2095,ctaNombre,0))&amp;"","DOP")="USD",T2095,S2095))</f>
        <v/>
      </c>
      <c r="AG2095" s="53">
        <f>IF(AC2095="","",IF(IFERROR(INDEX(ctaMoneda,MATCH(AC2095,ctaNombre,0))&amp;"","DOP")="USD",T2095,S2095))</f>
        <v/>
      </c>
      <c r="AH2095" s="53">
        <f>IF(P2095="","",IF(AND(AD2095&lt;&gt;"",COUNTIFS(tcTipo,AD2095,tcLiq,"Sí")&gt;0),IF(OR(P2095="Gasto",P2095="Transferencia",P2095="Pago tarjeta"),-1,1)*S2095,0)+IF(AND(AE2095&lt;&gt;"",COUNTIFS(tcTipo,AE2095,tcLiq,"Sí")&gt;0),S2095,0))</f>
        <v/>
      </c>
      <c r="AI2095" s="52">
        <f>IF(OR(L2095="",P2095=""),"",IF(COUNTIFS(L$6:L2095,L2095,P$6:P2095,"?*")=1,MAX(AI$5:AI2094)+1,""))</f>
        <v/>
      </c>
    </row>
    <row r="2096">
      <c r="B2096" s="47" t="n"/>
      <c r="C2096" s="48" t="n"/>
      <c r="D2096" s="48" t="n"/>
      <c r="E2096" s="48" t="n"/>
      <c r="F2096" s="48" t="n"/>
      <c r="G2096" s="49" t="n"/>
      <c r="H2096" s="48" t="n"/>
      <c r="I2096" s="50" t="n"/>
      <c r="J2096" s="48" t="n"/>
      <c r="K2096" s="48" t="n"/>
      <c r="L2096" s="48" t="n"/>
      <c r="M2096" s="48" t="n"/>
      <c r="N2096" s="48" t="n"/>
      <c r="O2096" s="51">
        <f>IF(AND(B2096="",G2096="",C2096="",D2096="",J2096=""),"",IF(B2096="","⚠ Falta fecha",IF(G2096="","⚠ Falta monto",IF(Q2096="","⚠ Falta cuenta",IF(ISNA(MATCH(Q2096,ctaNombre,0)),"⚠ Cuenta no registrada",IF(AND(OR(P2096="Gasto",P2096="Reembolso"),D2096=""),"⚠ Falta categoría",IF(AND(D2096&lt;&gt;"",E2096&lt;&gt;"",ISNA(MATCH(D2096&amp;"|"&amp;E2096,catClave,0))),"⚠ Subcategoría no corresponde",IF(AND(OR(P2096="Transferencia",P2096="Pago tarjeta"),K2096=""),"⚠ Falta cuenta destino",IF(AND(K2096&lt;&gt;"",P2096&lt;&gt;"Transferencia",P2096&lt;&gt;"Pago tarjeta"),"⚠ Destino solo aplica a transferencias",IF(AND(K2096&lt;&gt;"",K2096=Q2096),"⚠ Origen igual a destino",IF(AND(K2096&lt;&gt;"",ISNA(MATCH(K2096,ctaNombre,0))),"⚠ Destino no registrado",IF(AND(P2096="Pago tarjeta",AE2096&lt;&gt;"Tarjeta de crédito"),"⚠ El destino debe ser tarjeta de crédito",IF(AND(P2096="Gasto",E2096="Depósitos y retiros"),"⚠ Usa tipo Transferencia",IF(AND(P2096="Resultado trading",AD2096&lt;&gt;"Cuenta de trading"),"⚠ Usa una cuenta de trading",IF(AND(G2096&lt;=0,P2096&lt;&gt;"Ajuste",P2096&lt;&gt;"Resultado trading"),"⚠ El monto debe ser positivo","✓")))))))))))))))</f>
        <v/>
      </c>
      <c r="P2096" s="52">
        <f>IF(OR(B2096="",G2096=""),"",IF(C2096="","Gasto",C2096))</f>
        <v/>
      </c>
      <c r="Q2096" s="52">
        <f>IF(P2096="","",IF(J2096&lt;&gt;"",J2096,CuentaPred&amp;""))</f>
        <v/>
      </c>
      <c r="R2096" s="52">
        <f>IF(P2096="","",IF(ISNUMBER(I2096),I2096,TasaUSD))</f>
        <v/>
      </c>
      <c r="S2096" s="53">
        <f>IF(P2096="","",IF(H2096="USD",G2096*R2096,G2096))</f>
        <v/>
      </c>
      <c r="T2096" s="53">
        <f>IF(P2096="","",IF(H2096="USD",G2096,IF(R2096&gt;0,G2096/R2096,0)))</f>
        <v/>
      </c>
      <c r="U2096" s="53">
        <f>IF(P2096="","",IF(P2096="Gasto",S2096,IF(P2096="Reembolso",-S2096,0)))</f>
        <v/>
      </c>
      <c r="V2096" s="53">
        <f>IF(P2096="","",IF(P2096="Ingreso",S2096,0))</f>
        <v/>
      </c>
      <c r="W2096" s="53">
        <f>IF(P2096="","",IF(P2096="Resultado trading",S2096,0))</f>
        <v/>
      </c>
      <c r="X2096" s="52">
        <f>IF(OR(P2096="Gasto",P2096="Reembolso"),IF(M2096&lt;&gt;"",M2096,IFERROR(INDEX(catClasif,MATCH(D2096&amp;"|"&amp;E2096,catClave,0))&amp;"","Variable")),"")</f>
        <v/>
      </c>
      <c r="Y2096" s="52">
        <f>IF(P2096="","",IFERROR(INDEX(catGrupo,MATCH(D2096&amp;"|"&amp;E2096,catClave,0))&amp;"",""))</f>
        <v/>
      </c>
      <c r="Z2096" s="52">
        <f>IF(P2096="","",WEEKDAY(B2096,2))</f>
        <v/>
      </c>
      <c r="AA2096" s="52">
        <f>IF(P2096="","",IF(AND(P2096="Gasto",X2096="Variable",D2096&lt;&gt;catTrading,S2096&gt;0,S2096&lt;=Umbral),1,0))</f>
        <v/>
      </c>
      <c r="AB2096" s="52">
        <f>IF(OR(P2096="",Q2096=""),"",IFERROR(IF(INDEX(ctaVinc,MATCH(Q2096,ctaNombre,0))&amp;""&lt;&gt;"",INDEX(ctaVinc,MATCH(Q2096,ctaNombre,0))&amp;"",Q2096),Q2096))</f>
        <v/>
      </c>
      <c r="AC2096" s="52">
        <f>IF(OR(K2096="",AND(P2096&lt;&gt;"Transferencia",P2096&lt;&gt;"Pago tarjeta")),"",IFERROR(IF(INDEX(ctaVinc,MATCH(K2096,ctaNombre,0))&amp;""&lt;&gt;"",INDEX(ctaVinc,MATCH(K2096,ctaNombre,0))&amp;"",K2096),K2096))</f>
        <v/>
      </c>
      <c r="AD2096" s="52">
        <f>IF(AB2096="","",IFERROR(INDEX(ctaTipo,MATCH(AB2096,ctaNombre,0))&amp;"",""))</f>
        <v/>
      </c>
      <c r="AE2096" s="52">
        <f>IF(AC2096="","",IFERROR(INDEX(ctaTipo,MATCH(AC2096,ctaNombre,0))&amp;"",""))</f>
        <v/>
      </c>
      <c r="AF2096" s="53">
        <f>IF(OR(P2096="",AB2096=""),"",IF(OR(P2096="Gasto",P2096="Transferencia",P2096="Pago tarjeta"),-1,1)*IF(IFERROR(INDEX(ctaMoneda,MATCH(AB2096,ctaNombre,0))&amp;"","DOP")="USD",T2096,S2096))</f>
        <v/>
      </c>
      <c r="AG2096" s="53">
        <f>IF(AC2096="","",IF(IFERROR(INDEX(ctaMoneda,MATCH(AC2096,ctaNombre,0))&amp;"","DOP")="USD",T2096,S2096))</f>
        <v/>
      </c>
      <c r="AH2096" s="53">
        <f>IF(P2096="","",IF(AND(AD2096&lt;&gt;"",COUNTIFS(tcTipo,AD2096,tcLiq,"Sí")&gt;0),IF(OR(P2096="Gasto",P2096="Transferencia",P2096="Pago tarjeta"),-1,1)*S2096,0)+IF(AND(AE2096&lt;&gt;"",COUNTIFS(tcTipo,AE2096,tcLiq,"Sí")&gt;0),S2096,0))</f>
        <v/>
      </c>
      <c r="AI2096" s="52">
        <f>IF(OR(L2096="",P2096=""),"",IF(COUNTIFS(L$6:L2096,L2096,P$6:P2096,"?*")=1,MAX(AI$5:AI2095)+1,""))</f>
        <v/>
      </c>
    </row>
    <row r="2097">
      <c r="B2097" s="47" t="n"/>
      <c r="C2097" s="48" t="n"/>
      <c r="D2097" s="48" t="n"/>
      <c r="E2097" s="48" t="n"/>
      <c r="F2097" s="48" t="n"/>
      <c r="G2097" s="49" t="n"/>
      <c r="H2097" s="48" t="n"/>
      <c r="I2097" s="50" t="n"/>
      <c r="J2097" s="48" t="n"/>
      <c r="K2097" s="48" t="n"/>
      <c r="L2097" s="48" t="n"/>
      <c r="M2097" s="48" t="n"/>
      <c r="N2097" s="48" t="n"/>
      <c r="O2097" s="51">
        <f>IF(AND(B2097="",G2097="",C2097="",D2097="",J2097=""),"",IF(B2097="","⚠ Falta fecha",IF(G2097="","⚠ Falta monto",IF(Q2097="","⚠ Falta cuenta",IF(ISNA(MATCH(Q2097,ctaNombre,0)),"⚠ Cuenta no registrada",IF(AND(OR(P2097="Gasto",P2097="Reembolso"),D2097=""),"⚠ Falta categoría",IF(AND(D2097&lt;&gt;"",E2097&lt;&gt;"",ISNA(MATCH(D2097&amp;"|"&amp;E2097,catClave,0))),"⚠ Subcategoría no corresponde",IF(AND(OR(P2097="Transferencia",P2097="Pago tarjeta"),K2097=""),"⚠ Falta cuenta destino",IF(AND(K2097&lt;&gt;"",P2097&lt;&gt;"Transferencia",P2097&lt;&gt;"Pago tarjeta"),"⚠ Destino solo aplica a transferencias",IF(AND(K2097&lt;&gt;"",K2097=Q2097),"⚠ Origen igual a destino",IF(AND(K2097&lt;&gt;"",ISNA(MATCH(K2097,ctaNombre,0))),"⚠ Destino no registrado",IF(AND(P2097="Pago tarjeta",AE2097&lt;&gt;"Tarjeta de crédito"),"⚠ El destino debe ser tarjeta de crédito",IF(AND(P2097="Gasto",E2097="Depósitos y retiros"),"⚠ Usa tipo Transferencia",IF(AND(P2097="Resultado trading",AD2097&lt;&gt;"Cuenta de trading"),"⚠ Usa una cuenta de trading",IF(AND(G2097&lt;=0,P2097&lt;&gt;"Ajuste",P2097&lt;&gt;"Resultado trading"),"⚠ El monto debe ser positivo","✓")))))))))))))))</f>
        <v/>
      </c>
      <c r="P2097" s="52">
        <f>IF(OR(B2097="",G2097=""),"",IF(C2097="","Gasto",C2097))</f>
        <v/>
      </c>
      <c r="Q2097" s="52">
        <f>IF(P2097="","",IF(J2097&lt;&gt;"",J2097,CuentaPred&amp;""))</f>
        <v/>
      </c>
      <c r="R2097" s="52">
        <f>IF(P2097="","",IF(ISNUMBER(I2097),I2097,TasaUSD))</f>
        <v/>
      </c>
      <c r="S2097" s="53">
        <f>IF(P2097="","",IF(H2097="USD",G2097*R2097,G2097))</f>
        <v/>
      </c>
      <c r="T2097" s="53">
        <f>IF(P2097="","",IF(H2097="USD",G2097,IF(R2097&gt;0,G2097/R2097,0)))</f>
        <v/>
      </c>
      <c r="U2097" s="53">
        <f>IF(P2097="","",IF(P2097="Gasto",S2097,IF(P2097="Reembolso",-S2097,0)))</f>
        <v/>
      </c>
      <c r="V2097" s="53">
        <f>IF(P2097="","",IF(P2097="Ingreso",S2097,0))</f>
        <v/>
      </c>
      <c r="W2097" s="53">
        <f>IF(P2097="","",IF(P2097="Resultado trading",S2097,0))</f>
        <v/>
      </c>
      <c r="X2097" s="52">
        <f>IF(OR(P2097="Gasto",P2097="Reembolso"),IF(M2097&lt;&gt;"",M2097,IFERROR(INDEX(catClasif,MATCH(D2097&amp;"|"&amp;E2097,catClave,0))&amp;"","Variable")),"")</f>
        <v/>
      </c>
      <c r="Y2097" s="52">
        <f>IF(P2097="","",IFERROR(INDEX(catGrupo,MATCH(D2097&amp;"|"&amp;E2097,catClave,0))&amp;"",""))</f>
        <v/>
      </c>
      <c r="Z2097" s="52">
        <f>IF(P2097="","",WEEKDAY(B2097,2))</f>
        <v/>
      </c>
      <c r="AA2097" s="52">
        <f>IF(P2097="","",IF(AND(P2097="Gasto",X2097="Variable",D2097&lt;&gt;catTrading,S2097&gt;0,S2097&lt;=Umbral),1,0))</f>
        <v/>
      </c>
      <c r="AB2097" s="52">
        <f>IF(OR(P2097="",Q2097=""),"",IFERROR(IF(INDEX(ctaVinc,MATCH(Q2097,ctaNombre,0))&amp;""&lt;&gt;"",INDEX(ctaVinc,MATCH(Q2097,ctaNombre,0))&amp;"",Q2097),Q2097))</f>
        <v/>
      </c>
      <c r="AC2097" s="52">
        <f>IF(OR(K2097="",AND(P2097&lt;&gt;"Transferencia",P2097&lt;&gt;"Pago tarjeta")),"",IFERROR(IF(INDEX(ctaVinc,MATCH(K2097,ctaNombre,0))&amp;""&lt;&gt;"",INDEX(ctaVinc,MATCH(K2097,ctaNombre,0))&amp;"",K2097),K2097))</f>
        <v/>
      </c>
      <c r="AD2097" s="52">
        <f>IF(AB2097="","",IFERROR(INDEX(ctaTipo,MATCH(AB2097,ctaNombre,0))&amp;"",""))</f>
        <v/>
      </c>
      <c r="AE2097" s="52">
        <f>IF(AC2097="","",IFERROR(INDEX(ctaTipo,MATCH(AC2097,ctaNombre,0))&amp;"",""))</f>
        <v/>
      </c>
      <c r="AF2097" s="53">
        <f>IF(OR(P2097="",AB2097=""),"",IF(OR(P2097="Gasto",P2097="Transferencia",P2097="Pago tarjeta"),-1,1)*IF(IFERROR(INDEX(ctaMoneda,MATCH(AB2097,ctaNombre,0))&amp;"","DOP")="USD",T2097,S2097))</f>
        <v/>
      </c>
      <c r="AG2097" s="53">
        <f>IF(AC2097="","",IF(IFERROR(INDEX(ctaMoneda,MATCH(AC2097,ctaNombre,0))&amp;"","DOP")="USD",T2097,S2097))</f>
        <v/>
      </c>
      <c r="AH2097" s="53">
        <f>IF(P2097="","",IF(AND(AD2097&lt;&gt;"",COUNTIFS(tcTipo,AD2097,tcLiq,"Sí")&gt;0),IF(OR(P2097="Gasto",P2097="Transferencia",P2097="Pago tarjeta"),-1,1)*S2097,0)+IF(AND(AE2097&lt;&gt;"",COUNTIFS(tcTipo,AE2097,tcLiq,"Sí")&gt;0),S2097,0))</f>
        <v/>
      </c>
      <c r="AI2097" s="52">
        <f>IF(OR(L2097="",P2097=""),"",IF(COUNTIFS(L$6:L2097,L2097,P$6:P2097,"?*")=1,MAX(AI$5:AI2096)+1,""))</f>
        <v/>
      </c>
    </row>
    <row r="2098">
      <c r="B2098" s="47" t="n"/>
      <c r="C2098" s="48" t="n"/>
      <c r="D2098" s="48" t="n"/>
      <c r="E2098" s="48" t="n"/>
      <c r="F2098" s="48" t="n"/>
      <c r="G2098" s="49" t="n"/>
      <c r="H2098" s="48" t="n"/>
      <c r="I2098" s="50" t="n"/>
      <c r="J2098" s="48" t="n"/>
      <c r="K2098" s="48" t="n"/>
      <c r="L2098" s="48" t="n"/>
      <c r="M2098" s="48" t="n"/>
      <c r="N2098" s="48" t="n"/>
      <c r="O2098" s="51">
        <f>IF(AND(B2098="",G2098="",C2098="",D2098="",J2098=""),"",IF(B2098="","⚠ Falta fecha",IF(G2098="","⚠ Falta monto",IF(Q2098="","⚠ Falta cuenta",IF(ISNA(MATCH(Q2098,ctaNombre,0)),"⚠ Cuenta no registrada",IF(AND(OR(P2098="Gasto",P2098="Reembolso"),D2098=""),"⚠ Falta categoría",IF(AND(D2098&lt;&gt;"",E2098&lt;&gt;"",ISNA(MATCH(D2098&amp;"|"&amp;E2098,catClave,0))),"⚠ Subcategoría no corresponde",IF(AND(OR(P2098="Transferencia",P2098="Pago tarjeta"),K2098=""),"⚠ Falta cuenta destino",IF(AND(K2098&lt;&gt;"",P2098&lt;&gt;"Transferencia",P2098&lt;&gt;"Pago tarjeta"),"⚠ Destino solo aplica a transferencias",IF(AND(K2098&lt;&gt;"",K2098=Q2098),"⚠ Origen igual a destino",IF(AND(K2098&lt;&gt;"",ISNA(MATCH(K2098,ctaNombre,0))),"⚠ Destino no registrado",IF(AND(P2098="Pago tarjeta",AE2098&lt;&gt;"Tarjeta de crédito"),"⚠ El destino debe ser tarjeta de crédito",IF(AND(P2098="Gasto",E2098="Depósitos y retiros"),"⚠ Usa tipo Transferencia",IF(AND(P2098="Resultado trading",AD2098&lt;&gt;"Cuenta de trading"),"⚠ Usa una cuenta de trading",IF(AND(G2098&lt;=0,P2098&lt;&gt;"Ajuste",P2098&lt;&gt;"Resultado trading"),"⚠ El monto debe ser positivo","✓")))))))))))))))</f>
        <v/>
      </c>
      <c r="P2098" s="52">
        <f>IF(OR(B2098="",G2098=""),"",IF(C2098="","Gasto",C2098))</f>
        <v/>
      </c>
      <c r="Q2098" s="52">
        <f>IF(P2098="","",IF(J2098&lt;&gt;"",J2098,CuentaPred&amp;""))</f>
        <v/>
      </c>
      <c r="R2098" s="52">
        <f>IF(P2098="","",IF(ISNUMBER(I2098),I2098,TasaUSD))</f>
        <v/>
      </c>
      <c r="S2098" s="53">
        <f>IF(P2098="","",IF(H2098="USD",G2098*R2098,G2098))</f>
        <v/>
      </c>
      <c r="T2098" s="53">
        <f>IF(P2098="","",IF(H2098="USD",G2098,IF(R2098&gt;0,G2098/R2098,0)))</f>
        <v/>
      </c>
      <c r="U2098" s="53">
        <f>IF(P2098="","",IF(P2098="Gasto",S2098,IF(P2098="Reembolso",-S2098,0)))</f>
        <v/>
      </c>
      <c r="V2098" s="53">
        <f>IF(P2098="","",IF(P2098="Ingreso",S2098,0))</f>
        <v/>
      </c>
      <c r="W2098" s="53">
        <f>IF(P2098="","",IF(P2098="Resultado trading",S2098,0))</f>
        <v/>
      </c>
      <c r="X2098" s="52">
        <f>IF(OR(P2098="Gasto",P2098="Reembolso"),IF(M2098&lt;&gt;"",M2098,IFERROR(INDEX(catClasif,MATCH(D2098&amp;"|"&amp;E2098,catClave,0))&amp;"","Variable")),"")</f>
        <v/>
      </c>
      <c r="Y2098" s="52">
        <f>IF(P2098="","",IFERROR(INDEX(catGrupo,MATCH(D2098&amp;"|"&amp;E2098,catClave,0))&amp;"",""))</f>
        <v/>
      </c>
      <c r="Z2098" s="52">
        <f>IF(P2098="","",WEEKDAY(B2098,2))</f>
        <v/>
      </c>
      <c r="AA2098" s="52">
        <f>IF(P2098="","",IF(AND(P2098="Gasto",X2098="Variable",D2098&lt;&gt;catTrading,S2098&gt;0,S2098&lt;=Umbral),1,0))</f>
        <v/>
      </c>
      <c r="AB2098" s="52">
        <f>IF(OR(P2098="",Q2098=""),"",IFERROR(IF(INDEX(ctaVinc,MATCH(Q2098,ctaNombre,0))&amp;""&lt;&gt;"",INDEX(ctaVinc,MATCH(Q2098,ctaNombre,0))&amp;"",Q2098),Q2098))</f>
        <v/>
      </c>
      <c r="AC2098" s="52">
        <f>IF(OR(K2098="",AND(P2098&lt;&gt;"Transferencia",P2098&lt;&gt;"Pago tarjeta")),"",IFERROR(IF(INDEX(ctaVinc,MATCH(K2098,ctaNombre,0))&amp;""&lt;&gt;"",INDEX(ctaVinc,MATCH(K2098,ctaNombre,0))&amp;"",K2098),K2098))</f>
        <v/>
      </c>
      <c r="AD2098" s="52">
        <f>IF(AB2098="","",IFERROR(INDEX(ctaTipo,MATCH(AB2098,ctaNombre,0))&amp;"",""))</f>
        <v/>
      </c>
      <c r="AE2098" s="52">
        <f>IF(AC2098="","",IFERROR(INDEX(ctaTipo,MATCH(AC2098,ctaNombre,0))&amp;"",""))</f>
        <v/>
      </c>
      <c r="AF2098" s="53">
        <f>IF(OR(P2098="",AB2098=""),"",IF(OR(P2098="Gasto",P2098="Transferencia",P2098="Pago tarjeta"),-1,1)*IF(IFERROR(INDEX(ctaMoneda,MATCH(AB2098,ctaNombre,0))&amp;"","DOP")="USD",T2098,S2098))</f>
        <v/>
      </c>
      <c r="AG2098" s="53">
        <f>IF(AC2098="","",IF(IFERROR(INDEX(ctaMoneda,MATCH(AC2098,ctaNombre,0))&amp;"","DOP")="USD",T2098,S2098))</f>
        <v/>
      </c>
      <c r="AH2098" s="53">
        <f>IF(P2098="","",IF(AND(AD2098&lt;&gt;"",COUNTIFS(tcTipo,AD2098,tcLiq,"Sí")&gt;0),IF(OR(P2098="Gasto",P2098="Transferencia",P2098="Pago tarjeta"),-1,1)*S2098,0)+IF(AND(AE2098&lt;&gt;"",COUNTIFS(tcTipo,AE2098,tcLiq,"Sí")&gt;0),S2098,0))</f>
        <v/>
      </c>
      <c r="AI2098" s="52">
        <f>IF(OR(L2098="",P2098=""),"",IF(COUNTIFS(L$6:L2098,L2098,P$6:P2098,"?*")=1,MAX(AI$5:AI2097)+1,""))</f>
        <v/>
      </c>
    </row>
    <row r="2099">
      <c r="B2099" s="47" t="n"/>
      <c r="C2099" s="48" t="n"/>
      <c r="D2099" s="48" t="n"/>
      <c r="E2099" s="48" t="n"/>
      <c r="F2099" s="48" t="n"/>
      <c r="G2099" s="49" t="n"/>
      <c r="H2099" s="48" t="n"/>
      <c r="I2099" s="50" t="n"/>
      <c r="J2099" s="48" t="n"/>
      <c r="K2099" s="48" t="n"/>
      <c r="L2099" s="48" t="n"/>
      <c r="M2099" s="48" t="n"/>
      <c r="N2099" s="48" t="n"/>
      <c r="O2099" s="51">
        <f>IF(AND(B2099="",G2099="",C2099="",D2099="",J2099=""),"",IF(B2099="","⚠ Falta fecha",IF(G2099="","⚠ Falta monto",IF(Q2099="","⚠ Falta cuenta",IF(ISNA(MATCH(Q2099,ctaNombre,0)),"⚠ Cuenta no registrada",IF(AND(OR(P2099="Gasto",P2099="Reembolso"),D2099=""),"⚠ Falta categoría",IF(AND(D2099&lt;&gt;"",E2099&lt;&gt;"",ISNA(MATCH(D2099&amp;"|"&amp;E2099,catClave,0))),"⚠ Subcategoría no corresponde",IF(AND(OR(P2099="Transferencia",P2099="Pago tarjeta"),K2099=""),"⚠ Falta cuenta destino",IF(AND(K2099&lt;&gt;"",P2099&lt;&gt;"Transferencia",P2099&lt;&gt;"Pago tarjeta"),"⚠ Destino solo aplica a transferencias",IF(AND(K2099&lt;&gt;"",K2099=Q2099),"⚠ Origen igual a destino",IF(AND(K2099&lt;&gt;"",ISNA(MATCH(K2099,ctaNombre,0))),"⚠ Destino no registrado",IF(AND(P2099="Pago tarjeta",AE2099&lt;&gt;"Tarjeta de crédito"),"⚠ El destino debe ser tarjeta de crédito",IF(AND(P2099="Gasto",E2099="Depósitos y retiros"),"⚠ Usa tipo Transferencia",IF(AND(P2099="Resultado trading",AD2099&lt;&gt;"Cuenta de trading"),"⚠ Usa una cuenta de trading",IF(AND(G2099&lt;=0,P2099&lt;&gt;"Ajuste",P2099&lt;&gt;"Resultado trading"),"⚠ El monto debe ser positivo","✓")))))))))))))))</f>
        <v/>
      </c>
      <c r="P2099" s="52">
        <f>IF(OR(B2099="",G2099=""),"",IF(C2099="","Gasto",C2099))</f>
        <v/>
      </c>
      <c r="Q2099" s="52">
        <f>IF(P2099="","",IF(J2099&lt;&gt;"",J2099,CuentaPred&amp;""))</f>
        <v/>
      </c>
      <c r="R2099" s="52">
        <f>IF(P2099="","",IF(ISNUMBER(I2099),I2099,TasaUSD))</f>
        <v/>
      </c>
      <c r="S2099" s="53">
        <f>IF(P2099="","",IF(H2099="USD",G2099*R2099,G2099))</f>
        <v/>
      </c>
      <c r="T2099" s="53">
        <f>IF(P2099="","",IF(H2099="USD",G2099,IF(R2099&gt;0,G2099/R2099,0)))</f>
        <v/>
      </c>
      <c r="U2099" s="53">
        <f>IF(P2099="","",IF(P2099="Gasto",S2099,IF(P2099="Reembolso",-S2099,0)))</f>
        <v/>
      </c>
      <c r="V2099" s="53">
        <f>IF(P2099="","",IF(P2099="Ingreso",S2099,0))</f>
        <v/>
      </c>
      <c r="W2099" s="53">
        <f>IF(P2099="","",IF(P2099="Resultado trading",S2099,0))</f>
        <v/>
      </c>
      <c r="X2099" s="52">
        <f>IF(OR(P2099="Gasto",P2099="Reembolso"),IF(M2099&lt;&gt;"",M2099,IFERROR(INDEX(catClasif,MATCH(D2099&amp;"|"&amp;E2099,catClave,0))&amp;"","Variable")),"")</f>
        <v/>
      </c>
      <c r="Y2099" s="52">
        <f>IF(P2099="","",IFERROR(INDEX(catGrupo,MATCH(D2099&amp;"|"&amp;E2099,catClave,0))&amp;"",""))</f>
        <v/>
      </c>
      <c r="Z2099" s="52">
        <f>IF(P2099="","",WEEKDAY(B2099,2))</f>
        <v/>
      </c>
      <c r="AA2099" s="52">
        <f>IF(P2099="","",IF(AND(P2099="Gasto",X2099="Variable",D2099&lt;&gt;catTrading,S2099&gt;0,S2099&lt;=Umbral),1,0))</f>
        <v/>
      </c>
      <c r="AB2099" s="52">
        <f>IF(OR(P2099="",Q2099=""),"",IFERROR(IF(INDEX(ctaVinc,MATCH(Q2099,ctaNombre,0))&amp;""&lt;&gt;"",INDEX(ctaVinc,MATCH(Q2099,ctaNombre,0))&amp;"",Q2099),Q2099))</f>
        <v/>
      </c>
      <c r="AC2099" s="52">
        <f>IF(OR(K2099="",AND(P2099&lt;&gt;"Transferencia",P2099&lt;&gt;"Pago tarjeta")),"",IFERROR(IF(INDEX(ctaVinc,MATCH(K2099,ctaNombre,0))&amp;""&lt;&gt;"",INDEX(ctaVinc,MATCH(K2099,ctaNombre,0))&amp;"",K2099),K2099))</f>
        <v/>
      </c>
      <c r="AD2099" s="52">
        <f>IF(AB2099="","",IFERROR(INDEX(ctaTipo,MATCH(AB2099,ctaNombre,0))&amp;"",""))</f>
        <v/>
      </c>
      <c r="AE2099" s="52">
        <f>IF(AC2099="","",IFERROR(INDEX(ctaTipo,MATCH(AC2099,ctaNombre,0))&amp;"",""))</f>
        <v/>
      </c>
      <c r="AF2099" s="53">
        <f>IF(OR(P2099="",AB2099=""),"",IF(OR(P2099="Gasto",P2099="Transferencia",P2099="Pago tarjeta"),-1,1)*IF(IFERROR(INDEX(ctaMoneda,MATCH(AB2099,ctaNombre,0))&amp;"","DOP")="USD",T2099,S2099))</f>
        <v/>
      </c>
      <c r="AG2099" s="53">
        <f>IF(AC2099="","",IF(IFERROR(INDEX(ctaMoneda,MATCH(AC2099,ctaNombre,0))&amp;"","DOP")="USD",T2099,S2099))</f>
        <v/>
      </c>
      <c r="AH2099" s="53">
        <f>IF(P2099="","",IF(AND(AD2099&lt;&gt;"",COUNTIFS(tcTipo,AD2099,tcLiq,"Sí")&gt;0),IF(OR(P2099="Gasto",P2099="Transferencia",P2099="Pago tarjeta"),-1,1)*S2099,0)+IF(AND(AE2099&lt;&gt;"",COUNTIFS(tcTipo,AE2099,tcLiq,"Sí")&gt;0),S2099,0))</f>
        <v/>
      </c>
      <c r="AI2099" s="52">
        <f>IF(OR(L2099="",P2099=""),"",IF(COUNTIFS(L$6:L2099,L2099,P$6:P2099,"?*")=1,MAX(AI$5:AI2098)+1,""))</f>
        <v/>
      </c>
    </row>
    <row r="2100">
      <c r="B2100" s="47" t="n"/>
      <c r="C2100" s="48" t="n"/>
      <c r="D2100" s="48" t="n"/>
      <c r="E2100" s="48" t="n"/>
      <c r="F2100" s="48" t="n"/>
      <c r="G2100" s="49" t="n"/>
      <c r="H2100" s="48" t="n"/>
      <c r="I2100" s="50" t="n"/>
      <c r="J2100" s="48" t="n"/>
      <c r="K2100" s="48" t="n"/>
      <c r="L2100" s="48" t="n"/>
      <c r="M2100" s="48" t="n"/>
      <c r="N2100" s="48" t="n"/>
      <c r="O2100" s="51">
        <f>IF(AND(B2100="",G2100="",C2100="",D2100="",J2100=""),"",IF(B2100="","⚠ Falta fecha",IF(G2100="","⚠ Falta monto",IF(Q2100="","⚠ Falta cuenta",IF(ISNA(MATCH(Q2100,ctaNombre,0)),"⚠ Cuenta no registrada",IF(AND(OR(P2100="Gasto",P2100="Reembolso"),D2100=""),"⚠ Falta categoría",IF(AND(D2100&lt;&gt;"",E2100&lt;&gt;"",ISNA(MATCH(D2100&amp;"|"&amp;E2100,catClave,0))),"⚠ Subcategoría no corresponde",IF(AND(OR(P2100="Transferencia",P2100="Pago tarjeta"),K2100=""),"⚠ Falta cuenta destino",IF(AND(K2100&lt;&gt;"",P2100&lt;&gt;"Transferencia",P2100&lt;&gt;"Pago tarjeta"),"⚠ Destino solo aplica a transferencias",IF(AND(K2100&lt;&gt;"",K2100=Q2100),"⚠ Origen igual a destino",IF(AND(K2100&lt;&gt;"",ISNA(MATCH(K2100,ctaNombre,0))),"⚠ Destino no registrado",IF(AND(P2100="Pago tarjeta",AE2100&lt;&gt;"Tarjeta de crédito"),"⚠ El destino debe ser tarjeta de crédito",IF(AND(P2100="Gasto",E2100="Depósitos y retiros"),"⚠ Usa tipo Transferencia",IF(AND(P2100="Resultado trading",AD2100&lt;&gt;"Cuenta de trading"),"⚠ Usa una cuenta de trading",IF(AND(G2100&lt;=0,P2100&lt;&gt;"Ajuste",P2100&lt;&gt;"Resultado trading"),"⚠ El monto debe ser positivo","✓")))))))))))))))</f>
        <v/>
      </c>
      <c r="P2100" s="52">
        <f>IF(OR(B2100="",G2100=""),"",IF(C2100="","Gasto",C2100))</f>
        <v/>
      </c>
      <c r="Q2100" s="52">
        <f>IF(P2100="","",IF(J2100&lt;&gt;"",J2100,CuentaPred&amp;""))</f>
        <v/>
      </c>
      <c r="R2100" s="52">
        <f>IF(P2100="","",IF(ISNUMBER(I2100),I2100,TasaUSD))</f>
        <v/>
      </c>
      <c r="S2100" s="53">
        <f>IF(P2100="","",IF(H2100="USD",G2100*R2100,G2100))</f>
        <v/>
      </c>
      <c r="T2100" s="53">
        <f>IF(P2100="","",IF(H2100="USD",G2100,IF(R2100&gt;0,G2100/R2100,0)))</f>
        <v/>
      </c>
      <c r="U2100" s="53">
        <f>IF(P2100="","",IF(P2100="Gasto",S2100,IF(P2100="Reembolso",-S2100,0)))</f>
        <v/>
      </c>
      <c r="V2100" s="53">
        <f>IF(P2100="","",IF(P2100="Ingreso",S2100,0))</f>
        <v/>
      </c>
      <c r="W2100" s="53">
        <f>IF(P2100="","",IF(P2100="Resultado trading",S2100,0))</f>
        <v/>
      </c>
      <c r="X2100" s="52">
        <f>IF(OR(P2100="Gasto",P2100="Reembolso"),IF(M2100&lt;&gt;"",M2100,IFERROR(INDEX(catClasif,MATCH(D2100&amp;"|"&amp;E2100,catClave,0))&amp;"","Variable")),"")</f>
        <v/>
      </c>
      <c r="Y2100" s="52">
        <f>IF(P2100="","",IFERROR(INDEX(catGrupo,MATCH(D2100&amp;"|"&amp;E2100,catClave,0))&amp;"",""))</f>
        <v/>
      </c>
      <c r="Z2100" s="52">
        <f>IF(P2100="","",WEEKDAY(B2100,2))</f>
        <v/>
      </c>
      <c r="AA2100" s="52">
        <f>IF(P2100="","",IF(AND(P2100="Gasto",X2100="Variable",D2100&lt;&gt;catTrading,S2100&gt;0,S2100&lt;=Umbral),1,0))</f>
        <v/>
      </c>
      <c r="AB2100" s="52">
        <f>IF(OR(P2100="",Q2100=""),"",IFERROR(IF(INDEX(ctaVinc,MATCH(Q2100,ctaNombre,0))&amp;""&lt;&gt;"",INDEX(ctaVinc,MATCH(Q2100,ctaNombre,0))&amp;"",Q2100),Q2100))</f>
        <v/>
      </c>
      <c r="AC2100" s="52">
        <f>IF(OR(K2100="",AND(P2100&lt;&gt;"Transferencia",P2100&lt;&gt;"Pago tarjeta")),"",IFERROR(IF(INDEX(ctaVinc,MATCH(K2100,ctaNombre,0))&amp;""&lt;&gt;"",INDEX(ctaVinc,MATCH(K2100,ctaNombre,0))&amp;"",K2100),K2100))</f>
        <v/>
      </c>
      <c r="AD2100" s="52">
        <f>IF(AB2100="","",IFERROR(INDEX(ctaTipo,MATCH(AB2100,ctaNombre,0))&amp;"",""))</f>
        <v/>
      </c>
      <c r="AE2100" s="52">
        <f>IF(AC2100="","",IFERROR(INDEX(ctaTipo,MATCH(AC2100,ctaNombre,0))&amp;"",""))</f>
        <v/>
      </c>
      <c r="AF2100" s="53">
        <f>IF(OR(P2100="",AB2100=""),"",IF(OR(P2100="Gasto",P2100="Transferencia",P2100="Pago tarjeta"),-1,1)*IF(IFERROR(INDEX(ctaMoneda,MATCH(AB2100,ctaNombre,0))&amp;"","DOP")="USD",T2100,S2100))</f>
        <v/>
      </c>
      <c r="AG2100" s="53">
        <f>IF(AC2100="","",IF(IFERROR(INDEX(ctaMoneda,MATCH(AC2100,ctaNombre,0))&amp;"","DOP")="USD",T2100,S2100))</f>
        <v/>
      </c>
      <c r="AH2100" s="53">
        <f>IF(P2100="","",IF(AND(AD2100&lt;&gt;"",COUNTIFS(tcTipo,AD2100,tcLiq,"Sí")&gt;0),IF(OR(P2100="Gasto",P2100="Transferencia",P2100="Pago tarjeta"),-1,1)*S2100,0)+IF(AND(AE2100&lt;&gt;"",COUNTIFS(tcTipo,AE2100,tcLiq,"Sí")&gt;0),S2100,0))</f>
        <v/>
      </c>
      <c r="AI2100" s="52">
        <f>IF(OR(L2100="",P2100=""),"",IF(COUNTIFS(L$6:L2100,L2100,P$6:P2100,"?*")=1,MAX(AI$5:AI2099)+1,""))</f>
        <v/>
      </c>
    </row>
    <row r="2101">
      <c r="B2101" s="47" t="n"/>
      <c r="C2101" s="48" t="n"/>
      <c r="D2101" s="48" t="n"/>
      <c r="E2101" s="48" t="n"/>
      <c r="F2101" s="48" t="n"/>
      <c r="G2101" s="49" t="n"/>
      <c r="H2101" s="48" t="n"/>
      <c r="I2101" s="50" t="n"/>
      <c r="J2101" s="48" t="n"/>
      <c r="K2101" s="48" t="n"/>
      <c r="L2101" s="48" t="n"/>
      <c r="M2101" s="48" t="n"/>
      <c r="N2101" s="48" t="n"/>
      <c r="O2101" s="51">
        <f>IF(AND(B2101="",G2101="",C2101="",D2101="",J2101=""),"",IF(B2101="","⚠ Falta fecha",IF(G2101="","⚠ Falta monto",IF(Q2101="","⚠ Falta cuenta",IF(ISNA(MATCH(Q2101,ctaNombre,0)),"⚠ Cuenta no registrada",IF(AND(OR(P2101="Gasto",P2101="Reembolso"),D2101=""),"⚠ Falta categoría",IF(AND(D2101&lt;&gt;"",E2101&lt;&gt;"",ISNA(MATCH(D2101&amp;"|"&amp;E2101,catClave,0))),"⚠ Subcategoría no corresponde",IF(AND(OR(P2101="Transferencia",P2101="Pago tarjeta"),K2101=""),"⚠ Falta cuenta destino",IF(AND(K2101&lt;&gt;"",P2101&lt;&gt;"Transferencia",P2101&lt;&gt;"Pago tarjeta"),"⚠ Destino solo aplica a transferencias",IF(AND(K2101&lt;&gt;"",K2101=Q2101),"⚠ Origen igual a destino",IF(AND(K2101&lt;&gt;"",ISNA(MATCH(K2101,ctaNombre,0))),"⚠ Destino no registrado",IF(AND(P2101="Pago tarjeta",AE2101&lt;&gt;"Tarjeta de crédito"),"⚠ El destino debe ser tarjeta de crédito",IF(AND(P2101="Gasto",E2101="Depósitos y retiros"),"⚠ Usa tipo Transferencia",IF(AND(P2101="Resultado trading",AD2101&lt;&gt;"Cuenta de trading"),"⚠ Usa una cuenta de trading",IF(AND(G2101&lt;=0,P2101&lt;&gt;"Ajuste",P2101&lt;&gt;"Resultado trading"),"⚠ El monto debe ser positivo","✓")))))))))))))))</f>
        <v/>
      </c>
      <c r="P2101" s="52">
        <f>IF(OR(B2101="",G2101=""),"",IF(C2101="","Gasto",C2101))</f>
        <v/>
      </c>
      <c r="Q2101" s="52">
        <f>IF(P2101="","",IF(J2101&lt;&gt;"",J2101,CuentaPred&amp;""))</f>
        <v/>
      </c>
      <c r="R2101" s="52">
        <f>IF(P2101="","",IF(ISNUMBER(I2101),I2101,TasaUSD))</f>
        <v/>
      </c>
      <c r="S2101" s="53">
        <f>IF(P2101="","",IF(H2101="USD",G2101*R2101,G2101))</f>
        <v/>
      </c>
      <c r="T2101" s="53">
        <f>IF(P2101="","",IF(H2101="USD",G2101,IF(R2101&gt;0,G2101/R2101,0)))</f>
        <v/>
      </c>
      <c r="U2101" s="53">
        <f>IF(P2101="","",IF(P2101="Gasto",S2101,IF(P2101="Reembolso",-S2101,0)))</f>
        <v/>
      </c>
      <c r="V2101" s="53">
        <f>IF(P2101="","",IF(P2101="Ingreso",S2101,0))</f>
        <v/>
      </c>
      <c r="W2101" s="53">
        <f>IF(P2101="","",IF(P2101="Resultado trading",S2101,0))</f>
        <v/>
      </c>
      <c r="X2101" s="52">
        <f>IF(OR(P2101="Gasto",P2101="Reembolso"),IF(M2101&lt;&gt;"",M2101,IFERROR(INDEX(catClasif,MATCH(D2101&amp;"|"&amp;E2101,catClave,0))&amp;"","Variable")),"")</f>
        <v/>
      </c>
      <c r="Y2101" s="52">
        <f>IF(P2101="","",IFERROR(INDEX(catGrupo,MATCH(D2101&amp;"|"&amp;E2101,catClave,0))&amp;"",""))</f>
        <v/>
      </c>
      <c r="Z2101" s="52">
        <f>IF(P2101="","",WEEKDAY(B2101,2))</f>
        <v/>
      </c>
      <c r="AA2101" s="52">
        <f>IF(P2101="","",IF(AND(P2101="Gasto",X2101="Variable",D2101&lt;&gt;catTrading,S2101&gt;0,S2101&lt;=Umbral),1,0))</f>
        <v/>
      </c>
      <c r="AB2101" s="52">
        <f>IF(OR(P2101="",Q2101=""),"",IFERROR(IF(INDEX(ctaVinc,MATCH(Q2101,ctaNombre,0))&amp;""&lt;&gt;"",INDEX(ctaVinc,MATCH(Q2101,ctaNombre,0))&amp;"",Q2101),Q2101))</f>
        <v/>
      </c>
      <c r="AC2101" s="52">
        <f>IF(OR(K2101="",AND(P2101&lt;&gt;"Transferencia",P2101&lt;&gt;"Pago tarjeta")),"",IFERROR(IF(INDEX(ctaVinc,MATCH(K2101,ctaNombre,0))&amp;""&lt;&gt;"",INDEX(ctaVinc,MATCH(K2101,ctaNombre,0))&amp;"",K2101),K2101))</f>
        <v/>
      </c>
      <c r="AD2101" s="52">
        <f>IF(AB2101="","",IFERROR(INDEX(ctaTipo,MATCH(AB2101,ctaNombre,0))&amp;"",""))</f>
        <v/>
      </c>
      <c r="AE2101" s="52">
        <f>IF(AC2101="","",IFERROR(INDEX(ctaTipo,MATCH(AC2101,ctaNombre,0))&amp;"",""))</f>
        <v/>
      </c>
      <c r="AF2101" s="53">
        <f>IF(OR(P2101="",AB2101=""),"",IF(OR(P2101="Gasto",P2101="Transferencia",P2101="Pago tarjeta"),-1,1)*IF(IFERROR(INDEX(ctaMoneda,MATCH(AB2101,ctaNombre,0))&amp;"","DOP")="USD",T2101,S2101))</f>
        <v/>
      </c>
      <c r="AG2101" s="53">
        <f>IF(AC2101="","",IF(IFERROR(INDEX(ctaMoneda,MATCH(AC2101,ctaNombre,0))&amp;"","DOP")="USD",T2101,S2101))</f>
        <v/>
      </c>
      <c r="AH2101" s="53">
        <f>IF(P2101="","",IF(AND(AD2101&lt;&gt;"",COUNTIFS(tcTipo,AD2101,tcLiq,"Sí")&gt;0),IF(OR(P2101="Gasto",P2101="Transferencia",P2101="Pago tarjeta"),-1,1)*S2101,0)+IF(AND(AE2101&lt;&gt;"",COUNTIFS(tcTipo,AE2101,tcLiq,"Sí")&gt;0),S2101,0))</f>
        <v/>
      </c>
      <c r="AI2101" s="52">
        <f>IF(OR(L2101="",P2101=""),"",IF(COUNTIFS(L$6:L2101,L2101,P$6:P2101,"?*")=1,MAX(AI$5:AI2100)+1,""))</f>
        <v/>
      </c>
    </row>
    <row r="2102">
      <c r="B2102" s="47" t="n"/>
      <c r="C2102" s="48" t="n"/>
      <c r="D2102" s="48" t="n"/>
      <c r="E2102" s="48" t="n"/>
      <c r="F2102" s="48" t="n"/>
      <c r="G2102" s="49" t="n"/>
      <c r="H2102" s="48" t="n"/>
      <c r="I2102" s="50" t="n"/>
      <c r="J2102" s="48" t="n"/>
      <c r="K2102" s="48" t="n"/>
      <c r="L2102" s="48" t="n"/>
      <c r="M2102" s="48" t="n"/>
      <c r="N2102" s="48" t="n"/>
      <c r="O2102" s="51">
        <f>IF(AND(B2102="",G2102="",C2102="",D2102="",J2102=""),"",IF(B2102="","⚠ Falta fecha",IF(G2102="","⚠ Falta monto",IF(Q2102="","⚠ Falta cuenta",IF(ISNA(MATCH(Q2102,ctaNombre,0)),"⚠ Cuenta no registrada",IF(AND(OR(P2102="Gasto",P2102="Reembolso"),D2102=""),"⚠ Falta categoría",IF(AND(D2102&lt;&gt;"",E2102&lt;&gt;"",ISNA(MATCH(D2102&amp;"|"&amp;E2102,catClave,0))),"⚠ Subcategoría no corresponde",IF(AND(OR(P2102="Transferencia",P2102="Pago tarjeta"),K2102=""),"⚠ Falta cuenta destino",IF(AND(K2102&lt;&gt;"",P2102&lt;&gt;"Transferencia",P2102&lt;&gt;"Pago tarjeta"),"⚠ Destino solo aplica a transferencias",IF(AND(K2102&lt;&gt;"",K2102=Q2102),"⚠ Origen igual a destino",IF(AND(K2102&lt;&gt;"",ISNA(MATCH(K2102,ctaNombre,0))),"⚠ Destino no registrado",IF(AND(P2102="Pago tarjeta",AE2102&lt;&gt;"Tarjeta de crédito"),"⚠ El destino debe ser tarjeta de crédito",IF(AND(P2102="Gasto",E2102="Depósitos y retiros"),"⚠ Usa tipo Transferencia",IF(AND(P2102="Resultado trading",AD2102&lt;&gt;"Cuenta de trading"),"⚠ Usa una cuenta de trading",IF(AND(G2102&lt;=0,P2102&lt;&gt;"Ajuste",P2102&lt;&gt;"Resultado trading"),"⚠ El monto debe ser positivo","✓")))))))))))))))</f>
        <v/>
      </c>
      <c r="P2102" s="52">
        <f>IF(OR(B2102="",G2102=""),"",IF(C2102="","Gasto",C2102))</f>
        <v/>
      </c>
      <c r="Q2102" s="52">
        <f>IF(P2102="","",IF(J2102&lt;&gt;"",J2102,CuentaPred&amp;""))</f>
        <v/>
      </c>
      <c r="R2102" s="52">
        <f>IF(P2102="","",IF(ISNUMBER(I2102),I2102,TasaUSD))</f>
        <v/>
      </c>
      <c r="S2102" s="53">
        <f>IF(P2102="","",IF(H2102="USD",G2102*R2102,G2102))</f>
        <v/>
      </c>
      <c r="T2102" s="53">
        <f>IF(P2102="","",IF(H2102="USD",G2102,IF(R2102&gt;0,G2102/R2102,0)))</f>
        <v/>
      </c>
      <c r="U2102" s="53">
        <f>IF(P2102="","",IF(P2102="Gasto",S2102,IF(P2102="Reembolso",-S2102,0)))</f>
        <v/>
      </c>
      <c r="V2102" s="53">
        <f>IF(P2102="","",IF(P2102="Ingreso",S2102,0))</f>
        <v/>
      </c>
      <c r="W2102" s="53">
        <f>IF(P2102="","",IF(P2102="Resultado trading",S2102,0))</f>
        <v/>
      </c>
      <c r="X2102" s="52">
        <f>IF(OR(P2102="Gasto",P2102="Reembolso"),IF(M2102&lt;&gt;"",M2102,IFERROR(INDEX(catClasif,MATCH(D2102&amp;"|"&amp;E2102,catClave,0))&amp;"","Variable")),"")</f>
        <v/>
      </c>
      <c r="Y2102" s="52">
        <f>IF(P2102="","",IFERROR(INDEX(catGrupo,MATCH(D2102&amp;"|"&amp;E2102,catClave,0))&amp;"",""))</f>
        <v/>
      </c>
      <c r="Z2102" s="52">
        <f>IF(P2102="","",WEEKDAY(B2102,2))</f>
        <v/>
      </c>
      <c r="AA2102" s="52">
        <f>IF(P2102="","",IF(AND(P2102="Gasto",X2102="Variable",D2102&lt;&gt;catTrading,S2102&gt;0,S2102&lt;=Umbral),1,0))</f>
        <v/>
      </c>
      <c r="AB2102" s="52">
        <f>IF(OR(P2102="",Q2102=""),"",IFERROR(IF(INDEX(ctaVinc,MATCH(Q2102,ctaNombre,0))&amp;""&lt;&gt;"",INDEX(ctaVinc,MATCH(Q2102,ctaNombre,0))&amp;"",Q2102),Q2102))</f>
        <v/>
      </c>
      <c r="AC2102" s="52">
        <f>IF(OR(K2102="",AND(P2102&lt;&gt;"Transferencia",P2102&lt;&gt;"Pago tarjeta")),"",IFERROR(IF(INDEX(ctaVinc,MATCH(K2102,ctaNombre,0))&amp;""&lt;&gt;"",INDEX(ctaVinc,MATCH(K2102,ctaNombre,0))&amp;"",K2102),K2102))</f>
        <v/>
      </c>
      <c r="AD2102" s="52">
        <f>IF(AB2102="","",IFERROR(INDEX(ctaTipo,MATCH(AB2102,ctaNombre,0))&amp;"",""))</f>
        <v/>
      </c>
      <c r="AE2102" s="52">
        <f>IF(AC2102="","",IFERROR(INDEX(ctaTipo,MATCH(AC2102,ctaNombre,0))&amp;"",""))</f>
        <v/>
      </c>
      <c r="AF2102" s="53">
        <f>IF(OR(P2102="",AB2102=""),"",IF(OR(P2102="Gasto",P2102="Transferencia",P2102="Pago tarjeta"),-1,1)*IF(IFERROR(INDEX(ctaMoneda,MATCH(AB2102,ctaNombre,0))&amp;"","DOP")="USD",T2102,S2102))</f>
        <v/>
      </c>
      <c r="AG2102" s="53">
        <f>IF(AC2102="","",IF(IFERROR(INDEX(ctaMoneda,MATCH(AC2102,ctaNombre,0))&amp;"","DOP")="USD",T2102,S2102))</f>
        <v/>
      </c>
      <c r="AH2102" s="53">
        <f>IF(P2102="","",IF(AND(AD2102&lt;&gt;"",COUNTIFS(tcTipo,AD2102,tcLiq,"Sí")&gt;0),IF(OR(P2102="Gasto",P2102="Transferencia",P2102="Pago tarjeta"),-1,1)*S2102,0)+IF(AND(AE2102&lt;&gt;"",COUNTIFS(tcTipo,AE2102,tcLiq,"Sí")&gt;0),S2102,0))</f>
        <v/>
      </c>
      <c r="AI2102" s="52">
        <f>IF(OR(L2102="",P2102=""),"",IF(COUNTIFS(L$6:L2102,L2102,P$6:P2102,"?*")=1,MAX(AI$5:AI2101)+1,""))</f>
        <v/>
      </c>
    </row>
    <row r="2103">
      <c r="B2103" s="47" t="n"/>
      <c r="C2103" s="48" t="n"/>
      <c r="D2103" s="48" t="n"/>
      <c r="E2103" s="48" t="n"/>
      <c r="F2103" s="48" t="n"/>
      <c r="G2103" s="49" t="n"/>
      <c r="H2103" s="48" t="n"/>
      <c r="I2103" s="50" t="n"/>
      <c r="J2103" s="48" t="n"/>
      <c r="K2103" s="48" t="n"/>
      <c r="L2103" s="48" t="n"/>
      <c r="M2103" s="48" t="n"/>
      <c r="N2103" s="48" t="n"/>
      <c r="O2103" s="51">
        <f>IF(AND(B2103="",G2103="",C2103="",D2103="",J2103=""),"",IF(B2103="","⚠ Falta fecha",IF(G2103="","⚠ Falta monto",IF(Q2103="","⚠ Falta cuenta",IF(ISNA(MATCH(Q2103,ctaNombre,0)),"⚠ Cuenta no registrada",IF(AND(OR(P2103="Gasto",P2103="Reembolso"),D2103=""),"⚠ Falta categoría",IF(AND(D2103&lt;&gt;"",E2103&lt;&gt;"",ISNA(MATCH(D2103&amp;"|"&amp;E2103,catClave,0))),"⚠ Subcategoría no corresponde",IF(AND(OR(P2103="Transferencia",P2103="Pago tarjeta"),K2103=""),"⚠ Falta cuenta destino",IF(AND(K2103&lt;&gt;"",P2103&lt;&gt;"Transferencia",P2103&lt;&gt;"Pago tarjeta"),"⚠ Destino solo aplica a transferencias",IF(AND(K2103&lt;&gt;"",K2103=Q2103),"⚠ Origen igual a destino",IF(AND(K2103&lt;&gt;"",ISNA(MATCH(K2103,ctaNombre,0))),"⚠ Destino no registrado",IF(AND(P2103="Pago tarjeta",AE2103&lt;&gt;"Tarjeta de crédito"),"⚠ El destino debe ser tarjeta de crédito",IF(AND(P2103="Gasto",E2103="Depósitos y retiros"),"⚠ Usa tipo Transferencia",IF(AND(P2103="Resultado trading",AD2103&lt;&gt;"Cuenta de trading"),"⚠ Usa una cuenta de trading",IF(AND(G2103&lt;=0,P2103&lt;&gt;"Ajuste",P2103&lt;&gt;"Resultado trading"),"⚠ El monto debe ser positivo","✓")))))))))))))))</f>
        <v/>
      </c>
      <c r="P2103" s="52">
        <f>IF(OR(B2103="",G2103=""),"",IF(C2103="","Gasto",C2103))</f>
        <v/>
      </c>
      <c r="Q2103" s="52">
        <f>IF(P2103="","",IF(J2103&lt;&gt;"",J2103,CuentaPred&amp;""))</f>
        <v/>
      </c>
      <c r="R2103" s="52">
        <f>IF(P2103="","",IF(ISNUMBER(I2103),I2103,TasaUSD))</f>
        <v/>
      </c>
      <c r="S2103" s="53">
        <f>IF(P2103="","",IF(H2103="USD",G2103*R2103,G2103))</f>
        <v/>
      </c>
      <c r="T2103" s="53">
        <f>IF(P2103="","",IF(H2103="USD",G2103,IF(R2103&gt;0,G2103/R2103,0)))</f>
        <v/>
      </c>
      <c r="U2103" s="53">
        <f>IF(P2103="","",IF(P2103="Gasto",S2103,IF(P2103="Reembolso",-S2103,0)))</f>
        <v/>
      </c>
      <c r="V2103" s="53">
        <f>IF(P2103="","",IF(P2103="Ingreso",S2103,0))</f>
        <v/>
      </c>
      <c r="W2103" s="53">
        <f>IF(P2103="","",IF(P2103="Resultado trading",S2103,0))</f>
        <v/>
      </c>
      <c r="X2103" s="52">
        <f>IF(OR(P2103="Gasto",P2103="Reembolso"),IF(M2103&lt;&gt;"",M2103,IFERROR(INDEX(catClasif,MATCH(D2103&amp;"|"&amp;E2103,catClave,0))&amp;"","Variable")),"")</f>
        <v/>
      </c>
      <c r="Y2103" s="52">
        <f>IF(P2103="","",IFERROR(INDEX(catGrupo,MATCH(D2103&amp;"|"&amp;E2103,catClave,0))&amp;"",""))</f>
        <v/>
      </c>
      <c r="Z2103" s="52">
        <f>IF(P2103="","",WEEKDAY(B2103,2))</f>
        <v/>
      </c>
      <c r="AA2103" s="52">
        <f>IF(P2103="","",IF(AND(P2103="Gasto",X2103="Variable",D2103&lt;&gt;catTrading,S2103&gt;0,S2103&lt;=Umbral),1,0))</f>
        <v/>
      </c>
      <c r="AB2103" s="52">
        <f>IF(OR(P2103="",Q2103=""),"",IFERROR(IF(INDEX(ctaVinc,MATCH(Q2103,ctaNombre,0))&amp;""&lt;&gt;"",INDEX(ctaVinc,MATCH(Q2103,ctaNombre,0))&amp;"",Q2103),Q2103))</f>
        <v/>
      </c>
      <c r="AC2103" s="52">
        <f>IF(OR(K2103="",AND(P2103&lt;&gt;"Transferencia",P2103&lt;&gt;"Pago tarjeta")),"",IFERROR(IF(INDEX(ctaVinc,MATCH(K2103,ctaNombre,0))&amp;""&lt;&gt;"",INDEX(ctaVinc,MATCH(K2103,ctaNombre,0))&amp;"",K2103),K2103))</f>
        <v/>
      </c>
      <c r="AD2103" s="52">
        <f>IF(AB2103="","",IFERROR(INDEX(ctaTipo,MATCH(AB2103,ctaNombre,0))&amp;"",""))</f>
        <v/>
      </c>
      <c r="AE2103" s="52">
        <f>IF(AC2103="","",IFERROR(INDEX(ctaTipo,MATCH(AC2103,ctaNombre,0))&amp;"",""))</f>
        <v/>
      </c>
      <c r="AF2103" s="53">
        <f>IF(OR(P2103="",AB2103=""),"",IF(OR(P2103="Gasto",P2103="Transferencia",P2103="Pago tarjeta"),-1,1)*IF(IFERROR(INDEX(ctaMoneda,MATCH(AB2103,ctaNombre,0))&amp;"","DOP")="USD",T2103,S2103))</f>
        <v/>
      </c>
      <c r="AG2103" s="53">
        <f>IF(AC2103="","",IF(IFERROR(INDEX(ctaMoneda,MATCH(AC2103,ctaNombre,0))&amp;"","DOP")="USD",T2103,S2103))</f>
        <v/>
      </c>
      <c r="AH2103" s="53">
        <f>IF(P2103="","",IF(AND(AD2103&lt;&gt;"",COUNTIFS(tcTipo,AD2103,tcLiq,"Sí")&gt;0),IF(OR(P2103="Gasto",P2103="Transferencia",P2103="Pago tarjeta"),-1,1)*S2103,0)+IF(AND(AE2103&lt;&gt;"",COUNTIFS(tcTipo,AE2103,tcLiq,"Sí")&gt;0),S2103,0))</f>
        <v/>
      </c>
      <c r="AI2103" s="52">
        <f>IF(OR(L2103="",P2103=""),"",IF(COUNTIFS(L$6:L2103,L2103,P$6:P2103,"?*")=1,MAX(AI$5:AI2102)+1,""))</f>
        <v/>
      </c>
    </row>
    <row r="2104">
      <c r="B2104" s="47" t="n"/>
      <c r="C2104" s="48" t="n"/>
      <c r="D2104" s="48" t="n"/>
      <c r="E2104" s="48" t="n"/>
      <c r="F2104" s="48" t="n"/>
      <c r="G2104" s="49" t="n"/>
      <c r="H2104" s="48" t="n"/>
      <c r="I2104" s="50" t="n"/>
      <c r="J2104" s="48" t="n"/>
      <c r="K2104" s="48" t="n"/>
      <c r="L2104" s="48" t="n"/>
      <c r="M2104" s="48" t="n"/>
      <c r="N2104" s="48" t="n"/>
      <c r="O2104" s="51">
        <f>IF(AND(B2104="",G2104="",C2104="",D2104="",J2104=""),"",IF(B2104="","⚠ Falta fecha",IF(G2104="","⚠ Falta monto",IF(Q2104="","⚠ Falta cuenta",IF(ISNA(MATCH(Q2104,ctaNombre,0)),"⚠ Cuenta no registrada",IF(AND(OR(P2104="Gasto",P2104="Reembolso"),D2104=""),"⚠ Falta categoría",IF(AND(D2104&lt;&gt;"",E2104&lt;&gt;"",ISNA(MATCH(D2104&amp;"|"&amp;E2104,catClave,0))),"⚠ Subcategoría no corresponde",IF(AND(OR(P2104="Transferencia",P2104="Pago tarjeta"),K2104=""),"⚠ Falta cuenta destino",IF(AND(K2104&lt;&gt;"",P2104&lt;&gt;"Transferencia",P2104&lt;&gt;"Pago tarjeta"),"⚠ Destino solo aplica a transferencias",IF(AND(K2104&lt;&gt;"",K2104=Q2104),"⚠ Origen igual a destino",IF(AND(K2104&lt;&gt;"",ISNA(MATCH(K2104,ctaNombre,0))),"⚠ Destino no registrado",IF(AND(P2104="Pago tarjeta",AE2104&lt;&gt;"Tarjeta de crédito"),"⚠ El destino debe ser tarjeta de crédito",IF(AND(P2104="Gasto",E2104="Depósitos y retiros"),"⚠ Usa tipo Transferencia",IF(AND(P2104="Resultado trading",AD2104&lt;&gt;"Cuenta de trading"),"⚠ Usa una cuenta de trading",IF(AND(G2104&lt;=0,P2104&lt;&gt;"Ajuste",P2104&lt;&gt;"Resultado trading"),"⚠ El monto debe ser positivo","✓")))))))))))))))</f>
        <v/>
      </c>
      <c r="P2104" s="52">
        <f>IF(OR(B2104="",G2104=""),"",IF(C2104="","Gasto",C2104))</f>
        <v/>
      </c>
      <c r="Q2104" s="52">
        <f>IF(P2104="","",IF(J2104&lt;&gt;"",J2104,CuentaPred&amp;""))</f>
        <v/>
      </c>
      <c r="R2104" s="52">
        <f>IF(P2104="","",IF(ISNUMBER(I2104),I2104,TasaUSD))</f>
        <v/>
      </c>
      <c r="S2104" s="53">
        <f>IF(P2104="","",IF(H2104="USD",G2104*R2104,G2104))</f>
        <v/>
      </c>
      <c r="T2104" s="53">
        <f>IF(P2104="","",IF(H2104="USD",G2104,IF(R2104&gt;0,G2104/R2104,0)))</f>
        <v/>
      </c>
      <c r="U2104" s="53">
        <f>IF(P2104="","",IF(P2104="Gasto",S2104,IF(P2104="Reembolso",-S2104,0)))</f>
        <v/>
      </c>
      <c r="V2104" s="53">
        <f>IF(P2104="","",IF(P2104="Ingreso",S2104,0))</f>
        <v/>
      </c>
      <c r="W2104" s="53">
        <f>IF(P2104="","",IF(P2104="Resultado trading",S2104,0))</f>
        <v/>
      </c>
      <c r="X2104" s="52">
        <f>IF(OR(P2104="Gasto",P2104="Reembolso"),IF(M2104&lt;&gt;"",M2104,IFERROR(INDEX(catClasif,MATCH(D2104&amp;"|"&amp;E2104,catClave,0))&amp;"","Variable")),"")</f>
        <v/>
      </c>
      <c r="Y2104" s="52">
        <f>IF(P2104="","",IFERROR(INDEX(catGrupo,MATCH(D2104&amp;"|"&amp;E2104,catClave,0))&amp;"",""))</f>
        <v/>
      </c>
      <c r="Z2104" s="52">
        <f>IF(P2104="","",WEEKDAY(B2104,2))</f>
        <v/>
      </c>
      <c r="AA2104" s="52">
        <f>IF(P2104="","",IF(AND(P2104="Gasto",X2104="Variable",D2104&lt;&gt;catTrading,S2104&gt;0,S2104&lt;=Umbral),1,0))</f>
        <v/>
      </c>
      <c r="AB2104" s="52">
        <f>IF(OR(P2104="",Q2104=""),"",IFERROR(IF(INDEX(ctaVinc,MATCH(Q2104,ctaNombre,0))&amp;""&lt;&gt;"",INDEX(ctaVinc,MATCH(Q2104,ctaNombre,0))&amp;"",Q2104),Q2104))</f>
        <v/>
      </c>
      <c r="AC2104" s="52">
        <f>IF(OR(K2104="",AND(P2104&lt;&gt;"Transferencia",P2104&lt;&gt;"Pago tarjeta")),"",IFERROR(IF(INDEX(ctaVinc,MATCH(K2104,ctaNombre,0))&amp;""&lt;&gt;"",INDEX(ctaVinc,MATCH(K2104,ctaNombre,0))&amp;"",K2104),K2104))</f>
        <v/>
      </c>
      <c r="AD2104" s="52">
        <f>IF(AB2104="","",IFERROR(INDEX(ctaTipo,MATCH(AB2104,ctaNombre,0))&amp;"",""))</f>
        <v/>
      </c>
      <c r="AE2104" s="52">
        <f>IF(AC2104="","",IFERROR(INDEX(ctaTipo,MATCH(AC2104,ctaNombre,0))&amp;"",""))</f>
        <v/>
      </c>
      <c r="AF2104" s="53">
        <f>IF(OR(P2104="",AB2104=""),"",IF(OR(P2104="Gasto",P2104="Transferencia",P2104="Pago tarjeta"),-1,1)*IF(IFERROR(INDEX(ctaMoneda,MATCH(AB2104,ctaNombre,0))&amp;"","DOP")="USD",T2104,S2104))</f>
        <v/>
      </c>
      <c r="AG2104" s="53">
        <f>IF(AC2104="","",IF(IFERROR(INDEX(ctaMoneda,MATCH(AC2104,ctaNombre,0))&amp;"","DOP")="USD",T2104,S2104))</f>
        <v/>
      </c>
      <c r="AH2104" s="53">
        <f>IF(P2104="","",IF(AND(AD2104&lt;&gt;"",COUNTIFS(tcTipo,AD2104,tcLiq,"Sí")&gt;0),IF(OR(P2104="Gasto",P2104="Transferencia",P2104="Pago tarjeta"),-1,1)*S2104,0)+IF(AND(AE2104&lt;&gt;"",COUNTIFS(tcTipo,AE2104,tcLiq,"Sí")&gt;0),S2104,0))</f>
        <v/>
      </c>
      <c r="AI2104" s="52">
        <f>IF(OR(L2104="",P2104=""),"",IF(COUNTIFS(L$6:L2104,L2104,P$6:P2104,"?*")=1,MAX(AI$5:AI2103)+1,""))</f>
        <v/>
      </c>
    </row>
    <row r="2105">
      <c r="B2105" s="47" t="n"/>
      <c r="C2105" s="48" t="n"/>
      <c r="D2105" s="48" t="n"/>
      <c r="E2105" s="48" t="n"/>
      <c r="F2105" s="48" t="n"/>
      <c r="G2105" s="49" t="n"/>
      <c r="H2105" s="48" t="n"/>
      <c r="I2105" s="50" t="n"/>
      <c r="J2105" s="48" t="n"/>
      <c r="K2105" s="48" t="n"/>
      <c r="L2105" s="48" t="n"/>
      <c r="M2105" s="48" t="n"/>
      <c r="N2105" s="48" t="n"/>
      <c r="O2105" s="51">
        <f>IF(AND(B2105="",G2105="",C2105="",D2105="",J2105=""),"",IF(B2105="","⚠ Falta fecha",IF(G2105="","⚠ Falta monto",IF(Q2105="","⚠ Falta cuenta",IF(ISNA(MATCH(Q2105,ctaNombre,0)),"⚠ Cuenta no registrada",IF(AND(OR(P2105="Gasto",P2105="Reembolso"),D2105=""),"⚠ Falta categoría",IF(AND(D2105&lt;&gt;"",E2105&lt;&gt;"",ISNA(MATCH(D2105&amp;"|"&amp;E2105,catClave,0))),"⚠ Subcategoría no corresponde",IF(AND(OR(P2105="Transferencia",P2105="Pago tarjeta"),K2105=""),"⚠ Falta cuenta destino",IF(AND(K2105&lt;&gt;"",P2105&lt;&gt;"Transferencia",P2105&lt;&gt;"Pago tarjeta"),"⚠ Destino solo aplica a transferencias",IF(AND(K2105&lt;&gt;"",K2105=Q2105),"⚠ Origen igual a destino",IF(AND(K2105&lt;&gt;"",ISNA(MATCH(K2105,ctaNombre,0))),"⚠ Destino no registrado",IF(AND(P2105="Pago tarjeta",AE2105&lt;&gt;"Tarjeta de crédito"),"⚠ El destino debe ser tarjeta de crédito",IF(AND(P2105="Gasto",E2105="Depósitos y retiros"),"⚠ Usa tipo Transferencia",IF(AND(P2105="Resultado trading",AD2105&lt;&gt;"Cuenta de trading"),"⚠ Usa una cuenta de trading",IF(AND(G2105&lt;=0,P2105&lt;&gt;"Ajuste",P2105&lt;&gt;"Resultado trading"),"⚠ El monto debe ser positivo","✓")))))))))))))))</f>
        <v/>
      </c>
      <c r="P2105" s="52">
        <f>IF(OR(B2105="",G2105=""),"",IF(C2105="","Gasto",C2105))</f>
        <v/>
      </c>
      <c r="Q2105" s="52">
        <f>IF(P2105="","",IF(J2105&lt;&gt;"",J2105,CuentaPred&amp;""))</f>
        <v/>
      </c>
      <c r="R2105" s="52">
        <f>IF(P2105="","",IF(ISNUMBER(I2105),I2105,TasaUSD))</f>
        <v/>
      </c>
      <c r="S2105" s="53">
        <f>IF(P2105="","",IF(H2105="USD",G2105*R2105,G2105))</f>
        <v/>
      </c>
      <c r="T2105" s="53">
        <f>IF(P2105="","",IF(H2105="USD",G2105,IF(R2105&gt;0,G2105/R2105,0)))</f>
        <v/>
      </c>
      <c r="U2105" s="53">
        <f>IF(P2105="","",IF(P2105="Gasto",S2105,IF(P2105="Reembolso",-S2105,0)))</f>
        <v/>
      </c>
      <c r="V2105" s="53">
        <f>IF(P2105="","",IF(P2105="Ingreso",S2105,0))</f>
        <v/>
      </c>
      <c r="W2105" s="53">
        <f>IF(P2105="","",IF(P2105="Resultado trading",S2105,0))</f>
        <v/>
      </c>
      <c r="X2105" s="52">
        <f>IF(OR(P2105="Gasto",P2105="Reembolso"),IF(M2105&lt;&gt;"",M2105,IFERROR(INDEX(catClasif,MATCH(D2105&amp;"|"&amp;E2105,catClave,0))&amp;"","Variable")),"")</f>
        <v/>
      </c>
      <c r="Y2105" s="52">
        <f>IF(P2105="","",IFERROR(INDEX(catGrupo,MATCH(D2105&amp;"|"&amp;E2105,catClave,0))&amp;"",""))</f>
        <v/>
      </c>
      <c r="Z2105" s="52">
        <f>IF(P2105="","",WEEKDAY(B2105,2))</f>
        <v/>
      </c>
      <c r="AA2105" s="52">
        <f>IF(P2105="","",IF(AND(P2105="Gasto",X2105="Variable",D2105&lt;&gt;catTrading,S2105&gt;0,S2105&lt;=Umbral),1,0))</f>
        <v/>
      </c>
      <c r="AB2105" s="52">
        <f>IF(OR(P2105="",Q2105=""),"",IFERROR(IF(INDEX(ctaVinc,MATCH(Q2105,ctaNombre,0))&amp;""&lt;&gt;"",INDEX(ctaVinc,MATCH(Q2105,ctaNombre,0))&amp;"",Q2105),Q2105))</f>
        <v/>
      </c>
      <c r="AC2105" s="52">
        <f>IF(OR(K2105="",AND(P2105&lt;&gt;"Transferencia",P2105&lt;&gt;"Pago tarjeta")),"",IFERROR(IF(INDEX(ctaVinc,MATCH(K2105,ctaNombre,0))&amp;""&lt;&gt;"",INDEX(ctaVinc,MATCH(K2105,ctaNombre,0))&amp;"",K2105),K2105))</f>
        <v/>
      </c>
      <c r="AD2105" s="52">
        <f>IF(AB2105="","",IFERROR(INDEX(ctaTipo,MATCH(AB2105,ctaNombre,0))&amp;"",""))</f>
        <v/>
      </c>
      <c r="AE2105" s="52">
        <f>IF(AC2105="","",IFERROR(INDEX(ctaTipo,MATCH(AC2105,ctaNombre,0))&amp;"",""))</f>
        <v/>
      </c>
      <c r="AF2105" s="53">
        <f>IF(OR(P2105="",AB2105=""),"",IF(OR(P2105="Gasto",P2105="Transferencia",P2105="Pago tarjeta"),-1,1)*IF(IFERROR(INDEX(ctaMoneda,MATCH(AB2105,ctaNombre,0))&amp;"","DOP")="USD",T2105,S2105))</f>
        <v/>
      </c>
      <c r="AG2105" s="53">
        <f>IF(AC2105="","",IF(IFERROR(INDEX(ctaMoneda,MATCH(AC2105,ctaNombre,0))&amp;"","DOP")="USD",T2105,S2105))</f>
        <v/>
      </c>
      <c r="AH2105" s="53">
        <f>IF(P2105="","",IF(AND(AD2105&lt;&gt;"",COUNTIFS(tcTipo,AD2105,tcLiq,"Sí")&gt;0),IF(OR(P2105="Gasto",P2105="Transferencia",P2105="Pago tarjeta"),-1,1)*S2105,0)+IF(AND(AE2105&lt;&gt;"",COUNTIFS(tcTipo,AE2105,tcLiq,"Sí")&gt;0),S2105,0))</f>
        <v/>
      </c>
      <c r="AI2105" s="52">
        <f>IF(OR(L2105="",P2105=""),"",IF(COUNTIFS(L$6:L2105,L2105,P$6:P2105,"?*")=1,MAX(AI$5:AI2104)+1,""))</f>
        <v/>
      </c>
    </row>
    <row r="2106">
      <c r="B2106" s="47" t="n"/>
      <c r="C2106" s="48" t="n"/>
      <c r="D2106" s="48" t="n"/>
      <c r="E2106" s="48" t="n"/>
      <c r="F2106" s="48" t="n"/>
      <c r="G2106" s="49" t="n"/>
      <c r="H2106" s="48" t="n"/>
      <c r="I2106" s="50" t="n"/>
      <c r="J2106" s="48" t="n"/>
      <c r="K2106" s="48" t="n"/>
      <c r="L2106" s="48" t="n"/>
      <c r="M2106" s="48" t="n"/>
      <c r="N2106" s="48" t="n"/>
      <c r="O2106" s="51">
        <f>IF(AND(B2106="",G2106="",C2106="",D2106="",J2106=""),"",IF(B2106="","⚠ Falta fecha",IF(G2106="","⚠ Falta monto",IF(Q2106="","⚠ Falta cuenta",IF(ISNA(MATCH(Q2106,ctaNombre,0)),"⚠ Cuenta no registrada",IF(AND(OR(P2106="Gasto",P2106="Reembolso"),D2106=""),"⚠ Falta categoría",IF(AND(D2106&lt;&gt;"",E2106&lt;&gt;"",ISNA(MATCH(D2106&amp;"|"&amp;E2106,catClave,0))),"⚠ Subcategoría no corresponde",IF(AND(OR(P2106="Transferencia",P2106="Pago tarjeta"),K2106=""),"⚠ Falta cuenta destino",IF(AND(K2106&lt;&gt;"",P2106&lt;&gt;"Transferencia",P2106&lt;&gt;"Pago tarjeta"),"⚠ Destino solo aplica a transferencias",IF(AND(K2106&lt;&gt;"",K2106=Q2106),"⚠ Origen igual a destino",IF(AND(K2106&lt;&gt;"",ISNA(MATCH(K2106,ctaNombre,0))),"⚠ Destino no registrado",IF(AND(P2106="Pago tarjeta",AE2106&lt;&gt;"Tarjeta de crédito"),"⚠ El destino debe ser tarjeta de crédito",IF(AND(P2106="Gasto",E2106="Depósitos y retiros"),"⚠ Usa tipo Transferencia",IF(AND(P2106="Resultado trading",AD2106&lt;&gt;"Cuenta de trading"),"⚠ Usa una cuenta de trading",IF(AND(G2106&lt;=0,P2106&lt;&gt;"Ajuste",P2106&lt;&gt;"Resultado trading"),"⚠ El monto debe ser positivo","✓")))))))))))))))</f>
        <v/>
      </c>
      <c r="P2106" s="52">
        <f>IF(OR(B2106="",G2106=""),"",IF(C2106="","Gasto",C2106))</f>
        <v/>
      </c>
      <c r="Q2106" s="52">
        <f>IF(P2106="","",IF(J2106&lt;&gt;"",J2106,CuentaPred&amp;""))</f>
        <v/>
      </c>
      <c r="R2106" s="52">
        <f>IF(P2106="","",IF(ISNUMBER(I2106),I2106,TasaUSD))</f>
        <v/>
      </c>
      <c r="S2106" s="53">
        <f>IF(P2106="","",IF(H2106="USD",G2106*R2106,G2106))</f>
        <v/>
      </c>
      <c r="T2106" s="53">
        <f>IF(P2106="","",IF(H2106="USD",G2106,IF(R2106&gt;0,G2106/R2106,0)))</f>
        <v/>
      </c>
      <c r="U2106" s="53">
        <f>IF(P2106="","",IF(P2106="Gasto",S2106,IF(P2106="Reembolso",-S2106,0)))</f>
        <v/>
      </c>
      <c r="V2106" s="53">
        <f>IF(P2106="","",IF(P2106="Ingreso",S2106,0))</f>
        <v/>
      </c>
      <c r="W2106" s="53">
        <f>IF(P2106="","",IF(P2106="Resultado trading",S2106,0))</f>
        <v/>
      </c>
      <c r="X2106" s="52">
        <f>IF(OR(P2106="Gasto",P2106="Reembolso"),IF(M2106&lt;&gt;"",M2106,IFERROR(INDEX(catClasif,MATCH(D2106&amp;"|"&amp;E2106,catClave,0))&amp;"","Variable")),"")</f>
        <v/>
      </c>
      <c r="Y2106" s="52">
        <f>IF(P2106="","",IFERROR(INDEX(catGrupo,MATCH(D2106&amp;"|"&amp;E2106,catClave,0))&amp;"",""))</f>
        <v/>
      </c>
      <c r="Z2106" s="52">
        <f>IF(P2106="","",WEEKDAY(B2106,2))</f>
        <v/>
      </c>
      <c r="AA2106" s="52">
        <f>IF(P2106="","",IF(AND(P2106="Gasto",X2106="Variable",D2106&lt;&gt;catTrading,S2106&gt;0,S2106&lt;=Umbral),1,0))</f>
        <v/>
      </c>
      <c r="AB2106" s="52">
        <f>IF(OR(P2106="",Q2106=""),"",IFERROR(IF(INDEX(ctaVinc,MATCH(Q2106,ctaNombre,0))&amp;""&lt;&gt;"",INDEX(ctaVinc,MATCH(Q2106,ctaNombre,0))&amp;"",Q2106),Q2106))</f>
        <v/>
      </c>
      <c r="AC2106" s="52">
        <f>IF(OR(K2106="",AND(P2106&lt;&gt;"Transferencia",P2106&lt;&gt;"Pago tarjeta")),"",IFERROR(IF(INDEX(ctaVinc,MATCH(K2106,ctaNombre,0))&amp;""&lt;&gt;"",INDEX(ctaVinc,MATCH(K2106,ctaNombre,0))&amp;"",K2106),K2106))</f>
        <v/>
      </c>
      <c r="AD2106" s="52">
        <f>IF(AB2106="","",IFERROR(INDEX(ctaTipo,MATCH(AB2106,ctaNombre,0))&amp;"",""))</f>
        <v/>
      </c>
      <c r="AE2106" s="52">
        <f>IF(AC2106="","",IFERROR(INDEX(ctaTipo,MATCH(AC2106,ctaNombre,0))&amp;"",""))</f>
        <v/>
      </c>
      <c r="AF2106" s="53">
        <f>IF(OR(P2106="",AB2106=""),"",IF(OR(P2106="Gasto",P2106="Transferencia",P2106="Pago tarjeta"),-1,1)*IF(IFERROR(INDEX(ctaMoneda,MATCH(AB2106,ctaNombre,0))&amp;"","DOP")="USD",T2106,S2106))</f>
        <v/>
      </c>
      <c r="AG2106" s="53">
        <f>IF(AC2106="","",IF(IFERROR(INDEX(ctaMoneda,MATCH(AC2106,ctaNombre,0))&amp;"","DOP")="USD",T2106,S2106))</f>
        <v/>
      </c>
      <c r="AH2106" s="53">
        <f>IF(P2106="","",IF(AND(AD2106&lt;&gt;"",COUNTIFS(tcTipo,AD2106,tcLiq,"Sí")&gt;0),IF(OR(P2106="Gasto",P2106="Transferencia",P2106="Pago tarjeta"),-1,1)*S2106,0)+IF(AND(AE2106&lt;&gt;"",COUNTIFS(tcTipo,AE2106,tcLiq,"Sí")&gt;0),S2106,0))</f>
        <v/>
      </c>
      <c r="AI2106" s="52">
        <f>IF(OR(L2106="",P2106=""),"",IF(COUNTIFS(L$6:L2106,L2106,P$6:P2106,"?*")=1,MAX(AI$5:AI2105)+1,""))</f>
        <v/>
      </c>
    </row>
    <row r="2107">
      <c r="B2107" s="47" t="n"/>
      <c r="C2107" s="48" t="n"/>
      <c r="D2107" s="48" t="n"/>
      <c r="E2107" s="48" t="n"/>
      <c r="F2107" s="48" t="n"/>
      <c r="G2107" s="49" t="n"/>
      <c r="H2107" s="48" t="n"/>
      <c r="I2107" s="50" t="n"/>
      <c r="J2107" s="48" t="n"/>
      <c r="K2107" s="48" t="n"/>
      <c r="L2107" s="48" t="n"/>
      <c r="M2107" s="48" t="n"/>
      <c r="N2107" s="48" t="n"/>
      <c r="O2107" s="51">
        <f>IF(AND(B2107="",G2107="",C2107="",D2107="",J2107=""),"",IF(B2107="","⚠ Falta fecha",IF(G2107="","⚠ Falta monto",IF(Q2107="","⚠ Falta cuenta",IF(ISNA(MATCH(Q2107,ctaNombre,0)),"⚠ Cuenta no registrada",IF(AND(OR(P2107="Gasto",P2107="Reembolso"),D2107=""),"⚠ Falta categoría",IF(AND(D2107&lt;&gt;"",E2107&lt;&gt;"",ISNA(MATCH(D2107&amp;"|"&amp;E2107,catClave,0))),"⚠ Subcategoría no corresponde",IF(AND(OR(P2107="Transferencia",P2107="Pago tarjeta"),K2107=""),"⚠ Falta cuenta destino",IF(AND(K2107&lt;&gt;"",P2107&lt;&gt;"Transferencia",P2107&lt;&gt;"Pago tarjeta"),"⚠ Destino solo aplica a transferencias",IF(AND(K2107&lt;&gt;"",K2107=Q2107),"⚠ Origen igual a destino",IF(AND(K2107&lt;&gt;"",ISNA(MATCH(K2107,ctaNombre,0))),"⚠ Destino no registrado",IF(AND(P2107="Pago tarjeta",AE2107&lt;&gt;"Tarjeta de crédito"),"⚠ El destino debe ser tarjeta de crédito",IF(AND(P2107="Gasto",E2107="Depósitos y retiros"),"⚠ Usa tipo Transferencia",IF(AND(P2107="Resultado trading",AD2107&lt;&gt;"Cuenta de trading"),"⚠ Usa una cuenta de trading",IF(AND(G2107&lt;=0,P2107&lt;&gt;"Ajuste",P2107&lt;&gt;"Resultado trading"),"⚠ El monto debe ser positivo","✓")))))))))))))))</f>
        <v/>
      </c>
      <c r="P2107" s="52">
        <f>IF(OR(B2107="",G2107=""),"",IF(C2107="","Gasto",C2107))</f>
        <v/>
      </c>
      <c r="Q2107" s="52">
        <f>IF(P2107="","",IF(J2107&lt;&gt;"",J2107,CuentaPred&amp;""))</f>
        <v/>
      </c>
      <c r="R2107" s="52">
        <f>IF(P2107="","",IF(ISNUMBER(I2107),I2107,TasaUSD))</f>
        <v/>
      </c>
      <c r="S2107" s="53">
        <f>IF(P2107="","",IF(H2107="USD",G2107*R2107,G2107))</f>
        <v/>
      </c>
      <c r="T2107" s="53">
        <f>IF(P2107="","",IF(H2107="USD",G2107,IF(R2107&gt;0,G2107/R2107,0)))</f>
        <v/>
      </c>
      <c r="U2107" s="53">
        <f>IF(P2107="","",IF(P2107="Gasto",S2107,IF(P2107="Reembolso",-S2107,0)))</f>
        <v/>
      </c>
      <c r="V2107" s="53">
        <f>IF(P2107="","",IF(P2107="Ingreso",S2107,0))</f>
        <v/>
      </c>
      <c r="W2107" s="53">
        <f>IF(P2107="","",IF(P2107="Resultado trading",S2107,0))</f>
        <v/>
      </c>
      <c r="X2107" s="52">
        <f>IF(OR(P2107="Gasto",P2107="Reembolso"),IF(M2107&lt;&gt;"",M2107,IFERROR(INDEX(catClasif,MATCH(D2107&amp;"|"&amp;E2107,catClave,0))&amp;"","Variable")),"")</f>
        <v/>
      </c>
      <c r="Y2107" s="52">
        <f>IF(P2107="","",IFERROR(INDEX(catGrupo,MATCH(D2107&amp;"|"&amp;E2107,catClave,0))&amp;"",""))</f>
        <v/>
      </c>
      <c r="Z2107" s="52">
        <f>IF(P2107="","",WEEKDAY(B2107,2))</f>
        <v/>
      </c>
      <c r="AA2107" s="52">
        <f>IF(P2107="","",IF(AND(P2107="Gasto",X2107="Variable",D2107&lt;&gt;catTrading,S2107&gt;0,S2107&lt;=Umbral),1,0))</f>
        <v/>
      </c>
      <c r="AB2107" s="52">
        <f>IF(OR(P2107="",Q2107=""),"",IFERROR(IF(INDEX(ctaVinc,MATCH(Q2107,ctaNombre,0))&amp;""&lt;&gt;"",INDEX(ctaVinc,MATCH(Q2107,ctaNombre,0))&amp;"",Q2107),Q2107))</f>
        <v/>
      </c>
      <c r="AC2107" s="52">
        <f>IF(OR(K2107="",AND(P2107&lt;&gt;"Transferencia",P2107&lt;&gt;"Pago tarjeta")),"",IFERROR(IF(INDEX(ctaVinc,MATCH(K2107,ctaNombre,0))&amp;""&lt;&gt;"",INDEX(ctaVinc,MATCH(K2107,ctaNombre,0))&amp;"",K2107),K2107))</f>
        <v/>
      </c>
      <c r="AD2107" s="52">
        <f>IF(AB2107="","",IFERROR(INDEX(ctaTipo,MATCH(AB2107,ctaNombre,0))&amp;"",""))</f>
        <v/>
      </c>
      <c r="AE2107" s="52">
        <f>IF(AC2107="","",IFERROR(INDEX(ctaTipo,MATCH(AC2107,ctaNombre,0))&amp;"",""))</f>
        <v/>
      </c>
      <c r="AF2107" s="53">
        <f>IF(OR(P2107="",AB2107=""),"",IF(OR(P2107="Gasto",P2107="Transferencia",P2107="Pago tarjeta"),-1,1)*IF(IFERROR(INDEX(ctaMoneda,MATCH(AB2107,ctaNombre,0))&amp;"","DOP")="USD",T2107,S2107))</f>
        <v/>
      </c>
      <c r="AG2107" s="53">
        <f>IF(AC2107="","",IF(IFERROR(INDEX(ctaMoneda,MATCH(AC2107,ctaNombre,0))&amp;"","DOP")="USD",T2107,S2107))</f>
        <v/>
      </c>
      <c r="AH2107" s="53">
        <f>IF(P2107="","",IF(AND(AD2107&lt;&gt;"",COUNTIFS(tcTipo,AD2107,tcLiq,"Sí")&gt;0),IF(OR(P2107="Gasto",P2107="Transferencia",P2107="Pago tarjeta"),-1,1)*S2107,0)+IF(AND(AE2107&lt;&gt;"",COUNTIFS(tcTipo,AE2107,tcLiq,"Sí")&gt;0),S2107,0))</f>
        <v/>
      </c>
      <c r="AI2107" s="52">
        <f>IF(OR(L2107="",P2107=""),"",IF(COUNTIFS(L$6:L2107,L2107,P$6:P2107,"?*")=1,MAX(AI$5:AI2106)+1,""))</f>
        <v/>
      </c>
    </row>
    <row r="2108">
      <c r="B2108" s="47" t="n"/>
      <c r="C2108" s="48" t="n"/>
      <c r="D2108" s="48" t="n"/>
      <c r="E2108" s="48" t="n"/>
      <c r="F2108" s="48" t="n"/>
      <c r="G2108" s="49" t="n"/>
      <c r="H2108" s="48" t="n"/>
      <c r="I2108" s="50" t="n"/>
      <c r="J2108" s="48" t="n"/>
      <c r="K2108" s="48" t="n"/>
      <c r="L2108" s="48" t="n"/>
      <c r="M2108" s="48" t="n"/>
      <c r="N2108" s="48" t="n"/>
      <c r="O2108" s="51">
        <f>IF(AND(B2108="",G2108="",C2108="",D2108="",J2108=""),"",IF(B2108="","⚠ Falta fecha",IF(G2108="","⚠ Falta monto",IF(Q2108="","⚠ Falta cuenta",IF(ISNA(MATCH(Q2108,ctaNombre,0)),"⚠ Cuenta no registrada",IF(AND(OR(P2108="Gasto",P2108="Reembolso"),D2108=""),"⚠ Falta categoría",IF(AND(D2108&lt;&gt;"",E2108&lt;&gt;"",ISNA(MATCH(D2108&amp;"|"&amp;E2108,catClave,0))),"⚠ Subcategoría no corresponde",IF(AND(OR(P2108="Transferencia",P2108="Pago tarjeta"),K2108=""),"⚠ Falta cuenta destino",IF(AND(K2108&lt;&gt;"",P2108&lt;&gt;"Transferencia",P2108&lt;&gt;"Pago tarjeta"),"⚠ Destino solo aplica a transferencias",IF(AND(K2108&lt;&gt;"",K2108=Q2108),"⚠ Origen igual a destino",IF(AND(K2108&lt;&gt;"",ISNA(MATCH(K2108,ctaNombre,0))),"⚠ Destino no registrado",IF(AND(P2108="Pago tarjeta",AE2108&lt;&gt;"Tarjeta de crédito"),"⚠ El destino debe ser tarjeta de crédito",IF(AND(P2108="Gasto",E2108="Depósitos y retiros"),"⚠ Usa tipo Transferencia",IF(AND(P2108="Resultado trading",AD2108&lt;&gt;"Cuenta de trading"),"⚠ Usa una cuenta de trading",IF(AND(G2108&lt;=0,P2108&lt;&gt;"Ajuste",P2108&lt;&gt;"Resultado trading"),"⚠ El monto debe ser positivo","✓")))))))))))))))</f>
        <v/>
      </c>
      <c r="P2108" s="52">
        <f>IF(OR(B2108="",G2108=""),"",IF(C2108="","Gasto",C2108))</f>
        <v/>
      </c>
      <c r="Q2108" s="52">
        <f>IF(P2108="","",IF(J2108&lt;&gt;"",J2108,CuentaPred&amp;""))</f>
        <v/>
      </c>
      <c r="R2108" s="52">
        <f>IF(P2108="","",IF(ISNUMBER(I2108),I2108,TasaUSD))</f>
        <v/>
      </c>
      <c r="S2108" s="53">
        <f>IF(P2108="","",IF(H2108="USD",G2108*R2108,G2108))</f>
        <v/>
      </c>
      <c r="T2108" s="53">
        <f>IF(P2108="","",IF(H2108="USD",G2108,IF(R2108&gt;0,G2108/R2108,0)))</f>
        <v/>
      </c>
      <c r="U2108" s="53">
        <f>IF(P2108="","",IF(P2108="Gasto",S2108,IF(P2108="Reembolso",-S2108,0)))</f>
        <v/>
      </c>
      <c r="V2108" s="53">
        <f>IF(P2108="","",IF(P2108="Ingreso",S2108,0))</f>
        <v/>
      </c>
      <c r="W2108" s="53">
        <f>IF(P2108="","",IF(P2108="Resultado trading",S2108,0))</f>
        <v/>
      </c>
      <c r="X2108" s="52">
        <f>IF(OR(P2108="Gasto",P2108="Reembolso"),IF(M2108&lt;&gt;"",M2108,IFERROR(INDEX(catClasif,MATCH(D2108&amp;"|"&amp;E2108,catClave,0))&amp;"","Variable")),"")</f>
        <v/>
      </c>
      <c r="Y2108" s="52">
        <f>IF(P2108="","",IFERROR(INDEX(catGrupo,MATCH(D2108&amp;"|"&amp;E2108,catClave,0))&amp;"",""))</f>
        <v/>
      </c>
      <c r="Z2108" s="52">
        <f>IF(P2108="","",WEEKDAY(B2108,2))</f>
        <v/>
      </c>
      <c r="AA2108" s="52">
        <f>IF(P2108="","",IF(AND(P2108="Gasto",X2108="Variable",D2108&lt;&gt;catTrading,S2108&gt;0,S2108&lt;=Umbral),1,0))</f>
        <v/>
      </c>
      <c r="AB2108" s="52">
        <f>IF(OR(P2108="",Q2108=""),"",IFERROR(IF(INDEX(ctaVinc,MATCH(Q2108,ctaNombre,0))&amp;""&lt;&gt;"",INDEX(ctaVinc,MATCH(Q2108,ctaNombre,0))&amp;"",Q2108),Q2108))</f>
        <v/>
      </c>
      <c r="AC2108" s="52">
        <f>IF(OR(K2108="",AND(P2108&lt;&gt;"Transferencia",P2108&lt;&gt;"Pago tarjeta")),"",IFERROR(IF(INDEX(ctaVinc,MATCH(K2108,ctaNombre,0))&amp;""&lt;&gt;"",INDEX(ctaVinc,MATCH(K2108,ctaNombre,0))&amp;"",K2108),K2108))</f>
        <v/>
      </c>
      <c r="AD2108" s="52">
        <f>IF(AB2108="","",IFERROR(INDEX(ctaTipo,MATCH(AB2108,ctaNombre,0))&amp;"",""))</f>
        <v/>
      </c>
      <c r="AE2108" s="52">
        <f>IF(AC2108="","",IFERROR(INDEX(ctaTipo,MATCH(AC2108,ctaNombre,0))&amp;"",""))</f>
        <v/>
      </c>
      <c r="AF2108" s="53">
        <f>IF(OR(P2108="",AB2108=""),"",IF(OR(P2108="Gasto",P2108="Transferencia",P2108="Pago tarjeta"),-1,1)*IF(IFERROR(INDEX(ctaMoneda,MATCH(AB2108,ctaNombre,0))&amp;"","DOP")="USD",T2108,S2108))</f>
        <v/>
      </c>
      <c r="AG2108" s="53">
        <f>IF(AC2108="","",IF(IFERROR(INDEX(ctaMoneda,MATCH(AC2108,ctaNombre,0))&amp;"","DOP")="USD",T2108,S2108))</f>
        <v/>
      </c>
      <c r="AH2108" s="53">
        <f>IF(P2108="","",IF(AND(AD2108&lt;&gt;"",COUNTIFS(tcTipo,AD2108,tcLiq,"Sí")&gt;0),IF(OR(P2108="Gasto",P2108="Transferencia",P2108="Pago tarjeta"),-1,1)*S2108,0)+IF(AND(AE2108&lt;&gt;"",COUNTIFS(tcTipo,AE2108,tcLiq,"Sí")&gt;0),S2108,0))</f>
        <v/>
      </c>
      <c r="AI2108" s="52">
        <f>IF(OR(L2108="",P2108=""),"",IF(COUNTIFS(L$6:L2108,L2108,P$6:P2108,"?*")=1,MAX(AI$5:AI2107)+1,""))</f>
        <v/>
      </c>
    </row>
    <row r="2109">
      <c r="B2109" s="47" t="n"/>
      <c r="C2109" s="48" t="n"/>
      <c r="D2109" s="48" t="n"/>
      <c r="E2109" s="48" t="n"/>
      <c r="F2109" s="48" t="n"/>
      <c r="G2109" s="49" t="n"/>
      <c r="H2109" s="48" t="n"/>
      <c r="I2109" s="50" t="n"/>
      <c r="J2109" s="48" t="n"/>
      <c r="K2109" s="48" t="n"/>
      <c r="L2109" s="48" t="n"/>
      <c r="M2109" s="48" t="n"/>
      <c r="N2109" s="48" t="n"/>
      <c r="O2109" s="51">
        <f>IF(AND(B2109="",G2109="",C2109="",D2109="",J2109=""),"",IF(B2109="","⚠ Falta fecha",IF(G2109="","⚠ Falta monto",IF(Q2109="","⚠ Falta cuenta",IF(ISNA(MATCH(Q2109,ctaNombre,0)),"⚠ Cuenta no registrada",IF(AND(OR(P2109="Gasto",P2109="Reembolso"),D2109=""),"⚠ Falta categoría",IF(AND(D2109&lt;&gt;"",E2109&lt;&gt;"",ISNA(MATCH(D2109&amp;"|"&amp;E2109,catClave,0))),"⚠ Subcategoría no corresponde",IF(AND(OR(P2109="Transferencia",P2109="Pago tarjeta"),K2109=""),"⚠ Falta cuenta destino",IF(AND(K2109&lt;&gt;"",P2109&lt;&gt;"Transferencia",P2109&lt;&gt;"Pago tarjeta"),"⚠ Destino solo aplica a transferencias",IF(AND(K2109&lt;&gt;"",K2109=Q2109),"⚠ Origen igual a destino",IF(AND(K2109&lt;&gt;"",ISNA(MATCH(K2109,ctaNombre,0))),"⚠ Destino no registrado",IF(AND(P2109="Pago tarjeta",AE2109&lt;&gt;"Tarjeta de crédito"),"⚠ El destino debe ser tarjeta de crédito",IF(AND(P2109="Gasto",E2109="Depósitos y retiros"),"⚠ Usa tipo Transferencia",IF(AND(P2109="Resultado trading",AD2109&lt;&gt;"Cuenta de trading"),"⚠ Usa una cuenta de trading",IF(AND(G2109&lt;=0,P2109&lt;&gt;"Ajuste",P2109&lt;&gt;"Resultado trading"),"⚠ El monto debe ser positivo","✓")))))))))))))))</f>
        <v/>
      </c>
      <c r="P2109" s="52">
        <f>IF(OR(B2109="",G2109=""),"",IF(C2109="","Gasto",C2109))</f>
        <v/>
      </c>
      <c r="Q2109" s="52">
        <f>IF(P2109="","",IF(J2109&lt;&gt;"",J2109,CuentaPred&amp;""))</f>
        <v/>
      </c>
      <c r="R2109" s="52">
        <f>IF(P2109="","",IF(ISNUMBER(I2109),I2109,TasaUSD))</f>
        <v/>
      </c>
      <c r="S2109" s="53">
        <f>IF(P2109="","",IF(H2109="USD",G2109*R2109,G2109))</f>
        <v/>
      </c>
      <c r="T2109" s="53">
        <f>IF(P2109="","",IF(H2109="USD",G2109,IF(R2109&gt;0,G2109/R2109,0)))</f>
        <v/>
      </c>
      <c r="U2109" s="53">
        <f>IF(P2109="","",IF(P2109="Gasto",S2109,IF(P2109="Reembolso",-S2109,0)))</f>
        <v/>
      </c>
      <c r="V2109" s="53">
        <f>IF(P2109="","",IF(P2109="Ingreso",S2109,0))</f>
        <v/>
      </c>
      <c r="W2109" s="53">
        <f>IF(P2109="","",IF(P2109="Resultado trading",S2109,0))</f>
        <v/>
      </c>
      <c r="X2109" s="52">
        <f>IF(OR(P2109="Gasto",P2109="Reembolso"),IF(M2109&lt;&gt;"",M2109,IFERROR(INDEX(catClasif,MATCH(D2109&amp;"|"&amp;E2109,catClave,0))&amp;"","Variable")),"")</f>
        <v/>
      </c>
      <c r="Y2109" s="52">
        <f>IF(P2109="","",IFERROR(INDEX(catGrupo,MATCH(D2109&amp;"|"&amp;E2109,catClave,0))&amp;"",""))</f>
        <v/>
      </c>
      <c r="Z2109" s="52">
        <f>IF(P2109="","",WEEKDAY(B2109,2))</f>
        <v/>
      </c>
      <c r="AA2109" s="52">
        <f>IF(P2109="","",IF(AND(P2109="Gasto",X2109="Variable",D2109&lt;&gt;catTrading,S2109&gt;0,S2109&lt;=Umbral),1,0))</f>
        <v/>
      </c>
      <c r="AB2109" s="52">
        <f>IF(OR(P2109="",Q2109=""),"",IFERROR(IF(INDEX(ctaVinc,MATCH(Q2109,ctaNombre,0))&amp;""&lt;&gt;"",INDEX(ctaVinc,MATCH(Q2109,ctaNombre,0))&amp;"",Q2109),Q2109))</f>
        <v/>
      </c>
      <c r="AC2109" s="52">
        <f>IF(OR(K2109="",AND(P2109&lt;&gt;"Transferencia",P2109&lt;&gt;"Pago tarjeta")),"",IFERROR(IF(INDEX(ctaVinc,MATCH(K2109,ctaNombre,0))&amp;""&lt;&gt;"",INDEX(ctaVinc,MATCH(K2109,ctaNombre,0))&amp;"",K2109),K2109))</f>
        <v/>
      </c>
      <c r="AD2109" s="52">
        <f>IF(AB2109="","",IFERROR(INDEX(ctaTipo,MATCH(AB2109,ctaNombre,0))&amp;"",""))</f>
        <v/>
      </c>
      <c r="AE2109" s="52">
        <f>IF(AC2109="","",IFERROR(INDEX(ctaTipo,MATCH(AC2109,ctaNombre,0))&amp;"",""))</f>
        <v/>
      </c>
      <c r="AF2109" s="53">
        <f>IF(OR(P2109="",AB2109=""),"",IF(OR(P2109="Gasto",P2109="Transferencia",P2109="Pago tarjeta"),-1,1)*IF(IFERROR(INDEX(ctaMoneda,MATCH(AB2109,ctaNombre,0))&amp;"","DOP")="USD",T2109,S2109))</f>
        <v/>
      </c>
      <c r="AG2109" s="53">
        <f>IF(AC2109="","",IF(IFERROR(INDEX(ctaMoneda,MATCH(AC2109,ctaNombre,0))&amp;"","DOP")="USD",T2109,S2109))</f>
        <v/>
      </c>
      <c r="AH2109" s="53">
        <f>IF(P2109="","",IF(AND(AD2109&lt;&gt;"",COUNTIFS(tcTipo,AD2109,tcLiq,"Sí")&gt;0),IF(OR(P2109="Gasto",P2109="Transferencia",P2109="Pago tarjeta"),-1,1)*S2109,0)+IF(AND(AE2109&lt;&gt;"",COUNTIFS(tcTipo,AE2109,tcLiq,"Sí")&gt;0),S2109,0))</f>
        <v/>
      </c>
      <c r="AI2109" s="52">
        <f>IF(OR(L2109="",P2109=""),"",IF(COUNTIFS(L$6:L2109,L2109,P$6:P2109,"?*")=1,MAX(AI$5:AI2108)+1,""))</f>
        <v/>
      </c>
    </row>
    <row r="2110">
      <c r="B2110" s="47" t="n"/>
      <c r="C2110" s="48" t="n"/>
      <c r="D2110" s="48" t="n"/>
      <c r="E2110" s="48" t="n"/>
      <c r="F2110" s="48" t="n"/>
      <c r="G2110" s="49" t="n"/>
      <c r="H2110" s="48" t="n"/>
      <c r="I2110" s="50" t="n"/>
      <c r="J2110" s="48" t="n"/>
      <c r="K2110" s="48" t="n"/>
      <c r="L2110" s="48" t="n"/>
      <c r="M2110" s="48" t="n"/>
      <c r="N2110" s="48" t="n"/>
      <c r="O2110" s="51">
        <f>IF(AND(B2110="",G2110="",C2110="",D2110="",J2110=""),"",IF(B2110="","⚠ Falta fecha",IF(G2110="","⚠ Falta monto",IF(Q2110="","⚠ Falta cuenta",IF(ISNA(MATCH(Q2110,ctaNombre,0)),"⚠ Cuenta no registrada",IF(AND(OR(P2110="Gasto",P2110="Reembolso"),D2110=""),"⚠ Falta categoría",IF(AND(D2110&lt;&gt;"",E2110&lt;&gt;"",ISNA(MATCH(D2110&amp;"|"&amp;E2110,catClave,0))),"⚠ Subcategoría no corresponde",IF(AND(OR(P2110="Transferencia",P2110="Pago tarjeta"),K2110=""),"⚠ Falta cuenta destino",IF(AND(K2110&lt;&gt;"",P2110&lt;&gt;"Transferencia",P2110&lt;&gt;"Pago tarjeta"),"⚠ Destino solo aplica a transferencias",IF(AND(K2110&lt;&gt;"",K2110=Q2110),"⚠ Origen igual a destino",IF(AND(K2110&lt;&gt;"",ISNA(MATCH(K2110,ctaNombre,0))),"⚠ Destino no registrado",IF(AND(P2110="Pago tarjeta",AE2110&lt;&gt;"Tarjeta de crédito"),"⚠ El destino debe ser tarjeta de crédito",IF(AND(P2110="Gasto",E2110="Depósitos y retiros"),"⚠ Usa tipo Transferencia",IF(AND(P2110="Resultado trading",AD2110&lt;&gt;"Cuenta de trading"),"⚠ Usa una cuenta de trading",IF(AND(G2110&lt;=0,P2110&lt;&gt;"Ajuste",P2110&lt;&gt;"Resultado trading"),"⚠ El monto debe ser positivo","✓")))))))))))))))</f>
        <v/>
      </c>
      <c r="P2110" s="52">
        <f>IF(OR(B2110="",G2110=""),"",IF(C2110="","Gasto",C2110))</f>
        <v/>
      </c>
      <c r="Q2110" s="52">
        <f>IF(P2110="","",IF(J2110&lt;&gt;"",J2110,CuentaPred&amp;""))</f>
        <v/>
      </c>
      <c r="R2110" s="52">
        <f>IF(P2110="","",IF(ISNUMBER(I2110),I2110,TasaUSD))</f>
        <v/>
      </c>
      <c r="S2110" s="53">
        <f>IF(P2110="","",IF(H2110="USD",G2110*R2110,G2110))</f>
        <v/>
      </c>
      <c r="T2110" s="53">
        <f>IF(P2110="","",IF(H2110="USD",G2110,IF(R2110&gt;0,G2110/R2110,0)))</f>
        <v/>
      </c>
      <c r="U2110" s="53">
        <f>IF(P2110="","",IF(P2110="Gasto",S2110,IF(P2110="Reembolso",-S2110,0)))</f>
        <v/>
      </c>
      <c r="V2110" s="53">
        <f>IF(P2110="","",IF(P2110="Ingreso",S2110,0))</f>
        <v/>
      </c>
      <c r="W2110" s="53">
        <f>IF(P2110="","",IF(P2110="Resultado trading",S2110,0))</f>
        <v/>
      </c>
      <c r="X2110" s="52">
        <f>IF(OR(P2110="Gasto",P2110="Reembolso"),IF(M2110&lt;&gt;"",M2110,IFERROR(INDEX(catClasif,MATCH(D2110&amp;"|"&amp;E2110,catClave,0))&amp;"","Variable")),"")</f>
        <v/>
      </c>
      <c r="Y2110" s="52">
        <f>IF(P2110="","",IFERROR(INDEX(catGrupo,MATCH(D2110&amp;"|"&amp;E2110,catClave,0))&amp;"",""))</f>
        <v/>
      </c>
      <c r="Z2110" s="52">
        <f>IF(P2110="","",WEEKDAY(B2110,2))</f>
        <v/>
      </c>
      <c r="AA2110" s="52">
        <f>IF(P2110="","",IF(AND(P2110="Gasto",X2110="Variable",D2110&lt;&gt;catTrading,S2110&gt;0,S2110&lt;=Umbral),1,0))</f>
        <v/>
      </c>
      <c r="AB2110" s="52">
        <f>IF(OR(P2110="",Q2110=""),"",IFERROR(IF(INDEX(ctaVinc,MATCH(Q2110,ctaNombre,0))&amp;""&lt;&gt;"",INDEX(ctaVinc,MATCH(Q2110,ctaNombre,0))&amp;"",Q2110),Q2110))</f>
        <v/>
      </c>
      <c r="AC2110" s="52">
        <f>IF(OR(K2110="",AND(P2110&lt;&gt;"Transferencia",P2110&lt;&gt;"Pago tarjeta")),"",IFERROR(IF(INDEX(ctaVinc,MATCH(K2110,ctaNombre,0))&amp;""&lt;&gt;"",INDEX(ctaVinc,MATCH(K2110,ctaNombre,0))&amp;"",K2110),K2110))</f>
        <v/>
      </c>
      <c r="AD2110" s="52">
        <f>IF(AB2110="","",IFERROR(INDEX(ctaTipo,MATCH(AB2110,ctaNombre,0))&amp;"",""))</f>
        <v/>
      </c>
      <c r="AE2110" s="52">
        <f>IF(AC2110="","",IFERROR(INDEX(ctaTipo,MATCH(AC2110,ctaNombre,0))&amp;"",""))</f>
        <v/>
      </c>
      <c r="AF2110" s="53">
        <f>IF(OR(P2110="",AB2110=""),"",IF(OR(P2110="Gasto",P2110="Transferencia",P2110="Pago tarjeta"),-1,1)*IF(IFERROR(INDEX(ctaMoneda,MATCH(AB2110,ctaNombre,0))&amp;"","DOP")="USD",T2110,S2110))</f>
        <v/>
      </c>
      <c r="AG2110" s="53">
        <f>IF(AC2110="","",IF(IFERROR(INDEX(ctaMoneda,MATCH(AC2110,ctaNombre,0))&amp;"","DOP")="USD",T2110,S2110))</f>
        <v/>
      </c>
      <c r="AH2110" s="53">
        <f>IF(P2110="","",IF(AND(AD2110&lt;&gt;"",COUNTIFS(tcTipo,AD2110,tcLiq,"Sí")&gt;0),IF(OR(P2110="Gasto",P2110="Transferencia",P2110="Pago tarjeta"),-1,1)*S2110,0)+IF(AND(AE2110&lt;&gt;"",COUNTIFS(tcTipo,AE2110,tcLiq,"Sí")&gt;0),S2110,0))</f>
        <v/>
      </c>
      <c r="AI2110" s="52">
        <f>IF(OR(L2110="",P2110=""),"",IF(COUNTIFS(L$6:L2110,L2110,P$6:P2110,"?*")=1,MAX(AI$5:AI2109)+1,""))</f>
        <v/>
      </c>
    </row>
    <row r="2111">
      <c r="B2111" s="47" t="n"/>
      <c r="C2111" s="48" t="n"/>
      <c r="D2111" s="48" t="n"/>
      <c r="E2111" s="48" t="n"/>
      <c r="F2111" s="48" t="n"/>
      <c r="G2111" s="49" t="n"/>
      <c r="H2111" s="48" t="n"/>
      <c r="I2111" s="50" t="n"/>
      <c r="J2111" s="48" t="n"/>
      <c r="K2111" s="48" t="n"/>
      <c r="L2111" s="48" t="n"/>
      <c r="M2111" s="48" t="n"/>
      <c r="N2111" s="48" t="n"/>
      <c r="O2111" s="51">
        <f>IF(AND(B2111="",G2111="",C2111="",D2111="",J2111=""),"",IF(B2111="","⚠ Falta fecha",IF(G2111="","⚠ Falta monto",IF(Q2111="","⚠ Falta cuenta",IF(ISNA(MATCH(Q2111,ctaNombre,0)),"⚠ Cuenta no registrada",IF(AND(OR(P2111="Gasto",P2111="Reembolso"),D2111=""),"⚠ Falta categoría",IF(AND(D2111&lt;&gt;"",E2111&lt;&gt;"",ISNA(MATCH(D2111&amp;"|"&amp;E2111,catClave,0))),"⚠ Subcategoría no corresponde",IF(AND(OR(P2111="Transferencia",P2111="Pago tarjeta"),K2111=""),"⚠ Falta cuenta destino",IF(AND(K2111&lt;&gt;"",P2111&lt;&gt;"Transferencia",P2111&lt;&gt;"Pago tarjeta"),"⚠ Destino solo aplica a transferencias",IF(AND(K2111&lt;&gt;"",K2111=Q2111),"⚠ Origen igual a destino",IF(AND(K2111&lt;&gt;"",ISNA(MATCH(K2111,ctaNombre,0))),"⚠ Destino no registrado",IF(AND(P2111="Pago tarjeta",AE2111&lt;&gt;"Tarjeta de crédito"),"⚠ El destino debe ser tarjeta de crédito",IF(AND(P2111="Gasto",E2111="Depósitos y retiros"),"⚠ Usa tipo Transferencia",IF(AND(P2111="Resultado trading",AD2111&lt;&gt;"Cuenta de trading"),"⚠ Usa una cuenta de trading",IF(AND(G2111&lt;=0,P2111&lt;&gt;"Ajuste",P2111&lt;&gt;"Resultado trading"),"⚠ El monto debe ser positivo","✓")))))))))))))))</f>
        <v/>
      </c>
      <c r="P2111" s="52">
        <f>IF(OR(B2111="",G2111=""),"",IF(C2111="","Gasto",C2111))</f>
        <v/>
      </c>
      <c r="Q2111" s="52">
        <f>IF(P2111="","",IF(J2111&lt;&gt;"",J2111,CuentaPred&amp;""))</f>
        <v/>
      </c>
      <c r="R2111" s="52">
        <f>IF(P2111="","",IF(ISNUMBER(I2111),I2111,TasaUSD))</f>
        <v/>
      </c>
      <c r="S2111" s="53">
        <f>IF(P2111="","",IF(H2111="USD",G2111*R2111,G2111))</f>
        <v/>
      </c>
      <c r="T2111" s="53">
        <f>IF(P2111="","",IF(H2111="USD",G2111,IF(R2111&gt;0,G2111/R2111,0)))</f>
        <v/>
      </c>
      <c r="U2111" s="53">
        <f>IF(P2111="","",IF(P2111="Gasto",S2111,IF(P2111="Reembolso",-S2111,0)))</f>
        <v/>
      </c>
      <c r="V2111" s="53">
        <f>IF(P2111="","",IF(P2111="Ingreso",S2111,0))</f>
        <v/>
      </c>
      <c r="W2111" s="53">
        <f>IF(P2111="","",IF(P2111="Resultado trading",S2111,0))</f>
        <v/>
      </c>
      <c r="X2111" s="52">
        <f>IF(OR(P2111="Gasto",P2111="Reembolso"),IF(M2111&lt;&gt;"",M2111,IFERROR(INDEX(catClasif,MATCH(D2111&amp;"|"&amp;E2111,catClave,0))&amp;"","Variable")),"")</f>
        <v/>
      </c>
      <c r="Y2111" s="52">
        <f>IF(P2111="","",IFERROR(INDEX(catGrupo,MATCH(D2111&amp;"|"&amp;E2111,catClave,0))&amp;"",""))</f>
        <v/>
      </c>
      <c r="Z2111" s="52">
        <f>IF(P2111="","",WEEKDAY(B2111,2))</f>
        <v/>
      </c>
      <c r="AA2111" s="52">
        <f>IF(P2111="","",IF(AND(P2111="Gasto",X2111="Variable",D2111&lt;&gt;catTrading,S2111&gt;0,S2111&lt;=Umbral),1,0))</f>
        <v/>
      </c>
      <c r="AB2111" s="52">
        <f>IF(OR(P2111="",Q2111=""),"",IFERROR(IF(INDEX(ctaVinc,MATCH(Q2111,ctaNombre,0))&amp;""&lt;&gt;"",INDEX(ctaVinc,MATCH(Q2111,ctaNombre,0))&amp;"",Q2111),Q2111))</f>
        <v/>
      </c>
      <c r="AC2111" s="52">
        <f>IF(OR(K2111="",AND(P2111&lt;&gt;"Transferencia",P2111&lt;&gt;"Pago tarjeta")),"",IFERROR(IF(INDEX(ctaVinc,MATCH(K2111,ctaNombre,0))&amp;""&lt;&gt;"",INDEX(ctaVinc,MATCH(K2111,ctaNombre,0))&amp;"",K2111),K2111))</f>
        <v/>
      </c>
      <c r="AD2111" s="52">
        <f>IF(AB2111="","",IFERROR(INDEX(ctaTipo,MATCH(AB2111,ctaNombre,0))&amp;"",""))</f>
        <v/>
      </c>
      <c r="AE2111" s="52">
        <f>IF(AC2111="","",IFERROR(INDEX(ctaTipo,MATCH(AC2111,ctaNombre,0))&amp;"",""))</f>
        <v/>
      </c>
      <c r="AF2111" s="53">
        <f>IF(OR(P2111="",AB2111=""),"",IF(OR(P2111="Gasto",P2111="Transferencia",P2111="Pago tarjeta"),-1,1)*IF(IFERROR(INDEX(ctaMoneda,MATCH(AB2111,ctaNombre,0))&amp;"","DOP")="USD",T2111,S2111))</f>
        <v/>
      </c>
      <c r="AG2111" s="53">
        <f>IF(AC2111="","",IF(IFERROR(INDEX(ctaMoneda,MATCH(AC2111,ctaNombre,0))&amp;"","DOP")="USD",T2111,S2111))</f>
        <v/>
      </c>
      <c r="AH2111" s="53">
        <f>IF(P2111="","",IF(AND(AD2111&lt;&gt;"",COUNTIFS(tcTipo,AD2111,tcLiq,"Sí")&gt;0),IF(OR(P2111="Gasto",P2111="Transferencia",P2111="Pago tarjeta"),-1,1)*S2111,0)+IF(AND(AE2111&lt;&gt;"",COUNTIFS(tcTipo,AE2111,tcLiq,"Sí")&gt;0),S2111,0))</f>
        <v/>
      </c>
      <c r="AI2111" s="52">
        <f>IF(OR(L2111="",P2111=""),"",IF(COUNTIFS(L$6:L2111,L2111,P$6:P2111,"?*")=1,MAX(AI$5:AI2110)+1,""))</f>
        <v/>
      </c>
    </row>
    <row r="2112">
      <c r="B2112" s="47" t="n"/>
      <c r="C2112" s="48" t="n"/>
      <c r="D2112" s="48" t="n"/>
      <c r="E2112" s="48" t="n"/>
      <c r="F2112" s="48" t="n"/>
      <c r="G2112" s="49" t="n"/>
      <c r="H2112" s="48" t="n"/>
      <c r="I2112" s="50" t="n"/>
      <c r="J2112" s="48" t="n"/>
      <c r="K2112" s="48" t="n"/>
      <c r="L2112" s="48" t="n"/>
      <c r="M2112" s="48" t="n"/>
      <c r="N2112" s="48" t="n"/>
      <c r="O2112" s="51">
        <f>IF(AND(B2112="",G2112="",C2112="",D2112="",J2112=""),"",IF(B2112="","⚠ Falta fecha",IF(G2112="","⚠ Falta monto",IF(Q2112="","⚠ Falta cuenta",IF(ISNA(MATCH(Q2112,ctaNombre,0)),"⚠ Cuenta no registrada",IF(AND(OR(P2112="Gasto",P2112="Reembolso"),D2112=""),"⚠ Falta categoría",IF(AND(D2112&lt;&gt;"",E2112&lt;&gt;"",ISNA(MATCH(D2112&amp;"|"&amp;E2112,catClave,0))),"⚠ Subcategoría no corresponde",IF(AND(OR(P2112="Transferencia",P2112="Pago tarjeta"),K2112=""),"⚠ Falta cuenta destino",IF(AND(K2112&lt;&gt;"",P2112&lt;&gt;"Transferencia",P2112&lt;&gt;"Pago tarjeta"),"⚠ Destino solo aplica a transferencias",IF(AND(K2112&lt;&gt;"",K2112=Q2112),"⚠ Origen igual a destino",IF(AND(K2112&lt;&gt;"",ISNA(MATCH(K2112,ctaNombre,0))),"⚠ Destino no registrado",IF(AND(P2112="Pago tarjeta",AE2112&lt;&gt;"Tarjeta de crédito"),"⚠ El destino debe ser tarjeta de crédito",IF(AND(P2112="Gasto",E2112="Depósitos y retiros"),"⚠ Usa tipo Transferencia",IF(AND(P2112="Resultado trading",AD2112&lt;&gt;"Cuenta de trading"),"⚠ Usa una cuenta de trading",IF(AND(G2112&lt;=0,P2112&lt;&gt;"Ajuste",P2112&lt;&gt;"Resultado trading"),"⚠ El monto debe ser positivo","✓")))))))))))))))</f>
        <v/>
      </c>
      <c r="P2112" s="52">
        <f>IF(OR(B2112="",G2112=""),"",IF(C2112="","Gasto",C2112))</f>
        <v/>
      </c>
      <c r="Q2112" s="52">
        <f>IF(P2112="","",IF(J2112&lt;&gt;"",J2112,CuentaPred&amp;""))</f>
        <v/>
      </c>
      <c r="R2112" s="52">
        <f>IF(P2112="","",IF(ISNUMBER(I2112),I2112,TasaUSD))</f>
        <v/>
      </c>
      <c r="S2112" s="53">
        <f>IF(P2112="","",IF(H2112="USD",G2112*R2112,G2112))</f>
        <v/>
      </c>
      <c r="T2112" s="53">
        <f>IF(P2112="","",IF(H2112="USD",G2112,IF(R2112&gt;0,G2112/R2112,0)))</f>
        <v/>
      </c>
      <c r="U2112" s="53">
        <f>IF(P2112="","",IF(P2112="Gasto",S2112,IF(P2112="Reembolso",-S2112,0)))</f>
        <v/>
      </c>
      <c r="V2112" s="53">
        <f>IF(P2112="","",IF(P2112="Ingreso",S2112,0))</f>
        <v/>
      </c>
      <c r="W2112" s="53">
        <f>IF(P2112="","",IF(P2112="Resultado trading",S2112,0))</f>
        <v/>
      </c>
      <c r="X2112" s="52">
        <f>IF(OR(P2112="Gasto",P2112="Reembolso"),IF(M2112&lt;&gt;"",M2112,IFERROR(INDEX(catClasif,MATCH(D2112&amp;"|"&amp;E2112,catClave,0))&amp;"","Variable")),"")</f>
        <v/>
      </c>
      <c r="Y2112" s="52">
        <f>IF(P2112="","",IFERROR(INDEX(catGrupo,MATCH(D2112&amp;"|"&amp;E2112,catClave,0))&amp;"",""))</f>
        <v/>
      </c>
      <c r="Z2112" s="52">
        <f>IF(P2112="","",WEEKDAY(B2112,2))</f>
        <v/>
      </c>
      <c r="AA2112" s="52">
        <f>IF(P2112="","",IF(AND(P2112="Gasto",X2112="Variable",D2112&lt;&gt;catTrading,S2112&gt;0,S2112&lt;=Umbral),1,0))</f>
        <v/>
      </c>
      <c r="AB2112" s="52">
        <f>IF(OR(P2112="",Q2112=""),"",IFERROR(IF(INDEX(ctaVinc,MATCH(Q2112,ctaNombre,0))&amp;""&lt;&gt;"",INDEX(ctaVinc,MATCH(Q2112,ctaNombre,0))&amp;"",Q2112),Q2112))</f>
        <v/>
      </c>
      <c r="AC2112" s="52">
        <f>IF(OR(K2112="",AND(P2112&lt;&gt;"Transferencia",P2112&lt;&gt;"Pago tarjeta")),"",IFERROR(IF(INDEX(ctaVinc,MATCH(K2112,ctaNombre,0))&amp;""&lt;&gt;"",INDEX(ctaVinc,MATCH(K2112,ctaNombre,0))&amp;"",K2112),K2112))</f>
        <v/>
      </c>
      <c r="AD2112" s="52">
        <f>IF(AB2112="","",IFERROR(INDEX(ctaTipo,MATCH(AB2112,ctaNombre,0))&amp;"",""))</f>
        <v/>
      </c>
      <c r="AE2112" s="52">
        <f>IF(AC2112="","",IFERROR(INDEX(ctaTipo,MATCH(AC2112,ctaNombre,0))&amp;"",""))</f>
        <v/>
      </c>
      <c r="AF2112" s="53">
        <f>IF(OR(P2112="",AB2112=""),"",IF(OR(P2112="Gasto",P2112="Transferencia",P2112="Pago tarjeta"),-1,1)*IF(IFERROR(INDEX(ctaMoneda,MATCH(AB2112,ctaNombre,0))&amp;"","DOP")="USD",T2112,S2112))</f>
        <v/>
      </c>
      <c r="AG2112" s="53">
        <f>IF(AC2112="","",IF(IFERROR(INDEX(ctaMoneda,MATCH(AC2112,ctaNombre,0))&amp;"","DOP")="USD",T2112,S2112))</f>
        <v/>
      </c>
      <c r="AH2112" s="53">
        <f>IF(P2112="","",IF(AND(AD2112&lt;&gt;"",COUNTIFS(tcTipo,AD2112,tcLiq,"Sí")&gt;0),IF(OR(P2112="Gasto",P2112="Transferencia",P2112="Pago tarjeta"),-1,1)*S2112,0)+IF(AND(AE2112&lt;&gt;"",COUNTIFS(tcTipo,AE2112,tcLiq,"Sí")&gt;0),S2112,0))</f>
        <v/>
      </c>
      <c r="AI2112" s="52">
        <f>IF(OR(L2112="",P2112=""),"",IF(COUNTIFS(L$6:L2112,L2112,P$6:P2112,"?*")=1,MAX(AI$5:AI2111)+1,""))</f>
        <v/>
      </c>
    </row>
    <row r="2113">
      <c r="B2113" s="47" t="n"/>
      <c r="C2113" s="48" t="n"/>
      <c r="D2113" s="48" t="n"/>
      <c r="E2113" s="48" t="n"/>
      <c r="F2113" s="48" t="n"/>
      <c r="G2113" s="49" t="n"/>
      <c r="H2113" s="48" t="n"/>
      <c r="I2113" s="50" t="n"/>
      <c r="J2113" s="48" t="n"/>
      <c r="K2113" s="48" t="n"/>
      <c r="L2113" s="48" t="n"/>
      <c r="M2113" s="48" t="n"/>
      <c r="N2113" s="48" t="n"/>
      <c r="O2113" s="51">
        <f>IF(AND(B2113="",G2113="",C2113="",D2113="",J2113=""),"",IF(B2113="","⚠ Falta fecha",IF(G2113="","⚠ Falta monto",IF(Q2113="","⚠ Falta cuenta",IF(ISNA(MATCH(Q2113,ctaNombre,0)),"⚠ Cuenta no registrada",IF(AND(OR(P2113="Gasto",P2113="Reembolso"),D2113=""),"⚠ Falta categoría",IF(AND(D2113&lt;&gt;"",E2113&lt;&gt;"",ISNA(MATCH(D2113&amp;"|"&amp;E2113,catClave,0))),"⚠ Subcategoría no corresponde",IF(AND(OR(P2113="Transferencia",P2113="Pago tarjeta"),K2113=""),"⚠ Falta cuenta destino",IF(AND(K2113&lt;&gt;"",P2113&lt;&gt;"Transferencia",P2113&lt;&gt;"Pago tarjeta"),"⚠ Destino solo aplica a transferencias",IF(AND(K2113&lt;&gt;"",K2113=Q2113),"⚠ Origen igual a destino",IF(AND(K2113&lt;&gt;"",ISNA(MATCH(K2113,ctaNombre,0))),"⚠ Destino no registrado",IF(AND(P2113="Pago tarjeta",AE2113&lt;&gt;"Tarjeta de crédito"),"⚠ El destino debe ser tarjeta de crédito",IF(AND(P2113="Gasto",E2113="Depósitos y retiros"),"⚠ Usa tipo Transferencia",IF(AND(P2113="Resultado trading",AD2113&lt;&gt;"Cuenta de trading"),"⚠ Usa una cuenta de trading",IF(AND(G2113&lt;=0,P2113&lt;&gt;"Ajuste",P2113&lt;&gt;"Resultado trading"),"⚠ El monto debe ser positivo","✓")))))))))))))))</f>
        <v/>
      </c>
      <c r="P2113" s="52">
        <f>IF(OR(B2113="",G2113=""),"",IF(C2113="","Gasto",C2113))</f>
        <v/>
      </c>
      <c r="Q2113" s="52">
        <f>IF(P2113="","",IF(J2113&lt;&gt;"",J2113,CuentaPred&amp;""))</f>
        <v/>
      </c>
      <c r="R2113" s="52">
        <f>IF(P2113="","",IF(ISNUMBER(I2113),I2113,TasaUSD))</f>
        <v/>
      </c>
      <c r="S2113" s="53">
        <f>IF(P2113="","",IF(H2113="USD",G2113*R2113,G2113))</f>
        <v/>
      </c>
      <c r="T2113" s="53">
        <f>IF(P2113="","",IF(H2113="USD",G2113,IF(R2113&gt;0,G2113/R2113,0)))</f>
        <v/>
      </c>
      <c r="U2113" s="53">
        <f>IF(P2113="","",IF(P2113="Gasto",S2113,IF(P2113="Reembolso",-S2113,0)))</f>
        <v/>
      </c>
      <c r="V2113" s="53">
        <f>IF(P2113="","",IF(P2113="Ingreso",S2113,0))</f>
        <v/>
      </c>
      <c r="W2113" s="53">
        <f>IF(P2113="","",IF(P2113="Resultado trading",S2113,0))</f>
        <v/>
      </c>
      <c r="X2113" s="52">
        <f>IF(OR(P2113="Gasto",P2113="Reembolso"),IF(M2113&lt;&gt;"",M2113,IFERROR(INDEX(catClasif,MATCH(D2113&amp;"|"&amp;E2113,catClave,0))&amp;"","Variable")),"")</f>
        <v/>
      </c>
      <c r="Y2113" s="52">
        <f>IF(P2113="","",IFERROR(INDEX(catGrupo,MATCH(D2113&amp;"|"&amp;E2113,catClave,0))&amp;"",""))</f>
        <v/>
      </c>
      <c r="Z2113" s="52">
        <f>IF(P2113="","",WEEKDAY(B2113,2))</f>
        <v/>
      </c>
      <c r="AA2113" s="52">
        <f>IF(P2113="","",IF(AND(P2113="Gasto",X2113="Variable",D2113&lt;&gt;catTrading,S2113&gt;0,S2113&lt;=Umbral),1,0))</f>
        <v/>
      </c>
      <c r="AB2113" s="52">
        <f>IF(OR(P2113="",Q2113=""),"",IFERROR(IF(INDEX(ctaVinc,MATCH(Q2113,ctaNombre,0))&amp;""&lt;&gt;"",INDEX(ctaVinc,MATCH(Q2113,ctaNombre,0))&amp;"",Q2113),Q2113))</f>
        <v/>
      </c>
      <c r="AC2113" s="52">
        <f>IF(OR(K2113="",AND(P2113&lt;&gt;"Transferencia",P2113&lt;&gt;"Pago tarjeta")),"",IFERROR(IF(INDEX(ctaVinc,MATCH(K2113,ctaNombre,0))&amp;""&lt;&gt;"",INDEX(ctaVinc,MATCH(K2113,ctaNombre,0))&amp;"",K2113),K2113))</f>
        <v/>
      </c>
      <c r="AD2113" s="52">
        <f>IF(AB2113="","",IFERROR(INDEX(ctaTipo,MATCH(AB2113,ctaNombre,0))&amp;"",""))</f>
        <v/>
      </c>
      <c r="AE2113" s="52">
        <f>IF(AC2113="","",IFERROR(INDEX(ctaTipo,MATCH(AC2113,ctaNombre,0))&amp;"",""))</f>
        <v/>
      </c>
      <c r="AF2113" s="53">
        <f>IF(OR(P2113="",AB2113=""),"",IF(OR(P2113="Gasto",P2113="Transferencia",P2113="Pago tarjeta"),-1,1)*IF(IFERROR(INDEX(ctaMoneda,MATCH(AB2113,ctaNombre,0))&amp;"","DOP")="USD",T2113,S2113))</f>
        <v/>
      </c>
      <c r="AG2113" s="53">
        <f>IF(AC2113="","",IF(IFERROR(INDEX(ctaMoneda,MATCH(AC2113,ctaNombre,0))&amp;"","DOP")="USD",T2113,S2113))</f>
        <v/>
      </c>
      <c r="AH2113" s="53">
        <f>IF(P2113="","",IF(AND(AD2113&lt;&gt;"",COUNTIFS(tcTipo,AD2113,tcLiq,"Sí")&gt;0),IF(OR(P2113="Gasto",P2113="Transferencia",P2113="Pago tarjeta"),-1,1)*S2113,0)+IF(AND(AE2113&lt;&gt;"",COUNTIFS(tcTipo,AE2113,tcLiq,"Sí")&gt;0),S2113,0))</f>
        <v/>
      </c>
      <c r="AI2113" s="52">
        <f>IF(OR(L2113="",P2113=""),"",IF(COUNTIFS(L$6:L2113,L2113,P$6:P2113,"?*")=1,MAX(AI$5:AI2112)+1,""))</f>
        <v/>
      </c>
    </row>
    <row r="2114">
      <c r="B2114" s="47" t="n"/>
      <c r="C2114" s="48" t="n"/>
      <c r="D2114" s="48" t="n"/>
      <c r="E2114" s="48" t="n"/>
      <c r="F2114" s="48" t="n"/>
      <c r="G2114" s="49" t="n"/>
      <c r="H2114" s="48" t="n"/>
      <c r="I2114" s="50" t="n"/>
      <c r="J2114" s="48" t="n"/>
      <c r="K2114" s="48" t="n"/>
      <c r="L2114" s="48" t="n"/>
      <c r="M2114" s="48" t="n"/>
      <c r="N2114" s="48" t="n"/>
      <c r="O2114" s="51">
        <f>IF(AND(B2114="",G2114="",C2114="",D2114="",J2114=""),"",IF(B2114="","⚠ Falta fecha",IF(G2114="","⚠ Falta monto",IF(Q2114="","⚠ Falta cuenta",IF(ISNA(MATCH(Q2114,ctaNombre,0)),"⚠ Cuenta no registrada",IF(AND(OR(P2114="Gasto",P2114="Reembolso"),D2114=""),"⚠ Falta categoría",IF(AND(D2114&lt;&gt;"",E2114&lt;&gt;"",ISNA(MATCH(D2114&amp;"|"&amp;E2114,catClave,0))),"⚠ Subcategoría no corresponde",IF(AND(OR(P2114="Transferencia",P2114="Pago tarjeta"),K2114=""),"⚠ Falta cuenta destino",IF(AND(K2114&lt;&gt;"",P2114&lt;&gt;"Transferencia",P2114&lt;&gt;"Pago tarjeta"),"⚠ Destino solo aplica a transferencias",IF(AND(K2114&lt;&gt;"",K2114=Q2114),"⚠ Origen igual a destino",IF(AND(K2114&lt;&gt;"",ISNA(MATCH(K2114,ctaNombre,0))),"⚠ Destino no registrado",IF(AND(P2114="Pago tarjeta",AE2114&lt;&gt;"Tarjeta de crédito"),"⚠ El destino debe ser tarjeta de crédito",IF(AND(P2114="Gasto",E2114="Depósitos y retiros"),"⚠ Usa tipo Transferencia",IF(AND(P2114="Resultado trading",AD2114&lt;&gt;"Cuenta de trading"),"⚠ Usa una cuenta de trading",IF(AND(G2114&lt;=0,P2114&lt;&gt;"Ajuste",P2114&lt;&gt;"Resultado trading"),"⚠ El monto debe ser positivo","✓")))))))))))))))</f>
        <v/>
      </c>
      <c r="P2114" s="52">
        <f>IF(OR(B2114="",G2114=""),"",IF(C2114="","Gasto",C2114))</f>
        <v/>
      </c>
      <c r="Q2114" s="52">
        <f>IF(P2114="","",IF(J2114&lt;&gt;"",J2114,CuentaPred&amp;""))</f>
        <v/>
      </c>
      <c r="R2114" s="52">
        <f>IF(P2114="","",IF(ISNUMBER(I2114),I2114,TasaUSD))</f>
        <v/>
      </c>
      <c r="S2114" s="53">
        <f>IF(P2114="","",IF(H2114="USD",G2114*R2114,G2114))</f>
        <v/>
      </c>
      <c r="T2114" s="53">
        <f>IF(P2114="","",IF(H2114="USD",G2114,IF(R2114&gt;0,G2114/R2114,0)))</f>
        <v/>
      </c>
      <c r="U2114" s="53">
        <f>IF(P2114="","",IF(P2114="Gasto",S2114,IF(P2114="Reembolso",-S2114,0)))</f>
        <v/>
      </c>
      <c r="V2114" s="53">
        <f>IF(P2114="","",IF(P2114="Ingreso",S2114,0))</f>
        <v/>
      </c>
      <c r="W2114" s="53">
        <f>IF(P2114="","",IF(P2114="Resultado trading",S2114,0))</f>
        <v/>
      </c>
      <c r="X2114" s="52">
        <f>IF(OR(P2114="Gasto",P2114="Reembolso"),IF(M2114&lt;&gt;"",M2114,IFERROR(INDEX(catClasif,MATCH(D2114&amp;"|"&amp;E2114,catClave,0))&amp;"","Variable")),"")</f>
        <v/>
      </c>
      <c r="Y2114" s="52">
        <f>IF(P2114="","",IFERROR(INDEX(catGrupo,MATCH(D2114&amp;"|"&amp;E2114,catClave,0))&amp;"",""))</f>
        <v/>
      </c>
      <c r="Z2114" s="52">
        <f>IF(P2114="","",WEEKDAY(B2114,2))</f>
        <v/>
      </c>
      <c r="AA2114" s="52">
        <f>IF(P2114="","",IF(AND(P2114="Gasto",X2114="Variable",D2114&lt;&gt;catTrading,S2114&gt;0,S2114&lt;=Umbral),1,0))</f>
        <v/>
      </c>
      <c r="AB2114" s="52">
        <f>IF(OR(P2114="",Q2114=""),"",IFERROR(IF(INDEX(ctaVinc,MATCH(Q2114,ctaNombre,0))&amp;""&lt;&gt;"",INDEX(ctaVinc,MATCH(Q2114,ctaNombre,0))&amp;"",Q2114),Q2114))</f>
        <v/>
      </c>
      <c r="AC2114" s="52">
        <f>IF(OR(K2114="",AND(P2114&lt;&gt;"Transferencia",P2114&lt;&gt;"Pago tarjeta")),"",IFERROR(IF(INDEX(ctaVinc,MATCH(K2114,ctaNombre,0))&amp;""&lt;&gt;"",INDEX(ctaVinc,MATCH(K2114,ctaNombre,0))&amp;"",K2114),K2114))</f>
        <v/>
      </c>
      <c r="AD2114" s="52">
        <f>IF(AB2114="","",IFERROR(INDEX(ctaTipo,MATCH(AB2114,ctaNombre,0))&amp;"",""))</f>
        <v/>
      </c>
      <c r="AE2114" s="52">
        <f>IF(AC2114="","",IFERROR(INDEX(ctaTipo,MATCH(AC2114,ctaNombre,0))&amp;"",""))</f>
        <v/>
      </c>
      <c r="AF2114" s="53">
        <f>IF(OR(P2114="",AB2114=""),"",IF(OR(P2114="Gasto",P2114="Transferencia",P2114="Pago tarjeta"),-1,1)*IF(IFERROR(INDEX(ctaMoneda,MATCH(AB2114,ctaNombre,0))&amp;"","DOP")="USD",T2114,S2114))</f>
        <v/>
      </c>
      <c r="AG2114" s="53">
        <f>IF(AC2114="","",IF(IFERROR(INDEX(ctaMoneda,MATCH(AC2114,ctaNombre,0))&amp;"","DOP")="USD",T2114,S2114))</f>
        <v/>
      </c>
      <c r="AH2114" s="53">
        <f>IF(P2114="","",IF(AND(AD2114&lt;&gt;"",COUNTIFS(tcTipo,AD2114,tcLiq,"Sí")&gt;0),IF(OR(P2114="Gasto",P2114="Transferencia",P2114="Pago tarjeta"),-1,1)*S2114,0)+IF(AND(AE2114&lt;&gt;"",COUNTIFS(tcTipo,AE2114,tcLiq,"Sí")&gt;0),S2114,0))</f>
        <v/>
      </c>
      <c r="AI2114" s="52">
        <f>IF(OR(L2114="",P2114=""),"",IF(COUNTIFS(L$6:L2114,L2114,P$6:P2114,"?*")=1,MAX(AI$5:AI2113)+1,""))</f>
        <v/>
      </c>
    </row>
    <row r="2115">
      <c r="B2115" s="47" t="n"/>
      <c r="C2115" s="48" t="n"/>
      <c r="D2115" s="48" t="n"/>
      <c r="E2115" s="48" t="n"/>
      <c r="F2115" s="48" t="n"/>
      <c r="G2115" s="49" t="n"/>
      <c r="H2115" s="48" t="n"/>
      <c r="I2115" s="50" t="n"/>
      <c r="J2115" s="48" t="n"/>
      <c r="K2115" s="48" t="n"/>
      <c r="L2115" s="48" t="n"/>
      <c r="M2115" s="48" t="n"/>
      <c r="N2115" s="48" t="n"/>
      <c r="O2115" s="51">
        <f>IF(AND(B2115="",G2115="",C2115="",D2115="",J2115=""),"",IF(B2115="","⚠ Falta fecha",IF(G2115="","⚠ Falta monto",IF(Q2115="","⚠ Falta cuenta",IF(ISNA(MATCH(Q2115,ctaNombre,0)),"⚠ Cuenta no registrada",IF(AND(OR(P2115="Gasto",P2115="Reembolso"),D2115=""),"⚠ Falta categoría",IF(AND(D2115&lt;&gt;"",E2115&lt;&gt;"",ISNA(MATCH(D2115&amp;"|"&amp;E2115,catClave,0))),"⚠ Subcategoría no corresponde",IF(AND(OR(P2115="Transferencia",P2115="Pago tarjeta"),K2115=""),"⚠ Falta cuenta destino",IF(AND(K2115&lt;&gt;"",P2115&lt;&gt;"Transferencia",P2115&lt;&gt;"Pago tarjeta"),"⚠ Destino solo aplica a transferencias",IF(AND(K2115&lt;&gt;"",K2115=Q2115),"⚠ Origen igual a destino",IF(AND(K2115&lt;&gt;"",ISNA(MATCH(K2115,ctaNombre,0))),"⚠ Destino no registrado",IF(AND(P2115="Pago tarjeta",AE2115&lt;&gt;"Tarjeta de crédito"),"⚠ El destino debe ser tarjeta de crédito",IF(AND(P2115="Gasto",E2115="Depósitos y retiros"),"⚠ Usa tipo Transferencia",IF(AND(P2115="Resultado trading",AD2115&lt;&gt;"Cuenta de trading"),"⚠ Usa una cuenta de trading",IF(AND(G2115&lt;=0,P2115&lt;&gt;"Ajuste",P2115&lt;&gt;"Resultado trading"),"⚠ El monto debe ser positivo","✓")))))))))))))))</f>
        <v/>
      </c>
      <c r="P2115" s="52">
        <f>IF(OR(B2115="",G2115=""),"",IF(C2115="","Gasto",C2115))</f>
        <v/>
      </c>
      <c r="Q2115" s="52">
        <f>IF(P2115="","",IF(J2115&lt;&gt;"",J2115,CuentaPred&amp;""))</f>
        <v/>
      </c>
      <c r="R2115" s="52">
        <f>IF(P2115="","",IF(ISNUMBER(I2115),I2115,TasaUSD))</f>
        <v/>
      </c>
      <c r="S2115" s="53">
        <f>IF(P2115="","",IF(H2115="USD",G2115*R2115,G2115))</f>
        <v/>
      </c>
      <c r="T2115" s="53">
        <f>IF(P2115="","",IF(H2115="USD",G2115,IF(R2115&gt;0,G2115/R2115,0)))</f>
        <v/>
      </c>
      <c r="U2115" s="53">
        <f>IF(P2115="","",IF(P2115="Gasto",S2115,IF(P2115="Reembolso",-S2115,0)))</f>
        <v/>
      </c>
      <c r="V2115" s="53">
        <f>IF(P2115="","",IF(P2115="Ingreso",S2115,0))</f>
        <v/>
      </c>
      <c r="W2115" s="53">
        <f>IF(P2115="","",IF(P2115="Resultado trading",S2115,0))</f>
        <v/>
      </c>
      <c r="X2115" s="52">
        <f>IF(OR(P2115="Gasto",P2115="Reembolso"),IF(M2115&lt;&gt;"",M2115,IFERROR(INDEX(catClasif,MATCH(D2115&amp;"|"&amp;E2115,catClave,0))&amp;"","Variable")),"")</f>
        <v/>
      </c>
      <c r="Y2115" s="52">
        <f>IF(P2115="","",IFERROR(INDEX(catGrupo,MATCH(D2115&amp;"|"&amp;E2115,catClave,0))&amp;"",""))</f>
        <v/>
      </c>
      <c r="Z2115" s="52">
        <f>IF(P2115="","",WEEKDAY(B2115,2))</f>
        <v/>
      </c>
      <c r="AA2115" s="52">
        <f>IF(P2115="","",IF(AND(P2115="Gasto",X2115="Variable",D2115&lt;&gt;catTrading,S2115&gt;0,S2115&lt;=Umbral),1,0))</f>
        <v/>
      </c>
      <c r="AB2115" s="52">
        <f>IF(OR(P2115="",Q2115=""),"",IFERROR(IF(INDEX(ctaVinc,MATCH(Q2115,ctaNombre,0))&amp;""&lt;&gt;"",INDEX(ctaVinc,MATCH(Q2115,ctaNombre,0))&amp;"",Q2115),Q2115))</f>
        <v/>
      </c>
      <c r="AC2115" s="52">
        <f>IF(OR(K2115="",AND(P2115&lt;&gt;"Transferencia",P2115&lt;&gt;"Pago tarjeta")),"",IFERROR(IF(INDEX(ctaVinc,MATCH(K2115,ctaNombre,0))&amp;""&lt;&gt;"",INDEX(ctaVinc,MATCH(K2115,ctaNombre,0))&amp;"",K2115),K2115))</f>
        <v/>
      </c>
      <c r="AD2115" s="52">
        <f>IF(AB2115="","",IFERROR(INDEX(ctaTipo,MATCH(AB2115,ctaNombre,0))&amp;"",""))</f>
        <v/>
      </c>
      <c r="AE2115" s="52">
        <f>IF(AC2115="","",IFERROR(INDEX(ctaTipo,MATCH(AC2115,ctaNombre,0))&amp;"",""))</f>
        <v/>
      </c>
      <c r="AF2115" s="53">
        <f>IF(OR(P2115="",AB2115=""),"",IF(OR(P2115="Gasto",P2115="Transferencia",P2115="Pago tarjeta"),-1,1)*IF(IFERROR(INDEX(ctaMoneda,MATCH(AB2115,ctaNombre,0))&amp;"","DOP")="USD",T2115,S2115))</f>
        <v/>
      </c>
      <c r="AG2115" s="53">
        <f>IF(AC2115="","",IF(IFERROR(INDEX(ctaMoneda,MATCH(AC2115,ctaNombre,0))&amp;"","DOP")="USD",T2115,S2115))</f>
        <v/>
      </c>
      <c r="AH2115" s="53">
        <f>IF(P2115="","",IF(AND(AD2115&lt;&gt;"",COUNTIFS(tcTipo,AD2115,tcLiq,"Sí")&gt;0),IF(OR(P2115="Gasto",P2115="Transferencia",P2115="Pago tarjeta"),-1,1)*S2115,0)+IF(AND(AE2115&lt;&gt;"",COUNTIFS(tcTipo,AE2115,tcLiq,"Sí")&gt;0),S2115,0))</f>
        <v/>
      </c>
      <c r="AI2115" s="52">
        <f>IF(OR(L2115="",P2115=""),"",IF(COUNTIFS(L$6:L2115,L2115,P$6:P2115,"?*")=1,MAX(AI$5:AI2114)+1,""))</f>
        <v/>
      </c>
    </row>
    <row r="2116">
      <c r="B2116" s="47" t="n"/>
      <c r="C2116" s="48" t="n"/>
      <c r="D2116" s="48" t="n"/>
      <c r="E2116" s="48" t="n"/>
      <c r="F2116" s="48" t="n"/>
      <c r="G2116" s="49" t="n"/>
      <c r="H2116" s="48" t="n"/>
      <c r="I2116" s="50" t="n"/>
      <c r="J2116" s="48" t="n"/>
      <c r="K2116" s="48" t="n"/>
      <c r="L2116" s="48" t="n"/>
      <c r="M2116" s="48" t="n"/>
      <c r="N2116" s="48" t="n"/>
      <c r="O2116" s="51">
        <f>IF(AND(B2116="",G2116="",C2116="",D2116="",J2116=""),"",IF(B2116="","⚠ Falta fecha",IF(G2116="","⚠ Falta monto",IF(Q2116="","⚠ Falta cuenta",IF(ISNA(MATCH(Q2116,ctaNombre,0)),"⚠ Cuenta no registrada",IF(AND(OR(P2116="Gasto",P2116="Reembolso"),D2116=""),"⚠ Falta categoría",IF(AND(D2116&lt;&gt;"",E2116&lt;&gt;"",ISNA(MATCH(D2116&amp;"|"&amp;E2116,catClave,0))),"⚠ Subcategoría no corresponde",IF(AND(OR(P2116="Transferencia",P2116="Pago tarjeta"),K2116=""),"⚠ Falta cuenta destino",IF(AND(K2116&lt;&gt;"",P2116&lt;&gt;"Transferencia",P2116&lt;&gt;"Pago tarjeta"),"⚠ Destino solo aplica a transferencias",IF(AND(K2116&lt;&gt;"",K2116=Q2116),"⚠ Origen igual a destino",IF(AND(K2116&lt;&gt;"",ISNA(MATCH(K2116,ctaNombre,0))),"⚠ Destino no registrado",IF(AND(P2116="Pago tarjeta",AE2116&lt;&gt;"Tarjeta de crédito"),"⚠ El destino debe ser tarjeta de crédito",IF(AND(P2116="Gasto",E2116="Depósitos y retiros"),"⚠ Usa tipo Transferencia",IF(AND(P2116="Resultado trading",AD2116&lt;&gt;"Cuenta de trading"),"⚠ Usa una cuenta de trading",IF(AND(G2116&lt;=0,P2116&lt;&gt;"Ajuste",P2116&lt;&gt;"Resultado trading"),"⚠ El monto debe ser positivo","✓")))))))))))))))</f>
        <v/>
      </c>
      <c r="P2116" s="52">
        <f>IF(OR(B2116="",G2116=""),"",IF(C2116="","Gasto",C2116))</f>
        <v/>
      </c>
      <c r="Q2116" s="52">
        <f>IF(P2116="","",IF(J2116&lt;&gt;"",J2116,CuentaPred&amp;""))</f>
        <v/>
      </c>
      <c r="R2116" s="52">
        <f>IF(P2116="","",IF(ISNUMBER(I2116),I2116,TasaUSD))</f>
        <v/>
      </c>
      <c r="S2116" s="53">
        <f>IF(P2116="","",IF(H2116="USD",G2116*R2116,G2116))</f>
        <v/>
      </c>
      <c r="T2116" s="53">
        <f>IF(P2116="","",IF(H2116="USD",G2116,IF(R2116&gt;0,G2116/R2116,0)))</f>
        <v/>
      </c>
      <c r="U2116" s="53">
        <f>IF(P2116="","",IF(P2116="Gasto",S2116,IF(P2116="Reembolso",-S2116,0)))</f>
        <v/>
      </c>
      <c r="V2116" s="53">
        <f>IF(P2116="","",IF(P2116="Ingreso",S2116,0))</f>
        <v/>
      </c>
      <c r="W2116" s="53">
        <f>IF(P2116="","",IF(P2116="Resultado trading",S2116,0))</f>
        <v/>
      </c>
      <c r="X2116" s="52">
        <f>IF(OR(P2116="Gasto",P2116="Reembolso"),IF(M2116&lt;&gt;"",M2116,IFERROR(INDEX(catClasif,MATCH(D2116&amp;"|"&amp;E2116,catClave,0))&amp;"","Variable")),"")</f>
        <v/>
      </c>
      <c r="Y2116" s="52">
        <f>IF(P2116="","",IFERROR(INDEX(catGrupo,MATCH(D2116&amp;"|"&amp;E2116,catClave,0))&amp;"",""))</f>
        <v/>
      </c>
      <c r="Z2116" s="52">
        <f>IF(P2116="","",WEEKDAY(B2116,2))</f>
        <v/>
      </c>
      <c r="AA2116" s="52">
        <f>IF(P2116="","",IF(AND(P2116="Gasto",X2116="Variable",D2116&lt;&gt;catTrading,S2116&gt;0,S2116&lt;=Umbral),1,0))</f>
        <v/>
      </c>
      <c r="AB2116" s="52">
        <f>IF(OR(P2116="",Q2116=""),"",IFERROR(IF(INDEX(ctaVinc,MATCH(Q2116,ctaNombre,0))&amp;""&lt;&gt;"",INDEX(ctaVinc,MATCH(Q2116,ctaNombre,0))&amp;"",Q2116),Q2116))</f>
        <v/>
      </c>
      <c r="AC2116" s="52">
        <f>IF(OR(K2116="",AND(P2116&lt;&gt;"Transferencia",P2116&lt;&gt;"Pago tarjeta")),"",IFERROR(IF(INDEX(ctaVinc,MATCH(K2116,ctaNombre,0))&amp;""&lt;&gt;"",INDEX(ctaVinc,MATCH(K2116,ctaNombre,0))&amp;"",K2116),K2116))</f>
        <v/>
      </c>
      <c r="AD2116" s="52">
        <f>IF(AB2116="","",IFERROR(INDEX(ctaTipo,MATCH(AB2116,ctaNombre,0))&amp;"",""))</f>
        <v/>
      </c>
      <c r="AE2116" s="52">
        <f>IF(AC2116="","",IFERROR(INDEX(ctaTipo,MATCH(AC2116,ctaNombre,0))&amp;"",""))</f>
        <v/>
      </c>
      <c r="AF2116" s="53">
        <f>IF(OR(P2116="",AB2116=""),"",IF(OR(P2116="Gasto",P2116="Transferencia",P2116="Pago tarjeta"),-1,1)*IF(IFERROR(INDEX(ctaMoneda,MATCH(AB2116,ctaNombre,0))&amp;"","DOP")="USD",T2116,S2116))</f>
        <v/>
      </c>
      <c r="AG2116" s="53">
        <f>IF(AC2116="","",IF(IFERROR(INDEX(ctaMoneda,MATCH(AC2116,ctaNombre,0))&amp;"","DOP")="USD",T2116,S2116))</f>
        <v/>
      </c>
      <c r="AH2116" s="53">
        <f>IF(P2116="","",IF(AND(AD2116&lt;&gt;"",COUNTIFS(tcTipo,AD2116,tcLiq,"Sí")&gt;0),IF(OR(P2116="Gasto",P2116="Transferencia",P2116="Pago tarjeta"),-1,1)*S2116,0)+IF(AND(AE2116&lt;&gt;"",COUNTIFS(tcTipo,AE2116,tcLiq,"Sí")&gt;0),S2116,0))</f>
        <v/>
      </c>
      <c r="AI2116" s="52">
        <f>IF(OR(L2116="",P2116=""),"",IF(COUNTIFS(L$6:L2116,L2116,P$6:P2116,"?*")=1,MAX(AI$5:AI2115)+1,""))</f>
        <v/>
      </c>
    </row>
    <row r="2117">
      <c r="B2117" s="47" t="n"/>
      <c r="C2117" s="48" t="n"/>
      <c r="D2117" s="48" t="n"/>
      <c r="E2117" s="48" t="n"/>
      <c r="F2117" s="48" t="n"/>
      <c r="G2117" s="49" t="n"/>
      <c r="H2117" s="48" t="n"/>
      <c r="I2117" s="50" t="n"/>
      <c r="J2117" s="48" t="n"/>
      <c r="K2117" s="48" t="n"/>
      <c r="L2117" s="48" t="n"/>
      <c r="M2117" s="48" t="n"/>
      <c r="N2117" s="48" t="n"/>
      <c r="O2117" s="51">
        <f>IF(AND(B2117="",G2117="",C2117="",D2117="",J2117=""),"",IF(B2117="","⚠ Falta fecha",IF(G2117="","⚠ Falta monto",IF(Q2117="","⚠ Falta cuenta",IF(ISNA(MATCH(Q2117,ctaNombre,0)),"⚠ Cuenta no registrada",IF(AND(OR(P2117="Gasto",P2117="Reembolso"),D2117=""),"⚠ Falta categoría",IF(AND(D2117&lt;&gt;"",E2117&lt;&gt;"",ISNA(MATCH(D2117&amp;"|"&amp;E2117,catClave,0))),"⚠ Subcategoría no corresponde",IF(AND(OR(P2117="Transferencia",P2117="Pago tarjeta"),K2117=""),"⚠ Falta cuenta destino",IF(AND(K2117&lt;&gt;"",P2117&lt;&gt;"Transferencia",P2117&lt;&gt;"Pago tarjeta"),"⚠ Destino solo aplica a transferencias",IF(AND(K2117&lt;&gt;"",K2117=Q2117),"⚠ Origen igual a destino",IF(AND(K2117&lt;&gt;"",ISNA(MATCH(K2117,ctaNombre,0))),"⚠ Destino no registrado",IF(AND(P2117="Pago tarjeta",AE2117&lt;&gt;"Tarjeta de crédito"),"⚠ El destino debe ser tarjeta de crédito",IF(AND(P2117="Gasto",E2117="Depósitos y retiros"),"⚠ Usa tipo Transferencia",IF(AND(P2117="Resultado trading",AD2117&lt;&gt;"Cuenta de trading"),"⚠ Usa una cuenta de trading",IF(AND(G2117&lt;=0,P2117&lt;&gt;"Ajuste",P2117&lt;&gt;"Resultado trading"),"⚠ El monto debe ser positivo","✓")))))))))))))))</f>
        <v/>
      </c>
      <c r="P2117" s="52">
        <f>IF(OR(B2117="",G2117=""),"",IF(C2117="","Gasto",C2117))</f>
        <v/>
      </c>
      <c r="Q2117" s="52">
        <f>IF(P2117="","",IF(J2117&lt;&gt;"",J2117,CuentaPred&amp;""))</f>
        <v/>
      </c>
      <c r="R2117" s="52">
        <f>IF(P2117="","",IF(ISNUMBER(I2117),I2117,TasaUSD))</f>
        <v/>
      </c>
      <c r="S2117" s="53">
        <f>IF(P2117="","",IF(H2117="USD",G2117*R2117,G2117))</f>
        <v/>
      </c>
      <c r="T2117" s="53">
        <f>IF(P2117="","",IF(H2117="USD",G2117,IF(R2117&gt;0,G2117/R2117,0)))</f>
        <v/>
      </c>
      <c r="U2117" s="53">
        <f>IF(P2117="","",IF(P2117="Gasto",S2117,IF(P2117="Reembolso",-S2117,0)))</f>
        <v/>
      </c>
      <c r="V2117" s="53">
        <f>IF(P2117="","",IF(P2117="Ingreso",S2117,0))</f>
        <v/>
      </c>
      <c r="W2117" s="53">
        <f>IF(P2117="","",IF(P2117="Resultado trading",S2117,0))</f>
        <v/>
      </c>
      <c r="X2117" s="52">
        <f>IF(OR(P2117="Gasto",P2117="Reembolso"),IF(M2117&lt;&gt;"",M2117,IFERROR(INDEX(catClasif,MATCH(D2117&amp;"|"&amp;E2117,catClave,0))&amp;"","Variable")),"")</f>
        <v/>
      </c>
      <c r="Y2117" s="52">
        <f>IF(P2117="","",IFERROR(INDEX(catGrupo,MATCH(D2117&amp;"|"&amp;E2117,catClave,0))&amp;"",""))</f>
        <v/>
      </c>
      <c r="Z2117" s="52">
        <f>IF(P2117="","",WEEKDAY(B2117,2))</f>
        <v/>
      </c>
      <c r="AA2117" s="52">
        <f>IF(P2117="","",IF(AND(P2117="Gasto",X2117="Variable",D2117&lt;&gt;catTrading,S2117&gt;0,S2117&lt;=Umbral),1,0))</f>
        <v/>
      </c>
      <c r="AB2117" s="52">
        <f>IF(OR(P2117="",Q2117=""),"",IFERROR(IF(INDEX(ctaVinc,MATCH(Q2117,ctaNombre,0))&amp;""&lt;&gt;"",INDEX(ctaVinc,MATCH(Q2117,ctaNombre,0))&amp;"",Q2117),Q2117))</f>
        <v/>
      </c>
      <c r="AC2117" s="52">
        <f>IF(OR(K2117="",AND(P2117&lt;&gt;"Transferencia",P2117&lt;&gt;"Pago tarjeta")),"",IFERROR(IF(INDEX(ctaVinc,MATCH(K2117,ctaNombre,0))&amp;""&lt;&gt;"",INDEX(ctaVinc,MATCH(K2117,ctaNombre,0))&amp;"",K2117),K2117))</f>
        <v/>
      </c>
      <c r="AD2117" s="52">
        <f>IF(AB2117="","",IFERROR(INDEX(ctaTipo,MATCH(AB2117,ctaNombre,0))&amp;"",""))</f>
        <v/>
      </c>
      <c r="AE2117" s="52">
        <f>IF(AC2117="","",IFERROR(INDEX(ctaTipo,MATCH(AC2117,ctaNombre,0))&amp;"",""))</f>
        <v/>
      </c>
      <c r="AF2117" s="53">
        <f>IF(OR(P2117="",AB2117=""),"",IF(OR(P2117="Gasto",P2117="Transferencia",P2117="Pago tarjeta"),-1,1)*IF(IFERROR(INDEX(ctaMoneda,MATCH(AB2117,ctaNombre,0))&amp;"","DOP")="USD",T2117,S2117))</f>
        <v/>
      </c>
      <c r="AG2117" s="53">
        <f>IF(AC2117="","",IF(IFERROR(INDEX(ctaMoneda,MATCH(AC2117,ctaNombre,0))&amp;"","DOP")="USD",T2117,S2117))</f>
        <v/>
      </c>
      <c r="AH2117" s="53">
        <f>IF(P2117="","",IF(AND(AD2117&lt;&gt;"",COUNTIFS(tcTipo,AD2117,tcLiq,"Sí")&gt;0),IF(OR(P2117="Gasto",P2117="Transferencia",P2117="Pago tarjeta"),-1,1)*S2117,0)+IF(AND(AE2117&lt;&gt;"",COUNTIFS(tcTipo,AE2117,tcLiq,"Sí")&gt;0),S2117,0))</f>
        <v/>
      </c>
      <c r="AI2117" s="52">
        <f>IF(OR(L2117="",P2117=""),"",IF(COUNTIFS(L$6:L2117,L2117,P$6:P2117,"?*")=1,MAX(AI$5:AI2116)+1,""))</f>
        <v/>
      </c>
    </row>
    <row r="2118">
      <c r="B2118" s="47" t="n"/>
      <c r="C2118" s="48" t="n"/>
      <c r="D2118" s="48" t="n"/>
      <c r="E2118" s="48" t="n"/>
      <c r="F2118" s="48" t="n"/>
      <c r="G2118" s="49" t="n"/>
      <c r="H2118" s="48" t="n"/>
      <c r="I2118" s="50" t="n"/>
      <c r="J2118" s="48" t="n"/>
      <c r="K2118" s="48" t="n"/>
      <c r="L2118" s="48" t="n"/>
      <c r="M2118" s="48" t="n"/>
      <c r="N2118" s="48" t="n"/>
      <c r="O2118" s="51">
        <f>IF(AND(B2118="",G2118="",C2118="",D2118="",J2118=""),"",IF(B2118="","⚠ Falta fecha",IF(G2118="","⚠ Falta monto",IF(Q2118="","⚠ Falta cuenta",IF(ISNA(MATCH(Q2118,ctaNombre,0)),"⚠ Cuenta no registrada",IF(AND(OR(P2118="Gasto",P2118="Reembolso"),D2118=""),"⚠ Falta categoría",IF(AND(D2118&lt;&gt;"",E2118&lt;&gt;"",ISNA(MATCH(D2118&amp;"|"&amp;E2118,catClave,0))),"⚠ Subcategoría no corresponde",IF(AND(OR(P2118="Transferencia",P2118="Pago tarjeta"),K2118=""),"⚠ Falta cuenta destino",IF(AND(K2118&lt;&gt;"",P2118&lt;&gt;"Transferencia",P2118&lt;&gt;"Pago tarjeta"),"⚠ Destino solo aplica a transferencias",IF(AND(K2118&lt;&gt;"",K2118=Q2118),"⚠ Origen igual a destino",IF(AND(K2118&lt;&gt;"",ISNA(MATCH(K2118,ctaNombre,0))),"⚠ Destino no registrado",IF(AND(P2118="Pago tarjeta",AE2118&lt;&gt;"Tarjeta de crédito"),"⚠ El destino debe ser tarjeta de crédito",IF(AND(P2118="Gasto",E2118="Depósitos y retiros"),"⚠ Usa tipo Transferencia",IF(AND(P2118="Resultado trading",AD2118&lt;&gt;"Cuenta de trading"),"⚠ Usa una cuenta de trading",IF(AND(G2118&lt;=0,P2118&lt;&gt;"Ajuste",P2118&lt;&gt;"Resultado trading"),"⚠ El monto debe ser positivo","✓")))))))))))))))</f>
        <v/>
      </c>
      <c r="P2118" s="52">
        <f>IF(OR(B2118="",G2118=""),"",IF(C2118="","Gasto",C2118))</f>
        <v/>
      </c>
      <c r="Q2118" s="52">
        <f>IF(P2118="","",IF(J2118&lt;&gt;"",J2118,CuentaPred&amp;""))</f>
        <v/>
      </c>
      <c r="R2118" s="52">
        <f>IF(P2118="","",IF(ISNUMBER(I2118),I2118,TasaUSD))</f>
        <v/>
      </c>
      <c r="S2118" s="53">
        <f>IF(P2118="","",IF(H2118="USD",G2118*R2118,G2118))</f>
        <v/>
      </c>
      <c r="T2118" s="53">
        <f>IF(P2118="","",IF(H2118="USD",G2118,IF(R2118&gt;0,G2118/R2118,0)))</f>
        <v/>
      </c>
      <c r="U2118" s="53">
        <f>IF(P2118="","",IF(P2118="Gasto",S2118,IF(P2118="Reembolso",-S2118,0)))</f>
        <v/>
      </c>
      <c r="V2118" s="53">
        <f>IF(P2118="","",IF(P2118="Ingreso",S2118,0))</f>
        <v/>
      </c>
      <c r="W2118" s="53">
        <f>IF(P2118="","",IF(P2118="Resultado trading",S2118,0))</f>
        <v/>
      </c>
      <c r="X2118" s="52">
        <f>IF(OR(P2118="Gasto",P2118="Reembolso"),IF(M2118&lt;&gt;"",M2118,IFERROR(INDEX(catClasif,MATCH(D2118&amp;"|"&amp;E2118,catClave,0))&amp;"","Variable")),"")</f>
        <v/>
      </c>
      <c r="Y2118" s="52">
        <f>IF(P2118="","",IFERROR(INDEX(catGrupo,MATCH(D2118&amp;"|"&amp;E2118,catClave,0))&amp;"",""))</f>
        <v/>
      </c>
      <c r="Z2118" s="52">
        <f>IF(P2118="","",WEEKDAY(B2118,2))</f>
        <v/>
      </c>
      <c r="AA2118" s="52">
        <f>IF(P2118="","",IF(AND(P2118="Gasto",X2118="Variable",D2118&lt;&gt;catTrading,S2118&gt;0,S2118&lt;=Umbral),1,0))</f>
        <v/>
      </c>
      <c r="AB2118" s="52">
        <f>IF(OR(P2118="",Q2118=""),"",IFERROR(IF(INDEX(ctaVinc,MATCH(Q2118,ctaNombre,0))&amp;""&lt;&gt;"",INDEX(ctaVinc,MATCH(Q2118,ctaNombre,0))&amp;"",Q2118),Q2118))</f>
        <v/>
      </c>
      <c r="AC2118" s="52">
        <f>IF(OR(K2118="",AND(P2118&lt;&gt;"Transferencia",P2118&lt;&gt;"Pago tarjeta")),"",IFERROR(IF(INDEX(ctaVinc,MATCH(K2118,ctaNombre,0))&amp;""&lt;&gt;"",INDEX(ctaVinc,MATCH(K2118,ctaNombre,0))&amp;"",K2118),K2118))</f>
        <v/>
      </c>
      <c r="AD2118" s="52">
        <f>IF(AB2118="","",IFERROR(INDEX(ctaTipo,MATCH(AB2118,ctaNombre,0))&amp;"",""))</f>
        <v/>
      </c>
      <c r="AE2118" s="52">
        <f>IF(AC2118="","",IFERROR(INDEX(ctaTipo,MATCH(AC2118,ctaNombre,0))&amp;"",""))</f>
        <v/>
      </c>
      <c r="AF2118" s="53">
        <f>IF(OR(P2118="",AB2118=""),"",IF(OR(P2118="Gasto",P2118="Transferencia",P2118="Pago tarjeta"),-1,1)*IF(IFERROR(INDEX(ctaMoneda,MATCH(AB2118,ctaNombre,0))&amp;"","DOP")="USD",T2118,S2118))</f>
        <v/>
      </c>
      <c r="AG2118" s="53">
        <f>IF(AC2118="","",IF(IFERROR(INDEX(ctaMoneda,MATCH(AC2118,ctaNombre,0))&amp;"","DOP")="USD",T2118,S2118))</f>
        <v/>
      </c>
      <c r="AH2118" s="53">
        <f>IF(P2118="","",IF(AND(AD2118&lt;&gt;"",COUNTIFS(tcTipo,AD2118,tcLiq,"Sí")&gt;0),IF(OR(P2118="Gasto",P2118="Transferencia",P2118="Pago tarjeta"),-1,1)*S2118,0)+IF(AND(AE2118&lt;&gt;"",COUNTIFS(tcTipo,AE2118,tcLiq,"Sí")&gt;0),S2118,0))</f>
        <v/>
      </c>
      <c r="AI2118" s="52">
        <f>IF(OR(L2118="",P2118=""),"",IF(COUNTIFS(L$6:L2118,L2118,P$6:P2118,"?*")=1,MAX(AI$5:AI2117)+1,""))</f>
        <v/>
      </c>
    </row>
    <row r="2119">
      <c r="B2119" s="47" t="n"/>
      <c r="C2119" s="48" t="n"/>
      <c r="D2119" s="48" t="n"/>
      <c r="E2119" s="48" t="n"/>
      <c r="F2119" s="48" t="n"/>
      <c r="G2119" s="49" t="n"/>
      <c r="H2119" s="48" t="n"/>
      <c r="I2119" s="50" t="n"/>
      <c r="J2119" s="48" t="n"/>
      <c r="K2119" s="48" t="n"/>
      <c r="L2119" s="48" t="n"/>
      <c r="M2119" s="48" t="n"/>
      <c r="N2119" s="48" t="n"/>
      <c r="O2119" s="51">
        <f>IF(AND(B2119="",G2119="",C2119="",D2119="",J2119=""),"",IF(B2119="","⚠ Falta fecha",IF(G2119="","⚠ Falta monto",IF(Q2119="","⚠ Falta cuenta",IF(ISNA(MATCH(Q2119,ctaNombre,0)),"⚠ Cuenta no registrada",IF(AND(OR(P2119="Gasto",P2119="Reembolso"),D2119=""),"⚠ Falta categoría",IF(AND(D2119&lt;&gt;"",E2119&lt;&gt;"",ISNA(MATCH(D2119&amp;"|"&amp;E2119,catClave,0))),"⚠ Subcategoría no corresponde",IF(AND(OR(P2119="Transferencia",P2119="Pago tarjeta"),K2119=""),"⚠ Falta cuenta destino",IF(AND(K2119&lt;&gt;"",P2119&lt;&gt;"Transferencia",P2119&lt;&gt;"Pago tarjeta"),"⚠ Destino solo aplica a transferencias",IF(AND(K2119&lt;&gt;"",K2119=Q2119),"⚠ Origen igual a destino",IF(AND(K2119&lt;&gt;"",ISNA(MATCH(K2119,ctaNombre,0))),"⚠ Destino no registrado",IF(AND(P2119="Pago tarjeta",AE2119&lt;&gt;"Tarjeta de crédito"),"⚠ El destino debe ser tarjeta de crédito",IF(AND(P2119="Gasto",E2119="Depósitos y retiros"),"⚠ Usa tipo Transferencia",IF(AND(P2119="Resultado trading",AD2119&lt;&gt;"Cuenta de trading"),"⚠ Usa una cuenta de trading",IF(AND(G2119&lt;=0,P2119&lt;&gt;"Ajuste",P2119&lt;&gt;"Resultado trading"),"⚠ El monto debe ser positivo","✓")))))))))))))))</f>
        <v/>
      </c>
      <c r="P2119" s="52">
        <f>IF(OR(B2119="",G2119=""),"",IF(C2119="","Gasto",C2119))</f>
        <v/>
      </c>
      <c r="Q2119" s="52">
        <f>IF(P2119="","",IF(J2119&lt;&gt;"",J2119,CuentaPred&amp;""))</f>
        <v/>
      </c>
      <c r="R2119" s="52">
        <f>IF(P2119="","",IF(ISNUMBER(I2119),I2119,TasaUSD))</f>
        <v/>
      </c>
      <c r="S2119" s="53">
        <f>IF(P2119="","",IF(H2119="USD",G2119*R2119,G2119))</f>
        <v/>
      </c>
      <c r="T2119" s="53">
        <f>IF(P2119="","",IF(H2119="USD",G2119,IF(R2119&gt;0,G2119/R2119,0)))</f>
        <v/>
      </c>
      <c r="U2119" s="53">
        <f>IF(P2119="","",IF(P2119="Gasto",S2119,IF(P2119="Reembolso",-S2119,0)))</f>
        <v/>
      </c>
      <c r="V2119" s="53">
        <f>IF(P2119="","",IF(P2119="Ingreso",S2119,0))</f>
        <v/>
      </c>
      <c r="W2119" s="53">
        <f>IF(P2119="","",IF(P2119="Resultado trading",S2119,0))</f>
        <v/>
      </c>
      <c r="X2119" s="52">
        <f>IF(OR(P2119="Gasto",P2119="Reembolso"),IF(M2119&lt;&gt;"",M2119,IFERROR(INDEX(catClasif,MATCH(D2119&amp;"|"&amp;E2119,catClave,0))&amp;"","Variable")),"")</f>
        <v/>
      </c>
      <c r="Y2119" s="52">
        <f>IF(P2119="","",IFERROR(INDEX(catGrupo,MATCH(D2119&amp;"|"&amp;E2119,catClave,0))&amp;"",""))</f>
        <v/>
      </c>
      <c r="Z2119" s="52">
        <f>IF(P2119="","",WEEKDAY(B2119,2))</f>
        <v/>
      </c>
      <c r="AA2119" s="52">
        <f>IF(P2119="","",IF(AND(P2119="Gasto",X2119="Variable",D2119&lt;&gt;catTrading,S2119&gt;0,S2119&lt;=Umbral),1,0))</f>
        <v/>
      </c>
      <c r="AB2119" s="52">
        <f>IF(OR(P2119="",Q2119=""),"",IFERROR(IF(INDEX(ctaVinc,MATCH(Q2119,ctaNombre,0))&amp;""&lt;&gt;"",INDEX(ctaVinc,MATCH(Q2119,ctaNombre,0))&amp;"",Q2119),Q2119))</f>
        <v/>
      </c>
      <c r="AC2119" s="52">
        <f>IF(OR(K2119="",AND(P2119&lt;&gt;"Transferencia",P2119&lt;&gt;"Pago tarjeta")),"",IFERROR(IF(INDEX(ctaVinc,MATCH(K2119,ctaNombre,0))&amp;""&lt;&gt;"",INDEX(ctaVinc,MATCH(K2119,ctaNombre,0))&amp;"",K2119),K2119))</f>
        <v/>
      </c>
      <c r="AD2119" s="52">
        <f>IF(AB2119="","",IFERROR(INDEX(ctaTipo,MATCH(AB2119,ctaNombre,0))&amp;"",""))</f>
        <v/>
      </c>
      <c r="AE2119" s="52">
        <f>IF(AC2119="","",IFERROR(INDEX(ctaTipo,MATCH(AC2119,ctaNombre,0))&amp;"",""))</f>
        <v/>
      </c>
      <c r="AF2119" s="53">
        <f>IF(OR(P2119="",AB2119=""),"",IF(OR(P2119="Gasto",P2119="Transferencia",P2119="Pago tarjeta"),-1,1)*IF(IFERROR(INDEX(ctaMoneda,MATCH(AB2119,ctaNombre,0))&amp;"","DOP")="USD",T2119,S2119))</f>
        <v/>
      </c>
      <c r="AG2119" s="53">
        <f>IF(AC2119="","",IF(IFERROR(INDEX(ctaMoneda,MATCH(AC2119,ctaNombre,0))&amp;"","DOP")="USD",T2119,S2119))</f>
        <v/>
      </c>
      <c r="AH2119" s="53">
        <f>IF(P2119="","",IF(AND(AD2119&lt;&gt;"",COUNTIFS(tcTipo,AD2119,tcLiq,"Sí")&gt;0),IF(OR(P2119="Gasto",P2119="Transferencia",P2119="Pago tarjeta"),-1,1)*S2119,0)+IF(AND(AE2119&lt;&gt;"",COUNTIFS(tcTipo,AE2119,tcLiq,"Sí")&gt;0),S2119,0))</f>
        <v/>
      </c>
      <c r="AI2119" s="52">
        <f>IF(OR(L2119="",P2119=""),"",IF(COUNTIFS(L$6:L2119,L2119,P$6:P2119,"?*")=1,MAX(AI$5:AI2118)+1,""))</f>
        <v/>
      </c>
    </row>
    <row r="2120">
      <c r="B2120" s="47" t="n"/>
      <c r="C2120" s="48" t="n"/>
      <c r="D2120" s="48" t="n"/>
      <c r="E2120" s="48" t="n"/>
      <c r="F2120" s="48" t="n"/>
      <c r="G2120" s="49" t="n"/>
      <c r="H2120" s="48" t="n"/>
      <c r="I2120" s="50" t="n"/>
      <c r="J2120" s="48" t="n"/>
      <c r="K2120" s="48" t="n"/>
      <c r="L2120" s="48" t="n"/>
      <c r="M2120" s="48" t="n"/>
      <c r="N2120" s="48" t="n"/>
      <c r="O2120" s="51">
        <f>IF(AND(B2120="",G2120="",C2120="",D2120="",J2120=""),"",IF(B2120="","⚠ Falta fecha",IF(G2120="","⚠ Falta monto",IF(Q2120="","⚠ Falta cuenta",IF(ISNA(MATCH(Q2120,ctaNombre,0)),"⚠ Cuenta no registrada",IF(AND(OR(P2120="Gasto",P2120="Reembolso"),D2120=""),"⚠ Falta categoría",IF(AND(D2120&lt;&gt;"",E2120&lt;&gt;"",ISNA(MATCH(D2120&amp;"|"&amp;E2120,catClave,0))),"⚠ Subcategoría no corresponde",IF(AND(OR(P2120="Transferencia",P2120="Pago tarjeta"),K2120=""),"⚠ Falta cuenta destino",IF(AND(K2120&lt;&gt;"",P2120&lt;&gt;"Transferencia",P2120&lt;&gt;"Pago tarjeta"),"⚠ Destino solo aplica a transferencias",IF(AND(K2120&lt;&gt;"",K2120=Q2120),"⚠ Origen igual a destino",IF(AND(K2120&lt;&gt;"",ISNA(MATCH(K2120,ctaNombre,0))),"⚠ Destino no registrado",IF(AND(P2120="Pago tarjeta",AE2120&lt;&gt;"Tarjeta de crédito"),"⚠ El destino debe ser tarjeta de crédito",IF(AND(P2120="Gasto",E2120="Depósitos y retiros"),"⚠ Usa tipo Transferencia",IF(AND(P2120="Resultado trading",AD2120&lt;&gt;"Cuenta de trading"),"⚠ Usa una cuenta de trading",IF(AND(G2120&lt;=0,P2120&lt;&gt;"Ajuste",P2120&lt;&gt;"Resultado trading"),"⚠ El monto debe ser positivo","✓")))))))))))))))</f>
        <v/>
      </c>
      <c r="P2120" s="52">
        <f>IF(OR(B2120="",G2120=""),"",IF(C2120="","Gasto",C2120))</f>
        <v/>
      </c>
      <c r="Q2120" s="52">
        <f>IF(P2120="","",IF(J2120&lt;&gt;"",J2120,CuentaPred&amp;""))</f>
        <v/>
      </c>
      <c r="R2120" s="52">
        <f>IF(P2120="","",IF(ISNUMBER(I2120),I2120,TasaUSD))</f>
        <v/>
      </c>
      <c r="S2120" s="53">
        <f>IF(P2120="","",IF(H2120="USD",G2120*R2120,G2120))</f>
        <v/>
      </c>
      <c r="T2120" s="53">
        <f>IF(P2120="","",IF(H2120="USD",G2120,IF(R2120&gt;0,G2120/R2120,0)))</f>
        <v/>
      </c>
      <c r="U2120" s="53">
        <f>IF(P2120="","",IF(P2120="Gasto",S2120,IF(P2120="Reembolso",-S2120,0)))</f>
        <v/>
      </c>
      <c r="V2120" s="53">
        <f>IF(P2120="","",IF(P2120="Ingreso",S2120,0))</f>
        <v/>
      </c>
      <c r="W2120" s="53">
        <f>IF(P2120="","",IF(P2120="Resultado trading",S2120,0))</f>
        <v/>
      </c>
      <c r="X2120" s="52">
        <f>IF(OR(P2120="Gasto",P2120="Reembolso"),IF(M2120&lt;&gt;"",M2120,IFERROR(INDEX(catClasif,MATCH(D2120&amp;"|"&amp;E2120,catClave,0))&amp;"","Variable")),"")</f>
        <v/>
      </c>
      <c r="Y2120" s="52">
        <f>IF(P2120="","",IFERROR(INDEX(catGrupo,MATCH(D2120&amp;"|"&amp;E2120,catClave,0))&amp;"",""))</f>
        <v/>
      </c>
      <c r="Z2120" s="52">
        <f>IF(P2120="","",WEEKDAY(B2120,2))</f>
        <v/>
      </c>
      <c r="AA2120" s="52">
        <f>IF(P2120="","",IF(AND(P2120="Gasto",X2120="Variable",D2120&lt;&gt;catTrading,S2120&gt;0,S2120&lt;=Umbral),1,0))</f>
        <v/>
      </c>
      <c r="AB2120" s="52">
        <f>IF(OR(P2120="",Q2120=""),"",IFERROR(IF(INDEX(ctaVinc,MATCH(Q2120,ctaNombre,0))&amp;""&lt;&gt;"",INDEX(ctaVinc,MATCH(Q2120,ctaNombre,0))&amp;"",Q2120),Q2120))</f>
        <v/>
      </c>
      <c r="AC2120" s="52">
        <f>IF(OR(K2120="",AND(P2120&lt;&gt;"Transferencia",P2120&lt;&gt;"Pago tarjeta")),"",IFERROR(IF(INDEX(ctaVinc,MATCH(K2120,ctaNombre,0))&amp;""&lt;&gt;"",INDEX(ctaVinc,MATCH(K2120,ctaNombre,0))&amp;"",K2120),K2120))</f>
        <v/>
      </c>
      <c r="AD2120" s="52">
        <f>IF(AB2120="","",IFERROR(INDEX(ctaTipo,MATCH(AB2120,ctaNombre,0))&amp;"",""))</f>
        <v/>
      </c>
      <c r="AE2120" s="52">
        <f>IF(AC2120="","",IFERROR(INDEX(ctaTipo,MATCH(AC2120,ctaNombre,0))&amp;"",""))</f>
        <v/>
      </c>
      <c r="AF2120" s="53">
        <f>IF(OR(P2120="",AB2120=""),"",IF(OR(P2120="Gasto",P2120="Transferencia",P2120="Pago tarjeta"),-1,1)*IF(IFERROR(INDEX(ctaMoneda,MATCH(AB2120,ctaNombre,0))&amp;"","DOP")="USD",T2120,S2120))</f>
        <v/>
      </c>
      <c r="AG2120" s="53">
        <f>IF(AC2120="","",IF(IFERROR(INDEX(ctaMoneda,MATCH(AC2120,ctaNombre,0))&amp;"","DOP")="USD",T2120,S2120))</f>
        <v/>
      </c>
      <c r="AH2120" s="53">
        <f>IF(P2120="","",IF(AND(AD2120&lt;&gt;"",COUNTIFS(tcTipo,AD2120,tcLiq,"Sí")&gt;0),IF(OR(P2120="Gasto",P2120="Transferencia",P2120="Pago tarjeta"),-1,1)*S2120,0)+IF(AND(AE2120&lt;&gt;"",COUNTIFS(tcTipo,AE2120,tcLiq,"Sí")&gt;0),S2120,0))</f>
        <v/>
      </c>
      <c r="AI2120" s="52">
        <f>IF(OR(L2120="",P2120=""),"",IF(COUNTIFS(L$6:L2120,L2120,P$6:P2120,"?*")=1,MAX(AI$5:AI2119)+1,""))</f>
        <v/>
      </c>
    </row>
    <row r="2121">
      <c r="B2121" s="47" t="n"/>
      <c r="C2121" s="48" t="n"/>
      <c r="D2121" s="48" t="n"/>
      <c r="E2121" s="48" t="n"/>
      <c r="F2121" s="48" t="n"/>
      <c r="G2121" s="49" t="n"/>
      <c r="H2121" s="48" t="n"/>
      <c r="I2121" s="50" t="n"/>
      <c r="J2121" s="48" t="n"/>
      <c r="K2121" s="48" t="n"/>
      <c r="L2121" s="48" t="n"/>
      <c r="M2121" s="48" t="n"/>
      <c r="N2121" s="48" t="n"/>
      <c r="O2121" s="51">
        <f>IF(AND(B2121="",G2121="",C2121="",D2121="",J2121=""),"",IF(B2121="","⚠ Falta fecha",IF(G2121="","⚠ Falta monto",IF(Q2121="","⚠ Falta cuenta",IF(ISNA(MATCH(Q2121,ctaNombre,0)),"⚠ Cuenta no registrada",IF(AND(OR(P2121="Gasto",P2121="Reembolso"),D2121=""),"⚠ Falta categoría",IF(AND(D2121&lt;&gt;"",E2121&lt;&gt;"",ISNA(MATCH(D2121&amp;"|"&amp;E2121,catClave,0))),"⚠ Subcategoría no corresponde",IF(AND(OR(P2121="Transferencia",P2121="Pago tarjeta"),K2121=""),"⚠ Falta cuenta destino",IF(AND(K2121&lt;&gt;"",P2121&lt;&gt;"Transferencia",P2121&lt;&gt;"Pago tarjeta"),"⚠ Destino solo aplica a transferencias",IF(AND(K2121&lt;&gt;"",K2121=Q2121),"⚠ Origen igual a destino",IF(AND(K2121&lt;&gt;"",ISNA(MATCH(K2121,ctaNombre,0))),"⚠ Destino no registrado",IF(AND(P2121="Pago tarjeta",AE2121&lt;&gt;"Tarjeta de crédito"),"⚠ El destino debe ser tarjeta de crédito",IF(AND(P2121="Gasto",E2121="Depósitos y retiros"),"⚠ Usa tipo Transferencia",IF(AND(P2121="Resultado trading",AD2121&lt;&gt;"Cuenta de trading"),"⚠ Usa una cuenta de trading",IF(AND(G2121&lt;=0,P2121&lt;&gt;"Ajuste",P2121&lt;&gt;"Resultado trading"),"⚠ El monto debe ser positivo","✓")))))))))))))))</f>
        <v/>
      </c>
      <c r="P2121" s="52">
        <f>IF(OR(B2121="",G2121=""),"",IF(C2121="","Gasto",C2121))</f>
        <v/>
      </c>
      <c r="Q2121" s="52">
        <f>IF(P2121="","",IF(J2121&lt;&gt;"",J2121,CuentaPred&amp;""))</f>
        <v/>
      </c>
      <c r="R2121" s="52">
        <f>IF(P2121="","",IF(ISNUMBER(I2121),I2121,TasaUSD))</f>
        <v/>
      </c>
      <c r="S2121" s="53">
        <f>IF(P2121="","",IF(H2121="USD",G2121*R2121,G2121))</f>
        <v/>
      </c>
      <c r="T2121" s="53">
        <f>IF(P2121="","",IF(H2121="USD",G2121,IF(R2121&gt;0,G2121/R2121,0)))</f>
        <v/>
      </c>
      <c r="U2121" s="53">
        <f>IF(P2121="","",IF(P2121="Gasto",S2121,IF(P2121="Reembolso",-S2121,0)))</f>
        <v/>
      </c>
      <c r="V2121" s="53">
        <f>IF(P2121="","",IF(P2121="Ingreso",S2121,0))</f>
        <v/>
      </c>
      <c r="W2121" s="53">
        <f>IF(P2121="","",IF(P2121="Resultado trading",S2121,0))</f>
        <v/>
      </c>
      <c r="X2121" s="52">
        <f>IF(OR(P2121="Gasto",P2121="Reembolso"),IF(M2121&lt;&gt;"",M2121,IFERROR(INDEX(catClasif,MATCH(D2121&amp;"|"&amp;E2121,catClave,0))&amp;"","Variable")),"")</f>
        <v/>
      </c>
      <c r="Y2121" s="52">
        <f>IF(P2121="","",IFERROR(INDEX(catGrupo,MATCH(D2121&amp;"|"&amp;E2121,catClave,0))&amp;"",""))</f>
        <v/>
      </c>
      <c r="Z2121" s="52">
        <f>IF(P2121="","",WEEKDAY(B2121,2))</f>
        <v/>
      </c>
      <c r="AA2121" s="52">
        <f>IF(P2121="","",IF(AND(P2121="Gasto",X2121="Variable",D2121&lt;&gt;catTrading,S2121&gt;0,S2121&lt;=Umbral),1,0))</f>
        <v/>
      </c>
      <c r="AB2121" s="52">
        <f>IF(OR(P2121="",Q2121=""),"",IFERROR(IF(INDEX(ctaVinc,MATCH(Q2121,ctaNombre,0))&amp;""&lt;&gt;"",INDEX(ctaVinc,MATCH(Q2121,ctaNombre,0))&amp;"",Q2121),Q2121))</f>
        <v/>
      </c>
      <c r="AC2121" s="52">
        <f>IF(OR(K2121="",AND(P2121&lt;&gt;"Transferencia",P2121&lt;&gt;"Pago tarjeta")),"",IFERROR(IF(INDEX(ctaVinc,MATCH(K2121,ctaNombre,0))&amp;""&lt;&gt;"",INDEX(ctaVinc,MATCH(K2121,ctaNombre,0))&amp;"",K2121),K2121))</f>
        <v/>
      </c>
      <c r="AD2121" s="52">
        <f>IF(AB2121="","",IFERROR(INDEX(ctaTipo,MATCH(AB2121,ctaNombre,0))&amp;"",""))</f>
        <v/>
      </c>
      <c r="AE2121" s="52">
        <f>IF(AC2121="","",IFERROR(INDEX(ctaTipo,MATCH(AC2121,ctaNombre,0))&amp;"",""))</f>
        <v/>
      </c>
      <c r="AF2121" s="53">
        <f>IF(OR(P2121="",AB2121=""),"",IF(OR(P2121="Gasto",P2121="Transferencia",P2121="Pago tarjeta"),-1,1)*IF(IFERROR(INDEX(ctaMoneda,MATCH(AB2121,ctaNombre,0))&amp;"","DOP")="USD",T2121,S2121))</f>
        <v/>
      </c>
      <c r="AG2121" s="53">
        <f>IF(AC2121="","",IF(IFERROR(INDEX(ctaMoneda,MATCH(AC2121,ctaNombre,0))&amp;"","DOP")="USD",T2121,S2121))</f>
        <v/>
      </c>
      <c r="AH2121" s="53">
        <f>IF(P2121="","",IF(AND(AD2121&lt;&gt;"",COUNTIFS(tcTipo,AD2121,tcLiq,"Sí")&gt;0),IF(OR(P2121="Gasto",P2121="Transferencia",P2121="Pago tarjeta"),-1,1)*S2121,0)+IF(AND(AE2121&lt;&gt;"",COUNTIFS(tcTipo,AE2121,tcLiq,"Sí")&gt;0),S2121,0))</f>
        <v/>
      </c>
      <c r="AI2121" s="52">
        <f>IF(OR(L2121="",P2121=""),"",IF(COUNTIFS(L$6:L2121,L2121,P$6:P2121,"?*")=1,MAX(AI$5:AI2120)+1,""))</f>
        <v/>
      </c>
    </row>
    <row r="2122">
      <c r="B2122" s="47" t="n"/>
      <c r="C2122" s="48" t="n"/>
      <c r="D2122" s="48" t="n"/>
      <c r="E2122" s="48" t="n"/>
      <c r="F2122" s="48" t="n"/>
      <c r="G2122" s="49" t="n"/>
      <c r="H2122" s="48" t="n"/>
      <c r="I2122" s="50" t="n"/>
      <c r="J2122" s="48" t="n"/>
      <c r="K2122" s="48" t="n"/>
      <c r="L2122" s="48" t="n"/>
      <c r="M2122" s="48" t="n"/>
      <c r="N2122" s="48" t="n"/>
      <c r="O2122" s="51">
        <f>IF(AND(B2122="",G2122="",C2122="",D2122="",J2122=""),"",IF(B2122="","⚠ Falta fecha",IF(G2122="","⚠ Falta monto",IF(Q2122="","⚠ Falta cuenta",IF(ISNA(MATCH(Q2122,ctaNombre,0)),"⚠ Cuenta no registrada",IF(AND(OR(P2122="Gasto",P2122="Reembolso"),D2122=""),"⚠ Falta categoría",IF(AND(D2122&lt;&gt;"",E2122&lt;&gt;"",ISNA(MATCH(D2122&amp;"|"&amp;E2122,catClave,0))),"⚠ Subcategoría no corresponde",IF(AND(OR(P2122="Transferencia",P2122="Pago tarjeta"),K2122=""),"⚠ Falta cuenta destino",IF(AND(K2122&lt;&gt;"",P2122&lt;&gt;"Transferencia",P2122&lt;&gt;"Pago tarjeta"),"⚠ Destino solo aplica a transferencias",IF(AND(K2122&lt;&gt;"",K2122=Q2122),"⚠ Origen igual a destino",IF(AND(K2122&lt;&gt;"",ISNA(MATCH(K2122,ctaNombre,0))),"⚠ Destino no registrado",IF(AND(P2122="Pago tarjeta",AE2122&lt;&gt;"Tarjeta de crédito"),"⚠ El destino debe ser tarjeta de crédito",IF(AND(P2122="Gasto",E2122="Depósitos y retiros"),"⚠ Usa tipo Transferencia",IF(AND(P2122="Resultado trading",AD2122&lt;&gt;"Cuenta de trading"),"⚠ Usa una cuenta de trading",IF(AND(G2122&lt;=0,P2122&lt;&gt;"Ajuste",P2122&lt;&gt;"Resultado trading"),"⚠ El monto debe ser positivo","✓")))))))))))))))</f>
        <v/>
      </c>
      <c r="P2122" s="52">
        <f>IF(OR(B2122="",G2122=""),"",IF(C2122="","Gasto",C2122))</f>
        <v/>
      </c>
      <c r="Q2122" s="52">
        <f>IF(P2122="","",IF(J2122&lt;&gt;"",J2122,CuentaPred&amp;""))</f>
        <v/>
      </c>
      <c r="R2122" s="52">
        <f>IF(P2122="","",IF(ISNUMBER(I2122),I2122,TasaUSD))</f>
        <v/>
      </c>
      <c r="S2122" s="53">
        <f>IF(P2122="","",IF(H2122="USD",G2122*R2122,G2122))</f>
        <v/>
      </c>
      <c r="T2122" s="53">
        <f>IF(P2122="","",IF(H2122="USD",G2122,IF(R2122&gt;0,G2122/R2122,0)))</f>
        <v/>
      </c>
      <c r="U2122" s="53">
        <f>IF(P2122="","",IF(P2122="Gasto",S2122,IF(P2122="Reembolso",-S2122,0)))</f>
        <v/>
      </c>
      <c r="V2122" s="53">
        <f>IF(P2122="","",IF(P2122="Ingreso",S2122,0))</f>
        <v/>
      </c>
      <c r="W2122" s="53">
        <f>IF(P2122="","",IF(P2122="Resultado trading",S2122,0))</f>
        <v/>
      </c>
      <c r="X2122" s="52">
        <f>IF(OR(P2122="Gasto",P2122="Reembolso"),IF(M2122&lt;&gt;"",M2122,IFERROR(INDEX(catClasif,MATCH(D2122&amp;"|"&amp;E2122,catClave,0))&amp;"","Variable")),"")</f>
        <v/>
      </c>
      <c r="Y2122" s="52">
        <f>IF(P2122="","",IFERROR(INDEX(catGrupo,MATCH(D2122&amp;"|"&amp;E2122,catClave,0))&amp;"",""))</f>
        <v/>
      </c>
      <c r="Z2122" s="52">
        <f>IF(P2122="","",WEEKDAY(B2122,2))</f>
        <v/>
      </c>
      <c r="AA2122" s="52">
        <f>IF(P2122="","",IF(AND(P2122="Gasto",X2122="Variable",D2122&lt;&gt;catTrading,S2122&gt;0,S2122&lt;=Umbral),1,0))</f>
        <v/>
      </c>
      <c r="AB2122" s="52">
        <f>IF(OR(P2122="",Q2122=""),"",IFERROR(IF(INDEX(ctaVinc,MATCH(Q2122,ctaNombre,0))&amp;""&lt;&gt;"",INDEX(ctaVinc,MATCH(Q2122,ctaNombre,0))&amp;"",Q2122),Q2122))</f>
        <v/>
      </c>
      <c r="AC2122" s="52">
        <f>IF(OR(K2122="",AND(P2122&lt;&gt;"Transferencia",P2122&lt;&gt;"Pago tarjeta")),"",IFERROR(IF(INDEX(ctaVinc,MATCH(K2122,ctaNombre,0))&amp;""&lt;&gt;"",INDEX(ctaVinc,MATCH(K2122,ctaNombre,0))&amp;"",K2122),K2122))</f>
        <v/>
      </c>
      <c r="AD2122" s="52">
        <f>IF(AB2122="","",IFERROR(INDEX(ctaTipo,MATCH(AB2122,ctaNombre,0))&amp;"",""))</f>
        <v/>
      </c>
      <c r="AE2122" s="52">
        <f>IF(AC2122="","",IFERROR(INDEX(ctaTipo,MATCH(AC2122,ctaNombre,0))&amp;"",""))</f>
        <v/>
      </c>
      <c r="AF2122" s="53">
        <f>IF(OR(P2122="",AB2122=""),"",IF(OR(P2122="Gasto",P2122="Transferencia",P2122="Pago tarjeta"),-1,1)*IF(IFERROR(INDEX(ctaMoneda,MATCH(AB2122,ctaNombre,0))&amp;"","DOP")="USD",T2122,S2122))</f>
        <v/>
      </c>
      <c r="AG2122" s="53">
        <f>IF(AC2122="","",IF(IFERROR(INDEX(ctaMoneda,MATCH(AC2122,ctaNombre,0))&amp;"","DOP")="USD",T2122,S2122))</f>
        <v/>
      </c>
      <c r="AH2122" s="53">
        <f>IF(P2122="","",IF(AND(AD2122&lt;&gt;"",COUNTIFS(tcTipo,AD2122,tcLiq,"Sí")&gt;0),IF(OR(P2122="Gasto",P2122="Transferencia",P2122="Pago tarjeta"),-1,1)*S2122,0)+IF(AND(AE2122&lt;&gt;"",COUNTIFS(tcTipo,AE2122,tcLiq,"Sí")&gt;0),S2122,0))</f>
        <v/>
      </c>
      <c r="AI2122" s="52">
        <f>IF(OR(L2122="",P2122=""),"",IF(COUNTIFS(L$6:L2122,L2122,P$6:P2122,"?*")=1,MAX(AI$5:AI2121)+1,""))</f>
        <v/>
      </c>
    </row>
    <row r="2123">
      <c r="B2123" s="47" t="n"/>
      <c r="C2123" s="48" t="n"/>
      <c r="D2123" s="48" t="n"/>
      <c r="E2123" s="48" t="n"/>
      <c r="F2123" s="48" t="n"/>
      <c r="G2123" s="49" t="n"/>
      <c r="H2123" s="48" t="n"/>
      <c r="I2123" s="50" t="n"/>
      <c r="J2123" s="48" t="n"/>
      <c r="K2123" s="48" t="n"/>
      <c r="L2123" s="48" t="n"/>
      <c r="M2123" s="48" t="n"/>
      <c r="N2123" s="48" t="n"/>
      <c r="O2123" s="51">
        <f>IF(AND(B2123="",G2123="",C2123="",D2123="",J2123=""),"",IF(B2123="","⚠ Falta fecha",IF(G2123="","⚠ Falta monto",IF(Q2123="","⚠ Falta cuenta",IF(ISNA(MATCH(Q2123,ctaNombre,0)),"⚠ Cuenta no registrada",IF(AND(OR(P2123="Gasto",P2123="Reembolso"),D2123=""),"⚠ Falta categoría",IF(AND(D2123&lt;&gt;"",E2123&lt;&gt;"",ISNA(MATCH(D2123&amp;"|"&amp;E2123,catClave,0))),"⚠ Subcategoría no corresponde",IF(AND(OR(P2123="Transferencia",P2123="Pago tarjeta"),K2123=""),"⚠ Falta cuenta destino",IF(AND(K2123&lt;&gt;"",P2123&lt;&gt;"Transferencia",P2123&lt;&gt;"Pago tarjeta"),"⚠ Destino solo aplica a transferencias",IF(AND(K2123&lt;&gt;"",K2123=Q2123),"⚠ Origen igual a destino",IF(AND(K2123&lt;&gt;"",ISNA(MATCH(K2123,ctaNombre,0))),"⚠ Destino no registrado",IF(AND(P2123="Pago tarjeta",AE2123&lt;&gt;"Tarjeta de crédito"),"⚠ El destino debe ser tarjeta de crédito",IF(AND(P2123="Gasto",E2123="Depósitos y retiros"),"⚠ Usa tipo Transferencia",IF(AND(P2123="Resultado trading",AD2123&lt;&gt;"Cuenta de trading"),"⚠ Usa una cuenta de trading",IF(AND(G2123&lt;=0,P2123&lt;&gt;"Ajuste",P2123&lt;&gt;"Resultado trading"),"⚠ El monto debe ser positivo","✓")))))))))))))))</f>
        <v/>
      </c>
      <c r="P2123" s="52">
        <f>IF(OR(B2123="",G2123=""),"",IF(C2123="","Gasto",C2123))</f>
        <v/>
      </c>
      <c r="Q2123" s="52">
        <f>IF(P2123="","",IF(J2123&lt;&gt;"",J2123,CuentaPred&amp;""))</f>
        <v/>
      </c>
      <c r="R2123" s="52">
        <f>IF(P2123="","",IF(ISNUMBER(I2123),I2123,TasaUSD))</f>
        <v/>
      </c>
      <c r="S2123" s="53">
        <f>IF(P2123="","",IF(H2123="USD",G2123*R2123,G2123))</f>
        <v/>
      </c>
      <c r="T2123" s="53">
        <f>IF(P2123="","",IF(H2123="USD",G2123,IF(R2123&gt;0,G2123/R2123,0)))</f>
        <v/>
      </c>
      <c r="U2123" s="53">
        <f>IF(P2123="","",IF(P2123="Gasto",S2123,IF(P2123="Reembolso",-S2123,0)))</f>
        <v/>
      </c>
      <c r="V2123" s="53">
        <f>IF(P2123="","",IF(P2123="Ingreso",S2123,0))</f>
        <v/>
      </c>
      <c r="W2123" s="53">
        <f>IF(P2123="","",IF(P2123="Resultado trading",S2123,0))</f>
        <v/>
      </c>
      <c r="X2123" s="52">
        <f>IF(OR(P2123="Gasto",P2123="Reembolso"),IF(M2123&lt;&gt;"",M2123,IFERROR(INDEX(catClasif,MATCH(D2123&amp;"|"&amp;E2123,catClave,0))&amp;"","Variable")),"")</f>
        <v/>
      </c>
      <c r="Y2123" s="52">
        <f>IF(P2123="","",IFERROR(INDEX(catGrupo,MATCH(D2123&amp;"|"&amp;E2123,catClave,0))&amp;"",""))</f>
        <v/>
      </c>
      <c r="Z2123" s="52">
        <f>IF(P2123="","",WEEKDAY(B2123,2))</f>
        <v/>
      </c>
      <c r="AA2123" s="52">
        <f>IF(P2123="","",IF(AND(P2123="Gasto",X2123="Variable",D2123&lt;&gt;catTrading,S2123&gt;0,S2123&lt;=Umbral),1,0))</f>
        <v/>
      </c>
      <c r="AB2123" s="52">
        <f>IF(OR(P2123="",Q2123=""),"",IFERROR(IF(INDEX(ctaVinc,MATCH(Q2123,ctaNombre,0))&amp;""&lt;&gt;"",INDEX(ctaVinc,MATCH(Q2123,ctaNombre,0))&amp;"",Q2123),Q2123))</f>
        <v/>
      </c>
      <c r="AC2123" s="52">
        <f>IF(OR(K2123="",AND(P2123&lt;&gt;"Transferencia",P2123&lt;&gt;"Pago tarjeta")),"",IFERROR(IF(INDEX(ctaVinc,MATCH(K2123,ctaNombre,0))&amp;""&lt;&gt;"",INDEX(ctaVinc,MATCH(K2123,ctaNombre,0))&amp;"",K2123),K2123))</f>
        <v/>
      </c>
      <c r="AD2123" s="52">
        <f>IF(AB2123="","",IFERROR(INDEX(ctaTipo,MATCH(AB2123,ctaNombre,0))&amp;"",""))</f>
        <v/>
      </c>
      <c r="AE2123" s="52">
        <f>IF(AC2123="","",IFERROR(INDEX(ctaTipo,MATCH(AC2123,ctaNombre,0))&amp;"",""))</f>
        <v/>
      </c>
      <c r="AF2123" s="53">
        <f>IF(OR(P2123="",AB2123=""),"",IF(OR(P2123="Gasto",P2123="Transferencia",P2123="Pago tarjeta"),-1,1)*IF(IFERROR(INDEX(ctaMoneda,MATCH(AB2123,ctaNombre,0))&amp;"","DOP")="USD",T2123,S2123))</f>
        <v/>
      </c>
      <c r="AG2123" s="53">
        <f>IF(AC2123="","",IF(IFERROR(INDEX(ctaMoneda,MATCH(AC2123,ctaNombre,0))&amp;"","DOP")="USD",T2123,S2123))</f>
        <v/>
      </c>
      <c r="AH2123" s="53">
        <f>IF(P2123="","",IF(AND(AD2123&lt;&gt;"",COUNTIFS(tcTipo,AD2123,tcLiq,"Sí")&gt;0),IF(OR(P2123="Gasto",P2123="Transferencia",P2123="Pago tarjeta"),-1,1)*S2123,0)+IF(AND(AE2123&lt;&gt;"",COUNTIFS(tcTipo,AE2123,tcLiq,"Sí")&gt;0),S2123,0))</f>
        <v/>
      </c>
      <c r="AI2123" s="52">
        <f>IF(OR(L2123="",P2123=""),"",IF(COUNTIFS(L$6:L2123,L2123,P$6:P2123,"?*")=1,MAX(AI$5:AI2122)+1,""))</f>
        <v/>
      </c>
    </row>
    <row r="2124">
      <c r="B2124" s="47" t="n"/>
      <c r="C2124" s="48" t="n"/>
      <c r="D2124" s="48" t="n"/>
      <c r="E2124" s="48" t="n"/>
      <c r="F2124" s="48" t="n"/>
      <c r="G2124" s="49" t="n"/>
      <c r="H2124" s="48" t="n"/>
      <c r="I2124" s="50" t="n"/>
      <c r="J2124" s="48" t="n"/>
      <c r="K2124" s="48" t="n"/>
      <c r="L2124" s="48" t="n"/>
      <c r="M2124" s="48" t="n"/>
      <c r="N2124" s="48" t="n"/>
      <c r="O2124" s="51">
        <f>IF(AND(B2124="",G2124="",C2124="",D2124="",J2124=""),"",IF(B2124="","⚠ Falta fecha",IF(G2124="","⚠ Falta monto",IF(Q2124="","⚠ Falta cuenta",IF(ISNA(MATCH(Q2124,ctaNombre,0)),"⚠ Cuenta no registrada",IF(AND(OR(P2124="Gasto",P2124="Reembolso"),D2124=""),"⚠ Falta categoría",IF(AND(D2124&lt;&gt;"",E2124&lt;&gt;"",ISNA(MATCH(D2124&amp;"|"&amp;E2124,catClave,0))),"⚠ Subcategoría no corresponde",IF(AND(OR(P2124="Transferencia",P2124="Pago tarjeta"),K2124=""),"⚠ Falta cuenta destino",IF(AND(K2124&lt;&gt;"",P2124&lt;&gt;"Transferencia",P2124&lt;&gt;"Pago tarjeta"),"⚠ Destino solo aplica a transferencias",IF(AND(K2124&lt;&gt;"",K2124=Q2124),"⚠ Origen igual a destino",IF(AND(K2124&lt;&gt;"",ISNA(MATCH(K2124,ctaNombre,0))),"⚠ Destino no registrado",IF(AND(P2124="Pago tarjeta",AE2124&lt;&gt;"Tarjeta de crédito"),"⚠ El destino debe ser tarjeta de crédito",IF(AND(P2124="Gasto",E2124="Depósitos y retiros"),"⚠ Usa tipo Transferencia",IF(AND(P2124="Resultado trading",AD2124&lt;&gt;"Cuenta de trading"),"⚠ Usa una cuenta de trading",IF(AND(G2124&lt;=0,P2124&lt;&gt;"Ajuste",P2124&lt;&gt;"Resultado trading"),"⚠ El monto debe ser positivo","✓")))))))))))))))</f>
        <v/>
      </c>
      <c r="P2124" s="52">
        <f>IF(OR(B2124="",G2124=""),"",IF(C2124="","Gasto",C2124))</f>
        <v/>
      </c>
      <c r="Q2124" s="52">
        <f>IF(P2124="","",IF(J2124&lt;&gt;"",J2124,CuentaPred&amp;""))</f>
        <v/>
      </c>
      <c r="R2124" s="52">
        <f>IF(P2124="","",IF(ISNUMBER(I2124),I2124,TasaUSD))</f>
        <v/>
      </c>
      <c r="S2124" s="53">
        <f>IF(P2124="","",IF(H2124="USD",G2124*R2124,G2124))</f>
        <v/>
      </c>
      <c r="T2124" s="53">
        <f>IF(P2124="","",IF(H2124="USD",G2124,IF(R2124&gt;0,G2124/R2124,0)))</f>
        <v/>
      </c>
      <c r="U2124" s="53">
        <f>IF(P2124="","",IF(P2124="Gasto",S2124,IF(P2124="Reembolso",-S2124,0)))</f>
        <v/>
      </c>
      <c r="V2124" s="53">
        <f>IF(P2124="","",IF(P2124="Ingreso",S2124,0))</f>
        <v/>
      </c>
      <c r="W2124" s="53">
        <f>IF(P2124="","",IF(P2124="Resultado trading",S2124,0))</f>
        <v/>
      </c>
      <c r="X2124" s="52">
        <f>IF(OR(P2124="Gasto",P2124="Reembolso"),IF(M2124&lt;&gt;"",M2124,IFERROR(INDEX(catClasif,MATCH(D2124&amp;"|"&amp;E2124,catClave,0))&amp;"","Variable")),"")</f>
        <v/>
      </c>
      <c r="Y2124" s="52">
        <f>IF(P2124="","",IFERROR(INDEX(catGrupo,MATCH(D2124&amp;"|"&amp;E2124,catClave,0))&amp;"",""))</f>
        <v/>
      </c>
      <c r="Z2124" s="52">
        <f>IF(P2124="","",WEEKDAY(B2124,2))</f>
        <v/>
      </c>
      <c r="AA2124" s="52">
        <f>IF(P2124="","",IF(AND(P2124="Gasto",X2124="Variable",D2124&lt;&gt;catTrading,S2124&gt;0,S2124&lt;=Umbral),1,0))</f>
        <v/>
      </c>
      <c r="AB2124" s="52">
        <f>IF(OR(P2124="",Q2124=""),"",IFERROR(IF(INDEX(ctaVinc,MATCH(Q2124,ctaNombre,0))&amp;""&lt;&gt;"",INDEX(ctaVinc,MATCH(Q2124,ctaNombre,0))&amp;"",Q2124),Q2124))</f>
        <v/>
      </c>
      <c r="AC2124" s="52">
        <f>IF(OR(K2124="",AND(P2124&lt;&gt;"Transferencia",P2124&lt;&gt;"Pago tarjeta")),"",IFERROR(IF(INDEX(ctaVinc,MATCH(K2124,ctaNombre,0))&amp;""&lt;&gt;"",INDEX(ctaVinc,MATCH(K2124,ctaNombre,0))&amp;"",K2124),K2124))</f>
        <v/>
      </c>
      <c r="AD2124" s="52">
        <f>IF(AB2124="","",IFERROR(INDEX(ctaTipo,MATCH(AB2124,ctaNombre,0))&amp;"",""))</f>
        <v/>
      </c>
      <c r="AE2124" s="52">
        <f>IF(AC2124="","",IFERROR(INDEX(ctaTipo,MATCH(AC2124,ctaNombre,0))&amp;"",""))</f>
        <v/>
      </c>
      <c r="AF2124" s="53">
        <f>IF(OR(P2124="",AB2124=""),"",IF(OR(P2124="Gasto",P2124="Transferencia",P2124="Pago tarjeta"),-1,1)*IF(IFERROR(INDEX(ctaMoneda,MATCH(AB2124,ctaNombre,0))&amp;"","DOP")="USD",T2124,S2124))</f>
        <v/>
      </c>
      <c r="AG2124" s="53">
        <f>IF(AC2124="","",IF(IFERROR(INDEX(ctaMoneda,MATCH(AC2124,ctaNombre,0))&amp;"","DOP")="USD",T2124,S2124))</f>
        <v/>
      </c>
      <c r="AH2124" s="53">
        <f>IF(P2124="","",IF(AND(AD2124&lt;&gt;"",COUNTIFS(tcTipo,AD2124,tcLiq,"Sí")&gt;0),IF(OR(P2124="Gasto",P2124="Transferencia",P2124="Pago tarjeta"),-1,1)*S2124,0)+IF(AND(AE2124&lt;&gt;"",COUNTIFS(tcTipo,AE2124,tcLiq,"Sí")&gt;0),S2124,0))</f>
        <v/>
      </c>
      <c r="AI2124" s="52">
        <f>IF(OR(L2124="",P2124=""),"",IF(COUNTIFS(L$6:L2124,L2124,P$6:P2124,"?*")=1,MAX(AI$5:AI2123)+1,""))</f>
        <v/>
      </c>
    </row>
    <row r="2125">
      <c r="B2125" s="47" t="n"/>
      <c r="C2125" s="48" t="n"/>
      <c r="D2125" s="48" t="n"/>
      <c r="E2125" s="48" t="n"/>
      <c r="F2125" s="48" t="n"/>
      <c r="G2125" s="49" t="n"/>
      <c r="H2125" s="48" t="n"/>
      <c r="I2125" s="50" t="n"/>
      <c r="J2125" s="48" t="n"/>
      <c r="K2125" s="48" t="n"/>
      <c r="L2125" s="48" t="n"/>
      <c r="M2125" s="48" t="n"/>
      <c r="N2125" s="48" t="n"/>
      <c r="O2125" s="51">
        <f>IF(AND(B2125="",G2125="",C2125="",D2125="",J2125=""),"",IF(B2125="","⚠ Falta fecha",IF(G2125="","⚠ Falta monto",IF(Q2125="","⚠ Falta cuenta",IF(ISNA(MATCH(Q2125,ctaNombre,0)),"⚠ Cuenta no registrada",IF(AND(OR(P2125="Gasto",P2125="Reembolso"),D2125=""),"⚠ Falta categoría",IF(AND(D2125&lt;&gt;"",E2125&lt;&gt;"",ISNA(MATCH(D2125&amp;"|"&amp;E2125,catClave,0))),"⚠ Subcategoría no corresponde",IF(AND(OR(P2125="Transferencia",P2125="Pago tarjeta"),K2125=""),"⚠ Falta cuenta destino",IF(AND(K2125&lt;&gt;"",P2125&lt;&gt;"Transferencia",P2125&lt;&gt;"Pago tarjeta"),"⚠ Destino solo aplica a transferencias",IF(AND(K2125&lt;&gt;"",K2125=Q2125),"⚠ Origen igual a destino",IF(AND(K2125&lt;&gt;"",ISNA(MATCH(K2125,ctaNombre,0))),"⚠ Destino no registrado",IF(AND(P2125="Pago tarjeta",AE2125&lt;&gt;"Tarjeta de crédito"),"⚠ El destino debe ser tarjeta de crédito",IF(AND(P2125="Gasto",E2125="Depósitos y retiros"),"⚠ Usa tipo Transferencia",IF(AND(P2125="Resultado trading",AD2125&lt;&gt;"Cuenta de trading"),"⚠ Usa una cuenta de trading",IF(AND(G2125&lt;=0,P2125&lt;&gt;"Ajuste",P2125&lt;&gt;"Resultado trading"),"⚠ El monto debe ser positivo","✓")))))))))))))))</f>
        <v/>
      </c>
      <c r="P2125" s="52">
        <f>IF(OR(B2125="",G2125=""),"",IF(C2125="","Gasto",C2125))</f>
        <v/>
      </c>
      <c r="Q2125" s="52">
        <f>IF(P2125="","",IF(J2125&lt;&gt;"",J2125,CuentaPred&amp;""))</f>
        <v/>
      </c>
      <c r="R2125" s="52">
        <f>IF(P2125="","",IF(ISNUMBER(I2125),I2125,TasaUSD))</f>
        <v/>
      </c>
      <c r="S2125" s="53">
        <f>IF(P2125="","",IF(H2125="USD",G2125*R2125,G2125))</f>
        <v/>
      </c>
      <c r="T2125" s="53">
        <f>IF(P2125="","",IF(H2125="USD",G2125,IF(R2125&gt;0,G2125/R2125,0)))</f>
        <v/>
      </c>
      <c r="U2125" s="53">
        <f>IF(P2125="","",IF(P2125="Gasto",S2125,IF(P2125="Reembolso",-S2125,0)))</f>
        <v/>
      </c>
      <c r="V2125" s="53">
        <f>IF(P2125="","",IF(P2125="Ingreso",S2125,0))</f>
        <v/>
      </c>
      <c r="W2125" s="53">
        <f>IF(P2125="","",IF(P2125="Resultado trading",S2125,0))</f>
        <v/>
      </c>
      <c r="X2125" s="52">
        <f>IF(OR(P2125="Gasto",P2125="Reembolso"),IF(M2125&lt;&gt;"",M2125,IFERROR(INDEX(catClasif,MATCH(D2125&amp;"|"&amp;E2125,catClave,0))&amp;"","Variable")),"")</f>
        <v/>
      </c>
      <c r="Y2125" s="52">
        <f>IF(P2125="","",IFERROR(INDEX(catGrupo,MATCH(D2125&amp;"|"&amp;E2125,catClave,0))&amp;"",""))</f>
        <v/>
      </c>
      <c r="Z2125" s="52">
        <f>IF(P2125="","",WEEKDAY(B2125,2))</f>
        <v/>
      </c>
      <c r="AA2125" s="52">
        <f>IF(P2125="","",IF(AND(P2125="Gasto",X2125="Variable",D2125&lt;&gt;catTrading,S2125&gt;0,S2125&lt;=Umbral),1,0))</f>
        <v/>
      </c>
      <c r="AB2125" s="52">
        <f>IF(OR(P2125="",Q2125=""),"",IFERROR(IF(INDEX(ctaVinc,MATCH(Q2125,ctaNombre,0))&amp;""&lt;&gt;"",INDEX(ctaVinc,MATCH(Q2125,ctaNombre,0))&amp;"",Q2125),Q2125))</f>
        <v/>
      </c>
      <c r="AC2125" s="52">
        <f>IF(OR(K2125="",AND(P2125&lt;&gt;"Transferencia",P2125&lt;&gt;"Pago tarjeta")),"",IFERROR(IF(INDEX(ctaVinc,MATCH(K2125,ctaNombre,0))&amp;""&lt;&gt;"",INDEX(ctaVinc,MATCH(K2125,ctaNombre,0))&amp;"",K2125),K2125))</f>
        <v/>
      </c>
      <c r="AD2125" s="52">
        <f>IF(AB2125="","",IFERROR(INDEX(ctaTipo,MATCH(AB2125,ctaNombre,0))&amp;"",""))</f>
        <v/>
      </c>
      <c r="AE2125" s="52">
        <f>IF(AC2125="","",IFERROR(INDEX(ctaTipo,MATCH(AC2125,ctaNombre,0))&amp;"",""))</f>
        <v/>
      </c>
      <c r="AF2125" s="53">
        <f>IF(OR(P2125="",AB2125=""),"",IF(OR(P2125="Gasto",P2125="Transferencia",P2125="Pago tarjeta"),-1,1)*IF(IFERROR(INDEX(ctaMoneda,MATCH(AB2125,ctaNombre,0))&amp;"","DOP")="USD",T2125,S2125))</f>
        <v/>
      </c>
      <c r="AG2125" s="53">
        <f>IF(AC2125="","",IF(IFERROR(INDEX(ctaMoneda,MATCH(AC2125,ctaNombre,0))&amp;"","DOP")="USD",T2125,S2125))</f>
        <v/>
      </c>
      <c r="AH2125" s="53">
        <f>IF(P2125="","",IF(AND(AD2125&lt;&gt;"",COUNTIFS(tcTipo,AD2125,tcLiq,"Sí")&gt;0),IF(OR(P2125="Gasto",P2125="Transferencia",P2125="Pago tarjeta"),-1,1)*S2125,0)+IF(AND(AE2125&lt;&gt;"",COUNTIFS(tcTipo,AE2125,tcLiq,"Sí")&gt;0),S2125,0))</f>
        <v/>
      </c>
      <c r="AI2125" s="52">
        <f>IF(OR(L2125="",P2125=""),"",IF(COUNTIFS(L$6:L2125,L2125,P$6:P2125,"?*")=1,MAX(AI$5:AI2124)+1,""))</f>
        <v/>
      </c>
    </row>
    <row r="2126">
      <c r="B2126" s="47" t="n"/>
      <c r="C2126" s="48" t="n"/>
      <c r="D2126" s="48" t="n"/>
      <c r="E2126" s="48" t="n"/>
      <c r="F2126" s="48" t="n"/>
      <c r="G2126" s="49" t="n"/>
      <c r="H2126" s="48" t="n"/>
      <c r="I2126" s="50" t="n"/>
      <c r="J2126" s="48" t="n"/>
      <c r="K2126" s="48" t="n"/>
      <c r="L2126" s="48" t="n"/>
      <c r="M2126" s="48" t="n"/>
      <c r="N2126" s="48" t="n"/>
      <c r="O2126" s="51">
        <f>IF(AND(B2126="",G2126="",C2126="",D2126="",J2126=""),"",IF(B2126="","⚠ Falta fecha",IF(G2126="","⚠ Falta monto",IF(Q2126="","⚠ Falta cuenta",IF(ISNA(MATCH(Q2126,ctaNombre,0)),"⚠ Cuenta no registrada",IF(AND(OR(P2126="Gasto",P2126="Reembolso"),D2126=""),"⚠ Falta categoría",IF(AND(D2126&lt;&gt;"",E2126&lt;&gt;"",ISNA(MATCH(D2126&amp;"|"&amp;E2126,catClave,0))),"⚠ Subcategoría no corresponde",IF(AND(OR(P2126="Transferencia",P2126="Pago tarjeta"),K2126=""),"⚠ Falta cuenta destino",IF(AND(K2126&lt;&gt;"",P2126&lt;&gt;"Transferencia",P2126&lt;&gt;"Pago tarjeta"),"⚠ Destino solo aplica a transferencias",IF(AND(K2126&lt;&gt;"",K2126=Q2126),"⚠ Origen igual a destino",IF(AND(K2126&lt;&gt;"",ISNA(MATCH(K2126,ctaNombre,0))),"⚠ Destino no registrado",IF(AND(P2126="Pago tarjeta",AE2126&lt;&gt;"Tarjeta de crédito"),"⚠ El destino debe ser tarjeta de crédito",IF(AND(P2126="Gasto",E2126="Depósitos y retiros"),"⚠ Usa tipo Transferencia",IF(AND(P2126="Resultado trading",AD2126&lt;&gt;"Cuenta de trading"),"⚠ Usa una cuenta de trading",IF(AND(G2126&lt;=0,P2126&lt;&gt;"Ajuste",P2126&lt;&gt;"Resultado trading"),"⚠ El monto debe ser positivo","✓")))))))))))))))</f>
        <v/>
      </c>
      <c r="P2126" s="52">
        <f>IF(OR(B2126="",G2126=""),"",IF(C2126="","Gasto",C2126))</f>
        <v/>
      </c>
      <c r="Q2126" s="52">
        <f>IF(P2126="","",IF(J2126&lt;&gt;"",J2126,CuentaPred&amp;""))</f>
        <v/>
      </c>
      <c r="R2126" s="52">
        <f>IF(P2126="","",IF(ISNUMBER(I2126),I2126,TasaUSD))</f>
        <v/>
      </c>
      <c r="S2126" s="53">
        <f>IF(P2126="","",IF(H2126="USD",G2126*R2126,G2126))</f>
        <v/>
      </c>
      <c r="T2126" s="53">
        <f>IF(P2126="","",IF(H2126="USD",G2126,IF(R2126&gt;0,G2126/R2126,0)))</f>
        <v/>
      </c>
      <c r="U2126" s="53">
        <f>IF(P2126="","",IF(P2126="Gasto",S2126,IF(P2126="Reembolso",-S2126,0)))</f>
        <v/>
      </c>
      <c r="V2126" s="53">
        <f>IF(P2126="","",IF(P2126="Ingreso",S2126,0))</f>
        <v/>
      </c>
      <c r="W2126" s="53">
        <f>IF(P2126="","",IF(P2126="Resultado trading",S2126,0))</f>
        <v/>
      </c>
      <c r="X2126" s="52">
        <f>IF(OR(P2126="Gasto",P2126="Reembolso"),IF(M2126&lt;&gt;"",M2126,IFERROR(INDEX(catClasif,MATCH(D2126&amp;"|"&amp;E2126,catClave,0))&amp;"","Variable")),"")</f>
        <v/>
      </c>
      <c r="Y2126" s="52">
        <f>IF(P2126="","",IFERROR(INDEX(catGrupo,MATCH(D2126&amp;"|"&amp;E2126,catClave,0))&amp;"",""))</f>
        <v/>
      </c>
      <c r="Z2126" s="52">
        <f>IF(P2126="","",WEEKDAY(B2126,2))</f>
        <v/>
      </c>
      <c r="AA2126" s="52">
        <f>IF(P2126="","",IF(AND(P2126="Gasto",X2126="Variable",D2126&lt;&gt;catTrading,S2126&gt;0,S2126&lt;=Umbral),1,0))</f>
        <v/>
      </c>
      <c r="AB2126" s="52">
        <f>IF(OR(P2126="",Q2126=""),"",IFERROR(IF(INDEX(ctaVinc,MATCH(Q2126,ctaNombre,0))&amp;""&lt;&gt;"",INDEX(ctaVinc,MATCH(Q2126,ctaNombre,0))&amp;"",Q2126),Q2126))</f>
        <v/>
      </c>
      <c r="AC2126" s="52">
        <f>IF(OR(K2126="",AND(P2126&lt;&gt;"Transferencia",P2126&lt;&gt;"Pago tarjeta")),"",IFERROR(IF(INDEX(ctaVinc,MATCH(K2126,ctaNombre,0))&amp;""&lt;&gt;"",INDEX(ctaVinc,MATCH(K2126,ctaNombre,0))&amp;"",K2126),K2126))</f>
        <v/>
      </c>
      <c r="AD2126" s="52">
        <f>IF(AB2126="","",IFERROR(INDEX(ctaTipo,MATCH(AB2126,ctaNombre,0))&amp;"",""))</f>
        <v/>
      </c>
      <c r="AE2126" s="52">
        <f>IF(AC2126="","",IFERROR(INDEX(ctaTipo,MATCH(AC2126,ctaNombre,0))&amp;"",""))</f>
        <v/>
      </c>
      <c r="AF2126" s="53">
        <f>IF(OR(P2126="",AB2126=""),"",IF(OR(P2126="Gasto",P2126="Transferencia",P2126="Pago tarjeta"),-1,1)*IF(IFERROR(INDEX(ctaMoneda,MATCH(AB2126,ctaNombre,0))&amp;"","DOP")="USD",T2126,S2126))</f>
        <v/>
      </c>
      <c r="AG2126" s="53">
        <f>IF(AC2126="","",IF(IFERROR(INDEX(ctaMoneda,MATCH(AC2126,ctaNombre,0))&amp;"","DOP")="USD",T2126,S2126))</f>
        <v/>
      </c>
      <c r="AH2126" s="53">
        <f>IF(P2126="","",IF(AND(AD2126&lt;&gt;"",COUNTIFS(tcTipo,AD2126,tcLiq,"Sí")&gt;0),IF(OR(P2126="Gasto",P2126="Transferencia",P2126="Pago tarjeta"),-1,1)*S2126,0)+IF(AND(AE2126&lt;&gt;"",COUNTIFS(tcTipo,AE2126,tcLiq,"Sí")&gt;0),S2126,0))</f>
        <v/>
      </c>
      <c r="AI2126" s="52">
        <f>IF(OR(L2126="",P2126=""),"",IF(COUNTIFS(L$6:L2126,L2126,P$6:P2126,"?*")=1,MAX(AI$5:AI2125)+1,""))</f>
        <v/>
      </c>
    </row>
    <row r="2127">
      <c r="B2127" s="47" t="n"/>
      <c r="C2127" s="48" t="n"/>
      <c r="D2127" s="48" t="n"/>
      <c r="E2127" s="48" t="n"/>
      <c r="F2127" s="48" t="n"/>
      <c r="G2127" s="49" t="n"/>
      <c r="H2127" s="48" t="n"/>
      <c r="I2127" s="50" t="n"/>
      <c r="J2127" s="48" t="n"/>
      <c r="K2127" s="48" t="n"/>
      <c r="L2127" s="48" t="n"/>
      <c r="M2127" s="48" t="n"/>
      <c r="N2127" s="48" t="n"/>
      <c r="O2127" s="51">
        <f>IF(AND(B2127="",G2127="",C2127="",D2127="",J2127=""),"",IF(B2127="","⚠ Falta fecha",IF(G2127="","⚠ Falta monto",IF(Q2127="","⚠ Falta cuenta",IF(ISNA(MATCH(Q2127,ctaNombre,0)),"⚠ Cuenta no registrada",IF(AND(OR(P2127="Gasto",P2127="Reembolso"),D2127=""),"⚠ Falta categoría",IF(AND(D2127&lt;&gt;"",E2127&lt;&gt;"",ISNA(MATCH(D2127&amp;"|"&amp;E2127,catClave,0))),"⚠ Subcategoría no corresponde",IF(AND(OR(P2127="Transferencia",P2127="Pago tarjeta"),K2127=""),"⚠ Falta cuenta destino",IF(AND(K2127&lt;&gt;"",P2127&lt;&gt;"Transferencia",P2127&lt;&gt;"Pago tarjeta"),"⚠ Destino solo aplica a transferencias",IF(AND(K2127&lt;&gt;"",K2127=Q2127),"⚠ Origen igual a destino",IF(AND(K2127&lt;&gt;"",ISNA(MATCH(K2127,ctaNombre,0))),"⚠ Destino no registrado",IF(AND(P2127="Pago tarjeta",AE2127&lt;&gt;"Tarjeta de crédito"),"⚠ El destino debe ser tarjeta de crédito",IF(AND(P2127="Gasto",E2127="Depósitos y retiros"),"⚠ Usa tipo Transferencia",IF(AND(P2127="Resultado trading",AD2127&lt;&gt;"Cuenta de trading"),"⚠ Usa una cuenta de trading",IF(AND(G2127&lt;=0,P2127&lt;&gt;"Ajuste",P2127&lt;&gt;"Resultado trading"),"⚠ El monto debe ser positivo","✓")))))))))))))))</f>
        <v/>
      </c>
      <c r="P2127" s="52">
        <f>IF(OR(B2127="",G2127=""),"",IF(C2127="","Gasto",C2127))</f>
        <v/>
      </c>
      <c r="Q2127" s="52">
        <f>IF(P2127="","",IF(J2127&lt;&gt;"",J2127,CuentaPred&amp;""))</f>
        <v/>
      </c>
      <c r="R2127" s="52">
        <f>IF(P2127="","",IF(ISNUMBER(I2127),I2127,TasaUSD))</f>
        <v/>
      </c>
      <c r="S2127" s="53">
        <f>IF(P2127="","",IF(H2127="USD",G2127*R2127,G2127))</f>
        <v/>
      </c>
      <c r="T2127" s="53">
        <f>IF(P2127="","",IF(H2127="USD",G2127,IF(R2127&gt;0,G2127/R2127,0)))</f>
        <v/>
      </c>
      <c r="U2127" s="53">
        <f>IF(P2127="","",IF(P2127="Gasto",S2127,IF(P2127="Reembolso",-S2127,0)))</f>
        <v/>
      </c>
      <c r="V2127" s="53">
        <f>IF(P2127="","",IF(P2127="Ingreso",S2127,0))</f>
        <v/>
      </c>
      <c r="W2127" s="53">
        <f>IF(P2127="","",IF(P2127="Resultado trading",S2127,0))</f>
        <v/>
      </c>
      <c r="X2127" s="52">
        <f>IF(OR(P2127="Gasto",P2127="Reembolso"),IF(M2127&lt;&gt;"",M2127,IFERROR(INDEX(catClasif,MATCH(D2127&amp;"|"&amp;E2127,catClave,0))&amp;"","Variable")),"")</f>
        <v/>
      </c>
      <c r="Y2127" s="52">
        <f>IF(P2127="","",IFERROR(INDEX(catGrupo,MATCH(D2127&amp;"|"&amp;E2127,catClave,0))&amp;"",""))</f>
        <v/>
      </c>
      <c r="Z2127" s="52">
        <f>IF(P2127="","",WEEKDAY(B2127,2))</f>
        <v/>
      </c>
      <c r="AA2127" s="52">
        <f>IF(P2127="","",IF(AND(P2127="Gasto",X2127="Variable",D2127&lt;&gt;catTrading,S2127&gt;0,S2127&lt;=Umbral),1,0))</f>
        <v/>
      </c>
      <c r="AB2127" s="52">
        <f>IF(OR(P2127="",Q2127=""),"",IFERROR(IF(INDEX(ctaVinc,MATCH(Q2127,ctaNombre,0))&amp;""&lt;&gt;"",INDEX(ctaVinc,MATCH(Q2127,ctaNombre,0))&amp;"",Q2127),Q2127))</f>
        <v/>
      </c>
      <c r="AC2127" s="52">
        <f>IF(OR(K2127="",AND(P2127&lt;&gt;"Transferencia",P2127&lt;&gt;"Pago tarjeta")),"",IFERROR(IF(INDEX(ctaVinc,MATCH(K2127,ctaNombre,0))&amp;""&lt;&gt;"",INDEX(ctaVinc,MATCH(K2127,ctaNombre,0))&amp;"",K2127),K2127))</f>
        <v/>
      </c>
      <c r="AD2127" s="52">
        <f>IF(AB2127="","",IFERROR(INDEX(ctaTipo,MATCH(AB2127,ctaNombre,0))&amp;"",""))</f>
        <v/>
      </c>
      <c r="AE2127" s="52">
        <f>IF(AC2127="","",IFERROR(INDEX(ctaTipo,MATCH(AC2127,ctaNombre,0))&amp;"",""))</f>
        <v/>
      </c>
      <c r="AF2127" s="53">
        <f>IF(OR(P2127="",AB2127=""),"",IF(OR(P2127="Gasto",P2127="Transferencia",P2127="Pago tarjeta"),-1,1)*IF(IFERROR(INDEX(ctaMoneda,MATCH(AB2127,ctaNombre,0))&amp;"","DOP")="USD",T2127,S2127))</f>
        <v/>
      </c>
      <c r="AG2127" s="53">
        <f>IF(AC2127="","",IF(IFERROR(INDEX(ctaMoneda,MATCH(AC2127,ctaNombre,0))&amp;"","DOP")="USD",T2127,S2127))</f>
        <v/>
      </c>
      <c r="AH2127" s="53">
        <f>IF(P2127="","",IF(AND(AD2127&lt;&gt;"",COUNTIFS(tcTipo,AD2127,tcLiq,"Sí")&gt;0),IF(OR(P2127="Gasto",P2127="Transferencia",P2127="Pago tarjeta"),-1,1)*S2127,0)+IF(AND(AE2127&lt;&gt;"",COUNTIFS(tcTipo,AE2127,tcLiq,"Sí")&gt;0),S2127,0))</f>
        <v/>
      </c>
      <c r="AI2127" s="52">
        <f>IF(OR(L2127="",P2127=""),"",IF(COUNTIFS(L$6:L2127,L2127,P$6:P2127,"?*")=1,MAX(AI$5:AI2126)+1,""))</f>
        <v/>
      </c>
    </row>
    <row r="2128">
      <c r="B2128" s="47" t="n"/>
      <c r="C2128" s="48" t="n"/>
      <c r="D2128" s="48" t="n"/>
      <c r="E2128" s="48" t="n"/>
      <c r="F2128" s="48" t="n"/>
      <c r="G2128" s="49" t="n"/>
      <c r="H2128" s="48" t="n"/>
      <c r="I2128" s="50" t="n"/>
      <c r="J2128" s="48" t="n"/>
      <c r="K2128" s="48" t="n"/>
      <c r="L2128" s="48" t="n"/>
      <c r="M2128" s="48" t="n"/>
      <c r="N2128" s="48" t="n"/>
      <c r="O2128" s="51">
        <f>IF(AND(B2128="",G2128="",C2128="",D2128="",J2128=""),"",IF(B2128="","⚠ Falta fecha",IF(G2128="","⚠ Falta monto",IF(Q2128="","⚠ Falta cuenta",IF(ISNA(MATCH(Q2128,ctaNombre,0)),"⚠ Cuenta no registrada",IF(AND(OR(P2128="Gasto",P2128="Reembolso"),D2128=""),"⚠ Falta categoría",IF(AND(D2128&lt;&gt;"",E2128&lt;&gt;"",ISNA(MATCH(D2128&amp;"|"&amp;E2128,catClave,0))),"⚠ Subcategoría no corresponde",IF(AND(OR(P2128="Transferencia",P2128="Pago tarjeta"),K2128=""),"⚠ Falta cuenta destino",IF(AND(K2128&lt;&gt;"",P2128&lt;&gt;"Transferencia",P2128&lt;&gt;"Pago tarjeta"),"⚠ Destino solo aplica a transferencias",IF(AND(K2128&lt;&gt;"",K2128=Q2128),"⚠ Origen igual a destino",IF(AND(K2128&lt;&gt;"",ISNA(MATCH(K2128,ctaNombre,0))),"⚠ Destino no registrado",IF(AND(P2128="Pago tarjeta",AE2128&lt;&gt;"Tarjeta de crédito"),"⚠ El destino debe ser tarjeta de crédito",IF(AND(P2128="Gasto",E2128="Depósitos y retiros"),"⚠ Usa tipo Transferencia",IF(AND(P2128="Resultado trading",AD2128&lt;&gt;"Cuenta de trading"),"⚠ Usa una cuenta de trading",IF(AND(G2128&lt;=0,P2128&lt;&gt;"Ajuste",P2128&lt;&gt;"Resultado trading"),"⚠ El monto debe ser positivo","✓")))))))))))))))</f>
        <v/>
      </c>
      <c r="P2128" s="52">
        <f>IF(OR(B2128="",G2128=""),"",IF(C2128="","Gasto",C2128))</f>
        <v/>
      </c>
      <c r="Q2128" s="52">
        <f>IF(P2128="","",IF(J2128&lt;&gt;"",J2128,CuentaPred&amp;""))</f>
        <v/>
      </c>
      <c r="R2128" s="52">
        <f>IF(P2128="","",IF(ISNUMBER(I2128),I2128,TasaUSD))</f>
        <v/>
      </c>
      <c r="S2128" s="53">
        <f>IF(P2128="","",IF(H2128="USD",G2128*R2128,G2128))</f>
        <v/>
      </c>
      <c r="T2128" s="53">
        <f>IF(P2128="","",IF(H2128="USD",G2128,IF(R2128&gt;0,G2128/R2128,0)))</f>
        <v/>
      </c>
      <c r="U2128" s="53">
        <f>IF(P2128="","",IF(P2128="Gasto",S2128,IF(P2128="Reembolso",-S2128,0)))</f>
        <v/>
      </c>
      <c r="V2128" s="53">
        <f>IF(P2128="","",IF(P2128="Ingreso",S2128,0))</f>
        <v/>
      </c>
      <c r="W2128" s="53">
        <f>IF(P2128="","",IF(P2128="Resultado trading",S2128,0))</f>
        <v/>
      </c>
      <c r="X2128" s="52">
        <f>IF(OR(P2128="Gasto",P2128="Reembolso"),IF(M2128&lt;&gt;"",M2128,IFERROR(INDEX(catClasif,MATCH(D2128&amp;"|"&amp;E2128,catClave,0))&amp;"","Variable")),"")</f>
        <v/>
      </c>
      <c r="Y2128" s="52">
        <f>IF(P2128="","",IFERROR(INDEX(catGrupo,MATCH(D2128&amp;"|"&amp;E2128,catClave,0))&amp;"",""))</f>
        <v/>
      </c>
      <c r="Z2128" s="52">
        <f>IF(P2128="","",WEEKDAY(B2128,2))</f>
        <v/>
      </c>
      <c r="AA2128" s="52">
        <f>IF(P2128="","",IF(AND(P2128="Gasto",X2128="Variable",D2128&lt;&gt;catTrading,S2128&gt;0,S2128&lt;=Umbral),1,0))</f>
        <v/>
      </c>
      <c r="AB2128" s="52">
        <f>IF(OR(P2128="",Q2128=""),"",IFERROR(IF(INDEX(ctaVinc,MATCH(Q2128,ctaNombre,0))&amp;""&lt;&gt;"",INDEX(ctaVinc,MATCH(Q2128,ctaNombre,0))&amp;"",Q2128),Q2128))</f>
        <v/>
      </c>
      <c r="AC2128" s="52">
        <f>IF(OR(K2128="",AND(P2128&lt;&gt;"Transferencia",P2128&lt;&gt;"Pago tarjeta")),"",IFERROR(IF(INDEX(ctaVinc,MATCH(K2128,ctaNombre,0))&amp;""&lt;&gt;"",INDEX(ctaVinc,MATCH(K2128,ctaNombre,0))&amp;"",K2128),K2128))</f>
        <v/>
      </c>
      <c r="AD2128" s="52">
        <f>IF(AB2128="","",IFERROR(INDEX(ctaTipo,MATCH(AB2128,ctaNombre,0))&amp;"",""))</f>
        <v/>
      </c>
      <c r="AE2128" s="52">
        <f>IF(AC2128="","",IFERROR(INDEX(ctaTipo,MATCH(AC2128,ctaNombre,0))&amp;"",""))</f>
        <v/>
      </c>
      <c r="AF2128" s="53">
        <f>IF(OR(P2128="",AB2128=""),"",IF(OR(P2128="Gasto",P2128="Transferencia",P2128="Pago tarjeta"),-1,1)*IF(IFERROR(INDEX(ctaMoneda,MATCH(AB2128,ctaNombre,0))&amp;"","DOP")="USD",T2128,S2128))</f>
        <v/>
      </c>
      <c r="AG2128" s="53">
        <f>IF(AC2128="","",IF(IFERROR(INDEX(ctaMoneda,MATCH(AC2128,ctaNombre,0))&amp;"","DOP")="USD",T2128,S2128))</f>
        <v/>
      </c>
      <c r="AH2128" s="53">
        <f>IF(P2128="","",IF(AND(AD2128&lt;&gt;"",COUNTIFS(tcTipo,AD2128,tcLiq,"Sí")&gt;0),IF(OR(P2128="Gasto",P2128="Transferencia",P2128="Pago tarjeta"),-1,1)*S2128,0)+IF(AND(AE2128&lt;&gt;"",COUNTIFS(tcTipo,AE2128,tcLiq,"Sí")&gt;0),S2128,0))</f>
        <v/>
      </c>
      <c r="AI2128" s="52">
        <f>IF(OR(L2128="",P2128=""),"",IF(COUNTIFS(L$6:L2128,L2128,P$6:P2128,"?*")=1,MAX(AI$5:AI2127)+1,""))</f>
        <v/>
      </c>
    </row>
    <row r="2129">
      <c r="B2129" s="47" t="n"/>
      <c r="C2129" s="48" t="n"/>
      <c r="D2129" s="48" t="n"/>
      <c r="E2129" s="48" t="n"/>
      <c r="F2129" s="48" t="n"/>
      <c r="G2129" s="49" t="n"/>
      <c r="H2129" s="48" t="n"/>
      <c r="I2129" s="50" t="n"/>
      <c r="J2129" s="48" t="n"/>
      <c r="K2129" s="48" t="n"/>
      <c r="L2129" s="48" t="n"/>
      <c r="M2129" s="48" t="n"/>
      <c r="N2129" s="48" t="n"/>
      <c r="O2129" s="51">
        <f>IF(AND(B2129="",G2129="",C2129="",D2129="",J2129=""),"",IF(B2129="","⚠ Falta fecha",IF(G2129="","⚠ Falta monto",IF(Q2129="","⚠ Falta cuenta",IF(ISNA(MATCH(Q2129,ctaNombre,0)),"⚠ Cuenta no registrada",IF(AND(OR(P2129="Gasto",P2129="Reembolso"),D2129=""),"⚠ Falta categoría",IF(AND(D2129&lt;&gt;"",E2129&lt;&gt;"",ISNA(MATCH(D2129&amp;"|"&amp;E2129,catClave,0))),"⚠ Subcategoría no corresponde",IF(AND(OR(P2129="Transferencia",P2129="Pago tarjeta"),K2129=""),"⚠ Falta cuenta destino",IF(AND(K2129&lt;&gt;"",P2129&lt;&gt;"Transferencia",P2129&lt;&gt;"Pago tarjeta"),"⚠ Destino solo aplica a transferencias",IF(AND(K2129&lt;&gt;"",K2129=Q2129),"⚠ Origen igual a destino",IF(AND(K2129&lt;&gt;"",ISNA(MATCH(K2129,ctaNombre,0))),"⚠ Destino no registrado",IF(AND(P2129="Pago tarjeta",AE2129&lt;&gt;"Tarjeta de crédito"),"⚠ El destino debe ser tarjeta de crédito",IF(AND(P2129="Gasto",E2129="Depósitos y retiros"),"⚠ Usa tipo Transferencia",IF(AND(P2129="Resultado trading",AD2129&lt;&gt;"Cuenta de trading"),"⚠ Usa una cuenta de trading",IF(AND(G2129&lt;=0,P2129&lt;&gt;"Ajuste",P2129&lt;&gt;"Resultado trading"),"⚠ El monto debe ser positivo","✓")))))))))))))))</f>
        <v/>
      </c>
      <c r="P2129" s="52">
        <f>IF(OR(B2129="",G2129=""),"",IF(C2129="","Gasto",C2129))</f>
        <v/>
      </c>
      <c r="Q2129" s="52">
        <f>IF(P2129="","",IF(J2129&lt;&gt;"",J2129,CuentaPred&amp;""))</f>
        <v/>
      </c>
      <c r="R2129" s="52">
        <f>IF(P2129="","",IF(ISNUMBER(I2129),I2129,TasaUSD))</f>
        <v/>
      </c>
      <c r="S2129" s="53">
        <f>IF(P2129="","",IF(H2129="USD",G2129*R2129,G2129))</f>
        <v/>
      </c>
      <c r="T2129" s="53">
        <f>IF(P2129="","",IF(H2129="USD",G2129,IF(R2129&gt;0,G2129/R2129,0)))</f>
        <v/>
      </c>
      <c r="U2129" s="53">
        <f>IF(P2129="","",IF(P2129="Gasto",S2129,IF(P2129="Reembolso",-S2129,0)))</f>
        <v/>
      </c>
      <c r="V2129" s="53">
        <f>IF(P2129="","",IF(P2129="Ingreso",S2129,0))</f>
        <v/>
      </c>
      <c r="W2129" s="53">
        <f>IF(P2129="","",IF(P2129="Resultado trading",S2129,0))</f>
        <v/>
      </c>
      <c r="X2129" s="52">
        <f>IF(OR(P2129="Gasto",P2129="Reembolso"),IF(M2129&lt;&gt;"",M2129,IFERROR(INDEX(catClasif,MATCH(D2129&amp;"|"&amp;E2129,catClave,0))&amp;"","Variable")),"")</f>
        <v/>
      </c>
      <c r="Y2129" s="52">
        <f>IF(P2129="","",IFERROR(INDEX(catGrupo,MATCH(D2129&amp;"|"&amp;E2129,catClave,0))&amp;"",""))</f>
        <v/>
      </c>
      <c r="Z2129" s="52">
        <f>IF(P2129="","",WEEKDAY(B2129,2))</f>
        <v/>
      </c>
      <c r="AA2129" s="52">
        <f>IF(P2129="","",IF(AND(P2129="Gasto",X2129="Variable",D2129&lt;&gt;catTrading,S2129&gt;0,S2129&lt;=Umbral),1,0))</f>
        <v/>
      </c>
      <c r="AB2129" s="52">
        <f>IF(OR(P2129="",Q2129=""),"",IFERROR(IF(INDEX(ctaVinc,MATCH(Q2129,ctaNombre,0))&amp;""&lt;&gt;"",INDEX(ctaVinc,MATCH(Q2129,ctaNombre,0))&amp;"",Q2129),Q2129))</f>
        <v/>
      </c>
      <c r="AC2129" s="52">
        <f>IF(OR(K2129="",AND(P2129&lt;&gt;"Transferencia",P2129&lt;&gt;"Pago tarjeta")),"",IFERROR(IF(INDEX(ctaVinc,MATCH(K2129,ctaNombre,0))&amp;""&lt;&gt;"",INDEX(ctaVinc,MATCH(K2129,ctaNombre,0))&amp;"",K2129),K2129))</f>
        <v/>
      </c>
      <c r="AD2129" s="52">
        <f>IF(AB2129="","",IFERROR(INDEX(ctaTipo,MATCH(AB2129,ctaNombre,0))&amp;"",""))</f>
        <v/>
      </c>
      <c r="AE2129" s="52">
        <f>IF(AC2129="","",IFERROR(INDEX(ctaTipo,MATCH(AC2129,ctaNombre,0))&amp;"",""))</f>
        <v/>
      </c>
      <c r="AF2129" s="53">
        <f>IF(OR(P2129="",AB2129=""),"",IF(OR(P2129="Gasto",P2129="Transferencia",P2129="Pago tarjeta"),-1,1)*IF(IFERROR(INDEX(ctaMoneda,MATCH(AB2129,ctaNombre,0))&amp;"","DOP")="USD",T2129,S2129))</f>
        <v/>
      </c>
      <c r="AG2129" s="53">
        <f>IF(AC2129="","",IF(IFERROR(INDEX(ctaMoneda,MATCH(AC2129,ctaNombre,0))&amp;"","DOP")="USD",T2129,S2129))</f>
        <v/>
      </c>
      <c r="AH2129" s="53">
        <f>IF(P2129="","",IF(AND(AD2129&lt;&gt;"",COUNTIFS(tcTipo,AD2129,tcLiq,"Sí")&gt;0),IF(OR(P2129="Gasto",P2129="Transferencia",P2129="Pago tarjeta"),-1,1)*S2129,0)+IF(AND(AE2129&lt;&gt;"",COUNTIFS(tcTipo,AE2129,tcLiq,"Sí")&gt;0),S2129,0))</f>
        <v/>
      </c>
      <c r="AI2129" s="52">
        <f>IF(OR(L2129="",P2129=""),"",IF(COUNTIFS(L$6:L2129,L2129,P$6:P2129,"?*")=1,MAX(AI$5:AI2128)+1,""))</f>
        <v/>
      </c>
    </row>
    <row r="2130">
      <c r="B2130" s="47" t="n"/>
      <c r="C2130" s="48" t="n"/>
      <c r="D2130" s="48" t="n"/>
      <c r="E2130" s="48" t="n"/>
      <c r="F2130" s="48" t="n"/>
      <c r="G2130" s="49" t="n"/>
      <c r="H2130" s="48" t="n"/>
      <c r="I2130" s="50" t="n"/>
      <c r="J2130" s="48" t="n"/>
      <c r="K2130" s="48" t="n"/>
      <c r="L2130" s="48" t="n"/>
      <c r="M2130" s="48" t="n"/>
      <c r="N2130" s="48" t="n"/>
      <c r="O2130" s="51">
        <f>IF(AND(B2130="",G2130="",C2130="",D2130="",J2130=""),"",IF(B2130="","⚠ Falta fecha",IF(G2130="","⚠ Falta monto",IF(Q2130="","⚠ Falta cuenta",IF(ISNA(MATCH(Q2130,ctaNombre,0)),"⚠ Cuenta no registrada",IF(AND(OR(P2130="Gasto",P2130="Reembolso"),D2130=""),"⚠ Falta categoría",IF(AND(D2130&lt;&gt;"",E2130&lt;&gt;"",ISNA(MATCH(D2130&amp;"|"&amp;E2130,catClave,0))),"⚠ Subcategoría no corresponde",IF(AND(OR(P2130="Transferencia",P2130="Pago tarjeta"),K2130=""),"⚠ Falta cuenta destino",IF(AND(K2130&lt;&gt;"",P2130&lt;&gt;"Transferencia",P2130&lt;&gt;"Pago tarjeta"),"⚠ Destino solo aplica a transferencias",IF(AND(K2130&lt;&gt;"",K2130=Q2130),"⚠ Origen igual a destino",IF(AND(K2130&lt;&gt;"",ISNA(MATCH(K2130,ctaNombre,0))),"⚠ Destino no registrado",IF(AND(P2130="Pago tarjeta",AE2130&lt;&gt;"Tarjeta de crédito"),"⚠ El destino debe ser tarjeta de crédito",IF(AND(P2130="Gasto",E2130="Depósitos y retiros"),"⚠ Usa tipo Transferencia",IF(AND(P2130="Resultado trading",AD2130&lt;&gt;"Cuenta de trading"),"⚠ Usa una cuenta de trading",IF(AND(G2130&lt;=0,P2130&lt;&gt;"Ajuste",P2130&lt;&gt;"Resultado trading"),"⚠ El monto debe ser positivo","✓")))))))))))))))</f>
        <v/>
      </c>
      <c r="P2130" s="52">
        <f>IF(OR(B2130="",G2130=""),"",IF(C2130="","Gasto",C2130))</f>
        <v/>
      </c>
      <c r="Q2130" s="52">
        <f>IF(P2130="","",IF(J2130&lt;&gt;"",J2130,CuentaPred&amp;""))</f>
        <v/>
      </c>
      <c r="R2130" s="52">
        <f>IF(P2130="","",IF(ISNUMBER(I2130),I2130,TasaUSD))</f>
        <v/>
      </c>
      <c r="S2130" s="53">
        <f>IF(P2130="","",IF(H2130="USD",G2130*R2130,G2130))</f>
        <v/>
      </c>
      <c r="T2130" s="53">
        <f>IF(P2130="","",IF(H2130="USD",G2130,IF(R2130&gt;0,G2130/R2130,0)))</f>
        <v/>
      </c>
      <c r="U2130" s="53">
        <f>IF(P2130="","",IF(P2130="Gasto",S2130,IF(P2130="Reembolso",-S2130,0)))</f>
        <v/>
      </c>
      <c r="V2130" s="53">
        <f>IF(P2130="","",IF(P2130="Ingreso",S2130,0))</f>
        <v/>
      </c>
      <c r="W2130" s="53">
        <f>IF(P2130="","",IF(P2130="Resultado trading",S2130,0))</f>
        <v/>
      </c>
      <c r="X2130" s="52">
        <f>IF(OR(P2130="Gasto",P2130="Reembolso"),IF(M2130&lt;&gt;"",M2130,IFERROR(INDEX(catClasif,MATCH(D2130&amp;"|"&amp;E2130,catClave,0))&amp;"","Variable")),"")</f>
        <v/>
      </c>
      <c r="Y2130" s="52">
        <f>IF(P2130="","",IFERROR(INDEX(catGrupo,MATCH(D2130&amp;"|"&amp;E2130,catClave,0))&amp;"",""))</f>
        <v/>
      </c>
      <c r="Z2130" s="52">
        <f>IF(P2130="","",WEEKDAY(B2130,2))</f>
        <v/>
      </c>
      <c r="AA2130" s="52">
        <f>IF(P2130="","",IF(AND(P2130="Gasto",X2130="Variable",D2130&lt;&gt;catTrading,S2130&gt;0,S2130&lt;=Umbral),1,0))</f>
        <v/>
      </c>
      <c r="AB2130" s="52">
        <f>IF(OR(P2130="",Q2130=""),"",IFERROR(IF(INDEX(ctaVinc,MATCH(Q2130,ctaNombre,0))&amp;""&lt;&gt;"",INDEX(ctaVinc,MATCH(Q2130,ctaNombre,0))&amp;"",Q2130),Q2130))</f>
        <v/>
      </c>
      <c r="AC2130" s="52">
        <f>IF(OR(K2130="",AND(P2130&lt;&gt;"Transferencia",P2130&lt;&gt;"Pago tarjeta")),"",IFERROR(IF(INDEX(ctaVinc,MATCH(K2130,ctaNombre,0))&amp;""&lt;&gt;"",INDEX(ctaVinc,MATCH(K2130,ctaNombre,0))&amp;"",K2130),K2130))</f>
        <v/>
      </c>
      <c r="AD2130" s="52">
        <f>IF(AB2130="","",IFERROR(INDEX(ctaTipo,MATCH(AB2130,ctaNombre,0))&amp;"",""))</f>
        <v/>
      </c>
      <c r="AE2130" s="52">
        <f>IF(AC2130="","",IFERROR(INDEX(ctaTipo,MATCH(AC2130,ctaNombre,0))&amp;"",""))</f>
        <v/>
      </c>
      <c r="AF2130" s="53">
        <f>IF(OR(P2130="",AB2130=""),"",IF(OR(P2130="Gasto",P2130="Transferencia",P2130="Pago tarjeta"),-1,1)*IF(IFERROR(INDEX(ctaMoneda,MATCH(AB2130,ctaNombre,0))&amp;"","DOP")="USD",T2130,S2130))</f>
        <v/>
      </c>
      <c r="AG2130" s="53">
        <f>IF(AC2130="","",IF(IFERROR(INDEX(ctaMoneda,MATCH(AC2130,ctaNombre,0))&amp;"","DOP")="USD",T2130,S2130))</f>
        <v/>
      </c>
      <c r="AH2130" s="53">
        <f>IF(P2130="","",IF(AND(AD2130&lt;&gt;"",COUNTIFS(tcTipo,AD2130,tcLiq,"Sí")&gt;0),IF(OR(P2130="Gasto",P2130="Transferencia",P2130="Pago tarjeta"),-1,1)*S2130,0)+IF(AND(AE2130&lt;&gt;"",COUNTIFS(tcTipo,AE2130,tcLiq,"Sí")&gt;0),S2130,0))</f>
        <v/>
      </c>
      <c r="AI2130" s="52">
        <f>IF(OR(L2130="",P2130=""),"",IF(COUNTIFS(L$6:L2130,L2130,P$6:P2130,"?*")=1,MAX(AI$5:AI2129)+1,""))</f>
        <v/>
      </c>
    </row>
    <row r="2131">
      <c r="B2131" s="47" t="n"/>
      <c r="C2131" s="48" t="n"/>
      <c r="D2131" s="48" t="n"/>
      <c r="E2131" s="48" t="n"/>
      <c r="F2131" s="48" t="n"/>
      <c r="G2131" s="49" t="n"/>
      <c r="H2131" s="48" t="n"/>
      <c r="I2131" s="50" t="n"/>
      <c r="J2131" s="48" t="n"/>
      <c r="K2131" s="48" t="n"/>
      <c r="L2131" s="48" t="n"/>
      <c r="M2131" s="48" t="n"/>
      <c r="N2131" s="48" t="n"/>
      <c r="O2131" s="51">
        <f>IF(AND(B2131="",G2131="",C2131="",D2131="",J2131=""),"",IF(B2131="","⚠ Falta fecha",IF(G2131="","⚠ Falta monto",IF(Q2131="","⚠ Falta cuenta",IF(ISNA(MATCH(Q2131,ctaNombre,0)),"⚠ Cuenta no registrada",IF(AND(OR(P2131="Gasto",P2131="Reembolso"),D2131=""),"⚠ Falta categoría",IF(AND(D2131&lt;&gt;"",E2131&lt;&gt;"",ISNA(MATCH(D2131&amp;"|"&amp;E2131,catClave,0))),"⚠ Subcategoría no corresponde",IF(AND(OR(P2131="Transferencia",P2131="Pago tarjeta"),K2131=""),"⚠ Falta cuenta destino",IF(AND(K2131&lt;&gt;"",P2131&lt;&gt;"Transferencia",P2131&lt;&gt;"Pago tarjeta"),"⚠ Destino solo aplica a transferencias",IF(AND(K2131&lt;&gt;"",K2131=Q2131),"⚠ Origen igual a destino",IF(AND(K2131&lt;&gt;"",ISNA(MATCH(K2131,ctaNombre,0))),"⚠ Destino no registrado",IF(AND(P2131="Pago tarjeta",AE2131&lt;&gt;"Tarjeta de crédito"),"⚠ El destino debe ser tarjeta de crédito",IF(AND(P2131="Gasto",E2131="Depósitos y retiros"),"⚠ Usa tipo Transferencia",IF(AND(P2131="Resultado trading",AD2131&lt;&gt;"Cuenta de trading"),"⚠ Usa una cuenta de trading",IF(AND(G2131&lt;=0,P2131&lt;&gt;"Ajuste",P2131&lt;&gt;"Resultado trading"),"⚠ El monto debe ser positivo","✓")))))))))))))))</f>
        <v/>
      </c>
      <c r="P2131" s="52">
        <f>IF(OR(B2131="",G2131=""),"",IF(C2131="","Gasto",C2131))</f>
        <v/>
      </c>
      <c r="Q2131" s="52">
        <f>IF(P2131="","",IF(J2131&lt;&gt;"",J2131,CuentaPred&amp;""))</f>
        <v/>
      </c>
      <c r="R2131" s="52">
        <f>IF(P2131="","",IF(ISNUMBER(I2131),I2131,TasaUSD))</f>
        <v/>
      </c>
      <c r="S2131" s="53">
        <f>IF(P2131="","",IF(H2131="USD",G2131*R2131,G2131))</f>
        <v/>
      </c>
      <c r="T2131" s="53">
        <f>IF(P2131="","",IF(H2131="USD",G2131,IF(R2131&gt;0,G2131/R2131,0)))</f>
        <v/>
      </c>
      <c r="U2131" s="53">
        <f>IF(P2131="","",IF(P2131="Gasto",S2131,IF(P2131="Reembolso",-S2131,0)))</f>
        <v/>
      </c>
      <c r="V2131" s="53">
        <f>IF(P2131="","",IF(P2131="Ingreso",S2131,0))</f>
        <v/>
      </c>
      <c r="W2131" s="53">
        <f>IF(P2131="","",IF(P2131="Resultado trading",S2131,0))</f>
        <v/>
      </c>
      <c r="X2131" s="52">
        <f>IF(OR(P2131="Gasto",P2131="Reembolso"),IF(M2131&lt;&gt;"",M2131,IFERROR(INDEX(catClasif,MATCH(D2131&amp;"|"&amp;E2131,catClave,0))&amp;"","Variable")),"")</f>
        <v/>
      </c>
      <c r="Y2131" s="52">
        <f>IF(P2131="","",IFERROR(INDEX(catGrupo,MATCH(D2131&amp;"|"&amp;E2131,catClave,0))&amp;"",""))</f>
        <v/>
      </c>
      <c r="Z2131" s="52">
        <f>IF(P2131="","",WEEKDAY(B2131,2))</f>
        <v/>
      </c>
      <c r="AA2131" s="52">
        <f>IF(P2131="","",IF(AND(P2131="Gasto",X2131="Variable",D2131&lt;&gt;catTrading,S2131&gt;0,S2131&lt;=Umbral),1,0))</f>
        <v/>
      </c>
      <c r="AB2131" s="52">
        <f>IF(OR(P2131="",Q2131=""),"",IFERROR(IF(INDEX(ctaVinc,MATCH(Q2131,ctaNombre,0))&amp;""&lt;&gt;"",INDEX(ctaVinc,MATCH(Q2131,ctaNombre,0))&amp;"",Q2131),Q2131))</f>
        <v/>
      </c>
      <c r="AC2131" s="52">
        <f>IF(OR(K2131="",AND(P2131&lt;&gt;"Transferencia",P2131&lt;&gt;"Pago tarjeta")),"",IFERROR(IF(INDEX(ctaVinc,MATCH(K2131,ctaNombre,0))&amp;""&lt;&gt;"",INDEX(ctaVinc,MATCH(K2131,ctaNombre,0))&amp;"",K2131),K2131))</f>
        <v/>
      </c>
      <c r="AD2131" s="52">
        <f>IF(AB2131="","",IFERROR(INDEX(ctaTipo,MATCH(AB2131,ctaNombre,0))&amp;"",""))</f>
        <v/>
      </c>
      <c r="AE2131" s="52">
        <f>IF(AC2131="","",IFERROR(INDEX(ctaTipo,MATCH(AC2131,ctaNombre,0))&amp;"",""))</f>
        <v/>
      </c>
      <c r="AF2131" s="53">
        <f>IF(OR(P2131="",AB2131=""),"",IF(OR(P2131="Gasto",P2131="Transferencia",P2131="Pago tarjeta"),-1,1)*IF(IFERROR(INDEX(ctaMoneda,MATCH(AB2131,ctaNombre,0))&amp;"","DOP")="USD",T2131,S2131))</f>
        <v/>
      </c>
      <c r="AG2131" s="53">
        <f>IF(AC2131="","",IF(IFERROR(INDEX(ctaMoneda,MATCH(AC2131,ctaNombre,0))&amp;"","DOP")="USD",T2131,S2131))</f>
        <v/>
      </c>
      <c r="AH2131" s="53">
        <f>IF(P2131="","",IF(AND(AD2131&lt;&gt;"",COUNTIFS(tcTipo,AD2131,tcLiq,"Sí")&gt;0),IF(OR(P2131="Gasto",P2131="Transferencia",P2131="Pago tarjeta"),-1,1)*S2131,0)+IF(AND(AE2131&lt;&gt;"",COUNTIFS(tcTipo,AE2131,tcLiq,"Sí")&gt;0),S2131,0))</f>
        <v/>
      </c>
      <c r="AI2131" s="52">
        <f>IF(OR(L2131="",P2131=""),"",IF(COUNTIFS(L$6:L2131,L2131,P$6:P2131,"?*")=1,MAX(AI$5:AI2130)+1,""))</f>
        <v/>
      </c>
    </row>
    <row r="2132">
      <c r="B2132" s="47" t="n"/>
      <c r="C2132" s="48" t="n"/>
      <c r="D2132" s="48" t="n"/>
      <c r="E2132" s="48" t="n"/>
      <c r="F2132" s="48" t="n"/>
      <c r="G2132" s="49" t="n"/>
      <c r="H2132" s="48" t="n"/>
      <c r="I2132" s="50" t="n"/>
      <c r="J2132" s="48" t="n"/>
      <c r="K2132" s="48" t="n"/>
      <c r="L2132" s="48" t="n"/>
      <c r="M2132" s="48" t="n"/>
      <c r="N2132" s="48" t="n"/>
      <c r="O2132" s="51">
        <f>IF(AND(B2132="",G2132="",C2132="",D2132="",J2132=""),"",IF(B2132="","⚠ Falta fecha",IF(G2132="","⚠ Falta monto",IF(Q2132="","⚠ Falta cuenta",IF(ISNA(MATCH(Q2132,ctaNombre,0)),"⚠ Cuenta no registrada",IF(AND(OR(P2132="Gasto",P2132="Reembolso"),D2132=""),"⚠ Falta categoría",IF(AND(D2132&lt;&gt;"",E2132&lt;&gt;"",ISNA(MATCH(D2132&amp;"|"&amp;E2132,catClave,0))),"⚠ Subcategoría no corresponde",IF(AND(OR(P2132="Transferencia",P2132="Pago tarjeta"),K2132=""),"⚠ Falta cuenta destino",IF(AND(K2132&lt;&gt;"",P2132&lt;&gt;"Transferencia",P2132&lt;&gt;"Pago tarjeta"),"⚠ Destino solo aplica a transferencias",IF(AND(K2132&lt;&gt;"",K2132=Q2132),"⚠ Origen igual a destino",IF(AND(K2132&lt;&gt;"",ISNA(MATCH(K2132,ctaNombre,0))),"⚠ Destino no registrado",IF(AND(P2132="Pago tarjeta",AE2132&lt;&gt;"Tarjeta de crédito"),"⚠ El destino debe ser tarjeta de crédito",IF(AND(P2132="Gasto",E2132="Depósitos y retiros"),"⚠ Usa tipo Transferencia",IF(AND(P2132="Resultado trading",AD2132&lt;&gt;"Cuenta de trading"),"⚠ Usa una cuenta de trading",IF(AND(G2132&lt;=0,P2132&lt;&gt;"Ajuste",P2132&lt;&gt;"Resultado trading"),"⚠ El monto debe ser positivo","✓")))))))))))))))</f>
        <v/>
      </c>
      <c r="P2132" s="52">
        <f>IF(OR(B2132="",G2132=""),"",IF(C2132="","Gasto",C2132))</f>
        <v/>
      </c>
      <c r="Q2132" s="52">
        <f>IF(P2132="","",IF(J2132&lt;&gt;"",J2132,CuentaPred&amp;""))</f>
        <v/>
      </c>
      <c r="R2132" s="52">
        <f>IF(P2132="","",IF(ISNUMBER(I2132),I2132,TasaUSD))</f>
        <v/>
      </c>
      <c r="S2132" s="53">
        <f>IF(P2132="","",IF(H2132="USD",G2132*R2132,G2132))</f>
        <v/>
      </c>
      <c r="T2132" s="53">
        <f>IF(P2132="","",IF(H2132="USD",G2132,IF(R2132&gt;0,G2132/R2132,0)))</f>
        <v/>
      </c>
      <c r="U2132" s="53">
        <f>IF(P2132="","",IF(P2132="Gasto",S2132,IF(P2132="Reembolso",-S2132,0)))</f>
        <v/>
      </c>
      <c r="V2132" s="53">
        <f>IF(P2132="","",IF(P2132="Ingreso",S2132,0))</f>
        <v/>
      </c>
      <c r="W2132" s="53">
        <f>IF(P2132="","",IF(P2132="Resultado trading",S2132,0))</f>
        <v/>
      </c>
      <c r="X2132" s="52">
        <f>IF(OR(P2132="Gasto",P2132="Reembolso"),IF(M2132&lt;&gt;"",M2132,IFERROR(INDEX(catClasif,MATCH(D2132&amp;"|"&amp;E2132,catClave,0))&amp;"","Variable")),"")</f>
        <v/>
      </c>
      <c r="Y2132" s="52">
        <f>IF(P2132="","",IFERROR(INDEX(catGrupo,MATCH(D2132&amp;"|"&amp;E2132,catClave,0))&amp;"",""))</f>
        <v/>
      </c>
      <c r="Z2132" s="52">
        <f>IF(P2132="","",WEEKDAY(B2132,2))</f>
        <v/>
      </c>
      <c r="AA2132" s="52">
        <f>IF(P2132="","",IF(AND(P2132="Gasto",X2132="Variable",D2132&lt;&gt;catTrading,S2132&gt;0,S2132&lt;=Umbral),1,0))</f>
        <v/>
      </c>
      <c r="AB2132" s="52">
        <f>IF(OR(P2132="",Q2132=""),"",IFERROR(IF(INDEX(ctaVinc,MATCH(Q2132,ctaNombre,0))&amp;""&lt;&gt;"",INDEX(ctaVinc,MATCH(Q2132,ctaNombre,0))&amp;"",Q2132),Q2132))</f>
        <v/>
      </c>
      <c r="AC2132" s="52">
        <f>IF(OR(K2132="",AND(P2132&lt;&gt;"Transferencia",P2132&lt;&gt;"Pago tarjeta")),"",IFERROR(IF(INDEX(ctaVinc,MATCH(K2132,ctaNombre,0))&amp;""&lt;&gt;"",INDEX(ctaVinc,MATCH(K2132,ctaNombre,0))&amp;"",K2132),K2132))</f>
        <v/>
      </c>
      <c r="AD2132" s="52">
        <f>IF(AB2132="","",IFERROR(INDEX(ctaTipo,MATCH(AB2132,ctaNombre,0))&amp;"",""))</f>
        <v/>
      </c>
      <c r="AE2132" s="52">
        <f>IF(AC2132="","",IFERROR(INDEX(ctaTipo,MATCH(AC2132,ctaNombre,0))&amp;"",""))</f>
        <v/>
      </c>
      <c r="AF2132" s="53">
        <f>IF(OR(P2132="",AB2132=""),"",IF(OR(P2132="Gasto",P2132="Transferencia",P2132="Pago tarjeta"),-1,1)*IF(IFERROR(INDEX(ctaMoneda,MATCH(AB2132,ctaNombre,0))&amp;"","DOP")="USD",T2132,S2132))</f>
        <v/>
      </c>
      <c r="AG2132" s="53">
        <f>IF(AC2132="","",IF(IFERROR(INDEX(ctaMoneda,MATCH(AC2132,ctaNombre,0))&amp;"","DOP")="USD",T2132,S2132))</f>
        <v/>
      </c>
      <c r="AH2132" s="53">
        <f>IF(P2132="","",IF(AND(AD2132&lt;&gt;"",COUNTIFS(tcTipo,AD2132,tcLiq,"Sí")&gt;0),IF(OR(P2132="Gasto",P2132="Transferencia",P2132="Pago tarjeta"),-1,1)*S2132,0)+IF(AND(AE2132&lt;&gt;"",COUNTIFS(tcTipo,AE2132,tcLiq,"Sí")&gt;0),S2132,0))</f>
        <v/>
      </c>
      <c r="AI2132" s="52">
        <f>IF(OR(L2132="",P2132=""),"",IF(COUNTIFS(L$6:L2132,L2132,P$6:P2132,"?*")=1,MAX(AI$5:AI2131)+1,""))</f>
        <v/>
      </c>
    </row>
    <row r="2133">
      <c r="B2133" s="47" t="n"/>
      <c r="C2133" s="48" t="n"/>
      <c r="D2133" s="48" t="n"/>
      <c r="E2133" s="48" t="n"/>
      <c r="F2133" s="48" t="n"/>
      <c r="G2133" s="49" t="n"/>
      <c r="H2133" s="48" t="n"/>
      <c r="I2133" s="50" t="n"/>
      <c r="J2133" s="48" t="n"/>
      <c r="K2133" s="48" t="n"/>
      <c r="L2133" s="48" t="n"/>
      <c r="M2133" s="48" t="n"/>
      <c r="N2133" s="48" t="n"/>
      <c r="O2133" s="51">
        <f>IF(AND(B2133="",G2133="",C2133="",D2133="",J2133=""),"",IF(B2133="","⚠ Falta fecha",IF(G2133="","⚠ Falta monto",IF(Q2133="","⚠ Falta cuenta",IF(ISNA(MATCH(Q2133,ctaNombre,0)),"⚠ Cuenta no registrada",IF(AND(OR(P2133="Gasto",P2133="Reembolso"),D2133=""),"⚠ Falta categoría",IF(AND(D2133&lt;&gt;"",E2133&lt;&gt;"",ISNA(MATCH(D2133&amp;"|"&amp;E2133,catClave,0))),"⚠ Subcategoría no corresponde",IF(AND(OR(P2133="Transferencia",P2133="Pago tarjeta"),K2133=""),"⚠ Falta cuenta destino",IF(AND(K2133&lt;&gt;"",P2133&lt;&gt;"Transferencia",P2133&lt;&gt;"Pago tarjeta"),"⚠ Destino solo aplica a transferencias",IF(AND(K2133&lt;&gt;"",K2133=Q2133),"⚠ Origen igual a destino",IF(AND(K2133&lt;&gt;"",ISNA(MATCH(K2133,ctaNombre,0))),"⚠ Destino no registrado",IF(AND(P2133="Pago tarjeta",AE2133&lt;&gt;"Tarjeta de crédito"),"⚠ El destino debe ser tarjeta de crédito",IF(AND(P2133="Gasto",E2133="Depósitos y retiros"),"⚠ Usa tipo Transferencia",IF(AND(P2133="Resultado trading",AD2133&lt;&gt;"Cuenta de trading"),"⚠ Usa una cuenta de trading",IF(AND(G2133&lt;=0,P2133&lt;&gt;"Ajuste",P2133&lt;&gt;"Resultado trading"),"⚠ El monto debe ser positivo","✓")))))))))))))))</f>
        <v/>
      </c>
      <c r="P2133" s="52">
        <f>IF(OR(B2133="",G2133=""),"",IF(C2133="","Gasto",C2133))</f>
        <v/>
      </c>
      <c r="Q2133" s="52">
        <f>IF(P2133="","",IF(J2133&lt;&gt;"",J2133,CuentaPred&amp;""))</f>
        <v/>
      </c>
      <c r="R2133" s="52">
        <f>IF(P2133="","",IF(ISNUMBER(I2133),I2133,TasaUSD))</f>
        <v/>
      </c>
      <c r="S2133" s="53">
        <f>IF(P2133="","",IF(H2133="USD",G2133*R2133,G2133))</f>
        <v/>
      </c>
      <c r="T2133" s="53">
        <f>IF(P2133="","",IF(H2133="USD",G2133,IF(R2133&gt;0,G2133/R2133,0)))</f>
        <v/>
      </c>
      <c r="U2133" s="53">
        <f>IF(P2133="","",IF(P2133="Gasto",S2133,IF(P2133="Reembolso",-S2133,0)))</f>
        <v/>
      </c>
      <c r="V2133" s="53">
        <f>IF(P2133="","",IF(P2133="Ingreso",S2133,0))</f>
        <v/>
      </c>
      <c r="W2133" s="53">
        <f>IF(P2133="","",IF(P2133="Resultado trading",S2133,0))</f>
        <v/>
      </c>
      <c r="X2133" s="52">
        <f>IF(OR(P2133="Gasto",P2133="Reembolso"),IF(M2133&lt;&gt;"",M2133,IFERROR(INDEX(catClasif,MATCH(D2133&amp;"|"&amp;E2133,catClave,0))&amp;"","Variable")),"")</f>
        <v/>
      </c>
      <c r="Y2133" s="52">
        <f>IF(P2133="","",IFERROR(INDEX(catGrupo,MATCH(D2133&amp;"|"&amp;E2133,catClave,0))&amp;"",""))</f>
        <v/>
      </c>
      <c r="Z2133" s="52">
        <f>IF(P2133="","",WEEKDAY(B2133,2))</f>
        <v/>
      </c>
      <c r="AA2133" s="52">
        <f>IF(P2133="","",IF(AND(P2133="Gasto",X2133="Variable",D2133&lt;&gt;catTrading,S2133&gt;0,S2133&lt;=Umbral),1,0))</f>
        <v/>
      </c>
      <c r="AB2133" s="52">
        <f>IF(OR(P2133="",Q2133=""),"",IFERROR(IF(INDEX(ctaVinc,MATCH(Q2133,ctaNombre,0))&amp;""&lt;&gt;"",INDEX(ctaVinc,MATCH(Q2133,ctaNombre,0))&amp;"",Q2133),Q2133))</f>
        <v/>
      </c>
      <c r="AC2133" s="52">
        <f>IF(OR(K2133="",AND(P2133&lt;&gt;"Transferencia",P2133&lt;&gt;"Pago tarjeta")),"",IFERROR(IF(INDEX(ctaVinc,MATCH(K2133,ctaNombre,0))&amp;""&lt;&gt;"",INDEX(ctaVinc,MATCH(K2133,ctaNombre,0))&amp;"",K2133),K2133))</f>
        <v/>
      </c>
      <c r="AD2133" s="52">
        <f>IF(AB2133="","",IFERROR(INDEX(ctaTipo,MATCH(AB2133,ctaNombre,0))&amp;"",""))</f>
        <v/>
      </c>
      <c r="AE2133" s="52">
        <f>IF(AC2133="","",IFERROR(INDEX(ctaTipo,MATCH(AC2133,ctaNombre,0))&amp;"",""))</f>
        <v/>
      </c>
      <c r="AF2133" s="53">
        <f>IF(OR(P2133="",AB2133=""),"",IF(OR(P2133="Gasto",P2133="Transferencia",P2133="Pago tarjeta"),-1,1)*IF(IFERROR(INDEX(ctaMoneda,MATCH(AB2133,ctaNombre,0))&amp;"","DOP")="USD",T2133,S2133))</f>
        <v/>
      </c>
      <c r="AG2133" s="53">
        <f>IF(AC2133="","",IF(IFERROR(INDEX(ctaMoneda,MATCH(AC2133,ctaNombre,0))&amp;"","DOP")="USD",T2133,S2133))</f>
        <v/>
      </c>
      <c r="AH2133" s="53">
        <f>IF(P2133="","",IF(AND(AD2133&lt;&gt;"",COUNTIFS(tcTipo,AD2133,tcLiq,"Sí")&gt;0),IF(OR(P2133="Gasto",P2133="Transferencia",P2133="Pago tarjeta"),-1,1)*S2133,0)+IF(AND(AE2133&lt;&gt;"",COUNTIFS(tcTipo,AE2133,tcLiq,"Sí")&gt;0),S2133,0))</f>
        <v/>
      </c>
      <c r="AI2133" s="52">
        <f>IF(OR(L2133="",P2133=""),"",IF(COUNTIFS(L$6:L2133,L2133,P$6:P2133,"?*")=1,MAX(AI$5:AI2132)+1,""))</f>
        <v/>
      </c>
    </row>
    <row r="2134">
      <c r="B2134" s="47" t="n"/>
      <c r="C2134" s="48" t="n"/>
      <c r="D2134" s="48" t="n"/>
      <c r="E2134" s="48" t="n"/>
      <c r="F2134" s="48" t="n"/>
      <c r="G2134" s="49" t="n"/>
      <c r="H2134" s="48" t="n"/>
      <c r="I2134" s="50" t="n"/>
      <c r="J2134" s="48" t="n"/>
      <c r="K2134" s="48" t="n"/>
      <c r="L2134" s="48" t="n"/>
      <c r="M2134" s="48" t="n"/>
      <c r="N2134" s="48" t="n"/>
      <c r="O2134" s="51">
        <f>IF(AND(B2134="",G2134="",C2134="",D2134="",J2134=""),"",IF(B2134="","⚠ Falta fecha",IF(G2134="","⚠ Falta monto",IF(Q2134="","⚠ Falta cuenta",IF(ISNA(MATCH(Q2134,ctaNombre,0)),"⚠ Cuenta no registrada",IF(AND(OR(P2134="Gasto",P2134="Reembolso"),D2134=""),"⚠ Falta categoría",IF(AND(D2134&lt;&gt;"",E2134&lt;&gt;"",ISNA(MATCH(D2134&amp;"|"&amp;E2134,catClave,0))),"⚠ Subcategoría no corresponde",IF(AND(OR(P2134="Transferencia",P2134="Pago tarjeta"),K2134=""),"⚠ Falta cuenta destino",IF(AND(K2134&lt;&gt;"",P2134&lt;&gt;"Transferencia",P2134&lt;&gt;"Pago tarjeta"),"⚠ Destino solo aplica a transferencias",IF(AND(K2134&lt;&gt;"",K2134=Q2134),"⚠ Origen igual a destino",IF(AND(K2134&lt;&gt;"",ISNA(MATCH(K2134,ctaNombre,0))),"⚠ Destino no registrado",IF(AND(P2134="Pago tarjeta",AE2134&lt;&gt;"Tarjeta de crédito"),"⚠ El destino debe ser tarjeta de crédito",IF(AND(P2134="Gasto",E2134="Depósitos y retiros"),"⚠ Usa tipo Transferencia",IF(AND(P2134="Resultado trading",AD2134&lt;&gt;"Cuenta de trading"),"⚠ Usa una cuenta de trading",IF(AND(G2134&lt;=0,P2134&lt;&gt;"Ajuste",P2134&lt;&gt;"Resultado trading"),"⚠ El monto debe ser positivo","✓")))))))))))))))</f>
        <v/>
      </c>
      <c r="P2134" s="52">
        <f>IF(OR(B2134="",G2134=""),"",IF(C2134="","Gasto",C2134))</f>
        <v/>
      </c>
      <c r="Q2134" s="52">
        <f>IF(P2134="","",IF(J2134&lt;&gt;"",J2134,CuentaPred&amp;""))</f>
        <v/>
      </c>
      <c r="R2134" s="52">
        <f>IF(P2134="","",IF(ISNUMBER(I2134),I2134,TasaUSD))</f>
        <v/>
      </c>
      <c r="S2134" s="53">
        <f>IF(P2134="","",IF(H2134="USD",G2134*R2134,G2134))</f>
        <v/>
      </c>
      <c r="T2134" s="53">
        <f>IF(P2134="","",IF(H2134="USD",G2134,IF(R2134&gt;0,G2134/R2134,0)))</f>
        <v/>
      </c>
      <c r="U2134" s="53">
        <f>IF(P2134="","",IF(P2134="Gasto",S2134,IF(P2134="Reembolso",-S2134,0)))</f>
        <v/>
      </c>
      <c r="V2134" s="53">
        <f>IF(P2134="","",IF(P2134="Ingreso",S2134,0))</f>
        <v/>
      </c>
      <c r="W2134" s="53">
        <f>IF(P2134="","",IF(P2134="Resultado trading",S2134,0))</f>
        <v/>
      </c>
      <c r="X2134" s="52">
        <f>IF(OR(P2134="Gasto",P2134="Reembolso"),IF(M2134&lt;&gt;"",M2134,IFERROR(INDEX(catClasif,MATCH(D2134&amp;"|"&amp;E2134,catClave,0))&amp;"","Variable")),"")</f>
        <v/>
      </c>
      <c r="Y2134" s="52">
        <f>IF(P2134="","",IFERROR(INDEX(catGrupo,MATCH(D2134&amp;"|"&amp;E2134,catClave,0))&amp;"",""))</f>
        <v/>
      </c>
      <c r="Z2134" s="52">
        <f>IF(P2134="","",WEEKDAY(B2134,2))</f>
        <v/>
      </c>
      <c r="AA2134" s="52">
        <f>IF(P2134="","",IF(AND(P2134="Gasto",X2134="Variable",D2134&lt;&gt;catTrading,S2134&gt;0,S2134&lt;=Umbral),1,0))</f>
        <v/>
      </c>
      <c r="AB2134" s="52">
        <f>IF(OR(P2134="",Q2134=""),"",IFERROR(IF(INDEX(ctaVinc,MATCH(Q2134,ctaNombre,0))&amp;""&lt;&gt;"",INDEX(ctaVinc,MATCH(Q2134,ctaNombre,0))&amp;"",Q2134),Q2134))</f>
        <v/>
      </c>
      <c r="AC2134" s="52">
        <f>IF(OR(K2134="",AND(P2134&lt;&gt;"Transferencia",P2134&lt;&gt;"Pago tarjeta")),"",IFERROR(IF(INDEX(ctaVinc,MATCH(K2134,ctaNombre,0))&amp;""&lt;&gt;"",INDEX(ctaVinc,MATCH(K2134,ctaNombre,0))&amp;"",K2134),K2134))</f>
        <v/>
      </c>
      <c r="AD2134" s="52">
        <f>IF(AB2134="","",IFERROR(INDEX(ctaTipo,MATCH(AB2134,ctaNombre,0))&amp;"",""))</f>
        <v/>
      </c>
      <c r="AE2134" s="52">
        <f>IF(AC2134="","",IFERROR(INDEX(ctaTipo,MATCH(AC2134,ctaNombre,0))&amp;"",""))</f>
        <v/>
      </c>
      <c r="AF2134" s="53">
        <f>IF(OR(P2134="",AB2134=""),"",IF(OR(P2134="Gasto",P2134="Transferencia",P2134="Pago tarjeta"),-1,1)*IF(IFERROR(INDEX(ctaMoneda,MATCH(AB2134,ctaNombre,0))&amp;"","DOP")="USD",T2134,S2134))</f>
        <v/>
      </c>
      <c r="AG2134" s="53">
        <f>IF(AC2134="","",IF(IFERROR(INDEX(ctaMoneda,MATCH(AC2134,ctaNombre,0))&amp;"","DOP")="USD",T2134,S2134))</f>
        <v/>
      </c>
      <c r="AH2134" s="53">
        <f>IF(P2134="","",IF(AND(AD2134&lt;&gt;"",COUNTIFS(tcTipo,AD2134,tcLiq,"Sí")&gt;0),IF(OR(P2134="Gasto",P2134="Transferencia",P2134="Pago tarjeta"),-1,1)*S2134,0)+IF(AND(AE2134&lt;&gt;"",COUNTIFS(tcTipo,AE2134,tcLiq,"Sí")&gt;0),S2134,0))</f>
        <v/>
      </c>
      <c r="AI2134" s="52">
        <f>IF(OR(L2134="",P2134=""),"",IF(COUNTIFS(L$6:L2134,L2134,P$6:P2134,"?*")=1,MAX(AI$5:AI2133)+1,""))</f>
        <v/>
      </c>
    </row>
    <row r="2135">
      <c r="B2135" s="47" t="n"/>
      <c r="C2135" s="48" t="n"/>
      <c r="D2135" s="48" t="n"/>
      <c r="E2135" s="48" t="n"/>
      <c r="F2135" s="48" t="n"/>
      <c r="G2135" s="49" t="n"/>
      <c r="H2135" s="48" t="n"/>
      <c r="I2135" s="50" t="n"/>
      <c r="J2135" s="48" t="n"/>
      <c r="K2135" s="48" t="n"/>
      <c r="L2135" s="48" t="n"/>
      <c r="M2135" s="48" t="n"/>
      <c r="N2135" s="48" t="n"/>
      <c r="O2135" s="51">
        <f>IF(AND(B2135="",G2135="",C2135="",D2135="",J2135=""),"",IF(B2135="","⚠ Falta fecha",IF(G2135="","⚠ Falta monto",IF(Q2135="","⚠ Falta cuenta",IF(ISNA(MATCH(Q2135,ctaNombre,0)),"⚠ Cuenta no registrada",IF(AND(OR(P2135="Gasto",P2135="Reembolso"),D2135=""),"⚠ Falta categoría",IF(AND(D2135&lt;&gt;"",E2135&lt;&gt;"",ISNA(MATCH(D2135&amp;"|"&amp;E2135,catClave,0))),"⚠ Subcategoría no corresponde",IF(AND(OR(P2135="Transferencia",P2135="Pago tarjeta"),K2135=""),"⚠ Falta cuenta destino",IF(AND(K2135&lt;&gt;"",P2135&lt;&gt;"Transferencia",P2135&lt;&gt;"Pago tarjeta"),"⚠ Destino solo aplica a transferencias",IF(AND(K2135&lt;&gt;"",K2135=Q2135),"⚠ Origen igual a destino",IF(AND(K2135&lt;&gt;"",ISNA(MATCH(K2135,ctaNombre,0))),"⚠ Destino no registrado",IF(AND(P2135="Pago tarjeta",AE2135&lt;&gt;"Tarjeta de crédito"),"⚠ El destino debe ser tarjeta de crédito",IF(AND(P2135="Gasto",E2135="Depósitos y retiros"),"⚠ Usa tipo Transferencia",IF(AND(P2135="Resultado trading",AD2135&lt;&gt;"Cuenta de trading"),"⚠ Usa una cuenta de trading",IF(AND(G2135&lt;=0,P2135&lt;&gt;"Ajuste",P2135&lt;&gt;"Resultado trading"),"⚠ El monto debe ser positivo","✓")))))))))))))))</f>
        <v/>
      </c>
      <c r="P2135" s="52">
        <f>IF(OR(B2135="",G2135=""),"",IF(C2135="","Gasto",C2135))</f>
        <v/>
      </c>
      <c r="Q2135" s="52">
        <f>IF(P2135="","",IF(J2135&lt;&gt;"",J2135,CuentaPred&amp;""))</f>
        <v/>
      </c>
      <c r="R2135" s="52">
        <f>IF(P2135="","",IF(ISNUMBER(I2135),I2135,TasaUSD))</f>
        <v/>
      </c>
      <c r="S2135" s="53">
        <f>IF(P2135="","",IF(H2135="USD",G2135*R2135,G2135))</f>
        <v/>
      </c>
      <c r="T2135" s="53">
        <f>IF(P2135="","",IF(H2135="USD",G2135,IF(R2135&gt;0,G2135/R2135,0)))</f>
        <v/>
      </c>
      <c r="U2135" s="53">
        <f>IF(P2135="","",IF(P2135="Gasto",S2135,IF(P2135="Reembolso",-S2135,0)))</f>
        <v/>
      </c>
      <c r="V2135" s="53">
        <f>IF(P2135="","",IF(P2135="Ingreso",S2135,0))</f>
        <v/>
      </c>
      <c r="W2135" s="53">
        <f>IF(P2135="","",IF(P2135="Resultado trading",S2135,0))</f>
        <v/>
      </c>
      <c r="X2135" s="52">
        <f>IF(OR(P2135="Gasto",P2135="Reembolso"),IF(M2135&lt;&gt;"",M2135,IFERROR(INDEX(catClasif,MATCH(D2135&amp;"|"&amp;E2135,catClave,0))&amp;"","Variable")),"")</f>
        <v/>
      </c>
      <c r="Y2135" s="52">
        <f>IF(P2135="","",IFERROR(INDEX(catGrupo,MATCH(D2135&amp;"|"&amp;E2135,catClave,0))&amp;"",""))</f>
        <v/>
      </c>
      <c r="Z2135" s="52">
        <f>IF(P2135="","",WEEKDAY(B2135,2))</f>
        <v/>
      </c>
      <c r="AA2135" s="52">
        <f>IF(P2135="","",IF(AND(P2135="Gasto",X2135="Variable",D2135&lt;&gt;catTrading,S2135&gt;0,S2135&lt;=Umbral),1,0))</f>
        <v/>
      </c>
      <c r="AB2135" s="52">
        <f>IF(OR(P2135="",Q2135=""),"",IFERROR(IF(INDEX(ctaVinc,MATCH(Q2135,ctaNombre,0))&amp;""&lt;&gt;"",INDEX(ctaVinc,MATCH(Q2135,ctaNombre,0))&amp;"",Q2135),Q2135))</f>
        <v/>
      </c>
      <c r="AC2135" s="52">
        <f>IF(OR(K2135="",AND(P2135&lt;&gt;"Transferencia",P2135&lt;&gt;"Pago tarjeta")),"",IFERROR(IF(INDEX(ctaVinc,MATCH(K2135,ctaNombre,0))&amp;""&lt;&gt;"",INDEX(ctaVinc,MATCH(K2135,ctaNombre,0))&amp;"",K2135),K2135))</f>
        <v/>
      </c>
      <c r="AD2135" s="52">
        <f>IF(AB2135="","",IFERROR(INDEX(ctaTipo,MATCH(AB2135,ctaNombre,0))&amp;"",""))</f>
        <v/>
      </c>
      <c r="AE2135" s="52">
        <f>IF(AC2135="","",IFERROR(INDEX(ctaTipo,MATCH(AC2135,ctaNombre,0))&amp;"",""))</f>
        <v/>
      </c>
      <c r="AF2135" s="53">
        <f>IF(OR(P2135="",AB2135=""),"",IF(OR(P2135="Gasto",P2135="Transferencia",P2135="Pago tarjeta"),-1,1)*IF(IFERROR(INDEX(ctaMoneda,MATCH(AB2135,ctaNombre,0))&amp;"","DOP")="USD",T2135,S2135))</f>
        <v/>
      </c>
      <c r="AG2135" s="53">
        <f>IF(AC2135="","",IF(IFERROR(INDEX(ctaMoneda,MATCH(AC2135,ctaNombre,0))&amp;"","DOP")="USD",T2135,S2135))</f>
        <v/>
      </c>
      <c r="AH2135" s="53">
        <f>IF(P2135="","",IF(AND(AD2135&lt;&gt;"",COUNTIFS(tcTipo,AD2135,tcLiq,"Sí")&gt;0),IF(OR(P2135="Gasto",P2135="Transferencia",P2135="Pago tarjeta"),-1,1)*S2135,0)+IF(AND(AE2135&lt;&gt;"",COUNTIFS(tcTipo,AE2135,tcLiq,"Sí")&gt;0),S2135,0))</f>
        <v/>
      </c>
      <c r="AI2135" s="52">
        <f>IF(OR(L2135="",P2135=""),"",IF(COUNTIFS(L$6:L2135,L2135,P$6:P2135,"?*")=1,MAX(AI$5:AI2134)+1,""))</f>
        <v/>
      </c>
    </row>
    <row r="2136">
      <c r="B2136" s="47" t="n"/>
      <c r="C2136" s="48" t="n"/>
      <c r="D2136" s="48" t="n"/>
      <c r="E2136" s="48" t="n"/>
      <c r="F2136" s="48" t="n"/>
      <c r="G2136" s="49" t="n"/>
      <c r="H2136" s="48" t="n"/>
      <c r="I2136" s="50" t="n"/>
      <c r="J2136" s="48" t="n"/>
      <c r="K2136" s="48" t="n"/>
      <c r="L2136" s="48" t="n"/>
      <c r="M2136" s="48" t="n"/>
      <c r="N2136" s="48" t="n"/>
      <c r="O2136" s="51">
        <f>IF(AND(B2136="",G2136="",C2136="",D2136="",J2136=""),"",IF(B2136="","⚠ Falta fecha",IF(G2136="","⚠ Falta monto",IF(Q2136="","⚠ Falta cuenta",IF(ISNA(MATCH(Q2136,ctaNombre,0)),"⚠ Cuenta no registrada",IF(AND(OR(P2136="Gasto",P2136="Reembolso"),D2136=""),"⚠ Falta categoría",IF(AND(D2136&lt;&gt;"",E2136&lt;&gt;"",ISNA(MATCH(D2136&amp;"|"&amp;E2136,catClave,0))),"⚠ Subcategoría no corresponde",IF(AND(OR(P2136="Transferencia",P2136="Pago tarjeta"),K2136=""),"⚠ Falta cuenta destino",IF(AND(K2136&lt;&gt;"",P2136&lt;&gt;"Transferencia",P2136&lt;&gt;"Pago tarjeta"),"⚠ Destino solo aplica a transferencias",IF(AND(K2136&lt;&gt;"",K2136=Q2136),"⚠ Origen igual a destino",IF(AND(K2136&lt;&gt;"",ISNA(MATCH(K2136,ctaNombre,0))),"⚠ Destino no registrado",IF(AND(P2136="Pago tarjeta",AE2136&lt;&gt;"Tarjeta de crédito"),"⚠ El destino debe ser tarjeta de crédito",IF(AND(P2136="Gasto",E2136="Depósitos y retiros"),"⚠ Usa tipo Transferencia",IF(AND(P2136="Resultado trading",AD2136&lt;&gt;"Cuenta de trading"),"⚠ Usa una cuenta de trading",IF(AND(G2136&lt;=0,P2136&lt;&gt;"Ajuste",P2136&lt;&gt;"Resultado trading"),"⚠ El monto debe ser positivo","✓")))))))))))))))</f>
        <v/>
      </c>
      <c r="P2136" s="52">
        <f>IF(OR(B2136="",G2136=""),"",IF(C2136="","Gasto",C2136))</f>
        <v/>
      </c>
      <c r="Q2136" s="52">
        <f>IF(P2136="","",IF(J2136&lt;&gt;"",J2136,CuentaPred&amp;""))</f>
        <v/>
      </c>
      <c r="R2136" s="52">
        <f>IF(P2136="","",IF(ISNUMBER(I2136),I2136,TasaUSD))</f>
        <v/>
      </c>
      <c r="S2136" s="53">
        <f>IF(P2136="","",IF(H2136="USD",G2136*R2136,G2136))</f>
        <v/>
      </c>
      <c r="T2136" s="53">
        <f>IF(P2136="","",IF(H2136="USD",G2136,IF(R2136&gt;0,G2136/R2136,0)))</f>
        <v/>
      </c>
      <c r="U2136" s="53">
        <f>IF(P2136="","",IF(P2136="Gasto",S2136,IF(P2136="Reembolso",-S2136,0)))</f>
        <v/>
      </c>
      <c r="V2136" s="53">
        <f>IF(P2136="","",IF(P2136="Ingreso",S2136,0))</f>
        <v/>
      </c>
      <c r="W2136" s="53">
        <f>IF(P2136="","",IF(P2136="Resultado trading",S2136,0))</f>
        <v/>
      </c>
      <c r="X2136" s="52">
        <f>IF(OR(P2136="Gasto",P2136="Reembolso"),IF(M2136&lt;&gt;"",M2136,IFERROR(INDEX(catClasif,MATCH(D2136&amp;"|"&amp;E2136,catClave,0))&amp;"","Variable")),"")</f>
        <v/>
      </c>
      <c r="Y2136" s="52">
        <f>IF(P2136="","",IFERROR(INDEX(catGrupo,MATCH(D2136&amp;"|"&amp;E2136,catClave,0))&amp;"",""))</f>
        <v/>
      </c>
      <c r="Z2136" s="52">
        <f>IF(P2136="","",WEEKDAY(B2136,2))</f>
        <v/>
      </c>
      <c r="AA2136" s="52">
        <f>IF(P2136="","",IF(AND(P2136="Gasto",X2136="Variable",D2136&lt;&gt;catTrading,S2136&gt;0,S2136&lt;=Umbral),1,0))</f>
        <v/>
      </c>
      <c r="AB2136" s="52">
        <f>IF(OR(P2136="",Q2136=""),"",IFERROR(IF(INDEX(ctaVinc,MATCH(Q2136,ctaNombre,0))&amp;""&lt;&gt;"",INDEX(ctaVinc,MATCH(Q2136,ctaNombre,0))&amp;"",Q2136),Q2136))</f>
        <v/>
      </c>
      <c r="AC2136" s="52">
        <f>IF(OR(K2136="",AND(P2136&lt;&gt;"Transferencia",P2136&lt;&gt;"Pago tarjeta")),"",IFERROR(IF(INDEX(ctaVinc,MATCH(K2136,ctaNombre,0))&amp;""&lt;&gt;"",INDEX(ctaVinc,MATCH(K2136,ctaNombre,0))&amp;"",K2136),K2136))</f>
        <v/>
      </c>
      <c r="AD2136" s="52">
        <f>IF(AB2136="","",IFERROR(INDEX(ctaTipo,MATCH(AB2136,ctaNombre,0))&amp;"",""))</f>
        <v/>
      </c>
      <c r="AE2136" s="52">
        <f>IF(AC2136="","",IFERROR(INDEX(ctaTipo,MATCH(AC2136,ctaNombre,0))&amp;"",""))</f>
        <v/>
      </c>
      <c r="AF2136" s="53">
        <f>IF(OR(P2136="",AB2136=""),"",IF(OR(P2136="Gasto",P2136="Transferencia",P2136="Pago tarjeta"),-1,1)*IF(IFERROR(INDEX(ctaMoneda,MATCH(AB2136,ctaNombre,0))&amp;"","DOP")="USD",T2136,S2136))</f>
        <v/>
      </c>
      <c r="AG2136" s="53">
        <f>IF(AC2136="","",IF(IFERROR(INDEX(ctaMoneda,MATCH(AC2136,ctaNombre,0))&amp;"","DOP")="USD",T2136,S2136))</f>
        <v/>
      </c>
      <c r="AH2136" s="53">
        <f>IF(P2136="","",IF(AND(AD2136&lt;&gt;"",COUNTIFS(tcTipo,AD2136,tcLiq,"Sí")&gt;0),IF(OR(P2136="Gasto",P2136="Transferencia",P2136="Pago tarjeta"),-1,1)*S2136,0)+IF(AND(AE2136&lt;&gt;"",COUNTIFS(tcTipo,AE2136,tcLiq,"Sí")&gt;0),S2136,0))</f>
        <v/>
      </c>
      <c r="AI2136" s="52">
        <f>IF(OR(L2136="",P2136=""),"",IF(COUNTIFS(L$6:L2136,L2136,P$6:P2136,"?*")=1,MAX(AI$5:AI2135)+1,""))</f>
        <v/>
      </c>
    </row>
    <row r="2137">
      <c r="B2137" s="47" t="n"/>
      <c r="C2137" s="48" t="n"/>
      <c r="D2137" s="48" t="n"/>
      <c r="E2137" s="48" t="n"/>
      <c r="F2137" s="48" t="n"/>
      <c r="G2137" s="49" t="n"/>
      <c r="H2137" s="48" t="n"/>
      <c r="I2137" s="50" t="n"/>
      <c r="J2137" s="48" t="n"/>
      <c r="K2137" s="48" t="n"/>
      <c r="L2137" s="48" t="n"/>
      <c r="M2137" s="48" t="n"/>
      <c r="N2137" s="48" t="n"/>
      <c r="O2137" s="51">
        <f>IF(AND(B2137="",G2137="",C2137="",D2137="",J2137=""),"",IF(B2137="","⚠ Falta fecha",IF(G2137="","⚠ Falta monto",IF(Q2137="","⚠ Falta cuenta",IF(ISNA(MATCH(Q2137,ctaNombre,0)),"⚠ Cuenta no registrada",IF(AND(OR(P2137="Gasto",P2137="Reembolso"),D2137=""),"⚠ Falta categoría",IF(AND(D2137&lt;&gt;"",E2137&lt;&gt;"",ISNA(MATCH(D2137&amp;"|"&amp;E2137,catClave,0))),"⚠ Subcategoría no corresponde",IF(AND(OR(P2137="Transferencia",P2137="Pago tarjeta"),K2137=""),"⚠ Falta cuenta destino",IF(AND(K2137&lt;&gt;"",P2137&lt;&gt;"Transferencia",P2137&lt;&gt;"Pago tarjeta"),"⚠ Destino solo aplica a transferencias",IF(AND(K2137&lt;&gt;"",K2137=Q2137),"⚠ Origen igual a destino",IF(AND(K2137&lt;&gt;"",ISNA(MATCH(K2137,ctaNombre,0))),"⚠ Destino no registrado",IF(AND(P2137="Pago tarjeta",AE2137&lt;&gt;"Tarjeta de crédito"),"⚠ El destino debe ser tarjeta de crédito",IF(AND(P2137="Gasto",E2137="Depósitos y retiros"),"⚠ Usa tipo Transferencia",IF(AND(P2137="Resultado trading",AD2137&lt;&gt;"Cuenta de trading"),"⚠ Usa una cuenta de trading",IF(AND(G2137&lt;=0,P2137&lt;&gt;"Ajuste",P2137&lt;&gt;"Resultado trading"),"⚠ El monto debe ser positivo","✓")))))))))))))))</f>
        <v/>
      </c>
      <c r="P2137" s="52">
        <f>IF(OR(B2137="",G2137=""),"",IF(C2137="","Gasto",C2137))</f>
        <v/>
      </c>
      <c r="Q2137" s="52">
        <f>IF(P2137="","",IF(J2137&lt;&gt;"",J2137,CuentaPred&amp;""))</f>
        <v/>
      </c>
      <c r="R2137" s="52">
        <f>IF(P2137="","",IF(ISNUMBER(I2137),I2137,TasaUSD))</f>
        <v/>
      </c>
      <c r="S2137" s="53">
        <f>IF(P2137="","",IF(H2137="USD",G2137*R2137,G2137))</f>
        <v/>
      </c>
      <c r="T2137" s="53">
        <f>IF(P2137="","",IF(H2137="USD",G2137,IF(R2137&gt;0,G2137/R2137,0)))</f>
        <v/>
      </c>
      <c r="U2137" s="53">
        <f>IF(P2137="","",IF(P2137="Gasto",S2137,IF(P2137="Reembolso",-S2137,0)))</f>
        <v/>
      </c>
      <c r="V2137" s="53">
        <f>IF(P2137="","",IF(P2137="Ingreso",S2137,0))</f>
        <v/>
      </c>
      <c r="W2137" s="53">
        <f>IF(P2137="","",IF(P2137="Resultado trading",S2137,0))</f>
        <v/>
      </c>
      <c r="X2137" s="52">
        <f>IF(OR(P2137="Gasto",P2137="Reembolso"),IF(M2137&lt;&gt;"",M2137,IFERROR(INDEX(catClasif,MATCH(D2137&amp;"|"&amp;E2137,catClave,0))&amp;"","Variable")),"")</f>
        <v/>
      </c>
      <c r="Y2137" s="52">
        <f>IF(P2137="","",IFERROR(INDEX(catGrupo,MATCH(D2137&amp;"|"&amp;E2137,catClave,0))&amp;"",""))</f>
        <v/>
      </c>
      <c r="Z2137" s="52">
        <f>IF(P2137="","",WEEKDAY(B2137,2))</f>
        <v/>
      </c>
      <c r="AA2137" s="52">
        <f>IF(P2137="","",IF(AND(P2137="Gasto",X2137="Variable",D2137&lt;&gt;catTrading,S2137&gt;0,S2137&lt;=Umbral),1,0))</f>
        <v/>
      </c>
      <c r="AB2137" s="52">
        <f>IF(OR(P2137="",Q2137=""),"",IFERROR(IF(INDEX(ctaVinc,MATCH(Q2137,ctaNombre,0))&amp;""&lt;&gt;"",INDEX(ctaVinc,MATCH(Q2137,ctaNombre,0))&amp;"",Q2137),Q2137))</f>
        <v/>
      </c>
      <c r="AC2137" s="52">
        <f>IF(OR(K2137="",AND(P2137&lt;&gt;"Transferencia",P2137&lt;&gt;"Pago tarjeta")),"",IFERROR(IF(INDEX(ctaVinc,MATCH(K2137,ctaNombre,0))&amp;""&lt;&gt;"",INDEX(ctaVinc,MATCH(K2137,ctaNombre,0))&amp;"",K2137),K2137))</f>
        <v/>
      </c>
      <c r="AD2137" s="52">
        <f>IF(AB2137="","",IFERROR(INDEX(ctaTipo,MATCH(AB2137,ctaNombre,0))&amp;"",""))</f>
        <v/>
      </c>
      <c r="AE2137" s="52">
        <f>IF(AC2137="","",IFERROR(INDEX(ctaTipo,MATCH(AC2137,ctaNombre,0))&amp;"",""))</f>
        <v/>
      </c>
      <c r="AF2137" s="53">
        <f>IF(OR(P2137="",AB2137=""),"",IF(OR(P2137="Gasto",P2137="Transferencia",P2137="Pago tarjeta"),-1,1)*IF(IFERROR(INDEX(ctaMoneda,MATCH(AB2137,ctaNombre,0))&amp;"","DOP")="USD",T2137,S2137))</f>
        <v/>
      </c>
      <c r="AG2137" s="53">
        <f>IF(AC2137="","",IF(IFERROR(INDEX(ctaMoneda,MATCH(AC2137,ctaNombre,0))&amp;"","DOP")="USD",T2137,S2137))</f>
        <v/>
      </c>
      <c r="AH2137" s="53">
        <f>IF(P2137="","",IF(AND(AD2137&lt;&gt;"",COUNTIFS(tcTipo,AD2137,tcLiq,"Sí")&gt;0),IF(OR(P2137="Gasto",P2137="Transferencia",P2137="Pago tarjeta"),-1,1)*S2137,0)+IF(AND(AE2137&lt;&gt;"",COUNTIFS(tcTipo,AE2137,tcLiq,"Sí")&gt;0),S2137,0))</f>
        <v/>
      </c>
      <c r="AI2137" s="52">
        <f>IF(OR(L2137="",P2137=""),"",IF(COUNTIFS(L$6:L2137,L2137,P$6:P2137,"?*")=1,MAX(AI$5:AI2136)+1,""))</f>
        <v/>
      </c>
    </row>
    <row r="2138">
      <c r="B2138" s="47" t="n"/>
      <c r="C2138" s="48" t="n"/>
      <c r="D2138" s="48" t="n"/>
      <c r="E2138" s="48" t="n"/>
      <c r="F2138" s="48" t="n"/>
      <c r="G2138" s="49" t="n"/>
      <c r="H2138" s="48" t="n"/>
      <c r="I2138" s="50" t="n"/>
      <c r="J2138" s="48" t="n"/>
      <c r="K2138" s="48" t="n"/>
      <c r="L2138" s="48" t="n"/>
      <c r="M2138" s="48" t="n"/>
      <c r="N2138" s="48" t="n"/>
      <c r="O2138" s="51">
        <f>IF(AND(B2138="",G2138="",C2138="",D2138="",J2138=""),"",IF(B2138="","⚠ Falta fecha",IF(G2138="","⚠ Falta monto",IF(Q2138="","⚠ Falta cuenta",IF(ISNA(MATCH(Q2138,ctaNombre,0)),"⚠ Cuenta no registrada",IF(AND(OR(P2138="Gasto",P2138="Reembolso"),D2138=""),"⚠ Falta categoría",IF(AND(D2138&lt;&gt;"",E2138&lt;&gt;"",ISNA(MATCH(D2138&amp;"|"&amp;E2138,catClave,0))),"⚠ Subcategoría no corresponde",IF(AND(OR(P2138="Transferencia",P2138="Pago tarjeta"),K2138=""),"⚠ Falta cuenta destino",IF(AND(K2138&lt;&gt;"",P2138&lt;&gt;"Transferencia",P2138&lt;&gt;"Pago tarjeta"),"⚠ Destino solo aplica a transferencias",IF(AND(K2138&lt;&gt;"",K2138=Q2138),"⚠ Origen igual a destino",IF(AND(K2138&lt;&gt;"",ISNA(MATCH(K2138,ctaNombre,0))),"⚠ Destino no registrado",IF(AND(P2138="Pago tarjeta",AE2138&lt;&gt;"Tarjeta de crédito"),"⚠ El destino debe ser tarjeta de crédito",IF(AND(P2138="Gasto",E2138="Depósitos y retiros"),"⚠ Usa tipo Transferencia",IF(AND(P2138="Resultado trading",AD2138&lt;&gt;"Cuenta de trading"),"⚠ Usa una cuenta de trading",IF(AND(G2138&lt;=0,P2138&lt;&gt;"Ajuste",P2138&lt;&gt;"Resultado trading"),"⚠ El monto debe ser positivo","✓")))))))))))))))</f>
        <v/>
      </c>
      <c r="P2138" s="52">
        <f>IF(OR(B2138="",G2138=""),"",IF(C2138="","Gasto",C2138))</f>
        <v/>
      </c>
      <c r="Q2138" s="52">
        <f>IF(P2138="","",IF(J2138&lt;&gt;"",J2138,CuentaPred&amp;""))</f>
        <v/>
      </c>
      <c r="R2138" s="52">
        <f>IF(P2138="","",IF(ISNUMBER(I2138),I2138,TasaUSD))</f>
        <v/>
      </c>
      <c r="S2138" s="53">
        <f>IF(P2138="","",IF(H2138="USD",G2138*R2138,G2138))</f>
        <v/>
      </c>
      <c r="T2138" s="53">
        <f>IF(P2138="","",IF(H2138="USD",G2138,IF(R2138&gt;0,G2138/R2138,0)))</f>
        <v/>
      </c>
      <c r="U2138" s="53">
        <f>IF(P2138="","",IF(P2138="Gasto",S2138,IF(P2138="Reembolso",-S2138,0)))</f>
        <v/>
      </c>
      <c r="V2138" s="53">
        <f>IF(P2138="","",IF(P2138="Ingreso",S2138,0))</f>
        <v/>
      </c>
      <c r="W2138" s="53">
        <f>IF(P2138="","",IF(P2138="Resultado trading",S2138,0))</f>
        <v/>
      </c>
      <c r="X2138" s="52">
        <f>IF(OR(P2138="Gasto",P2138="Reembolso"),IF(M2138&lt;&gt;"",M2138,IFERROR(INDEX(catClasif,MATCH(D2138&amp;"|"&amp;E2138,catClave,0))&amp;"","Variable")),"")</f>
        <v/>
      </c>
      <c r="Y2138" s="52">
        <f>IF(P2138="","",IFERROR(INDEX(catGrupo,MATCH(D2138&amp;"|"&amp;E2138,catClave,0))&amp;"",""))</f>
        <v/>
      </c>
      <c r="Z2138" s="52">
        <f>IF(P2138="","",WEEKDAY(B2138,2))</f>
        <v/>
      </c>
      <c r="AA2138" s="52">
        <f>IF(P2138="","",IF(AND(P2138="Gasto",X2138="Variable",D2138&lt;&gt;catTrading,S2138&gt;0,S2138&lt;=Umbral),1,0))</f>
        <v/>
      </c>
      <c r="AB2138" s="52">
        <f>IF(OR(P2138="",Q2138=""),"",IFERROR(IF(INDEX(ctaVinc,MATCH(Q2138,ctaNombre,0))&amp;""&lt;&gt;"",INDEX(ctaVinc,MATCH(Q2138,ctaNombre,0))&amp;"",Q2138),Q2138))</f>
        <v/>
      </c>
      <c r="AC2138" s="52">
        <f>IF(OR(K2138="",AND(P2138&lt;&gt;"Transferencia",P2138&lt;&gt;"Pago tarjeta")),"",IFERROR(IF(INDEX(ctaVinc,MATCH(K2138,ctaNombre,0))&amp;""&lt;&gt;"",INDEX(ctaVinc,MATCH(K2138,ctaNombre,0))&amp;"",K2138),K2138))</f>
        <v/>
      </c>
      <c r="AD2138" s="52">
        <f>IF(AB2138="","",IFERROR(INDEX(ctaTipo,MATCH(AB2138,ctaNombre,0))&amp;"",""))</f>
        <v/>
      </c>
      <c r="AE2138" s="52">
        <f>IF(AC2138="","",IFERROR(INDEX(ctaTipo,MATCH(AC2138,ctaNombre,0))&amp;"",""))</f>
        <v/>
      </c>
      <c r="AF2138" s="53">
        <f>IF(OR(P2138="",AB2138=""),"",IF(OR(P2138="Gasto",P2138="Transferencia",P2138="Pago tarjeta"),-1,1)*IF(IFERROR(INDEX(ctaMoneda,MATCH(AB2138,ctaNombre,0))&amp;"","DOP")="USD",T2138,S2138))</f>
        <v/>
      </c>
      <c r="AG2138" s="53">
        <f>IF(AC2138="","",IF(IFERROR(INDEX(ctaMoneda,MATCH(AC2138,ctaNombre,0))&amp;"","DOP")="USD",T2138,S2138))</f>
        <v/>
      </c>
      <c r="AH2138" s="53">
        <f>IF(P2138="","",IF(AND(AD2138&lt;&gt;"",COUNTIFS(tcTipo,AD2138,tcLiq,"Sí")&gt;0),IF(OR(P2138="Gasto",P2138="Transferencia",P2138="Pago tarjeta"),-1,1)*S2138,0)+IF(AND(AE2138&lt;&gt;"",COUNTIFS(tcTipo,AE2138,tcLiq,"Sí")&gt;0),S2138,0))</f>
        <v/>
      </c>
      <c r="AI2138" s="52">
        <f>IF(OR(L2138="",P2138=""),"",IF(COUNTIFS(L$6:L2138,L2138,P$6:P2138,"?*")=1,MAX(AI$5:AI2137)+1,""))</f>
        <v/>
      </c>
    </row>
    <row r="2139">
      <c r="B2139" s="47" t="n"/>
      <c r="C2139" s="48" t="n"/>
      <c r="D2139" s="48" t="n"/>
      <c r="E2139" s="48" t="n"/>
      <c r="F2139" s="48" t="n"/>
      <c r="G2139" s="49" t="n"/>
      <c r="H2139" s="48" t="n"/>
      <c r="I2139" s="50" t="n"/>
      <c r="J2139" s="48" t="n"/>
      <c r="K2139" s="48" t="n"/>
      <c r="L2139" s="48" t="n"/>
      <c r="M2139" s="48" t="n"/>
      <c r="N2139" s="48" t="n"/>
      <c r="O2139" s="51">
        <f>IF(AND(B2139="",G2139="",C2139="",D2139="",J2139=""),"",IF(B2139="","⚠ Falta fecha",IF(G2139="","⚠ Falta monto",IF(Q2139="","⚠ Falta cuenta",IF(ISNA(MATCH(Q2139,ctaNombre,0)),"⚠ Cuenta no registrada",IF(AND(OR(P2139="Gasto",P2139="Reembolso"),D2139=""),"⚠ Falta categoría",IF(AND(D2139&lt;&gt;"",E2139&lt;&gt;"",ISNA(MATCH(D2139&amp;"|"&amp;E2139,catClave,0))),"⚠ Subcategoría no corresponde",IF(AND(OR(P2139="Transferencia",P2139="Pago tarjeta"),K2139=""),"⚠ Falta cuenta destino",IF(AND(K2139&lt;&gt;"",P2139&lt;&gt;"Transferencia",P2139&lt;&gt;"Pago tarjeta"),"⚠ Destino solo aplica a transferencias",IF(AND(K2139&lt;&gt;"",K2139=Q2139),"⚠ Origen igual a destino",IF(AND(K2139&lt;&gt;"",ISNA(MATCH(K2139,ctaNombre,0))),"⚠ Destino no registrado",IF(AND(P2139="Pago tarjeta",AE2139&lt;&gt;"Tarjeta de crédito"),"⚠ El destino debe ser tarjeta de crédito",IF(AND(P2139="Gasto",E2139="Depósitos y retiros"),"⚠ Usa tipo Transferencia",IF(AND(P2139="Resultado trading",AD2139&lt;&gt;"Cuenta de trading"),"⚠ Usa una cuenta de trading",IF(AND(G2139&lt;=0,P2139&lt;&gt;"Ajuste",P2139&lt;&gt;"Resultado trading"),"⚠ El monto debe ser positivo","✓")))))))))))))))</f>
        <v/>
      </c>
      <c r="P2139" s="52">
        <f>IF(OR(B2139="",G2139=""),"",IF(C2139="","Gasto",C2139))</f>
        <v/>
      </c>
      <c r="Q2139" s="52">
        <f>IF(P2139="","",IF(J2139&lt;&gt;"",J2139,CuentaPred&amp;""))</f>
        <v/>
      </c>
      <c r="R2139" s="52">
        <f>IF(P2139="","",IF(ISNUMBER(I2139),I2139,TasaUSD))</f>
        <v/>
      </c>
      <c r="S2139" s="53">
        <f>IF(P2139="","",IF(H2139="USD",G2139*R2139,G2139))</f>
        <v/>
      </c>
      <c r="T2139" s="53">
        <f>IF(P2139="","",IF(H2139="USD",G2139,IF(R2139&gt;0,G2139/R2139,0)))</f>
        <v/>
      </c>
      <c r="U2139" s="53">
        <f>IF(P2139="","",IF(P2139="Gasto",S2139,IF(P2139="Reembolso",-S2139,0)))</f>
        <v/>
      </c>
      <c r="V2139" s="53">
        <f>IF(P2139="","",IF(P2139="Ingreso",S2139,0))</f>
        <v/>
      </c>
      <c r="W2139" s="53">
        <f>IF(P2139="","",IF(P2139="Resultado trading",S2139,0))</f>
        <v/>
      </c>
      <c r="X2139" s="52">
        <f>IF(OR(P2139="Gasto",P2139="Reembolso"),IF(M2139&lt;&gt;"",M2139,IFERROR(INDEX(catClasif,MATCH(D2139&amp;"|"&amp;E2139,catClave,0))&amp;"","Variable")),"")</f>
        <v/>
      </c>
      <c r="Y2139" s="52">
        <f>IF(P2139="","",IFERROR(INDEX(catGrupo,MATCH(D2139&amp;"|"&amp;E2139,catClave,0))&amp;"",""))</f>
        <v/>
      </c>
      <c r="Z2139" s="52">
        <f>IF(P2139="","",WEEKDAY(B2139,2))</f>
        <v/>
      </c>
      <c r="AA2139" s="52">
        <f>IF(P2139="","",IF(AND(P2139="Gasto",X2139="Variable",D2139&lt;&gt;catTrading,S2139&gt;0,S2139&lt;=Umbral),1,0))</f>
        <v/>
      </c>
      <c r="AB2139" s="52">
        <f>IF(OR(P2139="",Q2139=""),"",IFERROR(IF(INDEX(ctaVinc,MATCH(Q2139,ctaNombre,0))&amp;""&lt;&gt;"",INDEX(ctaVinc,MATCH(Q2139,ctaNombre,0))&amp;"",Q2139),Q2139))</f>
        <v/>
      </c>
      <c r="AC2139" s="52">
        <f>IF(OR(K2139="",AND(P2139&lt;&gt;"Transferencia",P2139&lt;&gt;"Pago tarjeta")),"",IFERROR(IF(INDEX(ctaVinc,MATCH(K2139,ctaNombre,0))&amp;""&lt;&gt;"",INDEX(ctaVinc,MATCH(K2139,ctaNombre,0))&amp;"",K2139),K2139))</f>
        <v/>
      </c>
      <c r="AD2139" s="52">
        <f>IF(AB2139="","",IFERROR(INDEX(ctaTipo,MATCH(AB2139,ctaNombre,0))&amp;"",""))</f>
        <v/>
      </c>
      <c r="AE2139" s="52">
        <f>IF(AC2139="","",IFERROR(INDEX(ctaTipo,MATCH(AC2139,ctaNombre,0))&amp;"",""))</f>
        <v/>
      </c>
      <c r="AF2139" s="53">
        <f>IF(OR(P2139="",AB2139=""),"",IF(OR(P2139="Gasto",P2139="Transferencia",P2139="Pago tarjeta"),-1,1)*IF(IFERROR(INDEX(ctaMoneda,MATCH(AB2139,ctaNombre,0))&amp;"","DOP")="USD",T2139,S2139))</f>
        <v/>
      </c>
      <c r="AG2139" s="53">
        <f>IF(AC2139="","",IF(IFERROR(INDEX(ctaMoneda,MATCH(AC2139,ctaNombre,0))&amp;"","DOP")="USD",T2139,S2139))</f>
        <v/>
      </c>
      <c r="AH2139" s="53">
        <f>IF(P2139="","",IF(AND(AD2139&lt;&gt;"",COUNTIFS(tcTipo,AD2139,tcLiq,"Sí")&gt;0),IF(OR(P2139="Gasto",P2139="Transferencia",P2139="Pago tarjeta"),-1,1)*S2139,0)+IF(AND(AE2139&lt;&gt;"",COUNTIFS(tcTipo,AE2139,tcLiq,"Sí")&gt;0),S2139,0))</f>
        <v/>
      </c>
      <c r="AI2139" s="52">
        <f>IF(OR(L2139="",P2139=""),"",IF(COUNTIFS(L$6:L2139,L2139,P$6:P2139,"?*")=1,MAX(AI$5:AI2138)+1,""))</f>
        <v/>
      </c>
    </row>
    <row r="2140">
      <c r="B2140" s="47" t="n"/>
      <c r="C2140" s="48" t="n"/>
      <c r="D2140" s="48" t="n"/>
      <c r="E2140" s="48" t="n"/>
      <c r="F2140" s="48" t="n"/>
      <c r="G2140" s="49" t="n"/>
      <c r="H2140" s="48" t="n"/>
      <c r="I2140" s="50" t="n"/>
      <c r="J2140" s="48" t="n"/>
      <c r="K2140" s="48" t="n"/>
      <c r="L2140" s="48" t="n"/>
      <c r="M2140" s="48" t="n"/>
      <c r="N2140" s="48" t="n"/>
      <c r="O2140" s="51">
        <f>IF(AND(B2140="",G2140="",C2140="",D2140="",J2140=""),"",IF(B2140="","⚠ Falta fecha",IF(G2140="","⚠ Falta monto",IF(Q2140="","⚠ Falta cuenta",IF(ISNA(MATCH(Q2140,ctaNombre,0)),"⚠ Cuenta no registrada",IF(AND(OR(P2140="Gasto",P2140="Reembolso"),D2140=""),"⚠ Falta categoría",IF(AND(D2140&lt;&gt;"",E2140&lt;&gt;"",ISNA(MATCH(D2140&amp;"|"&amp;E2140,catClave,0))),"⚠ Subcategoría no corresponde",IF(AND(OR(P2140="Transferencia",P2140="Pago tarjeta"),K2140=""),"⚠ Falta cuenta destino",IF(AND(K2140&lt;&gt;"",P2140&lt;&gt;"Transferencia",P2140&lt;&gt;"Pago tarjeta"),"⚠ Destino solo aplica a transferencias",IF(AND(K2140&lt;&gt;"",K2140=Q2140),"⚠ Origen igual a destino",IF(AND(K2140&lt;&gt;"",ISNA(MATCH(K2140,ctaNombre,0))),"⚠ Destino no registrado",IF(AND(P2140="Pago tarjeta",AE2140&lt;&gt;"Tarjeta de crédito"),"⚠ El destino debe ser tarjeta de crédito",IF(AND(P2140="Gasto",E2140="Depósitos y retiros"),"⚠ Usa tipo Transferencia",IF(AND(P2140="Resultado trading",AD2140&lt;&gt;"Cuenta de trading"),"⚠ Usa una cuenta de trading",IF(AND(G2140&lt;=0,P2140&lt;&gt;"Ajuste",P2140&lt;&gt;"Resultado trading"),"⚠ El monto debe ser positivo","✓")))))))))))))))</f>
        <v/>
      </c>
      <c r="P2140" s="52">
        <f>IF(OR(B2140="",G2140=""),"",IF(C2140="","Gasto",C2140))</f>
        <v/>
      </c>
      <c r="Q2140" s="52">
        <f>IF(P2140="","",IF(J2140&lt;&gt;"",J2140,CuentaPred&amp;""))</f>
        <v/>
      </c>
      <c r="R2140" s="52">
        <f>IF(P2140="","",IF(ISNUMBER(I2140),I2140,TasaUSD))</f>
        <v/>
      </c>
      <c r="S2140" s="53">
        <f>IF(P2140="","",IF(H2140="USD",G2140*R2140,G2140))</f>
        <v/>
      </c>
      <c r="T2140" s="53">
        <f>IF(P2140="","",IF(H2140="USD",G2140,IF(R2140&gt;0,G2140/R2140,0)))</f>
        <v/>
      </c>
      <c r="U2140" s="53">
        <f>IF(P2140="","",IF(P2140="Gasto",S2140,IF(P2140="Reembolso",-S2140,0)))</f>
        <v/>
      </c>
      <c r="V2140" s="53">
        <f>IF(P2140="","",IF(P2140="Ingreso",S2140,0))</f>
        <v/>
      </c>
      <c r="W2140" s="53">
        <f>IF(P2140="","",IF(P2140="Resultado trading",S2140,0))</f>
        <v/>
      </c>
      <c r="X2140" s="52">
        <f>IF(OR(P2140="Gasto",P2140="Reembolso"),IF(M2140&lt;&gt;"",M2140,IFERROR(INDEX(catClasif,MATCH(D2140&amp;"|"&amp;E2140,catClave,0))&amp;"","Variable")),"")</f>
        <v/>
      </c>
      <c r="Y2140" s="52">
        <f>IF(P2140="","",IFERROR(INDEX(catGrupo,MATCH(D2140&amp;"|"&amp;E2140,catClave,0))&amp;"",""))</f>
        <v/>
      </c>
      <c r="Z2140" s="52">
        <f>IF(P2140="","",WEEKDAY(B2140,2))</f>
        <v/>
      </c>
      <c r="AA2140" s="52">
        <f>IF(P2140="","",IF(AND(P2140="Gasto",X2140="Variable",D2140&lt;&gt;catTrading,S2140&gt;0,S2140&lt;=Umbral),1,0))</f>
        <v/>
      </c>
      <c r="AB2140" s="52">
        <f>IF(OR(P2140="",Q2140=""),"",IFERROR(IF(INDEX(ctaVinc,MATCH(Q2140,ctaNombre,0))&amp;""&lt;&gt;"",INDEX(ctaVinc,MATCH(Q2140,ctaNombre,0))&amp;"",Q2140),Q2140))</f>
        <v/>
      </c>
      <c r="AC2140" s="52">
        <f>IF(OR(K2140="",AND(P2140&lt;&gt;"Transferencia",P2140&lt;&gt;"Pago tarjeta")),"",IFERROR(IF(INDEX(ctaVinc,MATCH(K2140,ctaNombre,0))&amp;""&lt;&gt;"",INDEX(ctaVinc,MATCH(K2140,ctaNombre,0))&amp;"",K2140),K2140))</f>
        <v/>
      </c>
      <c r="AD2140" s="52">
        <f>IF(AB2140="","",IFERROR(INDEX(ctaTipo,MATCH(AB2140,ctaNombre,0))&amp;"",""))</f>
        <v/>
      </c>
      <c r="AE2140" s="52">
        <f>IF(AC2140="","",IFERROR(INDEX(ctaTipo,MATCH(AC2140,ctaNombre,0))&amp;"",""))</f>
        <v/>
      </c>
      <c r="AF2140" s="53">
        <f>IF(OR(P2140="",AB2140=""),"",IF(OR(P2140="Gasto",P2140="Transferencia",P2140="Pago tarjeta"),-1,1)*IF(IFERROR(INDEX(ctaMoneda,MATCH(AB2140,ctaNombre,0))&amp;"","DOP")="USD",T2140,S2140))</f>
        <v/>
      </c>
      <c r="AG2140" s="53">
        <f>IF(AC2140="","",IF(IFERROR(INDEX(ctaMoneda,MATCH(AC2140,ctaNombre,0))&amp;"","DOP")="USD",T2140,S2140))</f>
        <v/>
      </c>
      <c r="AH2140" s="53">
        <f>IF(P2140="","",IF(AND(AD2140&lt;&gt;"",COUNTIFS(tcTipo,AD2140,tcLiq,"Sí")&gt;0),IF(OR(P2140="Gasto",P2140="Transferencia",P2140="Pago tarjeta"),-1,1)*S2140,0)+IF(AND(AE2140&lt;&gt;"",COUNTIFS(tcTipo,AE2140,tcLiq,"Sí")&gt;0),S2140,0))</f>
        <v/>
      </c>
      <c r="AI2140" s="52">
        <f>IF(OR(L2140="",P2140=""),"",IF(COUNTIFS(L$6:L2140,L2140,P$6:P2140,"?*")=1,MAX(AI$5:AI2139)+1,""))</f>
        <v/>
      </c>
    </row>
    <row r="2141">
      <c r="B2141" s="47" t="n"/>
      <c r="C2141" s="48" t="n"/>
      <c r="D2141" s="48" t="n"/>
      <c r="E2141" s="48" t="n"/>
      <c r="F2141" s="48" t="n"/>
      <c r="G2141" s="49" t="n"/>
      <c r="H2141" s="48" t="n"/>
      <c r="I2141" s="50" t="n"/>
      <c r="J2141" s="48" t="n"/>
      <c r="K2141" s="48" t="n"/>
      <c r="L2141" s="48" t="n"/>
      <c r="M2141" s="48" t="n"/>
      <c r="N2141" s="48" t="n"/>
      <c r="O2141" s="51">
        <f>IF(AND(B2141="",G2141="",C2141="",D2141="",J2141=""),"",IF(B2141="","⚠ Falta fecha",IF(G2141="","⚠ Falta monto",IF(Q2141="","⚠ Falta cuenta",IF(ISNA(MATCH(Q2141,ctaNombre,0)),"⚠ Cuenta no registrada",IF(AND(OR(P2141="Gasto",P2141="Reembolso"),D2141=""),"⚠ Falta categoría",IF(AND(D2141&lt;&gt;"",E2141&lt;&gt;"",ISNA(MATCH(D2141&amp;"|"&amp;E2141,catClave,0))),"⚠ Subcategoría no corresponde",IF(AND(OR(P2141="Transferencia",P2141="Pago tarjeta"),K2141=""),"⚠ Falta cuenta destino",IF(AND(K2141&lt;&gt;"",P2141&lt;&gt;"Transferencia",P2141&lt;&gt;"Pago tarjeta"),"⚠ Destino solo aplica a transferencias",IF(AND(K2141&lt;&gt;"",K2141=Q2141),"⚠ Origen igual a destino",IF(AND(K2141&lt;&gt;"",ISNA(MATCH(K2141,ctaNombre,0))),"⚠ Destino no registrado",IF(AND(P2141="Pago tarjeta",AE2141&lt;&gt;"Tarjeta de crédito"),"⚠ El destino debe ser tarjeta de crédito",IF(AND(P2141="Gasto",E2141="Depósitos y retiros"),"⚠ Usa tipo Transferencia",IF(AND(P2141="Resultado trading",AD2141&lt;&gt;"Cuenta de trading"),"⚠ Usa una cuenta de trading",IF(AND(G2141&lt;=0,P2141&lt;&gt;"Ajuste",P2141&lt;&gt;"Resultado trading"),"⚠ El monto debe ser positivo","✓")))))))))))))))</f>
        <v/>
      </c>
      <c r="P2141" s="52">
        <f>IF(OR(B2141="",G2141=""),"",IF(C2141="","Gasto",C2141))</f>
        <v/>
      </c>
      <c r="Q2141" s="52">
        <f>IF(P2141="","",IF(J2141&lt;&gt;"",J2141,CuentaPred&amp;""))</f>
        <v/>
      </c>
      <c r="R2141" s="52">
        <f>IF(P2141="","",IF(ISNUMBER(I2141),I2141,TasaUSD))</f>
        <v/>
      </c>
      <c r="S2141" s="53">
        <f>IF(P2141="","",IF(H2141="USD",G2141*R2141,G2141))</f>
        <v/>
      </c>
      <c r="T2141" s="53">
        <f>IF(P2141="","",IF(H2141="USD",G2141,IF(R2141&gt;0,G2141/R2141,0)))</f>
        <v/>
      </c>
      <c r="U2141" s="53">
        <f>IF(P2141="","",IF(P2141="Gasto",S2141,IF(P2141="Reembolso",-S2141,0)))</f>
        <v/>
      </c>
      <c r="V2141" s="53">
        <f>IF(P2141="","",IF(P2141="Ingreso",S2141,0))</f>
        <v/>
      </c>
      <c r="W2141" s="53">
        <f>IF(P2141="","",IF(P2141="Resultado trading",S2141,0))</f>
        <v/>
      </c>
      <c r="X2141" s="52">
        <f>IF(OR(P2141="Gasto",P2141="Reembolso"),IF(M2141&lt;&gt;"",M2141,IFERROR(INDEX(catClasif,MATCH(D2141&amp;"|"&amp;E2141,catClave,0))&amp;"","Variable")),"")</f>
        <v/>
      </c>
      <c r="Y2141" s="52">
        <f>IF(P2141="","",IFERROR(INDEX(catGrupo,MATCH(D2141&amp;"|"&amp;E2141,catClave,0))&amp;"",""))</f>
        <v/>
      </c>
      <c r="Z2141" s="52">
        <f>IF(P2141="","",WEEKDAY(B2141,2))</f>
        <v/>
      </c>
      <c r="AA2141" s="52">
        <f>IF(P2141="","",IF(AND(P2141="Gasto",X2141="Variable",D2141&lt;&gt;catTrading,S2141&gt;0,S2141&lt;=Umbral),1,0))</f>
        <v/>
      </c>
      <c r="AB2141" s="52">
        <f>IF(OR(P2141="",Q2141=""),"",IFERROR(IF(INDEX(ctaVinc,MATCH(Q2141,ctaNombre,0))&amp;""&lt;&gt;"",INDEX(ctaVinc,MATCH(Q2141,ctaNombre,0))&amp;"",Q2141),Q2141))</f>
        <v/>
      </c>
      <c r="AC2141" s="52">
        <f>IF(OR(K2141="",AND(P2141&lt;&gt;"Transferencia",P2141&lt;&gt;"Pago tarjeta")),"",IFERROR(IF(INDEX(ctaVinc,MATCH(K2141,ctaNombre,0))&amp;""&lt;&gt;"",INDEX(ctaVinc,MATCH(K2141,ctaNombre,0))&amp;"",K2141),K2141))</f>
        <v/>
      </c>
      <c r="AD2141" s="52">
        <f>IF(AB2141="","",IFERROR(INDEX(ctaTipo,MATCH(AB2141,ctaNombre,0))&amp;"",""))</f>
        <v/>
      </c>
      <c r="AE2141" s="52">
        <f>IF(AC2141="","",IFERROR(INDEX(ctaTipo,MATCH(AC2141,ctaNombre,0))&amp;"",""))</f>
        <v/>
      </c>
      <c r="AF2141" s="53">
        <f>IF(OR(P2141="",AB2141=""),"",IF(OR(P2141="Gasto",P2141="Transferencia",P2141="Pago tarjeta"),-1,1)*IF(IFERROR(INDEX(ctaMoneda,MATCH(AB2141,ctaNombre,0))&amp;"","DOP")="USD",T2141,S2141))</f>
        <v/>
      </c>
      <c r="AG2141" s="53">
        <f>IF(AC2141="","",IF(IFERROR(INDEX(ctaMoneda,MATCH(AC2141,ctaNombre,0))&amp;"","DOP")="USD",T2141,S2141))</f>
        <v/>
      </c>
      <c r="AH2141" s="53">
        <f>IF(P2141="","",IF(AND(AD2141&lt;&gt;"",COUNTIFS(tcTipo,AD2141,tcLiq,"Sí")&gt;0),IF(OR(P2141="Gasto",P2141="Transferencia",P2141="Pago tarjeta"),-1,1)*S2141,0)+IF(AND(AE2141&lt;&gt;"",COUNTIFS(tcTipo,AE2141,tcLiq,"Sí")&gt;0),S2141,0))</f>
        <v/>
      </c>
      <c r="AI2141" s="52">
        <f>IF(OR(L2141="",P2141=""),"",IF(COUNTIFS(L$6:L2141,L2141,P$6:P2141,"?*")=1,MAX(AI$5:AI2140)+1,""))</f>
        <v/>
      </c>
    </row>
    <row r="2142">
      <c r="B2142" s="47" t="n"/>
      <c r="C2142" s="48" t="n"/>
      <c r="D2142" s="48" t="n"/>
      <c r="E2142" s="48" t="n"/>
      <c r="F2142" s="48" t="n"/>
      <c r="G2142" s="49" t="n"/>
      <c r="H2142" s="48" t="n"/>
      <c r="I2142" s="50" t="n"/>
      <c r="J2142" s="48" t="n"/>
      <c r="K2142" s="48" t="n"/>
      <c r="L2142" s="48" t="n"/>
      <c r="M2142" s="48" t="n"/>
      <c r="N2142" s="48" t="n"/>
      <c r="O2142" s="51">
        <f>IF(AND(B2142="",G2142="",C2142="",D2142="",J2142=""),"",IF(B2142="","⚠ Falta fecha",IF(G2142="","⚠ Falta monto",IF(Q2142="","⚠ Falta cuenta",IF(ISNA(MATCH(Q2142,ctaNombre,0)),"⚠ Cuenta no registrada",IF(AND(OR(P2142="Gasto",P2142="Reembolso"),D2142=""),"⚠ Falta categoría",IF(AND(D2142&lt;&gt;"",E2142&lt;&gt;"",ISNA(MATCH(D2142&amp;"|"&amp;E2142,catClave,0))),"⚠ Subcategoría no corresponde",IF(AND(OR(P2142="Transferencia",P2142="Pago tarjeta"),K2142=""),"⚠ Falta cuenta destino",IF(AND(K2142&lt;&gt;"",P2142&lt;&gt;"Transferencia",P2142&lt;&gt;"Pago tarjeta"),"⚠ Destino solo aplica a transferencias",IF(AND(K2142&lt;&gt;"",K2142=Q2142),"⚠ Origen igual a destino",IF(AND(K2142&lt;&gt;"",ISNA(MATCH(K2142,ctaNombre,0))),"⚠ Destino no registrado",IF(AND(P2142="Pago tarjeta",AE2142&lt;&gt;"Tarjeta de crédito"),"⚠ El destino debe ser tarjeta de crédito",IF(AND(P2142="Gasto",E2142="Depósitos y retiros"),"⚠ Usa tipo Transferencia",IF(AND(P2142="Resultado trading",AD2142&lt;&gt;"Cuenta de trading"),"⚠ Usa una cuenta de trading",IF(AND(G2142&lt;=0,P2142&lt;&gt;"Ajuste",P2142&lt;&gt;"Resultado trading"),"⚠ El monto debe ser positivo","✓")))))))))))))))</f>
        <v/>
      </c>
      <c r="P2142" s="52">
        <f>IF(OR(B2142="",G2142=""),"",IF(C2142="","Gasto",C2142))</f>
        <v/>
      </c>
      <c r="Q2142" s="52">
        <f>IF(P2142="","",IF(J2142&lt;&gt;"",J2142,CuentaPred&amp;""))</f>
        <v/>
      </c>
      <c r="R2142" s="52">
        <f>IF(P2142="","",IF(ISNUMBER(I2142),I2142,TasaUSD))</f>
        <v/>
      </c>
      <c r="S2142" s="53">
        <f>IF(P2142="","",IF(H2142="USD",G2142*R2142,G2142))</f>
        <v/>
      </c>
      <c r="T2142" s="53">
        <f>IF(P2142="","",IF(H2142="USD",G2142,IF(R2142&gt;0,G2142/R2142,0)))</f>
        <v/>
      </c>
      <c r="U2142" s="53">
        <f>IF(P2142="","",IF(P2142="Gasto",S2142,IF(P2142="Reembolso",-S2142,0)))</f>
        <v/>
      </c>
      <c r="V2142" s="53">
        <f>IF(P2142="","",IF(P2142="Ingreso",S2142,0))</f>
        <v/>
      </c>
      <c r="W2142" s="53">
        <f>IF(P2142="","",IF(P2142="Resultado trading",S2142,0))</f>
        <v/>
      </c>
      <c r="X2142" s="52">
        <f>IF(OR(P2142="Gasto",P2142="Reembolso"),IF(M2142&lt;&gt;"",M2142,IFERROR(INDEX(catClasif,MATCH(D2142&amp;"|"&amp;E2142,catClave,0))&amp;"","Variable")),"")</f>
        <v/>
      </c>
      <c r="Y2142" s="52">
        <f>IF(P2142="","",IFERROR(INDEX(catGrupo,MATCH(D2142&amp;"|"&amp;E2142,catClave,0))&amp;"",""))</f>
        <v/>
      </c>
      <c r="Z2142" s="52">
        <f>IF(P2142="","",WEEKDAY(B2142,2))</f>
        <v/>
      </c>
      <c r="AA2142" s="52">
        <f>IF(P2142="","",IF(AND(P2142="Gasto",X2142="Variable",D2142&lt;&gt;catTrading,S2142&gt;0,S2142&lt;=Umbral),1,0))</f>
        <v/>
      </c>
      <c r="AB2142" s="52">
        <f>IF(OR(P2142="",Q2142=""),"",IFERROR(IF(INDEX(ctaVinc,MATCH(Q2142,ctaNombre,0))&amp;""&lt;&gt;"",INDEX(ctaVinc,MATCH(Q2142,ctaNombre,0))&amp;"",Q2142),Q2142))</f>
        <v/>
      </c>
      <c r="AC2142" s="52">
        <f>IF(OR(K2142="",AND(P2142&lt;&gt;"Transferencia",P2142&lt;&gt;"Pago tarjeta")),"",IFERROR(IF(INDEX(ctaVinc,MATCH(K2142,ctaNombre,0))&amp;""&lt;&gt;"",INDEX(ctaVinc,MATCH(K2142,ctaNombre,0))&amp;"",K2142),K2142))</f>
        <v/>
      </c>
      <c r="AD2142" s="52">
        <f>IF(AB2142="","",IFERROR(INDEX(ctaTipo,MATCH(AB2142,ctaNombre,0))&amp;"",""))</f>
        <v/>
      </c>
      <c r="AE2142" s="52">
        <f>IF(AC2142="","",IFERROR(INDEX(ctaTipo,MATCH(AC2142,ctaNombre,0))&amp;"",""))</f>
        <v/>
      </c>
      <c r="AF2142" s="53">
        <f>IF(OR(P2142="",AB2142=""),"",IF(OR(P2142="Gasto",P2142="Transferencia",P2142="Pago tarjeta"),-1,1)*IF(IFERROR(INDEX(ctaMoneda,MATCH(AB2142,ctaNombre,0))&amp;"","DOP")="USD",T2142,S2142))</f>
        <v/>
      </c>
      <c r="AG2142" s="53">
        <f>IF(AC2142="","",IF(IFERROR(INDEX(ctaMoneda,MATCH(AC2142,ctaNombre,0))&amp;"","DOP")="USD",T2142,S2142))</f>
        <v/>
      </c>
      <c r="AH2142" s="53">
        <f>IF(P2142="","",IF(AND(AD2142&lt;&gt;"",COUNTIFS(tcTipo,AD2142,tcLiq,"Sí")&gt;0),IF(OR(P2142="Gasto",P2142="Transferencia",P2142="Pago tarjeta"),-1,1)*S2142,0)+IF(AND(AE2142&lt;&gt;"",COUNTIFS(tcTipo,AE2142,tcLiq,"Sí")&gt;0),S2142,0))</f>
        <v/>
      </c>
      <c r="AI2142" s="52">
        <f>IF(OR(L2142="",P2142=""),"",IF(COUNTIFS(L$6:L2142,L2142,P$6:P2142,"?*")=1,MAX(AI$5:AI2141)+1,""))</f>
        <v/>
      </c>
    </row>
    <row r="2143">
      <c r="B2143" s="47" t="n"/>
      <c r="C2143" s="48" t="n"/>
      <c r="D2143" s="48" t="n"/>
      <c r="E2143" s="48" t="n"/>
      <c r="F2143" s="48" t="n"/>
      <c r="G2143" s="49" t="n"/>
      <c r="H2143" s="48" t="n"/>
      <c r="I2143" s="50" t="n"/>
      <c r="J2143" s="48" t="n"/>
      <c r="K2143" s="48" t="n"/>
      <c r="L2143" s="48" t="n"/>
      <c r="M2143" s="48" t="n"/>
      <c r="N2143" s="48" t="n"/>
      <c r="O2143" s="51">
        <f>IF(AND(B2143="",G2143="",C2143="",D2143="",J2143=""),"",IF(B2143="","⚠ Falta fecha",IF(G2143="","⚠ Falta monto",IF(Q2143="","⚠ Falta cuenta",IF(ISNA(MATCH(Q2143,ctaNombre,0)),"⚠ Cuenta no registrada",IF(AND(OR(P2143="Gasto",P2143="Reembolso"),D2143=""),"⚠ Falta categoría",IF(AND(D2143&lt;&gt;"",E2143&lt;&gt;"",ISNA(MATCH(D2143&amp;"|"&amp;E2143,catClave,0))),"⚠ Subcategoría no corresponde",IF(AND(OR(P2143="Transferencia",P2143="Pago tarjeta"),K2143=""),"⚠ Falta cuenta destino",IF(AND(K2143&lt;&gt;"",P2143&lt;&gt;"Transferencia",P2143&lt;&gt;"Pago tarjeta"),"⚠ Destino solo aplica a transferencias",IF(AND(K2143&lt;&gt;"",K2143=Q2143),"⚠ Origen igual a destino",IF(AND(K2143&lt;&gt;"",ISNA(MATCH(K2143,ctaNombre,0))),"⚠ Destino no registrado",IF(AND(P2143="Pago tarjeta",AE2143&lt;&gt;"Tarjeta de crédito"),"⚠ El destino debe ser tarjeta de crédito",IF(AND(P2143="Gasto",E2143="Depósitos y retiros"),"⚠ Usa tipo Transferencia",IF(AND(P2143="Resultado trading",AD2143&lt;&gt;"Cuenta de trading"),"⚠ Usa una cuenta de trading",IF(AND(G2143&lt;=0,P2143&lt;&gt;"Ajuste",P2143&lt;&gt;"Resultado trading"),"⚠ El monto debe ser positivo","✓")))))))))))))))</f>
        <v/>
      </c>
      <c r="P2143" s="52">
        <f>IF(OR(B2143="",G2143=""),"",IF(C2143="","Gasto",C2143))</f>
        <v/>
      </c>
      <c r="Q2143" s="52">
        <f>IF(P2143="","",IF(J2143&lt;&gt;"",J2143,CuentaPred&amp;""))</f>
        <v/>
      </c>
      <c r="R2143" s="52">
        <f>IF(P2143="","",IF(ISNUMBER(I2143),I2143,TasaUSD))</f>
        <v/>
      </c>
      <c r="S2143" s="53">
        <f>IF(P2143="","",IF(H2143="USD",G2143*R2143,G2143))</f>
        <v/>
      </c>
      <c r="T2143" s="53">
        <f>IF(P2143="","",IF(H2143="USD",G2143,IF(R2143&gt;0,G2143/R2143,0)))</f>
        <v/>
      </c>
      <c r="U2143" s="53">
        <f>IF(P2143="","",IF(P2143="Gasto",S2143,IF(P2143="Reembolso",-S2143,0)))</f>
        <v/>
      </c>
      <c r="V2143" s="53">
        <f>IF(P2143="","",IF(P2143="Ingreso",S2143,0))</f>
        <v/>
      </c>
      <c r="W2143" s="53">
        <f>IF(P2143="","",IF(P2143="Resultado trading",S2143,0))</f>
        <v/>
      </c>
      <c r="X2143" s="52">
        <f>IF(OR(P2143="Gasto",P2143="Reembolso"),IF(M2143&lt;&gt;"",M2143,IFERROR(INDEX(catClasif,MATCH(D2143&amp;"|"&amp;E2143,catClave,0))&amp;"","Variable")),"")</f>
        <v/>
      </c>
      <c r="Y2143" s="52">
        <f>IF(P2143="","",IFERROR(INDEX(catGrupo,MATCH(D2143&amp;"|"&amp;E2143,catClave,0))&amp;"",""))</f>
        <v/>
      </c>
      <c r="Z2143" s="52">
        <f>IF(P2143="","",WEEKDAY(B2143,2))</f>
        <v/>
      </c>
      <c r="AA2143" s="52">
        <f>IF(P2143="","",IF(AND(P2143="Gasto",X2143="Variable",D2143&lt;&gt;catTrading,S2143&gt;0,S2143&lt;=Umbral),1,0))</f>
        <v/>
      </c>
      <c r="AB2143" s="52">
        <f>IF(OR(P2143="",Q2143=""),"",IFERROR(IF(INDEX(ctaVinc,MATCH(Q2143,ctaNombre,0))&amp;""&lt;&gt;"",INDEX(ctaVinc,MATCH(Q2143,ctaNombre,0))&amp;"",Q2143),Q2143))</f>
        <v/>
      </c>
      <c r="AC2143" s="52">
        <f>IF(OR(K2143="",AND(P2143&lt;&gt;"Transferencia",P2143&lt;&gt;"Pago tarjeta")),"",IFERROR(IF(INDEX(ctaVinc,MATCH(K2143,ctaNombre,0))&amp;""&lt;&gt;"",INDEX(ctaVinc,MATCH(K2143,ctaNombre,0))&amp;"",K2143),K2143))</f>
        <v/>
      </c>
      <c r="AD2143" s="52">
        <f>IF(AB2143="","",IFERROR(INDEX(ctaTipo,MATCH(AB2143,ctaNombre,0))&amp;"",""))</f>
        <v/>
      </c>
      <c r="AE2143" s="52">
        <f>IF(AC2143="","",IFERROR(INDEX(ctaTipo,MATCH(AC2143,ctaNombre,0))&amp;"",""))</f>
        <v/>
      </c>
      <c r="AF2143" s="53">
        <f>IF(OR(P2143="",AB2143=""),"",IF(OR(P2143="Gasto",P2143="Transferencia",P2143="Pago tarjeta"),-1,1)*IF(IFERROR(INDEX(ctaMoneda,MATCH(AB2143,ctaNombre,0))&amp;"","DOP")="USD",T2143,S2143))</f>
        <v/>
      </c>
      <c r="AG2143" s="53">
        <f>IF(AC2143="","",IF(IFERROR(INDEX(ctaMoneda,MATCH(AC2143,ctaNombre,0))&amp;"","DOP")="USD",T2143,S2143))</f>
        <v/>
      </c>
      <c r="AH2143" s="53">
        <f>IF(P2143="","",IF(AND(AD2143&lt;&gt;"",COUNTIFS(tcTipo,AD2143,tcLiq,"Sí")&gt;0),IF(OR(P2143="Gasto",P2143="Transferencia",P2143="Pago tarjeta"),-1,1)*S2143,0)+IF(AND(AE2143&lt;&gt;"",COUNTIFS(tcTipo,AE2143,tcLiq,"Sí")&gt;0),S2143,0))</f>
        <v/>
      </c>
      <c r="AI2143" s="52">
        <f>IF(OR(L2143="",P2143=""),"",IF(COUNTIFS(L$6:L2143,L2143,P$6:P2143,"?*")=1,MAX(AI$5:AI2142)+1,""))</f>
        <v/>
      </c>
    </row>
    <row r="2144">
      <c r="B2144" s="47" t="n"/>
      <c r="C2144" s="48" t="n"/>
      <c r="D2144" s="48" t="n"/>
      <c r="E2144" s="48" t="n"/>
      <c r="F2144" s="48" t="n"/>
      <c r="G2144" s="49" t="n"/>
      <c r="H2144" s="48" t="n"/>
      <c r="I2144" s="50" t="n"/>
      <c r="J2144" s="48" t="n"/>
      <c r="K2144" s="48" t="n"/>
      <c r="L2144" s="48" t="n"/>
      <c r="M2144" s="48" t="n"/>
      <c r="N2144" s="48" t="n"/>
      <c r="O2144" s="51">
        <f>IF(AND(B2144="",G2144="",C2144="",D2144="",J2144=""),"",IF(B2144="","⚠ Falta fecha",IF(G2144="","⚠ Falta monto",IF(Q2144="","⚠ Falta cuenta",IF(ISNA(MATCH(Q2144,ctaNombre,0)),"⚠ Cuenta no registrada",IF(AND(OR(P2144="Gasto",P2144="Reembolso"),D2144=""),"⚠ Falta categoría",IF(AND(D2144&lt;&gt;"",E2144&lt;&gt;"",ISNA(MATCH(D2144&amp;"|"&amp;E2144,catClave,0))),"⚠ Subcategoría no corresponde",IF(AND(OR(P2144="Transferencia",P2144="Pago tarjeta"),K2144=""),"⚠ Falta cuenta destino",IF(AND(K2144&lt;&gt;"",P2144&lt;&gt;"Transferencia",P2144&lt;&gt;"Pago tarjeta"),"⚠ Destino solo aplica a transferencias",IF(AND(K2144&lt;&gt;"",K2144=Q2144),"⚠ Origen igual a destino",IF(AND(K2144&lt;&gt;"",ISNA(MATCH(K2144,ctaNombre,0))),"⚠ Destino no registrado",IF(AND(P2144="Pago tarjeta",AE2144&lt;&gt;"Tarjeta de crédito"),"⚠ El destino debe ser tarjeta de crédito",IF(AND(P2144="Gasto",E2144="Depósitos y retiros"),"⚠ Usa tipo Transferencia",IF(AND(P2144="Resultado trading",AD2144&lt;&gt;"Cuenta de trading"),"⚠ Usa una cuenta de trading",IF(AND(G2144&lt;=0,P2144&lt;&gt;"Ajuste",P2144&lt;&gt;"Resultado trading"),"⚠ El monto debe ser positivo","✓")))))))))))))))</f>
        <v/>
      </c>
      <c r="P2144" s="52">
        <f>IF(OR(B2144="",G2144=""),"",IF(C2144="","Gasto",C2144))</f>
        <v/>
      </c>
      <c r="Q2144" s="52">
        <f>IF(P2144="","",IF(J2144&lt;&gt;"",J2144,CuentaPred&amp;""))</f>
        <v/>
      </c>
      <c r="R2144" s="52">
        <f>IF(P2144="","",IF(ISNUMBER(I2144),I2144,TasaUSD))</f>
        <v/>
      </c>
      <c r="S2144" s="53">
        <f>IF(P2144="","",IF(H2144="USD",G2144*R2144,G2144))</f>
        <v/>
      </c>
      <c r="T2144" s="53">
        <f>IF(P2144="","",IF(H2144="USD",G2144,IF(R2144&gt;0,G2144/R2144,0)))</f>
        <v/>
      </c>
      <c r="U2144" s="53">
        <f>IF(P2144="","",IF(P2144="Gasto",S2144,IF(P2144="Reembolso",-S2144,0)))</f>
        <v/>
      </c>
      <c r="V2144" s="53">
        <f>IF(P2144="","",IF(P2144="Ingreso",S2144,0))</f>
        <v/>
      </c>
      <c r="W2144" s="53">
        <f>IF(P2144="","",IF(P2144="Resultado trading",S2144,0))</f>
        <v/>
      </c>
      <c r="X2144" s="52">
        <f>IF(OR(P2144="Gasto",P2144="Reembolso"),IF(M2144&lt;&gt;"",M2144,IFERROR(INDEX(catClasif,MATCH(D2144&amp;"|"&amp;E2144,catClave,0))&amp;"","Variable")),"")</f>
        <v/>
      </c>
      <c r="Y2144" s="52">
        <f>IF(P2144="","",IFERROR(INDEX(catGrupo,MATCH(D2144&amp;"|"&amp;E2144,catClave,0))&amp;"",""))</f>
        <v/>
      </c>
      <c r="Z2144" s="52">
        <f>IF(P2144="","",WEEKDAY(B2144,2))</f>
        <v/>
      </c>
      <c r="AA2144" s="52">
        <f>IF(P2144="","",IF(AND(P2144="Gasto",X2144="Variable",D2144&lt;&gt;catTrading,S2144&gt;0,S2144&lt;=Umbral),1,0))</f>
        <v/>
      </c>
      <c r="AB2144" s="52">
        <f>IF(OR(P2144="",Q2144=""),"",IFERROR(IF(INDEX(ctaVinc,MATCH(Q2144,ctaNombre,0))&amp;""&lt;&gt;"",INDEX(ctaVinc,MATCH(Q2144,ctaNombre,0))&amp;"",Q2144),Q2144))</f>
        <v/>
      </c>
      <c r="AC2144" s="52">
        <f>IF(OR(K2144="",AND(P2144&lt;&gt;"Transferencia",P2144&lt;&gt;"Pago tarjeta")),"",IFERROR(IF(INDEX(ctaVinc,MATCH(K2144,ctaNombre,0))&amp;""&lt;&gt;"",INDEX(ctaVinc,MATCH(K2144,ctaNombre,0))&amp;"",K2144),K2144))</f>
        <v/>
      </c>
      <c r="AD2144" s="52">
        <f>IF(AB2144="","",IFERROR(INDEX(ctaTipo,MATCH(AB2144,ctaNombre,0))&amp;"",""))</f>
        <v/>
      </c>
      <c r="AE2144" s="52">
        <f>IF(AC2144="","",IFERROR(INDEX(ctaTipo,MATCH(AC2144,ctaNombre,0))&amp;"",""))</f>
        <v/>
      </c>
      <c r="AF2144" s="53">
        <f>IF(OR(P2144="",AB2144=""),"",IF(OR(P2144="Gasto",P2144="Transferencia",P2144="Pago tarjeta"),-1,1)*IF(IFERROR(INDEX(ctaMoneda,MATCH(AB2144,ctaNombre,0))&amp;"","DOP")="USD",T2144,S2144))</f>
        <v/>
      </c>
      <c r="AG2144" s="53">
        <f>IF(AC2144="","",IF(IFERROR(INDEX(ctaMoneda,MATCH(AC2144,ctaNombre,0))&amp;"","DOP")="USD",T2144,S2144))</f>
        <v/>
      </c>
      <c r="AH2144" s="53">
        <f>IF(P2144="","",IF(AND(AD2144&lt;&gt;"",COUNTIFS(tcTipo,AD2144,tcLiq,"Sí")&gt;0),IF(OR(P2144="Gasto",P2144="Transferencia",P2144="Pago tarjeta"),-1,1)*S2144,0)+IF(AND(AE2144&lt;&gt;"",COUNTIFS(tcTipo,AE2144,tcLiq,"Sí")&gt;0),S2144,0))</f>
        <v/>
      </c>
      <c r="AI2144" s="52">
        <f>IF(OR(L2144="",P2144=""),"",IF(COUNTIFS(L$6:L2144,L2144,P$6:P2144,"?*")=1,MAX(AI$5:AI2143)+1,""))</f>
        <v/>
      </c>
    </row>
    <row r="2145">
      <c r="B2145" s="47" t="n"/>
      <c r="C2145" s="48" t="n"/>
      <c r="D2145" s="48" t="n"/>
      <c r="E2145" s="48" t="n"/>
      <c r="F2145" s="48" t="n"/>
      <c r="G2145" s="49" t="n"/>
      <c r="H2145" s="48" t="n"/>
      <c r="I2145" s="50" t="n"/>
      <c r="J2145" s="48" t="n"/>
      <c r="K2145" s="48" t="n"/>
      <c r="L2145" s="48" t="n"/>
      <c r="M2145" s="48" t="n"/>
      <c r="N2145" s="48" t="n"/>
      <c r="O2145" s="51">
        <f>IF(AND(B2145="",G2145="",C2145="",D2145="",J2145=""),"",IF(B2145="","⚠ Falta fecha",IF(G2145="","⚠ Falta monto",IF(Q2145="","⚠ Falta cuenta",IF(ISNA(MATCH(Q2145,ctaNombre,0)),"⚠ Cuenta no registrada",IF(AND(OR(P2145="Gasto",P2145="Reembolso"),D2145=""),"⚠ Falta categoría",IF(AND(D2145&lt;&gt;"",E2145&lt;&gt;"",ISNA(MATCH(D2145&amp;"|"&amp;E2145,catClave,0))),"⚠ Subcategoría no corresponde",IF(AND(OR(P2145="Transferencia",P2145="Pago tarjeta"),K2145=""),"⚠ Falta cuenta destino",IF(AND(K2145&lt;&gt;"",P2145&lt;&gt;"Transferencia",P2145&lt;&gt;"Pago tarjeta"),"⚠ Destino solo aplica a transferencias",IF(AND(K2145&lt;&gt;"",K2145=Q2145),"⚠ Origen igual a destino",IF(AND(K2145&lt;&gt;"",ISNA(MATCH(K2145,ctaNombre,0))),"⚠ Destino no registrado",IF(AND(P2145="Pago tarjeta",AE2145&lt;&gt;"Tarjeta de crédito"),"⚠ El destino debe ser tarjeta de crédito",IF(AND(P2145="Gasto",E2145="Depósitos y retiros"),"⚠ Usa tipo Transferencia",IF(AND(P2145="Resultado trading",AD2145&lt;&gt;"Cuenta de trading"),"⚠ Usa una cuenta de trading",IF(AND(G2145&lt;=0,P2145&lt;&gt;"Ajuste",P2145&lt;&gt;"Resultado trading"),"⚠ El monto debe ser positivo","✓")))))))))))))))</f>
        <v/>
      </c>
      <c r="P2145" s="52">
        <f>IF(OR(B2145="",G2145=""),"",IF(C2145="","Gasto",C2145))</f>
        <v/>
      </c>
      <c r="Q2145" s="52">
        <f>IF(P2145="","",IF(J2145&lt;&gt;"",J2145,CuentaPred&amp;""))</f>
        <v/>
      </c>
      <c r="R2145" s="52">
        <f>IF(P2145="","",IF(ISNUMBER(I2145),I2145,TasaUSD))</f>
        <v/>
      </c>
      <c r="S2145" s="53">
        <f>IF(P2145="","",IF(H2145="USD",G2145*R2145,G2145))</f>
        <v/>
      </c>
      <c r="T2145" s="53">
        <f>IF(P2145="","",IF(H2145="USD",G2145,IF(R2145&gt;0,G2145/R2145,0)))</f>
        <v/>
      </c>
      <c r="U2145" s="53">
        <f>IF(P2145="","",IF(P2145="Gasto",S2145,IF(P2145="Reembolso",-S2145,0)))</f>
        <v/>
      </c>
      <c r="V2145" s="53">
        <f>IF(P2145="","",IF(P2145="Ingreso",S2145,0))</f>
        <v/>
      </c>
      <c r="W2145" s="53">
        <f>IF(P2145="","",IF(P2145="Resultado trading",S2145,0))</f>
        <v/>
      </c>
      <c r="X2145" s="52">
        <f>IF(OR(P2145="Gasto",P2145="Reembolso"),IF(M2145&lt;&gt;"",M2145,IFERROR(INDEX(catClasif,MATCH(D2145&amp;"|"&amp;E2145,catClave,0))&amp;"","Variable")),"")</f>
        <v/>
      </c>
      <c r="Y2145" s="52">
        <f>IF(P2145="","",IFERROR(INDEX(catGrupo,MATCH(D2145&amp;"|"&amp;E2145,catClave,0))&amp;"",""))</f>
        <v/>
      </c>
      <c r="Z2145" s="52">
        <f>IF(P2145="","",WEEKDAY(B2145,2))</f>
        <v/>
      </c>
      <c r="AA2145" s="52">
        <f>IF(P2145="","",IF(AND(P2145="Gasto",X2145="Variable",D2145&lt;&gt;catTrading,S2145&gt;0,S2145&lt;=Umbral),1,0))</f>
        <v/>
      </c>
      <c r="AB2145" s="52">
        <f>IF(OR(P2145="",Q2145=""),"",IFERROR(IF(INDEX(ctaVinc,MATCH(Q2145,ctaNombre,0))&amp;""&lt;&gt;"",INDEX(ctaVinc,MATCH(Q2145,ctaNombre,0))&amp;"",Q2145),Q2145))</f>
        <v/>
      </c>
      <c r="AC2145" s="52">
        <f>IF(OR(K2145="",AND(P2145&lt;&gt;"Transferencia",P2145&lt;&gt;"Pago tarjeta")),"",IFERROR(IF(INDEX(ctaVinc,MATCH(K2145,ctaNombre,0))&amp;""&lt;&gt;"",INDEX(ctaVinc,MATCH(K2145,ctaNombre,0))&amp;"",K2145),K2145))</f>
        <v/>
      </c>
      <c r="AD2145" s="52">
        <f>IF(AB2145="","",IFERROR(INDEX(ctaTipo,MATCH(AB2145,ctaNombre,0))&amp;"",""))</f>
        <v/>
      </c>
      <c r="AE2145" s="52">
        <f>IF(AC2145="","",IFERROR(INDEX(ctaTipo,MATCH(AC2145,ctaNombre,0))&amp;"",""))</f>
        <v/>
      </c>
      <c r="AF2145" s="53">
        <f>IF(OR(P2145="",AB2145=""),"",IF(OR(P2145="Gasto",P2145="Transferencia",P2145="Pago tarjeta"),-1,1)*IF(IFERROR(INDEX(ctaMoneda,MATCH(AB2145,ctaNombre,0))&amp;"","DOP")="USD",T2145,S2145))</f>
        <v/>
      </c>
      <c r="AG2145" s="53">
        <f>IF(AC2145="","",IF(IFERROR(INDEX(ctaMoneda,MATCH(AC2145,ctaNombre,0))&amp;"","DOP")="USD",T2145,S2145))</f>
        <v/>
      </c>
      <c r="AH2145" s="53">
        <f>IF(P2145="","",IF(AND(AD2145&lt;&gt;"",COUNTIFS(tcTipo,AD2145,tcLiq,"Sí")&gt;0),IF(OR(P2145="Gasto",P2145="Transferencia",P2145="Pago tarjeta"),-1,1)*S2145,0)+IF(AND(AE2145&lt;&gt;"",COUNTIFS(tcTipo,AE2145,tcLiq,"Sí")&gt;0),S2145,0))</f>
        <v/>
      </c>
      <c r="AI2145" s="52">
        <f>IF(OR(L2145="",P2145=""),"",IF(COUNTIFS(L$6:L2145,L2145,P$6:P2145,"?*")=1,MAX(AI$5:AI2144)+1,""))</f>
        <v/>
      </c>
    </row>
    <row r="2146">
      <c r="B2146" s="47" t="n"/>
      <c r="C2146" s="48" t="n"/>
      <c r="D2146" s="48" t="n"/>
      <c r="E2146" s="48" t="n"/>
      <c r="F2146" s="48" t="n"/>
      <c r="G2146" s="49" t="n"/>
      <c r="H2146" s="48" t="n"/>
      <c r="I2146" s="50" t="n"/>
      <c r="J2146" s="48" t="n"/>
      <c r="K2146" s="48" t="n"/>
      <c r="L2146" s="48" t="n"/>
      <c r="M2146" s="48" t="n"/>
      <c r="N2146" s="48" t="n"/>
      <c r="O2146" s="51">
        <f>IF(AND(B2146="",G2146="",C2146="",D2146="",J2146=""),"",IF(B2146="","⚠ Falta fecha",IF(G2146="","⚠ Falta monto",IF(Q2146="","⚠ Falta cuenta",IF(ISNA(MATCH(Q2146,ctaNombre,0)),"⚠ Cuenta no registrada",IF(AND(OR(P2146="Gasto",P2146="Reembolso"),D2146=""),"⚠ Falta categoría",IF(AND(D2146&lt;&gt;"",E2146&lt;&gt;"",ISNA(MATCH(D2146&amp;"|"&amp;E2146,catClave,0))),"⚠ Subcategoría no corresponde",IF(AND(OR(P2146="Transferencia",P2146="Pago tarjeta"),K2146=""),"⚠ Falta cuenta destino",IF(AND(K2146&lt;&gt;"",P2146&lt;&gt;"Transferencia",P2146&lt;&gt;"Pago tarjeta"),"⚠ Destino solo aplica a transferencias",IF(AND(K2146&lt;&gt;"",K2146=Q2146),"⚠ Origen igual a destino",IF(AND(K2146&lt;&gt;"",ISNA(MATCH(K2146,ctaNombre,0))),"⚠ Destino no registrado",IF(AND(P2146="Pago tarjeta",AE2146&lt;&gt;"Tarjeta de crédito"),"⚠ El destino debe ser tarjeta de crédito",IF(AND(P2146="Gasto",E2146="Depósitos y retiros"),"⚠ Usa tipo Transferencia",IF(AND(P2146="Resultado trading",AD2146&lt;&gt;"Cuenta de trading"),"⚠ Usa una cuenta de trading",IF(AND(G2146&lt;=0,P2146&lt;&gt;"Ajuste",P2146&lt;&gt;"Resultado trading"),"⚠ El monto debe ser positivo","✓")))))))))))))))</f>
        <v/>
      </c>
      <c r="P2146" s="52">
        <f>IF(OR(B2146="",G2146=""),"",IF(C2146="","Gasto",C2146))</f>
        <v/>
      </c>
      <c r="Q2146" s="52">
        <f>IF(P2146="","",IF(J2146&lt;&gt;"",J2146,CuentaPred&amp;""))</f>
        <v/>
      </c>
      <c r="R2146" s="52">
        <f>IF(P2146="","",IF(ISNUMBER(I2146),I2146,TasaUSD))</f>
        <v/>
      </c>
      <c r="S2146" s="53">
        <f>IF(P2146="","",IF(H2146="USD",G2146*R2146,G2146))</f>
        <v/>
      </c>
      <c r="T2146" s="53">
        <f>IF(P2146="","",IF(H2146="USD",G2146,IF(R2146&gt;0,G2146/R2146,0)))</f>
        <v/>
      </c>
      <c r="U2146" s="53">
        <f>IF(P2146="","",IF(P2146="Gasto",S2146,IF(P2146="Reembolso",-S2146,0)))</f>
        <v/>
      </c>
      <c r="V2146" s="53">
        <f>IF(P2146="","",IF(P2146="Ingreso",S2146,0))</f>
        <v/>
      </c>
      <c r="W2146" s="53">
        <f>IF(P2146="","",IF(P2146="Resultado trading",S2146,0))</f>
        <v/>
      </c>
      <c r="X2146" s="52">
        <f>IF(OR(P2146="Gasto",P2146="Reembolso"),IF(M2146&lt;&gt;"",M2146,IFERROR(INDEX(catClasif,MATCH(D2146&amp;"|"&amp;E2146,catClave,0))&amp;"","Variable")),"")</f>
        <v/>
      </c>
      <c r="Y2146" s="52">
        <f>IF(P2146="","",IFERROR(INDEX(catGrupo,MATCH(D2146&amp;"|"&amp;E2146,catClave,0))&amp;"",""))</f>
        <v/>
      </c>
      <c r="Z2146" s="52">
        <f>IF(P2146="","",WEEKDAY(B2146,2))</f>
        <v/>
      </c>
      <c r="AA2146" s="52">
        <f>IF(P2146="","",IF(AND(P2146="Gasto",X2146="Variable",D2146&lt;&gt;catTrading,S2146&gt;0,S2146&lt;=Umbral),1,0))</f>
        <v/>
      </c>
      <c r="AB2146" s="52">
        <f>IF(OR(P2146="",Q2146=""),"",IFERROR(IF(INDEX(ctaVinc,MATCH(Q2146,ctaNombre,0))&amp;""&lt;&gt;"",INDEX(ctaVinc,MATCH(Q2146,ctaNombre,0))&amp;"",Q2146),Q2146))</f>
        <v/>
      </c>
      <c r="AC2146" s="52">
        <f>IF(OR(K2146="",AND(P2146&lt;&gt;"Transferencia",P2146&lt;&gt;"Pago tarjeta")),"",IFERROR(IF(INDEX(ctaVinc,MATCH(K2146,ctaNombre,0))&amp;""&lt;&gt;"",INDEX(ctaVinc,MATCH(K2146,ctaNombre,0))&amp;"",K2146),K2146))</f>
        <v/>
      </c>
      <c r="AD2146" s="52">
        <f>IF(AB2146="","",IFERROR(INDEX(ctaTipo,MATCH(AB2146,ctaNombre,0))&amp;"",""))</f>
        <v/>
      </c>
      <c r="AE2146" s="52">
        <f>IF(AC2146="","",IFERROR(INDEX(ctaTipo,MATCH(AC2146,ctaNombre,0))&amp;"",""))</f>
        <v/>
      </c>
      <c r="AF2146" s="53">
        <f>IF(OR(P2146="",AB2146=""),"",IF(OR(P2146="Gasto",P2146="Transferencia",P2146="Pago tarjeta"),-1,1)*IF(IFERROR(INDEX(ctaMoneda,MATCH(AB2146,ctaNombre,0))&amp;"","DOP")="USD",T2146,S2146))</f>
        <v/>
      </c>
      <c r="AG2146" s="53">
        <f>IF(AC2146="","",IF(IFERROR(INDEX(ctaMoneda,MATCH(AC2146,ctaNombre,0))&amp;"","DOP")="USD",T2146,S2146))</f>
        <v/>
      </c>
      <c r="AH2146" s="53">
        <f>IF(P2146="","",IF(AND(AD2146&lt;&gt;"",COUNTIFS(tcTipo,AD2146,tcLiq,"Sí")&gt;0),IF(OR(P2146="Gasto",P2146="Transferencia",P2146="Pago tarjeta"),-1,1)*S2146,0)+IF(AND(AE2146&lt;&gt;"",COUNTIFS(tcTipo,AE2146,tcLiq,"Sí")&gt;0),S2146,0))</f>
        <v/>
      </c>
      <c r="AI2146" s="52">
        <f>IF(OR(L2146="",P2146=""),"",IF(COUNTIFS(L$6:L2146,L2146,P$6:P2146,"?*")=1,MAX(AI$5:AI2145)+1,""))</f>
        <v/>
      </c>
    </row>
    <row r="2147">
      <c r="B2147" s="47" t="n"/>
      <c r="C2147" s="48" t="n"/>
      <c r="D2147" s="48" t="n"/>
      <c r="E2147" s="48" t="n"/>
      <c r="F2147" s="48" t="n"/>
      <c r="G2147" s="49" t="n"/>
      <c r="H2147" s="48" t="n"/>
      <c r="I2147" s="50" t="n"/>
      <c r="J2147" s="48" t="n"/>
      <c r="K2147" s="48" t="n"/>
      <c r="L2147" s="48" t="n"/>
      <c r="M2147" s="48" t="n"/>
      <c r="N2147" s="48" t="n"/>
      <c r="O2147" s="51">
        <f>IF(AND(B2147="",G2147="",C2147="",D2147="",J2147=""),"",IF(B2147="","⚠ Falta fecha",IF(G2147="","⚠ Falta monto",IF(Q2147="","⚠ Falta cuenta",IF(ISNA(MATCH(Q2147,ctaNombre,0)),"⚠ Cuenta no registrada",IF(AND(OR(P2147="Gasto",P2147="Reembolso"),D2147=""),"⚠ Falta categoría",IF(AND(D2147&lt;&gt;"",E2147&lt;&gt;"",ISNA(MATCH(D2147&amp;"|"&amp;E2147,catClave,0))),"⚠ Subcategoría no corresponde",IF(AND(OR(P2147="Transferencia",P2147="Pago tarjeta"),K2147=""),"⚠ Falta cuenta destino",IF(AND(K2147&lt;&gt;"",P2147&lt;&gt;"Transferencia",P2147&lt;&gt;"Pago tarjeta"),"⚠ Destino solo aplica a transferencias",IF(AND(K2147&lt;&gt;"",K2147=Q2147),"⚠ Origen igual a destino",IF(AND(K2147&lt;&gt;"",ISNA(MATCH(K2147,ctaNombre,0))),"⚠ Destino no registrado",IF(AND(P2147="Pago tarjeta",AE2147&lt;&gt;"Tarjeta de crédito"),"⚠ El destino debe ser tarjeta de crédito",IF(AND(P2147="Gasto",E2147="Depósitos y retiros"),"⚠ Usa tipo Transferencia",IF(AND(P2147="Resultado trading",AD2147&lt;&gt;"Cuenta de trading"),"⚠ Usa una cuenta de trading",IF(AND(G2147&lt;=0,P2147&lt;&gt;"Ajuste",P2147&lt;&gt;"Resultado trading"),"⚠ El monto debe ser positivo","✓")))))))))))))))</f>
        <v/>
      </c>
      <c r="P2147" s="52">
        <f>IF(OR(B2147="",G2147=""),"",IF(C2147="","Gasto",C2147))</f>
        <v/>
      </c>
      <c r="Q2147" s="52">
        <f>IF(P2147="","",IF(J2147&lt;&gt;"",J2147,CuentaPred&amp;""))</f>
        <v/>
      </c>
      <c r="R2147" s="52">
        <f>IF(P2147="","",IF(ISNUMBER(I2147),I2147,TasaUSD))</f>
        <v/>
      </c>
      <c r="S2147" s="53">
        <f>IF(P2147="","",IF(H2147="USD",G2147*R2147,G2147))</f>
        <v/>
      </c>
      <c r="T2147" s="53">
        <f>IF(P2147="","",IF(H2147="USD",G2147,IF(R2147&gt;0,G2147/R2147,0)))</f>
        <v/>
      </c>
      <c r="U2147" s="53">
        <f>IF(P2147="","",IF(P2147="Gasto",S2147,IF(P2147="Reembolso",-S2147,0)))</f>
        <v/>
      </c>
      <c r="V2147" s="53">
        <f>IF(P2147="","",IF(P2147="Ingreso",S2147,0))</f>
        <v/>
      </c>
      <c r="W2147" s="53">
        <f>IF(P2147="","",IF(P2147="Resultado trading",S2147,0))</f>
        <v/>
      </c>
      <c r="X2147" s="52">
        <f>IF(OR(P2147="Gasto",P2147="Reembolso"),IF(M2147&lt;&gt;"",M2147,IFERROR(INDEX(catClasif,MATCH(D2147&amp;"|"&amp;E2147,catClave,0))&amp;"","Variable")),"")</f>
        <v/>
      </c>
      <c r="Y2147" s="52">
        <f>IF(P2147="","",IFERROR(INDEX(catGrupo,MATCH(D2147&amp;"|"&amp;E2147,catClave,0))&amp;"",""))</f>
        <v/>
      </c>
      <c r="Z2147" s="52">
        <f>IF(P2147="","",WEEKDAY(B2147,2))</f>
        <v/>
      </c>
      <c r="AA2147" s="52">
        <f>IF(P2147="","",IF(AND(P2147="Gasto",X2147="Variable",D2147&lt;&gt;catTrading,S2147&gt;0,S2147&lt;=Umbral),1,0))</f>
        <v/>
      </c>
      <c r="AB2147" s="52">
        <f>IF(OR(P2147="",Q2147=""),"",IFERROR(IF(INDEX(ctaVinc,MATCH(Q2147,ctaNombre,0))&amp;""&lt;&gt;"",INDEX(ctaVinc,MATCH(Q2147,ctaNombre,0))&amp;"",Q2147),Q2147))</f>
        <v/>
      </c>
      <c r="AC2147" s="52">
        <f>IF(OR(K2147="",AND(P2147&lt;&gt;"Transferencia",P2147&lt;&gt;"Pago tarjeta")),"",IFERROR(IF(INDEX(ctaVinc,MATCH(K2147,ctaNombre,0))&amp;""&lt;&gt;"",INDEX(ctaVinc,MATCH(K2147,ctaNombre,0))&amp;"",K2147),K2147))</f>
        <v/>
      </c>
      <c r="AD2147" s="52">
        <f>IF(AB2147="","",IFERROR(INDEX(ctaTipo,MATCH(AB2147,ctaNombre,0))&amp;"",""))</f>
        <v/>
      </c>
      <c r="AE2147" s="52">
        <f>IF(AC2147="","",IFERROR(INDEX(ctaTipo,MATCH(AC2147,ctaNombre,0))&amp;"",""))</f>
        <v/>
      </c>
      <c r="AF2147" s="53">
        <f>IF(OR(P2147="",AB2147=""),"",IF(OR(P2147="Gasto",P2147="Transferencia",P2147="Pago tarjeta"),-1,1)*IF(IFERROR(INDEX(ctaMoneda,MATCH(AB2147,ctaNombre,0))&amp;"","DOP")="USD",T2147,S2147))</f>
        <v/>
      </c>
      <c r="AG2147" s="53">
        <f>IF(AC2147="","",IF(IFERROR(INDEX(ctaMoneda,MATCH(AC2147,ctaNombre,0))&amp;"","DOP")="USD",T2147,S2147))</f>
        <v/>
      </c>
      <c r="AH2147" s="53">
        <f>IF(P2147="","",IF(AND(AD2147&lt;&gt;"",COUNTIFS(tcTipo,AD2147,tcLiq,"Sí")&gt;0),IF(OR(P2147="Gasto",P2147="Transferencia",P2147="Pago tarjeta"),-1,1)*S2147,0)+IF(AND(AE2147&lt;&gt;"",COUNTIFS(tcTipo,AE2147,tcLiq,"Sí")&gt;0),S2147,0))</f>
        <v/>
      </c>
      <c r="AI2147" s="52">
        <f>IF(OR(L2147="",P2147=""),"",IF(COUNTIFS(L$6:L2147,L2147,P$6:P2147,"?*")=1,MAX(AI$5:AI2146)+1,""))</f>
        <v/>
      </c>
    </row>
    <row r="2148">
      <c r="B2148" s="47" t="n"/>
      <c r="C2148" s="48" t="n"/>
      <c r="D2148" s="48" t="n"/>
      <c r="E2148" s="48" t="n"/>
      <c r="F2148" s="48" t="n"/>
      <c r="G2148" s="49" t="n"/>
      <c r="H2148" s="48" t="n"/>
      <c r="I2148" s="50" t="n"/>
      <c r="J2148" s="48" t="n"/>
      <c r="K2148" s="48" t="n"/>
      <c r="L2148" s="48" t="n"/>
      <c r="M2148" s="48" t="n"/>
      <c r="N2148" s="48" t="n"/>
      <c r="O2148" s="51">
        <f>IF(AND(B2148="",G2148="",C2148="",D2148="",J2148=""),"",IF(B2148="","⚠ Falta fecha",IF(G2148="","⚠ Falta monto",IF(Q2148="","⚠ Falta cuenta",IF(ISNA(MATCH(Q2148,ctaNombre,0)),"⚠ Cuenta no registrada",IF(AND(OR(P2148="Gasto",P2148="Reembolso"),D2148=""),"⚠ Falta categoría",IF(AND(D2148&lt;&gt;"",E2148&lt;&gt;"",ISNA(MATCH(D2148&amp;"|"&amp;E2148,catClave,0))),"⚠ Subcategoría no corresponde",IF(AND(OR(P2148="Transferencia",P2148="Pago tarjeta"),K2148=""),"⚠ Falta cuenta destino",IF(AND(K2148&lt;&gt;"",P2148&lt;&gt;"Transferencia",P2148&lt;&gt;"Pago tarjeta"),"⚠ Destino solo aplica a transferencias",IF(AND(K2148&lt;&gt;"",K2148=Q2148),"⚠ Origen igual a destino",IF(AND(K2148&lt;&gt;"",ISNA(MATCH(K2148,ctaNombre,0))),"⚠ Destino no registrado",IF(AND(P2148="Pago tarjeta",AE2148&lt;&gt;"Tarjeta de crédito"),"⚠ El destino debe ser tarjeta de crédito",IF(AND(P2148="Gasto",E2148="Depósitos y retiros"),"⚠ Usa tipo Transferencia",IF(AND(P2148="Resultado trading",AD2148&lt;&gt;"Cuenta de trading"),"⚠ Usa una cuenta de trading",IF(AND(G2148&lt;=0,P2148&lt;&gt;"Ajuste",P2148&lt;&gt;"Resultado trading"),"⚠ El monto debe ser positivo","✓")))))))))))))))</f>
        <v/>
      </c>
      <c r="P2148" s="52">
        <f>IF(OR(B2148="",G2148=""),"",IF(C2148="","Gasto",C2148))</f>
        <v/>
      </c>
      <c r="Q2148" s="52">
        <f>IF(P2148="","",IF(J2148&lt;&gt;"",J2148,CuentaPred&amp;""))</f>
        <v/>
      </c>
      <c r="R2148" s="52">
        <f>IF(P2148="","",IF(ISNUMBER(I2148),I2148,TasaUSD))</f>
        <v/>
      </c>
      <c r="S2148" s="53">
        <f>IF(P2148="","",IF(H2148="USD",G2148*R2148,G2148))</f>
        <v/>
      </c>
      <c r="T2148" s="53">
        <f>IF(P2148="","",IF(H2148="USD",G2148,IF(R2148&gt;0,G2148/R2148,0)))</f>
        <v/>
      </c>
      <c r="U2148" s="53">
        <f>IF(P2148="","",IF(P2148="Gasto",S2148,IF(P2148="Reembolso",-S2148,0)))</f>
        <v/>
      </c>
      <c r="V2148" s="53">
        <f>IF(P2148="","",IF(P2148="Ingreso",S2148,0))</f>
        <v/>
      </c>
      <c r="W2148" s="53">
        <f>IF(P2148="","",IF(P2148="Resultado trading",S2148,0))</f>
        <v/>
      </c>
      <c r="X2148" s="52">
        <f>IF(OR(P2148="Gasto",P2148="Reembolso"),IF(M2148&lt;&gt;"",M2148,IFERROR(INDEX(catClasif,MATCH(D2148&amp;"|"&amp;E2148,catClave,0))&amp;"","Variable")),"")</f>
        <v/>
      </c>
      <c r="Y2148" s="52">
        <f>IF(P2148="","",IFERROR(INDEX(catGrupo,MATCH(D2148&amp;"|"&amp;E2148,catClave,0))&amp;"",""))</f>
        <v/>
      </c>
      <c r="Z2148" s="52">
        <f>IF(P2148="","",WEEKDAY(B2148,2))</f>
        <v/>
      </c>
      <c r="AA2148" s="52">
        <f>IF(P2148="","",IF(AND(P2148="Gasto",X2148="Variable",D2148&lt;&gt;catTrading,S2148&gt;0,S2148&lt;=Umbral),1,0))</f>
        <v/>
      </c>
      <c r="AB2148" s="52">
        <f>IF(OR(P2148="",Q2148=""),"",IFERROR(IF(INDEX(ctaVinc,MATCH(Q2148,ctaNombre,0))&amp;""&lt;&gt;"",INDEX(ctaVinc,MATCH(Q2148,ctaNombre,0))&amp;"",Q2148),Q2148))</f>
        <v/>
      </c>
      <c r="AC2148" s="52">
        <f>IF(OR(K2148="",AND(P2148&lt;&gt;"Transferencia",P2148&lt;&gt;"Pago tarjeta")),"",IFERROR(IF(INDEX(ctaVinc,MATCH(K2148,ctaNombre,0))&amp;""&lt;&gt;"",INDEX(ctaVinc,MATCH(K2148,ctaNombre,0))&amp;"",K2148),K2148))</f>
        <v/>
      </c>
      <c r="AD2148" s="52">
        <f>IF(AB2148="","",IFERROR(INDEX(ctaTipo,MATCH(AB2148,ctaNombre,0))&amp;"",""))</f>
        <v/>
      </c>
      <c r="AE2148" s="52">
        <f>IF(AC2148="","",IFERROR(INDEX(ctaTipo,MATCH(AC2148,ctaNombre,0))&amp;"",""))</f>
        <v/>
      </c>
      <c r="AF2148" s="53">
        <f>IF(OR(P2148="",AB2148=""),"",IF(OR(P2148="Gasto",P2148="Transferencia",P2148="Pago tarjeta"),-1,1)*IF(IFERROR(INDEX(ctaMoneda,MATCH(AB2148,ctaNombre,0))&amp;"","DOP")="USD",T2148,S2148))</f>
        <v/>
      </c>
      <c r="AG2148" s="53">
        <f>IF(AC2148="","",IF(IFERROR(INDEX(ctaMoneda,MATCH(AC2148,ctaNombre,0))&amp;"","DOP")="USD",T2148,S2148))</f>
        <v/>
      </c>
      <c r="AH2148" s="53">
        <f>IF(P2148="","",IF(AND(AD2148&lt;&gt;"",COUNTIFS(tcTipo,AD2148,tcLiq,"Sí")&gt;0),IF(OR(P2148="Gasto",P2148="Transferencia",P2148="Pago tarjeta"),-1,1)*S2148,0)+IF(AND(AE2148&lt;&gt;"",COUNTIFS(tcTipo,AE2148,tcLiq,"Sí")&gt;0),S2148,0))</f>
        <v/>
      </c>
      <c r="AI2148" s="52">
        <f>IF(OR(L2148="",P2148=""),"",IF(COUNTIFS(L$6:L2148,L2148,P$6:P2148,"?*")=1,MAX(AI$5:AI2147)+1,""))</f>
        <v/>
      </c>
    </row>
    <row r="2149">
      <c r="B2149" s="47" t="n"/>
      <c r="C2149" s="48" t="n"/>
      <c r="D2149" s="48" t="n"/>
      <c r="E2149" s="48" t="n"/>
      <c r="F2149" s="48" t="n"/>
      <c r="G2149" s="49" t="n"/>
      <c r="H2149" s="48" t="n"/>
      <c r="I2149" s="50" t="n"/>
      <c r="J2149" s="48" t="n"/>
      <c r="K2149" s="48" t="n"/>
      <c r="L2149" s="48" t="n"/>
      <c r="M2149" s="48" t="n"/>
      <c r="N2149" s="48" t="n"/>
      <c r="O2149" s="51">
        <f>IF(AND(B2149="",G2149="",C2149="",D2149="",J2149=""),"",IF(B2149="","⚠ Falta fecha",IF(G2149="","⚠ Falta monto",IF(Q2149="","⚠ Falta cuenta",IF(ISNA(MATCH(Q2149,ctaNombre,0)),"⚠ Cuenta no registrada",IF(AND(OR(P2149="Gasto",P2149="Reembolso"),D2149=""),"⚠ Falta categoría",IF(AND(D2149&lt;&gt;"",E2149&lt;&gt;"",ISNA(MATCH(D2149&amp;"|"&amp;E2149,catClave,0))),"⚠ Subcategoría no corresponde",IF(AND(OR(P2149="Transferencia",P2149="Pago tarjeta"),K2149=""),"⚠ Falta cuenta destino",IF(AND(K2149&lt;&gt;"",P2149&lt;&gt;"Transferencia",P2149&lt;&gt;"Pago tarjeta"),"⚠ Destino solo aplica a transferencias",IF(AND(K2149&lt;&gt;"",K2149=Q2149),"⚠ Origen igual a destino",IF(AND(K2149&lt;&gt;"",ISNA(MATCH(K2149,ctaNombre,0))),"⚠ Destino no registrado",IF(AND(P2149="Pago tarjeta",AE2149&lt;&gt;"Tarjeta de crédito"),"⚠ El destino debe ser tarjeta de crédito",IF(AND(P2149="Gasto",E2149="Depósitos y retiros"),"⚠ Usa tipo Transferencia",IF(AND(P2149="Resultado trading",AD2149&lt;&gt;"Cuenta de trading"),"⚠ Usa una cuenta de trading",IF(AND(G2149&lt;=0,P2149&lt;&gt;"Ajuste",P2149&lt;&gt;"Resultado trading"),"⚠ El monto debe ser positivo","✓")))))))))))))))</f>
        <v/>
      </c>
      <c r="P2149" s="52">
        <f>IF(OR(B2149="",G2149=""),"",IF(C2149="","Gasto",C2149))</f>
        <v/>
      </c>
      <c r="Q2149" s="52">
        <f>IF(P2149="","",IF(J2149&lt;&gt;"",J2149,CuentaPred&amp;""))</f>
        <v/>
      </c>
      <c r="R2149" s="52">
        <f>IF(P2149="","",IF(ISNUMBER(I2149),I2149,TasaUSD))</f>
        <v/>
      </c>
      <c r="S2149" s="53">
        <f>IF(P2149="","",IF(H2149="USD",G2149*R2149,G2149))</f>
        <v/>
      </c>
      <c r="T2149" s="53">
        <f>IF(P2149="","",IF(H2149="USD",G2149,IF(R2149&gt;0,G2149/R2149,0)))</f>
        <v/>
      </c>
      <c r="U2149" s="53">
        <f>IF(P2149="","",IF(P2149="Gasto",S2149,IF(P2149="Reembolso",-S2149,0)))</f>
        <v/>
      </c>
      <c r="V2149" s="53">
        <f>IF(P2149="","",IF(P2149="Ingreso",S2149,0))</f>
        <v/>
      </c>
      <c r="W2149" s="53">
        <f>IF(P2149="","",IF(P2149="Resultado trading",S2149,0))</f>
        <v/>
      </c>
      <c r="X2149" s="52">
        <f>IF(OR(P2149="Gasto",P2149="Reembolso"),IF(M2149&lt;&gt;"",M2149,IFERROR(INDEX(catClasif,MATCH(D2149&amp;"|"&amp;E2149,catClave,0))&amp;"","Variable")),"")</f>
        <v/>
      </c>
      <c r="Y2149" s="52">
        <f>IF(P2149="","",IFERROR(INDEX(catGrupo,MATCH(D2149&amp;"|"&amp;E2149,catClave,0))&amp;"",""))</f>
        <v/>
      </c>
      <c r="Z2149" s="52">
        <f>IF(P2149="","",WEEKDAY(B2149,2))</f>
        <v/>
      </c>
      <c r="AA2149" s="52">
        <f>IF(P2149="","",IF(AND(P2149="Gasto",X2149="Variable",D2149&lt;&gt;catTrading,S2149&gt;0,S2149&lt;=Umbral),1,0))</f>
        <v/>
      </c>
      <c r="AB2149" s="52">
        <f>IF(OR(P2149="",Q2149=""),"",IFERROR(IF(INDEX(ctaVinc,MATCH(Q2149,ctaNombre,0))&amp;""&lt;&gt;"",INDEX(ctaVinc,MATCH(Q2149,ctaNombre,0))&amp;"",Q2149),Q2149))</f>
        <v/>
      </c>
      <c r="AC2149" s="52">
        <f>IF(OR(K2149="",AND(P2149&lt;&gt;"Transferencia",P2149&lt;&gt;"Pago tarjeta")),"",IFERROR(IF(INDEX(ctaVinc,MATCH(K2149,ctaNombre,0))&amp;""&lt;&gt;"",INDEX(ctaVinc,MATCH(K2149,ctaNombre,0))&amp;"",K2149),K2149))</f>
        <v/>
      </c>
      <c r="AD2149" s="52">
        <f>IF(AB2149="","",IFERROR(INDEX(ctaTipo,MATCH(AB2149,ctaNombre,0))&amp;"",""))</f>
        <v/>
      </c>
      <c r="AE2149" s="52">
        <f>IF(AC2149="","",IFERROR(INDEX(ctaTipo,MATCH(AC2149,ctaNombre,0))&amp;"",""))</f>
        <v/>
      </c>
      <c r="AF2149" s="53">
        <f>IF(OR(P2149="",AB2149=""),"",IF(OR(P2149="Gasto",P2149="Transferencia",P2149="Pago tarjeta"),-1,1)*IF(IFERROR(INDEX(ctaMoneda,MATCH(AB2149,ctaNombre,0))&amp;"","DOP")="USD",T2149,S2149))</f>
        <v/>
      </c>
      <c r="AG2149" s="53">
        <f>IF(AC2149="","",IF(IFERROR(INDEX(ctaMoneda,MATCH(AC2149,ctaNombre,0))&amp;"","DOP")="USD",T2149,S2149))</f>
        <v/>
      </c>
      <c r="AH2149" s="53">
        <f>IF(P2149="","",IF(AND(AD2149&lt;&gt;"",COUNTIFS(tcTipo,AD2149,tcLiq,"Sí")&gt;0),IF(OR(P2149="Gasto",P2149="Transferencia",P2149="Pago tarjeta"),-1,1)*S2149,0)+IF(AND(AE2149&lt;&gt;"",COUNTIFS(tcTipo,AE2149,tcLiq,"Sí")&gt;0),S2149,0))</f>
        <v/>
      </c>
      <c r="AI2149" s="52">
        <f>IF(OR(L2149="",P2149=""),"",IF(COUNTIFS(L$6:L2149,L2149,P$6:P2149,"?*")=1,MAX(AI$5:AI2148)+1,""))</f>
        <v/>
      </c>
    </row>
    <row r="2150">
      <c r="B2150" s="47" t="n"/>
      <c r="C2150" s="48" t="n"/>
      <c r="D2150" s="48" t="n"/>
      <c r="E2150" s="48" t="n"/>
      <c r="F2150" s="48" t="n"/>
      <c r="G2150" s="49" t="n"/>
      <c r="H2150" s="48" t="n"/>
      <c r="I2150" s="50" t="n"/>
      <c r="J2150" s="48" t="n"/>
      <c r="K2150" s="48" t="n"/>
      <c r="L2150" s="48" t="n"/>
      <c r="M2150" s="48" t="n"/>
      <c r="N2150" s="48" t="n"/>
      <c r="O2150" s="51">
        <f>IF(AND(B2150="",G2150="",C2150="",D2150="",J2150=""),"",IF(B2150="","⚠ Falta fecha",IF(G2150="","⚠ Falta monto",IF(Q2150="","⚠ Falta cuenta",IF(ISNA(MATCH(Q2150,ctaNombre,0)),"⚠ Cuenta no registrada",IF(AND(OR(P2150="Gasto",P2150="Reembolso"),D2150=""),"⚠ Falta categoría",IF(AND(D2150&lt;&gt;"",E2150&lt;&gt;"",ISNA(MATCH(D2150&amp;"|"&amp;E2150,catClave,0))),"⚠ Subcategoría no corresponde",IF(AND(OR(P2150="Transferencia",P2150="Pago tarjeta"),K2150=""),"⚠ Falta cuenta destino",IF(AND(K2150&lt;&gt;"",P2150&lt;&gt;"Transferencia",P2150&lt;&gt;"Pago tarjeta"),"⚠ Destino solo aplica a transferencias",IF(AND(K2150&lt;&gt;"",K2150=Q2150),"⚠ Origen igual a destino",IF(AND(K2150&lt;&gt;"",ISNA(MATCH(K2150,ctaNombre,0))),"⚠ Destino no registrado",IF(AND(P2150="Pago tarjeta",AE2150&lt;&gt;"Tarjeta de crédito"),"⚠ El destino debe ser tarjeta de crédito",IF(AND(P2150="Gasto",E2150="Depósitos y retiros"),"⚠ Usa tipo Transferencia",IF(AND(P2150="Resultado trading",AD2150&lt;&gt;"Cuenta de trading"),"⚠ Usa una cuenta de trading",IF(AND(G2150&lt;=0,P2150&lt;&gt;"Ajuste",P2150&lt;&gt;"Resultado trading"),"⚠ El monto debe ser positivo","✓")))))))))))))))</f>
        <v/>
      </c>
      <c r="P2150" s="52">
        <f>IF(OR(B2150="",G2150=""),"",IF(C2150="","Gasto",C2150))</f>
        <v/>
      </c>
      <c r="Q2150" s="52">
        <f>IF(P2150="","",IF(J2150&lt;&gt;"",J2150,CuentaPred&amp;""))</f>
        <v/>
      </c>
      <c r="R2150" s="52">
        <f>IF(P2150="","",IF(ISNUMBER(I2150),I2150,TasaUSD))</f>
        <v/>
      </c>
      <c r="S2150" s="53">
        <f>IF(P2150="","",IF(H2150="USD",G2150*R2150,G2150))</f>
        <v/>
      </c>
      <c r="T2150" s="53">
        <f>IF(P2150="","",IF(H2150="USD",G2150,IF(R2150&gt;0,G2150/R2150,0)))</f>
        <v/>
      </c>
      <c r="U2150" s="53">
        <f>IF(P2150="","",IF(P2150="Gasto",S2150,IF(P2150="Reembolso",-S2150,0)))</f>
        <v/>
      </c>
      <c r="V2150" s="53">
        <f>IF(P2150="","",IF(P2150="Ingreso",S2150,0))</f>
        <v/>
      </c>
      <c r="W2150" s="53">
        <f>IF(P2150="","",IF(P2150="Resultado trading",S2150,0))</f>
        <v/>
      </c>
      <c r="X2150" s="52">
        <f>IF(OR(P2150="Gasto",P2150="Reembolso"),IF(M2150&lt;&gt;"",M2150,IFERROR(INDEX(catClasif,MATCH(D2150&amp;"|"&amp;E2150,catClave,0))&amp;"","Variable")),"")</f>
        <v/>
      </c>
      <c r="Y2150" s="52">
        <f>IF(P2150="","",IFERROR(INDEX(catGrupo,MATCH(D2150&amp;"|"&amp;E2150,catClave,0))&amp;"",""))</f>
        <v/>
      </c>
      <c r="Z2150" s="52">
        <f>IF(P2150="","",WEEKDAY(B2150,2))</f>
        <v/>
      </c>
      <c r="AA2150" s="52">
        <f>IF(P2150="","",IF(AND(P2150="Gasto",X2150="Variable",D2150&lt;&gt;catTrading,S2150&gt;0,S2150&lt;=Umbral),1,0))</f>
        <v/>
      </c>
      <c r="AB2150" s="52">
        <f>IF(OR(P2150="",Q2150=""),"",IFERROR(IF(INDEX(ctaVinc,MATCH(Q2150,ctaNombre,0))&amp;""&lt;&gt;"",INDEX(ctaVinc,MATCH(Q2150,ctaNombre,0))&amp;"",Q2150),Q2150))</f>
        <v/>
      </c>
      <c r="AC2150" s="52">
        <f>IF(OR(K2150="",AND(P2150&lt;&gt;"Transferencia",P2150&lt;&gt;"Pago tarjeta")),"",IFERROR(IF(INDEX(ctaVinc,MATCH(K2150,ctaNombre,0))&amp;""&lt;&gt;"",INDEX(ctaVinc,MATCH(K2150,ctaNombre,0))&amp;"",K2150),K2150))</f>
        <v/>
      </c>
      <c r="AD2150" s="52">
        <f>IF(AB2150="","",IFERROR(INDEX(ctaTipo,MATCH(AB2150,ctaNombre,0))&amp;"",""))</f>
        <v/>
      </c>
      <c r="AE2150" s="52">
        <f>IF(AC2150="","",IFERROR(INDEX(ctaTipo,MATCH(AC2150,ctaNombre,0))&amp;"",""))</f>
        <v/>
      </c>
      <c r="AF2150" s="53">
        <f>IF(OR(P2150="",AB2150=""),"",IF(OR(P2150="Gasto",P2150="Transferencia",P2150="Pago tarjeta"),-1,1)*IF(IFERROR(INDEX(ctaMoneda,MATCH(AB2150,ctaNombre,0))&amp;"","DOP")="USD",T2150,S2150))</f>
        <v/>
      </c>
      <c r="AG2150" s="53">
        <f>IF(AC2150="","",IF(IFERROR(INDEX(ctaMoneda,MATCH(AC2150,ctaNombre,0))&amp;"","DOP")="USD",T2150,S2150))</f>
        <v/>
      </c>
      <c r="AH2150" s="53">
        <f>IF(P2150="","",IF(AND(AD2150&lt;&gt;"",COUNTIFS(tcTipo,AD2150,tcLiq,"Sí")&gt;0),IF(OR(P2150="Gasto",P2150="Transferencia",P2150="Pago tarjeta"),-1,1)*S2150,0)+IF(AND(AE2150&lt;&gt;"",COUNTIFS(tcTipo,AE2150,tcLiq,"Sí")&gt;0),S2150,0))</f>
        <v/>
      </c>
      <c r="AI2150" s="52">
        <f>IF(OR(L2150="",P2150=""),"",IF(COUNTIFS(L$6:L2150,L2150,P$6:P2150,"?*")=1,MAX(AI$5:AI2149)+1,""))</f>
        <v/>
      </c>
    </row>
    <row r="2151">
      <c r="B2151" s="47" t="n"/>
      <c r="C2151" s="48" t="n"/>
      <c r="D2151" s="48" t="n"/>
      <c r="E2151" s="48" t="n"/>
      <c r="F2151" s="48" t="n"/>
      <c r="G2151" s="49" t="n"/>
      <c r="H2151" s="48" t="n"/>
      <c r="I2151" s="50" t="n"/>
      <c r="J2151" s="48" t="n"/>
      <c r="K2151" s="48" t="n"/>
      <c r="L2151" s="48" t="n"/>
      <c r="M2151" s="48" t="n"/>
      <c r="N2151" s="48" t="n"/>
      <c r="O2151" s="51">
        <f>IF(AND(B2151="",G2151="",C2151="",D2151="",J2151=""),"",IF(B2151="","⚠ Falta fecha",IF(G2151="","⚠ Falta monto",IF(Q2151="","⚠ Falta cuenta",IF(ISNA(MATCH(Q2151,ctaNombre,0)),"⚠ Cuenta no registrada",IF(AND(OR(P2151="Gasto",P2151="Reembolso"),D2151=""),"⚠ Falta categoría",IF(AND(D2151&lt;&gt;"",E2151&lt;&gt;"",ISNA(MATCH(D2151&amp;"|"&amp;E2151,catClave,0))),"⚠ Subcategoría no corresponde",IF(AND(OR(P2151="Transferencia",P2151="Pago tarjeta"),K2151=""),"⚠ Falta cuenta destino",IF(AND(K2151&lt;&gt;"",P2151&lt;&gt;"Transferencia",P2151&lt;&gt;"Pago tarjeta"),"⚠ Destino solo aplica a transferencias",IF(AND(K2151&lt;&gt;"",K2151=Q2151),"⚠ Origen igual a destino",IF(AND(K2151&lt;&gt;"",ISNA(MATCH(K2151,ctaNombre,0))),"⚠ Destino no registrado",IF(AND(P2151="Pago tarjeta",AE2151&lt;&gt;"Tarjeta de crédito"),"⚠ El destino debe ser tarjeta de crédito",IF(AND(P2151="Gasto",E2151="Depósitos y retiros"),"⚠ Usa tipo Transferencia",IF(AND(P2151="Resultado trading",AD2151&lt;&gt;"Cuenta de trading"),"⚠ Usa una cuenta de trading",IF(AND(G2151&lt;=0,P2151&lt;&gt;"Ajuste",P2151&lt;&gt;"Resultado trading"),"⚠ El monto debe ser positivo","✓")))))))))))))))</f>
        <v/>
      </c>
      <c r="P2151" s="52">
        <f>IF(OR(B2151="",G2151=""),"",IF(C2151="","Gasto",C2151))</f>
        <v/>
      </c>
      <c r="Q2151" s="52">
        <f>IF(P2151="","",IF(J2151&lt;&gt;"",J2151,CuentaPred&amp;""))</f>
        <v/>
      </c>
      <c r="R2151" s="52">
        <f>IF(P2151="","",IF(ISNUMBER(I2151),I2151,TasaUSD))</f>
        <v/>
      </c>
      <c r="S2151" s="53">
        <f>IF(P2151="","",IF(H2151="USD",G2151*R2151,G2151))</f>
        <v/>
      </c>
      <c r="T2151" s="53">
        <f>IF(P2151="","",IF(H2151="USD",G2151,IF(R2151&gt;0,G2151/R2151,0)))</f>
        <v/>
      </c>
      <c r="U2151" s="53">
        <f>IF(P2151="","",IF(P2151="Gasto",S2151,IF(P2151="Reembolso",-S2151,0)))</f>
        <v/>
      </c>
      <c r="V2151" s="53">
        <f>IF(P2151="","",IF(P2151="Ingreso",S2151,0))</f>
        <v/>
      </c>
      <c r="W2151" s="53">
        <f>IF(P2151="","",IF(P2151="Resultado trading",S2151,0))</f>
        <v/>
      </c>
      <c r="X2151" s="52">
        <f>IF(OR(P2151="Gasto",P2151="Reembolso"),IF(M2151&lt;&gt;"",M2151,IFERROR(INDEX(catClasif,MATCH(D2151&amp;"|"&amp;E2151,catClave,0))&amp;"","Variable")),"")</f>
        <v/>
      </c>
      <c r="Y2151" s="52">
        <f>IF(P2151="","",IFERROR(INDEX(catGrupo,MATCH(D2151&amp;"|"&amp;E2151,catClave,0))&amp;"",""))</f>
        <v/>
      </c>
      <c r="Z2151" s="52">
        <f>IF(P2151="","",WEEKDAY(B2151,2))</f>
        <v/>
      </c>
      <c r="AA2151" s="52">
        <f>IF(P2151="","",IF(AND(P2151="Gasto",X2151="Variable",D2151&lt;&gt;catTrading,S2151&gt;0,S2151&lt;=Umbral),1,0))</f>
        <v/>
      </c>
      <c r="AB2151" s="52">
        <f>IF(OR(P2151="",Q2151=""),"",IFERROR(IF(INDEX(ctaVinc,MATCH(Q2151,ctaNombre,0))&amp;""&lt;&gt;"",INDEX(ctaVinc,MATCH(Q2151,ctaNombre,0))&amp;"",Q2151),Q2151))</f>
        <v/>
      </c>
      <c r="AC2151" s="52">
        <f>IF(OR(K2151="",AND(P2151&lt;&gt;"Transferencia",P2151&lt;&gt;"Pago tarjeta")),"",IFERROR(IF(INDEX(ctaVinc,MATCH(K2151,ctaNombre,0))&amp;""&lt;&gt;"",INDEX(ctaVinc,MATCH(K2151,ctaNombre,0))&amp;"",K2151),K2151))</f>
        <v/>
      </c>
      <c r="AD2151" s="52">
        <f>IF(AB2151="","",IFERROR(INDEX(ctaTipo,MATCH(AB2151,ctaNombre,0))&amp;"",""))</f>
        <v/>
      </c>
      <c r="AE2151" s="52">
        <f>IF(AC2151="","",IFERROR(INDEX(ctaTipo,MATCH(AC2151,ctaNombre,0))&amp;"",""))</f>
        <v/>
      </c>
      <c r="AF2151" s="53">
        <f>IF(OR(P2151="",AB2151=""),"",IF(OR(P2151="Gasto",P2151="Transferencia",P2151="Pago tarjeta"),-1,1)*IF(IFERROR(INDEX(ctaMoneda,MATCH(AB2151,ctaNombre,0))&amp;"","DOP")="USD",T2151,S2151))</f>
        <v/>
      </c>
      <c r="AG2151" s="53">
        <f>IF(AC2151="","",IF(IFERROR(INDEX(ctaMoneda,MATCH(AC2151,ctaNombre,0))&amp;"","DOP")="USD",T2151,S2151))</f>
        <v/>
      </c>
      <c r="AH2151" s="53">
        <f>IF(P2151="","",IF(AND(AD2151&lt;&gt;"",COUNTIFS(tcTipo,AD2151,tcLiq,"Sí")&gt;0),IF(OR(P2151="Gasto",P2151="Transferencia",P2151="Pago tarjeta"),-1,1)*S2151,0)+IF(AND(AE2151&lt;&gt;"",COUNTIFS(tcTipo,AE2151,tcLiq,"Sí")&gt;0),S2151,0))</f>
        <v/>
      </c>
      <c r="AI2151" s="52">
        <f>IF(OR(L2151="",P2151=""),"",IF(COUNTIFS(L$6:L2151,L2151,P$6:P2151,"?*")=1,MAX(AI$5:AI2150)+1,""))</f>
        <v/>
      </c>
    </row>
    <row r="2152">
      <c r="B2152" s="47" t="n"/>
      <c r="C2152" s="48" t="n"/>
      <c r="D2152" s="48" t="n"/>
      <c r="E2152" s="48" t="n"/>
      <c r="F2152" s="48" t="n"/>
      <c r="G2152" s="49" t="n"/>
      <c r="H2152" s="48" t="n"/>
      <c r="I2152" s="50" t="n"/>
      <c r="J2152" s="48" t="n"/>
      <c r="K2152" s="48" t="n"/>
      <c r="L2152" s="48" t="n"/>
      <c r="M2152" s="48" t="n"/>
      <c r="N2152" s="48" t="n"/>
      <c r="O2152" s="51">
        <f>IF(AND(B2152="",G2152="",C2152="",D2152="",J2152=""),"",IF(B2152="","⚠ Falta fecha",IF(G2152="","⚠ Falta monto",IF(Q2152="","⚠ Falta cuenta",IF(ISNA(MATCH(Q2152,ctaNombre,0)),"⚠ Cuenta no registrada",IF(AND(OR(P2152="Gasto",P2152="Reembolso"),D2152=""),"⚠ Falta categoría",IF(AND(D2152&lt;&gt;"",E2152&lt;&gt;"",ISNA(MATCH(D2152&amp;"|"&amp;E2152,catClave,0))),"⚠ Subcategoría no corresponde",IF(AND(OR(P2152="Transferencia",P2152="Pago tarjeta"),K2152=""),"⚠ Falta cuenta destino",IF(AND(K2152&lt;&gt;"",P2152&lt;&gt;"Transferencia",P2152&lt;&gt;"Pago tarjeta"),"⚠ Destino solo aplica a transferencias",IF(AND(K2152&lt;&gt;"",K2152=Q2152),"⚠ Origen igual a destino",IF(AND(K2152&lt;&gt;"",ISNA(MATCH(K2152,ctaNombre,0))),"⚠ Destino no registrado",IF(AND(P2152="Pago tarjeta",AE2152&lt;&gt;"Tarjeta de crédito"),"⚠ El destino debe ser tarjeta de crédito",IF(AND(P2152="Gasto",E2152="Depósitos y retiros"),"⚠ Usa tipo Transferencia",IF(AND(P2152="Resultado trading",AD2152&lt;&gt;"Cuenta de trading"),"⚠ Usa una cuenta de trading",IF(AND(G2152&lt;=0,P2152&lt;&gt;"Ajuste",P2152&lt;&gt;"Resultado trading"),"⚠ El monto debe ser positivo","✓")))))))))))))))</f>
        <v/>
      </c>
      <c r="P2152" s="52">
        <f>IF(OR(B2152="",G2152=""),"",IF(C2152="","Gasto",C2152))</f>
        <v/>
      </c>
      <c r="Q2152" s="52">
        <f>IF(P2152="","",IF(J2152&lt;&gt;"",J2152,CuentaPred&amp;""))</f>
        <v/>
      </c>
      <c r="R2152" s="52">
        <f>IF(P2152="","",IF(ISNUMBER(I2152),I2152,TasaUSD))</f>
        <v/>
      </c>
      <c r="S2152" s="53">
        <f>IF(P2152="","",IF(H2152="USD",G2152*R2152,G2152))</f>
        <v/>
      </c>
      <c r="T2152" s="53">
        <f>IF(P2152="","",IF(H2152="USD",G2152,IF(R2152&gt;0,G2152/R2152,0)))</f>
        <v/>
      </c>
      <c r="U2152" s="53">
        <f>IF(P2152="","",IF(P2152="Gasto",S2152,IF(P2152="Reembolso",-S2152,0)))</f>
        <v/>
      </c>
      <c r="V2152" s="53">
        <f>IF(P2152="","",IF(P2152="Ingreso",S2152,0))</f>
        <v/>
      </c>
      <c r="W2152" s="53">
        <f>IF(P2152="","",IF(P2152="Resultado trading",S2152,0))</f>
        <v/>
      </c>
      <c r="X2152" s="52">
        <f>IF(OR(P2152="Gasto",P2152="Reembolso"),IF(M2152&lt;&gt;"",M2152,IFERROR(INDEX(catClasif,MATCH(D2152&amp;"|"&amp;E2152,catClave,0))&amp;"","Variable")),"")</f>
        <v/>
      </c>
      <c r="Y2152" s="52">
        <f>IF(P2152="","",IFERROR(INDEX(catGrupo,MATCH(D2152&amp;"|"&amp;E2152,catClave,0))&amp;"",""))</f>
        <v/>
      </c>
      <c r="Z2152" s="52">
        <f>IF(P2152="","",WEEKDAY(B2152,2))</f>
        <v/>
      </c>
      <c r="AA2152" s="52">
        <f>IF(P2152="","",IF(AND(P2152="Gasto",X2152="Variable",D2152&lt;&gt;catTrading,S2152&gt;0,S2152&lt;=Umbral),1,0))</f>
        <v/>
      </c>
      <c r="AB2152" s="52">
        <f>IF(OR(P2152="",Q2152=""),"",IFERROR(IF(INDEX(ctaVinc,MATCH(Q2152,ctaNombre,0))&amp;""&lt;&gt;"",INDEX(ctaVinc,MATCH(Q2152,ctaNombre,0))&amp;"",Q2152),Q2152))</f>
        <v/>
      </c>
      <c r="AC2152" s="52">
        <f>IF(OR(K2152="",AND(P2152&lt;&gt;"Transferencia",P2152&lt;&gt;"Pago tarjeta")),"",IFERROR(IF(INDEX(ctaVinc,MATCH(K2152,ctaNombre,0))&amp;""&lt;&gt;"",INDEX(ctaVinc,MATCH(K2152,ctaNombre,0))&amp;"",K2152),K2152))</f>
        <v/>
      </c>
      <c r="AD2152" s="52">
        <f>IF(AB2152="","",IFERROR(INDEX(ctaTipo,MATCH(AB2152,ctaNombre,0))&amp;"",""))</f>
        <v/>
      </c>
      <c r="AE2152" s="52">
        <f>IF(AC2152="","",IFERROR(INDEX(ctaTipo,MATCH(AC2152,ctaNombre,0))&amp;"",""))</f>
        <v/>
      </c>
      <c r="AF2152" s="53">
        <f>IF(OR(P2152="",AB2152=""),"",IF(OR(P2152="Gasto",P2152="Transferencia",P2152="Pago tarjeta"),-1,1)*IF(IFERROR(INDEX(ctaMoneda,MATCH(AB2152,ctaNombre,0))&amp;"","DOP")="USD",T2152,S2152))</f>
        <v/>
      </c>
      <c r="AG2152" s="53">
        <f>IF(AC2152="","",IF(IFERROR(INDEX(ctaMoneda,MATCH(AC2152,ctaNombre,0))&amp;"","DOP")="USD",T2152,S2152))</f>
        <v/>
      </c>
      <c r="AH2152" s="53">
        <f>IF(P2152="","",IF(AND(AD2152&lt;&gt;"",COUNTIFS(tcTipo,AD2152,tcLiq,"Sí")&gt;0),IF(OR(P2152="Gasto",P2152="Transferencia",P2152="Pago tarjeta"),-1,1)*S2152,0)+IF(AND(AE2152&lt;&gt;"",COUNTIFS(tcTipo,AE2152,tcLiq,"Sí")&gt;0),S2152,0))</f>
        <v/>
      </c>
      <c r="AI2152" s="52">
        <f>IF(OR(L2152="",P2152=""),"",IF(COUNTIFS(L$6:L2152,L2152,P$6:P2152,"?*")=1,MAX(AI$5:AI2151)+1,""))</f>
        <v/>
      </c>
    </row>
    <row r="2153">
      <c r="B2153" s="47" t="n"/>
      <c r="C2153" s="48" t="n"/>
      <c r="D2153" s="48" t="n"/>
      <c r="E2153" s="48" t="n"/>
      <c r="F2153" s="48" t="n"/>
      <c r="G2153" s="49" t="n"/>
      <c r="H2153" s="48" t="n"/>
      <c r="I2153" s="50" t="n"/>
      <c r="J2153" s="48" t="n"/>
      <c r="K2153" s="48" t="n"/>
      <c r="L2153" s="48" t="n"/>
      <c r="M2153" s="48" t="n"/>
      <c r="N2153" s="48" t="n"/>
      <c r="O2153" s="51">
        <f>IF(AND(B2153="",G2153="",C2153="",D2153="",J2153=""),"",IF(B2153="","⚠ Falta fecha",IF(G2153="","⚠ Falta monto",IF(Q2153="","⚠ Falta cuenta",IF(ISNA(MATCH(Q2153,ctaNombre,0)),"⚠ Cuenta no registrada",IF(AND(OR(P2153="Gasto",P2153="Reembolso"),D2153=""),"⚠ Falta categoría",IF(AND(D2153&lt;&gt;"",E2153&lt;&gt;"",ISNA(MATCH(D2153&amp;"|"&amp;E2153,catClave,0))),"⚠ Subcategoría no corresponde",IF(AND(OR(P2153="Transferencia",P2153="Pago tarjeta"),K2153=""),"⚠ Falta cuenta destino",IF(AND(K2153&lt;&gt;"",P2153&lt;&gt;"Transferencia",P2153&lt;&gt;"Pago tarjeta"),"⚠ Destino solo aplica a transferencias",IF(AND(K2153&lt;&gt;"",K2153=Q2153),"⚠ Origen igual a destino",IF(AND(K2153&lt;&gt;"",ISNA(MATCH(K2153,ctaNombre,0))),"⚠ Destino no registrado",IF(AND(P2153="Pago tarjeta",AE2153&lt;&gt;"Tarjeta de crédito"),"⚠ El destino debe ser tarjeta de crédito",IF(AND(P2153="Gasto",E2153="Depósitos y retiros"),"⚠ Usa tipo Transferencia",IF(AND(P2153="Resultado trading",AD2153&lt;&gt;"Cuenta de trading"),"⚠ Usa una cuenta de trading",IF(AND(G2153&lt;=0,P2153&lt;&gt;"Ajuste",P2153&lt;&gt;"Resultado trading"),"⚠ El monto debe ser positivo","✓")))))))))))))))</f>
        <v/>
      </c>
      <c r="P2153" s="52">
        <f>IF(OR(B2153="",G2153=""),"",IF(C2153="","Gasto",C2153))</f>
        <v/>
      </c>
      <c r="Q2153" s="52">
        <f>IF(P2153="","",IF(J2153&lt;&gt;"",J2153,CuentaPred&amp;""))</f>
        <v/>
      </c>
      <c r="R2153" s="52">
        <f>IF(P2153="","",IF(ISNUMBER(I2153),I2153,TasaUSD))</f>
        <v/>
      </c>
      <c r="S2153" s="53">
        <f>IF(P2153="","",IF(H2153="USD",G2153*R2153,G2153))</f>
        <v/>
      </c>
      <c r="T2153" s="53">
        <f>IF(P2153="","",IF(H2153="USD",G2153,IF(R2153&gt;0,G2153/R2153,0)))</f>
        <v/>
      </c>
      <c r="U2153" s="53">
        <f>IF(P2153="","",IF(P2153="Gasto",S2153,IF(P2153="Reembolso",-S2153,0)))</f>
        <v/>
      </c>
      <c r="V2153" s="53">
        <f>IF(P2153="","",IF(P2153="Ingreso",S2153,0))</f>
        <v/>
      </c>
      <c r="W2153" s="53">
        <f>IF(P2153="","",IF(P2153="Resultado trading",S2153,0))</f>
        <v/>
      </c>
      <c r="X2153" s="52">
        <f>IF(OR(P2153="Gasto",P2153="Reembolso"),IF(M2153&lt;&gt;"",M2153,IFERROR(INDEX(catClasif,MATCH(D2153&amp;"|"&amp;E2153,catClave,0))&amp;"","Variable")),"")</f>
        <v/>
      </c>
      <c r="Y2153" s="52">
        <f>IF(P2153="","",IFERROR(INDEX(catGrupo,MATCH(D2153&amp;"|"&amp;E2153,catClave,0))&amp;"",""))</f>
        <v/>
      </c>
      <c r="Z2153" s="52">
        <f>IF(P2153="","",WEEKDAY(B2153,2))</f>
        <v/>
      </c>
      <c r="AA2153" s="52">
        <f>IF(P2153="","",IF(AND(P2153="Gasto",X2153="Variable",D2153&lt;&gt;catTrading,S2153&gt;0,S2153&lt;=Umbral),1,0))</f>
        <v/>
      </c>
      <c r="AB2153" s="52">
        <f>IF(OR(P2153="",Q2153=""),"",IFERROR(IF(INDEX(ctaVinc,MATCH(Q2153,ctaNombre,0))&amp;""&lt;&gt;"",INDEX(ctaVinc,MATCH(Q2153,ctaNombre,0))&amp;"",Q2153),Q2153))</f>
        <v/>
      </c>
      <c r="AC2153" s="52">
        <f>IF(OR(K2153="",AND(P2153&lt;&gt;"Transferencia",P2153&lt;&gt;"Pago tarjeta")),"",IFERROR(IF(INDEX(ctaVinc,MATCH(K2153,ctaNombre,0))&amp;""&lt;&gt;"",INDEX(ctaVinc,MATCH(K2153,ctaNombre,0))&amp;"",K2153),K2153))</f>
        <v/>
      </c>
      <c r="AD2153" s="52">
        <f>IF(AB2153="","",IFERROR(INDEX(ctaTipo,MATCH(AB2153,ctaNombre,0))&amp;"",""))</f>
        <v/>
      </c>
      <c r="AE2153" s="52">
        <f>IF(AC2153="","",IFERROR(INDEX(ctaTipo,MATCH(AC2153,ctaNombre,0))&amp;"",""))</f>
        <v/>
      </c>
      <c r="AF2153" s="53">
        <f>IF(OR(P2153="",AB2153=""),"",IF(OR(P2153="Gasto",P2153="Transferencia",P2153="Pago tarjeta"),-1,1)*IF(IFERROR(INDEX(ctaMoneda,MATCH(AB2153,ctaNombre,0))&amp;"","DOP")="USD",T2153,S2153))</f>
        <v/>
      </c>
      <c r="AG2153" s="53">
        <f>IF(AC2153="","",IF(IFERROR(INDEX(ctaMoneda,MATCH(AC2153,ctaNombre,0))&amp;"","DOP")="USD",T2153,S2153))</f>
        <v/>
      </c>
      <c r="AH2153" s="53">
        <f>IF(P2153="","",IF(AND(AD2153&lt;&gt;"",COUNTIFS(tcTipo,AD2153,tcLiq,"Sí")&gt;0),IF(OR(P2153="Gasto",P2153="Transferencia",P2153="Pago tarjeta"),-1,1)*S2153,0)+IF(AND(AE2153&lt;&gt;"",COUNTIFS(tcTipo,AE2153,tcLiq,"Sí")&gt;0),S2153,0))</f>
        <v/>
      </c>
      <c r="AI2153" s="52">
        <f>IF(OR(L2153="",P2153=""),"",IF(COUNTIFS(L$6:L2153,L2153,P$6:P2153,"?*")=1,MAX(AI$5:AI2152)+1,""))</f>
        <v/>
      </c>
    </row>
    <row r="2154">
      <c r="B2154" s="47" t="n"/>
      <c r="C2154" s="48" t="n"/>
      <c r="D2154" s="48" t="n"/>
      <c r="E2154" s="48" t="n"/>
      <c r="F2154" s="48" t="n"/>
      <c r="G2154" s="49" t="n"/>
      <c r="H2154" s="48" t="n"/>
      <c r="I2154" s="50" t="n"/>
      <c r="J2154" s="48" t="n"/>
      <c r="K2154" s="48" t="n"/>
      <c r="L2154" s="48" t="n"/>
      <c r="M2154" s="48" t="n"/>
      <c r="N2154" s="48" t="n"/>
      <c r="O2154" s="51">
        <f>IF(AND(B2154="",G2154="",C2154="",D2154="",J2154=""),"",IF(B2154="","⚠ Falta fecha",IF(G2154="","⚠ Falta monto",IF(Q2154="","⚠ Falta cuenta",IF(ISNA(MATCH(Q2154,ctaNombre,0)),"⚠ Cuenta no registrada",IF(AND(OR(P2154="Gasto",P2154="Reembolso"),D2154=""),"⚠ Falta categoría",IF(AND(D2154&lt;&gt;"",E2154&lt;&gt;"",ISNA(MATCH(D2154&amp;"|"&amp;E2154,catClave,0))),"⚠ Subcategoría no corresponde",IF(AND(OR(P2154="Transferencia",P2154="Pago tarjeta"),K2154=""),"⚠ Falta cuenta destino",IF(AND(K2154&lt;&gt;"",P2154&lt;&gt;"Transferencia",P2154&lt;&gt;"Pago tarjeta"),"⚠ Destino solo aplica a transferencias",IF(AND(K2154&lt;&gt;"",K2154=Q2154),"⚠ Origen igual a destino",IF(AND(K2154&lt;&gt;"",ISNA(MATCH(K2154,ctaNombre,0))),"⚠ Destino no registrado",IF(AND(P2154="Pago tarjeta",AE2154&lt;&gt;"Tarjeta de crédito"),"⚠ El destino debe ser tarjeta de crédito",IF(AND(P2154="Gasto",E2154="Depósitos y retiros"),"⚠ Usa tipo Transferencia",IF(AND(P2154="Resultado trading",AD2154&lt;&gt;"Cuenta de trading"),"⚠ Usa una cuenta de trading",IF(AND(G2154&lt;=0,P2154&lt;&gt;"Ajuste",P2154&lt;&gt;"Resultado trading"),"⚠ El monto debe ser positivo","✓")))))))))))))))</f>
        <v/>
      </c>
      <c r="P2154" s="52">
        <f>IF(OR(B2154="",G2154=""),"",IF(C2154="","Gasto",C2154))</f>
        <v/>
      </c>
      <c r="Q2154" s="52">
        <f>IF(P2154="","",IF(J2154&lt;&gt;"",J2154,CuentaPred&amp;""))</f>
        <v/>
      </c>
      <c r="R2154" s="52">
        <f>IF(P2154="","",IF(ISNUMBER(I2154),I2154,TasaUSD))</f>
        <v/>
      </c>
      <c r="S2154" s="53">
        <f>IF(P2154="","",IF(H2154="USD",G2154*R2154,G2154))</f>
        <v/>
      </c>
      <c r="T2154" s="53">
        <f>IF(P2154="","",IF(H2154="USD",G2154,IF(R2154&gt;0,G2154/R2154,0)))</f>
        <v/>
      </c>
      <c r="U2154" s="53">
        <f>IF(P2154="","",IF(P2154="Gasto",S2154,IF(P2154="Reembolso",-S2154,0)))</f>
        <v/>
      </c>
      <c r="V2154" s="53">
        <f>IF(P2154="","",IF(P2154="Ingreso",S2154,0))</f>
        <v/>
      </c>
      <c r="W2154" s="53">
        <f>IF(P2154="","",IF(P2154="Resultado trading",S2154,0))</f>
        <v/>
      </c>
      <c r="X2154" s="52">
        <f>IF(OR(P2154="Gasto",P2154="Reembolso"),IF(M2154&lt;&gt;"",M2154,IFERROR(INDEX(catClasif,MATCH(D2154&amp;"|"&amp;E2154,catClave,0))&amp;"","Variable")),"")</f>
        <v/>
      </c>
      <c r="Y2154" s="52">
        <f>IF(P2154="","",IFERROR(INDEX(catGrupo,MATCH(D2154&amp;"|"&amp;E2154,catClave,0))&amp;"",""))</f>
        <v/>
      </c>
      <c r="Z2154" s="52">
        <f>IF(P2154="","",WEEKDAY(B2154,2))</f>
        <v/>
      </c>
      <c r="AA2154" s="52">
        <f>IF(P2154="","",IF(AND(P2154="Gasto",X2154="Variable",D2154&lt;&gt;catTrading,S2154&gt;0,S2154&lt;=Umbral),1,0))</f>
        <v/>
      </c>
      <c r="AB2154" s="52">
        <f>IF(OR(P2154="",Q2154=""),"",IFERROR(IF(INDEX(ctaVinc,MATCH(Q2154,ctaNombre,0))&amp;""&lt;&gt;"",INDEX(ctaVinc,MATCH(Q2154,ctaNombre,0))&amp;"",Q2154),Q2154))</f>
        <v/>
      </c>
      <c r="AC2154" s="52">
        <f>IF(OR(K2154="",AND(P2154&lt;&gt;"Transferencia",P2154&lt;&gt;"Pago tarjeta")),"",IFERROR(IF(INDEX(ctaVinc,MATCH(K2154,ctaNombre,0))&amp;""&lt;&gt;"",INDEX(ctaVinc,MATCH(K2154,ctaNombre,0))&amp;"",K2154),K2154))</f>
        <v/>
      </c>
      <c r="AD2154" s="52">
        <f>IF(AB2154="","",IFERROR(INDEX(ctaTipo,MATCH(AB2154,ctaNombre,0))&amp;"",""))</f>
        <v/>
      </c>
      <c r="AE2154" s="52">
        <f>IF(AC2154="","",IFERROR(INDEX(ctaTipo,MATCH(AC2154,ctaNombre,0))&amp;"",""))</f>
        <v/>
      </c>
      <c r="AF2154" s="53">
        <f>IF(OR(P2154="",AB2154=""),"",IF(OR(P2154="Gasto",P2154="Transferencia",P2154="Pago tarjeta"),-1,1)*IF(IFERROR(INDEX(ctaMoneda,MATCH(AB2154,ctaNombre,0))&amp;"","DOP")="USD",T2154,S2154))</f>
        <v/>
      </c>
      <c r="AG2154" s="53">
        <f>IF(AC2154="","",IF(IFERROR(INDEX(ctaMoneda,MATCH(AC2154,ctaNombre,0))&amp;"","DOP")="USD",T2154,S2154))</f>
        <v/>
      </c>
      <c r="AH2154" s="53">
        <f>IF(P2154="","",IF(AND(AD2154&lt;&gt;"",COUNTIFS(tcTipo,AD2154,tcLiq,"Sí")&gt;0),IF(OR(P2154="Gasto",P2154="Transferencia",P2154="Pago tarjeta"),-1,1)*S2154,0)+IF(AND(AE2154&lt;&gt;"",COUNTIFS(tcTipo,AE2154,tcLiq,"Sí")&gt;0),S2154,0))</f>
        <v/>
      </c>
      <c r="AI2154" s="52">
        <f>IF(OR(L2154="",P2154=""),"",IF(COUNTIFS(L$6:L2154,L2154,P$6:P2154,"?*")=1,MAX(AI$5:AI2153)+1,""))</f>
        <v/>
      </c>
    </row>
    <row r="2155">
      <c r="B2155" s="47" t="n"/>
      <c r="C2155" s="48" t="n"/>
      <c r="D2155" s="48" t="n"/>
      <c r="E2155" s="48" t="n"/>
      <c r="F2155" s="48" t="n"/>
      <c r="G2155" s="49" t="n"/>
      <c r="H2155" s="48" t="n"/>
      <c r="I2155" s="50" t="n"/>
      <c r="J2155" s="48" t="n"/>
      <c r="K2155" s="48" t="n"/>
      <c r="L2155" s="48" t="n"/>
      <c r="M2155" s="48" t="n"/>
      <c r="N2155" s="48" t="n"/>
      <c r="O2155" s="51">
        <f>IF(AND(B2155="",G2155="",C2155="",D2155="",J2155=""),"",IF(B2155="","⚠ Falta fecha",IF(G2155="","⚠ Falta monto",IF(Q2155="","⚠ Falta cuenta",IF(ISNA(MATCH(Q2155,ctaNombre,0)),"⚠ Cuenta no registrada",IF(AND(OR(P2155="Gasto",P2155="Reembolso"),D2155=""),"⚠ Falta categoría",IF(AND(D2155&lt;&gt;"",E2155&lt;&gt;"",ISNA(MATCH(D2155&amp;"|"&amp;E2155,catClave,0))),"⚠ Subcategoría no corresponde",IF(AND(OR(P2155="Transferencia",P2155="Pago tarjeta"),K2155=""),"⚠ Falta cuenta destino",IF(AND(K2155&lt;&gt;"",P2155&lt;&gt;"Transferencia",P2155&lt;&gt;"Pago tarjeta"),"⚠ Destino solo aplica a transferencias",IF(AND(K2155&lt;&gt;"",K2155=Q2155),"⚠ Origen igual a destino",IF(AND(K2155&lt;&gt;"",ISNA(MATCH(K2155,ctaNombre,0))),"⚠ Destino no registrado",IF(AND(P2155="Pago tarjeta",AE2155&lt;&gt;"Tarjeta de crédito"),"⚠ El destino debe ser tarjeta de crédito",IF(AND(P2155="Gasto",E2155="Depósitos y retiros"),"⚠ Usa tipo Transferencia",IF(AND(P2155="Resultado trading",AD2155&lt;&gt;"Cuenta de trading"),"⚠ Usa una cuenta de trading",IF(AND(G2155&lt;=0,P2155&lt;&gt;"Ajuste",P2155&lt;&gt;"Resultado trading"),"⚠ El monto debe ser positivo","✓")))))))))))))))</f>
        <v/>
      </c>
      <c r="P2155" s="52">
        <f>IF(OR(B2155="",G2155=""),"",IF(C2155="","Gasto",C2155))</f>
        <v/>
      </c>
      <c r="Q2155" s="52">
        <f>IF(P2155="","",IF(J2155&lt;&gt;"",J2155,CuentaPred&amp;""))</f>
        <v/>
      </c>
      <c r="R2155" s="52">
        <f>IF(P2155="","",IF(ISNUMBER(I2155),I2155,TasaUSD))</f>
        <v/>
      </c>
      <c r="S2155" s="53">
        <f>IF(P2155="","",IF(H2155="USD",G2155*R2155,G2155))</f>
        <v/>
      </c>
      <c r="T2155" s="53">
        <f>IF(P2155="","",IF(H2155="USD",G2155,IF(R2155&gt;0,G2155/R2155,0)))</f>
        <v/>
      </c>
      <c r="U2155" s="53">
        <f>IF(P2155="","",IF(P2155="Gasto",S2155,IF(P2155="Reembolso",-S2155,0)))</f>
        <v/>
      </c>
      <c r="V2155" s="53">
        <f>IF(P2155="","",IF(P2155="Ingreso",S2155,0))</f>
        <v/>
      </c>
      <c r="W2155" s="53">
        <f>IF(P2155="","",IF(P2155="Resultado trading",S2155,0))</f>
        <v/>
      </c>
      <c r="X2155" s="52">
        <f>IF(OR(P2155="Gasto",P2155="Reembolso"),IF(M2155&lt;&gt;"",M2155,IFERROR(INDEX(catClasif,MATCH(D2155&amp;"|"&amp;E2155,catClave,0))&amp;"","Variable")),"")</f>
        <v/>
      </c>
      <c r="Y2155" s="52">
        <f>IF(P2155="","",IFERROR(INDEX(catGrupo,MATCH(D2155&amp;"|"&amp;E2155,catClave,0))&amp;"",""))</f>
        <v/>
      </c>
      <c r="Z2155" s="52">
        <f>IF(P2155="","",WEEKDAY(B2155,2))</f>
        <v/>
      </c>
      <c r="AA2155" s="52">
        <f>IF(P2155="","",IF(AND(P2155="Gasto",X2155="Variable",D2155&lt;&gt;catTrading,S2155&gt;0,S2155&lt;=Umbral),1,0))</f>
        <v/>
      </c>
      <c r="AB2155" s="52">
        <f>IF(OR(P2155="",Q2155=""),"",IFERROR(IF(INDEX(ctaVinc,MATCH(Q2155,ctaNombre,0))&amp;""&lt;&gt;"",INDEX(ctaVinc,MATCH(Q2155,ctaNombre,0))&amp;"",Q2155),Q2155))</f>
        <v/>
      </c>
      <c r="AC2155" s="52">
        <f>IF(OR(K2155="",AND(P2155&lt;&gt;"Transferencia",P2155&lt;&gt;"Pago tarjeta")),"",IFERROR(IF(INDEX(ctaVinc,MATCH(K2155,ctaNombre,0))&amp;""&lt;&gt;"",INDEX(ctaVinc,MATCH(K2155,ctaNombre,0))&amp;"",K2155),K2155))</f>
        <v/>
      </c>
      <c r="AD2155" s="52">
        <f>IF(AB2155="","",IFERROR(INDEX(ctaTipo,MATCH(AB2155,ctaNombre,0))&amp;"",""))</f>
        <v/>
      </c>
      <c r="AE2155" s="52">
        <f>IF(AC2155="","",IFERROR(INDEX(ctaTipo,MATCH(AC2155,ctaNombre,0))&amp;"",""))</f>
        <v/>
      </c>
      <c r="AF2155" s="53">
        <f>IF(OR(P2155="",AB2155=""),"",IF(OR(P2155="Gasto",P2155="Transferencia",P2155="Pago tarjeta"),-1,1)*IF(IFERROR(INDEX(ctaMoneda,MATCH(AB2155,ctaNombre,0))&amp;"","DOP")="USD",T2155,S2155))</f>
        <v/>
      </c>
      <c r="AG2155" s="53">
        <f>IF(AC2155="","",IF(IFERROR(INDEX(ctaMoneda,MATCH(AC2155,ctaNombre,0))&amp;"","DOP")="USD",T2155,S2155))</f>
        <v/>
      </c>
      <c r="AH2155" s="53">
        <f>IF(P2155="","",IF(AND(AD2155&lt;&gt;"",COUNTIFS(tcTipo,AD2155,tcLiq,"Sí")&gt;0),IF(OR(P2155="Gasto",P2155="Transferencia",P2155="Pago tarjeta"),-1,1)*S2155,0)+IF(AND(AE2155&lt;&gt;"",COUNTIFS(tcTipo,AE2155,tcLiq,"Sí")&gt;0),S2155,0))</f>
        <v/>
      </c>
      <c r="AI2155" s="52">
        <f>IF(OR(L2155="",P2155=""),"",IF(COUNTIFS(L$6:L2155,L2155,P$6:P2155,"?*")=1,MAX(AI$5:AI2154)+1,""))</f>
        <v/>
      </c>
    </row>
    <row r="2156">
      <c r="B2156" s="47" t="n"/>
      <c r="C2156" s="48" t="n"/>
      <c r="D2156" s="48" t="n"/>
      <c r="E2156" s="48" t="n"/>
      <c r="F2156" s="48" t="n"/>
      <c r="G2156" s="49" t="n"/>
      <c r="H2156" s="48" t="n"/>
      <c r="I2156" s="50" t="n"/>
      <c r="J2156" s="48" t="n"/>
      <c r="K2156" s="48" t="n"/>
      <c r="L2156" s="48" t="n"/>
      <c r="M2156" s="48" t="n"/>
      <c r="N2156" s="48" t="n"/>
      <c r="O2156" s="51">
        <f>IF(AND(B2156="",G2156="",C2156="",D2156="",J2156=""),"",IF(B2156="","⚠ Falta fecha",IF(G2156="","⚠ Falta monto",IF(Q2156="","⚠ Falta cuenta",IF(ISNA(MATCH(Q2156,ctaNombre,0)),"⚠ Cuenta no registrada",IF(AND(OR(P2156="Gasto",P2156="Reembolso"),D2156=""),"⚠ Falta categoría",IF(AND(D2156&lt;&gt;"",E2156&lt;&gt;"",ISNA(MATCH(D2156&amp;"|"&amp;E2156,catClave,0))),"⚠ Subcategoría no corresponde",IF(AND(OR(P2156="Transferencia",P2156="Pago tarjeta"),K2156=""),"⚠ Falta cuenta destino",IF(AND(K2156&lt;&gt;"",P2156&lt;&gt;"Transferencia",P2156&lt;&gt;"Pago tarjeta"),"⚠ Destino solo aplica a transferencias",IF(AND(K2156&lt;&gt;"",K2156=Q2156),"⚠ Origen igual a destino",IF(AND(K2156&lt;&gt;"",ISNA(MATCH(K2156,ctaNombre,0))),"⚠ Destino no registrado",IF(AND(P2156="Pago tarjeta",AE2156&lt;&gt;"Tarjeta de crédito"),"⚠ El destino debe ser tarjeta de crédito",IF(AND(P2156="Gasto",E2156="Depósitos y retiros"),"⚠ Usa tipo Transferencia",IF(AND(P2156="Resultado trading",AD2156&lt;&gt;"Cuenta de trading"),"⚠ Usa una cuenta de trading",IF(AND(G2156&lt;=0,P2156&lt;&gt;"Ajuste",P2156&lt;&gt;"Resultado trading"),"⚠ El monto debe ser positivo","✓")))))))))))))))</f>
        <v/>
      </c>
      <c r="P2156" s="52">
        <f>IF(OR(B2156="",G2156=""),"",IF(C2156="","Gasto",C2156))</f>
        <v/>
      </c>
      <c r="Q2156" s="52">
        <f>IF(P2156="","",IF(J2156&lt;&gt;"",J2156,CuentaPred&amp;""))</f>
        <v/>
      </c>
      <c r="R2156" s="52">
        <f>IF(P2156="","",IF(ISNUMBER(I2156),I2156,TasaUSD))</f>
        <v/>
      </c>
      <c r="S2156" s="53">
        <f>IF(P2156="","",IF(H2156="USD",G2156*R2156,G2156))</f>
        <v/>
      </c>
      <c r="T2156" s="53">
        <f>IF(P2156="","",IF(H2156="USD",G2156,IF(R2156&gt;0,G2156/R2156,0)))</f>
        <v/>
      </c>
      <c r="U2156" s="53">
        <f>IF(P2156="","",IF(P2156="Gasto",S2156,IF(P2156="Reembolso",-S2156,0)))</f>
        <v/>
      </c>
      <c r="V2156" s="53">
        <f>IF(P2156="","",IF(P2156="Ingreso",S2156,0))</f>
        <v/>
      </c>
      <c r="W2156" s="53">
        <f>IF(P2156="","",IF(P2156="Resultado trading",S2156,0))</f>
        <v/>
      </c>
      <c r="X2156" s="52">
        <f>IF(OR(P2156="Gasto",P2156="Reembolso"),IF(M2156&lt;&gt;"",M2156,IFERROR(INDEX(catClasif,MATCH(D2156&amp;"|"&amp;E2156,catClave,0))&amp;"","Variable")),"")</f>
        <v/>
      </c>
      <c r="Y2156" s="52">
        <f>IF(P2156="","",IFERROR(INDEX(catGrupo,MATCH(D2156&amp;"|"&amp;E2156,catClave,0))&amp;"",""))</f>
        <v/>
      </c>
      <c r="Z2156" s="52">
        <f>IF(P2156="","",WEEKDAY(B2156,2))</f>
        <v/>
      </c>
      <c r="AA2156" s="52">
        <f>IF(P2156="","",IF(AND(P2156="Gasto",X2156="Variable",D2156&lt;&gt;catTrading,S2156&gt;0,S2156&lt;=Umbral),1,0))</f>
        <v/>
      </c>
      <c r="AB2156" s="52">
        <f>IF(OR(P2156="",Q2156=""),"",IFERROR(IF(INDEX(ctaVinc,MATCH(Q2156,ctaNombre,0))&amp;""&lt;&gt;"",INDEX(ctaVinc,MATCH(Q2156,ctaNombre,0))&amp;"",Q2156),Q2156))</f>
        <v/>
      </c>
      <c r="AC2156" s="52">
        <f>IF(OR(K2156="",AND(P2156&lt;&gt;"Transferencia",P2156&lt;&gt;"Pago tarjeta")),"",IFERROR(IF(INDEX(ctaVinc,MATCH(K2156,ctaNombre,0))&amp;""&lt;&gt;"",INDEX(ctaVinc,MATCH(K2156,ctaNombre,0))&amp;"",K2156),K2156))</f>
        <v/>
      </c>
      <c r="AD2156" s="52">
        <f>IF(AB2156="","",IFERROR(INDEX(ctaTipo,MATCH(AB2156,ctaNombre,0))&amp;"",""))</f>
        <v/>
      </c>
      <c r="AE2156" s="52">
        <f>IF(AC2156="","",IFERROR(INDEX(ctaTipo,MATCH(AC2156,ctaNombre,0))&amp;"",""))</f>
        <v/>
      </c>
      <c r="AF2156" s="53">
        <f>IF(OR(P2156="",AB2156=""),"",IF(OR(P2156="Gasto",P2156="Transferencia",P2156="Pago tarjeta"),-1,1)*IF(IFERROR(INDEX(ctaMoneda,MATCH(AB2156,ctaNombre,0))&amp;"","DOP")="USD",T2156,S2156))</f>
        <v/>
      </c>
      <c r="AG2156" s="53">
        <f>IF(AC2156="","",IF(IFERROR(INDEX(ctaMoneda,MATCH(AC2156,ctaNombre,0))&amp;"","DOP")="USD",T2156,S2156))</f>
        <v/>
      </c>
      <c r="AH2156" s="53">
        <f>IF(P2156="","",IF(AND(AD2156&lt;&gt;"",COUNTIFS(tcTipo,AD2156,tcLiq,"Sí")&gt;0),IF(OR(P2156="Gasto",P2156="Transferencia",P2156="Pago tarjeta"),-1,1)*S2156,0)+IF(AND(AE2156&lt;&gt;"",COUNTIFS(tcTipo,AE2156,tcLiq,"Sí")&gt;0),S2156,0))</f>
        <v/>
      </c>
      <c r="AI2156" s="52">
        <f>IF(OR(L2156="",P2156=""),"",IF(COUNTIFS(L$6:L2156,L2156,P$6:P2156,"?*")=1,MAX(AI$5:AI2155)+1,""))</f>
        <v/>
      </c>
    </row>
    <row r="2157">
      <c r="B2157" s="47" t="n"/>
      <c r="C2157" s="48" t="n"/>
      <c r="D2157" s="48" t="n"/>
      <c r="E2157" s="48" t="n"/>
      <c r="F2157" s="48" t="n"/>
      <c r="G2157" s="49" t="n"/>
      <c r="H2157" s="48" t="n"/>
      <c r="I2157" s="50" t="n"/>
      <c r="J2157" s="48" t="n"/>
      <c r="K2157" s="48" t="n"/>
      <c r="L2157" s="48" t="n"/>
      <c r="M2157" s="48" t="n"/>
      <c r="N2157" s="48" t="n"/>
      <c r="O2157" s="51">
        <f>IF(AND(B2157="",G2157="",C2157="",D2157="",J2157=""),"",IF(B2157="","⚠ Falta fecha",IF(G2157="","⚠ Falta monto",IF(Q2157="","⚠ Falta cuenta",IF(ISNA(MATCH(Q2157,ctaNombre,0)),"⚠ Cuenta no registrada",IF(AND(OR(P2157="Gasto",P2157="Reembolso"),D2157=""),"⚠ Falta categoría",IF(AND(D2157&lt;&gt;"",E2157&lt;&gt;"",ISNA(MATCH(D2157&amp;"|"&amp;E2157,catClave,0))),"⚠ Subcategoría no corresponde",IF(AND(OR(P2157="Transferencia",P2157="Pago tarjeta"),K2157=""),"⚠ Falta cuenta destino",IF(AND(K2157&lt;&gt;"",P2157&lt;&gt;"Transferencia",P2157&lt;&gt;"Pago tarjeta"),"⚠ Destino solo aplica a transferencias",IF(AND(K2157&lt;&gt;"",K2157=Q2157),"⚠ Origen igual a destino",IF(AND(K2157&lt;&gt;"",ISNA(MATCH(K2157,ctaNombre,0))),"⚠ Destino no registrado",IF(AND(P2157="Pago tarjeta",AE2157&lt;&gt;"Tarjeta de crédito"),"⚠ El destino debe ser tarjeta de crédito",IF(AND(P2157="Gasto",E2157="Depósitos y retiros"),"⚠ Usa tipo Transferencia",IF(AND(P2157="Resultado trading",AD2157&lt;&gt;"Cuenta de trading"),"⚠ Usa una cuenta de trading",IF(AND(G2157&lt;=0,P2157&lt;&gt;"Ajuste",P2157&lt;&gt;"Resultado trading"),"⚠ El monto debe ser positivo","✓")))))))))))))))</f>
        <v/>
      </c>
      <c r="P2157" s="52">
        <f>IF(OR(B2157="",G2157=""),"",IF(C2157="","Gasto",C2157))</f>
        <v/>
      </c>
      <c r="Q2157" s="52">
        <f>IF(P2157="","",IF(J2157&lt;&gt;"",J2157,CuentaPred&amp;""))</f>
        <v/>
      </c>
      <c r="R2157" s="52">
        <f>IF(P2157="","",IF(ISNUMBER(I2157),I2157,TasaUSD))</f>
        <v/>
      </c>
      <c r="S2157" s="53">
        <f>IF(P2157="","",IF(H2157="USD",G2157*R2157,G2157))</f>
        <v/>
      </c>
      <c r="T2157" s="53">
        <f>IF(P2157="","",IF(H2157="USD",G2157,IF(R2157&gt;0,G2157/R2157,0)))</f>
        <v/>
      </c>
      <c r="U2157" s="53">
        <f>IF(P2157="","",IF(P2157="Gasto",S2157,IF(P2157="Reembolso",-S2157,0)))</f>
        <v/>
      </c>
      <c r="V2157" s="53">
        <f>IF(P2157="","",IF(P2157="Ingreso",S2157,0))</f>
        <v/>
      </c>
      <c r="W2157" s="53">
        <f>IF(P2157="","",IF(P2157="Resultado trading",S2157,0))</f>
        <v/>
      </c>
      <c r="X2157" s="52">
        <f>IF(OR(P2157="Gasto",P2157="Reembolso"),IF(M2157&lt;&gt;"",M2157,IFERROR(INDEX(catClasif,MATCH(D2157&amp;"|"&amp;E2157,catClave,0))&amp;"","Variable")),"")</f>
        <v/>
      </c>
      <c r="Y2157" s="52">
        <f>IF(P2157="","",IFERROR(INDEX(catGrupo,MATCH(D2157&amp;"|"&amp;E2157,catClave,0))&amp;"",""))</f>
        <v/>
      </c>
      <c r="Z2157" s="52">
        <f>IF(P2157="","",WEEKDAY(B2157,2))</f>
        <v/>
      </c>
      <c r="AA2157" s="52">
        <f>IF(P2157="","",IF(AND(P2157="Gasto",X2157="Variable",D2157&lt;&gt;catTrading,S2157&gt;0,S2157&lt;=Umbral),1,0))</f>
        <v/>
      </c>
      <c r="AB2157" s="52">
        <f>IF(OR(P2157="",Q2157=""),"",IFERROR(IF(INDEX(ctaVinc,MATCH(Q2157,ctaNombre,0))&amp;""&lt;&gt;"",INDEX(ctaVinc,MATCH(Q2157,ctaNombre,0))&amp;"",Q2157),Q2157))</f>
        <v/>
      </c>
      <c r="AC2157" s="52">
        <f>IF(OR(K2157="",AND(P2157&lt;&gt;"Transferencia",P2157&lt;&gt;"Pago tarjeta")),"",IFERROR(IF(INDEX(ctaVinc,MATCH(K2157,ctaNombre,0))&amp;""&lt;&gt;"",INDEX(ctaVinc,MATCH(K2157,ctaNombre,0))&amp;"",K2157),K2157))</f>
        <v/>
      </c>
      <c r="AD2157" s="52">
        <f>IF(AB2157="","",IFERROR(INDEX(ctaTipo,MATCH(AB2157,ctaNombre,0))&amp;"",""))</f>
        <v/>
      </c>
      <c r="AE2157" s="52">
        <f>IF(AC2157="","",IFERROR(INDEX(ctaTipo,MATCH(AC2157,ctaNombre,0))&amp;"",""))</f>
        <v/>
      </c>
      <c r="AF2157" s="53">
        <f>IF(OR(P2157="",AB2157=""),"",IF(OR(P2157="Gasto",P2157="Transferencia",P2157="Pago tarjeta"),-1,1)*IF(IFERROR(INDEX(ctaMoneda,MATCH(AB2157,ctaNombre,0))&amp;"","DOP")="USD",T2157,S2157))</f>
        <v/>
      </c>
      <c r="AG2157" s="53">
        <f>IF(AC2157="","",IF(IFERROR(INDEX(ctaMoneda,MATCH(AC2157,ctaNombre,0))&amp;"","DOP")="USD",T2157,S2157))</f>
        <v/>
      </c>
      <c r="AH2157" s="53">
        <f>IF(P2157="","",IF(AND(AD2157&lt;&gt;"",COUNTIFS(tcTipo,AD2157,tcLiq,"Sí")&gt;0),IF(OR(P2157="Gasto",P2157="Transferencia",P2157="Pago tarjeta"),-1,1)*S2157,0)+IF(AND(AE2157&lt;&gt;"",COUNTIFS(tcTipo,AE2157,tcLiq,"Sí")&gt;0),S2157,0))</f>
        <v/>
      </c>
      <c r="AI2157" s="52">
        <f>IF(OR(L2157="",P2157=""),"",IF(COUNTIFS(L$6:L2157,L2157,P$6:P2157,"?*")=1,MAX(AI$5:AI2156)+1,""))</f>
        <v/>
      </c>
    </row>
    <row r="2158">
      <c r="B2158" s="47" t="n"/>
      <c r="C2158" s="48" t="n"/>
      <c r="D2158" s="48" t="n"/>
      <c r="E2158" s="48" t="n"/>
      <c r="F2158" s="48" t="n"/>
      <c r="G2158" s="49" t="n"/>
      <c r="H2158" s="48" t="n"/>
      <c r="I2158" s="50" t="n"/>
      <c r="J2158" s="48" t="n"/>
      <c r="K2158" s="48" t="n"/>
      <c r="L2158" s="48" t="n"/>
      <c r="M2158" s="48" t="n"/>
      <c r="N2158" s="48" t="n"/>
      <c r="O2158" s="51">
        <f>IF(AND(B2158="",G2158="",C2158="",D2158="",J2158=""),"",IF(B2158="","⚠ Falta fecha",IF(G2158="","⚠ Falta monto",IF(Q2158="","⚠ Falta cuenta",IF(ISNA(MATCH(Q2158,ctaNombre,0)),"⚠ Cuenta no registrada",IF(AND(OR(P2158="Gasto",P2158="Reembolso"),D2158=""),"⚠ Falta categoría",IF(AND(D2158&lt;&gt;"",E2158&lt;&gt;"",ISNA(MATCH(D2158&amp;"|"&amp;E2158,catClave,0))),"⚠ Subcategoría no corresponde",IF(AND(OR(P2158="Transferencia",P2158="Pago tarjeta"),K2158=""),"⚠ Falta cuenta destino",IF(AND(K2158&lt;&gt;"",P2158&lt;&gt;"Transferencia",P2158&lt;&gt;"Pago tarjeta"),"⚠ Destino solo aplica a transferencias",IF(AND(K2158&lt;&gt;"",K2158=Q2158),"⚠ Origen igual a destino",IF(AND(K2158&lt;&gt;"",ISNA(MATCH(K2158,ctaNombre,0))),"⚠ Destino no registrado",IF(AND(P2158="Pago tarjeta",AE2158&lt;&gt;"Tarjeta de crédito"),"⚠ El destino debe ser tarjeta de crédito",IF(AND(P2158="Gasto",E2158="Depósitos y retiros"),"⚠ Usa tipo Transferencia",IF(AND(P2158="Resultado trading",AD2158&lt;&gt;"Cuenta de trading"),"⚠ Usa una cuenta de trading",IF(AND(G2158&lt;=0,P2158&lt;&gt;"Ajuste",P2158&lt;&gt;"Resultado trading"),"⚠ El monto debe ser positivo","✓")))))))))))))))</f>
        <v/>
      </c>
      <c r="P2158" s="52">
        <f>IF(OR(B2158="",G2158=""),"",IF(C2158="","Gasto",C2158))</f>
        <v/>
      </c>
      <c r="Q2158" s="52">
        <f>IF(P2158="","",IF(J2158&lt;&gt;"",J2158,CuentaPred&amp;""))</f>
        <v/>
      </c>
      <c r="R2158" s="52">
        <f>IF(P2158="","",IF(ISNUMBER(I2158),I2158,TasaUSD))</f>
        <v/>
      </c>
      <c r="S2158" s="53">
        <f>IF(P2158="","",IF(H2158="USD",G2158*R2158,G2158))</f>
        <v/>
      </c>
      <c r="T2158" s="53">
        <f>IF(P2158="","",IF(H2158="USD",G2158,IF(R2158&gt;0,G2158/R2158,0)))</f>
        <v/>
      </c>
      <c r="U2158" s="53">
        <f>IF(P2158="","",IF(P2158="Gasto",S2158,IF(P2158="Reembolso",-S2158,0)))</f>
        <v/>
      </c>
      <c r="V2158" s="53">
        <f>IF(P2158="","",IF(P2158="Ingreso",S2158,0))</f>
        <v/>
      </c>
      <c r="W2158" s="53">
        <f>IF(P2158="","",IF(P2158="Resultado trading",S2158,0))</f>
        <v/>
      </c>
      <c r="X2158" s="52">
        <f>IF(OR(P2158="Gasto",P2158="Reembolso"),IF(M2158&lt;&gt;"",M2158,IFERROR(INDEX(catClasif,MATCH(D2158&amp;"|"&amp;E2158,catClave,0))&amp;"","Variable")),"")</f>
        <v/>
      </c>
      <c r="Y2158" s="52">
        <f>IF(P2158="","",IFERROR(INDEX(catGrupo,MATCH(D2158&amp;"|"&amp;E2158,catClave,0))&amp;"",""))</f>
        <v/>
      </c>
      <c r="Z2158" s="52">
        <f>IF(P2158="","",WEEKDAY(B2158,2))</f>
        <v/>
      </c>
      <c r="AA2158" s="52">
        <f>IF(P2158="","",IF(AND(P2158="Gasto",X2158="Variable",D2158&lt;&gt;catTrading,S2158&gt;0,S2158&lt;=Umbral),1,0))</f>
        <v/>
      </c>
      <c r="AB2158" s="52">
        <f>IF(OR(P2158="",Q2158=""),"",IFERROR(IF(INDEX(ctaVinc,MATCH(Q2158,ctaNombre,0))&amp;""&lt;&gt;"",INDEX(ctaVinc,MATCH(Q2158,ctaNombre,0))&amp;"",Q2158),Q2158))</f>
        <v/>
      </c>
      <c r="AC2158" s="52">
        <f>IF(OR(K2158="",AND(P2158&lt;&gt;"Transferencia",P2158&lt;&gt;"Pago tarjeta")),"",IFERROR(IF(INDEX(ctaVinc,MATCH(K2158,ctaNombre,0))&amp;""&lt;&gt;"",INDEX(ctaVinc,MATCH(K2158,ctaNombre,0))&amp;"",K2158),K2158))</f>
        <v/>
      </c>
      <c r="AD2158" s="52">
        <f>IF(AB2158="","",IFERROR(INDEX(ctaTipo,MATCH(AB2158,ctaNombre,0))&amp;"",""))</f>
        <v/>
      </c>
      <c r="AE2158" s="52">
        <f>IF(AC2158="","",IFERROR(INDEX(ctaTipo,MATCH(AC2158,ctaNombre,0))&amp;"",""))</f>
        <v/>
      </c>
      <c r="AF2158" s="53">
        <f>IF(OR(P2158="",AB2158=""),"",IF(OR(P2158="Gasto",P2158="Transferencia",P2158="Pago tarjeta"),-1,1)*IF(IFERROR(INDEX(ctaMoneda,MATCH(AB2158,ctaNombre,0))&amp;"","DOP")="USD",T2158,S2158))</f>
        <v/>
      </c>
      <c r="AG2158" s="53">
        <f>IF(AC2158="","",IF(IFERROR(INDEX(ctaMoneda,MATCH(AC2158,ctaNombre,0))&amp;"","DOP")="USD",T2158,S2158))</f>
        <v/>
      </c>
      <c r="AH2158" s="53">
        <f>IF(P2158="","",IF(AND(AD2158&lt;&gt;"",COUNTIFS(tcTipo,AD2158,tcLiq,"Sí")&gt;0),IF(OR(P2158="Gasto",P2158="Transferencia",P2158="Pago tarjeta"),-1,1)*S2158,0)+IF(AND(AE2158&lt;&gt;"",COUNTIFS(tcTipo,AE2158,tcLiq,"Sí")&gt;0),S2158,0))</f>
        <v/>
      </c>
      <c r="AI2158" s="52">
        <f>IF(OR(L2158="",P2158=""),"",IF(COUNTIFS(L$6:L2158,L2158,P$6:P2158,"?*")=1,MAX(AI$5:AI2157)+1,""))</f>
        <v/>
      </c>
    </row>
    <row r="2159">
      <c r="B2159" s="47" t="n"/>
      <c r="C2159" s="48" t="n"/>
      <c r="D2159" s="48" t="n"/>
      <c r="E2159" s="48" t="n"/>
      <c r="F2159" s="48" t="n"/>
      <c r="G2159" s="49" t="n"/>
      <c r="H2159" s="48" t="n"/>
      <c r="I2159" s="50" t="n"/>
      <c r="J2159" s="48" t="n"/>
      <c r="K2159" s="48" t="n"/>
      <c r="L2159" s="48" t="n"/>
      <c r="M2159" s="48" t="n"/>
      <c r="N2159" s="48" t="n"/>
      <c r="O2159" s="51">
        <f>IF(AND(B2159="",G2159="",C2159="",D2159="",J2159=""),"",IF(B2159="","⚠ Falta fecha",IF(G2159="","⚠ Falta monto",IF(Q2159="","⚠ Falta cuenta",IF(ISNA(MATCH(Q2159,ctaNombre,0)),"⚠ Cuenta no registrada",IF(AND(OR(P2159="Gasto",P2159="Reembolso"),D2159=""),"⚠ Falta categoría",IF(AND(D2159&lt;&gt;"",E2159&lt;&gt;"",ISNA(MATCH(D2159&amp;"|"&amp;E2159,catClave,0))),"⚠ Subcategoría no corresponde",IF(AND(OR(P2159="Transferencia",P2159="Pago tarjeta"),K2159=""),"⚠ Falta cuenta destino",IF(AND(K2159&lt;&gt;"",P2159&lt;&gt;"Transferencia",P2159&lt;&gt;"Pago tarjeta"),"⚠ Destino solo aplica a transferencias",IF(AND(K2159&lt;&gt;"",K2159=Q2159),"⚠ Origen igual a destino",IF(AND(K2159&lt;&gt;"",ISNA(MATCH(K2159,ctaNombre,0))),"⚠ Destino no registrado",IF(AND(P2159="Pago tarjeta",AE2159&lt;&gt;"Tarjeta de crédito"),"⚠ El destino debe ser tarjeta de crédito",IF(AND(P2159="Gasto",E2159="Depósitos y retiros"),"⚠ Usa tipo Transferencia",IF(AND(P2159="Resultado trading",AD2159&lt;&gt;"Cuenta de trading"),"⚠ Usa una cuenta de trading",IF(AND(G2159&lt;=0,P2159&lt;&gt;"Ajuste",P2159&lt;&gt;"Resultado trading"),"⚠ El monto debe ser positivo","✓")))))))))))))))</f>
        <v/>
      </c>
      <c r="P2159" s="52">
        <f>IF(OR(B2159="",G2159=""),"",IF(C2159="","Gasto",C2159))</f>
        <v/>
      </c>
      <c r="Q2159" s="52">
        <f>IF(P2159="","",IF(J2159&lt;&gt;"",J2159,CuentaPred&amp;""))</f>
        <v/>
      </c>
      <c r="R2159" s="52">
        <f>IF(P2159="","",IF(ISNUMBER(I2159),I2159,TasaUSD))</f>
        <v/>
      </c>
      <c r="S2159" s="53">
        <f>IF(P2159="","",IF(H2159="USD",G2159*R2159,G2159))</f>
        <v/>
      </c>
      <c r="T2159" s="53">
        <f>IF(P2159="","",IF(H2159="USD",G2159,IF(R2159&gt;0,G2159/R2159,0)))</f>
        <v/>
      </c>
      <c r="U2159" s="53">
        <f>IF(P2159="","",IF(P2159="Gasto",S2159,IF(P2159="Reembolso",-S2159,0)))</f>
        <v/>
      </c>
      <c r="V2159" s="53">
        <f>IF(P2159="","",IF(P2159="Ingreso",S2159,0))</f>
        <v/>
      </c>
      <c r="W2159" s="53">
        <f>IF(P2159="","",IF(P2159="Resultado trading",S2159,0))</f>
        <v/>
      </c>
      <c r="X2159" s="52">
        <f>IF(OR(P2159="Gasto",P2159="Reembolso"),IF(M2159&lt;&gt;"",M2159,IFERROR(INDEX(catClasif,MATCH(D2159&amp;"|"&amp;E2159,catClave,0))&amp;"","Variable")),"")</f>
        <v/>
      </c>
      <c r="Y2159" s="52">
        <f>IF(P2159="","",IFERROR(INDEX(catGrupo,MATCH(D2159&amp;"|"&amp;E2159,catClave,0))&amp;"",""))</f>
        <v/>
      </c>
      <c r="Z2159" s="52">
        <f>IF(P2159="","",WEEKDAY(B2159,2))</f>
        <v/>
      </c>
      <c r="AA2159" s="52">
        <f>IF(P2159="","",IF(AND(P2159="Gasto",X2159="Variable",D2159&lt;&gt;catTrading,S2159&gt;0,S2159&lt;=Umbral),1,0))</f>
        <v/>
      </c>
      <c r="AB2159" s="52">
        <f>IF(OR(P2159="",Q2159=""),"",IFERROR(IF(INDEX(ctaVinc,MATCH(Q2159,ctaNombre,0))&amp;""&lt;&gt;"",INDEX(ctaVinc,MATCH(Q2159,ctaNombre,0))&amp;"",Q2159),Q2159))</f>
        <v/>
      </c>
      <c r="AC2159" s="52">
        <f>IF(OR(K2159="",AND(P2159&lt;&gt;"Transferencia",P2159&lt;&gt;"Pago tarjeta")),"",IFERROR(IF(INDEX(ctaVinc,MATCH(K2159,ctaNombre,0))&amp;""&lt;&gt;"",INDEX(ctaVinc,MATCH(K2159,ctaNombre,0))&amp;"",K2159),K2159))</f>
        <v/>
      </c>
      <c r="AD2159" s="52">
        <f>IF(AB2159="","",IFERROR(INDEX(ctaTipo,MATCH(AB2159,ctaNombre,0))&amp;"",""))</f>
        <v/>
      </c>
      <c r="AE2159" s="52">
        <f>IF(AC2159="","",IFERROR(INDEX(ctaTipo,MATCH(AC2159,ctaNombre,0))&amp;"",""))</f>
        <v/>
      </c>
      <c r="AF2159" s="53">
        <f>IF(OR(P2159="",AB2159=""),"",IF(OR(P2159="Gasto",P2159="Transferencia",P2159="Pago tarjeta"),-1,1)*IF(IFERROR(INDEX(ctaMoneda,MATCH(AB2159,ctaNombre,0))&amp;"","DOP")="USD",T2159,S2159))</f>
        <v/>
      </c>
      <c r="AG2159" s="53">
        <f>IF(AC2159="","",IF(IFERROR(INDEX(ctaMoneda,MATCH(AC2159,ctaNombre,0))&amp;"","DOP")="USD",T2159,S2159))</f>
        <v/>
      </c>
      <c r="AH2159" s="53">
        <f>IF(P2159="","",IF(AND(AD2159&lt;&gt;"",COUNTIFS(tcTipo,AD2159,tcLiq,"Sí")&gt;0),IF(OR(P2159="Gasto",P2159="Transferencia",P2159="Pago tarjeta"),-1,1)*S2159,0)+IF(AND(AE2159&lt;&gt;"",COUNTIFS(tcTipo,AE2159,tcLiq,"Sí")&gt;0),S2159,0))</f>
        <v/>
      </c>
      <c r="AI2159" s="52">
        <f>IF(OR(L2159="",P2159=""),"",IF(COUNTIFS(L$6:L2159,L2159,P$6:P2159,"?*")=1,MAX(AI$5:AI2158)+1,""))</f>
        <v/>
      </c>
    </row>
    <row r="2160">
      <c r="B2160" s="47" t="n"/>
      <c r="C2160" s="48" t="n"/>
      <c r="D2160" s="48" t="n"/>
      <c r="E2160" s="48" t="n"/>
      <c r="F2160" s="48" t="n"/>
      <c r="G2160" s="49" t="n"/>
      <c r="H2160" s="48" t="n"/>
      <c r="I2160" s="50" t="n"/>
      <c r="J2160" s="48" t="n"/>
      <c r="K2160" s="48" t="n"/>
      <c r="L2160" s="48" t="n"/>
      <c r="M2160" s="48" t="n"/>
      <c r="N2160" s="48" t="n"/>
      <c r="O2160" s="51">
        <f>IF(AND(B2160="",G2160="",C2160="",D2160="",J2160=""),"",IF(B2160="","⚠ Falta fecha",IF(G2160="","⚠ Falta monto",IF(Q2160="","⚠ Falta cuenta",IF(ISNA(MATCH(Q2160,ctaNombre,0)),"⚠ Cuenta no registrada",IF(AND(OR(P2160="Gasto",P2160="Reembolso"),D2160=""),"⚠ Falta categoría",IF(AND(D2160&lt;&gt;"",E2160&lt;&gt;"",ISNA(MATCH(D2160&amp;"|"&amp;E2160,catClave,0))),"⚠ Subcategoría no corresponde",IF(AND(OR(P2160="Transferencia",P2160="Pago tarjeta"),K2160=""),"⚠ Falta cuenta destino",IF(AND(K2160&lt;&gt;"",P2160&lt;&gt;"Transferencia",P2160&lt;&gt;"Pago tarjeta"),"⚠ Destino solo aplica a transferencias",IF(AND(K2160&lt;&gt;"",K2160=Q2160),"⚠ Origen igual a destino",IF(AND(K2160&lt;&gt;"",ISNA(MATCH(K2160,ctaNombre,0))),"⚠ Destino no registrado",IF(AND(P2160="Pago tarjeta",AE2160&lt;&gt;"Tarjeta de crédito"),"⚠ El destino debe ser tarjeta de crédito",IF(AND(P2160="Gasto",E2160="Depósitos y retiros"),"⚠ Usa tipo Transferencia",IF(AND(P2160="Resultado trading",AD2160&lt;&gt;"Cuenta de trading"),"⚠ Usa una cuenta de trading",IF(AND(G2160&lt;=0,P2160&lt;&gt;"Ajuste",P2160&lt;&gt;"Resultado trading"),"⚠ El monto debe ser positivo","✓")))))))))))))))</f>
        <v/>
      </c>
      <c r="P2160" s="52">
        <f>IF(OR(B2160="",G2160=""),"",IF(C2160="","Gasto",C2160))</f>
        <v/>
      </c>
      <c r="Q2160" s="52">
        <f>IF(P2160="","",IF(J2160&lt;&gt;"",J2160,CuentaPred&amp;""))</f>
        <v/>
      </c>
      <c r="R2160" s="52">
        <f>IF(P2160="","",IF(ISNUMBER(I2160),I2160,TasaUSD))</f>
        <v/>
      </c>
      <c r="S2160" s="53">
        <f>IF(P2160="","",IF(H2160="USD",G2160*R2160,G2160))</f>
        <v/>
      </c>
      <c r="T2160" s="53">
        <f>IF(P2160="","",IF(H2160="USD",G2160,IF(R2160&gt;0,G2160/R2160,0)))</f>
        <v/>
      </c>
      <c r="U2160" s="53">
        <f>IF(P2160="","",IF(P2160="Gasto",S2160,IF(P2160="Reembolso",-S2160,0)))</f>
        <v/>
      </c>
      <c r="V2160" s="53">
        <f>IF(P2160="","",IF(P2160="Ingreso",S2160,0))</f>
        <v/>
      </c>
      <c r="W2160" s="53">
        <f>IF(P2160="","",IF(P2160="Resultado trading",S2160,0))</f>
        <v/>
      </c>
      <c r="X2160" s="52">
        <f>IF(OR(P2160="Gasto",P2160="Reembolso"),IF(M2160&lt;&gt;"",M2160,IFERROR(INDEX(catClasif,MATCH(D2160&amp;"|"&amp;E2160,catClave,0))&amp;"","Variable")),"")</f>
        <v/>
      </c>
      <c r="Y2160" s="52">
        <f>IF(P2160="","",IFERROR(INDEX(catGrupo,MATCH(D2160&amp;"|"&amp;E2160,catClave,0))&amp;"",""))</f>
        <v/>
      </c>
      <c r="Z2160" s="52">
        <f>IF(P2160="","",WEEKDAY(B2160,2))</f>
        <v/>
      </c>
      <c r="AA2160" s="52">
        <f>IF(P2160="","",IF(AND(P2160="Gasto",X2160="Variable",D2160&lt;&gt;catTrading,S2160&gt;0,S2160&lt;=Umbral),1,0))</f>
        <v/>
      </c>
      <c r="AB2160" s="52">
        <f>IF(OR(P2160="",Q2160=""),"",IFERROR(IF(INDEX(ctaVinc,MATCH(Q2160,ctaNombre,0))&amp;""&lt;&gt;"",INDEX(ctaVinc,MATCH(Q2160,ctaNombre,0))&amp;"",Q2160),Q2160))</f>
        <v/>
      </c>
      <c r="AC2160" s="52">
        <f>IF(OR(K2160="",AND(P2160&lt;&gt;"Transferencia",P2160&lt;&gt;"Pago tarjeta")),"",IFERROR(IF(INDEX(ctaVinc,MATCH(K2160,ctaNombre,0))&amp;""&lt;&gt;"",INDEX(ctaVinc,MATCH(K2160,ctaNombre,0))&amp;"",K2160),K2160))</f>
        <v/>
      </c>
      <c r="AD2160" s="52">
        <f>IF(AB2160="","",IFERROR(INDEX(ctaTipo,MATCH(AB2160,ctaNombre,0))&amp;"",""))</f>
        <v/>
      </c>
      <c r="AE2160" s="52">
        <f>IF(AC2160="","",IFERROR(INDEX(ctaTipo,MATCH(AC2160,ctaNombre,0))&amp;"",""))</f>
        <v/>
      </c>
      <c r="AF2160" s="53">
        <f>IF(OR(P2160="",AB2160=""),"",IF(OR(P2160="Gasto",P2160="Transferencia",P2160="Pago tarjeta"),-1,1)*IF(IFERROR(INDEX(ctaMoneda,MATCH(AB2160,ctaNombre,0))&amp;"","DOP")="USD",T2160,S2160))</f>
        <v/>
      </c>
      <c r="AG2160" s="53">
        <f>IF(AC2160="","",IF(IFERROR(INDEX(ctaMoneda,MATCH(AC2160,ctaNombre,0))&amp;"","DOP")="USD",T2160,S2160))</f>
        <v/>
      </c>
      <c r="AH2160" s="53">
        <f>IF(P2160="","",IF(AND(AD2160&lt;&gt;"",COUNTIFS(tcTipo,AD2160,tcLiq,"Sí")&gt;0),IF(OR(P2160="Gasto",P2160="Transferencia",P2160="Pago tarjeta"),-1,1)*S2160,0)+IF(AND(AE2160&lt;&gt;"",COUNTIFS(tcTipo,AE2160,tcLiq,"Sí")&gt;0),S2160,0))</f>
        <v/>
      </c>
      <c r="AI2160" s="52">
        <f>IF(OR(L2160="",P2160=""),"",IF(COUNTIFS(L$6:L2160,L2160,P$6:P2160,"?*")=1,MAX(AI$5:AI2159)+1,""))</f>
        <v/>
      </c>
    </row>
    <row r="2161">
      <c r="B2161" s="47" t="n"/>
      <c r="C2161" s="48" t="n"/>
      <c r="D2161" s="48" t="n"/>
      <c r="E2161" s="48" t="n"/>
      <c r="F2161" s="48" t="n"/>
      <c r="G2161" s="49" t="n"/>
      <c r="H2161" s="48" t="n"/>
      <c r="I2161" s="50" t="n"/>
      <c r="J2161" s="48" t="n"/>
      <c r="K2161" s="48" t="n"/>
      <c r="L2161" s="48" t="n"/>
      <c r="M2161" s="48" t="n"/>
      <c r="N2161" s="48" t="n"/>
      <c r="O2161" s="51">
        <f>IF(AND(B2161="",G2161="",C2161="",D2161="",J2161=""),"",IF(B2161="","⚠ Falta fecha",IF(G2161="","⚠ Falta monto",IF(Q2161="","⚠ Falta cuenta",IF(ISNA(MATCH(Q2161,ctaNombre,0)),"⚠ Cuenta no registrada",IF(AND(OR(P2161="Gasto",P2161="Reembolso"),D2161=""),"⚠ Falta categoría",IF(AND(D2161&lt;&gt;"",E2161&lt;&gt;"",ISNA(MATCH(D2161&amp;"|"&amp;E2161,catClave,0))),"⚠ Subcategoría no corresponde",IF(AND(OR(P2161="Transferencia",P2161="Pago tarjeta"),K2161=""),"⚠ Falta cuenta destino",IF(AND(K2161&lt;&gt;"",P2161&lt;&gt;"Transferencia",P2161&lt;&gt;"Pago tarjeta"),"⚠ Destino solo aplica a transferencias",IF(AND(K2161&lt;&gt;"",K2161=Q2161),"⚠ Origen igual a destino",IF(AND(K2161&lt;&gt;"",ISNA(MATCH(K2161,ctaNombre,0))),"⚠ Destino no registrado",IF(AND(P2161="Pago tarjeta",AE2161&lt;&gt;"Tarjeta de crédito"),"⚠ El destino debe ser tarjeta de crédito",IF(AND(P2161="Gasto",E2161="Depósitos y retiros"),"⚠ Usa tipo Transferencia",IF(AND(P2161="Resultado trading",AD2161&lt;&gt;"Cuenta de trading"),"⚠ Usa una cuenta de trading",IF(AND(G2161&lt;=0,P2161&lt;&gt;"Ajuste",P2161&lt;&gt;"Resultado trading"),"⚠ El monto debe ser positivo","✓")))))))))))))))</f>
        <v/>
      </c>
      <c r="P2161" s="52">
        <f>IF(OR(B2161="",G2161=""),"",IF(C2161="","Gasto",C2161))</f>
        <v/>
      </c>
      <c r="Q2161" s="52">
        <f>IF(P2161="","",IF(J2161&lt;&gt;"",J2161,CuentaPred&amp;""))</f>
        <v/>
      </c>
      <c r="R2161" s="52">
        <f>IF(P2161="","",IF(ISNUMBER(I2161),I2161,TasaUSD))</f>
        <v/>
      </c>
      <c r="S2161" s="53">
        <f>IF(P2161="","",IF(H2161="USD",G2161*R2161,G2161))</f>
        <v/>
      </c>
      <c r="T2161" s="53">
        <f>IF(P2161="","",IF(H2161="USD",G2161,IF(R2161&gt;0,G2161/R2161,0)))</f>
        <v/>
      </c>
      <c r="U2161" s="53">
        <f>IF(P2161="","",IF(P2161="Gasto",S2161,IF(P2161="Reembolso",-S2161,0)))</f>
        <v/>
      </c>
      <c r="V2161" s="53">
        <f>IF(P2161="","",IF(P2161="Ingreso",S2161,0))</f>
        <v/>
      </c>
      <c r="W2161" s="53">
        <f>IF(P2161="","",IF(P2161="Resultado trading",S2161,0))</f>
        <v/>
      </c>
      <c r="X2161" s="52">
        <f>IF(OR(P2161="Gasto",P2161="Reembolso"),IF(M2161&lt;&gt;"",M2161,IFERROR(INDEX(catClasif,MATCH(D2161&amp;"|"&amp;E2161,catClave,0))&amp;"","Variable")),"")</f>
        <v/>
      </c>
      <c r="Y2161" s="52">
        <f>IF(P2161="","",IFERROR(INDEX(catGrupo,MATCH(D2161&amp;"|"&amp;E2161,catClave,0))&amp;"",""))</f>
        <v/>
      </c>
      <c r="Z2161" s="52">
        <f>IF(P2161="","",WEEKDAY(B2161,2))</f>
        <v/>
      </c>
      <c r="AA2161" s="52">
        <f>IF(P2161="","",IF(AND(P2161="Gasto",X2161="Variable",D2161&lt;&gt;catTrading,S2161&gt;0,S2161&lt;=Umbral),1,0))</f>
        <v/>
      </c>
      <c r="AB2161" s="52">
        <f>IF(OR(P2161="",Q2161=""),"",IFERROR(IF(INDEX(ctaVinc,MATCH(Q2161,ctaNombre,0))&amp;""&lt;&gt;"",INDEX(ctaVinc,MATCH(Q2161,ctaNombre,0))&amp;"",Q2161),Q2161))</f>
        <v/>
      </c>
      <c r="AC2161" s="52">
        <f>IF(OR(K2161="",AND(P2161&lt;&gt;"Transferencia",P2161&lt;&gt;"Pago tarjeta")),"",IFERROR(IF(INDEX(ctaVinc,MATCH(K2161,ctaNombre,0))&amp;""&lt;&gt;"",INDEX(ctaVinc,MATCH(K2161,ctaNombre,0))&amp;"",K2161),K2161))</f>
        <v/>
      </c>
      <c r="AD2161" s="52">
        <f>IF(AB2161="","",IFERROR(INDEX(ctaTipo,MATCH(AB2161,ctaNombre,0))&amp;"",""))</f>
        <v/>
      </c>
      <c r="AE2161" s="52">
        <f>IF(AC2161="","",IFERROR(INDEX(ctaTipo,MATCH(AC2161,ctaNombre,0))&amp;"",""))</f>
        <v/>
      </c>
      <c r="AF2161" s="53">
        <f>IF(OR(P2161="",AB2161=""),"",IF(OR(P2161="Gasto",P2161="Transferencia",P2161="Pago tarjeta"),-1,1)*IF(IFERROR(INDEX(ctaMoneda,MATCH(AB2161,ctaNombre,0))&amp;"","DOP")="USD",T2161,S2161))</f>
        <v/>
      </c>
      <c r="AG2161" s="53">
        <f>IF(AC2161="","",IF(IFERROR(INDEX(ctaMoneda,MATCH(AC2161,ctaNombre,0))&amp;"","DOP")="USD",T2161,S2161))</f>
        <v/>
      </c>
      <c r="AH2161" s="53">
        <f>IF(P2161="","",IF(AND(AD2161&lt;&gt;"",COUNTIFS(tcTipo,AD2161,tcLiq,"Sí")&gt;0),IF(OR(P2161="Gasto",P2161="Transferencia",P2161="Pago tarjeta"),-1,1)*S2161,0)+IF(AND(AE2161&lt;&gt;"",COUNTIFS(tcTipo,AE2161,tcLiq,"Sí")&gt;0),S2161,0))</f>
        <v/>
      </c>
      <c r="AI2161" s="52">
        <f>IF(OR(L2161="",P2161=""),"",IF(COUNTIFS(L$6:L2161,L2161,P$6:P2161,"?*")=1,MAX(AI$5:AI2160)+1,""))</f>
        <v/>
      </c>
    </row>
    <row r="2162">
      <c r="B2162" s="47" t="n"/>
      <c r="C2162" s="48" t="n"/>
      <c r="D2162" s="48" t="n"/>
      <c r="E2162" s="48" t="n"/>
      <c r="F2162" s="48" t="n"/>
      <c r="G2162" s="49" t="n"/>
      <c r="H2162" s="48" t="n"/>
      <c r="I2162" s="50" t="n"/>
      <c r="J2162" s="48" t="n"/>
      <c r="K2162" s="48" t="n"/>
      <c r="L2162" s="48" t="n"/>
      <c r="M2162" s="48" t="n"/>
      <c r="N2162" s="48" t="n"/>
      <c r="O2162" s="51">
        <f>IF(AND(B2162="",G2162="",C2162="",D2162="",J2162=""),"",IF(B2162="","⚠ Falta fecha",IF(G2162="","⚠ Falta monto",IF(Q2162="","⚠ Falta cuenta",IF(ISNA(MATCH(Q2162,ctaNombre,0)),"⚠ Cuenta no registrada",IF(AND(OR(P2162="Gasto",P2162="Reembolso"),D2162=""),"⚠ Falta categoría",IF(AND(D2162&lt;&gt;"",E2162&lt;&gt;"",ISNA(MATCH(D2162&amp;"|"&amp;E2162,catClave,0))),"⚠ Subcategoría no corresponde",IF(AND(OR(P2162="Transferencia",P2162="Pago tarjeta"),K2162=""),"⚠ Falta cuenta destino",IF(AND(K2162&lt;&gt;"",P2162&lt;&gt;"Transferencia",P2162&lt;&gt;"Pago tarjeta"),"⚠ Destino solo aplica a transferencias",IF(AND(K2162&lt;&gt;"",K2162=Q2162),"⚠ Origen igual a destino",IF(AND(K2162&lt;&gt;"",ISNA(MATCH(K2162,ctaNombre,0))),"⚠ Destino no registrado",IF(AND(P2162="Pago tarjeta",AE2162&lt;&gt;"Tarjeta de crédito"),"⚠ El destino debe ser tarjeta de crédito",IF(AND(P2162="Gasto",E2162="Depósitos y retiros"),"⚠ Usa tipo Transferencia",IF(AND(P2162="Resultado trading",AD2162&lt;&gt;"Cuenta de trading"),"⚠ Usa una cuenta de trading",IF(AND(G2162&lt;=0,P2162&lt;&gt;"Ajuste",P2162&lt;&gt;"Resultado trading"),"⚠ El monto debe ser positivo","✓")))))))))))))))</f>
        <v/>
      </c>
      <c r="P2162" s="52">
        <f>IF(OR(B2162="",G2162=""),"",IF(C2162="","Gasto",C2162))</f>
        <v/>
      </c>
      <c r="Q2162" s="52">
        <f>IF(P2162="","",IF(J2162&lt;&gt;"",J2162,CuentaPred&amp;""))</f>
        <v/>
      </c>
      <c r="R2162" s="52">
        <f>IF(P2162="","",IF(ISNUMBER(I2162),I2162,TasaUSD))</f>
        <v/>
      </c>
      <c r="S2162" s="53">
        <f>IF(P2162="","",IF(H2162="USD",G2162*R2162,G2162))</f>
        <v/>
      </c>
      <c r="T2162" s="53">
        <f>IF(P2162="","",IF(H2162="USD",G2162,IF(R2162&gt;0,G2162/R2162,0)))</f>
        <v/>
      </c>
      <c r="U2162" s="53">
        <f>IF(P2162="","",IF(P2162="Gasto",S2162,IF(P2162="Reembolso",-S2162,0)))</f>
        <v/>
      </c>
      <c r="V2162" s="53">
        <f>IF(P2162="","",IF(P2162="Ingreso",S2162,0))</f>
        <v/>
      </c>
      <c r="W2162" s="53">
        <f>IF(P2162="","",IF(P2162="Resultado trading",S2162,0))</f>
        <v/>
      </c>
      <c r="X2162" s="52">
        <f>IF(OR(P2162="Gasto",P2162="Reembolso"),IF(M2162&lt;&gt;"",M2162,IFERROR(INDEX(catClasif,MATCH(D2162&amp;"|"&amp;E2162,catClave,0))&amp;"","Variable")),"")</f>
        <v/>
      </c>
      <c r="Y2162" s="52">
        <f>IF(P2162="","",IFERROR(INDEX(catGrupo,MATCH(D2162&amp;"|"&amp;E2162,catClave,0))&amp;"",""))</f>
        <v/>
      </c>
      <c r="Z2162" s="52">
        <f>IF(P2162="","",WEEKDAY(B2162,2))</f>
        <v/>
      </c>
      <c r="AA2162" s="52">
        <f>IF(P2162="","",IF(AND(P2162="Gasto",X2162="Variable",D2162&lt;&gt;catTrading,S2162&gt;0,S2162&lt;=Umbral),1,0))</f>
        <v/>
      </c>
      <c r="AB2162" s="52">
        <f>IF(OR(P2162="",Q2162=""),"",IFERROR(IF(INDEX(ctaVinc,MATCH(Q2162,ctaNombre,0))&amp;""&lt;&gt;"",INDEX(ctaVinc,MATCH(Q2162,ctaNombre,0))&amp;"",Q2162),Q2162))</f>
        <v/>
      </c>
      <c r="AC2162" s="52">
        <f>IF(OR(K2162="",AND(P2162&lt;&gt;"Transferencia",P2162&lt;&gt;"Pago tarjeta")),"",IFERROR(IF(INDEX(ctaVinc,MATCH(K2162,ctaNombre,0))&amp;""&lt;&gt;"",INDEX(ctaVinc,MATCH(K2162,ctaNombre,0))&amp;"",K2162),K2162))</f>
        <v/>
      </c>
      <c r="AD2162" s="52">
        <f>IF(AB2162="","",IFERROR(INDEX(ctaTipo,MATCH(AB2162,ctaNombre,0))&amp;"",""))</f>
        <v/>
      </c>
      <c r="AE2162" s="52">
        <f>IF(AC2162="","",IFERROR(INDEX(ctaTipo,MATCH(AC2162,ctaNombre,0))&amp;"",""))</f>
        <v/>
      </c>
      <c r="AF2162" s="53">
        <f>IF(OR(P2162="",AB2162=""),"",IF(OR(P2162="Gasto",P2162="Transferencia",P2162="Pago tarjeta"),-1,1)*IF(IFERROR(INDEX(ctaMoneda,MATCH(AB2162,ctaNombre,0))&amp;"","DOP")="USD",T2162,S2162))</f>
        <v/>
      </c>
      <c r="AG2162" s="53">
        <f>IF(AC2162="","",IF(IFERROR(INDEX(ctaMoneda,MATCH(AC2162,ctaNombre,0))&amp;"","DOP")="USD",T2162,S2162))</f>
        <v/>
      </c>
      <c r="AH2162" s="53">
        <f>IF(P2162="","",IF(AND(AD2162&lt;&gt;"",COUNTIFS(tcTipo,AD2162,tcLiq,"Sí")&gt;0),IF(OR(P2162="Gasto",P2162="Transferencia",P2162="Pago tarjeta"),-1,1)*S2162,0)+IF(AND(AE2162&lt;&gt;"",COUNTIFS(tcTipo,AE2162,tcLiq,"Sí")&gt;0),S2162,0))</f>
        <v/>
      </c>
      <c r="AI2162" s="52">
        <f>IF(OR(L2162="",P2162=""),"",IF(COUNTIFS(L$6:L2162,L2162,P$6:P2162,"?*")=1,MAX(AI$5:AI2161)+1,""))</f>
        <v/>
      </c>
    </row>
    <row r="2163">
      <c r="B2163" s="47" t="n"/>
      <c r="C2163" s="48" t="n"/>
      <c r="D2163" s="48" t="n"/>
      <c r="E2163" s="48" t="n"/>
      <c r="F2163" s="48" t="n"/>
      <c r="G2163" s="49" t="n"/>
      <c r="H2163" s="48" t="n"/>
      <c r="I2163" s="50" t="n"/>
      <c r="J2163" s="48" t="n"/>
      <c r="K2163" s="48" t="n"/>
      <c r="L2163" s="48" t="n"/>
      <c r="M2163" s="48" t="n"/>
      <c r="N2163" s="48" t="n"/>
      <c r="O2163" s="51">
        <f>IF(AND(B2163="",G2163="",C2163="",D2163="",J2163=""),"",IF(B2163="","⚠ Falta fecha",IF(G2163="","⚠ Falta monto",IF(Q2163="","⚠ Falta cuenta",IF(ISNA(MATCH(Q2163,ctaNombre,0)),"⚠ Cuenta no registrada",IF(AND(OR(P2163="Gasto",P2163="Reembolso"),D2163=""),"⚠ Falta categoría",IF(AND(D2163&lt;&gt;"",E2163&lt;&gt;"",ISNA(MATCH(D2163&amp;"|"&amp;E2163,catClave,0))),"⚠ Subcategoría no corresponde",IF(AND(OR(P2163="Transferencia",P2163="Pago tarjeta"),K2163=""),"⚠ Falta cuenta destino",IF(AND(K2163&lt;&gt;"",P2163&lt;&gt;"Transferencia",P2163&lt;&gt;"Pago tarjeta"),"⚠ Destino solo aplica a transferencias",IF(AND(K2163&lt;&gt;"",K2163=Q2163),"⚠ Origen igual a destino",IF(AND(K2163&lt;&gt;"",ISNA(MATCH(K2163,ctaNombre,0))),"⚠ Destino no registrado",IF(AND(P2163="Pago tarjeta",AE2163&lt;&gt;"Tarjeta de crédito"),"⚠ El destino debe ser tarjeta de crédito",IF(AND(P2163="Gasto",E2163="Depósitos y retiros"),"⚠ Usa tipo Transferencia",IF(AND(P2163="Resultado trading",AD2163&lt;&gt;"Cuenta de trading"),"⚠ Usa una cuenta de trading",IF(AND(G2163&lt;=0,P2163&lt;&gt;"Ajuste",P2163&lt;&gt;"Resultado trading"),"⚠ El monto debe ser positivo","✓")))))))))))))))</f>
        <v/>
      </c>
      <c r="P2163" s="52">
        <f>IF(OR(B2163="",G2163=""),"",IF(C2163="","Gasto",C2163))</f>
        <v/>
      </c>
      <c r="Q2163" s="52">
        <f>IF(P2163="","",IF(J2163&lt;&gt;"",J2163,CuentaPred&amp;""))</f>
        <v/>
      </c>
      <c r="R2163" s="52">
        <f>IF(P2163="","",IF(ISNUMBER(I2163),I2163,TasaUSD))</f>
        <v/>
      </c>
      <c r="S2163" s="53">
        <f>IF(P2163="","",IF(H2163="USD",G2163*R2163,G2163))</f>
        <v/>
      </c>
      <c r="T2163" s="53">
        <f>IF(P2163="","",IF(H2163="USD",G2163,IF(R2163&gt;0,G2163/R2163,0)))</f>
        <v/>
      </c>
      <c r="U2163" s="53">
        <f>IF(P2163="","",IF(P2163="Gasto",S2163,IF(P2163="Reembolso",-S2163,0)))</f>
        <v/>
      </c>
      <c r="V2163" s="53">
        <f>IF(P2163="","",IF(P2163="Ingreso",S2163,0))</f>
        <v/>
      </c>
      <c r="W2163" s="53">
        <f>IF(P2163="","",IF(P2163="Resultado trading",S2163,0))</f>
        <v/>
      </c>
      <c r="X2163" s="52">
        <f>IF(OR(P2163="Gasto",P2163="Reembolso"),IF(M2163&lt;&gt;"",M2163,IFERROR(INDEX(catClasif,MATCH(D2163&amp;"|"&amp;E2163,catClave,0))&amp;"","Variable")),"")</f>
        <v/>
      </c>
      <c r="Y2163" s="52">
        <f>IF(P2163="","",IFERROR(INDEX(catGrupo,MATCH(D2163&amp;"|"&amp;E2163,catClave,0))&amp;"",""))</f>
        <v/>
      </c>
      <c r="Z2163" s="52">
        <f>IF(P2163="","",WEEKDAY(B2163,2))</f>
        <v/>
      </c>
      <c r="AA2163" s="52">
        <f>IF(P2163="","",IF(AND(P2163="Gasto",X2163="Variable",D2163&lt;&gt;catTrading,S2163&gt;0,S2163&lt;=Umbral),1,0))</f>
        <v/>
      </c>
      <c r="AB2163" s="52">
        <f>IF(OR(P2163="",Q2163=""),"",IFERROR(IF(INDEX(ctaVinc,MATCH(Q2163,ctaNombre,0))&amp;""&lt;&gt;"",INDEX(ctaVinc,MATCH(Q2163,ctaNombre,0))&amp;"",Q2163),Q2163))</f>
        <v/>
      </c>
      <c r="AC2163" s="52">
        <f>IF(OR(K2163="",AND(P2163&lt;&gt;"Transferencia",P2163&lt;&gt;"Pago tarjeta")),"",IFERROR(IF(INDEX(ctaVinc,MATCH(K2163,ctaNombre,0))&amp;""&lt;&gt;"",INDEX(ctaVinc,MATCH(K2163,ctaNombre,0))&amp;"",K2163),K2163))</f>
        <v/>
      </c>
      <c r="AD2163" s="52">
        <f>IF(AB2163="","",IFERROR(INDEX(ctaTipo,MATCH(AB2163,ctaNombre,0))&amp;"",""))</f>
        <v/>
      </c>
      <c r="AE2163" s="52">
        <f>IF(AC2163="","",IFERROR(INDEX(ctaTipo,MATCH(AC2163,ctaNombre,0))&amp;"",""))</f>
        <v/>
      </c>
      <c r="AF2163" s="53">
        <f>IF(OR(P2163="",AB2163=""),"",IF(OR(P2163="Gasto",P2163="Transferencia",P2163="Pago tarjeta"),-1,1)*IF(IFERROR(INDEX(ctaMoneda,MATCH(AB2163,ctaNombre,0))&amp;"","DOP")="USD",T2163,S2163))</f>
        <v/>
      </c>
      <c r="AG2163" s="53">
        <f>IF(AC2163="","",IF(IFERROR(INDEX(ctaMoneda,MATCH(AC2163,ctaNombre,0))&amp;"","DOP")="USD",T2163,S2163))</f>
        <v/>
      </c>
      <c r="AH2163" s="53">
        <f>IF(P2163="","",IF(AND(AD2163&lt;&gt;"",COUNTIFS(tcTipo,AD2163,tcLiq,"Sí")&gt;0),IF(OR(P2163="Gasto",P2163="Transferencia",P2163="Pago tarjeta"),-1,1)*S2163,0)+IF(AND(AE2163&lt;&gt;"",COUNTIFS(tcTipo,AE2163,tcLiq,"Sí")&gt;0),S2163,0))</f>
        <v/>
      </c>
      <c r="AI2163" s="52">
        <f>IF(OR(L2163="",P2163=""),"",IF(COUNTIFS(L$6:L2163,L2163,P$6:P2163,"?*")=1,MAX(AI$5:AI2162)+1,""))</f>
        <v/>
      </c>
    </row>
    <row r="2164">
      <c r="B2164" s="47" t="n"/>
      <c r="C2164" s="48" t="n"/>
      <c r="D2164" s="48" t="n"/>
      <c r="E2164" s="48" t="n"/>
      <c r="F2164" s="48" t="n"/>
      <c r="G2164" s="49" t="n"/>
      <c r="H2164" s="48" t="n"/>
      <c r="I2164" s="50" t="n"/>
      <c r="J2164" s="48" t="n"/>
      <c r="K2164" s="48" t="n"/>
      <c r="L2164" s="48" t="n"/>
      <c r="M2164" s="48" t="n"/>
      <c r="N2164" s="48" t="n"/>
      <c r="O2164" s="51">
        <f>IF(AND(B2164="",G2164="",C2164="",D2164="",J2164=""),"",IF(B2164="","⚠ Falta fecha",IF(G2164="","⚠ Falta monto",IF(Q2164="","⚠ Falta cuenta",IF(ISNA(MATCH(Q2164,ctaNombre,0)),"⚠ Cuenta no registrada",IF(AND(OR(P2164="Gasto",P2164="Reembolso"),D2164=""),"⚠ Falta categoría",IF(AND(D2164&lt;&gt;"",E2164&lt;&gt;"",ISNA(MATCH(D2164&amp;"|"&amp;E2164,catClave,0))),"⚠ Subcategoría no corresponde",IF(AND(OR(P2164="Transferencia",P2164="Pago tarjeta"),K2164=""),"⚠ Falta cuenta destino",IF(AND(K2164&lt;&gt;"",P2164&lt;&gt;"Transferencia",P2164&lt;&gt;"Pago tarjeta"),"⚠ Destino solo aplica a transferencias",IF(AND(K2164&lt;&gt;"",K2164=Q2164),"⚠ Origen igual a destino",IF(AND(K2164&lt;&gt;"",ISNA(MATCH(K2164,ctaNombre,0))),"⚠ Destino no registrado",IF(AND(P2164="Pago tarjeta",AE2164&lt;&gt;"Tarjeta de crédito"),"⚠ El destino debe ser tarjeta de crédito",IF(AND(P2164="Gasto",E2164="Depósitos y retiros"),"⚠ Usa tipo Transferencia",IF(AND(P2164="Resultado trading",AD2164&lt;&gt;"Cuenta de trading"),"⚠ Usa una cuenta de trading",IF(AND(G2164&lt;=0,P2164&lt;&gt;"Ajuste",P2164&lt;&gt;"Resultado trading"),"⚠ El monto debe ser positivo","✓")))))))))))))))</f>
        <v/>
      </c>
      <c r="P2164" s="52">
        <f>IF(OR(B2164="",G2164=""),"",IF(C2164="","Gasto",C2164))</f>
        <v/>
      </c>
      <c r="Q2164" s="52">
        <f>IF(P2164="","",IF(J2164&lt;&gt;"",J2164,CuentaPred&amp;""))</f>
        <v/>
      </c>
      <c r="R2164" s="52">
        <f>IF(P2164="","",IF(ISNUMBER(I2164),I2164,TasaUSD))</f>
        <v/>
      </c>
      <c r="S2164" s="53">
        <f>IF(P2164="","",IF(H2164="USD",G2164*R2164,G2164))</f>
        <v/>
      </c>
      <c r="T2164" s="53">
        <f>IF(P2164="","",IF(H2164="USD",G2164,IF(R2164&gt;0,G2164/R2164,0)))</f>
        <v/>
      </c>
      <c r="U2164" s="53">
        <f>IF(P2164="","",IF(P2164="Gasto",S2164,IF(P2164="Reembolso",-S2164,0)))</f>
        <v/>
      </c>
      <c r="V2164" s="53">
        <f>IF(P2164="","",IF(P2164="Ingreso",S2164,0))</f>
        <v/>
      </c>
      <c r="W2164" s="53">
        <f>IF(P2164="","",IF(P2164="Resultado trading",S2164,0))</f>
        <v/>
      </c>
      <c r="X2164" s="52">
        <f>IF(OR(P2164="Gasto",P2164="Reembolso"),IF(M2164&lt;&gt;"",M2164,IFERROR(INDEX(catClasif,MATCH(D2164&amp;"|"&amp;E2164,catClave,0))&amp;"","Variable")),"")</f>
        <v/>
      </c>
      <c r="Y2164" s="52">
        <f>IF(P2164="","",IFERROR(INDEX(catGrupo,MATCH(D2164&amp;"|"&amp;E2164,catClave,0))&amp;"",""))</f>
        <v/>
      </c>
      <c r="Z2164" s="52">
        <f>IF(P2164="","",WEEKDAY(B2164,2))</f>
        <v/>
      </c>
      <c r="AA2164" s="52">
        <f>IF(P2164="","",IF(AND(P2164="Gasto",X2164="Variable",D2164&lt;&gt;catTrading,S2164&gt;0,S2164&lt;=Umbral),1,0))</f>
        <v/>
      </c>
      <c r="AB2164" s="52">
        <f>IF(OR(P2164="",Q2164=""),"",IFERROR(IF(INDEX(ctaVinc,MATCH(Q2164,ctaNombre,0))&amp;""&lt;&gt;"",INDEX(ctaVinc,MATCH(Q2164,ctaNombre,0))&amp;"",Q2164),Q2164))</f>
        <v/>
      </c>
      <c r="AC2164" s="52">
        <f>IF(OR(K2164="",AND(P2164&lt;&gt;"Transferencia",P2164&lt;&gt;"Pago tarjeta")),"",IFERROR(IF(INDEX(ctaVinc,MATCH(K2164,ctaNombre,0))&amp;""&lt;&gt;"",INDEX(ctaVinc,MATCH(K2164,ctaNombre,0))&amp;"",K2164),K2164))</f>
        <v/>
      </c>
      <c r="AD2164" s="52">
        <f>IF(AB2164="","",IFERROR(INDEX(ctaTipo,MATCH(AB2164,ctaNombre,0))&amp;"",""))</f>
        <v/>
      </c>
      <c r="AE2164" s="52">
        <f>IF(AC2164="","",IFERROR(INDEX(ctaTipo,MATCH(AC2164,ctaNombre,0))&amp;"",""))</f>
        <v/>
      </c>
      <c r="AF2164" s="53">
        <f>IF(OR(P2164="",AB2164=""),"",IF(OR(P2164="Gasto",P2164="Transferencia",P2164="Pago tarjeta"),-1,1)*IF(IFERROR(INDEX(ctaMoneda,MATCH(AB2164,ctaNombre,0))&amp;"","DOP")="USD",T2164,S2164))</f>
        <v/>
      </c>
      <c r="AG2164" s="53">
        <f>IF(AC2164="","",IF(IFERROR(INDEX(ctaMoneda,MATCH(AC2164,ctaNombre,0))&amp;"","DOP")="USD",T2164,S2164))</f>
        <v/>
      </c>
      <c r="AH2164" s="53">
        <f>IF(P2164="","",IF(AND(AD2164&lt;&gt;"",COUNTIFS(tcTipo,AD2164,tcLiq,"Sí")&gt;0),IF(OR(P2164="Gasto",P2164="Transferencia",P2164="Pago tarjeta"),-1,1)*S2164,0)+IF(AND(AE2164&lt;&gt;"",COUNTIFS(tcTipo,AE2164,tcLiq,"Sí")&gt;0),S2164,0))</f>
        <v/>
      </c>
      <c r="AI2164" s="52">
        <f>IF(OR(L2164="",P2164=""),"",IF(COUNTIFS(L$6:L2164,L2164,P$6:P2164,"?*")=1,MAX(AI$5:AI2163)+1,""))</f>
        <v/>
      </c>
    </row>
    <row r="2165">
      <c r="B2165" s="47" t="n"/>
      <c r="C2165" s="48" t="n"/>
      <c r="D2165" s="48" t="n"/>
      <c r="E2165" s="48" t="n"/>
      <c r="F2165" s="48" t="n"/>
      <c r="G2165" s="49" t="n"/>
      <c r="H2165" s="48" t="n"/>
      <c r="I2165" s="50" t="n"/>
      <c r="J2165" s="48" t="n"/>
      <c r="K2165" s="48" t="n"/>
      <c r="L2165" s="48" t="n"/>
      <c r="M2165" s="48" t="n"/>
      <c r="N2165" s="48" t="n"/>
      <c r="O2165" s="51">
        <f>IF(AND(B2165="",G2165="",C2165="",D2165="",J2165=""),"",IF(B2165="","⚠ Falta fecha",IF(G2165="","⚠ Falta monto",IF(Q2165="","⚠ Falta cuenta",IF(ISNA(MATCH(Q2165,ctaNombre,0)),"⚠ Cuenta no registrada",IF(AND(OR(P2165="Gasto",P2165="Reembolso"),D2165=""),"⚠ Falta categoría",IF(AND(D2165&lt;&gt;"",E2165&lt;&gt;"",ISNA(MATCH(D2165&amp;"|"&amp;E2165,catClave,0))),"⚠ Subcategoría no corresponde",IF(AND(OR(P2165="Transferencia",P2165="Pago tarjeta"),K2165=""),"⚠ Falta cuenta destino",IF(AND(K2165&lt;&gt;"",P2165&lt;&gt;"Transferencia",P2165&lt;&gt;"Pago tarjeta"),"⚠ Destino solo aplica a transferencias",IF(AND(K2165&lt;&gt;"",K2165=Q2165),"⚠ Origen igual a destino",IF(AND(K2165&lt;&gt;"",ISNA(MATCH(K2165,ctaNombre,0))),"⚠ Destino no registrado",IF(AND(P2165="Pago tarjeta",AE2165&lt;&gt;"Tarjeta de crédito"),"⚠ El destino debe ser tarjeta de crédito",IF(AND(P2165="Gasto",E2165="Depósitos y retiros"),"⚠ Usa tipo Transferencia",IF(AND(P2165="Resultado trading",AD2165&lt;&gt;"Cuenta de trading"),"⚠ Usa una cuenta de trading",IF(AND(G2165&lt;=0,P2165&lt;&gt;"Ajuste",P2165&lt;&gt;"Resultado trading"),"⚠ El monto debe ser positivo","✓")))))))))))))))</f>
        <v/>
      </c>
      <c r="P2165" s="52">
        <f>IF(OR(B2165="",G2165=""),"",IF(C2165="","Gasto",C2165))</f>
        <v/>
      </c>
      <c r="Q2165" s="52">
        <f>IF(P2165="","",IF(J2165&lt;&gt;"",J2165,CuentaPred&amp;""))</f>
        <v/>
      </c>
      <c r="R2165" s="52">
        <f>IF(P2165="","",IF(ISNUMBER(I2165),I2165,TasaUSD))</f>
        <v/>
      </c>
      <c r="S2165" s="53">
        <f>IF(P2165="","",IF(H2165="USD",G2165*R2165,G2165))</f>
        <v/>
      </c>
      <c r="T2165" s="53">
        <f>IF(P2165="","",IF(H2165="USD",G2165,IF(R2165&gt;0,G2165/R2165,0)))</f>
        <v/>
      </c>
      <c r="U2165" s="53">
        <f>IF(P2165="","",IF(P2165="Gasto",S2165,IF(P2165="Reembolso",-S2165,0)))</f>
        <v/>
      </c>
      <c r="V2165" s="53">
        <f>IF(P2165="","",IF(P2165="Ingreso",S2165,0))</f>
        <v/>
      </c>
      <c r="W2165" s="53">
        <f>IF(P2165="","",IF(P2165="Resultado trading",S2165,0))</f>
        <v/>
      </c>
      <c r="X2165" s="52">
        <f>IF(OR(P2165="Gasto",P2165="Reembolso"),IF(M2165&lt;&gt;"",M2165,IFERROR(INDEX(catClasif,MATCH(D2165&amp;"|"&amp;E2165,catClave,0))&amp;"","Variable")),"")</f>
        <v/>
      </c>
      <c r="Y2165" s="52">
        <f>IF(P2165="","",IFERROR(INDEX(catGrupo,MATCH(D2165&amp;"|"&amp;E2165,catClave,0))&amp;"",""))</f>
        <v/>
      </c>
      <c r="Z2165" s="52">
        <f>IF(P2165="","",WEEKDAY(B2165,2))</f>
        <v/>
      </c>
      <c r="AA2165" s="52">
        <f>IF(P2165="","",IF(AND(P2165="Gasto",X2165="Variable",D2165&lt;&gt;catTrading,S2165&gt;0,S2165&lt;=Umbral),1,0))</f>
        <v/>
      </c>
      <c r="AB2165" s="52">
        <f>IF(OR(P2165="",Q2165=""),"",IFERROR(IF(INDEX(ctaVinc,MATCH(Q2165,ctaNombre,0))&amp;""&lt;&gt;"",INDEX(ctaVinc,MATCH(Q2165,ctaNombre,0))&amp;"",Q2165),Q2165))</f>
        <v/>
      </c>
      <c r="AC2165" s="52">
        <f>IF(OR(K2165="",AND(P2165&lt;&gt;"Transferencia",P2165&lt;&gt;"Pago tarjeta")),"",IFERROR(IF(INDEX(ctaVinc,MATCH(K2165,ctaNombre,0))&amp;""&lt;&gt;"",INDEX(ctaVinc,MATCH(K2165,ctaNombre,0))&amp;"",K2165),K2165))</f>
        <v/>
      </c>
      <c r="AD2165" s="52">
        <f>IF(AB2165="","",IFERROR(INDEX(ctaTipo,MATCH(AB2165,ctaNombre,0))&amp;"",""))</f>
        <v/>
      </c>
      <c r="AE2165" s="52">
        <f>IF(AC2165="","",IFERROR(INDEX(ctaTipo,MATCH(AC2165,ctaNombre,0))&amp;"",""))</f>
        <v/>
      </c>
      <c r="AF2165" s="53">
        <f>IF(OR(P2165="",AB2165=""),"",IF(OR(P2165="Gasto",P2165="Transferencia",P2165="Pago tarjeta"),-1,1)*IF(IFERROR(INDEX(ctaMoneda,MATCH(AB2165,ctaNombre,0))&amp;"","DOP")="USD",T2165,S2165))</f>
        <v/>
      </c>
      <c r="AG2165" s="53">
        <f>IF(AC2165="","",IF(IFERROR(INDEX(ctaMoneda,MATCH(AC2165,ctaNombre,0))&amp;"","DOP")="USD",T2165,S2165))</f>
        <v/>
      </c>
      <c r="AH2165" s="53">
        <f>IF(P2165="","",IF(AND(AD2165&lt;&gt;"",COUNTIFS(tcTipo,AD2165,tcLiq,"Sí")&gt;0),IF(OR(P2165="Gasto",P2165="Transferencia",P2165="Pago tarjeta"),-1,1)*S2165,0)+IF(AND(AE2165&lt;&gt;"",COUNTIFS(tcTipo,AE2165,tcLiq,"Sí")&gt;0),S2165,0))</f>
        <v/>
      </c>
      <c r="AI2165" s="52">
        <f>IF(OR(L2165="",P2165=""),"",IF(COUNTIFS(L$6:L2165,L2165,P$6:P2165,"?*")=1,MAX(AI$5:AI2164)+1,""))</f>
        <v/>
      </c>
    </row>
    <row r="2166">
      <c r="B2166" s="47" t="n"/>
      <c r="C2166" s="48" t="n"/>
      <c r="D2166" s="48" t="n"/>
      <c r="E2166" s="48" t="n"/>
      <c r="F2166" s="48" t="n"/>
      <c r="G2166" s="49" t="n"/>
      <c r="H2166" s="48" t="n"/>
      <c r="I2166" s="50" t="n"/>
      <c r="J2166" s="48" t="n"/>
      <c r="K2166" s="48" t="n"/>
      <c r="L2166" s="48" t="n"/>
      <c r="M2166" s="48" t="n"/>
      <c r="N2166" s="48" t="n"/>
      <c r="O2166" s="51">
        <f>IF(AND(B2166="",G2166="",C2166="",D2166="",J2166=""),"",IF(B2166="","⚠ Falta fecha",IF(G2166="","⚠ Falta monto",IF(Q2166="","⚠ Falta cuenta",IF(ISNA(MATCH(Q2166,ctaNombre,0)),"⚠ Cuenta no registrada",IF(AND(OR(P2166="Gasto",P2166="Reembolso"),D2166=""),"⚠ Falta categoría",IF(AND(D2166&lt;&gt;"",E2166&lt;&gt;"",ISNA(MATCH(D2166&amp;"|"&amp;E2166,catClave,0))),"⚠ Subcategoría no corresponde",IF(AND(OR(P2166="Transferencia",P2166="Pago tarjeta"),K2166=""),"⚠ Falta cuenta destino",IF(AND(K2166&lt;&gt;"",P2166&lt;&gt;"Transferencia",P2166&lt;&gt;"Pago tarjeta"),"⚠ Destino solo aplica a transferencias",IF(AND(K2166&lt;&gt;"",K2166=Q2166),"⚠ Origen igual a destino",IF(AND(K2166&lt;&gt;"",ISNA(MATCH(K2166,ctaNombre,0))),"⚠ Destino no registrado",IF(AND(P2166="Pago tarjeta",AE2166&lt;&gt;"Tarjeta de crédito"),"⚠ El destino debe ser tarjeta de crédito",IF(AND(P2166="Gasto",E2166="Depósitos y retiros"),"⚠ Usa tipo Transferencia",IF(AND(P2166="Resultado trading",AD2166&lt;&gt;"Cuenta de trading"),"⚠ Usa una cuenta de trading",IF(AND(G2166&lt;=0,P2166&lt;&gt;"Ajuste",P2166&lt;&gt;"Resultado trading"),"⚠ El monto debe ser positivo","✓")))))))))))))))</f>
        <v/>
      </c>
      <c r="P2166" s="52">
        <f>IF(OR(B2166="",G2166=""),"",IF(C2166="","Gasto",C2166))</f>
        <v/>
      </c>
      <c r="Q2166" s="52">
        <f>IF(P2166="","",IF(J2166&lt;&gt;"",J2166,CuentaPred&amp;""))</f>
        <v/>
      </c>
      <c r="R2166" s="52">
        <f>IF(P2166="","",IF(ISNUMBER(I2166),I2166,TasaUSD))</f>
        <v/>
      </c>
      <c r="S2166" s="53">
        <f>IF(P2166="","",IF(H2166="USD",G2166*R2166,G2166))</f>
        <v/>
      </c>
      <c r="T2166" s="53">
        <f>IF(P2166="","",IF(H2166="USD",G2166,IF(R2166&gt;0,G2166/R2166,0)))</f>
        <v/>
      </c>
      <c r="U2166" s="53">
        <f>IF(P2166="","",IF(P2166="Gasto",S2166,IF(P2166="Reembolso",-S2166,0)))</f>
        <v/>
      </c>
      <c r="V2166" s="53">
        <f>IF(P2166="","",IF(P2166="Ingreso",S2166,0))</f>
        <v/>
      </c>
      <c r="W2166" s="53">
        <f>IF(P2166="","",IF(P2166="Resultado trading",S2166,0))</f>
        <v/>
      </c>
      <c r="X2166" s="52">
        <f>IF(OR(P2166="Gasto",P2166="Reembolso"),IF(M2166&lt;&gt;"",M2166,IFERROR(INDEX(catClasif,MATCH(D2166&amp;"|"&amp;E2166,catClave,0))&amp;"","Variable")),"")</f>
        <v/>
      </c>
      <c r="Y2166" s="52">
        <f>IF(P2166="","",IFERROR(INDEX(catGrupo,MATCH(D2166&amp;"|"&amp;E2166,catClave,0))&amp;"",""))</f>
        <v/>
      </c>
      <c r="Z2166" s="52">
        <f>IF(P2166="","",WEEKDAY(B2166,2))</f>
        <v/>
      </c>
      <c r="AA2166" s="52">
        <f>IF(P2166="","",IF(AND(P2166="Gasto",X2166="Variable",D2166&lt;&gt;catTrading,S2166&gt;0,S2166&lt;=Umbral),1,0))</f>
        <v/>
      </c>
      <c r="AB2166" s="52">
        <f>IF(OR(P2166="",Q2166=""),"",IFERROR(IF(INDEX(ctaVinc,MATCH(Q2166,ctaNombre,0))&amp;""&lt;&gt;"",INDEX(ctaVinc,MATCH(Q2166,ctaNombre,0))&amp;"",Q2166),Q2166))</f>
        <v/>
      </c>
      <c r="AC2166" s="52">
        <f>IF(OR(K2166="",AND(P2166&lt;&gt;"Transferencia",P2166&lt;&gt;"Pago tarjeta")),"",IFERROR(IF(INDEX(ctaVinc,MATCH(K2166,ctaNombre,0))&amp;""&lt;&gt;"",INDEX(ctaVinc,MATCH(K2166,ctaNombre,0))&amp;"",K2166),K2166))</f>
        <v/>
      </c>
      <c r="AD2166" s="52">
        <f>IF(AB2166="","",IFERROR(INDEX(ctaTipo,MATCH(AB2166,ctaNombre,0))&amp;"",""))</f>
        <v/>
      </c>
      <c r="AE2166" s="52">
        <f>IF(AC2166="","",IFERROR(INDEX(ctaTipo,MATCH(AC2166,ctaNombre,0))&amp;"",""))</f>
        <v/>
      </c>
      <c r="AF2166" s="53">
        <f>IF(OR(P2166="",AB2166=""),"",IF(OR(P2166="Gasto",P2166="Transferencia",P2166="Pago tarjeta"),-1,1)*IF(IFERROR(INDEX(ctaMoneda,MATCH(AB2166,ctaNombre,0))&amp;"","DOP")="USD",T2166,S2166))</f>
        <v/>
      </c>
      <c r="AG2166" s="53">
        <f>IF(AC2166="","",IF(IFERROR(INDEX(ctaMoneda,MATCH(AC2166,ctaNombre,0))&amp;"","DOP")="USD",T2166,S2166))</f>
        <v/>
      </c>
      <c r="AH2166" s="53">
        <f>IF(P2166="","",IF(AND(AD2166&lt;&gt;"",COUNTIFS(tcTipo,AD2166,tcLiq,"Sí")&gt;0),IF(OR(P2166="Gasto",P2166="Transferencia",P2166="Pago tarjeta"),-1,1)*S2166,0)+IF(AND(AE2166&lt;&gt;"",COUNTIFS(tcTipo,AE2166,tcLiq,"Sí")&gt;0),S2166,0))</f>
        <v/>
      </c>
      <c r="AI2166" s="52">
        <f>IF(OR(L2166="",P2166=""),"",IF(COUNTIFS(L$6:L2166,L2166,P$6:P2166,"?*")=1,MAX(AI$5:AI2165)+1,""))</f>
        <v/>
      </c>
    </row>
    <row r="2167">
      <c r="B2167" s="47" t="n"/>
      <c r="C2167" s="48" t="n"/>
      <c r="D2167" s="48" t="n"/>
      <c r="E2167" s="48" t="n"/>
      <c r="F2167" s="48" t="n"/>
      <c r="G2167" s="49" t="n"/>
      <c r="H2167" s="48" t="n"/>
      <c r="I2167" s="50" t="n"/>
      <c r="J2167" s="48" t="n"/>
      <c r="K2167" s="48" t="n"/>
      <c r="L2167" s="48" t="n"/>
      <c r="M2167" s="48" t="n"/>
      <c r="N2167" s="48" t="n"/>
      <c r="O2167" s="51">
        <f>IF(AND(B2167="",G2167="",C2167="",D2167="",J2167=""),"",IF(B2167="","⚠ Falta fecha",IF(G2167="","⚠ Falta monto",IF(Q2167="","⚠ Falta cuenta",IF(ISNA(MATCH(Q2167,ctaNombre,0)),"⚠ Cuenta no registrada",IF(AND(OR(P2167="Gasto",P2167="Reembolso"),D2167=""),"⚠ Falta categoría",IF(AND(D2167&lt;&gt;"",E2167&lt;&gt;"",ISNA(MATCH(D2167&amp;"|"&amp;E2167,catClave,0))),"⚠ Subcategoría no corresponde",IF(AND(OR(P2167="Transferencia",P2167="Pago tarjeta"),K2167=""),"⚠ Falta cuenta destino",IF(AND(K2167&lt;&gt;"",P2167&lt;&gt;"Transferencia",P2167&lt;&gt;"Pago tarjeta"),"⚠ Destino solo aplica a transferencias",IF(AND(K2167&lt;&gt;"",K2167=Q2167),"⚠ Origen igual a destino",IF(AND(K2167&lt;&gt;"",ISNA(MATCH(K2167,ctaNombre,0))),"⚠ Destino no registrado",IF(AND(P2167="Pago tarjeta",AE2167&lt;&gt;"Tarjeta de crédito"),"⚠ El destino debe ser tarjeta de crédito",IF(AND(P2167="Gasto",E2167="Depósitos y retiros"),"⚠ Usa tipo Transferencia",IF(AND(P2167="Resultado trading",AD2167&lt;&gt;"Cuenta de trading"),"⚠ Usa una cuenta de trading",IF(AND(G2167&lt;=0,P2167&lt;&gt;"Ajuste",P2167&lt;&gt;"Resultado trading"),"⚠ El monto debe ser positivo","✓")))))))))))))))</f>
        <v/>
      </c>
      <c r="P2167" s="52">
        <f>IF(OR(B2167="",G2167=""),"",IF(C2167="","Gasto",C2167))</f>
        <v/>
      </c>
      <c r="Q2167" s="52">
        <f>IF(P2167="","",IF(J2167&lt;&gt;"",J2167,CuentaPred&amp;""))</f>
        <v/>
      </c>
      <c r="R2167" s="52">
        <f>IF(P2167="","",IF(ISNUMBER(I2167),I2167,TasaUSD))</f>
        <v/>
      </c>
      <c r="S2167" s="53">
        <f>IF(P2167="","",IF(H2167="USD",G2167*R2167,G2167))</f>
        <v/>
      </c>
      <c r="T2167" s="53">
        <f>IF(P2167="","",IF(H2167="USD",G2167,IF(R2167&gt;0,G2167/R2167,0)))</f>
        <v/>
      </c>
      <c r="U2167" s="53">
        <f>IF(P2167="","",IF(P2167="Gasto",S2167,IF(P2167="Reembolso",-S2167,0)))</f>
        <v/>
      </c>
      <c r="V2167" s="53">
        <f>IF(P2167="","",IF(P2167="Ingreso",S2167,0))</f>
        <v/>
      </c>
      <c r="W2167" s="53">
        <f>IF(P2167="","",IF(P2167="Resultado trading",S2167,0))</f>
        <v/>
      </c>
      <c r="X2167" s="52">
        <f>IF(OR(P2167="Gasto",P2167="Reembolso"),IF(M2167&lt;&gt;"",M2167,IFERROR(INDEX(catClasif,MATCH(D2167&amp;"|"&amp;E2167,catClave,0))&amp;"","Variable")),"")</f>
        <v/>
      </c>
      <c r="Y2167" s="52">
        <f>IF(P2167="","",IFERROR(INDEX(catGrupo,MATCH(D2167&amp;"|"&amp;E2167,catClave,0))&amp;"",""))</f>
        <v/>
      </c>
      <c r="Z2167" s="52">
        <f>IF(P2167="","",WEEKDAY(B2167,2))</f>
        <v/>
      </c>
      <c r="AA2167" s="52">
        <f>IF(P2167="","",IF(AND(P2167="Gasto",X2167="Variable",D2167&lt;&gt;catTrading,S2167&gt;0,S2167&lt;=Umbral),1,0))</f>
        <v/>
      </c>
      <c r="AB2167" s="52">
        <f>IF(OR(P2167="",Q2167=""),"",IFERROR(IF(INDEX(ctaVinc,MATCH(Q2167,ctaNombre,0))&amp;""&lt;&gt;"",INDEX(ctaVinc,MATCH(Q2167,ctaNombre,0))&amp;"",Q2167),Q2167))</f>
        <v/>
      </c>
      <c r="AC2167" s="52">
        <f>IF(OR(K2167="",AND(P2167&lt;&gt;"Transferencia",P2167&lt;&gt;"Pago tarjeta")),"",IFERROR(IF(INDEX(ctaVinc,MATCH(K2167,ctaNombre,0))&amp;""&lt;&gt;"",INDEX(ctaVinc,MATCH(K2167,ctaNombre,0))&amp;"",K2167),K2167))</f>
        <v/>
      </c>
      <c r="AD2167" s="52">
        <f>IF(AB2167="","",IFERROR(INDEX(ctaTipo,MATCH(AB2167,ctaNombre,0))&amp;"",""))</f>
        <v/>
      </c>
      <c r="AE2167" s="52">
        <f>IF(AC2167="","",IFERROR(INDEX(ctaTipo,MATCH(AC2167,ctaNombre,0))&amp;"",""))</f>
        <v/>
      </c>
      <c r="AF2167" s="53">
        <f>IF(OR(P2167="",AB2167=""),"",IF(OR(P2167="Gasto",P2167="Transferencia",P2167="Pago tarjeta"),-1,1)*IF(IFERROR(INDEX(ctaMoneda,MATCH(AB2167,ctaNombre,0))&amp;"","DOP")="USD",T2167,S2167))</f>
        <v/>
      </c>
      <c r="AG2167" s="53">
        <f>IF(AC2167="","",IF(IFERROR(INDEX(ctaMoneda,MATCH(AC2167,ctaNombre,0))&amp;"","DOP")="USD",T2167,S2167))</f>
        <v/>
      </c>
      <c r="AH2167" s="53">
        <f>IF(P2167="","",IF(AND(AD2167&lt;&gt;"",COUNTIFS(tcTipo,AD2167,tcLiq,"Sí")&gt;0),IF(OR(P2167="Gasto",P2167="Transferencia",P2167="Pago tarjeta"),-1,1)*S2167,0)+IF(AND(AE2167&lt;&gt;"",COUNTIFS(tcTipo,AE2167,tcLiq,"Sí")&gt;0),S2167,0))</f>
        <v/>
      </c>
      <c r="AI2167" s="52">
        <f>IF(OR(L2167="",P2167=""),"",IF(COUNTIFS(L$6:L2167,L2167,P$6:P2167,"?*")=1,MAX(AI$5:AI2166)+1,""))</f>
        <v/>
      </c>
    </row>
    <row r="2168">
      <c r="B2168" s="47" t="n"/>
      <c r="C2168" s="48" t="n"/>
      <c r="D2168" s="48" t="n"/>
      <c r="E2168" s="48" t="n"/>
      <c r="F2168" s="48" t="n"/>
      <c r="G2168" s="49" t="n"/>
      <c r="H2168" s="48" t="n"/>
      <c r="I2168" s="50" t="n"/>
      <c r="J2168" s="48" t="n"/>
      <c r="K2168" s="48" t="n"/>
      <c r="L2168" s="48" t="n"/>
      <c r="M2168" s="48" t="n"/>
      <c r="N2168" s="48" t="n"/>
      <c r="O2168" s="51">
        <f>IF(AND(B2168="",G2168="",C2168="",D2168="",J2168=""),"",IF(B2168="","⚠ Falta fecha",IF(G2168="","⚠ Falta monto",IF(Q2168="","⚠ Falta cuenta",IF(ISNA(MATCH(Q2168,ctaNombre,0)),"⚠ Cuenta no registrada",IF(AND(OR(P2168="Gasto",P2168="Reembolso"),D2168=""),"⚠ Falta categoría",IF(AND(D2168&lt;&gt;"",E2168&lt;&gt;"",ISNA(MATCH(D2168&amp;"|"&amp;E2168,catClave,0))),"⚠ Subcategoría no corresponde",IF(AND(OR(P2168="Transferencia",P2168="Pago tarjeta"),K2168=""),"⚠ Falta cuenta destino",IF(AND(K2168&lt;&gt;"",P2168&lt;&gt;"Transferencia",P2168&lt;&gt;"Pago tarjeta"),"⚠ Destino solo aplica a transferencias",IF(AND(K2168&lt;&gt;"",K2168=Q2168),"⚠ Origen igual a destino",IF(AND(K2168&lt;&gt;"",ISNA(MATCH(K2168,ctaNombre,0))),"⚠ Destino no registrado",IF(AND(P2168="Pago tarjeta",AE2168&lt;&gt;"Tarjeta de crédito"),"⚠ El destino debe ser tarjeta de crédito",IF(AND(P2168="Gasto",E2168="Depósitos y retiros"),"⚠ Usa tipo Transferencia",IF(AND(P2168="Resultado trading",AD2168&lt;&gt;"Cuenta de trading"),"⚠ Usa una cuenta de trading",IF(AND(G2168&lt;=0,P2168&lt;&gt;"Ajuste",P2168&lt;&gt;"Resultado trading"),"⚠ El monto debe ser positivo","✓")))))))))))))))</f>
        <v/>
      </c>
      <c r="P2168" s="52">
        <f>IF(OR(B2168="",G2168=""),"",IF(C2168="","Gasto",C2168))</f>
        <v/>
      </c>
      <c r="Q2168" s="52">
        <f>IF(P2168="","",IF(J2168&lt;&gt;"",J2168,CuentaPred&amp;""))</f>
        <v/>
      </c>
      <c r="R2168" s="52">
        <f>IF(P2168="","",IF(ISNUMBER(I2168),I2168,TasaUSD))</f>
        <v/>
      </c>
      <c r="S2168" s="53">
        <f>IF(P2168="","",IF(H2168="USD",G2168*R2168,G2168))</f>
        <v/>
      </c>
      <c r="T2168" s="53">
        <f>IF(P2168="","",IF(H2168="USD",G2168,IF(R2168&gt;0,G2168/R2168,0)))</f>
        <v/>
      </c>
      <c r="U2168" s="53">
        <f>IF(P2168="","",IF(P2168="Gasto",S2168,IF(P2168="Reembolso",-S2168,0)))</f>
        <v/>
      </c>
      <c r="V2168" s="53">
        <f>IF(P2168="","",IF(P2168="Ingreso",S2168,0))</f>
        <v/>
      </c>
      <c r="W2168" s="53">
        <f>IF(P2168="","",IF(P2168="Resultado trading",S2168,0))</f>
        <v/>
      </c>
      <c r="X2168" s="52">
        <f>IF(OR(P2168="Gasto",P2168="Reembolso"),IF(M2168&lt;&gt;"",M2168,IFERROR(INDEX(catClasif,MATCH(D2168&amp;"|"&amp;E2168,catClave,0))&amp;"","Variable")),"")</f>
        <v/>
      </c>
      <c r="Y2168" s="52">
        <f>IF(P2168="","",IFERROR(INDEX(catGrupo,MATCH(D2168&amp;"|"&amp;E2168,catClave,0))&amp;"",""))</f>
        <v/>
      </c>
      <c r="Z2168" s="52">
        <f>IF(P2168="","",WEEKDAY(B2168,2))</f>
        <v/>
      </c>
      <c r="AA2168" s="52">
        <f>IF(P2168="","",IF(AND(P2168="Gasto",X2168="Variable",D2168&lt;&gt;catTrading,S2168&gt;0,S2168&lt;=Umbral),1,0))</f>
        <v/>
      </c>
      <c r="AB2168" s="52">
        <f>IF(OR(P2168="",Q2168=""),"",IFERROR(IF(INDEX(ctaVinc,MATCH(Q2168,ctaNombre,0))&amp;""&lt;&gt;"",INDEX(ctaVinc,MATCH(Q2168,ctaNombre,0))&amp;"",Q2168),Q2168))</f>
        <v/>
      </c>
      <c r="AC2168" s="52">
        <f>IF(OR(K2168="",AND(P2168&lt;&gt;"Transferencia",P2168&lt;&gt;"Pago tarjeta")),"",IFERROR(IF(INDEX(ctaVinc,MATCH(K2168,ctaNombre,0))&amp;""&lt;&gt;"",INDEX(ctaVinc,MATCH(K2168,ctaNombre,0))&amp;"",K2168),K2168))</f>
        <v/>
      </c>
      <c r="AD2168" s="52">
        <f>IF(AB2168="","",IFERROR(INDEX(ctaTipo,MATCH(AB2168,ctaNombre,0))&amp;"",""))</f>
        <v/>
      </c>
      <c r="AE2168" s="52">
        <f>IF(AC2168="","",IFERROR(INDEX(ctaTipo,MATCH(AC2168,ctaNombre,0))&amp;"",""))</f>
        <v/>
      </c>
      <c r="AF2168" s="53">
        <f>IF(OR(P2168="",AB2168=""),"",IF(OR(P2168="Gasto",P2168="Transferencia",P2168="Pago tarjeta"),-1,1)*IF(IFERROR(INDEX(ctaMoneda,MATCH(AB2168,ctaNombre,0))&amp;"","DOP")="USD",T2168,S2168))</f>
        <v/>
      </c>
      <c r="AG2168" s="53">
        <f>IF(AC2168="","",IF(IFERROR(INDEX(ctaMoneda,MATCH(AC2168,ctaNombre,0))&amp;"","DOP")="USD",T2168,S2168))</f>
        <v/>
      </c>
      <c r="AH2168" s="53">
        <f>IF(P2168="","",IF(AND(AD2168&lt;&gt;"",COUNTIFS(tcTipo,AD2168,tcLiq,"Sí")&gt;0),IF(OR(P2168="Gasto",P2168="Transferencia",P2168="Pago tarjeta"),-1,1)*S2168,0)+IF(AND(AE2168&lt;&gt;"",COUNTIFS(tcTipo,AE2168,tcLiq,"Sí")&gt;0),S2168,0))</f>
        <v/>
      </c>
      <c r="AI2168" s="52">
        <f>IF(OR(L2168="",P2168=""),"",IF(COUNTIFS(L$6:L2168,L2168,P$6:P2168,"?*")=1,MAX(AI$5:AI2167)+1,""))</f>
        <v/>
      </c>
    </row>
    <row r="2169">
      <c r="B2169" s="47" t="n"/>
      <c r="C2169" s="48" t="n"/>
      <c r="D2169" s="48" t="n"/>
      <c r="E2169" s="48" t="n"/>
      <c r="F2169" s="48" t="n"/>
      <c r="G2169" s="49" t="n"/>
      <c r="H2169" s="48" t="n"/>
      <c r="I2169" s="50" t="n"/>
      <c r="J2169" s="48" t="n"/>
      <c r="K2169" s="48" t="n"/>
      <c r="L2169" s="48" t="n"/>
      <c r="M2169" s="48" t="n"/>
      <c r="N2169" s="48" t="n"/>
      <c r="O2169" s="51">
        <f>IF(AND(B2169="",G2169="",C2169="",D2169="",J2169=""),"",IF(B2169="","⚠ Falta fecha",IF(G2169="","⚠ Falta monto",IF(Q2169="","⚠ Falta cuenta",IF(ISNA(MATCH(Q2169,ctaNombre,0)),"⚠ Cuenta no registrada",IF(AND(OR(P2169="Gasto",P2169="Reembolso"),D2169=""),"⚠ Falta categoría",IF(AND(D2169&lt;&gt;"",E2169&lt;&gt;"",ISNA(MATCH(D2169&amp;"|"&amp;E2169,catClave,0))),"⚠ Subcategoría no corresponde",IF(AND(OR(P2169="Transferencia",P2169="Pago tarjeta"),K2169=""),"⚠ Falta cuenta destino",IF(AND(K2169&lt;&gt;"",P2169&lt;&gt;"Transferencia",P2169&lt;&gt;"Pago tarjeta"),"⚠ Destino solo aplica a transferencias",IF(AND(K2169&lt;&gt;"",K2169=Q2169),"⚠ Origen igual a destino",IF(AND(K2169&lt;&gt;"",ISNA(MATCH(K2169,ctaNombre,0))),"⚠ Destino no registrado",IF(AND(P2169="Pago tarjeta",AE2169&lt;&gt;"Tarjeta de crédito"),"⚠ El destino debe ser tarjeta de crédito",IF(AND(P2169="Gasto",E2169="Depósitos y retiros"),"⚠ Usa tipo Transferencia",IF(AND(P2169="Resultado trading",AD2169&lt;&gt;"Cuenta de trading"),"⚠ Usa una cuenta de trading",IF(AND(G2169&lt;=0,P2169&lt;&gt;"Ajuste",P2169&lt;&gt;"Resultado trading"),"⚠ El monto debe ser positivo","✓")))))))))))))))</f>
        <v/>
      </c>
      <c r="P2169" s="52">
        <f>IF(OR(B2169="",G2169=""),"",IF(C2169="","Gasto",C2169))</f>
        <v/>
      </c>
      <c r="Q2169" s="52">
        <f>IF(P2169="","",IF(J2169&lt;&gt;"",J2169,CuentaPred&amp;""))</f>
        <v/>
      </c>
      <c r="R2169" s="52">
        <f>IF(P2169="","",IF(ISNUMBER(I2169),I2169,TasaUSD))</f>
        <v/>
      </c>
      <c r="S2169" s="53">
        <f>IF(P2169="","",IF(H2169="USD",G2169*R2169,G2169))</f>
        <v/>
      </c>
      <c r="T2169" s="53">
        <f>IF(P2169="","",IF(H2169="USD",G2169,IF(R2169&gt;0,G2169/R2169,0)))</f>
        <v/>
      </c>
      <c r="U2169" s="53">
        <f>IF(P2169="","",IF(P2169="Gasto",S2169,IF(P2169="Reembolso",-S2169,0)))</f>
        <v/>
      </c>
      <c r="V2169" s="53">
        <f>IF(P2169="","",IF(P2169="Ingreso",S2169,0))</f>
        <v/>
      </c>
      <c r="W2169" s="53">
        <f>IF(P2169="","",IF(P2169="Resultado trading",S2169,0))</f>
        <v/>
      </c>
      <c r="X2169" s="52">
        <f>IF(OR(P2169="Gasto",P2169="Reembolso"),IF(M2169&lt;&gt;"",M2169,IFERROR(INDEX(catClasif,MATCH(D2169&amp;"|"&amp;E2169,catClave,0))&amp;"","Variable")),"")</f>
        <v/>
      </c>
      <c r="Y2169" s="52">
        <f>IF(P2169="","",IFERROR(INDEX(catGrupo,MATCH(D2169&amp;"|"&amp;E2169,catClave,0))&amp;"",""))</f>
        <v/>
      </c>
      <c r="Z2169" s="52">
        <f>IF(P2169="","",WEEKDAY(B2169,2))</f>
        <v/>
      </c>
      <c r="AA2169" s="52">
        <f>IF(P2169="","",IF(AND(P2169="Gasto",X2169="Variable",D2169&lt;&gt;catTrading,S2169&gt;0,S2169&lt;=Umbral),1,0))</f>
        <v/>
      </c>
      <c r="AB2169" s="52">
        <f>IF(OR(P2169="",Q2169=""),"",IFERROR(IF(INDEX(ctaVinc,MATCH(Q2169,ctaNombre,0))&amp;""&lt;&gt;"",INDEX(ctaVinc,MATCH(Q2169,ctaNombre,0))&amp;"",Q2169),Q2169))</f>
        <v/>
      </c>
      <c r="AC2169" s="52">
        <f>IF(OR(K2169="",AND(P2169&lt;&gt;"Transferencia",P2169&lt;&gt;"Pago tarjeta")),"",IFERROR(IF(INDEX(ctaVinc,MATCH(K2169,ctaNombre,0))&amp;""&lt;&gt;"",INDEX(ctaVinc,MATCH(K2169,ctaNombre,0))&amp;"",K2169),K2169))</f>
        <v/>
      </c>
      <c r="AD2169" s="52">
        <f>IF(AB2169="","",IFERROR(INDEX(ctaTipo,MATCH(AB2169,ctaNombre,0))&amp;"",""))</f>
        <v/>
      </c>
      <c r="AE2169" s="52">
        <f>IF(AC2169="","",IFERROR(INDEX(ctaTipo,MATCH(AC2169,ctaNombre,0))&amp;"",""))</f>
        <v/>
      </c>
      <c r="AF2169" s="53">
        <f>IF(OR(P2169="",AB2169=""),"",IF(OR(P2169="Gasto",P2169="Transferencia",P2169="Pago tarjeta"),-1,1)*IF(IFERROR(INDEX(ctaMoneda,MATCH(AB2169,ctaNombre,0))&amp;"","DOP")="USD",T2169,S2169))</f>
        <v/>
      </c>
      <c r="AG2169" s="53">
        <f>IF(AC2169="","",IF(IFERROR(INDEX(ctaMoneda,MATCH(AC2169,ctaNombre,0))&amp;"","DOP")="USD",T2169,S2169))</f>
        <v/>
      </c>
      <c r="AH2169" s="53">
        <f>IF(P2169="","",IF(AND(AD2169&lt;&gt;"",COUNTIFS(tcTipo,AD2169,tcLiq,"Sí")&gt;0),IF(OR(P2169="Gasto",P2169="Transferencia",P2169="Pago tarjeta"),-1,1)*S2169,0)+IF(AND(AE2169&lt;&gt;"",COUNTIFS(tcTipo,AE2169,tcLiq,"Sí")&gt;0),S2169,0))</f>
        <v/>
      </c>
      <c r="AI2169" s="52">
        <f>IF(OR(L2169="",P2169=""),"",IF(COUNTIFS(L$6:L2169,L2169,P$6:P2169,"?*")=1,MAX(AI$5:AI2168)+1,""))</f>
        <v/>
      </c>
    </row>
    <row r="2170">
      <c r="B2170" s="47" t="n"/>
      <c r="C2170" s="48" t="n"/>
      <c r="D2170" s="48" t="n"/>
      <c r="E2170" s="48" t="n"/>
      <c r="F2170" s="48" t="n"/>
      <c r="G2170" s="49" t="n"/>
      <c r="H2170" s="48" t="n"/>
      <c r="I2170" s="50" t="n"/>
      <c r="J2170" s="48" t="n"/>
      <c r="K2170" s="48" t="n"/>
      <c r="L2170" s="48" t="n"/>
      <c r="M2170" s="48" t="n"/>
      <c r="N2170" s="48" t="n"/>
      <c r="O2170" s="51">
        <f>IF(AND(B2170="",G2170="",C2170="",D2170="",J2170=""),"",IF(B2170="","⚠ Falta fecha",IF(G2170="","⚠ Falta monto",IF(Q2170="","⚠ Falta cuenta",IF(ISNA(MATCH(Q2170,ctaNombre,0)),"⚠ Cuenta no registrada",IF(AND(OR(P2170="Gasto",P2170="Reembolso"),D2170=""),"⚠ Falta categoría",IF(AND(D2170&lt;&gt;"",E2170&lt;&gt;"",ISNA(MATCH(D2170&amp;"|"&amp;E2170,catClave,0))),"⚠ Subcategoría no corresponde",IF(AND(OR(P2170="Transferencia",P2170="Pago tarjeta"),K2170=""),"⚠ Falta cuenta destino",IF(AND(K2170&lt;&gt;"",P2170&lt;&gt;"Transferencia",P2170&lt;&gt;"Pago tarjeta"),"⚠ Destino solo aplica a transferencias",IF(AND(K2170&lt;&gt;"",K2170=Q2170),"⚠ Origen igual a destino",IF(AND(K2170&lt;&gt;"",ISNA(MATCH(K2170,ctaNombre,0))),"⚠ Destino no registrado",IF(AND(P2170="Pago tarjeta",AE2170&lt;&gt;"Tarjeta de crédito"),"⚠ El destino debe ser tarjeta de crédito",IF(AND(P2170="Gasto",E2170="Depósitos y retiros"),"⚠ Usa tipo Transferencia",IF(AND(P2170="Resultado trading",AD2170&lt;&gt;"Cuenta de trading"),"⚠ Usa una cuenta de trading",IF(AND(G2170&lt;=0,P2170&lt;&gt;"Ajuste",P2170&lt;&gt;"Resultado trading"),"⚠ El monto debe ser positivo","✓")))))))))))))))</f>
        <v/>
      </c>
      <c r="P2170" s="52">
        <f>IF(OR(B2170="",G2170=""),"",IF(C2170="","Gasto",C2170))</f>
        <v/>
      </c>
      <c r="Q2170" s="52">
        <f>IF(P2170="","",IF(J2170&lt;&gt;"",J2170,CuentaPred&amp;""))</f>
        <v/>
      </c>
      <c r="R2170" s="52">
        <f>IF(P2170="","",IF(ISNUMBER(I2170),I2170,TasaUSD))</f>
        <v/>
      </c>
      <c r="S2170" s="53">
        <f>IF(P2170="","",IF(H2170="USD",G2170*R2170,G2170))</f>
        <v/>
      </c>
      <c r="T2170" s="53">
        <f>IF(P2170="","",IF(H2170="USD",G2170,IF(R2170&gt;0,G2170/R2170,0)))</f>
        <v/>
      </c>
      <c r="U2170" s="53">
        <f>IF(P2170="","",IF(P2170="Gasto",S2170,IF(P2170="Reembolso",-S2170,0)))</f>
        <v/>
      </c>
      <c r="V2170" s="53">
        <f>IF(P2170="","",IF(P2170="Ingreso",S2170,0))</f>
        <v/>
      </c>
      <c r="W2170" s="53">
        <f>IF(P2170="","",IF(P2170="Resultado trading",S2170,0))</f>
        <v/>
      </c>
      <c r="X2170" s="52">
        <f>IF(OR(P2170="Gasto",P2170="Reembolso"),IF(M2170&lt;&gt;"",M2170,IFERROR(INDEX(catClasif,MATCH(D2170&amp;"|"&amp;E2170,catClave,0))&amp;"","Variable")),"")</f>
        <v/>
      </c>
      <c r="Y2170" s="52">
        <f>IF(P2170="","",IFERROR(INDEX(catGrupo,MATCH(D2170&amp;"|"&amp;E2170,catClave,0))&amp;"",""))</f>
        <v/>
      </c>
      <c r="Z2170" s="52">
        <f>IF(P2170="","",WEEKDAY(B2170,2))</f>
        <v/>
      </c>
      <c r="AA2170" s="52">
        <f>IF(P2170="","",IF(AND(P2170="Gasto",X2170="Variable",D2170&lt;&gt;catTrading,S2170&gt;0,S2170&lt;=Umbral),1,0))</f>
        <v/>
      </c>
      <c r="AB2170" s="52">
        <f>IF(OR(P2170="",Q2170=""),"",IFERROR(IF(INDEX(ctaVinc,MATCH(Q2170,ctaNombre,0))&amp;""&lt;&gt;"",INDEX(ctaVinc,MATCH(Q2170,ctaNombre,0))&amp;"",Q2170),Q2170))</f>
        <v/>
      </c>
      <c r="AC2170" s="52">
        <f>IF(OR(K2170="",AND(P2170&lt;&gt;"Transferencia",P2170&lt;&gt;"Pago tarjeta")),"",IFERROR(IF(INDEX(ctaVinc,MATCH(K2170,ctaNombre,0))&amp;""&lt;&gt;"",INDEX(ctaVinc,MATCH(K2170,ctaNombre,0))&amp;"",K2170),K2170))</f>
        <v/>
      </c>
      <c r="AD2170" s="52">
        <f>IF(AB2170="","",IFERROR(INDEX(ctaTipo,MATCH(AB2170,ctaNombre,0))&amp;"",""))</f>
        <v/>
      </c>
      <c r="AE2170" s="52">
        <f>IF(AC2170="","",IFERROR(INDEX(ctaTipo,MATCH(AC2170,ctaNombre,0))&amp;"",""))</f>
        <v/>
      </c>
      <c r="AF2170" s="53">
        <f>IF(OR(P2170="",AB2170=""),"",IF(OR(P2170="Gasto",P2170="Transferencia",P2170="Pago tarjeta"),-1,1)*IF(IFERROR(INDEX(ctaMoneda,MATCH(AB2170,ctaNombre,0))&amp;"","DOP")="USD",T2170,S2170))</f>
        <v/>
      </c>
      <c r="AG2170" s="53">
        <f>IF(AC2170="","",IF(IFERROR(INDEX(ctaMoneda,MATCH(AC2170,ctaNombre,0))&amp;"","DOP")="USD",T2170,S2170))</f>
        <v/>
      </c>
      <c r="AH2170" s="53">
        <f>IF(P2170="","",IF(AND(AD2170&lt;&gt;"",COUNTIFS(tcTipo,AD2170,tcLiq,"Sí")&gt;0),IF(OR(P2170="Gasto",P2170="Transferencia",P2170="Pago tarjeta"),-1,1)*S2170,0)+IF(AND(AE2170&lt;&gt;"",COUNTIFS(tcTipo,AE2170,tcLiq,"Sí")&gt;0),S2170,0))</f>
        <v/>
      </c>
      <c r="AI2170" s="52">
        <f>IF(OR(L2170="",P2170=""),"",IF(COUNTIFS(L$6:L2170,L2170,P$6:P2170,"?*")=1,MAX(AI$5:AI2169)+1,""))</f>
        <v/>
      </c>
    </row>
    <row r="2171">
      <c r="B2171" s="47" t="n"/>
      <c r="C2171" s="48" t="n"/>
      <c r="D2171" s="48" t="n"/>
      <c r="E2171" s="48" t="n"/>
      <c r="F2171" s="48" t="n"/>
      <c r="G2171" s="49" t="n"/>
      <c r="H2171" s="48" t="n"/>
      <c r="I2171" s="50" t="n"/>
      <c r="J2171" s="48" t="n"/>
      <c r="K2171" s="48" t="n"/>
      <c r="L2171" s="48" t="n"/>
      <c r="M2171" s="48" t="n"/>
      <c r="N2171" s="48" t="n"/>
      <c r="O2171" s="51">
        <f>IF(AND(B2171="",G2171="",C2171="",D2171="",J2171=""),"",IF(B2171="","⚠ Falta fecha",IF(G2171="","⚠ Falta monto",IF(Q2171="","⚠ Falta cuenta",IF(ISNA(MATCH(Q2171,ctaNombre,0)),"⚠ Cuenta no registrada",IF(AND(OR(P2171="Gasto",P2171="Reembolso"),D2171=""),"⚠ Falta categoría",IF(AND(D2171&lt;&gt;"",E2171&lt;&gt;"",ISNA(MATCH(D2171&amp;"|"&amp;E2171,catClave,0))),"⚠ Subcategoría no corresponde",IF(AND(OR(P2171="Transferencia",P2171="Pago tarjeta"),K2171=""),"⚠ Falta cuenta destino",IF(AND(K2171&lt;&gt;"",P2171&lt;&gt;"Transferencia",P2171&lt;&gt;"Pago tarjeta"),"⚠ Destino solo aplica a transferencias",IF(AND(K2171&lt;&gt;"",K2171=Q2171),"⚠ Origen igual a destino",IF(AND(K2171&lt;&gt;"",ISNA(MATCH(K2171,ctaNombre,0))),"⚠ Destino no registrado",IF(AND(P2171="Pago tarjeta",AE2171&lt;&gt;"Tarjeta de crédito"),"⚠ El destino debe ser tarjeta de crédito",IF(AND(P2171="Gasto",E2171="Depósitos y retiros"),"⚠ Usa tipo Transferencia",IF(AND(P2171="Resultado trading",AD2171&lt;&gt;"Cuenta de trading"),"⚠ Usa una cuenta de trading",IF(AND(G2171&lt;=0,P2171&lt;&gt;"Ajuste",P2171&lt;&gt;"Resultado trading"),"⚠ El monto debe ser positivo","✓")))))))))))))))</f>
        <v/>
      </c>
      <c r="P2171" s="52">
        <f>IF(OR(B2171="",G2171=""),"",IF(C2171="","Gasto",C2171))</f>
        <v/>
      </c>
      <c r="Q2171" s="52">
        <f>IF(P2171="","",IF(J2171&lt;&gt;"",J2171,CuentaPred&amp;""))</f>
        <v/>
      </c>
      <c r="R2171" s="52">
        <f>IF(P2171="","",IF(ISNUMBER(I2171),I2171,TasaUSD))</f>
        <v/>
      </c>
      <c r="S2171" s="53">
        <f>IF(P2171="","",IF(H2171="USD",G2171*R2171,G2171))</f>
        <v/>
      </c>
      <c r="T2171" s="53">
        <f>IF(P2171="","",IF(H2171="USD",G2171,IF(R2171&gt;0,G2171/R2171,0)))</f>
        <v/>
      </c>
      <c r="U2171" s="53">
        <f>IF(P2171="","",IF(P2171="Gasto",S2171,IF(P2171="Reembolso",-S2171,0)))</f>
        <v/>
      </c>
      <c r="V2171" s="53">
        <f>IF(P2171="","",IF(P2171="Ingreso",S2171,0))</f>
        <v/>
      </c>
      <c r="W2171" s="53">
        <f>IF(P2171="","",IF(P2171="Resultado trading",S2171,0))</f>
        <v/>
      </c>
      <c r="X2171" s="52">
        <f>IF(OR(P2171="Gasto",P2171="Reembolso"),IF(M2171&lt;&gt;"",M2171,IFERROR(INDEX(catClasif,MATCH(D2171&amp;"|"&amp;E2171,catClave,0))&amp;"","Variable")),"")</f>
        <v/>
      </c>
      <c r="Y2171" s="52">
        <f>IF(P2171="","",IFERROR(INDEX(catGrupo,MATCH(D2171&amp;"|"&amp;E2171,catClave,0))&amp;"",""))</f>
        <v/>
      </c>
      <c r="Z2171" s="52">
        <f>IF(P2171="","",WEEKDAY(B2171,2))</f>
        <v/>
      </c>
      <c r="AA2171" s="52">
        <f>IF(P2171="","",IF(AND(P2171="Gasto",X2171="Variable",D2171&lt;&gt;catTrading,S2171&gt;0,S2171&lt;=Umbral),1,0))</f>
        <v/>
      </c>
      <c r="AB2171" s="52">
        <f>IF(OR(P2171="",Q2171=""),"",IFERROR(IF(INDEX(ctaVinc,MATCH(Q2171,ctaNombre,0))&amp;""&lt;&gt;"",INDEX(ctaVinc,MATCH(Q2171,ctaNombre,0))&amp;"",Q2171),Q2171))</f>
        <v/>
      </c>
      <c r="AC2171" s="52">
        <f>IF(OR(K2171="",AND(P2171&lt;&gt;"Transferencia",P2171&lt;&gt;"Pago tarjeta")),"",IFERROR(IF(INDEX(ctaVinc,MATCH(K2171,ctaNombre,0))&amp;""&lt;&gt;"",INDEX(ctaVinc,MATCH(K2171,ctaNombre,0))&amp;"",K2171),K2171))</f>
        <v/>
      </c>
      <c r="AD2171" s="52">
        <f>IF(AB2171="","",IFERROR(INDEX(ctaTipo,MATCH(AB2171,ctaNombre,0))&amp;"",""))</f>
        <v/>
      </c>
      <c r="AE2171" s="52">
        <f>IF(AC2171="","",IFERROR(INDEX(ctaTipo,MATCH(AC2171,ctaNombre,0))&amp;"",""))</f>
        <v/>
      </c>
      <c r="AF2171" s="53">
        <f>IF(OR(P2171="",AB2171=""),"",IF(OR(P2171="Gasto",P2171="Transferencia",P2171="Pago tarjeta"),-1,1)*IF(IFERROR(INDEX(ctaMoneda,MATCH(AB2171,ctaNombre,0))&amp;"","DOP")="USD",T2171,S2171))</f>
        <v/>
      </c>
      <c r="AG2171" s="53">
        <f>IF(AC2171="","",IF(IFERROR(INDEX(ctaMoneda,MATCH(AC2171,ctaNombre,0))&amp;"","DOP")="USD",T2171,S2171))</f>
        <v/>
      </c>
      <c r="AH2171" s="53">
        <f>IF(P2171="","",IF(AND(AD2171&lt;&gt;"",COUNTIFS(tcTipo,AD2171,tcLiq,"Sí")&gt;0),IF(OR(P2171="Gasto",P2171="Transferencia",P2171="Pago tarjeta"),-1,1)*S2171,0)+IF(AND(AE2171&lt;&gt;"",COUNTIFS(tcTipo,AE2171,tcLiq,"Sí")&gt;0),S2171,0))</f>
        <v/>
      </c>
      <c r="AI2171" s="52">
        <f>IF(OR(L2171="",P2171=""),"",IF(COUNTIFS(L$6:L2171,L2171,P$6:P2171,"?*")=1,MAX(AI$5:AI2170)+1,""))</f>
        <v/>
      </c>
    </row>
    <row r="2172">
      <c r="B2172" s="47" t="n"/>
      <c r="C2172" s="48" t="n"/>
      <c r="D2172" s="48" t="n"/>
      <c r="E2172" s="48" t="n"/>
      <c r="F2172" s="48" t="n"/>
      <c r="G2172" s="49" t="n"/>
      <c r="H2172" s="48" t="n"/>
      <c r="I2172" s="50" t="n"/>
      <c r="J2172" s="48" t="n"/>
      <c r="K2172" s="48" t="n"/>
      <c r="L2172" s="48" t="n"/>
      <c r="M2172" s="48" t="n"/>
      <c r="N2172" s="48" t="n"/>
      <c r="O2172" s="51">
        <f>IF(AND(B2172="",G2172="",C2172="",D2172="",J2172=""),"",IF(B2172="","⚠ Falta fecha",IF(G2172="","⚠ Falta monto",IF(Q2172="","⚠ Falta cuenta",IF(ISNA(MATCH(Q2172,ctaNombre,0)),"⚠ Cuenta no registrada",IF(AND(OR(P2172="Gasto",P2172="Reembolso"),D2172=""),"⚠ Falta categoría",IF(AND(D2172&lt;&gt;"",E2172&lt;&gt;"",ISNA(MATCH(D2172&amp;"|"&amp;E2172,catClave,0))),"⚠ Subcategoría no corresponde",IF(AND(OR(P2172="Transferencia",P2172="Pago tarjeta"),K2172=""),"⚠ Falta cuenta destino",IF(AND(K2172&lt;&gt;"",P2172&lt;&gt;"Transferencia",P2172&lt;&gt;"Pago tarjeta"),"⚠ Destino solo aplica a transferencias",IF(AND(K2172&lt;&gt;"",K2172=Q2172),"⚠ Origen igual a destino",IF(AND(K2172&lt;&gt;"",ISNA(MATCH(K2172,ctaNombre,0))),"⚠ Destino no registrado",IF(AND(P2172="Pago tarjeta",AE2172&lt;&gt;"Tarjeta de crédito"),"⚠ El destino debe ser tarjeta de crédito",IF(AND(P2172="Gasto",E2172="Depósitos y retiros"),"⚠ Usa tipo Transferencia",IF(AND(P2172="Resultado trading",AD2172&lt;&gt;"Cuenta de trading"),"⚠ Usa una cuenta de trading",IF(AND(G2172&lt;=0,P2172&lt;&gt;"Ajuste",P2172&lt;&gt;"Resultado trading"),"⚠ El monto debe ser positivo","✓")))))))))))))))</f>
        <v/>
      </c>
      <c r="P2172" s="52">
        <f>IF(OR(B2172="",G2172=""),"",IF(C2172="","Gasto",C2172))</f>
        <v/>
      </c>
      <c r="Q2172" s="52">
        <f>IF(P2172="","",IF(J2172&lt;&gt;"",J2172,CuentaPred&amp;""))</f>
        <v/>
      </c>
      <c r="R2172" s="52">
        <f>IF(P2172="","",IF(ISNUMBER(I2172),I2172,TasaUSD))</f>
        <v/>
      </c>
      <c r="S2172" s="53">
        <f>IF(P2172="","",IF(H2172="USD",G2172*R2172,G2172))</f>
        <v/>
      </c>
      <c r="T2172" s="53">
        <f>IF(P2172="","",IF(H2172="USD",G2172,IF(R2172&gt;0,G2172/R2172,0)))</f>
        <v/>
      </c>
      <c r="U2172" s="53">
        <f>IF(P2172="","",IF(P2172="Gasto",S2172,IF(P2172="Reembolso",-S2172,0)))</f>
        <v/>
      </c>
      <c r="V2172" s="53">
        <f>IF(P2172="","",IF(P2172="Ingreso",S2172,0))</f>
        <v/>
      </c>
      <c r="W2172" s="53">
        <f>IF(P2172="","",IF(P2172="Resultado trading",S2172,0))</f>
        <v/>
      </c>
      <c r="X2172" s="52">
        <f>IF(OR(P2172="Gasto",P2172="Reembolso"),IF(M2172&lt;&gt;"",M2172,IFERROR(INDEX(catClasif,MATCH(D2172&amp;"|"&amp;E2172,catClave,0))&amp;"","Variable")),"")</f>
        <v/>
      </c>
      <c r="Y2172" s="52">
        <f>IF(P2172="","",IFERROR(INDEX(catGrupo,MATCH(D2172&amp;"|"&amp;E2172,catClave,0))&amp;"",""))</f>
        <v/>
      </c>
      <c r="Z2172" s="52">
        <f>IF(P2172="","",WEEKDAY(B2172,2))</f>
        <v/>
      </c>
      <c r="AA2172" s="52">
        <f>IF(P2172="","",IF(AND(P2172="Gasto",X2172="Variable",D2172&lt;&gt;catTrading,S2172&gt;0,S2172&lt;=Umbral),1,0))</f>
        <v/>
      </c>
      <c r="AB2172" s="52">
        <f>IF(OR(P2172="",Q2172=""),"",IFERROR(IF(INDEX(ctaVinc,MATCH(Q2172,ctaNombre,0))&amp;""&lt;&gt;"",INDEX(ctaVinc,MATCH(Q2172,ctaNombre,0))&amp;"",Q2172),Q2172))</f>
        <v/>
      </c>
      <c r="AC2172" s="52">
        <f>IF(OR(K2172="",AND(P2172&lt;&gt;"Transferencia",P2172&lt;&gt;"Pago tarjeta")),"",IFERROR(IF(INDEX(ctaVinc,MATCH(K2172,ctaNombre,0))&amp;""&lt;&gt;"",INDEX(ctaVinc,MATCH(K2172,ctaNombre,0))&amp;"",K2172),K2172))</f>
        <v/>
      </c>
      <c r="AD2172" s="52">
        <f>IF(AB2172="","",IFERROR(INDEX(ctaTipo,MATCH(AB2172,ctaNombre,0))&amp;"",""))</f>
        <v/>
      </c>
      <c r="AE2172" s="52">
        <f>IF(AC2172="","",IFERROR(INDEX(ctaTipo,MATCH(AC2172,ctaNombre,0))&amp;"",""))</f>
        <v/>
      </c>
      <c r="AF2172" s="53">
        <f>IF(OR(P2172="",AB2172=""),"",IF(OR(P2172="Gasto",P2172="Transferencia",P2172="Pago tarjeta"),-1,1)*IF(IFERROR(INDEX(ctaMoneda,MATCH(AB2172,ctaNombre,0))&amp;"","DOP")="USD",T2172,S2172))</f>
        <v/>
      </c>
      <c r="AG2172" s="53">
        <f>IF(AC2172="","",IF(IFERROR(INDEX(ctaMoneda,MATCH(AC2172,ctaNombre,0))&amp;"","DOP")="USD",T2172,S2172))</f>
        <v/>
      </c>
      <c r="AH2172" s="53">
        <f>IF(P2172="","",IF(AND(AD2172&lt;&gt;"",COUNTIFS(tcTipo,AD2172,tcLiq,"Sí")&gt;0),IF(OR(P2172="Gasto",P2172="Transferencia",P2172="Pago tarjeta"),-1,1)*S2172,0)+IF(AND(AE2172&lt;&gt;"",COUNTIFS(tcTipo,AE2172,tcLiq,"Sí")&gt;0),S2172,0))</f>
        <v/>
      </c>
      <c r="AI2172" s="52">
        <f>IF(OR(L2172="",P2172=""),"",IF(COUNTIFS(L$6:L2172,L2172,P$6:P2172,"?*")=1,MAX(AI$5:AI2171)+1,""))</f>
        <v/>
      </c>
    </row>
    <row r="2173">
      <c r="B2173" s="47" t="n"/>
      <c r="C2173" s="48" t="n"/>
      <c r="D2173" s="48" t="n"/>
      <c r="E2173" s="48" t="n"/>
      <c r="F2173" s="48" t="n"/>
      <c r="G2173" s="49" t="n"/>
      <c r="H2173" s="48" t="n"/>
      <c r="I2173" s="50" t="n"/>
      <c r="J2173" s="48" t="n"/>
      <c r="K2173" s="48" t="n"/>
      <c r="L2173" s="48" t="n"/>
      <c r="M2173" s="48" t="n"/>
      <c r="N2173" s="48" t="n"/>
      <c r="O2173" s="51">
        <f>IF(AND(B2173="",G2173="",C2173="",D2173="",J2173=""),"",IF(B2173="","⚠ Falta fecha",IF(G2173="","⚠ Falta monto",IF(Q2173="","⚠ Falta cuenta",IF(ISNA(MATCH(Q2173,ctaNombre,0)),"⚠ Cuenta no registrada",IF(AND(OR(P2173="Gasto",P2173="Reembolso"),D2173=""),"⚠ Falta categoría",IF(AND(D2173&lt;&gt;"",E2173&lt;&gt;"",ISNA(MATCH(D2173&amp;"|"&amp;E2173,catClave,0))),"⚠ Subcategoría no corresponde",IF(AND(OR(P2173="Transferencia",P2173="Pago tarjeta"),K2173=""),"⚠ Falta cuenta destino",IF(AND(K2173&lt;&gt;"",P2173&lt;&gt;"Transferencia",P2173&lt;&gt;"Pago tarjeta"),"⚠ Destino solo aplica a transferencias",IF(AND(K2173&lt;&gt;"",K2173=Q2173),"⚠ Origen igual a destino",IF(AND(K2173&lt;&gt;"",ISNA(MATCH(K2173,ctaNombre,0))),"⚠ Destino no registrado",IF(AND(P2173="Pago tarjeta",AE2173&lt;&gt;"Tarjeta de crédito"),"⚠ El destino debe ser tarjeta de crédito",IF(AND(P2173="Gasto",E2173="Depósitos y retiros"),"⚠ Usa tipo Transferencia",IF(AND(P2173="Resultado trading",AD2173&lt;&gt;"Cuenta de trading"),"⚠ Usa una cuenta de trading",IF(AND(G2173&lt;=0,P2173&lt;&gt;"Ajuste",P2173&lt;&gt;"Resultado trading"),"⚠ El monto debe ser positivo","✓")))))))))))))))</f>
        <v/>
      </c>
      <c r="P2173" s="52">
        <f>IF(OR(B2173="",G2173=""),"",IF(C2173="","Gasto",C2173))</f>
        <v/>
      </c>
      <c r="Q2173" s="52">
        <f>IF(P2173="","",IF(J2173&lt;&gt;"",J2173,CuentaPred&amp;""))</f>
        <v/>
      </c>
      <c r="R2173" s="52">
        <f>IF(P2173="","",IF(ISNUMBER(I2173),I2173,TasaUSD))</f>
        <v/>
      </c>
      <c r="S2173" s="53">
        <f>IF(P2173="","",IF(H2173="USD",G2173*R2173,G2173))</f>
        <v/>
      </c>
      <c r="T2173" s="53">
        <f>IF(P2173="","",IF(H2173="USD",G2173,IF(R2173&gt;0,G2173/R2173,0)))</f>
        <v/>
      </c>
      <c r="U2173" s="53">
        <f>IF(P2173="","",IF(P2173="Gasto",S2173,IF(P2173="Reembolso",-S2173,0)))</f>
        <v/>
      </c>
      <c r="V2173" s="53">
        <f>IF(P2173="","",IF(P2173="Ingreso",S2173,0))</f>
        <v/>
      </c>
      <c r="W2173" s="53">
        <f>IF(P2173="","",IF(P2173="Resultado trading",S2173,0))</f>
        <v/>
      </c>
      <c r="X2173" s="52">
        <f>IF(OR(P2173="Gasto",P2173="Reembolso"),IF(M2173&lt;&gt;"",M2173,IFERROR(INDEX(catClasif,MATCH(D2173&amp;"|"&amp;E2173,catClave,0))&amp;"","Variable")),"")</f>
        <v/>
      </c>
      <c r="Y2173" s="52">
        <f>IF(P2173="","",IFERROR(INDEX(catGrupo,MATCH(D2173&amp;"|"&amp;E2173,catClave,0))&amp;"",""))</f>
        <v/>
      </c>
      <c r="Z2173" s="52">
        <f>IF(P2173="","",WEEKDAY(B2173,2))</f>
        <v/>
      </c>
      <c r="AA2173" s="52">
        <f>IF(P2173="","",IF(AND(P2173="Gasto",X2173="Variable",D2173&lt;&gt;catTrading,S2173&gt;0,S2173&lt;=Umbral),1,0))</f>
        <v/>
      </c>
      <c r="AB2173" s="52">
        <f>IF(OR(P2173="",Q2173=""),"",IFERROR(IF(INDEX(ctaVinc,MATCH(Q2173,ctaNombre,0))&amp;""&lt;&gt;"",INDEX(ctaVinc,MATCH(Q2173,ctaNombre,0))&amp;"",Q2173),Q2173))</f>
        <v/>
      </c>
      <c r="AC2173" s="52">
        <f>IF(OR(K2173="",AND(P2173&lt;&gt;"Transferencia",P2173&lt;&gt;"Pago tarjeta")),"",IFERROR(IF(INDEX(ctaVinc,MATCH(K2173,ctaNombre,0))&amp;""&lt;&gt;"",INDEX(ctaVinc,MATCH(K2173,ctaNombre,0))&amp;"",K2173),K2173))</f>
        <v/>
      </c>
      <c r="AD2173" s="52">
        <f>IF(AB2173="","",IFERROR(INDEX(ctaTipo,MATCH(AB2173,ctaNombre,0))&amp;"",""))</f>
        <v/>
      </c>
      <c r="AE2173" s="52">
        <f>IF(AC2173="","",IFERROR(INDEX(ctaTipo,MATCH(AC2173,ctaNombre,0))&amp;"",""))</f>
        <v/>
      </c>
      <c r="AF2173" s="53">
        <f>IF(OR(P2173="",AB2173=""),"",IF(OR(P2173="Gasto",P2173="Transferencia",P2173="Pago tarjeta"),-1,1)*IF(IFERROR(INDEX(ctaMoneda,MATCH(AB2173,ctaNombre,0))&amp;"","DOP")="USD",T2173,S2173))</f>
        <v/>
      </c>
      <c r="AG2173" s="53">
        <f>IF(AC2173="","",IF(IFERROR(INDEX(ctaMoneda,MATCH(AC2173,ctaNombre,0))&amp;"","DOP")="USD",T2173,S2173))</f>
        <v/>
      </c>
      <c r="AH2173" s="53">
        <f>IF(P2173="","",IF(AND(AD2173&lt;&gt;"",COUNTIFS(tcTipo,AD2173,tcLiq,"Sí")&gt;0),IF(OR(P2173="Gasto",P2173="Transferencia",P2173="Pago tarjeta"),-1,1)*S2173,0)+IF(AND(AE2173&lt;&gt;"",COUNTIFS(tcTipo,AE2173,tcLiq,"Sí")&gt;0),S2173,0))</f>
        <v/>
      </c>
      <c r="AI2173" s="52">
        <f>IF(OR(L2173="",P2173=""),"",IF(COUNTIFS(L$6:L2173,L2173,P$6:P2173,"?*")=1,MAX(AI$5:AI2172)+1,""))</f>
        <v/>
      </c>
    </row>
    <row r="2174">
      <c r="B2174" s="47" t="n"/>
      <c r="C2174" s="48" t="n"/>
      <c r="D2174" s="48" t="n"/>
      <c r="E2174" s="48" t="n"/>
      <c r="F2174" s="48" t="n"/>
      <c r="G2174" s="49" t="n"/>
      <c r="H2174" s="48" t="n"/>
      <c r="I2174" s="50" t="n"/>
      <c r="J2174" s="48" t="n"/>
      <c r="K2174" s="48" t="n"/>
      <c r="L2174" s="48" t="n"/>
      <c r="M2174" s="48" t="n"/>
      <c r="N2174" s="48" t="n"/>
      <c r="O2174" s="51">
        <f>IF(AND(B2174="",G2174="",C2174="",D2174="",J2174=""),"",IF(B2174="","⚠ Falta fecha",IF(G2174="","⚠ Falta monto",IF(Q2174="","⚠ Falta cuenta",IF(ISNA(MATCH(Q2174,ctaNombre,0)),"⚠ Cuenta no registrada",IF(AND(OR(P2174="Gasto",P2174="Reembolso"),D2174=""),"⚠ Falta categoría",IF(AND(D2174&lt;&gt;"",E2174&lt;&gt;"",ISNA(MATCH(D2174&amp;"|"&amp;E2174,catClave,0))),"⚠ Subcategoría no corresponde",IF(AND(OR(P2174="Transferencia",P2174="Pago tarjeta"),K2174=""),"⚠ Falta cuenta destino",IF(AND(K2174&lt;&gt;"",P2174&lt;&gt;"Transferencia",P2174&lt;&gt;"Pago tarjeta"),"⚠ Destino solo aplica a transferencias",IF(AND(K2174&lt;&gt;"",K2174=Q2174),"⚠ Origen igual a destino",IF(AND(K2174&lt;&gt;"",ISNA(MATCH(K2174,ctaNombre,0))),"⚠ Destino no registrado",IF(AND(P2174="Pago tarjeta",AE2174&lt;&gt;"Tarjeta de crédito"),"⚠ El destino debe ser tarjeta de crédito",IF(AND(P2174="Gasto",E2174="Depósitos y retiros"),"⚠ Usa tipo Transferencia",IF(AND(P2174="Resultado trading",AD2174&lt;&gt;"Cuenta de trading"),"⚠ Usa una cuenta de trading",IF(AND(G2174&lt;=0,P2174&lt;&gt;"Ajuste",P2174&lt;&gt;"Resultado trading"),"⚠ El monto debe ser positivo","✓")))))))))))))))</f>
        <v/>
      </c>
      <c r="P2174" s="52">
        <f>IF(OR(B2174="",G2174=""),"",IF(C2174="","Gasto",C2174))</f>
        <v/>
      </c>
      <c r="Q2174" s="52">
        <f>IF(P2174="","",IF(J2174&lt;&gt;"",J2174,CuentaPred&amp;""))</f>
        <v/>
      </c>
      <c r="R2174" s="52">
        <f>IF(P2174="","",IF(ISNUMBER(I2174),I2174,TasaUSD))</f>
        <v/>
      </c>
      <c r="S2174" s="53">
        <f>IF(P2174="","",IF(H2174="USD",G2174*R2174,G2174))</f>
        <v/>
      </c>
      <c r="T2174" s="53">
        <f>IF(P2174="","",IF(H2174="USD",G2174,IF(R2174&gt;0,G2174/R2174,0)))</f>
        <v/>
      </c>
      <c r="U2174" s="53">
        <f>IF(P2174="","",IF(P2174="Gasto",S2174,IF(P2174="Reembolso",-S2174,0)))</f>
        <v/>
      </c>
      <c r="V2174" s="53">
        <f>IF(P2174="","",IF(P2174="Ingreso",S2174,0))</f>
        <v/>
      </c>
      <c r="W2174" s="53">
        <f>IF(P2174="","",IF(P2174="Resultado trading",S2174,0))</f>
        <v/>
      </c>
      <c r="X2174" s="52">
        <f>IF(OR(P2174="Gasto",P2174="Reembolso"),IF(M2174&lt;&gt;"",M2174,IFERROR(INDEX(catClasif,MATCH(D2174&amp;"|"&amp;E2174,catClave,0))&amp;"","Variable")),"")</f>
        <v/>
      </c>
      <c r="Y2174" s="52">
        <f>IF(P2174="","",IFERROR(INDEX(catGrupo,MATCH(D2174&amp;"|"&amp;E2174,catClave,0))&amp;"",""))</f>
        <v/>
      </c>
      <c r="Z2174" s="52">
        <f>IF(P2174="","",WEEKDAY(B2174,2))</f>
        <v/>
      </c>
      <c r="AA2174" s="52">
        <f>IF(P2174="","",IF(AND(P2174="Gasto",X2174="Variable",D2174&lt;&gt;catTrading,S2174&gt;0,S2174&lt;=Umbral),1,0))</f>
        <v/>
      </c>
      <c r="AB2174" s="52">
        <f>IF(OR(P2174="",Q2174=""),"",IFERROR(IF(INDEX(ctaVinc,MATCH(Q2174,ctaNombre,0))&amp;""&lt;&gt;"",INDEX(ctaVinc,MATCH(Q2174,ctaNombre,0))&amp;"",Q2174),Q2174))</f>
        <v/>
      </c>
      <c r="AC2174" s="52">
        <f>IF(OR(K2174="",AND(P2174&lt;&gt;"Transferencia",P2174&lt;&gt;"Pago tarjeta")),"",IFERROR(IF(INDEX(ctaVinc,MATCH(K2174,ctaNombre,0))&amp;""&lt;&gt;"",INDEX(ctaVinc,MATCH(K2174,ctaNombre,0))&amp;"",K2174),K2174))</f>
        <v/>
      </c>
      <c r="AD2174" s="52">
        <f>IF(AB2174="","",IFERROR(INDEX(ctaTipo,MATCH(AB2174,ctaNombre,0))&amp;"",""))</f>
        <v/>
      </c>
      <c r="AE2174" s="52">
        <f>IF(AC2174="","",IFERROR(INDEX(ctaTipo,MATCH(AC2174,ctaNombre,0))&amp;"",""))</f>
        <v/>
      </c>
      <c r="AF2174" s="53">
        <f>IF(OR(P2174="",AB2174=""),"",IF(OR(P2174="Gasto",P2174="Transferencia",P2174="Pago tarjeta"),-1,1)*IF(IFERROR(INDEX(ctaMoneda,MATCH(AB2174,ctaNombre,0))&amp;"","DOP")="USD",T2174,S2174))</f>
        <v/>
      </c>
      <c r="AG2174" s="53">
        <f>IF(AC2174="","",IF(IFERROR(INDEX(ctaMoneda,MATCH(AC2174,ctaNombre,0))&amp;"","DOP")="USD",T2174,S2174))</f>
        <v/>
      </c>
      <c r="AH2174" s="53">
        <f>IF(P2174="","",IF(AND(AD2174&lt;&gt;"",COUNTIFS(tcTipo,AD2174,tcLiq,"Sí")&gt;0),IF(OR(P2174="Gasto",P2174="Transferencia",P2174="Pago tarjeta"),-1,1)*S2174,0)+IF(AND(AE2174&lt;&gt;"",COUNTIFS(tcTipo,AE2174,tcLiq,"Sí")&gt;0),S2174,0))</f>
        <v/>
      </c>
      <c r="AI2174" s="52">
        <f>IF(OR(L2174="",P2174=""),"",IF(COUNTIFS(L$6:L2174,L2174,P$6:P2174,"?*")=1,MAX(AI$5:AI2173)+1,""))</f>
        <v/>
      </c>
    </row>
    <row r="2175">
      <c r="B2175" s="47" t="n"/>
      <c r="C2175" s="48" t="n"/>
      <c r="D2175" s="48" t="n"/>
      <c r="E2175" s="48" t="n"/>
      <c r="F2175" s="48" t="n"/>
      <c r="G2175" s="49" t="n"/>
      <c r="H2175" s="48" t="n"/>
      <c r="I2175" s="50" t="n"/>
      <c r="J2175" s="48" t="n"/>
      <c r="K2175" s="48" t="n"/>
      <c r="L2175" s="48" t="n"/>
      <c r="M2175" s="48" t="n"/>
      <c r="N2175" s="48" t="n"/>
      <c r="O2175" s="51">
        <f>IF(AND(B2175="",G2175="",C2175="",D2175="",J2175=""),"",IF(B2175="","⚠ Falta fecha",IF(G2175="","⚠ Falta monto",IF(Q2175="","⚠ Falta cuenta",IF(ISNA(MATCH(Q2175,ctaNombre,0)),"⚠ Cuenta no registrada",IF(AND(OR(P2175="Gasto",P2175="Reembolso"),D2175=""),"⚠ Falta categoría",IF(AND(D2175&lt;&gt;"",E2175&lt;&gt;"",ISNA(MATCH(D2175&amp;"|"&amp;E2175,catClave,0))),"⚠ Subcategoría no corresponde",IF(AND(OR(P2175="Transferencia",P2175="Pago tarjeta"),K2175=""),"⚠ Falta cuenta destino",IF(AND(K2175&lt;&gt;"",P2175&lt;&gt;"Transferencia",P2175&lt;&gt;"Pago tarjeta"),"⚠ Destino solo aplica a transferencias",IF(AND(K2175&lt;&gt;"",K2175=Q2175),"⚠ Origen igual a destino",IF(AND(K2175&lt;&gt;"",ISNA(MATCH(K2175,ctaNombre,0))),"⚠ Destino no registrado",IF(AND(P2175="Pago tarjeta",AE2175&lt;&gt;"Tarjeta de crédito"),"⚠ El destino debe ser tarjeta de crédito",IF(AND(P2175="Gasto",E2175="Depósitos y retiros"),"⚠ Usa tipo Transferencia",IF(AND(P2175="Resultado trading",AD2175&lt;&gt;"Cuenta de trading"),"⚠ Usa una cuenta de trading",IF(AND(G2175&lt;=0,P2175&lt;&gt;"Ajuste",P2175&lt;&gt;"Resultado trading"),"⚠ El monto debe ser positivo","✓")))))))))))))))</f>
        <v/>
      </c>
      <c r="P2175" s="52">
        <f>IF(OR(B2175="",G2175=""),"",IF(C2175="","Gasto",C2175))</f>
        <v/>
      </c>
      <c r="Q2175" s="52">
        <f>IF(P2175="","",IF(J2175&lt;&gt;"",J2175,CuentaPred&amp;""))</f>
        <v/>
      </c>
      <c r="R2175" s="52">
        <f>IF(P2175="","",IF(ISNUMBER(I2175),I2175,TasaUSD))</f>
        <v/>
      </c>
      <c r="S2175" s="53">
        <f>IF(P2175="","",IF(H2175="USD",G2175*R2175,G2175))</f>
        <v/>
      </c>
      <c r="T2175" s="53">
        <f>IF(P2175="","",IF(H2175="USD",G2175,IF(R2175&gt;0,G2175/R2175,0)))</f>
        <v/>
      </c>
      <c r="U2175" s="53">
        <f>IF(P2175="","",IF(P2175="Gasto",S2175,IF(P2175="Reembolso",-S2175,0)))</f>
        <v/>
      </c>
      <c r="V2175" s="53">
        <f>IF(P2175="","",IF(P2175="Ingreso",S2175,0))</f>
        <v/>
      </c>
      <c r="W2175" s="53">
        <f>IF(P2175="","",IF(P2175="Resultado trading",S2175,0))</f>
        <v/>
      </c>
      <c r="X2175" s="52">
        <f>IF(OR(P2175="Gasto",P2175="Reembolso"),IF(M2175&lt;&gt;"",M2175,IFERROR(INDEX(catClasif,MATCH(D2175&amp;"|"&amp;E2175,catClave,0))&amp;"","Variable")),"")</f>
        <v/>
      </c>
      <c r="Y2175" s="52">
        <f>IF(P2175="","",IFERROR(INDEX(catGrupo,MATCH(D2175&amp;"|"&amp;E2175,catClave,0))&amp;"",""))</f>
        <v/>
      </c>
      <c r="Z2175" s="52">
        <f>IF(P2175="","",WEEKDAY(B2175,2))</f>
        <v/>
      </c>
      <c r="AA2175" s="52">
        <f>IF(P2175="","",IF(AND(P2175="Gasto",X2175="Variable",D2175&lt;&gt;catTrading,S2175&gt;0,S2175&lt;=Umbral),1,0))</f>
        <v/>
      </c>
      <c r="AB2175" s="52">
        <f>IF(OR(P2175="",Q2175=""),"",IFERROR(IF(INDEX(ctaVinc,MATCH(Q2175,ctaNombre,0))&amp;""&lt;&gt;"",INDEX(ctaVinc,MATCH(Q2175,ctaNombre,0))&amp;"",Q2175),Q2175))</f>
        <v/>
      </c>
      <c r="AC2175" s="52">
        <f>IF(OR(K2175="",AND(P2175&lt;&gt;"Transferencia",P2175&lt;&gt;"Pago tarjeta")),"",IFERROR(IF(INDEX(ctaVinc,MATCH(K2175,ctaNombre,0))&amp;""&lt;&gt;"",INDEX(ctaVinc,MATCH(K2175,ctaNombre,0))&amp;"",K2175),K2175))</f>
        <v/>
      </c>
      <c r="AD2175" s="52">
        <f>IF(AB2175="","",IFERROR(INDEX(ctaTipo,MATCH(AB2175,ctaNombre,0))&amp;"",""))</f>
        <v/>
      </c>
      <c r="AE2175" s="52">
        <f>IF(AC2175="","",IFERROR(INDEX(ctaTipo,MATCH(AC2175,ctaNombre,0))&amp;"",""))</f>
        <v/>
      </c>
      <c r="AF2175" s="53">
        <f>IF(OR(P2175="",AB2175=""),"",IF(OR(P2175="Gasto",P2175="Transferencia",P2175="Pago tarjeta"),-1,1)*IF(IFERROR(INDEX(ctaMoneda,MATCH(AB2175,ctaNombre,0))&amp;"","DOP")="USD",T2175,S2175))</f>
        <v/>
      </c>
      <c r="AG2175" s="53">
        <f>IF(AC2175="","",IF(IFERROR(INDEX(ctaMoneda,MATCH(AC2175,ctaNombre,0))&amp;"","DOP")="USD",T2175,S2175))</f>
        <v/>
      </c>
      <c r="AH2175" s="53">
        <f>IF(P2175="","",IF(AND(AD2175&lt;&gt;"",COUNTIFS(tcTipo,AD2175,tcLiq,"Sí")&gt;0),IF(OR(P2175="Gasto",P2175="Transferencia",P2175="Pago tarjeta"),-1,1)*S2175,0)+IF(AND(AE2175&lt;&gt;"",COUNTIFS(tcTipo,AE2175,tcLiq,"Sí")&gt;0),S2175,0))</f>
        <v/>
      </c>
      <c r="AI2175" s="52">
        <f>IF(OR(L2175="",P2175=""),"",IF(COUNTIFS(L$6:L2175,L2175,P$6:P2175,"?*")=1,MAX(AI$5:AI2174)+1,""))</f>
        <v/>
      </c>
    </row>
    <row r="2176">
      <c r="B2176" s="47" t="n"/>
      <c r="C2176" s="48" t="n"/>
      <c r="D2176" s="48" t="n"/>
      <c r="E2176" s="48" t="n"/>
      <c r="F2176" s="48" t="n"/>
      <c r="G2176" s="49" t="n"/>
      <c r="H2176" s="48" t="n"/>
      <c r="I2176" s="50" t="n"/>
      <c r="J2176" s="48" t="n"/>
      <c r="K2176" s="48" t="n"/>
      <c r="L2176" s="48" t="n"/>
      <c r="M2176" s="48" t="n"/>
      <c r="N2176" s="48" t="n"/>
      <c r="O2176" s="51">
        <f>IF(AND(B2176="",G2176="",C2176="",D2176="",J2176=""),"",IF(B2176="","⚠ Falta fecha",IF(G2176="","⚠ Falta monto",IF(Q2176="","⚠ Falta cuenta",IF(ISNA(MATCH(Q2176,ctaNombre,0)),"⚠ Cuenta no registrada",IF(AND(OR(P2176="Gasto",P2176="Reembolso"),D2176=""),"⚠ Falta categoría",IF(AND(D2176&lt;&gt;"",E2176&lt;&gt;"",ISNA(MATCH(D2176&amp;"|"&amp;E2176,catClave,0))),"⚠ Subcategoría no corresponde",IF(AND(OR(P2176="Transferencia",P2176="Pago tarjeta"),K2176=""),"⚠ Falta cuenta destino",IF(AND(K2176&lt;&gt;"",P2176&lt;&gt;"Transferencia",P2176&lt;&gt;"Pago tarjeta"),"⚠ Destino solo aplica a transferencias",IF(AND(K2176&lt;&gt;"",K2176=Q2176),"⚠ Origen igual a destino",IF(AND(K2176&lt;&gt;"",ISNA(MATCH(K2176,ctaNombre,0))),"⚠ Destino no registrado",IF(AND(P2176="Pago tarjeta",AE2176&lt;&gt;"Tarjeta de crédito"),"⚠ El destino debe ser tarjeta de crédito",IF(AND(P2176="Gasto",E2176="Depósitos y retiros"),"⚠ Usa tipo Transferencia",IF(AND(P2176="Resultado trading",AD2176&lt;&gt;"Cuenta de trading"),"⚠ Usa una cuenta de trading",IF(AND(G2176&lt;=0,P2176&lt;&gt;"Ajuste",P2176&lt;&gt;"Resultado trading"),"⚠ El monto debe ser positivo","✓")))))))))))))))</f>
        <v/>
      </c>
      <c r="P2176" s="52">
        <f>IF(OR(B2176="",G2176=""),"",IF(C2176="","Gasto",C2176))</f>
        <v/>
      </c>
      <c r="Q2176" s="52">
        <f>IF(P2176="","",IF(J2176&lt;&gt;"",J2176,CuentaPred&amp;""))</f>
        <v/>
      </c>
      <c r="R2176" s="52">
        <f>IF(P2176="","",IF(ISNUMBER(I2176),I2176,TasaUSD))</f>
        <v/>
      </c>
      <c r="S2176" s="53">
        <f>IF(P2176="","",IF(H2176="USD",G2176*R2176,G2176))</f>
        <v/>
      </c>
      <c r="T2176" s="53">
        <f>IF(P2176="","",IF(H2176="USD",G2176,IF(R2176&gt;0,G2176/R2176,0)))</f>
        <v/>
      </c>
      <c r="U2176" s="53">
        <f>IF(P2176="","",IF(P2176="Gasto",S2176,IF(P2176="Reembolso",-S2176,0)))</f>
        <v/>
      </c>
      <c r="V2176" s="53">
        <f>IF(P2176="","",IF(P2176="Ingreso",S2176,0))</f>
        <v/>
      </c>
      <c r="W2176" s="53">
        <f>IF(P2176="","",IF(P2176="Resultado trading",S2176,0))</f>
        <v/>
      </c>
      <c r="X2176" s="52">
        <f>IF(OR(P2176="Gasto",P2176="Reembolso"),IF(M2176&lt;&gt;"",M2176,IFERROR(INDEX(catClasif,MATCH(D2176&amp;"|"&amp;E2176,catClave,0))&amp;"","Variable")),"")</f>
        <v/>
      </c>
      <c r="Y2176" s="52">
        <f>IF(P2176="","",IFERROR(INDEX(catGrupo,MATCH(D2176&amp;"|"&amp;E2176,catClave,0))&amp;"",""))</f>
        <v/>
      </c>
      <c r="Z2176" s="52">
        <f>IF(P2176="","",WEEKDAY(B2176,2))</f>
        <v/>
      </c>
      <c r="AA2176" s="52">
        <f>IF(P2176="","",IF(AND(P2176="Gasto",X2176="Variable",D2176&lt;&gt;catTrading,S2176&gt;0,S2176&lt;=Umbral),1,0))</f>
        <v/>
      </c>
      <c r="AB2176" s="52">
        <f>IF(OR(P2176="",Q2176=""),"",IFERROR(IF(INDEX(ctaVinc,MATCH(Q2176,ctaNombre,0))&amp;""&lt;&gt;"",INDEX(ctaVinc,MATCH(Q2176,ctaNombre,0))&amp;"",Q2176),Q2176))</f>
        <v/>
      </c>
      <c r="AC2176" s="52">
        <f>IF(OR(K2176="",AND(P2176&lt;&gt;"Transferencia",P2176&lt;&gt;"Pago tarjeta")),"",IFERROR(IF(INDEX(ctaVinc,MATCH(K2176,ctaNombre,0))&amp;""&lt;&gt;"",INDEX(ctaVinc,MATCH(K2176,ctaNombre,0))&amp;"",K2176),K2176))</f>
        <v/>
      </c>
      <c r="AD2176" s="52">
        <f>IF(AB2176="","",IFERROR(INDEX(ctaTipo,MATCH(AB2176,ctaNombre,0))&amp;"",""))</f>
        <v/>
      </c>
      <c r="AE2176" s="52">
        <f>IF(AC2176="","",IFERROR(INDEX(ctaTipo,MATCH(AC2176,ctaNombre,0))&amp;"",""))</f>
        <v/>
      </c>
      <c r="AF2176" s="53">
        <f>IF(OR(P2176="",AB2176=""),"",IF(OR(P2176="Gasto",P2176="Transferencia",P2176="Pago tarjeta"),-1,1)*IF(IFERROR(INDEX(ctaMoneda,MATCH(AB2176,ctaNombre,0))&amp;"","DOP")="USD",T2176,S2176))</f>
        <v/>
      </c>
      <c r="AG2176" s="53">
        <f>IF(AC2176="","",IF(IFERROR(INDEX(ctaMoneda,MATCH(AC2176,ctaNombre,0))&amp;"","DOP")="USD",T2176,S2176))</f>
        <v/>
      </c>
      <c r="AH2176" s="53">
        <f>IF(P2176="","",IF(AND(AD2176&lt;&gt;"",COUNTIFS(tcTipo,AD2176,tcLiq,"Sí")&gt;0),IF(OR(P2176="Gasto",P2176="Transferencia",P2176="Pago tarjeta"),-1,1)*S2176,0)+IF(AND(AE2176&lt;&gt;"",COUNTIFS(tcTipo,AE2176,tcLiq,"Sí")&gt;0),S2176,0))</f>
        <v/>
      </c>
      <c r="AI2176" s="52">
        <f>IF(OR(L2176="",P2176=""),"",IF(COUNTIFS(L$6:L2176,L2176,P$6:P2176,"?*")=1,MAX(AI$5:AI2175)+1,""))</f>
        <v/>
      </c>
    </row>
    <row r="2177">
      <c r="B2177" s="47" t="n"/>
      <c r="C2177" s="48" t="n"/>
      <c r="D2177" s="48" t="n"/>
      <c r="E2177" s="48" t="n"/>
      <c r="F2177" s="48" t="n"/>
      <c r="G2177" s="49" t="n"/>
      <c r="H2177" s="48" t="n"/>
      <c r="I2177" s="50" t="n"/>
      <c r="J2177" s="48" t="n"/>
      <c r="K2177" s="48" t="n"/>
      <c r="L2177" s="48" t="n"/>
      <c r="M2177" s="48" t="n"/>
      <c r="N2177" s="48" t="n"/>
      <c r="O2177" s="51">
        <f>IF(AND(B2177="",G2177="",C2177="",D2177="",J2177=""),"",IF(B2177="","⚠ Falta fecha",IF(G2177="","⚠ Falta monto",IF(Q2177="","⚠ Falta cuenta",IF(ISNA(MATCH(Q2177,ctaNombre,0)),"⚠ Cuenta no registrada",IF(AND(OR(P2177="Gasto",P2177="Reembolso"),D2177=""),"⚠ Falta categoría",IF(AND(D2177&lt;&gt;"",E2177&lt;&gt;"",ISNA(MATCH(D2177&amp;"|"&amp;E2177,catClave,0))),"⚠ Subcategoría no corresponde",IF(AND(OR(P2177="Transferencia",P2177="Pago tarjeta"),K2177=""),"⚠ Falta cuenta destino",IF(AND(K2177&lt;&gt;"",P2177&lt;&gt;"Transferencia",P2177&lt;&gt;"Pago tarjeta"),"⚠ Destino solo aplica a transferencias",IF(AND(K2177&lt;&gt;"",K2177=Q2177),"⚠ Origen igual a destino",IF(AND(K2177&lt;&gt;"",ISNA(MATCH(K2177,ctaNombre,0))),"⚠ Destino no registrado",IF(AND(P2177="Pago tarjeta",AE2177&lt;&gt;"Tarjeta de crédito"),"⚠ El destino debe ser tarjeta de crédito",IF(AND(P2177="Gasto",E2177="Depósitos y retiros"),"⚠ Usa tipo Transferencia",IF(AND(P2177="Resultado trading",AD2177&lt;&gt;"Cuenta de trading"),"⚠ Usa una cuenta de trading",IF(AND(G2177&lt;=0,P2177&lt;&gt;"Ajuste",P2177&lt;&gt;"Resultado trading"),"⚠ El monto debe ser positivo","✓")))))))))))))))</f>
        <v/>
      </c>
      <c r="P2177" s="52">
        <f>IF(OR(B2177="",G2177=""),"",IF(C2177="","Gasto",C2177))</f>
        <v/>
      </c>
      <c r="Q2177" s="52">
        <f>IF(P2177="","",IF(J2177&lt;&gt;"",J2177,CuentaPred&amp;""))</f>
        <v/>
      </c>
      <c r="R2177" s="52">
        <f>IF(P2177="","",IF(ISNUMBER(I2177),I2177,TasaUSD))</f>
        <v/>
      </c>
      <c r="S2177" s="53">
        <f>IF(P2177="","",IF(H2177="USD",G2177*R2177,G2177))</f>
        <v/>
      </c>
      <c r="T2177" s="53">
        <f>IF(P2177="","",IF(H2177="USD",G2177,IF(R2177&gt;0,G2177/R2177,0)))</f>
        <v/>
      </c>
      <c r="U2177" s="53">
        <f>IF(P2177="","",IF(P2177="Gasto",S2177,IF(P2177="Reembolso",-S2177,0)))</f>
        <v/>
      </c>
      <c r="V2177" s="53">
        <f>IF(P2177="","",IF(P2177="Ingreso",S2177,0))</f>
        <v/>
      </c>
      <c r="W2177" s="53">
        <f>IF(P2177="","",IF(P2177="Resultado trading",S2177,0))</f>
        <v/>
      </c>
      <c r="X2177" s="52">
        <f>IF(OR(P2177="Gasto",P2177="Reembolso"),IF(M2177&lt;&gt;"",M2177,IFERROR(INDEX(catClasif,MATCH(D2177&amp;"|"&amp;E2177,catClave,0))&amp;"","Variable")),"")</f>
        <v/>
      </c>
      <c r="Y2177" s="52">
        <f>IF(P2177="","",IFERROR(INDEX(catGrupo,MATCH(D2177&amp;"|"&amp;E2177,catClave,0))&amp;"",""))</f>
        <v/>
      </c>
      <c r="Z2177" s="52">
        <f>IF(P2177="","",WEEKDAY(B2177,2))</f>
        <v/>
      </c>
      <c r="AA2177" s="52">
        <f>IF(P2177="","",IF(AND(P2177="Gasto",X2177="Variable",D2177&lt;&gt;catTrading,S2177&gt;0,S2177&lt;=Umbral),1,0))</f>
        <v/>
      </c>
      <c r="AB2177" s="52">
        <f>IF(OR(P2177="",Q2177=""),"",IFERROR(IF(INDEX(ctaVinc,MATCH(Q2177,ctaNombre,0))&amp;""&lt;&gt;"",INDEX(ctaVinc,MATCH(Q2177,ctaNombre,0))&amp;"",Q2177),Q2177))</f>
        <v/>
      </c>
      <c r="AC2177" s="52">
        <f>IF(OR(K2177="",AND(P2177&lt;&gt;"Transferencia",P2177&lt;&gt;"Pago tarjeta")),"",IFERROR(IF(INDEX(ctaVinc,MATCH(K2177,ctaNombre,0))&amp;""&lt;&gt;"",INDEX(ctaVinc,MATCH(K2177,ctaNombre,0))&amp;"",K2177),K2177))</f>
        <v/>
      </c>
      <c r="AD2177" s="52">
        <f>IF(AB2177="","",IFERROR(INDEX(ctaTipo,MATCH(AB2177,ctaNombre,0))&amp;"",""))</f>
        <v/>
      </c>
      <c r="AE2177" s="52">
        <f>IF(AC2177="","",IFERROR(INDEX(ctaTipo,MATCH(AC2177,ctaNombre,0))&amp;"",""))</f>
        <v/>
      </c>
      <c r="AF2177" s="53">
        <f>IF(OR(P2177="",AB2177=""),"",IF(OR(P2177="Gasto",P2177="Transferencia",P2177="Pago tarjeta"),-1,1)*IF(IFERROR(INDEX(ctaMoneda,MATCH(AB2177,ctaNombre,0))&amp;"","DOP")="USD",T2177,S2177))</f>
        <v/>
      </c>
      <c r="AG2177" s="53">
        <f>IF(AC2177="","",IF(IFERROR(INDEX(ctaMoneda,MATCH(AC2177,ctaNombre,0))&amp;"","DOP")="USD",T2177,S2177))</f>
        <v/>
      </c>
      <c r="AH2177" s="53">
        <f>IF(P2177="","",IF(AND(AD2177&lt;&gt;"",COUNTIFS(tcTipo,AD2177,tcLiq,"Sí")&gt;0),IF(OR(P2177="Gasto",P2177="Transferencia",P2177="Pago tarjeta"),-1,1)*S2177,0)+IF(AND(AE2177&lt;&gt;"",COUNTIFS(tcTipo,AE2177,tcLiq,"Sí")&gt;0),S2177,0))</f>
        <v/>
      </c>
      <c r="AI2177" s="52">
        <f>IF(OR(L2177="",P2177=""),"",IF(COUNTIFS(L$6:L2177,L2177,P$6:P2177,"?*")=1,MAX(AI$5:AI2176)+1,""))</f>
        <v/>
      </c>
    </row>
    <row r="2178">
      <c r="B2178" s="47" t="n"/>
      <c r="C2178" s="48" t="n"/>
      <c r="D2178" s="48" t="n"/>
      <c r="E2178" s="48" t="n"/>
      <c r="F2178" s="48" t="n"/>
      <c r="G2178" s="49" t="n"/>
      <c r="H2178" s="48" t="n"/>
      <c r="I2178" s="50" t="n"/>
      <c r="J2178" s="48" t="n"/>
      <c r="K2178" s="48" t="n"/>
      <c r="L2178" s="48" t="n"/>
      <c r="M2178" s="48" t="n"/>
      <c r="N2178" s="48" t="n"/>
      <c r="O2178" s="51">
        <f>IF(AND(B2178="",G2178="",C2178="",D2178="",J2178=""),"",IF(B2178="","⚠ Falta fecha",IF(G2178="","⚠ Falta monto",IF(Q2178="","⚠ Falta cuenta",IF(ISNA(MATCH(Q2178,ctaNombre,0)),"⚠ Cuenta no registrada",IF(AND(OR(P2178="Gasto",P2178="Reembolso"),D2178=""),"⚠ Falta categoría",IF(AND(D2178&lt;&gt;"",E2178&lt;&gt;"",ISNA(MATCH(D2178&amp;"|"&amp;E2178,catClave,0))),"⚠ Subcategoría no corresponde",IF(AND(OR(P2178="Transferencia",P2178="Pago tarjeta"),K2178=""),"⚠ Falta cuenta destino",IF(AND(K2178&lt;&gt;"",P2178&lt;&gt;"Transferencia",P2178&lt;&gt;"Pago tarjeta"),"⚠ Destino solo aplica a transferencias",IF(AND(K2178&lt;&gt;"",K2178=Q2178),"⚠ Origen igual a destino",IF(AND(K2178&lt;&gt;"",ISNA(MATCH(K2178,ctaNombre,0))),"⚠ Destino no registrado",IF(AND(P2178="Pago tarjeta",AE2178&lt;&gt;"Tarjeta de crédito"),"⚠ El destino debe ser tarjeta de crédito",IF(AND(P2178="Gasto",E2178="Depósitos y retiros"),"⚠ Usa tipo Transferencia",IF(AND(P2178="Resultado trading",AD2178&lt;&gt;"Cuenta de trading"),"⚠ Usa una cuenta de trading",IF(AND(G2178&lt;=0,P2178&lt;&gt;"Ajuste",P2178&lt;&gt;"Resultado trading"),"⚠ El monto debe ser positivo","✓")))))))))))))))</f>
        <v/>
      </c>
      <c r="P2178" s="52">
        <f>IF(OR(B2178="",G2178=""),"",IF(C2178="","Gasto",C2178))</f>
        <v/>
      </c>
      <c r="Q2178" s="52">
        <f>IF(P2178="","",IF(J2178&lt;&gt;"",J2178,CuentaPred&amp;""))</f>
        <v/>
      </c>
      <c r="R2178" s="52">
        <f>IF(P2178="","",IF(ISNUMBER(I2178),I2178,TasaUSD))</f>
        <v/>
      </c>
      <c r="S2178" s="53">
        <f>IF(P2178="","",IF(H2178="USD",G2178*R2178,G2178))</f>
        <v/>
      </c>
      <c r="T2178" s="53">
        <f>IF(P2178="","",IF(H2178="USD",G2178,IF(R2178&gt;0,G2178/R2178,0)))</f>
        <v/>
      </c>
      <c r="U2178" s="53">
        <f>IF(P2178="","",IF(P2178="Gasto",S2178,IF(P2178="Reembolso",-S2178,0)))</f>
        <v/>
      </c>
      <c r="V2178" s="53">
        <f>IF(P2178="","",IF(P2178="Ingreso",S2178,0))</f>
        <v/>
      </c>
      <c r="W2178" s="53">
        <f>IF(P2178="","",IF(P2178="Resultado trading",S2178,0))</f>
        <v/>
      </c>
      <c r="X2178" s="52">
        <f>IF(OR(P2178="Gasto",P2178="Reembolso"),IF(M2178&lt;&gt;"",M2178,IFERROR(INDEX(catClasif,MATCH(D2178&amp;"|"&amp;E2178,catClave,0))&amp;"","Variable")),"")</f>
        <v/>
      </c>
      <c r="Y2178" s="52">
        <f>IF(P2178="","",IFERROR(INDEX(catGrupo,MATCH(D2178&amp;"|"&amp;E2178,catClave,0))&amp;"",""))</f>
        <v/>
      </c>
      <c r="Z2178" s="52">
        <f>IF(P2178="","",WEEKDAY(B2178,2))</f>
        <v/>
      </c>
      <c r="AA2178" s="52">
        <f>IF(P2178="","",IF(AND(P2178="Gasto",X2178="Variable",D2178&lt;&gt;catTrading,S2178&gt;0,S2178&lt;=Umbral),1,0))</f>
        <v/>
      </c>
      <c r="AB2178" s="52">
        <f>IF(OR(P2178="",Q2178=""),"",IFERROR(IF(INDEX(ctaVinc,MATCH(Q2178,ctaNombre,0))&amp;""&lt;&gt;"",INDEX(ctaVinc,MATCH(Q2178,ctaNombre,0))&amp;"",Q2178),Q2178))</f>
        <v/>
      </c>
      <c r="AC2178" s="52">
        <f>IF(OR(K2178="",AND(P2178&lt;&gt;"Transferencia",P2178&lt;&gt;"Pago tarjeta")),"",IFERROR(IF(INDEX(ctaVinc,MATCH(K2178,ctaNombre,0))&amp;""&lt;&gt;"",INDEX(ctaVinc,MATCH(K2178,ctaNombre,0))&amp;"",K2178),K2178))</f>
        <v/>
      </c>
      <c r="AD2178" s="52">
        <f>IF(AB2178="","",IFERROR(INDEX(ctaTipo,MATCH(AB2178,ctaNombre,0))&amp;"",""))</f>
        <v/>
      </c>
      <c r="AE2178" s="52">
        <f>IF(AC2178="","",IFERROR(INDEX(ctaTipo,MATCH(AC2178,ctaNombre,0))&amp;"",""))</f>
        <v/>
      </c>
      <c r="AF2178" s="53">
        <f>IF(OR(P2178="",AB2178=""),"",IF(OR(P2178="Gasto",P2178="Transferencia",P2178="Pago tarjeta"),-1,1)*IF(IFERROR(INDEX(ctaMoneda,MATCH(AB2178,ctaNombre,0))&amp;"","DOP")="USD",T2178,S2178))</f>
        <v/>
      </c>
      <c r="AG2178" s="53">
        <f>IF(AC2178="","",IF(IFERROR(INDEX(ctaMoneda,MATCH(AC2178,ctaNombre,0))&amp;"","DOP")="USD",T2178,S2178))</f>
        <v/>
      </c>
      <c r="AH2178" s="53">
        <f>IF(P2178="","",IF(AND(AD2178&lt;&gt;"",COUNTIFS(tcTipo,AD2178,tcLiq,"Sí")&gt;0),IF(OR(P2178="Gasto",P2178="Transferencia",P2178="Pago tarjeta"),-1,1)*S2178,0)+IF(AND(AE2178&lt;&gt;"",COUNTIFS(tcTipo,AE2178,tcLiq,"Sí")&gt;0),S2178,0))</f>
        <v/>
      </c>
      <c r="AI2178" s="52">
        <f>IF(OR(L2178="",P2178=""),"",IF(COUNTIFS(L$6:L2178,L2178,P$6:P2178,"?*")=1,MAX(AI$5:AI2177)+1,""))</f>
        <v/>
      </c>
    </row>
    <row r="2179">
      <c r="B2179" s="47" t="n"/>
      <c r="C2179" s="48" t="n"/>
      <c r="D2179" s="48" t="n"/>
      <c r="E2179" s="48" t="n"/>
      <c r="F2179" s="48" t="n"/>
      <c r="G2179" s="49" t="n"/>
      <c r="H2179" s="48" t="n"/>
      <c r="I2179" s="50" t="n"/>
      <c r="J2179" s="48" t="n"/>
      <c r="K2179" s="48" t="n"/>
      <c r="L2179" s="48" t="n"/>
      <c r="M2179" s="48" t="n"/>
      <c r="N2179" s="48" t="n"/>
      <c r="O2179" s="51">
        <f>IF(AND(B2179="",G2179="",C2179="",D2179="",J2179=""),"",IF(B2179="","⚠ Falta fecha",IF(G2179="","⚠ Falta monto",IF(Q2179="","⚠ Falta cuenta",IF(ISNA(MATCH(Q2179,ctaNombre,0)),"⚠ Cuenta no registrada",IF(AND(OR(P2179="Gasto",P2179="Reembolso"),D2179=""),"⚠ Falta categoría",IF(AND(D2179&lt;&gt;"",E2179&lt;&gt;"",ISNA(MATCH(D2179&amp;"|"&amp;E2179,catClave,0))),"⚠ Subcategoría no corresponde",IF(AND(OR(P2179="Transferencia",P2179="Pago tarjeta"),K2179=""),"⚠ Falta cuenta destino",IF(AND(K2179&lt;&gt;"",P2179&lt;&gt;"Transferencia",P2179&lt;&gt;"Pago tarjeta"),"⚠ Destino solo aplica a transferencias",IF(AND(K2179&lt;&gt;"",K2179=Q2179),"⚠ Origen igual a destino",IF(AND(K2179&lt;&gt;"",ISNA(MATCH(K2179,ctaNombre,0))),"⚠ Destino no registrado",IF(AND(P2179="Pago tarjeta",AE2179&lt;&gt;"Tarjeta de crédito"),"⚠ El destino debe ser tarjeta de crédito",IF(AND(P2179="Gasto",E2179="Depósitos y retiros"),"⚠ Usa tipo Transferencia",IF(AND(P2179="Resultado trading",AD2179&lt;&gt;"Cuenta de trading"),"⚠ Usa una cuenta de trading",IF(AND(G2179&lt;=0,P2179&lt;&gt;"Ajuste",P2179&lt;&gt;"Resultado trading"),"⚠ El monto debe ser positivo","✓")))))))))))))))</f>
        <v/>
      </c>
      <c r="P2179" s="52">
        <f>IF(OR(B2179="",G2179=""),"",IF(C2179="","Gasto",C2179))</f>
        <v/>
      </c>
      <c r="Q2179" s="52">
        <f>IF(P2179="","",IF(J2179&lt;&gt;"",J2179,CuentaPred&amp;""))</f>
        <v/>
      </c>
      <c r="R2179" s="52">
        <f>IF(P2179="","",IF(ISNUMBER(I2179),I2179,TasaUSD))</f>
        <v/>
      </c>
      <c r="S2179" s="53">
        <f>IF(P2179="","",IF(H2179="USD",G2179*R2179,G2179))</f>
        <v/>
      </c>
      <c r="T2179" s="53">
        <f>IF(P2179="","",IF(H2179="USD",G2179,IF(R2179&gt;0,G2179/R2179,0)))</f>
        <v/>
      </c>
      <c r="U2179" s="53">
        <f>IF(P2179="","",IF(P2179="Gasto",S2179,IF(P2179="Reembolso",-S2179,0)))</f>
        <v/>
      </c>
      <c r="V2179" s="53">
        <f>IF(P2179="","",IF(P2179="Ingreso",S2179,0))</f>
        <v/>
      </c>
      <c r="W2179" s="53">
        <f>IF(P2179="","",IF(P2179="Resultado trading",S2179,0))</f>
        <v/>
      </c>
      <c r="X2179" s="52">
        <f>IF(OR(P2179="Gasto",P2179="Reembolso"),IF(M2179&lt;&gt;"",M2179,IFERROR(INDEX(catClasif,MATCH(D2179&amp;"|"&amp;E2179,catClave,0))&amp;"","Variable")),"")</f>
        <v/>
      </c>
      <c r="Y2179" s="52">
        <f>IF(P2179="","",IFERROR(INDEX(catGrupo,MATCH(D2179&amp;"|"&amp;E2179,catClave,0))&amp;"",""))</f>
        <v/>
      </c>
      <c r="Z2179" s="52">
        <f>IF(P2179="","",WEEKDAY(B2179,2))</f>
        <v/>
      </c>
      <c r="AA2179" s="52">
        <f>IF(P2179="","",IF(AND(P2179="Gasto",X2179="Variable",D2179&lt;&gt;catTrading,S2179&gt;0,S2179&lt;=Umbral),1,0))</f>
        <v/>
      </c>
      <c r="AB2179" s="52">
        <f>IF(OR(P2179="",Q2179=""),"",IFERROR(IF(INDEX(ctaVinc,MATCH(Q2179,ctaNombre,0))&amp;""&lt;&gt;"",INDEX(ctaVinc,MATCH(Q2179,ctaNombre,0))&amp;"",Q2179),Q2179))</f>
        <v/>
      </c>
      <c r="AC2179" s="52">
        <f>IF(OR(K2179="",AND(P2179&lt;&gt;"Transferencia",P2179&lt;&gt;"Pago tarjeta")),"",IFERROR(IF(INDEX(ctaVinc,MATCH(K2179,ctaNombre,0))&amp;""&lt;&gt;"",INDEX(ctaVinc,MATCH(K2179,ctaNombre,0))&amp;"",K2179),K2179))</f>
        <v/>
      </c>
      <c r="AD2179" s="52">
        <f>IF(AB2179="","",IFERROR(INDEX(ctaTipo,MATCH(AB2179,ctaNombre,0))&amp;"",""))</f>
        <v/>
      </c>
      <c r="AE2179" s="52">
        <f>IF(AC2179="","",IFERROR(INDEX(ctaTipo,MATCH(AC2179,ctaNombre,0))&amp;"",""))</f>
        <v/>
      </c>
      <c r="AF2179" s="53">
        <f>IF(OR(P2179="",AB2179=""),"",IF(OR(P2179="Gasto",P2179="Transferencia",P2179="Pago tarjeta"),-1,1)*IF(IFERROR(INDEX(ctaMoneda,MATCH(AB2179,ctaNombre,0))&amp;"","DOP")="USD",T2179,S2179))</f>
        <v/>
      </c>
      <c r="AG2179" s="53">
        <f>IF(AC2179="","",IF(IFERROR(INDEX(ctaMoneda,MATCH(AC2179,ctaNombre,0))&amp;"","DOP")="USD",T2179,S2179))</f>
        <v/>
      </c>
      <c r="AH2179" s="53">
        <f>IF(P2179="","",IF(AND(AD2179&lt;&gt;"",COUNTIFS(tcTipo,AD2179,tcLiq,"Sí")&gt;0),IF(OR(P2179="Gasto",P2179="Transferencia",P2179="Pago tarjeta"),-1,1)*S2179,0)+IF(AND(AE2179&lt;&gt;"",COUNTIFS(tcTipo,AE2179,tcLiq,"Sí")&gt;0),S2179,0))</f>
        <v/>
      </c>
      <c r="AI2179" s="52">
        <f>IF(OR(L2179="",P2179=""),"",IF(COUNTIFS(L$6:L2179,L2179,P$6:P2179,"?*")=1,MAX(AI$5:AI2178)+1,""))</f>
        <v/>
      </c>
    </row>
    <row r="2180">
      <c r="B2180" s="47" t="n"/>
      <c r="C2180" s="48" t="n"/>
      <c r="D2180" s="48" t="n"/>
      <c r="E2180" s="48" t="n"/>
      <c r="F2180" s="48" t="n"/>
      <c r="G2180" s="49" t="n"/>
      <c r="H2180" s="48" t="n"/>
      <c r="I2180" s="50" t="n"/>
      <c r="J2180" s="48" t="n"/>
      <c r="K2180" s="48" t="n"/>
      <c r="L2180" s="48" t="n"/>
      <c r="M2180" s="48" t="n"/>
      <c r="N2180" s="48" t="n"/>
      <c r="O2180" s="51">
        <f>IF(AND(B2180="",G2180="",C2180="",D2180="",J2180=""),"",IF(B2180="","⚠ Falta fecha",IF(G2180="","⚠ Falta monto",IF(Q2180="","⚠ Falta cuenta",IF(ISNA(MATCH(Q2180,ctaNombre,0)),"⚠ Cuenta no registrada",IF(AND(OR(P2180="Gasto",P2180="Reembolso"),D2180=""),"⚠ Falta categoría",IF(AND(D2180&lt;&gt;"",E2180&lt;&gt;"",ISNA(MATCH(D2180&amp;"|"&amp;E2180,catClave,0))),"⚠ Subcategoría no corresponde",IF(AND(OR(P2180="Transferencia",P2180="Pago tarjeta"),K2180=""),"⚠ Falta cuenta destino",IF(AND(K2180&lt;&gt;"",P2180&lt;&gt;"Transferencia",P2180&lt;&gt;"Pago tarjeta"),"⚠ Destino solo aplica a transferencias",IF(AND(K2180&lt;&gt;"",K2180=Q2180),"⚠ Origen igual a destino",IF(AND(K2180&lt;&gt;"",ISNA(MATCH(K2180,ctaNombre,0))),"⚠ Destino no registrado",IF(AND(P2180="Pago tarjeta",AE2180&lt;&gt;"Tarjeta de crédito"),"⚠ El destino debe ser tarjeta de crédito",IF(AND(P2180="Gasto",E2180="Depósitos y retiros"),"⚠ Usa tipo Transferencia",IF(AND(P2180="Resultado trading",AD2180&lt;&gt;"Cuenta de trading"),"⚠ Usa una cuenta de trading",IF(AND(G2180&lt;=0,P2180&lt;&gt;"Ajuste",P2180&lt;&gt;"Resultado trading"),"⚠ El monto debe ser positivo","✓")))))))))))))))</f>
        <v/>
      </c>
      <c r="P2180" s="52">
        <f>IF(OR(B2180="",G2180=""),"",IF(C2180="","Gasto",C2180))</f>
        <v/>
      </c>
      <c r="Q2180" s="52">
        <f>IF(P2180="","",IF(J2180&lt;&gt;"",J2180,CuentaPred&amp;""))</f>
        <v/>
      </c>
      <c r="R2180" s="52">
        <f>IF(P2180="","",IF(ISNUMBER(I2180),I2180,TasaUSD))</f>
        <v/>
      </c>
      <c r="S2180" s="53">
        <f>IF(P2180="","",IF(H2180="USD",G2180*R2180,G2180))</f>
        <v/>
      </c>
      <c r="T2180" s="53">
        <f>IF(P2180="","",IF(H2180="USD",G2180,IF(R2180&gt;0,G2180/R2180,0)))</f>
        <v/>
      </c>
      <c r="U2180" s="53">
        <f>IF(P2180="","",IF(P2180="Gasto",S2180,IF(P2180="Reembolso",-S2180,0)))</f>
        <v/>
      </c>
      <c r="V2180" s="53">
        <f>IF(P2180="","",IF(P2180="Ingreso",S2180,0))</f>
        <v/>
      </c>
      <c r="W2180" s="53">
        <f>IF(P2180="","",IF(P2180="Resultado trading",S2180,0))</f>
        <v/>
      </c>
      <c r="X2180" s="52">
        <f>IF(OR(P2180="Gasto",P2180="Reembolso"),IF(M2180&lt;&gt;"",M2180,IFERROR(INDEX(catClasif,MATCH(D2180&amp;"|"&amp;E2180,catClave,0))&amp;"","Variable")),"")</f>
        <v/>
      </c>
      <c r="Y2180" s="52">
        <f>IF(P2180="","",IFERROR(INDEX(catGrupo,MATCH(D2180&amp;"|"&amp;E2180,catClave,0))&amp;"",""))</f>
        <v/>
      </c>
      <c r="Z2180" s="52">
        <f>IF(P2180="","",WEEKDAY(B2180,2))</f>
        <v/>
      </c>
      <c r="AA2180" s="52">
        <f>IF(P2180="","",IF(AND(P2180="Gasto",X2180="Variable",D2180&lt;&gt;catTrading,S2180&gt;0,S2180&lt;=Umbral),1,0))</f>
        <v/>
      </c>
      <c r="AB2180" s="52">
        <f>IF(OR(P2180="",Q2180=""),"",IFERROR(IF(INDEX(ctaVinc,MATCH(Q2180,ctaNombre,0))&amp;""&lt;&gt;"",INDEX(ctaVinc,MATCH(Q2180,ctaNombre,0))&amp;"",Q2180),Q2180))</f>
        <v/>
      </c>
      <c r="AC2180" s="52">
        <f>IF(OR(K2180="",AND(P2180&lt;&gt;"Transferencia",P2180&lt;&gt;"Pago tarjeta")),"",IFERROR(IF(INDEX(ctaVinc,MATCH(K2180,ctaNombre,0))&amp;""&lt;&gt;"",INDEX(ctaVinc,MATCH(K2180,ctaNombre,0))&amp;"",K2180),K2180))</f>
        <v/>
      </c>
      <c r="AD2180" s="52">
        <f>IF(AB2180="","",IFERROR(INDEX(ctaTipo,MATCH(AB2180,ctaNombre,0))&amp;"",""))</f>
        <v/>
      </c>
      <c r="AE2180" s="52">
        <f>IF(AC2180="","",IFERROR(INDEX(ctaTipo,MATCH(AC2180,ctaNombre,0))&amp;"",""))</f>
        <v/>
      </c>
      <c r="AF2180" s="53">
        <f>IF(OR(P2180="",AB2180=""),"",IF(OR(P2180="Gasto",P2180="Transferencia",P2180="Pago tarjeta"),-1,1)*IF(IFERROR(INDEX(ctaMoneda,MATCH(AB2180,ctaNombre,0))&amp;"","DOP")="USD",T2180,S2180))</f>
        <v/>
      </c>
      <c r="AG2180" s="53">
        <f>IF(AC2180="","",IF(IFERROR(INDEX(ctaMoneda,MATCH(AC2180,ctaNombre,0))&amp;"","DOP")="USD",T2180,S2180))</f>
        <v/>
      </c>
      <c r="AH2180" s="53">
        <f>IF(P2180="","",IF(AND(AD2180&lt;&gt;"",COUNTIFS(tcTipo,AD2180,tcLiq,"Sí")&gt;0),IF(OR(P2180="Gasto",P2180="Transferencia",P2180="Pago tarjeta"),-1,1)*S2180,0)+IF(AND(AE2180&lt;&gt;"",COUNTIFS(tcTipo,AE2180,tcLiq,"Sí")&gt;0),S2180,0))</f>
        <v/>
      </c>
      <c r="AI2180" s="52">
        <f>IF(OR(L2180="",P2180=""),"",IF(COUNTIFS(L$6:L2180,L2180,P$6:P2180,"?*")=1,MAX(AI$5:AI2179)+1,""))</f>
        <v/>
      </c>
    </row>
    <row r="2181">
      <c r="B2181" s="47" t="n"/>
      <c r="C2181" s="48" t="n"/>
      <c r="D2181" s="48" t="n"/>
      <c r="E2181" s="48" t="n"/>
      <c r="F2181" s="48" t="n"/>
      <c r="G2181" s="49" t="n"/>
      <c r="H2181" s="48" t="n"/>
      <c r="I2181" s="50" t="n"/>
      <c r="J2181" s="48" t="n"/>
      <c r="K2181" s="48" t="n"/>
      <c r="L2181" s="48" t="n"/>
      <c r="M2181" s="48" t="n"/>
      <c r="N2181" s="48" t="n"/>
      <c r="O2181" s="51">
        <f>IF(AND(B2181="",G2181="",C2181="",D2181="",J2181=""),"",IF(B2181="","⚠ Falta fecha",IF(G2181="","⚠ Falta monto",IF(Q2181="","⚠ Falta cuenta",IF(ISNA(MATCH(Q2181,ctaNombre,0)),"⚠ Cuenta no registrada",IF(AND(OR(P2181="Gasto",P2181="Reembolso"),D2181=""),"⚠ Falta categoría",IF(AND(D2181&lt;&gt;"",E2181&lt;&gt;"",ISNA(MATCH(D2181&amp;"|"&amp;E2181,catClave,0))),"⚠ Subcategoría no corresponde",IF(AND(OR(P2181="Transferencia",P2181="Pago tarjeta"),K2181=""),"⚠ Falta cuenta destino",IF(AND(K2181&lt;&gt;"",P2181&lt;&gt;"Transferencia",P2181&lt;&gt;"Pago tarjeta"),"⚠ Destino solo aplica a transferencias",IF(AND(K2181&lt;&gt;"",K2181=Q2181),"⚠ Origen igual a destino",IF(AND(K2181&lt;&gt;"",ISNA(MATCH(K2181,ctaNombre,0))),"⚠ Destino no registrado",IF(AND(P2181="Pago tarjeta",AE2181&lt;&gt;"Tarjeta de crédito"),"⚠ El destino debe ser tarjeta de crédito",IF(AND(P2181="Gasto",E2181="Depósitos y retiros"),"⚠ Usa tipo Transferencia",IF(AND(P2181="Resultado trading",AD2181&lt;&gt;"Cuenta de trading"),"⚠ Usa una cuenta de trading",IF(AND(G2181&lt;=0,P2181&lt;&gt;"Ajuste",P2181&lt;&gt;"Resultado trading"),"⚠ El monto debe ser positivo","✓")))))))))))))))</f>
        <v/>
      </c>
      <c r="P2181" s="52">
        <f>IF(OR(B2181="",G2181=""),"",IF(C2181="","Gasto",C2181))</f>
        <v/>
      </c>
      <c r="Q2181" s="52">
        <f>IF(P2181="","",IF(J2181&lt;&gt;"",J2181,CuentaPred&amp;""))</f>
        <v/>
      </c>
      <c r="R2181" s="52">
        <f>IF(P2181="","",IF(ISNUMBER(I2181),I2181,TasaUSD))</f>
        <v/>
      </c>
      <c r="S2181" s="53">
        <f>IF(P2181="","",IF(H2181="USD",G2181*R2181,G2181))</f>
        <v/>
      </c>
      <c r="T2181" s="53">
        <f>IF(P2181="","",IF(H2181="USD",G2181,IF(R2181&gt;0,G2181/R2181,0)))</f>
        <v/>
      </c>
      <c r="U2181" s="53">
        <f>IF(P2181="","",IF(P2181="Gasto",S2181,IF(P2181="Reembolso",-S2181,0)))</f>
        <v/>
      </c>
      <c r="V2181" s="53">
        <f>IF(P2181="","",IF(P2181="Ingreso",S2181,0))</f>
        <v/>
      </c>
      <c r="W2181" s="53">
        <f>IF(P2181="","",IF(P2181="Resultado trading",S2181,0))</f>
        <v/>
      </c>
      <c r="X2181" s="52">
        <f>IF(OR(P2181="Gasto",P2181="Reembolso"),IF(M2181&lt;&gt;"",M2181,IFERROR(INDEX(catClasif,MATCH(D2181&amp;"|"&amp;E2181,catClave,0))&amp;"","Variable")),"")</f>
        <v/>
      </c>
      <c r="Y2181" s="52">
        <f>IF(P2181="","",IFERROR(INDEX(catGrupo,MATCH(D2181&amp;"|"&amp;E2181,catClave,0))&amp;"",""))</f>
        <v/>
      </c>
      <c r="Z2181" s="52">
        <f>IF(P2181="","",WEEKDAY(B2181,2))</f>
        <v/>
      </c>
      <c r="AA2181" s="52">
        <f>IF(P2181="","",IF(AND(P2181="Gasto",X2181="Variable",D2181&lt;&gt;catTrading,S2181&gt;0,S2181&lt;=Umbral),1,0))</f>
        <v/>
      </c>
      <c r="AB2181" s="52">
        <f>IF(OR(P2181="",Q2181=""),"",IFERROR(IF(INDEX(ctaVinc,MATCH(Q2181,ctaNombre,0))&amp;""&lt;&gt;"",INDEX(ctaVinc,MATCH(Q2181,ctaNombre,0))&amp;"",Q2181),Q2181))</f>
        <v/>
      </c>
      <c r="AC2181" s="52">
        <f>IF(OR(K2181="",AND(P2181&lt;&gt;"Transferencia",P2181&lt;&gt;"Pago tarjeta")),"",IFERROR(IF(INDEX(ctaVinc,MATCH(K2181,ctaNombre,0))&amp;""&lt;&gt;"",INDEX(ctaVinc,MATCH(K2181,ctaNombre,0))&amp;"",K2181),K2181))</f>
        <v/>
      </c>
      <c r="AD2181" s="52">
        <f>IF(AB2181="","",IFERROR(INDEX(ctaTipo,MATCH(AB2181,ctaNombre,0))&amp;"",""))</f>
        <v/>
      </c>
      <c r="AE2181" s="52">
        <f>IF(AC2181="","",IFERROR(INDEX(ctaTipo,MATCH(AC2181,ctaNombre,0))&amp;"",""))</f>
        <v/>
      </c>
      <c r="AF2181" s="53">
        <f>IF(OR(P2181="",AB2181=""),"",IF(OR(P2181="Gasto",P2181="Transferencia",P2181="Pago tarjeta"),-1,1)*IF(IFERROR(INDEX(ctaMoneda,MATCH(AB2181,ctaNombre,0))&amp;"","DOP")="USD",T2181,S2181))</f>
        <v/>
      </c>
      <c r="AG2181" s="53">
        <f>IF(AC2181="","",IF(IFERROR(INDEX(ctaMoneda,MATCH(AC2181,ctaNombre,0))&amp;"","DOP")="USD",T2181,S2181))</f>
        <v/>
      </c>
      <c r="AH2181" s="53">
        <f>IF(P2181="","",IF(AND(AD2181&lt;&gt;"",COUNTIFS(tcTipo,AD2181,tcLiq,"Sí")&gt;0),IF(OR(P2181="Gasto",P2181="Transferencia",P2181="Pago tarjeta"),-1,1)*S2181,0)+IF(AND(AE2181&lt;&gt;"",COUNTIFS(tcTipo,AE2181,tcLiq,"Sí")&gt;0),S2181,0))</f>
        <v/>
      </c>
      <c r="AI2181" s="52">
        <f>IF(OR(L2181="",P2181=""),"",IF(COUNTIFS(L$6:L2181,L2181,P$6:P2181,"?*")=1,MAX(AI$5:AI2180)+1,""))</f>
        <v/>
      </c>
    </row>
    <row r="2182">
      <c r="B2182" s="47" t="n"/>
      <c r="C2182" s="48" t="n"/>
      <c r="D2182" s="48" t="n"/>
      <c r="E2182" s="48" t="n"/>
      <c r="F2182" s="48" t="n"/>
      <c r="G2182" s="49" t="n"/>
      <c r="H2182" s="48" t="n"/>
      <c r="I2182" s="50" t="n"/>
      <c r="J2182" s="48" t="n"/>
      <c r="K2182" s="48" t="n"/>
      <c r="L2182" s="48" t="n"/>
      <c r="M2182" s="48" t="n"/>
      <c r="N2182" s="48" t="n"/>
      <c r="O2182" s="51">
        <f>IF(AND(B2182="",G2182="",C2182="",D2182="",J2182=""),"",IF(B2182="","⚠ Falta fecha",IF(G2182="","⚠ Falta monto",IF(Q2182="","⚠ Falta cuenta",IF(ISNA(MATCH(Q2182,ctaNombre,0)),"⚠ Cuenta no registrada",IF(AND(OR(P2182="Gasto",P2182="Reembolso"),D2182=""),"⚠ Falta categoría",IF(AND(D2182&lt;&gt;"",E2182&lt;&gt;"",ISNA(MATCH(D2182&amp;"|"&amp;E2182,catClave,0))),"⚠ Subcategoría no corresponde",IF(AND(OR(P2182="Transferencia",P2182="Pago tarjeta"),K2182=""),"⚠ Falta cuenta destino",IF(AND(K2182&lt;&gt;"",P2182&lt;&gt;"Transferencia",P2182&lt;&gt;"Pago tarjeta"),"⚠ Destino solo aplica a transferencias",IF(AND(K2182&lt;&gt;"",K2182=Q2182),"⚠ Origen igual a destino",IF(AND(K2182&lt;&gt;"",ISNA(MATCH(K2182,ctaNombre,0))),"⚠ Destino no registrado",IF(AND(P2182="Pago tarjeta",AE2182&lt;&gt;"Tarjeta de crédito"),"⚠ El destino debe ser tarjeta de crédito",IF(AND(P2182="Gasto",E2182="Depósitos y retiros"),"⚠ Usa tipo Transferencia",IF(AND(P2182="Resultado trading",AD2182&lt;&gt;"Cuenta de trading"),"⚠ Usa una cuenta de trading",IF(AND(G2182&lt;=0,P2182&lt;&gt;"Ajuste",P2182&lt;&gt;"Resultado trading"),"⚠ El monto debe ser positivo","✓")))))))))))))))</f>
        <v/>
      </c>
      <c r="P2182" s="52">
        <f>IF(OR(B2182="",G2182=""),"",IF(C2182="","Gasto",C2182))</f>
        <v/>
      </c>
      <c r="Q2182" s="52">
        <f>IF(P2182="","",IF(J2182&lt;&gt;"",J2182,CuentaPred&amp;""))</f>
        <v/>
      </c>
      <c r="R2182" s="52">
        <f>IF(P2182="","",IF(ISNUMBER(I2182),I2182,TasaUSD))</f>
        <v/>
      </c>
      <c r="S2182" s="53">
        <f>IF(P2182="","",IF(H2182="USD",G2182*R2182,G2182))</f>
        <v/>
      </c>
      <c r="T2182" s="53">
        <f>IF(P2182="","",IF(H2182="USD",G2182,IF(R2182&gt;0,G2182/R2182,0)))</f>
        <v/>
      </c>
      <c r="U2182" s="53">
        <f>IF(P2182="","",IF(P2182="Gasto",S2182,IF(P2182="Reembolso",-S2182,0)))</f>
        <v/>
      </c>
      <c r="V2182" s="53">
        <f>IF(P2182="","",IF(P2182="Ingreso",S2182,0))</f>
        <v/>
      </c>
      <c r="W2182" s="53">
        <f>IF(P2182="","",IF(P2182="Resultado trading",S2182,0))</f>
        <v/>
      </c>
      <c r="X2182" s="52">
        <f>IF(OR(P2182="Gasto",P2182="Reembolso"),IF(M2182&lt;&gt;"",M2182,IFERROR(INDEX(catClasif,MATCH(D2182&amp;"|"&amp;E2182,catClave,0))&amp;"","Variable")),"")</f>
        <v/>
      </c>
      <c r="Y2182" s="52">
        <f>IF(P2182="","",IFERROR(INDEX(catGrupo,MATCH(D2182&amp;"|"&amp;E2182,catClave,0))&amp;"",""))</f>
        <v/>
      </c>
      <c r="Z2182" s="52">
        <f>IF(P2182="","",WEEKDAY(B2182,2))</f>
        <v/>
      </c>
      <c r="AA2182" s="52">
        <f>IF(P2182="","",IF(AND(P2182="Gasto",X2182="Variable",D2182&lt;&gt;catTrading,S2182&gt;0,S2182&lt;=Umbral),1,0))</f>
        <v/>
      </c>
      <c r="AB2182" s="52">
        <f>IF(OR(P2182="",Q2182=""),"",IFERROR(IF(INDEX(ctaVinc,MATCH(Q2182,ctaNombre,0))&amp;""&lt;&gt;"",INDEX(ctaVinc,MATCH(Q2182,ctaNombre,0))&amp;"",Q2182),Q2182))</f>
        <v/>
      </c>
      <c r="AC2182" s="52">
        <f>IF(OR(K2182="",AND(P2182&lt;&gt;"Transferencia",P2182&lt;&gt;"Pago tarjeta")),"",IFERROR(IF(INDEX(ctaVinc,MATCH(K2182,ctaNombre,0))&amp;""&lt;&gt;"",INDEX(ctaVinc,MATCH(K2182,ctaNombre,0))&amp;"",K2182),K2182))</f>
        <v/>
      </c>
      <c r="AD2182" s="52">
        <f>IF(AB2182="","",IFERROR(INDEX(ctaTipo,MATCH(AB2182,ctaNombre,0))&amp;"",""))</f>
        <v/>
      </c>
      <c r="AE2182" s="52">
        <f>IF(AC2182="","",IFERROR(INDEX(ctaTipo,MATCH(AC2182,ctaNombre,0))&amp;"",""))</f>
        <v/>
      </c>
      <c r="AF2182" s="53">
        <f>IF(OR(P2182="",AB2182=""),"",IF(OR(P2182="Gasto",P2182="Transferencia",P2182="Pago tarjeta"),-1,1)*IF(IFERROR(INDEX(ctaMoneda,MATCH(AB2182,ctaNombre,0))&amp;"","DOP")="USD",T2182,S2182))</f>
        <v/>
      </c>
      <c r="AG2182" s="53">
        <f>IF(AC2182="","",IF(IFERROR(INDEX(ctaMoneda,MATCH(AC2182,ctaNombre,0))&amp;"","DOP")="USD",T2182,S2182))</f>
        <v/>
      </c>
      <c r="AH2182" s="53">
        <f>IF(P2182="","",IF(AND(AD2182&lt;&gt;"",COUNTIFS(tcTipo,AD2182,tcLiq,"Sí")&gt;0),IF(OR(P2182="Gasto",P2182="Transferencia",P2182="Pago tarjeta"),-1,1)*S2182,0)+IF(AND(AE2182&lt;&gt;"",COUNTIFS(tcTipo,AE2182,tcLiq,"Sí")&gt;0),S2182,0))</f>
        <v/>
      </c>
      <c r="AI2182" s="52">
        <f>IF(OR(L2182="",P2182=""),"",IF(COUNTIFS(L$6:L2182,L2182,P$6:P2182,"?*")=1,MAX(AI$5:AI2181)+1,""))</f>
        <v/>
      </c>
    </row>
    <row r="2183">
      <c r="B2183" s="47" t="n"/>
      <c r="C2183" s="48" t="n"/>
      <c r="D2183" s="48" t="n"/>
      <c r="E2183" s="48" t="n"/>
      <c r="F2183" s="48" t="n"/>
      <c r="G2183" s="49" t="n"/>
      <c r="H2183" s="48" t="n"/>
      <c r="I2183" s="50" t="n"/>
      <c r="J2183" s="48" t="n"/>
      <c r="K2183" s="48" t="n"/>
      <c r="L2183" s="48" t="n"/>
      <c r="M2183" s="48" t="n"/>
      <c r="N2183" s="48" t="n"/>
      <c r="O2183" s="51">
        <f>IF(AND(B2183="",G2183="",C2183="",D2183="",J2183=""),"",IF(B2183="","⚠ Falta fecha",IF(G2183="","⚠ Falta monto",IF(Q2183="","⚠ Falta cuenta",IF(ISNA(MATCH(Q2183,ctaNombre,0)),"⚠ Cuenta no registrada",IF(AND(OR(P2183="Gasto",P2183="Reembolso"),D2183=""),"⚠ Falta categoría",IF(AND(D2183&lt;&gt;"",E2183&lt;&gt;"",ISNA(MATCH(D2183&amp;"|"&amp;E2183,catClave,0))),"⚠ Subcategoría no corresponde",IF(AND(OR(P2183="Transferencia",P2183="Pago tarjeta"),K2183=""),"⚠ Falta cuenta destino",IF(AND(K2183&lt;&gt;"",P2183&lt;&gt;"Transferencia",P2183&lt;&gt;"Pago tarjeta"),"⚠ Destino solo aplica a transferencias",IF(AND(K2183&lt;&gt;"",K2183=Q2183),"⚠ Origen igual a destino",IF(AND(K2183&lt;&gt;"",ISNA(MATCH(K2183,ctaNombre,0))),"⚠ Destino no registrado",IF(AND(P2183="Pago tarjeta",AE2183&lt;&gt;"Tarjeta de crédito"),"⚠ El destino debe ser tarjeta de crédito",IF(AND(P2183="Gasto",E2183="Depósitos y retiros"),"⚠ Usa tipo Transferencia",IF(AND(P2183="Resultado trading",AD2183&lt;&gt;"Cuenta de trading"),"⚠ Usa una cuenta de trading",IF(AND(G2183&lt;=0,P2183&lt;&gt;"Ajuste",P2183&lt;&gt;"Resultado trading"),"⚠ El monto debe ser positivo","✓")))))))))))))))</f>
        <v/>
      </c>
      <c r="P2183" s="52">
        <f>IF(OR(B2183="",G2183=""),"",IF(C2183="","Gasto",C2183))</f>
        <v/>
      </c>
      <c r="Q2183" s="52">
        <f>IF(P2183="","",IF(J2183&lt;&gt;"",J2183,CuentaPred&amp;""))</f>
        <v/>
      </c>
      <c r="R2183" s="52">
        <f>IF(P2183="","",IF(ISNUMBER(I2183),I2183,TasaUSD))</f>
        <v/>
      </c>
      <c r="S2183" s="53">
        <f>IF(P2183="","",IF(H2183="USD",G2183*R2183,G2183))</f>
        <v/>
      </c>
      <c r="T2183" s="53">
        <f>IF(P2183="","",IF(H2183="USD",G2183,IF(R2183&gt;0,G2183/R2183,0)))</f>
        <v/>
      </c>
      <c r="U2183" s="53">
        <f>IF(P2183="","",IF(P2183="Gasto",S2183,IF(P2183="Reembolso",-S2183,0)))</f>
        <v/>
      </c>
      <c r="V2183" s="53">
        <f>IF(P2183="","",IF(P2183="Ingreso",S2183,0))</f>
        <v/>
      </c>
      <c r="W2183" s="53">
        <f>IF(P2183="","",IF(P2183="Resultado trading",S2183,0))</f>
        <v/>
      </c>
      <c r="X2183" s="52">
        <f>IF(OR(P2183="Gasto",P2183="Reembolso"),IF(M2183&lt;&gt;"",M2183,IFERROR(INDEX(catClasif,MATCH(D2183&amp;"|"&amp;E2183,catClave,0))&amp;"","Variable")),"")</f>
        <v/>
      </c>
      <c r="Y2183" s="52">
        <f>IF(P2183="","",IFERROR(INDEX(catGrupo,MATCH(D2183&amp;"|"&amp;E2183,catClave,0))&amp;"",""))</f>
        <v/>
      </c>
      <c r="Z2183" s="52">
        <f>IF(P2183="","",WEEKDAY(B2183,2))</f>
        <v/>
      </c>
      <c r="AA2183" s="52">
        <f>IF(P2183="","",IF(AND(P2183="Gasto",X2183="Variable",D2183&lt;&gt;catTrading,S2183&gt;0,S2183&lt;=Umbral),1,0))</f>
        <v/>
      </c>
      <c r="AB2183" s="52">
        <f>IF(OR(P2183="",Q2183=""),"",IFERROR(IF(INDEX(ctaVinc,MATCH(Q2183,ctaNombre,0))&amp;""&lt;&gt;"",INDEX(ctaVinc,MATCH(Q2183,ctaNombre,0))&amp;"",Q2183),Q2183))</f>
        <v/>
      </c>
      <c r="AC2183" s="52">
        <f>IF(OR(K2183="",AND(P2183&lt;&gt;"Transferencia",P2183&lt;&gt;"Pago tarjeta")),"",IFERROR(IF(INDEX(ctaVinc,MATCH(K2183,ctaNombre,0))&amp;""&lt;&gt;"",INDEX(ctaVinc,MATCH(K2183,ctaNombre,0))&amp;"",K2183),K2183))</f>
        <v/>
      </c>
      <c r="AD2183" s="52">
        <f>IF(AB2183="","",IFERROR(INDEX(ctaTipo,MATCH(AB2183,ctaNombre,0))&amp;"",""))</f>
        <v/>
      </c>
      <c r="AE2183" s="52">
        <f>IF(AC2183="","",IFERROR(INDEX(ctaTipo,MATCH(AC2183,ctaNombre,0))&amp;"",""))</f>
        <v/>
      </c>
      <c r="AF2183" s="53">
        <f>IF(OR(P2183="",AB2183=""),"",IF(OR(P2183="Gasto",P2183="Transferencia",P2183="Pago tarjeta"),-1,1)*IF(IFERROR(INDEX(ctaMoneda,MATCH(AB2183,ctaNombre,0))&amp;"","DOP")="USD",T2183,S2183))</f>
        <v/>
      </c>
      <c r="AG2183" s="53">
        <f>IF(AC2183="","",IF(IFERROR(INDEX(ctaMoneda,MATCH(AC2183,ctaNombre,0))&amp;"","DOP")="USD",T2183,S2183))</f>
        <v/>
      </c>
      <c r="AH2183" s="53">
        <f>IF(P2183="","",IF(AND(AD2183&lt;&gt;"",COUNTIFS(tcTipo,AD2183,tcLiq,"Sí")&gt;0),IF(OR(P2183="Gasto",P2183="Transferencia",P2183="Pago tarjeta"),-1,1)*S2183,0)+IF(AND(AE2183&lt;&gt;"",COUNTIFS(tcTipo,AE2183,tcLiq,"Sí")&gt;0),S2183,0))</f>
        <v/>
      </c>
      <c r="AI2183" s="52">
        <f>IF(OR(L2183="",P2183=""),"",IF(COUNTIFS(L$6:L2183,L2183,P$6:P2183,"?*")=1,MAX(AI$5:AI2182)+1,""))</f>
        <v/>
      </c>
    </row>
    <row r="2184">
      <c r="B2184" s="47" t="n"/>
      <c r="C2184" s="48" t="n"/>
      <c r="D2184" s="48" t="n"/>
      <c r="E2184" s="48" t="n"/>
      <c r="F2184" s="48" t="n"/>
      <c r="G2184" s="49" t="n"/>
      <c r="H2184" s="48" t="n"/>
      <c r="I2184" s="50" t="n"/>
      <c r="J2184" s="48" t="n"/>
      <c r="K2184" s="48" t="n"/>
      <c r="L2184" s="48" t="n"/>
      <c r="M2184" s="48" t="n"/>
      <c r="N2184" s="48" t="n"/>
      <c r="O2184" s="51">
        <f>IF(AND(B2184="",G2184="",C2184="",D2184="",J2184=""),"",IF(B2184="","⚠ Falta fecha",IF(G2184="","⚠ Falta monto",IF(Q2184="","⚠ Falta cuenta",IF(ISNA(MATCH(Q2184,ctaNombre,0)),"⚠ Cuenta no registrada",IF(AND(OR(P2184="Gasto",P2184="Reembolso"),D2184=""),"⚠ Falta categoría",IF(AND(D2184&lt;&gt;"",E2184&lt;&gt;"",ISNA(MATCH(D2184&amp;"|"&amp;E2184,catClave,0))),"⚠ Subcategoría no corresponde",IF(AND(OR(P2184="Transferencia",P2184="Pago tarjeta"),K2184=""),"⚠ Falta cuenta destino",IF(AND(K2184&lt;&gt;"",P2184&lt;&gt;"Transferencia",P2184&lt;&gt;"Pago tarjeta"),"⚠ Destino solo aplica a transferencias",IF(AND(K2184&lt;&gt;"",K2184=Q2184),"⚠ Origen igual a destino",IF(AND(K2184&lt;&gt;"",ISNA(MATCH(K2184,ctaNombre,0))),"⚠ Destino no registrado",IF(AND(P2184="Pago tarjeta",AE2184&lt;&gt;"Tarjeta de crédito"),"⚠ El destino debe ser tarjeta de crédito",IF(AND(P2184="Gasto",E2184="Depósitos y retiros"),"⚠ Usa tipo Transferencia",IF(AND(P2184="Resultado trading",AD2184&lt;&gt;"Cuenta de trading"),"⚠ Usa una cuenta de trading",IF(AND(G2184&lt;=0,P2184&lt;&gt;"Ajuste",P2184&lt;&gt;"Resultado trading"),"⚠ El monto debe ser positivo","✓")))))))))))))))</f>
        <v/>
      </c>
      <c r="P2184" s="52">
        <f>IF(OR(B2184="",G2184=""),"",IF(C2184="","Gasto",C2184))</f>
        <v/>
      </c>
      <c r="Q2184" s="52">
        <f>IF(P2184="","",IF(J2184&lt;&gt;"",J2184,CuentaPred&amp;""))</f>
        <v/>
      </c>
      <c r="R2184" s="52">
        <f>IF(P2184="","",IF(ISNUMBER(I2184),I2184,TasaUSD))</f>
        <v/>
      </c>
      <c r="S2184" s="53">
        <f>IF(P2184="","",IF(H2184="USD",G2184*R2184,G2184))</f>
        <v/>
      </c>
      <c r="T2184" s="53">
        <f>IF(P2184="","",IF(H2184="USD",G2184,IF(R2184&gt;0,G2184/R2184,0)))</f>
        <v/>
      </c>
      <c r="U2184" s="53">
        <f>IF(P2184="","",IF(P2184="Gasto",S2184,IF(P2184="Reembolso",-S2184,0)))</f>
        <v/>
      </c>
      <c r="V2184" s="53">
        <f>IF(P2184="","",IF(P2184="Ingreso",S2184,0))</f>
        <v/>
      </c>
      <c r="W2184" s="53">
        <f>IF(P2184="","",IF(P2184="Resultado trading",S2184,0))</f>
        <v/>
      </c>
      <c r="X2184" s="52">
        <f>IF(OR(P2184="Gasto",P2184="Reembolso"),IF(M2184&lt;&gt;"",M2184,IFERROR(INDEX(catClasif,MATCH(D2184&amp;"|"&amp;E2184,catClave,0))&amp;"","Variable")),"")</f>
        <v/>
      </c>
      <c r="Y2184" s="52">
        <f>IF(P2184="","",IFERROR(INDEX(catGrupo,MATCH(D2184&amp;"|"&amp;E2184,catClave,0))&amp;"",""))</f>
        <v/>
      </c>
      <c r="Z2184" s="52">
        <f>IF(P2184="","",WEEKDAY(B2184,2))</f>
        <v/>
      </c>
      <c r="AA2184" s="52">
        <f>IF(P2184="","",IF(AND(P2184="Gasto",X2184="Variable",D2184&lt;&gt;catTrading,S2184&gt;0,S2184&lt;=Umbral),1,0))</f>
        <v/>
      </c>
      <c r="AB2184" s="52">
        <f>IF(OR(P2184="",Q2184=""),"",IFERROR(IF(INDEX(ctaVinc,MATCH(Q2184,ctaNombre,0))&amp;""&lt;&gt;"",INDEX(ctaVinc,MATCH(Q2184,ctaNombre,0))&amp;"",Q2184),Q2184))</f>
        <v/>
      </c>
      <c r="AC2184" s="52">
        <f>IF(OR(K2184="",AND(P2184&lt;&gt;"Transferencia",P2184&lt;&gt;"Pago tarjeta")),"",IFERROR(IF(INDEX(ctaVinc,MATCH(K2184,ctaNombre,0))&amp;""&lt;&gt;"",INDEX(ctaVinc,MATCH(K2184,ctaNombre,0))&amp;"",K2184),K2184))</f>
        <v/>
      </c>
      <c r="AD2184" s="52">
        <f>IF(AB2184="","",IFERROR(INDEX(ctaTipo,MATCH(AB2184,ctaNombre,0))&amp;"",""))</f>
        <v/>
      </c>
      <c r="AE2184" s="52">
        <f>IF(AC2184="","",IFERROR(INDEX(ctaTipo,MATCH(AC2184,ctaNombre,0))&amp;"",""))</f>
        <v/>
      </c>
      <c r="AF2184" s="53">
        <f>IF(OR(P2184="",AB2184=""),"",IF(OR(P2184="Gasto",P2184="Transferencia",P2184="Pago tarjeta"),-1,1)*IF(IFERROR(INDEX(ctaMoneda,MATCH(AB2184,ctaNombre,0))&amp;"","DOP")="USD",T2184,S2184))</f>
        <v/>
      </c>
      <c r="AG2184" s="53">
        <f>IF(AC2184="","",IF(IFERROR(INDEX(ctaMoneda,MATCH(AC2184,ctaNombre,0))&amp;"","DOP")="USD",T2184,S2184))</f>
        <v/>
      </c>
      <c r="AH2184" s="53">
        <f>IF(P2184="","",IF(AND(AD2184&lt;&gt;"",COUNTIFS(tcTipo,AD2184,tcLiq,"Sí")&gt;0),IF(OR(P2184="Gasto",P2184="Transferencia",P2184="Pago tarjeta"),-1,1)*S2184,0)+IF(AND(AE2184&lt;&gt;"",COUNTIFS(tcTipo,AE2184,tcLiq,"Sí")&gt;0),S2184,0))</f>
        <v/>
      </c>
      <c r="AI2184" s="52">
        <f>IF(OR(L2184="",P2184=""),"",IF(COUNTIFS(L$6:L2184,L2184,P$6:P2184,"?*")=1,MAX(AI$5:AI2183)+1,""))</f>
        <v/>
      </c>
    </row>
    <row r="2185">
      <c r="B2185" s="47" t="n"/>
      <c r="C2185" s="48" t="n"/>
      <c r="D2185" s="48" t="n"/>
      <c r="E2185" s="48" t="n"/>
      <c r="F2185" s="48" t="n"/>
      <c r="G2185" s="49" t="n"/>
      <c r="H2185" s="48" t="n"/>
      <c r="I2185" s="50" t="n"/>
      <c r="J2185" s="48" t="n"/>
      <c r="K2185" s="48" t="n"/>
      <c r="L2185" s="48" t="n"/>
      <c r="M2185" s="48" t="n"/>
      <c r="N2185" s="48" t="n"/>
      <c r="O2185" s="51">
        <f>IF(AND(B2185="",G2185="",C2185="",D2185="",J2185=""),"",IF(B2185="","⚠ Falta fecha",IF(G2185="","⚠ Falta monto",IF(Q2185="","⚠ Falta cuenta",IF(ISNA(MATCH(Q2185,ctaNombre,0)),"⚠ Cuenta no registrada",IF(AND(OR(P2185="Gasto",P2185="Reembolso"),D2185=""),"⚠ Falta categoría",IF(AND(D2185&lt;&gt;"",E2185&lt;&gt;"",ISNA(MATCH(D2185&amp;"|"&amp;E2185,catClave,0))),"⚠ Subcategoría no corresponde",IF(AND(OR(P2185="Transferencia",P2185="Pago tarjeta"),K2185=""),"⚠ Falta cuenta destino",IF(AND(K2185&lt;&gt;"",P2185&lt;&gt;"Transferencia",P2185&lt;&gt;"Pago tarjeta"),"⚠ Destino solo aplica a transferencias",IF(AND(K2185&lt;&gt;"",K2185=Q2185),"⚠ Origen igual a destino",IF(AND(K2185&lt;&gt;"",ISNA(MATCH(K2185,ctaNombre,0))),"⚠ Destino no registrado",IF(AND(P2185="Pago tarjeta",AE2185&lt;&gt;"Tarjeta de crédito"),"⚠ El destino debe ser tarjeta de crédito",IF(AND(P2185="Gasto",E2185="Depósitos y retiros"),"⚠ Usa tipo Transferencia",IF(AND(P2185="Resultado trading",AD2185&lt;&gt;"Cuenta de trading"),"⚠ Usa una cuenta de trading",IF(AND(G2185&lt;=0,P2185&lt;&gt;"Ajuste",P2185&lt;&gt;"Resultado trading"),"⚠ El monto debe ser positivo","✓")))))))))))))))</f>
        <v/>
      </c>
      <c r="P2185" s="52">
        <f>IF(OR(B2185="",G2185=""),"",IF(C2185="","Gasto",C2185))</f>
        <v/>
      </c>
      <c r="Q2185" s="52">
        <f>IF(P2185="","",IF(J2185&lt;&gt;"",J2185,CuentaPred&amp;""))</f>
        <v/>
      </c>
      <c r="R2185" s="52">
        <f>IF(P2185="","",IF(ISNUMBER(I2185),I2185,TasaUSD))</f>
        <v/>
      </c>
      <c r="S2185" s="53">
        <f>IF(P2185="","",IF(H2185="USD",G2185*R2185,G2185))</f>
        <v/>
      </c>
      <c r="T2185" s="53">
        <f>IF(P2185="","",IF(H2185="USD",G2185,IF(R2185&gt;0,G2185/R2185,0)))</f>
        <v/>
      </c>
      <c r="U2185" s="53">
        <f>IF(P2185="","",IF(P2185="Gasto",S2185,IF(P2185="Reembolso",-S2185,0)))</f>
        <v/>
      </c>
      <c r="V2185" s="53">
        <f>IF(P2185="","",IF(P2185="Ingreso",S2185,0))</f>
        <v/>
      </c>
      <c r="W2185" s="53">
        <f>IF(P2185="","",IF(P2185="Resultado trading",S2185,0))</f>
        <v/>
      </c>
      <c r="X2185" s="52">
        <f>IF(OR(P2185="Gasto",P2185="Reembolso"),IF(M2185&lt;&gt;"",M2185,IFERROR(INDEX(catClasif,MATCH(D2185&amp;"|"&amp;E2185,catClave,0))&amp;"","Variable")),"")</f>
        <v/>
      </c>
      <c r="Y2185" s="52">
        <f>IF(P2185="","",IFERROR(INDEX(catGrupo,MATCH(D2185&amp;"|"&amp;E2185,catClave,0))&amp;"",""))</f>
        <v/>
      </c>
      <c r="Z2185" s="52">
        <f>IF(P2185="","",WEEKDAY(B2185,2))</f>
        <v/>
      </c>
      <c r="AA2185" s="52">
        <f>IF(P2185="","",IF(AND(P2185="Gasto",X2185="Variable",D2185&lt;&gt;catTrading,S2185&gt;0,S2185&lt;=Umbral),1,0))</f>
        <v/>
      </c>
      <c r="AB2185" s="52">
        <f>IF(OR(P2185="",Q2185=""),"",IFERROR(IF(INDEX(ctaVinc,MATCH(Q2185,ctaNombre,0))&amp;""&lt;&gt;"",INDEX(ctaVinc,MATCH(Q2185,ctaNombre,0))&amp;"",Q2185),Q2185))</f>
        <v/>
      </c>
      <c r="AC2185" s="52">
        <f>IF(OR(K2185="",AND(P2185&lt;&gt;"Transferencia",P2185&lt;&gt;"Pago tarjeta")),"",IFERROR(IF(INDEX(ctaVinc,MATCH(K2185,ctaNombre,0))&amp;""&lt;&gt;"",INDEX(ctaVinc,MATCH(K2185,ctaNombre,0))&amp;"",K2185),K2185))</f>
        <v/>
      </c>
      <c r="AD2185" s="52">
        <f>IF(AB2185="","",IFERROR(INDEX(ctaTipo,MATCH(AB2185,ctaNombre,0))&amp;"",""))</f>
        <v/>
      </c>
      <c r="AE2185" s="52">
        <f>IF(AC2185="","",IFERROR(INDEX(ctaTipo,MATCH(AC2185,ctaNombre,0))&amp;"",""))</f>
        <v/>
      </c>
      <c r="AF2185" s="53">
        <f>IF(OR(P2185="",AB2185=""),"",IF(OR(P2185="Gasto",P2185="Transferencia",P2185="Pago tarjeta"),-1,1)*IF(IFERROR(INDEX(ctaMoneda,MATCH(AB2185,ctaNombre,0))&amp;"","DOP")="USD",T2185,S2185))</f>
        <v/>
      </c>
      <c r="AG2185" s="53">
        <f>IF(AC2185="","",IF(IFERROR(INDEX(ctaMoneda,MATCH(AC2185,ctaNombre,0))&amp;"","DOP")="USD",T2185,S2185))</f>
        <v/>
      </c>
      <c r="AH2185" s="53">
        <f>IF(P2185="","",IF(AND(AD2185&lt;&gt;"",COUNTIFS(tcTipo,AD2185,tcLiq,"Sí")&gt;0),IF(OR(P2185="Gasto",P2185="Transferencia",P2185="Pago tarjeta"),-1,1)*S2185,0)+IF(AND(AE2185&lt;&gt;"",COUNTIFS(tcTipo,AE2185,tcLiq,"Sí")&gt;0),S2185,0))</f>
        <v/>
      </c>
      <c r="AI2185" s="52">
        <f>IF(OR(L2185="",P2185=""),"",IF(COUNTIFS(L$6:L2185,L2185,P$6:P2185,"?*")=1,MAX(AI$5:AI2184)+1,""))</f>
        <v/>
      </c>
    </row>
    <row r="2186">
      <c r="B2186" s="47" t="n"/>
      <c r="C2186" s="48" t="n"/>
      <c r="D2186" s="48" t="n"/>
      <c r="E2186" s="48" t="n"/>
      <c r="F2186" s="48" t="n"/>
      <c r="G2186" s="49" t="n"/>
      <c r="H2186" s="48" t="n"/>
      <c r="I2186" s="50" t="n"/>
      <c r="J2186" s="48" t="n"/>
      <c r="K2186" s="48" t="n"/>
      <c r="L2186" s="48" t="n"/>
      <c r="M2186" s="48" t="n"/>
      <c r="N2186" s="48" t="n"/>
      <c r="O2186" s="51">
        <f>IF(AND(B2186="",G2186="",C2186="",D2186="",J2186=""),"",IF(B2186="","⚠ Falta fecha",IF(G2186="","⚠ Falta monto",IF(Q2186="","⚠ Falta cuenta",IF(ISNA(MATCH(Q2186,ctaNombre,0)),"⚠ Cuenta no registrada",IF(AND(OR(P2186="Gasto",P2186="Reembolso"),D2186=""),"⚠ Falta categoría",IF(AND(D2186&lt;&gt;"",E2186&lt;&gt;"",ISNA(MATCH(D2186&amp;"|"&amp;E2186,catClave,0))),"⚠ Subcategoría no corresponde",IF(AND(OR(P2186="Transferencia",P2186="Pago tarjeta"),K2186=""),"⚠ Falta cuenta destino",IF(AND(K2186&lt;&gt;"",P2186&lt;&gt;"Transferencia",P2186&lt;&gt;"Pago tarjeta"),"⚠ Destino solo aplica a transferencias",IF(AND(K2186&lt;&gt;"",K2186=Q2186),"⚠ Origen igual a destino",IF(AND(K2186&lt;&gt;"",ISNA(MATCH(K2186,ctaNombre,0))),"⚠ Destino no registrado",IF(AND(P2186="Pago tarjeta",AE2186&lt;&gt;"Tarjeta de crédito"),"⚠ El destino debe ser tarjeta de crédito",IF(AND(P2186="Gasto",E2186="Depósitos y retiros"),"⚠ Usa tipo Transferencia",IF(AND(P2186="Resultado trading",AD2186&lt;&gt;"Cuenta de trading"),"⚠ Usa una cuenta de trading",IF(AND(G2186&lt;=0,P2186&lt;&gt;"Ajuste",P2186&lt;&gt;"Resultado trading"),"⚠ El monto debe ser positivo","✓")))))))))))))))</f>
        <v/>
      </c>
      <c r="P2186" s="52">
        <f>IF(OR(B2186="",G2186=""),"",IF(C2186="","Gasto",C2186))</f>
        <v/>
      </c>
      <c r="Q2186" s="52">
        <f>IF(P2186="","",IF(J2186&lt;&gt;"",J2186,CuentaPred&amp;""))</f>
        <v/>
      </c>
      <c r="R2186" s="52">
        <f>IF(P2186="","",IF(ISNUMBER(I2186),I2186,TasaUSD))</f>
        <v/>
      </c>
      <c r="S2186" s="53">
        <f>IF(P2186="","",IF(H2186="USD",G2186*R2186,G2186))</f>
        <v/>
      </c>
      <c r="T2186" s="53">
        <f>IF(P2186="","",IF(H2186="USD",G2186,IF(R2186&gt;0,G2186/R2186,0)))</f>
        <v/>
      </c>
      <c r="U2186" s="53">
        <f>IF(P2186="","",IF(P2186="Gasto",S2186,IF(P2186="Reembolso",-S2186,0)))</f>
        <v/>
      </c>
      <c r="V2186" s="53">
        <f>IF(P2186="","",IF(P2186="Ingreso",S2186,0))</f>
        <v/>
      </c>
      <c r="W2186" s="53">
        <f>IF(P2186="","",IF(P2186="Resultado trading",S2186,0))</f>
        <v/>
      </c>
      <c r="X2186" s="52">
        <f>IF(OR(P2186="Gasto",P2186="Reembolso"),IF(M2186&lt;&gt;"",M2186,IFERROR(INDEX(catClasif,MATCH(D2186&amp;"|"&amp;E2186,catClave,0))&amp;"","Variable")),"")</f>
        <v/>
      </c>
      <c r="Y2186" s="52">
        <f>IF(P2186="","",IFERROR(INDEX(catGrupo,MATCH(D2186&amp;"|"&amp;E2186,catClave,0))&amp;"",""))</f>
        <v/>
      </c>
      <c r="Z2186" s="52">
        <f>IF(P2186="","",WEEKDAY(B2186,2))</f>
        <v/>
      </c>
      <c r="AA2186" s="52">
        <f>IF(P2186="","",IF(AND(P2186="Gasto",X2186="Variable",D2186&lt;&gt;catTrading,S2186&gt;0,S2186&lt;=Umbral),1,0))</f>
        <v/>
      </c>
      <c r="AB2186" s="52">
        <f>IF(OR(P2186="",Q2186=""),"",IFERROR(IF(INDEX(ctaVinc,MATCH(Q2186,ctaNombre,0))&amp;""&lt;&gt;"",INDEX(ctaVinc,MATCH(Q2186,ctaNombre,0))&amp;"",Q2186),Q2186))</f>
        <v/>
      </c>
      <c r="AC2186" s="52">
        <f>IF(OR(K2186="",AND(P2186&lt;&gt;"Transferencia",P2186&lt;&gt;"Pago tarjeta")),"",IFERROR(IF(INDEX(ctaVinc,MATCH(K2186,ctaNombre,0))&amp;""&lt;&gt;"",INDEX(ctaVinc,MATCH(K2186,ctaNombre,0))&amp;"",K2186),K2186))</f>
        <v/>
      </c>
      <c r="AD2186" s="52">
        <f>IF(AB2186="","",IFERROR(INDEX(ctaTipo,MATCH(AB2186,ctaNombre,0))&amp;"",""))</f>
        <v/>
      </c>
      <c r="AE2186" s="52">
        <f>IF(AC2186="","",IFERROR(INDEX(ctaTipo,MATCH(AC2186,ctaNombre,0))&amp;"",""))</f>
        <v/>
      </c>
      <c r="AF2186" s="53">
        <f>IF(OR(P2186="",AB2186=""),"",IF(OR(P2186="Gasto",P2186="Transferencia",P2186="Pago tarjeta"),-1,1)*IF(IFERROR(INDEX(ctaMoneda,MATCH(AB2186,ctaNombre,0))&amp;"","DOP")="USD",T2186,S2186))</f>
        <v/>
      </c>
      <c r="AG2186" s="53">
        <f>IF(AC2186="","",IF(IFERROR(INDEX(ctaMoneda,MATCH(AC2186,ctaNombre,0))&amp;"","DOP")="USD",T2186,S2186))</f>
        <v/>
      </c>
      <c r="AH2186" s="53">
        <f>IF(P2186="","",IF(AND(AD2186&lt;&gt;"",COUNTIFS(tcTipo,AD2186,tcLiq,"Sí")&gt;0),IF(OR(P2186="Gasto",P2186="Transferencia",P2186="Pago tarjeta"),-1,1)*S2186,0)+IF(AND(AE2186&lt;&gt;"",COUNTIFS(tcTipo,AE2186,tcLiq,"Sí")&gt;0),S2186,0))</f>
        <v/>
      </c>
      <c r="AI2186" s="52">
        <f>IF(OR(L2186="",P2186=""),"",IF(COUNTIFS(L$6:L2186,L2186,P$6:P2186,"?*")=1,MAX(AI$5:AI2185)+1,""))</f>
        <v/>
      </c>
    </row>
    <row r="2187">
      <c r="B2187" s="47" t="n"/>
      <c r="C2187" s="48" t="n"/>
      <c r="D2187" s="48" t="n"/>
      <c r="E2187" s="48" t="n"/>
      <c r="F2187" s="48" t="n"/>
      <c r="G2187" s="49" t="n"/>
      <c r="H2187" s="48" t="n"/>
      <c r="I2187" s="50" t="n"/>
      <c r="J2187" s="48" t="n"/>
      <c r="K2187" s="48" t="n"/>
      <c r="L2187" s="48" t="n"/>
      <c r="M2187" s="48" t="n"/>
      <c r="N2187" s="48" t="n"/>
      <c r="O2187" s="51">
        <f>IF(AND(B2187="",G2187="",C2187="",D2187="",J2187=""),"",IF(B2187="","⚠ Falta fecha",IF(G2187="","⚠ Falta monto",IF(Q2187="","⚠ Falta cuenta",IF(ISNA(MATCH(Q2187,ctaNombre,0)),"⚠ Cuenta no registrada",IF(AND(OR(P2187="Gasto",P2187="Reembolso"),D2187=""),"⚠ Falta categoría",IF(AND(D2187&lt;&gt;"",E2187&lt;&gt;"",ISNA(MATCH(D2187&amp;"|"&amp;E2187,catClave,0))),"⚠ Subcategoría no corresponde",IF(AND(OR(P2187="Transferencia",P2187="Pago tarjeta"),K2187=""),"⚠ Falta cuenta destino",IF(AND(K2187&lt;&gt;"",P2187&lt;&gt;"Transferencia",P2187&lt;&gt;"Pago tarjeta"),"⚠ Destino solo aplica a transferencias",IF(AND(K2187&lt;&gt;"",K2187=Q2187),"⚠ Origen igual a destino",IF(AND(K2187&lt;&gt;"",ISNA(MATCH(K2187,ctaNombre,0))),"⚠ Destino no registrado",IF(AND(P2187="Pago tarjeta",AE2187&lt;&gt;"Tarjeta de crédito"),"⚠ El destino debe ser tarjeta de crédito",IF(AND(P2187="Gasto",E2187="Depósitos y retiros"),"⚠ Usa tipo Transferencia",IF(AND(P2187="Resultado trading",AD2187&lt;&gt;"Cuenta de trading"),"⚠ Usa una cuenta de trading",IF(AND(G2187&lt;=0,P2187&lt;&gt;"Ajuste",P2187&lt;&gt;"Resultado trading"),"⚠ El monto debe ser positivo","✓")))))))))))))))</f>
        <v/>
      </c>
      <c r="P2187" s="52">
        <f>IF(OR(B2187="",G2187=""),"",IF(C2187="","Gasto",C2187))</f>
        <v/>
      </c>
      <c r="Q2187" s="52">
        <f>IF(P2187="","",IF(J2187&lt;&gt;"",J2187,CuentaPred&amp;""))</f>
        <v/>
      </c>
      <c r="R2187" s="52">
        <f>IF(P2187="","",IF(ISNUMBER(I2187),I2187,TasaUSD))</f>
        <v/>
      </c>
      <c r="S2187" s="53">
        <f>IF(P2187="","",IF(H2187="USD",G2187*R2187,G2187))</f>
        <v/>
      </c>
      <c r="T2187" s="53">
        <f>IF(P2187="","",IF(H2187="USD",G2187,IF(R2187&gt;0,G2187/R2187,0)))</f>
        <v/>
      </c>
      <c r="U2187" s="53">
        <f>IF(P2187="","",IF(P2187="Gasto",S2187,IF(P2187="Reembolso",-S2187,0)))</f>
        <v/>
      </c>
      <c r="V2187" s="53">
        <f>IF(P2187="","",IF(P2187="Ingreso",S2187,0))</f>
        <v/>
      </c>
      <c r="W2187" s="53">
        <f>IF(P2187="","",IF(P2187="Resultado trading",S2187,0))</f>
        <v/>
      </c>
      <c r="X2187" s="52">
        <f>IF(OR(P2187="Gasto",P2187="Reembolso"),IF(M2187&lt;&gt;"",M2187,IFERROR(INDEX(catClasif,MATCH(D2187&amp;"|"&amp;E2187,catClave,0))&amp;"","Variable")),"")</f>
        <v/>
      </c>
      <c r="Y2187" s="52">
        <f>IF(P2187="","",IFERROR(INDEX(catGrupo,MATCH(D2187&amp;"|"&amp;E2187,catClave,0))&amp;"",""))</f>
        <v/>
      </c>
      <c r="Z2187" s="52">
        <f>IF(P2187="","",WEEKDAY(B2187,2))</f>
        <v/>
      </c>
      <c r="AA2187" s="52">
        <f>IF(P2187="","",IF(AND(P2187="Gasto",X2187="Variable",D2187&lt;&gt;catTrading,S2187&gt;0,S2187&lt;=Umbral),1,0))</f>
        <v/>
      </c>
      <c r="AB2187" s="52">
        <f>IF(OR(P2187="",Q2187=""),"",IFERROR(IF(INDEX(ctaVinc,MATCH(Q2187,ctaNombre,0))&amp;""&lt;&gt;"",INDEX(ctaVinc,MATCH(Q2187,ctaNombre,0))&amp;"",Q2187),Q2187))</f>
        <v/>
      </c>
      <c r="AC2187" s="52">
        <f>IF(OR(K2187="",AND(P2187&lt;&gt;"Transferencia",P2187&lt;&gt;"Pago tarjeta")),"",IFERROR(IF(INDEX(ctaVinc,MATCH(K2187,ctaNombre,0))&amp;""&lt;&gt;"",INDEX(ctaVinc,MATCH(K2187,ctaNombre,0))&amp;"",K2187),K2187))</f>
        <v/>
      </c>
      <c r="AD2187" s="52">
        <f>IF(AB2187="","",IFERROR(INDEX(ctaTipo,MATCH(AB2187,ctaNombre,0))&amp;"",""))</f>
        <v/>
      </c>
      <c r="AE2187" s="52">
        <f>IF(AC2187="","",IFERROR(INDEX(ctaTipo,MATCH(AC2187,ctaNombre,0))&amp;"",""))</f>
        <v/>
      </c>
      <c r="AF2187" s="53">
        <f>IF(OR(P2187="",AB2187=""),"",IF(OR(P2187="Gasto",P2187="Transferencia",P2187="Pago tarjeta"),-1,1)*IF(IFERROR(INDEX(ctaMoneda,MATCH(AB2187,ctaNombre,0))&amp;"","DOP")="USD",T2187,S2187))</f>
        <v/>
      </c>
      <c r="AG2187" s="53">
        <f>IF(AC2187="","",IF(IFERROR(INDEX(ctaMoneda,MATCH(AC2187,ctaNombre,0))&amp;"","DOP")="USD",T2187,S2187))</f>
        <v/>
      </c>
      <c r="AH2187" s="53">
        <f>IF(P2187="","",IF(AND(AD2187&lt;&gt;"",COUNTIFS(tcTipo,AD2187,tcLiq,"Sí")&gt;0),IF(OR(P2187="Gasto",P2187="Transferencia",P2187="Pago tarjeta"),-1,1)*S2187,0)+IF(AND(AE2187&lt;&gt;"",COUNTIFS(tcTipo,AE2187,tcLiq,"Sí")&gt;0),S2187,0))</f>
        <v/>
      </c>
      <c r="AI2187" s="52">
        <f>IF(OR(L2187="",P2187=""),"",IF(COUNTIFS(L$6:L2187,L2187,P$6:P2187,"?*")=1,MAX(AI$5:AI2186)+1,""))</f>
        <v/>
      </c>
    </row>
    <row r="2188">
      <c r="B2188" s="47" t="n"/>
      <c r="C2188" s="48" t="n"/>
      <c r="D2188" s="48" t="n"/>
      <c r="E2188" s="48" t="n"/>
      <c r="F2188" s="48" t="n"/>
      <c r="G2188" s="49" t="n"/>
      <c r="H2188" s="48" t="n"/>
      <c r="I2188" s="50" t="n"/>
      <c r="J2188" s="48" t="n"/>
      <c r="K2188" s="48" t="n"/>
      <c r="L2188" s="48" t="n"/>
      <c r="M2188" s="48" t="n"/>
      <c r="N2188" s="48" t="n"/>
      <c r="O2188" s="51">
        <f>IF(AND(B2188="",G2188="",C2188="",D2188="",J2188=""),"",IF(B2188="","⚠ Falta fecha",IF(G2188="","⚠ Falta monto",IF(Q2188="","⚠ Falta cuenta",IF(ISNA(MATCH(Q2188,ctaNombre,0)),"⚠ Cuenta no registrada",IF(AND(OR(P2188="Gasto",P2188="Reembolso"),D2188=""),"⚠ Falta categoría",IF(AND(D2188&lt;&gt;"",E2188&lt;&gt;"",ISNA(MATCH(D2188&amp;"|"&amp;E2188,catClave,0))),"⚠ Subcategoría no corresponde",IF(AND(OR(P2188="Transferencia",P2188="Pago tarjeta"),K2188=""),"⚠ Falta cuenta destino",IF(AND(K2188&lt;&gt;"",P2188&lt;&gt;"Transferencia",P2188&lt;&gt;"Pago tarjeta"),"⚠ Destino solo aplica a transferencias",IF(AND(K2188&lt;&gt;"",K2188=Q2188),"⚠ Origen igual a destino",IF(AND(K2188&lt;&gt;"",ISNA(MATCH(K2188,ctaNombre,0))),"⚠ Destino no registrado",IF(AND(P2188="Pago tarjeta",AE2188&lt;&gt;"Tarjeta de crédito"),"⚠ El destino debe ser tarjeta de crédito",IF(AND(P2188="Gasto",E2188="Depósitos y retiros"),"⚠ Usa tipo Transferencia",IF(AND(P2188="Resultado trading",AD2188&lt;&gt;"Cuenta de trading"),"⚠ Usa una cuenta de trading",IF(AND(G2188&lt;=0,P2188&lt;&gt;"Ajuste",P2188&lt;&gt;"Resultado trading"),"⚠ El monto debe ser positivo","✓")))))))))))))))</f>
        <v/>
      </c>
      <c r="P2188" s="52">
        <f>IF(OR(B2188="",G2188=""),"",IF(C2188="","Gasto",C2188))</f>
        <v/>
      </c>
      <c r="Q2188" s="52">
        <f>IF(P2188="","",IF(J2188&lt;&gt;"",J2188,CuentaPred&amp;""))</f>
        <v/>
      </c>
      <c r="R2188" s="52">
        <f>IF(P2188="","",IF(ISNUMBER(I2188),I2188,TasaUSD))</f>
        <v/>
      </c>
      <c r="S2188" s="53">
        <f>IF(P2188="","",IF(H2188="USD",G2188*R2188,G2188))</f>
        <v/>
      </c>
      <c r="T2188" s="53">
        <f>IF(P2188="","",IF(H2188="USD",G2188,IF(R2188&gt;0,G2188/R2188,0)))</f>
        <v/>
      </c>
      <c r="U2188" s="53">
        <f>IF(P2188="","",IF(P2188="Gasto",S2188,IF(P2188="Reembolso",-S2188,0)))</f>
        <v/>
      </c>
      <c r="V2188" s="53">
        <f>IF(P2188="","",IF(P2188="Ingreso",S2188,0))</f>
        <v/>
      </c>
      <c r="W2188" s="53">
        <f>IF(P2188="","",IF(P2188="Resultado trading",S2188,0))</f>
        <v/>
      </c>
      <c r="X2188" s="52">
        <f>IF(OR(P2188="Gasto",P2188="Reembolso"),IF(M2188&lt;&gt;"",M2188,IFERROR(INDEX(catClasif,MATCH(D2188&amp;"|"&amp;E2188,catClave,0))&amp;"","Variable")),"")</f>
        <v/>
      </c>
      <c r="Y2188" s="52">
        <f>IF(P2188="","",IFERROR(INDEX(catGrupo,MATCH(D2188&amp;"|"&amp;E2188,catClave,0))&amp;"",""))</f>
        <v/>
      </c>
      <c r="Z2188" s="52">
        <f>IF(P2188="","",WEEKDAY(B2188,2))</f>
        <v/>
      </c>
      <c r="AA2188" s="52">
        <f>IF(P2188="","",IF(AND(P2188="Gasto",X2188="Variable",D2188&lt;&gt;catTrading,S2188&gt;0,S2188&lt;=Umbral),1,0))</f>
        <v/>
      </c>
      <c r="AB2188" s="52">
        <f>IF(OR(P2188="",Q2188=""),"",IFERROR(IF(INDEX(ctaVinc,MATCH(Q2188,ctaNombre,0))&amp;""&lt;&gt;"",INDEX(ctaVinc,MATCH(Q2188,ctaNombre,0))&amp;"",Q2188),Q2188))</f>
        <v/>
      </c>
      <c r="AC2188" s="52">
        <f>IF(OR(K2188="",AND(P2188&lt;&gt;"Transferencia",P2188&lt;&gt;"Pago tarjeta")),"",IFERROR(IF(INDEX(ctaVinc,MATCH(K2188,ctaNombre,0))&amp;""&lt;&gt;"",INDEX(ctaVinc,MATCH(K2188,ctaNombre,0))&amp;"",K2188),K2188))</f>
        <v/>
      </c>
      <c r="AD2188" s="52">
        <f>IF(AB2188="","",IFERROR(INDEX(ctaTipo,MATCH(AB2188,ctaNombre,0))&amp;"",""))</f>
        <v/>
      </c>
      <c r="AE2188" s="52">
        <f>IF(AC2188="","",IFERROR(INDEX(ctaTipo,MATCH(AC2188,ctaNombre,0))&amp;"",""))</f>
        <v/>
      </c>
      <c r="AF2188" s="53">
        <f>IF(OR(P2188="",AB2188=""),"",IF(OR(P2188="Gasto",P2188="Transferencia",P2188="Pago tarjeta"),-1,1)*IF(IFERROR(INDEX(ctaMoneda,MATCH(AB2188,ctaNombre,0))&amp;"","DOP")="USD",T2188,S2188))</f>
        <v/>
      </c>
      <c r="AG2188" s="53">
        <f>IF(AC2188="","",IF(IFERROR(INDEX(ctaMoneda,MATCH(AC2188,ctaNombre,0))&amp;"","DOP")="USD",T2188,S2188))</f>
        <v/>
      </c>
      <c r="AH2188" s="53">
        <f>IF(P2188="","",IF(AND(AD2188&lt;&gt;"",COUNTIFS(tcTipo,AD2188,tcLiq,"Sí")&gt;0),IF(OR(P2188="Gasto",P2188="Transferencia",P2188="Pago tarjeta"),-1,1)*S2188,0)+IF(AND(AE2188&lt;&gt;"",COUNTIFS(tcTipo,AE2188,tcLiq,"Sí")&gt;0),S2188,0))</f>
        <v/>
      </c>
      <c r="AI2188" s="52">
        <f>IF(OR(L2188="",P2188=""),"",IF(COUNTIFS(L$6:L2188,L2188,P$6:P2188,"?*")=1,MAX(AI$5:AI2187)+1,""))</f>
        <v/>
      </c>
    </row>
    <row r="2189">
      <c r="B2189" s="47" t="n"/>
      <c r="C2189" s="48" t="n"/>
      <c r="D2189" s="48" t="n"/>
      <c r="E2189" s="48" t="n"/>
      <c r="F2189" s="48" t="n"/>
      <c r="G2189" s="49" t="n"/>
      <c r="H2189" s="48" t="n"/>
      <c r="I2189" s="50" t="n"/>
      <c r="J2189" s="48" t="n"/>
      <c r="K2189" s="48" t="n"/>
      <c r="L2189" s="48" t="n"/>
      <c r="M2189" s="48" t="n"/>
      <c r="N2189" s="48" t="n"/>
      <c r="O2189" s="51">
        <f>IF(AND(B2189="",G2189="",C2189="",D2189="",J2189=""),"",IF(B2189="","⚠ Falta fecha",IF(G2189="","⚠ Falta monto",IF(Q2189="","⚠ Falta cuenta",IF(ISNA(MATCH(Q2189,ctaNombre,0)),"⚠ Cuenta no registrada",IF(AND(OR(P2189="Gasto",P2189="Reembolso"),D2189=""),"⚠ Falta categoría",IF(AND(D2189&lt;&gt;"",E2189&lt;&gt;"",ISNA(MATCH(D2189&amp;"|"&amp;E2189,catClave,0))),"⚠ Subcategoría no corresponde",IF(AND(OR(P2189="Transferencia",P2189="Pago tarjeta"),K2189=""),"⚠ Falta cuenta destino",IF(AND(K2189&lt;&gt;"",P2189&lt;&gt;"Transferencia",P2189&lt;&gt;"Pago tarjeta"),"⚠ Destino solo aplica a transferencias",IF(AND(K2189&lt;&gt;"",K2189=Q2189),"⚠ Origen igual a destino",IF(AND(K2189&lt;&gt;"",ISNA(MATCH(K2189,ctaNombre,0))),"⚠ Destino no registrado",IF(AND(P2189="Pago tarjeta",AE2189&lt;&gt;"Tarjeta de crédito"),"⚠ El destino debe ser tarjeta de crédito",IF(AND(P2189="Gasto",E2189="Depósitos y retiros"),"⚠ Usa tipo Transferencia",IF(AND(P2189="Resultado trading",AD2189&lt;&gt;"Cuenta de trading"),"⚠ Usa una cuenta de trading",IF(AND(G2189&lt;=0,P2189&lt;&gt;"Ajuste",P2189&lt;&gt;"Resultado trading"),"⚠ El monto debe ser positivo","✓")))))))))))))))</f>
        <v/>
      </c>
      <c r="P2189" s="52">
        <f>IF(OR(B2189="",G2189=""),"",IF(C2189="","Gasto",C2189))</f>
        <v/>
      </c>
      <c r="Q2189" s="52">
        <f>IF(P2189="","",IF(J2189&lt;&gt;"",J2189,CuentaPred&amp;""))</f>
        <v/>
      </c>
      <c r="R2189" s="52">
        <f>IF(P2189="","",IF(ISNUMBER(I2189),I2189,TasaUSD))</f>
        <v/>
      </c>
      <c r="S2189" s="53">
        <f>IF(P2189="","",IF(H2189="USD",G2189*R2189,G2189))</f>
        <v/>
      </c>
      <c r="T2189" s="53">
        <f>IF(P2189="","",IF(H2189="USD",G2189,IF(R2189&gt;0,G2189/R2189,0)))</f>
        <v/>
      </c>
      <c r="U2189" s="53">
        <f>IF(P2189="","",IF(P2189="Gasto",S2189,IF(P2189="Reembolso",-S2189,0)))</f>
        <v/>
      </c>
      <c r="V2189" s="53">
        <f>IF(P2189="","",IF(P2189="Ingreso",S2189,0))</f>
        <v/>
      </c>
      <c r="W2189" s="53">
        <f>IF(P2189="","",IF(P2189="Resultado trading",S2189,0))</f>
        <v/>
      </c>
      <c r="X2189" s="52">
        <f>IF(OR(P2189="Gasto",P2189="Reembolso"),IF(M2189&lt;&gt;"",M2189,IFERROR(INDEX(catClasif,MATCH(D2189&amp;"|"&amp;E2189,catClave,0))&amp;"","Variable")),"")</f>
        <v/>
      </c>
      <c r="Y2189" s="52">
        <f>IF(P2189="","",IFERROR(INDEX(catGrupo,MATCH(D2189&amp;"|"&amp;E2189,catClave,0))&amp;"",""))</f>
        <v/>
      </c>
      <c r="Z2189" s="52">
        <f>IF(P2189="","",WEEKDAY(B2189,2))</f>
        <v/>
      </c>
      <c r="AA2189" s="52">
        <f>IF(P2189="","",IF(AND(P2189="Gasto",X2189="Variable",D2189&lt;&gt;catTrading,S2189&gt;0,S2189&lt;=Umbral),1,0))</f>
        <v/>
      </c>
      <c r="AB2189" s="52">
        <f>IF(OR(P2189="",Q2189=""),"",IFERROR(IF(INDEX(ctaVinc,MATCH(Q2189,ctaNombre,0))&amp;""&lt;&gt;"",INDEX(ctaVinc,MATCH(Q2189,ctaNombre,0))&amp;"",Q2189),Q2189))</f>
        <v/>
      </c>
      <c r="AC2189" s="52">
        <f>IF(OR(K2189="",AND(P2189&lt;&gt;"Transferencia",P2189&lt;&gt;"Pago tarjeta")),"",IFERROR(IF(INDEX(ctaVinc,MATCH(K2189,ctaNombre,0))&amp;""&lt;&gt;"",INDEX(ctaVinc,MATCH(K2189,ctaNombre,0))&amp;"",K2189),K2189))</f>
        <v/>
      </c>
      <c r="AD2189" s="52">
        <f>IF(AB2189="","",IFERROR(INDEX(ctaTipo,MATCH(AB2189,ctaNombre,0))&amp;"",""))</f>
        <v/>
      </c>
      <c r="AE2189" s="52">
        <f>IF(AC2189="","",IFERROR(INDEX(ctaTipo,MATCH(AC2189,ctaNombre,0))&amp;"",""))</f>
        <v/>
      </c>
      <c r="AF2189" s="53">
        <f>IF(OR(P2189="",AB2189=""),"",IF(OR(P2189="Gasto",P2189="Transferencia",P2189="Pago tarjeta"),-1,1)*IF(IFERROR(INDEX(ctaMoneda,MATCH(AB2189,ctaNombre,0))&amp;"","DOP")="USD",T2189,S2189))</f>
        <v/>
      </c>
      <c r="AG2189" s="53">
        <f>IF(AC2189="","",IF(IFERROR(INDEX(ctaMoneda,MATCH(AC2189,ctaNombre,0))&amp;"","DOP")="USD",T2189,S2189))</f>
        <v/>
      </c>
      <c r="AH2189" s="53">
        <f>IF(P2189="","",IF(AND(AD2189&lt;&gt;"",COUNTIFS(tcTipo,AD2189,tcLiq,"Sí")&gt;0),IF(OR(P2189="Gasto",P2189="Transferencia",P2189="Pago tarjeta"),-1,1)*S2189,0)+IF(AND(AE2189&lt;&gt;"",COUNTIFS(tcTipo,AE2189,tcLiq,"Sí")&gt;0),S2189,0))</f>
        <v/>
      </c>
      <c r="AI2189" s="52">
        <f>IF(OR(L2189="",P2189=""),"",IF(COUNTIFS(L$6:L2189,L2189,P$6:P2189,"?*")=1,MAX(AI$5:AI2188)+1,""))</f>
        <v/>
      </c>
    </row>
    <row r="2190">
      <c r="B2190" s="47" t="n"/>
      <c r="C2190" s="48" t="n"/>
      <c r="D2190" s="48" t="n"/>
      <c r="E2190" s="48" t="n"/>
      <c r="F2190" s="48" t="n"/>
      <c r="G2190" s="49" t="n"/>
      <c r="H2190" s="48" t="n"/>
      <c r="I2190" s="50" t="n"/>
      <c r="J2190" s="48" t="n"/>
      <c r="K2190" s="48" t="n"/>
      <c r="L2190" s="48" t="n"/>
      <c r="M2190" s="48" t="n"/>
      <c r="N2190" s="48" t="n"/>
      <c r="O2190" s="51">
        <f>IF(AND(B2190="",G2190="",C2190="",D2190="",J2190=""),"",IF(B2190="","⚠ Falta fecha",IF(G2190="","⚠ Falta monto",IF(Q2190="","⚠ Falta cuenta",IF(ISNA(MATCH(Q2190,ctaNombre,0)),"⚠ Cuenta no registrada",IF(AND(OR(P2190="Gasto",P2190="Reembolso"),D2190=""),"⚠ Falta categoría",IF(AND(D2190&lt;&gt;"",E2190&lt;&gt;"",ISNA(MATCH(D2190&amp;"|"&amp;E2190,catClave,0))),"⚠ Subcategoría no corresponde",IF(AND(OR(P2190="Transferencia",P2190="Pago tarjeta"),K2190=""),"⚠ Falta cuenta destino",IF(AND(K2190&lt;&gt;"",P2190&lt;&gt;"Transferencia",P2190&lt;&gt;"Pago tarjeta"),"⚠ Destino solo aplica a transferencias",IF(AND(K2190&lt;&gt;"",K2190=Q2190),"⚠ Origen igual a destino",IF(AND(K2190&lt;&gt;"",ISNA(MATCH(K2190,ctaNombre,0))),"⚠ Destino no registrado",IF(AND(P2190="Pago tarjeta",AE2190&lt;&gt;"Tarjeta de crédito"),"⚠ El destino debe ser tarjeta de crédito",IF(AND(P2190="Gasto",E2190="Depósitos y retiros"),"⚠ Usa tipo Transferencia",IF(AND(P2190="Resultado trading",AD2190&lt;&gt;"Cuenta de trading"),"⚠ Usa una cuenta de trading",IF(AND(G2190&lt;=0,P2190&lt;&gt;"Ajuste",P2190&lt;&gt;"Resultado trading"),"⚠ El monto debe ser positivo","✓")))))))))))))))</f>
        <v/>
      </c>
      <c r="P2190" s="52">
        <f>IF(OR(B2190="",G2190=""),"",IF(C2190="","Gasto",C2190))</f>
        <v/>
      </c>
      <c r="Q2190" s="52">
        <f>IF(P2190="","",IF(J2190&lt;&gt;"",J2190,CuentaPred&amp;""))</f>
        <v/>
      </c>
      <c r="R2190" s="52">
        <f>IF(P2190="","",IF(ISNUMBER(I2190),I2190,TasaUSD))</f>
        <v/>
      </c>
      <c r="S2190" s="53">
        <f>IF(P2190="","",IF(H2190="USD",G2190*R2190,G2190))</f>
        <v/>
      </c>
      <c r="T2190" s="53">
        <f>IF(P2190="","",IF(H2190="USD",G2190,IF(R2190&gt;0,G2190/R2190,0)))</f>
        <v/>
      </c>
      <c r="U2190" s="53">
        <f>IF(P2190="","",IF(P2190="Gasto",S2190,IF(P2190="Reembolso",-S2190,0)))</f>
        <v/>
      </c>
      <c r="V2190" s="53">
        <f>IF(P2190="","",IF(P2190="Ingreso",S2190,0))</f>
        <v/>
      </c>
      <c r="W2190" s="53">
        <f>IF(P2190="","",IF(P2190="Resultado trading",S2190,0))</f>
        <v/>
      </c>
      <c r="X2190" s="52">
        <f>IF(OR(P2190="Gasto",P2190="Reembolso"),IF(M2190&lt;&gt;"",M2190,IFERROR(INDEX(catClasif,MATCH(D2190&amp;"|"&amp;E2190,catClave,0))&amp;"","Variable")),"")</f>
        <v/>
      </c>
      <c r="Y2190" s="52">
        <f>IF(P2190="","",IFERROR(INDEX(catGrupo,MATCH(D2190&amp;"|"&amp;E2190,catClave,0))&amp;"",""))</f>
        <v/>
      </c>
      <c r="Z2190" s="52">
        <f>IF(P2190="","",WEEKDAY(B2190,2))</f>
        <v/>
      </c>
      <c r="AA2190" s="52">
        <f>IF(P2190="","",IF(AND(P2190="Gasto",X2190="Variable",D2190&lt;&gt;catTrading,S2190&gt;0,S2190&lt;=Umbral),1,0))</f>
        <v/>
      </c>
      <c r="AB2190" s="52">
        <f>IF(OR(P2190="",Q2190=""),"",IFERROR(IF(INDEX(ctaVinc,MATCH(Q2190,ctaNombre,0))&amp;""&lt;&gt;"",INDEX(ctaVinc,MATCH(Q2190,ctaNombre,0))&amp;"",Q2190),Q2190))</f>
        <v/>
      </c>
      <c r="AC2190" s="52">
        <f>IF(OR(K2190="",AND(P2190&lt;&gt;"Transferencia",P2190&lt;&gt;"Pago tarjeta")),"",IFERROR(IF(INDEX(ctaVinc,MATCH(K2190,ctaNombre,0))&amp;""&lt;&gt;"",INDEX(ctaVinc,MATCH(K2190,ctaNombre,0))&amp;"",K2190),K2190))</f>
        <v/>
      </c>
      <c r="AD2190" s="52">
        <f>IF(AB2190="","",IFERROR(INDEX(ctaTipo,MATCH(AB2190,ctaNombre,0))&amp;"",""))</f>
        <v/>
      </c>
      <c r="AE2190" s="52">
        <f>IF(AC2190="","",IFERROR(INDEX(ctaTipo,MATCH(AC2190,ctaNombre,0))&amp;"",""))</f>
        <v/>
      </c>
      <c r="AF2190" s="53">
        <f>IF(OR(P2190="",AB2190=""),"",IF(OR(P2190="Gasto",P2190="Transferencia",P2190="Pago tarjeta"),-1,1)*IF(IFERROR(INDEX(ctaMoneda,MATCH(AB2190,ctaNombre,0))&amp;"","DOP")="USD",T2190,S2190))</f>
        <v/>
      </c>
      <c r="AG2190" s="53">
        <f>IF(AC2190="","",IF(IFERROR(INDEX(ctaMoneda,MATCH(AC2190,ctaNombre,0))&amp;"","DOP")="USD",T2190,S2190))</f>
        <v/>
      </c>
      <c r="AH2190" s="53">
        <f>IF(P2190="","",IF(AND(AD2190&lt;&gt;"",COUNTIFS(tcTipo,AD2190,tcLiq,"Sí")&gt;0),IF(OR(P2190="Gasto",P2190="Transferencia",P2190="Pago tarjeta"),-1,1)*S2190,0)+IF(AND(AE2190&lt;&gt;"",COUNTIFS(tcTipo,AE2190,tcLiq,"Sí")&gt;0),S2190,0))</f>
        <v/>
      </c>
      <c r="AI2190" s="52">
        <f>IF(OR(L2190="",P2190=""),"",IF(COUNTIFS(L$6:L2190,L2190,P$6:P2190,"?*")=1,MAX(AI$5:AI2189)+1,""))</f>
        <v/>
      </c>
    </row>
    <row r="2191">
      <c r="B2191" s="47" t="n"/>
      <c r="C2191" s="48" t="n"/>
      <c r="D2191" s="48" t="n"/>
      <c r="E2191" s="48" t="n"/>
      <c r="F2191" s="48" t="n"/>
      <c r="G2191" s="49" t="n"/>
      <c r="H2191" s="48" t="n"/>
      <c r="I2191" s="50" t="n"/>
      <c r="J2191" s="48" t="n"/>
      <c r="K2191" s="48" t="n"/>
      <c r="L2191" s="48" t="n"/>
      <c r="M2191" s="48" t="n"/>
      <c r="N2191" s="48" t="n"/>
      <c r="O2191" s="51">
        <f>IF(AND(B2191="",G2191="",C2191="",D2191="",J2191=""),"",IF(B2191="","⚠ Falta fecha",IF(G2191="","⚠ Falta monto",IF(Q2191="","⚠ Falta cuenta",IF(ISNA(MATCH(Q2191,ctaNombre,0)),"⚠ Cuenta no registrada",IF(AND(OR(P2191="Gasto",P2191="Reembolso"),D2191=""),"⚠ Falta categoría",IF(AND(D2191&lt;&gt;"",E2191&lt;&gt;"",ISNA(MATCH(D2191&amp;"|"&amp;E2191,catClave,0))),"⚠ Subcategoría no corresponde",IF(AND(OR(P2191="Transferencia",P2191="Pago tarjeta"),K2191=""),"⚠ Falta cuenta destino",IF(AND(K2191&lt;&gt;"",P2191&lt;&gt;"Transferencia",P2191&lt;&gt;"Pago tarjeta"),"⚠ Destino solo aplica a transferencias",IF(AND(K2191&lt;&gt;"",K2191=Q2191),"⚠ Origen igual a destino",IF(AND(K2191&lt;&gt;"",ISNA(MATCH(K2191,ctaNombre,0))),"⚠ Destino no registrado",IF(AND(P2191="Pago tarjeta",AE2191&lt;&gt;"Tarjeta de crédito"),"⚠ El destino debe ser tarjeta de crédito",IF(AND(P2191="Gasto",E2191="Depósitos y retiros"),"⚠ Usa tipo Transferencia",IF(AND(P2191="Resultado trading",AD2191&lt;&gt;"Cuenta de trading"),"⚠ Usa una cuenta de trading",IF(AND(G2191&lt;=0,P2191&lt;&gt;"Ajuste",P2191&lt;&gt;"Resultado trading"),"⚠ El monto debe ser positivo","✓")))))))))))))))</f>
        <v/>
      </c>
      <c r="P2191" s="52">
        <f>IF(OR(B2191="",G2191=""),"",IF(C2191="","Gasto",C2191))</f>
        <v/>
      </c>
      <c r="Q2191" s="52">
        <f>IF(P2191="","",IF(J2191&lt;&gt;"",J2191,CuentaPred&amp;""))</f>
        <v/>
      </c>
      <c r="R2191" s="52">
        <f>IF(P2191="","",IF(ISNUMBER(I2191),I2191,TasaUSD))</f>
        <v/>
      </c>
      <c r="S2191" s="53">
        <f>IF(P2191="","",IF(H2191="USD",G2191*R2191,G2191))</f>
        <v/>
      </c>
      <c r="T2191" s="53">
        <f>IF(P2191="","",IF(H2191="USD",G2191,IF(R2191&gt;0,G2191/R2191,0)))</f>
        <v/>
      </c>
      <c r="U2191" s="53">
        <f>IF(P2191="","",IF(P2191="Gasto",S2191,IF(P2191="Reembolso",-S2191,0)))</f>
        <v/>
      </c>
      <c r="V2191" s="53">
        <f>IF(P2191="","",IF(P2191="Ingreso",S2191,0))</f>
        <v/>
      </c>
      <c r="W2191" s="53">
        <f>IF(P2191="","",IF(P2191="Resultado trading",S2191,0))</f>
        <v/>
      </c>
      <c r="X2191" s="52">
        <f>IF(OR(P2191="Gasto",P2191="Reembolso"),IF(M2191&lt;&gt;"",M2191,IFERROR(INDEX(catClasif,MATCH(D2191&amp;"|"&amp;E2191,catClave,0))&amp;"","Variable")),"")</f>
        <v/>
      </c>
      <c r="Y2191" s="52">
        <f>IF(P2191="","",IFERROR(INDEX(catGrupo,MATCH(D2191&amp;"|"&amp;E2191,catClave,0))&amp;"",""))</f>
        <v/>
      </c>
      <c r="Z2191" s="52">
        <f>IF(P2191="","",WEEKDAY(B2191,2))</f>
        <v/>
      </c>
      <c r="AA2191" s="52">
        <f>IF(P2191="","",IF(AND(P2191="Gasto",X2191="Variable",D2191&lt;&gt;catTrading,S2191&gt;0,S2191&lt;=Umbral),1,0))</f>
        <v/>
      </c>
      <c r="AB2191" s="52">
        <f>IF(OR(P2191="",Q2191=""),"",IFERROR(IF(INDEX(ctaVinc,MATCH(Q2191,ctaNombre,0))&amp;""&lt;&gt;"",INDEX(ctaVinc,MATCH(Q2191,ctaNombre,0))&amp;"",Q2191),Q2191))</f>
        <v/>
      </c>
      <c r="AC2191" s="52">
        <f>IF(OR(K2191="",AND(P2191&lt;&gt;"Transferencia",P2191&lt;&gt;"Pago tarjeta")),"",IFERROR(IF(INDEX(ctaVinc,MATCH(K2191,ctaNombre,0))&amp;""&lt;&gt;"",INDEX(ctaVinc,MATCH(K2191,ctaNombre,0))&amp;"",K2191),K2191))</f>
        <v/>
      </c>
      <c r="AD2191" s="52">
        <f>IF(AB2191="","",IFERROR(INDEX(ctaTipo,MATCH(AB2191,ctaNombre,0))&amp;"",""))</f>
        <v/>
      </c>
      <c r="AE2191" s="52">
        <f>IF(AC2191="","",IFERROR(INDEX(ctaTipo,MATCH(AC2191,ctaNombre,0))&amp;"",""))</f>
        <v/>
      </c>
      <c r="AF2191" s="53">
        <f>IF(OR(P2191="",AB2191=""),"",IF(OR(P2191="Gasto",P2191="Transferencia",P2191="Pago tarjeta"),-1,1)*IF(IFERROR(INDEX(ctaMoneda,MATCH(AB2191,ctaNombre,0))&amp;"","DOP")="USD",T2191,S2191))</f>
        <v/>
      </c>
      <c r="AG2191" s="53">
        <f>IF(AC2191="","",IF(IFERROR(INDEX(ctaMoneda,MATCH(AC2191,ctaNombre,0))&amp;"","DOP")="USD",T2191,S2191))</f>
        <v/>
      </c>
      <c r="AH2191" s="53">
        <f>IF(P2191="","",IF(AND(AD2191&lt;&gt;"",COUNTIFS(tcTipo,AD2191,tcLiq,"Sí")&gt;0),IF(OR(P2191="Gasto",P2191="Transferencia",P2191="Pago tarjeta"),-1,1)*S2191,0)+IF(AND(AE2191&lt;&gt;"",COUNTIFS(tcTipo,AE2191,tcLiq,"Sí")&gt;0),S2191,0))</f>
        <v/>
      </c>
      <c r="AI2191" s="52">
        <f>IF(OR(L2191="",P2191=""),"",IF(COUNTIFS(L$6:L2191,L2191,P$6:P2191,"?*")=1,MAX(AI$5:AI2190)+1,""))</f>
        <v/>
      </c>
    </row>
    <row r="2192">
      <c r="B2192" s="47" t="n"/>
      <c r="C2192" s="48" t="n"/>
      <c r="D2192" s="48" t="n"/>
      <c r="E2192" s="48" t="n"/>
      <c r="F2192" s="48" t="n"/>
      <c r="G2192" s="49" t="n"/>
      <c r="H2192" s="48" t="n"/>
      <c r="I2192" s="50" t="n"/>
      <c r="J2192" s="48" t="n"/>
      <c r="K2192" s="48" t="n"/>
      <c r="L2192" s="48" t="n"/>
      <c r="M2192" s="48" t="n"/>
      <c r="N2192" s="48" t="n"/>
      <c r="O2192" s="51">
        <f>IF(AND(B2192="",G2192="",C2192="",D2192="",J2192=""),"",IF(B2192="","⚠ Falta fecha",IF(G2192="","⚠ Falta monto",IF(Q2192="","⚠ Falta cuenta",IF(ISNA(MATCH(Q2192,ctaNombre,0)),"⚠ Cuenta no registrada",IF(AND(OR(P2192="Gasto",P2192="Reembolso"),D2192=""),"⚠ Falta categoría",IF(AND(D2192&lt;&gt;"",E2192&lt;&gt;"",ISNA(MATCH(D2192&amp;"|"&amp;E2192,catClave,0))),"⚠ Subcategoría no corresponde",IF(AND(OR(P2192="Transferencia",P2192="Pago tarjeta"),K2192=""),"⚠ Falta cuenta destino",IF(AND(K2192&lt;&gt;"",P2192&lt;&gt;"Transferencia",P2192&lt;&gt;"Pago tarjeta"),"⚠ Destino solo aplica a transferencias",IF(AND(K2192&lt;&gt;"",K2192=Q2192),"⚠ Origen igual a destino",IF(AND(K2192&lt;&gt;"",ISNA(MATCH(K2192,ctaNombre,0))),"⚠ Destino no registrado",IF(AND(P2192="Pago tarjeta",AE2192&lt;&gt;"Tarjeta de crédito"),"⚠ El destino debe ser tarjeta de crédito",IF(AND(P2192="Gasto",E2192="Depósitos y retiros"),"⚠ Usa tipo Transferencia",IF(AND(P2192="Resultado trading",AD2192&lt;&gt;"Cuenta de trading"),"⚠ Usa una cuenta de trading",IF(AND(G2192&lt;=0,P2192&lt;&gt;"Ajuste",P2192&lt;&gt;"Resultado trading"),"⚠ El monto debe ser positivo","✓")))))))))))))))</f>
        <v/>
      </c>
      <c r="P2192" s="52">
        <f>IF(OR(B2192="",G2192=""),"",IF(C2192="","Gasto",C2192))</f>
        <v/>
      </c>
      <c r="Q2192" s="52">
        <f>IF(P2192="","",IF(J2192&lt;&gt;"",J2192,CuentaPred&amp;""))</f>
        <v/>
      </c>
      <c r="R2192" s="52">
        <f>IF(P2192="","",IF(ISNUMBER(I2192),I2192,TasaUSD))</f>
        <v/>
      </c>
      <c r="S2192" s="53">
        <f>IF(P2192="","",IF(H2192="USD",G2192*R2192,G2192))</f>
        <v/>
      </c>
      <c r="T2192" s="53">
        <f>IF(P2192="","",IF(H2192="USD",G2192,IF(R2192&gt;0,G2192/R2192,0)))</f>
        <v/>
      </c>
      <c r="U2192" s="53">
        <f>IF(P2192="","",IF(P2192="Gasto",S2192,IF(P2192="Reembolso",-S2192,0)))</f>
        <v/>
      </c>
      <c r="V2192" s="53">
        <f>IF(P2192="","",IF(P2192="Ingreso",S2192,0))</f>
        <v/>
      </c>
      <c r="W2192" s="53">
        <f>IF(P2192="","",IF(P2192="Resultado trading",S2192,0))</f>
        <v/>
      </c>
      <c r="X2192" s="52">
        <f>IF(OR(P2192="Gasto",P2192="Reembolso"),IF(M2192&lt;&gt;"",M2192,IFERROR(INDEX(catClasif,MATCH(D2192&amp;"|"&amp;E2192,catClave,0))&amp;"","Variable")),"")</f>
        <v/>
      </c>
      <c r="Y2192" s="52">
        <f>IF(P2192="","",IFERROR(INDEX(catGrupo,MATCH(D2192&amp;"|"&amp;E2192,catClave,0))&amp;"",""))</f>
        <v/>
      </c>
      <c r="Z2192" s="52">
        <f>IF(P2192="","",WEEKDAY(B2192,2))</f>
        <v/>
      </c>
      <c r="AA2192" s="52">
        <f>IF(P2192="","",IF(AND(P2192="Gasto",X2192="Variable",D2192&lt;&gt;catTrading,S2192&gt;0,S2192&lt;=Umbral),1,0))</f>
        <v/>
      </c>
      <c r="AB2192" s="52">
        <f>IF(OR(P2192="",Q2192=""),"",IFERROR(IF(INDEX(ctaVinc,MATCH(Q2192,ctaNombre,0))&amp;""&lt;&gt;"",INDEX(ctaVinc,MATCH(Q2192,ctaNombre,0))&amp;"",Q2192),Q2192))</f>
        <v/>
      </c>
      <c r="AC2192" s="52">
        <f>IF(OR(K2192="",AND(P2192&lt;&gt;"Transferencia",P2192&lt;&gt;"Pago tarjeta")),"",IFERROR(IF(INDEX(ctaVinc,MATCH(K2192,ctaNombre,0))&amp;""&lt;&gt;"",INDEX(ctaVinc,MATCH(K2192,ctaNombre,0))&amp;"",K2192),K2192))</f>
        <v/>
      </c>
      <c r="AD2192" s="52">
        <f>IF(AB2192="","",IFERROR(INDEX(ctaTipo,MATCH(AB2192,ctaNombre,0))&amp;"",""))</f>
        <v/>
      </c>
      <c r="AE2192" s="52">
        <f>IF(AC2192="","",IFERROR(INDEX(ctaTipo,MATCH(AC2192,ctaNombre,0))&amp;"",""))</f>
        <v/>
      </c>
      <c r="AF2192" s="53">
        <f>IF(OR(P2192="",AB2192=""),"",IF(OR(P2192="Gasto",P2192="Transferencia",P2192="Pago tarjeta"),-1,1)*IF(IFERROR(INDEX(ctaMoneda,MATCH(AB2192,ctaNombre,0))&amp;"","DOP")="USD",T2192,S2192))</f>
        <v/>
      </c>
      <c r="AG2192" s="53">
        <f>IF(AC2192="","",IF(IFERROR(INDEX(ctaMoneda,MATCH(AC2192,ctaNombre,0))&amp;"","DOP")="USD",T2192,S2192))</f>
        <v/>
      </c>
      <c r="AH2192" s="53">
        <f>IF(P2192="","",IF(AND(AD2192&lt;&gt;"",COUNTIFS(tcTipo,AD2192,tcLiq,"Sí")&gt;0),IF(OR(P2192="Gasto",P2192="Transferencia",P2192="Pago tarjeta"),-1,1)*S2192,0)+IF(AND(AE2192&lt;&gt;"",COUNTIFS(tcTipo,AE2192,tcLiq,"Sí")&gt;0),S2192,0))</f>
        <v/>
      </c>
      <c r="AI2192" s="52">
        <f>IF(OR(L2192="",P2192=""),"",IF(COUNTIFS(L$6:L2192,L2192,P$6:P2192,"?*")=1,MAX(AI$5:AI2191)+1,""))</f>
        <v/>
      </c>
    </row>
    <row r="2193">
      <c r="B2193" s="47" t="n"/>
      <c r="C2193" s="48" t="n"/>
      <c r="D2193" s="48" t="n"/>
      <c r="E2193" s="48" t="n"/>
      <c r="F2193" s="48" t="n"/>
      <c r="G2193" s="49" t="n"/>
      <c r="H2193" s="48" t="n"/>
      <c r="I2193" s="50" t="n"/>
      <c r="J2193" s="48" t="n"/>
      <c r="K2193" s="48" t="n"/>
      <c r="L2193" s="48" t="n"/>
      <c r="M2193" s="48" t="n"/>
      <c r="N2193" s="48" t="n"/>
      <c r="O2193" s="51">
        <f>IF(AND(B2193="",G2193="",C2193="",D2193="",J2193=""),"",IF(B2193="","⚠ Falta fecha",IF(G2193="","⚠ Falta monto",IF(Q2193="","⚠ Falta cuenta",IF(ISNA(MATCH(Q2193,ctaNombre,0)),"⚠ Cuenta no registrada",IF(AND(OR(P2193="Gasto",P2193="Reembolso"),D2193=""),"⚠ Falta categoría",IF(AND(D2193&lt;&gt;"",E2193&lt;&gt;"",ISNA(MATCH(D2193&amp;"|"&amp;E2193,catClave,0))),"⚠ Subcategoría no corresponde",IF(AND(OR(P2193="Transferencia",P2193="Pago tarjeta"),K2193=""),"⚠ Falta cuenta destino",IF(AND(K2193&lt;&gt;"",P2193&lt;&gt;"Transferencia",P2193&lt;&gt;"Pago tarjeta"),"⚠ Destino solo aplica a transferencias",IF(AND(K2193&lt;&gt;"",K2193=Q2193),"⚠ Origen igual a destino",IF(AND(K2193&lt;&gt;"",ISNA(MATCH(K2193,ctaNombre,0))),"⚠ Destino no registrado",IF(AND(P2193="Pago tarjeta",AE2193&lt;&gt;"Tarjeta de crédito"),"⚠ El destino debe ser tarjeta de crédito",IF(AND(P2193="Gasto",E2193="Depósitos y retiros"),"⚠ Usa tipo Transferencia",IF(AND(P2193="Resultado trading",AD2193&lt;&gt;"Cuenta de trading"),"⚠ Usa una cuenta de trading",IF(AND(G2193&lt;=0,P2193&lt;&gt;"Ajuste",P2193&lt;&gt;"Resultado trading"),"⚠ El monto debe ser positivo","✓")))))))))))))))</f>
        <v/>
      </c>
      <c r="P2193" s="52">
        <f>IF(OR(B2193="",G2193=""),"",IF(C2193="","Gasto",C2193))</f>
        <v/>
      </c>
      <c r="Q2193" s="52">
        <f>IF(P2193="","",IF(J2193&lt;&gt;"",J2193,CuentaPred&amp;""))</f>
        <v/>
      </c>
      <c r="R2193" s="52">
        <f>IF(P2193="","",IF(ISNUMBER(I2193),I2193,TasaUSD))</f>
        <v/>
      </c>
      <c r="S2193" s="53">
        <f>IF(P2193="","",IF(H2193="USD",G2193*R2193,G2193))</f>
        <v/>
      </c>
      <c r="T2193" s="53">
        <f>IF(P2193="","",IF(H2193="USD",G2193,IF(R2193&gt;0,G2193/R2193,0)))</f>
        <v/>
      </c>
      <c r="U2193" s="53">
        <f>IF(P2193="","",IF(P2193="Gasto",S2193,IF(P2193="Reembolso",-S2193,0)))</f>
        <v/>
      </c>
      <c r="V2193" s="53">
        <f>IF(P2193="","",IF(P2193="Ingreso",S2193,0))</f>
        <v/>
      </c>
      <c r="W2193" s="53">
        <f>IF(P2193="","",IF(P2193="Resultado trading",S2193,0))</f>
        <v/>
      </c>
      <c r="X2193" s="52">
        <f>IF(OR(P2193="Gasto",P2193="Reembolso"),IF(M2193&lt;&gt;"",M2193,IFERROR(INDEX(catClasif,MATCH(D2193&amp;"|"&amp;E2193,catClave,0))&amp;"","Variable")),"")</f>
        <v/>
      </c>
      <c r="Y2193" s="52">
        <f>IF(P2193="","",IFERROR(INDEX(catGrupo,MATCH(D2193&amp;"|"&amp;E2193,catClave,0))&amp;"",""))</f>
        <v/>
      </c>
      <c r="Z2193" s="52">
        <f>IF(P2193="","",WEEKDAY(B2193,2))</f>
        <v/>
      </c>
      <c r="AA2193" s="52">
        <f>IF(P2193="","",IF(AND(P2193="Gasto",X2193="Variable",D2193&lt;&gt;catTrading,S2193&gt;0,S2193&lt;=Umbral),1,0))</f>
        <v/>
      </c>
      <c r="AB2193" s="52">
        <f>IF(OR(P2193="",Q2193=""),"",IFERROR(IF(INDEX(ctaVinc,MATCH(Q2193,ctaNombre,0))&amp;""&lt;&gt;"",INDEX(ctaVinc,MATCH(Q2193,ctaNombre,0))&amp;"",Q2193),Q2193))</f>
        <v/>
      </c>
      <c r="AC2193" s="52">
        <f>IF(OR(K2193="",AND(P2193&lt;&gt;"Transferencia",P2193&lt;&gt;"Pago tarjeta")),"",IFERROR(IF(INDEX(ctaVinc,MATCH(K2193,ctaNombre,0))&amp;""&lt;&gt;"",INDEX(ctaVinc,MATCH(K2193,ctaNombre,0))&amp;"",K2193),K2193))</f>
        <v/>
      </c>
      <c r="AD2193" s="52">
        <f>IF(AB2193="","",IFERROR(INDEX(ctaTipo,MATCH(AB2193,ctaNombre,0))&amp;"",""))</f>
        <v/>
      </c>
      <c r="AE2193" s="52">
        <f>IF(AC2193="","",IFERROR(INDEX(ctaTipo,MATCH(AC2193,ctaNombre,0))&amp;"",""))</f>
        <v/>
      </c>
      <c r="AF2193" s="53">
        <f>IF(OR(P2193="",AB2193=""),"",IF(OR(P2193="Gasto",P2193="Transferencia",P2193="Pago tarjeta"),-1,1)*IF(IFERROR(INDEX(ctaMoneda,MATCH(AB2193,ctaNombre,0))&amp;"","DOP")="USD",T2193,S2193))</f>
        <v/>
      </c>
      <c r="AG2193" s="53">
        <f>IF(AC2193="","",IF(IFERROR(INDEX(ctaMoneda,MATCH(AC2193,ctaNombre,0))&amp;"","DOP")="USD",T2193,S2193))</f>
        <v/>
      </c>
      <c r="AH2193" s="53">
        <f>IF(P2193="","",IF(AND(AD2193&lt;&gt;"",COUNTIFS(tcTipo,AD2193,tcLiq,"Sí")&gt;0),IF(OR(P2193="Gasto",P2193="Transferencia",P2193="Pago tarjeta"),-1,1)*S2193,0)+IF(AND(AE2193&lt;&gt;"",COUNTIFS(tcTipo,AE2193,tcLiq,"Sí")&gt;0),S2193,0))</f>
        <v/>
      </c>
      <c r="AI2193" s="52">
        <f>IF(OR(L2193="",P2193=""),"",IF(COUNTIFS(L$6:L2193,L2193,P$6:P2193,"?*")=1,MAX(AI$5:AI2192)+1,""))</f>
        <v/>
      </c>
    </row>
    <row r="2194">
      <c r="B2194" s="47" t="n"/>
      <c r="C2194" s="48" t="n"/>
      <c r="D2194" s="48" t="n"/>
      <c r="E2194" s="48" t="n"/>
      <c r="F2194" s="48" t="n"/>
      <c r="G2194" s="49" t="n"/>
      <c r="H2194" s="48" t="n"/>
      <c r="I2194" s="50" t="n"/>
      <c r="J2194" s="48" t="n"/>
      <c r="K2194" s="48" t="n"/>
      <c r="L2194" s="48" t="n"/>
      <c r="M2194" s="48" t="n"/>
      <c r="N2194" s="48" t="n"/>
      <c r="O2194" s="51">
        <f>IF(AND(B2194="",G2194="",C2194="",D2194="",J2194=""),"",IF(B2194="","⚠ Falta fecha",IF(G2194="","⚠ Falta monto",IF(Q2194="","⚠ Falta cuenta",IF(ISNA(MATCH(Q2194,ctaNombre,0)),"⚠ Cuenta no registrada",IF(AND(OR(P2194="Gasto",P2194="Reembolso"),D2194=""),"⚠ Falta categoría",IF(AND(D2194&lt;&gt;"",E2194&lt;&gt;"",ISNA(MATCH(D2194&amp;"|"&amp;E2194,catClave,0))),"⚠ Subcategoría no corresponde",IF(AND(OR(P2194="Transferencia",P2194="Pago tarjeta"),K2194=""),"⚠ Falta cuenta destino",IF(AND(K2194&lt;&gt;"",P2194&lt;&gt;"Transferencia",P2194&lt;&gt;"Pago tarjeta"),"⚠ Destino solo aplica a transferencias",IF(AND(K2194&lt;&gt;"",K2194=Q2194),"⚠ Origen igual a destino",IF(AND(K2194&lt;&gt;"",ISNA(MATCH(K2194,ctaNombre,0))),"⚠ Destino no registrado",IF(AND(P2194="Pago tarjeta",AE2194&lt;&gt;"Tarjeta de crédito"),"⚠ El destino debe ser tarjeta de crédito",IF(AND(P2194="Gasto",E2194="Depósitos y retiros"),"⚠ Usa tipo Transferencia",IF(AND(P2194="Resultado trading",AD2194&lt;&gt;"Cuenta de trading"),"⚠ Usa una cuenta de trading",IF(AND(G2194&lt;=0,P2194&lt;&gt;"Ajuste",P2194&lt;&gt;"Resultado trading"),"⚠ El monto debe ser positivo","✓")))))))))))))))</f>
        <v/>
      </c>
      <c r="P2194" s="52">
        <f>IF(OR(B2194="",G2194=""),"",IF(C2194="","Gasto",C2194))</f>
        <v/>
      </c>
      <c r="Q2194" s="52">
        <f>IF(P2194="","",IF(J2194&lt;&gt;"",J2194,CuentaPred&amp;""))</f>
        <v/>
      </c>
      <c r="R2194" s="52">
        <f>IF(P2194="","",IF(ISNUMBER(I2194),I2194,TasaUSD))</f>
        <v/>
      </c>
      <c r="S2194" s="53">
        <f>IF(P2194="","",IF(H2194="USD",G2194*R2194,G2194))</f>
        <v/>
      </c>
      <c r="T2194" s="53">
        <f>IF(P2194="","",IF(H2194="USD",G2194,IF(R2194&gt;0,G2194/R2194,0)))</f>
        <v/>
      </c>
      <c r="U2194" s="53">
        <f>IF(P2194="","",IF(P2194="Gasto",S2194,IF(P2194="Reembolso",-S2194,0)))</f>
        <v/>
      </c>
      <c r="V2194" s="53">
        <f>IF(P2194="","",IF(P2194="Ingreso",S2194,0))</f>
        <v/>
      </c>
      <c r="W2194" s="53">
        <f>IF(P2194="","",IF(P2194="Resultado trading",S2194,0))</f>
        <v/>
      </c>
      <c r="X2194" s="52">
        <f>IF(OR(P2194="Gasto",P2194="Reembolso"),IF(M2194&lt;&gt;"",M2194,IFERROR(INDEX(catClasif,MATCH(D2194&amp;"|"&amp;E2194,catClave,0))&amp;"","Variable")),"")</f>
        <v/>
      </c>
      <c r="Y2194" s="52">
        <f>IF(P2194="","",IFERROR(INDEX(catGrupo,MATCH(D2194&amp;"|"&amp;E2194,catClave,0))&amp;"",""))</f>
        <v/>
      </c>
      <c r="Z2194" s="52">
        <f>IF(P2194="","",WEEKDAY(B2194,2))</f>
        <v/>
      </c>
      <c r="AA2194" s="52">
        <f>IF(P2194="","",IF(AND(P2194="Gasto",X2194="Variable",D2194&lt;&gt;catTrading,S2194&gt;0,S2194&lt;=Umbral),1,0))</f>
        <v/>
      </c>
      <c r="AB2194" s="52">
        <f>IF(OR(P2194="",Q2194=""),"",IFERROR(IF(INDEX(ctaVinc,MATCH(Q2194,ctaNombre,0))&amp;""&lt;&gt;"",INDEX(ctaVinc,MATCH(Q2194,ctaNombre,0))&amp;"",Q2194),Q2194))</f>
        <v/>
      </c>
      <c r="AC2194" s="52">
        <f>IF(OR(K2194="",AND(P2194&lt;&gt;"Transferencia",P2194&lt;&gt;"Pago tarjeta")),"",IFERROR(IF(INDEX(ctaVinc,MATCH(K2194,ctaNombre,0))&amp;""&lt;&gt;"",INDEX(ctaVinc,MATCH(K2194,ctaNombre,0))&amp;"",K2194),K2194))</f>
        <v/>
      </c>
      <c r="AD2194" s="52">
        <f>IF(AB2194="","",IFERROR(INDEX(ctaTipo,MATCH(AB2194,ctaNombre,0))&amp;"",""))</f>
        <v/>
      </c>
      <c r="AE2194" s="52">
        <f>IF(AC2194="","",IFERROR(INDEX(ctaTipo,MATCH(AC2194,ctaNombre,0))&amp;"",""))</f>
        <v/>
      </c>
      <c r="AF2194" s="53">
        <f>IF(OR(P2194="",AB2194=""),"",IF(OR(P2194="Gasto",P2194="Transferencia",P2194="Pago tarjeta"),-1,1)*IF(IFERROR(INDEX(ctaMoneda,MATCH(AB2194,ctaNombre,0))&amp;"","DOP")="USD",T2194,S2194))</f>
        <v/>
      </c>
      <c r="AG2194" s="53">
        <f>IF(AC2194="","",IF(IFERROR(INDEX(ctaMoneda,MATCH(AC2194,ctaNombre,0))&amp;"","DOP")="USD",T2194,S2194))</f>
        <v/>
      </c>
      <c r="AH2194" s="53">
        <f>IF(P2194="","",IF(AND(AD2194&lt;&gt;"",COUNTIFS(tcTipo,AD2194,tcLiq,"Sí")&gt;0),IF(OR(P2194="Gasto",P2194="Transferencia",P2194="Pago tarjeta"),-1,1)*S2194,0)+IF(AND(AE2194&lt;&gt;"",COUNTIFS(tcTipo,AE2194,tcLiq,"Sí")&gt;0),S2194,0))</f>
        <v/>
      </c>
      <c r="AI2194" s="52">
        <f>IF(OR(L2194="",P2194=""),"",IF(COUNTIFS(L$6:L2194,L2194,P$6:P2194,"?*")=1,MAX(AI$5:AI2193)+1,""))</f>
        <v/>
      </c>
    </row>
    <row r="2195">
      <c r="B2195" s="47" t="n"/>
      <c r="C2195" s="48" t="n"/>
      <c r="D2195" s="48" t="n"/>
      <c r="E2195" s="48" t="n"/>
      <c r="F2195" s="48" t="n"/>
      <c r="G2195" s="49" t="n"/>
      <c r="H2195" s="48" t="n"/>
      <c r="I2195" s="50" t="n"/>
      <c r="J2195" s="48" t="n"/>
      <c r="K2195" s="48" t="n"/>
      <c r="L2195" s="48" t="n"/>
      <c r="M2195" s="48" t="n"/>
      <c r="N2195" s="48" t="n"/>
      <c r="O2195" s="51">
        <f>IF(AND(B2195="",G2195="",C2195="",D2195="",J2195=""),"",IF(B2195="","⚠ Falta fecha",IF(G2195="","⚠ Falta monto",IF(Q2195="","⚠ Falta cuenta",IF(ISNA(MATCH(Q2195,ctaNombre,0)),"⚠ Cuenta no registrada",IF(AND(OR(P2195="Gasto",P2195="Reembolso"),D2195=""),"⚠ Falta categoría",IF(AND(D2195&lt;&gt;"",E2195&lt;&gt;"",ISNA(MATCH(D2195&amp;"|"&amp;E2195,catClave,0))),"⚠ Subcategoría no corresponde",IF(AND(OR(P2195="Transferencia",P2195="Pago tarjeta"),K2195=""),"⚠ Falta cuenta destino",IF(AND(K2195&lt;&gt;"",P2195&lt;&gt;"Transferencia",P2195&lt;&gt;"Pago tarjeta"),"⚠ Destino solo aplica a transferencias",IF(AND(K2195&lt;&gt;"",K2195=Q2195),"⚠ Origen igual a destino",IF(AND(K2195&lt;&gt;"",ISNA(MATCH(K2195,ctaNombre,0))),"⚠ Destino no registrado",IF(AND(P2195="Pago tarjeta",AE2195&lt;&gt;"Tarjeta de crédito"),"⚠ El destino debe ser tarjeta de crédito",IF(AND(P2195="Gasto",E2195="Depósitos y retiros"),"⚠ Usa tipo Transferencia",IF(AND(P2195="Resultado trading",AD2195&lt;&gt;"Cuenta de trading"),"⚠ Usa una cuenta de trading",IF(AND(G2195&lt;=0,P2195&lt;&gt;"Ajuste",P2195&lt;&gt;"Resultado trading"),"⚠ El monto debe ser positivo","✓")))))))))))))))</f>
        <v/>
      </c>
      <c r="P2195" s="52">
        <f>IF(OR(B2195="",G2195=""),"",IF(C2195="","Gasto",C2195))</f>
        <v/>
      </c>
      <c r="Q2195" s="52">
        <f>IF(P2195="","",IF(J2195&lt;&gt;"",J2195,CuentaPred&amp;""))</f>
        <v/>
      </c>
      <c r="R2195" s="52">
        <f>IF(P2195="","",IF(ISNUMBER(I2195),I2195,TasaUSD))</f>
        <v/>
      </c>
      <c r="S2195" s="53">
        <f>IF(P2195="","",IF(H2195="USD",G2195*R2195,G2195))</f>
        <v/>
      </c>
      <c r="T2195" s="53">
        <f>IF(P2195="","",IF(H2195="USD",G2195,IF(R2195&gt;0,G2195/R2195,0)))</f>
        <v/>
      </c>
      <c r="U2195" s="53">
        <f>IF(P2195="","",IF(P2195="Gasto",S2195,IF(P2195="Reembolso",-S2195,0)))</f>
        <v/>
      </c>
      <c r="V2195" s="53">
        <f>IF(P2195="","",IF(P2195="Ingreso",S2195,0))</f>
        <v/>
      </c>
      <c r="W2195" s="53">
        <f>IF(P2195="","",IF(P2195="Resultado trading",S2195,0))</f>
        <v/>
      </c>
      <c r="X2195" s="52">
        <f>IF(OR(P2195="Gasto",P2195="Reembolso"),IF(M2195&lt;&gt;"",M2195,IFERROR(INDEX(catClasif,MATCH(D2195&amp;"|"&amp;E2195,catClave,0))&amp;"","Variable")),"")</f>
        <v/>
      </c>
      <c r="Y2195" s="52">
        <f>IF(P2195="","",IFERROR(INDEX(catGrupo,MATCH(D2195&amp;"|"&amp;E2195,catClave,0))&amp;"",""))</f>
        <v/>
      </c>
      <c r="Z2195" s="52">
        <f>IF(P2195="","",WEEKDAY(B2195,2))</f>
        <v/>
      </c>
      <c r="AA2195" s="52">
        <f>IF(P2195="","",IF(AND(P2195="Gasto",X2195="Variable",D2195&lt;&gt;catTrading,S2195&gt;0,S2195&lt;=Umbral),1,0))</f>
        <v/>
      </c>
      <c r="AB2195" s="52">
        <f>IF(OR(P2195="",Q2195=""),"",IFERROR(IF(INDEX(ctaVinc,MATCH(Q2195,ctaNombre,0))&amp;""&lt;&gt;"",INDEX(ctaVinc,MATCH(Q2195,ctaNombre,0))&amp;"",Q2195),Q2195))</f>
        <v/>
      </c>
      <c r="AC2195" s="52">
        <f>IF(OR(K2195="",AND(P2195&lt;&gt;"Transferencia",P2195&lt;&gt;"Pago tarjeta")),"",IFERROR(IF(INDEX(ctaVinc,MATCH(K2195,ctaNombre,0))&amp;""&lt;&gt;"",INDEX(ctaVinc,MATCH(K2195,ctaNombre,0))&amp;"",K2195),K2195))</f>
        <v/>
      </c>
      <c r="AD2195" s="52">
        <f>IF(AB2195="","",IFERROR(INDEX(ctaTipo,MATCH(AB2195,ctaNombre,0))&amp;"",""))</f>
        <v/>
      </c>
      <c r="AE2195" s="52">
        <f>IF(AC2195="","",IFERROR(INDEX(ctaTipo,MATCH(AC2195,ctaNombre,0))&amp;"",""))</f>
        <v/>
      </c>
      <c r="AF2195" s="53">
        <f>IF(OR(P2195="",AB2195=""),"",IF(OR(P2195="Gasto",P2195="Transferencia",P2195="Pago tarjeta"),-1,1)*IF(IFERROR(INDEX(ctaMoneda,MATCH(AB2195,ctaNombre,0))&amp;"","DOP")="USD",T2195,S2195))</f>
        <v/>
      </c>
      <c r="AG2195" s="53">
        <f>IF(AC2195="","",IF(IFERROR(INDEX(ctaMoneda,MATCH(AC2195,ctaNombre,0))&amp;"","DOP")="USD",T2195,S2195))</f>
        <v/>
      </c>
      <c r="AH2195" s="53">
        <f>IF(P2195="","",IF(AND(AD2195&lt;&gt;"",COUNTIFS(tcTipo,AD2195,tcLiq,"Sí")&gt;0),IF(OR(P2195="Gasto",P2195="Transferencia",P2195="Pago tarjeta"),-1,1)*S2195,0)+IF(AND(AE2195&lt;&gt;"",COUNTIFS(tcTipo,AE2195,tcLiq,"Sí")&gt;0),S2195,0))</f>
        <v/>
      </c>
      <c r="AI2195" s="52">
        <f>IF(OR(L2195="",P2195=""),"",IF(COUNTIFS(L$6:L2195,L2195,P$6:P2195,"?*")=1,MAX(AI$5:AI2194)+1,""))</f>
        <v/>
      </c>
    </row>
    <row r="2196">
      <c r="B2196" s="47" t="n"/>
      <c r="C2196" s="48" t="n"/>
      <c r="D2196" s="48" t="n"/>
      <c r="E2196" s="48" t="n"/>
      <c r="F2196" s="48" t="n"/>
      <c r="G2196" s="49" t="n"/>
      <c r="H2196" s="48" t="n"/>
      <c r="I2196" s="50" t="n"/>
      <c r="J2196" s="48" t="n"/>
      <c r="K2196" s="48" t="n"/>
      <c r="L2196" s="48" t="n"/>
      <c r="M2196" s="48" t="n"/>
      <c r="N2196" s="48" t="n"/>
      <c r="O2196" s="51">
        <f>IF(AND(B2196="",G2196="",C2196="",D2196="",J2196=""),"",IF(B2196="","⚠ Falta fecha",IF(G2196="","⚠ Falta monto",IF(Q2196="","⚠ Falta cuenta",IF(ISNA(MATCH(Q2196,ctaNombre,0)),"⚠ Cuenta no registrada",IF(AND(OR(P2196="Gasto",P2196="Reembolso"),D2196=""),"⚠ Falta categoría",IF(AND(D2196&lt;&gt;"",E2196&lt;&gt;"",ISNA(MATCH(D2196&amp;"|"&amp;E2196,catClave,0))),"⚠ Subcategoría no corresponde",IF(AND(OR(P2196="Transferencia",P2196="Pago tarjeta"),K2196=""),"⚠ Falta cuenta destino",IF(AND(K2196&lt;&gt;"",P2196&lt;&gt;"Transferencia",P2196&lt;&gt;"Pago tarjeta"),"⚠ Destino solo aplica a transferencias",IF(AND(K2196&lt;&gt;"",K2196=Q2196),"⚠ Origen igual a destino",IF(AND(K2196&lt;&gt;"",ISNA(MATCH(K2196,ctaNombre,0))),"⚠ Destino no registrado",IF(AND(P2196="Pago tarjeta",AE2196&lt;&gt;"Tarjeta de crédito"),"⚠ El destino debe ser tarjeta de crédito",IF(AND(P2196="Gasto",E2196="Depósitos y retiros"),"⚠ Usa tipo Transferencia",IF(AND(P2196="Resultado trading",AD2196&lt;&gt;"Cuenta de trading"),"⚠ Usa una cuenta de trading",IF(AND(G2196&lt;=0,P2196&lt;&gt;"Ajuste",P2196&lt;&gt;"Resultado trading"),"⚠ El monto debe ser positivo","✓")))))))))))))))</f>
        <v/>
      </c>
      <c r="P2196" s="52">
        <f>IF(OR(B2196="",G2196=""),"",IF(C2196="","Gasto",C2196))</f>
        <v/>
      </c>
      <c r="Q2196" s="52">
        <f>IF(P2196="","",IF(J2196&lt;&gt;"",J2196,CuentaPred&amp;""))</f>
        <v/>
      </c>
      <c r="R2196" s="52">
        <f>IF(P2196="","",IF(ISNUMBER(I2196),I2196,TasaUSD))</f>
        <v/>
      </c>
      <c r="S2196" s="53">
        <f>IF(P2196="","",IF(H2196="USD",G2196*R2196,G2196))</f>
        <v/>
      </c>
      <c r="T2196" s="53">
        <f>IF(P2196="","",IF(H2196="USD",G2196,IF(R2196&gt;0,G2196/R2196,0)))</f>
        <v/>
      </c>
      <c r="U2196" s="53">
        <f>IF(P2196="","",IF(P2196="Gasto",S2196,IF(P2196="Reembolso",-S2196,0)))</f>
        <v/>
      </c>
      <c r="V2196" s="53">
        <f>IF(P2196="","",IF(P2196="Ingreso",S2196,0))</f>
        <v/>
      </c>
      <c r="W2196" s="53">
        <f>IF(P2196="","",IF(P2196="Resultado trading",S2196,0))</f>
        <v/>
      </c>
      <c r="X2196" s="52">
        <f>IF(OR(P2196="Gasto",P2196="Reembolso"),IF(M2196&lt;&gt;"",M2196,IFERROR(INDEX(catClasif,MATCH(D2196&amp;"|"&amp;E2196,catClave,0))&amp;"","Variable")),"")</f>
        <v/>
      </c>
      <c r="Y2196" s="52">
        <f>IF(P2196="","",IFERROR(INDEX(catGrupo,MATCH(D2196&amp;"|"&amp;E2196,catClave,0))&amp;"",""))</f>
        <v/>
      </c>
      <c r="Z2196" s="52">
        <f>IF(P2196="","",WEEKDAY(B2196,2))</f>
        <v/>
      </c>
      <c r="AA2196" s="52">
        <f>IF(P2196="","",IF(AND(P2196="Gasto",X2196="Variable",D2196&lt;&gt;catTrading,S2196&gt;0,S2196&lt;=Umbral),1,0))</f>
        <v/>
      </c>
      <c r="AB2196" s="52">
        <f>IF(OR(P2196="",Q2196=""),"",IFERROR(IF(INDEX(ctaVinc,MATCH(Q2196,ctaNombre,0))&amp;""&lt;&gt;"",INDEX(ctaVinc,MATCH(Q2196,ctaNombre,0))&amp;"",Q2196),Q2196))</f>
        <v/>
      </c>
      <c r="AC2196" s="52">
        <f>IF(OR(K2196="",AND(P2196&lt;&gt;"Transferencia",P2196&lt;&gt;"Pago tarjeta")),"",IFERROR(IF(INDEX(ctaVinc,MATCH(K2196,ctaNombre,0))&amp;""&lt;&gt;"",INDEX(ctaVinc,MATCH(K2196,ctaNombre,0))&amp;"",K2196),K2196))</f>
        <v/>
      </c>
      <c r="AD2196" s="52">
        <f>IF(AB2196="","",IFERROR(INDEX(ctaTipo,MATCH(AB2196,ctaNombre,0))&amp;"",""))</f>
        <v/>
      </c>
      <c r="AE2196" s="52">
        <f>IF(AC2196="","",IFERROR(INDEX(ctaTipo,MATCH(AC2196,ctaNombre,0))&amp;"",""))</f>
        <v/>
      </c>
      <c r="AF2196" s="53">
        <f>IF(OR(P2196="",AB2196=""),"",IF(OR(P2196="Gasto",P2196="Transferencia",P2196="Pago tarjeta"),-1,1)*IF(IFERROR(INDEX(ctaMoneda,MATCH(AB2196,ctaNombre,0))&amp;"","DOP")="USD",T2196,S2196))</f>
        <v/>
      </c>
      <c r="AG2196" s="53">
        <f>IF(AC2196="","",IF(IFERROR(INDEX(ctaMoneda,MATCH(AC2196,ctaNombre,0))&amp;"","DOP")="USD",T2196,S2196))</f>
        <v/>
      </c>
      <c r="AH2196" s="53">
        <f>IF(P2196="","",IF(AND(AD2196&lt;&gt;"",COUNTIFS(tcTipo,AD2196,tcLiq,"Sí")&gt;0),IF(OR(P2196="Gasto",P2196="Transferencia",P2196="Pago tarjeta"),-1,1)*S2196,0)+IF(AND(AE2196&lt;&gt;"",COUNTIFS(tcTipo,AE2196,tcLiq,"Sí")&gt;0),S2196,0))</f>
        <v/>
      </c>
      <c r="AI2196" s="52">
        <f>IF(OR(L2196="",P2196=""),"",IF(COUNTIFS(L$6:L2196,L2196,P$6:P2196,"?*")=1,MAX(AI$5:AI2195)+1,""))</f>
        <v/>
      </c>
    </row>
    <row r="2197">
      <c r="B2197" s="47" t="n"/>
      <c r="C2197" s="48" t="n"/>
      <c r="D2197" s="48" t="n"/>
      <c r="E2197" s="48" t="n"/>
      <c r="F2197" s="48" t="n"/>
      <c r="G2197" s="49" t="n"/>
      <c r="H2197" s="48" t="n"/>
      <c r="I2197" s="50" t="n"/>
      <c r="J2197" s="48" t="n"/>
      <c r="K2197" s="48" t="n"/>
      <c r="L2197" s="48" t="n"/>
      <c r="M2197" s="48" t="n"/>
      <c r="N2197" s="48" t="n"/>
      <c r="O2197" s="51">
        <f>IF(AND(B2197="",G2197="",C2197="",D2197="",J2197=""),"",IF(B2197="","⚠ Falta fecha",IF(G2197="","⚠ Falta monto",IF(Q2197="","⚠ Falta cuenta",IF(ISNA(MATCH(Q2197,ctaNombre,0)),"⚠ Cuenta no registrada",IF(AND(OR(P2197="Gasto",P2197="Reembolso"),D2197=""),"⚠ Falta categoría",IF(AND(D2197&lt;&gt;"",E2197&lt;&gt;"",ISNA(MATCH(D2197&amp;"|"&amp;E2197,catClave,0))),"⚠ Subcategoría no corresponde",IF(AND(OR(P2197="Transferencia",P2197="Pago tarjeta"),K2197=""),"⚠ Falta cuenta destino",IF(AND(K2197&lt;&gt;"",P2197&lt;&gt;"Transferencia",P2197&lt;&gt;"Pago tarjeta"),"⚠ Destino solo aplica a transferencias",IF(AND(K2197&lt;&gt;"",K2197=Q2197),"⚠ Origen igual a destino",IF(AND(K2197&lt;&gt;"",ISNA(MATCH(K2197,ctaNombre,0))),"⚠ Destino no registrado",IF(AND(P2197="Pago tarjeta",AE2197&lt;&gt;"Tarjeta de crédito"),"⚠ El destino debe ser tarjeta de crédito",IF(AND(P2197="Gasto",E2197="Depósitos y retiros"),"⚠ Usa tipo Transferencia",IF(AND(P2197="Resultado trading",AD2197&lt;&gt;"Cuenta de trading"),"⚠ Usa una cuenta de trading",IF(AND(G2197&lt;=0,P2197&lt;&gt;"Ajuste",P2197&lt;&gt;"Resultado trading"),"⚠ El monto debe ser positivo","✓")))))))))))))))</f>
        <v/>
      </c>
      <c r="P2197" s="52">
        <f>IF(OR(B2197="",G2197=""),"",IF(C2197="","Gasto",C2197))</f>
        <v/>
      </c>
      <c r="Q2197" s="52">
        <f>IF(P2197="","",IF(J2197&lt;&gt;"",J2197,CuentaPred&amp;""))</f>
        <v/>
      </c>
      <c r="R2197" s="52">
        <f>IF(P2197="","",IF(ISNUMBER(I2197),I2197,TasaUSD))</f>
        <v/>
      </c>
      <c r="S2197" s="53">
        <f>IF(P2197="","",IF(H2197="USD",G2197*R2197,G2197))</f>
        <v/>
      </c>
      <c r="T2197" s="53">
        <f>IF(P2197="","",IF(H2197="USD",G2197,IF(R2197&gt;0,G2197/R2197,0)))</f>
        <v/>
      </c>
      <c r="U2197" s="53">
        <f>IF(P2197="","",IF(P2197="Gasto",S2197,IF(P2197="Reembolso",-S2197,0)))</f>
        <v/>
      </c>
      <c r="V2197" s="53">
        <f>IF(P2197="","",IF(P2197="Ingreso",S2197,0))</f>
        <v/>
      </c>
      <c r="W2197" s="53">
        <f>IF(P2197="","",IF(P2197="Resultado trading",S2197,0))</f>
        <v/>
      </c>
      <c r="X2197" s="52">
        <f>IF(OR(P2197="Gasto",P2197="Reembolso"),IF(M2197&lt;&gt;"",M2197,IFERROR(INDEX(catClasif,MATCH(D2197&amp;"|"&amp;E2197,catClave,0))&amp;"","Variable")),"")</f>
        <v/>
      </c>
      <c r="Y2197" s="52">
        <f>IF(P2197="","",IFERROR(INDEX(catGrupo,MATCH(D2197&amp;"|"&amp;E2197,catClave,0))&amp;"",""))</f>
        <v/>
      </c>
      <c r="Z2197" s="52">
        <f>IF(P2197="","",WEEKDAY(B2197,2))</f>
        <v/>
      </c>
      <c r="AA2197" s="52">
        <f>IF(P2197="","",IF(AND(P2197="Gasto",X2197="Variable",D2197&lt;&gt;catTrading,S2197&gt;0,S2197&lt;=Umbral),1,0))</f>
        <v/>
      </c>
      <c r="AB2197" s="52">
        <f>IF(OR(P2197="",Q2197=""),"",IFERROR(IF(INDEX(ctaVinc,MATCH(Q2197,ctaNombre,0))&amp;""&lt;&gt;"",INDEX(ctaVinc,MATCH(Q2197,ctaNombre,0))&amp;"",Q2197),Q2197))</f>
        <v/>
      </c>
      <c r="AC2197" s="52">
        <f>IF(OR(K2197="",AND(P2197&lt;&gt;"Transferencia",P2197&lt;&gt;"Pago tarjeta")),"",IFERROR(IF(INDEX(ctaVinc,MATCH(K2197,ctaNombre,0))&amp;""&lt;&gt;"",INDEX(ctaVinc,MATCH(K2197,ctaNombre,0))&amp;"",K2197),K2197))</f>
        <v/>
      </c>
      <c r="AD2197" s="52">
        <f>IF(AB2197="","",IFERROR(INDEX(ctaTipo,MATCH(AB2197,ctaNombre,0))&amp;"",""))</f>
        <v/>
      </c>
      <c r="AE2197" s="52">
        <f>IF(AC2197="","",IFERROR(INDEX(ctaTipo,MATCH(AC2197,ctaNombre,0))&amp;"",""))</f>
        <v/>
      </c>
      <c r="AF2197" s="53">
        <f>IF(OR(P2197="",AB2197=""),"",IF(OR(P2197="Gasto",P2197="Transferencia",P2197="Pago tarjeta"),-1,1)*IF(IFERROR(INDEX(ctaMoneda,MATCH(AB2197,ctaNombre,0))&amp;"","DOP")="USD",T2197,S2197))</f>
        <v/>
      </c>
      <c r="AG2197" s="53">
        <f>IF(AC2197="","",IF(IFERROR(INDEX(ctaMoneda,MATCH(AC2197,ctaNombre,0))&amp;"","DOP")="USD",T2197,S2197))</f>
        <v/>
      </c>
      <c r="AH2197" s="53">
        <f>IF(P2197="","",IF(AND(AD2197&lt;&gt;"",COUNTIFS(tcTipo,AD2197,tcLiq,"Sí")&gt;0),IF(OR(P2197="Gasto",P2197="Transferencia",P2197="Pago tarjeta"),-1,1)*S2197,0)+IF(AND(AE2197&lt;&gt;"",COUNTIFS(tcTipo,AE2197,tcLiq,"Sí")&gt;0),S2197,0))</f>
        <v/>
      </c>
      <c r="AI2197" s="52">
        <f>IF(OR(L2197="",P2197=""),"",IF(COUNTIFS(L$6:L2197,L2197,P$6:P2197,"?*")=1,MAX(AI$5:AI2196)+1,""))</f>
        <v/>
      </c>
    </row>
    <row r="2198">
      <c r="B2198" s="47" t="n"/>
      <c r="C2198" s="48" t="n"/>
      <c r="D2198" s="48" t="n"/>
      <c r="E2198" s="48" t="n"/>
      <c r="F2198" s="48" t="n"/>
      <c r="G2198" s="49" t="n"/>
      <c r="H2198" s="48" t="n"/>
      <c r="I2198" s="50" t="n"/>
      <c r="J2198" s="48" t="n"/>
      <c r="K2198" s="48" t="n"/>
      <c r="L2198" s="48" t="n"/>
      <c r="M2198" s="48" t="n"/>
      <c r="N2198" s="48" t="n"/>
      <c r="O2198" s="51">
        <f>IF(AND(B2198="",G2198="",C2198="",D2198="",J2198=""),"",IF(B2198="","⚠ Falta fecha",IF(G2198="","⚠ Falta monto",IF(Q2198="","⚠ Falta cuenta",IF(ISNA(MATCH(Q2198,ctaNombre,0)),"⚠ Cuenta no registrada",IF(AND(OR(P2198="Gasto",P2198="Reembolso"),D2198=""),"⚠ Falta categoría",IF(AND(D2198&lt;&gt;"",E2198&lt;&gt;"",ISNA(MATCH(D2198&amp;"|"&amp;E2198,catClave,0))),"⚠ Subcategoría no corresponde",IF(AND(OR(P2198="Transferencia",P2198="Pago tarjeta"),K2198=""),"⚠ Falta cuenta destino",IF(AND(K2198&lt;&gt;"",P2198&lt;&gt;"Transferencia",P2198&lt;&gt;"Pago tarjeta"),"⚠ Destino solo aplica a transferencias",IF(AND(K2198&lt;&gt;"",K2198=Q2198),"⚠ Origen igual a destino",IF(AND(K2198&lt;&gt;"",ISNA(MATCH(K2198,ctaNombre,0))),"⚠ Destino no registrado",IF(AND(P2198="Pago tarjeta",AE2198&lt;&gt;"Tarjeta de crédito"),"⚠ El destino debe ser tarjeta de crédito",IF(AND(P2198="Gasto",E2198="Depósitos y retiros"),"⚠ Usa tipo Transferencia",IF(AND(P2198="Resultado trading",AD2198&lt;&gt;"Cuenta de trading"),"⚠ Usa una cuenta de trading",IF(AND(G2198&lt;=0,P2198&lt;&gt;"Ajuste",P2198&lt;&gt;"Resultado trading"),"⚠ El monto debe ser positivo","✓")))))))))))))))</f>
        <v/>
      </c>
      <c r="P2198" s="52">
        <f>IF(OR(B2198="",G2198=""),"",IF(C2198="","Gasto",C2198))</f>
        <v/>
      </c>
      <c r="Q2198" s="52">
        <f>IF(P2198="","",IF(J2198&lt;&gt;"",J2198,CuentaPred&amp;""))</f>
        <v/>
      </c>
      <c r="R2198" s="52">
        <f>IF(P2198="","",IF(ISNUMBER(I2198),I2198,TasaUSD))</f>
        <v/>
      </c>
      <c r="S2198" s="53">
        <f>IF(P2198="","",IF(H2198="USD",G2198*R2198,G2198))</f>
        <v/>
      </c>
      <c r="T2198" s="53">
        <f>IF(P2198="","",IF(H2198="USD",G2198,IF(R2198&gt;0,G2198/R2198,0)))</f>
        <v/>
      </c>
      <c r="U2198" s="53">
        <f>IF(P2198="","",IF(P2198="Gasto",S2198,IF(P2198="Reembolso",-S2198,0)))</f>
        <v/>
      </c>
      <c r="V2198" s="53">
        <f>IF(P2198="","",IF(P2198="Ingreso",S2198,0))</f>
        <v/>
      </c>
      <c r="W2198" s="53">
        <f>IF(P2198="","",IF(P2198="Resultado trading",S2198,0))</f>
        <v/>
      </c>
      <c r="X2198" s="52">
        <f>IF(OR(P2198="Gasto",P2198="Reembolso"),IF(M2198&lt;&gt;"",M2198,IFERROR(INDEX(catClasif,MATCH(D2198&amp;"|"&amp;E2198,catClave,0))&amp;"","Variable")),"")</f>
        <v/>
      </c>
      <c r="Y2198" s="52">
        <f>IF(P2198="","",IFERROR(INDEX(catGrupo,MATCH(D2198&amp;"|"&amp;E2198,catClave,0))&amp;"",""))</f>
        <v/>
      </c>
      <c r="Z2198" s="52">
        <f>IF(P2198="","",WEEKDAY(B2198,2))</f>
        <v/>
      </c>
      <c r="AA2198" s="52">
        <f>IF(P2198="","",IF(AND(P2198="Gasto",X2198="Variable",D2198&lt;&gt;catTrading,S2198&gt;0,S2198&lt;=Umbral),1,0))</f>
        <v/>
      </c>
      <c r="AB2198" s="52">
        <f>IF(OR(P2198="",Q2198=""),"",IFERROR(IF(INDEX(ctaVinc,MATCH(Q2198,ctaNombre,0))&amp;""&lt;&gt;"",INDEX(ctaVinc,MATCH(Q2198,ctaNombre,0))&amp;"",Q2198),Q2198))</f>
        <v/>
      </c>
      <c r="AC2198" s="52">
        <f>IF(OR(K2198="",AND(P2198&lt;&gt;"Transferencia",P2198&lt;&gt;"Pago tarjeta")),"",IFERROR(IF(INDEX(ctaVinc,MATCH(K2198,ctaNombre,0))&amp;""&lt;&gt;"",INDEX(ctaVinc,MATCH(K2198,ctaNombre,0))&amp;"",K2198),K2198))</f>
        <v/>
      </c>
      <c r="AD2198" s="52">
        <f>IF(AB2198="","",IFERROR(INDEX(ctaTipo,MATCH(AB2198,ctaNombre,0))&amp;"",""))</f>
        <v/>
      </c>
      <c r="AE2198" s="52">
        <f>IF(AC2198="","",IFERROR(INDEX(ctaTipo,MATCH(AC2198,ctaNombre,0))&amp;"",""))</f>
        <v/>
      </c>
      <c r="AF2198" s="53">
        <f>IF(OR(P2198="",AB2198=""),"",IF(OR(P2198="Gasto",P2198="Transferencia",P2198="Pago tarjeta"),-1,1)*IF(IFERROR(INDEX(ctaMoneda,MATCH(AB2198,ctaNombre,0))&amp;"","DOP")="USD",T2198,S2198))</f>
        <v/>
      </c>
      <c r="AG2198" s="53">
        <f>IF(AC2198="","",IF(IFERROR(INDEX(ctaMoneda,MATCH(AC2198,ctaNombre,0))&amp;"","DOP")="USD",T2198,S2198))</f>
        <v/>
      </c>
      <c r="AH2198" s="53">
        <f>IF(P2198="","",IF(AND(AD2198&lt;&gt;"",COUNTIFS(tcTipo,AD2198,tcLiq,"Sí")&gt;0),IF(OR(P2198="Gasto",P2198="Transferencia",P2198="Pago tarjeta"),-1,1)*S2198,0)+IF(AND(AE2198&lt;&gt;"",COUNTIFS(tcTipo,AE2198,tcLiq,"Sí")&gt;0),S2198,0))</f>
        <v/>
      </c>
      <c r="AI2198" s="52">
        <f>IF(OR(L2198="",P2198=""),"",IF(COUNTIFS(L$6:L2198,L2198,P$6:P2198,"?*")=1,MAX(AI$5:AI2197)+1,""))</f>
        <v/>
      </c>
    </row>
    <row r="2199">
      <c r="B2199" s="47" t="n"/>
      <c r="C2199" s="48" t="n"/>
      <c r="D2199" s="48" t="n"/>
      <c r="E2199" s="48" t="n"/>
      <c r="F2199" s="48" t="n"/>
      <c r="G2199" s="49" t="n"/>
      <c r="H2199" s="48" t="n"/>
      <c r="I2199" s="50" t="n"/>
      <c r="J2199" s="48" t="n"/>
      <c r="K2199" s="48" t="n"/>
      <c r="L2199" s="48" t="n"/>
      <c r="M2199" s="48" t="n"/>
      <c r="N2199" s="48" t="n"/>
      <c r="O2199" s="51">
        <f>IF(AND(B2199="",G2199="",C2199="",D2199="",J2199=""),"",IF(B2199="","⚠ Falta fecha",IF(G2199="","⚠ Falta monto",IF(Q2199="","⚠ Falta cuenta",IF(ISNA(MATCH(Q2199,ctaNombre,0)),"⚠ Cuenta no registrada",IF(AND(OR(P2199="Gasto",P2199="Reembolso"),D2199=""),"⚠ Falta categoría",IF(AND(D2199&lt;&gt;"",E2199&lt;&gt;"",ISNA(MATCH(D2199&amp;"|"&amp;E2199,catClave,0))),"⚠ Subcategoría no corresponde",IF(AND(OR(P2199="Transferencia",P2199="Pago tarjeta"),K2199=""),"⚠ Falta cuenta destino",IF(AND(K2199&lt;&gt;"",P2199&lt;&gt;"Transferencia",P2199&lt;&gt;"Pago tarjeta"),"⚠ Destino solo aplica a transferencias",IF(AND(K2199&lt;&gt;"",K2199=Q2199),"⚠ Origen igual a destino",IF(AND(K2199&lt;&gt;"",ISNA(MATCH(K2199,ctaNombre,0))),"⚠ Destino no registrado",IF(AND(P2199="Pago tarjeta",AE2199&lt;&gt;"Tarjeta de crédito"),"⚠ El destino debe ser tarjeta de crédito",IF(AND(P2199="Gasto",E2199="Depósitos y retiros"),"⚠ Usa tipo Transferencia",IF(AND(P2199="Resultado trading",AD2199&lt;&gt;"Cuenta de trading"),"⚠ Usa una cuenta de trading",IF(AND(G2199&lt;=0,P2199&lt;&gt;"Ajuste",P2199&lt;&gt;"Resultado trading"),"⚠ El monto debe ser positivo","✓")))))))))))))))</f>
        <v/>
      </c>
      <c r="P2199" s="52">
        <f>IF(OR(B2199="",G2199=""),"",IF(C2199="","Gasto",C2199))</f>
        <v/>
      </c>
      <c r="Q2199" s="52">
        <f>IF(P2199="","",IF(J2199&lt;&gt;"",J2199,CuentaPred&amp;""))</f>
        <v/>
      </c>
      <c r="R2199" s="52">
        <f>IF(P2199="","",IF(ISNUMBER(I2199),I2199,TasaUSD))</f>
        <v/>
      </c>
      <c r="S2199" s="53">
        <f>IF(P2199="","",IF(H2199="USD",G2199*R2199,G2199))</f>
        <v/>
      </c>
      <c r="T2199" s="53">
        <f>IF(P2199="","",IF(H2199="USD",G2199,IF(R2199&gt;0,G2199/R2199,0)))</f>
        <v/>
      </c>
      <c r="U2199" s="53">
        <f>IF(P2199="","",IF(P2199="Gasto",S2199,IF(P2199="Reembolso",-S2199,0)))</f>
        <v/>
      </c>
      <c r="V2199" s="53">
        <f>IF(P2199="","",IF(P2199="Ingreso",S2199,0))</f>
        <v/>
      </c>
      <c r="W2199" s="53">
        <f>IF(P2199="","",IF(P2199="Resultado trading",S2199,0))</f>
        <v/>
      </c>
      <c r="X2199" s="52">
        <f>IF(OR(P2199="Gasto",P2199="Reembolso"),IF(M2199&lt;&gt;"",M2199,IFERROR(INDEX(catClasif,MATCH(D2199&amp;"|"&amp;E2199,catClave,0))&amp;"","Variable")),"")</f>
        <v/>
      </c>
      <c r="Y2199" s="52">
        <f>IF(P2199="","",IFERROR(INDEX(catGrupo,MATCH(D2199&amp;"|"&amp;E2199,catClave,0))&amp;"",""))</f>
        <v/>
      </c>
      <c r="Z2199" s="52">
        <f>IF(P2199="","",WEEKDAY(B2199,2))</f>
        <v/>
      </c>
      <c r="AA2199" s="52">
        <f>IF(P2199="","",IF(AND(P2199="Gasto",X2199="Variable",D2199&lt;&gt;catTrading,S2199&gt;0,S2199&lt;=Umbral),1,0))</f>
        <v/>
      </c>
      <c r="AB2199" s="52">
        <f>IF(OR(P2199="",Q2199=""),"",IFERROR(IF(INDEX(ctaVinc,MATCH(Q2199,ctaNombre,0))&amp;""&lt;&gt;"",INDEX(ctaVinc,MATCH(Q2199,ctaNombre,0))&amp;"",Q2199),Q2199))</f>
        <v/>
      </c>
      <c r="AC2199" s="52">
        <f>IF(OR(K2199="",AND(P2199&lt;&gt;"Transferencia",P2199&lt;&gt;"Pago tarjeta")),"",IFERROR(IF(INDEX(ctaVinc,MATCH(K2199,ctaNombre,0))&amp;""&lt;&gt;"",INDEX(ctaVinc,MATCH(K2199,ctaNombre,0))&amp;"",K2199),K2199))</f>
        <v/>
      </c>
      <c r="AD2199" s="52">
        <f>IF(AB2199="","",IFERROR(INDEX(ctaTipo,MATCH(AB2199,ctaNombre,0))&amp;"",""))</f>
        <v/>
      </c>
      <c r="AE2199" s="52">
        <f>IF(AC2199="","",IFERROR(INDEX(ctaTipo,MATCH(AC2199,ctaNombre,0))&amp;"",""))</f>
        <v/>
      </c>
      <c r="AF2199" s="53">
        <f>IF(OR(P2199="",AB2199=""),"",IF(OR(P2199="Gasto",P2199="Transferencia",P2199="Pago tarjeta"),-1,1)*IF(IFERROR(INDEX(ctaMoneda,MATCH(AB2199,ctaNombre,0))&amp;"","DOP")="USD",T2199,S2199))</f>
        <v/>
      </c>
      <c r="AG2199" s="53">
        <f>IF(AC2199="","",IF(IFERROR(INDEX(ctaMoneda,MATCH(AC2199,ctaNombre,0))&amp;"","DOP")="USD",T2199,S2199))</f>
        <v/>
      </c>
      <c r="AH2199" s="53">
        <f>IF(P2199="","",IF(AND(AD2199&lt;&gt;"",COUNTIFS(tcTipo,AD2199,tcLiq,"Sí")&gt;0),IF(OR(P2199="Gasto",P2199="Transferencia",P2199="Pago tarjeta"),-1,1)*S2199,0)+IF(AND(AE2199&lt;&gt;"",COUNTIFS(tcTipo,AE2199,tcLiq,"Sí")&gt;0),S2199,0))</f>
        <v/>
      </c>
      <c r="AI2199" s="52">
        <f>IF(OR(L2199="",P2199=""),"",IF(COUNTIFS(L$6:L2199,L2199,P$6:P2199,"?*")=1,MAX(AI$5:AI2198)+1,""))</f>
        <v/>
      </c>
    </row>
    <row r="2200">
      <c r="B2200" s="47" t="n"/>
      <c r="C2200" s="48" t="n"/>
      <c r="D2200" s="48" t="n"/>
      <c r="E2200" s="48" t="n"/>
      <c r="F2200" s="48" t="n"/>
      <c r="G2200" s="49" t="n"/>
      <c r="H2200" s="48" t="n"/>
      <c r="I2200" s="50" t="n"/>
      <c r="J2200" s="48" t="n"/>
      <c r="K2200" s="48" t="n"/>
      <c r="L2200" s="48" t="n"/>
      <c r="M2200" s="48" t="n"/>
      <c r="N2200" s="48" t="n"/>
      <c r="O2200" s="51">
        <f>IF(AND(B2200="",G2200="",C2200="",D2200="",J2200=""),"",IF(B2200="","⚠ Falta fecha",IF(G2200="","⚠ Falta monto",IF(Q2200="","⚠ Falta cuenta",IF(ISNA(MATCH(Q2200,ctaNombre,0)),"⚠ Cuenta no registrada",IF(AND(OR(P2200="Gasto",P2200="Reembolso"),D2200=""),"⚠ Falta categoría",IF(AND(D2200&lt;&gt;"",E2200&lt;&gt;"",ISNA(MATCH(D2200&amp;"|"&amp;E2200,catClave,0))),"⚠ Subcategoría no corresponde",IF(AND(OR(P2200="Transferencia",P2200="Pago tarjeta"),K2200=""),"⚠ Falta cuenta destino",IF(AND(K2200&lt;&gt;"",P2200&lt;&gt;"Transferencia",P2200&lt;&gt;"Pago tarjeta"),"⚠ Destino solo aplica a transferencias",IF(AND(K2200&lt;&gt;"",K2200=Q2200),"⚠ Origen igual a destino",IF(AND(K2200&lt;&gt;"",ISNA(MATCH(K2200,ctaNombre,0))),"⚠ Destino no registrado",IF(AND(P2200="Pago tarjeta",AE2200&lt;&gt;"Tarjeta de crédito"),"⚠ El destino debe ser tarjeta de crédito",IF(AND(P2200="Gasto",E2200="Depósitos y retiros"),"⚠ Usa tipo Transferencia",IF(AND(P2200="Resultado trading",AD2200&lt;&gt;"Cuenta de trading"),"⚠ Usa una cuenta de trading",IF(AND(G2200&lt;=0,P2200&lt;&gt;"Ajuste",P2200&lt;&gt;"Resultado trading"),"⚠ El monto debe ser positivo","✓")))))))))))))))</f>
        <v/>
      </c>
      <c r="P2200" s="52">
        <f>IF(OR(B2200="",G2200=""),"",IF(C2200="","Gasto",C2200))</f>
        <v/>
      </c>
      <c r="Q2200" s="52">
        <f>IF(P2200="","",IF(J2200&lt;&gt;"",J2200,CuentaPred&amp;""))</f>
        <v/>
      </c>
      <c r="R2200" s="52">
        <f>IF(P2200="","",IF(ISNUMBER(I2200),I2200,TasaUSD))</f>
        <v/>
      </c>
      <c r="S2200" s="53">
        <f>IF(P2200="","",IF(H2200="USD",G2200*R2200,G2200))</f>
        <v/>
      </c>
      <c r="T2200" s="53">
        <f>IF(P2200="","",IF(H2200="USD",G2200,IF(R2200&gt;0,G2200/R2200,0)))</f>
        <v/>
      </c>
      <c r="U2200" s="53">
        <f>IF(P2200="","",IF(P2200="Gasto",S2200,IF(P2200="Reembolso",-S2200,0)))</f>
        <v/>
      </c>
      <c r="V2200" s="53">
        <f>IF(P2200="","",IF(P2200="Ingreso",S2200,0))</f>
        <v/>
      </c>
      <c r="W2200" s="53">
        <f>IF(P2200="","",IF(P2200="Resultado trading",S2200,0))</f>
        <v/>
      </c>
      <c r="X2200" s="52">
        <f>IF(OR(P2200="Gasto",P2200="Reembolso"),IF(M2200&lt;&gt;"",M2200,IFERROR(INDEX(catClasif,MATCH(D2200&amp;"|"&amp;E2200,catClave,0))&amp;"","Variable")),"")</f>
        <v/>
      </c>
      <c r="Y2200" s="52">
        <f>IF(P2200="","",IFERROR(INDEX(catGrupo,MATCH(D2200&amp;"|"&amp;E2200,catClave,0))&amp;"",""))</f>
        <v/>
      </c>
      <c r="Z2200" s="52">
        <f>IF(P2200="","",WEEKDAY(B2200,2))</f>
        <v/>
      </c>
      <c r="AA2200" s="52">
        <f>IF(P2200="","",IF(AND(P2200="Gasto",X2200="Variable",D2200&lt;&gt;catTrading,S2200&gt;0,S2200&lt;=Umbral),1,0))</f>
        <v/>
      </c>
      <c r="AB2200" s="52">
        <f>IF(OR(P2200="",Q2200=""),"",IFERROR(IF(INDEX(ctaVinc,MATCH(Q2200,ctaNombre,0))&amp;""&lt;&gt;"",INDEX(ctaVinc,MATCH(Q2200,ctaNombre,0))&amp;"",Q2200),Q2200))</f>
        <v/>
      </c>
      <c r="AC2200" s="52">
        <f>IF(OR(K2200="",AND(P2200&lt;&gt;"Transferencia",P2200&lt;&gt;"Pago tarjeta")),"",IFERROR(IF(INDEX(ctaVinc,MATCH(K2200,ctaNombre,0))&amp;""&lt;&gt;"",INDEX(ctaVinc,MATCH(K2200,ctaNombre,0))&amp;"",K2200),K2200))</f>
        <v/>
      </c>
      <c r="AD2200" s="52">
        <f>IF(AB2200="","",IFERROR(INDEX(ctaTipo,MATCH(AB2200,ctaNombre,0))&amp;"",""))</f>
        <v/>
      </c>
      <c r="AE2200" s="52">
        <f>IF(AC2200="","",IFERROR(INDEX(ctaTipo,MATCH(AC2200,ctaNombre,0))&amp;"",""))</f>
        <v/>
      </c>
      <c r="AF2200" s="53">
        <f>IF(OR(P2200="",AB2200=""),"",IF(OR(P2200="Gasto",P2200="Transferencia",P2200="Pago tarjeta"),-1,1)*IF(IFERROR(INDEX(ctaMoneda,MATCH(AB2200,ctaNombre,0))&amp;"","DOP")="USD",T2200,S2200))</f>
        <v/>
      </c>
      <c r="AG2200" s="53">
        <f>IF(AC2200="","",IF(IFERROR(INDEX(ctaMoneda,MATCH(AC2200,ctaNombre,0))&amp;"","DOP")="USD",T2200,S2200))</f>
        <v/>
      </c>
      <c r="AH2200" s="53">
        <f>IF(P2200="","",IF(AND(AD2200&lt;&gt;"",COUNTIFS(tcTipo,AD2200,tcLiq,"Sí")&gt;0),IF(OR(P2200="Gasto",P2200="Transferencia",P2200="Pago tarjeta"),-1,1)*S2200,0)+IF(AND(AE2200&lt;&gt;"",COUNTIFS(tcTipo,AE2200,tcLiq,"Sí")&gt;0),S2200,0))</f>
        <v/>
      </c>
      <c r="AI2200" s="52">
        <f>IF(OR(L2200="",P2200=""),"",IF(COUNTIFS(L$6:L2200,L2200,P$6:P2200,"?*")=1,MAX(AI$5:AI2199)+1,""))</f>
        <v/>
      </c>
    </row>
    <row r="2201">
      <c r="B2201" s="47" t="n"/>
      <c r="C2201" s="48" t="n"/>
      <c r="D2201" s="48" t="n"/>
      <c r="E2201" s="48" t="n"/>
      <c r="F2201" s="48" t="n"/>
      <c r="G2201" s="49" t="n"/>
      <c r="H2201" s="48" t="n"/>
      <c r="I2201" s="50" t="n"/>
      <c r="J2201" s="48" t="n"/>
      <c r="K2201" s="48" t="n"/>
      <c r="L2201" s="48" t="n"/>
      <c r="M2201" s="48" t="n"/>
      <c r="N2201" s="48" t="n"/>
      <c r="O2201" s="51">
        <f>IF(AND(B2201="",G2201="",C2201="",D2201="",J2201=""),"",IF(B2201="","⚠ Falta fecha",IF(G2201="","⚠ Falta monto",IF(Q2201="","⚠ Falta cuenta",IF(ISNA(MATCH(Q2201,ctaNombre,0)),"⚠ Cuenta no registrada",IF(AND(OR(P2201="Gasto",P2201="Reembolso"),D2201=""),"⚠ Falta categoría",IF(AND(D2201&lt;&gt;"",E2201&lt;&gt;"",ISNA(MATCH(D2201&amp;"|"&amp;E2201,catClave,0))),"⚠ Subcategoría no corresponde",IF(AND(OR(P2201="Transferencia",P2201="Pago tarjeta"),K2201=""),"⚠ Falta cuenta destino",IF(AND(K2201&lt;&gt;"",P2201&lt;&gt;"Transferencia",P2201&lt;&gt;"Pago tarjeta"),"⚠ Destino solo aplica a transferencias",IF(AND(K2201&lt;&gt;"",K2201=Q2201),"⚠ Origen igual a destino",IF(AND(K2201&lt;&gt;"",ISNA(MATCH(K2201,ctaNombre,0))),"⚠ Destino no registrado",IF(AND(P2201="Pago tarjeta",AE2201&lt;&gt;"Tarjeta de crédito"),"⚠ El destino debe ser tarjeta de crédito",IF(AND(P2201="Gasto",E2201="Depósitos y retiros"),"⚠ Usa tipo Transferencia",IF(AND(P2201="Resultado trading",AD2201&lt;&gt;"Cuenta de trading"),"⚠ Usa una cuenta de trading",IF(AND(G2201&lt;=0,P2201&lt;&gt;"Ajuste",P2201&lt;&gt;"Resultado trading"),"⚠ El monto debe ser positivo","✓")))))))))))))))</f>
        <v/>
      </c>
      <c r="P2201" s="52">
        <f>IF(OR(B2201="",G2201=""),"",IF(C2201="","Gasto",C2201))</f>
        <v/>
      </c>
      <c r="Q2201" s="52">
        <f>IF(P2201="","",IF(J2201&lt;&gt;"",J2201,CuentaPred&amp;""))</f>
        <v/>
      </c>
      <c r="R2201" s="52">
        <f>IF(P2201="","",IF(ISNUMBER(I2201),I2201,TasaUSD))</f>
        <v/>
      </c>
      <c r="S2201" s="53">
        <f>IF(P2201="","",IF(H2201="USD",G2201*R2201,G2201))</f>
        <v/>
      </c>
      <c r="T2201" s="53">
        <f>IF(P2201="","",IF(H2201="USD",G2201,IF(R2201&gt;0,G2201/R2201,0)))</f>
        <v/>
      </c>
      <c r="U2201" s="53">
        <f>IF(P2201="","",IF(P2201="Gasto",S2201,IF(P2201="Reembolso",-S2201,0)))</f>
        <v/>
      </c>
      <c r="V2201" s="53">
        <f>IF(P2201="","",IF(P2201="Ingreso",S2201,0))</f>
        <v/>
      </c>
      <c r="W2201" s="53">
        <f>IF(P2201="","",IF(P2201="Resultado trading",S2201,0))</f>
        <v/>
      </c>
      <c r="X2201" s="52">
        <f>IF(OR(P2201="Gasto",P2201="Reembolso"),IF(M2201&lt;&gt;"",M2201,IFERROR(INDEX(catClasif,MATCH(D2201&amp;"|"&amp;E2201,catClave,0))&amp;"","Variable")),"")</f>
        <v/>
      </c>
      <c r="Y2201" s="52">
        <f>IF(P2201="","",IFERROR(INDEX(catGrupo,MATCH(D2201&amp;"|"&amp;E2201,catClave,0))&amp;"",""))</f>
        <v/>
      </c>
      <c r="Z2201" s="52">
        <f>IF(P2201="","",WEEKDAY(B2201,2))</f>
        <v/>
      </c>
      <c r="AA2201" s="52">
        <f>IF(P2201="","",IF(AND(P2201="Gasto",X2201="Variable",D2201&lt;&gt;catTrading,S2201&gt;0,S2201&lt;=Umbral),1,0))</f>
        <v/>
      </c>
      <c r="AB2201" s="52">
        <f>IF(OR(P2201="",Q2201=""),"",IFERROR(IF(INDEX(ctaVinc,MATCH(Q2201,ctaNombre,0))&amp;""&lt;&gt;"",INDEX(ctaVinc,MATCH(Q2201,ctaNombre,0))&amp;"",Q2201),Q2201))</f>
        <v/>
      </c>
      <c r="AC2201" s="52">
        <f>IF(OR(K2201="",AND(P2201&lt;&gt;"Transferencia",P2201&lt;&gt;"Pago tarjeta")),"",IFERROR(IF(INDEX(ctaVinc,MATCH(K2201,ctaNombre,0))&amp;""&lt;&gt;"",INDEX(ctaVinc,MATCH(K2201,ctaNombre,0))&amp;"",K2201),K2201))</f>
        <v/>
      </c>
      <c r="AD2201" s="52">
        <f>IF(AB2201="","",IFERROR(INDEX(ctaTipo,MATCH(AB2201,ctaNombre,0))&amp;"",""))</f>
        <v/>
      </c>
      <c r="AE2201" s="52">
        <f>IF(AC2201="","",IFERROR(INDEX(ctaTipo,MATCH(AC2201,ctaNombre,0))&amp;"",""))</f>
        <v/>
      </c>
      <c r="AF2201" s="53">
        <f>IF(OR(P2201="",AB2201=""),"",IF(OR(P2201="Gasto",P2201="Transferencia",P2201="Pago tarjeta"),-1,1)*IF(IFERROR(INDEX(ctaMoneda,MATCH(AB2201,ctaNombre,0))&amp;"","DOP")="USD",T2201,S2201))</f>
        <v/>
      </c>
      <c r="AG2201" s="53">
        <f>IF(AC2201="","",IF(IFERROR(INDEX(ctaMoneda,MATCH(AC2201,ctaNombre,0))&amp;"","DOP")="USD",T2201,S2201))</f>
        <v/>
      </c>
      <c r="AH2201" s="53">
        <f>IF(P2201="","",IF(AND(AD2201&lt;&gt;"",COUNTIFS(tcTipo,AD2201,tcLiq,"Sí")&gt;0),IF(OR(P2201="Gasto",P2201="Transferencia",P2201="Pago tarjeta"),-1,1)*S2201,0)+IF(AND(AE2201&lt;&gt;"",COUNTIFS(tcTipo,AE2201,tcLiq,"Sí")&gt;0),S2201,0))</f>
        <v/>
      </c>
      <c r="AI2201" s="52">
        <f>IF(OR(L2201="",P2201=""),"",IF(COUNTIFS(L$6:L2201,L2201,P$6:P2201,"?*")=1,MAX(AI$5:AI2200)+1,""))</f>
        <v/>
      </c>
    </row>
    <row r="2202">
      <c r="B2202" s="47" t="n"/>
      <c r="C2202" s="48" t="n"/>
      <c r="D2202" s="48" t="n"/>
      <c r="E2202" s="48" t="n"/>
      <c r="F2202" s="48" t="n"/>
      <c r="G2202" s="49" t="n"/>
      <c r="H2202" s="48" t="n"/>
      <c r="I2202" s="50" t="n"/>
      <c r="J2202" s="48" t="n"/>
      <c r="K2202" s="48" t="n"/>
      <c r="L2202" s="48" t="n"/>
      <c r="M2202" s="48" t="n"/>
      <c r="N2202" s="48" t="n"/>
      <c r="O2202" s="51">
        <f>IF(AND(B2202="",G2202="",C2202="",D2202="",J2202=""),"",IF(B2202="","⚠ Falta fecha",IF(G2202="","⚠ Falta monto",IF(Q2202="","⚠ Falta cuenta",IF(ISNA(MATCH(Q2202,ctaNombre,0)),"⚠ Cuenta no registrada",IF(AND(OR(P2202="Gasto",P2202="Reembolso"),D2202=""),"⚠ Falta categoría",IF(AND(D2202&lt;&gt;"",E2202&lt;&gt;"",ISNA(MATCH(D2202&amp;"|"&amp;E2202,catClave,0))),"⚠ Subcategoría no corresponde",IF(AND(OR(P2202="Transferencia",P2202="Pago tarjeta"),K2202=""),"⚠ Falta cuenta destino",IF(AND(K2202&lt;&gt;"",P2202&lt;&gt;"Transferencia",P2202&lt;&gt;"Pago tarjeta"),"⚠ Destino solo aplica a transferencias",IF(AND(K2202&lt;&gt;"",K2202=Q2202),"⚠ Origen igual a destino",IF(AND(K2202&lt;&gt;"",ISNA(MATCH(K2202,ctaNombre,0))),"⚠ Destino no registrado",IF(AND(P2202="Pago tarjeta",AE2202&lt;&gt;"Tarjeta de crédito"),"⚠ El destino debe ser tarjeta de crédito",IF(AND(P2202="Gasto",E2202="Depósitos y retiros"),"⚠ Usa tipo Transferencia",IF(AND(P2202="Resultado trading",AD2202&lt;&gt;"Cuenta de trading"),"⚠ Usa una cuenta de trading",IF(AND(G2202&lt;=0,P2202&lt;&gt;"Ajuste",P2202&lt;&gt;"Resultado trading"),"⚠ El monto debe ser positivo","✓")))))))))))))))</f>
        <v/>
      </c>
      <c r="P2202" s="52">
        <f>IF(OR(B2202="",G2202=""),"",IF(C2202="","Gasto",C2202))</f>
        <v/>
      </c>
      <c r="Q2202" s="52">
        <f>IF(P2202="","",IF(J2202&lt;&gt;"",J2202,CuentaPred&amp;""))</f>
        <v/>
      </c>
      <c r="R2202" s="52">
        <f>IF(P2202="","",IF(ISNUMBER(I2202),I2202,TasaUSD))</f>
        <v/>
      </c>
      <c r="S2202" s="53">
        <f>IF(P2202="","",IF(H2202="USD",G2202*R2202,G2202))</f>
        <v/>
      </c>
      <c r="T2202" s="53">
        <f>IF(P2202="","",IF(H2202="USD",G2202,IF(R2202&gt;0,G2202/R2202,0)))</f>
        <v/>
      </c>
      <c r="U2202" s="53">
        <f>IF(P2202="","",IF(P2202="Gasto",S2202,IF(P2202="Reembolso",-S2202,0)))</f>
        <v/>
      </c>
      <c r="V2202" s="53">
        <f>IF(P2202="","",IF(P2202="Ingreso",S2202,0))</f>
        <v/>
      </c>
      <c r="W2202" s="53">
        <f>IF(P2202="","",IF(P2202="Resultado trading",S2202,0))</f>
        <v/>
      </c>
      <c r="X2202" s="52">
        <f>IF(OR(P2202="Gasto",P2202="Reembolso"),IF(M2202&lt;&gt;"",M2202,IFERROR(INDEX(catClasif,MATCH(D2202&amp;"|"&amp;E2202,catClave,0))&amp;"","Variable")),"")</f>
        <v/>
      </c>
      <c r="Y2202" s="52">
        <f>IF(P2202="","",IFERROR(INDEX(catGrupo,MATCH(D2202&amp;"|"&amp;E2202,catClave,0))&amp;"",""))</f>
        <v/>
      </c>
      <c r="Z2202" s="52">
        <f>IF(P2202="","",WEEKDAY(B2202,2))</f>
        <v/>
      </c>
      <c r="AA2202" s="52">
        <f>IF(P2202="","",IF(AND(P2202="Gasto",X2202="Variable",D2202&lt;&gt;catTrading,S2202&gt;0,S2202&lt;=Umbral),1,0))</f>
        <v/>
      </c>
      <c r="AB2202" s="52">
        <f>IF(OR(P2202="",Q2202=""),"",IFERROR(IF(INDEX(ctaVinc,MATCH(Q2202,ctaNombre,0))&amp;""&lt;&gt;"",INDEX(ctaVinc,MATCH(Q2202,ctaNombre,0))&amp;"",Q2202),Q2202))</f>
        <v/>
      </c>
      <c r="AC2202" s="52">
        <f>IF(OR(K2202="",AND(P2202&lt;&gt;"Transferencia",P2202&lt;&gt;"Pago tarjeta")),"",IFERROR(IF(INDEX(ctaVinc,MATCH(K2202,ctaNombre,0))&amp;""&lt;&gt;"",INDEX(ctaVinc,MATCH(K2202,ctaNombre,0))&amp;"",K2202),K2202))</f>
        <v/>
      </c>
      <c r="AD2202" s="52">
        <f>IF(AB2202="","",IFERROR(INDEX(ctaTipo,MATCH(AB2202,ctaNombre,0))&amp;"",""))</f>
        <v/>
      </c>
      <c r="AE2202" s="52">
        <f>IF(AC2202="","",IFERROR(INDEX(ctaTipo,MATCH(AC2202,ctaNombre,0))&amp;"",""))</f>
        <v/>
      </c>
      <c r="AF2202" s="53">
        <f>IF(OR(P2202="",AB2202=""),"",IF(OR(P2202="Gasto",P2202="Transferencia",P2202="Pago tarjeta"),-1,1)*IF(IFERROR(INDEX(ctaMoneda,MATCH(AB2202,ctaNombre,0))&amp;"","DOP")="USD",T2202,S2202))</f>
        <v/>
      </c>
      <c r="AG2202" s="53">
        <f>IF(AC2202="","",IF(IFERROR(INDEX(ctaMoneda,MATCH(AC2202,ctaNombre,0))&amp;"","DOP")="USD",T2202,S2202))</f>
        <v/>
      </c>
      <c r="AH2202" s="53">
        <f>IF(P2202="","",IF(AND(AD2202&lt;&gt;"",COUNTIFS(tcTipo,AD2202,tcLiq,"Sí")&gt;0),IF(OR(P2202="Gasto",P2202="Transferencia",P2202="Pago tarjeta"),-1,1)*S2202,0)+IF(AND(AE2202&lt;&gt;"",COUNTIFS(tcTipo,AE2202,tcLiq,"Sí")&gt;0),S2202,0))</f>
        <v/>
      </c>
      <c r="AI2202" s="52">
        <f>IF(OR(L2202="",P2202=""),"",IF(COUNTIFS(L$6:L2202,L2202,P$6:P2202,"?*")=1,MAX(AI$5:AI2201)+1,""))</f>
        <v/>
      </c>
    </row>
    <row r="2203">
      <c r="B2203" s="47" t="n"/>
      <c r="C2203" s="48" t="n"/>
      <c r="D2203" s="48" t="n"/>
      <c r="E2203" s="48" t="n"/>
      <c r="F2203" s="48" t="n"/>
      <c r="G2203" s="49" t="n"/>
      <c r="H2203" s="48" t="n"/>
      <c r="I2203" s="50" t="n"/>
      <c r="J2203" s="48" t="n"/>
      <c r="K2203" s="48" t="n"/>
      <c r="L2203" s="48" t="n"/>
      <c r="M2203" s="48" t="n"/>
      <c r="N2203" s="48" t="n"/>
      <c r="O2203" s="51">
        <f>IF(AND(B2203="",G2203="",C2203="",D2203="",J2203=""),"",IF(B2203="","⚠ Falta fecha",IF(G2203="","⚠ Falta monto",IF(Q2203="","⚠ Falta cuenta",IF(ISNA(MATCH(Q2203,ctaNombre,0)),"⚠ Cuenta no registrada",IF(AND(OR(P2203="Gasto",P2203="Reembolso"),D2203=""),"⚠ Falta categoría",IF(AND(D2203&lt;&gt;"",E2203&lt;&gt;"",ISNA(MATCH(D2203&amp;"|"&amp;E2203,catClave,0))),"⚠ Subcategoría no corresponde",IF(AND(OR(P2203="Transferencia",P2203="Pago tarjeta"),K2203=""),"⚠ Falta cuenta destino",IF(AND(K2203&lt;&gt;"",P2203&lt;&gt;"Transferencia",P2203&lt;&gt;"Pago tarjeta"),"⚠ Destino solo aplica a transferencias",IF(AND(K2203&lt;&gt;"",K2203=Q2203),"⚠ Origen igual a destino",IF(AND(K2203&lt;&gt;"",ISNA(MATCH(K2203,ctaNombre,0))),"⚠ Destino no registrado",IF(AND(P2203="Pago tarjeta",AE2203&lt;&gt;"Tarjeta de crédito"),"⚠ El destino debe ser tarjeta de crédito",IF(AND(P2203="Gasto",E2203="Depósitos y retiros"),"⚠ Usa tipo Transferencia",IF(AND(P2203="Resultado trading",AD2203&lt;&gt;"Cuenta de trading"),"⚠ Usa una cuenta de trading",IF(AND(G2203&lt;=0,P2203&lt;&gt;"Ajuste",P2203&lt;&gt;"Resultado trading"),"⚠ El monto debe ser positivo","✓")))))))))))))))</f>
        <v/>
      </c>
      <c r="P2203" s="52">
        <f>IF(OR(B2203="",G2203=""),"",IF(C2203="","Gasto",C2203))</f>
        <v/>
      </c>
      <c r="Q2203" s="52">
        <f>IF(P2203="","",IF(J2203&lt;&gt;"",J2203,CuentaPred&amp;""))</f>
        <v/>
      </c>
      <c r="R2203" s="52">
        <f>IF(P2203="","",IF(ISNUMBER(I2203),I2203,TasaUSD))</f>
        <v/>
      </c>
      <c r="S2203" s="53">
        <f>IF(P2203="","",IF(H2203="USD",G2203*R2203,G2203))</f>
        <v/>
      </c>
      <c r="T2203" s="53">
        <f>IF(P2203="","",IF(H2203="USD",G2203,IF(R2203&gt;0,G2203/R2203,0)))</f>
        <v/>
      </c>
      <c r="U2203" s="53">
        <f>IF(P2203="","",IF(P2203="Gasto",S2203,IF(P2203="Reembolso",-S2203,0)))</f>
        <v/>
      </c>
      <c r="V2203" s="53">
        <f>IF(P2203="","",IF(P2203="Ingreso",S2203,0))</f>
        <v/>
      </c>
      <c r="W2203" s="53">
        <f>IF(P2203="","",IF(P2203="Resultado trading",S2203,0))</f>
        <v/>
      </c>
      <c r="X2203" s="52">
        <f>IF(OR(P2203="Gasto",P2203="Reembolso"),IF(M2203&lt;&gt;"",M2203,IFERROR(INDEX(catClasif,MATCH(D2203&amp;"|"&amp;E2203,catClave,0))&amp;"","Variable")),"")</f>
        <v/>
      </c>
      <c r="Y2203" s="52">
        <f>IF(P2203="","",IFERROR(INDEX(catGrupo,MATCH(D2203&amp;"|"&amp;E2203,catClave,0))&amp;"",""))</f>
        <v/>
      </c>
      <c r="Z2203" s="52">
        <f>IF(P2203="","",WEEKDAY(B2203,2))</f>
        <v/>
      </c>
      <c r="AA2203" s="52">
        <f>IF(P2203="","",IF(AND(P2203="Gasto",X2203="Variable",D2203&lt;&gt;catTrading,S2203&gt;0,S2203&lt;=Umbral),1,0))</f>
        <v/>
      </c>
      <c r="AB2203" s="52">
        <f>IF(OR(P2203="",Q2203=""),"",IFERROR(IF(INDEX(ctaVinc,MATCH(Q2203,ctaNombre,0))&amp;""&lt;&gt;"",INDEX(ctaVinc,MATCH(Q2203,ctaNombre,0))&amp;"",Q2203),Q2203))</f>
        <v/>
      </c>
      <c r="AC2203" s="52">
        <f>IF(OR(K2203="",AND(P2203&lt;&gt;"Transferencia",P2203&lt;&gt;"Pago tarjeta")),"",IFERROR(IF(INDEX(ctaVinc,MATCH(K2203,ctaNombre,0))&amp;""&lt;&gt;"",INDEX(ctaVinc,MATCH(K2203,ctaNombre,0))&amp;"",K2203),K2203))</f>
        <v/>
      </c>
      <c r="AD2203" s="52">
        <f>IF(AB2203="","",IFERROR(INDEX(ctaTipo,MATCH(AB2203,ctaNombre,0))&amp;"",""))</f>
        <v/>
      </c>
      <c r="AE2203" s="52">
        <f>IF(AC2203="","",IFERROR(INDEX(ctaTipo,MATCH(AC2203,ctaNombre,0))&amp;"",""))</f>
        <v/>
      </c>
      <c r="AF2203" s="53">
        <f>IF(OR(P2203="",AB2203=""),"",IF(OR(P2203="Gasto",P2203="Transferencia",P2203="Pago tarjeta"),-1,1)*IF(IFERROR(INDEX(ctaMoneda,MATCH(AB2203,ctaNombre,0))&amp;"","DOP")="USD",T2203,S2203))</f>
        <v/>
      </c>
      <c r="AG2203" s="53">
        <f>IF(AC2203="","",IF(IFERROR(INDEX(ctaMoneda,MATCH(AC2203,ctaNombre,0))&amp;"","DOP")="USD",T2203,S2203))</f>
        <v/>
      </c>
      <c r="AH2203" s="53">
        <f>IF(P2203="","",IF(AND(AD2203&lt;&gt;"",COUNTIFS(tcTipo,AD2203,tcLiq,"Sí")&gt;0),IF(OR(P2203="Gasto",P2203="Transferencia",P2203="Pago tarjeta"),-1,1)*S2203,0)+IF(AND(AE2203&lt;&gt;"",COUNTIFS(tcTipo,AE2203,tcLiq,"Sí")&gt;0),S2203,0))</f>
        <v/>
      </c>
      <c r="AI2203" s="52">
        <f>IF(OR(L2203="",P2203=""),"",IF(COUNTIFS(L$6:L2203,L2203,P$6:P2203,"?*")=1,MAX(AI$5:AI2202)+1,""))</f>
        <v/>
      </c>
    </row>
    <row r="2204">
      <c r="B2204" s="47" t="n"/>
      <c r="C2204" s="48" t="n"/>
      <c r="D2204" s="48" t="n"/>
      <c r="E2204" s="48" t="n"/>
      <c r="F2204" s="48" t="n"/>
      <c r="G2204" s="49" t="n"/>
      <c r="H2204" s="48" t="n"/>
      <c r="I2204" s="50" t="n"/>
      <c r="J2204" s="48" t="n"/>
      <c r="K2204" s="48" t="n"/>
      <c r="L2204" s="48" t="n"/>
      <c r="M2204" s="48" t="n"/>
      <c r="N2204" s="48" t="n"/>
      <c r="O2204" s="51">
        <f>IF(AND(B2204="",G2204="",C2204="",D2204="",J2204=""),"",IF(B2204="","⚠ Falta fecha",IF(G2204="","⚠ Falta monto",IF(Q2204="","⚠ Falta cuenta",IF(ISNA(MATCH(Q2204,ctaNombre,0)),"⚠ Cuenta no registrada",IF(AND(OR(P2204="Gasto",P2204="Reembolso"),D2204=""),"⚠ Falta categoría",IF(AND(D2204&lt;&gt;"",E2204&lt;&gt;"",ISNA(MATCH(D2204&amp;"|"&amp;E2204,catClave,0))),"⚠ Subcategoría no corresponde",IF(AND(OR(P2204="Transferencia",P2204="Pago tarjeta"),K2204=""),"⚠ Falta cuenta destino",IF(AND(K2204&lt;&gt;"",P2204&lt;&gt;"Transferencia",P2204&lt;&gt;"Pago tarjeta"),"⚠ Destino solo aplica a transferencias",IF(AND(K2204&lt;&gt;"",K2204=Q2204),"⚠ Origen igual a destino",IF(AND(K2204&lt;&gt;"",ISNA(MATCH(K2204,ctaNombre,0))),"⚠ Destino no registrado",IF(AND(P2204="Pago tarjeta",AE2204&lt;&gt;"Tarjeta de crédito"),"⚠ El destino debe ser tarjeta de crédito",IF(AND(P2204="Gasto",E2204="Depósitos y retiros"),"⚠ Usa tipo Transferencia",IF(AND(P2204="Resultado trading",AD2204&lt;&gt;"Cuenta de trading"),"⚠ Usa una cuenta de trading",IF(AND(G2204&lt;=0,P2204&lt;&gt;"Ajuste",P2204&lt;&gt;"Resultado trading"),"⚠ El monto debe ser positivo","✓")))))))))))))))</f>
        <v/>
      </c>
      <c r="P2204" s="52">
        <f>IF(OR(B2204="",G2204=""),"",IF(C2204="","Gasto",C2204))</f>
        <v/>
      </c>
      <c r="Q2204" s="52">
        <f>IF(P2204="","",IF(J2204&lt;&gt;"",J2204,CuentaPred&amp;""))</f>
        <v/>
      </c>
      <c r="R2204" s="52">
        <f>IF(P2204="","",IF(ISNUMBER(I2204),I2204,TasaUSD))</f>
        <v/>
      </c>
      <c r="S2204" s="53">
        <f>IF(P2204="","",IF(H2204="USD",G2204*R2204,G2204))</f>
        <v/>
      </c>
      <c r="T2204" s="53">
        <f>IF(P2204="","",IF(H2204="USD",G2204,IF(R2204&gt;0,G2204/R2204,0)))</f>
        <v/>
      </c>
      <c r="U2204" s="53">
        <f>IF(P2204="","",IF(P2204="Gasto",S2204,IF(P2204="Reembolso",-S2204,0)))</f>
        <v/>
      </c>
      <c r="V2204" s="53">
        <f>IF(P2204="","",IF(P2204="Ingreso",S2204,0))</f>
        <v/>
      </c>
      <c r="W2204" s="53">
        <f>IF(P2204="","",IF(P2204="Resultado trading",S2204,0))</f>
        <v/>
      </c>
      <c r="X2204" s="52">
        <f>IF(OR(P2204="Gasto",P2204="Reembolso"),IF(M2204&lt;&gt;"",M2204,IFERROR(INDEX(catClasif,MATCH(D2204&amp;"|"&amp;E2204,catClave,0))&amp;"","Variable")),"")</f>
        <v/>
      </c>
      <c r="Y2204" s="52">
        <f>IF(P2204="","",IFERROR(INDEX(catGrupo,MATCH(D2204&amp;"|"&amp;E2204,catClave,0))&amp;"",""))</f>
        <v/>
      </c>
      <c r="Z2204" s="52">
        <f>IF(P2204="","",WEEKDAY(B2204,2))</f>
        <v/>
      </c>
      <c r="AA2204" s="52">
        <f>IF(P2204="","",IF(AND(P2204="Gasto",X2204="Variable",D2204&lt;&gt;catTrading,S2204&gt;0,S2204&lt;=Umbral),1,0))</f>
        <v/>
      </c>
      <c r="AB2204" s="52">
        <f>IF(OR(P2204="",Q2204=""),"",IFERROR(IF(INDEX(ctaVinc,MATCH(Q2204,ctaNombre,0))&amp;""&lt;&gt;"",INDEX(ctaVinc,MATCH(Q2204,ctaNombre,0))&amp;"",Q2204),Q2204))</f>
        <v/>
      </c>
      <c r="AC2204" s="52">
        <f>IF(OR(K2204="",AND(P2204&lt;&gt;"Transferencia",P2204&lt;&gt;"Pago tarjeta")),"",IFERROR(IF(INDEX(ctaVinc,MATCH(K2204,ctaNombre,0))&amp;""&lt;&gt;"",INDEX(ctaVinc,MATCH(K2204,ctaNombre,0))&amp;"",K2204),K2204))</f>
        <v/>
      </c>
      <c r="AD2204" s="52">
        <f>IF(AB2204="","",IFERROR(INDEX(ctaTipo,MATCH(AB2204,ctaNombre,0))&amp;"",""))</f>
        <v/>
      </c>
      <c r="AE2204" s="52">
        <f>IF(AC2204="","",IFERROR(INDEX(ctaTipo,MATCH(AC2204,ctaNombre,0))&amp;"",""))</f>
        <v/>
      </c>
      <c r="AF2204" s="53">
        <f>IF(OR(P2204="",AB2204=""),"",IF(OR(P2204="Gasto",P2204="Transferencia",P2204="Pago tarjeta"),-1,1)*IF(IFERROR(INDEX(ctaMoneda,MATCH(AB2204,ctaNombre,0))&amp;"","DOP")="USD",T2204,S2204))</f>
        <v/>
      </c>
      <c r="AG2204" s="53">
        <f>IF(AC2204="","",IF(IFERROR(INDEX(ctaMoneda,MATCH(AC2204,ctaNombre,0))&amp;"","DOP")="USD",T2204,S2204))</f>
        <v/>
      </c>
      <c r="AH2204" s="53">
        <f>IF(P2204="","",IF(AND(AD2204&lt;&gt;"",COUNTIFS(tcTipo,AD2204,tcLiq,"Sí")&gt;0),IF(OR(P2204="Gasto",P2204="Transferencia",P2204="Pago tarjeta"),-1,1)*S2204,0)+IF(AND(AE2204&lt;&gt;"",COUNTIFS(tcTipo,AE2204,tcLiq,"Sí")&gt;0),S2204,0))</f>
        <v/>
      </c>
      <c r="AI2204" s="52">
        <f>IF(OR(L2204="",P2204=""),"",IF(COUNTIFS(L$6:L2204,L2204,P$6:P2204,"?*")=1,MAX(AI$5:AI2203)+1,""))</f>
        <v/>
      </c>
    </row>
    <row r="2205">
      <c r="B2205" s="47" t="n"/>
      <c r="C2205" s="48" t="n"/>
      <c r="D2205" s="48" t="n"/>
      <c r="E2205" s="48" t="n"/>
      <c r="F2205" s="48" t="n"/>
      <c r="G2205" s="49" t="n"/>
      <c r="H2205" s="48" t="n"/>
      <c r="I2205" s="50" t="n"/>
      <c r="J2205" s="48" t="n"/>
      <c r="K2205" s="48" t="n"/>
      <c r="L2205" s="48" t="n"/>
      <c r="M2205" s="48" t="n"/>
      <c r="N2205" s="48" t="n"/>
      <c r="O2205" s="51">
        <f>IF(AND(B2205="",G2205="",C2205="",D2205="",J2205=""),"",IF(B2205="","⚠ Falta fecha",IF(G2205="","⚠ Falta monto",IF(Q2205="","⚠ Falta cuenta",IF(ISNA(MATCH(Q2205,ctaNombre,0)),"⚠ Cuenta no registrada",IF(AND(OR(P2205="Gasto",P2205="Reembolso"),D2205=""),"⚠ Falta categoría",IF(AND(D2205&lt;&gt;"",E2205&lt;&gt;"",ISNA(MATCH(D2205&amp;"|"&amp;E2205,catClave,0))),"⚠ Subcategoría no corresponde",IF(AND(OR(P2205="Transferencia",P2205="Pago tarjeta"),K2205=""),"⚠ Falta cuenta destino",IF(AND(K2205&lt;&gt;"",P2205&lt;&gt;"Transferencia",P2205&lt;&gt;"Pago tarjeta"),"⚠ Destino solo aplica a transferencias",IF(AND(K2205&lt;&gt;"",K2205=Q2205),"⚠ Origen igual a destino",IF(AND(K2205&lt;&gt;"",ISNA(MATCH(K2205,ctaNombre,0))),"⚠ Destino no registrado",IF(AND(P2205="Pago tarjeta",AE2205&lt;&gt;"Tarjeta de crédito"),"⚠ El destino debe ser tarjeta de crédito",IF(AND(P2205="Gasto",E2205="Depósitos y retiros"),"⚠ Usa tipo Transferencia",IF(AND(P2205="Resultado trading",AD2205&lt;&gt;"Cuenta de trading"),"⚠ Usa una cuenta de trading",IF(AND(G2205&lt;=0,P2205&lt;&gt;"Ajuste",P2205&lt;&gt;"Resultado trading"),"⚠ El monto debe ser positivo","✓")))))))))))))))</f>
        <v/>
      </c>
      <c r="P2205" s="52">
        <f>IF(OR(B2205="",G2205=""),"",IF(C2205="","Gasto",C2205))</f>
        <v/>
      </c>
      <c r="Q2205" s="52">
        <f>IF(P2205="","",IF(J2205&lt;&gt;"",J2205,CuentaPred&amp;""))</f>
        <v/>
      </c>
      <c r="R2205" s="52">
        <f>IF(P2205="","",IF(ISNUMBER(I2205),I2205,TasaUSD))</f>
        <v/>
      </c>
      <c r="S2205" s="53">
        <f>IF(P2205="","",IF(H2205="USD",G2205*R2205,G2205))</f>
        <v/>
      </c>
      <c r="T2205" s="53">
        <f>IF(P2205="","",IF(H2205="USD",G2205,IF(R2205&gt;0,G2205/R2205,0)))</f>
        <v/>
      </c>
      <c r="U2205" s="53">
        <f>IF(P2205="","",IF(P2205="Gasto",S2205,IF(P2205="Reembolso",-S2205,0)))</f>
        <v/>
      </c>
      <c r="V2205" s="53">
        <f>IF(P2205="","",IF(P2205="Ingreso",S2205,0))</f>
        <v/>
      </c>
      <c r="W2205" s="53">
        <f>IF(P2205="","",IF(P2205="Resultado trading",S2205,0))</f>
        <v/>
      </c>
      <c r="X2205" s="52">
        <f>IF(OR(P2205="Gasto",P2205="Reembolso"),IF(M2205&lt;&gt;"",M2205,IFERROR(INDEX(catClasif,MATCH(D2205&amp;"|"&amp;E2205,catClave,0))&amp;"","Variable")),"")</f>
        <v/>
      </c>
      <c r="Y2205" s="52">
        <f>IF(P2205="","",IFERROR(INDEX(catGrupo,MATCH(D2205&amp;"|"&amp;E2205,catClave,0))&amp;"",""))</f>
        <v/>
      </c>
      <c r="Z2205" s="52">
        <f>IF(P2205="","",WEEKDAY(B2205,2))</f>
        <v/>
      </c>
      <c r="AA2205" s="52">
        <f>IF(P2205="","",IF(AND(P2205="Gasto",X2205="Variable",D2205&lt;&gt;catTrading,S2205&gt;0,S2205&lt;=Umbral),1,0))</f>
        <v/>
      </c>
      <c r="AB2205" s="52">
        <f>IF(OR(P2205="",Q2205=""),"",IFERROR(IF(INDEX(ctaVinc,MATCH(Q2205,ctaNombre,0))&amp;""&lt;&gt;"",INDEX(ctaVinc,MATCH(Q2205,ctaNombre,0))&amp;"",Q2205),Q2205))</f>
        <v/>
      </c>
      <c r="AC2205" s="52">
        <f>IF(OR(K2205="",AND(P2205&lt;&gt;"Transferencia",P2205&lt;&gt;"Pago tarjeta")),"",IFERROR(IF(INDEX(ctaVinc,MATCH(K2205,ctaNombre,0))&amp;""&lt;&gt;"",INDEX(ctaVinc,MATCH(K2205,ctaNombre,0))&amp;"",K2205),K2205))</f>
        <v/>
      </c>
      <c r="AD2205" s="52">
        <f>IF(AB2205="","",IFERROR(INDEX(ctaTipo,MATCH(AB2205,ctaNombre,0))&amp;"",""))</f>
        <v/>
      </c>
      <c r="AE2205" s="52">
        <f>IF(AC2205="","",IFERROR(INDEX(ctaTipo,MATCH(AC2205,ctaNombre,0))&amp;"",""))</f>
        <v/>
      </c>
      <c r="AF2205" s="53">
        <f>IF(OR(P2205="",AB2205=""),"",IF(OR(P2205="Gasto",P2205="Transferencia",P2205="Pago tarjeta"),-1,1)*IF(IFERROR(INDEX(ctaMoneda,MATCH(AB2205,ctaNombre,0))&amp;"","DOP")="USD",T2205,S2205))</f>
        <v/>
      </c>
      <c r="AG2205" s="53">
        <f>IF(AC2205="","",IF(IFERROR(INDEX(ctaMoneda,MATCH(AC2205,ctaNombre,0))&amp;"","DOP")="USD",T2205,S2205))</f>
        <v/>
      </c>
      <c r="AH2205" s="53">
        <f>IF(P2205="","",IF(AND(AD2205&lt;&gt;"",COUNTIFS(tcTipo,AD2205,tcLiq,"Sí")&gt;0),IF(OR(P2205="Gasto",P2205="Transferencia",P2205="Pago tarjeta"),-1,1)*S2205,0)+IF(AND(AE2205&lt;&gt;"",COUNTIFS(tcTipo,AE2205,tcLiq,"Sí")&gt;0),S2205,0))</f>
        <v/>
      </c>
      <c r="AI2205" s="52">
        <f>IF(OR(L2205="",P2205=""),"",IF(COUNTIFS(L$6:L2205,L2205,P$6:P2205,"?*")=1,MAX(AI$5:AI2204)+1,""))</f>
        <v/>
      </c>
    </row>
    <row r="2206">
      <c r="B2206" s="47" t="n"/>
      <c r="C2206" s="48" t="n"/>
      <c r="D2206" s="48" t="n"/>
      <c r="E2206" s="48" t="n"/>
      <c r="F2206" s="48" t="n"/>
      <c r="G2206" s="49" t="n"/>
      <c r="H2206" s="48" t="n"/>
      <c r="I2206" s="50" t="n"/>
      <c r="J2206" s="48" t="n"/>
      <c r="K2206" s="48" t="n"/>
      <c r="L2206" s="48" t="n"/>
      <c r="M2206" s="48" t="n"/>
      <c r="N2206" s="48" t="n"/>
      <c r="O2206" s="51">
        <f>IF(AND(B2206="",G2206="",C2206="",D2206="",J2206=""),"",IF(B2206="","⚠ Falta fecha",IF(G2206="","⚠ Falta monto",IF(Q2206="","⚠ Falta cuenta",IF(ISNA(MATCH(Q2206,ctaNombre,0)),"⚠ Cuenta no registrada",IF(AND(OR(P2206="Gasto",P2206="Reembolso"),D2206=""),"⚠ Falta categoría",IF(AND(D2206&lt;&gt;"",E2206&lt;&gt;"",ISNA(MATCH(D2206&amp;"|"&amp;E2206,catClave,0))),"⚠ Subcategoría no corresponde",IF(AND(OR(P2206="Transferencia",P2206="Pago tarjeta"),K2206=""),"⚠ Falta cuenta destino",IF(AND(K2206&lt;&gt;"",P2206&lt;&gt;"Transferencia",P2206&lt;&gt;"Pago tarjeta"),"⚠ Destino solo aplica a transferencias",IF(AND(K2206&lt;&gt;"",K2206=Q2206),"⚠ Origen igual a destino",IF(AND(K2206&lt;&gt;"",ISNA(MATCH(K2206,ctaNombre,0))),"⚠ Destino no registrado",IF(AND(P2206="Pago tarjeta",AE2206&lt;&gt;"Tarjeta de crédito"),"⚠ El destino debe ser tarjeta de crédito",IF(AND(P2206="Gasto",E2206="Depósitos y retiros"),"⚠ Usa tipo Transferencia",IF(AND(P2206="Resultado trading",AD2206&lt;&gt;"Cuenta de trading"),"⚠ Usa una cuenta de trading",IF(AND(G2206&lt;=0,P2206&lt;&gt;"Ajuste",P2206&lt;&gt;"Resultado trading"),"⚠ El monto debe ser positivo","✓")))))))))))))))</f>
        <v/>
      </c>
      <c r="P2206" s="52">
        <f>IF(OR(B2206="",G2206=""),"",IF(C2206="","Gasto",C2206))</f>
        <v/>
      </c>
      <c r="Q2206" s="52">
        <f>IF(P2206="","",IF(J2206&lt;&gt;"",J2206,CuentaPred&amp;""))</f>
        <v/>
      </c>
      <c r="R2206" s="52">
        <f>IF(P2206="","",IF(ISNUMBER(I2206),I2206,TasaUSD))</f>
        <v/>
      </c>
      <c r="S2206" s="53">
        <f>IF(P2206="","",IF(H2206="USD",G2206*R2206,G2206))</f>
        <v/>
      </c>
      <c r="T2206" s="53">
        <f>IF(P2206="","",IF(H2206="USD",G2206,IF(R2206&gt;0,G2206/R2206,0)))</f>
        <v/>
      </c>
      <c r="U2206" s="53">
        <f>IF(P2206="","",IF(P2206="Gasto",S2206,IF(P2206="Reembolso",-S2206,0)))</f>
        <v/>
      </c>
      <c r="V2206" s="53">
        <f>IF(P2206="","",IF(P2206="Ingreso",S2206,0))</f>
        <v/>
      </c>
      <c r="W2206" s="53">
        <f>IF(P2206="","",IF(P2206="Resultado trading",S2206,0))</f>
        <v/>
      </c>
      <c r="X2206" s="52">
        <f>IF(OR(P2206="Gasto",P2206="Reembolso"),IF(M2206&lt;&gt;"",M2206,IFERROR(INDEX(catClasif,MATCH(D2206&amp;"|"&amp;E2206,catClave,0))&amp;"","Variable")),"")</f>
        <v/>
      </c>
      <c r="Y2206" s="52">
        <f>IF(P2206="","",IFERROR(INDEX(catGrupo,MATCH(D2206&amp;"|"&amp;E2206,catClave,0))&amp;"",""))</f>
        <v/>
      </c>
      <c r="Z2206" s="52">
        <f>IF(P2206="","",WEEKDAY(B2206,2))</f>
        <v/>
      </c>
      <c r="AA2206" s="52">
        <f>IF(P2206="","",IF(AND(P2206="Gasto",X2206="Variable",D2206&lt;&gt;catTrading,S2206&gt;0,S2206&lt;=Umbral),1,0))</f>
        <v/>
      </c>
      <c r="AB2206" s="52">
        <f>IF(OR(P2206="",Q2206=""),"",IFERROR(IF(INDEX(ctaVinc,MATCH(Q2206,ctaNombre,0))&amp;""&lt;&gt;"",INDEX(ctaVinc,MATCH(Q2206,ctaNombre,0))&amp;"",Q2206),Q2206))</f>
        <v/>
      </c>
      <c r="AC2206" s="52">
        <f>IF(OR(K2206="",AND(P2206&lt;&gt;"Transferencia",P2206&lt;&gt;"Pago tarjeta")),"",IFERROR(IF(INDEX(ctaVinc,MATCH(K2206,ctaNombre,0))&amp;""&lt;&gt;"",INDEX(ctaVinc,MATCH(K2206,ctaNombre,0))&amp;"",K2206),K2206))</f>
        <v/>
      </c>
      <c r="AD2206" s="52">
        <f>IF(AB2206="","",IFERROR(INDEX(ctaTipo,MATCH(AB2206,ctaNombre,0))&amp;"",""))</f>
        <v/>
      </c>
      <c r="AE2206" s="52">
        <f>IF(AC2206="","",IFERROR(INDEX(ctaTipo,MATCH(AC2206,ctaNombre,0))&amp;"",""))</f>
        <v/>
      </c>
      <c r="AF2206" s="53">
        <f>IF(OR(P2206="",AB2206=""),"",IF(OR(P2206="Gasto",P2206="Transferencia",P2206="Pago tarjeta"),-1,1)*IF(IFERROR(INDEX(ctaMoneda,MATCH(AB2206,ctaNombre,0))&amp;"","DOP")="USD",T2206,S2206))</f>
        <v/>
      </c>
      <c r="AG2206" s="53">
        <f>IF(AC2206="","",IF(IFERROR(INDEX(ctaMoneda,MATCH(AC2206,ctaNombre,0))&amp;"","DOP")="USD",T2206,S2206))</f>
        <v/>
      </c>
      <c r="AH2206" s="53">
        <f>IF(P2206="","",IF(AND(AD2206&lt;&gt;"",COUNTIFS(tcTipo,AD2206,tcLiq,"Sí")&gt;0),IF(OR(P2206="Gasto",P2206="Transferencia",P2206="Pago tarjeta"),-1,1)*S2206,0)+IF(AND(AE2206&lt;&gt;"",COUNTIFS(tcTipo,AE2206,tcLiq,"Sí")&gt;0),S2206,0))</f>
        <v/>
      </c>
      <c r="AI2206" s="52">
        <f>IF(OR(L2206="",P2206=""),"",IF(COUNTIFS(L$6:L2206,L2206,P$6:P2206,"?*")=1,MAX(AI$5:AI2205)+1,""))</f>
        <v/>
      </c>
    </row>
    <row r="2207">
      <c r="B2207" s="47" t="n"/>
      <c r="C2207" s="48" t="n"/>
      <c r="D2207" s="48" t="n"/>
      <c r="E2207" s="48" t="n"/>
      <c r="F2207" s="48" t="n"/>
      <c r="G2207" s="49" t="n"/>
      <c r="H2207" s="48" t="n"/>
      <c r="I2207" s="50" t="n"/>
      <c r="J2207" s="48" t="n"/>
      <c r="K2207" s="48" t="n"/>
      <c r="L2207" s="48" t="n"/>
      <c r="M2207" s="48" t="n"/>
      <c r="N2207" s="48" t="n"/>
      <c r="O2207" s="51">
        <f>IF(AND(B2207="",G2207="",C2207="",D2207="",J2207=""),"",IF(B2207="","⚠ Falta fecha",IF(G2207="","⚠ Falta monto",IF(Q2207="","⚠ Falta cuenta",IF(ISNA(MATCH(Q2207,ctaNombre,0)),"⚠ Cuenta no registrada",IF(AND(OR(P2207="Gasto",P2207="Reembolso"),D2207=""),"⚠ Falta categoría",IF(AND(D2207&lt;&gt;"",E2207&lt;&gt;"",ISNA(MATCH(D2207&amp;"|"&amp;E2207,catClave,0))),"⚠ Subcategoría no corresponde",IF(AND(OR(P2207="Transferencia",P2207="Pago tarjeta"),K2207=""),"⚠ Falta cuenta destino",IF(AND(K2207&lt;&gt;"",P2207&lt;&gt;"Transferencia",P2207&lt;&gt;"Pago tarjeta"),"⚠ Destino solo aplica a transferencias",IF(AND(K2207&lt;&gt;"",K2207=Q2207),"⚠ Origen igual a destino",IF(AND(K2207&lt;&gt;"",ISNA(MATCH(K2207,ctaNombre,0))),"⚠ Destino no registrado",IF(AND(P2207="Pago tarjeta",AE2207&lt;&gt;"Tarjeta de crédito"),"⚠ El destino debe ser tarjeta de crédito",IF(AND(P2207="Gasto",E2207="Depósitos y retiros"),"⚠ Usa tipo Transferencia",IF(AND(P2207="Resultado trading",AD2207&lt;&gt;"Cuenta de trading"),"⚠ Usa una cuenta de trading",IF(AND(G2207&lt;=0,P2207&lt;&gt;"Ajuste",P2207&lt;&gt;"Resultado trading"),"⚠ El monto debe ser positivo","✓")))))))))))))))</f>
        <v/>
      </c>
      <c r="P2207" s="52">
        <f>IF(OR(B2207="",G2207=""),"",IF(C2207="","Gasto",C2207))</f>
        <v/>
      </c>
      <c r="Q2207" s="52">
        <f>IF(P2207="","",IF(J2207&lt;&gt;"",J2207,CuentaPred&amp;""))</f>
        <v/>
      </c>
      <c r="R2207" s="52">
        <f>IF(P2207="","",IF(ISNUMBER(I2207),I2207,TasaUSD))</f>
        <v/>
      </c>
      <c r="S2207" s="53">
        <f>IF(P2207="","",IF(H2207="USD",G2207*R2207,G2207))</f>
        <v/>
      </c>
      <c r="T2207" s="53">
        <f>IF(P2207="","",IF(H2207="USD",G2207,IF(R2207&gt;0,G2207/R2207,0)))</f>
        <v/>
      </c>
      <c r="U2207" s="53">
        <f>IF(P2207="","",IF(P2207="Gasto",S2207,IF(P2207="Reembolso",-S2207,0)))</f>
        <v/>
      </c>
      <c r="V2207" s="53">
        <f>IF(P2207="","",IF(P2207="Ingreso",S2207,0))</f>
        <v/>
      </c>
      <c r="W2207" s="53">
        <f>IF(P2207="","",IF(P2207="Resultado trading",S2207,0))</f>
        <v/>
      </c>
      <c r="X2207" s="52">
        <f>IF(OR(P2207="Gasto",P2207="Reembolso"),IF(M2207&lt;&gt;"",M2207,IFERROR(INDEX(catClasif,MATCH(D2207&amp;"|"&amp;E2207,catClave,0))&amp;"","Variable")),"")</f>
        <v/>
      </c>
      <c r="Y2207" s="52">
        <f>IF(P2207="","",IFERROR(INDEX(catGrupo,MATCH(D2207&amp;"|"&amp;E2207,catClave,0))&amp;"",""))</f>
        <v/>
      </c>
      <c r="Z2207" s="52">
        <f>IF(P2207="","",WEEKDAY(B2207,2))</f>
        <v/>
      </c>
      <c r="AA2207" s="52">
        <f>IF(P2207="","",IF(AND(P2207="Gasto",X2207="Variable",D2207&lt;&gt;catTrading,S2207&gt;0,S2207&lt;=Umbral),1,0))</f>
        <v/>
      </c>
      <c r="AB2207" s="52">
        <f>IF(OR(P2207="",Q2207=""),"",IFERROR(IF(INDEX(ctaVinc,MATCH(Q2207,ctaNombre,0))&amp;""&lt;&gt;"",INDEX(ctaVinc,MATCH(Q2207,ctaNombre,0))&amp;"",Q2207),Q2207))</f>
        <v/>
      </c>
      <c r="AC2207" s="52">
        <f>IF(OR(K2207="",AND(P2207&lt;&gt;"Transferencia",P2207&lt;&gt;"Pago tarjeta")),"",IFERROR(IF(INDEX(ctaVinc,MATCH(K2207,ctaNombre,0))&amp;""&lt;&gt;"",INDEX(ctaVinc,MATCH(K2207,ctaNombre,0))&amp;"",K2207),K2207))</f>
        <v/>
      </c>
      <c r="AD2207" s="52">
        <f>IF(AB2207="","",IFERROR(INDEX(ctaTipo,MATCH(AB2207,ctaNombre,0))&amp;"",""))</f>
        <v/>
      </c>
      <c r="AE2207" s="52">
        <f>IF(AC2207="","",IFERROR(INDEX(ctaTipo,MATCH(AC2207,ctaNombre,0))&amp;"",""))</f>
        <v/>
      </c>
      <c r="AF2207" s="53">
        <f>IF(OR(P2207="",AB2207=""),"",IF(OR(P2207="Gasto",P2207="Transferencia",P2207="Pago tarjeta"),-1,1)*IF(IFERROR(INDEX(ctaMoneda,MATCH(AB2207,ctaNombre,0))&amp;"","DOP")="USD",T2207,S2207))</f>
        <v/>
      </c>
      <c r="AG2207" s="53">
        <f>IF(AC2207="","",IF(IFERROR(INDEX(ctaMoneda,MATCH(AC2207,ctaNombre,0))&amp;"","DOP")="USD",T2207,S2207))</f>
        <v/>
      </c>
      <c r="AH2207" s="53">
        <f>IF(P2207="","",IF(AND(AD2207&lt;&gt;"",COUNTIFS(tcTipo,AD2207,tcLiq,"Sí")&gt;0),IF(OR(P2207="Gasto",P2207="Transferencia",P2207="Pago tarjeta"),-1,1)*S2207,0)+IF(AND(AE2207&lt;&gt;"",COUNTIFS(tcTipo,AE2207,tcLiq,"Sí")&gt;0),S2207,0))</f>
        <v/>
      </c>
      <c r="AI2207" s="52">
        <f>IF(OR(L2207="",P2207=""),"",IF(COUNTIFS(L$6:L2207,L2207,P$6:P2207,"?*")=1,MAX(AI$5:AI2206)+1,""))</f>
        <v/>
      </c>
    </row>
    <row r="2208">
      <c r="B2208" s="47" t="n"/>
      <c r="C2208" s="48" t="n"/>
      <c r="D2208" s="48" t="n"/>
      <c r="E2208" s="48" t="n"/>
      <c r="F2208" s="48" t="n"/>
      <c r="G2208" s="49" t="n"/>
      <c r="H2208" s="48" t="n"/>
      <c r="I2208" s="50" t="n"/>
      <c r="J2208" s="48" t="n"/>
      <c r="K2208" s="48" t="n"/>
      <c r="L2208" s="48" t="n"/>
      <c r="M2208" s="48" t="n"/>
      <c r="N2208" s="48" t="n"/>
      <c r="O2208" s="51">
        <f>IF(AND(B2208="",G2208="",C2208="",D2208="",J2208=""),"",IF(B2208="","⚠ Falta fecha",IF(G2208="","⚠ Falta monto",IF(Q2208="","⚠ Falta cuenta",IF(ISNA(MATCH(Q2208,ctaNombre,0)),"⚠ Cuenta no registrada",IF(AND(OR(P2208="Gasto",P2208="Reembolso"),D2208=""),"⚠ Falta categoría",IF(AND(D2208&lt;&gt;"",E2208&lt;&gt;"",ISNA(MATCH(D2208&amp;"|"&amp;E2208,catClave,0))),"⚠ Subcategoría no corresponde",IF(AND(OR(P2208="Transferencia",P2208="Pago tarjeta"),K2208=""),"⚠ Falta cuenta destino",IF(AND(K2208&lt;&gt;"",P2208&lt;&gt;"Transferencia",P2208&lt;&gt;"Pago tarjeta"),"⚠ Destino solo aplica a transferencias",IF(AND(K2208&lt;&gt;"",K2208=Q2208),"⚠ Origen igual a destino",IF(AND(K2208&lt;&gt;"",ISNA(MATCH(K2208,ctaNombre,0))),"⚠ Destino no registrado",IF(AND(P2208="Pago tarjeta",AE2208&lt;&gt;"Tarjeta de crédito"),"⚠ El destino debe ser tarjeta de crédito",IF(AND(P2208="Gasto",E2208="Depósitos y retiros"),"⚠ Usa tipo Transferencia",IF(AND(P2208="Resultado trading",AD2208&lt;&gt;"Cuenta de trading"),"⚠ Usa una cuenta de trading",IF(AND(G2208&lt;=0,P2208&lt;&gt;"Ajuste",P2208&lt;&gt;"Resultado trading"),"⚠ El monto debe ser positivo","✓")))))))))))))))</f>
        <v/>
      </c>
      <c r="P2208" s="52">
        <f>IF(OR(B2208="",G2208=""),"",IF(C2208="","Gasto",C2208))</f>
        <v/>
      </c>
      <c r="Q2208" s="52">
        <f>IF(P2208="","",IF(J2208&lt;&gt;"",J2208,CuentaPred&amp;""))</f>
        <v/>
      </c>
      <c r="R2208" s="52">
        <f>IF(P2208="","",IF(ISNUMBER(I2208),I2208,TasaUSD))</f>
        <v/>
      </c>
      <c r="S2208" s="53">
        <f>IF(P2208="","",IF(H2208="USD",G2208*R2208,G2208))</f>
        <v/>
      </c>
      <c r="T2208" s="53">
        <f>IF(P2208="","",IF(H2208="USD",G2208,IF(R2208&gt;0,G2208/R2208,0)))</f>
        <v/>
      </c>
      <c r="U2208" s="53">
        <f>IF(P2208="","",IF(P2208="Gasto",S2208,IF(P2208="Reembolso",-S2208,0)))</f>
        <v/>
      </c>
      <c r="V2208" s="53">
        <f>IF(P2208="","",IF(P2208="Ingreso",S2208,0))</f>
        <v/>
      </c>
      <c r="W2208" s="53">
        <f>IF(P2208="","",IF(P2208="Resultado trading",S2208,0))</f>
        <v/>
      </c>
      <c r="X2208" s="52">
        <f>IF(OR(P2208="Gasto",P2208="Reembolso"),IF(M2208&lt;&gt;"",M2208,IFERROR(INDEX(catClasif,MATCH(D2208&amp;"|"&amp;E2208,catClave,0))&amp;"","Variable")),"")</f>
        <v/>
      </c>
      <c r="Y2208" s="52">
        <f>IF(P2208="","",IFERROR(INDEX(catGrupo,MATCH(D2208&amp;"|"&amp;E2208,catClave,0))&amp;"",""))</f>
        <v/>
      </c>
      <c r="Z2208" s="52">
        <f>IF(P2208="","",WEEKDAY(B2208,2))</f>
        <v/>
      </c>
      <c r="AA2208" s="52">
        <f>IF(P2208="","",IF(AND(P2208="Gasto",X2208="Variable",D2208&lt;&gt;catTrading,S2208&gt;0,S2208&lt;=Umbral),1,0))</f>
        <v/>
      </c>
      <c r="AB2208" s="52">
        <f>IF(OR(P2208="",Q2208=""),"",IFERROR(IF(INDEX(ctaVinc,MATCH(Q2208,ctaNombre,0))&amp;""&lt;&gt;"",INDEX(ctaVinc,MATCH(Q2208,ctaNombre,0))&amp;"",Q2208),Q2208))</f>
        <v/>
      </c>
      <c r="AC2208" s="52">
        <f>IF(OR(K2208="",AND(P2208&lt;&gt;"Transferencia",P2208&lt;&gt;"Pago tarjeta")),"",IFERROR(IF(INDEX(ctaVinc,MATCH(K2208,ctaNombre,0))&amp;""&lt;&gt;"",INDEX(ctaVinc,MATCH(K2208,ctaNombre,0))&amp;"",K2208),K2208))</f>
        <v/>
      </c>
      <c r="AD2208" s="52">
        <f>IF(AB2208="","",IFERROR(INDEX(ctaTipo,MATCH(AB2208,ctaNombre,0))&amp;"",""))</f>
        <v/>
      </c>
      <c r="AE2208" s="52">
        <f>IF(AC2208="","",IFERROR(INDEX(ctaTipo,MATCH(AC2208,ctaNombre,0))&amp;"",""))</f>
        <v/>
      </c>
      <c r="AF2208" s="53">
        <f>IF(OR(P2208="",AB2208=""),"",IF(OR(P2208="Gasto",P2208="Transferencia",P2208="Pago tarjeta"),-1,1)*IF(IFERROR(INDEX(ctaMoneda,MATCH(AB2208,ctaNombre,0))&amp;"","DOP")="USD",T2208,S2208))</f>
        <v/>
      </c>
      <c r="AG2208" s="53">
        <f>IF(AC2208="","",IF(IFERROR(INDEX(ctaMoneda,MATCH(AC2208,ctaNombre,0))&amp;"","DOP")="USD",T2208,S2208))</f>
        <v/>
      </c>
      <c r="AH2208" s="53">
        <f>IF(P2208="","",IF(AND(AD2208&lt;&gt;"",COUNTIFS(tcTipo,AD2208,tcLiq,"Sí")&gt;0),IF(OR(P2208="Gasto",P2208="Transferencia",P2208="Pago tarjeta"),-1,1)*S2208,0)+IF(AND(AE2208&lt;&gt;"",COUNTIFS(tcTipo,AE2208,tcLiq,"Sí")&gt;0),S2208,0))</f>
        <v/>
      </c>
      <c r="AI2208" s="52">
        <f>IF(OR(L2208="",P2208=""),"",IF(COUNTIFS(L$6:L2208,L2208,P$6:P2208,"?*")=1,MAX(AI$5:AI2207)+1,""))</f>
        <v/>
      </c>
    </row>
    <row r="2209">
      <c r="B2209" s="47" t="n"/>
      <c r="C2209" s="48" t="n"/>
      <c r="D2209" s="48" t="n"/>
      <c r="E2209" s="48" t="n"/>
      <c r="F2209" s="48" t="n"/>
      <c r="G2209" s="49" t="n"/>
      <c r="H2209" s="48" t="n"/>
      <c r="I2209" s="50" t="n"/>
      <c r="J2209" s="48" t="n"/>
      <c r="K2209" s="48" t="n"/>
      <c r="L2209" s="48" t="n"/>
      <c r="M2209" s="48" t="n"/>
      <c r="N2209" s="48" t="n"/>
      <c r="O2209" s="51">
        <f>IF(AND(B2209="",G2209="",C2209="",D2209="",J2209=""),"",IF(B2209="","⚠ Falta fecha",IF(G2209="","⚠ Falta monto",IF(Q2209="","⚠ Falta cuenta",IF(ISNA(MATCH(Q2209,ctaNombre,0)),"⚠ Cuenta no registrada",IF(AND(OR(P2209="Gasto",P2209="Reembolso"),D2209=""),"⚠ Falta categoría",IF(AND(D2209&lt;&gt;"",E2209&lt;&gt;"",ISNA(MATCH(D2209&amp;"|"&amp;E2209,catClave,0))),"⚠ Subcategoría no corresponde",IF(AND(OR(P2209="Transferencia",P2209="Pago tarjeta"),K2209=""),"⚠ Falta cuenta destino",IF(AND(K2209&lt;&gt;"",P2209&lt;&gt;"Transferencia",P2209&lt;&gt;"Pago tarjeta"),"⚠ Destino solo aplica a transferencias",IF(AND(K2209&lt;&gt;"",K2209=Q2209),"⚠ Origen igual a destino",IF(AND(K2209&lt;&gt;"",ISNA(MATCH(K2209,ctaNombre,0))),"⚠ Destino no registrado",IF(AND(P2209="Pago tarjeta",AE2209&lt;&gt;"Tarjeta de crédito"),"⚠ El destino debe ser tarjeta de crédito",IF(AND(P2209="Gasto",E2209="Depósitos y retiros"),"⚠ Usa tipo Transferencia",IF(AND(P2209="Resultado trading",AD2209&lt;&gt;"Cuenta de trading"),"⚠ Usa una cuenta de trading",IF(AND(G2209&lt;=0,P2209&lt;&gt;"Ajuste",P2209&lt;&gt;"Resultado trading"),"⚠ El monto debe ser positivo","✓")))))))))))))))</f>
        <v/>
      </c>
      <c r="P2209" s="52">
        <f>IF(OR(B2209="",G2209=""),"",IF(C2209="","Gasto",C2209))</f>
        <v/>
      </c>
      <c r="Q2209" s="52">
        <f>IF(P2209="","",IF(J2209&lt;&gt;"",J2209,CuentaPred&amp;""))</f>
        <v/>
      </c>
      <c r="R2209" s="52">
        <f>IF(P2209="","",IF(ISNUMBER(I2209),I2209,TasaUSD))</f>
        <v/>
      </c>
      <c r="S2209" s="53">
        <f>IF(P2209="","",IF(H2209="USD",G2209*R2209,G2209))</f>
        <v/>
      </c>
      <c r="T2209" s="53">
        <f>IF(P2209="","",IF(H2209="USD",G2209,IF(R2209&gt;0,G2209/R2209,0)))</f>
        <v/>
      </c>
      <c r="U2209" s="53">
        <f>IF(P2209="","",IF(P2209="Gasto",S2209,IF(P2209="Reembolso",-S2209,0)))</f>
        <v/>
      </c>
      <c r="V2209" s="53">
        <f>IF(P2209="","",IF(P2209="Ingreso",S2209,0))</f>
        <v/>
      </c>
      <c r="W2209" s="53">
        <f>IF(P2209="","",IF(P2209="Resultado trading",S2209,0))</f>
        <v/>
      </c>
      <c r="X2209" s="52">
        <f>IF(OR(P2209="Gasto",P2209="Reembolso"),IF(M2209&lt;&gt;"",M2209,IFERROR(INDEX(catClasif,MATCH(D2209&amp;"|"&amp;E2209,catClave,0))&amp;"","Variable")),"")</f>
        <v/>
      </c>
      <c r="Y2209" s="52">
        <f>IF(P2209="","",IFERROR(INDEX(catGrupo,MATCH(D2209&amp;"|"&amp;E2209,catClave,0))&amp;"",""))</f>
        <v/>
      </c>
      <c r="Z2209" s="52">
        <f>IF(P2209="","",WEEKDAY(B2209,2))</f>
        <v/>
      </c>
      <c r="AA2209" s="52">
        <f>IF(P2209="","",IF(AND(P2209="Gasto",X2209="Variable",D2209&lt;&gt;catTrading,S2209&gt;0,S2209&lt;=Umbral),1,0))</f>
        <v/>
      </c>
      <c r="AB2209" s="52">
        <f>IF(OR(P2209="",Q2209=""),"",IFERROR(IF(INDEX(ctaVinc,MATCH(Q2209,ctaNombre,0))&amp;""&lt;&gt;"",INDEX(ctaVinc,MATCH(Q2209,ctaNombre,0))&amp;"",Q2209),Q2209))</f>
        <v/>
      </c>
      <c r="AC2209" s="52">
        <f>IF(OR(K2209="",AND(P2209&lt;&gt;"Transferencia",P2209&lt;&gt;"Pago tarjeta")),"",IFERROR(IF(INDEX(ctaVinc,MATCH(K2209,ctaNombre,0))&amp;""&lt;&gt;"",INDEX(ctaVinc,MATCH(K2209,ctaNombre,0))&amp;"",K2209),K2209))</f>
        <v/>
      </c>
      <c r="AD2209" s="52">
        <f>IF(AB2209="","",IFERROR(INDEX(ctaTipo,MATCH(AB2209,ctaNombre,0))&amp;"",""))</f>
        <v/>
      </c>
      <c r="AE2209" s="52">
        <f>IF(AC2209="","",IFERROR(INDEX(ctaTipo,MATCH(AC2209,ctaNombre,0))&amp;"",""))</f>
        <v/>
      </c>
      <c r="AF2209" s="53">
        <f>IF(OR(P2209="",AB2209=""),"",IF(OR(P2209="Gasto",P2209="Transferencia",P2209="Pago tarjeta"),-1,1)*IF(IFERROR(INDEX(ctaMoneda,MATCH(AB2209,ctaNombre,0))&amp;"","DOP")="USD",T2209,S2209))</f>
        <v/>
      </c>
      <c r="AG2209" s="53">
        <f>IF(AC2209="","",IF(IFERROR(INDEX(ctaMoneda,MATCH(AC2209,ctaNombre,0))&amp;"","DOP")="USD",T2209,S2209))</f>
        <v/>
      </c>
      <c r="AH2209" s="53">
        <f>IF(P2209="","",IF(AND(AD2209&lt;&gt;"",COUNTIFS(tcTipo,AD2209,tcLiq,"Sí")&gt;0),IF(OR(P2209="Gasto",P2209="Transferencia",P2209="Pago tarjeta"),-1,1)*S2209,0)+IF(AND(AE2209&lt;&gt;"",COUNTIFS(tcTipo,AE2209,tcLiq,"Sí")&gt;0),S2209,0))</f>
        <v/>
      </c>
      <c r="AI2209" s="52">
        <f>IF(OR(L2209="",P2209=""),"",IF(COUNTIFS(L$6:L2209,L2209,P$6:P2209,"?*")=1,MAX(AI$5:AI2208)+1,""))</f>
        <v/>
      </c>
    </row>
    <row r="2210">
      <c r="B2210" s="47" t="n"/>
      <c r="C2210" s="48" t="n"/>
      <c r="D2210" s="48" t="n"/>
      <c r="E2210" s="48" t="n"/>
      <c r="F2210" s="48" t="n"/>
      <c r="G2210" s="49" t="n"/>
      <c r="H2210" s="48" t="n"/>
      <c r="I2210" s="50" t="n"/>
      <c r="J2210" s="48" t="n"/>
      <c r="K2210" s="48" t="n"/>
      <c r="L2210" s="48" t="n"/>
      <c r="M2210" s="48" t="n"/>
      <c r="N2210" s="48" t="n"/>
      <c r="O2210" s="51">
        <f>IF(AND(B2210="",G2210="",C2210="",D2210="",J2210=""),"",IF(B2210="","⚠ Falta fecha",IF(G2210="","⚠ Falta monto",IF(Q2210="","⚠ Falta cuenta",IF(ISNA(MATCH(Q2210,ctaNombre,0)),"⚠ Cuenta no registrada",IF(AND(OR(P2210="Gasto",P2210="Reembolso"),D2210=""),"⚠ Falta categoría",IF(AND(D2210&lt;&gt;"",E2210&lt;&gt;"",ISNA(MATCH(D2210&amp;"|"&amp;E2210,catClave,0))),"⚠ Subcategoría no corresponde",IF(AND(OR(P2210="Transferencia",P2210="Pago tarjeta"),K2210=""),"⚠ Falta cuenta destino",IF(AND(K2210&lt;&gt;"",P2210&lt;&gt;"Transferencia",P2210&lt;&gt;"Pago tarjeta"),"⚠ Destino solo aplica a transferencias",IF(AND(K2210&lt;&gt;"",K2210=Q2210),"⚠ Origen igual a destino",IF(AND(K2210&lt;&gt;"",ISNA(MATCH(K2210,ctaNombre,0))),"⚠ Destino no registrado",IF(AND(P2210="Pago tarjeta",AE2210&lt;&gt;"Tarjeta de crédito"),"⚠ El destino debe ser tarjeta de crédito",IF(AND(P2210="Gasto",E2210="Depósitos y retiros"),"⚠ Usa tipo Transferencia",IF(AND(P2210="Resultado trading",AD2210&lt;&gt;"Cuenta de trading"),"⚠ Usa una cuenta de trading",IF(AND(G2210&lt;=0,P2210&lt;&gt;"Ajuste",P2210&lt;&gt;"Resultado trading"),"⚠ El monto debe ser positivo","✓")))))))))))))))</f>
        <v/>
      </c>
      <c r="P2210" s="52">
        <f>IF(OR(B2210="",G2210=""),"",IF(C2210="","Gasto",C2210))</f>
        <v/>
      </c>
      <c r="Q2210" s="52">
        <f>IF(P2210="","",IF(J2210&lt;&gt;"",J2210,CuentaPred&amp;""))</f>
        <v/>
      </c>
      <c r="R2210" s="52">
        <f>IF(P2210="","",IF(ISNUMBER(I2210),I2210,TasaUSD))</f>
        <v/>
      </c>
      <c r="S2210" s="53">
        <f>IF(P2210="","",IF(H2210="USD",G2210*R2210,G2210))</f>
        <v/>
      </c>
      <c r="T2210" s="53">
        <f>IF(P2210="","",IF(H2210="USD",G2210,IF(R2210&gt;0,G2210/R2210,0)))</f>
        <v/>
      </c>
      <c r="U2210" s="53">
        <f>IF(P2210="","",IF(P2210="Gasto",S2210,IF(P2210="Reembolso",-S2210,0)))</f>
        <v/>
      </c>
      <c r="V2210" s="53">
        <f>IF(P2210="","",IF(P2210="Ingreso",S2210,0))</f>
        <v/>
      </c>
      <c r="W2210" s="53">
        <f>IF(P2210="","",IF(P2210="Resultado trading",S2210,0))</f>
        <v/>
      </c>
      <c r="X2210" s="52">
        <f>IF(OR(P2210="Gasto",P2210="Reembolso"),IF(M2210&lt;&gt;"",M2210,IFERROR(INDEX(catClasif,MATCH(D2210&amp;"|"&amp;E2210,catClave,0))&amp;"","Variable")),"")</f>
        <v/>
      </c>
      <c r="Y2210" s="52">
        <f>IF(P2210="","",IFERROR(INDEX(catGrupo,MATCH(D2210&amp;"|"&amp;E2210,catClave,0))&amp;"",""))</f>
        <v/>
      </c>
      <c r="Z2210" s="52">
        <f>IF(P2210="","",WEEKDAY(B2210,2))</f>
        <v/>
      </c>
      <c r="AA2210" s="52">
        <f>IF(P2210="","",IF(AND(P2210="Gasto",X2210="Variable",D2210&lt;&gt;catTrading,S2210&gt;0,S2210&lt;=Umbral),1,0))</f>
        <v/>
      </c>
      <c r="AB2210" s="52">
        <f>IF(OR(P2210="",Q2210=""),"",IFERROR(IF(INDEX(ctaVinc,MATCH(Q2210,ctaNombre,0))&amp;""&lt;&gt;"",INDEX(ctaVinc,MATCH(Q2210,ctaNombre,0))&amp;"",Q2210),Q2210))</f>
        <v/>
      </c>
      <c r="AC2210" s="52">
        <f>IF(OR(K2210="",AND(P2210&lt;&gt;"Transferencia",P2210&lt;&gt;"Pago tarjeta")),"",IFERROR(IF(INDEX(ctaVinc,MATCH(K2210,ctaNombre,0))&amp;""&lt;&gt;"",INDEX(ctaVinc,MATCH(K2210,ctaNombre,0))&amp;"",K2210),K2210))</f>
        <v/>
      </c>
      <c r="AD2210" s="52">
        <f>IF(AB2210="","",IFERROR(INDEX(ctaTipo,MATCH(AB2210,ctaNombre,0))&amp;"",""))</f>
        <v/>
      </c>
      <c r="AE2210" s="52">
        <f>IF(AC2210="","",IFERROR(INDEX(ctaTipo,MATCH(AC2210,ctaNombre,0))&amp;"",""))</f>
        <v/>
      </c>
      <c r="AF2210" s="53">
        <f>IF(OR(P2210="",AB2210=""),"",IF(OR(P2210="Gasto",P2210="Transferencia",P2210="Pago tarjeta"),-1,1)*IF(IFERROR(INDEX(ctaMoneda,MATCH(AB2210,ctaNombre,0))&amp;"","DOP")="USD",T2210,S2210))</f>
        <v/>
      </c>
      <c r="AG2210" s="53">
        <f>IF(AC2210="","",IF(IFERROR(INDEX(ctaMoneda,MATCH(AC2210,ctaNombre,0))&amp;"","DOP")="USD",T2210,S2210))</f>
        <v/>
      </c>
      <c r="AH2210" s="53">
        <f>IF(P2210="","",IF(AND(AD2210&lt;&gt;"",COUNTIFS(tcTipo,AD2210,tcLiq,"Sí")&gt;0),IF(OR(P2210="Gasto",P2210="Transferencia",P2210="Pago tarjeta"),-1,1)*S2210,0)+IF(AND(AE2210&lt;&gt;"",COUNTIFS(tcTipo,AE2210,tcLiq,"Sí")&gt;0),S2210,0))</f>
        <v/>
      </c>
      <c r="AI2210" s="52">
        <f>IF(OR(L2210="",P2210=""),"",IF(COUNTIFS(L$6:L2210,L2210,P$6:P2210,"?*")=1,MAX(AI$5:AI2209)+1,""))</f>
        <v/>
      </c>
    </row>
    <row r="2211">
      <c r="B2211" s="47" t="n"/>
      <c r="C2211" s="48" t="n"/>
      <c r="D2211" s="48" t="n"/>
      <c r="E2211" s="48" t="n"/>
      <c r="F2211" s="48" t="n"/>
      <c r="G2211" s="49" t="n"/>
      <c r="H2211" s="48" t="n"/>
      <c r="I2211" s="50" t="n"/>
      <c r="J2211" s="48" t="n"/>
      <c r="K2211" s="48" t="n"/>
      <c r="L2211" s="48" t="n"/>
      <c r="M2211" s="48" t="n"/>
      <c r="N2211" s="48" t="n"/>
      <c r="O2211" s="51">
        <f>IF(AND(B2211="",G2211="",C2211="",D2211="",J2211=""),"",IF(B2211="","⚠ Falta fecha",IF(G2211="","⚠ Falta monto",IF(Q2211="","⚠ Falta cuenta",IF(ISNA(MATCH(Q2211,ctaNombre,0)),"⚠ Cuenta no registrada",IF(AND(OR(P2211="Gasto",P2211="Reembolso"),D2211=""),"⚠ Falta categoría",IF(AND(D2211&lt;&gt;"",E2211&lt;&gt;"",ISNA(MATCH(D2211&amp;"|"&amp;E2211,catClave,0))),"⚠ Subcategoría no corresponde",IF(AND(OR(P2211="Transferencia",P2211="Pago tarjeta"),K2211=""),"⚠ Falta cuenta destino",IF(AND(K2211&lt;&gt;"",P2211&lt;&gt;"Transferencia",P2211&lt;&gt;"Pago tarjeta"),"⚠ Destino solo aplica a transferencias",IF(AND(K2211&lt;&gt;"",K2211=Q2211),"⚠ Origen igual a destino",IF(AND(K2211&lt;&gt;"",ISNA(MATCH(K2211,ctaNombre,0))),"⚠ Destino no registrado",IF(AND(P2211="Pago tarjeta",AE2211&lt;&gt;"Tarjeta de crédito"),"⚠ El destino debe ser tarjeta de crédito",IF(AND(P2211="Gasto",E2211="Depósitos y retiros"),"⚠ Usa tipo Transferencia",IF(AND(P2211="Resultado trading",AD2211&lt;&gt;"Cuenta de trading"),"⚠ Usa una cuenta de trading",IF(AND(G2211&lt;=0,P2211&lt;&gt;"Ajuste",P2211&lt;&gt;"Resultado trading"),"⚠ El monto debe ser positivo","✓")))))))))))))))</f>
        <v/>
      </c>
      <c r="P2211" s="52">
        <f>IF(OR(B2211="",G2211=""),"",IF(C2211="","Gasto",C2211))</f>
        <v/>
      </c>
      <c r="Q2211" s="52">
        <f>IF(P2211="","",IF(J2211&lt;&gt;"",J2211,CuentaPred&amp;""))</f>
        <v/>
      </c>
      <c r="R2211" s="52">
        <f>IF(P2211="","",IF(ISNUMBER(I2211),I2211,TasaUSD))</f>
        <v/>
      </c>
      <c r="S2211" s="53">
        <f>IF(P2211="","",IF(H2211="USD",G2211*R2211,G2211))</f>
        <v/>
      </c>
      <c r="T2211" s="53">
        <f>IF(P2211="","",IF(H2211="USD",G2211,IF(R2211&gt;0,G2211/R2211,0)))</f>
        <v/>
      </c>
      <c r="U2211" s="53">
        <f>IF(P2211="","",IF(P2211="Gasto",S2211,IF(P2211="Reembolso",-S2211,0)))</f>
        <v/>
      </c>
      <c r="V2211" s="53">
        <f>IF(P2211="","",IF(P2211="Ingreso",S2211,0))</f>
        <v/>
      </c>
      <c r="W2211" s="53">
        <f>IF(P2211="","",IF(P2211="Resultado trading",S2211,0))</f>
        <v/>
      </c>
      <c r="X2211" s="52">
        <f>IF(OR(P2211="Gasto",P2211="Reembolso"),IF(M2211&lt;&gt;"",M2211,IFERROR(INDEX(catClasif,MATCH(D2211&amp;"|"&amp;E2211,catClave,0))&amp;"","Variable")),"")</f>
        <v/>
      </c>
      <c r="Y2211" s="52">
        <f>IF(P2211="","",IFERROR(INDEX(catGrupo,MATCH(D2211&amp;"|"&amp;E2211,catClave,0))&amp;"",""))</f>
        <v/>
      </c>
      <c r="Z2211" s="52">
        <f>IF(P2211="","",WEEKDAY(B2211,2))</f>
        <v/>
      </c>
      <c r="AA2211" s="52">
        <f>IF(P2211="","",IF(AND(P2211="Gasto",X2211="Variable",D2211&lt;&gt;catTrading,S2211&gt;0,S2211&lt;=Umbral),1,0))</f>
        <v/>
      </c>
      <c r="AB2211" s="52">
        <f>IF(OR(P2211="",Q2211=""),"",IFERROR(IF(INDEX(ctaVinc,MATCH(Q2211,ctaNombre,0))&amp;""&lt;&gt;"",INDEX(ctaVinc,MATCH(Q2211,ctaNombre,0))&amp;"",Q2211),Q2211))</f>
        <v/>
      </c>
      <c r="AC2211" s="52">
        <f>IF(OR(K2211="",AND(P2211&lt;&gt;"Transferencia",P2211&lt;&gt;"Pago tarjeta")),"",IFERROR(IF(INDEX(ctaVinc,MATCH(K2211,ctaNombre,0))&amp;""&lt;&gt;"",INDEX(ctaVinc,MATCH(K2211,ctaNombre,0))&amp;"",K2211),K2211))</f>
        <v/>
      </c>
      <c r="AD2211" s="52">
        <f>IF(AB2211="","",IFERROR(INDEX(ctaTipo,MATCH(AB2211,ctaNombre,0))&amp;"",""))</f>
        <v/>
      </c>
      <c r="AE2211" s="52">
        <f>IF(AC2211="","",IFERROR(INDEX(ctaTipo,MATCH(AC2211,ctaNombre,0))&amp;"",""))</f>
        <v/>
      </c>
      <c r="AF2211" s="53">
        <f>IF(OR(P2211="",AB2211=""),"",IF(OR(P2211="Gasto",P2211="Transferencia",P2211="Pago tarjeta"),-1,1)*IF(IFERROR(INDEX(ctaMoneda,MATCH(AB2211,ctaNombre,0))&amp;"","DOP")="USD",T2211,S2211))</f>
        <v/>
      </c>
      <c r="AG2211" s="53">
        <f>IF(AC2211="","",IF(IFERROR(INDEX(ctaMoneda,MATCH(AC2211,ctaNombre,0))&amp;"","DOP")="USD",T2211,S2211))</f>
        <v/>
      </c>
      <c r="AH2211" s="53">
        <f>IF(P2211="","",IF(AND(AD2211&lt;&gt;"",COUNTIFS(tcTipo,AD2211,tcLiq,"Sí")&gt;0),IF(OR(P2211="Gasto",P2211="Transferencia",P2211="Pago tarjeta"),-1,1)*S2211,0)+IF(AND(AE2211&lt;&gt;"",COUNTIFS(tcTipo,AE2211,tcLiq,"Sí")&gt;0),S2211,0))</f>
        <v/>
      </c>
      <c r="AI2211" s="52">
        <f>IF(OR(L2211="",P2211=""),"",IF(COUNTIFS(L$6:L2211,L2211,P$6:P2211,"?*")=1,MAX(AI$5:AI2210)+1,""))</f>
        <v/>
      </c>
    </row>
    <row r="2212">
      <c r="B2212" s="47" t="n"/>
      <c r="C2212" s="48" t="n"/>
      <c r="D2212" s="48" t="n"/>
      <c r="E2212" s="48" t="n"/>
      <c r="F2212" s="48" t="n"/>
      <c r="G2212" s="49" t="n"/>
      <c r="H2212" s="48" t="n"/>
      <c r="I2212" s="50" t="n"/>
      <c r="J2212" s="48" t="n"/>
      <c r="K2212" s="48" t="n"/>
      <c r="L2212" s="48" t="n"/>
      <c r="M2212" s="48" t="n"/>
      <c r="N2212" s="48" t="n"/>
      <c r="O2212" s="51">
        <f>IF(AND(B2212="",G2212="",C2212="",D2212="",J2212=""),"",IF(B2212="","⚠ Falta fecha",IF(G2212="","⚠ Falta monto",IF(Q2212="","⚠ Falta cuenta",IF(ISNA(MATCH(Q2212,ctaNombre,0)),"⚠ Cuenta no registrada",IF(AND(OR(P2212="Gasto",P2212="Reembolso"),D2212=""),"⚠ Falta categoría",IF(AND(D2212&lt;&gt;"",E2212&lt;&gt;"",ISNA(MATCH(D2212&amp;"|"&amp;E2212,catClave,0))),"⚠ Subcategoría no corresponde",IF(AND(OR(P2212="Transferencia",P2212="Pago tarjeta"),K2212=""),"⚠ Falta cuenta destino",IF(AND(K2212&lt;&gt;"",P2212&lt;&gt;"Transferencia",P2212&lt;&gt;"Pago tarjeta"),"⚠ Destino solo aplica a transferencias",IF(AND(K2212&lt;&gt;"",K2212=Q2212),"⚠ Origen igual a destino",IF(AND(K2212&lt;&gt;"",ISNA(MATCH(K2212,ctaNombre,0))),"⚠ Destino no registrado",IF(AND(P2212="Pago tarjeta",AE2212&lt;&gt;"Tarjeta de crédito"),"⚠ El destino debe ser tarjeta de crédito",IF(AND(P2212="Gasto",E2212="Depósitos y retiros"),"⚠ Usa tipo Transferencia",IF(AND(P2212="Resultado trading",AD2212&lt;&gt;"Cuenta de trading"),"⚠ Usa una cuenta de trading",IF(AND(G2212&lt;=0,P2212&lt;&gt;"Ajuste",P2212&lt;&gt;"Resultado trading"),"⚠ El monto debe ser positivo","✓")))))))))))))))</f>
        <v/>
      </c>
      <c r="P2212" s="52">
        <f>IF(OR(B2212="",G2212=""),"",IF(C2212="","Gasto",C2212))</f>
        <v/>
      </c>
      <c r="Q2212" s="52">
        <f>IF(P2212="","",IF(J2212&lt;&gt;"",J2212,CuentaPred&amp;""))</f>
        <v/>
      </c>
      <c r="R2212" s="52">
        <f>IF(P2212="","",IF(ISNUMBER(I2212),I2212,TasaUSD))</f>
        <v/>
      </c>
      <c r="S2212" s="53">
        <f>IF(P2212="","",IF(H2212="USD",G2212*R2212,G2212))</f>
        <v/>
      </c>
      <c r="T2212" s="53">
        <f>IF(P2212="","",IF(H2212="USD",G2212,IF(R2212&gt;0,G2212/R2212,0)))</f>
        <v/>
      </c>
      <c r="U2212" s="53">
        <f>IF(P2212="","",IF(P2212="Gasto",S2212,IF(P2212="Reembolso",-S2212,0)))</f>
        <v/>
      </c>
      <c r="V2212" s="53">
        <f>IF(P2212="","",IF(P2212="Ingreso",S2212,0))</f>
        <v/>
      </c>
      <c r="W2212" s="53">
        <f>IF(P2212="","",IF(P2212="Resultado trading",S2212,0))</f>
        <v/>
      </c>
      <c r="X2212" s="52">
        <f>IF(OR(P2212="Gasto",P2212="Reembolso"),IF(M2212&lt;&gt;"",M2212,IFERROR(INDEX(catClasif,MATCH(D2212&amp;"|"&amp;E2212,catClave,0))&amp;"","Variable")),"")</f>
        <v/>
      </c>
      <c r="Y2212" s="52">
        <f>IF(P2212="","",IFERROR(INDEX(catGrupo,MATCH(D2212&amp;"|"&amp;E2212,catClave,0))&amp;"",""))</f>
        <v/>
      </c>
      <c r="Z2212" s="52">
        <f>IF(P2212="","",WEEKDAY(B2212,2))</f>
        <v/>
      </c>
      <c r="AA2212" s="52">
        <f>IF(P2212="","",IF(AND(P2212="Gasto",X2212="Variable",D2212&lt;&gt;catTrading,S2212&gt;0,S2212&lt;=Umbral),1,0))</f>
        <v/>
      </c>
      <c r="AB2212" s="52">
        <f>IF(OR(P2212="",Q2212=""),"",IFERROR(IF(INDEX(ctaVinc,MATCH(Q2212,ctaNombre,0))&amp;""&lt;&gt;"",INDEX(ctaVinc,MATCH(Q2212,ctaNombre,0))&amp;"",Q2212),Q2212))</f>
        <v/>
      </c>
      <c r="AC2212" s="52">
        <f>IF(OR(K2212="",AND(P2212&lt;&gt;"Transferencia",P2212&lt;&gt;"Pago tarjeta")),"",IFERROR(IF(INDEX(ctaVinc,MATCH(K2212,ctaNombre,0))&amp;""&lt;&gt;"",INDEX(ctaVinc,MATCH(K2212,ctaNombre,0))&amp;"",K2212),K2212))</f>
        <v/>
      </c>
      <c r="AD2212" s="52">
        <f>IF(AB2212="","",IFERROR(INDEX(ctaTipo,MATCH(AB2212,ctaNombre,0))&amp;"",""))</f>
        <v/>
      </c>
      <c r="AE2212" s="52">
        <f>IF(AC2212="","",IFERROR(INDEX(ctaTipo,MATCH(AC2212,ctaNombre,0))&amp;"",""))</f>
        <v/>
      </c>
      <c r="AF2212" s="53">
        <f>IF(OR(P2212="",AB2212=""),"",IF(OR(P2212="Gasto",P2212="Transferencia",P2212="Pago tarjeta"),-1,1)*IF(IFERROR(INDEX(ctaMoneda,MATCH(AB2212,ctaNombre,0))&amp;"","DOP")="USD",T2212,S2212))</f>
        <v/>
      </c>
      <c r="AG2212" s="53">
        <f>IF(AC2212="","",IF(IFERROR(INDEX(ctaMoneda,MATCH(AC2212,ctaNombre,0))&amp;"","DOP")="USD",T2212,S2212))</f>
        <v/>
      </c>
      <c r="AH2212" s="53">
        <f>IF(P2212="","",IF(AND(AD2212&lt;&gt;"",COUNTIFS(tcTipo,AD2212,tcLiq,"Sí")&gt;0),IF(OR(P2212="Gasto",P2212="Transferencia",P2212="Pago tarjeta"),-1,1)*S2212,0)+IF(AND(AE2212&lt;&gt;"",COUNTIFS(tcTipo,AE2212,tcLiq,"Sí")&gt;0),S2212,0))</f>
        <v/>
      </c>
      <c r="AI2212" s="52">
        <f>IF(OR(L2212="",P2212=""),"",IF(COUNTIFS(L$6:L2212,L2212,P$6:P2212,"?*")=1,MAX(AI$5:AI2211)+1,""))</f>
        <v/>
      </c>
    </row>
    <row r="2213">
      <c r="B2213" s="47" t="n"/>
      <c r="C2213" s="48" t="n"/>
      <c r="D2213" s="48" t="n"/>
      <c r="E2213" s="48" t="n"/>
      <c r="F2213" s="48" t="n"/>
      <c r="G2213" s="49" t="n"/>
      <c r="H2213" s="48" t="n"/>
      <c r="I2213" s="50" t="n"/>
      <c r="J2213" s="48" t="n"/>
      <c r="K2213" s="48" t="n"/>
      <c r="L2213" s="48" t="n"/>
      <c r="M2213" s="48" t="n"/>
      <c r="N2213" s="48" t="n"/>
      <c r="O2213" s="51">
        <f>IF(AND(B2213="",G2213="",C2213="",D2213="",J2213=""),"",IF(B2213="","⚠ Falta fecha",IF(G2213="","⚠ Falta monto",IF(Q2213="","⚠ Falta cuenta",IF(ISNA(MATCH(Q2213,ctaNombre,0)),"⚠ Cuenta no registrada",IF(AND(OR(P2213="Gasto",P2213="Reembolso"),D2213=""),"⚠ Falta categoría",IF(AND(D2213&lt;&gt;"",E2213&lt;&gt;"",ISNA(MATCH(D2213&amp;"|"&amp;E2213,catClave,0))),"⚠ Subcategoría no corresponde",IF(AND(OR(P2213="Transferencia",P2213="Pago tarjeta"),K2213=""),"⚠ Falta cuenta destino",IF(AND(K2213&lt;&gt;"",P2213&lt;&gt;"Transferencia",P2213&lt;&gt;"Pago tarjeta"),"⚠ Destino solo aplica a transferencias",IF(AND(K2213&lt;&gt;"",K2213=Q2213),"⚠ Origen igual a destino",IF(AND(K2213&lt;&gt;"",ISNA(MATCH(K2213,ctaNombre,0))),"⚠ Destino no registrado",IF(AND(P2213="Pago tarjeta",AE2213&lt;&gt;"Tarjeta de crédito"),"⚠ El destino debe ser tarjeta de crédito",IF(AND(P2213="Gasto",E2213="Depósitos y retiros"),"⚠ Usa tipo Transferencia",IF(AND(P2213="Resultado trading",AD2213&lt;&gt;"Cuenta de trading"),"⚠ Usa una cuenta de trading",IF(AND(G2213&lt;=0,P2213&lt;&gt;"Ajuste",P2213&lt;&gt;"Resultado trading"),"⚠ El monto debe ser positivo","✓")))))))))))))))</f>
        <v/>
      </c>
      <c r="P2213" s="52">
        <f>IF(OR(B2213="",G2213=""),"",IF(C2213="","Gasto",C2213))</f>
        <v/>
      </c>
      <c r="Q2213" s="52">
        <f>IF(P2213="","",IF(J2213&lt;&gt;"",J2213,CuentaPred&amp;""))</f>
        <v/>
      </c>
      <c r="R2213" s="52">
        <f>IF(P2213="","",IF(ISNUMBER(I2213),I2213,TasaUSD))</f>
        <v/>
      </c>
      <c r="S2213" s="53">
        <f>IF(P2213="","",IF(H2213="USD",G2213*R2213,G2213))</f>
        <v/>
      </c>
      <c r="T2213" s="53">
        <f>IF(P2213="","",IF(H2213="USD",G2213,IF(R2213&gt;0,G2213/R2213,0)))</f>
        <v/>
      </c>
      <c r="U2213" s="53">
        <f>IF(P2213="","",IF(P2213="Gasto",S2213,IF(P2213="Reembolso",-S2213,0)))</f>
        <v/>
      </c>
      <c r="V2213" s="53">
        <f>IF(P2213="","",IF(P2213="Ingreso",S2213,0))</f>
        <v/>
      </c>
      <c r="W2213" s="53">
        <f>IF(P2213="","",IF(P2213="Resultado trading",S2213,0))</f>
        <v/>
      </c>
      <c r="X2213" s="52">
        <f>IF(OR(P2213="Gasto",P2213="Reembolso"),IF(M2213&lt;&gt;"",M2213,IFERROR(INDEX(catClasif,MATCH(D2213&amp;"|"&amp;E2213,catClave,0))&amp;"","Variable")),"")</f>
        <v/>
      </c>
      <c r="Y2213" s="52">
        <f>IF(P2213="","",IFERROR(INDEX(catGrupo,MATCH(D2213&amp;"|"&amp;E2213,catClave,0))&amp;"",""))</f>
        <v/>
      </c>
      <c r="Z2213" s="52">
        <f>IF(P2213="","",WEEKDAY(B2213,2))</f>
        <v/>
      </c>
      <c r="AA2213" s="52">
        <f>IF(P2213="","",IF(AND(P2213="Gasto",X2213="Variable",D2213&lt;&gt;catTrading,S2213&gt;0,S2213&lt;=Umbral),1,0))</f>
        <v/>
      </c>
      <c r="AB2213" s="52">
        <f>IF(OR(P2213="",Q2213=""),"",IFERROR(IF(INDEX(ctaVinc,MATCH(Q2213,ctaNombre,0))&amp;""&lt;&gt;"",INDEX(ctaVinc,MATCH(Q2213,ctaNombre,0))&amp;"",Q2213),Q2213))</f>
        <v/>
      </c>
      <c r="AC2213" s="52">
        <f>IF(OR(K2213="",AND(P2213&lt;&gt;"Transferencia",P2213&lt;&gt;"Pago tarjeta")),"",IFERROR(IF(INDEX(ctaVinc,MATCH(K2213,ctaNombre,0))&amp;""&lt;&gt;"",INDEX(ctaVinc,MATCH(K2213,ctaNombre,0))&amp;"",K2213),K2213))</f>
        <v/>
      </c>
      <c r="AD2213" s="52">
        <f>IF(AB2213="","",IFERROR(INDEX(ctaTipo,MATCH(AB2213,ctaNombre,0))&amp;"",""))</f>
        <v/>
      </c>
      <c r="AE2213" s="52">
        <f>IF(AC2213="","",IFERROR(INDEX(ctaTipo,MATCH(AC2213,ctaNombre,0))&amp;"",""))</f>
        <v/>
      </c>
      <c r="AF2213" s="53">
        <f>IF(OR(P2213="",AB2213=""),"",IF(OR(P2213="Gasto",P2213="Transferencia",P2213="Pago tarjeta"),-1,1)*IF(IFERROR(INDEX(ctaMoneda,MATCH(AB2213,ctaNombre,0))&amp;"","DOP")="USD",T2213,S2213))</f>
        <v/>
      </c>
      <c r="AG2213" s="53">
        <f>IF(AC2213="","",IF(IFERROR(INDEX(ctaMoneda,MATCH(AC2213,ctaNombre,0))&amp;"","DOP")="USD",T2213,S2213))</f>
        <v/>
      </c>
      <c r="AH2213" s="53">
        <f>IF(P2213="","",IF(AND(AD2213&lt;&gt;"",COUNTIFS(tcTipo,AD2213,tcLiq,"Sí")&gt;0),IF(OR(P2213="Gasto",P2213="Transferencia",P2213="Pago tarjeta"),-1,1)*S2213,0)+IF(AND(AE2213&lt;&gt;"",COUNTIFS(tcTipo,AE2213,tcLiq,"Sí")&gt;0),S2213,0))</f>
        <v/>
      </c>
      <c r="AI2213" s="52">
        <f>IF(OR(L2213="",P2213=""),"",IF(COUNTIFS(L$6:L2213,L2213,P$6:P2213,"?*")=1,MAX(AI$5:AI2212)+1,""))</f>
        <v/>
      </c>
    </row>
    <row r="2214">
      <c r="B2214" s="47" t="n"/>
      <c r="C2214" s="48" t="n"/>
      <c r="D2214" s="48" t="n"/>
      <c r="E2214" s="48" t="n"/>
      <c r="F2214" s="48" t="n"/>
      <c r="G2214" s="49" t="n"/>
      <c r="H2214" s="48" t="n"/>
      <c r="I2214" s="50" t="n"/>
      <c r="J2214" s="48" t="n"/>
      <c r="K2214" s="48" t="n"/>
      <c r="L2214" s="48" t="n"/>
      <c r="M2214" s="48" t="n"/>
      <c r="N2214" s="48" t="n"/>
      <c r="O2214" s="51">
        <f>IF(AND(B2214="",G2214="",C2214="",D2214="",J2214=""),"",IF(B2214="","⚠ Falta fecha",IF(G2214="","⚠ Falta monto",IF(Q2214="","⚠ Falta cuenta",IF(ISNA(MATCH(Q2214,ctaNombre,0)),"⚠ Cuenta no registrada",IF(AND(OR(P2214="Gasto",P2214="Reembolso"),D2214=""),"⚠ Falta categoría",IF(AND(D2214&lt;&gt;"",E2214&lt;&gt;"",ISNA(MATCH(D2214&amp;"|"&amp;E2214,catClave,0))),"⚠ Subcategoría no corresponde",IF(AND(OR(P2214="Transferencia",P2214="Pago tarjeta"),K2214=""),"⚠ Falta cuenta destino",IF(AND(K2214&lt;&gt;"",P2214&lt;&gt;"Transferencia",P2214&lt;&gt;"Pago tarjeta"),"⚠ Destino solo aplica a transferencias",IF(AND(K2214&lt;&gt;"",K2214=Q2214),"⚠ Origen igual a destino",IF(AND(K2214&lt;&gt;"",ISNA(MATCH(K2214,ctaNombre,0))),"⚠ Destino no registrado",IF(AND(P2214="Pago tarjeta",AE2214&lt;&gt;"Tarjeta de crédito"),"⚠ El destino debe ser tarjeta de crédito",IF(AND(P2214="Gasto",E2214="Depósitos y retiros"),"⚠ Usa tipo Transferencia",IF(AND(P2214="Resultado trading",AD2214&lt;&gt;"Cuenta de trading"),"⚠ Usa una cuenta de trading",IF(AND(G2214&lt;=0,P2214&lt;&gt;"Ajuste",P2214&lt;&gt;"Resultado trading"),"⚠ El monto debe ser positivo","✓")))))))))))))))</f>
        <v/>
      </c>
      <c r="P2214" s="52">
        <f>IF(OR(B2214="",G2214=""),"",IF(C2214="","Gasto",C2214))</f>
        <v/>
      </c>
      <c r="Q2214" s="52">
        <f>IF(P2214="","",IF(J2214&lt;&gt;"",J2214,CuentaPred&amp;""))</f>
        <v/>
      </c>
      <c r="R2214" s="52">
        <f>IF(P2214="","",IF(ISNUMBER(I2214),I2214,TasaUSD))</f>
        <v/>
      </c>
      <c r="S2214" s="53">
        <f>IF(P2214="","",IF(H2214="USD",G2214*R2214,G2214))</f>
        <v/>
      </c>
      <c r="T2214" s="53">
        <f>IF(P2214="","",IF(H2214="USD",G2214,IF(R2214&gt;0,G2214/R2214,0)))</f>
        <v/>
      </c>
      <c r="U2214" s="53">
        <f>IF(P2214="","",IF(P2214="Gasto",S2214,IF(P2214="Reembolso",-S2214,0)))</f>
        <v/>
      </c>
      <c r="V2214" s="53">
        <f>IF(P2214="","",IF(P2214="Ingreso",S2214,0))</f>
        <v/>
      </c>
      <c r="W2214" s="53">
        <f>IF(P2214="","",IF(P2214="Resultado trading",S2214,0))</f>
        <v/>
      </c>
      <c r="X2214" s="52">
        <f>IF(OR(P2214="Gasto",P2214="Reembolso"),IF(M2214&lt;&gt;"",M2214,IFERROR(INDEX(catClasif,MATCH(D2214&amp;"|"&amp;E2214,catClave,0))&amp;"","Variable")),"")</f>
        <v/>
      </c>
      <c r="Y2214" s="52">
        <f>IF(P2214="","",IFERROR(INDEX(catGrupo,MATCH(D2214&amp;"|"&amp;E2214,catClave,0))&amp;"",""))</f>
        <v/>
      </c>
      <c r="Z2214" s="52">
        <f>IF(P2214="","",WEEKDAY(B2214,2))</f>
        <v/>
      </c>
      <c r="AA2214" s="52">
        <f>IF(P2214="","",IF(AND(P2214="Gasto",X2214="Variable",D2214&lt;&gt;catTrading,S2214&gt;0,S2214&lt;=Umbral),1,0))</f>
        <v/>
      </c>
      <c r="AB2214" s="52">
        <f>IF(OR(P2214="",Q2214=""),"",IFERROR(IF(INDEX(ctaVinc,MATCH(Q2214,ctaNombre,0))&amp;""&lt;&gt;"",INDEX(ctaVinc,MATCH(Q2214,ctaNombre,0))&amp;"",Q2214),Q2214))</f>
        <v/>
      </c>
      <c r="AC2214" s="52">
        <f>IF(OR(K2214="",AND(P2214&lt;&gt;"Transferencia",P2214&lt;&gt;"Pago tarjeta")),"",IFERROR(IF(INDEX(ctaVinc,MATCH(K2214,ctaNombre,0))&amp;""&lt;&gt;"",INDEX(ctaVinc,MATCH(K2214,ctaNombre,0))&amp;"",K2214),K2214))</f>
        <v/>
      </c>
      <c r="AD2214" s="52">
        <f>IF(AB2214="","",IFERROR(INDEX(ctaTipo,MATCH(AB2214,ctaNombre,0))&amp;"",""))</f>
        <v/>
      </c>
      <c r="AE2214" s="52">
        <f>IF(AC2214="","",IFERROR(INDEX(ctaTipo,MATCH(AC2214,ctaNombre,0))&amp;"",""))</f>
        <v/>
      </c>
      <c r="AF2214" s="53">
        <f>IF(OR(P2214="",AB2214=""),"",IF(OR(P2214="Gasto",P2214="Transferencia",P2214="Pago tarjeta"),-1,1)*IF(IFERROR(INDEX(ctaMoneda,MATCH(AB2214,ctaNombre,0))&amp;"","DOP")="USD",T2214,S2214))</f>
        <v/>
      </c>
      <c r="AG2214" s="53">
        <f>IF(AC2214="","",IF(IFERROR(INDEX(ctaMoneda,MATCH(AC2214,ctaNombre,0))&amp;"","DOP")="USD",T2214,S2214))</f>
        <v/>
      </c>
      <c r="AH2214" s="53">
        <f>IF(P2214="","",IF(AND(AD2214&lt;&gt;"",COUNTIFS(tcTipo,AD2214,tcLiq,"Sí")&gt;0),IF(OR(P2214="Gasto",P2214="Transferencia",P2214="Pago tarjeta"),-1,1)*S2214,0)+IF(AND(AE2214&lt;&gt;"",COUNTIFS(tcTipo,AE2214,tcLiq,"Sí")&gt;0),S2214,0))</f>
        <v/>
      </c>
      <c r="AI2214" s="52">
        <f>IF(OR(L2214="",P2214=""),"",IF(COUNTIFS(L$6:L2214,L2214,P$6:P2214,"?*")=1,MAX(AI$5:AI2213)+1,""))</f>
        <v/>
      </c>
    </row>
    <row r="2215">
      <c r="B2215" s="47" t="n"/>
      <c r="C2215" s="48" t="n"/>
      <c r="D2215" s="48" t="n"/>
      <c r="E2215" s="48" t="n"/>
      <c r="F2215" s="48" t="n"/>
      <c r="G2215" s="49" t="n"/>
      <c r="H2215" s="48" t="n"/>
      <c r="I2215" s="50" t="n"/>
      <c r="J2215" s="48" t="n"/>
      <c r="K2215" s="48" t="n"/>
      <c r="L2215" s="48" t="n"/>
      <c r="M2215" s="48" t="n"/>
      <c r="N2215" s="48" t="n"/>
      <c r="O2215" s="51">
        <f>IF(AND(B2215="",G2215="",C2215="",D2215="",J2215=""),"",IF(B2215="","⚠ Falta fecha",IF(G2215="","⚠ Falta monto",IF(Q2215="","⚠ Falta cuenta",IF(ISNA(MATCH(Q2215,ctaNombre,0)),"⚠ Cuenta no registrada",IF(AND(OR(P2215="Gasto",P2215="Reembolso"),D2215=""),"⚠ Falta categoría",IF(AND(D2215&lt;&gt;"",E2215&lt;&gt;"",ISNA(MATCH(D2215&amp;"|"&amp;E2215,catClave,0))),"⚠ Subcategoría no corresponde",IF(AND(OR(P2215="Transferencia",P2215="Pago tarjeta"),K2215=""),"⚠ Falta cuenta destino",IF(AND(K2215&lt;&gt;"",P2215&lt;&gt;"Transferencia",P2215&lt;&gt;"Pago tarjeta"),"⚠ Destino solo aplica a transferencias",IF(AND(K2215&lt;&gt;"",K2215=Q2215),"⚠ Origen igual a destino",IF(AND(K2215&lt;&gt;"",ISNA(MATCH(K2215,ctaNombre,0))),"⚠ Destino no registrado",IF(AND(P2215="Pago tarjeta",AE2215&lt;&gt;"Tarjeta de crédito"),"⚠ El destino debe ser tarjeta de crédito",IF(AND(P2215="Gasto",E2215="Depósitos y retiros"),"⚠ Usa tipo Transferencia",IF(AND(P2215="Resultado trading",AD2215&lt;&gt;"Cuenta de trading"),"⚠ Usa una cuenta de trading",IF(AND(G2215&lt;=0,P2215&lt;&gt;"Ajuste",P2215&lt;&gt;"Resultado trading"),"⚠ El monto debe ser positivo","✓")))))))))))))))</f>
        <v/>
      </c>
      <c r="P2215" s="52">
        <f>IF(OR(B2215="",G2215=""),"",IF(C2215="","Gasto",C2215))</f>
        <v/>
      </c>
      <c r="Q2215" s="52">
        <f>IF(P2215="","",IF(J2215&lt;&gt;"",J2215,CuentaPred&amp;""))</f>
        <v/>
      </c>
      <c r="R2215" s="52">
        <f>IF(P2215="","",IF(ISNUMBER(I2215),I2215,TasaUSD))</f>
        <v/>
      </c>
      <c r="S2215" s="53">
        <f>IF(P2215="","",IF(H2215="USD",G2215*R2215,G2215))</f>
        <v/>
      </c>
      <c r="T2215" s="53">
        <f>IF(P2215="","",IF(H2215="USD",G2215,IF(R2215&gt;0,G2215/R2215,0)))</f>
        <v/>
      </c>
      <c r="U2215" s="53">
        <f>IF(P2215="","",IF(P2215="Gasto",S2215,IF(P2215="Reembolso",-S2215,0)))</f>
        <v/>
      </c>
      <c r="V2215" s="53">
        <f>IF(P2215="","",IF(P2215="Ingreso",S2215,0))</f>
        <v/>
      </c>
      <c r="W2215" s="53">
        <f>IF(P2215="","",IF(P2215="Resultado trading",S2215,0))</f>
        <v/>
      </c>
      <c r="X2215" s="52">
        <f>IF(OR(P2215="Gasto",P2215="Reembolso"),IF(M2215&lt;&gt;"",M2215,IFERROR(INDEX(catClasif,MATCH(D2215&amp;"|"&amp;E2215,catClave,0))&amp;"","Variable")),"")</f>
        <v/>
      </c>
      <c r="Y2215" s="52">
        <f>IF(P2215="","",IFERROR(INDEX(catGrupo,MATCH(D2215&amp;"|"&amp;E2215,catClave,0))&amp;"",""))</f>
        <v/>
      </c>
      <c r="Z2215" s="52">
        <f>IF(P2215="","",WEEKDAY(B2215,2))</f>
        <v/>
      </c>
      <c r="AA2215" s="52">
        <f>IF(P2215="","",IF(AND(P2215="Gasto",X2215="Variable",D2215&lt;&gt;catTrading,S2215&gt;0,S2215&lt;=Umbral),1,0))</f>
        <v/>
      </c>
      <c r="AB2215" s="52">
        <f>IF(OR(P2215="",Q2215=""),"",IFERROR(IF(INDEX(ctaVinc,MATCH(Q2215,ctaNombre,0))&amp;""&lt;&gt;"",INDEX(ctaVinc,MATCH(Q2215,ctaNombre,0))&amp;"",Q2215),Q2215))</f>
        <v/>
      </c>
      <c r="AC2215" s="52">
        <f>IF(OR(K2215="",AND(P2215&lt;&gt;"Transferencia",P2215&lt;&gt;"Pago tarjeta")),"",IFERROR(IF(INDEX(ctaVinc,MATCH(K2215,ctaNombre,0))&amp;""&lt;&gt;"",INDEX(ctaVinc,MATCH(K2215,ctaNombre,0))&amp;"",K2215),K2215))</f>
        <v/>
      </c>
      <c r="AD2215" s="52">
        <f>IF(AB2215="","",IFERROR(INDEX(ctaTipo,MATCH(AB2215,ctaNombre,0))&amp;"",""))</f>
        <v/>
      </c>
      <c r="AE2215" s="52">
        <f>IF(AC2215="","",IFERROR(INDEX(ctaTipo,MATCH(AC2215,ctaNombre,0))&amp;"",""))</f>
        <v/>
      </c>
      <c r="AF2215" s="53">
        <f>IF(OR(P2215="",AB2215=""),"",IF(OR(P2215="Gasto",P2215="Transferencia",P2215="Pago tarjeta"),-1,1)*IF(IFERROR(INDEX(ctaMoneda,MATCH(AB2215,ctaNombre,0))&amp;"","DOP")="USD",T2215,S2215))</f>
        <v/>
      </c>
      <c r="AG2215" s="53">
        <f>IF(AC2215="","",IF(IFERROR(INDEX(ctaMoneda,MATCH(AC2215,ctaNombre,0))&amp;"","DOP")="USD",T2215,S2215))</f>
        <v/>
      </c>
      <c r="AH2215" s="53">
        <f>IF(P2215="","",IF(AND(AD2215&lt;&gt;"",COUNTIFS(tcTipo,AD2215,tcLiq,"Sí")&gt;0),IF(OR(P2215="Gasto",P2215="Transferencia",P2215="Pago tarjeta"),-1,1)*S2215,0)+IF(AND(AE2215&lt;&gt;"",COUNTIFS(tcTipo,AE2215,tcLiq,"Sí")&gt;0),S2215,0))</f>
        <v/>
      </c>
      <c r="AI2215" s="52">
        <f>IF(OR(L2215="",P2215=""),"",IF(COUNTIFS(L$6:L2215,L2215,P$6:P2215,"?*")=1,MAX(AI$5:AI2214)+1,""))</f>
        <v/>
      </c>
    </row>
    <row r="2216">
      <c r="B2216" s="47" t="n"/>
      <c r="C2216" s="48" t="n"/>
      <c r="D2216" s="48" t="n"/>
      <c r="E2216" s="48" t="n"/>
      <c r="F2216" s="48" t="n"/>
      <c r="G2216" s="49" t="n"/>
      <c r="H2216" s="48" t="n"/>
      <c r="I2216" s="50" t="n"/>
      <c r="J2216" s="48" t="n"/>
      <c r="K2216" s="48" t="n"/>
      <c r="L2216" s="48" t="n"/>
      <c r="M2216" s="48" t="n"/>
      <c r="N2216" s="48" t="n"/>
      <c r="O2216" s="51">
        <f>IF(AND(B2216="",G2216="",C2216="",D2216="",J2216=""),"",IF(B2216="","⚠ Falta fecha",IF(G2216="","⚠ Falta monto",IF(Q2216="","⚠ Falta cuenta",IF(ISNA(MATCH(Q2216,ctaNombre,0)),"⚠ Cuenta no registrada",IF(AND(OR(P2216="Gasto",P2216="Reembolso"),D2216=""),"⚠ Falta categoría",IF(AND(D2216&lt;&gt;"",E2216&lt;&gt;"",ISNA(MATCH(D2216&amp;"|"&amp;E2216,catClave,0))),"⚠ Subcategoría no corresponde",IF(AND(OR(P2216="Transferencia",P2216="Pago tarjeta"),K2216=""),"⚠ Falta cuenta destino",IF(AND(K2216&lt;&gt;"",P2216&lt;&gt;"Transferencia",P2216&lt;&gt;"Pago tarjeta"),"⚠ Destino solo aplica a transferencias",IF(AND(K2216&lt;&gt;"",K2216=Q2216),"⚠ Origen igual a destino",IF(AND(K2216&lt;&gt;"",ISNA(MATCH(K2216,ctaNombre,0))),"⚠ Destino no registrado",IF(AND(P2216="Pago tarjeta",AE2216&lt;&gt;"Tarjeta de crédito"),"⚠ El destino debe ser tarjeta de crédito",IF(AND(P2216="Gasto",E2216="Depósitos y retiros"),"⚠ Usa tipo Transferencia",IF(AND(P2216="Resultado trading",AD2216&lt;&gt;"Cuenta de trading"),"⚠ Usa una cuenta de trading",IF(AND(G2216&lt;=0,P2216&lt;&gt;"Ajuste",P2216&lt;&gt;"Resultado trading"),"⚠ El monto debe ser positivo","✓")))))))))))))))</f>
        <v/>
      </c>
      <c r="P2216" s="52">
        <f>IF(OR(B2216="",G2216=""),"",IF(C2216="","Gasto",C2216))</f>
        <v/>
      </c>
      <c r="Q2216" s="52">
        <f>IF(P2216="","",IF(J2216&lt;&gt;"",J2216,CuentaPred&amp;""))</f>
        <v/>
      </c>
      <c r="R2216" s="52">
        <f>IF(P2216="","",IF(ISNUMBER(I2216),I2216,TasaUSD))</f>
        <v/>
      </c>
      <c r="S2216" s="53">
        <f>IF(P2216="","",IF(H2216="USD",G2216*R2216,G2216))</f>
        <v/>
      </c>
      <c r="T2216" s="53">
        <f>IF(P2216="","",IF(H2216="USD",G2216,IF(R2216&gt;0,G2216/R2216,0)))</f>
        <v/>
      </c>
      <c r="U2216" s="53">
        <f>IF(P2216="","",IF(P2216="Gasto",S2216,IF(P2216="Reembolso",-S2216,0)))</f>
        <v/>
      </c>
      <c r="V2216" s="53">
        <f>IF(P2216="","",IF(P2216="Ingreso",S2216,0))</f>
        <v/>
      </c>
      <c r="W2216" s="53">
        <f>IF(P2216="","",IF(P2216="Resultado trading",S2216,0))</f>
        <v/>
      </c>
      <c r="X2216" s="52">
        <f>IF(OR(P2216="Gasto",P2216="Reembolso"),IF(M2216&lt;&gt;"",M2216,IFERROR(INDEX(catClasif,MATCH(D2216&amp;"|"&amp;E2216,catClave,0))&amp;"","Variable")),"")</f>
        <v/>
      </c>
      <c r="Y2216" s="52">
        <f>IF(P2216="","",IFERROR(INDEX(catGrupo,MATCH(D2216&amp;"|"&amp;E2216,catClave,0))&amp;"",""))</f>
        <v/>
      </c>
      <c r="Z2216" s="52">
        <f>IF(P2216="","",WEEKDAY(B2216,2))</f>
        <v/>
      </c>
      <c r="AA2216" s="52">
        <f>IF(P2216="","",IF(AND(P2216="Gasto",X2216="Variable",D2216&lt;&gt;catTrading,S2216&gt;0,S2216&lt;=Umbral),1,0))</f>
        <v/>
      </c>
      <c r="AB2216" s="52">
        <f>IF(OR(P2216="",Q2216=""),"",IFERROR(IF(INDEX(ctaVinc,MATCH(Q2216,ctaNombre,0))&amp;""&lt;&gt;"",INDEX(ctaVinc,MATCH(Q2216,ctaNombre,0))&amp;"",Q2216),Q2216))</f>
        <v/>
      </c>
      <c r="AC2216" s="52">
        <f>IF(OR(K2216="",AND(P2216&lt;&gt;"Transferencia",P2216&lt;&gt;"Pago tarjeta")),"",IFERROR(IF(INDEX(ctaVinc,MATCH(K2216,ctaNombre,0))&amp;""&lt;&gt;"",INDEX(ctaVinc,MATCH(K2216,ctaNombre,0))&amp;"",K2216),K2216))</f>
        <v/>
      </c>
      <c r="AD2216" s="52">
        <f>IF(AB2216="","",IFERROR(INDEX(ctaTipo,MATCH(AB2216,ctaNombre,0))&amp;"",""))</f>
        <v/>
      </c>
      <c r="AE2216" s="52">
        <f>IF(AC2216="","",IFERROR(INDEX(ctaTipo,MATCH(AC2216,ctaNombre,0))&amp;"",""))</f>
        <v/>
      </c>
      <c r="AF2216" s="53">
        <f>IF(OR(P2216="",AB2216=""),"",IF(OR(P2216="Gasto",P2216="Transferencia",P2216="Pago tarjeta"),-1,1)*IF(IFERROR(INDEX(ctaMoneda,MATCH(AB2216,ctaNombre,0))&amp;"","DOP")="USD",T2216,S2216))</f>
        <v/>
      </c>
      <c r="AG2216" s="53">
        <f>IF(AC2216="","",IF(IFERROR(INDEX(ctaMoneda,MATCH(AC2216,ctaNombre,0))&amp;"","DOP")="USD",T2216,S2216))</f>
        <v/>
      </c>
      <c r="AH2216" s="53">
        <f>IF(P2216="","",IF(AND(AD2216&lt;&gt;"",COUNTIFS(tcTipo,AD2216,tcLiq,"Sí")&gt;0),IF(OR(P2216="Gasto",P2216="Transferencia",P2216="Pago tarjeta"),-1,1)*S2216,0)+IF(AND(AE2216&lt;&gt;"",COUNTIFS(tcTipo,AE2216,tcLiq,"Sí")&gt;0),S2216,0))</f>
        <v/>
      </c>
      <c r="AI2216" s="52">
        <f>IF(OR(L2216="",P2216=""),"",IF(COUNTIFS(L$6:L2216,L2216,P$6:P2216,"?*")=1,MAX(AI$5:AI2215)+1,""))</f>
        <v/>
      </c>
    </row>
    <row r="2217">
      <c r="B2217" s="47" t="n"/>
      <c r="C2217" s="48" t="n"/>
      <c r="D2217" s="48" t="n"/>
      <c r="E2217" s="48" t="n"/>
      <c r="F2217" s="48" t="n"/>
      <c r="G2217" s="49" t="n"/>
      <c r="H2217" s="48" t="n"/>
      <c r="I2217" s="50" t="n"/>
      <c r="J2217" s="48" t="n"/>
      <c r="K2217" s="48" t="n"/>
      <c r="L2217" s="48" t="n"/>
      <c r="M2217" s="48" t="n"/>
      <c r="N2217" s="48" t="n"/>
      <c r="O2217" s="51">
        <f>IF(AND(B2217="",G2217="",C2217="",D2217="",J2217=""),"",IF(B2217="","⚠ Falta fecha",IF(G2217="","⚠ Falta monto",IF(Q2217="","⚠ Falta cuenta",IF(ISNA(MATCH(Q2217,ctaNombre,0)),"⚠ Cuenta no registrada",IF(AND(OR(P2217="Gasto",P2217="Reembolso"),D2217=""),"⚠ Falta categoría",IF(AND(D2217&lt;&gt;"",E2217&lt;&gt;"",ISNA(MATCH(D2217&amp;"|"&amp;E2217,catClave,0))),"⚠ Subcategoría no corresponde",IF(AND(OR(P2217="Transferencia",P2217="Pago tarjeta"),K2217=""),"⚠ Falta cuenta destino",IF(AND(K2217&lt;&gt;"",P2217&lt;&gt;"Transferencia",P2217&lt;&gt;"Pago tarjeta"),"⚠ Destino solo aplica a transferencias",IF(AND(K2217&lt;&gt;"",K2217=Q2217),"⚠ Origen igual a destino",IF(AND(K2217&lt;&gt;"",ISNA(MATCH(K2217,ctaNombre,0))),"⚠ Destino no registrado",IF(AND(P2217="Pago tarjeta",AE2217&lt;&gt;"Tarjeta de crédito"),"⚠ El destino debe ser tarjeta de crédito",IF(AND(P2217="Gasto",E2217="Depósitos y retiros"),"⚠ Usa tipo Transferencia",IF(AND(P2217="Resultado trading",AD2217&lt;&gt;"Cuenta de trading"),"⚠ Usa una cuenta de trading",IF(AND(G2217&lt;=0,P2217&lt;&gt;"Ajuste",P2217&lt;&gt;"Resultado trading"),"⚠ El monto debe ser positivo","✓")))))))))))))))</f>
        <v/>
      </c>
      <c r="P2217" s="52">
        <f>IF(OR(B2217="",G2217=""),"",IF(C2217="","Gasto",C2217))</f>
        <v/>
      </c>
      <c r="Q2217" s="52">
        <f>IF(P2217="","",IF(J2217&lt;&gt;"",J2217,CuentaPred&amp;""))</f>
        <v/>
      </c>
      <c r="R2217" s="52">
        <f>IF(P2217="","",IF(ISNUMBER(I2217),I2217,TasaUSD))</f>
        <v/>
      </c>
      <c r="S2217" s="53">
        <f>IF(P2217="","",IF(H2217="USD",G2217*R2217,G2217))</f>
        <v/>
      </c>
      <c r="T2217" s="53">
        <f>IF(P2217="","",IF(H2217="USD",G2217,IF(R2217&gt;0,G2217/R2217,0)))</f>
        <v/>
      </c>
      <c r="U2217" s="53">
        <f>IF(P2217="","",IF(P2217="Gasto",S2217,IF(P2217="Reembolso",-S2217,0)))</f>
        <v/>
      </c>
      <c r="V2217" s="53">
        <f>IF(P2217="","",IF(P2217="Ingreso",S2217,0))</f>
        <v/>
      </c>
      <c r="W2217" s="53">
        <f>IF(P2217="","",IF(P2217="Resultado trading",S2217,0))</f>
        <v/>
      </c>
      <c r="X2217" s="52">
        <f>IF(OR(P2217="Gasto",P2217="Reembolso"),IF(M2217&lt;&gt;"",M2217,IFERROR(INDEX(catClasif,MATCH(D2217&amp;"|"&amp;E2217,catClave,0))&amp;"","Variable")),"")</f>
        <v/>
      </c>
      <c r="Y2217" s="52">
        <f>IF(P2217="","",IFERROR(INDEX(catGrupo,MATCH(D2217&amp;"|"&amp;E2217,catClave,0))&amp;"",""))</f>
        <v/>
      </c>
      <c r="Z2217" s="52">
        <f>IF(P2217="","",WEEKDAY(B2217,2))</f>
        <v/>
      </c>
      <c r="AA2217" s="52">
        <f>IF(P2217="","",IF(AND(P2217="Gasto",X2217="Variable",D2217&lt;&gt;catTrading,S2217&gt;0,S2217&lt;=Umbral),1,0))</f>
        <v/>
      </c>
      <c r="AB2217" s="52">
        <f>IF(OR(P2217="",Q2217=""),"",IFERROR(IF(INDEX(ctaVinc,MATCH(Q2217,ctaNombre,0))&amp;""&lt;&gt;"",INDEX(ctaVinc,MATCH(Q2217,ctaNombre,0))&amp;"",Q2217),Q2217))</f>
        <v/>
      </c>
      <c r="AC2217" s="52">
        <f>IF(OR(K2217="",AND(P2217&lt;&gt;"Transferencia",P2217&lt;&gt;"Pago tarjeta")),"",IFERROR(IF(INDEX(ctaVinc,MATCH(K2217,ctaNombre,0))&amp;""&lt;&gt;"",INDEX(ctaVinc,MATCH(K2217,ctaNombre,0))&amp;"",K2217),K2217))</f>
        <v/>
      </c>
      <c r="AD2217" s="52">
        <f>IF(AB2217="","",IFERROR(INDEX(ctaTipo,MATCH(AB2217,ctaNombre,0))&amp;"",""))</f>
        <v/>
      </c>
      <c r="AE2217" s="52">
        <f>IF(AC2217="","",IFERROR(INDEX(ctaTipo,MATCH(AC2217,ctaNombre,0))&amp;"",""))</f>
        <v/>
      </c>
      <c r="AF2217" s="53">
        <f>IF(OR(P2217="",AB2217=""),"",IF(OR(P2217="Gasto",P2217="Transferencia",P2217="Pago tarjeta"),-1,1)*IF(IFERROR(INDEX(ctaMoneda,MATCH(AB2217,ctaNombre,0))&amp;"","DOP")="USD",T2217,S2217))</f>
        <v/>
      </c>
      <c r="AG2217" s="53">
        <f>IF(AC2217="","",IF(IFERROR(INDEX(ctaMoneda,MATCH(AC2217,ctaNombre,0))&amp;"","DOP")="USD",T2217,S2217))</f>
        <v/>
      </c>
      <c r="AH2217" s="53">
        <f>IF(P2217="","",IF(AND(AD2217&lt;&gt;"",COUNTIFS(tcTipo,AD2217,tcLiq,"Sí")&gt;0),IF(OR(P2217="Gasto",P2217="Transferencia",P2217="Pago tarjeta"),-1,1)*S2217,0)+IF(AND(AE2217&lt;&gt;"",COUNTIFS(tcTipo,AE2217,tcLiq,"Sí")&gt;0),S2217,0))</f>
        <v/>
      </c>
      <c r="AI2217" s="52">
        <f>IF(OR(L2217="",P2217=""),"",IF(COUNTIFS(L$6:L2217,L2217,P$6:P2217,"?*")=1,MAX(AI$5:AI2216)+1,""))</f>
        <v/>
      </c>
    </row>
    <row r="2218">
      <c r="B2218" s="47" t="n"/>
      <c r="C2218" s="48" t="n"/>
      <c r="D2218" s="48" t="n"/>
      <c r="E2218" s="48" t="n"/>
      <c r="F2218" s="48" t="n"/>
      <c r="G2218" s="49" t="n"/>
      <c r="H2218" s="48" t="n"/>
      <c r="I2218" s="50" t="n"/>
      <c r="J2218" s="48" t="n"/>
      <c r="K2218" s="48" t="n"/>
      <c r="L2218" s="48" t="n"/>
      <c r="M2218" s="48" t="n"/>
      <c r="N2218" s="48" t="n"/>
      <c r="O2218" s="51">
        <f>IF(AND(B2218="",G2218="",C2218="",D2218="",J2218=""),"",IF(B2218="","⚠ Falta fecha",IF(G2218="","⚠ Falta monto",IF(Q2218="","⚠ Falta cuenta",IF(ISNA(MATCH(Q2218,ctaNombre,0)),"⚠ Cuenta no registrada",IF(AND(OR(P2218="Gasto",P2218="Reembolso"),D2218=""),"⚠ Falta categoría",IF(AND(D2218&lt;&gt;"",E2218&lt;&gt;"",ISNA(MATCH(D2218&amp;"|"&amp;E2218,catClave,0))),"⚠ Subcategoría no corresponde",IF(AND(OR(P2218="Transferencia",P2218="Pago tarjeta"),K2218=""),"⚠ Falta cuenta destino",IF(AND(K2218&lt;&gt;"",P2218&lt;&gt;"Transferencia",P2218&lt;&gt;"Pago tarjeta"),"⚠ Destino solo aplica a transferencias",IF(AND(K2218&lt;&gt;"",K2218=Q2218),"⚠ Origen igual a destino",IF(AND(K2218&lt;&gt;"",ISNA(MATCH(K2218,ctaNombre,0))),"⚠ Destino no registrado",IF(AND(P2218="Pago tarjeta",AE2218&lt;&gt;"Tarjeta de crédito"),"⚠ El destino debe ser tarjeta de crédito",IF(AND(P2218="Gasto",E2218="Depósitos y retiros"),"⚠ Usa tipo Transferencia",IF(AND(P2218="Resultado trading",AD2218&lt;&gt;"Cuenta de trading"),"⚠ Usa una cuenta de trading",IF(AND(G2218&lt;=0,P2218&lt;&gt;"Ajuste",P2218&lt;&gt;"Resultado trading"),"⚠ El monto debe ser positivo","✓")))))))))))))))</f>
        <v/>
      </c>
      <c r="P2218" s="52">
        <f>IF(OR(B2218="",G2218=""),"",IF(C2218="","Gasto",C2218))</f>
        <v/>
      </c>
      <c r="Q2218" s="52">
        <f>IF(P2218="","",IF(J2218&lt;&gt;"",J2218,CuentaPred&amp;""))</f>
        <v/>
      </c>
      <c r="R2218" s="52">
        <f>IF(P2218="","",IF(ISNUMBER(I2218),I2218,TasaUSD))</f>
        <v/>
      </c>
      <c r="S2218" s="53">
        <f>IF(P2218="","",IF(H2218="USD",G2218*R2218,G2218))</f>
        <v/>
      </c>
      <c r="T2218" s="53">
        <f>IF(P2218="","",IF(H2218="USD",G2218,IF(R2218&gt;0,G2218/R2218,0)))</f>
        <v/>
      </c>
      <c r="U2218" s="53">
        <f>IF(P2218="","",IF(P2218="Gasto",S2218,IF(P2218="Reembolso",-S2218,0)))</f>
        <v/>
      </c>
      <c r="V2218" s="53">
        <f>IF(P2218="","",IF(P2218="Ingreso",S2218,0))</f>
        <v/>
      </c>
      <c r="W2218" s="53">
        <f>IF(P2218="","",IF(P2218="Resultado trading",S2218,0))</f>
        <v/>
      </c>
      <c r="X2218" s="52">
        <f>IF(OR(P2218="Gasto",P2218="Reembolso"),IF(M2218&lt;&gt;"",M2218,IFERROR(INDEX(catClasif,MATCH(D2218&amp;"|"&amp;E2218,catClave,0))&amp;"","Variable")),"")</f>
        <v/>
      </c>
      <c r="Y2218" s="52">
        <f>IF(P2218="","",IFERROR(INDEX(catGrupo,MATCH(D2218&amp;"|"&amp;E2218,catClave,0))&amp;"",""))</f>
        <v/>
      </c>
      <c r="Z2218" s="52">
        <f>IF(P2218="","",WEEKDAY(B2218,2))</f>
        <v/>
      </c>
      <c r="AA2218" s="52">
        <f>IF(P2218="","",IF(AND(P2218="Gasto",X2218="Variable",D2218&lt;&gt;catTrading,S2218&gt;0,S2218&lt;=Umbral),1,0))</f>
        <v/>
      </c>
      <c r="AB2218" s="52">
        <f>IF(OR(P2218="",Q2218=""),"",IFERROR(IF(INDEX(ctaVinc,MATCH(Q2218,ctaNombre,0))&amp;""&lt;&gt;"",INDEX(ctaVinc,MATCH(Q2218,ctaNombre,0))&amp;"",Q2218),Q2218))</f>
        <v/>
      </c>
      <c r="AC2218" s="52">
        <f>IF(OR(K2218="",AND(P2218&lt;&gt;"Transferencia",P2218&lt;&gt;"Pago tarjeta")),"",IFERROR(IF(INDEX(ctaVinc,MATCH(K2218,ctaNombre,0))&amp;""&lt;&gt;"",INDEX(ctaVinc,MATCH(K2218,ctaNombre,0))&amp;"",K2218),K2218))</f>
        <v/>
      </c>
      <c r="AD2218" s="52">
        <f>IF(AB2218="","",IFERROR(INDEX(ctaTipo,MATCH(AB2218,ctaNombre,0))&amp;"",""))</f>
        <v/>
      </c>
      <c r="AE2218" s="52">
        <f>IF(AC2218="","",IFERROR(INDEX(ctaTipo,MATCH(AC2218,ctaNombre,0))&amp;"",""))</f>
        <v/>
      </c>
      <c r="AF2218" s="53">
        <f>IF(OR(P2218="",AB2218=""),"",IF(OR(P2218="Gasto",P2218="Transferencia",P2218="Pago tarjeta"),-1,1)*IF(IFERROR(INDEX(ctaMoneda,MATCH(AB2218,ctaNombre,0))&amp;"","DOP")="USD",T2218,S2218))</f>
        <v/>
      </c>
      <c r="AG2218" s="53">
        <f>IF(AC2218="","",IF(IFERROR(INDEX(ctaMoneda,MATCH(AC2218,ctaNombre,0))&amp;"","DOP")="USD",T2218,S2218))</f>
        <v/>
      </c>
      <c r="AH2218" s="53">
        <f>IF(P2218="","",IF(AND(AD2218&lt;&gt;"",COUNTIFS(tcTipo,AD2218,tcLiq,"Sí")&gt;0),IF(OR(P2218="Gasto",P2218="Transferencia",P2218="Pago tarjeta"),-1,1)*S2218,0)+IF(AND(AE2218&lt;&gt;"",COUNTIFS(tcTipo,AE2218,tcLiq,"Sí")&gt;0),S2218,0))</f>
        <v/>
      </c>
      <c r="AI2218" s="52">
        <f>IF(OR(L2218="",P2218=""),"",IF(COUNTIFS(L$6:L2218,L2218,P$6:P2218,"?*")=1,MAX(AI$5:AI2217)+1,""))</f>
        <v/>
      </c>
    </row>
    <row r="2219">
      <c r="B2219" s="47" t="n"/>
      <c r="C2219" s="48" t="n"/>
      <c r="D2219" s="48" t="n"/>
      <c r="E2219" s="48" t="n"/>
      <c r="F2219" s="48" t="n"/>
      <c r="G2219" s="49" t="n"/>
      <c r="H2219" s="48" t="n"/>
      <c r="I2219" s="50" t="n"/>
      <c r="J2219" s="48" t="n"/>
      <c r="K2219" s="48" t="n"/>
      <c r="L2219" s="48" t="n"/>
      <c r="M2219" s="48" t="n"/>
      <c r="N2219" s="48" t="n"/>
      <c r="O2219" s="51">
        <f>IF(AND(B2219="",G2219="",C2219="",D2219="",J2219=""),"",IF(B2219="","⚠ Falta fecha",IF(G2219="","⚠ Falta monto",IF(Q2219="","⚠ Falta cuenta",IF(ISNA(MATCH(Q2219,ctaNombre,0)),"⚠ Cuenta no registrada",IF(AND(OR(P2219="Gasto",P2219="Reembolso"),D2219=""),"⚠ Falta categoría",IF(AND(D2219&lt;&gt;"",E2219&lt;&gt;"",ISNA(MATCH(D2219&amp;"|"&amp;E2219,catClave,0))),"⚠ Subcategoría no corresponde",IF(AND(OR(P2219="Transferencia",P2219="Pago tarjeta"),K2219=""),"⚠ Falta cuenta destino",IF(AND(K2219&lt;&gt;"",P2219&lt;&gt;"Transferencia",P2219&lt;&gt;"Pago tarjeta"),"⚠ Destino solo aplica a transferencias",IF(AND(K2219&lt;&gt;"",K2219=Q2219),"⚠ Origen igual a destino",IF(AND(K2219&lt;&gt;"",ISNA(MATCH(K2219,ctaNombre,0))),"⚠ Destino no registrado",IF(AND(P2219="Pago tarjeta",AE2219&lt;&gt;"Tarjeta de crédito"),"⚠ El destino debe ser tarjeta de crédito",IF(AND(P2219="Gasto",E2219="Depósitos y retiros"),"⚠ Usa tipo Transferencia",IF(AND(P2219="Resultado trading",AD2219&lt;&gt;"Cuenta de trading"),"⚠ Usa una cuenta de trading",IF(AND(G2219&lt;=0,P2219&lt;&gt;"Ajuste",P2219&lt;&gt;"Resultado trading"),"⚠ El monto debe ser positivo","✓")))))))))))))))</f>
        <v/>
      </c>
      <c r="P2219" s="52">
        <f>IF(OR(B2219="",G2219=""),"",IF(C2219="","Gasto",C2219))</f>
        <v/>
      </c>
      <c r="Q2219" s="52">
        <f>IF(P2219="","",IF(J2219&lt;&gt;"",J2219,CuentaPred&amp;""))</f>
        <v/>
      </c>
      <c r="R2219" s="52">
        <f>IF(P2219="","",IF(ISNUMBER(I2219),I2219,TasaUSD))</f>
        <v/>
      </c>
      <c r="S2219" s="53">
        <f>IF(P2219="","",IF(H2219="USD",G2219*R2219,G2219))</f>
        <v/>
      </c>
      <c r="T2219" s="53">
        <f>IF(P2219="","",IF(H2219="USD",G2219,IF(R2219&gt;0,G2219/R2219,0)))</f>
        <v/>
      </c>
      <c r="U2219" s="53">
        <f>IF(P2219="","",IF(P2219="Gasto",S2219,IF(P2219="Reembolso",-S2219,0)))</f>
        <v/>
      </c>
      <c r="V2219" s="53">
        <f>IF(P2219="","",IF(P2219="Ingreso",S2219,0))</f>
        <v/>
      </c>
      <c r="W2219" s="53">
        <f>IF(P2219="","",IF(P2219="Resultado trading",S2219,0))</f>
        <v/>
      </c>
      <c r="X2219" s="52">
        <f>IF(OR(P2219="Gasto",P2219="Reembolso"),IF(M2219&lt;&gt;"",M2219,IFERROR(INDEX(catClasif,MATCH(D2219&amp;"|"&amp;E2219,catClave,0))&amp;"","Variable")),"")</f>
        <v/>
      </c>
      <c r="Y2219" s="52">
        <f>IF(P2219="","",IFERROR(INDEX(catGrupo,MATCH(D2219&amp;"|"&amp;E2219,catClave,0))&amp;"",""))</f>
        <v/>
      </c>
      <c r="Z2219" s="52">
        <f>IF(P2219="","",WEEKDAY(B2219,2))</f>
        <v/>
      </c>
      <c r="AA2219" s="52">
        <f>IF(P2219="","",IF(AND(P2219="Gasto",X2219="Variable",D2219&lt;&gt;catTrading,S2219&gt;0,S2219&lt;=Umbral),1,0))</f>
        <v/>
      </c>
      <c r="AB2219" s="52">
        <f>IF(OR(P2219="",Q2219=""),"",IFERROR(IF(INDEX(ctaVinc,MATCH(Q2219,ctaNombre,0))&amp;""&lt;&gt;"",INDEX(ctaVinc,MATCH(Q2219,ctaNombre,0))&amp;"",Q2219),Q2219))</f>
        <v/>
      </c>
      <c r="AC2219" s="52">
        <f>IF(OR(K2219="",AND(P2219&lt;&gt;"Transferencia",P2219&lt;&gt;"Pago tarjeta")),"",IFERROR(IF(INDEX(ctaVinc,MATCH(K2219,ctaNombre,0))&amp;""&lt;&gt;"",INDEX(ctaVinc,MATCH(K2219,ctaNombre,0))&amp;"",K2219),K2219))</f>
        <v/>
      </c>
      <c r="AD2219" s="52">
        <f>IF(AB2219="","",IFERROR(INDEX(ctaTipo,MATCH(AB2219,ctaNombre,0))&amp;"",""))</f>
        <v/>
      </c>
      <c r="AE2219" s="52">
        <f>IF(AC2219="","",IFERROR(INDEX(ctaTipo,MATCH(AC2219,ctaNombre,0))&amp;"",""))</f>
        <v/>
      </c>
      <c r="AF2219" s="53">
        <f>IF(OR(P2219="",AB2219=""),"",IF(OR(P2219="Gasto",P2219="Transferencia",P2219="Pago tarjeta"),-1,1)*IF(IFERROR(INDEX(ctaMoneda,MATCH(AB2219,ctaNombre,0))&amp;"","DOP")="USD",T2219,S2219))</f>
        <v/>
      </c>
      <c r="AG2219" s="53">
        <f>IF(AC2219="","",IF(IFERROR(INDEX(ctaMoneda,MATCH(AC2219,ctaNombre,0))&amp;"","DOP")="USD",T2219,S2219))</f>
        <v/>
      </c>
      <c r="AH2219" s="53">
        <f>IF(P2219="","",IF(AND(AD2219&lt;&gt;"",COUNTIFS(tcTipo,AD2219,tcLiq,"Sí")&gt;0),IF(OR(P2219="Gasto",P2219="Transferencia",P2219="Pago tarjeta"),-1,1)*S2219,0)+IF(AND(AE2219&lt;&gt;"",COUNTIFS(tcTipo,AE2219,tcLiq,"Sí")&gt;0),S2219,0))</f>
        <v/>
      </c>
      <c r="AI2219" s="52">
        <f>IF(OR(L2219="",P2219=""),"",IF(COUNTIFS(L$6:L2219,L2219,P$6:P2219,"?*")=1,MAX(AI$5:AI2218)+1,""))</f>
        <v/>
      </c>
    </row>
    <row r="2220">
      <c r="B2220" s="47" t="n"/>
      <c r="C2220" s="48" t="n"/>
      <c r="D2220" s="48" t="n"/>
      <c r="E2220" s="48" t="n"/>
      <c r="F2220" s="48" t="n"/>
      <c r="G2220" s="49" t="n"/>
      <c r="H2220" s="48" t="n"/>
      <c r="I2220" s="50" t="n"/>
      <c r="J2220" s="48" t="n"/>
      <c r="K2220" s="48" t="n"/>
      <c r="L2220" s="48" t="n"/>
      <c r="M2220" s="48" t="n"/>
      <c r="N2220" s="48" t="n"/>
      <c r="O2220" s="51">
        <f>IF(AND(B2220="",G2220="",C2220="",D2220="",J2220=""),"",IF(B2220="","⚠ Falta fecha",IF(G2220="","⚠ Falta monto",IF(Q2220="","⚠ Falta cuenta",IF(ISNA(MATCH(Q2220,ctaNombre,0)),"⚠ Cuenta no registrada",IF(AND(OR(P2220="Gasto",P2220="Reembolso"),D2220=""),"⚠ Falta categoría",IF(AND(D2220&lt;&gt;"",E2220&lt;&gt;"",ISNA(MATCH(D2220&amp;"|"&amp;E2220,catClave,0))),"⚠ Subcategoría no corresponde",IF(AND(OR(P2220="Transferencia",P2220="Pago tarjeta"),K2220=""),"⚠ Falta cuenta destino",IF(AND(K2220&lt;&gt;"",P2220&lt;&gt;"Transferencia",P2220&lt;&gt;"Pago tarjeta"),"⚠ Destino solo aplica a transferencias",IF(AND(K2220&lt;&gt;"",K2220=Q2220),"⚠ Origen igual a destino",IF(AND(K2220&lt;&gt;"",ISNA(MATCH(K2220,ctaNombre,0))),"⚠ Destino no registrado",IF(AND(P2220="Pago tarjeta",AE2220&lt;&gt;"Tarjeta de crédito"),"⚠ El destino debe ser tarjeta de crédito",IF(AND(P2220="Gasto",E2220="Depósitos y retiros"),"⚠ Usa tipo Transferencia",IF(AND(P2220="Resultado trading",AD2220&lt;&gt;"Cuenta de trading"),"⚠ Usa una cuenta de trading",IF(AND(G2220&lt;=0,P2220&lt;&gt;"Ajuste",P2220&lt;&gt;"Resultado trading"),"⚠ El monto debe ser positivo","✓")))))))))))))))</f>
        <v/>
      </c>
      <c r="P2220" s="52">
        <f>IF(OR(B2220="",G2220=""),"",IF(C2220="","Gasto",C2220))</f>
        <v/>
      </c>
      <c r="Q2220" s="52">
        <f>IF(P2220="","",IF(J2220&lt;&gt;"",J2220,CuentaPred&amp;""))</f>
        <v/>
      </c>
      <c r="R2220" s="52">
        <f>IF(P2220="","",IF(ISNUMBER(I2220),I2220,TasaUSD))</f>
        <v/>
      </c>
      <c r="S2220" s="53">
        <f>IF(P2220="","",IF(H2220="USD",G2220*R2220,G2220))</f>
        <v/>
      </c>
      <c r="T2220" s="53">
        <f>IF(P2220="","",IF(H2220="USD",G2220,IF(R2220&gt;0,G2220/R2220,0)))</f>
        <v/>
      </c>
      <c r="U2220" s="53">
        <f>IF(P2220="","",IF(P2220="Gasto",S2220,IF(P2220="Reembolso",-S2220,0)))</f>
        <v/>
      </c>
      <c r="V2220" s="53">
        <f>IF(P2220="","",IF(P2220="Ingreso",S2220,0))</f>
        <v/>
      </c>
      <c r="W2220" s="53">
        <f>IF(P2220="","",IF(P2220="Resultado trading",S2220,0))</f>
        <v/>
      </c>
      <c r="X2220" s="52">
        <f>IF(OR(P2220="Gasto",P2220="Reembolso"),IF(M2220&lt;&gt;"",M2220,IFERROR(INDEX(catClasif,MATCH(D2220&amp;"|"&amp;E2220,catClave,0))&amp;"","Variable")),"")</f>
        <v/>
      </c>
      <c r="Y2220" s="52">
        <f>IF(P2220="","",IFERROR(INDEX(catGrupo,MATCH(D2220&amp;"|"&amp;E2220,catClave,0))&amp;"",""))</f>
        <v/>
      </c>
      <c r="Z2220" s="52">
        <f>IF(P2220="","",WEEKDAY(B2220,2))</f>
        <v/>
      </c>
      <c r="AA2220" s="52">
        <f>IF(P2220="","",IF(AND(P2220="Gasto",X2220="Variable",D2220&lt;&gt;catTrading,S2220&gt;0,S2220&lt;=Umbral),1,0))</f>
        <v/>
      </c>
      <c r="AB2220" s="52">
        <f>IF(OR(P2220="",Q2220=""),"",IFERROR(IF(INDEX(ctaVinc,MATCH(Q2220,ctaNombre,0))&amp;""&lt;&gt;"",INDEX(ctaVinc,MATCH(Q2220,ctaNombre,0))&amp;"",Q2220),Q2220))</f>
        <v/>
      </c>
      <c r="AC2220" s="52">
        <f>IF(OR(K2220="",AND(P2220&lt;&gt;"Transferencia",P2220&lt;&gt;"Pago tarjeta")),"",IFERROR(IF(INDEX(ctaVinc,MATCH(K2220,ctaNombre,0))&amp;""&lt;&gt;"",INDEX(ctaVinc,MATCH(K2220,ctaNombre,0))&amp;"",K2220),K2220))</f>
        <v/>
      </c>
      <c r="AD2220" s="52">
        <f>IF(AB2220="","",IFERROR(INDEX(ctaTipo,MATCH(AB2220,ctaNombre,0))&amp;"",""))</f>
        <v/>
      </c>
      <c r="AE2220" s="52">
        <f>IF(AC2220="","",IFERROR(INDEX(ctaTipo,MATCH(AC2220,ctaNombre,0))&amp;"",""))</f>
        <v/>
      </c>
      <c r="AF2220" s="53">
        <f>IF(OR(P2220="",AB2220=""),"",IF(OR(P2220="Gasto",P2220="Transferencia",P2220="Pago tarjeta"),-1,1)*IF(IFERROR(INDEX(ctaMoneda,MATCH(AB2220,ctaNombre,0))&amp;"","DOP")="USD",T2220,S2220))</f>
        <v/>
      </c>
      <c r="AG2220" s="53">
        <f>IF(AC2220="","",IF(IFERROR(INDEX(ctaMoneda,MATCH(AC2220,ctaNombre,0))&amp;"","DOP")="USD",T2220,S2220))</f>
        <v/>
      </c>
      <c r="AH2220" s="53">
        <f>IF(P2220="","",IF(AND(AD2220&lt;&gt;"",COUNTIFS(tcTipo,AD2220,tcLiq,"Sí")&gt;0),IF(OR(P2220="Gasto",P2220="Transferencia",P2220="Pago tarjeta"),-1,1)*S2220,0)+IF(AND(AE2220&lt;&gt;"",COUNTIFS(tcTipo,AE2220,tcLiq,"Sí")&gt;0),S2220,0))</f>
        <v/>
      </c>
      <c r="AI2220" s="52">
        <f>IF(OR(L2220="",P2220=""),"",IF(COUNTIFS(L$6:L2220,L2220,P$6:P2220,"?*")=1,MAX(AI$5:AI2219)+1,""))</f>
        <v/>
      </c>
    </row>
    <row r="2221">
      <c r="B2221" s="47" t="n"/>
      <c r="C2221" s="48" t="n"/>
      <c r="D2221" s="48" t="n"/>
      <c r="E2221" s="48" t="n"/>
      <c r="F2221" s="48" t="n"/>
      <c r="G2221" s="49" t="n"/>
      <c r="H2221" s="48" t="n"/>
      <c r="I2221" s="50" t="n"/>
      <c r="J2221" s="48" t="n"/>
      <c r="K2221" s="48" t="n"/>
      <c r="L2221" s="48" t="n"/>
      <c r="M2221" s="48" t="n"/>
      <c r="N2221" s="48" t="n"/>
      <c r="O2221" s="51">
        <f>IF(AND(B2221="",G2221="",C2221="",D2221="",J2221=""),"",IF(B2221="","⚠ Falta fecha",IF(G2221="","⚠ Falta monto",IF(Q2221="","⚠ Falta cuenta",IF(ISNA(MATCH(Q2221,ctaNombre,0)),"⚠ Cuenta no registrada",IF(AND(OR(P2221="Gasto",P2221="Reembolso"),D2221=""),"⚠ Falta categoría",IF(AND(D2221&lt;&gt;"",E2221&lt;&gt;"",ISNA(MATCH(D2221&amp;"|"&amp;E2221,catClave,0))),"⚠ Subcategoría no corresponde",IF(AND(OR(P2221="Transferencia",P2221="Pago tarjeta"),K2221=""),"⚠ Falta cuenta destino",IF(AND(K2221&lt;&gt;"",P2221&lt;&gt;"Transferencia",P2221&lt;&gt;"Pago tarjeta"),"⚠ Destino solo aplica a transferencias",IF(AND(K2221&lt;&gt;"",K2221=Q2221),"⚠ Origen igual a destino",IF(AND(K2221&lt;&gt;"",ISNA(MATCH(K2221,ctaNombre,0))),"⚠ Destino no registrado",IF(AND(P2221="Pago tarjeta",AE2221&lt;&gt;"Tarjeta de crédito"),"⚠ El destino debe ser tarjeta de crédito",IF(AND(P2221="Gasto",E2221="Depósitos y retiros"),"⚠ Usa tipo Transferencia",IF(AND(P2221="Resultado trading",AD2221&lt;&gt;"Cuenta de trading"),"⚠ Usa una cuenta de trading",IF(AND(G2221&lt;=0,P2221&lt;&gt;"Ajuste",P2221&lt;&gt;"Resultado trading"),"⚠ El monto debe ser positivo","✓")))))))))))))))</f>
        <v/>
      </c>
      <c r="P2221" s="52">
        <f>IF(OR(B2221="",G2221=""),"",IF(C2221="","Gasto",C2221))</f>
        <v/>
      </c>
      <c r="Q2221" s="52">
        <f>IF(P2221="","",IF(J2221&lt;&gt;"",J2221,CuentaPred&amp;""))</f>
        <v/>
      </c>
      <c r="R2221" s="52">
        <f>IF(P2221="","",IF(ISNUMBER(I2221),I2221,TasaUSD))</f>
        <v/>
      </c>
      <c r="S2221" s="53">
        <f>IF(P2221="","",IF(H2221="USD",G2221*R2221,G2221))</f>
        <v/>
      </c>
      <c r="T2221" s="53">
        <f>IF(P2221="","",IF(H2221="USD",G2221,IF(R2221&gt;0,G2221/R2221,0)))</f>
        <v/>
      </c>
      <c r="U2221" s="53">
        <f>IF(P2221="","",IF(P2221="Gasto",S2221,IF(P2221="Reembolso",-S2221,0)))</f>
        <v/>
      </c>
      <c r="V2221" s="53">
        <f>IF(P2221="","",IF(P2221="Ingreso",S2221,0))</f>
        <v/>
      </c>
      <c r="W2221" s="53">
        <f>IF(P2221="","",IF(P2221="Resultado trading",S2221,0))</f>
        <v/>
      </c>
      <c r="X2221" s="52">
        <f>IF(OR(P2221="Gasto",P2221="Reembolso"),IF(M2221&lt;&gt;"",M2221,IFERROR(INDEX(catClasif,MATCH(D2221&amp;"|"&amp;E2221,catClave,0))&amp;"","Variable")),"")</f>
        <v/>
      </c>
      <c r="Y2221" s="52">
        <f>IF(P2221="","",IFERROR(INDEX(catGrupo,MATCH(D2221&amp;"|"&amp;E2221,catClave,0))&amp;"",""))</f>
        <v/>
      </c>
      <c r="Z2221" s="52">
        <f>IF(P2221="","",WEEKDAY(B2221,2))</f>
        <v/>
      </c>
      <c r="AA2221" s="52">
        <f>IF(P2221="","",IF(AND(P2221="Gasto",X2221="Variable",D2221&lt;&gt;catTrading,S2221&gt;0,S2221&lt;=Umbral),1,0))</f>
        <v/>
      </c>
      <c r="AB2221" s="52">
        <f>IF(OR(P2221="",Q2221=""),"",IFERROR(IF(INDEX(ctaVinc,MATCH(Q2221,ctaNombre,0))&amp;""&lt;&gt;"",INDEX(ctaVinc,MATCH(Q2221,ctaNombre,0))&amp;"",Q2221),Q2221))</f>
        <v/>
      </c>
      <c r="AC2221" s="52">
        <f>IF(OR(K2221="",AND(P2221&lt;&gt;"Transferencia",P2221&lt;&gt;"Pago tarjeta")),"",IFERROR(IF(INDEX(ctaVinc,MATCH(K2221,ctaNombre,0))&amp;""&lt;&gt;"",INDEX(ctaVinc,MATCH(K2221,ctaNombre,0))&amp;"",K2221),K2221))</f>
        <v/>
      </c>
      <c r="AD2221" s="52">
        <f>IF(AB2221="","",IFERROR(INDEX(ctaTipo,MATCH(AB2221,ctaNombre,0))&amp;"",""))</f>
        <v/>
      </c>
      <c r="AE2221" s="52">
        <f>IF(AC2221="","",IFERROR(INDEX(ctaTipo,MATCH(AC2221,ctaNombre,0))&amp;"",""))</f>
        <v/>
      </c>
      <c r="AF2221" s="53">
        <f>IF(OR(P2221="",AB2221=""),"",IF(OR(P2221="Gasto",P2221="Transferencia",P2221="Pago tarjeta"),-1,1)*IF(IFERROR(INDEX(ctaMoneda,MATCH(AB2221,ctaNombre,0))&amp;"","DOP")="USD",T2221,S2221))</f>
        <v/>
      </c>
      <c r="AG2221" s="53">
        <f>IF(AC2221="","",IF(IFERROR(INDEX(ctaMoneda,MATCH(AC2221,ctaNombre,0))&amp;"","DOP")="USD",T2221,S2221))</f>
        <v/>
      </c>
      <c r="AH2221" s="53">
        <f>IF(P2221="","",IF(AND(AD2221&lt;&gt;"",COUNTIFS(tcTipo,AD2221,tcLiq,"Sí")&gt;0),IF(OR(P2221="Gasto",P2221="Transferencia",P2221="Pago tarjeta"),-1,1)*S2221,0)+IF(AND(AE2221&lt;&gt;"",COUNTIFS(tcTipo,AE2221,tcLiq,"Sí")&gt;0),S2221,0))</f>
        <v/>
      </c>
      <c r="AI2221" s="52">
        <f>IF(OR(L2221="",P2221=""),"",IF(COUNTIFS(L$6:L2221,L2221,P$6:P2221,"?*")=1,MAX(AI$5:AI2220)+1,""))</f>
        <v/>
      </c>
    </row>
    <row r="2222">
      <c r="B2222" s="47" t="n"/>
      <c r="C2222" s="48" t="n"/>
      <c r="D2222" s="48" t="n"/>
      <c r="E2222" s="48" t="n"/>
      <c r="F2222" s="48" t="n"/>
      <c r="G2222" s="49" t="n"/>
      <c r="H2222" s="48" t="n"/>
      <c r="I2222" s="50" t="n"/>
      <c r="J2222" s="48" t="n"/>
      <c r="K2222" s="48" t="n"/>
      <c r="L2222" s="48" t="n"/>
      <c r="M2222" s="48" t="n"/>
      <c r="N2222" s="48" t="n"/>
      <c r="O2222" s="51">
        <f>IF(AND(B2222="",G2222="",C2222="",D2222="",J2222=""),"",IF(B2222="","⚠ Falta fecha",IF(G2222="","⚠ Falta monto",IF(Q2222="","⚠ Falta cuenta",IF(ISNA(MATCH(Q2222,ctaNombre,0)),"⚠ Cuenta no registrada",IF(AND(OR(P2222="Gasto",P2222="Reembolso"),D2222=""),"⚠ Falta categoría",IF(AND(D2222&lt;&gt;"",E2222&lt;&gt;"",ISNA(MATCH(D2222&amp;"|"&amp;E2222,catClave,0))),"⚠ Subcategoría no corresponde",IF(AND(OR(P2222="Transferencia",P2222="Pago tarjeta"),K2222=""),"⚠ Falta cuenta destino",IF(AND(K2222&lt;&gt;"",P2222&lt;&gt;"Transferencia",P2222&lt;&gt;"Pago tarjeta"),"⚠ Destino solo aplica a transferencias",IF(AND(K2222&lt;&gt;"",K2222=Q2222),"⚠ Origen igual a destino",IF(AND(K2222&lt;&gt;"",ISNA(MATCH(K2222,ctaNombre,0))),"⚠ Destino no registrado",IF(AND(P2222="Pago tarjeta",AE2222&lt;&gt;"Tarjeta de crédito"),"⚠ El destino debe ser tarjeta de crédito",IF(AND(P2222="Gasto",E2222="Depósitos y retiros"),"⚠ Usa tipo Transferencia",IF(AND(P2222="Resultado trading",AD2222&lt;&gt;"Cuenta de trading"),"⚠ Usa una cuenta de trading",IF(AND(G2222&lt;=0,P2222&lt;&gt;"Ajuste",P2222&lt;&gt;"Resultado trading"),"⚠ El monto debe ser positivo","✓")))))))))))))))</f>
        <v/>
      </c>
      <c r="P2222" s="52">
        <f>IF(OR(B2222="",G2222=""),"",IF(C2222="","Gasto",C2222))</f>
        <v/>
      </c>
      <c r="Q2222" s="52">
        <f>IF(P2222="","",IF(J2222&lt;&gt;"",J2222,CuentaPred&amp;""))</f>
        <v/>
      </c>
      <c r="R2222" s="52">
        <f>IF(P2222="","",IF(ISNUMBER(I2222),I2222,TasaUSD))</f>
        <v/>
      </c>
      <c r="S2222" s="53">
        <f>IF(P2222="","",IF(H2222="USD",G2222*R2222,G2222))</f>
        <v/>
      </c>
      <c r="T2222" s="53">
        <f>IF(P2222="","",IF(H2222="USD",G2222,IF(R2222&gt;0,G2222/R2222,0)))</f>
        <v/>
      </c>
      <c r="U2222" s="53">
        <f>IF(P2222="","",IF(P2222="Gasto",S2222,IF(P2222="Reembolso",-S2222,0)))</f>
        <v/>
      </c>
      <c r="V2222" s="53">
        <f>IF(P2222="","",IF(P2222="Ingreso",S2222,0))</f>
        <v/>
      </c>
      <c r="W2222" s="53">
        <f>IF(P2222="","",IF(P2222="Resultado trading",S2222,0))</f>
        <v/>
      </c>
      <c r="X2222" s="52">
        <f>IF(OR(P2222="Gasto",P2222="Reembolso"),IF(M2222&lt;&gt;"",M2222,IFERROR(INDEX(catClasif,MATCH(D2222&amp;"|"&amp;E2222,catClave,0))&amp;"","Variable")),"")</f>
        <v/>
      </c>
      <c r="Y2222" s="52">
        <f>IF(P2222="","",IFERROR(INDEX(catGrupo,MATCH(D2222&amp;"|"&amp;E2222,catClave,0))&amp;"",""))</f>
        <v/>
      </c>
      <c r="Z2222" s="52">
        <f>IF(P2222="","",WEEKDAY(B2222,2))</f>
        <v/>
      </c>
      <c r="AA2222" s="52">
        <f>IF(P2222="","",IF(AND(P2222="Gasto",X2222="Variable",D2222&lt;&gt;catTrading,S2222&gt;0,S2222&lt;=Umbral),1,0))</f>
        <v/>
      </c>
      <c r="AB2222" s="52">
        <f>IF(OR(P2222="",Q2222=""),"",IFERROR(IF(INDEX(ctaVinc,MATCH(Q2222,ctaNombre,0))&amp;""&lt;&gt;"",INDEX(ctaVinc,MATCH(Q2222,ctaNombre,0))&amp;"",Q2222),Q2222))</f>
        <v/>
      </c>
      <c r="AC2222" s="52">
        <f>IF(OR(K2222="",AND(P2222&lt;&gt;"Transferencia",P2222&lt;&gt;"Pago tarjeta")),"",IFERROR(IF(INDEX(ctaVinc,MATCH(K2222,ctaNombre,0))&amp;""&lt;&gt;"",INDEX(ctaVinc,MATCH(K2222,ctaNombre,0))&amp;"",K2222),K2222))</f>
        <v/>
      </c>
      <c r="AD2222" s="52">
        <f>IF(AB2222="","",IFERROR(INDEX(ctaTipo,MATCH(AB2222,ctaNombre,0))&amp;"",""))</f>
        <v/>
      </c>
      <c r="AE2222" s="52">
        <f>IF(AC2222="","",IFERROR(INDEX(ctaTipo,MATCH(AC2222,ctaNombre,0))&amp;"",""))</f>
        <v/>
      </c>
      <c r="AF2222" s="53">
        <f>IF(OR(P2222="",AB2222=""),"",IF(OR(P2222="Gasto",P2222="Transferencia",P2222="Pago tarjeta"),-1,1)*IF(IFERROR(INDEX(ctaMoneda,MATCH(AB2222,ctaNombre,0))&amp;"","DOP")="USD",T2222,S2222))</f>
        <v/>
      </c>
      <c r="AG2222" s="53">
        <f>IF(AC2222="","",IF(IFERROR(INDEX(ctaMoneda,MATCH(AC2222,ctaNombre,0))&amp;"","DOP")="USD",T2222,S2222))</f>
        <v/>
      </c>
      <c r="AH2222" s="53">
        <f>IF(P2222="","",IF(AND(AD2222&lt;&gt;"",COUNTIFS(tcTipo,AD2222,tcLiq,"Sí")&gt;0),IF(OR(P2222="Gasto",P2222="Transferencia",P2222="Pago tarjeta"),-1,1)*S2222,0)+IF(AND(AE2222&lt;&gt;"",COUNTIFS(tcTipo,AE2222,tcLiq,"Sí")&gt;0),S2222,0))</f>
        <v/>
      </c>
      <c r="AI2222" s="52">
        <f>IF(OR(L2222="",P2222=""),"",IF(COUNTIFS(L$6:L2222,L2222,P$6:P2222,"?*")=1,MAX(AI$5:AI2221)+1,""))</f>
        <v/>
      </c>
    </row>
    <row r="2223">
      <c r="B2223" s="47" t="n"/>
      <c r="C2223" s="48" t="n"/>
      <c r="D2223" s="48" t="n"/>
      <c r="E2223" s="48" t="n"/>
      <c r="F2223" s="48" t="n"/>
      <c r="G2223" s="49" t="n"/>
      <c r="H2223" s="48" t="n"/>
      <c r="I2223" s="50" t="n"/>
      <c r="J2223" s="48" t="n"/>
      <c r="K2223" s="48" t="n"/>
      <c r="L2223" s="48" t="n"/>
      <c r="M2223" s="48" t="n"/>
      <c r="N2223" s="48" t="n"/>
      <c r="O2223" s="51">
        <f>IF(AND(B2223="",G2223="",C2223="",D2223="",J2223=""),"",IF(B2223="","⚠ Falta fecha",IF(G2223="","⚠ Falta monto",IF(Q2223="","⚠ Falta cuenta",IF(ISNA(MATCH(Q2223,ctaNombre,0)),"⚠ Cuenta no registrada",IF(AND(OR(P2223="Gasto",P2223="Reembolso"),D2223=""),"⚠ Falta categoría",IF(AND(D2223&lt;&gt;"",E2223&lt;&gt;"",ISNA(MATCH(D2223&amp;"|"&amp;E2223,catClave,0))),"⚠ Subcategoría no corresponde",IF(AND(OR(P2223="Transferencia",P2223="Pago tarjeta"),K2223=""),"⚠ Falta cuenta destino",IF(AND(K2223&lt;&gt;"",P2223&lt;&gt;"Transferencia",P2223&lt;&gt;"Pago tarjeta"),"⚠ Destino solo aplica a transferencias",IF(AND(K2223&lt;&gt;"",K2223=Q2223),"⚠ Origen igual a destino",IF(AND(K2223&lt;&gt;"",ISNA(MATCH(K2223,ctaNombre,0))),"⚠ Destino no registrado",IF(AND(P2223="Pago tarjeta",AE2223&lt;&gt;"Tarjeta de crédito"),"⚠ El destino debe ser tarjeta de crédito",IF(AND(P2223="Gasto",E2223="Depósitos y retiros"),"⚠ Usa tipo Transferencia",IF(AND(P2223="Resultado trading",AD2223&lt;&gt;"Cuenta de trading"),"⚠ Usa una cuenta de trading",IF(AND(G2223&lt;=0,P2223&lt;&gt;"Ajuste",P2223&lt;&gt;"Resultado trading"),"⚠ El monto debe ser positivo","✓")))))))))))))))</f>
        <v/>
      </c>
      <c r="P2223" s="52">
        <f>IF(OR(B2223="",G2223=""),"",IF(C2223="","Gasto",C2223))</f>
        <v/>
      </c>
      <c r="Q2223" s="52">
        <f>IF(P2223="","",IF(J2223&lt;&gt;"",J2223,CuentaPred&amp;""))</f>
        <v/>
      </c>
      <c r="R2223" s="52">
        <f>IF(P2223="","",IF(ISNUMBER(I2223),I2223,TasaUSD))</f>
        <v/>
      </c>
      <c r="S2223" s="53">
        <f>IF(P2223="","",IF(H2223="USD",G2223*R2223,G2223))</f>
        <v/>
      </c>
      <c r="T2223" s="53">
        <f>IF(P2223="","",IF(H2223="USD",G2223,IF(R2223&gt;0,G2223/R2223,0)))</f>
        <v/>
      </c>
      <c r="U2223" s="53">
        <f>IF(P2223="","",IF(P2223="Gasto",S2223,IF(P2223="Reembolso",-S2223,0)))</f>
        <v/>
      </c>
      <c r="V2223" s="53">
        <f>IF(P2223="","",IF(P2223="Ingreso",S2223,0))</f>
        <v/>
      </c>
      <c r="W2223" s="53">
        <f>IF(P2223="","",IF(P2223="Resultado trading",S2223,0))</f>
        <v/>
      </c>
      <c r="X2223" s="52">
        <f>IF(OR(P2223="Gasto",P2223="Reembolso"),IF(M2223&lt;&gt;"",M2223,IFERROR(INDEX(catClasif,MATCH(D2223&amp;"|"&amp;E2223,catClave,0))&amp;"","Variable")),"")</f>
        <v/>
      </c>
      <c r="Y2223" s="52">
        <f>IF(P2223="","",IFERROR(INDEX(catGrupo,MATCH(D2223&amp;"|"&amp;E2223,catClave,0))&amp;"",""))</f>
        <v/>
      </c>
      <c r="Z2223" s="52">
        <f>IF(P2223="","",WEEKDAY(B2223,2))</f>
        <v/>
      </c>
      <c r="AA2223" s="52">
        <f>IF(P2223="","",IF(AND(P2223="Gasto",X2223="Variable",D2223&lt;&gt;catTrading,S2223&gt;0,S2223&lt;=Umbral),1,0))</f>
        <v/>
      </c>
      <c r="AB2223" s="52">
        <f>IF(OR(P2223="",Q2223=""),"",IFERROR(IF(INDEX(ctaVinc,MATCH(Q2223,ctaNombre,0))&amp;""&lt;&gt;"",INDEX(ctaVinc,MATCH(Q2223,ctaNombre,0))&amp;"",Q2223),Q2223))</f>
        <v/>
      </c>
      <c r="AC2223" s="52">
        <f>IF(OR(K2223="",AND(P2223&lt;&gt;"Transferencia",P2223&lt;&gt;"Pago tarjeta")),"",IFERROR(IF(INDEX(ctaVinc,MATCH(K2223,ctaNombre,0))&amp;""&lt;&gt;"",INDEX(ctaVinc,MATCH(K2223,ctaNombre,0))&amp;"",K2223),K2223))</f>
        <v/>
      </c>
      <c r="AD2223" s="52">
        <f>IF(AB2223="","",IFERROR(INDEX(ctaTipo,MATCH(AB2223,ctaNombre,0))&amp;"",""))</f>
        <v/>
      </c>
      <c r="AE2223" s="52">
        <f>IF(AC2223="","",IFERROR(INDEX(ctaTipo,MATCH(AC2223,ctaNombre,0))&amp;"",""))</f>
        <v/>
      </c>
      <c r="AF2223" s="53">
        <f>IF(OR(P2223="",AB2223=""),"",IF(OR(P2223="Gasto",P2223="Transferencia",P2223="Pago tarjeta"),-1,1)*IF(IFERROR(INDEX(ctaMoneda,MATCH(AB2223,ctaNombre,0))&amp;"","DOP")="USD",T2223,S2223))</f>
        <v/>
      </c>
      <c r="AG2223" s="53">
        <f>IF(AC2223="","",IF(IFERROR(INDEX(ctaMoneda,MATCH(AC2223,ctaNombre,0))&amp;"","DOP")="USD",T2223,S2223))</f>
        <v/>
      </c>
      <c r="AH2223" s="53">
        <f>IF(P2223="","",IF(AND(AD2223&lt;&gt;"",COUNTIFS(tcTipo,AD2223,tcLiq,"Sí")&gt;0),IF(OR(P2223="Gasto",P2223="Transferencia",P2223="Pago tarjeta"),-1,1)*S2223,0)+IF(AND(AE2223&lt;&gt;"",COUNTIFS(tcTipo,AE2223,tcLiq,"Sí")&gt;0),S2223,0))</f>
        <v/>
      </c>
      <c r="AI2223" s="52">
        <f>IF(OR(L2223="",P2223=""),"",IF(COUNTIFS(L$6:L2223,L2223,P$6:P2223,"?*")=1,MAX(AI$5:AI2222)+1,""))</f>
        <v/>
      </c>
    </row>
    <row r="2224">
      <c r="B2224" s="47" t="n"/>
      <c r="C2224" s="48" t="n"/>
      <c r="D2224" s="48" t="n"/>
      <c r="E2224" s="48" t="n"/>
      <c r="F2224" s="48" t="n"/>
      <c r="G2224" s="49" t="n"/>
      <c r="H2224" s="48" t="n"/>
      <c r="I2224" s="50" t="n"/>
      <c r="J2224" s="48" t="n"/>
      <c r="K2224" s="48" t="n"/>
      <c r="L2224" s="48" t="n"/>
      <c r="M2224" s="48" t="n"/>
      <c r="N2224" s="48" t="n"/>
      <c r="O2224" s="51">
        <f>IF(AND(B2224="",G2224="",C2224="",D2224="",J2224=""),"",IF(B2224="","⚠ Falta fecha",IF(G2224="","⚠ Falta monto",IF(Q2224="","⚠ Falta cuenta",IF(ISNA(MATCH(Q2224,ctaNombre,0)),"⚠ Cuenta no registrada",IF(AND(OR(P2224="Gasto",P2224="Reembolso"),D2224=""),"⚠ Falta categoría",IF(AND(D2224&lt;&gt;"",E2224&lt;&gt;"",ISNA(MATCH(D2224&amp;"|"&amp;E2224,catClave,0))),"⚠ Subcategoría no corresponde",IF(AND(OR(P2224="Transferencia",P2224="Pago tarjeta"),K2224=""),"⚠ Falta cuenta destino",IF(AND(K2224&lt;&gt;"",P2224&lt;&gt;"Transferencia",P2224&lt;&gt;"Pago tarjeta"),"⚠ Destino solo aplica a transferencias",IF(AND(K2224&lt;&gt;"",K2224=Q2224),"⚠ Origen igual a destino",IF(AND(K2224&lt;&gt;"",ISNA(MATCH(K2224,ctaNombre,0))),"⚠ Destino no registrado",IF(AND(P2224="Pago tarjeta",AE2224&lt;&gt;"Tarjeta de crédito"),"⚠ El destino debe ser tarjeta de crédito",IF(AND(P2224="Gasto",E2224="Depósitos y retiros"),"⚠ Usa tipo Transferencia",IF(AND(P2224="Resultado trading",AD2224&lt;&gt;"Cuenta de trading"),"⚠ Usa una cuenta de trading",IF(AND(G2224&lt;=0,P2224&lt;&gt;"Ajuste",P2224&lt;&gt;"Resultado trading"),"⚠ El monto debe ser positivo","✓")))))))))))))))</f>
        <v/>
      </c>
      <c r="P2224" s="52">
        <f>IF(OR(B2224="",G2224=""),"",IF(C2224="","Gasto",C2224))</f>
        <v/>
      </c>
      <c r="Q2224" s="52">
        <f>IF(P2224="","",IF(J2224&lt;&gt;"",J2224,CuentaPred&amp;""))</f>
        <v/>
      </c>
      <c r="R2224" s="52">
        <f>IF(P2224="","",IF(ISNUMBER(I2224),I2224,TasaUSD))</f>
        <v/>
      </c>
      <c r="S2224" s="53">
        <f>IF(P2224="","",IF(H2224="USD",G2224*R2224,G2224))</f>
        <v/>
      </c>
      <c r="T2224" s="53">
        <f>IF(P2224="","",IF(H2224="USD",G2224,IF(R2224&gt;0,G2224/R2224,0)))</f>
        <v/>
      </c>
      <c r="U2224" s="53">
        <f>IF(P2224="","",IF(P2224="Gasto",S2224,IF(P2224="Reembolso",-S2224,0)))</f>
        <v/>
      </c>
      <c r="V2224" s="53">
        <f>IF(P2224="","",IF(P2224="Ingreso",S2224,0))</f>
        <v/>
      </c>
      <c r="W2224" s="53">
        <f>IF(P2224="","",IF(P2224="Resultado trading",S2224,0))</f>
        <v/>
      </c>
      <c r="X2224" s="52">
        <f>IF(OR(P2224="Gasto",P2224="Reembolso"),IF(M2224&lt;&gt;"",M2224,IFERROR(INDEX(catClasif,MATCH(D2224&amp;"|"&amp;E2224,catClave,0))&amp;"","Variable")),"")</f>
        <v/>
      </c>
      <c r="Y2224" s="52">
        <f>IF(P2224="","",IFERROR(INDEX(catGrupo,MATCH(D2224&amp;"|"&amp;E2224,catClave,0))&amp;"",""))</f>
        <v/>
      </c>
      <c r="Z2224" s="52">
        <f>IF(P2224="","",WEEKDAY(B2224,2))</f>
        <v/>
      </c>
      <c r="AA2224" s="52">
        <f>IF(P2224="","",IF(AND(P2224="Gasto",X2224="Variable",D2224&lt;&gt;catTrading,S2224&gt;0,S2224&lt;=Umbral),1,0))</f>
        <v/>
      </c>
      <c r="AB2224" s="52">
        <f>IF(OR(P2224="",Q2224=""),"",IFERROR(IF(INDEX(ctaVinc,MATCH(Q2224,ctaNombre,0))&amp;""&lt;&gt;"",INDEX(ctaVinc,MATCH(Q2224,ctaNombre,0))&amp;"",Q2224),Q2224))</f>
        <v/>
      </c>
      <c r="AC2224" s="52">
        <f>IF(OR(K2224="",AND(P2224&lt;&gt;"Transferencia",P2224&lt;&gt;"Pago tarjeta")),"",IFERROR(IF(INDEX(ctaVinc,MATCH(K2224,ctaNombre,0))&amp;""&lt;&gt;"",INDEX(ctaVinc,MATCH(K2224,ctaNombre,0))&amp;"",K2224),K2224))</f>
        <v/>
      </c>
      <c r="AD2224" s="52">
        <f>IF(AB2224="","",IFERROR(INDEX(ctaTipo,MATCH(AB2224,ctaNombre,0))&amp;"",""))</f>
        <v/>
      </c>
      <c r="AE2224" s="52">
        <f>IF(AC2224="","",IFERROR(INDEX(ctaTipo,MATCH(AC2224,ctaNombre,0))&amp;"",""))</f>
        <v/>
      </c>
      <c r="AF2224" s="53">
        <f>IF(OR(P2224="",AB2224=""),"",IF(OR(P2224="Gasto",P2224="Transferencia",P2224="Pago tarjeta"),-1,1)*IF(IFERROR(INDEX(ctaMoneda,MATCH(AB2224,ctaNombre,0))&amp;"","DOP")="USD",T2224,S2224))</f>
        <v/>
      </c>
      <c r="AG2224" s="53">
        <f>IF(AC2224="","",IF(IFERROR(INDEX(ctaMoneda,MATCH(AC2224,ctaNombre,0))&amp;"","DOP")="USD",T2224,S2224))</f>
        <v/>
      </c>
      <c r="AH2224" s="53">
        <f>IF(P2224="","",IF(AND(AD2224&lt;&gt;"",COUNTIFS(tcTipo,AD2224,tcLiq,"Sí")&gt;0),IF(OR(P2224="Gasto",P2224="Transferencia",P2224="Pago tarjeta"),-1,1)*S2224,0)+IF(AND(AE2224&lt;&gt;"",COUNTIFS(tcTipo,AE2224,tcLiq,"Sí")&gt;0),S2224,0))</f>
        <v/>
      </c>
      <c r="AI2224" s="52">
        <f>IF(OR(L2224="",P2224=""),"",IF(COUNTIFS(L$6:L2224,L2224,P$6:P2224,"?*")=1,MAX(AI$5:AI2223)+1,""))</f>
        <v/>
      </c>
    </row>
    <row r="2225">
      <c r="B2225" s="47" t="n"/>
      <c r="C2225" s="48" t="n"/>
      <c r="D2225" s="48" t="n"/>
      <c r="E2225" s="48" t="n"/>
      <c r="F2225" s="48" t="n"/>
      <c r="G2225" s="49" t="n"/>
      <c r="H2225" s="48" t="n"/>
      <c r="I2225" s="50" t="n"/>
      <c r="J2225" s="48" t="n"/>
      <c r="K2225" s="48" t="n"/>
      <c r="L2225" s="48" t="n"/>
      <c r="M2225" s="48" t="n"/>
      <c r="N2225" s="48" t="n"/>
      <c r="O2225" s="51">
        <f>IF(AND(B2225="",G2225="",C2225="",D2225="",J2225=""),"",IF(B2225="","⚠ Falta fecha",IF(G2225="","⚠ Falta monto",IF(Q2225="","⚠ Falta cuenta",IF(ISNA(MATCH(Q2225,ctaNombre,0)),"⚠ Cuenta no registrada",IF(AND(OR(P2225="Gasto",P2225="Reembolso"),D2225=""),"⚠ Falta categoría",IF(AND(D2225&lt;&gt;"",E2225&lt;&gt;"",ISNA(MATCH(D2225&amp;"|"&amp;E2225,catClave,0))),"⚠ Subcategoría no corresponde",IF(AND(OR(P2225="Transferencia",P2225="Pago tarjeta"),K2225=""),"⚠ Falta cuenta destino",IF(AND(K2225&lt;&gt;"",P2225&lt;&gt;"Transferencia",P2225&lt;&gt;"Pago tarjeta"),"⚠ Destino solo aplica a transferencias",IF(AND(K2225&lt;&gt;"",K2225=Q2225),"⚠ Origen igual a destino",IF(AND(K2225&lt;&gt;"",ISNA(MATCH(K2225,ctaNombre,0))),"⚠ Destino no registrado",IF(AND(P2225="Pago tarjeta",AE2225&lt;&gt;"Tarjeta de crédito"),"⚠ El destino debe ser tarjeta de crédito",IF(AND(P2225="Gasto",E2225="Depósitos y retiros"),"⚠ Usa tipo Transferencia",IF(AND(P2225="Resultado trading",AD2225&lt;&gt;"Cuenta de trading"),"⚠ Usa una cuenta de trading",IF(AND(G2225&lt;=0,P2225&lt;&gt;"Ajuste",P2225&lt;&gt;"Resultado trading"),"⚠ El monto debe ser positivo","✓")))))))))))))))</f>
        <v/>
      </c>
      <c r="P2225" s="52">
        <f>IF(OR(B2225="",G2225=""),"",IF(C2225="","Gasto",C2225))</f>
        <v/>
      </c>
      <c r="Q2225" s="52">
        <f>IF(P2225="","",IF(J2225&lt;&gt;"",J2225,CuentaPred&amp;""))</f>
        <v/>
      </c>
      <c r="R2225" s="52">
        <f>IF(P2225="","",IF(ISNUMBER(I2225),I2225,TasaUSD))</f>
        <v/>
      </c>
      <c r="S2225" s="53">
        <f>IF(P2225="","",IF(H2225="USD",G2225*R2225,G2225))</f>
        <v/>
      </c>
      <c r="T2225" s="53">
        <f>IF(P2225="","",IF(H2225="USD",G2225,IF(R2225&gt;0,G2225/R2225,0)))</f>
        <v/>
      </c>
      <c r="U2225" s="53">
        <f>IF(P2225="","",IF(P2225="Gasto",S2225,IF(P2225="Reembolso",-S2225,0)))</f>
        <v/>
      </c>
      <c r="V2225" s="53">
        <f>IF(P2225="","",IF(P2225="Ingreso",S2225,0))</f>
        <v/>
      </c>
      <c r="W2225" s="53">
        <f>IF(P2225="","",IF(P2225="Resultado trading",S2225,0))</f>
        <v/>
      </c>
      <c r="X2225" s="52">
        <f>IF(OR(P2225="Gasto",P2225="Reembolso"),IF(M2225&lt;&gt;"",M2225,IFERROR(INDEX(catClasif,MATCH(D2225&amp;"|"&amp;E2225,catClave,0))&amp;"","Variable")),"")</f>
        <v/>
      </c>
      <c r="Y2225" s="52">
        <f>IF(P2225="","",IFERROR(INDEX(catGrupo,MATCH(D2225&amp;"|"&amp;E2225,catClave,0))&amp;"",""))</f>
        <v/>
      </c>
      <c r="Z2225" s="52">
        <f>IF(P2225="","",WEEKDAY(B2225,2))</f>
        <v/>
      </c>
      <c r="AA2225" s="52">
        <f>IF(P2225="","",IF(AND(P2225="Gasto",X2225="Variable",D2225&lt;&gt;catTrading,S2225&gt;0,S2225&lt;=Umbral),1,0))</f>
        <v/>
      </c>
      <c r="AB2225" s="52">
        <f>IF(OR(P2225="",Q2225=""),"",IFERROR(IF(INDEX(ctaVinc,MATCH(Q2225,ctaNombre,0))&amp;""&lt;&gt;"",INDEX(ctaVinc,MATCH(Q2225,ctaNombre,0))&amp;"",Q2225),Q2225))</f>
        <v/>
      </c>
      <c r="AC2225" s="52">
        <f>IF(OR(K2225="",AND(P2225&lt;&gt;"Transferencia",P2225&lt;&gt;"Pago tarjeta")),"",IFERROR(IF(INDEX(ctaVinc,MATCH(K2225,ctaNombre,0))&amp;""&lt;&gt;"",INDEX(ctaVinc,MATCH(K2225,ctaNombre,0))&amp;"",K2225),K2225))</f>
        <v/>
      </c>
      <c r="AD2225" s="52">
        <f>IF(AB2225="","",IFERROR(INDEX(ctaTipo,MATCH(AB2225,ctaNombre,0))&amp;"",""))</f>
        <v/>
      </c>
      <c r="AE2225" s="52">
        <f>IF(AC2225="","",IFERROR(INDEX(ctaTipo,MATCH(AC2225,ctaNombre,0))&amp;"",""))</f>
        <v/>
      </c>
      <c r="AF2225" s="53">
        <f>IF(OR(P2225="",AB2225=""),"",IF(OR(P2225="Gasto",P2225="Transferencia",P2225="Pago tarjeta"),-1,1)*IF(IFERROR(INDEX(ctaMoneda,MATCH(AB2225,ctaNombre,0))&amp;"","DOP")="USD",T2225,S2225))</f>
        <v/>
      </c>
      <c r="AG2225" s="53">
        <f>IF(AC2225="","",IF(IFERROR(INDEX(ctaMoneda,MATCH(AC2225,ctaNombre,0))&amp;"","DOP")="USD",T2225,S2225))</f>
        <v/>
      </c>
      <c r="AH2225" s="53">
        <f>IF(P2225="","",IF(AND(AD2225&lt;&gt;"",COUNTIFS(tcTipo,AD2225,tcLiq,"Sí")&gt;0),IF(OR(P2225="Gasto",P2225="Transferencia",P2225="Pago tarjeta"),-1,1)*S2225,0)+IF(AND(AE2225&lt;&gt;"",COUNTIFS(tcTipo,AE2225,tcLiq,"Sí")&gt;0),S2225,0))</f>
        <v/>
      </c>
      <c r="AI2225" s="52">
        <f>IF(OR(L2225="",P2225=""),"",IF(COUNTIFS(L$6:L2225,L2225,P$6:P2225,"?*")=1,MAX(AI$5:AI2224)+1,""))</f>
        <v/>
      </c>
    </row>
    <row r="2226">
      <c r="B2226" s="47" t="n"/>
      <c r="C2226" s="48" t="n"/>
      <c r="D2226" s="48" t="n"/>
      <c r="E2226" s="48" t="n"/>
      <c r="F2226" s="48" t="n"/>
      <c r="G2226" s="49" t="n"/>
      <c r="H2226" s="48" t="n"/>
      <c r="I2226" s="50" t="n"/>
      <c r="J2226" s="48" t="n"/>
      <c r="K2226" s="48" t="n"/>
      <c r="L2226" s="48" t="n"/>
      <c r="M2226" s="48" t="n"/>
      <c r="N2226" s="48" t="n"/>
      <c r="O2226" s="51">
        <f>IF(AND(B2226="",G2226="",C2226="",D2226="",J2226=""),"",IF(B2226="","⚠ Falta fecha",IF(G2226="","⚠ Falta monto",IF(Q2226="","⚠ Falta cuenta",IF(ISNA(MATCH(Q2226,ctaNombre,0)),"⚠ Cuenta no registrada",IF(AND(OR(P2226="Gasto",P2226="Reembolso"),D2226=""),"⚠ Falta categoría",IF(AND(D2226&lt;&gt;"",E2226&lt;&gt;"",ISNA(MATCH(D2226&amp;"|"&amp;E2226,catClave,0))),"⚠ Subcategoría no corresponde",IF(AND(OR(P2226="Transferencia",P2226="Pago tarjeta"),K2226=""),"⚠ Falta cuenta destino",IF(AND(K2226&lt;&gt;"",P2226&lt;&gt;"Transferencia",P2226&lt;&gt;"Pago tarjeta"),"⚠ Destino solo aplica a transferencias",IF(AND(K2226&lt;&gt;"",K2226=Q2226),"⚠ Origen igual a destino",IF(AND(K2226&lt;&gt;"",ISNA(MATCH(K2226,ctaNombre,0))),"⚠ Destino no registrado",IF(AND(P2226="Pago tarjeta",AE2226&lt;&gt;"Tarjeta de crédito"),"⚠ El destino debe ser tarjeta de crédito",IF(AND(P2226="Gasto",E2226="Depósitos y retiros"),"⚠ Usa tipo Transferencia",IF(AND(P2226="Resultado trading",AD2226&lt;&gt;"Cuenta de trading"),"⚠ Usa una cuenta de trading",IF(AND(G2226&lt;=0,P2226&lt;&gt;"Ajuste",P2226&lt;&gt;"Resultado trading"),"⚠ El monto debe ser positivo","✓")))))))))))))))</f>
        <v/>
      </c>
      <c r="P2226" s="52">
        <f>IF(OR(B2226="",G2226=""),"",IF(C2226="","Gasto",C2226))</f>
        <v/>
      </c>
      <c r="Q2226" s="52">
        <f>IF(P2226="","",IF(J2226&lt;&gt;"",J2226,CuentaPred&amp;""))</f>
        <v/>
      </c>
      <c r="R2226" s="52">
        <f>IF(P2226="","",IF(ISNUMBER(I2226),I2226,TasaUSD))</f>
        <v/>
      </c>
      <c r="S2226" s="53">
        <f>IF(P2226="","",IF(H2226="USD",G2226*R2226,G2226))</f>
        <v/>
      </c>
      <c r="T2226" s="53">
        <f>IF(P2226="","",IF(H2226="USD",G2226,IF(R2226&gt;0,G2226/R2226,0)))</f>
        <v/>
      </c>
      <c r="U2226" s="53">
        <f>IF(P2226="","",IF(P2226="Gasto",S2226,IF(P2226="Reembolso",-S2226,0)))</f>
        <v/>
      </c>
      <c r="V2226" s="53">
        <f>IF(P2226="","",IF(P2226="Ingreso",S2226,0))</f>
        <v/>
      </c>
      <c r="W2226" s="53">
        <f>IF(P2226="","",IF(P2226="Resultado trading",S2226,0))</f>
        <v/>
      </c>
      <c r="X2226" s="52">
        <f>IF(OR(P2226="Gasto",P2226="Reembolso"),IF(M2226&lt;&gt;"",M2226,IFERROR(INDEX(catClasif,MATCH(D2226&amp;"|"&amp;E2226,catClave,0))&amp;"","Variable")),"")</f>
        <v/>
      </c>
      <c r="Y2226" s="52">
        <f>IF(P2226="","",IFERROR(INDEX(catGrupo,MATCH(D2226&amp;"|"&amp;E2226,catClave,0))&amp;"",""))</f>
        <v/>
      </c>
      <c r="Z2226" s="52">
        <f>IF(P2226="","",WEEKDAY(B2226,2))</f>
        <v/>
      </c>
      <c r="AA2226" s="52">
        <f>IF(P2226="","",IF(AND(P2226="Gasto",X2226="Variable",D2226&lt;&gt;catTrading,S2226&gt;0,S2226&lt;=Umbral),1,0))</f>
        <v/>
      </c>
      <c r="AB2226" s="52">
        <f>IF(OR(P2226="",Q2226=""),"",IFERROR(IF(INDEX(ctaVinc,MATCH(Q2226,ctaNombre,0))&amp;""&lt;&gt;"",INDEX(ctaVinc,MATCH(Q2226,ctaNombre,0))&amp;"",Q2226),Q2226))</f>
        <v/>
      </c>
      <c r="AC2226" s="52">
        <f>IF(OR(K2226="",AND(P2226&lt;&gt;"Transferencia",P2226&lt;&gt;"Pago tarjeta")),"",IFERROR(IF(INDEX(ctaVinc,MATCH(K2226,ctaNombre,0))&amp;""&lt;&gt;"",INDEX(ctaVinc,MATCH(K2226,ctaNombre,0))&amp;"",K2226),K2226))</f>
        <v/>
      </c>
      <c r="AD2226" s="52">
        <f>IF(AB2226="","",IFERROR(INDEX(ctaTipo,MATCH(AB2226,ctaNombre,0))&amp;"",""))</f>
        <v/>
      </c>
      <c r="AE2226" s="52">
        <f>IF(AC2226="","",IFERROR(INDEX(ctaTipo,MATCH(AC2226,ctaNombre,0))&amp;"",""))</f>
        <v/>
      </c>
      <c r="AF2226" s="53">
        <f>IF(OR(P2226="",AB2226=""),"",IF(OR(P2226="Gasto",P2226="Transferencia",P2226="Pago tarjeta"),-1,1)*IF(IFERROR(INDEX(ctaMoneda,MATCH(AB2226,ctaNombre,0))&amp;"","DOP")="USD",T2226,S2226))</f>
        <v/>
      </c>
      <c r="AG2226" s="53">
        <f>IF(AC2226="","",IF(IFERROR(INDEX(ctaMoneda,MATCH(AC2226,ctaNombre,0))&amp;"","DOP")="USD",T2226,S2226))</f>
        <v/>
      </c>
      <c r="AH2226" s="53">
        <f>IF(P2226="","",IF(AND(AD2226&lt;&gt;"",COUNTIFS(tcTipo,AD2226,tcLiq,"Sí")&gt;0),IF(OR(P2226="Gasto",P2226="Transferencia",P2226="Pago tarjeta"),-1,1)*S2226,0)+IF(AND(AE2226&lt;&gt;"",COUNTIFS(tcTipo,AE2226,tcLiq,"Sí")&gt;0),S2226,0))</f>
        <v/>
      </c>
      <c r="AI2226" s="52">
        <f>IF(OR(L2226="",P2226=""),"",IF(COUNTIFS(L$6:L2226,L2226,P$6:P2226,"?*")=1,MAX(AI$5:AI2225)+1,""))</f>
        <v/>
      </c>
    </row>
    <row r="2227">
      <c r="B2227" s="47" t="n"/>
      <c r="C2227" s="48" t="n"/>
      <c r="D2227" s="48" t="n"/>
      <c r="E2227" s="48" t="n"/>
      <c r="F2227" s="48" t="n"/>
      <c r="G2227" s="49" t="n"/>
      <c r="H2227" s="48" t="n"/>
      <c r="I2227" s="50" t="n"/>
      <c r="J2227" s="48" t="n"/>
      <c r="K2227" s="48" t="n"/>
      <c r="L2227" s="48" t="n"/>
      <c r="M2227" s="48" t="n"/>
      <c r="N2227" s="48" t="n"/>
      <c r="O2227" s="51">
        <f>IF(AND(B2227="",G2227="",C2227="",D2227="",J2227=""),"",IF(B2227="","⚠ Falta fecha",IF(G2227="","⚠ Falta monto",IF(Q2227="","⚠ Falta cuenta",IF(ISNA(MATCH(Q2227,ctaNombre,0)),"⚠ Cuenta no registrada",IF(AND(OR(P2227="Gasto",P2227="Reembolso"),D2227=""),"⚠ Falta categoría",IF(AND(D2227&lt;&gt;"",E2227&lt;&gt;"",ISNA(MATCH(D2227&amp;"|"&amp;E2227,catClave,0))),"⚠ Subcategoría no corresponde",IF(AND(OR(P2227="Transferencia",P2227="Pago tarjeta"),K2227=""),"⚠ Falta cuenta destino",IF(AND(K2227&lt;&gt;"",P2227&lt;&gt;"Transferencia",P2227&lt;&gt;"Pago tarjeta"),"⚠ Destino solo aplica a transferencias",IF(AND(K2227&lt;&gt;"",K2227=Q2227),"⚠ Origen igual a destino",IF(AND(K2227&lt;&gt;"",ISNA(MATCH(K2227,ctaNombre,0))),"⚠ Destino no registrado",IF(AND(P2227="Pago tarjeta",AE2227&lt;&gt;"Tarjeta de crédito"),"⚠ El destino debe ser tarjeta de crédito",IF(AND(P2227="Gasto",E2227="Depósitos y retiros"),"⚠ Usa tipo Transferencia",IF(AND(P2227="Resultado trading",AD2227&lt;&gt;"Cuenta de trading"),"⚠ Usa una cuenta de trading",IF(AND(G2227&lt;=0,P2227&lt;&gt;"Ajuste",P2227&lt;&gt;"Resultado trading"),"⚠ El monto debe ser positivo","✓")))))))))))))))</f>
        <v/>
      </c>
      <c r="P2227" s="52">
        <f>IF(OR(B2227="",G2227=""),"",IF(C2227="","Gasto",C2227))</f>
        <v/>
      </c>
      <c r="Q2227" s="52">
        <f>IF(P2227="","",IF(J2227&lt;&gt;"",J2227,CuentaPred&amp;""))</f>
        <v/>
      </c>
      <c r="R2227" s="52">
        <f>IF(P2227="","",IF(ISNUMBER(I2227),I2227,TasaUSD))</f>
        <v/>
      </c>
      <c r="S2227" s="53">
        <f>IF(P2227="","",IF(H2227="USD",G2227*R2227,G2227))</f>
        <v/>
      </c>
      <c r="T2227" s="53">
        <f>IF(P2227="","",IF(H2227="USD",G2227,IF(R2227&gt;0,G2227/R2227,0)))</f>
        <v/>
      </c>
      <c r="U2227" s="53">
        <f>IF(P2227="","",IF(P2227="Gasto",S2227,IF(P2227="Reembolso",-S2227,0)))</f>
        <v/>
      </c>
      <c r="V2227" s="53">
        <f>IF(P2227="","",IF(P2227="Ingreso",S2227,0))</f>
        <v/>
      </c>
      <c r="W2227" s="53">
        <f>IF(P2227="","",IF(P2227="Resultado trading",S2227,0))</f>
        <v/>
      </c>
      <c r="X2227" s="52">
        <f>IF(OR(P2227="Gasto",P2227="Reembolso"),IF(M2227&lt;&gt;"",M2227,IFERROR(INDEX(catClasif,MATCH(D2227&amp;"|"&amp;E2227,catClave,0))&amp;"","Variable")),"")</f>
        <v/>
      </c>
      <c r="Y2227" s="52">
        <f>IF(P2227="","",IFERROR(INDEX(catGrupo,MATCH(D2227&amp;"|"&amp;E2227,catClave,0))&amp;"",""))</f>
        <v/>
      </c>
      <c r="Z2227" s="52">
        <f>IF(P2227="","",WEEKDAY(B2227,2))</f>
        <v/>
      </c>
      <c r="AA2227" s="52">
        <f>IF(P2227="","",IF(AND(P2227="Gasto",X2227="Variable",D2227&lt;&gt;catTrading,S2227&gt;0,S2227&lt;=Umbral),1,0))</f>
        <v/>
      </c>
      <c r="AB2227" s="52">
        <f>IF(OR(P2227="",Q2227=""),"",IFERROR(IF(INDEX(ctaVinc,MATCH(Q2227,ctaNombre,0))&amp;""&lt;&gt;"",INDEX(ctaVinc,MATCH(Q2227,ctaNombre,0))&amp;"",Q2227),Q2227))</f>
        <v/>
      </c>
      <c r="AC2227" s="52">
        <f>IF(OR(K2227="",AND(P2227&lt;&gt;"Transferencia",P2227&lt;&gt;"Pago tarjeta")),"",IFERROR(IF(INDEX(ctaVinc,MATCH(K2227,ctaNombre,0))&amp;""&lt;&gt;"",INDEX(ctaVinc,MATCH(K2227,ctaNombre,0))&amp;"",K2227),K2227))</f>
        <v/>
      </c>
      <c r="AD2227" s="52">
        <f>IF(AB2227="","",IFERROR(INDEX(ctaTipo,MATCH(AB2227,ctaNombre,0))&amp;"",""))</f>
        <v/>
      </c>
      <c r="AE2227" s="52">
        <f>IF(AC2227="","",IFERROR(INDEX(ctaTipo,MATCH(AC2227,ctaNombre,0))&amp;"",""))</f>
        <v/>
      </c>
      <c r="AF2227" s="53">
        <f>IF(OR(P2227="",AB2227=""),"",IF(OR(P2227="Gasto",P2227="Transferencia",P2227="Pago tarjeta"),-1,1)*IF(IFERROR(INDEX(ctaMoneda,MATCH(AB2227,ctaNombre,0))&amp;"","DOP")="USD",T2227,S2227))</f>
        <v/>
      </c>
      <c r="AG2227" s="53">
        <f>IF(AC2227="","",IF(IFERROR(INDEX(ctaMoneda,MATCH(AC2227,ctaNombre,0))&amp;"","DOP")="USD",T2227,S2227))</f>
        <v/>
      </c>
      <c r="AH2227" s="53">
        <f>IF(P2227="","",IF(AND(AD2227&lt;&gt;"",COUNTIFS(tcTipo,AD2227,tcLiq,"Sí")&gt;0),IF(OR(P2227="Gasto",P2227="Transferencia",P2227="Pago tarjeta"),-1,1)*S2227,0)+IF(AND(AE2227&lt;&gt;"",COUNTIFS(tcTipo,AE2227,tcLiq,"Sí")&gt;0),S2227,0))</f>
        <v/>
      </c>
      <c r="AI2227" s="52">
        <f>IF(OR(L2227="",P2227=""),"",IF(COUNTIFS(L$6:L2227,L2227,P$6:P2227,"?*")=1,MAX(AI$5:AI2226)+1,""))</f>
        <v/>
      </c>
    </row>
    <row r="2228">
      <c r="B2228" s="47" t="n"/>
      <c r="C2228" s="48" t="n"/>
      <c r="D2228" s="48" t="n"/>
      <c r="E2228" s="48" t="n"/>
      <c r="F2228" s="48" t="n"/>
      <c r="G2228" s="49" t="n"/>
      <c r="H2228" s="48" t="n"/>
      <c r="I2228" s="50" t="n"/>
      <c r="J2228" s="48" t="n"/>
      <c r="K2228" s="48" t="n"/>
      <c r="L2228" s="48" t="n"/>
      <c r="M2228" s="48" t="n"/>
      <c r="N2228" s="48" t="n"/>
      <c r="O2228" s="51">
        <f>IF(AND(B2228="",G2228="",C2228="",D2228="",J2228=""),"",IF(B2228="","⚠ Falta fecha",IF(G2228="","⚠ Falta monto",IF(Q2228="","⚠ Falta cuenta",IF(ISNA(MATCH(Q2228,ctaNombre,0)),"⚠ Cuenta no registrada",IF(AND(OR(P2228="Gasto",P2228="Reembolso"),D2228=""),"⚠ Falta categoría",IF(AND(D2228&lt;&gt;"",E2228&lt;&gt;"",ISNA(MATCH(D2228&amp;"|"&amp;E2228,catClave,0))),"⚠ Subcategoría no corresponde",IF(AND(OR(P2228="Transferencia",P2228="Pago tarjeta"),K2228=""),"⚠ Falta cuenta destino",IF(AND(K2228&lt;&gt;"",P2228&lt;&gt;"Transferencia",P2228&lt;&gt;"Pago tarjeta"),"⚠ Destino solo aplica a transferencias",IF(AND(K2228&lt;&gt;"",K2228=Q2228),"⚠ Origen igual a destino",IF(AND(K2228&lt;&gt;"",ISNA(MATCH(K2228,ctaNombre,0))),"⚠ Destino no registrado",IF(AND(P2228="Pago tarjeta",AE2228&lt;&gt;"Tarjeta de crédito"),"⚠ El destino debe ser tarjeta de crédito",IF(AND(P2228="Gasto",E2228="Depósitos y retiros"),"⚠ Usa tipo Transferencia",IF(AND(P2228="Resultado trading",AD2228&lt;&gt;"Cuenta de trading"),"⚠ Usa una cuenta de trading",IF(AND(G2228&lt;=0,P2228&lt;&gt;"Ajuste",P2228&lt;&gt;"Resultado trading"),"⚠ El monto debe ser positivo","✓")))))))))))))))</f>
        <v/>
      </c>
      <c r="P2228" s="52">
        <f>IF(OR(B2228="",G2228=""),"",IF(C2228="","Gasto",C2228))</f>
        <v/>
      </c>
      <c r="Q2228" s="52">
        <f>IF(P2228="","",IF(J2228&lt;&gt;"",J2228,CuentaPred&amp;""))</f>
        <v/>
      </c>
      <c r="R2228" s="52">
        <f>IF(P2228="","",IF(ISNUMBER(I2228),I2228,TasaUSD))</f>
        <v/>
      </c>
      <c r="S2228" s="53">
        <f>IF(P2228="","",IF(H2228="USD",G2228*R2228,G2228))</f>
        <v/>
      </c>
      <c r="T2228" s="53">
        <f>IF(P2228="","",IF(H2228="USD",G2228,IF(R2228&gt;0,G2228/R2228,0)))</f>
        <v/>
      </c>
      <c r="U2228" s="53">
        <f>IF(P2228="","",IF(P2228="Gasto",S2228,IF(P2228="Reembolso",-S2228,0)))</f>
        <v/>
      </c>
      <c r="V2228" s="53">
        <f>IF(P2228="","",IF(P2228="Ingreso",S2228,0))</f>
        <v/>
      </c>
      <c r="W2228" s="53">
        <f>IF(P2228="","",IF(P2228="Resultado trading",S2228,0))</f>
        <v/>
      </c>
      <c r="X2228" s="52">
        <f>IF(OR(P2228="Gasto",P2228="Reembolso"),IF(M2228&lt;&gt;"",M2228,IFERROR(INDEX(catClasif,MATCH(D2228&amp;"|"&amp;E2228,catClave,0))&amp;"","Variable")),"")</f>
        <v/>
      </c>
      <c r="Y2228" s="52">
        <f>IF(P2228="","",IFERROR(INDEX(catGrupo,MATCH(D2228&amp;"|"&amp;E2228,catClave,0))&amp;"",""))</f>
        <v/>
      </c>
      <c r="Z2228" s="52">
        <f>IF(P2228="","",WEEKDAY(B2228,2))</f>
        <v/>
      </c>
      <c r="AA2228" s="52">
        <f>IF(P2228="","",IF(AND(P2228="Gasto",X2228="Variable",D2228&lt;&gt;catTrading,S2228&gt;0,S2228&lt;=Umbral),1,0))</f>
        <v/>
      </c>
      <c r="AB2228" s="52">
        <f>IF(OR(P2228="",Q2228=""),"",IFERROR(IF(INDEX(ctaVinc,MATCH(Q2228,ctaNombre,0))&amp;""&lt;&gt;"",INDEX(ctaVinc,MATCH(Q2228,ctaNombre,0))&amp;"",Q2228),Q2228))</f>
        <v/>
      </c>
      <c r="AC2228" s="52">
        <f>IF(OR(K2228="",AND(P2228&lt;&gt;"Transferencia",P2228&lt;&gt;"Pago tarjeta")),"",IFERROR(IF(INDEX(ctaVinc,MATCH(K2228,ctaNombre,0))&amp;""&lt;&gt;"",INDEX(ctaVinc,MATCH(K2228,ctaNombre,0))&amp;"",K2228),K2228))</f>
        <v/>
      </c>
      <c r="AD2228" s="52">
        <f>IF(AB2228="","",IFERROR(INDEX(ctaTipo,MATCH(AB2228,ctaNombre,0))&amp;"",""))</f>
        <v/>
      </c>
      <c r="AE2228" s="52">
        <f>IF(AC2228="","",IFERROR(INDEX(ctaTipo,MATCH(AC2228,ctaNombre,0))&amp;"",""))</f>
        <v/>
      </c>
      <c r="AF2228" s="53">
        <f>IF(OR(P2228="",AB2228=""),"",IF(OR(P2228="Gasto",P2228="Transferencia",P2228="Pago tarjeta"),-1,1)*IF(IFERROR(INDEX(ctaMoneda,MATCH(AB2228,ctaNombre,0))&amp;"","DOP")="USD",T2228,S2228))</f>
        <v/>
      </c>
      <c r="AG2228" s="53">
        <f>IF(AC2228="","",IF(IFERROR(INDEX(ctaMoneda,MATCH(AC2228,ctaNombre,0))&amp;"","DOP")="USD",T2228,S2228))</f>
        <v/>
      </c>
      <c r="AH2228" s="53">
        <f>IF(P2228="","",IF(AND(AD2228&lt;&gt;"",COUNTIFS(tcTipo,AD2228,tcLiq,"Sí")&gt;0),IF(OR(P2228="Gasto",P2228="Transferencia",P2228="Pago tarjeta"),-1,1)*S2228,0)+IF(AND(AE2228&lt;&gt;"",COUNTIFS(tcTipo,AE2228,tcLiq,"Sí")&gt;0),S2228,0))</f>
        <v/>
      </c>
      <c r="AI2228" s="52">
        <f>IF(OR(L2228="",P2228=""),"",IF(COUNTIFS(L$6:L2228,L2228,P$6:P2228,"?*")=1,MAX(AI$5:AI2227)+1,""))</f>
        <v/>
      </c>
    </row>
    <row r="2229">
      <c r="B2229" s="47" t="n"/>
      <c r="C2229" s="48" t="n"/>
      <c r="D2229" s="48" t="n"/>
      <c r="E2229" s="48" t="n"/>
      <c r="F2229" s="48" t="n"/>
      <c r="G2229" s="49" t="n"/>
      <c r="H2229" s="48" t="n"/>
      <c r="I2229" s="50" t="n"/>
      <c r="J2229" s="48" t="n"/>
      <c r="K2229" s="48" t="n"/>
      <c r="L2229" s="48" t="n"/>
      <c r="M2229" s="48" t="n"/>
      <c r="N2229" s="48" t="n"/>
      <c r="O2229" s="51">
        <f>IF(AND(B2229="",G2229="",C2229="",D2229="",J2229=""),"",IF(B2229="","⚠ Falta fecha",IF(G2229="","⚠ Falta monto",IF(Q2229="","⚠ Falta cuenta",IF(ISNA(MATCH(Q2229,ctaNombre,0)),"⚠ Cuenta no registrada",IF(AND(OR(P2229="Gasto",P2229="Reembolso"),D2229=""),"⚠ Falta categoría",IF(AND(D2229&lt;&gt;"",E2229&lt;&gt;"",ISNA(MATCH(D2229&amp;"|"&amp;E2229,catClave,0))),"⚠ Subcategoría no corresponde",IF(AND(OR(P2229="Transferencia",P2229="Pago tarjeta"),K2229=""),"⚠ Falta cuenta destino",IF(AND(K2229&lt;&gt;"",P2229&lt;&gt;"Transferencia",P2229&lt;&gt;"Pago tarjeta"),"⚠ Destino solo aplica a transferencias",IF(AND(K2229&lt;&gt;"",K2229=Q2229),"⚠ Origen igual a destino",IF(AND(K2229&lt;&gt;"",ISNA(MATCH(K2229,ctaNombre,0))),"⚠ Destino no registrado",IF(AND(P2229="Pago tarjeta",AE2229&lt;&gt;"Tarjeta de crédito"),"⚠ El destino debe ser tarjeta de crédito",IF(AND(P2229="Gasto",E2229="Depósitos y retiros"),"⚠ Usa tipo Transferencia",IF(AND(P2229="Resultado trading",AD2229&lt;&gt;"Cuenta de trading"),"⚠ Usa una cuenta de trading",IF(AND(G2229&lt;=0,P2229&lt;&gt;"Ajuste",P2229&lt;&gt;"Resultado trading"),"⚠ El monto debe ser positivo","✓")))))))))))))))</f>
        <v/>
      </c>
      <c r="P2229" s="52">
        <f>IF(OR(B2229="",G2229=""),"",IF(C2229="","Gasto",C2229))</f>
        <v/>
      </c>
      <c r="Q2229" s="52">
        <f>IF(P2229="","",IF(J2229&lt;&gt;"",J2229,CuentaPred&amp;""))</f>
        <v/>
      </c>
      <c r="R2229" s="52">
        <f>IF(P2229="","",IF(ISNUMBER(I2229),I2229,TasaUSD))</f>
        <v/>
      </c>
      <c r="S2229" s="53">
        <f>IF(P2229="","",IF(H2229="USD",G2229*R2229,G2229))</f>
        <v/>
      </c>
      <c r="T2229" s="53">
        <f>IF(P2229="","",IF(H2229="USD",G2229,IF(R2229&gt;0,G2229/R2229,0)))</f>
        <v/>
      </c>
      <c r="U2229" s="53">
        <f>IF(P2229="","",IF(P2229="Gasto",S2229,IF(P2229="Reembolso",-S2229,0)))</f>
        <v/>
      </c>
      <c r="V2229" s="53">
        <f>IF(P2229="","",IF(P2229="Ingreso",S2229,0))</f>
        <v/>
      </c>
      <c r="W2229" s="53">
        <f>IF(P2229="","",IF(P2229="Resultado trading",S2229,0))</f>
        <v/>
      </c>
      <c r="X2229" s="52">
        <f>IF(OR(P2229="Gasto",P2229="Reembolso"),IF(M2229&lt;&gt;"",M2229,IFERROR(INDEX(catClasif,MATCH(D2229&amp;"|"&amp;E2229,catClave,0))&amp;"","Variable")),"")</f>
        <v/>
      </c>
      <c r="Y2229" s="52">
        <f>IF(P2229="","",IFERROR(INDEX(catGrupo,MATCH(D2229&amp;"|"&amp;E2229,catClave,0))&amp;"",""))</f>
        <v/>
      </c>
      <c r="Z2229" s="52">
        <f>IF(P2229="","",WEEKDAY(B2229,2))</f>
        <v/>
      </c>
      <c r="AA2229" s="52">
        <f>IF(P2229="","",IF(AND(P2229="Gasto",X2229="Variable",D2229&lt;&gt;catTrading,S2229&gt;0,S2229&lt;=Umbral),1,0))</f>
        <v/>
      </c>
      <c r="AB2229" s="52">
        <f>IF(OR(P2229="",Q2229=""),"",IFERROR(IF(INDEX(ctaVinc,MATCH(Q2229,ctaNombre,0))&amp;""&lt;&gt;"",INDEX(ctaVinc,MATCH(Q2229,ctaNombre,0))&amp;"",Q2229),Q2229))</f>
        <v/>
      </c>
      <c r="AC2229" s="52">
        <f>IF(OR(K2229="",AND(P2229&lt;&gt;"Transferencia",P2229&lt;&gt;"Pago tarjeta")),"",IFERROR(IF(INDEX(ctaVinc,MATCH(K2229,ctaNombre,0))&amp;""&lt;&gt;"",INDEX(ctaVinc,MATCH(K2229,ctaNombre,0))&amp;"",K2229),K2229))</f>
        <v/>
      </c>
      <c r="AD2229" s="52">
        <f>IF(AB2229="","",IFERROR(INDEX(ctaTipo,MATCH(AB2229,ctaNombre,0))&amp;"",""))</f>
        <v/>
      </c>
      <c r="AE2229" s="52">
        <f>IF(AC2229="","",IFERROR(INDEX(ctaTipo,MATCH(AC2229,ctaNombre,0))&amp;"",""))</f>
        <v/>
      </c>
      <c r="AF2229" s="53">
        <f>IF(OR(P2229="",AB2229=""),"",IF(OR(P2229="Gasto",P2229="Transferencia",P2229="Pago tarjeta"),-1,1)*IF(IFERROR(INDEX(ctaMoneda,MATCH(AB2229,ctaNombre,0))&amp;"","DOP")="USD",T2229,S2229))</f>
        <v/>
      </c>
      <c r="AG2229" s="53">
        <f>IF(AC2229="","",IF(IFERROR(INDEX(ctaMoneda,MATCH(AC2229,ctaNombre,0))&amp;"","DOP")="USD",T2229,S2229))</f>
        <v/>
      </c>
      <c r="AH2229" s="53">
        <f>IF(P2229="","",IF(AND(AD2229&lt;&gt;"",COUNTIFS(tcTipo,AD2229,tcLiq,"Sí")&gt;0),IF(OR(P2229="Gasto",P2229="Transferencia",P2229="Pago tarjeta"),-1,1)*S2229,0)+IF(AND(AE2229&lt;&gt;"",COUNTIFS(tcTipo,AE2229,tcLiq,"Sí")&gt;0),S2229,0))</f>
        <v/>
      </c>
      <c r="AI2229" s="52">
        <f>IF(OR(L2229="",P2229=""),"",IF(COUNTIFS(L$6:L2229,L2229,P$6:P2229,"?*")=1,MAX(AI$5:AI2228)+1,""))</f>
        <v/>
      </c>
    </row>
    <row r="2230">
      <c r="B2230" s="47" t="n"/>
      <c r="C2230" s="48" t="n"/>
      <c r="D2230" s="48" t="n"/>
      <c r="E2230" s="48" t="n"/>
      <c r="F2230" s="48" t="n"/>
      <c r="G2230" s="49" t="n"/>
      <c r="H2230" s="48" t="n"/>
      <c r="I2230" s="50" t="n"/>
      <c r="J2230" s="48" t="n"/>
      <c r="K2230" s="48" t="n"/>
      <c r="L2230" s="48" t="n"/>
      <c r="M2230" s="48" t="n"/>
      <c r="N2230" s="48" t="n"/>
      <c r="O2230" s="51">
        <f>IF(AND(B2230="",G2230="",C2230="",D2230="",J2230=""),"",IF(B2230="","⚠ Falta fecha",IF(G2230="","⚠ Falta monto",IF(Q2230="","⚠ Falta cuenta",IF(ISNA(MATCH(Q2230,ctaNombre,0)),"⚠ Cuenta no registrada",IF(AND(OR(P2230="Gasto",P2230="Reembolso"),D2230=""),"⚠ Falta categoría",IF(AND(D2230&lt;&gt;"",E2230&lt;&gt;"",ISNA(MATCH(D2230&amp;"|"&amp;E2230,catClave,0))),"⚠ Subcategoría no corresponde",IF(AND(OR(P2230="Transferencia",P2230="Pago tarjeta"),K2230=""),"⚠ Falta cuenta destino",IF(AND(K2230&lt;&gt;"",P2230&lt;&gt;"Transferencia",P2230&lt;&gt;"Pago tarjeta"),"⚠ Destino solo aplica a transferencias",IF(AND(K2230&lt;&gt;"",K2230=Q2230),"⚠ Origen igual a destino",IF(AND(K2230&lt;&gt;"",ISNA(MATCH(K2230,ctaNombre,0))),"⚠ Destino no registrado",IF(AND(P2230="Pago tarjeta",AE2230&lt;&gt;"Tarjeta de crédito"),"⚠ El destino debe ser tarjeta de crédito",IF(AND(P2230="Gasto",E2230="Depósitos y retiros"),"⚠ Usa tipo Transferencia",IF(AND(P2230="Resultado trading",AD2230&lt;&gt;"Cuenta de trading"),"⚠ Usa una cuenta de trading",IF(AND(G2230&lt;=0,P2230&lt;&gt;"Ajuste",P2230&lt;&gt;"Resultado trading"),"⚠ El monto debe ser positivo","✓")))))))))))))))</f>
        <v/>
      </c>
      <c r="P2230" s="52">
        <f>IF(OR(B2230="",G2230=""),"",IF(C2230="","Gasto",C2230))</f>
        <v/>
      </c>
      <c r="Q2230" s="52">
        <f>IF(P2230="","",IF(J2230&lt;&gt;"",J2230,CuentaPred&amp;""))</f>
        <v/>
      </c>
      <c r="R2230" s="52">
        <f>IF(P2230="","",IF(ISNUMBER(I2230),I2230,TasaUSD))</f>
        <v/>
      </c>
      <c r="S2230" s="53">
        <f>IF(P2230="","",IF(H2230="USD",G2230*R2230,G2230))</f>
        <v/>
      </c>
      <c r="T2230" s="53">
        <f>IF(P2230="","",IF(H2230="USD",G2230,IF(R2230&gt;0,G2230/R2230,0)))</f>
        <v/>
      </c>
      <c r="U2230" s="53">
        <f>IF(P2230="","",IF(P2230="Gasto",S2230,IF(P2230="Reembolso",-S2230,0)))</f>
        <v/>
      </c>
      <c r="V2230" s="53">
        <f>IF(P2230="","",IF(P2230="Ingreso",S2230,0))</f>
        <v/>
      </c>
      <c r="W2230" s="53">
        <f>IF(P2230="","",IF(P2230="Resultado trading",S2230,0))</f>
        <v/>
      </c>
      <c r="X2230" s="52">
        <f>IF(OR(P2230="Gasto",P2230="Reembolso"),IF(M2230&lt;&gt;"",M2230,IFERROR(INDEX(catClasif,MATCH(D2230&amp;"|"&amp;E2230,catClave,0))&amp;"","Variable")),"")</f>
        <v/>
      </c>
      <c r="Y2230" s="52">
        <f>IF(P2230="","",IFERROR(INDEX(catGrupo,MATCH(D2230&amp;"|"&amp;E2230,catClave,0))&amp;"",""))</f>
        <v/>
      </c>
      <c r="Z2230" s="52">
        <f>IF(P2230="","",WEEKDAY(B2230,2))</f>
        <v/>
      </c>
      <c r="AA2230" s="52">
        <f>IF(P2230="","",IF(AND(P2230="Gasto",X2230="Variable",D2230&lt;&gt;catTrading,S2230&gt;0,S2230&lt;=Umbral),1,0))</f>
        <v/>
      </c>
      <c r="AB2230" s="52">
        <f>IF(OR(P2230="",Q2230=""),"",IFERROR(IF(INDEX(ctaVinc,MATCH(Q2230,ctaNombre,0))&amp;""&lt;&gt;"",INDEX(ctaVinc,MATCH(Q2230,ctaNombre,0))&amp;"",Q2230),Q2230))</f>
        <v/>
      </c>
      <c r="AC2230" s="52">
        <f>IF(OR(K2230="",AND(P2230&lt;&gt;"Transferencia",P2230&lt;&gt;"Pago tarjeta")),"",IFERROR(IF(INDEX(ctaVinc,MATCH(K2230,ctaNombre,0))&amp;""&lt;&gt;"",INDEX(ctaVinc,MATCH(K2230,ctaNombre,0))&amp;"",K2230),K2230))</f>
        <v/>
      </c>
      <c r="AD2230" s="52">
        <f>IF(AB2230="","",IFERROR(INDEX(ctaTipo,MATCH(AB2230,ctaNombre,0))&amp;"",""))</f>
        <v/>
      </c>
      <c r="AE2230" s="52">
        <f>IF(AC2230="","",IFERROR(INDEX(ctaTipo,MATCH(AC2230,ctaNombre,0))&amp;"",""))</f>
        <v/>
      </c>
      <c r="AF2230" s="53">
        <f>IF(OR(P2230="",AB2230=""),"",IF(OR(P2230="Gasto",P2230="Transferencia",P2230="Pago tarjeta"),-1,1)*IF(IFERROR(INDEX(ctaMoneda,MATCH(AB2230,ctaNombre,0))&amp;"","DOP")="USD",T2230,S2230))</f>
        <v/>
      </c>
      <c r="AG2230" s="53">
        <f>IF(AC2230="","",IF(IFERROR(INDEX(ctaMoneda,MATCH(AC2230,ctaNombre,0))&amp;"","DOP")="USD",T2230,S2230))</f>
        <v/>
      </c>
      <c r="AH2230" s="53">
        <f>IF(P2230="","",IF(AND(AD2230&lt;&gt;"",COUNTIFS(tcTipo,AD2230,tcLiq,"Sí")&gt;0),IF(OR(P2230="Gasto",P2230="Transferencia",P2230="Pago tarjeta"),-1,1)*S2230,0)+IF(AND(AE2230&lt;&gt;"",COUNTIFS(tcTipo,AE2230,tcLiq,"Sí")&gt;0),S2230,0))</f>
        <v/>
      </c>
      <c r="AI2230" s="52">
        <f>IF(OR(L2230="",P2230=""),"",IF(COUNTIFS(L$6:L2230,L2230,P$6:P2230,"?*")=1,MAX(AI$5:AI2229)+1,""))</f>
        <v/>
      </c>
    </row>
    <row r="2231">
      <c r="B2231" s="47" t="n"/>
      <c r="C2231" s="48" t="n"/>
      <c r="D2231" s="48" t="n"/>
      <c r="E2231" s="48" t="n"/>
      <c r="F2231" s="48" t="n"/>
      <c r="G2231" s="49" t="n"/>
      <c r="H2231" s="48" t="n"/>
      <c r="I2231" s="50" t="n"/>
      <c r="J2231" s="48" t="n"/>
      <c r="K2231" s="48" t="n"/>
      <c r="L2231" s="48" t="n"/>
      <c r="M2231" s="48" t="n"/>
      <c r="N2231" s="48" t="n"/>
      <c r="O2231" s="51">
        <f>IF(AND(B2231="",G2231="",C2231="",D2231="",J2231=""),"",IF(B2231="","⚠ Falta fecha",IF(G2231="","⚠ Falta monto",IF(Q2231="","⚠ Falta cuenta",IF(ISNA(MATCH(Q2231,ctaNombre,0)),"⚠ Cuenta no registrada",IF(AND(OR(P2231="Gasto",P2231="Reembolso"),D2231=""),"⚠ Falta categoría",IF(AND(D2231&lt;&gt;"",E2231&lt;&gt;"",ISNA(MATCH(D2231&amp;"|"&amp;E2231,catClave,0))),"⚠ Subcategoría no corresponde",IF(AND(OR(P2231="Transferencia",P2231="Pago tarjeta"),K2231=""),"⚠ Falta cuenta destino",IF(AND(K2231&lt;&gt;"",P2231&lt;&gt;"Transferencia",P2231&lt;&gt;"Pago tarjeta"),"⚠ Destino solo aplica a transferencias",IF(AND(K2231&lt;&gt;"",K2231=Q2231),"⚠ Origen igual a destino",IF(AND(K2231&lt;&gt;"",ISNA(MATCH(K2231,ctaNombre,0))),"⚠ Destino no registrado",IF(AND(P2231="Pago tarjeta",AE2231&lt;&gt;"Tarjeta de crédito"),"⚠ El destino debe ser tarjeta de crédito",IF(AND(P2231="Gasto",E2231="Depósitos y retiros"),"⚠ Usa tipo Transferencia",IF(AND(P2231="Resultado trading",AD2231&lt;&gt;"Cuenta de trading"),"⚠ Usa una cuenta de trading",IF(AND(G2231&lt;=0,P2231&lt;&gt;"Ajuste",P2231&lt;&gt;"Resultado trading"),"⚠ El monto debe ser positivo","✓")))))))))))))))</f>
        <v/>
      </c>
      <c r="P2231" s="52">
        <f>IF(OR(B2231="",G2231=""),"",IF(C2231="","Gasto",C2231))</f>
        <v/>
      </c>
      <c r="Q2231" s="52">
        <f>IF(P2231="","",IF(J2231&lt;&gt;"",J2231,CuentaPred&amp;""))</f>
        <v/>
      </c>
      <c r="R2231" s="52">
        <f>IF(P2231="","",IF(ISNUMBER(I2231),I2231,TasaUSD))</f>
        <v/>
      </c>
      <c r="S2231" s="53">
        <f>IF(P2231="","",IF(H2231="USD",G2231*R2231,G2231))</f>
        <v/>
      </c>
      <c r="T2231" s="53">
        <f>IF(P2231="","",IF(H2231="USD",G2231,IF(R2231&gt;0,G2231/R2231,0)))</f>
        <v/>
      </c>
      <c r="U2231" s="53">
        <f>IF(P2231="","",IF(P2231="Gasto",S2231,IF(P2231="Reembolso",-S2231,0)))</f>
        <v/>
      </c>
      <c r="V2231" s="53">
        <f>IF(P2231="","",IF(P2231="Ingreso",S2231,0))</f>
        <v/>
      </c>
      <c r="W2231" s="53">
        <f>IF(P2231="","",IF(P2231="Resultado trading",S2231,0))</f>
        <v/>
      </c>
      <c r="X2231" s="52">
        <f>IF(OR(P2231="Gasto",P2231="Reembolso"),IF(M2231&lt;&gt;"",M2231,IFERROR(INDEX(catClasif,MATCH(D2231&amp;"|"&amp;E2231,catClave,0))&amp;"","Variable")),"")</f>
        <v/>
      </c>
      <c r="Y2231" s="52">
        <f>IF(P2231="","",IFERROR(INDEX(catGrupo,MATCH(D2231&amp;"|"&amp;E2231,catClave,0))&amp;"",""))</f>
        <v/>
      </c>
      <c r="Z2231" s="52">
        <f>IF(P2231="","",WEEKDAY(B2231,2))</f>
        <v/>
      </c>
      <c r="AA2231" s="52">
        <f>IF(P2231="","",IF(AND(P2231="Gasto",X2231="Variable",D2231&lt;&gt;catTrading,S2231&gt;0,S2231&lt;=Umbral),1,0))</f>
        <v/>
      </c>
      <c r="AB2231" s="52">
        <f>IF(OR(P2231="",Q2231=""),"",IFERROR(IF(INDEX(ctaVinc,MATCH(Q2231,ctaNombre,0))&amp;""&lt;&gt;"",INDEX(ctaVinc,MATCH(Q2231,ctaNombre,0))&amp;"",Q2231),Q2231))</f>
        <v/>
      </c>
      <c r="AC2231" s="52">
        <f>IF(OR(K2231="",AND(P2231&lt;&gt;"Transferencia",P2231&lt;&gt;"Pago tarjeta")),"",IFERROR(IF(INDEX(ctaVinc,MATCH(K2231,ctaNombre,0))&amp;""&lt;&gt;"",INDEX(ctaVinc,MATCH(K2231,ctaNombre,0))&amp;"",K2231),K2231))</f>
        <v/>
      </c>
      <c r="AD2231" s="52">
        <f>IF(AB2231="","",IFERROR(INDEX(ctaTipo,MATCH(AB2231,ctaNombre,0))&amp;"",""))</f>
        <v/>
      </c>
      <c r="AE2231" s="52">
        <f>IF(AC2231="","",IFERROR(INDEX(ctaTipo,MATCH(AC2231,ctaNombre,0))&amp;"",""))</f>
        <v/>
      </c>
      <c r="AF2231" s="53">
        <f>IF(OR(P2231="",AB2231=""),"",IF(OR(P2231="Gasto",P2231="Transferencia",P2231="Pago tarjeta"),-1,1)*IF(IFERROR(INDEX(ctaMoneda,MATCH(AB2231,ctaNombre,0))&amp;"","DOP")="USD",T2231,S2231))</f>
        <v/>
      </c>
      <c r="AG2231" s="53">
        <f>IF(AC2231="","",IF(IFERROR(INDEX(ctaMoneda,MATCH(AC2231,ctaNombre,0))&amp;"","DOP")="USD",T2231,S2231))</f>
        <v/>
      </c>
      <c r="AH2231" s="53">
        <f>IF(P2231="","",IF(AND(AD2231&lt;&gt;"",COUNTIFS(tcTipo,AD2231,tcLiq,"Sí")&gt;0),IF(OR(P2231="Gasto",P2231="Transferencia",P2231="Pago tarjeta"),-1,1)*S2231,0)+IF(AND(AE2231&lt;&gt;"",COUNTIFS(tcTipo,AE2231,tcLiq,"Sí")&gt;0),S2231,0))</f>
        <v/>
      </c>
      <c r="AI2231" s="52">
        <f>IF(OR(L2231="",P2231=""),"",IF(COUNTIFS(L$6:L2231,L2231,P$6:P2231,"?*")=1,MAX(AI$5:AI2230)+1,""))</f>
        <v/>
      </c>
    </row>
    <row r="2232">
      <c r="B2232" s="47" t="n"/>
      <c r="C2232" s="48" t="n"/>
      <c r="D2232" s="48" t="n"/>
      <c r="E2232" s="48" t="n"/>
      <c r="F2232" s="48" t="n"/>
      <c r="G2232" s="49" t="n"/>
      <c r="H2232" s="48" t="n"/>
      <c r="I2232" s="50" t="n"/>
      <c r="J2232" s="48" t="n"/>
      <c r="K2232" s="48" t="n"/>
      <c r="L2232" s="48" t="n"/>
      <c r="M2232" s="48" t="n"/>
      <c r="N2232" s="48" t="n"/>
      <c r="O2232" s="51">
        <f>IF(AND(B2232="",G2232="",C2232="",D2232="",J2232=""),"",IF(B2232="","⚠ Falta fecha",IF(G2232="","⚠ Falta monto",IF(Q2232="","⚠ Falta cuenta",IF(ISNA(MATCH(Q2232,ctaNombre,0)),"⚠ Cuenta no registrada",IF(AND(OR(P2232="Gasto",P2232="Reembolso"),D2232=""),"⚠ Falta categoría",IF(AND(D2232&lt;&gt;"",E2232&lt;&gt;"",ISNA(MATCH(D2232&amp;"|"&amp;E2232,catClave,0))),"⚠ Subcategoría no corresponde",IF(AND(OR(P2232="Transferencia",P2232="Pago tarjeta"),K2232=""),"⚠ Falta cuenta destino",IF(AND(K2232&lt;&gt;"",P2232&lt;&gt;"Transferencia",P2232&lt;&gt;"Pago tarjeta"),"⚠ Destino solo aplica a transferencias",IF(AND(K2232&lt;&gt;"",K2232=Q2232),"⚠ Origen igual a destino",IF(AND(K2232&lt;&gt;"",ISNA(MATCH(K2232,ctaNombre,0))),"⚠ Destino no registrado",IF(AND(P2232="Pago tarjeta",AE2232&lt;&gt;"Tarjeta de crédito"),"⚠ El destino debe ser tarjeta de crédito",IF(AND(P2232="Gasto",E2232="Depósitos y retiros"),"⚠ Usa tipo Transferencia",IF(AND(P2232="Resultado trading",AD2232&lt;&gt;"Cuenta de trading"),"⚠ Usa una cuenta de trading",IF(AND(G2232&lt;=0,P2232&lt;&gt;"Ajuste",P2232&lt;&gt;"Resultado trading"),"⚠ El monto debe ser positivo","✓")))))))))))))))</f>
        <v/>
      </c>
      <c r="P2232" s="52">
        <f>IF(OR(B2232="",G2232=""),"",IF(C2232="","Gasto",C2232))</f>
        <v/>
      </c>
      <c r="Q2232" s="52">
        <f>IF(P2232="","",IF(J2232&lt;&gt;"",J2232,CuentaPred&amp;""))</f>
        <v/>
      </c>
      <c r="R2232" s="52">
        <f>IF(P2232="","",IF(ISNUMBER(I2232),I2232,TasaUSD))</f>
        <v/>
      </c>
      <c r="S2232" s="53">
        <f>IF(P2232="","",IF(H2232="USD",G2232*R2232,G2232))</f>
        <v/>
      </c>
      <c r="T2232" s="53">
        <f>IF(P2232="","",IF(H2232="USD",G2232,IF(R2232&gt;0,G2232/R2232,0)))</f>
        <v/>
      </c>
      <c r="U2232" s="53">
        <f>IF(P2232="","",IF(P2232="Gasto",S2232,IF(P2232="Reembolso",-S2232,0)))</f>
        <v/>
      </c>
      <c r="V2232" s="53">
        <f>IF(P2232="","",IF(P2232="Ingreso",S2232,0))</f>
        <v/>
      </c>
      <c r="W2232" s="53">
        <f>IF(P2232="","",IF(P2232="Resultado trading",S2232,0))</f>
        <v/>
      </c>
      <c r="X2232" s="52">
        <f>IF(OR(P2232="Gasto",P2232="Reembolso"),IF(M2232&lt;&gt;"",M2232,IFERROR(INDEX(catClasif,MATCH(D2232&amp;"|"&amp;E2232,catClave,0))&amp;"","Variable")),"")</f>
        <v/>
      </c>
      <c r="Y2232" s="52">
        <f>IF(P2232="","",IFERROR(INDEX(catGrupo,MATCH(D2232&amp;"|"&amp;E2232,catClave,0))&amp;"",""))</f>
        <v/>
      </c>
      <c r="Z2232" s="52">
        <f>IF(P2232="","",WEEKDAY(B2232,2))</f>
        <v/>
      </c>
      <c r="AA2232" s="52">
        <f>IF(P2232="","",IF(AND(P2232="Gasto",X2232="Variable",D2232&lt;&gt;catTrading,S2232&gt;0,S2232&lt;=Umbral),1,0))</f>
        <v/>
      </c>
      <c r="AB2232" s="52">
        <f>IF(OR(P2232="",Q2232=""),"",IFERROR(IF(INDEX(ctaVinc,MATCH(Q2232,ctaNombre,0))&amp;""&lt;&gt;"",INDEX(ctaVinc,MATCH(Q2232,ctaNombre,0))&amp;"",Q2232),Q2232))</f>
        <v/>
      </c>
      <c r="AC2232" s="52">
        <f>IF(OR(K2232="",AND(P2232&lt;&gt;"Transferencia",P2232&lt;&gt;"Pago tarjeta")),"",IFERROR(IF(INDEX(ctaVinc,MATCH(K2232,ctaNombre,0))&amp;""&lt;&gt;"",INDEX(ctaVinc,MATCH(K2232,ctaNombre,0))&amp;"",K2232),K2232))</f>
        <v/>
      </c>
      <c r="AD2232" s="52">
        <f>IF(AB2232="","",IFERROR(INDEX(ctaTipo,MATCH(AB2232,ctaNombre,0))&amp;"",""))</f>
        <v/>
      </c>
      <c r="AE2232" s="52">
        <f>IF(AC2232="","",IFERROR(INDEX(ctaTipo,MATCH(AC2232,ctaNombre,0))&amp;"",""))</f>
        <v/>
      </c>
      <c r="AF2232" s="53">
        <f>IF(OR(P2232="",AB2232=""),"",IF(OR(P2232="Gasto",P2232="Transferencia",P2232="Pago tarjeta"),-1,1)*IF(IFERROR(INDEX(ctaMoneda,MATCH(AB2232,ctaNombre,0))&amp;"","DOP")="USD",T2232,S2232))</f>
        <v/>
      </c>
      <c r="AG2232" s="53">
        <f>IF(AC2232="","",IF(IFERROR(INDEX(ctaMoneda,MATCH(AC2232,ctaNombre,0))&amp;"","DOP")="USD",T2232,S2232))</f>
        <v/>
      </c>
      <c r="AH2232" s="53">
        <f>IF(P2232="","",IF(AND(AD2232&lt;&gt;"",COUNTIFS(tcTipo,AD2232,tcLiq,"Sí")&gt;0),IF(OR(P2232="Gasto",P2232="Transferencia",P2232="Pago tarjeta"),-1,1)*S2232,0)+IF(AND(AE2232&lt;&gt;"",COUNTIFS(tcTipo,AE2232,tcLiq,"Sí")&gt;0),S2232,0))</f>
        <v/>
      </c>
      <c r="AI2232" s="52">
        <f>IF(OR(L2232="",P2232=""),"",IF(COUNTIFS(L$6:L2232,L2232,P$6:P2232,"?*")=1,MAX(AI$5:AI2231)+1,""))</f>
        <v/>
      </c>
    </row>
    <row r="2233">
      <c r="B2233" s="47" t="n"/>
      <c r="C2233" s="48" t="n"/>
      <c r="D2233" s="48" t="n"/>
      <c r="E2233" s="48" t="n"/>
      <c r="F2233" s="48" t="n"/>
      <c r="G2233" s="49" t="n"/>
      <c r="H2233" s="48" t="n"/>
      <c r="I2233" s="50" t="n"/>
      <c r="J2233" s="48" t="n"/>
      <c r="K2233" s="48" t="n"/>
      <c r="L2233" s="48" t="n"/>
      <c r="M2233" s="48" t="n"/>
      <c r="N2233" s="48" t="n"/>
      <c r="O2233" s="51">
        <f>IF(AND(B2233="",G2233="",C2233="",D2233="",J2233=""),"",IF(B2233="","⚠ Falta fecha",IF(G2233="","⚠ Falta monto",IF(Q2233="","⚠ Falta cuenta",IF(ISNA(MATCH(Q2233,ctaNombre,0)),"⚠ Cuenta no registrada",IF(AND(OR(P2233="Gasto",P2233="Reembolso"),D2233=""),"⚠ Falta categoría",IF(AND(D2233&lt;&gt;"",E2233&lt;&gt;"",ISNA(MATCH(D2233&amp;"|"&amp;E2233,catClave,0))),"⚠ Subcategoría no corresponde",IF(AND(OR(P2233="Transferencia",P2233="Pago tarjeta"),K2233=""),"⚠ Falta cuenta destino",IF(AND(K2233&lt;&gt;"",P2233&lt;&gt;"Transferencia",P2233&lt;&gt;"Pago tarjeta"),"⚠ Destino solo aplica a transferencias",IF(AND(K2233&lt;&gt;"",K2233=Q2233),"⚠ Origen igual a destino",IF(AND(K2233&lt;&gt;"",ISNA(MATCH(K2233,ctaNombre,0))),"⚠ Destino no registrado",IF(AND(P2233="Pago tarjeta",AE2233&lt;&gt;"Tarjeta de crédito"),"⚠ El destino debe ser tarjeta de crédito",IF(AND(P2233="Gasto",E2233="Depósitos y retiros"),"⚠ Usa tipo Transferencia",IF(AND(P2233="Resultado trading",AD2233&lt;&gt;"Cuenta de trading"),"⚠ Usa una cuenta de trading",IF(AND(G2233&lt;=0,P2233&lt;&gt;"Ajuste",P2233&lt;&gt;"Resultado trading"),"⚠ El monto debe ser positivo","✓")))))))))))))))</f>
        <v/>
      </c>
      <c r="P2233" s="52">
        <f>IF(OR(B2233="",G2233=""),"",IF(C2233="","Gasto",C2233))</f>
        <v/>
      </c>
      <c r="Q2233" s="52">
        <f>IF(P2233="","",IF(J2233&lt;&gt;"",J2233,CuentaPred&amp;""))</f>
        <v/>
      </c>
      <c r="R2233" s="52">
        <f>IF(P2233="","",IF(ISNUMBER(I2233),I2233,TasaUSD))</f>
        <v/>
      </c>
      <c r="S2233" s="53">
        <f>IF(P2233="","",IF(H2233="USD",G2233*R2233,G2233))</f>
        <v/>
      </c>
      <c r="T2233" s="53">
        <f>IF(P2233="","",IF(H2233="USD",G2233,IF(R2233&gt;0,G2233/R2233,0)))</f>
        <v/>
      </c>
      <c r="U2233" s="53">
        <f>IF(P2233="","",IF(P2233="Gasto",S2233,IF(P2233="Reembolso",-S2233,0)))</f>
        <v/>
      </c>
      <c r="V2233" s="53">
        <f>IF(P2233="","",IF(P2233="Ingreso",S2233,0))</f>
        <v/>
      </c>
      <c r="W2233" s="53">
        <f>IF(P2233="","",IF(P2233="Resultado trading",S2233,0))</f>
        <v/>
      </c>
      <c r="X2233" s="52">
        <f>IF(OR(P2233="Gasto",P2233="Reembolso"),IF(M2233&lt;&gt;"",M2233,IFERROR(INDEX(catClasif,MATCH(D2233&amp;"|"&amp;E2233,catClave,0))&amp;"","Variable")),"")</f>
        <v/>
      </c>
      <c r="Y2233" s="52">
        <f>IF(P2233="","",IFERROR(INDEX(catGrupo,MATCH(D2233&amp;"|"&amp;E2233,catClave,0))&amp;"",""))</f>
        <v/>
      </c>
      <c r="Z2233" s="52">
        <f>IF(P2233="","",WEEKDAY(B2233,2))</f>
        <v/>
      </c>
      <c r="AA2233" s="52">
        <f>IF(P2233="","",IF(AND(P2233="Gasto",X2233="Variable",D2233&lt;&gt;catTrading,S2233&gt;0,S2233&lt;=Umbral),1,0))</f>
        <v/>
      </c>
      <c r="AB2233" s="52">
        <f>IF(OR(P2233="",Q2233=""),"",IFERROR(IF(INDEX(ctaVinc,MATCH(Q2233,ctaNombre,0))&amp;""&lt;&gt;"",INDEX(ctaVinc,MATCH(Q2233,ctaNombre,0))&amp;"",Q2233),Q2233))</f>
        <v/>
      </c>
      <c r="AC2233" s="52">
        <f>IF(OR(K2233="",AND(P2233&lt;&gt;"Transferencia",P2233&lt;&gt;"Pago tarjeta")),"",IFERROR(IF(INDEX(ctaVinc,MATCH(K2233,ctaNombre,0))&amp;""&lt;&gt;"",INDEX(ctaVinc,MATCH(K2233,ctaNombre,0))&amp;"",K2233),K2233))</f>
        <v/>
      </c>
      <c r="AD2233" s="52">
        <f>IF(AB2233="","",IFERROR(INDEX(ctaTipo,MATCH(AB2233,ctaNombre,0))&amp;"",""))</f>
        <v/>
      </c>
      <c r="AE2233" s="52">
        <f>IF(AC2233="","",IFERROR(INDEX(ctaTipo,MATCH(AC2233,ctaNombre,0))&amp;"",""))</f>
        <v/>
      </c>
      <c r="AF2233" s="53">
        <f>IF(OR(P2233="",AB2233=""),"",IF(OR(P2233="Gasto",P2233="Transferencia",P2233="Pago tarjeta"),-1,1)*IF(IFERROR(INDEX(ctaMoneda,MATCH(AB2233,ctaNombre,0))&amp;"","DOP")="USD",T2233,S2233))</f>
        <v/>
      </c>
      <c r="AG2233" s="53">
        <f>IF(AC2233="","",IF(IFERROR(INDEX(ctaMoneda,MATCH(AC2233,ctaNombre,0))&amp;"","DOP")="USD",T2233,S2233))</f>
        <v/>
      </c>
      <c r="AH2233" s="53">
        <f>IF(P2233="","",IF(AND(AD2233&lt;&gt;"",COUNTIFS(tcTipo,AD2233,tcLiq,"Sí")&gt;0),IF(OR(P2233="Gasto",P2233="Transferencia",P2233="Pago tarjeta"),-1,1)*S2233,0)+IF(AND(AE2233&lt;&gt;"",COUNTIFS(tcTipo,AE2233,tcLiq,"Sí")&gt;0),S2233,0))</f>
        <v/>
      </c>
      <c r="AI2233" s="52">
        <f>IF(OR(L2233="",P2233=""),"",IF(COUNTIFS(L$6:L2233,L2233,P$6:P2233,"?*")=1,MAX(AI$5:AI2232)+1,""))</f>
        <v/>
      </c>
    </row>
    <row r="2234">
      <c r="B2234" s="47" t="n"/>
      <c r="C2234" s="48" t="n"/>
      <c r="D2234" s="48" t="n"/>
      <c r="E2234" s="48" t="n"/>
      <c r="F2234" s="48" t="n"/>
      <c r="G2234" s="49" t="n"/>
      <c r="H2234" s="48" t="n"/>
      <c r="I2234" s="50" t="n"/>
      <c r="J2234" s="48" t="n"/>
      <c r="K2234" s="48" t="n"/>
      <c r="L2234" s="48" t="n"/>
      <c r="M2234" s="48" t="n"/>
      <c r="N2234" s="48" t="n"/>
      <c r="O2234" s="51">
        <f>IF(AND(B2234="",G2234="",C2234="",D2234="",J2234=""),"",IF(B2234="","⚠ Falta fecha",IF(G2234="","⚠ Falta monto",IF(Q2234="","⚠ Falta cuenta",IF(ISNA(MATCH(Q2234,ctaNombre,0)),"⚠ Cuenta no registrada",IF(AND(OR(P2234="Gasto",P2234="Reembolso"),D2234=""),"⚠ Falta categoría",IF(AND(D2234&lt;&gt;"",E2234&lt;&gt;"",ISNA(MATCH(D2234&amp;"|"&amp;E2234,catClave,0))),"⚠ Subcategoría no corresponde",IF(AND(OR(P2234="Transferencia",P2234="Pago tarjeta"),K2234=""),"⚠ Falta cuenta destino",IF(AND(K2234&lt;&gt;"",P2234&lt;&gt;"Transferencia",P2234&lt;&gt;"Pago tarjeta"),"⚠ Destino solo aplica a transferencias",IF(AND(K2234&lt;&gt;"",K2234=Q2234),"⚠ Origen igual a destino",IF(AND(K2234&lt;&gt;"",ISNA(MATCH(K2234,ctaNombre,0))),"⚠ Destino no registrado",IF(AND(P2234="Pago tarjeta",AE2234&lt;&gt;"Tarjeta de crédito"),"⚠ El destino debe ser tarjeta de crédito",IF(AND(P2234="Gasto",E2234="Depósitos y retiros"),"⚠ Usa tipo Transferencia",IF(AND(P2234="Resultado trading",AD2234&lt;&gt;"Cuenta de trading"),"⚠ Usa una cuenta de trading",IF(AND(G2234&lt;=0,P2234&lt;&gt;"Ajuste",P2234&lt;&gt;"Resultado trading"),"⚠ El monto debe ser positivo","✓")))))))))))))))</f>
        <v/>
      </c>
      <c r="P2234" s="52">
        <f>IF(OR(B2234="",G2234=""),"",IF(C2234="","Gasto",C2234))</f>
        <v/>
      </c>
      <c r="Q2234" s="52">
        <f>IF(P2234="","",IF(J2234&lt;&gt;"",J2234,CuentaPred&amp;""))</f>
        <v/>
      </c>
      <c r="R2234" s="52">
        <f>IF(P2234="","",IF(ISNUMBER(I2234),I2234,TasaUSD))</f>
        <v/>
      </c>
      <c r="S2234" s="53">
        <f>IF(P2234="","",IF(H2234="USD",G2234*R2234,G2234))</f>
        <v/>
      </c>
      <c r="T2234" s="53">
        <f>IF(P2234="","",IF(H2234="USD",G2234,IF(R2234&gt;0,G2234/R2234,0)))</f>
        <v/>
      </c>
      <c r="U2234" s="53">
        <f>IF(P2234="","",IF(P2234="Gasto",S2234,IF(P2234="Reembolso",-S2234,0)))</f>
        <v/>
      </c>
      <c r="V2234" s="53">
        <f>IF(P2234="","",IF(P2234="Ingreso",S2234,0))</f>
        <v/>
      </c>
      <c r="W2234" s="53">
        <f>IF(P2234="","",IF(P2234="Resultado trading",S2234,0))</f>
        <v/>
      </c>
      <c r="X2234" s="52">
        <f>IF(OR(P2234="Gasto",P2234="Reembolso"),IF(M2234&lt;&gt;"",M2234,IFERROR(INDEX(catClasif,MATCH(D2234&amp;"|"&amp;E2234,catClave,0))&amp;"","Variable")),"")</f>
        <v/>
      </c>
      <c r="Y2234" s="52">
        <f>IF(P2234="","",IFERROR(INDEX(catGrupo,MATCH(D2234&amp;"|"&amp;E2234,catClave,0))&amp;"",""))</f>
        <v/>
      </c>
      <c r="Z2234" s="52">
        <f>IF(P2234="","",WEEKDAY(B2234,2))</f>
        <v/>
      </c>
      <c r="AA2234" s="52">
        <f>IF(P2234="","",IF(AND(P2234="Gasto",X2234="Variable",D2234&lt;&gt;catTrading,S2234&gt;0,S2234&lt;=Umbral),1,0))</f>
        <v/>
      </c>
      <c r="AB2234" s="52">
        <f>IF(OR(P2234="",Q2234=""),"",IFERROR(IF(INDEX(ctaVinc,MATCH(Q2234,ctaNombre,0))&amp;""&lt;&gt;"",INDEX(ctaVinc,MATCH(Q2234,ctaNombre,0))&amp;"",Q2234),Q2234))</f>
        <v/>
      </c>
      <c r="AC2234" s="52">
        <f>IF(OR(K2234="",AND(P2234&lt;&gt;"Transferencia",P2234&lt;&gt;"Pago tarjeta")),"",IFERROR(IF(INDEX(ctaVinc,MATCH(K2234,ctaNombre,0))&amp;""&lt;&gt;"",INDEX(ctaVinc,MATCH(K2234,ctaNombre,0))&amp;"",K2234),K2234))</f>
        <v/>
      </c>
      <c r="AD2234" s="52">
        <f>IF(AB2234="","",IFERROR(INDEX(ctaTipo,MATCH(AB2234,ctaNombre,0))&amp;"",""))</f>
        <v/>
      </c>
      <c r="AE2234" s="52">
        <f>IF(AC2234="","",IFERROR(INDEX(ctaTipo,MATCH(AC2234,ctaNombre,0))&amp;"",""))</f>
        <v/>
      </c>
      <c r="AF2234" s="53">
        <f>IF(OR(P2234="",AB2234=""),"",IF(OR(P2234="Gasto",P2234="Transferencia",P2234="Pago tarjeta"),-1,1)*IF(IFERROR(INDEX(ctaMoneda,MATCH(AB2234,ctaNombre,0))&amp;"","DOP")="USD",T2234,S2234))</f>
        <v/>
      </c>
      <c r="AG2234" s="53">
        <f>IF(AC2234="","",IF(IFERROR(INDEX(ctaMoneda,MATCH(AC2234,ctaNombre,0))&amp;"","DOP")="USD",T2234,S2234))</f>
        <v/>
      </c>
      <c r="AH2234" s="53">
        <f>IF(P2234="","",IF(AND(AD2234&lt;&gt;"",COUNTIFS(tcTipo,AD2234,tcLiq,"Sí")&gt;0),IF(OR(P2234="Gasto",P2234="Transferencia",P2234="Pago tarjeta"),-1,1)*S2234,0)+IF(AND(AE2234&lt;&gt;"",COUNTIFS(tcTipo,AE2234,tcLiq,"Sí")&gt;0),S2234,0))</f>
        <v/>
      </c>
      <c r="AI2234" s="52">
        <f>IF(OR(L2234="",P2234=""),"",IF(COUNTIFS(L$6:L2234,L2234,P$6:P2234,"?*")=1,MAX(AI$5:AI2233)+1,""))</f>
        <v/>
      </c>
    </row>
    <row r="2235">
      <c r="B2235" s="47" t="n"/>
      <c r="C2235" s="48" t="n"/>
      <c r="D2235" s="48" t="n"/>
      <c r="E2235" s="48" t="n"/>
      <c r="F2235" s="48" t="n"/>
      <c r="G2235" s="49" t="n"/>
      <c r="H2235" s="48" t="n"/>
      <c r="I2235" s="50" t="n"/>
      <c r="J2235" s="48" t="n"/>
      <c r="K2235" s="48" t="n"/>
      <c r="L2235" s="48" t="n"/>
      <c r="M2235" s="48" t="n"/>
      <c r="N2235" s="48" t="n"/>
      <c r="O2235" s="51">
        <f>IF(AND(B2235="",G2235="",C2235="",D2235="",J2235=""),"",IF(B2235="","⚠ Falta fecha",IF(G2235="","⚠ Falta monto",IF(Q2235="","⚠ Falta cuenta",IF(ISNA(MATCH(Q2235,ctaNombre,0)),"⚠ Cuenta no registrada",IF(AND(OR(P2235="Gasto",P2235="Reembolso"),D2235=""),"⚠ Falta categoría",IF(AND(D2235&lt;&gt;"",E2235&lt;&gt;"",ISNA(MATCH(D2235&amp;"|"&amp;E2235,catClave,0))),"⚠ Subcategoría no corresponde",IF(AND(OR(P2235="Transferencia",P2235="Pago tarjeta"),K2235=""),"⚠ Falta cuenta destino",IF(AND(K2235&lt;&gt;"",P2235&lt;&gt;"Transferencia",P2235&lt;&gt;"Pago tarjeta"),"⚠ Destino solo aplica a transferencias",IF(AND(K2235&lt;&gt;"",K2235=Q2235),"⚠ Origen igual a destino",IF(AND(K2235&lt;&gt;"",ISNA(MATCH(K2235,ctaNombre,0))),"⚠ Destino no registrado",IF(AND(P2235="Pago tarjeta",AE2235&lt;&gt;"Tarjeta de crédito"),"⚠ El destino debe ser tarjeta de crédito",IF(AND(P2235="Gasto",E2235="Depósitos y retiros"),"⚠ Usa tipo Transferencia",IF(AND(P2235="Resultado trading",AD2235&lt;&gt;"Cuenta de trading"),"⚠ Usa una cuenta de trading",IF(AND(G2235&lt;=0,P2235&lt;&gt;"Ajuste",P2235&lt;&gt;"Resultado trading"),"⚠ El monto debe ser positivo","✓")))))))))))))))</f>
        <v/>
      </c>
      <c r="P2235" s="52">
        <f>IF(OR(B2235="",G2235=""),"",IF(C2235="","Gasto",C2235))</f>
        <v/>
      </c>
      <c r="Q2235" s="52">
        <f>IF(P2235="","",IF(J2235&lt;&gt;"",J2235,CuentaPred&amp;""))</f>
        <v/>
      </c>
      <c r="R2235" s="52">
        <f>IF(P2235="","",IF(ISNUMBER(I2235),I2235,TasaUSD))</f>
        <v/>
      </c>
      <c r="S2235" s="53">
        <f>IF(P2235="","",IF(H2235="USD",G2235*R2235,G2235))</f>
        <v/>
      </c>
      <c r="T2235" s="53">
        <f>IF(P2235="","",IF(H2235="USD",G2235,IF(R2235&gt;0,G2235/R2235,0)))</f>
        <v/>
      </c>
      <c r="U2235" s="53">
        <f>IF(P2235="","",IF(P2235="Gasto",S2235,IF(P2235="Reembolso",-S2235,0)))</f>
        <v/>
      </c>
      <c r="V2235" s="53">
        <f>IF(P2235="","",IF(P2235="Ingreso",S2235,0))</f>
        <v/>
      </c>
      <c r="W2235" s="53">
        <f>IF(P2235="","",IF(P2235="Resultado trading",S2235,0))</f>
        <v/>
      </c>
      <c r="X2235" s="52">
        <f>IF(OR(P2235="Gasto",P2235="Reembolso"),IF(M2235&lt;&gt;"",M2235,IFERROR(INDEX(catClasif,MATCH(D2235&amp;"|"&amp;E2235,catClave,0))&amp;"","Variable")),"")</f>
        <v/>
      </c>
      <c r="Y2235" s="52">
        <f>IF(P2235="","",IFERROR(INDEX(catGrupo,MATCH(D2235&amp;"|"&amp;E2235,catClave,0))&amp;"",""))</f>
        <v/>
      </c>
      <c r="Z2235" s="52">
        <f>IF(P2235="","",WEEKDAY(B2235,2))</f>
        <v/>
      </c>
      <c r="AA2235" s="52">
        <f>IF(P2235="","",IF(AND(P2235="Gasto",X2235="Variable",D2235&lt;&gt;catTrading,S2235&gt;0,S2235&lt;=Umbral),1,0))</f>
        <v/>
      </c>
      <c r="AB2235" s="52">
        <f>IF(OR(P2235="",Q2235=""),"",IFERROR(IF(INDEX(ctaVinc,MATCH(Q2235,ctaNombre,0))&amp;""&lt;&gt;"",INDEX(ctaVinc,MATCH(Q2235,ctaNombre,0))&amp;"",Q2235),Q2235))</f>
        <v/>
      </c>
      <c r="AC2235" s="52">
        <f>IF(OR(K2235="",AND(P2235&lt;&gt;"Transferencia",P2235&lt;&gt;"Pago tarjeta")),"",IFERROR(IF(INDEX(ctaVinc,MATCH(K2235,ctaNombre,0))&amp;""&lt;&gt;"",INDEX(ctaVinc,MATCH(K2235,ctaNombre,0))&amp;"",K2235),K2235))</f>
        <v/>
      </c>
      <c r="AD2235" s="52">
        <f>IF(AB2235="","",IFERROR(INDEX(ctaTipo,MATCH(AB2235,ctaNombre,0))&amp;"",""))</f>
        <v/>
      </c>
      <c r="AE2235" s="52">
        <f>IF(AC2235="","",IFERROR(INDEX(ctaTipo,MATCH(AC2235,ctaNombre,0))&amp;"",""))</f>
        <v/>
      </c>
      <c r="AF2235" s="53">
        <f>IF(OR(P2235="",AB2235=""),"",IF(OR(P2235="Gasto",P2235="Transferencia",P2235="Pago tarjeta"),-1,1)*IF(IFERROR(INDEX(ctaMoneda,MATCH(AB2235,ctaNombre,0))&amp;"","DOP")="USD",T2235,S2235))</f>
        <v/>
      </c>
      <c r="AG2235" s="53">
        <f>IF(AC2235="","",IF(IFERROR(INDEX(ctaMoneda,MATCH(AC2235,ctaNombre,0))&amp;"","DOP")="USD",T2235,S2235))</f>
        <v/>
      </c>
      <c r="AH2235" s="53">
        <f>IF(P2235="","",IF(AND(AD2235&lt;&gt;"",COUNTIFS(tcTipo,AD2235,tcLiq,"Sí")&gt;0),IF(OR(P2235="Gasto",P2235="Transferencia",P2235="Pago tarjeta"),-1,1)*S2235,0)+IF(AND(AE2235&lt;&gt;"",COUNTIFS(tcTipo,AE2235,tcLiq,"Sí")&gt;0),S2235,0))</f>
        <v/>
      </c>
      <c r="AI2235" s="52">
        <f>IF(OR(L2235="",P2235=""),"",IF(COUNTIFS(L$6:L2235,L2235,P$6:P2235,"?*")=1,MAX(AI$5:AI2234)+1,""))</f>
        <v/>
      </c>
    </row>
    <row r="2236">
      <c r="B2236" s="47" t="n"/>
      <c r="C2236" s="48" t="n"/>
      <c r="D2236" s="48" t="n"/>
      <c r="E2236" s="48" t="n"/>
      <c r="F2236" s="48" t="n"/>
      <c r="G2236" s="49" t="n"/>
      <c r="H2236" s="48" t="n"/>
      <c r="I2236" s="50" t="n"/>
      <c r="J2236" s="48" t="n"/>
      <c r="K2236" s="48" t="n"/>
      <c r="L2236" s="48" t="n"/>
      <c r="M2236" s="48" t="n"/>
      <c r="N2236" s="48" t="n"/>
      <c r="O2236" s="51">
        <f>IF(AND(B2236="",G2236="",C2236="",D2236="",J2236=""),"",IF(B2236="","⚠ Falta fecha",IF(G2236="","⚠ Falta monto",IF(Q2236="","⚠ Falta cuenta",IF(ISNA(MATCH(Q2236,ctaNombre,0)),"⚠ Cuenta no registrada",IF(AND(OR(P2236="Gasto",P2236="Reembolso"),D2236=""),"⚠ Falta categoría",IF(AND(D2236&lt;&gt;"",E2236&lt;&gt;"",ISNA(MATCH(D2236&amp;"|"&amp;E2236,catClave,0))),"⚠ Subcategoría no corresponde",IF(AND(OR(P2236="Transferencia",P2236="Pago tarjeta"),K2236=""),"⚠ Falta cuenta destino",IF(AND(K2236&lt;&gt;"",P2236&lt;&gt;"Transferencia",P2236&lt;&gt;"Pago tarjeta"),"⚠ Destino solo aplica a transferencias",IF(AND(K2236&lt;&gt;"",K2236=Q2236),"⚠ Origen igual a destino",IF(AND(K2236&lt;&gt;"",ISNA(MATCH(K2236,ctaNombre,0))),"⚠ Destino no registrado",IF(AND(P2236="Pago tarjeta",AE2236&lt;&gt;"Tarjeta de crédito"),"⚠ El destino debe ser tarjeta de crédito",IF(AND(P2236="Gasto",E2236="Depósitos y retiros"),"⚠ Usa tipo Transferencia",IF(AND(P2236="Resultado trading",AD2236&lt;&gt;"Cuenta de trading"),"⚠ Usa una cuenta de trading",IF(AND(G2236&lt;=0,P2236&lt;&gt;"Ajuste",P2236&lt;&gt;"Resultado trading"),"⚠ El monto debe ser positivo","✓")))))))))))))))</f>
        <v/>
      </c>
      <c r="P2236" s="52">
        <f>IF(OR(B2236="",G2236=""),"",IF(C2236="","Gasto",C2236))</f>
        <v/>
      </c>
      <c r="Q2236" s="52">
        <f>IF(P2236="","",IF(J2236&lt;&gt;"",J2236,CuentaPred&amp;""))</f>
        <v/>
      </c>
      <c r="R2236" s="52">
        <f>IF(P2236="","",IF(ISNUMBER(I2236),I2236,TasaUSD))</f>
        <v/>
      </c>
      <c r="S2236" s="53">
        <f>IF(P2236="","",IF(H2236="USD",G2236*R2236,G2236))</f>
        <v/>
      </c>
      <c r="T2236" s="53">
        <f>IF(P2236="","",IF(H2236="USD",G2236,IF(R2236&gt;0,G2236/R2236,0)))</f>
        <v/>
      </c>
      <c r="U2236" s="53">
        <f>IF(P2236="","",IF(P2236="Gasto",S2236,IF(P2236="Reembolso",-S2236,0)))</f>
        <v/>
      </c>
      <c r="V2236" s="53">
        <f>IF(P2236="","",IF(P2236="Ingreso",S2236,0))</f>
        <v/>
      </c>
      <c r="W2236" s="53">
        <f>IF(P2236="","",IF(P2236="Resultado trading",S2236,0))</f>
        <v/>
      </c>
      <c r="X2236" s="52">
        <f>IF(OR(P2236="Gasto",P2236="Reembolso"),IF(M2236&lt;&gt;"",M2236,IFERROR(INDEX(catClasif,MATCH(D2236&amp;"|"&amp;E2236,catClave,0))&amp;"","Variable")),"")</f>
        <v/>
      </c>
      <c r="Y2236" s="52">
        <f>IF(P2236="","",IFERROR(INDEX(catGrupo,MATCH(D2236&amp;"|"&amp;E2236,catClave,0))&amp;"",""))</f>
        <v/>
      </c>
      <c r="Z2236" s="52">
        <f>IF(P2236="","",WEEKDAY(B2236,2))</f>
        <v/>
      </c>
      <c r="AA2236" s="52">
        <f>IF(P2236="","",IF(AND(P2236="Gasto",X2236="Variable",D2236&lt;&gt;catTrading,S2236&gt;0,S2236&lt;=Umbral),1,0))</f>
        <v/>
      </c>
      <c r="AB2236" s="52">
        <f>IF(OR(P2236="",Q2236=""),"",IFERROR(IF(INDEX(ctaVinc,MATCH(Q2236,ctaNombre,0))&amp;""&lt;&gt;"",INDEX(ctaVinc,MATCH(Q2236,ctaNombre,0))&amp;"",Q2236),Q2236))</f>
        <v/>
      </c>
      <c r="AC2236" s="52">
        <f>IF(OR(K2236="",AND(P2236&lt;&gt;"Transferencia",P2236&lt;&gt;"Pago tarjeta")),"",IFERROR(IF(INDEX(ctaVinc,MATCH(K2236,ctaNombre,0))&amp;""&lt;&gt;"",INDEX(ctaVinc,MATCH(K2236,ctaNombre,0))&amp;"",K2236),K2236))</f>
        <v/>
      </c>
      <c r="AD2236" s="52">
        <f>IF(AB2236="","",IFERROR(INDEX(ctaTipo,MATCH(AB2236,ctaNombre,0))&amp;"",""))</f>
        <v/>
      </c>
      <c r="AE2236" s="52">
        <f>IF(AC2236="","",IFERROR(INDEX(ctaTipo,MATCH(AC2236,ctaNombre,0))&amp;"",""))</f>
        <v/>
      </c>
      <c r="AF2236" s="53">
        <f>IF(OR(P2236="",AB2236=""),"",IF(OR(P2236="Gasto",P2236="Transferencia",P2236="Pago tarjeta"),-1,1)*IF(IFERROR(INDEX(ctaMoneda,MATCH(AB2236,ctaNombre,0))&amp;"","DOP")="USD",T2236,S2236))</f>
        <v/>
      </c>
      <c r="AG2236" s="53">
        <f>IF(AC2236="","",IF(IFERROR(INDEX(ctaMoneda,MATCH(AC2236,ctaNombre,0))&amp;"","DOP")="USD",T2236,S2236))</f>
        <v/>
      </c>
      <c r="AH2236" s="53">
        <f>IF(P2236="","",IF(AND(AD2236&lt;&gt;"",COUNTIFS(tcTipo,AD2236,tcLiq,"Sí")&gt;0),IF(OR(P2236="Gasto",P2236="Transferencia",P2236="Pago tarjeta"),-1,1)*S2236,0)+IF(AND(AE2236&lt;&gt;"",COUNTIFS(tcTipo,AE2236,tcLiq,"Sí")&gt;0),S2236,0))</f>
        <v/>
      </c>
      <c r="AI2236" s="52">
        <f>IF(OR(L2236="",P2236=""),"",IF(COUNTIFS(L$6:L2236,L2236,P$6:P2236,"?*")=1,MAX(AI$5:AI2235)+1,""))</f>
        <v/>
      </c>
    </row>
    <row r="2237">
      <c r="B2237" s="47" t="n"/>
      <c r="C2237" s="48" t="n"/>
      <c r="D2237" s="48" t="n"/>
      <c r="E2237" s="48" t="n"/>
      <c r="F2237" s="48" t="n"/>
      <c r="G2237" s="49" t="n"/>
      <c r="H2237" s="48" t="n"/>
      <c r="I2237" s="50" t="n"/>
      <c r="J2237" s="48" t="n"/>
      <c r="K2237" s="48" t="n"/>
      <c r="L2237" s="48" t="n"/>
      <c r="M2237" s="48" t="n"/>
      <c r="N2237" s="48" t="n"/>
      <c r="O2237" s="51">
        <f>IF(AND(B2237="",G2237="",C2237="",D2237="",J2237=""),"",IF(B2237="","⚠ Falta fecha",IF(G2237="","⚠ Falta monto",IF(Q2237="","⚠ Falta cuenta",IF(ISNA(MATCH(Q2237,ctaNombre,0)),"⚠ Cuenta no registrada",IF(AND(OR(P2237="Gasto",P2237="Reembolso"),D2237=""),"⚠ Falta categoría",IF(AND(D2237&lt;&gt;"",E2237&lt;&gt;"",ISNA(MATCH(D2237&amp;"|"&amp;E2237,catClave,0))),"⚠ Subcategoría no corresponde",IF(AND(OR(P2237="Transferencia",P2237="Pago tarjeta"),K2237=""),"⚠ Falta cuenta destino",IF(AND(K2237&lt;&gt;"",P2237&lt;&gt;"Transferencia",P2237&lt;&gt;"Pago tarjeta"),"⚠ Destino solo aplica a transferencias",IF(AND(K2237&lt;&gt;"",K2237=Q2237),"⚠ Origen igual a destino",IF(AND(K2237&lt;&gt;"",ISNA(MATCH(K2237,ctaNombre,0))),"⚠ Destino no registrado",IF(AND(P2237="Pago tarjeta",AE2237&lt;&gt;"Tarjeta de crédito"),"⚠ El destino debe ser tarjeta de crédito",IF(AND(P2237="Gasto",E2237="Depósitos y retiros"),"⚠ Usa tipo Transferencia",IF(AND(P2237="Resultado trading",AD2237&lt;&gt;"Cuenta de trading"),"⚠ Usa una cuenta de trading",IF(AND(G2237&lt;=0,P2237&lt;&gt;"Ajuste",P2237&lt;&gt;"Resultado trading"),"⚠ El monto debe ser positivo","✓")))))))))))))))</f>
        <v/>
      </c>
      <c r="P2237" s="52">
        <f>IF(OR(B2237="",G2237=""),"",IF(C2237="","Gasto",C2237))</f>
        <v/>
      </c>
      <c r="Q2237" s="52">
        <f>IF(P2237="","",IF(J2237&lt;&gt;"",J2237,CuentaPred&amp;""))</f>
        <v/>
      </c>
      <c r="R2237" s="52">
        <f>IF(P2237="","",IF(ISNUMBER(I2237),I2237,TasaUSD))</f>
        <v/>
      </c>
      <c r="S2237" s="53">
        <f>IF(P2237="","",IF(H2237="USD",G2237*R2237,G2237))</f>
        <v/>
      </c>
      <c r="T2237" s="53">
        <f>IF(P2237="","",IF(H2237="USD",G2237,IF(R2237&gt;0,G2237/R2237,0)))</f>
        <v/>
      </c>
      <c r="U2237" s="53">
        <f>IF(P2237="","",IF(P2237="Gasto",S2237,IF(P2237="Reembolso",-S2237,0)))</f>
        <v/>
      </c>
      <c r="V2237" s="53">
        <f>IF(P2237="","",IF(P2237="Ingreso",S2237,0))</f>
        <v/>
      </c>
      <c r="W2237" s="53">
        <f>IF(P2237="","",IF(P2237="Resultado trading",S2237,0))</f>
        <v/>
      </c>
      <c r="X2237" s="52">
        <f>IF(OR(P2237="Gasto",P2237="Reembolso"),IF(M2237&lt;&gt;"",M2237,IFERROR(INDEX(catClasif,MATCH(D2237&amp;"|"&amp;E2237,catClave,0))&amp;"","Variable")),"")</f>
        <v/>
      </c>
      <c r="Y2237" s="52">
        <f>IF(P2237="","",IFERROR(INDEX(catGrupo,MATCH(D2237&amp;"|"&amp;E2237,catClave,0))&amp;"",""))</f>
        <v/>
      </c>
      <c r="Z2237" s="52">
        <f>IF(P2237="","",WEEKDAY(B2237,2))</f>
        <v/>
      </c>
      <c r="AA2237" s="52">
        <f>IF(P2237="","",IF(AND(P2237="Gasto",X2237="Variable",D2237&lt;&gt;catTrading,S2237&gt;0,S2237&lt;=Umbral),1,0))</f>
        <v/>
      </c>
      <c r="AB2237" s="52">
        <f>IF(OR(P2237="",Q2237=""),"",IFERROR(IF(INDEX(ctaVinc,MATCH(Q2237,ctaNombre,0))&amp;""&lt;&gt;"",INDEX(ctaVinc,MATCH(Q2237,ctaNombre,0))&amp;"",Q2237),Q2237))</f>
        <v/>
      </c>
      <c r="AC2237" s="52">
        <f>IF(OR(K2237="",AND(P2237&lt;&gt;"Transferencia",P2237&lt;&gt;"Pago tarjeta")),"",IFERROR(IF(INDEX(ctaVinc,MATCH(K2237,ctaNombre,0))&amp;""&lt;&gt;"",INDEX(ctaVinc,MATCH(K2237,ctaNombre,0))&amp;"",K2237),K2237))</f>
        <v/>
      </c>
      <c r="AD2237" s="52">
        <f>IF(AB2237="","",IFERROR(INDEX(ctaTipo,MATCH(AB2237,ctaNombre,0))&amp;"",""))</f>
        <v/>
      </c>
      <c r="AE2237" s="52">
        <f>IF(AC2237="","",IFERROR(INDEX(ctaTipo,MATCH(AC2237,ctaNombre,0))&amp;"",""))</f>
        <v/>
      </c>
      <c r="AF2237" s="53">
        <f>IF(OR(P2237="",AB2237=""),"",IF(OR(P2237="Gasto",P2237="Transferencia",P2237="Pago tarjeta"),-1,1)*IF(IFERROR(INDEX(ctaMoneda,MATCH(AB2237,ctaNombre,0))&amp;"","DOP")="USD",T2237,S2237))</f>
        <v/>
      </c>
      <c r="AG2237" s="53">
        <f>IF(AC2237="","",IF(IFERROR(INDEX(ctaMoneda,MATCH(AC2237,ctaNombre,0))&amp;"","DOP")="USD",T2237,S2237))</f>
        <v/>
      </c>
      <c r="AH2237" s="53">
        <f>IF(P2237="","",IF(AND(AD2237&lt;&gt;"",COUNTIFS(tcTipo,AD2237,tcLiq,"Sí")&gt;0),IF(OR(P2237="Gasto",P2237="Transferencia",P2237="Pago tarjeta"),-1,1)*S2237,0)+IF(AND(AE2237&lt;&gt;"",COUNTIFS(tcTipo,AE2237,tcLiq,"Sí")&gt;0),S2237,0))</f>
        <v/>
      </c>
      <c r="AI2237" s="52">
        <f>IF(OR(L2237="",P2237=""),"",IF(COUNTIFS(L$6:L2237,L2237,P$6:P2237,"?*")=1,MAX(AI$5:AI2236)+1,""))</f>
        <v/>
      </c>
    </row>
    <row r="2238">
      <c r="B2238" s="47" t="n"/>
      <c r="C2238" s="48" t="n"/>
      <c r="D2238" s="48" t="n"/>
      <c r="E2238" s="48" t="n"/>
      <c r="F2238" s="48" t="n"/>
      <c r="G2238" s="49" t="n"/>
      <c r="H2238" s="48" t="n"/>
      <c r="I2238" s="50" t="n"/>
      <c r="J2238" s="48" t="n"/>
      <c r="K2238" s="48" t="n"/>
      <c r="L2238" s="48" t="n"/>
      <c r="M2238" s="48" t="n"/>
      <c r="N2238" s="48" t="n"/>
      <c r="O2238" s="51">
        <f>IF(AND(B2238="",G2238="",C2238="",D2238="",J2238=""),"",IF(B2238="","⚠ Falta fecha",IF(G2238="","⚠ Falta monto",IF(Q2238="","⚠ Falta cuenta",IF(ISNA(MATCH(Q2238,ctaNombre,0)),"⚠ Cuenta no registrada",IF(AND(OR(P2238="Gasto",P2238="Reembolso"),D2238=""),"⚠ Falta categoría",IF(AND(D2238&lt;&gt;"",E2238&lt;&gt;"",ISNA(MATCH(D2238&amp;"|"&amp;E2238,catClave,0))),"⚠ Subcategoría no corresponde",IF(AND(OR(P2238="Transferencia",P2238="Pago tarjeta"),K2238=""),"⚠ Falta cuenta destino",IF(AND(K2238&lt;&gt;"",P2238&lt;&gt;"Transferencia",P2238&lt;&gt;"Pago tarjeta"),"⚠ Destino solo aplica a transferencias",IF(AND(K2238&lt;&gt;"",K2238=Q2238),"⚠ Origen igual a destino",IF(AND(K2238&lt;&gt;"",ISNA(MATCH(K2238,ctaNombre,0))),"⚠ Destino no registrado",IF(AND(P2238="Pago tarjeta",AE2238&lt;&gt;"Tarjeta de crédito"),"⚠ El destino debe ser tarjeta de crédito",IF(AND(P2238="Gasto",E2238="Depósitos y retiros"),"⚠ Usa tipo Transferencia",IF(AND(P2238="Resultado trading",AD2238&lt;&gt;"Cuenta de trading"),"⚠ Usa una cuenta de trading",IF(AND(G2238&lt;=0,P2238&lt;&gt;"Ajuste",P2238&lt;&gt;"Resultado trading"),"⚠ El monto debe ser positivo","✓")))))))))))))))</f>
        <v/>
      </c>
      <c r="P2238" s="52">
        <f>IF(OR(B2238="",G2238=""),"",IF(C2238="","Gasto",C2238))</f>
        <v/>
      </c>
      <c r="Q2238" s="52">
        <f>IF(P2238="","",IF(J2238&lt;&gt;"",J2238,CuentaPred&amp;""))</f>
        <v/>
      </c>
      <c r="R2238" s="52">
        <f>IF(P2238="","",IF(ISNUMBER(I2238),I2238,TasaUSD))</f>
        <v/>
      </c>
      <c r="S2238" s="53">
        <f>IF(P2238="","",IF(H2238="USD",G2238*R2238,G2238))</f>
        <v/>
      </c>
      <c r="T2238" s="53">
        <f>IF(P2238="","",IF(H2238="USD",G2238,IF(R2238&gt;0,G2238/R2238,0)))</f>
        <v/>
      </c>
      <c r="U2238" s="53">
        <f>IF(P2238="","",IF(P2238="Gasto",S2238,IF(P2238="Reembolso",-S2238,0)))</f>
        <v/>
      </c>
      <c r="V2238" s="53">
        <f>IF(P2238="","",IF(P2238="Ingreso",S2238,0))</f>
        <v/>
      </c>
      <c r="W2238" s="53">
        <f>IF(P2238="","",IF(P2238="Resultado trading",S2238,0))</f>
        <v/>
      </c>
      <c r="X2238" s="52">
        <f>IF(OR(P2238="Gasto",P2238="Reembolso"),IF(M2238&lt;&gt;"",M2238,IFERROR(INDEX(catClasif,MATCH(D2238&amp;"|"&amp;E2238,catClave,0))&amp;"","Variable")),"")</f>
        <v/>
      </c>
      <c r="Y2238" s="52">
        <f>IF(P2238="","",IFERROR(INDEX(catGrupo,MATCH(D2238&amp;"|"&amp;E2238,catClave,0))&amp;"",""))</f>
        <v/>
      </c>
      <c r="Z2238" s="52">
        <f>IF(P2238="","",WEEKDAY(B2238,2))</f>
        <v/>
      </c>
      <c r="AA2238" s="52">
        <f>IF(P2238="","",IF(AND(P2238="Gasto",X2238="Variable",D2238&lt;&gt;catTrading,S2238&gt;0,S2238&lt;=Umbral),1,0))</f>
        <v/>
      </c>
      <c r="AB2238" s="52">
        <f>IF(OR(P2238="",Q2238=""),"",IFERROR(IF(INDEX(ctaVinc,MATCH(Q2238,ctaNombre,0))&amp;""&lt;&gt;"",INDEX(ctaVinc,MATCH(Q2238,ctaNombre,0))&amp;"",Q2238),Q2238))</f>
        <v/>
      </c>
      <c r="AC2238" s="52">
        <f>IF(OR(K2238="",AND(P2238&lt;&gt;"Transferencia",P2238&lt;&gt;"Pago tarjeta")),"",IFERROR(IF(INDEX(ctaVinc,MATCH(K2238,ctaNombre,0))&amp;""&lt;&gt;"",INDEX(ctaVinc,MATCH(K2238,ctaNombre,0))&amp;"",K2238),K2238))</f>
        <v/>
      </c>
      <c r="AD2238" s="52">
        <f>IF(AB2238="","",IFERROR(INDEX(ctaTipo,MATCH(AB2238,ctaNombre,0))&amp;"",""))</f>
        <v/>
      </c>
      <c r="AE2238" s="52">
        <f>IF(AC2238="","",IFERROR(INDEX(ctaTipo,MATCH(AC2238,ctaNombre,0))&amp;"",""))</f>
        <v/>
      </c>
      <c r="AF2238" s="53">
        <f>IF(OR(P2238="",AB2238=""),"",IF(OR(P2238="Gasto",P2238="Transferencia",P2238="Pago tarjeta"),-1,1)*IF(IFERROR(INDEX(ctaMoneda,MATCH(AB2238,ctaNombre,0))&amp;"","DOP")="USD",T2238,S2238))</f>
        <v/>
      </c>
      <c r="AG2238" s="53">
        <f>IF(AC2238="","",IF(IFERROR(INDEX(ctaMoneda,MATCH(AC2238,ctaNombre,0))&amp;"","DOP")="USD",T2238,S2238))</f>
        <v/>
      </c>
      <c r="AH2238" s="53">
        <f>IF(P2238="","",IF(AND(AD2238&lt;&gt;"",COUNTIFS(tcTipo,AD2238,tcLiq,"Sí")&gt;0),IF(OR(P2238="Gasto",P2238="Transferencia",P2238="Pago tarjeta"),-1,1)*S2238,0)+IF(AND(AE2238&lt;&gt;"",COUNTIFS(tcTipo,AE2238,tcLiq,"Sí")&gt;0),S2238,0))</f>
        <v/>
      </c>
      <c r="AI2238" s="52">
        <f>IF(OR(L2238="",P2238=""),"",IF(COUNTIFS(L$6:L2238,L2238,P$6:P2238,"?*")=1,MAX(AI$5:AI2237)+1,""))</f>
        <v/>
      </c>
    </row>
    <row r="2239">
      <c r="B2239" s="47" t="n"/>
      <c r="C2239" s="48" t="n"/>
      <c r="D2239" s="48" t="n"/>
      <c r="E2239" s="48" t="n"/>
      <c r="F2239" s="48" t="n"/>
      <c r="G2239" s="49" t="n"/>
      <c r="H2239" s="48" t="n"/>
      <c r="I2239" s="50" t="n"/>
      <c r="J2239" s="48" t="n"/>
      <c r="K2239" s="48" t="n"/>
      <c r="L2239" s="48" t="n"/>
      <c r="M2239" s="48" t="n"/>
      <c r="N2239" s="48" t="n"/>
      <c r="O2239" s="51">
        <f>IF(AND(B2239="",G2239="",C2239="",D2239="",J2239=""),"",IF(B2239="","⚠ Falta fecha",IF(G2239="","⚠ Falta monto",IF(Q2239="","⚠ Falta cuenta",IF(ISNA(MATCH(Q2239,ctaNombre,0)),"⚠ Cuenta no registrada",IF(AND(OR(P2239="Gasto",P2239="Reembolso"),D2239=""),"⚠ Falta categoría",IF(AND(D2239&lt;&gt;"",E2239&lt;&gt;"",ISNA(MATCH(D2239&amp;"|"&amp;E2239,catClave,0))),"⚠ Subcategoría no corresponde",IF(AND(OR(P2239="Transferencia",P2239="Pago tarjeta"),K2239=""),"⚠ Falta cuenta destino",IF(AND(K2239&lt;&gt;"",P2239&lt;&gt;"Transferencia",P2239&lt;&gt;"Pago tarjeta"),"⚠ Destino solo aplica a transferencias",IF(AND(K2239&lt;&gt;"",K2239=Q2239),"⚠ Origen igual a destino",IF(AND(K2239&lt;&gt;"",ISNA(MATCH(K2239,ctaNombre,0))),"⚠ Destino no registrado",IF(AND(P2239="Pago tarjeta",AE2239&lt;&gt;"Tarjeta de crédito"),"⚠ El destino debe ser tarjeta de crédito",IF(AND(P2239="Gasto",E2239="Depósitos y retiros"),"⚠ Usa tipo Transferencia",IF(AND(P2239="Resultado trading",AD2239&lt;&gt;"Cuenta de trading"),"⚠ Usa una cuenta de trading",IF(AND(G2239&lt;=0,P2239&lt;&gt;"Ajuste",P2239&lt;&gt;"Resultado trading"),"⚠ El monto debe ser positivo","✓")))))))))))))))</f>
        <v/>
      </c>
      <c r="P2239" s="52">
        <f>IF(OR(B2239="",G2239=""),"",IF(C2239="","Gasto",C2239))</f>
        <v/>
      </c>
      <c r="Q2239" s="52">
        <f>IF(P2239="","",IF(J2239&lt;&gt;"",J2239,CuentaPred&amp;""))</f>
        <v/>
      </c>
      <c r="R2239" s="52">
        <f>IF(P2239="","",IF(ISNUMBER(I2239),I2239,TasaUSD))</f>
        <v/>
      </c>
      <c r="S2239" s="53">
        <f>IF(P2239="","",IF(H2239="USD",G2239*R2239,G2239))</f>
        <v/>
      </c>
      <c r="T2239" s="53">
        <f>IF(P2239="","",IF(H2239="USD",G2239,IF(R2239&gt;0,G2239/R2239,0)))</f>
        <v/>
      </c>
      <c r="U2239" s="53">
        <f>IF(P2239="","",IF(P2239="Gasto",S2239,IF(P2239="Reembolso",-S2239,0)))</f>
        <v/>
      </c>
      <c r="V2239" s="53">
        <f>IF(P2239="","",IF(P2239="Ingreso",S2239,0))</f>
        <v/>
      </c>
      <c r="W2239" s="53">
        <f>IF(P2239="","",IF(P2239="Resultado trading",S2239,0))</f>
        <v/>
      </c>
      <c r="X2239" s="52">
        <f>IF(OR(P2239="Gasto",P2239="Reembolso"),IF(M2239&lt;&gt;"",M2239,IFERROR(INDEX(catClasif,MATCH(D2239&amp;"|"&amp;E2239,catClave,0))&amp;"","Variable")),"")</f>
        <v/>
      </c>
      <c r="Y2239" s="52">
        <f>IF(P2239="","",IFERROR(INDEX(catGrupo,MATCH(D2239&amp;"|"&amp;E2239,catClave,0))&amp;"",""))</f>
        <v/>
      </c>
      <c r="Z2239" s="52">
        <f>IF(P2239="","",WEEKDAY(B2239,2))</f>
        <v/>
      </c>
      <c r="AA2239" s="52">
        <f>IF(P2239="","",IF(AND(P2239="Gasto",X2239="Variable",D2239&lt;&gt;catTrading,S2239&gt;0,S2239&lt;=Umbral),1,0))</f>
        <v/>
      </c>
      <c r="AB2239" s="52">
        <f>IF(OR(P2239="",Q2239=""),"",IFERROR(IF(INDEX(ctaVinc,MATCH(Q2239,ctaNombre,0))&amp;""&lt;&gt;"",INDEX(ctaVinc,MATCH(Q2239,ctaNombre,0))&amp;"",Q2239),Q2239))</f>
        <v/>
      </c>
      <c r="AC2239" s="52">
        <f>IF(OR(K2239="",AND(P2239&lt;&gt;"Transferencia",P2239&lt;&gt;"Pago tarjeta")),"",IFERROR(IF(INDEX(ctaVinc,MATCH(K2239,ctaNombre,0))&amp;""&lt;&gt;"",INDEX(ctaVinc,MATCH(K2239,ctaNombre,0))&amp;"",K2239),K2239))</f>
        <v/>
      </c>
      <c r="AD2239" s="52">
        <f>IF(AB2239="","",IFERROR(INDEX(ctaTipo,MATCH(AB2239,ctaNombre,0))&amp;"",""))</f>
        <v/>
      </c>
      <c r="AE2239" s="52">
        <f>IF(AC2239="","",IFERROR(INDEX(ctaTipo,MATCH(AC2239,ctaNombre,0))&amp;"",""))</f>
        <v/>
      </c>
      <c r="AF2239" s="53">
        <f>IF(OR(P2239="",AB2239=""),"",IF(OR(P2239="Gasto",P2239="Transferencia",P2239="Pago tarjeta"),-1,1)*IF(IFERROR(INDEX(ctaMoneda,MATCH(AB2239,ctaNombre,0))&amp;"","DOP")="USD",T2239,S2239))</f>
        <v/>
      </c>
      <c r="AG2239" s="53">
        <f>IF(AC2239="","",IF(IFERROR(INDEX(ctaMoneda,MATCH(AC2239,ctaNombre,0))&amp;"","DOP")="USD",T2239,S2239))</f>
        <v/>
      </c>
      <c r="AH2239" s="53">
        <f>IF(P2239="","",IF(AND(AD2239&lt;&gt;"",COUNTIFS(tcTipo,AD2239,tcLiq,"Sí")&gt;0),IF(OR(P2239="Gasto",P2239="Transferencia",P2239="Pago tarjeta"),-1,1)*S2239,0)+IF(AND(AE2239&lt;&gt;"",COUNTIFS(tcTipo,AE2239,tcLiq,"Sí")&gt;0),S2239,0))</f>
        <v/>
      </c>
      <c r="AI2239" s="52">
        <f>IF(OR(L2239="",P2239=""),"",IF(COUNTIFS(L$6:L2239,L2239,P$6:P2239,"?*")=1,MAX(AI$5:AI2238)+1,""))</f>
        <v/>
      </c>
    </row>
    <row r="2240">
      <c r="B2240" s="47" t="n"/>
      <c r="C2240" s="48" t="n"/>
      <c r="D2240" s="48" t="n"/>
      <c r="E2240" s="48" t="n"/>
      <c r="F2240" s="48" t="n"/>
      <c r="G2240" s="49" t="n"/>
      <c r="H2240" s="48" t="n"/>
      <c r="I2240" s="50" t="n"/>
      <c r="J2240" s="48" t="n"/>
      <c r="K2240" s="48" t="n"/>
      <c r="L2240" s="48" t="n"/>
      <c r="M2240" s="48" t="n"/>
      <c r="N2240" s="48" t="n"/>
      <c r="O2240" s="51">
        <f>IF(AND(B2240="",G2240="",C2240="",D2240="",J2240=""),"",IF(B2240="","⚠ Falta fecha",IF(G2240="","⚠ Falta monto",IF(Q2240="","⚠ Falta cuenta",IF(ISNA(MATCH(Q2240,ctaNombre,0)),"⚠ Cuenta no registrada",IF(AND(OR(P2240="Gasto",P2240="Reembolso"),D2240=""),"⚠ Falta categoría",IF(AND(D2240&lt;&gt;"",E2240&lt;&gt;"",ISNA(MATCH(D2240&amp;"|"&amp;E2240,catClave,0))),"⚠ Subcategoría no corresponde",IF(AND(OR(P2240="Transferencia",P2240="Pago tarjeta"),K2240=""),"⚠ Falta cuenta destino",IF(AND(K2240&lt;&gt;"",P2240&lt;&gt;"Transferencia",P2240&lt;&gt;"Pago tarjeta"),"⚠ Destino solo aplica a transferencias",IF(AND(K2240&lt;&gt;"",K2240=Q2240),"⚠ Origen igual a destino",IF(AND(K2240&lt;&gt;"",ISNA(MATCH(K2240,ctaNombre,0))),"⚠ Destino no registrado",IF(AND(P2240="Pago tarjeta",AE2240&lt;&gt;"Tarjeta de crédito"),"⚠ El destino debe ser tarjeta de crédito",IF(AND(P2240="Gasto",E2240="Depósitos y retiros"),"⚠ Usa tipo Transferencia",IF(AND(P2240="Resultado trading",AD2240&lt;&gt;"Cuenta de trading"),"⚠ Usa una cuenta de trading",IF(AND(G2240&lt;=0,P2240&lt;&gt;"Ajuste",P2240&lt;&gt;"Resultado trading"),"⚠ El monto debe ser positivo","✓")))))))))))))))</f>
        <v/>
      </c>
      <c r="P2240" s="52">
        <f>IF(OR(B2240="",G2240=""),"",IF(C2240="","Gasto",C2240))</f>
        <v/>
      </c>
      <c r="Q2240" s="52">
        <f>IF(P2240="","",IF(J2240&lt;&gt;"",J2240,CuentaPred&amp;""))</f>
        <v/>
      </c>
      <c r="R2240" s="52">
        <f>IF(P2240="","",IF(ISNUMBER(I2240),I2240,TasaUSD))</f>
        <v/>
      </c>
      <c r="S2240" s="53">
        <f>IF(P2240="","",IF(H2240="USD",G2240*R2240,G2240))</f>
        <v/>
      </c>
      <c r="T2240" s="53">
        <f>IF(P2240="","",IF(H2240="USD",G2240,IF(R2240&gt;0,G2240/R2240,0)))</f>
        <v/>
      </c>
      <c r="U2240" s="53">
        <f>IF(P2240="","",IF(P2240="Gasto",S2240,IF(P2240="Reembolso",-S2240,0)))</f>
        <v/>
      </c>
      <c r="V2240" s="53">
        <f>IF(P2240="","",IF(P2240="Ingreso",S2240,0))</f>
        <v/>
      </c>
      <c r="W2240" s="53">
        <f>IF(P2240="","",IF(P2240="Resultado trading",S2240,0))</f>
        <v/>
      </c>
      <c r="X2240" s="52">
        <f>IF(OR(P2240="Gasto",P2240="Reembolso"),IF(M2240&lt;&gt;"",M2240,IFERROR(INDEX(catClasif,MATCH(D2240&amp;"|"&amp;E2240,catClave,0))&amp;"","Variable")),"")</f>
        <v/>
      </c>
      <c r="Y2240" s="52">
        <f>IF(P2240="","",IFERROR(INDEX(catGrupo,MATCH(D2240&amp;"|"&amp;E2240,catClave,0))&amp;"",""))</f>
        <v/>
      </c>
      <c r="Z2240" s="52">
        <f>IF(P2240="","",WEEKDAY(B2240,2))</f>
        <v/>
      </c>
      <c r="AA2240" s="52">
        <f>IF(P2240="","",IF(AND(P2240="Gasto",X2240="Variable",D2240&lt;&gt;catTrading,S2240&gt;0,S2240&lt;=Umbral),1,0))</f>
        <v/>
      </c>
      <c r="AB2240" s="52">
        <f>IF(OR(P2240="",Q2240=""),"",IFERROR(IF(INDEX(ctaVinc,MATCH(Q2240,ctaNombre,0))&amp;""&lt;&gt;"",INDEX(ctaVinc,MATCH(Q2240,ctaNombre,0))&amp;"",Q2240),Q2240))</f>
        <v/>
      </c>
      <c r="AC2240" s="52">
        <f>IF(OR(K2240="",AND(P2240&lt;&gt;"Transferencia",P2240&lt;&gt;"Pago tarjeta")),"",IFERROR(IF(INDEX(ctaVinc,MATCH(K2240,ctaNombre,0))&amp;""&lt;&gt;"",INDEX(ctaVinc,MATCH(K2240,ctaNombre,0))&amp;"",K2240),K2240))</f>
        <v/>
      </c>
      <c r="AD2240" s="52">
        <f>IF(AB2240="","",IFERROR(INDEX(ctaTipo,MATCH(AB2240,ctaNombre,0))&amp;"",""))</f>
        <v/>
      </c>
      <c r="AE2240" s="52">
        <f>IF(AC2240="","",IFERROR(INDEX(ctaTipo,MATCH(AC2240,ctaNombre,0))&amp;"",""))</f>
        <v/>
      </c>
      <c r="AF2240" s="53">
        <f>IF(OR(P2240="",AB2240=""),"",IF(OR(P2240="Gasto",P2240="Transferencia",P2240="Pago tarjeta"),-1,1)*IF(IFERROR(INDEX(ctaMoneda,MATCH(AB2240,ctaNombre,0))&amp;"","DOP")="USD",T2240,S2240))</f>
        <v/>
      </c>
      <c r="AG2240" s="53">
        <f>IF(AC2240="","",IF(IFERROR(INDEX(ctaMoneda,MATCH(AC2240,ctaNombre,0))&amp;"","DOP")="USD",T2240,S2240))</f>
        <v/>
      </c>
      <c r="AH2240" s="53">
        <f>IF(P2240="","",IF(AND(AD2240&lt;&gt;"",COUNTIFS(tcTipo,AD2240,tcLiq,"Sí")&gt;0),IF(OR(P2240="Gasto",P2240="Transferencia",P2240="Pago tarjeta"),-1,1)*S2240,0)+IF(AND(AE2240&lt;&gt;"",COUNTIFS(tcTipo,AE2240,tcLiq,"Sí")&gt;0),S2240,0))</f>
        <v/>
      </c>
      <c r="AI2240" s="52">
        <f>IF(OR(L2240="",P2240=""),"",IF(COUNTIFS(L$6:L2240,L2240,P$6:P2240,"?*")=1,MAX(AI$5:AI2239)+1,""))</f>
        <v/>
      </c>
    </row>
    <row r="2241">
      <c r="B2241" s="47" t="n"/>
      <c r="C2241" s="48" t="n"/>
      <c r="D2241" s="48" t="n"/>
      <c r="E2241" s="48" t="n"/>
      <c r="F2241" s="48" t="n"/>
      <c r="G2241" s="49" t="n"/>
      <c r="H2241" s="48" t="n"/>
      <c r="I2241" s="50" t="n"/>
      <c r="J2241" s="48" t="n"/>
      <c r="K2241" s="48" t="n"/>
      <c r="L2241" s="48" t="n"/>
      <c r="M2241" s="48" t="n"/>
      <c r="N2241" s="48" t="n"/>
      <c r="O2241" s="51">
        <f>IF(AND(B2241="",G2241="",C2241="",D2241="",J2241=""),"",IF(B2241="","⚠ Falta fecha",IF(G2241="","⚠ Falta monto",IF(Q2241="","⚠ Falta cuenta",IF(ISNA(MATCH(Q2241,ctaNombre,0)),"⚠ Cuenta no registrada",IF(AND(OR(P2241="Gasto",P2241="Reembolso"),D2241=""),"⚠ Falta categoría",IF(AND(D2241&lt;&gt;"",E2241&lt;&gt;"",ISNA(MATCH(D2241&amp;"|"&amp;E2241,catClave,0))),"⚠ Subcategoría no corresponde",IF(AND(OR(P2241="Transferencia",P2241="Pago tarjeta"),K2241=""),"⚠ Falta cuenta destino",IF(AND(K2241&lt;&gt;"",P2241&lt;&gt;"Transferencia",P2241&lt;&gt;"Pago tarjeta"),"⚠ Destino solo aplica a transferencias",IF(AND(K2241&lt;&gt;"",K2241=Q2241),"⚠ Origen igual a destino",IF(AND(K2241&lt;&gt;"",ISNA(MATCH(K2241,ctaNombre,0))),"⚠ Destino no registrado",IF(AND(P2241="Pago tarjeta",AE2241&lt;&gt;"Tarjeta de crédito"),"⚠ El destino debe ser tarjeta de crédito",IF(AND(P2241="Gasto",E2241="Depósitos y retiros"),"⚠ Usa tipo Transferencia",IF(AND(P2241="Resultado trading",AD2241&lt;&gt;"Cuenta de trading"),"⚠ Usa una cuenta de trading",IF(AND(G2241&lt;=0,P2241&lt;&gt;"Ajuste",P2241&lt;&gt;"Resultado trading"),"⚠ El monto debe ser positivo","✓")))))))))))))))</f>
        <v/>
      </c>
      <c r="P2241" s="52">
        <f>IF(OR(B2241="",G2241=""),"",IF(C2241="","Gasto",C2241))</f>
        <v/>
      </c>
      <c r="Q2241" s="52">
        <f>IF(P2241="","",IF(J2241&lt;&gt;"",J2241,CuentaPred&amp;""))</f>
        <v/>
      </c>
      <c r="R2241" s="52">
        <f>IF(P2241="","",IF(ISNUMBER(I2241),I2241,TasaUSD))</f>
        <v/>
      </c>
      <c r="S2241" s="53">
        <f>IF(P2241="","",IF(H2241="USD",G2241*R2241,G2241))</f>
        <v/>
      </c>
      <c r="T2241" s="53">
        <f>IF(P2241="","",IF(H2241="USD",G2241,IF(R2241&gt;0,G2241/R2241,0)))</f>
        <v/>
      </c>
      <c r="U2241" s="53">
        <f>IF(P2241="","",IF(P2241="Gasto",S2241,IF(P2241="Reembolso",-S2241,0)))</f>
        <v/>
      </c>
      <c r="V2241" s="53">
        <f>IF(P2241="","",IF(P2241="Ingreso",S2241,0))</f>
        <v/>
      </c>
      <c r="W2241" s="53">
        <f>IF(P2241="","",IF(P2241="Resultado trading",S2241,0))</f>
        <v/>
      </c>
      <c r="X2241" s="52">
        <f>IF(OR(P2241="Gasto",P2241="Reembolso"),IF(M2241&lt;&gt;"",M2241,IFERROR(INDEX(catClasif,MATCH(D2241&amp;"|"&amp;E2241,catClave,0))&amp;"","Variable")),"")</f>
        <v/>
      </c>
      <c r="Y2241" s="52">
        <f>IF(P2241="","",IFERROR(INDEX(catGrupo,MATCH(D2241&amp;"|"&amp;E2241,catClave,0))&amp;"",""))</f>
        <v/>
      </c>
      <c r="Z2241" s="52">
        <f>IF(P2241="","",WEEKDAY(B2241,2))</f>
        <v/>
      </c>
      <c r="AA2241" s="52">
        <f>IF(P2241="","",IF(AND(P2241="Gasto",X2241="Variable",D2241&lt;&gt;catTrading,S2241&gt;0,S2241&lt;=Umbral),1,0))</f>
        <v/>
      </c>
      <c r="AB2241" s="52">
        <f>IF(OR(P2241="",Q2241=""),"",IFERROR(IF(INDEX(ctaVinc,MATCH(Q2241,ctaNombre,0))&amp;""&lt;&gt;"",INDEX(ctaVinc,MATCH(Q2241,ctaNombre,0))&amp;"",Q2241),Q2241))</f>
        <v/>
      </c>
      <c r="AC2241" s="52">
        <f>IF(OR(K2241="",AND(P2241&lt;&gt;"Transferencia",P2241&lt;&gt;"Pago tarjeta")),"",IFERROR(IF(INDEX(ctaVinc,MATCH(K2241,ctaNombre,0))&amp;""&lt;&gt;"",INDEX(ctaVinc,MATCH(K2241,ctaNombre,0))&amp;"",K2241),K2241))</f>
        <v/>
      </c>
      <c r="AD2241" s="52">
        <f>IF(AB2241="","",IFERROR(INDEX(ctaTipo,MATCH(AB2241,ctaNombre,0))&amp;"",""))</f>
        <v/>
      </c>
      <c r="AE2241" s="52">
        <f>IF(AC2241="","",IFERROR(INDEX(ctaTipo,MATCH(AC2241,ctaNombre,0))&amp;"",""))</f>
        <v/>
      </c>
      <c r="AF2241" s="53">
        <f>IF(OR(P2241="",AB2241=""),"",IF(OR(P2241="Gasto",P2241="Transferencia",P2241="Pago tarjeta"),-1,1)*IF(IFERROR(INDEX(ctaMoneda,MATCH(AB2241,ctaNombre,0))&amp;"","DOP")="USD",T2241,S2241))</f>
        <v/>
      </c>
      <c r="AG2241" s="53">
        <f>IF(AC2241="","",IF(IFERROR(INDEX(ctaMoneda,MATCH(AC2241,ctaNombre,0))&amp;"","DOP")="USD",T2241,S2241))</f>
        <v/>
      </c>
      <c r="AH2241" s="53">
        <f>IF(P2241="","",IF(AND(AD2241&lt;&gt;"",COUNTIFS(tcTipo,AD2241,tcLiq,"Sí")&gt;0),IF(OR(P2241="Gasto",P2241="Transferencia",P2241="Pago tarjeta"),-1,1)*S2241,0)+IF(AND(AE2241&lt;&gt;"",COUNTIFS(tcTipo,AE2241,tcLiq,"Sí")&gt;0),S2241,0))</f>
        <v/>
      </c>
      <c r="AI2241" s="52">
        <f>IF(OR(L2241="",P2241=""),"",IF(COUNTIFS(L$6:L2241,L2241,P$6:P2241,"?*")=1,MAX(AI$5:AI2240)+1,""))</f>
        <v/>
      </c>
    </row>
    <row r="2242">
      <c r="B2242" s="47" t="n"/>
      <c r="C2242" s="48" t="n"/>
      <c r="D2242" s="48" t="n"/>
      <c r="E2242" s="48" t="n"/>
      <c r="F2242" s="48" t="n"/>
      <c r="G2242" s="49" t="n"/>
      <c r="H2242" s="48" t="n"/>
      <c r="I2242" s="50" t="n"/>
      <c r="J2242" s="48" t="n"/>
      <c r="K2242" s="48" t="n"/>
      <c r="L2242" s="48" t="n"/>
      <c r="M2242" s="48" t="n"/>
      <c r="N2242" s="48" t="n"/>
      <c r="O2242" s="51">
        <f>IF(AND(B2242="",G2242="",C2242="",D2242="",J2242=""),"",IF(B2242="","⚠ Falta fecha",IF(G2242="","⚠ Falta monto",IF(Q2242="","⚠ Falta cuenta",IF(ISNA(MATCH(Q2242,ctaNombre,0)),"⚠ Cuenta no registrada",IF(AND(OR(P2242="Gasto",P2242="Reembolso"),D2242=""),"⚠ Falta categoría",IF(AND(D2242&lt;&gt;"",E2242&lt;&gt;"",ISNA(MATCH(D2242&amp;"|"&amp;E2242,catClave,0))),"⚠ Subcategoría no corresponde",IF(AND(OR(P2242="Transferencia",P2242="Pago tarjeta"),K2242=""),"⚠ Falta cuenta destino",IF(AND(K2242&lt;&gt;"",P2242&lt;&gt;"Transferencia",P2242&lt;&gt;"Pago tarjeta"),"⚠ Destino solo aplica a transferencias",IF(AND(K2242&lt;&gt;"",K2242=Q2242),"⚠ Origen igual a destino",IF(AND(K2242&lt;&gt;"",ISNA(MATCH(K2242,ctaNombre,0))),"⚠ Destino no registrado",IF(AND(P2242="Pago tarjeta",AE2242&lt;&gt;"Tarjeta de crédito"),"⚠ El destino debe ser tarjeta de crédito",IF(AND(P2242="Gasto",E2242="Depósitos y retiros"),"⚠ Usa tipo Transferencia",IF(AND(P2242="Resultado trading",AD2242&lt;&gt;"Cuenta de trading"),"⚠ Usa una cuenta de trading",IF(AND(G2242&lt;=0,P2242&lt;&gt;"Ajuste",P2242&lt;&gt;"Resultado trading"),"⚠ El monto debe ser positivo","✓")))))))))))))))</f>
        <v/>
      </c>
      <c r="P2242" s="52">
        <f>IF(OR(B2242="",G2242=""),"",IF(C2242="","Gasto",C2242))</f>
        <v/>
      </c>
      <c r="Q2242" s="52">
        <f>IF(P2242="","",IF(J2242&lt;&gt;"",J2242,CuentaPred&amp;""))</f>
        <v/>
      </c>
      <c r="R2242" s="52">
        <f>IF(P2242="","",IF(ISNUMBER(I2242),I2242,TasaUSD))</f>
        <v/>
      </c>
      <c r="S2242" s="53">
        <f>IF(P2242="","",IF(H2242="USD",G2242*R2242,G2242))</f>
        <v/>
      </c>
      <c r="T2242" s="53">
        <f>IF(P2242="","",IF(H2242="USD",G2242,IF(R2242&gt;0,G2242/R2242,0)))</f>
        <v/>
      </c>
      <c r="U2242" s="53">
        <f>IF(P2242="","",IF(P2242="Gasto",S2242,IF(P2242="Reembolso",-S2242,0)))</f>
        <v/>
      </c>
      <c r="V2242" s="53">
        <f>IF(P2242="","",IF(P2242="Ingreso",S2242,0))</f>
        <v/>
      </c>
      <c r="W2242" s="53">
        <f>IF(P2242="","",IF(P2242="Resultado trading",S2242,0))</f>
        <v/>
      </c>
      <c r="X2242" s="52">
        <f>IF(OR(P2242="Gasto",P2242="Reembolso"),IF(M2242&lt;&gt;"",M2242,IFERROR(INDEX(catClasif,MATCH(D2242&amp;"|"&amp;E2242,catClave,0))&amp;"","Variable")),"")</f>
        <v/>
      </c>
      <c r="Y2242" s="52">
        <f>IF(P2242="","",IFERROR(INDEX(catGrupo,MATCH(D2242&amp;"|"&amp;E2242,catClave,0))&amp;"",""))</f>
        <v/>
      </c>
      <c r="Z2242" s="52">
        <f>IF(P2242="","",WEEKDAY(B2242,2))</f>
        <v/>
      </c>
      <c r="AA2242" s="52">
        <f>IF(P2242="","",IF(AND(P2242="Gasto",X2242="Variable",D2242&lt;&gt;catTrading,S2242&gt;0,S2242&lt;=Umbral),1,0))</f>
        <v/>
      </c>
      <c r="AB2242" s="52">
        <f>IF(OR(P2242="",Q2242=""),"",IFERROR(IF(INDEX(ctaVinc,MATCH(Q2242,ctaNombre,0))&amp;""&lt;&gt;"",INDEX(ctaVinc,MATCH(Q2242,ctaNombre,0))&amp;"",Q2242),Q2242))</f>
        <v/>
      </c>
      <c r="AC2242" s="52">
        <f>IF(OR(K2242="",AND(P2242&lt;&gt;"Transferencia",P2242&lt;&gt;"Pago tarjeta")),"",IFERROR(IF(INDEX(ctaVinc,MATCH(K2242,ctaNombre,0))&amp;""&lt;&gt;"",INDEX(ctaVinc,MATCH(K2242,ctaNombre,0))&amp;"",K2242),K2242))</f>
        <v/>
      </c>
      <c r="AD2242" s="52">
        <f>IF(AB2242="","",IFERROR(INDEX(ctaTipo,MATCH(AB2242,ctaNombre,0))&amp;"",""))</f>
        <v/>
      </c>
      <c r="AE2242" s="52">
        <f>IF(AC2242="","",IFERROR(INDEX(ctaTipo,MATCH(AC2242,ctaNombre,0))&amp;"",""))</f>
        <v/>
      </c>
      <c r="AF2242" s="53">
        <f>IF(OR(P2242="",AB2242=""),"",IF(OR(P2242="Gasto",P2242="Transferencia",P2242="Pago tarjeta"),-1,1)*IF(IFERROR(INDEX(ctaMoneda,MATCH(AB2242,ctaNombre,0))&amp;"","DOP")="USD",T2242,S2242))</f>
        <v/>
      </c>
      <c r="AG2242" s="53">
        <f>IF(AC2242="","",IF(IFERROR(INDEX(ctaMoneda,MATCH(AC2242,ctaNombre,0))&amp;"","DOP")="USD",T2242,S2242))</f>
        <v/>
      </c>
      <c r="AH2242" s="53">
        <f>IF(P2242="","",IF(AND(AD2242&lt;&gt;"",COUNTIFS(tcTipo,AD2242,tcLiq,"Sí")&gt;0),IF(OR(P2242="Gasto",P2242="Transferencia",P2242="Pago tarjeta"),-1,1)*S2242,0)+IF(AND(AE2242&lt;&gt;"",COUNTIFS(tcTipo,AE2242,tcLiq,"Sí")&gt;0),S2242,0))</f>
        <v/>
      </c>
      <c r="AI2242" s="52">
        <f>IF(OR(L2242="",P2242=""),"",IF(COUNTIFS(L$6:L2242,L2242,P$6:P2242,"?*")=1,MAX(AI$5:AI2241)+1,""))</f>
        <v/>
      </c>
    </row>
    <row r="2243">
      <c r="B2243" s="47" t="n"/>
      <c r="C2243" s="48" t="n"/>
      <c r="D2243" s="48" t="n"/>
      <c r="E2243" s="48" t="n"/>
      <c r="F2243" s="48" t="n"/>
      <c r="G2243" s="49" t="n"/>
      <c r="H2243" s="48" t="n"/>
      <c r="I2243" s="50" t="n"/>
      <c r="J2243" s="48" t="n"/>
      <c r="K2243" s="48" t="n"/>
      <c r="L2243" s="48" t="n"/>
      <c r="M2243" s="48" t="n"/>
      <c r="N2243" s="48" t="n"/>
      <c r="O2243" s="51">
        <f>IF(AND(B2243="",G2243="",C2243="",D2243="",J2243=""),"",IF(B2243="","⚠ Falta fecha",IF(G2243="","⚠ Falta monto",IF(Q2243="","⚠ Falta cuenta",IF(ISNA(MATCH(Q2243,ctaNombre,0)),"⚠ Cuenta no registrada",IF(AND(OR(P2243="Gasto",P2243="Reembolso"),D2243=""),"⚠ Falta categoría",IF(AND(D2243&lt;&gt;"",E2243&lt;&gt;"",ISNA(MATCH(D2243&amp;"|"&amp;E2243,catClave,0))),"⚠ Subcategoría no corresponde",IF(AND(OR(P2243="Transferencia",P2243="Pago tarjeta"),K2243=""),"⚠ Falta cuenta destino",IF(AND(K2243&lt;&gt;"",P2243&lt;&gt;"Transferencia",P2243&lt;&gt;"Pago tarjeta"),"⚠ Destino solo aplica a transferencias",IF(AND(K2243&lt;&gt;"",K2243=Q2243),"⚠ Origen igual a destino",IF(AND(K2243&lt;&gt;"",ISNA(MATCH(K2243,ctaNombre,0))),"⚠ Destino no registrado",IF(AND(P2243="Pago tarjeta",AE2243&lt;&gt;"Tarjeta de crédito"),"⚠ El destino debe ser tarjeta de crédito",IF(AND(P2243="Gasto",E2243="Depósitos y retiros"),"⚠ Usa tipo Transferencia",IF(AND(P2243="Resultado trading",AD2243&lt;&gt;"Cuenta de trading"),"⚠ Usa una cuenta de trading",IF(AND(G2243&lt;=0,P2243&lt;&gt;"Ajuste",P2243&lt;&gt;"Resultado trading"),"⚠ El monto debe ser positivo","✓")))))))))))))))</f>
        <v/>
      </c>
      <c r="P2243" s="52">
        <f>IF(OR(B2243="",G2243=""),"",IF(C2243="","Gasto",C2243))</f>
        <v/>
      </c>
      <c r="Q2243" s="52">
        <f>IF(P2243="","",IF(J2243&lt;&gt;"",J2243,CuentaPred&amp;""))</f>
        <v/>
      </c>
      <c r="R2243" s="52">
        <f>IF(P2243="","",IF(ISNUMBER(I2243),I2243,TasaUSD))</f>
        <v/>
      </c>
      <c r="S2243" s="53">
        <f>IF(P2243="","",IF(H2243="USD",G2243*R2243,G2243))</f>
        <v/>
      </c>
      <c r="T2243" s="53">
        <f>IF(P2243="","",IF(H2243="USD",G2243,IF(R2243&gt;0,G2243/R2243,0)))</f>
        <v/>
      </c>
      <c r="U2243" s="53">
        <f>IF(P2243="","",IF(P2243="Gasto",S2243,IF(P2243="Reembolso",-S2243,0)))</f>
        <v/>
      </c>
      <c r="V2243" s="53">
        <f>IF(P2243="","",IF(P2243="Ingreso",S2243,0))</f>
        <v/>
      </c>
      <c r="W2243" s="53">
        <f>IF(P2243="","",IF(P2243="Resultado trading",S2243,0))</f>
        <v/>
      </c>
      <c r="X2243" s="52">
        <f>IF(OR(P2243="Gasto",P2243="Reembolso"),IF(M2243&lt;&gt;"",M2243,IFERROR(INDEX(catClasif,MATCH(D2243&amp;"|"&amp;E2243,catClave,0))&amp;"","Variable")),"")</f>
        <v/>
      </c>
      <c r="Y2243" s="52">
        <f>IF(P2243="","",IFERROR(INDEX(catGrupo,MATCH(D2243&amp;"|"&amp;E2243,catClave,0))&amp;"",""))</f>
        <v/>
      </c>
      <c r="Z2243" s="52">
        <f>IF(P2243="","",WEEKDAY(B2243,2))</f>
        <v/>
      </c>
      <c r="AA2243" s="52">
        <f>IF(P2243="","",IF(AND(P2243="Gasto",X2243="Variable",D2243&lt;&gt;catTrading,S2243&gt;0,S2243&lt;=Umbral),1,0))</f>
        <v/>
      </c>
      <c r="AB2243" s="52">
        <f>IF(OR(P2243="",Q2243=""),"",IFERROR(IF(INDEX(ctaVinc,MATCH(Q2243,ctaNombre,0))&amp;""&lt;&gt;"",INDEX(ctaVinc,MATCH(Q2243,ctaNombre,0))&amp;"",Q2243),Q2243))</f>
        <v/>
      </c>
      <c r="AC2243" s="52">
        <f>IF(OR(K2243="",AND(P2243&lt;&gt;"Transferencia",P2243&lt;&gt;"Pago tarjeta")),"",IFERROR(IF(INDEX(ctaVinc,MATCH(K2243,ctaNombre,0))&amp;""&lt;&gt;"",INDEX(ctaVinc,MATCH(K2243,ctaNombre,0))&amp;"",K2243),K2243))</f>
        <v/>
      </c>
      <c r="AD2243" s="52">
        <f>IF(AB2243="","",IFERROR(INDEX(ctaTipo,MATCH(AB2243,ctaNombre,0))&amp;"",""))</f>
        <v/>
      </c>
      <c r="AE2243" s="52">
        <f>IF(AC2243="","",IFERROR(INDEX(ctaTipo,MATCH(AC2243,ctaNombre,0))&amp;"",""))</f>
        <v/>
      </c>
      <c r="AF2243" s="53">
        <f>IF(OR(P2243="",AB2243=""),"",IF(OR(P2243="Gasto",P2243="Transferencia",P2243="Pago tarjeta"),-1,1)*IF(IFERROR(INDEX(ctaMoneda,MATCH(AB2243,ctaNombre,0))&amp;"","DOP")="USD",T2243,S2243))</f>
        <v/>
      </c>
      <c r="AG2243" s="53">
        <f>IF(AC2243="","",IF(IFERROR(INDEX(ctaMoneda,MATCH(AC2243,ctaNombre,0))&amp;"","DOP")="USD",T2243,S2243))</f>
        <v/>
      </c>
      <c r="AH2243" s="53">
        <f>IF(P2243="","",IF(AND(AD2243&lt;&gt;"",COUNTIFS(tcTipo,AD2243,tcLiq,"Sí")&gt;0),IF(OR(P2243="Gasto",P2243="Transferencia",P2243="Pago tarjeta"),-1,1)*S2243,0)+IF(AND(AE2243&lt;&gt;"",COUNTIFS(tcTipo,AE2243,tcLiq,"Sí")&gt;0),S2243,0))</f>
        <v/>
      </c>
      <c r="AI2243" s="52">
        <f>IF(OR(L2243="",P2243=""),"",IF(COUNTIFS(L$6:L2243,L2243,P$6:P2243,"?*")=1,MAX(AI$5:AI2242)+1,""))</f>
        <v/>
      </c>
    </row>
    <row r="2244">
      <c r="B2244" s="47" t="n"/>
      <c r="C2244" s="48" t="n"/>
      <c r="D2244" s="48" t="n"/>
      <c r="E2244" s="48" t="n"/>
      <c r="F2244" s="48" t="n"/>
      <c r="G2244" s="49" t="n"/>
      <c r="H2244" s="48" t="n"/>
      <c r="I2244" s="50" t="n"/>
      <c r="J2244" s="48" t="n"/>
      <c r="K2244" s="48" t="n"/>
      <c r="L2244" s="48" t="n"/>
      <c r="M2244" s="48" t="n"/>
      <c r="N2244" s="48" t="n"/>
      <c r="O2244" s="51">
        <f>IF(AND(B2244="",G2244="",C2244="",D2244="",J2244=""),"",IF(B2244="","⚠ Falta fecha",IF(G2244="","⚠ Falta monto",IF(Q2244="","⚠ Falta cuenta",IF(ISNA(MATCH(Q2244,ctaNombre,0)),"⚠ Cuenta no registrada",IF(AND(OR(P2244="Gasto",P2244="Reembolso"),D2244=""),"⚠ Falta categoría",IF(AND(D2244&lt;&gt;"",E2244&lt;&gt;"",ISNA(MATCH(D2244&amp;"|"&amp;E2244,catClave,0))),"⚠ Subcategoría no corresponde",IF(AND(OR(P2244="Transferencia",P2244="Pago tarjeta"),K2244=""),"⚠ Falta cuenta destino",IF(AND(K2244&lt;&gt;"",P2244&lt;&gt;"Transferencia",P2244&lt;&gt;"Pago tarjeta"),"⚠ Destino solo aplica a transferencias",IF(AND(K2244&lt;&gt;"",K2244=Q2244),"⚠ Origen igual a destino",IF(AND(K2244&lt;&gt;"",ISNA(MATCH(K2244,ctaNombre,0))),"⚠ Destino no registrado",IF(AND(P2244="Pago tarjeta",AE2244&lt;&gt;"Tarjeta de crédito"),"⚠ El destino debe ser tarjeta de crédito",IF(AND(P2244="Gasto",E2244="Depósitos y retiros"),"⚠ Usa tipo Transferencia",IF(AND(P2244="Resultado trading",AD2244&lt;&gt;"Cuenta de trading"),"⚠ Usa una cuenta de trading",IF(AND(G2244&lt;=0,P2244&lt;&gt;"Ajuste",P2244&lt;&gt;"Resultado trading"),"⚠ El monto debe ser positivo","✓")))))))))))))))</f>
        <v/>
      </c>
      <c r="P2244" s="52">
        <f>IF(OR(B2244="",G2244=""),"",IF(C2244="","Gasto",C2244))</f>
        <v/>
      </c>
      <c r="Q2244" s="52">
        <f>IF(P2244="","",IF(J2244&lt;&gt;"",J2244,CuentaPred&amp;""))</f>
        <v/>
      </c>
      <c r="R2244" s="52">
        <f>IF(P2244="","",IF(ISNUMBER(I2244),I2244,TasaUSD))</f>
        <v/>
      </c>
      <c r="S2244" s="53">
        <f>IF(P2244="","",IF(H2244="USD",G2244*R2244,G2244))</f>
        <v/>
      </c>
      <c r="T2244" s="53">
        <f>IF(P2244="","",IF(H2244="USD",G2244,IF(R2244&gt;0,G2244/R2244,0)))</f>
        <v/>
      </c>
      <c r="U2244" s="53">
        <f>IF(P2244="","",IF(P2244="Gasto",S2244,IF(P2244="Reembolso",-S2244,0)))</f>
        <v/>
      </c>
      <c r="V2244" s="53">
        <f>IF(P2244="","",IF(P2244="Ingreso",S2244,0))</f>
        <v/>
      </c>
      <c r="W2244" s="53">
        <f>IF(P2244="","",IF(P2244="Resultado trading",S2244,0))</f>
        <v/>
      </c>
      <c r="X2244" s="52">
        <f>IF(OR(P2244="Gasto",P2244="Reembolso"),IF(M2244&lt;&gt;"",M2244,IFERROR(INDEX(catClasif,MATCH(D2244&amp;"|"&amp;E2244,catClave,0))&amp;"","Variable")),"")</f>
        <v/>
      </c>
      <c r="Y2244" s="52">
        <f>IF(P2244="","",IFERROR(INDEX(catGrupo,MATCH(D2244&amp;"|"&amp;E2244,catClave,0))&amp;"",""))</f>
        <v/>
      </c>
      <c r="Z2244" s="52">
        <f>IF(P2244="","",WEEKDAY(B2244,2))</f>
        <v/>
      </c>
      <c r="AA2244" s="52">
        <f>IF(P2244="","",IF(AND(P2244="Gasto",X2244="Variable",D2244&lt;&gt;catTrading,S2244&gt;0,S2244&lt;=Umbral),1,0))</f>
        <v/>
      </c>
      <c r="AB2244" s="52">
        <f>IF(OR(P2244="",Q2244=""),"",IFERROR(IF(INDEX(ctaVinc,MATCH(Q2244,ctaNombre,0))&amp;""&lt;&gt;"",INDEX(ctaVinc,MATCH(Q2244,ctaNombre,0))&amp;"",Q2244),Q2244))</f>
        <v/>
      </c>
      <c r="AC2244" s="52">
        <f>IF(OR(K2244="",AND(P2244&lt;&gt;"Transferencia",P2244&lt;&gt;"Pago tarjeta")),"",IFERROR(IF(INDEX(ctaVinc,MATCH(K2244,ctaNombre,0))&amp;""&lt;&gt;"",INDEX(ctaVinc,MATCH(K2244,ctaNombre,0))&amp;"",K2244),K2244))</f>
        <v/>
      </c>
      <c r="AD2244" s="52">
        <f>IF(AB2244="","",IFERROR(INDEX(ctaTipo,MATCH(AB2244,ctaNombre,0))&amp;"",""))</f>
        <v/>
      </c>
      <c r="AE2244" s="52">
        <f>IF(AC2244="","",IFERROR(INDEX(ctaTipo,MATCH(AC2244,ctaNombre,0))&amp;"",""))</f>
        <v/>
      </c>
      <c r="AF2244" s="53">
        <f>IF(OR(P2244="",AB2244=""),"",IF(OR(P2244="Gasto",P2244="Transferencia",P2244="Pago tarjeta"),-1,1)*IF(IFERROR(INDEX(ctaMoneda,MATCH(AB2244,ctaNombre,0))&amp;"","DOP")="USD",T2244,S2244))</f>
        <v/>
      </c>
      <c r="AG2244" s="53">
        <f>IF(AC2244="","",IF(IFERROR(INDEX(ctaMoneda,MATCH(AC2244,ctaNombre,0))&amp;"","DOP")="USD",T2244,S2244))</f>
        <v/>
      </c>
      <c r="AH2244" s="53">
        <f>IF(P2244="","",IF(AND(AD2244&lt;&gt;"",COUNTIFS(tcTipo,AD2244,tcLiq,"Sí")&gt;0),IF(OR(P2244="Gasto",P2244="Transferencia",P2244="Pago tarjeta"),-1,1)*S2244,0)+IF(AND(AE2244&lt;&gt;"",COUNTIFS(tcTipo,AE2244,tcLiq,"Sí")&gt;0),S2244,0))</f>
        <v/>
      </c>
      <c r="AI2244" s="52">
        <f>IF(OR(L2244="",P2244=""),"",IF(COUNTIFS(L$6:L2244,L2244,P$6:P2244,"?*")=1,MAX(AI$5:AI2243)+1,""))</f>
        <v/>
      </c>
    </row>
    <row r="2245">
      <c r="B2245" s="47" t="n"/>
      <c r="C2245" s="48" t="n"/>
      <c r="D2245" s="48" t="n"/>
      <c r="E2245" s="48" t="n"/>
      <c r="F2245" s="48" t="n"/>
      <c r="G2245" s="49" t="n"/>
      <c r="H2245" s="48" t="n"/>
      <c r="I2245" s="50" t="n"/>
      <c r="J2245" s="48" t="n"/>
      <c r="K2245" s="48" t="n"/>
      <c r="L2245" s="48" t="n"/>
      <c r="M2245" s="48" t="n"/>
      <c r="N2245" s="48" t="n"/>
      <c r="O2245" s="51">
        <f>IF(AND(B2245="",G2245="",C2245="",D2245="",J2245=""),"",IF(B2245="","⚠ Falta fecha",IF(G2245="","⚠ Falta monto",IF(Q2245="","⚠ Falta cuenta",IF(ISNA(MATCH(Q2245,ctaNombre,0)),"⚠ Cuenta no registrada",IF(AND(OR(P2245="Gasto",P2245="Reembolso"),D2245=""),"⚠ Falta categoría",IF(AND(D2245&lt;&gt;"",E2245&lt;&gt;"",ISNA(MATCH(D2245&amp;"|"&amp;E2245,catClave,0))),"⚠ Subcategoría no corresponde",IF(AND(OR(P2245="Transferencia",P2245="Pago tarjeta"),K2245=""),"⚠ Falta cuenta destino",IF(AND(K2245&lt;&gt;"",P2245&lt;&gt;"Transferencia",P2245&lt;&gt;"Pago tarjeta"),"⚠ Destino solo aplica a transferencias",IF(AND(K2245&lt;&gt;"",K2245=Q2245),"⚠ Origen igual a destino",IF(AND(K2245&lt;&gt;"",ISNA(MATCH(K2245,ctaNombre,0))),"⚠ Destino no registrado",IF(AND(P2245="Pago tarjeta",AE2245&lt;&gt;"Tarjeta de crédito"),"⚠ El destino debe ser tarjeta de crédito",IF(AND(P2245="Gasto",E2245="Depósitos y retiros"),"⚠ Usa tipo Transferencia",IF(AND(P2245="Resultado trading",AD2245&lt;&gt;"Cuenta de trading"),"⚠ Usa una cuenta de trading",IF(AND(G2245&lt;=0,P2245&lt;&gt;"Ajuste",P2245&lt;&gt;"Resultado trading"),"⚠ El monto debe ser positivo","✓")))))))))))))))</f>
        <v/>
      </c>
      <c r="P2245" s="52">
        <f>IF(OR(B2245="",G2245=""),"",IF(C2245="","Gasto",C2245))</f>
        <v/>
      </c>
      <c r="Q2245" s="52">
        <f>IF(P2245="","",IF(J2245&lt;&gt;"",J2245,CuentaPred&amp;""))</f>
        <v/>
      </c>
      <c r="R2245" s="52">
        <f>IF(P2245="","",IF(ISNUMBER(I2245),I2245,TasaUSD))</f>
        <v/>
      </c>
      <c r="S2245" s="53">
        <f>IF(P2245="","",IF(H2245="USD",G2245*R2245,G2245))</f>
        <v/>
      </c>
      <c r="T2245" s="53">
        <f>IF(P2245="","",IF(H2245="USD",G2245,IF(R2245&gt;0,G2245/R2245,0)))</f>
        <v/>
      </c>
      <c r="U2245" s="53">
        <f>IF(P2245="","",IF(P2245="Gasto",S2245,IF(P2245="Reembolso",-S2245,0)))</f>
        <v/>
      </c>
      <c r="V2245" s="53">
        <f>IF(P2245="","",IF(P2245="Ingreso",S2245,0))</f>
        <v/>
      </c>
      <c r="W2245" s="53">
        <f>IF(P2245="","",IF(P2245="Resultado trading",S2245,0))</f>
        <v/>
      </c>
      <c r="X2245" s="52">
        <f>IF(OR(P2245="Gasto",P2245="Reembolso"),IF(M2245&lt;&gt;"",M2245,IFERROR(INDEX(catClasif,MATCH(D2245&amp;"|"&amp;E2245,catClave,0))&amp;"","Variable")),"")</f>
        <v/>
      </c>
      <c r="Y2245" s="52">
        <f>IF(P2245="","",IFERROR(INDEX(catGrupo,MATCH(D2245&amp;"|"&amp;E2245,catClave,0))&amp;"",""))</f>
        <v/>
      </c>
      <c r="Z2245" s="52">
        <f>IF(P2245="","",WEEKDAY(B2245,2))</f>
        <v/>
      </c>
      <c r="AA2245" s="52">
        <f>IF(P2245="","",IF(AND(P2245="Gasto",X2245="Variable",D2245&lt;&gt;catTrading,S2245&gt;0,S2245&lt;=Umbral),1,0))</f>
        <v/>
      </c>
      <c r="AB2245" s="52">
        <f>IF(OR(P2245="",Q2245=""),"",IFERROR(IF(INDEX(ctaVinc,MATCH(Q2245,ctaNombre,0))&amp;""&lt;&gt;"",INDEX(ctaVinc,MATCH(Q2245,ctaNombre,0))&amp;"",Q2245),Q2245))</f>
        <v/>
      </c>
      <c r="AC2245" s="52">
        <f>IF(OR(K2245="",AND(P2245&lt;&gt;"Transferencia",P2245&lt;&gt;"Pago tarjeta")),"",IFERROR(IF(INDEX(ctaVinc,MATCH(K2245,ctaNombre,0))&amp;""&lt;&gt;"",INDEX(ctaVinc,MATCH(K2245,ctaNombre,0))&amp;"",K2245),K2245))</f>
        <v/>
      </c>
      <c r="AD2245" s="52">
        <f>IF(AB2245="","",IFERROR(INDEX(ctaTipo,MATCH(AB2245,ctaNombre,0))&amp;"",""))</f>
        <v/>
      </c>
      <c r="AE2245" s="52">
        <f>IF(AC2245="","",IFERROR(INDEX(ctaTipo,MATCH(AC2245,ctaNombre,0))&amp;"",""))</f>
        <v/>
      </c>
      <c r="AF2245" s="53">
        <f>IF(OR(P2245="",AB2245=""),"",IF(OR(P2245="Gasto",P2245="Transferencia",P2245="Pago tarjeta"),-1,1)*IF(IFERROR(INDEX(ctaMoneda,MATCH(AB2245,ctaNombre,0))&amp;"","DOP")="USD",T2245,S2245))</f>
        <v/>
      </c>
      <c r="AG2245" s="53">
        <f>IF(AC2245="","",IF(IFERROR(INDEX(ctaMoneda,MATCH(AC2245,ctaNombre,0))&amp;"","DOP")="USD",T2245,S2245))</f>
        <v/>
      </c>
      <c r="AH2245" s="53">
        <f>IF(P2245="","",IF(AND(AD2245&lt;&gt;"",COUNTIFS(tcTipo,AD2245,tcLiq,"Sí")&gt;0),IF(OR(P2245="Gasto",P2245="Transferencia",P2245="Pago tarjeta"),-1,1)*S2245,0)+IF(AND(AE2245&lt;&gt;"",COUNTIFS(tcTipo,AE2245,tcLiq,"Sí")&gt;0),S2245,0))</f>
        <v/>
      </c>
      <c r="AI2245" s="52">
        <f>IF(OR(L2245="",P2245=""),"",IF(COUNTIFS(L$6:L2245,L2245,P$6:P2245,"?*")=1,MAX(AI$5:AI2244)+1,""))</f>
        <v/>
      </c>
    </row>
    <row r="2246">
      <c r="B2246" s="47" t="n"/>
      <c r="C2246" s="48" t="n"/>
      <c r="D2246" s="48" t="n"/>
      <c r="E2246" s="48" t="n"/>
      <c r="F2246" s="48" t="n"/>
      <c r="G2246" s="49" t="n"/>
      <c r="H2246" s="48" t="n"/>
      <c r="I2246" s="50" t="n"/>
      <c r="J2246" s="48" t="n"/>
      <c r="K2246" s="48" t="n"/>
      <c r="L2246" s="48" t="n"/>
      <c r="M2246" s="48" t="n"/>
      <c r="N2246" s="48" t="n"/>
      <c r="O2246" s="51">
        <f>IF(AND(B2246="",G2246="",C2246="",D2246="",J2246=""),"",IF(B2246="","⚠ Falta fecha",IF(G2246="","⚠ Falta monto",IF(Q2246="","⚠ Falta cuenta",IF(ISNA(MATCH(Q2246,ctaNombre,0)),"⚠ Cuenta no registrada",IF(AND(OR(P2246="Gasto",P2246="Reembolso"),D2246=""),"⚠ Falta categoría",IF(AND(D2246&lt;&gt;"",E2246&lt;&gt;"",ISNA(MATCH(D2246&amp;"|"&amp;E2246,catClave,0))),"⚠ Subcategoría no corresponde",IF(AND(OR(P2246="Transferencia",P2246="Pago tarjeta"),K2246=""),"⚠ Falta cuenta destino",IF(AND(K2246&lt;&gt;"",P2246&lt;&gt;"Transferencia",P2246&lt;&gt;"Pago tarjeta"),"⚠ Destino solo aplica a transferencias",IF(AND(K2246&lt;&gt;"",K2246=Q2246),"⚠ Origen igual a destino",IF(AND(K2246&lt;&gt;"",ISNA(MATCH(K2246,ctaNombre,0))),"⚠ Destino no registrado",IF(AND(P2246="Pago tarjeta",AE2246&lt;&gt;"Tarjeta de crédito"),"⚠ El destino debe ser tarjeta de crédito",IF(AND(P2246="Gasto",E2246="Depósitos y retiros"),"⚠ Usa tipo Transferencia",IF(AND(P2246="Resultado trading",AD2246&lt;&gt;"Cuenta de trading"),"⚠ Usa una cuenta de trading",IF(AND(G2246&lt;=0,P2246&lt;&gt;"Ajuste",P2246&lt;&gt;"Resultado trading"),"⚠ El monto debe ser positivo","✓")))))))))))))))</f>
        <v/>
      </c>
      <c r="P2246" s="52">
        <f>IF(OR(B2246="",G2246=""),"",IF(C2246="","Gasto",C2246))</f>
        <v/>
      </c>
      <c r="Q2246" s="52">
        <f>IF(P2246="","",IF(J2246&lt;&gt;"",J2246,CuentaPred&amp;""))</f>
        <v/>
      </c>
      <c r="R2246" s="52">
        <f>IF(P2246="","",IF(ISNUMBER(I2246),I2246,TasaUSD))</f>
        <v/>
      </c>
      <c r="S2246" s="53">
        <f>IF(P2246="","",IF(H2246="USD",G2246*R2246,G2246))</f>
        <v/>
      </c>
      <c r="T2246" s="53">
        <f>IF(P2246="","",IF(H2246="USD",G2246,IF(R2246&gt;0,G2246/R2246,0)))</f>
        <v/>
      </c>
      <c r="U2246" s="53">
        <f>IF(P2246="","",IF(P2246="Gasto",S2246,IF(P2246="Reembolso",-S2246,0)))</f>
        <v/>
      </c>
      <c r="V2246" s="53">
        <f>IF(P2246="","",IF(P2246="Ingreso",S2246,0))</f>
        <v/>
      </c>
      <c r="W2246" s="53">
        <f>IF(P2246="","",IF(P2246="Resultado trading",S2246,0))</f>
        <v/>
      </c>
      <c r="X2246" s="52">
        <f>IF(OR(P2246="Gasto",P2246="Reembolso"),IF(M2246&lt;&gt;"",M2246,IFERROR(INDEX(catClasif,MATCH(D2246&amp;"|"&amp;E2246,catClave,0))&amp;"","Variable")),"")</f>
        <v/>
      </c>
      <c r="Y2246" s="52">
        <f>IF(P2246="","",IFERROR(INDEX(catGrupo,MATCH(D2246&amp;"|"&amp;E2246,catClave,0))&amp;"",""))</f>
        <v/>
      </c>
      <c r="Z2246" s="52">
        <f>IF(P2246="","",WEEKDAY(B2246,2))</f>
        <v/>
      </c>
      <c r="AA2246" s="52">
        <f>IF(P2246="","",IF(AND(P2246="Gasto",X2246="Variable",D2246&lt;&gt;catTrading,S2246&gt;0,S2246&lt;=Umbral),1,0))</f>
        <v/>
      </c>
      <c r="AB2246" s="52">
        <f>IF(OR(P2246="",Q2246=""),"",IFERROR(IF(INDEX(ctaVinc,MATCH(Q2246,ctaNombre,0))&amp;""&lt;&gt;"",INDEX(ctaVinc,MATCH(Q2246,ctaNombre,0))&amp;"",Q2246),Q2246))</f>
        <v/>
      </c>
      <c r="AC2246" s="52">
        <f>IF(OR(K2246="",AND(P2246&lt;&gt;"Transferencia",P2246&lt;&gt;"Pago tarjeta")),"",IFERROR(IF(INDEX(ctaVinc,MATCH(K2246,ctaNombre,0))&amp;""&lt;&gt;"",INDEX(ctaVinc,MATCH(K2246,ctaNombre,0))&amp;"",K2246),K2246))</f>
        <v/>
      </c>
      <c r="AD2246" s="52">
        <f>IF(AB2246="","",IFERROR(INDEX(ctaTipo,MATCH(AB2246,ctaNombre,0))&amp;"",""))</f>
        <v/>
      </c>
      <c r="AE2246" s="52">
        <f>IF(AC2246="","",IFERROR(INDEX(ctaTipo,MATCH(AC2246,ctaNombre,0))&amp;"",""))</f>
        <v/>
      </c>
      <c r="AF2246" s="53">
        <f>IF(OR(P2246="",AB2246=""),"",IF(OR(P2246="Gasto",P2246="Transferencia",P2246="Pago tarjeta"),-1,1)*IF(IFERROR(INDEX(ctaMoneda,MATCH(AB2246,ctaNombre,0))&amp;"","DOP")="USD",T2246,S2246))</f>
        <v/>
      </c>
      <c r="AG2246" s="53">
        <f>IF(AC2246="","",IF(IFERROR(INDEX(ctaMoneda,MATCH(AC2246,ctaNombre,0))&amp;"","DOP")="USD",T2246,S2246))</f>
        <v/>
      </c>
      <c r="AH2246" s="53">
        <f>IF(P2246="","",IF(AND(AD2246&lt;&gt;"",COUNTIFS(tcTipo,AD2246,tcLiq,"Sí")&gt;0),IF(OR(P2246="Gasto",P2246="Transferencia",P2246="Pago tarjeta"),-1,1)*S2246,0)+IF(AND(AE2246&lt;&gt;"",COUNTIFS(tcTipo,AE2246,tcLiq,"Sí")&gt;0),S2246,0))</f>
        <v/>
      </c>
      <c r="AI2246" s="52">
        <f>IF(OR(L2246="",P2246=""),"",IF(COUNTIFS(L$6:L2246,L2246,P$6:P2246,"?*")=1,MAX(AI$5:AI2245)+1,""))</f>
        <v/>
      </c>
    </row>
    <row r="2247">
      <c r="B2247" s="47" t="n"/>
      <c r="C2247" s="48" t="n"/>
      <c r="D2247" s="48" t="n"/>
      <c r="E2247" s="48" t="n"/>
      <c r="F2247" s="48" t="n"/>
      <c r="G2247" s="49" t="n"/>
      <c r="H2247" s="48" t="n"/>
      <c r="I2247" s="50" t="n"/>
      <c r="J2247" s="48" t="n"/>
      <c r="K2247" s="48" t="n"/>
      <c r="L2247" s="48" t="n"/>
      <c r="M2247" s="48" t="n"/>
      <c r="N2247" s="48" t="n"/>
      <c r="O2247" s="51">
        <f>IF(AND(B2247="",G2247="",C2247="",D2247="",J2247=""),"",IF(B2247="","⚠ Falta fecha",IF(G2247="","⚠ Falta monto",IF(Q2247="","⚠ Falta cuenta",IF(ISNA(MATCH(Q2247,ctaNombre,0)),"⚠ Cuenta no registrada",IF(AND(OR(P2247="Gasto",P2247="Reembolso"),D2247=""),"⚠ Falta categoría",IF(AND(D2247&lt;&gt;"",E2247&lt;&gt;"",ISNA(MATCH(D2247&amp;"|"&amp;E2247,catClave,0))),"⚠ Subcategoría no corresponde",IF(AND(OR(P2247="Transferencia",P2247="Pago tarjeta"),K2247=""),"⚠ Falta cuenta destino",IF(AND(K2247&lt;&gt;"",P2247&lt;&gt;"Transferencia",P2247&lt;&gt;"Pago tarjeta"),"⚠ Destino solo aplica a transferencias",IF(AND(K2247&lt;&gt;"",K2247=Q2247),"⚠ Origen igual a destino",IF(AND(K2247&lt;&gt;"",ISNA(MATCH(K2247,ctaNombre,0))),"⚠ Destino no registrado",IF(AND(P2247="Pago tarjeta",AE2247&lt;&gt;"Tarjeta de crédito"),"⚠ El destino debe ser tarjeta de crédito",IF(AND(P2247="Gasto",E2247="Depósitos y retiros"),"⚠ Usa tipo Transferencia",IF(AND(P2247="Resultado trading",AD2247&lt;&gt;"Cuenta de trading"),"⚠ Usa una cuenta de trading",IF(AND(G2247&lt;=0,P2247&lt;&gt;"Ajuste",P2247&lt;&gt;"Resultado trading"),"⚠ El monto debe ser positivo","✓")))))))))))))))</f>
        <v/>
      </c>
      <c r="P2247" s="52">
        <f>IF(OR(B2247="",G2247=""),"",IF(C2247="","Gasto",C2247))</f>
        <v/>
      </c>
      <c r="Q2247" s="52">
        <f>IF(P2247="","",IF(J2247&lt;&gt;"",J2247,CuentaPred&amp;""))</f>
        <v/>
      </c>
      <c r="R2247" s="52">
        <f>IF(P2247="","",IF(ISNUMBER(I2247),I2247,TasaUSD))</f>
        <v/>
      </c>
      <c r="S2247" s="53">
        <f>IF(P2247="","",IF(H2247="USD",G2247*R2247,G2247))</f>
        <v/>
      </c>
      <c r="T2247" s="53">
        <f>IF(P2247="","",IF(H2247="USD",G2247,IF(R2247&gt;0,G2247/R2247,0)))</f>
        <v/>
      </c>
      <c r="U2247" s="53">
        <f>IF(P2247="","",IF(P2247="Gasto",S2247,IF(P2247="Reembolso",-S2247,0)))</f>
        <v/>
      </c>
      <c r="V2247" s="53">
        <f>IF(P2247="","",IF(P2247="Ingreso",S2247,0))</f>
        <v/>
      </c>
      <c r="W2247" s="53">
        <f>IF(P2247="","",IF(P2247="Resultado trading",S2247,0))</f>
        <v/>
      </c>
      <c r="X2247" s="52">
        <f>IF(OR(P2247="Gasto",P2247="Reembolso"),IF(M2247&lt;&gt;"",M2247,IFERROR(INDEX(catClasif,MATCH(D2247&amp;"|"&amp;E2247,catClave,0))&amp;"","Variable")),"")</f>
        <v/>
      </c>
      <c r="Y2247" s="52">
        <f>IF(P2247="","",IFERROR(INDEX(catGrupo,MATCH(D2247&amp;"|"&amp;E2247,catClave,0))&amp;"",""))</f>
        <v/>
      </c>
      <c r="Z2247" s="52">
        <f>IF(P2247="","",WEEKDAY(B2247,2))</f>
        <v/>
      </c>
      <c r="AA2247" s="52">
        <f>IF(P2247="","",IF(AND(P2247="Gasto",X2247="Variable",D2247&lt;&gt;catTrading,S2247&gt;0,S2247&lt;=Umbral),1,0))</f>
        <v/>
      </c>
      <c r="AB2247" s="52">
        <f>IF(OR(P2247="",Q2247=""),"",IFERROR(IF(INDEX(ctaVinc,MATCH(Q2247,ctaNombre,0))&amp;""&lt;&gt;"",INDEX(ctaVinc,MATCH(Q2247,ctaNombre,0))&amp;"",Q2247),Q2247))</f>
        <v/>
      </c>
      <c r="AC2247" s="52">
        <f>IF(OR(K2247="",AND(P2247&lt;&gt;"Transferencia",P2247&lt;&gt;"Pago tarjeta")),"",IFERROR(IF(INDEX(ctaVinc,MATCH(K2247,ctaNombre,0))&amp;""&lt;&gt;"",INDEX(ctaVinc,MATCH(K2247,ctaNombre,0))&amp;"",K2247),K2247))</f>
        <v/>
      </c>
      <c r="AD2247" s="52">
        <f>IF(AB2247="","",IFERROR(INDEX(ctaTipo,MATCH(AB2247,ctaNombre,0))&amp;"",""))</f>
        <v/>
      </c>
      <c r="AE2247" s="52">
        <f>IF(AC2247="","",IFERROR(INDEX(ctaTipo,MATCH(AC2247,ctaNombre,0))&amp;"",""))</f>
        <v/>
      </c>
      <c r="AF2247" s="53">
        <f>IF(OR(P2247="",AB2247=""),"",IF(OR(P2247="Gasto",P2247="Transferencia",P2247="Pago tarjeta"),-1,1)*IF(IFERROR(INDEX(ctaMoneda,MATCH(AB2247,ctaNombre,0))&amp;"","DOP")="USD",T2247,S2247))</f>
        <v/>
      </c>
      <c r="AG2247" s="53">
        <f>IF(AC2247="","",IF(IFERROR(INDEX(ctaMoneda,MATCH(AC2247,ctaNombre,0))&amp;"","DOP")="USD",T2247,S2247))</f>
        <v/>
      </c>
      <c r="AH2247" s="53">
        <f>IF(P2247="","",IF(AND(AD2247&lt;&gt;"",COUNTIFS(tcTipo,AD2247,tcLiq,"Sí")&gt;0),IF(OR(P2247="Gasto",P2247="Transferencia",P2247="Pago tarjeta"),-1,1)*S2247,0)+IF(AND(AE2247&lt;&gt;"",COUNTIFS(tcTipo,AE2247,tcLiq,"Sí")&gt;0),S2247,0))</f>
        <v/>
      </c>
      <c r="AI2247" s="52">
        <f>IF(OR(L2247="",P2247=""),"",IF(COUNTIFS(L$6:L2247,L2247,P$6:P2247,"?*")=1,MAX(AI$5:AI2246)+1,""))</f>
        <v/>
      </c>
    </row>
    <row r="2248">
      <c r="B2248" s="47" t="n"/>
      <c r="C2248" s="48" t="n"/>
      <c r="D2248" s="48" t="n"/>
      <c r="E2248" s="48" t="n"/>
      <c r="F2248" s="48" t="n"/>
      <c r="G2248" s="49" t="n"/>
      <c r="H2248" s="48" t="n"/>
      <c r="I2248" s="50" t="n"/>
      <c r="J2248" s="48" t="n"/>
      <c r="K2248" s="48" t="n"/>
      <c r="L2248" s="48" t="n"/>
      <c r="M2248" s="48" t="n"/>
      <c r="N2248" s="48" t="n"/>
      <c r="O2248" s="51">
        <f>IF(AND(B2248="",G2248="",C2248="",D2248="",J2248=""),"",IF(B2248="","⚠ Falta fecha",IF(G2248="","⚠ Falta monto",IF(Q2248="","⚠ Falta cuenta",IF(ISNA(MATCH(Q2248,ctaNombre,0)),"⚠ Cuenta no registrada",IF(AND(OR(P2248="Gasto",P2248="Reembolso"),D2248=""),"⚠ Falta categoría",IF(AND(D2248&lt;&gt;"",E2248&lt;&gt;"",ISNA(MATCH(D2248&amp;"|"&amp;E2248,catClave,0))),"⚠ Subcategoría no corresponde",IF(AND(OR(P2248="Transferencia",P2248="Pago tarjeta"),K2248=""),"⚠ Falta cuenta destino",IF(AND(K2248&lt;&gt;"",P2248&lt;&gt;"Transferencia",P2248&lt;&gt;"Pago tarjeta"),"⚠ Destino solo aplica a transferencias",IF(AND(K2248&lt;&gt;"",K2248=Q2248),"⚠ Origen igual a destino",IF(AND(K2248&lt;&gt;"",ISNA(MATCH(K2248,ctaNombre,0))),"⚠ Destino no registrado",IF(AND(P2248="Pago tarjeta",AE2248&lt;&gt;"Tarjeta de crédito"),"⚠ El destino debe ser tarjeta de crédito",IF(AND(P2248="Gasto",E2248="Depósitos y retiros"),"⚠ Usa tipo Transferencia",IF(AND(P2248="Resultado trading",AD2248&lt;&gt;"Cuenta de trading"),"⚠ Usa una cuenta de trading",IF(AND(G2248&lt;=0,P2248&lt;&gt;"Ajuste",P2248&lt;&gt;"Resultado trading"),"⚠ El monto debe ser positivo","✓")))))))))))))))</f>
        <v/>
      </c>
      <c r="P2248" s="52">
        <f>IF(OR(B2248="",G2248=""),"",IF(C2248="","Gasto",C2248))</f>
        <v/>
      </c>
      <c r="Q2248" s="52">
        <f>IF(P2248="","",IF(J2248&lt;&gt;"",J2248,CuentaPred&amp;""))</f>
        <v/>
      </c>
      <c r="R2248" s="52">
        <f>IF(P2248="","",IF(ISNUMBER(I2248),I2248,TasaUSD))</f>
        <v/>
      </c>
      <c r="S2248" s="53">
        <f>IF(P2248="","",IF(H2248="USD",G2248*R2248,G2248))</f>
        <v/>
      </c>
      <c r="T2248" s="53">
        <f>IF(P2248="","",IF(H2248="USD",G2248,IF(R2248&gt;0,G2248/R2248,0)))</f>
        <v/>
      </c>
      <c r="U2248" s="53">
        <f>IF(P2248="","",IF(P2248="Gasto",S2248,IF(P2248="Reembolso",-S2248,0)))</f>
        <v/>
      </c>
      <c r="V2248" s="53">
        <f>IF(P2248="","",IF(P2248="Ingreso",S2248,0))</f>
        <v/>
      </c>
      <c r="W2248" s="53">
        <f>IF(P2248="","",IF(P2248="Resultado trading",S2248,0))</f>
        <v/>
      </c>
      <c r="X2248" s="52">
        <f>IF(OR(P2248="Gasto",P2248="Reembolso"),IF(M2248&lt;&gt;"",M2248,IFERROR(INDEX(catClasif,MATCH(D2248&amp;"|"&amp;E2248,catClave,0))&amp;"","Variable")),"")</f>
        <v/>
      </c>
      <c r="Y2248" s="52">
        <f>IF(P2248="","",IFERROR(INDEX(catGrupo,MATCH(D2248&amp;"|"&amp;E2248,catClave,0))&amp;"",""))</f>
        <v/>
      </c>
      <c r="Z2248" s="52">
        <f>IF(P2248="","",WEEKDAY(B2248,2))</f>
        <v/>
      </c>
      <c r="AA2248" s="52">
        <f>IF(P2248="","",IF(AND(P2248="Gasto",X2248="Variable",D2248&lt;&gt;catTrading,S2248&gt;0,S2248&lt;=Umbral),1,0))</f>
        <v/>
      </c>
      <c r="AB2248" s="52">
        <f>IF(OR(P2248="",Q2248=""),"",IFERROR(IF(INDEX(ctaVinc,MATCH(Q2248,ctaNombre,0))&amp;""&lt;&gt;"",INDEX(ctaVinc,MATCH(Q2248,ctaNombre,0))&amp;"",Q2248),Q2248))</f>
        <v/>
      </c>
      <c r="AC2248" s="52">
        <f>IF(OR(K2248="",AND(P2248&lt;&gt;"Transferencia",P2248&lt;&gt;"Pago tarjeta")),"",IFERROR(IF(INDEX(ctaVinc,MATCH(K2248,ctaNombre,0))&amp;""&lt;&gt;"",INDEX(ctaVinc,MATCH(K2248,ctaNombre,0))&amp;"",K2248),K2248))</f>
        <v/>
      </c>
      <c r="AD2248" s="52">
        <f>IF(AB2248="","",IFERROR(INDEX(ctaTipo,MATCH(AB2248,ctaNombre,0))&amp;"",""))</f>
        <v/>
      </c>
      <c r="AE2248" s="52">
        <f>IF(AC2248="","",IFERROR(INDEX(ctaTipo,MATCH(AC2248,ctaNombre,0))&amp;"",""))</f>
        <v/>
      </c>
      <c r="AF2248" s="53">
        <f>IF(OR(P2248="",AB2248=""),"",IF(OR(P2248="Gasto",P2248="Transferencia",P2248="Pago tarjeta"),-1,1)*IF(IFERROR(INDEX(ctaMoneda,MATCH(AB2248,ctaNombre,0))&amp;"","DOP")="USD",T2248,S2248))</f>
        <v/>
      </c>
      <c r="AG2248" s="53">
        <f>IF(AC2248="","",IF(IFERROR(INDEX(ctaMoneda,MATCH(AC2248,ctaNombre,0))&amp;"","DOP")="USD",T2248,S2248))</f>
        <v/>
      </c>
      <c r="AH2248" s="53">
        <f>IF(P2248="","",IF(AND(AD2248&lt;&gt;"",COUNTIFS(tcTipo,AD2248,tcLiq,"Sí")&gt;0),IF(OR(P2248="Gasto",P2248="Transferencia",P2248="Pago tarjeta"),-1,1)*S2248,0)+IF(AND(AE2248&lt;&gt;"",COUNTIFS(tcTipo,AE2248,tcLiq,"Sí")&gt;0),S2248,0))</f>
        <v/>
      </c>
      <c r="AI2248" s="52">
        <f>IF(OR(L2248="",P2248=""),"",IF(COUNTIFS(L$6:L2248,L2248,P$6:P2248,"?*")=1,MAX(AI$5:AI2247)+1,""))</f>
        <v/>
      </c>
    </row>
    <row r="2249">
      <c r="B2249" s="47" t="n"/>
      <c r="C2249" s="48" t="n"/>
      <c r="D2249" s="48" t="n"/>
      <c r="E2249" s="48" t="n"/>
      <c r="F2249" s="48" t="n"/>
      <c r="G2249" s="49" t="n"/>
      <c r="H2249" s="48" t="n"/>
      <c r="I2249" s="50" t="n"/>
      <c r="J2249" s="48" t="n"/>
      <c r="K2249" s="48" t="n"/>
      <c r="L2249" s="48" t="n"/>
      <c r="M2249" s="48" t="n"/>
      <c r="N2249" s="48" t="n"/>
      <c r="O2249" s="51">
        <f>IF(AND(B2249="",G2249="",C2249="",D2249="",J2249=""),"",IF(B2249="","⚠ Falta fecha",IF(G2249="","⚠ Falta monto",IF(Q2249="","⚠ Falta cuenta",IF(ISNA(MATCH(Q2249,ctaNombre,0)),"⚠ Cuenta no registrada",IF(AND(OR(P2249="Gasto",P2249="Reembolso"),D2249=""),"⚠ Falta categoría",IF(AND(D2249&lt;&gt;"",E2249&lt;&gt;"",ISNA(MATCH(D2249&amp;"|"&amp;E2249,catClave,0))),"⚠ Subcategoría no corresponde",IF(AND(OR(P2249="Transferencia",P2249="Pago tarjeta"),K2249=""),"⚠ Falta cuenta destino",IF(AND(K2249&lt;&gt;"",P2249&lt;&gt;"Transferencia",P2249&lt;&gt;"Pago tarjeta"),"⚠ Destino solo aplica a transferencias",IF(AND(K2249&lt;&gt;"",K2249=Q2249),"⚠ Origen igual a destino",IF(AND(K2249&lt;&gt;"",ISNA(MATCH(K2249,ctaNombre,0))),"⚠ Destino no registrado",IF(AND(P2249="Pago tarjeta",AE2249&lt;&gt;"Tarjeta de crédito"),"⚠ El destino debe ser tarjeta de crédito",IF(AND(P2249="Gasto",E2249="Depósitos y retiros"),"⚠ Usa tipo Transferencia",IF(AND(P2249="Resultado trading",AD2249&lt;&gt;"Cuenta de trading"),"⚠ Usa una cuenta de trading",IF(AND(G2249&lt;=0,P2249&lt;&gt;"Ajuste",P2249&lt;&gt;"Resultado trading"),"⚠ El monto debe ser positivo","✓")))))))))))))))</f>
        <v/>
      </c>
      <c r="P2249" s="52">
        <f>IF(OR(B2249="",G2249=""),"",IF(C2249="","Gasto",C2249))</f>
        <v/>
      </c>
      <c r="Q2249" s="52">
        <f>IF(P2249="","",IF(J2249&lt;&gt;"",J2249,CuentaPred&amp;""))</f>
        <v/>
      </c>
      <c r="R2249" s="52">
        <f>IF(P2249="","",IF(ISNUMBER(I2249),I2249,TasaUSD))</f>
        <v/>
      </c>
      <c r="S2249" s="53">
        <f>IF(P2249="","",IF(H2249="USD",G2249*R2249,G2249))</f>
        <v/>
      </c>
      <c r="T2249" s="53">
        <f>IF(P2249="","",IF(H2249="USD",G2249,IF(R2249&gt;0,G2249/R2249,0)))</f>
        <v/>
      </c>
      <c r="U2249" s="53">
        <f>IF(P2249="","",IF(P2249="Gasto",S2249,IF(P2249="Reembolso",-S2249,0)))</f>
        <v/>
      </c>
      <c r="V2249" s="53">
        <f>IF(P2249="","",IF(P2249="Ingreso",S2249,0))</f>
        <v/>
      </c>
      <c r="W2249" s="53">
        <f>IF(P2249="","",IF(P2249="Resultado trading",S2249,0))</f>
        <v/>
      </c>
      <c r="X2249" s="52">
        <f>IF(OR(P2249="Gasto",P2249="Reembolso"),IF(M2249&lt;&gt;"",M2249,IFERROR(INDEX(catClasif,MATCH(D2249&amp;"|"&amp;E2249,catClave,0))&amp;"","Variable")),"")</f>
        <v/>
      </c>
      <c r="Y2249" s="52">
        <f>IF(P2249="","",IFERROR(INDEX(catGrupo,MATCH(D2249&amp;"|"&amp;E2249,catClave,0))&amp;"",""))</f>
        <v/>
      </c>
      <c r="Z2249" s="52">
        <f>IF(P2249="","",WEEKDAY(B2249,2))</f>
        <v/>
      </c>
      <c r="AA2249" s="52">
        <f>IF(P2249="","",IF(AND(P2249="Gasto",X2249="Variable",D2249&lt;&gt;catTrading,S2249&gt;0,S2249&lt;=Umbral),1,0))</f>
        <v/>
      </c>
      <c r="AB2249" s="52">
        <f>IF(OR(P2249="",Q2249=""),"",IFERROR(IF(INDEX(ctaVinc,MATCH(Q2249,ctaNombre,0))&amp;""&lt;&gt;"",INDEX(ctaVinc,MATCH(Q2249,ctaNombre,0))&amp;"",Q2249),Q2249))</f>
        <v/>
      </c>
      <c r="AC2249" s="52">
        <f>IF(OR(K2249="",AND(P2249&lt;&gt;"Transferencia",P2249&lt;&gt;"Pago tarjeta")),"",IFERROR(IF(INDEX(ctaVinc,MATCH(K2249,ctaNombre,0))&amp;""&lt;&gt;"",INDEX(ctaVinc,MATCH(K2249,ctaNombre,0))&amp;"",K2249),K2249))</f>
        <v/>
      </c>
      <c r="AD2249" s="52">
        <f>IF(AB2249="","",IFERROR(INDEX(ctaTipo,MATCH(AB2249,ctaNombre,0))&amp;"",""))</f>
        <v/>
      </c>
      <c r="AE2249" s="52">
        <f>IF(AC2249="","",IFERROR(INDEX(ctaTipo,MATCH(AC2249,ctaNombre,0))&amp;"",""))</f>
        <v/>
      </c>
      <c r="AF2249" s="53">
        <f>IF(OR(P2249="",AB2249=""),"",IF(OR(P2249="Gasto",P2249="Transferencia",P2249="Pago tarjeta"),-1,1)*IF(IFERROR(INDEX(ctaMoneda,MATCH(AB2249,ctaNombre,0))&amp;"","DOP")="USD",T2249,S2249))</f>
        <v/>
      </c>
      <c r="AG2249" s="53">
        <f>IF(AC2249="","",IF(IFERROR(INDEX(ctaMoneda,MATCH(AC2249,ctaNombre,0))&amp;"","DOP")="USD",T2249,S2249))</f>
        <v/>
      </c>
      <c r="AH2249" s="53">
        <f>IF(P2249="","",IF(AND(AD2249&lt;&gt;"",COUNTIFS(tcTipo,AD2249,tcLiq,"Sí")&gt;0),IF(OR(P2249="Gasto",P2249="Transferencia",P2249="Pago tarjeta"),-1,1)*S2249,0)+IF(AND(AE2249&lt;&gt;"",COUNTIFS(tcTipo,AE2249,tcLiq,"Sí")&gt;0),S2249,0))</f>
        <v/>
      </c>
      <c r="AI2249" s="52">
        <f>IF(OR(L2249="",P2249=""),"",IF(COUNTIFS(L$6:L2249,L2249,P$6:P2249,"?*")=1,MAX(AI$5:AI2248)+1,""))</f>
        <v/>
      </c>
    </row>
    <row r="2250">
      <c r="B2250" s="47" t="n"/>
      <c r="C2250" s="48" t="n"/>
      <c r="D2250" s="48" t="n"/>
      <c r="E2250" s="48" t="n"/>
      <c r="F2250" s="48" t="n"/>
      <c r="G2250" s="49" t="n"/>
      <c r="H2250" s="48" t="n"/>
      <c r="I2250" s="50" t="n"/>
      <c r="J2250" s="48" t="n"/>
      <c r="K2250" s="48" t="n"/>
      <c r="L2250" s="48" t="n"/>
      <c r="M2250" s="48" t="n"/>
      <c r="N2250" s="48" t="n"/>
      <c r="O2250" s="51">
        <f>IF(AND(B2250="",G2250="",C2250="",D2250="",J2250=""),"",IF(B2250="","⚠ Falta fecha",IF(G2250="","⚠ Falta monto",IF(Q2250="","⚠ Falta cuenta",IF(ISNA(MATCH(Q2250,ctaNombre,0)),"⚠ Cuenta no registrada",IF(AND(OR(P2250="Gasto",P2250="Reembolso"),D2250=""),"⚠ Falta categoría",IF(AND(D2250&lt;&gt;"",E2250&lt;&gt;"",ISNA(MATCH(D2250&amp;"|"&amp;E2250,catClave,0))),"⚠ Subcategoría no corresponde",IF(AND(OR(P2250="Transferencia",P2250="Pago tarjeta"),K2250=""),"⚠ Falta cuenta destino",IF(AND(K2250&lt;&gt;"",P2250&lt;&gt;"Transferencia",P2250&lt;&gt;"Pago tarjeta"),"⚠ Destino solo aplica a transferencias",IF(AND(K2250&lt;&gt;"",K2250=Q2250),"⚠ Origen igual a destino",IF(AND(K2250&lt;&gt;"",ISNA(MATCH(K2250,ctaNombre,0))),"⚠ Destino no registrado",IF(AND(P2250="Pago tarjeta",AE2250&lt;&gt;"Tarjeta de crédito"),"⚠ El destino debe ser tarjeta de crédito",IF(AND(P2250="Gasto",E2250="Depósitos y retiros"),"⚠ Usa tipo Transferencia",IF(AND(P2250="Resultado trading",AD2250&lt;&gt;"Cuenta de trading"),"⚠ Usa una cuenta de trading",IF(AND(G2250&lt;=0,P2250&lt;&gt;"Ajuste",P2250&lt;&gt;"Resultado trading"),"⚠ El monto debe ser positivo","✓")))))))))))))))</f>
        <v/>
      </c>
      <c r="P2250" s="52">
        <f>IF(OR(B2250="",G2250=""),"",IF(C2250="","Gasto",C2250))</f>
        <v/>
      </c>
      <c r="Q2250" s="52">
        <f>IF(P2250="","",IF(J2250&lt;&gt;"",J2250,CuentaPred&amp;""))</f>
        <v/>
      </c>
      <c r="R2250" s="52">
        <f>IF(P2250="","",IF(ISNUMBER(I2250),I2250,TasaUSD))</f>
        <v/>
      </c>
      <c r="S2250" s="53">
        <f>IF(P2250="","",IF(H2250="USD",G2250*R2250,G2250))</f>
        <v/>
      </c>
      <c r="T2250" s="53">
        <f>IF(P2250="","",IF(H2250="USD",G2250,IF(R2250&gt;0,G2250/R2250,0)))</f>
        <v/>
      </c>
      <c r="U2250" s="53">
        <f>IF(P2250="","",IF(P2250="Gasto",S2250,IF(P2250="Reembolso",-S2250,0)))</f>
        <v/>
      </c>
      <c r="V2250" s="53">
        <f>IF(P2250="","",IF(P2250="Ingreso",S2250,0))</f>
        <v/>
      </c>
      <c r="W2250" s="53">
        <f>IF(P2250="","",IF(P2250="Resultado trading",S2250,0))</f>
        <v/>
      </c>
      <c r="X2250" s="52">
        <f>IF(OR(P2250="Gasto",P2250="Reembolso"),IF(M2250&lt;&gt;"",M2250,IFERROR(INDEX(catClasif,MATCH(D2250&amp;"|"&amp;E2250,catClave,0))&amp;"","Variable")),"")</f>
        <v/>
      </c>
      <c r="Y2250" s="52">
        <f>IF(P2250="","",IFERROR(INDEX(catGrupo,MATCH(D2250&amp;"|"&amp;E2250,catClave,0))&amp;"",""))</f>
        <v/>
      </c>
      <c r="Z2250" s="52">
        <f>IF(P2250="","",WEEKDAY(B2250,2))</f>
        <v/>
      </c>
      <c r="AA2250" s="52">
        <f>IF(P2250="","",IF(AND(P2250="Gasto",X2250="Variable",D2250&lt;&gt;catTrading,S2250&gt;0,S2250&lt;=Umbral),1,0))</f>
        <v/>
      </c>
      <c r="AB2250" s="52">
        <f>IF(OR(P2250="",Q2250=""),"",IFERROR(IF(INDEX(ctaVinc,MATCH(Q2250,ctaNombre,0))&amp;""&lt;&gt;"",INDEX(ctaVinc,MATCH(Q2250,ctaNombre,0))&amp;"",Q2250),Q2250))</f>
        <v/>
      </c>
      <c r="AC2250" s="52">
        <f>IF(OR(K2250="",AND(P2250&lt;&gt;"Transferencia",P2250&lt;&gt;"Pago tarjeta")),"",IFERROR(IF(INDEX(ctaVinc,MATCH(K2250,ctaNombre,0))&amp;""&lt;&gt;"",INDEX(ctaVinc,MATCH(K2250,ctaNombre,0))&amp;"",K2250),K2250))</f>
        <v/>
      </c>
      <c r="AD2250" s="52">
        <f>IF(AB2250="","",IFERROR(INDEX(ctaTipo,MATCH(AB2250,ctaNombre,0))&amp;"",""))</f>
        <v/>
      </c>
      <c r="AE2250" s="52">
        <f>IF(AC2250="","",IFERROR(INDEX(ctaTipo,MATCH(AC2250,ctaNombre,0))&amp;"",""))</f>
        <v/>
      </c>
      <c r="AF2250" s="53">
        <f>IF(OR(P2250="",AB2250=""),"",IF(OR(P2250="Gasto",P2250="Transferencia",P2250="Pago tarjeta"),-1,1)*IF(IFERROR(INDEX(ctaMoneda,MATCH(AB2250,ctaNombre,0))&amp;"","DOP")="USD",T2250,S2250))</f>
        <v/>
      </c>
      <c r="AG2250" s="53">
        <f>IF(AC2250="","",IF(IFERROR(INDEX(ctaMoneda,MATCH(AC2250,ctaNombre,0))&amp;"","DOP")="USD",T2250,S2250))</f>
        <v/>
      </c>
      <c r="AH2250" s="53">
        <f>IF(P2250="","",IF(AND(AD2250&lt;&gt;"",COUNTIFS(tcTipo,AD2250,tcLiq,"Sí")&gt;0),IF(OR(P2250="Gasto",P2250="Transferencia",P2250="Pago tarjeta"),-1,1)*S2250,0)+IF(AND(AE2250&lt;&gt;"",COUNTIFS(tcTipo,AE2250,tcLiq,"Sí")&gt;0),S2250,0))</f>
        <v/>
      </c>
      <c r="AI2250" s="52">
        <f>IF(OR(L2250="",P2250=""),"",IF(COUNTIFS(L$6:L2250,L2250,P$6:P2250,"?*")=1,MAX(AI$5:AI2249)+1,""))</f>
        <v/>
      </c>
    </row>
    <row r="2251">
      <c r="B2251" s="47" t="n"/>
      <c r="C2251" s="48" t="n"/>
      <c r="D2251" s="48" t="n"/>
      <c r="E2251" s="48" t="n"/>
      <c r="F2251" s="48" t="n"/>
      <c r="G2251" s="49" t="n"/>
      <c r="H2251" s="48" t="n"/>
      <c r="I2251" s="50" t="n"/>
      <c r="J2251" s="48" t="n"/>
      <c r="K2251" s="48" t="n"/>
      <c r="L2251" s="48" t="n"/>
      <c r="M2251" s="48" t="n"/>
      <c r="N2251" s="48" t="n"/>
      <c r="O2251" s="51">
        <f>IF(AND(B2251="",G2251="",C2251="",D2251="",J2251=""),"",IF(B2251="","⚠ Falta fecha",IF(G2251="","⚠ Falta monto",IF(Q2251="","⚠ Falta cuenta",IF(ISNA(MATCH(Q2251,ctaNombre,0)),"⚠ Cuenta no registrada",IF(AND(OR(P2251="Gasto",P2251="Reembolso"),D2251=""),"⚠ Falta categoría",IF(AND(D2251&lt;&gt;"",E2251&lt;&gt;"",ISNA(MATCH(D2251&amp;"|"&amp;E2251,catClave,0))),"⚠ Subcategoría no corresponde",IF(AND(OR(P2251="Transferencia",P2251="Pago tarjeta"),K2251=""),"⚠ Falta cuenta destino",IF(AND(K2251&lt;&gt;"",P2251&lt;&gt;"Transferencia",P2251&lt;&gt;"Pago tarjeta"),"⚠ Destino solo aplica a transferencias",IF(AND(K2251&lt;&gt;"",K2251=Q2251),"⚠ Origen igual a destino",IF(AND(K2251&lt;&gt;"",ISNA(MATCH(K2251,ctaNombre,0))),"⚠ Destino no registrado",IF(AND(P2251="Pago tarjeta",AE2251&lt;&gt;"Tarjeta de crédito"),"⚠ El destino debe ser tarjeta de crédito",IF(AND(P2251="Gasto",E2251="Depósitos y retiros"),"⚠ Usa tipo Transferencia",IF(AND(P2251="Resultado trading",AD2251&lt;&gt;"Cuenta de trading"),"⚠ Usa una cuenta de trading",IF(AND(G2251&lt;=0,P2251&lt;&gt;"Ajuste",P2251&lt;&gt;"Resultado trading"),"⚠ El monto debe ser positivo","✓")))))))))))))))</f>
        <v/>
      </c>
      <c r="P2251" s="52">
        <f>IF(OR(B2251="",G2251=""),"",IF(C2251="","Gasto",C2251))</f>
        <v/>
      </c>
      <c r="Q2251" s="52">
        <f>IF(P2251="","",IF(J2251&lt;&gt;"",J2251,CuentaPred&amp;""))</f>
        <v/>
      </c>
      <c r="R2251" s="52">
        <f>IF(P2251="","",IF(ISNUMBER(I2251),I2251,TasaUSD))</f>
        <v/>
      </c>
      <c r="S2251" s="53">
        <f>IF(P2251="","",IF(H2251="USD",G2251*R2251,G2251))</f>
        <v/>
      </c>
      <c r="T2251" s="53">
        <f>IF(P2251="","",IF(H2251="USD",G2251,IF(R2251&gt;0,G2251/R2251,0)))</f>
        <v/>
      </c>
      <c r="U2251" s="53">
        <f>IF(P2251="","",IF(P2251="Gasto",S2251,IF(P2251="Reembolso",-S2251,0)))</f>
        <v/>
      </c>
      <c r="V2251" s="53">
        <f>IF(P2251="","",IF(P2251="Ingreso",S2251,0))</f>
        <v/>
      </c>
      <c r="W2251" s="53">
        <f>IF(P2251="","",IF(P2251="Resultado trading",S2251,0))</f>
        <v/>
      </c>
      <c r="X2251" s="52">
        <f>IF(OR(P2251="Gasto",P2251="Reembolso"),IF(M2251&lt;&gt;"",M2251,IFERROR(INDEX(catClasif,MATCH(D2251&amp;"|"&amp;E2251,catClave,0))&amp;"","Variable")),"")</f>
        <v/>
      </c>
      <c r="Y2251" s="52">
        <f>IF(P2251="","",IFERROR(INDEX(catGrupo,MATCH(D2251&amp;"|"&amp;E2251,catClave,0))&amp;"",""))</f>
        <v/>
      </c>
      <c r="Z2251" s="52">
        <f>IF(P2251="","",WEEKDAY(B2251,2))</f>
        <v/>
      </c>
      <c r="AA2251" s="52">
        <f>IF(P2251="","",IF(AND(P2251="Gasto",X2251="Variable",D2251&lt;&gt;catTrading,S2251&gt;0,S2251&lt;=Umbral),1,0))</f>
        <v/>
      </c>
      <c r="AB2251" s="52">
        <f>IF(OR(P2251="",Q2251=""),"",IFERROR(IF(INDEX(ctaVinc,MATCH(Q2251,ctaNombre,0))&amp;""&lt;&gt;"",INDEX(ctaVinc,MATCH(Q2251,ctaNombre,0))&amp;"",Q2251),Q2251))</f>
        <v/>
      </c>
      <c r="AC2251" s="52">
        <f>IF(OR(K2251="",AND(P2251&lt;&gt;"Transferencia",P2251&lt;&gt;"Pago tarjeta")),"",IFERROR(IF(INDEX(ctaVinc,MATCH(K2251,ctaNombre,0))&amp;""&lt;&gt;"",INDEX(ctaVinc,MATCH(K2251,ctaNombre,0))&amp;"",K2251),K2251))</f>
        <v/>
      </c>
      <c r="AD2251" s="52">
        <f>IF(AB2251="","",IFERROR(INDEX(ctaTipo,MATCH(AB2251,ctaNombre,0))&amp;"",""))</f>
        <v/>
      </c>
      <c r="AE2251" s="52">
        <f>IF(AC2251="","",IFERROR(INDEX(ctaTipo,MATCH(AC2251,ctaNombre,0))&amp;"",""))</f>
        <v/>
      </c>
      <c r="AF2251" s="53">
        <f>IF(OR(P2251="",AB2251=""),"",IF(OR(P2251="Gasto",P2251="Transferencia",P2251="Pago tarjeta"),-1,1)*IF(IFERROR(INDEX(ctaMoneda,MATCH(AB2251,ctaNombre,0))&amp;"","DOP")="USD",T2251,S2251))</f>
        <v/>
      </c>
      <c r="AG2251" s="53">
        <f>IF(AC2251="","",IF(IFERROR(INDEX(ctaMoneda,MATCH(AC2251,ctaNombre,0))&amp;"","DOP")="USD",T2251,S2251))</f>
        <v/>
      </c>
      <c r="AH2251" s="53">
        <f>IF(P2251="","",IF(AND(AD2251&lt;&gt;"",COUNTIFS(tcTipo,AD2251,tcLiq,"Sí")&gt;0),IF(OR(P2251="Gasto",P2251="Transferencia",P2251="Pago tarjeta"),-1,1)*S2251,0)+IF(AND(AE2251&lt;&gt;"",COUNTIFS(tcTipo,AE2251,tcLiq,"Sí")&gt;0),S2251,0))</f>
        <v/>
      </c>
      <c r="AI2251" s="52">
        <f>IF(OR(L2251="",P2251=""),"",IF(COUNTIFS(L$6:L2251,L2251,P$6:P2251,"?*")=1,MAX(AI$5:AI2250)+1,""))</f>
        <v/>
      </c>
    </row>
    <row r="2252">
      <c r="B2252" s="47" t="n"/>
      <c r="C2252" s="48" t="n"/>
      <c r="D2252" s="48" t="n"/>
      <c r="E2252" s="48" t="n"/>
      <c r="F2252" s="48" t="n"/>
      <c r="G2252" s="49" t="n"/>
      <c r="H2252" s="48" t="n"/>
      <c r="I2252" s="50" t="n"/>
      <c r="J2252" s="48" t="n"/>
      <c r="K2252" s="48" t="n"/>
      <c r="L2252" s="48" t="n"/>
      <c r="M2252" s="48" t="n"/>
      <c r="N2252" s="48" t="n"/>
      <c r="O2252" s="51">
        <f>IF(AND(B2252="",G2252="",C2252="",D2252="",J2252=""),"",IF(B2252="","⚠ Falta fecha",IF(G2252="","⚠ Falta monto",IF(Q2252="","⚠ Falta cuenta",IF(ISNA(MATCH(Q2252,ctaNombre,0)),"⚠ Cuenta no registrada",IF(AND(OR(P2252="Gasto",P2252="Reembolso"),D2252=""),"⚠ Falta categoría",IF(AND(D2252&lt;&gt;"",E2252&lt;&gt;"",ISNA(MATCH(D2252&amp;"|"&amp;E2252,catClave,0))),"⚠ Subcategoría no corresponde",IF(AND(OR(P2252="Transferencia",P2252="Pago tarjeta"),K2252=""),"⚠ Falta cuenta destino",IF(AND(K2252&lt;&gt;"",P2252&lt;&gt;"Transferencia",P2252&lt;&gt;"Pago tarjeta"),"⚠ Destino solo aplica a transferencias",IF(AND(K2252&lt;&gt;"",K2252=Q2252),"⚠ Origen igual a destino",IF(AND(K2252&lt;&gt;"",ISNA(MATCH(K2252,ctaNombre,0))),"⚠ Destino no registrado",IF(AND(P2252="Pago tarjeta",AE2252&lt;&gt;"Tarjeta de crédito"),"⚠ El destino debe ser tarjeta de crédito",IF(AND(P2252="Gasto",E2252="Depósitos y retiros"),"⚠ Usa tipo Transferencia",IF(AND(P2252="Resultado trading",AD2252&lt;&gt;"Cuenta de trading"),"⚠ Usa una cuenta de trading",IF(AND(G2252&lt;=0,P2252&lt;&gt;"Ajuste",P2252&lt;&gt;"Resultado trading"),"⚠ El monto debe ser positivo","✓")))))))))))))))</f>
        <v/>
      </c>
      <c r="P2252" s="52">
        <f>IF(OR(B2252="",G2252=""),"",IF(C2252="","Gasto",C2252))</f>
        <v/>
      </c>
      <c r="Q2252" s="52">
        <f>IF(P2252="","",IF(J2252&lt;&gt;"",J2252,CuentaPred&amp;""))</f>
        <v/>
      </c>
      <c r="R2252" s="52">
        <f>IF(P2252="","",IF(ISNUMBER(I2252),I2252,TasaUSD))</f>
        <v/>
      </c>
      <c r="S2252" s="53">
        <f>IF(P2252="","",IF(H2252="USD",G2252*R2252,G2252))</f>
        <v/>
      </c>
      <c r="T2252" s="53">
        <f>IF(P2252="","",IF(H2252="USD",G2252,IF(R2252&gt;0,G2252/R2252,0)))</f>
        <v/>
      </c>
      <c r="U2252" s="53">
        <f>IF(P2252="","",IF(P2252="Gasto",S2252,IF(P2252="Reembolso",-S2252,0)))</f>
        <v/>
      </c>
      <c r="V2252" s="53">
        <f>IF(P2252="","",IF(P2252="Ingreso",S2252,0))</f>
        <v/>
      </c>
      <c r="W2252" s="53">
        <f>IF(P2252="","",IF(P2252="Resultado trading",S2252,0))</f>
        <v/>
      </c>
      <c r="X2252" s="52">
        <f>IF(OR(P2252="Gasto",P2252="Reembolso"),IF(M2252&lt;&gt;"",M2252,IFERROR(INDEX(catClasif,MATCH(D2252&amp;"|"&amp;E2252,catClave,0))&amp;"","Variable")),"")</f>
        <v/>
      </c>
      <c r="Y2252" s="52">
        <f>IF(P2252="","",IFERROR(INDEX(catGrupo,MATCH(D2252&amp;"|"&amp;E2252,catClave,0))&amp;"",""))</f>
        <v/>
      </c>
      <c r="Z2252" s="52">
        <f>IF(P2252="","",WEEKDAY(B2252,2))</f>
        <v/>
      </c>
      <c r="AA2252" s="52">
        <f>IF(P2252="","",IF(AND(P2252="Gasto",X2252="Variable",D2252&lt;&gt;catTrading,S2252&gt;0,S2252&lt;=Umbral),1,0))</f>
        <v/>
      </c>
      <c r="AB2252" s="52">
        <f>IF(OR(P2252="",Q2252=""),"",IFERROR(IF(INDEX(ctaVinc,MATCH(Q2252,ctaNombre,0))&amp;""&lt;&gt;"",INDEX(ctaVinc,MATCH(Q2252,ctaNombre,0))&amp;"",Q2252),Q2252))</f>
        <v/>
      </c>
      <c r="AC2252" s="52">
        <f>IF(OR(K2252="",AND(P2252&lt;&gt;"Transferencia",P2252&lt;&gt;"Pago tarjeta")),"",IFERROR(IF(INDEX(ctaVinc,MATCH(K2252,ctaNombre,0))&amp;""&lt;&gt;"",INDEX(ctaVinc,MATCH(K2252,ctaNombre,0))&amp;"",K2252),K2252))</f>
        <v/>
      </c>
      <c r="AD2252" s="52">
        <f>IF(AB2252="","",IFERROR(INDEX(ctaTipo,MATCH(AB2252,ctaNombre,0))&amp;"",""))</f>
        <v/>
      </c>
      <c r="AE2252" s="52">
        <f>IF(AC2252="","",IFERROR(INDEX(ctaTipo,MATCH(AC2252,ctaNombre,0))&amp;"",""))</f>
        <v/>
      </c>
      <c r="AF2252" s="53">
        <f>IF(OR(P2252="",AB2252=""),"",IF(OR(P2252="Gasto",P2252="Transferencia",P2252="Pago tarjeta"),-1,1)*IF(IFERROR(INDEX(ctaMoneda,MATCH(AB2252,ctaNombre,0))&amp;"","DOP")="USD",T2252,S2252))</f>
        <v/>
      </c>
      <c r="AG2252" s="53">
        <f>IF(AC2252="","",IF(IFERROR(INDEX(ctaMoneda,MATCH(AC2252,ctaNombre,0))&amp;"","DOP")="USD",T2252,S2252))</f>
        <v/>
      </c>
      <c r="AH2252" s="53">
        <f>IF(P2252="","",IF(AND(AD2252&lt;&gt;"",COUNTIFS(tcTipo,AD2252,tcLiq,"Sí")&gt;0),IF(OR(P2252="Gasto",P2252="Transferencia",P2252="Pago tarjeta"),-1,1)*S2252,0)+IF(AND(AE2252&lt;&gt;"",COUNTIFS(tcTipo,AE2252,tcLiq,"Sí")&gt;0),S2252,0))</f>
        <v/>
      </c>
      <c r="AI2252" s="52">
        <f>IF(OR(L2252="",P2252=""),"",IF(COUNTIFS(L$6:L2252,L2252,P$6:P2252,"?*")=1,MAX(AI$5:AI2251)+1,""))</f>
        <v/>
      </c>
    </row>
    <row r="2253">
      <c r="B2253" s="47" t="n"/>
      <c r="C2253" s="48" t="n"/>
      <c r="D2253" s="48" t="n"/>
      <c r="E2253" s="48" t="n"/>
      <c r="F2253" s="48" t="n"/>
      <c r="G2253" s="49" t="n"/>
      <c r="H2253" s="48" t="n"/>
      <c r="I2253" s="50" t="n"/>
      <c r="J2253" s="48" t="n"/>
      <c r="K2253" s="48" t="n"/>
      <c r="L2253" s="48" t="n"/>
      <c r="M2253" s="48" t="n"/>
      <c r="N2253" s="48" t="n"/>
      <c r="O2253" s="51">
        <f>IF(AND(B2253="",G2253="",C2253="",D2253="",J2253=""),"",IF(B2253="","⚠ Falta fecha",IF(G2253="","⚠ Falta monto",IF(Q2253="","⚠ Falta cuenta",IF(ISNA(MATCH(Q2253,ctaNombre,0)),"⚠ Cuenta no registrada",IF(AND(OR(P2253="Gasto",P2253="Reembolso"),D2253=""),"⚠ Falta categoría",IF(AND(D2253&lt;&gt;"",E2253&lt;&gt;"",ISNA(MATCH(D2253&amp;"|"&amp;E2253,catClave,0))),"⚠ Subcategoría no corresponde",IF(AND(OR(P2253="Transferencia",P2253="Pago tarjeta"),K2253=""),"⚠ Falta cuenta destino",IF(AND(K2253&lt;&gt;"",P2253&lt;&gt;"Transferencia",P2253&lt;&gt;"Pago tarjeta"),"⚠ Destino solo aplica a transferencias",IF(AND(K2253&lt;&gt;"",K2253=Q2253),"⚠ Origen igual a destino",IF(AND(K2253&lt;&gt;"",ISNA(MATCH(K2253,ctaNombre,0))),"⚠ Destino no registrado",IF(AND(P2253="Pago tarjeta",AE2253&lt;&gt;"Tarjeta de crédito"),"⚠ El destino debe ser tarjeta de crédito",IF(AND(P2253="Gasto",E2253="Depósitos y retiros"),"⚠ Usa tipo Transferencia",IF(AND(P2253="Resultado trading",AD2253&lt;&gt;"Cuenta de trading"),"⚠ Usa una cuenta de trading",IF(AND(G2253&lt;=0,P2253&lt;&gt;"Ajuste",P2253&lt;&gt;"Resultado trading"),"⚠ El monto debe ser positivo","✓")))))))))))))))</f>
        <v/>
      </c>
      <c r="P2253" s="52">
        <f>IF(OR(B2253="",G2253=""),"",IF(C2253="","Gasto",C2253))</f>
        <v/>
      </c>
      <c r="Q2253" s="52">
        <f>IF(P2253="","",IF(J2253&lt;&gt;"",J2253,CuentaPred&amp;""))</f>
        <v/>
      </c>
      <c r="R2253" s="52">
        <f>IF(P2253="","",IF(ISNUMBER(I2253),I2253,TasaUSD))</f>
        <v/>
      </c>
      <c r="S2253" s="53">
        <f>IF(P2253="","",IF(H2253="USD",G2253*R2253,G2253))</f>
        <v/>
      </c>
      <c r="T2253" s="53">
        <f>IF(P2253="","",IF(H2253="USD",G2253,IF(R2253&gt;0,G2253/R2253,0)))</f>
        <v/>
      </c>
      <c r="U2253" s="53">
        <f>IF(P2253="","",IF(P2253="Gasto",S2253,IF(P2253="Reembolso",-S2253,0)))</f>
        <v/>
      </c>
      <c r="V2253" s="53">
        <f>IF(P2253="","",IF(P2253="Ingreso",S2253,0))</f>
        <v/>
      </c>
      <c r="W2253" s="53">
        <f>IF(P2253="","",IF(P2253="Resultado trading",S2253,0))</f>
        <v/>
      </c>
      <c r="X2253" s="52">
        <f>IF(OR(P2253="Gasto",P2253="Reembolso"),IF(M2253&lt;&gt;"",M2253,IFERROR(INDEX(catClasif,MATCH(D2253&amp;"|"&amp;E2253,catClave,0))&amp;"","Variable")),"")</f>
        <v/>
      </c>
      <c r="Y2253" s="52">
        <f>IF(P2253="","",IFERROR(INDEX(catGrupo,MATCH(D2253&amp;"|"&amp;E2253,catClave,0))&amp;"",""))</f>
        <v/>
      </c>
      <c r="Z2253" s="52">
        <f>IF(P2253="","",WEEKDAY(B2253,2))</f>
        <v/>
      </c>
      <c r="AA2253" s="52">
        <f>IF(P2253="","",IF(AND(P2253="Gasto",X2253="Variable",D2253&lt;&gt;catTrading,S2253&gt;0,S2253&lt;=Umbral),1,0))</f>
        <v/>
      </c>
      <c r="AB2253" s="52">
        <f>IF(OR(P2253="",Q2253=""),"",IFERROR(IF(INDEX(ctaVinc,MATCH(Q2253,ctaNombre,0))&amp;""&lt;&gt;"",INDEX(ctaVinc,MATCH(Q2253,ctaNombre,0))&amp;"",Q2253),Q2253))</f>
        <v/>
      </c>
      <c r="AC2253" s="52">
        <f>IF(OR(K2253="",AND(P2253&lt;&gt;"Transferencia",P2253&lt;&gt;"Pago tarjeta")),"",IFERROR(IF(INDEX(ctaVinc,MATCH(K2253,ctaNombre,0))&amp;""&lt;&gt;"",INDEX(ctaVinc,MATCH(K2253,ctaNombre,0))&amp;"",K2253),K2253))</f>
        <v/>
      </c>
      <c r="AD2253" s="52">
        <f>IF(AB2253="","",IFERROR(INDEX(ctaTipo,MATCH(AB2253,ctaNombre,0))&amp;"",""))</f>
        <v/>
      </c>
      <c r="AE2253" s="52">
        <f>IF(AC2253="","",IFERROR(INDEX(ctaTipo,MATCH(AC2253,ctaNombre,0))&amp;"",""))</f>
        <v/>
      </c>
      <c r="AF2253" s="53">
        <f>IF(OR(P2253="",AB2253=""),"",IF(OR(P2253="Gasto",P2253="Transferencia",P2253="Pago tarjeta"),-1,1)*IF(IFERROR(INDEX(ctaMoneda,MATCH(AB2253,ctaNombre,0))&amp;"","DOP")="USD",T2253,S2253))</f>
        <v/>
      </c>
      <c r="AG2253" s="53">
        <f>IF(AC2253="","",IF(IFERROR(INDEX(ctaMoneda,MATCH(AC2253,ctaNombre,0))&amp;"","DOP")="USD",T2253,S2253))</f>
        <v/>
      </c>
      <c r="AH2253" s="53">
        <f>IF(P2253="","",IF(AND(AD2253&lt;&gt;"",COUNTIFS(tcTipo,AD2253,tcLiq,"Sí")&gt;0),IF(OR(P2253="Gasto",P2253="Transferencia",P2253="Pago tarjeta"),-1,1)*S2253,0)+IF(AND(AE2253&lt;&gt;"",COUNTIFS(tcTipo,AE2253,tcLiq,"Sí")&gt;0),S2253,0))</f>
        <v/>
      </c>
      <c r="AI2253" s="52">
        <f>IF(OR(L2253="",P2253=""),"",IF(COUNTIFS(L$6:L2253,L2253,P$6:P2253,"?*")=1,MAX(AI$5:AI2252)+1,""))</f>
        <v/>
      </c>
    </row>
    <row r="2254">
      <c r="B2254" s="47" t="n"/>
      <c r="C2254" s="48" t="n"/>
      <c r="D2254" s="48" t="n"/>
      <c r="E2254" s="48" t="n"/>
      <c r="F2254" s="48" t="n"/>
      <c r="G2254" s="49" t="n"/>
      <c r="H2254" s="48" t="n"/>
      <c r="I2254" s="50" t="n"/>
      <c r="J2254" s="48" t="n"/>
      <c r="K2254" s="48" t="n"/>
      <c r="L2254" s="48" t="n"/>
      <c r="M2254" s="48" t="n"/>
      <c r="N2254" s="48" t="n"/>
      <c r="O2254" s="51">
        <f>IF(AND(B2254="",G2254="",C2254="",D2254="",J2254=""),"",IF(B2254="","⚠ Falta fecha",IF(G2254="","⚠ Falta monto",IF(Q2254="","⚠ Falta cuenta",IF(ISNA(MATCH(Q2254,ctaNombre,0)),"⚠ Cuenta no registrada",IF(AND(OR(P2254="Gasto",P2254="Reembolso"),D2254=""),"⚠ Falta categoría",IF(AND(D2254&lt;&gt;"",E2254&lt;&gt;"",ISNA(MATCH(D2254&amp;"|"&amp;E2254,catClave,0))),"⚠ Subcategoría no corresponde",IF(AND(OR(P2254="Transferencia",P2254="Pago tarjeta"),K2254=""),"⚠ Falta cuenta destino",IF(AND(K2254&lt;&gt;"",P2254&lt;&gt;"Transferencia",P2254&lt;&gt;"Pago tarjeta"),"⚠ Destino solo aplica a transferencias",IF(AND(K2254&lt;&gt;"",K2254=Q2254),"⚠ Origen igual a destino",IF(AND(K2254&lt;&gt;"",ISNA(MATCH(K2254,ctaNombre,0))),"⚠ Destino no registrado",IF(AND(P2254="Pago tarjeta",AE2254&lt;&gt;"Tarjeta de crédito"),"⚠ El destino debe ser tarjeta de crédito",IF(AND(P2254="Gasto",E2254="Depósitos y retiros"),"⚠ Usa tipo Transferencia",IF(AND(P2254="Resultado trading",AD2254&lt;&gt;"Cuenta de trading"),"⚠ Usa una cuenta de trading",IF(AND(G2254&lt;=0,P2254&lt;&gt;"Ajuste",P2254&lt;&gt;"Resultado trading"),"⚠ El monto debe ser positivo","✓")))))))))))))))</f>
        <v/>
      </c>
      <c r="P2254" s="52">
        <f>IF(OR(B2254="",G2254=""),"",IF(C2254="","Gasto",C2254))</f>
        <v/>
      </c>
      <c r="Q2254" s="52">
        <f>IF(P2254="","",IF(J2254&lt;&gt;"",J2254,CuentaPred&amp;""))</f>
        <v/>
      </c>
      <c r="R2254" s="52">
        <f>IF(P2254="","",IF(ISNUMBER(I2254),I2254,TasaUSD))</f>
        <v/>
      </c>
      <c r="S2254" s="53">
        <f>IF(P2254="","",IF(H2254="USD",G2254*R2254,G2254))</f>
        <v/>
      </c>
      <c r="T2254" s="53">
        <f>IF(P2254="","",IF(H2254="USD",G2254,IF(R2254&gt;0,G2254/R2254,0)))</f>
        <v/>
      </c>
      <c r="U2254" s="53">
        <f>IF(P2254="","",IF(P2254="Gasto",S2254,IF(P2254="Reembolso",-S2254,0)))</f>
        <v/>
      </c>
      <c r="V2254" s="53">
        <f>IF(P2254="","",IF(P2254="Ingreso",S2254,0))</f>
        <v/>
      </c>
      <c r="W2254" s="53">
        <f>IF(P2254="","",IF(P2254="Resultado trading",S2254,0))</f>
        <v/>
      </c>
      <c r="X2254" s="52">
        <f>IF(OR(P2254="Gasto",P2254="Reembolso"),IF(M2254&lt;&gt;"",M2254,IFERROR(INDEX(catClasif,MATCH(D2254&amp;"|"&amp;E2254,catClave,0))&amp;"","Variable")),"")</f>
        <v/>
      </c>
      <c r="Y2254" s="52">
        <f>IF(P2254="","",IFERROR(INDEX(catGrupo,MATCH(D2254&amp;"|"&amp;E2254,catClave,0))&amp;"",""))</f>
        <v/>
      </c>
      <c r="Z2254" s="52">
        <f>IF(P2254="","",WEEKDAY(B2254,2))</f>
        <v/>
      </c>
      <c r="AA2254" s="52">
        <f>IF(P2254="","",IF(AND(P2254="Gasto",X2254="Variable",D2254&lt;&gt;catTrading,S2254&gt;0,S2254&lt;=Umbral),1,0))</f>
        <v/>
      </c>
      <c r="AB2254" s="52">
        <f>IF(OR(P2254="",Q2254=""),"",IFERROR(IF(INDEX(ctaVinc,MATCH(Q2254,ctaNombre,0))&amp;""&lt;&gt;"",INDEX(ctaVinc,MATCH(Q2254,ctaNombre,0))&amp;"",Q2254),Q2254))</f>
        <v/>
      </c>
      <c r="AC2254" s="52">
        <f>IF(OR(K2254="",AND(P2254&lt;&gt;"Transferencia",P2254&lt;&gt;"Pago tarjeta")),"",IFERROR(IF(INDEX(ctaVinc,MATCH(K2254,ctaNombre,0))&amp;""&lt;&gt;"",INDEX(ctaVinc,MATCH(K2254,ctaNombre,0))&amp;"",K2254),K2254))</f>
        <v/>
      </c>
      <c r="AD2254" s="52">
        <f>IF(AB2254="","",IFERROR(INDEX(ctaTipo,MATCH(AB2254,ctaNombre,0))&amp;"",""))</f>
        <v/>
      </c>
      <c r="AE2254" s="52">
        <f>IF(AC2254="","",IFERROR(INDEX(ctaTipo,MATCH(AC2254,ctaNombre,0))&amp;"",""))</f>
        <v/>
      </c>
      <c r="AF2254" s="53">
        <f>IF(OR(P2254="",AB2254=""),"",IF(OR(P2254="Gasto",P2254="Transferencia",P2254="Pago tarjeta"),-1,1)*IF(IFERROR(INDEX(ctaMoneda,MATCH(AB2254,ctaNombre,0))&amp;"","DOP")="USD",T2254,S2254))</f>
        <v/>
      </c>
      <c r="AG2254" s="53">
        <f>IF(AC2254="","",IF(IFERROR(INDEX(ctaMoneda,MATCH(AC2254,ctaNombre,0))&amp;"","DOP")="USD",T2254,S2254))</f>
        <v/>
      </c>
      <c r="AH2254" s="53">
        <f>IF(P2254="","",IF(AND(AD2254&lt;&gt;"",COUNTIFS(tcTipo,AD2254,tcLiq,"Sí")&gt;0),IF(OR(P2254="Gasto",P2254="Transferencia",P2254="Pago tarjeta"),-1,1)*S2254,0)+IF(AND(AE2254&lt;&gt;"",COUNTIFS(tcTipo,AE2254,tcLiq,"Sí")&gt;0),S2254,0))</f>
        <v/>
      </c>
      <c r="AI2254" s="52">
        <f>IF(OR(L2254="",P2254=""),"",IF(COUNTIFS(L$6:L2254,L2254,P$6:P2254,"?*")=1,MAX(AI$5:AI2253)+1,""))</f>
        <v/>
      </c>
    </row>
    <row r="2255">
      <c r="B2255" s="47" t="n"/>
      <c r="C2255" s="48" t="n"/>
      <c r="D2255" s="48" t="n"/>
      <c r="E2255" s="48" t="n"/>
      <c r="F2255" s="48" t="n"/>
      <c r="G2255" s="49" t="n"/>
      <c r="H2255" s="48" t="n"/>
      <c r="I2255" s="50" t="n"/>
      <c r="J2255" s="48" t="n"/>
      <c r="K2255" s="48" t="n"/>
      <c r="L2255" s="48" t="n"/>
      <c r="M2255" s="48" t="n"/>
      <c r="N2255" s="48" t="n"/>
      <c r="O2255" s="51">
        <f>IF(AND(B2255="",G2255="",C2255="",D2255="",J2255=""),"",IF(B2255="","⚠ Falta fecha",IF(G2255="","⚠ Falta monto",IF(Q2255="","⚠ Falta cuenta",IF(ISNA(MATCH(Q2255,ctaNombre,0)),"⚠ Cuenta no registrada",IF(AND(OR(P2255="Gasto",P2255="Reembolso"),D2255=""),"⚠ Falta categoría",IF(AND(D2255&lt;&gt;"",E2255&lt;&gt;"",ISNA(MATCH(D2255&amp;"|"&amp;E2255,catClave,0))),"⚠ Subcategoría no corresponde",IF(AND(OR(P2255="Transferencia",P2255="Pago tarjeta"),K2255=""),"⚠ Falta cuenta destino",IF(AND(K2255&lt;&gt;"",P2255&lt;&gt;"Transferencia",P2255&lt;&gt;"Pago tarjeta"),"⚠ Destino solo aplica a transferencias",IF(AND(K2255&lt;&gt;"",K2255=Q2255),"⚠ Origen igual a destino",IF(AND(K2255&lt;&gt;"",ISNA(MATCH(K2255,ctaNombre,0))),"⚠ Destino no registrado",IF(AND(P2255="Pago tarjeta",AE2255&lt;&gt;"Tarjeta de crédito"),"⚠ El destino debe ser tarjeta de crédito",IF(AND(P2255="Gasto",E2255="Depósitos y retiros"),"⚠ Usa tipo Transferencia",IF(AND(P2255="Resultado trading",AD2255&lt;&gt;"Cuenta de trading"),"⚠ Usa una cuenta de trading",IF(AND(G2255&lt;=0,P2255&lt;&gt;"Ajuste",P2255&lt;&gt;"Resultado trading"),"⚠ El monto debe ser positivo","✓")))))))))))))))</f>
        <v/>
      </c>
      <c r="P2255" s="52">
        <f>IF(OR(B2255="",G2255=""),"",IF(C2255="","Gasto",C2255))</f>
        <v/>
      </c>
      <c r="Q2255" s="52">
        <f>IF(P2255="","",IF(J2255&lt;&gt;"",J2255,CuentaPred&amp;""))</f>
        <v/>
      </c>
      <c r="R2255" s="52">
        <f>IF(P2255="","",IF(ISNUMBER(I2255),I2255,TasaUSD))</f>
        <v/>
      </c>
      <c r="S2255" s="53">
        <f>IF(P2255="","",IF(H2255="USD",G2255*R2255,G2255))</f>
        <v/>
      </c>
      <c r="T2255" s="53">
        <f>IF(P2255="","",IF(H2255="USD",G2255,IF(R2255&gt;0,G2255/R2255,0)))</f>
        <v/>
      </c>
      <c r="U2255" s="53">
        <f>IF(P2255="","",IF(P2255="Gasto",S2255,IF(P2255="Reembolso",-S2255,0)))</f>
        <v/>
      </c>
      <c r="V2255" s="53">
        <f>IF(P2255="","",IF(P2255="Ingreso",S2255,0))</f>
        <v/>
      </c>
      <c r="W2255" s="53">
        <f>IF(P2255="","",IF(P2255="Resultado trading",S2255,0))</f>
        <v/>
      </c>
      <c r="X2255" s="52">
        <f>IF(OR(P2255="Gasto",P2255="Reembolso"),IF(M2255&lt;&gt;"",M2255,IFERROR(INDEX(catClasif,MATCH(D2255&amp;"|"&amp;E2255,catClave,0))&amp;"","Variable")),"")</f>
        <v/>
      </c>
      <c r="Y2255" s="52">
        <f>IF(P2255="","",IFERROR(INDEX(catGrupo,MATCH(D2255&amp;"|"&amp;E2255,catClave,0))&amp;"",""))</f>
        <v/>
      </c>
      <c r="Z2255" s="52">
        <f>IF(P2255="","",WEEKDAY(B2255,2))</f>
        <v/>
      </c>
      <c r="AA2255" s="52">
        <f>IF(P2255="","",IF(AND(P2255="Gasto",X2255="Variable",D2255&lt;&gt;catTrading,S2255&gt;0,S2255&lt;=Umbral),1,0))</f>
        <v/>
      </c>
      <c r="AB2255" s="52">
        <f>IF(OR(P2255="",Q2255=""),"",IFERROR(IF(INDEX(ctaVinc,MATCH(Q2255,ctaNombre,0))&amp;""&lt;&gt;"",INDEX(ctaVinc,MATCH(Q2255,ctaNombre,0))&amp;"",Q2255),Q2255))</f>
        <v/>
      </c>
      <c r="AC2255" s="52">
        <f>IF(OR(K2255="",AND(P2255&lt;&gt;"Transferencia",P2255&lt;&gt;"Pago tarjeta")),"",IFERROR(IF(INDEX(ctaVinc,MATCH(K2255,ctaNombre,0))&amp;""&lt;&gt;"",INDEX(ctaVinc,MATCH(K2255,ctaNombre,0))&amp;"",K2255),K2255))</f>
        <v/>
      </c>
      <c r="AD2255" s="52">
        <f>IF(AB2255="","",IFERROR(INDEX(ctaTipo,MATCH(AB2255,ctaNombre,0))&amp;"",""))</f>
        <v/>
      </c>
      <c r="AE2255" s="52">
        <f>IF(AC2255="","",IFERROR(INDEX(ctaTipo,MATCH(AC2255,ctaNombre,0))&amp;"",""))</f>
        <v/>
      </c>
      <c r="AF2255" s="53">
        <f>IF(OR(P2255="",AB2255=""),"",IF(OR(P2255="Gasto",P2255="Transferencia",P2255="Pago tarjeta"),-1,1)*IF(IFERROR(INDEX(ctaMoneda,MATCH(AB2255,ctaNombre,0))&amp;"","DOP")="USD",T2255,S2255))</f>
        <v/>
      </c>
      <c r="AG2255" s="53">
        <f>IF(AC2255="","",IF(IFERROR(INDEX(ctaMoneda,MATCH(AC2255,ctaNombre,0))&amp;"","DOP")="USD",T2255,S2255))</f>
        <v/>
      </c>
      <c r="AH2255" s="53">
        <f>IF(P2255="","",IF(AND(AD2255&lt;&gt;"",COUNTIFS(tcTipo,AD2255,tcLiq,"Sí")&gt;0),IF(OR(P2255="Gasto",P2255="Transferencia",P2255="Pago tarjeta"),-1,1)*S2255,0)+IF(AND(AE2255&lt;&gt;"",COUNTIFS(tcTipo,AE2255,tcLiq,"Sí")&gt;0),S2255,0))</f>
        <v/>
      </c>
      <c r="AI2255" s="52">
        <f>IF(OR(L2255="",P2255=""),"",IF(COUNTIFS(L$6:L2255,L2255,P$6:P2255,"?*")=1,MAX(AI$5:AI2254)+1,""))</f>
        <v/>
      </c>
    </row>
    <row r="2256">
      <c r="B2256" s="47" t="n"/>
      <c r="C2256" s="48" t="n"/>
      <c r="D2256" s="48" t="n"/>
      <c r="E2256" s="48" t="n"/>
      <c r="F2256" s="48" t="n"/>
      <c r="G2256" s="49" t="n"/>
      <c r="H2256" s="48" t="n"/>
      <c r="I2256" s="50" t="n"/>
      <c r="J2256" s="48" t="n"/>
      <c r="K2256" s="48" t="n"/>
      <c r="L2256" s="48" t="n"/>
      <c r="M2256" s="48" t="n"/>
      <c r="N2256" s="48" t="n"/>
      <c r="O2256" s="51">
        <f>IF(AND(B2256="",G2256="",C2256="",D2256="",J2256=""),"",IF(B2256="","⚠ Falta fecha",IF(G2256="","⚠ Falta monto",IF(Q2256="","⚠ Falta cuenta",IF(ISNA(MATCH(Q2256,ctaNombre,0)),"⚠ Cuenta no registrada",IF(AND(OR(P2256="Gasto",P2256="Reembolso"),D2256=""),"⚠ Falta categoría",IF(AND(D2256&lt;&gt;"",E2256&lt;&gt;"",ISNA(MATCH(D2256&amp;"|"&amp;E2256,catClave,0))),"⚠ Subcategoría no corresponde",IF(AND(OR(P2256="Transferencia",P2256="Pago tarjeta"),K2256=""),"⚠ Falta cuenta destino",IF(AND(K2256&lt;&gt;"",P2256&lt;&gt;"Transferencia",P2256&lt;&gt;"Pago tarjeta"),"⚠ Destino solo aplica a transferencias",IF(AND(K2256&lt;&gt;"",K2256=Q2256),"⚠ Origen igual a destino",IF(AND(K2256&lt;&gt;"",ISNA(MATCH(K2256,ctaNombre,0))),"⚠ Destino no registrado",IF(AND(P2256="Pago tarjeta",AE2256&lt;&gt;"Tarjeta de crédito"),"⚠ El destino debe ser tarjeta de crédito",IF(AND(P2256="Gasto",E2256="Depósitos y retiros"),"⚠ Usa tipo Transferencia",IF(AND(P2256="Resultado trading",AD2256&lt;&gt;"Cuenta de trading"),"⚠ Usa una cuenta de trading",IF(AND(G2256&lt;=0,P2256&lt;&gt;"Ajuste",P2256&lt;&gt;"Resultado trading"),"⚠ El monto debe ser positivo","✓")))))))))))))))</f>
        <v/>
      </c>
      <c r="P2256" s="52">
        <f>IF(OR(B2256="",G2256=""),"",IF(C2256="","Gasto",C2256))</f>
        <v/>
      </c>
      <c r="Q2256" s="52">
        <f>IF(P2256="","",IF(J2256&lt;&gt;"",J2256,CuentaPred&amp;""))</f>
        <v/>
      </c>
      <c r="R2256" s="52">
        <f>IF(P2256="","",IF(ISNUMBER(I2256),I2256,TasaUSD))</f>
        <v/>
      </c>
      <c r="S2256" s="53">
        <f>IF(P2256="","",IF(H2256="USD",G2256*R2256,G2256))</f>
        <v/>
      </c>
      <c r="T2256" s="53">
        <f>IF(P2256="","",IF(H2256="USD",G2256,IF(R2256&gt;0,G2256/R2256,0)))</f>
        <v/>
      </c>
      <c r="U2256" s="53">
        <f>IF(P2256="","",IF(P2256="Gasto",S2256,IF(P2256="Reembolso",-S2256,0)))</f>
        <v/>
      </c>
      <c r="V2256" s="53">
        <f>IF(P2256="","",IF(P2256="Ingreso",S2256,0))</f>
        <v/>
      </c>
      <c r="W2256" s="53">
        <f>IF(P2256="","",IF(P2256="Resultado trading",S2256,0))</f>
        <v/>
      </c>
      <c r="X2256" s="52">
        <f>IF(OR(P2256="Gasto",P2256="Reembolso"),IF(M2256&lt;&gt;"",M2256,IFERROR(INDEX(catClasif,MATCH(D2256&amp;"|"&amp;E2256,catClave,0))&amp;"","Variable")),"")</f>
        <v/>
      </c>
      <c r="Y2256" s="52">
        <f>IF(P2256="","",IFERROR(INDEX(catGrupo,MATCH(D2256&amp;"|"&amp;E2256,catClave,0))&amp;"",""))</f>
        <v/>
      </c>
      <c r="Z2256" s="52">
        <f>IF(P2256="","",WEEKDAY(B2256,2))</f>
        <v/>
      </c>
      <c r="AA2256" s="52">
        <f>IF(P2256="","",IF(AND(P2256="Gasto",X2256="Variable",D2256&lt;&gt;catTrading,S2256&gt;0,S2256&lt;=Umbral),1,0))</f>
        <v/>
      </c>
      <c r="AB2256" s="52">
        <f>IF(OR(P2256="",Q2256=""),"",IFERROR(IF(INDEX(ctaVinc,MATCH(Q2256,ctaNombre,0))&amp;""&lt;&gt;"",INDEX(ctaVinc,MATCH(Q2256,ctaNombre,0))&amp;"",Q2256),Q2256))</f>
        <v/>
      </c>
      <c r="AC2256" s="52">
        <f>IF(OR(K2256="",AND(P2256&lt;&gt;"Transferencia",P2256&lt;&gt;"Pago tarjeta")),"",IFERROR(IF(INDEX(ctaVinc,MATCH(K2256,ctaNombre,0))&amp;""&lt;&gt;"",INDEX(ctaVinc,MATCH(K2256,ctaNombre,0))&amp;"",K2256),K2256))</f>
        <v/>
      </c>
      <c r="AD2256" s="52">
        <f>IF(AB2256="","",IFERROR(INDEX(ctaTipo,MATCH(AB2256,ctaNombre,0))&amp;"",""))</f>
        <v/>
      </c>
      <c r="AE2256" s="52">
        <f>IF(AC2256="","",IFERROR(INDEX(ctaTipo,MATCH(AC2256,ctaNombre,0))&amp;"",""))</f>
        <v/>
      </c>
      <c r="AF2256" s="53">
        <f>IF(OR(P2256="",AB2256=""),"",IF(OR(P2256="Gasto",P2256="Transferencia",P2256="Pago tarjeta"),-1,1)*IF(IFERROR(INDEX(ctaMoneda,MATCH(AB2256,ctaNombre,0))&amp;"","DOP")="USD",T2256,S2256))</f>
        <v/>
      </c>
      <c r="AG2256" s="53">
        <f>IF(AC2256="","",IF(IFERROR(INDEX(ctaMoneda,MATCH(AC2256,ctaNombre,0))&amp;"","DOP")="USD",T2256,S2256))</f>
        <v/>
      </c>
      <c r="AH2256" s="53">
        <f>IF(P2256="","",IF(AND(AD2256&lt;&gt;"",COUNTIFS(tcTipo,AD2256,tcLiq,"Sí")&gt;0),IF(OR(P2256="Gasto",P2256="Transferencia",P2256="Pago tarjeta"),-1,1)*S2256,0)+IF(AND(AE2256&lt;&gt;"",COUNTIFS(tcTipo,AE2256,tcLiq,"Sí")&gt;0),S2256,0))</f>
        <v/>
      </c>
      <c r="AI2256" s="52">
        <f>IF(OR(L2256="",P2256=""),"",IF(COUNTIFS(L$6:L2256,L2256,P$6:P2256,"?*")=1,MAX(AI$5:AI2255)+1,""))</f>
        <v/>
      </c>
    </row>
    <row r="2257">
      <c r="B2257" s="47" t="n"/>
      <c r="C2257" s="48" t="n"/>
      <c r="D2257" s="48" t="n"/>
      <c r="E2257" s="48" t="n"/>
      <c r="F2257" s="48" t="n"/>
      <c r="G2257" s="49" t="n"/>
      <c r="H2257" s="48" t="n"/>
      <c r="I2257" s="50" t="n"/>
      <c r="J2257" s="48" t="n"/>
      <c r="K2257" s="48" t="n"/>
      <c r="L2257" s="48" t="n"/>
      <c r="M2257" s="48" t="n"/>
      <c r="N2257" s="48" t="n"/>
      <c r="O2257" s="51">
        <f>IF(AND(B2257="",G2257="",C2257="",D2257="",J2257=""),"",IF(B2257="","⚠ Falta fecha",IF(G2257="","⚠ Falta monto",IF(Q2257="","⚠ Falta cuenta",IF(ISNA(MATCH(Q2257,ctaNombre,0)),"⚠ Cuenta no registrada",IF(AND(OR(P2257="Gasto",P2257="Reembolso"),D2257=""),"⚠ Falta categoría",IF(AND(D2257&lt;&gt;"",E2257&lt;&gt;"",ISNA(MATCH(D2257&amp;"|"&amp;E2257,catClave,0))),"⚠ Subcategoría no corresponde",IF(AND(OR(P2257="Transferencia",P2257="Pago tarjeta"),K2257=""),"⚠ Falta cuenta destino",IF(AND(K2257&lt;&gt;"",P2257&lt;&gt;"Transferencia",P2257&lt;&gt;"Pago tarjeta"),"⚠ Destino solo aplica a transferencias",IF(AND(K2257&lt;&gt;"",K2257=Q2257),"⚠ Origen igual a destino",IF(AND(K2257&lt;&gt;"",ISNA(MATCH(K2257,ctaNombre,0))),"⚠ Destino no registrado",IF(AND(P2257="Pago tarjeta",AE2257&lt;&gt;"Tarjeta de crédito"),"⚠ El destino debe ser tarjeta de crédito",IF(AND(P2257="Gasto",E2257="Depósitos y retiros"),"⚠ Usa tipo Transferencia",IF(AND(P2257="Resultado trading",AD2257&lt;&gt;"Cuenta de trading"),"⚠ Usa una cuenta de trading",IF(AND(G2257&lt;=0,P2257&lt;&gt;"Ajuste",P2257&lt;&gt;"Resultado trading"),"⚠ El monto debe ser positivo","✓")))))))))))))))</f>
        <v/>
      </c>
      <c r="P2257" s="52">
        <f>IF(OR(B2257="",G2257=""),"",IF(C2257="","Gasto",C2257))</f>
        <v/>
      </c>
      <c r="Q2257" s="52">
        <f>IF(P2257="","",IF(J2257&lt;&gt;"",J2257,CuentaPred&amp;""))</f>
        <v/>
      </c>
      <c r="R2257" s="52">
        <f>IF(P2257="","",IF(ISNUMBER(I2257),I2257,TasaUSD))</f>
        <v/>
      </c>
      <c r="S2257" s="53">
        <f>IF(P2257="","",IF(H2257="USD",G2257*R2257,G2257))</f>
        <v/>
      </c>
      <c r="T2257" s="53">
        <f>IF(P2257="","",IF(H2257="USD",G2257,IF(R2257&gt;0,G2257/R2257,0)))</f>
        <v/>
      </c>
      <c r="U2257" s="53">
        <f>IF(P2257="","",IF(P2257="Gasto",S2257,IF(P2257="Reembolso",-S2257,0)))</f>
        <v/>
      </c>
      <c r="V2257" s="53">
        <f>IF(P2257="","",IF(P2257="Ingreso",S2257,0))</f>
        <v/>
      </c>
      <c r="W2257" s="53">
        <f>IF(P2257="","",IF(P2257="Resultado trading",S2257,0))</f>
        <v/>
      </c>
      <c r="X2257" s="52">
        <f>IF(OR(P2257="Gasto",P2257="Reembolso"),IF(M2257&lt;&gt;"",M2257,IFERROR(INDEX(catClasif,MATCH(D2257&amp;"|"&amp;E2257,catClave,0))&amp;"","Variable")),"")</f>
        <v/>
      </c>
      <c r="Y2257" s="52">
        <f>IF(P2257="","",IFERROR(INDEX(catGrupo,MATCH(D2257&amp;"|"&amp;E2257,catClave,0))&amp;"",""))</f>
        <v/>
      </c>
      <c r="Z2257" s="52">
        <f>IF(P2257="","",WEEKDAY(B2257,2))</f>
        <v/>
      </c>
      <c r="AA2257" s="52">
        <f>IF(P2257="","",IF(AND(P2257="Gasto",X2257="Variable",D2257&lt;&gt;catTrading,S2257&gt;0,S2257&lt;=Umbral),1,0))</f>
        <v/>
      </c>
      <c r="AB2257" s="52">
        <f>IF(OR(P2257="",Q2257=""),"",IFERROR(IF(INDEX(ctaVinc,MATCH(Q2257,ctaNombre,0))&amp;""&lt;&gt;"",INDEX(ctaVinc,MATCH(Q2257,ctaNombre,0))&amp;"",Q2257),Q2257))</f>
        <v/>
      </c>
      <c r="AC2257" s="52">
        <f>IF(OR(K2257="",AND(P2257&lt;&gt;"Transferencia",P2257&lt;&gt;"Pago tarjeta")),"",IFERROR(IF(INDEX(ctaVinc,MATCH(K2257,ctaNombre,0))&amp;""&lt;&gt;"",INDEX(ctaVinc,MATCH(K2257,ctaNombre,0))&amp;"",K2257),K2257))</f>
        <v/>
      </c>
      <c r="AD2257" s="52">
        <f>IF(AB2257="","",IFERROR(INDEX(ctaTipo,MATCH(AB2257,ctaNombre,0))&amp;"",""))</f>
        <v/>
      </c>
      <c r="AE2257" s="52">
        <f>IF(AC2257="","",IFERROR(INDEX(ctaTipo,MATCH(AC2257,ctaNombre,0))&amp;"",""))</f>
        <v/>
      </c>
      <c r="AF2257" s="53">
        <f>IF(OR(P2257="",AB2257=""),"",IF(OR(P2257="Gasto",P2257="Transferencia",P2257="Pago tarjeta"),-1,1)*IF(IFERROR(INDEX(ctaMoneda,MATCH(AB2257,ctaNombre,0))&amp;"","DOP")="USD",T2257,S2257))</f>
        <v/>
      </c>
      <c r="AG2257" s="53">
        <f>IF(AC2257="","",IF(IFERROR(INDEX(ctaMoneda,MATCH(AC2257,ctaNombre,0))&amp;"","DOP")="USD",T2257,S2257))</f>
        <v/>
      </c>
      <c r="AH2257" s="53">
        <f>IF(P2257="","",IF(AND(AD2257&lt;&gt;"",COUNTIFS(tcTipo,AD2257,tcLiq,"Sí")&gt;0),IF(OR(P2257="Gasto",P2257="Transferencia",P2257="Pago tarjeta"),-1,1)*S2257,0)+IF(AND(AE2257&lt;&gt;"",COUNTIFS(tcTipo,AE2257,tcLiq,"Sí")&gt;0),S2257,0))</f>
        <v/>
      </c>
      <c r="AI2257" s="52">
        <f>IF(OR(L2257="",P2257=""),"",IF(COUNTIFS(L$6:L2257,L2257,P$6:P2257,"?*")=1,MAX(AI$5:AI2256)+1,""))</f>
        <v/>
      </c>
    </row>
    <row r="2258">
      <c r="B2258" s="47" t="n"/>
      <c r="C2258" s="48" t="n"/>
      <c r="D2258" s="48" t="n"/>
      <c r="E2258" s="48" t="n"/>
      <c r="F2258" s="48" t="n"/>
      <c r="G2258" s="49" t="n"/>
      <c r="H2258" s="48" t="n"/>
      <c r="I2258" s="50" t="n"/>
      <c r="J2258" s="48" t="n"/>
      <c r="K2258" s="48" t="n"/>
      <c r="L2258" s="48" t="n"/>
      <c r="M2258" s="48" t="n"/>
      <c r="N2258" s="48" t="n"/>
      <c r="O2258" s="51">
        <f>IF(AND(B2258="",G2258="",C2258="",D2258="",J2258=""),"",IF(B2258="","⚠ Falta fecha",IF(G2258="","⚠ Falta monto",IF(Q2258="","⚠ Falta cuenta",IF(ISNA(MATCH(Q2258,ctaNombre,0)),"⚠ Cuenta no registrada",IF(AND(OR(P2258="Gasto",P2258="Reembolso"),D2258=""),"⚠ Falta categoría",IF(AND(D2258&lt;&gt;"",E2258&lt;&gt;"",ISNA(MATCH(D2258&amp;"|"&amp;E2258,catClave,0))),"⚠ Subcategoría no corresponde",IF(AND(OR(P2258="Transferencia",P2258="Pago tarjeta"),K2258=""),"⚠ Falta cuenta destino",IF(AND(K2258&lt;&gt;"",P2258&lt;&gt;"Transferencia",P2258&lt;&gt;"Pago tarjeta"),"⚠ Destino solo aplica a transferencias",IF(AND(K2258&lt;&gt;"",K2258=Q2258),"⚠ Origen igual a destino",IF(AND(K2258&lt;&gt;"",ISNA(MATCH(K2258,ctaNombre,0))),"⚠ Destino no registrado",IF(AND(P2258="Pago tarjeta",AE2258&lt;&gt;"Tarjeta de crédito"),"⚠ El destino debe ser tarjeta de crédito",IF(AND(P2258="Gasto",E2258="Depósitos y retiros"),"⚠ Usa tipo Transferencia",IF(AND(P2258="Resultado trading",AD2258&lt;&gt;"Cuenta de trading"),"⚠ Usa una cuenta de trading",IF(AND(G2258&lt;=0,P2258&lt;&gt;"Ajuste",P2258&lt;&gt;"Resultado trading"),"⚠ El monto debe ser positivo","✓")))))))))))))))</f>
        <v/>
      </c>
      <c r="P2258" s="52">
        <f>IF(OR(B2258="",G2258=""),"",IF(C2258="","Gasto",C2258))</f>
        <v/>
      </c>
      <c r="Q2258" s="52">
        <f>IF(P2258="","",IF(J2258&lt;&gt;"",J2258,CuentaPred&amp;""))</f>
        <v/>
      </c>
      <c r="R2258" s="52">
        <f>IF(P2258="","",IF(ISNUMBER(I2258),I2258,TasaUSD))</f>
        <v/>
      </c>
      <c r="S2258" s="53">
        <f>IF(P2258="","",IF(H2258="USD",G2258*R2258,G2258))</f>
        <v/>
      </c>
      <c r="T2258" s="53">
        <f>IF(P2258="","",IF(H2258="USD",G2258,IF(R2258&gt;0,G2258/R2258,0)))</f>
        <v/>
      </c>
      <c r="U2258" s="53">
        <f>IF(P2258="","",IF(P2258="Gasto",S2258,IF(P2258="Reembolso",-S2258,0)))</f>
        <v/>
      </c>
      <c r="V2258" s="53">
        <f>IF(P2258="","",IF(P2258="Ingreso",S2258,0))</f>
        <v/>
      </c>
      <c r="W2258" s="53">
        <f>IF(P2258="","",IF(P2258="Resultado trading",S2258,0))</f>
        <v/>
      </c>
      <c r="X2258" s="52">
        <f>IF(OR(P2258="Gasto",P2258="Reembolso"),IF(M2258&lt;&gt;"",M2258,IFERROR(INDEX(catClasif,MATCH(D2258&amp;"|"&amp;E2258,catClave,0))&amp;"","Variable")),"")</f>
        <v/>
      </c>
      <c r="Y2258" s="52">
        <f>IF(P2258="","",IFERROR(INDEX(catGrupo,MATCH(D2258&amp;"|"&amp;E2258,catClave,0))&amp;"",""))</f>
        <v/>
      </c>
      <c r="Z2258" s="52">
        <f>IF(P2258="","",WEEKDAY(B2258,2))</f>
        <v/>
      </c>
      <c r="AA2258" s="52">
        <f>IF(P2258="","",IF(AND(P2258="Gasto",X2258="Variable",D2258&lt;&gt;catTrading,S2258&gt;0,S2258&lt;=Umbral),1,0))</f>
        <v/>
      </c>
      <c r="AB2258" s="52">
        <f>IF(OR(P2258="",Q2258=""),"",IFERROR(IF(INDEX(ctaVinc,MATCH(Q2258,ctaNombre,0))&amp;""&lt;&gt;"",INDEX(ctaVinc,MATCH(Q2258,ctaNombre,0))&amp;"",Q2258),Q2258))</f>
        <v/>
      </c>
      <c r="AC2258" s="52">
        <f>IF(OR(K2258="",AND(P2258&lt;&gt;"Transferencia",P2258&lt;&gt;"Pago tarjeta")),"",IFERROR(IF(INDEX(ctaVinc,MATCH(K2258,ctaNombre,0))&amp;""&lt;&gt;"",INDEX(ctaVinc,MATCH(K2258,ctaNombre,0))&amp;"",K2258),K2258))</f>
        <v/>
      </c>
      <c r="AD2258" s="52">
        <f>IF(AB2258="","",IFERROR(INDEX(ctaTipo,MATCH(AB2258,ctaNombre,0))&amp;"",""))</f>
        <v/>
      </c>
      <c r="AE2258" s="52">
        <f>IF(AC2258="","",IFERROR(INDEX(ctaTipo,MATCH(AC2258,ctaNombre,0))&amp;"",""))</f>
        <v/>
      </c>
      <c r="AF2258" s="53">
        <f>IF(OR(P2258="",AB2258=""),"",IF(OR(P2258="Gasto",P2258="Transferencia",P2258="Pago tarjeta"),-1,1)*IF(IFERROR(INDEX(ctaMoneda,MATCH(AB2258,ctaNombre,0))&amp;"","DOP")="USD",T2258,S2258))</f>
        <v/>
      </c>
      <c r="AG2258" s="53">
        <f>IF(AC2258="","",IF(IFERROR(INDEX(ctaMoneda,MATCH(AC2258,ctaNombre,0))&amp;"","DOP")="USD",T2258,S2258))</f>
        <v/>
      </c>
      <c r="AH2258" s="53">
        <f>IF(P2258="","",IF(AND(AD2258&lt;&gt;"",COUNTIFS(tcTipo,AD2258,tcLiq,"Sí")&gt;0),IF(OR(P2258="Gasto",P2258="Transferencia",P2258="Pago tarjeta"),-1,1)*S2258,0)+IF(AND(AE2258&lt;&gt;"",COUNTIFS(tcTipo,AE2258,tcLiq,"Sí")&gt;0),S2258,0))</f>
        <v/>
      </c>
      <c r="AI2258" s="52">
        <f>IF(OR(L2258="",P2258=""),"",IF(COUNTIFS(L$6:L2258,L2258,P$6:P2258,"?*")=1,MAX(AI$5:AI2257)+1,""))</f>
        <v/>
      </c>
    </row>
    <row r="2259">
      <c r="B2259" s="47" t="n"/>
      <c r="C2259" s="48" t="n"/>
      <c r="D2259" s="48" t="n"/>
      <c r="E2259" s="48" t="n"/>
      <c r="F2259" s="48" t="n"/>
      <c r="G2259" s="49" t="n"/>
      <c r="H2259" s="48" t="n"/>
      <c r="I2259" s="50" t="n"/>
      <c r="J2259" s="48" t="n"/>
      <c r="K2259" s="48" t="n"/>
      <c r="L2259" s="48" t="n"/>
      <c r="M2259" s="48" t="n"/>
      <c r="N2259" s="48" t="n"/>
      <c r="O2259" s="51">
        <f>IF(AND(B2259="",G2259="",C2259="",D2259="",J2259=""),"",IF(B2259="","⚠ Falta fecha",IF(G2259="","⚠ Falta monto",IF(Q2259="","⚠ Falta cuenta",IF(ISNA(MATCH(Q2259,ctaNombre,0)),"⚠ Cuenta no registrada",IF(AND(OR(P2259="Gasto",P2259="Reembolso"),D2259=""),"⚠ Falta categoría",IF(AND(D2259&lt;&gt;"",E2259&lt;&gt;"",ISNA(MATCH(D2259&amp;"|"&amp;E2259,catClave,0))),"⚠ Subcategoría no corresponde",IF(AND(OR(P2259="Transferencia",P2259="Pago tarjeta"),K2259=""),"⚠ Falta cuenta destino",IF(AND(K2259&lt;&gt;"",P2259&lt;&gt;"Transferencia",P2259&lt;&gt;"Pago tarjeta"),"⚠ Destino solo aplica a transferencias",IF(AND(K2259&lt;&gt;"",K2259=Q2259),"⚠ Origen igual a destino",IF(AND(K2259&lt;&gt;"",ISNA(MATCH(K2259,ctaNombre,0))),"⚠ Destino no registrado",IF(AND(P2259="Pago tarjeta",AE2259&lt;&gt;"Tarjeta de crédito"),"⚠ El destino debe ser tarjeta de crédito",IF(AND(P2259="Gasto",E2259="Depósitos y retiros"),"⚠ Usa tipo Transferencia",IF(AND(P2259="Resultado trading",AD2259&lt;&gt;"Cuenta de trading"),"⚠ Usa una cuenta de trading",IF(AND(G2259&lt;=0,P2259&lt;&gt;"Ajuste",P2259&lt;&gt;"Resultado trading"),"⚠ El monto debe ser positivo","✓")))))))))))))))</f>
        <v/>
      </c>
      <c r="P2259" s="52">
        <f>IF(OR(B2259="",G2259=""),"",IF(C2259="","Gasto",C2259))</f>
        <v/>
      </c>
      <c r="Q2259" s="52">
        <f>IF(P2259="","",IF(J2259&lt;&gt;"",J2259,CuentaPred&amp;""))</f>
        <v/>
      </c>
      <c r="R2259" s="52">
        <f>IF(P2259="","",IF(ISNUMBER(I2259),I2259,TasaUSD))</f>
        <v/>
      </c>
      <c r="S2259" s="53">
        <f>IF(P2259="","",IF(H2259="USD",G2259*R2259,G2259))</f>
        <v/>
      </c>
      <c r="T2259" s="53">
        <f>IF(P2259="","",IF(H2259="USD",G2259,IF(R2259&gt;0,G2259/R2259,0)))</f>
        <v/>
      </c>
      <c r="U2259" s="53">
        <f>IF(P2259="","",IF(P2259="Gasto",S2259,IF(P2259="Reembolso",-S2259,0)))</f>
        <v/>
      </c>
      <c r="V2259" s="53">
        <f>IF(P2259="","",IF(P2259="Ingreso",S2259,0))</f>
        <v/>
      </c>
      <c r="W2259" s="53">
        <f>IF(P2259="","",IF(P2259="Resultado trading",S2259,0))</f>
        <v/>
      </c>
      <c r="X2259" s="52">
        <f>IF(OR(P2259="Gasto",P2259="Reembolso"),IF(M2259&lt;&gt;"",M2259,IFERROR(INDEX(catClasif,MATCH(D2259&amp;"|"&amp;E2259,catClave,0))&amp;"","Variable")),"")</f>
        <v/>
      </c>
      <c r="Y2259" s="52">
        <f>IF(P2259="","",IFERROR(INDEX(catGrupo,MATCH(D2259&amp;"|"&amp;E2259,catClave,0))&amp;"",""))</f>
        <v/>
      </c>
      <c r="Z2259" s="52">
        <f>IF(P2259="","",WEEKDAY(B2259,2))</f>
        <v/>
      </c>
      <c r="AA2259" s="52">
        <f>IF(P2259="","",IF(AND(P2259="Gasto",X2259="Variable",D2259&lt;&gt;catTrading,S2259&gt;0,S2259&lt;=Umbral),1,0))</f>
        <v/>
      </c>
      <c r="AB2259" s="52">
        <f>IF(OR(P2259="",Q2259=""),"",IFERROR(IF(INDEX(ctaVinc,MATCH(Q2259,ctaNombre,0))&amp;""&lt;&gt;"",INDEX(ctaVinc,MATCH(Q2259,ctaNombre,0))&amp;"",Q2259),Q2259))</f>
        <v/>
      </c>
      <c r="AC2259" s="52">
        <f>IF(OR(K2259="",AND(P2259&lt;&gt;"Transferencia",P2259&lt;&gt;"Pago tarjeta")),"",IFERROR(IF(INDEX(ctaVinc,MATCH(K2259,ctaNombre,0))&amp;""&lt;&gt;"",INDEX(ctaVinc,MATCH(K2259,ctaNombre,0))&amp;"",K2259),K2259))</f>
        <v/>
      </c>
      <c r="AD2259" s="52">
        <f>IF(AB2259="","",IFERROR(INDEX(ctaTipo,MATCH(AB2259,ctaNombre,0))&amp;"",""))</f>
        <v/>
      </c>
      <c r="AE2259" s="52">
        <f>IF(AC2259="","",IFERROR(INDEX(ctaTipo,MATCH(AC2259,ctaNombre,0))&amp;"",""))</f>
        <v/>
      </c>
      <c r="AF2259" s="53">
        <f>IF(OR(P2259="",AB2259=""),"",IF(OR(P2259="Gasto",P2259="Transferencia",P2259="Pago tarjeta"),-1,1)*IF(IFERROR(INDEX(ctaMoneda,MATCH(AB2259,ctaNombre,0))&amp;"","DOP")="USD",T2259,S2259))</f>
        <v/>
      </c>
      <c r="AG2259" s="53">
        <f>IF(AC2259="","",IF(IFERROR(INDEX(ctaMoneda,MATCH(AC2259,ctaNombre,0))&amp;"","DOP")="USD",T2259,S2259))</f>
        <v/>
      </c>
      <c r="AH2259" s="53">
        <f>IF(P2259="","",IF(AND(AD2259&lt;&gt;"",COUNTIFS(tcTipo,AD2259,tcLiq,"Sí")&gt;0),IF(OR(P2259="Gasto",P2259="Transferencia",P2259="Pago tarjeta"),-1,1)*S2259,0)+IF(AND(AE2259&lt;&gt;"",COUNTIFS(tcTipo,AE2259,tcLiq,"Sí")&gt;0),S2259,0))</f>
        <v/>
      </c>
      <c r="AI2259" s="52">
        <f>IF(OR(L2259="",P2259=""),"",IF(COUNTIFS(L$6:L2259,L2259,P$6:P2259,"?*")=1,MAX(AI$5:AI2258)+1,""))</f>
        <v/>
      </c>
    </row>
    <row r="2260">
      <c r="B2260" s="47" t="n"/>
      <c r="C2260" s="48" t="n"/>
      <c r="D2260" s="48" t="n"/>
      <c r="E2260" s="48" t="n"/>
      <c r="F2260" s="48" t="n"/>
      <c r="G2260" s="49" t="n"/>
      <c r="H2260" s="48" t="n"/>
      <c r="I2260" s="50" t="n"/>
      <c r="J2260" s="48" t="n"/>
      <c r="K2260" s="48" t="n"/>
      <c r="L2260" s="48" t="n"/>
      <c r="M2260" s="48" t="n"/>
      <c r="N2260" s="48" t="n"/>
      <c r="O2260" s="51">
        <f>IF(AND(B2260="",G2260="",C2260="",D2260="",J2260=""),"",IF(B2260="","⚠ Falta fecha",IF(G2260="","⚠ Falta monto",IF(Q2260="","⚠ Falta cuenta",IF(ISNA(MATCH(Q2260,ctaNombre,0)),"⚠ Cuenta no registrada",IF(AND(OR(P2260="Gasto",P2260="Reembolso"),D2260=""),"⚠ Falta categoría",IF(AND(D2260&lt;&gt;"",E2260&lt;&gt;"",ISNA(MATCH(D2260&amp;"|"&amp;E2260,catClave,0))),"⚠ Subcategoría no corresponde",IF(AND(OR(P2260="Transferencia",P2260="Pago tarjeta"),K2260=""),"⚠ Falta cuenta destino",IF(AND(K2260&lt;&gt;"",P2260&lt;&gt;"Transferencia",P2260&lt;&gt;"Pago tarjeta"),"⚠ Destino solo aplica a transferencias",IF(AND(K2260&lt;&gt;"",K2260=Q2260),"⚠ Origen igual a destino",IF(AND(K2260&lt;&gt;"",ISNA(MATCH(K2260,ctaNombre,0))),"⚠ Destino no registrado",IF(AND(P2260="Pago tarjeta",AE2260&lt;&gt;"Tarjeta de crédito"),"⚠ El destino debe ser tarjeta de crédito",IF(AND(P2260="Gasto",E2260="Depósitos y retiros"),"⚠ Usa tipo Transferencia",IF(AND(P2260="Resultado trading",AD2260&lt;&gt;"Cuenta de trading"),"⚠ Usa una cuenta de trading",IF(AND(G2260&lt;=0,P2260&lt;&gt;"Ajuste",P2260&lt;&gt;"Resultado trading"),"⚠ El monto debe ser positivo","✓")))))))))))))))</f>
        <v/>
      </c>
      <c r="P2260" s="52">
        <f>IF(OR(B2260="",G2260=""),"",IF(C2260="","Gasto",C2260))</f>
        <v/>
      </c>
      <c r="Q2260" s="52">
        <f>IF(P2260="","",IF(J2260&lt;&gt;"",J2260,CuentaPred&amp;""))</f>
        <v/>
      </c>
      <c r="R2260" s="52">
        <f>IF(P2260="","",IF(ISNUMBER(I2260),I2260,TasaUSD))</f>
        <v/>
      </c>
      <c r="S2260" s="53">
        <f>IF(P2260="","",IF(H2260="USD",G2260*R2260,G2260))</f>
        <v/>
      </c>
      <c r="T2260" s="53">
        <f>IF(P2260="","",IF(H2260="USD",G2260,IF(R2260&gt;0,G2260/R2260,0)))</f>
        <v/>
      </c>
      <c r="U2260" s="53">
        <f>IF(P2260="","",IF(P2260="Gasto",S2260,IF(P2260="Reembolso",-S2260,0)))</f>
        <v/>
      </c>
      <c r="V2260" s="53">
        <f>IF(P2260="","",IF(P2260="Ingreso",S2260,0))</f>
        <v/>
      </c>
      <c r="W2260" s="53">
        <f>IF(P2260="","",IF(P2260="Resultado trading",S2260,0))</f>
        <v/>
      </c>
      <c r="X2260" s="52">
        <f>IF(OR(P2260="Gasto",P2260="Reembolso"),IF(M2260&lt;&gt;"",M2260,IFERROR(INDEX(catClasif,MATCH(D2260&amp;"|"&amp;E2260,catClave,0))&amp;"","Variable")),"")</f>
        <v/>
      </c>
      <c r="Y2260" s="52">
        <f>IF(P2260="","",IFERROR(INDEX(catGrupo,MATCH(D2260&amp;"|"&amp;E2260,catClave,0))&amp;"",""))</f>
        <v/>
      </c>
      <c r="Z2260" s="52">
        <f>IF(P2260="","",WEEKDAY(B2260,2))</f>
        <v/>
      </c>
      <c r="AA2260" s="52">
        <f>IF(P2260="","",IF(AND(P2260="Gasto",X2260="Variable",D2260&lt;&gt;catTrading,S2260&gt;0,S2260&lt;=Umbral),1,0))</f>
        <v/>
      </c>
      <c r="AB2260" s="52">
        <f>IF(OR(P2260="",Q2260=""),"",IFERROR(IF(INDEX(ctaVinc,MATCH(Q2260,ctaNombre,0))&amp;""&lt;&gt;"",INDEX(ctaVinc,MATCH(Q2260,ctaNombre,0))&amp;"",Q2260),Q2260))</f>
        <v/>
      </c>
      <c r="AC2260" s="52">
        <f>IF(OR(K2260="",AND(P2260&lt;&gt;"Transferencia",P2260&lt;&gt;"Pago tarjeta")),"",IFERROR(IF(INDEX(ctaVinc,MATCH(K2260,ctaNombre,0))&amp;""&lt;&gt;"",INDEX(ctaVinc,MATCH(K2260,ctaNombre,0))&amp;"",K2260),K2260))</f>
        <v/>
      </c>
      <c r="AD2260" s="52">
        <f>IF(AB2260="","",IFERROR(INDEX(ctaTipo,MATCH(AB2260,ctaNombre,0))&amp;"",""))</f>
        <v/>
      </c>
      <c r="AE2260" s="52">
        <f>IF(AC2260="","",IFERROR(INDEX(ctaTipo,MATCH(AC2260,ctaNombre,0))&amp;"",""))</f>
        <v/>
      </c>
      <c r="AF2260" s="53">
        <f>IF(OR(P2260="",AB2260=""),"",IF(OR(P2260="Gasto",P2260="Transferencia",P2260="Pago tarjeta"),-1,1)*IF(IFERROR(INDEX(ctaMoneda,MATCH(AB2260,ctaNombre,0))&amp;"","DOP")="USD",T2260,S2260))</f>
        <v/>
      </c>
      <c r="AG2260" s="53">
        <f>IF(AC2260="","",IF(IFERROR(INDEX(ctaMoneda,MATCH(AC2260,ctaNombre,0))&amp;"","DOP")="USD",T2260,S2260))</f>
        <v/>
      </c>
      <c r="AH2260" s="53">
        <f>IF(P2260="","",IF(AND(AD2260&lt;&gt;"",COUNTIFS(tcTipo,AD2260,tcLiq,"Sí")&gt;0),IF(OR(P2260="Gasto",P2260="Transferencia",P2260="Pago tarjeta"),-1,1)*S2260,0)+IF(AND(AE2260&lt;&gt;"",COUNTIFS(tcTipo,AE2260,tcLiq,"Sí")&gt;0),S2260,0))</f>
        <v/>
      </c>
      <c r="AI2260" s="52">
        <f>IF(OR(L2260="",P2260=""),"",IF(COUNTIFS(L$6:L2260,L2260,P$6:P2260,"?*")=1,MAX(AI$5:AI2259)+1,""))</f>
        <v/>
      </c>
    </row>
    <row r="2261">
      <c r="B2261" s="47" t="n"/>
      <c r="C2261" s="48" t="n"/>
      <c r="D2261" s="48" t="n"/>
      <c r="E2261" s="48" t="n"/>
      <c r="F2261" s="48" t="n"/>
      <c r="G2261" s="49" t="n"/>
      <c r="H2261" s="48" t="n"/>
      <c r="I2261" s="50" t="n"/>
      <c r="J2261" s="48" t="n"/>
      <c r="K2261" s="48" t="n"/>
      <c r="L2261" s="48" t="n"/>
      <c r="M2261" s="48" t="n"/>
      <c r="N2261" s="48" t="n"/>
      <c r="O2261" s="51">
        <f>IF(AND(B2261="",G2261="",C2261="",D2261="",J2261=""),"",IF(B2261="","⚠ Falta fecha",IF(G2261="","⚠ Falta monto",IF(Q2261="","⚠ Falta cuenta",IF(ISNA(MATCH(Q2261,ctaNombre,0)),"⚠ Cuenta no registrada",IF(AND(OR(P2261="Gasto",P2261="Reembolso"),D2261=""),"⚠ Falta categoría",IF(AND(D2261&lt;&gt;"",E2261&lt;&gt;"",ISNA(MATCH(D2261&amp;"|"&amp;E2261,catClave,0))),"⚠ Subcategoría no corresponde",IF(AND(OR(P2261="Transferencia",P2261="Pago tarjeta"),K2261=""),"⚠ Falta cuenta destino",IF(AND(K2261&lt;&gt;"",P2261&lt;&gt;"Transferencia",P2261&lt;&gt;"Pago tarjeta"),"⚠ Destino solo aplica a transferencias",IF(AND(K2261&lt;&gt;"",K2261=Q2261),"⚠ Origen igual a destino",IF(AND(K2261&lt;&gt;"",ISNA(MATCH(K2261,ctaNombre,0))),"⚠ Destino no registrado",IF(AND(P2261="Pago tarjeta",AE2261&lt;&gt;"Tarjeta de crédito"),"⚠ El destino debe ser tarjeta de crédito",IF(AND(P2261="Gasto",E2261="Depósitos y retiros"),"⚠ Usa tipo Transferencia",IF(AND(P2261="Resultado trading",AD2261&lt;&gt;"Cuenta de trading"),"⚠ Usa una cuenta de trading",IF(AND(G2261&lt;=0,P2261&lt;&gt;"Ajuste",P2261&lt;&gt;"Resultado trading"),"⚠ El monto debe ser positivo","✓")))))))))))))))</f>
        <v/>
      </c>
      <c r="P2261" s="52">
        <f>IF(OR(B2261="",G2261=""),"",IF(C2261="","Gasto",C2261))</f>
        <v/>
      </c>
      <c r="Q2261" s="52">
        <f>IF(P2261="","",IF(J2261&lt;&gt;"",J2261,CuentaPred&amp;""))</f>
        <v/>
      </c>
      <c r="R2261" s="52">
        <f>IF(P2261="","",IF(ISNUMBER(I2261),I2261,TasaUSD))</f>
        <v/>
      </c>
      <c r="S2261" s="53">
        <f>IF(P2261="","",IF(H2261="USD",G2261*R2261,G2261))</f>
        <v/>
      </c>
      <c r="T2261" s="53">
        <f>IF(P2261="","",IF(H2261="USD",G2261,IF(R2261&gt;0,G2261/R2261,0)))</f>
        <v/>
      </c>
      <c r="U2261" s="53">
        <f>IF(P2261="","",IF(P2261="Gasto",S2261,IF(P2261="Reembolso",-S2261,0)))</f>
        <v/>
      </c>
      <c r="V2261" s="53">
        <f>IF(P2261="","",IF(P2261="Ingreso",S2261,0))</f>
        <v/>
      </c>
      <c r="W2261" s="53">
        <f>IF(P2261="","",IF(P2261="Resultado trading",S2261,0))</f>
        <v/>
      </c>
      <c r="X2261" s="52">
        <f>IF(OR(P2261="Gasto",P2261="Reembolso"),IF(M2261&lt;&gt;"",M2261,IFERROR(INDEX(catClasif,MATCH(D2261&amp;"|"&amp;E2261,catClave,0))&amp;"","Variable")),"")</f>
        <v/>
      </c>
      <c r="Y2261" s="52">
        <f>IF(P2261="","",IFERROR(INDEX(catGrupo,MATCH(D2261&amp;"|"&amp;E2261,catClave,0))&amp;"",""))</f>
        <v/>
      </c>
      <c r="Z2261" s="52">
        <f>IF(P2261="","",WEEKDAY(B2261,2))</f>
        <v/>
      </c>
      <c r="AA2261" s="52">
        <f>IF(P2261="","",IF(AND(P2261="Gasto",X2261="Variable",D2261&lt;&gt;catTrading,S2261&gt;0,S2261&lt;=Umbral),1,0))</f>
        <v/>
      </c>
      <c r="AB2261" s="52">
        <f>IF(OR(P2261="",Q2261=""),"",IFERROR(IF(INDEX(ctaVinc,MATCH(Q2261,ctaNombre,0))&amp;""&lt;&gt;"",INDEX(ctaVinc,MATCH(Q2261,ctaNombre,0))&amp;"",Q2261),Q2261))</f>
        <v/>
      </c>
      <c r="AC2261" s="52">
        <f>IF(OR(K2261="",AND(P2261&lt;&gt;"Transferencia",P2261&lt;&gt;"Pago tarjeta")),"",IFERROR(IF(INDEX(ctaVinc,MATCH(K2261,ctaNombre,0))&amp;""&lt;&gt;"",INDEX(ctaVinc,MATCH(K2261,ctaNombre,0))&amp;"",K2261),K2261))</f>
        <v/>
      </c>
      <c r="AD2261" s="52">
        <f>IF(AB2261="","",IFERROR(INDEX(ctaTipo,MATCH(AB2261,ctaNombre,0))&amp;"",""))</f>
        <v/>
      </c>
      <c r="AE2261" s="52">
        <f>IF(AC2261="","",IFERROR(INDEX(ctaTipo,MATCH(AC2261,ctaNombre,0))&amp;"",""))</f>
        <v/>
      </c>
      <c r="AF2261" s="53">
        <f>IF(OR(P2261="",AB2261=""),"",IF(OR(P2261="Gasto",P2261="Transferencia",P2261="Pago tarjeta"),-1,1)*IF(IFERROR(INDEX(ctaMoneda,MATCH(AB2261,ctaNombre,0))&amp;"","DOP")="USD",T2261,S2261))</f>
        <v/>
      </c>
      <c r="AG2261" s="53">
        <f>IF(AC2261="","",IF(IFERROR(INDEX(ctaMoneda,MATCH(AC2261,ctaNombre,0))&amp;"","DOP")="USD",T2261,S2261))</f>
        <v/>
      </c>
      <c r="AH2261" s="53">
        <f>IF(P2261="","",IF(AND(AD2261&lt;&gt;"",COUNTIFS(tcTipo,AD2261,tcLiq,"Sí")&gt;0),IF(OR(P2261="Gasto",P2261="Transferencia",P2261="Pago tarjeta"),-1,1)*S2261,0)+IF(AND(AE2261&lt;&gt;"",COUNTIFS(tcTipo,AE2261,tcLiq,"Sí")&gt;0),S2261,0))</f>
        <v/>
      </c>
      <c r="AI2261" s="52">
        <f>IF(OR(L2261="",P2261=""),"",IF(COUNTIFS(L$6:L2261,L2261,P$6:P2261,"?*")=1,MAX(AI$5:AI2260)+1,""))</f>
        <v/>
      </c>
    </row>
    <row r="2262">
      <c r="B2262" s="47" t="n"/>
      <c r="C2262" s="48" t="n"/>
      <c r="D2262" s="48" t="n"/>
      <c r="E2262" s="48" t="n"/>
      <c r="F2262" s="48" t="n"/>
      <c r="G2262" s="49" t="n"/>
      <c r="H2262" s="48" t="n"/>
      <c r="I2262" s="50" t="n"/>
      <c r="J2262" s="48" t="n"/>
      <c r="K2262" s="48" t="n"/>
      <c r="L2262" s="48" t="n"/>
      <c r="M2262" s="48" t="n"/>
      <c r="N2262" s="48" t="n"/>
      <c r="O2262" s="51">
        <f>IF(AND(B2262="",G2262="",C2262="",D2262="",J2262=""),"",IF(B2262="","⚠ Falta fecha",IF(G2262="","⚠ Falta monto",IF(Q2262="","⚠ Falta cuenta",IF(ISNA(MATCH(Q2262,ctaNombre,0)),"⚠ Cuenta no registrada",IF(AND(OR(P2262="Gasto",P2262="Reembolso"),D2262=""),"⚠ Falta categoría",IF(AND(D2262&lt;&gt;"",E2262&lt;&gt;"",ISNA(MATCH(D2262&amp;"|"&amp;E2262,catClave,0))),"⚠ Subcategoría no corresponde",IF(AND(OR(P2262="Transferencia",P2262="Pago tarjeta"),K2262=""),"⚠ Falta cuenta destino",IF(AND(K2262&lt;&gt;"",P2262&lt;&gt;"Transferencia",P2262&lt;&gt;"Pago tarjeta"),"⚠ Destino solo aplica a transferencias",IF(AND(K2262&lt;&gt;"",K2262=Q2262),"⚠ Origen igual a destino",IF(AND(K2262&lt;&gt;"",ISNA(MATCH(K2262,ctaNombre,0))),"⚠ Destino no registrado",IF(AND(P2262="Pago tarjeta",AE2262&lt;&gt;"Tarjeta de crédito"),"⚠ El destino debe ser tarjeta de crédito",IF(AND(P2262="Gasto",E2262="Depósitos y retiros"),"⚠ Usa tipo Transferencia",IF(AND(P2262="Resultado trading",AD2262&lt;&gt;"Cuenta de trading"),"⚠ Usa una cuenta de trading",IF(AND(G2262&lt;=0,P2262&lt;&gt;"Ajuste",P2262&lt;&gt;"Resultado trading"),"⚠ El monto debe ser positivo","✓")))))))))))))))</f>
        <v/>
      </c>
      <c r="P2262" s="52">
        <f>IF(OR(B2262="",G2262=""),"",IF(C2262="","Gasto",C2262))</f>
        <v/>
      </c>
      <c r="Q2262" s="52">
        <f>IF(P2262="","",IF(J2262&lt;&gt;"",J2262,CuentaPred&amp;""))</f>
        <v/>
      </c>
      <c r="R2262" s="52">
        <f>IF(P2262="","",IF(ISNUMBER(I2262),I2262,TasaUSD))</f>
        <v/>
      </c>
      <c r="S2262" s="53">
        <f>IF(P2262="","",IF(H2262="USD",G2262*R2262,G2262))</f>
        <v/>
      </c>
      <c r="T2262" s="53">
        <f>IF(P2262="","",IF(H2262="USD",G2262,IF(R2262&gt;0,G2262/R2262,0)))</f>
        <v/>
      </c>
      <c r="U2262" s="53">
        <f>IF(P2262="","",IF(P2262="Gasto",S2262,IF(P2262="Reembolso",-S2262,0)))</f>
        <v/>
      </c>
      <c r="V2262" s="53">
        <f>IF(P2262="","",IF(P2262="Ingreso",S2262,0))</f>
        <v/>
      </c>
      <c r="W2262" s="53">
        <f>IF(P2262="","",IF(P2262="Resultado trading",S2262,0))</f>
        <v/>
      </c>
      <c r="X2262" s="52">
        <f>IF(OR(P2262="Gasto",P2262="Reembolso"),IF(M2262&lt;&gt;"",M2262,IFERROR(INDEX(catClasif,MATCH(D2262&amp;"|"&amp;E2262,catClave,0))&amp;"","Variable")),"")</f>
        <v/>
      </c>
      <c r="Y2262" s="52">
        <f>IF(P2262="","",IFERROR(INDEX(catGrupo,MATCH(D2262&amp;"|"&amp;E2262,catClave,0))&amp;"",""))</f>
        <v/>
      </c>
      <c r="Z2262" s="52">
        <f>IF(P2262="","",WEEKDAY(B2262,2))</f>
        <v/>
      </c>
      <c r="AA2262" s="52">
        <f>IF(P2262="","",IF(AND(P2262="Gasto",X2262="Variable",D2262&lt;&gt;catTrading,S2262&gt;0,S2262&lt;=Umbral),1,0))</f>
        <v/>
      </c>
      <c r="AB2262" s="52">
        <f>IF(OR(P2262="",Q2262=""),"",IFERROR(IF(INDEX(ctaVinc,MATCH(Q2262,ctaNombre,0))&amp;""&lt;&gt;"",INDEX(ctaVinc,MATCH(Q2262,ctaNombre,0))&amp;"",Q2262),Q2262))</f>
        <v/>
      </c>
      <c r="AC2262" s="52">
        <f>IF(OR(K2262="",AND(P2262&lt;&gt;"Transferencia",P2262&lt;&gt;"Pago tarjeta")),"",IFERROR(IF(INDEX(ctaVinc,MATCH(K2262,ctaNombre,0))&amp;""&lt;&gt;"",INDEX(ctaVinc,MATCH(K2262,ctaNombre,0))&amp;"",K2262),K2262))</f>
        <v/>
      </c>
      <c r="AD2262" s="52">
        <f>IF(AB2262="","",IFERROR(INDEX(ctaTipo,MATCH(AB2262,ctaNombre,0))&amp;"",""))</f>
        <v/>
      </c>
      <c r="AE2262" s="52">
        <f>IF(AC2262="","",IFERROR(INDEX(ctaTipo,MATCH(AC2262,ctaNombre,0))&amp;"",""))</f>
        <v/>
      </c>
      <c r="AF2262" s="53">
        <f>IF(OR(P2262="",AB2262=""),"",IF(OR(P2262="Gasto",P2262="Transferencia",P2262="Pago tarjeta"),-1,1)*IF(IFERROR(INDEX(ctaMoneda,MATCH(AB2262,ctaNombre,0))&amp;"","DOP")="USD",T2262,S2262))</f>
        <v/>
      </c>
      <c r="AG2262" s="53">
        <f>IF(AC2262="","",IF(IFERROR(INDEX(ctaMoneda,MATCH(AC2262,ctaNombre,0))&amp;"","DOP")="USD",T2262,S2262))</f>
        <v/>
      </c>
      <c r="AH2262" s="53">
        <f>IF(P2262="","",IF(AND(AD2262&lt;&gt;"",COUNTIFS(tcTipo,AD2262,tcLiq,"Sí")&gt;0),IF(OR(P2262="Gasto",P2262="Transferencia",P2262="Pago tarjeta"),-1,1)*S2262,0)+IF(AND(AE2262&lt;&gt;"",COUNTIFS(tcTipo,AE2262,tcLiq,"Sí")&gt;0),S2262,0))</f>
        <v/>
      </c>
      <c r="AI2262" s="52">
        <f>IF(OR(L2262="",P2262=""),"",IF(COUNTIFS(L$6:L2262,L2262,P$6:P2262,"?*")=1,MAX(AI$5:AI2261)+1,""))</f>
        <v/>
      </c>
    </row>
    <row r="2263">
      <c r="B2263" s="47" t="n"/>
      <c r="C2263" s="48" t="n"/>
      <c r="D2263" s="48" t="n"/>
      <c r="E2263" s="48" t="n"/>
      <c r="F2263" s="48" t="n"/>
      <c r="G2263" s="49" t="n"/>
      <c r="H2263" s="48" t="n"/>
      <c r="I2263" s="50" t="n"/>
      <c r="J2263" s="48" t="n"/>
      <c r="K2263" s="48" t="n"/>
      <c r="L2263" s="48" t="n"/>
      <c r="M2263" s="48" t="n"/>
      <c r="N2263" s="48" t="n"/>
      <c r="O2263" s="51">
        <f>IF(AND(B2263="",G2263="",C2263="",D2263="",J2263=""),"",IF(B2263="","⚠ Falta fecha",IF(G2263="","⚠ Falta monto",IF(Q2263="","⚠ Falta cuenta",IF(ISNA(MATCH(Q2263,ctaNombre,0)),"⚠ Cuenta no registrada",IF(AND(OR(P2263="Gasto",P2263="Reembolso"),D2263=""),"⚠ Falta categoría",IF(AND(D2263&lt;&gt;"",E2263&lt;&gt;"",ISNA(MATCH(D2263&amp;"|"&amp;E2263,catClave,0))),"⚠ Subcategoría no corresponde",IF(AND(OR(P2263="Transferencia",P2263="Pago tarjeta"),K2263=""),"⚠ Falta cuenta destino",IF(AND(K2263&lt;&gt;"",P2263&lt;&gt;"Transferencia",P2263&lt;&gt;"Pago tarjeta"),"⚠ Destino solo aplica a transferencias",IF(AND(K2263&lt;&gt;"",K2263=Q2263),"⚠ Origen igual a destino",IF(AND(K2263&lt;&gt;"",ISNA(MATCH(K2263,ctaNombre,0))),"⚠ Destino no registrado",IF(AND(P2263="Pago tarjeta",AE2263&lt;&gt;"Tarjeta de crédito"),"⚠ El destino debe ser tarjeta de crédito",IF(AND(P2263="Gasto",E2263="Depósitos y retiros"),"⚠ Usa tipo Transferencia",IF(AND(P2263="Resultado trading",AD2263&lt;&gt;"Cuenta de trading"),"⚠ Usa una cuenta de trading",IF(AND(G2263&lt;=0,P2263&lt;&gt;"Ajuste",P2263&lt;&gt;"Resultado trading"),"⚠ El monto debe ser positivo","✓")))))))))))))))</f>
        <v/>
      </c>
      <c r="P2263" s="52">
        <f>IF(OR(B2263="",G2263=""),"",IF(C2263="","Gasto",C2263))</f>
        <v/>
      </c>
      <c r="Q2263" s="52">
        <f>IF(P2263="","",IF(J2263&lt;&gt;"",J2263,CuentaPred&amp;""))</f>
        <v/>
      </c>
      <c r="R2263" s="52">
        <f>IF(P2263="","",IF(ISNUMBER(I2263),I2263,TasaUSD))</f>
        <v/>
      </c>
      <c r="S2263" s="53">
        <f>IF(P2263="","",IF(H2263="USD",G2263*R2263,G2263))</f>
        <v/>
      </c>
      <c r="T2263" s="53">
        <f>IF(P2263="","",IF(H2263="USD",G2263,IF(R2263&gt;0,G2263/R2263,0)))</f>
        <v/>
      </c>
      <c r="U2263" s="53">
        <f>IF(P2263="","",IF(P2263="Gasto",S2263,IF(P2263="Reembolso",-S2263,0)))</f>
        <v/>
      </c>
      <c r="V2263" s="53">
        <f>IF(P2263="","",IF(P2263="Ingreso",S2263,0))</f>
        <v/>
      </c>
      <c r="W2263" s="53">
        <f>IF(P2263="","",IF(P2263="Resultado trading",S2263,0))</f>
        <v/>
      </c>
      <c r="X2263" s="52">
        <f>IF(OR(P2263="Gasto",P2263="Reembolso"),IF(M2263&lt;&gt;"",M2263,IFERROR(INDEX(catClasif,MATCH(D2263&amp;"|"&amp;E2263,catClave,0))&amp;"","Variable")),"")</f>
        <v/>
      </c>
      <c r="Y2263" s="52">
        <f>IF(P2263="","",IFERROR(INDEX(catGrupo,MATCH(D2263&amp;"|"&amp;E2263,catClave,0))&amp;"",""))</f>
        <v/>
      </c>
      <c r="Z2263" s="52">
        <f>IF(P2263="","",WEEKDAY(B2263,2))</f>
        <v/>
      </c>
      <c r="AA2263" s="52">
        <f>IF(P2263="","",IF(AND(P2263="Gasto",X2263="Variable",D2263&lt;&gt;catTrading,S2263&gt;0,S2263&lt;=Umbral),1,0))</f>
        <v/>
      </c>
      <c r="AB2263" s="52">
        <f>IF(OR(P2263="",Q2263=""),"",IFERROR(IF(INDEX(ctaVinc,MATCH(Q2263,ctaNombre,0))&amp;""&lt;&gt;"",INDEX(ctaVinc,MATCH(Q2263,ctaNombre,0))&amp;"",Q2263),Q2263))</f>
        <v/>
      </c>
      <c r="AC2263" s="52">
        <f>IF(OR(K2263="",AND(P2263&lt;&gt;"Transferencia",P2263&lt;&gt;"Pago tarjeta")),"",IFERROR(IF(INDEX(ctaVinc,MATCH(K2263,ctaNombre,0))&amp;""&lt;&gt;"",INDEX(ctaVinc,MATCH(K2263,ctaNombre,0))&amp;"",K2263),K2263))</f>
        <v/>
      </c>
      <c r="AD2263" s="52">
        <f>IF(AB2263="","",IFERROR(INDEX(ctaTipo,MATCH(AB2263,ctaNombre,0))&amp;"",""))</f>
        <v/>
      </c>
      <c r="AE2263" s="52">
        <f>IF(AC2263="","",IFERROR(INDEX(ctaTipo,MATCH(AC2263,ctaNombre,0))&amp;"",""))</f>
        <v/>
      </c>
      <c r="AF2263" s="53">
        <f>IF(OR(P2263="",AB2263=""),"",IF(OR(P2263="Gasto",P2263="Transferencia",P2263="Pago tarjeta"),-1,1)*IF(IFERROR(INDEX(ctaMoneda,MATCH(AB2263,ctaNombre,0))&amp;"","DOP")="USD",T2263,S2263))</f>
        <v/>
      </c>
      <c r="AG2263" s="53">
        <f>IF(AC2263="","",IF(IFERROR(INDEX(ctaMoneda,MATCH(AC2263,ctaNombre,0))&amp;"","DOP")="USD",T2263,S2263))</f>
        <v/>
      </c>
      <c r="AH2263" s="53">
        <f>IF(P2263="","",IF(AND(AD2263&lt;&gt;"",COUNTIFS(tcTipo,AD2263,tcLiq,"Sí")&gt;0),IF(OR(P2263="Gasto",P2263="Transferencia",P2263="Pago tarjeta"),-1,1)*S2263,0)+IF(AND(AE2263&lt;&gt;"",COUNTIFS(tcTipo,AE2263,tcLiq,"Sí")&gt;0),S2263,0))</f>
        <v/>
      </c>
      <c r="AI2263" s="52">
        <f>IF(OR(L2263="",P2263=""),"",IF(COUNTIFS(L$6:L2263,L2263,P$6:P2263,"?*")=1,MAX(AI$5:AI2262)+1,""))</f>
        <v/>
      </c>
    </row>
    <row r="2264">
      <c r="B2264" s="47" t="n"/>
      <c r="C2264" s="48" t="n"/>
      <c r="D2264" s="48" t="n"/>
      <c r="E2264" s="48" t="n"/>
      <c r="F2264" s="48" t="n"/>
      <c r="G2264" s="49" t="n"/>
      <c r="H2264" s="48" t="n"/>
      <c r="I2264" s="50" t="n"/>
      <c r="J2264" s="48" t="n"/>
      <c r="K2264" s="48" t="n"/>
      <c r="L2264" s="48" t="n"/>
      <c r="M2264" s="48" t="n"/>
      <c r="N2264" s="48" t="n"/>
      <c r="O2264" s="51">
        <f>IF(AND(B2264="",G2264="",C2264="",D2264="",J2264=""),"",IF(B2264="","⚠ Falta fecha",IF(G2264="","⚠ Falta monto",IF(Q2264="","⚠ Falta cuenta",IF(ISNA(MATCH(Q2264,ctaNombre,0)),"⚠ Cuenta no registrada",IF(AND(OR(P2264="Gasto",P2264="Reembolso"),D2264=""),"⚠ Falta categoría",IF(AND(D2264&lt;&gt;"",E2264&lt;&gt;"",ISNA(MATCH(D2264&amp;"|"&amp;E2264,catClave,0))),"⚠ Subcategoría no corresponde",IF(AND(OR(P2264="Transferencia",P2264="Pago tarjeta"),K2264=""),"⚠ Falta cuenta destino",IF(AND(K2264&lt;&gt;"",P2264&lt;&gt;"Transferencia",P2264&lt;&gt;"Pago tarjeta"),"⚠ Destino solo aplica a transferencias",IF(AND(K2264&lt;&gt;"",K2264=Q2264),"⚠ Origen igual a destino",IF(AND(K2264&lt;&gt;"",ISNA(MATCH(K2264,ctaNombre,0))),"⚠ Destino no registrado",IF(AND(P2264="Pago tarjeta",AE2264&lt;&gt;"Tarjeta de crédito"),"⚠ El destino debe ser tarjeta de crédito",IF(AND(P2264="Gasto",E2264="Depósitos y retiros"),"⚠ Usa tipo Transferencia",IF(AND(P2264="Resultado trading",AD2264&lt;&gt;"Cuenta de trading"),"⚠ Usa una cuenta de trading",IF(AND(G2264&lt;=0,P2264&lt;&gt;"Ajuste",P2264&lt;&gt;"Resultado trading"),"⚠ El monto debe ser positivo","✓")))))))))))))))</f>
        <v/>
      </c>
      <c r="P2264" s="52">
        <f>IF(OR(B2264="",G2264=""),"",IF(C2264="","Gasto",C2264))</f>
        <v/>
      </c>
      <c r="Q2264" s="52">
        <f>IF(P2264="","",IF(J2264&lt;&gt;"",J2264,CuentaPred&amp;""))</f>
        <v/>
      </c>
      <c r="R2264" s="52">
        <f>IF(P2264="","",IF(ISNUMBER(I2264),I2264,TasaUSD))</f>
        <v/>
      </c>
      <c r="S2264" s="53">
        <f>IF(P2264="","",IF(H2264="USD",G2264*R2264,G2264))</f>
        <v/>
      </c>
      <c r="T2264" s="53">
        <f>IF(P2264="","",IF(H2264="USD",G2264,IF(R2264&gt;0,G2264/R2264,0)))</f>
        <v/>
      </c>
      <c r="U2264" s="53">
        <f>IF(P2264="","",IF(P2264="Gasto",S2264,IF(P2264="Reembolso",-S2264,0)))</f>
        <v/>
      </c>
      <c r="V2264" s="53">
        <f>IF(P2264="","",IF(P2264="Ingreso",S2264,0))</f>
        <v/>
      </c>
      <c r="W2264" s="53">
        <f>IF(P2264="","",IF(P2264="Resultado trading",S2264,0))</f>
        <v/>
      </c>
      <c r="X2264" s="52">
        <f>IF(OR(P2264="Gasto",P2264="Reembolso"),IF(M2264&lt;&gt;"",M2264,IFERROR(INDEX(catClasif,MATCH(D2264&amp;"|"&amp;E2264,catClave,0))&amp;"","Variable")),"")</f>
        <v/>
      </c>
      <c r="Y2264" s="52">
        <f>IF(P2264="","",IFERROR(INDEX(catGrupo,MATCH(D2264&amp;"|"&amp;E2264,catClave,0))&amp;"",""))</f>
        <v/>
      </c>
      <c r="Z2264" s="52">
        <f>IF(P2264="","",WEEKDAY(B2264,2))</f>
        <v/>
      </c>
      <c r="AA2264" s="52">
        <f>IF(P2264="","",IF(AND(P2264="Gasto",X2264="Variable",D2264&lt;&gt;catTrading,S2264&gt;0,S2264&lt;=Umbral),1,0))</f>
        <v/>
      </c>
      <c r="AB2264" s="52">
        <f>IF(OR(P2264="",Q2264=""),"",IFERROR(IF(INDEX(ctaVinc,MATCH(Q2264,ctaNombre,0))&amp;""&lt;&gt;"",INDEX(ctaVinc,MATCH(Q2264,ctaNombre,0))&amp;"",Q2264),Q2264))</f>
        <v/>
      </c>
      <c r="AC2264" s="52">
        <f>IF(OR(K2264="",AND(P2264&lt;&gt;"Transferencia",P2264&lt;&gt;"Pago tarjeta")),"",IFERROR(IF(INDEX(ctaVinc,MATCH(K2264,ctaNombre,0))&amp;""&lt;&gt;"",INDEX(ctaVinc,MATCH(K2264,ctaNombre,0))&amp;"",K2264),K2264))</f>
        <v/>
      </c>
      <c r="AD2264" s="52">
        <f>IF(AB2264="","",IFERROR(INDEX(ctaTipo,MATCH(AB2264,ctaNombre,0))&amp;"",""))</f>
        <v/>
      </c>
      <c r="AE2264" s="52">
        <f>IF(AC2264="","",IFERROR(INDEX(ctaTipo,MATCH(AC2264,ctaNombre,0))&amp;"",""))</f>
        <v/>
      </c>
      <c r="AF2264" s="53">
        <f>IF(OR(P2264="",AB2264=""),"",IF(OR(P2264="Gasto",P2264="Transferencia",P2264="Pago tarjeta"),-1,1)*IF(IFERROR(INDEX(ctaMoneda,MATCH(AB2264,ctaNombre,0))&amp;"","DOP")="USD",T2264,S2264))</f>
        <v/>
      </c>
      <c r="AG2264" s="53">
        <f>IF(AC2264="","",IF(IFERROR(INDEX(ctaMoneda,MATCH(AC2264,ctaNombre,0))&amp;"","DOP")="USD",T2264,S2264))</f>
        <v/>
      </c>
      <c r="AH2264" s="53">
        <f>IF(P2264="","",IF(AND(AD2264&lt;&gt;"",COUNTIFS(tcTipo,AD2264,tcLiq,"Sí")&gt;0),IF(OR(P2264="Gasto",P2264="Transferencia",P2264="Pago tarjeta"),-1,1)*S2264,0)+IF(AND(AE2264&lt;&gt;"",COUNTIFS(tcTipo,AE2264,tcLiq,"Sí")&gt;0),S2264,0))</f>
        <v/>
      </c>
      <c r="AI2264" s="52">
        <f>IF(OR(L2264="",P2264=""),"",IF(COUNTIFS(L$6:L2264,L2264,P$6:P2264,"?*")=1,MAX(AI$5:AI2263)+1,""))</f>
        <v/>
      </c>
    </row>
    <row r="2265">
      <c r="B2265" s="47" t="n"/>
      <c r="C2265" s="48" t="n"/>
      <c r="D2265" s="48" t="n"/>
      <c r="E2265" s="48" t="n"/>
      <c r="F2265" s="48" t="n"/>
      <c r="G2265" s="49" t="n"/>
      <c r="H2265" s="48" t="n"/>
      <c r="I2265" s="50" t="n"/>
      <c r="J2265" s="48" t="n"/>
      <c r="K2265" s="48" t="n"/>
      <c r="L2265" s="48" t="n"/>
      <c r="M2265" s="48" t="n"/>
      <c r="N2265" s="48" t="n"/>
      <c r="O2265" s="51">
        <f>IF(AND(B2265="",G2265="",C2265="",D2265="",J2265=""),"",IF(B2265="","⚠ Falta fecha",IF(G2265="","⚠ Falta monto",IF(Q2265="","⚠ Falta cuenta",IF(ISNA(MATCH(Q2265,ctaNombre,0)),"⚠ Cuenta no registrada",IF(AND(OR(P2265="Gasto",P2265="Reembolso"),D2265=""),"⚠ Falta categoría",IF(AND(D2265&lt;&gt;"",E2265&lt;&gt;"",ISNA(MATCH(D2265&amp;"|"&amp;E2265,catClave,0))),"⚠ Subcategoría no corresponde",IF(AND(OR(P2265="Transferencia",P2265="Pago tarjeta"),K2265=""),"⚠ Falta cuenta destino",IF(AND(K2265&lt;&gt;"",P2265&lt;&gt;"Transferencia",P2265&lt;&gt;"Pago tarjeta"),"⚠ Destino solo aplica a transferencias",IF(AND(K2265&lt;&gt;"",K2265=Q2265),"⚠ Origen igual a destino",IF(AND(K2265&lt;&gt;"",ISNA(MATCH(K2265,ctaNombre,0))),"⚠ Destino no registrado",IF(AND(P2265="Pago tarjeta",AE2265&lt;&gt;"Tarjeta de crédito"),"⚠ El destino debe ser tarjeta de crédito",IF(AND(P2265="Gasto",E2265="Depósitos y retiros"),"⚠ Usa tipo Transferencia",IF(AND(P2265="Resultado trading",AD2265&lt;&gt;"Cuenta de trading"),"⚠ Usa una cuenta de trading",IF(AND(G2265&lt;=0,P2265&lt;&gt;"Ajuste",P2265&lt;&gt;"Resultado trading"),"⚠ El monto debe ser positivo","✓")))))))))))))))</f>
        <v/>
      </c>
      <c r="P2265" s="52">
        <f>IF(OR(B2265="",G2265=""),"",IF(C2265="","Gasto",C2265))</f>
        <v/>
      </c>
      <c r="Q2265" s="52">
        <f>IF(P2265="","",IF(J2265&lt;&gt;"",J2265,CuentaPred&amp;""))</f>
        <v/>
      </c>
      <c r="R2265" s="52">
        <f>IF(P2265="","",IF(ISNUMBER(I2265),I2265,TasaUSD))</f>
        <v/>
      </c>
      <c r="S2265" s="53">
        <f>IF(P2265="","",IF(H2265="USD",G2265*R2265,G2265))</f>
        <v/>
      </c>
      <c r="T2265" s="53">
        <f>IF(P2265="","",IF(H2265="USD",G2265,IF(R2265&gt;0,G2265/R2265,0)))</f>
        <v/>
      </c>
      <c r="U2265" s="53">
        <f>IF(P2265="","",IF(P2265="Gasto",S2265,IF(P2265="Reembolso",-S2265,0)))</f>
        <v/>
      </c>
      <c r="V2265" s="53">
        <f>IF(P2265="","",IF(P2265="Ingreso",S2265,0))</f>
        <v/>
      </c>
      <c r="W2265" s="53">
        <f>IF(P2265="","",IF(P2265="Resultado trading",S2265,0))</f>
        <v/>
      </c>
      <c r="X2265" s="52">
        <f>IF(OR(P2265="Gasto",P2265="Reembolso"),IF(M2265&lt;&gt;"",M2265,IFERROR(INDEX(catClasif,MATCH(D2265&amp;"|"&amp;E2265,catClave,0))&amp;"","Variable")),"")</f>
        <v/>
      </c>
      <c r="Y2265" s="52">
        <f>IF(P2265="","",IFERROR(INDEX(catGrupo,MATCH(D2265&amp;"|"&amp;E2265,catClave,0))&amp;"",""))</f>
        <v/>
      </c>
      <c r="Z2265" s="52">
        <f>IF(P2265="","",WEEKDAY(B2265,2))</f>
        <v/>
      </c>
      <c r="AA2265" s="52">
        <f>IF(P2265="","",IF(AND(P2265="Gasto",X2265="Variable",D2265&lt;&gt;catTrading,S2265&gt;0,S2265&lt;=Umbral),1,0))</f>
        <v/>
      </c>
      <c r="AB2265" s="52">
        <f>IF(OR(P2265="",Q2265=""),"",IFERROR(IF(INDEX(ctaVinc,MATCH(Q2265,ctaNombre,0))&amp;""&lt;&gt;"",INDEX(ctaVinc,MATCH(Q2265,ctaNombre,0))&amp;"",Q2265),Q2265))</f>
        <v/>
      </c>
      <c r="AC2265" s="52">
        <f>IF(OR(K2265="",AND(P2265&lt;&gt;"Transferencia",P2265&lt;&gt;"Pago tarjeta")),"",IFERROR(IF(INDEX(ctaVinc,MATCH(K2265,ctaNombre,0))&amp;""&lt;&gt;"",INDEX(ctaVinc,MATCH(K2265,ctaNombre,0))&amp;"",K2265),K2265))</f>
        <v/>
      </c>
      <c r="AD2265" s="52">
        <f>IF(AB2265="","",IFERROR(INDEX(ctaTipo,MATCH(AB2265,ctaNombre,0))&amp;"",""))</f>
        <v/>
      </c>
      <c r="AE2265" s="52">
        <f>IF(AC2265="","",IFERROR(INDEX(ctaTipo,MATCH(AC2265,ctaNombre,0))&amp;"",""))</f>
        <v/>
      </c>
      <c r="AF2265" s="53">
        <f>IF(OR(P2265="",AB2265=""),"",IF(OR(P2265="Gasto",P2265="Transferencia",P2265="Pago tarjeta"),-1,1)*IF(IFERROR(INDEX(ctaMoneda,MATCH(AB2265,ctaNombre,0))&amp;"","DOP")="USD",T2265,S2265))</f>
        <v/>
      </c>
      <c r="AG2265" s="53">
        <f>IF(AC2265="","",IF(IFERROR(INDEX(ctaMoneda,MATCH(AC2265,ctaNombre,0))&amp;"","DOP")="USD",T2265,S2265))</f>
        <v/>
      </c>
      <c r="AH2265" s="53">
        <f>IF(P2265="","",IF(AND(AD2265&lt;&gt;"",COUNTIFS(tcTipo,AD2265,tcLiq,"Sí")&gt;0),IF(OR(P2265="Gasto",P2265="Transferencia",P2265="Pago tarjeta"),-1,1)*S2265,0)+IF(AND(AE2265&lt;&gt;"",COUNTIFS(tcTipo,AE2265,tcLiq,"Sí")&gt;0),S2265,0))</f>
        <v/>
      </c>
      <c r="AI2265" s="52">
        <f>IF(OR(L2265="",P2265=""),"",IF(COUNTIFS(L$6:L2265,L2265,P$6:P2265,"?*")=1,MAX(AI$5:AI2264)+1,""))</f>
        <v/>
      </c>
    </row>
    <row r="2266">
      <c r="B2266" s="47" t="n"/>
      <c r="C2266" s="48" t="n"/>
      <c r="D2266" s="48" t="n"/>
      <c r="E2266" s="48" t="n"/>
      <c r="F2266" s="48" t="n"/>
      <c r="G2266" s="49" t="n"/>
      <c r="H2266" s="48" t="n"/>
      <c r="I2266" s="50" t="n"/>
      <c r="J2266" s="48" t="n"/>
      <c r="K2266" s="48" t="n"/>
      <c r="L2266" s="48" t="n"/>
      <c r="M2266" s="48" t="n"/>
      <c r="N2266" s="48" t="n"/>
      <c r="O2266" s="51">
        <f>IF(AND(B2266="",G2266="",C2266="",D2266="",J2266=""),"",IF(B2266="","⚠ Falta fecha",IF(G2266="","⚠ Falta monto",IF(Q2266="","⚠ Falta cuenta",IF(ISNA(MATCH(Q2266,ctaNombre,0)),"⚠ Cuenta no registrada",IF(AND(OR(P2266="Gasto",P2266="Reembolso"),D2266=""),"⚠ Falta categoría",IF(AND(D2266&lt;&gt;"",E2266&lt;&gt;"",ISNA(MATCH(D2266&amp;"|"&amp;E2266,catClave,0))),"⚠ Subcategoría no corresponde",IF(AND(OR(P2266="Transferencia",P2266="Pago tarjeta"),K2266=""),"⚠ Falta cuenta destino",IF(AND(K2266&lt;&gt;"",P2266&lt;&gt;"Transferencia",P2266&lt;&gt;"Pago tarjeta"),"⚠ Destino solo aplica a transferencias",IF(AND(K2266&lt;&gt;"",K2266=Q2266),"⚠ Origen igual a destino",IF(AND(K2266&lt;&gt;"",ISNA(MATCH(K2266,ctaNombre,0))),"⚠ Destino no registrado",IF(AND(P2266="Pago tarjeta",AE2266&lt;&gt;"Tarjeta de crédito"),"⚠ El destino debe ser tarjeta de crédito",IF(AND(P2266="Gasto",E2266="Depósitos y retiros"),"⚠ Usa tipo Transferencia",IF(AND(P2266="Resultado trading",AD2266&lt;&gt;"Cuenta de trading"),"⚠ Usa una cuenta de trading",IF(AND(G2266&lt;=0,P2266&lt;&gt;"Ajuste",P2266&lt;&gt;"Resultado trading"),"⚠ El monto debe ser positivo","✓")))))))))))))))</f>
        <v/>
      </c>
      <c r="P2266" s="52">
        <f>IF(OR(B2266="",G2266=""),"",IF(C2266="","Gasto",C2266))</f>
        <v/>
      </c>
      <c r="Q2266" s="52">
        <f>IF(P2266="","",IF(J2266&lt;&gt;"",J2266,CuentaPred&amp;""))</f>
        <v/>
      </c>
      <c r="R2266" s="52">
        <f>IF(P2266="","",IF(ISNUMBER(I2266),I2266,TasaUSD))</f>
        <v/>
      </c>
      <c r="S2266" s="53">
        <f>IF(P2266="","",IF(H2266="USD",G2266*R2266,G2266))</f>
        <v/>
      </c>
      <c r="T2266" s="53">
        <f>IF(P2266="","",IF(H2266="USD",G2266,IF(R2266&gt;0,G2266/R2266,0)))</f>
        <v/>
      </c>
      <c r="U2266" s="53">
        <f>IF(P2266="","",IF(P2266="Gasto",S2266,IF(P2266="Reembolso",-S2266,0)))</f>
        <v/>
      </c>
      <c r="V2266" s="53">
        <f>IF(P2266="","",IF(P2266="Ingreso",S2266,0))</f>
        <v/>
      </c>
      <c r="W2266" s="53">
        <f>IF(P2266="","",IF(P2266="Resultado trading",S2266,0))</f>
        <v/>
      </c>
      <c r="X2266" s="52">
        <f>IF(OR(P2266="Gasto",P2266="Reembolso"),IF(M2266&lt;&gt;"",M2266,IFERROR(INDEX(catClasif,MATCH(D2266&amp;"|"&amp;E2266,catClave,0))&amp;"","Variable")),"")</f>
        <v/>
      </c>
      <c r="Y2266" s="52">
        <f>IF(P2266="","",IFERROR(INDEX(catGrupo,MATCH(D2266&amp;"|"&amp;E2266,catClave,0))&amp;"",""))</f>
        <v/>
      </c>
      <c r="Z2266" s="52">
        <f>IF(P2266="","",WEEKDAY(B2266,2))</f>
        <v/>
      </c>
      <c r="AA2266" s="52">
        <f>IF(P2266="","",IF(AND(P2266="Gasto",X2266="Variable",D2266&lt;&gt;catTrading,S2266&gt;0,S2266&lt;=Umbral),1,0))</f>
        <v/>
      </c>
      <c r="AB2266" s="52">
        <f>IF(OR(P2266="",Q2266=""),"",IFERROR(IF(INDEX(ctaVinc,MATCH(Q2266,ctaNombre,0))&amp;""&lt;&gt;"",INDEX(ctaVinc,MATCH(Q2266,ctaNombre,0))&amp;"",Q2266),Q2266))</f>
        <v/>
      </c>
      <c r="AC2266" s="52">
        <f>IF(OR(K2266="",AND(P2266&lt;&gt;"Transferencia",P2266&lt;&gt;"Pago tarjeta")),"",IFERROR(IF(INDEX(ctaVinc,MATCH(K2266,ctaNombre,0))&amp;""&lt;&gt;"",INDEX(ctaVinc,MATCH(K2266,ctaNombre,0))&amp;"",K2266),K2266))</f>
        <v/>
      </c>
      <c r="AD2266" s="52">
        <f>IF(AB2266="","",IFERROR(INDEX(ctaTipo,MATCH(AB2266,ctaNombre,0))&amp;"",""))</f>
        <v/>
      </c>
      <c r="AE2266" s="52">
        <f>IF(AC2266="","",IFERROR(INDEX(ctaTipo,MATCH(AC2266,ctaNombre,0))&amp;"",""))</f>
        <v/>
      </c>
      <c r="AF2266" s="53">
        <f>IF(OR(P2266="",AB2266=""),"",IF(OR(P2266="Gasto",P2266="Transferencia",P2266="Pago tarjeta"),-1,1)*IF(IFERROR(INDEX(ctaMoneda,MATCH(AB2266,ctaNombre,0))&amp;"","DOP")="USD",T2266,S2266))</f>
        <v/>
      </c>
      <c r="AG2266" s="53">
        <f>IF(AC2266="","",IF(IFERROR(INDEX(ctaMoneda,MATCH(AC2266,ctaNombre,0))&amp;"","DOP")="USD",T2266,S2266))</f>
        <v/>
      </c>
      <c r="AH2266" s="53">
        <f>IF(P2266="","",IF(AND(AD2266&lt;&gt;"",COUNTIFS(tcTipo,AD2266,tcLiq,"Sí")&gt;0),IF(OR(P2266="Gasto",P2266="Transferencia",P2266="Pago tarjeta"),-1,1)*S2266,0)+IF(AND(AE2266&lt;&gt;"",COUNTIFS(tcTipo,AE2266,tcLiq,"Sí")&gt;0),S2266,0))</f>
        <v/>
      </c>
      <c r="AI2266" s="52">
        <f>IF(OR(L2266="",P2266=""),"",IF(COUNTIFS(L$6:L2266,L2266,P$6:P2266,"?*")=1,MAX(AI$5:AI2265)+1,""))</f>
        <v/>
      </c>
    </row>
    <row r="2267">
      <c r="B2267" s="47" t="n"/>
      <c r="C2267" s="48" t="n"/>
      <c r="D2267" s="48" t="n"/>
      <c r="E2267" s="48" t="n"/>
      <c r="F2267" s="48" t="n"/>
      <c r="G2267" s="49" t="n"/>
      <c r="H2267" s="48" t="n"/>
      <c r="I2267" s="50" t="n"/>
      <c r="J2267" s="48" t="n"/>
      <c r="K2267" s="48" t="n"/>
      <c r="L2267" s="48" t="n"/>
      <c r="M2267" s="48" t="n"/>
      <c r="N2267" s="48" t="n"/>
      <c r="O2267" s="51">
        <f>IF(AND(B2267="",G2267="",C2267="",D2267="",J2267=""),"",IF(B2267="","⚠ Falta fecha",IF(G2267="","⚠ Falta monto",IF(Q2267="","⚠ Falta cuenta",IF(ISNA(MATCH(Q2267,ctaNombre,0)),"⚠ Cuenta no registrada",IF(AND(OR(P2267="Gasto",P2267="Reembolso"),D2267=""),"⚠ Falta categoría",IF(AND(D2267&lt;&gt;"",E2267&lt;&gt;"",ISNA(MATCH(D2267&amp;"|"&amp;E2267,catClave,0))),"⚠ Subcategoría no corresponde",IF(AND(OR(P2267="Transferencia",P2267="Pago tarjeta"),K2267=""),"⚠ Falta cuenta destino",IF(AND(K2267&lt;&gt;"",P2267&lt;&gt;"Transferencia",P2267&lt;&gt;"Pago tarjeta"),"⚠ Destino solo aplica a transferencias",IF(AND(K2267&lt;&gt;"",K2267=Q2267),"⚠ Origen igual a destino",IF(AND(K2267&lt;&gt;"",ISNA(MATCH(K2267,ctaNombre,0))),"⚠ Destino no registrado",IF(AND(P2267="Pago tarjeta",AE2267&lt;&gt;"Tarjeta de crédito"),"⚠ El destino debe ser tarjeta de crédito",IF(AND(P2267="Gasto",E2267="Depósitos y retiros"),"⚠ Usa tipo Transferencia",IF(AND(P2267="Resultado trading",AD2267&lt;&gt;"Cuenta de trading"),"⚠ Usa una cuenta de trading",IF(AND(G2267&lt;=0,P2267&lt;&gt;"Ajuste",P2267&lt;&gt;"Resultado trading"),"⚠ El monto debe ser positivo","✓")))))))))))))))</f>
        <v/>
      </c>
      <c r="P2267" s="52">
        <f>IF(OR(B2267="",G2267=""),"",IF(C2267="","Gasto",C2267))</f>
        <v/>
      </c>
      <c r="Q2267" s="52">
        <f>IF(P2267="","",IF(J2267&lt;&gt;"",J2267,CuentaPred&amp;""))</f>
        <v/>
      </c>
      <c r="R2267" s="52">
        <f>IF(P2267="","",IF(ISNUMBER(I2267),I2267,TasaUSD))</f>
        <v/>
      </c>
      <c r="S2267" s="53">
        <f>IF(P2267="","",IF(H2267="USD",G2267*R2267,G2267))</f>
        <v/>
      </c>
      <c r="T2267" s="53">
        <f>IF(P2267="","",IF(H2267="USD",G2267,IF(R2267&gt;0,G2267/R2267,0)))</f>
        <v/>
      </c>
      <c r="U2267" s="53">
        <f>IF(P2267="","",IF(P2267="Gasto",S2267,IF(P2267="Reembolso",-S2267,0)))</f>
        <v/>
      </c>
      <c r="V2267" s="53">
        <f>IF(P2267="","",IF(P2267="Ingreso",S2267,0))</f>
        <v/>
      </c>
      <c r="W2267" s="53">
        <f>IF(P2267="","",IF(P2267="Resultado trading",S2267,0))</f>
        <v/>
      </c>
      <c r="X2267" s="52">
        <f>IF(OR(P2267="Gasto",P2267="Reembolso"),IF(M2267&lt;&gt;"",M2267,IFERROR(INDEX(catClasif,MATCH(D2267&amp;"|"&amp;E2267,catClave,0))&amp;"","Variable")),"")</f>
        <v/>
      </c>
      <c r="Y2267" s="52">
        <f>IF(P2267="","",IFERROR(INDEX(catGrupo,MATCH(D2267&amp;"|"&amp;E2267,catClave,0))&amp;"",""))</f>
        <v/>
      </c>
      <c r="Z2267" s="52">
        <f>IF(P2267="","",WEEKDAY(B2267,2))</f>
        <v/>
      </c>
      <c r="AA2267" s="52">
        <f>IF(P2267="","",IF(AND(P2267="Gasto",X2267="Variable",D2267&lt;&gt;catTrading,S2267&gt;0,S2267&lt;=Umbral),1,0))</f>
        <v/>
      </c>
      <c r="AB2267" s="52">
        <f>IF(OR(P2267="",Q2267=""),"",IFERROR(IF(INDEX(ctaVinc,MATCH(Q2267,ctaNombre,0))&amp;""&lt;&gt;"",INDEX(ctaVinc,MATCH(Q2267,ctaNombre,0))&amp;"",Q2267),Q2267))</f>
        <v/>
      </c>
      <c r="AC2267" s="52">
        <f>IF(OR(K2267="",AND(P2267&lt;&gt;"Transferencia",P2267&lt;&gt;"Pago tarjeta")),"",IFERROR(IF(INDEX(ctaVinc,MATCH(K2267,ctaNombre,0))&amp;""&lt;&gt;"",INDEX(ctaVinc,MATCH(K2267,ctaNombre,0))&amp;"",K2267),K2267))</f>
        <v/>
      </c>
      <c r="AD2267" s="52">
        <f>IF(AB2267="","",IFERROR(INDEX(ctaTipo,MATCH(AB2267,ctaNombre,0))&amp;"",""))</f>
        <v/>
      </c>
      <c r="AE2267" s="52">
        <f>IF(AC2267="","",IFERROR(INDEX(ctaTipo,MATCH(AC2267,ctaNombre,0))&amp;"",""))</f>
        <v/>
      </c>
      <c r="AF2267" s="53">
        <f>IF(OR(P2267="",AB2267=""),"",IF(OR(P2267="Gasto",P2267="Transferencia",P2267="Pago tarjeta"),-1,1)*IF(IFERROR(INDEX(ctaMoneda,MATCH(AB2267,ctaNombre,0))&amp;"","DOP")="USD",T2267,S2267))</f>
        <v/>
      </c>
      <c r="AG2267" s="53">
        <f>IF(AC2267="","",IF(IFERROR(INDEX(ctaMoneda,MATCH(AC2267,ctaNombre,0))&amp;"","DOP")="USD",T2267,S2267))</f>
        <v/>
      </c>
      <c r="AH2267" s="53">
        <f>IF(P2267="","",IF(AND(AD2267&lt;&gt;"",COUNTIFS(tcTipo,AD2267,tcLiq,"Sí")&gt;0),IF(OR(P2267="Gasto",P2267="Transferencia",P2267="Pago tarjeta"),-1,1)*S2267,0)+IF(AND(AE2267&lt;&gt;"",COUNTIFS(tcTipo,AE2267,tcLiq,"Sí")&gt;0),S2267,0))</f>
        <v/>
      </c>
      <c r="AI2267" s="52">
        <f>IF(OR(L2267="",P2267=""),"",IF(COUNTIFS(L$6:L2267,L2267,P$6:P2267,"?*")=1,MAX(AI$5:AI2266)+1,""))</f>
        <v/>
      </c>
    </row>
    <row r="2268">
      <c r="B2268" s="47" t="n"/>
      <c r="C2268" s="48" t="n"/>
      <c r="D2268" s="48" t="n"/>
      <c r="E2268" s="48" t="n"/>
      <c r="F2268" s="48" t="n"/>
      <c r="G2268" s="49" t="n"/>
      <c r="H2268" s="48" t="n"/>
      <c r="I2268" s="50" t="n"/>
      <c r="J2268" s="48" t="n"/>
      <c r="K2268" s="48" t="n"/>
      <c r="L2268" s="48" t="n"/>
      <c r="M2268" s="48" t="n"/>
      <c r="N2268" s="48" t="n"/>
      <c r="O2268" s="51">
        <f>IF(AND(B2268="",G2268="",C2268="",D2268="",J2268=""),"",IF(B2268="","⚠ Falta fecha",IF(G2268="","⚠ Falta monto",IF(Q2268="","⚠ Falta cuenta",IF(ISNA(MATCH(Q2268,ctaNombre,0)),"⚠ Cuenta no registrada",IF(AND(OR(P2268="Gasto",P2268="Reembolso"),D2268=""),"⚠ Falta categoría",IF(AND(D2268&lt;&gt;"",E2268&lt;&gt;"",ISNA(MATCH(D2268&amp;"|"&amp;E2268,catClave,0))),"⚠ Subcategoría no corresponde",IF(AND(OR(P2268="Transferencia",P2268="Pago tarjeta"),K2268=""),"⚠ Falta cuenta destino",IF(AND(K2268&lt;&gt;"",P2268&lt;&gt;"Transferencia",P2268&lt;&gt;"Pago tarjeta"),"⚠ Destino solo aplica a transferencias",IF(AND(K2268&lt;&gt;"",K2268=Q2268),"⚠ Origen igual a destino",IF(AND(K2268&lt;&gt;"",ISNA(MATCH(K2268,ctaNombre,0))),"⚠ Destino no registrado",IF(AND(P2268="Pago tarjeta",AE2268&lt;&gt;"Tarjeta de crédito"),"⚠ El destino debe ser tarjeta de crédito",IF(AND(P2268="Gasto",E2268="Depósitos y retiros"),"⚠ Usa tipo Transferencia",IF(AND(P2268="Resultado trading",AD2268&lt;&gt;"Cuenta de trading"),"⚠ Usa una cuenta de trading",IF(AND(G2268&lt;=0,P2268&lt;&gt;"Ajuste",P2268&lt;&gt;"Resultado trading"),"⚠ El monto debe ser positivo","✓")))))))))))))))</f>
        <v/>
      </c>
      <c r="P2268" s="52">
        <f>IF(OR(B2268="",G2268=""),"",IF(C2268="","Gasto",C2268))</f>
        <v/>
      </c>
      <c r="Q2268" s="52">
        <f>IF(P2268="","",IF(J2268&lt;&gt;"",J2268,CuentaPred&amp;""))</f>
        <v/>
      </c>
      <c r="R2268" s="52">
        <f>IF(P2268="","",IF(ISNUMBER(I2268),I2268,TasaUSD))</f>
        <v/>
      </c>
      <c r="S2268" s="53">
        <f>IF(P2268="","",IF(H2268="USD",G2268*R2268,G2268))</f>
        <v/>
      </c>
      <c r="T2268" s="53">
        <f>IF(P2268="","",IF(H2268="USD",G2268,IF(R2268&gt;0,G2268/R2268,0)))</f>
        <v/>
      </c>
      <c r="U2268" s="53">
        <f>IF(P2268="","",IF(P2268="Gasto",S2268,IF(P2268="Reembolso",-S2268,0)))</f>
        <v/>
      </c>
      <c r="V2268" s="53">
        <f>IF(P2268="","",IF(P2268="Ingreso",S2268,0))</f>
        <v/>
      </c>
      <c r="W2268" s="53">
        <f>IF(P2268="","",IF(P2268="Resultado trading",S2268,0))</f>
        <v/>
      </c>
      <c r="X2268" s="52">
        <f>IF(OR(P2268="Gasto",P2268="Reembolso"),IF(M2268&lt;&gt;"",M2268,IFERROR(INDEX(catClasif,MATCH(D2268&amp;"|"&amp;E2268,catClave,0))&amp;"","Variable")),"")</f>
        <v/>
      </c>
      <c r="Y2268" s="52">
        <f>IF(P2268="","",IFERROR(INDEX(catGrupo,MATCH(D2268&amp;"|"&amp;E2268,catClave,0))&amp;"",""))</f>
        <v/>
      </c>
      <c r="Z2268" s="52">
        <f>IF(P2268="","",WEEKDAY(B2268,2))</f>
        <v/>
      </c>
      <c r="AA2268" s="52">
        <f>IF(P2268="","",IF(AND(P2268="Gasto",X2268="Variable",D2268&lt;&gt;catTrading,S2268&gt;0,S2268&lt;=Umbral),1,0))</f>
        <v/>
      </c>
      <c r="AB2268" s="52">
        <f>IF(OR(P2268="",Q2268=""),"",IFERROR(IF(INDEX(ctaVinc,MATCH(Q2268,ctaNombre,0))&amp;""&lt;&gt;"",INDEX(ctaVinc,MATCH(Q2268,ctaNombre,0))&amp;"",Q2268),Q2268))</f>
        <v/>
      </c>
      <c r="AC2268" s="52">
        <f>IF(OR(K2268="",AND(P2268&lt;&gt;"Transferencia",P2268&lt;&gt;"Pago tarjeta")),"",IFERROR(IF(INDEX(ctaVinc,MATCH(K2268,ctaNombre,0))&amp;""&lt;&gt;"",INDEX(ctaVinc,MATCH(K2268,ctaNombre,0))&amp;"",K2268),K2268))</f>
        <v/>
      </c>
      <c r="AD2268" s="52">
        <f>IF(AB2268="","",IFERROR(INDEX(ctaTipo,MATCH(AB2268,ctaNombre,0))&amp;"",""))</f>
        <v/>
      </c>
      <c r="AE2268" s="52">
        <f>IF(AC2268="","",IFERROR(INDEX(ctaTipo,MATCH(AC2268,ctaNombre,0))&amp;"",""))</f>
        <v/>
      </c>
      <c r="AF2268" s="53">
        <f>IF(OR(P2268="",AB2268=""),"",IF(OR(P2268="Gasto",P2268="Transferencia",P2268="Pago tarjeta"),-1,1)*IF(IFERROR(INDEX(ctaMoneda,MATCH(AB2268,ctaNombre,0))&amp;"","DOP")="USD",T2268,S2268))</f>
        <v/>
      </c>
      <c r="AG2268" s="53">
        <f>IF(AC2268="","",IF(IFERROR(INDEX(ctaMoneda,MATCH(AC2268,ctaNombre,0))&amp;"","DOP")="USD",T2268,S2268))</f>
        <v/>
      </c>
      <c r="AH2268" s="53">
        <f>IF(P2268="","",IF(AND(AD2268&lt;&gt;"",COUNTIFS(tcTipo,AD2268,tcLiq,"Sí")&gt;0),IF(OR(P2268="Gasto",P2268="Transferencia",P2268="Pago tarjeta"),-1,1)*S2268,0)+IF(AND(AE2268&lt;&gt;"",COUNTIFS(tcTipo,AE2268,tcLiq,"Sí")&gt;0),S2268,0))</f>
        <v/>
      </c>
      <c r="AI2268" s="52">
        <f>IF(OR(L2268="",P2268=""),"",IF(COUNTIFS(L$6:L2268,L2268,P$6:P2268,"?*")=1,MAX(AI$5:AI2267)+1,""))</f>
        <v/>
      </c>
    </row>
    <row r="2269">
      <c r="B2269" s="47" t="n"/>
      <c r="C2269" s="48" t="n"/>
      <c r="D2269" s="48" t="n"/>
      <c r="E2269" s="48" t="n"/>
      <c r="F2269" s="48" t="n"/>
      <c r="G2269" s="49" t="n"/>
      <c r="H2269" s="48" t="n"/>
      <c r="I2269" s="50" t="n"/>
      <c r="J2269" s="48" t="n"/>
      <c r="K2269" s="48" t="n"/>
      <c r="L2269" s="48" t="n"/>
      <c r="M2269" s="48" t="n"/>
      <c r="N2269" s="48" t="n"/>
      <c r="O2269" s="51">
        <f>IF(AND(B2269="",G2269="",C2269="",D2269="",J2269=""),"",IF(B2269="","⚠ Falta fecha",IF(G2269="","⚠ Falta monto",IF(Q2269="","⚠ Falta cuenta",IF(ISNA(MATCH(Q2269,ctaNombre,0)),"⚠ Cuenta no registrada",IF(AND(OR(P2269="Gasto",P2269="Reembolso"),D2269=""),"⚠ Falta categoría",IF(AND(D2269&lt;&gt;"",E2269&lt;&gt;"",ISNA(MATCH(D2269&amp;"|"&amp;E2269,catClave,0))),"⚠ Subcategoría no corresponde",IF(AND(OR(P2269="Transferencia",P2269="Pago tarjeta"),K2269=""),"⚠ Falta cuenta destino",IF(AND(K2269&lt;&gt;"",P2269&lt;&gt;"Transferencia",P2269&lt;&gt;"Pago tarjeta"),"⚠ Destino solo aplica a transferencias",IF(AND(K2269&lt;&gt;"",K2269=Q2269),"⚠ Origen igual a destino",IF(AND(K2269&lt;&gt;"",ISNA(MATCH(K2269,ctaNombre,0))),"⚠ Destino no registrado",IF(AND(P2269="Pago tarjeta",AE2269&lt;&gt;"Tarjeta de crédito"),"⚠ El destino debe ser tarjeta de crédito",IF(AND(P2269="Gasto",E2269="Depósitos y retiros"),"⚠ Usa tipo Transferencia",IF(AND(P2269="Resultado trading",AD2269&lt;&gt;"Cuenta de trading"),"⚠ Usa una cuenta de trading",IF(AND(G2269&lt;=0,P2269&lt;&gt;"Ajuste",P2269&lt;&gt;"Resultado trading"),"⚠ El monto debe ser positivo","✓")))))))))))))))</f>
        <v/>
      </c>
      <c r="P2269" s="52">
        <f>IF(OR(B2269="",G2269=""),"",IF(C2269="","Gasto",C2269))</f>
        <v/>
      </c>
      <c r="Q2269" s="52">
        <f>IF(P2269="","",IF(J2269&lt;&gt;"",J2269,CuentaPred&amp;""))</f>
        <v/>
      </c>
      <c r="R2269" s="52">
        <f>IF(P2269="","",IF(ISNUMBER(I2269),I2269,TasaUSD))</f>
        <v/>
      </c>
      <c r="S2269" s="53">
        <f>IF(P2269="","",IF(H2269="USD",G2269*R2269,G2269))</f>
        <v/>
      </c>
      <c r="T2269" s="53">
        <f>IF(P2269="","",IF(H2269="USD",G2269,IF(R2269&gt;0,G2269/R2269,0)))</f>
        <v/>
      </c>
      <c r="U2269" s="53">
        <f>IF(P2269="","",IF(P2269="Gasto",S2269,IF(P2269="Reembolso",-S2269,0)))</f>
        <v/>
      </c>
      <c r="V2269" s="53">
        <f>IF(P2269="","",IF(P2269="Ingreso",S2269,0))</f>
        <v/>
      </c>
      <c r="W2269" s="53">
        <f>IF(P2269="","",IF(P2269="Resultado trading",S2269,0))</f>
        <v/>
      </c>
      <c r="X2269" s="52">
        <f>IF(OR(P2269="Gasto",P2269="Reembolso"),IF(M2269&lt;&gt;"",M2269,IFERROR(INDEX(catClasif,MATCH(D2269&amp;"|"&amp;E2269,catClave,0))&amp;"","Variable")),"")</f>
        <v/>
      </c>
      <c r="Y2269" s="52">
        <f>IF(P2269="","",IFERROR(INDEX(catGrupo,MATCH(D2269&amp;"|"&amp;E2269,catClave,0))&amp;"",""))</f>
        <v/>
      </c>
      <c r="Z2269" s="52">
        <f>IF(P2269="","",WEEKDAY(B2269,2))</f>
        <v/>
      </c>
      <c r="AA2269" s="52">
        <f>IF(P2269="","",IF(AND(P2269="Gasto",X2269="Variable",D2269&lt;&gt;catTrading,S2269&gt;0,S2269&lt;=Umbral),1,0))</f>
        <v/>
      </c>
      <c r="AB2269" s="52">
        <f>IF(OR(P2269="",Q2269=""),"",IFERROR(IF(INDEX(ctaVinc,MATCH(Q2269,ctaNombre,0))&amp;""&lt;&gt;"",INDEX(ctaVinc,MATCH(Q2269,ctaNombre,0))&amp;"",Q2269),Q2269))</f>
        <v/>
      </c>
      <c r="AC2269" s="52">
        <f>IF(OR(K2269="",AND(P2269&lt;&gt;"Transferencia",P2269&lt;&gt;"Pago tarjeta")),"",IFERROR(IF(INDEX(ctaVinc,MATCH(K2269,ctaNombre,0))&amp;""&lt;&gt;"",INDEX(ctaVinc,MATCH(K2269,ctaNombre,0))&amp;"",K2269),K2269))</f>
        <v/>
      </c>
      <c r="AD2269" s="52">
        <f>IF(AB2269="","",IFERROR(INDEX(ctaTipo,MATCH(AB2269,ctaNombre,0))&amp;"",""))</f>
        <v/>
      </c>
      <c r="AE2269" s="52">
        <f>IF(AC2269="","",IFERROR(INDEX(ctaTipo,MATCH(AC2269,ctaNombre,0))&amp;"",""))</f>
        <v/>
      </c>
      <c r="AF2269" s="53">
        <f>IF(OR(P2269="",AB2269=""),"",IF(OR(P2269="Gasto",P2269="Transferencia",P2269="Pago tarjeta"),-1,1)*IF(IFERROR(INDEX(ctaMoneda,MATCH(AB2269,ctaNombre,0))&amp;"","DOP")="USD",T2269,S2269))</f>
        <v/>
      </c>
      <c r="AG2269" s="53">
        <f>IF(AC2269="","",IF(IFERROR(INDEX(ctaMoneda,MATCH(AC2269,ctaNombre,0))&amp;"","DOP")="USD",T2269,S2269))</f>
        <v/>
      </c>
      <c r="AH2269" s="53">
        <f>IF(P2269="","",IF(AND(AD2269&lt;&gt;"",COUNTIFS(tcTipo,AD2269,tcLiq,"Sí")&gt;0),IF(OR(P2269="Gasto",P2269="Transferencia",P2269="Pago tarjeta"),-1,1)*S2269,0)+IF(AND(AE2269&lt;&gt;"",COUNTIFS(tcTipo,AE2269,tcLiq,"Sí")&gt;0),S2269,0))</f>
        <v/>
      </c>
      <c r="AI2269" s="52">
        <f>IF(OR(L2269="",P2269=""),"",IF(COUNTIFS(L$6:L2269,L2269,P$6:P2269,"?*")=1,MAX(AI$5:AI2268)+1,""))</f>
        <v/>
      </c>
    </row>
    <row r="2270">
      <c r="B2270" s="47" t="n"/>
      <c r="C2270" s="48" t="n"/>
      <c r="D2270" s="48" t="n"/>
      <c r="E2270" s="48" t="n"/>
      <c r="F2270" s="48" t="n"/>
      <c r="G2270" s="49" t="n"/>
      <c r="H2270" s="48" t="n"/>
      <c r="I2270" s="50" t="n"/>
      <c r="J2270" s="48" t="n"/>
      <c r="K2270" s="48" t="n"/>
      <c r="L2270" s="48" t="n"/>
      <c r="M2270" s="48" t="n"/>
      <c r="N2270" s="48" t="n"/>
      <c r="O2270" s="51">
        <f>IF(AND(B2270="",G2270="",C2270="",D2270="",J2270=""),"",IF(B2270="","⚠ Falta fecha",IF(G2270="","⚠ Falta monto",IF(Q2270="","⚠ Falta cuenta",IF(ISNA(MATCH(Q2270,ctaNombre,0)),"⚠ Cuenta no registrada",IF(AND(OR(P2270="Gasto",P2270="Reembolso"),D2270=""),"⚠ Falta categoría",IF(AND(D2270&lt;&gt;"",E2270&lt;&gt;"",ISNA(MATCH(D2270&amp;"|"&amp;E2270,catClave,0))),"⚠ Subcategoría no corresponde",IF(AND(OR(P2270="Transferencia",P2270="Pago tarjeta"),K2270=""),"⚠ Falta cuenta destino",IF(AND(K2270&lt;&gt;"",P2270&lt;&gt;"Transferencia",P2270&lt;&gt;"Pago tarjeta"),"⚠ Destino solo aplica a transferencias",IF(AND(K2270&lt;&gt;"",K2270=Q2270),"⚠ Origen igual a destino",IF(AND(K2270&lt;&gt;"",ISNA(MATCH(K2270,ctaNombre,0))),"⚠ Destino no registrado",IF(AND(P2270="Pago tarjeta",AE2270&lt;&gt;"Tarjeta de crédito"),"⚠ El destino debe ser tarjeta de crédito",IF(AND(P2270="Gasto",E2270="Depósitos y retiros"),"⚠ Usa tipo Transferencia",IF(AND(P2270="Resultado trading",AD2270&lt;&gt;"Cuenta de trading"),"⚠ Usa una cuenta de trading",IF(AND(G2270&lt;=0,P2270&lt;&gt;"Ajuste",P2270&lt;&gt;"Resultado trading"),"⚠ El monto debe ser positivo","✓")))))))))))))))</f>
        <v/>
      </c>
      <c r="P2270" s="52">
        <f>IF(OR(B2270="",G2270=""),"",IF(C2270="","Gasto",C2270))</f>
        <v/>
      </c>
      <c r="Q2270" s="52">
        <f>IF(P2270="","",IF(J2270&lt;&gt;"",J2270,CuentaPred&amp;""))</f>
        <v/>
      </c>
      <c r="R2270" s="52">
        <f>IF(P2270="","",IF(ISNUMBER(I2270),I2270,TasaUSD))</f>
        <v/>
      </c>
      <c r="S2270" s="53">
        <f>IF(P2270="","",IF(H2270="USD",G2270*R2270,G2270))</f>
        <v/>
      </c>
      <c r="T2270" s="53">
        <f>IF(P2270="","",IF(H2270="USD",G2270,IF(R2270&gt;0,G2270/R2270,0)))</f>
        <v/>
      </c>
      <c r="U2270" s="53">
        <f>IF(P2270="","",IF(P2270="Gasto",S2270,IF(P2270="Reembolso",-S2270,0)))</f>
        <v/>
      </c>
      <c r="V2270" s="53">
        <f>IF(P2270="","",IF(P2270="Ingreso",S2270,0))</f>
        <v/>
      </c>
      <c r="W2270" s="53">
        <f>IF(P2270="","",IF(P2270="Resultado trading",S2270,0))</f>
        <v/>
      </c>
      <c r="X2270" s="52">
        <f>IF(OR(P2270="Gasto",P2270="Reembolso"),IF(M2270&lt;&gt;"",M2270,IFERROR(INDEX(catClasif,MATCH(D2270&amp;"|"&amp;E2270,catClave,0))&amp;"","Variable")),"")</f>
        <v/>
      </c>
      <c r="Y2270" s="52">
        <f>IF(P2270="","",IFERROR(INDEX(catGrupo,MATCH(D2270&amp;"|"&amp;E2270,catClave,0))&amp;"",""))</f>
        <v/>
      </c>
      <c r="Z2270" s="52">
        <f>IF(P2270="","",WEEKDAY(B2270,2))</f>
        <v/>
      </c>
      <c r="AA2270" s="52">
        <f>IF(P2270="","",IF(AND(P2270="Gasto",X2270="Variable",D2270&lt;&gt;catTrading,S2270&gt;0,S2270&lt;=Umbral),1,0))</f>
        <v/>
      </c>
      <c r="AB2270" s="52">
        <f>IF(OR(P2270="",Q2270=""),"",IFERROR(IF(INDEX(ctaVinc,MATCH(Q2270,ctaNombre,0))&amp;""&lt;&gt;"",INDEX(ctaVinc,MATCH(Q2270,ctaNombre,0))&amp;"",Q2270),Q2270))</f>
        <v/>
      </c>
      <c r="AC2270" s="52">
        <f>IF(OR(K2270="",AND(P2270&lt;&gt;"Transferencia",P2270&lt;&gt;"Pago tarjeta")),"",IFERROR(IF(INDEX(ctaVinc,MATCH(K2270,ctaNombre,0))&amp;""&lt;&gt;"",INDEX(ctaVinc,MATCH(K2270,ctaNombre,0))&amp;"",K2270),K2270))</f>
        <v/>
      </c>
      <c r="AD2270" s="52">
        <f>IF(AB2270="","",IFERROR(INDEX(ctaTipo,MATCH(AB2270,ctaNombre,0))&amp;"",""))</f>
        <v/>
      </c>
      <c r="AE2270" s="52">
        <f>IF(AC2270="","",IFERROR(INDEX(ctaTipo,MATCH(AC2270,ctaNombre,0))&amp;"",""))</f>
        <v/>
      </c>
      <c r="AF2270" s="53">
        <f>IF(OR(P2270="",AB2270=""),"",IF(OR(P2270="Gasto",P2270="Transferencia",P2270="Pago tarjeta"),-1,1)*IF(IFERROR(INDEX(ctaMoneda,MATCH(AB2270,ctaNombre,0))&amp;"","DOP")="USD",T2270,S2270))</f>
        <v/>
      </c>
      <c r="AG2270" s="53">
        <f>IF(AC2270="","",IF(IFERROR(INDEX(ctaMoneda,MATCH(AC2270,ctaNombre,0))&amp;"","DOP")="USD",T2270,S2270))</f>
        <v/>
      </c>
      <c r="AH2270" s="53">
        <f>IF(P2270="","",IF(AND(AD2270&lt;&gt;"",COUNTIFS(tcTipo,AD2270,tcLiq,"Sí")&gt;0),IF(OR(P2270="Gasto",P2270="Transferencia",P2270="Pago tarjeta"),-1,1)*S2270,0)+IF(AND(AE2270&lt;&gt;"",COUNTIFS(tcTipo,AE2270,tcLiq,"Sí")&gt;0),S2270,0))</f>
        <v/>
      </c>
      <c r="AI2270" s="52">
        <f>IF(OR(L2270="",P2270=""),"",IF(COUNTIFS(L$6:L2270,L2270,P$6:P2270,"?*")=1,MAX(AI$5:AI2269)+1,""))</f>
        <v/>
      </c>
    </row>
    <row r="2271">
      <c r="B2271" s="47" t="n"/>
      <c r="C2271" s="48" t="n"/>
      <c r="D2271" s="48" t="n"/>
      <c r="E2271" s="48" t="n"/>
      <c r="F2271" s="48" t="n"/>
      <c r="G2271" s="49" t="n"/>
      <c r="H2271" s="48" t="n"/>
      <c r="I2271" s="50" t="n"/>
      <c r="J2271" s="48" t="n"/>
      <c r="K2271" s="48" t="n"/>
      <c r="L2271" s="48" t="n"/>
      <c r="M2271" s="48" t="n"/>
      <c r="N2271" s="48" t="n"/>
      <c r="O2271" s="51">
        <f>IF(AND(B2271="",G2271="",C2271="",D2271="",J2271=""),"",IF(B2271="","⚠ Falta fecha",IF(G2271="","⚠ Falta monto",IF(Q2271="","⚠ Falta cuenta",IF(ISNA(MATCH(Q2271,ctaNombre,0)),"⚠ Cuenta no registrada",IF(AND(OR(P2271="Gasto",P2271="Reembolso"),D2271=""),"⚠ Falta categoría",IF(AND(D2271&lt;&gt;"",E2271&lt;&gt;"",ISNA(MATCH(D2271&amp;"|"&amp;E2271,catClave,0))),"⚠ Subcategoría no corresponde",IF(AND(OR(P2271="Transferencia",P2271="Pago tarjeta"),K2271=""),"⚠ Falta cuenta destino",IF(AND(K2271&lt;&gt;"",P2271&lt;&gt;"Transferencia",P2271&lt;&gt;"Pago tarjeta"),"⚠ Destino solo aplica a transferencias",IF(AND(K2271&lt;&gt;"",K2271=Q2271),"⚠ Origen igual a destino",IF(AND(K2271&lt;&gt;"",ISNA(MATCH(K2271,ctaNombre,0))),"⚠ Destino no registrado",IF(AND(P2271="Pago tarjeta",AE2271&lt;&gt;"Tarjeta de crédito"),"⚠ El destino debe ser tarjeta de crédito",IF(AND(P2271="Gasto",E2271="Depósitos y retiros"),"⚠ Usa tipo Transferencia",IF(AND(P2271="Resultado trading",AD2271&lt;&gt;"Cuenta de trading"),"⚠ Usa una cuenta de trading",IF(AND(G2271&lt;=0,P2271&lt;&gt;"Ajuste",P2271&lt;&gt;"Resultado trading"),"⚠ El monto debe ser positivo","✓")))))))))))))))</f>
        <v/>
      </c>
      <c r="P2271" s="52">
        <f>IF(OR(B2271="",G2271=""),"",IF(C2271="","Gasto",C2271))</f>
        <v/>
      </c>
      <c r="Q2271" s="52">
        <f>IF(P2271="","",IF(J2271&lt;&gt;"",J2271,CuentaPred&amp;""))</f>
        <v/>
      </c>
      <c r="R2271" s="52">
        <f>IF(P2271="","",IF(ISNUMBER(I2271),I2271,TasaUSD))</f>
        <v/>
      </c>
      <c r="S2271" s="53">
        <f>IF(P2271="","",IF(H2271="USD",G2271*R2271,G2271))</f>
        <v/>
      </c>
      <c r="T2271" s="53">
        <f>IF(P2271="","",IF(H2271="USD",G2271,IF(R2271&gt;0,G2271/R2271,0)))</f>
        <v/>
      </c>
      <c r="U2271" s="53">
        <f>IF(P2271="","",IF(P2271="Gasto",S2271,IF(P2271="Reembolso",-S2271,0)))</f>
        <v/>
      </c>
      <c r="V2271" s="53">
        <f>IF(P2271="","",IF(P2271="Ingreso",S2271,0))</f>
        <v/>
      </c>
      <c r="W2271" s="53">
        <f>IF(P2271="","",IF(P2271="Resultado trading",S2271,0))</f>
        <v/>
      </c>
      <c r="X2271" s="52">
        <f>IF(OR(P2271="Gasto",P2271="Reembolso"),IF(M2271&lt;&gt;"",M2271,IFERROR(INDEX(catClasif,MATCH(D2271&amp;"|"&amp;E2271,catClave,0))&amp;"","Variable")),"")</f>
        <v/>
      </c>
      <c r="Y2271" s="52">
        <f>IF(P2271="","",IFERROR(INDEX(catGrupo,MATCH(D2271&amp;"|"&amp;E2271,catClave,0))&amp;"",""))</f>
        <v/>
      </c>
      <c r="Z2271" s="52">
        <f>IF(P2271="","",WEEKDAY(B2271,2))</f>
        <v/>
      </c>
      <c r="AA2271" s="52">
        <f>IF(P2271="","",IF(AND(P2271="Gasto",X2271="Variable",D2271&lt;&gt;catTrading,S2271&gt;0,S2271&lt;=Umbral),1,0))</f>
        <v/>
      </c>
      <c r="AB2271" s="52">
        <f>IF(OR(P2271="",Q2271=""),"",IFERROR(IF(INDEX(ctaVinc,MATCH(Q2271,ctaNombre,0))&amp;""&lt;&gt;"",INDEX(ctaVinc,MATCH(Q2271,ctaNombre,0))&amp;"",Q2271),Q2271))</f>
        <v/>
      </c>
      <c r="AC2271" s="52">
        <f>IF(OR(K2271="",AND(P2271&lt;&gt;"Transferencia",P2271&lt;&gt;"Pago tarjeta")),"",IFERROR(IF(INDEX(ctaVinc,MATCH(K2271,ctaNombre,0))&amp;""&lt;&gt;"",INDEX(ctaVinc,MATCH(K2271,ctaNombre,0))&amp;"",K2271),K2271))</f>
        <v/>
      </c>
      <c r="AD2271" s="52">
        <f>IF(AB2271="","",IFERROR(INDEX(ctaTipo,MATCH(AB2271,ctaNombre,0))&amp;"",""))</f>
        <v/>
      </c>
      <c r="AE2271" s="52">
        <f>IF(AC2271="","",IFERROR(INDEX(ctaTipo,MATCH(AC2271,ctaNombre,0))&amp;"",""))</f>
        <v/>
      </c>
      <c r="AF2271" s="53">
        <f>IF(OR(P2271="",AB2271=""),"",IF(OR(P2271="Gasto",P2271="Transferencia",P2271="Pago tarjeta"),-1,1)*IF(IFERROR(INDEX(ctaMoneda,MATCH(AB2271,ctaNombre,0))&amp;"","DOP")="USD",T2271,S2271))</f>
        <v/>
      </c>
      <c r="AG2271" s="53">
        <f>IF(AC2271="","",IF(IFERROR(INDEX(ctaMoneda,MATCH(AC2271,ctaNombre,0))&amp;"","DOP")="USD",T2271,S2271))</f>
        <v/>
      </c>
      <c r="AH2271" s="53">
        <f>IF(P2271="","",IF(AND(AD2271&lt;&gt;"",COUNTIFS(tcTipo,AD2271,tcLiq,"Sí")&gt;0),IF(OR(P2271="Gasto",P2271="Transferencia",P2271="Pago tarjeta"),-1,1)*S2271,0)+IF(AND(AE2271&lt;&gt;"",COUNTIFS(tcTipo,AE2271,tcLiq,"Sí")&gt;0),S2271,0))</f>
        <v/>
      </c>
      <c r="AI2271" s="52">
        <f>IF(OR(L2271="",P2271=""),"",IF(COUNTIFS(L$6:L2271,L2271,P$6:P2271,"?*")=1,MAX(AI$5:AI2270)+1,""))</f>
        <v/>
      </c>
    </row>
    <row r="2272">
      <c r="B2272" s="47" t="n"/>
      <c r="C2272" s="48" t="n"/>
      <c r="D2272" s="48" t="n"/>
      <c r="E2272" s="48" t="n"/>
      <c r="F2272" s="48" t="n"/>
      <c r="G2272" s="49" t="n"/>
      <c r="H2272" s="48" t="n"/>
      <c r="I2272" s="50" t="n"/>
      <c r="J2272" s="48" t="n"/>
      <c r="K2272" s="48" t="n"/>
      <c r="L2272" s="48" t="n"/>
      <c r="M2272" s="48" t="n"/>
      <c r="N2272" s="48" t="n"/>
      <c r="O2272" s="51">
        <f>IF(AND(B2272="",G2272="",C2272="",D2272="",J2272=""),"",IF(B2272="","⚠ Falta fecha",IF(G2272="","⚠ Falta monto",IF(Q2272="","⚠ Falta cuenta",IF(ISNA(MATCH(Q2272,ctaNombre,0)),"⚠ Cuenta no registrada",IF(AND(OR(P2272="Gasto",P2272="Reembolso"),D2272=""),"⚠ Falta categoría",IF(AND(D2272&lt;&gt;"",E2272&lt;&gt;"",ISNA(MATCH(D2272&amp;"|"&amp;E2272,catClave,0))),"⚠ Subcategoría no corresponde",IF(AND(OR(P2272="Transferencia",P2272="Pago tarjeta"),K2272=""),"⚠ Falta cuenta destino",IF(AND(K2272&lt;&gt;"",P2272&lt;&gt;"Transferencia",P2272&lt;&gt;"Pago tarjeta"),"⚠ Destino solo aplica a transferencias",IF(AND(K2272&lt;&gt;"",K2272=Q2272),"⚠ Origen igual a destino",IF(AND(K2272&lt;&gt;"",ISNA(MATCH(K2272,ctaNombre,0))),"⚠ Destino no registrado",IF(AND(P2272="Pago tarjeta",AE2272&lt;&gt;"Tarjeta de crédito"),"⚠ El destino debe ser tarjeta de crédito",IF(AND(P2272="Gasto",E2272="Depósitos y retiros"),"⚠ Usa tipo Transferencia",IF(AND(P2272="Resultado trading",AD2272&lt;&gt;"Cuenta de trading"),"⚠ Usa una cuenta de trading",IF(AND(G2272&lt;=0,P2272&lt;&gt;"Ajuste",P2272&lt;&gt;"Resultado trading"),"⚠ El monto debe ser positivo","✓")))))))))))))))</f>
        <v/>
      </c>
      <c r="P2272" s="52">
        <f>IF(OR(B2272="",G2272=""),"",IF(C2272="","Gasto",C2272))</f>
        <v/>
      </c>
      <c r="Q2272" s="52">
        <f>IF(P2272="","",IF(J2272&lt;&gt;"",J2272,CuentaPred&amp;""))</f>
        <v/>
      </c>
      <c r="R2272" s="52">
        <f>IF(P2272="","",IF(ISNUMBER(I2272),I2272,TasaUSD))</f>
        <v/>
      </c>
      <c r="S2272" s="53">
        <f>IF(P2272="","",IF(H2272="USD",G2272*R2272,G2272))</f>
        <v/>
      </c>
      <c r="T2272" s="53">
        <f>IF(P2272="","",IF(H2272="USD",G2272,IF(R2272&gt;0,G2272/R2272,0)))</f>
        <v/>
      </c>
      <c r="U2272" s="53">
        <f>IF(P2272="","",IF(P2272="Gasto",S2272,IF(P2272="Reembolso",-S2272,0)))</f>
        <v/>
      </c>
      <c r="V2272" s="53">
        <f>IF(P2272="","",IF(P2272="Ingreso",S2272,0))</f>
        <v/>
      </c>
      <c r="W2272" s="53">
        <f>IF(P2272="","",IF(P2272="Resultado trading",S2272,0))</f>
        <v/>
      </c>
      <c r="X2272" s="52">
        <f>IF(OR(P2272="Gasto",P2272="Reembolso"),IF(M2272&lt;&gt;"",M2272,IFERROR(INDEX(catClasif,MATCH(D2272&amp;"|"&amp;E2272,catClave,0))&amp;"","Variable")),"")</f>
        <v/>
      </c>
      <c r="Y2272" s="52">
        <f>IF(P2272="","",IFERROR(INDEX(catGrupo,MATCH(D2272&amp;"|"&amp;E2272,catClave,0))&amp;"",""))</f>
        <v/>
      </c>
      <c r="Z2272" s="52">
        <f>IF(P2272="","",WEEKDAY(B2272,2))</f>
        <v/>
      </c>
      <c r="AA2272" s="52">
        <f>IF(P2272="","",IF(AND(P2272="Gasto",X2272="Variable",D2272&lt;&gt;catTrading,S2272&gt;0,S2272&lt;=Umbral),1,0))</f>
        <v/>
      </c>
      <c r="AB2272" s="52">
        <f>IF(OR(P2272="",Q2272=""),"",IFERROR(IF(INDEX(ctaVinc,MATCH(Q2272,ctaNombre,0))&amp;""&lt;&gt;"",INDEX(ctaVinc,MATCH(Q2272,ctaNombre,0))&amp;"",Q2272),Q2272))</f>
        <v/>
      </c>
      <c r="AC2272" s="52">
        <f>IF(OR(K2272="",AND(P2272&lt;&gt;"Transferencia",P2272&lt;&gt;"Pago tarjeta")),"",IFERROR(IF(INDEX(ctaVinc,MATCH(K2272,ctaNombre,0))&amp;""&lt;&gt;"",INDEX(ctaVinc,MATCH(K2272,ctaNombre,0))&amp;"",K2272),K2272))</f>
        <v/>
      </c>
      <c r="AD2272" s="52">
        <f>IF(AB2272="","",IFERROR(INDEX(ctaTipo,MATCH(AB2272,ctaNombre,0))&amp;"",""))</f>
        <v/>
      </c>
      <c r="AE2272" s="52">
        <f>IF(AC2272="","",IFERROR(INDEX(ctaTipo,MATCH(AC2272,ctaNombre,0))&amp;"",""))</f>
        <v/>
      </c>
      <c r="AF2272" s="53">
        <f>IF(OR(P2272="",AB2272=""),"",IF(OR(P2272="Gasto",P2272="Transferencia",P2272="Pago tarjeta"),-1,1)*IF(IFERROR(INDEX(ctaMoneda,MATCH(AB2272,ctaNombre,0))&amp;"","DOP")="USD",T2272,S2272))</f>
        <v/>
      </c>
      <c r="AG2272" s="53">
        <f>IF(AC2272="","",IF(IFERROR(INDEX(ctaMoneda,MATCH(AC2272,ctaNombre,0))&amp;"","DOP")="USD",T2272,S2272))</f>
        <v/>
      </c>
      <c r="AH2272" s="53">
        <f>IF(P2272="","",IF(AND(AD2272&lt;&gt;"",COUNTIFS(tcTipo,AD2272,tcLiq,"Sí")&gt;0),IF(OR(P2272="Gasto",P2272="Transferencia",P2272="Pago tarjeta"),-1,1)*S2272,0)+IF(AND(AE2272&lt;&gt;"",COUNTIFS(tcTipo,AE2272,tcLiq,"Sí")&gt;0),S2272,0))</f>
        <v/>
      </c>
      <c r="AI2272" s="52">
        <f>IF(OR(L2272="",P2272=""),"",IF(COUNTIFS(L$6:L2272,L2272,P$6:P2272,"?*")=1,MAX(AI$5:AI2271)+1,""))</f>
        <v/>
      </c>
    </row>
    <row r="2273">
      <c r="B2273" s="47" t="n"/>
      <c r="C2273" s="48" t="n"/>
      <c r="D2273" s="48" t="n"/>
      <c r="E2273" s="48" t="n"/>
      <c r="F2273" s="48" t="n"/>
      <c r="G2273" s="49" t="n"/>
      <c r="H2273" s="48" t="n"/>
      <c r="I2273" s="50" t="n"/>
      <c r="J2273" s="48" t="n"/>
      <c r="K2273" s="48" t="n"/>
      <c r="L2273" s="48" t="n"/>
      <c r="M2273" s="48" t="n"/>
      <c r="N2273" s="48" t="n"/>
      <c r="O2273" s="51">
        <f>IF(AND(B2273="",G2273="",C2273="",D2273="",J2273=""),"",IF(B2273="","⚠ Falta fecha",IF(G2273="","⚠ Falta monto",IF(Q2273="","⚠ Falta cuenta",IF(ISNA(MATCH(Q2273,ctaNombre,0)),"⚠ Cuenta no registrada",IF(AND(OR(P2273="Gasto",P2273="Reembolso"),D2273=""),"⚠ Falta categoría",IF(AND(D2273&lt;&gt;"",E2273&lt;&gt;"",ISNA(MATCH(D2273&amp;"|"&amp;E2273,catClave,0))),"⚠ Subcategoría no corresponde",IF(AND(OR(P2273="Transferencia",P2273="Pago tarjeta"),K2273=""),"⚠ Falta cuenta destino",IF(AND(K2273&lt;&gt;"",P2273&lt;&gt;"Transferencia",P2273&lt;&gt;"Pago tarjeta"),"⚠ Destino solo aplica a transferencias",IF(AND(K2273&lt;&gt;"",K2273=Q2273),"⚠ Origen igual a destino",IF(AND(K2273&lt;&gt;"",ISNA(MATCH(K2273,ctaNombre,0))),"⚠ Destino no registrado",IF(AND(P2273="Pago tarjeta",AE2273&lt;&gt;"Tarjeta de crédito"),"⚠ El destino debe ser tarjeta de crédito",IF(AND(P2273="Gasto",E2273="Depósitos y retiros"),"⚠ Usa tipo Transferencia",IF(AND(P2273="Resultado trading",AD2273&lt;&gt;"Cuenta de trading"),"⚠ Usa una cuenta de trading",IF(AND(G2273&lt;=0,P2273&lt;&gt;"Ajuste",P2273&lt;&gt;"Resultado trading"),"⚠ El monto debe ser positivo","✓")))))))))))))))</f>
        <v/>
      </c>
      <c r="P2273" s="52">
        <f>IF(OR(B2273="",G2273=""),"",IF(C2273="","Gasto",C2273))</f>
        <v/>
      </c>
      <c r="Q2273" s="52">
        <f>IF(P2273="","",IF(J2273&lt;&gt;"",J2273,CuentaPred&amp;""))</f>
        <v/>
      </c>
      <c r="R2273" s="52">
        <f>IF(P2273="","",IF(ISNUMBER(I2273),I2273,TasaUSD))</f>
        <v/>
      </c>
      <c r="S2273" s="53">
        <f>IF(P2273="","",IF(H2273="USD",G2273*R2273,G2273))</f>
        <v/>
      </c>
      <c r="T2273" s="53">
        <f>IF(P2273="","",IF(H2273="USD",G2273,IF(R2273&gt;0,G2273/R2273,0)))</f>
        <v/>
      </c>
      <c r="U2273" s="53">
        <f>IF(P2273="","",IF(P2273="Gasto",S2273,IF(P2273="Reembolso",-S2273,0)))</f>
        <v/>
      </c>
      <c r="V2273" s="53">
        <f>IF(P2273="","",IF(P2273="Ingreso",S2273,0))</f>
        <v/>
      </c>
      <c r="W2273" s="53">
        <f>IF(P2273="","",IF(P2273="Resultado trading",S2273,0))</f>
        <v/>
      </c>
      <c r="X2273" s="52">
        <f>IF(OR(P2273="Gasto",P2273="Reembolso"),IF(M2273&lt;&gt;"",M2273,IFERROR(INDEX(catClasif,MATCH(D2273&amp;"|"&amp;E2273,catClave,0))&amp;"","Variable")),"")</f>
        <v/>
      </c>
      <c r="Y2273" s="52">
        <f>IF(P2273="","",IFERROR(INDEX(catGrupo,MATCH(D2273&amp;"|"&amp;E2273,catClave,0))&amp;"",""))</f>
        <v/>
      </c>
      <c r="Z2273" s="52">
        <f>IF(P2273="","",WEEKDAY(B2273,2))</f>
        <v/>
      </c>
      <c r="AA2273" s="52">
        <f>IF(P2273="","",IF(AND(P2273="Gasto",X2273="Variable",D2273&lt;&gt;catTrading,S2273&gt;0,S2273&lt;=Umbral),1,0))</f>
        <v/>
      </c>
      <c r="AB2273" s="52">
        <f>IF(OR(P2273="",Q2273=""),"",IFERROR(IF(INDEX(ctaVinc,MATCH(Q2273,ctaNombre,0))&amp;""&lt;&gt;"",INDEX(ctaVinc,MATCH(Q2273,ctaNombre,0))&amp;"",Q2273),Q2273))</f>
        <v/>
      </c>
      <c r="AC2273" s="52">
        <f>IF(OR(K2273="",AND(P2273&lt;&gt;"Transferencia",P2273&lt;&gt;"Pago tarjeta")),"",IFERROR(IF(INDEX(ctaVinc,MATCH(K2273,ctaNombre,0))&amp;""&lt;&gt;"",INDEX(ctaVinc,MATCH(K2273,ctaNombre,0))&amp;"",K2273),K2273))</f>
        <v/>
      </c>
      <c r="AD2273" s="52">
        <f>IF(AB2273="","",IFERROR(INDEX(ctaTipo,MATCH(AB2273,ctaNombre,0))&amp;"",""))</f>
        <v/>
      </c>
      <c r="AE2273" s="52">
        <f>IF(AC2273="","",IFERROR(INDEX(ctaTipo,MATCH(AC2273,ctaNombre,0))&amp;"",""))</f>
        <v/>
      </c>
      <c r="AF2273" s="53">
        <f>IF(OR(P2273="",AB2273=""),"",IF(OR(P2273="Gasto",P2273="Transferencia",P2273="Pago tarjeta"),-1,1)*IF(IFERROR(INDEX(ctaMoneda,MATCH(AB2273,ctaNombre,0))&amp;"","DOP")="USD",T2273,S2273))</f>
        <v/>
      </c>
      <c r="AG2273" s="53">
        <f>IF(AC2273="","",IF(IFERROR(INDEX(ctaMoneda,MATCH(AC2273,ctaNombre,0))&amp;"","DOP")="USD",T2273,S2273))</f>
        <v/>
      </c>
      <c r="AH2273" s="53">
        <f>IF(P2273="","",IF(AND(AD2273&lt;&gt;"",COUNTIFS(tcTipo,AD2273,tcLiq,"Sí")&gt;0),IF(OR(P2273="Gasto",P2273="Transferencia",P2273="Pago tarjeta"),-1,1)*S2273,0)+IF(AND(AE2273&lt;&gt;"",COUNTIFS(tcTipo,AE2273,tcLiq,"Sí")&gt;0),S2273,0))</f>
        <v/>
      </c>
      <c r="AI2273" s="52">
        <f>IF(OR(L2273="",P2273=""),"",IF(COUNTIFS(L$6:L2273,L2273,P$6:P2273,"?*")=1,MAX(AI$5:AI2272)+1,""))</f>
        <v/>
      </c>
    </row>
    <row r="2274">
      <c r="B2274" s="47" t="n"/>
      <c r="C2274" s="48" t="n"/>
      <c r="D2274" s="48" t="n"/>
      <c r="E2274" s="48" t="n"/>
      <c r="F2274" s="48" t="n"/>
      <c r="G2274" s="49" t="n"/>
      <c r="H2274" s="48" t="n"/>
      <c r="I2274" s="50" t="n"/>
      <c r="J2274" s="48" t="n"/>
      <c r="K2274" s="48" t="n"/>
      <c r="L2274" s="48" t="n"/>
      <c r="M2274" s="48" t="n"/>
      <c r="N2274" s="48" t="n"/>
      <c r="O2274" s="51">
        <f>IF(AND(B2274="",G2274="",C2274="",D2274="",J2274=""),"",IF(B2274="","⚠ Falta fecha",IF(G2274="","⚠ Falta monto",IF(Q2274="","⚠ Falta cuenta",IF(ISNA(MATCH(Q2274,ctaNombre,0)),"⚠ Cuenta no registrada",IF(AND(OR(P2274="Gasto",P2274="Reembolso"),D2274=""),"⚠ Falta categoría",IF(AND(D2274&lt;&gt;"",E2274&lt;&gt;"",ISNA(MATCH(D2274&amp;"|"&amp;E2274,catClave,0))),"⚠ Subcategoría no corresponde",IF(AND(OR(P2274="Transferencia",P2274="Pago tarjeta"),K2274=""),"⚠ Falta cuenta destino",IF(AND(K2274&lt;&gt;"",P2274&lt;&gt;"Transferencia",P2274&lt;&gt;"Pago tarjeta"),"⚠ Destino solo aplica a transferencias",IF(AND(K2274&lt;&gt;"",K2274=Q2274),"⚠ Origen igual a destino",IF(AND(K2274&lt;&gt;"",ISNA(MATCH(K2274,ctaNombre,0))),"⚠ Destino no registrado",IF(AND(P2274="Pago tarjeta",AE2274&lt;&gt;"Tarjeta de crédito"),"⚠ El destino debe ser tarjeta de crédito",IF(AND(P2274="Gasto",E2274="Depósitos y retiros"),"⚠ Usa tipo Transferencia",IF(AND(P2274="Resultado trading",AD2274&lt;&gt;"Cuenta de trading"),"⚠ Usa una cuenta de trading",IF(AND(G2274&lt;=0,P2274&lt;&gt;"Ajuste",P2274&lt;&gt;"Resultado trading"),"⚠ El monto debe ser positivo","✓")))))))))))))))</f>
        <v/>
      </c>
      <c r="P2274" s="52">
        <f>IF(OR(B2274="",G2274=""),"",IF(C2274="","Gasto",C2274))</f>
        <v/>
      </c>
      <c r="Q2274" s="52">
        <f>IF(P2274="","",IF(J2274&lt;&gt;"",J2274,CuentaPred&amp;""))</f>
        <v/>
      </c>
      <c r="R2274" s="52">
        <f>IF(P2274="","",IF(ISNUMBER(I2274),I2274,TasaUSD))</f>
        <v/>
      </c>
      <c r="S2274" s="53">
        <f>IF(P2274="","",IF(H2274="USD",G2274*R2274,G2274))</f>
        <v/>
      </c>
      <c r="T2274" s="53">
        <f>IF(P2274="","",IF(H2274="USD",G2274,IF(R2274&gt;0,G2274/R2274,0)))</f>
        <v/>
      </c>
      <c r="U2274" s="53">
        <f>IF(P2274="","",IF(P2274="Gasto",S2274,IF(P2274="Reembolso",-S2274,0)))</f>
        <v/>
      </c>
      <c r="V2274" s="53">
        <f>IF(P2274="","",IF(P2274="Ingreso",S2274,0))</f>
        <v/>
      </c>
      <c r="W2274" s="53">
        <f>IF(P2274="","",IF(P2274="Resultado trading",S2274,0))</f>
        <v/>
      </c>
      <c r="X2274" s="52">
        <f>IF(OR(P2274="Gasto",P2274="Reembolso"),IF(M2274&lt;&gt;"",M2274,IFERROR(INDEX(catClasif,MATCH(D2274&amp;"|"&amp;E2274,catClave,0))&amp;"","Variable")),"")</f>
        <v/>
      </c>
      <c r="Y2274" s="52">
        <f>IF(P2274="","",IFERROR(INDEX(catGrupo,MATCH(D2274&amp;"|"&amp;E2274,catClave,0))&amp;"",""))</f>
        <v/>
      </c>
      <c r="Z2274" s="52">
        <f>IF(P2274="","",WEEKDAY(B2274,2))</f>
        <v/>
      </c>
      <c r="AA2274" s="52">
        <f>IF(P2274="","",IF(AND(P2274="Gasto",X2274="Variable",D2274&lt;&gt;catTrading,S2274&gt;0,S2274&lt;=Umbral),1,0))</f>
        <v/>
      </c>
      <c r="AB2274" s="52">
        <f>IF(OR(P2274="",Q2274=""),"",IFERROR(IF(INDEX(ctaVinc,MATCH(Q2274,ctaNombre,0))&amp;""&lt;&gt;"",INDEX(ctaVinc,MATCH(Q2274,ctaNombre,0))&amp;"",Q2274),Q2274))</f>
        <v/>
      </c>
      <c r="AC2274" s="52">
        <f>IF(OR(K2274="",AND(P2274&lt;&gt;"Transferencia",P2274&lt;&gt;"Pago tarjeta")),"",IFERROR(IF(INDEX(ctaVinc,MATCH(K2274,ctaNombre,0))&amp;""&lt;&gt;"",INDEX(ctaVinc,MATCH(K2274,ctaNombre,0))&amp;"",K2274),K2274))</f>
        <v/>
      </c>
      <c r="AD2274" s="52">
        <f>IF(AB2274="","",IFERROR(INDEX(ctaTipo,MATCH(AB2274,ctaNombre,0))&amp;"",""))</f>
        <v/>
      </c>
      <c r="AE2274" s="52">
        <f>IF(AC2274="","",IFERROR(INDEX(ctaTipo,MATCH(AC2274,ctaNombre,0))&amp;"",""))</f>
        <v/>
      </c>
      <c r="AF2274" s="53">
        <f>IF(OR(P2274="",AB2274=""),"",IF(OR(P2274="Gasto",P2274="Transferencia",P2274="Pago tarjeta"),-1,1)*IF(IFERROR(INDEX(ctaMoneda,MATCH(AB2274,ctaNombre,0))&amp;"","DOP")="USD",T2274,S2274))</f>
        <v/>
      </c>
      <c r="AG2274" s="53">
        <f>IF(AC2274="","",IF(IFERROR(INDEX(ctaMoneda,MATCH(AC2274,ctaNombre,0))&amp;"","DOP")="USD",T2274,S2274))</f>
        <v/>
      </c>
      <c r="AH2274" s="53">
        <f>IF(P2274="","",IF(AND(AD2274&lt;&gt;"",COUNTIFS(tcTipo,AD2274,tcLiq,"Sí")&gt;0),IF(OR(P2274="Gasto",P2274="Transferencia",P2274="Pago tarjeta"),-1,1)*S2274,0)+IF(AND(AE2274&lt;&gt;"",COUNTIFS(tcTipo,AE2274,tcLiq,"Sí")&gt;0),S2274,0))</f>
        <v/>
      </c>
      <c r="AI2274" s="52">
        <f>IF(OR(L2274="",P2274=""),"",IF(COUNTIFS(L$6:L2274,L2274,P$6:P2274,"?*")=1,MAX(AI$5:AI2273)+1,""))</f>
        <v/>
      </c>
    </row>
    <row r="2275">
      <c r="B2275" s="47" t="n"/>
      <c r="C2275" s="48" t="n"/>
      <c r="D2275" s="48" t="n"/>
      <c r="E2275" s="48" t="n"/>
      <c r="F2275" s="48" t="n"/>
      <c r="G2275" s="49" t="n"/>
      <c r="H2275" s="48" t="n"/>
      <c r="I2275" s="50" t="n"/>
      <c r="J2275" s="48" t="n"/>
      <c r="K2275" s="48" t="n"/>
      <c r="L2275" s="48" t="n"/>
      <c r="M2275" s="48" t="n"/>
      <c r="N2275" s="48" t="n"/>
      <c r="O2275" s="51">
        <f>IF(AND(B2275="",G2275="",C2275="",D2275="",J2275=""),"",IF(B2275="","⚠ Falta fecha",IF(G2275="","⚠ Falta monto",IF(Q2275="","⚠ Falta cuenta",IF(ISNA(MATCH(Q2275,ctaNombre,0)),"⚠ Cuenta no registrada",IF(AND(OR(P2275="Gasto",P2275="Reembolso"),D2275=""),"⚠ Falta categoría",IF(AND(D2275&lt;&gt;"",E2275&lt;&gt;"",ISNA(MATCH(D2275&amp;"|"&amp;E2275,catClave,0))),"⚠ Subcategoría no corresponde",IF(AND(OR(P2275="Transferencia",P2275="Pago tarjeta"),K2275=""),"⚠ Falta cuenta destino",IF(AND(K2275&lt;&gt;"",P2275&lt;&gt;"Transferencia",P2275&lt;&gt;"Pago tarjeta"),"⚠ Destino solo aplica a transferencias",IF(AND(K2275&lt;&gt;"",K2275=Q2275),"⚠ Origen igual a destino",IF(AND(K2275&lt;&gt;"",ISNA(MATCH(K2275,ctaNombre,0))),"⚠ Destino no registrado",IF(AND(P2275="Pago tarjeta",AE2275&lt;&gt;"Tarjeta de crédito"),"⚠ El destino debe ser tarjeta de crédito",IF(AND(P2275="Gasto",E2275="Depósitos y retiros"),"⚠ Usa tipo Transferencia",IF(AND(P2275="Resultado trading",AD2275&lt;&gt;"Cuenta de trading"),"⚠ Usa una cuenta de trading",IF(AND(G2275&lt;=0,P2275&lt;&gt;"Ajuste",P2275&lt;&gt;"Resultado trading"),"⚠ El monto debe ser positivo","✓")))))))))))))))</f>
        <v/>
      </c>
      <c r="P2275" s="52">
        <f>IF(OR(B2275="",G2275=""),"",IF(C2275="","Gasto",C2275))</f>
        <v/>
      </c>
      <c r="Q2275" s="52">
        <f>IF(P2275="","",IF(J2275&lt;&gt;"",J2275,CuentaPred&amp;""))</f>
        <v/>
      </c>
      <c r="R2275" s="52">
        <f>IF(P2275="","",IF(ISNUMBER(I2275),I2275,TasaUSD))</f>
        <v/>
      </c>
      <c r="S2275" s="53">
        <f>IF(P2275="","",IF(H2275="USD",G2275*R2275,G2275))</f>
        <v/>
      </c>
      <c r="T2275" s="53">
        <f>IF(P2275="","",IF(H2275="USD",G2275,IF(R2275&gt;0,G2275/R2275,0)))</f>
        <v/>
      </c>
      <c r="U2275" s="53">
        <f>IF(P2275="","",IF(P2275="Gasto",S2275,IF(P2275="Reembolso",-S2275,0)))</f>
        <v/>
      </c>
      <c r="V2275" s="53">
        <f>IF(P2275="","",IF(P2275="Ingreso",S2275,0))</f>
        <v/>
      </c>
      <c r="W2275" s="53">
        <f>IF(P2275="","",IF(P2275="Resultado trading",S2275,0))</f>
        <v/>
      </c>
      <c r="X2275" s="52">
        <f>IF(OR(P2275="Gasto",P2275="Reembolso"),IF(M2275&lt;&gt;"",M2275,IFERROR(INDEX(catClasif,MATCH(D2275&amp;"|"&amp;E2275,catClave,0))&amp;"","Variable")),"")</f>
        <v/>
      </c>
      <c r="Y2275" s="52">
        <f>IF(P2275="","",IFERROR(INDEX(catGrupo,MATCH(D2275&amp;"|"&amp;E2275,catClave,0))&amp;"",""))</f>
        <v/>
      </c>
      <c r="Z2275" s="52">
        <f>IF(P2275="","",WEEKDAY(B2275,2))</f>
        <v/>
      </c>
      <c r="AA2275" s="52">
        <f>IF(P2275="","",IF(AND(P2275="Gasto",X2275="Variable",D2275&lt;&gt;catTrading,S2275&gt;0,S2275&lt;=Umbral),1,0))</f>
        <v/>
      </c>
      <c r="AB2275" s="52">
        <f>IF(OR(P2275="",Q2275=""),"",IFERROR(IF(INDEX(ctaVinc,MATCH(Q2275,ctaNombre,0))&amp;""&lt;&gt;"",INDEX(ctaVinc,MATCH(Q2275,ctaNombre,0))&amp;"",Q2275),Q2275))</f>
        <v/>
      </c>
      <c r="AC2275" s="52">
        <f>IF(OR(K2275="",AND(P2275&lt;&gt;"Transferencia",P2275&lt;&gt;"Pago tarjeta")),"",IFERROR(IF(INDEX(ctaVinc,MATCH(K2275,ctaNombre,0))&amp;""&lt;&gt;"",INDEX(ctaVinc,MATCH(K2275,ctaNombre,0))&amp;"",K2275),K2275))</f>
        <v/>
      </c>
      <c r="AD2275" s="52">
        <f>IF(AB2275="","",IFERROR(INDEX(ctaTipo,MATCH(AB2275,ctaNombre,0))&amp;"",""))</f>
        <v/>
      </c>
      <c r="AE2275" s="52">
        <f>IF(AC2275="","",IFERROR(INDEX(ctaTipo,MATCH(AC2275,ctaNombre,0))&amp;"",""))</f>
        <v/>
      </c>
      <c r="AF2275" s="53">
        <f>IF(OR(P2275="",AB2275=""),"",IF(OR(P2275="Gasto",P2275="Transferencia",P2275="Pago tarjeta"),-1,1)*IF(IFERROR(INDEX(ctaMoneda,MATCH(AB2275,ctaNombre,0))&amp;"","DOP")="USD",T2275,S2275))</f>
        <v/>
      </c>
      <c r="AG2275" s="53">
        <f>IF(AC2275="","",IF(IFERROR(INDEX(ctaMoneda,MATCH(AC2275,ctaNombre,0))&amp;"","DOP")="USD",T2275,S2275))</f>
        <v/>
      </c>
      <c r="AH2275" s="53">
        <f>IF(P2275="","",IF(AND(AD2275&lt;&gt;"",COUNTIFS(tcTipo,AD2275,tcLiq,"Sí")&gt;0),IF(OR(P2275="Gasto",P2275="Transferencia",P2275="Pago tarjeta"),-1,1)*S2275,0)+IF(AND(AE2275&lt;&gt;"",COUNTIFS(tcTipo,AE2275,tcLiq,"Sí")&gt;0),S2275,0))</f>
        <v/>
      </c>
      <c r="AI2275" s="52">
        <f>IF(OR(L2275="",P2275=""),"",IF(COUNTIFS(L$6:L2275,L2275,P$6:P2275,"?*")=1,MAX(AI$5:AI2274)+1,""))</f>
        <v/>
      </c>
    </row>
    <row r="2276">
      <c r="B2276" s="47" t="n"/>
      <c r="C2276" s="48" t="n"/>
      <c r="D2276" s="48" t="n"/>
      <c r="E2276" s="48" t="n"/>
      <c r="F2276" s="48" t="n"/>
      <c r="G2276" s="49" t="n"/>
      <c r="H2276" s="48" t="n"/>
      <c r="I2276" s="50" t="n"/>
      <c r="J2276" s="48" t="n"/>
      <c r="K2276" s="48" t="n"/>
      <c r="L2276" s="48" t="n"/>
      <c r="M2276" s="48" t="n"/>
      <c r="N2276" s="48" t="n"/>
      <c r="O2276" s="51">
        <f>IF(AND(B2276="",G2276="",C2276="",D2276="",J2276=""),"",IF(B2276="","⚠ Falta fecha",IF(G2276="","⚠ Falta monto",IF(Q2276="","⚠ Falta cuenta",IF(ISNA(MATCH(Q2276,ctaNombre,0)),"⚠ Cuenta no registrada",IF(AND(OR(P2276="Gasto",P2276="Reembolso"),D2276=""),"⚠ Falta categoría",IF(AND(D2276&lt;&gt;"",E2276&lt;&gt;"",ISNA(MATCH(D2276&amp;"|"&amp;E2276,catClave,0))),"⚠ Subcategoría no corresponde",IF(AND(OR(P2276="Transferencia",P2276="Pago tarjeta"),K2276=""),"⚠ Falta cuenta destino",IF(AND(K2276&lt;&gt;"",P2276&lt;&gt;"Transferencia",P2276&lt;&gt;"Pago tarjeta"),"⚠ Destino solo aplica a transferencias",IF(AND(K2276&lt;&gt;"",K2276=Q2276),"⚠ Origen igual a destino",IF(AND(K2276&lt;&gt;"",ISNA(MATCH(K2276,ctaNombre,0))),"⚠ Destino no registrado",IF(AND(P2276="Pago tarjeta",AE2276&lt;&gt;"Tarjeta de crédito"),"⚠ El destino debe ser tarjeta de crédito",IF(AND(P2276="Gasto",E2276="Depósitos y retiros"),"⚠ Usa tipo Transferencia",IF(AND(P2276="Resultado trading",AD2276&lt;&gt;"Cuenta de trading"),"⚠ Usa una cuenta de trading",IF(AND(G2276&lt;=0,P2276&lt;&gt;"Ajuste",P2276&lt;&gt;"Resultado trading"),"⚠ El monto debe ser positivo","✓")))))))))))))))</f>
        <v/>
      </c>
      <c r="P2276" s="52">
        <f>IF(OR(B2276="",G2276=""),"",IF(C2276="","Gasto",C2276))</f>
        <v/>
      </c>
      <c r="Q2276" s="52">
        <f>IF(P2276="","",IF(J2276&lt;&gt;"",J2276,CuentaPred&amp;""))</f>
        <v/>
      </c>
      <c r="R2276" s="52">
        <f>IF(P2276="","",IF(ISNUMBER(I2276),I2276,TasaUSD))</f>
        <v/>
      </c>
      <c r="S2276" s="53">
        <f>IF(P2276="","",IF(H2276="USD",G2276*R2276,G2276))</f>
        <v/>
      </c>
      <c r="T2276" s="53">
        <f>IF(P2276="","",IF(H2276="USD",G2276,IF(R2276&gt;0,G2276/R2276,0)))</f>
        <v/>
      </c>
      <c r="U2276" s="53">
        <f>IF(P2276="","",IF(P2276="Gasto",S2276,IF(P2276="Reembolso",-S2276,0)))</f>
        <v/>
      </c>
      <c r="V2276" s="53">
        <f>IF(P2276="","",IF(P2276="Ingreso",S2276,0))</f>
        <v/>
      </c>
      <c r="W2276" s="53">
        <f>IF(P2276="","",IF(P2276="Resultado trading",S2276,0))</f>
        <v/>
      </c>
      <c r="X2276" s="52">
        <f>IF(OR(P2276="Gasto",P2276="Reembolso"),IF(M2276&lt;&gt;"",M2276,IFERROR(INDEX(catClasif,MATCH(D2276&amp;"|"&amp;E2276,catClave,0))&amp;"","Variable")),"")</f>
        <v/>
      </c>
      <c r="Y2276" s="52">
        <f>IF(P2276="","",IFERROR(INDEX(catGrupo,MATCH(D2276&amp;"|"&amp;E2276,catClave,0))&amp;"",""))</f>
        <v/>
      </c>
      <c r="Z2276" s="52">
        <f>IF(P2276="","",WEEKDAY(B2276,2))</f>
        <v/>
      </c>
      <c r="AA2276" s="52">
        <f>IF(P2276="","",IF(AND(P2276="Gasto",X2276="Variable",D2276&lt;&gt;catTrading,S2276&gt;0,S2276&lt;=Umbral),1,0))</f>
        <v/>
      </c>
      <c r="AB2276" s="52">
        <f>IF(OR(P2276="",Q2276=""),"",IFERROR(IF(INDEX(ctaVinc,MATCH(Q2276,ctaNombre,0))&amp;""&lt;&gt;"",INDEX(ctaVinc,MATCH(Q2276,ctaNombre,0))&amp;"",Q2276),Q2276))</f>
        <v/>
      </c>
      <c r="AC2276" s="52">
        <f>IF(OR(K2276="",AND(P2276&lt;&gt;"Transferencia",P2276&lt;&gt;"Pago tarjeta")),"",IFERROR(IF(INDEX(ctaVinc,MATCH(K2276,ctaNombre,0))&amp;""&lt;&gt;"",INDEX(ctaVinc,MATCH(K2276,ctaNombre,0))&amp;"",K2276),K2276))</f>
        <v/>
      </c>
      <c r="AD2276" s="52">
        <f>IF(AB2276="","",IFERROR(INDEX(ctaTipo,MATCH(AB2276,ctaNombre,0))&amp;"",""))</f>
        <v/>
      </c>
      <c r="AE2276" s="52">
        <f>IF(AC2276="","",IFERROR(INDEX(ctaTipo,MATCH(AC2276,ctaNombre,0))&amp;"",""))</f>
        <v/>
      </c>
      <c r="AF2276" s="53">
        <f>IF(OR(P2276="",AB2276=""),"",IF(OR(P2276="Gasto",P2276="Transferencia",P2276="Pago tarjeta"),-1,1)*IF(IFERROR(INDEX(ctaMoneda,MATCH(AB2276,ctaNombre,0))&amp;"","DOP")="USD",T2276,S2276))</f>
        <v/>
      </c>
      <c r="AG2276" s="53">
        <f>IF(AC2276="","",IF(IFERROR(INDEX(ctaMoneda,MATCH(AC2276,ctaNombre,0))&amp;"","DOP")="USD",T2276,S2276))</f>
        <v/>
      </c>
      <c r="AH2276" s="53">
        <f>IF(P2276="","",IF(AND(AD2276&lt;&gt;"",COUNTIFS(tcTipo,AD2276,tcLiq,"Sí")&gt;0),IF(OR(P2276="Gasto",P2276="Transferencia",P2276="Pago tarjeta"),-1,1)*S2276,0)+IF(AND(AE2276&lt;&gt;"",COUNTIFS(tcTipo,AE2276,tcLiq,"Sí")&gt;0),S2276,0))</f>
        <v/>
      </c>
      <c r="AI2276" s="52">
        <f>IF(OR(L2276="",P2276=""),"",IF(COUNTIFS(L$6:L2276,L2276,P$6:P2276,"?*")=1,MAX(AI$5:AI2275)+1,""))</f>
        <v/>
      </c>
    </row>
    <row r="2277">
      <c r="B2277" s="47" t="n"/>
      <c r="C2277" s="48" t="n"/>
      <c r="D2277" s="48" t="n"/>
      <c r="E2277" s="48" t="n"/>
      <c r="F2277" s="48" t="n"/>
      <c r="G2277" s="49" t="n"/>
      <c r="H2277" s="48" t="n"/>
      <c r="I2277" s="50" t="n"/>
      <c r="J2277" s="48" t="n"/>
      <c r="K2277" s="48" t="n"/>
      <c r="L2277" s="48" t="n"/>
      <c r="M2277" s="48" t="n"/>
      <c r="N2277" s="48" t="n"/>
      <c r="O2277" s="51">
        <f>IF(AND(B2277="",G2277="",C2277="",D2277="",J2277=""),"",IF(B2277="","⚠ Falta fecha",IF(G2277="","⚠ Falta monto",IF(Q2277="","⚠ Falta cuenta",IF(ISNA(MATCH(Q2277,ctaNombre,0)),"⚠ Cuenta no registrada",IF(AND(OR(P2277="Gasto",P2277="Reembolso"),D2277=""),"⚠ Falta categoría",IF(AND(D2277&lt;&gt;"",E2277&lt;&gt;"",ISNA(MATCH(D2277&amp;"|"&amp;E2277,catClave,0))),"⚠ Subcategoría no corresponde",IF(AND(OR(P2277="Transferencia",P2277="Pago tarjeta"),K2277=""),"⚠ Falta cuenta destino",IF(AND(K2277&lt;&gt;"",P2277&lt;&gt;"Transferencia",P2277&lt;&gt;"Pago tarjeta"),"⚠ Destino solo aplica a transferencias",IF(AND(K2277&lt;&gt;"",K2277=Q2277),"⚠ Origen igual a destino",IF(AND(K2277&lt;&gt;"",ISNA(MATCH(K2277,ctaNombre,0))),"⚠ Destino no registrado",IF(AND(P2277="Pago tarjeta",AE2277&lt;&gt;"Tarjeta de crédito"),"⚠ El destino debe ser tarjeta de crédito",IF(AND(P2277="Gasto",E2277="Depósitos y retiros"),"⚠ Usa tipo Transferencia",IF(AND(P2277="Resultado trading",AD2277&lt;&gt;"Cuenta de trading"),"⚠ Usa una cuenta de trading",IF(AND(G2277&lt;=0,P2277&lt;&gt;"Ajuste",P2277&lt;&gt;"Resultado trading"),"⚠ El monto debe ser positivo","✓")))))))))))))))</f>
        <v/>
      </c>
      <c r="P2277" s="52">
        <f>IF(OR(B2277="",G2277=""),"",IF(C2277="","Gasto",C2277))</f>
        <v/>
      </c>
      <c r="Q2277" s="52">
        <f>IF(P2277="","",IF(J2277&lt;&gt;"",J2277,CuentaPred&amp;""))</f>
        <v/>
      </c>
      <c r="R2277" s="52">
        <f>IF(P2277="","",IF(ISNUMBER(I2277),I2277,TasaUSD))</f>
        <v/>
      </c>
      <c r="S2277" s="53">
        <f>IF(P2277="","",IF(H2277="USD",G2277*R2277,G2277))</f>
        <v/>
      </c>
      <c r="T2277" s="53">
        <f>IF(P2277="","",IF(H2277="USD",G2277,IF(R2277&gt;0,G2277/R2277,0)))</f>
        <v/>
      </c>
      <c r="U2277" s="53">
        <f>IF(P2277="","",IF(P2277="Gasto",S2277,IF(P2277="Reembolso",-S2277,0)))</f>
        <v/>
      </c>
      <c r="V2277" s="53">
        <f>IF(P2277="","",IF(P2277="Ingreso",S2277,0))</f>
        <v/>
      </c>
      <c r="W2277" s="53">
        <f>IF(P2277="","",IF(P2277="Resultado trading",S2277,0))</f>
        <v/>
      </c>
      <c r="X2277" s="52">
        <f>IF(OR(P2277="Gasto",P2277="Reembolso"),IF(M2277&lt;&gt;"",M2277,IFERROR(INDEX(catClasif,MATCH(D2277&amp;"|"&amp;E2277,catClave,0))&amp;"","Variable")),"")</f>
        <v/>
      </c>
      <c r="Y2277" s="52">
        <f>IF(P2277="","",IFERROR(INDEX(catGrupo,MATCH(D2277&amp;"|"&amp;E2277,catClave,0))&amp;"",""))</f>
        <v/>
      </c>
      <c r="Z2277" s="52">
        <f>IF(P2277="","",WEEKDAY(B2277,2))</f>
        <v/>
      </c>
      <c r="AA2277" s="52">
        <f>IF(P2277="","",IF(AND(P2277="Gasto",X2277="Variable",D2277&lt;&gt;catTrading,S2277&gt;0,S2277&lt;=Umbral),1,0))</f>
        <v/>
      </c>
      <c r="AB2277" s="52">
        <f>IF(OR(P2277="",Q2277=""),"",IFERROR(IF(INDEX(ctaVinc,MATCH(Q2277,ctaNombre,0))&amp;""&lt;&gt;"",INDEX(ctaVinc,MATCH(Q2277,ctaNombre,0))&amp;"",Q2277),Q2277))</f>
        <v/>
      </c>
      <c r="AC2277" s="52">
        <f>IF(OR(K2277="",AND(P2277&lt;&gt;"Transferencia",P2277&lt;&gt;"Pago tarjeta")),"",IFERROR(IF(INDEX(ctaVinc,MATCH(K2277,ctaNombre,0))&amp;""&lt;&gt;"",INDEX(ctaVinc,MATCH(K2277,ctaNombre,0))&amp;"",K2277),K2277))</f>
        <v/>
      </c>
      <c r="AD2277" s="52">
        <f>IF(AB2277="","",IFERROR(INDEX(ctaTipo,MATCH(AB2277,ctaNombre,0))&amp;"",""))</f>
        <v/>
      </c>
      <c r="AE2277" s="52">
        <f>IF(AC2277="","",IFERROR(INDEX(ctaTipo,MATCH(AC2277,ctaNombre,0))&amp;"",""))</f>
        <v/>
      </c>
      <c r="AF2277" s="53">
        <f>IF(OR(P2277="",AB2277=""),"",IF(OR(P2277="Gasto",P2277="Transferencia",P2277="Pago tarjeta"),-1,1)*IF(IFERROR(INDEX(ctaMoneda,MATCH(AB2277,ctaNombre,0))&amp;"","DOP")="USD",T2277,S2277))</f>
        <v/>
      </c>
      <c r="AG2277" s="53">
        <f>IF(AC2277="","",IF(IFERROR(INDEX(ctaMoneda,MATCH(AC2277,ctaNombre,0))&amp;"","DOP")="USD",T2277,S2277))</f>
        <v/>
      </c>
      <c r="AH2277" s="53">
        <f>IF(P2277="","",IF(AND(AD2277&lt;&gt;"",COUNTIFS(tcTipo,AD2277,tcLiq,"Sí")&gt;0),IF(OR(P2277="Gasto",P2277="Transferencia",P2277="Pago tarjeta"),-1,1)*S2277,0)+IF(AND(AE2277&lt;&gt;"",COUNTIFS(tcTipo,AE2277,tcLiq,"Sí")&gt;0),S2277,0))</f>
        <v/>
      </c>
      <c r="AI2277" s="52">
        <f>IF(OR(L2277="",P2277=""),"",IF(COUNTIFS(L$6:L2277,L2277,P$6:P2277,"?*")=1,MAX(AI$5:AI2276)+1,""))</f>
        <v/>
      </c>
    </row>
    <row r="2278">
      <c r="B2278" s="47" t="n"/>
      <c r="C2278" s="48" t="n"/>
      <c r="D2278" s="48" t="n"/>
      <c r="E2278" s="48" t="n"/>
      <c r="F2278" s="48" t="n"/>
      <c r="G2278" s="49" t="n"/>
      <c r="H2278" s="48" t="n"/>
      <c r="I2278" s="50" t="n"/>
      <c r="J2278" s="48" t="n"/>
      <c r="K2278" s="48" t="n"/>
      <c r="L2278" s="48" t="n"/>
      <c r="M2278" s="48" t="n"/>
      <c r="N2278" s="48" t="n"/>
      <c r="O2278" s="51">
        <f>IF(AND(B2278="",G2278="",C2278="",D2278="",J2278=""),"",IF(B2278="","⚠ Falta fecha",IF(G2278="","⚠ Falta monto",IF(Q2278="","⚠ Falta cuenta",IF(ISNA(MATCH(Q2278,ctaNombre,0)),"⚠ Cuenta no registrada",IF(AND(OR(P2278="Gasto",P2278="Reembolso"),D2278=""),"⚠ Falta categoría",IF(AND(D2278&lt;&gt;"",E2278&lt;&gt;"",ISNA(MATCH(D2278&amp;"|"&amp;E2278,catClave,0))),"⚠ Subcategoría no corresponde",IF(AND(OR(P2278="Transferencia",P2278="Pago tarjeta"),K2278=""),"⚠ Falta cuenta destino",IF(AND(K2278&lt;&gt;"",P2278&lt;&gt;"Transferencia",P2278&lt;&gt;"Pago tarjeta"),"⚠ Destino solo aplica a transferencias",IF(AND(K2278&lt;&gt;"",K2278=Q2278),"⚠ Origen igual a destino",IF(AND(K2278&lt;&gt;"",ISNA(MATCH(K2278,ctaNombre,0))),"⚠ Destino no registrado",IF(AND(P2278="Pago tarjeta",AE2278&lt;&gt;"Tarjeta de crédito"),"⚠ El destino debe ser tarjeta de crédito",IF(AND(P2278="Gasto",E2278="Depósitos y retiros"),"⚠ Usa tipo Transferencia",IF(AND(P2278="Resultado trading",AD2278&lt;&gt;"Cuenta de trading"),"⚠ Usa una cuenta de trading",IF(AND(G2278&lt;=0,P2278&lt;&gt;"Ajuste",P2278&lt;&gt;"Resultado trading"),"⚠ El monto debe ser positivo","✓")))))))))))))))</f>
        <v/>
      </c>
      <c r="P2278" s="52">
        <f>IF(OR(B2278="",G2278=""),"",IF(C2278="","Gasto",C2278))</f>
        <v/>
      </c>
      <c r="Q2278" s="52">
        <f>IF(P2278="","",IF(J2278&lt;&gt;"",J2278,CuentaPred&amp;""))</f>
        <v/>
      </c>
      <c r="R2278" s="52">
        <f>IF(P2278="","",IF(ISNUMBER(I2278),I2278,TasaUSD))</f>
        <v/>
      </c>
      <c r="S2278" s="53">
        <f>IF(P2278="","",IF(H2278="USD",G2278*R2278,G2278))</f>
        <v/>
      </c>
      <c r="T2278" s="53">
        <f>IF(P2278="","",IF(H2278="USD",G2278,IF(R2278&gt;0,G2278/R2278,0)))</f>
        <v/>
      </c>
      <c r="U2278" s="53">
        <f>IF(P2278="","",IF(P2278="Gasto",S2278,IF(P2278="Reembolso",-S2278,0)))</f>
        <v/>
      </c>
      <c r="V2278" s="53">
        <f>IF(P2278="","",IF(P2278="Ingreso",S2278,0))</f>
        <v/>
      </c>
      <c r="W2278" s="53">
        <f>IF(P2278="","",IF(P2278="Resultado trading",S2278,0))</f>
        <v/>
      </c>
      <c r="X2278" s="52">
        <f>IF(OR(P2278="Gasto",P2278="Reembolso"),IF(M2278&lt;&gt;"",M2278,IFERROR(INDEX(catClasif,MATCH(D2278&amp;"|"&amp;E2278,catClave,0))&amp;"","Variable")),"")</f>
        <v/>
      </c>
      <c r="Y2278" s="52">
        <f>IF(P2278="","",IFERROR(INDEX(catGrupo,MATCH(D2278&amp;"|"&amp;E2278,catClave,0))&amp;"",""))</f>
        <v/>
      </c>
      <c r="Z2278" s="52">
        <f>IF(P2278="","",WEEKDAY(B2278,2))</f>
        <v/>
      </c>
      <c r="AA2278" s="52">
        <f>IF(P2278="","",IF(AND(P2278="Gasto",X2278="Variable",D2278&lt;&gt;catTrading,S2278&gt;0,S2278&lt;=Umbral),1,0))</f>
        <v/>
      </c>
      <c r="AB2278" s="52">
        <f>IF(OR(P2278="",Q2278=""),"",IFERROR(IF(INDEX(ctaVinc,MATCH(Q2278,ctaNombre,0))&amp;""&lt;&gt;"",INDEX(ctaVinc,MATCH(Q2278,ctaNombre,0))&amp;"",Q2278),Q2278))</f>
        <v/>
      </c>
      <c r="AC2278" s="52">
        <f>IF(OR(K2278="",AND(P2278&lt;&gt;"Transferencia",P2278&lt;&gt;"Pago tarjeta")),"",IFERROR(IF(INDEX(ctaVinc,MATCH(K2278,ctaNombre,0))&amp;""&lt;&gt;"",INDEX(ctaVinc,MATCH(K2278,ctaNombre,0))&amp;"",K2278),K2278))</f>
        <v/>
      </c>
      <c r="AD2278" s="52">
        <f>IF(AB2278="","",IFERROR(INDEX(ctaTipo,MATCH(AB2278,ctaNombre,0))&amp;"",""))</f>
        <v/>
      </c>
      <c r="AE2278" s="52">
        <f>IF(AC2278="","",IFERROR(INDEX(ctaTipo,MATCH(AC2278,ctaNombre,0))&amp;"",""))</f>
        <v/>
      </c>
      <c r="AF2278" s="53">
        <f>IF(OR(P2278="",AB2278=""),"",IF(OR(P2278="Gasto",P2278="Transferencia",P2278="Pago tarjeta"),-1,1)*IF(IFERROR(INDEX(ctaMoneda,MATCH(AB2278,ctaNombre,0))&amp;"","DOP")="USD",T2278,S2278))</f>
        <v/>
      </c>
      <c r="AG2278" s="53">
        <f>IF(AC2278="","",IF(IFERROR(INDEX(ctaMoneda,MATCH(AC2278,ctaNombre,0))&amp;"","DOP")="USD",T2278,S2278))</f>
        <v/>
      </c>
      <c r="AH2278" s="53">
        <f>IF(P2278="","",IF(AND(AD2278&lt;&gt;"",COUNTIFS(tcTipo,AD2278,tcLiq,"Sí")&gt;0),IF(OR(P2278="Gasto",P2278="Transferencia",P2278="Pago tarjeta"),-1,1)*S2278,0)+IF(AND(AE2278&lt;&gt;"",COUNTIFS(tcTipo,AE2278,tcLiq,"Sí")&gt;0),S2278,0))</f>
        <v/>
      </c>
      <c r="AI2278" s="52">
        <f>IF(OR(L2278="",P2278=""),"",IF(COUNTIFS(L$6:L2278,L2278,P$6:P2278,"?*")=1,MAX(AI$5:AI2277)+1,""))</f>
        <v/>
      </c>
    </row>
    <row r="2279">
      <c r="B2279" s="47" t="n"/>
      <c r="C2279" s="48" t="n"/>
      <c r="D2279" s="48" t="n"/>
      <c r="E2279" s="48" t="n"/>
      <c r="F2279" s="48" t="n"/>
      <c r="G2279" s="49" t="n"/>
      <c r="H2279" s="48" t="n"/>
      <c r="I2279" s="50" t="n"/>
      <c r="J2279" s="48" t="n"/>
      <c r="K2279" s="48" t="n"/>
      <c r="L2279" s="48" t="n"/>
      <c r="M2279" s="48" t="n"/>
      <c r="N2279" s="48" t="n"/>
      <c r="O2279" s="51">
        <f>IF(AND(B2279="",G2279="",C2279="",D2279="",J2279=""),"",IF(B2279="","⚠ Falta fecha",IF(G2279="","⚠ Falta monto",IF(Q2279="","⚠ Falta cuenta",IF(ISNA(MATCH(Q2279,ctaNombre,0)),"⚠ Cuenta no registrada",IF(AND(OR(P2279="Gasto",P2279="Reembolso"),D2279=""),"⚠ Falta categoría",IF(AND(D2279&lt;&gt;"",E2279&lt;&gt;"",ISNA(MATCH(D2279&amp;"|"&amp;E2279,catClave,0))),"⚠ Subcategoría no corresponde",IF(AND(OR(P2279="Transferencia",P2279="Pago tarjeta"),K2279=""),"⚠ Falta cuenta destino",IF(AND(K2279&lt;&gt;"",P2279&lt;&gt;"Transferencia",P2279&lt;&gt;"Pago tarjeta"),"⚠ Destino solo aplica a transferencias",IF(AND(K2279&lt;&gt;"",K2279=Q2279),"⚠ Origen igual a destino",IF(AND(K2279&lt;&gt;"",ISNA(MATCH(K2279,ctaNombre,0))),"⚠ Destino no registrado",IF(AND(P2279="Pago tarjeta",AE2279&lt;&gt;"Tarjeta de crédito"),"⚠ El destino debe ser tarjeta de crédito",IF(AND(P2279="Gasto",E2279="Depósitos y retiros"),"⚠ Usa tipo Transferencia",IF(AND(P2279="Resultado trading",AD2279&lt;&gt;"Cuenta de trading"),"⚠ Usa una cuenta de trading",IF(AND(G2279&lt;=0,P2279&lt;&gt;"Ajuste",P2279&lt;&gt;"Resultado trading"),"⚠ El monto debe ser positivo","✓")))))))))))))))</f>
        <v/>
      </c>
      <c r="P2279" s="52">
        <f>IF(OR(B2279="",G2279=""),"",IF(C2279="","Gasto",C2279))</f>
        <v/>
      </c>
      <c r="Q2279" s="52">
        <f>IF(P2279="","",IF(J2279&lt;&gt;"",J2279,CuentaPred&amp;""))</f>
        <v/>
      </c>
      <c r="R2279" s="52">
        <f>IF(P2279="","",IF(ISNUMBER(I2279),I2279,TasaUSD))</f>
        <v/>
      </c>
      <c r="S2279" s="53">
        <f>IF(P2279="","",IF(H2279="USD",G2279*R2279,G2279))</f>
        <v/>
      </c>
      <c r="T2279" s="53">
        <f>IF(P2279="","",IF(H2279="USD",G2279,IF(R2279&gt;0,G2279/R2279,0)))</f>
        <v/>
      </c>
      <c r="U2279" s="53">
        <f>IF(P2279="","",IF(P2279="Gasto",S2279,IF(P2279="Reembolso",-S2279,0)))</f>
        <v/>
      </c>
      <c r="V2279" s="53">
        <f>IF(P2279="","",IF(P2279="Ingreso",S2279,0))</f>
        <v/>
      </c>
      <c r="W2279" s="53">
        <f>IF(P2279="","",IF(P2279="Resultado trading",S2279,0))</f>
        <v/>
      </c>
      <c r="X2279" s="52">
        <f>IF(OR(P2279="Gasto",P2279="Reembolso"),IF(M2279&lt;&gt;"",M2279,IFERROR(INDEX(catClasif,MATCH(D2279&amp;"|"&amp;E2279,catClave,0))&amp;"","Variable")),"")</f>
        <v/>
      </c>
      <c r="Y2279" s="52">
        <f>IF(P2279="","",IFERROR(INDEX(catGrupo,MATCH(D2279&amp;"|"&amp;E2279,catClave,0))&amp;"",""))</f>
        <v/>
      </c>
      <c r="Z2279" s="52">
        <f>IF(P2279="","",WEEKDAY(B2279,2))</f>
        <v/>
      </c>
      <c r="AA2279" s="52">
        <f>IF(P2279="","",IF(AND(P2279="Gasto",X2279="Variable",D2279&lt;&gt;catTrading,S2279&gt;0,S2279&lt;=Umbral),1,0))</f>
        <v/>
      </c>
      <c r="AB2279" s="52">
        <f>IF(OR(P2279="",Q2279=""),"",IFERROR(IF(INDEX(ctaVinc,MATCH(Q2279,ctaNombre,0))&amp;""&lt;&gt;"",INDEX(ctaVinc,MATCH(Q2279,ctaNombre,0))&amp;"",Q2279),Q2279))</f>
        <v/>
      </c>
      <c r="AC2279" s="52">
        <f>IF(OR(K2279="",AND(P2279&lt;&gt;"Transferencia",P2279&lt;&gt;"Pago tarjeta")),"",IFERROR(IF(INDEX(ctaVinc,MATCH(K2279,ctaNombre,0))&amp;""&lt;&gt;"",INDEX(ctaVinc,MATCH(K2279,ctaNombre,0))&amp;"",K2279),K2279))</f>
        <v/>
      </c>
      <c r="AD2279" s="52">
        <f>IF(AB2279="","",IFERROR(INDEX(ctaTipo,MATCH(AB2279,ctaNombre,0))&amp;"",""))</f>
        <v/>
      </c>
      <c r="AE2279" s="52">
        <f>IF(AC2279="","",IFERROR(INDEX(ctaTipo,MATCH(AC2279,ctaNombre,0))&amp;"",""))</f>
        <v/>
      </c>
      <c r="AF2279" s="53">
        <f>IF(OR(P2279="",AB2279=""),"",IF(OR(P2279="Gasto",P2279="Transferencia",P2279="Pago tarjeta"),-1,1)*IF(IFERROR(INDEX(ctaMoneda,MATCH(AB2279,ctaNombre,0))&amp;"","DOP")="USD",T2279,S2279))</f>
        <v/>
      </c>
      <c r="AG2279" s="53">
        <f>IF(AC2279="","",IF(IFERROR(INDEX(ctaMoneda,MATCH(AC2279,ctaNombre,0))&amp;"","DOP")="USD",T2279,S2279))</f>
        <v/>
      </c>
      <c r="AH2279" s="53">
        <f>IF(P2279="","",IF(AND(AD2279&lt;&gt;"",COUNTIFS(tcTipo,AD2279,tcLiq,"Sí")&gt;0),IF(OR(P2279="Gasto",P2279="Transferencia",P2279="Pago tarjeta"),-1,1)*S2279,0)+IF(AND(AE2279&lt;&gt;"",COUNTIFS(tcTipo,AE2279,tcLiq,"Sí")&gt;0),S2279,0))</f>
        <v/>
      </c>
      <c r="AI2279" s="52">
        <f>IF(OR(L2279="",P2279=""),"",IF(COUNTIFS(L$6:L2279,L2279,P$6:P2279,"?*")=1,MAX(AI$5:AI2278)+1,""))</f>
        <v/>
      </c>
    </row>
    <row r="2280">
      <c r="B2280" s="47" t="n"/>
      <c r="C2280" s="48" t="n"/>
      <c r="D2280" s="48" t="n"/>
      <c r="E2280" s="48" t="n"/>
      <c r="F2280" s="48" t="n"/>
      <c r="G2280" s="49" t="n"/>
      <c r="H2280" s="48" t="n"/>
      <c r="I2280" s="50" t="n"/>
      <c r="J2280" s="48" t="n"/>
      <c r="K2280" s="48" t="n"/>
      <c r="L2280" s="48" t="n"/>
      <c r="M2280" s="48" t="n"/>
      <c r="N2280" s="48" t="n"/>
      <c r="O2280" s="51">
        <f>IF(AND(B2280="",G2280="",C2280="",D2280="",J2280=""),"",IF(B2280="","⚠ Falta fecha",IF(G2280="","⚠ Falta monto",IF(Q2280="","⚠ Falta cuenta",IF(ISNA(MATCH(Q2280,ctaNombre,0)),"⚠ Cuenta no registrada",IF(AND(OR(P2280="Gasto",P2280="Reembolso"),D2280=""),"⚠ Falta categoría",IF(AND(D2280&lt;&gt;"",E2280&lt;&gt;"",ISNA(MATCH(D2280&amp;"|"&amp;E2280,catClave,0))),"⚠ Subcategoría no corresponde",IF(AND(OR(P2280="Transferencia",P2280="Pago tarjeta"),K2280=""),"⚠ Falta cuenta destino",IF(AND(K2280&lt;&gt;"",P2280&lt;&gt;"Transferencia",P2280&lt;&gt;"Pago tarjeta"),"⚠ Destino solo aplica a transferencias",IF(AND(K2280&lt;&gt;"",K2280=Q2280),"⚠ Origen igual a destino",IF(AND(K2280&lt;&gt;"",ISNA(MATCH(K2280,ctaNombre,0))),"⚠ Destino no registrado",IF(AND(P2280="Pago tarjeta",AE2280&lt;&gt;"Tarjeta de crédito"),"⚠ El destino debe ser tarjeta de crédito",IF(AND(P2280="Gasto",E2280="Depósitos y retiros"),"⚠ Usa tipo Transferencia",IF(AND(P2280="Resultado trading",AD2280&lt;&gt;"Cuenta de trading"),"⚠ Usa una cuenta de trading",IF(AND(G2280&lt;=0,P2280&lt;&gt;"Ajuste",P2280&lt;&gt;"Resultado trading"),"⚠ El monto debe ser positivo","✓")))))))))))))))</f>
        <v/>
      </c>
      <c r="P2280" s="52">
        <f>IF(OR(B2280="",G2280=""),"",IF(C2280="","Gasto",C2280))</f>
        <v/>
      </c>
      <c r="Q2280" s="52">
        <f>IF(P2280="","",IF(J2280&lt;&gt;"",J2280,CuentaPred&amp;""))</f>
        <v/>
      </c>
      <c r="R2280" s="52">
        <f>IF(P2280="","",IF(ISNUMBER(I2280),I2280,TasaUSD))</f>
        <v/>
      </c>
      <c r="S2280" s="53">
        <f>IF(P2280="","",IF(H2280="USD",G2280*R2280,G2280))</f>
        <v/>
      </c>
      <c r="T2280" s="53">
        <f>IF(P2280="","",IF(H2280="USD",G2280,IF(R2280&gt;0,G2280/R2280,0)))</f>
        <v/>
      </c>
      <c r="U2280" s="53">
        <f>IF(P2280="","",IF(P2280="Gasto",S2280,IF(P2280="Reembolso",-S2280,0)))</f>
        <v/>
      </c>
      <c r="V2280" s="53">
        <f>IF(P2280="","",IF(P2280="Ingreso",S2280,0))</f>
        <v/>
      </c>
      <c r="W2280" s="53">
        <f>IF(P2280="","",IF(P2280="Resultado trading",S2280,0))</f>
        <v/>
      </c>
      <c r="X2280" s="52">
        <f>IF(OR(P2280="Gasto",P2280="Reembolso"),IF(M2280&lt;&gt;"",M2280,IFERROR(INDEX(catClasif,MATCH(D2280&amp;"|"&amp;E2280,catClave,0))&amp;"","Variable")),"")</f>
        <v/>
      </c>
      <c r="Y2280" s="52">
        <f>IF(P2280="","",IFERROR(INDEX(catGrupo,MATCH(D2280&amp;"|"&amp;E2280,catClave,0))&amp;"",""))</f>
        <v/>
      </c>
      <c r="Z2280" s="52">
        <f>IF(P2280="","",WEEKDAY(B2280,2))</f>
        <v/>
      </c>
      <c r="AA2280" s="52">
        <f>IF(P2280="","",IF(AND(P2280="Gasto",X2280="Variable",D2280&lt;&gt;catTrading,S2280&gt;0,S2280&lt;=Umbral),1,0))</f>
        <v/>
      </c>
      <c r="AB2280" s="52">
        <f>IF(OR(P2280="",Q2280=""),"",IFERROR(IF(INDEX(ctaVinc,MATCH(Q2280,ctaNombre,0))&amp;""&lt;&gt;"",INDEX(ctaVinc,MATCH(Q2280,ctaNombre,0))&amp;"",Q2280),Q2280))</f>
        <v/>
      </c>
      <c r="AC2280" s="52">
        <f>IF(OR(K2280="",AND(P2280&lt;&gt;"Transferencia",P2280&lt;&gt;"Pago tarjeta")),"",IFERROR(IF(INDEX(ctaVinc,MATCH(K2280,ctaNombre,0))&amp;""&lt;&gt;"",INDEX(ctaVinc,MATCH(K2280,ctaNombre,0))&amp;"",K2280),K2280))</f>
        <v/>
      </c>
      <c r="AD2280" s="52">
        <f>IF(AB2280="","",IFERROR(INDEX(ctaTipo,MATCH(AB2280,ctaNombre,0))&amp;"",""))</f>
        <v/>
      </c>
      <c r="AE2280" s="52">
        <f>IF(AC2280="","",IFERROR(INDEX(ctaTipo,MATCH(AC2280,ctaNombre,0))&amp;"",""))</f>
        <v/>
      </c>
      <c r="AF2280" s="53">
        <f>IF(OR(P2280="",AB2280=""),"",IF(OR(P2280="Gasto",P2280="Transferencia",P2280="Pago tarjeta"),-1,1)*IF(IFERROR(INDEX(ctaMoneda,MATCH(AB2280,ctaNombre,0))&amp;"","DOP")="USD",T2280,S2280))</f>
        <v/>
      </c>
      <c r="AG2280" s="53">
        <f>IF(AC2280="","",IF(IFERROR(INDEX(ctaMoneda,MATCH(AC2280,ctaNombre,0))&amp;"","DOP")="USD",T2280,S2280))</f>
        <v/>
      </c>
      <c r="AH2280" s="53">
        <f>IF(P2280="","",IF(AND(AD2280&lt;&gt;"",COUNTIFS(tcTipo,AD2280,tcLiq,"Sí")&gt;0),IF(OR(P2280="Gasto",P2280="Transferencia",P2280="Pago tarjeta"),-1,1)*S2280,0)+IF(AND(AE2280&lt;&gt;"",COUNTIFS(tcTipo,AE2280,tcLiq,"Sí")&gt;0),S2280,0))</f>
        <v/>
      </c>
      <c r="AI2280" s="52">
        <f>IF(OR(L2280="",P2280=""),"",IF(COUNTIFS(L$6:L2280,L2280,P$6:P2280,"?*")=1,MAX(AI$5:AI2279)+1,""))</f>
        <v/>
      </c>
    </row>
    <row r="2281">
      <c r="B2281" s="47" t="n"/>
      <c r="C2281" s="48" t="n"/>
      <c r="D2281" s="48" t="n"/>
      <c r="E2281" s="48" t="n"/>
      <c r="F2281" s="48" t="n"/>
      <c r="G2281" s="49" t="n"/>
      <c r="H2281" s="48" t="n"/>
      <c r="I2281" s="50" t="n"/>
      <c r="J2281" s="48" t="n"/>
      <c r="K2281" s="48" t="n"/>
      <c r="L2281" s="48" t="n"/>
      <c r="M2281" s="48" t="n"/>
      <c r="N2281" s="48" t="n"/>
      <c r="O2281" s="51">
        <f>IF(AND(B2281="",G2281="",C2281="",D2281="",J2281=""),"",IF(B2281="","⚠ Falta fecha",IF(G2281="","⚠ Falta monto",IF(Q2281="","⚠ Falta cuenta",IF(ISNA(MATCH(Q2281,ctaNombre,0)),"⚠ Cuenta no registrada",IF(AND(OR(P2281="Gasto",P2281="Reembolso"),D2281=""),"⚠ Falta categoría",IF(AND(D2281&lt;&gt;"",E2281&lt;&gt;"",ISNA(MATCH(D2281&amp;"|"&amp;E2281,catClave,0))),"⚠ Subcategoría no corresponde",IF(AND(OR(P2281="Transferencia",P2281="Pago tarjeta"),K2281=""),"⚠ Falta cuenta destino",IF(AND(K2281&lt;&gt;"",P2281&lt;&gt;"Transferencia",P2281&lt;&gt;"Pago tarjeta"),"⚠ Destino solo aplica a transferencias",IF(AND(K2281&lt;&gt;"",K2281=Q2281),"⚠ Origen igual a destino",IF(AND(K2281&lt;&gt;"",ISNA(MATCH(K2281,ctaNombre,0))),"⚠ Destino no registrado",IF(AND(P2281="Pago tarjeta",AE2281&lt;&gt;"Tarjeta de crédito"),"⚠ El destino debe ser tarjeta de crédito",IF(AND(P2281="Gasto",E2281="Depósitos y retiros"),"⚠ Usa tipo Transferencia",IF(AND(P2281="Resultado trading",AD2281&lt;&gt;"Cuenta de trading"),"⚠ Usa una cuenta de trading",IF(AND(G2281&lt;=0,P2281&lt;&gt;"Ajuste",P2281&lt;&gt;"Resultado trading"),"⚠ El monto debe ser positivo","✓")))))))))))))))</f>
        <v/>
      </c>
      <c r="P2281" s="52">
        <f>IF(OR(B2281="",G2281=""),"",IF(C2281="","Gasto",C2281))</f>
        <v/>
      </c>
      <c r="Q2281" s="52">
        <f>IF(P2281="","",IF(J2281&lt;&gt;"",J2281,CuentaPred&amp;""))</f>
        <v/>
      </c>
      <c r="R2281" s="52">
        <f>IF(P2281="","",IF(ISNUMBER(I2281),I2281,TasaUSD))</f>
        <v/>
      </c>
      <c r="S2281" s="53">
        <f>IF(P2281="","",IF(H2281="USD",G2281*R2281,G2281))</f>
        <v/>
      </c>
      <c r="T2281" s="53">
        <f>IF(P2281="","",IF(H2281="USD",G2281,IF(R2281&gt;0,G2281/R2281,0)))</f>
        <v/>
      </c>
      <c r="U2281" s="53">
        <f>IF(P2281="","",IF(P2281="Gasto",S2281,IF(P2281="Reembolso",-S2281,0)))</f>
        <v/>
      </c>
      <c r="V2281" s="53">
        <f>IF(P2281="","",IF(P2281="Ingreso",S2281,0))</f>
        <v/>
      </c>
      <c r="W2281" s="53">
        <f>IF(P2281="","",IF(P2281="Resultado trading",S2281,0))</f>
        <v/>
      </c>
      <c r="X2281" s="52">
        <f>IF(OR(P2281="Gasto",P2281="Reembolso"),IF(M2281&lt;&gt;"",M2281,IFERROR(INDEX(catClasif,MATCH(D2281&amp;"|"&amp;E2281,catClave,0))&amp;"","Variable")),"")</f>
        <v/>
      </c>
      <c r="Y2281" s="52">
        <f>IF(P2281="","",IFERROR(INDEX(catGrupo,MATCH(D2281&amp;"|"&amp;E2281,catClave,0))&amp;"",""))</f>
        <v/>
      </c>
      <c r="Z2281" s="52">
        <f>IF(P2281="","",WEEKDAY(B2281,2))</f>
        <v/>
      </c>
      <c r="AA2281" s="52">
        <f>IF(P2281="","",IF(AND(P2281="Gasto",X2281="Variable",D2281&lt;&gt;catTrading,S2281&gt;0,S2281&lt;=Umbral),1,0))</f>
        <v/>
      </c>
      <c r="AB2281" s="52">
        <f>IF(OR(P2281="",Q2281=""),"",IFERROR(IF(INDEX(ctaVinc,MATCH(Q2281,ctaNombre,0))&amp;""&lt;&gt;"",INDEX(ctaVinc,MATCH(Q2281,ctaNombre,0))&amp;"",Q2281),Q2281))</f>
        <v/>
      </c>
      <c r="AC2281" s="52">
        <f>IF(OR(K2281="",AND(P2281&lt;&gt;"Transferencia",P2281&lt;&gt;"Pago tarjeta")),"",IFERROR(IF(INDEX(ctaVinc,MATCH(K2281,ctaNombre,0))&amp;""&lt;&gt;"",INDEX(ctaVinc,MATCH(K2281,ctaNombre,0))&amp;"",K2281),K2281))</f>
        <v/>
      </c>
      <c r="AD2281" s="52">
        <f>IF(AB2281="","",IFERROR(INDEX(ctaTipo,MATCH(AB2281,ctaNombre,0))&amp;"",""))</f>
        <v/>
      </c>
      <c r="AE2281" s="52">
        <f>IF(AC2281="","",IFERROR(INDEX(ctaTipo,MATCH(AC2281,ctaNombre,0))&amp;"",""))</f>
        <v/>
      </c>
      <c r="AF2281" s="53">
        <f>IF(OR(P2281="",AB2281=""),"",IF(OR(P2281="Gasto",P2281="Transferencia",P2281="Pago tarjeta"),-1,1)*IF(IFERROR(INDEX(ctaMoneda,MATCH(AB2281,ctaNombre,0))&amp;"","DOP")="USD",T2281,S2281))</f>
        <v/>
      </c>
      <c r="AG2281" s="53">
        <f>IF(AC2281="","",IF(IFERROR(INDEX(ctaMoneda,MATCH(AC2281,ctaNombre,0))&amp;"","DOP")="USD",T2281,S2281))</f>
        <v/>
      </c>
      <c r="AH2281" s="53">
        <f>IF(P2281="","",IF(AND(AD2281&lt;&gt;"",COUNTIFS(tcTipo,AD2281,tcLiq,"Sí")&gt;0),IF(OR(P2281="Gasto",P2281="Transferencia",P2281="Pago tarjeta"),-1,1)*S2281,0)+IF(AND(AE2281&lt;&gt;"",COUNTIFS(tcTipo,AE2281,tcLiq,"Sí")&gt;0),S2281,0))</f>
        <v/>
      </c>
      <c r="AI2281" s="52">
        <f>IF(OR(L2281="",P2281=""),"",IF(COUNTIFS(L$6:L2281,L2281,P$6:P2281,"?*")=1,MAX(AI$5:AI2280)+1,""))</f>
        <v/>
      </c>
    </row>
    <row r="2282">
      <c r="B2282" s="47" t="n"/>
      <c r="C2282" s="48" t="n"/>
      <c r="D2282" s="48" t="n"/>
      <c r="E2282" s="48" t="n"/>
      <c r="F2282" s="48" t="n"/>
      <c r="G2282" s="49" t="n"/>
      <c r="H2282" s="48" t="n"/>
      <c r="I2282" s="50" t="n"/>
      <c r="J2282" s="48" t="n"/>
      <c r="K2282" s="48" t="n"/>
      <c r="L2282" s="48" t="n"/>
      <c r="M2282" s="48" t="n"/>
      <c r="N2282" s="48" t="n"/>
      <c r="O2282" s="51">
        <f>IF(AND(B2282="",G2282="",C2282="",D2282="",J2282=""),"",IF(B2282="","⚠ Falta fecha",IF(G2282="","⚠ Falta monto",IF(Q2282="","⚠ Falta cuenta",IF(ISNA(MATCH(Q2282,ctaNombre,0)),"⚠ Cuenta no registrada",IF(AND(OR(P2282="Gasto",P2282="Reembolso"),D2282=""),"⚠ Falta categoría",IF(AND(D2282&lt;&gt;"",E2282&lt;&gt;"",ISNA(MATCH(D2282&amp;"|"&amp;E2282,catClave,0))),"⚠ Subcategoría no corresponde",IF(AND(OR(P2282="Transferencia",P2282="Pago tarjeta"),K2282=""),"⚠ Falta cuenta destino",IF(AND(K2282&lt;&gt;"",P2282&lt;&gt;"Transferencia",P2282&lt;&gt;"Pago tarjeta"),"⚠ Destino solo aplica a transferencias",IF(AND(K2282&lt;&gt;"",K2282=Q2282),"⚠ Origen igual a destino",IF(AND(K2282&lt;&gt;"",ISNA(MATCH(K2282,ctaNombre,0))),"⚠ Destino no registrado",IF(AND(P2282="Pago tarjeta",AE2282&lt;&gt;"Tarjeta de crédito"),"⚠ El destino debe ser tarjeta de crédito",IF(AND(P2282="Gasto",E2282="Depósitos y retiros"),"⚠ Usa tipo Transferencia",IF(AND(P2282="Resultado trading",AD2282&lt;&gt;"Cuenta de trading"),"⚠ Usa una cuenta de trading",IF(AND(G2282&lt;=0,P2282&lt;&gt;"Ajuste",P2282&lt;&gt;"Resultado trading"),"⚠ El monto debe ser positivo","✓")))))))))))))))</f>
        <v/>
      </c>
      <c r="P2282" s="52">
        <f>IF(OR(B2282="",G2282=""),"",IF(C2282="","Gasto",C2282))</f>
        <v/>
      </c>
      <c r="Q2282" s="52">
        <f>IF(P2282="","",IF(J2282&lt;&gt;"",J2282,CuentaPred&amp;""))</f>
        <v/>
      </c>
      <c r="R2282" s="52">
        <f>IF(P2282="","",IF(ISNUMBER(I2282),I2282,TasaUSD))</f>
        <v/>
      </c>
      <c r="S2282" s="53">
        <f>IF(P2282="","",IF(H2282="USD",G2282*R2282,G2282))</f>
        <v/>
      </c>
      <c r="T2282" s="53">
        <f>IF(P2282="","",IF(H2282="USD",G2282,IF(R2282&gt;0,G2282/R2282,0)))</f>
        <v/>
      </c>
      <c r="U2282" s="53">
        <f>IF(P2282="","",IF(P2282="Gasto",S2282,IF(P2282="Reembolso",-S2282,0)))</f>
        <v/>
      </c>
      <c r="V2282" s="53">
        <f>IF(P2282="","",IF(P2282="Ingreso",S2282,0))</f>
        <v/>
      </c>
      <c r="W2282" s="53">
        <f>IF(P2282="","",IF(P2282="Resultado trading",S2282,0))</f>
        <v/>
      </c>
      <c r="X2282" s="52">
        <f>IF(OR(P2282="Gasto",P2282="Reembolso"),IF(M2282&lt;&gt;"",M2282,IFERROR(INDEX(catClasif,MATCH(D2282&amp;"|"&amp;E2282,catClave,0))&amp;"","Variable")),"")</f>
        <v/>
      </c>
      <c r="Y2282" s="52">
        <f>IF(P2282="","",IFERROR(INDEX(catGrupo,MATCH(D2282&amp;"|"&amp;E2282,catClave,0))&amp;"",""))</f>
        <v/>
      </c>
      <c r="Z2282" s="52">
        <f>IF(P2282="","",WEEKDAY(B2282,2))</f>
        <v/>
      </c>
      <c r="AA2282" s="52">
        <f>IF(P2282="","",IF(AND(P2282="Gasto",X2282="Variable",D2282&lt;&gt;catTrading,S2282&gt;0,S2282&lt;=Umbral),1,0))</f>
        <v/>
      </c>
      <c r="AB2282" s="52">
        <f>IF(OR(P2282="",Q2282=""),"",IFERROR(IF(INDEX(ctaVinc,MATCH(Q2282,ctaNombre,0))&amp;""&lt;&gt;"",INDEX(ctaVinc,MATCH(Q2282,ctaNombre,0))&amp;"",Q2282),Q2282))</f>
        <v/>
      </c>
      <c r="AC2282" s="52">
        <f>IF(OR(K2282="",AND(P2282&lt;&gt;"Transferencia",P2282&lt;&gt;"Pago tarjeta")),"",IFERROR(IF(INDEX(ctaVinc,MATCH(K2282,ctaNombre,0))&amp;""&lt;&gt;"",INDEX(ctaVinc,MATCH(K2282,ctaNombre,0))&amp;"",K2282),K2282))</f>
        <v/>
      </c>
      <c r="AD2282" s="52">
        <f>IF(AB2282="","",IFERROR(INDEX(ctaTipo,MATCH(AB2282,ctaNombre,0))&amp;"",""))</f>
        <v/>
      </c>
      <c r="AE2282" s="52">
        <f>IF(AC2282="","",IFERROR(INDEX(ctaTipo,MATCH(AC2282,ctaNombre,0))&amp;"",""))</f>
        <v/>
      </c>
      <c r="AF2282" s="53">
        <f>IF(OR(P2282="",AB2282=""),"",IF(OR(P2282="Gasto",P2282="Transferencia",P2282="Pago tarjeta"),-1,1)*IF(IFERROR(INDEX(ctaMoneda,MATCH(AB2282,ctaNombre,0))&amp;"","DOP")="USD",T2282,S2282))</f>
        <v/>
      </c>
      <c r="AG2282" s="53">
        <f>IF(AC2282="","",IF(IFERROR(INDEX(ctaMoneda,MATCH(AC2282,ctaNombre,0))&amp;"","DOP")="USD",T2282,S2282))</f>
        <v/>
      </c>
      <c r="AH2282" s="53">
        <f>IF(P2282="","",IF(AND(AD2282&lt;&gt;"",COUNTIFS(tcTipo,AD2282,tcLiq,"Sí")&gt;0),IF(OR(P2282="Gasto",P2282="Transferencia",P2282="Pago tarjeta"),-1,1)*S2282,0)+IF(AND(AE2282&lt;&gt;"",COUNTIFS(tcTipo,AE2282,tcLiq,"Sí")&gt;0),S2282,0))</f>
        <v/>
      </c>
      <c r="AI2282" s="52">
        <f>IF(OR(L2282="",P2282=""),"",IF(COUNTIFS(L$6:L2282,L2282,P$6:P2282,"?*")=1,MAX(AI$5:AI2281)+1,""))</f>
        <v/>
      </c>
    </row>
    <row r="2283">
      <c r="B2283" s="47" t="n"/>
      <c r="C2283" s="48" t="n"/>
      <c r="D2283" s="48" t="n"/>
      <c r="E2283" s="48" t="n"/>
      <c r="F2283" s="48" t="n"/>
      <c r="G2283" s="49" t="n"/>
      <c r="H2283" s="48" t="n"/>
      <c r="I2283" s="50" t="n"/>
      <c r="J2283" s="48" t="n"/>
      <c r="K2283" s="48" t="n"/>
      <c r="L2283" s="48" t="n"/>
      <c r="M2283" s="48" t="n"/>
      <c r="N2283" s="48" t="n"/>
      <c r="O2283" s="51">
        <f>IF(AND(B2283="",G2283="",C2283="",D2283="",J2283=""),"",IF(B2283="","⚠ Falta fecha",IF(G2283="","⚠ Falta monto",IF(Q2283="","⚠ Falta cuenta",IF(ISNA(MATCH(Q2283,ctaNombre,0)),"⚠ Cuenta no registrada",IF(AND(OR(P2283="Gasto",P2283="Reembolso"),D2283=""),"⚠ Falta categoría",IF(AND(D2283&lt;&gt;"",E2283&lt;&gt;"",ISNA(MATCH(D2283&amp;"|"&amp;E2283,catClave,0))),"⚠ Subcategoría no corresponde",IF(AND(OR(P2283="Transferencia",P2283="Pago tarjeta"),K2283=""),"⚠ Falta cuenta destino",IF(AND(K2283&lt;&gt;"",P2283&lt;&gt;"Transferencia",P2283&lt;&gt;"Pago tarjeta"),"⚠ Destino solo aplica a transferencias",IF(AND(K2283&lt;&gt;"",K2283=Q2283),"⚠ Origen igual a destino",IF(AND(K2283&lt;&gt;"",ISNA(MATCH(K2283,ctaNombre,0))),"⚠ Destino no registrado",IF(AND(P2283="Pago tarjeta",AE2283&lt;&gt;"Tarjeta de crédito"),"⚠ El destino debe ser tarjeta de crédito",IF(AND(P2283="Gasto",E2283="Depósitos y retiros"),"⚠ Usa tipo Transferencia",IF(AND(P2283="Resultado trading",AD2283&lt;&gt;"Cuenta de trading"),"⚠ Usa una cuenta de trading",IF(AND(G2283&lt;=0,P2283&lt;&gt;"Ajuste",P2283&lt;&gt;"Resultado trading"),"⚠ El monto debe ser positivo","✓")))))))))))))))</f>
        <v/>
      </c>
      <c r="P2283" s="52">
        <f>IF(OR(B2283="",G2283=""),"",IF(C2283="","Gasto",C2283))</f>
        <v/>
      </c>
      <c r="Q2283" s="52">
        <f>IF(P2283="","",IF(J2283&lt;&gt;"",J2283,CuentaPred&amp;""))</f>
        <v/>
      </c>
      <c r="R2283" s="52">
        <f>IF(P2283="","",IF(ISNUMBER(I2283),I2283,TasaUSD))</f>
        <v/>
      </c>
      <c r="S2283" s="53">
        <f>IF(P2283="","",IF(H2283="USD",G2283*R2283,G2283))</f>
        <v/>
      </c>
      <c r="T2283" s="53">
        <f>IF(P2283="","",IF(H2283="USD",G2283,IF(R2283&gt;0,G2283/R2283,0)))</f>
        <v/>
      </c>
      <c r="U2283" s="53">
        <f>IF(P2283="","",IF(P2283="Gasto",S2283,IF(P2283="Reembolso",-S2283,0)))</f>
        <v/>
      </c>
      <c r="V2283" s="53">
        <f>IF(P2283="","",IF(P2283="Ingreso",S2283,0))</f>
        <v/>
      </c>
      <c r="W2283" s="53">
        <f>IF(P2283="","",IF(P2283="Resultado trading",S2283,0))</f>
        <v/>
      </c>
      <c r="X2283" s="52">
        <f>IF(OR(P2283="Gasto",P2283="Reembolso"),IF(M2283&lt;&gt;"",M2283,IFERROR(INDEX(catClasif,MATCH(D2283&amp;"|"&amp;E2283,catClave,0))&amp;"","Variable")),"")</f>
        <v/>
      </c>
      <c r="Y2283" s="52">
        <f>IF(P2283="","",IFERROR(INDEX(catGrupo,MATCH(D2283&amp;"|"&amp;E2283,catClave,0))&amp;"",""))</f>
        <v/>
      </c>
      <c r="Z2283" s="52">
        <f>IF(P2283="","",WEEKDAY(B2283,2))</f>
        <v/>
      </c>
      <c r="AA2283" s="52">
        <f>IF(P2283="","",IF(AND(P2283="Gasto",X2283="Variable",D2283&lt;&gt;catTrading,S2283&gt;0,S2283&lt;=Umbral),1,0))</f>
        <v/>
      </c>
      <c r="AB2283" s="52">
        <f>IF(OR(P2283="",Q2283=""),"",IFERROR(IF(INDEX(ctaVinc,MATCH(Q2283,ctaNombre,0))&amp;""&lt;&gt;"",INDEX(ctaVinc,MATCH(Q2283,ctaNombre,0))&amp;"",Q2283),Q2283))</f>
        <v/>
      </c>
      <c r="AC2283" s="52">
        <f>IF(OR(K2283="",AND(P2283&lt;&gt;"Transferencia",P2283&lt;&gt;"Pago tarjeta")),"",IFERROR(IF(INDEX(ctaVinc,MATCH(K2283,ctaNombre,0))&amp;""&lt;&gt;"",INDEX(ctaVinc,MATCH(K2283,ctaNombre,0))&amp;"",K2283),K2283))</f>
        <v/>
      </c>
      <c r="AD2283" s="52">
        <f>IF(AB2283="","",IFERROR(INDEX(ctaTipo,MATCH(AB2283,ctaNombre,0))&amp;"",""))</f>
        <v/>
      </c>
      <c r="AE2283" s="52">
        <f>IF(AC2283="","",IFERROR(INDEX(ctaTipo,MATCH(AC2283,ctaNombre,0))&amp;"",""))</f>
        <v/>
      </c>
      <c r="AF2283" s="53">
        <f>IF(OR(P2283="",AB2283=""),"",IF(OR(P2283="Gasto",P2283="Transferencia",P2283="Pago tarjeta"),-1,1)*IF(IFERROR(INDEX(ctaMoneda,MATCH(AB2283,ctaNombre,0))&amp;"","DOP")="USD",T2283,S2283))</f>
        <v/>
      </c>
      <c r="AG2283" s="53">
        <f>IF(AC2283="","",IF(IFERROR(INDEX(ctaMoneda,MATCH(AC2283,ctaNombre,0))&amp;"","DOP")="USD",T2283,S2283))</f>
        <v/>
      </c>
      <c r="AH2283" s="53">
        <f>IF(P2283="","",IF(AND(AD2283&lt;&gt;"",COUNTIFS(tcTipo,AD2283,tcLiq,"Sí")&gt;0),IF(OR(P2283="Gasto",P2283="Transferencia",P2283="Pago tarjeta"),-1,1)*S2283,0)+IF(AND(AE2283&lt;&gt;"",COUNTIFS(tcTipo,AE2283,tcLiq,"Sí")&gt;0),S2283,0))</f>
        <v/>
      </c>
      <c r="AI2283" s="52">
        <f>IF(OR(L2283="",P2283=""),"",IF(COUNTIFS(L$6:L2283,L2283,P$6:P2283,"?*")=1,MAX(AI$5:AI2282)+1,""))</f>
        <v/>
      </c>
    </row>
    <row r="2284">
      <c r="B2284" s="47" t="n"/>
      <c r="C2284" s="48" t="n"/>
      <c r="D2284" s="48" t="n"/>
      <c r="E2284" s="48" t="n"/>
      <c r="F2284" s="48" t="n"/>
      <c r="G2284" s="49" t="n"/>
      <c r="H2284" s="48" t="n"/>
      <c r="I2284" s="50" t="n"/>
      <c r="J2284" s="48" t="n"/>
      <c r="K2284" s="48" t="n"/>
      <c r="L2284" s="48" t="n"/>
      <c r="M2284" s="48" t="n"/>
      <c r="N2284" s="48" t="n"/>
      <c r="O2284" s="51">
        <f>IF(AND(B2284="",G2284="",C2284="",D2284="",J2284=""),"",IF(B2284="","⚠ Falta fecha",IF(G2284="","⚠ Falta monto",IF(Q2284="","⚠ Falta cuenta",IF(ISNA(MATCH(Q2284,ctaNombre,0)),"⚠ Cuenta no registrada",IF(AND(OR(P2284="Gasto",P2284="Reembolso"),D2284=""),"⚠ Falta categoría",IF(AND(D2284&lt;&gt;"",E2284&lt;&gt;"",ISNA(MATCH(D2284&amp;"|"&amp;E2284,catClave,0))),"⚠ Subcategoría no corresponde",IF(AND(OR(P2284="Transferencia",P2284="Pago tarjeta"),K2284=""),"⚠ Falta cuenta destino",IF(AND(K2284&lt;&gt;"",P2284&lt;&gt;"Transferencia",P2284&lt;&gt;"Pago tarjeta"),"⚠ Destino solo aplica a transferencias",IF(AND(K2284&lt;&gt;"",K2284=Q2284),"⚠ Origen igual a destino",IF(AND(K2284&lt;&gt;"",ISNA(MATCH(K2284,ctaNombre,0))),"⚠ Destino no registrado",IF(AND(P2284="Pago tarjeta",AE2284&lt;&gt;"Tarjeta de crédito"),"⚠ El destino debe ser tarjeta de crédito",IF(AND(P2284="Gasto",E2284="Depósitos y retiros"),"⚠ Usa tipo Transferencia",IF(AND(P2284="Resultado trading",AD2284&lt;&gt;"Cuenta de trading"),"⚠ Usa una cuenta de trading",IF(AND(G2284&lt;=0,P2284&lt;&gt;"Ajuste",P2284&lt;&gt;"Resultado trading"),"⚠ El monto debe ser positivo","✓")))))))))))))))</f>
        <v/>
      </c>
      <c r="P2284" s="52">
        <f>IF(OR(B2284="",G2284=""),"",IF(C2284="","Gasto",C2284))</f>
        <v/>
      </c>
      <c r="Q2284" s="52">
        <f>IF(P2284="","",IF(J2284&lt;&gt;"",J2284,CuentaPred&amp;""))</f>
        <v/>
      </c>
      <c r="R2284" s="52">
        <f>IF(P2284="","",IF(ISNUMBER(I2284),I2284,TasaUSD))</f>
        <v/>
      </c>
      <c r="S2284" s="53">
        <f>IF(P2284="","",IF(H2284="USD",G2284*R2284,G2284))</f>
        <v/>
      </c>
      <c r="T2284" s="53">
        <f>IF(P2284="","",IF(H2284="USD",G2284,IF(R2284&gt;0,G2284/R2284,0)))</f>
        <v/>
      </c>
      <c r="U2284" s="53">
        <f>IF(P2284="","",IF(P2284="Gasto",S2284,IF(P2284="Reembolso",-S2284,0)))</f>
        <v/>
      </c>
      <c r="V2284" s="53">
        <f>IF(P2284="","",IF(P2284="Ingreso",S2284,0))</f>
        <v/>
      </c>
      <c r="W2284" s="53">
        <f>IF(P2284="","",IF(P2284="Resultado trading",S2284,0))</f>
        <v/>
      </c>
      <c r="X2284" s="52">
        <f>IF(OR(P2284="Gasto",P2284="Reembolso"),IF(M2284&lt;&gt;"",M2284,IFERROR(INDEX(catClasif,MATCH(D2284&amp;"|"&amp;E2284,catClave,0))&amp;"","Variable")),"")</f>
        <v/>
      </c>
      <c r="Y2284" s="52">
        <f>IF(P2284="","",IFERROR(INDEX(catGrupo,MATCH(D2284&amp;"|"&amp;E2284,catClave,0))&amp;"",""))</f>
        <v/>
      </c>
      <c r="Z2284" s="52">
        <f>IF(P2284="","",WEEKDAY(B2284,2))</f>
        <v/>
      </c>
      <c r="AA2284" s="52">
        <f>IF(P2284="","",IF(AND(P2284="Gasto",X2284="Variable",D2284&lt;&gt;catTrading,S2284&gt;0,S2284&lt;=Umbral),1,0))</f>
        <v/>
      </c>
      <c r="AB2284" s="52">
        <f>IF(OR(P2284="",Q2284=""),"",IFERROR(IF(INDEX(ctaVinc,MATCH(Q2284,ctaNombre,0))&amp;""&lt;&gt;"",INDEX(ctaVinc,MATCH(Q2284,ctaNombre,0))&amp;"",Q2284),Q2284))</f>
        <v/>
      </c>
      <c r="AC2284" s="52">
        <f>IF(OR(K2284="",AND(P2284&lt;&gt;"Transferencia",P2284&lt;&gt;"Pago tarjeta")),"",IFERROR(IF(INDEX(ctaVinc,MATCH(K2284,ctaNombre,0))&amp;""&lt;&gt;"",INDEX(ctaVinc,MATCH(K2284,ctaNombre,0))&amp;"",K2284),K2284))</f>
        <v/>
      </c>
      <c r="AD2284" s="52">
        <f>IF(AB2284="","",IFERROR(INDEX(ctaTipo,MATCH(AB2284,ctaNombre,0))&amp;"",""))</f>
        <v/>
      </c>
      <c r="AE2284" s="52">
        <f>IF(AC2284="","",IFERROR(INDEX(ctaTipo,MATCH(AC2284,ctaNombre,0))&amp;"",""))</f>
        <v/>
      </c>
      <c r="AF2284" s="53">
        <f>IF(OR(P2284="",AB2284=""),"",IF(OR(P2284="Gasto",P2284="Transferencia",P2284="Pago tarjeta"),-1,1)*IF(IFERROR(INDEX(ctaMoneda,MATCH(AB2284,ctaNombre,0))&amp;"","DOP")="USD",T2284,S2284))</f>
        <v/>
      </c>
      <c r="AG2284" s="53">
        <f>IF(AC2284="","",IF(IFERROR(INDEX(ctaMoneda,MATCH(AC2284,ctaNombre,0))&amp;"","DOP")="USD",T2284,S2284))</f>
        <v/>
      </c>
      <c r="AH2284" s="53">
        <f>IF(P2284="","",IF(AND(AD2284&lt;&gt;"",COUNTIFS(tcTipo,AD2284,tcLiq,"Sí")&gt;0),IF(OR(P2284="Gasto",P2284="Transferencia",P2284="Pago tarjeta"),-1,1)*S2284,0)+IF(AND(AE2284&lt;&gt;"",COUNTIFS(tcTipo,AE2284,tcLiq,"Sí")&gt;0),S2284,0))</f>
        <v/>
      </c>
      <c r="AI2284" s="52">
        <f>IF(OR(L2284="",P2284=""),"",IF(COUNTIFS(L$6:L2284,L2284,P$6:P2284,"?*")=1,MAX(AI$5:AI2283)+1,""))</f>
        <v/>
      </c>
    </row>
    <row r="2285">
      <c r="B2285" s="47" t="n"/>
      <c r="C2285" s="48" t="n"/>
      <c r="D2285" s="48" t="n"/>
      <c r="E2285" s="48" t="n"/>
      <c r="F2285" s="48" t="n"/>
      <c r="G2285" s="49" t="n"/>
      <c r="H2285" s="48" t="n"/>
      <c r="I2285" s="50" t="n"/>
      <c r="J2285" s="48" t="n"/>
      <c r="K2285" s="48" t="n"/>
      <c r="L2285" s="48" t="n"/>
      <c r="M2285" s="48" t="n"/>
      <c r="N2285" s="48" t="n"/>
      <c r="O2285" s="51">
        <f>IF(AND(B2285="",G2285="",C2285="",D2285="",J2285=""),"",IF(B2285="","⚠ Falta fecha",IF(G2285="","⚠ Falta monto",IF(Q2285="","⚠ Falta cuenta",IF(ISNA(MATCH(Q2285,ctaNombre,0)),"⚠ Cuenta no registrada",IF(AND(OR(P2285="Gasto",P2285="Reembolso"),D2285=""),"⚠ Falta categoría",IF(AND(D2285&lt;&gt;"",E2285&lt;&gt;"",ISNA(MATCH(D2285&amp;"|"&amp;E2285,catClave,0))),"⚠ Subcategoría no corresponde",IF(AND(OR(P2285="Transferencia",P2285="Pago tarjeta"),K2285=""),"⚠ Falta cuenta destino",IF(AND(K2285&lt;&gt;"",P2285&lt;&gt;"Transferencia",P2285&lt;&gt;"Pago tarjeta"),"⚠ Destino solo aplica a transferencias",IF(AND(K2285&lt;&gt;"",K2285=Q2285),"⚠ Origen igual a destino",IF(AND(K2285&lt;&gt;"",ISNA(MATCH(K2285,ctaNombre,0))),"⚠ Destino no registrado",IF(AND(P2285="Pago tarjeta",AE2285&lt;&gt;"Tarjeta de crédito"),"⚠ El destino debe ser tarjeta de crédito",IF(AND(P2285="Gasto",E2285="Depósitos y retiros"),"⚠ Usa tipo Transferencia",IF(AND(P2285="Resultado trading",AD2285&lt;&gt;"Cuenta de trading"),"⚠ Usa una cuenta de trading",IF(AND(G2285&lt;=0,P2285&lt;&gt;"Ajuste",P2285&lt;&gt;"Resultado trading"),"⚠ El monto debe ser positivo","✓")))))))))))))))</f>
        <v/>
      </c>
      <c r="P2285" s="52">
        <f>IF(OR(B2285="",G2285=""),"",IF(C2285="","Gasto",C2285))</f>
        <v/>
      </c>
      <c r="Q2285" s="52">
        <f>IF(P2285="","",IF(J2285&lt;&gt;"",J2285,CuentaPred&amp;""))</f>
        <v/>
      </c>
      <c r="R2285" s="52">
        <f>IF(P2285="","",IF(ISNUMBER(I2285),I2285,TasaUSD))</f>
        <v/>
      </c>
      <c r="S2285" s="53">
        <f>IF(P2285="","",IF(H2285="USD",G2285*R2285,G2285))</f>
        <v/>
      </c>
      <c r="T2285" s="53">
        <f>IF(P2285="","",IF(H2285="USD",G2285,IF(R2285&gt;0,G2285/R2285,0)))</f>
        <v/>
      </c>
      <c r="U2285" s="53">
        <f>IF(P2285="","",IF(P2285="Gasto",S2285,IF(P2285="Reembolso",-S2285,0)))</f>
        <v/>
      </c>
      <c r="V2285" s="53">
        <f>IF(P2285="","",IF(P2285="Ingreso",S2285,0))</f>
        <v/>
      </c>
      <c r="W2285" s="53">
        <f>IF(P2285="","",IF(P2285="Resultado trading",S2285,0))</f>
        <v/>
      </c>
      <c r="X2285" s="52">
        <f>IF(OR(P2285="Gasto",P2285="Reembolso"),IF(M2285&lt;&gt;"",M2285,IFERROR(INDEX(catClasif,MATCH(D2285&amp;"|"&amp;E2285,catClave,0))&amp;"","Variable")),"")</f>
        <v/>
      </c>
      <c r="Y2285" s="52">
        <f>IF(P2285="","",IFERROR(INDEX(catGrupo,MATCH(D2285&amp;"|"&amp;E2285,catClave,0))&amp;"",""))</f>
        <v/>
      </c>
      <c r="Z2285" s="52">
        <f>IF(P2285="","",WEEKDAY(B2285,2))</f>
        <v/>
      </c>
      <c r="AA2285" s="52">
        <f>IF(P2285="","",IF(AND(P2285="Gasto",X2285="Variable",D2285&lt;&gt;catTrading,S2285&gt;0,S2285&lt;=Umbral),1,0))</f>
        <v/>
      </c>
      <c r="AB2285" s="52">
        <f>IF(OR(P2285="",Q2285=""),"",IFERROR(IF(INDEX(ctaVinc,MATCH(Q2285,ctaNombre,0))&amp;""&lt;&gt;"",INDEX(ctaVinc,MATCH(Q2285,ctaNombre,0))&amp;"",Q2285),Q2285))</f>
        <v/>
      </c>
      <c r="AC2285" s="52">
        <f>IF(OR(K2285="",AND(P2285&lt;&gt;"Transferencia",P2285&lt;&gt;"Pago tarjeta")),"",IFERROR(IF(INDEX(ctaVinc,MATCH(K2285,ctaNombre,0))&amp;""&lt;&gt;"",INDEX(ctaVinc,MATCH(K2285,ctaNombre,0))&amp;"",K2285),K2285))</f>
        <v/>
      </c>
      <c r="AD2285" s="52">
        <f>IF(AB2285="","",IFERROR(INDEX(ctaTipo,MATCH(AB2285,ctaNombre,0))&amp;"",""))</f>
        <v/>
      </c>
      <c r="AE2285" s="52">
        <f>IF(AC2285="","",IFERROR(INDEX(ctaTipo,MATCH(AC2285,ctaNombre,0))&amp;"",""))</f>
        <v/>
      </c>
      <c r="AF2285" s="53">
        <f>IF(OR(P2285="",AB2285=""),"",IF(OR(P2285="Gasto",P2285="Transferencia",P2285="Pago tarjeta"),-1,1)*IF(IFERROR(INDEX(ctaMoneda,MATCH(AB2285,ctaNombre,0))&amp;"","DOP")="USD",T2285,S2285))</f>
        <v/>
      </c>
      <c r="AG2285" s="53">
        <f>IF(AC2285="","",IF(IFERROR(INDEX(ctaMoneda,MATCH(AC2285,ctaNombre,0))&amp;"","DOP")="USD",T2285,S2285))</f>
        <v/>
      </c>
      <c r="AH2285" s="53">
        <f>IF(P2285="","",IF(AND(AD2285&lt;&gt;"",COUNTIFS(tcTipo,AD2285,tcLiq,"Sí")&gt;0),IF(OR(P2285="Gasto",P2285="Transferencia",P2285="Pago tarjeta"),-1,1)*S2285,0)+IF(AND(AE2285&lt;&gt;"",COUNTIFS(tcTipo,AE2285,tcLiq,"Sí")&gt;0),S2285,0))</f>
        <v/>
      </c>
      <c r="AI2285" s="52">
        <f>IF(OR(L2285="",P2285=""),"",IF(COUNTIFS(L$6:L2285,L2285,P$6:P2285,"?*")=1,MAX(AI$5:AI2284)+1,""))</f>
        <v/>
      </c>
    </row>
    <row r="2286">
      <c r="B2286" s="47" t="n"/>
      <c r="C2286" s="48" t="n"/>
      <c r="D2286" s="48" t="n"/>
      <c r="E2286" s="48" t="n"/>
      <c r="F2286" s="48" t="n"/>
      <c r="G2286" s="49" t="n"/>
      <c r="H2286" s="48" t="n"/>
      <c r="I2286" s="50" t="n"/>
      <c r="J2286" s="48" t="n"/>
      <c r="K2286" s="48" t="n"/>
      <c r="L2286" s="48" t="n"/>
      <c r="M2286" s="48" t="n"/>
      <c r="N2286" s="48" t="n"/>
      <c r="O2286" s="51">
        <f>IF(AND(B2286="",G2286="",C2286="",D2286="",J2286=""),"",IF(B2286="","⚠ Falta fecha",IF(G2286="","⚠ Falta monto",IF(Q2286="","⚠ Falta cuenta",IF(ISNA(MATCH(Q2286,ctaNombre,0)),"⚠ Cuenta no registrada",IF(AND(OR(P2286="Gasto",P2286="Reembolso"),D2286=""),"⚠ Falta categoría",IF(AND(D2286&lt;&gt;"",E2286&lt;&gt;"",ISNA(MATCH(D2286&amp;"|"&amp;E2286,catClave,0))),"⚠ Subcategoría no corresponde",IF(AND(OR(P2286="Transferencia",P2286="Pago tarjeta"),K2286=""),"⚠ Falta cuenta destino",IF(AND(K2286&lt;&gt;"",P2286&lt;&gt;"Transferencia",P2286&lt;&gt;"Pago tarjeta"),"⚠ Destino solo aplica a transferencias",IF(AND(K2286&lt;&gt;"",K2286=Q2286),"⚠ Origen igual a destino",IF(AND(K2286&lt;&gt;"",ISNA(MATCH(K2286,ctaNombre,0))),"⚠ Destino no registrado",IF(AND(P2286="Pago tarjeta",AE2286&lt;&gt;"Tarjeta de crédito"),"⚠ El destino debe ser tarjeta de crédito",IF(AND(P2286="Gasto",E2286="Depósitos y retiros"),"⚠ Usa tipo Transferencia",IF(AND(P2286="Resultado trading",AD2286&lt;&gt;"Cuenta de trading"),"⚠ Usa una cuenta de trading",IF(AND(G2286&lt;=0,P2286&lt;&gt;"Ajuste",P2286&lt;&gt;"Resultado trading"),"⚠ El monto debe ser positivo","✓")))))))))))))))</f>
        <v/>
      </c>
      <c r="P2286" s="52">
        <f>IF(OR(B2286="",G2286=""),"",IF(C2286="","Gasto",C2286))</f>
        <v/>
      </c>
      <c r="Q2286" s="52">
        <f>IF(P2286="","",IF(J2286&lt;&gt;"",J2286,CuentaPred&amp;""))</f>
        <v/>
      </c>
      <c r="R2286" s="52">
        <f>IF(P2286="","",IF(ISNUMBER(I2286),I2286,TasaUSD))</f>
        <v/>
      </c>
      <c r="S2286" s="53">
        <f>IF(P2286="","",IF(H2286="USD",G2286*R2286,G2286))</f>
        <v/>
      </c>
      <c r="T2286" s="53">
        <f>IF(P2286="","",IF(H2286="USD",G2286,IF(R2286&gt;0,G2286/R2286,0)))</f>
        <v/>
      </c>
      <c r="U2286" s="53">
        <f>IF(P2286="","",IF(P2286="Gasto",S2286,IF(P2286="Reembolso",-S2286,0)))</f>
        <v/>
      </c>
      <c r="V2286" s="53">
        <f>IF(P2286="","",IF(P2286="Ingreso",S2286,0))</f>
        <v/>
      </c>
      <c r="W2286" s="53">
        <f>IF(P2286="","",IF(P2286="Resultado trading",S2286,0))</f>
        <v/>
      </c>
      <c r="X2286" s="52">
        <f>IF(OR(P2286="Gasto",P2286="Reembolso"),IF(M2286&lt;&gt;"",M2286,IFERROR(INDEX(catClasif,MATCH(D2286&amp;"|"&amp;E2286,catClave,0))&amp;"","Variable")),"")</f>
        <v/>
      </c>
      <c r="Y2286" s="52">
        <f>IF(P2286="","",IFERROR(INDEX(catGrupo,MATCH(D2286&amp;"|"&amp;E2286,catClave,0))&amp;"",""))</f>
        <v/>
      </c>
      <c r="Z2286" s="52">
        <f>IF(P2286="","",WEEKDAY(B2286,2))</f>
        <v/>
      </c>
      <c r="AA2286" s="52">
        <f>IF(P2286="","",IF(AND(P2286="Gasto",X2286="Variable",D2286&lt;&gt;catTrading,S2286&gt;0,S2286&lt;=Umbral),1,0))</f>
        <v/>
      </c>
      <c r="AB2286" s="52">
        <f>IF(OR(P2286="",Q2286=""),"",IFERROR(IF(INDEX(ctaVinc,MATCH(Q2286,ctaNombre,0))&amp;""&lt;&gt;"",INDEX(ctaVinc,MATCH(Q2286,ctaNombre,0))&amp;"",Q2286),Q2286))</f>
        <v/>
      </c>
      <c r="AC2286" s="52">
        <f>IF(OR(K2286="",AND(P2286&lt;&gt;"Transferencia",P2286&lt;&gt;"Pago tarjeta")),"",IFERROR(IF(INDEX(ctaVinc,MATCH(K2286,ctaNombre,0))&amp;""&lt;&gt;"",INDEX(ctaVinc,MATCH(K2286,ctaNombre,0))&amp;"",K2286),K2286))</f>
        <v/>
      </c>
      <c r="AD2286" s="52">
        <f>IF(AB2286="","",IFERROR(INDEX(ctaTipo,MATCH(AB2286,ctaNombre,0))&amp;"",""))</f>
        <v/>
      </c>
      <c r="AE2286" s="52">
        <f>IF(AC2286="","",IFERROR(INDEX(ctaTipo,MATCH(AC2286,ctaNombre,0))&amp;"",""))</f>
        <v/>
      </c>
      <c r="AF2286" s="53">
        <f>IF(OR(P2286="",AB2286=""),"",IF(OR(P2286="Gasto",P2286="Transferencia",P2286="Pago tarjeta"),-1,1)*IF(IFERROR(INDEX(ctaMoneda,MATCH(AB2286,ctaNombre,0))&amp;"","DOP")="USD",T2286,S2286))</f>
        <v/>
      </c>
      <c r="AG2286" s="53">
        <f>IF(AC2286="","",IF(IFERROR(INDEX(ctaMoneda,MATCH(AC2286,ctaNombre,0))&amp;"","DOP")="USD",T2286,S2286))</f>
        <v/>
      </c>
      <c r="AH2286" s="53">
        <f>IF(P2286="","",IF(AND(AD2286&lt;&gt;"",COUNTIFS(tcTipo,AD2286,tcLiq,"Sí")&gt;0),IF(OR(P2286="Gasto",P2286="Transferencia",P2286="Pago tarjeta"),-1,1)*S2286,0)+IF(AND(AE2286&lt;&gt;"",COUNTIFS(tcTipo,AE2286,tcLiq,"Sí")&gt;0),S2286,0))</f>
        <v/>
      </c>
      <c r="AI2286" s="52">
        <f>IF(OR(L2286="",P2286=""),"",IF(COUNTIFS(L$6:L2286,L2286,P$6:P2286,"?*")=1,MAX(AI$5:AI2285)+1,""))</f>
        <v/>
      </c>
    </row>
    <row r="2287">
      <c r="B2287" s="47" t="n"/>
      <c r="C2287" s="48" t="n"/>
      <c r="D2287" s="48" t="n"/>
      <c r="E2287" s="48" t="n"/>
      <c r="F2287" s="48" t="n"/>
      <c r="G2287" s="49" t="n"/>
      <c r="H2287" s="48" t="n"/>
      <c r="I2287" s="50" t="n"/>
      <c r="J2287" s="48" t="n"/>
      <c r="K2287" s="48" t="n"/>
      <c r="L2287" s="48" t="n"/>
      <c r="M2287" s="48" t="n"/>
      <c r="N2287" s="48" t="n"/>
      <c r="O2287" s="51">
        <f>IF(AND(B2287="",G2287="",C2287="",D2287="",J2287=""),"",IF(B2287="","⚠ Falta fecha",IF(G2287="","⚠ Falta monto",IF(Q2287="","⚠ Falta cuenta",IF(ISNA(MATCH(Q2287,ctaNombre,0)),"⚠ Cuenta no registrada",IF(AND(OR(P2287="Gasto",P2287="Reembolso"),D2287=""),"⚠ Falta categoría",IF(AND(D2287&lt;&gt;"",E2287&lt;&gt;"",ISNA(MATCH(D2287&amp;"|"&amp;E2287,catClave,0))),"⚠ Subcategoría no corresponde",IF(AND(OR(P2287="Transferencia",P2287="Pago tarjeta"),K2287=""),"⚠ Falta cuenta destino",IF(AND(K2287&lt;&gt;"",P2287&lt;&gt;"Transferencia",P2287&lt;&gt;"Pago tarjeta"),"⚠ Destino solo aplica a transferencias",IF(AND(K2287&lt;&gt;"",K2287=Q2287),"⚠ Origen igual a destino",IF(AND(K2287&lt;&gt;"",ISNA(MATCH(K2287,ctaNombre,0))),"⚠ Destino no registrado",IF(AND(P2287="Pago tarjeta",AE2287&lt;&gt;"Tarjeta de crédito"),"⚠ El destino debe ser tarjeta de crédito",IF(AND(P2287="Gasto",E2287="Depósitos y retiros"),"⚠ Usa tipo Transferencia",IF(AND(P2287="Resultado trading",AD2287&lt;&gt;"Cuenta de trading"),"⚠ Usa una cuenta de trading",IF(AND(G2287&lt;=0,P2287&lt;&gt;"Ajuste",P2287&lt;&gt;"Resultado trading"),"⚠ El monto debe ser positivo","✓")))))))))))))))</f>
        <v/>
      </c>
      <c r="P2287" s="52">
        <f>IF(OR(B2287="",G2287=""),"",IF(C2287="","Gasto",C2287))</f>
        <v/>
      </c>
      <c r="Q2287" s="52">
        <f>IF(P2287="","",IF(J2287&lt;&gt;"",J2287,CuentaPred&amp;""))</f>
        <v/>
      </c>
      <c r="R2287" s="52">
        <f>IF(P2287="","",IF(ISNUMBER(I2287),I2287,TasaUSD))</f>
        <v/>
      </c>
      <c r="S2287" s="53">
        <f>IF(P2287="","",IF(H2287="USD",G2287*R2287,G2287))</f>
        <v/>
      </c>
      <c r="T2287" s="53">
        <f>IF(P2287="","",IF(H2287="USD",G2287,IF(R2287&gt;0,G2287/R2287,0)))</f>
        <v/>
      </c>
      <c r="U2287" s="53">
        <f>IF(P2287="","",IF(P2287="Gasto",S2287,IF(P2287="Reembolso",-S2287,0)))</f>
        <v/>
      </c>
      <c r="V2287" s="53">
        <f>IF(P2287="","",IF(P2287="Ingreso",S2287,0))</f>
        <v/>
      </c>
      <c r="W2287" s="53">
        <f>IF(P2287="","",IF(P2287="Resultado trading",S2287,0))</f>
        <v/>
      </c>
      <c r="X2287" s="52">
        <f>IF(OR(P2287="Gasto",P2287="Reembolso"),IF(M2287&lt;&gt;"",M2287,IFERROR(INDEX(catClasif,MATCH(D2287&amp;"|"&amp;E2287,catClave,0))&amp;"","Variable")),"")</f>
        <v/>
      </c>
      <c r="Y2287" s="52">
        <f>IF(P2287="","",IFERROR(INDEX(catGrupo,MATCH(D2287&amp;"|"&amp;E2287,catClave,0))&amp;"",""))</f>
        <v/>
      </c>
      <c r="Z2287" s="52">
        <f>IF(P2287="","",WEEKDAY(B2287,2))</f>
        <v/>
      </c>
      <c r="AA2287" s="52">
        <f>IF(P2287="","",IF(AND(P2287="Gasto",X2287="Variable",D2287&lt;&gt;catTrading,S2287&gt;0,S2287&lt;=Umbral),1,0))</f>
        <v/>
      </c>
      <c r="AB2287" s="52">
        <f>IF(OR(P2287="",Q2287=""),"",IFERROR(IF(INDEX(ctaVinc,MATCH(Q2287,ctaNombre,0))&amp;""&lt;&gt;"",INDEX(ctaVinc,MATCH(Q2287,ctaNombre,0))&amp;"",Q2287),Q2287))</f>
        <v/>
      </c>
      <c r="AC2287" s="52">
        <f>IF(OR(K2287="",AND(P2287&lt;&gt;"Transferencia",P2287&lt;&gt;"Pago tarjeta")),"",IFERROR(IF(INDEX(ctaVinc,MATCH(K2287,ctaNombre,0))&amp;""&lt;&gt;"",INDEX(ctaVinc,MATCH(K2287,ctaNombre,0))&amp;"",K2287),K2287))</f>
        <v/>
      </c>
      <c r="AD2287" s="52">
        <f>IF(AB2287="","",IFERROR(INDEX(ctaTipo,MATCH(AB2287,ctaNombre,0))&amp;"",""))</f>
        <v/>
      </c>
      <c r="AE2287" s="52">
        <f>IF(AC2287="","",IFERROR(INDEX(ctaTipo,MATCH(AC2287,ctaNombre,0))&amp;"",""))</f>
        <v/>
      </c>
      <c r="AF2287" s="53">
        <f>IF(OR(P2287="",AB2287=""),"",IF(OR(P2287="Gasto",P2287="Transferencia",P2287="Pago tarjeta"),-1,1)*IF(IFERROR(INDEX(ctaMoneda,MATCH(AB2287,ctaNombre,0))&amp;"","DOP")="USD",T2287,S2287))</f>
        <v/>
      </c>
      <c r="AG2287" s="53">
        <f>IF(AC2287="","",IF(IFERROR(INDEX(ctaMoneda,MATCH(AC2287,ctaNombre,0))&amp;"","DOP")="USD",T2287,S2287))</f>
        <v/>
      </c>
      <c r="AH2287" s="53">
        <f>IF(P2287="","",IF(AND(AD2287&lt;&gt;"",COUNTIFS(tcTipo,AD2287,tcLiq,"Sí")&gt;0),IF(OR(P2287="Gasto",P2287="Transferencia",P2287="Pago tarjeta"),-1,1)*S2287,0)+IF(AND(AE2287&lt;&gt;"",COUNTIFS(tcTipo,AE2287,tcLiq,"Sí")&gt;0),S2287,0))</f>
        <v/>
      </c>
      <c r="AI2287" s="52">
        <f>IF(OR(L2287="",P2287=""),"",IF(COUNTIFS(L$6:L2287,L2287,P$6:P2287,"?*")=1,MAX(AI$5:AI2286)+1,""))</f>
        <v/>
      </c>
    </row>
    <row r="2288">
      <c r="B2288" s="47" t="n"/>
      <c r="C2288" s="48" t="n"/>
      <c r="D2288" s="48" t="n"/>
      <c r="E2288" s="48" t="n"/>
      <c r="F2288" s="48" t="n"/>
      <c r="G2288" s="49" t="n"/>
      <c r="H2288" s="48" t="n"/>
      <c r="I2288" s="50" t="n"/>
      <c r="J2288" s="48" t="n"/>
      <c r="K2288" s="48" t="n"/>
      <c r="L2288" s="48" t="n"/>
      <c r="M2288" s="48" t="n"/>
      <c r="N2288" s="48" t="n"/>
      <c r="O2288" s="51">
        <f>IF(AND(B2288="",G2288="",C2288="",D2288="",J2288=""),"",IF(B2288="","⚠ Falta fecha",IF(G2288="","⚠ Falta monto",IF(Q2288="","⚠ Falta cuenta",IF(ISNA(MATCH(Q2288,ctaNombre,0)),"⚠ Cuenta no registrada",IF(AND(OR(P2288="Gasto",P2288="Reembolso"),D2288=""),"⚠ Falta categoría",IF(AND(D2288&lt;&gt;"",E2288&lt;&gt;"",ISNA(MATCH(D2288&amp;"|"&amp;E2288,catClave,0))),"⚠ Subcategoría no corresponde",IF(AND(OR(P2288="Transferencia",P2288="Pago tarjeta"),K2288=""),"⚠ Falta cuenta destino",IF(AND(K2288&lt;&gt;"",P2288&lt;&gt;"Transferencia",P2288&lt;&gt;"Pago tarjeta"),"⚠ Destino solo aplica a transferencias",IF(AND(K2288&lt;&gt;"",K2288=Q2288),"⚠ Origen igual a destino",IF(AND(K2288&lt;&gt;"",ISNA(MATCH(K2288,ctaNombre,0))),"⚠ Destino no registrado",IF(AND(P2288="Pago tarjeta",AE2288&lt;&gt;"Tarjeta de crédito"),"⚠ El destino debe ser tarjeta de crédito",IF(AND(P2288="Gasto",E2288="Depósitos y retiros"),"⚠ Usa tipo Transferencia",IF(AND(P2288="Resultado trading",AD2288&lt;&gt;"Cuenta de trading"),"⚠ Usa una cuenta de trading",IF(AND(G2288&lt;=0,P2288&lt;&gt;"Ajuste",P2288&lt;&gt;"Resultado trading"),"⚠ El monto debe ser positivo","✓")))))))))))))))</f>
        <v/>
      </c>
      <c r="P2288" s="52">
        <f>IF(OR(B2288="",G2288=""),"",IF(C2288="","Gasto",C2288))</f>
        <v/>
      </c>
      <c r="Q2288" s="52">
        <f>IF(P2288="","",IF(J2288&lt;&gt;"",J2288,CuentaPred&amp;""))</f>
        <v/>
      </c>
      <c r="R2288" s="52">
        <f>IF(P2288="","",IF(ISNUMBER(I2288),I2288,TasaUSD))</f>
        <v/>
      </c>
      <c r="S2288" s="53">
        <f>IF(P2288="","",IF(H2288="USD",G2288*R2288,G2288))</f>
        <v/>
      </c>
      <c r="T2288" s="53">
        <f>IF(P2288="","",IF(H2288="USD",G2288,IF(R2288&gt;0,G2288/R2288,0)))</f>
        <v/>
      </c>
      <c r="U2288" s="53">
        <f>IF(P2288="","",IF(P2288="Gasto",S2288,IF(P2288="Reembolso",-S2288,0)))</f>
        <v/>
      </c>
      <c r="V2288" s="53">
        <f>IF(P2288="","",IF(P2288="Ingreso",S2288,0))</f>
        <v/>
      </c>
      <c r="W2288" s="53">
        <f>IF(P2288="","",IF(P2288="Resultado trading",S2288,0))</f>
        <v/>
      </c>
      <c r="X2288" s="52">
        <f>IF(OR(P2288="Gasto",P2288="Reembolso"),IF(M2288&lt;&gt;"",M2288,IFERROR(INDEX(catClasif,MATCH(D2288&amp;"|"&amp;E2288,catClave,0))&amp;"","Variable")),"")</f>
        <v/>
      </c>
      <c r="Y2288" s="52">
        <f>IF(P2288="","",IFERROR(INDEX(catGrupo,MATCH(D2288&amp;"|"&amp;E2288,catClave,0))&amp;"",""))</f>
        <v/>
      </c>
      <c r="Z2288" s="52">
        <f>IF(P2288="","",WEEKDAY(B2288,2))</f>
        <v/>
      </c>
      <c r="AA2288" s="52">
        <f>IF(P2288="","",IF(AND(P2288="Gasto",X2288="Variable",D2288&lt;&gt;catTrading,S2288&gt;0,S2288&lt;=Umbral),1,0))</f>
        <v/>
      </c>
      <c r="AB2288" s="52">
        <f>IF(OR(P2288="",Q2288=""),"",IFERROR(IF(INDEX(ctaVinc,MATCH(Q2288,ctaNombre,0))&amp;""&lt;&gt;"",INDEX(ctaVinc,MATCH(Q2288,ctaNombre,0))&amp;"",Q2288),Q2288))</f>
        <v/>
      </c>
      <c r="AC2288" s="52">
        <f>IF(OR(K2288="",AND(P2288&lt;&gt;"Transferencia",P2288&lt;&gt;"Pago tarjeta")),"",IFERROR(IF(INDEX(ctaVinc,MATCH(K2288,ctaNombre,0))&amp;""&lt;&gt;"",INDEX(ctaVinc,MATCH(K2288,ctaNombre,0))&amp;"",K2288),K2288))</f>
        <v/>
      </c>
      <c r="AD2288" s="52">
        <f>IF(AB2288="","",IFERROR(INDEX(ctaTipo,MATCH(AB2288,ctaNombre,0))&amp;"",""))</f>
        <v/>
      </c>
      <c r="AE2288" s="52">
        <f>IF(AC2288="","",IFERROR(INDEX(ctaTipo,MATCH(AC2288,ctaNombre,0))&amp;"",""))</f>
        <v/>
      </c>
      <c r="AF2288" s="53">
        <f>IF(OR(P2288="",AB2288=""),"",IF(OR(P2288="Gasto",P2288="Transferencia",P2288="Pago tarjeta"),-1,1)*IF(IFERROR(INDEX(ctaMoneda,MATCH(AB2288,ctaNombre,0))&amp;"","DOP")="USD",T2288,S2288))</f>
        <v/>
      </c>
      <c r="AG2288" s="53">
        <f>IF(AC2288="","",IF(IFERROR(INDEX(ctaMoneda,MATCH(AC2288,ctaNombre,0))&amp;"","DOP")="USD",T2288,S2288))</f>
        <v/>
      </c>
      <c r="AH2288" s="53">
        <f>IF(P2288="","",IF(AND(AD2288&lt;&gt;"",COUNTIFS(tcTipo,AD2288,tcLiq,"Sí")&gt;0),IF(OR(P2288="Gasto",P2288="Transferencia",P2288="Pago tarjeta"),-1,1)*S2288,0)+IF(AND(AE2288&lt;&gt;"",COUNTIFS(tcTipo,AE2288,tcLiq,"Sí")&gt;0),S2288,0))</f>
        <v/>
      </c>
      <c r="AI2288" s="52">
        <f>IF(OR(L2288="",P2288=""),"",IF(COUNTIFS(L$6:L2288,L2288,P$6:P2288,"?*")=1,MAX(AI$5:AI2287)+1,""))</f>
        <v/>
      </c>
    </row>
    <row r="2289">
      <c r="B2289" s="47" t="n"/>
      <c r="C2289" s="48" t="n"/>
      <c r="D2289" s="48" t="n"/>
      <c r="E2289" s="48" t="n"/>
      <c r="F2289" s="48" t="n"/>
      <c r="G2289" s="49" t="n"/>
      <c r="H2289" s="48" t="n"/>
      <c r="I2289" s="50" t="n"/>
      <c r="J2289" s="48" t="n"/>
      <c r="K2289" s="48" t="n"/>
      <c r="L2289" s="48" t="n"/>
      <c r="M2289" s="48" t="n"/>
      <c r="N2289" s="48" t="n"/>
      <c r="O2289" s="51">
        <f>IF(AND(B2289="",G2289="",C2289="",D2289="",J2289=""),"",IF(B2289="","⚠ Falta fecha",IF(G2289="","⚠ Falta monto",IF(Q2289="","⚠ Falta cuenta",IF(ISNA(MATCH(Q2289,ctaNombre,0)),"⚠ Cuenta no registrada",IF(AND(OR(P2289="Gasto",P2289="Reembolso"),D2289=""),"⚠ Falta categoría",IF(AND(D2289&lt;&gt;"",E2289&lt;&gt;"",ISNA(MATCH(D2289&amp;"|"&amp;E2289,catClave,0))),"⚠ Subcategoría no corresponde",IF(AND(OR(P2289="Transferencia",P2289="Pago tarjeta"),K2289=""),"⚠ Falta cuenta destino",IF(AND(K2289&lt;&gt;"",P2289&lt;&gt;"Transferencia",P2289&lt;&gt;"Pago tarjeta"),"⚠ Destino solo aplica a transferencias",IF(AND(K2289&lt;&gt;"",K2289=Q2289),"⚠ Origen igual a destino",IF(AND(K2289&lt;&gt;"",ISNA(MATCH(K2289,ctaNombre,0))),"⚠ Destino no registrado",IF(AND(P2289="Pago tarjeta",AE2289&lt;&gt;"Tarjeta de crédito"),"⚠ El destino debe ser tarjeta de crédito",IF(AND(P2289="Gasto",E2289="Depósitos y retiros"),"⚠ Usa tipo Transferencia",IF(AND(P2289="Resultado trading",AD2289&lt;&gt;"Cuenta de trading"),"⚠ Usa una cuenta de trading",IF(AND(G2289&lt;=0,P2289&lt;&gt;"Ajuste",P2289&lt;&gt;"Resultado trading"),"⚠ El monto debe ser positivo","✓")))))))))))))))</f>
        <v/>
      </c>
      <c r="P2289" s="52">
        <f>IF(OR(B2289="",G2289=""),"",IF(C2289="","Gasto",C2289))</f>
        <v/>
      </c>
      <c r="Q2289" s="52">
        <f>IF(P2289="","",IF(J2289&lt;&gt;"",J2289,CuentaPred&amp;""))</f>
        <v/>
      </c>
      <c r="R2289" s="52">
        <f>IF(P2289="","",IF(ISNUMBER(I2289),I2289,TasaUSD))</f>
        <v/>
      </c>
      <c r="S2289" s="53">
        <f>IF(P2289="","",IF(H2289="USD",G2289*R2289,G2289))</f>
        <v/>
      </c>
      <c r="T2289" s="53">
        <f>IF(P2289="","",IF(H2289="USD",G2289,IF(R2289&gt;0,G2289/R2289,0)))</f>
        <v/>
      </c>
      <c r="U2289" s="53">
        <f>IF(P2289="","",IF(P2289="Gasto",S2289,IF(P2289="Reembolso",-S2289,0)))</f>
        <v/>
      </c>
      <c r="V2289" s="53">
        <f>IF(P2289="","",IF(P2289="Ingreso",S2289,0))</f>
        <v/>
      </c>
      <c r="W2289" s="53">
        <f>IF(P2289="","",IF(P2289="Resultado trading",S2289,0))</f>
        <v/>
      </c>
      <c r="X2289" s="52">
        <f>IF(OR(P2289="Gasto",P2289="Reembolso"),IF(M2289&lt;&gt;"",M2289,IFERROR(INDEX(catClasif,MATCH(D2289&amp;"|"&amp;E2289,catClave,0))&amp;"","Variable")),"")</f>
        <v/>
      </c>
      <c r="Y2289" s="52">
        <f>IF(P2289="","",IFERROR(INDEX(catGrupo,MATCH(D2289&amp;"|"&amp;E2289,catClave,0))&amp;"",""))</f>
        <v/>
      </c>
      <c r="Z2289" s="52">
        <f>IF(P2289="","",WEEKDAY(B2289,2))</f>
        <v/>
      </c>
      <c r="AA2289" s="52">
        <f>IF(P2289="","",IF(AND(P2289="Gasto",X2289="Variable",D2289&lt;&gt;catTrading,S2289&gt;0,S2289&lt;=Umbral),1,0))</f>
        <v/>
      </c>
      <c r="AB2289" s="52">
        <f>IF(OR(P2289="",Q2289=""),"",IFERROR(IF(INDEX(ctaVinc,MATCH(Q2289,ctaNombre,0))&amp;""&lt;&gt;"",INDEX(ctaVinc,MATCH(Q2289,ctaNombre,0))&amp;"",Q2289),Q2289))</f>
        <v/>
      </c>
      <c r="AC2289" s="52">
        <f>IF(OR(K2289="",AND(P2289&lt;&gt;"Transferencia",P2289&lt;&gt;"Pago tarjeta")),"",IFERROR(IF(INDEX(ctaVinc,MATCH(K2289,ctaNombre,0))&amp;""&lt;&gt;"",INDEX(ctaVinc,MATCH(K2289,ctaNombre,0))&amp;"",K2289),K2289))</f>
        <v/>
      </c>
      <c r="AD2289" s="52">
        <f>IF(AB2289="","",IFERROR(INDEX(ctaTipo,MATCH(AB2289,ctaNombre,0))&amp;"",""))</f>
        <v/>
      </c>
      <c r="AE2289" s="52">
        <f>IF(AC2289="","",IFERROR(INDEX(ctaTipo,MATCH(AC2289,ctaNombre,0))&amp;"",""))</f>
        <v/>
      </c>
      <c r="AF2289" s="53">
        <f>IF(OR(P2289="",AB2289=""),"",IF(OR(P2289="Gasto",P2289="Transferencia",P2289="Pago tarjeta"),-1,1)*IF(IFERROR(INDEX(ctaMoneda,MATCH(AB2289,ctaNombre,0))&amp;"","DOP")="USD",T2289,S2289))</f>
        <v/>
      </c>
      <c r="AG2289" s="53">
        <f>IF(AC2289="","",IF(IFERROR(INDEX(ctaMoneda,MATCH(AC2289,ctaNombre,0))&amp;"","DOP")="USD",T2289,S2289))</f>
        <v/>
      </c>
      <c r="AH2289" s="53">
        <f>IF(P2289="","",IF(AND(AD2289&lt;&gt;"",COUNTIFS(tcTipo,AD2289,tcLiq,"Sí")&gt;0),IF(OR(P2289="Gasto",P2289="Transferencia",P2289="Pago tarjeta"),-1,1)*S2289,0)+IF(AND(AE2289&lt;&gt;"",COUNTIFS(tcTipo,AE2289,tcLiq,"Sí")&gt;0),S2289,0))</f>
        <v/>
      </c>
      <c r="AI2289" s="52">
        <f>IF(OR(L2289="",P2289=""),"",IF(COUNTIFS(L$6:L2289,L2289,P$6:P2289,"?*")=1,MAX(AI$5:AI2288)+1,""))</f>
        <v/>
      </c>
    </row>
    <row r="2290">
      <c r="B2290" s="47" t="n"/>
      <c r="C2290" s="48" t="n"/>
      <c r="D2290" s="48" t="n"/>
      <c r="E2290" s="48" t="n"/>
      <c r="F2290" s="48" t="n"/>
      <c r="G2290" s="49" t="n"/>
      <c r="H2290" s="48" t="n"/>
      <c r="I2290" s="50" t="n"/>
      <c r="J2290" s="48" t="n"/>
      <c r="K2290" s="48" t="n"/>
      <c r="L2290" s="48" t="n"/>
      <c r="M2290" s="48" t="n"/>
      <c r="N2290" s="48" t="n"/>
      <c r="O2290" s="51">
        <f>IF(AND(B2290="",G2290="",C2290="",D2290="",J2290=""),"",IF(B2290="","⚠ Falta fecha",IF(G2290="","⚠ Falta monto",IF(Q2290="","⚠ Falta cuenta",IF(ISNA(MATCH(Q2290,ctaNombre,0)),"⚠ Cuenta no registrada",IF(AND(OR(P2290="Gasto",P2290="Reembolso"),D2290=""),"⚠ Falta categoría",IF(AND(D2290&lt;&gt;"",E2290&lt;&gt;"",ISNA(MATCH(D2290&amp;"|"&amp;E2290,catClave,0))),"⚠ Subcategoría no corresponde",IF(AND(OR(P2290="Transferencia",P2290="Pago tarjeta"),K2290=""),"⚠ Falta cuenta destino",IF(AND(K2290&lt;&gt;"",P2290&lt;&gt;"Transferencia",P2290&lt;&gt;"Pago tarjeta"),"⚠ Destino solo aplica a transferencias",IF(AND(K2290&lt;&gt;"",K2290=Q2290),"⚠ Origen igual a destino",IF(AND(K2290&lt;&gt;"",ISNA(MATCH(K2290,ctaNombre,0))),"⚠ Destino no registrado",IF(AND(P2290="Pago tarjeta",AE2290&lt;&gt;"Tarjeta de crédito"),"⚠ El destino debe ser tarjeta de crédito",IF(AND(P2290="Gasto",E2290="Depósitos y retiros"),"⚠ Usa tipo Transferencia",IF(AND(P2290="Resultado trading",AD2290&lt;&gt;"Cuenta de trading"),"⚠ Usa una cuenta de trading",IF(AND(G2290&lt;=0,P2290&lt;&gt;"Ajuste",P2290&lt;&gt;"Resultado trading"),"⚠ El monto debe ser positivo","✓")))))))))))))))</f>
        <v/>
      </c>
      <c r="P2290" s="52">
        <f>IF(OR(B2290="",G2290=""),"",IF(C2290="","Gasto",C2290))</f>
        <v/>
      </c>
      <c r="Q2290" s="52">
        <f>IF(P2290="","",IF(J2290&lt;&gt;"",J2290,CuentaPred&amp;""))</f>
        <v/>
      </c>
      <c r="R2290" s="52">
        <f>IF(P2290="","",IF(ISNUMBER(I2290),I2290,TasaUSD))</f>
        <v/>
      </c>
      <c r="S2290" s="53">
        <f>IF(P2290="","",IF(H2290="USD",G2290*R2290,G2290))</f>
        <v/>
      </c>
      <c r="T2290" s="53">
        <f>IF(P2290="","",IF(H2290="USD",G2290,IF(R2290&gt;0,G2290/R2290,0)))</f>
        <v/>
      </c>
      <c r="U2290" s="53">
        <f>IF(P2290="","",IF(P2290="Gasto",S2290,IF(P2290="Reembolso",-S2290,0)))</f>
        <v/>
      </c>
      <c r="V2290" s="53">
        <f>IF(P2290="","",IF(P2290="Ingreso",S2290,0))</f>
        <v/>
      </c>
      <c r="W2290" s="53">
        <f>IF(P2290="","",IF(P2290="Resultado trading",S2290,0))</f>
        <v/>
      </c>
      <c r="X2290" s="52">
        <f>IF(OR(P2290="Gasto",P2290="Reembolso"),IF(M2290&lt;&gt;"",M2290,IFERROR(INDEX(catClasif,MATCH(D2290&amp;"|"&amp;E2290,catClave,0))&amp;"","Variable")),"")</f>
        <v/>
      </c>
      <c r="Y2290" s="52">
        <f>IF(P2290="","",IFERROR(INDEX(catGrupo,MATCH(D2290&amp;"|"&amp;E2290,catClave,0))&amp;"",""))</f>
        <v/>
      </c>
      <c r="Z2290" s="52">
        <f>IF(P2290="","",WEEKDAY(B2290,2))</f>
        <v/>
      </c>
      <c r="AA2290" s="52">
        <f>IF(P2290="","",IF(AND(P2290="Gasto",X2290="Variable",D2290&lt;&gt;catTrading,S2290&gt;0,S2290&lt;=Umbral),1,0))</f>
        <v/>
      </c>
      <c r="AB2290" s="52">
        <f>IF(OR(P2290="",Q2290=""),"",IFERROR(IF(INDEX(ctaVinc,MATCH(Q2290,ctaNombre,0))&amp;""&lt;&gt;"",INDEX(ctaVinc,MATCH(Q2290,ctaNombre,0))&amp;"",Q2290),Q2290))</f>
        <v/>
      </c>
      <c r="AC2290" s="52">
        <f>IF(OR(K2290="",AND(P2290&lt;&gt;"Transferencia",P2290&lt;&gt;"Pago tarjeta")),"",IFERROR(IF(INDEX(ctaVinc,MATCH(K2290,ctaNombre,0))&amp;""&lt;&gt;"",INDEX(ctaVinc,MATCH(K2290,ctaNombre,0))&amp;"",K2290),K2290))</f>
        <v/>
      </c>
      <c r="AD2290" s="52">
        <f>IF(AB2290="","",IFERROR(INDEX(ctaTipo,MATCH(AB2290,ctaNombre,0))&amp;"",""))</f>
        <v/>
      </c>
      <c r="AE2290" s="52">
        <f>IF(AC2290="","",IFERROR(INDEX(ctaTipo,MATCH(AC2290,ctaNombre,0))&amp;"",""))</f>
        <v/>
      </c>
      <c r="AF2290" s="53">
        <f>IF(OR(P2290="",AB2290=""),"",IF(OR(P2290="Gasto",P2290="Transferencia",P2290="Pago tarjeta"),-1,1)*IF(IFERROR(INDEX(ctaMoneda,MATCH(AB2290,ctaNombre,0))&amp;"","DOP")="USD",T2290,S2290))</f>
        <v/>
      </c>
      <c r="AG2290" s="53">
        <f>IF(AC2290="","",IF(IFERROR(INDEX(ctaMoneda,MATCH(AC2290,ctaNombre,0))&amp;"","DOP")="USD",T2290,S2290))</f>
        <v/>
      </c>
      <c r="AH2290" s="53">
        <f>IF(P2290="","",IF(AND(AD2290&lt;&gt;"",COUNTIFS(tcTipo,AD2290,tcLiq,"Sí")&gt;0),IF(OR(P2290="Gasto",P2290="Transferencia",P2290="Pago tarjeta"),-1,1)*S2290,0)+IF(AND(AE2290&lt;&gt;"",COUNTIFS(tcTipo,AE2290,tcLiq,"Sí")&gt;0),S2290,0))</f>
        <v/>
      </c>
      <c r="AI2290" s="52">
        <f>IF(OR(L2290="",P2290=""),"",IF(COUNTIFS(L$6:L2290,L2290,P$6:P2290,"?*")=1,MAX(AI$5:AI2289)+1,""))</f>
        <v/>
      </c>
    </row>
    <row r="2291">
      <c r="B2291" s="47" t="n"/>
      <c r="C2291" s="48" t="n"/>
      <c r="D2291" s="48" t="n"/>
      <c r="E2291" s="48" t="n"/>
      <c r="F2291" s="48" t="n"/>
      <c r="G2291" s="49" t="n"/>
      <c r="H2291" s="48" t="n"/>
      <c r="I2291" s="50" t="n"/>
      <c r="J2291" s="48" t="n"/>
      <c r="K2291" s="48" t="n"/>
      <c r="L2291" s="48" t="n"/>
      <c r="M2291" s="48" t="n"/>
      <c r="N2291" s="48" t="n"/>
      <c r="O2291" s="51">
        <f>IF(AND(B2291="",G2291="",C2291="",D2291="",J2291=""),"",IF(B2291="","⚠ Falta fecha",IF(G2291="","⚠ Falta monto",IF(Q2291="","⚠ Falta cuenta",IF(ISNA(MATCH(Q2291,ctaNombre,0)),"⚠ Cuenta no registrada",IF(AND(OR(P2291="Gasto",P2291="Reembolso"),D2291=""),"⚠ Falta categoría",IF(AND(D2291&lt;&gt;"",E2291&lt;&gt;"",ISNA(MATCH(D2291&amp;"|"&amp;E2291,catClave,0))),"⚠ Subcategoría no corresponde",IF(AND(OR(P2291="Transferencia",P2291="Pago tarjeta"),K2291=""),"⚠ Falta cuenta destino",IF(AND(K2291&lt;&gt;"",P2291&lt;&gt;"Transferencia",P2291&lt;&gt;"Pago tarjeta"),"⚠ Destino solo aplica a transferencias",IF(AND(K2291&lt;&gt;"",K2291=Q2291),"⚠ Origen igual a destino",IF(AND(K2291&lt;&gt;"",ISNA(MATCH(K2291,ctaNombre,0))),"⚠ Destino no registrado",IF(AND(P2291="Pago tarjeta",AE2291&lt;&gt;"Tarjeta de crédito"),"⚠ El destino debe ser tarjeta de crédito",IF(AND(P2291="Gasto",E2291="Depósitos y retiros"),"⚠ Usa tipo Transferencia",IF(AND(P2291="Resultado trading",AD2291&lt;&gt;"Cuenta de trading"),"⚠ Usa una cuenta de trading",IF(AND(G2291&lt;=0,P2291&lt;&gt;"Ajuste",P2291&lt;&gt;"Resultado trading"),"⚠ El monto debe ser positivo","✓")))))))))))))))</f>
        <v/>
      </c>
      <c r="P2291" s="52">
        <f>IF(OR(B2291="",G2291=""),"",IF(C2291="","Gasto",C2291))</f>
        <v/>
      </c>
      <c r="Q2291" s="52">
        <f>IF(P2291="","",IF(J2291&lt;&gt;"",J2291,CuentaPred&amp;""))</f>
        <v/>
      </c>
      <c r="R2291" s="52">
        <f>IF(P2291="","",IF(ISNUMBER(I2291),I2291,TasaUSD))</f>
        <v/>
      </c>
      <c r="S2291" s="53">
        <f>IF(P2291="","",IF(H2291="USD",G2291*R2291,G2291))</f>
        <v/>
      </c>
      <c r="T2291" s="53">
        <f>IF(P2291="","",IF(H2291="USD",G2291,IF(R2291&gt;0,G2291/R2291,0)))</f>
        <v/>
      </c>
      <c r="U2291" s="53">
        <f>IF(P2291="","",IF(P2291="Gasto",S2291,IF(P2291="Reembolso",-S2291,0)))</f>
        <v/>
      </c>
      <c r="V2291" s="53">
        <f>IF(P2291="","",IF(P2291="Ingreso",S2291,0))</f>
        <v/>
      </c>
      <c r="W2291" s="53">
        <f>IF(P2291="","",IF(P2291="Resultado trading",S2291,0))</f>
        <v/>
      </c>
      <c r="X2291" s="52">
        <f>IF(OR(P2291="Gasto",P2291="Reembolso"),IF(M2291&lt;&gt;"",M2291,IFERROR(INDEX(catClasif,MATCH(D2291&amp;"|"&amp;E2291,catClave,0))&amp;"","Variable")),"")</f>
        <v/>
      </c>
      <c r="Y2291" s="52">
        <f>IF(P2291="","",IFERROR(INDEX(catGrupo,MATCH(D2291&amp;"|"&amp;E2291,catClave,0))&amp;"",""))</f>
        <v/>
      </c>
      <c r="Z2291" s="52">
        <f>IF(P2291="","",WEEKDAY(B2291,2))</f>
        <v/>
      </c>
      <c r="AA2291" s="52">
        <f>IF(P2291="","",IF(AND(P2291="Gasto",X2291="Variable",D2291&lt;&gt;catTrading,S2291&gt;0,S2291&lt;=Umbral),1,0))</f>
        <v/>
      </c>
      <c r="AB2291" s="52">
        <f>IF(OR(P2291="",Q2291=""),"",IFERROR(IF(INDEX(ctaVinc,MATCH(Q2291,ctaNombre,0))&amp;""&lt;&gt;"",INDEX(ctaVinc,MATCH(Q2291,ctaNombre,0))&amp;"",Q2291),Q2291))</f>
        <v/>
      </c>
      <c r="AC2291" s="52">
        <f>IF(OR(K2291="",AND(P2291&lt;&gt;"Transferencia",P2291&lt;&gt;"Pago tarjeta")),"",IFERROR(IF(INDEX(ctaVinc,MATCH(K2291,ctaNombre,0))&amp;""&lt;&gt;"",INDEX(ctaVinc,MATCH(K2291,ctaNombre,0))&amp;"",K2291),K2291))</f>
        <v/>
      </c>
      <c r="AD2291" s="52">
        <f>IF(AB2291="","",IFERROR(INDEX(ctaTipo,MATCH(AB2291,ctaNombre,0))&amp;"",""))</f>
        <v/>
      </c>
      <c r="AE2291" s="52">
        <f>IF(AC2291="","",IFERROR(INDEX(ctaTipo,MATCH(AC2291,ctaNombre,0))&amp;"",""))</f>
        <v/>
      </c>
      <c r="AF2291" s="53">
        <f>IF(OR(P2291="",AB2291=""),"",IF(OR(P2291="Gasto",P2291="Transferencia",P2291="Pago tarjeta"),-1,1)*IF(IFERROR(INDEX(ctaMoneda,MATCH(AB2291,ctaNombre,0))&amp;"","DOP")="USD",T2291,S2291))</f>
        <v/>
      </c>
      <c r="AG2291" s="53">
        <f>IF(AC2291="","",IF(IFERROR(INDEX(ctaMoneda,MATCH(AC2291,ctaNombre,0))&amp;"","DOP")="USD",T2291,S2291))</f>
        <v/>
      </c>
      <c r="AH2291" s="53">
        <f>IF(P2291="","",IF(AND(AD2291&lt;&gt;"",COUNTIFS(tcTipo,AD2291,tcLiq,"Sí")&gt;0),IF(OR(P2291="Gasto",P2291="Transferencia",P2291="Pago tarjeta"),-1,1)*S2291,0)+IF(AND(AE2291&lt;&gt;"",COUNTIFS(tcTipo,AE2291,tcLiq,"Sí")&gt;0),S2291,0))</f>
        <v/>
      </c>
      <c r="AI2291" s="52">
        <f>IF(OR(L2291="",P2291=""),"",IF(COUNTIFS(L$6:L2291,L2291,P$6:P2291,"?*")=1,MAX(AI$5:AI2290)+1,""))</f>
        <v/>
      </c>
    </row>
    <row r="2292">
      <c r="B2292" s="47" t="n"/>
      <c r="C2292" s="48" t="n"/>
      <c r="D2292" s="48" t="n"/>
      <c r="E2292" s="48" t="n"/>
      <c r="F2292" s="48" t="n"/>
      <c r="G2292" s="49" t="n"/>
      <c r="H2292" s="48" t="n"/>
      <c r="I2292" s="50" t="n"/>
      <c r="J2292" s="48" t="n"/>
      <c r="K2292" s="48" t="n"/>
      <c r="L2292" s="48" t="n"/>
      <c r="M2292" s="48" t="n"/>
      <c r="N2292" s="48" t="n"/>
      <c r="O2292" s="51">
        <f>IF(AND(B2292="",G2292="",C2292="",D2292="",J2292=""),"",IF(B2292="","⚠ Falta fecha",IF(G2292="","⚠ Falta monto",IF(Q2292="","⚠ Falta cuenta",IF(ISNA(MATCH(Q2292,ctaNombre,0)),"⚠ Cuenta no registrada",IF(AND(OR(P2292="Gasto",P2292="Reembolso"),D2292=""),"⚠ Falta categoría",IF(AND(D2292&lt;&gt;"",E2292&lt;&gt;"",ISNA(MATCH(D2292&amp;"|"&amp;E2292,catClave,0))),"⚠ Subcategoría no corresponde",IF(AND(OR(P2292="Transferencia",P2292="Pago tarjeta"),K2292=""),"⚠ Falta cuenta destino",IF(AND(K2292&lt;&gt;"",P2292&lt;&gt;"Transferencia",P2292&lt;&gt;"Pago tarjeta"),"⚠ Destino solo aplica a transferencias",IF(AND(K2292&lt;&gt;"",K2292=Q2292),"⚠ Origen igual a destino",IF(AND(K2292&lt;&gt;"",ISNA(MATCH(K2292,ctaNombre,0))),"⚠ Destino no registrado",IF(AND(P2292="Pago tarjeta",AE2292&lt;&gt;"Tarjeta de crédito"),"⚠ El destino debe ser tarjeta de crédito",IF(AND(P2292="Gasto",E2292="Depósitos y retiros"),"⚠ Usa tipo Transferencia",IF(AND(P2292="Resultado trading",AD2292&lt;&gt;"Cuenta de trading"),"⚠ Usa una cuenta de trading",IF(AND(G2292&lt;=0,P2292&lt;&gt;"Ajuste",P2292&lt;&gt;"Resultado trading"),"⚠ El monto debe ser positivo","✓")))))))))))))))</f>
        <v/>
      </c>
      <c r="P2292" s="52">
        <f>IF(OR(B2292="",G2292=""),"",IF(C2292="","Gasto",C2292))</f>
        <v/>
      </c>
      <c r="Q2292" s="52">
        <f>IF(P2292="","",IF(J2292&lt;&gt;"",J2292,CuentaPred&amp;""))</f>
        <v/>
      </c>
      <c r="R2292" s="52">
        <f>IF(P2292="","",IF(ISNUMBER(I2292),I2292,TasaUSD))</f>
        <v/>
      </c>
      <c r="S2292" s="53">
        <f>IF(P2292="","",IF(H2292="USD",G2292*R2292,G2292))</f>
        <v/>
      </c>
      <c r="T2292" s="53">
        <f>IF(P2292="","",IF(H2292="USD",G2292,IF(R2292&gt;0,G2292/R2292,0)))</f>
        <v/>
      </c>
      <c r="U2292" s="53">
        <f>IF(P2292="","",IF(P2292="Gasto",S2292,IF(P2292="Reembolso",-S2292,0)))</f>
        <v/>
      </c>
      <c r="V2292" s="53">
        <f>IF(P2292="","",IF(P2292="Ingreso",S2292,0))</f>
        <v/>
      </c>
      <c r="W2292" s="53">
        <f>IF(P2292="","",IF(P2292="Resultado trading",S2292,0))</f>
        <v/>
      </c>
      <c r="X2292" s="52">
        <f>IF(OR(P2292="Gasto",P2292="Reembolso"),IF(M2292&lt;&gt;"",M2292,IFERROR(INDEX(catClasif,MATCH(D2292&amp;"|"&amp;E2292,catClave,0))&amp;"","Variable")),"")</f>
        <v/>
      </c>
      <c r="Y2292" s="52">
        <f>IF(P2292="","",IFERROR(INDEX(catGrupo,MATCH(D2292&amp;"|"&amp;E2292,catClave,0))&amp;"",""))</f>
        <v/>
      </c>
      <c r="Z2292" s="52">
        <f>IF(P2292="","",WEEKDAY(B2292,2))</f>
        <v/>
      </c>
      <c r="AA2292" s="52">
        <f>IF(P2292="","",IF(AND(P2292="Gasto",X2292="Variable",D2292&lt;&gt;catTrading,S2292&gt;0,S2292&lt;=Umbral),1,0))</f>
        <v/>
      </c>
      <c r="AB2292" s="52">
        <f>IF(OR(P2292="",Q2292=""),"",IFERROR(IF(INDEX(ctaVinc,MATCH(Q2292,ctaNombre,0))&amp;""&lt;&gt;"",INDEX(ctaVinc,MATCH(Q2292,ctaNombre,0))&amp;"",Q2292),Q2292))</f>
        <v/>
      </c>
      <c r="AC2292" s="52">
        <f>IF(OR(K2292="",AND(P2292&lt;&gt;"Transferencia",P2292&lt;&gt;"Pago tarjeta")),"",IFERROR(IF(INDEX(ctaVinc,MATCH(K2292,ctaNombre,0))&amp;""&lt;&gt;"",INDEX(ctaVinc,MATCH(K2292,ctaNombre,0))&amp;"",K2292),K2292))</f>
        <v/>
      </c>
      <c r="AD2292" s="52">
        <f>IF(AB2292="","",IFERROR(INDEX(ctaTipo,MATCH(AB2292,ctaNombre,0))&amp;"",""))</f>
        <v/>
      </c>
      <c r="AE2292" s="52">
        <f>IF(AC2292="","",IFERROR(INDEX(ctaTipo,MATCH(AC2292,ctaNombre,0))&amp;"",""))</f>
        <v/>
      </c>
      <c r="AF2292" s="53">
        <f>IF(OR(P2292="",AB2292=""),"",IF(OR(P2292="Gasto",P2292="Transferencia",P2292="Pago tarjeta"),-1,1)*IF(IFERROR(INDEX(ctaMoneda,MATCH(AB2292,ctaNombre,0))&amp;"","DOP")="USD",T2292,S2292))</f>
        <v/>
      </c>
      <c r="AG2292" s="53">
        <f>IF(AC2292="","",IF(IFERROR(INDEX(ctaMoneda,MATCH(AC2292,ctaNombre,0))&amp;"","DOP")="USD",T2292,S2292))</f>
        <v/>
      </c>
      <c r="AH2292" s="53">
        <f>IF(P2292="","",IF(AND(AD2292&lt;&gt;"",COUNTIFS(tcTipo,AD2292,tcLiq,"Sí")&gt;0),IF(OR(P2292="Gasto",P2292="Transferencia",P2292="Pago tarjeta"),-1,1)*S2292,0)+IF(AND(AE2292&lt;&gt;"",COUNTIFS(tcTipo,AE2292,tcLiq,"Sí")&gt;0),S2292,0))</f>
        <v/>
      </c>
      <c r="AI2292" s="52">
        <f>IF(OR(L2292="",P2292=""),"",IF(COUNTIFS(L$6:L2292,L2292,P$6:P2292,"?*")=1,MAX(AI$5:AI2291)+1,""))</f>
        <v/>
      </c>
    </row>
    <row r="2293">
      <c r="B2293" s="47" t="n"/>
      <c r="C2293" s="48" t="n"/>
      <c r="D2293" s="48" t="n"/>
      <c r="E2293" s="48" t="n"/>
      <c r="F2293" s="48" t="n"/>
      <c r="G2293" s="49" t="n"/>
      <c r="H2293" s="48" t="n"/>
      <c r="I2293" s="50" t="n"/>
      <c r="J2293" s="48" t="n"/>
      <c r="K2293" s="48" t="n"/>
      <c r="L2293" s="48" t="n"/>
      <c r="M2293" s="48" t="n"/>
      <c r="N2293" s="48" t="n"/>
      <c r="O2293" s="51">
        <f>IF(AND(B2293="",G2293="",C2293="",D2293="",J2293=""),"",IF(B2293="","⚠ Falta fecha",IF(G2293="","⚠ Falta monto",IF(Q2293="","⚠ Falta cuenta",IF(ISNA(MATCH(Q2293,ctaNombre,0)),"⚠ Cuenta no registrada",IF(AND(OR(P2293="Gasto",P2293="Reembolso"),D2293=""),"⚠ Falta categoría",IF(AND(D2293&lt;&gt;"",E2293&lt;&gt;"",ISNA(MATCH(D2293&amp;"|"&amp;E2293,catClave,0))),"⚠ Subcategoría no corresponde",IF(AND(OR(P2293="Transferencia",P2293="Pago tarjeta"),K2293=""),"⚠ Falta cuenta destino",IF(AND(K2293&lt;&gt;"",P2293&lt;&gt;"Transferencia",P2293&lt;&gt;"Pago tarjeta"),"⚠ Destino solo aplica a transferencias",IF(AND(K2293&lt;&gt;"",K2293=Q2293),"⚠ Origen igual a destino",IF(AND(K2293&lt;&gt;"",ISNA(MATCH(K2293,ctaNombre,0))),"⚠ Destino no registrado",IF(AND(P2293="Pago tarjeta",AE2293&lt;&gt;"Tarjeta de crédito"),"⚠ El destino debe ser tarjeta de crédito",IF(AND(P2293="Gasto",E2293="Depósitos y retiros"),"⚠ Usa tipo Transferencia",IF(AND(P2293="Resultado trading",AD2293&lt;&gt;"Cuenta de trading"),"⚠ Usa una cuenta de trading",IF(AND(G2293&lt;=0,P2293&lt;&gt;"Ajuste",P2293&lt;&gt;"Resultado trading"),"⚠ El monto debe ser positivo","✓")))))))))))))))</f>
        <v/>
      </c>
      <c r="P2293" s="52">
        <f>IF(OR(B2293="",G2293=""),"",IF(C2293="","Gasto",C2293))</f>
        <v/>
      </c>
      <c r="Q2293" s="52">
        <f>IF(P2293="","",IF(J2293&lt;&gt;"",J2293,CuentaPred&amp;""))</f>
        <v/>
      </c>
      <c r="R2293" s="52">
        <f>IF(P2293="","",IF(ISNUMBER(I2293),I2293,TasaUSD))</f>
        <v/>
      </c>
      <c r="S2293" s="53">
        <f>IF(P2293="","",IF(H2293="USD",G2293*R2293,G2293))</f>
        <v/>
      </c>
      <c r="T2293" s="53">
        <f>IF(P2293="","",IF(H2293="USD",G2293,IF(R2293&gt;0,G2293/R2293,0)))</f>
        <v/>
      </c>
      <c r="U2293" s="53">
        <f>IF(P2293="","",IF(P2293="Gasto",S2293,IF(P2293="Reembolso",-S2293,0)))</f>
        <v/>
      </c>
      <c r="V2293" s="53">
        <f>IF(P2293="","",IF(P2293="Ingreso",S2293,0))</f>
        <v/>
      </c>
      <c r="W2293" s="53">
        <f>IF(P2293="","",IF(P2293="Resultado trading",S2293,0))</f>
        <v/>
      </c>
      <c r="X2293" s="52">
        <f>IF(OR(P2293="Gasto",P2293="Reembolso"),IF(M2293&lt;&gt;"",M2293,IFERROR(INDEX(catClasif,MATCH(D2293&amp;"|"&amp;E2293,catClave,0))&amp;"","Variable")),"")</f>
        <v/>
      </c>
      <c r="Y2293" s="52">
        <f>IF(P2293="","",IFERROR(INDEX(catGrupo,MATCH(D2293&amp;"|"&amp;E2293,catClave,0))&amp;"",""))</f>
        <v/>
      </c>
      <c r="Z2293" s="52">
        <f>IF(P2293="","",WEEKDAY(B2293,2))</f>
        <v/>
      </c>
      <c r="AA2293" s="52">
        <f>IF(P2293="","",IF(AND(P2293="Gasto",X2293="Variable",D2293&lt;&gt;catTrading,S2293&gt;0,S2293&lt;=Umbral),1,0))</f>
        <v/>
      </c>
      <c r="AB2293" s="52">
        <f>IF(OR(P2293="",Q2293=""),"",IFERROR(IF(INDEX(ctaVinc,MATCH(Q2293,ctaNombre,0))&amp;""&lt;&gt;"",INDEX(ctaVinc,MATCH(Q2293,ctaNombre,0))&amp;"",Q2293),Q2293))</f>
        <v/>
      </c>
      <c r="AC2293" s="52">
        <f>IF(OR(K2293="",AND(P2293&lt;&gt;"Transferencia",P2293&lt;&gt;"Pago tarjeta")),"",IFERROR(IF(INDEX(ctaVinc,MATCH(K2293,ctaNombre,0))&amp;""&lt;&gt;"",INDEX(ctaVinc,MATCH(K2293,ctaNombre,0))&amp;"",K2293),K2293))</f>
        <v/>
      </c>
      <c r="AD2293" s="52">
        <f>IF(AB2293="","",IFERROR(INDEX(ctaTipo,MATCH(AB2293,ctaNombre,0))&amp;"",""))</f>
        <v/>
      </c>
      <c r="AE2293" s="52">
        <f>IF(AC2293="","",IFERROR(INDEX(ctaTipo,MATCH(AC2293,ctaNombre,0))&amp;"",""))</f>
        <v/>
      </c>
      <c r="AF2293" s="53">
        <f>IF(OR(P2293="",AB2293=""),"",IF(OR(P2293="Gasto",P2293="Transferencia",P2293="Pago tarjeta"),-1,1)*IF(IFERROR(INDEX(ctaMoneda,MATCH(AB2293,ctaNombre,0))&amp;"","DOP")="USD",T2293,S2293))</f>
        <v/>
      </c>
      <c r="AG2293" s="53">
        <f>IF(AC2293="","",IF(IFERROR(INDEX(ctaMoneda,MATCH(AC2293,ctaNombre,0))&amp;"","DOP")="USD",T2293,S2293))</f>
        <v/>
      </c>
      <c r="AH2293" s="53">
        <f>IF(P2293="","",IF(AND(AD2293&lt;&gt;"",COUNTIFS(tcTipo,AD2293,tcLiq,"Sí")&gt;0),IF(OR(P2293="Gasto",P2293="Transferencia",P2293="Pago tarjeta"),-1,1)*S2293,0)+IF(AND(AE2293&lt;&gt;"",COUNTIFS(tcTipo,AE2293,tcLiq,"Sí")&gt;0),S2293,0))</f>
        <v/>
      </c>
      <c r="AI2293" s="52">
        <f>IF(OR(L2293="",P2293=""),"",IF(COUNTIFS(L$6:L2293,L2293,P$6:P2293,"?*")=1,MAX(AI$5:AI2292)+1,""))</f>
        <v/>
      </c>
    </row>
    <row r="2294">
      <c r="B2294" s="47" t="n"/>
      <c r="C2294" s="48" t="n"/>
      <c r="D2294" s="48" t="n"/>
      <c r="E2294" s="48" t="n"/>
      <c r="F2294" s="48" t="n"/>
      <c r="G2294" s="49" t="n"/>
      <c r="H2294" s="48" t="n"/>
      <c r="I2294" s="50" t="n"/>
      <c r="J2294" s="48" t="n"/>
      <c r="K2294" s="48" t="n"/>
      <c r="L2294" s="48" t="n"/>
      <c r="M2294" s="48" t="n"/>
      <c r="N2294" s="48" t="n"/>
      <c r="O2294" s="51">
        <f>IF(AND(B2294="",G2294="",C2294="",D2294="",J2294=""),"",IF(B2294="","⚠ Falta fecha",IF(G2294="","⚠ Falta monto",IF(Q2294="","⚠ Falta cuenta",IF(ISNA(MATCH(Q2294,ctaNombre,0)),"⚠ Cuenta no registrada",IF(AND(OR(P2294="Gasto",P2294="Reembolso"),D2294=""),"⚠ Falta categoría",IF(AND(D2294&lt;&gt;"",E2294&lt;&gt;"",ISNA(MATCH(D2294&amp;"|"&amp;E2294,catClave,0))),"⚠ Subcategoría no corresponde",IF(AND(OR(P2294="Transferencia",P2294="Pago tarjeta"),K2294=""),"⚠ Falta cuenta destino",IF(AND(K2294&lt;&gt;"",P2294&lt;&gt;"Transferencia",P2294&lt;&gt;"Pago tarjeta"),"⚠ Destino solo aplica a transferencias",IF(AND(K2294&lt;&gt;"",K2294=Q2294),"⚠ Origen igual a destino",IF(AND(K2294&lt;&gt;"",ISNA(MATCH(K2294,ctaNombre,0))),"⚠ Destino no registrado",IF(AND(P2294="Pago tarjeta",AE2294&lt;&gt;"Tarjeta de crédito"),"⚠ El destino debe ser tarjeta de crédito",IF(AND(P2294="Gasto",E2294="Depósitos y retiros"),"⚠ Usa tipo Transferencia",IF(AND(P2294="Resultado trading",AD2294&lt;&gt;"Cuenta de trading"),"⚠ Usa una cuenta de trading",IF(AND(G2294&lt;=0,P2294&lt;&gt;"Ajuste",P2294&lt;&gt;"Resultado trading"),"⚠ El monto debe ser positivo","✓")))))))))))))))</f>
        <v/>
      </c>
      <c r="P2294" s="52">
        <f>IF(OR(B2294="",G2294=""),"",IF(C2294="","Gasto",C2294))</f>
        <v/>
      </c>
      <c r="Q2294" s="52">
        <f>IF(P2294="","",IF(J2294&lt;&gt;"",J2294,CuentaPred&amp;""))</f>
        <v/>
      </c>
      <c r="R2294" s="52">
        <f>IF(P2294="","",IF(ISNUMBER(I2294),I2294,TasaUSD))</f>
        <v/>
      </c>
      <c r="S2294" s="53">
        <f>IF(P2294="","",IF(H2294="USD",G2294*R2294,G2294))</f>
        <v/>
      </c>
      <c r="T2294" s="53">
        <f>IF(P2294="","",IF(H2294="USD",G2294,IF(R2294&gt;0,G2294/R2294,0)))</f>
        <v/>
      </c>
      <c r="U2294" s="53">
        <f>IF(P2294="","",IF(P2294="Gasto",S2294,IF(P2294="Reembolso",-S2294,0)))</f>
        <v/>
      </c>
      <c r="V2294" s="53">
        <f>IF(P2294="","",IF(P2294="Ingreso",S2294,0))</f>
        <v/>
      </c>
      <c r="W2294" s="53">
        <f>IF(P2294="","",IF(P2294="Resultado trading",S2294,0))</f>
        <v/>
      </c>
      <c r="X2294" s="52">
        <f>IF(OR(P2294="Gasto",P2294="Reembolso"),IF(M2294&lt;&gt;"",M2294,IFERROR(INDEX(catClasif,MATCH(D2294&amp;"|"&amp;E2294,catClave,0))&amp;"","Variable")),"")</f>
        <v/>
      </c>
      <c r="Y2294" s="52">
        <f>IF(P2294="","",IFERROR(INDEX(catGrupo,MATCH(D2294&amp;"|"&amp;E2294,catClave,0))&amp;"",""))</f>
        <v/>
      </c>
      <c r="Z2294" s="52">
        <f>IF(P2294="","",WEEKDAY(B2294,2))</f>
        <v/>
      </c>
      <c r="AA2294" s="52">
        <f>IF(P2294="","",IF(AND(P2294="Gasto",X2294="Variable",D2294&lt;&gt;catTrading,S2294&gt;0,S2294&lt;=Umbral),1,0))</f>
        <v/>
      </c>
      <c r="AB2294" s="52">
        <f>IF(OR(P2294="",Q2294=""),"",IFERROR(IF(INDEX(ctaVinc,MATCH(Q2294,ctaNombre,0))&amp;""&lt;&gt;"",INDEX(ctaVinc,MATCH(Q2294,ctaNombre,0))&amp;"",Q2294),Q2294))</f>
        <v/>
      </c>
      <c r="AC2294" s="52">
        <f>IF(OR(K2294="",AND(P2294&lt;&gt;"Transferencia",P2294&lt;&gt;"Pago tarjeta")),"",IFERROR(IF(INDEX(ctaVinc,MATCH(K2294,ctaNombre,0))&amp;""&lt;&gt;"",INDEX(ctaVinc,MATCH(K2294,ctaNombre,0))&amp;"",K2294),K2294))</f>
        <v/>
      </c>
      <c r="AD2294" s="52">
        <f>IF(AB2294="","",IFERROR(INDEX(ctaTipo,MATCH(AB2294,ctaNombre,0))&amp;"",""))</f>
        <v/>
      </c>
      <c r="AE2294" s="52">
        <f>IF(AC2294="","",IFERROR(INDEX(ctaTipo,MATCH(AC2294,ctaNombre,0))&amp;"",""))</f>
        <v/>
      </c>
      <c r="AF2294" s="53">
        <f>IF(OR(P2294="",AB2294=""),"",IF(OR(P2294="Gasto",P2294="Transferencia",P2294="Pago tarjeta"),-1,1)*IF(IFERROR(INDEX(ctaMoneda,MATCH(AB2294,ctaNombre,0))&amp;"","DOP")="USD",T2294,S2294))</f>
        <v/>
      </c>
      <c r="AG2294" s="53">
        <f>IF(AC2294="","",IF(IFERROR(INDEX(ctaMoneda,MATCH(AC2294,ctaNombre,0))&amp;"","DOP")="USD",T2294,S2294))</f>
        <v/>
      </c>
      <c r="AH2294" s="53">
        <f>IF(P2294="","",IF(AND(AD2294&lt;&gt;"",COUNTIFS(tcTipo,AD2294,tcLiq,"Sí")&gt;0),IF(OR(P2294="Gasto",P2294="Transferencia",P2294="Pago tarjeta"),-1,1)*S2294,0)+IF(AND(AE2294&lt;&gt;"",COUNTIFS(tcTipo,AE2294,tcLiq,"Sí")&gt;0),S2294,0))</f>
        <v/>
      </c>
      <c r="AI2294" s="52">
        <f>IF(OR(L2294="",P2294=""),"",IF(COUNTIFS(L$6:L2294,L2294,P$6:P2294,"?*")=1,MAX(AI$5:AI2293)+1,""))</f>
        <v/>
      </c>
    </row>
    <row r="2295">
      <c r="B2295" s="47" t="n"/>
      <c r="C2295" s="48" t="n"/>
      <c r="D2295" s="48" t="n"/>
      <c r="E2295" s="48" t="n"/>
      <c r="F2295" s="48" t="n"/>
      <c r="G2295" s="49" t="n"/>
      <c r="H2295" s="48" t="n"/>
      <c r="I2295" s="50" t="n"/>
      <c r="J2295" s="48" t="n"/>
      <c r="K2295" s="48" t="n"/>
      <c r="L2295" s="48" t="n"/>
      <c r="M2295" s="48" t="n"/>
      <c r="N2295" s="48" t="n"/>
      <c r="O2295" s="51">
        <f>IF(AND(B2295="",G2295="",C2295="",D2295="",J2295=""),"",IF(B2295="","⚠ Falta fecha",IF(G2295="","⚠ Falta monto",IF(Q2295="","⚠ Falta cuenta",IF(ISNA(MATCH(Q2295,ctaNombre,0)),"⚠ Cuenta no registrada",IF(AND(OR(P2295="Gasto",P2295="Reembolso"),D2295=""),"⚠ Falta categoría",IF(AND(D2295&lt;&gt;"",E2295&lt;&gt;"",ISNA(MATCH(D2295&amp;"|"&amp;E2295,catClave,0))),"⚠ Subcategoría no corresponde",IF(AND(OR(P2295="Transferencia",P2295="Pago tarjeta"),K2295=""),"⚠ Falta cuenta destino",IF(AND(K2295&lt;&gt;"",P2295&lt;&gt;"Transferencia",P2295&lt;&gt;"Pago tarjeta"),"⚠ Destino solo aplica a transferencias",IF(AND(K2295&lt;&gt;"",K2295=Q2295),"⚠ Origen igual a destino",IF(AND(K2295&lt;&gt;"",ISNA(MATCH(K2295,ctaNombre,0))),"⚠ Destino no registrado",IF(AND(P2295="Pago tarjeta",AE2295&lt;&gt;"Tarjeta de crédito"),"⚠ El destino debe ser tarjeta de crédito",IF(AND(P2295="Gasto",E2295="Depósitos y retiros"),"⚠ Usa tipo Transferencia",IF(AND(P2295="Resultado trading",AD2295&lt;&gt;"Cuenta de trading"),"⚠ Usa una cuenta de trading",IF(AND(G2295&lt;=0,P2295&lt;&gt;"Ajuste",P2295&lt;&gt;"Resultado trading"),"⚠ El monto debe ser positivo","✓")))))))))))))))</f>
        <v/>
      </c>
      <c r="P2295" s="52">
        <f>IF(OR(B2295="",G2295=""),"",IF(C2295="","Gasto",C2295))</f>
        <v/>
      </c>
      <c r="Q2295" s="52">
        <f>IF(P2295="","",IF(J2295&lt;&gt;"",J2295,CuentaPred&amp;""))</f>
        <v/>
      </c>
      <c r="R2295" s="52">
        <f>IF(P2295="","",IF(ISNUMBER(I2295),I2295,TasaUSD))</f>
        <v/>
      </c>
      <c r="S2295" s="53">
        <f>IF(P2295="","",IF(H2295="USD",G2295*R2295,G2295))</f>
        <v/>
      </c>
      <c r="T2295" s="53">
        <f>IF(P2295="","",IF(H2295="USD",G2295,IF(R2295&gt;0,G2295/R2295,0)))</f>
        <v/>
      </c>
      <c r="U2295" s="53">
        <f>IF(P2295="","",IF(P2295="Gasto",S2295,IF(P2295="Reembolso",-S2295,0)))</f>
        <v/>
      </c>
      <c r="V2295" s="53">
        <f>IF(P2295="","",IF(P2295="Ingreso",S2295,0))</f>
        <v/>
      </c>
      <c r="W2295" s="53">
        <f>IF(P2295="","",IF(P2295="Resultado trading",S2295,0))</f>
        <v/>
      </c>
      <c r="X2295" s="52">
        <f>IF(OR(P2295="Gasto",P2295="Reembolso"),IF(M2295&lt;&gt;"",M2295,IFERROR(INDEX(catClasif,MATCH(D2295&amp;"|"&amp;E2295,catClave,0))&amp;"","Variable")),"")</f>
        <v/>
      </c>
      <c r="Y2295" s="52">
        <f>IF(P2295="","",IFERROR(INDEX(catGrupo,MATCH(D2295&amp;"|"&amp;E2295,catClave,0))&amp;"",""))</f>
        <v/>
      </c>
      <c r="Z2295" s="52">
        <f>IF(P2295="","",WEEKDAY(B2295,2))</f>
        <v/>
      </c>
      <c r="AA2295" s="52">
        <f>IF(P2295="","",IF(AND(P2295="Gasto",X2295="Variable",D2295&lt;&gt;catTrading,S2295&gt;0,S2295&lt;=Umbral),1,0))</f>
        <v/>
      </c>
      <c r="AB2295" s="52">
        <f>IF(OR(P2295="",Q2295=""),"",IFERROR(IF(INDEX(ctaVinc,MATCH(Q2295,ctaNombre,0))&amp;""&lt;&gt;"",INDEX(ctaVinc,MATCH(Q2295,ctaNombre,0))&amp;"",Q2295),Q2295))</f>
        <v/>
      </c>
      <c r="AC2295" s="52">
        <f>IF(OR(K2295="",AND(P2295&lt;&gt;"Transferencia",P2295&lt;&gt;"Pago tarjeta")),"",IFERROR(IF(INDEX(ctaVinc,MATCH(K2295,ctaNombre,0))&amp;""&lt;&gt;"",INDEX(ctaVinc,MATCH(K2295,ctaNombre,0))&amp;"",K2295),K2295))</f>
        <v/>
      </c>
      <c r="AD2295" s="52">
        <f>IF(AB2295="","",IFERROR(INDEX(ctaTipo,MATCH(AB2295,ctaNombre,0))&amp;"",""))</f>
        <v/>
      </c>
      <c r="AE2295" s="52">
        <f>IF(AC2295="","",IFERROR(INDEX(ctaTipo,MATCH(AC2295,ctaNombre,0))&amp;"",""))</f>
        <v/>
      </c>
      <c r="AF2295" s="53">
        <f>IF(OR(P2295="",AB2295=""),"",IF(OR(P2295="Gasto",P2295="Transferencia",P2295="Pago tarjeta"),-1,1)*IF(IFERROR(INDEX(ctaMoneda,MATCH(AB2295,ctaNombre,0))&amp;"","DOP")="USD",T2295,S2295))</f>
        <v/>
      </c>
      <c r="AG2295" s="53">
        <f>IF(AC2295="","",IF(IFERROR(INDEX(ctaMoneda,MATCH(AC2295,ctaNombre,0))&amp;"","DOP")="USD",T2295,S2295))</f>
        <v/>
      </c>
      <c r="AH2295" s="53">
        <f>IF(P2295="","",IF(AND(AD2295&lt;&gt;"",COUNTIFS(tcTipo,AD2295,tcLiq,"Sí")&gt;0),IF(OR(P2295="Gasto",P2295="Transferencia",P2295="Pago tarjeta"),-1,1)*S2295,0)+IF(AND(AE2295&lt;&gt;"",COUNTIFS(tcTipo,AE2295,tcLiq,"Sí")&gt;0),S2295,0))</f>
        <v/>
      </c>
      <c r="AI2295" s="52">
        <f>IF(OR(L2295="",P2295=""),"",IF(COUNTIFS(L$6:L2295,L2295,P$6:P2295,"?*")=1,MAX(AI$5:AI2294)+1,""))</f>
        <v/>
      </c>
    </row>
    <row r="2296">
      <c r="B2296" s="47" t="n"/>
      <c r="C2296" s="48" t="n"/>
      <c r="D2296" s="48" t="n"/>
      <c r="E2296" s="48" t="n"/>
      <c r="F2296" s="48" t="n"/>
      <c r="G2296" s="49" t="n"/>
      <c r="H2296" s="48" t="n"/>
      <c r="I2296" s="50" t="n"/>
      <c r="J2296" s="48" t="n"/>
      <c r="K2296" s="48" t="n"/>
      <c r="L2296" s="48" t="n"/>
      <c r="M2296" s="48" t="n"/>
      <c r="N2296" s="48" t="n"/>
      <c r="O2296" s="51">
        <f>IF(AND(B2296="",G2296="",C2296="",D2296="",J2296=""),"",IF(B2296="","⚠ Falta fecha",IF(G2296="","⚠ Falta monto",IF(Q2296="","⚠ Falta cuenta",IF(ISNA(MATCH(Q2296,ctaNombre,0)),"⚠ Cuenta no registrada",IF(AND(OR(P2296="Gasto",P2296="Reembolso"),D2296=""),"⚠ Falta categoría",IF(AND(D2296&lt;&gt;"",E2296&lt;&gt;"",ISNA(MATCH(D2296&amp;"|"&amp;E2296,catClave,0))),"⚠ Subcategoría no corresponde",IF(AND(OR(P2296="Transferencia",P2296="Pago tarjeta"),K2296=""),"⚠ Falta cuenta destino",IF(AND(K2296&lt;&gt;"",P2296&lt;&gt;"Transferencia",P2296&lt;&gt;"Pago tarjeta"),"⚠ Destino solo aplica a transferencias",IF(AND(K2296&lt;&gt;"",K2296=Q2296),"⚠ Origen igual a destino",IF(AND(K2296&lt;&gt;"",ISNA(MATCH(K2296,ctaNombre,0))),"⚠ Destino no registrado",IF(AND(P2296="Pago tarjeta",AE2296&lt;&gt;"Tarjeta de crédito"),"⚠ El destino debe ser tarjeta de crédito",IF(AND(P2296="Gasto",E2296="Depósitos y retiros"),"⚠ Usa tipo Transferencia",IF(AND(P2296="Resultado trading",AD2296&lt;&gt;"Cuenta de trading"),"⚠ Usa una cuenta de trading",IF(AND(G2296&lt;=0,P2296&lt;&gt;"Ajuste",P2296&lt;&gt;"Resultado trading"),"⚠ El monto debe ser positivo","✓")))))))))))))))</f>
        <v/>
      </c>
      <c r="P2296" s="52">
        <f>IF(OR(B2296="",G2296=""),"",IF(C2296="","Gasto",C2296))</f>
        <v/>
      </c>
      <c r="Q2296" s="52">
        <f>IF(P2296="","",IF(J2296&lt;&gt;"",J2296,CuentaPred&amp;""))</f>
        <v/>
      </c>
      <c r="R2296" s="52">
        <f>IF(P2296="","",IF(ISNUMBER(I2296),I2296,TasaUSD))</f>
        <v/>
      </c>
      <c r="S2296" s="53">
        <f>IF(P2296="","",IF(H2296="USD",G2296*R2296,G2296))</f>
        <v/>
      </c>
      <c r="T2296" s="53">
        <f>IF(P2296="","",IF(H2296="USD",G2296,IF(R2296&gt;0,G2296/R2296,0)))</f>
        <v/>
      </c>
      <c r="U2296" s="53">
        <f>IF(P2296="","",IF(P2296="Gasto",S2296,IF(P2296="Reembolso",-S2296,0)))</f>
        <v/>
      </c>
      <c r="V2296" s="53">
        <f>IF(P2296="","",IF(P2296="Ingreso",S2296,0))</f>
        <v/>
      </c>
      <c r="W2296" s="53">
        <f>IF(P2296="","",IF(P2296="Resultado trading",S2296,0))</f>
        <v/>
      </c>
      <c r="X2296" s="52">
        <f>IF(OR(P2296="Gasto",P2296="Reembolso"),IF(M2296&lt;&gt;"",M2296,IFERROR(INDEX(catClasif,MATCH(D2296&amp;"|"&amp;E2296,catClave,0))&amp;"","Variable")),"")</f>
        <v/>
      </c>
      <c r="Y2296" s="52">
        <f>IF(P2296="","",IFERROR(INDEX(catGrupo,MATCH(D2296&amp;"|"&amp;E2296,catClave,0))&amp;"",""))</f>
        <v/>
      </c>
      <c r="Z2296" s="52">
        <f>IF(P2296="","",WEEKDAY(B2296,2))</f>
        <v/>
      </c>
      <c r="AA2296" s="52">
        <f>IF(P2296="","",IF(AND(P2296="Gasto",X2296="Variable",D2296&lt;&gt;catTrading,S2296&gt;0,S2296&lt;=Umbral),1,0))</f>
        <v/>
      </c>
      <c r="AB2296" s="52">
        <f>IF(OR(P2296="",Q2296=""),"",IFERROR(IF(INDEX(ctaVinc,MATCH(Q2296,ctaNombre,0))&amp;""&lt;&gt;"",INDEX(ctaVinc,MATCH(Q2296,ctaNombre,0))&amp;"",Q2296),Q2296))</f>
        <v/>
      </c>
      <c r="AC2296" s="52">
        <f>IF(OR(K2296="",AND(P2296&lt;&gt;"Transferencia",P2296&lt;&gt;"Pago tarjeta")),"",IFERROR(IF(INDEX(ctaVinc,MATCH(K2296,ctaNombre,0))&amp;""&lt;&gt;"",INDEX(ctaVinc,MATCH(K2296,ctaNombre,0))&amp;"",K2296),K2296))</f>
        <v/>
      </c>
      <c r="AD2296" s="52">
        <f>IF(AB2296="","",IFERROR(INDEX(ctaTipo,MATCH(AB2296,ctaNombre,0))&amp;"",""))</f>
        <v/>
      </c>
      <c r="AE2296" s="52">
        <f>IF(AC2296="","",IFERROR(INDEX(ctaTipo,MATCH(AC2296,ctaNombre,0))&amp;"",""))</f>
        <v/>
      </c>
      <c r="AF2296" s="53">
        <f>IF(OR(P2296="",AB2296=""),"",IF(OR(P2296="Gasto",P2296="Transferencia",P2296="Pago tarjeta"),-1,1)*IF(IFERROR(INDEX(ctaMoneda,MATCH(AB2296,ctaNombre,0))&amp;"","DOP")="USD",T2296,S2296))</f>
        <v/>
      </c>
      <c r="AG2296" s="53">
        <f>IF(AC2296="","",IF(IFERROR(INDEX(ctaMoneda,MATCH(AC2296,ctaNombre,0))&amp;"","DOP")="USD",T2296,S2296))</f>
        <v/>
      </c>
      <c r="AH2296" s="53">
        <f>IF(P2296="","",IF(AND(AD2296&lt;&gt;"",COUNTIFS(tcTipo,AD2296,tcLiq,"Sí")&gt;0),IF(OR(P2296="Gasto",P2296="Transferencia",P2296="Pago tarjeta"),-1,1)*S2296,0)+IF(AND(AE2296&lt;&gt;"",COUNTIFS(tcTipo,AE2296,tcLiq,"Sí")&gt;0),S2296,0))</f>
        <v/>
      </c>
      <c r="AI2296" s="52">
        <f>IF(OR(L2296="",P2296=""),"",IF(COUNTIFS(L$6:L2296,L2296,P$6:P2296,"?*")=1,MAX(AI$5:AI2295)+1,""))</f>
        <v/>
      </c>
    </row>
    <row r="2297">
      <c r="B2297" s="47" t="n"/>
      <c r="C2297" s="48" t="n"/>
      <c r="D2297" s="48" t="n"/>
      <c r="E2297" s="48" t="n"/>
      <c r="F2297" s="48" t="n"/>
      <c r="G2297" s="49" t="n"/>
      <c r="H2297" s="48" t="n"/>
      <c r="I2297" s="50" t="n"/>
      <c r="J2297" s="48" t="n"/>
      <c r="K2297" s="48" t="n"/>
      <c r="L2297" s="48" t="n"/>
      <c r="M2297" s="48" t="n"/>
      <c r="N2297" s="48" t="n"/>
      <c r="O2297" s="51">
        <f>IF(AND(B2297="",G2297="",C2297="",D2297="",J2297=""),"",IF(B2297="","⚠ Falta fecha",IF(G2297="","⚠ Falta monto",IF(Q2297="","⚠ Falta cuenta",IF(ISNA(MATCH(Q2297,ctaNombre,0)),"⚠ Cuenta no registrada",IF(AND(OR(P2297="Gasto",P2297="Reembolso"),D2297=""),"⚠ Falta categoría",IF(AND(D2297&lt;&gt;"",E2297&lt;&gt;"",ISNA(MATCH(D2297&amp;"|"&amp;E2297,catClave,0))),"⚠ Subcategoría no corresponde",IF(AND(OR(P2297="Transferencia",P2297="Pago tarjeta"),K2297=""),"⚠ Falta cuenta destino",IF(AND(K2297&lt;&gt;"",P2297&lt;&gt;"Transferencia",P2297&lt;&gt;"Pago tarjeta"),"⚠ Destino solo aplica a transferencias",IF(AND(K2297&lt;&gt;"",K2297=Q2297),"⚠ Origen igual a destino",IF(AND(K2297&lt;&gt;"",ISNA(MATCH(K2297,ctaNombre,0))),"⚠ Destino no registrado",IF(AND(P2297="Pago tarjeta",AE2297&lt;&gt;"Tarjeta de crédito"),"⚠ El destino debe ser tarjeta de crédito",IF(AND(P2297="Gasto",E2297="Depósitos y retiros"),"⚠ Usa tipo Transferencia",IF(AND(P2297="Resultado trading",AD2297&lt;&gt;"Cuenta de trading"),"⚠ Usa una cuenta de trading",IF(AND(G2297&lt;=0,P2297&lt;&gt;"Ajuste",P2297&lt;&gt;"Resultado trading"),"⚠ El monto debe ser positivo","✓")))))))))))))))</f>
        <v/>
      </c>
      <c r="P2297" s="52">
        <f>IF(OR(B2297="",G2297=""),"",IF(C2297="","Gasto",C2297))</f>
        <v/>
      </c>
      <c r="Q2297" s="52">
        <f>IF(P2297="","",IF(J2297&lt;&gt;"",J2297,CuentaPred&amp;""))</f>
        <v/>
      </c>
      <c r="R2297" s="52">
        <f>IF(P2297="","",IF(ISNUMBER(I2297),I2297,TasaUSD))</f>
        <v/>
      </c>
      <c r="S2297" s="53">
        <f>IF(P2297="","",IF(H2297="USD",G2297*R2297,G2297))</f>
        <v/>
      </c>
      <c r="T2297" s="53">
        <f>IF(P2297="","",IF(H2297="USD",G2297,IF(R2297&gt;0,G2297/R2297,0)))</f>
        <v/>
      </c>
      <c r="U2297" s="53">
        <f>IF(P2297="","",IF(P2297="Gasto",S2297,IF(P2297="Reembolso",-S2297,0)))</f>
        <v/>
      </c>
      <c r="V2297" s="53">
        <f>IF(P2297="","",IF(P2297="Ingreso",S2297,0))</f>
        <v/>
      </c>
      <c r="W2297" s="53">
        <f>IF(P2297="","",IF(P2297="Resultado trading",S2297,0))</f>
        <v/>
      </c>
      <c r="X2297" s="52">
        <f>IF(OR(P2297="Gasto",P2297="Reembolso"),IF(M2297&lt;&gt;"",M2297,IFERROR(INDEX(catClasif,MATCH(D2297&amp;"|"&amp;E2297,catClave,0))&amp;"","Variable")),"")</f>
        <v/>
      </c>
      <c r="Y2297" s="52">
        <f>IF(P2297="","",IFERROR(INDEX(catGrupo,MATCH(D2297&amp;"|"&amp;E2297,catClave,0))&amp;"",""))</f>
        <v/>
      </c>
      <c r="Z2297" s="52">
        <f>IF(P2297="","",WEEKDAY(B2297,2))</f>
        <v/>
      </c>
      <c r="AA2297" s="52">
        <f>IF(P2297="","",IF(AND(P2297="Gasto",X2297="Variable",D2297&lt;&gt;catTrading,S2297&gt;0,S2297&lt;=Umbral),1,0))</f>
        <v/>
      </c>
      <c r="AB2297" s="52">
        <f>IF(OR(P2297="",Q2297=""),"",IFERROR(IF(INDEX(ctaVinc,MATCH(Q2297,ctaNombre,0))&amp;""&lt;&gt;"",INDEX(ctaVinc,MATCH(Q2297,ctaNombre,0))&amp;"",Q2297),Q2297))</f>
        <v/>
      </c>
      <c r="AC2297" s="52">
        <f>IF(OR(K2297="",AND(P2297&lt;&gt;"Transferencia",P2297&lt;&gt;"Pago tarjeta")),"",IFERROR(IF(INDEX(ctaVinc,MATCH(K2297,ctaNombre,0))&amp;""&lt;&gt;"",INDEX(ctaVinc,MATCH(K2297,ctaNombre,0))&amp;"",K2297),K2297))</f>
        <v/>
      </c>
      <c r="AD2297" s="52">
        <f>IF(AB2297="","",IFERROR(INDEX(ctaTipo,MATCH(AB2297,ctaNombre,0))&amp;"",""))</f>
        <v/>
      </c>
      <c r="AE2297" s="52">
        <f>IF(AC2297="","",IFERROR(INDEX(ctaTipo,MATCH(AC2297,ctaNombre,0))&amp;"",""))</f>
        <v/>
      </c>
      <c r="AF2297" s="53">
        <f>IF(OR(P2297="",AB2297=""),"",IF(OR(P2297="Gasto",P2297="Transferencia",P2297="Pago tarjeta"),-1,1)*IF(IFERROR(INDEX(ctaMoneda,MATCH(AB2297,ctaNombre,0))&amp;"","DOP")="USD",T2297,S2297))</f>
        <v/>
      </c>
      <c r="AG2297" s="53">
        <f>IF(AC2297="","",IF(IFERROR(INDEX(ctaMoneda,MATCH(AC2297,ctaNombre,0))&amp;"","DOP")="USD",T2297,S2297))</f>
        <v/>
      </c>
      <c r="AH2297" s="53">
        <f>IF(P2297="","",IF(AND(AD2297&lt;&gt;"",COUNTIFS(tcTipo,AD2297,tcLiq,"Sí")&gt;0),IF(OR(P2297="Gasto",P2297="Transferencia",P2297="Pago tarjeta"),-1,1)*S2297,0)+IF(AND(AE2297&lt;&gt;"",COUNTIFS(tcTipo,AE2297,tcLiq,"Sí")&gt;0),S2297,0))</f>
        <v/>
      </c>
      <c r="AI2297" s="52">
        <f>IF(OR(L2297="",P2297=""),"",IF(COUNTIFS(L$6:L2297,L2297,P$6:P2297,"?*")=1,MAX(AI$5:AI2296)+1,""))</f>
        <v/>
      </c>
    </row>
    <row r="2298">
      <c r="B2298" s="47" t="n"/>
      <c r="C2298" s="48" t="n"/>
      <c r="D2298" s="48" t="n"/>
      <c r="E2298" s="48" t="n"/>
      <c r="F2298" s="48" t="n"/>
      <c r="G2298" s="49" t="n"/>
      <c r="H2298" s="48" t="n"/>
      <c r="I2298" s="50" t="n"/>
      <c r="J2298" s="48" t="n"/>
      <c r="K2298" s="48" t="n"/>
      <c r="L2298" s="48" t="n"/>
      <c r="M2298" s="48" t="n"/>
      <c r="N2298" s="48" t="n"/>
      <c r="O2298" s="51">
        <f>IF(AND(B2298="",G2298="",C2298="",D2298="",J2298=""),"",IF(B2298="","⚠ Falta fecha",IF(G2298="","⚠ Falta monto",IF(Q2298="","⚠ Falta cuenta",IF(ISNA(MATCH(Q2298,ctaNombre,0)),"⚠ Cuenta no registrada",IF(AND(OR(P2298="Gasto",P2298="Reembolso"),D2298=""),"⚠ Falta categoría",IF(AND(D2298&lt;&gt;"",E2298&lt;&gt;"",ISNA(MATCH(D2298&amp;"|"&amp;E2298,catClave,0))),"⚠ Subcategoría no corresponde",IF(AND(OR(P2298="Transferencia",P2298="Pago tarjeta"),K2298=""),"⚠ Falta cuenta destino",IF(AND(K2298&lt;&gt;"",P2298&lt;&gt;"Transferencia",P2298&lt;&gt;"Pago tarjeta"),"⚠ Destino solo aplica a transferencias",IF(AND(K2298&lt;&gt;"",K2298=Q2298),"⚠ Origen igual a destino",IF(AND(K2298&lt;&gt;"",ISNA(MATCH(K2298,ctaNombre,0))),"⚠ Destino no registrado",IF(AND(P2298="Pago tarjeta",AE2298&lt;&gt;"Tarjeta de crédito"),"⚠ El destino debe ser tarjeta de crédito",IF(AND(P2298="Gasto",E2298="Depósitos y retiros"),"⚠ Usa tipo Transferencia",IF(AND(P2298="Resultado trading",AD2298&lt;&gt;"Cuenta de trading"),"⚠ Usa una cuenta de trading",IF(AND(G2298&lt;=0,P2298&lt;&gt;"Ajuste",P2298&lt;&gt;"Resultado trading"),"⚠ El monto debe ser positivo","✓")))))))))))))))</f>
        <v/>
      </c>
      <c r="P2298" s="52">
        <f>IF(OR(B2298="",G2298=""),"",IF(C2298="","Gasto",C2298))</f>
        <v/>
      </c>
      <c r="Q2298" s="52">
        <f>IF(P2298="","",IF(J2298&lt;&gt;"",J2298,CuentaPred&amp;""))</f>
        <v/>
      </c>
      <c r="R2298" s="52">
        <f>IF(P2298="","",IF(ISNUMBER(I2298),I2298,TasaUSD))</f>
        <v/>
      </c>
      <c r="S2298" s="53">
        <f>IF(P2298="","",IF(H2298="USD",G2298*R2298,G2298))</f>
        <v/>
      </c>
      <c r="T2298" s="53">
        <f>IF(P2298="","",IF(H2298="USD",G2298,IF(R2298&gt;0,G2298/R2298,0)))</f>
        <v/>
      </c>
      <c r="U2298" s="53">
        <f>IF(P2298="","",IF(P2298="Gasto",S2298,IF(P2298="Reembolso",-S2298,0)))</f>
        <v/>
      </c>
      <c r="V2298" s="53">
        <f>IF(P2298="","",IF(P2298="Ingreso",S2298,0))</f>
        <v/>
      </c>
      <c r="W2298" s="53">
        <f>IF(P2298="","",IF(P2298="Resultado trading",S2298,0))</f>
        <v/>
      </c>
      <c r="X2298" s="52">
        <f>IF(OR(P2298="Gasto",P2298="Reembolso"),IF(M2298&lt;&gt;"",M2298,IFERROR(INDEX(catClasif,MATCH(D2298&amp;"|"&amp;E2298,catClave,0))&amp;"","Variable")),"")</f>
        <v/>
      </c>
      <c r="Y2298" s="52">
        <f>IF(P2298="","",IFERROR(INDEX(catGrupo,MATCH(D2298&amp;"|"&amp;E2298,catClave,0))&amp;"",""))</f>
        <v/>
      </c>
      <c r="Z2298" s="52">
        <f>IF(P2298="","",WEEKDAY(B2298,2))</f>
        <v/>
      </c>
      <c r="AA2298" s="52">
        <f>IF(P2298="","",IF(AND(P2298="Gasto",X2298="Variable",D2298&lt;&gt;catTrading,S2298&gt;0,S2298&lt;=Umbral),1,0))</f>
        <v/>
      </c>
      <c r="AB2298" s="52">
        <f>IF(OR(P2298="",Q2298=""),"",IFERROR(IF(INDEX(ctaVinc,MATCH(Q2298,ctaNombre,0))&amp;""&lt;&gt;"",INDEX(ctaVinc,MATCH(Q2298,ctaNombre,0))&amp;"",Q2298),Q2298))</f>
        <v/>
      </c>
      <c r="AC2298" s="52">
        <f>IF(OR(K2298="",AND(P2298&lt;&gt;"Transferencia",P2298&lt;&gt;"Pago tarjeta")),"",IFERROR(IF(INDEX(ctaVinc,MATCH(K2298,ctaNombre,0))&amp;""&lt;&gt;"",INDEX(ctaVinc,MATCH(K2298,ctaNombre,0))&amp;"",K2298),K2298))</f>
        <v/>
      </c>
      <c r="AD2298" s="52">
        <f>IF(AB2298="","",IFERROR(INDEX(ctaTipo,MATCH(AB2298,ctaNombre,0))&amp;"",""))</f>
        <v/>
      </c>
      <c r="AE2298" s="52">
        <f>IF(AC2298="","",IFERROR(INDEX(ctaTipo,MATCH(AC2298,ctaNombre,0))&amp;"",""))</f>
        <v/>
      </c>
      <c r="AF2298" s="53">
        <f>IF(OR(P2298="",AB2298=""),"",IF(OR(P2298="Gasto",P2298="Transferencia",P2298="Pago tarjeta"),-1,1)*IF(IFERROR(INDEX(ctaMoneda,MATCH(AB2298,ctaNombre,0))&amp;"","DOP")="USD",T2298,S2298))</f>
        <v/>
      </c>
      <c r="AG2298" s="53">
        <f>IF(AC2298="","",IF(IFERROR(INDEX(ctaMoneda,MATCH(AC2298,ctaNombre,0))&amp;"","DOP")="USD",T2298,S2298))</f>
        <v/>
      </c>
      <c r="AH2298" s="53">
        <f>IF(P2298="","",IF(AND(AD2298&lt;&gt;"",COUNTIFS(tcTipo,AD2298,tcLiq,"Sí")&gt;0),IF(OR(P2298="Gasto",P2298="Transferencia",P2298="Pago tarjeta"),-1,1)*S2298,0)+IF(AND(AE2298&lt;&gt;"",COUNTIFS(tcTipo,AE2298,tcLiq,"Sí")&gt;0),S2298,0))</f>
        <v/>
      </c>
      <c r="AI2298" s="52">
        <f>IF(OR(L2298="",P2298=""),"",IF(COUNTIFS(L$6:L2298,L2298,P$6:P2298,"?*")=1,MAX(AI$5:AI2297)+1,""))</f>
        <v/>
      </c>
    </row>
    <row r="2299">
      <c r="B2299" s="47" t="n"/>
      <c r="C2299" s="48" t="n"/>
      <c r="D2299" s="48" t="n"/>
      <c r="E2299" s="48" t="n"/>
      <c r="F2299" s="48" t="n"/>
      <c r="G2299" s="49" t="n"/>
      <c r="H2299" s="48" t="n"/>
      <c r="I2299" s="50" t="n"/>
      <c r="J2299" s="48" t="n"/>
      <c r="K2299" s="48" t="n"/>
      <c r="L2299" s="48" t="n"/>
      <c r="M2299" s="48" t="n"/>
      <c r="N2299" s="48" t="n"/>
      <c r="O2299" s="51">
        <f>IF(AND(B2299="",G2299="",C2299="",D2299="",J2299=""),"",IF(B2299="","⚠ Falta fecha",IF(G2299="","⚠ Falta monto",IF(Q2299="","⚠ Falta cuenta",IF(ISNA(MATCH(Q2299,ctaNombre,0)),"⚠ Cuenta no registrada",IF(AND(OR(P2299="Gasto",P2299="Reembolso"),D2299=""),"⚠ Falta categoría",IF(AND(D2299&lt;&gt;"",E2299&lt;&gt;"",ISNA(MATCH(D2299&amp;"|"&amp;E2299,catClave,0))),"⚠ Subcategoría no corresponde",IF(AND(OR(P2299="Transferencia",P2299="Pago tarjeta"),K2299=""),"⚠ Falta cuenta destino",IF(AND(K2299&lt;&gt;"",P2299&lt;&gt;"Transferencia",P2299&lt;&gt;"Pago tarjeta"),"⚠ Destino solo aplica a transferencias",IF(AND(K2299&lt;&gt;"",K2299=Q2299),"⚠ Origen igual a destino",IF(AND(K2299&lt;&gt;"",ISNA(MATCH(K2299,ctaNombre,0))),"⚠ Destino no registrado",IF(AND(P2299="Pago tarjeta",AE2299&lt;&gt;"Tarjeta de crédito"),"⚠ El destino debe ser tarjeta de crédito",IF(AND(P2299="Gasto",E2299="Depósitos y retiros"),"⚠ Usa tipo Transferencia",IF(AND(P2299="Resultado trading",AD2299&lt;&gt;"Cuenta de trading"),"⚠ Usa una cuenta de trading",IF(AND(G2299&lt;=0,P2299&lt;&gt;"Ajuste",P2299&lt;&gt;"Resultado trading"),"⚠ El monto debe ser positivo","✓")))))))))))))))</f>
        <v/>
      </c>
      <c r="P2299" s="52">
        <f>IF(OR(B2299="",G2299=""),"",IF(C2299="","Gasto",C2299))</f>
        <v/>
      </c>
      <c r="Q2299" s="52">
        <f>IF(P2299="","",IF(J2299&lt;&gt;"",J2299,CuentaPred&amp;""))</f>
        <v/>
      </c>
      <c r="R2299" s="52">
        <f>IF(P2299="","",IF(ISNUMBER(I2299),I2299,TasaUSD))</f>
        <v/>
      </c>
      <c r="S2299" s="53">
        <f>IF(P2299="","",IF(H2299="USD",G2299*R2299,G2299))</f>
        <v/>
      </c>
      <c r="T2299" s="53">
        <f>IF(P2299="","",IF(H2299="USD",G2299,IF(R2299&gt;0,G2299/R2299,0)))</f>
        <v/>
      </c>
      <c r="U2299" s="53">
        <f>IF(P2299="","",IF(P2299="Gasto",S2299,IF(P2299="Reembolso",-S2299,0)))</f>
        <v/>
      </c>
      <c r="V2299" s="53">
        <f>IF(P2299="","",IF(P2299="Ingreso",S2299,0))</f>
        <v/>
      </c>
      <c r="W2299" s="53">
        <f>IF(P2299="","",IF(P2299="Resultado trading",S2299,0))</f>
        <v/>
      </c>
      <c r="X2299" s="52">
        <f>IF(OR(P2299="Gasto",P2299="Reembolso"),IF(M2299&lt;&gt;"",M2299,IFERROR(INDEX(catClasif,MATCH(D2299&amp;"|"&amp;E2299,catClave,0))&amp;"","Variable")),"")</f>
        <v/>
      </c>
      <c r="Y2299" s="52">
        <f>IF(P2299="","",IFERROR(INDEX(catGrupo,MATCH(D2299&amp;"|"&amp;E2299,catClave,0))&amp;"",""))</f>
        <v/>
      </c>
      <c r="Z2299" s="52">
        <f>IF(P2299="","",WEEKDAY(B2299,2))</f>
        <v/>
      </c>
      <c r="AA2299" s="52">
        <f>IF(P2299="","",IF(AND(P2299="Gasto",X2299="Variable",D2299&lt;&gt;catTrading,S2299&gt;0,S2299&lt;=Umbral),1,0))</f>
        <v/>
      </c>
      <c r="AB2299" s="52">
        <f>IF(OR(P2299="",Q2299=""),"",IFERROR(IF(INDEX(ctaVinc,MATCH(Q2299,ctaNombre,0))&amp;""&lt;&gt;"",INDEX(ctaVinc,MATCH(Q2299,ctaNombre,0))&amp;"",Q2299),Q2299))</f>
        <v/>
      </c>
      <c r="AC2299" s="52">
        <f>IF(OR(K2299="",AND(P2299&lt;&gt;"Transferencia",P2299&lt;&gt;"Pago tarjeta")),"",IFERROR(IF(INDEX(ctaVinc,MATCH(K2299,ctaNombre,0))&amp;""&lt;&gt;"",INDEX(ctaVinc,MATCH(K2299,ctaNombre,0))&amp;"",K2299),K2299))</f>
        <v/>
      </c>
      <c r="AD2299" s="52">
        <f>IF(AB2299="","",IFERROR(INDEX(ctaTipo,MATCH(AB2299,ctaNombre,0))&amp;"",""))</f>
        <v/>
      </c>
      <c r="AE2299" s="52">
        <f>IF(AC2299="","",IFERROR(INDEX(ctaTipo,MATCH(AC2299,ctaNombre,0))&amp;"",""))</f>
        <v/>
      </c>
      <c r="AF2299" s="53">
        <f>IF(OR(P2299="",AB2299=""),"",IF(OR(P2299="Gasto",P2299="Transferencia",P2299="Pago tarjeta"),-1,1)*IF(IFERROR(INDEX(ctaMoneda,MATCH(AB2299,ctaNombre,0))&amp;"","DOP")="USD",T2299,S2299))</f>
        <v/>
      </c>
      <c r="AG2299" s="53">
        <f>IF(AC2299="","",IF(IFERROR(INDEX(ctaMoneda,MATCH(AC2299,ctaNombre,0))&amp;"","DOP")="USD",T2299,S2299))</f>
        <v/>
      </c>
      <c r="AH2299" s="53">
        <f>IF(P2299="","",IF(AND(AD2299&lt;&gt;"",COUNTIFS(tcTipo,AD2299,tcLiq,"Sí")&gt;0),IF(OR(P2299="Gasto",P2299="Transferencia",P2299="Pago tarjeta"),-1,1)*S2299,0)+IF(AND(AE2299&lt;&gt;"",COUNTIFS(tcTipo,AE2299,tcLiq,"Sí")&gt;0),S2299,0))</f>
        <v/>
      </c>
      <c r="AI2299" s="52">
        <f>IF(OR(L2299="",P2299=""),"",IF(COUNTIFS(L$6:L2299,L2299,P$6:P2299,"?*")=1,MAX(AI$5:AI2298)+1,""))</f>
        <v/>
      </c>
    </row>
    <row r="2300">
      <c r="B2300" s="47" t="n"/>
      <c r="C2300" s="48" t="n"/>
      <c r="D2300" s="48" t="n"/>
      <c r="E2300" s="48" t="n"/>
      <c r="F2300" s="48" t="n"/>
      <c r="G2300" s="49" t="n"/>
      <c r="H2300" s="48" t="n"/>
      <c r="I2300" s="50" t="n"/>
      <c r="J2300" s="48" t="n"/>
      <c r="K2300" s="48" t="n"/>
      <c r="L2300" s="48" t="n"/>
      <c r="M2300" s="48" t="n"/>
      <c r="N2300" s="48" t="n"/>
      <c r="O2300" s="51">
        <f>IF(AND(B2300="",G2300="",C2300="",D2300="",J2300=""),"",IF(B2300="","⚠ Falta fecha",IF(G2300="","⚠ Falta monto",IF(Q2300="","⚠ Falta cuenta",IF(ISNA(MATCH(Q2300,ctaNombre,0)),"⚠ Cuenta no registrada",IF(AND(OR(P2300="Gasto",P2300="Reembolso"),D2300=""),"⚠ Falta categoría",IF(AND(D2300&lt;&gt;"",E2300&lt;&gt;"",ISNA(MATCH(D2300&amp;"|"&amp;E2300,catClave,0))),"⚠ Subcategoría no corresponde",IF(AND(OR(P2300="Transferencia",P2300="Pago tarjeta"),K2300=""),"⚠ Falta cuenta destino",IF(AND(K2300&lt;&gt;"",P2300&lt;&gt;"Transferencia",P2300&lt;&gt;"Pago tarjeta"),"⚠ Destino solo aplica a transferencias",IF(AND(K2300&lt;&gt;"",K2300=Q2300),"⚠ Origen igual a destino",IF(AND(K2300&lt;&gt;"",ISNA(MATCH(K2300,ctaNombre,0))),"⚠ Destino no registrado",IF(AND(P2300="Pago tarjeta",AE2300&lt;&gt;"Tarjeta de crédito"),"⚠ El destino debe ser tarjeta de crédito",IF(AND(P2300="Gasto",E2300="Depósitos y retiros"),"⚠ Usa tipo Transferencia",IF(AND(P2300="Resultado trading",AD2300&lt;&gt;"Cuenta de trading"),"⚠ Usa una cuenta de trading",IF(AND(G2300&lt;=0,P2300&lt;&gt;"Ajuste",P2300&lt;&gt;"Resultado trading"),"⚠ El monto debe ser positivo","✓")))))))))))))))</f>
        <v/>
      </c>
      <c r="P2300" s="52">
        <f>IF(OR(B2300="",G2300=""),"",IF(C2300="","Gasto",C2300))</f>
        <v/>
      </c>
      <c r="Q2300" s="52">
        <f>IF(P2300="","",IF(J2300&lt;&gt;"",J2300,CuentaPred&amp;""))</f>
        <v/>
      </c>
      <c r="R2300" s="52">
        <f>IF(P2300="","",IF(ISNUMBER(I2300),I2300,TasaUSD))</f>
        <v/>
      </c>
      <c r="S2300" s="53">
        <f>IF(P2300="","",IF(H2300="USD",G2300*R2300,G2300))</f>
        <v/>
      </c>
      <c r="T2300" s="53">
        <f>IF(P2300="","",IF(H2300="USD",G2300,IF(R2300&gt;0,G2300/R2300,0)))</f>
        <v/>
      </c>
      <c r="U2300" s="53">
        <f>IF(P2300="","",IF(P2300="Gasto",S2300,IF(P2300="Reembolso",-S2300,0)))</f>
        <v/>
      </c>
      <c r="V2300" s="53">
        <f>IF(P2300="","",IF(P2300="Ingreso",S2300,0))</f>
        <v/>
      </c>
      <c r="W2300" s="53">
        <f>IF(P2300="","",IF(P2300="Resultado trading",S2300,0))</f>
        <v/>
      </c>
      <c r="X2300" s="52">
        <f>IF(OR(P2300="Gasto",P2300="Reembolso"),IF(M2300&lt;&gt;"",M2300,IFERROR(INDEX(catClasif,MATCH(D2300&amp;"|"&amp;E2300,catClave,0))&amp;"","Variable")),"")</f>
        <v/>
      </c>
      <c r="Y2300" s="52">
        <f>IF(P2300="","",IFERROR(INDEX(catGrupo,MATCH(D2300&amp;"|"&amp;E2300,catClave,0))&amp;"",""))</f>
        <v/>
      </c>
      <c r="Z2300" s="52">
        <f>IF(P2300="","",WEEKDAY(B2300,2))</f>
        <v/>
      </c>
      <c r="AA2300" s="52">
        <f>IF(P2300="","",IF(AND(P2300="Gasto",X2300="Variable",D2300&lt;&gt;catTrading,S2300&gt;0,S2300&lt;=Umbral),1,0))</f>
        <v/>
      </c>
      <c r="AB2300" s="52">
        <f>IF(OR(P2300="",Q2300=""),"",IFERROR(IF(INDEX(ctaVinc,MATCH(Q2300,ctaNombre,0))&amp;""&lt;&gt;"",INDEX(ctaVinc,MATCH(Q2300,ctaNombre,0))&amp;"",Q2300),Q2300))</f>
        <v/>
      </c>
      <c r="AC2300" s="52">
        <f>IF(OR(K2300="",AND(P2300&lt;&gt;"Transferencia",P2300&lt;&gt;"Pago tarjeta")),"",IFERROR(IF(INDEX(ctaVinc,MATCH(K2300,ctaNombre,0))&amp;""&lt;&gt;"",INDEX(ctaVinc,MATCH(K2300,ctaNombre,0))&amp;"",K2300),K2300))</f>
        <v/>
      </c>
      <c r="AD2300" s="52">
        <f>IF(AB2300="","",IFERROR(INDEX(ctaTipo,MATCH(AB2300,ctaNombre,0))&amp;"",""))</f>
        <v/>
      </c>
      <c r="AE2300" s="52">
        <f>IF(AC2300="","",IFERROR(INDEX(ctaTipo,MATCH(AC2300,ctaNombre,0))&amp;"",""))</f>
        <v/>
      </c>
      <c r="AF2300" s="53">
        <f>IF(OR(P2300="",AB2300=""),"",IF(OR(P2300="Gasto",P2300="Transferencia",P2300="Pago tarjeta"),-1,1)*IF(IFERROR(INDEX(ctaMoneda,MATCH(AB2300,ctaNombre,0))&amp;"","DOP")="USD",T2300,S2300))</f>
        <v/>
      </c>
      <c r="AG2300" s="53">
        <f>IF(AC2300="","",IF(IFERROR(INDEX(ctaMoneda,MATCH(AC2300,ctaNombre,0))&amp;"","DOP")="USD",T2300,S2300))</f>
        <v/>
      </c>
      <c r="AH2300" s="53">
        <f>IF(P2300="","",IF(AND(AD2300&lt;&gt;"",COUNTIFS(tcTipo,AD2300,tcLiq,"Sí")&gt;0),IF(OR(P2300="Gasto",P2300="Transferencia",P2300="Pago tarjeta"),-1,1)*S2300,0)+IF(AND(AE2300&lt;&gt;"",COUNTIFS(tcTipo,AE2300,tcLiq,"Sí")&gt;0),S2300,0))</f>
        <v/>
      </c>
      <c r="AI2300" s="52">
        <f>IF(OR(L2300="",P2300=""),"",IF(COUNTIFS(L$6:L2300,L2300,P$6:P2300,"?*")=1,MAX(AI$5:AI2299)+1,""))</f>
        <v/>
      </c>
    </row>
    <row r="2301">
      <c r="B2301" s="47" t="n"/>
      <c r="C2301" s="48" t="n"/>
      <c r="D2301" s="48" t="n"/>
      <c r="E2301" s="48" t="n"/>
      <c r="F2301" s="48" t="n"/>
      <c r="G2301" s="49" t="n"/>
      <c r="H2301" s="48" t="n"/>
      <c r="I2301" s="50" t="n"/>
      <c r="J2301" s="48" t="n"/>
      <c r="K2301" s="48" t="n"/>
      <c r="L2301" s="48" t="n"/>
      <c r="M2301" s="48" t="n"/>
      <c r="N2301" s="48" t="n"/>
      <c r="O2301" s="51">
        <f>IF(AND(B2301="",G2301="",C2301="",D2301="",J2301=""),"",IF(B2301="","⚠ Falta fecha",IF(G2301="","⚠ Falta monto",IF(Q2301="","⚠ Falta cuenta",IF(ISNA(MATCH(Q2301,ctaNombre,0)),"⚠ Cuenta no registrada",IF(AND(OR(P2301="Gasto",P2301="Reembolso"),D2301=""),"⚠ Falta categoría",IF(AND(D2301&lt;&gt;"",E2301&lt;&gt;"",ISNA(MATCH(D2301&amp;"|"&amp;E2301,catClave,0))),"⚠ Subcategoría no corresponde",IF(AND(OR(P2301="Transferencia",P2301="Pago tarjeta"),K2301=""),"⚠ Falta cuenta destino",IF(AND(K2301&lt;&gt;"",P2301&lt;&gt;"Transferencia",P2301&lt;&gt;"Pago tarjeta"),"⚠ Destino solo aplica a transferencias",IF(AND(K2301&lt;&gt;"",K2301=Q2301),"⚠ Origen igual a destino",IF(AND(K2301&lt;&gt;"",ISNA(MATCH(K2301,ctaNombre,0))),"⚠ Destino no registrado",IF(AND(P2301="Pago tarjeta",AE2301&lt;&gt;"Tarjeta de crédito"),"⚠ El destino debe ser tarjeta de crédito",IF(AND(P2301="Gasto",E2301="Depósitos y retiros"),"⚠ Usa tipo Transferencia",IF(AND(P2301="Resultado trading",AD2301&lt;&gt;"Cuenta de trading"),"⚠ Usa una cuenta de trading",IF(AND(G2301&lt;=0,P2301&lt;&gt;"Ajuste",P2301&lt;&gt;"Resultado trading"),"⚠ El monto debe ser positivo","✓")))))))))))))))</f>
        <v/>
      </c>
      <c r="P2301" s="52">
        <f>IF(OR(B2301="",G2301=""),"",IF(C2301="","Gasto",C2301))</f>
        <v/>
      </c>
      <c r="Q2301" s="52">
        <f>IF(P2301="","",IF(J2301&lt;&gt;"",J2301,CuentaPred&amp;""))</f>
        <v/>
      </c>
      <c r="R2301" s="52">
        <f>IF(P2301="","",IF(ISNUMBER(I2301),I2301,TasaUSD))</f>
        <v/>
      </c>
      <c r="S2301" s="53">
        <f>IF(P2301="","",IF(H2301="USD",G2301*R2301,G2301))</f>
        <v/>
      </c>
      <c r="T2301" s="53">
        <f>IF(P2301="","",IF(H2301="USD",G2301,IF(R2301&gt;0,G2301/R2301,0)))</f>
        <v/>
      </c>
      <c r="U2301" s="53">
        <f>IF(P2301="","",IF(P2301="Gasto",S2301,IF(P2301="Reembolso",-S2301,0)))</f>
        <v/>
      </c>
      <c r="V2301" s="53">
        <f>IF(P2301="","",IF(P2301="Ingreso",S2301,0))</f>
        <v/>
      </c>
      <c r="W2301" s="53">
        <f>IF(P2301="","",IF(P2301="Resultado trading",S2301,0))</f>
        <v/>
      </c>
      <c r="X2301" s="52">
        <f>IF(OR(P2301="Gasto",P2301="Reembolso"),IF(M2301&lt;&gt;"",M2301,IFERROR(INDEX(catClasif,MATCH(D2301&amp;"|"&amp;E2301,catClave,0))&amp;"","Variable")),"")</f>
        <v/>
      </c>
      <c r="Y2301" s="52">
        <f>IF(P2301="","",IFERROR(INDEX(catGrupo,MATCH(D2301&amp;"|"&amp;E2301,catClave,0))&amp;"",""))</f>
        <v/>
      </c>
      <c r="Z2301" s="52">
        <f>IF(P2301="","",WEEKDAY(B2301,2))</f>
        <v/>
      </c>
      <c r="AA2301" s="52">
        <f>IF(P2301="","",IF(AND(P2301="Gasto",X2301="Variable",D2301&lt;&gt;catTrading,S2301&gt;0,S2301&lt;=Umbral),1,0))</f>
        <v/>
      </c>
      <c r="AB2301" s="52">
        <f>IF(OR(P2301="",Q2301=""),"",IFERROR(IF(INDEX(ctaVinc,MATCH(Q2301,ctaNombre,0))&amp;""&lt;&gt;"",INDEX(ctaVinc,MATCH(Q2301,ctaNombre,0))&amp;"",Q2301),Q2301))</f>
        <v/>
      </c>
      <c r="AC2301" s="52">
        <f>IF(OR(K2301="",AND(P2301&lt;&gt;"Transferencia",P2301&lt;&gt;"Pago tarjeta")),"",IFERROR(IF(INDEX(ctaVinc,MATCH(K2301,ctaNombre,0))&amp;""&lt;&gt;"",INDEX(ctaVinc,MATCH(K2301,ctaNombre,0))&amp;"",K2301),K2301))</f>
        <v/>
      </c>
      <c r="AD2301" s="52">
        <f>IF(AB2301="","",IFERROR(INDEX(ctaTipo,MATCH(AB2301,ctaNombre,0))&amp;"",""))</f>
        <v/>
      </c>
      <c r="AE2301" s="52">
        <f>IF(AC2301="","",IFERROR(INDEX(ctaTipo,MATCH(AC2301,ctaNombre,0))&amp;"",""))</f>
        <v/>
      </c>
      <c r="AF2301" s="53">
        <f>IF(OR(P2301="",AB2301=""),"",IF(OR(P2301="Gasto",P2301="Transferencia",P2301="Pago tarjeta"),-1,1)*IF(IFERROR(INDEX(ctaMoneda,MATCH(AB2301,ctaNombre,0))&amp;"","DOP")="USD",T2301,S2301))</f>
        <v/>
      </c>
      <c r="AG2301" s="53">
        <f>IF(AC2301="","",IF(IFERROR(INDEX(ctaMoneda,MATCH(AC2301,ctaNombre,0))&amp;"","DOP")="USD",T2301,S2301))</f>
        <v/>
      </c>
      <c r="AH2301" s="53">
        <f>IF(P2301="","",IF(AND(AD2301&lt;&gt;"",COUNTIFS(tcTipo,AD2301,tcLiq,"Sí")&gt;0),IF(OR(P2301="Gasto",P2301="Transferencia",P2301="Pago tarjeta"),-1,1)*S2301,0)+IF(AND(AE2301&lt;&gt;"",COUNTIFS(tcTipo,AE2301,tcLiq,"Sí")&gt;0),S2301,0))</f>
        <v/>
      </c>
      <c r="AI2301" s="52">
        <f>IF(OR(L2301="",P2301=""),"",IF(COUNTIFS(L$6:L2301,L2301,P$6:P2301,"?*")=1,MAX(AI$5:AI2300)+1,""))</f>
        <v/>
      </c>
    </row>
    <row r="2302">
      <c r="B2302" s="47" t="n"/>
      <c r="C2302" s="48" t="n"/>
      <c r="D2302" s="48" t="n"/>
      <c r="E2302" s="48" t="n"/>
      <c r="F2302" s="48" t="n"/>
      <c r="G2302" s="49" t="n"/>
      <c r="H2302" s="48" t="n"/>
      <c r="I2302" s="50" t="n"/>
      <c r="J2302" s="48" t="n"/>
      <c r="K2302" s="48" t="n"/>
      <c r="L2302" s="48" t="n"/>
      <c r="M2302" s="48" t="n"/>
      <c r="N2302" s="48" t="n"/>
      <c r="O2302" s="51">
        <f>IF(AND(B2302="",G2302="",C2302="",D2302="",J2302=""),"",IF(B2302="","⚠ Falta fecha",IF(G2302="","⚠ Falta monto",IF(Q2302="","⚠ Falta cuenta",IF(ISNA(MATCH(Q2302,ctaNombre,0)),"⚠ Cuenta no registrada",IF(AND(OR(P2302="Gasto",P2302="Reembolso"),D2302=""),"⚠ Falta categoría",IF(AND(D2302&lt;&gt;"",E2302&lt;&gt;"",ISNA(MATCH(D2302&amp;"|"&amp;E2302,catClave,0))),"⚠ Subcategoría no corresponde",IF(AND(OR(P2302="Transferencia",P2302="Pago tarjeta"),K2302=""),"⚠ Falta cuenta destino",IF(AND(K2302&lt;&gt;"",P2302&lt;&gt;"Transferencia",P2302&lt;&gt;"Pago tarjeta"),"⚠ Destino solo aplica a transferencias",IF(AND(K2302&lt;&gt;"",K2302=Q2302),"⚠ Origen igual a destino",IF(AND(K2302&lt;&gt;"",ISNA(MATCH(K2302,ctaNombre,0))),"⚠ Destino no registrado",IF(AND(P2302="Pago tarjeta",AE2302&lt;&gt;"Tarjeta de crédito"),"⚠ El destino debe ser tarjeta de crédito",IF(AND(P2302="Gasto",E2302="Depósitos y retiros"),"⚠ Usa tipo Transferencia",IF(AND(P2302="Resultado trading",AD2302&lt;&gt;"Cuenta de trading"),"⚠ Usa una cuenta de trading",IF(AND(G2302&lt;=0,P2302&lt;&gt;"Ajuste",P2302&lt;&gt;"Resultado trading"),"⚠ El monto debe ser positivo","✓")))))))))))))))</f>
        <v/>
      </c>
      <c r="P2302" s="52">
        <f>IF(OR(B2302="",G2302=""),"",IF(C2302="","Gasto",C2302))</f>
        <v/>
      </c>
      <c r="Q2302" s="52">
        <f>IF(P2302="","",IF(J2302&lt;&gt;"",J2302,CuentaPred&amp;""))</f>
        <v/>
      </c>
      <c r="R2302" s="52">
        <f>IF(P2302="","",IF(ISNUMBER(I2302),I2302,TasaUSD))</f>
        <v/>
      </c>
      <c r="S2302" s="53">
        <f>IF(P2302="","",IF(H2302="USD",G2302*R2302,G2302))</f>
        <v/>
      </c>
      <c r="T2302" s="53">
        <f>IF(P2302="","",IF(H2302="USD",G2302,IF(R2302&gt;0,G2302/R2302,0)))</f>
        <v/>
      </c>
      <c r="U2302" s="53">
        <f>IF(P2302="","",IF(P2302="Gasto",S2302,IF(P2302="Reembolso",-S2302,0)))</f>
        <v/>
      </c>
      <c r="V2302" s="53">
        <f>IF(P2302="","",IF(P2302="Ingreso",S2302,0))</f>
        <v/>
      </c>
      <c r="W2302" s="53">
        <f>IF(P2302="","",IF(P2302="Resultado trading",S2302,0))</f>
        <v/>
      </c>
      <c r="X2302" s="52">
        <f>IF(OR(P2302="Gasto",P2302="Reembolso"),IF(M2302&lt;&gt;"",M2302,IFERROR(INDEX(catClasif,MATCH(D2302&amp;"|"&amp;E2302,catClave,0))&amp;"","Variable")),"")</f>
        <v/>
      </c>
      <c r="Y2302" s="52">
        <f>IF(P2302="","",IFERROR(INDEX(catGrupo,MATCH(D2302&amp;"|"&amp;E2302,catClave,0))&amp;"",""))</f>
        <v/>
      </c>
      <c r="Z2302" s="52">
        <f>IF(P2302="","",WEEKDAY(B2302,2))</f>
        <v/>
      </c>
      <c r="AA2302" s="52">
        <f>IF(P2302="","",IF(AND(P2302="Gasto",X2302="Variable",D2302&lt;&gt;catTrading,S2302&gt;0,S2302&lt;=Umbral),1,0))</f>
        <v/>
      </c>
      <c r="AB2302" s="52">
        <f>IF(OR(P2302="",Q2302=""),"",IFERROR(IF(INDEX(ctaVinc,MATCH(Q2302,ctaNombre,0))&amp;""&lt;&gt;"",INDEX(ctaVinc,MATCH(Q2302,ctaNombre,0))&amp;"",Q2302),Q2302))</f>
        <v/>
      </c>
      <c r="AC2302" s="52">
        <f>IF(OR(K2302="",AND(P2302&lt;&gt;"Transferencia",P2302&lt;&gt;"Pago tarjeta")),"",IFERROR(IF(INDEX(ctaVinc,MATCH(K2302,ctaNombre,0))&amp;""&lt;&gt;"",INDEX(ctaVinc,MATCH(K2302,ctaNombre,0))&amp;"",K2302),K2302))</f>
        <v/>
      </c>
      <c r="AD2302" s="52">
        <f>IF(AB2302="","",IFERROR(INDEX(ctaTipo,MATCH(AB2302,ctaNombre,0))&amp;"",""))</f>
        <v/>
      </c>
      <c r="AE2302" s="52">
        <f>IF(AC2302="","",IFERROR(INDEX(ctaTipo,MATCH(AC2302,ctaNombre,0))&amp;"",""))</f>
        <v/>
      </c>
      <c r="AF2302" s="53">
        <f>IF(OR(P2302="",AB2302=""),"",IF(OR(P2302="Gasto",P2302="Transferencia",P2302="Pago tarjeta"),-1,1)*IF(IFERROR(INDEX(ctaMoneda,MATCH(AB2302,ctaNombre,0))&amp;"","DOP")="USD",T2302,S2302))</f>
        <v/>
      </c>
      <c r="AG2302" s="53">
        <f>IF(AC2302="","",IF(IFERROR(INDEX(ctaMoneda,MATCH(AC2302,ctaNombre,0))&amp;"","DOP")="USD",T2302,S2302))</f>
        <v/>
      </c>
      <c r="AH2302" s="53">
        <f>IF(P2302="","",IF(AND(AD2302&lt;&gt;"",COUNTIFS(tcTipo,AD2302,tcLiq,"Sí")&gt;0),IF(OR(P2302="Gasto",P2302="Transferencia",P2302="Pago tarjeta"),-1,1)*S2302,0)+IF(AND(AE2302&lt;&gt;"",COUNTIFS(tcTipo,AE2302,tcLiq,"Sí")&gt;0),S2302,0))</f>
        <v/>
      </c>
      <c r="AI2302" s="52">
        <f>IF(OR(L2302="",P2302=""),"",IF(COUNTIFS(L$6:L2302,L2302,P$6:P2302,"?*")=1,MAX(AI$5:AI2301)+1,""))</f>
        <v/>
      </c>
    </row>
    <row r="2303">
      <c r="B2303" s="47" t="n"/>
      <c r="C2303" s="48" t="n"/>
      <c r="D2303" s="48" t="n"/>
      <c r="E2303" s="48" t="n"/>
      <c r="F2303" s="48" t="n"/>
      <c r="G2303" s="49" t="n"/>
      <c r="H2303" s="48" t="n"/>
      <c r="I2303" s="50" t="n"/>
      <c r="J2303" s="48" t="n"/>
      <c r="K2303" s="48" t="n"/>
      <c r="L2303" s="48" t="n"/>
      <c r="M2303" s="48" t="n"/>
      <c r="N2303" s="48" t="n"/>
      <c r="O2303" s="51">
        <f>IF(AND(B2303="",G2303="",C2303="",D2303="",J2303=""),"",IF(B2303="","⚠ Falta fecha",IF(G2303="","⚠ Falta monto",IF(Q2303="","⚠ Falta cuenta",IF(ISNA(MATCH(Q2303,ctaNombre,0)),"⚠ Cuenta no registrada",IF(AND(OR(P2303="Gasto",P2303="Reembolso"),D2303=""),"⚠ Falta categoría",IF(AND(D2303&lt;&gt;"",E2303&lt;&gt;"",ISNA(MATCH(D2303&amp;"|"&amp;E2303,catClave,0))),"⚠ Subcategoría no corresponde",IF(AND(OR(P2303="Transferencia",P2303="Pago tarjeta"),K2303=""),"⚠ Falta cuenta destino",IF(AND(K2303&lt;&gt;"",P2303&lt;&gt;"Transferencia",P2303&lt;&gt;"Pago tarjeta"),"⚠ Destino solo aplica a transferencias",IF(AND(K2303&lt;&gt;"",K2303=Q2303),"⚠ Origen igual a destino",IF(AND(K2303&lt;&gt;"",ISNA(MATCH(K2303,ctaNombre,0))),"⚠ Destino no registrado",IF(AND(P2303="Pago tarjeta",AE2303&lt;&gt;"Tarjeta de crédito"),"⚠ El destino debe ser tarjeta de crédito",IF(AND(P2303="Gasto",E2303="Depósitos y retiros"),"⚠ Usa tipo Transferencia",IF(AND(P2303="Resultado trading",AD2303&lt;&gt;"Cuenta de trading"),"⚠ Usa una cuenta de trading",IF(AND(G2303&lt;=0,P2303&lt;&gt;"Ajuste",P2303&lt;&gt;"Resultado trading"),"⚠ El monto debe ser positivo","✓")))))))))))))))</f>
        <v/>
      </c>
      <c r="P2303" s="52">
        <f>IF(OR(B2303="",G2303=""),"",IF(C2303="","Gasto",C2303))</f>
        <v/>
      </c>
      <c r="Q2303" s="52">
        <f>IF(P2303="","",IF(J2303&lt;&gt;"",J2303,CuentaPred&amp;""))</f>
        <v/>
      </c>
      <c r="R2303" s="52">
        <f>IF(P2303="","",IF(ISNUMBER(I2303),I2303,TasaUSD))</f>
        <v/>
      </c>
      <c r="S2303" s="53">
        <f>IF(P2303="","",IF(H2303="USD",G2303*R2303,G2303))</f>
        <v/>
      </c>
      <c r="T2303" s="53">
        <f>IF(P2303="","",IF(H2303="USD",G2303,IF(R2303&gt;0,G2303/R2303,0)))</f>
        <v/>
      </c>
      <c r="U2303" s="53">
        <f>IF(P2303="","",IF(P2303="Gasto",S2303,IF(P2303="Reembolso",-S2303,0)))</f>
        <v/>
      </c>
      <c r="V2303" s="53">
        <f>IF(P2303="","",IF(P2303="Ingreso",S2303,0))</f>
        <v/>
      </c>
      <c r="W2303" s="53">
        <f>IF(P2303="","",IF(P2303="Resultado trading",S2303,0))</f>
        <v/>
      </c>
      <c r="X2303" s="52">
        <f>IF(OR(P2303="Gasto",P2303="Reembolso"),IF(M2303&lt;&gt;"",M2303,IFERROR(INDEX(catClasif,MATCH(D2303&amp;"|"&amp;E2303,catClave,0))&amp;"","Variable")),"")</f>
        <v/>
      </c>
      <c r="Y2303" s="52">
        <f>IF(P2303="","",IFERROR(INDEX(catGrupo,MATCH(D2303&amp;"|"&amp;E2303,catClave,0))&amp;"",""))</f>
        <v/>
      </c>
      <c r="Z2303" s="52">
        <f>IF(P2303="","",WEEKDAY(B2303,2))</f>
        <v/>
      </c>
      <c r="AA2303" s="52">
        <f>IF(P2303="","",IF(AND(P2303="Gasto",X2303="Variable",D2303&lt;&gt;catTrading,S2303&gt;0,S2303&lt;=Umbral),1,0))</f>
        <v/>
      </c>
      <c r="AB2303" s="52">
        <f>IF(OR(P2303="",Q2303=""),"",IFERROR(IF(INDEX(ctaVinc,MATCH(Q2303,ctaNombre,0))&amp;""&lt;&gt;"",INDEX(ctaVinc,MATCH(Q2303,ctaNombre,0))&amp;"",Q2303),Q2303))</f>
        <v/>
      </c>
      <c r="AC2303" s="52">
        <f>IF(OR(K2303="",AND(P2303&lt;&gt;"Transferencia",P2303&lt;&gt;"Pago tarjeta")),"",IFERROR(IF(INDEX(ctaVinc,MATCH(K2303,ctaNombre,0))&amp;""&lt;&gt;"",INDEX(ctaVinc,MATCH(K2303,ctaNombre,0))&amp;"",K2303),K2303))</f>
        <v/>
      </c>
      <c r="AD2303" s="52">
        <f>IF(AB2303="","",IFERROR(INDEX(ctaTipo,MATCH(AB2303,ctaNombre,0))&amp;"",""))</f>
        <v/>
      </c>
      <c r="AE2303" s="52">
        <f>IF(AC2303="","",IFERROR(INDEX(ctaTipo,MATCH(AC2303,ctaNombre,0))&amp;"",""))</f>
        <v/>
      </c>
      <c r="AF2303" s="53">
        <f>IF(OR(P2303="",AB2303=""),"",IF(OR(P2303="Gasto",P2303="Transferencia",P2303="Pago tarjeta"),-1,1)*IF(IFERROR(INDEX(ctaMoneda,MATCH(AB2303,ctaNombre,0))&amp;"","DOP")="USD",T2303,S2303))</f>
        <v/>
      </c>
      <c r="AG2303" s="53">
        <f>IF(AC2303="","",IF(IFERROR(INDEX(ctaMoneda,MATCH(AC2303,ctaNombre,0))&amp;"","DOP")="USD",T2303,S2303))</f>
        <v/>
      </c>
      <c r="AH2303" s="53">
        <f>IF(P2303="","",IF(AND(AD2303&lt;&gt;"",COUNTIFS(tcTipo,AD2303,tcLiq,"Sí")&gt;0),IF(OR(P2303="Gasto",P2303="Transferencia",P2303="Pago tarjeta"),-1,1)*S2303,0)+IF(AND(AE2303&lt;&gt;"",COUNTIFS(tcTipo,AE2303,tcLiq,"Sí")&gt;0),S2303,0))</f>
        <v/>
      </c>
      <c r="AI2303" s="52">
        <f>IF(OR(L2303="",P2303=""),"",IF(COUNTIFS(L$6:L2303,L2303,P$6:P2303,"?*")=1,MAX(AI$5:AI2302)+1,""))</f>
        <v/>
      </c>
    </row>
    <row r="2304">
      <c r="B2304" s="47" t="n"/>
      <c r="C2304" s="48" t="n"/>
      <c r="D2304" s="48" t="n"/>
      <c r="E2304" s="48" t="n"/>
      <c r="F2304" s="48" t="n"/>
      <c r="G2304" s="49" t="n"/>
      <c r="H2304" s="48" t="n"/>
      <c r="I2304" s="50" t="n"/>
      <c r="J2304" s="48" t="n"/>
      <c r="K2304" s="48" t="n"/>
      <c r="L2304" s="48" t="n"/>
      <c r="M2304" s="48" t="n"/>
      <c r="N2304" s="48" t="n"/>
      <c r="O2304" s="51">
        <f>IF(AND(B2304="",G2304="",C2304="",D2304="",J2304=""),"",IF(B2304="","⚠ Falta fecha",IF(G2304="","⚠ Falta monto",IF(Q2304="","⚠ Falta cuenta",IF(ISNA(MATCH(Q2304,ctaNombre,0)),"⚠ Cuenta no registrada",IF(AND(OR(P2304="Gasto",P2304="Reembolso"),D2304=""),"⚠ Falta categoría",IF(AND(D2304&lt;&gt;"",E2304&lt;&gt;"",ISNA(MATCH(D2304&amp;"|"&amp;E2304,catClave,0))),"⚠ Subcategoría no corresponde",IF(AND(OR(P2304="Transferencia",P2304="Pago tarjeta"),K2304=""),"⚠ Falta cuenta destino",IF(AND(K2304&lt;&gt;"",P2304&lt;&gt;"Transferencia",P2304&lt;&gt;"Pago tarjeta"),"⚠ Destino solo aplica a transferencias",IF(AND(K2304&lt;&gt;"",K2304=Q2304),"⚠ Origen igual a destino",IF(AND(K2304&lt;&gt;"",ISNA(MATCH(K2304,ctaNombre,0))),"⚠ Destino no registrado",IF(AND(P2304="Pago tarjeta",AE2304&lt;&gt;"Tarjeta de crédito"),"⚠ El destino debe ser tarjeta de crédito",IF(AND(P2304="Gasto",E2304="Depósitos y retiros"),"⚠ Usa tipo Transferencia",IF(AND(P2304="Resultado trading",AD2304&lt;&gt;"Cuenta de trading"),"⚠ Usa una cuenta de trading",IF(AND(G2304&lt;=0,P2304&lt;&gt;"Ajuste",P2304&lt;&gt;"Resultado trading"),"⚠ El monto debe ser positivo","✓")))))))))))))))</f>
        <v/>
      </c>
      <c r="P2304" s="52">
        <f>IF(OR(B2304="",G2304=""),"",IF(C2304="","Gasto",C2304))</f>
        <v/>
      </c>
      <c r="Q2304" s="52">
        <f>IF(P2304="","",IF(J2304&lt;&gt;"",J2304,CuentaPred&amp;""))</f>
        <v/>
      </c>
      <c r="R2304" s="52">
        <f>IF(P2304="","",IF(ISNUMBER(I2304),I2304,TasaUSD))</f>
        <v/>
      </c>
      <c r="S2304" s="53">
        <f>IF(P2304="","",IF(H2304="USD",G2304*R2304,G2304))</f>
        <v/>
      </c>
      <c r="T2304" s="53">
        <f>IF(P2304="","",IF(H2304="USD",G2304,IF(R2304&gt;0,G2304/R2304,0)))</f>
        <v/>
      </c>
      <c r="U2304" s="53">
        <f>IF(P2304="","",IF(P2304="Gasto",S2304,IF(P2304="Reembolso",-S2304,0)))</f>
        <v/>
      </c>
      <c r="V2304" s="53">
        <f>IF(P2304="","",IF(P2304="Ingreso",S2304,0))</f>
        <v/>
      </c>
      <c r="W2304" s="53">
        <f>IF(P2304="","",IF(P2304="Resultado trading",S2304,0))</f>
        <v/>
      </c>
      <c r="X2304" s="52">
        <f>IF(OR(P2304="Gasto",P2304="Reembolso"),IF(M2304&lt;&gt;"",M2304,IFERROR(INDEX(catClasif,MATCH(D2304&amp;"|"&amp;E2304,catClave,0))&amp;"","Variable")),"")</f>
        <v/>
      </c>
      <c r="Y2304" s="52">
        <f>IF(P2304="","",IFERROR(INDEX(catGrupo,MATCH(D2304&amp;"|"&amp;E2304,catClave,0))&amp;"",""))</f>
        <v/>
      </c>
      <c r="Z2304" s="52">
        <f>IF(P2304="","",WEEKDAY(B2304,2))</f>
        <v/>
      </c>
      <c r="AA2304" s="52">
        <f>IF(P2304="","",IF(AND(P2304="Gasto",X2304="Variable",D2304&lt;&gt;catTrading,S2304&gt;0,S2304&lt;=Umbral),1,0))</f>
        <v/>
      </c>
      <c r="AB2304" s="52">
        <f>IF(OR(P2304="",Q2304=""),"",IFERROR(IF(INDEX(ctaVinc,MATCH(Q2304,ctaNombre,0))&amp;""&lt;&gt;"",INDEX(ctaVinc,MATCH(Q2304,ctaNombre,0))&amp;"",Q2304),Q2304))</f>
        <v/>
      </c>
      <c r="AC2304" s="52">
        <f>IF(OR(K2304="",AND(P2304&lt;&gt;"Transferencia",P2304&lt;&gt;"Pago tarjeta")),"",IFERROR(IF(INDEX(ctaVinc,MATCH(K2304,ctaNombre,0))&amp;""&lt;&gt;"",INDEX(ctaVinc,MATCH(K2304,ctaNombre,0))&amp;"",K2304),K2304))</f>
        <v/>
      </c>
      <c r="AD2304" s="52">
        <f>IF(AB2304="","",IFERROR(INDEX(ctaTipo,MATCH(AB2304,ctaNombre,0))&amp;"",""))</f>
        <v/>
      </c>
      <c r="AE2304" s="52">
        <f>IF(AC2304="","",IFERROR(INDEX(ctaTipo,MATCH(AC2304,ctaNombre,0))&amp;"",""))</f>
        <v/>
      </c>
      <c r="AF2304" s="53">
        <f>IF(OR(P2304="",AB2304=""),"",IF(OR(P2304="Gasto",P2304="Transferencia",P2304="Pago tarjeta"),-1,1)*IF(IFERROR(INDEX(ctaMoneda,MATCH(AB2304,ctaNombre,0))&amp;"","DOP")="USD",T2304,S2304))</f>
        <v/>
      </c>
      <c r="AG2304" s="53">
        <f>IF(AC2304="","",IF(IFERROR(INDEX(ctaMoneda,MATCH(AC2304,ctaNombre,0))&amp;"","DOP")="USD",T2304,S2304))</f>
        <v/>
      </c>
      <c r="AH2304" s="53">
        <f>IF(P2304="","",IF(AND(AD2304&lt;&gt;"",COUNTIFS(tcTipo,AD2304,tcLiq,"Sí")&gt;0),IF(OR(P2304="Gasto",P2304="Transferencia",P2304="Pago tarjeta"),-1,1)*S2304,0)+IF(AND(AE2304&lt;&gt;"",COUNTIFS(tcTipo,AE2304,tcLiq,"Sí")&gt;0),S2304,0))</f>
        <v/>
      </c>
      <c r="AI2304" s="52">
        <f>IF(OR(L2304="",P2304=""),"",IF(COUNTIFS(L$6:L2304,L2304,P$6:P2304,"?*")=1,MAX(AI$5:AI2303)+1,""))</f>
        <v/>
      </c>
    </row>
    <row r="2305">
      <c r="B2305" s="47" t="n"/>
      <c r="C2305" s="48" t="n"/>
      <c r="D2305" s="48" t="n"/>
      <c r="E2305" s="48" t="n"/>
      <c r="F2305" s="48" t="n"/>
      <c r="G2305" s="49" t="n"/>
      <c r="H2305" s="48" t="n"/>
      <c r="I2305" s="50" t="n"/>
      <c r="J2305" s="48" t="n"/>
      <c r="K2305" s="48" t="n"/>
      <c r="L2305" s="48" t="n"/>
      <c r="M2305" s="48" t="n"/>
      <c r="N2305" s="48" t="n"/>
      <c r="O2305" s="51">
        <f>IF(AND(B2305="",G2305="",C2305="",D2305="",J2305=""),"",IF(B2305="","⚠ Falta fecha",IF(G2305="","⚠ Falta monto",IF(Q2305="","⚠ Falta cuenta",IF(ISNA(MATCH(Q2305,ctaNombre,0)),"⚠ Cuenta no registrada",IF(AND(OR(P2305="Gasto",P2305="Reembolso"),D2305=""),"⚠ Falta categoría",IF(AND(D2305&lt;&gt;"",E2305&lt;&gt;"",ISNA(MATCH(D2305&amp;"|"&amp;E2305,catClave,0))),"⚠ Subcategoría no corresponde",IF(AND(OR(P2305="Transferencia",P2305="Pago tarjeta"),K2305=""),"⚠ Falta cuenta destino",IF(AND(K2305&lt;&gt;"",P2305&lt;&gt;"Transferencia",P2305&lt;&gt;"Pago tarjeta"),"⚠ Destino solo aplica a transferencias",IF(AND(K2305&lt;&gt;"",K2305=Q2305),"⚠ Origen igual a destino",IF(AND(K2305&lt;&gt;"",ISNA(MATCH(K2305,ctaNombre,0))),"⚠ Destino no registrado",IF(AND(P2305="Pago tarjeta",AE2305&lt;&gt;"Tarjeta de crédito"),"⚠ El destino debe ser tarjeta de crédito",IF(AND(P2305="Gasto",E2305="Depósitos y retiros"),"⚠ Usa tipo Transferencia",IF(AND(P2305="Resultado trading",AD2305&lt;&gt;"Cuenta de trading"),"⚠ Usa una cuenta de trading",IF(AND(G2305&lt;=0,P2305&lt;&gt;"Ajuste",P2305&lt;&gt;"Resultado trading"),"⚠ El monto debe ser positivo","✓")))))))))))))))</f>
        <v/>
      </c>
      <c r="P2305" s="52">
        <f>IF(OR(B2305="",G2305=""),"",IF(C2305="","Gasto",C2305))</f>
        <v/>
      </c>
      <c r="Q2305" s="52">
        <f>IF(P2305="","",IF(J2305&lt;&gt;"",J2305,CuentaPred&amp;""))</f>
        <v/>
      </c>
      <c r="R2305" s="52">
        <f>IF(P2305="","",IF(ISNUMBER(I2305),I2305,TasaUSD))</f>
        <v/>
      </c>
      <c r="S2305" s="53">
        <f>IF(P2305="","",IF(H2305="USD",G2305*R2305,G2305))</f>
        <v/>
      </c>
      <c r="T2305" s="53">
        <f>IF(P2305="","",IF(H2305="USD",G2305,IF(R2305&gt;0,G2305/R2305,0)))</f>
        <v/>
      </c>
      <c r="U2305" s="53">
        <f>IF(P2305="","",IF(P2305="Gasto",S2305,IF(P2305="Reembolso",-S2305,0)))</f>
        <v/>
      </c>
      <c r="V2305" s="53">
        <f>IF(P2305="","",IF(P2305="Ingreso",S2305,0))</f>
        <v/>
      </c>
      <c r="W2305" s="53">
        <f>IF(P2305="","",IF(P2305="Resultado trading",S2305,0))</f>
        <v/>
      </c>
      <c r="X2305" s="52">
        <f>IF(OR(P2305="Gasto",P2305="Reembolso"),IF(M2305&lt;&gt;"",M2305,IFERROR(INDEX(catClasif,MATCH(D2305&amp;"|"&amp;E2305,catClave,0))&amp;"","Variable")),"")</f>
        <v/>
      </c>
      <c r="Y2305" s="52">
        <f>IF(P2305="","",IFERROR(INDEX(catGrupo,MATCH(D2305&amp;"|"&amp;E2305,catClave,0))&amp;"",""))</f>
        <v/>
      </c>
      <c r="Z2305" s="52">
        <f>IF(P2305="","",WEEKDAY(B2305,2))</f>
        <v/>
      </c>
      <c r="AA2305" s="52">
        <f>IF(P2305="","",IF(AND(P2305="Gasto",X2305="Variable",D2305&lt;&gt;catTrading,S2305&gt;0,S2305&lt;=Umbral),1,0))</f>
        <v/>
      </c>
      <c r="AB2305" s="52">
        <f>IF(OR(P2305="",Q2305=""),"",IFERROR(IF(INDEX(ctaVinc,MATCH(Q2305,ctaNombre,0))&amp;""&lt;&gt;"",INDEX(ctaVinc,MATCH(Q2305,ctaNombre,0))&amp;"",Q2305),Q2305))</f>
        <v/>
      </c>
      <c r="AC2305" s="52">
        <f>IF(OR(K2305="",AND(P2305&lt;&gt;"Transferencia",P2305&lt;&gt;"Pago tarjeta")),"",IFERROR(IF(INDEX(ctaVinc,MATCH(K2305,ctaNombre,0))&amp;""&lt;&gt;"",INDEX(ctaVinc,MATCH(K2305,ctaNombre,0))&amp;"",K2305),K2305))</f>
        <v/>
      </c>
      <c r="AD2305" s="52">
        <f>IF(AB2305="","",IFERROR(INDEX(ctaTipo,MATCH(AB2305,ctaNombre,0))&amp;"",""))</f>
        <v/>
      </c>
      <c r="AE2305" s="52">
        <f>IF(AC2305="","",IFERROR(INDEX(ctaTipo,MATCH(AC2305,ctaNombre,0))&amp;"",""))</f>
        <v/>
      </c>
      <c r="AF2305" s="53">
        <f>IF(OR(P2305="",AB2305=""),"",IF(OR(P2305="Gasto",P2305="Transferencia",P2305="Pago tarjeta"),-1,1)*IF(IFERROR(INDEX(ctaMoneda,MATCH(AB2305,ctaNombre,0))&amp;"","DOP")="USD",T2305,S2305))</f>
        <v/>
      </c>
      <c r="AG2305" s="53">
        <f>IF(AC2305="","",IF(IFERROR(INDEX(ctaMoneda,MATCH(AC2305,ctaNombre,0))&amp;"","DOP")="USD",T2305,S2305))</f>
        <v/>
      </c>
      <c r="AH2305" s="53">
        <f>IF(P2305="","",IF(AND(AD2305&lt;&gt;"",COUNTIFS(tcTipo,AD2305,tcLiq,"Sí")&gt;0),IF(OR(P2305="Gasto",P2305="Transferencia",P2305="Pago tarjeta"),-1,1)*S2305,0)+IF(AND(AE2305&lt;&gt;"",COUNTIFS(tcTipo,AE2305,tcLiq,"Sí")&gt;0),S2305,0))</f>
        <v/>
      </c>
      <c r="AI2305" s="52">
        <f>IF(OR(L2305="",P2305=""),"",IF(COUNTIFS(L$6:L2305,L2305,P$6:P2305,"?*")=1,MAX(AI$5:AI2304)+1,""))</f>
        <v/>
      </c>
    </row>
    <row r="2306">
      <c r="B2306" s="47" t="n"/>
      <c r="C2306" s="48" t="n"/>
      <c r="D2306" s="48" t="n"/>
      <c r="E2306" s="48" t="n"/>
      <c r="F2306" s="48" t="n"/>
      <c r="G2306" s="49" t="n"/>
      <c r="H2306" s="48" t="n"/>
      <c r="I2306" s="50" t="n"/>
      <c r="J2306" s="48" t="n"/>
      <c r="K2306" s="48" t="n"/>
      <c r="L2306" s="48" t="n"/>
      <c r="M2306" s="48" t="n"/>
      <c r="N2306" s="48" t="n"/>
      <c r="O2306" s="51">
        <f>IF(AND(B2306="",G2306="",C2306="",D2306="",J2306=""),"",IF(B2306="","⚠ Falta fecha",IF(G2306="","⚠ Falta monto",IF(Q2306="","⚠ Falta cuenta",IF(ISNA(MATCH(Q2306,ctaNombre,0)),"⚠ Cuenta no registrada",IF(AND(OR(P2306="Gasto",P2306="Reembolso"),D2306=""),"⚠ Falta categoría",IF(AND(D2306&lt;&gt;"",E2306&lt;&gt;"",ISNA(MATCH(D2306&amp;"|"&amp;E2306,catClave,0))),"⚠ Subcategoría no corresponde",IF(AND(OR(P2306="Transferencia",P2306="Pago tarjeta"),K2306=""),"⚠ Falta cuenta destino",IF(AND(K2306&lt;&gt;"",P2306&lt;&gt;"Transferencia",P2306&lt;&gt;"Pago tarjeta"),"⚠ Destino solo aplica a transferencias",IF(AND(K2306&lt;&gt;"",K2306=Q2306),"⚠ Origen igual a destino",IF(AND(K2306&lt;&gt;"",ISNA(MATCH(K2306,ctaNombre,0))),"⚠ Destino no registrado",IF(AND(P2306="Pago tarjeta",AE2306&lt;&gt;"Tarjeta de crédito"),"⚠ El destino debe ser tarjeta de crédito",IF(AND(P2306="Gasto",E2306="Depósitos y retiros"),"⚠ Usa tipo Transferencia",IF(AND(P2306="Resultado trading",AD2306&lt;&gt;"Cuenta de trading"),"⚠ Usa una cuenta de trading",IF(AND(G2306&lt;=0,P2306&lt;&gt;"Ajuste",P2306&lt;&gt;"Resultado trading"),"⚠ El monto debe ser positivo","✓")))))))))))))))</f>
        <v/>
      </c>
      <c r="P2306" s="52">
        <f>IF(OR(B2306="",G2306=""),"",IF(C2306="","Gasto",C2306))</f>
        <v/>
      </c>
      <c r="Q2306" s="52">
        <f>IF(P2306="","",IF(J2306&lt;&gt;"",J2306,CuentaPred&amp;""))</f>
        <v/>
      </c>
      <c r="R2306" s="52">
        <f>IF(P2306="","",IF(ISNUMBER(I2306),I2306,TasaUSD))</f>
        <v/>
      </c>
      <c r="S2306" s="53">
        <f>IF(P2306="","",IF(H2306="USD",G2306*R2306,G2306))</f>
        <v/>
      </c>
      <c r="T2306" s="53">
        <f>IF(P2306="","",IF(H2306="USD",G2306,IF(R2306&gt;0,G2306/R2306,0)))</f>
        <v/>
      </c>
      <c r="U2306" s="53">
        <f>IF(P2306="","",IF(P2306="Gasto",S2306,IF(P2306="Reembolso",-S2306,0)))</f>
        <v/>
      </c>
      <c r="V2306" s="53">
        <f>IF(P2306="","",IF(P2306="Ingreso",S2306,0))</f>
        <v/>
      </c>
      <c r="W2306" s="53">
        <f>IF(P2306="","",IF(P2306="Resultado trading",S2306,0))</f>
        <v/>
      </c>
      <c r="X2306" s="52">
        <f>IF(OR(P2306="Gasto",P2306="Reembolso"),IF(M2306&lt;&gt;"",M2306,IFERROR(INDEX(catClasif,MATCH(D2306&amp;"|"&amp;E2306,catClave,0))&amp;"","Variable")),"")</f>
        <v/>
      </c>
      <c r="Y2306" s="52">
        <f>IF(P2306="","",IFERROR(INDEX(catGrupo,MATCH(D2306&amp;"|"&amp;E2306,catClave,0))&amp;"",""))</f>
        <v/>
      </c>
      <c r="Z2306" s="52">
        <f>IF(P2306="","",WEEKDAY(B2306,2))</f>
        <v/>
      </c>
      <c r="AA2306" s="52">
        <f>IF(P2306="","",IF(AND(P2306="Gasto",X2306="Variable",D2306&lt;&gt;catTrading,S2306&gt;0,S2306&lt;=Umbral),1,0))</f>
        <v/>
      </c>
      <c r="AB2306" s="52">
        <f>IF(OR(P2306="",Q2306=""),"",IFERROR(IF(INDEX(ctaVinc,MATCH(Q2306,ctaNombre,0))&amp;""&lt;&gt;"",INDEX(ctaVinc,MATCH(Q2306,ctaNombre,0))&amp;"",Q2306),Q2306))</f>
        <v/>
      </c>
      <c r="AC2306" s="52">
        <f>IF(OR(K2306="",AND(P2306&lt;&gt;"Transferencia",P2306&lt;&gt;"Pago tarjeta")),"",IFERROR(IF(INDEX(ctaVinc,MATCH(K2306,ctaNombre,0))&amp;""&lt;&gt;"",INDEX(ctaVinc,MATCH(K2306,ctaNombre,0))&amp;"",K2306),K2306))</f>
        <v/>
      </c>
      <c r="AD2306" s="52">
        <f>IF(AB2306="","",IFERROR(INDEX(ctaTipo,MATCH(AB2306,ctaNombre,0))&amp;"",""))</f>
        <v/>
      </c>
      <c r="AE2306" s="52">
        <f>IF(AC2306="","",IFERROR(INDEX(ctaTipo,MATCH(AC2306,ctaNombre,0))&amp;"",""))</f>
        <v/>
      </c>
      <c r="AF2306" s="53">
        <f>IF(OR(P2306="",AB2306=""),"",IF(OR(P2306="Gasto",P2306="Transferencia",P2306="Pago tarjeta"),-1,1)*IF(IFERROR(INDEX(ctaMoneda,MATCH(AB2306,ctaNombre,0))&amp;"","DOP")="USD",T2306,S2306))</f>
        <v/>
      </c>
      <c r="AG2306" s="53">
        <f>IF(AC2306="","",IF(IFERROR(INDEX(ctaMoneda,MATCH(AC2306,ctaNombre,0))&amp;"","DOP")="USD",T2306,S2306))</f>
        <v/>
      </c>
      <c r="AH2306" s="53">
        <f>IF(P2306="","",IF(AND(AD2306&lt;&gt;"",COUNTIFS(tcTipo,AD2306,tcLiq,"Sí")&gt;0),IF(OR(P2306="Gasto",P2306="Transferencia",P2306="Pago tarjeta"),-1,1)*S2306,0)+IF(AND(AE2306&lt;&gt;"",COUNTIFS(tcTipo,AE2306,tcLiq,"Sí")&gt;0),S2306,0))</f>
        <v/>
      </c>
      <c r="AI2306" s="52">
        <f>IF(OR(L2306="",P2306=""),"",IF(COUNTIFS(L$6:L2306,L2306,P$6:P2306,"?*")=1,MAX(AI$5:AI2305)+1,""))</f>
        <v/>
      </c>
    </row>
    <row r="2307">
      <c r="B2307" s="47" t="n"/>
      <c r="C2307" s="48" t="n"/>
      <c r="D2307" s="48" t="n"/>
      <c r="E2307" s="48" t="n"/>
      <c r="F2307" s="48" t="n"/>
      <c r="G2307" s="49" t="n"/>
      <c r="H2307" s="48" t="n"/>
      <c r="I2307" s="50" t="n"/>
      <c r="J2307" s="48" t="n"/>
      <c r="K2307" s="48" t="n"/>
      <c r="L2307" s="48" t="n"/>
      <c r="M2307" s="48" t="n"/>
      <c r="N2307" s="48" t="n"/>
      <c r="O2307" s="51">
        <f>IF(AND(B2307="",G2307="",C2307="",D2307="",J2307=""),"",IF(B2307="","⚠ Falta fecha",IF(G2307="","⚠ Falta monto",IF(Q2307="","⚠ Falta cuenta",IF(ISNA(MATCH(Q2307,ctaNombre,0)),"⚠ Cuenta no registrada",IF(AND(OR(P2307="Gasto",P2307="Reembolso"),D2307=""),"⚠ Falta categoría",IF(AND(D2307&lt;&gt;"",E2307&lt;&gt;"",ISNA(MATCH(D2307&amp;"|"&amp;E2307,catClave,0))),"⚠ Subcategoría no corresponde",IF(AND(OR(P2307="Transferencia",P2307="Pago tarjeta"),K2307=""),"⚠ Falta cuenta destino",IF(AND(K2307&lt;&gt;"",P2307&lt;&gt;"Transferencia",P2307&lt;&gt;"Pago tarjeta"),"⚠ Destino solo aplica a transferencias",IF(AND(K2307&lt;&gt;"",K2307=Q2307),"⚠ Origen igual a destino",IF(AND(K2307&lt;&gt;"",ISNA(MATCH(K2307,ctaNombre,0))),"⚠ Destino no registrado",IF(AND(P2307="Pago tarjeta",AE2307&lt;&gt;"Tarjeta de crédito"),"⚠ El destino debe ser tarjeta de crédito",IF(AND(P2307="Gasto",E2307="Depósitos y retiros"),"⚠ Usa tipo Transferencia",IF(AND(P2307="Resultado trading",AD2307&lt;&gt;"Cuenta de trading"),"⚠ Usa una cuenta de trading",IF(AND(G2307&lt;=0,P2307&lt;&gt;"Ajuste",P2307&lt;&gt;"Resultado trading"),"⚠ El monto debe ser positivo","✓")))))))))))))))</f>
        <v/>
      </c>
      <c r="P2307" s="52">
        <f>IF(OR(B2307="",G2307=""),"",IF(C2307="","Gasto",C2307))</f>
        <v/>
      </c>
      <c r="Q2307" s="52">
        <f>IF(P2307="","",IF(J2307&lt;&gt;"",J2307,CuentaPred&amp;""))</f>
        <v/>
      </c>
      <c r="R2307" s="52">
        <f>IF(P2307="","",IF(ISNUMBER(I2307),I2307,TasaUSD))</f>
        <v/>
      </c>
      <c r="S2307" s="53">
        <f>IF(P2307="","",IF(H2307="USD",G2307*R2307,G2307))</f>
        <v/>
      </c>
      <c r="T2307" s="53">
        <f>IF(P2307="","",IF(H2307="USD",G2307,IF(R2307&gt;0,G2307/R2307,0)))</f>
        <v/>
      </c>
      <c r="U2307" s="53">
        <f>IF(P2307="","",IF(P2307="Gasto",S2307,IF(P2307="Reembolso",-S2307,0)))</f>
        <v/>
      </c>
      <c r="V2307" s="53">
        <f>IF(P2307="","",IF(P2307="Ingreso",S2307,0))</f>
        <v/>
      </c>
      <c r="W2307" s="53">
        <f>IF(P2307="","",IF(P2307="Resultado trading",S2307,0))</f>
        <v/>
      </c>
      <c r="X2307" s="52">
        <f>IF(OR(P2307="Gasto",P2307="Reembolso"),IF(M2307&lt;&gt;"",M2307,IFERROR(INDEX(catClasif,MATCH(D2307&amp;"|"&amp;E2307,catClave,0))&amp;"","Variable")),"")</f>
        <v/>
      </c>
      <c r="Y2307" s="52">
        <f>IF(P2307="","",IFERROR(INDEX(catGrupo,MATCH(D2307&amp;"|"&amp;E2307,catClave,0))&amp;"",""))</f>
        <v/>
      </c>
      <c r="Z2307" s="52">
        <f>IF(P2307="","",WEEKDAY(B2307,2))</f>
        <v/>
      </c>
      <c r="AA2307" s="52">
        <f>IF(P2307="","",IF(AND(P2307="Gasto",X2307="Variable",D2307&lt;&gt;catTrading,S2307&gt;0,S2307&lt;=Umbral),1,0))</f>
        <v/>
      </c>
      <c r="AB2307" s="52">
        <f>IF(OR(P2307="",Q2307=""),"",IFERROR(IF(INDEX(ctaVinc,MATCH(Q2307,ctaNombre,0))&amp;""&lt;&gt;"",INDEX(ctaVinc,MATCH(Q2307,ctaNombre,0))&amp;"",Q2307),Q2307))</f>
        <v/>
      </c>
      <c r="AC2307" s="52">
        <f>IF(OR(K2307="",AND(P2307&lt;&gt;"Transferencia",P2307&lt;&gt;"Pago tarjeta")),"",IFERROR(IF(INDEX(ctaVinc,MATCH(K2307,ctaNombre,0))&amp;""&lt;&gt;"",INDEX(ctaVinc,MATCH(K2307,ctaNombre,0))&amp;"",K2307),K2307))</f>
        <v/>
      </c>
      <c r="AD2307" s="52">
        <f>IF(AB2307="","",IFERROR(INDEX(ctaTipo,MATCH(AB2307,ctaNombre,0))&amp;"",""))</f>
        <v/>
      </c>
      <c r="AE2307" s="52">
        <f>IF(AC2307="","",IFERROR(INDEX(ctaTipo,MATCH(AC2307,ctaNombre,0))&amp;"",""))</f>
        <v/>
      </c>
      <c r="AF2307" s="53">
        <f>IF(OR(P2307="",AB2307=""),"",IF(OR(P2307="Gasto",P2307="Transferencia",P2307="Pago tarjeta"),-1,1)*IF(IFERROR(INDEX(ctaMoneda,MATCH(AB2307,ctaNombre,0))&amp;"","DOP")="USD",T2307,S2307))</f>
        <v/>
      </c>
      <c r="AG2307" s="53">
        <f>IF(AC2307="","",IF(IFERROR(INDEX(ctaMoneda,MATCH(AC2307,ctaNombre,0))&amp;"","DOP")="USD",T2307,S2307))</f>
        <v/>
      </c>
      <c r="AH2307" s="53">
        <f>IF(P2307="","",IF(AND(AD2307&lt;&gt;"",COUNTIFS(tcTipo,AD2307,tcLiq,"Sí")&gt;0),IF(OR(P2307="Gasto",P2307="Transferencia",P2307="Pago tarjeta"),-1,1)*S2307,0)+IF(AND(AE2307&lt;&gt;"",COUNTIFS(tcTipo,AE2307,tcLiq,"Sí")&gt;0),S2307,0))</f>
        <v/>
      </c>
      <c r="AI2307" s="52">
        <f>IF(OR(L2307="",P2307=""),"",IF(COUNTIFS(L$6:L2307,L2307,P$6:P2307,"?*")=1,MAX(AI$5:AI2306)+1,""))</f>
        <v/>
      </c>
    </row>
    <row r="2308">
      <c r="B2308" s="47" t="n"/>
      <c r="C2308" s="48" t="n"/>
      <c r="D2308" s="48" t="n"/>
      <c r="E2308" s="48" t="n"/>
      <c r="F2308" s="48" t="n"/>
      <c r="G2308" s="49" t="n"/>
      <c r="H2308" s="48" t="n"/>
      <c r="I2308" s="50" t="n"/>
      <c r="J2308" s="48" t="n"/>
      <c r="K2308" s="48" t="n"/>
      <c r="L2308" s="48" t="n"/>
      <c r="M2308" s="48" t="n"/>
      <c r="N2308" s="48" t="n"/>
      <c r="O2308" s="51">
        <f>IF(AND(B2308="",G2308="",C2308="",D2308="",J2308=""),"",IF(B2308="","⚠ Falta fecha",IF(G2308="","⚠ Falta monto",IF(Q2308="","⚠ Falta cuenta",IF(ISNA(MATCH(Q2308,ctaNombre,0)),"⚠ Cuenta no registrada",IF(AND(OR(P2308="Gasto",P2308="Reembolso"),D2308=""),"⚠ Falta categoría",IF(AND(D2308&lt;&gt;"",E2308&lt;&gt;"",ISNA(MATCH(D2308&amp;"|"&amp;E2308,catClave,0))),"⚠ Subcategoría no corresponde",IF(AND(OR(P2308="Transferencia",P2308="Pago tarjeta"),K2308=""),"⚠ Falta cuenta destino",IF(AND(K2308&lt;&gt;"",P2308&lt;&gt;"Transferencia",P2308&lt;&gt;"Pago tarjeta"),"⚠ Destino solo aplica a transferencias",IF(AND(K2308&lt;&gt;"",K2308=Q2308),"⚠ Origen igual a destino",IF(AND(K2308&lt;&gt;"",ISNA(MATCH(K2308,ctaNombre,0))),"⚠ Destino no registrado",IF(AND(P2308="Pago tarjeta",AE2308&lt;&gt;"Tarjeta de crédito"),"⚠ El destino debe ser tarjeta de crédito",IF(AND(P2308="Gasto",E2308="Depósitos y retiros"),"⚠ Usa tipo Transferencia",IF(AND(P2308="Resultado trading",AD2308&lt;&gt;"Cuenta de trading"),"⚠ Usa una cuenta de trading",IF(AND(G2308&lt;=0,P2308&lt;&gt;"Ajuste",P2308&lt;&gt;"Resultado trading"),"⚠ El monto debe ser positivo","✓")))))))))))))))</f>
        <v/>
      </c>
      <c r="P2308" s="52">
        <f>IF(OR(B2308="",G2308=""),"",IF(C2308="","Gasto",C2308))</f>
        <v/>
      </c>
      <c r="Q2308" s="52">
        <f>IF(P2308="","",IF(J2308&lt;&gt;"",J2308,CuentaPred&amp;""))</f>
        <v/>
      </c>
      <c r="R2308" s="52">
        <f>IF(P2308="","",IF(ISNUMBER(I2308),I2308,TasaUSD))</f>
        <v/>
      </c>
      <c r="S2308" s="53">
        <f>IF(P2308="","",IF(H2308="USD",G2308*R2308,G2308))</f>
        <v/>
      </c>
      <c r="T2308" s="53">
        <f>IF(P2308="","",IF(H2308="USD",G2308,IF(R2308&gt;0,G2308/R2308,0)))</f>
        <v/>
      </c>
      <c r="U2308" s="53">
        <f>IF(P2308="","",IF(P2308="Gasto",S2308,IF(P2308="Reembolso",-S2308,0)))</f>
        <v/>
      </c>
      <c r="V2308" s="53">
        <f>IF(P2308="","",IF(P2308="Ingreso",S2308,0))</f>
        <v/>
      </c>
      <c r="W2308" s="53">
        <f>IF(P2308="","",IF(P2308="Resultado trading",S2308,0))</f>
        <v/>
      </c>
      <c r="X2308" s="52">
        <f>IF(OR(P2308="Gasto",P2308="Reembolso"),IF(M2308&lt;&gt;"",M2308,IFERROR(INDEX(catClasif,MATCH(D2308&amp;"|"&amp;E2308,catClave,0))&amp;"","Variable")),"")</f>
        <v/>
      </c>
      <c r="Y2308" s="52">
        <f>IF(P2308="","",IFERROR(INDEX(catGrupo,MATCH(D2308&amp;"|"&amp;E2308,catClave,0))&amp;"",""))</f>
        <v/>
      </c>
      <c r="Z2308" s="52">
        <f>IF(P2308="","",WEEKDAY(B2308,2))</f>
        <v/>
      </c>
      <c r="AA2308" s="52">
        <f>IF(P2308="","",IF(AND(P2308="Gasto",X2308="Variable",D2308&lt;&gt;catTrading,S2308&gt;0,S2308&lt;=Umbral),1,0))</f>
        <v/>
      </c>
      <c r="AB2308" s="52">
        <f>IF(OR(P2308="",Q2308=""),"",IFERROR(IF(INDEX(ctaVinc,MATCH(Q2308,ctaNombre,0))&amp;""&lt;&gt;"",INDEX(ctaVinc,MATCH(Q2308,ctaNombre,0))&amp;"",Q2308),Q2308))</f>
        <v/>
      </c>
      <c r="AC2308" s="52">
        <f>IF(OR(K2308="",AND(P2308&lt;&gt;"Transferencia",P2308&lt;&gt;"Pago tarjeta")),"",IFERROR(IF(INDEX(ctaVinc,MATCH(K2308,ctaNombre,0))&amp;""&lt;&gt;"",INDEX(ctaVinc,MATCH(K2308,ctaNombre,0))&amp;"",K2308),K2308))</f>
        <v/>
      </c>
      <c r="AD2308" s="52">
        <f>IF(AB2308="","",IFERROR(INDEX(ctaTipo,MATCH(AB2308,ctaNombre,0))&amp;"",""))</f>
        <v/>
      </c>
      <c r="AE2308" s="52">
        <f>IF(AC2308="","",IFERROR(INDEX(ctaTipo,MATCH(AC2308,ctaNombre,0))&amp;"",""))</f>
        <v/>
      </c>
      <c r="AF2308" s="53">
        <f>IF(OR(P2308="",AB2308=""),"",IF(OR(P2308="Gasto",P2308="Transferencia",P2308="Pago tarjeta"),-1,1)*IF(IFERROR(INDEX(ctaMoneda,MATCH(AB2308,ctaNombre,0))&amp;"","DOP")="USD",T2308,S2308))</f>
        <v/>
      </c>
      <c r="AG2308" s="53">
        <f>IF(AC2308="","",IF(IFERROR(INDEX(ctaMoneda,MATCH(AC2308,ctaNombre,0))&amp;"","DOP")="USD",T2308,S2308))</f>
        <v/>
      </c>
      <c r="AH2308" s="53">
        <f>IF(P2308="","",IF(AND(AD2308&lt;&gt;"",COUNTIFS(tcTipo,AD2308,tcLiq,"Sí")&gt;0),IF(OR(P2308="Gasto",P2308="Transferencia",P2308="Pago tarjeta"),-1,1)*S2308,0)+IF(AND(AE2308&lt;&gt;"",COUNTIFS(tcTipo,AE2308,tcLiq,"Sí")&gt;0),S2308,0))</f>
        <v/>
      </c>
      <c r="AI2308" s="52">
        <f>IF(OR(L2308="",P2308=""),"",IF(COUNTIFS(L$6:L2308,L2308,P$6:P2308,"?*")=1,MAX(AI$5:AI2307)+1,""))</f>
        <v/>
      </c>
    </row>
    <row r="2309">
      <c r="B2309" s="47" t="n"/>
      <c r="C2309" s="48" t="n"/>
      <c r="D2309" s="48" t="n"/>
      <c r="E2309" s="48" t="n"/>
      <c r="F2309" s="48" t="n"/>
      <c r="G2309" s="49" t="n"/>
      <c r="H2309" s="48" t="n"/>
      <c r="I2309" s="50" t="n"/>
      <c r="J2309" s="48" t="n"/>
      <c r="K2309" s="48" t="n"/>
      <c r="L2309" s="48" t="n"/>
      <c r="M2309" s="48" t="n"/>
      <c r="N2309" s="48" t="n"/>
      <c r="O2309" s="51">
        <f>IF(AND(B2309="",G2309="",C2309="",D2309="",J2309=""),"",IF(B2309="","⚠ Falta fecha",IF(G2309="","⚠ Falta monto",IF(Q2309="","⚠ Falta cuenta",IF(ISNA(MATCH(Q2309,ctaNombre,0)),"⚠ Cuenta no registrada",IF(AND(OR(P2309="Gasto",P2309="Reembolso"),D2309=""),"⚠ Falta categoría",IF(AND(D2309&lt;&gt;"",E2309&lt;&gt;"",ISNA(MATCH(D2309&amp;"|"&amp;E2309,catClave,0))),"⚠ Subcategoría no corresponde",IF(AND(OR(P2309="Transferencia",P2309="Pago tarjeta"),K2309=""),"⚠ Falta cuenta destino",IF(AND(K2309&lt;&gt;"",P2309&lt;&gt;"Transferencia",P2309&lt;&gt;"Pago tarjeta"),"⚠ Destino solo aplica a transferencias",IF(AND(K2309&lt;&gt;"",K2309=Q2309),"⚠ Origen igual a destino",IF(AND(K2309&lt;&gt;"",ISNA(MATCH(K2309,ctaNombre,0))),"⚠ Destino no registrado",IF(AND(P2309="Pago tarjeta",AE2309&lt;&gt;"Tarjeta de crédito"),"⚠ El destino debe ser tarjeta de crédito",IF(AND(P2309="Gasto",E2309="Depósitos y retiros"),"⚠ Usa tipo Transferencia",IF(AND(P2309="Resultado trading",AD2309&lt;&gt;"Cuenta de trading"),"⚠ Usa una cuenta de trading",IF(AND(G2309&lt;=0,P2309&lt;&gt;"Ajuste",P2309&lt;&gt;"Resultado trading"),"⚠ El monto debe ser positivo","✓")))))))))))))))</f>
        <v/>
      </c>
      <c r="P2309" s="52">
        <f>IF(OR(B2309="",G2309=""),"",IF(C2309="","Gasto",C2309))</f>
        <v/>
      </c>
      <c r="Q2309" s="52">
        <f>IF(P2309="","",IF(J2309&lt;&gt;"",J2309,CuentaPred&amp;""))</f>
        <v/>
      </c>
      <c r="R2309" s="52">
        <f>IF(P2309="","",IF(ISNUMBER(I2309),I2309,TasaUSD))</f>
        <v/>
      </c>
      <c r="S2309" s="53">
        <f>IF(P2309="","",IF(H2309="USD",G2309*R2309,G2309))</f>
        <v/>
      </c>
      <c r="T2309" s="53">
        <f>IF(P2309="","",IF(H2309="USD",G2309,IF(R2309&gt;0,G2309/R2309,0)))</f>
        <v/>
      </c>
      <c r="U2309" s="53">
        <f>IF(P2309="","",IF(P2309="Gasto",S2309,IF(P2309="Reembolso",-S2309,0)))</f>
        <v/>
      </c>
      <c r="V2309" s="53">
        <f>IF(P2309="","",IF(P2309="Ingreso",S2309,0))</f>
        <v/>
      </c>
      <c r="W2309" s="53">
        <f>IF(P2309="","",IF(P2309="Resultado trading",S2309,0))</f>
        <v/>
      </c>
      <c r="X2309" s="52">
        <f>IF(OR(P2309="Gasto",P2309="Reembolso"),IF(M2309&lt;&gt;"",M2309,IFERROR(INDEX(catClasif,MATCH(D2309&amp;"|"&amp;E2309,catClave,0))&amp;"","Variable")),"")</f>
        <v/>
      </c>
      <c r="Y2309" s="52">
        <f>IF(P2309="","",IFERROR(INDEX(catGrupo,MATCH(D2309&amp;"|"&amp;E2309,catClave,0))&amp;"",""))</f>
        <v/>
      </c>
      <c r="Z2309" s="52">
        <f>IF(P2309="","",WEEKDAY(B2309,2))</f>
        <v/>
      </c>
      <c r="AA2309" s="52">
        <f>IF(P2309="","",IF(AND(P2309="Gasto",X2309="Variable",D2309&lt;&gt;catTrading,S2309&gt;0,S2309&lt;=Umbral),1,0))</f>
        <v/>
      </c>
      <c r="AB2309" s="52">
        <f>IF(OR(P2309="",Q2309=""),"",IFERROR(IF(INDEX(ctaVinc,MATCH(Q2309,ctaNombre,0))&amp;""&lt;&gt;"",INDEX(ctaVinc,MATCH(Q2309,ctaNombre,0))&amp;"",Q2309),Q2309))</f>
        <v/>
      </c>
      <c r="AC2309" s="52">
        <f>IF(OR(K2309="",AND(P2309&lt;&gt;"Transferencia",P2309&lt;&gt;"Pago tarjeta")),"",IFERROR(IF(INDEX(ctaVinc,MATCH(K2309,ctaNombre,0))&amp;""&lt;&gt;"",INDEX(ctaVinc,MATCH(K2309,ctaNombre,0))&amp;"",K2309),K2309))</f>
        <v/>
      </c>
      <c r="AD2309" s="52">
        <f>IF(AB2309="","",IFERROR(INDEX(ctaTipo,MATCH(AB2309,ctaNombre,0))&amp;"",""))</f>
        <v/>
      </c>
      <c r="AE2309" s="52">
        <f>IF(AC2309="","",IFERROR(INDEX(ctaTipo,MATCH(AC2309,ctaNombre,0))&amp;"",""))</f>
        <v/>
      </c>
      <c r="AF2309" s="53">
        <f>IF(OR(P2309="",AB2309=""),"",IF(OR(P2309="Gasto",P2309="Transferencia",P2309="Pago tarjeta"),-1,1)*IF(IFERROR(INDEX(ctaMoneda,MATCH(AB2309,ctaNombre,0))&amp;"","DOP")="USD",T2309,S2309))</f>
        <v/>
      </c>
      <c r="AG2309" s="53">
        <f>IF(AC2309="","",IF(IFERROR(INDEX(ctaMoneda,MATCH(AC2309,ctaNombre,0))&amp;"","DOP")="USD",T2309,S2309))</f>
        <v/>
      </c>
      <c r="AH2309" s="53">
        <f>IF(P2309="","",IF(AND(AD2309&lt;&gt;"",COUNTIFS(tcTipo,AD2309,tcLiq,"Sí")&gt;0),IF(OR(P2309="Gasto",P2309="Transferencia",P2309="Pago tarjeta"),-1,1)*S2309,0)+IF(AND(AE2309&lt;&gt;"",COUNTIFS(tcTipo,AE2309,tcLiq,"Sí")&gt;0),S2309,0))</f>
        <v/>
      </c>
      <c r="AI2309" s="52">
        <f>IF(OR(L2309="",P2309=""),"",IF(COUNTIFS(L$6:L2309,L2309,P$6:P2309,"?*")=1,MAX(AI$5:AI2308)+1,""))</f>
        <v/>
      </c>
    </row>
    <row r="2310">
      <c r="B2310" s="47" t="n"/>
      <c r="C2310" s="48" t="n"/>
      <c r="D2310" s="48" t="n"/>
      <c r="E2310" s="48" t="n"/>
      <c r="F2310" s="48" t="n"/>
      <c r="G2310" s="49" t="n"/>
      <c r="H2310" s="48" t="n"/>
      <c r="I2310" s="50" t="n"/>
      <c r="J2310" s="48" t="n"/>
      <c r="K2310" s="48" t="n"/>
      <c r="L2310" s="48" t="n"/>
      <c r="M2310" s="48" t="n"/>
      <c r="N2310" s="48" t="n"/>
      <c r="O2310" s="51">
        <f>IF(AND(B2310="",G2310="",C2310="",D2310="",J2310=""),"",IF(B2310="","⚠ Falta fecha",IF(G2310="","⚠ Falta monto",IF(Q2310="","⚠ Falta cuenta",IF(ISNA(MATCH(Q2310,ctaNombre,0)),"⚠ Cuenta no registrada",IF(AND(OR(P2310="Gasto",P2310="Reembolso"),D2310=""),"⚠ Falta categoría",IF(AND(D2310&lt;&gt;"",E2310&lt;&gt;"",ISNA(MATCH(D2310&amp;"|"&amp;E2310,catClave,0))),"⚠ Subcategoría no corresponde",IF(AND(OR(P2310="Transferencia",P2310="Pago tarjeta"),K2310=""),"⚠ Falta cuenta destino",IF(AND(K2310&lt;&gt;"",P2310&lt;&gt;"Transferencia",P2310&lt;&gt;"Pago tarjeta"),"⚠ Destino solo aplica a transferencias",IF(AND(K2310&lt;&gt;"",K2310=Q2310),"⚠ Origen igual a destino",IF(AND(K2310&lt;&gt;"",ISNA(MATCH(K2310,ctaNombre,0))),"⚠ Destino no registrado",IF(AND(P2310="Pago tarjeta",AE2310&lt;&gt;"Tarjeta de crédito"),"⚠ El destino debe ser tarjeta de crédito",IF(AND(P2310="Gasto",E2310="Depósitos y retiros"),"⚠ Usa tipo Transferencia",IF(AND(P2310="Resultado trading",AD2310&lt;&gt;"Cuenta de trading"),"⚠ Usa una cuenta de trading",IF(AND(G2310&lt;=0,P2310&lt;&gt;"Ajuste",P2310&lt;&gt;"Resultado trading"),"⚠ El monto debe ser positivo","✓")))))))))))))))</f>
        <v/>
      </c>
      <c r="P2310" s="52">
        <f>IF(OR(B2310="",G2310=""),"",IF(C2310="","Gasto",C2310))</f>
        <v/>
      </c>
      <c r="Q2310" s="52">
        <f>IF(P2310="","",IF(J2310&lt;&gt;"",J2310,CuentaPred&amp;""))</f>
        <v/>
      </c>
      <c r="R2310" s="52">
        <f>IF(P2310="","",IF(ISNUMBER(I2310),I2310,TasaUSD))</f>
        <v/>
      </c>
      <c r="S2310" s="53">
        <f>IF(P2310="","",IF(H2310="USD",G2310*R2310,G2310))</f>
        <v/>
      </c>
      <c r="T2310" s="53">
        <f>IF(P2310="","",IF(H2310="USD",G2310,IF(R2310&gt;0,G2310/R2310,0)))</f>
        <v/>
      </c>
      <c r="U2310" s="53">
        <f>IF(P2310="","",IF(P2310="Gasto",S2310,IF(P2310="Reembolso",-S2310,0)))</f>
        <v/>
      </c>
      <c r="V2310" s="53">
        <f>IF(P2310="","",IF(P2310="Ingreso",S2310,0))</f>
        <v/>
      </c>
      <c r="W2310" s="53">
        <f>IF(P2310="","",IF(P2310="Resultado trading",S2310,0))</f>
        <v/>
      </c>
      <c r="X2310" s="52">
        <f>IF(OR(P2310="Gasto",P2310="Reembolso"),IF(M2310&lt;&gt;"",M2310,IFERROR(INDEX(catClasif,MATCH(D2310&amp;"|"&amp;E2310,catClave,0))&amp;"","Variable")),"")</f>
        <v/>
      </c>
      <c r="Y2310" s="52">
        <f>IF(P2310="","",IFERROR(INDEX(catGrupo,MATCH(D2310&amp;"|"&amp;E2310,catClave,0))&amp;"",""))</f>
        <v/>
      </c>
      <c r="Z2310" s="52">
        <f>IF(P2310="","",WEEKDAY(B2310,2))</f>
        <v/>
      </c>
      <c r="AA2310" s="52">
        <f>IF(P2310="","",IF(AND(P2310="Gasto",X2310="Variable",D2310&lt;&gt;catTrading,S2310&gt;0,S2310&lt;=Umbral),1,0))</f>
        <v/>
      </c>
      <c r="AB2310" s="52">
        <f>IF(OR(P2310="",Q2310=""),"",IFERROR(IF(INDEX(ctaVinc,MATCH(Q2310,ctaNombre,0))&amp;""&lt;&gt;"",INDEX(ctaVinc,MATCH(Q2310,ctaNombre,0))&amp;"",Q2310),Q2310))</f>
        <v/>
      </c>
      <c r="AC2310" s="52">
        <f>IF(OR(K2310="",AND(P2310&lt;&gt;"Transferencia",P2310&lt;&gt;"Pago tarjeta")),"",IFERROR(IF(INDEX(ctaVinc,MATCH(K2310,ctaNombre,0))&amp;""&lt;&gt;"",INDEX(ctaVinc,MATCH(K2310,ctaNombre,0))&amp;"",K2310),K2310))</f>
        <v/>
      </c>
      <c r="AD2310" s="52">
        <f>IF(AB2310="","",IFERROR(INDEX(ctaTipo,MATCH(AB2310,ctaNombre,0))&amp;"",""))</f>
        <v/>
      </c>
      <c r="AE2310" s="52">
        <f>IF(AC2310="","",IFERROR(INDEX(ctaTipo,MATCH(AC2310,ctaNombre,0))&amp;"",""))</f>
        <v/>
      </c>
      <c r="AF2310" s="53">
        <f>IF(OR(P2310="",AB2310=""),"",IF(OR(P2310="Gasto",P2310="Transferencia",P2310="Pago tarjeta"),-1,1)*IF(IFERROR(INDEX(ctaMoneda,MATCH(AB2310,ctaNombre,0))&amp;"","DOP")="USD",T2310,S2310))</f>
        <v/>
      </c>
      <c r="AG2310" s="53">
        <f>IF(AC2310="","",IF(IFERROR(INDEX(ctaMoneda,MATCH(AC2310,ctaNombre,0))&amp;"","DOP")="USD",T2310,S2310))</f>
        <v/>
      </c>
      <c r="AH2310" s="53">
        <f>IF(P2310="","",IF(AND(AD2310&lt;&gt;"",COUNTIFS(tcTipo,AD2310,tcLiq,"Sí")&gt;0),IF(OR(P2310="Gasto",P2310="Transferencia",P2310="Pago tarjeta"),-1,1)*S2310,0)+IF(AND(AE2310&lt;&gt;"",COUNTIFS(tcTipo,AE2310,tcLiq,"Sí")&gt;0),S2310,0))</f>
        <v/>
      </c>
      <c r="AI2310" s="52">
        <f>IF(OR(L2310="",P2310=""),"",IF(COUNTIFS(L$6:L2310,L2310,P$6:P2310,"?*")=1,MAX(AI$5:AI2309)+1,""))</f>
        <v/>
      </c>
    </row>
    <row r="2311">
      <c r="B2311" s="47" t="n"/>
      <c r="C2311" s="48" t="n"/>
      <c r="D2311" s="48" t="n"/>
      <c r="E2311" s="48" t="n"/>
      <c r="F2311" s="48" t="n"/>
      <c r="G2311" s="49" t="n"/>
      <c r="H2311" s="48" t="n"/>
      <c r="I2311" s="50" t="n"/>
      <c r="J2311" s="48" t="n"/>
      <c r="K2311" s="48" t="n"/>
      <c r="L2311" s="48" t="n"/>
      <c r="M2311" s="48" t="n"/>
      <c r="N2311" s="48" t="n"/>
      <c r="O2311" s="51">
        <f>IF(AND(B2311="",G2311="",C2311="",D2311="",J2311=""),"",IF(B2311="","⚠ Falta fecha",IF(G2311="","⚠ Falta monto",IF(Q2311="","⚠ Falta cuenta",IF(ISNA(MATCH(Q2311,ctaNombre,0)),"⚠ Cuenta no registrada",IF(AND(OR(P2311="Gasto",P2311="Reembolso"),D2311=""),"⚠ Falta categoría",IF(AND(D2311&lt;&gt;"",E2311&lt;&gt;"",ISNA(MATCH(D2311&amp;"|"&amp;E2311,catClave,0))),"⚠ Subcategoría no corresponde",IF(AND(OR(P2311="Transferencia",P2311="Pago tarjeta"),K2311=""),"⚠ Falta cuenta destino",IF(AND(K2311&lt;&gt;"",P2311&lt;&gt;"Transferencia",P2311&lt;&gt;"Pago tarjeta"),"⚠ Destino solo aplica a transferencias",IF(AND(K2311&lt;&gt;"",K2311=Q2311),"⚠ Origen igual a destino",IF(AND(K2311&lt;&gt;"",ISNA(MATCH(K2311,ctaNombre,0))),"⚠ Destino no registrado",IF(AND(P2311="Pago tarjeta",AE2311&lt;&gt;"Tarjeta de crédito"),"⚠ El destino debe ser tarjeta de crédito",IF(AND(P2311="Gasto",E2311="Depósitos y retiros"),"⚠ Usa tipo Transferencia",IF(AND(P2311="Resultado trading",AD2311&lt;&gt;"Cuenta de trading"),"⚠ Usa una cuenta de trading",IF(AND(G2311&lt;=0,P2311&lt;&gt;"Ajuste",P2311&lt;&gt;"Resultado trading"),"⚠ El monto debe ser positivo","✓")))))))))))))))</f>
        <v/>
      </c>
      <c r="P2311" s="52">
        <f>IF(OR(B2311="",G2311=""),"",IF(C2311="","Gasto",C2311))</f>
        <v/>
      </c>
      <c r="Q2311" s="52">
        <f>IF(P2311="","",IF(J2311&lt;&gt;"",J2311,CuentaPred&amp;""))</f>
        <v/>
      </c>
      <c r="R2311" s="52">
        <f>IF(P2311="","",IF(ISNUMBER(I2311),I2311,TasaUSD))</f>
        <v/>
      </c>
      <c r="S2311" s="53">
        <f>IF(P2311="","",IF(H2311="USD",G2311*R2311,G2311))</f>
        <v/>
      </c>
      <c r="T2311" s="53">
        <f>IF(P2311="","",IF(H2311="USD",G2311,IF(R2311&gt;0,G2311/R2311,0)))</f>
        <v/>
      </c>
      <c r="U2311" s="53">
        <f>IF(P2311="","",IF(P2311="Gasto",S2311,IF(P2311="Reembolso",-S2311,0)))</f>
        <v/>
      </c>
      <c r="V2311" s="53">
        <f>IF(P2311="","",IF(P2311="Ingreso",S2311,0))</f>
        <v/>
      </c>
      <c r="W2311" s="53">
        <f>IF(P2311="","",IF(P2311="Resultado trading",S2311,0))</f>
        <v/>
      </c>
      <c r="X2311" s="52">
        <f>IF(OR(P2311="Gasto",P2311="Reembolso"),IF(M2311&lt;&gt;"",M2311,IFERROR(INDEX(catClasif,MATCH(D2311&amp;"|"&amp;E2311,catClave,0))&amp;"","Variable")),"")</f>
        <v/>
      </c>
      <c r="Y2311" s="52">
        <f>IF(P2311="","",IFERROR(INDEX(catGrupo,MATCH(D2311&amp;"|"&amp;E2311,catClave,0))&amp;"",""))</f>
        <v/>
      </c>
      <c r="Z2311" s="52">
        <f>IF(P2311="","",WEEKDAY(B2311,2))</f>
        <v/>
      </c>
      <c r="AA2311" s="52">
        <f>IF(P2311="","",IF(AND(P2311="Gasto",X2311="Variable",D2311&lt;&gt;catTrading,S2311&gt;0,S2311&lt;=Umbral),1,0))</f>
        <v/>
      </c>
      <c r="AB2311" s="52">
        <f>IF(OR(P2311="",Q2311=""),"",IFERROR(IF(INDEX(ctaVinc,MATCH(Q2311,ctaNombre,0))&amp;""&lt;&gt;"",INDEX(ctaVinc,MATCH(Q2311,ctaNombre,0))&amp;"",Q2311),Q2311))</f>
        <v/>
      </c>
      <c r="AC2311" s="52">
        <f>IF(OR(K2311="",AND(P2311&lt;&gt;"Transferencia",P2311&lt;&gt;"Pago tarjeta")),"",IFERROR(IF(INDEX(ctaVinc,MATCH(K2311,ctaNombre,0))&amp;""&lt;&gt;"",INDEX(ctaVinc,MATCH(K2311,ctaNombre,0))&amp;"",K2311),K2311))</f>
        <v/>
      </c>
      <c r="AD2311" s="52">
        <f>IF(AB2311="","",IFERROR(INDEX(ctaTipo,MATCH(AB2311,ctaNombre,0))&amp;"",""))</f>
        <v/>
      </c>
      <c r="AE2311" s="52">
        <f>IF(AC2311="","",IFERROR(INDEX(ctaTipo,MATCH(AC2311,ctaNombre,0))&amp;"",""))</f>
        <v/>
      </c>
      <c r="AF2311" s="53">
        <f>IF(OR(P2311="",AB2311=""),"",IF(OR(P2311="Gasto",P2311="Transferencia",P2311="Pago tarjeta"),-1,1)*IF(IFERROR(INDEX(ctaMoneda,MATCH(AB2311,ctaNombre,0))&amp;"","DOP")="USD",T2311,S2311))</f>
        <v/>
      </c>
      <c r="AG2311" s="53">
        <f>IF(AC2311="","",IF(IFERROR(INDEX(ctaMoneda,MATCH(AC2311,ctaNombre,0))&amp;"","DOP")="USD",T2311,S2311))</f>
        <v/>
      </c>
      <c r="AH2311" s="53">
        <f>IF(P2311="","",IF(AND(AD2311&lt;&gt;"",COUNTIFS(tcTipo,AD2311,tcLiq,"Sí")&gt;0),IF(OR(P2311="Gasto",P2311="Transferencia",P2311="Pago tarjeta"),-1,1)*S2311,0)+IF(AND(AE2311&lt;&gt;"",COUNTIFS(tcTipo,AE2311,tcLiq,"Sí")&gt;0),S2311,0))</f>
        <v/>
      </c>
      <c r="AI2311" s="52">
        <f>IF(OR(L2311="",P2311=""),"",IF(COUNTIFS(L$6:L2311,L2311,P$6:P2311,"?*")=1,MAX(AI$5:AI2310)+1,""))</f>
        <v/>
      </c>
    </row>
    <row r="2312">
      <c r="B2312" s="47" t="n"/>
      <c r="C2312" s="48" t="n"/>
      <c r="D2312" s="48" t="n"/>
      <c r="E2312" s="48" t="n"/>
      <c r="F2312" s="48" t="n"/>
      <c r="G2312" s="49" t="n"/>
      <c r="H2312" s="48" t="n"/>
      <c r="I2312" s="50" t="n"/>
      <c r="J2312" s="48" t="n"/>
      <c r="K2312" s="48" t="n"/>
      <c r="L2312" s="48" t="n"/>
      <c r="M2312" s="48" t="n"/>
      <c r="N2312" s="48" t="n"/>
      <c r="O2312" s="51">
        <f>IF(AND(B2312="",G2312="",C2312="",D2312="",J2312=""),"",IF(B2312="","⚠ Falta fecha",IF(G2312="","⚠ Falta monto",IF(Q2312="","⚠ Falta cuenta",IF(ISNA(MATCH(Q2312,ctaNombre,0)),"⚠ Cuenta no registrada",IF(AND(OR(P2312="Gasto",P2312="Reembolso"),D2312=""),"⚠ Falta categoría",IF(AND(D2312&lt;&gt;"",E2312&lt;&gt;"",ISNA(MATCH(D2312&amp;"|"&amp;E2312,catClave,0))),"⚠ Subcategoría no corresponde",IF(AND(OR(P2312="Transferencia",P2312="Pago tarjeta"),K2312=""),"⚠ Falta cuenta destino",IF(AND(K2312&lt;&gt;"",P2312&lt;&gt;"Transferencia",P2312&lt;&gt;"Pago tarjeta"),"⚠ Destino solo aplica a transferencias",IF(AND(K2312&lt;&gt;"",K2312=Q2312),"⚠ Origen igual a destino",IF(AND(K2312&lt;&gt;"",ISNA(MATCH(K2312,ctaNombre,0))),"⚠ Destino no registrado",IF(AND(P2312="Pago tarjeta",AE2312&lt;&gt;"Tarjeta de crédito"),"⚠ El destino debe ser tarjeta de crédito",IF(AND(P2312="Gasto",E2312="Depósitos y retiros"),"⚠ Usa tipo Transferencia",IF(AND(P2312="Resultado trading",AD2312&lt;&gt;"Cuenta de trading"),"⚠ Usa una cuenta de trading",IF(AND(G2312&lt;=0,P2312&lt;&gt;"Ajuste",P2312&lt;&gt;"Resultado trading"),"⚠ El monto debe ser positivo","✓")))))))))))))))</f>
        <v/>
      </c>
      <c r="P2312" s="52">
        <f>IF(OR(B2312="",G2312=""),"",IF(C2312="","Gasto",C2312))</f>
        <v/>
      </c>
      <c r="Q2312" s="52">
        <f>IF(P2312="","",IF(J2312&lt;&gt;"",J2312,CuentaPred&amp;""))</f>
        <v/>
      </c>
      <c r="R2312" s="52">
        <f>IF(P2312="","",IF(ISNUMBER(I2312),I2312,TasaUSD))</f>
        <v/>
      </c>
      <c r="S2312" s="53">
        <f>IF(P2312="","",IF(H2312="USD",G2312*R2312,G2312))</f>
        <v/>
      </c>
      <c r="T2312" s="53">
        <f>IF(P2312="","",IF(H2312="USD",G2312,IF(R2312&gt;0,G2312/R2312,0)))</f>
        <v/>
      </c>
      <c r="U2312" s="53">
        <f>IF(P2312="","",IF(P2312="Gasto",S2312,IF(P2312="Reembolso",-S2312,0)))</f>
        <v/>
      </c>
      <c r="V2312" s="53">
        <f>IF(P2312="","",IF(P2312="Ingreso",S2312,0))</f>
        <v/>
      </c>
      <c r="W2312" s="53">
        <f>IF(P2312="","",IF(P2312="Resultado trading",S2312,0))</f>
        <v/>
      </c>
      <c r="X2312" s="52">
        <f>IF(OR(P2312="Gasto",P2312="Reembolso"),IF(M2312&lt;&gt;"",M2312,IFERROR(INDEX(catClasif,MATCH(D2312&amp;"|"&amp;E2312,catClave,0))&amp;"","Variable")),"")</f>
        <v/>
      </c>
      <c r="Y2312" s="52">
        <f>IF(P2312="","",IFERROR(INDEX(catGrupo,MATCH(D2312&amp;"|"&amp;E2312,catClave,0))&amp;"",""))</f>
        <v/>
      </c>
      <c r="Z2312" s="52">
        <f>IF(P2312="","",WEEKDAY(B2312,2))</f>
        <v/>
      </c>
      <c r="AA2312" s="52">
        <f>IF(P2312="","",IF(AND(P2312="Gasto",X2312="Variable",D2312&lt;&gt;catTrading,S2312&gt;0,S2312&lt;=Umbral),1,0))</f>
        <v/>
      </c>
      <c r="AB2312" s="52">
        <f>IF(OR(P2312="",Q2312=""),"",IFERROR(IF(INDEX(ctaVinc,MATCH(Q2312,ctaNombre,0))&amp;""&lt;&gt;"",INDEX(ctaVinc,MATCH(Q2312,ctaNombre,0))&amp;"",Q2312),Q2312))</f>
        <v/>
      </c>
      <c r="AC2312" s="52">
        <f>IF(OR(K2312="",AND(P2312&lt;&gt;"Transferencia",P2312&lt;&gt;"Pago tarjeta")),"",IFERROR(IF(INDEX(ctaVinc,MATCH(K2312,ctaNombre,0))&amp;""&lt;&gt;"",INDEX(ctaVinc,MATCH(K2312,ctaNombre,0))&amp;"",K2312),K2312))</f>
        <v/>
      </c>
      <c r="AD2312" s="52">
        <f>IF(AB2312="","",IFERROR(INDEX(ctaTipo,MATCH(AB2312,ctaNombre,0))&amp;"",""))</f>
        <v/>
      </c>
      <c r="AE2312" s="52">
        <f>IF(AC2312="","",IFERROR(INDEX(ctaTipo,MATCH(AC2312,ctaNombre,0))&amp;"",""))</f>
        <v/>
      </c>
      <c r="AF2312" s="53">
        <f>IF(OR(P2312="",AB2312=""),"",IF(OR(P2312="Gasto",P2312="Transferencia",P2312="Pago tarjeta"),-1,1)*IF(IFERROR(INDEX(ctaMoneda,MATCH(AB2312,ctaNombre,0))&amp;"","DOP")="USD",T2312,S2312))</f>
        <v/>
      </c>
      <c r="AG2312" s="53">
        <f>IF(AC2312="","",IF(IFERROR(INDEX(ctaMoneda,MATCH(AC2312,ctaNombre,0))&amp;"","DOP")="USD",T2312,S2312))</f>
        <v/>
      </c>
      <c r="AH2312" s="53">
        <f>IF(P2312="","",IF(AND(AD2312&lt;&gt;"",COUNTIFS(tcTipo,AD2312,tcLiq,"Sí")&gt;0),IF(OR(P2312="Gasto",P2312="Transferencia",P2312="Pago tarjeta"),-1,1)*S2312,0)+IF(AND(AE2312&lt;&gt;"",COUNTIFS(tcTipo,AE2312,tcLiq,"Sí")&gt;0),S2312,0))</f>
        <v/>
      </c>
      <c r="AI2312" s="52">
        <f>IF(OR(L2312="",P2312=""),"",IF(COUNTIFS(L$6:L2312,L2312,P$6:P2312,"?*")=1,MAX(AI$5:AI2311)+1,""))</f>
        <v/>
      </c>
    </row>
    <row r="2313">
      <c r="B2313" s="47" t="n"/>
      <c r="C2313" s="48" t="n"/>
      <c r="D2313" s="48" t="n"/>
      <c r="E2313" s="48" t="n"/>
      <c r="F2313" s="48" t="n"/>
      <c r="G2313" s="49" t="n"/>
      <c r="H2313" s="48" t="n"/>
      <c r="I2313" s="50" t="n"/>
      <c r="J2313" s="48" t="n"/>
      <c r="K2313" s="48" t="n"/>
      <c r="L2313" s="48" t="n"/>
      <c r="M2313" s="48" t="n"/>
      <c r="N2313" s="48" t="n"/>
      <c r="O2313" s="51">
        <f>IF(AND(B2313="",G2313="",C2313="",D2313="",J2313=""),"",IF(B2313="","⚠ Falta fecha",IF(G2313="","⚠ Falta monto",IF(Q2313="","⚠ Falta cuenta",IF(ISNA(MATCH(Q2313,ctaNombre,0)),"⚠ Cuenta no registrada",IF(AND(OR(P2313="Gasto",P2313="Reembolso"),D2313=""),"⚠ Falta categoría",IF(AND(D2313&lt;&gt;"",E2313&lt;&gt;"",ISNA(MATCH(D2313&amp;"|"&amp;E2313,catClave,0))),"⚠ Subcategoría no corresponde",IF(AND(OR(P2313="Transferencia",P2313="Pago tarjeta"),K2313=""),"⚠ Falta cuenta destino",IF(AND(K2313&lt;&gt;"",P2313&lt;&gt;"Transferencia",P2313&lt;&gt;"Pago tarjeta"),"⚠ Destino solo aplica a transferencias",IF(AND(K2313&lt;&gt;"",K2313=Q2313),"⚠ Origen igual a destino",IF(AND(K2313&lt;&gt;"",ISNA(MATCH(K2313,ctaNombre,0))),"⚠ Destino no registrado",IF(AND(P2313="Pago tarjeta",AE2313&lt;&gt;"Tarjeta de crédito"),"⚠ El destino debe ser tarjeta de crédito",IF(AND(P2313="Gasto",E2313="Depósitos y retiros"),"⚠ Usa tipo Transferencia",IF(AND(P2313="Resultado trading",AD2313&lt;&gt;"Cuenta de trading"),"⚠ Usa una cuenta de trading",IF(AND(G2313&lt;=0,P2313&lt;&gt;"Ajuste",P2313&lt;&gt;"Resultado trading"),"⚠ El monto debe ser positivo","✓")))))))))))))))</f>
        <v/>
      </c>
      <c r="P2313" s="52">
        <f>IF(OR(B2313="",G2313=""),"",IF(C2313="","Gasto",C2313))</f>
        <v/>
      </c>
      <c r="Q2313" s="52">
        <f>IF(P2313="","",IF(J2313&lt;&gt;"",J2313,CuentaPred&amp;""))</f>
        <v/>
      </c>
      <c r="R2313" s="52">
        <f>IF(P2313="","",IF(ISNUMBER(I2313),I2313,TasaUSD))</f>
        <v/>
      </c>
      <c r="S2313" s="53">
        <f>IF(P2313="","",IF(H2313="USD",G2313*R2313,G2313))</f>
        <v/>
      </c>
      <c r="T2313" s="53">
        <f>IF(P2313="","",IF(H2313="USD",G2313,IF(R2313&gt;0,G2313/R2313,0)))</f>
        <v/>
      </c>
      <c r="U2313" s="53">
        <f>IF(P2313="","",IF(P2313="Gasto",S2313,IF(P2313="Reembolso",-S2313,0)))</f>
        <v/>
      </c>
      <c r="V2313" s="53">
        <f>IF(P2313="","",IF(P2313="Ingreso",S2313,0))</f>
        <v/>
      </c>
      <c r="W2313" s="53">
        <f>IF(P2313="","",IF(P2313="Resultado trading",S2313,0))</f>
        <v/>
      </c>
      <c r="X2313" s="52">
        <f>IF(OR(P2313="Gasto",P2313="Reembolso"),IF(M2313&lt;&gt;"",M2313,IFERROR(INDEX(catClasif,MATCH(D2313&amp;"|"&amp;E2313,catClave,0))&amp;"","Variable")),"")</f>
        <v/>
      </c>
      <c r="Y2313" s="52">
        <f>IF(P2313="","",IFERROR(INDEX(catGrupo,MATCH(D2313&amp;"|"&amp;E2313,catClave,0))&amp;"",""))</f>
        <v/>
      </c>
      <c r="Z2313" s="52">
        <f>IF(P2313="","",WEEKDAY(B2313,2))</f>
        <v/>
      </c>
      <c r="AA2313" s="52">
        <f>IF(P2313="","",IF(AND(P2313="Gasto",X2313="Variable",D2313&lt;&gt;catTrading,S2313&gt;0,S2313&lt;=Umbral),1,0))</f>
        <v/>
      </c>
      <c r="AB2313" s="52">
        <f>IF(OR(P2313="",Q2313=""),"",IFERROR(IF(INDEX(ctaVinc,MATCH(Q2313,ctaNombre,0))&amp;""&lt;&gt;"",INDEX(ctaVinc,MATCH(Q2313,ctaNombre,0))&amp;"",Q2313),Q2313))</f>
        <v/>
      </c>
      <c r="AC2313" s="52">
        <f>IF(OR(K2313="",AND(P2313&lt;&gt;"Transferencia",P2313&lt;&gt;"Pago tarjeta")),"",IFERROR(IF(INDEX(ctaVinc,MATCH(K2313,ctaNombre,0))&amp;""&lt;&gt;"",INDEX(ctaVinc,MATCH(K2313,ctaNombre,0))&amp;"",K2313),K2313))</f>
        <v/>
      </c>
      <c r="AD2313" s="52">
        <f>IF(AB2313="","",IFERROR(INDEX(ctaTipo,MATCH(AB2313,ctaNombre,0))&amp;"",""))</f>
        <v/>
      </c>
      <c r="AE2313" s="52">
        <f>IF(AC2313="","",IFERROR(INDEX(ctaTipo,MATCH(AC2313,ctaNombre,0))&amp;"",""))</f>
        <v/>
      </c>
      <c r="AF2313" s="53">
        <f>IF(OR(P2313="",AB2313=""),"",IF(OR(P2313="Gasto",P2313="Transferencia",P2313="Pago tarjeta"),-1,1)*IF(IFERROR(INDEX(ctaMoneda,MATCH(AB2313,ctaNombre,0))&amp;"","DOP")="USD",T2313,S2313))</f>
        <v/>
      </c>
      <c r="AG2313" s="53">
        <f>IF(AC2313="","",IF(IFERROR(INDEX(ctaMoneda,MATCH(AC2313,ctaNombre,0))&amp;"","DOP")="USD",T2313,S2313))</f>
        <v/>
      </c>
      <c r="AH2313" s="53">
        <f>IF(P2313="","",IF(AND(AD2313&lt;&gt;"",COUNTIFS(tcTipo,AD2313,tcLiq,"Sí")&gt;0),IF(OR(P2313="Gasto",P2313="Transferencia",P2313="Pago tarjeta"),-1,1)*S2313,0)+IF(AND(AE2313&lt;&gt;"",COUNTIFS(tcTipo,AE2313,tcLiq,"Sí")&gt;0),S2313,0))</f>
        <v/>
      </c>
      <c r="AI2313" s="52">
        <f>IF(OR(L2313="",P2313=""),"",IF(COUNTIFS(L$6:L2313,L2313,P$6:P2313,"?*")=1,MAX(AI$5:AI2312)+1,""))</f>
        <v/>
      </c>
    </row>
    <row r="2314">
      <c r="B2314" s="47" t="n"/>
      <c r="C2314" s="48" t="n"/>
      <c r="D2314" s="48" t="n"/>
      <c r="E2314" s="48" t="n"/>
      <c r="F2314" s="48" t="n"/>
      <c r="G2314" s="49" t="n"/>
      <c r="H2314" s="48" t="n"/>
      <c r="I2314" s="50" t="n"/>
      <c r="J2314" s="48" t="n"/>
      <c r="K2314" s="48" t="n"/>
      <c r="L2314" s="48" t="n"/>
      <c r="M2314" s="48" t="n"/>
      <c r="N2314" s="48" t="n"/>
      <c r="O2314" s="51">
        <f>IF(AND(B2314="",G2314="",C2314="",D2314="",J2314=""),"",IF(B2314="","⚠ Falta fecha",IF(G2314="","⚠ Falta monto",IF(Q2314="","⚠ Falta cuenta",IF(ISNA(MATCH(Q2314,ctaNombre,0)),"⚠ Cuenta no registrada",IF(AND(OR(P2314="Gasto",P2314="Reembolso"),D2314=""),"⚠ Falta categoría",IF(AND(D2314&lt;&gt;"",E2314&lt;&gt;"",ISNA(MATCH(D2314&amp;"|"&amp;E2314,catClave,0))),"⚠ Subcategoría no corresponde",IF(AND(OR(P2314="Transferencia",P2314="Pago tarjeta"),K2314=""),"⚠ Falta cuenta destino",IF(AND(K2314&lt;&gt;"",P2314&lt;&gt;"Transferencia",P2314&lt;&gt;"Pago tarjeta"),"⚠ Destino solo aplica a transferencias",IF(AND(K2314&lt;&gt;"",K2314=Q2314),"⚠ Origen igual a destino",IF(AND(K2314&lt;&gt;"",ISNA(MATCH(K2314,ctaNombre,0))),"⚠ Destino no registrado",IF(AND(P2314="Pago tarjeta",AE2314&lt;&gt;"Tarjeta de crédito"),"⚠ El destino debe ser tarjeta de crédito",IF(AND(P2314="Gasto",E2314="Depósitos y retiros"),"⚠ Usa tipo Transferencia",IF(AND(P2314="Resultado trading",AD2314&lt;&gt;"Cuenta de trading"),"⚠ Usa una cuenta de trading",IF(AND(G2314&lt;=0,P2314&lt;&gt;"Ajuste",P2314&lt;&gt;"Resultado trading"),"⚠ El monto debe ser positivo","✓")))))))))))))))</f>
        <v/>
      </c>
      <c r="P2314" s="52">
        <f>IF(OR(B2314="",G2314=""),"",IF(C2314="","Gasto",C2314))</f>
        <v/>
      </c>
      <c r="Q2314" s="52">
        <f>IF(P2314="","",IF(J2314&lt;&gt;"",J2314,CuentaPred&amp;""))</f>
        <v/>
      </c>
      <c r="R2314" s="52">
        <f>IF(P2314="","",IF(ISNUMBER(I2314),I2314,TasaUSD))</f>
        <v/>
      </c>
      <c r="S2314" s="53">
        <f>IF(P2314="","",IF(H2314="USD",G2314*R2314,G2314))</f>
        <v/>
      </c>
      <c r="T2314" s="53">
        <f>IF(P2314="","",IF(H2314="USD",G2314,IF(R2314&gt;0,G2314/R2314,0)))</f>
        <v/>
      </c>
      <c r="U2314" s="53">
        <f>IF(P2314="","",IF(P2314="Gasto",S2314,IF(P2314="Reembolso",-S2314,0)))</f>
        <v/>
      </c>
      <c r="V2314" s="53">
        <f>IF(P2314="","",IF(P2314="Ingreso",S2314,0))</f>
        <v/>
      </c>
      <c r="W2314" s="53">
        <f>IF(P2314="","",IF(P2314="Resultado trading",S2314,0))</f>
        <v/>
      </c>
      <c r="X2314" s="52">
        <f>IF(OR(P2314="Gasto",P2314="Reembolso"),IF(M2314&lt;&gt;"",M2314,IFERROR(INDEX(catClasif,MATCH(D2314&amp;"|"&amp;E2314,catClave,0))&amp;"","Variable")),"")</f>
        <v/>
      </c>
      <c r="Y2314" s="52">
        <f>IF(P2314="","",IFERROR(INDEX(catGrupo,MATCH(D2314&amp;"|"&amp;E2314,catClave,0))&amp;"",""))</f>
        <v/>
      </c>
      <c r="Z2314" s="52">
        <f>IF(P2314="","",WEEKDAY(B2314,2))</f>
        <v/>
      </c>
      <c r="AA2314" s="52">
        <f>IF(P2314="","",IF(AND(P2314="Gasto",X2314="Variable",D2314&lt;&gt;catTrading,S2314&gt;0,S2314&lt;=Umbral),1,0))</f>
        <v/>
      </c>
      <c r="AB2314" s="52">
        <f>IF(OR(P2314="",Q2314=""),"",IFERROR(IF(INDEX(ctaVinc,MATCH(Q2314,ctaNombre,0))&amp;""&lt;&gt;"",INDEX(ctaVinc,MATCH(Q2314,ctaNombre,0))&amp;"",Q2314),Q2314))</f>
        <v/>
      </c>
      <c r="AC2314" s="52">
        <f>IF(OR(K2314="",AND(P2314&lt;&gt;"Transferencia",P2314&lt;&gt;"Pago tarjeta")),"",IFERROR(IF(INDEX(ctaVinc,MATCH(K2314,ctaNombre,0))&amp;""&lt;&gt;"",INDEX(ctaVinc,MATCH(K2314,ctaNombre,0))&amp;"",K2314),K2314))</f>
        <v/>
      </c>
      <c r="AD2314" s="52">
        <f>IF(AB2314="","",IFERROR(INDEX(ctaTipo,MATCH(AB2314,ctaNombre,0))&amp;"",""))</f>
        <v/>
      </c>
      <c r="AE2314" s="52">
        <f>IF(AC2314="","",IFERROR(INDEX(ctaTipo,MATCH(AC2314,ctaNombre,0))&amp;"",""))</f>
        <v/>
      </c>
      <c r="AF2314" s="53">
        <f>IF(OR(P2314="",AB2314=""),"",IF(OR(P2314="Gasto",P2314="Transferencia",P2314="Pago tarjeta"),-1,1)*IF(IFERROR(INDEX(ctaMoneda,MATCH(AB2314,ctaNombre,0))&amp;"","DOP")="USD",T2314,S2314))</f>
        <v/>
      </c>
      <c r="AG2314" s="53">
        <f>IF(AC2314="","",IF(IFERROR(INDEX(ctaMoneda,MATCH(AC2314,ctaNombre,0))&amp;"","DOP")="USD",T2314,S2314))</f>
        <v/>
      </c>
      <c r="AH2314" s="53">
        <f>IF(P2314="","",IF(AND(AD2314&lt;&gt;"",COUNTIFS(tcTipo,AD2314,tcLiq,"Sí")&gt;0),IF(OR(P2314="Gasto",P2314="Transferencia",P2314="Pago tarjeta"),-1,1)*S2314,0)+IF(AND(AE2314&lt;&gt;"",COUNTIFS(tcTipo,AE2314,tcLiq,"Sí")&gt;0),S2314,0))</f>
        <v/>
      </c>
      <c r="AI2314" s="52">
        <f>IF(OR(L2314="",P2314=""),"",IF(COUNTIFS(L$6:L2314,L2314,P$6:P2314,"?*")=1,MAX(AI$5:AI2313)+1,""))</f>
        <v/>
      </c>
    </row>
    <row r="2315">
      <c r="B2315" s="47" t="n"/>
      <c r="C2315" s="48" t="n"/>
      <c r="D2315" s="48" t="n"/>
      <c r="E2315" s="48" t="n"/>
      <c r="F2315" s="48" t="n"/>
      <c r="G2315" s="49" t="n"/>
      <c r="H2315" s="48" t="n"/>
      <c r="I2315" s="50" t="n"/>
      <c r="J2315" s="48" t="n"/>
      <c r="K2315" s="48" t="n"/>
      <c r="L2315" s="48" t="n"/>
      <c r="M2315" s="48" t="n"/>
      <c r="N2315" s="48" t="n"/>
      <c r="O2315" s="51">
        <f>IF(AND(B2315="",G2315="",C2315="",D2315="",J2315=""),"",IF(B2315="","⚠ Falta fecha",IF(G2315="","⚠ Falta monto",IF(Q2315="","⚠ Falta cuenta",IF(ISNA(MATCH(Q2315,ctaNombre,0)),"⚠ Cuenta no registrada",IF(AND(OR(P2315="Gasto",P2315="Reembolso"),D2315=""),"⚠ Falta categoría",IF(AND(D2315&lt;&gt;"",E2315&lt;&gt;"",ISNA(MATCH(D2315&amp;"|"&amp;E2315,catClave,0))),"⚠ Subcategoría no corresponde",IF(AND(OR(P2315="Transferencia",P2315="Pago tarjeta"),K2315=""),"⚠ Falta cuenta destino",IF(AND(K2315&lt;&gt;"",P2315&lt;&gt;"Transferencia",P2315&lt;&gt;"Pago tarjeta"),"⚠ Destino solo aplica a transferencias",IF(AND(K2315&lt;&gt;"",K2315=Q2315),"⚠ Origen igual a destino",IF(AND(K2315&lt;&gt;"",ISNA(MATCH(K2315,ctaNombre,0))),"⚠ Destino no registrado",IF(AND(P2315="Pago tarjeta",AE2315&lt;&gt;"Tarjeta de crédito"),"⚠ El destino debe ser tarjeta de crédito",IF(AND(P2315="Gasto",E2315="Depósitos y retiros"),"⚠ Usa tipo Transferencia",IF(AND(P2315="Resultado trading",AD2315&lt;&gt;"Cuenta de trading"),"⚠ Usa una cuenta de trading",IF(AND(G2315&lt;=0,P2315&lt;&gt;"Ajuste",P2315&lt;&gt;"Resultado trading"),"⚠ El monto debe ser positivo","✓")))))))))))))))</f>
        <v/>
      </c>
      <c r="P2315" s="52">
        <f>IF(OR(B2315="",G2315=""),"",IF(C2315="","Gasto",C2315))</f>
        <v/>
      </c>
      <c r="Q2315" s="52">
        <f>IF(P2315="","",IF(J2315&lt;&gt;"",J2315,CuentaPred&amp;""))</f>
        <v/>
      </c>
      <c r="R2315" s="52">
        <f>IF(P2315="","",IF(ISNUMBER(I2315),I2315,TasaUSD))</f>
        <v/>
      </c>
      <c r="S2315" s="53">
        <f>IF(P2315="","",IF(H2315="USD",G2315*R2315,G2315))</f>
        <v/>
      </c>
      <c r="T2315" s="53">
        <f>IF(P2315="","",IF(H2315="USD",G2315,IF(R2315&gt;0,G2315/R2315,0)))</f>
        <v/>
      </c>
      <c r="U2315" s="53">
        <f>IF(P2315="","",IF(P2315="Gasto",S2315,IF(P2315="Reembolso",-S2315,0)))</f>
        <v/>
      </c>
      <c r="V2315" s="53">
        <f>IF(P2315="","",IF(P2315="Ingreso",S2315,0))</f>
        <v/>
      </c>
      <c r="W2315" s="53">
        <f>IF(P2315="","",IF(P2315="Resultado trading",S2315,0))</f>
        <v/>
      </c>
      <c r="X2315" s="52">
        <f>IF(OR(P2315="Gasto",P2315="Reembolso"),IF(M2315&lt;&gt;"",M2315,IFERROR(INDEX(catClasif,MATCH(D2315&amp;"|"&amp;E2315,catClave,0))&amp;"","Variable")),"")</f>
        <v/>
      </c>
      <c r="Y2315" s="52">
        <f>IF(P2315="","",IFERROR(INDEX(catGrupo,MATCH(D2315&amp;"|"&amp;E2315,catClave,0))&amp;"",""))</f>
        <v/>
      </c>
      <c r="Z2315" s="52">
        <f>IF(P2315="","",WEEKDAY(B2315,2))</f>
        <v/>
      </c>
      <c r="AA2315" s="52">
        <f>IF(P2315="","",IF(AND(P2315="Gasto",X2315="Variable",D2315&lt;&gt;catTrading,S2315&gt;0,S2315&lt;=Umbral),1,0))</f>
        <v/>
      </c>
      <c r="AB2315" s="52">
        <f>IF(OR(P2315="",Q2315=""),"",IFERROR(IF(INDEX(ctaVinc,MATCH(Q2315,ctaNombre,0))&amp;""&lt;&gt;"",INDEX(ctaVinc,MATCH(Q2315,ctaNombre,0))&amp;"",Q2315),Q2315))</f>
        <v/>
      </c>
      <c r="AC2315" s="52">
        <f>IF(OR(K2315="",AND(P2315&lt;&gt;"Transferencia",P2315&lt;&gt;"Pago tarjeta")),"",IFERROR(IF(INDEX(ctaVinc,MATCH(K2315,ctaNombre,0))&amp;""&lt;&gt;"",INDEX(ctaVinc,MATCH(K2315,ctaNombre,0))&amp;"",K2315),K2315))</f>
        <v/>
      </c>
      <c r="AD2315" s="52">
        <f>IF(AB2315="","",IFERROR(INDEX(ctaTipo,MATCH(AB2315,ctaNombre,0))&amp;"",""))</f>
        <v/>
      </c>
      <c r="AE2315" s="52">
        <f>IF(AC2315="","",IFERROR(INDEX(ctaTipo,MATCH(AC2315,ctaNombre,0))&amp;"",""))</f>
        <v/>
      </c>
      <c r="AF2315" s="53">
        <f>IF(OR(P2315="",AB2315=""),"",IF(OR(P2315="Gasto",P2315="Transferencia",P2315="Pago tarjeta"),-1,1)*IF(IFERROR(INDEX(ctaMoneda,MATCH(AB2315,ctaNombre,0))&amp;"","DOP")="USD",T2315,S2315))</f>
        <v/>
      </c>
      <c r="AG2315" s="53">
        <f>IF(AC2315="","",IF(IFERROR(INDEX(ctaMoneda,MATCH(AC2315,ctaNombre,0))&amp;"","DOP")="USD",T2315,S2315))</f>
        <v/>
      </c>
      <c r="AH2315" s="53">
        <f>IF(P2315="","",IF(AND(AD2315&lt;&gt;"",COUNTIFS(tcTipo,AD2315,tcLiq,"Sí")&gt;0),IF(OR(P2315="Gasto",P2315="Transferencia",P2315="Pago tarjeta"),-1,1)*S2315,0)+IF(AND(AE2315&lt;&gt;"",COUNTIFS(tcTipo,AE2315,tcLiq,"Sí")&gt;0),S2315,0))</f>
        <v/>
      </c>
      <c r="AI2315" s="52">
        <f>IF(OR(L2315="",P2315=""),"",IF(COUNTIFS(L$6:L2315,L2315,P$6:P2315,"?*")=1,MAX(AI$5:AI2314)+1,""))</f>
        <v/>
      </c>
    </row>
    <row r="2316">
      <c r="B2316" s="47" t="n"/>
      <c r="C2316" s="48" t="n"/>
      <c r="D2316" s="48" t="n"/>
      <c r="E2316" s="48" t="n"/>
      <c r="F2316" s="48" t="n"/>
      <c r="G2316" s="49" t="n"/>
      <c r="H2316" s="48" t="n"/>
      <c r="I2316" s="50" t="n"/>
      <c r="J2316" s="48" t="n"/>
      <c r="K2316" s="48" t="n"/>
      <c r="L2316" s="48" t="n"/>
      <c r="M2316" s="48" t="n"/>
      <c r="N2316" s="48" t="n"/>
      <c r="O2316" s="51">
        <f>IF(AND(B2316="",G2316="",C2316="",D2316="",J2316=""),"",IF(B2316="","⚠ Falta fecha",IF(G2316="","⚠ Falta monto",IF(Q2316="","⚠ Falta cuenta",IF(ISNA(MATCH(Q2316,ctaNombre,0)),"⚠ Cuenta no registrada",IF(AND(OR(P2316="Gasto",P2316="Reembolso"),D2316=""),"⚠ Falta categoría",IF(AND(D2316&lt;&gt;"",E2316&lt;&gt;"",ISNA(MATCH(D2316&amp;"|"&amp;E2316,catClave,0))),"⚠ Subcategoría no corresponde",IF(AND(OR(P2316="Transferencia",P2316="Pago tarjeta"),K2316=""),"⚠ Falta cuenta destino",IF(AND(K2316&lt;&gt;"",P2316&lt;&gt;"Transferencia",P2316&lt;&gt;"Pago tarjeta"),"⚠ Destino solo aplica a transferencias",IF(AND(K2316&lt;&gt;"",K2316=Q2316),"⚠ Origen igual a destino",IF(AND(K2316&lt;&gt;"",ISNA(MATCH(K2316,ctaNombre,0))),"⚠ Destino no registrado",IF(AND(P2316="Pago tarjeta",AE2316&lt;&gt;"Tarjeta de crédito"),"⚠ El destino debe ser tarjeta de crédito",IF(AND(P2316="Gasto",E2316="Depósitos y retiros"),"⚠ Usa tipo Transferencia",IF(AND(P2316="Resultado trading",AD2316&lt;&gt;"Cuenta de trading"),"⚠ Usa una cuenta de trading",IF(AND(G2316&lt;=0,P2316&lt;&gt;"Ajuste",P2316&lt;&gt;"Resultado trading"),"⚠ El monto debe ser positivo","✓")))))))))))))))</f>
        <v/>
      </c>
      <c r="P2316" s="52">
        <f>IF(OR(B2316="",G2316=""),"",IF(C2316="","Gasto",C2316))</f>
        <v/>
      </c>
      <c r="Q2316" s="52">
        <f>IF(P2316="","",IF(J2316&lt;&gt;"",J2316,CuentaPred&amp;""))</f>
        <v/>
      </c>
      <c r="R2316" s="52">
        <f>IF(P2316="","",IF(ISNUMBER(I2316),I2316,TasaUSD))</f>
        <v/>
      </c>
      <c r="S2316" s="53">
        <f>IF(P2316="","",IF(H2316="USD",G2316*R2316,G2316))</f>
        <v/>
      </c>
      <c r="T2316" s="53">
        <f>IF(P2316="","",IF(H2316="USD",G2316,IF(R2316&gt;0,G2316/R2316,0)))</f>
        <v/>
      </c>
      <c r="U2316" s="53">
        <f>IF(P2316="","",IF(P2316="Gasto",S2316,IF(P2316="Reembolso",-S2316,0)))</f>
        <v/>
      </c>
      <c r="V2316" s="53">
        <f>IF(P2316="","",IF(P2316="Ingreso",S2316,0))</f>
        <v/>
      </c>
      <c r="W2316" s="53">
        <f>IF(P2316="","",IF(P2316="Resultado trading",S2316,0))</f>
        <v/>
      </c>
      <c r="X2316" s="52">
        <f>IF(OR(P2316="Gasto",P2316="Reembolso"),IF(M2316&lt;&gt;"",M2316,IFERROR(INDEX(catClasif,MATCH(D2316&amp;"|"&amp;E2316,catClave,0))&amp;"","Variable")),"")</f>
        <v/>
      </c>
      <c r="Y2316" s="52">
        <f>IF(P2316="","",IFERROR(INDEX(catGrupo,MATCH(D2316&amp;"|"&amp;E2316,catClave,0))&amp;"",""))</f>
        <v/>
      </c>
      <c r="Z2316" s="52">
        <f>IF(P2316="","",WEEKDAY(B2316,2))</f>
        <v/>
      </c>
      <c r="AA2316" s="52">
        <f>IF(P2316="","",IF(AND(P2316="Gasto",X2316="Variable",D2316&lt;&gt;catTrading,S2316&gt;0,S2316&lt;=Umbral),1,0))</f>
        <v/>
      </c>
      <c r="AB2316" s="52">
        <f>IF(OR(P2316="",Q2316=""),"",IFERROR(IF(INDEX(ctaVinc,MATCH(Q2316,ctaNombre,0))&amp;""&lt;&gt;"",INDEX(ctaVinc,MATCH(Q2316,ctaNombre,0))&amp;"",Q2316),Q2316))</f>
        <v/>
      </c>
      <c r="AC2316" s="52">
        <f>IF(OR(K2316="",AND(P2316&lt;&gt;"Transferencia",P2316&lt;&gt;"Pago tarjeta")),"",IFERROR(IF(INDEX(ctaVinc,MATCH(K2316,ctaNombre,0))&amp;""&lt;&gt;"",INDEX(ctaVinc,MATCH(K2316,ctaNombre,0))&amp;"",K2316),K2316))</f>
        <v/>
      </c>
      <c r="AD2316" s="52">
        <f>IF(AB2316="","",IFERROR(INDEX(ctaTipo,MATCH(AB2316,ctaNombre,0))&amp;"",""))</f>
        <v/>
      </c>
      <c r="AE2316" s="52">
        <f>IF(AC2316="","",IFERROR(INDEX(ctaTipo,MATCH(AC2316,ctaNombre,0))&amp;"",""))</f>
        <v/>
      </c>
      <c r="AF2316" s="53">
        <f>IF(OR(P2316="",AB2316=""),"",IF(OR(P2316="Gasto",P2316="Transferencia",P2316="Pago tarjeta"),-1,1)*IF(IFERROR(INDEX(ctaMoneda,MATCH(AB2316,ctaNombre,0))&amp;"","DOP")="USD",T2316,S2316))</f>
        <v/>
      </c>
      <c r="AG2316" s="53">
        <f>IF(AC2316="","",IF(IFERROR(INDEX(ctaMoneda,MATCH(AC2316,ctaNombre,0))&amp;"","DOP")="USD",T2316,S2316))</f>
        <v/>
      </c>
      <c r="AH2316" s="53">
        <f>IF(P2316="","",IF(AND(AD2316&lt;&gt;"",COUNTIFS(tcTipo,AD2316,tcLiq,"Sí")&gt;0),IF(OR(P2316="Gasto",P2316="Transferencia",P2316="Pago tarjeta"),-1,1)*S2316,0)+IF(AND(AE2316&lt;&gt;"",COUNTIFS(tcTipo,AE2316,tcLiq,"Sí")&gt;0),S2316,0))</f>
        <v/>
      </c>
      <c r="AI2316" s="52">
        <f>IF(OR(L2316="",P2316=""),"",IF(COUNTIFS(L$6:L2316,L2316,P$6:P2316,"?*")=1,MAX(AI$5:AI2315)+1,""))</f>
        <v/>
      </c>
    </row>
    <row r="2317">
      <c r="B2317" s="47" t="n"/>
      <c r="C2317" s="48" t="n"/>
      <c r="D2317" s="48" t="n"/>
      <c r="E2317" s="48" t="n"/>
      <c r="F2317" s="48" t="n"/>
      <c r="G2317" s="49" t="n"/>
      <c r="H2317" s="48" t="n"/>
      <c r="I2317" s="50" t="n"/>
      <c r="J2317" s="48" t="n"/>
      <c r="K2317" s="48" t="n"/>
      <c r="L2317" s="48" t="n"/>
      <c r="M2317" s="48" t="n"/>
      <c r="N2317" s="48" t="n"/>
      <c r="O2317" s="51">
        <f>IF(AND(B2317="",G2317="",C2317="",D2317="",J2317=""),"",IF(B2317="","⚠ Falta fecha",IF(G2317="","⚠ Falta monto",IF(Q2317="","⚠ Falta cuenta",IF(ISNA(MATCH(Q2317,ctaNombre,0)),"⚠ Cuenta no registrada",IF(AND(OR(P2317="Gasto",P2317="Reembolso"),D2317=""),"⚠ Falta categoría",IF(AND(D2317&lt;&gt;"",E2317&lt;&gt;"",ISNA(MATCH(D2317&amp;"|"&amp;E2317,catClave,0))),"⚠ Subcategoría no corresponde",IF(AND(OR(P2317="Transferencia",P2317="Pago tarjeta"),K2317=""),"⚠ Falta cuenta destino",IF(AND(K2317&lt;&gt;"",P2317&lt;&gt;"Transferencia",P2317&lt;&gt;"Pago tarjeta"),"⚠ Destino solo aplica a transferencias",IF(AND(K2317&lt;&gt;"",K2317=Q2317),"⚠ Origen igual a destino",IF(AND(K2317&lt;&gt;"",ISNA(MATCH(K2317,ctaNombre,0))),"⚠ Destino no registrado",IF(AND(P2317="Pago tarjeta",AE2317&lt;&gt;"Tarjeta de crédito"),"⚠ El destino debe ser tarjeta de crédito",IF(AND(P2317="Gasto",E2317="Depósitos y retiros"),"⚠ Usa tipo Transferencia",IF(AND(P2317="Resultado trading",AD2317&lt;&gt;"Cuenta de trading"),"⚠ Usa una cuenta de trading",IF(AND(G2317&lt;=0,P2317&lt;&gt;"Ajuste",P2317&lt;&gt;"Resultado trading"),"⚠ El monto debe ser positivo","✓")))))))))))))))</f>
        <v/>
      </c>
      <c r="P2317" s="52">
        <f>IF(OR(B2317="",G2317=""),"",IF(C2317="","Gasto",C2317))</f>
        <v/>
      </c>
      <c r="Q2317" s="52">
        <f>IF(P2317="","",IF(J2317&lt;&gt;"",J2317,CuentaPred&amp;""))</f>
        <v/>
      </c>
      <c r="R2317" s="52">
        <f>IF(P2317="","",IF(ISNUMBER(I2317),I2317,TasaUSD))</f>
        <v/>
      </c>
      <c r="S2317" s="53">
        <f>IF(P2317="","",IF(H2317="USD",G2317*R2317,G2317))</f>
        <v/>
      </c>
      <c r="T2317" s="53">
        <f>IF(P2317="","",IF(H2317="USD",G2317,IF(R2317&gt;0,G2317/R2317,0)))</f>
        <v/>
      </c>
      <c r="U2317" s="53">
        <f>IF(P2317="","",IF(P2317="Gasto",S2317,IF(P2317="Reembolso",-S2317,0)))</f>
        <v/>
      </c>
      <c r="V2317" s="53">
        <f>IF(P2317="","",IF(P2317="Ingreso",S2317,0))</f>
        <v/>
      </c>
      <c r="W2317" s="53">
        <f>IF(P2317="","",IF(P2317="Resultado trading",S2317,0))</f>
        <v/>
      </c>
      <c r="X2317" s="52">
        <f>IF(OR(P2317="Gasto",P2317="Reembolso"),IF(M2317&lt;&gt;"",M2317,IFERROR(INDEX(catClasif,MATCH(D2317&amp;"|"&amp;E2317,catClave,0))&amp;"","Variable")),"")</f>
        <v/>
      </c>
      <c r="Y2317" s="52">
        <f>IF(P2317="","",IFERROR(INDEX(catGrupo,MATCH(D2317&amp;"|"&amp;E2317,catClave,0))&amp;"",""))</f>
        <v/>
      </c>
      <c r="Z2317" s="52">
        <f>IF(P2317="","",WEEKDAY(B2317,2))</f>
        <v/>
      </c>
      <c r="AA2317" s="52">
        <f>IF(P2317="","",IF(AND(P2317="Gasto",X2317="Variable",D2317&lt;&gt;catTrading,S2317&gt;0,S2317&lt;=Umbral),1,0))</f>
        <v/>
      </c>
      <c r="AB2317" s="52">
        <f>IF(OR(P2317="",Q2317=""),"",IFERROR(IF(INDEX(ctaVinc,MATCH(Q2317,ctaNombre,0))&amp;""&lt;&gt;"",INDEX(ctaVinc,MATCH(Q2317,ctaNombre,0))&amp;"",Q2317),Q2317))</f>
        <v/>
      </c>
      <c r="AC2317" s="52">
        <f>IF(OR(K2317="",AND(P2317&lt;&gt;"Transferencia",P2317&lt;&gt;"Pago tarjeta")),"",IFERROR(IF(INDEX(ctaVinc,MATCH(K2317,ctaNombre,0))&amp;""&lt;&gt;"",INDEX(ctaVinc,MATCH(K2317,ctaNombre,0))&amp;"",K2317),K2317))</f>
        <v/>
      </c>
      <c r="AD2317" s="52">
        <f>IF(AB2317="","",IFERROR(INDEX(ctaTipo,MATCH(AB2317,ctaNombre,0))&amp;"",""))</f>
        <v/>
      </c>
      <c r="AE2317" s="52">
        <f>IF(AC2317="","",IFERROR(INDEX(ctaTipo,MATCH(AC2317,ctaNombre,0))&amp;"",""))</f>
        <v/>
      </c>
      <c r="AF2317" s="53">
        <f>IF(OR(P2317="",AB2317=""),"",IF(OR(P2317="Gasto",P2317="Transferencia",P2317="Pago tarjeta"),-1,1)*IF(IFERROR(INDEX(ctaMoneda,MATCH(AB2317,ctaNombre,0))&amp;"","DOP")="USD",T2317,S2317))</f>
        <v/>
      </c>
      <c r="AG2317" s="53">
        <f>IF(AC2317="","",IF(IFERROR(INDEX(ctaMoneda,MATCH(AC2317,ctaNombre,0))&amp;"","DOP")="USD",T2317,S2317))</f>
        <v/>
      </c>
      <c r="AH2317" s="53">
        <f>IF(P2317="","",IF(AND(AD2317&lt;&gt;"",COUNTIFS(tcTipo,AD2317,tcLiq,"Sí")&gt;0),IF(OR(P2317="Gasto",P2317="Transferencia",P2317="Pago tarjeta"),-1,1)*S2317,0)+IF(AND(AE2317&lt;&gt;"",COUNTIFS(tcTipo,AE2317,tcLiq,"Sí")&gt;0),S2317,0))</f>
        <v/>
      </c>
      <c r="AI2317" s="52">
        <f>IF(OR(L2317="",P2317=""),"",IF(COUNTIFS(L$6:L2317,L2317,P$6:P2317,"?*")=1,MAX(AI$5:AI2316)+1,""))</f>
        <v/>
      </c>
    </row>
    <row r="2318">
      <c r="B2318" s="47" t="n"/>
      <c r="C2318" s="48" t="n"/>
      <c r="D2318" s="48" t="n"/>
      <c r="E2318" s="48" t="n"/>
      <c r="F2318" s="48" t="n"/>
      <c r="G2318" s="49" t="n"/>
      <c r="H2318" s="48" t="n"/>
      <c r="I2318" s="50" t="n"/>
      <c r="J2318" s="48" t="n"/>
      <c r="K2318" s="48" t="n"/>
      <c r="L2318" s="48" t="n"/>
      <c r="M2318" s="48" t="n"/>
      <c r="N2318" s="48" t="n"/>
      <c r="O2318" s="51">
        <f>IF(AND(B2318="",G2318="",C2318="",D2318="",J2318=""),"",IF(B2318="","⚠ Falta fecha",IF(G2318="","⚠ Falta monto",IF(Q2318="","⚠ Falta cuenta",IF(ISNA(MATCH(Q2318,ctaNombre,0)),"⚠ Cuenta no registrada",IF(AND(OR(P2318="Gasto",P2318="Reembolso"),D2318=""),"⚠ Falta categoría",IF(AND(D2318&lt;&gt;"",E2318&lt;&gt;"",ISNA(MATCH(D2318&amp;"|"&amp;E2318,catClave,0))),"⚠ Subcategoría no corresponde",IF(AND(OR(P2318="Transferencia",P2318="Pago tarjeta"),K2318=""),"⚠ Falta cuenta destino",IF(AND(K2318&lt;&gt;"",P2318&lt;&gt;"Transferencia",P2318&lt;&gt;"Pago tarjeta"),"⚠ Destino solo aplica a transferencias",IF(AND(K2318&lt;&gt;"",K2318=Q2318),"⚠ Origen igual a destino",IF(AND(K2318&lt;&gt;"",ISNA(MATCH(K2318,ctaNombre,0))),"⚠ Destino no registrado",IF(AND(P2318="Pago tarjeta",AE2318&lt;&gt;"Tarjeta de crédito"),"⚠ El destino debe ser tarjeta de crédito",IF(AND(P2318="Gasto",E2318="Depósitos y retiros"),"⚠ Usa tipo Transferencia",IF(AND(P2318="Resultado trading",AD2318&lt;&gt;"Cuenta de trading"),"⚠ Usa una cuenta de trading",IF(AND(G2318&lt;=0,P2318&lt;&gt;"Ajuste",P2318&lt;&gt;"Resultado trading"),"⚠ El monto debe ser positivo","✓")))))))))))))))</f>
        <v/>
      </c>
      <c r="P2318" s="52">
        <f>IF(OR(B2318="",G2318=""),"",IF(C2318="","Gasto",C2318))</f>
        <v/>
      </c>
      <c r="Q2318" s="52">
        <f>IF(P2318="","",IF(J2318&lt;&gt;"",J2318,CuentaPred&amp;""))</f>
        <v/>
      </c>
      <c r="R2318" s="52">
        <f>IF(P2318="","",IF(ISNUMBER(I2318),I2318,TasaUSD))</f>
        <v/>
      </c>
      <c r="S2318" s="53">
        <f>IF(P2318="","",IF(H2318="USD",G2318*R2318,G2318))</f>
        <v/>
      </c>
      <c r="T2318" s="53">
        <f>IF(P2318="","",IF(H2318="USD",G2318,IF(R2318&gt;0,G2318/R2318,0)))</f>
        <v/>
      </c>
      <c r="U2318" s="53">
        <f>IF(P2318="","",IF(P2318="Gasto",S2318,IF(P2318="Reembolso",-S2318,0)))</f>
        <v/>
      </c>
      <c r="V2318" s="53">
        <f>IF(P2318="","",IF(P2318="Ingreso",S2318,0))</f>
        <v/>
      </c>
      <c r="W2318" s="53">
        <f>IF(P2318="","",IF(P2318="Resultado trading",S2318,0))</f>
        <v/>
      </c>
      <c r="X2318" s="52">
        <f>IF(OR(P2318="Gasto",P2318="Reembolso"),IF(M2318&lt;&gt;"",M2318,IFERROR(INDEX(catClasif,MATCH(D2318&amp;"|"&amp;E2318,catClave,0))&amp;"","Variable")),"")</f>
        <v/>
      </c>
      <c r="Y2318" s="52">
        <f>IF(P2318="","",IFERROR(INDEX(catGrupo,MATCH(D2318&amp;"|"&amp;E2318,catClave,0))&amp;"",""))</f>
        <v/>
      </c>
      <c r="Z2318" s="52">
        <f>IF(P2318="","",WEEKDAY(B2318,2))</f>
        <v/>
      </c>
      <c r="AA2318" s="52">
        <f>IF(P2318="","",IF(AND(P2318="Gasto",X2318="Variable",D2318&lt;&gt;catTrading,S2318&gt;0,S2318&lt;=Umbral),1,0))</f>
        <v/>
      </c>
      <c r="AB2318" s="52">
        <f>IF(OR(P2318="",Q2318=""),"",IFERROR(IF(INDEX(ctaVinc,MATCH(Q2318,ctaNombre,0))&amp;""&lt;&gt;"",INDEX(ctaVinc,MATCH(Q2318,ctaNombre,0))&amp;"",Q2318),Q2318))</f>
        <v/>
      </c>
      <c r="AC2318" s="52">
        <f>IF(OR(K2318="",AND(P2318&lt;&gt;"Transferencia",P2318&lt;&gt;"Pago tarjeta")),"",IFERROR(IF(INDEX(ctaVinc,MATCH(K2318,ctaNombre,0))&amp;""&lt;&gt;"",INDEX(ctaVinc,MATCH(K2318,ctaNombre,0))&amp;"",K2318),K2318))</f>
        <v/>
      </c>
      <c r="AD2318" s="52">
        <f>IF(AB2318="","",IFERROR(INDEX(ctaTipo,MATCH(AB2318,ctaNombre,0))&amp;"",""))</f>
        <v/>
      </c>
      <c r="AE2318" s="52">
        <f>IF(AC2318="","",IFERROR(INDEX(ctaTipo,MATCH(AC2318,ctaNombre,0))&amp;"",""))</f>
        <v/>
      </c>
      <c r="AF2318" s="53">
        <f>IF(OR(P2318="",AB2318=""),"",IF(OR(P2318="Gasto",P2318="Transferencia",P2318="Pago tarjeta"),-1,1)*IF(IFERROR(INDEX(ctaMoneda,MATCH(AB2318,ctaNombre,0))&amp;"","DOP")="USD",T2318,S2318))</f>
        <v/>
      </c>
      <c r="AG2318" s="53">
        <f>IF(AC2318="","",IF(IFERROR(INDEX(ctaMoneda,MATCH(AC2318,ctaNombre,0))&amp;"","DOP")="USD",T2318,S2318))</f>
        <v/>
      </c>
      <c r="AH2318" s="53">
        <f>IF(P2318="","",IF(AND(AD2318&lt;&gt;"",COUNTIFS(tcTipo,AD2318,tcLiq,"Sí")&gt;0),IF(OR(P2318="Gasto",P2318="Transferencia",P2318="Pago tarjeta"),-1,1)*S2318,0)+IF(AND(AE2318&lt;&gt;"",COUNTIFS(tcTipo,AE2318,tcLiq,"Sí")&gt;0),S2318,0))</f>
        <v/>
      </c>
      <c r="AI2318" s="52">
        <f>IF(OR(L2318="",P2318=""),"",IF(COUNTIFS(L$6:L2318,L2318,P$6:P2318,"?*")=1,MAX(AI$5:AI2317)+1,""))</f>
        <v/>
      </c>
    </row>
    <row r="2319">
      <c r="B2319" s="47" t="n"/>
      <c r="C2319" s="48" t="n"/>
      <c r="D2319" s="48" t="n"/>
      <c r="E2319" s="48" t="n"/>
      <c r="F2319" s="48" t="n"/>
      <c r="G2319" s="49" t="n"/>
      <c r="H2319" s="48" t="n"/>
      <c r="I2319" s="50" t="n"/>
      <c r="J2319" s="48" t="n"/>
      <c r="K2319" s="48" t="n"/>
      <c r="L2319" s="48" t="n"/>
      <c r="M2319" s="48" t="n"/>
      <c r="N2319" s="48" t="n"/>
      <c r="O2319" s="51">
        <f>IF(AND(B2319="",G2319="",C2319="",D2319="",J2319=""),"",IF(B2319="","⚠ Falta fecha",IF(G2319="","⚠ Falta monto",IF(Q2319="","⚠ Falta cuenta",IF(ISNA(MATCH(Q2319,ctaNombre,0)),"⚠ Cuenta no registrada",IF(AND(OR(P2319="Gasto",P2319="Reembolso"),D2319=""),"⚠ Falta categoría",IF(AND(D2319&lt;&gt;"",E2319&lt;&gt;"",ISNA(MATCH(D2319&amp;"|"&amp;E2319,catClave,0))),"⚠ Subcategoría no corresponde",IF(AND(OR(P2319="Transferencia",P2319="Pago tarjeta"),K2319=""),"⚠ Falta cuenta destino",IF(AND(K2319&lt;&gt;"",P2319&lt;&gt;"Transferencia",P2319&lt;&gt;"Pago tarjeta"),"⚠ Destino solo aplica a transferencias",IF(AND(K2319&lt;&gt;"",K2319=Q2319),"⚠ Origen igual a destino",IF(AND(K2319&lt;&gt;"",ISNA(MATCH(K2319,ctaNombre,0))),"⚠ Destino no registrado",IF(AND(P2319="Pago tarjeta",AE2319&lt;&gt;"Tarjeta de crédito"),"⚠ El destino debe ser tarjeta de crédito",IF(AND(P2319="Gasto",E2319="Depósitos y retiros"),"⚠ Usa tipo Transferencia",IF(AND(P2319="Resultado trading",AD2319&lt;&gt;"Cuenta de trading"),"⚠ Usa una cuenta de trading",IF(AND(G2319&lt;=0,P2319&lt;&gt;"Ajuste",P2319&lt;&gt;"Resultado trading"),"⚠ El monto debe ser positivo","✓")))))))))))))))</f>
        <v/>
      </c>
      <c r="P2319" s="52">
        <f>IF(OR(B2319="",G2319=""),"",IF(C2319="","Gasto",C2319))</f>
        <v/>
      </c>
      <c r="Q2319" s="52">
        <f>IF(P2319="","",IF(J2319&lt;&gt;"",J2319,CuentaPred&amp;""))</f>
        <v/>
      </c>
      <c r="R2319" s="52">
        <f>IF(P2319="","",IF(ISNUMBER(I2319),I2319,TasaUSD))</f>
        <v/>
      </c>
      <c r="S2319" s="53">
        <f>IF(P2319="","",IF(H2319="USD",G2319*R2319,G2319))</f>
        <v/>
      </c>
      <c r="T2319" s="53">
        <f>IF(P2319="","",IF(H2319="USD",G2319,IF(R2319&gt;0,G2319/R2319,0)))</f>
        <v/>
      </c>
      <c r="U2319" s="53">
        <f>IF(P2319="","",IF(P2319="Gasto",S2319,IF(P2319="Reembolso",-S2319,0)))</f>
        <v/>
      </c>
      <c r="V2319" s="53">
        <f>IF(P2319="","",IF(P2319="Ingreso",S2319,0))</f>
        <v/>
      </c>
      <c r="W2319" s="53">
        <f>IF(P2319="","",IF(P2319="Resultado trading",S2319,0))</f>
        <v/>
      </c>
      <c r="X2319" s="52">
        <f>IF(OR(P2319="Gasto",P2319="Reembolso"),IF(M2319&lt;&gt;"",M2319,IFERROR(INDEX(catClasif,MATCH(D2319&amp;"|"&amp;E2319,catClave,0))&amp;"","Variable")),"")</f>
        <v/>
      </c>
      <c r="Y2319" s="52">
        <f>IF(P2319="","",IFERROR(INDEX(catGrupo,MATCH(D2319&amp;"|"&amp;E2319,catClave,0))&amp;"",""))</f>
        <v/>
      </c>
      <c r="Z2319" s="52">
        <f>IF(P2319="","",WEEKDAY(B2319,2))</f>
        <v/>
      </c>
      <c r="AA2319" s="52">
        <f>IF(P2319="","",IF(AND(P2319="Gasto",X2319="Variable",D2319&lt;&gt;catTrading,S2319&gt;0,S2319&lt;=Umbral),1,0))</f>
        <v/>
      </c>
      <c r="AB2319" s="52">
        <f>IF(OR(P2319="",Q2319=""),"",IFERROR(IF(INDEX(ctaVinc,MATCH(Q2319,ctaNombre,0))&amp;""&lt;&gt;"",INDEX(ctaVinc,MATCH(Q2319,ctaNombre,0))&amp;"",Q2319),Q2319))</f>
        <v/>
      </c>
      <c r="AC2319" s="52">
        <f>IF(OR(K2319="",AND(P2319&lt;&gt;"Transferencia",P2319&lt;&gt;"Pago tarjeta")),"",IFERROR(IF(INDEX(ctaVinc,MATCH(K2319,ctaNombre,0))&amp;""&lt;&gt;"",INDEX(ctaVinc,MATCH(K2319,ctaNombre,0))&amp;"",K2319),K2319))</f>
        <v/>
      </c>
      <c r="AD2319" s="52">
        <f>IF(AB2319="","",IFERROR(INDEX(ctaTipo,MATCH(AB2319,ctaNombre,0))&amp;"",""))</f>
        <v/>
      </c>
      <c r="AE2319" s="52">
        <f>IF(AC2319="","",IFERROR(INDEX(ctaTipo,MATCH(AC2319,ctaNombre,0))&amp;"",""))</f>
        <v/>
      </c>
      <c r="AF2319" s="53">
        <f>IF(OR(P2319="",AB2319=""),"",IF(OR(P2319="Gasto",P2319="Transferencia",P2319="Pago tarjeta"),-1,1)*IF(IFERROR(INDEX(ctaMoneda,MATCH(AB2319,ctaNombre,0))&amp;"","DOP")="USD",T2319,S2319))</f>
        <v/>
      </c>
      <c r="AG2319" s="53">
        <f>IF(AC2319="","",IF(IFERROR(INDEX(ctaMoneda,MATCH(AC2319,ctaNombre,0))&amp;"","DOP")="USD",T2319,S2319))</f>
        <v/>
      </c>
      <c r="AH2319" s="53">
        <f>IF(P2319="","",IF(AND(AD2319&lt;&gt;"",COUNTIFS(tcTipo,AD2319,tcLiq,"Sí")&gt;0),IF(OR(P2319="Gasto",P2319="Transferencia",P2319="Pago tarjeta"),-1,1)*S2319,0)+IF(AND(AE2319&lt;&gt;"",COUNTIFS(tcTipo,AE2319,tcLiq,"Sí")&gt;0),S2319,0))</f>
        <v/>
      </c>
      <c r="AI2319" s="52">
        <f>IF(OR(L2319="",P2319=""),"",IF(COUNTIFS(L$6:L2319,L2319,P$6:P2319,"?*")=1,MAX(AI$5:AI2318)+1,""))</f>
        <v/>
      </c>
    </row>
    <row r="2320">
      <c r="B2320" s="47" t="n"/>
      <c r="C2320" s="48" t="n"/>
      <c r="D2320" s="48" t="n"/>
      <c r="E2320" s="48" t="n"/>
      <c r="F2320" s="48" t="n"/>
      <c r="G2320" s="49" t="n"/>
      <c r="H2320" s="48" t="n"/>
      <c r="I2320" s="50" t="n"/>
      <c r="J2320" s="48" t="n"/>
      <c r="K2320" s="48" t="n"/>
      <c r="L2320" s="48" t="n"/>
      <c r="M2320" s="48" t="n"/>
      <c r="N2320" s="48" t="n"/>
      <c r="O2320" s="51">
        <f>IF(AND(B2320="",G2320="",C2320="",D2320="",J2320=""),"",IF(B2320="","⚠ Falta fecha",IF(G2320="","⚠ Falta monto",IF(Q2320="","⚠ Falta cuenta",IF(ISNA(MATCH(Q2320,ctaNombre,0)),"⚠ Cuenta no registrada",IF(AND(OR(P2320="Gasto",P2320="Reembolso"),D2320=""),"⚠ Falta categoría",IF(AND(D2320&lt;&gt;"",E2320&lt;&gt;"",ISNA(MATCH(D2320&amp;"|"&amp;E2320,catClave,0))),"⚠ Subcategoría no corresponde",IF(AND(OR(P2320="Transferencia",P2320="Pago tarjeta"),K2320=""),"⚠ Falta cuenta destino",IF(AND(K2320&lt;&gt;"",P2320&lt;&gt;"Transferencia",P2320&lt;&gt;"Pago tarjeta"),"⚠ Destino solo aplica a transferencias",IF(AND(K2320&lt;&gt;"",K2320=Q2320),"⚠ Origen igual a destino",IF(AND(K2320&lt;&gt;"",ISNA(MATCH(K2320,ctaNombre,0))),"⚠ Destino no registrado",IF(AND(P2320="Pago tarjeta",AE2320&lt;&gt;"Tarjeta de crédito"),"⚠ El destino debe ser tarjeta de crédito",IF(AND(P2320="Gasto",E2320="Depósitos y retiros"),"⚠ Usa tipo Transferencia",IF(AND(P2320="Resultado trading",AD2320&lt;&gt;"Cuenta de trading"),"⚠ Usa una cuenta de trading",IF(AND(G2320&lt;=0,P2320&lt;&gt;"Ajuste",P2320&lt;&gt;"Resultado trading"),"⚠ El monto debe ser positivo","✓")))))))))))))))</f>
        <v/>
      </c>
      <c r="P2320" s="52">
        <f>IF(OR(B2320="",G2320=""),"",IF(C2320="","Gasto",C2320))</f>
        <v/>
      </c>
      <c r="Q2320" s="52">
        <f>IF(P2320="","",IF(J2320&lt;&gt;"",J2320,CuentaPred&amp;""))</f>
        <v/>
      </c>
      <c r="R2320" s="52">
        <f>IF(P2320="","",IF(ISNUMBER(I2320),I2320,TasaUSD))</f>
        <v/>
      </c>
      <c r="S2320" s="53">
        <f>IF(P2320="","",IF(H2320="USD",G2320*R2320,G2320))</f>
        <v/>
      </c>
      <c r="T2320" s="53">
        <f>IF(P2320="","",IF(H2320="USD",G2320,IF(R2320&gt;0,G2320/R2320,0)))</f>
        <v/>
      </c>
      <c r="U2320" s="53">
        <f>IF(P2320="","",IF(P2320="Gasto",S2320,IF(P2320="Reembolso",-S2320,0)))</f>
        <v/>
      </c>
      <c r="V2320" s="53">
        <f>IF(P2320="","",IF(P2320="Ingreso",S2320,0))</f>
        <v/>
      </c>
      <c r="W2320" s="53">
        <f>IF(P2320="","",IF(P2320="Resultado trading",S2320,0))</f>
        <v/>
      </c>
      <c r="X2320" s="52">
        <f>IF(OR(P2320="Gasto",P2320="Reembolso"),IF(M2320&lt;&gt;"",M2320,IFERROR(INDEX(catClasif,MATCH(D2320&amp;"|"&amp;E2320,catClave,0))&amp;"","Variable")),"")</f>
        <v/>
      </c>
      <c r="Y2320" s="52">
        <f>IF(P2320="","",IFERROR(INDEX(catGrupo,MATCH(D2320&amp;"|"&amp;E2320,catClave,0))&amp;"",""))</f>
        <v/>
      </c>
      <c r="Z2320" s="52">
        <f>IF(P2320="","",WEEKDAY(B2320,2))</f>
        <v/>
      </c>
      <c r="AA2320" s="52">
        <f>IF(P2320="","",IF(AND(P2320="Gasto",X2320="Variable",D2320&lt;&gt;catTrading,S2320&gt;0,S2320&lt;=Umbral),1,0))</f>
        <v/>
      </c>
      <c r="AB2320" s="52">
        <f>IF(OR(P2320="",Q2320=""),"",IFERROR(IF(INDEX(ctaVinc,MATCH(Q2320,ctaNombre,0))&amp;""&lt;&gt;"",INDEX(ctaVinc,MATCH(Q2320,ctaNombre,0))&amp;"",Q2320),Q2320))</f>
        <v/>
      </c>
      <c r="AC2320" s="52">
        <f>IF(OR(K2320="",AND(P2320&lt;&gt;"Transferencia",P2320&lt;&gt;"Pago tarjeta")),"",IFERROR(IF(INDEX(ctaVinc,MATCH(K2320,ctaNombre,0))&amp;""&lt;&gt;"",INDEX(ctaVinc,MATCH(K2320,ctaNombre,0))&amp;"",K2320),K2320))</f>
        <v/>
      </c>
      <c r="AD2320" s="52">
        <f>IF(AB2320="","",IFERROR(INDEX(ctaTipo,MATCH(AB2320,ctaNombre,0))&amp;"",""))</f>
        <v/>
      </c>
      <c r="AE2320" s="52">
        <f>IF(AC2320="","",IFERROR(INDEX(ctaTipo,MATCH(AC2320,ctaNombre,0))&amp;"",""))</f>
        <v/>
      </c>
      <c r="AF2320" s="53">
        <f>IF(OR(P2320="",AB2320=""),"",IF(OR(P2320="Gasto",P2320="Transferencia",P2320="Pago tarjeta"),-1,1)*IF(IFERROR(INDEX(ctaMoneda,MATCH(AB2320,ctaNombre,0))&amp;"","DOP")="USD",T2320,S2320))</f>
        <v/>
      </c>
      <c r="AG2320" s="53">
        <f>IF(AC2320="","",IF(IFERROR(INDEX(ctaMoneda,MATCH(AC2320,ctaNombre,0))&amp;"","DOP")="USD",T2320,S2320))</f>
        <v/>
      </c>
      <c r="AH2320" s="53">
        <f>IF(P2320="","",IF(AND(AD2320&lt;&gt;"",COUNTIFS(tcTipo,AD2320,tcLiq,"Sí")&gt;0),IF(OR(P2320="Gasto",P2320="Transferencia",P2320="Pago tarjeta"),-1,1)*S2320,0)+IF(AND(AE2320&lt;&gt;"",COUNTIFS(tcTipo,AE2320,tcLiq,"Sí")&gt;0),S2320,0))</f>
        <v/>
      </c>
      <c r="AI2320" s="52">
        <f>IF(OR(L2320="",P2320=""),"",IF(COUNTIFS(L$6:L2320,L2320,P$6:P2320,"?*")=1,MAX(AI$5:AI2319)+1,""))</f>
        <v/>
      </c>
    </row>
    <row r="2321">
      <c r="B2321" s="47" t="n"/>
      <c r="C2321" s="48" t="n"/>
      <c r="D2321" s="48" t="n"/>
      <c r="E2321" s="48" t="n"/>
      <c r="F2321" s="48" t="n"/>
      <c r="G2321" s="49" t="n"/>
      <c r="H2321" s="48" t="n"/>
      <c r="I2321" s="50" t="n"/>
      <c r="J2321" s="48" t="n"/>
      <c r="K2321" s="48" t="n"/>
      <c r="L2321" s="48" t="n"/>
      <c r="M2321" s="48" t="n"/>
      <c r="N2321" s="48" t="n"/>
      <c r="O2321" s="51">
        <f>IF(AND(B2321="",G2321="",C2321="",D2321="",J2321=""),"",IF(B2321="","⚠ Falta fecha",IF(G2321="","⚠ Falta monto",IF(Q2321="","⚠ Falta cuenta",IF(ISNA(MATCH(Q2321,ctaNombre,0)),"⚠ Cuenta no registrada",IF(AND(OR(P2321="Gasto",P2321="Reembolso"),D2321=""),"⚠ Falta categoría",IF(AND(D2321&lt;&gt;"",E2321&lt;&gt;"",ISNA(MATCH(D2321&amp;"|"&amp;E2321,catClave,0))),"⚠ Subcategoría no corresponde",IF(AND(OR(P2321="Transferencia",P2321="Pago tarjeta"),K2321=""),"⚠ Falta cuenta destino",IF(AND(K2321&lt;&gt;"",P2321&lt;&gt;"Transferencia",P2321&lt;&gt;"Pago tarjeta"),"⚠ Destino solo aplica a transferencias",IF(AND(K2321&lt;&gt;"",K2321=Q2321),"⚠ Origen igual a destino",IF(AND(K2321&lt;&gt;"",ISNA(MATCH(K2321,ctaNombre,0))),"⚠ Destino no registrado",IF(AND(P2321="Pago tarjeta",AE2321&lt;&gt;"Tarjeta de crédito"),"⚠ El destino debe ser tarjeta de crédito",IF(AND(P2321="Gasto",E2321="Depósitos y retiros"),"⚠ Usa tipo Transferencia",IF(AND(P2321="Resultado trading",AD2321&lt;&gt;"Cuenta de trading"),"⚠ Usa una cuenta de trading",IF(AND(G2321&lt;=0,P2321&lt;&gt;"Ajuste",P2321&lt;&gt;"Resultado trading"),"⚠ El monto debe ser positivo","✓")))))))))))))))</f>
        <v/>
      </c>
      <c r="P2321" s="52">
        <f>IF(OR(B2321="",G2321=""),"",IF(C2321="","Gasto",C2321))</f>
        <v/>
      </c>
      <c r="Q2321" s="52">
        <f>IF(P2321="","",IF(J2321&lt;&gt;"",J2321,CuentaPred&amp;""))</f>
        <v/>
      </c>
      <c r="R2321" s="52">
        <f>IF(P2321="","",IF(ISNUMBER(I2321),I2321,TasaUSD))</f>
        <v/>
      </c>
      <c r="S2321" s="53">
        <f>IF(P2321="","",IF(H2321="USD",G2321*R2321,G2321))</f>
        <v/>
      </c>
      <c r="T2321" s="53">
        <f>IF(P2321="","",IF(H2321="USD",G2321,IF(R2321&gt;0,G2321/R2321,0)))</f>
        <v/>
      </c>
      <c r="U2321" s="53">
        <f>IF(P2321="","",IF(P2321="Gasto",S2321,IF(P2321="Reembolso",-S2321,0)))</f>
        <v/>
      </c>
      <c r="V2321" s="53">
        <f>IF(P2321="","",IF(P2321="Ingreso",S2321,0))</f>
        <v/>
      </c>
      <c r="W2321" s="53">
        <f>IF(P2321="","",IF(P2321="Resultado trading",S2321,0))</f>
        <v/>
      </c>
      <c r="X2321" s="52">
        <f>IF(OR(P2321="Gasto",P2321="Reembolso"),IF(M2321&lt;&gt;"",M2321,IFERROR(INDEX(catClasif,MATCH(D2321&amp;"|"&amp;E2321,catClave,0))&amp;"","Variable")),"")</f>
        <v/>
      </c>
      <c r="Y2321" s="52">
        <f>IF(P2321="","",IFERROR(INDEX(catGrupo,MATCH(D2321&amp;"|"&amp;E2321,catClave,0))&amp;"",""))</f>
        <v/>
      </c>
      <c r="Z2321" s="52">
        <f>IF(P2321="","",WEEKDAY(B2321,2))</f>
        <v/>
      </c>
      <c r="AA2321" s="52">
        <f>IF(P2321="","",IF(AND(P2321="Gasto",X2321="Variable",D2321&lt;&gt;catTrading,S2321&gt;0,S2321&lt;=Umbral),1,0))</f>
        <v/>
      </c>
      <c r="AB2321" s="52">
        <f>IF(OR(P2321="",Q2321=""),"",IFERROR(IF(INDEX(ctaVinc,MATCH(Q2321,ctaNombre,0))&amp;""&lt;&gt;"",INDEX(ctaVinc,MATCH(Q2321,ctaNombre,0))&amp;"",Q2321),Q2321))</f>
        <v/>
      </c>
      <c r="AC2321" s="52">
        <f>IF(OR(K2321="",AND(P2321&lt;&gt;"Transferencia",P2321&lt;&gt;"Pago tarjeta")),"",IFERROR(IF(INDEX(ctaVinc,MATCH(K2321,ctaNombre,0))&amp;""&lt;&gt;"",INDEX(ctaVinc,MATCH(K2321,ctaNombre,0))&amp;"",K2321),K2321))</f>
        <v/>
      </c>
      <c r="AD2321" s="52">
        <f>IF(AB2321="","",IFERROR(INDEX(ctaTipo,MATCH(AB2321,ctaNombre,0))&amp;"",""))</f>
        <v/>
      </c>
      <c r="AE2321" s="52">
        <f>IF(AC2321="","",IFERROR(INDEX(ctaTipo,MATCH(AC2321,ctaNombre,0))&amp;"",""))</f>
        <v/>
      </c>
      <c r="AF2321" s="53">
        <f>IF(OR(P2321="",AB2321=""),"",IF(OR(P2321="Gasto",P2321="Transferencia",P2321="Pago tarjeta"),-1,1)*IF(IFERROR(INDEX(ctaMoneda,MATCH(AB2321,ctaNombre,0))&amp;"","DOP")="USD",T2321,S2321))</f>
        <v/>
      </c>
      <c r="AG2321" s="53">
        <f>IF(AC2321="","",IF(IFERROR(INDEX(ctaMoneda,MATCH(AC2321,ctaNombre,0))&amp;"","DOP")="USD",T2321,S2321))</f>
        <v/>
      </c>
      <c r="AH2321" s="53">
        <f>IF(P2321="","",IF(AND(AD2321&lt;&gt;"",COUNTIFS(tcTipo,AD2321,tcLiq,"Sí")&gt;0),IF(OR(P2321="Gasto",P2321="Transferencia",P2321="Pago tarjeta"),-1,1)*S2321,0)+IF(AND(AE2321&lt;&gt;"",COUNTIFS(tcTipo,AE2321,tcLiq,"Sí")&gt;0),S2321,0))</f>
        <v/>
      </c>
      <c r="AI2321" s="52">
        <f>IF(OR(L2321="",P2321=""),"",IF(COUNTIFS(L$6:L2321,L2321,P$6:P2321,"?*")=1,MAX(AI$5:AI2320)+1,""))</f>
        <v/>
      </c>
    </row>
    <row r="2322">
      <c r="B2322" s="47" t="n"/>
      <c r="C2322" s="48" t="n"/>
      <c r="D2322" s="48" t="n"/>
      <c r="E2322" s="48" t="n"/>
      <c r="F2322" s="48" t="n"/>
      <c r="G2322" s="49" t="n"/>
      <c r="H2322" s="48" t="n"/>
      <c r="I2322" s="50" t="n"/>
      <c r="J2322" s="48" t="n"/>
      <c r="K2322" s="48" t="n"/>
      <c r="L2322" s="48" t="n"/>
      <c r="M2322" s="48" t="n"/>
      <c r="N2322" s="48" t="n"/>
      <c r="O2322" s="51">
        <f>IF(AND(B2322="",G2322="",C2322="",D2322="",J2322=""),"",IF(B2322="","⚠ Falta fecha",IF(G2322="","⚠ Falta monto",IF(Q2322="","⚠ Falta cuenta",IF(ISNA(MATCH(Q2322,ctaNombre,0)),"⚠ Cuenta no registrada",IF(AND(OR(P2322="Gasto",P2322="Reembolso"),D2322=""),"⚠ Falta categoría",IF(AND(D2322&lt;&gt;"",E2322&lt;&gt;"",ISNA(MATCH(D2322&amp;"|"&amp;E2322,catClave,0))),"⚠ Subcategoría no corresponde",IF(AND(OR(P2322="Transferencia",P2322="Pago tarjeta"),K2322=""),"⚠ Falta cuenta destino",IF(AND(K2322&lt;&gt;"",P2322&lt;&gt;"Transferencia",P2322&lt;&gt;"Pago tarjeta"),"⚠ Destino solo aplica a transferencias",IF(AND(K2322&lt;&gt;"",K2322=Q2322),"⚠ Origen igual a destino",IF(AND(K2322&lt;&gt;"",ISNA(MATCH(K2322,ctaNombre,0))),"⚠ Destino no registrado",IF(AND(P2322="Pago tarjeta",AE2322&lt;&gt;"Tarjeta de crédito"),"⚠ El destino debe ser tarjeta de crédito",IF(AND(P2322="Gasto",E2322="Depósitos y retiros"),"⚠ Usa tipo Transferencia",IF(AND(P2322="Resultado trading",AD2322&lt;&gt;"Cuenta de trading"),"⚠ Usa una cuenta de trading",IF(AND(G2322&lt;=0,P2322&lt;&gt;"Ajuste",P2322&lt;&gt;"Resultado trading"),"⚠ El monto debe ser positivo","✓")))))))))))))))</f>
        <v/>
      </c>
      <c r="P2322" s="52">
        <f>IF(OR(B2322="",G2322=""),"",IF(C2322="","Gasto",C2322))</f>
        <v/>
      </c>
      <c r="Q2322" s="52">
        <f>IF(P2322="","",IF(J2322&lt;&gt;"",J2322,CuentaPred&amp;""))</f>
        <v/>
      </c>
      <c r="R2322" s="52">
        <f>IF(P2322="","",IF(ISNUMBER(I2322),I2322,TasaUSD))</f>
        <v/>
      </c>
      <c r="S2322" s="53">
        <f>IF(P2322="","",IF(H2322="USD",G2322*R2322,G2322))</f>
        <v/>
      </c>
      <c r="T2322" s="53">
        <f>IF(P2322="","",IF(H2322="USD",G2322,IF(R2322&gt;0,G2322/R2322,0)))</f>
        <v/>
      </c>
      <c r="U2322" s="53">
        <f>IF(P2322="","",IF(P2322="Gasto",S2322,IF(P2322="Reembolso",-S2322,0)))</f>
        <v/>
      </c>
      <c r="V2322" s="53">
        <f>IF(P2322="","",IF(P2322="Ingreso",S2322,0))</f>
        <v/>
      </c>
      <c r="W2322" s="53">
        <f>IF(P2322="","",IF(P2322="Resultado trading",S2322,0))</f>
        <v/>
      </c>
      <c r="X2322" s="52">
        <f>IF(OR(P2322="Gasto",P2322="Reembolso"),IF(M2322&lt;&gt;"",M2322,IFERROR(INDEX(catClasif,MATCH(D2322&amp;"|"&amp;E2322,catClave,0))&amp;"","Variable")),"")</f>
        <v/>
      </c>
      <c r="Y2322" s="52">
        <f>IF(P2322="","",IFERROR(INDEX(catGrupo,MATCH(D2322&amp;"|"&amp;E2322,catClave,0))&amp;"",""))</f>
        <v/>
      </c>
      <c r="Z2322" s="52">
        <f>IF(P2322="","",WEEKDAY(B2322,2))</f>
        <v/>
      </c>
      <c r="AA2322" s="52">
        <f>IF(P2322="","",IF(AND(P2322="Gasto",X2322="Variable",D2322&lt;&gt;catTrading,S2322&gt;0,S2322&lt;=Umbral),1,0))</f>
        <v/>
      </c>
      <c r="AB2322" s="52">
        <f>IF(OR(P2322="",Q2322=""),"",IFERROR(IF(INDEX(ctaVinc,MATCH(Q2322,ctaNombre,0))&amp;""&lt;&gt;"",INDEX(ctaVinc,MATCH(Q2322,ctaNombre,0))&amp;"",Q2322),Q2322))</f>
        <v/>
      </c>
      <c r="AC2322" s="52">
        <f>IF(OR(K2322="",AND(P2322&lt;&gt;"Transferencia",P2322&lt;&gt;"Pago tarjeta")),"",IFERROR(IF(INDEX(ctaVinc,MATCH(K2322,ctaNombre,0))&amp;""&lt;&gt;"",INDEX(ctaVinc,MATCH(K2322,ctaNombre,0))&amp;"",K2322),K2322))</f>
        <v/>
      </c>
      <c r="AD2322" s="52">
        <f>IF(AB2322="","",IFERROR(INDEX(ctaTipo,MATCH(AB2322,ctaNombre,0))&amp;"",""))</f>
        <v/>
      </c>
      <c r="AE2322" s="52">
        <f>IF(AC2322="","",IFERROR(INDEX(ctaTipo,MATCH(AC2322,ctaNombre,0))&amp;"",""))</f>
        <v/>
      </c>
      <c r="AF2322" s="53">
        <f>IF(OR(P2322="",AB2322=""),"",IF(OR(P2322="Gasto",P2322="Transferencia",P2322="Pago tarjeta"),-1,1)*IF(IFERROR(INDEX(ctaMoneda,MATCH(AB2322,ctaNombre,0))&amp;"","DOP")="USD",T2322,S2322))</f>
        <v/>
      </c>
      <c r="AG2322" s="53">
        <f>IF(AC2322="","",IF(IFERROR(INDEX(ctaMoneda,MATCH(AC2322,ctaNombre,0))&amp;"","DOP")="USD",T2322,S2322))</f>
        <v/>
      </c>
      <c r="AH2322" s="53">
        <f>IF(P2322="","",IF(AND(AD2322&lt;&gt;"",COUNTIFS(tcTipo,AD2322,tcLiq,"Sí")&gt;0),IF(OR(P2322="Gasto",P2322="Transferencia",P2322="Pago tarjeta"),-1,1)*S2322,0)+IF(AND(AE2322&lt;&gt;"",COUNTIFS(tcTipo,AE2322,tcLiq,"Sí")&gt;0),S2322,0))</f>
        <v/>
      </c>
      <c r="AI2322" s="52">
        <f>IF(OR(L2322="",P2322=""),"",IF(COUNTIFS(L$6:L2322,L2322,P$6:P2322,"?*")=1,MAX(AI$5:AI2321)+1,""))</f>
        <v/>
      </c>
    </row>
    <row r="2323">
      <c r="B2323" s="47" t="n"/>
      <c r="C2323" s="48" t="n"/>
      <c r="D2323" s="48" t="n"/>
      <c r="E2323" s="48" t="n"/>
      <c r="F2323" s="48" t="n"/>
      <c r="G2323" s="49" t="n"/>
      <c r="H2323" s="48" t="n"/>
      <c r="I2323" s="50" t="n"/>
      <c r="J2323" s="48" t="n"/>
      <c r="K2323" s="48" t="n"/>
      <c r="L2323" s="48" t="n"/>
      <c r="M2323" s="48" t="n"/>
      <c r="N2323" s="48" t="n"/>
      <c r="O2323" s="51">
        <f>IF(AND(B2323="",G2323="",C2323="",D2323="",J2323=""),"",IF(B2323="","⚠ Falta fecha",IF(G2323="","⚠ Falta monto",IF(Q2323="","⚠ Falta cuenta",IF(ISNA(MATCH(Q2323,ctaNombre,0)),"⚠ Cuenta no registrada",IF(AND(OR(P2323="Gasto",P2323="Reembolso"),D2323=""),"⚠ Falta categoría",IF(AND(D2323&lt;&gt;"",E2323&lt;&gt;"",ISNA(MATCH(D2323&amp;"|"&amp;E2323,catClave,0))),"⚠ Subcategoría no corresponde",IF(AND(OR(P2323="Transferencia",P2323="Pago tarjeta"),K2323=""),"⚠ Falta cuenta destino",IF(AND(K2323&lt;&gt;"",P2323&lt;&gt;"Transferencia",P2323&lt;&gt;"Pago tarjeta"),"⚠ Destino solo aplica a transferencias",IF(AND(K2323&lt;&gt;"",K2323=Q2323),"⚠ Origen igual a destino",IF(AND(K2323&lt;&gt;"",ISNA(MATCH(K2323,ctaNombre,0))),"⚠ Destino no registrado",IF(AND(P2323="Pago tarjeta",AE2323&lt;&gt;"Tarjeta de crédito"),"⚠ El destino debe ser tarjeta de crédito",IF(AND(P2323="Gasto",E2323="Depósitos y retiros"),"⚠ Usa tipo Transferencia",IF(AND(P2323="Resultado trading",AD2323&lt;&gt;"Cuenta de trading"),"⚠ Usa una cuenta de trading",IF(AND(G2323&lt;=0,P2323&lt;&gt;"Ajuste",P2323&lt;&gt;"Resultado trading"),"⚠ El monto debe ser positivo","✓")))))))))))))))</f>
        <v/>
      </c>
      <c r="P2323" s="52">
        <f>IF(OR(B2323="",G2323=""),"",IF(C2323="","Gasto",C2323))</f>
        <v/>
      </c>
      <c r="Q2323" s="52">
        <f>IF(P2323="","",IF(J2323&lt;&gt;"",J2323,CuentaPred&amp;""))</f>
        <v/>
      </c>
      <c r="R2323" s="52">
        <f>IF(P2323="","",IF(ISNUMBER(I2323),I2323,TasaUSD))</f>
        <v/>
      </c>
      <c r="S2323" s="53">
        <f>IF(P2323="","",IF(H2323="USD",G2323*R2323,G2323))</f>
        <v/>
      </c>
      <c r="T2323" s="53">
        <f>IF(P2323="","",IF(H2323="USD",G2323,IF(R2323&gt;0,G2323/R2323,0)))</f>
        <v/>
      </c>
      <c r="U2323" s="53">
        <f>IF(P2323="","",IF(P2323="Gasto",S2323,IF(P2323="Reembolso",-S2323,0)))</f>
        <v/>
      </c>
      <c r="V2323" s="53">
        <f>IF(P2323="","",IF(P2323="Ingreso",S2323,0))</f>
        <v/>
      </c>
      <c r="W2323" s="53">
        <f>IF(P2323="","",IF(P2323="Resultado trading",S2323,0))</f>
        <v/>
      </c>
      <c r="X2323" s="52">
        <f>IF(OR(P2323="Gasto",P2323="Reembolso"),IF(M2323&lt;&gt;"",M2323,IFERROR(INDEX(catClasif,MATCH(D2323&amp;"|"&amp;E2323,catClave,0))&amp;"","Variable")),"")</f>
        <v/>
      </c>
      <c r="Y2323" s="52">
        <f>IF(P2323="","",IFERROR(INDEX(catGrupo,MATCH(D2323&amp;"|"&amp;E2323,catClave,0))&amp;"",""))</f>
        <v/>
      </c>
      <c r="Z2323" s="52">
        <f>IF(P2323="","",WEEKDAY(B2323,2))</f>
        <v/>
      </c>
      <c r="AA2323" s="52">
        <f>IF(P2323="","",IF(AND(P2323="Gasto",X2323="Variable",D2323&lt;&gt;catTrading,S2323&gt;0,S2323&lt;=Umbral),1,0))</f>
        <v/>
      </c>
      <c r="AB2323" s="52">
        <f>IF(OR(P2323="",Q2323=""),"",IFERROR(IF(INDEX(ctaVinc,MATCH(Q2323,ctaNombre,0))&amp;""&lt;&gt;"",INDEX(ctaVinc,MATCH(Q2323,ctaNombre,0))&amp;"",Q2323),Q2323))</f>
        <v/>
      </c>
      <c r="AC2323" s="52">
        <f>IF(OR(K2323="",AND(P2323&lt;&gt;"Transferencia",P2323&lt;&gt;"Pago tarjeta")),"",IFERROR(IF(INDEX(ctaVinc,MATCH(K2323,ctaNombre,0))&amp;""&lt;&gt;"",INDEX(ctaVinc,MATCH(K2323,ctaNombre,0))&amp;"",K2323),K2323))</f>
        <v/>
      </c>
      <c r="AD2323" s="52">
        <f>IF(AB2323="","",IFERROR(INDEX(ctaTipo,MATCH(AB2323,ctaNombre,0))&amp;"",""))</f>
        <v/>
      </c>
      <c r="AE2323" s="52">
        <f>IF(AC2323="","",IFERROR(INDEX(ctaTipo,MATCH(AC2323,ctaNombre,0))&amp;"",""))</f>
        <v/>
      </c>
      <c r="AF2323" s="53">
        <f>IF(OR(P2323="",AB2323=""),"",IF(OR(P2323="Gasto",P2323="Transferencia",P2323="Pago tarjeta"),-1,1)*IF(IFERROR(INDEX(ctaMoneda,MATCH(AB2323,ctaNombre,0))&amp;"","DOP")="USD",T2323,S2323))</f>
        <v/>
      </c>
      <c r="AG2323" s="53">
        <f>IF(AC2323="","",IF(IFERROR(INDEX(ctaMoneda,MATCH(AC2323,ctaNombre,0))&amp;"","DOP")="USD",T2323,S2323))</f>
        <v/>
      </c>
      <c r="AH2323" s="53">
        <f>IF(P2323="","",IF(AND(AD2323&lt;&gt;"",COUNTIFS(tcTipo,AD2323,tcLiq,"Sí")&gt;0),IF(OR(P2323="Gasto",P2323="Transferencia",P2323="Pago tarjeta"),-1,1)*S2323,0)+IF(AND(AE2323&lt;&gt;"",COUNTIFS(tcTipo,AE2323,tcLiq,"Sí")&gt;0),S2323,0))</f>
        <v/>
      </c>
      <c r="AI2323" s="52">
        <f>IF(OR(L2323="",P2323=""),"",IF(COUNTIFS(L$6:L2323,L2323,P$6:P2323,"?*")=1,MAX(AI$5:AI2322)+1,""))</f>
        <v/>
      </c>
    </row>
    <row r="2324">
      <c r="B2324" s="47" t="n"/>
      <c r="C2324" s="48" t="n"/>
      <c r="D2324" s="48" t="n"/>
      <c r="E2324" s="48" t="n"/>
      <c r="F2324" s="48" t="n"/>
      <c r="G2324" s="49" t="n"/>
      <c r="H2324" s="48" t="n"/>
      <c r="I2324" s="50" t="n"/>
      <c r="J2324" s="48" t="n"/>
      <c r="K2324" s="48" t="n"/>
      <c r="L2324" s="48" t="n"/>
      <c r="M2324" s="48" t="n"/>
      <c r="N2324" s="48" t="n"/>
      <c r="O2324" s="51">
        <f>IF(AND(B2324="",G2324="",C2324="",D2324="",J2324=""),"",IF(B2324="","⚠ Falta fecha",IF(G2324="","⚠ Falta monto",IF(Q2324="","⚠ Falta cuenta",IF(ISNA(MATCH(Q2324,ctaNombre,0)),"⚠ Cuenta no registrada",IF(AND(OR(P2324="Gasto",P2324="Reembolso"),D2324=""),"⚠ Falta categoría",IF(AND(D2324&lt;&gt;"",E2324&lt;&gt;"",ISNA(MATCH(D2324&amp;"|"&amp;E2324,catClave,0))),"⚠ Subcategoría no corresponde",IF(AND(OR(P2324="Transferencia",P2324="Pago tarjeta"),K2324=""),"⚠ Falta cuenta destino",IF(AND(K2324&lt;&gt;"",P2324&lt;&gt;"Transferencia",P2324&lt;&gt;"Pago tarjeta"),"⚠ Destino solo aplica a transferencias",IF(AND(K2324&lt;&gt;"",K2324=Q2324),"⚠ Origen igual a destino",IF(AND(K2324&lt;&gt;"",ISNA(MATCH(K2324,ctaNombre,0))),"⚠ Destino no registrado",IF(AND(P2324="Pago tarjeta",AE2324&lt;&gt;"Tarjeta de crédito"),"⚠ El destino debe ser tarjeta de crédito",IF(AND(P2324="Gasto",E2324="Depósitos y retiros"),"⚠ Usa tipo Transferencia",IF(AND(P2324="Resultado trading",AD2324&lt;&gt;"Cuenta de trading"),"⚠ Usa una cuenta de trading",IF(AND(G2324&lt;=0,P2324&lt;&gt;"Ajuste",P2324&lt;&gt;"Resultado trading"),"⚠ El monto debe ser positivo","✓")))))))))))))))</f>
        <v/>
      </c>
      <c r="P2324" s="52">
        <f>IF(OR(B2324="",G2324=""),"",IF(C2324="","Gasto",C2324))</f>
        <v/>
      </c>
      <c r="Q2324" s="52">
        <f>IF(P2324="","",IF(J2324&lt;&gt;"",J2324,CuentaPred&amp;""))</f>
        <v/>
      </c>
      <c r="R2324" s="52">
        <f>IF(P2324="","",IF(ISNUMBER(I2324),I2324,TasaUSD))</f>
        <v/>
      </c>
      <c r="S2324" s="53">
        <f>IF(P2324="","",IF(H2324="USD",G2324*R2324,G2324))</f>
        <v/>
      </c>
      <c r="T2324" s="53">
        <f>IF(P2324="","",IF(H2324="USD",G2324,IF(R2324&gt;0,G2324/R2324,0)))</f>
        <v/>
      </c>
      <c r="U2324" s="53">
        <f>IF(P2324="","",IF(P2324="Gasto",S2324,IF(P2324="Reembolso",-S2324,0)))</f>
        <v/>
      </c>
      <c r="V2324" s="53">
        <f>IF(P2324="","",IF(P2324="Ingreso",S2324,0))</f>
        <v/>
      </c>
      <c r="W2324" s="53">
        <f>IF(P2324="","",IF(P2324="Resultado trading",S2324,0))</f>
        <v/>
      </c>
      <c r="X2324" s="52">
        <f>IF(OR(P2324="Gasto",P2324="Reembolso"),IF(M2324&lt;&gt;"",M2324,IFERROR(INDEX(catClasif,MATCH(D2324&amp;"|"&amp;E2324,catClave,0))&amp;"","Variable")),"")</f>
        <v/>
      </c>
      <c r="Y2324" s="52">
        <f>IF(P2324="","",IFERROR(INDEX(catGrupo,MATCH(D2324&amp;"|"&amp;E2324,catClave,0))&amp;"",""))</f>
        <v/>
      </c>
      <c r="Z2324" s="52">
        <f>IF(P2324="","",WEEKDAY(B2324,2))</f>
        <v/>
      </c>
      <c r="AA2324" s="52">
        <f>IF(P2324="","",IF(AND(P2324="Gasto",X2324="Variable",D2324&lt;&gt;catTrading,S2324&gt;0,S2324&lt;=Umbral),1,0))</f>
        <v/>
      </c>
      <c r="AB2324" s="52">
        <f>IF(OR(P2324="",Q2324=""),"",IFERROR(IF(INDEX(ctaVinc,MATCH(Q2324,ctaNombre,0))&amp;""&lt;&gt;"",INDEX(ctaVinc,MATCH(Q2324,ctaNombre,0))&amp;"",Q2324),Q2324))</f>
        <v/>
      </c>
      <c r="AC2324" s="52">
        <f>IF(OR(K2324="",AND(P2324&lt;&gt;"Transferencia",P2324&lt;&gt;"Pago tarjeta")),"",IFERROR(IF(INDEX(ctaVinc,MATCH(K2324,ctaNombre,0))&amp;""&lt;&gt;"",INDEX(ctaVinc,MATCH(K2324,ctaNombre,0))&amp;"",K2324),K2324))</f>
        <v/>
      </c>
      <c r="AD2324" s="52">
        <f>IF(AB2324="","",IFERROR(INDEX(ctaTipo,MATCH(AB2324,ctaNombre,0))&amp;"",""))</f>
        <v/>
      </c>
      <c r="AE2324" s="52">
        <f>IF(AC2324="","",IFERROR(INDEX(ctaTipo,MATCH(AC2324,ctaNombre,0))&amp;"",""))</f>
        <v/>
      </c>
      <c r="AF2324" s="53">
        <f>IF(OR(P2324="",AB2324=""),"",IF(OR(P2324="Gasto",P2324="Transferencia",P2324="Pago tarjeta"),-1,1)*IF(IFERROR(INDEX(ctaMoneda,MATCH(AB2324,ctaNombre,0))&amp;"","DOP")="USD",T2324,S2324))</f>
        <v/>
      </c>
      <c r="AG2324" s="53">
        <f>IF(AC2324="","",IF(IFERROR(INDEX(ctaMoneda,MATCH(AC2324,ctaNombre,0))&amp;"","DOP")="USD",T2324,S2324))</f>
        <v/>
      </c>
      <c r="AH2324" s="53">
        <f>IF(P2324="","",IF(AND(AD2324&lt;&gt;"",COUNTIFS(tcTipo,AD2324,tcLiq,"Sí")&gt;0),IF(OR(P2324="Gasto",P2324="Transferencia",P2324="Pago tarjeta"),-1,1)*S2324,0)+IF(AND(AE2324&lt;&gt;"",COUNTIFS(tcTipo,AE2324,tcLiq,"Sí")&gt;0),S2324,0))</f>
        <v/>
      </c>
      <c r="AI2324" s="52">
        <f>IF(OR(L2324="",P2324=""),"",IF(COUNTIFS(L$6:L2324,L2324,P$6:P2324,"?*")=1,MAX(AI$5:AI2323)+1,""))</f>
        <v/>
      </c>
    </row>
    <row r="2325">
      <c r="B2325" s="47" t="n"/>
      <c r="C2325" s="48" t="n"/>
      <c r="D2325" s="48" t="n"/>
      <c r="E2325" s="48" t="n"/>
      <c r="F2325" s="48" t="n"/>
      <c r="G2325" s="49" t="n"/>
      <c r="H2325" s="48" t="n"/>
      <c r="I2325" s="50" t="n"/>
      <c r="J2325" s="48" t="n"/>
      <c r="K2325" s="48" t="n"/>
      <c r="L2325" s="48" t="n"/>
      <c r="M2325" s="48" t="n"/>
      <c r="N2325" s="48" t="n"/>
      <c r="O2325" s="51">
        <f>IF(AND(B2325="",G2325="",C2325="",D2325="",J2325=""),"",IF(B2325="","⚠ Falta fecha",IF(G2325="","⚠ Falta monto",IF(Q2325="","⚠ Falta cuenta",IF(ISNA(MATCH(Q2325,ctaNombre,0)),"⚠ Cuenta no registrada",IF(AND(OR(P2325="Gasto",P2325="Reembolso"),D2325=""),"⚠ Falta categoría",IF(AND(D2325&lt;&gt;"",E2325&lt;&gt;"",ISNA(MATCH(D2325&amp;"|"&amp;E2325,catClave,0))),"⚠ Subcategoría no corresponde",IF(AND(OR(P2325="Transferencia",P2325="Pago tarjeta"),K2325=""),"⚠ Falta cuenta destino",IF(AND(K2325&lt;&gt;"",P2325&lt;&gt;"Transferencia",P2325&lt;&gt;"Pago tarjeta"),"⚠ Destino solo aplica a transferencias",IF(AND(K2325&lt;&gt;"",K2325=Q2325),"⚠ Origen igual a destino",IF(AND(K2325&lt;&gt;"",ISNA(MATCH(K2325,ctaNombre,0))),"⚠ Destino no registrado",IF(AND(P2325="Pago tarjeta",AE2325&lt;&gt;"Tarjeta de crédito"),"⚠ El destino debe ser tarjeta de crédito",IF(AND(P2325="Gasto",E2325="Depósitos y retiros"),"⚠ Usa tipo Transferencia",IF(AND(P2325="Resultado trading",AD2325&lt;&gt;"Cuenta de trading"),"⚠ Usa una cuenta de trading",IF(AND(G2325&lt;=0,P2325&lt;&gt;"Ajuste",P2325&lt;&gt;"Resultado trading"),"⚠ El monto debe ser positivo","✓")))))))))))))))</f>
        <v/>
      </c>
      <c r="P2325" s="52">
        <f>IF(OR(B2325="",G2325=""),"",IF(C2325="","Gasto",C2325))</f>
        <v/>
      </c>
      <c r="Q2325" s="52">
        <f>IF(P2325="","",IF(J2325&lt;&gt;"",J2325,CuentaPred&amp;""))</f>
        <v/>
      </c>
      <c r="R2325" s="52">
        <f>IF(P2325="","",IF(ISNUMBER(I2325),I2325,TasaUSD))</f>
        <v/>
      </c>
      <c r="S2325" s="53">
        <f>IF(P2325="","",IF(H2325="USD",G2325*R2325,G2325))</f>
        <v/>
      </c>
      <c r="T2325" s="53">
        <f>IF(P2325="","",IF(H2325="USD",G2325,IF(R2325&gt;0,G2325/R2325,0)))</f>
        <v/>
      </c>
      <c r="U2325" s="53">
        <f>IF(P2325="","",IF(P2325="Gasto",S2325,IF(P2325="Reembolso",-S2325,0)))</f>
        <v/>
      </c>
      <c r="V2325" s="53">
        <f>IF(P2325="","",IF(P2325="Ingreso",S2325,0))</f>
        <v/>
      </c>
      <c r="W2325" s="53">
        <f>IF(P2325="","",IF(P2325="Resultado trading",S2325,0))</f>
        <v/>
      </c>
      <c r="X2325" s="52">
        <f>IF(OR(P2325="Gasto",P2325="Reembolso"),IF(M2325&lt;&gt;"",M2325,IFERROR(INDEX(catClasif,MATCH(D2325&amp;"|"&amp;E2325,catClave,0))&amp;"","Variable")),"")</f>
        <v/>
      </c>
      <c r="Y2325" s="52">
        <f>IF(P2325="","",IFERROR(INDEX(catGrupo,MATCH(D2325&amp;"|"&amp;E2325,catClave,0))&amp;"",""))</f>
        <v/>
      </c>
      <c r="Z2325" s="52">
        <f>IF(P2325="","",WEEKDAY(B2325,2))</f>
        <v/>
      </c>
      <c r="AA2325" s="52">
        <f>IF(P2325="","",IF(AND(P2325="Gasto",X2325="Variable",D2325&lt;&gt;catTrading,S2325&gt;0,S2325&lt;=Umbral),1,0))</f>
        <v/>
      </c>
      <c r="AB2325" s="52">
        <f>IF(OR(P2325="",Q2325=""),"",IFERROR(IF(INDEX(ctaVinc,MATCH(Q2325,ctaNombre,0))&amp;""&lt;&gt;"",INDEX(ctaVinc,MATCH(Q2325,ctaNombre,0))&amp;"",Q2325),Q2325))</f>
        <v/>
      </c>
      <c r="AC2325" s="52">
        <f>IF(OR(K2325="",AND(P2325&lt;&gt;"Transferencia",P2325&lt;&gt;"Pago tarjeta")),"",IFERROR(IF(INDEX(ctaVinc,MATCH(K2325,ctaNombre,0))&amp;""&lt;&gt;"",INDEX(ctaVinc,MATCH(K2325,ctaNombre,0))&amp;"",K2325),K2325))</f>
        <v/>
      </c>
      <c r="AD2325" s="52">
        <f>IF(AB2325="","",IFERROR(INDEX(ctaTipo,MATCH(AB2325,ctaNombre,0))&amp;"",""))</f>
        <v/>
      </c>
      <c r="AE2325" s="52">
        <f>IF(AC2325="","",IFERROR(INDEX(ctaTipo,MATCH(AC2325,ctaNombre,0))&amp;"",""))</f>
        <v/>
      </c>
      <c r="AF2325" s="53">
        <f>IF(OR(P2325="",AB2325=""),"",IF(OR(P2325="Gasto",P2325="Transferencia",P2325="Pago tarjeta"),-1,1)*IF(IFERROR(INDEX(ctaMoneda,MATCH(AB2325,ctaNombre,0))&amp;"","DOP")="USD",T2325,S2325))</f>
        <v/>
      </c>
      <c r="AG2325" s="53">
        <f>IF(AC2325="","",IF(IFERROR(INDEX(ctaMoneda,MATCH(AC2325,ctaNombre,0))&amp;"","DOP")="USD",T2325,S2325))</f>
        <v/>
      </c>
      <c r="AH2325" s="53">
        <f>IF(P2325="","",IF(AND(AD2325&lt;&gt;"",COUNTIFS(tcTipo,AD2325,tcLiq,"Sí")&gt;0),IF(OR(P2325="Gasto",P2325="Transferencia",P2325="Pago tarjeta"),-1,1)*S2325,0)+IF(AND(AE2325&lt;&gt;"",COUNTIFS(tcTipo,AE2325,tcLiq,"Sí")&gt;0),S2325,0))</f>
        <v/>
      </c>
      <c r="AI2325" s="52">
        <f>IF(OR(L2325="",P2325=""),"",IF(COUNTIFS(L$6:L2325,L2325,P$6:P2325,"?*")=1,MAX(AI$5:AI2324)+1,""))</f>
        <v/>
      </c>
    </row>
    <row r="2326">
      <c r="B2326" s="47" t="n"/>
      <c r="C2326" s="48" t="n"/>
      <c r="D2326" s="48" t="n"/>
      <c r="E2326" s="48" t="n"/>
      <c r="F2326" s="48" t="n"/>
      <c r="G2326" s="49" t="n"/>
      <c r="H2326" s="48" t="n"/>
      <c r="I2326" s="50" t="n"/>
      <c r="J2326" s="48" t="n"/>
      <c r="K2326" s="48" t="n"/>
      <c r="L2326" s="48" t="n"/>
      <c r="M2326" s="48" t="n"/>
      <c r="N2326" s="48" t="n"/>
      <c r="O2326" s="51">
        <f>IF(AND(B2326="",G2326="",C2326="",D2326="",J2326=""),"",IF(B2326="","⚠ Falta fecha",IF(G2326="","⚠ Falta monto",IF(Q2326="","⚠ Falta cuenta",IF(ISNA(MATCH(Q2326,ctaNombre,0)),"⚠ Cuenta no registrada",IF(AND(OR(P2326="Gasto",P2326="Reembolso"),D2326=""),"⚠ Falta categoría",IF(AND(D2326&lt;&gt;"",E2326&lt;&gt;"",ISNA(MATCH(D2326&amp;"|"&amp;E2326,catClave,0))),"⚠ Subcategoría no corresponde",IF(AND(OR(P2326="Transferencia",P2326="Pago tarjeta"),K2326=""),"⚠ Falta cuenta destino",IF(AND(K2326&lt;&gt;"",P2326&lt;&gt;"Transferencia",P2326&lt;&gt;"Pago tarjeta"),"⚠ Destino solo aplica a transferencias",IF(AND(K2326&lt;&gt;"",K2326=Q2326),"⚠ Origen igual a destino",IF(AND(K2326&lt;&gt;"",ISNA(MATCH(K2326,ctaNombre,0))),"⚠ Destino no registrado",IF(AND(P2326="Pago tarjeta",AE2326&lt;&gt;"Tarjeta de crédito"),"⚠ El destino debe ser tarjeta de crédito",IF(AND(P2326="Gasto",E2326="Depósitos y retiros"),"⚠ Usa tipo Transferencia",IF(AND(P2326="Resultado trading",AD2326&lt;&gt;"Cuenta de trading"),"⚠ Usa una cuenta de trading",IF(AND(G2326&lt;=0,P2326&lt;&gt;"Ajuste",P2326&lt;&gt;"Resultado trading"),"⚠ El monto debe ser positivo","✓")))))))))))))))</f>
        <v/>
      </c>
      <c r="P2326" s="52">
        <f>IF(OR(B2326="",G2326=""),"",IF(C2326="","Gasto",C2326))</f>
        <v/>
      </c>
      <c r="Q2326" s="52">
        <f>IF(P2326="","",IF(J2326&lt;&gt;"",J2326,CuentaPred&amp;""))</f>
        <v/>
      </c>
      <c r="R2326" s="52">
        <f>IF(P2326="","",IF(ISNUMBER(I2326),I2326,TasaUSD))</f>
        <v/>
      </c>
      <c r="S2326" s="53">
        <f>IF(P2326="","",IF(H2326="USD",G2326*R2326,G2326))</f>
        <v/>
      </c>
      <c r="T2326" s="53">
        <f>IF(P2326="","",IF(H2326="USD",G2326,IF(R2326&gt;0,G2326/R2326,0)))</f>
        <v/>
      </c>
      <c r="U2326" s="53">
        <f>IF(P2326="","",IF(P2326="Gasto",S2326,IF(P2326="Reembolso",-S2326,0)))</f>
        <v/>
      </c>
      <c r="V2326" s="53">
        <f>IF(P2326="","",IF(P2326="Ingreso",S2326,0))</f>
        <v/>
      </c>
      <c r="W2326" s="53">
        <f>IF(P2326="","",IF(P2326="Resultado trading",S2326,0))</f>
        <v/>
      </c>
      <c r="X2326" s="52">
        <f>IF(OR(P2326="Gasto",P2326="Reembolso"),IF(M2326&lt;&gt;"",M2326,IFERROR(INDEX(catClasif,MATCH(D2326&amp;"|"&amp;E2326,catClave,0))&amp;"","Variable")),"")</f>
        <v/>
      </c>
      <c r="Y2326" s="52">
        <f>IF(P2326="","",IFERROR(INDEX(catGrupo,MATCH(D2326&amp;"|"&amp;E2326,catClave,0))&amp;"",""))</f>
        <v/>
      </c>
      <c r="Z2326" s="52">
        <f>IF(P2326="","",WEEKDAY(B2326,2))</f>
        <v/>
      </c>
      <c r="AA2326" s="52">
        <f>IF(P2326="","",IF(AND(P2326="Gasto",X2326="Variable",D2326&lt;&gt;catTrading,S2326&gt;0,S2326&lt;=Umbral),1,0))</f>
        <v/>
      </c>
      <c r="AB2326" s="52">
        <f>IF(OR(P2326="",Q2326=""),"",IFERROR(IF(INDEX(ctaVinc,MATCH(Q2326,ctaNombre,0))&amp;""&lt;&gt;"",INDEX(ctaVinc,MATCH(Q2326,ctaNombre,0))&amp;"",Q2326),Q2326))</f>
        <v/>
      </c>
      <c r="AC2326" s="52">
        <f>IF(OR(K2326="",AND(P2326&lt;&gt;"Transferencia",P2326&lt;&gt;"Pago tarjeta")),"",IFERROR(IF(INDEX(ctaVinc,MATCH(K2326,ctaNombre,0))&amp;""&lt;&gt;"",INDEX(ctaVinc,MATCH(K2326,ctaNombre,0))&amp;"",K2326),K2326))</f>
        <v/>
      </c>
      <c r="AD2326" s="52">
        <f>IF(AB2326="","",IFERROR(INDEX(ctaTipo,MATCH(AB2326,ctaNombre,0))&amp;"",""))</f>
        <v/>
      </c>
      <c r="AE2326" s="52">
        <f>IF(AC2326="","",IFERROR(INDEX(ctaTipo,MATCH(AC2326,ctaNombre,0))&amp;"",""))</f>
        <v/>
      </c>
      <c r="AF2326" s="53">
        <f>IF(OR(P2326="",AB2326=""),"",IF(OR(P2326="Gasto",P2326="Transferencia",P2326="Pago tarjeta"),-1,1)*IF(IFERROR(INDEX(ctaMoneda,MATCH(AB2326,ctaNombre,0))&amp;"","DOP")="USD",T2326,S2326))</f>
        <v/>
      </c>
      <c r="AG2326" s="53">
        <f>IF(AC2326="","",IF(IFERROR(INDEX(ctaMoneda,MATCH(AC2326,ctaNombre,0))&amp;"","DOP")="USD",T2326,S2326))</f>
        <v/>
      </c>
      <c r="AH2326" s="53">
        <f>IF(P2326="","",IF(AND(AD2326&lt;&gt;"",COUNTIFS(tcTipo,AD2326,tcLiq,"Sí")&gt;0),IF(OR(P2326="Gasto",P2326="Transferencia",P2326="Pago tarjeta"),-1,1)*S2326,0)+IF(AND(AE2326&lt;&gt;"",COUNTIFS(tcTipo,AE2326,tcLiq,"Sí")&gt;0),S2326,0))</f>
        <v/>
      </c>
      <c r="AI2326" s="52">
        <f>IF(OR(L2326="",P2326=""),"",IF(COUNTIFS(L$6:L2326,L2326,P$6:P2326,"?*")=1,MAX(AI$5:AI2325)+1,""))</f>
        <v/>
      </c>
    </row>
    <row r="2327">
      <c r="B2327" s="47" t="n"/>
      <c r="C2327" s="48" t="n"/>
      <c r="D2327" s="48" t="n"/>
      <c r="E2327" s="48" t="n"/>
      <c r="F2327" s="48" t="n"/>
      <c r="G2327" s="49" t="n"/>
      <c r="H2327" s="48" t="n"/>
      <c r="I2327" s="50" t="n"/>
      <c r="J2327" s="48" t="n"/>
      <c r="K2327" s="48" t="n"/>
      <c r="L2327" s="48" t="n"/>
      <c r="M2327" s="48" t="n"/>
      <c r="N2327" s="48" t="n"/>
      <c r="O2327" s="51">
        <f>IF(AND(B2327="",G2327="",C2327="",D2327="",J2327=""),"",IF(B2327="","⚠ Falta fecha",IF(G2327="","⚠ Falta monto",IF(Q2327="","⚠ Falta cuenta",IF(ISNA(MATCH(Q2327,ctaNombre,0)),"⚠ Cuenta no registrada",IF(AND(OR(P2327="Gasto",P2327="Reembolso"),D2327=""),"⚠ Falta categoría",IF(AND(D2327&lt;&gt;"",E2327&lt;&gt;"",ISNA(MATCH(D2327&amp;"|"&amp;E2327,catClave,0))),"⚠ Subcategoría no corresponde",IF(AND(OR(P2327="Transferencia",P2327="Pago tarjeta"),K2327=""),"⚠ Falta cuenta destino",IF(AND(K2327&lt;&gt;"",P2327&lt;&gt;"Transferencia",P2327&lt;&gt;"Pago tarjeta"),"⚠ Destino solo aplica a transferencias",IF(AND(K2327&lt;&gt;"",K2327=Q2327),"⚠ Origen igual a destino",IF(AND(K2327&lt;&gt;"",ISNA(MATCH(K2327,ctaNombre,0))),"⚠ Destino no registrado",IF(AND(P2327="Pago tarjeta",AE2327&lt;&gt;"Tarjeta de crédito"),"⚠ El destino debe ser tarjeta de crédito",IF(AND(P2327="Gasto",E2327="Depósitos y retiros"),"⚠ Usa tipo Transferencia",IF(AND(P2327="Resultado trading",AD2327&lt;&gt;"Cuenta de trading"),"⚠ Usa una cuenta de trading",IF(AND(G2327&lt;=0,P2327&lt;&gt;"Ajuste",P2327&lt;&gt;"Resultado trading"),"⚠ El monto debe ser positivo","✓")))))))))))))))</f>
        <v/>
      </c>
      <c r="P2327" s="52">
        <f>IF(OR(B2327="",G2327=""),"",IF(C2327="","Gasto",C2327))</f>
        <v/>
      </c>
      <c r="Q2327" s="52">
        <f>IF(P2327="","",IF(J2327&lt;&gt;"",J2327,CuentaPred&amp;""))</f>
        <v/>
      </c>
      <c r="R2327" s="52">
        <f>IF(P2327="","",IF(ISNUMBER(I2327),I2327,TasaUSD))</f>
        <v/>
      </c>
      <c r="S2327" s="53">
        <f>IF(P2327="","",IF(H2327="USD",G2327*R2327,G2327))</f>
        <v/>
      </c>
      <c r="T2327" s="53">
        <f>IF(P2327="","",IF(H2327="USD",G2327,IF(R2327&gt;0,G2327/R2327,0)))</f>
        <v/>
      </c>
      <c r="U2327" s="53">
        <f>IF(P2327="","",IF(P2327="Gasto",S2327,IF(P2327="Reembolso",-S2327,0)))</f>
        <v/>
      </c>
      <c r="V2327" s="53">
        <f>IF(P2327="","",IF(P2327="Ingreso",S2327,0))</f>
        <v/>
      </c>
      <c r="W2327" s="53">
        <f>IF(P2327="","",IF(P2327="Resultado trading",S2327,0))</f>
        <v/>
      </c>
      <c r="X2327" s="52">
        <f>IF(OR(P2327="Gasto",P2327="Reembolso"),IF(M2327&lt;&gt;"",M2327,IFERROR(INDEX(catClasif,MATCH(D2327&amp;"|"&amp;E2327,catClave,0))&amp;"","Variable")),"")</f>
        <v/>
      </c>
      <c r="Y2327" s="52">
        <f>IF(P2327="","",IFERROR(INDEX(catGrupo,MATCH(D2327&amp;"|"&amp;E2327,catClave,0))&amp;"",""))</f>
        <v/>
      </c>
      <c r="Z2327" s="52">
        <f>IF(P2327="","",WEEKDAY(B2327,2))</f>
        <v/>
      </c>
      <c r="AA2327" s="52">
        <f>IF(P2327="","",IF(AND(P2327="Gasto",X2327="Variable",D2327&lt;&gt;catTrading,S2327&gt;0,S2327&lt;=Umbral),1,0))</f>
        <v/>
      </c>
      <c r="AB2327" s="52">
        <f>IF(OR(P2327="",Q2327=""),"",IFERROR(IF(INDEX(ctaVinc,MATCH(Q2327,ctaNombre,0))&amp;""&lt;&gt;"",INDEX(ctaVinc,MATCH(Q2327,ctaNombre,0))&amp;"",Q2327),Q2327))</f>
        <v/>
      </c>
      <c r="AC2327" s="52">
        <f>IF(OR(K2327="",AND(P2327&lt;&gt;"Transferencia",P2327&lt;&gt;"Pago tarjeta")),"",IFERROR(IF(INDEX(ctaVinc,MATCH(K2327,ctaNombre,0))&amp;""&lt;&gt;"",INDEX(ctaVinc,MATCH(K2327,ctaNombre,0))&amp;"",K2327),K2327))</f>
        <v/>
      </c>
      <c r="AD2327" s="52">
        <f>IF(AB2327="","",IFERROR(INDEX(ctaTipo,MATCH(AB2327,ctaNombre,0))&amp;"",""))</f>
        <v/>
      </c>
      <c r="AE2327" s="52">
        <f>IF(AC2327="","",IFERROR(INDEX(ctaTipo,MATCH(AC2327,ctaNombre,0))&amp;"",""))</f>
        <v/>
      </c>
      <c r="AF2327" s="53">
        <f>IF(OR(P2327="",AB2327=""),"",IF(OR(P2327="Gasto",P2327="Transferencia",P2327="Pago tarjeta"),-1,1)*IF(IFERROR(INDEX(ctaMoneda,MATCH(AB2327,ctaNombre,0))&amp;"","DOP")="USD",T2327,S2327))</f>
        <v/>
      </c>
      <c r="AG2327" s="53">
        <f>IF(AC2327="","",IF(IFERROR(INDEX(ctaMoneda,MATCH(AC2327,ctaNombre,0))&amp;"","DOP")="USD",T2327,S2327))</f>
        <v/>
      </c>
      <c r="AH2327" s="53">
        <f>IF(P2327="","",IF(AND(AD2327&lt;&gt;"",COUNTIFS(tcTipo,AD2327,tcLiq,"Sí")&gt;0),IF(OR(P2327="Gasto",P2327="Transferencia",P2327="Pago tarjeta"),-1,1)*S2327,0)+IF(AND(AE2327&lt;&gt;"",COUNTIFS(tcTipo,AE2327,tcLiq,"Sí")&gt;0),S2327,0))</f>
        <v/>
      </c>
      <c r="AI2327" s="52">
        <f>IF(OR(L2327="",P2327=""),"",IF(COUNTIFS(L$6:L2327,L2327,P$6:P2327,"?*")=1,MAX(AI$5:AI2326)+1,""))</f>
        <v/>
      </c>
    </row>
    <row r="2328">
      <c r="B2328" s="47" t="n"/>
      <c r="C2328" s="48" t="n"/>
      <c r="D2328" s="48" t="n"/>
      <c r="E2328" s="48" t="n"/>
      <c r="F2328" s="48" t="n"/>
      <c r="G2328" s="49" t="n"/>
      <c r="H2328" s="48" t="n"/>
      <c r="I2328" s="50" t="n"/>
      <c r="J2328" s="48" t="n"/>
      <c r="K2328" s="48" t="n"/>
      <c r="L2328" s="48" t="n"/>
      <c r="M2328" s="48" t="n"/>
      <c r="N2328" s="48" t="n"/>
      <c r="O2328" s="51">
        <f>IF(AND(B2328="",G2328="",C2328="",D2328="",J2328=""),"",IF(B2328="","⚠ Falta fecha",IF(G2328="","⚠ Falta monto",IF(Q2328="","⚠ Falta cuenta",IF(ISNA(MATCH(Q2328,ctaNombre,0)),"⚠ Cuenta no registrada",IF(AND(OR(P2328="Gasto",P2328="Reembolso"),D2328=""),"⚠ Falta categoría",IF(AND(D2328&lt;&gt;"",E2328&lt;&gt;"",ISNA(MATCH(D2328&amp;"|"&amp;E2328,catClave,0))),"⚠ Subcategoría no corresponde",IF(AND(OR(P2328="Transferencia",P2328="Pago tarjeta"),K2328=""),"⚠ Falta cuenta destino",IF(AND(K2328&lt;&gt;"",P2328&lt;&gt;"Transferencia",P2328&lt;&gt;"Pago tarjeta"),"⚠ Destino solo aplica a transferencias",IF(AND(K2328&lt;&gt;"",K2328=Q2328),"⚠ Origen igual a destino",IF(AND(K2328&lt;&gt;"",ISNA(MATCH(K2328,ctaNombre,0))),"⚠ Destino no registrado",IF(AND(P2328="Pago tarjeta",AE2328&lt;&gt;"Tarjeta de crédito"),"⚠ El destino debe ser tarjeta de crédito",IF(AND(P2328="Gasto",E2328="Depósitos y retiros"),"⚠ Usa tipo Transferencia",IF(AND(P2328="Resultado trading",AD2328&lt;&gt;"Cuenta de trading"),"⚠ Usa una cuenta de trading",IF(AND(G2328&lt;=0,P2328&lt;&gt;"Ajuste",P2328&lt;&gt;"Resultado trading"),"⚠ El monto debe ser positivo","✓")))))))))))))))</f>
        <v/>
      </c>
      <c r="P2328" s="52">
        <f>IF(OR(B2328="",G2328=""),"",IF(C2328="","Gasto",C2328))</f>
        <v/>
      </c>
      <c r="Q2328" s="52">
        <f>IF(P2328="","",IF(J2328&lt;&gt;"",J2328,CuentaPred&amp;""))</f>
        <v/>
      </c>
      <c r="R2328" s="52">
        <f>IF(P2328="","",IF(ISNUMBER(I2328),I2328,TasaUSD))</f>
        <v/>
      </c>
      <c r="S2328" s="53">
        <f>IF(P2328="","",IF(H2328="USD",G2328*R2328,G2328))</f>
        <v/>
      </c>
      <c r="T2328" s="53">
        <f>IF(P2328="","",IF(H2328="USD",G2328,IF(R2328&gt;0,G2328/R2328,0)))</f>
        <v/>
      </c>
      <c r="U2328" s="53">
        <f>IF(P2328="","",IF(P2328="Gasto",S2328,IF(P2328="Reembolso",-S2328,0)))</f>
        <v/>
      </c>
      <c r="V2328" s="53">
        <f>IF(P2328="","",IF(P2328="Ingreso",S2328,0))</f>
        <v/>
      </c>
      <c r="W2328" s="53">
        <f>IF(P2328="","",IF(P2328="Resultado trading",S2328,0))</f>
        <v/>
      </c>
      <c r="X2328" s="52">
        <f>IF(OR(P2328="Gasto",P2328="Reembolso"),IF(M2328&lt;&gt;"",M2328,IFERROR(INDEX(catClasif,MATCH(D2328&amp;"|"&amp;E2328,catClave,0))&amp;"","Variable")),"")</f>
        <v/>
      </c>
      <c r="Y2328" s="52">
        <f>IF(P2328="","",IFERROR(INDEX(catGrupo,MATCH(D2328&amp;"|"&amp;E2328,catClave,0))&amp;"",""))</f>
        <v/>
      </c>
      <c r="Z2328" s="52">
        <f>IF(P2328="","",WEEKDAY(B2328,2))</f>
        <v/>
      </c>
      <c r="AA2328" s="52">
        <f>IF(P2328="","",IF(AND(P2328="Gasto",X2328="Variable",D2328&lt;&gt;catTrading,S2328&gt;0,S2328&lt;=Umbral),1,0))</f>
        <v/>
      </c>
      <c r="AB2328" s="52">
        <f>IF(OR(P2328="",Q2328=""),"",IFERROR(IF(INDEX(ctaVinc,MATCH(Q2328,ctaNombre,0))&amp;""&lt;&gt;"",INDEX(ctaVinc,MATCH(Q2328,ctaNombre,0))&amp;"",Q2328),Q2328))</f>
        <v/>
      </c>
      <c r="AC2328" s="52">
        <f>IF(OR(K2328="",AND(P2328&lt;&gt;"Transferencia",P2328&lt;&gt;"Pago tarjeta")),"",IFERROR(IF(INDEX(ctaVinc,MATCH(K2328,ctaNombre,0))&amp;""&lt;&gt;"",INDEX(ctaVinc,MATCH(K2328,ctaNombre,0))&amp;"",K2328),K2328))</f>
        <v/>
      </c>
      <c r="AD2328" s="52">
        <f>IF(AB2328="","",IFERROR(INDEX(ctaTipo,MATCH(AB2328,ctaNombre,0))&amp;"",""))</f>
        <v/>
      </c>
      <c r="AE2328" s="52">
        <f>IF(AC2328="","",IFERROR(INDEX(ctaTipo,MATCH(AC2328,ctaNombre,0))&amp;"",""))</f>
        <v/>
      </c>
      <c r="AF2328" s="53">
        <f>IF(OR(P2328="",AB2328=""),"",IF(OR(P2328="Gasto",P2328="Transferencia",P2328="Pago tarjeta"),-1,1)*IF(IFERROR(INDEX(ctaMoneda,MATCH(AB2328,ctaNombre,0))&amp;"","DOP")="USD",T2328,S2328))</f>
        <v/>
      </c>
      <c r="AG2328" s="53">
        <f>IF(AC2328="","",IF(IFERROR(INDEX(ctaMoneda,MATCH(AC2328,ctaNombre,0))&amp;"","DOP")="USD",T2328,S2328))</f>
        <v/>
      </c>
      <c r="AH2328" s="53">
        <f>IF(P2328="","",IF(AND(AD2328&lt;&gt;"",COUNTIFS(tcTipo,AD2328,tcLiq,"Sí")&gt;0),IF(OR(P2328="Gasto",P2328="Transferencia",P2328="Pago tarjeta"),-1,1)*S2328,0)+IF(AND(AE2328&lt;&gt;"",COUNTIFS(tcTipo,AE2328,tcLiq,"Sí")&gt;0),S2328,0))</f>
        <v/>
      </c>
      <c r="AI2328" s="52">
        <f>IF(OR(L2328="",P2328=""),"",IF(COUNTIFS(L$6:L2328,L2328,P$6:P2328,"?*")=1,MAX(AI$5:AI2327)+1,""))</f>
        <v/>
      </c>
    </row>
    <row r="2329">
      <c r="B2329" s="47" t="n"/>
      <c r="C2329" s="48" t="n"/>
      <c r="D2329" s="48" t="n"/>
      <c r="E2329" s="48" t="n"/>
      <c r="F2329" s="48" t="n"/>
      <c r="G2329" s="49" t="n"/>
      <c r="H2329" s="48" t="n"/>
      <c r="I2329" s="50" t="n"/>
      <c r="J2329" s="48" t="n"/>
      <c r="K2329" s="48" t="n"/>
      <c r="L2329" s="48" t="n"/>
      <c r="M2329" s="48" t="n"/>
      <c r="N2329" s="48" t="n"/>
      <c r="O2329" s="51">
        <f>IF(AND(B2329="",G2329="",C2329="",D2329="",J2329=""),"",IF(B2329="","⚠ Falta fecha",IF(G2329="","⚠ Falta monto",IF(Q2329="","⚠ Falta cuenta",IF(ISNA(MATCH(Q2329,ctaNombre,0)),"⚠ Cuenta no registrada",IF(AND(OR(P2329="Gasto",P2329="Reembolso"),D2329=""),"⚠ Falta categoría",IF(AND(D2329&lt;&gt;"",E2329&lt;&gt;"",ISNA(MATCH(D2329&amp;"|"&amp;E2329,catClave,0))),"⚠ Subcategoría no corresponde",IF(AND(OR(P2329="Transferencia",P2329="Pago tarjeta"),K2329=""),"⚠ Falta cuenta destino",IF(AND(K2329&lt;&gt;"",P2329&lt;&gt;"Transferencia",P2329&lt;&gt;"Pago tarjeta"),"⚠ Destino solo aplica a transferencias",IF(AND(K2329&lt;&gt;"",K2329=Q2329),"⚠ Origen igual a destino",IF(AND(K2329&lt;&gt;"",ISNA(MATCH(K2329,ctaNombre,0))),"⚠ Destino no registrado",IF(AND(P2329="Pago tarjeta",AE2329&lt;&gt;"Tarjeta de crédito"),"⚠ El destino debe ser tarjeta de crédito",IF(AND(P2329="Gasto",E2329="Depósitos y retiros"),"⚠ Usa tipo Transferencia",IF(AND(P2329="Resultado trading",AD2329&lt;&gt;"Cuenta de trading"),"⚠ Usa una cuenta de trading",IF(AND(G2329&lt;=0,P2329&lt;&gt;"Ajuste",P2329&lt;&gt;"Resultado trading"),"⚠ El monto debe ser positivo","✓")))))))))))))))</f>
        <v/>
      </c>
      <c r="P2329" s="52">
        <f>IF(OR(B2329="",G2329=""),"",IF(C2329="","Gasto",C2329))</f>
        <v/>
      </c>
      <c r="Q2329" s="52">
        <f>IF(P2329="","",IF(J2329&lt;&gt;"",J2329,CuentaPred&amp;""))</f>
        <v/>
      </c>
      <c r="R2329" s="52">
        <f>IF(P2329="","",IF(ISNUMBER(I2329),I2329,TasaUSD))</f>
        <v/>
      </c>
      <c r="S2329" s="53">
        <f>IF(P2329="","",IF(H2329="USD",G2329*R2329,G2329))</f>
        <v/>
      </c>
      <c r="T2329" s="53">
        <f>IF(P2329="","",IF(H2329="USD",G2329,IF(R2329&gt;0,G2329/R2329,0)))</f>
        <v/>
      </c>
      <c r="U2329" s="53">
        <f>IF(P2329="","",IF(P2329="Gasto",S2329,IF(P2329="Reembolso",-S2329,0)))</f>
        <v/>
      </c>
      <c r="V2329" s="53">
        <f>IF(P2329="","",IF(P2329="Ingreso",S2329,0))</f>
        <v/>
      </c>
      <c r="W2329" s="53">
        <f>IF(P2329="","",IF(P2329="Resultado trading",S2329,0))</f>
        <v/>
      </c>
      <c r="X2329" s="52">
        <f>IF(OR(P2329="Gasto",P2329="Reembolso"),IF(M2329&lt;&gt;"",M2329,IFERROR(INDEX(catClasif,MATCH(D2329&amp;"|"&amp;E2329,catClave,0))&amp;"","Variable")),"")</f>
        <v/>
      </c>
      <c r="Y2329" s="52">
        <f>IF(P2329="","",IFERROR(INDEX(catGrupo,MATCH(D2329&amp;"|"&amp;E2329,catClave,0))&amp;"",""))</f>
        <v/>
      </c>
      <c r="Z2329" s="52">
        <f>IF(P2329="","",WEEKDAY(B2329,2))</f>
        <v/>
      </c>
      <c r="AA2329" s="52">
        <f>IF(P2329="","",IF(AND(P2329="Gasto",X2329="Variable",D2329&lt;&gt;catTrading,S2329&gt;0,S2329&lt;=Umbral),1,0))</f>
        <v/>
      </c>
      <c r="AB2329" s="52">
        <f>IF(OR(P2329="",Q2329=""),"",IFERROR(IF(INDEX(ctaVinc,MATCH(Q2329,ctaNombre,0))&amp;""&lt;&gt;"",INDEX(ctaVinc,MATCH(Q2329,ctaNombre,0))&amp;"",Q2329),Q2329))</f>
        <v/>
      </c>
      <c r="AC2329" s="52">
        <f>IF(OR(K2329="",AND(P2329&lt;&gt;"Transferencia",P2329&lt;&gt;"Pago tarjeta")),"",IFERROR(IF(INDEX(ctaVinc,MATCH(K2329,ctaNombre,0))&amp;""&lt;&gt;"",INDEX(ctaVinc,MATCH(K2329,ctaNombre,0))&amp;"",K2329),K2329))</f>
        <v/>
      </c>
      <c r="AD2329" s="52">
        <f>IF(AB2329="","",IFERROR(INDEX(ctaTipo,MATCH(AB2329,ctaNombre,0))&amp;"",""))</f>
        <v/>
      </c>
      <c r="AE2329" s="52">
        <f>IF(AC2329="","",IFERROR(INDEX(ctaTipo,MATCH(AC2329,ctaNombre,0))&amp;"",""))</f>
        <v/>
      </c>
      <c r="AF2329" s="53">
        <f>IF(OR(P2329="",AB2329=""),"",IF(OR(P2329="Gasto",P2329="Transferencia",P2329="Pago tarjeta"),-1,1)*IF(IFERROR(INDEX(ctaMoneda,MATCH(AB2329,ctaNombre,0))&amp;"","DOP")="USD",T2329,S2329))</f>
        <v/>
      </c>
      <c r="AG2329" s="53">
        <f>IF(AC2329="","",IF(IFERROR(INDEX(ctaMoneda,MATCH(AC2329,ctaNombre,0))&amp;"","DOP")="USD",T2329,S2329))</f>
        <v/>
      </c>
      <c r="AH2329" s="53">
        <f>IF(P2329="","",IF(AND(AD2329&lt;&gt;"",COUNTIFS(tcTipo,AD2329,tcLiq,"Sí")&gt;0),IF(OR(P2329="Gasto",P2329="Transferencia",P2329="Pago tarjeta"),-1,1)*S2329,0)+IF(AND(AE2329&lt;&gt;"",COUNTIFS(tcTipo,AE2329,tcLiq,"Sí")&gt;0),S2329,0))</f>
        <v/>
      </c>
      <c r="AI2329" s="52">
        <f>IF(OR(L2329="",P2329=""),"",IF(COUNTIFS(L$6:L2329,L2329,P$6:P2329,"?*")=1,MAX(AI$5:AI2328)+1,""))</f>
        <v/>
      </c>
    </row>
    <row r="2330">
      <c r="B2330" s="47" t="n"/>
      <c r="C2330" s="48" t="n"/>
      <c r="D2330" s="48" t="n"/>
      <c r="E2330" s="48" t="n"/>
      <c r="F2330" s="48" t="n"/>
      <c r="G2330" s="49" t="n"/>
      <c r="H2330" s="48" t="n"/>
      <c r="I2330" s="50" t="n"/>
      <c r="J2330" s="48" t="n"/>
      <c r="K2330" s="48" t="n"/>
      <c r="L2330" s="48" t="n"/>
      <c r="M2330" s="48" t="n"/>
      <c r="N2330" s="48" t="n"/>
      <c r="O2330" s="51">
        <f>IF(AND(B2330="",G2330="",C2330="",D2330="",J2330=""),"",IF(B2330="","⚠ Falta fecha",IF(G2330="","⚠ Falta monto",IF(Q2330="","⚠ Falta cuenta",IF(ISNA(MATCH(Q2330,ctaNombre,0)),"⚠ Cuenta no registrada",IF(AND(OR(P2330="Gasto",P2330="Reembolso"),D2330=""),"⚠ Falta categoría",IF(AND(D2330&lt;&gt;"",E2330&lt;&gt;"",ISNA(MATCH(D2330&amp;"|"&amp;E2330,catClave,0))),"⚠ Subcategoría no corresponde",IF(AND(OR(P2330="Transferencia",P2330="Pago tarjeta"),K2330=""),"⚠ Falta cuenta destino",IF(AND(K2330&lt;&gt;"",P2330&lt;&gt;"Transferencia",P2330&lt;&gt;"Pago tarjeta"),"⚠ Destino solo aplica a transferencias",IF(AND(K2330&lt;&gt;"",K2330=Q2330),"⚠ Origen igual a destino",IF(AND(K2330&lt;&gt;"",ISNA(MATCH(K2330,ctaNombre,0))),"⚠ Destino no registrado",IF(AND(P2330="Pago tarjeta",AE2330&lt;&gt;"Tarjeta de crédito"),"⚠ El destino debe ser tarjeta de crédito",IF(AND(P2330="Gasto",E2330="Depósitos y retiros"),"⚠ Usa tipo Transferencia",IF(AND(P2330="Resultado trading",AD2330&lt;&gt;"Cuenta de trading"),"⚠ Usa una cuenta de trading",IF(AND(G2330&lt;=0,P2330&lt;&gt;"Ajuste",P2330&lt;&gt;"Resultado trading"),"⚠ El monto debe ser positivo","✓")))))))))))))))</f>
        <v/>
      </c>
      <c r="P2330" s="52">
        <f>IF(OR(B2330="",G2330=""),"",IF(C2330="","Gasto",C2330))</f>
        <v/>
      </c>
      <c r="Q2330" s="52">
        <f>IF(P2330="","",IF(J2330&lt;&gt;"",J2330,CuentaPred&amp;""))</f>
        <v/>
      </c>
      <c r="R2330" s="52">
        <f>IF(P2330="","",IF(ISNUMBER(I2330),I2330,TasaUSD))</f>
        <v/>
      </c>
      <c r="S2330" s="53">
        <f>IF(P2330="","",IF(H2330="USD",G2330*R2330,G2330))</f>
        <v/>
      </c>
      <c r="T2330" s="53">
        <f>IF(P2330="","",IF(H2330="USD",G2330,IF(R2330&gt;0,G2330/R2330,0)))</f>
        <v/>
      </c>
      <c r="U2330" s="53">
        <f>IF(P2330="","",IF(P2330="Gasto",S2330,IF(P2330="Reembolso",-S2330,0)))</f>
        <v/>
      </c>
      <c r="V2330" s="53">
        <f>IF(P2330="","",IF(P2330="Ingreso",S2330,0))</f>
        <v/>
      </c>
      <c r="W2330" s="53">
        <f>IF(P2330="","",IF(P2330="Resultado trading",S2330,0))</f>
        <v/>
      </c>
      <c r="X2330" s="52">
        <f>IF(OR(P2330="Gasto",P2330="Reembolso"),IF(M2330&lt;&gt;"",M2330,IFERROR(INDEX(catClasif,MATCH(D2330&amp;"|"&amp;E2330,catClave,0))&amp;"","Variable")),"")</f>
        <v/>
      </c>
      <c r="Y2330" s="52">
        <f>IF(P2330="","",IFERROR(INDEX(catGrupo,MATCH(D2330&amp;"|"&amp;E2330,catClave,0))&amp;"",""))</f>
        <v/>
      </c>
      <c r="Z2330" s="52">
        <f>IF(P2330="","",WEEKDAY(B2330,2))</f>
        <v/>
      </c>
      <c r="AA2330" s="52">
        <f>IF(P2330="","",IF(AND(P2330="Gasto",X2330="Variable",D2330&lt;&gt;catTrading,S2330&gt;0,S2330&lt;=Umbral),1,0))</f>
        <v/>
      </c>
      <c r="AB2330" s="52">
        <f>IF(OR(P2330="",Q2330=""),"",IFERROR(IF(INDEX(ctaVinc,MATCH(Q2330,ctaNombre,0))&amp;""&lt;&gt;"",INDEX(ctaVinc,MATCH(Q2330,ctaNombre,0))&amp;"",Q2330),Q2330))</f>
        <v/>
      </c>
      <c r="AC2330" s="52">
        <f>IF(OR(K2330="",AND(P2330&lt;&gt;"Transferencia",P2330&lt;&gt;"Pago tarjeta")),"",IFERROR(IF(INDEX(ctaVinc,MATCH(K2330,ctaNombre,0))&amp;""&lt;&gt;"",INDEX(ctaVinc,MATCH(K2330,ctaNombre,0))&amp;"",K2330),K2330))</f>
        <v/>
      </c>
      <c r="AD2330" s="52">
        <f>IF(AB2330="","",IFERROR(INDEX(ctaTipo,MATCH(AB2330,ctaNombre,0))&amp;"",""))</f>
        <v/>
      </c>
      <c r="AE2330" s="52">
        <f>IF(AC2330="","",IFERROR(INDEX(ctaTipo,MATCH(AC2330,ctaNombre,0))&amp;"",""))</f>
        <v/>
      </c>
      <c r="AF2330" s="53">
        <f>IF(OR(P2330="",AB2330=""),"",IF(OR(P2330="Gasto",P2330="Transferencia",P2330="Pago tarjeta"),-1,1)*IF(IFERROR(INDEX(ctaMoneda,MATCH(AB2330,ctaNombre,0))&amp;"","DOP")="USD",T2330,S2330))</f>
        <v/>
      </c>
      <c r="AG2330" s="53">
        <f>IF(AC2330="","",IF(IFERROR(INDEX(ctaMoneda,MATCH(AC2330,ctaNombre,0))&amp;"","DOP")="USD",T2330,S2330))</f>
        <v/>
      </c>
      <c r="AH2330" s="53">
        <f>IF(P2330="","",IF(AND(AD2330&lt;&gt;"",COUNTIFS(tcTipo,AD2330,tcLiq,"Sí")&gt;0),IF(OR(P2330="Gasto",P2330="Transferencia",P2330="Pago tarjeta"),-1,1)*S2330,0)+IF(AND(AE2330&lt;&gt;"",COUNTIFS(tcTipo,AE2330,tcLiq,"Sí")&gt;0),S2330,0))</f>
        <v/>
      </c>
      <c r="AI2330" s="52">
        <f>IF(OR(L2330="",P2330=""),"",IF(COUNTIFS(L$6:L2330,L2330,P$6:P2330,"?*")=1,MAX(AI$5:AI2329)+1,""))</f>
        <v/>
      </c>
    </row>
    <row r="2331">
      <c r="B2331" s="47" t="n"/>
      <c r="C2331" s="48" t="n"/>
      <c r="D2331" s="48" t="n"/>
      <c r="E2331" s="48" t="n"/>
      <c r="F2331" s="48" t="n"/>
      <c r="G2331" s="49" t="n"/>
      <c r="H2331" s="48" t="n"/>
      <c r="I2331" s="50" t="n"/>
      <c r="J2331" s="48" t="n"/>
      <c r="K2331" s="48" t="n"/>
      <c r="L2331" s="48" t="n"/>
      <c r="M2331" s="48" t="n"/>
      <c r="N2331" s="48" t="n"/>
      <c r="O2331" s="51">
        <f>IF(AND(B2331="",G2331="",C2331="",D2331="",J2331=""),"",IF(B2331="","⚠ Falta fecha",IF(G2331="","⚠ Falta monto",IF(Q2331="","⚠ Falta cuenta",IF(ISNA(MATCH(Q2331,ctaNombre,0)),"⚠ Cuenta no registrada",IF(AND(OR(P2331="Gasto",P2331="Reembolso"),D2331=""),"⚠ Falta categoría",IF(AND(D2331&lt;&gt;"",E2331&lt;&gt;"",ISNA(MATCH(D2331&amp;"|"&amp;E2331,catClave,0))),"⚠ Subcategoría no corresponde",IF(AND(OR(P2331="Transferencia",P2331="Pago tarjeta"),K2331=""),"⚠ Falta cuenta destino",IF(AND(K2331&lt;&gt;"",P2331&lt;&gt;"Transferencia",P2331&lt;&gt;"Pago tarjeta"),"⚠ Destino solo aplica a transferencias",IF(AND(K2331&lt;&gt;"",K2331=Q2331),"⚠ Origen igual a destino",IF(AND(K2331&lt;&gt;"",ISNA(MATCH(K2331,ctaNombre,0))),"⚠ Destino no registrado",IF(AND(P2331="Pago tarjeta",AE2331&lt;&gt;"Tarjeta de crédito"),"⚠ El destino debe ser tarjeta de crédito",IF(AND(P2331="Gasto",E2331="Depósitos y retiros"),"⚠ Usa tipo Transferencia",IF(AND(P2331="Resultado trading",AD2331&lt;&gt;"Cuenta de trading"),"⚠ Usa una cuenta de trading",IF(AND(G2331&lt;=0,P2331&lt;&gt;"Ajuste",P2331&lt;&gt;"Resultado trading"),"⚠ El monto debe ser positivo","✓")))))))))))))))</f>
        <v/>
      </c>
      <c r="P2331" s="52">
        <f>IF(OR(B2331="",G2331=""),"",IF(C2331="","Gasto",C2331))</f>
        <v/>
      </c>
      <c r="Q2331" s="52">
        <f>IF(P2331="","",IF(J2331&lt;&gt;"",J2331,CuentaPred&amp;""))</f>
        <v/>
      </c>
      <c r="R2331" s="52">
        <f>IF(P2331="","",IF(ISNUMBER(I2331),I2331,TasaUSD))</f>
        <v/>
      </c>
      <c r="S2331" s="53">
        <f>IF(P2331="","",IF(H2331="USD",G2331*R2331,G2331))</f>
        <v/>
      </c>
      <c r="T2331" s="53">
        <f>IF(P2331="","",IF(H2331="USD",G2331,IF(R2331&gt;0,G2331/R2331,0)))</f>
        <v/>
      </c>
      <c r="U2331" s="53">
        <f>IF(P2331="","",IF(P2331="Gasto",S2331,IF(P2331="Reembolso",-S2331,0)))</f>
        <v/>
      </c>
      <c r="V2331" s="53">
        <f>IF(P2331="","",IF(P2331="Ingreso",S2331,0))</f>
        <v/>
      </c>
      <c r="W2331" s="53">
        <f>IF(P2331="","",IF(P2331="Resultado trading",S2331,0))</f>
        <v/>
      </c>
      <c r="X2331" s="52">
        <f>IF(OR(P2331="Gasto",P2331="Reembolso"),IF(M2331&lt;&gt;"",M2331,IFERROR(INDEX(catClasif,MATCH(D2331&amp;"|"&amp;E2331,catClave,0))&amp;"","Variable")),"")</f>
        <v/>
      </c>
      <c r="Y2331" s="52">
        <f>IF(P2331="","",IFERROR(INDEX(catGrupo,MATCH(D2331&amp;"|"&amp;E2331,catClave,0))&amp;"",""))</f>
        <v/>
      </c>
      <c r="Z2331" s="52">
        <f>IF(P2331="","",WEEKDAY(B2331,2))</f>
        <v/>
      </c>
      <c r="AA2331" s="52">
        <f>IF(P2331="","",IF(AND(P2331="Gasto",X2331="Variable",D2331&lt;&gt;catTrading,S2331&gt;0,S2331&lt;=Umbral),1,0))</f>
        <v/>
      </c>
      <c r="AB2331" s="52">
        <f>IF(OR(P2331="",Q2331=""),"",IFERROR(IF(INDEX(ctaVinc,MATCH(Q2331,ctaNombre,0))&amp;""&lt;&gt;"",INDEX(ctaVinc,MATCH(Q2331,ctaNombre,0))&amp;"",Q2331),Q2331))</f>
        <v/>
      </c>
      <c r="AC2331" s="52">
        <f>IF(OR(K2331="",AND(P2331&lt;&gt;"Transferencia",P2331&lt;&gt;"Pago tarjeta")),"",IFERROR(IF(INDEX(ctaVinc,MATCH(K2331,ctaNombre,0))&amp;""&lt;&gt;"",INDEX(ctaVinc,MATCH(K2331,ctaNombre,0))&amp;"",K2331),K2331))</f>
        <v/>
      </c>
      <c r="AD2331" s="52">
        <f>IF(AB2331="","",IFERROR(INDEX(ctaTipo,MATCH(AB2331,ctaNombre,0))&amp;"",""))</f>
        <v/>
      </c>
      <c r="AE2331" s="52">
        <f>IF(AC2331="","",IFERROR(INDEX(ctaTipo,MATCH(AC2331,ctaNombre,0))&amp;"",""))</f>
        <v/>
      </c>
      <c r="AF2331" s="53">
        <f>IF(OR(P2331="",AB2331=""),"",IF(OR(P2331="Gasto",P2331="Transferencia",P2331="Pago tarjeta"),-1,1)*IF(IFERROR(INDEX(ctaMoneda,MATCH(AB2331,ctaNombre,0))&amp;"","DOP")="USD",T2331,S2331))</f>
        <v/>
      </c>
      <c r="AG2331" s="53">
        <f>IF(AC2331="","",IF(IFERROR(INDEX(ctaMoneda,MATCH(AC2331,ctaNombre,0))&amp;"","DOP")="USD",T2331,S2331))</f>
        <v/>
      </c>
      <c r="AH2331" s="53">
        <f>IF(P2331="","",IF(AND(AD2331&lt;&gt;"",COUNTIFS(tcTipo,AD2331,tcLiq,"Sí")&gt;0),IF(OR(P2331="Gasto",P2331="Transferencia",P2331="Pago tarjeta"),-1,1)*S2331,0)+IF(AND(AE2331&lt;&gt;"",COUNTIFS(tcTipo,AE2331,tcLiq,"Sí")&gt;0),S2331,0))</f>
        <v/>
      </c>
      <c r="AI2331" s="52">
        <f>IF(OR(L2331="",P2331=""),"",IF(COUNTIFS(L$6:L2331,L2331,P$6:P2331,"?*")=1,MAX(AI$5:AI2330)+1,""))</f>
        <v/>
      </c>
    </row>
    <row r="2332">
      <c r="B2332" s="47" t="n"/>
      <c r="C2332" s="48" t="n"/>
      <c r="D2332" s="48" t="n"/>
      <c r="E2332" s="48" t="n"/>
      <c r="F2332" s="48" t="n"/>
      <c r="G2332" s="49" t="n"/>
      <c r="H2332" s="48" t="n"/>
      <c r="I2332" s="50" t="n"/>
      <c r="J2332" s="48" t="n"/>
      <c r="K2332" s="48" t="n"/>
      <c r="L2332" s="48" t="n"/>
      <c r="M2332" s="48" t="n"/>
      <c r="N2332" s="48" t="n"/>
      <c r="O2332" s="51">
        <f>IF(AND(B2332="",G2332="",C2332="",D2332="",J2332=""),"",IF(B2332="","⚠ Falta fecha",IF(G2332="","⚠ Falta monto",IF(Q2332="","⚠ Falta cuenta",IF(ISNA(MATCH(Q2332,ctaNombre,0)),"⚠ Cuenta no registrada",IF(AND(OR(P2332="Gasto",P2332="Reembolso"),D2332=""),"⚠ Falta categoría",IF(AND(D2332&lt;&gt;"",E2332&lt;&gt;"",ISNA(MATCH(D2332&amp;"|"&amp;E2332,catClave,0))),"⚠ Subcategoría no corresponde",IF(AND(OR(P2332="Transferencia",P2332="Pago tarjeta"),K2332=""),"⚠ Falta cuenta destino",IF(AND(K2332&lt;&gt;"",P2332&lt;&gt;"Transferencia",P2332&lt;&gt;"Pago tarjeta"),"⚠ Destino solo aplica a transferencias",IF(AND(K2332&lt;&gt;"",K2332=Q2332),"⚠ Origen igual a destino",IF(AND(K2332&lt;&gt;"",ISNA(MATCH(K2332,ctaNombre,0))),"⚠ Destino no registrado",IF(AND(P2332="Pago tarjeta",AE2332&lt;&gt;"Tarjeta de crédito"),"⚠ El destino debe ser tarjeta de crédito",IF(AND(P2332="Gasto",E2332="Depósitos y retiros"),"⚠ Usa tipo Transferencia",IF(AND(P2332="Resultado trading",AD2332&lt;&gt;"Cuenta de trading"),"⚠ Usa una cuenta de trading",IF(AND(G2332&lt;=0,P2332&lt;&gt;"Ajuste",P2332&lt;&gt;"Resultado trading"),"⚠ El monto debe ser positivo","✓")))))))))))))))</f>
        <v/>
      </c>
      <c r="P2332" s="52">
        <f>IF(OR(B2332="",G2332=""),"",IF(C2332="","Gasto",C2332))</f>
        <v/>
      </c>
      <c r="Q2332" s="52">
        <f>IF(P2332="","",IF(J2332&lt;&gt;"",J2332,CuentaPred&amp;""))</f>
        <v/>
      </c>
      <c r="R2332" s="52">
        <f>IF(P2332="","",IF(ISNUMBER(I2332),I2332,TasaUSD))</f>
        <v/>
      </c>
      <c r="S2332" s="53">
        <f>IF(P2332="","",IF(H2332="USD",G2332*R2332,G2332))</f>
        <v/>
      </c>
      <c r="T2332" s="53">
        <f>IF(P2332="","",IF(H2332="USD",G2332,IF(R2332&gt;0,G2332/R2332,0)))</f>
        <v/>
      </c>
      <c r="U2332" s="53">
        <f>IF(P2332="","",IF(P2332="Gasto",S2332,IF(P2332="Reembolso",-S2332,0)))</f>
        <v/>
      </c>
      <c r="V2332" s="53">
        <f>IF(P2332="","",IF(P2332="Ingreso",S2332,0))</f>
        <v/>
      </c>
      <c r="W2332" s="53">
        <f>IF(P2332="","",IF(P2332="Resultado trading",S2332,0))</f>
        <v/>
      </c>
      <c r="X2332" s="52">
        <f>IF(OR(P2332="Gasto",P2332="Reembolso"),IF(M2332&lt;&gt;"",M2332,IFERROR(INDEX(catClasif,MATCH(D2332&amp;"|"&amp;E2332,catClave,0))&amp;"","Variable")),"")</f>
        <v/>
      </c>
      <c r="Y2332" s="52">
        <f>IF(P2332="","",IFERROR(INDEX(catGrupo,MATCH(D2332&amp;"|"&amp;E2332,catClave,0))&amp;"",""))</f>
        <v/>
      </c>
      <c r="Z2332" s="52">
        <f>IF(P2332="","",WEEKDAY(B2332,2))</f>
        <v/>
      </c>
      <c r="AA2332" s="52">
        <f>IF(P2332="","",IF(AND(P2332="Gasto",X2332="Variable",D2332&lt;&gt;catTrading,S2332&gt;0,S2332&lt;=Umbral),1,0))</f>
        <v/>
      </c>
      <c r="AB2332" s="52">
        <f>IF(OR(P2332="",Q2332=""),"",IFERROR(IF(INDEX(ctaVinc,MATCH(Q2332,ctaNombre,0))&amp;""&lt;&gt;"",INDEX(ctaVinc,MATCH(Q2332,ctaNombre,0))&amp;"",Q2332),Q2332))</f>
        <v/>
      </c>
      <c r="AC2332" s="52">
        <f>IF(OR(K2332="",AND(P2332&lt;&gt;"Transferencia",P2332&lt;&gt;"Pago tarjeta")),"",IFERROR(IF(INDEX(ctaVinc,MATCH(K2332,ctaNombre,0))&amp;""&lt;&gt;"",INDEX(ctaVinc,MATCH(K2332,ctaNombre,0))&amp;"",K2332),K2332))</f>
        <v/>
      </c>
      <c r="AD2332" s="52">
        <f>IF(AB2332="","",IFERROR(INDEX(ctaTipo,MATCH(AB2332,ctaNombre,0))&amp;"",""))</f>
        <v/>
      </c>
      <c r="AE2332" s="52">
        <f>IF(AC2332="","",IFERROR(INDEX(ctaTipo,MATCH(AC2332,ctaNombre,0))&amp;"",""))</f>
        <v/>
      </c>
      <c r="AF2332" s="53">
        <f>IF(OR(P2332="",AB2332=""),"",IF(OR(P2332="Gasto",P2332="Transferencia",P2332="Pago tarjeta"),-1,1)*IF(IFERROR(INDEX(ctaMoneda,MATCH(AB2332,ctaNombre,0))&amp;"","DOP")="USD",T2332,S2332))</f>
        <v/>
      </c>
      <c r="AG2332" s="53">
        <f>IF(AC2332="","",IF(IFERROR(INDEX(ctaMoneda,MATCH(AC2332,ctaNombre,0))&amp;"","DOP")="USD",T2332,S2332))</f>
        <v/>
      </c>
      <c r="AH2332" s="53">
        <f>IF(P2332="","",IF(AND(AD2332&lt;&gt;"",COUNTIFS(tcTipo,AD2332,tcLiq,"Sí")&gt;0),IF(OR(P2332="Gasto",P2332="Transferencia",P2332="Pago tarjeta"),-1,1)*S2332,0)+IF(AND(AE2332&lt;&gt;"",COUNTIFS(tcTipo,AE2332,tcLiq,"Sí")&gt;0),S2332,0))</f>
        <v/>
      </c>
      <c r="AI2332" s="52">
        <f>IF(OR(L2332="",P2332=""),"",IF(COUNTIFS(L$6:L2332,L2332,P$6:P2332,"?*")=1,MAX(AI$5:AI2331)+1,""))</f>
        <v/>
      </c>
    </row>
    <row r="2333">
      <c r="B2333" s="47" t="n"/>
      <c r="C2333" s="48" t="n"/>
      <c r="D2333" s="48" t="n"/>
      <c r="E2333" s="48" t="n"/>
      <c r="F2333" s="48" t="n"/>
      <c r="G2333" s="49" t="n"/>
      <c r="H2333" s="48" t="n"/>
      <c r="I2333" s="50" t="n"/>
      <c r="J2333" s="48" t="n"/>
      <c r="K2333" s="48" t="n"/>
      <c r="L2333" s="48" t="n"/>
      <c r="M2333" s="48" t="n"/>
      <c r="N2333" s="48" t="n"/>
      <c r="O2333" s="51">
        <f>IF(AND(B2333="",G2333="",C2333="",D2333="",J2333=""),"",IF(B2333="","⚠ Falta fecha",IF(G2333="","⚠ Falta monto",IF(Q2333="","⚠ Falta cuenta",IF(ISNA(MATCH(Q2333,ctaNombre,0)),"⚠ Cuenta no registrada",IF(AND(OR(P2333="Gasto",P2333="Reembolso"),D2333=""),"⚠ Falta categoría",IF(AND(D2333&lt;&gt;"",E2333&lt;&gt;"",ISNA(MATCH(D2333&amp;"|"&amp;E2333,catClave,0))),"⚠ Subcategoría no corresponde",IF(AND(OR(P2333="Transferencia",P2333="Pago tarjeta"),K2333=""),"⚠ Falta cuenta destino",IF(AND(K2333&lt;&gt;"",P2333&lt;&gt;"Transferencia",P2333&lt;&gt;"Pago tarjeta"),"⚠ Destino solo aplica a transferencias",IF(AND(K2333&lt;&gt;"",K2333=Q2333),"⚠ Origen igual a destino",IF(AND(K2333&lt;&gt;"",ISNA(MATCH(K2333,ctaNombre,0))),"⚠ Destino no registrado",IF(AND(P2333="Pago tarjeta",AE2333&lt;&gt;"Tarjeta de crédito"),"⚠ El destino debe ser tarjeta de crédito",IF(AND(P2333="Gasto",E2333="Depósitos y retiros"),"⚠ Usa tipo Transferencia",IF(AND(P2333="Resultado trading",AD2333&lt;&gt;"Cuenta de trading"),"⚠ Usa una cuenta de trading",IF(AND(G2333&lt;=0,P2333&lt;&gt;"Ajuste",P2333&lt;&gt;"Resultado trading"),"⚠ El monto debe ser positivo","✓")))))))))))))))</f>
        <v/>
      </c>
      <c r="P2333" s="52">
        <f>IF(OR(B2333="",G2333=""),"",IF(C2333="","Gasto",C2333))</f>
        <v/>
      </c>
      <c r="Q2333" s="52">
        <f>IF(P2333="","",IF(J2333&lt;&gt;"",J2333,CuentaPred&amp;""))</f>
        <v/>
      </c>
      <c r="R2333" s="52">
        <f>IF(P2333="","",IF(ISNUMBER(I2333),I2333,TasaUSD))</f>
        <v/>
      </c>
      <c r="S2333" s="53">
        <f>IF(P2333="","",IF(H2333="USD",G2333*R2333,G2333))</f>
        <v/>
      </c>
      <c r="T2333" s="53">
        <f>IF(P2333="","",IF(H2333="USD",G2333,IF(R2333&gt;0,G2333/R2333,0)))</f>
        <v/>
      </c>
      <c r="U2333" s="53">
        <f>IF(P2333="","",IF(P2333="Gasto",S2333,IF(P2333="Reembolso",-S2333,0)))</f>
        <v/>
      </c>
      <c r="V2333" s="53">
        <f>IF(P2333="","",IF(P2333="Ingreso",S2333,0))</f>
        <v/>
      </c>
      <c r="W2333" s="53">
        <f>IF(P2333="","",IF(P2333="Resultado trading",S2333,0))</f>
        <v/>
      </c>
      <c r="X2333" s="52">
        <f>IF(OR(P2333="Gasto",P2333="Reembolso"),IF(M2333&lt;&gt;"",M2333,IFERROR(INDEX(catClasif,MATCH(D2333&amp;"|"&amp;E2333,catClave,0))&amp;"","Variable")),"")</f>
        <v/>
      </c>
      <c r="Y2333" s="52">
        <f>IF(P2333="","",IFERROR(INDEX(catGrupo,MATCH(D2333&amp;"|"&amp;E2333,catClave,0))&amp;"",""))</f>
        <v/>
      </c>
      <c r="Z2333" s="52">
        <f>IF(P2333="","",WEEKDAY(B2333,2))</f>
        <v/>
      </c>
      <c r="AA2333" s="52">
        <f>IF(P2333="","",IF(AND(P2333="Gasto",X2333="Variable",D2333&lt;&gt;catTrading,S2333&gt;0,S2333&lt;=Umbral),1,0))</f>
        <v/>
      </c>
      <c r="AB2333" s="52">
        <f>IF(OR(P2333="",Q2333=""),"",IFERROR(IF(INDEX(ctaVinc,MATCH(Q2333,ctaNombre,0))&amp;""&lt;&gt;"",INDEX(ctaVinc,MATCH(Q2333,ctaNombre,0))&amp;"",Q2333),Q2333))</f>
        <v/>
      </c>
      <c r="AC2333" s="52">
        <f>IF(OR(K2333="",AND(P2333&lt;&gt;"Transferencia",P2333&lt;&gt;"Pago tarjeta")),"",IFERROR(IF(INDEX(ctaVinc,MATCH(K2333,ctaNombre,0))&amp;""&lt;&gt;"",INDEX(ctaVinc,MATCH(K2333,ctaNombre,0))&amp;"",K2333),K2333))</f>
        <v/>
      </c>
      <c r="AD2333" s="52">
        <f>IF(AB2333="","",IFERROR(INDEX(ctaTipo,MATCH(AB2333,ctaNombre,0))&amp;"",""))</f>
        <v/>
      </c>
      <c r="AE2333" s="52">
        <f>IF(AC2333="","",IFERROR(INDEX(ctaTipo,MATCH(AC2333,ctaNombre,0))&amp;"",""))</f>
        <v/>
      </c>
      <c r="AF2333" s="53">
        <f>IF(OR(P2333="",AB2333=""),"",IF(OR(P2333="Gasto",P2333="Transferencia",P2333="Pago tarjeta"),-1,1)*IF(IFERROR(INDEX(ctaMoneda,MATCH(AB2333,ctaNombre,0))&amp;"","DOP")="USD",T2333,S2333))</f>
        <v/>
      </c>
      <c r="AG2333" s="53">
        <f>IF(AC2333="","",IF(IFERROR(INDEX(ctaMoneda,MATCH(AC2333,ctaNombre,0))&amp;"","DOP")="USD",T2333,S2333))</f>
        <v/>
      </c>
      <c r="AH2333" s="53">
        <f>IF(P2333="","",IF(AND(AD2333&lt;&gt;"",COUNTIFS(tcTipo,AD2333,tcLiq,"Sí")&gt;0),IF(OR(P2333="Gasto",P2333="Transferencia",P2333="Pago tarjeta"),-1,1)*S2333,0)+IF(AND(AE2333&lt;&gt;"",COUNTIFS(tcTipo,AE2333,tcLiq,"Sí")&gt;0),S2333,0))</f>
        <v/>
      </c>
      <c r="AI2333" s="52">
        <f>IF(OR(L2333="",P2333=""),"",IF(COUNTIFS(L$6:L2333,L2333,P$6:P2333,"?*")=1,MAX(AI$5:AI2332)+1,""))</f>
        <v/>
      </c>
    </row>
    <row r="2334">
      <c r="B2334" s="47" t="n"/>
      <c r="C2334" s="48" t="n"/>
      <c r="D2334" s="48" t="n"/>
      <c r="E2334" s="48" t="n"/>
      <c r="F2334" s="48" t="n"/>
      <c r="G2334" s="49" t="n"/>
      <c r="H2334" s="48" t="n"/>
      <c r="I2334" s="50" t="n"/>
      <c r="J2334" s="48" t="n"/>
      <c r="K2334" s="48" t="n"/>
      <c r="L2334" s="48" t="n"/>
      <c r="M2334" s="48" t="n"/>
      <c r="N2334" s="48" t="n"/>
      <c r="O2334" s="51">
        <f>IF(AND(B2334="",G2334="",C2334="",D2334="",J2334=""),"",IF(B2334="","⚠ Falta fecha",IF(G2334="","⚠ Falta monto",IF(Q2334="","⚠ Falta cuenta",IF(ISNA(MATCH(Q2334,ctaNombre,0)),"⚠ Cuenta no registrada",IF(AND(OR(P2334="Gasto",P2334="Reembolso"),D2334=""),"⚠ Falta categoría",IF(AND(D2334&lt;&gt;"",E2334&lt;&gt;"",ISNA(MATCH(D2334&amp;"|"&amp;E2334,catClave,0))),"⚠ Subcategoría no corresponde",IF(AND(OR(P2334="Transferencia",P2334="Pago tarjeta"),K2334=""),"⚠ Falta cuenta destino",IF(AND(K2334&lt;&gt;"",P2334&lt;&gt;"Transferencia",P2334&lt;&gt;"Pago tarjeta"),"⚠ Destino solo aplica a transferencias",IF(AND(K2334&lt;&gt;"",K2334=Q2334),"⚠ Origen igual a destino",IF(AND(K2334&lt;&gt;"",ISNA(MATCH(K2334,ctaNombre,0))),"⚠ Destino no registrado",IF(AND(P2334="Pago tarjeta",AE2334&lt;&gt;"Tarjeta de crédito"),"⚠ El destino debe ser tarjeta de crédito",IF(AND(P2334="Gasto",E2334="Depósitos y retiros"),"⚠ Usa tipo Transferencia",IF(AND(P2334="Resultado trading",AD2334&lt;&gt;"Cuenta de trading"),"⚠ Usa una cuenta de trading",IF(AND(G2334&lt;=0,P2334&lt;&gt;"Ajuste",P2334&lt;&gt;"Resultado trading"),"⚠ El monto debe ser positivo","✓")))))))))))))))</f>
        <v/>
      </c>
      <c r="P2334" s="52">
        <f>IF(OR(B2334="",G2334=""),"",IF(C2334="","Gasto",C2334))</f>
        <v/>
      </c>
      <c r="Q2334" s="52">
        <f>IF(P2334="","",IF(J2334&lt;&gt;"",J2334,CuentaPred&amp;""))</f>
        <v/>
      </c>
      <c r="R2334" s="52">
        <f>IF(P2334="","",IF(ISNUMBER(I2334),I2334,TasaUSD))</f>
        <v/>
      </c>
      <c r="S2334" s="53">
        <f>IF(P2334="","",IF(H2334="USD",G2334*R2334,G2334))</f>
        <v/>
      </c>
      <c r="T2334" s="53">
        <f>IF(P2334="","",IF(H2334="USD",G2334,IF(R2334&gt;0,G2334/R2334,0)))</f>
        <v/>
      </c>
      <c r="U2334" s="53">
        <f>IF(P2334="","",IF(P2334="Gasto",S2334,IF(P2334="Reembolso",-S2334,0)))</f>
        <v/>
      </c>
      <c r="V2334" s="53">
        <f>IF(P2334="","",IF(P2334="Ingreso",S2334,0))</f>
        <v/>
      </c>
      <c r="W2334" s="53">
        <f>IF(P2334="","",IF(P2334="Resultado trading",S2334,0))</f>
        <v/>
      </c>
      <c r="X2334" s="52">
        <f>IF(OR(P2334="Gasto",P2334="Reembolso"),IF(M2334&lt;&gt;"",M2334,IFERROR(INDEX(catClasif,MATCH(D2334&amp;"|"&amp;E2334,catClave,0))&amp;"","Variable")),"")</f>
        <v/>
      </c>
      <c r="Y2334" s="52">
        <f>IF(P2334="","",IFERROR(INDEX(catGrupo,MATCH(D2334&amp;"|"&amp;E2334,catClave,0))&amp;"",""))</f>
        <v/>
      </c>
      <c r="Z2334" s="52">
        <f>IF(P2334="","",WEEKDAY(B2334,2))</f>
        <v/>
      </c>
      <c r="AA2334" s="52">
        <f>IF(P2334="","",IF(AND(P2334="Gasto",X2334="Variable",D2334&lt;&gt;catTrading,S2334&gt;0,S2334&lt;=Umbral),1,0))</f>
        <v/>
      </c>
      <c r="AB2334" s="52">
        <f>IF(OR(P2334="",Q2334=""),"",IFERROR(IF(INDEX(ctaVinc,MATCH(Q2334,ctaNombre,0))&amp;""&lt;&gt;"",INDEX(ctaVinc,MATCH(Q2334,ctaNombre,0))&amp;"",Q2334),Q2334))</f>
        <v/>
      </c>
      <c r="AC2334" s="52">
        <f>IF(OR(K2334="",AND(P2334&lt;&gt;"Transferencia",P2334&lt;&gt;"Pago tarjeta")),"",IFERROR(IF(INDEX(ctaVinc,MATCH(K2334,ctaNombre,0))&amp;""&lt;&gt;"",INDEX(ctaVinc,MATCH(K2334,ctaNombre,0))&amp;"",K2334),K2334))</f>
        <v/>
      </c>
      <c r="AD2334" s="52">
        <f>IF(AB2334="","",IFERROR(INDEX(ctaTipo,MATCH(AB2334,ctaNombre,0))&amp;"",""))</f>
        <v/>
      </c>
      <c r="AE2334" s="52">
        <f>IF(AC2334="","",IFERROR(INDEX(ctaTipo,MATCH(AC2334,ctaNombre,0))&amp;"",""))</f>
        <v/>
      </c>
      <c r="AF2334" s="53">
        <f>IF(OR(P2334="",AB2334=""),"",IF(OR(P2334="Gasto",P2334="Transferencia",P2334="Pago tarjeta"),-1,1)*IF(IFERROR(INDEX(ctaMoneda,MATCH(AB2334,ctaNombre,0))&amp;"","DOP")="USD",T2334,S2334))</f>
        <v/>
      </c>
      <c r="AG2334" s="53">
        <f>IF(AC2334="","",IF(IFERROR(INDEX(ctaMoneda,MATCH(AC2334,ctaNombre,0))&amp;"","DOP")="USD",T2334,S2334))</f>
        <v/>
      </c>
      <c r="AH2334" s="53">
        <f>IF(P2334="","",IF(AND(AD2334&lt;&gt;"",COUNTIFS(tcTipo,AD2334,tcLiq,"Sí")&gt;0),IF(OR(P2334="Gasto",P2334="Transferencia",P2334="Pago tarjeta"),-1,1)*S2334,0)+IF(AND(AE2334&lt;&gt;"",COUNTIFS(tcTipo,AE2334,tcLiq,"Sí")&gt;0),S2334,0))</f>
        <v/>
      </c>
      <c r="AI2334" s="52">
        <f>IF(OR(L2334="",P2334=""),"",IF(COUNTIFS(L$6:L2334,L2334,P$6:P2334,"?*")=1,MAX(AI$5:AI2333)+1,""))</f>
        <v/>
      </c>
    </row>
    <row r="2335">
      <c r="B2335" s="47" t="n"/>
      <c r="C2335" s="48" t="n"/>
      <c r="D2335" s="48" t="n"/>
      <c r="E2335" s="48" t="n"/>
      <c r="F2335" s="48" t="n"/>
      <c r="G2335" s="49" t="n"/>
      <c r="H2335" s="48" t="n"/>
      <c r="I2335" s="50" t="n"/>
      <c r="J2335" s="48" t="n"/>
      <c r="K2335" s="48" t="n"/>
      <c r="L2335" s="48" t="n"/>
      <c r="M2335" s="48" t="n"/>
      <c r="N2335" s="48" t="n"/>
      <c r="O2335" s="51">
        <f>IF(AND(B2335="",G2335="",C2335="",D2335="",J2335=""),"",IF(B2335="","⚠ Falta fecha",IF(G2335="","⚠ Falta monto",IF(Q2335="","⚠ Falta cuenta",IF(ISNA(MATCH(Q2335,ctaNombre,0)),"⚠ Cuenta no registrada",IF(AND(OR(P2335="Gasto",P2335="Reembolso"),D2335=""),"⚠ Falta categoría",IF(AND(D2335&lt;&gt;"",E2335&lt;&gt;"",ISNA(MATCH(D2335&amp;"|"&amp;E2335,catClave,0))),"⚠ Subcategoría no corresponde",IF(AND(OR(P2335="Transferencia",P2335="Pago tarjeta"),K2335=""),"⚠ Falta cuenta destino",IF(AND(K2335&lt;&gt;"",P2335&lt;&gt;"Transferencia",P2335&lt;&gt;"Pago tarjeta"),"⚠ Destino solo aplica a transferencias",IF(AND(K2335&lt;&gt;"",K2335=Q2335),"⚠ Origen igual a destino",IF(AND(K2335&lt;&gt;"",ISNA(MATCH(K2335,ctaNombre,0))),"⚠ Destino no registrado",IF(AND(P2335="Pago tarjeta",AE2335&lt;&gt;"Tarjeta de crédito"),"⚠ El destino debe ser tarjeta de crédito",IF(AND(P2335="Gasto",E2335="Depósitos y retiros"),"⚠ Usa tipo Transferencia",IF(AND(P2335="Resultado trading",AD2335&lt;&gt;"Cuenta de trading"),"⚠ Usa una cuenta de trading",IF(AND(G2335&lt;=0,P2335&lt;&gt;"Ajuste",P2335&lt;&gt;"Resultado trading"),"⚠ El monto debe ser positivo","✓")))))))))))))))</f>
        <v/>
      </c>
      <c r="P2335" s="52">
        <f>IF(OR(B2335="",G2335=""),"",IF(C2335="","Gasto",C2335))</f>
        <v/>
      </c>
      <c r="Q2335" s="52">
        <f>IF(P2335="","",IF(J2335&lt;&gt;"",J2335,CuentaPred&amp;""))</f>
        <v/>
      </c>
      <c r="R2335" s="52">
        <f>IF(P2335="","",IF(ISNUMBER(I2335),I2335,TasaUSD))</f>
        <v/>
      </c>
      <c r="S2335" s="53">
        <f>IF(P2335="","",IF(H2335="USD",G2335*R2335,G2335))</f>
        <v/>
      </c>
      <c r="T2335" s="53">
        <f>IF(P2335="","",IF(H2335="USD",G2335,IF(R2335&gt;0,G2335/R2335,0)))</f>
        <v/>
      </c>
      <c r="U2335" s="53">
        <f>IF(P2335="","",IF(P2335="Gasto",S2335,IF(P2335="Reembolso",-S2335,0)))</f>
        <v/>
      </c>
      <c r="V2335" s="53">
        <f>IF(P2335="","",IF(P2335="Ingreso",S2335,0))</f>
        <v/>
      </c>
      <c r="W2335" s="53">
        <f>IF(P2335="","",IF(P2335="Resultado trading",S2335,0))</f>
        <v/>
      </c>
      <c r="X2335" s="52">
        <f>IF(OR(P2335="Gasto",P2335="Reembolso"),IF(M2335&lt;&gt;"",M2335,IFERROR(INDEX(catClasif,MATCH(D2335&amp;"|"&amp;E2335,catClave,0))&amp;"","Variable")),"")</f>
        <v/>
      </c>
      <c r="Y2335" s="52">
        <f>IF(P2335="","",IFERROR(INDEX(catGrupo,MATCH(D2335&amp;"|"&amp;E2335,catClave,0))&amp;"",""))</f>
        <v/>
      </c>
      <c r="Z2335" s="52">
        <f>IF(P2335="","",WEEKDAY(B2335,2))</f>
        <v/>
      </c>
      <c r="AA2335" s="52">
        <f>IF(P2335="","",IF(AND(P2335="Gasto",X2335="Variable",D2335&lt;&gt;catTrading,S2335&gt;0,S2335&lt;=Umbral),1,0))</f>
        <v/>
      </c>
      <c r="AB2335" s="52">
        <f>IF(OR(P2335="",Q2335=""),"",IFERROR(IF(INDEX(ctaVinc,MATCH(Q2335,ctaNombre,0))&amp;""&lt;&gt;"",INDEX(ctaVinc,MATCH(Q2335,ctaNombre,0))&amp;"",Q2335),Q2335))</f>
        <v/>
      </c>
      <c r="AC2335" s="52">
        <f>IF(OR(K2335="",AND(P2335&lt;&gt;"Transferencia",P2335&lt;&gt;"Pago tarjeta")),"",IFERROR(IF(INDEX(ctaVinc,MATCH(K2335,ctaNombre,0))&amp;""&lt;&gt;"",INDEX(ctaVinc,MATCH(K2335,ctaNombre,0))&amp;"",K2335),K2335))</f>
        <v/>
      </c>
      <c r="AD2335" s="52">
        <f>IF(AB2335="","",IFERROR(INDEX(ctaTipo,MATCH(AB2335,ctaNombre,0))&amp;"",""))</f>
        <v/>
      </c>
      <c r="AE2335" s="52">
        <f>IF(AC2335="","",IFERROR(INDEX(ctaTipo,MATCH(AC2335,ctaNombre,0))&amp;"",""))</f>
        <v/>
      </c>
      <c r="AF2335" s="53">
        <f>IF(OR(P2335="",AB2335=""),"",IF(OR(P2335="Gasto",P2335="Transferencia",P2335="Pago tarjeta"),-1,1)*IF(IFERROR(INDEX(ctaMoneda,MATCH(AB2335,ctaNombre,0))&amp;"","DOP")="USD",T2335,S2335))</f>
        <v/>
      </c>
      <c r="AG2335" s="53">
        <f>IF(AC2335="","",IF(IFERROR(INDEX(ctaMoneda,MATCH(AC2335,ctaNombre,0))&amp;"","DOP")="USD",T2335,S2335))</f>
        <v/>
      </c>
      <c r="AH2335" s="53">
        <f>IF(P2335="","",IF(AND(AD2335&lt;&gt;"",COUNTIFS(tcTipo,AD2335,tcLiq,"Sí")&gt;0),IF(OR(P2335="Gasto",P2335="Transferencia",P2335="Pago tarjeta"),-1,1)*S2335,0)+IF(AND(AE2335&lt;&gt;"",COUNTIFS(tcTipo,AE2335,tcLiq,"Sí")&gt;0),S2335,0))</f>
        <v/>
      </c>
      <c r="AI2335" s="52">
        <f>IF(OR(L2335="",P2335=""),"",IF(COUNTIFS(L$6:L2335,L2335,P$6:P2335,"?*")=1,MAX(AI$5:AI2334)+1,""))</f>
        <v/>
      </c>
    </row>
    <row r="2336">
      <c r="B2336" s="47" t="n"/>
      <c r="C2336" s="48" t="n"/>
      <c r="D2336" s="48" t="n"/>
      <c r="E2336" s="48" t="n"/>
      <c r="F2336" s="48" t="n"/>
      <c r="G2336" s="49" t="n"/>
      <c r="H2336" s="48" t="n"/>
      <c r="I2336" s="50" t="n"/>
      <c r="J2336" s="48" t="n"/>
      <c r="K2336" s="48" t="n"/>
      <c r="L2336" s="48" t="n"/>
      <c r="M2336" s="48" t="n"/>
      <c r="N2336" s="48" t="n"/>
      <c r="O2336" s="51">
        <f>IF(AND(B2336="",G2336="",C2336="",D2336="",J2336=""),"",IF(B2336="","⚠ Falta fecha",IF(G2336="","⚠ Falta monto",IF(Q2336="","⚠ Falta cuenta",IF(ISNA(MATCH(Q2336,ctaNombre,0)),"⚠ Cuenta no registrada",IF(AND(OR(P2336="Gasto",P2336="Reembolso"),D2336=""),"⚠ Falta categoría",IF(AND(D2336&lt;&gt;"",E2336&lt;&gt;"",ISNA(MATCH(D2336&amp;"|"&amp;E2336,catClave,0))),"⚠ Subcategoría no corresponde",IF(AND(OR(P2336="Transferencia",P2336="Pago tarjeta"),K2336=""),"⚠ Falta cuenta destino",IF(AND(K2336&lt;&gt;"",P2336&lt;&gt;"Transferencia",P2336&lt;&gt;"Pago tarjeta"),"⚠ Destino solo aplica a transferencias",IF(AND(K2336&lt;&gt;"",K2336=Q2336),"⚠ Origen igual a destino",IF(AND(K2336&lt;&gt;"",ISNA(MATCH(K2336,ctaNombre,0))),"⚠ Destino no registrado",IF(AND(P2336="Pago tarjeta",AE2336&lt;&gt;"Tarjeta de crédito"),"⚠ El destino debe ser tarjeta de crédito",IF(AND(P2336="Gasto",E2336="Depósitos y retiros"),"⚠ Usa tipo Transferencia",IF(AND(P2336="Resultado trading",AD2336&lt;&gt;"Cuenta de trading"),"⚠ Usa una cuenta de trading",IF(AND(G2336&lt;=0,P2336&lt;&gt;"Ajuste",P2336&lt;&gt;"Resultado trading"),"⚠ El monto debe ser positivo","✓")))))))))))))))</f>
        <v/>
      </c>
      <c r="P2336" s="52">
        <f>IF(OR(B2336="",G2336=""),"",IF(C2336="","Gasto",C2336))</f>
        <v/>
      </c>
      <c r="Q2336" s="52">
        <f>IF(P2336="","",IF(J2336&lt;&gt;"",J2336,CuentaPred&amp;""))</f>
        <v/>
      </c>
      <c r="R2336" s="52">
        <f>IF(P2336="","",IF(ISNUMBER(I2336),I2336,TasaUSD))</f>
        <v/>
      </c>
      <c r="S2336" s="53">
        <f>IF(P2336="","",IF(H2336="USD",G2336*R2336,G2336))</f>
        <v/>
      </c>
      <c r="T2336" s="53">
        <f>IF(P2336="","",IF(H2336="USD",G2336,IF(R2336&gt;0,G2336/R2336,0)))</f>
        <v/>
      </c>
      <c r="U2336" s="53">
        <f>IF(P2336="","",IF(P2336="Gasto",S2336,IF(P2336="Reembolso",-S2336,0)))</f>
        <v/>
      </c>
      <c r="V2336" s="53">
        <f>IF(P2336="","",IF(P2336="Ingreso",S2336,0))</f>
        <v/>
      </c>
      <c r="W2336" s="53">
        <f>IF(P2336="","",IF(P2336="Resultado trading",S2336,0))</f>
        <v/>
      </c>
      <c r="X2336" s="52">
        <f>IF(OR(P2336="Gasto",P2336="Reembolso"),IF(M2336&lt;&gt;"",M2336,IFERROR(INDEX(catClasif,MATCH(D2336&amp;"|"&amp;E2336,catClave,0))&amp;"","Variable")),"")</f>
        <v/>
      </c>
      <c r="Y2336" s="52">
        <f>IF(P2336="","",IFERROR(INDEX(catGrupo,MATCH(D2336&amp;"|"&amp;E2336,catClave,0))&amp;"",""))</f>
        <v/>
      </c>
      <c r="Z2336" s="52">
        <f>IF(P2336="","",WEEKDAY(B2336,2))</f>
        <v/>
      </c>
      <c r="AA2336" s="52">
        <f>IF(P2336="","",IF(AND(P2336="Gasto",X2336="Variable",D2336&lt;&gt;catTrading,S2336&gt;0,S2336&lt;=Umbral),1,0))</f>
        <v/>
      </c>
      <c r="AB2336" s="52">
        <f>IF(OR(P2336="",Q2336=""),"",IFERROR(IF(INDEX(ctaVinc,MATCH(Q2336,ctaNombre,0))&amp;""&lt;&gt;"",INDEX(ctaVinc,MATCH(Q2336,ctaNombre,0))&amp;"",Q2336),Q2336))</f>
        <v/>
      </c>
      <c r="AC2336" s="52">
        <f>IF(OR(K2336="",AND(P2336&lt;&gt;"Transferencia",P2336&lt;&gt;"Pago tarjeta")),"",IFERROR(IF(INDEX(ctaVinc,MATCH(K2336,ctaNombre,0))&amp;""&lt;&gt;"",INDEX(ctaVinc,MATCH(K2336,ctaNombre,0))&amp;"",K2336),K2336))</f>
        <v/>
      </c>
      <c r="AD2336" s="52">
        <f>IF(AB2336="","",IFERROR(INDEX(ctaTipo,MATCH(AB2336,ctaNombre,0))&amp;"",""))</f>
        <v/>
      </c>
      <c r="AE2336" s="52">
        <f>IF(AC2336="","",IFERROR(INDEX(ctaTipo,MATCH(AC2336,ctaNombre,0))&amp;"",""))</f>
        <v/>
      </c>
      <c r="AF2336" s="53">
        <f>IF(OR(P2336="",AB2336=""),"",IF(OR(P2336="Gasto",P2336="Transferencia",P2336="Pago tarjeta"),-1,1)*IF(IFERROR(INDEX(ctaMoneda,MATCH(AB2336,ctaNombre,0))&amp;"","DOP")="USD",T2336,S2336))</f>
        <v/>
      </c>
      <c r="AG2336" s="53">
        <f>IF(AC2336="","",IF(IFERROR(INDEX(ctaMoneda,MATCH(AC2336,ctaNombre,0))&amp;"","DOP")="USD",T2336,S2336))</f>
        <v/>
      </c>
      <c r="AH2336" s="53">
        <f>IF(P2336="","",IF(AND(AD2336&lt;&gt;"",COUNTIFS(tcTipo,AD2336,tcLiq,"Sí")&gt;0),IF(OR(P2336="Gasto",P2336="Transferencia",P2336="Pago tarjeta"),-1,1)*S2336,0)+IF(AND(AE2336&lt;&gt;"",COUNTIFS(tcTipo,AE2336,tcLiq,"Sí")&gt;0),S2336,0))</f>
        <v/>
      </c>
      <c r="AI2336" s="52">
        <f>IF(OR(L2336="",P2336=""),"",IF(COUNTIFS(L$6:L2336,L2336,P$6:P2336,"?*")=1,MAX(AI$5:AI2335)+1,""))</f>
        <v/>
      </c>
    </row>
    <row r="2337">
      <c r="B2337" s="47" t="n"/>
      <c r="C2337" s="48" t="n"/>
      <c r="D2337" s="48" t="n"/>
      <c r="E2337" s="48" t="n"/>
      <c r="F2337" s="48" t="n"/>
      <c r="G2337" s="49" t="n"/>
      <c r="H2337" s="48" t="n"/>
      <c r="I2337" s="50" t="n"/>
      <c r="J2337" s="48" t="n"/>
      <c r="K2337" s="48" t="n"/>
      <c r="L2337" s="48" t="n"/>
      <c r="M2337" s="48" t="n"/>
      <c r="N2337" s="48" t="n"/>
      <c r="O2337" s="51">
        <f>IF(AND(B2337="",G2337="",C2337="",D2337="",J2337=""),"",IF(B2337="","⚠ Falta fecha",IF(G2337="","⚠ Falta monto",IF(Q2337="","⚠ Falta cuenta",IF(ISNA(MATCH(Q2337,ctaNombre,0)),"⚠ Cuenta no registrada",IF(AND(OR(P2337="Gasto",P2337="Reembolso"),D2337=""),"⚠ Falta categoría",IF(AND(D2337&lt;&gt;"",E2337&lt;&gt;"",ISNA(MATCH(D2337&amp;"|"&amp;E2337,catClave,0))),"⚠ Subcategoría no corresponde",IF(AND(OR(P2337="Transferencia",P2337="Pago tarjeta"),K2337=""),"⚠ Falta cuenta destino",IF(AND(K2337&lt;&gt;"",P2337&lt;&gt;"Transferencia",P2337&lt;&gt;"Pago tarjeta"),"⚠ Destino solo aplica a transferencias",IF(AND(K2337&lt;&gt;"",K2337=Q2337),"⚠ Origen igual a destino",IF(AND(K2337&lt;&gt;"",ISNA(MATCH(K2337,ctaNombre,0))),"⚠ Destino no registrado",IF(AND(P2337="Pago tarjeta",AE2337&lt;&gt;"Tarjeta de crédito"),"⚠ El destino debe ser tarjeta de crédito",IF(AND(P2337="Gasto",E2337="Depósitos y retiros"),"⚠ Usa tipo Transferencia",IF(AND(P2337="Resultado trading",AD2337&lt;&gt;"Cuenta de trading"),"⚠ Usa una cuenta de trading",IF(AND(G2337&lt;=0,P2337&lt;&gt;"Ajuste",P2337&lt;&gt;"Resultado trading"),"⚠ El monto debe ser positivo","✓")))))))))))))))</f>
        <v/>
      </c>
      <c r="P2337" s="52">
        <f>IF(OR(B2337="",G2337=""),"",IF(C2337="","Gasto",C2337))</f>
        <v/>
      </c>
      <c r="Q2337" s="52">
        <f>IF(P2337="","",IF(J2337&lt;&gt;"",J2337,CuentaPred&amp;""))</f>
        <v/>
      </c>
      <c r="R2337" s="52">
        <f>IF(P2337="","",IF(ISNUMBER(I2337),I2337,TasaUSD))</f>
        <v/>
      </c>
      <c r="S2337" s="53">
        <f>IF(P2337="","",IF(H2337="USD",G2337*R2337,G2337))</f>
        <v/>
      </c>
      <c r="T2337" s="53">
        <f>IF(P2337="","",IF(H2337="USD",G2337,IF(R2337&gt;0,G2337/R2337,0)))</f>
        <v/>
      </c>
      <c r="U2337" s="53">
        <f>IF(P2337="","",IF(P2337="Gasto",S2337,IF(P2337="Reembolso",-S2337,0)))</f>
        <v/>
      </c>
      <c r="V2337" s="53">
        <f>IF(P2337="","",IF(P2337="Ingreso",S2337,0))</f>
        <v/>
      </c>
      <c r="W2337" s="53">
        <f>IF(P2337="","",IF(P2337="Resultado trading",S2337,0))</f>
        <v/>
      </c>
      <c r="X2337" s="52">
        <f>IF(OR(P2337="Gasto",P2337="Reembolso"),IF(M2337&lt;&gt;"",M2337,IFERROR(INDEX(catClasif,MATCH(D2337&amp;"|"&amp;E2337,catClave,0))&amp;"","Variable")),"")</f>
        <v/>
      </c>
      <c r="Y2337" s="52">
        <f>IF(P2337="","",IFERROR(INDEX(catGrupo,MATCH(D2337&amp;"|"&amp;E2337,catClave,0))&amp;"",""))</f>
        <v/>
      </c>
      <c r="Z2337" s="52">
        <f>IF(P2337="","",WEEKDAY(B2337,2))</f>
        <v/>
      </c>
      <c r="AA2337" s="52">
        <f>IF(P2337="","",IF(AND(P2337="Gasto",X2337="Variable",D2337&lt;&gt;catTrading,S2337&gt;0,S2337&lt;=Umbral),1,0))</f>
        <v/>
      </c>
      <c r="AB2337" s="52">
        <f>IF(OR(P2337="",Q2337=""),"",IFERROR(IF(INDEX(ctaVinc,MATCH(Q2337,ctaNombre,0))&amp;""&lt;&gt;"",INDEX(ctaVinc,MATCH(Q2337,ctaNombre,0))&amp;"",Q2337),Q2337))</f>
        <v/>
      </c>
      <c r="AC2337" s="52">
        <f>IF(OR(K2337="",AND(P2337&lt;&gt;"Transferencia",P2337&lt;&gt;"Pago tarjeta")),"",IFERROR(IF(INDEX(ctaVinc,MATCH(K2337,ctaNombre,0))&amp;""&lt;&gt;"",INDEX(ctaVinc,MATCH(K2337,ctaNombre,0))&amp;"",K2337),K2337))</f>
        <v/>
      </c>
      <c r="AD2337" s="52">
        <f>IF(AB2337="","",IFERROR(INDEX(ctaTipo,MATCH(AB2337,ctaNombre,0))&amp;"",""))</f>
        <v/>
      </c>
      <c r="AE2337" s="52">
        <f>IF(AC2337="","",IFERROR(INDEX(ctaTipo,MATCH(AC2337,ctaNombre,0))&amp;"",""))</f>
        <v/>
      </c>
      <c r="AF2337" s="53">
        <f>IF(OR(P2337="",AB2337=""),"",IF(OR(P2337="Gasto",P2337="Transferencia",P2337="Pago tarjeta"),-1,1)*IF(IFERROR(INDEX(ctaMoneda,MATCH(AB2337,ctaNombre,0))&amp;"","DOP")="USD",T2337,S2337))</f>
        <v/>
      </c>
      <c r="AG2337" s="53">
        <f>IF(AC2337="","",IF(IFERROR(INDEX(ctaMoneda,MATCH(AC2337,ctaNombre,0))&amp;"","DOP")="USD",T2337,S2337))</f>
        <v/>
      </c>
      <c r="AH2337" s="53">
        <f>IF(P2337="","",IF(AND(AD2337&lt;&gt;"",COUNTIFS(tcTipo,AD2337,tcLiq,"Sí")&gt;0),IF(OR(P2337="Gasto",P2337="Transferencia",P2337="Pago tarjeta"),-1,1)*S2337,0)+IF(AND(AE2337&lt;&gt;"",COUNTIFS(tcTipo,AE2337,tcLiq,"Sí")&gt;0),S2337,0))</f>
        <v/>
      </c>
      <c r="AI2337" s="52">
        <f>IF(OR(L2337="",P2337=""),"",IF(COUNTIFS(L$6:L2337,L2337,P$6:P2337,"?*")=1,MAX(AI$5:AI2336)+1,""))</f>
        <v/>
      </c>
    </row>
    <row r="2338">
      <c r="B2338" s="47" t="n"/>
      <c r="C2338" s="48" t="n"/>
      <c r="D2338" s="48" t="n"/>
      <c r="E2338" s="48" t="n"/>
      <c r="F2338" s="48" t="n"/>
      <c r="G2338" s="49" t="n"/>
      <c r="H2338" s="48" t="n"/>
      <c r="I2338" s="50" t="n"/>
      <c r="J2338" s="48" t="n"/>
      <c r="K2338" s="48" t="n"/>
      <c r="L2338" s="48" t="n"/>
      <c r="M2338" s="48" t="n"/>
      <c r="N2338" s="48" t="n"/>
      <c r="O2338" s="51">
        <f>IF(AND(B2338="",G2338="",C2338="",D2338="",J2338=""),"",IF(B2338="","⚠ Falta fecha",IF(G2338="","⚠ Falta monto",IF(Q2338="","⚠ Falta cuenta",IF(ISNA(MATCH(Q2338,ctaNombre,0)),"⚠ Cuenta no registrada",IF(AND(OR(P2338="Gasto",P2338="Reembolso"),D2338=""),"⚠ Falta categoría",IF(AND(D2338&lt;&gt;"",E2338&lt;&gt;"",ISNA(MATCH(D2338&amp;"|"&amp;E2338,catClave,0))),"⚠ Subcategoría no corresponde",IF(AND(OR(P2338="Transferencia",P2338="Pago tarjeta"),K2338=""),"⚠ Falta cuenta destino",IF(AND(K2338&lt;&gt;"",P2338&lt;&gt;"Transferencia",P2338&lt;&gt;"Pago tarjeta"),"⚠ Destino solo aplica a transferencias",IF(AND(K2338&lt;&gt;"",K2338=Q2338),"⚠ Origen igual a destino",IF(AND(K2338&lt;&gt;"",ISNA(MATCH(K2338,ctaNombre,0))),"⚠ Destino no registrado",IF(AND(P2338="Pago tarjeta",AE2338&lt;&gt;"Tarjeta de crédito"),"⚠ El destino debe ser tarjeta de crédito",IF(AND(P2338="Gasto",E2338="Depósitos y retiros"),"⚠ Usa tipo Transferencia",IF(AND(P2338="Resultado trading",AD2338&lt;&gt;"Cuenta de trading"),"⚠ Usa una cuenta de trading",IF(AND(G2338&lt;=0,P2338&lt;&gt;"Ajuste",P2338&lt;&gt;"Resultado trading"),"⚠ El monto debe ser positivo","✓")))))))))))))))</f>
        <v/>
      </c>
      <c r="P2338" s="52">
        <f>IF(OR(B2338="",G2338=""),"",IF(C2338="","Gasto",C2338))</f>
        <v/>
      </c>
      <c r="Q2338" s="52">
        <f>IF(P2338="","",IF(J2338&lt;&gt;"",J2338,CuentaPred&amp;""))</f>
        <v/>
      </c>
      <c r="R2338" s="52">
        <f>IF(P2338="","",IF(ISNUMBER(I2338),I2338,TasaUSD))</f>
        <v/>
      </c>
      <c r="S2338" s="53">
        <f>IF(P2338="","",IF(H2338="USD",G2338*R2338,G2338))</f>
        <v/>
      </c>
      <c r="T2338" s="53">
        <f>IF(P2338="","",IF(H2338="USD",G2338,IF(R2338&gt;0,G2338/R2338,0)))</f>
        <v/>
      </c>
      <c r="U2338" s="53">
        <f>IF(P2338="","",IF(P2338="Gasto",S2338,IF(P2338="Reembolso",-S2338,0)))</f>
        <v/>
      </c>
      <c r="V2338" s="53">
        <f>IF(P2338="","",IF(P2338="Ingreso",S2338,0))</f>
        <v/>
      </c>
      <c r="W2338" s="53">
        <f>IF(P2338="","",IF(P2338="Resultado trading",S2338,0))</f>
        <v/>
      </c>
      <c r="X2338" s="52">
        <f>IF(OR(P2338="Gasto",P2338="Reembolso"),IF(M2338&lt;&gt;"",M2338,IFERROR(INDEX(catClasif,MATCH(D2338&amp;"|"&amp;E2338,catClave,0))&amp;"","Variable")),"")</f>
        <v/>
      </c>
      <c r="Y2338" s="52">
        <f>IF(P2338="","",IFERROR(INDEX(catGrupo,MATCH(D2338&amp;"|"&amp;E2338,catClave,0))&amp;"",""))</f>
        <v/>
      </c>
      <c r="Z2338" s="52">
        <f>IF(P2338="","",WEEKDAY(B2338,2))</f>
        <v/>
      </c>
      <c r="AA2338" s="52">
        <f>IF(P2338="","",IF(AND(P2338="Gasto",X2338="Variable",D2338&lt;&gt;catTrading,S2338&gt;0,S2338&lt;=Umbral),1,0))</f>
        <v/>
      </c>
      <c r="AB2338" s="52">
        <f>IF(OR(P2338="",Q2338=""),"",IFERROR(IF(INDEX(ctaVinc,MATCH(Q2338,ctaNombre,0))&amp;""&lt;&gt;"",INDEX(ctaVinc,MATCH(Q2338,ctaNombre,0))&amp;"",Q2338),Q2338))</f>
        <v/>
      </c>
      <c r="AC2338" s="52">
        <f>IF(OR(K2338="",AND(P2338&lt;&gt;"Transferencia",P2338&lt;&gt;"Pago tarjeta")),"",IFERROR(IF(INDEX(ctaVinc,MATCH(K2338,ctaNombre,0))&amp;""&lt;&gt;"",INDEX(ctaVinc,MATCH(K2338,ctaNombre,0))&amp;"",K2338),K2338))</f>
        <v/>
      </c>
      <c r="AD2338" s="52">
        <f>IF(AB2338="","",IFERROR(INDEX(ctaTipo,MATCH(AB2338,ctaNombre,0))&amp;"",""))</f>
        <v/>
      </c>
      <c r="AE2338" s="52">
        <f>IF(AC2338="","",IFERROR(INDEX(ctaTipo,MATCH(AC2338,ctaNombre,0))&amp;"",""))</f>
        <v/>
      </c>
      <c r="AF2338" s="53">
        <f>IF(OR(P2338="",AB2338=""),"",IF(OR(P2338="Gasto",P2338="Transferencia",P2338="Pago tarjeta"),-1,1)*IF(IFERROR(INDEX(ctaMoneda,MATCH(AB2338,ctaNombre,0))&amp;"","DOP")="USD",T2338,S2338))</f>
        <v/>
      </c>
      <c r="AG2338" s="53">
        <f>IF(AC2338="","",IF(IFERROR(INDEX(ctaMoneda,MATCH(AC2338,ctaNombre,0))&amp;"","DOP")="USD",T2338,S2338))</f>
        <v/>
      </c>
      <c r="AH2338" s="53">
        <f>IF(P2338="","",IF(AND(AD2338&lt;&gt;"",COUNTIFS(tcTipo,AD2338,tcLiq,"Sí")&gt;0),IF(OR(P2338="Gasto",P2338="Transferencia",P2338="Pago tarjeta"),-1,1)*S2338,0)+IF(AND(AE2338&lt;&gt;"",COUNTIFS(tcTipo,AE2338,tcLiq,"Sí")&gt;0),S2338,0))</f>
        <v/>
      </c>
      <c r="AI2338" s="52">
        <f>IF(OR(L2338="",P2338=""),"",IF(COUNTIFS(L$6:L2338,L2338,P$6:P2338,"?*")=1,MAX(AI$5:AI2337)+1,""))</f>
        <v/>
      </c>
    </row>
    <row r="2339">
      <c r="B2339" s="47" t="n"/>
      <c r="C2339" s="48" t="n"/>
      <c r="D2339" s="48" t="n"/>
      <c r="E2339" s="48" t="n"/>
      <c r="F2339" s="48" t="n"/>
      <c r="G2339" s="49" t="n"/>
      <c r="H2339" s="48" t="n"/>
      <c r="I2339" s="50" t="n"/>
      <c r="J2339" s="48" t="n"/>
      <c r="K2339" s="48" t="n"/>
      <c r="L2339" s="48" t="n"/>
      <c r="M2339" s="48" t="n"/>
      <c r="N2339" s="48" t="n"/>
      <c r="O2339" s="51">
        <f>IF(AND(B2339="",G2339="",C2339="",D2339="",J2339=""),"",IF(B2339="","⚠ Falta fecha",IF(G2339="","⚠ Falta monto",IF(Q2339="","⚠ Falta cuenta",IF(ISNA(MATCH(Q2339,ctaNombre,0)),"⚠ Cuenta no registrada",IF(AND(OR(P2339="Gasto",P2339="Reembolso"),D2339=""),"⚠ Falta categoría",IF(AND(D2339&lt;&gt;"",E2339&lt;&gt;"",ISNA(MATCH(D2339&amp;"|"&amp;E2339,catClave,0))),"⚠ Subcategoría no corresponde",IF(AND(OR(P2339="Transferencia",P2339="Pago tarjeta"),K2339=""),"⚠ Falta cuenta destino",IF(AND(K2339&lt;&gt;"",P2339&lt;&gt;"Transferencia",P2339&lt;&gt;"Pago tarjeta"),"⚠ Destino solo aplica a transferencias",IF(AND(K2339&lt;&gt;"",K2339=Q2339),"⚠ Origen igual a destino",IF(AND(K2339&lt;&gt;"",ISNA(MATCH(K2339,ctaNombre,0))),"⚠ Destino no registrado",IF(AND(P2339="Pago tarjeta",AE2339&lt;&gt;"Tarjeta de crédito"),"⚠ El destino debe ser tarjeta de crédito",IF(AND(P2339="Gasto",E2339="Depósitos y retiros"),"⚠ Usa tipo Transferencia",IF(AND(P2339="Resultado trading",AD2339&lt;&gt;"Cuenta de trading"),"⚠ Usa una cuenta de trading",IF(AND(G2339&lt;=0,P2339&lt;&gt;"Ajuste",P2339&lt;&gt;"Resultado trading"),"⚠ El monto debe ser positivo","✓")))))))))))))))</f>
        <v/>
      </c>
      <c r="P2339" s="52">
        <f>IF(OR(B2339="",G2339=""),"",IF(C2339="","Gasto",C2339))</f>
        <v/>
      </c>
      <c r="Q2339" s="52">
        <f>IF(P2339="","",IF(J2339&lt;&gt;"",J2339,CuentaPred&amp;""))</f>
        <v/>
      </c>
      <c r="R2339" s="52">
        <f>IF(P2339="","",IF(ISNUMBER(I2339),I2339,TasaUSD))</f>
        <v/>
      </c>
      <c r="S2339" s="53">
        <f>IF(P2339="","",IF(H2339="USD",G2339*R2339,G2339))</f>
        <v/>
      </c>
      <c r="T2339" s="53">
        <f>IF(P2339="","",IF(H2339="USD",G2339,IF(R2339&gt;0,G2339/R2339,0)))</f>
        <v/>
      </c>
      <c r="U2339" s="53">
        <f>IF(P2339="","",IF(P2339="Gasto",S2339,IF(P2339="Reembolso",-S2339,0)))</f>
        <v/>
      </c>
      <c r="V2339" s="53">
        <f>IF(P2339="","",IF(P2339="Ingreso",S2339,0))</f>
        <v/>
      </c>
      <c r="W2339" s="53">
        <f>IF(P2339="","",IF(P2339="Resultado trading",S2339,0))</f>
        <v/>
      </c>
      <c r="X2339" s="52">
        <f>IF(OR(P2339="Gasto",P2339="Reembolso"),IF(M2339&lt;&gt;"",M2339,IFERROR(INDEX(catClasif,MATCH(D2339&amp;"|"&amp;E2339,catClave,0))&amp;"","Variable")),"")</f>
        <v/>
      </c>
      <c r="Y2339" s="52">
        <f>IF(P2339="","",IFERROR(INDEX(catGrupo,MATCH(D2339&amp;"|"&amp;E2339,catClave,0))&amp;"",""))</f>
        <v/>
      </c>
      <c r="Z2339" s="52">
        <f>IF(P2339="","",WEEKDAY(B2339,2))</f>
        <v/>
      </c>
      <c r="AA2339" s="52">
        <f>IF(P2339="","",IF(AND(P2339="Gasto",X2339="Variable",D2339&lt;&gt;catTrading,S2339&gt;0,S2339&lt;=Umbral),1,0))</f>
        <v/>
      </c>
      <c r="AB2339" s="52">
        <f>IF(OR(P2339="",Q2339=""),"",IFERROR(IF(INDEX(ctaVinc,MATCH(Q2339,ctaNombre,0))&amp;""&lt;&gt;"",INDEX(ctaVinc,MATCH(Q2339,ctaNombre,0))&amp;"",Q2339),Q2339))</f>
        <v/>
      </c>
      <c r="AC2339" s="52">
        <f>IF(OR(K2339="",AND(P2339&lt;&gt;"Transferencia",P2339&lt;&gt;"Pago tarjeta")),"",IFERROR(IF(INDEX(ctaVinc,MATCH(K2339,ctaNombre,0))&amp;""&lt;&gt;"",INDEX(ctaVinc,MATCH(K2339,ctaNombre,0))&amp;"",K2339),K2339))</f>
        <v/>
      </c>
      <c r="AD2339" s="52">
        <f>IF(AB2339="","",IFERROR(INDEX(ctaTipo,MATCH(AB2339,ctaNombre,0))&amp;"",""))</f>
        <v/>
      </c>
      <c r="AE2339" s="52">
        <f>IF(AC2339="","",IFERROR(INDEX(ctaTipo,MATCH(AC2339,ctaNombre,0))&amp;"",""))</f>
        <v/>
      </c>
      <c r="AF2339" s="53">
        <f>IF(OR(P2339="",AB2339=""),"",IF(OR(P2339="Gasto",P2339="Transferencia",P2339="Pago tarjeta"),-1,1)*IF(IFERROR(INDEX(ctaMoneda,MATCH(AB2339,ctaNombre,0))&amp;"","DOP")="USD",T2339,S2339))</f>
        <v/>
      </c>
      <c r="AG2339" s="53">
        <f>IF(AC2339="","",IF(IFERROR(INDEX(ctaMoneda,MATCH(AC2339,ctaNombre,0))&amp;"","DOP")="USD",T2339,S2339))</f>
        <v/>
      </c>
      <c r="AH2339" s="53">
        <f>IF(P2339="","",IF(AND(AD2339&lt;&gt;"",COUNTIFS(tcTipo,AD2339,tcLiq,"Sí")&gt;0),IF(OR(P2339="Gasto",P2339="Transferencia",P2339="Pago tarjeta"),-1,1)*S2339,0)+IF(AND(AE2339&lt;&gt;"",COUNTIFS(tcTipo,AE2339,tcLiq,"Sí")&gt;0),S2339,0))</f>
        <v/>
      </c>
      <c r="AI2339" s="52">
        <f>IF(OR(L2339="",P2339=""),"",IF(COUNTIFS(L$6:L2339,L2339,P$6:P2339,"?*")=1,MAX(AI$5:AI2338)+1,""))</f>
        <v/>
      </c>
    </row>
    <row r="2340">
      <c r="B2340" s="47" t="n"/>
      <c r="C2340" s="48" t="n"/>
      <c r="D2340" s="48" t="n"/>
      <c r="E2340" s="48" t="n"/>
      <c r="F2340" s="48" t="n"/>
      <c r="G2340" s="49" t="n"/>
      <c r="H2340" s="48" t="n"/>
      <c r="I2340" s="50" t="n"/>
      <c r="J2340" s="48" t="n"/>
      <c r="K2340" s="48" t="n"/>
      <c r="L2340" s="48" t="n"/>
      <c r="M2340" s="48" t="n"/>
      <c r="N2340" s="48" t="n"/>
      <c r="O2340" s="51">
        <f>IF(AND(B2340="",G2340="",C2340="",D2340="",J2340=""),"",IF(B2340="","⚠ Falta fecha",IF(G2340="","⚠ Falta monto",IF(Q2340="","⚠ Falta cuenta",IF(ISNA(MATCH(Q2340,ctaNombre,0)),"⚠ Cuenta no registrada",IF(AND(OR(P2340="Gasto",P2340="Reembolso"),D2340=""),"⚠ Falta categoría",IF(AND(D2340&lt;&gt;"",E2340&lt;&gt;"",ISNA(MATCH(D2340&amp;"|"&amp;E2340,catClave,0))),"⚠ Subcategoría no corresponde",IF(AND(OR(P2340="Transferencia",P2340="Pago tarjeta"),K2340=""),"⚠ Falta cuenta destino",IF(AND(K2340&lt;&gt;"",P2340&lt;&gt;"Transferencia",P2340&lt;&gt;"Pago tarjeta"),"⚠ Destino solo aplica a transferencias",IF(AND(K2340&lt;&gt;"",K2340=Q2340),"⚠ Origen igual a destino",IF(AND(K2340&lt;&gt;"",ISNA(MATCH(K2340,ctaNombre,0))),"⚠ Destino no registrado",IF(AND(P2340="Pago tarjeta",AE2340&lt;&gt;"Tarjeta de crédito"),"⚠ El destino debe ser tarjeta de crédito",IF(AND(P2340="Gasto",E2340="Depósitos y retiros"),"⚠ Usa tipo Transferencia",IF(AND(P2340="Resultado trading",AD2340&lt;&gt;"Cuenta de trading"),"⚠ Usa una cuenta de trading",IF(AND(G2340&lt;=0,P2340&lt;&gt;"Ajuste",P2340&lt;&gt;"Resultado trading"),"⚠ El monto debe ser positivo","✓")))))))))))))))</f>
        <v/>
      </c>
      <c r="P2340" s="52">
        <f>IF(OR(B2340="",G2340=""),"",IF(C2340="","Gasto",C2340))</f>
        <v/>
      </c>
      <c r="Q2340" s="52">
        <f>IF(P2340="","",IF(J2340&lt;&gt;"",J2340,CuentaPred&amp;""))</f>
        <v/>
      </c>
      <c r="R2340" s="52">
        <f>IF(P2340="","",IF(ISNUMBER(I2340),I2340,TasaUSD))</f>
        <v/>
      </c>
      <c r="S2340" s="53">
        <f>IF(P2340="","",IF(H2340="USD",G2340*R2340,G2340))</f>
        <v/>
      </c>
      <c r="T2340" s="53">
        <f>IF(P2340="","",IF(H2340="USD",G2340,IF(R2340&gt;0,G2340/R2340,0)))</f>
        <v/>
      </c>
      <c r="U2340" s="53">
        <f>IF(P2340="","",IF(P2340="Gasto",S2340,IF(P2340="Reembolso",-S2340,0)))</f>
        <v/>
      </c>
      <c r="V2340" s="53">
        <f>IF(P2340="","",IF(P2340="Ingreso",S2340,0))</f>
        <v/>
      </c>
      <c r="W2340" s="53">
        <f>IF(P2340="","",IF(P2340="Resultado trading",S2340,0))</f>
        <v/>
      </c>
      <c r="X2340" s="52">
        <f>IF(OR(P2340="Gasto",P2340="Reembolso"),IF(M2340&lt;&gt;"",M2340,IFERROR(INDEX(catClasif,MATCH(D2340&amp;"|"&amp;E2340,catClave,0))&amp;"","Variable")),"")</f>
        <v/>
      </c>
      <c r="Y2340" s="52">
        <f>IF(P2340="","",IFERROR(INDEX(catGrupo,MATCH(D2340&amp;"|"&amp;E2340,catClave,0))&amp;"",""))</f>
        <v/>
      </c>
      <c r="Z2340" s="52">
        <f>IF(P2340="","",WEEKDAY(B2340,2))</f>
        <v/>
      </c>
      <c r="AA2340" s="52">
        <f>IF(P2340="","",IF(AND(P2340="Gasto",X2340="Variable",D2340&lt;&gt;catTrading,S2340&gt;0,S2340&lt;=Umbral),1,0))</f>
        <v/>
      </c>
      <c r="AB2340" s="52">
        <f>IF(OR(P2340="",Q2340=""),"",IFERROR(IF(INDEX(ctaVinc,MATCH(Q2340,ctaNombre,0))&amp;""&lt;&gt;"",INDEX(ctaVinc,MATCH(Q2340,ctaNombre,0))&amp;"",Q2340),Q2340))</f>
        <v/>
      </c>
      <c r="AC2340" s="52">
        <f>IF(OR(K2340="",AND(P2340&lt;&gt;"Transferencia",P2340&lt;&gt;"Pago tarjeta")),"",IFERROR(IF(INDEX(ctaVinc,MATCH(K2340,ctaNombre,0))&amp;""&lt;&gt;"",INDEX(ctaVinc,MATCH(K2340,ctaNombre,0))&amp;"",K2340),K2340))</f>
        <v/>
      </c>
      <c r="AD2340" s="52">
        <f>IF(AB2340="","",IFERROR(INDEX(ctaTipo,MATCH(AB2340,ctaNombre,0))&amp;"",""))</f>
        <v/>
      </c>
      <c r="AE2340" s="52">
        <f>IF(AC2340="","",IFERROR(INDEX(ctaTipo,MATCH(AC2340,ctaNombre,0))&amp;"",""))</f>
        <v/>
      </c>
      <c r="AF2340" s="53">
        <f>IF(OR(P2340="",AB2340=""),"",IF(OR(P2340="Gasto",P2340="Transferencia",P2340="Pago tarjeta"),-1,1)*IF(IFERROR(INDEX(ctaMoneda,MATCH(AB2340,ctaNombre,0))&amp;"","DOP")="USD",T2340,S2340))</f>
        <v/>
      </c>
      <c r="AG2340" s="53">
        <f>IF(AC2340="","",IF(IFERROR(INDEX(ctaMoneda,MATCH(AC2340,ctaNombre,0))&amp;"","DOP")="USD",T2340,S2340))</f>
        <v/>
      </c>
      <c r="AH2340" s="53">
        <f>IF(P2340="","",IF(AND(AD2340&lt;&gt;"",COUNTIFS(tcTipo,AD2340,tcLiq,"Sí")&gt;0),IF(OR(P2340="Gasto",P2340="Transferencia",P2340="Pago tarjeta"),-1,1)*S2340,0)+IF(AND(AE2340&lt;&gt;"",COUNTIFS(tcTipo,AE2340,tcLiq,"Sí")&gt;0),S2340,0))</f>
        <v/>
      </c>
      <c r="AI2340" s="52">
        <f>IF(OR(L2340="",P2340=""),"",IF(COUNTIFS(L$6:L2340,L2340,P$6:P2340,"?*")=1,MAX(AI$5:AI2339)+1,""))</f>
        <v/>
      </c>
    </row>
    <row r="2341">
      <c r="B2341" s="47" t="n"/>
      <c r="C2341" s="48" t="n"/>
      <c r="D2341" s="48" t="n"/>
      <c r="E2341" s="48" t="n"/>
      <c r="F2341" s="48" t="n"/>
      <c r="G2341" s="49" t="n"/>
      <c r="H2341" s="48" t="n"/>
      <c r="I2341" s="50" t="n"/>
      <c r="J2341" s="48" t="n"/>
      <c r="K2341" s="48" t="n"/>
      <c r="L2341" s="48" t="n"/>
      <c r="M2341" s="48" t="n"/>
      <c r="N2341" s="48" t="n"/>
      <c r="O2341" s="51">
        <f>IF(AND(B2341="",G2341="",C2341="",D2341="",J2341=""),"",IF(B2341="","⚠ Falta fecha",IF(G2341="","⚠ Falta monto",IF(Q2341="","⚠ Falta cuenta",IF(ISNA(MATCH(Q2341,ctaNombre,0)),"⚠ Cuenta no registrada",IF(AND(OR(P2341="Gasto",P2341="Reembolso"),D2341=""),"⚠ Falta categoría",IF(AND(D2341&lt;&gt;"",E2341&lt;&gt;"",ISNA(MATCH(D2341&amp;"|"&amp;E2341,catClave,0))),"⚠ Subcategoría no corresponde",IF(AND(OR(P2341="Transferencia",P2341="Pago tarjeta"),K2341=""),"⚠ Falta cuenta destino",IF(AND(K2341&lt;&gt;"",P2341&lt;&gt;"Transferencia",P2341&lt;&gt;"Pago tarjeta"),"⚠ Destino solo aplica a transferencias",IF(AND(K2341&lt;&gt;"",K2341=Q2341),"⚠ Origen igual a destino",IF(AND(K2341&lt;&gt;"",ISNA(MATCH(K2341,ctaNombre,0))),"⚠ Destino no registrado",IF(AND(P2341="Pago tarjeta",AE2341&lt;&gt;"Tarjeta de crédito"),"⚠ El destino debe ser tarjeta de crédito",IF(AND(P2341="Gasto",E2341="Depósitos y retiros"),"⚠ Usa tipo Transferencia",IF(AND(P2341="Resultado trading",AD2341&lt;&gt;"Cuenta de trading"),"⚠ Usa una cuenta de trading",IF(AND(G2341&lt;=0,P2341&lt;&gt;"Ajuste",P2341&lt;&gt;"Resultado trading"),"⚠ El monto debe ser positivo","✓")))))))))))))))</f>
        <v/>
      </c>
      <c r="P2341" s="52">
        <f>IF(OR(B2341="",G2341=""),"",IF(C2341="","Gasto",C2341))</f>
        <v/>
      </c>
      <c r="Q2341" s="52">
        <f>IF(P2341="","",IF(J2341&lt;&gt;"",J2341,CuentaPred&amp;""))</f>
        <v/>
      </c>
      <c r="R2341" s="52">
        <f>IF(P2341="","",IF(ISNUMBER(I2341),I2341,TasaUSD))</f>
        <v/>
      </c>
      <c r="S2341" s="53">
        <f>IF(P2341="","",IF(H2341="USD",G2341*R2341,G2341))</f>
        <v/>
      </c>
      <c r="T2341" s="53">
        <f>IF(P2341="","",IF(H2341="USD",G2341,IF(R2341&gt;0,G2341/R2341,0)))</f>
        <v/>
      </c>
      <c r="U2341" s="53">
        <f>IF(P2341="","",IF(P2341="Gasto",S2341,IF(P2341="Reembolso",-S2341,0)))</f>
        <v/>
      </c>
      <c r="V2341" s="53">
        <f>IF(P2341="","",IF(P2341="Ingreso",S2341,0))</f>
        <v/>
      </c>
      <c r="W2341" s="53">
        <f>IF(P2341="","",IF(P2341="Resultado trading",S2341,0))</f>
        <v/>
      </c>
      <c r="X2341" s="52">
        <f>IF(OR(P2341="Gasto",P2341="Reembolso"),IF(M2341&lt;&gt;"",M2341,IFERROR(INDEX(catClasif,MATCH(D2341&amp;"|"&amp;E2341,catClave,0))&amp;"","Variable")),"")</f>
        <v/>
      </c>
      <c r="Y2341" s="52">
        <f>IF(P2341="","",IFERROR(INDEX(catGrupo,MATCH(D2341&amp;"|"&amp;E2341,catClave,0))&amp;"",""))</f>
        <v/>
      </c>
      <c r="Z2341" s="52">
        <f>IF(P2341="","",WEEKDAY(B2341,2))</f>
        <v/>
      </c>
      <c r="AA2341" s="52">
        <f>IF(P2341="","",IF(AND(P2341="Gasto",X2341="Variable",D2341&lt;&gt;catTrading,S2341&gt;0,S2341&lt;=Umbral),1,0))</f>
        <v/>
      </c>
      <c r="AB2341" s="52">
        <f>IF(OR(P2341="",Q2341=""),"",IFERROR(IF(INDEX(ctaVinc,MATCH(Q2341,ctaNombre,0))&amp;""&lt;&gt;"",INDEX(ctaVinc,MATCH(Q2341,ctaNombre,0))&amp;"",Q2341),Q2341))</f>
        <v/>
      </c>
      <c r="AC2341" s="52">
        <f>IF(OR(K2341="",AND(P2341&lt;&gt;"Transferencia",P2341&lt;&gt;"Pago tarjeta")),"",IFERROR(IF(INDEX(ctaVinc,MATCH(K2341,ctaNombre,0))&amp;""&lt;&gt;"",INDEX(ctaVinc,MATCH(K2341,ctaNombre,0))&amp;"",K2341),K2341))</f>
        <v/>
      </c>
      <c r="AD2341" s="52">
        <f>IF(AB2341="","",IFERROR(INDEX(ctaTipo,MATCH(AB2341,ctaNombre,0))&amp;"",""))</f>
        <v/>
      </c>
      <c r="AE2341" s="52">
        <f>IF(AC2341="","",IFERROR(INDEX(ctaTipo,MATCH(AC2341,ctaNombre,0))&amp;"",""))</f>
        <v/>
      </c>
      <c r="AF2341" s="53">
        <f>IF(OR(P2341="",AB2341=""),"",IF(OR(P2341="Gasto",P2341="Transferencia",P2341="Pago tarjeta"),-1,1)*IF(IFERROR(INDEX(ctaMoneda,MATCH(AB2341,ctaNombre,0))&amp;"","DOP")="USD",T2341,S2341))</f>
        <v/>
      </c>
      <c r="AG2341" s="53">
        <f>IF(AC2341="","",IF(IFERROR(INDEX(ctaMoneda,MATCH(AC2341,ctaNombre,0))&amp;"","DOP")="USD",T2341,S2341))</f>
        <v/>
      </c>
      <c r="AH2341" s="53">
        <f>IF(P2341="","",IF(AND(AD2341&lt;&gt;"",COUNTIFS(tcTipo,AD2341,tcLiq,"Sí")&gt;0),IF(OR(P2341="Gasto",P2341="Transferencia",P2341="Pago tarjeta"),-1,1)*S2341,0)+IF(AND(AE2341&lt;&gt;"",COUNTIFS(tcTipo,AE2341,tcLiq,"Sí")&gt;0),S2341,0))</f>
        <v/>
      </c>
      <c r="AI2341" s="52">
        <f>IF(OR(L2341="",P2341=""),"",IF(COUNTIFS(L$6:L2341,L2341,P$6:P2341,"?*")=1,MAX(AI$5:AI2340)+1,""))</f>
        <v/>
      </c>
    </row>
    <row r="2342">
      <c r="B2342" s="47" t="n"/>
      <c r="C2342" s="48" t="n"/>
      <c r="D2342" s="48" t="n"/>
      <c r="E2342" s="48" t="n"/>
      <c r="F2342" s="48" t="n"/>
      <c r="G2342" s="49" t="n"/>
      <c r="H2342" s="48" t="n"/>
      <c r="I2342" s="50" t="n"/>
      <c r="J2342" s="48" t="n"/>
      <c r="K2342" s="48" t="n"/>
      <c r="L2342" s="48" t="n"/>
      <c r="M2342" s="48" t="n"/>
      <c r="N2342" s="48" t="n"/>
      <c r="O2342" s="51">
        <f>IF(AND(B2342="",G2342="",C2342="",D2342="",J2342=""),"",IF(B2342="","⚠ Falta fecha",IF(G2342="","⚠ Falta monto",IF(Q2342="","⚠ Falta cuenta",IF(ISNA(MATCH(Q2342,ctaNombre,0)),"⚠ Cuenta no registrada",IF(AND(OR(P2342="Gasto",P2342="Reembolso"),D2342=""),"⚠ Falta categoría",IF(AND(D2342&lt;&gt;"",E2342&lt;&gt;"",ISNA(MATCH(D2342&amp;"|"&amp;E2342,catClave,0))),"⚠ Subcategoría no corresponde",IF(AND(OR(P2342="Transferencia",P2342="Pago tarjeta"),K2342=""),"⚠ Falta cuenta destino",IF(AND(K2342&lt;&gt;"",P2342&lt;&gt;"Transferencia",P2342&lt;&gt;"Pago tarjeta"),"⚠ Destino solo aplica a transferencias",IF(AND(K2342&lt;&gt;"",K2342=Q2342),"⚠ Origen igual a destino",IF(AND(K2342&lt;&gt;"",ISNA(MATCH(K2342,ctaNombre,0))),"⚠ Destino no registrado",IF(AND(P2342="Pago tarjeta",AE2342&lt;&gt;"Tarjeta de crédito"),"⚠ El destino debe ser tarjeta de crédito",IF(AND(P2342="Gasto",E2342="Depósitos y retiros"),"⚠ Usa tipo Transferencia",IF(AND(P2342="Resultado trading",AD2342&lt;&gt;"Cuenta de trading"),"⚠ Usa una cuenta de trading",IF(AND(G2342&lt;=0,P2342&lt;&gt;"Ajuste",P2342&lt;&gt;"Resultado trading"),"⚠ El monto debe ser positivo","✓")))))))))))))))</f>
        <v/>
      </c>
      <c r="P2342" s="52">
        <f>IF(OR(B2342="",G2342=""),"",IF(C2342="","Gasto",C2342))</f>
        <v/>
      </c>
      <c r="Q2342" s="52">
        <f>IF(P2342="","",IF(J2342&lt;&gt;"",J2342,CuentaPred&amp;""))</f>
        <v/>
      </c>
      <c r="R2342" s="52">
        <f>IF(P2342="","",IF(ISNUMBER(I2342),I2342,TasaUSD))</f>
        <v/>
      </c>
      <c r="S2342" s="53">
        <f>IF(P2342="","",IF(H2342="USD",G2342*R2342,G2342))</f>
        <v/>
      </c>
      <c r="T2342" s="53">
        <f>IF(P2342="","",IF(H2342="USD",G2342,IF(R2342&gt;0,G2342/R2342,0)))</f>
        <v/>
      </c>
      <c r="U2342" s="53">
        <f>IF(P2342="","",IF(P2342="Gasto",S2342,IF(P2342="Reembolso",-S2342,0)))</f>
        <v/>
      </c>
      <c r="V2342" s="53">
        <f>IF(P2342="","",IF(P2342="Ingreso",S2342,0))</f>
        <v/>
      </c>
      <c r="W2342" s="53">
        <f>IF(P2342="","",IF(P2342="Resultado trading",S2342,0))</f>
        <v/>
      </c>
      <c r="X2342" s="52">
        <f>IF(OR(P2342="Gasto",P2342="Reembolso"),IF(M2342&lt;&gt;"",M2342,IFERROR(INDEX(catClasif,MATCH(D2342&amp;"|"&amp;E2342,catClave,0))&amp;"","Variable")),"")</f>
        <v/>
      </c>
      <c r="Y2342" s="52">
        <f>IF(P2342="","",IFERROR(INDEX(catGrupo,MATCH(D2342&amp;"|"&amp;E2342,catClave,0))&amp;"",""))</f>
        <v/>
      </c>
      <c r="Z2342" s="52">
        <f>IF(P2342="","",WEEKDAY(B2342,2))</f>
        <v/>
      </c>
      <c r="AA2342" s="52">
        <f>IF(P2342="","",IF(AND(P2342="Gasto",X2342="Variable",D2342&lt;&gt;catTrading,S2342&gt;0,S2342&lt;=Umbral),1,0))</f>
        <v/>
      </c>
      <c r="AB2342" s="52">
        <f>IF(OR(P2342="",Q2342=""),"",IFERROR(IF(INDEX(ctaVinc,MATCH(Q2342,ctaNombre,0))&amp;""&lt;&gt;"",INDEX(ctaVinc,MATCH(Q2342,ctaNombre,0))&amp;"",Q2342),Q2342))</f>
        <v/>
      </c>
      <c r="AC2342" s="52">
        <f>IF(OR(K2342="",AND(P2342&lt;&gt;"Transferencia",P2342&lt;&gt;"Pago tarjeta")),"",IFERROR(IF(INDEX(ctaVinc,MATCH(K2342,ctaNombre,0))&amp;""&lt;&gt;"",INDEX(ctaVinc,MATCH(K2342,ctaNombre,0))&amp;"",K2342),K2342))</f>
        <v/>
      </c>
      <c r="AD2342" s="52">
        <f>IF(AB2342="","",IFERROR(INDEX(ctaTipo,MATCH(AB2342,ctaNombre,0))&amp;"",""))</f>
        <v/>
      </c>
      <c r="AE2342" s="52">
        <f>IF(AC2342="","",IFERROR(INDEX(ctaTipo,MATCH(AC2342,ctaNombre,0))&amp;"",""))</f>
        <v/>
      </c>
      <c r="AF2342" s="53">
        <f>IF(OR(P2342="",AB2342=""),"",IF(OR(P2342="Gasto",P2342="Transferencia",P2342="Pago tarjeta"),-1,1)*IF(IFERROR(INDEX(ctaMoneda,MATCH(AB2342,ctaNombre,0))&amp;"","DOP")="USD",T2342,S2342))</f>
        <v/>
      </c>
      <c r="AG2342" s="53">
        <f>IF(AC2342="","",IF(IFERROR(INDEX(ctaMoneda,MATCH(AC2342,ctaNombre,0))&amp;"","DOP")="USD",T2342,S2342))</f>
        <v/>
      </c>
      <c r="AH2342" s="53">
        <f>IF(P2342="","",IF(AND(AD2342&lt;&gt;"",COUNTIFS(tcTipo,AD2342,tcLiq,"Sí")&gt;0),IF(OR(P2342="Gasto",P2342="Transferencia",P2342="Pago tarjeta"),-1,1)*S2342,0)+IF(AND(AE2342&lt;&gt;"",COUNTIFS(tcTipo,AE2342,tcLiq,"Sí")&gt;0),S2342,0))</f>
        <v/>
      </c>
      <c r="AI2342" s="52">
        <f>IF(OR(L2342="",P2342=""),"",IF(COUNTIFS(L$6:L2342,L2342,P$6:P2342,"?*")=1,MAX(AI$5:AI2341)+1,""))</f>
        <v/>
      </c>
    </row>
    <row r="2343">
      <c r="B2343" s="47" t="n"/>
      <c r="C2343" s="48" t="n"/>
      <c r="D2343" s="48" t="n"/>
      <c r="E2343" s="48" t="n"/>
      <c r="F2343" s="48" t="n"/>
      <c r="G2343" s="49" t="n"/>
      <c r="H2343" s="48" t="n"/>
      <c r="I2343" s="50" t="n"/>
      <c r="J2343" s="48" t="n"/>
      <c r="K2343" s="48" t="n"/>
      <c r="L2343" s="48" t="n"/>
      <c r="M2343" s="48" t="n"/>
      <c r="N2343" s="48" t="n"/>
      <c r="O2343" s="51">
        <f>IF(AND(B2343="",G2343="",C2343="",D2343="",J2343=""),"",IF(B2343="","⚠ Falta fecha",IF(G2343="","⚠ Falta monto",IF(Q2343="","⚠ Falta cuenta",IF(ISNA(MATCH(Q2343,ctaNombre,0)),"⚠ Cuenta no registrada",IF(AND(OR(P2343="Gasto",P2343="Reembolso"),D2343=""),"⚠ Falta categoría",IF(AND(D2343&lt;&gt;"",E2343&lt;&gt;"",ISNA(MATCH(D2343&amp;"|"&amp;E2343,catClave,0))),"⚠ Subcategoría no corresponde",IF(AND(OR(P2343="Transferencia",P2343="Pago tarjeta"),K2343=""),"⚠ Falta cuenta destino",IF(AND(K2343&lt;&gt;"",P2343&lt;&gt;"Transferencia",P2343&lt;&gt;"Pago tarjeta"),"⚠ Destino solo aplica a transferencias",IF(AND(K2343&lt;&gt;"",K2343=Q2343),"⚠ Origen igual a destino",IF(AND(K2343&lt;&gt;"",ISNA(MATCH(K2343,ctaNombre,0))),"⚠ Destino no registrado",IF(AND(P2343="Pago tarjeta",AE2343&lt;&gt;"Tarjeta de crédito"),"⚠ El destino debe ser tarjeta de crédito",IF(AND(P2343="Gasto",E2343="Depósitos y retiros"),"⚠ Usa tipo Transferencia",IF(AND(P2343="Resultado trading",AD2343&lt;&gt;"Cuenta de trading"),"⚠ Usa una cuenta de trading",IF(AND(G2343&lt;=0,P2343&lt;&gt;"Ajuste",P2343&lt;&gt;"Resultado trading"),"⚠ El monto debe ser positivo","✓")))))))))))))))</f>
        <v/>
      </c>
      <c r="P2343" s="52">
        <f>IF(OR(B2343="",G2343=""),"",IF(C2343="","Gasto",C2343))</f>
        <v/>
      </c>
      <c r="Q2343" s="52">
        <f>IF(P2343="","",IF(J2343&lt;&gt;"",J2343,CuentaPred&amp;""))</f>
        <v/>
      </c>
      <c r="R2343" s="52">
        <f>IF(P2343="","",IF(ISNUMBER(I2343),I2343,TasaUSD))</f>
        <v/>
      </c>
      <c r="S2343" s="53">
        <f>IF(P2343="","",IF(H2343="USD",G2343*R2343,G2343))</f>
        <v/>
      </c>
      <c r="T2343" s="53">
        <f>IF(P2343="","",IF(H2343="USD",G2343,IF(R2343&gt;0,G2343/R2343,0)))</f>
        <v/>
      </c>
      <c r="U2343" s="53">
        <f>IF(P2343="","",IF(P2343="Gasto",S2343,IF(P2343="Reembolso",-S2343,0)))</f>
        <v/>
      </c>
      <c r="V2343" s="53">
        <f>IF(P2343="","",IF(P2343="Ingreso",S2343,0))</f>
        <v/>
      </c>
      <c r="W2343" s="53">
        <f>IF(P2343="","",IF(P2343="Resultado trading",S2343,0))</f>
        <v/>
      </c>
      <c r="X2343" s="52">
        <f>IF(OR(P2343="Gasto",P2343="Reembolso"),IF(M2343&lt;&gt;"",M2343,IFERROR(INDEX(catClasif,MATCH(D2343&amp;"|"&amp;E2343,catClave,0))&amp;"","Variable")),"")</f>
        <v/>
      </c>
      <c r="Y2343" s="52">
        <f>IF(P2343="","",IFERROR(INDEX(catGrupo,MATCH(D2343&amp;"|"&amp;E2343,catClave,0))&amp;"",""))</f>
        <v/>
      </c>
      <c r="Z2343" s="52">
        <f>IF(P2343="","",WEEKDAY(B2343,2))</f>
        <v/>
      </c>
      <c r="AA2343" s="52">
        <f>IF(P2343="","",IF(AND(P2343="Gasto",X2343="Variable",D2343&lt;&gt;catTrading,S2343&gt;0,S2343&lt;=Umbral),1,0))</f>
        <v/>
      </c>
      <c r="AB2343" s="52">
        <f>IF(OR(P2343="",Q2343=""),"",IFERROR(IF(INDEX(ctaVinc,MATCH(Q2343,ctaNombre,0))&amp;""&lt;&gt;"",INDEX(ctaVinc,MATCH(Q2343,ctaNombre,0))&amp;"",Q2343),Q2343))</f>
        <v/>
      </c>
      <c r="AC2343" s="52">
        <f>IF(OR(K2343="",AND(P2343&lt;&gt;"Transferencia",P2343&lt;&gt;"Pago tarjeta")),"",IFERROR(IF(INDEX(ctaVinc,MATCH(K2343,ctaNombre,0))&amp;""&lt;&gt;"",INDEX(ctaVinc,MATCH(K2343,ctaNombre,0))&amp;"",K2343),K2343))</f>
        <v/>
      </c>
      <c r="AD2343" s="52">
        <f>IF(AB2343="","",IFERROR(INDEX(ctaTipo,MATCH(AB2343,ctaNombre,0))&amp;"",""))</f>
        <v/>
      </c>
      <c r="AE2343" s="52">
        <f>IF(AC2343="","",IFERROR(INDEX(ctaTipo,MATCH(AC2343,ctaNombre,0))&amp;"",""))</f>
        <v/>
      </c>
      <c r="AF2343" s="53">
        <f>IF(OR(P2343="",AB2343=""),"",IF(OR(P2343="Gasto",P2343="Transferencia",P2343="Pago tarjeta"),-1,1)*IF(IFERROR(INDEX(ctaMoneda,MATCH(AB2343,ctaNombre,0))&amp;"","DOP")="USD",T2343,S2343))</f>
        <v/>
      </c>
      <c r="AG2343" s="53">
        <f>IF(AC2343="","",IF(IFERROR(INDEX(ctaMoneda,MATCH(AC2343,ctaNombre,0))&amp;"","DOP")="USD",T2343,S2343))</f>
        <v/>
      </c>
      <c r="AH2343" s="53">
        <f>IF(P2343="","",IF(AND(AD2343&lt;&gt;"",COUNTIFS(tcTipo,AD2343,tcLiq,"Sí")&gt;0),IF(OR(P2343="Gasto",P2343="Transferencia",P2343="Pago tarjeta"),-1,1)*S2343,0)+IF(AND(AE2343&lt;&gt;"",COUNTIFS(tcTipo,AE2343,tcLiq,"Sí")&gt;0),S2343,0))</f>
        <v/>
      </c>
      <c r="AI2343" s="52">
        <f>IF(OR(L2343="",P2343=""),"",IF(COUNTIFS(L$6:L2343,L2343,P$6:P2343,"?*")=1,MAX(AI$5:AI2342)+1,""))</f>
        <v/>
      </c>
    </row>
    <row r="2344">
      <c r="B2344" s="47" t="n"/>
      <c r="C2344" s="48" t="n"/>
      <c r="D2344" s="48" t="n"/>
      <c r="E2344" s="48" t="n"/>
      <c r="F2344" s="48" t="n"/>
      <c r="G2344" s="49" t="n"/>
      <c r="H2344" s="48" t="n"/>
      <c r="I2344" s="50" t="n"/>
      <c r="J2344" s="48" t="n"/>
      <c r="K2344" s="48" t="n"/>
      <c r="L2344" s="48" t="n"/>
      <c r="M2344" s="48" t="n"/>
      <c r="N2344" s="48" t="n"/>
      <c r="O2344" s="51">
        <f>IF(AND(B2344="",G2344="",C2344="",D2344="",J2344=""),"",IF(B2344="","⚠ Falta fecha",IF(G2344="","⚠ Falta monto",IF(Q2344="","⚠ Falta cuenta",IF(ISNA(MATCH(Q2344,ctaNombre,0)),"⚠ Cuenta no registrada",IF(AND(OR(P2344="Gasto",P2344="Reembolso"),D2344=""),"⚠ Falta categoría",IF(AND(D2344&lt;&gt;"",E2344&lt;&gt;"",ISNA(MATCH(D2344&amp;"|"&amp;E2344,catClave,0))),"⚠ Subcategoría no corresponde",IF(AND(OR(P2344="Transferencia",P2344="Pago tarjeta"),K2344=""),"⚠ Falta cuenta destino",IF(AND(K2344&lt;&gt;"",P2344&lt;&gt;"Transferencia",P2344&lt;&gt;"Pago tarjeta"),"⚠ Destino solo aplica a transferencias",IF(AND(K2344&lt;&gt;"",K2344=Q2344),"⚠ Origen igual a destino",IF(AND(K2344&lt;&gt;"",ISNA(MATCH(K2344,ctaNombre,0))),"⚠ Destino no registrado",IF(AND(P2344="Pago tarjeta",AE2344&lt;&gt;"Tarjeta de crédito"),"⚠ El destino debe ser tarjeta de crédito",IF(AND(P2344="Gasto",E2344="Depósitos y retiros"),"⚠ Usa tipo Transferencia",IF(AND(P2344="Resultado trading",AD2344&lt;&gt;"Cuenta de trading"),"⚠ Usa una cuenta de trading",IF(AND(G2344&lt;=0,P2344&lt;&gt;"Ajuste",P2344&lt;&gt;"Resultado trading"),"⚠ El monto debe ser positivo","✓")))))))))))))))</f>
        <v/>
      </c>
      <c r="P2344" s="52">
        <f>IF(OR(B2344="",G2344=""),"",IF(C2344="","Gasto",C2344))</f>
        <v/>
      </c>
      <c r="Q2344" s="52">
        <f>IF(P2344="","",IF(J2344&lt;&gt;"",J2344,CuentaPred&amp;""))</f>
        <v/>
      </c>
      <c r="R2344" s="52">
        <f>IF(P2344="","",IF(ISNUMBER(I2344),I2344,TasaUSD))</f>
        <v/>
      </c>
      <c r="S2344" s="53">
        <f>IF(P2344="","",IF(H2344="USD",G2344*R2344,G2344))</f>
        <v/>
      </c>
      <c r="T2344" s="53">
        <f>IF(P2344="","",IF(H2344="USD",G2344,IF(R2344&gt;0,G2344/R2344,0)))</f>
        <v/>
      </c>
      <c r="U2344" s="53">
        <f>IF(P2344="","",IF(P2344="Gasto",S2344,IF(P2344="Reembolso",-S2344,0)))</f>
        <v/>
      </c>
      <c r="V2344" s="53">
        <f>IF(P2344="","",IF(P2344="Ingreso",S2344,0))</f>
        <v/>
      </c>
      <c r="W2344" s="53">
        <f>IF(P2344="","",IF(P2344="Resultado trading",S2344,0))</f>
        <v/>
      </c>
      <c r="X2344" s="52">
        <f>IF(OR(P2344="Gasto",P2344="Reembolso"),IF(M2344&lt;&gt;"",M2344,IFERROR(INDEX(catClasif,MATCH(D2344&amp;"|"&amp;E2344,catClave,0))&amp;"","Variable")),"")</f>
        <v/>
      </c>
      <c r="Y2344" s="52">
        <f>IF(P2344="","",IFERROR(INDEX(catGrupo,MATCH(D2344&amp;"|"&amp;E2344,catClave,0))&amp;"",""))</f>
        <v/>
      </c>
      <c r="Z2344" s="52">
        <f>IF(P2344="","",WEEKDAY(B2344,2))</f>
        <v/>
      </c>
      <c r="AA2344" s="52">
        <f>IF(P2344="","",IF(AND(P2344="Gasto",X2344="Variable",D2344&lt;&gt;catTrading,S2344&gt;0,S2344&lt;=Umbral),1,0))</f>
        <v/>
      </c>
      <c r="AB2344" s="52">
        <f>IF(OR(P2344="",Q2344=""),"",IFERROR(IF(INDEX(ctaVinc,MATCH(Q2344,ctaNombre,0))&amp;""&lt;&gt;"",INDEX(ctaVinc,MATCH(Q2344,ctaNombre,0))&amp;"",Q2344),Q2344))</f>
        <v/>
      </c>
      <c r="AC2344" s="52">
        <f>IF(OR(K2344="",AND(P2344&lt;&gt;"Transferencia",P2344&lt;&gt;"Pago tarjeta")),"",IFERROR(IF(INDEX(ctaVinc,MATCH(K2344,ctaNombre,0))&amp;""&lt;&gt;"",INDEX(ctaVinc,MATCH(K2344,ctaNombre,0))&amp;"",K2344),K2344))</f>
        <v/>
      </c>
      <c r="AD2344" s="52">
        <f>IF(AB2344="","",IFERROR(INDEX(ctaTipo,MATCH(AB2344,ctaNombre,0))&amp;"",""))</f>
        <v/>
      </c>
      <c r="AE2344" s="52">
        <f>IF(AC2344="","",IFERROR(INDEX(ctaTipo,MATCH(AC2344,ctaNombre,0))&amp;"",""))</f>
        <v/>
      </c>
      <c r="AF2344" s="53">
        <f>IF(OR(P2344="",AB2344=""),"",IF(OR(P2344="Gasto",P2344="Transferencia",P2344="Pago tarjeta"),-1,1)*IF(IFERROR(INDEX(ctaMoneda,MATCH(AB2344,ctaNombre,0))&amp;"","DOP")="USD",T2344,S2344))</f>
        <v/>
      </c>
      <c r="AG2344" s="53">
        <f>IF(AC2344="","",IF(IFERROR(INDEX(ctaMoneda,MATCH(AC2344,ctaNombre,0))&amp;"","DOP")="USD",T2344,S2344))</f>
        <v/>
      </c>
      <c r="AH2344" s="53">
        <f>IF(P2344="","",IF(AND(AD2344&lt;&gt;"",COUNTIFS(tcTipo,AD2344,tcLiq,"Sí")&gt;0),IF(OR(P2344="Gasto",P2344="Transferencia",P2344="Pago tarjeta"),-1,1)*S2344,0)+IF(AND(AE2344&lt;&gt;"",COUNTIFS(tcTipo,AE2344,tcLiq,"Sí")&gt;0),S2344,0))</f>
        <v/>
      </c>
      <c r="AI2344" s="52">
        <f>IF(OR(L2344="",P2344=""),"",IF(COUNTIFS(L$6:L2344,L2344,P$6:P2344,"?*")=1,MAX(AI$5:AI2343)+1,""))</f>
        <v/>
      </c>
    </row>
    <row r="2345">
      <c r="B2345" s="47" t="n"/>
      <c r="C2345" s="48" t="n"/>
      <c r="D2345" s="48" t="n"/>
      <c r="E2345" s="48" t="n"/>
      <c r="F2345" s="48" t="n"/>
      <c r="G2345" s="49" t="n"/>
      <c r="H2345" s="48" t="n"/>
      <c r="I2345" s="50" t="n"/>
      <c r="J2345" s="48" t="n"/>
      <c r="K2345" s="48" t="n"/>
      <c r="L2345" s="48" t="n"/>
      <c r="M2345" s="48" t="n"/>
      <c r="N2345" s="48" t="n"/>
      <c r="O2345" s="51">
        <f>IF(AND(B2345="",G2345="",C2345="",D2345="",J2345=""),"",IF(B2345="","⚠ Falta fecha",IF(G2345="","⚠ Falta monto",IF(Q2345="","⚠ Falta cuenta",IF(ISNA(MATCH(Q2345,ctaNombre,0)),"⚠ Cuenta no registrada",IF(AND(OR(P2345="Gasto",P2345="Reembolso"),D2345=""),"⚠ Falta categoría",IF(AND(D2345&lt;&gt;"",E2345&lt;&gt;"",ISNA(MATCH(D2345&amp;"|"&amp;E2345,catClave,0))),"⚠ Subcategoría no corresponde",IF(AND(OR(P2345="Transferencia",P2345="Pago tarjeta"),K2345=""),"⚠ Falta cuenta destino",IF(AND(K2345&lt;&gt;"",P2345&lt;&gt;"Transferencia",P2345&lt;&gt;"Pago tarjeta"),"⚠ Destino solo aplica a transferencias",IF(AND(K2345&lt;&gt;"",K2345=Q2345),"⚠ Origen igual a destino",IF(AND(K2345&lt;&gt;"",ISNA(MATCH(K2345,ctaNombre,0))),"⚠ Destino no registrado",IF(AND(P2345="Pago tarjeta",AE2345&lt;&gt;"Tarjeta de crédito"),"⚠ El destino debe ser tarjeta de crédito",IF(AND(P2345="Gasto",E2345="Depósitos y retiros"),"⚠ Usa tipo Transferencia",IF(AND(P2345="Resultado trading",AD2345&lt;&gt;"Cuenta de trading"),"⚠ Usa una cuenta de trading",IF(AND(G2345&lt;=0,P2345&lt;&gt;"Ajuste",P2345&lt;&gt;"Resultado trading"),"⚠ El monto debe ser positivo","✓")))))))))))))))</f>
        <v/>
      </c>
      <c r="P2345" s="52">
        <f>IF(OR(B2345="",G2345=""),"",IF(C2345="","Gasto",C2345))</f>
        <v/>
      </c>
      <c r="Q2345" s="52">
        <f>IF(P2345="","",IF(J2345&lt;&gt;"",J2345,CuentaPred&amp;""))</f>
        <v/>
      </c>
      <c r="R2345" s="52">
        <f>IF(P2345="","",IF(ISNUMBER(I2345),I2345,TasaUSD))</f>
        <v/>
      </c>
      <c r="S2345" s="53">
        <f>IF(P2345="","",IF(H2345="USD",G2345*R2345,G2345))</f>
        <v/>
      </c>
      <c r="T2345" s="53">
        <f>IF(P2345="","",IF(H2345="USD",G2345,IF(R2345&gt;0,G2345/R2345,0)))</f>
        <v/>
      </c>
      <c r="U2345" s="53">
        <f>IF(P2345="","",IF(P2345="Gasto",S2345,IF(P2345="Reembolso",-S2345,0)))</f>
        <v/>
      </c>
      <c r="V2345" s="53">
        <f>IF(P2345="","",IF(P2345="Ingreso",S2345,0))</f>
        <v/>
      </c>
      <c r="W2345" s="53">
        <f>IF(P2345="","",IF(P2345="Resultado trading",S2345,0))</f>
        <v/>
      </c>
      <c r="X2345" s="52">
        <f>IF(OR(P2345="Gasto",P2345="Reembolso"),IF(M2345&lt;&gt;"",M2345,IFERROR(INDEX(catClasif,MATCH(D2345&amp;"|"&amp;E2345,catClave,0))&amp;"","Variable")),"")</f>
        <v/>
      </c>
      <c r="Y2345" s="52">
        <f>IF(P2345="","",IFERROR(INDEX(catGrupo,MATCH(D2345&amp;"|"&amp;E2345,catClave,0))&amp;"",""))</f>
        <v/>
      </c>
      <c r="Z2345" s="52">
        <f>IF(P2345="","",WEEKDAY(B2345,2))</f>
        <v/>
      </c>
      <c r="AA2345" s="52">
        <f>IF(P2345="","",IF(AND(P2345="Gasto",X2345="Variable",D2345&lt;&gt;catTrading,S2345&gt;0,S2345&lt;=Umbral),1,0))</f>
        <v/>
      </c>
      <c r="AB2345" s="52">
        <f>IF(OR(P2345="",Q2345=""),"",IFERROR(IF(INDEX(ctaVinc,MATCH(Q2345,ctaNombre,0))&amp;""&lt;&gt;"",INDEX(ctaVinc,MATCH(Q2345,ctaNombre,0))&amp;"",Q2345),Q2345))</f>
        <v/>
      </c>
      <c r="AC2345" s="52">
        <f>IF(OR(K2345="",AND(P2345&lt;&gt;"Transferencia",P2345&lt;&gt;"Pago tarjeta")),"",IFERROR(IF(INDEX(ctaVinc,MATCH(K2345,ctaNombre,0))&amp;""&lt;&gt;"",INDEX(ctaVinc,MATCH(K2345,ctaNombre,0))&amp;"",K2345),K2345))</f>
        <v/>
      </c>
      <c r="AD2345" s="52">
        <f>IF(AB2345="","",IFERROR(INDEX(ctaTipo,MATCH(AB2345,ctaNombre,0))&amp;"",""))</f>
        <v/>
      </c>
      <c r="AE2345" s="52">
        <f>IF(AC2345="","",IFERROR(INDEX(ctaTipo,MATCH(AC2345,ctaNombre,0))&amp;"",""))</f>
        <v/>
      </c>
      <c r="AF2345" s="53">
        <f>IF(OR(P2345="",AB2345=""),"",IF(OR(P2345="Gasto",P2345="Transferencia",P2345="Pago tarjeta"),-1,1)*IF(IFERROR(INDEX(ctaMoneda,MATCH(AB2345,ctaNombre,0))&amp;"","DOP")="USD",T2345,S2345))</f>
        <v/>
      </c>
      <c r="AG2345" s="53">
        <f>IF(AC2345="","",IF(IFERROR(INDEX(ctaMoneda,MATCH(AC2345,ctaNombre,0))&amp;"","DOP")="USD",T2345,S2345))</f>
        <v/>
      </c>
      <c r="AH2345" s="53">
        <f>IF(P2345="","",IF(AND(AD2345&lt;&gt;"",COUNTIFS(tcTipo,AD2345,tcLiq,"Sí")&gt;0),IF(OR(P2345="Gasto",P2345="Transferencia",P2345="Pago tarjeta"),-1,1)*S2345,0)+IF(AND(AE2345&lt;&gt;"",COUNTIFS(tcTipo,AE2345,tcLiq,"Sí")&gt;0),S2345,0))</f>
        <v/>
      </c>
      <c r="AI2345" s="52">
        <f>IF(OR(L2345="",P2345=""),"",IF(COUNTIFS(L$6:L2345,L2345,P$6:P2345,"?*")=1,MAX(AI$5:AI2344)+1,""))</f>
        <v/>
      </c>
    </row>
    <row r="2346">
      <c r="B2346" s="47" t="n"/>
      <c r="C2346" s="48" t="n"/>
      <c r="D2346" s="48" t="n"/>
      <c r="E2346" s="48" t="n"/>
      <c r="F2346" s="48" t="n"/>
      <c r="G2346" s="49" t="n"/>
      <c r="H2346" s="48" t="n"/>
      <c r="I2346" s="50" t="n"/>
      <c r="J2346" s="48" t="n"/>
      <c r="K2346" s="48" t="n"/>
      <c r="L2346" s="48" t="n"/>
      <c r="M2346" s="48" t="n"/>
      <c r="N2346" s="48" t="n"/>
      <c r="O2346" s="51">
        <f>IF(AND(B2346="",G2346="",C2346="",D2346="",J2346=""),"",IF(B2346="","⚠ Falta fecha",IF(G2346="","⚠ Falta monto",IF(Q2346="","⚠ Falta cuenta",IF(ISNA(MATCH(Q2346,ctaNombre,0)),"⚠ Cuenta no registrada",IF(AND(OR(P2346="Gasto",P2346="Reembolso"),D2346=""),"⚠ Falta categoría",IF(AND(D2346&lt;&gt;"",E2346&lt;&gt;"",ISNA(MATCH(D2346&amp;"|"&amp;E2346,catClave,0))),"⚠ Subcategoría no corresponde",IF(AND(OR(P2346="Transferencia",P2346="Pago tarjeta"),K2346=""),"⚠ Falta cuenta destino",IF(AND(K2346&lt;&gt;"",P2346&lt;&gt;"Transferencia",P2346&lt;&gt;"Pago tarjeta"),"⚠ Destino solo aplica a transferencias",IF(AND(K2346&lt;&gt;"",K2346=Q2346),"⚠ Origen igual a destino",IF(AND(K2346&lt;&gt;"",ISNA(MATCH(K2346,ctaNombre,0))),"⚠ Destino no registrado",IF(AND(P2346="Pago tarjeta",AE2346&lt;&gt;"Tarjeta de crédito"),"⚠ El destino debe ser tarjeta de crédito",IF(AND(P2346="Gasto",E2346="Depósitos y retiros"),"⚠ Usa tipo Transferencia",IF(AND(P2346="Resultado trading",AD2346&lt;&gt;"Cuenta de trading"),"⚠ Usa una cuenta de trading",IF(AND(G2346&lt;=0,P2346&lt;&gt;"Ajuste",P2346&lt;&gt;"Resultado trading"),"⚠ El monto debe ser positivo","✓")))))))))))))))</f>
        <v/>
      </c>
      <c r="P2346" s="52">
        <f>IF(OR(B2346="",G2346=""),"",IF(C2346="","Gasto",C2346))</f>
        <v/>
      </c>
      <c r="Q2346" s="52">
        <f>IF(P2346="","",IF(J2346&lt;&gt;"",J2346,CuentaPred&amp;""))</f>
        <v/>
      </c>
      <c r="R2346" s="52">
        <f>IF(P2346="","",IF(ISNUMBER(I2346),I2346,TasaUSD))</f>
        <v/>
      </c>
      <c r="S2346" s="53">
        <f>IF(P2346="","",IF(H2346="USD",G2346*R2346,G2346))</f>
        <v/>
      </c>
      <c r="T2346" s="53">
        <f>IF(P2346="","",IF(H2346="USD",G2346,IF(R2346&gt;0,G2346/R2346,0)))</f>
        <v/>
      </c>
      <c r="U2346" s="53">
        <f>IF(P2346="","",IF(P2346="Gasto",S2346,IF(P2346="Reembolso",-S2346,0)))</f>
        <v/>
      </c>
      <c r="V2346" s="53">
        <f>IF(P2346="","",IF(P2346="Ingreso",S2346,0))</f>
        <v/>
      </c>
      <c r="W2346" s="53">
        <f>IF(P2346="","",IF(P2346="Resultado trading",S2346,0))</f>
        <v/>
      </c>
      <c r="X2346" s="52">
        <f>IF(OR(P2346="Gasto",P2346="Reembolso"),IF(M2346&lt;&gt;"",M2346,IFERROR(INDEX(catClasif,MATCH(D2346&amp;"|"&amp;E2346,catClave,0))&amp;"","Variable")),"")</f>
        <v/>
      </c>
      <c r="Y2346" s="52">
        <f>IF(P2346="","",IFERROR(INDEX(catGrupo,MATCH(D2346&amp;"|"&amp;E2346,catClave,0))&amp;"",""))</f>
        <v/>
      </c>
      <c r="Z2346" s="52">
        <f>IF(P2346="","",WEEKDAY(B2346,2))</f>
        <v/>
      </c>
      <c r="AA2346" s="52">
        <f>IF(P2346="","",IF(AND(P2346="Gasto",X2346="Variable",D2346&lt;&gt;catTrading,S2346&gt;0,S2346&lt;=Umbral),1,0))</f>
        <v/>
      </c>
      <c r="AB2346" s="52">
        <f>IF(OR(P2346="",Q2346=""),"",IFERROR(IF(INDEX(ctaVinc,MATCH(Q2346,ctaNombre,0))&amp;""&lt;&gt;"",INDEX(ctaVinc,MATCH(Q2346,ctaNombre,0))&amp;"",Q2346),Q2346))</f>
        <v/>
      </c>
      <c r="AC2346" s="52">
        <f>IF(OR(K2346="",AND(P2346&lt;&gt;"Transferencia",P2346&lt;&gt;"Pago tarjeta")),"",IFERROR(IF(INDEX(ctaVinc,MATCH(K2346,ctaNombre,0))&amp;""&lt;&gt;"",INDEX(ctaVinc,MATCH(K2346,ctaNombre,0))&amp;"",K2346),K2346))</f>
        <v/>
      </c>
      <c r="AD2346" s="52">
        <f>IF(AB2346="","",IFERROR(INDEX(ctaTipo,MATCH(AB2346,ctaNombre,0))&amp;"",""))</f>
        <v/>
      </c>
      <c r="AE2346" s="52">
        <f>IF(AC2346="","",IFERROR(INDEX(ctaTipo,MATCH(AC2346,ctaNombre,0))&amp;"",""))</f>
        <v/>
      </c>
      <c r="AF2346" s="53">
        <f>IF(OR(P2346="",AB2346=""),"",IF(OR(P2346="Gasto",P2346="Transferencia",P2346="Pago tarjeta"),-1,1)*IF(IFERROR(INDEX(ctaMoneda,MATCH(AB2346,ctaNombre,0))&amp;"","DOP")="USD",T2346,S2346))</f>
        <v/>
      </c>
      <c r="AG2346" s="53">
        <f>IF(AC2346="","",IF(IFERROR(INDEX(ctaMoneda,MATCH(AC2346,ctaNombre,0))&amp;"","DOP")="USD",T2346,S2346))</f>
        <v/>
      </c>
      <c r="AH2346" s="53">
        <f>IF(P2346="","",IF(AND(AD2346&lt;&gt;"",COUNTIFS(tcTipo,AD2346,tcLiq,"Sí")&gt;0),IF(OR(P2346="Gasto",P2346="Transferencia",P2346="Pago tarjeta"),-1,1)*S2346,0)+IF(AND(AE2346&lt;&gt;"",COUNTIFS(tcTipo,AE2346,tcLiq,"Sí")&gt;0),S2346,0))</f>
        <v/>
      </c>
      <c r="AI2346" s="52">
        <f>IF(OR(L2346="",P2346=""),"",IF(COUNTIFS(L$6:L2346,L2346,P$6:P2346,"?*")=1,MAX(AI$5:AI2345)+1,""))</f>
        <v/>
      </c>
    </row>
    <row r="2347">
      <c r="B2347" s="47" t="n"/>
      <c r="C2347" s="48" t="n"/>
      <c r="D2347" s="48" t="n"/>
      <c r="E2347" s="48" t="n"/>
      <c r="F2347" s="48" t="n"/>
      <c r="G2347" s="49" t="n"/>
      <c r="H2347" s="48" t="n"/>
      <c r="I2347" s="50" t="n"/>
      <c r="J2347" s="48" t="n"/>
      <c r="K2347" s="48" t="n"/>
      <c r="L2347" s="48" t="n"/>
      <c r="M2347" s="48" t="n"/>
      <c r="N2347" s="48" t="n"/>
      <c r="O2347" s="51">
        <f>IF(AND(B2347="",G2347="",C2347="",D2347="",J2347=""),"",IF(B2347="","⚠ Falta fecha",IF(G2347="","⚠ Falta monto",IF(Q2347="","⚠ Falta cuenta",IF(ISNA(MATCH(Q2347,ctaNombre,0)),"⚠ Cuenta no registrada",IF(AND(OR(P2347="Gasto",P2347="Reembolso"),D2347=""),"⚠ Falta categoría",IF(AND(D2347&lt;&gt;"",E2347&lt;&gt;"",ISNA(MATCH(D2347&amp;"|"&amp;E2347,catClave,0))),"⚠ Subcategoría no corresponde",IF(AND(OR(P2347="Transferencia",P2347="Pago tarjeta"),K2347=""),"⚠ Falta cuenta destino",IF(AND(K2347&lt;&gt;"",P2347&lt;&gt;"Transferencia",P2347&lt;&gt;"Pago tarjeta"),"⚠ Destino solo aplica a transferencias",IF(AND(K2347&lt;&gt;"",K2347=Q2347),"⚠ Origen igual a destino",IF(AND(K2347&lt;&gt;"",ISNA(MATCH(K2347,ctaNombre,0))),"⚠ Destino no registrado",IF(AND(P2347="Pago tarjeta",AE2347&lt;&gt;"Tarjeta de crédito"),"⚠ El destino debe ser tarjeta de crédito",IF(AND(P2347="Gasto",E2347="Depósitos y retiros"),"⚠ Usa tipo Transferencia",IF(AND(P2347="Resultado trading",AD2347&lt;&gt;"Cuenta de trading"),"⚠ Usa una cuenta de trading",IF(AND(G2347&lt;=0,P2347&lt;&gt;"Ajuste",P2347&lt;&gt;"Resultado trading"),"⚠ El monto debe ser positivo","✓")))))))))))))))</f>
        <v/>
      </c>
      <c r="P2347" s="52">
        <f>IF(OR(B2347="",G2347=""),"",IF(C2347="","Gasto",C2347))</f>
        <v/>
      </c>
      <c r="Q2347" s="52">
        <f>IF(P2347="","",IF(J2347&lt;&gt;"",J2347,CuentaPred&amp;""))</f>
        <v/>
      </c>
      <c r="R2347" s="52">
        <f>IF(P2347="","",IF(ISNUMBER(I2347),I2347,TasaUSD))</f>
        <v/>
      </c>
      <c r="S2347" s="53">
        <f>IF(P2347="","",IF(H2347="USD",G2347*R2347,G2347))</f>
        <v/>
      </c>
      <c r="T2347" s="53">
        <f>IF(P2347="","",IF(H2347="USD",G2347,IF(R2347&gt;0,G2347/R2347,0)))</f>
        <v/>
      </c>
      <c r="U2347" s="53">
        <f>IF(P2347="","",IF(P2347="Gasto",S2347,IF(P2347="Reembolso",-S2347,0)))</f>
        <v/>
      </c>
      <c r="V2347" s="53">
        <f>IF(P2347="","",IF(P2347="Ingreso",S2347,0))</f>
        <v/>
      </c>
      <c r="W2347" s="53">
        <f>IF(P2347="","",IF(P2347="Resultado trading",S2347,0))</f>
        <v/>
      </c>
      <c r="X2347" s="52">
        <f>IF(OR(P2347="Gasto",P2347="Reembolso"),IF(M2347&lt;&gt;"",M2347,IFERROR(INDEX(catClasif,MATCH(D2347&amp;"|"&amp;E2347,catClave,0))&amp;"","Variable")),"")</f>
        <v/>
      </c>
      <c r="Y2347" s="52">
        <f>IF(P2347="","",IFERROR(INDEX(catGrupo,MATCH(D2347&amp;"|"&amp;E2347,catClave,0))&amp;"",""))</f>
        <v/>
      </c>
      <c r="Z2347" s="52">
        <f>IF(P2347="","",WEEKDAY(B2347,2))</f>
        <v/>
      </c>
      <c r="AA2347" s="52">
        <f>IF(P2347="","",IF(AND(P2347="Gasto",X2347="Variable",D2347&lt;&gt;catTrading,S2347&gt;0,S2347&lt;=Umbral),1,0))</f>
        <v/>
      </c>
      <c r="AB2347" s="52">
        <f>IF(OR(P2347="",Q2347=""),"",IFERROR(IF(INDEX(ctaVinc,MATCH(Q2347,ctaNombre,0))&amp;""&lt;&gt;"",INDEX(ctaVinc,MATCH(Q2347,ctaNombre,0))&amp;"",Q2347),Q2347))</f>
        <v/>
      </c>
      <c r="AC2347" s="52">
        <f>IF(OR(K2347="",AND(P2347&lt;&gt;"Transferencia",P2347&lt;&gt;"Pago tarjeta")),"",IFERROR(IF(INDEX(ctaVinc,MATCH(K2347,ctaNombre,0))&amp;""&lt;&gt;"",INDEX(ctaVinc,MATCH(K2347,ctaNombre,0))&amp;"",K2347),K2347))</f>
        <v/>
      </c>
      <c r="AD2347" s="52">
        <f>IF(AB2347="","",IFERROR(INDEX(ctaTipo,MATCH(AB2347,ctaNombre,0))&amp;"",""))</f>
        <v/>
      </c>
      <c r="AE2347" s="52">
        <f>IF(AC2347="","",IFERROR(INDEX(ctaTipo,MATCH(AC2347,ctaNombre,0))&amp;"",""))</f>
        <v/>
      </c>
      <c r="AF2347" s="53">
        <f>IF(OR(P2347="",AB2347=""),"",IF(OR(P2347="Gasto",P2347="Transferencia",P2347="Pago tarjeta"),-1,1)*IF(IFERROR(INDEX(ctaMoneda,MATCH(AB2347,ctaNombre,0))&amp;"","DOP")="USD",T2347,S2347))</f>
        <v/>
      </c>
      <c r="AG2347" s="53">
        <f>IF(AC2347="","",IF(IFERROR(INDEX(ctaMoneda,MATCH(AC2347,ctaNombre,0))&amp;"","DOP")="USD",T2347,S2347))</f>
        <v/>
      </c>
      <c r="AH2347" s="53">
        <f>IF(P2347="","",IF(AND(AD2347&lt;&gt;"",COUNTIFS(tcTipo,AD2347,tcLiq,"Sí")&gt;0),IF(OR(P2347="Gasto",P2347="Transferencia",P2347="Pago tarjeta"),-1,1)*S2347,0)+IF(AND(AE2347&lt;&gt;"",COUNTIFS(tcTipo,AE2347,tcLiq,"Sí")&gt;0),S2347,0))</f>
        <v/>
      </c>
      <c r="AI2347" s="52">
        <f>IF(OR(L2347="",P2347=""),"",IF(COUNTIFS(L$6:L2347,L2347,P$6:P2347,"?*")=1,MAX(AI$5:AI2346)+1,""))</f>
        <v/>
      </c>
    </row>
    <row r="2348">
      <c r="B2348" s="47" t="n"/>
      <c r="C2348" s="48" t="n"/>
      <c r="D2348" s="48" t="n"/>
      <c r="E2348" s="48" t="n"/>
      <c r="F2348" s="48" t="n"/>
      <c r="G2348" s="49" t="n"/>
      <c r="H2348" s="48" t="n"/>
      <c r="I2348" s="50" t="n"/>
      <c r="J2348" s="48" t="n"/>
      <c r="K2348" s="48" t="n"/>
      <c r="L2348" s="48" t="n"/>
      <c r="M2348" s="48" t="n"/>
      <c r="N2348" s="48" t="n"/>
      <c r="O2348" s="51">
        <f>IF(AND(B2348="",G2348="",C2348="",D2348="",J2348=""),"",IF(B2348="","⚠ Falta fecha",IF(G2348="","⚠ Falta monto",IF(Q2348="","⚠ Falta cuenta",IF(ISNA(MATCH(Q2348,ctaNombre,0)),"⚠ Cuenta no registrada",IF(AND(OR(P2348="Gasto",P2348="Reembolso"),D2348=""),"⚠ Falta categoría",IF(AND(D2348&lt;&gt;"",E2348&lt;&gt;"",ISNA(MATCH(D2348&amp;"|"&amp;E2348,catClave,0))),"⚠ Subcategoría no corresponde",IF(AND(OR(P2348="Transferencia",P2348="Pago tarjeta"),K2348=""),"⚠ Falta cuenta destino",IF(AND(K2348&lt;&gt;"",P2348&lt;&gt;"Transferencia",P2348&lt;&gt;"Pago tarjeta"),"⚠ Destino solo aplica a transferencias",IF(AND(K2348&lt;&gt;"",K2348=Q2348),"⚠ Origen igual a destino",IF(AND(K2348&lt;&gt;"",ISNA(MATCH(K2348,ctaNombre,0))),"⚠ Destino no registrado",IF(AND(P2348="Pago tarjeta",AE2348&lt;&gt;"Tarjeta de crédito"),"⚠ El destino debe ser tarjeta de crédito",IF(AND(P2348="Gasto",E2348="Depósitos y retiros"),"⚠ Usa tipo Transferencia",IF(AND(P2348="Resultado trading",AD2348&lt;&gt;"Cuenta de trading"),"⚠ Usa una cuenta de trading",IF(AND(G2348&lt;=0,P2348&lt;&gt;"Ajuste",P2348&lt;&gt;"Resultado trading"),"⚠ El monto debe ser positivo","✓")))))))))))))))</f>
        <v/>
      </c>
      <c r="P2348" s="52">
        <f>IF(OR(B2348="",G2348=""),"",IF(C2348="","Gasto",C2348))</f>
        <v/>
      </c>
      <c r="Q2348" s="52">
        <f>IF(P2348="","",IF(J2348&lt;&gt;"",J2348,CuentaPred&amp;""))</f>
        <v/>
      </c>
      <c r="R2348" s="52">
        <f>IF(P2348="","",IF(ISNUMBER(I2348),I2348,TasaUSD))</f>
        <v/>
      </c>
      <c r="S2348" s="53">
        <f>IF(P2348="","",IF(H2348="USD",G2348*R2348,G2348))</f>
        <v/>
      </c>
      <c r="T2348" s="53">
        <f>IF(P2348="","",IF(H2348="USD",G2348,IF(R2348&gt;0,G2348/R2348,0)))</f>
        <v/>
      </c>
      <c r="U2348" s="53">
        <f>IF(P2348="","",IF(P2348="Gasto",S2348,IF(P2348="Reembolso",-S2348,0)))</f>
        <v/>
      </c>
      <c r="V2348" s="53">
        <f>IF(P2348="","",IF(P2348="Ingreso",S2348,0))</f>
        <v/>
      </c>
      <c r="W2348" s="53">
        <f>IF(P2348="","",IF(P2348="Resultado trading",S2348,0))</f>
        <v/>
      </c>
      <c r="X2348" s="52">
        <f>IF(OR(P2348="Gasto",P2348="Reembolso"),IF(M2348&lt;&gt;"",M2348,IFERROR(INDEX(catClasif,MATCH(D2348&amp;"|"&amp;E2348,catClave,0))&amp;"","Variable")),"")</f>
        <v/>
      </c>
      <c r="Y2348" s="52">
        <f>IF(P2348="","",IFERROR(INDEX(catGrupo,MATCH(D2348&amp;"|"&amp;E2348,catClave,0))&amp;"",""))</f>
        <v/>
      </c>
      <c r="Z2348" s="52">
        <f>IF(P2348="","",WEEKDAY(B2348,2))</f>
        <v/>
      </c>
      <c r="AA2348" s="52">
        <f>IF(P2348="","",IF(AND(P2348="Gasto",X2348="Variable",D2348&lt;&gt;catTrading,S2348&gt;0,S2348&lt;=Umbral),1,0))</f>
        <v/>
      </c>
      <c r="AB2348" s="52">
        <f>IF(OR(P2348="",Q2348=""),"",IFERROR(IF(INDEX(ctaVinc,MATCH(Q2348,ctaNombre,0))&amp;""&lt;&gt;"",INDEX(ctaVinc,MATCH(Q2348,ctaNombre,0))&amp;"",Q2348),Q2348))</f>
        <v/>
      </c>
      <c r="AC2348" s="52">
        <f>IF(OR(K2348="",AND(P2348&lt;&gt;"Transferencia",P2348&lt;&gt;"Pago tarjeta")),"",IFERROR(IF(INDEX(ctaVinc,MATCH(K2348,ctaNombre,0))&amp;""&lt;&gt;"",INDEX(ctaVinc,MATCH(K2348,ctaNombre,0))&amp;"",K2348),K2348))</f>
        <v/>
      </c>
      <c r="AD2348" s="52">
        <f>IF(AB2348="","",IFERROR(INDEX(ctaTipo,MATCH(AB2348,ctaNombre,0))&amp;"",""))</f>
        <v/>
      </c>
      <c r="AE2348" s="52">
        <f>IF(AC2348="","",IFERROR(INDEX(ctaTipo,MATCH(AC2348,ctaNombre,0))&amp;"",""))</f>
        <v/>
      </c>
      <c r="AF2348" s="53">
        <f>IF(OR(P2348="",AB2348=""),"",IF(OR(P2348="Gasto",P2348="Transferencia",P2348="Pago tarjeta"),-1,1)*IF(IFERROR(INDEX(ctaMoneda,MATCH(AB2348,ctaNombre,0))&amp;"","DOP")="USD",T2348,S2348))</f>
        <v/>
      </c>
      <c r="AG2348" s="53">
        <f>IF(AC2348="","",IF(IFERROR(INDEX(ctaMoneda,MATCH(AC2348,ctaNombre,0))&amp;"","DOP")="USD",T2348,S2348))</f>
        <v/>
      </c>
      <c r="AH2348" s="53">
        <f>IF(P2348="","",IF(AND(AD2348&lt;&gt;"",COUNTIFS(tcTipo,AD2348,tcLiq,"Sí")&gt;0),IF(OR(P2348="Gasto",P2348="Transferencia",P2348="Pago tarjeta"),-1,1)*S2348,0)+IF(AND(AE2348&lt;&gt;"",COUNTIFS(tcTipo,AE2348,tcLiq,"Sí")&gt;0),S2348,0))</f>
        <v/>
      </c>
      <c r="AI2348" s="52">
        <f>IF(OR(L2348="",P2348=""),"",IF(COUNTIFS(L$6:L2348,L2348,P$6:P2348,"?*")=1,MAX(AI$5:AI2347)+1,""))</f>
        <v/>
      </c>
    </row>
    <row r="2349">
      <c r="B2349" s="47" t="n"/>
      <c r="C2349" s="48" t="n"/>
      <c r="D2349" s="48" t="n"/>
      <c r="E2349" s="48" t="n"/>
      <c r="F2349" s="48" t="n"/>
      <c r="G2349" s="49" t="n"/>
      <c r="H2349" s="48" t="n"/>
      <c r="I2349" s="50" t="n"/>
      <c r="J2349" s="48" t="n"/>
      <c r="K2349" s="48" t="n"/>
      <c r="L2349" s="48" t="n"/>
      <c r="M2349" s="48" t="n"/>
      <c r="N2349" s="48" t="n"/>
      <c r="O2349" s="51">
        <f>IF(AND(B2349="",G2349="",C2349="",D2349="",J2349=""),"",IF(B2349="","⚠ Falta fecha",IF(G2349="","⚠ Falta monto",IF(Q2349="","⚠ Falta cuenta",IF(ISNA(MATCH(Q2349,ctaNombre,0)),"⚠ Cuenta no registrada",IF(AND(OR(P2349="Gasto",P2349="Reembolso"),D2349=""),"⚠ Falta categoría",IF(AND(D2349&lt;&gt;"",E2349&lt;&gt;"",ISNA(MATCH(D2349&amp;"|"&amp;E2349,catClave,0))),"⚠ Subcategoría no corresponde",IF(AND(OR(P2349="Transferencia",P2349="Pago tarjeta"),K2349=""),"⚠ Falta cuenta destino",IF(AND(K2349&lt;&gt;"",P2349&lt;&gt;"Transferencia",P2349&lt;&gt;"Pago tarjeta"),"⚠ Destino solo aplica a transferencias",IF(AND(K2349&lt;&gt;"",K2349=Q2349),"⚠ Origen igual a destino",IF(AND(K2349&lt;&gt;"",ISNA(MATCH(K2349,ctaNombre,0))),"⚠ Destino no registrado",IF(AND(P2349="Pago tarjeta",AE2349&lt;&gt;"Tarjeta de crédito"),"⚠ El destino debe ser tarjeta de crédito",IF(AND(P2349="Gasto",E2349="Depósitos y retiros"),"⚠ Usa tipo Transferencia",IF(AND(P2349="Resultado trading",AD2349&lt;&gt;"Cuenta de trading"),"⚠ Usa una cuenta de trading",IF(AND(G2349&lt;=0,P2349&lt;&gt;"Ajuste",P2349&lt;&gt;"Resultado trading"),"⚠ El monto debe ser positivo","✓")))))))))))))))</f>
        <v/>
      </c>
      <c r="P2349" s="52">
        <f>IF(OR(B2349="",G2349=""),"",IF(C2349="","Gasto",C2349))</f>
        <v/>
      </c>
      <c r="Q2349" s="52">
        <f>IF(P2349="","",IF(J2349&lt;&gt;"",J2349,CuentaPred&amp;""))</f>
        <v/>
      </c>
      <c r="R2349" s="52">
        <f>IF(P2349="","",IF(ISNUMBER(I2349),I2349,TasaUSD))</f>
        <v/>
      </c>
      <c r="S2349" s="53">
        <f>IF(P2349="","",IF(H2349="USD",G2349*R2349,G2349))</f>
        <v/>
      </c>
      <c r="T2349" s="53">
        <f>IF(P2349="","",IF(H2349="USD",G2349,IF(R2349&gt;0,G2349/R2349,0)))</f>
        <v/>
      </c>
      <c r="U2349" s="53">
        <f>IF(P2349="","",IF(P2349="Gasto",S2349,IF(P2349="Reembolso",-S2349,0)))</f>
        <v/>
      </c>
      <c r="V2349" s="53">
        <f>IF(P2349="","",IF(P2349="Ingreso",S2349,0))</f>
        <v/>
      </c>
      <c r="W2349" s="53">
        <f>IF(P2349="","",IF(P2349="Resultado trading",S2349,0))</f>
        <v/>
      </c>
      <c r="X2349" s="52">
        <f>IF(OR(P2349="Gasto",P2349="Reembolso"),IF(M2349&lt;&gt;"",M2349,IFERROR(INDEX(catClasif,MATCH(D2349&amp;"|"&amp;E2349,catClave,0))&amp;"","Variable")),"")</f>
        <v/>
      </c>
      <c r="Y2349" s="52">
        <f>IF(P2349="","",IFERROR(INDEX(catGrupo,MATCH(D2349&amp;"|"&amp;E2349,catClave,0))&amp;"",""))</f>
        <v/>
      </c>
      <c r="Z2349" s="52">
        <f>IF(P2349="","",WEEKDAY(B2349,2))</f>
        <v/>
      </c>
      <c r="AA2349" s="52">
        <f>IF(P2349="","",IF(AND(P2349="Gasto",X2349="Variable",D2349&lt;&gt;catTrading,S2349&gt;0,S2349&lt;=Umbral),1,0))</f>
        <v/>
      </c>
      <c r="AB2349" s="52">
        <f>IF(OR(P2349="",Q2349=""),"",IFERROR(IF(INDEX(ctaVinc,MATCH(Q2349,ctaNombre,0))&amp;""&lt;&gt;"",INDEX(ctaVinc,MATCH(Q2349,ctaNombre,0))&amp;"",Q2349),Q2349))</f>
        <v/>
      </c>
      <c r="AC2349" s="52">
        <f>IF(OR(K2349="",AND(P2349&lt;&gt;"Transferencia",P2349&lt;&gt;"Pago tarjeta")),"",IFERROR(IF(INDEX(ctaVinc,MATCH(K2349,ctaNombre,0))&amp;""&lt;&gt;"",INDEX(ctaVinc,MATCH(K2349,ctaNombre,0))&amp;"",K2349),K2349))</f>
        <v/>
      </c>
      <c r="AD2349" s="52">
        <f>IF(AB2349="","",IFERROR(INDEX(ctaTipo,MATCH(AB2349,ctaNombre,0))&amp;"",""))</f>
        <v/>
      </c>
      <c r="AE2349" s="52">
        <f>IF(AC2349="","",IFERROR(INDEX(ctaTipo,MATCH(AC2349,ctaNombre,0))&amp;"",""))</f>
        <v/>
      </c>
      <c r="AF2349" s="53">
        <f>IF(OR(P2349="",AB2349=""),"",IF(OR(P2349="Gasto",P2349="Transferencia",P2349="Pago tarjeta"),-1,1)*IF(IFERROR(INDEX(ctaMoneda,MATCH(AB2349,ctaNombre,0))&amp;"","DOP")="USD",T2349,S2349))</f>
        <v/>
      </c>
      <c r="AG2349" s="53">
        <f>IF(AC2349="","",IF(IFERROR(INDEX(ctaMoneda,MATCH(AC2349,ctaNombre,0))&amp;"","DOP")="USD",T2349,S2349))</f>
        <v/>
      </c>
      <c r="AH2349" s="53">
        <f>IF(P2349="","",IF(AND(AD2349&lt;&gt;"",COUNTIFS(tcTipo,AD2349,tcLiq,"Sí")&gt;0),IF(OR(P2349="Gasto",P2349="Transferencia",P2349="Pago tarjeta"),-1,1)*S2349,0)+IF(AND(AE2349&lt;&gt;"",COUNTIFS(tcTipo,AE2349,tcLiq,"Sí")&gt;0),S2349,0))</f>
        <v/>
      </c>
      <c r="AI2349" s="52">
        <f>IF(OR(L2349="",P2349=""),"",IF(COUNTIFS(L$6:L2349,L2349,P$6:P2349,"?*")=1,MAX(AI$5:AI2348)+1,""))</f>
        <v/>
      </c>
    </row>
    <row r="2350">
      <c r="B2350" s="47" t="n"/>
      <c r="C2350" s="48" t="n"/>
      <c r="D2350" s="48" t="n"/>
      <c r="E2350" s="48" t="n"/>
      <c r="F2350" s="48" t="n"/>
      <c r="G2350" s="49" t="n"/>
      <c r="H2350" s="48" t="n"/>
      <c r="I2350" s="50" t="n"/>
      <c r="J2350" s="48" t="n"/>
      <c r="K2350" s="48" t="n"/>
      <c r="L2350" s="48" t="n"/>
      <c r="M2350" s="48" t="n"/>
      <c r="N2350" s="48" t="n"/>
      <c r="O2350" s="51">
        <f>IF(AND(B2350="",G2350="",C2350="",D2350="",J2350=""),"",IF(B2350="","⚠ Falta fecha",IF(G2350="","⚠ Falta monto",IF(Q2350="","⚠ Falta cuenta",IF(ISNA(MATCH(Q2350,ctaNombre,0)),"⚠ Cuenta no registrada",IF(AND(OR(P2350="Gasto",P2350="Reembolso"),D2350=""),"⚠ Falta categoría",IF(AND(D2350&lt;&gt;"",E2350&lt;&gt;"",ISNA(MATCH(D2350&amp;"|"&amp;E2350,catClave,0))),"⚠ Subcategoría no corresponde",IF(AND(OR(P2350="Transferencia",P2350="Pago tarjeta"),K2350=""),"⚠ Falta cuenta destino",IF(AND(K2350&lt;&gt;"",P2350&lt;&gt;"Transferencia",P2350&lt;&gt;"Pago tarjeta"),"⚠ Destino solo aplica a transferencias",IF(AND(K2350&lt;&gt;"",K2350=Q2350),"⚠ Origen igual a destino",IF(AND(K2350&lt;&gt;"",ISNA(MATCH(K2350,ctaNombre,0))),"⚠ Destino no registrado",IF(AND(P2350="Pago tarjeta",AE2350&lt;&gt;"Tarjeta de crédito"),"⚠ El destino debe ser tarjeta de crédito",IF(AND(P2350="Gasto",E2350="Depósitos y retiros"),"⚠ Usa tipo Transferencia",IF(AND(P2350="Resultado trading",AD2350&lt;&gt;"Cuenta de trading"),"⚠ Usa una cuenta de trading",IF(AND(G2350&lt;=0,P2350&lt;&gt;"Ajuste",P2350&lt;&gt;"Resultado trading"),"⚠ El monto debe ser positivo","✓")))))))))))))))</f>
        <v/>
      </c>
      <c r="P2350" s="52">
        <f>IF(OR(B2350="",G2350=""),"",IF(C2350="","Gasto",C2350))</f>
        <v/>
      </c>
      <c r="Q2350" s="52">
        <f>IF(P2350="","",IF(J2350&lt;&gt;"",J2350,CuentaPred&amp;""))</f>
        <v/>
      </c>
      <c r="R2350" s="52">
        <f>IF(P2350="","",IF(ISNUMBER(I2350),I2350,TasaUSD))</f>
        <v/>
      </c>
      <c r="S2350" s="53">
        <f>IF(P2350="","",IF(H2350="USD",G2350*R2350,G2350))</f>
        <v/>
      </c>
      <c r="T2350" s="53">
        <f>IF(P2350="","",IF(H2350="USD",G2350,IF(R2350&gt;0,G2350/R2350,0)))</f>
        <v/>
      </c>
      <c r="U2350" s="53">
        <f>IF(P2350="","",IF(P2350="Gasto",S2350,IF(P2350="Reembolso",-S2350,0)))</f>
        <v/>
      </c>
      <c r="V2350" s="53">
        <f>IF(P2350="","",IF(P2350="Ingreso",S2350,0))</f>
        <v/>
      </c>
      <c r="W2350" s="53">
        <f>IF(P2350="","",IF(P2350="Resultado trading",S2350,0))</f>
        <v/>
      </c>
      <c r="X2350" s="52">
        <f>IF(OR(P2350="Gasto",P2350="Reembolso"),IF(M2350&lt;&gt;"",M2350,IFERROR(INDEX(catClasif,MATCH(D2350&amp;"|"&amp;E2350,catClave,0))&amp;"","Variable")),"")</f>
        <v/>
      </c>
      <c r="Y2350" s="52">
        <f>IF(P2350="","",IFERROR(INDEX(catGrupo,MATCH(D2350&amp;"|"&amp;E2350,catClave,0))&amp;"",""))</f>
        <v/>
      </c>
      <c r="Z2350" s="52">
        <f>IF(P2350="","",WEEKDAY(B2350,2))</f>
        <v/>
      </c>
      <c r="AA2350" s="52">
        <f>IF(P2350="","",IF(AND(P2350="Gasto",X2350="Variable",D2350&lt;&gt;catTrading,S2350&gt;0,S2350&lt;=Umbral),1,0))</f>
        <v/>
      </c>
      <c r="AB2350" s="52">
        <f>IF(OR(P2350="",Q2350=""),"",IFERROR(IF(INDEX(ctaVinc,MATCH(Q2350,ctaNombre,0))&amp;""&lt;&gt;"",INDEX(ctaVinc,MATCH(Q2350,ctaNombre,0))&amp;"",Q2350),Q2350))</f>
        <v/>
      </c>
      <c r="AC2350" s="52">
        <f>IF(OR(K2350="",AND(P2350&lt;&gt;"Transferencia",P2350&lt;&gt;"Pago tarjeta")),"",IFERROR(IF(INDEX(ctaVinc,MATCH(K2350,ctaNombre,0))&amp;""&lt;&gt;"",INDEX(ctaVinc,MATCH(K2350,ctaNombre,0))&amp;"",K2350),K2350))</f>
        <v/>
      </c>
      <c r="AD2350" s="52">
        <f>IF(AB2350="","",IFERROR(INDEX(ctaTipo,MATCH(AB2350,ctaNombre,0))&amp;"",""))</f>
        <v/>
      </c>
      <c r="AE2350" s="52">
        <f>IF(AC2350="","",IFERROR(INDEX(ctaTipo,MATCH(AC2350,ctaNombre,0))&amp;"",""))</f>
        <v/>
      </c>
      <c r="AF2350" s="53">
        <f>IF(OR(P2350="",AB2350=""),"",IF(OR(P2350="Gasto",P2350="Transferencia",P2350="Pago tarjeta"),-1,1)*IF(IFERROR(INDEX(ctaMoneda,MATCH(AB2350,ctaNombre,0))&amp;"","DOP")="USD",T2350,S2350))</f>
        <v/>
      </c>
      <c r="AG2350" s="53">
        <f>IF(AC2350="","",IF(IFERROR(INDEX(ctaMoneda,MATCH(AC2350,ctaNombre,0))&amp;"","DOP")="USD",T2350,S2350))</f>
        <v/>
      </c>
      <c r="AH2350" s="53">
        <f>IF(P2350="","",IF(AND(AD2350&lt;&gt;"",COUNTIFS(tcTipo,AD2350,tcLiq,"Sí")&gt;0),IF(OR(P2350="Gasto",P2350="Transferencia",P2350="Pago tarjeta"),-1,1)*S2350,0)+IF(AND(AE2350&lt;&gt;"",COUNTIFS(tcTipo,AE2350,tcLiq,"Sí")&gt;0),S2350,0))</f>
        <v/>
      </c>
      <c r="AI2350" s="52">
        <f>IF(OR(L2350="",P2350=""),"",IF(COUNTIFS(L$6:L2350,L2350,P$6:P2350,"?*")=1,MAX(AI$5:AI2349)+1,""))</f>
        <v/>
      </c>
    </row>
    <row r="2351">
      <c r="B2351" s="47" t="n"/>
      <c r="C2351" s="48" t="n"/>
      <c r="D2351" s="48" t="n"/>
      <c r="E2351" s="48" t="n"/>
      <c r="F2351" s="48" t="n"/>
      <c r="G2351" s="49" t="n"/>
      <c r="H2351" s="48" t="n"/>
      <c r="I2351" s="50" t="n"/>
      <c r="J2351" s="48" t="n"/>
      <c r="K2351" s="48" t="n"/>
      <c r="L2351" s="48" t="n"/>
      <c r="M2351" s="48" t="n"/>
      <c r="N2351" s="48" t="n"/>
      <c r="O2351" s="51">
        <f>IF(AND(B2351="",G2351="",C2351="",D2351="",J2351=""),"",IF(B2351="","⚠ Falta fecha",IF(G2351="","⚠ Falta monto",IF(Q2351="","⚠ Falta cuenta",IF(ISNA(MATCH(Q2351,ctaNombre,0)),"⚠ Cuenta no registrada",IF(AND(OR(P2351="Gasto",P2351="Reembolso"),D2351=""),"⚠ Falta categoría",IF(AND(D2351&lt;&gt;"",E2351&lt;&gt;"",ISNA(MATCH(D2351&amp;"|"&amp;E2351,catClave,0))),"⚠ Subcategoría no corresponde",IF(AND(OR(P2351="Transferencia",P2351="Pago tarjeta"),K2351=""),"⚠ Falta cuenta destino",IF(AND(K2351&lt;&gt;"",P2351&lt;&gt;"Transferencia",P2351&lt;&gt;"Pago tarjeta"),"⚠ Destino solo aplica a transferencias",IF(AND(K2351&lt;&gt;"",K2351=Q2351),"⚠ Origen igual a destino",IF(AND(K2351&lt;&gt;"",ISNA(MATCH(K2351,ctaNombre,0))),"⚠ Destino no registrado",IF(AND(P2351="Pago tarjeta",AE2351&lt;&gt;"Tarjeta de crédito"),"⚠ El destino debe ser tarjeta de crédito",IF(AND(P2351="Gasto",E2351="Depósitos y retiros"),"⚠ Usa tipo Transferencia",IF(AND(P2351="Resultado trading",AD2351&lt;&gt;"Cuenta de trading"),"⚠ Usa una cuenta de trading",IF(AND(G2351&lt;=0,P2351&lt;&gt;"Ajuste",P2351&lt;&gt;"Resultado trading"),"⚠ El monto debe ser positivo","✓")))))))))))))))</f>
        <v/>
      </c>
      <c r="P2351" s="52">
        <f>IF(OR(B2351="",G2351=""),"",IF(C2351="","Gasto",C2351))</f>
        <v/>
      </c>
      <c r="Q2351" s="52">
        <f>IF(P2351="","",IF(J2351&lt;&gt;"",J2351,CuentaPred&amp;""))</f>
        <v/>
      </c>
      <c r="R2351" s="52">
        <f>IF(P2351="","",IF(ISNUMBER(I2351),I2351,TasaUSD))</f>
        <v/>
      </c>
      <c r="S2351" s="53">
        <f>IF(P2351="","",IF(H2351="USD",G2351*R2351,G2351))</f>
        <v/>
      </c>
      <c r="T2351" s="53">
        <f>IF(P2351="","",IF(H2351="USD",G2351,IF(R2351&gt;0,G2351/R2351,0)))</f>
        <v/>
      </c>
      <c r="U2351" s="53">
        <f>IF(P2351="","",IF(P2351="Gasto",S2351,IF(P2351="Reembolso",-S2351,0)))</f>
        <v/>
      </c>
      <c r="V2351" s="53">
        <f>IF(P2351="","",IF(P2351="Ingreso",S2351,0))</f>
        <v/>
      </c>
      <c r="W2351" s="53">
        <f>IF(P2351="","",IF(P2351="Resultado trading",S2351,0))</f>
        <v/>
      </c>
      <c r="X2351" s="52">
        <f>IF(OR(P2351="Gasto",P2351="Reembolso"),IF(M2351&lt;&gt;"",M2351,IFERROR(INDEX(catClasif,MATCH(D2351&amp;"|"&amp;E2351,catClave,0))&amp;"","Variable")),"")</f>
        <v/>
      </c>
      <c r="Y2351" s="52">
        <f>IF(P2351="","",IFERROR(INDEX(catGrupo,MATCH(D2351&amp;"|"&amp;E2351,catClave,0))&amp;"",""))</f>
        <v/>
      </c>
      <c r="Z2351" s="52">
        <f>IF(P2351="","",WEEKDAY(B2351,2))</f>
        <v/>
      </c>
      <c r="AA2351" s="52">
        <f>IF(P2351="","",IF(AND(P2351="Gasto",X2351="Variable",D2351&lt;&gt;catTrading,S2351&gt;0,S2351&lt;=Umbral),1,0))</f>
        <v/>
      </c>
      <c r="AB2351" s="52">
        <f>IF(OR(P2351="",Q2351=""),"",IFERROR(IF(INDEX(ctaVinc,MATCH(Q2351,ctaNombre,0))&amp;""&lt;&gt;"",INDEX(ctaVinc,MATCH(Q2351,ctaNombre,0))&amp;"",Q2351),Q2351))</f>
        <v/>
      </c>
      <c r="AC2351" s="52">
        <f>IF(OR(K2351="",AND(P2351&lt;&gt;"Transferencia",P2351&lt;&gt;"Pago tarjeta")),"",IFERROR(IF(INDEX(ctaVinc,MATCH(K2351,ctaNombre,0))&amp;""&lt;&gt;"",INDEX(ctaVinc,MATCH(K2351,ctaNombre,0))&amp;"",K2351),K2351))</f>
        <v/>
      </c>
      <c r="AD2351" s="52">
        <f>IF(AB2351="","",IFERROR(INDEX(ctaTipo,MATCH(AB2351,ctaNombre,0))&amp;"",""))</f>
        <v/>
      </c>
      <c r="AE2351" s="52">
        <f>IF(AC2351="","",IFERROR(INDEX(ctaTipo,MATCH(AC2351,ctaNombre,0))&amp;"",""))</f>
        <v/>
      </c>
      <c r="AF2351" s="53">
        <f>IF(OR(P2351="",AB2351=""),"",IF(OR(P2351="Gasto",P2351="Transferencia",P2351="Pago tarjeta"),-1,1)*IF(IFERROR(INDEX(ctaMoneda,MATCH(AB2351,ctaNombre,0))&amp;"","DOP")="USD",T2351,S2351))</f>
        <v/>
      </c>
      <c r="AG2351" s="53">
        <f>IF(AC2351="","",IF(IFERROR(INDEX(ctaMoneda,MATCH(AC2351,ctaNombre,0))&amp;"","DOP")="USD",T2351,S2351))</f>
        <v/>
      </c>
      <c r="AH2351" s="53">
        <f>IF(P2351="","",IF(AND(AD2351&lt;&gt;"",COUNTIFS(tcTipo,AD2351,tcLiq,"Sí")&gt;0),IF(OR(P2351="Gasto",P2351="Transferencia",P2351="Pago tarjeta"),-1,1)*S2351,0)+IF(AND(AE2351&lt;&gt;"",COUNTIFS(tcTipo,AE2351,tcLiq,"Sí")&gt;0),S2351,0))</f>
        <v/>
      </c>
      <c r="AI2351" s="52">
        <f>IF(OR(L2351="",P2351=""),"",IF(COUNTIFS(L$6:L2351,L2351,P$6:P2351,"?*")=1,MAX(AI$5:AI2350)+1,""))</f>
        <v/>
      </c>
    </row>
    <row r="2352">
      <c r="B2352" s="47" t="n"/>
      <c r="C2352" s="48" t="n"/>
      <c r="D2352" s="48" t="n"/>
      <c r="E2352" s="48" t="n"/>
      <c r="F2352" s="48" t="n"/>
      <c r="G2352" s="49" t="n"/>
      <c r="H2352" s="48" t="n"/>
      <c r="I2352" s="50" t="n"/>
      <c r="J2352" s="48" t="n"/>
      <c r="K2352" s="48" t="n"/>
      <c r="L2352" s="48" t="n"/>
      <c r="M2352" s="48" t="n"/>
      <c r="N2352" s="48" t="n"/>
      <c r="O2352" s="51">
        <f>IF(AND(B2352="",G2352="",C2352="",D2352="",J2352=""),"",IF(B2352="","⚠ Falta fecha",IF(G2352="","⚠ Falta monto",IF(Q2352="","⚠ Falta cuenta",IF(ISNA(MATCH(Q2352,ctaNombre,0)),"⚠ Cuenta no registrada",IF(AND(OR(P2352="Gasto",P2352="Reembolso"),D2352=""),"⚠ Falta categoría",IF(AND(D2352&lt;&gt;"",E2352&lt;&gt;"",ISNA(MATCH(D2352&amp;"|"&amp;E2352,catClave,0))),"⚠ Subcategoría no corresponde",IF(AND(OR(P2352="Transferencia",P2352="Pago tarjeta"),K2352=""),"⚠ Falta cuenta destino",IF(AND(K2352&lt;&gt;"",P2352&lt;&gt;"Transferencia",P2352&lt;&gt;"Pago tarjeta"),"⚠ Destino solo aplica a transferencias",IF(AND(K2352&lt;&gt;"",K2352=Q2352),"⚠ Origen igual a destino",IF(AND(K2352&lt;&gt;"",ISNA(MATCH(K2352,ctaNombre,0))),"⚠ Destino no registrado",IF(AND(P2352="Pago tarjeta",AE2352&lt;&gt;"Tarjeta de crédito"),"⚠ El destino debe ser tarjeta de crédito",IF(AND(P2352="Gasto",E2352="Depósitos y retiros"),"⚠ Usa tipo Transferencia",IF(AND(P2352="Resultado trading",AD2352&lt;&gt;"Cuenta de trading"),"⚠ Usa una cuenta de trading",IF(AND(G2352&lt;=0,P2352&lt;&gt;"Ajuste",P2352&lt;&gt;"Resultado trading"),"⚠ El monto debe ser positivo","✓")))))))))))))))</f>
        <v/>
      </c>
      <c r="P2352" s="52">
        <f>IF(OR(B2352="",G2352=""),"",IF(C2352="","Gasto",C2352))</f>
        <v/>
      </c>
      <c r="Q2352" s="52">
        <f>IF(P2352="","",IF(J2352&lt;&gt;"",J2352,CuentaPred&amp;""))</f>
        <v/>
      </c>
      <c r="R2352" s="52">
        <f>IF(P2352="","",IF(ISNUMBER(I2352),I2352,TasaUSD))</f>
        <v/>
      </c>
      <c r="S2352" s="53">
        <f>IF(P2352="","",IF(H2352="USD",G2352*R2352,G2352))</f>
        <v/>
      </c>
      <c r="T2352" s="53">
        <f>IF(P2352="","",IF(H2352="USD",G2352,IF(R2352&gt;0,G2352/R2352,0)))</f>
        <v/>
      </c>
      <c r="U2352" s="53">
        <f>IF(P2352="","",IF(P2352="Gasto",S2352,IF(P2352="Reembolso",-S2352,0)))</f>
        <v/>
      </c>
      <c r="V2352" s="53">
        <f>IF(P2352="","",IF(P2352="Ingreso",S2352,0))</f>
        <v/>
      </c>
      <c r="W2352" s="53">
        <f>IF(P2352="","",IF(P2352="Resultado trading",S2352,0))</f>
        <v/>
      </c>
      <c r="X2352" s="52">
        <f>IF(OR(P2352="Gasto",P2352="Reembolso"),IF(M2352&lt;&gt;"",M2352,IFERROR(INDEX(catClasif,MATCH(D2352&amp;"|"&amp;E2352,catClave,0))&amp;"","Variable")),"")</f>
        <v/>
      </c>
      <c r="Y2352" s="52">
        <f>IF(P2352="","",IFERROR(INDEX(catGrupo,MATCH(D2352&amp;"|"&amp;E2352,catClave,0))&amp;"",""))</f>
        <v/>
      </c>
      <c r="Z2352" s="52">
        <f>IF(P2352="","",WEEKDAY(B2352,2))</f>
        <v/>
      </c>
      <c r="AA2352" s="52">
        <f>IF(P2352="","",IF(AND(P2352="Gasto",X2352="Variable",D2352&lt;&gt;catTrading,S2352&gt;0,S2352&lt;=Umbral),1,0))</f>
        <v/>
      </c>
      <c r="AB2352" s="52">
        <f>IF(OR(P2352="",Q2352=""),"",IFERROR(IF(INDEX(ctaVinc,MATCH(Q2352,ctaNombre,0))&amp;""&lt;&gt;"",INDEX(ctaVinc,MATCH(Q2352,ctaNombre,0))&amp;"",Q2352),Q2352))</f>
        <v/>
      </c>
      <c r="AC2352" s="52">
        <f>IF(OR(K2352="",AND(P2352&lt;&gt;"Transferencia",P2352&lt;&gt;"Pago tarjeta")),"",IFERROR(IF(INDEX(ctaVinc,MATCH(K2352,ctaNombre,0))&amp;""&lt;&gt;"",INDEX(ctaVinc,MATCH(K2352,ctaNombre,0))&amp;"",K2352),K2352))</f>
        <v/>
      </c>
      <c r="AD2352" s="52">
        <f>IF(AB2352="","",IFERROR(INDEX(ctaTipo,MATCH(AB2352,ctaNombre,0))&amp;"",""))</f>
        <v/>
      </c>
      <c r="AE2352" s="52">
        <f>IF(AC2352="","",IFERROR(INDEX(ctaTipo,MATCH(AC2352,ctaNombre,0))&amp;"",""))</f>
        <v/>
      </c>
      <c r="AF2352" s="53">
        <f>IF(OR(P2352="",AB2352=""),"",IF(OR(P2352="Gasto",P2352="Transferencia",P2352="Pago tarjeta"),-1,1)*IF(IFERROR(INDEX(ctaMoneda,MATCH(AB2352,ctaNombre,0))&amp;"","DOP")="USD",T2352,S2352))</f>
        <v/>
      </c>
      <c r="AG2352" s="53">
        <f>IF(AC2352="","",IF(IFERROR(INDEX(ctaMoneda,MATCH(AC2352,ctaNombre,0))&amp;"","DOP")="USD",T2352,S2352))</f>
        <v/>
      </c>
      <c r="AH2352" s="53">
        <f>IF(P2352="","",IF(AND(AD2352&lt;&gt;"",COUNTIFS(tcTipo,AD2352,tcLiq,"Sí")&gt;0),IF(OR(P2352="Gasto",P2352="Transferencia",P2352="Pago tarjeta"),-1,1)*S2352,0)+IF(AND(AE2352&lt;&gt;"",COUNTIFS(tcTipo,AE2352,tcLiq,"Sí")&gt;0),S2352,0))</f>
        <v/>
      </c>
      <c r="AI2352" s="52">
        <f>IF(OR(L2352="",P2352=""),"",IF(COUNTIFS(L$6:L2352,L2352,P$6:P2352,"?*")=1,MAX(AI$5:AI2351)+1,""))</f>
        <v/>
      </c>
    </row>
    <row r="2353">
      <c r="B2353" s="47" t="n"/>
      <c r="C2353" s="48" t="n"/>
      <c r="D2353" s="48" t="n"/>
      <c r="E2353" s="48" t="n"/>
      <c r="F2353" s="48" t="n"/>
      <c r="G2353" s="49" t="n"/>
      <c r="H2353" s="48" t="n"/>
      <c r="I2353" s="50" t="n"/>
      <c r="J2353" s="48" t="n"/>
      <c r="K2353" s="48" t="n"/>
      <c r="L2353" s="48" t="n"/>
      <c r="M2353" s="48" t="n"/>
      <c r="N2353" s="48" t="n"/>
      <c r="O2353" s="51">
        <f>IF(AND(B2353="",G2353="",C2353="",D2353="",J2353=""),"",IF(B2353="","⚠ Falta fecha",IF(G2353="","⚠ Falta monto",IF(Q2353="","⚠ Falta cuenta",IF(ISNA(MATCH(Q2353,ctaNombre,0)),"⚠ Cuenta no registrada",IF(AND(OR(P2353="Gasto",P2353="Reembolso"),D2353=""),"⚠ Falta categoría",IF(AND(D2353&lt;&gt;"",E2353&lt;&gt;"",ISNA(MATCH(D2353&amp;"|"&amp;E2353,catClave,0))),"⚠ Subcategoría no corresponde",IF(AND(OR(P2353="Transferencia",P2353="Pago tarjeta"),K2353=""),"⚠ Falta cuenta destino",IF(AND(K2353&lt;&gt;"",P2353&lt;&gt;"Transferencia",P2353&lt;&gt;"Pago tarjeta"),"⚠ Destino solo aplica a transferencias",IF(AND(K2353&lt;&gt;"",K2353=Q2353),"⚠ Origen igual a destino",IF(AND(K2353&lt;&gt;"",ISNA(MATCH(K2353,ctaNombre,0))),"⚠ Destino no registrado",IF(AND(P2353="Pago tarjeta",AE2353&lt;&gt;"Tarjeta de crédito"),"⚠ El destino debe ser tarjeta de crédito",IF(AND(P2353="Gasto",E2353="Depósitos y retiros"),"⚠ Usa tipo Transferencia",IF(AND(P2353="Resultado trading",AD2353&lt;&gt;"Cuenta de trading"),"⚠ Usa una cuenta de trading",IF(AND(G2353&lt;=0,P2353&lt;&gt;"Ajuste",P2353&lt;&gt;"Resultado trading"),"⚠ El monto debe ser positivo","✓")))))))))))))))</f>
        <v/>
      </c>
      <c r="P2353" s="52">
        <f>IF(OR(B2353="",G2353=""),"",IF(C2353="","Gasto",C2353))</f>
        <v/>
      </c>
      <c r="Q2353" s="52">
        <f>IF(P2353="","",IF(J2353&lt;&gt;"",J2353,CuentaPred&amp;""))</f>
        <v/>
      </c>
      <c r="R2353" s="52">
        <f>IF(P2353="","",IF(ISNUMBER(I2353),I2353,TasaUSD))</f>
        <v/>
      </c>
      <c r="S2353" s="53">
        <f>IF(P2353="","",IF(H2353="USD",G2353*R2353,G2353))</f>
        <v/>
      </c>
      <c r="T2353" s="53">
        <f>IF(P2353="","",IF(H2353="USD",G2353,IF(R2353&gt;0,G2353/R2353,0)))</f>
        <v/>
      </c>
      <c r="U2353" s="53">
        <f>IF(P2353="","",IF(P2353="Gasto",S2353,IF(P2353="Reembolso",-S2353,0)))</f>
        <v/>
      </c>
      <c r="V2353" s="53">
        <f>IF(P2353="","",IF(P2353="Ingreso",S2353,0))</f>
        <v/>
      </c>
      <c r="W2353" s="53">
        <f>IF(P2353="","",IF(P2353="Resultado trading",S2353,0))</f>
        <v/>
      </c>
      <c r="X2353" s="52">
        <f>IF(OR(P2353="Gasto",P2353="Reembolso"),IF(M2353&lt;&gt;"",M2353,IFERROR(INDEX(catClasif,MATCH(D2353&amp;"|"&amp;E2353,catClave,0))&amp;"","Variable")),"")</f>
        <v/>
      </c>
      <c r="Y2353" s="52">
        <f>IF(P2353="","",IFERROR(INDEX(catGrupo,MATCH(D2353&amp;"|"&amp;E2353,catClave,0))&amp;"",""))</f>
        <v/>
      </c>
      <c r="Z2353" s="52">
        <f>IF(P2353="","",WEEKDAY(B2353,2))</f>
        <v/>
      </c>
      <c r="AA2353" s="52">
        <f>IF(P2353="","",IF(AND(P2353="Gasto",X2353="Variable",D2353&lt;&gt;catTrading,S2353&gt;0,S2353&lt;=Umbral),1,0))</f>
        <v/>
      </c>
      <c r="AB2353" s="52">
        <f>IF(OR(P2353="",Q2353=""),"",IFERROR(IF(INDEX(ctaVinc,MATCH(Q2353,ctaNombre,0))&amp;""&lt;&gt;"",INDEX(ctaVinc,MATCH(Q2353,ctaNombre,0))&amp;"",Q2353),Q2353))</f>
        <v/>
      </c>
      <c r="AC2353" s="52">
        <f>IF(OR(K2353="",AND(P2353&lt;&gt;"Transferencia",P2353&lt;&gt;"Pago tarjeta")),"",IFERROR(IF(INDEX(ctaVinc,MATCH(K2353,ctaNombre,0))&amp;""&lt;&gt;"",INDEX(ctaVinc,MATCH(K2353,ctaNombre,0))&amp;"",K2353),K2353))</f>
        <v/>
      </c>
      <c r="AD2353" s="52">
        <f>IF(AB2353="","",IFERROR(INDEX(ctaTipo,MATCH(AB2353,ctaNombre,0))&amp;"",""))</f>
        <v/>
      </c>
      <c r="AE2353" s="52">
        <f>IF(AC2353="","",IFERROR(INDEX(ctaTipo,MATCH(AC2353,ctaNombre,0))&amp;"",""))</f>
        <v/>
      </c>
      <c r="AF2353" s="53">
        <f>IF(OR(P2353="",AB2353=""),"",IF(OR(P2353="Gasto",P2353="Transferencia",P2353="Pago tarjeta"),-1,1)*IF(IFERROR(INDEX(ctaMoneda,MATCH(AB2353,ctaNombre,0))&amp;"","DOP")="USD",T2353,S2353))</f>
        <v/>
      </c>
      <c r="AG2353" s="53">
        <f>IF(AC2353="","",IF(IFERROR(INDEX(ctaMoneda,MATCH(AC2353,ctaNombre,0))&amp;"","DOP")="USD",T2353,S2353))</f>
        <v/>
      </c>
      <c r="AH2353" s="53">
        <f>IF(P2353="","",IF(AND(AD2353&lt;&gt;"",COUNTIFS(tcTipo,AD2353,tcLiq,"Sí")&gt;0),IF(OR(P2353="Gasto",P2353="Transferencia",P2353="Pago tarjeta"),-1,1)*S2353,0)+IF(AND(AE2353&lt;&gt;"",COUNTIFS(tcTipo,AE2353,tcLiq,"Sí")&gt;0),S2353,0))</f>
        <v/>
      </c>
      <c r="AI2353" s="52">
        <f>IF(OR(L2353="",P2353=""),"",IF(COUNTIFS(L$6:L2353,L2353,P$6:P2353,"?*")=1,MAX(AI$5:AI2352)+1,""))</f>
        <v/>
      </c>
    </row>
    <row r="2354">
      <c r="B2354" s="47" t="n"/>
      <c r="C2354" s="48" t="n"/>
      <c r="D2354" s="48" t="n"/>
      <c r="E2354" s="48" t="n"/>
      <c r="F2354" s="48" t="n"/>
      <c r="G2354" s="49" t="n"/>
      <c r="H2354" s="48" t="n"/>
      <c r="I2354" s="50" t="n"/>
      <c r="J2354" s="48" t="n"/>
      <c r="K2354" s="48" t="n"/>
      <c r="L2354" s="48" t="n"/>
      <c r="M2354" s="48" t="n"/>
      <c r="N2354" s="48" t="n"/>
      <c r="O2354" s="51">
        <f>IF(AND(B2354="",G2354="",C2354="",D2354="",J2354=""),"",IF(B2354="","⚠ Falta fecha",IF(G2354="","⚠ Falta monto",IF(Q2354="","⚠ Falta cuenta",IF(ISNA(MATCH(Q2354,ctaNombre,0)),"⚠ Cuenta no registrada",IF(AND(OR(P2354="Gasto",P2354="Reembolso"),D2354=""),"⚠ Falta categoría",IF(AND(D2354&lt;&gt;"",E2354&lt;&gt;"",ISNA(MATCH(D2354&amp;"|"&amp;E2354,catClave,0))),"⚠ Subcategoría no corresponde",IF(AND(OR(P2354="Transferencia",P2354="Pago tarjeta"),K2354=""),"⚠ Falta cuenta destino",IF(AND(K2354&lt;&gt;"",P2354&lt;&gt;"Transferencia",P2354&lt;&gt;"Pago tarjeta"),"⚠ Destino solo aplica a transferencias",IF(AND(K2354&lt;&gt;"",K2354=Q2354),"⚠ Origen igual a destino",IF(AND(K2354&lt;&gt;"",ISNA(MATCH(K2354,ctaNombre,0))),"⚠ Destino no registrado",IF(AND(P2354="Pago tarjeta",AE2354&lt;&gt;"Tarjeta de crédito"),"⚠ El destino debe ser tarjeta de crédito",IF(AND(P2354="Gasto",E2354="Depósitos y retiros"),"⚠ Usa tipo Transferencia",IF(AND(P2354="Resultado trading",AD2354&lt;&gt;"Cuenta de trading"),"⚠ Usa una cuenta de trading",IF(AND(G2354&lt;=0,P2354&lt;&gt;"Ajuste",P2354&lt;&gt;"Resultado trading"),"⚠ El monto debe ser positivo","✓")))))))))))))))</f>
        <v/>
      </c>
      <c r="P2354" s="52">
        <f>IF(OR(B2354="",G2354=""),"",IF(C2354="","Gasto",C2354))</f>
        <v/>
      </c>
      <c r="Q2354" s="52">
        <f>IF(P2354="","",IF(J2354&lt;&gt;"",J2354,CuentaPred&amp;""))</f>
        <v/>
      </c>
      <c r="R2354" s="52">
        <f>IF(P2354="","",IF(ISNUMBER(I2354),I2354,TasaUSD))</f>
        <v/>
      </c>
      <c r="S2354" s="53">
        <f>IF(P2354="","",IF(H2354="USD",G2354*R2354,G2354))</f>
        <v/>
      </c>
      <c r="T2354" s="53">
        <f>IF(P2354="","",IF(H2354="USD",G2354,IF(R2354&gt;0,G2354/R2354,0)))</f>
        <v/>
      </c>
      <c r="U2354" s="53">
        <f>IF(P2354="","",IF(P2354="Gasto",S2354,IF(P2354="Reembolso",-S2354,0)))</f>
        <v/>
      </c>
      <c r="V2354" s="53">
        <f>IF(P2354="","",IF(P2354="Ingreso",S2354,0))</f>
        <v/>
      </c>
      <c r="W2354" s="53">
        <f>IF(P2354="","",IF(P2354="Resultado trading",S2354,0))</f>
        <v/>
      </c>
      <c r="X2354" s="52">
        <f>IF(OR(P2354="Gasto",P2354="Reembolso"),IF(M2354&lt;&gt;"",M2354,IFERROR(INDEX(catClasif,MATCH(D2354&amp;"|"&amp;E2354,catClave,0))&amp;"","Variable")),"")</f>
        <v/>
      </c>
      <c r="Y2354" s="52">
        <f>IF(P2354="","",IFERROR(INDEX(catGrupo,MATCH(D2354&amp;"|"&amp;E2354,catClave,0))&amp;"",""))</f>
        <v/>
      </c>
      <c r="Z2354" s="52">
        <f>IF(P2354="","",WEEKDAY(B2354,2))</f>
        <v/>
      </c>
      <c r="AA2354" s="52">
        <f>IF(P2354="","",IF(AND(P2354="Gasto",X2354="Variable",D2354&lt;&gt;catTrading,S2354&gt;0,S2354&lt;=Umbral),1,0))</f>
        <v/>
      </c>
      <c r="AB2354" s="52">
        <f>IF(OR(P2354="",Q2354=""),"",IFERROR(IF(INDEX(ctaVinc,MATCH(Q2354,ctaNombre,0))&amp;""&lt;&gt;"",INDEX(ctaVinc,MATCH(Q2354,ctaNombre,0))&amp;"",Q2354),Q2354))</f>
        <v/>
      </c>
      <c r="AC2354" s="52">
        <f>IF(OR(K2354="",AND(P2354&lt;&gt;"Transferencia",P2354&lt;&gt;"Pago tarjeta")),"",IFERROR(IF(INDEX(ctaVinc,MATCH(K2354,ctaNombre,0))&amp;""&lt;&gt;"",INDEX(ctaVinc,MATCH(K2354,ctaNombre,0))&amp;"",K2354),K2354))</f>
        <v/>
      </c>
      <c r="AD2354" s="52">
        <f>IF(AB2354="","",IFERROR(INDEX(ctaTipo,MATCH(AB2354,ctaNombre,0))&amp;"",""))</f>
        <v/>
      </c>
      <c r="AE2354" s="52">
        <f>IF(AC2354="","",IFERROR(INDEX(ctaTipo,MATCH(AC2354,ctaNombre,0))&amp;"",""))</f>
        <v/>
      </c>
      <c r="AF2354" s="53">
        <f>IF(OR(P2354="",AB2354=""),"",IF(OR(P2354="Gasto",P2354="Transferencia",P2354="Pago tarjeta"),-1,1)*IF(IFERROR(INDEX(ctaMoneda,MATCH(AB2354,ctaNombre,0))&amp;"","DOP")="USD",T2354,S2354))</f>
        <v/>
      </c>
      <c r="AG2354" s="53">
        <f>IF(AC2354="","",IF(IFERROR(INDEX(ctaMoneda,MATCH(AC2354,ctaNombre,0))&amp;"","DOP")="USD",T2354,S2354))</f>
        <v/>
      </c>
      <c r="AH2354" s="53">
        <f>IF(P2354="","",IF(AND(AD2354&lt;&gt;"",COUNTIFS(tcTipo,AD2354,tcLiq,"Sí")&gt;0),IF(OR(P2354="Gasto",P2354="Transferencia",P2354="Pago tarjeta"),-1,1)*S2354,0)+IF(AND(AE2354&lt;&gt;"",COUNTIFS(tcTipo,AE2354,tcLiq,"Sí")&gt;0),S2354,0))</f>
        <v/>
      </c>
      <c r="AI2354" s="52">
        <f>IF(OR(L2354="",P2354=""),"",IF(COUNTIFS(L$6:L2354,L2354,P$6:P2354,"?*")=1,MAX(AI$5:AI2353)+1,""))</f>
        <v/>
      </c>
    </row>
    <row r="2355">
      <c r="B2355" s="47" t="n"/>
      <c r="C2355" s="48" t="n"/>
      <c r="D2355" s="48" t="n"/>
      <c r="E2355" s="48" t="n"/>
      <c r="F2355" s="48" t="n"/>
      <c r="G2355" s="49" t="n"/>
      <c r="H2355" s="48" t="n"/>
      <c r="I2355" s="50" t="n"/>
      <c r="J2355" s="48" t="n"/>
      <c r="K2355" s="48" t="n"/>
      <c r="L2355" s="48" t="n"/>
      <c r="M2355" s="48" t="n"/>
      <c r="N2355" s="48" t="n"/>
      <c r="O2355" s="51">
        <f>IF(AND(B2355="",G2355="",C2355="",D2355="",J2355=""),"",IF(B2355="","⚠ Falta fecha",IF(G2355="","⚠ Falta monto",IF(Q2355="","⚠ Falta cuenta",IF(ISNA(MATCH(Q2355,ctaNombre,0)),"⚠ Cuenta no registrada",IF(AND(OR(P2355="Gasto",P2355="Reembolso"),D2355=""),"⚠ Falta categoría",IF(AND(D2355&lt;&gt;"",E2355&lt;&gt;"",ISNA(MATCH(D2355&amp;"|"&amp;E2355,catClave,0))),"⚠ Subcategoría no corresponde",IF(AND(OR(P2355="Transferencia",P2355="Pago tarjeta"),K2355=""),"⚠ Falta cuenta destino",IF(AND(K2355&lt;&gt;"",P2355&lt;&gt;"Transferencia",P2355&lt;&gt;"Pago tarjeta"),"⚠ Destino solo aplica a transferencias",IF(AND(K2355&lt;&gt;"",K2355=Q2355),"⚠ Origen igual a destino",IF(AND(K2355&lt;&gt;"",ISNA(MATCH(K2355,ctaNombre,0))),"⚠ Destino no registrado",IF(AND(P2355="Pago tarjeta",AE2355&lt;&gt;"Tarjeta de crédito"),"⚠ El destino debe ser tarjeta de crédito",IF(AND(P2355="Gasto",E2355="Depósitos y retiros"),"⚠ Usa tipo Transferencia",IF(AND(P2355="Resultado trading",AD2355&lt;&gt;"Cuenta de trading"),"⚠ Usa una cuenta de trading",IF(AND(G2355&lt;=0,P2355&lt;&gt;"Ajuste",P2355&lt;&gt;"Resultado trading"),"⚠ El monto debe ser positivo","✓")))))))))))))))</f>
        <v/>
      </c>
      <c r="P2355" s="52">
        <f>IF(OR(B2355="",G2355=""),"",IF(C2355="","Gasto",C2355))</f>
        <v/>
      </c>
      <c r="Q2355" s="52">
        <f>IF(P2355="","",IF(J2355&lt;&gt;"",J2355,CuentaPred&amp;""))</f>
        <v/>
      </c>
      <c r="R2355" s="52">
        <f>IF(P2355="","",IF(ISNUMBER(I2355),I2355,TasaUSD))</f>
        <v/>
      </c>
      <c r="S2355" s="53">
        <f>IF(P2355="","",IF(H2355="USD",G2355*R2355,G2355))</f>
        <v/>
      </c>
      <c r="T2355" s="53">
        <f>IF(P2355="","",IF(H2355="USD",G2355,IF(R2355&gt;0,G2355/R2355,0)))</f>
        <v/>
      </c>
      <c r="U2355" s="53">
        <f>IF(P2355="","",IF(P2355="Gasto",S2355,IF(P2355="Reembolso",-S2355,0)))</f>
        <v/>
      </c>
      <c r="V2355" s="53">
        <f>IF(P2355="","",IF(P2355="Ingreso",S2355,0))</f>
        <v/>
      </c>
      <c r="W2355" s="53">
        <f>IF(P2355="","",IF(P2355="Resultado trading",S2355,0))</f>
        <v/>
      </c>
      <c r="X2355" s="52">
        <f>IF(OR(P2355="Gasto",P2355="Reembolso"),IF(M2355&lt;&gt;"",M2355,IFERROR(INDEX(catClasif,MATCH(D2355&amp;"|"&amp;E2355,catClave,0))&amp;"","Variable")),"")</f>
        <v/>
      </c>
      <c r="Y2355" s="52">
        <f>IF(P2355="","",IFERROR(INDEX(catGrupo,MATCH(D2355&amp;"|"&amp;E2355,catClave,0))&amp;"",""))</f>
        <v/>
      </c>
      <c r="Z2355" s="52">
        <f>IF(P2355="","",WEEKDAY(B2355,2))</f>
        <v/>
      </c>
      <c r="AA2355" s="52">
        <f>IF(P2355="","",IF(AND(P2355="Gasto",X2355="Variable",D2355&lt;&gt;catTrading,S2355&gt;0,S2355&lt;=Umbral),1,0))</f>
        <v/>
      </c>
      <c r="AB2355" s="52">
        <f>IF(OR(P2355="",Q2355=""),"",IFERROR(IF(INDEX(ctaVinc,MATCH(Q2355,ctaNombre,0))&amp;""&lt;&gt;"",INDEX(ctaVinc,MATCH(Q2355,ctaNombre,0))&amp;"",Q2355),Q2355))</f>
        <v/>
      </c>
      <c r="AC2355" s="52">
        <f>IF(OR(K2355="",AND(P2355&lt;&gt;"Transferencia",P2355&lt;&gt;"Pago tarjeta")),"",IFERROR(IF(INDEX(ctaVinc,MATCH(K2355,ctaNombre,0))&amp;""&lt;&gt;"",INDEX(ctaVinc,MATCH(K2355,ctaNombre,0))&amp;"",K2355),K2355))</f>
        <v/>
      </c>
      <c r="AD2355" s="52">
        <f>IF(AB2355="","",IFERROR(INDEX(ctaTipo,MATCH(AB2355,ctaNombre,0))&amp;"",""))</f>
        <v/>
      </c>
      <c r="AE2355" s="52">
        <f>IF(AC2355="","",IFERROR(INDEX(ctaTipo,MATCH(AC2355,ctaNombre,0))&amp;"",""))</f>
        <v/>
      </c>
      <c r="AF2355" s="53">
        <f>IF(OR(P2355="",AB2355=""),"",IF(OR(P2355="Gasto",P2355="Transferencia",P2355="Pago tarjeta"),-1,1)*IF(IFERROR(INDEX(ctaMoneda,MATCH(AB2355,ctaNombre,0))&amp;"","DOP")="USD",T2355,S2355))</f>
        <v/>
      </c>
      <c r="AG2355" s="53">
        <f>IF(AC2355="","",IF(IFERROR(INDEX(ctaMoneda,MATCH(AC2355,ctaNombre,0))&amp;"","DOP")="USD",T2355,S2355))</f>
        <v/>
      </c>
      <c r="AH2355" s="53">
        <f>IF(P2355="","",IF(AND(AD2355&lt;&gt;"",COUNTIFS(tcTipo,AD2355,tcLiq,"Sí")&gt;0),IF(OR(P2355="Gasto",P2355="Transferencia",P2355="Pago tarjeta"),-1,1)*S2355,0)+IF(AND(AE2355&lt;&gt;"",COUNTIFS(tcTipo,AE2355,tcLiq,"Sí")&gt;0),S2355,0))</f>
        <v/>
      </c>
      <c r="AI2355" s="52">
        <f>IF(OR(L2355="",P2355=""),"",IF(COUNTIFS(L$6:L2355,L2355,P$6:P2355,"?*")=1,MAX(AI$5:AI2354)+1,""))</f>
        <v/>
      </c>
    </row>
    <row r="2356">
      <c r="B2356" s="47" t="n"/>
      <c r="C2356" s="48" t="n"/>
      <c r="D2356" s="48" t="n"/>
      <c r="E2356" s="48" t="n"/>
      <c r="F2356" s="48" t="n"/>
      <c r="G2356" s="49" t="n"/>
      <c r="H2356" s="48" t="n"/>
      <c r="I2356" s="50" t="n"/>
      <c r="J2356" s="48" t="n"/>
      <c r="K2356" s="48" t="n"/>
      <c r="L2356" s="48" t="n"/>
      <c r="M2356" s="48" t="n"/>
      <c r="N2356" s="48" t="n"/>
      <c r="O2356" s="51">
        <f>IF(AND(B2356="",G2356="",C2356="",D2356="",J2356=""),"",IF(B2356="","⚠ Falta fecha",IF(G2356="","⚠ Falta monto",IF(Q2356="","⚠ Falta cuenta",IF(ISNA(MATCH(Q2356,ctaNombre,0)),"⚠ Cuenta no registrada",IF(AND(OR(P2356="Gasto",P2356="Reembolso"),D2356=""),"⚠ Falta categoría",IF(AND(D2356&lt;&gt;"",E2356&lt;&gt;"",ISNA(MATCH(D2356&amp;"|"&amp;E2356,catClave,0))),"⚠ Subcategoría no corresponde",IF(AND(OR(P2356="Transferencia",P2356="Pago tarjeta"),K2356=""),"⚠ Falta cuenta destino",IF(AND(K2356&lt;&gt;"",P2356&lt;&gt;"Transferencia",P2356&lt;&gt;"Pago tarjeta"),"⚠ Destino solo aplica a transferencias",IF(AND(K2356&lt;&gt;"",K2356=Q2356),"⚠ Origen igual a destino",IF(AND(K2356&lt;&gt;"",ISNA(MATCH(K2356,ctaNombre,0))),"⚠ Destino no registrado",IF(AND(P2356="Pago tarjeta",AE2356&lt;&gt;"Tarjeta de crédito"),"⚠ El destino debe ser tarjeta de crédito",IF(AND(P2356="Gasto",E2356="Depósitos y retiros"),"⚠ Usa tipo Transferencia",IF(AND(P2356="Resultado trading",AD2356&lt;&gt;"Cuenta de trading"),"⚠ Usa una cuenta de trading",IF(AND(G2356&lt;=0,P2356&lt;&gt;"Ajuste",P2356&lt;&gt;"Resultado trading"),"⚠ El monto debe ser positivo","✓")))))))))))))))</f>
        <v/>
      </c>
      <c r="P2356" s="52">
        <f>IF(OR(B2356="",G2356=""),"",IF(C2356="","Gasto",C2356))</f>
        <v/>
      </c>
      <c r="Q2356" s="52">
        <f>IF(P2356="","",IF(J2356&lt;&gt;"",J2356,CuentaPred&amp;""))</f>
        <v/>
      </c>
      <c r="R2356" s="52">
        <f>IF(P2356="","",IF(ISNUMBER(I2356),I2356,TasaUSD))</f>
        <v/>
      </c>
      <c r="S2356" s="53">
        <f>IF(P2356="","",IF(H2356="USD",G2356*R2356,G2356))</f>
        <v/>
      </c>
      <c r="T2356" s="53">
        <f>IF(P2356="","",IF(H2356="USD",G2356,IF(R2356&gt;0,G2356/R2356,0)))</f>
        <v/>
      </c>
      <c r="U2356" s="53">
        <f>IF(P2356="","",IF(P2356="Gasto",S2356,IF(P2356="Reembolso",-S2356,0)))</f>
        <v/>
      </c>
      <c r="V2356" s="53">
        <f>IF(P2356="","",IF(P2356="Ingreso",S2356,0))</f>
        <v/>
      </c>
      <c r="W2356" s="53">
        <f>IF(P2356="","",IF(P2356="Resultado trading",S2356,0))</f>
        <v/>
      </c>
      <c r="X2356" s="52">
        <f>IF(OR(P2356="Gasto",P2356="Reembolso"),IF(M2356&lt;&gt;"",M2356,IFERROR(INDEX(catClasif,MATCH(D2356&amp;"|"&amp;E2356,catClave,0))&amp;"","Variable")),"")</f>
        <v/>
      </c>
      <c r="Y2356" s="52">
        <f>IF(P2356="","",IFERROR(INDEX(catGrupo,MATCH(D2356&amp;"|"&amp;E2356,catClave,0))&amp;"",""))</f>
        <v/>
      </c>
      <c r="Z2356" s="52">
        <f>IF(P2356="","",WEEKDAY(B2356,2))</f>
        <v/>
      </c>
      <c r="AA2356" s="52">
        <f>IF(P2356="","",IF(AND(P2356="Gasto",X2356="Variable",D2356&lt;&gt;catTrading,S2356&gt;0,S2356&lt;=Umbral),1,0))</f>
        <v/>
      </c>
      <c r="AB2356" s="52">
        <f>IF(OR(P2356="",Q2356=""),"",IFERROR(IF(INDEX(ctaVinc,MATCH(Q2356,ctaNombre,0))&amp;""&lt;&gt;"",INDEX(ctaVinc,MATCH(Q2356,ctaNombre,0))&amp;"",Q2356),Q2356))</f>
        <v/>
      </c>
      <c r="AC2356" s="52">
        <f>IF(OR(K2356="",AND(P2356&lt;&gt;"Transferencia",P2356&lt;&gt;"Pago tarjeta")),"",IFERROR(IF(INDEX(ctaVinc,MATCH(K2356,ctaNombre,0))&amp;""&lt;&gt;"",INDEX(ctaVinc,MATCH(K2356,ctaNombre,0))&amp;"",K2356),K2356))</f>
        <v/>
      </c>
      <c r="AD2356" s="52">
        <f>IF(AB2356="","",IFERROR(INDEX(ctaTipo,MATCH(AB2356,ctaNombre,0))&amp;"",""))</f>
        <v/>
      </c>
      <c r="AE2356" s="52">
        <f>IF(AC2356="","",IFERROR(INDEX(ctaTipo,MATCH(AC2356,ctaNombre,0))&amp;"",""))</f>
        <v/>
      </c>
      <c r="AF2356" s="53">
        <f>IF(OR(P2356="",AB2356=""),"",IF(OR(P2356="Gasto",P2356="Transferencia",P2356="Pago tarjeta"),-1,1)*IF(IFERROR(INDEX(ctaMoneda,MATCH(AB2356,ctaNombre,0))&amp;"","DOP")="USD",T2356,S2356))</f>
        <v/>
      </c>
      <c r="AG2356" s="53">
        <f>IF(AC2356="","",IF(IFERROR(INDEX(ctaMoneda,MATCH(AC2356,ctaNombre,0))&amp;"","DOP")="USD",T2356,S2356))</f>
        <v/>
      </c>
      <c r="AH2356" s="53">
        <f>IF(P2356="","",IF(AND(AD2356&lt;&gt;"",COUNTIFS(tcTipo,AD2356,tcLiq,"Sí")&gt;0),IF(OR(P2356="Gasto",P2356="Transferencia",P2356="Pago tarjeta"),-1,1)*S2356,0)+IF(AND(AE2356&lt;&gt;"",COUNTIFS(tcTipo,AE2356,tcLiq,"Sí")&gt;0),S2356,0))</f>
        <v/>
      </c>
      <c r="AI2356" s="52">
        <f>IF(OR(L2356="",P2356=""),"",IF(COUNTIFS(L$6:L2356,L2356,P$6:P2356,"?*")=1,MAX(AI$5:AI2355)+1,""))</f>
        <v/>
      </c>
    </row>
    <row r="2357">
      <c r="B2357" s="47" t="n"/>
      <c r="C2357" s="48" t="n"/>
      <c r="D2357" s="48" t="n"/>
      <c r="E2357" s="48" t="n"/>
      <c r="F2357" s="48" t="n"/>
      <c r="G2357" s="49" t="n"/>
      <c r="H2357" s="48" t="n"/>
      <c r="I2357" s="50" t="n"/>
      <c r="J2357" s="48" t="n"/>
      <c r="K2357" s="48" t="n"/>
      <c r="L2357" s="48" t="n"/>
      <c r="M2357" s="48" t="n"/>
      <c r="N2357" s="48" t="n"/>
      <c r="O2357" s="51">
        <f>IF(AND(B2357="",G2357="",C2357="",D2357="",J2357=""),"",IF(B2357="","⚠ Falta fecha",IF(G2357="","⚠ Falta monto",IF(Q2357="","⚠ Falta cuenta",IF(ISNA(MATCH(Q2357,ctaNombre,0)),"⚠ Cuenta no registrada",IF(AND(OR(P2357="Gasto",P2357="Reembolso"),D2357=""),"⚠ Falta categoría",IF(AND(D2357&lt;&gt;"",E2357&lt;&gt;"",ISNA(MATCH(D2357&amp;"|"&amp;E2357,catClave,0))),"⚠ Subcategoría no corresponde",IF(AND(OR(P2357="Transferencia",P2357="Pago tarjeta"),K2357=""),"⚠ Falta cuenta destino",IF(AND(K2357&lt;&gt;"",P2357&lt;&gt;"Transferencia",P2357&lt;&gt;"Pago tarjeta"),"⚠ Destino solo aplica a transferencias",IF(AND(K2357&lt;&gt;"",K2357=Q2357),"⚠ Origen igual a destino",IF(AND(K2357&lt;&gt;"",ISNA(MATCH(K2357,ctaNombre,0))),"⚠ Destino no registrado",IF(AND(P2357="Pago tarjeta",AE2357&lt;&gt;"Tarjeta de crédito"),"⚠ El destino debe ser tarjeta de crédito",IF(AND(P2357="Gasto",E2357="Depósitos y retiros"),"⚠ Usa tipo Transferencia",IF(AND(P2357="Resultado trading",AD2357&lt;&gt;"Cuenta de trading"),"⚠ Usa una cuenta de trading",IF(AND(G2357&lt;=0,P2357&lt;&gt;"Ajuste",P2357&lt;&gt;"Resultado trading"),"⚠ El monto debe ser positivo","✓")))))))))))))))</f>
        <v/>
      </c>
      <c r="P2357" s="52">
        <f>IF(OR(B2357="",G2357=""),"",IF(C2357="","Gasto",C2357))</f>
        <v/>
      </c>
      <c r="Q2357" s="52">
        <f>IF(P2357="","",IF(J2357&lt;&gt;"",J2357,CuentaPred&amp;""))</f>
        <v/>
      </c>
      <c r="R2357" s="52">
        <f>IF(P2357="","",IF(ISNUMBER(I2357),I2357,TasaUSD))</f>
        <v/>
      </c>
      <c r="S2357" s="53">
        <f>IF(P2357="","",IF(H2357="USD",G2357*R2357,G2357))</f>
        <v/>
      </c>
      <c r="T2357" s="53">
        <f>IF(P2357="","",IF(H2357="USD",G2357,IF(R2357&gt;0,G2357/R2357,0)))</f>
        <v/>
      </c>
      <c r="U2357" s="53">
        <f>IF(P2357="","",IF(P2357="Gasto",S2357,IF(P2357="Reembolso",-S2357,0)))</f>
        <v/>
      </c>
      <c r="V2357" s="53">
        <f>IF(P2357="","",IF(P2357="Ingreso",S2357,0))</f>
        <v/>
      </c>
      <c r="W2357" s="53">
        <f>IF(P2357="","",IF(P2357="Resultado trading",S2357,0))</f>
        <v/>
      </c>
      <c r="X2357" s="52">
        <f>IF(OR(P2357="Gasto",P2357="Reembolso"),IF(M2357&lt;&gt;"",M2357,IFERROR(INDEX(catClasif,MATCH(D2357&amp;"|"&amp;E2357,catClave,0))&amp;"","Variable")),"")</f>
        <v/>
      </c>
      <c r="Y2357" s="52">
        <f>IF(P2357="","",IFERROR(INDEX(catGrupo,MATCH(D2357&amp;"|"&amp;E2357,catClave,0))&amp;"",""))</f>
        <v/>
      </c>
      <c r="Z2357" s="52">
        <f>IF(P2357="","",WEEKDAY(B2357,2))</f>
        <v/>
      </c>
      <c r="AA2357" s="52">
        <f>IF(P2357="","",IF(AND(P2357="Gasto",X2357="Variable",D2357&lt;&gt;catTrading,S2357&gt;0,S2357&lt;=Umbral),1,0))</f>
        <v/>
      </c>
      <c r="AB2357" s="52">
        <f>IF(OR(P2357="",Q2357=""),"",IFERROR(IF(INDEX(ctaVinc,MATCH(Q2357,ctaNombre,0))&amp;""&lt;&gt;"",INDEX(ctaVinc,MATCH(Q2357,ctaNombre,0))&amp;"",Q2357),Q2357))</f>
        <v/>
      </c>
      <c r="AC2357" s="52">
        <f>IF(OR(K2357="",AND(P2357&lt;&gt;"Transferencia",P2357&lt;&gt;"Pago tarjeta")),"",IFERROR(IF(INDEX(ctaVinc,MATCH(K2357,ctaNombre,0))&amp;""&lt;&gt;"",INDEX(ctaVinc,MATCH(K2357,ctaNombre,0))&amp;"",K2357),K2357))</f>
        <v/>
      </c>
      <c r="AD2357" s="52">
        <f>IF(AB2357="","",IFERROR(INDEX(ctaTipo,MATCH(AB2357,ctaNombre,0))&amp;"",""))</f>
        <v/>
      </c>
      <c r="AE2357" s="52">
        <f>IF(AC2357="","",IFERROR(INDEX(ctaTipo,MATCH(AC2357,ctaNombre,0))&amp;"",""))</f>
        <v/>
      </c>
      <c r="AF2357" s="53">
        <f>IF(OR(P2357="",AB2357=""),"",IF(OR(P2357="Gasto",P2357="Transferencia",P2357="Pago tarjeta"),-1,1)*IF(IFERROR(INDEX(ctaMoneda,MATCH(AB2357,ctaNombre,0))&amp;"","DOP")="USD",T2357,S2357))</f>
        <v/>
      </c>
      <c r="AG2357" s="53">
        <f>IF(AC2357="","",IF(IFERROR(INDEX(ctaMoneda,MATCH(AC2357,ctaNombre,0))&amp;"","DOP")="USD",T2357,S2357))</f>
        <v/>
      </c>
      <c r="AH2357" s="53">
        <f>IF(P2357="","",IF(AND(AD2357&lt;&gt;"",COUNTIFS(tcTipo,AD2357,tcLiq,"Sí")&gt;0),IF(OR(P2357="Gasto",P2357="Transferencia",P2357="Pago tarjeta"),-1,1)*S2357,0)+IF(AND(AE2357&lt;&gt;"",COUNTIFS(tcTipo,AE2357,tcLiq,"Sí")&gt;0),S2357,0))</f>
        <v/>
      </c>
      <c r="AI2357" s="52">
        <f>IF(OR(L2357="",P2357=""),"",IF(COUNTIFS(L$6:L2357,L2357,P$6:P2357,"?*")=1,MAX(AI$5:AI2356)+1,""))</f>
        <v/>
      </c>
    </row>
    <row r="2358">
      <c r="B2358" s="47" t="n"/>
      <c r="C2358" s="48" t="n"/>
      <c r="D2358" s="48" t="n"/>
      <c r="E2358" s="48" t="n"/>
      <c r="F2358" s="48" t="n"/>
      <c r="G2358" s="49" t="n"/>
      <c r="H2358" s="48" t="n"/>
      <c r="I2358" s="50" t="n"/>
      <c r="J2358" s="48" t="n"/>
      <c r="K2358" s="48" t="n"/>
      <c r="L2358" s="48" t="n"/>
      <c r="M2358" s="48" t="n"/>
      <c r="N2358" s="48" t="n"/>
      <c r="O2358" s="51">
        <f>IF(AND(B2358="",G2358="",C2358="",D2358="",J2358=""),"",IF(B2358="","⚠ Falta fecha",IF(G2358="","⚠ Falta monto",IF(Q2358="","⚠ Falta cuenta",IF(ISNA(MATCH(Q2358,ctaNombre,0)),"⚠ Cuenta no registrada",IF(AND(OR(P2358="Gasto",P2358="Reembolso"),D2358=""),"⚠ Falta categoría",IF(AND(D2358&lt;&gt;"",E2358&lt;&gt;"",ISNA(MATCH(D2358&amp;"|"&amp;E2358,catClave,0))),"⚠ Subcategoría no corresponde",IF(AND(OR(P2358="Transferencia",P2358="Pago tarjeta"),K2358=""),"⚠ Falta cuenta destino",IF(AND(K2358&lt;&gt;"",P2358&lt;&gt;"Transferencia",P2358&lt;&gt;"Pago tarjeta"),"⚠ Destino solo aplica a transferencias",IF(AND(K2358&lt;&gt;"",K2358=Q2358),"⚠ Origen igual a destino",IF(AND(K2358&lt;&gt;"",ISNA(MATCH(K2358,ctaNombre,0))),"⚠ Destino no registrado",IF(AND(P2358="Pago tarjeta",AE2358&lt;&gt;"Tarjeta de crédito"),"⚠ El destino debe ser tarjeta de crédito",IF(AND(P2358="Gasto",E2358="Depósitos y retiros"),"⚠ Usa tipo Transferencia",IF(AND(P2358="Resultado trading",AD2358&lt;&gt;"Cuenta de trading"),"⚠ Usa una cuenta de trading",IF(AND(G2358&lt;=0,P2358&lt;&gt;"Ajuste",P2358&lt;&gt;"Resultado trading"),"⚠ El monto debe ser positivo","✓")))))))))))))))</f>
        <v/>
      </c>
      <c r="P2358" s="52">
        <f>IF(OR(B2358="",G2358=""),"",IF(C2358="","Gasto",C2358))</f>
        <v/>
      </c>
      <c r="Q2358" s="52">
        <f>IF(P2358="","",IF(J2358&lt;&gt;"",J2358,CuentaPred&amp;""))</f>
        <v/>
      </c>
      <c r="R2358" s="52">
        <f>IF(P2358="","",IF(ISNUMBER(I2358),I2358,TasaUSD))</f>
        <v/>
      </c>
      <c r="S2358" s="53">
        <f>IF(P2358="","",IF(H2358="USD",G2358*R2358,G2358))</f>
        <v/>
      </c>
      <c r="T2358" s="53">
        <f>IF(P2358="","",IF(H2358="USD",G2358,IF(R2358&gt;0,G2358/R2358,0)))</f>
        <v/>
      </c>
      <c r="U2358" s="53">
        <f>IF(P2358="","",IF(P2358="Gasto",S2358,IF(P2358="Reembolso",-S2358,0)))</f>
        <v/>
      </c>
      <c r="V2358" s="53">
        <f>IF(P2358="","",IF(P2358="Ingreso",S2358,0))</f>
        <v/>
      </c>
      <c r="W2358" s="53">
        <f>IF(P2358="","",IF(P2358="Resultado trading",S2358,0))</f>
        <v/>
      </c>
      <c r="X2358" s="52">
        <f>IF(OR(P2358="Gasto",P2358="Reembolso"),IF(M2358&lt;&gt;"",M2358,IFERROR(INDEX(catClasif,MATCH(D2358&amp;"|"&amp;E2358,catClave,0))&amp;"","Variable")),"")</f>
        <v/>
      </c>
      <c r="Y2358" s="52">
        <f>IF(P2358="","",IFERROR(INDEX(catGrupo,MATCH(D2358&amp;"|"&amp;E2358,catClave,0))&amp;"",""))</f>
        <v/>
      </c>
      <c r="Z2358" s="52">
        <f>IF(P2358="","",WEEKDAY(B2358,2))</f>
        <v/>
      </c>
      <c r="AA2358" s="52">
        <f>IF(P2358="","",IF(AND(P2358="Gasto",X2358="Variable",D2358&lt;&gt;catTrading,S2358&gt;0,S2358&lt;=Umbral),1,0))</f>
        <v/>
      </c>
      <c r="AB2358" s="52">
        <f>IF(OR(P2358="",Q2358=""),"",IFERROR(IF(INDEX(ctaVinc,MATCH(Q2358,ctaNombre,0))&amp;""&lt;&gt;"",INDEX(ctaVinc,MATCH(Q2358,ctaNombre,0))&amp;"",Q2358),Q2358))</f>
        <v/>
      </c>
      <c r="AC2358" s="52">
        <f>IF(OR(K2358="",AND(P2358&lt;&gt;"Transferencia",P2358&lt;&gt;"Pago tarjeta")),"",IFERROR(IF(INDEX(ctaVinc,MATCH(K2358,ctaNombre,0))&amp;""&lt;&gt;"",INDEX(ctaVinc,MATCH(K2358,ctaNombre,0))&amp;"",K2358),K2358))</f>
        <v/>
      </c>
      <c r="AD2358" s="52">
        <f>IF(AB2358="","",IFERROR(INDEX(ctaTipo,MATCH(AB2358,ctaNombre,0))&amp;"",""))</f>
        <v/>
      </c>
      <c r="AE2358" s="52">
        <f>IF(AC2358="","",IFERROR(INDEX(ctaTipo,MATCH(AC2358,ctaNombre,0))&amp;"",""))</f>
        <v/>
      </c>
      <c r="AF2358" s="53">
        <f>IF(OR(P2358="",AB2358=""),"",IF(OR(P2358="Gasto",P2358="Transferencia",P2358="Pago tarjeta"),-1,1)*IF(IFERROR(INDEX(ctaMoneda,MATCH(AB2358,ctaNombre,0))&amp;"","DOP")="USD",T2358,S2358))</f>
        <v/>
      </c>
      <c r="AG2358" s="53">
        <f>IF(AC2358="","",IF(IFERROR(INDEX(ctaMoneda,MATCH(AC2358,ctaNombre,0))&amp;"","DOP")="USD",T2358,S2358))</f>
        <v/>
      </c>
      <c r="AH2358" s="53">
        <f>IF(P2358="","",IF(AND(AD2358&lt;&gt;"",COUNTIFS(tcTipo,AD2358,tcLiq,"Sí")&gt;0),IF(OR(P2358="Gasto",P2358="Transferencia",P2358="Pago tarjeta"),-1,1)*S2358,0)+IF(AND(AE2358&lt;&gt;"",COUNTIFS(tcTipo,AE2358,tcLiq,"Sí")&gt;0),S2358,0))</f>
        <v/>
      </c>
      <c r="AI2358" s="52">
        <f>IF(OR(L2358="",P2358=""),"",IF(COUNTIFS(L$6:L2358,L2358,P$6:P2358,"?*")=1,MAX(AI$5:AI2357)+1,""))</f>
        <v/>
      </c>
    </row>
    <row r="2359">
      <c r="B2359" s="47" t="n"/>
      <c r="C2359" s="48" t="n"/>
      <c r="D2359" s="48" t="n"/>
      <c r="E2359" s="48" t="n"/>
      <c r="F2359" s="48" t="n"/>
      <c r="G2359" s="49" t="n"/>
      <c r="H2359" s="48" t="n"/>
      <c r="I2359" s="50" t="n"/>
      <c r="J2359" s="48" t="n"/>
      <c r="K2359" s="48" t="n"/>
      <c r="L2359" s="48" t="n"/>
      <c r="M2359" s="48" t="n"/>
      <c r="N2359" s="48" t="n"/>
      <c r="O2359" s="51">
        <f>IF(AND(B2359="",G2359="",C2359="",D2359="",J2359=""),"",IF(B2359="","⚠ Falta fecha",IF(G2359="","⚠ Falta monto",IF(Q2359="","⚠ Falta cuenta",IF(ISNA(MATCH(Q2359,ctaNombre,0)),"⚠ Cuenta no registrada",IF(AND(OR(P2359="Gasto",P2359="Reembolso"),D2359=""),"⚠ Falta categoría",IF(AND(D2359&lt;&gt;"",E2359&lt;&gt;"",ISNA(MATCH(D2359&amp;"|"&amp;E2359,catClave,0))),"⚠ Subcategoría no corresponde",IF(AND(OR(P2359="Transferencia",P2359="Pago tarjeta"),K2359=""),"⚠ Falta cuenta destino",IF(AND(K2359&lt;&gt;"",P2359&lt;&gt;"Transferencia",P2359&lt;&gt;"Pago tarjeta"),"⚠ Destino solo aplica a transferencias",IF(AND(K2359&lt;&gt;"",K2359=Q2359),"⚠ Origen igual a destino",IF(AND(K2359&lt;&gt;"",ISNA(MATCH(K2359,ctaNombre,0))),"⚠ Destino no registrado",IF(AND(P2359="Pago tarjeta",AE2359&lt;&gt;"Tarjeta de crédito"),"⚠ El destino debe ser tarjeta de crédito",IF(AND(P2359="Gasto",E2359="Depósitos y retiros"),"⚠ Usa tipo Transferencia",IF(AND(P2359="Resultado trading",AD2359&lt;&gt;"Cuenta de trading"),"⚠ Usa una cuenta de trading",IF(AND(G2359&lt;=0,P2359&lt;&gt;"Ajuste",P2359&lt;&gt;"Resultado trading"),"⚠ El monto debe ser positivo","✓")))))))))))))))</f>
        <v/>
      </c>
      <c r="P2359" s="52">
        <f>IF(OR(B2359="",G2359=""),"",IF(C2359="","Gasto",C2359))</f>
        <v/>
      </c>
      <c r="Q2359" s="52">
        <f>IF(P2359="","",IF(J2359&lt;&gt;"",J2359,CuentaPred&amp;""))</f>
        <v/>
      </c>
      <c r="R2359" s="52">
        <f>IF(P2359="","",IF(ISNUMBER(I2359),I2359,TasaUSD))</f>
        <v/>
      </c>
      <c r="S2359" s="53">
        <f>IF(P2359="","",IF(H2359="USD",G2359*R2359,G2359))</f>
        <v/>
      </c>
      <c r="T2359" s="53">
        <f>IF(P2359="","",IF(H2359="USD",G2359,IF(R2359&gt;0,G2359/R2359,0)))</f>
        <v/>
      </c>
      <c r="U2359" s="53">
        <f>IF(P2359="","",IF(P2359="Gasto",S2359,IF(P2359="Reembolso",-S2359,0)))</f>
        <v/>
      </c>
      <c r="V2359" s="53">
        <f>IF(P2359="","",IF(P2359="Ingreso",S2359,0))</f>
        <v/>
      </c>
      <c r="W2359" s="53">
        <f>IF(P2359="","",IF(P2359="Resultado trading",S2359,0))</f>
        <v/>
      </c>
      <c r="X2359" s="52">
        <f>IF(OR(P2359="Gasto",P2359="Reembolso"),IF(M2359&lt;&gt;"",M2359,IFERROR(INDEX(catClasif,MATCH(D2359&amp;"|"&amp;E2359,catClave,0))&amp;"","Variable")),"")</f>
        <v/>
      </c>
      <c r="Y2359" s="52">
        <f>IF(P2359="","",IFERROR(INDEX(catGrupo,MATCH(D2359&amp;"|"&amp;E2359,catClave,0))&amp;"",""))</f>
        <v/>
      </c>
      <c r="Z2359" s="52">
        <f>IF(P2359="","",WEEKDAY(B2359,2))</f>
        <v/>
      </c>
      <c r="AA2359" s="52">
        <f>IF(P2359="","",IF(AND(P2359="Gasto",X2359="Variable",D2359&lt;&gt;catTrading,S2359&gt;0,S2359&lt;=Umbral),1,0))</f>
        <v/>
      </c>
      <c r="AB2359" s="52">
        <f>IF(OR(P2359="",Q2359=""),"",IFERROR(IF(INDEX(ctaVinc,MATCH(Q2359,ctaNombre,0))&amp;""&lt;&gt;"",INDEX(ctaVinc,MATCH(Q2359,ctaNombre,0))&amp;"",Q2359),Q2359))</f>
        <v/>
      </c>
      <c r="AC2359" s="52">
        <f>IF(OR(K2359="",AND(P2359&lt;&gt;"Transferencia",P2359&lt;&gt;"Pago tarjeta")),"",IFERROR(IF(INDEX(ctaVinc,MATCH(K2359,ctaNombre,0))&amp;""&lt;&gt;"",INDEX(ctaVinc,MATCH(K2359,ctaNombre,0))&amp;"",K2359),K2359))</f>
        <v/>
      </c>
      <c r="AD2359" s="52">
        <f>IF(AB2359="","",IFERROR(INDEX(ctaTipo,MATCH(AB2359,ctaNombre,0))&amp;"",""))</f>
        <v/>
      </c>
      <c r="AE2359" s="52">
        <f>IF(AC2359="","",IFERROR(INDEX(ctaTipo,MATCH(AC2359,ctaNombre,0))&amp;"",""))</f>
        <v/>
      </c>
      <c r="AF2359" s="53">
        <f>IF(OR(P2359="",AB2359=""),"",IF(OR(P2359="Gasto",P2359="Transferencia",P2359="Pago tarjeta"),-1,1)*IF(IFERROR(INDEX(ctaMoneda,MATCH(AB2359,ctaNombre,0))&amp;"","DOP")="USD",T2359,S2359))</f>
        <v/>
      </c>
      <c r="AG2359" s="53">
        <f>IF(AC2359="","",IF(IFERROR(INDEX(ctaMoneda,MATCH(AC2359,ctaNombre,0))&amp;"","DOP")="USD",T2359,S2359))</f>
        <v/>
      </c>
      <c r="AH2359" s="53">
        <f>IF(P2359="","",IF(AND(AD2359&lt;&gt;"",COUNTIFS(tcTipo,AD2359,tcLiq,"Sí")&gt;0),IF(OR(P2359="Gasto",P2359="Transferencia",P2359="Pago tarjeta"),-1,1)*S2359,0)+IF(AND(AE2359&lt;&gt;"",COUNTIFS(tcTipo,AE2359,tcLiq,"Sí")&gt;0),S2359,0))</f>
        <v/>
      </c>
      <c r="AI2359" s="52">
        <f>IF(OR(L2359="",P2359=""),"",IF(COUNTIFS(L$6:L2359,L2359,P$6:P2359,"?*")=1,MAX(AI$5:AI2358)+1,""))</f>
        <v/>
      </c>
    </row>
    <row r="2360">
      <c r="B2360" s="47" t="n"/>
      <c r="C2360" s="48" t="n"/>
      <c r="D2360" s="48" t="n"/>
      <c r="E2360" s="48" t="n"/>
      <c r="F2360" s="48" t="n"/>
      <c r="G2360" s="49" t="n"/>
      <c r="H2360" s="48" t="n"/>
      <c r="I2360" s="50" t="n"/>
      <c r="J2360" s="48" t="n"/>
      <c r="K2360" s="48" t="n"/>
      <c r="L2360" s="48" t="n"/>
      <c r="M2360" s="48" t="n"/>
      <c r="N2360" s="48" t="n"/>
      <c r="O2360" s="51">
        <f>IF(AND(B2360="",G2360="",C2360="",D2360="",J2360=""),"",IF(B2360="","⚠ Falta fecha",IF(G2360="","⚠ Falta monto",IF(Q2360="","⚠ Falta cuenta",IF(ISNA(MATCH(Q2360,ctaNombre,0)),"⚠ Cuenta no registrada",IF(AND(OR(P2360="Gasto",P2360="Reembolso"),D2360=""),"⚠ Falta categoría",IF(AND(D2360&lt;&gt;"",E2360&lt;&gt;"",ISNA(MATCH(D2360&amp;"|"&amp;E2360,catClave,0))),"⚠ Subcategoría no corresponde",IF(AND(OR(P2360="Transferencia",P2360="Pago tarjeta"),K2360=""),"⚠ Falta cuenta destino",IF(AND(K2360&lt;&gt;"",P2360&lt;&gt;"Transferencia",P2360&lt;&gt;"Pago tarjeta"),"⚠ Destino solo aplica a transferencias",IF(AND(K2360&lt;&gt;"",K2360=Q2360),"⚠ Origen igual a destino",IF(AND(K2360&lt;&gt;"",ISNA(MATCH(K2360,ctaNombre,0))),"⚠ Destino no registrado",IF(AND(P2360="Pago tarjeta",AE2360&lt;&gt;"Tarjeta de crédito"),"⚠ El destino debe ser tarjeta de crédito",IF(AND(P2360="Gasto",E2360="Depósitos y retiros"),"⚠ Usa tipo Transferencia",IF(AND(P2360="Resultado trading",AD2360&lt;&gt;"Cuenta de trading"),"⚠ Usa una cuenta de trading",IF(AND(G2360&lt;=0,P2360&lt;&gt;"Ajuste",P2360&lt;&gt;"Resultado trading"),"⚠ El monto debe ser positivo","✓")))))))))))))))</f>
        <v/>
      </c>
      <c r="P2360" s="52">
        <f>IF(OR(B2360="",G2360=""),"",IF(C2360="","Gasto",C2360))</f>
        <v/>
      </c>
      <c r="Q2360" s="52">
        <f>IF(P2360="","",IF(J2360&lt;&gt;"",J2360,CuentaPred&amp;""))</f>
        <v/>
      </c>
      <c r="R2360" s="52">
        <f>IF(P2360="","",IF(ISNUMBER(I2360),I2360,TasaUSD))</f>
        <v/>
      </c>
      <c r="S2360" s="53">
        <f>IF(P2360="","",IF(H2360="USD",G2360*R2360,G2360))</f>
        <v/>
      </c>
      <c r="T2360" s="53">
        <f>IF(P2360="","",IF(H2360="USD",G2360,IF(R2360&gt;0,G2360/R2360,0)))</f>
        <v/>
      </c>
      <c r="U2360" s="53">
        <f>IF(P2360="","",IF(P2360="Gasto",S2360,IF(P2360="Reembolso",-S2360,0)))</f>
        <v/>
      </c>
      <c r="V2360" s="53">
        <f>IF(P2360="","",IF(P2360="Ingreso",S2360,0))</f>
        <v/>
      </c>
      <c r="W2360" s="53">
        <f>IF(P2360="","",IF(P2360="Resultado trading",S2360,0))</f>
        <v/>
      </c>
      <c r="X2360" s="52">
        <f>IF(OR(P2360="Gasto",P2360="Reembolso"),IF(M2360&lt;&gt;"",M2360,IFERROR(INDEX(catClasif,MATCH(D2360&amp;"|"&amp;E2360,catClave,0))&amp;"","Variable")),"")</f>
        <v/>
      </c>
      <c r="Y2360" s="52">
        <f>IF(P2360="","",IFERROR(INDEX(catGrupo,MATCH(D2360&amp;"|"&amp;E2360,catClave,0))&amp;"",""))</f>
        <v/>
      </c>
      <c r="Z2360" s="52">
        <f>IF(P2360="","",WEEKDAY(B2360,2))</f>
        <v/>
      </c>
      <c r="AA2360" s="52">
        <f>IF(P2360="","",IF(AND(P2360="Gasto",X2360="Variable",D2360&lt;&gt;catTrading,S2360&gt;0,S2360&lt;=Umbral),1,0))</f>
        <v/>
      </c>
      <c r="AB2360" s="52">
        <f>IF(OR(P2360="",Q2360=""),"",IFERROR(IF(INDEX(ctaVinc,MATCH(Q2360,ctaNombre,0))&amp;""&lt;&gt;"",INDEX(ctaVinc,MATCH(Q2360,ctaNombre,0))&amp;"",Q2360),Q2360))</f>
        <v/>
      </c>
      <c r="AC2360" s="52">
        <f>IF(OR(K2360="",AND(P2360&lt;&gt;"Transferencia",P2360&lt;&gt;"Pago tarjeta")),"",IFERROR(IF(INDEX(ctaVinc,MATCH(K2360,ctaNombre,0))&amp;""&lt;&gt;"",INDEX(ctaVinc,MATCH(K2360,ctaNombre,0))&amp;"",K2360),K2360))</f>
        <v/>
      </c>
      <c r="AD2360" s="52">
        <f>IF(AB2360="","",IFERROR(INDEX(ctaTipo,MATCH(AB2360,ctaNombre,0))&amp;"",""))</f>
        <v/>
      </c>
      <c r="AE2360" s="52">
        <f>IF(AC2360="","",IFERROR(INDEX(ctaTipo,MATCH(AC2360,ctaNombre,0))&amp;"",""))</f>
        <v/>
      </c>
      <c r="AF2360" s="53">
        <f>IF(OR(P2360="",AB2360=""),"",IF(OR(P2360="Gasto",P2360="Transferencia",P2360="Pago tarjeta"),-1,1)*IF(IFERROR(INDEX(ctaMoneda,MATCH(AB2360,ctaNombre,0))&amp;"","DOP")="USD",T2360,S2360))</f>
        <v/>
      </c>
      <c r="AG2360" s="53">
        <f>IF(AC2360="","",IF(IFERROR(INDEX(ctaMoneda,MATCH(AC2360,ctaNombre,0))&amp;"","DOP")="USD",T2360,S2360))</f>
        <v/>
      </c>
      <c r="AH2360" s="53">
        <f>IF(P2360="","",IF(AND(AD2360&lt;&gt;"",COUNTIFS(tcTipo,AD2360,tcLiq,"Sí")&gt;0),IF(OR(P2360="Gasto",P2360="Transferencia",P2360="Pago tarjeta"),-1,1)*S2360,0)+IF(AND(AE2360&lt;&gt;"",COUNTIFS(tcTipo,AE2360,tcLiq,"Sí")&gt;0),S2360,0))</f>
        <v/>
      </c>
      <c r="AI2360" s="52">
        <f>IF(OR(L2360="",P2360=""),"",IF(COUNTIFS(L$6:L2360,L2360,P$6:P2360,"?*")=1,MAX(AI$5:AI2359)+1,""))</f>
        <v/>
      </c>
    </row>
    <row r="2361">
      <c r="B2361" s="47" t="n"/>
      <c r="C2361" s="48" t="n"/>
      <c r="D2361" s="48" t="n"/>
      <c r="E2361" s="48" t="n"/>
      <c r="F2361" s="48" t="n"/>
      <c r="G2361" s="49" t="n"/>
      <c r="H2361" s="48" t="n"/>
      <c r="I2361" s="50" t="n"/>
      <c r="J2361" s="48" t="n"/>
      <c r="K2361" s="48" t="n"/>
      <c r="L2361" s="48" t="n"/>
      <c r="M2361" s="48" t="n"/>
      <c r="N2361" s="48" t="n"/>
      <c r="O2361" s="51">
        <f>IF(AND(B2361="",G2361="",C2361="",D2361="",J2361=""),"",IF(B2361="","⚠ Falta fecha",IF(G2361="","⚠ Falta monto",IF(Q2361="","⚠ Falta cuenta",IF(ISNA(MATCH(Q2361,ctaNombre,0)),"⚠ Cuenta no registrada",IF(AND(OR(P2361="Gasto",P2361="Reembolso"),D2361=""),"⚠ Falta categoría",IF(AND(D2361&lt;&gt;"",E2361&lt;&gt;"",ISNA(MATCH(D2361&amp;"|"&amp;E2361,catClave,0))),"⚠ Subcategoría no corresponde",IF(AND(OR(P2361="Transferencia",P2361="Pago tarjeta"),K2361=""),"⚠ Falta cuenta destino",IF(AND(K2361&lt;&gt;"",P2361&lt;&gt;"Transferencia",P2361&lt;&gt;"Pago tarjeta"),"⚠ Destino solo aplica a transferencias",IF(AND(K2361&lt;&gt;"",K2361=Q2361),"⚠ Origen igual a destino",IF(AND(K2361&lt;&gt;"",ISNA(MATCH(K2361,ctaNombre,0))),"⚠ Destino no registrado",IF(AND(P2361="Pago tarjeta",AE2361&lt;&gt;"Tarjeta de crédito"),"⚠ El destino debe ser tarjeta de crédito",IF(AND(P2361="Gasto",E2361="Depósitos y retiros"),"⚠ Usa tipo Transferencia",IF(AND(P2361="Resultado trading",AD2361&lt;&gt;"Cuenta de trading"),"⚠ Usa una cuenta de trading",IF(AND(G2361&lt;=0,P2361&lt;&gt;"Ajuste",P2361&lt;&gt;"Resultado trading"),"⚠ El monto debe ser positivo","✓")))))))))))))))</f>
        <v/>
      </c>
      <c r="P2361" s="52">
        <f>IF(OR(B2361="",G2361=""),"",IF(C2361="","Gasto",C2361))</f>
        <v/>
      </c>
      <c r="Q2361" s="52">
        <f>IF(P2361="","",IF(J2361&lt;&gt;"",J2361,CuentaPred&amp;""))</f>
        <v/>
      </c>
      <c r="R2361" s="52">
        <f>IF(P2361="","",IF(ISNUMBER(I2361),I2361,TasaUSD))</f>
        <v/>
      </c>
      <c r="S2361" s="53">
        <f>IF(P2361="","",IF(H2361="USD",G2361*R2361,G2361))</f>
        <v/>
      </c>
      <c r="T2361" s="53">
        <f>IF(P2361="","",IF(H2361="USD",G2361,IF(R2361&gt;0,G2361/R2361,0)))</f>
        <v/>
      </c>
      <c r="U2361" s="53">
        <f>IF(P2361="","",IF(P2361="Gasto",S2361,IF(P2361="Reembolso",-S2361,0)))</f>
        <v/>
      </c>
      <c r="V2361" s="53">
        <f>IF(P2361="","",IF(P2361="Ingreso",S2361,0))</f>
        <v/>
      </c>
      <c r="W2361" s="53">
        <f>IF(P2361="","",IF(P2361="Resultado trading",S2361,0))</f>
        <v/>
      </c>
      <c r="X2361" s="52">
        <f>IF(OR(P2361="Gasto",P2361="Reembolso"),IF(M2361&lt;&gt;"",M2361,IFERROR(INDEX(catClasif,MATCH(D2361&amp;"|"&amp;E2361,catClave,0))&amp;"","Variable")),"")</f>
        <v/>
      </c>
      <c r="Y2361" s="52">
        <f>IF(P2361="","",IFERROR(INDEX(catGrupo,MATCH(D2361&amp;"|"&amp;E2361,catClave,0))&amp;"",""))</f>
        <v/>
      </c>
      <c r="Z2361" s="52">
        <f>IF(P2361="","",WEEKDAY(B2361,2))</f>
        <v/>
      </c>
      <c r="AA2361" s="52">
        <f>IF(P2361="","",IF(AND(P2361="Gasto",X2361="Variable",D2361&lt;&gt;catTrading,S2361&gt;0,S2361&lt;=Umbral),1,0))</f>
        <v/>
      </c>
      <c r="AB2361" s="52">
        <f>IF(OR(P2361="",Q2361=""),"",IFERROR(IF(INDEX(ctaVinc,MATCH(Q2361,ctaNombre,0))&amp;""&lt;&gt;"",INDEX(ctaVinc,MATCH(Q2361,ctaNombre,0))&amp;"",Q2361),Q2361))</f>
        <v/>
      </c>
      <c r="AC2361" s="52">
        <f>IF(OR(K2361="",AND(P2361&lt;&gt;"Transferencia",P2361&lt;&gt;"Pago tarjeta")),"",IFERROR(IF(INDEX(ctaVinc,MATCH(K2361,ctaNombre,0))&amp;""&lt;&gt;"",INDEX(ctaVinc,MATCH(K2361,ctaNombre,0))&amp;"",K2361),K2361))</f>
        <v/>
      </c>
      <c r="AD2361" s="52">
        <f>IF(AB2361="","",IFERROR(INDEX(ctaTipo,MATCH(AB2361,ctaNombre,0))&amp;"",""))</f>
        <v/>
      </c>
      <c r="AE2361" s="52">
        <f>IF(AC2361="","",IFERROR(INDEX(ctaTipo,MATCH(AC2361,ctaNombre,0))&amp;"",""))</f>
        <v/>
      </c>
      <c r="AF2361" s="53">
        <f>IF(OR(P2361="",AB2361=""),"",IF(OR(P2361="Gasto",P2361="Transferencia",P2361="Pago tarjeta"),-1,1)*IF(IFERROR(INDEX(ctaMoneda,MATCH(AB2361,ctaNombre,0))&amp;"","DOP")="USD",T2361,S2361))</f>
        <v/>
      </c>
      <c r="AG2361" s="53">
        <f>IF(AC2361="","",IF(IFERROR(INDEX(ctaMoneda,MATCH(AC2361,ctaNombre,0))&amp;"","DOP")="USD",T2361,S2361))</f>
        <v/>
      </c>
      <c r="AH2361" s="53">
        <f>IF(P2361="","",IF(AND(AD2361&lt;&gt;"",COUNTIFS(tcTipo,AD2361,tcLiq,"Sí")&gt;0),IF(OR(P2361="Gasto",P2361="Transferencia",P2361="Pago tarjeta"),-1,1)*S2361,0)+IF(AND(AE2361&lt;&gt;"",COUNTIFS(tcTipo,AE2361,tcLiq,"Sí")&gt;0),S2361,0))</f>
        <v/>
      </c>
      <c r="AI2361" s="52">
        <f>IF(OR(L2361="",P2361=""),"",IF(COUNTIFS(L$6:L2361,L2361,P$6:P2361,"?*")=1,MAX(AI$5:AI2360)+1,""))</f>
        <v/>
      </c>
    </row>
    <row r="2362">
      <c r="B2362" s="47" t="n"/>
      <c r="C2362" s="48" t="n"/>
      <c r="D2362" s="48" t="n"/>
      <c r="E2362" s="48" t="n"/>
      <c r="F2362" s="48" t="n"/>
      <c r="G2362" s="49" t="n"/>
      <c r="H2362" s="48" t="n"/>
      <c r="I2362" s="50" t="n"/>
      <c r="J2362" s="48" t="n"/>
      <c r="K2362" s="48" t="n"/>
      <c r="L2362" s="48" t="n"/>
      <c r="M2362" s="48" t="n"/>
      <c r="N2362" s="48" t="n"/>
      <c r="O2362" s="51">
        <f>IF(AND(B2362="",G2362="",C2362="",D2362="",J2362=""),"",IF(B2362="","⚠ Falta fecha",IF(G2362="","⚠ Falta monto",IF(Q2362="","⚠ Falta cuenta",IF(ISNA(MATCH(Q2362,ctaNombre,0)),"⚠ Cuenta no registrada",IF(AND(OR(P2362="Gasto",P2362="Reembolso"),D2362=""),"⚠ Falta categoría",IF(AND(D2362&lt;&gt;"",E2362&lt;&gt;"",ISNA(MATCH(D2362&amp;"|"&amp;E2362,catClave,0))),"⚠ Subcategoría no corresponde",IF(AND(OR(P2362="Transferencia",P2362="Pago tarjeta"),K2362=""),"⚠ Falta cuenta destino",IF(AND(K2362&lt;&gt;"",P2362&lt;&gt;"Transferencia",P2362&lt;&gt;"Pago tarjeta"),"⚠ Destino solo aplica a transferencias",IF(AND(K2362&lt;&gt;"",K2362=Q2362),"⚠ Origen igual a destino",IF(AND(K2362&lt;&gt;"",ISNA(MATCH(K2362,ctaNombre,0))),"⚠ Destino no registrado",IF(AND(P2362="Pago tarjeta",AE2362&lt;&gt;"Tarjeta de crédito"),"⚠ El destino debe ser tarjeta de crédito",IF(AND(P2362="Gasto",E2362="Depósitos y retiros"),"⚠ Usa tipo Transferencia",IF(AND(P2362="Resultado trading",AD2362&lt;&gt;"Cuenta de trading"),"⚠ Usa una cuenta de trading",IF(AND(G2362&lt;=0,P2362&lt;&gt;"Ajuste",P2362&lt;&gt;"Resultado trading"),"⚠ El monto debe ser positivo","✓")))))))))))))))</f>
        <v/>
      </c>
      <c r="P2362" s="52">
        <f>IF(OR(B2362="",G2362=""),"",IF(C2362="","Gasto",C2362))</f>
        <v/>
      </c>
      <c r="Q2362" s="52">
        <f>IF(P2362="","",IF(J2362&lt;&gt;"",J2362,CuentaPred&amp;""))</f>
        <v/>
      </c>
      <c r="R2362" s="52">
        <f>IF(P2362="","",IF(ISNUMBER(I2362),I2362,TasaUSD))</f>
        <v/>
      </c>
      <c r="S2362" s="53">
        <f>IF(P2362="","",IF(H2362="USD",G2362*R2362,G2362))</f>
        <v/>
      </c>
      <c r="T2362" s="53">
        <f>IF(P2362="","",IF(H2362="USD",G2362,IF(R2362&gt;0,G2362/R2362,0)))</f>
        <v/>
      </c>
      <c r="U2362" s="53">
        <f>IF(P2362="","",IF(P2362="Gasto",S2362,IF(P2362="Reembolso",-S2362,0)))</f>
        <v/>
      </c>
      <c r="V2362" s="53">
        <f>IF(P2362="","",IF(P2362="Ingreso",S2362,0))</f>
        <v/>
      </c>
      <c r="W2362" s="53">
        <f>IF(P2362="","",IF(P2362="Resultado trading",S2362,0))</f>
        <v/>
      </c>
      <c r="X2362" s="52">
        <f>IF(OR(P2362="Gasto",P2362="Reembolso"),IF(M2362&lt;&gt;"",M2362,IFERROR(INDEX(catClasif,MATCH(D2362&amp;"|"&amp;E2362,catClave,0))&amp;"","Variable")),"")</f>
        <v/>
      </c>
      <c r="Y2362" s="52">
        <f>IF(P2362="","",IFERROR(INDEX(catGrupo,MATCH(D2362&amp;"|"&amp;E2362,catClave,0))&amp;"",""))</f>
        <v/>
      </c>
      <c r="Z2362" s="52">
        <f>IF(P2362="","",WEEKDAY(B2362,2))</f>
        <v/>
      </c>
      <c r="AA2362" s="52">
        <f>IF(P2362="","",IF(AND(P2362="Gasto",X2362="Variable",D2362&lt;&gt;catTrading,S2362&gt;0,S2362&lt;=Umbral),1,0))</f>
        <v/>
      </c>
      <c r="AB2362" s="52">
        <f>IF(OR(P2362="",Q2362=""),"",IFERROR(IF(INDEX(ctaVinc,MATCH(Q2362,ctaNombre,0))&amp;""&lt;&gt;"",INDEX(ctaVinc,MATCH(Q2362,ctaNombre,0))&amp;"",Q2362),Q2362))</f>
        <v/>
      </c>
      <c r="AC2362" s="52">
        <f>IF(OR(K2362="",AND(P2362&lt;&gt;"Transferencia",P2362&lt;&gt;"Pago tarjeta")),"",IFERROR(IF(INDEX(ctaVinc,MATCH(K2362,ctaNombre,0))&amp;""&lt;&gt;"",INDEX(ctaVinc,MATCH(K2362,ctaNombre,0))&amp;"",K2362),K2362))</f>
        <v/>
      </c>
      <c r="AD2362" s="52">
        <f>IF(AB2362="","",IFERROR(INDEX(ctaTipo,MATCH(AB2362,ctaNombre,0))&amp;"",""))</f>
        <v/>
      </c>
      <c r="AE2362" s="52">
        <f>IF(AC2362="","",IFERROR(INDEX(ctaTipo,MATCH(AC2362,ctaNombre,0))&amp;"",""))</f>
        <v/>
      </c>
      <c r="AF2362" s="53">
        <f>IF(OR(P2362="",AB2362=""),"",IF(OR(P2362="Gasto",P2362="Transferencia",P2362="Pago tarjeta"),-1,1)*IF(IFERROR(INDEX(ctaMoneda,MATCH(AB2362,ctaNombre,0))&amp;"","DOP")="USD",T2362,S2362))</f>
        <v/>
      </c>
      <c r="AG2362" s="53">
        <f>IF(AC2362="","",IF(IFERROR(INDEX(ctaMoneda,MATCH(AC2362,ctaNombre,0))&amp;"","DOP")="USD",T2362,S2362))</f>
        <v/>
      </c>
      <c r="AH2362" s="53">
        <f>IF(P2362="","",IF(AND(AD2362&lt;&gt;"",COUNTIFS(tcTipo,AD2362,tcLiq,"Sí")&gt;0),IF(OR(P2362="Gasto",P2362="Transferencia",P2362="Pago tarjeta"),-1,1)*S2362,0)+IF(AND(AE2362&lt;&gt;"",COUNTIFS(tcTipo,AE2362,tcLiq,"Sí")&gt;0),S2362,0))</f>
        <v/>
      </c>
      <c r="AI2362" s="52">
        <f>IF(OR(L2362="",P2362=""),"",IF(COUNTIFS(L$6:L2362,L2362,P$6:P2362,"?*")=1,MAX(AI$5:AI2361)+1,""))</f>
        <v/>
      </c>
    </row>
    <row r="2363">
      <c r="B2363" s="47" t="n"/>
      <c r="C2363" s="48" t="n"/>
      <c r="D2363" s="48" t="n"/>
      <c r="E2363" s="48" t="n"/>
      <c r="F2363" s="48" t="n"/>
      <c r="G2363" s="49" t="n"/>
      <c r="H2363" s="48" t="n"/>
      <c r="I2363" s="50" t="n"/>
      <c r="J2363" s="48" t="n"/>
      <c r="K2363" s="48" t="n"/>
      <c r="L2363" s="48" t="n"/>
      <c r="M2363" s="48" t="n"/>
      <c r="N2363" s="48" t="n"/>
      <c r="O2363" s="51">
        <f>IF(AND(B2363="",G2363="",C2363="",D2363="",J2363=""),"",IF(B2363="","⚠ Falta fecha",IF(G2363="","⚠ Falta monto",IF(Q2363="","⚠ Falta cuenta",IF(ISNA(MATCH(Q2363,ctaNombre,0)),"⚠ Cuenta no registrada",IF(AND(OR(P2363="Gasto",P2363="Reembolso"),D2363=""),"⚠ Falta categoría",IF(AND(D2363&lt;&gt;"",E2363&lt;&gt;"",ISNA(MATCH(D2363&amp;"|"&amp;E2363,catClave,0))),"⚠ Subcategoría no corresponde",IF(AND(OR(P2363="Transferencia",P2363="Pago tarjeta"),K2363=""),"⚠ Falta cuenta destino",IF(AND(K2363&lt;&gt;"",P2363&lt;&gt;"Transferencia",P2363&lt;&gt;"Pago tarjeta"),"⚠ Destino solo aplica a transferencias",IF(AND(K2363&lt;&gt;"",K2363=Q2363),"⚠ Origen igual a destino",IF(AND(K2363&lt;&gt;"",ISNA(MATCH(K2363,ctaNombre,0))),"⚠ Destino no registrado",IF(AND(P2363="Pago tarjeta",AE2363&lt;&gt;"Tarjeta de crédito"),"⚠ El destino debe ser tarjeta de crédito",IF(AND(P2363="Gasto",E2363="Depósitos y retiros"),"⚠ Usa tipo Transferencia",IF(AND(P2363="Resultado trading",AD2363&lt;&gt;"Cuenta de trading"),"⚠ Usa una cuenta de trading",IF(AND(G2363&lt;=0,P2363&lt;&gt;"Ajuste",P2363&lt;&gt;"Resultado trading"),"⚠ El monto debe ser positivo","✓")))))))))))))))</f>
        <v/>
      </c>
      <c r="P2363" s="52">
        <f>IF(OR(B2363="",G2363=""),"",IF(C2363="","Gasto",C2363))</f>
        <v/>
      </c>
      <c r="Q2363" s="52">
        <f>IF(P2363="","",IF(J2363&lt;&gt;"",J2363,CuentaPred&amp;""))</f>
        <v/>
      </c>
      <c r="R2363" s="52">
        <f>IF(P2363="","",IF(ISNUMBER(I2363),I2363,TasaUSD))</f>
        <v/>
      </c>
      <c r="S2363" s="53">
        <f>IF(P2363="","",IF(H2363="USD",G2363*R2363,G2363))</f>
        <v/>
      </c>
      <c r="T2363" s="53">
        <f>IF(P2363="","",IF(H2363="USD",G2363,IF(R2363&gt;0,G2363/R2363,0)))</f>
        <v/>
      </c>
      <c r="U2363" s="53">
        <f>IF(P2363="","",IF(P2363="Gasto",S2363,IF(P2363="Reembolso",-S2363,0)))</f>
        <v/>
      </c>
      <c r="V2363" s="53">
        <f>IF(P2363="","",IF(P2363="Ingreso",S2363,0))</f>
        <v/>
      </c>
      <c r="W2363" s="53">
        <f>IF(P2363="","",IF(P2363="Resultado trading",S2363,0))</f>
        <v/>
      </c>
      <c r="X2363" s="52">
        <f>IF(OR(P2363="Gasto",P2363="Reembolso"),IF(M2363&lt;&gt;"",M2363,IFERROR(INDEX(catClasif,MATCH(D2363&amp;"|"&amp;E2363,catClave,0))&amp;"","Variable")),"")</f>
        <v/>
      </c>
      <c r="Y2363" s="52">
        <f>IF(P2363="","",IFERROR(INDEX(catGrupo,MATCH(D2363&amp;"|"&amp;E2363,catClave,0))&amp;"",""))</f>
        <v/>
      </c>
      <c r="Z2363" s="52">
        <f>IF(P2363="","",WEEKDAY(B2363,2))</f>
        <v/>
      </c>
      <c r="AA2363" s="52">
        <f>IF(P2363="","",IF(AND(P2363="Gasto",X2363="Variable",D2363&lt;&gt;catTrading,S2363&gt;0,S2363&lt;=Umbral),1,0))</f>
        <v/>
      </c>
      <c r="AB2363" s="52">
        <f>IF(OR(P2363="",Q2363=""),"",IFERROR(IF(INDEX(ctaVinc,MATCH(Q2363,ctaNombre,0))&amp;""&lt;&gt;"",INDEX(ctaVinc,MATCH(Q2363,ctaNombre,0))&amp;"",Q2363),Q2363))</f>
        <v/>
      </c>
      <c r="AC2363" s="52">
        <f>IF(OR(K2363="",AND(P2363&lt;&gt;"Transferencia",P2363&lt;&gt;"Pago tarjeta")),"",IFERROR(IF(INDEX(ctaVinc,MATCH(K2363,ctaNombre,0))&amp;""&lt;&gt;"",INDEX(ctaVinc,MATCH(K2363,ctaNombre,0))&amp;"",K2363),K2363))</f>
        <v/>
      </c>
      <c r="AD2363" s="52">
        <f>IF(AB2363="","",IFERROR(INDEX(ctaTipo,MATCH(AB2363,ctaNombre,0))&amp;"",""))</f>
        <v/>
      </c>
      <c r="AE2363" s="52">
        <f>IF(AC2363="","",IFERROR(INDEX(ctaTipo,MATCH(AC2363,ctaNombre,0))&amp;"",""))</f>
        <v/>
      </c>
      <c r="AF2363" s="53">
        <f>IF(OR(P2363="",AB2363=""),"",IF(OR(P2363="Gasto",P2363="Transferencia",P2363="Pago tarjeta"),-1,1)*IF(IFERROR(INDEX(ctaMoneda,MATCH(AB2363,ctaNombre,0))&amp;"","DOP")="USD",T2363,S2363))</f>
        <v/>
      </c>
      <c r="AG2363" s="53">
        <f>IF(AC2363="","",IF(IFERROR(INDEX(ctaMoneda,MATCH(AC2363,ctaNombre,0))&amp;"","DOP")="USD",T2363,S2363))</f>
        <v/>
      </c>
      <c r="AH2363" s="53">
        <f>IF(P2363="","",IF(AND(AD2363&lt;&gt;"",COUNTIFS(tcTipo,AD2363,tcLiq,"Sí")&gt;0),IF(OR(P2363="Gasto",P2363="Transferencia",P2363="Pago tarjeta"),-1,1)*S2363,0)+IF(AND(AE2363&lt;&gt;"",COUNTIFS(tcTipo,AE2363,tcLiq,"Sí")&gt;0),S2363,0))</f>
        <v/>
      </c>
      <c r="AI2363" s="52">
        <f>IF(OR(L2363="",P2363=""),"",IF(COUNTIFS(L$6:L2363,L2363,P$6:P2363,"?*")=1,MAX(AI$5:AI2362)+1,""))</f>
        <v/>
      </c>
    </row>
    <row r="2364">
      <c r="B2364" s="47" t="n"/>
      <c r="C2364" s="48" t="n"/>
      <c r="D2364" s="48" t="n"/>
      <c r="E2364" s="48" t="n"/>
      <c r="F2364" s="48" t="n"/>
      <c r="G2364" s="49" t="n"/>
      <c r="H2364" s="48" t="n"/>
      <c r="I2364" s="50" t="n"/>
      <c r="J2364" s="48" t="n"/>
      <c r="K2364" s="48" t="n"/>
      <c r="L2364" s="48" t="n"/>
      <c r="M2364" s="48" t="n"/>
      <c r="N2364" s="48" t="n"/>
      <c r="O2364" s="51">
        <f>IF(AND(B2364="",G2364="",C2364="",D2364="",J2364=""),"",IF(B2364="","⚠ Falta fecha",IF(G2364="","⚠ Falta monto",IF(Q2364="","⚠ Falta cuenta",IF(ISNA(MATCH(Q2364,ctaNombre,0)),"⚠ Cuenta no registrada",IF(AND(OR(P2364="Gasto",P2364="Reembolso"),D2364=""),"⚠ Falta categoría",IF(AND(D2364&lt;&gt;"",E2364&lt;&gt;"",ISNA(MATCH(D2364&amp;"|"&amp;E2364,catClave,0))),"⚠ Subcategoría no corresponde",IF(AND(OR(P2364="Transferencia",P2364="Pago tarjeta"),K2364=""),"⚠ Falta cuenta destino",IF(AND(K2364&lt;&gt;"",P2364&lt;&gt;"Transferencia",P2364&lt;&gt;"Pago tarjeta"),"⚠ Destino solo aplica a transferencias",IF(AND(K2364&lt;&gt;"",K2364=Q2364),"⚠ Origen igual a destino",IF(AND(K2364&lt;&gt;"",ISNA(MATCH(K2364,ctaNombre,0))),"⚠ Destino no registrado",IF(AND(P2364="Pago tarjeta",AE2364&lt;&gt;"Tarjeta de crédito"),"⚠ El destino debe ser tarjeta de crédito",IF(AND(P2364="Gasto",E2364="Depósitos y retiros"),"⚠ Usa tipo Transferencia",IF(AND(P2364="Resultado trading",AD2364&lt;&gt;"Cuenta de trading"),"⚠ Usa una cuenta de trading",IF(AND(G2364&lt;=0,P2364&lt;&gt;"Ajuste",P2364&lt;&gt;"Resultado trading"),"⚠ El monto debe ser positivo","✓")))))))))))))))</f>
        <v/>
      </c>
      <c r="P2364" s="52">
        <f>IF(OR(B2364="",G2364=""),"",IF(C2364="","Gasto",C2364))</f>
        <v/>
      </c>
      <c r="Q2364" s="52">
        <f>IF(P2364="","",IF(J2364&lt;&gt;"",J2364,CuentaPred&amp;""))</f>
        <v/>
      </c>
      <c r="R2364" s="52">
        <f>IF(P2364="","",IF(ISNUMBER(I2364),I2364,TasaUSD))</f>
        <v/>
      </c>
      <c r="S2364" s="53">
        <f>IF(P2364="","",IF(H2364="USD",G2364*R2364,G2364))</f>
        <v/>
      </c>
      <c r="T2364" s="53">
        <f>IF(P2364="","",IF(H2364="USD",G2364,IF(R2364&gt;0,G2364/R2364,0)))</f>
        <v/>
      </c>
      <c r="U2364" s="53">
        <f>IF(P2364="","",IF(P2364="Gasto",S2364,IF(P2364="Reembolso",-S2364,0)))</f>
        <v/>
      </c>
      <c r="V2364" s="53">
        <f>IF(P2364="","",IF(P2364="Ingreso",S2364,0))</f>
        <v/>
      </c>
      <c r="W2364" s="53">
        <f>IF(P2364="","",IF(P2364="Resultado trading",S2364,0))</f>
        <v/>
      </c>
      <c r="X2364" s="52">
        <f>IF(OR(P2364="Gasto",P2364="Reembolso"),IF(M2364&lt;&gt;"",M2364,IFERROR(INDEX(catClasif,MATCH(D2364&amp;"|"&amp;E2364,catClave,0))&amp;"","Variable")),"")</f>
        <v/>
      </c>
      <c r="Y2364" s="52">
        <f>IF(P2364="","",IFERROR(INDEX(catGrupo,MATCH(D2364&amp;"|"&amp;E2364,catClave,0))&amp;"",""))</f>
        <v/>
      </c>
      <c r="Z2364" s="52">
        <f>IF(P2364="","",WEEKDAY(B2364,2))</f>
        <v/>
      </c>
      <c r="AA2364" s="52">
        <f>IF(P2364="","",IF(AND(P2364="Gasto",X2364="Variable",D2364&lt;&gt;catTrading,S2364&gt;0,S2364&lt;=Umbral),1,0))</f>
        <v/>
      </c>
      <c r="AB2364" s="52">
        <f>IF(OR(P2364="",Q2364=""),"",IFERROR(IF(INDEX(ctaVinc,MATCH(Q2364,ctaNombre,0))&amp;""&lt;&gt;"",INDEX(ctaVinc,MATCH(Q2364,ctaNombre,0))&amp;"",Q2364),Q2364))</f>
        <v/>
      </c>
      <c r="AC2364" s="52">
        <f>IF(OR(K2364="",AND(P2364&lt;&gt;"Transferencia",P2364&lt;&gt;"Pago tarjeta")),"",IFERROR(IF(INDEX(ctaVinc,MATCH(K2364,ctaNombre,0))&amp;""&lt;&gt;"",INDEX(ctaVinc,MATCH(K2364,ctaNombre,0))&amp;"",K2364),K2364))</f>
        <v/>
      </c>
      <c r="AD2364" s="52">
        <f>IF(AB2364="","",IFERROR(INDEX(ctaTipo,MATCH(AB2364,ctaNombre,0))&amp;"",""))</f>
        <v/>
      </c>
      <c r="AE2364" s="52">
        <f>IF(AC2364="","",IFERROR(INDEX(ctaTipo,MATCH(AC2364,ctaNombre,0))&amp;"",""))</f>
        <v/>
      </c>
      <c r="AF2364" s="53">
        <f>IF(OR(P2364="",AB2364=""),"",IF(OR(P2364="Gasto",P2364="Transferencia",P2364="Pago tarjeta"),-1,1)*IF(IFERROR(INDEX(ctaMoneda,MATCH(AB2364,ctaNombre,0))&amp;"","DOP")="USD",T2364,S2364))</f>
        <v/>
      </c>
      <c r="AG2364" s="53">
        <f>IF(AC2364="","",IF(IFERROR(INDEX(ctaMoneda,MATCH(AC2364,ctaNombre,0))&amp;"","DOP")="USD",T2364,S2364))</f>
        <v/>
      </c>
      <c r="AH2364" s="53">
        <f>IF(P2364="","",IF(AND(AD2364&lt;&gt;"",COUNTIFS(tcTipo,AD2364,tcLiq,"Sí")&gt;0),IF(OR(P2364="Gasto",P2364="Transferencia",P2364="Pago tarjeta"),-1,1)*S2364,0)+IF(AND(AE2364&lt;&gt;"",COUNTIFS(tcTipo,AE2364,tcLiq,"Sí")&gt;0),S2364,0))</f>
        <v/>
      </c>
      <c r="AI2364" s="52">
        <f>IF(OR(L2364="",P2364=""),"",IF(COUNTIFS(L$6:L2364,L2364,P$6:P2364,"?*")=1,MAX(AI$5:AI2363)+1,""))</f>
        <v/>
      </c>
    </row>
    <row r="2365">
      <c r="B2365" s="47" t="n"/>
      <c r="C2365" s="48" t="n"/>
      <c r="D2365" s="48" t="n"/>
      <c r="E2365" s="48" t="n"/>
      <c r="F2365" s="48" t="n"/>
      <c r="G2365" s="49" t="n"/>
      <c r="H2365" s="48" t="n"/>
      <c r="I2365" s="50" t="n"/>
      <c r="J2365" s="48" t="n"/>
      <c r="K2365" s="48" t="n"/>
      <c r="L2365" s="48" t="n"/>
      <c r="M2365" s="48" t="n"/>
      <c r="N2365" s="48" t="n"/>
      <c r="O2365" s="51">
        <f>IF(AND(B2365="",G2365="",C2365="",D2365="",J2365=""),"",IF(B2365="","⚠ Falta fecha",IF(G2365="","⚠ Falta monto",IF(Q2365="","⚠ Falta cuenta",IF(ISNA(MATCH(Q2365,ctaNombre,0)),"⚠ Cuenta no registrada",IF(AND(OR(P2365="Gasto",P2365="Reembolso"),D2365=""),"⚠ Falta categoría",IF(AND(D2365&lt;&gt;"",E2365&lt;&gt;"",ISNA(MATCH(D2365&amp;"|"&amp;E2365,catClave,0))),"⚠ Subcategoría no corresponde",IF(AND(OR(P2365="Transferencia",P2365="Pago tarjeta"),K2365=""),"⚠ Falta cuenta destino",IF(AND(K2365&lt;&gt;"",P2365&lt;&gt;"Transferencia",P2365&lt;&gt;"Pago tarjeta"),"⚠ Destino solo aplica a transferencias",IF(AND(K2365&lt;&gt;"",K2365=Q2365),"⚠ Origen igual a destino",IF(AND(K2365&lt;&gt;"",ISNA(MATCH(K2365,ctaNombre,0))),"⚠ Destino no registrado",IF(AND(P2365="Pago tarjeta",AE2365&lt;&gt;"Tarjeta de crédito"),"⚠ El destino debe ser tarjeta de crédito",IF(AND(P2365="Gasto",E2365="Depósitos y retiros"),"⚠ Usa tipo Transferencia",IF(AND(P2365="Resultado trading",AD2365&lt;&gt;"Cuenta de trading"),"⚠ Usa una cuenta de trading",IF(AND(G2365&lt;=0,P2365&lt;&gt;"Ajuste",P2365&lt;&gt;"Resultado trading"),"⚠ El monto debe ser positivo","✓")))))))))))))))</f>
        <v/>
      </c>
      <c r="P2365" s="52">
        <f>IF(OR(B2365="",G2365=""),"",IF(C2365="","Gasto",C2365))</f>
        <v/>
      </c>
      <c r="Q2365" s="52">
        <f>IF(P2365="","",IF(J2365&lt;&gt;"",J2365,CuentaPred&amp;""))</f>
        <v/>
      </c>
      <c r="R2365" s="52">
        <f>IF(P2365="","",IF(ISNUMBER(I2365),I2365,TasaUSD))</f>
        <v/>
      </c>
      <c r="S2365" s="53">
        <f>IF(P2365="","",IF(H2365="USD",G2365*R2365,G2365))</f>
        <v/>
      </c>
      <c r="T2365" s="53">
        <f>IF(P2365="","",IF(H2365="USD",G2365,IF(R2365&gt;0,G2365/R2365,0)))</f>
        <v/>
      </c>
      <c r="U2365" s="53">
        <f>IF(P2365="","",IF(P2365="Gasto",S2365,IF(P2365="Reembolso",-S2365,0)))</f>
        <v/>
      </c>
      <c r="V2365" s="53">
        <f>IF(P2365="","",IF(P2365="Ingreso",S2365,0))</f>
        <v/>
      </c>
      <c r="W2365" s="53">
        <f>IF(P2365="","",IF(P2365="Resultado trading",S2365,0))</f>
        <v/>
      </c>
      <c r="X2365" s="52">
        <f>IF(OR(P2365="Gasto",P2365="Reembolso"),IF(M2365&lt;&gt;"",M2365,IFERROR(INDEX(catClasif,MATCH(D2365&amp;"|"&amp;E2365,catClave,0))&amp;"","Variable")),"")</f>
        <v/>
      </c>
      <c r="Y2365" s="52">
        <f>IF(P2365="","",IFERROR(INDEX(catGrupo,MATCH(D2365&amp;"|"&amp;E2365,catClave,0))&amp;"",""))</f>
        <v/>
      </c>
      <c r="Z2365" s="52">
        <f>IF(P2365="","",WEEKDAY(B2365,2))</f>
        <v/>
      </c>
      <c r="AA2365" s="52">
        <f>IF(P2365="","",IF(AND(P2365="Gasto",X2365="Variable",D2365&lt;&gt;catTrading,S2365&gt;0,S2365&lt;=Umbral),1,0))</f>
        <v/>
      </c>
      <c r="AB2365" s="52">
        <f>IF(OR(P2365="",Q2365=""),"",IFERROR(IF(INDEX(ctaVinc,MATCH(Q2365,ctaNombre,0))&amp;""&lt;&gt;"",INDEX(ctaVinc,MATCH(Q2365,ctaNombre,0))&amp;"",Q2365),Q2365))</f>
        <v/>
      </c>
      <c r="AC2365" s="52">
        <f>IF(OR(K2365="",AND(P2365&lt;&gt;"Transferencia",P2365&lt;&gt;"Pago tarjeta")),"",IFERROR(IF(INDEX(ctaVinc,MATCH(K2365,ctaNombre,0))&amp;""&lt;&gt;"",INDEX(ctaVinc,MATCH(K2365,ctaNombre,0))&amp;"",K2365),K2365))</f>
        <v/>
      </c>
      <c r="AD2365" s="52">
        <f>IF(AB2365="","",IFERROR(INDEX(ctaTipo,MATCH(AB2365,ctaNombre,0))&amp;"",""))</f>
        <v/>
      </c>
      <c r="AE2365" s="52">
        <f>IF(AC2365="","",IFERROR(INDEX(ctaTipo,MATCH(AC2365,ctaNombre,0))&amp;"",""))</f>
        <v/>
      </c>
      <c r="AF2365" s="53">
        <f>IF(OR(P2365="",AB2365=""),"",IF(OR(P2365="Gasto",P2365="Transferencia",P2365="Pago tarjeta"),-1,1)*IF(IFERROR(INDEX(ctaMoneda,MATCH(AB2365,ctaNombre,0))&amp;"","DOP")="USD",T2365,S2365))</f>
        <v/>
      </c>
      <c r="AG2365" s="53">
        <f>IF(AC2365="","",IF(IFERROR(INDEX(ctaMoneda,MATCH(AC2365,ctaNombre,0))&amp;"","DOP")="USD",T2365,S2365))</f>
        <v/>
      </c>
      <c r="AH2365" s="53">
        <f>IF(P2365="","",IF(AND(AD2365&lt;&gt;"",COUNTIFS(tcTipo,AD2365,tcLiq,"Sí")&gt;0),IF(OR(P2365="Gasto",P2365="Transferencia",P2365="Pago tarjeta"),-1,1)*S2365,0)+IF(AND(AE2365&lt;&gt;"",COUNTIFS(tcTipo,AE2365,tcLiq,"Sí")&gt;0),S2365,0))</f>
        <v/>
      </c>
      <c r="AI2365" s="52">
        <f>IF(OR(L2365="",P2365=""),"",IF(COUNTIFS(L$6:L2365,L2365,P$6:P2365,"?*")=1,MAX(AI$5:AI2364)+1,""))</f>
        <v/>
      </c>
    </row>
    <row r="2366">
      <c r="B2366" s="47" t="n"/>
      <c r="C2366" s="48" t="n"/>
      <c r="D2366" s="48" t="n"/>
      <c r="E2366" s="48" t="n"/>
      <c r="F2366" s="48" t="n"/>
      <c r="G2366" s="49" t="n"/>
      <c r="H2366" s="48" t="n"/>
      <c r="I2366" s="50" t="n"/>
      <c r="J2366" s="48" t="n"/>
      <c r="K2366" s="48" t="n"/>
      <c r="L2366" s="48" t="n"/>
      <c r="M2366" s="48" t="n"/>
      <c r="N2366" s="48" t="n"/>
      <c r="O2366" s="51">
        <f>IF(AND(B2366="",G2366="",C2366="",D2366="",J2366=""),"",IF(B2366="","⚠ Falta fecha",IF(G2366="","⚠ Falta monto",IF(Q2366="","⚠ Falta cuenta",IF(ISNA(MATCH(Q2366,ctaNombre,0)),"⚠ Cuenta no registrada",IF(AND(OR(P2366="Gasto",P2366="Reembolso"),D2366=""),"⚠ Falta categoría",IF(AND(D2366&lt;&gt;"",E2366&lt;&gt;"",ISNA(MATCH(D2366&amp;"|"&amp;E2366,catClave,0))),"⚠ Subcategoría no corresponde",IF(AND(OR(P2366="Transferencia",P2366="Pago tarjeta"),K2366=""),"⚠ Falta cuenta destino",IF(AND(K2366&lt;&gt;"",P2366&lt;&gt;"Transferencia",P2366&lt;&gt;"Pago tarjeta"),"⚠ Destino solo aplica a transferencias",IF(AND(K2366&lt;&gt;"",K2366=Q2366),"⚠ Origen igual a destino",IF(AND(K2366&lt;&gt;"",ISNA(MATCH(K2366,ctaNombre,0))),"⚠ Destino no registrado",IF(AND(P2366="Pago tarjeta",AE2366&lt;&gt;"Tarjeta de crédito"),"⚠ El destino debe ser tarjeta de crédito",IF(AND(P2366="Gasto",E2366="Depósitos y retiros"),"⚠ Usa tipo Transferencia",IF(AND(P2366="Resultado trading",AD2366&lt;&gt;"Cuenta de trading"),"⚠ Usa una cuenta de trading",IF(AND(G2366&lt;=0,P2366&lt;&gt;"Ajuste",P2366&lt;&gt;"Resultado trading"),"⚠ El monto debe ser positivo","✓")))))))))))))))</f>
        <v/>
      </c>
      <c r="P2366" s="52">
        <f>IF(OR(B2366="",G2366=""),"",IF(C2366="","Gasto",C2366))</f>
        <v/>
      </c>
      <c r="Q2366" s="52">
        <f>IF(P2366="","",IF(J2366&lt;&gt;"",J2366,CuentaPred&amp;""))</f>
        <v/>
      </c>
      <c r="R2366" s="52">
        <f>IF(P2366="","",IF(ISNUMBER(I2366),I2366,TasaUSD))</f>
        <v/>
      </c>
      <c r="S2366" s="53">
        <f>IF(P2366="","",IF(H2366="USD",G2366*R2366,G2366))</f>
        <v/>
      </c>
      <c r="T2366" s="53">
        <f>IF(P2366="","",IF(H2366="USD",G2366,IF(R2366&gt;0,G2366/R2366,0)))</f>
        <v/>
      </c>
      <c r="U2366" s="53">
        <f>IF(P2366="","",IF(P2366="Gasto",S2366,IF(P2366="Reembolso",-S2366,0)))</f>
        <v/>
      </c>
      <c r="V2366" s="53">
        <f>IF(P2366="","",IF(P2366="Ingreso",S2366,0))</f>
        <v/>
      </c>
      <c r="W2366" s="53">
        <f>IF(P2366="","",IF(P2366="Resultado trading",S2366,0))</f>
        <v/>
      </c>
      <c r="X2366" s="52">
        <f>IF(OR(P2366="Gasto",P2366="Reembolso"),IF(M2366&lt;&gt;"",M2366,IFERROR(INDEX(catClasif,MATCH(D2366&amp;"|"&amp;E2366,catClave,0))&amp;"","Variable")),"")</f>
        <v/>
      </c>
      <c r="Y2366" s="52">
        <f>IF(P2366="","",IFERROR(INDEX(catGrupo,MATCH(D2366&amp;"|"&amp;E2366,catClave,0))&amp;"",""))</f>
        <v/>
      </c>
      <c r="Z2366" s="52">
        <f>IF(P2366="","",WEEKDAY(B2366,2))</f>
        <v/>
      </c>
      <c r="AA2366" s="52">
        <f>IF(P2366="","",IF(AND(P2366="Gasto",X2366="Variable",D2366&lt;&gt;catTrading,S2366&gt;0,S2366&lt;=Umbral),1,0))</f>
        <v/>
      </c>
      <c r="AB2366" s="52">
        <f>IF(OR(P2366="",Q2366=""),"",IFERROR(IF(INDEX(ctaVinc,MATCH(Q2366,ctaNombre,0))&amp;""&lt;&gt;"",INDEX(ctaVinc,MATCH(Q2366,ctaNombre,0))&amp;"",Q2366),Q2366))</f>
        <v/>
      </c>
      <c r="AC2366" s="52">
        <f>IF(OR(K2366="",AND(P2366&lt;&gt;"Transferencia",P2366&lt;&gt;"Pago tarjeta")),"",IFERROR(IF(INDEX(ctaVinc,MATCH(K2366,ctaNombre,0))&amp;""&lt;&gt;"",INDEX(ctaVinc,MATCH(K2366,ctaNombre,0))&amp;"",K2366),K2366))</f>
        <v/>
      </c>
      <c r="AD2366" s="52">
        <f>IF(AB2366="","",IFERROR(INDEX(ctaTipo,MATCH(AB2366,ctaNombre,0))&amp;"",""))</f>
        <v/>
      </c>
      <c r="AE2366" s="52">
        <f>IF(AC2366="","",IFERROR(INDEX(ctaTipo,MATCH(AC2366,ctaNombre,0))&amp;"",""))</f>
        <v/>
      </c>
      <c r="AF2366" s="53">
        <f>IF(OR(P2366="",AB2366=""),"",IF(OR(P2366="Gasto",P2366="Transferencia",P2366="Pago tarjeta"),-1,1)*IF(IFERROR(INDEX(ctaMoneda,MATCH(AB2366,ctaNombre,0))&amp;"","DOP")="USD",T2366,S2366))</f>
        <v/>
      </c>
      <c r="AG2366" s="53">
        <f>IF(AC2366="","",IF(IFERROR(INDEX(ctaMoneda,MATCH(AC2366,ctaNombre,0))&amp;"","DOP")="USD",T2366,S2366))</f>
        <v/>
      </c>
      <c r="AH2366" s="53">
        <f>IF(P2366="","",IF(AND(AD2366&lt;&gt;"",COUNTIFS(tcTipo,AD2366,tcLiq,"Sí")&gt;0),IF(OR(P2366="Gasto",P2366="Transferencia",P2366="Pago tarjeta"),-1,1)*S2366,0)+IF(AND(AE2366&lt;&gt;"",COUNTIFS(tcTipo,AE2366,tcLiq,"Sí")&gt;0),S2366,0))</f>
        <v/>
      </c>
      <c r="AI2366" s="52">
        <f>IF(OR(L2366="",P2366=""),"",IF(COUNTIFS(L$6:L2366,L2366,P$6:P2366,"?*")=1,MAX(AI$5:AI2365)+1,""))</f>
        <v/>
      </c>
    </row>
    <row r="2367">
      <c r="B2367" s="47" t="n"/>
      <c r="C2367" s="48" t="n"/>
      <c r="D2367" s="48" t="n"/>
      <c r="E2367" s="48" t="n"/>
      <c r="F2367" s="48" t="n"/>
      <c r="G2367" s="49" t="n"/>
      <c r="H2367" s="48" t="n"/>
      <c r="I2367" s="50" t="n"/>
      <c r="J2367" s="48" t="n"/>
      <c r="K2367" s="48" t="n"/>
      <c r="L2367" s="48" t="n"/>
      <c r="M2367" s="48" t="n"/>
      <c r="N2367" s="48" t="n"/>
      <c r="O2367" s="51">
        <f>IF(AND(B2367="",G2367="",C2367="",D2367="",J2367=""),"",IF(B2367="","⚠ Falta fecha",IF(G2367="","⚠ Falta monto",IF(Q2367="","⚠ Falta cuenta",IF(ISNA(MATCH(Q2367,ctaNombre,0)),"⚠ Cuenta no registrada",IF(AND(OR(P2367="Gasto",P2367="Reembolso"),D2367=""),"⚠ Falta categoría",IF(AND(D2367&lt;&gt;"",E2367&lt;&gt;"",ISNA(MATCH(D2367&amp;"|"&amp;E2367,catClave,0))),"⚠ Subcategoría no corresponde",IF(AND(OR(P2367="Transferencia",P2367="Pago tarjeta"),K2367=""),"⚠ Falta cuenta destino",IF(AND(K2367&lt;&gt;"",P2367&lt;&gt;"Transferencia",P2367&lt;&gt;"Pago tarjeta"),"⚠ Destino solo aplica a transferencias",IF(AND(K2367&lt;&gt;"",K2367=Q2367),"⚠ Origen igual a destino",IF(AND(K2367&lt;&gt;"",ISNA(MATCH(K2367,ctaNombre,0))),"⚠ Destino no registrado",IF(AND(P2367="Pago tarjeta",AE2367&lt;&gt;"Tarjeta de crédito"),"⚠ El destino debe ser tarjeta de crédito",IF(AND(P2367="Gasto",E2367="Depósitos y retiros"),"⚠ Usa tipo Transferencia",IF(AND(P2367="Resultado trading",AD2367&lt;&gt;"Cuenta de trading"),"⚠ Usa una cuenta de trading",IF(AND(G2367&lt;=0,P2367&lt;&gt;"Ajuste",P2367&lt;&gt;"Resultado trading"),"⚠ El monto debe ser positivo","✓")))))))))))))))</f>
        <v/>
      </c>
      <c r="P2367" s="52">
        <f>IF(OR(B2367="",G2367=""),"",IF(C2367="","Gasto",C2367))</f>
        <v/>
      </c>
      <c r="Q2367" s="52">
        <f>IF(P2367="","",IF(J2367&lt;&gt;"",J2367,CuentaPred&amp;""))</f>
        <v/>
      </c>
      <c r="R2367" s="52">
        <f>IF(P2367="","",IF(ISNUMBER(I2367),I2367,TasaUSD))</f>
        <v/>
      </c>
      <c r="S2367" s="53">
        <f>IF(P2367="","",IF(H2367="USD",G2367*R2367,G2367))</f>
        <v/>
      </c>
      <c r="T2367" s="53">
        <f>IF(P2367="","",IF(H2367="USD",G2367,IF(R2367&gt;0,G2367/R2367,0)))</f>
        <v/>
      </c>
      <c r="U2367" s="53">
        <f>IF(P2367="","",IF(P2367="Gasto",S2367,IF(P2367="Reembolso",-S2367,0)))</f>
        <v/>
      </c>
      <c r="V2367" s="53">
        <f>IF(P2367="","",IF(P2367="Ingreso",S2367,0))</f>
        <v/>
      </c>
      <c r="W2367" s="53">
        <f>IF(P2367="","",IF(P2367="Resultado trading",S2367,0))</f>
        <v/>
      </c>
      <c r="X2367" s="52">
        <f>IF(OR(P2367="Gasto",P2367="Reembolso"),IF(M2367&lt;&gt;"",M2367,IFERROR(INDEX(catClasif,MATCH(D2367&amp;"|"&amp;E2367,catClave,0))&amp;"","Variable")),"")</f>
        <v/>
      </c>
      <c r="Y2367" s="52">
        <f>IF(P2367="","",IFERROR(INDEX(catGrupo,MATCH(D2367&amp;"|"&amp;E2367,catClave,0))&amp;"",""))</f>
        <v/>
      </c>
      <c r="Z2367" s="52">
        <f>IF(P2367="","",WEEKDAY(B2367,2))</f>
        <v/>
      </c>
      <c r="AA2367" s="52">
        <f>IF(P2367="","",IF(AND(P2367="Gasto",X2367="Variable",D2367&lt;&gt;catTrading,S2367&gt;0,S2367&lt;=Umbral),1,0))</f>
        <v/>
      </c>
      <c r="AB2367" s="52">
        <f>IF(OR(P2367="",Q2367=""),"",IFERROR(IF(INDEX(ctaVinc,MATCH(Q2367,ctaNombre,0))&amp;""&lt;&gt;"",INDEX(ctaVinc,MATCH(Q2367,ctaNombre,0))&amp;"",Q2367),Q2367))</f>
        <v/>
      </c>
      <c r="AC2367" s="52">
        <f>IF(OR(K2367="",AND(P2367&lt;&gt;"Transferencia",P2367&lt;&gt;"Pago tarjeta")),"",IFERROR(IF(INDEX(ctaVinc,MATCH(K2367,ctaNombre,0))&amp;""&lt;&gt;"",INDEX(ctaVinc,MATCH(K2367,ctaNombre,0))&amp;"",K2367),K2367))</f>
        <v/>
      </c>
      <c r="AD2367" s="52">
        <f>IF(AB2367="","",IFERROR(INDEX(ctaTipo,MATCH(AB2367,ctaNombre,0))&amp;"",""))</f>
        <v/>
      </c>
      <c r="AE2367" s="52">
        <f>IF(AC2367="","",IFERROR(INDEX(ctaTipo,MATCH(AC2367,ctaNombre,0))&amp;"",""))</f>
        <v/>
      </c>
      <c r="AF2367" s="53">
        <f>IF(OR(P2367="",AB2367=""),"",IF(OR(P2367="Gasto",P2367="Transferencia",P2367="Pago tarjeta"),-1,1)*IF(IFERROR(INDEX(ctaMoneda,MATCH(AB2367,ctaNombre,0))&amp;"","DOP")="USD",T2367,S2367))</f>
        <v/>
      </c>
      <c r="AG2367" s="53">
        <f>IF(AC2367="","",IF(IFERROR(INDEX(ctaMoneda,MATCH(AC2367,ctaNombre,0))&amp;"","DOP")="USD",T2367,S2367))</f>
        <v/>
      </c>
      <c r="AH2367" s="53">
        <f>IF(P2367="","",IF(AND(AD2367&lt;&gt;"",COUNTIFS(tcTipo,AD2367,tcLiq,"Sí")&gt;0),IF(OR(P2367="Gasto",P2367="Transferencia",P2367="Pago tarjeta"),-1,1)*S2367,0)+IF(AND(AE2367&lt;&gt;"",COUNTIFS(tcTipo,AE2367,tcLiq,"Sí")&gt;0),S2367,0))</f>
        <v/>
      </c>
      <c r="AI2367" s="52">
        <f>IF(OR(L2367="",P2367=""),"",IF(COUNTIFS(L$6:L2367,L2367,P$6:P2367,"?*")=1,MAX(AI$5:AI2366)+1,""))</f>
        <v/>
      </c>
    </row>
    <row r="2368">
      <c r="B2368" s="47" t="n"/>
      <c r="C2368" s="48" t="n"/>
      <c r="D2368" s="48" t="n"/>
      <c r="E2368" s="48" t="n"/>
      <c r="F2368" s="48" t="n"/>
      <c r="G2368" s="49" t="n"/>
      <c r="H2368" s="48" t="n"/>
      <c r="I2368" s="50" t="n"/>
      <c r="J2368" s="48" t="n"/>
      <c r="K2368" s="48" t="n"/>
      <c r="L2368" s="48" t="n"/>
      <c r="M2368" s="48" t="n"/>
      <c r="N2368" s="48" t="n"/>
      <c r="O2368" s="51">
        <f>IF(AND(B2368="",G2368="",C2368="",D2368="",J2368=""),"",IF(B2368="","⚠ Falta fecha",IF(G2368="","⚠ Falta monto",IF(Q2368="","⚠ Falta cuenta",IF(ISNA(MATCH(Q2368,ctaNombre,0)),"⚠ Cuenta no registrada",IF(AND(OR(P2368="Gasto",P2368="Reembolso"),D2368=""),"⚠ Falta categoría",IF(AND(D2368&lt;&gt;"",E2368&lt;&gt;"",ISNA(MATCH(D2368&amp;"|"&amp;E2368,catClave,0))),"⚠ Subcategoría no corresponde",IF(AND(OR(P2368="Transferencia",P2368="Pago tarjeta"),K2368=""),"⚠ Falta cuenta destino",IF(AND(K2368&lt;&gt;"",P2368&lt;&gt;"Transferencia",P2368&lt;&gt;"Pago tarjeta"),"⚠ Destino solo aplica a transferencias",IF(AND(K2368&lt;&gt;"",K2368=Q2368),"⚠ Origen igual a destino",IF(AND(K2368&lt;&gt;"",ISNA(MATCH(K2368,ctaNombre,0))),"⚠ Destino no registrado",IF(AND(P2368="Pago tarjeta",AE2368&lt;&gt;"Tarjeta de crédito"),"⚠ El destino debe ser tarjeta de crédito",IF(AND(P2368="Gasto",E2368="Depósitos y retiros"),"⚠ Usa tipo Transferencia",IF(AND(P2368="Resultado trading",AD2368&lt;&gt;"Cuenta de trading"),"⚠ Usa una cuenta de trading",IF(AND(G2368&lt;=0,P2368&lt;&gt;"Ajuste",P2368&lt;&gt;"Resultado trading"),"⚠ El monto debe ser positivo","✓")))))))))))))))</f>
        <v/>
      </c>
      <c r="P2368" s="52">
        <f>IF(OR(B2368="",G2368=""),"",IF(C2368="","Gasto",C2368))</f>
        <v/>
      </c>
      <c r="Q2368" s="52">
        <f>IF(P2368="","",IF(J2368&lt;&gt;"",J2368,CuentaPred&amp;""))</f>
        <v/>
      </c>
      <c r="R2368" s="52">
        <f>IF(P2368="","",IF(ISNUMBER(I2368),I2368,TasaUSD))</f>
        <v/>
      </c>
      <c r="S2368" s="53">
        <f>IF(P2368="","",IF(H2368="USD",G2368*R2368,G2368))</f>
        <v/>
      </c>
      <c r="T2368" s="53">
        <f>IF(P2368="","",IF(H2368="USD",G2368,IF(R2368&gt;0,G2368/R2368,0)))</f>
        <v/>
      </c>
      <c r="U2368" s="53">
        <f>IF(P2368="","",IF(P2368="Gasto",S2368,IF(P2368="Reembolso",-S2368,0)))</f>
        <v/>
      </c>
      <c r="V2368" s="53">
        <f>IF(P2368="","",IF(P2368="Ingreso",S2368,0))</f>
        <v/>
      </c>
      <c r="W2368" s="53">
        <f>IF(P2368="","",IF(P2368="Resultado trading",S2368,0))</f>
        <v/>
      </c>
      <c r="X2368" s="52">
        <f>IF(OR(P2368="Gasto",P2368="Reembolso"),IF(M2368&lt;&gt;"",M2368,IFERROR(INDEX(catClasif,MATCH(D2368&amp;"|"&amp;E2368,catClave,0))&amp;"","Variable")),"")</f>
        <v/>
      </c>
      <c r="Y2368" s="52">
        <f>IF(P2368="","",IFERROR(INDEX(catGrupo,MATCH(D2368&amp;"|"&amp;E2368,catClave,0))&amp;"",""))</f>
        <v/>
      </c>
      <c r="Z2368" s="52">
        <f>IF(P2368="","",WEEKDAY(B2368,2))</f>
        <v/>
      </c>
      <c r="AA2368" s="52">
        <f>IF(P2368="","",IF(AND(P2368="Gasto",X2368="Variable",D2368&lt;&gt;catTrading,S2368&gt;0,S2368&lt;=Umbral),1,0))</f>
        <v/>
      </c>
      <c r="AB2368" s="52">
        <f>IF(OR(P2368="",Q2368=""),"",IFERROR(IF(INDEX(ctaVinc,MATCH(Q2368,ctaNombre,0))&amp;""&lt;&gt;"",INDEX(ctaVinc,MATCH(Q2368,ctaNombre,0))&amp;"",Q2368),Q2368))</f>
        <v/>
      </c>
      <c r="AC2368" s="52">
        <f>IF(OR(K2368="",AND(P2368&lt;&gt;"Transferencia",P2368&lt;&gt;"Pago tarjeta")),"",IFERROR(IF(INDEX(ctaVinc,MATCH(K2368,ctaNombre,0))&amp;""&lt;&gt;"",INDEX(ctaVinc,MATCH(K2368,ctaNombre,0))&amp;"",K2368),K2368))</f>
        <v/>
      </c>
      <c r="AD2368" s="52">
        <f>IF(AB2368="","",IFERROR(INDEX(ctaTipo,MATCH(AB2368,ctaNombre,0))&amp;"",""))</f>
        <v/>
      </c>
      <c r="AE2368" s="52">
        <f>IF(AC2368="","",IFERROR(INDEX(ctaTipo,MATCH(AC2368,ctaNombre,0))&amp;"",""))</f>
        <v/>
      </c>
      <c r="AF2368" s="53">
        <f>IF(OR(P2368="",AB2368=""),"",IF(OR(P2368="Gasto",P2368="Transferencia",P2368="Pago tarjeta"),-1,1)*IF(IFERROR(INDEX(ctaMoneda,MATCH(AB2368,ctaNombre,0))&amp;"","DOP")="USD",T2368,S2368))</f>
        <v/>
      </c>
      <c r="AG2368" s="53">
        <f>IF(AC2368="","",IF(IFERROR(INDEX(ctaMoneda,MATCH(AC2368,ctaNombre,0))&amp;"","DOP")="USD",T2368,S2368))</f>
        <v/>
      </c>
      <c r="AH2368" s="53">
        <f>IF(P2368="","",IF(AND(AD2368&lt;&gt;"",COUNTIFS(tcTipo,AD2368,tcLiq,"Sí")&gt;0),IF(OR(P2368="Gasto",P2368="Transferencia",P2368="Pago tarjeta"),-1,1)*S2368,0)+IF(AND(AE2368&lt;&gt;"",COUNTIFS(tcTipo,AE2368,tcLiq,"Sí")&gt;0),S2368,0))</f>
        <v/>
      </c>
      <c r="AI2368" s="52">
        <f>IF(OR(L2368="",P2368=""),"",IF(COUNTIFS(L$6:L2368,L2368,P$6:P2368,"?*")=1,MAX(AI$5:AI2367)+1,""))</f>
        <v/>
      </c>
    </row>
    <row r="2369">
      <c r="B2369" s="47" t="n"/>
      <c r="C2369" s="48" t="n"/>
      <c r="D2369" s="48" t="n"/>
      <c r="E2369" s="48" t="n"/>
      <c r="F2369" s="48" t="n"/>
      <c r="G2369" s="49" t="n"/>
      <c r="H2369" s="48" t="n"/>
      <c r="I2369" s="50" t="n"/>
      <c r="J2369" s="48" t="n"/>
      <c r="K2369" s="48" t="n"/>
      <c r="L2369" s="48" t="n"/>
      <c r="M2369" s="48" t="n"/>
      <c r="N2369" s="48" t="n"/>
      <c r="O2369" s="51">
        <f>IF(AND(B2369="",G2369="",C2369="",D2369="",J2369=""),"",IF(B2369="","⚠ Falta fecha",IF(G2369="","⚠ Falta monto",IF(Q2369="","⚠ Falta cuenta",IF(ISNA(MATCH(Q2369,ctaNombre,0)),"⚠ Cuenta no registrada",IF(AND(OR(P2369="Gasto",P2369="Reembolso"),D2369=""),"⚠ Falta categoría",IF(AND(D2369&lt;&gt;"",E2369&lt;&gt;"",ISNA(MATCH(D2369&amp;"|"&amp;E2369,catClave,0))),"⚠ Subcategoría no corresponde",IF(AND(OR(P2369="Transferencia",P2369="Pago tarjeta"),K2369=""),"⚠ Falta cuenta destino",IF(AND(K2369&lt;&gt;"",P2369&lt;&gt;"Transferencia",P2369&lt;&gt;"Pago tarjeta"),"⚠ Destino solo aplica a transferencias",IF(AND(K2369&lt;&gt;"",K2369=Q2369),"⚠ Origen igual a destino",IF(AND(K2369&lt;&gt;"",ISNA(MATCH(K2369,ctaNombre,0))),"⚠ Destino no registrado",IF(AND(P2369="Pago tarjeta",AE2369&lt;&gt;"Tarjeta de crédito"),"⚠ El destino debe ser tarjeta de crédito",IF(AND(P2369="Gasto",E2369="Depósitos y retiros"),"⚠ Usa tipo Transferencia",IF(AND(P2369="Resultado trading",AD2369&lt;&gt;"Cuenta de trading"),"⚠ Usa una cuenta de trading",IF(AND(G2369&lt;=0,P2369&lt;&gt;"Ajuste",P2369&lt;&gt;"Resultado trading"),"⚠ El monto debe ser positivo","✓")))))))))))))))</f>
        <v/>
      </c>
      <c r="P2369" s="52">
        <f>IF(OR(B2369="",G2369=""),"",IF(C2369="","Gasto",C2369))</f>
        <v/>
      </c>
      <c r="Q2369" s="52">
        <f>IF(P2369="","",IF(J2369&lt;&gt;"",J2369,CuentaPred&amp;""))</f>
        <v/>
      </c>
      <c r="R2369" s="52">
        <f>IF(P2369="","",IF(ISNUMBER(I2369),I2369,TasaUSD))</f>
        <v/>
      </c>
      <c r="S2369" s="53">
        <f>IF(P2369="","",IF(H2369="USD",G2369*R2369,G2369))</f>
        <v/>
      </c>
      <c r="T2369" s="53">
        <f>IF(P2369="","",IF(H2369="USD",G2369,IF(R2369&gt;0,G2369/R2369,0)))</f>
        <v/>
      </c>
      <c r="U2369" s="53">
        <f>IF(P2369="","",IF(P2369="Gasto",S2369,IF(P2369="Reembolso",-S2369,0)))</f>
        <v/>
      </c>
      <c r="V2369" s="53">
        <f>IF(P2369="","",IF(P2369="Ingreso",S2369,0))</f>
        <v/>
      </c>
      <c r="W2369" s="53">
        <f>IF(P2369="","",IF(P2369="Resultado trading",S2369,0))</f>
        <v/>
      </c>
      <c r="X2369" s="52">
        <f>IF(OR(P2369="Gasto",P2369="Reembolso"),IF(M2369&lt;&gt;"",M2369,IFERROR(INDEX(catClasif,MATCH(D2369&amp;"|"&amp;E2369,catClave,0))&amp;"","Variable")),"")</f>
        <v/>
      </c>
      <c r="Y2369" s="52">
        <f>IF(P2369="","",IFERROR(INDEX(catGrupo,MATCH(D2369&amp;"|"&amp;E2369,catClave,0))&amp;"",""))</f>
        <v/>
      </c>
      <c r="Z2369" s="52">
        <f>IF(P2369="","",WEEKDAY(B2369,2))</f>
        <v/>
      </c>
      <c r="AA2369" s="52">
        <f>IF(P2369="","",IF(AND(P2369="Gasto",X2369="Variable",D2369&lt;&gt;catTrading,S2369&gt;0,S2369&lt;=Umbral),1,0))</f>
        <v/>
      </c>
      <c r="AB2369" s="52">
        <f>IF(OR(P2369="",Q2369=""),"",IFERROR(IF(INDEX(ctaVinc,MATCH(Q2369,ctaNombre,0))&amp;""&lt;&gt;"",INDEX(ctaVinc,MATCH(Q2369,ctaNombre,0))&amp;"",Q2369),Q2369))</f>
        <v/>
      </c>
      <c r="AC2369" s="52">
        <f>IF(OR(K2369="",AND(P2369&lt;&gt;"Transferencia",P2369&lt;&gt;"Pago tarjeta")),"",IFERROR(IF(INDEX(ctaVinc,MATCH(K2369,ctaNombre,0))&amp;""&lt;&gt;"",INDEX(ctaVinc,MATCH(K2369,ctaNombre,0))&amp;"",K2369),K2369))</f>
        <v/>
      </c>
      <c r="AD2369" s="52">
        <f>IF(AB2369="","",IFERROR(INDEX(ctaTipo,MATCH(AB2369,ctaNombre,0))&amp;"",""))</f>
        <v/>
      </c>
      <c r="AE2369" s="52">
        <f>IF(AC2369="","",IFERROR(INDEX(ctaTipo,MATCH(AC2369,ctaNombre,0))&amp;"",""))</f>
        <v/>
      </c>
      <c r="AF2369" s="53">
        <f>IF(OR(P2369="",AB2369=""),"",IF(OR(P2369="Gasto",P2369="Transferencia",P2369="Pago tarjeta"),-1,1)*IF(IFERROR(INDEX(ctaMoneda,MATCH(AB2369,ctaNombre,0))&amp;"","DOP")="USD",T2369,S2369))</f>
        <v/>
      </c>
      <c r="AG2369" s="53">
        <f>IF(AC2369="","",IF(IFERROR(INDEX(ctaMoneda,MATCH(AC2369,ctaNombre,0))&amp;"","DOP")="USD",T2369,S2369))</f>
        <v/>
      </c>
      <c r="AH2369" s="53">
        <f>IF(P2369="","",IF(AND(AD2369&lt;&gt;"",COUNTIFS(tcTipo,AD2369,tcLiq,"Sí")&gt;0),IF(OR(P2369="Gasto",P2369="Transferencia",P2369="Pago tarjeta"),-1,1)*S2369,0)+IF(AND(AE2369&lt;&gt;"",COUNTIFS(tcTipo,AE2369,tcLiq,"Sí")&gt;0),S2369,0))</f>
        <v/>
      </c>
      <c r="AI2369" s="52">
        <f>IF(OR(L2369="",P2369=""),"",IF(COUNTIFS(L$6:L2369,L2369,P$6:P2369,"?*")=1,MAX(AI$5:AI2368)+1,""))</f>
        <v/>
      </c>
    </row>
    <row r="2370">
      <c r="B2370" s="47" t="n"/>
      <c r="C2370" s="48" t="n"/>
      <c r="D2370" s="48" t="n"/>
      <c r="E2370" s="48" t="n"/>
      <c r="F2370" s="48" t="n"/>
      <c r="G2370" s="49" t="n"/>
      <c r="H2370" s="48" t="n"/>
      <c r="I2370" s="50" t="n"/>
      <c r="J2370" s="48" t="n"/>
      <c r="K2370" s="48" t="n"/>
      <c r="L2370" s="48" t="n"/>
      <c r="M2370" s="48" t="n"/>
      <c r="N2370" s="48" t="n"/>
      <c r="O2370" s="51">
        <f>IF(AND(B2370="",G2370="",C2370="",D2370="",J2370=""),"",IF(B2370="","⚠ Falta fecha",IF(G2370="","⚠ Falta monto",IF(Q2370="","⚠ Falta cuenta",IF(ISNA(MATCH(Q2370,ctaNombre,0)),"⚠ Cuenta no registrada",IF(AND(OR(P2370="Gasto",P2370="Reembolso"),D2370=""),"⚠ Falta categoría",IF(AND(D2370&lt;&gt;"",E2370&lt;&gt;"",ISNA(MATCH(D2370&amp;"|"&amp;E2370,catClave,0))),"⚠ Subcategoría no corresponde",IF(AND(OR(P2370="Transferencia",P2370="Pago tarjeta"),K2370=""),"⚠ Falta cuenta destino",IF(AND(K2370&lt;&gt;"",P2370&lt;&gt;"Transferencia",P2370&lt;&gt;"Pago tarjeta"),"⚠ Destino solo aplica a transferencias",IF(AND(K2370&lt;&gt;"",K2370=Q2370),"⚠ Origen igual a destino",IF(AND(K2370&lt;&gt;"",ISNA(MATCH(K2370,ctaNombre,0))),"⚠ Destino no registrado",IF(AND(P2370="Pago tarjeta",AE2370&lt;&gt;"Tarjeta de crédito"),"⚠ El destino debe ser tarjeta de crédito",IF(AND(P2370="Gasto",E2370="Depósitos y retiros"),"⚠ Usa tipo Transferencia",IF(AND(P2370="Resultado trading",AD2370&lt;&gt;"Cuenta de trading"),"⚠ Usa una cuenta de trading",IF(AND(G2370&lt;=0,P2370&lt;&gt;"Ajuste",P2370&lt;&gt;"Resultado trading"),"⚠ El monto debe ser positivo","✓")))))))))))))))</f>
        <v/>
      </c>
      <c r="P2370" s="52">
        <f>IF(OR(B2370="",G2370=""),"",IF(C2370="","Gasto",C2370))</f>
        <v/>
      </c>
      <c r="Q2370" s="52">
        <f>IF(P2370="","",IF(J2370&lt;&gt;"",J2370,CuentaPred&amp;""))</f>
        <v/>
      </c>
      <c r="R2370" s="52">
        <f>IF(P2370="","",IF(ISNUMBER(I2370),I2370,TasaUSD))</f>
        <v/>
      </c>
      <c r="S2370" s="53">
        <f>IF(P2370="","",IF(H2370="USD",G2370*R2370,G2370))</f>
        <v/>
      </c>
      <c r="T2370" s="53">
        <f>IF(P2370="","",IF(H2370="USD",G2370,IF(R2370&gt;0,G2370/R2370,0)))</f>
        <v/>
      </c>
      <c r="U2370" s="53">
        <f>IF(P2370="","",IF(P2370="Gasto",S2370,IF(P2370="Reembolso",-S2370,0)))</f>
        <v/>
      </c>
      <c r="V2370" s="53">
        <f>IF(P2370="","",IF(P2370="Ingreso",S2370,0))</f>
        <v/>
      </c>
      <c r="W2370" s="53">
        <f>IF(P2370="","",IF(P2370="Resultado trading",S2370,0))</f>
        <v/>
      </c>
      <c r="X2370" s="52">
        <f>IF(OR(P2370="Gasto",P2370="Reembolso"),IF(M2370&lt;&gt;"",M2370,IFERROR(INDEX(catClasif,MATCH(D2370&amp;"|"&amp;E2370,catClave,0))&amp;"","Variable")),"")</f>
        <v/>
      </c>
      <c r="Y2370" s="52">
        <f>IF(P2370="","",IFERROR(INDEX(catGrupo,MATCH(D2370&amp;"|"&amp;E2370,catClave,0))&amp;"",""))</f>
        <v/>
      </c>
      <c r="Z2370" s="52">
        <f>IF(P2370="","",WEEKDAY(B2370,2))</f>
        <v/>
      </c>
      <c r="AA2370" s="52">
        <f>IF(P2370="","",IF(AND(P2370="Gasto",X2370="Variable",D2370&lt;&gt;catTrading,S2370&gt;0,S2370&lt;=Umbral),1,0))</f>
        <v/>
      </c>
      <c r="AB2370" s="52">
        <f>IF(OR(P2370="",Q2370=""),"",IFERROR(IF(INDEX(ctaVinc,MATCH(Q2370,ctaNombre,0))&amp;""&lt;&gt;"",INDEX(ctaVinc,MATCH(Q2370,ctaNombre,0))&amp;"",Q2370),Q2370))</f>
        <v/>
      </c>
      <c r="AC2370" s="52">
        <f>IF(OR(K2370="",AND(P2370&lt;&gt;"Transferencia",P2370&lt;&gt;"Pago tarjeta")),"",IFERROR(IF(INDEX(ctaVinc,MATCH(K2370,ctaNombre,0))&amp;""&lt;&gt;"",INDEX(ctaVinc,MATCH(K2370,ctaNombre,0))&amp;"",K2370),K2370))</f>
        <v/>
      </c>
      <c r="AD2370" s="52">
        <f>IF(AB2370="","",IFERROR(INDEX(ctaTipo,MATCH(AB2370,ctaNombre,0))&amp;"",""))</f>
        <v/>
      </c>
      <c r="AE2370" s="52">
        <f>IF(AC2370="","",IFERROR(INDEX(ctaTipo,MATCH(AC2370,ctaNombre,0))&amp;"",""))</f>
        <v/>
      </c>
      <c r="AF2370" s="53">
        <f>IF(OR(P2370="",AB2370=""),"",IF(OR(P2370="Gasto",P2370="Transferencia",P2370="Pago tarjeta"),-1,1)*IF(IFERROR(INDEX(ctaMoneda,MATCH(AB2370,ctaNombre,0))&amp;"","DOP")="USD",T2370,S2370))</f>
        <v/>
      </c>
      <c r="AG2370" s="53">
        <f>IF(AC2370="","",IF(IFERROR(INDEX(ctaMoneda,MATCH(AC2370,ctaNombre,0))&amp;"","DOP")="USD",T2370,S2370))</f>
        <v/>
      </c>
      <c r="AH2370" s="53">
        <f>IF(P2370="","",IF(AND(AD2370&lt;&gt;"",COUNTIFS(tcTipo,AD2370,tcLiq,"Sí")&gt;0),IF(OR(P2370="Gasto",P2370="Transferencia",P2370="Pago tarjeta"),-1,1)*S2370,0)+IF(AND(AE2370&lt;&gt;"",COUNTIFS(tcTipo,AE2370,tcLiq,"Sí")&gt;0),S2370,0))</f>
        <v/>
      </c>
      <c r="AI2370" s="52">
        <f>IF(OR(L2370="",P2370=""),"",IF(COUNTIFS(L$6:L2370,L2370,P$6:P2370,"?*")=1,MAX(AI$5:AI2369)+1,""))</f>
        <v/>
      </c>
    </row>
    <row r="2371">
      <c r="B2371" s="47" t="n"/>
      <c r="C2371" s="48" t="n"/>
      <c r="D2371" s="48" t="n"/>
      <c r="E2371" s="48" t="n"/>
      <c r="F2371" s="48" t="n"/>
      <c r="G2371" s="49" t="n"/>
      <c r="H2371" s="48" t="n"/>
      <c r="I2371" s="50" t="n"/>
      <c r="J2371" s="48" t="n"/>
      <c r="K2371" s="48" t="n"/>
      <c r="L2371" s="48" t="n"/>
      <c r="M2371" s="48" t="n"/>
      <c r="N2371" s="48" t="n"/>
      <c r="O2371" s="51">
        <f>IF(AND(B2371="",G2371="",C2371="",D2371="",J2371=""),"",IF(B2371="","⚠ Falta fecha",IF(G2371="","⚠ Falta monto",IF(Q2371="","⚠ Falta cuenta",IF(ISNA(MATCH(Q2371,ctaNombre,0)),"⚠ Cuenta no registrada",IF(AND(OR(P2371="Gasto",P2371="Reembolso"),D2371=""),"⚠ Falta categoría",IF(AND(D2371&lt;&gt;"",E2371&lt;&gt;"",ISNA(MATCH(D2371&amp;"|"&amp;E2371,catClave,0))),"⚠ Subcategoría no corresponde",IF(AND(OR(P2371="Transferencia",P2371="Pago tarjeta"),K2371=""),"⚠ Falta cuenta destino",IF(AND(K2371&lt;&gt;"",P2371&lt;&gt;"Transferencia",P2371&lt;&gt;"Pago tarjeta"),"⚠ Destino solo aplica a transferencias",IF(AND(K2371&lt;&gt;"",K2371=Q2371),"⚠ Origen igual a destino",IF(AND(K2371&lt;&gt;"",ISNA(MATCH(K2371,ctaNombre,0))),"⚠ Destino no registrado",IF(AND(P2371="Pago tarjeta",AE2371&lt;&gt;"Tarjeta de crédito"),"⚠ El destino debe ser tarjeta de crédito",IF(AND(P2371="Gasto",E2371="Depósitos y retiros"),"⚠ Usa tipo Transferencia",IF(AND(P2371="Resultado trading",AD2371&lt;&gt;"Cuenta de trading"),"⚠ Usa una cuenta de trading",IF(AND(G2371&lt;=0,P2371&lt;&gt;"Ajuste",P2371&lt;&gt;"Resultado trading"),"⚠ El monto debe ser positivo","✓")))))))))))))))</f>
        <v/>
      </c>
      <c r="P2371" s="52">
        <f>IF(OR(B2371="",G2371=""),"",IF(C2371="","Gasto",C2371))</f>
        <v/>
      </c>
      <c r="Q2371" s="52">
        <f>IF(P2371="","",IF(J2371&lt;&gt;"",J2371,CuentaPred&amp;""))</f>
        <v/>
      </c>
      <c r="R2371" s="52">
        <f>IF(P2371="","",IF(ISNUMBER(I2371),I2371,TasaUSD))</f>
        <v/>
      </c>
      <c r="S2371" s="53">
        <f>IF(P2371="","",IF(H2371="USD",G2371*R2371,G2371))</f>
        <v/>
      </c>
      <c r="T2371" s="53">
        <f>IF(P2371="","",IF(H2371="USD",G2371,IF(R2371&gt;0,G2371/R2371,0)))</f>
        <v/>
      </c>
      <c r="U2371" s="53">
        <f>IF(P2371="","",IF(P2371="Gasto",S2371,IF(P2371="Reembolso",-S2371,0)))</f>
        <v/>
      </c>
      <c r="V2371" s="53">
        <f>IF(P2371="","",IF(P2371="Ingreso",S2371,0))</f>
        <v/>
      </c>
      <c r="W2371" s="53">
        <f>IF(P2371="","",IF(P2371="Resultado trading",S2371,0))</f>
        <v/>
      </c>
      <c r="X2371" s="52">
        <f>IF(OR(P2371="Gasto",P2371="Reembolso"),IF(M2371&lt;&gt;"",M2371,IFERROR(INDEX(catClasif,MATCH(D2371&amp;"|"&amp;E2371,catClave,0))&amp;"","Variable")),"")</f>
        <v/>
      </c>
      <c r="Y2371" s="52">
        <f>IF(P2371="","",IFERROR(INDEX(catGrupo,MATCH(D2371&amp;"|"&amp;E2371,catClave,0))&amp;"",""))</f>
        <v/>
      </c>
      <c r="Z2371" s="52">
        <f>IF(P2371="","",WEEKDAY(B2371,2))</f>
        <v/>
      </c>
      <c r="AA2371" s="52">
        <f>IF(P2371="","",IF(AND(P2371="Gasto",X2371="Variable",D2371&lt;&gt;catTrading,S2371&gt;0,S2371&lt;=Umbral),1,0))</f>
        <v/>
      </c>
      <c r="AB2371" s="52">
        <f>IF(OR(P2371="",Q2371=""),"",IFERROR(IF(INDEX(ctaVinc,MATCH(Q2371,ctaNombre,0))&amp;""&lt;&gt;"",INDEX(ctaVinc,MATCH(Q2371,ctaNombre,0))&amp;"",Q2371),Q2371))</f>
        <v/>
      </c>
      <c r="AC2371" s="52">
        <f>IF(OR(K2371="",AND(P2371&lt;&gt;"Transferencia",P2371&lt;&gt;"Pago tarjeta")),"",IFERROR(IF(INDEX(ctaVinc,MATCH(K2371,ctaNombre,0))&amp;""&lt;&gt;"",INDEX(ctaVinc,MATCH(K2371,ctaNombre,0))&amp;"",K2371),K2371))</f>
        <v/>
      </c>
      <c r="AD2371" s="52">
        <f>IF(AB2371="","",IFERROR(INDEX(ctaTipo,MATCH(AB2371,ctaNombre,0))&amp;"",""))</f>
        <v/>
      </c>
      <c r="AE2371" s="52">
        <f>IF(AC2371="","",IFERROR(INDEX(ctaTipo,MATCH(AC2371,ctaNombre,0))&amp;"",""))</f>
        <v/>
      </c>
      <c r="AF2371" s="53">
        <f>IF(OR(P2371="",AB2371=""),"",IF(OR(P2371="Gasto",P2371="Transferencia",P2371="Pago tarjeta"),-1,1)*IF(IFERROR(INDEX(ctaMoneda,MATCH(AB2371,ctaNombre,0))&amp;"","DOP")="USD",T2371,S2371))</f>
        <v/>
      </c>
      <c r="AG2371" s="53">
        <f>IF(AC2371="","",IF(IFERROR(INDEX(ctaMoneda,MATCH(AC2371,ctaNombre,0))&amp;"","DOP")="USD",T2371,S2371))</f>
        <v/>
      </c>
      <c r="AH2371" s="53">
        <f>IF(P2371="","",IF(AND(AD2371&lt;&gt;"",COUNTIFS(tcTipo,AD2371,tcLiq,"Sí")&gt;0),IF(OR(P2371="Gasto",P2371="Transferencia",P2371="Pago tarjeta"),-1,1)*S2371,0)+IF(AND(AE2371&lt;&gt;"",COUNTIFS(tcTipo,AE2371,tcLiq,"Sí")&gt;0),S2371,0))</f>
        <v/>
      </c>
      <c r="AI2371" s="52">
        <f>IF(OR(L2371="",P2371=""),"",IF(COUNTIFS(L$6:L2371,L2371,P$6:P2371,"?*")=1,MAX(AI$5:AI2370)+1,""))</f>
        <v/>
      </c>
    </row>
    <row r="2372">
      <c r="B2372" s="47" t="n"/>
      <c r="C2372" s="48" t="n"/>
      <c r="D2372" s="48" t="n"/>
      <c r="E2372" s="48" t="n"/>
      <c r="F2372" s="48" t="n"/>
      <c r="G2372" s="49" t="n"/>
      <c r="H2372" s="48" t="n"/>
      <c r="I2372" s="50" t="n"/>
      <c r="J2372" s="48" t="n"/>
      <c r="K2372" s="48" t="n"/>
      <c r="L2372" s="48" t="n"/>
      <c r="M2372" s="48" t="n"/>
      <c r="N2372" s="48" t="n"/>
      <c r="O2372" s="51">
        <f>IF(AND(B2372="",G2372="",C2372="",D2372="",J2372=""),"",IF(B2372="","⚠ Falta fecha",IF(G2372="","⚠ Falta monto",IF(Q2372="","⚠ Falta cuenta",IF(ISNA(MATCH(Q2372,ctaNombre,0)),"⚠ Cuenta no registrada",IF(AND(OR(P2372="Gasto",P2372="Reembolso"),D2372=""),"⚠ Falta categoría",IF(AND(D2372&lt;&gt;"",E2372&lt;&gt;"",ISNA(MATCH(D2372&amp;"|"&amp;E2372,catClave,0))),"⚠ Subcategoría no corresponde",IF(AND(OR(P2372="Transferencia",P2372="Pago tarjeta"),K2372=""),"⚠ Falta cuenta destino",IF(AND(K2372&lt;&gt;"",P2372&lt;&gt;"Transferencia",P2372&lt;&gt;"Pago tarjeta"),"⚠ Destino solo aplica a transferencias",IF(AND(K2372&lt;&gt;"",K2372=Q2372),"⚠ Origen igual a destino",IF(AND(K2372&lt;&gt;"",ISNA(MATCH(K2372,ctaNombre,0))),"⚠ Destino no registrado",IF(AND(P2372="Pago tarjeta",AE2372&lt;&gt;"Tarjeta de crédito"),"⚠ El destino debe ser tarjeta de crédito",IF(AND(P2372="Gasto",E2372="Depósitos y retiros"),"⚠ Usa tipo Transferencia",IF(AND(P2372="Resultado trading",AD2372&lt;&gt;"Cuenta de trading"),"⚠ Usa una cuenta de trading",IF(AND(G2372&lt;=0,P2372&lt;&gt;"Ajuste",P2372&lt;&gt;"Resultado trading"),"⚠ El monto debe ser positivo","✓")))))))))))))))</f>
        <v/>
      </c>
      <c r="P2372" s="52">
        <f>IF(OR(B2372="",G2372=""),"",IF(C2372="","Gasto",C2372))</f>
        <v/>
      </c>
      <c r="Q2372" s="52">
        <f>IF(P2372="","",IF(J2372&lt;&gt;"",J2372,CuentaPred&amp;""))</f>
        <v/>
      </c>
      <c r="R2372" s="52">
        <f>IF(P2372="","",IF(ISNUMBER(I2372),I2372,TasaUSD))</f>
        <v/>
      </c>
      <c r="S2372" s="53">
        <f>IF(P2372="","",IF(H2372="USD",G2372*R2372,G2372))</f>
        <v/>
      </c>
      <c r="T2372" s="53">
        <f>IF(P2372="","",IF(H2372="USD",G2372,IF(R2372&gt;0,G2372/R2372,0)))</f>
        <v/>
      </c>
      <c r="U2372" s="53">
        <f>IF(P2372="","",IF(P2372="Gasto",S2372,IF(P2372="Reembolso",-S2372,0)))</f>
        <v/>
      </c>
      <c r="V2372" s="53">
        <f>IF(P2372="","",IF(P2372="Ingreso",S2372,0))</f>
        <v/>
      </c>
      <c r="W2372" s="53">
        <f>IF(P2372="","",IF(P2372="Resultado trading",S2372,0))</f>
        <v/>
      </c>
      <c r="X2372" s="52">
        <f>IF(OR(P2372="Gasto",P2372="Reembolso"),IF(M2372&lt;&gt;"",M2372,IFERROR(INDEX(catClasif,MATCH(D2372&amp;"|"&amp;E2372,catClave,0))&amp;"","Variable")),"")</f>
        <v/>
      </c>
      <c r="Y2372" s="52">
        <f>IF(P2372="","",IFERROR(INDEX(catGrupo,MATCH(D2372&amp;"|"&amp;E2372,catClave,0))&amp;"",""))</f>
        <v/>
      </c>
      <c r="Z2372" s="52">
        <f>IF(P2372="","",WEEKDAY(B2372,2))</f>
        <v/>
      </c>
      <c r="AA2372" s="52">
        <f>IF(P2372="","",IF(AND(P2372="Gasto",X2372="Variable",D2372&lt;&gt;catTrading,S2372&gt;0,S2372&lt;=Umbral),1,0))</f>
        <v/>
      </c>
      <c r="AB2372" s="52">
        <f>IF(OR(P2372="",Q2372=""),"",IFERROR(IF(INDEX(ctaVinc,MATCH(Q2372,ctaNombre,0))&amp;""&lt;&gt;"",INDEX(ctaVinc,MATCH(Q2372,ctaNombre,0))&amp;"",Q2372),Q2372))</f>
        <v/>
      </c>
      <c r="AC2372" s="52">
        <f>IF(OR(K2372="",AND(P2372&lt;&gt;"Transferencia",P2372&lt;&gt;"Pago tarjeta")),"",IFERROR(IF(INDEX(ctaVinc,MATCH(K2372,ctaNombre,0))&amp;""&lt;&gt;"",INDEX(ctaVinc,MATCH(K2372,ctaNombre,0))&amp;"",K2372),K2372))</f>
        <v/>
      </c>
      <c r="AD2372" s="52">
        <f>IF(AB2372="","",IFERROR(INDEX(ctaTipo,MATCH(AB2372,ctaNombre,0))&amp;"",""))</f>
        <v/>
      </c>
      <c r="AE2372" s="52">
        <f>IF(AC2372="","",IFERROR(INDEX(ctaTipo,MATCH(AC2372,ctaNombre,0))&amp;"",""))</f>
        <v/>
      </c>
      <c r="AF2372" s="53">
        <f>IF(OR(P2372="",AB2372=""),"",IF(OR(P2372="Gasto",P2372="Transferencia",P2372="Pago tarjeta"),-1,1)*IF(IFERROR(INDEX(ctaMoneda,MATCH(AB2372,ctaNombre,0))&amp;"","DOP")="USD",T2372,S2372))</f>
        <v/>
      </c>
      <c r="AG2372" s="53">
        <f>IF(AC2372="","",IF(IFERROR(INDEX(ctaMoneda,MATCH(AC2372,ctaNombre,0))&amp;"","DOP")="USD",T2372,S2372))</f>
        <v/>
      </c>
      <c r="AH2372" s="53">
        <f>IF(P2372="","",IF(AND(AD2372&lt;&gt;"",COUNTIFS(tcTipo,AD2372,tcLiq,"Sí")&gt;0),IF(OR(P2372="Gasto",P2372="Transferencia",P2372="Pago tarjeta"),-1,1)*S2372,0)+IF(AND(AE2372&lt;&gt;"",COUNTIFS(tcTipo,AE2372,tcLiq,"Sí")&gt;0),S2372,0))</f>
        <v/>
      </c>
      <c r="AI2372" s="52">
        <f>IF(OR(L2372="",P2372=""),"",IF(COUNTIFS(L$6:L2372,L2372,P$6:P2372,"?*")=1,MAX(AI$5:AI2371)+1,""))</f>
        <v/>
      </c>
    </row>
    <row r="2373">
      <c r="B2373" s="47" t="n"/>
      <c r="C2373" s="48" t="n"/>
      <c r="D2373" s="48" t="n"/>
      <c r="E2373" s="48" t="n"/>
      <c r="F2373" s="48" t="n"/>
      <c r="G2373" s="49" t="n"/>
      <c r="H2373" s="48" t="n"/>
      <c r="I2373" s="50" t="n"/>
      <c r="J2373" s="48" t="n"/>
      <c r="K2373" s="48" t="n"/>
      <c r="L2373" s="48" t="n"/>
      <c r="M2373" s="48" t="n"/>
      <c r="N2373" s="48" t="n"/>
      <c r="O2373" s="51">
        <f>IF(AND(B2373="",G2373="",C2373="",D2373="",J2373=""),"",IF(B2373="","⚠ Falta fecha",IF(G2373="","⚠ Falta monto",IF(Q2373="","⚠ Falta cuenta",IF(ISNA(MATCH(Q2373,ctaNombre,0)),"⚠ Cuenta no registrada",IF(AND(OR(P2373="Gasto",P2373="Reembolso"),D2373=""),"⚠ Falta categoría",IF(AND(D2373&lt;&gt;"",E2373&lt;&gt;"",ISNA(MATCH(D2373&amp;"|"&amp;E2373,catClave,0))),"⚠ Subcategoría no corresponde",IF(AND(OR(P2373="Transferencia",P2373="Pago tarjeta"),K2373=""),"⚠ Falta cuenta destino",IF(AND(K2373&lt;&gt;"",P2373&lt;&gt;"Transferencia",P2373&lt;&gt;"Pago tarjeta"),"⚠ Destino solo aplica a transferencias",IF(AND(K2373&lt;&gt;"",K2373=Q2373),"⚠ Origen igual a destino",IF(AND(K2373&lt;&gt;"",ISNA(MATCH(K2373,ctaNombre,0))),"⚠ Destino no registrado",IF(AND(P2373="Pago tarjeta",AE2373&lt;&gt;"Tarjeta de crédito"),"⚠ El destino debe ser tarjeta de crédito",IF(AND(P2373="Gasto",E2373="Depósitos y retiros"),"⚠ Usa tipo Transferencia",IF(AND(P2373="Resultado trading",AD2373&lt;&gt;"Cuenta de trading"),"⚠ Usa una cuenta de trading",IF(AND(G2373&lt;=0,P2373&lt;&gt;"Ajuste",P2373&lt;&gt;"Resultado trading"),"⚠ El monto debe ser positivo","✓")))))))))))))))</f>
        <v/>
      </c>
      <c r="P2373" s="52">
        <f>IF(OR(B2373="",G2373=""),"",IF(C2373="","Gasto",C2373))</f>
        <v/>
      </c>
      <c r="Q2373" s="52">
        <f>IF(P2373="","",IF(J2373&lt;&gt;"",J2373,CuentaPred&amp;""))</f>
        <v/>
      </c>
      <c r="R2373" s="52">
        <f>IF(P2373="","",IF(ISNUMBER(I2373),I2373,TasaUSD))</f>
        <v/>
      </c>
      <c r="S2373" s="53">
        <f>IF(P2373="","",IF(H2373="USD",G2373*R2373,G2373))</f>
        <v/>
      </c>
      <c r="T2373" s="53">
        <f>IF(P2373="","",IF(H2373="USD",G2373,IF(R2373&gt;0,G2373/R2373,0)))</f>
        <v/>
      </c>
      <c r="U2373" s="53">
        <f>IF(P2373="","",IF(P2373="Gasto",S2373,IF(P2373="Reembolso",-S2373,0)))</f>
        <v/>
      </c>
      <c r="V2373" s="53">
        <f>IF(P2373="","",IF(P2373="Ingreso",S2373,0))</f>
        <v/>
      </c>
      <c r="W2373" s="53">
        <f>IF(P2373="","",IF(P2373="Resultado trading",S2373,0))</f>
        <v/>
      </c>
      <c r="X2373" s="52">
        <f>IF(OR(P2373="Gasto",P2373="Reembolso"),IF(M2373&lt;&gt;"",M2373,IFERROR(INDEX(catClasif,MATCH(D2373&amp;"|"&amp;E2373,catClave,0))&amp;"","Variable")),"")</f>
        <v/>
      </c>
      <c r="Y2373" s="52">
        <f>IF(P2373="","",IFERROR(INDEX(catGrupo,MATCH(D2373&amp;"|"&amp;E2373,catClave,0))&amp;"",""))</f>
        <v/>
      </c>
      <c r="Z2373" s="52">
        <f>IF(P2373="","",WEEKDAY(B2373,2))</f>
        <v/>
      </c>
      <c r="AA2373" s="52">
        <f>IF(P2373="","",IF(AND(P2373="Gasto",X2373="Variable",D2373&lt;&gt;catTrading,S2373&gt;0,S2373&lt;=Umbral),1,0))</f>
        <v/>
      </c>
      <c r="AB2373" s="52">
        <f>IF(OR(P2373="",Q2373=""),"",IFERROR(IF(INDEX(ctaVinc,MATCH(Q2373,ctaNombre,0))&amp;""&lt;&gt;"",INDEX(ctaVinc,MATCH(Q2373,ctaNombre,0))&amp;"",Q2373),Q2373))</f>
        <v/>
      </c>
      <c r="AC2373" s="52">
        <f>IF(OR(K2373="",AND(P2373&lt;&gt;"Transferencia",P2373&lt;&gt;"Pago tarjeta")),"",IFERROR(IF(INDEX(ctaVinc,MATCH(K2373,ctaNombre,0))&amp;""&lt;&gt;"",INDEX(ctaVinc,MATCH(K2373,ctaNombre,0))&amp;"",K2373),K2373))</f>
        <v/>
      </c>
      <c r="AD2373" s="52">
        <f>IF(AB2373="","",IFERROR(INDEX(ctaTipo,MATCH(AB2373,ctaNombre,0))&amp;"",""))</f>
        <v/>
      </c>
      <c r="AE2373" s="52">
        <f>IF(AC2373="","",IFERROR(INDEX(ctaTipo,MATCH(AC2373,ctaNombre,0))&amp;"",""))</f>
        <v/>
      </c>
      <c r="AF2373" s="53">
        <f>IF(OR(P2373="",AB2373=""),"",IF(OR(P2373="Gasto",P2373="Transferencia",P2373="Pago tarjeta"),-1,1)*IF(IFERROR(INDEX(ctaMoneda,MATCH(AB2373,ctaNombre,0))&amp;"","DOP")="USD",T2373,S2373))</f>
        <v/>
      </c>
      <c r="AG2373" s="53">
        <f>IF(AC2373="","",IF(IFERROR(INDEX(ctaMoneda,MATCH(AC2373,ctaNombre,0))&amp;"","DOP")="USD",T2373,S2373))</f>
        <v/>
      </c>
      <c r="AH2373" s="53">
        <f>IF(P2373="","",IF(AND(AD2373&lt;&gt;"",COUNTIFS(tcTipo,AD2373,tcLiq,"Sí")&gt;0),IF(OR(P2373="Gasto",P2373="Transferencia",P2373="Pago tarjeta"),-1,1)*S2373,0)+IF(AND(AE2373&lt;&gt;"",COUNTIFS(tcTipo,AE2373,tcLiq,"Sí")&gt;0),S2373,0))</f>
        <v/>
      </c>
      <c r="AI2373" s="52">
        <f>IF(OR(L2373="",P2373=""),"",IF(COUNTIFS(L$6:L2373,L2373,P$6:P2373,"?*")=1,MAX(AI$5:AI2372)+1,""))</f>
        <v/>
      </c>
    </row>
    <row r="2374">
      <c r="B2374" s="47" t="n"/>
      <c r="C2374" s="48" t="n"/>
      <c r="D2374" s="48" t="n"/>
      <c r="E2374" s="48" t="n"/>
      <c r="F2374" s="48" t="n"/>
      <c r="G2374" s="49" t="n"/>
      <c r="H2374" s="48" t="n"/>
      <c r="I2374" s="50" t="n"/>
      <c r="J2374" s="48" t="n"/>
      <c r="K2374" s="48" t="n"/>
      <c r="L2374" s="48" t="n"/>
      <c r="M2374" s="48" t="n"/>
      <c r="N2374" s="48" t="n"/>
      <c r="O2374" s="51">
        <f>IF(AND(B2374="",G2374="",C2374="",D2374="",J2374=""),"",IF(B2374="","⚠ Falta fecha",IF(G2374="","⚠ Falta monto",IF(Q2374="","⚠ Falta cuenta",IF(ISNA(MATCH(Q2374,ctaNombre,0)),"⚠ Cuenta no registrada",IF(AND(OR(P2374="Gasto",P2374="Reembolso"),D2374=""),"⚠ Falta categoría",IF(AND(D2374&lt;&gt;"",E2374&lt;&gt;"",ISNA(MATCH(D2374&amp;"|"&amp;E2374,catClave,0))),"⚠ Subcategoría no corresponde",IF(AND(OR(P2374="Transferencia",P2374="Pago tarjeta"),K2374=""),"⚠ Falta cuenta destino",IF(AND(K2374&lt;&gt;"",P2374&lt;&gt;"Transferencia",P2374&lt;&gt;"Pago tarjeta"),"⚠ Destino solo aplica a transferencias",IF(AND(K2374&lt;&gt;"",K2374=Q2374),"⚠ Origen igual a destino",IF(AND(K2374&lt;&gt;"",ISNA(MATCH(K2374,ctaNombre,0))),"⚠ Destino no registrado",IF(AND(P2374="Pago tarjeta",AE2374&lt;&gt;"Tarjeta de crédito"),"⚠ El destino debe ser tarjeta de crédito",IF(AND(P2374="Gasto",E2374="Depósitos y retiros"),"⚠ Usa tipo Transferencia",IF(AND(P2374="Resultado trading",AD2374&lt;&gt;"Cuenta de trading"),"⚠ Usa una cuenta de trading",IF(AND(G2374&lt;=0,P2374&lt;&gt;"Ajuste",P2374&lt;&gt;"Resultado trading"),"⚠ El monto debe ser positivo","✓")))))))))))))))</f>
        <v/>
      </c>
      <c r="P2374" s="52">
        <f>IF(OR(B2374="",G2374=""),"",IF(C2374="","Gasto",C2374))</f>
        <v/>
      </c>
      <c r="Q2374" s="52">
        <f>IF(P2374="","",IF(J2374&lt;&gt;"",J2374,CuentaPred&amp;""))</f>
        <v/>
      </c>
      <c r="R2374" s="52">
        <f>IF(P2374="","",IF(ISNUMBER(I2374),I2374,TasaUSD))</f>
        <v/>
      </c>
      <c r="S2374" s="53">
        <f>IF(P2374="","",IF(H2374="USD",G2374*R2374,G2374))</f>
        <v/>
      </c>
      <c r="T2374" s="53">
        <f>IF(P2374="","",IF(H2374="USD",G2374,IF(R2374&gt;0,G2374/R2374,0)))</f>
        <v/>
      </c>
      <c r="U2374" s="53">
        <f>IF(P2374="","",IF(P2374="Gasto",S2374,IF(P2374="Reembolso",-S2374,0)))</f>
        <v/>
      </c>
      <c r="V2374" s="53">
        <f>IF(P2374="","",IF(P2374="Ingreso",S2374,0))</f>
        <v/>
      </c>
      <c r="W2374" s="53">
        <f>IF(P2374="","",IF(P2374="Resultado trading",S2374,0))</f>
        <v/>
      </c>
      <c r="X2374" s="52">
        <f>IF(OR(P2374="Gasto",P2374="Reembolso"),IF(M2374&lt;&gt;"",M2374,IFERROR(INDEX(catClasif,MATCH(D2374&amp;"|"&amp;E2374,catClave,0))&amp;"","Variable")),"")</f>
        <v/>
      </c>
      <c r="Y2374" s="52">
        <f>IF(P2374="","",IFERROR(INDEX(catGrupo,MATCH(D2374&amp;"|"&amp;E2374,catClave,0))&amp;"",""))</f>
        <v/>
      </c>
      <c r="Z2374" s="52">
        <f>IF(P2374="","",WEEKDAY(B2374,2))</f>
        <v/>
      </c>
      <c r="AA2374" s="52">
        <f>IF(P2374="","",IF(AND(P2374="Gasto",X2374="Variable",D2374&lt;&gt;catTrading,S2374&gt;0,S2374&lt;=Umbral),1,0))</f>
        <v/>
      </c>
      <c r="AB2374" s="52">
        <f>IF(OR(P2374="",Q2374=""),"",IFERROR(IF(INDEX(ctaVinc,MATCH(Q2374,ctaNombre,0))&amp;""&lt;&gt;"",INDEX(ctaVinc,MATCH(Q2374,ctaNombre,0))&amp;"",Q2374),Q2374))</f>
        <v/>
      </c>
      <c r="AC2374" s="52">
        <f>IF(OR(K2374="",AND(P2374&lt;&gt;"Transferencia",P2374&lt;&gt;"Pago tarjeta")),"",IFERROR(IF(INDEX(ctaVinc,MATCH(K2374,ctaNombre,0))&amp;""&lt;&gt;"",INDEX(ctaVinc,MATCH(K2374,ctaNombre,0))&amp;"",K2374),K2374))</f>
        <v/>
      </c>
      <c r="AD2374" s="52">
        <f>IF(AB2374="","",IFERROR(INDEX(ctaTipo,MATCH(AB2374,ctaNombre,0))&amp;"",""))</f>
        <v/>
      </c>
      <c r="AE2374" s="52">
        <f>IF(AC2374="","",IFERROR(INDEX(ctaTipo,MATCH(AC2374,ctaNombre,0))&amp;"",""))</f>
        <v/>
      </c>
      <c r="AF2374" s="53">
        <f>IF(OR(P2374="",AB2374=""),"",IF(OR(P2374="Gasto",P2374="Transferencia",P2374="Pago tarjeta"),-1,1)*IF(IFERROR(INDEX(ctaMoneda,MATCH(AB2374,ctaNombre,0))&amp;"","DOP")="USD",T2374,S2374))</f>
        <v/>
      </c>
      <c r="AG2374" s="53">
        <f>IF(AC2374="","",IF(IFERROR(INDEX(ctaMoneda,MATCH(AC2374,ctaNombre,0))&amp;"","DOP")="USD",T2374,S2374))</f>
        <v/>
      </c>
      <c r="AH2374" s="53">
        <f>IF(P2374="","",IF(AND(AD2374&lt;&gt;"",COUNTIFS(tcTipo,AD2374,tcLiq,"Sí")&gt;0),IF(OR(P2374="Gasto",P2374="Transferencia",P2374="Pago tarjeta"),-1,1)*S2374,0)+IF(AND(AE2374&lt;&gt;"",COUNTIFS(tcTipo,AE2374,tcLiq,"Sí")&gt;0),S2374,0))</f>
        <v/>
      </c>
      <c r="AI2374" s="52">
        <f>IF(OR(L2374="",P2374=""),"",IF(COUNTIFS(L$6:L2374,L2374,P$6:P2374,"?*")=1,MAX(AI$5:AI2373)+1,""))</f>
        <v/>
      </c>
    </row>
    <row r="2375">
      <c r="B2375" s="47" t="n"/>
      <c r="C2375" s="48" t="n"/>
      <c r="D2375" s="48" t="n"/>
      <c r="E2375" s="48" t="n"/>
      <c r="F2375" s="48" t="n"/>
      <c r="G2375" s="49" t="n"/>
      <c r="H2375" s="48" t="n"/>
      <c r="I2375" s="50" t="n"/>
      <c r="J2375" s="48" t="n"/>
      <c r="K2375" s="48" t="n"/>
      <c r="L2375" s="48" t="n"/>
      <c r="M2375" s="48" t="n"/>
      <c r="N2375" s="48" t="n"/>
      <c r="O2375" s="51">
        <f>IF(AND(B2375="",G2375="",C2375="",D2375="",J2375=""),"",IF(B2375="","⚠ Falta fecha",IF(G2375="","⚠ Falta monto",IF(Q2375="","⚠ Falta cuenta",IF(ISNA(MATCH(Q2375,ctaNombre,0)),"⚠ Cuenta no registrada",IF(AND(OR(P2375="Gasto",P2375="Reembolso"),D2375=""),"⚠ Falta categoría",IF(AND(D2375&lt;&gt;"",E2375&lt;&gt;"",ISNA(MATCH(D2375&amp;"|"&amp;E2375,catClave,0))),"⚠ Subcategoría no corresponde",IF(AND(OR(P2375="Transferencia",P2375="Pago tarjeta"),K2375=""),"⚠ Falta cuenta destino",IF(AND(K2375&lt;&gt;"",P2375&lt;&gt;"Transferencia",P2375&lt;&gt;"Pago tarjeta"),"⚠ Destino solo aplica a transferencias",IF(AND(K2375&lt;&gt;"",K2375=Q2375),"⚠ Origen igual a destino",IF(AND(K2375&lt;&gt;"",ISNA(MATCH(K2375,ctaNombre,0))),"⚠ Destino no registrado",IF(AND(P2375="Pago tarjeta",AE2375&lt;&gt;"Tarjeta de crédito"),"⚠ El destino debe ser tarjeta de crédito",IF(AND(P2375="Gasto",E2375="Depósitos y retiros"),"⚠ Usa tipo Transferencia",IF(AND(P2375="Resultado trading",AD2375&lt;&gt;"Cuenta de trading"),"⚠ Usa una cuenta de trading",IF(AND(G2375&lt;=0,P2375&lt;&gt;"Ajuste",P2375&lt;&gt;"Resultado trading"),"⚠ El monto debe ser positivo","✓")))))))))))))))</f>
        <v/>
      </c>
      <c r="P2375" s="52">
        <f>IF(OR(B2375="",G2375=""),"",IF(C2375="","Gasto",C2375))</f>
        <v/>
      </c>
      <c r="Q2375" s="52">
        <f>IF(P2375="","",IF(J2375&lt;&gt;"",J2375,CuentaPred&amp;""))</f>
        <v/>
      </c>
      <c r="R2375" s="52">
        <f>IF(P2375="","",IF(ISNUMBER(I2375),I2375,TasaUSD))</f>
        <v/>
      </c>
      <c r="S2375" s="53">
        <f>IF(P2375="","",IF(H2375="USD",G2375*R2375,G2375))</f>
        <v/>
      </c>
      <c r="T2375" s="53">
        <f>IF(P2375="","",IF(H2375="USD",G2375,IF(R2375&gt;0,G2375/R2375,0)))</f>
        <v/>
      </c>
      <c r="U2375" s="53">
        <f>IF(P2375="","",IF(P2375="Gasto",S2375,IF(P2375="Reembolso",-S2375,0)))</f>
        <v/>
      </c>
      <c r="V2375" s="53">
        <f>IF(P2375="","",IF(P2375="Ingreso",S2375,0))</f>
        <v/>
      </c>
      <c r="W2375" s="53">
        <f>IF(P2375="","",IF(P2375="Resultado trading",S2375,0))</f>
        <v/>
      </c>
      <c r="X2375" s="52">
        <f>IF(OR(P2375="Gasto",P2375="Reembolso"),IF(M2375&lt;&gt;"",M2375,IFERROR(INDEX(catClasif,MATCH(D2375&amp;"|"&amp;E2375,catClave,0))&amp;"","Variable")),"")</f>
        <v/>
      </c>
      <c r="Y2375" s="52">
        <f>IF(P2375="","",IFERROR(INDEX(catGrupo,MATCH(D2375&amp;"|"&amp;E2375,catClave,0))&amp;"",""))</f>
        <v/>
      </c>
      <c r="Z2375" s="52">
        <f>IF(P2375="","",WEEKDAY(B2375,2))</f>
        <v/>
      </c>
      <c r="AA2375" s="52">
        <f>IF(P2375="","",IF(AND(P2375="Gasto",X2375="Variable",D2375&lt;&gt;catTrading,S2375&gt;0,S2375&lt;=Umbral),1,0))</f>
        <v/>
      </c>
      <c r="AB2375" s="52">
        <f>IF(OR(P2375="",Q2375=""),"",IFERROR(IF(INDEX(ctaVinc,MATCH(Q2375,ctaNombre,0))&amp;""&lt;&gt;"",INDEX(ctaVinc,MATCH(Q2375,ctaNombre,0))&amp;"",Q2375),Q2375))</f>
        <v/>
      </c>
      <c r="AC2375" s="52">
        <f>IF(OR(K2375="",AND(P2375&lt;&gt;"Transferencia",P2375&lt;&gt;"Pago tarjeta")),"",IFERROR(IF(INDEX(ctaVinc,MATCH(K2375,ctaNombre,0))&amp;""&lt;&gt;"",INDEX(ctaVinc,MATCH(K2375,ctaNombre,0))&amp;"",K2375),K2375))</f>
        <v/>
      </c>
      <c r="AD2375" s="52">
        <f>IF(AB2375="","",IFERROR(INDEX(ctaTipo,MATCH(AB2375,ctaNombre,0))&amp;"",""))</f>
        <v/>
      </c>
      <c r="AE2375" s="52">
        <f>IF(AC2375="","",IFERROR(INDEX(ctaTipo,MATCH(AC2375,ctaNombre,0))&amp;"",""))</f>
        <v/>
      </c>
      <c r="AF2375" s="53">
        <f>IF(OR(P2375="",AB2375=""),"",IF(OR(P2375="Gasto",P2375="Transferencia",P2375="Pago tarjeta"),-1,1)*IF(IFERROR(INDEX(ctaMoneda,MATCH(AB2375,ctaNombre,0))&amp;"","DOP")="USD",T2375,S2375))</f>
        <v/>
      </c>
      <c r="AG2375" s="53">
        <f>IF(AC2375="","",IF(IFERROR(INDEX(ctaMoneda,MATCH(AC2375,ctaNombre,0))&amp;"","DOP")="USD",T2375,S2375))</f>
        <v/>
      </c>
      <c r="AH2375" s="53">
        <f>IF(P2375="","",IF(AND(AD2375&lt;&gt;"",COUNTIFS(tcTipo,AD2375,tcLiq,"Sí")&gt;0),IF(OR(P2375="Gasto",P2375="Transferencia",P2375="Pago tarjeta"),-1,1)*S2375,0)+IF(AND(AE2375&lt;&gt;"",COUNTIFS(tcTipo,AE2375,tcLiq,"Sí")&gt;0),S2375,0))</f>
        <v/>
      </c>
      <c r="AI2375" s="52">
        <f>IF(OR(L2375="",P2375=""),"",IF(COUNTIFS(L$6:L2375,L2375,P$6:P2375,"?*")=1,MAX(AI$5:AI2374)+1,""))</f>
        <v/>
      </c>
    </row>
    <row r="2376">
      <c r="B2376" s="47" t="n"/>
      <c r="C2376" s="48" t="n"/>
      <c r="D2376" s="48" t="n"/>
      <c r="E2376" s="48" t="n"/>
      <c r="F2376" s="48" t="n"/>
      <c r="G2376" s="49" t="n"/>
      <c r="H2376" s="48" t="n"/>
      <c r="I2376" s="50" t="n"/>
      <c r="J2376" s="48" t="n"/>
      <c r="K2376" s="48" t="n"/>
      <c r="L2376" s="48" t="n"/>
      <c r="M2376" s="48" t="n"/>
      <c r="N2376" s="48" t="n"/>
      <c r="O2376" s="51">
        <f>IF(AND(B2376="",G2376="",C2376="",D2376="",J2376=""),"",IF(B2376="","⚠ Falta fecha",IF(G2376="","⚠ Falta monto",IF(Q2376="","⚠ Falta cuenta",IF(ISNA(MATCH(Q2376,ctaNombre,0)),"⚠ Cuenta no registrada",IF(AND(OR(P2376="Gasto",P2376="Reembolso"),D2376=""),"⚠ Falta categoría",IF(AND(D2376&lt;&gt;"",E2376&lt;&gt;"",ISNA(MATCH(D2376&amp;"|"&amp;E2376,catClave,0))),"⚠ Subcategoría no corresponde",IF(AND(OR(P2376="Transferencia",P2376="Pago tarjeta"),K2376=""),"⚠ Falta cuenta destino",IF(AND(K2376&lt;&gt;"",P2376&lt;&gt;"Transferencia",P2376&lt;&gt;"Pago tarjeta"),"⚠ Destino solo aplica a transferencias",IF(AND(K2376&lt;&gt;"",K2376=Q2376),"⚠ Origen igual a destino",IF(AND(K2376&lt;&gt;"",ISNA(MATCH(K2376,ctaNombre,0))),"⚠ Destino no registrado",IF(AND(P2376="Pago tarjeta",AE2376&lt;&gt;"Tarjeta de crédito"),"⚠ El destino debe ser tarjeta de crédito",IF(AND(P2376="Gasto",E2376="Depósitos y retiros"),"⚠ Usa tipo Transferencia",IF(AND(P2376="Resultado trading",AD2376&lt;&gt;"Cuenta de trading"),"⚠ Usa una cuenta de trading",IF(AND(G2376&lt;=0,P2376&lt;&gt;"Ajuste",P2376&lt;&gt;"Resultado trading"),"⚠ El monto debe ser positivo","✓")))))))))))))))</f>
        <v/>
      </c>
      <c r="P2376" s="52">
        <f>IF(OR(B2376="",G2376=""),"",IF(C2376="","Gasto",C2376))</f>
        <v/>
      </c>
      <c r="Q2376" s="52">
        <f>IF(P2376="","",IF(J2376&lt;&gt;"",J2376,CuentaPred&amp;""))</f>
        <v/>
      </c>
      <c r="R2376" s="52">
        <f>IF(P2376="","",IF(ISNUMBER(I2376),I2376,TasaUSD))</f>
        <v/>
      </c>
      <c r="S2376" s="53">
        <f>IF(P2376="","",IF(H2376="USD",G2376*R2376,G2376))</f>
        <v/>
      </c>
      <c r="T2376" s="53">
        <f>IF(P2376="","",IF(H2376="USD",G2376,IF(R2376&gt;0,G2376/R2376,0)))</f>
        <v/>
      </c>
      <c r="U2376" s="53">
        <f>IF(P2376="","",IF(P2376="Gasto",S2376,IF(P2376="Reembolso",-S2376,0)))</f>
        <v/>
      </c>
      <c r="V2376" s="53">
        <f>IF(P2376="","",IF(P2376="Ingreso",S2376,0))</f>
        <v/>
      </c>
      <c r="W2376" s="53">
        <f>IF(P2376="","",IF(P2376="Resultado trading",S2376,0))</f>
        <v/>
      </c>
      <c r="X2376" s="52">
        <f>IF(OR(P2376="Gasto",P2376="Reembolso"),IF(M2376&lt;&gt;"",M2376,IFERROR(INDEX(catClasif,MATCH(D2376&amp;"|"&amp;E2376,catClave,0))&amp;"","Variable")),"")</f>
        <v/>
      </c>
      <c r="Y2376" s="52">
        <f>IF(P2376="","",IFERROR(INDEX(catGrupo,MATCH(D2376&amp;"|"&amp;E2376,catClave,0))&amp;"",""))</f>
        <v/>
      </c>
      <c r="Z2376" s="52">
        <f>IF(P2376="","",WEEKDAY(B2376,2))</f>
        <v/>
      </c>
      <c r="AA2376" s="52">
        <f>IF(P2376="","",IF(AND(P2376="Gasto",X2376="Variable",D2376&lt;&gt;catTrading,S2376&gt;0,S2376&lt;=Umbral),1,0))</f>
        <v/>
      </c>
      <c r="AB2376" s="52">
        <f>IF(OR(P2376="",Q2376=""),"",IFERROR(IF(INDEX(ctaVinc,MATCH(Q2376,ctaNombre,0))&amp;""&lt;&gt;"",INDEX(ctaVinc,MATCH(Q2376,ctaNombre,0))&amp;"",Q2376),Q2376))</f>
        <v/>
      </c>
      <c r="AC2376" s="52">
        <f>IF(OR(K2376="",AND(P2376&lt;&gt;"Transferencia",P2376&lt;&gt;"Pago tarjeta")),"",IFERROR(IF(INDEX(ctaVinc,MATCH(K2376,ctaNombre,0))&amp;""&lt;&gt;"",INDEX(ctaVinc,MATCH(K2376,ctaNombre,0))&amp;"",K2376),K2376))</f>
        <v/>
      </c>
      <c r="AD2376" s="52">
        <f>IF(AB2376="","",IFERROR(INDEX(ctaTipo,MATCH(AB2376,ctaNombre,0))&amp;"",""))</f>
        <v/>
      </c>
      <c r="AE2376" s="52">
        <f>IF(AC2376="","",IFERROR(INDEX(ctaTipo,MATCH(AC2376,ctaNombre,0))&amp;"",""))</f>
        <v/>
      </c>
      <c r="AF2376" s="53">
        <f>IF(OR(P2376="",AB2376=""),"",IF(OR(P2376="Gasto",P2376="Transferencia",P2376="Pago tarjeta"),-1,1)*IF(IFERROR(INDEX(ctaMoneda,MATCH(AB2376,ctaNombre,0))&amp;"","DOP")="USD",T2376,S2376))</f>
        <v/>
      </c>
      <c r="AG2376" s="53">
        <f>IF(AC2376="","",IF(IFERROR(INDEX(ctaMoneda,MATCH(AC2376,ctaNombre,0))&amp;"","DOP")="USD",T2376,S2376))</f>
        <v/>
      </c>
      <c r="AH2376" s="53">
        <f>IF(P2376="","",IF(AND(AD2376&lt;&gt;"",COUNTIFS(tcTipo,AD2376,tcLiq,"Sí")&gt;0),IF(OR(P2376="Gasto",P2376="Transferencia",P2376="Pago tarjeta"),-1,1)*S2376,0)+IF(AND(AE2376&lt;&gt;"",COUNTIFS(tcTipo,AE2376,tcLiq,"Sí")&gt;0),S2376,0))</f>
        <v/>
      </c>
      <c r="AI2376" s="52">
        <f>IF(OR(L2376="",P2376=""),"",IF(COUNTIFS(L$6:L2376,L2376,P$6:P2376,"?*")=1,MAX(AI$5:AI2375)+1,""))</f>
        <v/>
      </c>
    </row>
    <row r="2377">
      <c r="B2377" s="47" t="n"/>
      <c r="C2377" s="48" t="n"/>
      <c r="D2377" s="48" t="n"/>
      <c r="E2377" s="48" t="n"/>
      <c r="F2377" s="48" t="n"/>
      <c r="G2377" s="49" t="n"/>
      <c r="H2377" s="48" t="n"/>
      <c r="I2377" s="50" t="n"/>
      <c r="J2377" s="48" t="n"/>
      <c r="K2377" s="48" t="n"/>
      <c r="L2377" s="48" t="n"/>
      <c r="M2377" s="48" t="n"/>
      <c r="N2377" s="48" t="n"/>
      <c r="O2377" s="51">
        <f>IF(AND(B2377="",G2377="",C2377="",D2377="",J2377=""),"",IF(B2377="","⚠ Falta fecha",IF(G2377="","⚠ Falta monto",IF(Q2377="","⚠ Falta cuenta",IF(ISNA(MATCH(Q2377,ctaNombre,0)),"⚠ Cuenta no registrada",IF(AND(OR(P2377="Gasto",P2377="Reembolso"),D2377=""),"⚠ Falta categoría",IF(AND(D2377&lt;&gt;"",E2377&lt;&gt;"",ISNA(MATCH(D2377&amp;"|"&amp;E2377,catClave,0))),"⚠ Subcategoría no corresponde",IF(AND(OR(P2377="Transferencia",P2377="Pago tarjeta"),K2377=""),"⚠ Falta cuenta destino",IF(AND(K2377&lt;&gt;"",P2377&lt;&gt;"Transferencia",P2377&lt;&gt;"Pago tarjeta"),"⚠ Destino solo aplica a transferencias",IF(AND(K2377&lt;&gt;"",K2377=Q2377),"⚠ Origen igual a destino",IF(AND(K2377&lt;&gt;"",ISNA(MATCH(K2377,ctaNombre,0))),"⚠ Destino no registrado",IF(AND(P2377="Pago tarjeta",AE2377&lt;&gt;"Tarjeta de crédito"),"⚠ El destino debe ser tarjeta de crédito",IF(AND(P2377="Gasto",E2377="Depósitos y retiros"),"⚠ Usa tipo Transferencia",IF(AND(P2377="Resultado trading",AD2377&lt;&gt;"Cuenta de trading"),"⚠ Usa una cuenta de trading",IF(AND(G2377&lt;=0,P2377&lt;&gt;"Ajuste",P2377&lt;&gt;"Resultado trading"),"⚠ El monto debe ser positivo","✓")))))))))))))))</f>
        <v/>
      </c>
      <c r="P2377" s="52">
        <f>IF(OR(B2377="",G2377=""),"",IF(C2377="","Gasto",C2377))</f>
        <v/>
      </c>
      <c r="Q2377" s="52">
        <f>IF(P2377="","",IF(J2377&lt;&gt;"",J2377,CuentaPred&amp;""))</f>
        <v/>
      </c>
      <c r="R2377" s="52">
        <f>IF(P2377="","",IF(ISNUMBER(I2377),I2377,TasaUSD))</f>
        <v/>
      </c>
      <c r="S2377" s="53">
        <f>IF(P2377="","",IF(H2377="USD",G2377*R2377,G2377))</f>
        <v/>
      </c>
      <c r="T2377" s="53">
        <f>IF(P2377="","",IF(H2377="USD",G2377,IF(R2377&gt;0,G2377/R2377,0)))</f>
        <v/>
      </c>
      <c r="U2377" s="53">
        <f>IF(P2377="","",IF(P2377="Gasto",S2377,IF(P2377="Reembolso",-S2377,0)))</f>
        <v/>
      </c>
      <c r="V2377" s="53">
        <f>IF(P2377="","",IF(P2377="Ingreso",S2377,0))</f>
        <v/>
      </c>
      <c r="W2377" s="53">
        <f>IF(P2377="","",IF(P2377="Resultado trading",S2377,0))</f>
        <v/>
      </c>
      <c r="X2377" s="52">
        <f>IF(OR(P2377="Gasto",P2377="Reembolso"),IF(M2377&lt;&gt;"",M2377,IFERROR(INDEX(catClasif,MATCH(D2377&amp;"|"&amp;E2377,catClave,0))&amp;"","Variable")),"")</f>
        <v/>
      </c>
      <c r="Y2377" s="52">
        <f>IF(P2377="","",IFERROR(INDEX(catGrupo,MATCH(D2377&amp;"|"&amp;E2377,catClave,0))&amp;"",""))</f>
        <v/>
      </c>
      <c r="Z2377" s="52">
        <f>IF(P2377="","",WEEKDAY(B2377,2))</f>
        <v/>
      </c>
      <c r="AA2377" s="52">
        <f>IF(P2377="","",IF(AND(P2377="Gasto",X2377="Variable",D2377&lt;&gt;catTrading,S2377&gt;0,S2377&lt;=Umbral),1,0))</f>
        <v/>
      </c>
      <c r="AB2377" s="52">
        <f>IF(OR(P2377="",Q2377=""),"",IFERROR(IF(INDEX(ctaVinc,MATCH(Q2377,ctaNombre,0))&amp;""&lt;&gt;"",INDEX(ctaVinc,MATCH(Q2377,ctaNombre,0))&amp;"",Q2377),Q2377))</f>
        <v/>
      </c>
      <c r="AC2377" s="52">
        <f>IF(OR(K2377="",AND(P2377&lt;&gt;"Transferencia",P2377&lt;&gt;"Pago tarjeta")),"",IFERROR(IF(INDEX(ctaVinc,MATCH(K2377,ctaNombre,0))&amp;""&lt;&gt;"",INDEX(ctaVinc,MATCH(K2377,ctaNombre,0))&amp;"",K2377),K2377))</f>
        <v/>
      </c>
      <c r="AD2377" s="52">
        <f>IF(AB2377="","",IFERROR(INDEX(ctaTipo,MATCH(AB2377,ctaNombre,0))&amp;"",""))</f>
        <v/>
      </c>
      <c r="AE2377" s="52">
        <f>IF(AC2377="","",IFERROR(INDEX(ctaTipo,MATCH(AC2377,ctaNombre,0))&amp;"",""))</f>
        <v/>
      </c>
      <c r="AF2377" s="53">
        <f>IF(OR(P2377="",AB2377=""),"",IF(OR(P2377="Gasto",P2377="Transferencia",P2377="Pago tarjeta"),-1,1)*IF(IFERROR(INDEX(ctaMoneda,MATCH(AB2377,ctaNombre,0))&amp;"","DOP")="USD",T2377,S2377))</f>
        <v/>
      </c>
      <c r="AG2377" s="53">
        <f>IF(AC2377="","",IF(IFERROR(INDEX(ctaMoneda,MATCH(AC2377,ctaNombre,0))&amp;"","DOP")="USD",T2377,S2377))</f>
        <v/>
      </c>
      <c r="AH2377" s="53">
        <f>IF(P2377="","",IF(AND(AD2377&lt;&gt;"",COUNTIFS(tcTipo,AD2377,tcLiq,"Sí")&gt;0),IF(OR(P2377="Gasto",P2377="Transferencia",P2377="Pago tarjeta"),-1,1)*S2377,0)+IF(AND(AE2377&lt;&gt;"",COUNTIFS(tcTipo,AE2377,tcLiq,"Sí")&gt;0),S2377,0))</f>
        <v/>
      </c>
      <c r="AI2377" s="52">
        <f>IF(OR(L2377="",P2377=""),"",IF(COUNTIFS(L$6:L2377,L2377,P$6:P2377,"?*")=1,MAX(AI$5:AI2376)+1,""))</f>
        <v/>
      </c>
    </row>
    <row r="2378">
      <c r="B2378" s="47" t="n"/>
      <c r="C2378" s="48" t="n"/>
      <c r="D2378" s="48" t="n"/>
      <c r="E2378" s="48" t="n"/>
      <c r="F2378" s="48" t="n"/>
      <c r="G2378" s="49" t="n"/>
      <c r="H2378" s="48" t="n"/>
      <c r="I2378" s="50" t="n"/>
      <c r="J2378" s="48" t="n"/>
      <c r="K2378" s="48" t="n"/>
      <c r="L2378" s="48" t="n"/>
      <c r="M2378" s="48" t="n"/>
      <c r="N2378" s="48" t="n"/>
      <c r="O2378" s="51">
        <f>IF(AND(B2378="",G2378="",C2378="",D2378="",J2378=""),"",IF(B2378="","⚠ Falta fecha",IF(G2378="","⚠ Falta monto",IF(Q2378="","⚠ Falta cuenta",IF(ISNA(MATCH(Q2378,ctaNombre,0)),"⚠ Cuenta no registrada",IF(AND(OR(P2378="Gasto",P2378="Reembolso"),D2378=""),"⚠ Falta categoría",IF(AND(D2378&lt;&gt;"",E2378&lt;&gt;"",ISNA(MATCH(D2378&amp;"|"&amp;E2378,catClave,0))),"⚠ Subcategoría no corresponde",IF(AND(OR(P2378="Transferencia",P2378="Pago tarjeta"),K2378=""),"⚠ Falta cuenta destino",IF(AND(K2378&lt;&gt;"",P2378&lt;&gt;"Transferencia",P2378&lt;&gt;"Pago tarjeta"),"⚠ Destino solo aplica a transferencias",IF(AND(K2378&lt;&gt;"",K2378=Q2378),"⚠ Origen igual a destino",IF(AND(K2378&lt;&gt;"",ISNA(MATCH(K2378,ctaNombre,0))),"⚠ Destino no registrado",IF(AND(P2378="Pago tarjeta",AE2378&lt;&gt;"Tarjeta de crédito"),"⚠ El destino debe ser tarjeta de crédito",IF(AND(P2378="Gasto",E2378="Depósitos y retiros"),"⚠ Usa tipo Transferencia",IF(AND(P2378="Resultado trading",AD2378&lt;&gt;"Cuenta de trading"),"⚠ Usa una cuenta de trading",IF(AND(G2378&lt;=0,P2378&lt;&gt;"Ajuste",P2378&lt;&gt;"Resultado trading"),"⚠ El monto debe ser positivo","✓")))))))))))))))</f>
        <v/>
      </c>
      <c r="P2378" s="52">
        <f>IF(OR(B2378="",G2378=""),"",IF(C2378="","Gasto",C2378))</f>
        <v/>
      </c>
      <c r="Q2378" s="52">
        <f>IF(P2378="","",IF(J2378&lt;&gt;"",J2378,CuentaPred&amp;""))</f>
        <v/>
      </c>
      <c r="R2378" s="52">
        <f>IF(P2378="","",IF(ISNUMBER(I2378),I2378,TasaUSD))</f>
        <v/>
      </c>
      <c r="S2378" s="53">
        <f>IF(P2378="","",IF(H2378="USD",G2378*R2378,G2378))</f>
        <v/>
      </c>
      <c r="T2378" s="53">
        <f>IF(P2378="","",IF(H2378="USD",G2378,IF(R2378&gt;0,G2378/R2378,0)))</f>
        <v/>
      </c>
      <c r="U2378" s="53">
        <f>IF(P2378="","",IF(P2378="Gasto",S2378,IF(P2378="Reembolso",-S2378,0)))</f>
        <v/>
      </c>
      <c r="V2378" s="53">
        <f>IF(P2378="","",IF(P2378="Ingreso",S2378,0))</f>
        <v/>
      </c>
      <c r="W2378" s="53">
        <f>IF(P2378="","",IF(P2378="Resultado trading",S2378,0))</f>
        <v/>
      </c>
      <c r="X2378" s="52">
        <f>IF(OR(P2378="Gasto",P2378="Reembolso"),IF(M2378&lt;&gt;"",M2378,IFERROR(INDEX(catClasif,MATCH(D2378&amp;"|"&amp;E2378,catClave,0))&amp;"","Variable")),"")</f>
        <v/>
      </c>
      <c r="Y2378" s="52">
        <f>IF(P2378="","",IFERROR(INDEX(catGrupo,MATCH(D2378&amp;"|"&amp;E2378,catClave,0))&amp;"",""))</f>
        <v/>
      </c>
      <c r="Z2378" s="52">
        <f>IF(P2378="","",WEEKDAY(B2378,2))</f>
        <v/>
      </c>
      <c r="AA2378" s="52">
        <f>IF(P2378="","",IF(AND(P2378="Gasto",X2378="Variable",D2378&lt;&gt;catTrading,S2378&gt;0,S2378&lt;=Umbral),1,0))</f>
        <v/>
      </c>
      <c r="AB2378" s="52">
        <f>IF(OR(P2378="",Q2378=""),"",IFERROR(IF(INDEX(ctaVinc,MATCH(Q2378,ctaNombre,0))&amp;""&lt;&gt;"",INDEX(ctaVinc,MATCH(Q2378,ctaNombre,0))&amp;"",Q2378),Q2378))</f>
        <v/>
      </c>
      <c r="AC2378" s="52">
        <f>IF(OR(K2378="",AND(P2378&lt;&gt;"Transferencia",P2378&lt;&gt;"Pago tarjeta")),"",IFERROR(IF(INDEX(ctaVinc,MATCH(K2378,ctaNombre,0))&amp;""&lt;&gt;"",INDEX(ctaVinc,MATCH(K2378,ctaNombre,0))&amp;"",K2378),K2378))</f>
        <v/>
      </c>
      <c r="AD2378" s="52">
        <f>IF(AB2378="","",IFERROR(INDEX(ctaTipo,MATCH(AB2378,ctaNombre,0))&amp;"",""))</f>
        <v/>
      </c>
      <c r="AE2378" s="52">
        <f>IF(AC2378="","",IFERROR(INDEX(ctaTipo,MATCH(AC2378,ctaNombre,0))&amp;"",""))</f>
        <v/>
      </c>
      <c r="AF2378" s="53">
        <f>IF(OR(P2378="",AB2378=""),"",IF(OR(P2378="Gasto",P2378="Transferencia",P2378="Pago tarjeta"),-1,1)*IF(IFERROR(INDEX(ctaMoneda,MATCH(AB2378,ctaNombre,0))&amp;"","DOP")="USD",T2378,S2378))</f>
        <v/>
      </c>
      <c r="AG2378" s="53">
        <f>IF(AC2378="","",IF(IFERROR(INDEX(ctaMoneda,MATCH(AC2378,ctaNombre,0))&amp;"","DOP")="USD",T2378,S2378))</f>
        <v/>
      </c>
      <c r="AH2378" s="53">
        <f>IF(P2378="","",IF(AND(AD2378&lt;&gt;"",COUNTIFS(tcTipo,AD2378,tcLiq,"Sí")&gt;0),IF(OR(P2378="Gasto",P2378="Transferencia",P2378="Pago tarjeta"),-1,1)*S2378,0)+IF(AND(AE2378&lt;&gt;"",COUNTIFS(tcTipo,AE2378,tcLiq,"Sí")&gt;0),S2378,0))</f>
        <v/>
      </c>
      <c r="AI2378" s="52">
        <f>IF(OR(L2378="",P2378=""),"",IF(COUNTIFS(L$6:L2378,L2378,P$6:P2378,"?*")=1,MAX(AI$5:AI2377)+1,""))</f>
        <v/>
      </c>
    </row>
    <row r="2379">
      <c r="B2379" s="47" t="n"/>
      <c r="C2379" s="48" t="n"/>
      <c r="D2379" s="48" t="n"/>
      <c r="E2379" s="48" t="n"/>
      <c r="F2379" s="48" t="n"/>
      <c r="G2379" s="49" t="n"/>
      <c r="H2379" s="48" t="n"/>
      <c r="I2379" s="50" t="n"/>
      <c r="J2379" s="48" t="n"/>
      <c r="K2379" s="48" t="n"/>
      <c r="L2379" s="48" t="n"/>
      <c r="M2379" s="48" t="n"/>
      <c r="N2379" s="48" t="n"/>
      <c r="O2379" s="51">
        <f>IF(AND(B2379="",G2379="",C2379="",D2379="",J2379=""),"",IF(B2379="","⚠ Falta fecha",IF(G2379="","⚠ Falta monto",IF(Q2379="","⚠ Falta cuenta",IF(ISNA(MATCH(Q2379,ctaNombre,0)),"⚠ Cuenta no registrada",IF(AND(OR(P2379="Gasto",P2379="Reembolso"),D2379=""),"⚠ Falta categoría",IF(AND(D2379&lt;&gt;"",E2379&lt;&gt;"",ISNA(MATCH(D2379&amp;"|"&amp;E2379,catClave,0))),"⚠ Subcategoría no corresponde",IF(AND(OR(P2379="Transferencia",P2379="Pago tarjeta"),K2379=""),"⚠ Falta cuenta destino",IF(AND(K2379&lt;&gt;"",P2379&lt;&gt;"Transferencia",P2379&lt;&gt;"Pago tarjeta"),"⚠ Destino solo aplica a transferencias",IF(AND(K2379&lt;&gt;"",K2379=Q2379),"⚠ Origen igual a destino",IF(AND(K2379&lt;&gt;"",ISNA(MATCH(K2379,ctaNombre,0))),"⚠ Destino no registrado",IF(AND(P2379="Pago tarjeta",AE2379&lt;&gt;"Tarjeta de crédito"),"⚠ El destino debe ser tarjeta de crédito",IF(AND(P2379="Gasto",E2379="Depósitos y retiros"),"⚠ Usa tipo Transferencia",IF(AND(P2379="Resultado trading",AD2379&lt;&gt;"Cuenta de trading"),"⚠ Usa una cuenta de trading",IF(AND(G2379&lt;=0,P2379&lt;&gt;"Ajuste",P2379&lt;&gt;"Resultado trading"),"⚠ El monto debe ser positivo","✓")))))))))))))))</f>
        <v/>
      </c>
      <c r="P2379" s="52">
        <f>IF(OR(B2379="",G2379=""),"",IF(C2379="","Gasto",C2379))</f>
        <v/>
      </c>
      <c r="Q2379" s="52">
        <f>IF(P2379="","",IF(J2379&lt;&gt;"",J2379,CuentaPred&amp;""))</f>
        <v/>
      </c>
      <c r="R2379" s="52">
        <f>IF(P2379="","",IF(ISNUMBER(I2379),I2379,TasaUSD))</f>
        <v/>
      </c>
      <c r="S2379" s="53">
        <f>IF(P2379="","",IF(H2379="USD",G2379*R2379,G2379))</f>
        <v/>
      </c>
      <c r="T2379" s="53">
        <f>IF(P2379="","",IF(H2379="USD",G2379,IF(R2379&gt;0,G2379/R2379,0)))</f>
        <v/>
      </c>
      <c r="U2379" s="53">
        <f>IF(P2379="","",IF(P2379="Gasto",S2379,IF(P2379="Reembolso",-S2379,0)))</f>
        <v/>
      </c>
      <c r="V2379" s="53">
        <f>IF(P2379="","",IF(P2379="Ingreso",S2379,0))</f>
        <v/>
      </c>
      <c r="W2379" s="53">
        <f>IF(P2379="","",IF(P2379="Resultado trading",S2379,0))</f>
        <v/>
      </c>
      <c r="X2379" s="52">
        <f>IF(OR(P2379="Gasto",P2379="Reembolso"),IF(M2379&lt;&gt;"",M2379,IFERROR(INDEX(catClasif,MATCH(D2379&amp;"|"&amp;E2379,catClave,0))&amp;"","Variable")),"")</f>
        <v/>
      </c>
      <c r="Y2379" s="52">
        <f>IF(P2379="","",IFERROR(INDEX(catGrupo,MATCH(D2379&amp;"|"&amp;E2379,catClave,0))&amp;"",""))</f>
        <v/>
      </c>
      <c r="Z2379" s="52">
        <f>IF(P2379="","",WEEKDAY(B2379,2))</f>
        <v/>
      </c>
      <c r="AA2379" s="52">
        <f>IF(P2379="","",IF(AND(P2379="Gasto",X2379="Variable",D2379&lt;&gt;catTrading,S2379&gt;0,S2379&lt;=Umbral),1,0))</f>
        <v/>
      </c>
      <c r="AB2379" s="52">
        <f>IF(OR(P2379="",Q2379=""),"",IFERROR(IF(INDEX(ctaVinc,MATCH(Q2379,ctaNombre,0))&amp;""&lt;&gt;"",INDEX(ctaVinc,MATCH(Q2379,ctaNombre,0))&amp;"",Q2379),Q2379))</f>
        <v/>
      </c>
      <c r="AC2379" s="52">
        <f>IF(OR(K2379="",AND(P2379&lt;&gt;"Transferencia",P2379&lt;&gt;"Pago tarjeta")),"",IFERROR(IF(INDEX(ctaVinc,MATCH(K2379,ctaNombre,0))&amp;""&lt;&gt;"",INDEX(ctaVinc,MATCH(K2379,ctaNombre,0))&amp;"",K2379),K2379))</f>
        <v/>
      </c>
      <c r="AD2379" s="52">
        <f>IF(AB2379="","",IFERROR(INDEX(ctaTipo,MATCH(AB2379,ctaNombre,0))&amp;"",""))</f>
        <v/>
      </c>
      <c r="AE2379" s="52">
        <f>IF(AC2379="","",IFERROR(INDEX(ctaTipo,MATCH(AC2379,ctaNombre,0))&amp;"",""))</f>
        <v/>
      </c>
      <c r="AF2379" s="53">
        <f>IF(OR(P2379="",AB2379=""),"",IF(OR(P2379="Gasto",P2379="Transferencia",P2379="Pago tarjeta"),-1,1)*IF(IFERROR(INDEX(ctaMoneda,MATCH(AB2379,ctaNombre,0))&amp;"","DOP")="USD",T2379,S2379))</f>
        <v/>
      </c>
      <c r="AG2379" s="53">
        <f>IF(AC2379="","",IF(IFERROR(INDEX(ctaMoneda,MATCH(AC2379,ctaNombre,0))&amp;"","DOP")="USD",T2379,S2379))</f>
        <v/>
      </c>
      <c r="AH2379" s="53">
        <f>IF(P2379="","",IF(AND(AD2379&lt;&gt;"",COUNTIFS(tcTipo,AD2379,tcLiq,"Sí")&gt;0),IF(OR(P2379="Gasto",P2379="Transferencia",P2379="Pago tarjeta"),-1,1)*S2379,0)+IF(AND(AE2379&lt;&gt;"",COUNTIFS(tcTipo,AE2379,tcLiq,"Sí")&gt;0),S2379,0))</f>
        <v/>
      </c>
      <c r="AI2379" s="52">
        <f>IF(OR(L2379="",P2379=""),"",IF(COUNTIFS(L$6:L2379,L2379,P$6:P2379,"?*")=1,MAX(AI$5:AI2378)+1,""))</f>
        <v/>
      </c>
    </row>
    <row r="2380">
      <c r="B2380" s="47" t="n"/>
      <c r="C2380" s="48" t="n"/>
      <c r="D2380" s="48" t="n"/>
      <c r="E2380" s="48" t="n"/>
      <c r="F2380" s="48" t="n"/>
      <c r="G2380" s="49" t="n"/>
      <c r="H2380" s="48" t="n"/>
      <c r="I2380" s="50" t="n"/>
      <c r="J2380" s="48" t="n"/>
      <c r="K2380" s="48" t="n"/>
      <c r="L2380" s="48" t="n"/>
      <c r="M2380" s="48" t="n"/>
      <c r="N2380" s="48" t="n"/>
      <c r="O2380" s="51">
        <f>IF(AND(B2380="",G2380="",C2380="",D2380="",J2380=""),"",IF(B2380="","⚠ Falta fecha",IF(G2380="","⚠ Falta monto",IF(Q2380="","⚠ Falta cuenta",IF(ISNA(MATCH(Q2380,ctaNombre,0)),"⚠ Cuenta no registrada",IF(AND(OR(P2380="Gasto",P2380="Reembolso"),D2380=""),"⚠ Falta categoría",IF(AND(D2380&lt;&gt;"",E2380&lt;&gt;"",ISNA(MATCH(D2380&amp;"|"&amp;E2380,catClave,0))),"⚠ Subcategoría no corresponde",IF(AND(OR(P2380="Transferencia",P2380="Pago tarjeta"),K2380=""),"⚠ Falta cuenta destino",IF(AND(K2380&lt;&gt;"",P2380&lt;&gt;"Transferencia",P2380&lt;&gt;"Pago tarjeta"),"⚠ Destino solo aplica a transferencias",IF(AND(K2380&lt;&gt;"",K2380=Q2380),"⚠ Origen igual a destino",IF(AND(K2380&lt;&gt;"",ISNA(MATCH(K2380,ctaNombre,0))),"⚠ Destino no registrado",IF(AND(P2380="Pago tarjeta",AE2380&lt;&gt;"Tarjeta de crédito"),"⚠ El destino debe ser tarjeta de crédito",IF(AND(P2380="Gasto",E2380="Depósitos y retiros"),"⚠ Usa tipo Transferencia",IF(AND(P2380="Resultado trading",AD2380&lt;&gt;"Cuenta de trading"),"⚠ Usa una cuenta de trading",IF(AND(G2380&lt;=0,P2380&lt;&gt;"Ajuste",P2380&lt;&gt;"Resultado trading"),"⚠ El monto debe ser positivo","✓")))))))))))))))</f>
        <v/>
      </c>
      <c r="P2380" s="52">
        <f>IF(OR(B2380="",G2380=""),"",IF(C2380="","Gasto",C2380))</f>
        <v/>
      </c>
      <c r="Q2380" s="52">
        <f>IF(P2380="","",IF(J2380&lt;&gt;"",J2380,CuentaPred&amp;""))</f>
        <v/>
      </c>
      <c r="R2380" s="52">
        <f>IF(P2380="","",IF(ISNUMBER(I2380),I2380,TasaUSD))</f>
        <v/>
      </c>
      <c r="S2380" s="53">
        <f>IF(P2380="","",IF(H2380="USD",G2380*R2380,G2380))</f>
        <v/>
      </c>
      <c r="T2380" s="53">
        <f>IF(P2380="","",IF(H2380="USD",G2380,IF(R2380&gt;0,G2380/R2380,0)))</f>
        <v/>
      </c>
      <c r="U2380" s="53">
        <f>IF(P2380="","",IF(P2380="Gasto",S2380,IF(P2380="Reembolso",-S2380,0)))</f>
        <v/>
      </c>
      <c r="V2380" s="53">
        <f>IF(P2380="","",IF(P2380="Ingreso",S2380,0))</f>
        <v/>
      </c>
      <c r="W2380" s="53">
        <f>IF(P2380="","",IF(P2380="Resultado trading",S2380,0))</f>
        <v/>
      </c>
      <c r="X2380" s="52">
        <f>IF(OR(P2380="Gasto",P2380="Reembolso"),IF(M2380&lt;&gt;"",M2380,IFERROR(INDEX(catClasif,MATCH(D2380&amp;"|"&amp;E2380,catClave,0))&amp;"","Variable")),"")</f>
        <v/>
      </c>
      <c r="Y2380" s="52">
        <f>IF(P2380="","",IFERROR(INDEX(catGrupo,MATCH(D2380&amp;"|"&amp;E2380,catClave,0))&amp;"",""))</f>
        <v/>
      </c>
      <c r="Z2380" s="52">
        <f>IF(P2380="","",WEEKDAY(B2380,2))</f>
        <v/>
      </c>
      <c r="AA2380" s="52">
        <f>IF(P2380="","",IF(AND(P2380="Gasto",X2380="Variable",D2380&lt;&gt;catTrading,S2380&gt;0,S2380&lt;=Umbral),1,0))</f>
        <v/>
      </c>
      <c r="AB2380" s="52">
        <f>IF(OR(P2380="",Q2380=""),"",IFERROR(IF(INDEX(ctaVinc,MATCH(Q2380,ctaNombre,0))&amp;""&lt;&gt;"",INDEX(ctaVinc,MATCH(Q2380,ctaNombre,0))&amp;"",Q2380),Q2380))</f>
        <v/>
      </c>
      <c r="AC2380" s="52">
        <f>IF(OR(K2380="",AND(P2380&lt;&gt;"Transferencia",P2380&lt;&gt;"Pago tarjeta")),"",IFERROR(IF(INDEX(ctaVinc,MATCH(K2380,ctaNombre,0))&amp;""&lt;&gt;"",INDEX(ctaVinc,MATCH(K2380,ctaNombre,0))&amp;"",K2380),K2380))</f>
        <v/>
      </c>
      <c r="AD2380" s="52">
        <f>IF(AB2380="","",IFERROR(INDEX(ctaTipo,MATCH(AB2380,ctaNombre,0))&amp;"",""))</f>
        <v/>
      </c>
      <c r="AE2380" s="52">
        <f>IF(AC2380="","",IFERROR(INDEX(ctaTipo,MATCH(AC2380,ctaNombre,0))&amp;"",""))</f>
        <v/>
      </c>
      <c r="AF2380" s="53">
        <f>IF(OR(P2380="",AB2380=""),"",IF(OR(P2380="Gasto",P2380="Transferencia",P2380="Pago tarjeta"),-1,1)*IF(IFERROR(INDEX(ctaMoneda,MATCH(AB2380,ctaNombre,0))&amp;"","DOP")="USD",T2380,S2380))</f>
        <v/>
      </c>
      <c r="AG2380" s="53">
        <f>IF(AC2380="","",IF(IFERROR(INDEX(ctaMoneda,MATCH(AC2380,ctaNombre,0))&amp;"","DOP")="USD",T2380,S2380))</f>
        <v/>
      </c>
      <c r="AH2380" s="53">
        <f>IF(P2380="","",IF(AND(AD2380&lt;&gt;"",COUNTIFS(tcTipo,AD2380,tcLiq,"Sí")&gt;0),IF(OR(P2380="Gasto",P2380="Transferencia",P2380="Pago tarjeta"),-1,1)*S2380,0)+IF(AND(AE2380&lt;&gt;"",COUNTIFS(tcTipo,AE2380,tcLiq,"Sí")&gt;0),S2380,0))</f>
        <v/>
      </c>
      <c r="AI2380" s="52">
        <f>IF(OR(L2380="",P2380=""),"",IF(COUNTIFS(L$6:L2380,L2380,P$6:P2380,"?*")=1,MAX(AI$5:AI2379)+1,""))</f>
        <v/>
      </c>
    </row>
    <row r="2381">
      <c r="B2381" s="47" t="n"/>
      <c r="C2381" s="48" t="n"/>
      <c r="D2381" s="48" t="n"/>
      <c r="E2381" s="48" t="n"/>
      <c r="F2381" s="48" t="n"/>
      <c r="G2381" s="49" t="n"/>
      <c r="H2381" s="48" t="n"/>
      <c r="I2381" s="50" t="n"/>
      <c r="J2381" s="48" t="n"/>
      <c r="K2381" s="48" t="n"/>
      <c r="L2381" s="48" t="n"/>
      <c r="M2381" s="48" t="n"/>
      <c r="N2381" s="48" t="n"/>
      <c r="O2381" s="51">
        <f>IF(AND(B2381="",G2381="",C2381="",D2381="",J2381=""),"",IF(B2381="","⚠ Falta fecha",IF(G2381="","⚠ Falta monto",IF(Q2381="","⚠ Falta cuenta",IF(ISNA(MATCH(Q2381,ctaNombre,0)),"⚠ Cuenta no registrada",IF(AND(OR(P2381="Gasto",P2381="Reembolso"),D2381=""),"⚠ Falta categoría",IF(AND(D2381&lt;&gt;"",E2381&lt;&gt;"",ISNA(MATCH(D2381&amp;"|"&amp;E2381,catClave,0))),"⚠ Subcategoría no corresponde",IF(AND(OR(P2381="Transferencia",P2381="Pago tarjeta"),K2381=""),"⚠ Falta cuenta destino",IF(AND(K2381&lt;&gt;"",P2381&lt;&gt;"Transferencia",P2381&lt;&gt;"Pago tarjeta"),"⚠ Destino solo aplica a transferencias",IF(AND(K2381&lt;&gt;"",K2381=Q2381),"⚠ Origen igual a destino",IF(AND(K2381&lt;&gt;"",ISNA(MATCH(K2381,ctaNombre,0))),"⚠ Destino no registrado",IF(AND(P2381="Pago tarjeta",AE2381&lt;&gt;"Tarjeta de crédito"),"⚠ El destino debe ser tarjeta de crédito",IF(AND(P2381="Gasto",E2381="Depósitos y retiros"),"⚠ Usa tipo Transferencia",IF(AND(P2381="Resultado trading",AD2381&lt;&gt;"Cuenta de trading"),"⚠ Usa una cuenta de trading",IF(AND(G2381&lt;=0,P2381&lt;&gt;"Ajuste",P2381&lt;&gt;"Resultado trading"),"⚠ El monto debe ser positivo","✓")))))))))))))))</f>
        <v/>
      </c>
      <c r="P2381" s="52">
        <f>IF(OR(B2381="",G2381=""),"",IF(C2381="","Gasto",C2381))</f>
        <v/>
      </c>
      <c r="Q2381" s="52">
        <f>IF(P2381="","",IF(J2381&lt;&gt;"",J2381,CuentaPred&amp;""))</f>
        <v/>
      </c>
      <c r="R2381" s="52">
        <f>IF(P2381="","",IF(ISNUMBER(I2381),I2381,TasaUSD))</f>
        <v/>
      </c>
      <c r="S2381" s="53">
        <f>IF(P2381="","",IF(H2381="USD",G2381*R2381,G2381))</f>
        <v/>
      </c>
      <c r="T2381" s="53">
        <f>IF(P2381="","",IF(H2381="USD",G2381,IF(R2381&gt;0,G2381/R2381,0)))</f>
        <v/>
      </c>
      <c r="U2381" s="53">
        <f>IF(P2381="","",IF(P2381="Gasto",S2381,IF(P2381="Reembolso",-S2381,0)))</f>
        <v/>
      </c>
      <c r="V2381" s="53">
        <f>IF(P2381="","",IF(P2381="Ingreso",S2381,0))</f>
        <v/>
      </c>
      <c r="W2381" s="53">
        <f>IF(P2381="","",IF(P2381="Resultado trading",S2381,0))</f>
        <v/>
      </c>
      <c r="X2381" s="52">
        <f>IF(OR(P2381="Gasto",P2381="Reembolso"),IF(M2381&lt;&gt;"",M2381,IFERROR(INDEX(catClasif,MATCH(D2381&amp;"|"&amp;E2381,catClave,0))&amp;"","Variable")),"")</f>
        <v/>
      </c>
      <c r="Y2381" s="52">
        <f>IF(P2381="","",IFERROR(INDEX(catGrupo,MATCH(D2381&amp;"|"&amp;E2381,catClave,0))&amp;"",""))</f>
        <v/>
      </c>
      <c r="Z2381" s="52">
        <f>IF(P2381="","",WEEKDAY(B2381,2))</f>
        <v/>
      </c>
      <c r="AA2381" s="52">
        <f>IF(P2381="","",IF(AND(P2381="Gasto",X2381="Variable",D2381&lt;&gt;catTrading,S2381&gt;0,S2381&lt;=Umbral),1,0))</f>
        <v/>
      </c>
      <c r="AB2381" s="52">
        <f>IF(OR(P2381="",Q2381=""),"",IFERROR(IF(INDEX(ctaVinc,MATCH(Q2381,ctaNombre,0))&amp;""&lt;&gt;"",INDEX(ctaVinc,MATCH(Q2381,ctaNombre,0))&amp;"",Q2381),Q2381))</f>
        <v/>
      </c>
      <c r="AC2381" s="52">
        <f>IF(OR(K2381="",AND(P2381&lt;&gt;"Transferencia",P2381&lt;&gt;"Pago tarjeta")),"",IFERROR(IF(INDEX(ctaVinc,MATCH(K2381,ctaNombre,0))&amp;""&lt;&gt;"",INDEX(ctaVinc,MATCH(K2381,ctaNombre,0))&amp;"",K2381),K2381))</f>
        <v/>
      </c>
      <c r="AD2381" s="52">
        <f>IF(AB2381="","",IFERROR(INDEX(ctaTipo,MATCH(AB2381,ctaNombre,0))&amp;"",""))</f>
        <v/>
      </c>
      <c r="AE2381" s="52">
        <f>IF(AC2381="","",IFERROR(INDEX(ctaTipo,MATCH(AC2381,ctaNombre,0))&amp;"",""))</f>
        <v/>
      </c>
      <c r="AF2381" s="53">
        <f>IF(OR(P2381="",AB2381=""),"",IF(OR(P2381="Gasto",P2381="Transferencia",P2381="Pago tarjeta"),-1,1)*IF(IFERROR(INDEX(ctaMoneda,MATCH(AB2381,ctaNombre,0))&amp;"","DOP")="USD",T2381,S2381))</f>
        <v/>
      </c>
      <c r="AG2381" s="53">
        <f>IF(AC2381="","",IF(IFERROR(INDEX(ctaMoneda,MATCH(AC2381,ctaNombre,0))&amp;"","DOP")="USD",T2381,S2381))</f>
        <v/>
      </c>
      <c r="AH2381" s="53">
        <f>IF(P2381="","",IF(AND(AD2381&lt;&gt;"",COUNTIFS(tcTipo,AD2381,tcLiq,"Sí")&gt;0),IF(OR(P2381="Gasto",P2381="Transferencia",P2381="Pago tarjeta"),-1,1)*S2381,0)+IF(AND(AE2381&lt;&gt;"",COUNTIFS(tcTipo,AE2381,tcLiq,"Sí")&gt;0),S2381,0))</f>
        <v/>
      </c>
      <c r="AI2381" s="52">
        <f>IF(OR(L2381="",P2381=""),"",IF(COUNTIFS(L$6:L2381,L2381,P$6:P2381,"?*")=1,MAX(AI$5:AI2380)+1,""))</f>
        <v/>
      </c>
    </row>
    <row r="2382">
      <c r="B2382" s="47" t="n"/>
      <c r="C2382" s="48" t="n"/>
      <c r="D2382" s="48" t="n"/>
      <c r="E2382" s="48" t="n"/>
      <c r="F2382" s="48" t="n"/>
      <c r="G2382" s="49" t="n"/>
      <c r="H2382" s="48" t="n"/>
      <c r="I2382" s="50" t="n"/>
      <c r="J2382" s="48" t="n"/>
      <c r="K2382" s="48" t="n"/>
      <c r="L2382" s="48" t="n"/>
      <c r="M2382" s="48" t="n"/>
      <c r="N2382" s="48" t="n"/>
      <c r="O2382" s="51">
        <f>IF(AND(B2382="",G2382="",C2382="",D2382="",J2382=""),"",IF(B2382="","⚠ Falta fecha",IF(G2382="","⚠ Falta monto",IF(Q2382="","⚠ Falta cuenta",IF(ISNA(MATCH(Q2382,ctaNombre,0)),"⚠ Cuenta no registrada",IF(AND(OR(P2382="Gasto",P2382="Reembolso"),D2382=""),"⚠ Falta categoría",IF(AND(D2382&lt;&gt;"",E2382&lt;&gt;"",ISNA(MATCH(D2382&amp;"|"&amp;E2382,catClave,0))),"⚠ Subcategoría no corresponde",IF(AND(OR(P2382="Transferencia",P2382="Pago tarjeta"),K2382=""),"⚠ Falta cuenta destino",IF(AND(K2382&lt;&gt;"",P2382&lt;&gt;"Transferencia",P2382&lt;&gt;"Pago tarjeta"),"⚠ Destino solo aplica a transferencias",IF(AND(K2382&lt;&gt;"",K2382=Q2382),"⚠ Origen igual a destino",IF(AND(K2382&lt;&gt;"",ISNA(MATCH(K2382,ctaNombre,0))),"⚠ Destino no registrado",IF(AND(P2382="Pago tarjeta",AE2382&lt;&gt;"Tarjeta de crédito"),"⚠ El destino debe ser tarjeta de crédito",IF(AND(P2382="Gasto",E2382="Depósitos y retiros"),"⚠ Usa tipo Transferencia",IF(AND(P2382="Resultado trading",AD2382&lt;&gt;"Cuenta de trading"),"⚠ Usa una cuenta de trading",IF(AND(G2382&lt;=0,P2382&lt;&gt;"Ajuste",P2382&lt;&gt;"Resultado trading"),"⚠ El monto debe ser positivo","✓")))))))))))))))</f>
        <v/>
      </c>
      <c r="P2382" s="52">
        <f>IF(OR(B2382="",G2382=""),"",IF(C2382="","Gasto",C2382))</f>
        <v/>
      </c>
      <c r="Q2382" s="52">
        <f>IF(P2382="","",IF(J2382&lt;&gt;"",J2382,CuentaPred&amp;""))</f>
        <v/>
      </c>
      <c r="R2382" s="52">
        <f>IF(P2382="","",IF(ISNUMBER(I2382),I2382,TasaUSD))</f>
        <v/>
      </c>
      <c r="S2382" s="53">
        <f>IF(P2382="","",IF(H2382="USD",G2382*R2382,G2382))</f>
        <v/>
      </c>
      <c r="T2382" s="53">
        <f>IF(P2382="","",IF(H2382="USD",G2382,IF(R2382&gt;0,G2382/R2382,0)))</f>
        <v/>
      </c>
      <c r="U2382" s="53">
        <f>IF(P2382="","",IF(P2382="Gasto",S2382,IF(P2382="Reembolso",-S2382,0)))</f>
        <v/>
      </c>
      <c r="V2382" s="53">
        <f>IF(P2382="","",IF(P2382="Ingreso",S2382,0))</f>
        <v/>
      </c>
      <c r="W2382" s="53">
        <f>IF(P2382="","",IF(P2382="Resultado trading",S2382,0))</f>
        <v/>
      </c>
      <c r="X2382" s="52">
        <f>IF(OR(P2382="Gasto",P2382="Reembolso"),IF(M2382&lt;&gt;"",M2382,IFERROR(INDEX(catClasif,MATCH(D2382&amp;"|"&amp;E2382,catClave,0))&amp;"","Variable")),"")</f>
        <v/>
      </c>
      <c r="Y2382" s="52">
        <f>IF(P2382="","",IFERROR(INDEX(catGrupo,MATCH(D2382&amp;"|"&amp;E2382,catClave,0))&amp;"",""))</f>
        <v/>
      </c>
      <c r="Z2382" s="52">
        <f>IF(P2382="","",WEEKDAY(B2382,2))</f>
        <v/>
      </c>
      <c r="AA2382" s="52">
        <f>IF(P2382="","",IF(AND(P2382="Gasto",X2382="Variable",D2382&lt;&gt;catTrading,S2382&gt;0,S2382&lt;=Umbral),1,0))</f>
        <v/>
      </c>
      <c r="AB2382" s="52">
        <f>IF(OR(P2382="",Q2382=""),"",IFERROR(IF(INDEX(ctaVinc,MATCH(Q2382,ctaNombre,0))&amp;""&lt;&gt;"",INDEX(ctaVinc,MATCH(Q2382,ctaNombre,0))&amp;"",Q2382),Q2382))</f>
        <v/>
      </c>
      <c r="AC2382" s="52">
        <f>IF(OR(K2382="",AND(P2382&lt;&gt;"Transferencia",P2382&lt;&gt;"Pago tarjeta")),"",IFERROR(IF(INDEX(ctaVinc,MATCH(K2382,ctaNombre,0))&amp;""&lt;&gt;"",INDEX(ctaVinc,MATCH(K2382,ctaNombre,0))&amp;"",K2382),K2382))</f>
        <v/>
      </c>
      <c r="AD2382" s="52">
        <f>IF(AB2382="","",IFERROR(INDEX(ctaTipo,MATCH(AB2382,ctaNombre,0))&amp;"",""))</f>
        <v/>
      </c>
      <c r="AE2382" s="52">
        <f>IF(AC2382="","",IFERROR(INDEX(ctaTipo,MATCH(AC2382,ctaNombre,0))&amp;"",""))</f>
        <v/>
      </c>
      <c r="AF2382" s="53">
        <f>IF(OR(P2382="",AB2382=""),"",IF(OR(P2382="Gasto",P2382="Transferencia",P2382="Pago tarjeta"),-1,1)*IF(IFERROR(INDEX(ctaMoneda,MATCH(AB2382,ctaNombre,0))&amp;"","DOP")="USD",T2382,S2382))</f>
        <v/>
      </c>
      <c r="AG2382" s="53">
        <f>IF(AC2382="","",IF(IFERROR(INDEX(ctaMoneda,MATCH(AC2382,ctaNombre,0))&amp;"","DOP")="USD",T2382,S2382))</f>
        <v/>
      </c>
      <c r="AH2382" s="53">
        <f>IF(P2382="","",IF(AND(AD2382&lt;&gt;"",COUNTIFS(tcTipo,AD2382,tcLiq,"Sí")&gt;0),IF(OR(P2382="Gasto",P2382="Transferencia",P2382="Pago tarjeta"),-1,1)*S2382,0)+IF(AND(AE2382&lt;&gt;"",COUNTIFS(tcTipo,AE2382,tcLiq,"Sí")&gt;0),S2382,0))</f>
        <v/>
      </c>
      <c r="AI2382" s="52">
        <f>IF(OR(L2382="",P2382=""),"",IF(COUNTIFS(L$6:L2382,L2382,P$6:P2382,"?*")=1,MAX(AI$5:AI2381)+1,""))</f>
        <v/>
      </c>
    </row>
    <row r="2383">
      <c r="B2383" s="47" t="n"/>
      <c r="C2383" s="48" t="n"/>
      <c r="D2383" s="48" t="n"/>
      <c r="E2383" s="48" t="n"/>
      <c r="F2383" s="48" t="n"/>
      <c r="G2383" s="49" t="n"/>
      <c r="H2383" s="48" t="n"/>
      <c r="I2383" s="50" t="n"/>
      <c r="J2383" s="48" t="n"/>
      <c r="K2383" s="48" t="n"/>
      <c r="L2383" s="48" t="n"/>
      <c r="M2383" s="48" t="n"/>
      <c r="N2383" s="48" t="n"/>
      <c r="O2383" s="51">
        <f>IF(AND(B2383="",G2383="",C2383="",D2383="",J2383=""),"",IF(B2383="","⚠ Falta fecha",IF(G2383="","⚠ Falta monto",IF(Q2383="","⚠ Falta cuenta",IF(ISNA(MATCH(Q2383,ctaNombre,0)),"⚠ Cuenta no registrada",IF(AND(OR(P2383="Gasto",P2383="Reembolso"),D2383=""),"⚠ Falta categoría",IF(AND(D2383&lt;&gt;"",E2383&lt;&gt;"",ISNA(MATCH(D2383&amp;"|"&amp;E2383,catClave,0))),"⚠ Subcategoría no corresponde",IF(AND(OR(P2383="Transferencia",P2383="Pago tarjeta"),K2383=""),"⚠ Falta cuenta destino",IF(AND(K2383&lt;&gt;"",P2383&lt;&gt;"Transferencia",P2383&lt;&gt;"Pago tarjeta"),"⚠ Destino solo aplica a transferencias",IF(AND(K2383&lt;&gt;"",K2383=Q2383),"⚠ Origen igual a destino",IF(AND(K2383&lt;&gt;"",ISNA(MATCH(K2383,ctaNombre,0))),"⚠ Destino no registrado",IF(AND(P2383="Pago tarjeta",AE2383&lt;&gt;"Tarjeta de crédito"),"⚠ El destino debe ser tarjeta de crédito",IF(AND(P2383="Gasto",E2383="Depósitos y retiros"),"⚠ Usa tipo Transferencia",IF(AND(P2383="Resultado trading",AD2383&lt;&gt;"Cuenta de trading"),"⚠ Usa una cuenta de trading",IF(AND(G2383&lt;=0,P2383&lt;&gt;"Ajuste",P2383&lt;&gt;"Resultado trading"),"⚠ El monto debe ser positivo","✓")))))))))))))))</f>
        <v/>
      </c>
      <c r="P2383" s="52">
        <f>IF(OR(B2383="",G2383=""),"",IF(C2383="","Gasto",C2383))</f>
        <v/>
      </c>
      <c r="Q2383" s="52">
        <f>IF(P2383="","",IF(J2383&lt;&gt;"",J2383,CuentaPred&amp;""))</f>
        <v/>
      </c>
      <c r="R2383" s="52">
        <f>IF(P2383="","",IF(ISNUMBER(I2383),I2383,TasaUSD))</f>
        <v/>
      </c>
      <c r="S2383" s="53">
        <f>IF(P2383="","",IF(H2383="USD",G2383*R2383,G2383))</f>
        <v/>
      </c>
      <c r="T2383" s="53">
        <f>IF(P2383="","",IF(H2383="USD",G2383,IF(R2383&gt;0,G2383/R2383,0)))</f>
        <v/>
      </c>
      <c r="U2383" s="53">
        <f>IF(P2383="","",IF(P2383="Gasto",S2383,IF(P2383="Reembolso",-S2383,0)))</f>
        <v/>
      </c>
      <c r="V2383" s="53">
        <f>IF(P2383="","",IF(P2383="Ingreso",S2383,0))</f>
        <v/>
      </c>
      <c r="W2383" s="53">
        <f>IF(P2383="","",IF(P2383="Resultado trading",S2383,0))</f>
        <v/>
      </c>
      <c r="X2383" s="52">
        <f>IF(OR(P2383="Gasto",P2383="Reembolso"),IF(M2383&lt;&gt;"",M2383,IFERROR(INDEX(catClasif,MATCH(D2383&amp;"|"&amp;E2383,catClave,0))&amp;"","Variable")),"")</f>
        <v/>
      </c>
      <c r="Y2383" s="52">
        <f>IF(P2383="","",IFERROR(INDEX(catGrupo,MATCH(D2383&amp;"|"&amp;E2383,catClave,0))&amp;"",""))</f>
        <v/>
      </c>
      <c r="Z2383" s="52">
        <f>IF(P2383="","",WEEKDAY(B2383,2))</f>
        <v/>
      </c>
      <c r="AA2383" s="52">
        <f>IF(P2383="","",IF(AND(P2383="Gasto",X2383="Variable",D2383&lt;&gt;catTrading,S2383&gt;0,S2383&lt;=Umbral),1,0))</f>
        <v/>
      </c>
      <c r="AB2383" s="52">
        <f>IF(OR(P2383="",Q2383=""),"",IFERROR(IF(INDEX(ctaVinc,MATCH(Q2383,ctaNombre,0))&amp;""&lt;&gt;"",INDEX(ctaVinc,MATCH(Q2383,ctaNombre,0))&amp;"",Q2383),Q2383))</f>
        <v/>
      </c>
      <c r="AC2383" s="52">
        <f>IF(OR(K2383="",AND(P2383&lt;&gt;"Transferencia",P2383&lt;&gt;"Pago tarjeta")),"",IFERROR(IF(INDEX(ctaVinc,MATCH(K2383,ctaNombre,0))&amp;""&lt;&gt;"",INDEX(ctaVinc,MATCH(K2383,ctaNombre,0))&amp;"",K2383),K2383))</f>
        <v/>
      </c>
      <c r="AD2383" s="52">
        <f>IF(AB2383="","",IFERROR(INDEX(ctaTipo,MATCH(AB2383,ctaNombre,0))&amp;"",""))</f>
        <v/>
      </c>
      <c r="AE2383" s="52">
        <f>IF(AC2383="","",IFERROR(INDEX(ctaTipo,MATCH(AC2383,ctaNombre,0))&amp;"",""))</f>
        <v/>
      </c>
      <c r="AF2383" s="53">
        <f>IF(OR(P2383="",AB2383=""),"",IF(OR(P2383="Gasto",P2383="Transferencia",P2383="Pago tarjeta"),-1,1)*IF(IFERROR(INDEX(ctaMoneda,MATCH(AB2383,ctaNombre,0))&amp;"","DOP")="USD",T2383,S2383))</f>
        <v/>
      </c>
      <c r="AG2383" s="53">
        <f>IF(AC2383="","",IF(IFERROR(INDEX(ctaMoneda,MATCH(AC2383,ctaNombre,0))&amp;"","DOP")="USD",T2383,S2383))</f>
        <v/>
      </c>
      <c r="AH2383" s="53">
        <f>IF(P2383="","",IF(AND(AD2383&lt;&gt;"",COUNTIFS(tcTipo,AD2383,tcLiq,"Sí")&gt;0),IF(OR(P2383="Gasto",P2383="Transferencia",P2383="Pago tarjeta"),-1,1)*S2383,0)+IF(AND(AE2383&lt;&gt;"",COUNTIFS(tcTipo,AE2383,tcLiq,"Sí")&gt;0),S2383,0))</f>
        <v/>
      </c>
      <c r="AI2383" s="52">
        <f>IF(OR(L2383="",P2383=""),"",IF(COUNTIFS(L$6:L2383,L2383,P$6:P2383,"?*")=1,MAX(AI$5:AI2382)+1,""))</f>
        <v/>
      </c>
    </row>
    <row r="2384">
      <c r="B2384" s="47" t="n"/>
      <c r="C2384" s="48" t="n"/>
      <c r="D2384" s="48" t="n"/>
      <c r="E2384" s="48" t="n"/>
      <c r="F2384" s="48" t="n"/>
      <c r="G2384" s="49" t="n"/>
      <c r="H2384" s="48" t="n"/>
      <c r="I2384" s="50" t="n"/>
      <c r="J2384" s="48" t="n"/>
      <c r="K2384" s="48" t="n"/>
      <c r="L2384" s="48" t="n"/>
      <c r="M2384" s="48" t="n"/>
      <c r="N2384" s="48" t="n"/>
      <c r="O2384" s="51">
        <f>IF(AND(B2384="",G2384="",C2384="",D2384="",J2384=""),"",IF(B2384="","⚠ Falta fecha",IF(G2384="","⚠ Falta monto",IF(Q2384="","⚠ Falta cuenta",IF(ISNA(MATCH(Q2384,ctaNombre,0)),"⚠ Cuenta no registrada",IF(AND(OR(P2384="Gasto",P2384="Reembolso"),D2384=""),"⚠ Falta categoría",IF(AND(D2384&lt;&gt;"",E2384&lt;&gt;"",ISNA(MATCH(D2384&amp;"|"&amp;E2384,catClave,0))),"⚠ Subcategoría no corresponde",IF(AND(OR(P2384="Transferencia",P2384="Pago tarjeta"),K2384=""),"⚠ Falta cuenta destino",IF(AND(K2384&lt;&gt;"",P2384&lt;&gt;"Transferencia",P2384&lt;&gt;"Pago tarjeta"),"⚠ Destino solo aplica a transferencias",IF(AND(K2384&lt;&gt;"",K2384=Q2384),"⚠ Origen igual a destino",IF(AND(K2384&lt;&gt;"",ISNA(MATCH(K2384,ctaNombre,0))),"⚠ Destino no registrado",IF(AND(P2384="Pago tarjeta",AE2384&lt;&gt;"Tarjeta de crédito"),"⚠ El destino debe ser tarjeta de crédito",IF(AND(P2384="Gasto",E2384="Depósitos y retiros"),"⚠ Usa tipo Transferencia",IF(AND(P2384="Resultado trading",AD2384&lt;&gt;"Cuenta de trading"),"⚠ Usa una cuenta de trading",IF(AND(G2384&lt;=0,P2384&lt;&gt;"Ajuste",P2384&lt;&gt;"Resultado trading"),"⚠ El monto debe ser positivo","✓")))))))))))))))</f>
        <v/>
      </c>
      <c r="P2384" s="52">
        <f>IF(OR(B2384="",G2384=""),"",IF(C2384="","Gasto",C2384))</f>
        <v/>
      </c>
      <c r="Q2384" s="52">
        <f>IF(P2384="","",IF(J2384&lt;&gt;"",J2384,CuentaPred&amp;""))</f>
        <v/>
      </c>
      <c r="R2384" s="52">
        <f>IF(P2384="","",IF(ISNUMBER(I2384),I2384,TasaUSD))</f>
        <v/>
      </c>
      <c r="S2384" s="53">
        <f>IF(P2384="","",IF(H2384="USD",G2384*R2384,G2384))</f>
        <v/>
      </c>
      <c r="T2384" s="53">
        <f>IF(P2384="","",IF(H2384="USD",G2384,IF(R2384&gt;0,G2384/R2384,0)))</f>
        <v/>
      </c>
      <c r="U2384" s="53">
        <f>IF(P2384="","",IF(P2384="Gasto",S2384,IF(P2384="Reembolso",-S2384,0)))</f>
        <v/>
      </c>
      <c r="V2384" s="53">
        <f>IF(P2384="","",IF(P2384="Ingreso",S2384,0))</f>
        <v/>
      </c>
      <c r="W2384" s="53">
        <f>IF(P2384="","",IF(P2384="Resultado trading",S2384,0))</f>
        <v/>
      </c>
      <c r="X2384" s="52">
        <f>IF(OR(P2384="Gasto",P2384="Reembolso"),IF(M2384&lt;&gt;"",M2384,IFERROR(INDEX(catClasif,MATCH(D2384&amp;"|"&amp;E2384,catClave,0))&amp;"","Variable")),"")</f>
        <v/>
      </c>
      <c r="Y2384" s="52">
        <f>IF(P2384="","",IFERROR(INDEX(catGrupo,MATCH(D2384&amp;"|"&amp;E2384,catClave,0))&amp;"",""))</f>
        <v/>
      </c>
      <c r="Z2384" s="52">
        <f>IF(P2384="","",WEEKDAY(B2384,2))</f>
        <v/>
      </c>
      <c r="AA2384" s="52">
        <f>IF(P2384="","",IF(AND(P2384="Gasto",X2384="Variable",D2384&lt;&gt;catTrading,S2384&gt;0,S2384&lt;=Umbral),1,0))</f>
        <v/>
      </c>
      <c r="AB2384" s="52">
        <f>IF(OR(P2384="",Q2384=""),"",IFERROR(IF(INDEX(ctaVinc,MATCH(Q2384,ctaNombre,0))&amp;""&lt;&gt;"",INDEX(ctaVinc,MATCH(Q2384,ctaNombre,0))&amp;"",Q2384),Q2384))</f>
        <v/>
      </c>
      <c r="AC2384" s="52">
        <f>IF(OR(K2384="",AND(P2384&lt;&gt;"Transferencia",P2384&lt;&gt;"Pago tarjeta")),"",IFERROR(IF(INDEX(ctaVinc,MATCH(K2384,ctaNombre,0))&amp;""&lt;&gt;"",INDEX(ctaVinc,MATCH(K2384,ctaNombre,0))&amp;"",K2384),K2384))</f>
        <v/>
      </c>
      <c r="AD2384" s="52">
        <f>IF(AB2384="","",IFERROR(INDEX(ctaTipo,MATCH(AB2384,ctaNombre,0))&amp;"",""))</f>
        <v/>
      </c>
      <c r="AE2384" s="52">
        <f>IF(AC2384="","",IFERROR(INDEX(ctaTipo,MATCH(AC2384,ctaNombre,0))&amp;"",""))</f>
        <v/>
      </c>
      <c r="AF2384" s="53">
        <f>IF(OR(P2384="",AB2384=""),"",IF(OR(P2384="Gasto",P2384="Transferencia",P2384="Pago tarjeta"),-1,1)*IF(IFERROR(INDEX(ctaMoneda,MATCH(AB2384,ctaNombre,0))&amp;"","DOP")="USD",T2384,S2384))</f>
        <v/>
      </c>
      <c r="AG2384" s="53">
        <f>IF(AC2384="","",IF(IFERROR(INDEX(ctaMoneda,MATCH(AC2384,ctaNombre,0))&amp;"","DOP")="USD",T2384,S2384))</f>
        <v/>
      </c>
      <c r="AH2384" s="53">
        <f>IF(P2384="","",IF(AND(AD2384&lt;&gt;"",COUNTIFS(tcTipo,AD2384,tcLiq,"Sí")&gt;0),IF(OR(P2384="Gasto",P2384="Transferencia",P2384="Pago tarjeta"),-1,1)*S2384,0)+IF(AND(AE2384&lt;&gt;"",COUNTIFS(tcTipo,AE2384,tcLiq,"Sí")&gt;0),S2384,0))</f>
        <v/>
      </c>
      <c r="AI2384" s="52">
        <f>IF(OR(L2384="",P2384=""),"",IF(COUNTIFS(L$6:L2384,L2384,P$6:P2384,"?*")=1,MAX(AI$5:AI2383)+1,""))</f>
        <v/>
      </c>
    </row>
    <row r="2385">
      <c r="B2385" s="47" t="n"/>
      <c r="C2385" s="48" t="n"/>
      <c r="D2385" s="48" t="n"/>
      <c r="E2385" s="48" t="n"/>
      <c r="F2385" s="48" t="n"/>
      <c r="G2385" s="49" t="n"/>
      <c r="H2385" s="48" t="n"/>
      <c r="I2385" s="50" t="n"/>
      <c r="J2385" s="48" t="n"/>
      <c r="K2385" s="48" t="n"/>
      <c r="L2385" s="48" t="n"/>
      <c r="M2385" s="48" t="n"/>
      <c r="N2385" s="48" t="n"/>
      <c r="O2385" s="51">
        <f>IF(AND(B2385="",G2385="",C2385="",D2385="",J2385=""),"",IF(B2385="","⚠ Falta fecha",IF(G2385="","⚠ Falta monto",IF(Q2385="","⚠ Falta cuenta",IF(ISNA(MATCH(Q2385,ctaNombre,0)),"⚠ Cuenta no registrada",IF(AND(OR(P2385="Gasto",P2385="Reembolso"),D2385=""),"⚠ Falta categoría",IF(AND(D2385&lt;&gt;"",E2385&lt;&gt;"",ISNA(MATCH(D2385&amp;"|"&amp;E2385,catClave,0))),"⚠ Subcategoría no corresponde",IF(AND(OR(P2385="Transferencia",P2385="Pago tarjeta"),K2385=""),"⚠ Falta cuenta destino",IF(AND(K2385&lt;&gt;"",P2385&lt;&gt;"Transferencia",P2385&lt;&gt;"Pago tarjeta"),"⚠ Destino solo aplica a transferencias",IF(AND(K2385&lt;&gt;"",K2385=Q2385),"⚠ Origen igual a destino",IF(AND(K2385&lt;&gt;"",ISNA(MATCH(K2385,ctaNombre,0))),"⚠ Destino no registrado",IF(AND(P2385="Pago tarjeta",AE2385&lt;&gt;"Tarjeta de crédito"),"⚠ El destino debe ser tarjeta de crédito",IF(AND(P2385="Gasto",E2385="Depósitos y retiros"),"⚠ Usa tipo Transferencia",IF(AND(P2385="Resultado trading",AD2385&lt;&gt;"Cuenta de trading"),"⚠ Usa una cuenta de trading",IF(AND(G2385&lt;=0,P2385&lt;&gt;"Ajuste",P2385&lt;&gt;"Resultado trading"),"⚠ El monto debe ser positivo","✓")))))))))))))))</f>
        <v/>
      </c>
      <c r="P2385" s="52">
        <f>IF(OR(B2385="",G2385=""),"",IF(C2385="","Gasto",C2385))</f>
        <v/>
      </c>
      <c r="Q2385" s="52">
        <f>IF(P2385="","",IF(J2385&lt;&gt;"",J2385,CuentaPred&amp;""))</f>
        <v/>
      </c>
      <c r="R2385" s="52">
        <f>IF(P2385="","",IF(ISNUMBER(I2385),I2385,TasaUSD))</f>
        <v/>
      </c>
      <c r="S2385" s="53">
        <f>IF(P2385="","",IF(H2385="USD",G2385*R2385,G2385))</f>
        <v/>
      </c>
      <c r="T2385" s="53">
        <f>IF(P2385="","",IF(H2385="USD",G2385,IF(R2385&gt;0,G2385/R2385,0)))</f>
        <v/>
      </c>
      <c r="U2385" s="53">
        <f>IF(P2385="","",IF(P2385="Gasto",S2385,IF(P2385="Reembolso",-S2385,0)))</f>
        <v/>
      </c>
      <c r="V2385" s="53">
        <f>IF(P2385="","",IF(P2385="Ingreso",S2385,0))</f>
        <v/>
      </c>
      <c r="W2385" s="53">
        <f>IF(P2385="","",IF(P2385="Resultado trading",S2385,0))</f>
        <v/>
      </c>
      <c r="X2385" s="52">
        <f>IF(OR(P2385="Gasto",P2385="Reembolso"),IF(M2385&lt;&gt;"",M2385,IFERROR(INDEX(catClasif,MATCH(D2385&amp;"|"&amp;E2385,catClave,0))&amp;"","Variable")),"")</f>
        <v/>
      </c>
      <c r="Y2385" s="52">
        <f>IF(P2385="","",IFERROR(INDEX(catGrupo,MATCH(D2385&amp;"|"&amp;E2385,catClave,0))&amp;"",""))</f>
        <v/>
      </c>
      <c r="Z2385" s="52">
        <f>IF(P2385="","",WEEKDAY(B2385,2))</f>
        <v/>
      </c>
      <c r="AA2385" s="52">
        <f>IF(P2385="","",IF(AND(P2385="Gasto",X2385="Variable",D2385&lt;&gt;catTrading,S2385&gt;0,S2385&lt;=Umbral),1,0))</f>
        <v/>
      </c>
      <c r="AB2385" s="52">
        <f>IF(OR(P2385="",Q2385=""),"",IFERROR(IF(INDEX(ctaVinc,MATCH(Q2385,ctaNombre,0))&amp;""&lt;&gt;"",INDEX(ctaVinc,MATCH(Q2385,ctaNombre,0))&amp;"",Q2385),Q2385))</f>
        <v/>
      </c>
      <c r="AC2385" s="52">
        <f>IF(OR(K2385="",AND(P2385&lt;&gt;"Transferencia",P2385&lt;&gt;"Pago tarjeta")),"",IFERROR(IF(INDEX(ctaVinc,MATCH(K2385,ctaNombre,0))&amp;""&lt;&gt;"",INDEX(ctaVinc,MATCH(K2385,ctaNombre,0))&amp;"",K2385),K2385))</f>
        <v/>
      </c>
      <c r="AD2385" s="52">
        <f>IF(AB2385="","",IFERROR(INDEX(ctaTipo,MATCH(AB2385,ctaNombre,0))&amp;"",""))</f>
        <v/>
      </c>
      <c r="AE2385" s="52">
        <f>IF(AC2385="","",IFERROR(INDEX(ctaTipo,MATCH(AC2385,ctaNombre,0))&amp;"",""))</f>
        <v/>
      </c>
      <c r="AF2385" s="53">
        <f>IF(OR(P2385="",AB2385=""),"",IF(OR(P2385="Gasto",P2385="Transferencia",P2385="Pago tarjeta"),-1,1)*IF(IFERROR(INDEX(ctaMoneda,MATCH(AB2385,ctaNombre,0))&amp;"","DOP")="USD",T2385,S2385))</f>
        <v/>
      </c>
      <c r="AG2385" s="53">
        <f>IF(AC2385="","",IF(IFERROR(INDEX(ctaMoneda,MATCH(AC2385,ctaNombre,0))&amp;"","DOP")="USD",T2385,S2385))</f>
        <v/>
      </c>
      <c r="AH2385" s="53">
        <f>IF(P2385="","",IF(AND(AD2385&lt;&gt;"",COUNTIFS(tcTipo,AD2385,tcLiq,"Sí")&gt;0),IF(OR(P2385="Gasto",P2385="Transferencia",P2385="Pago tarjeta"),-1,1)*S2385,0)+IF(AND(AE2385&lt;&gt;"",COUNTIFS(tcTipo,AE2385,tcLiq,"Sí")&gt;0),S2385,0))</f>
        <v/>
      </c>
      <c r="AI2385" s="52">
        <f>IF(OR(L2385="",P2385=""),"",IF(COUNTIFS(L$6:L2385,L2385,P$6:P2385,"?*")=1,MAX(AI$5:AI2384)+1,""))</f>
        <v/>
      </c>
    </row>
    <row r="2386">
      <c r="B2386" s="47" t="n"/>
      <c r="C2386" s="48" t="n"/>
      <c r="D2386" s="48" t="n"/>
      <c r="E2386" s="48" t="n"/>
      <c r="F2386" s="48" t="n"/>
      <c r="G2386" s="49" t="n"/>
      <c r="H2386" s="48" t="n"/>
      <c r="I2386" s="50" t="n"/>
      <c r="J2386" s="48" t="n"/>
      <c r="K2386" s="48" t="n"/>
      <c r="L2386" s="48" t="n"/>
      <c r="M2386" s="48" t="n"/>
      <c r="N2386" s="48" t="n"/>
      <c r="O2386" s="51">
        <f>IF(AND(B2386="",G2386="",C2386="",D2386="",J2386=""),"",IF(B2386="","⚠ Falta fecha",IF(G2386="","⚠ Falta monto",IF(Q2386="","⚠ Falta cuenta",IF(ISNA(MATCH(Q2386,ctaNombre,0)),"⚠ Cuenta no registrada",IF(AND(OR(P2386="Gasto",P2386="Reembolso"),D2386=""),"⚠ Falta categoría",IF(AND(D2386&lt;&gt;"",E2386&lt;&gt;"",ISNA(MATCH(D2386&amp;"|"&amp;E2386,catClave,0))),"⚠ Subcategoría no corresponde",IF(AND(OR(P2386="Transferencia",P2386="Pago tarjeta"),K2386=""),"⚠ Falta cuenta destino",IF(AND(K2386&lt;&gt;"",P2386&lt;&gt;"Transferencia",P2386&lt;&gt;"Pago tarjeta"),"⚠ Destino solo aplica a transferencias",IF(AND(K2386&lt;&gt;"",K2386=Q2386),"⚠ Origen igual a destino",IF(AND(K2386&lt;&gt;"",ISNA(MATCH(K2386,ctaNombre,0))),"⚠ Destino no registrado",IF(AND(P2386="Pago tarjeta",AE2386&lt;&gt;"Tarjeta de crédito"),"⚠ El destino debe ser tarjeta de crédito",IF(AND(P2386="Gasto",E2386="Depósitos y retiros"),"⚠ Usa tipo Transferencia",IF(AND(P2386="Resultado trading",AD2386&lt;&gt;"Cuenta de trading"),"⚠ Usa una cuenta de trading",IF(AND(G2386&lt;=0,P2386&lt;&gt;"Ajuste",P2386&lt;&gt;"Resultado trading"),"⚠ El monto debe ser positivo","✓")))))))))))))))</f>
        <v/>
      </c>
      <c r="P2386" s="52">
        <f>IF(OR(B2386="",G2386=""),"",IF(C2386="","Gasto",C2386))</f>
        <v/>
      </c>
      <c r="Q2386" s="52">
        <f>IF(P2386="","",IF(J2386&lt;&gt;"",J2386,CuentaPred&amp;""))</f>
        <v/>
      </c>
      <c r="R2386" s="52">
        <f>IF(P2386="","",IF(ISNUMBER(I2386),I2386,TasaUSD))</f>
        <v/>
      </c>
      <c r="S2386" s="53">
        <f>IF(P2386="","",IF(H2386="USD",G2386*R2386,G2386))</f>
        <v/>
      </c>
      <c r="T2386" s="53">
        <f>IF(P2386="","",IF(H2386="USD",G2386,IF(R2386&gt;0,G2386/R2386,0)))</f>
        <v/>
      </c>
      <c r="U2386" s="53">
        <f>IF(P2386="","",IF(P2386="Gasto",S2386,IF(P2386="Reembolso",-S2386,0)))</f>
        <v/>
      </c>
      <c r="V2386" s="53">
        <f>IF(P2386="","",IF(P2386="Ingreso",S2386,0))</f>
        <v/>
      </c>
      <c r="W2386" s="53">
        <f>IF(P2386="","",IF(P2386="Resultado trading",S2386,0))</f>
        <v/>
      </c>
      <c r="X2386" s="52">
        <f>IF(OR(P2386="Gasto",P2386="Reembolso"),IF(M2386&lt;&gt;"",M2386,IFERROR(INDEX(catClasif,MATCH(D2386&amp;"|"&amp;E2386,catClave,0))&amp;"","Variable")),"")</f>
        <v/>
      </c>
      <c r="Y2386" s="52">
        <f>IF(P2386="","",IFERROR(INDEX(catGrupo,MATCH(D2386&amp;"|"&amp;E2386,catClave,0))&amp;"",""))</f>
        <v/>
      </c>
      <c r="Z2386" s="52">
        <f>IF(P2386="","",WEEKDAY(B2386,2))</f>
        <v/>
      </c>
      <c r="AA2386" s="52">
        <f>IF(P2386="","",IF(AND(P2386="Gasto",X2386="Variable",D2386&lt;&gt;catTrading,S2386&gt;0,S2386&lt;=Umbral),1,0))</f>
        <v/>
      </c>
      <c r="AB2386" s="52">
        <f>IF(OR(P2386="",Q2386=""),"",IFERROR(IF(INDEX(ctaVinc,MATCH(Q2386,ctaNombre,0))&amp;""&lt;&gt;"",INDEX(ctaVinc,MATCH(Q2386,ctaNombre,0))&amp;"",Q2386),Q2386))</f>
        <v/>
      </c>
      <c r="AC2386" s="52">
        <f>IF(OR(K2386="",AND(P2386&lt;&gt;"Transferencia",P2386&lt;&gt;"Pago tarjeta")),"",IFERROR(IF(INDEX(ctaVinc,MATCH(K2386,ctaNombre,0))&amp;""&lt;&gt;"",INDEX(ctaVinc,MATCH(K2386,ctaNombre,0))&amp;"",K2386),K2386))</f>
        <v/>
      </c>
      <c r="AD2386" s="52">
        <f>IF(AB2386="","",IFERROR(INDEX(ctaTipo,MATCH(AB2386,ctaNombre,0))&amp;"",""))</f>
        <v/>
      </c>
      <c r="AE2386" s="52">
        <f>IF(AC2386="","",IFERROR(INDEX(ctaTipo,MATCH(AC2386,ctaNombre,0))&amp;"",""))</f>
        <v/>
      </c>
      <c r="AF2386" s="53">
        <f>IF(OR(P2386="",AB2386=""),"",IF(OR(P2386="Gasto",P2386="Transferencia",P2386="Pago tarjeta"),-1,1)*IF(IFERROR(INDEX(ctaMoneda,MATCH(AB2386,ctaNombre,0))&amp;"","DOP")="USD",T2386,S2386))</f>
        <v/>
      </c>
      <c r="AG2386" s="53">
        <f>IF(AC2386="","",IF(IFERROR(INDEX(ctaMoneda,MATCH(AC2386,ctaNombre,0))&amp;"","DOP")="USD",T2386,S2386))</f>
        <v/>
      </c>
      <c r="AH2386" s="53">
        <f>IF(P2386="","",IF(AND(AD2386&lt;&gt;"",COUNTIFS(tcTipo,AD2386,tcLiq,"Sí")&gt;0),IF(OR(P2386="Gasto",P2386="Transferencia",P2386="Pago tarjeta"),-1,1)*S2386,0)+IF(AND(AE2386&lt;&gt;"",COUNTIFS(tcTipo,AE2386,tcLiq,"Sí")&gt;0),S2386,0))</f>
        <v/>
      </c>
      <c r="AI2386" s="52">
        <f>IF(OR(L2386="",P2386=""),"",IF(COUNTIFS(L$6:L2386,L2386,P$6:P2386,"?*")=1,MAX(AI$5:AI2385)+1,""))</f>
        <v/>
      </c>
    </row>
    <row r="2387">
      <c r="B2387" s="47" t="n"/>
      <c r="C2387" s="48" t="n"/>
      <c r="D2387" s="48" t="n"/>
      <c r="E2387" s="48" t="n"/>
      <c r="F2387" s="48" t="n"/>
      <c r="G2387" s="49" t="n"/>
      <c r="H2387" s="48" t="n"/>
      <c r="I2387" s="50" t="n"/>
      <c r="J2387" s="48" t="n"/>
      <c r="K2387" s="48" t="n"/>
      <c r="L2387" s="48" t="n"/>
      <c r="M2387" s="48" t="n"/>
      <c r="N2387" s="48" t="n"/>
      <c r="O2387" s="51">
        <f>IF(AND(B2387="",G2387="",C2387="",D2387="",J2387=""),"",IF(B2387="","⚠ Falta fecha",IF(G2387="","⚠ Falta monto",IF(Q2387="","⚠ Falta cuenta",IF(ISNA(MATCH(Q2387,ctaNombre,0)),"⚠ Cuenta no registrada",IF(AND(OR(P2387="Gasto",P2387="Reembolso"),D2387=""),"⚠ Falta categoría",IF(AND(D2387&lt;&gt;"",E2387&lt;&gt;"",ISNA(MATCH(D2387&amp;"|"&amp;E2387,catClave,0))),"⚠ Subcategoría no corresponde",IF(AND(OR(P2387="Transferencia",P2387="Pago tarjeta"),K2387=""),"⚠ Falta cuenta destino",IF(AND(K2387&lt;&gt;"",P2387&lt;&gt;"Transferencia",P2387&lt;&gt;"Pago tarjeta"),"⚠ Destino solo aplica a transferencias",IF(AND(K2387&lt;&gt;"",K2387=Q2387),"⚠ Origen igual a destino",IF(AND(K2387&lt;&gt;"",ISNA(MATCH(K2387,ctaNombre,0))),"⚠ Destino no registrado",IF(AND(P2387="Pago tarjeta",AE2387&lt;&gt;"Tarjeta de crédito"),"⚠ El destino debe ser tarjeta de crédito",IF(AND(P2387="Gasto",E2387="Depósitos y retiros"),"⚠ Usa tipo Transferencia",IF(AND(P2387="Resultado trading",AD2387&lt;&gt;"Cuenta de trading"),"⚠ Usa una cuenta de trading",IF(AND(G2387&lt;=0,P2387&lt;&gt;"Ajuste",P2387&lt;&gt;"Resultado trading"),"⚠ El monto debe ser positivo","✓")))))))))))))))</f>
        <v/>
      </c>
      <c r="P2387" s="52">
        <f>IF(OR(B2387="",G2387=""),"",IF(C2387="","Gasto",C2387))</f>
        <v/>
      </c>
      <c r="Q2387" s="52">
        <f>IF(P2387="","",IF(J2387&lt;&gt;"",J2387,CuentaPred&amp;""))</f>
        <v/>
      </c>
      <c r="R2387" s="52">
        <f>IF(P2387="","",IF(ISNUMBER(I2387),I2387,TasaUSD))</f>
        <v/>
      </c>
      <c r="S2387" s="53">
        <f>IF(P2387="","",IF(H2387="USD",G2387*R2387,G2387))</f>
        <v/>
      </c>
      <c r="T2387" s="53">
        <f>IF(P2387="","",IF(H2387="USD",G2387,IF(R2387&gt;0,G2387/R2387,0)))</f>
        <v/>
      </c>
      <c r="U2387" s="53">
        <f>IF(P2387="","",IF(P2387="Gasto",S2387,IF(P2387="Reembolso",-S2387,0)))</f>
        <v/>
      </c>
      <c r="V2387" s="53">
        <f>IF(P2387="","",IF(P2387="Ingreso",S2387,0))</f>
        <v/>
      </c>
      <c r="W2387" s="53">
        <f>IF(P2387="","",IF(P2387="Resultado trading",S2387,0))</f>
        <v/>
      </c>
      <c r="X2387" s="52">
        <f>IF(OR(P2387="Gasto",P2387="Reembolso"),IF(M2387&lt;&gt;"",M2387,IFERROR(INDEX(catClasif,MATCH(D2387&amp;"|"&amp;E2387,catClave,0))&amp;"","Variable")),"")</f>
        <v/>
      </c>
      <c r="Y2387" s="52">
        <f>IF(P2387="","",IFERROR(INDEX(catGrupo,MATCH(D2387&amp;"|"&amp;E2387,catClave,0))&amp;"",""))</f>
        <v/>
      </c>
      <c r="Z2387" s="52">
        <f>IF(P2387="","",WEEKDAY(B2387,2))</f>
        <v/>
      </c>
      <c r="AA2387" s="52">
        <f>IF(P2387="","",IF(AND(P2387="Gasto",X2387="Variable",D2387&lt;&gt;catTrading,S2387&gt;0,S2387&lt;=Umbral),1,0))</f>
        <v/>
      </c>
      <c r="AB2387" s="52">
        <f>IF(OR(P2387="",Q2387=""),"",IFERROR(IF(INDEX(ctaVinc,MATCH(Q2387,ctaNombre,0))&amp;""&lt;&gt;"",INDEX(ctaVinc,MATCH(Q2387,ctaNombre,0))&amp;"",Q2387),Q2387))</f>
        <v/>
      </c>
      <c r="AC2387" s="52">
        <f>IF(OR(K2387="",AND(P2387&lt;&gt;"Transferencia",P2387&lt;&gt;"Pago tarjeta")),"",IFERROR(IF(INDEX(ctaVinc,MATCH(K2387,ctaNombre,0))&amp;""&lt;&gt;"",INDEX(ctaVinc,MATCH(K2387,ctaNombre,0))&amp;"",K2387),K2387))</f>
        <v/>
      </c>
      <c r="AD2387" s="52">
        <f>IF(AB2387="","",IFERROR(INDEX(ctaTipo,MATCH(AB2387,ctaNombre,0))&amp;"",""))</f>
        <v/>
      </c>
      <c r="AE2387" s="52">
        <f>IF(AC2387="","",IFERROR(INDEX(ctaTipo,MATCH(AC2387,ctaNombre,0))&amp;"",""))</f>
        <v/>
      </c>
      <c r="AF2387" s="53">
        <f>IF(OR(P2387="",AB2387=""),"",IF(OR(P2387="Gasto",P2387="Transferencia",P2387="Pago tarjeta"),-1,1)*IF(IFERROR(INDEX(ctaMoneda,MATCH(AB2387,ctaNombre,0))&amp;"","DOP")="USD",T2387,S2387))</f>
        <v/>
      </c>
      <c r="AG2387" s="53">
        <f>IF(AC2387="","",IF(IFERROR(INDEX(ctaMoneda,MATCH(AC2387,ctaNombre,0))&amp;"","DOP")="USD",T2387,S2387))</f>
        <v/>
      </c>
      <c r="AH2387" s="53">
        <f>IF(P2387="","",IF(AND(AD2387&lt;&gt;"",COUNTIFS(tcTipo,AD2387,tcLiq,"Sí")&gt;0),IF(OR(P2387="Gasto",P2387="Transferencia",P2387="Pago tarjeta"),-1,1)*S2387,0)+IF(AND(AE2387&lt;&gt;"",COUNTIFS(tcTipo,AE2387,tcLiq,"Sí")&gt;0),S2387,0))</f>
        <v/>
      </c>
      <c r="AI2387" s="52">
        <f>IF(OR(L2387="",P2387=""),"",IF(COUNTIFS(L$6:L2387,L2387,P$6:P2387,"?*")=1,MAX(AI$5:AI2386)+1,""))</f>
        <v/>
      </c>
    </row>
    <row r="2388">
      <c r="B2388" s="47" t="n"/>
      <c r="C2388" s="48" t="n"/>
      <c r="D2388" s="48" t="n"/>
      <c r="E2388" s="48" t="n"/>
      <c r="F2388" s="48" t="n"/>
      <c r="G2388" s="49" t="n"/>
      <c r="H2388" s="48" t="n"/>
      <c r="I2388" s="50" t="n"/>
      <c r="J2388" s="48" t="n"/>
      <c r="K2388" s="48" t="n"/>
      <c r="L2388" s="48" t="n"/>
      <c r="M2388" s="48" t="n"/>
      <c r="N2388" s="48" t="n"/>
      <c r="O2388" s="51">
        <f>IF(AND(B2388="",G2388="",C2388="",D2388="",J2388=""),"",IF(B2388="","⚠ Falta fecha",IF(G2388="","⚠ Falta monto",IF(Q2388="","⚠ Falta cuenta",IF(ISNA(MATCH(Q2388,ctaNombre,0)),"⚠ Cuenta no registrada",IF(AND(OR(P2388="Gasto",P2388="Reembolso"),D2388=""),"⚠ Falta categoría",IF(AND(D2388&lt;&gt;"",E2388&lt;&gt;"",ISNA(MATCH(D2388&amp;"|"&amp;E2388,catClave,0))),"⚠ Subcategoría no corresponde",IF(AND(OR(P2388="Transferencia",P2388="Pago tarjeta"),K2388=""),"⚠ Falta cuenta destino",IF(AND(K2388&lt;&gt;"",P2388&lt;&gt;"Transferencia",P2388&lt;&gt;"Pago tarjeta"),"⚠ Destino solo aplica a transferencias",IF(AND(K2388&lt;&gt;"",K2388=Q2388),"⚠ Origen igual a destino",IF(AND(K2388&lt;&gt;"",ISNA(MATCH(K2388,ctaNombre,0))),"⚠ Destino no registrado",IF(AND(P2388="Pago tarjeta",AE2388&lt;&gt;"Tarjeta de crédito"),"⚠ El destino debe ser tarjeta de crédito",IF(AND(P2388="Gasto",E2388="Depósitos y retiros"),"⚠ Usa tipo Transferencia",IF(AND(P2388="Resultado trading",AD2388&lt;&gt;"Cuenta de trading"),"⚠ Usa una cuenta de trading",IF(AND(G2388&lt;=0,P2388&lt;&gt;"Ajuste",P2388&lt;&gt;"Resultado trading"),"⚠ El monto debe ser positivo","✓")))))))))))))))</f>
        <v/>
      </c>
      <c r="P2388" s="52">
        <f>IF(OR(B2388="",G2388=""),"",IF(C2388="","Gasto",C2388))</f>
        <v/>
      </c>
      <c r="Q2388" s="52">
        <f>IF(P2388="","",IF(J2388&lt;&gt;"",J2388,CuentaPred&amp;""))</f>
        <v/>
      </c>
      <c r="R2388" s="52">
        <f>IF(P2388="","",IF(ISNUMBER(I2388),I2388,TasaUSD))</f>
        <v/>
      </c>
      <c r="S2388" s="53">
        <f>IF(P2388="","",IF(H2388="USD",G2388*R2388,G2388))</f>
        <v/>
      </c>
      <c r="T2388" s="53">
        <f>IF(P2388="","",IF(H2388="USD",G2388,IF(R2388&gt;0,G2388/R2388,0)))</f>
        <v/>
      </c>
      <c r="U2388" s="53">
        <f>IF(P2388="","",IF(P2388="Gasto",S2388,IF(P2388="Reembolso",-S2388,0)))</f>
        <v/>
      </c>
      <c r="V2388" s="53">
        <f>IF(P2388="","",IF(P2388="Ingreso",S2388,0))</f>
        <v/>
      </c>
      <c r="W2388" s="53">
        <f>IF(P2388="","",IF(P2388="Resultado trading",S2388,0))</f>
        <v/>
      </c>
      <c r="X2388" s="52">
        <f>IF(OR(P2388="Gasto",P2388="Reembolso"),IF(M2388&lt;&gt;"",M2388,IFERROR(INDEX(catClasif,MATCH(D2388&amp;"|"&amp;E2388,catClave,0))&amp;"","Variable")),"")</f>
        <v/>
      </c>
      <c r="Y2388" s="52">
        <f>IF(P2388="","",IFERROR(INDEX(catGrupo,MATCH(D2388&amp;"|"&amp;E2388,catClave,0))&amp;"",""))</f>
        <v/>
      </c>
      <c r="Z2388" s="52">
        <f>IF(P2388="","",WEEKDAY(B2388,2))</f>
        <v/>
      </c>
      <c r="AA2388" s="52">
        <f>IF(P2388="","",IF(AND(P2388="Gasto",X2388="Variable",D2388&lt;&gt;catTrading,S2388&gt;0,S2388&lt;=Umbral),1,0))</f>
        <v/>
      </c>
      <c r="AB2388" s="52">
        <f>IF(OR(P2388="",Q2388=""),"",IFERROR(IF(INDEX(ctaVinc,MATCH(Q2388,ctaNombre,0))&amp;""&lt;&gt;"",INDEX(ctaVinc,MATCH(Q2388,ctaNombre,0))&amp;"",Q2388),Q2388))</f>
        <v/>
      </c>
      <c r="AC2388" s="52">
        <f>IF(OR(K2388="",AND(P2388&lt;&gt;"Transferencia",P2388&lt;&gt;"Pago tarjeta")),"",IFERROR(IF(INDEX(ctaVinc,MATCH(K2388,ctaNombre,0))&amp;""&lt;&gt;"",INDEX(ctaVinc,MATCH(K2388,ctaNombre,0))&amp;"",K2388),K2388))</f>
        <v/>
      </c>
      <c r="AD2388" s="52">
        <f>IF(AB2388="","",IFERROR(INDEX(ctaTipo,MATCH(AB2388,ctaNombre,0))&amp;"",""))</f>
        <v/>
      </c>
      <c r="AE2388" s="52">
        <f>IF(AC2388="","",IFERROR(INDEX(ctaTipo,MATCH(AC2388,ctaNombre,0))&amp;"",""))</f>
        <v/>
      </c>
      <c r="AF2388" s="53">
        <f>IF(OR(P2388="",AB2388=""),"",IF(OR(P2388="Gasto",P2388="Transferencia",P2388="Pago tarjeta"),-1,1)*IF(IFERROR(INDEX(ctaMoneda,MATCH(AB2388,ctaNombre,0))&amp;"","DOP")="USD",T2388,S2388))</f>
        <v/>
      </c>
      <c r="AG2388" s="53">
        <f>IF(AC2388="","",IF(IFERROR(INDEX(ctaMoneda,MATCH(AC2388,ctaNombre,0))&amp;"","DOP")="USD",T2388,S2388))</f>
        <v/>
      </c>
      <c r="AH2388" s="53">
        <f>IF(P2388="","",IF(AND(AD2388&lt;&gt;"",COUNTIFS(tcTipo,AD2388,tcLiq,"Sí")&gt;0),IF(OR(P2388="Gasto",P2388="Transferencia",P2388="Pago tarjeta"),-1,1)*S2388,0)+IF(AND(AE2388&lt;&gt;"",COUNTIFS(tcTipo,AE2388,tcLiq,"Sí")&gt;0),S2388,0))</f>
        <v/>
      </c>
      <c r="AI2388" s="52">
        <f>IF(OR(L2388="",P2388=""),"",IF(COUNTIFS(L$6:L2388,L2388,P$6:P2388,"?*")=1,MAX(AI$5:AI2387)+1,""))</f>
        <v/>
      </c>
    </row>
    <row r="2389">
      <c r="B2389" s="47" t="n"/>
      <c r="C2389" s="48" t="n"/>
      <c r="D2389" s="48" t="n"/>
      <c r="E2389" s="48" t="n"/>
      <c r="F2389" s="48" t="n"/>
      <c r="G2389" s="49" t="n"/>
      <c r="H2389" s="48" t="n"/>
      <c r="I2389" s="50" t="n"/>
      <c r="J2389" s="48" t="n"/>
      <c r="K2389" s="48" t="n"/>
      <c r="L2389" s="48" t="n"/>
      <c r="M2389" s="48" t="n"/>
      <c r="N2389" s="48" t="n"/>
      <c r="O2389" s="51">
        <f>IF(AND(B2389="",G2389="",C2389="",D2389="",J2389=""),"",IF(B2389="","⚠ Falta fecha",IF(G2389="","⚠ Falta monto",IF(Q2389="","⚠ Falta cuenta",IF(ISNA(MATCH(Q2389,ctaNombre,0)),"⚠ Cuenta no registrada",IF(AND(OR(P2389="Gasto",P2389="Reembolso"),D2389=""),"⚠ Falta categoría",IF(AND(D2389&lt;&gt;"",E2389&lt;&gt;"",ISNA(MATCH(D2389&amp;"|"&amp;E2389,catClave,0))),"⚠ Subcategoría no corresponde",IF(AND(OR(P2389="Transferencia",P2389="Pago tarjeta"),K2389=""),"⚠ Falta cuenta destino",IF(AND(K2389&lt;&gt;"",P2389&lt;&gt;"Transferencia",P2389&lt;&gt;"Pago tarjeta"),"⚠ Destino solo aplica a transferencias",IF(AND(K2389&lt;&gt;"",K2389=Q2389),"⚠ Origen igual a destino",IF(AND(K2389&lt;&gt;"",ISNA(MATCH(K2389,ctaNombre,0))),"⚠ Destino no registrado",IF(AND(P2389="Pago tarjeta",AE2389&lt;&gt;"Tarjeta de crédito"),"⚠ El destino debe ser tarjeta de crédito",IF(AND(P2389="Gasto",E2389="Depósitos y retiros"),"⚠ Usa tipo Transferencia",IF(AND(P2389="Resultado trading",AD2389&lt;&gt;"Cuenta de trading"),"⚠ Usa una cuenta de trading",IF(AND(G2389&lt;=0,P2389&lt;&gt;"Ajuste",P2389&lt;&gt;"Resultado trading"),"⚠ El monto debe ser positivo","✓")))))))))))))))</f>
        <v/>
      </c>
      <c r="P2389" s="52">
        <f>IF(OR(B2389="",G2389=""),"",IF(C2389="","Gasto",C2389))</f>
        <v/>
      </c>
      <c r="Q2389" s="52">
        <f>IF(P2389="","",IF(J2389&lt;&gt;"",J2389,CuentaPred&amp;""))</f>
        <v/>
      </c>
      <c r="R2389" s="52">
        <f>IF(P2389="","",IF(ISNUMBER(I2389),I2389,TasaUSD))</f>
        <v/>
      </c>
      <c r="S2389" s="53">
        <f>IF(P2389="","",IF(H2389="USD",G2389*R2389,G2389))</f>
        <v/>
      </c>
      <c r="T2389" s="53">
        <f>IF(P2389="","",IF(H2389="USD",G2389,IF(R2389&gt;0,G2389/R2389,0)))</f>
        <v/>
      </c>
      <c r="U2389" s="53">
        <f>IF(P2389="","",IF(P2389="Gasto",S2389,IF(P2389="Reembolso",-S2389,0)))</f>
        <v/>
      </c>
      <c r="V2389" s="53">
        <f>IF(P2389="","",IF(P2389="Ingreso",S2389,0))</f>
        <v/>
      </c>
      <c r="W2389" s="53">
        <f>IF(P2389="","",IF(P2389="Resultado trading",S2389,0))</f>
        <v/>
      </c>
      <c r="X2389" s="52">
        <f>IF(OR(P2389="Gasto",P2389="Reembolso"),IF(M2389&lt;&gt;"",M2389,IFERROR(INDEX(catClasif,MATCH(D2389&amp;"|"&amp;E2389,catClave,0))&amp;"","Variable")),"")</f>
        <v/>
      </c>
      <c r="Y2389" s="52">
        <f>IF(P2389="","",IFERROR(INDEX(catGrupo,MATCH(D2389&amp;"|"&amp;E2389,catClave,0))&amp;"",""))</f>
        <v/>
      </c>
      <c r="Z2389" s="52">
        <f>IF(P2389="","",WEEKDAY(B2389,2))</f>
        <v/>
      </c>
      <c r="AA2389" s="52">
        <f>IF(P2389="","",IF(AND(P2389="Gasto",X2389="Variable",D2389&lt;&gt;catTrading,S2389&gt;0,S2389&lt;=Umbral),1,0))</f>
        <v/>
      </c>
      <c r="AB2389" s="52">
        <f>IF(OR(P2389="",Q2389=""),"",IFERROR(IF(INDEX(ctaVinc,MATCH(Q2389,ctaNombre,0))&amp;""&lt;&gt;"",INDEX(ctaVinc,MATCH(Q2389,ctaNombre,0))&amp;"",Q2389),Q2389))</f>
        <v/>
      </c>
      <c r="AC2389" s="52">
        <f>IF(OR(K2389="",AND(P2389&lt;&gt;"Transferencia",P2389&lt;&gt;"Pago tarjeta")),"",IFERROR(IF(INDEX(ctaVinc,MATCH(K2389,ctaNombre,0))&amp;""&lt;&gt;"",INDEX(ctaVinc,MATCH(K2389,ctaNombre,0))&amp;"",K2389),K2389))</f>
        <v/>
      </c>
      <c r="AD2389" s="52">
        <f>IF(AB2389="","",IFERROR(INDEX(ctaTipo,MATCH(AB2389,ctaNombre,0))&amp;"",""))</f>
        <v/>
      </c>
      <c r="AE2389" s="52">
        <f>IF(AC2389="","",IFERROR(INDEX(ctaTipo,MATCH(AC2389,ctaNombre,0))&amp;"",""))</f>
        <v/>
      </c>
      <c r="AF2389" s="53">
        <f>IF(OR(P2389="",AB2389=""),"",IF(OR(P2389="Gasto",P2389="Transferencia",P2389="Pago tarjeta"),-1,1)*IF(IFERROR(INDEX(ctaMoneda,MATCH(AB2389,ctaNombre,0))&amp;"","DOP")="USD",T2389,S2389))</f>
        <v/>
      </c>
      <c r="AG2389" s="53">
        <f>IF(AC2389="","",IF(IFERROR(INDEX(ctaMoneda,MATCH(AC2389,ctaNombre,0))&amp;"","DOP")="USD",T2389,S2389))</f>
        <v/>
      </c>
      <c r="AH2389" s="53">
        <f>IF(P2389="","",IF(AND(AD2389&lt;&gt;"",COUNTIFS(tcTipo,AD2389,tcLiq,"Sí")&gt;0),IF(OR(P2389="Gasto",P2389="Transferencia",P2389="Pago tarjeta"),-1,1)*S2389,0)+IF(AND(AE2389&lt;&gt;"",COUNTIFS(tcTipo,AE2389,tcLiq,"Sí")&gt;0),S2389,0))</f>
        <v/>
      </c>
      <c r="AI2389" s="52">
        <f>IF(OR(L2389="",P2389=""),"",IF(COUNTIFS(L$6:L2389,L2389,P$6:P2389,"?*")=1,MAX(AI$5:AI2388)+1,""))</f>
        <v/>
      </c>
    </row>
    <row r="2390">
      <c r="B2390" s="47" t="n"/>
      <c r="C2390" s="48" t="n"/>
      <c r="D2390" s="48" t="n"/>
      <c r="E2390" s="48" t="n"/>
      <c r="F2390" s="48" t="n"/>
      <c r="G2390" s="49" t="n"/>
      <c r="H2390" s="48" t="n"/>
      <c r="I2390" s="50" t="n"/>
      <c r="J2390" s="48" t="n"/>
      <c r="K2390" s="48" t="n"/>
      <c r="L2390" s="48" t="n"/>
      <c r="M2390" s="48" t="n"/>
      <c r="N2390" s="48" t="n"/>
      <c r="O2390" s="51">
        <f>IF(AND(B2390="",G2390="",C2390="",D2390="",J2390=""),"",IF(B2390="","⚠ Falta fecha",IF(G2390="","⚠ Falta monto",IF(Q2390="","⚠ Falta cuenta",IF(ISNA(MATCH(Q2390,ctaNombre,0)),"⚠ Cuenta no registrada",IF(AND(OR(P2390="Gasto",P2390="Reembolso"),D2390=""),"⚠ Falta categoría",IF(AND(D2390&lt;&gt;"",E2390&lt;&gt;"",ISNA(MATCH(D2390&amp;"|"&amp;E2390,catClave,0))),"⚠ Subcategoría no corresponde",IF(AND(OR(P2390="Transferencia",P2390="Pago tarjeta"),K2390=""),"⚠ Falta cuenta destino",IF(AND(K2390&lt;&gt;"",P2390&lt;&gt;"Transferencia",P2390&lt;&gt;"Pago tarjeta"),"⚠ Destino solo aplica a transferencias",IF(AND(K2390&lt;&gt;"",K2390=Q2390),"⚠ Origen igual a destino",IF(AND(K2390&lt;&gt;"",ISNA(MATCH(K2390,ctaNombre,0))),"⚠ Destino no registrado",IF(AND(P2390="Pago tarjeta",AE2390&lt;&gt;"Tarjeta de crédito"),"⚠ El destino debe ser tarjeta de crédito",IF(AND(P2390="Gasto",E2390="Depósitos y retiros"),"⚠ Usa tipo Transferencia",IF(AND(P2390="Resultado trading",AD2390&lt;&gt;"Cuenta de trading"),"⚠ Usa una cuenta de trading",IF(AND(G2390&lt;=0,P2390&lt;&gt;"Ajuste",P2390&lt;&gt;"Resultado trading"),"⚠ El monto debe ser positivo","✓")))))))))))))))</f>
        <v/>
      </c>
      <c r="P2390" s="52">
        <f>IF(OR(B2390="",G2390=""),"",IF(C2390="","Gasto",C2390))</f>
        <v/>
      </c>
      <c r="Q2390" s="52">
        <f>IF(P2390="","",IF(J2390&lt;&gt;"",J2390,CuentaPred&amp;""))</f>
        <v/>
      </c>
      <c r="R2390" s="52">
        <f>IF(P2390="","",IF(ISNUMBER(I2390),I2390,TasaUSD))</f>
        <v/>
      </c>
      <c r="S2390" s="53">
        <f>IF(P2390="","",IF(H2390="USD",G2390*R2390,G2390))</f>
        <v/>
      </c>
      <c r="T2390" s="53">
        <f>IF(P2390="","",IF(H2390="USD",G2390,IF(R2390&gt;0,G2390/R2390,0)))</f>
        <v/>
      </c>
      <c r="U2390" s="53">
        <f>IF(P2390="","",IF(P2390="Gasto",S2390,IF(P2390="Reembolso",-S2390,0)))</f>
        <v/>
      </c>
      <c r="V2390" s="53">
        <f>IF(P2390="","",IF(P2390="Ingreso",S2390,0))</f>
        <v/>
      </c>
      <c r="W2390" s="53">
        <f>IF(P2390="","",IF(P2390="Resultado trading",S2390,0))</f>
        <v/>
      </c>
      <c r="X2390" s="52">
        <f>IF(OR(P2390="Gasto",P2390="Reembolso"),IF(M2390&lt;&gt;"",M2390,IFERROR(INDEX(catClasif,MATCH(D2390&amp;"|"&amp;E2390,catClave,0))&amp;"","Variable")),"")</f>
        <v/>
      </c>
      <c r="Y2390" s="52">
        <f>IF(P2390="","",IFERROR(INDEX(catGrupo,MATCH(D2390&amp;"|"&amp;E2390,catClave,0))&amp;"",""))</f>
        <v/>
      </c>
      <c r="Z2390" s="52">
        <f>IF(P2390="","",WEEKDAY(B2390,2))</f>
        <v/>
      </c>
      <c r="AA2390" s="52">
        <f>IF(P2390="","",IF(AND(P2390="Gasto",X2390="Variable",D2390&lt;&gt;catTrading,S2390&gt;0,S2390&lt;=Umbral),1,0))</f>
        <v/>
      </c>
      <c r="AB2390" s="52">
        <f>IF(OR(P2390="",Q2390=""),"",IFERROR(IF(INDEX(ctaVinc,MATCH(Q2390,ctaNombre,0))&amp;""&lt;&gt;"",INDEX(ctaVinc,MATCH(Q2390,ctaNombre,0))&amp;"",Q2390),Q2390))</f>
        <v/>
      </c>
      <c r="AC2390" s="52">
        <f>IF(OR(K2390="",AND(P2390&lt;&gt;"Transferencia",P2390&lt;&gt;"Pago tarjeta")),"",IFERROR(IF(INDEX(ctaVinc,MATCH(K2390,ctaNombre,0))&amp;""&lt;&gt;"",INDEX(ctaVinc,MATCH(K2390,ctaNombre,0))&amp;"",K2390),K2390))</f>
        <v/>
      </c>
      <c r="AD2390" s="52">
        <f>IF(AB2390="","",IFERROR(INDEX(ctaTipo,MATCH(AB2390,ctaNombre,0))&amp;"",""))</f>
        <v/>
      </c>
      <c r="AE2390" s="52">
        <f>IF(AC2390="","",IFERROR(INDEX(ctaTipo,MATCH(AC2390,ctaNombre,0))&amp;"",""))</f>
        <v/>
      </c>
      <c r="AF2390" s="53">
        <f>IF(OR(P2390="",AB2390=""),"",IF(OR(P2390="Gasto",P2390="Transferencia",P2390="Pago tarjeta"),-1,1)*IF(IFERROR(INDEX(ctaMoneda,MATCH(AB2390,ctaNombre,0))&amp;"","DOP")="USD",T2390,S2390))</f>
        <v/>
      </c>
      <c r="AG2390" s="53">
        <f>IF(AC2390="","",IF(IFERROR(INDEX(ctaMoneda,MATCH(AC2390,ctaNombre,0))&amp;"","DOP")="USD",T2390,S2390))</f>
        <v/>
      </c>
      <c r="AH2390" s="53">
        <f>IF(P2390="","",IF(AND(AD2390&lt;&gt;"",COUNTIFS(tcTipo,AD2390,tcLiq,"Sí")&gt;0),IF(OR(P2390="Gasto",P2390="Transferencia",P2390="Pago tarjeta"),-1,1)*S2390,0)+IF(AND(AE2390&lt;&gt;"",COUNTIFS(tcTipo,AE2390,tcLiq,"Sí")&gt;0),S2390,0))</f>
        <v/>
      </c>
      <c r="AI2390" s="52">
        <f>IF(OR(L2390="",P2390=""),"",IF(COUNTIFS(L$6:L2390,L2390,P$6:P2390,"?*")=1,MAX(AI$5:AI2389)+1,""))</f>
        <v/>
      </c>
    </row>
    <row r="2391">
      <c r="B2391" s="47" t="n"/>
      <c r="C2391" s="48" t="n"/>
      <c r="D2391" s="48" t="n"/>
      <c r="E2391" s="48" t="n"/>
      <c r="F2391" s="48" t="n"/>
      <c r="G2391" s="49" t="n"/>
      <c r="H2391" s="48" t="n"/>
      <c r="I2391" s="50" t="n"/>
      <c r="J2391" s="48" t="n"/>
      <c r="K2391" s="48" t="n"/>
      <c r="L2391" s="48" t="n"/>
      <c r="M2391" s="48" t="n"/>
      <c r="N2391" s="48" t="n"/>
      <c r="O2391" s="51">
        <f>IF(AND(B2391="",G2391="",C2391="",D2391="",J2391=""),"",IF(B2391="","⚠ Falta fecha",IF(G2391="","⚠ Falta monto",IF(Q2391="","⚠ Falta cuenta",IF(ISNA(MATCH(Q2391,ctaNombre,0)),"⚠ Cuenta no registrada",IF(AND(OR(P2391="Gasto",P2391="Reembolso"),D2391=""),"⚠ Falta categoría",IF(AND(D2391&lt;&gt;"",E2391&lt;&gt;"",ISNA(MATCH(D2391&amp;"|"&amp;E2391,catClave,0))),"⚠ Subcategoría no corresponde",IF(AND(OR(P2391="Transferencia",P2391="Pago tarjeta"),K2391=""),"⚠ Falta cuenta destino",IF(AND(K2391&lt;&gt;"",P2391&lt;&gt;"Transferencia",P2391&lt;&gt;"Pago tarjeta"),"⚠ Destino solo aplica a transferencias",IF(AND(K2391&lt;&gt;"",K2391=Q2391),"⚠ Origen igual a destino",IF(AND(K2391&lt;&gt;"",ISNA(MATCH(K2391,ctaNombre,0))),"⚠ Destino no registrado",IF(AND(P2391="Pago tarjeta",AE2391&lt;&gt;"Tarjeta de crédito"),"⚠ El destino debe ser tarjeta de crédito",IF(AND(P2391="Gasto",E2391="Depósitos y retiros"),"⚠ Usa tipo Transferencia",IF(AND(P2391="Resultado trading",AD2391&lt;&gt;"Cuenta de trading"),"⚠ Usa una cuenta de trading",IF(AND(G2391&lt;=0,P2391&lt;&gt;"Ajuste",P2391&lt;&gt;"Resultado trading"),"⚠ El monto debe ser positivo","✓")))))))))))))))</f>
        <v/>
      </c>
      <c r="P2391" s="52">
        <f>IF(OR(B2391="",G2391=""),"",IF(C2391="","Gasto",C2391))</f>
        <v/>
      </c>
      <c r="Q2391" s="52">
        <f>IF(P2391="","",IF(J2391&lt;&gt;"",J2391,CuentaPred&amp;""))</f>
        <v/>
      </c>
      <c r="R2391" s="52">
        <f>IF(P2391="","",IF(ISNUMBER(I2391),I2391,TasaUSD))</f>
        <v/>
      </c>
      <c r="S2391" s="53">
        <f>IF(P2391="","",IF(H2391="USD",G2391*R2391,G2391))</f>
        <v/>
      </c>
      <c r="T2391" s="53">
        <f>IF(P2391="","",IF(H2391="USD",G2391,IF(R2391&gt;0,G2391/R2391,0)))</f>
        <v/>
      </c>
      <c r="U2391" s="53">
        <f>IF(P2391="","",IF(P2391="Gasto",S2391,IF(P2391="Reembolso",-S2391,0)))</f>
        <v/>
      </c>
      <c r="V2391" s="53">
        <f>IF(P2391="","",IF(P2391="Ingreso",S2391,0))</f>
        <v/>
      </c>
      <c r="W2391" s="53">
        <f>IF(P2391="","",IF(P2391="Resultado trading",S2391,0))</f>
        <v/>
      </c>
      <c r="X2391" s="52">
        <f>IF(OR(P2391="Gasto",P2391="Reembolso"),IF(M2391&lt;&gt;"",M2391,IFERROR(INDEX(catClasif,MATCH(D2391&amp;"|"&amp;E2391,catClave,0))&amp;"","Variable")),"")</f>
        <v/>
      </c>
      <c r="Y2391" s="52">
        <f>IF(P2391="","",IFERROR(INDEX(catGrupo,MATCH(D2391&amp;"|"&amp;E2391,catClave,0))&amp;"",""))</f>
        <v/>
      </c>
      <c r="Z2391" s="52">
        <f>IF(P2391="","",WEEKDAY(B2391,2))</f>
        <v/>
      </c>
      <c r="AA2391" s="52">
        <f>IF(P2391="","",IF(AND(P2391="Gasto",X2391="Variable",D2391&lt;&gt;catTrading,S2391&gt;0,S2391&lt;=Umbral),1,0))</f>
        <v/>
      </c>
      <c r="AB2391" s="52">
        <f>IF(OR(P2391="",Q2391=""),"",IFERROR(IF(INDEX(ctaVinc,MATCH(Q2391,ctaNombre,0))&amp;""&lt;&gt;"",INDEX(ctaVinc,MATCH(Q2391,ctaNombre,0))&amp;"",Q2391),Q2391))</f>
        <v/>
      </c>
      <c r="AC2391" s="52">
        <f>IF(OR(K2391="",AND(P2391&lt;&gt;"Transferencia",P2391&lt;&gt;"Pago tarjeta")),"",IFERROR(IF(INDEX(ctaVinc,MATCH(K2391,ctaNombre,0))&amp;""&lt;&gt;"",INDEX(ctaVinc,MATCH(K2391,ctaNombre,0))&amp;"",K2391),K2391))</f>
        <v/>
      </c>
      <c r="AD2391" s="52">
        <f>IF(AB2391="","",IFERROR(INDEX(ctaTipo,MATCH(AB2391,ctaNombre,0))&amp;"",""))</f>
        <v/>
      </c>
      <c r="AE2391" s="52">
        <f>IF(AC2391="","",IFERROR(INDEX(ctaTipo,MATCH(AC2391,ctaNombre,0))&amp;"",""))</f>
        <v/>
      </c>
      <c r="AF2391" s="53">
        <f>IF(OR(P2391="",AB2391=""),"",IF(OR(P2391="Gasto",P2391="Transferencia",P2391="Pago tarjeta"),-1,1)*IF(IFERROR(INDEX(ctaMoneda,MATCH(AB2391,ctaNombre,0))&amp;"","DOP")="USD",T2391,S2391))</f>
        <v/>
      </c>
      <c r="AG2391" s="53">
        <f>IF(AC2391="","",IF(IFERROR(INDEX(ctaMoneda,MATCH(AC2391,ctaNombre,0))&amp;"","DOP")="USD",T2391,S2391))</f>
        <v/>
      </c>
      <c r="AH2391" s="53">
        <f>IF(P2391="","",IF(AND(AD2391&lt;&gt;"",COUNTIFS(tcTipo,AD2391,tcLiq,"Sí")&gt;0),IF(OR(P2391="Gasto",P2391="Transferencia",P2391="Pago tarjeta"),-1,1)*S2391,0)+IF(AND(AE2391&lt;&gt;"",COUNTIFS(tcTipo,AE2391,tcLiq,"Sí")&gt;0),S2391,0))</f>
        <v/>
      </c>
      <c r="AI2391" s="52">
        <f>IF(OR(L2391="",P2391=""),"",IF(COUNTIFS(L$6:L2391,L2391,P$6:P2391,"?*")=1,MAX(AI$5:AI2390)+1,""))</f>
        <v/>
      </c>
    </row>
    <row r="2392">
      <c r="B2392" s="47" t="n"/>
      <c r="C2392" s="48" t="n"/>
      <c r="D2392" s="48" t="n"/>
      <c r="E2392" s="48" t="n"/>
      <c r="F2392" s="48" t="n"/>
      <c r="G2392" s="49" t="n"/>
      <c r="H2392" s="48" t="n"/>
      <c r="I2392" s="50" t="n"/>
      <c r="J2392" s="48" t="n"/>
      <c r="K2392" s="48" t="n"/>
      <c r="L2392" s="48" t="n"/>
      <c r="M2392" s="48" t="n"/>
      <c r="N2392" s="48" t="n"/>
      <c r="O2392" s="51">
        <f>IF(AND(B2392="",G2392="",C2392="",D2392="",J2392=""),"",IF(B2392="","⚠ Falta fecha",IF(G2392="","⚠ Falta monto",IF(Q2392="","⚠ Falta cuenta",IF(ISNA(MATCH(Q2392,ctaNombre,0)),"⚠ Cuenta no registrada",IF(AND(OR(P2392="Gasto",P2392="Reembolso"),D2392=""),"⚠ Falta categoría",IF(AND(D2392&lt;&gt;"",E2392&lt;&gt;"",ISNA(MATCH(D2392&amp;"|"&amp;E2392,catClave,0))),"⚠ Subcategoría no corresponde",IF(AND(OR(P2392="Transferencia",P2392="Pago tarjeta"),K2392=""),"⚠ Falta cuenta destino",IF(AND(K2392&lt;&gt;"",P2392&lt;&gt;"Transferencia",P2392&lt;&gt;"Pago tarjeta"),"⚠ Destino solo aplica a transferencias",IF(AND(K2392&lt;&gt;"",K2392=Q2392),"⚠ Origen igual a destino",IF(AND(K2392&lt;&gt;"",ISNA(MATCH(K2392,ctaNombre,0))),"⚠ Destino no registrado",IF(AND(P2392="Pago tarjeta",AE2392&lt;&gt;"Tarjeta de crédito"),"⚠ El destino debe ser tarjeta de crédito",IF(AND(P2392="Gasto",E2392="Depósitos y retiros"),"⚠ Usa tipo Transferencia",IF(AND(P2392="Resultado trading",AD2392&lt;&gt;"Cuenta de trading"),"⚠ Usa una cuenta de trading",IF(AND(G2392&lt;=0,P2392&lt;&gt;"Ajuste",P2392&lt;&gt;"Resultado trading"),"⚠ El monto debe ser positivo","✓")))))))))))))))</f>
        <v/>
      </c>
      <c r="P2392" s="52">
        <f>IF(OR(B2392="",G2392=""),"",IF(C2392="","Gasto",C2392))</f>
        <v/>
      </c>
      <c r="Q2392" s="52">
        <f>IF(P2392="","",IF(J2392&lt;&gt;"",J2392,CuentaPred&amp;""))</f>
        <v/>
      </c>
      <c r="R2392" s="52">
        <f>IF(P2392="","",IF(ISNUMBER(I2392),I2392,TasaUSD))</f>
        <v/>
      </c>
      <c r="S2392" s="53">
        <f>IF(P2392="","",IF(H2392="USD",G2392*R2392,G2392))</f>
        <v/>
      </c>
      <c r="T2392" s="53">
        <f>IF(P2392="","",IF(H2392="USD",G2392,IF(R2392&gt;0,G2392/R2392,0)))</f>
        <v/>
      </c>
      <c r="U2392" s="53">
        <f>IF(P2392="","",IF(P2392="Gasto",S2392,IF(P2392="Reembolso",-S2392,0)))</f>
        <v/>
      </c>
      <c r="V2392" s="53">
        <f>IF(P2392="","",IF(P2392="Ingreso",S2392,0))</f>
        <v/>
      </c>
      <c r="W2392" s="53">
        <f>IF(P2392="","",IF(P2392="Resultado trading",S2392,0))</f>
        <v/>
      </c>
      <c r="X2392" s="52">
        <f>IF(OR(P2392="Gasto",P2392="Reembolso"),IF(M2392&lt;&gt;"",M2392,IFERROR(INDEX(catClasif,MATCH(D2392&amp;"|"&amp;E2392,catClave,0))&amp;"","Variable")),"")</f>
        <v/>
      </c>
      <c r="Y2392" s="52">
        <f>IF(P2392="","",IFERROR(INDEX(catGrupo,MATCH(D2392&amp;"|"&amp;E2392,catClave,0))&amp;"",""))</f>
        <v/>
      </c>
      <c r="Z2392" s="52">
        <f>IF(P2392="","",WEEKDAY(B2392,2))</f>
        <v/>
      </c>
      <c r="AA2392" s="52">
        <f>IF(P2392="","",IF(AND(P2392="Gasto",X2392="Variable",D2392&lt;&gt;catTrading,S2392&gt;0,S2392&lt;=Umbral),1,0))</f>
        <v/>
      </c>
      <c r="AB2392" s="52">
        <f>IF(OR(P2392="",Q2392=""),"",IFERROR(IF(INDEX(ctaVinc,MATCH(Q2392,ctaNombre,0))&amp;""&lt;&gt;"",INDEX(ctaVinc,MATCH(Q2392,ctaNombre,0))&amp;"",Q2392),Q2392))</f>
        <v/>
      </c>
      <c r="AC2392" s="52">
        <f>IF(OR(K2392="",AND(P2392&lt;&gt;"Transferencia",P2392&lt;&gt;"Pago tarjeta")),"",IFERROR(IF(INDEX(ctaVinc,MATCH(K2392,ctaNombre,0))&amp;""&lt;&gt;"",INDEX(ctaVinc,MATCH(K2392,ctaNombre,0))&amp;"",K2392),K2392))</f>
        <v/>
      </c>
      <c r="AD2392" s="52">
        <f>IF(AB2392="","",IFERROR(INDEX(ctaTipo,MATCH(AB2392,ctaNombre,0))&amp;"",""))</f>
        <v/>
      </c>
      <c r="AE2392" s="52">
        <f>IF(AC2392="","",IFERROR(INDEX(ctaTipo,MATCH(AC2392,ctaNombre,0))&amp;"",""))</f>
        <v/>
      </c>
      <c r="AF2392" s="53">
        <f>IF(OR(P2392="",AB2392=""),"",IF(OR(P2392="Gasto",P2392="Transferencia",P2392="Pago tarjeta"),-1,1)*IF(IFERROR(INDEX(ctaMoneda,MATCH(AB2392,ctaNombre,0))&amp;"","DOP")="USD",T2392,S2392))</f>
        <v/>
      </c>
      <c r="AG2392" s="53">
        <f>IF(AC2392="","",IF(IFERROR(INDEX(ctaMoneda,MATCH(AC2392,ctaNombre,0))&amp;"","DOP")="USD",T2392,S2392))</f>
        <v/>
      </c>
      <c r="AH2392" s="53">
        <f>IF(P2392="","",IF(AND(AD2392&lt;&gt;"",COUNTIFS(tcTipo,AD2392,tcLiq,"Sí")&gt;0),IF(OR(P2392="Gasto",P2392="Transferencia",P2392="Pago tarjeta"),-1,1)*S2392,0)+IF(AND(AE2392&lt;&gt;"",COUNTIFS(tcTipo,AE2392,tcLiq,"Sí")&gt;0),S2392,0))</f>
        <v/>
      </c>
      <c r="AI2392" s="52">
        <f>IF(OR(L2392="",P2392=""),"",IF(COUNTIFS(L$6:L2392,L2392,P$6:P2392,"?*")=1,MAX(AI$5:AI2391)+1,""))</f>
        <v/>
      </c>
    </row>
    <row r="2393">
      <c r="B2393" s="47" t="n"/>
      <c r="C2393" s="48" t="n"/>
      <c r="D2393" s="48" t="n"/>
      <c r="E2393" s="48" t="n"/>
      <c r="F2393" s="48" t="n"/>
      <c r="G2393" s="49" t="n"/>
      <c r="H2393" s="48" t="n"/>
      <c r="I2393" s="50" t="n"/>
      <c r="J2393" s="48" t="n"/>
      <c r="K2393" s="48" t="n"/>
      <c r="L2393" s="48" t="n"/>
      <c r="M2393" s="48" t="n"/>
      <c r="N2393" s="48" t="n"/>
      <c r="O2393" s="51">
        <f>IF(AND(B2393="",G2393="",C2393="",D2393="",J2393=""),"",IF(B2393="","⚠ Falta fecha",IF(G2393="","⚠ Falta monto",IF(Q2393="","⚠ Falta cuenta",IF(ISNA(MATCH(Q2393,ctaNombre,0)),"⚠ Cuenta no registrada",IF(AND(OR(P2393="Gasto",P2393="Reembolso"),D2393=""),"⚠ Falta categoría",IF(AND(D2393&lt;&gt;"",E2393&lt;&gt;"",ISNA(MATCH(D2393&amp;"|"&amp;E2393,catClave,0))),"⚠ Subcategoría no corresponde",IF(AND(OR(P2393="Transferencia",P2393="Pago tarjeta"),K2393=""),"⚠ Falta cuenta destino",IF(AND(K2393&lt;&gt;"",P2393&lt;&gt;"Transferencia",P2393&lt;&gt;"Pago tarjeta"),"⚠ Destino solo aplica a transferencias",IF(AND(K2393&lt;&gt;"",K2393=Q2393),"⚠ Origen igual a destino",IF(AND(K2393&lt;&gt;"",ISNA(MATCH(K2393,ctaNombre,0))),"⚠ Destino no registrado",IF(AND(P2393="Pago tarjeta",AE2393&lt;&gt;"Tarjeta de crédito"),"⚠ El destino debe ser tarjeta de crédito",IF(AND(P2393="Gasto",E2393="Depósitos y retiros"),"⚠ Usa tipo Transferencia",IF(AND(P2393="Resultado trading",AD2393&lt;&gt;"Cuenta de trading"),"⚠ Usa una cuenta de trading",IF(AND(G2393&lt;=0,P2393&lt;&gt;"Ajuste",P2393&lt;&gt;"Resultado trading"),"⚠ El monto debe ser positivo","✓")))))))))))))))</f>
        <v/>
      </c>
      <c r="P2393" s="52">
        <f>IF(OR(B2393="",G2393=""),"",IF(C2393="","Gasto",C2393))</f>
        <v/>
      </c>
      <c r="Q2393" s="52">
        <f>IF(P2393="","",IF(J2393&lt;&gt;"",J2393,CuentaPred&amp;""))</f>
        <v/>
      </c>
      <c r="R2393" s="52">
        <f>IF(P2393="","",IF(ISNUMBER(I2393),I2393,TasaUSD))</f>
        <v/>
      </c>
      <c r="S2393" s="53">
        <f>IF(P2393="","",IF(H2393="USD",G2393*R2393,G2393))</f>
        <v/>
      </c>
      <c r="T2393" s="53">
        <f>IF(P2393="","",IF(H2393="USD",G2393,IF(R2393&gt;0,G2393/R2393,0)))</f>
        <v/>
      </c>
      <c r="U2393" s="53">
        <f>IF(P2393="","",IF(P2393="Gasto",S2393,IF(P2393="Reembolso",-S2393,0)))</f>
        <v/>
      </c>
      <c r="V2393" s="53">
        <f>IF(P2393="","",IF(P2393="Ingreso",S2393,0))</f>
        <v/>
      </c>
      <c r="W2393" s="53">
        <f>IF(P2393="","",IF(P2393="Resultado trading",S2393,0))</f>
        <v/>
      </c>
      <c r="X2393" s="52">
        <f>IF(OR(P2393="Gasto",P2393="Reembolso"),IF(M2393&lt;&gt;"",M2393,IFERROR(INDEX(catClasif,MATCH(D2393&amp;"|"&amp;E2393,catClave,0))&amp;"","Variable")),"")</f>
        <v/>
      </c>
      <c r="Y2393" s="52">
        <f>IF(P2393="","",IFERROR(INDEX(catGrupo,MATCH(D2393&amp;"|"&amp;E2393,catClave,0))&amp;"",""))</f>
        <v/>
      </c>
      <c r="Z2393" s="52">
        <f>IF(P2393="","",WEEKDAY(B2393,2))</f>
        <v/>
      </c>
      <c r="AA2393" s="52">
        <f>IF(P2393="","",IF(AND(P2393="Gasto",X2393="Variable",D2393&lt;&gt;catTrading,S2393&gt;0,S2393&lt;=Umbral),1,0))</f>
        <v/>
      </c>
      <c r="AB2393" s="52">
        <f>IF(OR(P2393="",Q2393=""),"",IFERROR(IF(INDEX(ctaVinc,MATCH(Q2393,ctaNombre,0))&amp;""&lt;&gt;"",INDEX(ctaVinc,MATCH(Q2393,ctaNombre,0))&amp;"",Q2393),Q2393))</f>
        <v/>
      </c>
      <c r="AC2393" s="52">
        <f>IF(OR(K2393="",AND(P2393&lt;&gt;"Transferencia",P2393&lt;&gt;"Pago tarjeta")),"",IFERROR(IF(INDEX(ctaVinc,MATCH(K2393,ctaNombre,0))&amp;""&lt;&gt;"",INDEX(ctaVinc,MATCH(K2393,ctaNombre,0))&amp;"",K2393),K2393))</f>
        <v/>
      </c>
      <c r="AD2393" s="52">
        <f>IF(AB2393="","",IFERROR(INDEX(ctaTipo,MATCH(AB2393,ctaNombre,0))&amp;"",""))</f>
        <v/>
      </c>
      <c r="AE2393" s="52">
        <f>IF(AC2393="","",IFERROR(INDEX(ctaTipo,MATCH(AC2393,ctaNombre,0))&amp;"",""))</f>
        <v/>
      </c>
      <c r="AF2393" s="53">
        <f>IF(OR(P2393="",AB2393=""),"",IF(OR(P2393="Gasto",P2393="Transferencia",P2393="Pago tarjeta"),-1,1)*IF(IFERROR(INDEX(ctaMoneda,MATCH(AB2393,ctaNombre,0))&amp;"","DOP")="USD",T2393,S2393))</f>
        <v/>
      </c>
      <c r="AG2393" s="53">
        <f>IF(AC2393="","",IF(IFERROR(INDEX(ctaMoneda,MATCH(AC2393,ctaNombre,0))&amp;"","DOP")="USD",T2393,S2393))</f>
        <v/>
      </c>
      <c r="AH2393" s="53">
        <f>IF(P2393="","",IF(AND(AD2393&lt;&gt;"",COUNTIFS(tcTipo,AD2393,tcLiq,"Sí")&gt;0),IF(OR(P2393="Gasto",P2393="Transferencia",P2393="Pago tarjeta"),-1,1)*S2393,0)+IF(AND(AE2393&lt;&gt;"",COUNTIFS(tcTipo,AE2393,tcLiq,"Sí")&gt;0),S2393,0))</f>
        <v/>
      </c>
      <c r="AI2393" s="52">
        <f>IF(OR(L2393="",P2393=""),"",IF(COUNTIFS(L$6:L2393,L2393,P$6:P2393,"?*")=1,MAX(AI$5:AI2392)+1,""))</f>
        <v/>
      </c>
    </row>
    <row r="2394">
      <c r="B2394" s="47" t="n"/>
      <c r="C2394" s="48" t="n"/>
      <c r="D2394" s="48" t="n"/>
      <c r="E2394" s="48" t="n"/>
      <c r="F2394" s="48" t="n"/>
      <c r="G2394" s="49" t="n"/>
      <c r="H2394" s="48" t="n"/>
      <c r="I2394" s="50" t="n"/>
      <c r="J2394" s="48" t="n"/>
      <c r="K2394" s="48" t="n"/>
      <c r="L2394" s="48" t="n"/>
      <c r="M2394" s="48" t="n"/>
      <c r="N2394" s="48" t="n"/>
      <c r="O2394" s="51">
        <f>IF(AND(B2394="",G2394="",C2394="",D2394="",J2394=""),"",IF(B2394="","⚠ Falta fecha",IF(G2394="","⚠ Falta monto",IF(Q2394="","⚠ Falta cuenta",IF(ISNA(MATCH(Q2394,ctaNombre,0)),"⚠ Cuenta no registrada",IF(AND(OR(P2394="Gasto",P2394="Reembolso"),D2394=""),"⚠ Falta categoría",IF(AND(D2394&lt;&gt;"",E2394&lt;&gt;"",ISNA(MATCH(D2394&amp;"|"&amp;E2394,catClave,0))),"⚠ Subcategoría no corresponde",IF(AND(OR(P2394="Transferencia",P2394="Pago tarjeta"),K2394=""),"⚠ Falta cuenta destino",IF(AND(K2394&lt;&gt;"",P2394&lt;&gt;"Transferencia",P2394&lt;&gt;"Pago tarjeta"),"⚠ Destino solo aplica a transferencias",IF(AND(K2394&lt;&gt;"",K2394=Q2394),"⚠ Origen igual a destino",IF(AND(K2394&lt;&gt;"",ISNA(MATCH(K2394,ctaNombre,0))),"⚠ Destino no registrado",IF(AND(P2394="Pago tarjeta",AE2394&lt;&gt;"Tarjeta de crédito"),"⚠ El destino debe ser tarjeta de crédito",IF(AND(P2394="Gasto",E2394="Depósitos y retiros"),"⚠ Usa tipo Transferencia",IF(AND(P2394="Resultado trading",AD2394&lt;&gt;"Cuenta de trading"),"⚠ Usa una cuenta de trading",IF(AND(G2394&lt;=0,P2394&lt;&gt;"Ajuste",P2394&lt;&gt;"Resultado trading"),"⚠ El monto debe ser positivo","✓")))))))))))))))</f>
        <v/>
      </c>
      <c r="P2394" s="52">
        <f>IF(OR(B2394="",G2394=""),"",IF(C2394="","Gasto",C2394))</f>
        <v/>
      </c>
      <c r="Q2394" s="52">
        <f>IF(P2394="","",IF(J2394&lt;&gt;"",J2394,CuentaPred&amp;""))</f>
        <v/>
      </c>
      <c r="R2394" s="52">
        <f>IF(P2394="","",IF(ISNUMBER(I2394),I2394,TasaUSD))</f>
        <v/>
      </c>
      <c r="S2394" s="53">
        <f>IF(P2394="","",IF(H2394="USD",G2394*R2394,G2394))</f>
        <v/>
      </c>
      <c r="T2394" s="53">
        <f>IF(P2394="","",IF(H2394="USD",G2394,IF(R2394&gt;0,G2394/R2394,0)))</f>
        <v/>
      </c>
      <c r="U2394" s="53">
        <f>IF(P2394="","",IF(P2394="Gasto",S2394,IF(P2394="Reembolso",-S2394,0)))</f>
        <v/>
      </c>
      <c r="V2394" s="53">
        <f>IF(P2394="","",IF(P2394="Ingreso",S2394,0))</f>
        <v/>
      </c>
      <c r="W2394" s="53">
        <f>IF(P2394="","",IF(P2394="Resultado trading",S2394,0))</f>
        <v/>
      </c>
      <c r="X2394" s="52">
        <f>IF(OR(P2394="Gasto",P2394="Reembolso"),IF(M2394&lt;&gt;"",M2394,IFERROR(INDEX(catClasif,MATCH(D2394&amp;"|"&amp;E2394,catClave,0))&amp;"","Variable")),"")</f>
        <v/>
      </c>
      <c r="Y2394" s="52">
        <f>IF(P2394="","",IFERROR(INDEX(catGrupo,MATCH(D2394&amp;"|"&amp;E2394,catClave,0))&amp;"",""))</f>
        <v/>
      </c>
      <c r="Z2394" s="52">
        <f>IF(P2394="","",WEEKDAY(B2394,2))</f>
        <v/>
      </c>
      <c r="AA2394" s="52">
        <f>IF(P2394="","",IF(AND(P2394="Gasto",X2394="Variable",D2394&lt;&gt;catTrading,S2394&gt;0,S2394&lt;=Umbral),1,0))</f>
        <v/>
      </c>
      <c r="AB2394" s="52">
        <f>IF(OR(P2394="",Q2394=""),"",IFERROR(IF(INDEX(ctaVinc,MATCH(Q2394,ctaNombre,0))&amp;""&lt;&gt;"",INDEX(ctaVinc,MATCH(Q2394,ctaNombre,0))&amp;"",Q2394),Q2394))</f>
        <v/>
      </c>
      <c r="AC2394" s="52">
        <f>IF(OR(K2394="",AND(P2394&lt;&gt;"Transferencia",P2394&lt;&gt;"Pago tarjeta")),"",IFERROR(IF(INDEX(ctaVinc,MATCH(K2394,ctaNombre,0))&amp;""&lt;&gt;"",INDEX(ctaVinc,MATCH(K2394,ctaNombre,0))&amp;"",K2394),K2394))</f>
        <v/>
      </c>
      <c r="AD2394" s="52">
        <f>IF(AB2394="","",IFERROR(INDEX(ctaTipo,MATCH(AB2394,ctaNombre,0))&amp;"",""))</f>
        <v/>
      </c>
      <c r="AE2394" s="52">
        <f>IF(AC2394="","",IFERROR(INDEX(ctaTipo,MATCH(AC2394,ctaNombre,0))&amp;"",""))</f>
        <v/>
      </c>
      <c r="AF2394" s="53">
        <f>IF(OR(P2394="",AB2394=""),"",IF(OR(P2394="Gasto",P2394="Transferencia",P2394="Pago tarjeta"),-1,1)*IF(IFERROR(INDEX(ctaMoneda,MATCH(AB2394,ctaNombre,0))&amp;"","DOP")="USD",T2394,S2394))</f>
        <v/>
      </c>
      <c r="AG2394" s="53">
        <f>IF(AC2394="","",IF(IFERROR(INDEX(ctaMoneda,MATCH(AC2394,ctaNombre,0))&amp;"","DOP")="USD",T2394,S2394))</f>
        <v/>
      </c>
      <c r="AH2394" s="53">
        <f>IF(P2394="","",IF(AND(AD2394&lt;&gt;"",COUNTIFS(tcTipo,AD2394,tcLiq,"Sí")&gt;0),IF(OR(P2394="Gasto",P2394="Transferencia",P2394="Pago tarjeta"),-1,1)*S2394,0)+IF(AND(AE2394&lt;&gt;"",COUNTIFS(tcTipo,AE2394,tcLiq,"Sí")&gt;0),S2394,0))</f>
        <v/>
      </c>
      <c r="AI2394" s="52">
        <f>IF(OR(L2394="",P2394=""),"",IF(COUNTIFS(L$6:L2394,L2394,P$6:P2394,"?*")=1,MAX(AI$5:AI2393)+1,""))</f>
        <v/>
      </c>
    </row>
    <row r="2395">
      <c r="B2395" s="47" t="n"/>
      <c r="C2395" s="48" t="n"/>
      <c r="D2395" s="48" t="n"/>
      <c r="E2395" s="48" t="n"/>
      <c r="F2395" s="48" t="n"/>
      <c r="G2395" s="49" t="n"/>
      <c r="H2395" s="48" t="n"/>
      <c r="I2395" s="50" t="n"/>
      <c r="J2395" s="48" t="n"/>
      <c r="K2395" s="48" t="n"/>
      <c r="L2395" s="48" t="n"/>
      <c r="M2395" s="48" t="n"/>
      <c r="N2395" s="48" t="n"/>
      <c r="O2395" s="51">
        <f>IF(AND(B2395="",G2395="",C2395="",D2395="",J2395=""),"",IF(B2395="","⚠ Falta fecha",IF(G2395="","⚠ Falta monto",IF(Q2395="","⚠ Falta cuenta",IF(ISNA(MATCH(Q2395,ctaNombre,0)),"⚠ Cuenta no registrada",IF(AND(OR(P2395="Gasto",P2395="Reembolso"),D2395=""),"⚠ Falta categoría",IF(AND(D2395&lt;&gt;"",E2395&lt;&gt;"",ISNA(MATCH(D2395&amp;"|"&amp;E2395,catClave,0))),"⚠ Subcategoría no corresponde",IF(AND(OR(P2395="Transferencia",P2395="Pago tarjeta"),K2395=""),"⚠ Falta cuenta destino",IF(AND(K2395&lt;&gt;"",P2395&lt;&gt;"Transferencia",P2395&lt;&gt;"Pago tarjeta"),"⚠ Destino solo aplica a transferencias",IF(AND(K2395&lt;&gt;"",K2395=Q2395),"⚠ Origen igual a destino",IF(AND(K2395&lt;&gt;"",ISNA(MATCH(K2395,ctaNombre,0))),"⚠ Destino no registrado",IF(AND(P2395="Pago tarjeta",AE2395&lt;&gt;"Tarjeta de crédito"),"⚠ El destino debe ser tarjeta de crédito",IF(AND(P2395="Gasto",E2395="Depósitos y retiros"),"⚠ Usa tipo Transferencia",IF(AND(P2395="Resultado trading",AD2395&lt;&gt;"Cuenta de trading"),"⚠ Usa una cuenta de trading",IF(AND(G2395&lt;=0,P2395&lt;&gt;"Ajuste",P2395&lt;&gt;"Resultado trading"),"⚠ El monto debe ser positivo","✓")))))))))))))))</f>
        <v/>
      </c>
      <c r="P2395" s="52">
        <f>IF(OR(B2395="",G2395=""),"",IF(C2395="","Gasto",C2395))</f>
        <v/>
      </c>
      <c r="Q2395" s="52">
        <f>IF(P2395="","",IF(J2395&lt;&gt;"",J2395,CuentaPred&amp;""))</f>
        <v/>
      </c>
      <c r="R2395" s="52">
        <f>IF(P2395="","",IF(ISNUMBER(I2395),I2395,TasaUSD))</f>
        <v/>
      </c>
      <c r="S2395" s="53">
        <f>IF(P2395="","",IF(H2395="USD",G2395*R2395,G2395))</f>
        <v/>
      </c>
      <c r="T2395" s="53">
        <f>IF(P2395="","",IF(H2395="USD",G2395,IF(R2395&gt;0,G2395/R2395,0)))</f>
        <v/>
      </c>
      <c r="U2395" s="53">
        <f>IF(P2395="","",IF(P2395="Gasto",S2395,IF(P2395="Reembolso",-S2395,0)))</f>
        <v/>
      </c>
      <c r="V2395" s="53">
        <f>IF(P2395="","",IF(P2395="Ingreso",S2395,0))</f>
        <v/>
      </c>
      <c r="W2395" s="53">
        <f>IF(P2395="","",IF(P2395="Resultado trading",S2395,0))</f>
        <v/>
      </c>
      <c r="X2395" s="52">
        <f>IF(OR(P2395="Gasto",P2395="Reembolso"),IF(M2395&lt;&gt;"",M2395,IFERROR(INDEX(catClasif,MATCH(D2395&amp;"|"&amp;E2395,catClave,0))&amp;"","Variable")),"")</f>
        <v/>
      </c>
      <c r="Y2395" s="52">
        <f>IF(P2395="","",IFERROR(INDEX(catGrupo,MATCH(D2395&amp;"|"&amp;E2395,catClave,0))&amp;"",""))</f>
        <v/>
      </c>
      <c r="Z2395" s="52">
        <f>IF(P2395="","",WEEKDAY(B2395,2))</f>
        <v/>
      </c>
      <c r="AA2395" s="52">
        <f>IF(P2395="","",IF(AND(P2395="Gasto",X2395="Variable",D2395&lt;&gt;catTrading,S2395&gt;0,S2395&lt;=Umbral),1,0))</f>
        <v/>
      </c>
      <c r="AB2395" s="52">
        <f>IF(OR(P2395="",Q2395=""),"",IFERROR(IF(INDEX(ctaVinc,MATCH(Q2395,ctaNombre,0))&amp;""&lt;&gt;"",INDEX(ctaVinc,MATCH(Q2395,ctaNombre,0))&amp;"",Q2395),Q2395))</f>
        <v/>
      </c>
      <c r="AC2395" s="52">
        <f>IF(OR(K2395="",AND(P2395&lt;&gt;"Transferencia",P2395&lt;&gt;"Pago tarjeta")),"",IFERROR(IF(INDEX(ctaVinc,MATCH(K2395,ctaNombre,0))&amp;""&lt;&gt;"",INDEX(ctaVinc,MATCH(K2395,ctaNombre,0))&amp;"",K2395),K2395))</f>
        <v/>
      </c>
      <c r="AD2395" s="52">
        <f>IF(AB2395="","",IFERROR(INDEX(ctaTipo,MATCH(AB2395,ctaNombre,0))&amp;"",""))</f>
        <v/>
      </c>
      <c r="AE2395" s="52">
        <f>IF(AC2395="","",IFERROR(INDEX(ctaTipo,MATCH(AC2395,ctaNombre,0))&amp;"",""))</f>
        <v/>
      </c>
      <c r="AF2395" s="53">
        <f>IF(OR(P2395="",AB2395=""),"",IF(OR(P2395="Gasto",P2395="Transferencia",P2395="Pago tarjeta"),-1,1)*IF(IFERROR(INDEX(ctaMoneda,MATCH(AB2395,ctaNombre,0))&amp;"","DOP")="USD",T2395,S2395))</f>
        <v/>
      </c>
      <c r="AG2395" s="53">
        <f>IF(AC2395="","",IF(IFERROR(INDEX(ctaMoneda,MATCH(AC2395,ctaNombre,0))&amp;"","DOP")="USD",T2395,S2395))</f>
        <v/>
      </c>
      <c r="AH2395" s="53">
        <f>IF(P2395="","",IF(AND(AD2395&lt;&gt;"",COUNTIFS(tcTipo,AD2395,tcLiq,"Sí")&gt;0),IF(OR(P2395="Gasto",P2395="Transferencia",P2395="Pago tarjeta"),-1,1)*S2395,0)+IF(AND(AE2395&lt;&gt;"",COUNTIFS(tcTipo,AE2395,tcLiq,"Sí")&gt;0),S2395,0))</f>
        <v/>
      </c>
      <c r="AI2395" s="52">
        <f>IF(OR(L2395="",P2395=""),"",IF(COUNTIFS(L$6:L2395,L2395,P$6:P2395,"?*")=1,MAX(AI$5:AI2394)+1,""))</f>
        <v/>
      </c>
    </row>
    <row r="2396">
      <c r="B2396" s="47" t="n"/>
      <c r="C2396" s="48" t="n"/>
      <c r="D2396" s="48" t="n"/>
      <c r="E2396" s="48" t="n"/>
      <c r="F2396" s="48" t="n"/>
      <c r="G2396" s="49" t="n"/>
      <c r="H2396" s="48" t="n"/>
      <c r="I2396" s="50" t="n"/>
      <c r="J2396" s="48" t="n"/>
      <c r="K2396" s="48" t="n"/>
      <c r="L2396" s="48" t="n"/>
      <c r="M2396" s="48" t="n"/>
      <c r="N2396" s="48" t="n"/>
      <c r="O2396" s="51">
        <f>IF(AND(B2396="",G2396="",C2396="",D2396="",J2396=""),"",IF(B2396="","⚠ Falta fecha",IF(G2396="","⚠ Falta monto",IF(Q2396="","⚠ Falta cuenta",IF(ISNA(MATCH(Q2396,ctaNombre,0)),"⚠ Cuenta no registrada",IF(AND(OR(P2396="Gasto",P2396="Reembolso"),D2396=""),"⚠ Falta categoría",IF(AND(D2396&lt;&gt;"",E2396&lt;&gt;"",ISNA(MATCH(D2396&amp;"|"&amp;E2396,catClave,0))),"⚠ Subcategoría no corresponde",IF(AND(OR(P2396="Transferencia",P2396="Pago tarjeta"),K2396=""),"⚠ Falta cuenta destino",IF(AND(K2396&lt;&gt;"",P2396&lt;&gt;"Transferencia",P2396&lt;&gt;"Pago tarjeta"),"⚠ Destino solo aplica a transferencias",IF(AND(K2396&lt;&gt;"",K2396=Q2396),"⚠ Origen igual a destino",IF(AND(K2396&lt;&gt;"",ISNA(MATCH(K2396,ctaNombre,0))),"⚠ Destino no registrado",IF(AND(P2396="Pago tarjeta",AE2396&lt;&gt;"Tarjeta de crédito"),"⚠ El destino debe ser tarjeta de crédito",IF(AND(P2396="Gasto",E2396="Depósitos y retiros"),"⚠ Usa tipo Transferencia",IF(AND(P2396="Resultado trading",AD2396&lt;&gt;"Cuenta de trading"),"⚠ Usa una cuenta de trading",IF(AND(G2396&lt;=0,P2396&lt;&gt;"Ajuste",P2396&lt;&gt;"Resultado trading"),"⚠ El monto debe ser positivo","✓")))))))))))))))</f>
        <v/>
      </c>
      <c r="P2396" s="52">
        <f>IF(OR(B2396="",G2396=""),"",IF(C2396="","Gasto",C2396))</f>
        <v/>
      </c>
      <c r="Q2396" s="52">
        <f>IF(P2396="","",IF(J2396&lt;&gt;"",J2396,CuentaPred&amp;""))</f>
        <v/>
      </c>
      <c r="R2396" s="52">
        <f>IF(P2396="","",IF(ISNUMBER(I2396),I2396,TasaUSD))</f>
        <v/>
      </c>
      <c r="S2396" s="53">
        <f>IF(P2396="","",IF(H2396="USD",G2396*R2396,G2396))</f>
        <v/>
      </c>
      <c r="T2396" s="53">
        <f>IF(P2396="","",IF(H2396="USD",G2396,IF(R2396&gt;0,G2396/R2396,0)))</f>
        <v/>
      </c>
      <c r="U2396" s="53">
        <f>IF(P2396="","",IF(P2396="Gasto",S2396,IF(P2396="Reembolso",-S2396,0)))</f>
        <v/>
      </c>
      <c r="V2396" s="53">
        <f>IF(P2396="","",IF(P2396="Ingreso",S2396,0))</f>
        <v/>
      </c>
      <c r="W2396" s="53">
        <f>IF(P2396="","",IF(P2396="Resultado trading",S2396,0))</f>
        <v/>
      </c>
      <c r="X2396" s="52">
        <f>IF(OR(P2396="Gasto",P2396="Reembolso"),IF(M2396&lt;&gt;"",M2396,IFERROR(INDEX(catClasif,MATCH(D2396&amp;"|"&amp;E2396,catClave,0))&amp;"","Variable")),"")</f>
        <v/>
      </c>
      <c r="Y2396" s="52">
        <f>IF(P2396="","",IFERROR(INDEX(catGrupo,MATCH(D2396&amp;"|"&amp;E2396,catClave,0))&amp;"",""))</f>
        <v/>
      </c>
      <c r="Z2396" s="52">
        <f>IF(P2396="","",WEEKDAY(B2396,2))</f>
        <v/>
      </c>
      <c r="AA2396" s="52">
        <f>IF(P2396="","",IF(AND(P2396="Gasto",X2396="Variable",D2396&lt;&gt;catTrading,S2396&gt;0,S2396&lt;=Umbral),1,0))</f>
        <v/>
      </c>
      <c r="AB2396" s="52">
        <f>IF(OR(P2396="",Q2396=""),"",IFERROR(IF(INDEX(ctaVinc,MATCH(Q2396,ctaNombre,0))&amp;""&lt;&gt;"",INDEX(ctaVinc,MATCH(Q2396,ctaNombre,0))&amp;"",Q2396),Q2396))</f>
        <v/>
      </c>
      <c r="AC2396" s="52">
        <f>IF(OR(K2396="",AND(P2396&lt;&gt;"Transferencia",P2396&lt;&gt;"Pago tarjeta")),"",IFERROR(IF(INDEX(ctaVinc,MATCH(K2396,ctaNombre,0))&amp;""&lt;&gt;"",INDEX(ctaVinc,MATCH(K2396,ctaNombre,0))&amp;"",K2396),K2396))</f>
        <v/>
      </c>
      <c r="AD2396" s="52">
        <f>IF(AB2396="","",IFERROR(INDEX(ctaTipo,MATCH(AB2396,ctaNombre,0))&amp;"",""))</f>
        <v/>
      </c>
      <c r="AE2396" s="52">
        <f>IF(AC2396="","",IFERROR(INDEX(ctaTipo,MATCH(AC2396,ctaNombre,0))&amp;"",""))</f>
        <v/>
      </c>
      <c r="AF2396" s="53">
        <f>IF(OR(P2396="",AB2396=""),"",IF(OR(P2396="Gasto",P2396="Transferencia",P2396="Pago tarjeta"),-1,1)*IF(IFERROR(INDEX(ctaMoneda,MATCH(AB2396,ctaNombre,0))&amp;"","DOP")="USD",T2396,S2396))</f>
        <v/>
      </c>
      <c r="AG2396" s="53">
        <f>IF(AC2396="","",IF(IFERROR(INDEX(ctaMoneda,MATCH(AC2396,ctaNombre,0))&amp;"","DOP")="USD",T2396,S2396))</f>
        <v/>
      </c>
      <c r="AH2396" s="53">
        <f>IF(P2396="","",IF(AND(AD2396&lt;&gt;"",COUNTIFS(tcTipo,AD2396,tcLiq,"Sí")&gt;0),IF(OR(P2396="Gasto",P2396="Transferencia",P2396="Pago tarjeta"),-1,1)*S2396,0)+IF(AND(AE2396&lt;&gt;"",COUNTIFS(tcTipo,AE2396,tcLiq,"Sí")&gt;0),S2396,0))</f>
        <v/>
      </c>
      <c r="AI2396" s="52">
        <f>IF(OR(L2396="",P2396=""),"",IF(COUNTIFS(L$6:L2396,L2396,P$6:P2396,"?*")=1,MAX(AI$5:AI2395)+1,""))</f>
        <v/>
      </c>
    </row>
    <row r="2397">
      <c r="B2397" s="47" t="n"/>
      <c r="C2397" s="48" t="n"/>
      <c r="D2397" s="48" t="n"/>
      <c r="E2397" s="48" t="n"/>
      <c r="F2397" s="48" t="n"/>
      <c r="G2397" s="49" t="n"/>
      <c r="H2397" s="48" t="n"/>
      <c r="I2397" s="50" t="n"/>
      <c r="J2397" s="48" t="n"/>
      <c r="K2397" s="48" t="n"/>
      <c r="L2397" s="48" t="n"/>
      <c r="M2397" s="48" t="n"/>
      <c r="N2397" s="48" t="n"/>
      <c r="O2397" s="51">
        <f>IF(AND(B2397="",G2397="",C2397="",D2397="",J2397=""),"",IF(B2397="","⚠ Falta fecha",IF(G2397="","⚠ Falta monto",IF(Q2397="","⚠ Falta cuenta",IF(ISNA(MATCH(Q2397,ctaNombre,0)),"⚠ Cuenta no registrada",IF(AND(OR(P2397="Gasto",P2397="Reembolso"),D2397=""),"⚠ Falta categoría",IF(AND(D2397&lt;&gt;"",E2397&lt;&gt;"",ISNA(MATCH(D2397&amp;"|"&amp;E2397,catClave,0))),"⚠ Subcategoría no corresponde",IF(AND(OR(P2397="Transferencia",P2397="Pago tarjeta"),K2397=""),"⚠ Falta cuenta destino",IF(AND(K2397&lt;&gt;"",P2397&lt;&gt;"Transferencia",P2397&lt;&gt;"Pago tarjeta"),"⚠ Destino solo aplica a transferencias",IF(AND(K2397&lt;&gt;"",K2397=Q2397),"⚠ Origen igual a destino",IF(AND(K2397&lt;&gt;"",ISNA(MATCH(K2397,ctaNombre,0))),"⚠ Destino no registrado",IF(AND(P2397="Pago tarjeta",AE2397&lt;&gt;"Tarjeta de crédito"),"⚠ El destino debe ser tarjeta de crédito",IF(AND(P2397="Gasto",E2397="Depósitos y retiros"),"⚠ Usa tipo Transferencia",IF(AND(P2397="Resultado trading",AD2397&lt;&gt;"Cuenta de trading"),"⚠ Usa una cuenta de trading",IF(AND(G2397&lt;=0,P2397&lt;&gt;"Ajuste",P2397&lt;&gt;"Resultado trading"),"⚠ El monto debe ser positivo","✓")))))))))))))))</f>
        <v/>
      </c>
      <c r="P2397" s="52">
        <f>IF(OR(B2397="",G2397=""),"",IF(C2397="","Gasto",C2397))</f>
        <v/>
      </c>
      <c r="Q2397" s="52">
        <f>IF(P2397="","",IF(J2397&lt;&gt;"",J2397,CuentaPred&amp;""))</f>
        <v/>
      </c>
      <c r="R2397" s="52">
        <f>IF(P2397="","",IF(ISNUMBER(I2397),I2397,TasaUSD))</f>
        <v/>
      </c>
      <c r="S2397" s="53">
        <f>IF(P2397="","",IF(H2397="USD",G2397*R2397,G2397))</f>
        <v/>
      </c>
      <c r="T2397" s="53">
        <f>IF(P2397="","",IF(H2397="USD",G2397,IF(R2397&gt;0,G2397/R2397,0)))</f>
        <v/>
      </c>
      <c r="U2397" s="53">
        <f>IF(P2397="","",IF(P2397="Gasto",S2397,IF(P2397="Reembolso",-S2397,0)))</f>
        <v/>
      </c>
      <c r="V2397" s="53">
        <f>IF(P2397="","",IF(P2397="Ingreso",S2397,0))</f>
        <v/>
      </c>
      <c r="W2397" s="53">
        <f>IF(P2397="","",IF(P2397="Resultado trading",S2397,0))</f>
        <v/>
      </c>
      <c r="X2397" s="52">
        <f>IF(OR(P2397="Gasto",P2397="Reembolso"),IF(M2397&lt;&gt;"",M2397,IFERROR(INDEX(catClasif,MATCH(D2397&amp;"|"&amp;E2397,catClave,0))&amp;"","Variable")),"")</f>
        <v/>
      </c>
      <c r="Y2397" s="52">
        <f>IF(P2397="","",IFERROR(INDEX(catGrupo,MATCH(D2397&amp;"|"&amp;E2397,catClave,0))&amp;"",""))</f>
        <v/>
      </c>
      <c r="Z2397" s="52">
        <f>IF(P2397="","",WEEKDAY(B2397,2))</f>
        <v/>
      </c>
      <c r="AA2397" s="52">
        <f>IF(P2397="","",IF(AND(P2397="Gasto",X2397="Variable",D2397&lt;&gt;catTrading,S2397&gt;0,S2397&lt;=Umbral),1,0))</f>
        <v/>
      </c>
      <c r="AB2397" s="52">
        <f>IF(OR(P2397="",Q2397=""),"",IFERROR(IF(INDEX(ctaVinc,MATCH(Q2397,ctaNombre,0))&amp;""&lt;&gt;"",INDEX(ctaVinc,MATCH(Q2397,ctaNombre,0))&amp;"",Q2397),Q2397))</f>
        <v/>
      </c>
      <c r="AC2397" s="52">
        <f>IF(OR(K2397="",AND(P2397&lt;&gt;"Transferencia",P2397&lt;&gt;"Pago tarjeta")),"",IFERROR(IF(INDEX(ctaVinc,MATCH(K2397,ctaNombre,0))&amp;""&lt;&gt;"",INDEX(ctaVinc,MATCH(K2397,ctaNombre,0))&amp;"",K2397),K2397))</f>
        <v/>
      </c>
      <c r="AD2397" s="52">
        <f>IF(AB2397="","",IFERROR(INDEX(ctaTipo,MATCH(AB2397,ctaNombre,0))&amp;"",""))</f>
        <v/>
      </c>
      <c r="AE2397" s="52">
        <f>IF(AC2397="","",IFERROR(INDEX(ctaTipo,MATCH(AC2397,ctaNombre,0))&amp;"",""))</f>
        <v/>
      </c>
      <c r="AF2397" s="53">
        <f>IF(OR(P2397="",AB2397=""),"",IF(OR(P2397="Gasto",P2397="Transferencia",P2397="Pago tarjeta"),-1,1)*IF(IFERROR(INDEX(ctaMoneda,MATCH(AB2397,ctaNombre,0))&amp;"","DOP")="USD",T2397,S2397))</f>
        <v/>
      </c>
      <c r="AG2397" s="53">
        <f>IF(AC2397="","",IF(IFERROR(INDEX(ctaMoneda,MATCH(AC2397,ctaNombre,0))&amp;"","DOP")="USD",T2397,S2397))</f>
        <v/>
      </c>
      <c r="AH2397" s="53">
        <f>IF(P2397="","",IF(AND(AD2397&lt;&gt;"",COUNTIFS(tcTipo,AD2397,tcLiq,"Sí")&gt;0),IF(OR(P2397="Gasto",P2397="Transferencia",P2397="Pago tarjeta"),-1,1)*S2397,0)+IF(AND(AE2397&lt;&gt;"",COUNTIFS(tcTipo,AE2397,tcLiq,"Sí")&gt;0),S2397,0))</f>
        <v/>
      </c>
      <c r="AI2397" s="52">
        <f>IF(OR(L2397="",P2397=""),"",IF(COUNTIFS(L$6:L2397,L2397,P$6:P2397,"?*")=1,MAX(AI$5:AI2396)+1,""))</f>
        <v/>
      </c>
    </row>
    <row r="2398">
      <c r="B2398" s="47" t="n"/>
      <c r="C2398" s="48" t="n"/>
      <c r="D2398" s="48" t="n"/>
      <c r="E2398" s="48" t="n"/>
      <c r="F2398" s="48" t="n"/>
      <c r="G2398" s="49" t="n"/>
      <c r="H2398" s="48" t="n"/>
      <c r="I2398" s="50" t="n"/>
      <c r="J2398" s="48" t="n"/>
      <c r="K2398" s="48" t="n"/>
      <c r="L2398" s="48" t="n"/>
      <c r="M2398" s="48" t="n"/>
      <c r="N2398" s="48" t="n"/>
      <c r="O2398" s="51">
        <f>IF(AND(B2398="",G2398="",C2398="",D2398="",J2398=""),"",IF(B2398="","⚠ Falta fecha",IF(G2398="","⚠ Falta monto",IF(Q2398="","⚠ Falta cuenta",IF(ISNA(MATCH(Q2398,ctaNombre,0)),"⚠ Cuenta no registrada",IF(AND(OR(P2398="Gasto",P2398="Reembolso"),D2398=""),"⚠ Falta categoría",IF(AND(D2398&lt;&gt;"",E2398&lt;&gt;"",ISNA(MATCH(D2398&amp;"|"&amp;E2398,catClave,0))),"⚠ Subcategoría no corresponde",IF(AND(OR(P2398="Transferencia",P2398="Pago tarjeta"),K2398=""),"⚠ Falta cuenta destino",IF(AND(K2398&lt;&gt;"",P2398&lt;&gt;"Transferencia",P2398&lt;&gt;"Pago tarjeta"),"⚠ Destino solo aplica a transferencias",IF(AND(K2398&lt;&gt;"",K2398=Q2398),"⚠ Origen igual a destino",IF(AND(K2398&lt;&gt;"",ISNA(MATCH(K2398,ctaNombre,0))),"⚠ Destino no registrado",IF(AND(P2398="Pago tarjeta",AE2398&lt;&gt;"Tarjeta de crédito"),"⚠ El destino debe ser tarjeta de crédito",IF(AND(P2398="Gasto",E2398="Depósitos y retiros"),"⚠ Usa tipo Transferencia",IF(AND(P2398="Resultado trading",AD2398&lt;&gt;"Cuenta de trading"),"⚠ Usa una cuenta de trading",IF(AND(G2398&lt;=0,P2398&lt;&gt;"Ajuste",P2398&lt;&gt;"Resultado trading"),"⚠ El monto debe ser positivo","✓")))))))))))))))</f>
        <v/>
      </c>
      <c r="P2398" s="52">
        <f>IF(OR(B2398="",G2398=""),"",IF(C2398="","Gasto",C2398))</f>
        <v/>
      </c>
      <c r="Q2398" s="52">
        <f>IF(P2398="","",IF(J2398&lt;&gt;"",J2398,CuentaPred&amp;""))</f>
        <v/>
      </c>
      <c r="R2398" s="52">
        <f>IF(P2398="","",IF(ISNUMBER(I2398),I2398,TasaUSD))</f>
        <v/>
      </c>
      <c r="S2398" s="53">
        <f>IF(P2398="","",IF(H2398="USD",G2398*R2398,G2398))</f>
        <v/>
      </c>
      <c r="T2398" s="53">
        <f>IF(P2398="","",IF(H2398="USD",G2398,IF(R2398&gt;0,G2398/R2398,0)))</f>
        <v/>
      </c>
      <c r="U2398" s="53">
        <f>IF(P2398="","",IF(P2398="Gasto",S2398,IF(P2398="Reembolso",-S2398,0)))</f>
        <v/>
      </c>
      <c r="V2398" s="53">
        <f>IF(P2398="","",IF(P2398="Ingreso",S2398,0))</f>
        <v/>
      </c>
      <c r="W2398" s="53">
        <f>IF(P2398="","",IF(P2398="Resultado trading",S2398,0))</f>
        <v/>
      </c>
      <c r="X2398" s="52">
        <f>IF(OR(P2398="Gasto",P2398="Reembolso"),IF(M2398&lt;&gt;"",M2398,IFERROR(INDEX(catClasif,MATCH(D2398&amp;"|"&amp;E2398,catClave,0))&amp;"","Variable")),"")</f>
        <v/>
      </c>
      <c r="Y2398" s="52">
        <f>IF(P2398="","",IFERROR(INDEX(catGrupo,MATCH(D2398&amp;"|"&amp;E2398,catClave,0))&amp;"",""))</f>
        <v/>
      </c>
      <c r="Z2398" s="52">
        <f>IF(P2398="","",WEEKDAY(B2398,2))</f>
        <v/>
      </c>
      <c r="AA2398" s="52">
        <f>IF(P2398="","",IF(AND(P2398="Gasto",X2398="Variable",D2398&lt;&gt;catTrading,S2398&gt;0,S2398&lt;=Umbral),1,0))</f>
        <v/>
      </c>
      <c r="AB2398" s="52">
        <f>IF(OR(P2398="",Q2398=""),"",IFERROR(IF(INDEX(ctaVinc,MATCH(Q2398,ctaNombre,0))&amp;""&lt;&gt;"",INDEX(ctaVinc,MATCH(Q2398,ctaNombre,0))&amp;"",Q2398),Q2398))</f>
        <v/>
      </c>
      <c r="AC2398" s="52">
        <f>IF(OR(K2398="",AND(P2398&lt;&gt;"Transferencia",P2398&lt;&gt;"Pago tarjeta")),"",IFERROR(IF(INDEX(ctaVinc,MATCH(K2398,ctaNombre,0))&amp;""&lt;&gt;"",INDEX(ctaVinc,MATCH(K2398,ctaNombre,0))&amp;"",K2398),K2398))</f>
        <v/>
      </c>
      <c r="AD2398" s="52">
        <f>IF(AB2398="","",IFERROR(INDEX(ctaTipo,MATCH(AB2398,ctaNombre,0))&amp;"",""))</f>
        <v/>
      </c>
      <c r="AE2398" s="52">
        <f>IF(AC2398="","",IFERROR(INDEX(ctaTipo,MATCH(AC2398,ctaNombre,0))&amp;"",""))</f>
        <v/>
      </c>
      <c r="AF2398" s="53">
        <f>IF(OR(P2398="",AB2398=""),"",IF(OR(P2398="Gasto",P2398="Transferencia",P2398="Pago tarjeta"),-1,1)*IF(IFERROR(INDEX(ctaMoneda,MATCH(AB2398,ctaNombre,0))&amp;"","DOP")="USD",T2398,S2398))</f>
        <v/>
      </c>
      <c r="AG2398" s="53">
        <f>IF(AC2398="","",IF(IFERROR(INDEX(ctaMoneda,MATCH(AC2398,ctaNombre,0))&amp;"","DOP")="USD",T2398,S2398))</f>
        <v/>
      </c>
      <c r="AH2398" s="53">
        <f>IF(P2398="","",IF(AND(AD2398&lt;&gt;"",COUNTIFS(tcTipo,AD2398,tcLiq,"Sí")&gt;0),IF(OR(P2398="Gasto",P2398="Transferencia",P2398="Pago tarjeta"),-1,1)*S2398,0)+IF(AND(AE2398&lt;&gt;"",COUNTIFS(tcTipo,AE2398,tcLiq,"Sí")&gt;0),S2398,0))</f>
        <v/>
      </c>
      <c r="AI2398" s="52">
        <f>IF(OR(L2398="",P2398=""),"",IF(COUNTIFS(L$6:L2398,L2398,P$6:P2398,"?*")=1,MAX(AI$5:AI2397)+1,""))</f>
        <v/>
      </c>
    </row>
    <row r="2399">
      <c r="B2399" s="47" t="n"/>
      <c r="C2399" s="48" t="n"/>
      <c r="D2399" s="48" t="n"/>
      <c r="E2399" s="48" t="n"/>
      <c r="F2399" s="48" t="n"/>
      <c r="G2399" s="49" t="n"/>
      <c r="H2399" s="48" t="n"/>
      <c r="I2399" s="50" t="n"/>
      <c r="J2399" s="48" t="n"/>
      <c r="K2399" s="48" t="n"/>
      <c r="L2399" s="48" t="n"/>
      <c r="M2399" s="48" t="n"/>
      <c r="N2399" s="48" t="n"/>
      <c r="O2399" s="51">
        <f>IF(AND(B2399="",G2399="",C2399="",D2399="",J2399=""),"",IF(B2399="","⚠ Falta fecha",IF(G2399="","⚠ Falta monto",IF(Q2399="","⚠ Falta cuenta",IF(ISNA(MATCH(Q2399,ctaNombre,0)),"⚠ Cuenta no registrada",IF(AND(OR(P2399="Gasto",P2399="Reembolso"),D2399=""),"⚠ Falta categoría",IF(AND(D2399&lt;&gt;"",E2399&lt;&gt;"",ISNA(MATCH(D2399&amp;"|"&amp;E2399,catClave,0))),"⚠ Subcategoría no corresponde",IF(AND(OR(P2399="Transferencia",P2399="Pago tarjeta"),K2399=""),"⚠ Falta cuenta destino",IF(AND(K2399&lt;&gt;"",P2399&lt;&gt;"Transferencia",P2399&lt;&gt;"Pago tarjeta"),"⚠ Destino solo aplica a transferencias",IF(AND(K2399&lt;&gt;"",K2399=Q2399),"⚠ Origen igual a destino",IF(AND(K2399&lt;&gt;"",ISNA(MATCH(K2399,ctaNombre,0))),"⚠ Destino no registrado",IF(AND(P2399="Pago tarjeta",AE2399&lt;&gt;"Tarjeta de crédito"),"⚠ El destino debe ser tarjeta de crédito",IF(AND(P2399="Gasto",E2399="Depósitos y retiros"),"⚠ Usa tipo Transferencia",IF(AND(P2399="Resultado trading",AD2399&lt;&gt;"Cuenta de trading"),"⚠ Usa una cuenta de trading",IF(AND(G2399&lt;=0,P2399&lt;&gt;"Ajuste",P2399&lt;&gt;"Resultado trading"),"⚠ El monto debe ser positivo","✓")))))))))))))))</f>
        <v/>
      </c>
      <c r="P2399" s="52">
        <f>IF(OR(B2399="",G2399=""),"",IF(C2399="","Gasto",C2399))</f>
        <v/>
      </c>
      <c r="Q2399" s="52">
        <f>IF(P2399="","",IF(J2399&lt;&gt;"",J2399,CuentaPred&amp;""))</f>
        <v/>
      </c>
      <c r="R2399" s="52">
        <f>IF(P2399="","",IF(ISNUMBER(I2399),I2399,TasaUSD))</f>
        <v/>
      </c>
      <c r="S2399" s="53">
        <f>IF(P2399="","",IF(H2399="USD",G2399*R2399,G2399))</f>
        <v/>
      </c>
      <c r="T2399" s="53">
        <f>IF(P2399="","",IF(H2399="USD",G2399,IF(R2399&gt;0,G2399/R2399,0)))</f>
        <v/>
      </c>
      <c r="U2399" s="53">
        <f>IF(P2399="","",IF(P2399="Gasto",S2399,IF(P2399="Reembolso",-S2399,0)))</f>
        <v/>
      </c>
      <c r="V2399" s="53">
        <f>IF(P2399="","",IF(P2399="Ingreso",S2399,0))</f>
        <v/>
      </c>
      <c r="W2399" s="53">
        <f>IF(P2399="","",IF(P2399="Resultado trading",S2399,0))</f>
        <v/>
      </c>
      <c r="X2399" s="52">
        <f>IF(OR(P2399="Gasto",P2399="Reembolso"),IF(M2399&lt;&gt;"",M2399,IFERROR(INDEX(catClasif,MATCH(D2399&amp;"|"&amp;E2399,catClave,0))&amp;"","Variable")),"")</f>
        <v/>
      </c>
      <c r="Y2399" s="52">
        <f>IF(P2399="","",IFERROR(INDEX(catGrupo,MATCH(D2399&amp;"|"&amp;E2399,catClave,0))&amp;"",""))</f>
        <v/>
      </c>
      <c r="Z2399" s="52">
        <f>IF(P2399="","",WEEKDAY(B2399,2))</f>
        <v/>
      </c>
      <c r="AA2399" s="52">
        <f>IF(P2399="","",IF(AND(P2399="Gasto",X2399="Variable",D2399&lt;&gt;catTrading,S2399&gt;0,S2399&lt;=Umbral),1,0))</f>
        <v/>
      </c>
      <c r="AB2399" s="52">
        <f>IF(OR(P2399="",Q2399=""),"",IFERROR(IF(INDEX(ctaVinc,MATCH(Q2399,ctaNombre,0))&amp;""&lt;&gt;"",INDEX(ctaVinc,MATCH(Q2399,ctaNombre,0))&amp;"",Q2399),Q2399))</f>
        <v/>
      </c>
      <c r="AC2399" s="52">
        <f>IF(OR(K2399="",AND(P2399&lt;&gt;"Transferencia",P2399&lt;&gt;"Pago tarjeta")),"",IFERROR(IF(INDEX(ctaVinc,MATCH(K2399,ctaNombre,0))&amp;""&lt;&gt;"",INDEX(ctaVinc,MATCH(K2399,ctaNombre,0))&amp;"",K2399),K2399))</f>
        <v/>
      </c>
      <c r="AD2399" s="52">
        <f>IF(AB2399="","",IFERROR(INDEX(ctaTipo,MATCH(AB2399,ctaNombre,0))&amp;"",""))</f>
        <v/>
      </c>
      <c r="AE2399" s="52">
        <f>IF(AC2399="","",IFERROR(INDEX(ctaTipo,MATCH(AC2399,ctaNombre,0))&amp;"",""))</f>
        <v/>
      </c>
      <c r="AF2399" s="53">
        <f>IF(OR(P2399="",AB2399=""),"",IF(OR(P2399="Gasto",P2399="Transferencia",P2399="Pago tarjeta"),-1,1)*IF(IFERROR(INDEX(ctaMoneda,MATCH(AB2399,ctaNombre,0))&amp;"","DOP")="USD",T2399,S2399))</f>
        <v/>
      </c>
      <c r="AG2399" s="53">
        <f>IF(AC2399="","",IF(IFERROR(INDEX(ctaMoneda,MATCH(AC2399,ctaNombre,0))&amp;"","DOP")="USD",T2399,S2399))</f>
        <v/>
      </c>
      <c r="AH2399" s="53">
        <f>IF(P2399="","",IF(AND(AD2399&lt;&gt;"",COUNTIFS(tcTipo,AD2399,tcLiq,"Sí")&gt;0),IF(OR(P2399="Gasto",P2399="Transferencia",P2399="Pago tarjeta"),-1,1)*S2399,0)+IF(AND(AE2399&lt;&gt;"",COUNTIFS(tcTipo,AE2399,tcLiq,"Sí")&gt;0),S2399,0))</f>
        <v/>
      </c>
      <c r="AI2399" s="52">
        <f>IF(OR(L2399="",P2399=""),"",IF(COUNTIFS(L$6:L2399,L2399,P$6:P2399,"?*")=1,MAX(AI$5:AI2398)+1,""))</f>
        <v/>
      </c>
    </row>
    <row r="2400">
      <c r="B2400" s="47" t="n"/>
      <c r="C2400" s="48" t="n"/>
      <c r="D2400" s="48" t="n"/>
      <c r="E2400" s="48" t="n"/>
      <c r="F2400" s="48" t="n"/>
      <c r="G2400" s="49" t="n"/>
      <c r="H2400" s="48" t="n"/>
      <c r="I2400" s="50" t="n"/>
      <c r="J2400" s="48" t="n"/>
      <c r="K2400" s="48" t="n"/>
      <c r="L2400" s="48" t="n"/>
      <c r="M2400" s="48" t="n"/>
      <c r="N2400" s="48" t="n"/>
      <c r="O2400" s="51">
        <f>IF(AND(B2400="",G2400="",C2400="",D2400="",J2400=""),"",IF(B2400="","⚠ Falta fecha",IF(G2400="","⚠ Falta monto",IF(Q2400="","⚠ Falta cuenta",IF(ISNA(MATCH(Q2400,ctaNombre,0)),"⚠ Cuenta no registrada",IF(AND(OR(P2400="Gasto",P2400="Reembolso"),D2400=""),"⚠ Falta categoría",IF(AND(D2400&lt;&gt;"",E2400&lt;&gt;"",ISNA(MATCH(D2400&amp;"|"&amp;E2400,catClave,0))),"⚠ Subcategoría no corresponde",IF(AND(OR(P2400="Transferencia",P2400="Pago tarjeta"),K2400=""),"⚠ Falta cuenta destino",IF(AND(K2400&lt;&gt;"",P2400&lt;&gt;"Transferencia",P2400&lt;&gt;"Pago tarjeta"),"⚠ Destino solo aplica a transferencias",IF(AND(K2400&lt;&gt;"",K2400=Q2400),"⚠ Origen igual a destino",IF(AND(K2400&lt;&gt;"",ISNA(MATCH(K2400,ctaNombre,0))),"⚠ Destino no registrado",IF(AND(P2400="Pago tarjeta",AE2400&lt;&gt;"Tarjeta de crédito"),"⚠ El destino debe ser tarjeta de crédito",IF(AND(P2400="Gasto",E2400="Depósitos y retiros"),"⚠ Usa tipo Transferencia",IF(AND(P2400="Resultado trading",AD2400&lt;&gt;"Cuenta de trading"),"⚠ Usa una cuenta de trading",IF(AND(G2400&lt;=0,P2400&lt;&gt;"Ajuste",P2400&lt;&gt;"Resultado trading"),"⚠ El monto debe ser positivo","✓")))))))))))))))</f>
        <v/>
      </c>
      <c r="P2400" s="52">
        <f>IF(OR(B2400="",G2400=""),"",IF(C2400="","Gasto",C2400))</f>
        <v/>
      </c>
      <c r="Q2400" s="52">
        <f>IF(P2400="","",IF(J2400&lt;&gt;"",J2400,CuentaPred&amp;""))</f>
        <v/>
      </c>
      <c r="R2400" s="52">
        <f>IF(P2400="","",IF(ISNUMBER(I2400),I2400,TasaUSD))</f>
        <v/>
      </c>
      <c r="S2400" s="53">
        <f>IF(P2400="","",IF(H2400="USD",G2400*R2400,G2400))</f>
        <v/>
      </c>
      <c r="T2400" s="53">
        <f>IF(P2400="","",IF(H2400="USD",G2400,IF(R2400&gt;0,G2400/R2400,0)))</f>
        <v/>
      </c>
      <c r="U2400" s="53">
        <f>IF(P2400="","",IF(P2400="Gasto",S2400,IF(P2400="Reembolso",-S2400,0)))</f>
        <v/>
      </c>
      <c r="V2400" s="53">
        <f>IF(P2400="","",IF(P2400="Ingreso",S2400,0))</f>
        <v/>
      </c>
      <c r="W2400" s="53">
        <f>IF(P2400="","",IF(P2400="Resultado trading",S2400,0))</f>
        <v/>
      </c>
      <c r="X2400" s="52">
        <f>IF(OR(P2400="Gasto",P2400="Reembolso"),IF(M2400&lt;&gt;"",M2400,IFERROR(INDEX(catClasif,MATCH(D2400&amp;"|"&amp;E2400,catClave,0))&amp;"","Variable")),"")</f>
        <v/>
      </c>
      <c r="Y2400" s="52">
        <f>IF(P2400="","",IFERROR(INDEX(catGrupo,MATCH(D2400&amp;"|"&amp;E2400,catClave,0))&amp;"",""))</f>
        <v/>
      </c>
      <c r="Z2400" s="52">
        <f>IF(P2400="","",WEEKDAY(B2400,2))</f>
        <v/>
      </c>
      <c r="AA2400" s="52">
        <f>IF(P2400="","",IF(AND(P2400="Gasto",X2400="Variable",D2400&lt;&gt;catTrading,S2400&gt;0,S2400&lt;=Umbral),1,0))</f>
        <v/>
      </c>
      <c r="AB2400" s="52">
        <f>IF(OR(P2400="",Q2400=""),"",IFERROR(IF(INDEX(ctaVinc,MATCH(Q2400,ctaNombre,0))&amp;""&lt;&gt;"",INDEX(ctaVinc,MATCH(Q2400,ctaNombre,0))&amp;"",Q2400),Q2400))</f>
        <v/>
      </c>
      <c r="AC2400" s="52">
        <f>IF(OR(K2400="",AND(P2400&lt;&gt;"Transferencia",P2400&lt;&gt;"Pago tarjeta")),"",IFERROR(IF(INDEX(ctaVinc,MATCH(K2400,ctaNombre,0))&amp;""&lt;&gt;"",INDEX(ctaVinc,MATCH(K2400,ctaNombre,0))&amp;"",K2400),K2400))</f>
        <v/>
      </c>
      <c r="AD2400" s="52">
        <f>IF(AB2400="","",IFERROR(INDEX(ctaTipo,MATCH(AB2400,ctaNombre,0))&amp;"",""))</f>
        <v/>
      </c>
      <c r="AE2400" s="52">
        <f>IF(AC2400="","",IFERROR(INDEX(ctaTipo,MATCH(AC2400,ctaNombre,0))&amp;"",""))</f>
        <v/>
      </c>
      <c r="AF2400" s="53">
        <f>IF(OR(P2400="",AB2400=""),"",IF(OR(P2400="Gasto",P2400="Transferencia",P2400="Pago tarjeta"),-1,1)*IF(IFERROR(INDEX(ctaMoneda,MATCH(AB2400,ctaNombre,0))&amp;"","DOP")="USD",T2400,S2400))</f>
        <v/>
      </c>
      <c r="AG2400" s="53">
        <f>IF(AC2400="","",IF(IFERROR(INDEX(ctaMoneda,MATCH(AC2400,ctaNombre,0))&amp;"","DOP")="USD",T2400,S2400))</f>
        <v/>
      </c>
      <c r="AH2400" s="53">
        <f>IF(P2400="","",IF(AND(AD2400&lt;&gt;"",COUNTIFS(tcTipo,AD2400,tcLiq,"Sí")&gt;0),IF(OR(P2400="Gasto",P2400="Transferencia",P2400="Pago tarjeta"),-1,1)*S2400,0)+IF(AND(AE2400&lt;&gt;"",COUNTIFS(tcTipo,AE2400,tcLiq,"Sí")&gt;0),S2400,0))</f>
        <v/>
      </c>
      <c r="AI2400" s="52">
        <f>IF(OR(L2400="",P2400=""),"",IF(COUNTIFS(L$6:L2400,L2400,P$6:P2400,"?*")=1,MAX(AI$5:AI2399)+1,""))</f>
        <v/>
      </c>
    </row>
    <row r="2401">
      <c r="B2401" s="47" t="n"/>
      <c r="C2401" s="48" t="n"/>
      <c r="D2401" s="48" t="n"/>
      <c r="E2401" s="48" t="n"/>
      <c r="F2401" s="48" t="n"/>
      <c r="G2401" s="49" t="n"/>
      <c r="H2401" s="48" t="n"/>
      <c r="I2401" s="50" t="n"/>
      <c r="J2401" s="48" t="n"/>
      <c r="K2401" s="48" t="n"/>
      <c r="L2401" s="48" t="n"/>
      <c r="M2401" s="48" t="n"/>
      <c r="N2401" s="48" t="n"/>
      <c r="O2401" s="51">
        <f>IF(AND(B2401="",G2401="",C2401="",D2401="",J2401=""),"",IF(B2401="","⚠ Falta fecha",IF(G2401="","⚠ Falta monto",IF(Q2401="","⚠ Falta cuenta",IF(ISNA(MATCH(Q2401,ctaNombre,0)),"⚠ Cuenta no registrada",IF(AND(OR(P2401="Gasto",P2401="Reembolso"),D2401=""),"⚠ Falta categoría",IF(AND(D2401&lt;&gt;"",E2401&lt;&gt;"",ISNA(MATCH(D2401&amp;"|"&amp;E2401,catClave,0))),"⚠ Subcategoría no corresponde",IF(AND(OR(P2401="Transferencia",P2401="Pago tarjeta"),K2401=""),"⚠ Falta cuenta destino",IF(AND(K2401&lt;&gt;"",P2401&lt;&gt;"Transferencia",P2401&lt;&gt;"Pago tarjeta"),"⚠ Destino solo aplica a transferencias",IF(AND(K2401&lt;&gt;"",K2401=Q2401),"⚠ Origen igual a destino",IF(AND(K2401&lt;&gt;"",ISNA(MATCH(K2401,ctaNombre,0))),"⚠ Destino no registrado",IF(AND(P2401="Pago tarjeta",AE2401&lt;&gt;"Tarjeta de crédito"),"⚠ El destino debe ser tarjeta de crédito",IF(AND(P2401="Gasto",E2401="Depósitos y retiros"),"⚠ Usa tipo Transferencia",IF(AND(P2401="Resultado trading",AD2401&lt;&gt;"Cuenta de trading"),"⚠ Usa una cuenta de trading",IF(AND(G2401&lt;=0,P2401&lt;&gt;"Ajuste",P2401&lt;&gt;"Resultado trading"),"⚠ El monto debe ser positivo","✓")))))))))))))))</f>
        <v/>
      </c>
      <c r="P2401" s="52">
        <f>IF(OR(B2401="",G2401=""),"",IF(C2401="","Gasto",C2401))</f>
        <v/>
      </c>
      <c r="Q2401" s="52">
        <f>IF(P2401="","",IF(J2401&lt;&gt;"",J2401,CuentaPred&amp;""))</f>
        <v/>
      </c>
      <c r="R2401" s="52">
        <f>IF(P2401="","",IF(ISNUMBER(I2401),I2401,TasaUSD))</f>
        <v/>
      </c>
      <c r="S2401" s="53">
        <f>IF(P2401="","",IF(H2401="USD",G2401*R2401,G2401))</f>
        <v/>
      </c>
      <c r="T2401" s="53">
        <f>IF(P2401="","",IF(H2401="USD",G2401,IF(R2401&gt;0,G2401/R2401,0)))</f>
        <v/>
      </c>
      <c r="U2401" s="53">
        <f>IF(P2401="","",IF(P2401="Gasto",S2401,IF(P2401="Reembolso",-S2401,0)))</f>
        <v/>
      </c>
      <c r="V2401" s="53">
        <f>IF(P2401="","",IF(P2401="Ingreso",S2401,0))</f>
        <v/>
      </c>
      <c r="W2401" s="53">
        <f>IF(P2401="","",IF(P2401="Resultado trading",S2401,0))</f>
        <v/>
      </c>
      <c r="X2401" s="52">
        <f>IF(OR(P2401="Gasto",P2401="Reembolso"),IF(M2401&lt;&gt;"",M2401,IFERROR(INDEX(catClasif,MATCH(D2401&amp;"|"&amp;E2401,catClave,0))&amp;"","Variable")),"")</f>
        <v/>
      </c>
      <c r="Y2401" s="52">
        <f>IF(P2401="","",IFERROR(INDEX(catGrupo,MATCH(D2401&amp;"|"&amp;E2401,catClave,0))&amp;"",""))</f>
        <v/>
      </c>
      <c r="Z2401" s="52">
        <f>IF(P2401="","",WEEKDAY(B2401,2))</f>
        <v/>
      </c>
      <c r="AA2401" s="52">
        <f>IF(P2401="","",IF(AND(P2401="Gasto",X2401="Variable",D2401&lt;&gt;catTrading,S2401&gt;0,S2401&lt;=Umbral),1,0))</f>
        <v/>
      </c>
      <c r="AB2401" s="52">
        <f>IF(OR(P2401="",Q2401=""),"",IFERROR(IF(INDEX(ctaVinc,MATCH(Q2401,ctaNombre,0))&amp;""&lt;&gt;"",INDEX(ctaVinc,MATCH(Q2401,ctaNombre,0))&amp;"",Q2401),Q2401))</f>
        <v/>
      </c>
      <c r="AC2401" s="52">
        <f>IF(OR(K2401="",AND(P2401&lt;&gt;"Transferencia",P2401&lt;&gt;"Pago tarjeta")),"",IFERROR(IF(INDEX(ctaVinc,MATCH(K2401,ctaNombre,0))&amp;""&lt;&gt;"",INDEX(ctaVinc,MATCH(K2401,ctaNombre,0))&amp;"",K2401),K2401))</f>
        <v/>
      </c>
      <c r="AD2401" s="52">
        <f>IF(AB2401="","",IFERROR(INDEX(ctaTipo,MATCH(AB2401,ctaNombre,0))&amp;"",""))</f>
        <v/>
      </c>
      <c r="AE2401" s="52">
        <f>IF(AC2401="","",IFERROR(INDEX(ctaTipo,MATCH(AC2401,ctaNombre,0))&amp;"",""))</f>
        <v/>
      </c>
      <c r="AF2401" s="53">
        <f>IF(OR(P2401="",AB2401=""),"",IF(OR(P2401="Gasto",P2401="Transferencia",P2401="Pago tarjeta"),-1,1)*IF(IFERROR(INDEX(ctaMoneda,MATCH(AB2401,ctaNombre,0))&amp;"","DOP")="USD",T2401,S2401))</f>
        <v/>
      </c>
      <c r="AG2401" s="53">
        <f>IF(AC2401="","",IF(IFERROR(INDEX(ctaMoneda,MATCH(AC2401,ctaNombre,0))&amp;"","DOP")="USD",T2401,S2401))</f>
        <v/>
      </c>
      <c r="AH2401" s="53">
        <f>IF(P2401="","",IF(AND(AD2401&lt;&gt;"",COUNTIFS(tcTipo,AD2401,tcLiq,"Sí")&gt;0),IF(OR(P2401="Gasto",P2401="Transferencia",P2401="Pago tarjeta"),-1,1)*S2401,0)+IF(AND(AE2401&lt;&gt;"",COUNTIFS(tcTipo,AE2401,tcLiq,"Sí")&gt;0),S2401,0))</f>
        <v/>
      </c>
      <c r="AI2401" s="52">
        <f>IF(OR(L2401="",P2401=""),"",IF(COUNTIFS(L$6:L2401,L2401,P$6:P2401,"?*")=1,MAX(AI$5:AI2400)+1,""))</f>
        <v/>
      </c>
    </row>
    <row r="2402">
      <c r="B2402" s="47" t="n"/>
      <c r="C2402" s="48" t="n"/>
      <c r="D2402" s="48" t="n"/>
      <c r="E2402" s="48" t="n"/>
      <c r="F2402" s="48" t="n"/>
      <c r="G2402" s="49" t="n"/>
      <c r="H2402" s="48" t="n"/>
      <c r="I2402" s="50" t="n"/>
      <c r="J2402" s="48" t="n"/>
      <c r="K2402" s="48" t="n"/>
      <c r="L2402" s="48" t="n"/>
      <c r="M2402" s="48" t="n"/>
      <c r="N2402" s="48" t="n"/>
      <c r="O2402" s="51">
        <f>IF(AND(B2402="",G2402="",C2402="",D2402="",J2402=""),"",IF(B2402="","⚠ Falta fecha",IF(G2402="","⚠ Falta monto",IF(Q2402="","⚠ Falta cuenta",IF(ISNA(MATCH(Q2402,ctaNombre,0)),"⚠ Cuenta no registrada",IF(AND(OR(P2402="Gasto",P2402="Reembolso"),D2402=""),"⚠ Falta categoría",IF(AND(D2402&lt;&gt;"",E2402&lt;&gt;"",ISNA(MATCH(D2402&amp;"|"&amp;E2402,catClave,0))),"⚠ Subcategoría no corresponde",IF(AND(OR(P2402="Transferencia",P2402="Pago tarjeta"),K2402=""),"⚠ Falta cuenta destino",IF(AND(K2402&lt;&gt;"",P2402&lt;&gt;"Transferencia",P2402&lt;&gt;"Pago tarjeta"),"⚠ Destino solo aplica a transferencias",IF(AND(K2402&lt;&gt;"",K2402=Q2402),"⚠ Origen igual a destino",IF(AND(K2402&lt;&gt;"",ISNA(MATCH(K2402,ctaNombre,0))),"⚠ Destino no registrado",IF(AND(P2402="Pago tarjeta",AE2402&lt;&gt;"Tarjeta de crédito"),"⚠ El destino debe ser tarjeta de crédito",IF(AND(P2402="Gasto",E2402="Depósitos y retiros"),"⚠ Usa tipo Transferencia",IF(AND(P2402="Resultado trading",AD2402&lt;&gt;"Cuenta de trading"),"⚠ Usa una cuenta de trading",IF(AND(G2402&lt;=0,P2402&lt;&gt;"Ajuste",P2402&lt;&gt;"Resultado trading"),"⚠ El monto debe ser positivo","✓")))))))))))))))</f>
        <v/>
      </c>
      <c r="P2402" s="52">
        <f>IF(OR(B2402="",G2402=""),"",IF(C2402="","Gasto",C2402))</f>
        <v/>
      </c>
      <c r="Q2402" s="52">
        <f>IF(P2402="","",IF(J2402&lt;&gt;"",J2402,CuentaPred&amp;""))</f>
        <v/>
      </c>
      <c r="R2402" s="52">
        <f>IF(P2402="","",IF(ISNUMBER(I2402),I2402,TasaUSD))</f>
        <v/>
      </c>
      <c r="S2402" s="53">
        <f>IF(P2402="","",IF(H2402="USD",G2402*R2402,G2402))</f>
        <v/>
      </c>
      <c r="T2402" s="53">
        <f>IF(P2402="","",IF(H2402="USD",G2402,IF(R2402&gt;0,G2402/R2402,0)))</f>
        <v/>
      </c>
      <c r="U2402" s="53">
        <f>IF(P2402="","",IF(P2402="Gasto",S2402,IF(P2402="Reembolso",-S2402,0)))</f>
        <v/>
      </c>
      <c r="V2402" s="53">
        <f>IF(P2402="","",IF(P2402="Ingreso",S2402,0))</f>
        <v/>
      </c>
      <c r="W2402" s="53">
        <f>IF(P2402="","",IF(P2402="Resultado trading",S2402,0))</f>
        <v/>
      </c>
      <c r="X2402" s="52">
        <f>IF(OR(P2402="Gasto",P2402="Reembolso"),IF(M2402&lt;&gt;"",M2402,IFERROR(INDEX(catClasif,MATCH(D2402&amp;"|"&amp;E2402,catClave,0))&amp;"","Variable")),"")</f>
        <v/>
      </c>
      <c r="Y2402" s="52">
        <f>IF(P2402="","",IFERROR(INDEX(catGrupo,MATCH(D2402&amp;"|"&amp;E2402,catClave,0))&amp;"",""))</f>
        <v/>
      </c>
      <c r="Z2402" s="52">
        <f>IF(P2402="","",WEEKDAY(B2402,2))</f>
        <v/>
      </c>
      <c r="AA2402" s="52">
        <f>IF(P2402="","",IF(AND(P2402="Gasto",X2402="Variable",D2402&lt;&gt;catTrading,S2402&gt;0,S2402&lt;=Umbral),1,0))</f>
        <v/>
      </c>
      <c r="AB2402" s="52">
        <f>IF(OR(P2402="",Q2402=""),"",IFERROR(IF(INDEX(ctaVinc,MATCH(Q2402,ctaNombre,0))&amp;""&lt;&gt;"",INDEX(ctaVinc,MATCH(Q2402,ctaNombre,0))&amp;"",Q2402),Q2402))</f>
        <v/>
      </c>
      <c r="AC2402" s="52">
        <f>IF(OR(K2402="",AND(P2402&lt;&gt;"Transferencia",P2402&lt;&gt;"Pago tarjeta")),"",IFERROR(IF(INDEX(ctaVinc,MATCH(K2402,ctaNombre,0))&amp;""&lt;&gt;"",INDEX(ctaVinc,MATCH(K2402,ctaNombre,0))&amp;"",K2402),K2402))</f>
        <v/>
      </c>
      <c r="AD2402" s="52">
        <f>IF(AB2402="","",IFERROR(INDEX(ctaTipo,MATCH(AB2402,ctaNombre,0))&amp;"",""))</f>
        <v/>
      </c>
      <c r="AE2402" s="52">
        <f>IF(AC2402="","",IFERROR(INDEX(ctaTipo,MATCH(AC2402,ctaNombre,0))&amp;"",""))</f>
        <v/>
      </c>
      <c r="AF2402" s="53">
        <f>IF(OR(P2402="",AB2402=""),"",IF(OR(P2402="Gasto",P2402="Transferencia",P2402="Pago tarjeta"),-1,1)*IF(IFERROR(INDEX(ctaMoneda,MATCH(AB2402,ctaNombre,0))&amp;"","DOP")="USD",T2402,S2402))</f>
        <v/>
      </c>
      <c r="AG2402" s="53">
        <f>IF(AC2402="","",IF(IFERROR(INDEX(ctaMoneda,MATCH(AC2402,ctaNombre,0))&amp;"","DOP")="USD",T2402,S2402))</f>
        <v/>
      </c>
      <c r="AH2402" s="53">
        <f>IF(P2402="","",IF(AND(AD2402&lt;&gt;"",COUNTIFS(tcTipo,AD2402,tcLiq,"Sí")&gt;0),IF(OR(P2402="Gasto",P2402="Transferencia",P2402="Pago tarjeta"),-1,1)*S2402,0)+IF(AND(AE2402&lt;&gt;"",COUNTIFS(tcTipo,AE2402,tcLiq,"Sí")&gt;0),S2402,0))</f>
        <v/>
      </c>
      <c r="AI2402" s="52">
        <f>IF(OR(L2402="",P2402=""),"",IF(COUNTIFS(L$6:L2402,L2402,P$6:P2402,"?*")=1,MAX(AI$5:AI2401)+1,""))</f>
        <v/>
      </c>
    </row>
    <row r="2403">
      <c r="B2403" s="47" t="n"/>
      <c r="C2403" s="48" t="n"/>
      <c r="D2403" s="48" t="n"/>
      <c r="E2403" s="48" t="n"/>
      <c r="F2403" s="48" t="n"/>
      <c r="G2403" s="49" t="n"/>
      <c r="H2403" s="48" t="n"/>
      <c r="I2403" s="50" t="n"/>
      <c r="J2403" s="48" t="n"/>
      <c r="K2403" s="48" t="n"/>
      <c r="L2403" s="48" t="n"/>
      <c r="M2403" s="48" t="n"/>
      <c r="N2403" s="48" t="n"/>
      <c r="O2403" s="51">
        <f>IF(AND(B2403="",G2403="",C2403="",D2403="",J2403=""),"",IF(B2403="","⚠ Falta fecha",IF(G2403="","⚠ Falta monto",IF(Q2403="","⚠ Falta cuenta",IF(ISNA(MATCH(Q2403,ctaNombre,0)),"⚠ Cuenta no registrada",IF(AND(OR(P2403="Gasto",P2403="Reembolso"),D2403=""),"⚠ Falta categoría",IF(AND(D2403&lt;&gt;"",E2403&lt;&gt;"",ISNA(MATCH(D2403&amp;"|"&amp;E2403,catClave,0))),"⚠ Subcategoría no corresponde",IF(AND(OR(P2403="Transferencia",P2403="Pago tarjeta"),K2403=""),"⚠ Falta cuenta destino",IF(AND(K2403&lt;&gt;"",P2403&lt;&gt;"Transferencia",P2403&lt;&gt;"Pago tarjeta"),"⚠ Destino solo aplica a transferencias",IF(AND(K2403&lt;&gt;"",K2403=Q2403),"⚠ Origen igual a destino",IF(AND(K2403&lt;&gt;"",ISNA(MATCH(K2403,ctaNombre,0))),"⚠ Destino no registrado",IF(AND(P2403="Pago tarjeta",AE2403&lt;&gt;"Tarjeta de crédito"),"⚠ El destino debe ser tarjeta de crédito",IF(AND(P2403="Gasto",E2403="Depósitos y retiros"),"⚠ Usa tipo Transferencia",IF(AND(P2403="Resultado trading",AD2403&lt;&gt;"Cuenta de trading"),"⚠ Usa una cuenta de trading",IF(AND(G2403&lt;=0,P2403&lt;&gt;"Ajuste",P2403&lt;&gt;"Resultado trading"),"⚠ El monto debe ser positivo","✓")))))))))))))))</f>
        <v/>
      </c>
      <c r="P2403" s="52">
        <f>IF(OR(B2403="",G2403=""),"",IF(C2403="","Gasto",C2403))</f>
        <v/>
      </c>
      <c r="Q2403" s="52">
        <f>IF(P2403="","",IF(J2403&lt;&gt;"",J2403,CuentaPred&amp;""))</f>
        <v/>
      </c>
      <c r="R2403" s="52">
        <f>IF(P2403="","",IF(ISNUMBER(I2403),I2403,TasaUSD))</f>
        <v/>
      </c>
      <c r="S2403" s="53">
        <f>IF(P2403="","",IF(H2403="USD",G2403*R2403,G2403))</f>
        <v/>
      </c>
      <c r="T2403" s="53">
        <f>IF(P2403="","",IF(H2403="USD",G2403,IF(R2403&gt;0,G2403/R2403,0)))</f>
        <v/>
      </c>
      <c r="U2403" s="53">
        <f>IF(P2403="","",IF(P2403="Gasto",S2403,IF(P2403="Reembolso",-S2403,0)))</f>
        <v/>
      </c>
      <c r="V2403" s="53">
        <f>IF(P2403="","",IF(P2403="Ingreso",S2403,0))</f>
        <v/>
      </c>
      <c r="W2403" s="53">
        <f>IF(P2403="","",IF(P2403="Resultado trading",S2403,0))</f>
        <v/>
      </c>
      <c r="X2403" s="52">
        <f>IF(OR(P2403="Gasto",P2403="Reembolso"),IF(M2403&lt;&gt;"",M2403,IFERROR(INDEX(catClasif,MATCH(D2403&amp;"|"&amp;E2403,catClave,0))&amp;"","Variable")),"")</f>
        <v/>
      </c>
      <c r="Y2403" s="52">
        <f>IF(P2403="","",IFERROR(INDEX(catGrupo,MATCH(D2403&amp;"|"&amp;E2403,catClave,0))&amp;"",""))</f>
        <v/>
      </c>
      <c r="Z2403" s="52">
        <f>IF(P2403="","",WEEKDAY(B2403,2))</f>
        <v/>
      </c>
      <c r="AA2403" s="52">
        <f>IF(P2403="","",IF(AND(P2403="Gasto",X2403="Variable",D2403&lt;&gt;catTrading,S2403&gt;0,S2403&lt;=Umbral),1,0))</f>
        <v/>
      </c>
      <c r="AB2403" s="52">
        <f>IF(OR(P2403="",Q2403=""),"",IFERROR(IF(INDEX(ctaVinc,MATCH(Q2403,ctaNombre,0))&amp;""&lt;&gt;"",INDEX(ctaVinc,MATCH(Q2403,ctaNombre,0))&amp;"",Q2403),Q2403))</f>
        <v/>
      </c>
      <c r="AC2403" s="52">
        <f>IF(OR(K2403="",AND(P2403&lt;&gt;"Transferencia",P2403&lt;&gt;"Pago tarjeta")),"",IFERROR(IF(INDEX(ctaVinc,MATCH(K2403,ctaNombre,0))&amp;""&lt;&gt;"",INDEX(ctaVinc,MATCH(K2403,ctaNombre,0))&amp;"",K2403),K2403))</f>
        <v/>
      </c>
      <c r="AD2403" s="52">
        <f>IF(AB2403="","",IFERROR(INDEX(ctaTipo,MATCH(AB2403,ctaNombre,0))&amp;"",""))</f>
        <v/>
      </c>
      <c r="AE2403" s="52">
        <f>IF(AC2403="","",IFERROR(INDEX(ctaTipo,MATCH(AC2403,ctaNombre,0))&amp;"",""))</f>
        <v/>
      </c>
      <c r="AF2403" s="53">
        <f>IF(OR(P2403="",AB2403=""),"",IF(OR(P2403="Gasto",P2403="Transferencia",P2403="Pago tarjeta"),-1,1)*IF(IFERROR(INDEX(ctaMoneda,MATCH(AB2403,ctaNombre,0))&amp;"","DOP")="USD",T2403,S2403))</f>
        <v/>
      </c>
      <c r="AG2403" s="53">
        <f>IF(AC2403="","",IF(IFERROR(INDEX(ctaMoneda,MATCH(AC2403,ctaNombre,0))&amp;"","DOP")="USD",T2403,S2403))</f>
        <v/>
      </c>
      <c r="AH2403" s="53">
        <f>IF(P2403="","",IF(AND(AD2403&lt;&gt;"",COUNTIFS(tcTipo,AD2403,tcLiq,"Sí")&gt;0),IF(OR(P2403="Gasto",P2403="Transferencia",P2403="Pago tarjeta"),-1,1)*S2403,0)+IF(AND(AE2403&lt;&gt;"",COUNTIFS(tcTipo,AE2403,tcLiq,"Sí")&gt;0),S2403,0))</f>
        <v/>
      </c>
      <c r="AI2403" s="52">
        <f>IF(OR(L2403="",P2403=""),"",IF(COUNTIFS(L$6:L2403,L2403,P$6:P2403,"?*")=1,MAX(AI$5:AI2402)+1,""))</f>
        <v/>
      </c>
    </row>
    <row r="2404">
      <c r="B2404" s="47" t="n"/>
      <c r="C2404" s="48" t="n"/>
      <c r="D2404" s="48" t="n"/>
      <c r="E2404" s="48" t="n"/>
      <c r="F2404" s="48" t="n"/>
      <c r="G2404" s="49" t="n"/>
      <c r="H2404" s="48" t="n"/>
      <c r="I2404" s="50" t="n"/>
      <c r="J2404" s="48" t="n"/>
      <c r="K2404" s="48" t="n"/>
      <c r="L2404" s="48" t="n"/>
      <c r="M2404" s="48" t="n"/>
      <c r="N2404" s="48" t="n"/>
      <c r="O2404" s="51">
        <f>IF(AND(B2404="",G2404="",C2404="",D2404="",J2404=""),"",IF(B2404="","⚠ Falta fecha",IF(G2404="","⚠ Falta monto",IF(Q2404="","⚠ Falta cuenta",IF(ISNA(MATCH(Q2404,ctaNombre,0)),"⚠ Cuenta no registrada",IF(AND(OR(P2404="Gasto",P2404="Reembolso"),D2404=""),"⚠ Falta categoría",IF(AND(D2404&lt;&gt;"",E2404&lt;&gt;"",ISNA(MATCH(D2404&amp;"|"&amp;E2404,catClave,0))),"⚠ Subcategoría no corresponde",IF(AND(OR(P2404="Transferencia",P2404="Pago tarjeta"),K2404=""),"⚠ Falta cuenta destino",IF(AND(K2404&lt;&gt;"",P2404&lt;&gt;"Transferencia",P2404&lt;&gt;"Pago tarjeta"),"⚠ Destino solo aplica a transferencias",IF(AND(K2404&lt;&gt;"",K2404=Q2404),"⚠ Origen igual a destino",IF(AND(K2404&lt;&gt;"",ISNA(MATCH(K2404,ctaNombre,0))),"⚠ Destino no registrado",IF(AND(P2404="Pago tarjeta",AE2404&lt;&gt;"Tarjeta de crédito"),"⚠ El destino debe ser tarjeta de crédito",IF(AND(P2404="Gasto",E2404="Depósitos y retiros"),"⚠ Usa tipo Transferencia",IF(AND(P2404="Resultado trading",AD2404&lt;&gt;"Cuenta de trading"),"⚠ Usa una cuenta de trading",IF(AND(G2404&lt;=0,P2404&lt;&gt;"Ajuste",P2404&lt;&gt;"Resultado trading"),"⚠ El monto debe ser positivo","✓")))))))))))))))</f>
        <v/>
      </c>
      <c r="P2404" s="52">
        <f>IF(OR(B2404="",G2404=""),"",IF(C2404="","Gasto",C2404))</f>
        <v/>
      </c>
      <c r="Q2404" s="52">
        <f>IF(P2404="","",IF(J2404&lt;&gt;"",J2404,CuentaPred&amp;""))</f>
        <v/>
      </c>
      <c r="R2404" s="52">
        <f>IF(P2404="","",IF(ISNUMBER(I2404),I2404,TasaUSD))</f>
        <v/>
      </c>
      <c r="S2404" s="53">
        <f>IF(P2404="","",IF(H2404="USD",G2404*R2404,G2404))</f>
        <v/>
      </c>
      <c r="T2404" s="53">
        <f>IF(P2404="","",IF(H2404="USD",G2404,IF(R2404&gt;0,G2404/R2404,0)))</f>
        <v/>
      </c>
      <c r="U2404" s="53">
        <f>IF(P2404="","",IF(P2404="Gasto",S2404,IF(P2404="Reembolso",-S2404,0)))</f>
        <v/>
      </c>
      <c r="V2404" s="53">
        <f>IF(P2404="","",IF(P2404="Ingreso",S2404,0))</f>
        <v/>
      </c>
      <c r="W2404" s="53">
        <f>IF(P2404="","",IF(P2404="Resultado trading",S2404,0))</f>
        <v/>
      </c>
      <c r="X2404" s="52">
        <f>IF(OR(P2404="Gasto",P2404="Reembolso"),IF(M2404&lt;&gt;"",M2404,IFERROR(INDEX(catClasif,MATCH(D2404&amp;"|"&amp;E2404,catClave,0))&amp;"","Variable")),"")</f>
        <v/>
      </c>
      <c r="Y2404" s="52">
        <f>IF(P2404="","",IFERROR(INDEX(catGrupo,MATCH(D2404&amp;"|"&amp;E2404,catClave,0))&amp;"",""))</f>
        <v/>
      </c>
      <c r="Z2404" s="52">
        <f>IF(P2404="","",WEEKDAY(B2404,2))</f>
        <v/>
      </c>
      <c r="AA2404" s="52">
        <f>IF(P2404="","",IF(AND(P2404="Gasto",X2404="Variable",D2404&lt;&gt;catTrading,S2404&gt;0,S2404&lt;=Umbral),1,0))</f>
        <v/>
      </c>
      <c r="AB2404" s="52">
        <f>IF(OR(P2404="",Q2404=""),"",IFERROR(IF(INDEX(ctaVinc,MATCH(Q2404,ctaNombre,0))&amp;""&lt;&gt;"",INDEX(ctaVinc,MATCH(Q2404,ctaNombre,0))&amp;"",Q2404),Q2404))</f>
        <v/>
      </c>
      <c r="AC2404" s="52">
        <f>IF(OR(K2404="",AND(P2404&lt;&gt;"Transferencia",P2404&lt;&gt;"Pago tarjeta")),"",IFERROR(IF(INDEX(ctaVinc,MATCH(K2404,ctaNombre,0))&amp;""&lt;&gt;"",INDEX(ctaVinc,MATCH(K2404,ctaNombre,0))&amp;"",K2404),K2404))</f>
        <v/>
      </c>
      <c r="AD2404" s="52">
        <f>IF(AB2404="","",IFERROR(INDEX(ctaTipo,MATCH(AB2404,ctaNombre,0))&amp;"",""))</f>
        <v/>
      </c>
      <c r="AE2404" s="52">
        <f>IF(AC2404="","",IFERROR(INDEX(ctaTipo,MATCH(AC2404,ctaNombre,0))&amp;"",""))</f>
        <v/>
      </c>
      <c r="AF2404" s="53">
        <f>IF(OR(P2404="",AB2404=""),"",IF(OR(P2404="Gasto",P2404="Transferencia",P2404="Pago tarjeta"),-1,1)*IF(IFERROR(INDEX(ctaMoneda,MATCH(AB2404,ctaNombre,0))&amp;"","DOP")="USD",T2404,S2404))</f>
        <v/>
      </c>
      <c r="AG2404" s="53">
        <f>IF(AC2404="","",IF(IFERROR(INDEX(ctaMoneda,MATCH(AC2404,ctaNombre,0))&amp;"","DOP")="USD",T2404,S2404))</f>
        <v/>
      </c>
      <c r="AH2404" s="53">
        <f>IF(P2404="","",IF(AND(AD2404&lt;&gt;"",COUNTIFS(tcTipo,AD2404,tcLiq,"Sí")&gt;0),IF(OR(P2404="Gasto",P2404="Transferencia",P2404="Pago tarjeta"),-1,1)*S2404,0)+IF(AND(AE2404&lt;&gt;"",COUNTIFS(tcTipo,AE2404,tcLiq,"Sí")&gt;0),S2404,0))</f>
        <v/>
      </c>
      <c r="AI2404" s="52">
        <f>IF(OR(L2404="",P2404=""),"",IF(COUNTIFS(L$6:L2404,L2404,P$6:P2404,"?*")=1,MAX(AI$5:AI2403)+1,""))</f>
        <v/>
      </c>
    </row>
    <row r="2405">
      <c r="B2405" s="47" t="n"/>
      <c r="C2405" s="48" t="n"/>
      <c r="D2405" s="48" t="n"/>
      <c r="E2405" s="48" t="n"/>
      <c r="F2405" s="48" t="n"/>
      <c r="G2405" s="49" t="n"/>
      <c r="H2405" s="48" t="n"/>
      <c r="I2405" s="50" t="n"/>
      <c r="J2405" s="48" t="n"/>
      <c r="K2405" s="48" t="n"/>
      <c r="L2405" s="48" t="n"/>
      <c r="M2405" s="48" t="n"/>
      <c r="N2405" s="48" t="n"/>
      <c r="O2405" s="51">
        <f>IF(AND(B2405="",G2405="",C2405="",D2405="",J2405=""),"",IF(B2405="","⚠ Falta fecha",IF(G2405="","⚠ Falta monto",IF(Q2405="","⚠ Falta cuenta",IF(ISNA(MATCH(Q2405,ctaNombre,0)),"⚠ Cuenta no registrada",IF(AND(OR(P2405="Gasto",P2405="Reembolso"),D2405=""),"⚠ Falta categoría",IF(AND(D2405&lt;&gt;"",E2405&lt;&gt;"",ISNA(MATCH(D2405&amp;"|"&amp;E2405,catClave,0))),"⚠ Subcategoría no corresponde",IF(AND(OR(P2405="Transferencia",P2405="Pago tarjeta"),K2405=""),"⚠ Falta cuenta destino",IF(AND(K2405&lt;&gt;"",P2405&lt;&gt;"Transferencia",P2405&lt;&gt;"Pago tarjeta"),"⚠ Destino solo aplica a transferencias",IF(AND(K2405&lt;&gt;"",K2405=Q2405),"⚠ Origen igual a destino",IF(AND(K2405&lt;&gt;"",ISNA(MATCH(K2405,ctaNombre,0))),"⚠ Destino no registrado",IF(AND(P2405="Pago tarjeta",AE2405&lt;&gt;"Tarjeta de crédito"),"⚠ El destino debe ser tarjeta de crédito",IF(AND(P2405="Gasto",E2405="Depósitos y retiros"),"⚠ Usa tipo Transferencia",IF(AND(P2405="Resultado trading",AD2405&lt;&gt;"Cuenta de trading"),"⚠ Usa una cuenta de trading",IF(AND(G2405&lt;=0,P2405&lt;&gt;"Ajuste",P2405&lt;&gt;"Resultado trading"),"⚠ El monto debe ser positivo","✓")))))))))))))))</f>
        <v/>
      </c>
      <c r="P2405" s="52">
        <f>IF(OR(B2405="",G2405=""),"",IF(C2405="","Gasto",C2405))</f>
        <v/>
      </c>
      <c r="Q2405" s="52">
        <f>IF(P2405="","",IF(J2405&lt;&gt;"",J2405,CuentaPred&amp;""))</f>
        <v/>
      </c>
      <c r="R2405" s="52">
        <f>IF(P2405="","",IF(ISNUMBER(I2405),I2405,TasaUSD))</f>
        <v/>
      </c>
      <c r="S2405" s="53">
        <f>IF(P2405="","",IF(H2405="USD",G2405*R2405,G2405))</f>
        <v/>
      </c>
      <c r="T2405" s="53">
        <f>IF(P2405="","",IF(H2405="USD",G2405,IF(R2405&gt;0,G2405/R2405,0)))</f>
        <v/>
      </c>
      <c r="U2405" s="53">
        <f>IF(P2405="","",IF(P2405="Gasto",S2405,IF(P2405="Reembolso",-S2405,0)))</f>
        <v/>
      </c>
      <c r="V2405" s="53">
        <f>IF(P2405="","",IF(P2405="Ingreso",S2405,0))</f>
        <v/>
      </c>
      <c r="W2405" s="53">
        <f>IF(P2405="","",IF(P2405="Resultado trading",S2405,0))</f>
        <v/>
      </c>
      <c r="X2405" s="52">
        <f>IF(OR(P2405="Gasto",P2405="Reembolso"),IF(M2405&lt;&gt;"",M2405,IFERROR(INDEX(catClasif,MATCH(D2405&amp;"|"&amp;E2405,catClave,0))&amp;"","Variable")),"")</f>
        <v/>
      </c>
      <c r="Y2405" s="52">
        <f>IF(P2405="","",IFERROR(INDEX(catGrupo,MATCH(D2405&amp;"|"&amp;E2405,catClave,0))&amp;"",""))</f>
        <v/>
      </c>
      <c r="Z2405" s="52">
        <f>IF(P2405="","",WEEKDAY(B2405,2))</f>
        <v/>
      </c>
      <c r="AA2405" s="52">
        <f>IF(P2405="","",IF(AND(P2405="Gasto",X2405="Variable",D2405&lt;&gt;catTrading,S2405&gt;0,S2405&lt;=Umbral),1,0))</f>
        <v/>
      </c>
      <c r="AB2405" s="52">
        <f>IF(OR(P2405="",Q2405=""),"",IFERROR(IF(INDEX(ctaVinc,MATCH(Q2405,ctaNombre,0))&amp;""&lt;&gt;"",INDEX(ctaVinc,MATCH(Q2405,ctaNombre,0))&amp;"",Q2405),Q2405))</f>
        <v/>
      </c>
      <c r="AC2405" s="52">
        <f>IF(OR(K2405="",AND(P2405&lt;&gt;"Transferencia",P2405&lt;&gt;"Pago tarjeta")),"",IFERROR(IF(INDEX(ctaVinc,MATCH(K2405,ctaNombre,0))&amp;""&lt;&gt;"",INDEX(ctaVinc,MATCH(K2405,ctaNombre,0))&amp;"",K2405),K2405))</f>
        <v/>
      </c>
      <c r="AD2405" s="52">
        <f>IF(AB2405="","",IFERROR(INDEX(ctaTipo,MATCH(AB2405,ctaNombre,0))&amp;"",""))</f>
        <v/>
      </c>
      <c r="AE2405" s="52">
        <f>IF(AC2405="","",IFERROR(INDEX(ctaTipo,MATCH(AC2405,ctaNombre,0))&amp;"",""))</f>
        <v/>
      </c>
      <c r="AF2405" s="53">
        <f>IF(OR(P2405="",AB2405=""),"",IF(OR(P2405="Gasto",P2405="Transferencia",P2405="Pago tarjeta"),-1,1)*IF(IFERROR(INDEX(ctaMoneda,MATCH(AB2405,ctaNombre,0))&amp;"","DOP")="USD",T2405,S2405))</f>
        <v/>
      </c>
      <c r="AG2405" s="53">
        <f>IF(AC2405="","",IF(IFERROR(INDEX(ctaMoneda,MATCH(AC2405,ctaNombre,0))&amp;"","DOP")="USD",T2405,S2405))</f>
        <v/>
      </c>
      <c r="AH2405" s="53">
        <f>IF(P2405="","",IF(AND(AD2405&lt;&gt;"",COUNTIFS(tcTipo,AD2405,tcLiq,"Sí")&gt;0),IF(OR(P2405="Gasto",P2405="Transferencia",P2405="Pago tarjeta"),-1,1)*S2405,0)+IF(AND(AE2405&lt;&gt;"",COUNTIFS(tcTipo,AE2405,tcLiq,"Sí")&gt;0),S2405,0))</f>
        <v/>
      </c>
      <c r="AI2405" s="52">
        <f>IF(OR(L2405="",P2405=""),"",IF(COUNTIFS(L$6:L2405,L2405,P$6:P2405,"?*")=1,MAX(AI$5:AI2404)+1,""))</f>
        <v/>
      </c>
    </row>
    <row r="2406">
      <c r="B2406" s="47" t="n"/>
      <c r="C2406" s="48" t="n"/>
      <c r="D2406" s="48" t="n"/>
      <c r="E2406" s="48" t="n"/>
      <c r="F2406" s="48" t="n"/>
      <c r="G2406" s="49" t="n"/>
      <c r="H2406" s="48" t="n"/>
      <c r="I2406" s="50" t="n"/>
      <c r="J2406" s="48" t="n"/>
      <c r="K2406" s="48" t="n"/>
      <c r="L2406" s="48" t="n"/>
      <c r="M2406" s="48" t="n"/>
      <c r="N2406" s="48" t="n"/>
      <c r="O2406" s="51">
        <f>IF(AND(B2406="",G2406="",C2406="",D2406="",J2406=""),"",IF(B2406="","⚠ Falta fecha",IF(G2406="","⚠ Falta monto",IF(Q2406="","⚠ Falta cuenta",IF(ISNA(MATCH(Q2406,ctaNombre,0)),"⚠ Cuenta no registrada",IF(AND(OR(P2406="Gasto",P2406="Reembolso"),D2406=""),"⚠ Falta categoría",IF(AND(D2406&lt;&gt;"",E2406&lt;&gt;"",ISNA(MATCH(D2406&amp;"|"&amp;E2406,catClave,0))),"⚠ Subcategoría no corresponde",IF(AND(OR(P2406="Transferencia",P2406="Pago tarjeta"),K2406=""),"⚠ Falta cuenta destino",IF(AND(K2406&lt;&gt;"",P2406&lt;&gt;"Transferencia",P2406&lt;&gt;"Pago tarjeta"),"⚠ Destino solo aplica a transferencias",IF(AND(K2406&lt;&gt;"",K2406=Q2406),"⚠ Origen igual a destino",IF(AND(K2406&lt;&gt;"",ISNA(MATCH(K2406,ctaNombre,0))),"⚠ Destino no registrado",IF(AND(P2406="Pago tarjeta",AE2406&lt;&gt;"Tarjeta de crédito"),"⚠ El destino debe ser tarjeta de crédito",IF(AND(P2406="Gasto",E2406="Depósitos y retiros"),"⚠ Usa tipo Transferencia",IF(AND(P2406="Resultado trading",AD2406&lt;&gt;"Cuenta de trading"),"⚠ Usa una cuenta de trading",IF(AND(G2406&lt;=0,P2406&lt;&gt;"Ajuste",P2406&lt;&gt;"Resultado trading"),"⚠ El monto debe ser positivo","✓")))))))))))))))</f>
        <v/>
      </c>
      <c r="P2406" s="52">
        <f>IF(OR(B2406="",G2406=""),"",IF(C2406="","Gasto",C2406))</f>
        <v/>
      </c>
      <c r="Q2406" s="52">
        <f>IF(P2406="","",IF(J2406&lt;&gt;"",J2406,CuentaPred&amp;""))</f>
        <v/>
      </c>
      <c r="R2406" s="52">
        <f>IF(P2406="","",IF(ISNUMBER(I2406),I2406,TasaUSD))</f>
        <v/>
      </c>
      <c r="S2406" s="53">
        <f>IF(P2406="","",IF(H2406="USD",G2406*R2406,G2406))</f>
        <v/>
      </c>
      <c r="T2406" s="53">
        <f>IF(P2406="","",IF(H2406="USD",G2406,IF(R2406&gt;0,G2406/R2406,0)))</f>
        <v/>
      </c>
      <c r="U2406" s="53">
        <f>IF(P2406="","",IF(P2406="Gasto",S2406,IF(P2406="Reembolso",-S2406,0)))</f>
        <v/>
      </c>
      <c r="V2406" s="53">
        <f>IF(P2406="","",IF(P2406="Ingreso",S2406,0))</f>
        <v/>
      </c>
      <c r="W2406" s="53">
        <f>IF(P2406="","",IF(P2406="Resultado trading",S2406,0))</f>
        <v/>
      </c>
      <c r="X2406" s="52">
        <f>IF(OR(P2406="Gasto",P2406="Reembolso"),IF(M2406&lt;&gt;"",M2406,IFERROR(INDEX(catClasif,MATCH(D2406&amp;"|"&amp;E2406,catClave,0))&amp;"","Variable")),"")</f>
        <v/>
      </c>
      <c r="Y2406" s="52">
        <f>IF(P2406="","",IFERROR(INDEX(catGrupo,MATCH(D2406&amp;"|"&amp;E2406,catClave,0))&amp;"",""))</f>
        <v/>
      </c>
      <c r="Z2406" s="52">
        <f>IF(P2406="","",WEEKDAY(B2406,2))</f>
        <v/>
      </c>
      <c r="AA2406" s="52">
        <f>IF(P2406="","",IF(AND(P2406="Gasto",X2406="Variable",D2406&lt;&gt;catTrading,S2406&gt;0,S2406&lt;=Umbral),1,0))</f>
        <v/>
      </c>
      <c r="AB2406" s="52">
        <f>IF(OR(P2406="",Q2406=""),"",IFERROR(IF(INDEX(ctaVinc,MATCH(Q2406,ctaNombre,0))&amp;""&lt;&gt;"",INDEX(ctaVinc,MATCH(Q2406,ctaNombre,0))&amp;"",Q2406),Q2406))</f>
        <v/>
      </c>
      <c r="AC2406" s="52">
        <f>IF(OR(K2406="",AND(P2406&lt;&gt;"Transferencia",P2406&lt;&gt;"Pago tarjeta")),"",IFERROR(IF(INDEX(ctaVinc,MATCH(K2406,ctaNombre,0))&amp;""&lt;&gt;"",INDEX(ctaVinc,MATCH(K2406,ctaNombre,0))&amp;"",K2406),K2406))</f>
        <v/>
      </c>
      <c r="AD2406" s="52">
        <f>IF(AB2406="","",IFERROR(INDEX(ctaTipo,MATCH(AB2406,ctaNombre,0))&amp;"",""))</f>
        <v/>
      </c>
      <c r="AE2406" s="52">
        <f>IF(AC2406="","",IFERROR(INDEX(ctaTipo,MATCH(AC2406,ctaNombre,0))&amp;"",""))</f>
        <v/>
      </c>
      <c r="AF2406" s="53">
        <f>IF(OR(P2406="",AB2406=""),"",IF(OR(P2406="Gasto",P2406="Transferencia",P2406="Pago tarjeta"),-1,1)*IF(IFERROR(INDEX(ctaMoneda,MATCH(AB2406,ctaNombre,0))&amp;"","DOP")="USD",T2406,S2406))</f>
        <v/>
      </c>
      <c r="AG2406" s="53">
        <f>IF(AC2406="","",IF(IFERROR(INDEX(ctaMoneda,MATCH(AC2406,ctaNombre,0))&amp;"","DOP")="USD",T2406,S2406))</f>
        <v/>
      </c>
      <c r="AH2406" s="53">
        <f>IF(P2406="","",IF(AND(AD2406&lt;&gt;"",COUNTIFS(tcTipo,AD2406,tcLiq,"Sí")&gt;0),IF(OR(P2406="Gasto",P2406="Transferencia",P2406="Pago tarjeta"),-1,1)*S2406,0)+IF(AND(AE2406&lt;&gt;"",COUNTIFS(tcTipo,AE2406,tcLiq,"Sí")&gt;0),S2406,0))</f>
        <v/>
      </c>
      <c r="AI2406" s="52">
        <f>IF(OR(L2406="",P2406=""),"",IF(COUNTIFS(L$6:L2406,L2406,P$6:P2406,"?*")=1,MAX(AI$5:AI2405)+1,""))</f>
        <v/>
      </c>
    </row>
    <row r="2407">
      <c r="B2407" s="47" t="n"/>
      <c r="C2407" s="48" t="n"/>
      <c r="D2407" s="48" t="n"/>
      <c r="E2407" s="48" t="n"/>
      <c r="F2407" s="48" t="n"/>
      <c r="G2407" s="49" t="n"/>
      <c r="H2407" s="48" t="n"/>
      <c r="I2407" s="50" t="n"/>
      <c r="J2407" s="48" t="n"/>
      <c r="K2407" s="48" t="n"/>
      <c r="L2407" s="48" t="n"/>
      <c r="M2407" s="48" t="n"/>
      <c r="N2407" s="48" t="n"/>
      <c r="O2407" s="51">
        <f>IF(AND(B2407="",G2407="",C2407="",D2407="",J2407=""),"",IF(B2407="","⚠ Falta fecha",IF(G2407="","⚠ Falta monto",IF(Q2407="","⚠ Falta cuenta",IF(ISNA(MATCH(Q2407,ctaNombre,0)),"⚠ Cuenta no registrada",IF(AND(OR(P2407="Gasto",P2407="Reembolso"),D2407=""),"⚠ Falta categoría",IF(AND(D2407&lt;&gt;"",E2407&lt;&gt;"",ISNA(MATCH(D2407&amp;"|"&amp;E2407,catClave,0))),"⚠ Subcategoría no corresponde",IF(AND(OR(P2407="Transferencia",P2407="Pago tarjeta"),K2407=""),"⚠ Falta cuenta destino",IF(AND(K2407&lt;&gt;"",P2407&lt;&gt;"Transferencia",P2407&lt;&gt;"Pago tarjeta"),"⚠ Destino solo aplica a transferencias",IF(AND(K2407&lt;&gt;"",K2407=Q2407),"⚠ Origen igual a destino",IF(AND(K2407&lt;&gt;"",ISNA(MATCH(K2407,ctaNombre,0))),"⚠ Destino no registrado",IF(AND(P2407="Pago tarjeta",AE2407&lt;&gt;"Tarjeta de crédito"),"⚠ El destino debe ser tarjeta de crédito",IF(AND(P2407="Gasto",E2407="Depósitos y retiros"),"⚠ Usa tipo Transferencia",IF(AND(P2407="Resultado trading",AD2407&lt;&gt;"Cuenta de trading"),"⚠ Usa una cuenta de trading",IF(AND(G2407&lt;=0,P2407&lt;&gt;"Ajuste",P2407&lt;&gt;"Resultado trading"),"⚠ El monto debe ser positivo","✓")))))))))))))))</f>
        <v/>
      </c>
      <c r="P2407" s="52">
        <f>IF(OR(B2407="",G2407=""),"",IF(C2407="","Gasto",C2407))</f>
        <v/>
      </c>
      <c r="Q2407" s="52">
        <f>IF(P2407="","",IF(J2407&lt;&gt;"",J2407,CuentaPred&amp;""))</f>
        <v/>
      </c>
      <c r="R2407" s="52">
        <f>IF(P2407="","",IF(ISNUMBER(I2407),I2407,TasaUSD))</f>
        <v/>
      </c>
      <c r="S2407" s="53">
        <f>IF(P2407="","",IF(H2407="USD",G2407*R2407,G2407))</f>
        <v/>
      </c>
      <c r="T2407" s="53">
        <f>IF(P2407="","",IF(H2407="USD",G2407,IF(R2407&gt;0,G2407/R2407,0)))</f>
        <v/>
      </c>
      <c r="U2407" s="53">
        <f>IF(P2407="","",IF(P2407="Gasto",S2407,IF(P2407="Reembolso",-S2407,0)))</f>
        <v/>
      </c>
      <c r="V2407" s="53">
        <f>IF(P2407="","",IF(P2407="Ingreso",S2407,0))</f>
        <v/>
      </c>
      <c r="W2407" s="53">
        <f>IF(P2407="","",IF(P2407="Resultado trading",S2407,0))</f>
        <v/>
      </c>
      <c r="X2407" s="52">
        <f>IF(OR(P2407="Gasto",P2407="Reembolso"),IF(M2407&lt;&gt;"",M2407,IFERROR(INDEX(catClasif,MATCH(D2407&amp;"|"&amp;E2407,catClave,0))&amp;"","Variable")),"")</f>
        <v/>
      </c>
      <c r="Y2407" s="52">
        <f>IF(P2407="","",IFERROR(INDEX(catGrupo,MATCH(D2407&amp;"|"&amp;E2407,catClave,0))&amp;"",""))</f>
        <v/>
      </c>
      <c r="Z2407" s="52">
        <f>IF(P2407="","",WEEKDAY(B2407,2))</f>
        <v/>
      </c>
      <c r="AA2407" s="52">
        <f>IF(P2407="","",IF(AND(P2407="Gasto",X2407="Variable",D2407&lt;&gt;catTrading,S2407&gt;0,S2407&lt;=Umbral),1,0))</f>
        <v/>
      </c>
      <c r="AB2407" s="52">
        <f>IF(OR(P2407="",Q2407=""),"",IFERROR(IF(INDEX(ctaVinc,MATCH(Q2407,ctaNombre,0))&amp;""&lt;&gt;"",INDEX(ctaVinc,MATCH(Q2407,ctaNombre,0))&amp;"",Q2407),Q2407))</f>
        <v/>
      </c>
      <c r="AC2407" s="52">
        <f>IF(OR(K2407="",AND(P2407&lt;&gt;"Transferencia",P2407&lt;&gt;"Pago tarjeta")),"",IFERROR(IF(INDEX(ctaVinc,MATCH(K2407,ctaNombre,0))&amp;""&lt;&gt;"",INDEX(ctaVinc,MATCH(K2407,ctaNombre,0))&amp;"",K2407),K2407))</f>
        <v/>
      </c>
      <c r="AD2407" s="52">
        <f>IF(AB2407="","",IFERROR(INDEX(ctaTipo,MATCH(AB2407,ctaNombre,0))&amp;"",""))</f>
        <v/>
      </c>
      <c r="AE2407" s="52">
        <f>IF(AC2407="","",IFERROR(INDEX(ctaTipo,MATCH(AC2407,ctaNombre,0))&amp;"",""))</f>
        <v/>
      </c>
      <c r="AF2407" s="53">
        <f>IF(OR(P2407="",AB2407=""),"",IF(OR(P2407="Gasto",P2407="Transferencia",P2407="Pago tarjeta"),-1,1)*IF(IFERROR(INDEX(ctaMoneda,MATCH(AB2407,ctaNombre,0))&amp;"","DOP")="USD",T2407,S2407))</f>
        <v/>
      </c>
      <c r="AG2407" s="53">
        <f>IF(AC2407="","",IF(IFERROR(INDEX(ctaMoneda,MATCH(AC2407,ctaNombre,0))&amp;"","DOP")="USD",T2407,S2407))</f>
        <v/>
      </c>
      <c r="AH2407" s="53">
        <f>IF(P2407="","",IF(AND(AD2407&lt;&gt;"",COUNTIFS(tcTipo,AD2407,tcLiq,"Sí")&gt;0),IF(OR(P2407="Gasto",P2407="Transferencia",P2407="Pago tarjeta"),-1,1)*S2407,0)+IF(AND(AE2407&lt;&gt;"",COUNTIFS(tcTipo,AE2407,tcLiq,"Sí")&gt;0),S2407,0))</f>
        <v/>
      </c>
      <c r="AI2407" s="52">
        <f>IF(OR(L2407="",P2407=""),"",IF(COUNTIFS(L$6:L2407,L2407,P$6:P2407,"?*")=1,MAX(AI$5:AI2406)+1,""))</f>
        <v/>
      </c>
    </row>
    <row r="2408">
      <c r="B2408" s="47" t="n"/>
      <c r="C2408" s="48" t="n"/>
      <c r="D2408" s="48" t="n"/>
      <c r="E2408" s="48" t="n"/>
      <c r="F2408" s="48" t="n"/>
      <c r="G2408" s="49" t="n"/>
      <c r="H2408" s="48" t="n"/>
      <c r="I2408" s="50" t="n"/>
      <c r="J2408" s="48" t="n"/>
      <c r="K2408" s="48" t="n"/>
      <c r="L2408" s="48" t="n"/>
      <c r="M2408" s="48" t="n"/>
      <c r="N2408" s="48" t="n"/>
      <c r="O2408" s="51">
        <f>IF(AND(B2408="",G2408="",C2408="",D2408="",J2408=""),"",IF(B2408="","⚠ Falta fecha",IF(G2408="","⚠ Falta monto",IF(Q2408="","⚠ Falta cuenta",IF(ISNA(MATCH(Q2408,ctaNombre,0)),"⚠ Cuenta no registrada",IF(AND(OR(P2408="Gasto",P2408="Reembolso"),D2408=""),"⚠ Falta categoría",IF(AND(D2408&lt;&gt;"",E2408&lt;&gt;"",ISNA(MATCH(D2408&amp;"|"&amp;E2408,catClave,0))),"⚠ Subcategoría no corresponde",IF(AND(OR(P2408="Transferencia",P2408="Pago tarjeta"),K2408=""),"⚠ Falta cuenta destino",IF(AND(K2408&lt;&gt;"",P2408&lt;&gt;"Transferencia",P2408&lt;&gt;"Pago tarjeta"),"⚠ Destino solo aplica a transferencias",IF(AND(K2408&lt;&gt;"",K2408=Q2408),"⚠ Origen igual a destino",IF(AND(K2408&lt;&gt;"",ISNA(MATCH(K2408,ctaNombre,0))),"⚠ Destino no registrado",IF(AND(P2408="Pago tarjeta",AE2408&lt;&gt;"Tarjeta de crédito"),"⚠ El destino debe ser tarjeta de crédito",IF(AND(P2408="Gasto",E2408="Depósitos y retiros"),"⚠ Usa tipo Transferencia",IF(AND(P2408="Resultado trading",AD2408&lt;&gt;"Cuenta de trading"),"⚠ Usa una cuenta de trading",IF(AND(G2408&lt;=0,P2408&lt;&gt;"Ajuste",P2408&lt;&gt;"Resultado trading"),"⚠ El monto debe ser positivo","✓")))))))))))))))</f>
        <v/>
      </c>
      <c r="P2408" s="52">
        <f>IF(OR(B2408="",G2408=""),"",IF(C2408="","Gasto",C2408))</f>
        <v/>
      </c>
      <c r="Q2408" s="52">
        <f>IF(P2408="","",IF(J2408&lt;&gt;"",J2408,CuentaPred&amp;""))</f>
        <v/>
      </c>
      <c r="R2408" s="52">
        <f>IF(P2408="","",IF(ISNUMBER(I2408),I2408,TasaUSD))</f>
        <v/>
      </c>
      <c r="S2408" s="53">
        <f>IF(P2408="","",IF(H2408="USD",G2408*R2408,G2408))</f>
        <v/>
      </c>
      <c r="T2408" s="53">
        <f>IF(P2408="","",IF(H2408="USD",G2408,IF(R2408&gt;0,G2408/R2408,0)))</f>
        <v/>
      </c>
      <c r="U2408" s="53">
        <f>IF(P2408="","",IF(P2408="Gasto",S2408,IF(P2408="Reembolso",-S2408,0)))</f>
        <v/>
      </c>
      <c r="V2408" s="53">
        <f>IF(P2408="","",IF(P2408="Ingreso",S2408,0))</f>
        <v/>
      </c>
      <c r="W2408" s="53">
        <f>IF(P2408="","",IF(P2408="Resultado trading",S2408,0))</f>
        <v/>
      </c>
      <c r="X2408" s="52">
        <f>IF(OR(P2408="Gasto",P2408="Reembolso"),IF(M2408&lt;&gt;"",M2408,IFERROR(INDEX(catClasif,MATCH(D2408&amp;"|"&amp;E2408,catClave,0))&amp;"","Variable")),"")</f>
        <v/>
      </c>
      <c r="Y2408" s="52">
        <f>IF(P2408="","",IFERROR(INDEX(catGrupo,MATCH(D2408&amp;"|"&amp;E2408,catClave,0))&amp;"",""))</f>
        <v/>
      </c>
      <c r="Z2408" s="52">
        <f>IF(P2408="","",WEEKDAY(B2408,2))</f>
        <v/>
      </c>
      <c r="AA2408" s="52">
        <f>IF(P2408="","",IF(AND(P2408="Gasto",X2408="Variable",D2408&lt;&gt;catTrading,S2408&gt;0,S2408&lt;=Umbral),1,0))</f>
        <v/>
      </c>
      <c r="AB2408" s="52">
        <f>IF(OR(P2408="",Q2408=""),"",IFERROR(IF(INDEX(ctaVinc,MATCH(Q2408,ctaNombre,0))&amp;""&lt;&gt;"",INDEX(ctaVinc,MATCH(Q2408,ctaNombre,0))&amp;"",Q2408),Q2408))</f>
        <v/>
      </c>
      <c r="AC2408" s="52">
        <f>IF(OR(K2408="",AND(P2408&lt;&gt;"Transferencia",P2408&lt;&gt;"Pago tarjeta")),"",IFERROR(IF(INDEX(ctaVinc,MATCH(K2408,ctaNombre,0))&amp;""&lt;&gt;"",INDEX(ctaVinc,MATCH(K2408,ctaNombre,0))&amp;"",K2408),K2408))</f>
        <v/>
      </c>
      <c r="AD2408" s="52">
        <f>IF(AB2408="","",IFERROR(INDEX(ctaTipo,MATCH(AB2408,ctaNombre,0))&amp;"",""))</f>
        <v/>
      </c>
      <c r="AE2408" s="52">
        <f>IF(AC2408="","",IFERROR(INDEX(ctaTipo,MATCH(AC2408,ctaNombre,0))&amp;"",""))</f>
        <v/>
      </c>
      <c r="AF2408" s="53">
        <f>IF(OR(P2408="",AB2408=""),"",IF(OR(P2408="Gasto",P2408="Transferencia",P2408="Pago tarjeta"),-1,1)*IF(IFERROR(INDEX(ctaMoneda,MATCH(AB2408,ctaNombre,0))&amp;"","DOP")="USD",T2408,S2408))</f>
        <v/>
      </c>
      <c r="AG2408" s="53">
        <f>IF(AC2408="","",IF(IFERROR(INDEX(ctaMoneda,MATCH(AC2408,ctaNombre,0))&amp;"","DOP")="USD",T2408,S2408))</f>
        <v/>
      </c>
      <c r="AH2408" s="53">
        <f>IF(P2408="","",IF(AND(AD2408&lt;&gt;"",COUNTIFS(tcTipo,AD2408,tcLiq,"Sí")&gt;0),IF(OR(P2408="Gasto",P2408="Transferencia",P2408="Pago tarjeta"),-1,1)*S2408,0)+IF(AND(AE2408&lt;&gt;"",COUNTIFS(tcTipo,AE2408,tcLiq,"Sí")&gt;0),S2408,0))</f>
        <v/>
      </c>
      <c r="AI2408" s="52">
        <f>IF(OR(L2408="",P2408=""),"",IF(COUNTIFS(L$6:L2408,L2408,P$6:P2408,"?*")=1,MAX(AI$5:AI2407)+1,""))</f>
        <v/>
      </c>
    </row>
    <row r="2409">
      <c r="B2409" s="47" t="n"/>
      <c r="C2409" s="48" t="n"/>
      <c r="D2409" s="48" t="n"/>
      <c r="E2409" s="48" t="n"/>
      <c r="F2409" s="48" t="n"/>
      <c r="G2409" s="49" t="n"/>
      <c r="H2409" s="48" t="n"/>
      <c r="I2409" s="50" t="n"/>
      <c r="J2409" s="48" t="n"/>
      <c r="K2409" s="48" t="n"/>
      <c r="L2409" s="48" t="n"/>
      <c r="M2409" s="48" t="n"/>
      <c r="N2409" s="48" t="n"/>
      <c r="O2409" s="51">
        <f>IF(AND(B2409="",G2409="",C2409="",D2409="",J2409=""),"",IF(B2409="","⚠ Falta fecha",IF(G2409="","⚠ Falta monto",IF(Q2409="","⚠ Falta cuenta",IF(ISNA(MATCH(Q2409,ctaNombre,0)),"⚠ Cuenta no registrada",IF(AND(OR(P2409="Gasto",P2409="Reembolso"),D2409=""),"⚠ Falta categoría",IF(AND(D2409&lt;&gt;"",E2409&lt;&gt;"",ISNA(MATCH(D2409&amp;"|"&amp;E2409,catClave,0))),"⚠ Subcategoría no corresponde",IF(AND(OR(P2409="Transferencia",P2409="Pago tarjeta"),K2409=""),"⚠ Falta cuenta destino",IF(AND(K2409&lt;&gt;"",P2409&lt;&gt;"Transferencia",P2409&lt;&gt;"Pago tarjeta"),"⚠ Destino solo aplica a transferencias",IF(AND(K2409&lt;&gt;"",K2409=Q2409),"⚠ Origen igual a destino",IF(AND(K2409&lt;&gt;"",ISNA(MATCH(K2409,ctaNombre,0))),"⚠ Destino no registrado",IF(AND(P2409="Pago tarjeta",AE2409&lt;&gt;"Tarjeta de crédito"),"⚠ El destino debe ser tarjeta de crédito",IF(AND(P2409="Gasto",E2409="Depósitos y retiros"),"⚠ Usa tipo Transferencia",IF(AND(P2409="Resultado trading",AD2409&lt;&gt;"Cuenta de trading"),"⚠ Usa una cuenta de trading",IF(AND(G2409&lt;=0,P2409&lt;&gt;"Ajuste",P2409&lt;&gt;"Resultado trading"),"⚠ El monto debe ser positivo","✓")))))))))))))))</f>
        <v/>
      </c>
      <c r="P2409" s="52">
        <f>IF(OR(B2409="",G2409=""),"",IF(C2409="","Gasto",C2409))</f>
        <v/>
      </c>
      <c r="Q2409" s="52">
        <f>IF(P2409="","",IF(J2409&lt;&gt;"",J2409,CuentaPred&amp;""))</f>
        <v/>
      </c>
      <c r="R2409" s="52">
        <f>IF(P2409="","",IF(ISNUMBER(I2409),I2409,TasaUSD))</f>
        <v/>
      </c>
      <c r="S2409" s="53">
        <f>IF(P2409="","",IF(H2409="USD",G2409*R2409,G2409))</f>
        <v/>
      </c>
      <c r="T2409" s="53">
        <f>IF(P2409="","",IF(H2409="USD",G2409,IF(R2409&gt;0,G2409/R2409,0)))</f>
        <v/>
      </c>
      <c r="U2409" s="53">
        <f>IF(P2409="","",IF(P2409="Gasto",S2409,IF(P2409="Reembolso",-S2409,0)))</f>
        <v/>
      </c>
      <c r="V2409" s="53">
        <f>IF(P2409="","",IF(P2409="Ingreso",S2409,0))</f>
        <v/>
      </c>
      <c r="W2409" s="53">
        <f>IF(P2409="","",IF(P2409="Resultado trading",S2409,0))</f>
        <v/>
      </c>
      <c r="X2409" s="52">
        <f>IF(OR(P2409="Gasto",P2409="Reembolso"),IF(M2409&lt;&gt;"",M2409,IFERROR(INDEX(catClasif,MATCH(D2409&amp;"|"&amp;E2409,catClave,0))&amp;"","Variable")),"")</f>
        <v/>
      </c>
      <c r="Y2409" s="52">
        <f>IF(P2409="","",IFERROR(INDEX(catGrupo,MATCH(D2409&amp;"|"&amp;E2409,catClave,0))&amp;"",""))</f>
        <v/>
      </c>
      <c r="Z2409" s="52">
        <f>IF(P2409="","",WEEKDAY(B2409,2))</f>
        <v/>
      </c>
      <c r="AA2409" s="52">
        <f>IF(P2409="","",IF(AND(P2409="Gasto",X2409="Variable",D2409&lt;&gt;catTrading,S2409&gt;0,S2409&lt;=Umbral),1,0))</f>
        <v/>
      </c>
      <c r="AB2409" s="52">
        <f>IF(OR(P2409="",Q2409=""),"",IFERROR(IF(INDEX(ctaVinc,MATCH(Q2409,ctaNombre,0))&amp;""&lt;&gt;"",INDEX(ctaVinc,MATCH(Q2409,ctaNombre,0))&amp;"",Q2409),Q2409))</f>
        <v/>
      </c>
      <c r="AC2409" s="52">
        <f>IF(OR(K2409="",AND(P2409&lt;&gt;"Transferencia",P2409&lt;&gt;"Pago tarjeta")),"",IFERROR(IF(INDEX(ctaVinc,MATCH(K2409,ctaNombre,0))&amp;""&lt;&gt;"",INDEX(ctaVinc,MATCH(K2409,ctaNombre,0))&amp;"",K2409),K2409))</f>
        <v/>
      </c>
      <c r="AD2409" s="52">
        <f>IF(AB2409="","",IFERROR(INDEX(ctaTipo,MATCH(AB2409,ctaNombre,0))&amp;"",""))</f>
        <v/>
      </c>
      <c r="AE2409" s="52">
        <f>IF(AC2409="","",IFERROR(INDEX(ctaTipo,MATCH(AC2409,ctaNombre,0))&amp;"",""))</f>
        <v/>
      </c>
      <c r="AF2409" s="53">
        <f>IF(OR(P2409="",AB2409=""),"",IF(OR(P2409="Gasto",P2409="Transferencia",P2409="Pago tarjeta"),-1,1)*IF(IFERROR(INDEX(ctaMoneda,MATCH(AB2409,ctaNombre,0))&amp;"","DOP")="USD",T2409,S2409))</f>
        <v/>
      </c>
      <c r="AG2409" s="53">
        <f>IF(AC2409="","",IF(IFERROR(INDEX(ctaMoneda,MATCH(AC2409,ctaNombre,0))&amp;"","DOP")="USD",T2409,S2409))</f>
        <v/>
      </c>
      <c r="AH2409" s="53">
        <f>IF(P2409="","",IF(AND(AD2409&lt;&gt;"",COUNTIFS(tcTipo,AD2409,tcLiq,"Sí")&gt;0),IF(OR(P2409="Gasto",P2409="Transferencia",P2409="Pago tarjeta"),-1,1)*S2409,0)+IF(AND(AE2409&lt;&gt;"",COUNTIFS(tcTipo,AE2409,tcLiq,"Sí")&gt;0),S2409,0))</f>
        <v/>
      </c>
      <c r="AI2409" s="52">
        <f>IF(OR(L2409="",P2409=""),"",IF(COUNTIFS(L$6:L2409,L2409,P$6:P2409,"?*")=1,MAX(AI$5:AI2408)+1,""))</f>
        <v/>
      </c>
    </row>
    <row r="2410">
      <c r="B2410" s="47" t="n"/>
      <c r="C2410" s="48" t="n"/>
      <c r="D2410" s="48" t="n"/>
      <c r="E2410" s="48" t="n"/>
      <c r="F2410" s="48" t="n"/>
      <c r="G2410" s="49" t="n"/>
      <c r="H2410" s="48" t="n"/>
      <c r="I2410" s="50" t="n"/>
      <c r="J2410" s="48" t="n"/>
      <c r="K2410" s="48" t="n"/>
      <c r="L2410" s="48" t="n"/>
      <c r="M2410" s="48" t="n"/>
      <c r="N2410" s="48" t="n"/>
      <c r="O2410" s="51">
        <f>IF(AND(B2410="",G2410="",C2410="",D2410="",J2410=""),"",IF(B2410="","⚠ Falta fecha",IF(G2410="","⚠ Falta monto",IF(Q2410="","⚠ Falta cuenta",IF(ISNA(MATCH(Q2410,ctaNombre,0)),"⚠ Cuenta no registrada",IF(AND(OR(P2410="Gasto",P2410="Reembolso"),D2410=""),"⚠ Falta categoría",IF(AND(D2410&lt;&gt;"",E2410&lt;&gt;"",ISNA(MATCH(D2410&amp;"|"&amp;E2410,catClave,0))),"⚠ Subcategoría no corresponde",IF(AND(OR(P2410="Transferencia",P2410="Pago tarjeta"),K2410=""),"⚠ Falta cuenta destino",IF(AND(K2410&lt;&gt;"",P2410&lt;&gt;"Transferencia",P2410&lt;&gt;"Pago tarjeta"),"⚠ Destino solo aplica a transferencias",IF(AND(K2410&lt;&gt;"",K2410=Q2410),"⚠ Origen igual a destino",IF(AND(K2410&lt;&gt;"",ISNA(MATCH(K2410,ctaNombre,0))),"⚠ Destino no registrado",IF(AND(P2410="Pago tarjeta",AE2410&lt;&gt;"Tarjeta de crédito"),"⚠ El destino debe ser tarjeta de crédito",IF(AND(P2410="Gasto",E2410="Depósitos y retiros"),"⚠ Usa tipo Transferencia",IF(AND(P2410="Resultado trading",AD2410&lt;&gt;"Cuenta de trading"),"⚠ Usa una cuenta de trading",IF(AND(G2410&lt;=0,P2410&lt;&gt;"Ajuste",P2410&lt;&gt;"Resultado trading"),"⚠ El monto debe ser positivo","✓")))))))))))))))</f>
        <v/>
      </c>
      <c r="P2410" s="52">
        <f>IF(OR(B2410="",G2410=""),"",IF(C2410="","Gasto",C2410))</f>
        <v/>
      </c>
      <c r="Q2410" s="52">
        <f>IF(P2410="","",IF(J2410&lt;&gt;"",J2410,CuentaPred&amp;""))</f>
        <v/>
      </c>
      <c r="R2410" s="52">
        <f>IF(P2410="","",IF(ISNUMBER(I2410),I2410,TasaUSD))</f>
        <v/>
      </c>
      <c r="S2410" s="53">
        <f>IF(P2410="","",IF(H2410="USD",G2410*R2410,G2410))</f>
        <v/>
      </c>
      <c r="T2410" s="53">
        <f>IF(P2410="","",IF(H2410="USD",G2410,IF(R2410&gt;0,G2410/R2410,0)))</f>
        <v/>
      </c>
      <c r="U2410" s="53">
        <f>IF(P2410="","",IF(P2410="Gasto",S2410,IF(P2410="Reembolso",-S2410,0)))</f>
        <v/>
      </c>
      <c r="V2410" s="53">
        <f>IF(P2410="","",IF(P2410="Ingreso",S2410,0))</f>
        <v/>
      </c>
      <c r="W2410" s="53">
        <f>IF(P2410="","",IF(P2410="Resultado trading",S2410,0))</f>
        <v/>
      </c>
      <c r="X2410" s="52">
        <f>IF(OR(P2410="Gasto",P2410="Reembolso"),IF(M2410&lt;&gt;"",M2410,IFERROR(INDEX(catClasif,MATCH(D2410&amp;"|"&amp;E2410,catClave,0))&amp;"","Variable")),"")</f>
        <v/>
      </c>
      <c r="Y2410" s="52">
        <f>IF(P2410="","",IFERROR(INDEX(catGrupo,MATCH(D2410&amp;"|"&amp;E2410,catClave,0))&amp;"",""))</f>
        <v/>
      </c>
      <c r="Z2410" s="52">
        <f>IF(P2410="","",WEEKDAY(B2410,2))</f>
        <v/>
      </c>
      <c r="AA2410" s="52">
        <f>IF(P2410="","",IF(AND(P2410="Gasto",X2410="Variable",D2410&lt;&gt;catTrading,S2410&gt;0,S2410&lt;=Umbral),1,0))</f>
        <v/>
      </c>
      <c r="AB2410" s="52">
        <f>IF(OR(P2410="",Q2410=""),"",IFERROR(IF(INDEX(ctaVinc,MATCH(Q2410,ctaNombre,0))&amp;""&lt;&gt;"",INDEX(ctaVinc,MATCH(Q2410,ctaNombre,0))&amp;"",Q2410),Q2410))</f>
        <v/>
      </c>
      <c r="AC2410" s="52">
        <f>IF(OR(K2410="",AND(P2410&lt;&gt;"Transferencia",P2410&lt;&gt;"Pago tarjeta")),"",IFERROR(IF(INDEX(ctaVinc,MATCH(K2410,ctaNombre,0))&amp;""&lt;&gt;"",INDEX(ctaVinc,MATCH(K2410,ctaNombre,0))&amp;"",K2410),K2410))</f>
        <v/>
      </c>
      <c r="AD2410" s="52">
        <f>IF(AB2410="","",IFERROR(INDEX(ctaTipo,MATCH(AB2410,ctaNombre,0))&amp;"",""))</f>
        <v/>
      </c>
      <c r="AE2410" s="52">
        <f>IF(AC2410="","",IFERROR(INDEX(ctaTipo,MATCH(AC2410,ctaNombre,0))&amp;"",""))</f>
        <v/>
      </c>
      <c r="AF2410" s="53">
        <f>IF(OR(P2410="",AB2410=""),"",IF(OR(P2410="Gasto",P2410="Transferencia",P2410="Pago tarjeta"),-1,1)*IF(IFERROR(INDEX(ctaMoneda,MATCH(AB2410,ctaNombre,0))&amp;"","DOP")="USD",T2410,S2410))</f>
        <v/>
      </c>
      <c r="AG2410" s="53">
        <f>IF(AC2410="","",IF(IFERROR(INDEX(ctaMoneda,MATCH(AC2410,ctaNombre,0))&amp;"","DOP")="USD",T2410,S2410))</f>
        <v/>
      </c>
      <c r="AH2410" s="53">
        <f>IF(P2410="","",IF(AND(AD2410&lt;&gt;"",COUNTIFS(tcTipo,AD2410,tcLiq,"Sí")&gt;0),IF(OR(P2410="Gasto",P2410="Transferencia",P2410="Pago tarjeta"),-1,1)*S2410,0)+IF(AND(AE2410&lt;&gt;"",COUNTIFS(tcTipo,AE2410,tcLiq,"Sí")&gt;0),S2410,0))</f>
        <v/>
      </c>
      <c r="AI2410" s="52">
        <f>IF(OR(L2410="",P2410=""),"",IF(COUNTIFS(L$6:L2410,L2410,P$6:P2410,"?*")=1,MAX(AI$5:AI2409)+1,""))</f>
        <v/>
      </c>
    </row>
    <row r="2411">
      <c r="B2411" s="47" t="n"/>
      <c r="C2411" s="48" t="n"/>
      <c r="D2411" s="48" t="n"/>
      <c r="E2411" s="48" t="n"/>
      <c r="F2411" s="48" t="n"/>
      <c r="G2411" s="49" t="n"/>
      <c r="H2411" s="48" t="n"/>
      <c r="I2411" s="50" t="n"/>
      <c r="J2411" s="48" t="n"/>
      <c r="K2411" s="48" t="n"/>
      <c r="L2411" s="48" t="n"/>
      <c r="M2411" s="48" t="n"/>
      <c r="N2411" s="48" t="n"/>
      <c r="O2411" s="51">
        <f>IF(AND(B2411="",G2411="",C2411="",D2411="",J2411=""),"",IF(B2411="","⚠ Falta fecha",IF(G2411="","⚠ Falta monto",IF(Q2411="","⚠ Falta cuenta",IF(ISNA(MATCH(Q2411,ctaNombre,0)),"⚠ Cuenta no registrada",IF(AND(OR(P2411="Gasto",P2411="Reembolso"),D2411=""),"⚠ Falta categoría",IF(AND(D2411&lt;&gt;"",E2411&lt;&gt;"",ISNA(MATCH(D2411&amp;"|"&amp;E2411,catClave,0))),"⚠ Subcategoría no corresponde",IF(AND(OR(P2411="Transferencia",P2411="Pago tarjeta"),K2411=""),"⚠ Falta cuenta destino",IF(AND(K2411&lt;&gt;"",P2411&lt;&gt;"Transferencia",P2411&lt;&gt;"Pago tarjeta"),"⚠ Destino solo aplica a transferencias",IF(AND(K2411&lt;&gt;"",K2411=Q2411),"⚠ Origen igual a destino",IF(AND(K2411&lt;&gt;"",ISNA(MATCH(K2411,ctaNombre,0))),"⚠ Destino no registrado",IF(AND(P2411="Pago tarjeta",AE2411&lt;&gt;"Tarjeta de crédito"),"⚠ El destino debe ser tarjeta de crédito",IF(AND(P2411="Gasto",E2411="Depósitos y retiros"),"⚠ Usa tipo Transferencia",IF(AND(P2411="Resultado trading",AD2411&lt;&gt;"Cuenta de trading"),"⚠ Usa una cuenta de trading",IF(AND(G2411&lt;=0,P2411&lt;&gt;"Ajuste",P2411&lt;&gt;"Resultado trading"),"⚠ El monto debe ser positivo","✓")))))))))))))))</f>
        <v/>
      </c>
      <c r="P2411" s="52">
        <f>IF(OR(B2411="",G2411=""),"",IF(C2411="","Gasto",C2411))</f>
        <v/>
      </c>
      <c r="Q2411" s="52">
        <f>IF(P2411="","",IF(J2411&lt;&gt;"",J2411,CuentaPred&amp;""))</f>
        <v/>
      </c>
      <c r="R2411" s="52">
        <f>IF(P2411="","",IF(ISNUMBER(I2411),I2411,TasaUSD))</f>
        <v/>
      </c>
      <c r="S2411" s="53">
        <f>IF(P2411="","",IF(H2411="USD",G2411*R2411,G2411))</f>
        <v/>
      </c>
      <c r="T2411" s="53">
        <f>IF(P2411="","",IF(H2411="USD",G2411,IF(R2411&gt;0,G2411/R2411,0)))</f>
        <v/>
      </c>
      <c r="U2411" s="53">
        <f>IF(P2411="","",IF(P2411="Gasto",S2411,IF(P2411="Reembolso",-S2411,0)))</f>
        <v/>
      </c>
      <c r="V2411" s="53">
        <f>IF(P2411="","",IF(P2411="Ingreso",S2411,0))</f>
        <v/>
      </c>
      <c r="W2411" s="53">
        <f>IF(P2411="","",IF(P2411="Resultado trading",S2411,0))</f>
        <v/>
      </c>
      <c r="X2411" s="52">
        <f>IF(OR(P2411="Gasto",P2411="Reembolso"),IF(M2411&lt;&gt;"",M2411,IFERROR(INDEX(catClasif,MATCH(D2411&amp;"|"&amp;E2411,catClave,0))&amp;"","Variable")),"")</f>
        <v/>
      </c>
      <c r="Y2411" s="52">
        <f>IF(P2411="","",IFERROR(INDEX(catGrupo,MATCH(D2411&amp;"|"&amp;E2411,catClave,0))&amp;"",""))</f>
        <v/>
      </c>
      <c r="Z2411" s="52">
        <f>IF(P2411="","",WEEKDAY(B2411,2))</f>
        <v/>
      </c>
      <c r="AA2411" s="52">
        <f>IF(P2411="","",IF(AND(P2411="Gasto",X2411="Variable",D2411&lt;&gt;catTrading,S2411&gt;0,S2411&lt;=Umbral),1,0))</f>
        <v/>
      </c>
      <c r="AB2411" s="52">
        <f>IF(OR(P2411="",Q2411=""),"",IFERROR(IF(INDEX(ctaVinc,MATCH(Q2411,ctaNombre,0))&amp;""&lt;&gt;"",INDEX(ctaVinc,MATCH(Q2411,ctaNombre,0))&amp;"",Q2411),Q2411))</f>
        <v/>
      </c>
      <c r="AC2411" s="52">
        <f>IF(OR(K2411="",AND(P2411&lt;&gt;"Transferencia",P2411&lt;&gt;"Pago tarjeta")),"",IFERROR(IF(INDEX(ctaVinc,MATCH(K2411,ctaNombre,0))&amp;""&lt;&gt;"",INDEX(ctaVinc,MATCH(K2411,ctaNombre,0))&amp;"",K2411),K2411))</f>
        <v/>
      </c>
      <c r="AD2411" s="52">
        <f>IF(AB2411="","",IFERROR(INDEX(ctaTipo,MATCH(AB2411,ctaNombre,0))&amp;"",""))</f>
        <v/>
      </c>
      <c r="AE2411" s="52">
        <f>IF(AC2411="","",IFERROR(INDEX(ctaTipo,MATCH(AC2411,ctaNombre,0))&amp;"",""))</f>
        <v/>
      </c>
      <c r="AF2411" s="53">
        <f>IF(OR(P2411="",AB2411=""),"",IF(OR(P2411="Gasto",P2411="Transferencia",P2411="Pago tarjeta"),-1,1)*IF(IFERROR(INDEX(ctaMoneda,MATCH(AB2411,ctaNombre,0))&amp;"","DOP")="USD",T2411,S2411))</f>
        <v/>
      </c>
      <c r="AG2411" s="53">
        <f>IF(AC2411="","",IF(IFERROR(INDEX(ctaMoneda,MATCH(AC2411,ctaNombre,0))&amp;"","DOP")="USD",T2411,S2411))</f>
        <v/>
      </c>
      <c r="AH2411" s="53">
        <f>IF(P2411="","",IF(AND(AD2411&lt;&gt;"",COUNTIFS(tcTipo,AD2411,tcLiq,"Sí")&gt;0),IF(OR(P2411="Gasto",P2411="Transferencia",P2411="Pago tarjeta"),-1,1)*S2411,0)+IF(AND(AE2411&lt;&gt;"",COUNTIFS(tcTipo,AE2411,tcLiq,"Sí")&gt;0),S2411,0))</f>
        <v/>
      </c>
      <c r="AI2411" s="52">
        <f>IF(OR(L2411="",P2411=""),"",IF(COUNTIFS(L$6:L2411,L2411,P$6:P2411,"?*")=1,MAX(AI$5:AI2410)+1,""))</f>
        <v/>
      </c>
    </row>
    <row r="2412">
      <c r="B2412" s="47" t="n"/>
      <c r="C2412" s="48" t="n"/>
      <c r="D2412" s="48" t="n"/>
      <c r="E2412" s="48" t="n"/>
      <c r="F2412" s="48" t="n"/>
      <c r="G2412" s="49" t="n"/>
      <c r="H2412" s="48" t="n"/>
      <c r="I2412" s="50" t="n"/>
      <c r="J2412" s="48" t="n"/>
      <c r="K2412" s="48" t="n"/>
      <c r="L2412" s="48" t="n"/>
      <c r="M2412" s="48" t="n"/>
      <c r="N2412" s="48" t="n"/>
      <c r="O2412" s="51">
        <f>IF(AND(B2412="",G2412="",C2412="",D2412="",J2412=""),"",IF(B2412="","⚠ Falta fecha",IF(G2412="","⚠ Falta monto",IF(Q2412="","⚠ Falta cuenta",IF(ISNA(MATCH(Q2412,ctaNombre,0)),"⚠ Cuenta no registrada",IF(AND(OR(P2412="Gasto",P2412="Reembolso"),D2412=""),"⚠ Falta categoría",IF(AND(D2412&lt;&gt;"",E2412&lt;&gt;"",ISNA(MATCH(D2412&amp;"|"&amp;E2412,catClave,0))),"⚠ Subcategoría no corresponde",IF(AND(OR(P2412="Transferencia",P2412="Pago tarjeta"),K2412=""),"⚠ Falta cuenta destino",IF(AND(K2412&lt;&gt;"",P2412&lt;&gt;"Transferencia",P2412&lt;&gt;"Pago tarjeta"),"⚠ Destino solo aplica a transferencias",IF(AND(K2412&lt;&gt;"",K2412=Q2412),"⚠ Origen igual a destino",IF(AND(K2412&lt;&gt;"",ISNA(MATCH(K2412,ctaNombre,0))),"⚠ Destino no registrado",IF(AND(P2412="Pago tarjeta",AE2412&lt;&gt;"Tarjeta de crédito"),"⚠ El destino debe ser tarjeta de crédito",IF(AND(P2412="Gasto",E2412="Depósitos y retiros"),"⚠ Usa tipo Transferencia",IF(AND(P2412="Resultado trading",AD2412&lt;&gt;"Cuenta de trading"),"⚠ Usa una cuenta de trading",IF(AND(G2412&lt;=0,P2412&lt;&gt;"Ajuste",P2412&lt;&gt;"Resultado trading"),"⚠ El monto debe ser positivo","✓")))))))))))))))</f>
        <v/>
      </c>
      <c r="P2412" s="52">
        <f>IF(OR(B2412="",G2412=""),"",IF(C2412="","Gasto",C2412))</f>
        <v/>
      </c>
      <c r="Q2412" s="52">
        <f>IF(P2412="","",IF(J2412&lt;&gt;"",J2412,CuentaPred&amp;""))</f>
        <v/>
      </c>
      <c r="R2412" s="52">
        <f>IF(P2412="","",IF(ISNUMBER(I2412),I2412,TasaUSD))</f>
        <v/>
      </c>
      <c r="S2412" s="53">
        <f>IF(P2412="","",IF(H2412="USD",G2412*R2412,G2412))</f>
        <v/>
      </c>
      <c r="T2412" s="53">
        <f>IF(P2412="","",IF(H2412="USD",G2412,IF(R2412&gt;0,G2412/R2412,0)))</f>
        <v/>
      </c>
      <c r="U2412" s="53">
        <f>IF(P2412="","",IF(P2412="Gasto",S2412,IF(P2412="Reembolso",-S2412,0)))</f>
        <v/>
      </c>
      <c r="V2412" s="53">
        <f>IF(P2412="","",IF(P2412="Ingreso",S2412,0))</f>
        <v/>
      </c>
      <c r="W2412" s="53">
        <f>IF(P2412="","",IF(P2412="Resultado trading",S2412,0))</f>
        <v/>
      </c>
      <c r="X2412" s="52">
        <f>IF(OR(P2412="Gasto",P2412="Reembolso"),IF(M2412&lt;&gt;"",M2412,IFERROR(INDEX(catClasif,MATCH(D2412&amp;"|"&amp;E2412,catClave,0))&amp;"","Variable")),"")</f>
        <v/>
      </c>
      <c r="Y2412" s="52">
        <f>IF(P2412="","",IFERROR(INDEX(catGrupo,MATCH(D2412&amp;"|"&amp;E2412,catClave,0))&amp;"",""))</f>
        <v/>
      </c>
      <c r="Z2412" s="52">
        <f>IF(P2412="","",WEEKDAY(B2412,2))</f>
        <v/>
      </c>
      <c r="AA2412" s="52">
        <f>IF(P2412="","",IF(AND(P2412="Gasto",X2412="Variable",D2412&lt;&gt;catTrading,S2412&gt;0,S2412&lt;=Umbral),1,0))</f>
        <v/>
      </c>
      <c r="AB2412" s="52">
        <f>IF(OR(P2412="",Q2412=""),"",IFERROR(IF(INDEX(ctaVinc,MATCH(Q2412,ctaNombre,0))&amp;""&lt;&gt;"",INDEX(ctaVinc,MATCH(Q2412,ctaNombre,0))&amp;"",Q2412),Q2412))</f>
        <v/>
      </c>
      <c r="AC2412" s="52">
        <f>IF(OR(K2412="",AND(P2412&lt;&gt;"Transferencia",P2412&lt;&gt;"Pago tarjeta")),"",IFERROR(IF(INDEX(ctaVinc,MATCH(K2412,ctaNombre,0))&amp;""&lt;&gt;"",INDEX(ctaVinc,MATCH(K2412,ctaNombre,0))&amp;"",K2412),K2412))</f>
        <v/>
      </c>
      <c r="AD2412" s="52">
        <f>IF(AB2412="","",IFERROR(INDEX(ctaTipo,MATCH(AB2412,ctaNombre,0))&amp;"",""))</f>
        <v/>
      </c>
      <c r="AE2412" s="52">
        <f>IF(AC2412="","",IFERROR(INDEX(ctaTipo,MATCH(AC2412,ctaNombre,0))&amp;"",""))</f>
        <v/>
      </c>
      <c r="AF2412" s="53">
        <f>IF(OR(P2412="",AB2412=""),"",IF(OR(P2412="Gasto",P2412="Transferencia",P2412="Pago tarjeta"),-1,1)*IF(IFERROR(INDEX(ctaMoneda,MATCH(AB2412,ctaNombre,0))&amp;"","DOP")="USD",T2412,S2412))</f>
        <v/>
      </c>
      <c r="AG2412" s="53">
        <f>IF(AC2412="","",IF(IFERROR(INDEX(ctaMoneda,MATCH(AC2412,ctaNombre,0))&amp;"","DOP")="USD",T2412,S2412))</f>
        <v/>
      </c>
      <c r="AH2412" s="53">
        <f>IF(P2412="","",IF(AND(AD2412&lt;&gt;"",COUNTIFS(tcTipo,AD2412,tcLiq,"Sí")&gt;0),IF(OR(P2412="Gasto",P2412="Transferencia",P2412="Pago tarjeta"),-1,1)*S2412,0)+IF(AND(AE2412&lt;&gt;"",COUNTIFS(tcTipo,AE2412,tcLiq,"Sí")&gt;0),S2412,0))</f>
        <v/>
      </c>
      <c r="AI2412" s="52">
        <f>IF(OR(L2412="",P2412=""),"",IF(COUNTIFS(L$6:L2412,L2412,P$6:P2412,"?*")=1,MAX(AI$5:AI2411)+1,""))</f>
        <v/>
      </c>
    </row>
    <row r="2413">
      <c r="B2413" s="47" t="n"/>
      <c r="C2413" s="48" t="n"/>
      <c r="D2413" s="48" t="n"/>
      <c r="E2413" s="48" t="n"/>
      <c r="F2413" s="48" t="n"/>
      <c r="G2413" s="49" t="n"/>
      <c r="H2413" s="48" t="n"/>
      <c r="I2413" s="50" t="n"/>
      <c r="J2413" s="48" t="n"/>
      <c r="K2413" s="48" t="n"/>
      <c r="L2413" s="48" t="n"/>
      <c r="M2413" s="48" t="n"/>
      <c r="N2413" s="48" t="n"/>
      <c r="O2413" s="51">
        <f>IF(AND(B2413="",G2413="",C2413="",D2413="",J2413=""),"",IF(B2413="","⚠ Falta fecha",IF(G2413="","⚠ Falta monto",IF(Q2413="","⚠ Falta cuenta",IF(ISNA(MATCH(Q2413,ctaNombre,0)),"⚠ Cuenta no registrada",IF(AND(OR(P2413="Gasto",P2413="Reembolso"),D2413=""),"⚠ Falta categoría",IF(AND(D2413&lt;&gt;"",E2413&lt;&gt;"",ISNA(MATCH(D2413&amp;"|"&amp;E2413,catClave,0))),"⚠ Subcategoría no corresponde",IF(AND(OR(P2413="Transferencia",P2413="Pago tarjeta"),K2413=""),"⚠ Falta cuenta destino",IF(AND(K2413&lt;&gt;"",P2413&lt;&gt;"Transferencia",P2413&lt;&gt;"Pago tarjeta"),"⚠ Destino solo aplica a transferencias",IF(AND(K2413&lt;&gt;"",K2413=Q2413),"⚠ Origen igual a destino",IF(AND(K2413&lt;&gt;"",ISNA(MATCH(K2413,ctaNombre,0))),"⚠ Destino no registrado",IF(AND(P2413="Pago tarjeta",AE2413&lt;&gt;"Tarjeta de crédito"),"⚠ El destino debe ser tarjeta de crédito",IF(AND(P2413="Gasto",E2413="Depósitos y retiros"),"⚠ Usa tipo Transferencia",IF(AND(P2413="Resultado trading",AD2413&lt;&gt;"Cuenta de trading"),"⚠ Usa una cuenta de trading",IF(AND(G2413&lt;=0,P2413&lt;&gt;"Ajuste",P2413&lt;&gt;"Resultado trading"),"⚠ El monto debe ser positivo","✓")))))))))))))))</f>
        <v/>
      </c>
      <c r="P2413" s="52">
        <f>IF(OR(B2413="",G2413=""),"",IF(C2413="","Gasto",C2413))</f>
        <v/>
      </c>
      <c r="Q2413" s="52">
        <f>IF(P2413="","",IF(J2413&lt;&gt;"",J2413,CuentaPred&amp;""))</f>
        <v/>
      </c>
      <c r="R2413" s="52">
        <f>IF(P2413="","",IF(ISNUMBER(I2413),I2413,TasaUSD))</f>
        <v/>
      </c>
      <c r="S2413" s="53">
        <f>IF(P2413="","",IF(H2413="USD",G2413*R2413,G2413))</f>
        <v/>
      </c>
      <c r="T2413" s="53">
        <f>IF(P2413="","",IF(H2413="USD",G2413,IF(R2413&gt;0,G2413/R2413,0)))</f>
        <v/>
      </c>
      <c r="U2413" s="53">
        <f>IF(P2413="","",IF(P2413="Gasto",S2413,IF(P2413="Reembolso",-S2413,0)))</f>
        <v/>
      </c>
      <c r="V2413" s="53">
        <f>IF(P2413="","",IF(P2413="Ingreso",S2413,0))</f>
        <v/>
      </c>
      <c r="W2413" s="53">
        <f>IF(P2413="","",IF(P2413="Resultado trading",S2413,0))</f>
        <v/>
      </c>
      <c r="X2413" s="52">
        <f>IF(OR(P2413="Gasto",P2413="Reembolso"),IF(M2413&lt;&gt;"",M2413,IFERROR(INDEX(catClasif,MATCH(D2413&amp;"|"&amp;E2413,catClave,0))&amp;"","Variable")),"")</f>
        <v/>
      </c>
      <c r="Y2413" s="52">
        <f>IF(P2413="","",IFERROR(INDEX(catGrupo,MATCH(D2413&amp;"|"&amp;E2413,catClave,0))&amp;"",""))</f>
        <v/>
      </c>
      <c r="Z2413" s="52">
        <f>IF(P2413="","",WEEKDAY(B2413,2))</f>
        <v/>
      </c>
      <c r="AA2413" s="52">
        <f>IF(P2413="","",IF(AND(P2413="Gasto",X2413="Variable",D2413&lt;&gt;catTrading,S2413&gt;0,S2413&lt;=Umbral),1,0))</f>
        <v/>
      </c>
      <c r="AB2413" s="52">
        <f>IF(OR(P2413="",Q2413=""),"",IFERROR(IF(INDEX(ctaVinc,MATCH(Q2413,ctaNombre,0))&amp;""&lt;&gt;"",INDEX(ctaVinc,MATCH(Q2413,ctaNombre,0))&amp;"",Q2413),Q2413))</f>
        <v/>
      </c>
      <c r="AC2413" s="52">
        <f>IF(OR(K2413="",AND(P2413&lt;&gt;"Transferencia",P2413&lt;&gt;"Pago tarjeta")),"",IFERROR(IF(INDEX(ctaVinc,MATCH(K2413,ctaNombre,0))&amp;""&lt;&gt;"",INDEX(ctaVinc,MATCH(K2413,ctaNombre,0))&amp;"",K2413),K2413))</f>
        <v/>
      </c>
      <c r="AD2413" s="52">
        <f>IF(AB2413="","",IFERROR(INDEX(ctaTipo,MATCH(AB2413,ctaNombre,0))&amp;"",""))</f>
        <v/>
      </c>
      <c r="AE2413" s="52">
        <f>IF(AC2413="","",IFERROR(INDEX(ctaTipo,MATCH(AC2413,ctaNombre,0))&amp;"",""))</f>
        <v/>
      </c>
      <c r="AF2413" s="53">
        <f>IF(OR(P2413="",AB2413=""),"",IF(OR(P2413="Gasto",P2413="Transferencia",P2413="Pago tarjeta"),-1,1)*IF(IFERROR(INDEX(ctaMoneda,MATCH(AB2413,ctaNombre,0))&amp;"","DOP")="USD",T2413,S2413))</f>
        <v/>
      </c>
      <c r="AG2413" s="53">
        <f>IF(AC2413="","",IF(IFERROR(INDEX(ctaMoneda,MATCH(AC2413,ctaNombre,0))&amp;"","DOP")="USD",T2413,S2413))</f>
        <v/>
      </c>
      <c r="AH2413" s="53">
        <f>IF(P2413="","",IF(AND(AD2413&lt;&gt;"",COUNTIFS(tcTipo,AD2413,tcLiq,"Sí")&gt;0),IF(OR(P2413="Gasto",P2413="Transferencia",P2413="Pago tarjeta"),-1,1)*S2413,0)+IF(AND(AE2413&lt;&gt;"",COUNTIFS(tcTipo,AE2413,tcLiq,"Sí")&gt;0),S2413,0))</f>
        <v/>
      </c>
      <c r="AI2413" s="52">
        <f>IF(OR(L2413="",P2413=""),"",IF(COUNTIFS(L$6:L2413,L2413,P$6:P2413,"?*")=1,MAX(AI$5:AI2412)+1,""))</f>
        <v/>
      </c>
    </row>
    <row r="2414">
      <c r="B2414" s="47" t="n"/>
      <c r="C2414" s="48" t="n"/>
      <c r="D2414" s="48" t="n"/>
      <c r="E2414" s="48" t="n"/>
      <c r="F2414" s="48" t="n"/>
      <c r="G2414" s="49" t="n"/>
      <c r="H2414" s="48" t="n"/>
      <c r="I2414" s="50" t="n"/>
      <c r="J2414" s="48" t="n"/>
      <c r="K2414" s="48" t="n"/>
      <c r="L2414" s="48" t="n"/>
      <c r="M2414" s="48" t="n"/>
      <c r="N2414" s="48" t="n"/>
      <c r="O2414" s="51">
        <f>IF(AND(B2414="",G2414="",C2414="",D2414="",J2414=""),"",IF(B2414="","⚠ Falta fecha",IF(G2414="","⚠ Falta monto",IF(Q2414="","⚠ Falta cuenta",IF(ISNA(MATCH(Q2414,ctaNombre,0)),"⚠ Cuenta no registrada",IF(AND(OR(P2414="Gasto",P2414="Reembolso"),D2414=""),"⚠ Falta categoría",IF(AND(D2414&lt;&gt;"",E2414&lt;&gt;"",ISNA(MATCH(D2414&amp;"|"&amp;E2414,catClave,0))),"⚠ Subcategoría no corresponde",IF(AND(OR(P2414="Transferencia",P2414="Pago tarjeta"),K2414=""),"⚠ Falta cuenta destino",IF(AND(K2414&lt;&gt;"",P2414&lt;&gt;"Transferencia",P2414&lt;&gt;"Pago tarjeta"),"⚠ Destino solo aplica a transferencias",IF(AND(K2414&lt;&gt;"",K2414=Q2414),"⚠ Origen igual a destino",IF(AND(K2414&lt;&gt;"",ISNA(MATCH(K2414,ctaNombre,0))),"⚠ Destino no registrado",IF(AND(P2414="Pago tarjeta",AE2414&lt;&gt;"Tarjeta de crédito"),"⚠ El destino debe ser tarjeta de crédito",IF(AND(P2414="Gasto",E2414="Depósitos y retiros"),"⚠ Usa tipo Transferencia",IF(AND(P2414="Resultado trading",AD2414&lt;&gt;"Cuenta de trading"),"⚠ Usa una cuenta de trading",IF(AND(G2414&lt;=0,P2414&lt;&gt;"Ajuste",P2414&lt;&gt;"Resultado trading"),"⚠ El monto debe ser positivo","✓")))))))))))))))</f>
        <v/>
      </c>
      <c r="P2414" s="52">
        <f>IF(OR(B2414="",G2414=""),"",IF(C2414="","Gasto",C2414))</f>
        <v/>
      </c>
      <c r="Q2414" s="52">
        <f>IF(P2414="","",IF(J2414&lt;&gt;"",J2414,CuentaPred&amp;""))</f>
        <v/>
      </c>
      <c r="R2414" s="52">
        <f>IF(P2414="","",IF(ISNUMBER(I2414),I2414,TasaUSD))</f>
        <v/>
      </c>
      <c r="S2414" s="53">
        <f>IF(P2414="","",IF(H2414="USD",G2414*R2414,G2414))</f>
        <v/>
      </c>
      <c r="T2414" s="53">
        <f>IF(P2414="","",IF(H2414="USD",G2414,IF(R2414&gt;0,G2414/R2414,0)))</f>
        <v/>
      </c>
      <c r="U2414" s="53">
        <f>IF(P2414="","",IF(P2414="Gasto",S2414,IF(P2414="Reembolso",-S2414,0)))</f>
        <v/>
      </c>
      <c r="V2414" s="53">
        <f>IF(P2414="","",IF(P2414="Ingreso",S2414,0))</f>
        <v/>
      </c>
      <c r="W2414" s="53">
        <f>IF(P2414="","",IF(P2414="Resultado trading",S2414,0))</f>
        <v/>
      </c>
      <c r="X2414" s="52">
        <f>IF(OR(P2414="Gasto",P2414="Reembolso"),IF(M2414&lt;&gt;"",M2414,IFERROR(INDEX(catClasif,MATCH(D2414&amp;"|"&amp;E2414,catClave,0))&amp;"","Variable")),"")</f>
        <v/>
      </c>
      <c r="Y2414" s="52">
        <f>IF(P2414="","",IFERROR(INDEX(catGrupo,MATCH(D2414&amp;"|"&amp;E2414,catClave,0))&amp;"",""))</f>
        <v/>
      </c>
      <c r="Z2414" s="52">
        <f>IF(P2414="","",WEEKDAY(B2414,2))</f>
        <v/>
      </c>
      <c r="AA2414" s="52">
        <f>IF(P2414="","",IF(AND(P2414="Gasto",X2414="Variable",D2414&lt;&gt;catTrading,S2414&gt;0,S2414&lt;=Umbral),1,0))</f>
        <v/>
      </c>
      <c r="AB2414" s="52">
        <f>IF(OR(P2414="",Q2414=""),"",IFERROR(IF(INDEX(ctaVinc,MATCH(Q2414,ctaNombre,0))&amp;""&lt;&gt;"",INDEX(ctaVinc,MATCH(Q2414,ctaNombre,0))&amp;"",Q2414),Q2414))</f>
        <v/>
      </c>
      <c r="AC2414" s="52">
        <f>IF(OR(K2414="",AND(P2414&lt;&gt;"Transferencia",P2414&lt;&gt;"Pago tarjeta")),"",IFERROR(IF(INDEX(ctaVinc,MATCH(K2414,ctaNombre,0))&amp;""&lt;&gt;"",INDEX(ctaVinc,MATCH(K2414,ctaNombre,0))&amp;"",K2414),K2414))</f>
        <v/>
      </c>
      <c r="AD2414" s="52">
        <f>IF(AB2414="","",IFERROR(INDEX(ctaTipo,MATCH(AB2414,ctaNombre,0))&amp;"",""))</f>
        <v/>
      </c>
      <c r="AE2414" s="52">
        <f>IF(AC2414="","",IFERROR(INDEX(ctaTipo,MATCH(AC2414,ctaNombre,0))&amp;"",""))</f>
        <v/>
      </c>
      <c r="AF2414" s="53">
        <f>IF(OR(P2414="",AB2414=""),"",IF(OR(P2414="Gasto",P2414="Transferencia",P2414="Pago tarjeta"),-1,1)*IF(IFERROR(INDEX(ctaMoneda,MATCH(AB2414,ctaNombre,0))&amp;"","DOP")="USD",T2414,S2414))</f>
        <v/>
      </c>
      <c r="AG2414" s="53">
        <f>IF(AC2414="","",IF(IFERROR(INDEX(ctaMoneda,MATCH(AC2414,ctaNombre,0))&amp;"","DOP")="USD",T2414,S2414))</f>
        <v/>
      </c>
      <c r="AH2414" s="53">
        <f>IF(P2414="","",IF(AND(AD2414&lt;&gt;"",COUNTIFS(tcTipo,AD2414,tcLiq,"Sí")&gt;0),IF(OR(P2414="Gasto",P2414="Transferencia",P2414="Pago tarjeta"),-1,1)*S2414,0)+IF(AND(AE2414&lt;&gt;"",COUNTIFS(tcTipo,AE2414,tcLiq,"Sí")&gt;0),S2414,0))</f>
        <v/>
      </c>
      <c r="AI2414" s="52">
        <f>IF(OR(L2414="",P2414=""),"",IF(COUNTIFS(L$6:L2414,L2414,P$6:P2414,"?*")=1,MAX(AI$5:AI2413)+1,""))</f>
        <v/>
      </c>
    </row>
    <row r="2415">
      <c r="B2415" s="47" t="n"/>
      <c r="C2415" s="48" t="n"/>
      <c r="D2415" s="48" t="n"/>
      <c r="E2415" s="48" t="n"/>
      <c r="F2415" s="48" t="n"/>
      <c r="G2415" s="49" t="n"/>
      <c r="H2415" s="48" t="n"/>
      <c r="I2415" s="50" t="n"/>
      <c r="J2415" s="48" t="n"/>
      <c r="K2415" s="48" t="n"/>
      <c r="L2415" s="48" t="n"/>
      <c r="M2415" s="48" t="n"/>
      <c r="N2415" s="48" t="n"/>
      <c r="O2415" s="51">
        <f>IF(AND(B2415="",G2415="",C2415="",D2415="",J2415=""),"",IF(B2415="","⚠ Falta fecha",IF(G2415="","⚠ Falta monto",IF(Q2415="","⚠ Falta cuenta",IF(ISNA(MATCH(Q2415,ctaNombre,0)),"⚠ Cuenta no registrada",IF(AND(OR(P2415="Gasto",P2415="Reembolso"),D2415=""),"⚠ Falta categoría",IF(AND(D2415&lt;&gt;"",E2415&lt;&gt;"",ISNA(MATCH(D2415&amp;"|"&amp;E2415,catClave,0))),"⚠ Subcategoría no corresponde",IF(AND(OR(P2415="Transferencia",P2415="Pago tarjeta"),K2415=""),"⚠ Falta cuenta destino",IF(AND(K2415&lt;&gt;"",P2415&lt;&gt;"Transferencia",P2415&lt;&gt;"Pago tarjeta"),"⚠ Destino solo aplica a transferencias",IF(AND(K2415&lt;&gt;"",K2415=Q2415),"⚠ Origen igual a destino",IF(AND(K2415&lt;&gt;"",ISNA(MATCH(K2415,ctaNombre,0))),"⚠ Destino no registrado",IF(AND(P2415="Pago tarjeta",AE2415&lt;&gt;"Tarjeta de crédito"),"⚠ El destino debe ser tarjeta de crédito",IF(AND(P2415="Gasto",E2415="Depósitos y retiros"),"⚠ Usa tipo Transferencia",IF(AND(P2415="Resultado trading",AD2415&lt;&gt;"Cuenta de trading"),"⚠ Usa una cuenta de trading",IF(AND(G2415&lt;=0,P2415&lt;&gt;"Ajuste",P2415&lt;&gt;"Resultado trading"),"⚠ El monto debe ser positivo","✓")))))))))))))))</f>
        <v/>
      </c>
      <c r="P2415" s="52">
        <f>IF(OR(B2415="",G2415=""),"",IF(C2415="","Gasto",C2415))</f>
        <v/>
      </c>
      <c r="Q2415" s="52">
        <f>IF(P2415="","",IF(J2415&lt;&gt;"",J2415,CuentaPred&amp;""))</f>
        <v/>
      </c>
      <c r="R2415" s="52">
        <f>IF(P2415="","",IF(ISNUMBER(I2415),I2415,TasaUSD))</f>
        <v/>
      </c>
      <c r="S2415" s="53">
        <f>IF(P2415="","",IF(H2415="USD",G2415*R2415,G2415))</f>
        <v/>
      </c>
      <c r="T2415" s="53">
        <f>IF(P2415="","",IF(H2415="USD",G2415,IF(R2415&gt;0,G2415/R2415,0)))</f>
        <v/>
      </c>
      <c r="U2415" s="53">
        <f>IF(P2415="","",IF(P2415="Gasto",S2415,IF(P2415="Reembolso",-S2415,0)))</f>
        <v/>
      </c>
      <c r="V2415" s="53">
        <f>IF(P2415="","",IF(P2415="Ingreso",S2415,0))</f>
        <v/>
      </c>
      <c r="W2415" s="53">
        <f>IF(P2415="","",IF(P2415="Resultado trading",S2415,0))</f>
        <v/>
      </c>
      <c r="X2415" s="52">
        <f>IF(OR(P2415="Gasto",P2415="Reembolso"),IF(M2415&lt;&gt;"",M2415,IFERROR(INDEX(catClasif,MATCH(D2415&amp;"|"&amp;E2415,catClave,0))&amp;"","Variable")),"")</f>
        <v/>
      </c>
      <c r="Y2415" s="52">
        <f>IF(P2415="","",IFERROR(INDEX(catGrupo,MATCH(D2415&amp;"|"&amp;E2415,catClave,0))&amp;"",""))</f>
        <v/>
      </c>
      <c r="Z2415" s="52">
        <f>IF(P2415="","",WEEKDAY(B2415,2))</f>
        <v/>
      </c>
      <c r="AA2415" s="52">
        <f>IF(P2415="","",IF(AND(P2415="Gasto",X2415="Variable",D2415&lt;&gt;catTrading,S2415&gt;0,S2415&lt;=Umbral),1,0))</f>
        <v/>
      </c>
      <c r="AB2415" s="52">
        <f>IF(OR(P2415="",Q2415=""),"",IFERROR(IF(INDEX(ctaVinc,MATCH(Q2415,ctaNombre,0))&amp;""&lt;&gt;"",INDEX(ctaVinc,MATCH(Q2415,ctaNombre,0))&amp;"",Q2415),Q2415))</f>
        <v/>
      </c>
      <c r="AC2415" s="52">
        <f>IF(OR(K2415="",AND(P2415&lt;&gt;"Transferencia",P2415&lt;&gt;"Pago tarjeta")),"",IFERROR(IF(INDEX(ctaVinc,MATCH(K2415,ctaNombre,0))&amp;""&lt;&gt;"",INDEX(ctaVinc,MATCH(K2415,ctaNombre,0))&amp;"",K2415),K2415))</f>
        <v/>
      </c>
      <c r="AD2415" s="52">
        <f>IF(AB2415="","",IFERROR(INDEX(ctaTipo,MATCH(AB2415,ctaNombre,0))&amp;"",""))</f>
        <v/>
      </c>
      <c r="AE2415" s="52">
        <f>IF(AC2415="","",IFERROR(INDEX(ctaTipo,MATCH(AC2415,ctaNombre,0))&amp;"",""))</f>
        <v/>
      </c>
      <c r="AF2415" s="53">
        <f>IF(OR(P2415="",AB2415=""),"",IF(OR(P2415="Gasto",P2415="Transferencia",P2415="Pago tarjeta"),-1,1)*IF(IFERROR(INDEX(ctaMoneda,MATCH(AB2415,ctaNombre,0))&amp;"","DOP")="USD",T2415,S2415))</f>
        <v/>
      </c>
      <c r="AG2415" s="53">
        <f>IF(AC2415="","",IF(IFERROR(INDEX(ctaMoneda,MATCH(AC2415,ctaNombre,0))&amp;"","DOP")="USD",T2415,S2415))</f>
        <v/>
      </c>
      <c r="AH2415" s="53">
        <f>IF(P2415="","",IF(AND(AD2415&lt;&gt;"",COUNTIFS(tcTipo,AD2415,tcLiq,"Sí")&gt;0),IF(OR(P2415="Gasto",P2415="Transferencia",P2415="Pago tarjeta"),-1,1)*S2415,0)+IF(AND(AE2415&lt;&gt;"",COUNTIFS(tcTipo,AE2415,tcLiq,"Sí")&gt;0),S2415,0))</f>
        <v/>
      </c>
      <c r="AI2415" s="52">
        <f>IF(OR(L2415="",P2415=""),"",IF(COUNTIFS(L$6:L2415,L2415,P$6:P2415,"?*")=1,MAX(AI$5:AI2414)+1,""))</f>
        <v/>
      </c>
    </row>
    <row r="2416">
      <c r="B2416" s="47" t="n"/>
      <c r="C2416" s="48" t="n"/>
      <c r="D2416" s="48" t="n"/>
      <c r="E2416" s="48" t="n"/>
      <c r="F2416" s="48" t="n"/>
      <c r="G2416" s="49" t="n"/>
      <c r="H2416" s="48" t="n"/>
      <c r="I2416" s="50" t="n"/>
      <c r="J2416" s="48" t="n"/>
      <c r="K2416" s="48" t="n"/>
      <c r="L2416" s="48" t="n"/>
      <c r="M2416" s="48" t="n"/>
      <c r="N2416" s="48" t="n"/>
      <c r="O2416" s="51">
        <f>IF(AND(B2416="",G2416="",C2416="",D2416="",J2416=""),"",IF(B2416="","⚠ Falta fecha",IF(G2416="","⚠ Falta monto",IF(Q2416="","⚠ Falta cuenta",IF(ISNA(MATCH(Q2416,ctaNombre,0)),"⚠ Cuenta no registrada",IF(AND(OR(P2416="Gasto",P2416="Reembolso"),D2416=""),"⚠ Falta categoría",IF(AND(D2416&lt;&gt;"",E2416&lt;&gt;"",ISNA(MATCH(D2416&amp;"|"&amp;E2416,catClave,0))),"⚠ Subcategoría no corresponde",IF(AND(OR(P2416="Transferencia",P2416="Pago tarjeta"),K2416=""),"⚠ Falta cuenta destino",IF(AND(K2416&lt;&gt;"",P2416&lt;&gt;"Transferencia",P2416&lt;&gt;"Pago tarjeta"),"⚠ Destino solo aplica a transferencias",IF(AND(K2416&lt;&gt;"",K2416=Q2416),"⚠ Origen igual a destino",IF(AND(K2416&lt;&gt;"",ISNA(MATCH(K2416,ctaNombre,0))),"⚠ Destino no registrado",IF(AND(P2416="Pago tarjeta",AE2416&lt;&gt;"Tarjeta de crédito"),"⚠ El destino debe ser tarjeta de crédito",IF(AND(P2416="Gasto",E2416="Depósitos y retiros"),"⚠ Usa tipo Transferencia",IF(AND(P2416="Resultado trading",AD2416&lt;&gt;"Cuenta de trading"),"⚠ Usa una cuenta de trading",IF(AND(G2416&lt;=0,P2416&lt;&gt;"Ajuste",P2416&lt;&gt;"Resultado trading"),"⚠ El monto debe ser positivo","✓")))))))))))))))</f>
        <v/>
      </c>
      <c r="P2416" s="52">
        <f>IF(OR(B2416="",G2416=""),"",IF(C2416="","Gasto",C2416))</f>
        <v/>
      </c>
      <c r="Q2416" s="52">
        <f>IF(P2416="","",IF(J2416&lt;&gt;"",J2416,CuentaPred&amp;""))</f>
        <v/>
      </c>
      <c r="R2416" s="52">
        <f>IF(P2416="","",IF(ISNUMBER(I2416),I2416,TasaUSD))</f>
        <v/>
      </c>
      <c r="S2416" s="53">
        <f>IF(P2416="","",IF(H2416="USD",G2416*R2416,G2416))</f>
        <v/>
      </c>
      <c r="T2416" s="53">
        <f>IF(P2416="","",IF(H2416="USD",G2416,IF(R2416&gt;0,G2416/R2416,0)))</f>
        <v/>
      </c>
      <c r="U2416" s="53">
        <f>IF(P2416="","",IF(P2416="Gasto",S2416,IF(P2416="Reembolso",-S2416,0)))</f>
        <v/>
      </c>
      <c r="V2416" s="53">
        <f>IF(P2416="","",IF(P2416="Ingreso",S2416,0))</f>
        <v/>
      </c>
      <c r="W2416" s="53">
        <f>IF(P2416="","",IF(P2416="Resultado trading",S2416,0))</f>
        <v/>
      </c>
      <c r="X2416" s="52">
        <f>IF(OR(P2416="Gasto",P2416="Reembolso"),IF(M2416&lt;&gt;"",M2416,IFERROR(INDEX(catClasif,MATCH(D2416&amp;"|"&amp;E2416,catClave,0))&amp;"","Variable")),"")</f>
        <v/>
      </c>
      <c r="Y2416" s="52">
        <f>IF(P2416="","",IFERROR(INDEX(catGrupo,MATCH(D2416&amp;"|"&amp;E2416,catClave,0))&amp;"",""))</f>
        <v/>
      </c>
      <c r="Z2416" s="52">
        <f>IF(P2416="","",WEEKDAY(B2416,2))</f>
        <v/>
      </c>
      <c r="AA2416" s="52">
        <f>IF(P2416="","",IF(AND(P2416="Gasto",X2416="Variable",D2416&lt;&gt;catTrading,S2416&gt;0,S2416&lt;=Umbral),1,0))</f>
        <v/>
      </c>
      <c r="AB2416" s="52">
        <f>IF(OR(P2416="",Q2416=""),"",IFERROR(IF(INDEX(ctaVinc,MATCH(Q2416,ctaNombre,0))&amp;""&lt;&gt;"",INDEX(ctaVinc,MATCH(Q2416,ctaNombre,0))&amp;"",Q2416),Q2416))</f>
        <v/>
      </c>
      <c r="AC2416" s="52">
        <f>IF(OR(K2416="",AND(P2416&lt;&gt;"Transferencia",P2416&lt;&gt;"Pago tarjeta")),"",IFERROR(IF(INDEX(ctaVinc,MATCH(K2416,ctaNombre,0))&amp;""&lt;&gt;"",INDEX(ctaVinc,MATCH(K2416,ctaNombre,0))&amp;"",K2416),K2416))</f>
        <v/>
      </c>
      <c r="AD2416" s="52">
        <f>IF(AB2416="","",IFERROR(INDEX(ctaTipo,MATCH(AB2416,ctaNombre,0))&amp;"",""))</f>
        <v/>
      </c>
      <c r="AE2416" s="52">
        <f>IF(AC2416="","",IFERROR(INDEX(ctaTipo,MATCH(AC2416,ctaNombre,0))&amp;"",""))</f>
        <v/>
      </c>
      <c r="AF2416" s="53">
        <f>IF(OR(P2416="",AB2416=""),"",IF(OR(P2416="Gasto",P2416="Transferencia",P2416="Pago tarjeta"),-1,1)*IF(IFERROR(INDEX(ctaMoneda,MATCH(AB2416,ctaNombre,0))&amp;"","DOP")="USD",T2416,S2416))</f>
        <v/>
      </c>
      <c r="AG2416" s="53">
        <f>IF(AC2416="","",IF(IFERROR(INDEX(ctaMoneda,MATCH(AC2416,ctaNombre,0))&amp;"","DOP")="USD",T2416,S2416))</f>
        <v/>
      </c>
      <c r="AH2416" s="53">
        <f>IF(P2416="","",IF(AND(AD2416&lt;&gt;"",COUNTIFS(tcTipo,AD2416,tcLiq,"Sí")&gt;0),IF(OR(P2416="Gasto",P2416="Transferencia",P2416="Pago tarjeta"),-1,1)*S2416,0)+IF(AND(AE2416&lt;&gt;"",COUNTIFS(tcTipo,AE2416,tcLiq,"Sí")&gt;0),S2416,0))</f>
        <v/>
      </c>
      <c r="AI2416" s="52">
        <f>IF(OR(L2416="",P2416=""),"",IF(COUNTIFS(L$6:L2416,L2416,P$6:P2416,"?*")=1,MAX(AI$5:AI2415)+1,""))</f>
        <v/>
      </c>
    </row>
    <row r="2417">
      <c r="B2417" s="47" t="n"/>
      <c r="C2417" s="48" t="n"/>
      <c r="D2417" s="48" t="n"/>
      <c r="E2417" s="48" t="n"/>
      <c r="F2417" s="48" t="n"/>
      <c r="G2417" s="49" t="n"/>
      <c r="H2417" s="48" t="n"/>
      <c r="I2417" s="50" t="n"/>
      <c r="J2417" s="48" t="n"/>
      <c r="K2417" s="48" t="n"/>
      <c r="L2417" s="48" t="n"/>
      <c r="M2417" s="48" t="n"/>
      <c r="N2417" s="48" t="n"/>
      <c r="O2417" s="51">
        <f>IF(AND(B2417="",G2417="",C2417="",D2417="",J2417=""),"",IF(B2417="","⚠ Falta fecha",IF(G2417="","⚠ Falta monto",IF(Q2417="","⚠ Falta cuenta",IF(ISNA(MATCH(Q2417,ctaNombre,0)),"⚠ Cuenta no registrada",IF(AND(OR(P2417="Gasto",P2417="Reembolso"),D2417=""),"⚠ Falta categoría",IF(AND(D2417&lt;&gt;"",E2417&lt;&gt;"",ISNA(MATCH(D2417&amp;"|"&amp;E2417,catClave,0))),"⚠ Subcategoría no corresponde",IF(AND(OR(P2417="Transferencia",P2417="Pago tarjeta"),K2417=""),"⚠ Falta cuenta destino",IF(AND(K2417&lt;&gt;"",P2417&lt;&gt;"Transferencia",P2417&lt;&gt;"Pago tarjeta"),"⚠ Destino solo aplica a transferencias",IF(AND(K2417&lt;&gt;"",K2417=Q2417),"⚠ Origen igual a destino",IF(AND(K2417&lt;&gt;"",ISNA(MATCH(K2417,ctaNombre,0))),"⚠ Destino no registrado",IF(AND(P2417="Pago tarjeta",AE2417&lt;&gt;"Tarjeta de crédito"),"⚠ El destino debe ser tarjeta de crédito",IF(AND(P2417="Gasto",E2417="Depósitos y retiros"),"⚠ Usa tipo Transferencia",IF(AND(P2417="Resultado trading",AD2417&lt;&gt;"Cuenta de trading"),"⚠ Usa una cuenta de trading",IF(AND(G2417&lt;=0,P2417&lt;&gt;"Ajuste",P2417&lt;&gt;"Resultado trading"),"⚠ El monto debe ser positivo","✓")))))))))))))))</f>
        <v/>
      </c>
      <c r="P2417" s="52">
        <f>IF(OR(B2417="",G2417=""),"",IF(C2417="","Gasto",C2417))</f>
        <v/>
      </c>
      <c r="Q2417" s="52">
        <f>IF(P2417="","",IF(J2417&lt;&gt;"",J2417,CuentaPred&amp;""))</f>
        <v/>
      </c>
      <c r="R2417" s="52">
        <f>IF(P2417="","",IF(ISNUMBER(I2417),I2417,TasaUSD))</f>
        <v/>
      </c>
      <c r="S2417" s="53">
        <f>IF(P2417="","",IF(H2417="USD",G2417*R2417,G2417))</f>
        <v/>
      </c>
      <c r="T2417" s="53">
        <f>IF(P2417="","",IF(H2417="USD",G2417,IF(R2417&gt;0,G2417/R2417,0)))</f>
        <v/>
      </c>
      <c r="U2417" s="53">
        <f>IF(P2417="","",IF(P2417="Gasto",S2417,IF(P2417="Reembolso",-S2417,0)))</f>
        <v/>
      </c>
      <c r="V2417" s="53">
        <f>IF(P2417="","",IF(P2417="Ingreso",S2417,0))</f>
        <v/>
      </c>
      <c r="W2417" s="53">
        <f>IF(P2417="","",IF(P2417="Resultado trading",S2417,0))</f>
        <v/>
      </c>
      <c r="X2417" s="52">
        <f>IF(OR(P2417="Gasto",P2417="Reembolso"),IF(M2417&lt;&gt;"",M2417,IFERROR(INDEX(catClasif,MATCH(D2417&amp;"|"&amp;E2417,catClave,0))&amp;"","Variable")),"")</f>
        <v/>
      </c>
      <c r="Y2417" s="52">
        <f>IF(P2417="","",IFERROR(INDEX(catGrupo,MATCH(D2417&amp;"|"&amp;E2417,catClave,0))&amp;"",""))</f>
        <v/>
      </c>
      <c r="Z2417" s="52">
        <f>IF(P2417="","",WEEKDAY(B2417,2))</f>
        <v/>
      </c>
      <c r="AA2417" s="52">
        <f>IF(P2417="","",IF(AND(P2417="Gasto",X2417="Variable",D2417&lt;&gt;catTrading,S2417&gt;0,S2417&lt;=Umbral),1,0))</f>
        <v/>
      </c>
      <c r="AB2417" s="52">
        <f>IF(OR(P2417="",Q2417=""),"",IFERROR(IF(INDEX(ctaVinc,MATCH(Q2417,ctaNombre,0))&amp;""&lt;&gt;"",INDEX(ctaVinc,MATCH(Q2417,ctaNombre,0))&amp;"",Q2417),Q2417))</f>
        <v/>
      </c>
      <c r="AC2417" s="52">
        <f>IF(OR(K2417="",AND(P2417&lt;&gt;"Transferencia",P2417&lt;&gt;"Pago tarjeta")),"",IFERROR(IF(INDEX(ctaVinc,MATCH(K2417,ctaNombre,0))&amp;""&lt;&gt;"",INDEX(ctaVinc,MATCH(K2417,ctaNombre,0))&amp;"",K2417),K2417))</f>
        <v/>
      </c>
      <c r="AD2417" s="52">
        <f>IF(AB2417="","",IFERROR(INDEX(ctaTipo,MATCH(AB2417,ctaNombre,0))&amp;"",""))</f>
        <v/>
      </c>
      <c r="AE2417" s="52">
        <f>IF(AC2417="","",IFERROR(INDEX(ctaTipo,MATCH(AC2417,ctaNombre,0))&amp;"",""))</f>
        <v/>
      </c>
      <c r="AF2417" s="53">
        <f>IF(OR(P2417="",AB2417=""),"",IF(OR(P2417="Gasto",P2417="Transferencia",P2417="Pago tarjeta"),-1,1)*IF(IFERROR(INDEX(ctaMoneda,MATCH(AB2417,ctaNombre,0))&amp;"","DOP")="USD",T2417,S2417))</f>
        <v/>
      </c>
      <c r="AG2417" s="53">
        <f>IF(AC2417="","",IF(IFERROR(INDEX(ctaMoneda,MATCH(AC2417,ctaNombre,0))&amp;"","DOP")="USD",T2417,S2417))</f>
        <v/>
      </c>
      <c r="AH2417" s="53">
        <f>IF(P2417="","",IF(AND(AD2417&lt;&gt;"",COUNTIFS(tcTipo,AD2417,tcLiq,"Sí")&gt;0),IF(OR(P2417="Gasto",P2417="Transferencia",P2417="Pago tarjeta"),-1,1)*S2417,0)+IF(AND(AE2417&lt;&gt;"",COUNTIFS(tcTipo,AE2417,tcLiq,"Sí")&gt;0),S2417,0))</f>
        <v/>
      </c>
      <c r="AI2417" s="52">
        <f>IF(OR(L2417="",P2417=""),"",IF(COUNTIFS(L$6:L2417,L2417,P$6:P2417,"?*")=1,MAX(AI$5:AI2416)+1,""))</f>
        <v/>
      </c>
    </row>
    <row r="2418">
      <c r="B2418" s="47" t="n"/>
      <c r="C2418" s="48" t="n"/>
      <c r="D2418" s="48" t="n"/>
      <c r="E2418" s="48" t="n"/>
      <c r="F2418" s="48" t="n"/>
      <c r="G2418" s="49" t="n"/>
      <c r="H2418" s="48" t="n"/>
      <c r="I2418" s="50" t="n"/>
      <c r="J2418" s="48" t="n"/>
      <c r="K2418" s="48" t="n"/>
      <c r="L2418" s="48" t="n"/>
      <c r="M2418" s="48" t="n"/>
      <c r="N2418" s="48" t="n"/>
      <c r="O2418" s="51">
        <f>IF(AND(B2418="",G2418="",C2418="",D2418="",J2418=""),"",IF(B2418="","⚠ Falta fecha",IF(G2418="","⚠ Falta monto",IF(Q2418="","⚠ Falta cuenta",IF(ISNA(MATCH(Q2418,ctaNombre,0)),"⚠ Cuenta no registrada",IF(AND(OR(P2418="Gasto",P2418="Reembolso"),D2418=""),"⚠ Falta categoría",IF(AND(D2418&lt;&gt;"",E2418&lt;&gt;"",ISNA(MATCH(D2418&amp;"|"&amp;E2418,catClave,0))),"⚠ Subcategoría no corresponde",IF(AND(OR(P2418="Transferencia",P2418="Pago tarjeta"),K2418=""),"⚠ Falta cuenta destino",IF(AND(K2418&lt;&gt;"",P2418&lt;&gt;"Transferencia",P2418&lt;&gt;"Pago tarjeta"),"⚠ Destino solo aplica a transferencias",IF(AND(K2418&lt;&gt;"",K2418=Q2418),"⚠ Origen igual a destino",IF(AND(K2418&lt;&gt;"",ISNA(MATCH(K2418,ctaNombre,0))),"⚠ Destino no registrado",IF(AND(P2418="Pago tarjeta",AE2418&lt;&gt;"Tarjeta de crédito"),"⚠ El destino debe ser tarjeta de crédito",IF(AND(P2418="Gasto",E2418="Depósitos y retiros"),"⚠ Usa tipo Transferencia",IF(AND(P2418="Resultado trading",AD2418&lt;&gt;"Cuenta de trading"),"⚠ Usa una cuenta de trading",IF(AND(G2418&lt;=0,P2418&lt;&gt;"Ajuste",P2418&lt;&gt;"Resultado trading"),"⚠ El monto debe ser positivo","✓")))))))))))))))</f>
        <v/>
      </c>
      <c r="P2418" s="52">
        <f>IF(OR(B2418="",G2418=""),"",IF(C2418="","Gasto",C2418))</f>
        <v/>
      </c>
      <c r="Q2418" s="52">
        <f>IF(P2418="","",IF(J2418&lt;&gt;"",J2418,CuentaPred&amp;""))</f>
        <v/>
      </c>
      <c r="R2418" s="52">
        <f>IF(P2418="","",IF(ISNUMBER(I2418),I2418,TasaUSD))</f>
        <v/>
      </c>
      <c r="S2418" s="53">
        <f>IF(P2418="","",IF(H2418="USD",G2418*R2418,G2418))</f>
        <v/>
      </c>
      <c r="T2418" s="53">
        <f>IF(P2418="","",IF(H2418="USD",G2418,IF(R2418&gt;0,G2418/R2418,0)))</f>
        <v/>
      </c>
      <c r="U2418" s="53">
        <f>IF(P2418="","",IF(P2418="Gasto",S2418,IF(P2418="Reembolso",-S2418,0)))</f>
        <v/>
      </c>
      <c r="V2418" s="53">
        <f>IF(P2418="","",IF(P2418="Ingreso",S2418,0))</f>
        <v/>
      </c>
      <c r="W2418" s="53">
        <f>IF(P2418="","",IF(P2418="Resultado trading",S2418,0))</f>
        <v/>
      </c>
      <c r="X2418" s="52">
        <f>IF(OR(P2418="Gasto",P2418="Reembolso"),IF(M2418&lt;&gt;"",M2418,IFERROR(INDEX(catClasif,MATCH(D2418&amp;"|"&amp;E2418,catClave,0))&amp;"","Variable")),"")</f>
        <v/>
      </c>
      <c r="Y2418" s="52">
        <f>IF(P2418="","",IFERROR(INDEX(catGrupo,MATCH(D2418&amp;"|"&amp;E2418,catClave,0))&amp;"",""))</f>
        <v/>
      </c>
      <c r="Z2418" s="52">
        <f>IF(P2418="","",WEEKDAY(B2418,2))</f>
        <v/>
      </c>
      <c r="AA2418" s="52">
        <f>IF(P2418="","",IF(AND(P2418="Gasto",X2418="Variable",D2418&lt;&gt;catTrading,S2418&gt;0,S2418&lt;=Umbral),1,0))</f>
        <v/>
      </c>
      <c r="AB2418" s="52">
        <f>IF(OR(P2418="",Q2418=""),"",IFERROR(IF(INDEX(ctaVinc,MATCH(Q2418,ctaNombre,0))&amp;""&lt;&gt;"",INDEX(ctaVinc,MATCH(Q2418,ctaNombre,0))&amp;"",Q2418),Q2418))</f>
        <v/>
      </c>
      <c r="AC2418" s="52">
        <f>IF(OR(K2418="",AND(P2418&lt;&gt;"Transferencia",P2418&lt;&gt;"Pago tarjeta")),"",IFERROR(IF(INDEX(ctaVinc,MATCH(K2418,ctaNombre,0))&amp;""&lt;&gt;"",INDEX(ctaVinc,MATCH(K2418,ctaNombre,0))&amp;"",K2418),K2418))</f>
        <v/>
      </c>
      <c r="AD2418" s="52">
        <f>IF(AB2418="","",IFERROR(INDEX(ctaTipo,MATCH(AB2418,ctaNombre,0))&amp;"",""))</f>
        <v/>
      </c>
      <c r="AE2418" s="52">
        <f>IF(AC2418="","",IFERROR(INDEX(ctaTipo,MATCH(AC2418,ctaNombre,0))&amp;"",""))</f>
        <v/>
      </c>
      <c r="AF2418" s="53">
        <f>IF(OR(P2418="",AB2418=""),"",IF(OR(P2418="Gasto",P2418="Transferencia",P2418="Pago tarjeta"),-1,1)*IF(IFERROR(INDEX(ctaMoneda,MATCH(AB2418,ctaNombre,0))&amp;"","DOP")="USD",T2418,S2418))</f>
        <v/>
      </c>
      <c r="AG2418" s="53">
        <f>IF(AC2418="","",IF(IFERROR(INDEX(ctaMoneda,MATCH(AC2418,ctaNombre,0))&amp;"","DOP")="USD",T2418,S2418))</f>
        <v/>
      </c>
      <c r="AH2418" s="53">
        <f>IF(P2418="","",IF(AND(AD2418&lt;&gt;"",COUNTIFS(tcTipo,AD2418,tcLiq,"Sí")&gt;0),IF(OR(P2418="Gasto",P2418="Transferencia",P2418="Pago tarjeta"),-1,1)*S2418,0)+IF(AND(AE2418&lt;&gt;"",COUNTIFS(tcTipo,AE2418,tcLiq,"Sí")&gt;0),S2418,0))</f>
        <v/>
      </c>
      <c r="AI2418" s="52">
        <f>IF(OR(L2418="",P2418=""),"",IF(COUNTIFS(L$6:L2418,L2418,P$6:P2418,"?*")=1,MAX(AI$5:AI2417)+1,""))</f>
        <v/>
      </c>
    </row>
    <row r="2419">
      <c r="B2419" s="47" t="n"/>
      <c r="C2419" s="48" t="n"/>
      <c r="D2419" s="48" t="n"/>
      <c r="E2419" s="48" t="n"/>
      <c r="F2419" s="48" t="n"/>
      <c r="G2419" s="49" t="n"/>
      <c r="H2419" s="48" t="n"/>
      <c r="I2419" s="50" t="n"/>
      <c r="J2419" s="48" t="n"/>
      <c r="K2419" s="48" t="n"/>
      <c r="L2419" s="48" t="n"/>
      <c r="M2419" s="48" t="n"/>
      <c r="N2419" s="48" t="n"/>
      <c r="O2419" s="51">
        <f>IF(AND(B2419="",G2419="",C2419="",D2419="",J2419=""),"",IF(B2419="","⚠ Falta fecha",IF(G2419="","⚠ Falta monto",IF(Q2419="","⚠ Falta cuenta",IF(ISNA(MATCH(Q2419,ctaNombre,0)),"⚠ Cuenta no registrada",IF(AND(OR(P2419="Gasto",P2419="Reembolso"),D2419=""),"⚠ Falta categoría",IF(AND(D2419&lt;&gt;"",E2419&lt;&gt;"",ISNA(MATCH(D2419&amp;"|"&amp;E2419,catClave,0))),"⚠ Subcategoría no corresponde",IF(AND(OR(P2419="Transferencia",P2419="Pago tarjeta"),K2419=""),"⚠ Falta cuenta destino",IF(AND(K2419&lt;&gt;"",P2419&lt;&gt;"Transferencia",P2419&lt;&gt;"Pago tarjeta"),"⚠ Destino solo aplica a transferencias",IF(AND(K2419&lt;&gt;"",K2419=Q2419),"⚠ Origen igual a destino",IF(AND(K2419&lt;&gt;"",ISNA(MATCH(K2419,ctaNombre,0))),"⚠ Destino no registrado",IF(AND(P2419="Pago tarjeta",AE2419&lt;&gt;"Tarjeta de crédito"),"⚠ El destino debe ser tarjeta de crédito",IF(AND(P2419="Gasto",E2419="Depósitos y retiros"),"⚠ Usa tipo Transferencia",IF(AND(P2419="Resultado trading",AD2419&lt;&gt;"Cuenta de trading"),"⚠ Usa una cuenta de trading",IF(AND(G2419&lt;=0,P2419&lt;&gt;"Ajuste",P2419&lt;&gt;"Resultado trading"),"⚠ El monto debe ser positivo","✓")))))))))))))))</f>
        <v/>
      </c>
      <c r="P2419" s="52">
        <f>IF(OR(B2419="",G2419=""),"",IF(C2419="","Gasto",C2419))</f>
        <v/>
      </c>
      <c r="Q2419" s="52">
        <f>IF(P2419="","",IF(J2419&lt;&gt;"",J2419,CuentaPred&amp;""))</f>
        <v/>
      </c>
      <c r="R2419" s="52">
        <f>IF(P2419="","",IF(ISNUMBER(I2419),I2419,TasaUSD))</f>
        <v/>
      </c>
      <c r="S2419" s="53">
        <f>IF(P2419="","",IF(H2419="USD",G2419*R2419,G2419))</f>
        <v/>
      </c>
      <c r="T2419" s="53">
        <f>IF(P2419="","",IF(H2419="USD",G2419,IF(R2419&gt;0,G2419/R2419,0)))</f>
        <v/>
      </c>
      <c r="U2419" s="53">
        <f>IF(P2419="","",IF(P2419="Gasto",S2419,IF(P2419="Reembolso",-S2419,0)))</f>
        <v/>
      </c>
      <c r="V2419" s="53">
        <f>IF(P2419="","",IF(P2419="Ingreso",S2419,0))</f>
        <v/>
      </c>
      <c r="W2419" s="53">
        <f>IF(P2419="","",IF(P2419="Resultado trading",S2419,0))</f>
        <v/>
      </c>
      <c r="X2419" s="52">
        <f>IF(OR(P2419="Gasto",P2419="Reembolso"),IF(M2419&lt;&gt;"",M2419,IFERROR(INDEX(catClasif,MATCH(D2419&amp;"|"&amp;E2419,catClave,0))&amp;"","Variable")),"")</f>
        <v/>
      </c>
      <c r="Y2419" s="52">
        <f>IF(P2419="","",IFERROR(INDEX(catGrupo,MATCH(D2419&amp;"|"&amp;E2419,catClave,0))&amp;"",""))</f>
        <v/>
      </c>
      <c r="Z2419" s="52">
        <f>IF(P2419="","",WEEKDAY(B2419,2))</f>
        <v/>
      </c>
      <c r="AA2419" s="52">
        <f>IF(P2419="","",IF(AND(P2419="Gasto",X2419="Variable",D2419&lt;&gt;catTrading,S2419&gt;0,S2419&lt;=Umbral),1,0))</f>
        <v/>
      </c>
      <c r="AB2419" s="52">
        <f>IF(OR(P2419="",Q2419=""),"",IFERROR(IF(INDEX(ctaVinc,MATCH(Q2419,ctaNombre,0))&amp;""&lt;&gt;"",INDEX(ctaVinc,MATCH(Q2419,ctaNombre,0))&amp;"",Q2419),Q2419))</f>
        <v/>
      </c>
      <c r="AC2419" s="52">
        <f>IF(OR(K2419="",AND(P2419&lt;&gt;"Transferencia",P2419&lt;&gt;"Pago tarjeta")),"",IFERROR(IF(INDEX(ctaVinc,MATCH(K2419,ctaNombre,0))&amp;""&lt;&gt;"",INDEX(ctaVinc,MATCH(K2419,ctaNombre,0))&amp;"",K2419),K2419))</f>
        <v/>
      </c>
      <c r="AD2419" s="52">
        <f>IF(AB2419="","",IFERROR(INDEX(ctaTipo,MATCH(AB2419,ctaNombre,0))&amp;"",""))</f>
        <v/>
      </c>
      <c r="AE2419" s="52">
        <f>IF(AC2419="","",IFERROR(INDEX(ctaTipo,MATCH(AC2419,ctaNombre,0))&amp;"",""))</f>
        <v/>
      </c>
      <c r="AF2419" s="53">
        <f>IF(OR(P2419="",AB2419=""),"",IF(OR(P2419="Gasto",P2419="Transferencia",P2419="Pago tarjeta"),-1,1)*IF(IFERROR(INDEX(ctaMoneda,MATCH(AB2419,ctaNombre,0))&amp;"","DOP")="USD",T2419,S2419))</f>
        <v/>
      </c>
      <c r="AG2419" s="53">
        <f>IF(AC2419="","",IF(IFERROR(INDEX(ctaMoneda,MATCH(AC2419,ctaNombre,0))&amp;"","DOP")="USD",T2419,S2419))</f>
        <v/>
      </c>
      <c r="AH2419" s="53">
        <f>IF(P2419="","",IF(AND(AD2419&lt;&gt;"",COUNTIFS(tcTipo,AD2419,tcLiq,"Sí")&gt;0),IF(OR(P2419="Gasto",P2419="Transferencia",P2419="Pago tarjeta"),-1,1)*S2419,0)+IF(AND(AE2419&lt;&gt;"",COUNTIFS(tcTipo,AE2419,tcLiq,"Sí")&gt;0),S2419,0))</f>
        <v/>
      </c>
      <c r="AI2419" s="52">
        <f>IF(OR(L2419="",P2419=""),"",IF(COUNTIFS(L$6:L2419,L2419,P$6:P2419,"?*")=1,MAX(AI$5:AI2418)+1,""))</f>
        <v/>
      </c>
    </row>
    <row r="2420">
      <c r="B2420" s="47" t="n"/>
      <c r="C2420" s="48" t="n"/>
      <c r="D2420" s="48" t="n"/>
      <c r="E2420" s="48" t="n"/>
      <c r="F2420" s="48" t="n"/>
      <c r="G2420" s="49" t="n"/>
      <c r="H2420" s="48" t="n"/>
      <c r="I2420" s="50" t="n"/>
      <c r="J2420" s="48" t="n"/>
      <c r="K2420" s="48" t="n"/>
      <c r="L2420" s="48" t="n"/>
      <c r="M2420" s="48" t="n"/>
      <c r="N2420" s="48" t="n"/>
      <c r="O2420" s="51">
        <f>IF(AND(B2420="",G2420="",C2420="",D2420="",J2420=""),"",IF(B2420="","⚠ Falta fecha",IF(G2420="","⚠ Falta monto",IF(Q2420="","⚠ Falta cuenta",IF(ISNA(MATCH(Q2420,ctaNombre,0)),"⚠ Cuenta no registrada",IF(AND(OR(P2420="Gasto",P2420="Reembolso"),D2420=""),"⚠ Falta categoría",IF(AND(D2420&lt;&gt;"",E2420&lt;&gt;"",ISNA(MATCH(D2420&amp;"|"&amp;E2420,catClave,0))),"⚠ Subcategoría no corresponde",IF(AND(OR(P2420="Transferencia",P2420="Pago tarjeta"),K2420=""),"⚠ Falta cuenta destino",IF(AND(K2420&lt;&gt;"",P2420&lt;&gt;"Transferencia",P2420&lt;&gt;"Pago tarjeta"),"⚠ Destino solo aplica a transferencias",IF(AND(K2420&lt;&gt;"",K2420=Q2420),"⚠ Origen igual a destino",IF(AND(K2420&lt;&gt;"",ISNA(MATCH(K2420,ctaNombre,0))),"⚠ Destino no registrado",IF(AND(P2420="Pago tarjeta",AE2420&lt;&gt;"Tarjeta de crédito"),"⚠ El destino debe ser tarjeta de crédito",IF(AND(P2420="Gasto",E2420="Depósitos y retiros"),"⚠ Usa tipo Transferencia",IF(AND(P2420="Resultado trading",AD2420&lt;&gt;"Cuenta de trading"),"⚠ Usa una cuenta de trading",IF(AND(G2420&lt;=0,P2420&lt;&gt;"Ajuste",P2420&lt;&gt;"Resultado trading"),"⚠ El monto debe ser positivo","✓")))))))))))))))</f>
        <v/>
      </c>
      <c r="P2420" s="52">
        <f>IF(OR(B2420="",G2420=""),"",IF(C2420="","Gasto",C2420))</f>
        <v/>
      </c>
      <c r="Q2420" s="52">
        <f>IF(P2420="","",IF(J2420&lt;&gt;"",J2420,CuentaPred&amp;""))</f>
        <v/>
      </c>
      <c r="R2420" s="52">
        <f>IF(P2420="","",IF(ISNUMBER(I2420),I2420,TasaUSD))</f>
        <v/>
      </c>
      <c r="S2420" s="53">
        <f>IF(P2420="","",IF(H2420="USD",G2420*R2420,G2420))</f>
        <v/>
      </c>
      <c r="T2420" s="53">
        <f>IF(P2420="","",IF(H2420="USD",G2420,IF(R2420&gt;0,G2420/R2420,0)))</f>
        <v/>
      </c>
      <c r="U2420" s="53">
        <f>IF(P2420="","",IF(P2420="Gasto",S2420,IF(P2420="Reembolso",-S2420,0)))</f>
        <v/>
      </c>
      <c r="V2420" s="53">
        <f>IF(P2420="","",IF(P2420="Ingreso",S2420,0))</f>
        <v/>
      </c>
      <c r="W2420" s="53">
        <f>IF(P2420="","",IF(P2420="Resultado trading",S2420,0))</f>
        <v/>
      </c>
      <c r="X2420" s="52">
        <f>IF(OR(P2420="Gasto",P2420="Reembolso"),IF(M2420&lt;&gt;"",M2420,IFERROR(INDEX(catClasif,MATCH(D2420&amp;"|"&amp;E2420,catClave,0))&amp;"","Variable")),"")</f>
        <v/>
      </c>
      <c r="Y2420" s="52">
        <f>IF(P2420="","",IFERROR(INDEX(catGrupo,MATCH(D2420&amp;"|"&amp;E2420,catClave,0))&amp;"",""))</f>
        <v/>
      </c>
      <c r="Z2420" s="52">
        <f>IF(P2420="","",WEEKDAY(B2420,2))</f>
        <v/>
      </c>
      <c r="AA2420" s="52">
        <f>IF(P2420="","",IF(AND(P2420="Gasto",X2420="Variable",D2420&lt;&gt;catTrading,S2420&gt;0,S2420&lt;=Umbral),1,0))</f>
        <v/>
      </c>
      <c r="AB2420" s="52">
        <f>IF(OR(P2420="",Q2420=""),"",IFERROR(IF(INDEX(ctaVinc,MATCH(Q2420,ctaNombre,0))&amp;""&lt;&gt;"",INDEX(ctaVinc,MATCH(Q2420,ctaNombre,0))&amp;"",Q2420),Q2420))</f>
        <v/>
      </c>
      <c r="AC2420" s="52">
        <f>IF(OR(K2420="",AND(P2420&lt;&gt;"Transferencia",P2420&lt;&gt;"Pago tarjeta")),"",IFERROR(IF(INDEX(ctaVinc,MATCH(K2420,ctaNombre,0))&amp;""&lt;&gt;"",INDEX(ctaVinc,MATCH(K2420,ctaNombre,0))&amp;"",K2420),K2420))</f>
        <v/>
      </c>
      <c r="AD2420" s="52">
        <f>IF(AB2420="","",IFERROR(INDEX(ctaTipo,MATCH(AB2420,ctaNombre,0))&amp;"",""))</f>
        <v/>
      </c>
      <c r="AE2420" s="52">
        <f>IF(AC2420="","",IFERROR(INDEX(ctaTipo,MATCH(AC2420,ctaNombre,0))&amp;"",""))</f>
        <v/>
      </c>
      <c r="AF2420" s="53">
        <f>IF(OR(P2420="",AB2420=""),"",IF(OR(P2420="Gasto",P2420="Transferencia",P2420="Pago tarjeta"),-1,1)*IF(IFERROR(INDEX(ctaMoneda,MATCH(AB2420,ctaNombre,0))&amp;"","DOP")="USD",T2420,S2420))</f>
        <v/>
      </c>
      <c r="AG2420" s="53">
        <f>IF(AC2420="","",IF(IFERROR(INDEX(ctaMoneda,MATCH(AC2420,ctaNombre,0))&amp;"","DOP")="USD",T2420,S2420))</f>
        <v/>
      </c>
      <c r="AH2420" s="53">
        <f>IF(P2420="","",IF(AND(AD2420&lt;&gt;"",COUNTIFS(tcTipo,AD2420,tcLiq,"Sí")&gt;0),IF(OR(P2420="Gasto",P2420="Transferencia",P2420="Pago tarjeta"),-1,1)*S2420,0)+IF(AND(AE2420&lt;&gt;"",COUNTIFS(tcTipo,AE2420,tcLiq,"Sí")&gt;0),S2420,0))</f>
        <v/>
      </c>
      <c r="AI2420" s="52">
        <f>IF(OR(L2420="",P2420=""),"",IF(COUNTIFS(L$6:L2420,L2420,P$6:P2420,"?*")=1,MAX(AI$5:AI2419)+1,""))</f>
        <v/>
      </c>
    </row>
    <row r="2421">
      <c r="B2421" s="47" t="n"/>
      <c r="C2421" s="48" t="n"/>
      <c r="D2421" s="48" t="n"/>
      <c r="E2421" s="48" t="n"/>
      <c r="F2421" s="48" t="n"/>
      <c r="G2421" s="49" t="n"/>
      <c r="H2421" s="48" t="n"/>
      <c r="I2421" s="50" t="n"/>
      <c r="J2421" s="48" t="n"/>
      <c r="K2421" s="48" t="n"/>
      <c r="L2421" s="48" t="n"/>
      <c r="M2421" s="48" t="n"/>
      <c r="N2421" s="48" t="n"/>
      <c r="O2421" s="51">
        <f>IF(AND(B2421="",G2421="",C2421="",D2421="",J2421=""),"",IF(B2421="","⚠ Falta fecha",IF(G2421="","⚠ Falta monto",IF(Q2421="","⚠ Falta cuenta",IF(ISNA(MATCH(Q2421,ctaNombre,0)),"⚠ Cuenta no registrada",IF(AND(OR(P2421="Gasto",P2421="Reembolso"),D2421=""),"⚠ Falta categoría",IF(AND(D2421&lt;&gt;"",E2421&lt;&gt;"",ISNA(MATCH(D2421&amp;"|"&amp;E2421,catClave,0))),"⚠ Subcategoría no corresponde",IF(AND(OR(P2421="Transferencia",P2421="Pago tarjeta"),K2421=""),"⚠ Falta cuenta destino",IF(AND(K2421&lt;&gt;"",P2421&lt;&gt;"Transferencia",P2421&lt;&gt;"Pago tarjeta"),"⚠ Destino solo aplica a transferencias",IF(AND(K2421&lt;&gt;"",K2421=Q2421),"⚠ Origen igual a destino",IF(AND(K2421&lt;&gt;"",ISNA(MATCH(K2421,ctaNombre,0))),"⚠ Destino no registrado",IF(AND(P2421="Pago tarjeta",AE2421&lt;&gt;"Tarjeta de crédito"),"⚠ El destino debe ser tarjeta de crédito",IF(AND(P2421="Gasto",E2421="Depósitos y retiros"),"⚠ Usa tipo Transferencia",IF(AND(P2421="Resultado trading",AD2421&lt;&gt;"Cuenta de trading"),"⚠ Usa una cuenta de trading",IF(AND(G2421&lt;=0,P2421&lt;&gt;"Ajuste",P2421&lt;&gt;"Resultado trading"),"⚠ El monto debe ser positivo","✓")))))))))))))))</f>
        <v/>
      </c>
      <c r="P2421" s="52">
        <f>IF(OR(B2421="",G2421=""),"",IF(C2421="","Gasto",C2421))</f>
        <v/>
      </c>
      <c r="Q2421" s="52">
        <f>IF(P2421="","",IF(J2421&lt;&gt;"",J2421,CuentaPred&amp;""))</f>
        <v/>
      </c>
      <c r="R2421" s="52">
        <f>IF(P2421="","",IF(ISNUMBER(I2421),I2421,TasaUSD))</f>
        <v/>
      </c>
      <c r="S2421" s="53">
        <f>IF(P2421="","",IF(H2421="USD",G2421*R2421,G2421))</f>
        <v/>
      </c>
      <c r="T2421" s="53">
        <f>IF(P2421="","",IF(H2421="USD",G2421,IF(R2421&gt;0,G2421/R2421,0)))</f>
        <v/>
      </c>
      <c r="U2421" s="53">
        <f>IF(P2421="","",IF(P2421="Gasto",S2421,IF(P2421="Reembolso",-S2421,0)))</f>
        <v/>
      </c>
      <c r="V2421" s="53">
        <f>IF(P2421="","",IF(P2421="Ingreso",S2421,0))</f>
        <v/>
      </c>
      <c r="W2421" s="53">
        <f>IF(P2421="","",IF(P2421="Resultado trading",S2421,0))</f>
        <v/>
      </c>
      <c r="X2421" s="52">
        <f>IF(OR(P2421="Gasto",P2421="Reembolso"),IF(M2421&lt;&gt;"",M2421,IFERROR(INDEX(catClasif,MATCH(D2421&amp;"|"&amp;E2421,catClave,0))&amp;"","Variable")),"")</f>
        <v/>
      </c>
      <c r="Y2421" s="52">
        <f>IF(P2421="","",IFERROR(INDEX(catGrupo,MATCH(D2421&amp;"|"&amp;E2421,catClave,0))&amp;"",""))</f>
        <v/>
      </c>
      <c r="Z2421" s="52">
        <f>IF(P2421="","",WEEKDAY(B2421,2))</f>
        <v/>
      </c>
      <c r="AA2421" s="52">
        <f>IF(P2421="","",IF(AND(P2421="Gasto",X2421="Variable",D2421&lt;&gt;catTrading,S2421&gt;0,S2421&lt;=Umbral),1,0))</f>
        <v/>
      </c>
      <c r="AB2421" s="52">
        <f>IF(OR(P2421="",Q2421=""),"",IFERROR(IF(INDEX(ctaVinc,MATCH(Q2421,ctaNombre,0))&amp;""&lt;&gt;"",INDEX(ctaVinc,MATCH(Q2421,ctaNombre,0))&amp;"",Q2421),Q2421))</f>
        <v/>
      </c>
      <c r="AC2421" s="52">
        <f>IF(OR(K2421="",AND(P2421&lt;&gt;"Transferencia",P2421&lt;&gt;"Pago tarjeta")),"",IFERROR(IF(INDEX(ctaVinc,MATCH(K2421,ctaNombre,0))&amp;""&lt;&gt;"",INDEX(ctaVinc,MATCH(K2421,ctaNombre,0))&amp;"",K2421),K2421))</f>
        <v/>
      </c>
      <c r="AD2421" s="52">
        <f>IF(AB2421="","",IFERROR(INDEX(ctaTipo,MATCH(AB2421,ctaNombre,0))&amp;"",""))</f>
        <v/>
      </c>
      <c r="AE2421" s="52">
        <f>IF(AC2421="","",IFERROR(INDEX(ctaTipo,MATCH(AC2421,ctaNombre,0))&amp;"",""))</f>
        <v/>
      </c>
      <c r="AF2421" s="53">
        <f>IF(OR(P2421="",AB2421=""),"",IF(OR(P2421="Gasto",P2421="Transferencia",P2421="Pago tarjeta"),-1,1)*IF(IFERROR(INDEX(ctaMoneda,MATCH(AB2421,ctaNombre,0))&amp;"","DOP")="USD",T2421,S2421))</f>
        <v/>
      </c>
      <c r="AG2421" s="53">
        <f>IF(AC2421="","",IF(IFERROR(INDEX(ctaMoneda,MATCH(AC2421,ctaNombre,0))&amp;"","DOP")="USD",T2421,S2421))</f>
        <v/>
      </c>
      <c r="AH2421" s="53">
        <f>IF(P2421="","",IF(AND(AD2421&lt;&gt;"",COUNTIFS(tcTipo,AD2421,tcLiq,"Sí")&gt;0),IF(OR(P2421="Gasto",P2421="Transferencia",P2421="Pago tarjeta"),-1,1)*S2421,0)+IF(AND(AE2421&lt;&gt;"",COUNTIFS(tcTipo,AE2421,tcLiq,"Sí")&gt;0),S2421,0))</f>
        <v/>
      </c>
      <c r="AI2421" s="52">
        <f>IF(OR(L2421="",P2421=""),"",IF(COUNTIFS(L$6:L2421,L2421,P$6:P2421,"?*")=1,MAX(AI$5:AI2420)+1,""))</f>
        <v/>
      </c>
    </row>
    <row r="2422">
      <c r="B2422" s="47" t="n"/>
      <c r="C2422" s="48" t="n"/>
      <c r="D2422" s="48" t="n"/>
      <c r="E2422" s="48" t="n"/>
      <c r="F2422" s="48" t="n"/>
      <c r="G2422" s="49" t="n"/>
      <c r="H2422" s="48" t="n"/>
      <c r="I2422" s="50" t="n"/>
      <c r="J2422" s="48" t="n"/>
      <c r="K2422" s="48" t="n"/>
      <c r="L2422" s="48" t="n"/>
      <c r="M2422" s="48" t="n"/>
      <c r="N2422" s="48" t="n"/>
      <c r="O2422" s="51">
        <f>IF(AND(B2422="",G2422="",C2422="",D2422="",J2422=""),"",IF(B2422="","⚠ Falta fecha",IF(G2422="","⚠ Falta monto",IF(Q2422="","⚠ Falta cuenta",IF(ISNA(MATCH(Q2422,ctaNombre,0)),"⚠ Cuenta no registrada",IF(AND(OR(P2422="Gasto",P2422="Reembolso"),D2422=""),"⚠ Falta categoría",IF(AND(D2422&lt;&gt;"",E2422&lt;&gt;"",ISNA(MATCH(D2422&amp;"|"&amp;E2422,catClave,0))),"⚠ Subcategoría no corresponde",IF(AND(OR(P2422="Transferencia",P2422="Pago tarjeta"),K2422=""),"⚠ Falta cuenta destino",IF(AND(K2422&lt;&gt;"",P2422&lt;&gt;"Transferencia",P2422&lt;&gt;"Pago tarjeta"),"⚠ Destino solo aplica a transferencias",IF(AND(K2422&lt;&gt;"",K2422=Q2422),"⚠ Origen igual a destino",IF(AND(K2422&lt;&gt;"",ISNA(MATCH(K2422,ctaNombre,0))),"⚠ Destino no registrado",IF(AND(P2422="Pago tarjeta",AE2422&lt;&gt;"Tarjeta de crédito"),"⚠ El destino debe ser tarjeta de crédito",IF(AND(P2422="Gasto",E2422="Depósitos y retiros"),"⚠ Usa tipo Transferencia",IF(AND(P2422="Resultado trading",AD2422&lt;&gt;"Cuenta de trading"),"⚠ Usa una cuenta de trading",IF(AND(G2422&lt;=0,P2422&lt;&gt;"Ajuste",P2422&lt;&gt;"Resultado trading"),"⚠ El monto debe ser positivo","✓")))))))))))))))</f>
        <v/>
      </c>
      <c r="P2422" s="52">
        <f>IF(OR(B2422="",G2422=""),"",IF(C2422="","Gasto",C2422))</f>
        <v/>
      </c>
      <c r="Q2422" s="52">
        <f>IF(P2422="","",IF(J2422&lt;&gt;"",J2422,CuentaPred&amp;""))</f>
        <v/>
      </c>
      <c r="R2422" s="52">
        <f>IF(P2422="","",IF(ISNUMBER(I2422),I2422,TasaUSD))</f>
        <v/>
      </c>
      <c r="S2422" s="53">
        <f>IF(P2422="","",IF(H2422="USD",G2422*R2422,G2422))</f>
        <v/>
      </c>
      <c r="T2422" s="53">
        <f>IF(P2422="","",IF(H2422="USD",G2422,IF(R2422&gt;0,G2422/R2422,0)))</f>
        <v/>
      </c>
      <c r="U2422" s="53">
        <f>IF(P2422="","",IF(P2422="Gasto",S2422,IF(P2422="Reembolso",-S2422,0)))</f>
        <v/>
      </c>
      <c r="V2422" s="53">
        <f>IF(P2422="","",IF(P2422="Ingreso",S2422,0))</f>
        <v/>
      </c>
      <c r="W2422" s="53">
        <f>IF(P2422="","",IF(P2422="Resultado trading",S2422,0))</f>
        <v/>
      </c>
      <c r="X2422" s="52">
        <f>IF(OR(P2422="Gasto",P2422="Reembolso"),IF(M2422&lt;&gt;"",M2422,IFERROR(INDEX(catClasif,MATCH(D2422&amp;"|"&amp;E2422,catClave,0))&amp;"","Variable")),"")</f>
        <v/>
      </c>
      <c r="Y2422" s="52">
        <f>IF(P2422="","",IFERROR(INDEX(catGrupo,MATCH(D2422&amp;"|"&amp;E2422,catClave,0))&amp;"",""))</f>
        <v/>
      </c>
      <c r="Z2422" s="52">
        <f>IF(P2422="","",WEEKDAY(B2422,2))</f>
        <v/>
      </c>
      <c r="AA2422" s="52">
        <f>IF(P2422="","",IF(AND(P2422="Gasto",X2422="Variable",D2422&lt;&gt;catTrading,S2422&gt;0,S2422&lt;=Umbral),1,0))</f>
        <v/>
      </c>
      <c r="AB2422" s="52">
        <f>IF(OR(P2422="",Q2422=""),"",IFERROR(IF(INDEX(ctaVinc,MATCH(Q2422,ctaNombre,0))&amp;""&lt;&gt;"",INDEX(ctaVinc,MATCH(Q2422,ctaNombre,0))&amp;"",Q2422),Q2422))</f>
        <v/>
      </c>
      <c r="AC2422" s="52">
        <f>IF(OR(K2422="",AND(P2422&lt;&gt;"Transferencia",P2422&lt;&gt;"Pago tarjeta")),"",IFERROR(IF(INDEX(ctaVinc,MATCH(K2422,ctaNombre,0))&amp;""&lt;&gt;"",INDEX(ctaVinc,MATCH(K2422,ctaNombre,0))&amp;"",K2422),K2422))</f>
        <v/>
      </c>
      <c r="AD2422" s="52">
        <f>IF(AB2422="","",IFERROR(INDEX(ctaTipo,MATCH(AB2422,ctaNombre,0))&amp;"",""))</f>
        <v/>
      </c>
      <c r="AE2422" s="52">
        <f>IF(AC2422="","",IFERROR(INDEX(ctaTipo,MATCH(AC2422,ctaNombre,0))&amp;"",""))</f>
        <v/>
      </c>
      <c r="AF2422" s="53">
        <f>IF(OR(P2422="",AB2422=""),"",IF(OR(P2422="Gasto",P2422="Transferencia",P2422="Pago tarjeta"),-1,1)*IF(IFERROR(INDEX(ctaMoneda,MATCH(AB2422,ctaNombre,0))&amp;"","DOP")="USD",T2422,S2422))</f>
        <v/>
      </c>
      <c r="AG2422" s="53">
        <f>IF(AC2422="","",IF(IFERROR(INDEX(ctaMoneda,MATCH(AC2422,ctaNombre,0))&amp;"","DOP")="USD",T2422,S2422))</f>
        <v/>
      </c>
      <c r="AH2422" s="53">
        <f>IF(P2422="","",IF(AND(AD2422&lt;&gt;"",COUNTIFS(tcTipo,AD2422,tcLiq,"Sí")&gt;0),IF(OR(P2422="Gasto",P2422="Transferencia",P2422="Pago tarjeta"),-1,1)*S2422,0)+IF(AND(AE2422&lt;&gt;"",COUNTIFS(tcTipo,AE2422,tcLiq,"Sí")&gt;0),S2422,0))</f>
        <v/>
      </c>
      <c r="AI2422" s="52">
        <f>IF(OR(L2422="",P2422=""),"",IF(COUNTIFS(L$6:L2422,L2422,P$6:P2422,"?*")=1,MAX(AI$5:AI2421)+1,""))</f>
        <v/>
      </c>
    </row>
    <row r="2423">
      <c r="B2423" s="47" t="n"/>
      <c r="C2423" s="48" t="n"/>
      <c r="D2423" s="48" t="n"/>
      <c r="E2423" s="48" t="n"/>
      <c r="F2423" s="48" t="n"/>
      <c r="G2423" s="49" t="n"/>
      <c r="H2423" s="48" t="n"/>
      <c r="I2423" s="50" t="n"/>
      <c r="J2423" s="48" t="n"/>
      <c r="K2423" s="48" t="n"/>
      <c r="L2423" s="48" t="n"/>
      <c r="M2423" s="48" t="n"/>
      <c r="N2423" s="48" t="n"/>
      <c r="O2423" s="51">
        <f>IF(AND(B2423="",G2423="",C2423="",D2423="",J2423=""),"",IF(B2423="","⚠ Falta fecha",IF(G2423="","⚠ Falta monto",IF(Q2423="","⚠ Falta cuenta",IF(ISNA(MATCH(Q2423,ctaNombre,0)),"⚠ Cuenta no registrada",IF(AND(OR(P2423="Gasto",P2423="Reembolso"),D2423=""),"⚠ Falta categoría",IF(AND(D2423&lt;&gt;"",E2423&lt;&gt;"",ISNA(MATCH(D2423&amp;"|"&amp;E2423,catClave,0))),"⚠ Subcategoría no corresponde",IF(AND(OR(P2423="Transferencia",P2423="Pago tarjeta"),K2423=""),"⚠ Falta cuenta destino",IF(AND(K2423&lt;&gt;"",P2423&lt;&gt;"Transferencia",P2423&lt;&gt;"Pago tarjeta"),"⚠ Destino solo aplica a transferencias",IF(AND(K2423&lt;&gt;"",K2423=Q2423),"⚠ Origen igual a destino",IF(AND(K2423&lt;&gt;"",ISNA(MATCH(K2423,ctaNombre,0))),"⚠ Destino no registrado",IF(AND(P2423="Pago tarjeta",AE2423&lt;&gt;"Tarjeta de crédito"),"⚠ El destino debe ser tarjeta de crédito",IF(AND(P2423="Gasto",E2423="Depósitos y retiros"),"⚠ Usa tipo Transferencia",IF(AND(P2423="Resultado trading",AD2423&lt;&gt;"Cuenta de trading"),"⚠ Usa una cuenta de trading",IF(AND(G2423&lt;=0,P2423&lt;&gt;"Ajuste",P2423&lt;&gt;"Resultado trading"),"⚠ El monto debe ser positivo","✓")))))))))))))))</f>
        <v/>
      </c>
      <c r="P2423" s="52">
        <f>IF(OR(B2423="",G2423=""),"",IF(C2423="","Gasto",C2423))</f>
        <v/>
      </c>
      <c r="Q2423" s="52">
        <f>IF(P2423="","",IF(J2423&lt;&gt;"",J2423,CuentaPred&amp;""))</f>
        <v/>
      </c>
      <c r="R2423" s="52">
        <f>IF(P2423="","",IF(ISNUMBER(I2423),I2423,TasaUSD))</f>
        <v/>
      </c>
      <c r="S2423" s="53">
        <f>IF(P2423="","",IF(H2423="USD",G2423*R2423,G2423))</f>
        <v/>
      </c>
      <c r="T2423" s="53">
        <f>IF(P2423="","",IF(H2423="USD",G2423,IF(R2423&gt;0,G2423/R2423,0)))</f>
        <v/>
      </c>
      <c r="U2423" s="53">
        <f>IF(P2423="","",IF(P2423="Gasto",S2423,IF(P2423="Reembolso",-S2423,0)))</f>
        <v/>
      </c>
      <c r="V2423" s="53">
        <f>IF(P2423="","",IF(P2423="Ingreso",S2423,0))</f>
        <v/>
      </c>
      <c r="W2423" s="53">
        <f>IF(P2423="","",IF(P2423="Resultado trading",S2423,0))</f>
        <v/>
      </c>
      <c r="X2423" s="52">
        <f>IF(OR(P2423="Gasto",P2423="Reembolso"),IF(M2423&lt;&gt;"",M2423,IFERROR(INDEX(catClasif,MATCH(D2423&amp;"|"&amp;E2423,catClave,0))&amp;"","Variable")),"")</f>
        <v/>
      </c>
      <c r="Y2423" s="52">
        <f>IF(P2423="","",IFERROR(INDEX(catGrupo,MATCH(D2423&amp;"|"&amp;E2423,catClave,0))&amp;"",""))</f>
        <v/>
      </c>
      <c r="Z2423" s="52">
        <f>IF(P2423="","",WEEKDAY(B2423,2))</f>
        <v/>
      </c>
      <c r="AA2423" s="52">
        <f>IF(P2423="","",IF(AND(P2423="Gasto",X2423="Variable",D2423&lt;&gt;catTrading,S2423&gt;0,S2423&lt;=Umbral),1,0))</f>
        <v/>
      </c>
      <c r="AB2423" s="52">
        <f>IF(OR(P2423="",Q2423=""),"",IFERROR(IF(INDEX(ctaVinc,MATCH(Q2423,ctaNombre,0))&amp;""&lt;&gt;"",INDEX(ctaVinc,MATCH(Q2423,ctaNombre,0))&amp;"",Q2423),Q2423))</f>
        <v/>
      </c>
      <c r="AC2423" s="52">
        <f>IF(OR(K2423="",AND(P2423&lt;&gt;"Transferencia",P2423&lt;&gt;"Pago tarjeta")),"",IFERROR(IF(INDEX(ctaVinc,MATCH(K2423,ctaNombre,0))&amp;""&lt;&gt;"",INDEX(ctaVinc,MATCH(K2423,ctaNombre,0))&amp;"",K2423),K2423))</f>
        <v/>
      </c>
      <c r="AD2423" s="52">
        <f>IF(AB2423="","",IFERROR(INDEX(ctaTipo,MATCH(AB2423,ctaNombre,0))&amp;"",""))</f>
        <v/>
      </c>
      <c r="AE2423" s="52">
        <f>IF(AC2423="","",IFERROR(INDEX(ctaTipo,MATCH(AC2423,ctaNombre,0))&amp;"",""))</f>
        <v/>
      </c>
      <c r="AF2423" s="53">
        <f>IF(OR(P2423="",AB2423=""),"",IF(OR(P2423="Gasto",P2423="Transferencia",P2423="Pago tarjeta"),-1,1)*IF(IFERROR(INDEX(ctaMoneda,MATCH(AB2423,ctaNombre,0))&amp;"","DOP")="USD",T2423,S2423))</f>
        <v/>
      </c>
      <c r="AG2423" s="53">
        <f>IF(AC2423="","",IF(IFERROR(INDEX(ctaMoneda,MATCH(AC2423,ctaNombre,0))&amp;"","DOP")="USD",T2423,S2423))</f>
        <v/>
      </c>
      <c r="AH2423" s="53">
        <f>IF(P2423="","",IF(AND(AD2423&lt;&gt;"",COUNTIFS(tcTipo,AD2423,tcLiq,"Sí")&gt;0),IF(OR(P2423="Gasto",P2423="Transferencia",P2423="Pago tarjeta"),-1,1)*S2423,0)+IF(AND(AE2423&lt;&gt;"",COUNTIFS(tcTipo,AE2423,tcLiq,"Sí")&gt;0),S2423,0))</f>
        <v/>
      </c>
      <c r="AI2423" s="52">
        <f>IF(OR(L2423="",P2423=""),"",IF(COUNTIFS(L$6:L2423,L2423,P$6:P2423,"?*")=1,MAX(AI$5:AI2422)+1,""))</f>
        <v/>
      </c>
    </row>
    <row r="2424">
      <c r="B2424" s="47" t="n"/>
      <c r="C2424" s="48" t="n"/>
      <c r="D2424" s="48" t="n"/>
      <c r="E2424" s="48" t="n"/>
      <c r="F2424" s="48" t="n"/>
      <c r="G2424" s="49" t="n"/>
      <c r="H2424" s="48" t="n"/>
      <c r="I2424" s="50" t="n"/>
      <c r="J2424" s="48" t="n"/>
      <c r="K2424" s="48" t="n"/>
      <c r="L2424" s="48" t="n"/>
      <c r="M2424" s="48" t="n"/>
      <c r="N2424" s="48" t="n"/>
      <c r="O2424" s="51">
        <f>IF(AND(B2424="",G2424="",C2424="",D2424="",J2424=""),"",IF(B2424="","⚠ Falta fecha",IF(G2424="","⚠ Falta monto",IF(Q2424="","⚠ Falta cuenta",IF(ISNA(MATCH(Q2424,ctaNombre,0)),"⚠ Cuenta no registrada",IF(AND(OR(P2424="Gasto",P2424="Reembolso"),D2424=""),"⚠ Falta categoría",IF(AND(D2424&lt;&gt;"",E2424&lt;&gt;"",ISNA(MATCH(D2424&amp;"|"&amp;E2424,catClave,0))),"⚠ Subcategoría no corresponde",IF(AND(OR(P2424="Transferencia",P2424="Pago tarjeta"),K2424=""),"⚠ Falta cuenta destino",IF(AND(K2424&lt;&gt;"",P2424&lt;&gt;"Transferencia",P2424&lt;&gt;"Pago tarjeta"),"⚠ Destino solo aplica a transferencias",IF(AND(K2424&lt;&gt;"",K2424=Q2424),"⚠ Origen igual a destino",IF(AND(K2424&lt;&gt;"",ISNA(MATCH(K2424,ctaNombre,0))),"⚠ Destino no registrado",IF(AND(P2424="Pago tarjeta",AE2424&lt;&gt;"Tarjeta de crédito"),"⚠ El destino debe ser tarjeta de crédito",IF(AND(P2424="Gasto",E2424="Depósitos y retiros"),"⚠ Usa tipo Transferencia",IF(AND(P2424="Resultado trading",AD2424&lt;&gt;"Cuenta de trading"),"⚠ Usa una cuenta de trading",IF(AND(G2424&lt;=0,P2424&lt;&gt;"Ajuste",P2424&lt;&gt;"Resultado trading"),"⚠ El monto debe ser positivo","✓")))))))))))))))</f>
        <v/>
      </c>
      <c r="P2424" s="52">
        <f>IF(OR(B2424="",G2424=""),"",IF(C2424="","Gasto",C2424))</f>
        <v/>
      </c>
      <c r="Q2424" s="52">
        <f>IF(P2424="","",IF(J2424&lt;&gt;"",J2424,CuentaPred&amp;""))</f>
        <v/>
      </c>
      <c r="R2424" s="52">
        <f>IF(P2424="","",IF(ISNUMBER(I2424),I2424,TasaUSD))</f>
        <v/>
      </c>
      <c r="S2424" s="53">
        <f>IF(P2424="","",IF(H2424="USD",G2424*R2424,G2424))</f>
        <v/>
      </c>
      <c r="T2424" s="53">
        <f>IF(P2424="","",IF(H2424="USD",G2424,IF(R2424&gt;0,G2424/R2424,0)))</f>
        <v/>
      </c>
      <c r="U2424" s="53">
        <f>IF(P2424="","",IF(P2424="Gasto",S2424,IF(P2424="Reembolso",-S2424,0)))</f>
        <v/>
      </c>
      <c r="V2424" s="53">
        <f>IF(P2424="","",IF(P2424="Ingreso",S2424,0))</f>
        <v/>
      </c>
      <c r="W2424" s="53">
        <f>IF(P2424="","",IF(P2424="Resultado trading",S2424,0))</f>
        <v/>
      </c>
      <c r="X2424" s="52">
        <f>IF(OR(P2424="Gasto",P2424="Reembolso"),IF(M2424&lt;&gt;"",M2424,IFERROR(INDEX(catClasif,MATCH(D2424&amp;"|"&amp;E2424,catClave,0))&amp;"","Variable")),"")</f>
        <v/>
      </c>
      <c r="Y2424" s="52">
        <f>IF(P2424="","",IFERROR(INDEX(catGrupo,MATCH(D2424&amp;"|"&amp;E2424,catClave,0))&amp;"",""))</f>
        <v/>
      </c>
      <c r="Z2424" s="52">
        <f>IF(P2424="","",WEEKDAY(B2424,2))</f>
        <v/>
      </c>
      <c r="AA2424" s="52">
        <f>IF(P2424="","",IF(AND(P2424="Gasto",X2424="Variable",D2424&lt;&gt;catTrading,S2424&gt;0,S2424&lt;=Umbral),1,0))</f>
        <v/>
      </c>
      <c r="AB2424" s="52">
        <f>IF(OR(P2424="",Q2424=""),"",IFERROR(IF(INDEX(ctaVinc,MATCH(Q2424,ctaNombre,0))&amp;""&lt;&gt;"",INDEX(ctaVinc,MATCH(Q2424,ctaNombre,0))&amp;"",Q2424),Q2424))</f>
        <v/>
      </c>
      <c r="AC2424" s="52">
        <f>IF(OR(K2424="",AND(P2424&lt;&gt;"Transferencia",P2424&lt;&gt;"Pago tarjeta")),"",IFERROR(IF(INDEX(ctaVinc,MATCH(K2424,ctaNombre,0))&amp;""&lt;&gt;"",INDEX(ctaVinc,MATCH(K2424,ctaNombre,0))&amp;"",K2424),K2424))</f>
        <v/>
      </c>
      <c r="AD2424" s="52">
        <f>IF(AB2424="","",IFERROR(INDEX(ctaTipo,MATCH(AB2424,ctaNombre,0))&amp;"",""))</f>
        <v/>
      </c>
      <c r="AE2424" s="52">
        <f>IF(AC2424="","",IFERROR(INDEX(ctaTipo,MATCH(AC2424,ctaNombre,0))&amp;"",""))</f>
        <v/>
      </c>
      <c r="AF2424" s="53">
        <f>IF(OR(P2424="",AB2424=""),"",IF(OR(P2424="Gasto",P2424="Transferencia",P2424="Pago tarjeta"),-1,1)*IF(IFERROR(INDEX(ctaMoneda,MATCH(AB2424,ctaNombre,0))&amp;"","DOP")="USD",T2424,S2424))</f>
        <v/>
      </c>
      <c r="AG2424" s="53">
        <f>IF(AC2424="","",IF(IFERROR(INDEX(ctaMoneda,MATCH(AC2424,ctaNombre,0))&amp;"","DOP")="USD",T2424,S2424))</f>
        <v/>
      </c>
      <c r="AH2424" s="53">
        <f>IF(P2424="","",IF(AND(AD2424&lt;&gt;"",COUNTIFS(tcTipo,AD2424,tcLiq,"Sí")&gt;0),IF(OR(P2424="Gasto",P2424="Transferencia",P2424="Pago tarjeta"),-1,1)*S2424,0)+IF(AND(AE2424&lt;&gt;"",COUNTIFS(tcTipo,AE2424,tcLiq,"Sí")&gt;0),S2424,0))</f>
        <v/>
      </c>
      <c r="AI2424" s="52">
        <f>IF(OR(L2424="",P2424=""),"",IF(COUNTIFS(L$6:L2424,L2424,P$6:P2424,"?*")=1,MAX(AI$5:AI2423)+1,""))</f>
        <v/>
      </c>
    </row>
    <row r="2425">
      <c r="B2425" s="47" t="n"/>
      <c r="C2425" s="48" t="n"/>
      <c r="D2425" s="48" t="n"/>
      <c r="E2425" s="48" t="n"/>
      <c r="F2425" s="48" t="n"/>
      <c r="G2425" s="49" t="n"/>
      <c r="H2425" s="48" t="n"/>
      <c r="I2425" s="50" t="n"/>
      <c r="J2425" s="48" t="n"/>
      <c r="K2425" s="48" t="n"/>
      <c r="L2425" s="48" t="n"/>
      <c r="M2425" s="48" t="n"/>
      <c r="N2425" s="48" t="n"/>
      <c r="O2425" s="51">
        <f>IF(AND(B2425="",G2425="",C2425="",D2425="",J2425=""),"",IF(B2425="","⚠ Falta fecha",IF(G2425="","⚠ Falta monto",IF(Q2425="","⚠ Falta cuenta",IF(ISNA(MATCH(Q2425,ctaNombre,0)),"⚠ Cuenta no registrada",IF(AND(OR(P2425="Gasto",P2425="Reembolso"),D2425=""),"⚠ Falta categoría",IF(AND(D2425&lt;&gt;"",E2425&lt;&gt;"",ISNA(MATCH(D2425&amp;"|"&amp;E2425,catClave,0))),"⚠ Subcategoría no corresponde",IF(AND(OR(P2425="Transferencia",P2425="Pago tarjeta"),K2425=""),"⚠ Falta cuenta destino",IF(AND(K2425&lt;&gt;"",P2425&lt;&gt;"Transferencia",P2425&lt;&gt;"Pago tarjeta"),"⚠ Destino solo aplica a transferencias",IF(AND(K2425&lt;&gt;"",K2425=Q2425),"⚠ Origen igual a destino",IF(AND(K2425&lt;&gt;"",ISNA(MATCH(K2425,ctaNombre,0))),"⚠ Destino no registrado",IF(AND(P2425="Pago tarjeta",AE2425&lt;&gt;"Tarjeta de crédito"),"⚠ El destino debe ser tarjeta de crédito",IF(AND(P2425="Gasto",E2425="Depósitos y retiros"),"⚠ Usa tipo Transferencia",IF(AND(P2425="Resultado trading",AD2425&lt;&gt;"Cuenta de trading"),"⚠ Usa una cuenta de trading",IF(AND(G2425&lt;=0,P2425&lt;&gt;"Ajuste",P2425&lt;&gt;"Resultado trading"),"⚠ El monto debe ser positivo","✓")))))))))))))))</f>
        <v/>
      </c>
      <c r="P2425" s="52">
        <f>IF(OR(B2425="",G2425=""),"",IF(C2425="","Gasto",C2425))</f>
        <v/>
      </c>
      <c r="Q2425" s="52">
        <f>IF(P2425="","",IF(J2425&lt;&gt;"",J2425,CuentaPred&amp;""))</f>
        <v/>
      </c>
      <c r="R2425" s="52">
        <f>IF(P2425="","",IF(ISNUMBER(I2425),I2425,TasaUSD))</f>
        <v/>
      </c>
      <c r="S2425" s="53">
        <f>IF(P2425="","",IF(H2425="USD",G2425*R2425,G2425))</f>
        <v/>
      </c>
      <c r="T2425" s="53">
        <f>IF(P2425="","",IF(H2425="USD",G2425,IF(R2425&gt;0,G2425/R2425,0)))</f>
        <v/>
      </c>
      <c r="U2425" s="53">
        <f>IF(P2425="","",IF(P2425="Gasto",S2425,IF(P2425="Reembolso",-S2425,0)))</f>
        <v/>
      </c>
      <c r="V2425" s="53">
        <f>IF(P2425="","",IF(P2425="Ingreso",S2425,0))</f>
        <v/>
      </c>
      <c r="W2425" s="53">
        <f>IF(P2425="","",IF(P2425="Resultado trading",S2425,0))</f>
        <v/>
      </c>
      <c r="X2425" s="52">
        <f>IF(OR(P2425="Gasto",P2425="Reembolso"),IF(M2425&lt;&gt;"",M2425,IFERROR(INDEX(catClasif,MATCH(D2425&amp;"|"&amp;E2425,catClave,0))&amp;"","Variable")),"")</f>
        <v/>
      </c>
      <c r="Y2425" s="52">
        <f>IF(P2425="","",IFERROR(INDEX(catGrupo,MATCH(D2425&amp;"|"&amp;E2425,catClave,0))&amp;"",""))</f>
        <v/>
      </c>
      <c r="Z2425" s="52">
        <f>IF(P2425="","",WEEKDAY(B2425,2))</f>
        <v/>
      </c>
      <c r="AA2425" s="52">
        <f>IF(P2425="","",IF(AND(P2425="Gasto",X2425="Variable",D2425&lt;&gt;catTrading,S2425&gt;0,S2425&lt;=Umbral),1,0))</f>
        <v/>
      </c>
      <c r="AB2425" s="52">
        <f>IF(OR(P2425="",Q2425=""),"",IFERROR(IF(INDEX(ctaVinc,MATCH(Q2425,ctaNombre,0))&amp;""&lt;&gt;"",INDEX(ctaVinc,MATCH(Q2425,ctaNombre,0))&amp;"",Q2425),Q2425))</f>
        <v/>
      </c>
      <c r="AC2425" s="52">
        <f>IF(OR(K2425="",AND(P2425&lt;&gt;"Transferencia",P2425&lt;&gt;"Pago tarjeta")),"",IFERROR(IF(INDEX(ctaVinc,MATCH(K2425,ctaNombre,0))&amp;""&lt;&gt;"",INDEX(ctaVinc,MATCH(K2425,ctaNombre,0))&amp;"",K2425),K2425))</f>
        <v/>
      </c>
      <c r="AD2425" s="52">
        <f>IF(AB2425="","",IFERROR(INDEX(ctaTipo,MATCH(AB2425,ctaNombre,0))&amp;"",""))</f>
        <v/>
      </c>
      <c r="AE2425" s="52">
        <f>IF(AC2425="","",IFERROR(INDEX(ctaTipo,MATCH(AC2425,ctaNombre,0))&amp;"",""))</f>
        <v/>
      </c>
      <c r="AF2425" s="53">
        <f>IF(OR(P2425="",AB2425=""),"",IF(OR(P2425="Gasto",P2425="Transferencia",P2425="Pago tarjeta"),-1,1)*IF(IFERROR(INDEX(ctaMoneda,MATCH(AB2425,ctaNombre,0))&amp;"","DOP")="USD",T2425,S2425))</f>
        <v/>
      </c>
      <c r="AG2425" s="53">
        <f>IF(AC2425="","",IF(IFERROR(INDEX(ctaMoneda,MATCH(AC2425,ctaNombre,0))&amp;"","DOP")="USD",T2425,S2425))</f>
        <v/>
      </c>
      <c r="AH2425" s="53">
        <f>IF(P2425="","",IF(AND(AD2425&lt;&gt;"",COUNTIFS(tcTipo,AD2425,tcLiq,"Sí")&gt;0),IF(OR(P2425="Gasto",P2425="Transferencia",P2425="Pago tarjeta"),-1,1)*S2425,0)+IF(AND(AE2425&lt;&gt;"",COUNTIFS(tcTipo,AE2425,tcLiq,"Sí")&gt;0),S2425,0))</f>
        <v/>
      </c>
      <c r="AI2425" s="52">
        <f>IF(OR(L2425="",P2425=""),"",IF(COUNTIFS(L$6:L2425,L2425,P$6:P2425,"?*")=1,MAX(AI$5:AI2424)+1,""))</f>
        <v/>
      </c>
    </row>
    <row r="2426">
      <c r="B2426" s="47" t="n"/>
      <c r="C2426" s="48" t="n"/>
      <c r="D2426" s="48" t="n"/>
      <c r="E2426" s="48" t="n"/>
      <c r="F2426" s="48" t="n"/>
      <c r="G2426" s="49" t="n"/>
      <c r="H2426" s="48" t="n"/>
      <c r="I2426" s="50" t="n"/>
      <c r="J2426" s="48" t="n"/>
      <c r="K2426" s="48" t="n"/>
      <c r="L2426" s="48" t="n"/>
      <c r="M2426" s="48" t="n"/>
      <c r="N2426" s="48" t="n"/>
      <c r="O2426" s="51">
        <f>IF(AND(B2426="",G2426="",C2426="",D2426="",J2426=""),"",IF(B2426="","⚠ Falta fecha",IF(G2426="","⚠ Falta monto",IF(Q2426="","⚠ Falta cuenta",IF(ISNA(MATCH(Q2426,ctaNombre,0)),"⚠ Cuenta no registrada",IF(AND(OR(P2426="Gasto",P2426="Reembolso"),D2426=""),"⚠ Falta categoría",IF(AND(D2426&lt;&gt;"",E2426&lt;&gt;"",ISNA(MATCH(D2426&amp;"|"&amp;E2426,catClave,0))),"⚠ Subcategoría no corresponde",IF(AND(OR(P2426="Transferencia",P2426="Pago tarjeta"),K2426=""),"⚠ Falta cuenta destino",IF(AND(K2426&lt;&gt;"",P2426&lt;&gt;"Transferencia",P2426&lt;&gt;"Pago tarjeta"),"⚠ Destino solo aplica a transferencias",IF(AND(K2426&lt;&gt;"",K2426=Q2426),"⚠ Origen igual a destino",IF(AND(K2426&lt;&gt;"",ISNA(MATCH(K2426,ctaNombre,0))),"⚠ Destino no registrado",IF(AND(P2426="Pago tarjeta",AE2426&lt;&gt;"Tarjeta de crédito"),"⚠ El destino debe ser tarjeta de crédito",IF(AND(P2426="Gasto",E2426="Depósitos y retiros"),"⚠ Usa tipo Transferencia",IF(AND(P2426="Resultado trading",AD2426&lt;&gt;"Cuenta de trading"),"⚠ Usa una cuenta de trading",IF(AND(G2426&lt;=0,P2426&lt;&gt;"Ajuste",P2426&lt;&gt;"Resultado trading"),"⚠ El monto debe ser positivo","✓")))))))))))))))</f>
        <v/>
      </c>
      <c r="P2426" s="52">
        <f>IF(OR(B2426="",G2426=""),"",IF(C2426="","Gasto",C2426))</f>
        <v/>
      </c>
      <c r="Q2426" s="52">
        <f>IF(P2426="","",IF(J2426&lt;&gt;"",J2426,CuentaPred&amp;""))</f>
        <v/>
      </c>
      <c r="R2426" s="52">
        <f>IF(P2426="","",IF(ISNUMBER(I2426),I2426,TasaUSD))</f>
        <v/>
      </c>
      <c r="S2426" s="53">
        <f>IF(P2426="","",IF(H2426="USD",G2426*R2426,G2426))</f>
        <v/>
      </c>
      <c r="T2426" s="53">
        <f>IF(P2426="","",IF(H2426="USD",G2426,IF(R2426&gt;0,G2426/R2426,0)))</f>
        <v/>
      </c>
      <c r="U2426" s="53">
        <f>IF(P2426="","",IF(P2426="Gasto",S2426,IF(P2426="Reembolso",-S2426,0)))</f>
        <v/>
      </c>
      <c r="V2426" s="53">
        <f>IF(P2426="","",IF(P2426="Ingreso",S2426,0))</f>
        <v/>
      </c>
      <c r="W2426" s="53">
        <f>IF(P2426="","",IF(P2426="Resultado trading",S2426,0))</f>
        <v/>
      </c>
      <c r="X2426" s="52">
        <f>IF(OR(P2426="Gasto",P2426="Reembolso"),IF(M2426&lt;&gt;"",M2426,IFERROR(INDEX(catClasif,MATCH(D2426&amp;"|"&amp;E2426,catClave,0))&amp;"","Variable")),"")</f>
        <v/>
      </c>
      <c r="Y2426" s="52">
        <f>IF(P2426="","",IFERROR(INDEX(catGrupo,MATCH(D2426&amp;"|"&amp;E2426,catClave,0))&amp;"",""))</f>
        <v/>
      </c>
      <c r="Z2426" s="52">
        <f>IF(P2426="","",WEEKDAY(B2426,2))</f>
        <v/>
      </c>
      <c r="AA2426" s="52">
        <f>IF(P2426="","",IF(AND(P2426="Gasto",X2426="Variable",D2426&lt;&gt;catTrading,S2426&gt;0,S2426&lt;=Umbral),1,0))</f>
        <v/>
      </c>
      <c r="AB2426" s="52">
        <f>IF(OR(P2426="",Q2426=""),"",IFERROR(IF(INDEX(ctaVinc,MATCH(Q2426,ctaNombre,0))&amp;""&lt;&gt;"",INDEX(ctaVinc,MATCH(Q2426,ctaNombre,0))&amp;"",Q2426),Q2426))</f>
        <v/>
      </c>
      <c r="AC2426" s="52">
        <f>IF(OR(K2426="",AND(P2426&lt;&gt;"Transferencia",P2426&lt;&gt;"Pago tarjeta")),"",IFERROR(IF(INDEX(ctaVinc,MATCH(K2426,ctaNombre,0))&amp;""&lt;&gt;"",INDEX(ctaVinc,MATCH(K2426,ctaNombre,0))&amp;"",K2426),K2426))</f>
        <v/>
      </c>
      <c r="AD2426" s="52">
        <f>IF(AB2426="","",IFERROR(INDEX(ctaTipo,MATCH(AB2426,ctaNombre,0))&amp;"",""))</f>
        <v/>
      </c>
      <c r="AE2426" s="52">
        <f>IF(AC2426="","",IFERROR(INDEX(ctaTipo,MATCH(AC2426,ctaNombre,0))&amp;"",""))</f>
        <v/>
      </c>
      <c r="AF2426" s="53">
        <f>IF(OR(P2426="",AB2426=""),"",IF(OR(P2426="Gasto",P2426="Transferencia",P2426="Pago tarjeta"),-1,1)*IF(IFERROR(INDEX(ctaMoneda,MATCH(AB2426,ctaNombre,0))&amp;"","DOP")="USD",T2426,S2426))</f>
        <v/>
      </c>
      <c r="AG2426" s="53">
        <f>IF(AC2426="","",IF(IFERROR(INDEX(ctaMoneda,MATCH(AC2426,ctaNombre,0))&amp;"","DOP")="USD",T2426,S2426))</f>
        <v/>
      </c>
      <c r="AH2426" s="53">
        <f>IF(P2426="","",IF(AND(AD2426&lt;&gt;"",COUNTIFS(tcTipo,AD2426,tcLiq,"Sí")&gt;0),IF(OR(P2426="Gasto",P2426="Transferencia",P2426="Pago tarjeta"),-1,1)*S2426,0)+IF(AND(AE2426&lt;&gt;"",COUNTIFS(tcTipo,AE2426,tcLiq,"Sí")&gt;0),S2426,0))</f>
        <v/>
      </c>
      <c r="AI2426" s="52">
        <f>IF(OR(L2426="",P2426=""),"",IF(COUNTIFS(L$6:L2426,L2426,P$6:P2426,"?*")=1,MAX(AI$5:AI2425)+1,""))</f>
        <v/>
      </c>
    </row>
    <row r="2427">
      <c r="B2427" s="47" t="n"/>
      <c r="C2427" s="48" t="n"/>
      <c r="D2427" s="48" t="n"/>
      <c r="E2427" s="48" t="n"/>
      <c r="F2427" s="48" t="n"/>
      <c r="G2427" s="49" t="n"/>
      <c r="H2427" s="48" t="n"/>
      <c r="I2427" s="50" t="n"/>
      <c r="J2427" s="48" t="n"/>
      <c r="K2427" s="48" t="n"/>
      <c r="L2427" s="48" t="n"/>
      <c r="M2427" s="48" t="n"/>
      <c r="N2427" s="48" t="n"/>
      <c r="O2427" s="51">
        <f>IF(AND(B2427="",G2427="",C2427="",D2427="",J2427=""),"",IF(B2427="","⚠ Falta fecha",IF(G2427="","⚠ Falta monto",IF(Q2427="","⚠ Falta cuenta",IF(ISNA(MATCH(Q2427,ctaNombre,0)),"⚠ Cuenta no registrada",IF(AND(OR(P2427="Gasto",P2427="Reembolso"),D2427=""),"⚠ Falta categoría",IF(AND(D2427&lt;&gt;"",E2427&lt;&gt;"",ISNA(MATCH(D2427&amp;"|"&amp;E2427,catClave,0))),"⚠ Subcategoría no corresponde",IF(AND(OR(P2427="Transferencia",P2427="Pago tarjeta"),K2427=""),"⚠ Falta cuenta destino",IF(AND(K2427&lt;&gt;"",P2427&lt;&gt;"Transferencia",P2427&lt;&gt;"Pago tarjeta"),"⚠ Destino solo aplica a transferencias",IF(AND(K2427&lt;&gt;"",K2427=Q2427),"⚠ Origen igual a destino",IF(AND(K2427&lt;&gt;"",ISNA(MATCH(K2427,ctaNombre,0))),"⚠ Destino no registrado",IF(AND(P2427="Pago tarjeta",AE2427&lt;&gt;"Tarjeta de crédito"),"⚠ El destino debe ser tarjeta de crédito",IF(AND(P2427="Gasto",E2427="Depósitos y retiros"),"⚠ Usa tipo Transferencia",IF(AND(P2427="Resultado trading",AD2427&lt;&gt;"Cuenta de trading"),"⚠ Usa una cuenta de trading",IF(AND(G2427&lt;=0,P2427&lt;&gt;"Ajuste",P2427&lt;&gt;"Resultado trading"),"⚠ El monto debe ser positivo","✓")))))))))))))))</f>
        <v/>
      </c>
      <c r="P2427" s="52">
        <f>IF(OR(B2427="",G2427=""),"",IF(C2427="","Gasto",C2427))</f>
        <v/>
      </c>
      <c r="Q2427" s="52">
        <f>IF(P2427="","",IF(J2427&lt;&gt;"",J2427,CuentaPred&amp;""))</f>
        <v/>
      </c>
      <c r="R2427" s="52">
        <f>IF(P2427="","",IF(ISNUMBER(I2427),I2427,TasaUSD))</f>
        <v/>
      </c>
      <c r="S2427" s="53">
        <f>IF(P2427="","",IF(H2427="USD",G2427*R2427,G2427))</f>
        <v/>
      </c>
      <c r="T2427" s="53">
        <f>IF(P2427="","",IF(H2427="USD",G2427,IF(R2427&gt;0,G2427/R2427,0)))</f>
        <v/>
      </c>
      <c r="U2427" s="53">
        <f>IF(P2427="","",IF(P2427="Gasto",S2427,IF(P2427="Reembolso",-S2427,0)))</f>
        <v/>
      </c>
      <c r="V2427" s="53">
        <f>IF(P2427="","",IF(P2427="Ingreso",S2427,0))</f>
        <v/>
      </c>
      <c r="W2427" s="53">
        <f>IF(P2427="","",IF(P2427="Resultado trading",S2427,0))</f>
        <v/>
      </c>
      <c r="X2427" s="52">
        <f>IF(OR(P2427="Gasto",P2427="Reembolso"),IF(M2427&lt;&gt;"",M2427,IFERROR(INDEX(catClasif,MATCH(D2427&amp;"|"&amp;E2427,catClave,0))&amp;"","Variable")),"")</f>
        <v/>
      </c>
      <c r="Y2427" s="52">
        <f>IF(P2427="","",IFERROR(INDEX(catGrupo,MATCH(D2427&amp;"|"&amp;E2427,catClave,0))&amp;"",""))</f>
        <v/>
      </c>
      <c r="Z2427" s="52">
        <f>IF(P2427="","",WEEKDAY(B2427,2))</f>
        <v/>
      </c>
      <c r="AA2427" s="52">
        <f>IF(P2427="","",IF(AND(P2427="Gasto",X2427="Variable",D2427&lt;&gt;catTrading,S2427&gt;0,S2427&lt;=Umbral),1,0))</f>
        <v/>
      </c>
      <c r="AB2427" s="52">
        <f>IF(OR(P2427="",Q2427=""),"",IFERROR(IF(INDEX(ctaVinc,MATCH(Q2427,ctaNombre,0))&amp;""&lt;&gt;"",INDEX(ctaVinc,MATCH(Q2427,ctaNombre,0))&amp;"",Q2427),Q2427))</f>
        <v/>
      </c>
      <c r="AC2427" s="52">
        <f>IF(OR(K2427="",AND(P2427&lt;&gt;"Transferencia",P2427&lt;&gt;"Pago tarjeta")),"",IFERROR(IF(INDEX(ctaVinc,MATCH(K2427,ctaNombre,0))&amp;""&lt;&gt;"",INDEX(ctaVinc,MATCH(K2427,ctaNombre,0))&amp;"",K2427),K2427))</f>
        <v/>
      </c>
      <c r="AD2427" s="52">
        <f>IF(AB2427="","",IFERROR(INDEX(ctaTipo,MATCH(AB2427,ctaNombre,0))&amp;"",""))</f>
        <v/>
      </c>
      <c r="AE2427" s="52">
        <f>IF(AC2427="","",IFERROR(INDEX(ctaTipo,MATCH(AC2427,ctaNombre,0))&amp;"",""))</f>
        <v/>
      </c>
      <c r="AF2427" s="53">
        <f>IF(OR(P2427="",AB2427=""),"",IF(OR(P2427="Gasto",P2427="Transferencia",P2427="Pago tarjeta"),-1,1)*IF(IFERROR(INDEX(ctaMoneda,MATCH(AB2427,ctaNombre,0))&amp;"","DOP")="USD",T2427,S2427))</f>
        <v/>
      </c>
      <c r="AG2427" s="53">
        <f>IF(AC2427="","",IF(IFERROR(INDEX(ctaMoneda,MATCH(AC2427,ctaNombre,0))&amp;"","DOP")="USD",T2427,S2427))</f>
        <v/>
      </c>
      <c r="AH2427" s="53">
        <f>IF(P2427="","",IF(AND(AD2427&lt;&gt;"",COUNTIFS(tcTipo,AD2427,tcLiq,"Sí")&gt;0),IF(OR(P2427="Gasto",P2427="Transferencia",P2427="Pago tarjeta"),-1,1)*S2427,0)+IF(AND(AE2427&lt;&gt;"",COUNTIFS(tcTipo,AE2427,tcLiq,"Sí")&gt;0),S2427,0))</f>
        <v/>
      </c>
      <c r="AI2427" s="52">
        <f>IF(OR(L2427="",P2427=""),"",IF(COUNTIFS(L$6:L2427,L2427,P$6:P2427,"?*")=1,MAX(AI$5:AI2426)+1,""))</f>
        <v/>
      </c>
    </row>
    <row r="2428">
      <c r="B2428" s="47" t="n"/>
      <c r="C2428" s="48" t="n"/>
      <c r="D2428" s="48" t="n"/>
      <c r="E2428" s="48" t="n"/>
      <c r="F2428" s="48" t="n"/>
      <c r="G2428" s="49" t="n"/>
      <c r="H2428" s="48" t="n"/>
      <c r="I2428" s="50" t="n"/>
      <c r="J2428" s="48" t="n"/>
      <c r="K2428" s="48" t="n"/>
      <c r="L2428" s="48" t="n"/>
      <c r="M2428" s="48" t="n"/>
      <c r="N2428" s="48" t="n"/>
      <c r="O2428" s="51">
        <f>IF(AND(B2428="",G2428="",C2428="",D2428="",J2428=""),"",IF(B2428="","⚠ Falta fecha",IF(G2428="","⚠ Falta monto",IF(Q2428="","⚠ Falta cuenta",IF(ISNA(MATCH(Q2428,ctaNombre,0)),"⚠ Cuenta no registrada",IF(AND(OR(P2428="Gasto",P2428="Reembolso"),D2428=""),"⚠ Falta categoría",IF(AND(D2428&lt;&gt;"",E2428&lt;&gt;"",ISNA(MATCH(D2428&amp;"|"&amp;E2428,catClave,0))),"⚠ Subcategoría no corresponde",IF(AND(OR(P2428="Transferencia",P2428="Pago tarjeta"),K2428=""),"⚠ Falta cuenta destino",IF(AND(K2428&lt;&gt;"",P2428&lt;&gt;"Transferencia",P2428&lt;&gt;"Pago tarjeta"),"⚠ Destino solo aplica a transferencias",IF(AND(K2428&lt;&gt;"",K2428=Q2428),"⚠ Origen igual a destino",IF(AND(K2428&lt;&gt;"",ISNA(MATCH(K2428,ctaNombre,0))),"⚠ Destino no registrado",IF(AND(P2428="Pago tarjeta",AE2428&lt;&gt;"Tarjeta de crédito"),"⚠ El destino debe ser tarjeta de crédito",IF(AND(P2428="Gasto",E2428="Depósitos y retiros"),"⚠ Usa tipo Transferencia",IF(AND(P2428="Resultado trading",AD2428&lt;&gt;"Cuenta de trading"),"⚠ Usa una cuenta de trading",IF(AND(G2428&lt;=0,P2428&lt;&gt;"Ajuste",P2428&lt;&gt;"Resultado trading"),"⚠ El monto debe ser positivo","✓")))))))))))))))</f>
        <v/>
      </c>
      <c r="P2428" s="52">
        <f>IF(OR(B2428="",G2428=""),"",IF(C2428="","Gasto",C2428))</f>
        <v/>
      </c>
      <c r="Q2428" s="52">
        <f>IF(P2428="","",IF(J2428&lt;&gt;"",J2428,CuentaPred&amp;""))</f>
        <v/>
      </c>
      <c r="R2428" s="52">
        <f>IF(P2428="","",IF(ISNUMBER(I2428),I2428,TasaUSD))</f>
        <v/>
      </c>
      <c r="S2428" s="53">
        <f>IF(P2428="","",IF(H2428="USD",G2428*R2428,G2428))</f>
        <v/>
      </c>
      <c r="T2428" s="53">
        <f>IF(P2428="","",IF(H2428="USD",G2428,IF(R2428&gt;0,G2428/R2428,0)))</f>
        <v/>
      </c>
      <c r="U2428" s="53">
        <f>IF(P2428="","",IF(P2428="Gasto",S2428,IF(P2428="Reembolso",-S2428,0)))</f>
        <v/>
      </c>
      <c r="V2428" s="53">
        <f>IF(P2428="","",IF(P2428="Ingreso",S2428,0))</f>
        <v/>
      </c>
      <c r="W2428" s="53">
        <f>IF(P2428="","",IF(P2428="Resultado trading",S2428,0))</f>
        <v/>
      </c>
      <c r="X2428" s="52">
        <f>IF(OR(P2428="Gasto",P2428="Reembolso"),IF(M2428&lt;&gt;"",M2428,IFERROR(INDEX(catClasif,MATCH(D2428&amp;"|"&amp;E2428,catClave,0))&amp;"","Variable")),"")</f>
        <v/>
      </c>
      <c r="Y2428" s="52">
        <f>IF(P2428="","",IFERROR(INDEX(catGrupo,MATCH(D2428&amp;"|"&amp;E2428,catClave,0))&amp;"",""))</f>
        <v/>
      </c>
      <c r="Z2428" s="52">
        <f>IF(P2428="","",WEEKDAY(B2428,2))</f>
        <v/>
      </c>
      <c r="AA2428" s="52">
        <f>IF(P2428="","",IF(AND(P2428="Gasto",X2428="Variable",D2428&lt;&gt;catTrading,S2428&gt;0,S2428&lt;=Umbral),1,0))</f>
        <v/>
      </c>
      <c r="AB2428" s="52">
        <f>IF(OR(P2428="",Q2428=""),"",IFERROR(IF(INDEX(ctaVinc,MATCH(Q2428,ctaNombre,0))&amp;""&lt;&gt;"",INDEX(ctaVinc,MATCH(Q2428,ctaNombre,0))&amp;"",Q2428),Q2428))</f>
        <v/>
      </c>
      <c r="AC2428" s="52">
        <f>IF(OR(K2428="",AND(P2428&lt;&gt;"Transferencia",P2428&lt;&gt;"Pago tarjeta")),"",IFERROR(IF(INDEX(ctaVinc,MATCH(K2428,ctaNombre,0))&amp;""&lt;&gt;"",INDEX(ctaVinc,MATCH(K2428,ctaNombre,0))&amp;"",K2428),K2428))</f>
        <v/>
      </c>
      <c r="AD2428" s="52">
        <f>IF(AB2428="","",IFERROR(INDEX(ctaTipo,MATCH(AB2428,ctaNombre,0))&amp;"",""))</f>
        <v/>
      </c>
      <c r="AE2428" s="52">
        <f>IF(AC2428="","",IFERROR(INDEX(ctaTipo,MATCH(AC2428,ctaNombre,0))&amp;"",""))</f>
        <v/>
      </c>
      <c r="AF2428" s="53">
        <f>IF(OR(P2428="",AB2428=""),"",IF(OR(P2428="Gasto",P2428="Transferencia",P2428="Pago tarjeta"),-1,1)*IF(IFERROR(INDEX(ctaMoneda,MATCH(AB2428,ctaNombre,0))&amp;"","DOP")="USD",T2428,S2428))</f>
        <v/>
      </c>
      <c r="AG2428" s="53">
        <f>IF(AC2428="","",IF(IFERROR(INDEX(ctaMoneda,MATCH(AC2428,ctaNombre,0))&amp;"","DOP")="USD",T2428,S2428))</f>
        <v/>
      </c>
      <c r="AH2428" s="53">
        <f>IF(P2428="","",IF(AND(AD2428&lt;&gt;"",COUNTIFS(tcTipo,AD2428,tcLiq,"Sí")&gt;0),IF(OR(P2428="Gasto",P2428="Transferencia",P2428="Pago tarjeta"),-1,1)*S2428,0)+IF(AND(AE2428&lt;&gt;"",COUNTIFS(tcTipo,AE2428,tcLiq,"Sí")&gt;0),S2428,0))</f>
        <v/>
      </c>
      <c r="AI2428" s="52">
        <f>IF(OR(L2428="",P2428=""),"",IF(COUNTIFS(L$6:L2428,L2428,P$6:P2428,"?*")=1,MAX(AI$5:AI2427)+1,""))</f>
        <v/>
      </c>
    </row>
    <row r="2429">
      <c r="B2429" s="47" t="n"/>
      <c r="C2429" s="48" t="n"/>
      <c r="D2429" s="48" t="n"/>
      <c r="E2429" s="48" t="n"/>
      <c r="F2429" s="48" t="n"/>
      <c r="G2429" s="49" t="n"/>
      <c r="H2429" s="48" t="n"/>
      <c r="I2429" s="50" t="n"/>
      <c r="J2429" s="48" t="n"/>
      <c r="K2429" s="48" t="n"/>
      <c r="L2429" s="48" t="n"/>
      <c r="M2429" s="48" t="n"/>
      <c r="N2429" s="48" t="n"/>
      <c r="O2429" s="51">
        <f>IF(AND(B2429="",G2429="",C2429="",D2429="",J2429=""),"",IF(B2429="","⚠ Falta fecha",IF(G2429="","⚠ Falta monto",IF(Q2429="","⚠ Falta cuenta",IF(ISNA(MATCH(Q2429,ctaNombre,0)),"⚠ Cuenta no registrada",IF(AND(OR(P2429="Gasto",P2429="Reembolso"),D2429=""),"⚠ Falta categoría",IF(AND(D2429&lt;&gt;"",E2429&lt;&gt;"",ISNA(MATCH(D2429&amp;"|"&amp;E2429,catClave,0))),"⚠ Subcategoría no corresponde",IF(AND(OR(P2429="Transferencia",P2429="Pago tarjeta"),K2429=""),"⚠ Falta cuenta destino",IF(AND(K2429&lt;&gt;"",P2429&lt;&gt;"Transferencia",P2429&lt;&gt;"Pago tarjeta"),"⚠ Destino solo aplica a transferencias",IF(AND(K2429&lt;&gt;"",K2429=Q2429),"⚠ Origen igual a destino",IF(AND(K2429&lt;&gt;"",ISNA(MATCH(K2429,ctaNombre,0))),"⚠ Destino no registrado",IF(AND(P2429="Pago tarjeta",AE2429&lt;&gt;"Tarjeta de crédito"),"⚠ El destino debe ser tarjeta de crédito",IF(AND(P2429="Gasto",E2429="Depósitos y retiros"),"⚠ Usa tipo Transferencia",IF(AND(P2429="Resultado trading",AD2429&lt;&gt;"Cuenta de trading"),"⚠ Usa una cuenta de trading",IF(AND(G2429&lt;=0,P2429&lt;&gt;"Ajuste",P2429&lt;&gt;"Resultado trading"),"⚠ El monto debe ser positivo","✓")))))))))))))))</f>
        <v/>
      </c>
      <c r="P2429" s="52">
        <f>IF(OR(B2429="",G2429=""),"",IF(C2429="","Gasto",C2429))</f>
        <v/>
      </c>
      <c r="Q2429" s="52">
        <f>IF(P2429="","",IF(J2429&lt;&gt;"",J2429,CuentaPred&amp;""))</f>
        <v/>
      </c>
      <c r="R2429" s="52">
        <f>IF(P2429="","",IF(ISNUMBER(I2429),I2429,TasaUSD))</f>
        <v/>
      </c>
      <c r="S2429" s="53">
        <f>IF(P2429="","",IF(H2429="USD",G2429*R2429,G2429))</f>
        <v/>
      </c>
      <c r="T2429" s="53">
        <f>IF(P2429="","",IF(H2429="USD",G2429,IF(R2429&gt;0,G2429/R2429,0)))</f>
        <v/>
      </c>
      <c r="U2429" s="53">
        <f>IF(P2429="","",IF(P2429="Gasto",S2429,IF(P2429="Reembolso",-S2429,0)))</f>
        <v/>
      </c>
      <c r="V2429" s="53">
        <f>IF(P2429="","",IF(P2429="Ingreso",S2429,0))</f>
        <v/>
      </c>
      <c r="W2429" s="53">
        <f>IF(P2429="","",IF(P2429="Resultado trading",S2429,0))</f>
        <v/>
      </c>
      <c r="X2429" s="52">
        <f>IF(OR(P2429="Gasto",P2429="Reembolso"),IF(M2429&lt;&gt;"",M2429,IFERROR(INDEX(catClasif,MATCH(D2429&amp;"|"&amp;E2429,catClave,0))&amp;"","Variable")),"")</f>
        <v/>
      </c>
      <c r="Y2429" s="52">
        <f>IF(P2429="","",IFERROR(INDEX(catGrupo,MATCH(D2429&amp;"|"&amp;E2429,catClave,0))&amp;"",""))</f>
        <v/>
      </c>
      <c r="Z2429" s="52">
        <f>IF(P2429="","",WEEKDAY(B2429,2))</f>
        <v/>
      </c>
      <c r="AA2429" s="52">
        <f>IF(P2429="","",IF(AND(P2429="Gasto",X2429="Variable",D2429&lt;&gt;catTrading,S2429&gt;0,S2429&lt;=Umbral),1,0))</f>
        <v/>
      </c>
      <c r="AB2429" s="52">
        <f>IF(OR(P2429="",Q2429=""),"",IFERROR(IF(INDEX(ctaVinc,MATCH(Q2429,ctaNombre,0))&amp;""&lt;&gt;"",INDEX(ctaVinc,MATCH(Q2429,ctaNombre,0))&amp;"",Q2429),Q2429))</f>
        <v/>
      </c>
      <c r="AC2429" s="52">
        <f>IF(OR(K2429="",AND(P2429&lt;&gt;"Transferencia",P2429&lt;&gt;"Pago tarjeta")),"",IFERROR(IF(INDEX(ctaVinc,MATCH(K2429,ctaNombre,0))&amp;""&lt;&gt;"",INDEX(ctaVinc,MATCH(K2429,ctaNombre,0))&amp;"",K2429),K2429))</f>
        <v/>
      </c>
      <c r="AD2429" s="52">
        <f>IF(AB2429="","",IFERROR(INDEX(ctaTipo,MATCH(AB2429,ctaNombre,0))&amp;"",""))</f>
        <v/>
      </c>
      <c r="AE2429" s="52">
        <f>IF(AC2429="","",IFERROR(INDEX(ctaTipo,MATCH(AC2429,ctaNombre,0))&amp;"",""))</f>
        <v/>
      </c>
      <c r="AF2429" s="53">
        <f>IF(OR(P2429="",AB2429=""),"",IF(OR(P2429="Gasto",P2429="Transferencia",P2429="Pago tarjeta"),-1,1)*IF(IFERROR(INDEX(ctaMoneda,MATCH(AB2429,ctaNombre,0))&amp;"","DOP")="USD",T2429,S2429))</f>
        <v/>
      </c>
      <c r="AG2429" s="53">
        <f>IF(AC2429="","",IF(IFERROR(INDEX(ctaMoneda,MATCH(AC2429,ctaNombre,0))&amp;"","DOP")="USD",T2429,S2429))</f>
        <v/>
      </c>
      <c r="AH2429" s="53">
        <f>IF(P2429="","",IF(AND(AD2429&lt;&gt;"",COUNTIFS(tcTipo,AD2429,tcLiq,"Sí")&gt;0),IF(OR(P2429="Gasto",P2429="Transferencia",P2429="Pago tarjeta"),-1,1)*S2429,0)+IF(AND(AE2429&lt;&gt;"",COUNTIFS(tcTipo,AE2429,tcLiq,"Sí")&gt;0),S2429,0))</f>
        <v/>
      </c>
      <c r="AI2429" s="52">
        <f>IF(OR(L2429="",P2429=""),"",IF(COUNTIFS(L$6:L2429,L2429,P$6:P2429,"?*")=1,MAX(AI$5:AI2428)+1,""))</f>
        <v/>
      </c>
    </row>
    <row r="2430">
      <c r="B2430" s="47" t="n"/>
      <c r="C2430" s="48" t="n"/>
      <c r="D2430" s="48" t="n"/>
      <c r="E2430" s="48" t="n"/>
      <c r="F2430" s="48" t="n"/>
      <c r="G2430" s="49" t="n"/>
      <c r="H2430" s="48" t="n"/>
      <c r="I2430" s="50" t="n"/>
      <c r="J2430" s="48" t="n"/>
      <c r="K2430" s="48" t="n"/>
      <c r="L2430" s="48" t="n"/>
      <c r="M2430" s="48" t="n"/>
      <c r="N2430" s="48" t="n"/>
      <c r="O2430" s="51">
        <f>IF(AND(B2430="",G2430="",C2430="",D2430="",J2430=""),"",IF(B2430="","⚠ Falta fecha",IF(G2430="","⚠ Falta monto",IF(Q2430="","⚠ Falta cuenta",IF(ISNA(MATCH(Q2430,ctaNombre,0)),"⚠ Cuenta no registrada",IF(AND(OR(P2430="Gasto",P2430="Reembolso"),D2430=""),"⚠ Falta categoría",IF(AND(D2430&lt;&gt;"",E2430&lt;&gt;"",ISNA(MATCH(D2430&amp;"|"&amp;E2430,catClave,0))),"⚠ Subcategoría no corresponde",IF(AND(OR(P2430="Transferencia",P2430="Pago tarjeta"),K2430=""),"⚠ Falta cuenta destino",IF(AND(K2430&lt;&gt;"",P2430&lt;&gt;"Transferencia",P2430&lt;&gt;"Pago tarjeta"),"⚠ Destino solo aplica a transferencias",IF(AND(K2430&lt;&gt;"",K2430=Q2430),"⚠ Origen igual a destino",IF(AND(K2430&lt;&gt;"",ISNA(MATCH(K2430,ctaNombre,0))),"⚠ Destino no registrado",IF(AND(P2430="Pago tarjeta",AE2430&lt;&gt;"Tarjeta de crédito"),"⚠ El destino debe ser tarjeta de crédito",IF(AND(P2430="Gasto",E2430="Depósitos y retiros"),"⚠ Usa tipo Transferencia",IF(AND(P2430="Resultado trading",AD2430&lt;&gt;"Cuenta de trading"),"⚠ Usa una cuenta de trading",IF(AND(G2430&lt;=0,P2430&lt;&gt;"Ajuste",P2430&lt;&gt;"Resultado trading"),"⚠ El monto debe ser positivo","✓")))))))))))))))</f>
        <v/>
      </c>
      <c r="P2430" s="52">
        <f>IF(OR(B2430="",G2430=""),"",IF(C2430="","Gasto",C2430))</f>
        <v/>
      </c>
      <c r="Q2430" s="52">
        <f>IF(P2430="","",IF(J2430&lt;&gt;"",J2430,CuentaPred&amp;""))</f>
        <v/>
      </c>
      <c r="R2430" s="52">
        <f>IF(P2430="","",IF(ISNUMBER(I2430),I2430,TasaUSD))</f>
        <v/>
      </c>
      <c r="S2430" s="53">
        <f>IF(P2430="","",IF(H2430="USD",G2430*R2430,G2430))</f>
        <v/>
      </c>
      <c r="T2430" s="53">
        <f>IF(P2430="","",IF(H2430="USD",G2430,IF(R2430&gt;0,G2430/R2430,0)))</f>
        <v/>
      </c>
      <c r="U2430" s="53">
        <f>IF(P2430="","",IF(P2430="Gasto",S2430,IF(P2430="Reembolso",-S2430,0)))</f>
        <v/>
      </c>
      <c r="V2430" s="53">
        <f>IF(P2430="","",IF(P2430="Ingreso",S2430,0))</f>
        <v/>
      </c>
      <c r="W2430" s="53">
        <f>IF(P2430="","",IF(P2430="Resultado trading",S2430,0))</f>
        <v/>
      </c>
      <c r="X2430" s="52">
        <f>IF(OR(P2430="Gasto",P2430="Reembolso"),IF(M2430&lt;&gt;"",M2430,IFERROR(INDEX(catClasif,MATCH(D2430&amp;"|"&amp;E2430,catClave,0))&amp;"","Variable")),"")</f>
        <v/>
      </c>
      <c r="Y2430" s="52">
        <f>IF(P2430="","",IFERROR(INDEX(catGrupo,MATCH(D2430&amp;"|"&amp;E2430,catClave,0))&amp;"",""))</f>
        <v/>
      </c>
      <c r="Z2430" s="52">
        <f>IF(P2430="","",WEEKDAY(B2430,2))</f>
        <v/>
      </c>
      <c r="AA2430" s="52">
        <f>IF(P2430="","",IF(AND(P2430="Gasto",X2430="Variable",D2430&lt;&gt;catTrading,S2430&gt;0,S2430&lt;=Umbral),1,0))</f>
        <v/>
      </c>
      <c r="AB2430" s="52">
        <f>IF(OR(P2430="",Q2430=""),"",IFERROR(IF(INDEX(ctaVinc,MATCH(Q2430,ctaNombre,0))&amp;""&lt;&gt;"",INDEX(ctaVinc,MATCH(Q2430,ctaNombre,0))&amp;"",Q2430),Q2430))</f>
        <v/>
      </c>
      <c r="AC2430" s="52">
        <f>IF(OR(K2430="",AND(P2430&lt;&gt;"Transferencia",P2430&lt;&gt;"Pago tarjeta")),"",IFERROR(IF(INDEX(ctaVinc,MATCH(K2430,ctaNombre,0))&amp;""&lt;&gt;"",INDEX(ctaVinc,MATCH(K2430,ctaNombre,0))&amp;"",K2430),K2430))</f>
        <v/>
      </c>
      <c r="AD2430" s="52">
        <f>IF(AB2430="","",IFERROR(INDEX(ctaTipo,MATCH(AB2430,ctaNombre,0))&amp;"",""))</f>
        <v/>
      </c>
      <c r="AE2430" s="52">
        <f>IF(AC2430="","",IFERROR(INDEX(ctaTipo,MATCH(AC2430,ctaNombre,0))&amp;"",""))</f>
        <v/>
      </c>
      <c r="AF2430" s="53">
        <f>IF(OR(P2430="",AB2430=""),"",IF(OR(P2430="Gasto",P2430="Transferencia",P2430="Pago tarjeta"),-1,1)*IF(IFERROR(INDEX(ctaMoneda,MATCH(AB2430,ctaNombre,0))&amp;"","DOP")="USD",T2430,S2430))</f>
        <v/>
      </c>
      <c r="AG2430" s="53">
        <f>IF(AC2430="","",IF(IFERROR(INDEX(ctaMoneda,MATCH(AC2430,ctaNombre,0))&amp;"","DOP")="USD",T2430,S2430))</f>
        <v/>
      </c>
      <c r="AH2430" s="53">
        <f>IF(P2430="","",IF(AND(AD2430&lt;&gt;"",COUNTIFS(tcTipo,AD2430,tcLiq,"Sí")&gt;0),IF(OR(P2430="Gasto",P2430="Transferencia",P2430="Pago tarjeta"),-1,1)*S2430,0)+IF(AND(AE2430&lt;&gt;"",COUNTIFS(tcTipo,AE2430,tcLiq,"Sí")&gt;0),S2430,0))</f>
        <v/>
      </c>
      <c r="AI2430" s="52">
        <f>IF(OR(L2430="",P2430=""),"",IF(COUNTIFS(L$6:L2430,L2430,P$6:P2430,"?*")=1,MAX(AI$5:AI2429)+1,""))</f>
        <v/>
      </c>
    </row>
    <row r="2431">
      <c r="B2431" s="47" t="n"/>
      <c r="C2431" s="48" t="n"/>
      <c r="D2431" s="48" t="n"/>
      <c r="E2431" s="48" t="n"/>
      <c r="F2431" s="48" t="n"/>
      <c r="G2431" s="49" t="n"/>
      <c r="H2431" s="48" t="n"/>
      <c r="I2431" s="50" t="n"/>
      <c r="J2431" s="48" t="n"/>
      <c r="K2431" s="48" t="n"/>
      <c r="L2431" s="48" t="n"/>
      <c r="M2431" s="48" t="n"/>
      <c r="N2431" s="48" t="n"/>
      <c r="O2431" s="51">
        <f>IF(AND(B2431="",G2431="",C2431="",D2431="",J2431=""),"",IF(B2431="","⚠ Falta fecha",IF(G2431="","⚠ Falta monto",IF(Q2431="","⚠ Falta cuenta",IF(ISNA(MATCH(Q2431,ctaNombre,0)),"⚠ Cuenta no registrada",IF(AND(OR(P2431="Gasto",P2431="Reembolso"),D2431=""),"⚠ Falta categoría",IF(AND(D2431&lt;&gt;"",E2431&lt;&gt;"",ISNA(MATCH(D2431&amp;"|"&amp;E2431,catClave,0))),"⚠ Subcategoría no corresponde",IF(AND(OR(P2431="Transferencia",P2431="Pago tarjeta"),K2431=""),"⚠ Falta cuenta destino",IF(AND(K2431&lt;&gt;"",P2431&lt;&gt;"Transferencia",P2431&lt;&gt;"Pago tarjeta"),"⚠ Destino solo aplica a transferencias",IF(AND(K2431&lt;&gt;"",K2431=Q2431),"⚠ Origen igual a destino",IF(AND(K2431&lt;&gt;"",ISNA(MATCH(K2431,ctaNombre,0))),"⚠ Destino no registrado",IF(AND(P2431="Pago tarjeta",AE2431&lt;&gt;"Tarjeta de crédito"),"⚠ El destino debe ser tarjeta de crédito",IF(AND(P2431="Gasto",E2431="Depósitos y retiros"),"⚠ Usa tipo Transferencia",IF(AND(P2431="Resultado trading",AD2431&lt;&gt;"Cuenta de trading"),"⚠ Usa una cuenta de trading",IF(AND(G2431&lt;=0,P2431&lt;&gt;"Ajuste",P2431&lt;&gt;"Resultado trading"),"⚠ El monto debe ser positivo","✓")))))))))))))))</f>
        <v/>
      </c>
      <c r="P2431" s="52">
        <f>IF(OR(B2431="",G2431=""),"",IF(C2431="","Gasto",C2431))</f>
        <v/>
      </c>
      <c r="Q2431" s="52">
        <f>IF(P2431="","",IF(J2431&lt;&gt;"",J2431,CuentaPred&amp;""))</f>
        <v/>
      </c>
      <c r="R2431" s="52">
        <f>IF(P2431="","",IF(ISNUMBER(I2431),I2431,TasaUSD))</f>
        <v/>
      </c>
      <c r="S2431" s="53">
        <f>IF(P2431="","",IF(H2431="USD",G2431*R2431,G2431))</f>
        <v/>
      </c>
      <c r="T2431" s="53">
        <f>IF(P2431="","",IF(H2431="USD",G2431,IF(R2431&gt;0,G2431/R2431,0)))</f>
        <v/>
      </c>
      <c r="U2431" s="53">
        <f>IF(P2431="","",IF(P2431="Gasto",S2431,IF(P2431="Reembolso",-S2431,0)))</f>
        <v/>
      </c>
      <c r="V2431" s="53">
        <f>IF(P2431="","",IF(P2431="Ingreso",S2431,0))</f>
        <v/>
      </c>
      <c r="W2431" s="53">
        <f>IF(P2431="","",IF(P2431="Resultado trading",S2431,0))</f>
        <v/>
      </c>
      <c r="X2431" s="52">
        <f>IF(OR(P2431="Gasto",P2431="Reembolso"),IF(M2431&lt;&gt;"",M2431,IFERROR(INDEX(catClasif,MATCH(D2431&amp;"|"&amp;E2431,catClave,0))&amp;"","Variable")),"")</f>
        <v/>
      </c>
      <c r="Y2431" s="52">
        <f>IF(P2431="","",IFERROR(INDEX(catGrupo,MATCH(D2431&amp;"|"&amp;E2431,catClave,0))&amp;"",""))</f>
        <v/>
      </c>
      <c r="Z2431" s="52">
        <f>IF(P2431="","",WEEKDAY(B2431,2))</f>
        <v/>
      </c>
      <c r="AA2431" s="52">
        <f>IF(P2431="","",IF(AND(P2431="Gasto",X2431="Variable",D2431&lt;&gt;catTrading,S2431&gt;0,S2431&lt;=Umbral),1,0))</f>
        <v/>
      </c>
      <c r="AB2431" s="52">
        <f>IF(OR(P2431="",Q2431=""),"",IFERROR(IF(INDEX(ctaVinc,MATCH(Q2431,ctaNombre,0))&amp;""&lt;&gt;"",INDEX(ctaVinc,MATCH(Q2431,ctaNombre,0))&amp;"",Q2431),Q2431))</f>
        <v/>
      </c>
      <c r="AC2431" s="52">
        <f>IF(OR(K2431="",AND(P2431&lt;&gt;"Transferencia",P2431&lt;&gt;"Pago tarjeta")),"",IFERROR(IF(INDEX(ctaVinc,MATCH(K2431,ctaNombre,0))&amp;""&lt;&gt;"",INDEX(ctaVinc,MATCH(K2431,ctaNombre,0))&amp;"",K2431),K2431))</f>
        <v/>
      </c>
      <c r="AD2431" s="52">
        <f>IF(AB2431="","",IFERROR(INDEX(ctaTipo,MATCH(AB2431,ctaNombre,0))&amp;"",""))</f>
        <v/>
      </c>
      <c r="AE2431" s="52">
        <f>IF(AC2431="","",IFERROR(INDEX(ctaTipo,MATCH(AC2431,ctaNombre,0))&amp;"",""))</f>
        <v/>
      </c>
      <c r="AF2431" s="53">
        <f>IF(OR(P2431="",AB2431=""),"",IF(OR(P2431="Gasto",P2431="Transferencia",P2431="Pago tarjeta"),-1,1)*IF(IFERROR(INDEX(ctaMoneda,MATCH(AB2431,ctaNombre,0))&amp;"","DOP")="USD",T2431,S2431))</f>
        <v/>
      </c>
      <c r="AG2431" s="53">
        <f>IF(AC2431="","",IF(IFERROR(INDEX(ctaMoneda,MATCH(AC2431,ctaNombre,0))&amp;"","DOP")="USD",T2431,S2431))</f>
        <v/>
      </c>
      <c r="AH2431" s="53">
        <f>IF(P2431="","",IF(AND(AD2431&lt;&gt;"",COUNTIFS(tcTipo,AD2431,tcLiq,"Sí")&gt;0),IF(OR(P2431="Gasto",P2431="Transferencia",P2431="Pago tarjeta"),-1,1)*S2431,0)+IF(AND(AE2431&lt;&gt;"",COUNTIFS(tcTipo,AE2431,tcLiq,"Sí")&gt;0),S2431,0))</f>
        <v/>
      </c>
      <c r="AI2431" s="52">
        <f>IF(OR(L2431="",P2431=""),"",IF(COUNTIFS(L$6:L2431,L2431,P$6:P2431,"?*")=1,MAX(AI$5:AI2430)+1,""))</f>
        <v/>
      </c>
    </row>
    <row r="2432">
      <c r="B2432" s="47" t="n"/>
      <c r="C2432" s="48" t="n"/>
      <c r="D2432" s="48" t="n"/>
      <c r="E2432" s="48" t="n"/>
      <c r="F2432" s="48" t="n"/>
      <c r="G2432" s="49" t="n"/>
      <c r="H2432" s="48" t="n"/>
      <c r="I2432" s="50" t="n"/>
      <c r="J2432" s="48" t="n"/>
      <c r="K2432" s="48" t="n"/>
      <c r="L2432" s="48" t="n"/>
      <c r="M2432" s="48" t="n"/>
      <c r="N2432" s="48" t="n"/>
      <c r="O2432" s="51">
        <f>IF(AND(B2432="",G2432="",C2432="",D2432="",J2432=""),"",IF(B2432="","⚠ Falta fecha",IF(G2432="","⚠ Falta monto",IF(Q2432="","⚠ Falta cuenta",IF(ISNA(MATCH(Q2432,ctaNombre,0)),"⚠ Cuenta no registrada",IF(AND(OR(P2432="Gasto",P2432="Reembolso"),D2432=""),"⚠ Falta categoría",IF(AND(D2432&lt;&gt;"",E2432&lt;&gt;"",ISNA(MATCH(D2432&amp;"|"&amp;E2432,catClave,0))),"⚠ Subcategoría no corresponde",IF(AND(OR(P2432="Transferencia",P2432="Pago tarjeta"),K2432=""),"⚠ Falta cuenta destino",IF(AND(K2432&lt;&gt;"",P2432&lt;&gt;"Transferencia",P2432&lt;&gt;"Pago tarjeta"),"⚠ Destino solo aplica a transferencias",IF(AND(K2432&lt;&gt;"",K2432=Q2432),"⚠ Origen igual a destino",IF(AND(K2432&lt;&gt;"",ISNA(MATCH(K2432,ctaNombre,0))),"⚠ Destino no registrado",IF(AND(P2432="Pago tarjeta",AE2432&lt;&gt;"Tarjeta de crédito"),"⚠ El destino debe ser tarjeta de crédito",IF(AND(P2432="Gasto",E2432="Depósitos y retiros"),"⚠ Usa tipo Transferencia",IF(AND(P2432="Resultado trading",AD2432&lt;&gt;"Cuenta de trading"),"⚠ Usa una cuenta de trading",IF(AND(G2432&lt;=0,P2432&lt;&gt;"Ajuste",P2432&lt;&gt;"Resultado trading"),"⚠ El monto debe ser positivo","✓")))))))))))))))</f>
        <v/>
      </c>
      <c r="P2432" s="52">
        <f>IF(OR(B2432="",G2432=""),"",IF(C2432="","Gasto",C2432))</f>
        <v/>
      </c>
      <c r="Q2432" s="52">
        <f>IF(P2432="","",IF(J2432&lt;&gt;"",J2432,CuentaPred&amp;""))</f>
        <v/>
      </c>
      <c r="R2432" s="52">
        <f>IF(P2432="","",IF(ISNUMBER(I2432),I2432,TasaUSD))</f>
        <v/>
      </c>
      <c r="S2432" s="53">
        <f>IF(P2432="","",IF(H2432="USD",G2432*R2432,G2432))</f>
        <v/>
      </c>
      <c r="T2432" s="53">
        <f>IF(P2432="","",IF(H2432="USD",G2432,IF(R2432&gt;0,G2432/R2432,0)))</f>
        <v/>
      </c>
      <c r="U2432" s="53">
        <f>IF(P2432="","",IF(P2432="Gasto",S2432,IF(P2432="Reembolso",-S2432,0)))</f>
        <v/>
      </c>
      <c r="V2432" s="53">
        <f>IF(P2432="","",IF(P2432="Ingreso",S2432,0))</f>
        <v/>
      </c>
      <c r="W2432" s="53">
        <f>IF(P2432="","",IF(P2432="Resultado trading",S2432,0))</f>
        <v/>
      </c>
      <c r="X2432" s="52">
        <f>IF(OR(P2432="Gasto",P2432="Reembolso"),IF(M2432&lt;&gt;"",M2432,IFERROR(INDEX(catClasif,MATCH(D2432&amp;"|"&amp;E2432,catClave,0))&amp;"","Variable")),"")</f>
        <v/>
      </c>
      <c r="Y2432" s="52">
        <f>IF(P2432="","",IFERROR(INDEX(catGrupo,MATCH(D2432&amp;"|"&amp;E2432,catClave,0))&amp;"",""))</f>
        <v/>
      </c>
      <c r="Z2432" s="52">
        <f>IF(P2432="","",WEEKDAY(B2432,2))</f>
        <v/>
      </c>
      <c r="AA2432" s="52">
        <f>IF(P2432="","",IF(AND(P2432="Gasto",X2432="Variable",D2432&lt;&gt;catTrading,S2432&gt;0,S2432&lt;=Umbral),1,0))</f>
        <v/>
      </c>
      <c r="AB2432" s="52">
        <f>IF(OR(P2432="",Q2432=""),"",IFERROR(IF(INDEX(ctaVinc,MATCH(Q2432,ctaNombre,0))&amp;""&lt;&gt;"",INDEX(ctaVinc,MATCH(Q2432,ctaNombre,0))&amp;"",Q2432),Q2432))</f>
        <v/>
      </c>
      <c r="AC2432" s="52">
        <f>IF(OR(K2432="",AND(P2432&lt;&gt;"Transferencia",P2432&lt;&gt;"Pago tarjeta")),"",IFERROR(IF(INDEX(ctaVinc,MATCH(K2432,ctaNombre,0))&amp;""&lt;&gt;"",INDEX(ctaVinc,MATCH(K2432,ctaNombre,0))&amp;"",K2432),K2432))</f>
        <v/>
      </c>
      <c r="AD2432" s="52">
        <f>IF(AB2432="","",IFERROR(INDEX(ctaTipo,MATCH(AB2432,ctaNombre,0))&amp;"",""))</f>
        <v/>
      </c>
      <c r="AE2432" s="52">
        <f>IF(AC2432="","",IFERROR(INDEX(ctaTipo,MATCH(AC2432,ctaNombre,0))&amp;"",""))</f>
        <v/>
      </c>
      <c r="AF2432" s="53">
        <f>IF(OR(P2432="",AB2432=""),"",IF(OR(P2432="Gasto",P2432="Transferencia",P2432="Pago tarjeta"),-1,1)*IF(IFERROR(INDEX(ctaMoneda,MATCH(AB2432,ctaNombre,0))&amp;"","DOP")="USD",T2432,S2432))</f>
        <v/>
      </c>
      <c r="AG2432" s="53">
        <f>IF(AC2432="","",IF(IFERROR(INDEX(ctaMoneda,MATCH(AC2432,ctaNombre,0))&amp;"","DOP")="USD",T2432,S2432))</f>
        <v/>
      </c>
      <c r="AH2432" s="53">
        <f>IF(P2432="","",IF(AND(AD2432&lt;&gt;"",COUNTIFS(tcTipo,AD2432,tcLiq,"Sí")&gt;0),IF(OR(P2432="Gasto",P2432="Transferencia",P2432="Pago tarjeta"),-1,1)*S2432,0)+IF(AND(AE2432&lt;&gt;"",COUNTIFS(tcTipo,AE2432,tcLiq,"Sí")&gt;0),S2432,0))</f>
        <v/>
      </c>
      <c r="AI2432" s="52">
        <f>IF(OR(L2432="",P2432=""),"",IF(COUNTIFS(L$6:L2432,L2432,P$6:P2432,"?*")=1,MAX(AI$5:AI2431)+1,""))</f>
        <v/>
      </c>
    </row>
    <row r="2433">
      <c r="B2433" s="47" t="n"/>
      <c r="C2433" s="48" t="n"/>
      <c r="D2433" s="48" t="n"/>
      <c r="E2433" s="48" t="n"/>
      <c r="F2433" s="48" t="n"/>
      <c r="G2433" s="49" t="n"/>
      <c r="H2433" s="48" t="n"/>
      <c r="I2433" s="50" t="n"/>
      <c r="J2433" s="48" t="n"/>
      <c r="K2433" s="48" t="n"/>
      <c r="L2433" s="48" t="n"/>
      <c r="M2433" s="48" t="n"/>
      <c r="N2433" s="48" t="n"/>
      <c r="O2433" s="51">
        <f>IF(AND(B2433="",G2433="",C2433="",D2433="",J2433=""),"",IF(B2433="","⚠ Falta fecha",IF(G2433="","⚠ Falta monto",IF(Q2433="","⚠ Falta cuenta",IF(ISNA(MATCH(Q2433,ctaNombre,0)),"⚠ Cuenta no registrada",IF(AND(OR(P2433="Gasto",P2433="Reembolso"),D2433=""),"⚠ Falta categoría",IF(AND(D2433&lt;&gt;"",E2433&lt;&gt;"",ISNA(MATCH(D2433&amp;"|"&amp;E2433,catClave,0))),"⚠ Subcategoría no corresponde",IF(AND(OR(P2433="Transferencia",P2433="Pago tarjeta"),K2433=""),"⚠ Falta cuenta destino",IF(AND(K2433&lt;&gt;"",P2433&lt;&gt;"Transferencia",P2433&lt;&gt;"Pago tarjeta"),"⚠ Destino solo aplica a transferencias",IF(AND(K2433&lt;&gt;"",K2433=Q2433),"⚠ Origen igual a destino",IF(AND(K2433&lt;&gt;"",ISNA(MATCH(K2433,ctaNombre,0))),"⚠ Destino no registrado",IF(AND(P2433="Pago tarjeta",AE2433&lt;&gt;"Tarjeta de crédito"),"⚠ El destino debe ser tarjeta de crédito",IF(AND(P2433="Gasto",E2433="Depósitos y retiros"),"⚠ Usa tipo Transferencia",IF(AND(P2433="Resultado trading",AD2433&lt;&gt;"Cuenta de trading"),"⚠ Usa una cuenta de trading",IF(AND(G2433&lt;=0,P2433&lt;&gt;"Ajuste",P2433&lt;&gt;"Resultado trading"),"⚠ El monto debe ser positivo","✓")))))))))))))))</f>
        <v/>
      </c>
      <c r="P2433" s="52">
        <f>IF(OR(B2433="",G2433=""),"",IF(C2433="","Gasto",C2433))</f>
        <v/>
      </c>
      <c r="Q2433" s="52">
        <f>IF(P2433="","",IF(J2433&lt;&gt;"",J2433,CuentaPred&amp;""))</f>
        <v/>
      </c>
      <c r="R2433" s="52">
        <f>IF(P2433="","",IF(ISNUMBER(I2433),I2433,TasaUSD))</f>
        <v/>
      </c>
      <c r="S2433" s="53">
        <f>IF(P2433="","",IF(H2433="USD",G2433*R2433,G2433))</f>
        <v/>
      </c>
      <c r="T2433" s="53">
        <f>IF(P2433="","",IF(H2433="USD",G2433,IF(R2433&gt;0,G2433/R2433,0)))</f>
        <v/>
      </c>
      <c r="U2433" s="53">
        <f>IF(P2433="","",IF(P2433="Gasto",S2433,IF(P2433="Reembolso",-S2433,0)))</f>
        <v/>
      </c>
      <c r="V2433" s="53">
        <f>IF(P2433="","",IF(P2433="Ingreso",S2433,0))</f>
        <v/>
      </c>
      <c r="W2433" s="53">
        <f>IF(P2433="","",IF(P2433="Resultado trading",S2433,0))</f>
        <v/>
      </c>
      <c r="X2433" s="52">
        <f>IF(OR(P2433="Gasto",P2433="Reembolso"),IF(M2433&lt;&gt;"",M2433,IFERROR(INDEX(catClasif,MATCH(D2433&amp;"|"&amp;E2433,catClave,0))&amp;"","Variable")),"")</f>
        <v/>
      </c>
      <c r="Y2433" s="52">
        <f>IF(P2433="","",IFERROR(INDEX(catGrupo,MATCH(D2433&amp;"|"&amp;E2433,catClave,0))&amp;"",""))</f>
        <v/>
      </c>
      <c r="Z2433" s="52">
        <f>IF(P2433="","",WEEKDAY(B2433,2))</f>
        <v/>
      </c>
      <c r="AA2433" s="52">
        <f>IF(P2433="","",IF(AND(P2433="Gasto",X2433="Variable",D2433&lt;&gt;catTrading,S2433&gt;0,S2433&lt;=Umbral),1,0))</f>
        <v/>
      </c>
      <c r="AB2433" s="52">
        <f>IF(OR(P2433="",Q2433=""),"",IFERROR(IF(INDEX(ctaVinc,MATCH(Q2433,ctaNombre,0))&amp;""&lt;&gt;"",INDEX(ctaVinc,MATCH(Q2433,ctaNombre,0))&amp;"",Q2433),Q2433))</f>
        <v/>
      </c>
      <c r="AC2433" s="52">
        <f>IF(OR(K2433="",AND(P2433&lt;&gt;"Transferencia",P2433&lt;&gt;"Pago tarjeta")),"",IFERROR(IF(INDEX(ctaVinc,MATCH(K2433,ctaNombre,0))&amp;""&lt;&gt;"",INDEX(ctaVinc,MATCH(K2433,ctaNombre,0))&amp;"",K2433),K2433))</f>
        <v/>
      </c>
      <c r="AD2433" s="52">
        <f>IF(AB2433="","",IFERROR(INDEX(ctaTipo,MATCH(AB2433,ctaNombre,0))&amp;"",""))</f>
        <v/>
      </c>
      <c r="AE2433" s="52">
        <f>IF(AC2433="","",IFERROR(INDEX(ctaTipo,MATCH(AC2433,ctaNombre,0))&amp;"",""))</f>
        <v/>
      </c>
      <c r="AF2433" s="53">
        <f>IF(OR(P2433="",AB2433=""),"",IF(OR(P2433="Gasto",P2433="Transferencia",P2433="Pago tarjeta"),-1,1)*IF(IFERROR(INDEX(ctaMoneda,MATCH(AB2433,ctaNombre,0))&amp;"","DOP")="USD",T2433,S2433))</f>
        <v/>
      </c>
      <c r="AG2433" s="53">
        <f>IF(AC2433="","",IF(IFERROR(INDEX(ctaMoneda,MATCH(AC2433,ctaNombre,0))&amp;"","DOP")="USD",T2433,S2433))</f>
        <v/>
      </c>
      <c r="AH2433" s="53">
        <f>IF(P2433="","",IF(AND(AD2433&lt;&gt;"",COUNTIFS(tcTipo,AD2433,tcLiq,"Sí")&gt;0),IF(OR(P2433="Gasto",P2433="Transferencia",P2433="Pago tarjeta"),-1,1)*S2433,0)+IF(AND(AE2433&lt;&gt;"",COUNTIFS(tcTipo,AE2433,tcLiq,"Sí")&gt;0),S2433,0))</f>
        <v/>
      </c>
      <c r="AI2433" s="52">
        <f>IF(OR(L2433="",P2433=""),"",IF(COUNTIFS(L$6:L2433,L2433,P$6:P2433,"?*")=1,MAX(AI$5:AI2432)+1,""))</f>
        <v/>
      </c>
    </row>
    <row r="2434">
      <c r="B2434" s="47" t="n"/>
      <c r="C2434" s="48" t="n"/>
      <c r="D2434" s="48" t="n"/>
      <c r="E2434" s="48" t="n"/>
      <c r="F2434" s="48" t="n"/>
      <c r="G2434" s="49" t="n"/>
      <c r="H2434" s="48" t="n"/>
      <c r="I2434" s="50" t="n"/>
      <c r="J2434" s="48" t="n"/>
      <c r="K2434" s="48" t="n"/>
      <c r="L2434" s="48" t="n"/>
      <c r="M2434" s="48" t="n"/>
      <c r="N2434" s="48" t="n"/>
      <c r="O2434" s="51">
        <f>IF(AND(B2434="",G2434="",C2434="",D2434="",J2434=""),"",IF(B2434="","⚠ Falta fecha",IF(G2434="","⚠ Falta monto",IF(Q2434="","⚠ Falta cuenta",IF(ISNA(MATCH(Q2434,ctaNombre,0)),"⚠ Cuenta no registrada",IF(AND(OR(P2434="Gasto",P2434="Reembolso"),D2434=""),"⚠ Falta categoría",IF(AND(D2434&lt;&gt;"",E2434&lt;&gt;"",ISNA(MATCH(D2434&amp;"|"&amp;E2434,catClave,0))),"⚠ Subcategoría no corresponde",IF(AND(OR(P2434="Transferencia",P2434="Pago tarjeta"),K2434=""),"⚠ Falta cuenta destino",IF(AND(K2434&lt;&gt;"",P2434&lt;&gt;"Transferencia",P2434&lt;&gt;"Pago tarjeta"),"⚠ Destino solo aplica a transferencias",IF(AND(K2434&lt;&gt;"",K2434=Q2434),"⚠ Origen igual a destino",IF(AND(K2434&lt;&gt;"",ISNA(MATCH(K2434,ctaNombre,0))),"⚠ Destino no registrado",IF(AND(P2434="Pago tarjeta",AE2434&lt;&gt;"Tarjeta de crédito"),"⚠ El destino debe ser tarjeta de crédito",IF(AND(P2434="Gasto",E2434="Depósitos y retiros"),"⚠ Usa tipo Transferencia",IF(AND(P2434="Resultado trading",AD2434&lt;&gt;"Cuenta de trading"),"⚠ Usa una cuenta de trading",IF(AND(G2434&lt;=0,P2434&lt;&gt;"Ajuste",P2434&lt;&gt;"Resultado trading"),"⚠ El monto debe ser positivo","✓")))))))))))))))</f>
        <v/>
      </c>
      <c r="P2434" s="52">
        <f>IF(OR(B2434="",G2434=""),"",IF(C2434="","Gasto",C2434))</f>
        <v/>
      </c>
      <c r="Q2434" s="52">
        <f>IF(P2434="","",IF(J2434&lt;&gt;"",J2434,CuentaPred&amp;""))</f>
        <v/>
      </c>
      <c r="R2434" s="52">
        <f>IF(P2434="","",IF(ISNUMBER(I2434),I2434,TasaUSD))</f>
        <v/>
      </c>
      <c r="S2434" s="53">
        <f>IF(P2434="","",IF(H2434="USD",G2434*R2434,G2434))</f>
        <v/>
      </c>
      <c r="T2434" s="53">
        <f>IF(P2434="","",IF(H2434="USD",G2434,IF(R2434&gt;0,G2434/R2434,0)))</f>
        <v/>
      </c>
      <c r="U2434" s="53">
        <f>IF(P2434="","",IF(P2434="Gasto",S2434,IF(P2434="Reembolso",-S2434,0)))</f>
        <v/>
      </c>
      <c r="V2434" s="53">
        <f>IF(P2434="","",IF(P2434="Ingreso",S2434,0))</f>
        <v/>
      </c>
      <c r="W2434" s="53">
        <f>IF(P2434="","",IF(P2434="Resultado trading",S2434,0))</f>
        <v/>
      </c>
      <c r="X2434" s="52">
        <f>IF(OR(P2434="Gasto",P2434="Reembolso"),IF(M2434&lt;&gt;"",M2434,IFERROR(INDEX(catClasif,MATCH(D2434&amp;"|"&amp;E2434,catClave,0))&amp;"","Variable")),"")</f>
        <v/>
      </c>
      <c r="Y2434" s="52">
        <f>IF(P2434="","",IFERROR(INDEX(catGrupo,MATCH(D2434&amp;"|"&amp;E2434,catClave,0))&amp;"",""))</f>
        <v/>
      </c>
      <c r="Z2434" s="52">
        <f>IF(P2434="","",WEEKDAY(B2434,2))</f>
        <v/>
      </c>
      <c r="AA2434" s="52">
        <f>IF(P2434="","",IF(AND(P2434="Gasto",X2434="Variable",D2434&lt;&gt;catTrading,S2434&gt;0,S2434&lt;=Umbral),1,0))</f>
        <v/>
      </c>
      <c r="AB2434" s="52">
        <f>IF(OR(P2434="",Q2434=""),"",IFERROR(IF(INDEX(ctaVinc,MATCH(Q2434,ctaNombre,0))&amp;""&lt;&gt;"",INDEX(ctaVinc,MATCH(Q2434,ctaNombre,0))&amp;"",Q2434),Q2434))</f>
        <v/>
      </c>
      <c r="AC2434" s="52">
        <f>IF(OR(K2434="",AND(P2434&lt;&gt;"Transferencia",P2434&lt;&gt;"Pago tarjeta")),"",IFERROR(IF(INDEX(ctaVinc,MATCH(K2434,ctaNombre,0))&amp;""&lt;&gt;"",INDEX(ctaVinc,MATCH(K2434,ctaNombre,0))&amp;"",K2434),K2434))</f>
        <v/>
      </c>
      <c r="AD2434" s="52">
        <f>IF(AB2434="","",IFERROR(INDEX(ctaTipo,MATCH(AB2434,ctaNombre,0))&amp;"",""))</f>
        <v/>
      </c>
      <c r="AE2434" s="52">
        <f>IF(AC2434="","",IFERROR(INDEX(ctaTipo,MATCH(AC2434,ctaNombre,0))&amp;"",""))</f>
        <v/>
      </c>
      <c r="AF2434" s="53">
        <f>IF(OR(P2434="",AB2434=""),"",IF(OR(P2434="Gasto",P2434="Transferencia",P2434="Pago tarjeta"),-1,1)*IF(IFERROR(INDEX(ctaMoneda,MATCH(AB2434,ctaNombre,0))&amp;"","DOP")="USD",T2434,S2434))</f>
        <v/>
      </c>
      <c r="AG2434" s="53">
        <f>IF(AC2434="","",IF(IFERROR(INDEX(ctaMoneda,MATCH(AC2434,ctaNombre,0))&amp;"","DOP")="USD",T2434,S2434))</f>
        <v/>
      </c>
      <c r="AH2434" s="53">
        <f>IF(P2434="","",IF(AND(AD2434&lt;&gt;"",COUNTIFS(tcTipo,AD2434,tcLiq,"Sí")&gt;0),IF(OR(P2434="Gasto",P2434="Transferencia",P2434="Pago tarjeta"),-1,1)*S2434,0)+IF(AND(AE2434&lt;&gt;"",COUNTIFS(tcTipo,AE2434,tcLiq,"Sí")&gt;0),S2434,0))</f>
        <v/>
      </c>
      <c r="AI2434" s="52">
        <f>IF(OR(L2434="",P2434=""),"",IF(COUNTIFS(L$6:L2434,L2434,P$6:P2434,"?*")=1,MAX(AI$5:AI2433)+1,""))</f>
        <v/>
      </c>
    </row>
    <row r="2435">
      <c r="B2435" s="47" t="n"/>
      <c r="C2435" s="48" t="n"/>
      <c r="D2435" s="48" t="n"/>
      <c r="E2435" s="48" t="n"/>
      <c r="F2435" s="48" t="n"/>
      <c r="G2435" s="49" t="n"/>
      <c r="H2435" s="48" t="n"/>
      <c r="I2435" s="50" t="n"/>
      <c r="J2435" s="48" t="n"/>
      <c r="K2435" s="48" t="n"/>
      <c r="L2435" s="48" t="n"/>
      <c r="M2435" s="48" t="n"/>
      <c r="N2435" s="48" t="n"/>
      <c r="O2435" s="51">
        <f>IF(AND(B2435="",G2435="",C2435="",D2435="",J2435=""),"",IF(B2435="","⚠ Falta fecha",IF(G2435="","⚠ Falta monto",IF(Q2435="","⚠ Falta cuenta",IF(ISNA(MATCH(Q2435,ctaNombre,0)),"⚠ Cuenta no registrada",IF(AND(OR(P2435="Gasto",P2435="Reembolso"),D2435=""),"⚠ Falta categoría",IF(AND(D2435&lt;&gt;"",E2435&lt;&gt;"",ISNA(MATCH(D2435&amp;"|"&amp;E2435,catClave,0))),"⚠ Subcategoría no corresponde",IF(AND(OR(P2435="Transferencia",P2435="Pago tarjeta"),K2435=""),"⚠ Falta cuenta destino",IF(AND(K2435&lt;&gt;"",P2435&lt;&gt;"Transferencia",P2435&lt;&gt;"Pago tarjeta"),"⚠ Destino solo aplica a transferencias",IF(AND(K2435&lt;&gt;"",K2435=Q2435),"⚠ Origen igual a destino",IF(AND(K2435&lt;&gt;"",ISNA(MATCH(K2435,ctaNombre,0))),"⚠ Destino no registrado",IF(AND(P2435="Pago tarjeta",AE2435&lt;&gt;"Tarjeta de crédito"),"⚠ El destino debe ser tarjeta de crédito",IF(AND(P2435="Gasto",E2435="Depósitos y retiros"),"⚠ Usa tipo Transferencia",IF(AND(P2435="Resultado trading",AD2435&lt;&gt;"Cuenta de trading"),"⚠ Usa una cuenta de trading",IF(AND(G2435&lt;=0,P2435&lt;&gt;"Ajuste",P2435&lt;&gt;"Resultado trading"),"⚠ El monto debe ser positivo","✓")))))))))))))))</f>
        <v/>
      </c>
      <c r="P2435" s="52">
        <f>IF(OR(B2435="",G2435=""),"",IF(C2435="","Gasto",C2435))</f>
        <v/>
      </c>
      <c r="Q2435" s="52">
        <f>IF(P2435="","",IF(J2435&lt;&gt;"",J2435,CuentaPred&amp;""))</f>
        <v/>
      </c>
      <c r="R2435" s="52">
        <f>IF(P2435="","",IF(ISNUMBER(I2435),I2435,TasaUSD))</f>
        <v/>
      </c>
      <c r="S2435" s="53">
        <f>IF(P2435="","",IF(H2435="USD",G2435*R2435,G2435))</f>
        <v/>
      </c>
      <c r="T2435" s="53">
        <f>IF(P2435="","",IF(H2435="USD",G2435,IF(R2435&gt;0,G2435/R2435,0)))</f>
        <v/>
      </c>
      <c r="U2435" s="53">
        <f>IF(P2435="","",IF(P2435="Gasto",S2435,IF(P2435="Reembolso",-S2435,0)))</f>
        <v/>
      </c>
      <c r="V2435" s="53">
        <f>IF(P2435="","",IF(P2435="Ingreso",S2435,0))</f>
        <v/>
      </c>
      <c r="W2435" s="53">
        <f>IF(P2435="","",IF(P2435="Resultado trading",S2435,0))</f>
        <v/>
      </c>
      <c r="X2435" s="52">
        <f>IF(OR(P2435="Gasto",P2435="Reembolso"),IF(M2435&lt;&gt;"",M2435,IFERROR(INDEX(catClasif,MATCH(D2435&amp;"|"&amp;E2435,catClave,0))&amp;"","Variable")),"")</f>
        <v/>
      </c>
      <c r="Y2435" s="52">
        <f>IF(P2435="","",IFERROR(INDEX(catGrupo,MATCH(D2435&amp;"|"&amp;E2435,catClave,0))&amp;"",""))</f>
        <v/>
      </c>
      <c r="Z2435" s="52">
        <f>IF(P2435="","",WEEKDAY(B2435,2))</f>
        <v/>
      </c>
      <c r="AA2435" s="52">
        <f>IF(P2435="","",IF(AND(P2435="Gasto",X2435="Variable",D2435&lt;&gt;catTrading,S2435&gt;0,S2435&lt;=Umbral),1,0))</f>
        <v/>
      </c>
      <c r="AB2435" s="52">
        <f>IF(OR(P2435="",Q2435=""),"",IFERROR(IF(INDEX(ctaVinc,MATCH(Q2435,ctaNombre,0))&amp;""&lt;&gt;"",INDEX(ctaVinc,MATCH(Q2435,ctaNombre,0))&amp;"",Q2435),Q2435))</f>
        <v/>
      </c>
      <c r="AC2435" s="52">
        <f>IF(OR(K2435="",AND(P2435&lt;&gt;"Transferencia",P2435&lt;&gt;"Pago tarjeta")),"",IFERROR(IF(INDEX(ctaVinc,MATCH(K2435,ctaNombre,0))&amp;""&lt;&gt;"",INDEX(ctaVinc,MATCH(K2435,ctaNombre,0))&amp;"",K2435),K2435))</f>
        <v/>
      </c>
      <c r="AD2435" s="52">
        <f>IF(AB2435="","",IFERROR(INDEX(ctaTipo,MATCH(AB2435,ctaNombre,0))&amp;"",""))</f>
        <v/>
      </c>
      <c r="AE2435" s="52">
        <f>IF(AC2435="","",IFERROR(INDEX(ctaTipo,MATCH(AC2435,ctaNombre,0))&amp;"",""))</f>
        <v/>
      </c>
      <c r="AF2435" s="53">
        <f>IF(OR(P2435="",AB2435=""),"",IF(OR(P2435="Gasto",P2435="Transferencia",P2435="Pago tarjeta"),-1,1)*IF(IFERROR(INDEX(ctaMoneda,MATCH(AB2435,ctaNombre,0))&amp;"","DOP")="USD",T2435,S2435))</f>
        <v/>
      </c>
      <c r="AG2435" s="53">
        <f>IF(AC2435="","",IF(IFERROR(INDEX(ctaMoneda,MATCH(AC2435,ctaNombre,0))&amp;"","DOP")="USD",T2435,S2435))</f>
        <v/>
      </c>
      <c r="AH2435" s="53">
        <f>IF(P2435="","",IF(AND(AD2435&lt;&gt;"",COUNTIFS(tcTipo,AD2435,tcLiq,"Sí")&gt;0),IF(OR(P2435="Gasto",P2435="Transferencia",P2435="Pago tarjeta"),-1,1)*S2435,0)+IF(AND(AE2435&lt;&gt;"",COUNTIFS(tcTipo,AE2435,tcLiq,"Sí")&gt;0),S2435,0))</f>
        <v/>
      </c>
      <c r="AI2435" s="52">
        <f>IF(OR(L2435="",P2435=""),"",IF(COUNTIFS(L$6:L2435,L2435,P$6:P2435,"?*")=1,MAX(AI$5:AI2434)+1,""))</f>
        <v/>
      </c>
    </row>
    <row r="2436">
      <c r="B2436" s="47" t="n"/>
      <c r="C2436" s="48" t="n"/>
      <c r="D2436" s="48" t="n"/>
      <c r="E2436" s="48" t="n"/>
      <c r="F2436" s="48" t="n"/>
      <c r="G2436" s="49" t="n"/>
      <c r="H2436" s="48" t="n"/>
      <c r="I2436" s="50" t="n"/>
      <c r="J2436" s="48" t="n"/>
      <c r="K2436" s="48" t="n"/>
      <c r="L2436" s="48" t="n"/>
      <c r="M2436" s="48" t="n"/>
      <c r="N2436" s="48" t="n"/>
      <c r="O2436" s="51">
        <f>IF(AND(B2436="",G2436="",C2436="",D2436="",J2436=""),"",IF(B2436="","⚠ Falta fecha",IF(G2436="","⚠ Falta monto",IF(Q2436="","⚠ Falta cuenta",IF(ISNA(MATCH(Q2436,ctaNombre,0)),"⚠ Cuenta no registrada",IF(AND(OR(P2436="Gasto",P2436="Reembolso"),D2436=""),"⚠ Falta categoría",IF(AND(D2436&lt;&gt;"",E2436&lt;&gt;"",ISNA(MATCH(D2436&amp;"|"&amp;E2436,catClave,0))),"⚠ Subcategoría no corresponde",IF(AND(OR(P2436="Transferencia",P2436="Pago tarjeta"),K2436=""),"⚠ Falta cuenta destino",IF(AND(K2436&lt;&gt;"",P2436&lt;&gt;"Transferencia",P2436&lt;&gt;"Pago tarjeta"),"⚠ Destino solo aplica a transferencias",IF(AND(K2436&lt;&gt;"",K2436=Q2436),"⚠ Origen igual a destino",IF(AND(K2436&lt;&gt;"",ISNA(MATCH(K2436,ctaNombre,0))),"⚠ Destino no registrado",IF(AND(P2436="Pago tarjeta",AE2436&lt;&gt;"Tarjeta de crédito"),"⚠ El destino debe ser tarjeta de crédito",IF(AND(P2436="Gasto",E2436="Depósitos y retiros"),"⚠ Usa tipo Transferencia",IF(AND(P2436="Resultado trading",AD2436&lt;&gt;"Cuenta de trading"),"⚠ Usa una cuenta de trading",IF(AND(G2436&lt;=0,P2436&lt;&gt;"Ajuste",P2436&lt;&gt;"Resultado trading"),"⚠ El monto debe ser positivo","✓")))))))))))))))</f>
        <v/>
      </c>
      <c r="P2436" s="52">
        <f>IF(OR(B2436="",G2436=""),"",IF(C2436="","Gasto",C2436))</f>
        <v/>
      </c>
      <c r="Q2436" s="52">
        <f>IF(P2436="","",IF(J2436&lt;&gt;"",J2436,CuentaPred&amp;""))</f>
        <v/>
      </c>
      <c r="R2436" s="52">
        <f>IF(P2436="","",IF(ISNUMBER(I2436),I2436,TasaUSD))</f>
        <v/>
      </c>
      <c r="S2436" s="53">
        <f>IF(P2436="","",IF(H2436="USD",G2436*R2436,G2436))</f>
        <v/>
      </c>
      <c r="T2436" s="53">
        <f>IF(P2436="","",IF(H2436="USD",G2436,IF(R2436&gt;0,G2436/R2436,0)))</f>
        <v/>
      </c>
      <c r="U2436" s="53">
        <f>IF(P2436="","",IF(P2436="Gasto",S2436,IF(P2436="Reembolso",-S2436,0)))</f>
        <v/>
      </c>
      <c r="V2436" s="53">
        <f>IF(P2436="","",IF(P2436="Ingreso",S2436,0))</f>
        <v/>
      </c>
      <c r="W2436" s="53">
        <f>IF(P2436="","",IF(P2436="Resultado trading",S2436,0))</f>
        <v/>
      </c>
      <c r="X2436" s="52">
        <f>IF(OR(P2436="Gasto",P2436="Reembolso"),IF(M2436&lt;&gt;"",M2436,IFERROR(INDEX(catClasif,MATCH(D2436&amp;"|"&amp;E2436,catClave,0))&amp;"","Variable")),"")</f>
        <v/>
      </c>
      <c r="Y2436" s="52">
        <f>IF(P2436="","",IFERROR(INDEX(catGrupo,MATCH(D2436&amp;"|"&amp;E2436,catClave,0))&amp;"",""))</f>
        <v/>
      </c>
      <c r="Z2436" s="52">
        <f>IF(P2436="","",WEEKDAY(B2436,2))</f>
        <v/>
      </c>
      <c r="AA2436" s="52">
        <f>IF(P2436="","",IF(AND(P2436="Gasto",X2436="Variable",D2436&lt;&gt;catTrading,S2436&gt;0,S2436&lt;=Umbral),1,0))</f>
        <v/>
      </c>
      <c r="AB2436" s="52">
        <f>IF(OR(P2436="",Q2436=""),"",IFERROR(IF(INDEX(ctaVinc,MATCH(Q2436,ctaNombre,0))&amp;""&lt;&gt;"",INDEX(ctaVinc,MATCH(Q2436,ctaNombre,0))&amp;"",Q2436),Q2436))</f>
        <v/>
      </c>
      <c r="AC2436" s="52">
        <f>IF(OR(K2436="",AND(P2436&lt;&gt;"Transferencia",P2436&lt;&gt;"Pago tarjeta")),"",IFERROR(IF(INDEX(ctaVinc,MATCH(K2436,ctaNombre,0))&amp;""&lt;&gt;"",INDEX(ctaVinc,MATCH(K2436,ctaNombre,0))&amp;"",K2436),K2436))</f>
        <v/>
      </c>
      <c r="AD2436" s="52">
        <f>IF(AB2436="","",IFERROR(INDEX(ctaTipo,MATCH(AB2436,ctaNombre,0))&amp;"",""))</f>
        <v/>
      </c>
      <c r="AE2436" s="52">
        <f>IF(AC2436="","",IFERROR(INDEX(ctaTipo,MATCH(AC2436,ctaNombre,0))&amp;"",""))</f>
        <v/>
      </c>
      <c r="AF2436" s="53">
        <f>IF(OR(P2436="",AB2436=""),"",IF(OR(P2436="Gasto",P2436="Transferencia",P2436="Pago tarjeta"),-1,1)*IF(IFERROR(INDEX(ctaMoneda,MATCH(AB2436,ctaNombre,0))&amp;"","DOP")="USD",T2436,S2436))</f>
        <v/>
      </c>
      <c r="AG2436" s="53">
        <f>IF(AC2436="","",IF(IFERROR(INDEX(ctaMoneda,MATCH(AC2436,ctaNombre,0))&amp;"","DOP")="USD",T2436,S2436))</f>
        <v/>
      </c>
      <c r="AH2436" s="53">
        <f>IF(P2436="","",IF(AND(AD2436&lt;&gt;"",COUNTIFS(tcTipo,AD2436,tcLiq,"Sí")&gt;0),IF(OR(P2436="Gasto",P2436="Transferencia",P2436="Pago tarjeta"),-1,1)*S2436,0)+IF(AND(AE2436&lt;&gt;"",COUNTIFS(tcTipo,AE2436,tcLiq,"Sí")&gt;0),S2436,0))</f>
        <v/>
      </c>
      <c r="AI2436" s="52">
        <f>IF(OR(L2436="",P2436=""),"",IF(COUNTIFS(L$6:L2436,L2436,P$6:P2436,"?*")=1,MAX(AI$5:AI2435)+1,""))</f>
        <v/>
      </c>
    </row>
    <row r="2437">
      <c r="B2437" s="47" t="n"/>
      <c r="C2437" s="48" t="n"/>
      <c r="D2437" s="48" t="n"/>
      <c r="E2437" s="48" t="n"/>
      <c r="F2437" s="48" t="n"/>
      <c r="G2437" s="49" t="n"/>
      <c r="H2437" s="48" t="n"/>
      <c r="I2437" s="50" t="n"/>
      <c r="J2437" s="48" t="n"/>
      <c r="K2437" s="48" t="n"/>
      <c r="L2437" s="48" t="n"/>
      <c r="M2437" s="48" t="n"/>
      <c r="N2437" s="48" t="n"/>
      <c r="O2437" s="51">
        <f>IF(AND(B2437="",G2437="",C2437="",D2437="",J2437=""),"",IF(B2437="","⚠ Falta fecha",IF(G2437="","⚠ Falta monto",IF(Q2437="","⚠ Falta cuenta",IF(ISNA(MATCH(Q2437,ctaNombre,0)),"⚠ Cuenta no registrada",IF(AND(OR(P2437="Gasto",P2437="Reembolso"),D2437=""),"⚠ Falta categoría",IF(AND(D2437&lt;&gt;"",E2437&lt;&gt;"",ISNA(MATCH(D2437&amp;"|"&amp;E2437,catClave,0))),"⚠ Subcategoría no corresponde",IF(AND(OR(P2437="Transferencia",P2437="Pago tarjeta"),K2437=""),"⚠ Falta cuenta destino",IF(AND(K2437&lt;&gt;"",P2437&lt;&gt;"Transferencia",P2437&lt;&gt;"Pago tarjeta"),"⚠ Destino solo aplica a transferencias",IF(AND(K2437&lt;&gt;"",K2437=Q2437),"⚠ Origen igual a destino",IF(AND(K2437&lt;&gt;"",ISNA(MATCH(K2437,ctaNombre,0))),"⚠ Destino no registrado",IF(AND(P2437="Pago tarjeta",AE2437&lt;&gt;"Tarjeta de crédito"),"⚠ El destino debe ser tarjeta de crédito",IF(AND(P2437="Gasto",E2437="Depósitos y retiros"),"⚠ Usa tipo Transferencia",IF(AND(P2437="Resultado trading",AD2437&lt;&gt;"Cuenta de trading"),"⚠ Usa una cuenta de trading",IF(AND(G2437&lt;=0,P2437&lt;&gt;"Ajuste",P2437&lt;&gt;"Resultado trading"),"⚠ El monto debe ser positivo","✓")))))))))))))))</f>
        <v/>
      </c>
      <c r="P2437" s="52">
        <f>IF(OR(B2437="",G2437=""),"",IF(C2437="","Gasto",C2437))</f>
        <v/>
      </c>
      <c r="Q2437" s="52">
        <f>IF(P2437="","",IF(J2437&lt;&gt;"",J2437,CuentaPred&amp;""))</f>
        <v/>
      </c>
      <c r="R2437" s="52">
        <f>IF(P2437="","",IF(ISNUMBER(I2437),I2437,TasaUSD))</f>
        <v/>
      </c>
      <c r="S2437" s="53">
        <f>IF(P2437="","",IF(H2437="USD",G2437*R2437,G2437))</f>
        <v/>
      </c>
      <c r="T2437" s="53">
        <f>IF(P2437="","",IF(H2437="USD",G2437,IF(R2437&gt;0,G2437/R2437,0)))</f>
        <v/>
      </c>
      <c r="U2437" s="53">
        <f>IF(P2437="","",IF(P2437="Gasto",S2437,IF(P2437="Reembolso",-S2437,0)))</f>
        <v/>
      </c>
      <c r="V2437" s="53">
        <f>IF(P2437="","",IF(P2437="Ingreso",S2437,0))</f>
        <v/>
      </c>
      <c r="W2437" s="53">
        <f>IF(P2437="","",IF(P2437="Resultado trading",S2437,0))</f>
        <v/>
      </c>
      <c r="X2437" s="52">
        <f>IF(OR(P2437="Gasto",P2437="Reembolso"),IF(M2437&lt;&gt;"",M2437,IFERROR(INDEX(catClasif,MATCH(D2437&amp;"|"&amp;E2437,catClave,0))&amp;"","Variable")),"")</f>
        <v/>
      </c>
      <c r="Y2437" s="52">
        <f>IF(P2437="","",IFERROR(INDEX(catGrupo,MATCH(D2437&amp;"|"&amp;E2437,catClave,0))&amp;"",""))</f>
        <v/>
      </c>
      <c r="Z2437" s="52">
        <f>IF(P2437="","",WEEKDAY(B2437,2))</f>
        <v/>
      </c>
      <c r="AA2437" s="52">
        <f>IF(P2437="","",IF(AND(P2437="Gasto",X2437="Variable",D2437&lt;&gt;catTrading,S2437&gt;0,S2437&lt;=Umbral),1,0))</f>
        <v/>
      </c>
      <c r="AB2437" s="52">
        <f>IF(OR(P2437="",Q2437=""),"",IFERROR(IF(INDEX(ctaVinc,MATCH(Q2437,ctaNombre,0))&amp;""&lt;&gt;"",INDEX(ctaVinc,MATCH(Q2437,ctaNombre,0))&amp;"",Q2437),Q2437))</f>
        <v/>
      </c>
      <c r="AC2437" s="52">
        <f>IF(OR(K2437="",AND(P2437&lt;&gt;"Transferencia",P2437&lt;&gt;"Pago tarjeta")),"",IFERROR(IF(INDEX(ctaVinc,MATCH(K2437,ctaNombre,0))&amp;""&lt;&gt;"",INDEX(ctaVinc,MATCH(K2437,ctaNombre,0))&amp;"",K2437),K2437))</f>
        <v/>
      </c>
      <c r="AD2437" s="52">
        <f>IF(AB2437="","",IFERROR(INDEX(ctaTipo,MATCH(AB2437,ctaNombre,0))&amp;"",""))</f>
        <v/>
      </c>
      <c r="AE2437" s="52">
        <f>IF(AC2437="","",IFERROR(INDEX(ctaTipo,MATCH(AC2437,ctaNombre,0))&amp;"",""))</f>
        <v/>
      </c>
      <c r="AF2437" s="53">
        <f>IF(OR(P2437="",AB2437=""),"",IF(OR(P2437="Gasto",P2437="Transferencia",P2437="Pago tarjeta"),-1,1)*IF(IFERROR(INDEX(ctaMoneda,MATCH(AB2437,ctaNombre,0))&amp;"","DOP")="USD",T2437,S2437))</f>
        <v/>
      </c>
      <c r="AG2437" s="53">
        <f>IF(AC2437="","",IF(IFERROR(INDEX(ctaMoneda,MATCH(AC2437,ctaNombre,0))&amp;"","DOP")="USD",T2437,S2437))</f>
        <v/>
      </c>
      <c r="AH2437" s="53">
        <f>IF(P2437="","",IF(AND(AD2437&lt;&gt;"",COUNTIFS(tcTipo,AD2437,tcLiq,"Sí")&gt;0),IF(OR(P2437="Gasto",P2437="Transferencia",P2437="Pago tarjeta"),-1,1)*S2437,0)+IF(AND(AE2437&lt;&gt;"",COUNTIFS(tcTipo,AE2437,tcLiq,"Sí")&gt;0),S2437,0))</f>
        <v/>
      </c>
      <c r="AI2437" s="52">
        <f>IF(OR(L2437="",P2437=""),"",IF(COUNTIFS(L$6:L2437,L2437,P$6:P2437,"?*")=1,MAX(AI$5:AI2436)+1,""))</f>
        <v/>
      </c>
    </row>
    <row r="2438">
      <c r="B2438" s="47" t="n"/>
      <c r="C2438" s="48" t="n"/>
      <c r="D2438" s="48" t="n"/>
      <c r="E2438" s="48" t="n"/>
      <c r="F2438" s="48" t="n"/>
      <c r="G2438" s="49" t="n"/>
      <c r="H2438" s="48" t="n"/>
      <c r="I2438" s="50" t="n"/>
      <c r="J2438" s="48" t="n"/>
      <c r="K2438" s="48" t="n"/>
      <c r="L2438" s="48" t="n"/>
      <c r="M2438" s="48" t="n"/>
      <c r="N2438" s="48" t="n"/>
      <c r="O2438" s="51">
        <f>IF(AND(B2438="",G2438="",C2438="",D2438="",J2438=""),"",IF(B2438="","⚠ Falta fecha",IF(G2438="","⚠ Falta monto",IF(Q2438="","⚠ Falta cuenta",IF(ISNA(MATCH(Q2438,ctaNombre,0)),"⚠ Cuenta no registrada",IF(AND(OR(P2438="Gasto",P2438="Reembolso"),D2438=""),"⚠ Falta categoría",IF(AND(D2438&lt;&gt;"",E2438&lt;&gt;"",ISNA(MATCH(D2438&amp;"|"&amp;E2438,catClave,0))),"⚠ Subcategoría no corresponde",IF(AND(OR(P2438="Transferencia",P2438="Pago tarjeta"),K2438=""),"⚠ Falta cuenta destino",IF(AND(K2438&lt;&gt;"",P2438&lt;&gt;"Transferencia",P2438&lt;&gt;"Pago tarjeta"),"⚠ Destino solo aplica a transferencias",IF(AND(K2438&lt;&gt;"",K2438=Q2438),"⚠ Origen igual a destino",IF(AND(K2438&lt;&gt;"",ISNA(MATCH(K2438,ctaNombre,0))),"⚠ Destino no registrado",IF(AND(P2438="Pago tarjeta",AE2438&lt;&gt;"Tarjeta de crédito"),"⚠ El destino debe ser tarjeta de crédito",IF(AND(P2438="Gasto",E2438="Depósitos y retiros"),"⚠ Usa tipo Transferencia",IF(AND(P2438="Resultado trading",AD2438&lt;&gt;"Cuenta de trading"),"⚠ Usa una cuenta de trading",IF(AND(G2438&lt;=0,P2438&lt;&gt;"Ajuste",P2438&lt;&gt;"Resultado trading"),"⚠ El monto debe ser positivo","✓")))))))))))))))</f>
        <v/>
      </c>
      <c r="P2438" s="52">
        <f>IF(OR(B2438="",G2438=""),"",IF(C2438="","Gasto",C2438))</f>
        <v/>
      </c>
      <c r="Q2438" s="52">
        <f>IF(P2438="","",IF(J2438&lt;&gt;"",J2438,CuentaPred&amp;""))</f>
        <v/>
      </c>
      <c r="R2438" s="52">
        <f>IF(P2438="","",IF(ISNUMBER(I2438),I2438,TasaUSD))</f>
        <v/>
      </c>
      <c r="S2438" s="53">
        <f>IF(P2438="","",IF(H2438="USD",G2438*R2438,G2438))</f>
        <v/>
      </c>
      <c r="T2438" s="53">
        <f>IF(P2438="","",IF(H2438="USD",G2438,IF(R2438&gt;0,G2438/R2438,0)))</f>
        <v/>
      </c>
      <c r="U2438" s="53">
        <f>IF(P2438="","",IF(P2438="Gasto",S2438,IF(P2438="Reembolso",-S2438,0)))</f>
        <v/>
      </c>
      <c r="V2438" s="53">
        <f>IF(P2438="","",IF(P2438="Ingreso",S2438,0))</f>
        <v/>
      </c>
      <c r="W2438" s="53">
        <f>IF(P2438="","",IF(P2438="Resultado trading",S2438,0))</f>
        <v/>
      </c>
      <c r="X2438" s="52">
        <f>IF(OR(P2438="Gasto",P2438="Reembolso"),IF(M2438&lt;&gt;"",M2438,IFERROR(INDEX(catClasif,MATCH(D2438&amp;"|"&amp;E2438,catClave,0))&amp;"","Variable")),"")</f>
        <v/>
      </c>
      <c r="Y2438" s="52">
        <f>IF(P2438="","",IFERROR(INDEX(catGrupo,MATCH(D2438&amp;"|"&amp;E2438,catClave,0))&amp;"",""))</f>
        <v/>
      </c>
      <c r="Z2438" s="52">
        <f>IF(P2438="","",WEEKDAY(B2438,2))</f>
        <v/>
      </c>
      <c r="AA2438" s="52">
        <f>IF(P2438="","",IF(AND(P2438="Gasto",X2438="Variable",D2438&lt;&gt;catTrading,S2438&gt;0,S2438&lt;=Umbral),1,0))</f>
        <v/>
      </c>
      <c r="AB2438" s="52">
        <f>IF(OR(P2438="",Q2438=""),"",IFERROR(IF(INDEX(ctaVinc,MATCH(Q2438,ctaNombre,0))&amp;""&lt;&gt;"",INDEX(ctaVinc,MATCH(Q2438,ctaNombre,0))&amp;"",Q2438),Q2438))</f>
        <v/>
      </c>
      <c r="AC2438" s="52">
        <f>IF(OR(K2438="",AND(P2438&lt;&gt;"Transferencia",P2438&lt;&gt;"Pago tarjeta")),"",IFERROR(IF(INDEX(ctaVinc,MATCH(K2438,ctaNombre,0))&amp;""&lt;&gt;"",INDEX(ctaVinc,MATCH(K2438,ctaNombre,0))&amp;"",K2438),K2438))</f>
        <v/>
      </c>
      <c r="AD2438" s="52">
        <f>IF(AB2438="","",IFERROR(INDEX(ctaTipo,MATCH(AB2438,ctaNombre,0))&amp;"",""))</f>
        <v/>
      </c>
      <c r="AE2438" s="52">
        <f>IF(AC2438="","",IFERROR(INDEX(ctaTipo,MATCH(AC2438,ctaNombre,0))&amp;"",""))</f>
        <v/>
      </c>
      <c r="AF2438" s="53">
        <f>IF(OR(P2438="",AB2438=""),"",IF(OR(P2438="Gasto",P2438="Transferencia",P2438="Pago tarjeta"),-1,1)*IF(IFERROR(INDEX(ctaMoneda,MATCH(AB2438,ctaNombre,0))&amp;"","DOP")="USD",T2438,S2438))</f>
        <v/>
      </c>
      <c r="AG2438" s="53">
        <f>IF(AC2438="","",IF(IFERROR(INDEX(ctaMoneda,MATCH(AC2438,ctaNombre,0))&amp;"","DOP")="USD",T2438,S2438))</f>
        <v/>
      </c>
      <c r="AH2438" s="53">
        <f>IF(P2438="","",IF(AND(AD2438&lt;&gt;"",COUNTIFS(tcTipo,AD2438,tcLiq,"Sí")&gt;0),IF(OR(P2438="Gasto",P2438="Transferencia",P2438="Pago tarjeta"),-1,1)*S2438,0)+IF(AND(AE2438&lt;&gt;"",COUNTIFS(tcTipo,AE2438,tcLiq,"Sí")&gt;0),S2438,0))</f>
        <v/>
      </c>
      <c r="AI2438" s="52">
        <f>IF(OR(L2438="",P2438=""),"",IF(COUNTIFS(L$6:L2438,L2438,P$6:P2438,"?*")=1,MAX(AI$5:AI2437)+1,""))</f>
        <v/>
      </c>
    </row>
    <row r="2439">
      <c r="B2439" s="47" t="n"/>
      <c r="C2439" s="48" t="n"/>
      <c r="D2439" s="48" t="n"/>
      <c r="E2439" s="48" t="n"/>
      <c r="F2439" s="48" t="n"/>
      <c r="G2439" s="49" t="n"/>
      <c r="H2439" s="48" t="n"/>
      <c r="I2439" s="50" t="n"/>
      <c r="J2439" s="48" t="n"/>
      <c r="K2439" s="48" t="n"/>
      <c r="L2439" s="48" t="n"/>
      <c r="M2439" s="48" t="n"/>
      <c r="N2439" s="48" t="n"/>
      <c r="O2439" s="51">
        <f>IF(AND(B2439="",G2439="",C2439="",D2439="",J2439=""),"",IF(B2439="","⚠ Falta fecha",IF(G2439="","⚠ Falta monto",IF(Q2439="","⚠ Falta cuenta",IF(ISNA(MATCH(Q2439,ctaNombre,0)),"⚠ Cuenta no registrada",IF(AND(OR(P2439="Gasto",P2439="Reembolso"),D2439=""),"⚠ Falta categoría",IF(AND(D2439&lt;&gt;"",E2439&lt;&gt;"",ISNA(MATCH(D2439&amp;"|"&amp;E2439,catClave,0))),"⚠ Subcategoría no corresponde",IF(AND(OR(P2439="Transferencia",P2439="Pago tarjeta"),K2439=""),"⚠ Falta cuenta destino",IF(AND(K2439&lt;&gt;"",P2439&lt;&gt;"Transferencia",P2439&lt;&gt;"Pago tarjeta"),"⚠ Destino solo aplica a transferencias",IF(AND(K2439&lt;&gt;"",K2439=Q2439),"⚠ Origen igual a destino",IF(AND(K2439&lt;&gt;"",ISNA(MATCH(K2439,ctaNombre,0))),"⚠ Destino no registrado",IF(AND(P2439="Pago tarjeta",AE2439&lt;&gt;"Tarjeta de crédito"),"⚠ El destino debe ser tarjeta de crédito",IF(AND(P2439="Gasto",E2439="Depósitos y retiros"),"⚠ Usa tipo Transferencia",IF(AND(P2439="Resultado trading",AD2439&lt;&gt;"Cuenta de trading"),"⚠ Usa una cuenta de trading",IF(AND(G2439&lt;=0,P2439&lt;&gt;"Ajuste",P2439&lt;&gt;"Resultado trading"),"⚠ El monto debe ser positivo","✓")))))))))))))))</f>
        <v/>
      </c>
      <c r="P2439" s="52">
        <f>IF(OR(B2439="",G2439=""),"",IF(C2439="","Gasto",C2439))</f>
        <v/>
      </c>
      <c r="Q2439" s="52">
        <f>IF(P2439="","",IF(J2439&lt;&gt;"",J2439,CuentaPred&amp;""))</f>
        <v/>
      </c>
      <c r="R2439" s="52">
        <f>IF(P2439="","",IF(ISNUMBER(I2439),I2439,TasaUSD))</f>
        <v/>
      </c>
      <c r="S2439" s="53">
        <f>IF(P2439="","",IF(H2439="USD",G2439*R2439,G2439))</f>
        <v/>
      </c>
      <c r="T2439" s="53">
        <f>IF(P2439="","",IF(H2439="USD",G2439,IF(R2439&gt;0,G2439/R2439,0)))</f>
        <v/>
      </c>
      <c r="U2439" s="53">
        <f>IF(P2439="","",IF(P2439="Gasto",S2439,IF(P2439="Reembolso",-S2439,0)))</f>
        <v/>
      </c>
      <c r="V2439" s="53">
        <f>IF(P2439="","",IF(P2439="Ingreso",S2439,0))</f>
        <v/>
      </c>
      <c r="W2439" s="53">
        <f>IF(P2439="","",IF(P2439="Resultado trading",S2439,0))</f>
        <v/>
      </c>
      <c r="X2439" s="52">
        <f>IF(OR(P2439="Gasto",P2439="Reembolso"),IF(M2439&lt;&gt;"",M2439,IFERROR(INDEX(catClasif,MATCH(D2439&amp;"|"&amp;E2439,catClave,0))&amp;"","Variable")),"")</f>
        <v/>
      </c>
      <c r="Y2439" s="52">
        <f>IF(P2439="","",IFERROR(INDEX(catGrupo,MATCH(D2439&amp;"|"&amp;E2439,catClave,0))&amp;"",""))</f>
        <v/>
      </c>
      <c r="Z2439" s="52">
        <f>IF(P2439="","",WEEKDAY(B2439,2))</f>
        <v/>
      </c>
      <c r="AA2439" s="52">
        <f>IF(P2439="","",IF(AND(P2439="Gasto",X2439="Variable",D2439&lt;&gt;catTrading,S2439&gt;0,S2439&lt;=Umbral),1,0))</f>
        <v/>
      </c>
      <c r="AB2439" s="52">
        <f>IF(OR(P2439="",Q2439=""),"",IFERROR(IF(INDEX(ctaVinc,MATCH(Q2439,ctaNombre,0))&amp;""&lt;&gt;"",INDEX(ctaVinc,MATCH(Q2439,ctaNombre,0))&amp;"",Q2439),Q2439))</f>
        <v/>
      </c>
      <c r="AC2439" s="52">
        <f>IF(OR(K2439="",AND(P2439&lt;&gt;"Transferencia",P2439&lt;&gt;"Pago tarjeta")),"",IFERROR(IF(INDEX(ctaVinc,MATCH(K2439,ctaNombre,0))&amp;""&lt;&gt;"",INDEX(ctaVinc,MATCH(K2439,ctaNombre,0))&amp;"",K2439),K2439))</f>
        <v/>
      </c>
      <c r="AD2439" s="52">
        <f>IF(AB2439="","",IFERROR(INDEX(ctaTipo,MATCH(AB2439,ctaNombre,0))&amp;"",""))</f>
        <v/>
      </c>
      <c r="AE2439" s="52">
        <f>IF(AC2439="","",IFERROR(INDEX(ctaTipo,MATCH(AC2439,ctaNombre,0))&amp;"",""))</f>
        <v/>
      </c>
      <c r="AF2439" s="53">
        <f>IF(OR(P2439="",AB2439=""),"",IF(OR(P2439="Gasto",P2439="Transferencia",P2439="Pago tarjeta"),-1,1)*IF(IFERROR(INDEX(ctaMoneda,MATCH(AB2439,ctaNombre,0))&amp;"","DOP")="USD",T2439,S2439))</f>
        <v/>
      </c>
      <c r="AG2439" s="53">
        <f>IF(AC2439="","",IF(IFERROR(INDEX(ctaMoneda,MATCH(AC2439,ctaNombre,0))&amp;"","DOP")="USD",T2439,S2439))</f>
        <v/>
      </c>
      <c r="AH2439" s="53">
        <f>IF(P2439="","",IF(AND(AD2439&lt;&gt;"",COUNTIFS(tcTipo,AD2439,tcLiq,"Sí")&gt;0),IF(OR(P2439="Gasto",P2439="Transferencia",P2439="Pago tarjeta"),-1,1)*S2439,0)+IF(AND(AE2439&lt;&gt;"",COUNTIFS(tcTipo,AE2439,tcLiq,"Sí")&gt;0),S2439,0))</f>
        <v/>
      </c>
      <c r="AI2439" s="52">
        <f>IF(OR(L2439="",P2439=""),"",IF(COUNTIFS(L$6:L2439,L2439,P$6:P2439,"?*")=1,MAX(AI$5:AI2438)+1,""))</f>
        <v/>
      </c>
    </row>
    <row r="2440">
      <c r="B2440" s="47" t="n"/>
      <c r="C2440" s="48" t="n"/>
      <c r="D2440" s="48" t="n"/>
      <c r="E2440" s="48" t="n"/>
      <c r="F2440" s="48" t="n"/>
      <c r="G2440" s="49" t="n"/>
      <c r="H2440" s="48" t="n"/>
      <c r="I2440" s="50" t="n"/>
      <c r="J2440" s="48" t="n"/>
      <c r="K2440" s="48" t="n"/>
      <c r="L2440" s="48" t="n"/>
      <c r="M2440" s="48" t="n"/>
      <c r="N2440" s="48" t="n"/>
      <c r="O2440" s="51">
        <f>IF(AND(B2440="",G2440="",C2440="",D2440="",J2440=""),"",IF(B2440="","⚠ Falta fecha",IF(G2440="","⚠ Falta monto",IF(Q2440="","⚠ Falta cuenta",IF(ISNA(MATCH(Q2440,ctaNombre,0)),"⚠ Cuenta no registrada",IF(AND(OR(P2440="Gasto",P2440="Reembolso"),D2440=""),"⚠ Falta categoría",IF(AND(D2440&lt;&gt;"",E2440&lt;&gt;"",ISNA(MATCH(D2440&amp;"|"&amp;E2440,catClave,0))),"⚠ Subcategoría no corresponde",IF(AND(OR(P2440="Transferencia",P2440="Pago tarjeta"),K2440=""),"⚠ Falta cuenta destino",IF(AND(K2440&lt;&gt;"",P2440&lt;&gt;"Transferencia",P2440&lt;&gt;"Pago tarjeta"),"⚠ Destino solo aplica a transferencias",IF(AND(K2440&lt;&gt;"",K2440=Q2440),"⚠ Origen igual a destino",IF(AND(K2440&lt;&gt;"",ISNA(MATCH(K2440,ctaNombre,0))),"⚠ Destino no registrado",IF(AND(P2440="Pago tarjeta",AE2440&lt;&gt;"Tarjeta de crédito"),"⚠ El destino debe ser tarjeta de crédito",IF(AND(P2440="Gasto",E2440="Depósitos y retiros"),"⚠ Usa tipo Transferencia",IF(AND(P2440="Resultado trading",AD2440&lt;&gt;"Cuenta de trading"),"⚠ Usa una cuenta de trading",IF(AND(G2440&lt;=0,P2440&lt;&gt;"Ajuste",P2440&lt;&gt;"Resultado trading"),"⚠ El monto debe ser positivo","✓")))))))))))))))</f>
        <v/>
      </c>
      <c r="P2440" s="52">
        <f>IF(OR(B2440="",G2440=""),"",IF(C2440="","Gasto",C2440))</f>
        <v/>
      </c>
      <c r="Q2440" s="52">
        <f>IF(P2440="","",IF(J2440&lt;&gt;"",J2440,CuentaPred&amp;""))</f>
        <v/>
      </c>
      <c r="R2440" s="52">
        <f>IF(P2440="","",IF(ISNUMBER(I2440),I2440,TasaUSD))</f>
        <v/>
      </c>
      <c r="S2440" s="53">
        <f>IF(P2440="","",IF(H2440="USD",G2440*R2440,G2440))</f>
        <v/>
      </c>
      <c r="T2440" s="53">
        <f>IF(P2440="","",IF(H2440="USD",G2440,IF(R2440&gt;0,G2440/R2440,0)))</f>
        <v/>
      </c>
      <c r="U2440" s="53">
        <f>IF(P2440="","",IF(P2440="Gasto",S2440,IF(P2440="Reembolso",-S2440,0)))</f>
        <v/>
      </c>
      <c r="V2440" s="53">
        <f>IF(P2440="","",IF(P2440="Ingreso",S2440,0))</f>
        <v/>
      </c>
      <c r="W2440" s="53">
        <f>IF(P2440="","",IF(P2440="Resultado trading",S2440,0))</f>
        <v/>
      </c>
      <c r="X2440" s="52">
        <f>IF(OR(P2440="Gasto",P2440="Reembolso"),IF(M2440&lt;&gt;"",M2440,IFERROR(INDEX(catClasif,MATCH(D2440&amp;"|"&amp;E2440,catClave,0))&amp;"","Variable")),"")</f>
        <v/>
      </c>
      <c r="Y2440" s="52">
        <f>IF(P2440="","",IFERROR(INDEX(catGrupo,MATCH(D2440&amp;"|"&amp;E2440,catClave,0))&amp;"",""))</f>
        <v/>
      </c>
      <c r="Z2440" s="52">
        <f>IF(P2440="","",WEEKDAY(B2440,2))</f>
        <v/>
      </c>
      <c r="AA2440" s="52">
        <f>IF(P2440="","",IF(AND(P2440="Gasto",X2440="Variable",D2440&lt;&gt;catTrading,S2440&gt;0,S2440&lt;=Umbral),1,0))</f>
        <v/>
      </c>
      <c r="AB2440" s="52">
        <f>IF(OR(P2440="",Q2440=""),"",IFERROR(IF(INDEX(ctaVinc,MATCH(Q2440,ctaNombre,0))&amp;""&lt;&gt;"",INDEX(ctaVinc,MATCH(Q2440,ctaNombre,0))&amp;"",Q2440),Q2440))</f>
        <v/>
      </c>
      <c r="AC2440" s="52">
        <f>IF(OR(K2440="",AND(P2440&lt;&gt;"Transferencia",P2440&lt;&gt;"Pago tarjeta")),"",IFERROR(IF(INDEX(ctaVinc,MATCH(K2440,ctaNombre,0))&amp;""&lt;&gt;"",INDEX(ctaVinc,MATCH(K2440,ctaNombre,0))&amp;"",K2440),K2440))</f>
        <v/>
      </c>
      <c r="AD2440" s="52">
        <f>IF(AB2440="","",IFERROR(INDEX(ctaTipo,MATCH(AB2440,ctaNombre,0))&amp;"",""))</f>
        <v/>
      </c>
      <c r="AE2440" s="52">
        <f>IF(AC2440="","",IFERROR(INDEX(ctaTipo,MATCH(AC2440,ctaNombre,0))&amp;"",""))</f>
        <v/>
      </c>
      <c r="AF2440" s="53">
        <f>IF(OR(P2440="",AB2440=""),"",IF(OR(P2440="Gasto",P2440="Transferencia",P2440="Pago tarjeta"),-1,1)*IF(IFERROR(INDEX(ctaMoneda,MATCH(AB2440,ctaNombre,0))&amp;"","DOP")="USD",T2440,S2440))</f>
        <v/>
      </c>
      <c r="AG2440" s="53">
        <f>IF(AC2440="","",IF(IFERROR(INDEX(ctaMoneda,MATCH(AC2440,ctaNombre,0))&amp;"","DOP")="USD",T2440,S2440))</f>
        <v/>
      </c>
      <c r="AH2440" s="53">
        <f>IF(P2440="","",IF(AND(AD2440&lt;&gt;"",COUNTIFS(tcTipo,AD2440,tcLiq,"Sí")&gt;0),IF(OR(P2440="Gasto",P2440="Transferencia",P2440="Pago tarjeta"),-1,1)*S2440,0)+IF(AND(AE2440&lt;&gt;"",COUNTIFS(tcTipo,AE2440,tcLiq,"Sí")&gt;0),S2440,0))</f>
        <v/>
      </c>
      <c r="AI2440" s="52">
        <f>IF(OR(L2440="",P2440=""),"",IF(COUNTIFS(L$6:L2440,L2440,P$6:P2440,"?*")=1,MAX(AI$5:AI2439)+1,""))</f>
        <v/>
      </c>
    </row>
    <row r="2441">
      <c r="B2441" s="47" t="n"/>
      <c r="C2441" s="48" t="n"/>
      <c r="D2441" s="48" t="n"/>
      <c r="E2441" s="48" t="n"/>
      <c r="F2441" s="48" t="n"/>
      <c r="G2441" s="49" t="n"/>
      <c r="H2441" s="48" t="n"/>
      <c r="I2441" s="50" t="n"/>
      <c r="J2441" s="48" t="n"/>
      <c r="K2441" s="48" t="n"/>
      <c r="L2441" s="48" t="n"/>
      <c r="M2441" s="48" t="n"/>
      <c r="N2441" s="48" t="n"/>
      <c r="O2441" s="51">
        <f>IF(AND(B2441="",G2441="",C2441="",D2441="",J2441=""),"",IF(B2441="","⚠ Falta fecha",IF(G2441="","⚠ Falta monto",IF(Q2441="","⚠ Falta cuenta",IF(ISNA(MATCH(Q2441,ctaNombre,0)),"⚠ Cuenta no registrada",IF(AND(OR(P2441="Gasto",P2441="Reembolso"),D2441=""),"⚠ Falta categoría",IF(AND(D2441&lt;&gt;"",E2441&lt;&gt;"",ISNA(MATCH(D2441&amp;"|"&amp;E2441,catClave,0))),"⚠ Subcategoría no corresponde",IF(AND(OR(P2441="Transferencia",P2441="Pago tarjeta"),K2441=""),"⚠ Falta cuenta destino",IF(AND(K2441&lt;&gt;"",P2441&lt;&gt;"Transferencia",P2441&lt;&gt;"Pago tarjeta"),"⚠ Destino solo aplica a transferencias",IF(AND(K2441&lt;&gt;"",K2441=Q2441),"⚠ Origen igual a destino",IF(AND(K2441&lt;&gt;"",ISNA(MATCH(K2441,ctaNombre,0))),"⚠ Destino no registrado",IF(AND(P2441="Pago tarjeta",AE2441&lt;&gt;"Tarjeta de crédito"),"⚠ El destino debe ser tarjeta de crédito",IF(AND(P2441="Gasto",E2441="Depósitos y retiros"),"⚠ Usa tipo Transferencia",IF(AND(P2441="Resultado trading",AD2441&lt;&gt;"Cuenta de trading"),"⚠ Usa una cuenta de trading",IF(AND(G2441&lt;=0,P2441&lt;&gt;"Ajuste",P2441&lt;&gt;"Resultado trading"),"⚠ El monto debe ser positivo","✓")))))))))))))))</f>
        <v/>
      </c>
      <c r="P2441" s="52">
        <f>IF(OR(B2441="",G2441=""),"",IF(C2441="","Gasto",C2441))</f>
        <v/>
      </c>
      <c r="Q2441" s="52">
        <f>IF(P2441="","",IF(J2441&lt;&gt;"",J2441,CuentaPred&amp;""))</f>
        <v/>
      </c>
      <c r="R2441" s="52">
        <f>IF(P2441="","",IF(ISNUMBER(I2441),I2441,TasaUSD))</f>
        <v/>
      </c>
      <c r="S2441" s="53">
        <f>IF(P2441="","",IF(H2441="USD",G2441*R2441,G2441))</f>
        <v/>
      </c>
      <c r="T2441" s="53">
        <f>IF(P2441="","",IF(H2441="USD",G2441,IF(R2441&gt;0,G2441/R2441,0)))</f>
        <v/>
      </c>
      <c r="U2441" s="53">
        <f>IF(P2441="","",IF(P2441="Gasto",S2441,IF(P2441="Reembolso",-S2441,0)))</f>
        <v/>
      </c>
      <c r="V2441" s="53">
        <f>IF(P2441="","",IF(P2441="Ingreso",S2441,0))</f>
        <v/>
      </c>
      <c r="W2441" s="53">
        <f>IF(P2441="","",IF(P2441="Resultado trading",S2441,0))</f>
        <v/>
      </c>
      <c r="X2441" s="52">
        <f>IF(OR(P2441="Gasto",P2441="Reembolso"),IF(M2441&lt;&gt;"",M2441,IFERROR(INDEX(catClasif,MATCH(D2441&amp;"|"&amp;E2441,catClave,0))&amp;"","Variable")),"")</f>
        <v/>
      </c>
      <c r="Y2441" s="52">
        <f>IF(P2441="","",IFERROR(INDEX(catGrupo,MATCH(D2441&amp;"|"&amp;E2441,catClave,0))&amp;"",""))</f>
        <v/>
      </c>
      <c r="Z2441" s="52">
        <f>IF(P2441="","",WEEKDAY(B2441,2))</f>
        <v/>
      </c>
      <c r="AA2441" s="52">
        <f>IF(P2441="","",IF(AND(P2441="Gasto",X2441="Variable",D2441&lt;&gt;catTrading,S2441&gt;0,S2441&lt;=Umbral),1,0))</f>
        <v/>
      </c>
      <c r="AB2441" s="52">
        <f>IF(OR(P2441="",Q2441=""),"",IFERROR(IF(INDEX(ctaVinc,MATCH(Q2441,ctaNombre,0))&amp;""&lt;&gt;"",INDEX(ctaVinc,MATCH(Q2441,ctaNombre,0))&amp;"",Q2441),Q2441))</f>
        <v/>
      </c>
      <c r="AC2441" s="52">
        <f>IF(OR(K2441="",AND(P2441&lt;&gt;"Transferencia",P2441&lt;&gt;"Pago tarjeta")),"",IFERROR(IF(INDEX(ctaVinc,MATCH(K2441,ctaNombre,0))&amp;""&lt;&gt;"",INDEX(ctaVinc,MATCH(K2441,ctaNombre,0))&amp;"",K2441),K2441))</f>
        <v/>
      </c>
      <c r="AD2441" s="52">
        <f>IF(AB2441="","",IFERROR(INDEX(ctaTipo,MATCH(AB2441,ctaNombre,0))&amp;"",""))</f>
        <v/>
      </c>
      <c r="AE2441" s="52">
        <f>IF(AC2441="","",IFERROR(INDEX(ctaTipo,MATCH(AC2441,ctaNombre,0))&amp;"",""))</f>
        <v/>
      </c>
      <c r="AF2441" s="53">
        <f>IF(OR(P2441="",AB2441=""),"",IF(OR(P2441="Gasto",P2441="Transferencia",P2441="Pago tarjeta"),-1,1)*IF(IFERROR(INDEX(ctaMoneda,MATCH(AB2441,ctaNombre,0))&amp;"","DOP")="USD",T2441,S2441))</f>
        <v/>
      </c>
      <c r="AG2441" s="53">
        <f>IF(AC2441="","",IF(IFERROR(INDEX(ctaMoneda,MATCH(AC2441,ctaNombre,0))&amp;"","DOP")="USD",T2441,S2441))</f>
        <v/>
      </c>
      <c r="AH2441" s="53">
        <f>IF(P2441="","",IF(AND(AD2441&lt;&gt;"",COUNTIFS(tcTipo,AD2441,tcLiq,"Sí")&gt;0),IF(OR(P2441="Gasto",P2441="Transferencia",P2441="Pago tarjeta"),-1,1)*S2441,0)+IF(AND(AE2441&lt;&gt;"",COUNTIFS(tcTipo,AE2441,tcLiq,"Sí")&gt;0),S2441,0))</f>
        <v/>
      </c>
      <c r="AI2441" s="52">
        <f>IF(OR(L2441="",P2441=""),"",IF(COUNTIFS(L$6:L2441,L2441,P$6:P2441,"?*")=1,MAX(AI$5:AI2440)+1,""))</f>
        <v/>
      </c>
    </row>
    <row r="2442">
      <c r="B2442" s="47" t="n"/>
      <c r="C2442" s="48" t="n"/>
      <c r="D2442" s="48" t="n"/>
      <c r="E2442" s="48" t="n"/>
      <c r="F2442" s="48" t="n"/>
      <c r="G2442" s="49" t="n"/>
      <c r="H2442" s="48" t="n"/>
      <c r="I2442" s="50" t="n"/>
      <c r="J2442" s="48" t="n"/>
      <c r="K2442" s="48" t="n"/>
      <c r="L2442" s="48" t="n"/>
      <c r="M2442" s="48" t="n"/>
      <c r="N2442" s="48" t="n"/>
      <c r="O2442" s="51">
        <f>IF(AND(B2442="",G2442="",C2442="",D2442="",J2442=""),"",IF(B2442="","⚠ Falta fecha",IF(G2442="","⚠ Falta monto",IF(Q2442="","⚠ Falta cuenta",IF(ISNA(MATCH(Q2442,ctaNombre,0)),"⚠ Cuenta no registrada",IF(AND(OR(P2442="Gasto",P2442="Reembolso"),D2442=""),"⚠ Falta categoría",IF(AND(D2442&lt;&gt;"",E2442&lt;&gt;"",ISNA(MATCH(D2442&amp;"|"&amp;E2442,catClave,0))),"⚠ Subcategoría no corresponde",IF(AND(OR(P2442="Transferencia",P2442="Pago tarjeta"),K2442=""),"⚠ Falta cuenta destino",IF(AND(K2442&lt;&gt;"",P2442&lt;&gt;"Transferencia",P2442&lt;&gt;"Pago tarjeta"),"⚠ Destino solo aplica a transferencias",IF(AND(K2442&lt;&gt;"",K2442=Q2442),"⚠ Origen igual a destino",IF(AND(K2442&lt;&gt;"",ISNA(MATCH(K2442,ctaNombre,0))),"⚠ Destino no registrado",IF(AND(P2442="Pago tarjeta",AE2442&lt;&gt;"Tarjeta de crédito"),"⚠ El destino debe ser tarjeta de crédito",IF(AND(P2442="Gasto",E2442="Depósitos y retiros"),"⚠ Usa tipo Transferencia",IF(AND(P2442="Resultado trading",AD2442&lt;&gt;"Cuenta de trading"),"⚠ Usa una cuenta de trading",IF(AND(G2442&lt;=0,P2442&lt;&gt;"Ajuste",P2442&lt;&gt;"Resultado trading"),"⚠ El monto debe ser positivo","✓")))))))))))))))</f>
        <v/>
      </c>
      <c r="P2442" s="52">
        <f>IF(OR(B2442="",G2442=""),"",IF(C2442="","Gasto",C2442))</f>
        <v/>
      </c>
      <c r="Q2442" s="52">
        <f>IF(P2442="","",IF(J2442&lt;&gt;"",J2442,CuentaPred&amp;""))</f>
        <v/>
      </c>
      <c r="R2442" s="52">
        <f>IF(P2442="","",IF(ISNUMBER(I2442),I2442,TasaUSD))</f>
        <v/>
      </c>
      <c r="S2442" s="53">
        <f>IF(P2442="","",IF(H2442="USD",G2442*R2442,G2442))</f>
        <v/>
      </c>
      <c r="T2442" s="53">
        <f>IF(P2442="","",IF(H2442="USD",G2442,IF(R2442&gt;0,G2442/R2442,0)))</f>
        <v/>
      </c>
      <c r="U2442" s="53">
        <f>IF(P2442="","",IF(P2442="Gasto",S2442,IF(P2442="Reembolso",-S2442,0)))</f>
        <v/>
      </c>
      <c r="V2442" s="53">
        <f>IF(P2442="","",IF(P2442="Ingreso",S2442,0))</f>
        <v/>
      </c>
      <c r="W2442" s="53">
        <f>IF(P2442="","",IF(P2442="Resultado trading",S2442,0))</f>
        <v/>
      </c>
      <c r="X2442" s="52">
        <f>IF(OR(P2442="Gasto",P2442="Reembolso"),IF(M2442&lt;&gt;"",M2442,IFERROR(INDEX(catClasif,MATCH(D2442&amp;"|"&amp;E2442,catClave,0))&amp;"","Variable")),"")</f>
        <v/>
      </c>
      <c r="Y2442" s="52">
        <f>IF(P2442="","",IFERROR(INDEX(catGrupo,MATCH(D2442&amp;"|"&amp;E2442,catClave,0))&amp;"",""))</f>
        <v/>
      </c>
      <c r="Z2442" s="52">
        <f>IF(P2442="","",WEEKDAY(B2442,2))</f>
        <v/>
      </c>
      <c r="AA2442" s="52">
        <f>IF(P2442="","",IF(AND(P2442="Gasto",X2442="Variable",D2442&lt;&gt;catTrading,S2442&gt;0,S2442&lt;=Umbral),1,0))</f>
        <v/>
      </c>
      <c r="AB2442" s="52">
        <f>IF(OR(P2442="",Q2442=""),"",IFERROR(IF(INDEX(ctaVinc,MATCH(Q2442,ctaNombre,0))&amp;""&lt;&gt;"",INDEX(ctaVinc,MATCH(Q2442,ctaNombre,0))&amp;"",Q2442),Q2442))</f>
        <v/>
      </c>
      <c r="AC2442" s="52">
        <f>IF(OR(K2442="",AND(P2442&lt;&gt;"Transferencia",P2442&lt;&gt;"Pago tarjeta")),"",IFERROR(IF(INDEX(ctaVinc,MATCH(K2442,ctaNombre,0))&amp;""&lt;&gt;"",INDEX(ctaVinc,MATCH(K2442,ctaNombre,0))&amp;"",K2442),K2442))</f>
        <v/>
      </c>
      <c r="AD2442" s="52">
        <f>IF(AB2442="","",IFERROR(INDEX(ctaTipo,MATCH(AB2442,ctaNombre,0))&amp;"",""))</f>
        <v/>
      </c>
      <c r="AE2442" s="52">
        <f>IF(AC2442="","",IFERROR(INDEX(ctaTipo,MATCH(AC2442,ctaNombre,0))&amp;"",""))</f>
        <v/>
      </c>
      <c r="AF2442" s="53">
        <f>IF(OR(P2442="",AB2442=""),"",IF(OR(P2442="Gasto",P2442="Transferencia",P2442="Pago tarjeta"),-1,1)*IF(IFERROR(INDEX(ctaMoneda,MATCH(AB2442,ctaNombre,0))&amp;"","DOP")="USD",T2442,S2442))</f>
        <v/>
      </c>
      <c r="AG2442" s="53">
        <f>IF(AC2442="","",IF(IFERROR(INDEX(ctaMoneda,MATCH(AC2442,ctaNombre,0))&amp;"","DOP")="USD",T2442,S2442))</f>
        <v/>
      </c>
      <c r="AH2442" s="53">
        <f>IF(P2442="","",IF(AND(AD2442&lt;&gt;"",COUNTIFS(tcTipo,AD2442,tcLiq,"Sí")&gt;0),IF(OR(P2442="Gasto",P2442="Transferencia",P2442="Pago tarjeta"),-1,1)*S2442,0)+IF(AND(AE2442&lt;&gt;"",COUNTIFS(tcTipo,AE2442,tcLiq,"Sí")&gt;0),S2442,0))</f>
        <v/>
      </c>
      <c r="AI2442" s="52">
        <f>IF(OR(L2442="",P2442=""),"",IF(COUNTIFS(L$6:L2442,L2442,P$6:P2442,"?*")=1,MAX(AI$5:AI2441)+1,""))</f>
        <v/>
      </c>
    </row>
    <row r="2443">
      <c r="B2443" s="47" t="n"/>
      <c r="C2443" s="48" t="n"/>
      <c r="D2443" s="48" t="n"/>
      <c r="E2443" s="48" t="n"/>
      <c r="F2443" s="48" t="n"/>
      <c r="G2443" s="49" t="n"/>
      <c r="H2443" s="48" t="n"/>
      <c r="I2443" s="50" t="n"/>
      <c r="J2443" s="48" t="n"/>
      <c r="K2443" s="48" t="n"/>
      <c r="L2443" s="48" t="n"/>
      <c r="M2443" s="48" t="n"/>
      <c r="N2443" s="48" t="n"/>
      <c r="O2443" s="51">
        <f>IF(AND(B2443="",G2443="",C2443="",D2443="",J2443=""),"",IF(B2443="","⚠ Falta fecha",IF(G2443="","⚠ Falta monto",IF(Q2443="","⚠ Falta cuenta",IF(ISNA(MATCH(Q2443,ctaNombre,0)),"⚠ Cuenta no registrada",IF(AND(OR(P2443="Gasto",P2443="Reembolso"),D2443=""),"⚠ Falta categoría",IF(AND(D2443&lt;&gt;"",E2443&lt;&gt;"",ISNA(MATCH(D2443&amp;"|"&amp;E2443,catClave,0))),"⚠ Subcategoría no corresponde",IF(AND(OR(P2443="Transferencia",P2443="Pago tarjeta"),K2443=""),"⚠ Falta cuenta destino",IF(AND(K2443&lt;&gt;"",P2443&lt;&gt;"Transferencia",P2443&lt;&gt;"Pago tarjeta"),"⚠ Destino solo aplica a transferencias",IF(AND(K2443&lt;&gt;"",K2443=Q2443),"⚠ Origen igual a destino",IF(AND(K2443&lt;&gt;"",ISNA(MATCH(K2443,ctaNombre,0))),"⚠ Destino no registrado",IF(AND(P2443="Pago tarjeta",AE2443&lt;&gt;"Tarjeta de crédito"),"⚠ El destino debe ser tarjeta de crédito",IF(AND(P2443="Gasto",E2443="Depósitos y retiros"),"⚠ Usa tipo Transferencia",IF(AND(P2443="Resultado trading",AD2443&lt;&gt;"Cuenta de trading"),"⚠ Usa una cuenta de trading",IF(AND(G2443&lt;=0,P2443&lt;&gt;"Ajuste",P2443&lt;&gt;"Resultado trading"),"⚠ El monto debe ser positivo","✓")))))))))))))))</f>
        <v/>
      </c>
      <c r="P2443" s="52">
        <f>IF(OR(B2443="",G2443=""),"",IF(C2443="","Gasto",C2443))</f>
        <v/>
      </c>
      <c r="Q2443" s="52">
        <f>IF(P2443="","",IF(J2443&lt;&gt;"",J2443,CuentaPred&amp;""))</f>
        <v/>
      </c>
      <c r="R2443" s="52">
        <f>IF(P2443="","",IF(ISNUMBER(I2443),I2443,TasaUSD))</f>
        <v/>
      </c>
      <c r="S2443" s="53">
        <f>IF(P2443="","",IF(H2443="USD",G2443*R2443,G2443))</f>
        <v/>
      </c>
      <c r="T2443" s="53">
        <f>IF(P2443="","",IF(H2443="USD",G2443,IF(R2443&gt;0,G2443/R2443,0)))</f>
        <v/>
      </c>
      <c r="U2443" s="53">
        <f>IF(P2443="","",IF(P2443="Gasto",S2443,IF(P2443="Reembolso",-S2443,0)))</f>
        <v/>
      </c>
      <c r="V2443" s="53">
        <f>IF(P2443="","",IF(P2443="Ingreso",S2443,0))</f>
        <v/>
      </c>
      <c r="W2443" s="53">
        <f>IF(P2443="","",IF(P2443="Resultado trading",S2443,0))</f>
        <v/>
      </c>
      <c r="X2443" s="52">
        <f>IF(OR(P2443="Gasto",P2443="Reembolso"),IF(M2443&lt;&gt;"",M2443,IFERROR(INDEX(catClasif,MATCH(D2443&amp;"|"&amp;E2443,catClave,0))&amp;"","Variable")),"")</f>
        <v/>
      </c>
      <c r="Y2443" s="52">
        <f>IF(P2443="","",IFERROR(INDEX(catGrupo,MATCH(D2443&amp;"|"&amp;E2443,catClave,0))&amp;"",""))</f>
        <v/>
      </c>
      <c r="Z2443" s="52">
        <f>IF(P2443="","",WEEKDAY(B2443,2))</f>
        <v/>
      </c>
      <c r="AA2443" s="52">
        <f>IF(P2443="","",IF(AND(P2443="Gasto",X2443="Variable",D2443&lt;&gt;catTrading,S2443&gt;0,S2443&lt;=Umbral),1,0))</f>
        <v/>
      </c>
      <c r="AB2443" s="52">
        <f>IF(OR(P2443="",Q2443=""),"",IFERROR(IF(INDEX(ctaVinc,MATCH(Q2443,ctaNombre,0))&amp;""&lt;&gt;"",INDEX(ctaVinc,MATCH(Q2443,ctaNombre,0))&amp;"",Q2443),Q2443))</f>
        <v/>
      </c>
      <c r="AC2443" s="52">
        <f>IF(OR(K2443="",AND(P2443&lt;&gt;"Transferencia",P2443&lt;&gt;"Pago tarjeta")),"",IFERROR(IF(INDEX(ctaVinc,MATCH(K2443,ctaNombre,0))&amp;""&lt;&gt;"",INDEX(ctaVinc,MATCH(K2443,ctaNombre,0))&amp;"",K2443),K2443))</f>
        <v/>
      </c>
      <c r="AD2443" s="52">
        <f>IF(AB2443="","",IFERROR(INDEX(ctaTipo,MATCH(AB2443,ctaNombre,0))&amp;"",""))</f>
        <v/>
      </c>
      <c r="AE2443" s="52">
        <f>IF(AC2443="","",IFERROR(INDEX(ctaTipo,MATCH(AC2443,ctaNombre,0))&amp;"",""))</f>
        <v/>
      </c>
      <c r="AF2443" s="53">
        <f>IF(OR(P2443="",AB2443=""),"",IF(OR(P2443="Gasto",P2443="Transferencia",P2443="Pago tarjeta"),-1,1)*IF(IFERROR(INDEX(ctaMoneda,MATCH(AB2443,ctaNombre,0))&amp;"","DOP")="USD",T2443,S2443))</f>
        <v/>
      </c>
      <c r="AG2443" s="53">
        <f>IF(AC2443="","",IF(IFERROR(INDEX(ctaMoneda,MATCH(AC2443,ctaNombre,0))&amp;"","DOP")="USD",T2443,S2443))</f>
        <v/>
      </c>
      <c r="AH2443" s="53">
        <f>IF(P2443="","",IF(AND(AD2443&lt;&gt;"",COUNTIFS(tcTipo,AD2443,tcLiq,"Sí")&gt;0),IF(OR(P2443="Gasto",P2443="Transferencia",P2443="Pago tarjeta"),-1,1)*S2443,0)+IF(AND(AE2443&lt;&gt;"",COUNTIFS(tcTipo,AE2443,tcLiq,"Sí")&gt;0),S2443,0))</f>
        <v/>
      </c>
      <c r="AI2443" s="52">
        <f>IF(OR(L2443="",P2443=""),"",IF(COUNTIFS(L$6:L2443,L2443,P$6:P2443,"?*")=1,MAX(AI$5:AI2442)+1,""))</f>
        <v/>
      </c>
    </row>
    <row r="2444">
      <c r="B2444" s="47" t="n"/>
      <c r="C2444" s="48" t="n"/>
      <c r="D2444" s="48" t="n"/>
      <c r="E2444" s="48" t="n"/>
      <c r="F2444" s="48" t="n"/>
      <c r="G2444" s="49" t="n"/>
      <c r="H2444" s="48" t="n"/>
      <c r="I2444" s="50" t="n"/>
      <c r="J2444" s="48" t="n"/>
      <c r="K2444" s="48" t="n"/>
      <c r="L2444" s="48" t="n"/>
      <c r="M2444" s="48" t="n"/>
      <c r="N2444" s="48" t="n"/>
      <c r="O2444" s="51">
        <f>IF(AND(B2444="",G2444="",C2444="",D2444="",J2444=""),"",IF(B2444="","⚠ Falta fecha",IF(G2444="","⚠ Falta monto",IF(Q2444="","⚠ Falta cuenta",IF(ISNA(MATCH(Q2444,ctaNombre,0)),"⚠ Cuenta no registrada",IF(AND(OR(P2444="Gasto",P2444="Reembolso"),D2444=""),"⚠ Falta categoría",IF(AND(D2444&lt;&gt;"",E2444&lt;&gt;"",ISNA(MATCH(D2444&amp;"|"&amp;E2444,catClave,0))),"⚠ Subcategoría no corresponde",IF(AND(OR(P2444="Transferencia",P2444="Pago tarjeta"),K2444=""),"⚠ Falta cuenta destino",IF(AND(K2444&lt;&gt;"",P2444&lt;&gt;"Transferencia",P2444&lt;&gt;"Pago tarjeta"),"⚠ Destino solo aplica a transferencias",IF(AND(K2444&lt;&gt;"",K2444=Q2444),"⚠ Origen igual a destino",IF(AND(K2444&lt;&gt;"",ISNA(MATCH(K2444,ctaNombre,0))),"⚠ Destino no registrado",IF(AND(P2444="Pago tarjeta",AE2444&lt;&gt;"Tarjeta de crédito"),"⚠ El destino debe ser tarjeta de crédito",IF(AND(P2444="Gasto",E2444="Depósitos y retiros"),"⚠ Usa tipo Transferencia",IF(AND(P2444="Resultado trading",AD2444&lt;&gt;"Cuenta de trading"),"⚠ Usa una cuenta de trading",IF(AND(G2444&lt;=0,P2444&lt;&gt;"Ajuste",P2444&lt;&gt;"Resultado trading"),"⚠ El monto debe ser positivo","✓")))))))))))))))</f>
        <v/>
      </c>
      <c r="P2444" s="52">
        <f>IF(OR(B2444="",G2444=""),"",IF(C2444="","Gasto",C2444))</f>
        <v/>
      </c>
      <c r="Q2444" s="52">
        <f>IF(P2444="","",IF(J2444&lt;&gt;"",J2444,CuentaPred&amp;""))</f>
        <v/>
      </c>
      <c r="R2444" s="52">
        <f>IF(P2444="","",IF(ISNUMBER(I2444),I2444,TasaUSD))</f>
        <v/>
      </c>
      <c r="S2444" s="53">
        <f>IF(P2444="","",IF(H2444="USD",G2444*R2444,G2444))</f>
        <v/>
      </c>
      <c r="T2444" s="53">
        <f>IF(P2444="","",IF(H2444="USD",G2444,IF(R2444&gt;0,G2444/R2444,0)))</f>
        <v/>
      </c>
      <c r="U2444" s="53">
        <f>IF(P2444="","",IF(P2444="Gasto",S2444,IF(P2444="Reembolso",-S2444,0)))</f>
        <v/>
      </c>
      <c r="V2444" s="53">
        <f>IF(P2444="","",IF(P2444="Ingreso",S2444,0))</f>
        <v/>
      </c>
      <c r="W2444" s="53">
        <f>IF(P2444="","",IF(P2444="Resultado trading",S2444,0))</f>
        <v/>
      </c>
      <c r="X2444" s="52">
        <f>IF(OR(P2444="Gasto",P2444="Reembolso"),IF(M2444&lt;&gt;"",M2444,IFERROR(INDEX(catClasif,MATCH(D2444&amp;"|"&amp;E2444,catClave,0))&amp;"","Variable")),"")</f>
        <v/>
      </c>
      <c r="Y2444" s="52">
        <f>IF(P2444="","",IFERROR(INDEX(catGrupo,MATCH(D2444&amp;"|"&amp;E2444,catClave,0))&amp;"",""))</f>
        <v/>
      </c>
      <c r="Z2444" s="52">
        <f>IF(P2444="","",WEEKDAY(B2444,2))</f>
        <v/>
      </c>
      <c r="AA2444" s="52">
        <f>IF(P2444="","",IF(AND(P2444="Gasto",X2444="Variable",D2444&lt;&gt;catTrading,S2444&gt;0,S2444&lt;=Umbral),1,0))</f>
        <v/>
      </c>
      <c r="AB2444" s="52">
        <f>IF(OR(P2444="",Q2444=""),"",IFERROR(IF(INDEX(ctaVinc,MATCH(Q2444,ctaNombre,0))&amp;""&lt;&gt;"",INDEX(ctaVinc,MATCH(Q2444,ctaNombre,0))&amp;"",Q2444),Q2444))</f>
        <v/>
      </c>
      <c r="AC2444" s="52">
        <f>IF(OR(K2444="",AND(P2444&lt;&gt;"Transferencia",P2444&lt;&gt;"Pago tarjeta")),"",IFERROR(IF(INDEX(ctaVinc,MATCH(K2444,ctaNombre,0))&amp;""&lt;&gt;"",INDEX(ctaVinc,MATCH(K2444,ctaNombre,0))&amp;"",K2444),K2444))</f>
        <v/>
      </c>
      <c r="AD2444" s="52">
        <f>IF(AB2444="","",IFERROR(INDEX(ctaTipo,MATCH(AB2444,ctaNombre,0))&amp;"",""))</f>
        <v/>
      </c>
      <c r="AE2444" s="52">
        <f>IF(AC2444="","",IFERROR(INDEX(ctaTipo,MATCH(AC2444,ctaNombre,0))&amp;"",""))</f>
        <v/>
      </c>
      <c r="AF2444" s="53">
        <f>IF(OR(P2444="",AB2444=""),"",IF(OR(P2444="Gasto",P2444="Transferencia",P2444="Pago tarjeta"),-1,1)*IF(IFERROR(INDEX(ctaMoneda,MATCH(AB2444,ctaNombre,0))&amp;"","DOP")="USD",T2444,S2444))</f>
        <v/>
      </c>
      <c r="AG2444" s="53">
        <f>IF(AC2444="","",IF(IFERROR(INDEX(ctaMoneda,MATCH(AC2444,ctaNombre,0))&amp;"","DOP")="USD",T2444,S2444))</f>
        <v/>
      </c>
      <c r="AH2444" s="53">
        <f>IF(P2444="","",IF(AND(AD2444&lt;&gt;"",COUNTIFS(tcTipo,AD2444,tcLiq,"Sí")&gt;0),IF(OR(P2444="Gasto",P2444="Transferencia",P2444="Pago tarjeta"),-1,1)*S2444,0)+IF(AND(AE2444&lt;&gt;"",COUNTIFS(tcTipo,AE2444,tcLiq,"Sí")&gt;0),S2444,0))</f>
        <v/>
      </c>
      <c r="AI2444" s="52">
        <f>IF(OR(L2444="",P2444=""),"",IF(COUNTIFS(L$6:L2444,L2444,P$6:P2444,"?*")=1,MAX(AI$5:AI2443)+1,""))</f>
        <v/>
      </c>
    </row>
    <row r="2445">
      <c r="B2445" s="47" t="n"/>
      <c r="C2445" s="48" t="n"/>
      <c r="D2445" s="48" t="n"/>
      <c r="E2445" s="48" t="n"/>
      <c r="F2445" s="48" t="n"/>
      <c r="G2445" s="49" t="n"/>
      <c r="H2445" s="48" t="n"/>
      <c r="I2445" s="50" t="n"/>
      <c r="J2445" s="48" t="n"/>
      <c r="K2445" s="48" t="n"/>
      <c r="L2445" s="48" t="n"/>
      <c r="M2445" s="48" t="n"/>
      <c r="N2445" s="48" t="n"/>
      <c r="O2445" s="51">
        <f>IF(AND(B2445="",G2445="",C2445="",D2445="",J2445=""),"",IF(B2445="","⚠ Falta fecha",IF(G2445="","⚠ Falta monto",IF(Q2445="","⚠ Falta cuenta",IF(ISNA(MATCH(Q2445,ctaNombre,0)),"⚠ Cuenta no registrada",IF(AND(OR(P2445="Gasto",P2445="Reembolso"),D2445=""),"⚠ Falta categoría",IF(AND(D2445&lt;&gt;"",E2445&lt;&gt;"",ISNA(MATCH(D2445&amp;"|"&amp;E2445,catClave,0))),"⚠ Subcategoría no corresponde",IF(AND(OR(P2445="Transferencia",P2445="Pago tarjeta"),K2445=""),"⚠ Falta cuenta destino",IF(AND(K2445&lt;&gt;"",P2445&lt;&gt;"Transferencia",P2445&lt;&gt;"Pago tarjeta"),"⚠ Destino solo aplica a transferencias",IF(AND(K2445&lt;&gt;"",K2445=Q2445),"⚠ Origen igual a destino",IF(AND(K2445&lt;&gt;"",ISNA(MATCH(K2445,ctaNombre,0))),"⚠ Destino no registrado",IF(AND(P2445="Pago tarjeta",AE2445&lt;&gt;"Tarjeta de crédito"),"⚠ El destino debe ser tarjeta de crédito",IF(AND(P2445="Gasto",E2445="Depósitos y retiros"),"⚠ Usa tipo Transferencia",IF(AND(P2445="Resultado trading",AD2445&lt;&gt;"Cuenta de trading"),"⚠ Usa una cuenta de trading",IF(AND(G2445&lt;=0,P2445&lt;&gt;"Ajuste",P2445&lt;&gt;"Resultado trading"),"⚠ El monto debe ser positivo","✓")))))))))))))))</f>
        <v/>
      </c>
      <c r="P2445" s="52">
        <f>IF(OR(B2445="",G2445=""),"",IF(C2445="","Gasto",C2445))</f>
        <v/>
      </c>
      <c r="Q2445" s="52">
        <f>IF(P2445="","",IF(J2445&lt;&gt;"",J2445,CuentaPred&amp;""))</f>
        <v/>
      </c>
      <c r="R2445" s="52">
        <f>IF(P2445="","",IF(ISNUMBER(I2445),I2445,TasaUSD))</f>
        <v/>
      </c>
      <c r="S2445" s="53">
        <f>IF(P2445="","",IF(H2445="USD",G2445*R2445,G2445))</f>
        <v/>
      </c>
      <c r="T2445" s="53">
        <f>IF(P2445="","",IF(H2445="USD",G2445,IF(R2445&gt;0,G2445/R2445,0)))</f>
        <v/>
      </c>
      <c r="U2445" s="53">
        <f>IF(P2445="","",IF(P2445="Gasto",S2445,IF(P2445="Reembolso",-S2445,0)))</f>
        <v/>
      </c>
      <c r="V2445" s="53">
        <f>IF(P2445="","",IF(P2445="Ingreso",S2445,0))</f>
        <v/>
      </c>
      <c r="W2445" s="53">
        <f>IF(P2445="","",IF(P2445="Resultado trading",S2445,0))</f>
        <v/>
      </c>
      <c r="X2445" s="52">
        <f>IF(OR(P2445="Gasto",P2445="Reembolso"),IF(M2445&lt;&gt;"",M2445,IFERROR(INDEX(catClasif,MATCH(D2445&amp;"|"&amp;E2445,catClave,0))&amp;"","Variable")),"")</f>
        <v/>
      </c>
      <c r="Y2445" s="52">
        <f>IF(P2445="","",IFERROR(INDEX(catGrupo,MATCH(D2445&amp;"|"&amp;E2445,catClave,0))&amp;"",""))</f>
        <v/>
      </c>
      <c r="Z2445" s="52">
        <f>IF(P2445="","",WEEKDAY(B2445,2))</f>
        <v/>
      </c>
      <c r="AA2445" s="52">
        <f>IF(P2445="","",IF(AND(P2445="Gasto",X2445="Variable",D2445&lt;&gt;catTrading,S2445&gt;0,S2445&lt;=Umbral),1,0))</f>
        <v/>
      </c>
      <c r="AB2445" s="52">
        <f>IF(OR(P2445="",Q2445=""),"",IFERROR(IF(INDEX(ctaVinc,MATCH(Q2445,ctaNombre,0))&amp;""&lt;&gt;"",INDEX(ctaVinc,MATCH(Q2445,ctaNombre,0))&amp;"",Q2445),Q2445))</f>
        <v/>
      </c>
      <c r="AC2445" s="52">
        <f>IF(OR(K2445="",AND(P2445&lt;&gt;"Transferencia",P2445&lt;&gt;"Pago tarjeta")),"",IFERROR(IF(INDEX(ctaVinc,MATCH(K2445,ctaNombre,0))&amp;""&lt;&gt;"",INDEX(ctaVinc,MATCH(K2445,ctaNombre,0))&amp;"",K2445),K2445))</f>
        <v/>
      </c>
      <c r="AD2445" s="52">
        <f>IF(AB2445="","",IFERROR(INDEX(ctaTipo,MATCH(AB2445,ctaNombre,0))&amp;"",""))</f>
        <v/>
      </c>
      <c r="AE2445" s="52">
        <f>IF(AC2445="","",IFERROR(INDEX(ctaTipo,MATCH(AC2445,ctaNombre,0))&amp;"",""))</f>
        <v/>
      </c>
      <c r="AF2445" s="53">
        <f>IF(OR(P2445="",AB2445=""),"",IF(OR(P2445="Gasto",P2445="Transferencia",P2445="Pago tarjeta"),-1,1)*IF(IFERROR(INDEX(ctaMoneda,MATCH(AB2445,ctaNombre,0))&amp;"","DOP")="USD",T2445,S2445))</f>
        <v/>
      </c>
      <c r="AG2445" s="53">
        <f>IF(AC2445="","",IF(IFERROR(INDEX(ctaMoneda,MATCH(AC2445,ctaNombre,0))&amp;"","DOP")="USD",T2445,S2445))</f>
        <v/>
      </c>
      <c r="AH2445" s="53">
        <f>IF(P2445="","",IF(AND(AD2445&lt;&gt;"",COUNTIFS(tcTipo,AD2445,tcLiq,"Sí")&gt;0),IF(OR(P2445="Gasto",P2445="Transferencia",P2445="Pago tarjeta"),-1,1)*S2445,0)+IF(AND(AE2445&lt;&gt;"",COUNTIFS(tcTipo,AE2445,tcLiq,"Sí")&gt;0),S2445,0))</f>
        <v/>
      </c>
      <c r="AI2445" s="52">
        <f>IF(OR(L2445="",P2445=""),"",IF(COUNTIFS(L$6:L2445,L2445,P$6:P2445,"?*")=1,MAX(AI$5:AI2444)+1,""))</f>
        <v/>
      </c>
    </row>
    <row r="2446">
      <c r="B2446" s="47" t="n"/>
      <c r="C2446" s="48" t="n"/>
      <c r="D2446" s="48" t="n"/>
      <c r="E2446" s="48" t="n"/>
      <c r="F2446" s="48" t="n"/>
      <c r="G2446" s="49" t="n"/>
      <c r="H2446" s="48" t="n"/>
      <c r="I2446" s="50" t="n"/>
      <c r="J2446" s="48" t="n"/>
      <c r="K2446" s="48" t="n"/>
      <c r="L2446" s="48" t="n"/>
      <c r="M2446" s="48" t="n"/>
      <c r="N2446" s="48" t="n"/>
      <c r="O2446" s="51">
        <f>IF(AND(B2446="",G2446="",C2446="",D2446="",J2446=""),"",IF(B2446="","⚠ Falta fecha",IF(G2446="","⚠ Falta monto",IF(Q2446="","⚠ Falta cuenta",IF(ISNA(MATCH(Q2446,ctaNombre,0)),"⚠ Cuenta no registrada",IF(AND(OR(P2446="Gasto",P2446="Reembolso"),D2446=""),"⚠ Falta categoría",IF(AND(D2446&lt;&gt;"",E2446&lt;&gt;"",ISNA(MATCH(D2446&amp;"|"&amp;E2446,catClave,0))),"⚠ Subcategoría no corresponde",IF(AND(OR(P2446="Transferencia",P2446="Pago tarjeta"),K2446=""),"⚠ Falta cuenta destino",IF(AND(K2446&lt;&gt;"",P2446&lt;&gt;"Transferencia",P2446&lt;&gt;"Pago tarjeta"),"⚠ Destino solo aplica a transferencias",IF(AND(K2446&lt;&gt;"",K2446=Q2446),"⚠ Origen igual a destino",IF(AND(K2446&lt;&gt;"",ISNA(MATCH(K2446,ctaNombre,0))),"⚠ Destino no registrado",IF(AND(P2446="Pago tarjeta",AE2446&lt;&gt;"Tarjeta de crédito"),"⚠ El destino debe ser tarjeta de crédito",IF(AND(P2446="Gasto",E2446="Depósitos y retiros"),"⚠ Usa tipo Transferencia",IF(AND(P2446="Resultado trading",AD2446&lt;&gt;"Cuenta de trading"),"⚠ Usa una cuenta de trading",IF(AND(G2446&lt;=0,P2446&lt;&gt;"Ajuste",P2446&lt;&gt;"Resultado trading"),"⚠ El monto debe ser positivo","✓")))))))))))))))</f>
        <v/>
      </c>
      <c r="P2446" s="52">
        <f>IF(OR(B2446="",G2446=""),"",IF(C2446="","Gasto",C2446))</f>
        <v/>
      </c>
      <c r="Q2446" s="52">
        <f>IF(P2446="","",IF(J2446&lt;&gt;"",J2446,CuentaPred&amp;""))</f>
        <v/>
      </c>
      <c r="R2446" s="52">
        <f>IF(P2446="","",IF(ISNUMBER(I2446),I2446,TasaUSD))</f>
        <v/>
      </c>
      <c r="S2446" s="53">
        <f>IF(P2446="","",IF(H2446="USD",G2446*R2446,G2446))</f>
        <v/>
      </c>
      <c r="T2446" s="53">
        <f>IF(P2446="","",IF(H2446="USD",G2446,IF(R2446&gt;0,G2446/R2446,0)))</f>
        <v/>
      </c>
      <c r="U2446" s="53">
        <f>IF(P2446="","",IF(P2446="Gasto",S2446,IF(P2446="Reembolso",-S2446,0)))</f>
        <v/>
      </c>
      <c r="V2446" s="53">
        <f>IF(P2446="","",IF(P2446="Ingreso",S2446,0))</f>
        <v/>
      </c>
      <c r="W2446" s="53">
        <f>IF(P2446="","",IF(P2446="Resultado trading",S2446,0))</f>
        <v/>
      </c>
      <c r="X2446" s="52">
        <f>IF(OR(P2446="Gasto",P2446="Reembolso"),IF(M2446&lt;&gt;"",M2446,IFERROR(INDEX(catClasif,MATCH(D2446&amp;"|"&amp;E2446,catClave,0))&amp;"","Variable")),"")</f>
        <v/>
      </c>
      <c r="Y2446" s="52">
        <f>IF(P2446="","",IFERROR(INDEX(catGrupo,MATCH(D2446&amp;"|"&amp;E2446,catClave,0))&amp;"",""))</f>
        <v/>
      </c>
      <c r="Z2446" s="52">
        <f>IF(P2446="","",WEEKDAY(B2446,2))</f>
        <v/>
      </c>
      <c r="AA2446" s="52">
        <f>IF(P2446="","",IF(AND(P2446="Gasto",X2446="Variable",D2446&lt;&gt;catTrading,S2446&gt;0,S2446&lt;=Umbral),1,0))</f>
        <v/>
      </c>
      <c r="AB2446" s="52">
        <f>IF(OR(P2446="",Q2446=""),"",IFERROR(IF(INDEX(ctaVinc,MATCH(Q2446,ctaNombre,0))&amp;""&lt;&gt;"",INDEX(ctaVinc,MATCH(Q2446,ctaNombre,0))&amp;"",Q2446),Q2446))</f>
        <v/>
      </c>
      <c r="AC2446" s="52">
        <f>IF(OR(K2446="",AND(P2446&lt;&gt;"Transferencia",P2446&lt;&gt;"Pago tarjeta")),"",IFERROR(IF(INDEX(ctaVinc,MATCH(K2446,ctaNombre,0))&amp;""&lt;&gt;"",INDEX(ctaVinc,MATCH(K2446,ctaNombre,0))&amp;"",K2446),K2446))</f>
        <v/>
      </c>
      <c r="AD2446" s="52">
        <f>IF(AB2446="","",IFERROR(INDEX(ctaTipo,MATCH(AB2446,ctaNombre,0))&amp;"",""))</f>
        <v/>
      </c>
      <c r="AE2446" s="52">
        <f>IF(AC2446="","",IFERROR(INDEX(ctaTipo,MATCH(AC2446,ctaNombre,0))&amp;"",""))</f>
        <v/>
      </c>
      <c r="AF2446" s="53">
        <f>IF(OR(P2446="",AB2446=""),"",IF(OR(P2446="Gasto",P2446="Transferencia",P2446="Pago tarjeta"),-1,1)*IF(IFERROR(INDEX(ctaMoneda,MATCH(AB2446,ctaNombre,0))&amp;"","DOP")="USD",T2446,S2446))</f>
        <v/>
      </c>
      <c r="AG2446" s="53">
        <f>IF(AC2446="","",IF(IFERROR(INDEX(ctaMoneda,MATCH(AC2446,ctaNombre,0))&amp;"","DOP")="USD",T2446,S2446))</f>
        <v/>
      </c>
      <c r="AH2446" s="53">
        <f>IF(P2446="","",IF(AND(AD2446&lt;&gt;"",COUNTIFS(tcTipo,AD2446,tcLiq,"Sí")&gt;0),IF(OR(P2446="Gasto",P2446="Transferencia",P2446="Pago tarjeta"),-1,1)*S2446,0)+IF(AND(AE2446&lt;&gt;"",COUNTIFS(tcTipo,AE2446,tcLiq,"Sí")&gt;0),S2446,0))</f>
        <v/>
      </c>
      <c r="AI2446" s="52">
        <f>IF(OR(L2446="",P2446=""),"",IF(COUNTIFS(L$6:L2446,L2446,P$6:P2446,"?*")=1,MAX(AI$5:AI2445)+1,""))</f>
        <v/>
      </c>
    </row>
    <row r="2447">
      <c r="B2447" s="47" t="n"/>
      <c r="C2447" s="48" t="n"/>
      <c r="D2447" s="48" t="n"/>
      <c r="E2447" s="48" t="n"/>
      <c r="F2447" s="48" t="n"/>
      <c r="G2447" s="49" t="n"/>
      <c r="H2447" s="48" t="n"/>
      <c r="I2447" s="50" t="n"/>
      <c r="J2447" s="48" t="n"/>
      <c r="K2447" s="48" t="n"/>
      <c r="L2447" s="48" t="n"/>
      <c r="M2447" s="48" t="n"/>
      <c r="N2447" s="48" t="n"/>
      <c r="O2447" s="51">
        <f>IF(AND(B2447="",G2447="",C2447="",D2447="",J2447=""),"",IF(B2447="","⚠ Falta fecha",IF(G2447="","⚠ Falta monto",IF(Q2447="","⚠ Falta cuenta",IF(ISNA(MATCH(Q2447,ctaNombre,0)),"⚠ Cuenta no registrada",IF(AND(OR(P2447="Gasto",P2447="Reembolso"),D2447=""),"⚠ Falta categoría",IF(AND(D2447&lt;&gt;"",E2447&lt;&gt;"",ISNA(MATCH(D2447&amp;"|"&amp;E2447,catClave,0))),"⚠ Subcategoría no corresponde",IF(AND(OR(P2447="Transferencia",P2447="Pago tarjeta"),K2447=""),"⚠ Falta cuenta destino",IF(AND(K2447&lt;&gt;"",P2447&lt;&gt;"Transferencia",P2447&lt;&gt;"Pago tarjeta"),"⚠ Destino solo aplica a transferencias",IF(AND(K2447&lt;&gt;"",K2447=Q2447),"⚠ Origen igual a destino",IF(AND(K2447&lt;&gt;"",ISNA(MATCH(K2447,ctaNombre,0))),"⚠ Destino no registrado",IF(AND(P2447="Pago tarjeta",AE2447&lt;&gt;"Tarjeta de crédito"),"⚠ El destino debe ser tarjeta de crédito",IF(AND(P2447="Gasto",E2447="Depósitos y retiros"),"⚠ Usa tipo Transferencia",IF(AND(P2447="Resultado trading",AD2447&lt;&gt;"Cuenta de trading"),"⚠ Usa una cuenta de trading",IF(AND(G2447&lt;=0,P2447&lt;&gt;"Ajuste",P2447&lt;&gt;"Resultado trading"),"⚠ El monto debe ser positivo","✓")))))))))))))))</f>
        <v/>
      </c>
      <c r="P2447" s="52">
        <f>IF(OR(B2447="",G2447=""),"",IF(C2447="","Gasto",C2447))</f>
        <v/>
      </c>
      <c r="Q2447" s="52">
        <f>IF(P2447="","",IF(J2447&lt;&gt;"",J2447,CuentaPred&amp;""))</f>
        <v/>
      </c>
      <c r="R2447" s="52">
        <f>IF(P2447="","",IF(ISNUMBER(I2447),I2447,TasaUSD))</f>
        <v/>
      </c>
      <c r="S2447" s="53">
        <f>IF(P2447="","",IF(H2447="USD",G2447*R2447,G2447))</f>
        <v/>
      </c>
      <c r="T2447" s="53">
        <f>IF(P2447="","",IF(H2447="USD",G2447,IF(R2447&gt;0,G2447/R2447,0)))</f>
        <v/>
      </c>
      <c r="U2447" s="53">
        <f>IF(P2447="","",IF(P2447="Gasto",S2447,IF(P2447="Reembolso",-S2447,0)))</f>
        <v/>
      </c>
      <c r="V2447" s="53">
        <f>IF(P2447="","",IF(P2447="Ingreso",S2447,0))</f>
        <v/>
      </c>
      <c r="W2447" s="53">
        <f>IF(P2447="","",IF(P2447="Resultado trading",S2447,0))</f>
        <v/>
      </c>
      <c r="X2447" s="52">
        <f>IF(OR(P2447="Gasto",P2447="Reembolso"),IF(M2447&lt;&gt;"",M2447,IFERROR(INDEX(catClasif,MATCH(D2447&amp;"|"&amp;E2447,catClave,0))&amp;"","Variable")),"")</f>
        <v/>
      </c>
      <c r="Y2447" s="52">
        <f>IF(P2447="","",IFERROR(INDEX(catGrupo,MATCH(D2447&amp;"|"&amp;E2447,catClave,0))&amp;"",""))</f>
        <v/>
      </c>
      <c r="Z2447" s="52">
        <f>IF(P2447="","",WEEKDAY(B2447,2))</f>
        <v/>
      </c>
      <c r="AA2447" s="52">
        <f>IF(P2447="","",IF(AND(P2447="Gasto",X2447="Variable",D2447&lt;&gt;catTrading,S2447&gt;0,S2447&lt;=Umbral),1,0))</f>
        <v/>
      </c>
      <c r="AB2447" s="52">
        <f>IF(OR(P2447="",Q2447=""),"",IFERROR(IF(INDEX(ctaVinc,MATCH(Q2447,ctaNombre,0))&amp;""&lt;&gt;"",INDEX(ctaVinc,MATCH(Q2447,ctaNombre,0))&amp;"",Q2447),Q2447))</f>
        <v/>
      </c>
      <c r="AC2447" s="52">
        <f>IF(OR(K2447="",AND(P2447&lt;&gt;"Transferencia",P2447&lt;&gt;"Pago tarjeta")),"",IFERROR(IF(INDEX(ctaVinc,MATCH(K2447,ctaNombre,0))&amp;""&lt;&gt;"",INDEX(ctaVinc,MATCH(K2447,ctaNombre,0))&amp;"",K2447),K2447))</f>
        <v/>
      </c>
      <c r="AD2447" s="52">
        <f>IF(AB2447="","",IFERROR(INDEX(ctaTipo,MATCH(AB2447,ctaNombre,0))&amp;"",""))</f>
        <v/>
      </c>
      <c r="AE2447" s="52">
        <f>IF(AC2447="","",IFERROR(INDEX(ctaTipo,MATCH(AC2447,ctaNombre,0))&amp;"",""))</f>
        <v/>
      </c>
      <c r="AF2447" s="53">
        <f>IF(OR(P2447="",AB2447=""),"",IF(OR(P2447="Gasto",P2447="Transferencia",P2447="Pago tarjeta"),-1,1)*IF(IFERROR(INDEX(ctaMoneda,MATCH(AB2447,ctaNombre,0))&amp;"","DOP")="USD",T2447,S2447))</f>
        <v/>
      </c>
      <c r="AG2447" s="53">
        <f>IF(AC2447="","",IF(IFERROR(INDEX(ctaMoneda,MATCH(AC2447,ctaNombre,0))&amp;"","DOP")="USD",T2447,S2447))</f>
        <v/>
      </c>
      <c r="AH2447" s="53">
        <f>IF(P2447="","",IF(AND(AD2447&lt;&gt;"",COUNTIFS(tcTipo,AD2447,tcLiq,"Sí")&gt;0),IF(OR(P2447="Gasto",P2447="Transferencia",P2447="Pago tarjeta"),-1,1)*S2447,0)+IF(AND(AE2447&lt;&gt;"",COUNTIFS(tcTipo,AE2447,tcLiq,"Sí")&gt;0),S2447,0))</f>
        <v/>
      </c>
      <c r="AI2447" s="52">
        <f>IF(OR(L2447="",P2447=""),"",IF(COUNTIFS(L$6:L2447,L2447,P$6:P2447,"?*")=1,MAX(AI$5:AI2446)+1,""))</f>
        <v/>
      </c>
    </row>
    <row r="2448">
      <c r="B2448" s="47" t="n"/>
      <c r="C2448" s="48" t="n"/>
      <c r="D2448" s="48" t="n"/>
      <c r="E2448" s="48" t="n"/>
      <c r="F2448" s="48" t="n"/>
      <c r="G2448" s="49" t="n"/>
      <c r="H2448" s="48" t="n"/>
      <c r="I2448" s="50" t="n"/>
      <c r="J2448" s="48" t="n"/>
      <c r="K2448" s="48" t="n"/>
      <c r="L2448" s="48" t="n"/>
      <c r="M2448" s="48" t="n"/>
      <c r="N2448" s="48" t="n"/>
      <c r="O2448" s="51">
        <f>IF(AND(B2448="",G2448="",C2448="",D2448="",J2448=""),"",IF(B2448="","⚠ Falta fecha",IF(G2448="","⚠ Falta monto",IF(Q2448="","⚠ Falta cuenta",IF(ISNA(MATCH(Q2448,ctaNombre,0)),"⚠ Cuenta no registrada",IF(AND(OR(P2448="Gasto",P2448="Reembolso"),D2448=""),"⚠ Falta categoría",IF(AND(D2448&lt;&gt;"",E2448&lt;&gt;"",ISNA(MATCH(D2448&amp;"|"&amp;E2448,catClave,0))),"⚠ Subcategoría no corresponde",IF(AND(OR(P2448="Transferencia",P2448="Pago tarjeta"),K2448=""),"⚠ Falta cuenta destino",IF(AND(K2448&lt;&gt;"",P2448&lt;&gt;"Transferencia",P2448&lt;&gt;"Pago tarjeta"),"⚠ Destino solo aplica a transferencias",IF(AND(K2448&lt;&gt;"",K2448=Q2448),"⚠ Origen igual a destino",IF(AND(K2448&lt;&gt;"",ISNA(MATCH(K2448,ctaNombre,0))),"⚠ Destino no registrado",IF(AND(P2448="Pago tarjeta",AE2448&lt;&gt;"Tarjeta de crédito"),"⚠ El destino debe ser tarjeta de crédito",IF(AND(P2448="Gasto",E2448="Depósitos y retiros"),"⚠ Usa tipo Transferencia",IF(AND(P2448="Resultado trading",AD2448&lt;&gt;"Cuenta de trading"),"⚠ Usa una cuenta de trading",IF(AND(G2448&lt;=0,P2448&lt;&gt;"Ajuste",P2448&lt;&gt;"Resultado trading"),"⚠ El monto debe ser positivo","✓")))))))))))))))</f>
        <v/>
      </c>
      <c r="P2448" s="52">
        <f>IF(OR(B2448="",G2448=""),"",IF(C2448="","Gasto",C2448))</f>
        <v/>
      </c>
      <c r="Q2448" s="52">
        <f>IF(P2448="","",IF(J2448&lt;&gt;"",J2448,CuentaPred&amp;""))</f>
        <v/>
      </c>
      <c r="R2448" s="52">
        <f>IF(P2448="","",IF(ISNUMBER(I2448),I2448,TasaUSD))</f>
        <v/>
      </c>
      <c r="S2448" s="53">
        <f>IF(P2448="","",IF(H2448="USD",G2448*R2448,G2448))</f>
        <v/>
      </c>
      <c r="T2448" s="53">
        <f>IF(P2448="","",IF(H2448="USD",G2448,IF(R2448&gt;0,G2448/R2448,0)))</f>
        <v/>
      </c>
      <c r="U2448" s="53">
        <f>IF(P2448="","",IF(P2448="Gasto",S2448,IF(P2448="Reembolso",-S2448,0)))</f>
        <v/>
      </c>
      <c r="V2448" s="53">
        <f>IF(P2448="","",IF(P2448="Ingreso",S2448,0))</f>
        <v/>
      </c>
      <c r="W2448" s="53">
        <f>IF(P2448="","",IF(P2448="Resultado trading",S2448,0))</f>
        <v/>
      </c>
      <c r="X2448" s="52">
        <f>IF(OR(P2448="Gasto",P2448="Reembolso"),IF(M2448&lt;&gt;"",M2448,IFERROR(INDEX(catClasif,MATCH(D2448&amp;"|"&amp;E2448,catClave,0))&amp;"","Variable")),"")</f>
        <v/>
      </c>
      <c r="Y2448" s="52">
        <f>IF(P2448="","",IFERROR(INDEX(catGrupo,MATCH(D2448&amp;"|"&amp;E2448,catClave,0))&amp;"",""))</f>
        <v/>
      </c>
      <c r="Z2448" s="52">
        <f>IF(P2448="","",WEEKDAY(B2448,2))</f>
        <v/>
      </c>
      <c r="AA2448" s="52">
        <f>IF(P2448="","",IF(AND(P2448="Gasto",X2448="Variable",D2448&lt;&gt;catTrading,S2448&gt;0,S2448&lt;=Umbral),1,0))</f>
        <v/>
      </c>
      <c r="AB2448" s="52">
        <f>IF(OR(P2448="",Q2448=""),"",IFERROR(IF(INDEX(ctaVinc,MATCH(Q2448,ctaNombre,0))&amp;""&lt;&gt;"",INDEX(ctaVinc,MATCH(Q2448,ctaNombre,0))&amp;"",Q2448),Q2448))</f>
        <v/>
      </c>
      <c r="AC2448" s="52">
        <f>IF(OR(K2448="",AND(P2448&lt;&gt;"Transferencia",P2448&lt;&gt;"Pago tarjeta")),"",IFERROR(IF(INDEX(ctaVinc,MATCH(K2448,ctaNombre,0))&amp;""&lt;&gt;"",INDEX(ctaVinc,MATCH(K2448,ctaNombre,0))&amp;"",K2448),K2448))</f>
        <v/>
      </c>
      <c r="AD2448" s="52">
        <f>IF(AB2448="","",IFERROR(INDEX(ctaTipo,MATCH(AB2448,ctaNombre,0))&amp;"",""))</f>
        <v/>
      </c>
      <c r="AE2448" s="52">
        <f>IF(AC2448="","",IFERROR(INDEX(ctaTipo,MATCH(AC2448,ctaNombre,0))&amp;"",""))</f>
        <v/>
      </c>
      <c r="AF2448" s="53">
        <f>IF(OR(P2448="",AB2448=""),"",IF(OR(P2448="Gasto",P2448="Transferencia",P2448="Pago tarjeta"),-1,1)*IF(IFERROR(INDEX(ctaMoneda,MATCH(AB2448,ctaNombre,0))&amp;"","DOP")="USD",T2448,S2448))</f>
        <v/>
      </c>
      <c r="AG2448" s="53">
        <f>IF(AC2448="","",IF(IFERROR(INDEX(ctaMoneda,MATCH(AC2448,ctaNombre,0))&amp;"","DOP")="USD",T2448,S2448))</f>
        <v/>
      </c>
      <c r="AH2448" s="53">
        <f>IF(P2448="","",IF(AND(AD2448&lt;&gt;"",COUNTIFS(tcTipo,AD2448,tcLiq,"Sí")&gt;0),IF(OR(P2448="Gasto",P2448="Transferencia",P2448="Pago tarjeta"),-1,1)*S2448,0)+IF(AND(AE2448&lt;&gt;"",COUNTIFS(tcTipo,AE2448,tcLiq,"Sí")&gt;0),S2448,0))</f>
        <v/>
      </c>
      <c r="AI2448" s="52">
        <f>IF(OR(L2448="",P2448=""),"",IF(COUNTIFS(L$6:L2448,L2448,P$6:P2448,"?*")=1,MAX(AI$5:AI2447)+1,""))</f>
        <v/>
      </c>
    </row>
    <row r="2449">
      <c r="B2449" s="47" t="n"/>
      <c r="C2449" s="48" t="n"/>
      <c r="D2449" s="48" t="n"/>
      <c r="E2449" s="48" t="n"/>
      <c r="F2449" s="48" t="n"/>
      <c r="G2449" s="49" t="n"/>
      <c r="H2449" s="48" t="n"/>
      <c r="I2449" s="50" t="n"/>
      <c r="J2449" s="48" t="n"/>
      <c r="K2449" s="48" t="n"/>
      <c r="L2449" s="48" t="n"/>
      <c r="M2449" s="48" t="n"/>
      <c r="N2449" s="48" t="n"/>
      <c r="O2449" s="51">
        <f>IF(AND(B2449="",G2449="",C2449="",D2449="",J2449=""),"",IF(B2449="","⚠ Falta fecha",IF(G2449="","⚠ Falta monto",IF(Q2449="","⚠ Falta cuenta",IF(ISNA(MATCH(Q2449,ctaNombre,0)),"⚠ Cuenta no registrada",IF(AND(OR(P2449="Gasto",P2449="Reembolso"),D2449=""),"⚠ Falta categoría",IF(AND(D2449&lt;&gt;"",E2449&lt;&gt;"",ISNA(MATCH(D2449&amp;"|"&amp;E2449,catClave,0))),"⚠ Subcategoría no corresponde",IF(AND(OR(P2449="Transferencia",P2449="Pago tarjeta"),K2449=""),"⚠ Falta cuenta destino",IF(AND(K2449&lt;&gt;"",P2449&lt;&gt;"Transferencia",P2449&lt;&gt;"Pago tarjeta"),"⚠ Destino solo aplica a transferencias",IF(AND(K2449&lt;&gt;"",K2449=Q2449),"⚠ Origen igual a destino",IF(AND(K2449&lt;&gt;"",ISNA(MATCH(K2449,ctaNombre,0))),"⚠ Destino no registrado",IF(AND(P2449="Pago tarjeta",AE2449&lt;&gt;"Tarjeta de crédito"),"⚠ El destino debe ser tarjeta de crédito",IF(AND(P2449="Gasto",E2449="Depósitos y retiros"),"⚠ Usa tipo Transferencia",IF(AND(P2449="Resultado trading",AD2449&lt;&gt;"Cuenta de trading"),"⚠ Usa una cuenta de trading",IF(AND(G2449&lt;=0,P2449&lt;&gt;"Ajuste",P2449&lt;&gt;"Resultado trading"),"⚠ El monto debe ser positivo","✓")))))))))))))))</f>
        <v/>
      </c>
      <c r="P2449" s="52">
        <f>IF(OR(B2449="",G2449=""),"",IF(C2449="","Gasto",C2449))</f>
        <v/>
      </c>
      <c r="Q2449" s="52">
        <f>IF(P2449="","",IF(J2449&lt;&gt;"",J2449,CuentaPred&amp;""))</f>
        <v/>
      </c>
      <c r="R2449" s="52">
        <f>IF(P2449="","",IF(ISNUMBER(I2449),I2449,TasaUSD))</f>
        <v/>
      </c>
      <c r="S2449" s="53">
        <f>IF(P2449="","",IF(H2449="USD",G2449*R2449,G2449))</f>
        <v/>
      </c>
      <c r="T2449" s="53">
        <f>IF(P2449="","",IF(H2449="USD",G2449,IF(R2449&gt;0,G2449/R2449,0)))</f>
        <v/>
      </c>
      <c r="U2449" s="53">
        <f>IF(P2449="","",IF(P2449="Gasto",S2449,IF(P2449="Reembolso",-S2449,0)))</f>
        <v/>
      </c>
      <c r="V2449" s="53">
        <f>IF(P2449="","",IF(P2449="Ingreso",S2449,0))</f>
        <v/>
      </c>
      <c r="W2449" s="53">
        <f>IF(P2449="","",IF(P2449="Resultado trading",S2449,0))</f>
        <v/>
      </c>
      <c r="X2449" s="52">
        <f>IF(OR(P2449="Gasto",P2449="Reembolso"),IF(M2449&lt;&gt;"",M2449,IFERROR(INDEX(catClasif,MATCH(D2449&amp;"|"&amp;E2449,catClave,0))&amp;"","Variable")),"")</f>
        <v/>
      </c>
      <c r="Y2449" s="52">
        <f>IF(P2449="","",IFERROR(INDEX(catGrupo,MATCH(D2449&amp;"|"&amp;E2449,catClave,0))&amp;"",""))</f>
        <v/>
      </c>
      <c r="Z2449" s="52">
        <f>IF(P2449="","",WEEKDAY(B2449,2))</f>
        <v/>
      </c>
      <c r="AA2449" s="52">
        <f>IF(P2449="","",IF(AND(P2449="Gasto",X2449="Variable",D2449&lt;&gt;catTrading,S2449&gt;0,S2449&lt;=Umbral),1,0))</f>
        <v/>
      </c>
      <c r="AB2449" s="52">
        <f>IF(OR(P2449="",Q2449=""),"",IFERROR(IF(INDEX(ctaVinc,MATCH(Q2449,ctaNombre,0))&amp;""&lt;&gt;"",INDEX(ctaVinc,MATCH(Q2449,ctaNombre,0))&amp;"",Q2449),Q2449))</f>
        <v/>
      </c>
      <c r="AC2449" s="52">
        <f>IF(OR(K2449="",AND(P2449&lt;&gt;"Transferencia",P2449&lt;&gt;"Pago tarjeta")),"",IFERROR(IF(INDEX(ctaVinc,MATCH(K2449,ctaNombre,0))&amp;""&lt;&gt;"",INDEX(ctaVinc,MATCH(K2449,ctaNombre,0))&amp;"",K2449),K2449))</f>
        <v/>
      </c>
      <c r="AD2449" s="52">
        <f>IF(AB2449="","",IFERROR(INDEX(ctaTipo,MATCH(AB2449,ctaNombre,0))&amp;"",""))</f>
        <v/>
      </c>
      <c r="AE2449" s="52">
        <f>IF(AC2449="","",IFERROR(INDEX(ctaTipo,MATCH(AC2449,ctaNombre,0))&amp;"",""))</f>
        <v/>
      </c>
      <c r="AF2449" s="53">
        <f>IF(OR(P2449="",AB2449=""),"",IF(OR(P2449="Gasto",P2449="Transferencia",P2449="Pago tarjeta"),-1,1)*IF(IFERROR(INDEX(ctaMoneda,MATCH(AB2449,ctaNombre,0))&amp;"","DOP")="USD",T2449,S2449))</f>
        <v/>
      </c>
      <c r="AG2449" s="53">
        <f>IF(AC2449="","",IF(IFERROR(INDEX(ctaMoneda,MATCH(AC2449,ctaNombre,0))&amp;"","DOP")="USD",T2449,S2449))</f>
        <v/>
      </c>
      <c r="AH2449" s="53">
        <f>IF(P2449="","",IF(AND(AD2449&lt;&gt;"",COUNTIFS(tcTipo,AD2449,tcLiq,"Sí")&gt;0),IF(OR(P2449="Gasto",P2449="Transferencia",P2449="Pago tarjeta"),-1,1)*S2449,0)+IF(AND(AE2449&lt;&gt;"",COUNTIFS(tcTipo,AE2449,tcLiq,"Sí")&gt;0),S2449,0))</f>
        <v/>
      </c>
      <c r="AI2449" s="52">
        <f>IF(OR(L2449="",P2449=""),"",IF(COUNTIFS(L$6:L2449,L2449,P$6:P2449,"?*")=1,MAX(AI$5:AI2448)+1,""))</f>
        <v/>
      </c>
    </row>
    <row r="2450">
      <c r="B2450" s="47" t="n"/>
      <c r="C2450" s="48" t="n"/>
      <c r="D2450" s="48" t="n"/>
      <c r="E2450" s="48" t="n"/>
      <c r="F2450" s="48" t="n"/>
      <c r="G2450" s="49" t="n"/>
      <c r="H2450" s="48" t="n"/>
      <c r="I2450" s="50" t="n"/>
      <c r="J2450" s="48" t="n"/>
      <c r="K2450" s="48" t="n"/>
      <c r="L2450" s="48" t="n"/>
      <c r="M2450" s="48" t="n"/>
      <c r="N2450" s="48" t="n"/>
      <c r="O2450" s="51">
        <f>IF(AND(B2450="",G2450="",C2450="",D2450="",J2450=""),"",IF(B2450="","⚠ Falta fecha",IF(G2450="","⚠ Falta monto",IF(Q2450="","⚠ Falta cuenta",IF(ISNA(MATCH(Q2450,ctaNombre,0)),"⚠ Cuenta no registrada",IF(AND(OR(P2450="Gasto",P2450="Reembolso"),D2450=""),"⚠ Falta categoría",IF(AND(D2450&lt;&gt;"",E2450&lt;&gt;"",ISNA(MATCH(D2450&amp;"|"&amp;E2450,catClave,0))),"⚠ Subcategoría no corresponde",IF(AND(OR(P2450="Transferencia",P2450="Pago tarjeta"),K2450=""),"⚠ Falta cuenta destino",IF(AND(K2450&lt;&gt;"",P2450&lt;&gt;"Transferencia",P2450&lt;&gt;"Pago tarjeta"),"⚠ Destino solo aplica a transferencias",IF(AND(K2450&lt;&gt;"",K2450=Q2450),"⚠ Origen igual a destino",IF(AND(K2450&lt;&gt;"",ISNA(MATCH(K2450,ctaNombre,0))),"⚠ Destino no registrado",IF(AND(P2450="Pago tarjeta",AE2450&lt;&gt;"Tarjeta de crédito"),"⚠ El destino debe ser tarjeta de crédito",IF(AND(P2450="Gasto",E2450="Depósitos y retiros"),"⚠ Usa tipo Transferencia",IF(AND(P2450="Resultado trading",AD2450&lt;&gt;"Cuenta de trading"),"⚠ Usa una cuenta de trading",IF(AND(G2450&lt;=0,P2450&lt;&gt;"Ajuste",P2450&lt;&gt;"Resultado trading"),"⚠ El monto debe ser positivo","✓")))))))))))))))</f>
        <v/>
      </c>
      <c r="P2450" s="52">
        <f>IF(OR(B2450="",G2450=""),"",IF(C2450="","Gasto",C2450))</f>
        <v/>
      </c>
      <c r="Q2450" s="52">
        <f>IF(P2450="","",IF(J2450&lt;&gt;"",J2450,CuentaPred&amp;""))</f>
        <v/>
      </c>
      <c r="R2450" s="52">
        <f>IF(P2450="","",IF(ISNUMBER(I2450),I2450,TasaUSD))</f>
        <v/>
      </c>
      <c r="S2450" s="53">
        <f>IF(P2450="","",IF(H2450="USD",G2450*R2450,G2450))</f>
        <v/>
      </c>
      <c r="T2450" s="53">
        <f>IF(P2450="","",IF(H2450="USD",G2450,IF(R2450&gt;0,G2450/R2450,0)))</f>
        <v/>
      </c>
      <c r="U2450" s="53">
        <f>IF(P2450="","",IF(P2450="Gasto",S2450,IF(P2450="Reembolso",-S2450,0)))</f>
        <v/>
      </c>
      <c r="V2450" s="53">
        <f>IF(P2450="","",IF(P2450="Ingreso",S2450,0))</f>
        <v/>
      </c>
      <c r="W2450" s="53">
        <f>IF(P2450="","",IF(P2450="Resultado trading",S2450,0))</f>
        <v/>
      </c>
      <c r="X2450" s="52">
        <f>IF(OR(P2450="Gasto",P2450="Reembolso"),IF(M2450&lt;&gt;"",M2450,IFERROR(INDEX(catClasif,MATCH(D2450&amp;"|"&amp;E2450,catClave,0))&amp;"","Variable")),"")</f>
        <v/>
      </c>
      <c r="Y2450" s="52">
        <f>IF(P2450="","",IFERROR(INDEX(catGrupo,MATCH(D2450&amp;"|"&amp;E2450,catClave,0))&amp;"",""))</f>
        <v/>
      </c>
      <c r="Z2450" s="52">
        <f>IF(P2450="","",WEEKDAY(B2450,2))</f>
        <v/>
      </c>
      <c r="AA2450" s="52">
        <f>IF(P2450="","",IF(AND(P2450="Gasto",X2450="Variable",D2450&lt;&gt;catTrading,S2450&gt;0,S2450&lt;=Umbral),1,0))</f>
        <v/>
      </c>
      <c r="AB2450" s="52">
        <f>IF(OR(P2450="",Q2450=""),"",IFERROR(IF(INDEX(ctaVinc,MATCH(Q2450,ctaNombre,0))&amp;""&lt;&gt;"",INDEX(ctaVinc,MATCH(Q2450,ctaNombre,0))&amp;"",Q2450),Q2450))</f>
        <v/>
      </c>
      <c r="AC2450" s="52">
        <f>IF(OR(K2450="",AND(P2450&lt;&gt;"Transferencia",P2450&lt;&gt;"Pago tarjeta")),"",IFERROR(IF(INDEX(ctaVinc,MATCH(K2450,ctaNombre,0))&amp;""&lt;&gt;"",INDEX(ctaVinc,MATCH(K2450,ctaNombre,0))&amp;"",K2450),K2450))</f>
        <v/>
      </c>
      <c r="AD2450" s="52">
        <f>IF(AB2450="","",IFERROR(INDEX(ctaTipo,MATCH(AB2450,ctaNombre,0))&amp;"",""))</f>
        <v/>
      </c>
      <c r="AE2450" s="52">
        <f>IF(AC2450="","",IFERROR(INDEX(ctaTipo,MATCH(AC2450,ctaNombre,0))&amp;"",""))</f>
        <v/>
      </c>
      <c r="AF2450" s="53">
        <f>IF(OR(P2450="",AB2450=""),"",IF(OR(P2450="Gasto",P2450="Transferencia",P2450="Pago tarjeta"),-1,1)*IF(IFERROR(INDEX(ctaMoneda,MATCH(AB2450,ctaNombre,0))&amp;"","DOP")="USD",T2450,S2450))</f>
        <v/>
      </c>
      <c r="AG2450" s="53">
        <f>IF(AC2450="","",IF(IFERROR(INDEX(ctaMoneda,MATCH(AC2450,ctaNombre,0))&amp;"","DOP")="USD",T2450,S2450))</f>
        <v/>
      </c>
      <c r="AH2450" s="53">
        <f>IF(P2450="","",IF(AND(AD2450&lt;&gt;"",COUNTIFS(tcTipo,AD2450,tcLiq,"Sí")&gt;0),IF(OR(P2450="Gasto",P2450="Transferencia",P2450="Pago tarjeta"),-1,1)*S2450,0)+IF(AND(AE2450&lt;&gt;"",COUNTIFS(tcTipo,AE2450,tcLiq,"Sí")&gt;0),S2450,0))</f>
        <v/>
      </c>
      <c r="AI2450" s="52">
        <f>IF(OR(L2450="",P2450=""),"",IF(COUNTIFS(L$6:L2450,L2450,P$6:P2450,"?*")=1,MAX(AI$5:AI2449)+1,""))</f>
        <v/>
      </c>
    </row>
    <row r="2451">
      <c r="B2451" s="47" t="n"/>
      <c r="C2451" s="48" t="n"/>
      <c r="D2451" s="48" t="n"/>
      <c r="E2451" s="48" t="n"/>
      <c r="F2451" s="48" t="n"/>
      <c r="G2451" s="49" t="n"/>
      <c r="H2451" s="48" t="n"/>
      <c r="I2451" s="50" t="n"/>
      <c r="J2451" s="48" t="n"/>
      <c r="K2451" s="48" t="n"/>
      <c r="L2451" s="48" t="n"/>
      <c r="M2451" s="48" t="n"/>
      <c r="N2451" s="48" t="n"/>
      <c r="O2451" s="51">
        <f>IF(AND(B2451="",G2451="",C2451="",D2451="",J2451=""),"",IF(B2451="","⚠ Falta fecha",IF(G2451="","⚠ Falta monto",IF(Q2451="","⚠ Falta cuenta",IF(ISNA(MATCH(Q2451,ctaNombre,0)),"⚠ Cuenta no registrada",IF(AND(OR(P2451="Gasto",P2451="Reembolso"),D2451=""),"⚠ Falta categoría",IF(AND(D2451&lt;&gt;"",E2451&lt;&gt;"",ISNA(MATCH(D2451&amp;"|"&amp;E2451,catClave,0))),"⚠ Subcategoría no corresponde",IF(AND(OR(P2451="Transferencia",P2451="Pago tarjeta"),K2451=""),"⚠ Falta cuenta destino",IF(AND(K2451&lt;&gt;"",P2451&lt;&gt;"Transferencia",P2451&lt;&gt;"Pago tarjeta"),"⚠ Destino solo aplica a transferencias",IF(AND(K2451&lt;&gt;"",K2451=Q2451),"⚠ Origen igual a destino",IF(AND(K2451&lt;&gt;"",ISNA(MATCH(K2451,ctaNombre,0))),"⚠ Destino no registrado",IF(AND(P2451="Pago tarjeta",AE2451&lt;&gt;"Tarjeta de crédito"),"⚠ El destino debe ser tarjeta de crédito",IF(AND(P2451="Gasto",E2451="Depósitos y retiros"),"⚠ Usa tipo Transferencia",IF(AND(P2451="Resultado trading",AD2451&lt;&gt;"Cuenta de trading"),"⚠ Usa una cuenta de trading",IF(AND(G2451&lt;=0,P2451&lt;&gt;"Ajuste",P2451&lt;&gt;"Resultado trading"),"⚠ El monto debe ser positivo","✓")))))))))))))))</f>
        <v/>
      </c>
      <c r="P2451" s="52">
        <f>IF(OR(B2451="",G2451=""),"",IF(C2451="","Gasto",C2451))</f>
        <v/>
      </c>
      <c r="Q2451" s="52">
        <f>IF(P2451="","",IF(J2451&lt;&gt;"",J2451,CuentaPred&amp;""))</f>
        <v/>
      </c>
      <c r="R2451" s="52">
        <f>IF(P2451="","",IF(ISNUMBER(I2451),I2451,TasaUSD))</f>
        <v/>
      </c>
      <c r="S2451" s="53">
        <f>IF(P2451="","",IF(H2451="USD",G2451*R2451,G2451))</f>
        <v/>
      </c>
      <c r="T2451" s="53">
        <f>IF(P2451="","",IF(H2451="USD",G2451,IF(R2451&gt;0,G2451/R2451,0)))</f>
        <v/>
      </c>
      <c r="U2451" s="53">
        <f>IF(P2451="","",IF(P2451="Gasto",S2451,IF(P2451="Reembolso",-S2451,0)))</f>
        <v/>
      </c>
      <c r="V2451" s="53">
        <f>IF(P2451="","",IF(P2451="Ingreso",S2451,0))</f>
        <v/>
      </c>
      <c r="W2451" s="53">
        <f>IF(P2451="","",IF(P2451="Resultado trading",S2451,0))</f>
        <v/>
      </c>
      <c r="X2451" s="52">
        <f>IF(OR(P2451="Gasto",P2451="Reembolso"),IF(M2451&lt;&gt;"",M2451,IFERROR(INDEX(catClasif,MATCH(D2451&amp;"|"&amp;E2451,catClave,0))&amp;"","Variable")),"")</f>
        <v/>
      </c>
      <c r="Y2451" s="52">
        <f>IF(P2451="","",IFERROR(INDEX(catGrupo,MATCH(D2451&amp;"|"&amp;E2451,catClave,0))&amp;"",""))</f>
        <v/>
      </c>
      <c r="Z2451" s="52">
        <f>IF(P2451="","",WEEKDAY(B2451,2))</f>
        <v/>
      </c>
      <c r="AA2451" s="52">
        <f>IF(P2451="","",IF(AND(P2451="Gasto",X2451="Variable",D2451&lt;&gt;catTrading,S2451&gt;0,S2451&lt;=Umbral),1,0))</f>
        <v/>
      </c>
      <c r="AB2451" s="52">
        <f>IF(OR(P2451="",Q2451=""),"",IFERROR(IF(INDEX(ctaVinc,MATCH(Q2451,ctaNombre,0))&amp;""&lt;&gt;"",INDEX(ctaVinc,MATCH(Q2451,ctaNombre,0))&amp;"",Q2451),Q2451))</f>
        <v/>
      </c>
      <c r="AC2451" s="52">
        <f>IF(OR(K2451="",AND(P2451&lt;&gt;"Transferencia",P2451&lt;&gt;"Pago tarjeta")),"",IFERROR(IF(INDEX(ctaVinc,MATCH(K2451,ctaNombre,0))&amp;""&lt;&gt;"",INDEX(ctaVinc,MATCH(K2451,ctaNombre,0))&amp;"",K2451),K2451))</f>
        <v/>
      </c>
      <c r="AD2451" s="52">
        <f>IF(AB2451="","",IFERROR(INDEX(ctaTipo,MATCH(AB2451,ctaNombre,0))&amp;"",""))</f>
        <v/>
      </c>
      <c r="AE2451" s="52">
        <f>IF(AC2451="","",IFERROR(INDEX(ctaTipo,MATCH(AC2451,ctaNombre,0))&amp;"",""))</f>
        <v/>
      </c>
      <c r="AF2451" s="53">
        <f>IF(OR(P2451="",AB2451=""),"",IF(OR(P2451="Gasto",P2451="Transferencia",P2451="Pago tarjeta"),-1,1)*IF(IFERROR(INDEX(ctaMoneda,MATCH(AB2451,ctaNombre,0))&amp;"","DOP")="USD",T2451,S2451))</f>
        <v/>
      </c>
      <c r="AG2451" s="53">
        <f>IF(AC2451="","",IF(IFERROR(INDEX(ctaMoneda,MATCH(AC2451,ctaNombre,0))&amp;"","DOP")="USD",T2451,S2451))</f>
        <v/>
      </c>
      <c r="AH2451" s="53">
        <f>IF(P2451="","",IF(AND(AD2451&lt;&gt;"",COUNTIFS(tcTipo,AD2451,tcLiq,"Sí")&gt;0),IF(OR(P2451="Gasto",P2451="Transferencia",P2451="Pago tarjeta"),-1,1)*S2451,0)+IF(AND(AE2451&lt;&gt;"",COUNTIFS(tcTipo,AE2451,tcLiq,"Sí")&gt;0),S2451,0))</f>
        <v/>
      </c>
      <c r="AI2451" s="52">
        <f>IF(OR(L2451="",P2451=""),"",IF(COUNTIFS(L$6:L2451,L2451,P$6:P2451,"?*")=1,MAX(AI$5:AI2450)+1,""))</f>
        <v/>
      </c>
    </row>
    <row r="2452">
      <c r="B2452" s="47" t="n"/>
      <c r="C2452" s="48" t="n"/>
      <c r="D2452" s="48" t="n"/>
      <c r="E2452" s="48" t="n"/>
      <c r="F2452" s="48" t="n"/>
      <c r="G2452" s="49" t="n"/>
      <c r="H2452" s="48" t="n"/>
      <c r="I2452" s="50" t="n"/>
      <c r="J2452" s="48" t="n"/>
      <c r="K2452" s="48" t="n"/>
      <c r="L2452" s="48" t="n"/>
      <c r="M2452" s="48" t="n"/>
      <c r="N2452" s="48" t="n"/>
      <c r="O2452" s="51">
        <f>IF(AND(B2452="",G2452="",C2452="",D2452="",J2452=""),"",IF(B2452="","⚠ Falta fecha",IF(G2452="","⚠ Falta monto",IF(Q2452="","⚠ Falta cuenta",IF(ISNA(MATCH(Q2452,ctaNombre,0)),"⚠ Cuenta no registrada",IF(AND(OR(P2452="Gasto",P2452="Reembolso"),D2452=""),"⚠ Falta categoría",IF(AND(D2452&lt;&gt;"",E2452&lt;&gt;"",ISNA(MATCH(D2452&amp;"|"&amp;E2452,catClave,0))),"⚠ Subcategoría no corresponde",IF(AND(OR(P2452="Transferencia",P2452="Pago tarjeta"),K2452=""),"⚠ Falta cuenta destino",IF(AND(K2452&lt;&gt;"",P2452&lt;&gt;"Transferencia",P2452&lt;&gt;"Pago tarjeta"),"⚠ Destino solo aplica a transferencias",IF(AND(K2452&lt;&gt;"",K2452=Q2452),"⚠ Origen igual a destino",IF(AND(K2452&lt;&gt;"",ISNA(MATCH(K2452,ctaNombre,0))),"⚠ Destino no registrado",IF(AND(P2452="Pago tarjeta",AE2452&lt;&gt;"Tarjeta de crédito"),"⚠ El destino debe ser tarjeta de crédito",IF(AND(P2452="Gasto",E2452="Depósitos y retiros"),"⚠ Usa tipo Transferencia",IF(AND(P2452="Resultado trading",AD2452&lt;&gt;"Cuenta de trading"),"⚠ Usa una cuenta de trading",IF(AND(G2452&lt;=0,P2452&lt;&gt;"Ajuste",P2452&lt;&gt;"Resultado trading"),"⚠ El monto debe ser positivo","✓")))))))))))))))</f>
        <v/>
      </c>
      <c r="P2452" s="52">
        <f>IF(OR(B2452="",G2452=""),"",IF(C2452="","Gasto",C2452))</f>
        <v/>
      </c>
      <c r="Q2452" s="52">
        <f>IF(P2452="","",IF(J2452&lt;&gt;"",J2452,CuentaPred&amp;""))</f>
        <v/>
      </c>
      <c r="R2452" s="52">
        <f>IF(P2452="","",IF(ISNUMBER(I2452),I2452,TasaUSD))</f>
        <v/>
      </c>
      <c r="S2452" s="53">
        <f>IF(P2452="","",IF(H2452="USD",G2452*R2452,G2452))</f>
        <v/>
      </c>
      <c r="T2452" s="53">
        <f>IF(P2452="","",IF(H2452="USD",G2452,IF(R2452&gt;0,G2452/R2452,0)))</f>
        <v/>
      </c>
      <c r="U2452" s="53">
        <f>IF(P2452="","",IF(P2452="Gasto",S2452,IF(P2452="Reembolso",-S2452,0)))</f>
        <v/>
      </c>
      <c r="V2452" s="53">
        <f>IF(P2452="","",IF(P2452="Ingreso",S2452,0))</f>
        <v/>
      </c>
      <c r="W2452" s="53">
        <f>IF(P2452="","",IF(P2452="Resultado trading",S2452,0))</f>
        <v/>
      </c>
      <c r="X2452" s="52">
        <f>IF(OR(P2452="Gasto",P2452="Reembolso"),IF(M2452&lt;&gt;"",M2452,IFERROR(INDEX(catClasif,MATCH(D2452&amp;"|"&amp;E2452,catClave,0))&amp;"","Variable")),"")</f>
        <v/>
      </c>
      <c r="Y2452" s="52">
        <f>IF(P2452="","",IFERROR(INDEX(catGrupo,MATCH(D2452&amp;"|"&amp;E2452,catClave,0))&amp;"",""))</f>
        <v/>
      </c>
      <c r="Z2452" s="52">
        <f>IF(P2452="","",WEEKDAY(B2452,2))</f>
        <v/>
      </c>
      <c r="AA2452" s="52">
        <f>IF(P2452="","",IF(AND(P2452="Gasto",X2452="Variable",D2452&lt;&gt;catTrading,S2452&gt;0,S2452&lt;=Umbral),1,0))</f>
        <v/>
      </c>
      <c r="AB2452" s="52">
        <f>IF(OR(P2452="",Q2452=""),"",IFERROR(IF(INDEX(ctaVinc,MATCH(Q2452,ctaNombre,0))&amp;""&lt;&gt;"",INDEX(ctaVinc,MATCH(Q2452,ctaNombre,0))&amp;"",Q2452),Q2452))</f>
        <v/>
      </c>
      <c r="AC2452" s="52">
        <f>IF(OR(K2452="",AND(P2452&lt;&gt;"Transferencia",P2452&lt;&gt;"Pago tarjeta")),"",IFERROR(IF(INDEX(ctaVinc,MATCH(K2452,ctaNombre,0))&amp;""&lt;&gt;"",INDEX(ctaVinc,MATCH(K2452,ctaNombre,0))&amp;"",K2452),K2452))</f>
        <v/>
      </c>
      <c r="AD2452" s="52">
        <f>IF(AB2452="","",IFERROR(INDEX(ctaTipo,MATCH(AB2452,ctaNombre,0))&amp;"",""))</f>
        <v/>
      </c>
      <c r="AE2452" s="52">
        <f>IF(AC2452="","",IFERROR(INDEX(ctaTipo,MATCH(AC2452,ctaNombre,0))&amp;"",""))</f>
        <v/>
      </c>
      <c r="AF2452" s="53">
        <f>IF(OR(P2452="",AB2452=""),"",IF(OR(P2452="Gasto",P2452="Transferencia",P2452="Pago tarjeta"),-1,1)*IF(IFERROR(INDEX(ctaMoneda,MATCH(AB2452,ctaNombre,0))&amp;"","DOP")="USD",T2452,S2452))</f>
        <v/>
      </c>
      <c r="AG2452" s="53">
        <f>IF(AC2452="","",IF(IFERROR(INDEX(ctaMoneda,MATCH(AC2452,ctaNombre,0))&amp;"","DOP")="USD",T2452,S2452))</f>
        <v/>
      </c>
      <c r="AH2452" s="53">
        <f>IF(P2452="","",IF(AND(AD2452&lt;&gt;"",COUNTIFS(tcTipo,AD2452,tcLiq,"Sí")&gt;0),IF(OR(P2452="Gasto",P2452="Transferencia",P2452="Pago tarjeta"),-1,1)*S2452,0)+IF(AND(AE2452&lt;&gt;"",COUNTIFS(tcTipo,AE2452,tcLiq,"Sí")&gt;0),S2452,0))</f>
        <v/>
      </c>
      <c r="AI2452" s="52">
        <f>IF(OR(L2452="",P2452=""),"",IF(COUNTIFS(L$6:L2452,L2452,P$6:P2452,"?*")=1,MAX(AI$5:AI2451)+1,""))</f>
        <v/>
      </c>
    </row>
    <row r="2453">
      <c r="B2453" s="47" t="n"/>
      <c r="C2453" s="48" t="n"/>
      <c r="D2453" s="48" t="n"/>
      <c r="E2453" s="48" t="n"/>
      <c r="F2453" s="48" t="n"/>
      <c r="G2453" s="49" t="n"/>
      <c r="H2453" s="48" t="n"/>
      <c r="I2453" s="50" t="n"/>
      <c r="J2453" s="48" t="n"/>
      <c r="K2453" s="48" t="n"/>
      <c r="L2453" s="48" t="n"/>
      <c r="M2453" s="48" t="n"/>
      <c r="N2453" s="48" t="n"/>
      <c r="O2453" s="51">
        <f>IF(AND(B2453="",G2453="",C2453="",D2453="",J2453=""),"",IF(B2453="","⚠ Falta fecha",IF(G2453="","⚠ Falta monto",IF(Q2453="","⚠ Falta cuenta",IF(ISNA(MATCH(Q2453,ctaNombre,0)),"⚠ Cuenta no registrada",IF(AND(OR(P2453="Gasto",P2453="Reembolso"),D2453=""),"⚠ Falta categoría",IF(AND(D2453&lt;&gt;"",E2453&lt;&gt;"",ISNA(MATCH(D2453&amp;"|"&amp;E2453,catClave,0))),"⚠ Subcategoría no corresponde",IF(AND(OR(P2453="Transferencia",P2453="Pago tarjeta"),K2453=""),"⚠ Falta cuenta destino",IF(AND(K2453&lt;&gt;"",P2453&lt;&gt;"Transferencia",P2453&lt;&gt;"Pago tarjeta"),"⚠ Destino solo aplica a transferencias",IF(AND(K2453&lt;&gt;"",K2453=Q2453),"⚠ Origen igual a destino",IF(AND(K2453&lt;&gt;"",ISNA(MATCH(K2453,ctaNombre,0))),"⚠ Destino no registrado",IF(AND(P2453="Pago tarjeta",AE2453&lt;&gt;"Tarjeta de crédito"),"⚠ El destino debe ser tarjeta de crédito",IF(AND(P2453="Gasto",E2453="Depósitos y retiros"),"⚠ Usa tipo Transferencia",IF(AND(P2453="Resultado trading",AD2453&lt;&gt;"Cuenta de trading"),"⚠ Usa una cuenta de trading",IF(AND(G2453&lt;=0,P2453&lt;&gt;"Ajuste",P2453&lt;&gt;"Resultado trading"),"⚠ El monto debe ser positivo","✓")))))))))))))))</f>
        <v/>
      </c>
      <c r="P2453" s="52">
        <f>IF(OR(B2453="",G2453=""),"",IF(C2453="","Gasto",C2453))</f>
        <v/>
      </c>
      <c r="Q2453" s="52">
        <f>IF(P2453="","",IF(J2453&lt;&gt;"",J2453,CuentaPred&amp;""))</f>
        <v/>
      </c>
      <c r="R2453" s="52">
        <f>IF(P2453="","",IF(ISNUMBER(I2453),I2453,TasaUSD))</f>
        <v/>
      </c>
      <c r="S2453" s="53">
        <f>IF(P2453="","",IF(H2453="USD",G2453*R2453,G2453))</f>
        <v/>
      </c>
      <c r="T2453" s="53">
        <f>IF(P2453="","",IF(H2453="USD",G2453,IF(R2453&gt;0,G2453/R2453,0)))</f>
        <v/>
      </c>
      <c r="U2453" s="53">
        <f>IF(P2453="","",IF(P2453="Gasto",S2453,IF(P2453="Reembolso",-S2453,0)))</f>
        <v/>
      </c>
      <c r="V2453" s="53">
        <f>IF(P2453="","",IF(P2453="Ingreso",S2453,0))</f>
        <v/>
      </c>
      <c r="W2453" s="53">
        <f>IF(P2453="","",IF(P2453="Resultado trading",S2453,0))</f>
        <v/>
      </c>
      <c r="X2453" s="52">
        <f>IF(OR(P2453="Gasto",P2453="Reembolso"),IF(M2453&lt;&gt;"",M2453,IFERROR(INDEX(catClasif,MATCH(D2453&amp;"|"&amp;E2453,catClave,0))&amp;"","Variable")),"")</f>
        <v/>
      </c>
      <c r="Y2453" s="52">
        <f>IF(P2453="","",IFERROR(INDEX(catGrupo,MATCH(D2453&amp;"|"&amp;E2453,catClave,0))&amp;"",""))</f>
        <v/>
      </c>
      <c r="Z2453" s="52">
        <f>IF(P2453="","",WEEKDAY(B2453,2))</f>
        <v/>
      </c>
      <c r="AA2453" s="52">
        <f>IF(P2453="","",IF(AND(P2453="Gasto",X2453="Variable",D2453&lt;&gt;catTrading,S2453&gt;0,S2453&lt;=Umbral),1,0))</f>
        <v/>
      </c>
      <c r="AB2453" s="52">
        <f>IF(OR(P2453="",Q2453=""),"",IFERROR(IF(INDEX(ctaVinc,MATCH(Q2453,ctaNombre,0))&amp;""&lt;&gt;"",INDEX(ctaVinc,MATCH(Q2453,ctaNombre,0))&amp;"",Q2453),Q2453))</f>
        <v/>
      </c>
      <c r="AC2453" s="52">
        <f>IF(OR(K2453="",AND(P2453&lt;&gt;"Transferencia",P2453&lt;&gt;"Pago tarjeta")),"",IFERROR(IF(INDEX(ctaVinc,MATCH(K2453,ctaNombre,0))&amp;""&lt;&gt;"",INDEX(ctaVinc,MATCH(K2453,ctaNombre,0))&amp;"",K2453),K2453))</f>
        <v/>
      </c>
      <c r="AD2453" s="52">
        <f>IF(AB2453="","",IFERROR(INDEX(ctaTipo,MATCH(AB2453,ctaNombre,0))&amp;"",""))</f>
        <v/>
      </c>
      <c r="AE2453" s="52">
        <f>IF(AC2453="","",IFERROR(INDEX(ctaTipo,MATCH(AC2453,ctaNombre,0))&amp;"",""))</f>
        <v/>
      </c>
      <c r="AF2453" s="53">
        <f>IF(OR(P2453="",AB2453=""),"",IF(OR(P2453="Gasto",P2453="Transferencia",P2453="Pago tarjeta"),-1,1)*IF(IFERROR(INDEX(ctaMoneda,MATCH(AB2453,ctaNombre,0))&amp;"","DOP")="USD",T2453,S2453))</f>
        <v/>
      </c>
      <c r="AG2453" s="53">
        <f>IF(AC2453="","",IF(IFERROR(INDEX(ctaMoneda,MATCH(AC2453,ctaNombre,0))&amp;"","DOP")="USD",T2453,S2453))</f>
        <v/>
      </c>
      <c r="AH2453" s="53">
        <f>IF(P2453="","",IF(AND(AD2453&lt;&gt;"",COUNTIFS(tcTipo,AD2453,tcLiq,"Sí")&gt;0),IF(OR(P2453="Gasto",P2453="Transferencia",P2453="Pago tarjeta"),-1,1)*S2453,0)+IF(AND(AE2453&lt;&gt;"",COUNTIFS(tcTipo,AE2453,tcLiq,"Sí")&gt;0),S2453,0))</f>
        <v/>
      </c>
      <c r="AI2453" s="52">
        <f>IF(OR(L2453="",P2453=""),"",IF(COUNTIFS(L$6:L2453,L2453,P$6:P2453,"?*")=1,MAX(AI$5:AI2452)+1,""))</f>
        <v/>
      </c>
    </row>
    <row r="2454">
      <c r="B2454" s="47" t="n"/>
      <c r="C2454" s="48" t="n"/>
      <c r="D2454" s="48" t="n"/>
      <c r="E2454" s="48" t="n"/>
      <c r="F2454" s="48" t="n"/>
      <c r="G2454" s="49" t="n"/>
      <c r="H2454" s="48" t="n"/>
      <c r="I2454" s="50" t="n"/>
      <c r="J2454" s="48" t="n"/>
      <c r="K2454" s="48" t="n"/>
      <c r="L2454" s="48" t="n"/>
      <c r="M2454" s="48" t="n"/>
      <c r="N2454" s="48" t="n"/>
      <c r="O2454" s="51">
        <f>IF(AND(B2454="",G2454="",C2454="",D2454="",J2454=""),"",IF(B2454="","⚠ Falta fecha",IF(G2454="","⚠ Falta monto",IF(Q2454="","⚠ Falta cuenta",IF(ISNA(MATCH(Q2454,ctaNombre,0)),"⚠ Cuenta no registrada",IF(AND(OR(P2454="Gasto",P2454="Reembolso"),D2454=""),"⚠ Falta categoría",IF(AND(D2454&lt;&gt;"",E2454&lt;&gt;"",ISNA(MATCH(D2454&amp;"|"&amp;E2454,catClave,0))),"⚠ Subcategoría no corresponde",IF(AND(OR(P2454="Transferencia",P2454="Pago tarjeta"),K2454=""),"⚠ Falta cuenta destino",IF(AND(K2454&lt;&gt;"",P2454&lt;&gt;"Transferencia",P2454&lt;&gt;"Pago tarjeta"),"⚠ Destino solo aplica a transferencias",IF(AND(K2454&lt;&gt;"",K2454=Q2454),"⚠ Origen igual a destino",IF(AND(K2454&lt;&gt;"",ISNA(MATCH(K2454,ctaNombre,0))),"⚠ Destino no registrado",IF(AND(P2454="Pago tarjeta",AE2454&lt;&gt;"Tarjeta de crédito"),"⚠ El destino debe ser tarjeta de crédito",IF(AND(P2454="Gasto",E2454="Depósitos y retiros"),"⚠ Usa tipo Transferencia",IF(AND(P2454="Resultado trading",AD2454&lt;&gt;"Cuenta de trading"),"⚠ Usa una cuenta de trading",IF(AND(G2454&lt;=0,P2454&lt;&gt;"Ajuste",P2454&lt;&gt;"Resultado trading"),"⚠ El monto debe ser positivo","✓")))))))))))))))</f>
        <v/>
      </c>
      <c r="P2454" s="52">
        <f>IF(OR(B2454="",G2454=""),"",IF(C2454="","Gasto",C2454))</f>
        <v/>
      </c>
      <c r="Q2454" s="52">
        <f>IF(P2454="","",IF(J2454&lt;&gt;"",J2454,CuentaPred&amp;""))</f>
        <v/>
      </c>
      <c r="R2454" s="52">
        <f>IF(P2454="","",IF(ISNUMBER(I2454),I2454,TasaUSD))</f>
        <v/>
      </c>
      <c r="S2454" s="53">
        <f>IF(P2454="","",IF(H2454="USD",G2454*R2454,G2454))</f>
        <v/>
      </c>
      <c r="T2454" s="53">
        <f>IF(P2454="","",IF(H2454="USD",G2454,IF(R2454&gt;0,G2454/R2454,0)))</f>
        <v/>
      </c>
      <c r="U2454" s="53">
        <f>IF(P2454="","",IF(P2454="Gasto",S2454,IF(P2454="Reembolso",-S2454,0)))</f>
        <v/>
      </c>
      <c r="V2454" s="53">
        <f>IF(P2454="","",IF(P2454="Ingreso",S2454,0))</f>
        <v/>
      </c>
      <c r="W2454" s="53">
        <f>IF(P2454="","",IF(P2454="Resultado trading",S2454,0))</f>
        <v/>
      </c>
      <c r="X2454" s="52">
        <f>IF(OR(P2454="Gasto",P2454="Reembolso"),IF(M2454&lt;&gt;"",M2454,IFERROR(INDEX(catClasif,MATCH(D2454&amp;"|"&amp;E2454,catClave,0))&amp;"","Variable")),"")</f>
        <v/>
      </c>
      <c r="Y2454" s="52">
        <f>IF(P2454="","",IFERROR(INDEX(catGrupo,MATCH(D2454&amp;"|"&amp;E2454,catClave,0))&amp;"",""))</f>
        <v/>
      </c>
      <c r="Z2454" s="52">
        <f>IF(P2454="","",WEEKDAY(B2454,2))</f>
        <v/>
      </c>
      <c r="AA2454" s="52">
        <f>IF(P2454="","",IF(AND(P2454="Gasto",X2454="Variable",D2454&lt;&gt;catTrading,S2454&gt;0,S2454&lt;=Umbral),1,0))</f>
        <v/>
      </c>
      <c r="AB2454" s="52">
        <f>IF(OR(P2454="",Q2454=""),"",IFERROR(IF(INDEX(ctaVinc,MATCH(Q2454,ctaNombre,0))&amp;""&lt;&gt;"",INDEX(ctaVinc,MATCH(Q2454,ctaNombre,0))&amp;"",Q2454),Q2454))</f>
        <v/>
      </c>
      <c r="AC2454" s="52">
        <f>IF(OR(K2454="",AND(P2454&lt;&gt;"Transferencia",P2454&lt;&gt;"Pago tarjeta")),"",IFERROR(IF(INDEX(ctaVinc,MATCH(K2454,ctaNombre,0))&amp;""&lt;&gt;"",INDEX(ctaVinc,MATCH(K2454,ctaNombre,0))&amp;"",K2454),K2454))</f>
        <v/>
      </c>
      <c r="AD2454" s="52">
        <f>IF(AB2454="","",IFERROR(INDEX(ctaTipo,MATCH(AB2454,ctaNombre,0))&amp;"",""))</f>
        <v/>
      </c>
      <c r="AE2454" s="52">
        <f>IF(AC2454="","",IFERROR(INDEX(ctaTipo,MATCH(AC2454,ctaNombre,0))&amp;"",""))</f>
        <v/>
      </c>
      <c r="AF2454" s="53">
        <f>IF(OR(P2454="",AB2454=""),"",IF(OR(P2454="Gasto",P2454="Transferencia",P2454="Pago tarjeta"),-1,1)*IF(IFERROR(INDEX(ctaMoneda,MATCH(AB2454,ctaNombre,0))&amp;"","DOP")="USD",T2454,S2454))</f>
        <v/>
      </c>
      <c r="AG2454" s="53">
        <f>IF(AC2454="","",IF(IFERROR(INDEX(ctaMoneda,MATCH(AC2454,ctaNombre,0))&amp;"","DOP")="USD",T2454,S2454))</f>
        <v/>
      </c>
      <c r="AH2454" s="53">
        <f>IF(P2454="","",IF(AND(AD2454&lt;&gt;"",COUNTIFS(tcTipo,AD2454,tcLiq,"Sí")&gt;0),IF(OR(P2454="Gasto",P2454="Transferencia",P2454="Pago tarjeta"),-1,1)*S2454,0)+IF(AND(AE2454&lt;&gt;"",COUNTIFS(tcTipo,AE2454,tcLiq,"Sí")&gt;0),S2454,0))</f>
        <v/>
      </c>
      <c r="AI2454" s="52">
        <f>IF(OR(L2454="",P2454=""),"",IF(COUNTIFS(L$6:L2454,L2454,P$6:P2454,"?*")=1,MAX(AI$5:AI2453)+1,""))</f>
        <v/>
      </c>
    </row>
    <row r="2455">
      <c r="B2455" s="47" t="n"/>
      <c r="C2455" s="48" t="n"/>
      <c r="D2455" s="48" t="n"/>
      <c r="E2455" s="48" t="n"/>
      <c r="F2455" s="48" t="n"/>
      <c r="G2455" s="49" t="n"/>
      <c r="H2455" s="48" t="n"/>
      <c r="I2455" s="50" t="n"/>
      <c r="J2455" s="48" t="n"/>
      <c r="K2455" s="48" t="n"/>
      <c r="L2455" s="48" t="n"/>
      <c r="M2455" s="48" t="n"/>
      <c r="N2455" s="48" t="n"/>
      <c r="O2455" s="51">
        <f>IF(AND(B2455="",G2455="",C2455="",D2455="",J2455=""),"",IF(B2455="","⚠ Falta fecha",IF(G2455="","⚠ Falta monto",IF(Q2455="","⚠ Falta cuenta",IF(ISNA(MATCH(Q2455,ctaNombre,0)),"⚠ Cuenta no registrada",IF(AND(OR(P2455="Gasto",P2455="Reembolso"),D2455=""),"⚠ Falta categoría",IF(AND(D2455&lt;&gt;"",E2455&lt;&gt;"",ISNA(MATCH(D2455&amp;"|"&amp;E2455,catClave,0))),"⚠ Subcategoría no corresponde",IF(AND(OR(P2455="Transferencia",P2455="Pago tarjeta"),K2455=""),"⚠ Falta cuenta destino",IF(AND(K2455&lt;&gt;"",P2455&lt;&gt;"Transferencia",P2455&lt;&gt;"Pago tarjeta"),"⚠ Destino solo aplica a transferencias",IF(AND(K2455&lt;&gt;"",K2455=Q2455),"⚠ Origen igual a destino",IF(AND(K2455&lt;&gt;"",ISNA(MATCH(K2455,ctaNombre,0))),"⚠ Destino no registrado",IF(AND(P2455="Pago tarjeta",AE2455&lt;&gt;"Tarjeta de crédito"),"⚠ El destino debe ser tarjeta de crédito",IF(AND(P2455="Gasto",E2455="Depósitos y retiros"),"⚠ Usa tipo Transferencia",IF(AND(P2455="Resultado trading",AD2455&lt;&gt;"Cuenta de trading"),"⚠ Usa una cuenta de trading",IF(AND(G2455&lt;=0,P2455&lt;&gt;"Ajuste",P2455&lt;&gt;"Resultado trading"),"⚠ El monto debe ser positivo","✓")))))))))))))))</f>
        <v/>
      </c>
      <c r="P2455" s="52">
        <f>IF(OR(B2455="",G2455=""),"",IF(C2455="","Gasto",C2455))</f>
        <v/>
      </c>
      <c r="Q2455" s="52">
        <f>IF(P2455="","",IF(J2455&lt;&gt;"",J2455,CuentaPred&amp;""))</f>
        <v/>
      </c>
      <c r="R2455" s="52">
        <f>IF(P2455="","",IF(ISNUMBER(I2455),I2455,TasaUSD))</f>
        <v/>
      </c>
      <c r="S2455" s="53">
        <f>IF(P2455="","",IF(H2455="USD",G2455*R2455,G2455))</f>
        <v/>
      </c>
      <c r="T2455" s="53">
        <f>IF(P2455="","",IF(H2455="USD",G2455,IF(R2455&gt;0,G2455/R2455,0)))</f>
        <v/>
      </c>
      <c r="U2455" s="53">
        <f>IF(P2455="","",IF(P2455="Gasto",S2455,IF(P2455="Reembolso",-S2455,0)))</f>
        <v/>
      </c>
      <c r="V2455" s="53">
        <f>IF(P2455="","",IF(P2455="Ingreso",S2455,0))</f>
        <v/>
      </c>
      <c r="W2455" s="53">
        <f>IF(P2455="","",IF(P2455="Resultado trading",S2455,0))</f>
        <v/>
      </c>
      <c r="X2455" s="52">
        <f>IF(OR(P2455="Gasto",P2455="Reembolso"),IF(M2455&lt;&gt;"",M2455,IFERROR(INDEX(catClasif,MATCH(D2455&amp;"|"&amp;E2455,catClave,0))&amp;"","Variable")),"")</f>
        <v/>
      </c>
      <c r="Y2455" s="52">
        <f>IF(P2455="","",IFERROR(INDEX(catGrupo,MATCH(D2455&amp;"|"&amp;E2455,catClave,0))&amp;"",""))</f>
        <v/>
      </c>
      <c r="Z2455" s="52">
        <f>IF(P2455="","",WEEKDAY(B2455,2))</f>
        <v/>
      </c>
      <c r="AA2455" s="52">
        <f>IF(P2455="","",IF(AND(P2455="Gasto",X2455="Variable",D2455&lt;&gt;catTrading,S2455&gt;0,S2455&lt;=Umbral),1,0))</f>
        <v/>
      </c>
      <c r="AB2455" s="52">
        <f>IF(OR(P2455="",Q2455=""),"",IFERROR(IF(INDEX(ctaVinc,MATCH(Q2455,ctaNombre,0))&amp;""&lt;&gt;"",INDEX(ctaVinc,MATCH(Q2455,ctaNombre,0))&amp;"",Q2455),Q2455))</f>
        <v/>
      </c>
      <c r="AC2455" s="52">
        <f>IF(OR(K2455="",AND(P2455&lt;&gt;"Transferencia",P2455&lt;&gt;"Pago tarjeta")),"",IFERROR(IF(INDEX(ctaVinc,MATCH(K2455,ctaNombre,0))&amp;""&lt;&gt;"",INDEX(ctaVinc,MATCH(K2455,ctaNombre,0))&amp;"",K2455),K2455))</f>
        <v/>
      </c>
      <c r="AD2455" s="52">
        <f>IF(AB2455="","",IFERROR(INDEX(ctaTipo,MATCH(AB2455,ctaNombre,0))&amp;"",""))</f>
        <v/>
      </c>
      <c r="AE2455" s="52">
        <f>IF(AC2455="","",IFERROR(INDEX(ctaTipo,MATCH(AC2455,ctaNombre,0))&amp;"",""))</f>
        <v/>
      </c>
      <c r="AF2455" s="53">
        <f>IF(OR(P2455="",AB2455=""),"",IF(OR(P2455="Gasto",P2455="Transferencia",P2455="Pago tarjeta"),-1,1)*IF(IFERROR(INDEX(ctaMoneda,MATCH(AB2455,ctaNombre,0))&amp;"","DOP")="USD",T2455,S2455))</f>
        <v/>
      </c>
      <c r="AG2455" s="53">
        <f>IF(AC2455="","",IF(IFERROR(INDEX(ctaMoneda,MATCH(AC2455,ctaNombre,0))&amp;"","DOP")="USD",T2455,S2455))</f>
        <v/>
      </c>
      <c r="AH2455" s="53">
        <f>IF(P2455="","",IF(AND(AD2455&lt;&gt;"",COUNTIFS(tcTipo,AD2455,tcLiq,"Sí")&gt;0),IF(OR(P2455="Gasto",P2455="Transferencia",P2455="Pago tarjeta"),-1,1)*S2455,0)+IF(AND(AE2455&lt;&gt;"",COUNTIFS(tcTipo,AE2455,tcLiq,"Sí")&gt;0),S2455,0))</f>
        <v/>
      </c>
      <c r="AI2455" s="52">
        <f>IF(OR(L2455="",P2455=""),"",IF(COUNTIFS(L$6:L2455,L2455,P$6:P2455,"?*")=1,MAX(AI$5:AI2454)+1,""))</f>
        <v/>
      </c>
    </row>
    <row r="2456">
      <c r="B2456" s="47" t="n"/>
      <c r="C2456" s="48" t="n"/>
      <c r="D2456" s="48" t="n"/>
      <c r="E2456" s="48" t="n"/>
      <c r="F2456" s="48" t="n"/>
      <c r="G2456" s="49" t="n"/>
      <c r="H2456" s="48" t="n"/>
      <c r="I2456" s="50" t="n"/>
      <c r="J2456" s="48" t="n"/>
      <c r="K2456" s="48" t="n"/>
      <c r="L2456" s="48" t="n"/>
      <c r="M2456" s="48" t="n"/>
      <c r="N2456" s="48" t="n"/>
      <c r="O2456" s="51">
        <f>IF(AND(B2456="",G2456="",C2456="",D2456="",J2456=""),"",IF(B2456="","⚠ Falta fecha",IF(G2456="","⚠ Falta monto",IF(Q2456="","⚠ Falta cuenta",IF(ISNA(MATCH(Q2456,ctaNombre,0)),"⚠ Cuenta no registrada",IF(AND(OR(P2456="Gasto",P2456="Reembolso"),D2456=""),"⚠ Falta categoría",IF(AND(D2456&lt;&gt;"",E2456&lt;&gt;"",ISNA(MATCH(D2456&amp;"|"&amp;E2456,catClave,0))),"⚠ Subcategoría no corresponde",IF(AND(OR(P2456="Transferencia",P2456="Pago tarjeta"),K2456=""),"⚠ Falta cuenta destino",IF(AND(K2456&lt;&gt;"",P2456&lt;&gt;"Transferencia",P2456&lt;&gt;"Pago tarjeta"),"⚠ Destino solo aplica a transferencias",IF(AND(K2456&lt;&gt;"",K2456=Q2456),"⚠ Origen igual a destino",IF(AND(K2456&lt;&gt;"",ISNA(MATCH(K2456,ctaNombre,0))),"⚠ Destino no registrado",IF(AND(P2456="Pago tarjeta",AE2456&lt;&gt;"Tarjeta de crédito"),"⚠ El destino debe ser tarjeta de crédito",IF(AND(P2456="Gasto",E2456="Depósitos y retiros"),"⚠ Usa tipo Transferencia",IF(AND(P2456="Resultado trading",AD2456&lt;&gt;"Cuenta de trading"),"⚠ Usa una cuenta de trading",IF(AND(G2456&lt;=0,P2456&lt;&gt;"Ajuste",P2456&lt;&gt;"Resultado trading"),"⚠ El monto debe ser positivo","✓")))))))))))))))</f>
        <v/>
      </c>
      <c r="P2456" s="52">
        <f>IF(OR(B2456="",G2456=""),"",IF(C2456="","Gasto",C2456))</f>
        <v/>
      </c>
      <c r="Q2456" s="52">
        <f>IF(P2456="","",IF(J2456&lt;&gt;"",J2456,CuentaPred&amp;""))</f>
        <v/>
      </c>
      <c r="R2456" s="52">
        <f>IF(P2456="","",IF(ISNUMBER(I2456),I2456,TasaUSD))</f>
        <v/>
      </c>
      <c r="S2456" s="53">
        <f>IF(P2456="","",IF(H2456="USD",G2456*R2456,G2456))</f>
        <v/>
      </c>
      <c r="T2456" s="53">
        <f>IF(P2456="","",IF(H2456="USD",G2456,IF(R2456&gt;0,G2456/R2456,0)))</f>
        <v/>
      </c>
      <c r="U2456" s="53">
        <f>IF(P2456="","",IF(P2456="Gasto",S2456,IF(P2456="Reembolso",-S2456,0)))</f>
        <v/>
      </c>
      <c r="V2456" s="53">
        <f>IF(P2456="","",IF(P2456="Ingreso",S2456,0))</f>
        <v/>
      </c>
      <c r="W2456" s="53">
        <f>IF(P2456="","",IF(P2456="Resultado trading",S2456,0))</f>
        <v/>
      </c>
      <c r="X2456" s="52">
        <f>IF(OR(P2456="Gasto",P2456="Reembolso"),IF(M2456&lt;&gt;"",M2456,IFERROR(INDEX(catClasif,MATCH(D2456&amp;"|"&amp;E2456,catClave,0))&amp;"","Variable")),"")</f>
        <v/>
      </c>
      <c r="Y2456" s="52">
        <f>IF(P2456="","",IFERROR(INDEX(catGrupo,MATCH(D2456&amp;"|"&amp;E2456,catClave,0))&amp;"",""))</f>
        <v/>
      </c>
      <c r="Z2456" s="52">
        <f>IF(P2456="","",WEEKDAY(B2456,2))</f>
        <v/>
      </c>
      <c r="AA2456" s="52">
        <f>IF(P2456="","",IF(AND(P2456="Gasto",X2456="Variable",D2456&lt;&gt;catTrading,S2456&gt;0,S2456&lt;=Umbral),1,0))</f>
        <v/>
      </c>
      <c r="AB2456" s="52">
        <f>IF(OR(P2456="",Q2456=""),"",IFERROR(IF(INDEX(ctaVinc,MATCH(Q2456,ctaNombre,0))&amp;""&lt;&gt;"",INDEX(ctaVinc,MATCH(Q2456,ctaNombre,0))&amp;"",Q2456),Q2456))</f>
        <v/>
      </c>
      <c r="AC2456" s="52">
        <f>IF(OR(K2456="",AND(P2456&lt;&gt;"Transferencia",P2456&lt;&gt;"Pago tarjeta")),"",IFERROR(IF(INDEX(ctaVinc,MATCH(K2456,ctaNombre,0))&amp;""&lt;&gt;"",INDEX(ctaVinc,MATCH(K2456,ctaNombre,0))&amp;"",K2456),K2456))</f>
        <v/>
      </c>
      <c r="AD2456" s="52">
        <f>IF(AB2456="","",IFERROR(INDEX(ctaTipo,MATCH(AB2456,ctaNombre,0))&amp;"",""))</f>
        <v/>
      </c>
      <c r="AE2456" s="52">
        <f>IF(AC2456="","",IFERROR(INDEX(ctaTipo,MATCH(AC2456,ctaNombre,0))&amp;"",""))</f>
        <v/>
      </c>
      <c r="AF2456" s="53">
        <f>IF(OR(P2456="",AB2456=""),"",IF(OR(P2456="Gasto",P2456="Transferencia",P2456="Pago tarjeta"),-1,1)*IF(IFERROR(INDEX(ctaMoneda,MATCH(AB2456,ctaNombre,0))&amp;"","DOP")="USD",T2456,S2456))</f>
        <v/>
      </c>
      <c r="AG2456" s="53">
        <f>IF(AC2456="","",IF(IFERROR(INDEX(ctaMoneda,MATCH(AC2456,ctaNombre,0))&amp;"","DOP")="USD",T2456,S2456))</f>
        <v/>
      </c>
      <c r="AH2456" s="53">
        <f>IF(P2456="","",IF(AND(AD2456&lt;&gt;"",COUNTIFS(tcTipo,AD2456,tcLiq,"Sí")&gt;0),IF(OR(P2456="Gasto",P2456="Transferencia",P2456="Pago tarjeta"),-1,1)*S2456,0)+IF(AND(AE2456&lt;&gt;"",COUNTIFS(tcTipo,AE2456,tcLiq,"Sí")&gt;0),S2456,0))</f>
        <v/>
      </c>
      <c r="AI2456" s="52">
        <f>IF(OR(L2456="",P2456=""),"",IF(COUNTIFS(L$6:L2456,L2456,P$6:P2456,"?*")=1,MAX(AI$5:AI2455)+1,""))</f>
        <v/>
      </c>
    </row>
    <row r="2457">
      <c r="B2457" s="47" t="n"/>
      <c r="C2457" s="48" t="n"/>
      <c r="D2457" s="48" t="n"/>
      <c r="E2457" s="48" t="n"/>
      <c r="F2457" s="48" t="n"/>
      <c r="G2457" s="49" t="n"/>
      <c r="H2457" s="48" t="n"/>
      <c r="I2457" s="50" t="n"/>
      <c r="J2457" s="48" t="n"/>
      <c r="K2457" s="48" t="n"/>
      <c r="L2457" s="48" t="n"/>
      <c r="M2457" s="48" t="n"/>
      <c r="N2457" s="48" t="n"/>
      <c r="O2457" s="51">
        <f>IF(AND(B2457="",G2457="",C2457="",D2457="",J2457=""),"",IF(B2457="","⚠ Falta fecha",IF(G2457="","⚠ Falta monto",IF(Q2457="","⚠ Falta cuenta",IF(ISNA(MATCH(Q2457,ctaNombre,0)),"⚠ Cuenta no registrada",IF(AND(OR(P2457="Gasto",P2457="Reembolso"),D2457=""),"⚠ Falta categoría",IF(AND(D2457&lt;&gt;"",E2457&lt;&gt;"",ISNA(MATCH(D2457&amp;"|"&amp;E2457,catClave,0))),"⚠ Subcategoría no corresponde",IF(AND(OR(P2457="Transferencia",P2457="Pago tarjeta"),K2457=""),"⚠ Falta cuenta destino",IF(AND(K2457&lt;&gt;"",P2457&lt;&gt;"Transferencia",P2457&lt;&gt;"Pago tarjeta"),"⚠ Destino solo aplica a transferencias",IF(AND(K2457&lt;&gt;"",K2457=Q2457),"⚠ Origen igual a destino",IF(AND(K2457&lt;&gt;"",ISNA(MATCH(K2457,ctaNombre,0))),"⚠ Destino no registrado",IF(AND(P2457="Pago tarjeta",AE2457&lt;&gt;"Tarjeta de crédito"),"⚠ El destino debe ser tarjeta de crédito",IF(AND(P2457="Gasto",E2457="Depósitos y retiros"),"⚠ Usa tipo Transferencia",IF(AND(P2457="Resultado trading",AD2457&lt;&gt;"Cuenta de trading"),"⚠ Usa una cuenta de trading",IF(AND(G2457&lt;=0,P2457&lt;&gt;"Ajuste",P2457&lt;&gt;"Resultado trading"),"⚠ El monto debe ser positivo","✓")))))))))))))))</f>
        <v/>
      </c>
      <c r="P2457" s="52">
        <f>IF(OR(B2457="",G2457=""),"",IF(C2457="","Gasto",C2457))</f>
        <v/>
      </c>
      <c r="Q2457" s="52">
        <f>IF(P2457="","",IF(J2457&lt;&gt;"",J2457,CuentaPred&amp;""))</f>
        <v/>
      </c>
      <c r="R2457" s="52">
        <f>IF(P2457="","",IF(ISNUMBER(I2457),I2457,TasaUSD))</f>
        <v/>
      </c>
      <c r="S2457" s="53">
        <f>IF(P2457="","",IF(H2457="USD",G2457*R2457,G2457))</f>
        <v/>
      </c>
      <c r="T2457" s="53">
        <f>IF(P2457="","",IF(H2457="USD",G2457,IF(R2457&gt;0,G2457/R2457,0)))</f>
        <v/>
      </c>
      <c r="U2457" s="53">
        <f>IF(P2457="","",IF(P2457="Gasto",S2457,IF(P2457="Reembolso",-S2457,0)))</f>
        <v/>
      </c>
      <c r="V2457" s="53">
        <f>IF(P2457="","",IF(P2457="Ingreso",S2457,0))</f>
        <v/>
      </c>
      <c r="W2457" s="53">
        <f>IF(P2457="","",IF(P2457="Resultado trading",S2457,0))</f>
        <v/>
      </c>
      <c r="X2457" s="52">
        <f>IF(OR(P2457="Gasto",P2457="Reembolso"),IF(M2457&lt;&gt;"",M2457,IFERROR(INDEX(catClasif,MATCH(D2457&amp;"|"&amp;E2457,catClave,0))&amp;"","Variable")),"")</f>
        <v/>
      </c>
      <c r="Y2457" s="52">
        <f>IF(P2457="","",IFERROR(INDEX(catGrupo,MATCH(D2457&amp;"|"&amp;E2457,catClave,0))&amp;"",""))</f>
        <v/>
      </c>
      <c r="Z2457" s="52">
        <f>IF(P2457="","",WEEKDAY(B2457,2))</f>
        <v/>
      </c>
      <c r="AA2457" s="52">
        <f>IF(P2457="","",IF(AND(P2457="Gasto",X2457="Variable",D2457&lt;&gt;catTrading,S2457&gt;0,S2457&lt;=Umbral),1,0))</f>
        <v/>
      </c>
      <c r="AB2457" s="52">
        <f>IF(OR(P2457="",Q2457=""),"",IFERROR(IF(INDEX(ctaVinc,MATCH(Q2457,ctaNombre,0))&amp;""&lt;&gt;"",INDEX(ctaVinc,MATCH(Q2457,ctaNombre,0))&amp;"",Q2457),Q2457))</f>
        <v/>
      </c>
      <c r="AC2457" s="52">
        <f>IF(OR(K2457="",AND(P2457&lt;&gt;"Transferencia",P2457&lt;&gt;"Pago tarjeta")),"",IFERROR(IF(INDEX(ctaVinc,MATCH(K2457,ctaNombre,0))&amp;""&lt;&gt;"",INDEX(ctaVinc,MATCH(K2457,ctaNombre,0))&amp;"",K2457),K2457))</f>
        <v/>
      </c>
      <c r="AD2457" s="52">
        <f>IF(AB2457="","",IFERROR(INDEX(ctaTipo,MATCH(AB2457,ctaNombre,0))&amp;"",""))</f>
        <v/>
      </c>
      <c r="AE2457" s="52">
        <f>IF(AC2457="","",IFERROR(INDEX(ctaTipo,MATCH(AC2457,ctaNombre,0))&amp;"",""))</f>
        <v/>
      </c>
      <c r="AF2457" s="53">
        <f>IF(OR(P2457="",AB2457=""),"",IF(OR(P2457="Gasto",P2457="Transferencia",P2457="Pago tarjeta"),-1,1)*IF(IFERROR(INDEX(ctaMoneda,MATCH(AB2457,ctaNombre,0))&amp;"","DOP")="USD",T2457,S2457))</f>
        <v/>
      </c>
      <c r="AG2457" s="53">
        <f>IF(AC2457="","",IF(IFERROR(INDEX(ctaMoneda,MATCH(AC2457,ctaNombre,0))&amp;"","DOP")="USD",T2457,S2457))</f>
        <v/>
      </c>
      <c r="AH2457" s="53">
        <f>IF(P2457="","",IF(AND(AD2457&lt;&gt;"",COUNTIFS(tcTipo,AD2457,tcLiq,"Sí")&gt;0),IF(OR(P2457="Gasto",P2457="Transferencia",P2457="Pago tarjeta"),-1,1)*S2457,0)+IF(AND(AE2457&lt;&gt;"",COUNTIFS(tcTipo,AE2457,tcLiq,"Sí")&gt;0),S2457,0))</f>
        <v/>
      </c>
      <c r="AI2457" s="52">
        <f>IF(OR(L2457="",P2457=""),"",IF(COUNTIFS(L$6:L2457,L2457,P$6:P2457,"?*")=1,MAX(AI$5:AI2456)+1,""))</f>
        <v/>
      </c>
    </row>
    <row r="2458">
      <c r="B2458" s="47" t="n"/>
      <c r="C2458" s="48" t="n"/>
      <c r="D2458" s="48" t="n"/>
      <c r="E2458" s="48" t="n"/>
      <c r="F2458" s="48" t="n"/>
      <c r="G2458" s="49" t="n"/>
      <c r="H2458" s="48" t="n"/>
      <c r="I2458" s="50" t="n"/>
      <c r="J2458" s="48" t="n"/>
      <c r="K2458" s="48" t="n"/>
      <c r="L2458" s="48" t="n"/>
      <c r="M2458" s="48" t="n"/>
      <c r="N2458" s="48" t="n"/>
      <c r="O2458" s="51">
        <f>IF(AND(B2458="",G2458="",C2458="",D2458="",J2458=""),"",IF(B2458="","⚠ Falta fecha",IF(G2458="","⚠ Falta monto",IF(Q2458="","⚠ Falta cuenta",IF(ISNA(MATCH(Q2458,ctaNombre,0)),"⚠ Cuenta no registrada",IF(AND(OR(P2458="Gasto",P2458="Reembolso"),D2458=""),"⚠ Falta categoría",IF(AND(D2458&lt;&gt;"",E2458&lt;&gt;"",ISNA(MATCH(D2458&amp;"|"&amp;E2458,catClave,0))),"⚠ Subcategoría no corresponde",IF(AND(OR(P2458="Transferencia",P2458="Pago tarjeta"),K2458=""),"⚠ Falta cuenta destino",IF(AND(K2458&lt;&gt;"",P2458&lt;&gt;"Transferencia",P2458&lt;&gt;"Pago tarjeta"),"⚠ Destino solo aplica a transferencias",IF(AND(K2458&lt;&gt;"",K2458=Q2458),"⚠ Origen igual a destino",IF(AND(K2458&lt;&gt;"",ISNA(MATCH(K2458,ctaNombre,0))),"⚠ Destino no registrado",IF(AND(P2458="Pago tarjeta",AE2458&lt;&gt;"Tarjeta de crédito"),"⚠ El destino debe ser tarjeta de crédito",IF(AND(P2458="Gasto",E2458="Depósitos y retiros"),"⚠ Usa tipo Transferencia",IF(AND(P2458="Resultado trading",AD2458&lt;&gt;"Cuenta de trading"),"⚠ Usa una cuenta de trading",IF(AND(G2458&lt;=0,P2458&lt;&gt;"Ajuste",P2458&lt;&gt;"Resultado trading"),"⚠ El monto debe ser positivo","✓")))))))))))))))</f>
        <v/>
      </c>
      <c r="P2458" s="52">
        <f>IF(OR(B2458="",G2458=""),"",IF(C2458="","Gasto",C2458))</f>
        <v/>
      </c>
      <c r="Q2458" s="52">
        <f>IF(P2458="","",IF(J2458&lt;&gt;"",J2458,CuentaPred&amp;""))</f>
        <v/>
      </c>
      <c r="R2458" s="52">
        <f>IF(P2458="","",IF(ISNUMBER(I2458),I2458,TasaUSD))</f>
        <v/>
      </c>
      <c r="S2458" s="53">
        <f>IF(P2458="","",IF(H2458="USD",G2458*R2458,G2458))</f>
        <v/>
      </c>
      <c r="T2458" s="53">
        <f>IF(P2458="","",IF(H2458="USD",G2458,IF(R2458&gt;0,G2458/R2458,0)))</f>
        <v/>
      </c>
      <c r="U2458" s="53">
        <f>IF(P2458="","",IF(P2458="Gasto",S2458,IF(P2458="Reembolso",-S2458,0)))</f>
        <v/>
      </c>
      <c r="V2458" s="53">
        <f>IF(P2458="","",IF(P2458="Ingreso",S2458,0))</f>
        <v/>
      </c>
      <c r="W2458" s="53">
        <f>IF(P2458="","",IF(P2458="Resultado trading",S2458,0))</f>
        <v/>
      </c>
      <c r="X2458" s="52">
        <f>IF(OR(P2458="Gasto",P2458="Reembolso"),IF(M2458&lt;&gt;"",M2458,IFERROR(INDEX(catClasif,MATCH(D2458&amp;"|"&amp;E2458,catClave,0))&amp;"","Variable")),"")</f>
        <v/>
      </c>
      <c r="Y2458" s="52">
        <f>IF(P2458="","",IFERROR(INDEX(catGrupo,MATCH(D2458&amp;"|"&amp;E2458,catClave,0))&amp;"",""))</f>
        <v/>
      </c>
      <c r="Z2458" s="52">
        <f>IF(P2458="","",WEEKDAY(B2458,2))</f>
        <v/>
      </c>
      <c r="AA2458" s="52">
        <f>IF(P2458="","",IF(AND(P2458="Gasto",X2458="Variable",D2458&lt;&gt;catTrading,S2458&gt;0,S2458&lt;=Umbral),1,0))</f>
        <v/>
      </c>
      <c r="AB2458" s="52">
        <f>IF(OR(P2458="",Q2458=""),"",IFERROR(IF(INDEX(ctaVinc,MATCH(Q2458,ctaNombre,0))&amp;""&lt;&gt;"",INDEX(ctaVinc,MATCH(Q2458,ctaNombre,0))&amp;"",Q2458),Q2458))</f>
        <v/>
      </c>
      <c r="AC2458" s="52">
        <f>IF(OR(K2458="",AND(P2458&lt;&gt;"Transferencia",P2458&lt;&gt;"Pago tarjeta")),"",IFERROR(IF(INDEX(ctaVinc,MATCH(K2458,ctaNombre,0))&amp;""&lt;&gt;"",INDEX(ctaVinc,MATCH(K2458,ctaNombre,0))&amp;"",K2458),K2458))</f>
        <v/>
      </c>
      <c r="AD2458" s="52">
        <f>IF(AB2458="","",IFERROR(INDEX(ctaTipo,MATCH(AB2458,ctaNombre,0))&amp;"",""))</f>
        <v/>
      </c>
      <c r="AE2458" s="52">
        <f>IF(AC2458="","",IFERROR(INDEX(ctaTipo,MATCH(AC2458,ctaNombre,0))&amp;"",""))</f>
        <v/>
      </c>
      <c r="AF2458" s="53">
        <f>IF(OR(P2458="",AB2458=""),"",IF(OR(P2458="Gasto",P2458="Transferencia",P2458="Pago tarjeta"),-1,1)*IF(IFERROR(INDEX(ctaMoneda,MATCH(AB2458,ctaNombre,0))&amp;"","DOP")="USD",T2458,S2458))</f>
        <v/>
      </c>
      <c r="AG2458" s="53">
        <f>IF(AC2458="","",IF(IFERROR(INDEX(ctaMoneda,MATCH(AC2458,ctaNombre,0))&amp;"","DOP")="USD",T2458,S2458))</f>
        <v/>
      </c>
      <c r="AH2458" s="53">
        <f>IF(P2458="","",IF(AND(AD2458&lt;&gt;"",COUNTIFS(tcTipo,AD2458,tcLiq,"Sí")&gt;0),IF(OR(P2458="Gasto",P2458="Transferencia",P2458="Pago tarjeta"),-1,1)*S2458,0)+IF(AND(AE2458&lt;&gt;"",COUNTIFS(tcTipo,AE2458,tcLiq,"Sí")&gt;0),S2458,0))</f>
        <v/>
      </c>
      <c r="AI2458" s="52">
        <f>IF(OR(L2458="",P2458=""),"",IF(COUNTIFS(L$6:L2458,L2458,P$6:P2458,"?*")=1,MAX(AI$5:AI2457)+1,""))</f>
        <v/>
      </c>
    </row>
    <row r="2459">
      <c r="B2459" s="47" t="n"/>
      <c r="C2459" s="48" t="n"/>
      <c r="D2459" s="48" t="n"/>
      <c r="E2459" s="48" t="n"/>
      <c r="F2459" s="48" t="n"/>
      <c r="G2459" s="49" t="n"/>
      <c r="H2459" s="48" t="n"/>
      <c r="I2459" s="50" t="n"/>
      <c r="J2459" s="48" t="n"/>
      <c r="K2459" s="48" t="n"/>
      <c r="L2459" s="48" t="n"/>
      <c r="M2459" s="48" t="n"/>
      <c r="N2459" s="48" t="n"/>
      <c r="O2459" s="51">
        <f>IF(AND(B2459="",G2459="",C2459="",D2459="",J2459=""),"",IF(B2459="","⚠ Falta fecha",IF(G2459="","⚠ Falta monto",IF(Q2459="","⚠ Falta cuenta",IF(ISNA(MATCH(Q2459,ctaNombre,0)),"⚠ Cuenta no registrada",IF(AND(OR(P2459="Gasto",P2459="Reembolso"),D2459=""),"⚠ Falta categoría",IF(AND(D2459&lt;&gt;"",E2459&lt;&gt;"",ISNA(MATCH(D2459&amp;"|"&amp;E2459,catClave,0))),"⚠ Subcategoría no corresponde",IF(AND(OR(P2459="Transferencia",P2459="Pago tarjeta"),K2459=""),"⚠ Falta cuenta destino",IF(AND(K2459&lt;&gt;"",P2459&lt;&gt;"Transferencia",P2459&lt;&gt;"Pago tarjeta"),"⚠ Destino solo aplica a transferencias",IF(AND(K2459&lt;&gt;"",K2459=Q2459),"⚠ Origen igual a destino",IF(AND(K2459&lt;&gt;"",ISNA(MATCH(K2459,ctaNombre,0))),"⚠ Destino no registrado",IF(AND(P2459="Pago tarjeta",AE2459&lt;&gt;"Tarjeta de crédito"),"⚠ El destino debe ser tarjeta de crédito",IF(AND(P2459="Gasto",E2459="Depósitos y retiros"),"⚠ Usa tipo Transferencia",IF(AND(P2459="Resultado trading",AD2459&lt;&gt;"Cuenta de trading"),"⚠ Usa una cuenta de trading",IF(AND(G2459&lt;=0,P2459&lt;&gt;"Ajuste",P2459&lt;&gt;"Resultado trading"),"⚠ El monto debe ser positivo","✓")))))))))))))))</f>
        <v/>
      </c>
      <c r="P2459" s="52">
        <f>IF(OR(B2459="",G2459=""),"",IF(C2459="","Gasto",C2459))</f>
        <v/>
      </c>
      <c r="Q2459" s="52">
        <f>IF(P2459="","",IF(J2459&lt;&gt;"",J2459,CuentaPred&amp;""))</f>
        <v/>
      </c>
      <c r="R2459" s="52">
        <f>IF(P2459="","",IF(ISNUMBER(I2459),I2459,TasaUSD))</f>
        <v/>
      </c>
      <c r="S2459" s="53">
        <f>IF(P2459="","",IF(H2459="USD",G2459*R2459,G2459))</f>
        <v/>
      </c>
      <c r="T2459" s="53">
        <f>IF(P2459="","",IF(H2459="USD",G2459,IF(R2459&gt;0,G2459/R2459,0)))</f>
        <v/>
      </c>
      <c r="U2459" s="53">
        <f>IF(P2459="","",IF(P2459="Gasto",S2459,IF(P2459="Reembolso",-S2459,0)))</f>
        <v/>
      </c>
      <c r="V2459" s="53">
        <f>IF(P2459="","",IF(P2459="Ingreso",S2459,0))</f>
        <v/>
      </c>
      <c r="W2459" s="53">
        <f>IF(P2459="","",IF(P2459="Resultado trading",S2459,0))</f>
        <v/>
      </c>
      <c r="X2459" s="52">
        <f>IF(OR(P2459="Gasto",P2459="Reembolso"),IF(M2459&lt;&gt;"",M2459,IFERROR(INDEX(catClasif,MATCH(D2459&amp;"|"&amp;E2459,catClave,0))&amp;"","Variable")),"")</f>
        <v/>
      </c>
      <c r="Y2459" s="52">
        <f>IF(P2459="","",IFERROR(INDEX(catGrupo,MATCH(D2459&amp;"|"&amp;E2459,catClave,0))&amp;"",""))</f>
        <v/>
      </c>
      <c r="Z2459" s="52">
        <f>IF(P2459="","",WEEKDAY(B2459,2))</f>
        <v/>
      </c>
      <c r="AA2459" s="52">
        <f>IF(P2459="","",IF(AND(P2459="Gasto",X2459="Variable",D2459&lt;&gt;catTrading,S2459&gt;0,S2459&lt;=Umbral),1,0))</f>
        <v/>
      </c>
      <c r="AB2459" s="52">
        <f>IF(OR(P2459="",Q2459=""),"",IFERROR(IF(INDEX(ctaVinc,MATCH(Q2459,ctaNombre,0))&amp;""&lt;&gt;"",INDEX(ctaVinc,MATCH(Q2459,ctaNombre,0))&amp;"",Q2459),Q2459))</f>
        <v/>
      </c>
      <c r="AC2459" s="52">
        <f>IF(OR(K2459="",AND(P2459&lt;&gt;"Transferencia",P2459&lt;&gt;"Pago tarjeta")),"",IFERROR(IF(INDEX(ctaVinc,MATCH(K2459,ctaNombre,0))&amp;""&lt;&gt;"",INDEX(ctaVinc,MATCH(K2459,ctaNombre,0))&amp;"",K2459),K2459))</f>
        <v/>
      </c>
      <c r="AD2459" s="52">
        <f>IF(AB2459="","",IFERROR(INDEX(ctaTipo,MATCH(AB2459,ctaNombre,0))&amp;"",""))</f>
        <v/>
      </c>
      <c r="AE2459" s="52">
        <f>IF(AC2459="","",IFERROR(INDEX(ctaTipo,MATCH(AC2459,ctaNombre,0))&amp;"",""))</f>
        <v/>
      </c>
      <c r="AF2459" s="53">
        <f>IF(OR(P2459="",AB2459=""),"",IF(OR(P2459="Gasto",P2459="Transferencia",P2459="Pago tarjeta"),-1,1)*IF(IFERROR(INDEX(ctaMoneda,MATCH(AB2459,ctaNombre,0))&amp;"","DOP")="USD",T2459,S2459))</f>
        <v/>
      </c>
      <c r="AG2459" s="53">
        <f>IF(AC2459="","",IF(IFERROR(INDEX(ctaMoneda,MATCH(AC2459,ctaNombre,0))&amp;"","DOP")="USD",T2459,S2459))</f>
        <v/>
      </c>
      <c r="AH2459" s="53">
        <f>IF(P2459="","",IF(AND(AD2459&lt;&gt;"",COUNTIFS(tcTipo,AD2459,tcLiq,"Sí")&gt;0),IF(OR(P2459="Gasto",P2459="Transferencia",P2459="Pago tarjeta"),-1,1)*S2459,0)+IF(AND(AE2459&lt;&gt;"",COUNTIFS(tcTipo,AE2459,tcLiq,"Sí")&gt;0),S2459,0))</f>
        <v/>
      </c>
      <c r="AI2459" s="52">
        <f>IF(OR(L2459="",P2459=""),"",IF(COUNTIFS(L$6:L2459,L2459,P$6:P2459,"?*")=1,MAX(AI$5:AI2458)+1,""))</f>
        <v/>
      </c>
    </row>
    <row r="2460">
      <c r="B2460" s="47" t="n"/>
      <c r="C2460" s="48" t="n"/>
      <c r="D2460" s="48" t="n"/>
      <c r="E2460" s="48" t="n"/>
      <c r="F2460" s="48" t="n"/>
      <c r="G2460" s="49" t="n"/>
      <c r="H2460" s="48" t="n"/>
      <c r="I2460" s="50" t="n"/>
      <c r="J2460" s="48" t="n"/>
      <c r="K2460" s="48" t="n"/>
      <c r="L2460" s="48" t="n"/>
      <c r="M2460" s="48" t="n"/>
      <c r="N2460" s="48" t="n"/>
      <c r="O2460" s="51">
        <f>IF(AND(B2460="",G2460="",C2460="",D2460="",J2460=""),"",IF(B2460="","⚠ Falta fecha",IF(G2460="","⚠ Falta monto",IF(Q2460="","⚠ Falta cuenta",IF(ISNA(MATCH(Q2460,ctaNombre,0)),"⚠ Cuenta no registrada",IF(AND(OR(P2460="Gasto",P2460="Reembolso"),D2460=""),"⚠ Falta categoría",IF(AND(D2460&lt;&gt;"",E2460&lt;&gt;"",ISNA(MATCH(D2460&amp;"|"&amp;E2460,catClave,0))),"⚠ Subcategoría no corresponde",IF(AND(OR(P2460="Transferencia",P2460="Pago tarjeta"),K2460=""),"⚠ Falta cuenta destino",IF(AND(K2460&lt;&gt;"",P2460&lt;&gt;"Transferencia",P2460&lt;&gt;"Pago tarjeta"),"⚠ Destino solo aplica a transferencias",IF(AND(K2460&lt;&gt;"",K2460=Q2460),"⚠ Origen igual a destino",IF(AND(K2460&lt;&gt;"",ISNA(MATCH(K2460,ctaNombre,0))),"⚠ Destino no registrado",IF(AND(P2460="Pago tarjeta",AE2460&lt;&gt;"Tarjeta de crédito"),"⚠ El destino debe ser tarjeta de crédito",IF(AND(P2460="Gasto",E2460="Depósitos y retiros"),"⚠ Usa tipo Transferencia",IF(AND(P2460="Resultado trading",AD2460&lt;&gt;"Cuenta de trading"),"⚠ Usa una cuenta de trading",IF(AND(G2460&lt;=0,P2460&lt;&gt;"Ajuste",P2460&lt;&gt;"Resultado trading"),"⚠ El monto debe ser positivo","✓")))))))))))))))</f>
        <v/>
      </c>
      <c r="P2460" s="52">
        <f>IF(OR(B2460="",G2460=""),"",IF(C2460="","Gasto",C2460))</f>
        <v/>
      </c>
      <c r="Q2460" s="52">
        <f>IF(P2460="","",IF(J2460&lt;&gt;"",J2460,CuentaPred&amp;""))</f>
        <v/>
      </c>
      <c r="R2460" s="52">
        <f>IF(P2460="","",IF(ISNUMBER(I2460),I2460,TasaUSD))</f>
        <v/>
      </c>
      <c r="S2460" s="53">
        <f>IF(P2460="","",IF(H2460="USD",G2460*R2460,G2460))</f>
        <v/>
      </c>
      <c r="T2460" s="53">
        <f>IF(P2460="","",IF(H2460="USD",G2460,IF(R2460&gt;0,G2460/R2460,0)))</f>
        <v/>
      </c>
      <c r="U2460" s="53">
        <f>IF(P2460="","",IF(P2460="Gasto",S2460,IF(P2460="Reembolso",-S2460,0)))</f>
        <v/>
      </c>
      <c r="V2460" s="53">
        <f>IF(P2460="","",IF(P2460="Ingreso",S2460,0))</f>
        <v/>
      </c>
      <c r="W2460" s="53">
        <f>IF(P2460="","",IF(P2460="Resultado trading",S2460,0))</f>
        <v/>
      </c>
      <c r="X2460" s="52">
        <f>IF(OR(P2460="Gasto",P2460="Reembolso"),IF(M2460&lt;&gt;"",M2460,IFERROR(INDEX(catClasif,MATCH(D2460&amp;"|"&amp;E2460,catClave,0))&amp;"","Variable")),"")</f>
        <v/>
      </c>
      <c r="Y2460" s="52">
        <f>IF(P2460="","",IFERROR(INDEX(catGrupo,MATCH(D2460&amp;"|"&amp;E2460,catClave,0))&amp;"",""))</f>
        <v/>
      </c>
      <c r="Z2460" s="52">
        <f>IF(P2460="","",WEEKDAY(B2460,2))</f>
        <v/>
      </c>
      <c r="AA2460" s="52">
        <f>IF(P2460="","",IF(AND(P2460="Gasto",X2460="Variable",D2460&lt;&gt;catTrading,S2460&gt;0,S2460&lt;=Umbral),1,0))</f>
        <v/>
      </c>
      <c r="AB2460" s="52">
        <f>IF(OR(P2460="",Q2460=""),"",IFERROR(IF(INDEX(ctaVinc,MATCH(Q2460,ctaNombre,0))&amp;""&lt;&gt;"",INDEX(ctaVinc,MATCH(Q2460,ctaNombre,0))&amp;"",Q2460),Q2460))</f>
        <v/>
      </c>
      <c r="AC2460" s="52">
        <f>IF(OR(K2460="",AND(P2460&lt;&gt;"Transferencia",P2460&lt;&gt;"Pago tarjeta")),"",IFERROR(IF(INDEX(ctaVinc,MATCH(K2460,ctaNombre,0))&amp;""&lt;&gt;"",INDEX(ctaVinc,MATCH(K2460,ctaNombre,0))&amp;"",K2460),K2460))</f>
        <v/>
      </c>
      <c r="AD2460" s="52">
        <f>IF(AB2460="","",IFERROR(INDEX(ctaTipo,MATCH(AB2460,ctaNombre,0))&amp;"",""))</f>
        <v/>
      </c>
      <c r="AE2460" s="52">
        <f>IF(AC2460="","",IFERROR(INDEX(ctaTipo,MATCH(AC2460,ctaNombre,0))&amp;"",""))</f>
        <v/>
      </c>
      <c r="AF2460" s="53">
        <f>IF(OR(P2460="",AB2460=""),"",IF(OR(P2460="Gasto",P2460="Transferencia",P2460="Pago tarjeta"),-1,1)*IF(IFERROR(INDEX(ctaMoneda,MATCH(AB2460,ctaNombre,0))&amp;"","DOP")="USD",T2460,S2460))</f>
        <v/>
      </c>
      <c r="AG2460" s="53">
        <f>IF(AC2460="","",IF(IFERROR(INDEX(ctaMoneda,MATCH(AC2460,ctaNombre,0))&amp;"","DOP")="USD",T2460,S2460))</f>
        <v/>
      </c>
      <c r="AH2460" s="53">
        <f>IF(P2460="","",IF(AND(AD2460&lt;&gt;"",COUNTIFS(tcTipo,AD2460,tcLiq,"Sí")&gt;0),IF(OR(P2460="Gasto",P2460="Transferencia",P2460="Pago tarjeta"),-1,1)*S2460,0)+IF(AND(AE2460&lt;&gt;"",COUNTIFS(tcTipo,AE2460,tcLiq,"Sí")&gt;0),S2460,0))</f>
        <v/>
      </c>
      <c r="AI2460" s="52">
        <f>IF(OR(L2460="",P2460=""),"",IF(COUNTIFS(L$6:L2460,L2460,P$6:P2460,"?*")=1,MAX(AI$5:AI2459)+1,""))</f>
        <v/>
      </c>
    </row>
    <row r="2461">
      <c r="B2461" s="47" t="n"/>
      <c r="C2461" s="48" t="n"/>
      <c r="D2461" s="48" t="n"/>
      <c r="E2461" s="48" t="n"/>
      <c r="F2461" s="48" t="n"/>
      <c r="G2461" s="49" t="n"/>
      <c r="H2461" s="48" t="n"/>
      <c r="I2461" s="50" t="n"/>
      <c r="J2461" s="48" t="n"/>
      <c r="K2461" s="48" t="n"/>
      <c r="L2461" s="48" t="n"/>
      <c r="M2461" s="48" t="n"/>
      <c r="N2461" s="48" t="n"/>
      <c r="O2461" s="51">
        <f>IF(AND(B2461="",G2461="",C2461="",D2461="",J2461=""),"",IF(B2461="","⚠ Falta fecha",IF(G2461="","⚠ Falta monto",IF(Q2461="","⚠ Falta cuenta",IF(ISNA(MATCH(Q2461,ctaNombre,0)),"⚠ Cuenta no registrada",IF(AND(OR(P2461="Gasto",P2461="Reembolso"),D2461=""),"⚠ Falta categoría",IF(AND(D2461&lt;&gt;"",E2461&lt;&gt;"",ISNA(MATCH(D2461&amp;"|"&amp;E2461,catClave,0))),"⚠ Subcategoría no corresponde",IF(AND(OR(P2461="Transferencia",P2461="Pago tarjeta"),K2461=""),"⚠ Falta cuenta destino",IF(AND(K2461&lt;&gt;"",P2461&lt;&gt;"Transferencia",P2461&lt;&gt;"Pago tarjeta"),"⚠ Destino solo aplica a transferencias",IF(AND(K2461&lt;&gt;"",K2461=Q2461),"⚠ Origen igual a destino",IF(AND(K2461&lt;&gt;"",ISNA(MATCH(K2461,ctaNombre,0))),"⚠ Destino no registrado",IF(AND(P2461="Pago tarjeta",AE2461&lt;&gt;"Tarjeta de crédito"),"⚠ El destino debe ser tarjeta de crédito",IF(AND(P2461="Gasto",E2461="Depósitos y retiros"),"⚠ Usa tipo Transferencia",IF(AND(P2461="Resultado trading",AD2461&lt;&gt;"Cuenta de trading"),"⚠ Usa una cuenta de trading",IF(AND(G2461&lt;=0,P2461&lt;&gt;"Ajuste",P2461&lt;&gt;"Resultado trading"),"⚠ El monto debe ser positivo","✓")))))))))))))))</f>
        <v/>
      </c>
      <c r="P2461" s="52">
        <f>IF(OR(B2461="",G2461=""),"",IF(C2461="","Gasto",C2461))</f>
        <v/>
      </c>
      <c r="Q2461" s="52">
        <f>IF(P2461="","",IF(J2461&lt;&gt;"",J2461,CuentaPred&amp;""))</f>
        <v/>
      </c>
      <c r="R2461" s="52">
        <f>IF(P2461="","",IF(ISNUMBER(I2461),I2461,TasaUSD))</f>
        <v/>
      </c>
      <c r="S2461" s="53">
        <f>IF(P2461="","",IF(H2461="USD",G2461*R2461,G2461))</f>
        <v/>
      </c>
      <c r="T2461" s="53">
        <f>IF(P2461="","",IF(H2461="USD",G2461,IF(R2461&gt;0,G2461/R2461,0)))</f>
        <v/>
      </c>
      <c r="U2461" s="53">
        <f>IF(P2461="","",IF(P2461="Gasto",S2461,IF(P2461="Reembolso",-S2461,0)))</f>
        <v/>
      </c>
      <c r="V2461" s="53">
        <f>IF(P2461="","",IF(P2461="Ingreso",S2461,0))</f>
        <v/>
      </c>
      <c r="W2461" s="53">
        <f>IF(P2461="","",IF(P2461="Resultado trading",S2461,0))</f>
        <v/>
      </c>
      <c r="X2461" s="52">
        <f>IF(OR(P2461="Gasto",P2461="Reembolso"),IF(M2461&lt;&gt;"",M2461,IFERROR(INDEX(catClasif,MATCH(D2461&amp;"|"&amp;E2461,catClave,0))&amp;"","Variable")),"")</f>
        <v/>
      </c>
      <c r="Y2461" s="52">
        <f>IF(P2461="","",IFERROR(INDEX(catGrupo,MATCH(D2461&amp;"|"&amp;E2461,catClave,0))&amp;"",""))</f>
        <v/>
      </c>
      <c r="Z2461" s="52">
        <f>IF(P2461="","",WEEKDAY(B2461,2))</f>
        <v/>
      </c>
      <c r="AA2461" s="52">
        <f>IF(P2461="","",IF(AND(P2461="Gasto",X2461="Variable",D2461&lt;&gt;catTrading,S2461&gt;0,S2461&lt;=Umbral),1,0))</f>
        <v/>
      </c>
      <c r="AB2461" s="52">
        <f>IF(OR(P2461="",Q2461=""),"",IFERROR(IF(INDEX(ctaVinc,MATCH(Q2461,ctaNombre,0))&amp;""&lt;&gt;"",INDEX(ctaVinc,MATCH(Q2461,ctaNombre,0))&amp;"",Q2461),Q2461))</f>
        <v/>
      </c>
      <c r="AC2461" s="52">
        <f>IF(OR(K2461="",AND(P2461&lt;&gt;"Transferencia",P2461&lt;&gt;"Pago tarjeta")),"",IFERROR(IF(INDEX(ctaVinc,MATCH(K2461,ctaNombre,0))&amp;""&lt;&gt;"",INDEX(ctaVinc,MATCH(K2461,ctaNombre,0))&amp;"",K2461),K2461))</f>
        <v/>
      </c>
      <c r="AD2461" s="52">
        <f>IF(AB2461="","",IFERROR(INDEX(ctaTipo,MATCH(AB2461,ctaNombre,0))&amp;"",""))</f>
        <v/>
      </c>
      <c r="AE2461" s="52">
        <f>IF(AC2461="","",IFERROR(INDEX(ctaTipo,MATCH(AC2461,ctaNombre,0))&amp;"",""))</f>
        <v/>
      </c>
      <c r="AF2461" s="53">
        <f>IF(OR(P2461="",AB2461=""),"",IF(OR(P2461="Gasto",P2461="Transferencia",P2461="Pago tarjeta"),-1,1)*IF(IFERROR(INDEX(ctaMoneda,MATCH(AB2461,ctaNombre,0))&amp;"","DOP")="USD",T2461,S2461))</f>
        <v/>
      </c>
      <c r="AG2461" s="53">
        <f>IF(AC2461="","",IF(IFERROR(INDEX(ctaMoneda,MATCH(AC2461,ctaNombre,0))&amp;"","DOP")="USD",T2461,S2461))</f>
        <v/>
      </c>
      <c r="AH2461" s="53">
        <f>IF(P2461="","",IF(AND(AD2461&lt;&gt;"",COUNTIFS(tcTipo,AD2461,tcLiq,"Sí")&gt;0),IF(OR(P2461="Gasto",P2461="Transferencia",P2461="Pago tarjeta"),-1,1)*S2461,0)+IF(AND(AE2461&lt;&gt;"",COUNTIFS(tcTipo,AE2461,tcLiq,"Sí")&gt;0),S2461,0))</f>
        <v/>
      </c>
      <c r="AI2461" s="52">
        <f>IF(OR(L2461="",P2461=""),"",IF(COUNTIFS(L$6:L2461,L2461,P$6:P2461,"?*")=1,MAX(AI$5:AI2460)+1,""))</f>
        <v/>
      </c>
    </row>
    <row r="2462">
      <c r="B2462" s="47" t="n"/>
      <c r="C2462" s="48" t="n"/>
      <c r="D2462" s="48" t="n"/>
      <c r="E2462" s="48" t="n"/>
      <c r="F2462" s="48" t="n"/>
      <c r="G2462" s="49" t="n"/>
      <c r="H2462" s="48" t="n"/>
      <c r="I2462" s="50" t="n"/>
      <c r="J2462" s="48" t="n"/>
      <c r="K2462" s="48" t="n"/>
      <c r="L2462" s="48" t="n"/>
      <c r="M2462" s="48" t="n"/>
      <c r="N2462" s="48" t="n"/>
      <c r="O2462" s="51">
        <f>IF(AND(B2462="",G2462="",C2462="",D2462="",J2462=""),"",IF(B2462="","⚠ Falta fecha",IF(G2462="","⚠ Falta monto",IF(Q2462="","⚠ Falta cuenta",IF(ISNA(MATCH(Q2462,ctaNombre,0)),"⚠ Cuenta no registrada",IF(AND(OR(P2462="Gasto",P2462="Reembolso"),D2462=""),"⚠ Falta categoría",IF(AND(D2462&lt;&gt;"",E2462&lt;&gt;"",ISNA(MATCH(D2462&amp;"|"&amp;E2462,catClave,0))),"⚠ Subcategoría no corresponde",IF(AND(OR(P2462="Transferencia",P2462="Pago tarjeta"),K2462=""),"⚠ Falta cuenta destino",IF(AND(K2462&lt;&gt;"",P2462&lt;&gt;"Transferencia",P2462&lt;&gt;"Pago tarjeta"),"⚠ Destino solo aplica a transferencias",IF(AND(K2462&lt;&gt;"",K2462=Q2462),"⚠ Origen igual a destino",IF(AND(K2462&lt;&gt;"",ISNA(MATCH(K2462,ctaNombre,0))),"⚠ Destino no registrado",IF(AND(P2462="Pago tarjeta",AE2462&lt;&gt;"Tarjeta de crédito"),"⚠ El destino debe ser tarjeta de crédito",IF(AND(P2462="Gasto",E2462="Depósitos y retiros"),"⚠ Usa tipo Transferencia",IF(AND(P2462="Resultado trading",AD2462&lt;&gt;"Cuenta de trading"),"⚠ Usa una cuenta de trading",IF(AND(G2462&lt;=0,P2462&lt;&gt;"Ajuste",P2462&lt;&gt;"Resultado trading"),"⚠ El monto debe ser positivo","✓")))))))))))))))</f>
        <v/>
      </c>
      <c r="P2462" s="52">
        <f>IF(OR(B2462="",G2462=""),"",IF(C2462="","Gasto",C2462))</f>
        <v/>
      </c>
      <c r="Q2462" s="52">
        <f>IF(P2462="","",IF(J2462&lt;&gt;"",J2462,CuentaPred&amp;""))</f>
        <v/>
      </c>
      <c r="R2462" s="52">
        <f>IF(P2462="","",IF(ISNUMBER(I2462),I2462,TasaUSD))</f>
        <v/>
      </c>
      <c r="S2462" s="53">
        <f>IF(P2462="","",IF(H2462="USD",G2462*R2462,G2462))</f>
        <v/>
      </c>
      <c r="T2462" s="53">
        <f>IF(P2462="","",IF(H2462="USD",G2462,IF(R2462&gt;0,G2462/R2462,0)))</f>
        <v/>
      </c>
      <c r="U2462" s="53">
        <f>IF(P2462="","",IF(P2462="Gasto",S2462,IF(P2462="Reembolso",-S2462,0)))</f>
        <v/>
      </c>
      <c r="V2462" s="53">
        <f>IF(P2462="","",IF(P2462="Ingreso",S2462,0))</f>
        <v/>
      </c>
      <c r="W2462" s="53">
        <f>IF(P2462="","",IF(P2462="Resultado trading",S2462,0))</f>
        <v/>
      </c>
      <c r="X2462" s="52">
        <f>IF(OR(P2462="Gasto",P2462="Reembolso"),IF(M2462&lt;&gt;"",M2462,IFERROR(INDEX(catClasif,MATCH(D2462&amp;"|"&amp;E2462,catClave,0))&amp;"","Variable")),"")</f>
        <v/>
      </c>
      <c r="Y2462" s="52">
        <f>IF(P2462="","",IFERROR(INDEX(catGrupo,MATCH(D2462&amp;"|"&amp;E2462,catClave,0))&amp;"",""))</f>
        <v/>
      </c>
      <c r="Z2462" s="52">
        <f>IF(P2462="","",WEEKDAY(B2462,2))</f>
        <v/>
      </c>
      <c r="AA2462" s="52">
        <f>IF(P2462="","",IF(AND(P2462="Gasto",X2462="Variable",D2462&lt;&gt;catTrading,S2462&gt;0,S2462&lt;=Umbral),1,0))</f>
        <v/>
      </c>
      <c r="AB2462" s="52">
        <f>IF(OR(P2462="",Q2462=""),"",IFERROR(IF(INDEX(ctaVinc,MATCH(Q2462,ctaNombre,0))&amp;""&lt;&gt;"",INDEX(ctaVinc,MATCH(Q2462,ctaNombre,0))&amp;"",Q2462),Q2462))</f>
        <v/>
      </c>
      <c r="AC2462" s="52">
        <f>IF(OR(K2462="",AND(P2462&lt;&gt;"Transferencia",P2462&lt;&gt;"Pago tarjeta")),"",IFERROR(IF(INDEX(ctaVinc,MATCH(K2462,ctaNombre,0))&amp;""&lt;&gt;"",INDEX(ctaVinc,MATCH(K2462,ctaNombre,0))&amp;"",K2462),K2462))</f>
        <v/>
      </c>
      <c r="AD2462" s="52">
        <f>IF(AB2462="","",IFERROR(INDEX(ctaTipo,MATCH(AB2462,ctaNombre,0))&amp;"",""))</f>
        <v/>
      </c>
      <c r="AE2462" s="52">
        <f>IF(AC2462="","",IFERROR(INDEX(ctaTipo,MATCH(AC2462,ctaNombre,0))&amp;"",""))</f>
        <v/>
      </c>
      <c r="AF2462" s="53">
        <f>IF(OR(P2462="",AB2462=""),"",IF(OR(P2462="Gasto",P2462="Transferencia",P2462="Pago tarjeta"),-1,1)*IF(IFERROR(INDEX(ctaMoneda,MATCH(AB2462,ctaNombre,0))&amp;"","DOP")="USD",T2462,S2462))</f>
        <v/>
      </c>
      <c r="AG2462" s="53">
        <f>IF(AC2462="","",IF(IFERROR(INDEX(ctaMoneda,MATCH(AC2462,ctaNombre,0))&amp;"","DOP")="USD",T2462,S2462))</f>
        <v/>
      </c>
      <c r="AH2462" s="53">
        <f>IF(P2462="","",IF(AND(AD2462&lt;&gt;"",COUNTIFS(tcTipo,AD2462,tcLiq,"Sí")&gt;0),IF(OR(P2462="Gasto",P2462="Transferencia",P2462="Pago tarjeta"),-1,1)*S2462,0)+IF(AND(AE2462&lt;&gt;"",COUNTIFS(tcTipo,AE2462,tcLiq,"Sí")&gt;0),S2462,0))</f>
        <v/>
      </c>
      <c r="AI2462" s="52">
        <f>IF(OR(L2462="",P2462=""),"",IF(COUNTIFS(L$6:L2462,L2462,P$6:P2462,"?*")=1,MAX(AI$5:AI2461)+1,""))</f>
        <v/>
      </c>
    </row>
    <row r="2463">
      <c r="B2463" s="47" t="n"/>
      <c r="C2463" s="48" t="n"/>
      <c r="D2463" s="48" t="n"/>
      <c r="E2463" s="48" t="n"/>
      <c r="F2463" s="48" t="n"/>
      <c r="G2463" s="49" t="n"/>
      <c r="H2463" s="48" t="n"/>
      <c r="I2463" s="50" t="n"/>
      <c r="J2463" s="48" t="n"/>
      <c r="K2463" s="48" t="n"/>
      <c r="L2463" s="48" t="n"/>
      <c r="M2463" s="48" t="n"/>
      <c r="N2463" s="48" t="n"/>
      <c r="O2463" s="51">
        <f>IF(AND(B2463="",G2463="",C2463="",D2463="",J2463=""),"",IF(B2463="","⚠ Falta fecha",IF(G2463="","⚠ Falta monto",IF(Q2463="","⚠ Falta cuenta",IF(ISNA(MATCH(Q2463,ctaNombre,0)),"⚠ Cuenta no registrada",IF(AND(OR(P2463="Gasto",P2463="Reembolso"),D2463=""),"⚠ Falta categoría",IF(AND(D2463&lt;&gt;"",E2463&lt;&gt;"",ISNA(MATCH(D2463&amp;"|"&amp;E2463,catClave,0))),"⚠ Subcategoría no corresponde",IF(AND(OR(P2463="Transferencia",P2463="Pago tarjeta"),K2463=""),"⚠ Falta cuenta destino",IF(AND(K2463&lt;&gt;"",P2463&lt;&gt;"Transferencia",P2463&lt;&gt;"Pago tarjeta"),"⚠ Destino solo aplica a transferencias",IF(AND(K2463&lt;&gt;"",K2463=Q2463),"⚠ Origen igual a destino",IF(AND(K2463&lt;&gt;"",ISNA(MATCH(K2463,ctaNombre,0))),"⚠ Destino no registrado",IF(AND(P2463="Pago tarjeta",AE2463&lt;&gt;"Tarjeta de crédito"),"⚠ El destino debe ser tarjeta de crédito",IF(AND(P2463="Gasto",E2463="Depósitos y retiros"),"⚠ Usa tipo Transferencia",IF(AND(P2463="Resultado trading",AD2463&lt;&gt;"Cuenta de trading"),"⚠ Usa una cuenta de trading",IF(AND(G2463&lt;=0,P2463&lt;&gt;"Ajuste",P2463&lt;&gt;"Resultado trading"),"⚠ El monto debe ser positivo","✓")))))))))))))))</f>
        <v/>
      </c>
      <c r="P2463" s="52">
        <f>IF(OR(B2463="",G2463=""),"",IF(C2463="","Gasto",C2463))</f>
        <v/>
      </c>
      <c r="Q2463" s="52">
        <f>IF(P2463="","",IF(J2463&lt;&gt;"",J2463,CuentaPred&amp;""))</f>
        <v/>
      </c>
      <c r="R2463" s="52">
        <f>IF(P2463="","",IF(ISNUMBER(I2463),I2463,TasaUSD))</f>
        <v/>
      </c>
      <c r="S2463" s="53">
        <f>IF(P2463="","",IF(H2463="USD",G2463*R2463,G2463))</f>
        <v/>
      </c>
      <c r="T2463" s="53">
        <f>IF(P2463="","",IF(H2463="USD",G2463,IF(R2463&gt;0,G2463/R2463,0)))</f>
        <v/>
      </c>
      <c r="U2463" s="53">
        <f>IF(P2463="","",IF(P2463="Gasto",S2463,IF(P2463="Reembolso",-S2463,0)))</f>
        <v/>
      </c>
      <c r="V2463" s="53">
        <f>IF(P2463="","",IF(P2463="Ingreso",S2463,0))</f>
        <v/>
      </c>
      <c r="W2463" s="53">
        <f>IF(P2463="","",IF(P2463="Resultado trading",S2463,0))</f>
        <v/>
      </c>
      <c r="X2463" s="52">
        <f>IF(OR(P2463="Gasto",P2463="Reembolso"),IF(M2463&lt;&gt;"",M2463,IFERROR(INDEX(catClasif,MATCH(D2463&amp;"|"&amp;E2463,catClave,0))&amp;"","Variable")),"")</f>
        <v/>
      </c>
      <c r="Y2463" s="52">
        <f>IF(P2463="","",IFERROR(INDEX(catGrupo,MATCH(D2463&amp;"|"&amp;E2463,catClave,0))&amp;"",""))</f>
        <v/>
      </c>
      <c r="Z2463" s="52">
        <f>IF(P2463="","",WEEKDAY(B2463,2))</f>
        <v/>
      </c>
      <c r="AA2463" s="52">
        <f>IF(P2463="","",IF(AND(P2463="Gasto",X2463="Variable",D2463&lt;&gt;catTrading,S2463&gt;0,S2463&lt;=Umbral),1,0))</f>
        <v/>
      </c>
      <c r="AB2463" s="52">
        <f>IF(OR(P2463="",Q2463=""),"",IFERROR(IF(INDEX(ctaVinc,MATCH(Q2463,ctaNombre,0))&amp;""&lt;&gt;"",INDEX(ctaVinc,MATCH(Q2463,ctaNombre,0))&amp;"",Q2463),Q2463))</f>
        <v/>
      </c>
      <c r="AC2463" s="52">
        <f>IF(OR(K2463="",AND(P2463&lt;&gt;"Transferencia",P2463&lt;&gt;"Pago tarjeta")),"",IFERROR(IF(INDEX(ctaVinc,MATCH(K2463,ctaNombre,0))&amp;""&lt;&gt;"",INDEX(ctaVinc,MATCH(K2463,ctaNombre,0))&amp;"",K2463),K2463))</f>
        <v/>
      </c>
      <c r="AD2463" s="52">
        <f>IF(AB2463="","",IFERROR(INDEX(ctaTipo,MATCH(AB2463,ctaNombre,0))&amp;"",""))</f>
        <v/>
      </c>
      <c r="AE2463" s="52">
        <f>IF(AC2463="","",IFERROR(INDEX(ctaTipo,MATCH(AC2463,ctaNombre,0))&amp;"",""))</f>
        <v/>
      </c>
      <c r="AF2463" s="53">
        <f>IF(OR(P2463="",AB2463=""),"",IF(OR(P2463="Gasto",P2463="Transferencia",P2463="Pago tarjeta"),-1,1)*IF(IFERROR(INDEX(ctaMoneda,MATCH(AB2463,ctaNombre,0))&amp;"","DOP")="USD",T2463,S2463))</f>
        <v/>
      </c>
      <c r="AG2463" s="53">
        <f>IF(AC2463="","",IF(IFERROR(INDEX(ctaMoneda,MATCH(AC2463,ctaNombre,0))&amp;"","DOP")="USD",T2463,S2463))</f>
        <v/>
      </c>
      <c r="AH2463" s="53">
        <f>IF(P2463="","",IF(AND(AD2463&lt;&gt;"",COUNTIFS(tcTipo,AD2463,tcLiq,"Sí")&gt;0),IF(OR(P2463="Gasto",P2463="Transferencia",P2463="Pago tarjeta"),-1,1)*S2463,0)+IF(AND(AE2463&lt;&gt;"",COUNTIFS(tcTipo,AE2463,tcLiq,"Sí")&gt;0),S2463,0))</f>
        <v/>
      </c>
      <c r="AI2463" s="52">
        <f>IF(OR(L2463="",P2463=""),"",IF(COUNTIFS(L$6:L2463,L2463,P$6:P2463,"?*")=1,MAX(AI$5:AI2462)+1,""))</f>
        <v/>
      </c>
    </row>
    <row r="2464">
      <c r="B2464" s="47" t="n"/>
      <c r="C2464" s="48" t="n"/>
      <c r="D2464" s="48" t="n"/>
      <c r="E2464" s="48" t="n"/>
      <c r="F2464" s="48" t="n"/>
      <c r="G2464" s="49" t="n"/>
      <c r="H2464" s="48" t="n"/>
      <c r="I2464" s="50" t="n"/>
      <c r="J2464" s="48" t="n"/>
      <c r="K2464" s="48" t="n"/>
      <c r="L2464" s="48" t="n"/>
      <c r="M2464" s="48" t="n"/>
      <c r="N2464" s="48" t="n"/>
      <c r="O2464" s="51">
        <f>IF(AND(B2464="",G2464="",C2464="",D2464="",J2464=""),"",IF(B2464="","⚠ Falta fecha",IF(G2464="","⚠ Falta monto",IF(Q2464="","⚠ Falta cuenta",IF(ISNA(MATCH(Q2464,ctaNombre,0)),"⚠ Cuenta no registrada",IF(AND(OR(P2464="Gasto",P2464="Reembolso"),D2464=""),"⚠ Falta categoría",IF(AND(D2464&lt;&gt;"",E2464&lt;&gt;"",ISNA(MATCH(D2464&amp;"|"&amp;E2464,catClave,0))),"⚠ Subcategoría no corresponde",IF(AND(OR(P2464="Transferencia",P2464="Pago tarjeta"),K2464=""),"⚠ Falta cuenta destino",IF(AND(K2464&lt;&gt;"",P2464&lt;&gt;"Transferencia",P2464&lt;&gt;"Pago tarjeta"),"⚠ Destino solo aplica a transferencias",IF(AND(K2464&lt;&gt;"",K2464=Q2464),"⚠ Origen igual a destino",IF(AND(K2464&lt;&gt;"",ISNA(MATCH(K2464,ctaNombre,0))),"⚠ Destino no registrado",IF(AND(P2464="Pago tarjeta",AE2464&lt;&gt;"Tarjeta de crédito"),"⚠ El destino debe ser tarjeta de crédito",IF(AND(P2464="Gasto",E2464="Depósitos y retiros"),"⚠ Usa tipo Transferencia",IF(AND(P2464="Resultado trading",AD2464&lt;&gt;"Cuenta de trading"),"⚠ Usa una cuenta de trading",IF(AND(G2464&lt;=0,P2464&lt;&gt;"Ajuste",P2464&lt;&gt;"Resultado trading"),"⚠ El monto debe ser positivo","✓")))))))))))))))</f>
        <v/>
      </c>
      <c r="P2464" s="52">
        <f>IF(OR(B2464="",G2464=""),"",IF(C2464="","Gasto",C2464))</f>
        <v/>
      </c>
      <c r="Q2464" s="52">
        <f>IF(P2464="","",IF(J2464&lt;&gt;"",J2464,CuentaPred&amp;""))</f>
        <v/>
      </c>
      <c r="R2464" s="52">
        <f>IF(P2464="","",IF(ISNUMBER(I2464),I2464,TasaUSD))</f>
        <v/>
      </c>
      <c r="S2464" s="53">
        <f>IF(P2464="","",IF(H2464="USD",G2464*R2464,G2464))</f>
        <v/>
      </c>
      <c r="T2464" s="53">
        <f>IF(P2464="","",IF(H2464="USD",G2464,IF(R2464&gt;0,G2464/R2464,0)))</f>
        <v/>
      </c>
      <c r="U2464" s="53">
        <f>IF(P2464="","",IF(P2464="Gasto",S2464,IF(P2464="Reembolso",-S2464,0)))</f>
        <v/>
      </c>
      <c r="V2464" s="53">
        <f>IF(P2464="","",IF(P2464="Ingreso",S2464,0))</f>
        <v/>
      </c>
      <c r="W2464" s="53">
        <f>IF(P2464="","",IF(P2464="Resultado trading",S2464,0))</f>
        <v/>
      </c>
      <c r="X2464" s="52">
        <f>IF(OR(P2464="Gasto",P2464="Reembolso"),IF(M2464&lt;&gt;"",M2464,IFERROR(INDEX(catClasif,MATCH(D2464&amp;"|"&amp;E2464,catClave,0))&amp;"","Variable")),"")</f>
        <v/>
      </c>
      <c r="Y2464" s="52">
        <f>IF(P2464="","",IFERROR(INDEX(catGrupo,MATCH(D2464&amp;"|"&amp;E2464,catClave,0))&amp;"",""))</f>
        <v/>
      </c>
      <c r="Z2464" s="52">
        <f>IF(P2464="","",WEEKDAY(B2464,2))</f>
        <v/>
      </c>
      <c r="AA2464" s="52">
        <f>IF(P2464="","",IF(AND(P2464="Gasto",X2464="Variable",D2464&lt;&gt;catTrading,S2464&gt;0,S2464&lt;=Umbral),1,0))</f>
        <v/>
      </c>
      <c r="AB2464" s="52">
        <f>IF(OR(P2464="",Q2464=""),"",IFERROR(IF(INDEX(ctaVinc,MATCH(Q2464,ctaNombre,0))&amp;""&lt;&gt;"",INDEX(ctaVinc,MATCH(Q2464,ctaNombre,0))&amp;"",Q2464),Q2464))</f>
        <v/>
      </c>
      <c r="AC2464" s="52">
        <f>IF(OR(K2464="",AND(P2464&lt;&gt;"Transferencia",P2464&lt;&gt;"Pago tarjeta")),"",IFERROR(IF(INDEX(ctaVinc,MATCH(K2464,ctaNombre,0))&amp;""&lt;&gt;"",INDEX(ctaVinc,MATCH(K2464,ctaNombre,0))&amp;"",K2464),K2464))</f>
        <v/>
      </c>
      <c r="AD2464" s="52">
        <f>IF(AB2464="","",IFERROR(INDEX(ctaTipo,MATCH(AB2464,ctaNombre,0))&amp;"",""))</f>
        <v/>
      </c>
      <c r="AE2464" s="52">
        <f>IF(AC2464="","",IFERROR(INDEX(ctaTipo,MATCH(AC2464,ctaNombre,0))&amp;"",""))</f>
        <v/>
      </c>
      <c r="AF2464" s="53">
        <f>IF(OR(P2464="",AB2464=""),"",IF(OR(P2464="Gasto",P2464="Transferencia",P2464="Pago tarjeta"),-1,1)*IF(IFERROR(INDEX(ctaMoneda,MATCH(AB2464,ctaNombre,0))&amp;"","DOP")="USD",T2464,S2464))</f>
        <v/>
      </c>
      <c r="AG2464" s="53">
        <f>IF(AC2464="","",IF(IFERROR(INDEX(ctaMoneda,MATCH(AC2464,ctaNombre,0))&amp;"","DOP")="USD",T2464,S2464))</f>
        <v/>
      </c>
      <c r="AH2464" s="53">
        <f>IF(P2464="","",IF(AND(AD2464&lt;&gt;"",COUNTIFS(tcTipo,AD2464,tcLiq,"Sí")&gt;0),IF(OR(P2464="Gasto",P2464="Transferencia",P2464="Pago tarjeta"),-1,1)*S2464,0)+IF(AND(AE2464&lt;&gt;"",COUNTIFS(tcTipo,AE2464,tcLiq,"Sí")&gt;0),S2464,0))</f>
        <v/>
      </c>
      <c r="AI2464" s="52">
        <f>IF(OR(L2464="",P2464=""),"",IF(COUNTIFS(L$6:L2464,L2464,P$6:P2464,"?*")=1,MAX(AI$5:AI2463)+1,""))</f>
        <v/>
      </c>
    </row>
    <row r="2465">
      <c r="B2465" s="47" t="n"/>
      <c r="C2465" s="48" t="n"/>
      <c r="D2465" s="48" t="n"/>
      <c r="E2465" s="48" t="n"/>
      <c r="F2465" s="48" t="n"/>
      <c r="G2465" s="49" t="n"/>
      <c r="H2465" s="48" t="n"/>
      <c r="I2465" s="50" t="n"/>
      <c r="J2465" s="48" t="n"/>
      <c r="K2465" s="48" t="n"/>
      <c r="L2465" s="48" t="n"/>
      <c r="M2465" s="48" t="n"/>
      <c r="N2465" s="48" t="n"/>
      <c r="O2465" s="51">
        <f>IF(AND(B2465="",G2465="",C2465="",D2465="",J2465=""),"",IF(B2465="","⚠ Falta fecha",IF(G2465="","⚠ Falta monto",IF(Q2465="","⚠ Falta cuenta",IF(ISNA(MATCH(Q2465,ctaNombre,0)),"⚠ Cuenta no registrada",IF(AND(OR(P2465="Gasto",P2465="Reembolso"),D2465=""),"⚠ Falta categoría",IF(AND(D2465&lt;&gt;"",E2465&lt;&gt;"",ISNA(MATCH(D2465&amp;"|"&amp;E2465,catClave,0))),"⚠ Subcategoría no corresponde",IF(AND(OR(P2465="Transferencia",P2465="Pago tarjeta"),K2465=""),"⚠ Falta cuenta destino",IF(AND(K2465&lt;&gt;"",P2465&lt;&gt;"Transferencia",P2465&lt;&gt;"Pago tarjeta"),"⚠ Destino solo aplica a transferencias",IF(AND(K2465&lt;&gt;"",K2465=Q2465),"⚠ Origen igual a destino",IF(AND(K2465&lt;&gt;"",ISNA(MATCH(K2465,ctaNombre,0))),"⚠ Destino no registrado",IF(AND(P2465="Pago tarjeta",AE2465&lt;&gt;"Tarjeta de crédito"),"⚠ El destino debe ser tarjeta de crédito",IF(AND(P2465="Gasto",E2465="Depósitos y retiros"),"⚠ Usa tipo Transferencia",IF(AND(P2465="Resultado trading",AD2465&lt;&gt;"Cuenta de trading"),"⚠ Usa una cuenta de trading",IF(AND(G2465&lt;=0,P2465&lt;&gt;"Ajuste",P2465&lt;&gt;"Resultado trading"),"⚠ El monto debe ser positivo","✓")))))))))))))))</f>
        <v/>
      </c>
      <c r="P2465" s="52">
        <f>IF(OR(B2465="",G2465=""),"",IF(C2465="","Gasto",C2465))</f>
        <v/>
      </c>
      <c r="Q2465" s="52">
        <f>IF(P2465="","",IF(J2465&lt;&gt;"",J2465,CuentaPred&amp;""))</f>
        <v/>
      </c>
      <c r="R2465" s="52">
        <f>IF(P2465="","",IF(ISNUMBER(I2465),I2465,TasaUSD))</f>
        <v/>
      </c>
      <c r="S2465" s="53">
        <f>IF(P2465="","",IF(H2465="USD",G2465*R2465,G2465))</f>
        <v/>
      </c>
      <c r="T2465" s="53">
        <f>IF(P2465="","",IF(H2465="USD",G2465,IF(R2465&gt;0,G2465/R2465,0)))</f>
        <v/>
      </c>
      <c r="U2465" s="53">
        <f>IF(P2465="","",IF(P2465="Gasto",S2465,IF(P2465="Reembolso",-S2465,0)))</f>
        <v/>
      </c>
      <c r="V2465" s="53">
        <f>IF(P2465="","",IF(P2465="Ingreso",S2465,0))</f>
        <v/>
      </c>
      <c r="W2465" s="53">
        <f>IF(P2465="","",IF(P2465="Resultado trading",S2465,0))</f>
        <v/>
      </c>
      <c r="X2465" s="52">
        <f>IF(OR(P2465="Gasto",P2465="Reembolso"),IF(M2465&lt;&gt;"",M2465,IFERROR(INDEX(catClasif,MATCH(D2465&amp;"|"&amp;E2465,catClave,0))&amp;"","Variable")),"")</f>
        <v/>
      </c>
      <c r="Y2465" s="52">
        <f>IF(P2465="","",IFERROR(INDEX(catGrupo,MATCH(D2465&amp;"|"&amp;E2465,catClave,0))&amp;"",""))</f>
        <v/>
      </c>
      <c r="Z2465" s="52">
        <f>IF(P2465="","",WEEKDAY(B2465,2))</f>
        <v/>
      </c>
      <c r="AA2465" s="52">
        <f>IF(P2465="","",IF(AND(P2465="Gasto",X2465="Variable",D2465&lt;&gt;catTrading,S2465&gt;0,S2465&lt;=Umbral),1,0))</f>
        <v/>
      </c>
      <c r="AB2465" s="52">
        <f>IF(OR(P2465="",Q2465=""),"",IFERROR(IF(INDEX(ctaVinc,MATCH(Q2465,ctaNombre,0))&amp;""&lt;&gt;"",INDEX(ctaVinc,MATCH(Q2465,ctaNombre,0))&amp;"",Q2465),Q2465))</f>
        <v/>
      </c>
      <c r="AC2465" s="52">
        <f>IF(OR(K2465="",AND(P2465&lt;&gt;"Transferencia",P2465&lt;&gt;"Pago tarjeta")),"",IFERROR(IF(INDEX(ctaVinc,MATCH(K2465,ctaNombre,0))&amp;""&lt;&gt;"",INDEX(ctaVinc,MATCH(K2465,ctaNombre,0))&amp;"",K2465),K2465))</f>
        <v/>
      </c>
      <c r="AD2465" s="52">
        <f>IF(AB2465="","",IFERROR(INDEX(ctaTipo,MATCH(AB2465,ctaNombre,0))&amp;"",""))</f>
        <v/>
      </c>
      <c r="AE2465" s="52">
        <f>IF(AC2465="","",IFERROR(INDEX(ctaTipo,MATCH(AC2465,ctaNombre,0))&amp;"",""))</f>
        <v/>
      </c>
      <c r="AF2465" s="53">
        <f>IF(OR(P2465="",AB2465=""),"",IF(OR(P2465="Gasto",P2465="Transferencia",P2465="Pago tarjeta"),-1,1)*IF(IFERROR(INDEX(ctaMoneda,MATCH(AB2465,ctaNombre,0))&amp;"","DOP")="USD",T2465,S2465))</f>
        <v/>
      </c>
      <c r="AG2465" s="53">
        <f>IF(AC2465="","",IF(IFERROR(INDEX(ctaMoneda,MATCH(AC2465,ctaNombre,0))&amp;"","DOP")="USD",T2465,S2465))</f>
        <v/>
      </c>
      <c r="AH2465" s="53">
        <f>IF(P2465="","",IF(AND(AD2465&lt;&gt;"",COUNTIFS(tcTipo,AD2465,tcLiq,"Sí")&gt;0),IF(OR(P2465="Gasto",P2465="Transferencia",P2465="Pago tarjeta"),-1,1)*S2465,0)+IF(AND(AE2465&lt;&gt;"",COUNTIFS(tcTipo,AE2465,tcLiq,"Sí")&gt;0),S2465,0))</f>
        <v/>
      </c>
      <c r="AI2465" s="52">
        <f>IF(OR(L2465="",P2465=""),"",IF(COUNTIFS(L$6:L2465,L2465,P$6:P2465,"?*")=1,MAX(AI$5:AI2464)+1,""))</f>
        <v/>
      </c>
    </row>
    <row r="2466">
      <c r="B2466" s="47" t="n"/>
      <c r="C2466" s="48" t="n"/>
      <c r="D2466" s="48" t="n"/>
      <c r="E2466" s="48" t="n"/>
      <c r="F2466" s="48" t="n"/>
      <c r="G2466" s="49" t="n"/>
      <c r="H2466" s="48" t="n"/>
      <c r="I2466" s="50" t="n"/>
      <c r="J2466" s="48" t="n"/>
      <c r="K2466" s="48" t="n"/>
      <c r="L2466" s="48" t="n"/>
      <c r="M2466" s="48" t="n"/>
      <c r="N2466" s="48" t="n"/>
      <c r="O2466" s="51">
        <f>IF(AND(B2466="",G2466="",C2466="",D2466="",J2466=""),"",IF(B2466="","⚠ Falta fecha",IF(G2466="","⚠ Falta monto",IF(Q2466="","⚠ Falta cuenta",IF(ISNA(MATCH(Q2466,ctaNombre,0)),"⚠ Cuenta no registrada",IF(AND(OR(P2466="Gasto",P2466="Reembolso"),D2466=""),"⚠ Falta categoría",IF(AND(D2466&lt;&gt;"",E2466&lt;&gt;"",ISNA(MATCH(D2466&amp;"|"&amp;E2466,catClave,0))),"⚠ Subcategoría no corresponde",IF(AND(OR(P2466="Transferencia",P2466="Pago tarjeta"),K2466=""),"⚠ Falta cuenta destino",IF(AND(K2466&lt;&gt;"",P2466&lt;&gt;"Transferencia",P2466&lt;&gt;"Pago tarjeta"),"⚠ Destino solo aplica a transferencias",IF(AND(K2466&lt;&gt;"",K2466=Q2466),"⚠ Origen igual a destino",IF(AND(K2466&lt;&gt;"",ISNA(MATCH(K2466,ctaNombre,0))),"⚠ Destino no registrado",IF(AND(P2466="Pago tarjeta",AE2466&lt;&gt;"Tarjeta de crédito"),"⚠ El destino debe ser tarjeta de crédito",IF(AND(P2466="Gasto",E2466="Depósitos y retiros"),"⚠ Usa tipo Transferencia",IF(AND(P2466="Resultado trading",AD2466&lt;&gt;"Cuenta de trading"),"⚠ Usa una cuenta de trading",IF(AND(G2466&lt;=0,P2466&lt;&gt;"Ajuste",P2466&lt;&gt;"Resultado trading"),"⚠ El monto debe ser positivo","✓")))))))))))))))</f>
        <v/>
      </c>
      <c r="P2466" s="52">
        <f>IF(OR(B2466="",G2466=""),"",IF(C2466="","Gasto",C2466))</f>
        <v/>
      </c>
      <c r="Q2466" s="52">
        <f>IF(P2466="","",IF(J2466&lt;&gt;"",J2466,CuentaPred&amp;""))</f>
        <v/>
      </c>
      <c r="R2466" s="52">
        <f>IF(P2466="","",IF(ISNUMBER(I2466),I2466,TasaUSD))</f>
        <v/>
      </c>
      <c r="S2466" s="53">
        <f>IF(P2466="","",IF(H2466="USD",G2466*R2466,G2466))</f>
        <v/>
      </c>
      <c r="T2466" s="53">
        <f>IF(P2466="","",IF(H2466="USD",G2466,IF(R2466&gt;0,G2466/R2466,0)))</f>
        <v/>
      </c>
      <c r="U2466" s="53">
        <f>IF(P2466="","",IF(P2466="Gasto",S2466,IF(P2466="Reembolso",-S2466,0)))</f>
        <v/>
      </c>
      <c r="V2466" s="53">
        <f>IF(P2466="","",IF(P2466="Ingreso",S2466,0))</f>
        <v/>
      </c>
      <c r="W2466" s="53">
        <f>IF(P2466="","",IF(P2466="Resultado trading",S2466,0))</f>
        <v/>
      </c>
      <c r="X2466" s="52">
        <f>IF(OR(P2466="Gasto",P2466="Reembolso"),IF(M2466&lt;&gt;"",M2466,IFERROR(INDEX(catClasif,MATCH(D2466&amp;"|"&amp;E2466,catClave,0))&amp;"","Variable")),"")</f>
        <v/>
      </c>
      <c r="Y2466" s="52">
        <f>IF(P2466="","",IFERROR(INDEX(catGrupo,MATCH(D2466&amp;"|"&amp;E2466,catClave,0))&amp;"",""))</f>
        <v/>
      </c>
      <c r="Z2466" s="52">
        <f>IF(P2466="","",WEEKDAY(B2466,2))</f>
        <v/>
      </c>
      <c r="AA2466" s="52">
        <f>IF(P2466="","",IF(AND(P2466="Gasto",X2466="Variable",D2466&lt;&gt;catTrading,S2466&gt;0,S2466&lt;=Umbral),1,0))</f>
        <v/>
      </c>
      <c r="AB2466" s="52">
        <f>IF(OR(P2466="",Q2466=""),"",IFERROR(IF(INDEX(ctaVinc,MATCH(Q2466,ctaNombre,0))&amp;""&lt;&gt;"",INDEX(ctaVinc,MATCH(Q2466,ctaNombre,0))&amp;"",Q2466),Q2466))</f>
        <v/>
      </c>
      <c r="AC2466" s="52">
        <f>IF(OR(K2466="",AND(P2466&lt;&gt;"Transferencia",P2466&lt;&gt;"Pago tarjeta")),"",IFERROR(IF(INDEX(ctaVinc,MATCH(K2466,ctaNombre,0))&amp;""&lt;&gt;"",INDEX(ctaVinc,MATCH(K2466,ctaNombre,0))&amp;"",K2466),K2466))</f>
        <v/>
      </c>
      <c r="AD2466" s="52">
        <f>IF(AB2466="","",IFERROR(INDEX(ctaTipo,MATCH(AB2466,ctaNombre,0))&amp;"",""))</f>
        <v/>
      </c>
      <c r="AE2466" s="52">
        <f>IF(AC2466="","",IFERROR(INDEX(ctaTipo,MATCH(AC2466,ctaNombre,0))&amp;"",""))</f>
        <v/>
      </c>
      <c r="AF2466" s="53">
        <f>IF(OR(P2466="",AB2466=""),"",IF(OR(P2466="Gasto",P2466="Transferencia",P2466="Pago tarjeta"),-1,1)*IF(IFERROR(INDEX(ctaMoneda,MATCH(AB2466,ctaNombre,0))&amp;"","DOP")="USD",T2466,S2466))</f>
        <v/>
      </c>
      <c r="AG2466" s="53">
        <f>IF(AC2466="","",IF(IFERROR(INDEX(ctaMoneda,MATCH(AC2466,ctaNombre,0))&amp;"","DOP")="USD",T2466,S2466))</f>
        <v/>
      </c>
      <c r="AH2466" s="53">
        <f>IF(P2466="","",IF(AND(AD2466&lt;&gt;"",COUNTIFS(tcTipo,AD2466,tcLiq,"Sí")&gt;0),IF(OR(P2466="Gasto",P2466="Transferencia",P2466="Pago tarjeta"),-1,1)*S2466,0)+IF(AND(AE2466&lt;&gt;"",COUNTIFS(tcTipo,AE2466,tcLiq,"Sí")&gt;0),S2466,0))</f>
        <v/>
      </c>
      <c r="AI2466" s="52">
        <f>IF(OR(L2466="",P2466=""),"",IF(COUNTIFS(L$6:L2466,L2466,P$6:P2466,"?*")=1,MAX(AI$5:AI2465)+1,""))</f>
        <v/>
      </c>
    </row>
    <row r="2467">
      <c r="B2467" s="47" t="n"/>
      <c r="C2467" s="48" t="n"/>
      <c r="D2467" s="48" t="n"/>
      <c r="E2467" s="48" t="n"/>
      <c r="F2467" s="48" t="n"/>
      <c r="G2467" s="49" t="n"/>
      <c r="H2467" s="48" t="n"/>
      <c r="I2467" s="50" t="n"/>
      <c r="J2467" s="48" t="n"/>
      <c r="K2467" s="48" t="n"/>
      <c r="L2467" s="48" t="n"/>
      <c r="M2467" s="48" t="n"/>
      <c r="N2467" s="48" t="n"/>
      <c r="O2467" s="51">
        <f>IF(AND(B2467="",G2467="",C2467="",D2467="",J2467=""),"",IF(B2467="","⚠ Falta fecha",IF(G2467="","⚠ Falta monto",IF(Q2467="","⚠ Falta cuenta",IF(ISNA(MATCH(Q2467,ctaNombre,0)),"⚠ Cuenta no registrada",IF(AND(OR(P2467="Gasto",P2467="Reembolso"),D2467=""),"⚠ Falta categoría",IF(AND(D2467&lt;&gt;"",E2467&lt;&gt;"",ISNA(MATCH(D2467&amp;"|"&amp;E2467,catClave,0))),"⚠ Subcategoría no corresponde",IF(AND(OR(P2467="Transferencia",P2467="Pago tarjeta"),K2467=""),"⚠ Falta cuenta destino",IF(AND(K2467&lt;&gt;"",P2467&lt;&gt;"Transferencia",P2467&lt;&gt;"Pago tarjeta"),"⚠ Destino solo aplica a transferencias",IF(AND(K2467&lt;&gt;"",K2467=Q2467),"⚠ Origen igual a destino",IF(AND(K2467&lt;&gt;"",ISNA(MATCH(K2467,ctaNombre,0))),"⚠ Destino no registrado",IF(AND(P2467="Pago tarjeta",AE2467&lt;&gt;"Tarjeta de crédito"),"⚠ El destino debe ser tarjeta de crédito",IF(AND(P2467="Gasto",E2467="Depósitos y retiros"),"⚠ Usa tipo Transferencia",IF(AND(P2467="Resultado trading",AD2467&lt;&gt;"Cuenta de trading"),"⚠ Usa una cuenta de trading",IF(AND(G2467&lt;=0,P2467&lt;&gt;"Ajuste",P2467&lt;&gt;"Resultado trading"),"⚠ El monto debe ser positivo","✓")))))))))))))))</f>
        <v/>
      </c>
      <c r="P2467" s="52">
        <f>IF(OR(B2467="",G2467=""),"",IF(C2467="","Gasto",C2467))</f>
        <v/>
      </c>
      <c r="Q2467" s="52">
        <f>IF(P2467="","",IF(J2467&lt;&gt;"",J2467,CuentaPred&amp;""))</f>
        <v/>
      </c>
      <c r="R2467" s="52">
        <f>IF(P2467="","",IF(ISNUMBER(I2467),I2467,TasaUSD))</f>
        <v/>
      </c>
      <c r="S2467" s="53">
        <f>IF(P2467="","",IF(H2467="USD",G2467*R2467,G2467))</f>
        <v/>
      </c>
      <c r="T2467" s="53">
        <f>IF(P2467="","",IF(H2467="USD",G2467,IF(R2467&gt;0,G2467/R2467,0)))</f>
        <v/>
      </c>
      <c r="U2467" s="53">
        <f>IF(P2467="","",IF(P2467="Gasto",S2467,IF(P2467="Reembolso",-S2467,0)))</f>
        <v/>
      </c>
      <c r="V2467" s="53">
        <f>IF(P2467="","",IF(P2467="Ingreso",S2467,0))</f>
        <v/>
      </c>
      <c r="W2467" s="53">
        <f>IF(P2467="","",IF(P2467="Resultado trading",S2467,0))</f>
        <v/>
      </c>
      <c r="X2467" s="52">
        <f>IF(OR(P2467="Gasto",P2467="Reembolso"),IF(M2467&lt;&gt;"",M2467,IFERROR(INDEX(catClasif,MATCH(D2467&amp;"|"&amp;E2467,catClave,0))&amp;"","Variable")),"")</f>
        <v/>
      </c>
      <c r="Y2467" s="52">
        <f>IF(P2467="","",IFERROR(INDEX(catGrupo,MATCH(D2467&amp;"|"&amp;E2467,catClave,0))&amp;"",""))</f>
        <v/>
      </c>
      <c r="Z2467" s="52">
        <f>IF(P2467="","",WEEKDAY(B2467,2))</f>
        <v/>
      </c>
      <c r="AA2467" s="52">
        <f>IF(P2467="","",IF(AND(P2467="Gasto",X2467="Variable",D2467&lt;&gt;catTrading,S2467&gt;0,S2467&lt;=Umbral),1,0))</f>
        <v/>
      </c>
      <c r="AB2467" s="52">
        <f>IF(OR(P2467="",Q2467=""),"",IFERROR(IF(INDEX(ctaVinc,MATCH(Q2467,ctaNombre,0))&amp;""&lt;&gt;"",INDEX(ctaVinc,MATCH(Q2467,ctaNombre,0))&amp;"",Q2467),Q2467))</f>
        <v/>
      </c>
      <c r="AC2467" s="52">
        <f>IF(OR(K2467="",AND(P2467&lt;&gt;"Transferencia",P2467&lt;&gt;"Pago tarjeta")),"",IFERROR(IF(INDEX(ctaVinc,MATCH(K2467,ctaNombre,0))&amp;""&lt;&gt;"",INDEX(ctaVinc,MATCH(K2467,ctaNombre,0))&amp;"",K2467),K2467))</f>
        <v/>
      </c>
      <c r="AD2467" s="52">
        <f>IF(AB2467="","",IFERROR(INDEX(ctaTipo,MATCH(AB2467,ctaNombre,0))&amp;"",""))</f>
        <v/>
      </c>
      <c r="AE2467" s="52">
        <f>IF(AC2467="","",IFERROR(INDEX(ctaTipo,MATCH(AC2467,ctaNombre,0))&amp;"",""))</f>
        <v/>
      </c>
      <c r="AF2467" s="53">
        <f>IF(OR(P2467="",AB2467=""),"",IF(OR(P2467="Gasto",P2467="Transferencia",P2467="Pago tarjeta"),-1,1)*IF(IFERROR(INDEX(ctaMoneda,MATCH(AB2467,ctaNombre,0))&amp;"","DOP")="USD",T2467,S2467))</f>
        <v/>
      </c>
      <c r="AG2467" s="53">
        <f>IF(AC2467="","",IF(IFERROR(INDEX(ctaMoneda,MATCH(AC2467,ctaNombre,0))&amp;"","DOP")="USD",T2467,S2467))</f>
        <v/>
      </c>
      <c r="AH2467" s="53">
        <f>IF(P2467="","",IF(AND(AD2467&lt;&gt;"",COUNTIFS(tcTipo,AD2467,tcLiq,"Sí")&gt;0),IF(OR(P2467="Gasto",P2467="Transferencia",P2467="Pago tarjeta"),-1,1)*S2467,0)+IF(AND(AE2467&lt;&gt;"",COUNTIFS(tcTipo,AE2467,tcLiq,"Sí")&gt;0),S2467,0))</f>
        <v/>
      </c>
      <c r="AI2467" s="52">
        <f>IF(OR(L2467="",P2467=""),"",IF(COUNTIFS(L$6:L2467,L2467,P$6:P2467,"?*")=1,MAX(AI$5:AI2466)+1,""))</f>
        <v/>
      </c>
    </row>
    <row r="2468">
      <c r="B2468" s="47" t="n"/>
      <c r="C2468" s="48" t="n"/>
      <c r="D2468" s="48" t="n"/>
      <c r="E2468" s="48" t="n"/>
      <c r="F2468" s="48" t="n"/>
      <c r="G2468" s="49" t="n"/>
      <c r="H2468" s="48" t="n"/>
      <c r="I2468" s="50" t="n"/>
      <c r="J2468" s="48" t="n"/>
      <c r="K2468" s="48" t="n"/>
      <c r="L2468" s="48" t="n"/>
      <c r="M2468" s="48" t="n"/>
      <c r="N2468" s="48" t="n"/>
      <c r="O2468" s="51">
        <f>IF(AND(B2468="",G2468="",C2468="",D2468="",J2468=""),"",IF(B2468="","⚠ Falta fecha",IF(G2468="","⚠ Falta monto",IF(Q2468="","⚠ Falta cuenta",IF(ISNA(MATCH(Q2468,ctaNombre,0)),"⚠ Cuenta no registrada",IF(AND(OR(P2468="Gasto",P2468="Reembolso"),D2468=""),"⚠ Falta categoría",IF(AND(D2468&lt;&gt;"",E2468&lt;&gt;"",ISNA(MATCH(D2468&amp;"|"&amp;E2468,catClave,0))),"⚠ Subcategoría no corresponde",IF(AND(OR(P2468="Transferencia",P2468="Pago tarjeta"),K2468=""),"⚠ Falta cuenta destino",IF(AND(K2468&lt;&gt;"",P2468&lt;&gt;"Transferencia",P2468&lt;&gt;"Pago tarjeta"),"⚠ Destino solo aplica a transferencias",IF(AND(K2468&lt;&gt;"",K2468=Q2468),"⚠ Origen igual a destino",IF(AND(K2468&lt;&gt;"",ISNA(MATCH(K2468,ctaNombre,0))),"⚠ Destino no registrado",IF(AND(P2468="Pago tarjeta",AE2468&lt;&gt;"Tarjeta de crédito"),"⚠ El destino debe ser tarjeta de crédito",IF(AND(P2468="Gasto",E2468="Depósitos y retiros"),"⚠ Usa tipo Transferencia",IF(AND(P2468="Resultado trading",AD2468&lt;&gt;"Cuenta de trading"),"⚠ Usa una cuenta de trading",IF(AND(G2468&lt;=0,P2468&lt;&gt;"Ajuste",P2468&lt;&gt;"Resultado trading"),"⚠ El monto debe ser positivo","✓")))))))))))))))</f>
        <v/>
      </c>
      <c r="P2468" s="52">
        <f>IF(OR(B2468="",G2468=""),"",IF(C2468="","Gasto",C2468))</f>
        <v/>
      </c>
      <c r="Q2468" s="52">
        <f>IF(P2468="","",IF(J2468&lt;&gt;"",J2468,CuentaPred&amp;""))</f>
        <v/>
      </c>
      <c r="R2468" s="52">
        <f>IF(P2468="","",IF(ISNUMBER(I2468),I2468,TasaUSD))</f>
        <v/>
      </c>
      <c r="S2468" s="53">
        <f>IF(P2468="","",IF(H2468="USD",G2468*R2468,G2468))</f>
        <v/>
      </c>
      <c r="T2468" s="53">
        <f>IF(P2468="","",IF(H2468="USD",G2468,IF(R2468&gt;0,G2468/R2468,0)))</f>
        <v/>
      </c>
      <c r="U2468" s="53">
        <f>IF(P2468="","",IF(P2468="Gasto",S2468,IF(P2468="Reembolso",-S2468,0)))</f>
        <v/>
      </c>
      <c r="V2468" s="53">
        <f>IF(P2468="","",IF(P2468="Ingreso",S2468,0))</f>
        <v/>
      </c>
      <c r="W2468" s="53">
        <f>IF(P2468="","",IF(P2468="Resultado trading",S2468,0))</f>
        <v/>
      </c>
      <c r="X2468" s="52">
        <f>IF(OR(P2468="Gasto",P2468="Reembolso"),IF(M2468&lt;&gt;"",M2468,IFERROR(INDEX(catClasif,MATCH(D2468&amp;"|"&amp;E2468,catClave,0))&amp;"","Variable")),"")</f>
        <v/>
      </c>
      <c r="Y2468" s="52">
        <f>IF(P2468="","",IFERROR(INDEX(catGrupo,MATCH(D2468&amp;"|"&amp;E2468,catClave,0))&amp;"",""))</f>
        <v/>
      </c>
      <c r="Z2468" s="52">
        <f>IF(P2468="","",WEEKDAY(B2468,2))</f>
        <v/>
      </c>
      <c r="AA2468" s="52">
        <f>IF(P2468="","",IF(AND(P2468="Gasto",X2468="Variable",D2468&lt;&gt;catTrading,S2468&gt;0,S2468&lt;=Umbral),1,0))</f>
        <v/>
      </c>
      <c r="AB2468" s="52">
        <f>IF(OR(P2468="",Q2468=""),"",IFERROR(IF(INDEX(ctaVinc,MATCH(Q2468,ctaNombre,0))&amp;""&lt;&gt;"",INDEX(ctaVinc,MATCH(Q2468,ctaNombre,0))&amp;"",Q2468),Q2468))</f>
        <v/>
      </c>
      <c r="AC2468" s="52">
        <f>IF(OR(K2468="",AND(P2468&lt;&gt;"Transferencia",P2468&lt;&gt;"Pago tarjeta")),"",IFERROR(IF(INDEX(ctaVinc,MATCH(K2468,ctaNombre,0))&amp;""&lt;&gt;"",INDEX(ctaVinc,MATCH(K2468,ctaNombre,0))&amp;"",K2468),K2468))</f>
        <v/>
      </c>
      <c r="AD2468" s="52">
        <f>IF(AB2468="","",IFERROR(INDEX(ctaTipo,MATCH(AB2468,ctaNombre,0))&amp;"",""))</f>
        <v/>
      </c>
      <c r="AE2468" s="52">
        <f>IF(AC2468="","",IFERROR(INDEX(ctaTipo,MATCH(AC2468,ctaNombre,0))&amp;"",""))</f>
        <v/>
      </c>
      <c r="AF2468" s="53">
        <f>IF(OR(P2468="",AB2468=""),"",IF(OR(P2468="Gasto",P2468="Transferencia",P2468="Pago tarjeta"),-1,1)*IF(IFERROR(INDEX(ctaMoneda,MATCH(AB2468,ctaNombre,0))&amp;"","DOP")="USD",T2468,S2468))</f>
        <v/>
      </c>
      <c r="AG2468" s="53">
        <f>IF(AC2468="","",IF(IFERROR(INDEX(ctaMoneda,MATCH(AC2468,ctaNombre,0))&amp;"","DOP")="USD",T2468,S2468))</f>
        <v/>
      </c>
      <c r="AH2468" s="53">
        <f>IF(P2468="","",IF(AND(AD2468&lt;&gt;"",COUNTIFS(tcTipo,AD2468,tcLiq,"Sí")&gt;0),IF(OR(P2468="Gasto",P2468="Transferencia",P2468="Pago tarjeta"),-1,1)*S2468,0)+IF(AND(AE2468&lt;&gt;"",COUNTIFS(tcTipo,AE2468,tcLiq,"Sí")&gt;0),S2468,0))</f>
        <v/>
      </c>
      <c r="AI2468" s="52">
        <f>IF(OR(L2468="",P2468=""),"",IF(COUNTIFS(L$6:L2468,L2468,P$6:P2468,"?*")=1,MAX(AI$5:AI2467)+1,""))</f>
        <v/>
      </c>
    </row>
    <row r="2469">
      <c r="B2469" s="47" t="n"/>
      <c r="C2469" s="48" t="n"/>
      <c r="D2469" s="48" t="n"/>
      <c r="E2469" s="48" t="n"/>
      <c r="F2469" s="48" t="n"/>
      <c r="G2469" s="49" t="n"/>
      <c r="H2469" s="48" t="n"/>
      <c r="I2469" s="50" t="n"/>
      <c r="J2469" s="48" t="n"/>
      <c r="K2469" s="48" t="n"/>
      <c r="L2469" s="48" t="n"/>
      <c r="M2469" s="48" t="n"/>
      <c r="N2469" s="48" t="n"/>
      <c r="O2469" s="51">
        <f>IF(AND(B2469="",G2469="",C2469="",D2469="",J2469=""),"",IF(B2469="","⚠ Falta fecha",IF(G2469="","⚠ Falta monto",IF(Q2469="","⚠ Falta cuenta",IF(ISNA(MATCH(Q2469,ctaNombre,0)),"⚠ Cuenta no registrada",IF(AND(OR(P2469="Gasto",P2469="Reembolso"),D2469=""),"⚠ Falta categoría",IF(AND(D2469&lt;&gt;"",E2469&lt;&gt;"",ISNA(MATCH(D2469&amp;"|"&amp;E2469,catClave,0))),"⚠ Subcategoría no corresponde",IF(AND(OR(P2469="Transferencia",P2469="Pago tarjeta"),K2469=""),"⚠ Falta cuenta destino",IF(AND(K2469&lt;&gt;"",P2469&lt;&gt;"Transferencia",P2469&lt;&gt;"Pago tarjeta"),"⚠ Destino solo aplica a transferencias",IF(AND(K2469&lt;&gt;"",K2469=Q2469),"⚠ Origen igual a destino",IF(AND(K2469&lt;&gt;"",ISNA(MATCH(K2469,ctaNombre,0))),"⚠ Destino no registrado",IF(AND(P2469="Pago tarjeta",AE2469&lt;&gt;"Tarjeta de crédito"),"⚠ El destino debe ser tarjeta de crédito",IF(AND(P2469="Gasto",E2469="Depósitos y retiros"),"⚠ Usa tipo Transferencia",IF(AND(P2469="Resultado trading",AD2469&lt;&gt;"Cuenta de trading"),"⚠ Usa una cuenta de trading",IF(AND(G2469&lt;=0,P2469&lt;&gt;"Ajuste",P2469&lt;&gt;"Resultado trading"),"⚠ El monto debe ser positivo","✓")))))))))))))))</f>
        <v/>
      </c>
      <c r="P2469" s="52">
        <f>IF(OR(B2469="",G2469=""),"",IF(C2469="","Gasto",C2469))</f>
        <v/>
      </c>
      <c r="Q2469" s="52">
        <f>IF(P2469="","",IF(J2469&lt;&gt;"",J2469,CuentaPred&amp;""))</f>
        <v/>
      </c>
      <c r="R2469" s="52">
        <f>IF(P2469="","",IF(ISNUMBER(I2469),I2469,TasaUSD))</f>
        <v/>
      </c>
      <c r="S2469" s="53">
        <f>IF(P2469="","",IF(H2469="USD",G2469*R2469,G2469))</f>
        <v/>
      </c>
      <c r="T2469" s="53">
        <f>IF(P2469="","",IF(H2469="USD",G2469,IF(R2469&gt;0,G2469/R2469,0)))</f>
        <v/>
      </c>
      <c r="U2469" s="53">
        <f>IF(P2469="","",IF(P2469="Gasto",S2469,IF(P2469="Reembolso",-S2469,0)))</f>
        <v/>
      </c>
      <c r="V2469" s="53">
        <f>IF(P2469="","",IF(P2469="Ingreso",S2469,0))</f>
        <v/>
      </c>
      <c r="W2469" s="53">
        <f>IF(P2469="","",IF(P2469="Resultado trading",S2469,0))</f>
        <v/>
      </c>
      <c r="X2469" s="52">
        <f>IF(OR(P2469="Gasto",P2469="Reembolso"),IF(M2469&lt;&gt;"",M2469,IFERROR(INDEX(catClasif,MATCH(D2469&amp;"|"&amp;E2469,catClave,0))&amp;"","Variable")),"")</f>
        <v/>
      </c>
      <c r="Y2469" s="52">
        <f>IF(P2469="","",IFERROR(INDEX(catGrupo,MATCH(D2469&amp;"|"&amp;E2469,catClave,0))&amp;"",""))</f>
        <v/>
      </c>
      <c r="Z2469" s="52">
        <f>IF(P2469="","",WEEKDAY(B2469,2))</f>
        <v/>
      </c>
      <c r="AA2469" s="52">
        <f>IF(P2469="","",IF(AND(P2469="Gasto",X2469="Variable",D2469&lt;&gt;catTrading,S2469&gt;0,S2469&lt;=Umbral),1,0))</f>
        <v/>
      </c>
      <c r="AB2469" s="52">
        <f>IF(OR(P2469="",Q2469=""),"",IFERROR(IF(INDEX(ctaVinc,MATCH(Q2469,ctaNombre,0))&amp;""&lt;&gt;"",INDEX(ctaVinc,MATCH(Q2469,ctaNombre,0))&amp;"",Q2469),Q2469))</f>
        <v/>
      </c>
      <c r="AC2469" s="52">
        <f>IF(OR(K2469="",AND(P2469&lt;&gt;"Transferencia",P2469&lt;&gt;"Pago tarjeta")),"",IFERROR(IF(INDEX(ctaVinc,MATCH(K2469,ctaNombre,0))&amp;""&lt;&gt;"",INDEX(ctaVinc,MATCH(K2469,ctaNombre,0))&amp;"",K2469),K2469))</f>
        <v/>
      </c>
      <c r="AD2469" s="52">
        <f>IF(AB2469="","",IFERROR(INDEX(ctaTipo,MATCH(AB2469,ctaNombre,0))&amp;"",""))</f>
        <v/>
      </c>
      <c r="AE2469" s="52">
        <f>IF(AC2469="","",IFERROR(INDEX(ctaTipo,MATCH(AC2469,ctaNombre,0))&amp;"",""))</f>
        <v/>
      </c>
      <c r="AF2469" s="53">
        <f>IF(OR(P2469="",AB2469=""),"",IF(OR(P2469="Gasto",P2469="Transferencia",P2469="Pago tarjeta"),-1,1)*IF(IFERROR(INDEX(ctaMoneda,MATCH(AB2469,ctaNombre,0))&amp;"","DOP")="USD",T2469,S2469))</f>
        <v/>
      </c>
      <c r="AG2469" s="53">
        <f>IF(AC2469="","",IF(IFERROR(INDEX(ctaMoneda,MATCH(AC2469,ctaNombre,0))&amp;"","DOP")="USD",T2469,S2469))</f>
        <v/>
      </c>
      <c r="AH2469" s="53">
        <f>IF(P2469="","",IF(AND(AD2469&lt;&gt;"",COUNTIFS(tcTipo,AD2469,tcLiq,"Sí")&gt;0),IF(OR(P2469="Gasto",P2469="Transferencia",P2469="Pago tarjeta"),-1,1)*S2469,0)+IF(AND(AE2469&lt;&gt;"",COUNTIFS(tcTipo,AE2469,tcLiq,"Sí")&gt;0),S2469,0))</f>
        <v/>
      </c>
      <c r="AI2469" s="52">
        <f>IF(OR(L2469="",P2469=""),"",IF(COUNTIFS(L$6:L2469,L2469,P$6:P2469,"?*")=1,MAX(AI$5:AI2468)+1,""))</f>
        <v/>
      </c>
    </row>
    <row r="2470">
      <c r="B2470" s="47" t="n"/>
      <c r="C2470" s="48" t="n"/>
      <c r="D2470" s="48" t="n"/>
      <c r="E2470" s="48" t="n"/>
      <c r="F2470" s="48" t="n"/>
      <c r="G2470" s="49" t="n"/>
      <c r="H2470" s="48" t="n"/>
      <c r="I2470" s="50" t="n"/>
      <c r="J2470" s="48" t="n"/>
      <c r="K2470" s="48" t="n"/>
      <c r="L2470" s="48" t="n"/>
      <c r="M2470" s="48" t="n"/>
      <c r="N2470" s="48" t="n"/>
      <c r="O2470" s="51">
        <f>IF(AND(B2470="",G2470="",C2470="",D2470="",J2470=""),"",IF(B2470="","⚠ Falta fecha",IF(G2470="","⚠ Falta monto",IF(Q2470="","⚠ Falta cuenta",IF(ISNA(MATCH(Q2470,ctaNombre,0)),"⚠ Cuenta no registrada",IF(AND(OR(P2470="Gasto",P2470="Reembolso"),D2470=""),"⚠ Falta categoría",IF(AND(D2470&lt;&gt;"",E2470&lt;&gt;"",ISNA(MATCH(D2470&amp;"|"&amp;E2470,catClave,0))),"⚠ Subcategoría no corresponde",IF(AND(OR(P2470="Transferencia",P2470="Pago tarjeta"),K2470=""),"⚠ Falta cuenta destino",IF(AND(K2470&lt;&gt;"",P2470&lt;&gt;"Transferencia",P2470&lt;&gt;"Pago tarjeta"),"⚠ Destino solo aplica a transferencias",IF(AND(K2470&lt;&gt;"",K2470=Q2470),"⚠ Origen igual a destino",IF(AND(K2470&lt;&gt;"",ISNA(MATCH(K2470,ctaNombre,0))),"⚠ Destino no registrado",IF(AND(P2470="Pago tarjeta",AE2470&lt;&gt;"Tarjeta de crédito"),"⚠ El destino debe ser tarjeta de crédito",IF(AND(P2470="Gasto",E2470="Depósitos y retiros"),"⚠ Usa tipo Transferencia",IF(AND(P2470="Resultado trading",AD2470&lt;&gt;"Cuenta de trading"),"⚠ Usa una cuenta de trading",IF(AND(G2470&lt;=0,P2470&lt;&gt;"Ajuste",P2470&lt;&gt;"Resultado trading"),"⚠ El monto debe ser positivo","✓")))))))))))))))</f>
        <v/>
      </c>
      <c r="P2470" s="52">
        <f>IF(OR(B2470="",G2470=""),"",IF(C2470="","Gasto",C2470))</f>
        <v/>
      </c>
      <c r="Q2470" s="52">
        <f>IF(P2470="","",IF(J2470&lt;&gt;"",J2470,CuentaPred&amp;""))</f>
        <v/>
      </c>
      <c r="R2470" s="52">
        <f>IF(P2470="","",IF(ISNUMBER(I2470),I2470,TasaUSD))</f>
        <v/>
      </c>
      <c r="S2470" s="53">
        <f>IF(P2470="","",IF(H2470="USD",G2470*R2470,G2470))</f>
        <v/>
      </c>
      <c r="T2470" s="53">
        <f>IF(P2470="","",IF(H2470="USD",G2470,IF(R2470&gt;0,G2470/R2470,0)))</f>
        <v/>
      </c>
      <c r="U2470" s="53">
        <f>IF(P2470="","",IF(P2470="Gasto",S2470,IF(P2470="Reembolso",-S2470,0)))</f>
        <v/>
      </c>
      <c r="V2470" s="53">
        <f>IF(P2470="","",IF(P2470="Ingreso",S2470,0))</f>
        <v/>
      </c>
      <c r="W2470" s="53">
        <f>IF(P2470="","",IF(P2470="Resultado trading",S2470,0))</f>
        <v/>
      </c>
      <c r="X2470" s="52">
        <f>IF(OR(P2470="Gasto",P2470="Reembolso"),IF(M2470&lt;&gt;"",M2470,IFERROR(INDEX(catClasif,MATCH(D2470&amp;"|"&amp;E2470,catClave,0))&amp;"","Variable")),"")</f>
        <v/>
      </c>
      <c r="Y2470" s="52">
        <f>IF(P2470="","",IFERROR(INDEX(catGrupo,MATCH(D2470&amp;"|"&amp;E2470,catClave,0))&amp;"",""))</f>
        <v/>
      </c>
      <c r="Z2470" s="52">
        <f>IF(P2470="","",WEEKDAY(B2470,2))</f>
        <v/>
      </c>
      <c r="AA2470" s="52">
        <f>IF(P2470="","",IF(AND(P2470="Gasto",X2470="Variable",D2470&lt;&gt;catTrading,S2470&gt;0,S2470&lt;=Umbral),1,0))</f>
        <v/>
      </c>
      <c r="AB2470" s="52">
        <f>IF(OR(P2470="",Q2470=""),"",IFERROR(IF(INDEX(ctaVinc,MATCH(Q2470,ctaNombre,0))&amp;""&lt;&gt;"",INDEX(ctaVinc,MATCH(Q2470,ctaNombre,0))&amp;"",Q2470),Q2470))</f>
        <v/>
      </c>
      <c r="AC2470" s="52">
        <f>IF(OR(K2470="",AND(P2470&lt;&gt;"Transferencia",P2470&lt;&gt;"Pago tarjeta")),"",IFERROR(IF(INDEX(ctaVinc,MATCH(K2470,ctaNombre,0))&amp;""&lt;&gt;"",INDEX(ctaVinc,MATCH(K2470,ctaNombre,0))&amp;"",K2470),K2470))</f>
        <v/>
      </c>
      <c r="AD2470" s="52">
        <f>IF(AB2470="","",IFERROR(INDEX(ctaTipo,MATCH(AB2470,ctaNombre,0))&amp;"",""))</f>
        <v/>
      </c>
      <c r="AE2470" s="52">
        <f>IF(AC2470="","",IFERROR(INDEX(ctaTipo,MATCH(AC2470,ctaNombre,0))&amp;"",""))</f>
        <v/>
      </c>
      <c r="AF2470" s="53">
        <f>IF(OR(P2470="",AB2470=""),"",IF(OR(P2470="Gasto",P2470="Transferencia",P2470="Pago tarjeta"),-1,1)*IF(IFERROR(INDEX(ctaMoneda,MATCH(AB2470,ctaNombre,0))&amp;"","DOP")="USD",T2470,S2470))</f>
        <v/>
      </c>
      <c r="AG2470" s="53">
        <f>IF(AC2470="","",IF(IFERROR(INDEX(ctaMoneda,MATCH(AC2470,ctaNombre,0))&amp;"","DOP")="USD",T2470,S2470))</f>
        <v/>
      </c>
      <c r="AH2470" s="53">
        <f>IF(P2470="","",IF(AND(AD2470&lt;&gt;"",COUNTIFS(tcTipo,AD2470,tcLiq,"Sí")&gt;0),IF(OR(P2470="Gasto",P2470="Transferencia",P2470="Pago tarjeta"),-1,1)*S2470,0)+IF(AND(AE2470&lt;&gt;"",COUNTIFS(tcTipo,AE2470,tcLiq,"Sí")&gt;0),S2470,0))</f>
        <v/>
      </c>
      <c r="AI2470" s="52">
        <f>IF(OR(L2470="",P2470=""),"",IF(COUNTIFS(L$6:L2470,L2470,P$6:P2470,"?*")=1,MAX(AI$5:AI2469)+1,""))</f>
        <v/>
      </c>
    </row>
    <row r="2471">
      <c r="B2471" s="47" t="n"/>
      <c r="C2471" s="48" t="n"/>
      <c r="D2471" s="48" t="n"/>
      <c r="E2471" s="48" t="n"/>
      <c r="F2471" s="48" t="n"/>
      <c r="G2471" s="49" t="n"/>
      <c r="H2471" s="48" t="n"/>
      <c r="I2471" s="50" t="n"/>
      <c r="J2471" s="48" t="n"/>
      <c r="K2471" s="48" t="n"/>
      <c r="L2471" s="48" t="n"/>
      <c r="M2471" s="48" t="n"/>
      <c r="N2471" s="48" t="n"/>
      <c r="O2471" s="51">
        <f>IF(AND(B2471="",G2471="",C2471="",D2471="",J2471=""),"",IF(B2471="","⚠ Falta fecha",IF(G2471="","⚠ Falta monto",IF(Q2471="","⚠ Falta cuenta",IF(ISNA(MATCH(Q2471,ctaNombre,0)),"⚠ Cuenta no registrada",IF(AND(OR(P2471="Gasto",P2471="Reembolso"),D2471=""),"⚠ Falta categoría",IF(AND(D2471&lt;&gt;"",E2471&lt;&gt;"",ISNA(MATCH(D2471&amp;"|"&amp;E2471,catClave,0))),"⚠ Subcategoría no corresponde",IF(AND(OR(P2471="Transferencia",P2471="Pago tarjeta"),K2471=""),"⚠ Falta cuenta destino",IF(AND(K2471&lt;&gt;"",P2471&lt;&gt;"Transferencia",P2471&lt;&gt;"Pago tarjeta"),"⚠ Destino solo aplica a transferencias",IF(AND(K2471&lt;&gt;"",K2471=Q2471),"⚠ Origen igual a destino",IF(AND(K2471&lt;&gt;"",ISNA(MATCH(K2471,ctaNombre,0))),"⚠ Destino no registrado",IF(AND(P2471="Pago tarjeta",AE2471&lt;&gt;"Tarjeta de crédito"),"⚠ El destino debe ser tarjeta de crédito",IF(AND(P2471="Gasto",E2471="Depósitos y retiros"),"⚠ Usa tipo Transferencia",IF(AND(P2471="Resultado trading",AD2471&lt;&gt;"Cuenta de trading"),"⚠ Usa una cuenta de trading",IF(AND(G2471&lt;=0,P2471&lt;&gt;"Ajuste",P2471&lt;&gt;"Resultado trading"),"⚠ El monto debe ser positivo","✓")))))))))))))))</f>
        <v/>
      </c>
      <c r="P2471" s="52">
        <f>IF(OR(B2471="",G2471=""),"",IF(C2471="","Gasto",C2471))</f>
        <v/>
      </c>
      <c r="Q2471" s="52">
        <f>IF(P2471="","",IF(J2471&lt;&gt;"",J2471,CuentaPred&amp;""))</f>
        <v/>
      </c>
      <c r="R2471" s="52">
        <f>IF(P2471="","",IF(ISNUMBER(I2471),I2471,TasaUSD))</f>
        <v/>
      </c>
      <c r="S2471" s="53">
        <f>IF(P2471="","",IF(H2471="USD",G2471*R2471,G2471))</f>
        <v/>
      </c>
      <c r="T2471" s="53">
        <f>IF(P2471="","",IF(H2471="USD",G2471,IF(R2471&gt;0,G2471/R2471,0)))</f>
        <v/>
      </c>
      <c r="U2471" s="53">
        <f>IF(P2471="","",IF(P2471="Gasto",S2471,IF(P2471="Reembolso",-S2471,0)))</f>
        <v/>
      </c>
      <c r="V2471" s="53">
        <f>IF(P2471="","",IF(P2471="Ingreso",S2471,0))</f>
        <v/>
      </c>
      <c r="W2471" s="53">
        <f>IF(P2471="","",IF(P2471="Resultado trading",S2471,0))</f>
        <v/>
      </c>
      <c r="X2471" s="52">
        <f>IF(OR(P2471="Gasto",P2471="Reembolso"),IF(M2471&lt;&gt;"",M2471,IFERROR(INDEX(catClasif,MATCH(D2471&amp;"|"&amp;E2471,catClave,0))&amp;"","Variable")),"")</f>
        <v/>
      </c>
      <c r="Y2471" s="52">
        <f>IF(P2471="","",IFERROR(INDEX(catGrupo,MATCH(D2471&amp;"|"&amp;E2471,catClave,0))&amp;"",""))</f>
        <v/>
      </c>
      <c r="Z2471" s="52">
        <f>IF(P2471="","",WEEKDAY(B2471,2))</f>
        <v/>
      </c>
      <c r="AA2471" s="52">
        <f>IF(P2471="","",IF(AND(P2471="Gasto",X2471="Variable",D2471&lt;&gt;catTrading,S2471&gt;0,S2471&lt;=Umbral),1,0))</f>
        <v/>
      </c>
      <c r="AB2471" s="52">
        <f>IF(OR(P2471="",Q2471=""),"",IFERROR(IF(INDEX(ctaVinc,MATCH(Q2471,ctaNombre,0))&amp;""&lt;&gt;"",INDEX(ctaVinc,MATCH(Q2471,ctaNombre,0))&amp;"",Q2471),Q2471))</f>
        <v/>
      </c>
      <c r="AC2471" s="52">
        <f>IF(OR(K2471="",AND(P2471&lt;&gt;"Transferencia",P2471&lt;&gt;"Pago tarjeta")),"",IFERROR(IF(INDEX(ctaVinc,MATCH(K2471,ctaNombre,0))&amp;""&lt;&gt;"",INDEX(ctaVinc,MATCH(K2471,ctaNombre,0))&amp;"",K2471),K2471))</f>
        <v/>
      </c>
      <c r="AD2471" s="52">
        <f>IF(AB2471="","",IFERROR(INDEX(ctaTipo,MATCH(AB2471,ctaNombre,0))&amp;"",""))</f>
        <v/>
      </c>
      <c r="AE2471" s="52">
        <f>IF(AC2471="","",IFERROR(INDEX(ctaTipo,MATCH(AC2471,ctaNombre,0))&amp;"",""))</f>
        <v/>
      </c>
      <c r="AF2471" s="53">
        <f>IF(OR(P2471="",AB2471=""),"",IF(OR(P2471="Gasto",P2471="Transferencia",P2471="Pago tarjeta"),-1,1)*IF(IFERROR(INDEX(ctaMoneda,MATCH(AB2471,ctaNombre,0))&amp;"","DOP")="USD",T2471,S2471))</f>
        <v/>
      </c>
      <c r="AG2471" s="53">
        <f>IF(AC2471="","",IF(IFERROR(INDEX(ctaMoneda,MATCH(AC2471,ctaNombre,0))&amp;"","DOP")="USD",T2471,S2471))</f>
        <v/>
      </c>
      <c r="AH2471" s="53">
        <f>IF(P2471="","",IF(AND(AD2471&lt;&gt;"",COUNTIFS(tcTipo,AD2471,tcLiq,"Sí")&gt;0),IF(OR(P2471="Gasto",P2471="Transferencia",P2471="Pago tarjeta"),-1,1)*S2471,0)+IF(AND(AE2471&lt;&gt;"",COUNTIFS(tcTipo,AE2471,tcLiq,"Sí")&gt;0),S2471,0))</f>
        <v/>
      </c>
      <c r="AI2471" s="52">
        <f>IF(OR(L2471="",P2471=""),"",IF(COUNTIFS(L$6:L2471,L2471,P$6:P2471,"?*")=1,MAX(AI$5:AI2470)+1,""))</f>
        <v/>
      </c>
    </row>
    <row r="2472">
      <c r="B2472" s="47" t="n"/>
      <c r="C2472" s="48" t="n"/>
      <c r="D2472" s="48" t="n"/>
      <c r="E2472" s="48" t="n"/>
      <c r="F2472" s="48" t="n"/>
      <c r="G2472" s="49" t="n"/>
      <c r="H2472" s="48" t="n"/>
      <c r="I2472" s="50" t="n"/>
      <c r="J2472" s="48" t="n"/>
      <c r="K2472" s="48" t="n"/>
      <c r="L2472" s="48" t="n"/>
      <c r="M2472" s="48" t="n"/>
      <c r="N2472" s="48" t="n"/>
      <c r="O2472" s="51">
        <f>IF(AND(B2472="",G2472="",C2472="",D2472="",J2472=""),"",IF(B2472="","⚠ Falta fecha",IF(G2472="","⚠ Falta monto",IF(Q2472="","⚠ Falta cuenta",IF(ISNA(MATCH(Q2472,ctaNombre,0)),"⚠ Cuenta no registrada",IF(AND(OR(P2472="Gasto",P2472="Reembolso"),D2472=""),"⚠ Falta categoría",IF(AND(D2472&lt;&gt;"",E2472&lt;&gt;"",ISNA(MATCH(D2472&amp;"|"&amp;E2472,catClave,0))),"⚠ Subcategoría no corresponde",IF(AND(OR(P2472="Transferencia",P2472="Pago tarjeta"),K2472=""),"⚠ Falta cuenta destino",IF(AND(K2472&lt;&gt;"",P2472&lt;&gt;"Transferencia",P2472&lt;&gt;"Pago tarjeta"),"⚠ Destino solo aplica a transferencias",IF(AND(K2472&lt;&gt;"",K2472=Q2472),"⚠ Origen igual a destino",IF(AND(K2472&lt;&gt;"",ISNA(MATCH(K2472,ctaNombre,0))),"⚠ Destino no registrado",IF(AND(P2472="Pago tarjeta",AE2472&lt;&gt;"Tarjeta de crédito"),"⚠ El destino debe ser tarjeta de crédito",IF(AND(P2472="Gasto",E2472="Depósitos y retiros"),"⚠ Usa tipo Transferencia",IF(AND(P2472="Resultado trading",AD2472&lt;&gt;"Cuenta de trading"),"⚠ Usa una cuenta de trading",IF(AND(G2472&lt;=0,P2472&lt;&gt;"Ajuste",P2472&lt;&gt;"Resultado trading"),"⚠ El monto debe ser positivo","✓")))))))))))))))</f>
        <v/>
      </c>
      <c r="P2472" s="52">
        <f>IF(OR(B2472="",G2472=""),"",IF(C2472="","Gasto",C2472))</f>
        <v/>
      </c>
      <c r="Q2472" s="52">
        <f>IF(P2472="","",IF(J2472&lt;&gt;"",J2472,CuentaPred&amp;""))</f>
        <v/>
      </c>
      <c r="R2472" s="52">
        <f>IF(P2472="","",IF(ISNUMBER(I2472),I2472,TasaUSD))</f>
        <v/>
      </c>
      <c r="S2472" s="53">
        <f>IF(P2472="","",IF(H2472="USD",G2472*R2472,G2472))</f>
        <v/>
      </c>
      <c r="T2472" s="53">
        <f>IF(P2472="","",IF(H2472="USD",G2472,IF(R2472&gt;0,G2472/R2472,0)))</f>
        <v/>
      </c>
      <c r="U2472" s="53">
        <f>IF(P2472="","",IF(P2472="Gasto",S2472,IF(P2472="Reembolso",-S2472,0)))</f>
        <v/>
      </c>
      <c r="V2472" s="53">
        <f>IF(P2472="","",IF(P2472="Ingreso",S2472,0))</f>
        <v/>
      </c>
      <c r="W2472" s="53">
        <f>IF(P2472="","",IF(P2472="Resultado trading",S2472,0))</f>
        <v/>
      </c>
      <c r="X2472" s="52">
        <f>IF(OR(P2472="Gasto",P2472="Reembolso"),IF(M2472&lt;&gt;"",M2472,IFERROR(INDEX(catClasif,MATCH(D2472&amp;"|"&amp;E2472,catClave,0))&amp;"","Variable")),"")</f>
        <v/>
      </c>
      <c r="Y2472" s="52">
        <f>IF(P2472="","",IFERROR(INDEX(catGrupo,MATCH(D2472&amp;"|"&amp;E2472,catClave,0))&amp;"",""))</f>
        <v/>
      </c>
      <c r="Z2472" s="52">
        <f>IF(P2472="","",WEEKDAY(B2472,2))</f>
        <v/>
      </c>
      <c r="AA2472" s="52">
        <f>IF(P2472="","",IF(AND(P2472="Gasto",X2472="Variable",D2472&lt;&gt;catTrading,S2472&gt;0,S2472&lt;=Umbral),1,0))</f>
        <v/>
      </c>
      <c r="AB2472" s="52">
        <f>IF(OR(P2472="",Q2472=""),"",IFERROR(IF(INDEX(ctaVinc,MATCH(Q2472,ctaNombre,0))&amp;""&lt;&gt;"",INDEX(ctaVinc,MATCH(Q2472,ctaNombre,0))&amp;"",Q2472),Q2472))</f>
        <v/>
      </c>
      <c r="AC2472" s="52">
        <f>IF(OR(K2472="",AND(P2472&lt;&gt;"Transferencia",P2472&lt;&gt;"Pago tarjeta")),"",IFERROR(IF(INDEX(ctaVinc,MATCH(K2472,ctaNombre,0))&amp;""&lt;&gt;"",INDEX(ctaVinc,MATCH(K2472,ctaNombre,0))&amp;"",K2472),K2472))</f>
        <v/>
      </c>
      <c r="AD2472" s="52">
        <f>IF(AB2472="","",IFERROR(INDEX(ctaTipo,MATCH(AB2472,ctaNombre,0))&amp;"",""))</f>
        <v/>
      </c>
      <c r="AE2472" s="52">
        <f>IF(AC2472="","",IFERROR(INDEX(ctaTipo,MATCH(AC2472,ctaNombre,0))&amp;"",""))</f>
        <v/>
      </c>
      <c r="AF2472" s="53">
        <f>IF(OR(P2472="",AB2472=""),"",IF(OR(P2472="Gasto",P2472="Transferencia",P2472="Pago tarjeta"),-1,1)*IF(IFERROR(INDEX(ctaMoneda,MATCH(AB2472,ctaNombre,0))&amp;"","DOP")="USD",T2472,S2472))</f>
        <v/>
      </c>
      <c r="AG2472" s="53">
        <f>IF(AC2472="","",IF(IFERROR(INDEX(ctaMoneda,MATCH(AC2472,ctaNombre,0))&amp;"","DOP")="USD",T2472,S2472))</f>
        <v/>
      </c>
      <c r="AH2472" s="53">
        <f>IF(P2472="","",IF(AND(AD2472&lt;&gt;"",COUNTIFS(tcTipo,AD2472,tcLiq,"Sí")&gt;0),IF(OR(P2472="Gasto",P2472="Transferencia",P2472="Pago tarjeta"),-1,1)*S2472,0)+IF(AND(AE2472&lt;&gt;"",COUNTIFS(tcTipo,AE2472,tcLiq,"Sí")&gt;0),S2472,0))</f>
        <v/>
      </c>
      <c r="AI2472" s="52">
        <f>IF(OR(L2472="",P2472=""),"",IF(COUNTIFS(L$6:L2472,L2472,P$6:P2472,"?*")=1,MAX(AI$5:AI2471)+1,""))</f>
        <v/>
      </c>
    </row>
    <row r="2473">
      <c r="B2473" s="47" t="n"/>
      <c r="C2473" s="48" t="n"/>
      <c r="D2473" s="48" t="n"/>
      <c r="E2473" s="48" t="n"/>
      <c r="F2473" s="48" t="n"/>
      <c r="G2473" s="49" t="n"/>
      <c r="H2473" s="48" t="n"/>
      <c r="I2473" s="50" t="n"/>
      <c r="J2473" s="48" t="n"/>
      <c r="K2473" s="48" t="n"/>
      <c r="L2473" s="48" t="n"/>
      <c r="M2473" s="48" t="n"/>
      <c r="N2473" s="48" t="n"/>
      <c r="O2473" s="51">
        <f>IF(AND(B2473="",G2473="",C2473="",D2473="",J2473=""),"",IF(B2473="","⚠ Falta fecha",IF(G2473="","⚠ Falta monto",IF(Q2473="","⚠ Falta cuenta",IF(ISNA(MATCH(Q2473,ctaNombre,0)),"⚠ Cuenta no registrada",IF(AND(OR(P2473="Gasto",P2473="Reembolso"),D2473=""),"⚠ Falta categoría",IF(AND(D2473&lt;&gt;"",E2473&lt;&gt;"",ISNA(MATCH(D2473&amp;"|"&amp;E2473,catClave,0))),"⚠ Subcategoría no corresponde",IF(AND(OR(P2473="Transferencia",P2473="Pago tarjeta"),K2473=""),"⚠ Falta cuenta destino",IF(AND(K2473&lt;&gt;"",P2473&lt;&gt;"Transferencia",P2473&lt;&gt;"Pago tarjeta"),"⚠ Destino solo aplica a transferencias",IF(AND(K2473&lt;&gt;"",K2473=Q2473),"⚠ Origen igual a destino",IF(AND(K2473&lt;&gt;"",ISNA(MATCH(K2473,ctaNombre,0))),"⚠ Destino no registrado",IF(AND(P2473="Pago tarjeta",AE2473&lt;&gt;"Tarjeta de crédito"),"⚠ El destino debe ser tarjeta de crédito",IF(AND(P2473="Gasto",E2473="Depósitos y retiros"),"⚠ Usa tipo Transferencia",IF(AND(P2473="Resultado trading",AD2473&lt;&gt;"Cuenta de trading"),"⚠ Usa una cuenta de trading",IF(AND(G2473&lt;=0,P2473&lt;&gt;"Ajuste",P2473&lt;&gt;"Resultado trading"),"⚠ El monto debe ser positivo","✓")))))))))))))))</f>
        <v/>
      </c>
      <c r="P2473" s="52">
        <f>IF(OR(B2473="",G2473=""),"",IF(C2473="","Gasto",C2473))</f>
        <v/>
      </c>
      <c r="Q2473" s="52">
        <f>IF(P2473="","",IF(J2473&lt;&gt;"",J2473,CuentaPred&amp;""))</f>
        <v/>
      </c>
      <c r="R2473" s="52">
        <f>IF(P2473="","",IF(ISNUMBER(I2473),I2473,TasaUSD))</f>
        <v/>
      </c>
      <c r="S2473" s="53">
        <f>IF(P2473="","",IF(H2473="USD",G2473*R2473,G2473))</f>
        <v/>
      </c>
      <c r="T2473" s="53">
        <f>IF(P2473="","",IF(H2473="USD",G2473,IF(R2473&gt;0,G2473/R2473,0)))</f>
        <v/>
      </c>
      <c r="U2473" s="53">
        <f>IF(P2473="","",IF(P2473="Gasto",S2473,IF(P2473="Reembolso",-S2473,0)))</f>
        <v/>
      </c>
      <c r="V2473" s="53">
        <f>IF(P2473="","",IF(P2473="Ingreso",S2473,0))</f>
        <v/>
      </c>
      <c r="W2473" s="53">
        <f>IF(P2473="","",IF(P2473="Resultado trading",S2473,0))</f>
        <v/>
      </c>
      <c r="X2473" s="52">
        <f>IF(OR(P2473="Gasto",P2473="Reembolso"),IF(M2473&lt;&gt;"",M2473,IFERROR(INDEX(catClasif,MATCH(D2473&amp;"|"&amp;E2473,catClave,0))&amp;"","Variable")),"")</f>
        <v/>
      </c>
      <c r="Y2473" s="52">
        <f>IF(P2473="","",IFERROR(INDEX(catGrupo,MATCH(D2473&amp;"|"&amp;E2473,catClave,0))&amp;"",""))</f>
        <v/>
      </c>
      <c r="Z2473" s="52">
        <f>IF(P2473="","",WEEKDAY(B2473,2))</f>
        <v/>
      </c>
      <c r="AA2473" s="52">
        <f>IF(P2473="","",IF(AND(P2473="Gasto",X2473="Variable",D2473&lt;&gt;catTrading,S2473&gt;0,S2473&lt;=Umbral),1,0))</f>
        <v/>
      </c>
      <c r="AB2473" s="52">
        <f>IF(OR(P2473="",Q2473=""),"",IFERROR(IF(INDEX(ctaVinc,MATCH(Q2473,ctaNombre,0))&amp;""&lt;&gt;"",INDEX(ctaVinc,MATCH(Q2473,ctaNombre,0))&amp;"",Q2473),Q2473))</f>
        <v/>
      </c>
      <c r="AC2473" s="52">
        <f>IF(OR(K2473="",AND(P2473&lt;&gt;"Transferencia",P2473&lt;&gt;"Pago tarjeta")),"",IFERROR(IF(INDEX(ctaVinc,MATCH(K2473,ctaNombre,0))&amp;""&lt;&gt;"",INDEX(ctaVinc,MATCH(K2473,ctaNombre,0))&amp;"",K2473),K2473))</f>
        <v/>
      </c>
      <c r="AD2473" s="52">
        <f>IF(AB2473="","",IFERROR(INDEX(ctaTipo,MATCH(AB2473,ctaNombre,0))&amp;"",""))</f>
        <v/>
      </c>
      <c r="AE2473" s="52">
        <f>IF(AC2473="","",IFERROR(INDEX(ctaTipo,MATCH(AC2473,ctaNombre,0))&amp;"",""))</f>
        <v/>
      </c>
      <c r="AF2473" s="53">
        <f>IF(OR(P2473="",AB2473=""),"",IF(OR(P2473="Gasto",P2473="Transferencia",P2473="Pago tarjeta"),-1,1)*IF(IFERROR(INDEX(ctaMoneda,MATCH(AB2473,ctaNombre,0))&amp;"","DOP")="USD",T2473,S2473))</f>
        <v/>
      </c>
      <c r="AG2473" s="53">
        <f>IF(AC2473="","",IF(IFERROR(INDEX(ctaMoneda,MATCH(AC2473,ctaNombre,0))&amp;"","DOP")="USD",T2473,S2473))</f>
        <v/>
      </c>
      <c r="AH2473" s="53">
        <f>IF(P2473="","",IF(AND(AD2473&lt;&gt;"",COUNTIFS(tcTipo,AD2473,tcLiq,"Sí")&gt;0),IF(OR(P2473="Gasto",P2473="Transferencia",P2473="Pago tarjeta"),-1,1)*S2473,0)+IF(AND(AE2473&lt;&gt;"",COUNTIFS(tcTipo,AE2473,tcLiq,"Sí")&gt;0),S2473,0))</f>
        <v/>
      </c>
      <c r="AI2473" s="52">
        <f>IF(OR(L2473="",P2473=""),"",IF(COUNTIFS(L$6:L2473,L2473,P$6:P2473,"?*")=1,MAX(AI$5:AI2472)+1,""))</f>
        <v/>
      </c>
    </row>
    <row r="2474">
      <c r="B2474" s="47" t="n"/>
      <c r="C2474" s="48" t="n"/>
      <c r="D2474" s="48" t="n"/>
      <c r="E2474" s="48" t="n"/>
      <c r="F2474" s="48" t="n"/>
      <c r="G2474" s="49" t="n"/>
      <c r="H2474" s="48" t="n"/>
      <c r="I2474" s="50" t="n"/>
      <c r="J2474" s="48" t="n"/>
      <c r="K2474" s="48" t="n"/>
      <c r="L2474" s="48" t="n"/>
      <c r="M2474" s="48" t="n"/>
      <c r="N2474" s="48" t="n"/>
      <c r="O2474" s="51">
        <f>IF(AND(B2474="",G2474="",C2474="",D2474="",J2474=""),"",IF(B2474="","⚠ Falta fecha",IF(G2474="","⚠ Falta monto",IF(Q2474="","⚠ Falta cuenta",IF(ISNA(MATCH(Q2474,ctaNombre,0)),"⚠ Cuenta no registrada",IF(AND(OR(P2474="Gasto",P2474="Reembolso"),D2474=""),"⚠ Falta categoría",IF(AND(D2474&lt;&gt;"",E2474&lt;&gt;"",ISNA(MATCH(D2474&amp;"|"&amp;E2474,catClave,0))),"⚠ Subcategoría no corresponde",IF(AND(OR(P2474="Transferencia",P2474="Pago tarjeta"),K2474=""),"⚠ Falta cuenta destino",IF(AND(K2474&lt;&gt;"",P2474&lt;&gt;"Transferencia",P2474&lt;&gt;"Pago tarjeta"),"⚠ Destino solo aplica a transferencias",IF(AND(K2474&lt;&gt;"",K2474=Q2474),"⚠ Origen igual a destino",IF(AND(K2474&lt;&gt;"",ISNA(MATCH(K2474,ctaNombre,0))),"⚠ Destino no registrado",IF(AND(P2474="Pago tarjeta",AE2474&lt;&gt;"Tarjeta de crédito"),"⚠ El destino debe ser tarjeta de crédito",IF(AND(P2474="Gasto",E2474="Depósitos y retiros"),"⚠ Usa tipo Transferencia",IF(AND(P2474="Resultado trading",AD2474&lt;&gt;"Cuenta de trading"),"⚠ Usa una cuenta de trading",IF(AND(G2474&lt;=0,P2474&lt;&gt;"Ajuste",P2474&lt;&gt;"Resultado trading"),"⚠ El monto debe ser positivo","✓")))))))))))))))</f>
        <v/>
      </c>
      <c r="P2474" s="52">
        <f>IF(OR(B2474="",G2474=""),"",IF(C2474="","Gasto",C2474))</f>
        <v/>
      </c>
      <c r="Q2474" s="52">
        <f>IF(P2474="","",IF(J2474&lt;&gt;"",J2474,CuentaPred&amp;""))</f>
        <v/>
      </c>
      <c r="R2474" s="52">
        <f>IF(P2474="","",IF(ISNUMBER(I2474),I2474,TasaUSD))</f>
        <v/>
      </c>
      <c r="S2474" s="53">
        <f>IF(P2474="","",IF(H2474="USD",G2474*R2474,G2474))</f>
        <v/>
      </c>
      <c r="T2474" s="53">
        <f>IF(P2474="","",IF(H2474="USD",G2474,IF(R2474&gt;0,G2474/R2474,0)))</f>
        <v/>
      </c>
      <c r="U2474" s="53">
        <f>IF(P2474="","",IF(P2474="Gasto",S2474,IF(P2474="Reembolso",-S2474,0)))</f>
        <v/>
      </c>
      <c r="V2474" s="53">
        <f>IF(P2474="","",IF(P2474="Ingreso",S2474,0))</f>
        <v/>
      </c>
      <c r="W2474" s="53">
        <f>IF(P2474="","",IF(P2474="Resultado trading",S2474,0))</f>
        <v/>
      </c>
      <c r="X2474" s="52">
        <f>IF(OR(P2474="Gasto",P2474="Reembolso"),IF(M2474&lt;&gt;"",M2474,IFERROR(INDEX(catClasif,MATCH(D2474&amp;"|"&amp;E2474,catClave,0))&amp;"","Variable")),"")</f>
        <v/>
      </c>
      <c r="Y2474" s="52">
        <f>IF(P2474="","",IFERROR(INDEX(catGrupo,MATCH(D2474&amp;"|"&amp;E2474,catClave,0))&amp;"",""))</f>
        <v/>
      </c>
      <c r="Z2474" s="52">
        <f>IF(P2474="","",WEEKDAY(B2474,2))</f>
        <v/>
      </c>
      <c r="AA2474" s="52">
        <f>IF(P2474="","",IF(AND(P2474="Gasto",X2474="Variable",D2474&lt;&gt;catTrading,S2474&gt;0,S2474&lt;=Umbral),1,0))</f>
        <v/>
      </c>
      <c r="AB2474" s="52">
        <f>IF(OR(P2474="",Q2474=""),"",IFERROR(IF(INDEX(ctaVinc,MATCH(Q2474,ctaNombre,0))&amp;""&lt;&gt;"",INDEX(ctaVinc,MATCH(Q2474,ctaNombre,0))&amp;"",Q2474),Q2474))</f>
        <v/>
      </c>
      <c r="AC2474" s="52">
        <f>IF(OR(K2474="",AND(P2474&lt;&gt;"Transferencia",P2474&lt;&gt;"Pago tarjeta")),"",IFERROR(IF(INDEX(ctaVinc,MATCH(K2474,ctaNombre,0))&amp;""&lt;&gt;"",INDEX(ctaVinc,MATCH(K2474,ctaNombre,0))&amp;"",K2474),K2474))</f>
        <v/>
      </c>
      <c r="AD2474" s="52">
        <f>IF(AB2474="","",IFERROR(INDEX(ctaTipo,MATCH(AB2474,ctaNombre,0))&amp;"",""))</f>
        <v/>
      </c>
      <c r="AE2474" s="52">
        <f>IF(AC2474="","",IFERROR(INDEX(ctaTipo,MATCH(AC2474,ctaNombre,0))&amp;"",""))</f>
        <v/>
      </c>
      <c r="AF2474" s="53">
        <f>IF(OR(P2474="",AB2474=""),"",IF(OR(P2474="Gasto",P2474="Transferencia",P2474="Pago tarjeta"),-1,1)*IF(IFERROR(INDEX(ctaMoneda,MATCH(AB2474,ctaNombre,0))&amp;"","DOP")="USD",T2474,S2474))</f>
        <v/>
      </c>
      <c r="AG2474" s="53">
        <f>IF(AC2474="","",IF(IFERROR(INDEX(ctaMoneda,MATCH(AC2474,ctaNombre,0))&amp;"","DOP")="USD",T2474,S2474))</f>
        <v/>
      </c>
      <c r="AH2474" s="53">
        <f>IF(P2474="","",IF(AND(AD2474&lt;&gt;"",COUNTIFS(tcTipo,AD2474,tcLiq,"Sí")&gt;0),IF(OR(P2474="Gasto",P2474="Transferencia",P2474="Pago tarjeta"),-1,1)*S2474,0)+IF(AND(AE2474&lt;&gt;"",COUNTIFS(tcTipo,AE2474,tcLiq,"Sí")&gt;0),S2474,0))</f>
        <v/>
      </c>
      <c r="AI2474" s="52">
        <f>IF(OR(L2474="",P2474=""),"",IF(COUNTIFS(L$6:L2474,L2474,P$6:P2474,"?*")=1,MAX(AI$5:AI2473)+1,""))</f>
        <v/>
      </c>
    </row>
    <row r="2475">
      <c r="B2475" s="47" t="n"/>
      <c r="C2475" s="48" t="n"/>
      <c r="D2475" s="48" t="n"/>
      <c r="E2475" s="48" t="n"/>
      <c r="F2475" s="48" t="n"/>
      <c r="G2475" s="49" t="n"/>
      <c r="H2475" s="48" t="n"/>
      <c r="I2475" s="50" t="n"/>
      <c r="J2475" s="48" t="n"/>
      <c r="K2475" s="48" t="n"/>
      <c r="L2475" s="48" t="n"/>
      <c r="M2475" s="48" t="n"/>
      <c r="N2475" s="48" t="n"/>
      <c r="O2475" s="51">
        <f>IF(AND(B2475="",G2475="",C2475="",D2475="",J2475=""),"",IF(B2475="","⚠ Falta fecha",IF(G2475="","⚠ Falta monto",IF(Q2475="","⚠ Falta cuenta",IF(ISNA(MATCH(Q2475,ctaNombre,0)),"⚠ Cuenta no registrada",IF(AND(OR(P2475="Gasto",P2475="Reembolso"),D2475=""),"⚠ Falta categoría",IF(AND(D2475&lt;&gt;"",E2475&lt;&gt;"",ISNA(MATCH(D2475&amp;"|"&amp;E2475,catClave,0))),"⚠ Subcategoría no corresponde",IF(AND(OR(P2475="Transferencia",P2475="Pago tarjeta"),K2475=""),"⚠ Falta cuenta destino",IF(AND(K2475&lt;&gt;"",P2475&lt;&gt;"Transferencia",P2475&lt;&gt;"Pago tarjeta"),"⚠ Destino solo aplica a transferencias",IF(AND(K2475&lt;&gt;"",K2475=Q2475),"⚠ Origen igual a destino",IF(AND(K2475&lt;&gt;"",ISNA(MATCH(K2475,ctaNombre,0))),"⚠ Destino no registrado",IF(AND(P2475="Pago tarjeta",AE2475&lt;&gt;"Tarjeta de crédito"),"⚠ El destino debe ser tarjeta de crédito",IF(AND(P2475="Gasto",E2475="Depósitos y retiros"),"⚠ Usa tipo Transferencia",IF(AND(P2475="Resultado trading",AD2475&lt;&gt;"Cuenta de trading"),"⚠ Usa una cuenta de trading",IF(AND(G2475&lt;=0,P2475&lt;&gt;"Ajuste",P2475&lt;&gt;"Resultado trading"),"⚠ El monto debe ser positivo","✓")))))))))))))))</f>
        <v/>
      </c>
      <c r="P2475" s="52">
        <f>IF(OR(B2475="",G2475=""),"",IF(C2475="","Gasto",C2475))</f>
        <v/>
      </c>
      <c r="Q2475" s="52">
        <f>IF(P2475="","",IF(J2475&lt;&gt;"",J2475,CuentaPred&amp;""))</f>
        <v/>
      </c>
      <c r="R2475" s="52">
        <f>IF(P2475="","",IF(ISNUMBER(I2475),I2475,TasaUSD))</f>
        <v/>
      </c>
      <c r="S2475" s="53">
        <f>IF(P2475="","",IF(H2475="USD",G2475*R2475,G2475))</f>
        <v/>
      </c>
      <c r="T2475" s="53">
        <f>IF(P2475="","",IF(H2475="USD",G2475,IF(R2475&gt;0,G2475/R2475,0)))</f>
        <v/>
      </c>
      <c r="U2475" s="53">
        <f>IF(P2475="","",IF(P2475="Gasto",S2475,IF(P2475="Reembolso",-S2475,0)))</f>
        <v/>
      </c>
      <c r="V2475" s="53">
        <f>IF(P2475="","",IF(P2475="Ingreso",S2475,0))</f>
        <v/>
      </c>
      <c r="W2475" s="53">
        <f>IF(P2475="","",IF(P2475="Resultado trading",S2475,0))</f>
        <v/>
      </c>
      <c r="X2475" s="52">
        <f>IF(OR(P2475="Gasto",P2475="Reembolso"),IF(M2475&lt;&gt;"",M2475,IFERROR(INDEX(catClasif,MATCH(D2475&amp;"|"&amp;E2475,catClave,0))&amp;"","Variable")),"")</f>
        <v/>
      </c>
      <c r="Y2475" s="52">
        <f>IF(P2475="","",IFERROR(INDEX(catGrupo,MATCH(D2475&amp;"|"&amp;E2475,catClave,0))&amp;"",""))</f>
        <v/>
      </c>
      <c r="Z2475" s="52">
        <f>IF(P2475="","",WEEKDAY(B2475,2))</f>
        <v/>
      </c>
      <c r="AA2475" s="52">
        <f>IF(P2475="","",IF(AND(P2475="Gasto",X2475="Variable",D2475&lt;&gt;catTrading,S2475&gt;0,S2475&lt;=Umbral),1,0))</f>
        <v/>
      </c>
      <c r="AB2475" s="52">
        <f>IF(OR(P2475="",Q2475=""),"",IFERROR(IF(INDEX(ctaVinc,MATCH(Q2475,ctaNombre,0))&amp;""&lt;&gt;"",INDEX(ctaVinc,MATCH(Q2475,ctaNombre,0))&amp;"",Q2475),Q2475))</f>
        <v/>
      </c>
      <c r="AC2475" s="52">
        <f>IF(OR(K2475="",AND(P2475&lt;&gt;"Transferencia",P2475&lt;&gt;"Pago tarjeta")),"",IFERROR(IF(INDEX(ctaVinc,MATCH(K2475,ctaNombre,0))&amp;""&lt;&gt;"",INDEX(ctaVinc,MATCH(K2475,ctaNombre,0))&amp;"",K2475),K2475))</f>
        <v/>
      </c>
      <c r="AD2475" s="52">
        <f>IF(AB2475="","",IFERROR(INDEX(ctaTipo,MATCH(AB2475,ctaNombre,0))&amp;"",""))</f>
        <v/>
      </c>
      <c r="AE2475" s="52">
        <f>IF(AC2475="","",IFERROR(INDEX(ctaTipo,MATCH(AC2475,ctaNombre,0))&amp;"",""))</f>
        <v/>
      </c>
      <c r="AF2475" s="53">
        <f>IF(OR(P2475="",AB2475=""),"",IF(OR(P2475="Gasto",P2475="Transferencia",P2475="Pago tarjeta"),-1,1)*IF(IFERROR(INDEX(ctaMoneda,MATCH(AB2475,ctaNombre,0))&amp;"","DOP")="USD",T2475,S2475))</f>
        <v/>
      </c>
      <c r="AG2475" s="53">
        <f>IF(AC2475="","",IF(IFERROR(INDEX(ctaMoneda,MATCH(AC2475,ctaNombre,0))&amp;"","DOP")="USD",T2475,S2475))</f>
        <v/>
      </c>
      <c r="AH2475" s="53">
        <f>IF(P2475="","",IF(AND(AD2475&lt;&gt;"",COUNTIFS(tcTipo,AD2475,tcLiq,"Sí")&gt;0),IF(OR(P2475="Gasto",P2475="Transferencia",P2475="Pago tarjeta"),-1,1)*S2475,0)+IF(AND(AE2475&lt;&gt;"",COUNTIFS(tcTipo,AE2475,tcLiq,"Sí")&gt;0),S2475,0))</f>
        <v/>
      </c>
      <c r="AI2475" s="52">
        <f>IF(OR(L2475="",P2475=""),"",IF(COUNTIFS(L$6:L2475,L2475,P$6:P2475,"?*")=1,MAX(AI$5:AI2474)+1,""))</f>
        <v/>
      </c>
    </row>
    <row r="2476">
      <c r="B2476" s="47" t="n"/>
      <c r="C2476" s="48" t="n"/>
      <c r="D2476" s="48" t="n"/>
      <c r="E2476" s="48" t="n"/>
      <c r="F2476" s="48" t="n"/>
      <c r="G2476" s="49" t="n"/>
      <c r="H2476" s="48" t="n"/>
      <c r="I2476" s="50" t="n"/>
      <c r="J2476" s="48" t="n"/>
      <c r="K2476" s="48" t="n"/>
      <c r="L2476" s="48" t="n"/>
      <c r="M2476" s="48" t="n"/>
      <c r="N2476" s="48" t="n"/>
      <c r="O2476" s="51">
        <f>IF(AND(B2476="",G2476="",C2476="",D2476="",J2476=""),"",IF(B2476="","⚠ Falta fecha",IF(G2476="","⚠ Falta monto",IF(Q2476="","⚠ Falta cuenta",IF(ISNA(MATCH(Q2476,ctaNombre,0)),"⚠ Cuenta no registrada",IF(AND(OR(P2476="Gasto",P2476="Reembolso"),D2476=""),"⚠ Falta categoría",IF(AND(D2476&lt;&gt;"",E2476&lt;&gt;"",ISNA(MATCH(D2476&amp;"|"&amp;E2476,catClave,0))),"⚠ Subcategoría no corresponde",IF(AND(OR(P2476="Transferencia",P2476="Pago tarjeta"),K2476=""),"⚠ Falta cuenta destino",IF(AND(K2476&lt;&gt;"",P2476&lt;&gt;"Transferencia",P2476&lt;&gt;"Pago tarjeta"),"⚠ Destino solo aplica a transferencias",IF(AND(K2476&lt;&gt;"",K2476=Q2476),"⚠ Origen igual a destino",IF(AND(K2476&lt;&gt;"",ISNA(MATCH(K2476,ctaNombre,0))),"⚠ Destino no registrado",IF(AND(P2476="Pago tarjeta",AE2476&lt;&gt;"Tarjeta de crédito"),"⚠ El destino debe ser tarjeta de crédito",IF(AND(P2476="Gasto",E2476="Depósitos y retiros"),"⚠ Usa tipo Transferencia",IF(AND(P2476="Resultado trading",AD2476&lt;&gt;"Cuenta de trading"),"⚠ Usa una cuenta de trading",IF(AND(G2476&lt;=0,P2476&lt;&gt;"Ajuste",P2476&lt;&gt;"Resultado trading"),"⚠ El monto debe ser positivo","✓")))))))))))))))</f>
        <v/>
      </c>
      <c r="P2476" s="52">
        <f>IF(OR(B2476="",G2476=""),"",IF(C2476="","Gasto",C2476))</f>
        <v/>
      </c>
      <c r="Q2476" s="52">
        <f>IF(P2476="","",IF(J2476&lt;&gt;"",J2476,CuentaPred&amp;""))</f>
        <v/>
      </c>
      <c r="R2476" s="52">
        <f>IF(P2476="","",IF(ISNUMBER(I2476),I2476,TasaUSD))</f>
        <v/>
      </c>
      <c r="S2476" s="53">
        <f>IF(P2476="","",IF(H2476="USD",G2476*R2476,G2476))</f>
        <v/>
      </c>
      <c r="T2476" s="53">
        <f>IF(P2476="","",IF(H2476="USD",G2476,IF(R2476&gt;0,G2476/R2476,0)))</f>
        <v/>
      </c>
      <c r="U2476" s="53">
        <f>IF(P2476="","",IF(P2476="Gasto",S2476,IF(P2476="Reembolso",-S2476,0)))</f>
        <v/>
      </c>
      <c r="V2476" s="53">
        <f>IF(P2476="","",IF(P2476="Ingreso",S2476,0))</f>
        <v/>
      </c>
      <c r="W2476" s="53">
        <f>IF(P2476="","",IF(P2476="Resultado trading",S2476,0))</f>
        <v/>
      </c>
      <c r="X2476" s="52">
        <f>IF(OR(P2476="Gasto",P2476="Reembolso"),IF(M2476&lt;&gt;"",M2476,IFERROR(INDEX(catClasif,MATCH(D2476&amp;"|"&amp;E2476,catClave,0))&amp;"","Variable")),"")</f>
        <v/>
      </c>
      <c r="Y2476" s="52">
        <f>IF(P2476="","",IFERROR(INDEX(catGrupo,MATCH(D2476&amp;"|"&amp;E2476,catClave,0))&amp;"",""))</f>
        <v/>
      </c>
      <c r="Z2476" s="52">
        <f>IF(P2476="","",WEEKDAY(B2476,2))</f>
        <v/>
      </c>
      <c r="AA2476" s="52">
        <f>IF(P2476="","",IF(AND(P2476="Gasto",X2476="Variable",D2476&lt;&gt;catTrading,S2476&gt;0,S2476&lt;=Umbral),1,0))</f>
        <v/>
      </c>
      <c r="AB2476" s="52">
        <f>IF(OR(P2476="",Q2476=""),"",IFERROR(IF(INDEX(ctaVinc,MATCH(Q2476,ctaNombre,0))&amp;""&lt;&gt;"",INDEX(ctaVinc,MATCH(Q2476,ctaNombre,0))&amp;"",Q2476),Q2476))</f>
        <v/>
      </c>
      <c r="AC2476" s="52">
        <f>IF(OR(K2476="",AND(P2476&lt;&gt;"Transferencia",P2476&lt;&gt;"Pago tarjeta")),"",IFERROR(IF(INDEX(ctaVinc,MATCH(K2476,ctaNombre,0))&amp;""&lt;&gt;"",INDEX(ctaVinc,MATCH(K2476,ctaNombre,0))&amp;"",K2476),K2476))</f>
        <v/>
      </c>
      <c r="AD2476" s="52">
        <f>IF(AB2476="","",IFERROR(INDEX(ctaTipo,MATCH(AB2476,ctaNombre,0))&amp;"",""))</f>
        <v/>
      </c>
      <c r="AE2476" s="52">
        <f>IF(AC2476="","",IFERROR(INDEX(ctaTipo,MATCH(AC2476,ctaNombre,0))&amp;"",""))</f>
        <v/>
      </c>
      <c r="AF2476" s="53">
        <f>IF(OR(P2476="",AB2476=""),"",IF(OR(P2476="Gasto",P2476="Transferencia",P2476="Pago tarjeta"),-1,1)*IF(IFERROR(INDEX(ctaMoneda,MATCH(AB2476,ctaNombre,0))&amp;"","DOP")="USD",T2476,S2476))</f>
        <v/>
      </c>
      <c r="AG2476" s="53">
        <f>IF(AC2476="","",IF(IFERROR(INDEX(ctaMoneda,MATCH(AC2476,ctaNombre,0))&amp;"","DOP")="USD",T2476,S2476))</f>
        <v/>
      </c>
      <c r="AH2476" s="53">
        <f>IF(P2476="","",IF(AND(AD2476&lt;&gt;"",COUNTIFS(tcTipo,AD2476,tcLiq,"Sí")&gt;0),IF(OR(P2476="Gasto",P2476="Transferencia",P2476="Pago tarjeta"),-1,1)*S2476,0)+IF(AND(AE2476&lt;&gt;"",COUNTIFS(tcTipo,AE2476,tcLiq,"Sí")&gt;0),S2476,0))</f>
        <v/>
      </c>
      <c r="AI2476" s="52">
        <f>IF(OR(L2476="",P2476=""),"",IF(COUNTIFS(L$6:L2476,L2476,P$6:P2476,"?*")=1,MAX(AI$5:AI2475)+1,""))</f>
        <v/>
      </c>
    </row>
    <row r="2477">
      <c r="B2477" s="47" t="n"/>
      <c r="C2477" s="48" t="n"/>
      <c r="D2477" s="48" t="n"/>
      <c r="E2477" s="48" t="n"/>
      <c r="F2477" s="48" t="n"/>
      <c r="G2477" s="49" t="n"/>
      <c r="H2477" s="48" t="n"/>
      <c r="I2477" s="50" t="n"/>
      <c r="J2477" s="48" t="n"/>
      <c r="K2477" s="48" t="n"/>
      <c r="L2477" s="48" t="n"/>
      <c r="M2477" s="48" t="n"/>
      <c r="N2477" s="48" t="n"/>
      <c r="O2477" s="51">
        <f>IF(AND(B2477="",G2477="",C2477="",D2477="",J2477=""),"",IF(B2477="","⚠ Falta fecha",IF(G2477="","⚠ Falta monto",IF(Q2477="","⚠ Falta cuenta",IF(ISNA(MATCH(Q2477,ctaNombre,0)),"⚠ Cuenta no registrada",IF(AND(OR(P2477="Gasto",P2477="Reembolso"),D2477=""),"⚠ Falta categoría",IF(AND(D2477&lt;&gt;"",E2477&lt;&gt;"",ISNA(MATCH(D2477&amp;"|"&amp;E2477,catClave,0))),"⚠ Subcategoría no corresponde",IF(AND(OR(P2477="Transferencia",P2477="Pago tarjeta"),K2477=""),"⚠ Falta cuenta destino",IF(AND(K2477&lt;&gt;"",P2477&lt;&gt;"Transferencia",P2477&lt;&gt;"Pago tarjeta"),"⚠ Destino solo aplica a transferencias",IF(AND(K2477&lt;&gt;"",K2477=Q2477),"⚠ Origen igual a destino",IF(AND(K2477&lt;&gt;"",ISNA(MATCH(K2477,ctaNombre,0))),"⚠ Destino no registrado",IF(AND(P2477="Pago tarjeta",AE2477&lt;&gt;"Tarjeta de crédito"),"⚠ El destino debe ser tarjeta de crédito",IF(AND(P2477="Gasto",E2477="Depósitos y retiros"),"⚠ Usa tipo Transferencia",IF(AND(P2477="Resultado trading",AD2477&lt;&gt;"Cuenta de trading"),"⚠ Usa una cuenta de trading",IF(AND(G2477&lt;=0,P2477&lt;&gt;"Ajuste",P2477&lt;&gt;"Resultado trading"),"⚠ El monto debe ser positivo","✓")))))))))))))))</f>
        <v/>
      </c>
      <c r="P2477" s="52">
        <f>IF(OR(B2477="",G2477=""),"",IF(C2477="","Gasto",C2477))</f>
        <v/>
      </c>
      <c r="Q2477" s="52">
        <f>IF(P2477="","",IF(J2477&lt;&gt;"",J2477,CuentaPred&amp;""))</f>
        <v/>
      </c>
      <c r="R2477" s="52">
        <f>IF(P2477="","",IF(ISNUMBER(I2477),I2477,TasaUSD))</f>
        <v/>
      </c>
      <c r="S2477" s="53">
        <f>IF(P2477="","",IF(H2477="USD",G2477*R2477,G2477))</f>
        <v/>
      </c>
      <c r="T2477" s="53">
        <f>IF(P2477="","",IF(H2477="USD",G2477,IF(R2477&gt;0,G2477/R2477,0)))</f>
        <v/>
      </c>
      <c r="U2477" s="53">
        <f>IF(P2477="","",IF(P2477="Gasto",S2477,IF(P2477="Reembolso",-S2477,0)))</f>
        <v/>
      </c>
      <c r="V2477" s="53">
        <f>IF(P2477="","",IF(P2477="Ingreso",S2477,0))</f>
        <v/>
      </c>
      <c r="W2477" s="53">
        <f>IF(P2477="","",IF(P2477="Resultado trading",S2477,0))</f>
        <v/>
      </c>
      <c r="X2477" s="52">
        <f>IF(OR(P2477="Gasto",P2477="Reembolso"),IF(M2477&lt;&gt;"",M2477,IFERROR(INDEX(catClasif,MATCH(D2477&amp;"|"&amp;E2477,catClave,0))&amp;"","Variable")),"")</f>
        <v/>
      </c>
      <c r="Y2477" s="52">
        <f>IF(P2477="","",IFERROR(INDEX(catGrupo,MATCH(D2477&amp;"|"&amp;E2477,catClave,0))&amp;"",""))</f>
        <v/>
      </c>
      <c r="Z2477" s="52">
        <f>IF(P2477="","",WEEKDAY(B2477,2))</f>
        <v/>
      </c>
      <c r="AA2477" s="52">
        <f>IF(P2477="","",IF(AND(P2477="Gasto",X2477="Variable",D2477&lt;&gt;catTrading,S2477&gt;0,S2477&lt;=Umbral),1,0))</f>
        <v/>
      </c>
      <c r="AB2477" s="52">
        <f>IF(OR(P2477="",Q2477=""),"",IFERROR(IF(INDEX(ctaVinc,MATCH(Q2477,ctaNombre,0))&amp;""&lt;&gt;"",INDEX(ctaVinc,MATCH(Q2477,ctaNombre,0))&amp;"",Q2477),Q2477))</f>
        <v/>
      </c>
      <c r="AC2477" s="52">
        <f>IF(OR(K2477="",AND(P2477&lt;&gt;"Transferencia",P2477&lt;&gt;"Pago tarjeta")),"",IFERROR(IF(INDEX(ctaVinc,MATCH(K2477,ctaNombre,0))&amp;""&lt;&gt;"",INDEX(ctaVinc,MATCH(K2477,ctaNombre,0))&amp;"",K2477),K2477))</f>
        <v/>
      </c>
      <c r="AD2477" s="52">
        <f>IF(AB2477="","",IFERROR(INDEX(ctaTipo,MATCH(AB2477,ctaNombre,0))&amp;"",""))</f>
        <v/>
      </c>
      <c r="AE2477" s="52">
        <f>IF(AC2477="","",IFERROR(INDEX(ctaTipo,MATCH(AC2477,ctaNombre,0))&amp;"",""))</f>
        <v/>
      </c>
      <c r="AF2477" s="53">
        <f>IF(OR(P2477="",AB2477=""),"",IF(OR(P2477="Gasto",P2477="Transferencia",P2477="Pago tarjeta"),-1,1)*IF(IFERROR(INDEX(ctaMoneda,MATCH(AB2477,ctaNombre,0))&amp;"","DOP")="USD",T2477,S2477))</f>
        <v/>
      </c>
      <c r="AG2477" s="53">
        <f>IF(AC2477="","",IF(IFERROR(INDEX(ctaMoneda,MATCH(AC2477,ctaNombre,0))&amp;"","DOP")="USD",T2477,S2477))</f>
        <v/>
      </c>
      <c r="AH2477" s="53">
        <f>IF(P2477="","",IF(AND(AD2477&lt;&gt;"",COUNTIFS(tcTipo,AD2477,tcLiq,"Sí")&gt;0),IF(OR(P2477="Gasto",P2477="Transferencia",P2477="Pago tarjeta"),-1,1)*S2477,0)+IF(AND(AE2477&lt;&gt;"",COUNTIFS(tcTipo,AE2477,tcLiq,"Sí")&gt;0),S2477,0))</f>
        <v/>
      </c>
      <c r="AI2477" s="52">
        <f>IF(OR(L2477="",P2477=""),"",IF(COUNTIFS(L$6:L2477,L2477,P$6:P2477,"?*")=1,MAX(AI$5:AI2476)+1,""))</f>
        <v/>
      </c>
    </row>
    <row r="2478">
      <c r="B2478" s="47" t="n"/>
      <c r="C2478" s="48" t="n"/>
      <c r="D2478" s="48" t="n"/>
      <c r="E2478" s="48" t="n"/>
      <c r="F2478" s="48" t="n"/>
      <c r="G2478" s="49" t="n"/>
      <c r="H2478" s="48" t="n"/>
      <c r="I2478" s="50" t="n"/>
      <c r="J2478" s="48" t="n"/>
      <c r="K2478" s="48" t="n"/>
      <c r="L2478" s="48" t="n"/>
      <c r="M2478" s="48" t="n"/>
      <c r="N2478" s="48" t="n"/>
      <c r="O2478" s="51">
        <f>IF(AND(B2478="",G2478="",C2478="",D2478="",J2478=""),"",IF(B2478="","⚠ Falta fecha",IF(G2478="","⚠ Falta monto",IF(Q2478="","⚠ Falta cuenta",IF(ISNA(MATCH(Q2478,ctaNombre,0)),"⚠ Cuenta no registrada",IF(AND(OR(P2478="Gasto",P2478="Reembolso"),D2478=""),"⚠ Falta categoría",IF(AND(D2478&lt;&gt;"",E2478&lt;&gt;"",ISNA(MATCH(D2478&amp;"|"&amp;E2478,catClave,0))),"⚠ Subcategoría no corresponde",IF(AND(OR(P2478="Transferencia",P2478="Pago tarjeta"),K2478=""),"⚠ Falta cuenta destino",IF(AND(K2478&lt;&gt;"",P2478&lt;&gt;"Transferencia",P2478&lt;&gt;"Pago tarjeta"),"⚠ Destino solo aplica a transferencias",IF(AND(K2478&lt;&gt;"",K2478=Q2478),"⚠ Origen igual a destino",IF(AND(K2478&lt;&gt;"",ISNA(MATCH(K2478,ctaNombre,0))),"⚠ Destino no registrado",IF(AND(P2478="Pago tarjeta",AE2478&lt;&gt;"Tarjeta de crédito"),"⚠ El destino debe ser tarjeta de crédito",IF(AND(P2478="Gasto",E2478="Depósitos y retiros"),"⚠ Usa tipo Transferencia",IF(AND(P2478="Resultado trading",AD2478&lt;&gt;"Cuenta de trading"),"⚠ Usa una cuenta de trading",IF(AND(G2478&lt;=0,P2478&lt;&gt;"Ajuste",P2478&lt;&gt;"Resultado trading"),"⚠ El monto debe ser positivo","✓")))))))))))))))</f>
        <v/>
      </c>
      <c r="P2478" s="52">
        <f>IF(OR(B2478="",G2478=""),"",IF(C2478="","Gasto",C2478))</f>
        <v/>
      </c>
      <c r="Q2478" s="52">
        <f>IF(P2478="","",IF(J2478&lt;&gt;"",J2478,CuentaPred&amp;""))</f>
        <v/>
      </c>
      <c r="R2478" s="52">
        <f>IF(P2478="","",IF(ISNUMBER(I2478),I2478,TasaUSD))</f>
        <v/>
      </c>
      <c r="S2478" s="53">
        <f>IF(P2478="","",IF(H2478="USD",G2478*R2478,G2478))</f>
        <v/>
      </c>
      <c r="T2478" s="53">
        <f>IF(P2478="","",IF(H2478="USD",G2478,IF(R2478&gt;0,G2478/R2478,0)))</f>
        <v/>
      </c>
      <c r="U2478" s="53">
        <f>IF(P2478="","",IF(P2478="Gasto",S2478,IF(P2478="Reembolso",-S2478,0)))</f>
        <v/>
      </c>
      <c r="V2478" s="53">
        <f>IF(P2478="","",IF(P2478="Ingreso",S2478,0))</f>
        <v/>
      </c>
      <c r="W2478" s="53">
        <f>IF(P2478="","",IF(P2478="Resultado trading",S2478,0))</f>
        <v/>
      </c>
      <c r="X2478" s="52">
        <f>IF(OR(P2478="Gasto",P2478="Reembolso"),IF(M2478&lt;&gt;"",M2478,IFERROR(INDEX(catClasif,MATCH(D2478&amp;"|"&amp;E2478,catClave,0))&amp;"","Variable")),"")</f>
        <v/>
      </c>
      <c r="Y2478" s="52">
        <f>IF(P2478="","",IFERROR(INDEX(catGrupo,MATCH(D2478&amp;"|"&amp;E2478,catClave,0))&amp;"",""))</f>
        <v/>
      </c>
      <c r="Z2478" s="52">
        <f>IF(P2478="","",WEEKDAY(B2478,2))</f>
        <v/>
      </c>
      <c r="AA2478" s="52">
        <f>IF(P2478="","",IF(AND(P2478="Gasto",X2478="Variable",D2478&lt;&gt;catTrading,S2478&gt;0,S2478&lt;=Umbral),1,0))</f>
        <v/>
      </c>
      <c r="AB2478" s="52">
        <f>IF(OR(P2478="",Q2478=""),"",IFERROR(IF(INDEX(ctaVinc,MATCH(Q2478,ctaNombre,0))&amp;""&lt;&gt;"",INDEX(ctaVinc,MATCH(Q2478,ctaNombre,0))&amp;"",Q2478),Q2478))</f>
        <v/>
      </c>
      <c r="AC2478" s="52">
        <f>IF(OR(K2478="",AND(P2478&lt;&gt;"Transferencia",P2478&lt;&gt;"Pago tarjeta")),"",IFERROR(IF(INDEX(ctaVinc,MATCH(K2478,ctaNombre,0))&amp;""&lt;&gt;"",INDEX(ctaVinc,MATCH(K2478,ctaNombre,0))&amp;"",K2478),K2478))</f>
        <v/>
      </c>
      <c r="AD2478" s="52">
        <f>IF(AB2478="","",IFERROR(INDEX(ctaTipo,MATCH(AB2478,ctaNombre,0))&amp;"",""))</f>
        <v/>
      </c>
      <c r="AE2478" s="52">
        <f>IF(AC2478="","",IFERROR(INDEX(ctaTipo,MATCH(AC2478,ctaNombre,0))&amp;"",""))</f>
        <v/>
      </c>
      <c r="AF2478" s="53">
        <f>IF(OR(P2478="",AB2478=""),"",IF(OR(P2478="Gasto",P2478="Transferencia",P2478="Pago tarjeta"),-1,1)*IF(IFERROR(INDEX(ctaMoneda,MATCH(AB2478,ctaNombre,0))&amp;"","DOP")="USD",T2478,S2478))</f>
        <v/>
      </c>
      <c r="AG2478" s="53">
        <f>IF(AC2478="","",IF(IFERROR(INDEX(ctaMoneda,MATCH(AC2478,ctaNombre,0))&amp;"","DOP")="USD",T2478,S2478))</f>
        <v/>
      </c>
      <c r="AH2478" s="53">
        <f>IF(P2478="","",IF(AND(AD2478&lt;&gt;"",COUNTIFS(tcTipo,AD2478,tcLiq,"Sí")&gt;0),IF(OR(P2478="Gasto",P2478="Transferencia",P2478="Pago tarjeta"),-1,1)*S2478,0)+IF(AND(AE2478&lt;&gt;"",COUNTIFS(tcTipo,AE2478,tcLiq,"Sí")&gt;0),S2478,0))</f>
        <v/>
      </c>
      <c r="AI2478" s="52">
        <f>IF(OR(L2478="",P2478=""),"",IF(COUNTIFS(L$6:L2478,L2478,P$6:P2478,"?*")=1,MAX(AI$5:AI2477)+1,""))</f>
        <v/>
      </c>
    </row>
    <row r="2479">
      <c r="B2479" s="47" t="n"/>
      <c r="C2479" s="48" t="n"/>
      <c r="D2479" s="48" t="n"/>
      <c r="E2479" s="48" t="n"/>
      <c r="F2479" s="48" t="n"/>
      <c r="G2479" s="49" t="n"/>
      <c r="H2479" s="48" t="n"/>
      <c r="I2479" s="50" t="n"/>
      <c r="J2479" s="48" t="n"/>
      <c r="K2479" s="48" t="n"/>
      <c r="L2479" s="48" t="n"/>
      <c r="M2479" s="48" t="n"/>
      <c r="N2479" s="48" t="n"/>
      <c r="O2479" s="51">
        <f>IF(AND(B2479="",G2479="",C2479="",D2479="",J2479=""),"",IF(B2479="","⚠ Falta fecha",IF(G2479="","⚠ Falta monto",IF(Q2479="","⚠ Falta cuenta",IF(ISNA(MATCH(Q2479,ctaNombre,0)),"⚠ Cuenta no registrada",IF(AND(OR(P2479="Gasto",P2479="Reembolso"),D2479=""),"⚠ Falta categoría",IF(AND(D2479&lt;&gt;"",E2479&lt;&gt;"",ISNA(MATCH(D2479&amp;"|"&amp;E2479,catClave,0))),"⚠ Subcategoría no corresponde",IF(AND(OR(P2479="Transferencia",P2479="Pago tarjeta"),K2479=""),"⚠ Falta cuenta destino",IF(AND(K2479&lt;&gt;"",P2479&lt;&gt;"Transferencia",P2479&lt;&gt;"Pago tarjeta"),"⚠ Destino solo aplica a transferencias",IF(AND(K2479&lt;&gt;"",K2479=Q2479),"⚠ Origen igual a destino",IF(AND(K2479&lt;&gt;"",ISNA(MATCH(K2479,ctaNombre,0))),"⚠ Destino no registrado",IF(AND(P2479="Pago tarjeta",AE2479&lt;&gt;"Tarjeta de crédito"),"⚠ El destino debe ser tarjeta de crédito",IF(AND(P2479="Gasto",E2479="Depósitos y retiros"),"⚠ Usa tipo Transferencia",IF(AND(P2479="Resultado trading",AD2479&lt;&gt;"Cuenta de trading"),"⚠ Usa una cuenta de trading",IF(AND(G2479&lt;=0,P2479&lt;&gt;"Ajuste",P2479&lt;&gt;"Resultado trading"),"⚠ El monto debe ser positivo","✓")))))))))))))))</f>
        <v/>
      </c>
      <c r="P2479" s="52">
        <f>IF(OR(B2479="",G2479=""),"",IF(C2479="","Gasto",C2479))</f>
        <v/>
      </c>
      <c r="Q2479" s="52">
        <f>IF(P2479="","",IF(J2479&lt;&gt;"",J2479,CuentaPred&amp;""))</f>
        <v/>
      </c>
      <c r="R2479" s="52">
        <f>IF(P2479="","",IF(ISNUMBER(I2479),I2479,TasaUSD))</f>
        <v/>
      </c>
      <c r="S2479" s="53">
        <f>IF(P2479="","",IF(H2479="USD",G2479*R2479,G2479))</f>
        <v/>
      </c>
      <c r="T2479" s="53">
        <f>IF(P2479="","",IF(H2479="USD",G2479,IF(R2479&gt;0,G2479/R2479,0)))</f>
        <v/>
      </c>
      <c r="U2479" s="53">
        <f>IF(P2479="","",IF(P2479="Gasto",S2479,IF(P2479="Reembolso",-S2479,0)))</f>
        <v/>
      </c>
      <c r="V2479" s="53">
        <f>IF(P2479="","",IF(P2479="Ingreso",S2479,0))</f>
        <v/>
      </c>
      <c r="W2479" s="53">
        <f>IF(P2479="","",IF(P2479="Resultado trading",S2479,0))</f>
        <v/>
      </c>
      <c r="X2479" s="52">
        <f>IF(OR(P2479="Gasto",P2479="Reembolso"),IF(M2479&lt;&gt;"",M2479,IFERROR(INDEX(catClasif,MATCH(D2479&amp;"|"&amp;E2479,catClave,0))&amp;"","Variable")),"")</f>
        <v/>
      </c>
      <c r="Y2479" s="52">
        <f>IF(P2479="","",IFERROR(INDEX(catGrupo,MATCH(D2479&amp;"|"&amp;E2479,catClave,0))&amp;"",""))</f>
        <v/>
      </c>
      <c r="Z2479" s="52">
        <f>IF(P2479="","",WEEKDAY(B2479,2))</f>
        <v/>
      </c>
      <c r="AA2479" s="52">
        <f>IF(P2479="","",IF(AND(P2479="Gasto",X2479="Variable",D2479&lt;&gt;catTrading,S2479&gt;0,S2479&lt;=Umbral),1,0))</f>
        <v/>
      </c>
      <c r="AB2479" s="52">
        <f>IF(OR(P2479="",Q2479=""),"",IFERROR(IF(INDEX(ctaVinc,MATCH(Q2479,ctaNombre,0))&amp;""&lt;&gt;"",INDEX(ctaVinc,MATCH(Q2479,ctaNombre,0))&amp;"",Q2479),Q2479))</f>
        <v/>
      </c>
      <c r="AC2479" s="52">
        <f>IF(OR(K2479="",AND(P2479&lt;&gt;"Transferencia",P2479&lt;&gt;"Pago tarjeta")),"",IFERROR(IF(INDEX(ctaVinc,MATCH(K2479,ctaNombre,0))&amp;""&lt;&gt;"",INDEX(ctaVinc,MATCH(K2479,ctaNombre,0))&amp;"",K2479),K2479))</f>
        <v/>
      </c>
      <c r="AD2479" s="52">
        <f>IF(AB2479="","",IFERROR(INDEX(ctaTipo,MATCH(AB2479,ctaNombre,0))&amp;"",""))</f>
        <v/>
      </c>
      <c r="AE2479" s="52">
        <f>IF(AC2479="","",IFERROR(INDEX(ctaTipo,MATCH(AC2479,ctaNombre,0))&amp;"",""))</f>
        <v/>
      </c>
      <c r="AF2479" s="53">
        <f>IF(OR(P2479="",AB2479=""),"",IF(OR(P2479="Gasto",P2479="Transferencia",P2479="Pago tarjeta"),-1,1)*IF(IFERROR(INDEX(ctaMoneda,MATCH(AB2479,ctaNombre,0))&amp;"","DOP")="USD",T2479,S2479))</f>
        <v/>
      </c>
      <c r="AG2479" s="53">
        <f>IF(AC2479="","",IF(IFERROR(INDEX(ctaMoneda,MATCH(AC2479,ctaNombre,0))&amp;"","DOP")="USD",T2479,S2479))</f>
        <v/>
      </c>
      <c r="AH2479" s="53">
        <f>IF(P2479="","",IF(AND(AD2479&lt;&gt;"",COUNTIFS(tcTipo,AD2479,tcLiq,"Sí")&gt;0),IF(OR(P2479="Gasto",P2479="Transferencia",P2479="Pago tarjeta"),-1,1)*S2479,0)+IF(AND(AE2479&lt;&gt;"",COUNTIFS(tcTipo,AE2479,tcLiq,"Sí")&gt;0),S2479,0))</f>
        <v/>
      </c>
      <c r="AI2479" s="52">
        <f>IF(OR(L2479="",P2479=""),"",IF(COUNTIFS(L$6:L2479,L2479,P$6:P2479,"?*")=1,MAX(AI$5:AI2478)+1,""))</f>
        <v/>
      </c>
    </row>
    <row r="2480">
      <c r="B2480" s="47" t="n"/>
      <c r="C2480" s="48" t="n"/>
      <c r="D2480" s="48" t="n"/>
      <c r="E2480" s="48" t="n"/>
      <c r="F2480" s="48" t="n"/>
      <c r="G2480" s="49" t="n"/>
      <c r="H2480" s="48" t="n"/>
      <c r="I2480" s="50" t="n"/>
      <c r="J2480" s="48" t="n"/>
      <c r="K2480" s="48" t="n"/>
      <c r="L2480" s="48" t="n"/>
      <c r="M2480" s="48" t="n"/>
      <c r="N2480" s="48" t="n"/>
      <c r="O2480" s="51">
        <f>IF(AND(B2480="",G2480="",C2480="",D2480="",J2480=""),"",IF(B2480="","⚠ Falta fecha",IF(G2480="","⚠ Falta monto",IF(Q2480="","⚠ Falta cuenta",IF(ISNA(MATCH(Q2480,ctaNombre,0)),"⚠ Cuenta no registrada",IF(AND(OR(P2480="Gasto",P2480="Reembolso"),D2480=""),"⚠ Falta categoría",IF(AND(D2480&lt;&gt;"",E2480&lt;&gt;"",ISNA(MATCH(D2480&amp;"|"&amp;E2480,catClave,0))),"⚠ Subcategoría no corresponde",IF(AND(OR(P2480="Transferencia",P2480="Pago tarjeta"),K2480=""),"⚠ Falta cuenta destino",IF(AND(K2480&lt;&gt;"",P2480&lt;&gt;"Transferencia",P2480&lt;&gt;"Pago tarjeta"),"⚠ Destino solo aplica a transferencias",IF(AND(K2480&lt;&gt;"",K2480=Q2480),"⚠ Origen igual a destino",IF(AND(K2480&lt;&gt;"",ISNA(MATCH(K2480,ctaNombre,0))),"⚠ Destino no registrado",IF(AND(P2480="Pago tarjeta",AE2480&lt;&gt;"Tarjeta de crédito"),"⚠ El destino debe ser tarjeta de crédito",IF(AND(P2480="Gasto",E2480="Depósitos y retiros"),"⚠ Usa tipo Transferencia",IF(AND(P2480="Resultado trading",AD2480&lt;&gt;"Cuenta de trading"),"⚠ Usa una cuenta de trading",IF(AND(G2480&lt;=0,P2480&lt;&gt;"Ajuste",P2480&lt;&gt;"Resultado trading"),"⚠ El monto debe ser positivo","✓")))))))))))))))</f>
        <v/>
      </c>
      <c r="P2480" s="52">
        <f>IF(OR(B2480="",G2480=""),"",IF(C2480="","Gasto",C2480))</f>
        <v/>
      </c>
      <c r="Q2480" s="52">
        <f>IF(P2480="","",IF(J2480&lt;&gt;"",J2480,CuentaPred&amp;""))</f>
        <v/>
      </c>
      <c r="R2480" s="52">
        <f>IF(P2480="","",IF(ISNUMBER(I2480),I2480,TasaUSD))</f>
        <v/>
      </c>
      <c r="S2480" s="53">
        <f>IF(P2480="","",IF(H2480="USD",G2480*R2480,G2480))</f>
        <v/>
      </c>
      <c r="T2480" s="53">
        <f>IF(P2480="","",IF(H2480="USD",G2480,IF(R2480&gt;0,G2480/R2480,0)))</f>
        <v/>
      </c>
      <c r="U2480" s="53">
        <f>IF(P2480="","",IF(P2480="Gasto",S2480,IF(P2480="Reembolso",-S2480,0)))</f>
        <v/>
      </c>
      <c r="V2480" s="53">
        <f>IF(P2480="","",IF(P2480="Ingreso",S2480,0))</f>
        <v/>
      </c>
      <c r="W2480" s="53">
        <f>IF(P2480="","",IF(P2480="Resultado trading",S2480,0))</f>
        <v/>
      </c>
      <c r="X2480" s="52">
        <f>IF(OR(P2480="Gasto",P2480="Reembolso"),IF(M2480&lt;&gt;"",M2480,IFERROR(INDEX(catClasif,MATCH(D2480&amp;"|"&amp;E2480,catClave,0))&amp;"","Variable")),"")</f>
        <v/>
      </c>
      <c r="Y2480" s="52">
        <f>IF(P2480="","",IFERROR(INDEX(catGrupo,MATCH(D2480&amp;"|"&amp;E2480,catClave,0))&amp;"",""))</f>
        <v/>
      </c>
      <c r="Z2480" s="52">
        <f>IF(P2480="","",WEEKDAY(B2480,2))</f>
        <v/>
      </c>
      <c r="AA2480" s="52">
        <f>IF(P2480="","",IF(AND(P2480="Gasto",X2480="Variable",D2480&lt;&gt;catTrading,S2480&gt;0,S2480&lt;=Umbral),1,0))</f>
        <v/>
      </c>
      <c r="AB2480" s="52">
        <f>IF(OR(P2480="",Q2480=""),"",IFERROR(IF(INDEX(ctaVinc,MATCH(Q2480,ctaNombre,0))&amp;""&lt;&gt;"",INDEX(ctaVinc,MATCH(Q2480,ctaNombre,0))&amp;"",Q2480),Q2480))</f>
        <v/>
      </c>
      <c r="AC2480" s="52">
        <f>IF(OR(K2480="",AND(P2480&lt;&gt;"Transferencia",P2480&lt;&gt;"Pago tarjeta")),"",IFERROR(IF(INDEX(ctaVinc,MATCH(K2480,ctaNombre,0))&amp;""&lt;&gt;"",INDEX(ctaVinc,MATCH(K2480,ctaNombre,0))&amp;"",K2480),K2480))</f>
        <v/>
      </c>
      <c r="AD2480" s="52">
        <f>IF(AB2480="","",IFERROR(INDEX(ctaTipo,MATCH(AB2480,ctaNombre,0))&amp;"",""))</f>
        <v/>
      </c>
      <c r="AE2480" s="52">
        <f>IF(AC2480="","",IFERROR(INDEX(ctaTipo,MATCH(AC2480,ctaNombre,0))&amp;"",""))</f>
        <v/>
      </c>
      <c r="AF2480" s="53">
        <f>IF(OR(P2480="",AB2480=""),"",IF(OR(P2480="Gasto",P2480="Transferencia",P2480="Pago tarjeta"),-1,1)*IF(IFERROR(INDEX(ctaMoneda,MATCH(AB2480,ctaNombre,0))&amp;"","DOP")="USD",T2480,S2480))</f>
        <v/>
      </c>
      <c r="AG2480" s="53">
        <f>IF(AC2480="","",IF(IFERROR(INDEX(ctaMoneda,MATCH(AC2480,ctaNombre,0))&amp;"","DOP")="USD",T2480,S2480))</f>
        <v/>
      </c>
      <c r="AH2480" s="53">
        <f>IF(P2480="","",IF(AND(AD2480&lt;&gt;"",COUNTIFS(tcTipo,AD2480,tcLiq,"Sí")&gt;0),IF(OR(P2480="Gasto",P2480="Transferencia",P2480="Pago tarjeta"),-1,1)*S2480,0)+IF(AND(AE2480&lt;&gt;"",COUNTIFS(tcTipo,AE2480,tcLiq,"Sí")&gt;0),S2480,0))</f>
        <v/>
      </c>
      <c r="AI2480" s="52">
        <f>IF(OR(L2480="",P2480=""),"",IF(COUNTIFS(L$6:L2480,L2480,P$6:P2480,"?*")=1,MAX(AI$5:AI2479)+1,""))</f>
        <v/>
      </c>
    </row>
    <row r="2481">
      <c r="B2481" s="47" t="n"/>
      <c r="C2481" s="48" t="n"/>
      <c r="D2481" s="48" t="n"/>
      <c r="E2481" s="48" t="n"/>
      <c r="F2481" s="48" t="n"/>
      <c r="G2481" s="49" t="n"/>
      <c r="H2481" s="48" t="n"/>
      <c r="I2481" s="50" t="n"/>
      <c r="J2481" s="48" t="n"/>
      <c r="K2481" s="48" t="n"/>
      <c r="L2481" s="48" t="n"/>
      <c r="M2481" s="48" t="n"/>
      <c r="N2481" s="48" t="n"/>
      <c r="O2481" s="51">
        <f>IF(AND(B2481="",G2481="",C2481="",D2481="",J2481=""),"",IF(B2481="","⚠ Falta fecha",IF(G2481="","⚠ Falta monto",IF(Q2481="","⚠ Falta cuenta",IF(ISNA(MATCH(Q2481,ctaNombre,0)),"⚠ Cuenta no registrada",IF(AND(OR(P2481="Gasto",P2481="Reembolso"),D2481=""),"⚠ Falta categoría",IF(AND(D2481&lt;&gt;"",E2481&lt;&gt;"",ISNA(MATCH(D2481&amp;"|"&amp;E2481,catClave,0))),"⚠ Subcategoría no corresponde",IF(AND(OR(P2481="Transferencia",P2481="Pago tarjeta"),K2481=""),"⚠ Falta cuenta destino",IF(AND(K2481&lt;&gt;"",P2481&lt;&gt;"Transferencia",P2481&lt;&gt;"Pago tarjeta"),"⚠ Destino solo aplica a transferencias",IF(AND(K2481&lt;&gt;"",K2481=Q2481),"⚠ Origen igual a destino",IF(AND(K2481&lt;&gt;"",ISNA(MATCH(K2481,ctaNombre,0))),"⚠ Destino no registrado",IF(AND(P2481="Pago tarjeta",AE2481&lt;&gt;"Tarjeta de crédito"),"⚠ El destino debe ser tarjeta de crédito",IF(AND(P2481="Gasto",E2481="Depósitos y retiros"),"⚠ Usa tipo Transferencia",IF(AND(P2481="Resultado trading",AD2481&lt;&gt;"Cuenta de trading"),"⚠ Usa una cuenta de trading",IF(AND(G2481&lt;=0,P2481&lt;&gt;"Ajuste",P2481&lt;&gt;"Resultado trading"),"⚠ El monto debe ser positivo","✓")))))))))))))))</f>
        <v/>
      </c>
      <c r="P2481" s="52">
        <f>IF(OR(B2481="",G2481=""),"",IF(C2481="","Gasto",C2481))</f>
        <v/>
      </c>
      <c r="Q2481" s="52">
        <f>IF(P2481="","",IF(J2481&lt;&gt;"",J2481,CuentaPred&amp;""))</f>
        <v/>
      </c>
      <c r="R2481" s="52">
        <f>IF(P2481="","",IF(ISNUMBER(I2481),I2481,TasaUSD))</f>
        <v/>
      </c>
      <c r="S2481" s="53">
        <f>IF(P2481="","",IF(H2481="USD",G2481*R2481,G2481))</f>
        <v/>
      </c>
      <c r="T2481" s="53">
        <f>IF(P2481="","",IF(H2481="USD",G2481,IF(R2481&gt;0,G2481/R2481,0)))</f>
        <v/>
      </c>
      <c r="U2481" s="53">
        <f>IF(P2481="","",IF(P2481="Gasto",S2481,IF(P2481="Reembolso",-S2481,0)))</f>
        <v/>
      </c>
      <c r="V2481" s="53">
        <f>IF(P2481="","",IF(P2481="Ingreso",S2481,0))</f>
        <v/>
      </c>
      <c r="W2481" s="53">
        <f>IF(P2481="","",IF(P2481="Resultado trading",S2481,0))</f>
        <v/>
      </c>
      <c r="X2481" s="52">
        <f>IF(OR(P2481="Gasto",P2481="Reembolso"),IF(M2481&lt;&gt;"",M2481,IFERROR(INDEX(catClasif,MATCH(D2481&amp;"|"&amp;E2481,catClave,0))&amp;"","Variable")),"")</f>
        <v/>
      </c>
      <c r="Y2481" s="52">
        <f>IF(P2481="","",IFERROR(INDEX(catGrupo,MATCH(D2481&amp;"|"&amp;E2481,catClave,0))&amp;"",""))</f>
        <v/>
      </c>
      <c r="Z2481" s="52">
        <f>IF(P2481="","",WEEKDAY(B2481,2))</f>
        <v/>
      </c>
      <c r="AA2481" s="52">
        <f>IF(P2481="","",IF(AND(P2481="Gasto",X2481="Variable",D2481&lt;&gt;catTrading,S2481&gt;0,S2481&lt;=Umbral),1,0))</f>
        <v/>
      </c>
      <c r="AB2481" s="52">
        <f>IF(OR(P2481="",Q2481=""),"",IFERROR(IF(INDEX(ctaVinc,MATCH(Q2481,ctaNombre,0))&amp;""&lt;&gt;"",INDEX(ctaVinc,MATCH(Q2481,ctaNombre,0))&amp;"",Q2481),Q2481))</f>
        <v/>
      </c>
      <c r="AC2481" s="52">
        <f>IF(OR(K2481="",AND(P2481&lt;&gt;"Transferencia",P2481&lt;&gt;"Pago tarjeta")),"",IFERROR(IF(INDEX(ctaVinc,MATCH(K2481,ctaNombre,0))&amp;""&lt;&gt;"",INDEX(ctaVinc,MATCH(K2481,ctaNombre,0))&amp;"",K2481),K2481))</f>
        <v/>
      </c>
      <c r="AD2481" s="52">
        <f>IF(AB2481="","",IFERROR(INDEX(ctaTipo,MATCH(AB2481,ctaNombre,0))&amp;"",""))</f>
        <v/>
      </c>
      <c r="AE2481" s="52">
        <f>IF(AC2481="","",IFERROR(INDEX(ctaTipo,MATCH(AC2481,ctaNombre,0))&amp;"",""))</f>
        <v/>
      </c>
      <c r="AF2481" s="53">
        <f>IF(OR(P2481="",AB2481=""),"",IF(OR(P2481="Gasto",P2481="Transferencia",P2481="Pago tarjeta"),-1,1)*IF(IFERROR(INDEX(ctaMoneda,MATCH(AB2481,ctaNombre,0))&amp;"","DOP")="USD",T2481,S2481))</f>
        <v/>
      </c>
      <c r="AG2481" s="53">
        <f>IF(AC2481="","",IF(IFERROR(INDEX(ctaMoneda,MATCH(AC2481,ctaNombre,0))&amp;"","DOP")="USD",T2481,S2481))</f>
        <v/>
      </c>
      <c r="AH2481" s="53">
        <f>IF(P2481="","",IF(AND(AD2481&lt;&gt;"",COUNTIFS(tcTipo,AD2481,tcLiq,"Sí")&gt;0),IF(OR(P2481="Gasto",P2481="Transferencia",P2481="Pago tarjeta"),-1,1)*S2481,0)+IF(AND(AE2481&lt;&gt;"",COUNTIFS(tcTipo,AE2481,tcLiq,"Sí")&gt;0),S2481,0))</f>
        <v/>
      </c>
      <c r="AI2481" s="52">
        <f>IF(OR(L2481="",P2481=""),"",IF(COUNTIFS(L$6:L2481,L2481,P$6:P2481,"?*")=1,MAX(AI$5:AI2480)+1,""))</f>
        <v/>
      </c>
    </row>
    <row r="2482">
      <c r="B2482" s="47" t="n"/>
      <c r="C2482" s="48" t="n"/>
      <c r="D2482" s="48" t="n"/>
      <c r="E2482" s="48" t="n"/>
      <c r="F2482" s="48" t="n"/>
      <c r="G2482" s="49" t="n"/>
      <c r="H2482" s="48" t="n"/>
      <c r="I2482" s="50" t="n"/>
      <c r="J2482" s="48" t="n"/>
      <c r="K2482" s="48" t="n"/>
      <c r="L2482" s="48" t="n"/>
      <c r="M2482" s="48" t="n"/>
      <c r="N2482" s="48" t="n"/>
      <c r="O2482" s="51">
        <f>IF(AND(B2482="",G2482="",C2482="",D2482="",J2482=""),"",IF(B2482="","⚠ Falta fecha",IF(G2482="","⚠ Falta monto",IF(Q2482="","⚠ Falta cuenta",IF(ISNA(MATCH(Q2482,ctaNombre,0)),"⚠ Cuenta no registrada",IF(AND(OR(P2482="Gasto",P2482="Reembolso"),D2482=""),"⚠ Falta categoría",IF(AND(D2482&lt;&gt;"",E2482&lt;&gt;"",ISNA(MATCH(D2482&amp;"|"&amp;E2482,catClave,0))),"⚠ Subcategoría no corresponde",IF(AND(OR(P2482="Transferencia",P2482="Pago tarjeta"),K2482=""),"⚠ Falta cuenta destino",IF(AND(K2482&lt;&gt;"",P2482&lt;&gt;"Transferencia",P2482&lt;&gt;"Pago tarjeta"),"⚠ Destino solo aplica a transferencias",IF(AND(K2482&lt;&gt;"",K2482=Q2482),"⚠ Origen igual a destino",IF(AND(K2482&lt;&gt;"",ISNA(MATCH(K2482,ctaNombre,0))),"⚠ Destino no registrado",IF(AND(P2482="Pago tarjeta",AE2482&lt;&gt;"Tarjeta de crédito"),"⚠ El destino debe ser tarjeta de crédito",IF(AND(P2482="Gasto",E2482="Depósitos y retiros"),"⚠ Usa tipo Transferencia",IF(AND(P2482="Resultado trading",AD2482&lt;&gt;"Cuenta de trading"),"⚠ Usa una cuenta de trading",IF(AND(G2482&lt;=0,P2482&lt;&gt;"Ajuste",P2482&lt;&gt;"Resultado trading"),"⚠ El monto debe ser positivo","✓")))))))))))))))</f>
        <v/>
      </c>
      <c r="P2482" s="52">
        <f>IF(OR(B2482="",G2482=""),"",IF(C2482="","Gasto",C2482))</f>
        <v/>
      </c>
      <c r="Q2482" s="52">
        <f>IF(P2482="","",IF(J2482&lt;&gt;"",J2482,CuentaPred&amp;""))</f>
        <v/>
      </c>
      <c r="R2482" s="52">
        <f>IF(P2482="","",IF(ISNUMBER(I2482),I2482,TasaUSD))</f>
        <v/>
      </c>
      <c r="S2482" s="53">
        <f>IF(P2482="","",IF(H2482="USD",G2482*R2482,G2482))</f>
        <v/>
      </c>
      <c r="T2482" s="53">
        <f>IF(P2482="","",IF(H2482="USD",G2482,IF(R2482&gt;0,G2482/R2482,0)))</f>
        <v/>
      </c>
      <c r="U2482" s="53">
        <f>IF(P2482="","",IF(P2482="Gasto",S2482,IF(P2482="Reembolso",-S2482,0)))</f>
        <v/>
      </c>
      <c r="V2482" s="53">
        <f>IF(P2482="","",IF(P2482="Ingreso",S2482,0))</f>
        <v/>
      </c>
      <c r="W2482" s="53">
        <f>IF(P2482="","",IF(P2482="Resultado trading",S2482,0))</f>
        <v/>
      </c>
      <c r="X2482" s="52">
        <f>IF(OR(P2482="Gasto",P2482="Reembolso"),IF(M2482&lt;&gt;"",M2482,IFERROR(INDEX(catClasif,MATCH(D2482&amp;"|"&amp;E2482,catClave,0))&amp;"","Variable")),"")</f>
        <v/>
      </c>
      <c r="Y2482" s="52">
        <f>IF(P2482="","",IFERROR(INDEX(catGrupo,MATCH(D2482&amp;"|"&amp;E2482,catClave,0))&amp;"",""))</f>
        <v/>
      </c>
      <c r="Z2482" s="52">
        <f>IF(P2482="","",WEEKDAY(B2482,2))</f>
        <v/>
      </c>
      <c r="AA2482" s="52">
        <f>IF(P2482="","",IF(AND(P2482="Gasto",X2482="Variable",D2482&lt;&gt;catTrading,S2482&gt;0,S2482&lt;=Umbral),1,0))</f>
        <v/>
      </c>
      <c r="AB2482" s="52">
        <f>IF(OR(P2482="",Q2482=""),"",IFERROR(IF(INDEX(ctaVinc,MATCH(Q2482,ctaNombre,0))&amp;""&lt;&gt;"",INDEX(ctaVinc,MATCH(Q2482,ctaNombre,0))&amp;"",Q2482),Q2482))</f>
        <v/>
      </c>
      <c r="AC2482" s="52">
        <f>IF(OR(K2482="",AND(P2482&lt;&gt;"Transferencia",P2482&lt;&gt;"Pago tarjeta")),"",IFERROR(IF(INDEX(ctaVinc,MATCH(K2482,ctaNombre,0))&amp;""&lt;&gt;"",INDEX(ctaVinc,MATCH(K2482,ctaNombre,0))&amp;"",K2482),K2482))</f>
        <v/>
      </c>
      <c r="AD2482" s="52">
        <f>IF(AB2482="","",IFERROR(INDEX(ctaTipo,MATCH(AB2482,ctaNombre,0))&amp;"",""))</f>
        <v/>
      </c>
      <c r="AE2482" s="52">
        <f>IF(AC2482="","",IFERROR(INDEX(ctaTipo,MATCH(AC2482,ctaNombre,0))&amp;"",""))</f>
        <v/>
      </c>
      <c r="AF2482" s="53">
        <f>IF(OR(P2482="",AB2482=""),"",IF(OR(P2482="Gasto",P2482="Transferencia",P2482="Pago tarjeta"),-1,1)*IF(IFERROR(INDEX(ctaMoneda,MATCH(AB2482,ctaNombre,0))&amp;"","DOP")="USD",T2482,S2482))</f>
        <v/>
      </c>
      <c r="AG2482" s="53">
        <f>IF(AC2482="","",IF(IFERROR(INDEX(ctaMoneda,MATCH(AC2482,ctaNombre,0))&amp;"","DOP")="USD",T2482,S2482))</f>
        <v/>
      </c>
      <c r="AH2482" s="53">
        <f>IF(P2482="","",IF(AND(AD2482&lt;&gt;"",COUNTIFS(tcTipo,AD2482,tcLiq,"Sí")&gt;0),IF(OR(P2482="Gasto",P2482="Transferencia",P2482="Pago tarjeta"),-1,1)*S2482,0)+IF(AND(AE2482&lt;&gt;"",COUNTIFS(tcTipo,AE2482,tcLiq,"Sí")&gt;0),S2482,0))</f>
        <v/>
      </c>
      <c r="AI2482" s="52">
        <f>IF(OR(L2482="",P2482=""),"",IF(COUNTIFS(L$6:L2482,L2482,P$6:P2482,"?*")=1,MAX(AI$5:AI2481)+1,""))</f>
        <v/>
      </c>
    </row>
    <row r="2483">
      <c r="B2483" s="47" t="n"/>
      <c r="C2483" s="48" t="n"/>
      <c r="D2483" s="48" t="n"/>
      <c r="E2483" s="48" t="n"/>
      <c r="F2483" s="48" t="n"/>
      <c r="G2483" s="49" t="n"/>
      <c r="H2483" s="48" t="n"/>
      <c r="I2483" s="50" t="n"/>
      <c r="J2483" s="48" t="n"/>
      <c r="K2483" s="48" t="n"/>
      <c r="L2483" s="48" t="n"/>
      <c r="M2483" s="48" t="n"/>
      <c r="N2483" s="48" t="n"/>
      <c r="O2483" s="51">
        <f>IF(AND(B2483="",G2483="",C2483="",D2483="",J2483=""),"",IF(B2483="","⚠ Falta fecha",IF(G2483="","⚠ Falta monto",IF(Q2483="","⚠ Falta cuenta",IF(ISNA(MATCH(Q2483,ctaNombre,0)),"⚠ Cuenta no registrada",IF(AND(OR(P2483="Gasto",P2483="Reembolso"),D2483=""),"⚠ Falta categoría",IF(AND(D2483&lt;&gt;"",E2483&lt;&gt;"",ISNA(MATCH(D2483&amp;"|"&amp;E2483,catClave,0))),"⚠ Subcategoría no corresponde",IF(AND(OR(P2483="Transferencia",P2483="Pago tarjeta"),K2483=""),"⚠ Falta cuenta destino",IF(AND(K2483&lt;&gt;"",P2483&lt;&gt;"Transferencia",P2483&lt;&gt;"Pago tarjeta"),"⚠ Destino solo aplica a transferencias",IF(AND(K2483&lt;&gt;"",K2483=Q2483),"⚠ Origen igual a destino",IF(AND(K2483&lt;&gt;"",ISNA(MATCH(K2483,ctaNombre,0))),"⚠ Destino no registrado",IF(AND(P2483="Pago tarjeta",AE2483&lt;&gt;"Tarjeta de crédito"),"⚠ El destino debe ser tarjeta de crédito",IF(AND(P2483="Gasto",E2483="Depósitos y retiros"),"⚠ Usa tipo Transferencia",IF(AND(P2483="Resultado trading",AD2483&lt;&gt;"Cuenta de trading"),"⚠ Usa una cuenta de trading",IF(AND(G2483&lt;=0,P2483&lt;&gt;"Ajuste",P2483&lt;&gt;"Resultado trading"),"⚠ El monto debe ser positivo","✓")))))))))))))))</f>
        <v/>
      </c>
      <c r="P2483" s="52">
        <f>IF(OR(B2483="",G2483=""),"",IF(C2483="","Gasto",C2483))</f>
        <v/>
      </c>
      <c r="Q2483" s="52">
        <f>IF(P2483="","",IF(J2483&lt;&gt;"",J2483,CuentaPred&amp;""))</f>
        <v/>
      </c>
      <c r="R2483" s="52">
        <f>IF(P2483="","",IF(ISNUMBER(I2483),I2483,TasaUSD))</f>
        <v/>
      </c>
      <c r="S2483" s="53">
        <f>IF(P2483="","",IF(H2483="USD",G2483*R2483,G2483))</f>
        <v/>
      </c>
      <c r="T2483" s="53">
        <f>IF(P2483="","",IF(H2483="USD",G2483,IF(R2483&gt;0,G2483/R2483,0)))</f>
        <v/>
      </c>
      <c r="U2483" s="53">
        <f>IF(P2483="","",IF(P2483="Gasto",S2483,IF(P2483="Reembolso",-S2483,0)))</f>
        <v/>
      </c>
      <c r="V2483" s="53">
        <f>IF(P2483="","",IF(P2483="Ingreso",S2483,0))</f>
        <v/>
      </c>
      <c r="W2483" s="53">
        <f>IF(P2483="","",IF(P2483="Resultado trading",S2483,0))</f>
        <v/>
      </c>
      <c r="X2483" s="52">
        <f>IF(OR(P2483="Gasto",P2483="Reembolso"),IF(M2483&lt;&gt;"",M2483,IFERROR(INDEX(catClasif,MATCH(D2483&amp;"|"&amp;E2483,catClave,0))&amp;"","Variable")),"")</f>
        <v/>
      </c>
      <c r="Y2483" s="52">
        <f>IF(P2483="","",IFERROR(INDEX(catGrupo,MATCH(D2483&amp;"|"&amp;E2483,catClave,0))&amp;"",""))</f>
        <v/>
      </c>
      <c r="Z2483" s="52">
        <f>IF(P2483="","",WEEKDAY(B2483,2))</f>
        <v/>
      </c>
      <c r="AA2483" s="52">
        <f>IF(P2483="","",IF(AND(P2483="Gasto",X2483="Variable",D2483&lt;&gt;catTrading,S2483&gt;0,S2483&lt;=Umbral),1,0))</f>
        <v/>
      </c>
      <c r="AB2483" s="52">
        <f>IF(OR(P2483="",Q2483=""),"",IFERROR(IF(INDEX(ctaVinc,MATCH(Q2483,ctaNombre,0))&amp;""&lt;&gt;"",INDEX(ctaVinc,MATCH(Q2483,ctaNombre,0))&amp;"",Q2483),Q2483))</f>
        <v/>
      </c>
      <c r="AC2483" s="52">
        <f>IF(OR(K2483="",AND(P2483&lt;&gt;"Transferencia",P2483&lt;&gt;"Pago tarjeta")),"",IFERROR(IF(INDEX(ctaVinc,MATCH(K2483,ctaNombre,0))&amp;""&lt;&gt;"",INDEX(ctaVinc,MATCH(K2483,ctaNombre,0))&amp;"",K2483),K2483))</f>
        <v/>
      </c>
      <c r="AD2483" s="52">
        <f>IF(AB2483="","",IFERROR(INDEX(ctaTipo,MATCH(AB2483,ctaNombre,0))&amp;"",""))</f>
        <v/>
      </c>
      <c r="AE2483" s="52">
        <f>IF(AC2483="","",IFERROR(INDEX(ctaTipo,MATCH(AC2483,ctaNombre,0))&amp;"",""))</f>
        <v/>
      </c>
      <c r="AF2483" s="53">
        <f>IF(OR(P2483="",AB2483=""),"",IF(OR(P2483="Gasto",P2483="Transferencia",P2483="Pago tarjeta"),-1,1)*IF(IFERROR(INDEX(ctaMoneda,MATCH(AB2483,ctaNombre,0))&amp;"","DOP")="USD",T2483,S2483))</f>
        <v/>
      </c>
      <c r="AG2483" s="53">
        <f>IF(AC2483="","",IF(IFERROR(INDEX(ctaMoneda,MATCH(AC2483,ctaNombre,0))&amp;"","DOP")="USD",T2483,S2483))</f>
        <v/>
      </c>
      <c r="AH2483" s="53">
        <f>IF(P2483="","",IF(AND(AD2483&lt;&gt;"",COUNTIFS(tcTipo,AD2483,tcLiq,"Sí")&gt;0),IF(OR(P2483="Gasto",P2483="Transferencia",P2483="Pago tarjeta"),-1,1)*S2483,0)+IF(AND(AE2483&lt;&gt;"",COUNTIFS(tcTipo,AE2483,tcLiq,"Sí")&gt;0),S2483,0))</f>
        <v/>
      </c>
      <c r="AI2483" s="52">
        <f>IF(OR(L2483="",P2483=""),"",IF(COUNTIFS(L$6:L2483,L2483,P$6:P2483,"?*")=1,MAX(AI$5:AI2482)+1,""))</f>
        <v/>
      </c>
    </row>
    <row r="2484">
      <c r="B2484" s="47" t="n"/>
      <c r="C2484" s="48" t="n"/>
      <c r="D2484" s="48" t="n"/>
      <c r="E2484" s="48" t="n"/>
      <c r="F2484" s="48" t="n"/>
      <c r="G2484" s="49" t="n"/>
      <c r="H2484" s="48" t="n"/>
      <c r="I2484" s="50" t="n"/>
      <c r="J2484" s="48" t="n"/>
      <c r="K2484" s="48" t="n"/>
      <c r="L2484" s="48" t="n"/>
      <c r="M2484" s="48" t="n"/>
      <c r="N2484" s="48" t="n"/>
      <c r="O2484" s="51">
        <f>IF(AND(B2484="",G2484="",C2484="",D2484="",J2484=""),"",IF(B2484="","⚠ Falta fecha",IF(G2484="","⚠ Falta monto",IF(Q2484="","⚠ Falta cuenta",IF(ISNA(MATCH(Q2484,ctaNombre,0)),"⚠ Cuenta no registrada",IF(AND(OR(P2484="Gasto",P2484="Reembolso"),D2484=""),"⚠ Falta categoría",IF(AND(D2484&lt;&gt;"",E2484&lt;&gt;"",ISNA(MATCH(D2484&amp;"|"&amp;E2484,catClave,0))),"⚠ Subcategoría no corresponde",IF(AND(OR(P2484="Transferencia",P2484="Pago tarjeta"),K2484=""),"⚠ Falta cuenta destino",IF(AND(K2484&lt;&gt;"",P2484&lt;&gt;"Transferencia",P2484&lt;&gt;"Pago tarjeta"),"⚠ Destino solo aplica a transferencias",IF(AND(K2484&lt;&gt;"",K2484=Q2484),"⚠ Origen igual a destino",IF(AND(K2484&lt;&gt;"",ISNA(MATCH(K2484,ctaNombre,0))),"⚠ Destino no registrado",IF(AND(P2484="Pago tarjeta",AE2484&lt;&gt;"Tarjeta de crédito"),"⚠ El destino debe ser tarjeta de crédito",IF(AND(P2484="Gasto",E2484="Depósitos y retiros"),"⚠ Usa tipo Transferencia",IF(AND(P2484="Resultado trading",AD2484&lt;&gt;"Cuenta de trading"),"⚠ Usa una cuenta de trading",IF(AND(G2484&lt;=0,P2484&lt;&gt;"Ajuste",P2484&lt;&gt;"Resultado trading"),"⚠ El monto debe ser positivo","✓")))))))))))))))</f>
        <v/>
      </c>
      <c r="P2484" s="52">
        <f>IF(OR(B2484="",G2484=""),"",IF(C2484="","Gasto",C2484))</f>
        <v/>
      </c>
      <c r="Q2484" s="52">
        <f>IF(P2484="","",IF(J2484&lt;&gt;"",J2484,CuentaPred&amp;""))</f>
        <v/>
      </c>
      <c r="R2484" s="52">
        <f>IF(P2484="","",IF(ISNUMBER(I2484),I2484,TasaUSD))</f>
        <v/>
      </c>
      <c r="S2484" s="53">
        <f>IF(P2484="","",IF(H2484="USD",G2484*R2484,G2484))</f>
        <v/>
      </c>
      <c r="T2484" s="53">
        <f>IF(P2484="","",IF(H2484="USD",G2484,IF(R2484&gt;0,G2484/R2484,0)))</f>
        <v/>
      </c>
      <c r="U2484" s="53">
        <f>IF(P2484="","",IF(P2484="Gasto",S2484,IF(P2484="Reembolso",-S2484,0)))</f>
        <v/>
      </c>
      <c r="V2484" s="53">
        <f>IF(P2484="","",IF(P2484="Ingreso",S2484,0))</f>
        <v/>
      </c>
      <c r="W2484" s="53">
        <f>IF(P2484="","",IF(P2484="Resultado trading",S2484,0))</f>
        <v/>
      </c>
      <c r="X2484" s="52">
        <f>IF(OR(P2484="Gasto",P2484="Reembolso"),IF(M2484&lt;&gt;"",M2484,IFERROR(INDEX(catClasif,MATCH(D2484&amp;"|"&amp;E2484,catClave,0))&amp;"","Variable")),"")</f>
        <v/>
      </c>
      <c r="Y2484" s="52">
        <f>IF(P2484="","",IFERROR(INDEX(catGrupo,MATCH(D2484&amp;"|"&amp;E2484,catClave,0))&amp;"",""))</f>
        <v/>
      </c>
      <c r="Z2484" s="52">
        <f>IF(P2484="","",WEEKDAY(B2484,2))</f>
        <v/>
      </c>
      <c r="AA2484" s="52">
        <f>IF(P2484="","",IF(AND(P2484="Gasto",X2484="Variable",D2484&lt;&gt;catTrading,S2484&gt;0,S2484&lt;=Umbral),1,0))</f>
        <v/>
      </c>
      <c r="AB2484" s="52">
        <f>IF(OR(P2484="",Q2484=""),"",IFERROR(IF(INDEX(ctaVinc,MATCH(Q2484,ctaNombre,0))&amp;""&lt;&gt;"",INDEX(ctaVinc,MATCH(Q2484,ctaNombre,0))&amp;"",Q2484),Q2484))</f>
        <v/>
      </c>
      <c r="AC2484" s="52">
        <f>IF(OR(K2484="",AND(P2484&lt;&gt;"Transferencia",P2484&lt;&gt;"Pago tarjeta")),"",IFERROR(IF(INDEX(ctaVinc,MATCH(K2484,ctaNombre,0))&amp;""&lt;&gt;"",INDEX(ctaVinc,MATCH(K2484,ctaNombre,0))&amp;"",K2484),K2484))</f>
        <v/>
      </c>
      <c r="AD2484" s="52">
        <f>IF(AB2484="","",IFERROR(INDEX(ctaTipo,MATCH(AB2484,ctaNombre,0))&amp;"",""))</f>
        <v/>
      </c>
      <c r="AE2484" s="52">
        <f>IF(AC2484="","",IFERROR(INDEX(ctaTipo,MATCH(AC2484,ctaNombre,0))&amp;"",""))</f>
        <v/>
      </c>
      <c r="AF2484" s="53">
        <f>IF(OR(P2484="",AB2484=""),"",IF(OR(P2484="Gasto",P2484="Transferencia",P2484="Pago tarjeta"),-1,1)*IF(IFERROR(INDEX(ctaMoneda,MATCH(AB2484,ctaNombre,0))&amp;"","DOP")="USD",T2484,S2484))</f>
        <v/>
      </c>
      <c r="AG2484" s="53">
        <f>IF(AC2484="","",IF(IFERROR(INDEX(ctaMoneda,MATCH(AC2484,ctaNombre,0))&amp;"","DOP")="USD",T2484,S2484))</f>
        <v/>
      </c>
      <c r="AH2484" s="53">
        <f>IF(P2484="","",IF(AND(AD2484&lt;&gt;"",COUNTIFS(tcTipo,AD2484,tcLiq,"Sí")&gt;0),IF(OR(P2484="Gasto",P2484="Transferencia",P2484="Pago tarjeta"),-1,1)*S2484,0)+IF(AND(AE2484&lt;&gt;"",COUNTIFS(tcTipo,AE2484,tcLiq,"Sí")&gt;0),S2484,0))</f>
        <v/>
      </c>
      <c r="AI2484" s="52">
        <f>IF(OR(L2484="",P2484=""),"",IF(COUNTIFS(L$6:L2484,L2484,P$6:P2484,"?*")=1,MAX(AI$5:AI2483)+1,""))</f>
        <v/>
      </c>
    </row>
    <row r="2485">
      <c r="B2485" s="47" t="n"/>
      <c r="C2485" s="48" t="n"/>
      <c r="D2485" s="48" t="n"/>
      <c r="E2485" s="48" t="n"/>
      <c r="F2485" s="48" t="n"/>
      <c r="G2485" s="49" t="n"/>
      <c r="H2485" s="48" t="n"/>
      <c r="I2485" s="50" t="n"/>
      <c r="J2485" s="48" t="n"/>
      <c r="K2485" s="48" t="n"/>
      <c r="L2485" s="48" t="n"/>
      <c r="M2485" s="48" t="n"/>
      <c r="N2485" s="48" t="n"/>
      <c r="O2485" s="51">
        <f>IF(AND(B2485="",G2485="",C2485="",D2485="",J2485=""),"",IF(B2485="","⚠ Falta fecha",IF(G2485="","⚠ Falta monto",IF(Q2485="","⚠ Falta cuenta",IF(ISNA(MATCH(Q2485,ctaNombre,0)),"⚠ Cuenta no registrada",IF(AND(OR(P2485="Gasto",P2485="Reembolso"),D2485=""),"⚠ Falta categoría",IF(AND(D2485&lt;&gt;"",E2485&lt;&gt;"",ISNA(MATCH(D2485&amp;"|"&amp;E2485,catClave,0))),"⚠ Subcategoría no corresponde",IF(AND(OR(P2485="Transferencia",P2485="Pago tarjeta"),K2485=""),"⚠ Falta cuenta destino",IF(AND(K2485&lt;&gt;"",P2485&lt;&gt;"Transferencia",P2485&lt;&gt;"Pago tarjeta"),"⚠ Destino solo aplica a transferencias",IF(AND(K2485&lt;&gt;"",K2485=Q2485),"⚠ Origen igual a destino",IF(AND(K2485&lt;&gt;"",ISNA(MATCH(K2485,ctaNombre,0))),"⚠ Destino no registrado",IF(AND(P2485="Pago tarjeta",AE2485&lt;&gt;"Tarjeta de crédito"),"⚠ El destino debe ser tarjeta de crédito",IF(AND(P2485="Gasto",E2485="Depósitos y retiros"),"⚠ Usa tipo Transferencia",IF(AND(P2485="Resultado trading",AD2485&lt;&gt;"Cuenta de trading"),"⚠ Usa una cuenta de trading",IF(AND(G2485&lt;=0,P2485&lt;&gt;"Ajuste",P2485&lt;&gt;"Resultado trading"),"⚠ El monto debe ser positivo","✓")))))))))))))))</f>
        <v/>
      </c>
      <c r="P2485" s="52">
        <f>IF(OR(B2485="",G2485=""),"",IF(C2485="","Gasto",C2485))</f>
        <v/>
      </c>
      <c r="Q2485" s="52">
        <f>IF(P2485="","",IF(J2485&lt;&gt;"",J2485,CuentaPred&amp;""))</f>
        <v/>
      </c>
      <c r="R2485" s="52">
        <f>IF(P2485="","",IF(ISNUMBER(I2485),I2485,TasaUSD))</f>
        <v/>
      </c>
      <c r="S2485" s="53">
        <f>IF(P2485="","",IF(H2485="USD",G2485*R2485,G2485))</f>
        <v/>
      </c>
      <c r="T2485" s="53">
        <f>IF(P2485="","",IF(H2485="USD",G2485,IF(R2485&gt;0,G2485/R2485,0)))</f>
        <v/>
      </c>
      <c r="U2485" s="53">
        <f>IF(P2485="","",IF(P2485="Gasto",S2485,IF(P2485="Reembolso",-S2485,0)))</f>
        <v/>
      </c>
      <c r="V2485" s="53">
        <f>IF(P2485="","",IF(P2485="Ingreso",S2485,0))</f>
        <v/>
      </c>
      <c r="W2485" s="53">
        <f>IF(P2485="","",IF(P2485="Resultado trading",S2485,0))</f>
        <v/>
      </c>
      <c r="X2485" s="52">
        <f>IF(OR(P2485="Gasto",P2485="Reembolso"),IF(M2485&lt;&gt;"",M2485,IFERROR(INDEX(catClasif,MATCH(D2485&amp;"|"&amp;E2485,catClave,0))&amp;"","Variable")),"")</f>
        <v/>
      </c>
      <c r="Y2485" s="52">
        <f>IF(P2485="","",IFERROR(INDEX(catGrupo,MATCH(D2485&amp;"|"&amp;E2485,catClave,0))&amp;"",""))</f>
        <v/>
      </c>
      <c r="Z2485" s="52">
        <f>IF(P2485="","",WEEKDAY(B2485,2))</f>
        <v/>
      </c>
      <c r="AA2485" s="52">
        <f>IF(P2485="","",IF(AND(P2485="Gasto",X2485="Variable",D2485&lt;&gt;catTrading,S2485&gt;0,S2485&lt;=Umbral),1,0))</f>
        <v/>
      </c>
      <c r="AB2485" s="52">
        <f>IF(OR(P2485="",Q2485=""),"",IFERROR(IF(INDEX(ctaVinc,MATCH(Q2485,ctaNombre,0))&amp;""&lt;&gt;"",INDEX(ctaVinc,MATCH(Q2485,ctaNombre,0))&amp;"",Q2485),Q2485))</f>
        <v/>
      </c>
      <c r="AC2485" s="52">
        <f>IF(OR(K2485="",AND(P2485&lt;&gt;"Transferencia",P2485&lt;&gt;"Pago tarjeta")),"",IFERROR(IF(INDEX(ctaVinc,MATCH(K2485,ctaNombre,0))&amp;""&lt;&gt;"",INDEX(ctaVinc,MATCH(K2485,ctaNombre,0))&amp;"",K2485),K2485))</f>
        <v/>
      </c>
      <c r="AD2485" s="52">
        <f>IF(AB2485="","",IFERROR(INDEX(ctaTipo,MATCH(AB2485,ctaNombre,0))&amp;"",""))</f>
        <v/>
      </c>
      <c r="AE2485" s="52">
        <f>IF(AC2485="","",IFERROR(INDEX(ctaTipo,MATCH(AC2485,ctaNombre,0))&amp;"",""))</f>
        <v/>
      </c>
      <c r="AF2485" s="53">
        <f>IF(OR(P2485="",AB2485=""),"",IF(OR(P2485="Gasto",P2485="Transferencia",P2485="Pago tarjeta"),-1,1)*IF(IFERROR(INDEX(ctaMoneda,MATCH(AB2485,ctaNombre,0))&amp;"","DOP")="USD",T2485,S2485))</f>
        <v/>
      </c>
      <c r="AG2485" s="53">
        <f>IF(AC2485="","",IF(IFERROR(INDEX(ctaMoneda,MATCH(AC2485,ctaNombre,0))&amp;"","DOP")="USD",T2485,S2485))</f>
        <v/>
      </c>
      <c r="AH2485" s="53">
        <f>IF(P2485="","",IF(AND(AD2485&lt;&gt;"",COUNTIFS(tcTipo,AD2485,tcLiq,"Sí")&gt;0),IF(OR(P2485="Gasto",P2485="Transferencia",P2485="Pago tarjeta"),-1,1)*S2485,0)+IF(AND(AE2485&lt;&gt;"",COUNTIFS(tcTipo,AE2485,tcLiq,"Sí")&gt;0),S2485,0))</f>
        <v/>
      </c>
      <c r="AI2485" s="52">
        <f>IF(OR(L2485="",P2485=""),"",IF(COUNTIFS(L$6:L2485,L2485,P$6:P2485,"?*")=1,MAX(AI$5:AI2484)+1,""))</f>
        <v/>
      </c>
    </row>
    <row r="2486">
      <c r="B2486" s="47" t="n"/>
      <c r="C2486" s="48" t="n"/>
      <c r="D2486" s="48" t="n"/>
      <c r="E2486" s="48" t="n"/>
      <c r="F2486" s="48" t="n"/>
      <c r="G2486" s="49" t="n"/>
      <c r="H2486" s="48" t="n"/>
      <c r="I2486" s="50" t="n"/>
      <c r="J2486" s="48" t="n"/>
      <c r="K2486" s="48" t="n"/>
      <c r="L2486" s="48" t="n"/>
      <c r="M2486" s="48" t="n"/>
      <c r="N2486" s="48" t="n"/>
      <c r="O2486" s="51">
        <f>IF(AND(B2486="",G2486="",C2486="",D2486="",J2486=""),"",IF(B2486="","⚠ Falta fecha",IF(G2486="","⚠ Falta monto",IF(Q2486="","⚠ Falta cuenta",IF(ISNA(MATCH(Q2486,ctaNombre,0)),"⚠ Cuenta no registrada",IF(AND(OR(P2486="Gasto",P2486="Reembolso"),D2486=""),"⚠ Falta categoría",IF(AND(D2486&lt;&gt;"",E2486&lt;&gt;"",ISNA(MATCH(D2486&amp;"|"&amp;E2486,catClave,0))),"⚠ Subcategoría no corresponde",IF(AND(OR(P2486="Transferencia",P2486="Pago tarjeta"),K2486=""),"⚠ Falta cuenta destino",IF(AND(K2486&lt;&gt;"",P2486&lt;&gt;"Transferencia",P2486&lt;&gt;"Pago tarjeta"),"⚠ Destino solo aplica a transferencias",IF(AND(K2486&lt;&gt;"",K2486=Q2486),"⚠ Origen igual a destino",IF(AND(K2486&lt;&gt;"",ISNA(MATCH(K2486,ctaNombre,0))),"⚠ Destino no registrado",IF(AND(P2486="Pago tarjeta",AE2486&lt;&gt;"Tarjeta de crédito"),"⚠ El destino debe ser tarjeta de crédito",IF(AND(P2486="Gasto",E2486="Depósitos y retiros"),"⚠ Usa tipo Transferencia",IF(AND(P2486="Resultado trading",AD2486&lt;&gt;"Cuenta de trading"),"⚠ Usa una cuenta de trading",IF(AND(G2486&lt;=0,P2486&lt;&gt;"Ajuste",P2486&lt;&gt;"Resultado trading"),"⚠ El monto debe ser positivo","✓")))))))))))))))</f>
        <v/>
      </c>
      <c r="P2486" s="52">
        <f>IF(OR(B2486="",G2486=""),"",IF(C2486="","Gasto",C2486))</f>
        <v/>
      </c>
      <c r="Q2486" s="52">
        <f>IF(P2486="","",IF(J2486&lt;&gt;"",J2486,CuentaPred&amp;""))</f>
        <v/>
      </c>
      <c r="R2486" s="52">
        <f>IF(P2486="","",IF(ISNUMBER(I2486),I2486,TasaUSD))</f>
        <v/>
      </c>
      <c r="S2486" s="53">
        <f>IF(P2486="","",IF(H2486="USD",G2486*R2486,G2486))</f>
        <v/>
      </c>
      <c r="T2486" s="53">
        <f>IF(P2486="","",IF(H2486="USD",G2486,IF(R2486&gt;0,G2486/R2486,0)))</f>
        <v/>
      </c>
      <c r="U2486" s="53">
        <f>IF(P2486="","",IF(P2486="Gasto",S2486,IF(P2486="Reembolso",-S2486,0)))</f>
        <v/>
      </c>
      <c r="V2486" s="53">
        <f>IF(P2486="","",IF(P2486="Ingreso",S2486,0))</f>
        <v/>
      </c>
      <c r="W2486" s="53">
        <f>IF(P2486="","",IF(P2486="Resultado trading",S2486,0))</f>
        <v/>
      </c>
      <c r="X2486" s="52">
        <f>IF(OR(P2486="Gasto",P2486="Reembolso"),IF(M2486&lt;&gt;"",M2486,IFERROR(INDEX(catClasif,MATCH(D2486&amp;"|"&amp;E2486,catClave,0))&amp;"","Variable")),"")</f>
        <v/>
      </c>
      <c r="Y2486" s="52">
        <f>IF(P2486="","",IFERROR(INDEX(catGrupo,MATCH(D2486&amp;"|"&amp;E2486,catClave,0))&amp;"",""))</f>
        <v/>
      </c>
      <c r="Z2486" s="52">
        <f>IF(P2486="","",WEEKDAY(B2486,2))</f>
        <v/>
      </c>
      <c r="AA2486" s="52">
        <f>IF(P2486="","",IF(AND(P2486="Gasto",X2486="Variable",D2486&lt;&gt;catTrading,S2486&gt;0,S2486&lt;=Umbral),1,0))</f>
        <v/>
      </c>
      <c r="AB2486" s="52">
        <f>IF(OR(P2486="",Q2486=""),"",IFERROR(IF(INDEX(ctaVinc,MATCH(Q2486,ctaNombre,0))&amp;""&lt;&gt;"",INDEX(ctaVinc,MATCH(Q2486,ctaNombre,0))&amp;"",Q2486),Q2486))</f>
        <v/>
      </c>
      <c r="AC2486" s="52">
        <f>IF(OR(K2486="",AND(P2486&lt;&gt;"Transferencia",P2486&lt;&gt;"Pago tarjeta")),"",IFERROR(IF(INDEX(ctaVinc,MATCH(K2486,ctaNombre,0))&amp;""&lt;&gt;"",INDEX(ctaVinc,MATCH(K2486,ctaNombre,0))&amp;"",K2486),K2486))</f>
        <v/>
      </c>
      <c r="AD2486" s="52">
        <f>IF(AB2486="","",IFERROR(INDEX(ctaTipo,MATCH(AB2486,ctaNombre,0))&amp;"",""))</f>
        <v/>
      </c>
      <c r="AE2486" s="52">
        <f>IF(AC2486="","",IFERROR(INDEX(ctaTipo,MATCH(AC2486,ctaNombre,0))&amp;"",""))</f>
        <v/>
      </c>
      <c r="AF2486" s="53">
        <f>IF(OR(P2486="",AB2486=""),"",IF(OR(P2486="Gasto",P2486="Transferencia",P2486="Pago tarjeta"),-1,1)*IF(IFERROR(INDEX(ctaMoneda,MATCH(AB2486,ctaNombre,0))&amp;"","DOP")="USD",T2486,S2486))</f>
        <v/>
      </c>
      <c r="AG2486" s="53">
        <f>IF(AC2486="","",IF(IFERROR(INDEX(ctaMoneda,MATCH(AC2486,ctaNombre,0))&amp;"","DOP")="USD",T2486,S2486))</f>
        <v/>
      </c>
      <c r="AH2486" s="53">
        <f>IF(P2486="","",IF(AND(AD2486&lt;&gt;"",COUNTIFS(tcTipo,AD2486,tcLiq,"Sí")&gt;0),IF(OR(P2486="Gasto",P2486="Transferencia",P2486="Pago tarjeta"),-1,1)*S2486,0)+IF(AND(AE2486&lt;&gt;"",COUNTIFS(tcTipo,AE2486,tcLiq,"Sí")&gt;0),S2486,0))</f>
        <v/>
      </c>
      <c r="AI2486" s="52">
        <f>IF(OR(L2486="",P2486=""),"",IF(COUNTIFS(L$6:L2486,L2486,P$6:P2486,"?*")=1,MAX(AI$5:AI2485)+1,""))</f>
        <v/>
      </c>
    </row>
    <row r="2487">
      <c r="B2487" s="47" t="n"/>
      <c r="C2487" s="48" t="n"/>
      <c r="D2487" s="48" t="n"/>
      <c r="E2487" s="48" t="n"/>
      <c r="F2487" s="48" t="n"/>
      <c r="G2487" s="49" t="n"/>
      <c r="H2487" s="48" t="n"/>
      <c r="I2487" s="50" t="n"/>
      <c r="J2487" s="48" t="n"/>
      <c r="K2487" s="48" t="n"/>
      <c r="L2487" s="48" t="n"/>
      <c r="M2487" s="48" t="n"/>
      <c r="N2487" s="48" t="n"/>
      <c r="O2487" s="51">
        <f>IF(AND(B2487="",G2487="",C2487="",D2487="",J2487=""),"",IF(B2487="","⚠ Falta fecha",IF(G2487="","⚠ Falta monto",IF(Q2487="","⚠ Falta cuenta",IF(ISNA(MATCH(Q2487,ctaNombre,0)),"⚠ Cuenta no registrada",IF(AND(OR(P2487="Gasto",P2487="Reembolso"),D2487=""),"⚠ Falta categoría",IF(AND(D2487&lt;&gt;"",E2487&lt;&gt;"",ISNA(MATCH(D2487&amp;"|"&amp;E2487,catClave,0))),"⚠ Subcategoría no corresponde",IF(AND(OR(P2487="Transferencia",P2487="Pago tarjeta"),K2487=""),"⚠ Falta cuenta destino",IF(AND(K2487&lt;&gt;"",P2487&lt;&gt;"Transferencia",P2487&lt;&gt;"Pago tarjeta"),"⚠ Destino solo aplica a transferencias",IF(AND(K2487&lt;&gt;"",K2487=Q2487),"⚠ Origen igual a destino",IF(AND(K2487&lt;&gt;"",ISNA(MATCH(K2487,ctaNombre,0))),"⚠ Destino no registrado",IF(AND(P2487="Pago tarjeta",AE2487&lt;&gt;"Tarjeta de crédito"),"⚠ El destino debe ser tarjeta de crédito",IF(AND(P2487="Gasto",E2487="Depósitos y retiros"),"⚠ Usa tipo Transferencia",IF(AND(P2487="Resultado trading",AD2487&lt;&gt;"Cuenta de trading"),"⚠ Usa una cuenta de trading",IF(AND(G2487&lt;=0,P2487&lt;&gt;"Ajuste",P2487&lt;&gt;"Resultado trading"),"⚠ El monto debe ser positivo","✓")))))))))))))))</f>
        <v/>
      </c>
      <c r="P2487" s="52">
        <f>IF(OR(B2487="",G2487=""),"",IF(C2487="","Gasto",C2487))</f>
        <v/>
      </c>
      <c r="Q2487" s="52">
        <f>IF(P2487="","",IF(J2487&lt;&gt;"",J2487,CuentaPred&amp;""))</f>
        <v/>
      </c>
      <c r="R2487" s="52">
        <f>IF(P2487="","",IF(ISNUMBER(I2487),I2487,TasaUSD))</f>
        <v/>
      </c>
      <c r="S2487" s="53">
        <f>IF(P2487="","",IF(H2487="USD",G2487*R2487,G2487))</f>
        <v/>
      </c>
      <c r="T2487" s="53">
        <f>IF(P2487="","",IF(H2487="USD",G2487,IF(R2487&gt;0,G2487/R2487,0)))</f>
        <v/>
      </c>
      <c r="U2487" s="53">
        <f>IF(P2487="","",IF(P2487="Gasto",S2487,IF(P2487="Reembolso",-S2487,0)))</f>
        <v/>
      </c>
      <c r="V2487" s="53">
        <f>IF(P2487="","",IF(P2487="Ingreso",S2487,0))</f>
        <v/>
      </c>
      <c r="W2487" s="53">
        <f>IF(P2487="","",IF(P2487="Resultado trading",S2487,0))</f>
        <v/>
      </c>
      <c r="X2487" s="52">
        <f>IF(OR(P2487="Gasto",P2487="Reembolso"),IF(M2487&lt;&gt;"",M2487,IFERROR(INDEX(catClasif,MATCH(D2487&amp;"|"&amp;E2487,catClave,0))&amp;"","Variable")),"")</f>
        <v/>
      </c>
      <c r="Y2487" s="52">
        <f>IF(P2487="","",IFERROR(INDEX(catGrupo,MATCH(D2487&amp;"|"&amp;E2487,catClave,0))&amp;"",""))</f>
        <v/>
      </c>
      <c r="Z2487" s="52">
        <f>IF(P2487="","",WEEKDAY(B2487,2))</f>
        <v/>
      </c>
      <c r="AA2487" s="52">
        <f>IF(P2487="","",IF(AND(P2487="Gasto",X2487="Variable",D2487&lt;&gt;catTrading,S2487&gt;0,S2487&lt;=Umbral),1,0))</f>
        <v/>
      </c>
      <c r="AB2487" s="52">
        <f>IF(OR(P2487="",Q2487=""),"",IFERROR(IF(INDEX(ctaVinc,MATCH(Q2487,ctaNombre,0))&amp;""&lt;&gt;"",INDEX(ctaVinc,MATCH(Q2487,ctaNombre,0))&amp;"",Q2487),Q2487))</f>
        <v/>
      </c>
      <c r="AC2487" s="52">
        <f>IF(OR(K2487="",AND(P2487&lt;&gt;"Transferencia",P2487&lt;&gt;"Pago tarjeta")),"",IFERROR(IF(INDEX(ctaVinc,MATCH(K2487,ctaNombre,0))&amp;""&lt;&gt;"",INDEX(ctaVinc,MATCH(K2487,ctaNombre,0))&amp;"",K2487),K2487))</f>
        <v/>
      </c>
      <c r="AD2487" s="52">
        <f>IF(AB2487="","",IFERROR(INDEX(ctaTipo,MATCH(AB2487,ctaNombre,0))&amp;"",""))</f>
        <v/>
      </c>
      <c r="AE2487" s="52">
        <f>IF(AC2487="","",IFERROR(INDEX(ctaTipo,MATCH(AC2487,ctaNombre,0))&amp;"",""))</f>
        <v/>
      </c>
      <c r="AF2487" s="53">
        <f>IF(OR(P2487="",AB2487=""),"",IF(OR(P2487="Gasto",P2487="Transferencia",P2487="Pago tarjeta"),-1,1)*IF(IFERROR(INDEX(ctaMoneda,MATCH(AB2487,ctaNombre,0))&amp;"","DOP")="USD",T2487,S2487))</f>
        <v/>
      </c>
      <c r="AG2487" s="53">
        <f>IF(AC2487="","",IF(IFERROR(INDEX(ctaMoneda,MATCH(AC2487,ctaNombre,0))&amp;"","DOP")="USD",T2487,S2487))</f>
        <v/>
      </c>
      <c r="AH2487" s="53">
        <f>IF(P2487="","",IF(AND(AD2487&lt;&gt;"",COUNTIFS(tcTipo,AD2487,tcLiq,"Sí")&gt;0),IF(OR(P2487="Gasto",P2487="Transferencia",P2487="Pago tarjeta"),-1,1)*S2487,0)+IF(AND(AE2487&lt;&gt;"",COUNTIFS(tcTipo,AE2487,tcLiq,"Sí")&gt;0),S2487,0))</f>
        <v/>
      </c>
      <c r="AI2487" s="52">
        <f>IF(OR(L2487="",P2487=""),"",IF(COUNTIFS(L$6:L2487,L2487,P$6:P2487,"?*")=1,MAX(AI$5:AI2486)+1,""))</f>
        <v/>
      </c>
    </row>
    <row r="2488">
      <c r="B2488" s="47" t="n"/>
      <c r="C2488" s="48" t="n"/>
      <c r="D2488" s="48" t="n"/>
      <c r="E2488" s="48" t="n"/>
      <c r="F2488" s="48" t="n"/>
      <c r="G2488" s="49" t="n"/>
      <c r="H2488" s="48" t="n"/>
      <c r="I2488" s="50" t="n"/>
      <c r="J2488" s="48" t="n"/>
      <c r="K2488" s="48" t="n"/>
      <c r="L2488" s="48" t="n"/>
      <c r="M2488" s="48" t="n"/>
      <c r="N2488" s="48" t="n"/>
      <c r="O2488" s="51">
        <f>IF(AND(B2488="",G2488="",C2488="",D2488="",J2488=""),"",IF(B2488="","⚠ Falta fecha",IF(G2488="","⚠ Falta monto",IF(Q2488="","⚠ Falta cuenta",IF(ISNA(MATCH(Q2488,ctaNombre,0)),"⚠ Cuenta no registrada",IF(AND(OR(P2488="Gasto",P2488="Reembolso"),D2488=""),"⚠ Falta categoría",IF(AND(D2488&lt;&gt;"",E2488&lt;&gt;"",ISNA(MATCH(D2488&amp;"|"&amp;E2488,catClave,0))),"⚠ Subcategoría no corresponde",IF(AND(OR(P2488="Transferencia",P2488="Pago tarjeta"),K2488=""),"⚠ Falta cuenta destino",IF(AND(K2488&lt;&gt;"",P2488&lt;&gt;"Transferencia",P2488&lt;&gt;"Pago tarjeta"),"⚠ Destino solo aplica a transferencias",IF(AND(K2488&lt;&gt;"",K2488=Q2488),"⚠ Origen igual a destino",IF(AND(K2488&lt;&gt;"",ISNA(MATCH(K2488,ctaNombre,0))),"⚠ Destino no registrado",IF(AND(P2488="Pago tarjeta",AE2488&lt;&gt;"Tarjeta de crédito"),"⚠ El destino debe ser tarjeta de crédito",IF(AND(P2488="Gasto",E2488="Depósitos y retiros"),"⚠ Usa tipo Transferencia",IF(AND(P2488="Resultado trading",AD2488&lt;&gt;"Cuenta de trading"),"⚠ Usa una cuenta de trading",IF(AND(G2488&lt;=0,P2488&lt;&gt;"Ajuste",P2488&lt;&gt;"Resultado trading"),"⚠ El monto debe ser positivo","✓")))))))))))))))</f>
        <v/>
      </c>
      <c r="P2488" s="52">
        <f>IF(OR(B2488="",G2488=""),"",IF(C2488="","Gasto",C2488))</f>
        <v/>
      </c>
      <c r="Q2488" s="52">
        <f>IF(P2488="","",IF(J2488&lt;&gt;"",J2488,CuentaPred&amp;""))</f>
        <v/>
      </c>
      <c r="R2488" s="52">
        <f>IF(P2488="","",IF(ISNUMBER(I2488),I2488,TasaUSD))</f>
        <v/>
      </c>
      <c r="S2488" s="53">
        <f>IF(P2488="","",IF(H2488="USD",G2488*R2488,G2488))</f>
        <v/>
      </c>
      <c r="T2488" s="53">
        <f>IF(P2488="","",IF(H2488="USD",G2488,IF(R2488&gt;0,G2488/R2488,0)))</f>
        <v/>
      </c>
      <c r="U2488" s="53">
        <f>IF(P2488="","",IF(P2488="Gasto",S2488,IF(P2488="Reembolso",-S2488,0)))</f>
        <v/>
      </c>
      <c r="V2488" s="53">
        <f>IF(P2488="","",IF(P2488="Ingreso",S2488,0))</f>
        <v/>
      </c>
      <c r="W2488" s="53">
        <f>IF(P2488="","",IF(P2488="Resultado trading",S2488,0))</f>
        <v/>
      </c>
      <c r="X2488" s="52">
        <f>IF(OR(P2488="Gasto",P2488="Reembolso"),IF(M2488&lt;&gt;"",M2488,IFERROR(INDEX(catClasif,MATCH(D2488&amp;"|"&amp;E2488,catClave,0))&amp;"","Variable")),"")</f>
        <v/>
      </c>
      <c r="Y2488" s="52">
        <f>IF(P2488="","",IFERROR(INDEX(catGrupo,MATCH(D2488&amp;"|"&amp;E2488,catClave,0))&amp;"",""))</f>
        <v/>
      </c>
      <c r="Z2488" s="52">
        <f>IF(P2488="","",WEEKDAY(B2488,2))</f>
        <v/>
      </c>
      <c r="AA2488" s="52">
        <f>IF(P2488="","",IF(AND(P2488="Gasto",X2488="Variable",D2488&lt;&gt;catTrading,S2488&gt;0,S2488&lt;=Umbral),1,0))</f>
        <v/>
      </c>
      <c r="AB2488" s="52">
        <f>IF(OR(P2488="",Q2488=""),"",IFERROR(IF(INDEX(ctaVinc,MATCH(Q2488,ctaNombre,0))&amp;""&lt;&gt;"",INDEX(ctaVinc,MATCH(Q2488,ctaNombre,0))&amp;"",Q2488),Q2488))</f>
        <v/>
      </c>
      <c r="AC2488" s="52">
        <f>IF(OR(K2488="",AND(P2488&lt;&gt;"Transferencia",P2488&lt;&gt;"Pago tarjeta")),"",IFERROR(IF(INDEX(ctaVinc,MATCH(K2488,ctaNombre,0))&amp;""&lt;&gt;"",INDEX(ctaVinc,MATCH(K2488,ctaNombre,0))&amp;"",K2488),K2488))</f>
        <v/>
      </c>
      <c r="AD2488" s="52">
        <f>IF(AB2488="","",IFERROR(INDEX(ctaTipo,MATCH(AB2488,ctaNombre,0))&amp;"",""))</f>
        <v/>
      </c>
      <c r="AE2488" s="52">
        <f>IF(AC2488="","",IFERROR(INDEX(ctaTipo,MATCH(AC2488,ctaNombre,0))&amp;"",""))</f>
        <v/>
      </c>
      <c r="AF2488" s="53">
        <f>IF(OR(P2488="",AB2488=""),"",IF(OR(P2488="Gasto",P2488="Transferencia",P2488="Pago tarjeta"),-1,1)*IF(IFERROR(INDEX(ctaMoneda,MATCH(AB2488,ctaNombre,0))&amp;"","DOP")="USD",T2488,S2488))</f>
        <v/>
      </c>
      <c r="AG2488" s="53">
        <f>IF(AC2488="","",IF(IFERROR(INDEX(ctaMoneda,MATCH(AC2488,ctaNombre,0))&amp;"","DOP")="USD",T2488,S2488))</f>
        <v/>
      </c>
      <c r="AH2488" s="53">
        <f>IF(P2488="","",IF(AND(AD2488&lt;&gt;"",COUNTIFS(tcTipo,AD2488,tcLiq,"Sí")&gt;0),IF(OR(P2488="Gasto",P2488="Transferencia",P2488="Pago tarjeta"),-1,1)*S2488,0)+IF(AND(AE2488&lt;&gt;"",COUNTIFS(tcTipo,AE2488,tcLiq,"Sí")&gt;0),S2488,0))</f>
        <v/>
      </c>
      <c r="AI2488" s="52">
        <f>IF(OR(L2488="",P2488=""),"",IF(COUNTIFS(L$6:L2488,L2488,P$6:P2488,"?*")=1,MAX(AI$5:AI2487)+1,""))</f>
        <v/>
      </c>
    </row>
    <row r="2489">
      <c r="B2489" s="47" t="n"/>
      <c r="C2489" s="48" t="n"/>
      <c r="D2489" s="48" t="n"/>
      <c r="E2489" s="48" t="n"/>
      <c r="F2489" s="48" t="n"/>
      <c r="G2489" s="49" t="n"/>
      <c r="H2489" s="48" t="n"/>
      <c r="I2489" s="50" t="n"/>
      <c r="J2489" s="48" t="n"/>
      <c r="K2489" s="48" t="n"/>
      <c r="L2489" s="48" t="n"/>
      <c r="M2489" s="48" t="n"/>
      <c r="N2489" s="48" t="n"/>
      <c r="O2489" s="51">
        <f>IF(AND(B2489="",G2489="",C2489="",D2489="",J2489=""),"",IF(B2489="","⚠ Falta fecha",IF(G2489="","⚠ Falta monto",IF(Q2489="","⚠ Falta cuenta",IF(ISNA(MATCH(Q2489,ctaNombre,0)),"⚠ Cuenta no registrada",IF(AND(OR(P2489="Gasto",P2489="Reembolso"),D2489=""),"⚠ Falta categoría",IF(AND(D2489&lt;&gt;"",E2489&lt;&gt;"",ISNA(MATCH(D2489&amp;"|"&amp;E2489,catClave,0))),"⚠ Subcategoría no corresponde",IF(AND(OR(P2489="Transferencia",P2489="Pago tarjeta"),K2489=""),"⚠ Falta cuenta destino",IF(AND(K2489&lt;&gt;"",P2489&lt;&gt;"Transferencia",P2489&lt;&gt;"Pago tarjeta"),"⚠ Destino solo aplica a transferencias",IF(AND(K2489&lt;&gt;"",K2489=Q2489),"⚠ Origen igual a destino",IF(AND(K2489&lt;&gt;"",ISNA(MATCH(K2489,ctaNombre,0))),"⚠ Destino no registrado",IF(AND(P2489="Pago tarjeta",AE2489&lt;&gt;"Tarjeta de crédito"),"⚠ El destino debe ser tarjeta de crédito",IF(AND(P2489="Gasto",E2489="Depósitos y retiros"),"⚠ Usa tipo Transferencia",IF(AND(P2489="Resultado trading",AD2489&lt;&gt;"Cuenta de trading"),"⚠ Usa una cuenta de trading",IF(AND(G2489&lt;=0,P2489&lt;&gt;"Ajuste",P2489&lt;&gt;"Resultado trading"),"⚠ El monto debe ser positivo","✓")))))))))))))))</f>
        <v/>
      </c>
      <c r="P2489" s="52">
        <f>IF(OR(B2489="",G2489=""),"",IF(C2489="","Gasto",C2489))</f>
        <v/>
      </c>
      <c r="Q2489" s="52">
        <f>IF(P2489="","",IF(J2489&lt;&gt;"",J2489,CuentaPred&amp;""))</f>
        <v/>
      </c>
      <c r="R2489" s="52">
        <f>IF(P2489="","",IF(ISNUMBER(I2489),I2489,TasaUSD))</f>
        <v/>
      </c>
      <c r="S2489" s="53">
        <f>IF(P2489="","",IF(H2489="USD",G2489*R2489,G2489))</f>
        <v/>
      </c>
      <c r="T2489" s="53">
        <f>IF(P2489="","",IF(H2489="USD",G2489,IF(R2489&gt;0,G2489/R2489,0)))</f>
        <v/>
      </c>
      <c r="U2489" s="53">
        <f>IF(P2489="","",IF(P2489="Gasto",S2489,IF(P2489="Reembolso",-S2489,0)))</f>
        <v/>
      </c>
      <c r="V2489" s="53">
        <f>IF(P2489="","",IF(P2489="Ingreso",S2489,0))</f>
        <v/>
      </c>
      <c r="W2489" s="53">
        <f>IF(P2489="","",IF(P2489="Resultado trading",S2489,0))</f>
        <v/>
      </c>
      <c r="X2489" s="52">
        <f>IF(OR(P2489="Gasto",P2489="Reembolso"),IF(M2489&lt;&gt;"",M2489,IFERROR(INDEX(catClasif,MATCH(D2489&amp;"|"&amp;E2489,catClave,0))&amp;"","Variable")),"")</f>
        <v/>
      </c>
      <c r="Y2489" s="52">
        <f>IF(P2489="","",IFERROR(INDEX(catGrupo,MATCH(D2489&amp;"|"&amp;E2489,catClave,0))&amp;"",""))</f>
        <v/>
      </c>
      <c r="Z2489" s="52">
        <f>IF(P2489="","",WEEKDAY(B2489,2))</f>
        <v/>
      </c>
      <c r="AA2489" s="52">
        <f>IF(P2489="","",IF(AND(P2489="Gasto",X2489="Variable",D2489&lt;&gt;catTrading,S2489&gt;0,S2489&lt;=Umbral),1,0))</f>
        <v/>
      </c>
      <c r="AB2489" s="52">
        <f>IF(OR(P2489="",Q2489=""),"",IFERROR(IF(INDEX(ctaVinc,MATCH(Q2489,ctaNombre,0))&amp;""&lt;&gt;"",INDEX(ctaVinc,MATCH(Q2489,ctaNombre,0))&amp;"",Q2489),Q2489))</f>
        <v/>
      </c>
      <c r="AC2489" s="52">
        <f>IF(OR(K2489="",AND(P2489&lt;&gt;"Transferencia",P2489&lt;&gt;"Pago tarjeta")),"",IFERROR(IF(INDEX(ctaVinc,MATCH(K2489,ctaNombre,0))&amp;""&lt;&gt;"",INDEX(ctaVinc,MATCH(K2489,ctaNombre,0))&amp;"",K2489),K2489))</f>
        <v/>
      </c>
      <c r="AD2489" s="52">
        <f>IF(AB2489="","",IFERROR(INDEX(ctaTipo,MATCH(AB2489,ctaNombre,0))&amp;"",""))</f>
        <v/>
      </c>
      <c r="AE2489" s="52">
        <f>IF(AC2489="","",IFERROR(INDEX(ctaTipo,MATCH(AC2489,ctaNombre,0))&amp;"",""))</f>
        <v/>
      </c>
      <c r="AF2489" s="53">
        <f>IF(OR(P2489="",AB2489=""),"",IF(OR(P2489="Gasto",P2489="Transferencia",P2489="Pago tarjeta"),-1,1)*IF(IFERROR(INDEX(ctaMoneda,MATCH(AB2489,ctaNombre,0))&amp;"","DOP")="USD",T2489,S2489))</f>
        <v/>
      </c>
      <c r="AG2489" s="53">
        <f>IF(AC2489="","",IF(IFERROR(INDEX(ctaMoneda,MATCH(AC2489,ctaNombre,0))&amp;"","DOP")="USD",T2489,S2489))</f>
        <v/>
      </c>
      <c r="AH2489" s="53">
        <f>IF(P2489="","",IF(AND(AD2489&lt;&gt;"",COUNTIFS(tcTipo,AD2489,tcLiq,"Sí")&gt;0),IF(OR(P2489="Gasto",P2489="Transferencia",P2489="Pago tarjeta"),-1,1)*S2489,0)+IF(AND(AE2489&lt;&gt;"",COUNTIFS(tcTipo,AE2489,tcLiq,"Sí")&gt;0),S2489,0))</f>
        <v/>
      </c>
      <c r="AI2489" s="52">
        <f>IF(OR(L2489="",P2489=""),"",IF(COUNTIFS(L$6:L2489,L2489,P$6:P2489,"?*")=1,MAX(AI$5:AI2488)+1,""))</f>
        <v/>
      </c>
    </row>
    <row r="2490">
      <c r="B2490" s="47" t="n"/>
      <c r="C2490" s="48" t="n"/>
      <c r="D2490" s="48" t="n"/>
      <c r="E2490" s="48" t="n"/>
      <c r="F2490" s="48" t="n"/>
      <c r="G2490" s="49" t="n"/>
      <c r="H2490" s="48" t="n"/>
      <c r="I2490" s="50" t="n"/>
      <c r="J2490" s="48" t="n"/>
      <c r="K2490" s="48" t="n"/>
      <c r="L2490" s="48" t="n"/>
      <c r="M2490" s="48" t="n"/>
      <c r="N2490" s="48" t="n"/>
      <c r="O2490" s="51">
        <f>IF(AND(B2490="",G2490="",C2490="",D2490="",J2490=""),"",IF(B2490="","⚠ Falta fecha",IF(G2490="","⚠ Falta monto",IF(Q2490="","⚠ Falta cuenta",IF(ISNA(MATCH(Q2490,ctaNombre,0)),"⚠ Cuenta no registrada",IF(AND(OR(P2490="Gasto",P2490="Reembolso"),D2490=""),"⚠ Falta categoría",IF(AND(D2490&lt;&gt;"",E2490&lt;&gt;"",ISNA(MATCH(D2490&amp;"|"&amp;E2490,catClave,0))),"⚠ Subcategoría no corresponde",IF(AND(OR(P2490="Transferencia",P2490="Pago tarjeta"),K2490=""),"⚠ Falta cuenta destino",IF(AND(K2490&lt;&gt;"",P2490&lt;&gt;"Transferencia",P2490&lt;&gt;"Pago tarjeta"),"⚠ Destino solo aplica a transferencias",IF(AND(K2490&lt;&gt;"",K2490=Q2490),"⚠ Origen igual a destino",IF(AND(K2490&lt;&gt;"",ISNA(MATCH(K2490,ctaNombre,0))),"⚠ Destino no registrado",IF(AND(P2490="Pago tarjeta",AE2490&lt;&gt;"Tarjeta de crédito"),"⚠ El destino debe ser tarjeta de crédito",IF(AND(P2490="Gasto",E2490="Depósitos y retiros"),"⚠ Usa tipo Transferencia",IF(AND(P2490="Resultado trading",AD2490&lt;&gt;"Cuenta de trading"),"⚠ Usa una cuenta de trading",IF(AND(G2490&lt;=0,P2490&lt;&gt;"Ajuste",P2490&lt;&gt;"Resultado trading"),"⚠ El monto debe ser positivo","✓")))))))))))))))</f>
        <v/>
      </c>
      <c r="P2490" s="52">
        <f>IF(OR(B2490="",G2490=""),"",IF(C2490="","Gasto",C2490))</f>
        <v/>
      </c>
      <c r="Q2490" s="52">
        <f>IF(P2490="","",IF(J2490&lt;&gt;"",J2490,CuentaPred&amp;""))</f>
        <v/>
      </c>
      <c r="R2490" s="52">
        <f>IF(P2490="","",IF(ISNUMBER(I2490),I2490,TasaUSD))</f>
        <v/>
      </c>
      <c r="S2490" s="53">
        <f>IF(P2490="","",IF(H2490="USD",G2490*R2490,G2490))</f>
        <v/>
      </c>
      <c r="T2490" s="53">
        <f>IF(P2490="","",IF(H2490="USD",G2490,IF(R2490&gt;0,G2490/R2490,0)))</f>
        <v/>
      </c>
      <c r="U2490" s="53">
        <f>IF(P2490="","",IF(P2490="Gasto",S2490,IF(P2490="Reembolso",-S2490,0)))</f>
        <v/>
      </c>
      <c r="V2490" s="53">
        <f>IF(P2490="","",IF(P2490="Ingreso",S2490,0))</f>
        <v/>
      </c>
      <c r="W2490" s="53">
        <f>IF(P2490="","",IF(P2490="Resultado trading",S2490,0))</f>
        <v/>
      </c>
      <c r="X2490" s="52">
        <f>IF(OR(P2490="Gasto",P2490="Reembolso"),IF(M2490&lt;&gt;"",M2490,IFERROR(INDEX(catClasif,MATCH(D2490&amp;"|"&amp;E2490,catClave,0))&amp;"","Variable")),"")</f>
        <v/>
      </c>
      <c r="Y2490" s="52">
        <f>IF(P2490="","",IFERROR(INDEX(catGrupo,MATCH(D2490&amp;"|"&amp;E2490,catClave,0))&amp;"",""))</f>
        <v/>
      </c>
      <c r="Z2490" s="52">
        <f>IF(P2490="","",WEEKDAY(B2490,2))</f>
        <v/>
      </c>
      <c r="AA2490" s="52">
        <f>IF(P2490="","",IF(AND(P2490="Gasto",X2490="Variable",D2490&lt;&gt;catTrading,S2490&gt;0,S2490&lt;=Umbral),1,0))</f>
        <v/>
      </c>
      <c r="AB2490" s="52">
        <f>IF(OR(P2490="",Q2490=""),"",IFERROR(IF(INDEX(ctaVinc,MATCH(Q2490,ctaNombre,0))&amp;""&lt;&gt;"",INDEX(ctaVinc,MATCH(Q2490,ctaNombre,0))&amp;"",Q2490),Q2490))</f>
        <v/>
      </c>
      <c r="AC2490" s="52">
        <f>IF(OR(K2490="",AND(P2490&lt;&gt;"Transferencia",P2490&lt;&gt;"Pago tarjeta")),"",IFERROR(IF(INDEX(ctaVinc,MATCH(K2490,ctaNombre,0))&amp;""&lt;&gt;"",INDEX(ctaVinc,MATCH(K2490,ctaNombre,0))&amp;"",K2490),K2490))</f>
        <v/>
      </c>
      <c r="AD2490" s="52">
        <f>IF(AB2490="","",IFERROR(INDEX(ctaTipo,MATCH(AB2490,ctaNombre,0))&amp;"",""))</f>
        <v/>
      </c>
      <c r="AE2490" s="52">
        <f>IF(AC2490="","",IFERROR(INDEX(ctaTipo,MATCH(AC2490,ctaNombre,0))&amp;"",""))</f>
        <v/>
      </c>
      <c r="AF2490" s="53">
        <f>IF(OR(P2490="",AB2490=""),"",IF(OR(P2490="Gasto",P2490="Transferencia",P2490="Pago tarjeta"),-1,1)*IF(IFERROR(INDEX(ctaMoneda,MATCH(AB2490,ctaNombre,0))&amp;"","DOP")="USD",T2490,S2490))</f>
        <v/>
      </c>
      <c r="AG2490" s="53">
        <f>IF(AC2490="","",IF(IFERROR(INDEX(ctaMoneda,MATCH(AC2490,ctaNombre,0))&amp;"","DOP")="USD",T2490,S2490))</f>
        <v/>
      </c>
      <c r="AH2490" s="53">
        <f>IF(P2490="","",IF(AND(AD2490&lt;&gt;"",COUNTIFS(tcTipo,AD2490,tcLiq,"Sí")&gt;0),IF(OR(P2490="Gasto",P2490="Transferencia",P2490="Pago tarjeta"),-1,1)*S2490,0)+IF(AND(AE2490&lt;&gt;"",COUNTIFS(tcTipo,AE2490,tcLiq,"Sí")&gt;0),S2490,0))</f>
        <v/>
      </c>
      <c r="AI2490" s="52">
        <f>IF(OR(L2490="",P2490=""),"",IF(COUNTIFS(L$6:L2490,L2490,P$6:P2490,"?*")=1,MAX(AI$5:AI2489)+1,""))</f>
        <v/>
      </c>
    </row>
    <row r="2491">
      <c r="B2491" s="47" t="n"/>
      <c r="C2491" s="48" t="n"/>
      <c r="D2491" s="48" t="n"/>
      <c r="E2491" s="48" t="n"/>
      <c r="F2491" s="48" t="n"/>
      <c r="G2491" s="49" t="n"/>
      <c r="H2491" s="48" t="n"/>
      <c r="I2491" s="50" t="n"/>
      <c r="J2491" s="48" t="n"/>
      <c r="K2491" s="48" t="n"/>
      <c r="L2491" s="48" t="n"/>
      <c r="M2491" s="48" t="n"/>
      <c r="N2491" s="48" t="n"/>
      <c r="O2491" s="51">
        <f>IF(AND(B2491="",G2491="",C2491="",D2491="",J2491=""),"",IF(B2491="","⚠ Falta fecha",IF(G2491="","⚠ Falta monto",IF(Q2491="","⚠ Falta cuenta",IF(ISNA(MATCH(Q2491,ctaNombre,0)),"⚠ Cuenta no registrada",IF(AND(OR(P2491="Gasto",P2491="Reembolso"),D2491=""),"⚠ Falta categoría",IF(AND(D2491&lt;&gt;"",E2491&lt;&gt;"",ISNA(MATCH(D2491&amp;"|"&amp;E2491,catClave,0))),"⚠ Subcategoría no corresponde",IF(AND(OR(P2491="Transferencia",P2491="Pago tarjeta"),K2491=""),"⚠ Falta cuenta destino",IF(AND(K2491&lt;&gt;"",P2491&lt;&gt;"Transferencia",P2491&lt;&gt;"Pago tarjeta"),"⚠ Destino solo aplica a transferencias",IF(AND(K2491&lt;&gt;"",K2491=Q2491),"⚠ Origen igual a destino",IF(AND(K2491&lt;&gt;"",ISNA(MATCH(K2491,ctaNombre,0))),"⚠ Destino no registrado",IF(AND(P2491="Pago tarjeta",AE2491&lt;&gt;"Tarjeta de crédito"),"⚠ El destino debe ser tarjeta de crédito",IF(AND(P2491="Gasto",E2491="Depósitos y retiros"),"⚠ Usa tipo Transferencia",IF(AND(P2491="Resultado trading",AD2491&lt;&gt;"Cuenta de trading"),"⚠ Usa una cuenta de trading",IF(AND(G2491&lt;=0,P2491&lt;&gt;"Ajuste",P2491&lt;&gt;"Resultado trading"),"⚠ El monto debe ser positivo","✓")))))))))))))))</f>
        <v/>
      </c>
      <c r="P2491" s="52">
        <f>IF(OR(B2491="",G2491=""),"",IF(C2491="","Gasto",C2491))</f>
        <v/>
      </c>
      <c r="Q2491" s="52">
        <f>IF(P2491="","",IF(J2491&lt;&gt;"",J2491,CuentaPred&amp;""))</f>
        <v/>
      </c>
      <c r="R2491" s="52">
        <f>IF(P2491="","",IF(ISNUMBER(I2491),I2491,TasaUSD))</f>
        <v/>
      </c>
      <c r="S2491" s="53">
        <f>IF(P2491="","",IF(H2491="USD",G2491*R2491,G2491))</f>
        <v/>
      </c>
      <c r="T2491" s="53">
        <f>IF(P2491="","",IF(H2491="USD",G2491,IF(R2491&gt;0,G2491/R2491,0)))</f>
        <v/>
      </c>
      <c r="U2491" s="53">
        <f>IF(P2491="","",IF(P2491="Gasto",S2491,IF(P2491="Reembolso",-S2491,0)))</f>
        <v/>
      </c>
      <c r="V2491" s="53">
        <f>IF(P2491="","",IF(P2491="Ingreso",S2491,0))</f>
        <v/>
      </c>
      <c r="W2491" s="53">
        <f>IF(P2491="","",IF(P2491="Resultado trading",S2491,0))</f>
        <v/>
      </c>
      <c r="X2491" s="52">
        <f>IF(OR(P2491="Gasto",P2491="Reembolso"),IF(M2491&lt;&gt;"",M2491,IFERROR(INDEX(catClasif,MATCH(D2491&amp;"|"&amp;E2491,catClave,0))&amp;"","Variable")),"")</f>
        <v/>
      </c>
      <c r="Y2491" s="52">
        <f>IF(P2491="","",IFERROR(INDEX(catGrupo,MATCH(D2491&amp;"|"&amp;E2491,catClave,0))&amp;"",""))</f>
        <v/>
      </c>
      <c r="Z2491" s="52">
        <f>IF(P2491="","",WEEKDAY(B2491,2))</f>
        <v/>
      </c>
      <c r="AA2491" s="52">
        <f>IF(P2491="","",IF(AND(P2491="Gasto",X2491="Variable",D2491&lt;&gt;catTrading,S2491&gt;0,S2491&lt;=Umbral),1,0))</f>
        <v/>
      </c>
      <c r="AB2491" s="52">
        <f>IF(OR(P2491="",Q2491=""),"",IFERROR(IF(INDEX(ctaVinc,MATCH(Q2491,ctaNombre,0))&amp;""&lt;&gt;"",INDEX(ctaVinc,MATCH(Q2491,ctaNombre,0))&amp;"",Q2491),Q2491))</f>
        <v/>
      </c>
      <c r="AC2491" s="52">
        <f>IF(OR(K2491="",AND(P2491&lt;&gt;"Transferencia",P2491&lt;&gt;"Pago tarjeta")),"",IFERROR(IF(INDEX(ctaVinc,MATCH(K2491,ctaNombre,0))&amp;""&lt;&gt;"",INDEX(ctaVinc,MATCH(K2491,ctaNombre,0))&amp;"",K2491),K2491))</f>
        <v/>
      </c>
      <c r="AD2491" s="52">
        <f>IF(AB2491="","",IFERROR(INDEX(ctaTipo,MATCH(AB2491,ctaNombre,0))&amp;"",""))</f>
        <v/>
      </c>
      <c r="AE2491" s="52">
        <f>IF(AC2491="","",IFERROR(INDEX(ctaTipo,MATCH(AC2491,ctaNombre,0))&amp;"",""))</f>
        <v/>
      </c>
      <c r="AF2491" s="53">
        <f>IF(OR(P2491="",AB2491=""),"",IF(OR(P2491="Gasto",P2491="Transferencia",P2491="Pago tarjeta"),-1,1)*IF(IFERROR(INDEX(ctaMoneda,MATCH(AB2491,ctaNombre,0))&amp;"","DOP")="USD",T2491,S2491))</f>
        <v/>
      </c>
      <c r="AG2491" s="53">
        <f>IF(AC2491="","",IF(IFERROR(INDEX(ctaMoneda,MATCH(AC2491,ctaNombre,0))&amp;"","DOP")="USD",T2491,S2491))</f>
        <v/>
      </c>
      <c r="AH2491" s="53">
        <f>IF(P2491="","",IF(AND(AD2491&lt;&gt;"",COUNTIFS(tcTipo,AD2491,tcLiq,"Sí")&gt;0),IF(OR(P2491="Gasto",P2491="Transferencia",P2491="Pago tarjeta"),-1,1)*S2491,0)+IF(AND(AE2491&lt;&gt;"",COUNTIFS(tcTipo,AE2491,tcLiq,"Sí")&gt;0),S2491,0))</f>
        <v/>
      </c>
      <c r="AI2491" s="52">
        <f>IF(OR(L2491="",P2491=""),"",IF(COUNTIFS(L$6:L2491,L2491,P$6:P2491,"?*")=1,MAX(AI$5:AI2490)+1,""))</f>
        <v/>
      </c>
    </row>
    <row r="2492">
      <c r="B2492" s="47" t="n"/>
      <c r="C2492" s="48" t="n"/>
      <c r="D2492" s="48" t="n"/>
      <c r="E2492" s="48" t="n"/>
      <c r="F2492" s="48" t="n"/>
      <c r="G2492" s="49" t="n"/>
      <c r="H2492" s="48" t="n"/>
      <c r="I2492" s="50" t="n"/>
      <c r="J2492" s="48" t="n"/>
      <c r="K2492" s="48" t="n"/>
      <c r="L2492" s="48" t="n"/>
      <c r="M2492" s="48" t="n"/>
      <c r="N2492" s="48" t="n"/>
      <c r="O2492" s="51">
        <f>IF(AND(B2492="",G2492="",C2492="",D2492="",J2492=""),"",IF(B2492="","⚠ Falta fecha",IF(G2492="","⚠ Falta monto",IF(Q2492="","⚠ Falta cuenta",IF(ISNA(MATCH(Q2492,ctaNombre,0)),"⚠ Cuenta no registrada",IF(AND(OR(P2492="Gasto",P2492="Reembolso"),D2492=""),"⚠ Falta categoría",IF(AND(D2492&lt;&gt;"",E2492&lt;&gt;"",ISNA(MATCH(D2492&amp;"|"&amp;E2492,catClave,0))),"⚠ Subcategoría no corresponde",IF(AND(OR(P2492="Transferencia",P2492="Pago tarjeta"),K2492=""),"⚠ Falta cuenta destino",IF(AND(K2492&lt;&gt;"",P2492&lt;&gt;"Transferencia",P2492&lt;&gt;"Pago tarjeta"),"⚠ Destino solo aplica a transferencias",IF(AND(K2492&lt;&gt;"",K2492=Q2492),"⚠ Origen igual a destino",IF(AND(K2492&lt;&gt;"",ISNA(MATCH(K2492,ctaNombre,0))),"⚠ Destino no registrado",IF(AND(P2492="Pago tarjeta",AE2492&lt;&gt;"Tarjeta de crédito"),"⚠ El destino debe ser tarjeta de crédito",IF(AND(P2492="Gasto",E2492="Depósitos y retiros"),"⚠ Usa tipo Transferencia",IF(AND(P2492="Resultado trading",AD2492&lt;&gt;"Cuenta de trading"),"⚠ Usa una cuenta de trading",IF(AND(G2492&lt;=0,P2492&lt;&gt;"Ajuste",P2492&lt;&gt;"Resultado trading"),"⚠ El monto debe ser positivo","✓")))))))))))))))</f>
        <v/>
      </c>
      <c r="P2492" s="52">
        <f>IF(OR(B2492="",G2492=""),"",IF(C2492="","Gasto",C2492))</f>
        <v/>
      </c>
      <c r="Q2492" s="52">
        <f>IF(P2492="","",IF(J2492&lt;&gt;"",J2492,CuentaPred&amp;""))</f>
        <v/>
      </c>
      <c r="R2492" s="52">
        <f>IF(P2492="","",IF(ISNUMBER(I2492),I2492,TasaUSD))</f>
        <v/>
      </c>
      <c r="S2492" s="53">
        <f>IF(P2492="","",IF(H2492="USD",G2492*R2492,G2492))</f>
        <v/>
      </c>
      <c r="T2492" s="53">
        <f>IF(P2492="","",IF(H2492="USD",G2492,IF(R2492&gt;0,G2492/R2492,0)))</f>
        <v/>
      </c>
      <c r="U2492" s="53">
        <f>IF(P2492="","",IF(P2492="Gasto",S2492,IF(P2492="Reembolso",-S2492,0)))</f>
        <v/>
      </c>
      <c r="V2492" s="53">
        <f>IF(P2492="","",IF(P2492="Ingreso",S2492,0))</f>
        <v/>
      </c>
      <c r="W2492" s="53">
        <f>IF(P2492="","",IF(P2492="Resultado trading",S2492,0))</f>
        <v/>
      </c>
      <c r="X2492" s="52">
        <f>IF(OR(P2492="Gasto",P2492="Reembolso"),IF(M2492&lt;&gt;"",M2492,IFERROR(INDEX(catClasif,MATCH(D2492&amp;"|"&amp;E2492,catClave,0))&amp;"","Variable")),"")</f>
        <v/>
      </c>
      <c r="Y2492" s="52">
        <f>IF(P2492="","",IFERROR(INDEX(catGrupo,MATCH(D2492&amp;"|"&amp;E2492,catClave,0))&amp;"",""))</f>
        <v/>
      </c>
      <c r="Z2492" s="52">
        <f>IF(P2492="","",WEEKDAY(B2492,2))</f>
        <v/>
      </c>
      <c r="AA2492" s="52">
        <f>IF(P2492="","",IF(AND(P2492="Gasto",X2492="Variable",D2492&lt;&gt;catTrading,S2492&gt;0,S2492&lt;=Umbral),1,0))</f>
        <v/>
      </c>
      <c r="AB2492" s="52">
        <f>IF(OR(P2492="",Q2492=""),"",IFERROR(IF(INDEX(ctaVinc,MATCH(Q2492,ctaNombre,0))&amp;""&lt;&gt;"",INDEX(ctaVinc,MATCH(Q2492,ctaNombre,0))&amp;"",Q2492),Q2492))</f>
        <v/>
      </c>
      <c r="AC2492" s="52">
        <f>IF(OR(K2492="",AND(P2492&lt;&gt;"Transferencia",P2492&lt;&gt;"Pago tarjeta")),"",IFERROR(IF(INDEX(ctaVinc,MATCH(K2492,ctaNombre,0))&amp;""&lt;&gt;"",INDEX(ctaVinc,MATCH(K2492,ctaNombre,0))&amp;"",K2492),K2492))</f>
        <v/>
      </c>
      <c r="AD2492" s="52">
        <f>IF(AB2492="","",IFERROR(INDEX(ctaTipo,MATCH(AB2492,ctaNombre,0))&amp;"",""))</f>
        <v/>
      </c>
      <c r="AE2492" s="52">
        <f>IF(AC2492="","",IFERROR(INDEX(ctaTipo,MATCH(AC2492,ctaNombre,0))&amp;"",""))</f>
        <v/>
      </c>
      <c r="AF2492" s="53">
        <f>IF(OR(P2492="",AB2492=""),"",IF(OR(P2492="Gasto",P2492="Transferencia",P2492="Pago tarjeta"),-1,1)*IF(IFERROR(INDEX(ctaMoneda,MATCH(AB2492,ctaNombre,0))&amp;"","DOP")="USD",T2492,S2492))</f>
        <v/>
      </c>
      <c r="AG2492" s="53">
        <f>IF(AC2492="","",IF(IFERROR(INDEX(ctaMoneda,MATCH(AC2492,ctaNombre,0))&amp;"","DOP")="USD",T2492,S2492))</f>
        <v/>
      </c>
      <c r="AH2492" s="53">
        <f>IF(P2492="","",IF(AND(AD2492&lt;&gt;"",COUNTIFS(tcTipo,AD2492,tcLiq,"Sí")&gt;0),IF(OR(P2492="Gasto",P2492="Transferencia",P2492="Pago tarjeta"),-1,1)*S2492,0)+IF(AND(AE2492&lt;&gt;"",COUNTIFS(tcTipo,AE2492,tcLiq,"Sí")&gt;0),S2492,0))</f>
        <v/>
      </c>
      <c r="AI2492" s="52">
        <f>IF(OR(L2492="",P2492=""),"",IF(COUNTIFS(L$6:L2492,L2492,P$6:P2492,"?*")=1,MAX(AI$5:AI2491)+1,""))</f>
        <v/>
      </c>
    </row>
    <row r="2493">
      <c r="B2493" s="47" t="n"/>
      <c r="C2493" s="48" t="n"/>
      <c r="D2493" s="48" t="n"/>
      <c r="E2493" s="48" t="n"/>
      <c r="F2493" s="48" t="n"/>
      <c r="G2493" s="49" t="n"/>
      <c r="H2493" s="48" t="n"/>
      <c r="I2493" s="50" t="n"/>
      <c r="J2493" s="48" t="n"/>
      <c r="K2493" s="48" t="n"/>
      <c r="L2493" s="48" t="n"/>
      <c r="M2493" s="48" t="n"/>
      <c r="N2493" s="48" t="n"/>
      <c r="O2493" s="51">
        <f>IF(AND(B2493="",G2493="",C2493="",D2493="",J2493=""),"",IF(B2493="","⚠ Falta fecha",IF(G2493="","⚠ Falta monto",IF(Q2493="","⚠ Falta cuenta",IF(ISNA(MATCH(Q2493,ctaNombre,0)),"⚠ Cuenta no registrada",IF(AND(OR(P2493="Gasto",P2493="Reembolso"),D2493=""),"⚠ Falta categoría",IF(AND(D2493&lt;&gt;"",E2493&lt;&gt;"",ISNA(MATCH(D2493&amp;"|"&amp;E2493,catClave,0))),"⚠ Subcategoría no corresponde",IF(AND(OR(P2493="Transferencia",P2493="Pago tarjeta"),K2493=""),"⚠ Falta cuenta destino",IF(AND(K2493&lt;&gt;"",P2493&lt;&gt;"Transferencia",P2493&lt;&gt;"Pago tarjeta"),"⚠ Destino solo aplica a transferencias",IF(AND(K2493&lt;&gt;"",K2493=Q2493),"⚠ Origen igual a destino",IF(AND(K2493&lt;&gt;"",ISNA(MATCH(K2493,ctaNombre,0))),"⚠ Destino no registrado",IF(AND(P2493="Pago tarjeta",AE2493&lt;&gt;"Tarjeta de crédito"),"⚠ El destino debe ser tarjeta de crédito",IF(AND(P2493="Gasto",E2493="Depósitos y retiros"),"⚠ Usa tipo Transferencia",IF(AND(P2493="Resultado trading",AD2493&lt;&gt;"Cuenta de trading"),"⚠ Usa una cuenta de trading",IF(AND(G2493&lt;=0,P2493&lt;&gt;"Ajuste",P2493&lt;&gt;"Resultado trading"),"⚠ El monto debe ser positivo","✓")))))))))))))))</f>
        <v/>
      </c>
      <c r="P2493" s="52">
        <f>IF(OR(B2493="",G2493=""),"",IF(C2493="","Gasto",C2493))</f>
        <v/>
      </c>
      <c r="Q2493" s="52">
        <f>IF(P2493="","",IF(J2493&lt;&gt;"",J2493,CuentaPred&amp;""))</f>
        <v/>
      </c>
      <c r="R2493" s="52">
        <f>IF(P2493="","",IF(ISNUMBER(I2493),I2493,TasaUSD))</f>
        <v/>
      </c>
      <c r="S2493" s="53">
        <f>IF(P2493="","",IF(H2493="USD",G2493*R2493,G2493))</f>
        <v/>
      </c>
      <c r="T2493" s="53">
        <f>IF(P2493="","",IF(H2493="USD",G2493,IF(R2493&gt;0,G2493/R2493,0)))</f>
        <v/>
      </c>
      <c r="U2493" s="53">
        <f>IF(P2493="","",IF(P2493="Gasto",S2493,IF(P2493="Reembolso",-S2493,0)))</f>
        <v/>
      </c>
      <c r="V2493" s="53">
        <f>IF(P2493="","",IF(P2493="Ingreso",S2493,0))</f>
        <v/>
      </c>
      <c r="W2493" s="53">
        <f>IF(P2493="","",IF(P2493="Resultado trading",S2493,0))</f>
        <v/>
      </c>
      <c r="X2493" s="52">
        <f>IF(OR(P2493="Gasto",P2493="Reembolso"),IF(M2493&lt;&gt;"",M2493,IFERROR(INDEX(catClasif,MATCH(D2493&amp;"|"&amp;E2493,catClave,0))&amp;"","Variable")),"")</f>
        <v/>
      </c>
      <c r="Y2493" s="52">
        <f>IF(P2493="","",IFERROR(INDEX(catGrupo,MATCH(D2493&amp;"|"&amp;E2493,catClave,0))&amp;"",""))</f>
        <v/>
      </c>
      <c r="Z2493" s="52">
        <f>IF(P2493="","",WEEKDAY(B2493,2))</f>
        <v/>
      </c>
      <c r="AA2493" s="52">
        <f>IF(P2493="","",IF(AND(P2493="Gasto",X2493="Variable",D2493&lt;&gt;catTrading,S2493&gt;0,S2493&lt;=Umbral),1,0))</f>
        <v/>
      </c>
      <c r="AB2493" s="52">
        <f>IF(OR(P2493="",Q2493=""),"",IFERROR(IF(INDEX(ctaVinc,MATCH(Q2493,ctaNombre,0))&amp;""&lt;&gt;"",INDEX(ctaVinc,MATCH(Q2493,ctaNombre,0))&amp;"",Q2493),Q2493))</f>
        <v/>
      </c>
      <c r="AC2493" s="52">
        <f>IF(OR(K2493="",AND(P2493&lt;&gt;"Transferencia",P2493&lt;&gt;"Pago tarjeta")),"",IFERROR(IF(INDEX(ctaVinc,MATCH(K2493,ctaNombre,0))&amp;""&lt;&gt;"",INDEX(ctaVinc,MATCH(K2493,ctaNombre,0))&amp;"",K2493),K2493))</f>
        <v/>
      </c>
      <c r="AD2493" s="52">
        <f>IF(AB2493="","",IFERROR(INDEX(ctaTipo,MATCH(AB2493,ctaNombre,0))&amp;"",""))</f>
        <v/>
      </c>
      <c r="AE2493" s="52">
        <f>IF(AC2493="","",IFERROR(INDEX(ctaTipo,MATCH(AC2493,ctaNombre,0))&amp;"",""))</f>
        <v/>
      </c>
      <c r="AF2493" s="53">
        <f>IF(OR(P2493="",AB2493=""),"",IF(OR(P2493="Gasto",P2493="Transferencia",P2493="Pago tarjeta"),-1,1)*IF(IFERROR(INDEX(ctaMoneda,MATCH(AB2493,ctaNombre,0))&amp;"","DOP")="USD",T2493,S2493))</f>
        <v/>
      </c>
      <c r="AG2493" s="53">
        <f>IF(AC2493="","",IF(IFERROR(INDEX(ctaMoneda,MATCH(AC2493,ctaNombre,0))&amp;"","DOP")="USD",T2493,S2493))</f>
        <v/>
      </c>
      <c r="AH2493" s="53">
        <f>IF(P2493="","",IF(AND(AD2493&lt;&gt;"",COUNTIFS(tcTipo,AD2493,tcLiq,"Sí")&gt;0),IF(OR(P2493="Gasto",P2493="Transferencia",P2493="Pago tarjeta"),-1,1)*S2493,0)+IF(AND(AE2493&lt;&gt;"",COUNTIFS(tcTipo,AE2493,tcLiq,"Sí")&gt;0),S2493,0))</f>
        <v/>
      </c>
      <c r="AI2493" s="52">
        <f>IF(OR(L2493="",P2493=""),"",IF(COUNTIFS(L$6:L2493,L2493,P$6:P2493,"?*")=1,MAX(AI$5:AI2492)+1,""))</f>
        <v/>
      </c>
    </row>
    <row r="2494">
      <c r="B2494" s="47" t="n"/>
      <c r="C2494" s="48" t="n"/>
      <c r="D2494" s="48" t="n"/>
      <c r="E2494" s="48" t="n"/>
      <c r="F2494" s="48" t="n"/>
      <c r="G2494" s="49" t="n"/>
      <c r="H2494" s="48" t="n"/>
      <c r="I2494" s="50" t="n"/>
      <c r="J2494" s="48" t="n"/>
      <c r="K2494" s="48" t="n"/>
      <c r="L2494" s="48" t="n"/>
      <c r="M2494" s="48" t="n"/>
      <c r="N2494" s="48" t="n"/>
      <c r="O2494" s="51">
        <f>IF(AND(B2494="",G2494="",C2494="",D2494="",J2494=""),"",IF(B2494="","⚠ Falta fecha",IF(G2494="","⚠ Falta monto",IF(Q2494="","⚠ Falta cuenta",IF(ISNA(MATCH(Q2494,ctaNombre,0)),"⚠ Cuenta no registrada",IF(AND(OR(P2494="Gasto",P2494="Reembolso"),D2494=""),"⚠ Falta categoría",IF(AND(D2494&lt;&gt;"",E2494&lt;&gt;"",ISNA(MATCH(D2494&amp;"|"&amp;E2494,catClave,0))),"⚠ Subcategoría no corresponde",IF(AND(OR(P2494="Transferencia",P2494="Pago tarjeta"),K2494=""),"⚠ Falta cuenta destino",IF(AND(K2494&lt;&gt;"",P2494&lt;&gt;"Transferencia",P2494&lt;&gt;"Pago tarjeta"),"⚠ Destino solo aplica a transferencias",IF(AND(K2494&lt;&gt;"",K2494=Q2494),"⚠ Origen igual a destino",IF(AND(K2494&lt;&gt;"",ISNA(MATCH(K2494,ctaNombre,0))),"⚠ Destino no registrado",IF(AND(P2494="Pago tarjeta",AE2494&lt;&gt;"Tarjeta de crédito"),"⚠ El destino debe ser tarjeta de crédito",IF(AND(P2494="Gasto",E2494="Depósitos y retiros"),"⚠ Usa tipo Transferencia",IF(AND(P2494="Resultado trading",AD2494&lt;&gt;"Cuenta de trading"),"⚠ Usa una cuenta de trading",IF(AND(G2494&lt;=0,P2494&lt;&gt;"Ajuste",P2494&lt;&gt;"Resultado trading"),"⚠ El monto debe ser positivo","✓")))))))))))))))</f>
        <v/>
      </c>
      <c r="P2494" s="52">
        <f>IF(OR(B2494="",G2494=""),"",IF(C2494="","Gasto",C2494))</f>
        <v/>
      </c>
      <c r="Q2494" s="52">
        <f>IF(P2494="","",IF(J2494&lt;&gt;"",J2494,CuentaPred&amp;""))</f>
        <v/>
      </c>
      <c r="R2494" s="52">
        <f>IF(P2494="","",IF(ISNUMBER(I2494),I2494,TasaUSD))</f>
        <v/>
      </c>
      <c r="S2494" s="53">
        <f>IF(P2494="","",IF(H2494="USD",G2494*R2494,G2494))</f>
        <v/>
      </c>
      <c r="T2494" s="53">
        <f>IF(P2494="","",IF(H2494="USD",G2494,IF(R2494&gt;0,G2494/R2494,0)))</f>
        <v/>
      </c>
      <c r="U2494" s="53">
        <f>IF(P2494="","",IF(P2494="Gasto",S2494,IF(P2494="Reembolso",-S2494,0)))</f>
        <v/>
      </c>
      <c r="V2494" s="53">
        <f>IF(P2494="","",IF(P2494="Ingreso",S2494,0))</f>
        <v/>
      </c>
      <c r="W2494" s="53">
        <f>IF(P2494="","",IF(P2494="Resultado trading",S2494,0))</f>
        <v/>
      </c>
      <c r="X2494" s="52">
        <f>IF(OR(P2494="Gasto",P2494="Reembolso"),IF(M2494&lt;&gt;"",M2494,IFERROR(INDEX(catClasif,MATCH(D2494&amp;"|"&amp;E2494,catClave,0))&amp;"","Variable")),"")</f>
        <v/>
      </c>
      <c r="Y2494" s="52">
        <f>IF(P2494="","",IFERROR(INDEX(catGrupo,MATCH(D2494&amp;"|"&amp;E2494,catClave,0))&amp;"",""))</f>
        <v/>
      </c>
      <c r="Z2494" s="52">
        <f>IF(P2494="","",WEEKDAY(B2494,2))</f>
        <v/>
      </c>
      <c r="AA2494" s="52">
        <f>IF(P2494="","",IF(AND(P2494="Gasto",X2494="Variable",D2494&lt;&gt;catTrading,S2494&gt;0,S2494&lt;=Umbral),1,0))</f>
        <v/>
      </c>
      <c r="AB2494" s="52">
        <f>IF(OR(P2494="",Q2494=""),"",IFERROR(IF(INDEX(ctaVinc,MATCH(Q2494,ctaNombre,0))&amp;""&lt;&gt;"",INDEX(ctaVinc,MATCH(Q2494,ctaNombre,0))&amp;"",Q2494),Q2494))</f>
        <v/>
      </c>
      <c r="AC2494" s="52">
        <f>IF(OR(K2494="",AND(P2494&lt;&gt;"Transferencia",P2494&lt;&gt;"Pago tarjeta")),"",IFERROR(IF(INDEX(ctaVinc,MATCH(K2494,ctaNombre,0))&amp;""&lt;&gt;"",INDEX(ctaVinc,MATCH(K2494,ctaNombre,0))&amp;"",K2494),K2494))</f>
        <v/>
      </c>
      <c r="AD2494" s="52">
        <f>IF(AB2494="","",IFERROR(INDEX(ctaTipo,MATCH(AB2494,ctaNombre,0))&amp;"",""))</f>
        <v/>
      </c>
      <c r="AE2494" s="52">
        <f>IF(AC2494="","",IFERROR(INDEX(ctaTipo,MATCH(AC2494,ctaNombre,0))&amp;"",""))</f>
        <v/>
      </c>
      <c r="AF2494" s="53">
        <f>IF(OR(P2494="",AB2494=""),"",IF(OR(P2494="Gasto",P2494="Transferencia",P2494="Pago tarjeta"),-1,1)*IF(IFERROR(INDEX(ctaMoneda,MATCH(AB2494,ctaNombre,0))&amp;"","DOP")="USD",T2494,S2494))</f>
        <v/>
      </c>
      <c r="AG2494" s="53">
        <f>IF(AC2494="","",IF(IFERROR(INDEX(ctaMoneda,MATCH(AC2494,ctaNombre,0))&amp;"","DOP")="USD",T2494,S2494))</f>
        <v/>
      </c>
      <c r="AH2494" s="53">
        <f>IF(P2494="","",IF(AND(AD2494&lt;&gt;"",COUNTIFS(tcTipo,AD2494,tcLiq,"Sí")&gt;0),IF(OR(P2494="Gasto",P2494="Transferencia",P2494="Pago tarjeta"),-1,1)*S2494,0)+IF(AND(AE2494&lt;&gt;"",COUNTIFS(tcTipo,AE2494,tcLiq,"Sí")&gt;0),S2494,0))</f>
        <v/>
      </c>
      <c r="AI2494" s="52">
        <f>IF(OR(L2494="",P2494=""),"",IF(COUNTIFS(L$6:L2494,L2494,P$6:P2494,"?*")=1,MAX(AI$5:AI2493)+1,""))</f>
        <v/>
      </c>
    </row>
    <row r="2495">
      <c r="B2495" s="47" t="n"/>
      <c r="C2495" s="48" t="n"/>
      <c r="D2495" s="48" t="n"/>
      <c r="E2495" s="48" t="n"/>
      <c r="F2495" s="48" t="n"/>
      <c r="G2495" s="49" t="n"/>
      <c r="H2495" s="48" t="n"/>
      <c r="I2495" s="50" t="n"/>
      <c r="J2495" s="48" t="n"/>
      <c r="K2495" s="48" t="n"/>
      <c r="L2495" s="48" t="n"/>
      <c r="M2495" s="48" t="n"/>
      <c r="N2495" s="48" t="n"/>
      <c r="O2495" s="51">
        <f>IF(AND(B2495="",G2495="",C2495="",D2495="",J2495=""),"",IF(B2495="","⚠ Falta fecha",IF(G2495="","⚠ Falta monto",IF(Q2495="","⚠ Falta cuenta",IF(ISNA(MATCH(Q2495,ctaNombre,0)),"⚠ Cuenta no registrada",IF(AND(OR(P2495="Gasto",P2495="Reembolso"),D2495=""),"⚠ Falta categoría",IF(AND(D2495&lt;&gt;"",E2495&lt;&gt;"",ISNA(MATCH(D2495&amp;"|"&amp;E2495,catClave,0))),"⚠ Subcategoría no corresponde",IF(AND(OR(P2495="Transferencia",P2495="Pago tarjeta"),K2495=""),"⚠ Falta cuenta destino",IF(AND(K2495&lt;&gt;"",P2495&lt;&gt;"Transferencia",P2495&lt;&gt;"Pago tarjeta"),"⚠ Destino solo aplica a transferencias",IF(AND(K2495&lt;&gt;"",K2495=Q2495),"⚠ Origen igual a destino",IF(AND(K2495&lt;&gt;"",ISNA(MATCH(K2495,ctaNombre,0))),"⚠ Destino no registrado",IF(AND(P2495="Pago tarjeta",AE2495&lt;&gt;"Tarjeta de crédito"),"⚠ El destino debe ser tarjeta de crédito",IF(AND(P2495="Gasto",E2495="Depósitos y retiros"),"⚠ Usa tipo Transferencia",IF(AND(P2495="Resultado trading",AD2495&lt;&gt;"Cuenta de trading"),"⚠ Usa una cuenta de trading",IF(AND(G2495&lt;=0,P2495&lt;&gt;"Ajuste",P2495&lt;&gt;"Resultado trading"),"⚠ El monto debe ser positivo","✓")))))))))))))))</f>
        <v/>
      </c>
      <c r="P2495" s="52">
        <f>IF(OR(B2495="",G2495=""),"",IF(C2495="","Gasto",C2495))</f>
        <v/>
      </c>
      <c r="Q2495" s="52">
        <f>IF(P2495="","",IF(J2495&lt;&gt;"",J2495,CuentaPred&amp;""))</f>
        <v/>
      </c>
      <c r="R2495" s="52">
        <f>IF(P2495="","",IF(ISNUMBER(I2495),I2495,TasaUSD))</f>
        <v/>
      </c>
      <c r="S2495" s="53">
        <f>IF(P2495="","",IF(H2495="USD",G2495*R2495,G2495))</f>
        <v/>
      </c>
      <c r="T2495" s="53">
        <f>IF(P2495="","",IF(H2495="USD",G2495,IF(R2495&gt;0,G2495/R2495,0)))</f>
        <v/>
      </c>
      <c r="U2495" s="53">
        <f>IF(P2495="","",IF(P2495="Gasto",S2495,IF(P2495="Reembolso",-S2495,0)))</f>
        <v/>
      </c>
      <c r="V2495" s="53">
        <f>IF(P2495="","",IF(P2495="Ingreso",S2495,0))</f>
        <v/>
      </c>
      <c r="W2495" s="53">
        <f>IF(P2495="","",IF(P2495="Resultado trading",S2495,0))</f>
        <v/>
      </c>
      <c r="X2495" s="52">
        <f>IF(OR(P2495="Gasto",P2495="Reembolso"),IF(M2495&lt;&gt;"",M2495,IFERROR(INDEX(catClasif,MATCH(D2495&amp;"|"&amp;E2495,catClave,0))&amp;"","Variable")),"")</f>
        <v/>
      </c>
      <c r="Y2495" s="52">
        <f>IF(P2495="","",IFERROR(INDEX(catGrupo,MATCH(D2495&amp;"|"&amp;E2495,catClave,0))&amp;"",""))</f>
        <v/>
      </c>
      <c r="Z2495" s="52">
        <f>IF(P2495="","",WEEKDAY(B2495,2))</f>
        <v/>
      </c>
      <c r="AA2495" s="52">
        <f>IF(P2495="","",IF(AND(P2495="Gasto",X2495="Variable",D2495&lt;&gt;catTrading,S2495&gt;0,S2495&lt;=Umbral),1,0))</f>
        <v/>
      </c>
      <c r="AB2495" s="52">
        <f>IF(OR(P2495="",Q2495=""),"",IFERROR(IF(INDEX(ctaVinc,MATCH(Q2495,ctaNombre,0))&amp;""&lt;&gt;"",INDEX(ctaVinc,MATCH(Q2495,ctaNombre,0))&amp;"",Q2495),Q2495))</f>
        <v/>
      </c>
      <c r="AC2495" s="52">
        <f>IF(OR(K2495="",AND(P2495&lt;&gt;"Transferencia",P2495&lt;&gt;"Pago tarjeta")),"",IFERROR(IF(INDEX(ctaVinc,MATCH(K2495,ctaNombre,0))&amp;""&lt;&gt;"",INDEX(ctaVinc,MATCH(K2495,ctaNombre,0))&amp;"",K2495),K2495))</f>
        <v/>
      </c>
      <c r="AD2495" s="52">
        <f>IF(AB2495="","",IFERROR(INDEX(ctaTipo,MATCH(AB2495,ctaNombre,0))&amp;"",""))</f>
        <v/>
      </c>
      <c r="AE2495" s="52">
        <f>IF(AC2495="","",IFERROR(INDEX(ctaTipo,MATCH(AC2495,ctaNombre,0))&amp;"",""))</f>
        <v/>
      </c>
      <c r="AF2495" s="53">
        <f>IF(OR(P2495="",AB2495=""),"",IF(OR(P2495="Gasto",P2495="Transferencia",P2495="Pago tarjeta"),-1,1)*IF(IFERROR(INDEX(ctaMoneda,MATCH(AB2495,ctaNombre,0))&amp;"","DOP")="USD",T2495,S2495))</f>
        <v/>
      </c>
      <c r="AG2495" s="53">
        <f>IF(AC2495="","",IF(IFERROR(INDEX(ctaMoneda,MATCH(AC2495,ctaNombre,0))&amp;"","DOP")="USD",T2495,S2495))</f>
        <v/>
      </c>
      <c r="AH2495" s="53">
        <f>IF(P2495="","",IF(AND(AD2495&lt;&gt;"",COUNTIFS(tcTipo,AD2495,tcLiq,"Sí")&gt;0),IF(OR(P2495="Gasto",P2495="Transferencia",P2495="Pago tarjeta"),-1,1)*S2495,0)+IF(AND(AE2495&lt;&gt;"",COUNTIFS(tcTipo,AE2495,tcLiq,"Sí")&gt;0),S2495,0))</f>
        <v/>
      </c>
      <c r="AI2495" s="52">
        <f>IF(OR(L2495="",P2495=""),"",IF(COUNTIFS(L$6:L2495,L2495,P$6:P2495,"?*")=1,MAX(AI$5:AI2494)+1,""))</f>
        <v/>
      </c>
    </row>
    <row r="2496">
      <c r="B2496" s="47" t="n"/>
      <c r="C2496" s="48" t="n"/>
      <c r="D2496" s="48" t="n"/>
      <c r="E2496" s="48" t="n"/>
      <c r="F2496" s="48" t="n"/>
      <c r="G2496" s="49" t="n"/>
      <c r="H2496" s="48" t="n"/>
      <c r="I2496" s="50" t="n"/>
      <c r="J2496" s="48" t="n"/>
      <c r="K2496" s="48" t="n"/>
      <c r="L2496" s="48" t="n"/>
      <c r="M2496" s="48" t="n"/>
      <c r="N2496" s="48" t="n"/>
      <c r="O2496" s="51">
        <f>IF(AND(B2496="",G2496="",C2496="",D2496="",J2496=""),"",IF(B2496="","⚠ Falta fecha",IF(G2496="","⚠ Falta monto",IF(Q2496="","⚠ Falta cuenta",IF(ISNA(MATCH(Q2496,ctaNombre,0)),"⚠ Cuenta no registrada",IF(AND(OR(P2496="Gasto",P2496="Reembolso"),D2496=""),"⚠ Falta categoría",IF(AND(D2496&lt;&gt;"",E2496&lt;&gt;"",ISNA(MATCH(D2496&amp;"|"&amp;E2496,catClave,0))),"⚠ Subcategoría no corresponde",IF(AND(OR(P2496="Transferencia",P2496="Pago tarjeta"),K2496=""),"⚠ Falta cuenta destino",IF(AND(K2496&lt;&gt;"",P2496&lt;&gt;"Transferencia",P2496&lt;&gt;"Pago tarjeta"),"⚠ Destino solo aplica a transferencias",IF(AND(K2496&lt;&gt;"",K2496=Q2496),"⚠ Origen igual a destino",IF(AND(K2496&lt;&gt;"",ISNA(MATCH(K2496,ctaNombre,0))),"⚠ Destino no registrado",IF(AND(P2496="Pago tarjeta",AE2496&lt;&gt;"Tarjeta de crédito"),"⚠ El destino debe ser tarjeta de crédito",IF(AND(P2496="Gasto",E2496="Depósitos y retiros"),"⚠ Usa tipo Transferencia",IF(AND(P2496="Resultado trading",AD2496&lt;&gt;"Cuenta de trading"),"⚠ Usa una cuenta de trading",IF(AND(G2496&lt;=0,P2496&lt;&gt;"Ajuste",P2496&lt;&gt;"Resultado trading"),"⚠ El monto debe ser positivo","✓")))))))))))))))</f>
        <v/>
      </c>
      <c r="P2496" s="52">
        <f>IF(OR(B2496="",G2496=""),"",IF(C2496="","Gasto",C2496))</f>
        <v/>
      </c>
      <c r="Q2496" s="52">
        <f>IF(P2496="","",IF(J2496&lt;&gt;"",J2496,CuentaPred&amp;""))</f>
        <v/>
      </c>
      <c r="R2496" s="52">
        <f>IF(P2496="","",IF(ISNUMBER(I2496),I2496,TasaUSD))</f>
        <v/>
      </c>
      <c r="S2496" s="53">
        <f>IF(P2496="","",IF(H2496="USD",G2496*R2496,G2496))</f>
        <v/>
      </c>
      <c r="T2496" s="53">
        <f>IF(P2496="","",IF(H2496="USD",G2496,IF(R2496&gt;0,G2496/R2496,0)))</f>
        <v/>
      </c>
      <c r="U2496" s="53">
        <f>IF(P2496="","",IF(P2496="Gasto",S2496,IF(P2496="Reembolso",-S2496,0)))</f>
        <v/>
      </c>
      <c r="V2496" s="53">
        <f>IF(P2496="","",IF(P2496="Ingreso",S2496,0))</f>
        <v/>
      </c>
      <c r="W2496" s="53">
        <f>IF(P2496="","",IF(P2496="Resultado trading",S2496,0))</f>
        <v/>
      </c>
      <c r="X2496" s="52">
        <f>IF(OR(P2496="Gasto",P2496="Reembolso"),IF(M2496&lt;&gt;"",M2496,IFERROR(INDEX(catClasif,MATCH(D2496&amp;"|"&amp;E2496,catClave,0))&amp;"","Variable")),"")</f>
        <v/>
      </c>
      <c r="Y2496" s="52">
        <f>IF(P2496="","",IFERROR(INDEX(catGrupo,MATCH(D2496&amp;"|"&amp;E2496,catClave,0))&amp;"",""))</f>
        <v/>
      </c>
      <c r="Z2496" s="52">
        <f>IF(P2496="","",WEEKDAY(B2496,2))</f>
        <v/>
      </c>
      <c r="AA2496" s="52">
        <f>IF(P2496="","",IF(AND(P2496="Gasto",X2496="Variable",D2496&lt;&gt;catTrading,S2496&gt;0,S2496&lt;=Umbral),1,0))</f>
        <v/>
      </c>
      <c r="AB2496" s="52">
        <f>IF(OR(P2496="",Q2496=""),"",IFERROR(IF(INDEX(ctaVinc,MATCH(Q2496,ctaNombre,0))&amp;""&lt;&gt;"",INDEX(ctaVinc,MATCH(Q2496,ctaNombre,0))&amp;"",Q2496),Q2496))</f>
        <v/>
      </c>
      <c r="AC2496" s="52">
        <f>IF(OR(K2496="",AND(P2496&lt;&gt;"Transferencia",P2496&lt;&gt;"Pago tarjeta")),"",IFERROR(IF(INDEX(ctaVinc,MATCH(K2496,ctaNombre,0))&amp;""&lt;&gt;"",INDEX(ctaVinc,MATCH(K2496,ctaNombre,0))&amp;"",K2496),K2496))</f>
        <v/>
      </c>
      <c r="AD2496" s="52">
        <f>IF(AB2496="","",IFERROR(INDEX(ctaTipo,MATCH(AB2496,ctaNombre,0))&amp;"",""))</f>
        <v/>
      </c>
      <c r="AE2496" s="52">
        <f>IF(AC2496="","",IFERROR(INDEX(ctaTipo,MATCH(AC2496,ctaNombre,0))&amp;"",""))</f>
        <v/>
      </c>
      <c r="AF2496" s="53">
        <f>IF(OR(P2496="",AB2496=""),"",IF(OR(P2496="Gasto",P2496="Transferencia",P2496="Pago tarjeta"),-1,1)*IF(IFERROR(INDEX(ctaMoneda,MATCH(AB2496,ctaNombre,0))&amp;"","DOP")="USD",T2496,S2496))</f>
        <v/>
      </c>
      <c r="AG2496" s="53">
        <f>IF(AC2496="","",IF(IFERROR(INDEX(ctaMoneda,MATCH(AC2496,ctaNombre,0))&amp;"","DOP")="USD",T2496,S2496))</f>
        <v/>
      </c>
      <c r="AH2496" s="53">
        <f>IF(P2496="","",IF(AND(AD2496&lt;&gt;"",COUNTIFS(tcTipo,AD2496,tcLiq,"Sí")&gt;0),IF(OR(P2496="Gasto",P2496="Transferencia",P2496="Pago tarjeta"),-1,1)*S2496,0)+IF(AND(AE2496&lt;&gt;"",COUNTIFS(tcTipo,AE2496,tcLiq,"Sí")&gt;0),S2496,0))</f>
        <v/>
      </c>
      <c r="AI2496" s="52">
        <f>IF(OR(L2496="",P2496=""),"",IF(COUNTIFS(L$6:L2496,L2496,P$6:P2496,"?*")=1,MAX(AI$5:AI2495)+1,""))</f>
        <v/>
      </c>
    </row>
    <row r="2497">
      <c r="B2497" s="47" t="n"/>
      <c r="C2497" s="48" t="n"/>
      <c r="D2497" s="48" t="n"/>
      <c r="E2497" s="48" t="n"/>
      <c r="F2497" s="48" t="n"/>
      <c r="G2497" s="49" t="n"/>
      <c r="H2497" s="48" t="n"/>
      <c r="I2497" s="50" t="n"/>
      <c r="J2497" s="48" t="n"/>
      <c r="K2497" s="48" t="n"/>
      <c r="L2497" s="48" t="n"/>
      <c r="M2497" s="48" t="n"/>
      <c r="N2497" s="48" t="n"/>
      <c r="O2497" s="51">
        <f>IF(AND(B2497="",G2497="",C2497="",D2497="",J2497=""),"",IF(B2497="","⚠ Falta fecha",IF(G2497="","⚠ Falta monto",IF(Q2497="","⚠ Falta cuenta",IF(ISNA(MATCH(Q2497,ctaNombre,0)),"⚠ Cuenta no registrada",IF(AND(OR(P2497="Gasto",P2497="Reembolso"),D2497=""),"⚠ Falta categoría",IF(AND(D2497&lt;&gt;"",E2497&lt;&gt;"",ISNA(MATCH(D2497&amp;"|"&amp;E2497,catClave,0))),"⚠ Subcategoría no corresponde",IF(AND(OR(P2497="Transferencia",P2497="Pago tarjeta"),K2497=""),"⚠ Falta cuenta destino",IF(AND(K2497&lt;&gt;"",P2497&lt;&gt;"Transferencia",P2497&lt;&gt;"Pago tarjeta"),"⚠ Destino solo aplica a transferencias",IF(AND(K2497&lt;&gt;"",K2497=Q2497),"⚠ Origen igual a destino",IF(AND(K2497&lt;&gt;"",ISNA(MATCH(K2497,ctaNombre,0))),"⚠ Destino no registrado",IF(AND(P2497="Pago tarjeta",AE2497&lt;&gt;"Tarjeta de crédito"),"⚠ El destino debe ser tarjeta de crédito",IF(AND(P2497="Gasto",E2497="Depósitos y retiros"),"⚠ Usa tipo Transferencia",IF(AND(P2497="Resultado trading",AD2497&lt;&gt;"Cuenta de trading"),"⚠ Usa una cuenta de trading",IF(AND(G2497&lt;=0,P2497&lt;&gt;"Ajuste",P2497&lt;&gt;"Resultado trading"),"⚠ El monto debe ser positivo","✓")))))))))))))))</f>
        <v/>
      </c>
      <c r="P2497" s="52">
        <f>IF(OR(B2497="",G2497=""),"",IF(C2497="","Gasto",C2497))</f>
        <v/>
      </c>
      <c r="Q2497" s="52">
        <f>IF(P2497="","",IF(J2497&lt;&gt;"",J2497,CuentaPred&amp;""))</f>
        <v/>
      </c>
      <c r="R2497" s="52">
        <f>IF(P2497="","",IF(ISNUMBER(I2497),I2497,TasaUSD))</f>
        <v/>
      </c>
      <c r="S2497" s="53">
        <f>IF(P2497="","",IF(H2497="USD",G2497*R2497,G2497))</f>
        <v/>
      </c>
      <c r="T2497" s="53">
        <f>IF(P2497="","",IF(H2497="USD",G2497,IF(R2497&gt;0,G2497/R2497,0)))</f>
        <v/>
      </c>
      <c r="U2497" s="53">
        <f>IF(P2497="","",IF(P2497="Gasto",S2497,IF(P2497="Reembolso",-S2497,0)))</f>
        <v/>
      </c>
      <c r="V2497" s="53">
        <f>IF(P2497="","",IF(P2497="Ingreso",S2497,0))</f>
        <v/>
      </c>
      <c r="W2497" s="53">
        <f>IF(P2497="","",IF(P2497="Resultado trading",S2497,0))</f>
        <v/>
      </c>
      <c r="X2497" s="52">
        <f>IF(OR(P2497="Gasto",P2497="Reembolso"),IF(M2497&lt;&gt;"",M2497,IFERROR(INDEX(catClasif,MATCH(D2497&amp;"|"&amp;E2497,catClave,0))&amp;"","Variable")),"")</f>
        <v/>
      </c>
      <c r="Y2497" s="52">
        <f>IF(P2497="","",IFERROR(INDEX(catGrupo,MATCH(D2497&amp;"|"&amp;E2497,catClave,0))&amp;"",""))</f>
        <v/>
      </c>
      <c r="Z2497" s="52">
        <f>IF(P2497="","",WEEKDAY(B2497,2))</f>
        <v/>
      </c>
      <c r="AA2497" s="52">
        <f>IF(P2497="","",IF(AND(P2497="Gasto",X2497="Variable",D2497&lt;&gt;catTrading,S2497&gt;0,S2497&lt;=Umbral),1,0))</f>
        <v/>
      </c>
      <c r="AB2497" s="52">
        <f>IF(OR(P2497="",Q2497=""),"",IFERROR(IF(INDEX(ctaVinc,MATCH(Q2497,ctaNombre,0))&amp;""&lt;&gt;"",INDEX(ctaVinc,MATCH(Q2497,ctaNombre,0))&amp;"",Q2497),Q2497))</f>
        <v/>
      </c>
      <c r="AC2497" s="52">
        <f>IF(OR(K2497="",AND(P2497&lt;&gt;"Transferencia",P2497&lt;&gt;"Pago tarjeta")),"",IFERROR(IF(INDEX(ctaVinc,MATCH(K2497,ctaNombre,0))&amp;""&lt;&gt;"",INDEX(ctaVinc,MATCH(K2497,ctaNombre,0))&amp;"",K2497),K2497))</f>
        <v/>
      </c>
      <c r="AD2497" s="52">
        <f>IF(AB2497="","",IFERROR(INDEX(ctaTipo,MATCH(AB2497,ctaNombre,0))&amp;"",""))</f>
        <v/>
      </c>
      <c r="AE2497" s="52">
        <f>IF(AC2497="","",IFERROR(INDEX(ctaTipo,MATCH(AC2497,ctaNombre,0))&amp;"",""))</f>
        <v/>
      </c>
      <c r="AF2497" s="53">
        <f>IF(OR(P2497="",AB2497=""),"",IF(OR(P2497="Gasto",P2497="Transferencia",P2497="Pago tarjeta"),-1,1)*IF(IFERROR(INDEX(ctaMoneda,MATCH(AB2497,ctaNombre,0))&amp;"","DOP")="USD",T2497,S2497))</f>
        <v/>
      </c>
      <c r="AG2497" s="53">
        <f>IF(AC2497="","",IF(IFERROR(INDEX(ctaMoneda,MATCH(AC2497,ctaNombre,0))&amp;"","DOP")="USD",T2497,S2497))</f>
        <v/>
      </c>
      <c r="AH2497" s="53">
        <f>IF(P2497="","",IF(AND(AD2497&lt;&gt;"",COUNTIFS(tcTipo,AD2497,tcLiq,"Sí")&gt;0),IF(OR(P2497="Gasto",P2497="Transferencia",P2497="Pago tarjeta"),-1,1)*S2497,0)+IF(AND(AE2497&lt;&gt;"",COUNTIFS(tcTipo,AE2497,tcLiq,"Sí")&gt;0),S2497,0))</f>
        <v/>
      </c>
      <c r="AI2497" s="52">
        <f>IF(OR(L2497="",P2497=""),"",IF(COUNTIFS(L$6:L2497,L2497,P$6:P2497,"?*")=1,MAX(AI$5:AI2496)+1,""))</f>
        <v/>
      </c>
    </row>
    <row r="2498">
      <c r="B2498" s="47" t="n"/>
      <c r="C2498" s="48" t="n"/>
      <c r="D2498" s="48" t="n"/>
      <c r="E2498" s="48" t="n"/>
      <c r="F2498" s="48" t="n"/>
      <c r="G2498" s="49" t="n"/>
      <c r="H2498" s="48" t="n"/>
      <c r="I2498" s="50" t="n"/>
      <c r="J2498" s="48" t="n"/>
      <c r="K2498" s="48" t="n"/>
      <c r="L2498" s="48" t="n"/>
      <c r="M2498" s="48" t="n"/>
      <c r="N2498" s="48" t="n"/>
      <c r="O2498" s="51">
        <f>IF(AND(B2498="",G2498="",C2498="",D2498="",J2498=""),"",IF(B2498="","⚠ Falta fecha",IF(G2498="","⚠ Falta monto",IF(Q2498="","⚠ Falta cuenta",IF(ISNA(MATCH(Q2498,ctaNombre,0)),"⚠ Cuenta no registrada",IF(AND(OR(P2498="Gasto",P2498="Reembolso"),D2498=""),"⚠ Falta categoría",IF(AND(D2498&lt;&gt;"",E2498&lt;&gt;"",ISNA(MATCH(D2498&amp;"|"&amp;E2498,catClave,0))),"⚠ Subcategoría no corresponde",IF(AND(OR(P2498="Transferencia",P2498="Pago tarjeta"),K2498=""),"⚠ Falta cuenta destino",IF(AND(K2498&lt;&gt;"",P2498&lt;&gt;"Transferencia",P2498&lt;&gt;"Pago tarjeta"),"⚠ Destino solo aplica a transferencias",IF(AND(K2498&lt;&gt;"",K2498=Q2498),"⚠ Origen igual a destino",IF(AND(K2498&lt;&gt;"",ISNA(MATCH(K2498,ctaNombre,0))),"⚠ Destino no registrado",IF(AND(P2498="Pago tarjeta",AE2498&lt;&gt;"Tarjeta de crédito"),"⚠ El destino debe ser tarjeta de crédito",IF(AND(P2498="Gasto",E2498="Depósitos y retiros"),"⚠ Usa tipo Transferencia",IF(AND(P2498="Resultado trading",AD2498&lt;&gt;"Cuenta de trading"),"⚠ Usa una cuenta de trading",IF(AND(G2498&lt;=0,P2498&lt;&gt;"Ajuste",P2498&lt;&gt;"Resultado trading"),"⚠ El monto debe ser positivo","✓")))))))))))))))</f>
        <v/>
      </c>
      <c r="P2498" s="52">
        <f>IF(OR(B2498="",G2498=""),"",IF(C2498="","Gasto",C2498))</f>
        <v/>
      </c>
      <c r="Q2498" s="52">
        <f>IF(P2498="","",IF(J2498&lt;&gt;"",J2498,CuentaPred&amp;""))</f>
        <v/>
      </c>
      <c r="R2498" s="52">
        <f>IF(P2498="","",IF(ISNUMBER(I2498),I2498,TasaUSD))</f>
        <v/>
      </c>
      <c r="S2498" s="53">
        <f>IF(P2498="","",IF(H2498="USD",G2498*R2498,G2498))</f>
        <v/>
      </c>
      <c r="T2498" s="53">
        <f>IF(P2498="","",IF(H2498="USD",G2498,IF(R2498&gt;0,G2498/R2498,0)))</f>
        <v/>
      </c>
      <c r="U2498" s="53">
        <f>IF(P2498="","",IF(P2498="Gasto",S2498,IF(P2498="Reembolso",-S2498,0)))</f>
        <v/>
      </c>
      <c r="V2498" s="53">
        <f>IF(P2498="","",IF(P2498="Ingreso",S2498,0))</f>
        <v/>
      </c>
      <c r="W2498" s="53">
        <f>IF(P2498="","",IF(P2498="Resultado trading",S2498,0))</f>
        <v/>
      </c>
      <c r="X2498" s="52">
        <f>IF(OR(P2498="Gasto",P2498="Reembolso"),IF(M2498&lt;&gt;"",M2498,IFERROR(INDEX(catClasif,MATCH(D2498&amp;"|"&amp;E2498,catClave,0))&amp;"","Variable")),"")</f>
        <v/>
      </c>
      <c r="Y2498" s="52">
        <f>IF(P2498="","",IFERROR(INDEX(catGrupo,MATCH(D2498&amp;"|"&amp;E2498,catClave,0))&amp;"",""))</f>
        <v/>
      </c>
      <c r="Z2498" s="52">
        <f>IF(P2498="","",WEEKDAY(B2498,2))</f>
        <v/>
      </c>
      <c r="AA2498" s="52">
        <f>IF(P2498="","",IF(AND(P2498="Gasto",X2498="Variable",D2498&lt;&gt;catTrading,S2498&gt;0,S2498&lt;=Umbral),1,0))</f>
        <v/>
      </c>
      <c r="AB2498" s="52">
        <f>IF(OR(P2498="",Q2498=""),"",IFERROR(IF(INDEX(ctaVinc,MATCH(Q2498,ctaNombre,0))&amp;""&lt;&gt;"",INDEX(ctaVinc,MATCH(Q2498,ctaNombre,0))&amp;"",Q2498),Q2498))</f>
        <v/>
      </c>
      <c r="AC2498" s="52">
        <f>IF(OR(K2498="",AND(P2498&lt;&gt;"Transferencia",P2498&lt;&gt;"Pago tarjeta")),"",IFERROR(IF(INDEX(ctaVinc,MATCH(K2498,ctaNombre,0))&amp;""&lt;&gt;"",INDEX(ctaVinc,MATCH(K2498,ctaNombre,0))&amp;"",K2498),K2498))</f>
        <v/>
      </c>
      <c r="AD2498" s="52">
        <f>IF(AB2498="","",IFERROR(INDEX(ctaTipo,MATCH(AB2498,ctaNombre,0))&amp;"",""))</f>
        <v/>
      </c>
      <c r="AE2498" s="52">
        <f>IF(AC2498="","",IFERROR(INDEX(ctaTipo,MATCH(AC2498,ctaNombre,0))&amp;"",""))</f>
        <v/>
      </c>
      <c r="AF2498" s="53">
        <f>IF(OR(P2498="",AB2498=""),"",IF(OR(P2498="Gasto",P2498="Transferencia",P2498="Pago tarjeta"),-1,1)*IF(IFERROR(INDEX(ctaMoneda,MATCH(AB2498,ctaNombre,0))&amp;"","DOP")="USD",T2498,S2498))</f>
        <v/>
      </c>
      <c r="AG2498" s="53">
        <f>IF(AC2498="","",IF(IFERROR(INDEX(ctaMoneda,MATCH(AC2498,ctaNombre,0))&amp;"","DOP")="USD",T2498,S2498))</f>
        <v/>
      </c>
      <c r="AH2498" s="53">
        <f>IF(P2498="","",IF(AND(AD2498&lt;&gt;"",COUNTIFS(tcTipo,AD2498,tcLiq,"Sí")&gt;0),IF(OR(P2498="Gasto",P2498="Transferencia",P2498="Pago tarjeta"),-1,1)*S2498,0)+IF(AND(AE2498&lt;&gt;"",COUNTIFS(tcTipo,AE2498,tcLiq,"Sí")&gt;0),S2498,0))</f>
        <v/>
      </c>
      <c r="AI2498" s="52">
        <f>IF(OR(L2498="",P2498=""),"",IF(COUNTIFS(L$6:L2498,L2498,P$6:P2498,"?*")=1,MAX(AI$5:AI2497)+1,""))</f>
        <v/>
      </c>
    </row>
    <row r="2499">
      <c r="B2499" s="47" t="n"/>
      <c r="C2499" s="48" t="n"/>
      <c r="D2499" s="48" t="n"/>
      <c r="E2499" s="48" t="n"/>
      <c r="F2499" s="48" t="n"/>
      <c r="G2499" s="49" t="n"/>
      <c r="H2499" s="48" t="n"/>
      <c r="I2499" s="50" t="n"/>
      <c r="J2499" s="48" t="n"/>
      <c r="K2499" s="48" t="n"/>
      <c r="L2499" s="48" t="n"/>
      <c r="M2499" s="48" t="n"/>
      <c r="N2499" s="48" t="n"/>
      <c r="O2499" s="51">
        <f>IF(AND(B2499="",G2499="",C2499="",D2499="",J2499=""),"",IF(B2499="","⚠ Falta fecha",IF(G2499="","⚠ Falta monto",IF(Q2499="","⚠ Falta cuenta",IF(ISNA(MATCH(Q2499,ctaNombre,0)),"⚠ Cuenta no registrada",IF(AND(OR(P2499="Gasto",P2499="Reembolso"),D2499=""),"⚠ Falta categoría",IF(AND(D2499&lt;&gt;"",E2499&lt;&gt;"",ISNA(MATCH(D2499&amp;"|"&amp;E2499,catClave,0))),"⚠ Subcategoría no corresponde",IF(AND(OR(P2499="Transferencia",P2499="Pago tarjeta"),K2499=""),"⚠ Falta cuenta destino",IF(AND(K2499&lt;&gt;"",P2499&lt;&gt;"Transferencia",P2499&lt;&gt;"Pago tarjeta"),"⚠ Destino solo aplica a transferencias",IF(AND(K2499&lt;&gt;"",K2499=Q2499),"⚠ Origen igual a destino",IF(AND(K2499&lt;&gt;"",ISNA(MATCH(K2499,ctaNombre,0))),"⚠ Destino no registrado",IF(AND(P2499="Pago tarjeta",AE2499&lt;&gt;"Tarjeta de crédito"),"⚠ El destino debe ser tarjeta de crédito",IF(AND(P2499="Gasto",E2499="Depósitos y retiros"),"⚠ Usa tipo Transferencia",IF(AND(P2499="Resultado trading",AD2499&lt;&gt;"Cuenta de trading"),"⚠ Usa una cuenta de trading",IF(AND(G2499&lt;=0,P2499&lt;&gt;"Ajuste",P2499&lt;&gt;"Resultado trading"),"⚠ El monto debe ser positivo","✓")))))))))))))))</f>
        <v/>
      </c>
      <c r="P2499" s="52">
        <f>IF(OR(B2499="",G2499=""),"",IF(C2499="","Gasto",C2499))</f>
        <v/>
      </c>
      <c r="Q2499" s="52">
        <f>IF(P2499="","",IF(J2499&lt;&gt;"",J2499,CuentaPred&amp;""))</f>
        <v/>
      </c>
      <c r="R2499" s="52">
        <f>IF(P2499="","",IF(ISNUMBER(I2499),I2499,TasaUSD))</f>
        <v/>
      </c>
      <c r="S2499" s="53">
        <f>IF(P2499="","",IF(H2499="USD",G2499*R2499,G2499))</f>
        <v/>
      </c>
      <c r="T2499" s="53">
        <f>IF(P2499="","",IF(H2499="USD",G2499,IF(R2499&gt;0,G2499/R2499,0)))</f>
        <v/>
      </c>
      <c r="U2499" s="53">
        <f>IF(P2499="","",IF(P2499="Gasto",S2499,IF(P2499="Reembolso",-S2499,0)))</f>
        <v/>
      </c>
      <c r="V2499" s="53">
        <f>IF(P2499="","",IF(P2499="Ingreso",S2499,0))</f>
        <v/>
      </c>
      <c r="W2499" s="53">
        <f>IF(P2499="","",IF(P2499="Resultado trading",S2499,0))</f>
        <v/>
      </c>
      <c r="X2499" s="52">
        <f>IF(OR(P2499="Gasto",P2499="Reembolso"),IF(M2499&lt;&gt;"",M2499,IFERROR(INDEX(catClasif,MATCH(D2499&amp;"|"&amp;E2499,catClave,0))&amp;"","Variable")),"")</f>
        <v/>
      </c>
      <c r="Y2499" s="52">
        <f>IF(P2499="","",IFERROR(INDEX(catGrupo,MATCH(D2499&amp;"|"&amp;E2499,catClave,0))&amp;"",""))</f>
        <v/>
      </c>
      <c r="Z2499" s="52">
        <f>IF(P2499="","",WEEKDAY(B2499,2))</f>
        <v/>
      </c>
      <c r="AA2499" s="52">
        <f>IF(P2499="","",IF(AND(P2499="Gasto",X2499="Variable",D2499&lt;&gt;catTrading,S2499&gt;0,S2499&lt;=Umbral),1,0))</f>
        <v/>
      </c>
      <c r="AB2499" s="52">
        <f>IF(OR(P2499="",Q2499=""),"",IFERROR(IF(INDEX(ctaVinc,MATCH(Q2499,ctaNombre,0))&amp;""&lt;&gt;"",INDEX(ctaVinc,MATCH(Q2499,ctaNombre,0))&amp;"",Q2499),Q2499))</f>
        <v/>
      </c>
      <c r="AC2499" s="52">
        <f>IF(OR(K2499="",AND(P2499&lt;&gt;"Transferencia",P2499&lt;&gt;"Pago tarjeta")),"",IFERROR(IF(INDEX(ctaVinc,MATCH(K2499,ctaNombre,0))&amp;""&lt;&gt;"",INDEX(ctaVinc,MATCH(K2499,ctaNombre,0))&amp;"",K2499),K2499))</f>
        <v/>
      </c>
      <c r="AD2499" s="52">
        <f>IF(AB2499="","",IFERROR(INDEX(ctaTipo,MATCH(AB2499,ctaNombre,0))&amp;"",""))</f>
        <v/>
      </c>
      <c r="AE2499" s="52">
        <f>IF(AC2499="","",IFERROR(INDEX(ctaTipo,MATCH(AC2499,ctaNombre,0))&amp;"",""))</f>
        <v/>
      </c>
      <c r="AF2499" s="53">
        <f>IF(OR(P2499="",AB2499=""),"",IF(OR(P2499="Gasto",P2499="Transferencia",P2499="Pago tarjeta"),-1,1)*IF(IFERROR(INDEX(ctaMoneda,MATCH(AB2499,ctaNombre,0))&amp;"","DOP")="USD",T2499,S2499))</f>
        <v/>
      </c>
      <c r="AG2499" s="53">
        <f>IF(AC2499="","",IF(IFERROR(INDEX(ctaMoneda,MATCH(AC2499,ctaNombre,0))&amp;"","DOP")="USD",T2499,S2499))</f>
        <v/>
      </c>
      <c r="AH2499" s="53">
        <f>IF(P2499="","",IF(AND(AD2499&lt;&gt;"",COUNTIFS(tcTipo,AD2499,tcLiq,"Sí")&gt;0),IF(OR(P2499="Gasto",P2499="Transferencia",P2499="Pago tarjeta"),-1,1)*S2499,0)+IF(AND(AE2499&lt;&gt;"",COUNTIFS(tcTipo,AE2499,tcLiq,"Sí")&gt;0),S2499,0))</f>
        <v/>
      </c>
      <c r="AI2499" s="52">
        <f>IF(OR(L2499="",P2499=""),"",IF(COUNTIFS(L$6:L2499,L2499,P$6:P2499,"?*")=1,MAX(AI$5:AI2498)+1,""))</f>
        <v/>
      </c>
    </row>
    <row r="2500">
      <c r="B2500" s="47" t="n"/>
      <c r="C2500" s="48" t="n"/>
      <c r="D2500" s="48" t="n"/>
      <c r="E2500" s="48" t="n"/>
      <c r="F2500" s="48" t="n"/>
      <c r="G2500" s="49" t="n"/>
      <c r="H2500" s="48" t="n"/>
      <c r="I2500" s="50" t="n"/>
      <c r="J2500" s="48" t="n"/>
      <c r="K2500" s="48" t="n"/>
      <c r="L2500" s="48" t="n"/>
      <c r="M2500" s="48" t="n"/>
      <c r="N2500" s="48" t="n"/>
      <c r="O2500" s="51">
        <f>IF(AND(B2500="",G2500="",C2500="",D2500="",J2500=""),"",IF(B2500="","⚠ Falta fecha",IF(G2500="","⚠ Falta monto",IF(Q2500="","⚠ Falta cuenta",IF(ISNA(MATCH(Q2500,ctaNombre,0)),"⚠ Cuenta no registrada",IF(AND(OR(P2500="Gasto",P2500="Reembolso"),D2500=""),"⚠ Falta categoría",IF(AND(D2500&lt;&gt;"",E2500&lt;&gt;"",ISNA(MATCH(D2500&amp;"|"&amp;E2500,catClave,0))),"⚠ Subcategoría no corresponde",IF(AND(OR(P2500="Transferencia",P2500="Pago tarjeta"),K2500=""),"⚠ Falta cuenta destino",IF(AND(K2500&lt;&gt;"",P2500&lt;&gt;"Transferencia",P2500&lt;&gt;"Pago tarjeta"),"⚠ Destino solo aplica a transferencias",IF(AND(K2500&lt;&gt;"",K2500=Q2500),"⚠ Origen igual a destino",IF(AND(K2500&lt;&gt;"",ISNA(MATCH(K2500,ctaNombre,0))),"⚠ Destino no registrado",IF(AND(P2500="Pago tarjeta",AE2500&lt;&gt;"Tarjeta de crédito"),"⚠ El destino debe ser tarjeta de crédito",IF(AND(P2500="Gasto",E2500="Depósitos y retiros"),"⚠ Usa tipo Transferencia",IF(AND(P2500="Resultado trading",AD2500&lt;&gt;"Cuenta de trading"),"⚠ Usa una cuenta de trading",IF(AND(G2500&lt;=0,P2500&lt;&gt;"Ajuste",P2500&lt;&gt;"Resultado trading"),"⚠ El monto debe ser positivo","✓")))))))))))))))</f>
        <v/>
      </c>
      <c r="P2500" s="52">
        <f>IF(OR(B2500="",G2500=""),"",IF(C2500="","Gasto",C2500))</f>
        <v/>
      </c>
      <c r="Q2500" s="52">
        <f>IF(P2500="","",IF(J2500&lt;&gt;"",J2500,CuentaPred&amp;""))</f>
        <v/>
      </c>
      <c r="R2500" s="52">
        <f>IF(P2500="","",IF(ISNUMBER(I2500),I2500,TasaUSD))</f>
        <v/>
      </c>
      <c r="S2500" s="53">
        <f>IF(P2500="","",IF(H2500="USD",G2500*R2500,G2500))</f>
        <v/>
      </c>
      <c r="T2500" s="53">
        <f>IF(P2500="","",IF(H2500="USD",G2500,IF(R2500&gt;0,G2500/R2500,0)))</f>
        <v/>
      </c>
      <c r="U2500" s="53">
        <f>IF(P2500="","",IF(P2500="Gasto",S2500,IF(P2500="Reembolso",-S2500,0)))</f>
        <v/>
      </c>
      <c r="V2500" s="53">
        <f>IF(P2500="","",IF(P2500="Ingreso",S2500,0))</f>
        <v/>
      </c>
      <c r="W2500" s="53">
        <f>IF(P2500="","",IF(P2500="Resultado trading",S2500,0))</f>
        <v/>
      </c>
      <c r="X2500" s="52">
        <f>IF(OR(P2500="Gasto",P2500="Reembolso"),IF(M2500&lt;&gt;"",M2500,IFERROR(INDEX(catClasif,MATCH(D2500&amp;"|"&amp;E2500,catClave,0))&amp;"","Variable")),"")</f>
        <v/>
      </c>
      <c r="Y2500" s="52">
        <f>IF(P2500="","",IFERROR(INDEX(catGrupo,MATCH(D2500&amp;"|"&amp;E2500,catClave,0))&amp;"",""))</f>
        <v/>
      </c>
      <c r="Z2500" s="52">
        <f>IF(P2500="","",WEEKDAY(B2500,2))</f>
        <v/>
      </c>
      <c r="AA2500" s="52">
        <f>IF(P2500="","",IF(AND(P2500="Gasto",X2500="Variable",D2500&lt;&gt;catTrading,S2500&gt;0,S2500&lt;=Umbral),1,0))</f>
        <v/>
      </c>
      <c r="AB2500" s="52">
        <f>IF(OR(P2500="",Q2500=""),"",IFERROR(IF(INDEX(ctaVinc,MATCH(Q2500,ctaNombre,0))&amp;""&lt;&gt;"",INDEX(ctaVinc,MATCH(Q2500,ctaNombre,0))&amp;"",Q2500),Q2500))</f>
        <v/>
      </c>
      <c r="AC2500" s="52">
        <f>IF(OR(K2500="",AND(P2500&lt;&gt;"Transferencia",P2500&lt;&gt;"Pago tarjeta")),"",IFERROR(IF(INDEX(ctaVinc,MATCH(K2500,ctaNombre,0))&amp;""&lt;&gt;"",INDEX(ctaVinc,MATCH(K2500,ctaNombre,0))&amp;"",K2500),K2500))</f>
        <v/>
      </c>
      <c r="AD2500" s="52">
        <f>IF(AB2500="","",IFERROR(INDEX(ctaTipo,MATCH(AB2500,ctaNombre,0))&amp;"",""))</f>
        <v/>
      </c>
      <c r="AE2500" s="52">
        <f>IF(AC2500="","",IFERROR(INDEX(ctaTipo,MATCH(AC2500,ctaNombre,0))&amp;"",""))</f>
        <v/>
      </c>
      <c r="AF2500" s="53">
        <f>IF(OR(P2500="",AB2500=""),"",IF(OR(P2500="Gasto",P2500="Transferencia",P2500="Pago tarjeta"),-1,1)*IF(IFERROR(INDEX(ctaMoneda,MATCH(AB2500,ctaNombre,0))&amp;"","DOP")="USD",T2500,S2500))</f>
        <v/>
      </c>
      <c r="AG2500" s="53">
        <f>IF(AC2500="","",IF(IFERROR(INDEX(ctaMoneda,MATCH(AC2500,ctaNombre,0))&amp;"","DOP")="USD",T2500,S2500))</f>
        <v/>
      </c>
      <c r="AH2500" s="53">
        <f>IF(P2500="","",IF(AND(AD2500&lt;&gt;"",COUNTIFS(tcTipo,AD2500,tcLiq,"Sí")&gt;0),IF(OR(P2500="Gasto",P2500="Transferencia",P2500="Pago tarjeta"),-1,1)*S2500,0)+IF(AND(AE2500&lt;&gt;"",COUNTIFS(tcTipo,AE2500,tcLiq,"Sí")&gt;0),S2500,0))</f>
        <v/>
      </c>
      <c r="AI2500" s="52">
        <f>IF(OR(L2500="",P2500=""),"",IF(COUNTIFS(L$6:L2500,L2500,P$6:P2500,"?*")=1,MAX(AI$5:AI2499)+1,""))</f>
        <v/>
      </c>
    </row>
    <row r="2501">
      <c r="B2501" s="47" t="n"/>
      <c r="C2501" s="48" t="n"/>
      <c r="D2501" s="48" t="n"/>
      <c r="E2501" s="48" t="n"/>
      <c r="F2501" s="48" t="n"/>
      <c r="G2501" s="49" t="n"/>
      <c r="H2501" s="48" t="n"/>
      <c r="I2501" s="50" t="n"/>
      <c r="J2501" s="48" t="n"/>
      <c r="K2501" s="48" t="n"/>
      <c r="L2501" s="48" t="n"/>
      <c r="M2501" s="48" t="n"/>
      <c r="N2501" s="48" t="n"/>
      <c r="O2501" s="51">
        <f>IF(AND(B2501="",G2501="",C2501="",D2501="",J2501=""),"",IF(B2501="","⚠ Falta fecha",IF(G2501="","⚠ Falta monto",IF(Q2501="","⚠ Falta cuenta",IF(ISNA(MATCH(Q2501,ctaNombre,0)),"⚠ Cuenta no registrada",IF(AND(OR(P2501="Gasto",P2501="Reembolso"),D2501=""),"⚠ Falta categoría",IF(AND(D2501&lt;&gt;"",E2501&lt;&gt;"",ISNA(MATCH(D2501&amp;"|"&amp;E2501,catClave,0))),"⚠ Subcategoría no corresponde",IF(AND(OR(P2501="Transferencia",P2501="Pago tarjeta"),K2501=""),"⚠ Falta cuenta destino",IF(AND(K2501&lt;&gt;"",P2501&lt;&gt;"Transferencia",P2501&lt;&gt;"Pago tarjeta"),"⚠ Destino solo aplica a transferencias",IF(AND(K2501&lt;&gt;"",K2501=Q2501),"⚠ Origen igual a destino",IF(AND(K2501&lt;&gt;"",ISNA(MATCH(K2501,ctaNombre,0))),"⚠ Destino no registrado",IF(AND(P2501="Pago tarjeta",AE2501&lt;&gt;"Tarjeta de crédito"),"⚠ El destino debe ser tarjeta de crédito",IF(AND(P2501="Gasto",E2501="Depósitos y retiros"),"⚠ Usa tipo Transferencia",IF(AND(P2501="Resultado trading",AD2501&lt;&gt;"Cuenta de trading"),"⚠ Usa una cuenta de trading",IF(AND(G2501&lt;=0,P2501&lt;&gt;"Ajuste",P2501&lt;&gt;"Resultado trading"),"⚠ El monto debe ser positivo","✓")))))))))))))))</f>
        <v/>
      </c>
      <c r="P2501" s="52">
        <f>IF(OR(B2501="",G2501=""),"",IF(C2501="","Gasto",C2501))</f>
        <v/>
      </c>
      <c r="Q2501" s="52">
        <f>IF(P2501="","",IF(J2501&lt;&gt;"",J2501,CuentaPred&amp;""))</f>
        <v/>
      </c>
      <c r="R2501" s="52">
        <f>IF(P2501="","",IF(ISNUMBER(I2501),I2501,TasaUSD))</f>
        <v/>
      </c>
      <c r="S2501" s="53">
        <f>IF(P2501="","",IF(H2501="USD",G2501*R2501,G2501))</f>
        <v/>
      </c>
      <c r="T2501" s="53">
        <f>IF(P2501="","",IF(H2501="USD",G2501,IF(R2501&gt;0,G2501/R2501,0)))</f>
        <v/>
      </c>
      <c r="U2501" s="53">
        <f>IF(P2501="","",IF(P2501="Gasto",S2501,IF(P2501="Reembolso",-S2501,0)))</f>
        <v/>
      </c>
      <c r="V2501" s="53">
        <f>IF(P2501="","",IF(P2501="Ingreso",S2501,0))</f>
        <v/>
      </c>
      <c r="W2501" s="53">
        <f>IF(P2501="","",IF(P2501="Resultado trading",S2501,0))</f>
        <v/>
      </c>
      <c r="X2501" s="52">
        <f>IF(OR(P2501="Gasto",P2501="Reembolso"),IF(M2501&lt;&gt;"",M2501,IFERROR(INDEX(catClasif,MATCH(D2501&amp;"|"&amp;E2501,catClave,0))&amp;"","Variable")),"")</f>
        <v/>
      </c>
      <c r="Y2501" s="52">
        <f>IF(P2501="","",IFERROR(INDEX(catGrupo,MATCH(D2501&amp;"|"&amp;E2501,catClave,0))&amp;"",""))</f>
        <v/>
      </c>
      <c r="Z2501" s="52">
        <f>IF(P2501="","",WEEKDAY(B2501,2))</f>
        <v/>
      </c>
      <c r="AA2501" s="52">
        <f>IF(P2501="","",IF(AND(P2501="Gasto",X2501="Variable",D2501&lt;&gt;catTrading,S2501&gt;0,S2501&lt;=Umbral),1,0))</f>
        <v/>
      </c>
      <c r="AB2501" s="52">
        <f>IF(OR(P2501="",Q2501=""),"",IFERROR(IF(INDEX(ctaVinc,MATCH(Q2501,ctaNombre,0))&amp;""&lt;&gt;"",INDEX(ctaVinc,MATCH(Q2501,ctaNombre,0))&amp;"",Q2501),Q2501))</f>
        <v/>
      </c>
      <c r="AC2501" s="52">
        <f>IF(OR(K2501="",AND(P2501&lt;&gt;"Transferencia",P2501&lt;&gt;"Pago tarjeta")),"",IFERROR(IF(INDEX(ctaVinc,MATCH(K2501,ctaNombre,0))&amp;""&lt;&gt;"",INDEX(ctaVinc,MATCH(K2501,ctaNombre,0))&amp;"",K2501),K2501))</f>
        <v/>
      </c>
      <c r="AD2501" s="52">
        <f>IF(AB2501="","",IFERROR(INDEX(ctaTipo,MATCH(AB2501,ctaNombre,0))&amp;"",""))</f>
        <v/>
      </c>
      <c r="AE2501" s="52">
        <f>IF(AC2501="","",IFERROR(INDEX(ctaTipo,MATCH(AC2501,ctaNombre,0))&amp;"",""))</f>
        <v/>
      </c>
      <c r="AF2501" s="53">
        <f>IF(OR(P2501="",AB2501=""),"",IF(OR(P2501="Gasto",P2501="Transferencia",P2501="Pago tarjeta"),-1,1)*IF(IFERROR(INDEX(ctaMoneda,MATCH(AB2501,ctaNombre,0))&amp;"","DOP")="USD",T2501,S2501))</f>
        <v/>
      </c>
      <c r="AG2501" s="53">
        <f>IF(AC2501="","",IF(IFERROR(INDEX(ctaMoneda,MATCH(AC2501,ctaNombre,0))&amp;"","DOP")="USD",T2501,S2501))</f>
        <v/>
      </c>
      <c r="AH2501" s="53">
        <f>IF(P2501="","",IF(AND(AD2501&lt;&gt;"",COUNTIFS(tcTipo,AD2501,tcLiq,"Sí")&gt;0),IF(OR(P2501="Gasto",P2501="Transferencia",P2501="Pago tarjeta"),-1,1)*S2501,0)+IF(AND(AE2501&lt;&gt;"",COUNTIFS(tcTipo,AE2501,tcLiq,"Sí")&gt;0),S2501,0))</f>
        <v/>
      </c>
      <c r="AI2501" s="52">
        <f>IF(OR(L2501="",P2501=""),"",IF(COUNTIFS(L$6:L2501,L2501,P$6:P2501,"?*")=1,MAX(AI$5:AI2500)+1,""))</f>
        <v/>
      </c>
    </row>
    <row r="2502">
      <c r="B2502" s="47" t="n"/>
      <c r="C2502" s="48" t="n"/>
      <c r="D2502" s="48" t="n"/>
      <c r="E2502" s="48" t="n"/>
      <c r="F2502" s="48" t="n"/>
      <c r="G2502" s="49" t="n"/>
      <c r="H2502" s="48" t="n"/>
      <c r="I2502" s="50" t="n"/>
      <c r="J2502" s="48" t="n"/>
      <c r="K2502" s="48" t="n"/>
      <c r="L2502" s="48" t="n"/>
      <c r="M2502" s="48" t="n"/>
      <c r="N2502" s="48" t="n"/>
      <c r="O2502" s="51">
        <f>IF(AND(B2502="",G2502="",C2502="",D2502="",J2502=""),"",IF(B2502="","⚠ Falta fecha",IF(G2502="","⚠ Falta monto",IF(Q2502="","⚠ Falta cuenta",IF(ISNA(MATCH(Q2502,ctaNombre,0)),"⚠ Cuenta no registrada",IF(AND(OR(P2502="Gasto",P2502="Reembolso"),D2502=""),"⚠ Falta categoría",IF(AND(D2502&lt;&gt;"",E2502&lt;&gt;"",ISNA(MATCH(D2502&amp;"|"&amp;E2502,catClave,0))),"⚠ Subcategoría no corresponde",IF(AND(OR(P2502="Transferencia",P2502="Pago tarjeta"),K2502=""),"⚠ Falta cuenta destino",IF(AND(K2502&lt;&gt;"",P2502&lt;&gt;"Transferencia",P2502&lt;&gt;"Pago tarjeta"),"⚠ Destino solo aplica a transferencias",IF(AND(K2502&lt;&gt;"",K2502=Q2502),"⚠ Origen igual a destino",IF(AND(K2502&lt;&gt;"",ISNA(MATCH(K2502,ctaNombre,0))),"⚠ Destino no registrado",IF(AND(P2502="Pago tarjeta",AE2502&lt;&gt;"Tarjeta de crédito"),"⚠ El destino debe ser tarjeta de crédito",IF(AND(P2502="Gasto",E2502="Depósitos y retiros"),"⚠ Usa tipo Transferencia",IF(AND(P2502="Resultado trading",AD2502&lt;&gt;"Cuenta de trading"),"⚠ Usa una cuenta de trading",IF(AND(G2502&lt;=0,P2502&lt;&gt;"Ajuste",P2502&lt;&gt;"Resultado trading"),"⚠ El monto debe ser positivo","✓")))))))))))))))</f>
        <v/>
      </c>
      <c r="P2502" s="52">
        <f>IF(OR(B2502="",G2502=""),"",IF(C2502="","Gasto",C2502))</f>
        <v/>
      </c>
      <c r="Q2502" s="52">
        <f>IF(P2502="","",IF(J2502&lt;&gt;"",J2502,CuentaPred&amp;""))</f>
        <v/>
      </c>
      <c r="R2502" s="52">
        <f>IF(P2502="","",IF(ISNUMBER(I2502),I2502,TasaUSD))</f>
        <v/>
      </c>
      <c r="S2502" s="53">
        <f>IF(P2502="","",IF(H2502="USD",G2502*R2502,G2502))</f>
        <v/>
      </c>
      <c r="T2502" s="53">
        <f>IF(P2502="","",IF(H2502="USD",G2502,IF(R2502&gt;0,G2502/R2502,0)))</f>
        <v/>
      </c>
      <c r="U2502" s="53">
        <f>IF(P2502="","",IF(P2502="Gasto",S2502,IF(P2502="Reembolso",-S2502,0)))</f>
        <v/>
      </c>
      <c r="V2502" s="53">
        <f>IF(P2502="","",IF(P2502="Ingreso",S2502,0))</f>
        <v/>
      </c>
      <c r="W2502" s="53">
        <f>IF(P2502="","",IF(P2502="Resultado trading",S2502,0))</f>
        <v/>
      </c>
      <c r="X2502" s="52">
        <f>IF(OR(P2502="Gasto",P2502="Reembolso"),IF(M2502&lt;&gt;"",M2502,IFERROR(INDEX(catClasif,MATCH(D2502&amp;"|"&amp;E2502,catClave,0))&amp;"","Variable")),"")</f>
        <v/>
      </c>
      <c r="Y2502" s="52">
        <f>IF(P2502="","",IFERROR(INDEX(catGrupo,MATCH(D2502&amp;"|"&amp;E2502,catClave,0))&amp;"",""))</f>
        <v/>
      </c>
      <c r="Z2502" s="52">
        <f>IF(P2502="","",WEEKDAY(B2502,2))</f>
        <v/>
      </c>
      <c r="AA2502" s="52">
        <f>IF(P2502="","",IF(AND(P2502="Gasto",X2502="Variable",D2502&lt;&gt;catTrading,S2502&gt;0,S2502&lt;=Umbral),1,0))</f>
        <v/>
      </c>
      <c r="AB2502" s="52">
        <f>IF(OR(P2502="",Q2502=""),"",IFERROR(IF(INDEX(ctaVinc,MATCH(Q2502,ctaNombre,0))&amp;""&lt;&gt;"",INDEX(ctaVinc,MATCH(Q2502,ctaNombre,0))&amp;"",Q2502),Q2502))</f>
        <v/>
      </c>
      <c r="AC2502" s="52">
        <f>IF(OR(K2502="",AND(P2502&lt;&gt;"Transferencia",P2502&lt;&gt;"Pago tarjeta")),"",IFERROR(IF(INDEX(ctaVinc,MATCH(K2502,ctaNombre,0))&amp;""&lt;&gt;"",INDEX(ctaVinc,MATCH(K2502,ctaNombre,0))&amp;"",K2502),K2502))</f>
        <v/>
      </c>
      <c r="AD2502" s="52">
        <f>IF(AB2502="","",IFERROR(INDEX(ctaTipo,MATCH(AB2502,ctaNombre,0))&amp;"",""))</f>
        <v/>
      </c>
      <c r="AE2502" s="52">
        <f>IF(AC2502="","",IFERROR(INDEX(ctaTipo,MATCH(AC2502,ctaNombre,0))&amp;"",""))</f>
        <v/>
      </c>
      <c r="AF2502" s="53">
        <f>IF(OR(P2502="",AB2502=""),"",IF(OR(P2502="Gasto",P2502="Transferencia",P2502="Pago tarjeta"),-1,1)*IF(IFERROR(INDEX(ctaMoneda,MATCH(AB2502,ctaNombre,0))&amp;"","DOP")="USD",T2502,S2502))</f>
        <v/>
      </c>
      <c r="AG2502" s="53">
        <f>IF(AC2502="","",IF(IFERROR(INDEX(ctaMoneda,MATCH(AC2502,ctaNombre,0))&amp;"","DOP")="USD",T2502,S2502))</f>
        <v/>
      </c>
      <c r="AH2502" s="53">
        <f>IF(P2502="","",IF(AND(AD2502&lt;&gt;"",COUNTIFS(tcTipo,AD2502,tcLiq,"Sí")&gt;0),IF(OR(P2502="Gasto",P2502="Transferencia",P2502="Pago tarjeta"),-1,1)*S2502,0)+IF(AND(AE2502&lt;&gt;"",COUNTIFS(tcTipo,AE2502,tcLiq,"Sí")&gt;0),S2502,0))</f>
        <v/>
      </c>
      <c r="AI2502" s="52">
        <f>IF(OR(L2502="",P2502=""),"",IF(COUNTIFS(L$6:L2502,L2502,P$6:P2502,"?*")=1,MAX(AI$5:AI2501)+1,""))</f>
        <v/>
      </c>
    </row>
    <row r="2503">
      <c r="B2503" s="47" t="n"/>
      <c r="C2503" s="48" t="n"/>
      <c r="D2503" s="48" t="n"/>
      <c r="E2503" s="48" t="n"/>
      <c r="F2503" s="48" t="n"/>
      <c r="G2503" s="49" t="n"/>
      <c r="H2503" s="48" t="n"/>
      <c r="I2503" s="50" t="n"/>
      <c r="J2503" s="48" t="n"/>
      <c r="K2503" s="48" t="n"/>
      <c r="L2503" s="48" t="n"/>
      <c r="M2503" s="48" t="n"/>
      <c r="N2503" s="48" t="n"/>
      <c r="O2503" s="51">
        <f>IF(AND(B2503="",G2503="",C2503="",D2503="",J2503=""),"",IF(B2503="","⚠ Falta fecha",IF(G2503="","⚠ Falta monto",IF(Q2503="","⚠ Falta cuenta",IF(ISNA(MATCH(Q2503,ctaNombre,0)),"⚠ Cuenta no registrada",IF(AND(OR(P2503="Gasto",P2503="Reembolso"),D2503=""),"⚠ Falta categoría",IF(AND(D2503&lt;&gt;"",E2503&lt;&gt;"",ISNA(MATCH(D2503&amp;"|"&amp;E2503,catClave,0))),"⚠ Subcategoría no corresponde",IF(AND(OR(P2503="Transferencia",P2503="Pago tarjeta"),K2503=""),"⚠ Falta cuenta destino",IF(AND(K2503&lt;&gt;"",P2503&lt;&gt;"Transferencia",P2503&lt;&gt;"Pago tarjeta"),"⚠ Destino solo aplica a transferencias",IF(AND(K2503&lt;&gt;"",K2503=Q2503),"⚠ Origen igual a destino",IF(AND(K2503&lt;&gt;"",ISNA(MATCH(K2503,ctaNombre,0))),"⚠ Destino no registrado",IF(AND(P2503="Pago tarjeta",AE2503&lt;&gt;"Tarjeta de crédito"),"⚠ El destino debe ser tarjeta de crédito",IF(AND(P2503="Gasto",E2503="Depósitos y retiros"),"⚠ Usa tipo Transferencia",IF(AND(P2503="Resultado trading",AD2503&lt;&gt;"Cuenta de trading"),"⚠ Usa una cuenta de trading",IF(AND(G2503&lt;=0,P2503&lt;&gt;"Ajuste",P2503&lt;&gt;"Resultado trading"),"⚠ El monto debe ser positivo","✓")))))))))))))))</f>
        <v/>
      </c>
      <c r="P2503" s="52">
        <f>IF(OR(B2503="",G2503=""),"",IF(C2503="","Gasto",C2503))</f>
        <v/>
      </c>
      <c r="Q2503" s="52">
        <f>IF(P2503="","",IF(J2503&lt;&gt;"",J2503,CuentaPred&amp;""))</f>
        <v/>
      </c>
      <c r="R2503" s="52">
        <f>IF(P2503="","",IF(ISNUMBER(I2503),I2503,TasaUSD))</f>
        <v/>
      </c>
      <c r="S2503" s="53">
        <f>IF(P2503="","",IF(H2503="USD",G2503*R2503,G2503))</f>
        <v/>
      </c>
      <c r="T2503" s="53">
        <f>IF(P2503="","",IF(H2503="USD",G2503,IF(R2503&gt;0,G2503/R2503,0)))</f>
        <v/>
      </c>
      <c r="U2503" s="53">
        <f>IF(P2503="","",IF(P2503="Gasto",S2503,IF(P2503="Reembolso",-S2503,0)))</f>
        <v/>
      </c>
      <c r="V2503" s="53">
        <f>IF(P2503="","",IF(P2503="Ingreso",S2503,0))</f>
        <v/>
      </c>
      <c r="W2503" s="53">
        <f>IF(P2503="","",IF(P2503="Resultado trading",S2503,0))</f>
        <v/>
      </c>
      <c r="X2503" s="52">
        <f>IF(OR(P2503="Gasto",P2503="Reembolso"),IF(M2503&lt;&gt;"",M2503,IFERROR(INDEX(catClasif,MATCH(D2503&amp;"|"&amp;E2503,catClave,0))&amp;"","Variable")),"")</f>
        <v/>
      </c>
      <c r="Y2503" s="52">
        <f>IF(P2503="","",IFERROR(INDEX(catGrupo,MATCH(D2503&amp;"|"&amp;E2503,catClave,0))&amp;"",""))</f>
        <v/>
      </c>
      <c r="Z2503" s="52">
        <f>IF(P2503="","",WEEKDAY(B2503,2))</f>
        <v/>
      </c>
      <c r="AA2503" s="52">
        <f>IF(P2503="","",IF(AND(P2503="Gasto",X2503="Variable",D2503&lt;&gt;catTrading,S2503&gt;0,S2503&lt;=Umbral),1,0))</f>
        <v/>
      </c>
      <c r="AB2503" s="52">
        <f>IF(OR(P2503="",Q2503=""),"",IFERROR(IF(INDEX(ctaVinc,MATCH(Q2503,ctaNombre,0))&amp;""&lt;&gt;"",INDEX(ctaVinc,MATCH(Q2503,ctaNombre,0))&amp;"",Q2503),Q2503))</f>
        <v/>
      </c>
      <c r="AC2503" s="52">
        <f>IF(OR(K2503="",AND(P2503&lt;&gt;"Transferencia",P2503&lt;&gt;"Pago tarjeta")),"",IFERROR(IF(INDEX(ctaVinc,MATCH(K2503,ctaNombre,0))&amp;""&lt;&gt;"",INDEX(ctaVinc,MATCH(K2503,ctaNombre,0))&amp;"",K2503),K2503))</f>
        <v/>
      </c>
      <c r="AD2503" s="52">
        <f>IF(AB2503="","",IFERROR(INDEX(ctaTipo,MATCH(AB2503,ctaNombre,0))&amp;"",""))</f>
        <v/>
      </c>
      <c r="AE2503" s="52">
        <f>IF(AC2503="","",IFERROR(INDEX(ctaTipo,MATCH(AC2503,ctaNombre,0))&amp;"",""))</f>
        <v/>
      </c>
      <c r="AF2503" s="53">
        <f>IF(OR(P2503="",AB2503=""),"",IF(OR(P2503="Gasto",P2503="Transferencia",P2503="Pago tarjeta"),-1,1)*IF(IFERROR(INDEX(ctaMoneda,MATCH(AB2503,ctaNombre,0))&amp;"","DOP")="USD",T2503,S2503))</f>
        <v/>
      </c>
      <c r="AG2503" s="53">
        <f>IF(AC2503="","",IF(IFERROR(INDEX(ctaMoneda,MATCH(AC2503,ctaNombre,0))&amp;"","DOP")="USD",T2503,S2503))</f>
        <v/>
      </c>
      <c r="AH2503" s="53">
        <f>IF(P2503="","",IF(AND(AD2503&lt;&gt;"",COUNTIFS(tcTipo,AD2503,tcLiq,"Sí")&gt;0),IF(OR(P2503="Gasto",P2503="Transferencia",P2503="Pago tarjeta"),-1,1)*S2503,0)+IF(AND(AE2503&lt;&gt;"",COUNTIFS(tcTipo,AE2503,tcLiq,"Sí")&gt;0),S2503,0))</f>
        <v/>
      </c>
      <c r="AI2503" s="52">
        <f>IF(OR(L2503="",P2503=""),"",IF(COUNTIFS(L$6:L2503,L2503,P$6:P2503,"?*")=1,MAX(AI$5:AI2502)+1,""))</f>
        <v/>
      </c>
    </row>
    <row r="2504">
      <c r="B2504" s="47" t="n"/>
      <c r="C2504" s="48" t="n"/>
      <c r="D2504" s="48" t="n"/>
      <c r="E2504" s="48" t="n"/>
      <c r="F2504" s="48" t="n"/>
      <c r="G2504" s="49" t="n"/>
      <c r="H2504" s="48" t="n"/>
      <c r="I2504" s="50" t="n"/>
      <c r="J2504" s="48" t="n"/>
      <c r="K2504" s="48" t="n"/>
      <c r="L2504" s="48" t="n"/>
      <c r="M2504" s="48" t="n"/>
      <c r="N2504" s="48" t="n"/>
      <c r="O2504" s="51">
        <f>IF(AND(B2504="",G2504="",C2504="",D2504="",J2504=""),"",IF(B2504="","⚠ Falta fecha",IF(G2504="","⚠ Falta monto",IF(Q2504="","⚠ Falta cuenta",IF(ISNA(MATCH(Q2504,ctaNombre,0)),"⚠ Cuenta no registrada",IF(AND(OR(P2504="Gasto",P2504="Reembolso"),D2504=""),"⚠ Falta categoría",IF(AND(D2504&lt;&gt;"",E2504&lt;&gt;"",ISNA(MATCH(D2504&amp;"|"&amp;E2504,catClave,0))),"⚠ Subcategoría no corresponde",IF(AND(OR(P2504="Transferencia",P2504="Pago tarjeta"),K2504=""),"⚠ Falta cuenta destino",IF(AND(K2504&lt;&gt;"",P2504&lt;&gt;"Transferencia",P2504&lt;&gt;"Pago tarjeta"),"⚠ Destino solo aplica a transferencias",IF(AND(K2504&lt;&gt;"",K2504=Q2504),"⚠ Origen igual a destino",IF(AND(K2504&lt;&gt;"",ISNA(MATCH(K2504,ctaNombre,0))),"⚠ Destino no registrado",IF(AND(P2504="Pago tarjeta",AE2504&lt;&gt;"Tarjeta de crédito"),"⚠ El destino debe ser tarjeta de crédito",IF(AND(P2504="Gasto",E2504="Depósitos y retiros"),"⚠ Usa tipo Transferencia",IF(AND(P2504="Resultado trading",AD2504&lt;&gt;"Cuenta de trading"),"⚠ Usa una cuenta de trading",IF(AND(G2504&lt;=0,P2504&lt;&gt;"Ajuste",P2504&lt;&gt;"Resultado trading"),"⚠ El monto debe ser positivo","✓")))))))))))))))</f>
        <v/>
      </c>
      <c r="P2504" s="52">
        <f>IF(OR(B2504="",G2504=""),"",IF(C2504="","Gasto",C2504))</f>
        <v/>
      </c>
      <c r="Q2504" s="52">
        <f>IF(P2504="","",IF(J2504&lt;&gt;"",J2504,CuentaPred&amp;""))</f>
        <v/>
      </c>
      <c r="R2504" s="52">
        <f>IF(P2504="","",IF(ISNUMBER(I2504),I2504,TasaUSD))</f>
        <v/>
      </c>
      <c r="S2504" s="53">
        <f>IF(P2504="","",IF(H2504="USD",G2504*R2504,G2504))</f>
        <v/>
      </c>
      <c r="T2504" s="53">
        <f>IF(P2504="","",IF(H2504="USD",G2504,IF(R2504&gt;0,G2504/R2504,0)))</f>
        <v/>
      </c>
      <c r="U2504" s="53">
        <f>IF(P2504="","",IF(P2504="Gasto",S2504,IF(P2504="Reembolso",-S2504,0)))</f>
        <v/>
      </c>
      <c r="V2504" s="53">
        <f>IF(P2504="","",IF(P2504="Ingreso",S2504,0))</f>
        <v/>
      </c>
      <c r="W2504" s="53">
        <f>IF(P2504="","",IF(P2504="Resultado trading",S2504,0))</f>
        <v/>
      </c>
      <c r="X2504" s="52">
        <f>IF(OR(P2504="Gasto",P2504="Reembolso"),IF(M2504&lt;&gt;"",M2504,IFERROR(INDEX(catClasif,MATCH(D2504&amp;"|"&amp;E2504,catClave,0))&amp;"","Variable")),"")</f>
        <v/>
      </c>
      <c r="Y2504" s="52">
        <f>IF(P2504="","",IFERROR(INDEX(catGrupo,MATCH(D2504&amp;"|"&amp;E2504,catClave,0))&amp;"",""))</f>
        <v/>
      </c>
      <c r="Z2504" s="52">
        <f>IF(P2504="","",WEEKDAY(B2504,2))</f>
        <v/>
      </c>
      <c r="AA2504" s="52">
        <f>IF(P2504="","",IF(AND(P2504="Gasto",X2504="Variable",D2504&lt;&gt;catTrading,S2504&gt;0,S2504&lt;=Umbral),1,0))</f>
        <v/>
      </c>
      <c r="AB2504" s="52">
        <f>IF(OR(P2504="",Q2504=""),"",IFERROR(IF(INDEX(ctaVinc,MATCH(Q2504,ctaNombre,0))&amp;""&lt;&gt;"",INDEX(ctaVinc,MATCH(Q2504,ctaNombre,0))&amp;"",Q2504),Q2504))</f>
        <v/>
      </c>
      <c r="AC2504" s="52">
        <f>IF(OR(K2504="",AND(P2504&lt;&gt;"Transferencia",P2504&lt;&gt;"Pago tarjeta")),"",IFERROR(IF(INDEX(ctaVinc,MATCH(K2504,ctaNombre,0))&amp;""&lt;&gt;"",INDEX(ctaVinc,MATCH(K2504,ctaNombre,0))&amp;"",K2504),K2504))</f>
        <v/>
      </c>
      <c r="AD2504" s="52">
        <f>IF(AB2504="","",IFERROR(INDEX(ctaTipo,MATCH(AB2504,ctaNombre,0))&amp;"",""))</f>
        <v/>
      </c>
      <c r="AE2504" s="52">
        <f>IF(AC2504="","",IFERROR(INDEX(ctaTipo,MATCH(AC2504,ctaNombre,0))&amp;"",""))</f>
        <v/>
      </c>
      <c r="AF2504" s="53">
        <f>IF(OR(P2504="",AB2504=""),"",IF(OR(P2504="Gasto",P2504="Transferencia",P2504="Pago tarjeta"),-1,1)*IF(IFERROR(INDEX(ctaMoneda,MATCH(AB2504,ctaNombre,0))&amp;"","DOP")="USD",T2504,S2504))</f>
        <v/>
      </c>
      <c r="AG2504" s="53">
        <f>IF(AC2504="","",IF(IFERROR(INDEX(ctaMoneda,MATCH(AC2504,ctaNombre,0))&amp;"","DOP")="USD",T2504,S2504))</f>
        <v/>
      </c>
      <c r="AH2504" s="53">
        <f>IF(P2504="","",IF(AND(AD2504&lt;&gt;"",COUNTIFS(tcTipo,AD2504,tcLiq,"Sí")&gt;0),IF(OR(P2504="Gasto",P2504="Transferencia",P2504="Pago tarjeta"),-1,1)*S2504,0)+IF(AND(AE2504&lt;&gt;"",COUNTIFS(tcTipo,AE2504,tcLiq,"Sí")&gt;0),S2504,0))</f>
        <v/>
      </c>
      <c r="AI2504" s="52">
        <f>IF(OR(L2504="",P2504=""),"",IF(COUNTIFS(L$6:L2504,L2504,P$6:P2504,"?*")=1,MAX(AI$5:AI2503)+1,""))</f>
        <v/>
      </c>
    </row>
    <row r="2505">
      <c r="B2505" s="47" t="n"/>
      <c r="C2505" s="48" t="n"/>
      <c r="D2505" s="48" t="n"/>
      <c r="E2505" s="48" t="n"/>
      <c r="F2505" s="48" t="n"/>
      <c r="G2505" s="49" t="n"/>
      <c r="H2505" s="48" t="n"/>
      <c r="I2505" s="50" t="n"/>
      <c r="J2505" s="48" t="n"/>
      <c r="K2505" s="48" t="n"/>
      <c r="L2505" s="48" t="n"/>
      <c r="M2505" s="48" t="n"/>
      <c r="N2505" s="48" t="n"/>
      <c r="O2505" s="51">
        <f>IF(AND(B2505="",G2505="",C2505="",D2505="",J2505=""),"",IF(B2505="","⚠ Falta fecha",IF(G2505="","⚠ Falta monto",IF(Q2505="","⚠ Falta cuenta",IF(ISNA(MATCH(Q2505,ctaNombre,0)),"⚠ Cuenta no registrada",IF(AND(OR(P2505="Gasto",P2505="Reembolso"),D2505=""),"⚠ Falta categoría",IF(AND(D2505&lt;&gt;"",E2505&lt;&gt;"",ISNA(MATCH(D2505&amp;"|"&amp;E2505,catClave,0))),"⚠ Subcategoría no corresponde",IF(AND(OR(P2505="Transferencia",P2505="Pago tarjeta"),K2505=""),"⚠ Falta cuenta destino",IF(AND(K2505&lt;&gt;"",P2505&lt;&gt;"Transferencia",P2505&lt;&gt;"Pago tarjeta"),"⚠ Destino solo aplica a transferencias",IF(AND(K2505&lt;&gt;"",K2505=Q2505),"⚠ Origen igual a destino",IF(AND(K2505&lt;&gt;"",ISNA(MATCH(K2505,ctaNombre,0))),"⚠ Destino no registrado",IF(AND(P2505="Pago tarjeta",AE2505&lt;&gt;"Tarjeta de crédito"),"⚠ El destino debe ser tarjeta de crédito",IF(AND(P2505="Gasto",E2505="Depósitos y retiros"),"⚠ Usa tipo Transferencia",IF(AND(P2505="Resultado trading",AD2505&lt;&gt;"Cuenta de trading"),"⚠ Usa una cuenta de trading",IF(AND(G2505&lt;=0,P2505&lt;&gt;"Ajuste",P2505&lt;&gt;"Resultado trading"),"⚠ El monto debe ser positivo","✓")))))))))))))))</f>
        <v/>
      </c>
      <c r="P2505" s="52">
        <f>IF(OR(B2505="",G2505=""),"",IF(C2505="","Gasto",C2505))</f>
        <v/>
      </c>
      <c r="Q2505" s="52">
        <f>IF(P2505="","",IF(J2505&lt;&gt;"",J2505,CuentaPred&amp;""))</f>
        <v/>
      </c>
      <c r="R2505" s="52">
        <f>IF(P2505="","",IF(ISNUMBER(I2505),I2505,TasaUSD))</f>
        <v/>
      </c>
      <c r="S2505" s="53">
        <f>IF(P2505="","",IF(H2505="USD",G2505*R2505,G2505))</f>
        <v/>
      </c>
      <c r="T2505" s="53">
        <f>IF(P2505="","",IF(H2505="USD",G2505,IF(R2505&gt;0,G2505/R2505,0)))</f>
        <v/>
      </c>
      <c r="U2505" s="53">
        <f>IF(P2505="","",IF(P2505="Gasto",S2505,IF(P2505="Reembolso",-S2505,0)))</f>
        <v/>
      </c>
      <c r="V2505" s="53">
        <f>IF(P2505="","",IF(P2505="Ingreso",S2505,0))</f>
        <v/>
      </c>
      <c r="W2505" s="53">
        <f>IF(P2505="","",IF(P2505="Resultado trading",S2505,0))</f>
        <v/>
      </c>
      <c r="X2505" s="52">
        <f>IF(OR(P2505="Gasto",P2505="Reembolso"),IF(M2505&lt;&gt;"",M2505,IFERROR(INDEX(catClasif,MATCH(D2505&amp;"|"&amp;E2505,catClave,0))&amp;"","Variable")),"")</f>
        <v/>
      </c>
      <c r="Y2505" s="52">
        <f>IF(P2505="","",IFERROR(INDEX(catGrupo,MATCH(D2505&amp;"|"&amp;E2505,catClave,0))&amp;"",""))</f>
        <v/>
      </c>
      <c r="Z2505" s="52">
        <f>IF(P2505="","",WEEKDAY(B2505,2))</f>
        <v/>
      </c>
      <c r="AA2505" s="52">
        <f>IF(P2505="","",IF(AND(P2505="Gasto",X2505="Variable",D2505&lt;&gt;catTrading,S2505&gt;0,S2505&lt;=Umbral),1,0))</f>
        <v/>
      </c>
      <c r="AB2505" s="52">
        <f>IF(OR(P2505="",Q2505=""),"",IFERROR(IF(INDEX(ctaVinc,MATCH(Q2505,ctaNombre,0))&amp;""&lt;&gt;"",INDEX(ctaVinc,MATCH(Q2505,ctaNombre,0))&amp;"",Q2505),Q2505))</f>
        <v/>
      </c>
      <c r="AC2505" s="52">
        <f>IF(OR(K2505="",AND(P2505&lt;&gt;"Transferencia",P2505&lt;&gt;"Pago tarjeta")),"",IFERROR(IF(INDEX(ctaVinc,MATCH(K2505,ctaNombre,0))&amp;""&lt;&gt;"",INDEX(ctaVinc,MATCH(K2505,ctaNombre,0))&amp;"",K2505),K2505))</f>
        <v/>
      </c>
      <c r="AD2505" s="52">
        <f>IF(AB2505="","",IFERROR(INDEX(ctaTipo,MATCH(AB2505,ctaNombre,0))&amp;"",""))</f>
        <v/>
      </c>
      <c r="AE2505" s="52">
        <f>IF(AC2505="","",IFERROR(INDEX(ctaTipo,MATCH(AC2505,ctaNombre,0))&amp;"",""))</f>
        <v/>
      </c>
      <c r="AF2505" s="53">
        <f>IF(OR(P2505="",AB2505=""),"",IF(OR(P2505="Gasto",P2505="Transferencia",P2505="Pago tarjeta"),-1,1)*IF(IFERROR(INDEX(ctaMoneda,MATCH(AB2505,ctaNombre,0))&amp;"","DOP")="USD",T2505,S2505))</f>
        <v/>
      </c>
      <c r="AG2505" s="53">
        <f>IF(AC2505="","",IF(IFERROR(INDEX(ctaMoneda,MATCH(AC2505,ctaNombre,0))&amp;"","DOP")="USD",T2505,S2505))</f>
        <v/>
      </c>
      <c r="AH2505" s="53">
        <f>IF(P2505="","",IF(AND(AD2505&lt;&gt;"",COUNTIFS(tcTipo,AD2505,tcLiq,"Sí")&gt;0),IF(OR(P2505="Gasto",P2505="Transferencia",P2505="Pago tarjeta"),-1,1)*S2505,0)+IF(AND(AE2505&lt;&gt;"",COUNTIFS(tcTipo,AE2505,tcLiq,"Sí")&gt;0),S2505,0))</f>
        <v/>
      </c>
      <c r="AI2505" s="52">
        <f>IF(OR(L2505="",P2505=""),"",IF(COUNTIFS(L$6:L2505,L2505,P$6:P2505,"?*")=1,MAX(AI$5:AI2504)+1,""))</f>
        <v/>
      </c>
    </row>
    <row r="2506">
      <c r="B2506" s="47" t="n"/>
      <c r="C2506" s="48" t="n"/>
      <c r="D2506" s="48" t="n"/>
      <c r="E2506" s="48" t="n"/>
      <c r="F2506" s="48" t="n"/>
      <c r="G2506" s="49" t="n"/>
      <c r="H2506" s="48" t="n"/>
      <c r="I2506" s="50" t="n"/>
      <c r="J2506" s="48" t="n"/>
      <c r="K2506" s="48" t="n"/>
      <c r="L2506" s="48" t="n"/>
      <c r="M2506" s="48" t="n"/>
      <c r="N2506" s="48" t="n"/>
      <c r="O2506" s="51">
        <f>IF(AND(B2506="",G2506="",C2506="",D2506="",J2506=""),"",IF(B2506="","⚠ Falta fecha",IF(G2506="","⚠ Falta monto",IF(Q2506="","⚠ Falta cuenta",IF(ISNA(MATCH(Q2506,ctaNombre,0)),"⚠ Cuenta no registrada",IF(AND(OR(P2506="Gasto",P2506="Reembolso"),D2506=""),"⚠ Falta categoría",IF(AND(D2506&lt;&gt;"",E2506&lt;&gt;"",ISNA(MATCH(D2506&amp;"|"&amp;E2506,catClave,0))),"⚠ Subcategoría no corresponde",IF(AND(OR(P2506="Transferencia",P2506="Pago tarjeta"),K2506=""),"⚠ Falta cuenta destino",IF(AND(K2506&lt;&gt;"",P2506&lt;&gt;"Transferencia",P2506&lt;&gt;"Pago tarjeta"),"⚠ Destino solo aplica a transferencias",IF(AND(K2506&lt;&gt;"",K2506=Q2506),"⚠ Origen igual a destino",IF(AND(K2506&lt;&gt;"",ISNA(MATCH(K2506,ctaNombre,0))),"⚠ Destino no registrado",IF(AND(P2506="Pago tarjeta",AE2506&lt;&gt;"Tarjeta de crédito"),"⚠ El destino debe ser tarjeta de crédito",IF(AND(P2506="Gasto",E2506="Depósitos y retiros"),"⚠ Usa tipo Transferencia",IF(AND(P2506="Resultado trading",AD2506&lt;&gt;"Cuenta de trading"),"⚠ Usa una cuenta de trading",IF(AND(G2506&lt;=0,P2506&lt;&gt;"Ajuste",P2506&lt;&gt;"Resultado trading"),"⚠ El monto debe ser positivo","✓")))))))))))))))</f>
        <v/>
      </c>
      <c r="P2506" s="52">
        <f>IF(OR(B2506="",G2506=""),"",IF(C2506="","Gasto",C2506))</f>
        <v/>
      </c>
      <c r="Q2506" s="52">
        <f>IF(P2506="","",IF(J2506&lt;&gt;"",J2506,CuentaPred&amp;""))</f>
        <v/>
      </c>
      <c r="R2506" s="52">
        <f>IF(P2506="","",IF(ISNUMBER(I2506),I2506,TasaUSD))</f>
        <v/>
      </c>
      <c r="S2506" s="53">
        <f>IF(P2506="","",IF(H2506="USD",G2506*R2506,G2506))</f>
        <v/>
      </c>
      <c r="T2506" s="53">
        <f>IF(P2506="","",IF(H2506="USD",G2506,IF(R2506&gt;0,G2506/R2506,0)))</f>
        <v/>
      </c>
      <c r="U2506" s="53">
        <f>IF(P2506="","",IF(P2506="Gasto",S2506,IF(P2506="Reembolso",-S2506,0)))</f>
        <v/>
      </c>
      <c r="V2506" s="53">
        <f>IF(P2506="","",IF(P2506="Ingreso",S2506,0))</f>
        <v/>
      </c>
      <c r="W2506" s="53">
        <f>IF(P2506="","",IF(P2506="Resultado trading",S2506,0))</f>
        <v/>
      </c>
      <c r="X2506" s="52">
        <f>IF(OR(P2506="Gasto",P2506="Reembolso"),IF(M2506&lt;&gt;"",M2506,IFERROR(INDEX(catClasif,MATCH(D2506&amp;"|"&amp;E2506,catClave,0))&amp;"","Variable")),"")</f>
        <v/>
      </c>
      <c r="Y2506" s="52">
        <f>IF(P2506="","",IFERROR(INDEX(catGrupo,MATCH(D2506&amp;"|"&amp;E2506,catClave,0))&amp;"",""))</f>
        <v/>
      </c>
      <c r="Z2506" s="52">
        <f>IF(P2506="","",WEEKDAY(B2506,2))</f>
        <v/>
      </c>
      <c r="AA2506" s="52">
        <f>IF(P2506="","",IF(AND(P2506="Gasto",X2506="Variable",D2506&lt;&gt;catTrading,S2506&gt;0,S2506&lt;=Umbral),1,0))</f>
        <v/>
      </c>
      <c r="AB2506" s="52">
        <f>IF(OR(P2506="",Q2506=""),"",IFERROR(IF(INDEX(ctaVinc,MATCH(Q2506,ctaNombre,0))&amp;""&lt;&gt;"",INDEX(ctaVinc,MATCH(Q2506,ctaNombre,0))&amp;"",Q2506),Q2506))</f>
        <v/>
      </c>
      <c r="AC2506" s="52">
        <f>IF(OR(K2506="",AND(P2506&lt;&gt;"Transferencia",P2506&lt;&gt;"Pago tarjeta")),"",IFERROR(IF(INDEX(ctaVinc,MATCH(K2506,ctaNombre,0))&amp;""&lt;&gt;"",INDEX(ctaVinc,MATCH(K2506,ctaNombre,0))&amp;"",K2506),K2506))</f>
        <v/>
      </c>
      <c r="AD2506" s="52">
        <f>IF(AB2506="","",IFERROR(INDEX(ctaTipo,MATCH(AB2506,ctaNombre,0))&amp;"",""))</f>
        <v/>
      </c>
      <c r="AE2506" s="52">
        <f>IF(AC2506="","",IFERROR(INDEX(ctaTipo,MATCH(AC2506,ctaNombre,0))&amp;"",""))</f>
        <v/>
      </c>
      <c r="AF2506" s="53">
        <f>IF(OR(P2506="",AB2506=""),"",IF(OR(P2506="Gasto",P2506="Transferencia",P2506="Pago tarjeta"),-1,1)*IF(IFERROR(INDEX(ctaMoneda,MATCH(AB2506,ctaNombre,0))&amp;"","DOP")="USD",T2506,S2506))</f>
        <v/>
      </c>
      <c r="AG2506" s="53">
        <f>IF(AC2506="","",IF(IFERROR(INDEX(ctaMoneda,MATCH(AC2506,ctaNombre,0))&amp;"","DOP")="USD",T2506,S2506))</f>
        <v/>
      </c>
      <c r="AH2506" s="53">
        <f>IF(P2506="","",IF(AND(AD2506&lt;&gt;"",COUNTIFS(tcTipo,AD2506,tcLiq,"Sí")&gt;0),IF(OR(P2506="Gasto",P2506="Transferencia",P2506="Pago tarjeta"),-1,1)*S2506,0)+IF(AND(AE2506&lt;&gt;"",COUNTIFS(tcTipo,AE2506,tcLiq,"Sí")&gt;0),S2506,0))</f>
        <v/>
      </c>
      <c r="AI2506" s="52">
        <f>IF(OR(L2506="",P2506=""),"",IF(COUNTIFS(L$6:L2506,L2506,P$6:P2506,"?*")=1,MAX(AI$5:AI2505)+1,""))</f>
        <v/>
      </c>
    </row>
    <row r="2507">
      <c r="B2507" s="47" t="n"/>
      <c r="C2507" s="48" t="n"/>
      <c r="D2507" s="48" t="n"/>
      <c r="E2507" s="48" t="n"/>
      <c r="F2507" s="48" t="n"/>
      <c r="G2507" s="49" t="n"/>
      <c r="H2507" s="48" t="n"/>
      <c r="I2507" s="50" t="n"/>
      <c r="J2507" s="48" t="n"/>
      <c r="K2507" s="48" t="n"/>
      <c r="L2507" s="48" t="n"/>
      <c r="M2507" s="48" t="n"/>
      <c r="N2507" s="48" t="n"/>
      <c r="O2507" s="51">
        <f>IF(AND(B2507="",G2507="",C2507="",D2507="",J2507=""),"",IF(B2507="","⚠ Falta fecha",IF(G2507="","⚠ Falta monto",IF(Q2507="","⚠ Falta cuenta",IF(ISNA(MATCH(Q2507,ctaNombre,0)),"⚠ Cuenta no registrada",IF(AND(OR(P2507="Gasto",P2507="Reembolso"),D2507=""),"⚠ Falta categoría",IF(AND(D2507&lt;&gt;"",E2507&lt;&gt;"",ISNA(MATCH(D2507&amp;"|"&amp;E2507,catClave,0))),"⚠ Subcategoría no corresponde",IF(AND(OR(P2507="Transferencia",P2507="Pago tarjeta"),K2507=""),"⚠ Falta cuenta destino",IF(AND(K2507&lt;&gt;"",P2507&lt;&gt;"Transferencia",P2507&lt;&gt;"Pago tarjeta"),"⚠ Destino solo aplica a transferencias",IF(AND(K2507&lt;&gt;"",K2507=Q2507),"⚠ Origen igual a destino",IF(AND(K2507&lt;&gt;"",ISNA(MATCH(K2507,ctaNombre,0))),"⚠ Destino no registrado",IF(AND(P2507="Pago tarjeta",AE2507&lt;&gt;"Tarjeta de crédito"),"⚠ El destino debe ser tarjeta de crédito",IF(AND(P2507="Gasto",E2507="Depósitos y retiros"),"⚠ Usa tipo Transferencia",IF(AND(P2507="Resultado trading",AD2507&lt;&gt;"Cuenta de trading"),"⚠ Usa una cuenta de trading",IF(AND(G2507&lt;=0,P2507&lt;&gt;"Ajuste",P2507&lt;&gt;"Resultado trading"),"⚠ El monto debe ser positivo","✓")))))))))))))))</f>
        <v/>
      </c>
      <c r="P2507" s="52">
        <f>IF(OR(B2507="",G2507=""),"",IF(C2507="","Gasto",C2507))</f>
        <v/>
      </c>
      <c r="Q2507" s="52">
        <f>IF(P2507="","",IF(J2507&lt;&gt;"",J2507,CuentaPred&amp;""))</f>
        <v/>
      </c>
      <c r="R2507" s="52">
        <f>IF(P2507="","",IF(ISNUMBER(I2507),I2507,TasaUSD))</f>
        <v/>
      </c>
      <c r="S2507" s="53">
        <f>IF(P2507="","",IF(H2507="USD",G2507*R2507,G2507))</f>
        <v/>
      </c>
      <c r="T2507" s="53">
        <f>IF(P2507="","",IF(H2507="USD",G2507,IF(R2507&gt;0,G2507/R2507,0)))</f>
        <v/>
      </c>
      <c r="U2507" s="53">
        <f>IF(P2507="","",IF(P2507="Gasto",S2507,IF(P2507="Reembolso",-S2507,0)))</f>
        <v/>
      </c>
      <c r="V2507" s="53">
        <f>IF(P2507="","",IF(P2507="Ingreso",S2507,0))</f>
        <v/>
      </c>
      <c r="W2507" s="53">
        <f>IF(P2507="","",IF(P2507="Resultado trading",S2507,0))</f>
        <v/>
      </c>
      <c r="X2507" s="52">
        <f>IF(OR(P2507="Gasto",P2507="Reembolso"),IF(M2507&lt;&gt;"",M2507,IFERROR(INDEX(catClasif,MATCH(D2507&amp;"|"&amp;E2507,catClave,0))&amp;"","Variable")),"")</f>
        <v/>
      </c>
      <c r="Y2507" s="52">
        <f>IF(P2507="","",IFERROR(INDEX(catGrupo,MATCH(D2507&amp;"|"&amp;E2507,catClave,0))&amp;"",""))</f>
        <v/>
      </c>
      <c r="Z2507" s="52">
        <f>IF(P2507="","",WEEKDAY(B2507,2))</f>
        <v/>
      </c>
      <c r="AA2507" s="52">
        <f>IF(P2507="","",IF(AND(P2507="Gasto",X2507="Variable",D2507&lt;&gt;catTrading,S2507&gt;0,S2507&lt;=Umbral),1,0))</f>
        <v/>
      </c>
      <c r="AB2507" s="52">
        <f>IF(OR(P2507="",Q2507=""),"",IFERROR(IF(INDEX(ctaVinc,MATCH(Q2507,ctaNombre,0))&amp;""&lt;&gt;"",INDEX(ctaVinc,MATCH(Q2507,ctaNombre,0))&amp;"",Q2507),Q2507))</f>
        <v/>
      </c>
      <c r="AC2507" s="52">
        <f>IF(OR(K2507="",AND(P2507&lt;&gt;"Transferencia",P2507&lt;&gt;"Pago tarjeta")),"",IFERROR(IF(INDEX(ctaVinc,MATCH(K2507,ctaNombre,0))&amp;""&lt;&gt;"",INDEX(ctaVinc,MATCH(K2507,ctaNombre,0))&amp;"",K2507),K2507))</f>
        <v/>
      </c>
      <c r="AD2507" s="52">
        <f>IF(AB2507="","",IFERROR(INDEX(ctaTipo,MATCH(AB2507,ctaNombre,0))&amp;"",""))</f>
        <v/>
      </c>
      <c r="AE2507" s="52">
        <f>IF(AC2507="","",IFERROR(INDEX(ctaTipo,MATCH(AC2507,ctaNombre,0))&amp;"",""))</f>
        <v/>
      </c>
      <c r="AF2507" s="53">
        <f>IF(OR(P2507="",AB2507=""),"",IF(OR(P2507="Gasto",P2507="Transferencia",P2507="Pago tarjeta"),-1,1)*IF(IFERROR(INDEX(ctaMoneda,MATCH(AB2507,ctaNombre,0))&amp;"","DOP")="USD",T2507,S2507))</f>
        <v/>
      </c>
      <c r="AG2507" s="53">
        <f>IF(AC2507="","",IF(IFERROR(INDEX(ctaMoneda,MATCH(AC2507,ctaNombre,0))&amp;"","DOP")="USD",T2507,S2507))</f>
        <v/>
      </c>
      <c r="AH2507" s="53">
        <f>IF(P2507="","",IF(AND(AD2507&lt;&gt;"",COUNTIFS(tcTipo,AD2507,tcLiq,"Sí")&gt;0),IF(OR(P2507="Gasto",P2507="Transferencia",P2507="Pago tarjeta"),-1,1)*S2507,0)+IF(AND(AE2507&lt;&gt;"",COUNTIFS(tcTipo,AE2507,tcLiq,"Sí")&gt;0),S2507,0))</f>
        <v/>
      </c>
      <c r="AI2507" s="52">
        <f>IF(OR(L2507="",P2507=""),"",IF(COUNTIFS(L$6:L2507,L2507,P$6:P2507,"?*")=1,MAX(AI$5:AI2506)+1,""))</f>
        <v/>
      </c>
    </row>
    <row r="2508">
      <c r="B2508" s="47" t="n"/>
      <c r="C2508" s="48" t="n"/>
      <c r="D2508" s="48" t="n"/>
      <c r="E2508" s="48" t="n"/>
      <c r="F2508" s="48" t="n"/>
      <c r="G2508" s="49" t="n"/>
      <c r="H2508" s="48" t="n"/>
      <c r="I2508" s="50" t="n"/>
      <c r="J2508" s="48" t="n"/>
      <c r="K2508" s="48" t="n"/>
      <c r="L2508" s="48" t="n"/>
      <c r="M2508" s="48" t="n"/>
      <c r="N2508" s="48" t="n"/>
      <c r="O2508" s="51">
        <f>IF(AND(B2508="",G2508="",C2508="",D2508="",J2508=""),"",IF(B2508="","⚠ Falta fecha",IF(G2508="","⚠ Falta monto",IF(Q2508="","⚠ Falta cuenta",IF(ISNA(MATCH(Q2508,ctaNombre,0)),"⚠ Cuenta no registrada",IF(AND(OR(P2508="Gasto",P2508="Reembolso"),D2508=""),"⚠ Falta categoría",IF(AND(D2508&lt;&gt;"",E2508&lt;&gt;"",ISNA(MATCH(D2508&amp;"|"&amp;E2508,catClave,0))),"⚠ Subcategoría no corresponde",IF(AND(OR(P2508="Transferencia",P2508="Pago tarjeta"),K2508=""),"⚠ Falta cuenta destino",IF(AND(K2508&lt;&gt;"",P2508&lt;&gt;"Transferencia",P2508&lt;&gt;"Pago tarjeta"),"⚠ Destino solo aplica a transferencias",IF(AND(K2508&lt;&gt;"",K2508=Q2508),"⚠ Origen igual a destino",IF(AND(K2508&lt;&gt;"",ISNA(MATCH(K2508,ctaNombre,0))),"⚠ Destino no registrado",IF(AND(P2508="Pago tarjeta",AE2508&lt;&gt;"Tarjeta de crédito"),"⚠ El destino debe ser tarjeta de crédito",IF(AND(P2508="Gasto",E2508="Depósitos y retiros"),"⚠ Usa tipo Transferencia",IF(AND(P2508="Resultado trading",AD2508&lt;&gt;"Cuenta de trading"),"⚠ Usa una cuenta de trading",IF(AND(G2508&lt;=0,P2508&lt;&gt;"Ajuste",P2508&lt;&gt;"Resultado trading"),"⚠ El monto debe ser positivo","✓")))))))))))))))</f>
        <v/>
      </c>
      <c r="P2508" s="52">
        <f>IF(OR(B2508="",G2508=""),"",IF(C2508="","Gasto",C2508))</f>
        <v/>
      </c>
      <c r="Q2508" s="52">
        <f>IF(P2508="","",IF(J2508&lt;&gt;"",J2508,CuentaPred&amp;""))</f>
        <v/>
      </c>
      <c r="R2508" s="52">
        <f>IF(P2508="","",IF(ISNUMBER(I2508),I2508,TasaUSD))</f>
        <v/>
      </c>
      <c r="S2508" s="53">
        <f>IF(P2508="","",IF(H2508="USD",G2508*R2508,G2508))</f>
        <v/>
      </c>
      <c r="T2508" s="53">
        <f>IF(P2508="","",IF(H2508="USD",G2508,IF(R2508&gt;0,G2508/R2508,0)))</f>
        <v/>
      </c>
      <c r="U2508" s="53">
        <f>IF(P2508="","",IF(P2508="Gasto",S2508,IF(P2508="Reembolso",-S2508,0)))</f>
        <v/>
      </c>
      <c r="V2508" s="53">
        <f>IF(P2508="","",IF(P2508="Ingreso",S2508,0))</f>
        <v/>
      </c>
      <c r="W2508" s="53">
        <f>IF(P2508="","",IF(P2508="Resultado trading",S2508,0))</f>
        <v/>
      </c>
      <c r="X2508" s="52">
        <f>IF(OR(P2508="Gasto",P2508="Reembolso"),IF(M2508&lt;&gt;"",M2508,IFERROR(INDEX(catClasif,MATCH(D2508&amp;"|"&amp;E2508,catClave,0))&amp;"","Variable")),"")</f>
        <v/>
      </c>
      <c r="Y2508" s="52">
        <f>IF(P2508="","",IFERROR(INDEX(catGrupo,MATCH(D2508&amp;"|"&amp;E2508,catClave,0))&amp;"",""))</f>
        <v/>
      </c>
      <c r="Z2508" s="52">
        <f>IF(P2508="","",WEEKDAY(B2508,2))</f>
        <v/>
      </c>
      <c r="AA2508" s="52">
        <f>IF(P2508="","",IF(AND(P2508="Gasto",X2508="Variable",D2508&lt;&gt;catTrading,S2508&gt;0,S2508&lt;=Umbral),1,0))</f>
        <v/>
      </c>
      <c r="AB2508" s="52">
        <f>IF(OR(P2508="",Q2508=""),"",IFERROR(IF(INDEX(ctaVinc,MATCH(Q2508,ctaNombre,0))&amp;""&lt;&gt;"",INDEX(ctaVinc,MATCH(Q2508,ctaNombre,0))&amp;"",Q2508),Q2508))</f>
        <v/>
      </c>
      <c r="AC2508" s="52">
        <f>IF(OR(K2508="",AND(P2508&lt;&gt;"Transferencia",P2508&lt;&gt;"Pago tarjeta")),"",IFERROR(IF(INDEX(ctaVinc,MATCH(K2508,ctaNombre,0))&amp;""&lt;&gt;"",INDEX(ctaVinc,MATCH(K2508,ctaNombre,0))&amp;"",K2508),K2508))</f>
        <v/>
      </c>
      <c r="AD2508" s="52">
        <f>IF(AB2508="","",IFERROR(INDEX(ctaTipo,MATCH(AB2508,ctaNombre,0))&amp;"",""))</f>
        <v/>
      </c>
      <c r="AE2508" s="52">
        <f>IF(AC2508="","",IFERROR(INDEX(ctaTipo,MATCH(AC2508,ctaNombre,0))&amp;"",""))</f>
        <v/>
      </c>
      <c r="AF2508" s="53">
        <f>IF(OR(P2508="",AB2508=""),"",IF(OR(P2508="Gasto",P2508="Transferencia",P2508="Pago tarjeta"),-1,1)*IF(IFERROR(INDEX(ctaMoneda,MATCH(AB2508,ctaNombre,0))&amp;"","DOP")="USD",T2508,S2508))</f>
        <v/>
      </c>
      <c r="AG2508" s="53">
        <f>IF(AC2508="","",IF(IFERROR(INDEX(ctaMoneda,MATCH(AC2508,ctaNombre,0))&amp;"","DOP")="USD",T2508,S2508))</f>
        <v/>
      </c>
      <c r="AH2508" s="53">
        <f>IF(P2508="","",IF(AND(AD2508&lt;&gt;"",COUNTIFS(tcTipo,AD2508,tcLiq,"Sí")&gt;0),IF(OR(P2508="Gasto",P2508="Transferencia",P2508="Pago tarjeta"),-1,1)*S2508,0)+IF(AND(AE2508&lt;&gt;"",COUNTIFS(tcTipo,AE2508,tcLiq,"Sí")&gt;0),S2508,0))</f>
        <v/>
      </c>
      <c r="AI2508" s="52">
        <f>IF(OR(L2508="",P2508=""),"",IF(COUNTIFS(L$6:L2508,L2508,P$6:P2508,"?*")=1,MAX(AI$5:AI2507)+1,""))</f>
        <v/>
      </c>
    </row>
    <row r="2509">
      <c r="B2509" s="47" t="n"/>
      <c r="C2509" s="48" t="n"/>
      <c r="D2509" s="48" t="n"/>
      <c r="E2509" s="48" t="n"/>
      <c r="F2509" s="48" t="n"/>
      <c r="G2509" s="49" t="n"/>
      <c r="H2509" s="48" t="n"/>
      <c r="I2509" s="50" t="n"/>
      <c r="J2509" s="48" t="n"/>
      <c r="K2509" s="48" t="n"/>
      <c r="L2509" s="48" t="n"/>
      <c r="M2509" s="48" t="n"/>
      <c r="N2509" s="48" t="n"/>
      <c r="O2509" s="51">
        <f>IF(AND(B2509="",G2509="",C2509="",D2509="",J2509=""),"",IF(B2509="","⚠ Falta fecha",IF(G2509="","⚠ Falta monto",IF(Q2509="","⚠ Falta cuenta",IF(ISNA(MATCH(Q2509,ctaNombre,0)),"⚠ Cuenta no registrada",IF(AND(OR(P2509="Gasto",P2509="Reembolso"),D2509=""),"⚠ Falta categoría",IF(AND(D2509&lt;&gt;"",E2509&lt;&gt;"",ISNA(MATCH(D2509&amp;"|"&amp;E2509,catClave,0))),"⚠ Subcategoría no corresponde",IF(AND(OR(P2509="Transferencia",P2509="Pago tarjeta"),K2509=""),"⚠ Falta cuenta destino",IF(AND(K2509&lt;&gt;"",P2509&lt;&gt;"Transferencia",P2509&lt;&gt;"Pago tarjeta"),"⚠ Destino solo aplica a transferencias",IF(AND(K2509&lt;&gt;"",K2509=Q2509),"⚠ Origen igual a destino",IF(AND(K2509&lt;&gt;"",ISNA(MATCH(K2509,ctaNombre,0))),"⚠ Destino no registrado",IF(AND(P2509="Pago tarjeta",AE2509&lt;&gt;"Tarjeta de crédito"),"⚠ El destino debe ser tarjeta de crédito",IF(AND(P2509="Gasto",E2509="Depósitos y retiros"),"⚠ Usa tipo Transferencia",IF(AND(P2509="Resultado trading",AD2509&lt;&gt;"Cuenta de trading"),"⚠ Usa una cuenta de trading",IF(AND(G2509&lt;=0,P2509&lt;&gt;"Ajuste",P2509&lt;&gt;"Resultado trading"),"⚠ El monto debe ser positivo","✓")))))))))))))))</f>
        <v/>
      </c>
      <c r="P2509" s="52">
        <f>IF(OR(B2509="",G2509=""),"",IF(C2509="","Gasto",C2509))</f>
        <v/>
      </c>
      <c r="Q2509" s="52">
        <f>IF(P2509="","",IF(J2509&lt;&gt;"",J2509,CuentaPred&amp;""))</f>
        <v/>
      </c>
      <c r="R2509" s="52">
        <f>IF(P2509="","",IF(ISNUMBER(I2509),I2509,TasaUSD))</f>
        <v/>
      </c>
      <c r="S2509" s="53">
        <f>IF(P2509="","",IF(H2509="USD",G2509*R2509,G2509))</f>
        <v/>
      </c>
      <c r="T2509" s="53">
        <f>IF(P2509="","",IF(H2509="USD",G2509,IF(R2509&gt;0,G2509/R2509,0)))</f>
        <v/>
      </c>
      <c r="U2509" s="53">
        <f>IF(P2509="","",IF(P2509="Gasto",S2509,IF(P2509="Reembolso",-S2509,0)))</f>
        <v/>
      </c>
      <c r="V2509" s="53">
        <f>IF(P2509="","",IF(P2509="Ingreso",S2509,0))</f>
        <v/>
      </c>
      <c r="W2509" s="53">
        <f>IF(P2509="","",IF(P2509="Resultado trading",S2509,0))</f>
        <v/>
      </c>
      <c r="X2509" s="52">
        <f>IF(OR(P2509="Gasto",P2509="Reembolso"),IF(M2509&lt;&gt;"",M2509,IFERROR(INDEX(catClasif,MATCH(D2509&amp;"|"&amp;E2509,catClave,0))&amp;"","Variable")),"")</f>
        <v/>
      </c>
      <c r="Y2509" s="52">
        <f>IF(P2509="","",IFERROR(INDEX(catGrupo,MATCH(D2509&amp;"|"&amp;E2509,catClave,0))&amp;"",""))</f>
        <v/>
      </c>
      <c r="Z2509" s="52">
        <f>IF(P2509="","",WEEKDAY(B2509,2))</f>
        <v/>
      </c>
      <c r="AA2509" s="52">
        <f>IF(P2509="","",IF(AND(P2509="Gasto",X2509="Variable",D2509&lt;&gt;catTrading,S2509&gt;0,S2509&lt;=Umbral),1,0))</f>
        <v/>
      </c>
      <c r="AB2509" s="52">
        <f>IF(OR(P2509="",Q2509=""),"",IFERROR(IF(INDEX(ctaVinc,MATCH(Q2509,ctaNombre,0))&amp;""&lt;&gt;"",INDEX(ctaVinc,MATCH(Q2509,ctaNombre,0))&amp;"",Q2509),Q2509))</f>
        <v/>
      </c>
      <c r="AC2509" s="52">
        <f>IF(OR(K2509="",AND(P2509&lt;&gt;"Transferencia",P2509&lt;&gt;"Pago tarjeta")),"",IFERROR(IF(INDEX(ctaVinc,MATCH(K2509,ctaNombre,0))&amp;""&lt;&gt;"",INDEX(ctaVinc,MATCH(K2509,ctaNombre,0))&amp;"",K2509),K2509))</f>
        <v/>
      </c>
      <c r="AD2509" s="52">
        <f>IF(AB2509="","",IFERROR(INDEX(ctaTipo,MATCH(AB2509,ctaNombre,0))&amp;"",""))</f>
        <v/>
      </c>
      <c r="AE2509" s="52">
        <f>IF(AC2509="","",IFERROR(INDEX(ctaTipo,MATCH(AC2509,ctaNombre,0))&amp;"",""))</f>
        <v/>
      </c>
      <c r="AF2509" s="53">
        <f>IF(OR(P2509="",AB2509=""),"",IF(OR(P2509="Gasto",P2509="Transferencia",P2509="Pago tarjeta"),-1,1)*IF(IFERROR(INDEX(ctaMoneda,MATCH(AB2509,ctaNombre,0))&amp;"","DOP")="USD",T2509,S2509))</f>
        <v/>
      </c>
      <c r="AG2509" s="53">
        <f>IF(AC2509="","",IF(IFERROR(INDEX(ctaMoneda,MATCH(AC2509,ctaNombre,0))&amp;"","DOP")="USD",T2509,S2509))</f>
        <v/>
      </c>
      <c r="AH2509" s="53">
        <f>IF(P2509="","",IF(AND(AD2509&lt;&gt;"",COUNTIFS(tcTipo,AD2509,tcLiq,"Sí")&gt;0),IF(OR(P2509="Gasto",P2509="Transferencia",P2509="Pago tarjeta"),-1,1)*S2509,0)+IF(AND(AE2509&lt;&gt;"",COUNTIFS(tcTipo,AE2509,tcLiq,"Sí")&gt;0),S2509,0))</f>
        <v/>
      </c>
      <c r="AI2509" s="52">
        <f>IF(OR(L2509="",P2509=""),"",IF(COUNTIFS(L$6:L2509,L2509,P$6:P2509,"?*")=1,MAX(AI$5:AI2508)+1,""))</f>
        <v/>
      </c>
    </row>
    <row r="2510">
      <c r="B2510" s="47" t="n"/>
      <c r="C2510" s="48" t="n"/>
      <c r="D2510" s="48" t="n"/>
      <c r="E2510" s="48" t="n"/>
      <c r="F2510" s="48" t="n"/>
      <c r="G2510" s="49" t="n"/>
      <c r="H2510" s="48" t="n"/>
      <c r="I2510" s="50" t="n"/>
      <c r="J2510" s="48" t="n"/>
      <c r="K2510" s="48" t="n"/>
      <c r="L2510" s="48" t="n"/>
      <c r="M2510" s="48" t="n"/>
      <c r="N2510" s="48" t="n"/>
      <c r="O2510" s="51">
        <f>IF(AND(B2510="",G2510="",C2510="",D2510="",J2510=""),"",IF(B2510="","⚠ Falta fecha",IF(G2510="","⚠ Falta monto",IF(Q2510="","⚠ Falta cuenta",IF(ISNA(MATCH(Q2510,ctaNombre,0)),"⚠ Cuenta no registrada",IF(AND(OR(P2510="Gasto",P2510="Reembolso"),D2510=""),"⚠ Falta categoría",IF(AND(D2510&lt;&gt;"",E2510&lt;&gt;"",ISNA(MATCH(D2510&amp;"|"&amp;E2510,catClave,0))),"⚠ Subcategoría no corresponde",IF(AND(OR(P2510="Transferencia",P2510="Pago tarjeta"),K2510=""),"⚠ Falta cuenta destino",IF(AND(K2510&lt;&gt;"",P2510&lt;&gt;"Transferencia",P2510&lt;&gt;"Pago tarjeta"),"⚠ Destino solo aplica a transferencias",IF(AND(K2510&lt;&gt;"",K2510=Q2510),"⚠ Origen igual a destino",IF(AND(K2510&lt;&gt;"",ISNA(MATCH(K2510,ctaNombre,0))),"⚠ Destino no registrado",IF(AND(P2510="Pago tarjeta",AE2510&lt;&gt;"Tarjeta de crédito"),"⚠ El destino debe ser tarjeta de crédito",IF(AND(P2510="Gasto",E2510="Depósitos y retiros"),"⚠ Usa tipo Transferencia",IF(AND(P2510="Resultado trading",AD2510&lt;&gt;"Cuenta de trading"),"⚠ Usa una cuenta de trading",IF(AND(G2510&lt;=0,P2510&lt;&gt;"Ajuste",P2510&lt;&gt;"Resultado trading"),"⚠ El monto debe ser positivo","✓")))))))))))))))</f>
        <v/>
      </c>
      <c r="P2510" s="52">
        <f>IF(OR(B2510="",G2510=""),"",IF(C2510="","Gasto",C2510))</f>
        <v/>
      </c>
      <c r="Q2510" s="52">
        <f>IF(P2510="","",IF(J2510&lt;&gt;"",J2510,CuentaPred&amp;""))</f>
        <v/>
      </c>
      <c r="R2510" s="52">
        <f>IF(P2510="","",IF(ISNUMBER(I2510),I2510,TasaUSD))</f>
        <v/>
      </c>
      <c r="S2510" s="53">
        <f>IF(P2510="","",IF(H2510="USD",G2510*R2510,G2510))</f>
        <v/>
      </c>
      <c r="T2510" s="53">
        <f>IF(P2510="","",IF(H2510="USD",G2510,IF(R2510&gt;0,G2510/R2510,0)))</f>
        <v/>
      </c>
      <c r="U2510" s="53">
        <f>IF(P2510="","",IF(P2510="Gasto",S2510,IF(P2510="Reembolso",-S2510,0)))</f>
        <v/>
      </c>
      <c r="V2510" s="53">
        <f>IF(P2510="","",IF(P2510="Ingreso",S2510,0))</f>
        <v/>
      </c>
      <c r="W2510" s="53">
        <f>IF(P2510="","",IF(P2510="Resultado trading",S2510,0))</f>
        <v/>
      </c>
      <c r="X2510" s="52">
        <f>IF(OR(P2510="Gasto",P2510="Reembolso"),IF(M2510&lt;&gt;"",M2510,IFERROR(INDEX(catClasif,MATCH(D2510&amp;"|"&amp;E2510,catClave,0))&amp;"","Variable")),"")</f>
        <v/>
      </c>
      <c r="Y2510" s="52">
        <f>IF(P2510="","",IFERROR(INDEX(catGrupo,MATCH(D2510&amp;"|"&amp;E2510,catClave,0))&amp;"",""))</f>
        <v/>
      </c>
      <c r="Z2510" s="52">
        <f>IF(P2510="","",WEEKDAY(B2510,2))</f>
        <v/>
      </c>
      <c r="AA2510" s="52">
        <f>IF(P2510="","",IF(AND(P2510="Gasto",X2510="Variable",D2510&lt;&gt;catTrading,S2510&gt;0,S2510&lt;=Umbral),1,0))</f>
        <v/>
      </c>
      <c r="AB2510" s="52">
        <f>IF(OR(P2510="",Q2510=""),"",IFERROR(IF(INDEX(ctaVinc,MATCH(Q2510,ctaNombre,0))&amp;""&lt;&gt;"",INDEX(ctaVinc,MATCH(Q2510,ctaNombre,0))&amp;"",Q2510),Q2510))</f>
        <v/>
      </c>
      <c r="AC2510" s="52">
        <f>IF(OR(K2510="",AND(P2510&lt;&gt;"Transferencia",P2510&lt;&gt;"Pago tarjeta")),"",IFERROR(IF(INDEX(ctaVinc,MATCH(K2510,ctaNombre,0))&amp;""&lt;&gt;"",INDEX(ctaVinc,MATCH(K2510,ctaNombre,0))&amp;"",K2510),K2510))</f>
        <v/>
      </c>
      <c r="AD2510" s="52">
        <f>IF(AB2510="","",IFERROR(INDEX(ctaTipo,MATCH(AB2510,ctaNombre,0))&amp;"",""))</f>
        <v/>
      </c>
      <c r="AE2510" s="52">
        <f>IF(AC2510="","",IFERROR(INDEX(ctaTipo,MATCH(AC2510,ctaNombre,0))&amp;"",""))</f>
        <v/>
      </c>
      <c r="AF2510" s="53">
        <f>IF(OR(P2510="",AB2510=""),"",IF(OR(P2510="Gasto",P2510="Transferencia",P2510="Pago tarjeta"),-1,1)*IF(IFERROR(INDEX(ctaMoneda,MATCH(AB2510,ctaNombre,0))&amp;"","DOP")="USD",T2510,S2510))</f>
        <v/>
      </c>
      <c r="AG2510" s="53">
        <f>IF(AC2510="","",IF(IFERROR(INDEX(ctaMoneda,MATCH(AC2510,ctaNombre,0))&amp;"","DOP")="USD",T2510,S2510))</f>
        <v/>
      </c>
      <c r="AH2510" s="53">
        <f>IF(P2510="","",IF(AND(AD2510&lt;&gt;"",COUNTIFS(tcTipo,AD2510,tcLiq,"Sí")&gt;0),IF(OR(P2510="Gasto",P2510="Transferencia",P2510="Pago tarjeta"),-1,1)*S2510,0)+IF(AND(AE2510&lt;&gt;"",COUNTIFS(tcTipo,AE2510,tcLiq,"Sí")&gt;0),S2510,0))</f>
        <v/>
      </c>
      <c r="AI2510" s="52">
        <f>IF(OR(L2510="",P2510=""),"",IF(COUNTIFS(L$6:L2510,L2510,P$6:P2510,"?*")=1,MAX(AI$5:AI2509)+1,""))</f>
        <v/>
      </c>
    </row>
    <row r="2511">
      <c r="B2511" s="47" t="n"/>
      <c r="C2511" s="48" t="n"/>
      <c r="D2511" s="48" t="n"/>
      <c r="E2511" s="48" t="n"/>
      <c r="F2511" s="48" t="n"/>
      <c r="G2511" s="49" t="n"/>
      <c r="H2511" s="48" t="n"/>
      <c r="I2511" s="50" t="n"/>
      <c r="J2511" s="48" t="n"/>
      <c r="K2511" s="48" t="n"/>
      <c r="L2511" s="48" t="n"/>
      <c r="M2511" s="48" t="n"/>
      <c r="N2511" s="48" t="n"/>
      <c r="O2511" s="51">
        <f>IF(AND(B2511="",G2511="",C2511="",D2511="",J2511=""),"",IF(B2511="","⚠ Falta fecha",IF(G2511="","⚠ Falta monto",IF(Q2511="","⚠ Falta cuenta",IF(ISNA(MATCH(Q2511,ctaNombre,0)),"⚠ Cuenta no registrada",IF(AND(OR(P2511="Gasto",P2511="Reembolso"),D2511=""),"⚠ Falta categoría",IF(AND(D2511&lt;&gt;"",E2511&lt;&gt;"",ISNA(MATCH(D2511&amp;"|"&amp;E2511,catClave,0))),"⚠ Subcategoría no corresponde",IF(AND(OR(P2511="Transferencia",P2511="Pago tarjeta"),K2511=""),"⚠ Falta cuenta destino",IF(AND(K2511&lt;&gt;"",P2511&lt;&gt;"Transferencia",P2511&lt;&gt;"Pago tarjeta"),"⚠ Destino solo aplica a transferencias",IF(AND(K2511&lt;&gt;"",K2511=Q2511),"⚠ Origen igual a destino",IF(AND(K2511&lt;&gt;"",ISNA(MATCH(K2511,ctaNombre,0))),"⚠ Destino no registrado",IF(AND(P2511="Pago tarjeta",AE2511&lt;&gt;"Tarjeta de crédito"),"⚠ El destino debe ser tarjeta de crédito",IF(AND(P2511="Gasto",E2511="Depósitos y retiros"),"⚠ Usa tipo Transferencia",IF(AND(P2511="Resultado trading",AD2511&lt;&gt;"Cuenta de trading"),"⚠ Usa una cuenta de trading",IF(AND(G2511&lt;=0,P2511&lt;&gt;"Ajuste",P2511&lt;&gt;"Resultado trading"),"⚠ El monto debe ser positivo","✓")))))))))))))))</f>
        <v/>
      </c>
      <c r="P2511" s="52">
        <f>IF(OR(B2511="",G2511=""),"",IF(C2511="","Gasto",C2511))</f>
        <v/>
      </c>
      <c r="Q2511" s="52">
        <f>IF(P2511="","",IF(J2511&lt;&gt;"",J2511,CuentaPred&amp;""))</f>
        <v/>
      </c>
      <c r="R2511" s="52">
        <f>IF(P2511="","",IF(ISNUMBER(I2511),I2511,TasaUSD))</f>
        <v/>
      </c>
      <c r="S2511" s="53">
        <f>IF(P2511="","",IF(H2511="USD",G2511*R2511,G2511))</f>
        <v/>
      </c>
      <c r="T2511" s="53">
        <f>IF(P2511="","",IF(H2511="USD",G2511,IF(R2511&gt;0,G2511/R2511,0)))</f>
        <v/>
      </c>
      <c r="U2511" s="53">
        <f>IF(P2511="","",IF(P2511="Gasto",S2511,IF(P2511="Reembolso",-S2511,0)))</f>
        <v/>
      </c>
      <c r="V2511" s="53">
        <f>IF(P2511="","",IF(P2511="Ingreso",S2511,0))</f>
        <v/>
      </c>
      <c r="W2511" s="53">
        <f>IF(P2511="","",IF(P2511="Resultado trading",S2511,0))</f>
        <v/>
      </c>
      <c r="X2511" s="52">
        <f>IF(OR(P2511="Gasto",P2511="Reembolso"),IF(M2511&lt;&gt;"",M2511,IFERROR(INDEX(catClasif,MATCH(D2511&amp;"|"&amp;E2511,catClave,0))&amp;"","Variable")),"")</f>
        <v/>
      </c>
      <c r="Y2511" s="52">
        <f>IF(P2511="","",IFERROR(INDEX(catGrupo,MATCH(D2511&amp;"|"&amp;E2511,catClave,0))&amp;"",""))</f>
        <v/>
      </c>
      <c r="Z2511" s="52">
        <f>IF(P2511="","",WEEKDAY(B2511,2))</f>
        <v/>
      </c>
      <c r="AA2511" s="52">
        <f>IF(P2511="","",IF(AND(P2511="Gasto",X2511="Variable",D2511&lt;&gt;catTrading,S2511&gt;0,S2511&lt;=Umbral),1,0))</f>
        <v/>
      </c>
      <c r="AB2511" s="52">
        <f>IF(OR(P2511="",Q2511=""),"",IFERROR(IF(INDEX(ctaVinc,MATCH(Q2511,ctaNombre,0))&amp;""&lt;&gt;"",INDEX(ctaVinc,MATCH(Q2511,ctaNombre,0))&amp;"",Q2511),Q2511))</f>
        <v/>
      </c>
      <c r="AC2511" s="52">
        <f>IF(OR(K2511="",AND(P2511&lt;&gt;"Transferencia",P2511&lt;&gt;"Pago tarjeta")),"",IFERROR(IF(INDEX(ctaVinc,MATCH(K2511,ctaNombre,0))&amp;""&lt;&gt;"",INDEX(ctaVinc,MATCH(K2511,ctaNombre,0))&amp;"",K2511),K2511))</f>
        <v/>
      </c>
      <c r="AD2511" s="52">
        <f>IF(AB2511="","",IFERROR(INDEX(ctaTipo,MATCH(AB2511,ctaNombre,0))&amp;"",""))</f>
        <v/>
      </c>
      <c r="AE2511" s="52">
        <f>IF(AC2511="","",IFERROR(INDEX(ctaTipo,MATCH(AC2511,ctaNombre,0))&amp;"",""))</f>
        <v/>
      </c>
      <c r="AF2511" s="53">
        <f>IF(OR(P2511="",AB2511=""),"",IF(OR(P2511="Gasto",P2511="Transferencia",P2511="Pago tarjeta"),-1,1)*IF(IFERROR(INDEX(ctaMoneda,MATCH(AB2511,ctaNombre,0))&amp;"","DOP")="USD",T2511,S2511))</f>
        <v/>
      </c>
      <c r="AG2511" s="53">
        <f>IF(AC2511="","",IF(IFERROR(INDEX(ctaMoneda,MATCH(AC2511,ctaNombre,0))&amp;"","DOP")="USD",T2511,S2511))</f>
        <v/>
      </c>
      <c r="AH2511" s="53">
        <f>IF(P2511="","",IF(AND(AD2511&lt;&gt;"",COUNTIFS(tcTipo,AD2511,tcLiq,"Sí")&gt;0),IF(OR(P2511="Gasto",P2511="Transferencia",P2511="Pago tarjeta"),-1,1)*S2511,0)+IF(AND(AE2511&lt;&gt;"",COUNTIFS(tcTipo,AE2511,tcLiq,"Sí")&gt;0),S2511,0))</f>
        <v/>
      </c>
      <c r="AI2511" s="52">
        <f>IF(OR(L2511="",P2511=""),"",IF(COUNTIFS(L$6:L2511,L2511,P$6:P2511,"?*")=1,MAX(AI$5:AI2510)+1,""))</f>
        <v/>
      </c>
    </row>
    <row r="2512">
      <c r="B2512" s="47" t="n"/>
      <c r="C2512" s="48" t="n"/>
      <c r="D2512" s="48" t="n"/>
      <c r="E2512" s="48" t="n"/>
      <c r="F2512" s="48" t="n"/>
      <c r="G2512" s="49" t="n"/>
      <c r="H2512" s="48" t="n"/>
      <c r="I2512" s="50" t="n"/>
      <c r="J2512" s="48" t="n"/>
      <c r="K2512" s="48" t="n"/>
      <c r="L2512" s="48" t="n"/>
      <c r="M2512" s="48" t="n"/>
      <c r="N2512" s="48" t="n"/>
      <c r="O2512" s="51">
        <f>IF(AND(B2512="",G2512="",C2512="",D2512="",J2512=""),"",IF(B2512="","⚠ Falta fecha",IF(G2512="","⚠ Falta monto",IF(Q2512="","⚠ Falta cuenta",IF(ISNA(MATCH(Q2512,ctaNombre,0)),"⚠ Cuenta no registrada",IF(AND(OR(P2512="Gasto",P2512="Reembolso"),D2512=""),"⚠ Falta categoría",IF(AND(D2512&lt;&gt;"",E2512&lt;&gt;"",ISNA(MATCH(D2512&amp;"|"&amp;E2512,catClave,0))),"⚠ Subcategoría no corresponde",IF(AND(OR(P2512="Transferencia",P2512="Pago tarjeta"),K2512=""),"⚠ Falta cuenta destino",IF(AND(K2512&lt;&gt;"",P2512&lt;&gt;"Transferencia",P2512&lt;&gt;"Pago tarjeta"),"⚠ Destino solo aplica a transferencias",IF(AND(K2512&lt;&gt;"",K2512=Q2512),"⚠ Origen igual a destino",IF(AND(K2512&lt;&gt;"",ISNA(MATCH(K2512,ctaNombre,0))),"⚠ Destino no registrado",IF(AND(P2512="Pago tarjeta",AE2512&lt;&gt;"Tarjeta de crédito"),"⚠ El destino debe ser tarjeta de crédito",IF(AND(P2512="Gasto",E2512="Depósitos y retiros"),"⚠ Usa tipo Transferencia",IF(AND(P2512="Resultado trading",AD2512&lt;&gt;"Cuenta de trading"),"⚠ Usa una cuenta de trading",IF(AND(G2512&lt;=0,P2512&lt;&gt;"Ajuste",P2512&lt;&gt;"Resultado trading"),"⚠ El monto debe ser positivo","✓")))))))))))))))</f>
        <v/>
      </c>
      <c r="P2512" s="52">
        <f>IF(OR(B2512="",G2512=""),"",IF(C2512="","Gasto",C2512))</f>
        <v/>
      </c>
      <c r="Q2512" s="52">
        <f>IF(P2512="","",IF(J2512&lt;&gt;"",J2512,CuentaPred&amp;""))</f>
        <v/>
      </c>
      <c r="R2512" s="52">
        <f>IF(P2512="","",IF(ISNUMBER(I2512),I2512,TasaUSD))</f>
        <v/>
      </c>
      <c r="S2512" s="53">
        <f>IF(P2512="","",IF(H2512="USD",G2512*R2512,G2512))</f>
        <v/>
      </c>
      <c r="T2512" s="53">
        <f>IF(P2512="","",IF(H2512="USD",G2512,IF(R2512&gt;0,G2512/R2512,0)))</f>
        <v/>
      </c>
      <c r="U2512" s="53">
        <f>IF(P2512="","",IF(P2512="Gasto",S2512,IF(P2512="Reembolso",-S2512,0)))</f>
        <v/>
      </c>
      <c r="V2512" s="53">
        <f>IF(P2512="","",IF(P2512="Ingreso",S2512,0))</f>
        <v/>
      </c>
      <c r="W2512" s="53">
        <f>IF(P2512="","",IF(P2512="Resultado trading",S2512,0))</f>
        <v/>
      </c>
      <c r="X2512" s="52">
        <f>IF(OR(P2512="Gasto",P2512="Reembolso"),IF(M2512&lt;&gt;"",M2512,IFERROR(INDEX(catClasif,MATCH(D2512&amp;"|"&amp;E2512,catClave,0))&amp;"","Variable")),"")</f>
        <v/>
      </c>
      <c r="Y2512" s="52">
        <f>IF(P2512="","",IFERROR(INDEX(catGrupo,MATCH(D2512&amp;"|"&amp;E2512,catClave,0))&amp;"",""))</f>
        <v/>
      </c>
      <c r="Z2512" s="52">
        <f>IF(P2512="","",WEEKDAY(B2512,2))</f>
        <v/>
      </c>
      <c r="AA2512" s="52">
        <f>IF(P2512="","",IF(AND(P2512="Gasto",X2512="Variable",D2512&lt;&gt;catTrading,S2512&gt;0,S2512&lt;=Umbral),1,0))</f>
        <v/>
      </c>
      <c r="AB2512" s="52">
        <f>IF(OR(P2512="",Q2512=""),"",IFERROR(IF(INDEX(ctaVinc,MATCH(Q2512,ctaNombre,0))&amp;""&lt;&gt;"",INDEX(ctaVinc,MATCH(Q2512,ctaNombre,0))&amp;"",Q2512),Q2512))</f>
        <v/>
      </c>
      <c r="AC2512" s="52">
        <f>IF(OR(K2512="",AND(P2512&lt;&gt;"Transferencia",P2512&lt;&gt;"Pago tarjeta")),"",IFERROR(IF(INDEX(ctaVinc,MATCH(K2512,ctaNombre,0))&amp;""&lt;&gt;"",INDEX(ctaVinc,MATCH(K2512,ctaNombre,0))&amp;"",K2512),K2512))</f>
        <v/>
      </c>
      <c r="AD2512" s="52">
        <f>IF(AB2512="","",IFERROR(INDEX(ctaTipo,MATCH(AB2512,ctaNombre,0))&amp;"",""))</f>
        <v/>
      </c>
      <c r="AE2512" s="52">
        <f>IF(AC2512="","",IFERROR(INDEX(ctaTipo,MATCH(AC2512,ctaNombre,0))&amp;"",""))</f>
        <v/>
      </c>
      <c r="AF2512" s="53">
        <f>IF(OR(P2512="",AB2512=""),"",IF(OR(P2512="Gasto",P2512="Transferencia",P2512="Pago tarjeta"),-1,1)*IF(IFERROR(INDEX(ctaMoneda,MATCH(AB2512,ctaNombre,0))&amp;"","DOP")="USD",T2512,S2512))</f>
        <v/>
      </c>
      <c r="AG2512" s="53">
        <f>IF(AC2512="","",IF(IFERROR(INDEX(ctaMoneda,MATCH(AC2512,ctaNombre,0))&amp;"","DOP")="USD",T2512,S2512))</f>
        <v/>
      </c>
      <c r="AH2512" s="53">
        <f>IF(P2512="","",IF(AND(AD2512&lt;&gt;"",COUNTIFS(tcTipo,AD2512,tcLiq,"Sí")&gt;0),IF(OR(P2512="Gasto",P2512="Transferencia",P2512="Pago tarjeta"),-1,1)*S2512,0)+IF(AND(AE2512&lt;&gt;"",COUNTIFS(tcTipo,AE2512,tcLiq,"Sí")&gt;0),S2512,0))</f>
        <v/>
      </c>
      <c r="AI2512" s="52">
        <f>IF(OR(L2512="",P2512=""),"",IF(COUNTIFS(L$6:L2512,L2512,P$6:P2512,"?*")=1,MAX(AI$5:AI2511)+1,""))</f>
        <v/>
      </c>
    </row>
    <row r="2513">
      <c r="B2513" s="47" t="n"/>
      <c r="C2513" s="48" t="n"/>
      <c r="D2513" s="48" t="n"/>
      <c r="E2513" s="48" t="n"/>
      <c r="F2513" s="48" t="n"/>
      <c r="G2513" s="49" t="n"/>
      <c r="H2513" s="48" t="n"/>
      <c r="I2513" s="50" t="n"/>
      <c r="J2513" s="48" t="n"/>
      <c r="K2513" s="48" t="n"/>
      <c r="L2513" s="48" t="n"/>
      <c r="M2513" s="48" t="n"/>
      <c r="N2513" s="48" t="n"/>
      <c r="O2513" s="51">
        <f>IF(AND(B2513="",G2513="",C2513="",D2513="",J2513=""),"",IF(B2513="","⚠ Falta fecha",IF(G2513="","⚠ Falta monto",IF(Q2513="","⚠ Falta cuenta",IF(ISNA(MATCH(Q2513,ctaNombre,0)),"⚠ Cuenta no registrada",IF(AND(OR(P2513="Gasto",P2513="Reembolso"),D2513=""),"⚠ Falta categoría",IF(AND(D2513&lt;&gt;"",E2513&lt;&gt;"",ISNA(MATCH(D2513&amp;"|"&amp;E2513,catClave,0))),"⚠ Subcategoría no corresponde",IF(AND(OR(P2513="Transferencia",P2513="Pago tarjeta"),K2513=""),"⚠ Falta cuenta destino",IF(AND(K2513&lt;&gt;"",P2513&lt;&gt;"Transferencia",P2513&lt;&gt;"Pago tarjeta"),"⚠ Destino solo aplica a transferencias",IF(AND(K2513&lt;&gt;"",K2513=Q2513),"⚠ Origen igual a destino",IF(AND(K2513&lt;&gt;"",ISNA(MATCH(K2513,ctaNombre,0))),"⚠ Destino no registrado",IF(AND(P2513="Pago tarjeta",AE2513&lt;&gt;"Tarjeta de crédito"),"⚠ El destino debe ser tarjeta de crédito",IF(AND(P2513="Gasto",E2513="Depósitos y retiros"),"⚠ Usa tipo Transferencia",IF(AND(P2513="Resultado trading",AD2513&lt;&gt;"Cuenta de trading"),"⚠ Usa una cuenta de trading",IF(AND(G2513&lt;=0,P2513&lt;&gt;"Ajuste",P2513&lt;&gt;"Resultado trading"),"⚠ El monto debe ser positivo","✓")))))))))))))))</f>
        <v/>
      </c>
      <c r="P2513" s="52">
        <f>IF(OR(B2513="",G2513=""),"",IF(C2513="","Gasto",C2513))</f>
        <v/>
      </c>
      <c r="Q2513" s="52">
        <f>IF(P2513="","",IF(J2513&lt;&gt;"",J2513,CuentaPred&amp;""))</f>
        <v/>
      </c>
      <c r="R2513" s="52">
        <f>IF(P2513="","",IF(ISNUMBER(I2513),I2513,TasaUSD))</f>
        <v/>
      </c>
      <c r="S2513" s="53">
        <f>IF(P2513="","",IF(H2513="USD",G2513*R2513,G2513))</f>
        <v/>
      </c>
      <c r="T2513" s="53">
        <f>IF(P2513="","",IF(H2513="USD",G2513,IF(R2513&gt;0,G2513/R2513,0)))</f>
        <v/>
      </c>
      <c r="U2513" s="53">
        <f>IF(P2513="","",IF(P2513="Gasto",S2513,IF(P2513="Reembolso",-S2513,0)))</f>
        <v/>
      </c>
      <c r="V2513" s="53">
        <f>IF(P2513="","",IF(P2513="Ingreso",S2513,0))</f>
        <v/>
      </c>
      <c r="W2513" s="53">
        <f>IF(P2513="","",IF(P2513="Resultado trading",S2513,0))</f>
        <v/>
      </c>
      <c r="X2513" s="52">
        <f>IF(OR(P2513="Gasto",P2513="Reembolso"),IF(M2513&lt;&gt;"",M2513,IFERROR(INDEX(catClasif,MATCH(D2513&amp;"|"&amp;E2513,catClave,0))&amp;"","Variable")),"")</f>
        <v/>
      </c>
      <c r="Y2513" s="52">
        <f>IF(P2513="","",IFERROR(INDEX(catGrupo,MATCH(D2513&amp;"|"&amp;E2513,catClave,0))&amp;"",""))</f>
        <v/>
      </c>
      <c r="Z2513" s="52">
        <f>IF(P2513="","",WEEKDAY(B2513,2))</f>
        <v/>
      </c>
      <c r="AA2513" s="52">
        <f>IF(P2513="","",IF(AND(P2513="Gasto",X2513="Variable",D2513&lt;&gt;catTrading,S2513&gt;0,S2513&lt;=Umbral),1,0))</f>
        <v/>
      </c>
      <c r="AB2513" s="52">
        <f>IF(OR(P2513="",Q2513=""),"",IFERROR(IF(INDEX(ctaVinc,MATCH(Q2513,ctaNombre,0))&amp;""&lt;&gt;"",INDEX(ctaVinc,MATCH(Q2513,ctaNombre,0))&amp;"",Q2513),Q2513))</f>
        <v/>
      </c>
      <c r="AC2513" s="52">
        <f>IF(OR(K2513="",AND(P2513&lt;&gt;"Transferencia",P2513&lt;&gt;"Pago tarjeta")),"",IFERROR(IF(INDEX(ctaVinc,MATCH(K2513,ctaNombre,0))&amp;""&lt;&gt;"",INDEX(ctaVinc,MATCH(K2513,ctaNombre,0))&amp;"",K2513),K2513))</f>
        <v/>
      </c>
      <c r="AD2513" s="52">
        <f>IF(AB2513="","",IFERROR(INDEX(ctaTipo,MATCH(AB2513,ctaNombre,0))&amp;"",""))</f>
        <v/>
      </c>
      <c r="AE2513" s="52">
        <f>IF(AC2513="","",IFERROR(INDEX(ctaTipo,MATCH(AC2513,ctaNombre,0))&amp;"",""))</f>
        <v/>
      </c>
      <c r="AF2513" s="53">
        <f>IF(OR(P2513="",AB2513=""),"",IF(OR(P2513="Gasto",P2513="Transferencia",P2513="Pago tarjeta"),-1,1)*IF(IFERROR(INDEX(ctaMoneda,MATCH(AB2513,ctaNombre,0))&amp;"","DOP")="USD",T2513,S2513))</f>
        <v/>
      </c>
      <c r="AG2513" s="53">
        <f>IF(AC2513="","",IF(IFERROR(INDEX(ctaMoneda,MATCH(AC2513,ctaNombre,0))&amp;"","DOP")="USD",T2513,S2513))</f>
        <v/>
      </c>
      <c r="AH2513" s="53">
        <f>IF(P2513="","",IF(AND(AD2513&lt;&gt;"",COUNTIFS(tcTipo,AD2513,tcLiq,"Sí")&gt;0),IF(OR(P2513="Gasto",P2513="Transferencia",P2513="Pago tarjeta"),-1,1)*S2513,0)+IF(AND(AE2513&lt;&gt;"",COUNTIFS(tcTipo,AE2513,tcLiq,"Sí")&gt;0),S2513,0))</f>
        <v/>
      </c>
      <c r="AI2513" s="52">
        <f>IF(OR(L2513="",P2513=""),"",IF(COUNTIFS(L$6:L2513,L2513,P$6:P2513,"?*")=1,MAX(AI$5:AI2512)+1,""))</f>
        <v/>
      </c>
    </row>
    <row r="2514">
      <c r="B2514" s="47" t="n"/>
      <c r="C2514" s="48" t="n"/>
      <c r="D2514" s="48" t="n"/>
      <c r="E2514" s="48" t="n"/>
      <c r="F2514" s="48" t="n"/>
      <c r="G2514" s="49" t="n"/>
      <c r="H2514" s="48" t="n"/>
      <c r="I2514" s="50" t="n"/>
      <c r="J2514" s="48" t="n"/>
      <c r="K2514" s="48" t="n"/>
      <c r="L2514" s="48" t="n"/>
      <c r="M2514" s="48" t="n"/>
      <c r="N2514" s="48" t="n"/>
      <c r="O2514" s="51">
        <f>IF(AND(B2514="",G2514="",C2514="",D2514="",J2514=""),"",IF(B2514="","⚠ Falta fecha",IF(G2514="","⚠ Falta monto",IF(Q2514="","⚠ Falta cuenta",IF(ISNA(MATCH(Q2514,ctaNombre,0)),"⚠ Cuenta no registrada",IF(AND(OR(P2514="Gasto",P2514="Reembolso"),D2514=""),"⚠ Falta categoría",IF(AND(D2514&lt;&gt;"",E2514&lt;&gt;"",ISNA(MATCH(D2514&amp;"|"&amp;E2514,catClave,0))),"⚠ Subcategoría no corresponde",IF(AND(OR(P2514="Transferencia",P2514="Pago tarjeta"),K2514=""),"⚠ Falta cuenta destino",IF(AND(K2514&lt;&gt;"",P2514&lt;&gt;"Transferencia",P2514&lt;&gt;"Pago tarjeta"),"⚠ Destino solo aplica a transferencias",IF(AND(K2514&lt;&gt;"",K2514=Q2514),"⚠ Origen igual a destino",IF(AND(K2514&lt;&gt;"",ISNA(MATCH(K2514,ctaNombre,0))),"⚠ Destino no registrado",IF(AND(P2514="Pago tarjeta",AE2514&lt;&gt;"Tarjeta de crédito"),"⚠ El destino debe ser tarjeta de crédito",IF(AND(P2514="Gasto",E2514="Depósitos y retiros"),"⚠ Usa tipo Transferencia",IF(AND(P2514="Resultado trading",AD2514&lt;&gt;"Cuenta de trading"),"⚠ Usa una cuenta de trading",IF(AND(G2514&lt;=0,P2514&lt;&gt;"Ajuste",P2514&lt;&gt;"Resultado trading"),"⚠ El monto debe ser positivo","✓")))))))))))))))</f>
        <v/>
      </c>
      <c r="P2514" s="52">
        <f>IF(OR(B2514="",G2514=""),"",IF(C2514="","Gasto",C2514))</f>
        <v/>
      </c>
      <c r="Q2514" s="52">
        <f>IF(P2514="","",IF(J2514&lt;&gt;"",J2514,CuentaPred&amp;""))</f>
        <v/>
      </c>
      <c r="R2514" s="52">
        <f>IF(P2514="","",IF(ISNUMBER(I2514),I2514,TasaUSD))</f>
        <v/>
      </c>
      <c r="S2514" s="53">
        <f>IF(P2514="","",IF(H2514="USD",G2514*R2514,G2514))</f>
        <v/>
      </c>
      <c r="T2514" s="53">
        <f>IF(P2514="","",IF(H2514="USD",G2514,IF(R2514&gt;0,G2514/R2514,0)))</f>
        <v/>
      </c>
      <c r="U2514" s="53">
        <f>IF(P2514="","",IF(P2514="Gasto",S2514,IF(P2514="Reembolso",-S2514,0)))</f>
        <v/>
      </c>
      <c r="V2514" s="53">
        <f>IF(P2514="","",IF(P2514="Ingreso",S2514,0))</f>
        <v/>
      </c>
      <c r="W2514" s="53">
        <f>IF(P2514="","",IF(P2514="Resultado trading",S2514,0))</f>
        <v/>
      </c>
      <c r="X2514" s="52">
        <f>IF(OR(P2514="Gasto",P2514="Reembolso"),IF(M2514&lt;&gt;"",M2514,IFERROR(INDEX(catClasif,MATCH(D2514&amp;"|"&amp;E2514,catClave,0))&amp;"","Variable")),"")</f>
        <v/>
      </c>
      <c r="Y2514" s="52">
        <f>IF(P2514="","",IFERROR(INDEX(catGrupo,MATCH(D2514&amp;"|"&amp;E2514,catClave,0))&amp;"",""))</f>
        <v/>
      </c>
      <c r="Z2514" s="52">
        <f>IF(P2514="","",WEEKDAY(B2514,2))</f>
        <v/>
      </c>
      <c r="AA2514" s="52">
        <f>IF(P2514="","",IF(AND(P2514="Gasto",X2514="Variable",D2514&lt;&gt;catTrading,S2514&gt;0,S2514&lt;=Umbral),1,0))</f>
        <v/>
      </c>
      <c r="AB2514" s="52">
        <f>IF(OR(P2514="",Q2514=""),"",IFERROR(IF(INDEX(ctaVinc,MATCH(Q2514,ctaNombre,0))&amp;""&lt;&gt;"",INDEX(ctaVinc,MATCH(Q2514,ctaNombre,0))&amp;"",Q2514),Q2514))</f>
        <v/>
      </c>
      <c r="AC2514" s="52">
        <f>IF(OR(K2514="",AND(P2514&lt;&gt;"Transferencia",P2514&lt;&gt;"Pago tarjeta")),"",IFERROR(IF(INDEX(ctaVinc,MATCH(K2514,ctaNombre,0))&amp;""&lt;&gt;"",INDEX(ctaVinc,MATCH(K2514,ctaNombre,0))&amp;"",K2514),K2514))</f>
        <v/>
      </c>
      <c r="AD2514" s="52">
        <f>IF(AB2514="","",IFERROR(INDEX(ctaTipo,MATCH(AB2514,ctaNombre,0))&amp;"",""))</f>
        <v/>
      </c>
      <c r="AE2514" s="52">
        <f>IF(AC2514="","",IFERROR(INDEX(ctaTipo,MATCH(AC2514,ctaNombre,0))&amp;"",""))</f>
        <v/>
      </c>
      <c r="AF2514" s="53">
        <f>IF(OR(P2514="",AB2514=""),"",IF(OR(P2514="Gasto",P2514="Transferencia",P2514="Pago tarjeta"),-1,1)*IF(IFERROR(INDEX(ctaMoneda,MATCH(AB2514,ctaNombre,0))&amp;"","DOP")="USD",T2514,S2514))</f>
        <v/>
      </c>
      <c r="AG2514" s="53">
        <f>IF(AC2514="","",IF(IFERROR(INDEX(ctaMoneda,MATCH(AC2514,ctaNombre,0))&amp;"","DOP")="USD",T2514,S2514))</f>
        <v/>
      </c>
      <c r="AH2514" s="53">
        <f>IF(P2514="","",IF(AND(AD2514&lt;&gt;"",COUNTIFS(tcTipo,AD2514,tcLiq,"Sí")&gt;0),IF(OR(P2514="Gasto",P2514="Transferencia",P2514="Pago tarjeta"),-1,1)*S2514,0)+IF(AND(AE2514&lt;&gt;"",COUNTIFS(tcTipo,AE2514,tcLiq,"Sí")&gt;0),S2514,0))</f>
        <v/>
      </c>
      <c r="AI2514" s="52">
        <f>IF(OR(L2514="",P2514=""),"",IF(COUNTIFS(L$6:L2514,L2514,P$6:P2514,"?*")=1,MAX(AI$5:AI2513)+1,""))</f>
        <v/>
      </c>
    </row>
    <row r="2515">
      <c r="B2515" s="47" t="n"/>
      <c r="C2515" s="48" t="n"/>
      <c r="D2515" s="48" t="n"/>
      <c r="E2515" s="48" t="n"/>
      <c r="F2515" s="48" t="n"/>
      <c r="G2515" s="49" t="n"/>
      <c r="H2515" s="48" t="n"/>
      <c r="I2515" s="50" t="n"/>
      <c r="J2515" s="48" t="n"/>
      <c r="K2515" s="48" t="n"/>
      <c r="L2515" s="48" t="n"/>
      <c r="M2515" s="48" t="n"/>
      <c r="N2515" s="48" t="n"/>
      <c r="O2515" s="51">
        <f>IF(AND(B2515="",G2515="",C2515="",D2515="",J2515=""),"",IF(B2515="","⚠ Falta fecha",IF(G2515="","⚠ Falta monto",IF(Q2515="","⚠ Falta cuenta",IF(ISNA(MATCH(Q2515,ctaNombre,0)),"⚠ Cuenta no registrada",IF(AND(OR(P2515="Gasto",P2515="Reembolso"),D2515=""),"⚠ Falta categoría",IF(AND(D2515&lt;&gt;"",E2515&lt;&gt;"",ISNA(MATCH(D2515&amp;"|"&amp;E2515,catClave,0))),"⚠ Subcategoría no corresponde",IF(AND(OR(P2515="Transferencia",P2515="Pago tarjeta"),K2515=""),"⚠ Falta cuenta destino",IF(AND(K2515&lt;&gt;"",P2515&lt;&gt;"Transferencia",P2515&lt;&gt;"Pago tarjeta"),"⚠ Destino solo aplica a transferencias",IF(AND(K2515&lt;&gt;"",K2515=Q2515),"⚠ Origen igual a destino",IF(AND(K2515&lt;&gt;"",ISNA(MATCH(K2515,ctaNombre,0))),"⚠ Destino no registrado",IF(AND(P2515="Pago tarjeta",AE2515&lt;&gt;"Tarjeta de crédito"),"⚠ El destino debe ser tarjeta de crédito",IF(AND(P2515="Gasto",E2515="Depósitos y retiros"),"⚠ Usa tipo Transferencia",IF(AND(P2515="Resultado trading",AD2515&lt;&gt;"Cuenta de trading"),"⚠ Usa una cuenta de trading",IF(AND(G2515&lt;=0,P2515&lt;&gt;"Ajuste",P2515&lt;&gt;"Resultado trading"),"⚠ El monto debe ser positivo","✓")))))))))))))))</f>
        <v/>
      </c>
      <c r="P2515" s="52">
        <f>IF(OR(B2515="",G2515=""),"",IF(C2515="","Gasto",C2515))</f>
        <v/>
      </c>
      <c r="Q2515" s="52">
        <f>IF(P2515="","",IF(J2515&lt;&gt;"",J2515,CuentaPred&amp;""))</f>
        <v/>
      </c>
      <c r="R2515" s="52">
        <f>IF(P2515="","",IF(ISNUMBER(I2515),I2515,TasaUSD))</f>
        <v/>
      </c>
      <c r="S2515" s="53">
        <f>IF(P2515="","",IF(H2515="USD",G2515*R2515,G2515))</f>
        <v/>
      </c>
      <c r="T2515" s="53">
        <f>IF(P2515="","",IF(H2515="USD",G2515,IF(R2515&gt;0,G2515/R2515,0)))</f>
        <v/>
      </c>
      <c r="U2515" s="53">
        <f>IF(P2515="","",IF(P2515="Gasto",S2515,IF(P2515="Reembolso",-S2515,0)))</f>
        <v/>
      </c>
      <c r="V2515" s="53">
        <f>IF(P2515="","",IF(P2515="Ingreso",S2515,0))</f>
        <v/>
      </c>
      <c r="W2515" s="53">
        <f>IF(P2515="","",IF(P2515="Resultado trading",S2515,0))</f>
        <v/>
      </c>
      <c r="X2515" s="52">
        <f>IF(OR(P2515="Gasto",P2515="Reembolso"),IF(M2515&lt;&gt;"",M2515,IFERROR(INDEX(catClasif,MATCH(D2515&amp;"|"&amp;E2515,catClave,0))&amp;"","Variable")),"")</f>
        <v/>
      </c>
      <c r="Y2515" s="52">
        <f>IF(P2515="","",IFERROR(INDEX(catGrupo,MATCH(D2515&amp;"|"&amp;E2515,catClave,0))&amp;"",""))</f>
        <v/>
      </c>
      <c r="Z2515" s="52">
        <f>IF(P2515="","",WEEKDAY(B2515,2))</f>
        <v/>
      </c>
      <c r="AA2515" s="52">
        <f>IF(P2515="","",IF(AND(P2515="Gasto",X2515="Variable",D2515&lt;&gt;catTrading,S2515&gt;0,S2515&lt;=Umbral),1,0))</f>
        <v/>
      </c>
      <c r="AB2515" s="52">
        <f>IF(OR(P2515="",Q2515=""),"",IFERROR(IF(INDEX(ctaVinc,MATCH(Q2515,ctaNombre,0))&amp;""&lt;&gt;"",INDEX(ctaVinc,MATCH(Q2515,ctaNombre,0))&amp;"",Q2515),Q2515))</f>
        <v/>
      </c>
      <c r="AC2515" s="52">
        <f>IF(OR(K2515="",AND(P2515&lt;&gt;"Transferencia",P2515&lt;&gt;"Pago tarjeta")),"",IFERROR(IF(INDEX(ctaVinc,MATCH(K2515,ctaNombre,0))&amp;""&lt;&gt;"",INDEX(ctaVinc,MATCH(K2515,ctaNombre,0))&amp;"",K2515),K2515))</f>
        <v/>
      </c>
      <c r="AD2515" s="52">
        <f>IF(AB2515="","",IFERROR(INDEX(ctaTipo,MATCH(AB2515,ctaNombre,0))&amp;"",""))</f>
        <v/>
      </c>
      <c r="AE2515" s="52">
        <f>IF(AC2515="","",IFERROR(INDEX(ctaTipo,MATCH(AC2515,ctaNombre,0))&amp;"",""))</f>
        <v/>
      </c>
      <c r="AF2515" s="53">
        <f>IF(OR(P2515="",AB2515=""),"",IF(OR(P2515="Gasto",P2515="Transferencia",P2515="Pago tarjeta"),-1,1)*IF(IFERROR(INDEX(ctaMoneda,MATCH(AB2515,ctaNombre,0))&amp;"","DOP")="USD",T2515,S2515))</f>
        <v/>
      </c>
      <c r="AG2515" s="53">
        <f>IF(AC2515="","",IF(IFERROR(INDEX(ctaMoneda,MATCH(AC2515,ctaNombre,0))&amp;"","DOP")="USD",T2515,S2515))</f>
        <v/>
      </c>
      <c r="AH2515" s="53">
        <f>IF(P2515="","",IF(AND(AD2515&lt;&gt;"",COUNTIFS(tcTipo,AD2515,tcLiq,"Sí")&gt;0),IF(OR(P2515="Gasto",P2515="Transferencia",P2515="Pago tarjeta"),-1,1)*S2515,0)+IF(AND(AE2515&lt;&gt;"",COUNTIFS(tcTipo,AE2515,tcLiq,"Sí")&gt;0),S2515,0))</f>
        <v/>
      </c>
      <c r="AI2515" s="52">
        <f>IF(OR(L2515="",P2515=""),"",IF(COUNTIFS(L$6:L2515,L2515,P$6:P2515,"?*")=1,MAX(AI$5:AI2514)+1,""))</f>
        <v/>
      </c>
    </row>
    <row r="2516">
      <c r="B2516" s="47" t="n"/>
      <c r="C2516" s="48" t="n"/>
      <c r="D2516" s="48" t="n"/>
      <c r="E2516" s="48" t="n"/>
      <c r="F2516" s="48" t="n"/>
      <c r="G2516" s="49" t="n"/>
      <c r="H2516" s="48" t="n"/>
      <c r="I2516" s="50" t="n"/>
      <c r="J2516" s="48" t="n"/>
      <c r="K2516" s="48" t="n"/>
      <c r="L2516" s="48" t="n"/>
      <c r="M2516" s="48" t="n"/>
      <c r="N2516" s="48" t="n"/>
      <c r="O2516" s="51">
        <f>IF(AND(B2516="",G2516="",C2516="",D2516="",J2516=""),"",IF(B2516="","⚠ Falta fecha",IF(G2516="","⚠ Falta monto",IF(Q2516="","⚠ Falta cuenta",IF(ISNA(MATCH(Q2516,ctaNombre,0)),"⚠ Cuenta no registrada",IF(AND(OR(P2516="Gasto",P2516="Reembolso"),D2516=""),"⚠ Falta categoría",IF(AND(D2516&lt;&gt;"",E2516&lt;&gt;"",ISNA(MATCH(D2516&amp;"|"&amp;E2516,catClave,0))),"⚠ Subcategoría no corresponde",IF(AND(OR(P2516="Transferencia",P2516="Pago tarjeta"),K2516=""),"⚠ Falta cuenta destino",IF(AND(K2516&lt;&gt;"",P2516&lt;&gt;"Transferencia",P2516&lt;&gt;"Pago tarjeta"),"⚠ Destino solo aplica a transferencias",IF(AND(K2516&lt;&gt;"",K2516=Q2516),"⚠ Origen igual a destino",IF(AND(K2516&lt;&gt;"",ISNA(MATCH(K2516,ctaNombre,0))),"⚠ Destino no registrado",IF(AND(P2516="Pago tarjeta",AE2516&lt;&gt;"Tarjeta de crédito"),"⚠ El destino debe ser tarjeta de crédito",IF(AND(P2516="Gasto",E2516="Depósitos y retiros"),"⚠ Usa tipo Transferencia",IF(AND(P2516="Resultado trading",AD2516&lt;&gt;"Cuenta de trading"),"⚠ Usa una cuenta de trading",IF(AND(G2516&lt;=0,P2516&lt;&gt;"Ajuste",P2516&lt;&gt;"Resultado trading"),"⚠ El monto debe ser positivo","✓")))))))))))))))</f>
        <v/>
      </c>
      <c r="P2516" s="52">
        <f>IF(OR(B2516="",G2516=""),"",IF(C2516="","Gasto",C2516))</f>
        <v/>
      </c>
      <c r="Q2516" s="52">
        <f>IF(P2516="","",IF(J2516&lt;&gt;"",J2516,CuentaPred&amp;""))</f>
        <v/>
      </c>
      <c r="R2516" s="52">
        <f>IF(P2516="","",IF(ISNUMBER(I2516),I2516,TasaUSD))</f>
        <v/>
      </c>
      <c r="S2516" s="53">
        <f>IF(P2516="","",IF(H2516="USD",G2516*R2516,G2516))</f>
        <v/>
      </c>
      <c r="T2516" s="53">
        <f>IF(P2516="","",IF(H2516="USD",G2516,IF(R2516&gt;0,G2516/R2516,0)))</f>
        <v/>
      </c>
      <c r="U2516" s="53">
        <f>IF(P2516="","",IF(P2516="Gasto",S2516,IF(P2516="Reembolso",-S2516,0)))</f>
        <v/>
      </c>
      <c r="V2516" s="53">
        <f>IF(P2516="","",IF(P2516="Ingreso",S2516,0))</f>
        <v/>
      </c>
      <c r="W2516" s="53">
        <f>IF(P2516="","",IF(P2516="Resultado trading",S2516,0))</f>
        <v/>
      </c>
      <c r="X2516" s="52">
        <f>IF(OR(P2516="Gasto",P2516="Reembolso"),IF(M2516&lt;&gt;"",M2516,IFERROR(INDEX(catClasif,MATCH(D2516&amp;"|"&amp;E2516,catClave,0))&amp;"","Variable")),"")</f>
        <v/>
      </c>
      <c r="Y2516" s="52">
        <f>IF(P2516="","",IFERROR(INDEX(catGrupo,MATCH(D2516&amp;"|"&amp;E2516,catClave,0))&amp;"",""))</f>
        <v/>
      </c>
      <c r="Z2516" s="52">
        <f>IF(P2516="","",WEEKDAY(B2516,2))</f>
        <v/>
      </c>
      <c r="AA2516" s="52">
        <f>IF(P2516="","",IF(AND(P2516="Gasto",X2516="Variable",D2516&lt;&gt;catTrading,S2516&gt;0,S2516&lt;=Umbral),1,0))</f>
        <v/>
      </c>
      <c r="AB2516" s="52">
        <f>IF(OR(P2516="",Q2516=""),"",IFERROR(IF(INDEX(ctaVinc,MATCH(Q2516,ctaNombre,0))&amp;""&lt;&gt;"",INDEX(ctaVinc,MATCH(Q2516,ctaNombre,0))&amp;"",Q2516),Q2516))</f>
        <v/>
      </c>
      <c r="AC2516" s="52">
        <f>IF(OR(K2516="",AND(P2516&lt;&gt;"Transferencia",P2516&lt;&gt;"Pago tarjeta")),"",IFERROR(IF(INDEX(ctaVinc,MATCH(K2516,ctaNombre,0))&amp;""&lt;&gt;"",INDEX(ctaVinc,MATCH(K2516,ctaNombre,0))&amp;"",K2516),K2516))</f>
        <v/>
      </c>
      <c r="AD2516" s="52">
        <f>IF(AB2516="","",IFERROR(INDEX(ctaTipo,MATCH(AB2516,ctaNombre,0))&amp;"",""))</f>
        <v/>
      </c>
      <c r="AE2516" s="52">
        <f>IF(AC2516="","",IFERROR(INDEX(ctaTipo,MATCH(AC2516,ctaNombre,0))&amp;"",""))</f>
        <v/>
      </c>
      <c r="AF2516" s="53">
        <f>IF(OR(P2516="",AB2516=""),"",IF(OR(P2516="Gasto",P2516="Transferencia",P2516="Pago tarjeta"),-1,1)*IF(IFERROR(INDEX(ctaMoneda,MATCH(AB2516,ctaNombre,0))&amp;"","DOP")="USD",T2516,S2516))</f>
        <v/>
      </c>
      <c r="AG2516" s="53">
        <f>IF(AC2516="","",IF(IFERROR(INDEX(ctaMoneda,MATCH(AC2516,ctaNombre,0))&amp;"","DOP")="USD",T2516,S2516))</f>
        <v/>
      </c>
      <c r="AH2516" s="53">
        <f>IF(P2516="","",IF(AND(AD2516&lt;&gt;"",COUNTIFS(tcTipo,AD2516,tcLiq,"Sí")&gt;0),IF(OR(P2516="Gasto",P2516="Transferencia",P2516="Pago tarjeta"),-1,1)*S2516,0)+IF(AND(AE2516&lt;&gt;"",COUNTIFS(tcTipo,AE2516,tcLiq,"Sí")&gt;0),S2516,0))</f>
        <v/>
      </c>
      <c r="AI2516" s="52">
        <f>IF(OR(L2516="",P2516=""),"",IF(COUNTIFS(L$6:L2516,L2516,P$6:P2516,"?*")=1,MAX(AI$5:AI2515)+1,""))</f>
        <v/>
      </c>
    </row>
    <row r="2517">
      <c r="B2517" s="47" t="n"/>
      <c r="C2517" s="48" t="n"/>
      <c r="D2517" s="48" t="n"/>
      <c r="E2517" s="48" t="n"/>
      <c r="F2517" s="48" t="n"/>
      <c r="G2517" s="49" t="n"/>
      <c r="H2517" s="48" t="n"/>
      <c r="I2517" s="50" t="n"/>
      <c r="J2517" s="48" t="n"/>
      <c r="K2517" s="48" t="n"/>
      <c r="L2517" s="48" t="n"/>
      <c r="M2517" s="48" t="n"/>
      <c r="N2517" s="48" t="n"/>
      <c r="O2517" s="51">
        <f>IF(AND(B2517="",G2517="",C2517="",D2517="",J2517=""),"",IF(B2517="","⚠ Falta fecha",IF(G2517="","⚠ Falta monto",IF(Q2517="","⚠ Falta cuenta",IF(ISNA(MATCH(Q2517,ctaNombre,0)),"⚠ Cuenta no registrada",IF(AND(OR(P2517="Gasto",P2517="Reembolso"),D2517=""),"⚠ Falta categoría",IF(AND(D2517&lt;&gt;"",E2517&lt;&gt;"",ISNA(MATCH(D2517&amp;"|"&amp;E2517,catClave,0))),"⚠ Subcategoría no corresponde",IF(AND(OR(P2517="Transferencia",P2517="Pago tarjeta"),K2517=""),"⚠ Falta cuenta destino",IF(AND(K2517&lt;&gt;"",P2517&lt;&gt;"Transferencia",P2517&lt;&gt;"Pago tarjeta"),"⚠ Destino solo aplica a transferencias",IF(AND(K2517&lt;&gt;"",K2517=Q2517),"⚠ Origen igual a destino",IF(AND(K2517&lt;&gt;"",ISNA(MATCH(K2517,ctaNombre,0))),"⚠ Destino no registrado",IF(AND(P2517="Pago tarjeta",AE2517&lt;&gt;"Tarjeta de crédito"),"⚠ El destino debe ser tarjeta de crédito",IF(AND(P2517="Gasto",E2517="Depósitos y retiros"),"⚠ Usa tipo Transferencia",IF(AND(P2517="Resultado trading",AD2517&lt;&gt;"Cuenta de trading"),"⚠ Usa una cuenta de trading",IF(AND(G2517&lt;=0,P2517&lt;&gt;"Ajuste",P2517&lt;&gt;"Resultado trading"),"⚠ El monto debe ser positivo","✓")))))))))))))))</f>
        <v/>
      </c>
      <c r="P2517" s="52">
        <f>IF(OR(B2517="",G2517=""),"",IF(C2517="","Gasto",C2517))</f>
        <v/>
      </c>
      <c r="Q2517" s="52">
        <f>IF(P2517="","",IF(J2517&lt;&gt;"",J2517,CuentaPred&amp;""))</f>
        <v/>
      </c>
      <c r="R2517" s="52">
        <f>IF(P2517="","",IF(ISNUMBER(I2517),I2517,TasaUSD))</f>
        <v/>
      </c>
      <c r="S2517" s="53">
        <f>IF(P2517="","",IF(H2517="USD",G2517*R2517,G2517))</f>
        <v/>
      </c>
      <c r="T2517" s="53">
        <f>IF(P2517="","",IF(H2517="USD",G2517,IF(R2517&gt;0,G2517/R2517,0)))</f>
        <v/>
      </c>
      <c r="U2517" s="53">
        <f>IF(P2517="","",IF(P2517="Gasto",S2517,IF(P2517="Reembolso",-S2517,0)))</f>
        <v/>
      </c>
      <c r="V2517" s="53">
        <f>IF(P2517="","",IF(P2517="Ingreso",S2517,0))</f>
        <v/>
      </c>
      <c r="W2517" s="53">
        <f>IF(P2517="","",IF(P2517="Resultado trading",S2517,0))</f>
        <v/>
      </c>
      <c r="X2517" s="52">
        <f>IF(OR(P2517="Gasto",P2517="Reembolso"),IF(M2517&lt;&gt;"",M2517,IFERROR(INDEX(catClasif,MATCH(D2517&amp;"|"&amp;E2517,catClave,0))&amp;"","Variable")),"")</f>
        <v/>
      </c>
      <c r="Y2517" s="52">
        <f>IF(P2517="","",IFERROR(INDEX(catGrupo,MATCH(D2517&amp;"|"&amp;E2517,catClave,0))&amp;"",""))</f>
        <v/>
      </c>
      <c r="Z2517" s="52">
        <f>IF(P2517="","",WEEKDAY(B2517,2))</f>
        <v/>
      </c>
      <c r="AA2517" s="52">
        <f>IF(P2517="","",IF(AND(P2517="Gasto",X2517="Variable",D2517&lt;&gt;catTrading,S2517&gt;0,S2517&lt;=Umbral),1,0))</f>
        <v/>
      </c>
      <c r="AB2517" s="52">
        <f>IF(OR(P2517="",Q2517=""),"",IFERROR(IF(INDEX(ctaVinc,MATCH(Q2517,ctaNombre,0))&amp;""&lt;&gt;"",INDEX(ctaVinc,MATCH(Q2517,ctaNombre,0))&amp;"",Q2517),Q2517))</f>
        <v/>
      </c>
      <c r="AC2517" s="52">
        <f>IF(OR(K2517="",AND(P2517&lt;&gt;"Transferencia",P2517&lt;&gt;"Pago tarjeta")),"",IFERROR(IF(INDEX(ctaVinc,MATCH(K2517,ctaNombre,0))&amp;""&lt;&gt;"",INDEX(ctaVinc,MATCH(K2517,ctaNombre,0))&amp;"",K2517),K2517))</f>
        <v/>
      </c>
      <c r="AD2517" s="52">
        <f>IF(AB2517="","",IFERROR(INDEX(ctaTipo,MATCH(AB2517,ctaNombre,0))&amp;"",""))</f>
        <v/>
      </c>
      <c r="AE2517" s="52">
        <f>IF(AC2517="","",IFERROR(INDEX(ctaTipo,MATCH(AC2517,ctaNombre,0))&amp;"",""))</f>
        <v/>
      </c>
      <c r="AF2517" s="53">
        <f>IF(OR(P2517="",AB2517=""),"",IF(OR(P2517="Gasto",P2517="Transferencia",P2517="Pago tarjeta"),-1,1)*IF(IFERROR(INDEX(ctaMoneda,MATCH(AB2517,ctaNombre,0))&amp;"","DOP")="USD",T2517,S2517))</f>
        <v/>
      </c>
      <c r="AG2517" s="53">
        <f>IF(AC2517="","",IF(IFERROR(INDEX(ctaMoneda,MATCH(AC2517,ctaNombre,0))&amp;"","DOP")="USD",T2517,S2517))</f>
        <v/>
      </c>
      <c r="AH2517" s="53">
        <f>IF(P2517="","",IF(AND(AD2517&lt;&gt;"",COUNTIFS(tcTipo,AD2517,tcLiq,"Sí")&gt;0),IF(OR(P2517="Gasto",P2517="Transferencia",P2517="Pago tarjeta"),-1,1)*S2517,0)+IF(AND(AE2517&lt;&gt;"",COUNTIFS(tcTipo,AE2517,tcLiq,"Sí")&gt;0),S2517,0))</f>
        <v/>
      </c>
      <c r="AI2517" s="52">
        <f>IF(OR(L2517="",P2517=""),"",IF(COUNTIFS(L$6:L2517,L2517,P$6:P2517,"?*")=1,MAX(AI$5:AI2516)+1,""))</f>
        <v/>
      </c>
    </row>
    <row r="2518">
      <c r="B2518" s="47" t="n"/>
      <c r="C2518" s="48" t="n"/>
      <c r="D2518" s="48" t="n"/>
      <c r="E2518" s="48" t="n"/>
      <c r="F2518" s="48" t="n"/>
      <c r="G2518" s="49" t="n"/>
      <c r="H2518" s="48" t="n"/>
      <c r="I2518" s="50" t="n"/>
      <c r="J2518" s="48" t="n"/>
      <c r="K2518" s="48" t="n"/>
      <c r="L2518" s="48" t="n"/>
      <c r="M2518" s="48" t="n"/>
      <c r="N2518" s="48" t="n"/>
      <c r="O2518" s="51">
        <f>IF(AND(B2518="",G2518="",C2518="",D2518="",J2518=""),"",IF(B2518="","⚠ Falta fecha",IF(G2518="","⚠ Falta monto",IF(Q2518="","⚠ Falta cuenta",IF(ISNA(MATCH(Q2518,ctaNombre,0)),"⚠ Cuenta no registrada",IF(AND(OR(P2518="Gasto",P2518="Reembolso"),D2518=""),"⚠ Falta categoría",IF(AND(D2518&lt;&gt;"",E2518&lt;&gt;"",ISNA(MATCH(D2518&amp;"|"&amp;E2518,catClave,0))),"⚠ Subcategoría no corresponde",IF(AND(OR(P2518="Transferencia",P2518="Pago tarjeta"),K2518=""),"⚠ Falta cuenta destino",IF(AND(K2518&lt;&gt;"",P2518&lt;&gt;"Transferencia",P2518&lt;&gt;"Pago tarjeta"),"⚠ Destino solo aplica a transferencias",IF(AND(K2518&lt;&gt;"",K2518=Q2518),"⚠ Origen igual a destino",IF(AND(K2518&lt;&gt;"",ISNA(MATCH(K2518,ctaNombre,0))),"⚠ Destino no registrado",IF(AND(P2518="Pago tarjeta",AE2518&lt;&gt;"Tarjeta de crédito"),"⚠ El destino debe ser tarjeta de crédito",IF(AND(P2518="Gasto",E2518="Depósitos y retiros"),"⚠ Usa tipo Transferencia",IF(AND(P2518="Resultado trading",AD2518&lt;&gt;"Cuenta de trading"),"⚠ Usa una cuenta de trading",IF(AND(G2518&lt;=0,P2518&lt;&gt;"Ajuste",P2518&lt;&gt;"Resultado trading"),"⚠ El monto debe ser positivo","✓")))))))))))))))</f>
        <v/>
      </c>
      <c r="P2518" s="52">
        <f>IF(OR(B2518="",G2518=""),"",IF(C2518="","Gasto",C2518))</f>
        <v/>
      </c>
      <c r="Q2518" s="52">
        <f>IF(P2518="","",IF(J2518&lt;&gt;"",J2518,CuentaPred&amp;""))</f>
        <v/>
      </c>
      <c r="R2518" s="52">
        <f>IF(P2518="","",IF(ISNUMBER(I2518),I2518,TasaUSD))</f>
        <v/>
      </c>
      <c r="S2518" s="53">
        <f>IF(P2518="","",IF(H2518="USD",G2518*R2518,G2518))</f>
        <v/>
      </c>
      <c r="T2518" s="53">
        <f>IF(P2518="","",IF(H2518="USD",G2518,IF(R2518&gt;0,G2518/R2518,0)))</f>
        <v/>
      </c>
      <c r="U2518" s="53">
        <f>IF(P2518="","",IF(P2518="Gasto",S2518,IF(P2518="Reembolso",-S2518,0)))</f>
        <v/>
      </c>
      <c r="V2518" s="53">
        <f>IF(P2518="","",IF(P2518="Ingreso",S2518,0))</f>
        <v/>
      </c>
      <c r="W2518" s="53">
        <f>IF(P2518="","",IF(P2518="Resultado trading",S2518,0))</f>
        <v/>
      </c>
      <c r="X2518" s="52">
        <f>IF(OR(P2518="Gasto",P2518="Reembolso"),IF(M2518&lt;&gt;"",M2518,IFERROR(INDEX(catClasif,MATCH(D2518&amp;"|"&amp;E2518,catClave,0))&amp;"","Variable")),"")</f>
        <v/>
      </c>
      <c r="Y2518" s="52">
        <f>IF(P2518="","",IFERROR(INDEX(catGrupo,MATCH(D2518&amp;"|"&amp;E2518,catClave,0))&amp;"",""))</f>
        <v/>
      </c>
      <c r="Z2518" s="52">
        <f>IF(P2518="","",WEEKDAY(B2518,2))</f>
        <v/>
      </c>
      <c r="AA2518" s="52">
        <f>IF(P2518="","",IF(AND(P2518="Gasto",X2518="Variable",D2518&lt;&gt;catTrading,S2518&gt;0,S2518&lt;=Umbral),1,0))</f>
        <v/>
      </c>
      <c r="AB2518" s="52">
        <f>IF(OR(P2518="",Q2518=""),"",IFERROR(IF(INDEX(ctaVinc,MATCH(Q2518,ctaNombre,0))&amp;""&lt;&gt;"",INDEX(ctaVinc,MATCH(Q2518,ctaNombre,0))&amp;"",Q2518),Q2518))</f>
        <v/>
      </c>
      <c r="AC2518" s="52">
        <f>IF(OR(K2518="",AND(P2518&lt;&gt;"Transferencia",P2518&lt;&gt;"Pago tarjeta")),"",IFERROR(IF(INDEX(ctaVinc,MATCH(K2518,ctaNombre,0))&amp;""&lt;&gt;"",INDEX(ctaVinc,MATCH(K2518,ctaNombre,0))&amp;"",K2518),K2518))</f>
        <v/>
      </c>
      <c r="AD2518" s="52">
        <f>IF(AB2518="","",IFERROR(INDEX(ctaTipo,MATCH(AB2518,ctaNombre,0))&amp;"",""))</f>
        <v/>
      </c>
      <c r="AE2518" s="52">
        <f>IF(AC2518="","",IFERROR(INDEX(ctaTipo,MATCH(AC2518,ctaNombre,0))&amp;"",""))</f>
        <v/>
      </c>
      <c r="AF2518" s="53">
        <f>IF(OR(P2518="",AB2518=""),"",IF(OR(P2518="Gasto",P2518="Transferencia",P2518="Pago tarjeta"),-1,1)*IF(IFERROR(INDEX(ctaMoneda,MATCH(AB2518,ctaNombre,0))&amp;"","DOP")="USD",T2518,S2518))</f>
        <v/>
      </c>
      <c r="AG2518" s="53">
        <f>IF(AC2518="","",IF(IFERROR(INDEX(ctaMoneda,MATCH(AC2518,ctaNombre,0))&amp;"","DOP")="USD",T2518,S2518))</f>
        <v/>
      </c>
      <c r="AH2518" s="53">
        <f>IF(P2518="","",IF(AND(AD2518&lt;&gt;"",COUNTIFS(tcTipo,AD2518,tcLiq,"Sí")&gt;0),IF(OR(P2518="Gasto",P2518="Transferencia",P2518="Pago tarjeta"),-1,1)*S2518,0)+IF(AND(AE2518&lt;&gt;"",COUNTIFS(tcTipo,AE2518,tcLiq,"Sí")&gt;0),S2518,0))</f>
        <v/>
      </c>
      <c r="AI2518" s="52">
        <f>IF(OR(L2518="",P2518=""),"",IF(COUNTIFS(L$6:L2518,L2518,P$6:P2518,"?*")=1,MAX(AI$5:AI2517)+1,""))</f>
        <v/>
      </c>
    </row>
    <row r="2519">
      <c r="B2519" s="47" t="n"/>
      <c r="C2519" s="48" t="n"/>
      <c r="D2519" s="48" t="n"/>
      <c r="E2519" s="48" t="n"/>
      <c r="F2519" s="48" t="n"/>
      <c r="G2519" s="49" t="n"/>
      <c r="H2519" s="48" t="n"/>
      <c r="I2519" s="50" t="n"/>
      <c r="J2519" s="48" t="n"/>
      <c r="K2519" s="48" t="n"/>
      <c r="L2519" s="48" t="n"/>
      <c r="M2519" s="48" t="n"/>
      <c r="N2519" s="48" t="n"/>
      <c r="O2519" s="51">
        <f>IF(AND(B2519="",G2519="",C2519="",D2519="",J2519=""),"",IF(B2519="","⚠ Falta fecha",IF(G2519="","⚠ Falta monto",IF(Q2519="","⚠ Falta cuenta",IF(ISNA(MATCH(Q2519,ctaNombre,0)),"⚠ Cuenta no registrada",IF(AND(OR(P2519="Gasto",P2519="Reembolso"),D2519=""),"⚠ Falta categoría",IF(AND(D2519&lt;&gt;"",E2519&lt;&gt;"",ISNA(MATCH(D2519&amp;"|"&amp;E2519,catClave,0))),"⚠ Subcategoría no corresponde",IF(AND(OR(P2519="Transferencia",P2519="Pago tarjeta"),K2519=""),"⚠ Falta cuenta destino",IF(AND(K2519&lt;&gt;"",P2519&lt;&gt;"Transferencia",P2519&lt;&gt;"Pago tarjeta"),"⚠ Destino solo aplica a transferencias",IF(AND(K2519&lt;&gt;"",K2519=Q2519),"⚠ Origen igual a destino",IF(AND(K2519&lt;&gt;"",ISNA(MATCH(K2519,ctaNombre,0))),"⚠ Destino no registrado",IF(AND(P2519="Pago tarjeta",AE2519&lt;&gt;"Tarjeta de crédito"),"⚠ El destino debe ser tarjeta de crédito",IF(AND(P2519="Gasto",E2519="Depósitos y retiros"),"⚠ Usa tipo Transferencia",IF(AND(P2519="Resultado trading",AD2519&lt;&gt;"Cuenta de trading"),"⚠ Usa una cuenta de trading",IF(AND(G2519&lt;=0,P2519&lt;&gt;"Ajuste",P2519&lt;&gt;"Resultado trading"),"⚠ El monto debe ser positivo","✓")))))))))))))))</f>
        <v/>
      </c>
      <c r="P2519" s="52">
        <f>IF(OR(B2519="",G2519=""),"",IF(C2519="","Gasto",C2519))</f>
        <v/>
      </c>
      <c r="Q2519" s="52">
        <f>IF(P2519="","",IF(J2519&lt;&gt;"",J2519,CuentaPred&amp;""))</f>
        <v/>
      </c>
      <c r="R2519" s="52">
        <f>IF(P2519="","",IF(ISNUMBER(I2519),I2519,TasaUSD))</f>
        <v/>
      </c>
      <c r="S2519" s="53">
        <f>IF(P2519="","",IF(H2519="USD",G2519*R2519,G2519))</f>
        <v/>
      </c>
      <c r="T2519" s="53">
        <f>IF(P2519="","",IF(H2519="USD",G2519,IF(R2519&gt;0,G2519/R2519,0)))</f>
        <v/>
      </c>
      <c r="U2519" s="53">
        <f>IF(P2519="","",IF(P2519="Gasto",S2519,IF(P2519="Reembolso",-S2519,0)))</f>
        <v/>
      </c>
      <c r="V2519" s="53">
        <f>IF(P2519="","",IF(P2519="Ingreso",S2519,0))</f>
        <v/>
      </c>
      <c r="W2519" s="53">
        <f>IF(P2519="","",IF(P2519="Resultado trading",S2519,0))</f>
        <v/>
      </c>
      <c r="X2519" s="52">
        <f>IF(OR(P2519="Gasto",P2519="Reembolso"),IF(M2519&lt;&gt;"",M2519,IFERROR(INDEX(catClasif,MATCH(D2519&amp;"|"&amp;E2519,catClave,0))&amp;"","Variable")),"")</f>
        <v/>
      </c>
      <c r="Y2519" s="52">
        <f>IF(P2519="","",IFERROR(INDEX(catGrupo,MATCH(D2519&amp;"|"&amp;E2519,catClave,0))&amp;"",""))</f>
        <v/>
      </c>
      <c r="Z2519" s="52">
        <f>IF(P2519="","",WEEKDAY(B2519,2))</f>
        <v/>
      </c>
      <c r="AA2519" s="52">
        <f>IF(P2519="","",IF(AND(P2519="Gasto",X2519="Variable",D2519&lt;&gt;catTrading,S2519&gt;0,S2519&lt;=Umbral),1,0))</f>
        <v/>
      </c>
      <c r="AB2519" s="52">
        <f>IF(OR(P2519="",Q2519=""),"",IFERROR(IF(INDEX(ctaVinc,MATCH(Q2519,ctaNombre,0))&amp;""&lt;&gt;"",INDEX(ctaVinc,MATCH(Q2519,ctaNombre,0))&amp;"",Q2519),Q2519))</f>
        <v/>
      </c>
      <c r="AC2519" s="52">
        <f>IF(OR(K2519="",AND(P2519&lt;&gt;"Transferencia",P2519&lt;&gt;"Pago tarjeta")),"",IFERROR(IF(INDEX(ctaVinc,MATCH(K2519,ctaNombre,0))&amp;""&lt;&gt;"",INDEX(ctaVinc,MATCH(K2519,ctaNombre,0))&amp;"",K2519),K2519))</f>
        <v/>
      </c>
      <c r="AD2519" s="52">
        <f>IF(AB2519="","",IFERROR(INDEX(ctaTipo,MATCH(AB2519,ctaNombre,0))&amp;"",""))</f>
        <v/>
      </c>
      <c r="AE2519" s="52">
        <f>IF(AC2519="","",IFERROR(INDEX(ctaTipo,MATCH(AC2519,ctaNombre,0))&amp;"",""))</f>
        <v/>
      </c>
      <c r="AF2519" s="53">
        <f>IF(OR(P2519="",AB2519=""),"",IF(OR(P2519="Gasto",P2519="Transferencia",P2519="Pago tarjeta"),-1,1)*IF(IFERROR(INDEX(ctaMoneda,MATCH(AB2519,ctaNombre,0))&amp;"","DOP")="USD",T2519,S2519))</f>
        <v/>
      </c>
      <c r="AG2519" s="53">
        <f>IF(AC2519="","",IF(IFERROR(INDEX(ctaMoneda,MATCH(AC2519,ctaNombre,0))&amp;"","DOP")="USD",T2519,S2519))</f>
        <v/>
      </c>
      <c r="AH2519" s="53">
        <f>IF(P2519="","",IF(AND(AD2519&lt;&gt;"",COUNTIFS(tcTipo,AD2519,tcLiq,"Sí")&gt;0),IF(OR(P2519="Gasto",P2519="Transferencia",P2519="Pago tarjeta"),-1,1)*S2519,0)+IF(AND(AE2519&lt;&gt;"",COUNTIFS(tcTipo,AE2519,tcLiq,"Sí")&gt;0),S2519,0))</f>
        <v/>
      </c>
      <c r="AI2519" s="52">
        <f>IF(OR(L2519="",P2519=""),"",IF(COUNTIFS(L$6:L2519,L2519,P$6:P2519,"?*")=1,MAX(AI$5:AI2518)+1,""))</f>
        <v/>
      </c>
    </row>
    <row r="2520">
      <c r="B2520" s="47" t="n"/>
      <c r="C2520" s="48" t="n"/>
      <c r="D2520" s="48" t="n"/>
      <c r="E2520" s="48" t="n"/>
      <c r="F2520" s="48" t="n"/>
      <c r="G2520" s="49" t="n"/>
      <c r="H2520" s="48" t="n"/>
      <c r="I2520" s="50" t="n"/>
      <c r="J2520" s="48" t="n"/>
      <c r="K2520" s="48" t="n"/>
      <c r="L2520" s="48" t="n"/>
      <c r="M2520" s="48" t="n"/>
      <c r="N2520" s="48" t="n"/>
      <c r="O2520" s="51">
        <f>IF(AND(B2520="",G2520="",C2520="",D2520="",J2520=""),"",IF(B2520="","⚠ Falta fecha",IF(G2520="","⚠ Falta monto",IF(Q2520="","⚠ Falta cuenta",IF(ISNA(MATCH(Q2520,ctaNombre,0)),"⚠ Cuenta no registrada",IF(AND(OR(P2520="Gasto",P2520="Reembolso"),D2520=""),"⚠ Falta categoría",IF(AND(D2520&lt;&gt;"",E2520&lt;&gt;"",ISNA(MATCH(D2520&amp;"|"&amp;E2520,catClave,0))),"⚠ Subcategoría no corresponde",IF(AND(OR(P2520="Transferencia",P2520="Pago tarjeta"),K2520=""),"⚠ Falta cuenta destino",IF(AND(K2520&lt;&gt;"",P2520&lt;&gt;"Transferencia",P2520&lt;&gt;"Pago tarjeta"),"⚠ Destino solo aplica a transferencias",IF(AND(K2520&lt;&gt;"",K2520=Q2520),"⚠ Origen igual a destino",IF(AND(K2520&lt;&gt;"",ISNA(MATCH(K2520,ctaNombre,0))),"⚠ Destino no registrado",IF(AND(P2520="Pago tarjeta",AE2520&lt;&gt;"Tarjeta de crédito"),"⚠ El destino debe ser tarjeta de crédito",IF(AND(P2520="Gasto",E2520="Depósitos y retiros"),"⚠ Usa tipo Transferencia",IF(AND(P2520="Resultado trading",AD2520&lt;&gt;"Cuenta de trading"),"⚠ Usa una cuenta de trading",IF(AND(G2520&lt;=0,P2520&lt;&gt;"Ajuste",P2520&lt;&gt;"Resultado trading"),"⚠ El monto debe ser positivo","✓")))))))))))))))</f>
        <v/>
      </c>
      <c r="P2520" s="52">
        <f>IF(OR(B2520="",G2520=""),"",IF(C2520="","Gasto",C2520))</f>
        <v/>
      </c>
      <c r="Q2520" s="52">
        <f>IF(P2520="","",IF(J2520&lt;&gt;"",J2520,CuentaPred&amp;""))</f>
        <v/>
      </c>
      <c r="R2520" s="52">
        <f>IF(P2520="","",IF(ISNUMBER(I2520),I2520,TasaUSD))</f>
        <v/>
      </c>
      <c r="S2520" s="53">
        <f>IF(P2520="","",IF(H2520="USD",G2520*R2520,G2520))</f>
        <v/>
      </c>
      <c r="T2520" s="53">
        <f>IF(P2520="","",IF(H2520="USD",G2520,IF(R2520&gt;0,G2520/R2520,0)))</f>
        <v/>
      </c>
      <c r="U2520" s="53">
        <f>IF(P2520="","",IF(P2520="Gasto",S2520,IF(P2520="Reembolso",-S2520,0)))</f>
        <v/>
      </c>
      <c r="V2520" s="53">
        <f>IF(P2520="","",IF(P2520="Ingreso",S2520,0))</f>
        <v/>
      </c>
      <c r="W2520" s="53">
        <f>IF(P2520="","",IF(P2520="Resultado trading",S2520,0))</f>
        <v/>
      </c>
      <c r="X2520" s="52">
        <f>IF(OR(P2520="Gasto",P2520="Reembolso"),IF(M2520&lt;&gt;"",M2520,IFERROR(INDEX(catClasif,MATCH(D2520&amp;"|"&amp;E2520,catClave,0))&amp;"","Variable")),"")</f>
        <v/>
      </c>
      <c r="Y2520" s="52">
        <f>IF(P2520="","",IFERROR(INDEX(catGrupo,MATCH(D2520&amp;"|"&amp;E2520,catClave,0))&amp;"",""))</f>
        <v/>
      </c>
      <c r="Z2520" s="52">
        <f>IF(P2520="","",WEEKDAY(B2520,2))</f>
        <v/>
      </c>
      <c r="AA2520" s="52">
        <f>IF(P2520="","",IF(AND(P2520="Gasto",X2520="Variable",D2520&lt;&gt;catTrading,S2520&gt;0,S2520&lt;=Umbral),1,0))</f>
        <v/>
      </c>
      <c r="AB2520" s="52">
        <f>IF(OR(P2520="",Q2520=""),"",IFERROR(IF(INDEX(ctaVinc,MATCH(Q2520,ctaNombre,0))&amp;""&lt;&gt;"",INDEX(ctaVinc,MATCH(Q2520,ctaNombre,0))&amp;"",Q2520),Q2520))</f>
        <v/>
      </c>
      <c r="AC2520" s="52">
        <f>IF(OR(K2520="",AND(P2520&lt;&gt;"Transferencia",P2520&lt;&gt;"Pago tarjeta")),"",IFERROR(IF(INDEX(ctaVinc,MATCH(K2520,ctaNombre,0))&amp;""&lt;&gt;"",INDEX(ctaVinc,MATCH(K2520,ctaNombre,0))&amp;"",K2520),K2520))</f>
        <v/>
      </c>
      <c r="AD2520" s="52">
        <f>IF(AB2520="","",IFERROR(INDEX(ctaTipo,MATCH(AB2520,ctaNombre,0))&amp;"",""))</f>
        <v/>
      </c>
      <c r="AE2520" s="52">
        <f>IF(AC2520="","",IFERROR(INDEX(ctaTipo,MATCH(AC2520,ctaNombre,0))&amp;"",""))</f>
        <v/>
      </c>
      <c r="AF2520" s="53">
        <f>IF(OR(P2520="",AB2520=""),"",IF(OR(P2520="Gasto",P2520="Transferencia",P2520="Pago tarjeta"),-1,1)*IF(IFERROR(INDEX(ctaMoneda,MATCH(AB2520,ctaNombre,0))&amp;"","DOP")="USD",T2520,S2520))</f>
        <v/>
      </c>
      <c r="AG2520" s="53">
        <f>IF(AC2520="","",IF(IFERROR(INDEX(ctaMoneda,MATCH(AC2520,ctaNombre,0))&amp;"","DOP")="USD",T2520,S2520))</f>
        <v/>
      </c>
      <c r="AH2520" s="53">
        <f>IF(P2520="","",IF(AND(AD2520&lt;&gt;"",COUNTIFS(tcTipo,AD2520,tcLiq,"Sí")&gt;0),IF(OR(P2520="Gasto",P2520="Transferencia",P2520="Pago tarjeta"),-1,1)*S2520,0)+IF(AND(AE2520&lt;&gt;"",COUNTIFS(tcTipo,AE2520,tcLiq,"Sí")&gt;0),S2520,0))</f>
        <v/>
      </c>
      <c r="AI2520" s="52">
        <f>IF(OR(L2520="",P2520=""),"",IF(COUNTIFS(L$6:L2520,L2520,P$6:P2520,"?*")=1,MAX(AI$5:AI2519)+1,""))</f>
        <v/>
      </c>
    </row>
    <row r="2521">
      <c r="B2521" s="47" t="n"/>
      <c r="C2521" s="48" t="n"/>
      <c r="D2521" s="48" t="n"/>
      <c r="E2521" s="48" t="n"/>
      <c r="F2521" s="48" t="n"/>
      <c r="G2521" s="49" t="n"/>
      <c r="H2521" s="48" t="n"/>
      <c r="I2521" s="50" t="n"/>
      <c r="J2521" s="48" t="n"/>
      <c r="K2521" s="48" t="n"/>
      <c r="L2521" s="48" t="n"/>
      <c r="M2521" s="48" t="n"/>
      <c r="N2521" s="48" t="n"/>
      <c r="O2521" s="51">
        <f>IF(AND(B2521="",G2521="",C2521="",D2521="",J2521=""),"",IF(B2521="","⚠ Falta fecha",IF(G2521="","⚠ Falta monto",IF(Q2521="","⚠ Falta cuenta",IF(ISNA(MATCH(Q2521,ctaNombre,0)),"⚠ Cuenta no registrada",IF(AND(OR(P2521="Gasto",P2521="Reembolso"),D2521=""),"⚠ Falta categoría",IF(AND(D2521&lt;&gt;"",E2521&lt;&gt;"",ISNA(MATCH(D2521&amp;"|"&amp;E2521,catClave,0))),"⚠ Subcategoría no corresponde",IF(AND(OR(P2521="Transferencia",P2521="Pago tarjeta"),K2521=""),"⚠ Falta cuenta destino",IF(AND(K2521&lt;&gt;"",P2521&lt;&gt;"Transferencia",P2521&lt;&gt;"Pago tarjeta"),"⚠ Destino solo aplica a transferencias",IF(AND(K2521&lt;&gt;"",K2521=Q2521),"⚠ Origen igual a destino",IF(AND(K2521&lt;&gt;"",ISNA(MATCH(K2521,ctaNombre,0))),"⚠ Destino no registrado",IF(AND(P2521="Pago tarjeta",AE2521&lt;&gt;"Tarjeta de crédito"),"⚠ El destino debe ser tarjeta de crédito",IF(AND(P2521="Gasto",E2521="Depósitos y retiros"),"⚠ Usa tipo Transferencia",IF(AND(P2521="Resultado trading",AD2521&lt;&gt;"Cuenta de trading"),"⚠ Usa una cuenta de trading",IF(AND(G2521&lt;=0,P2521&lt;&gt;"Ajuste",P2521&lt;&gt;"Resultado trading"),"⚠ El monto debe ser positivo","✓")))))))))))))))</f>
        <v/>
      </c>
      <c r="P2521" s="52">
        <f>IF(OR(B2521="",G2521=""),"",IF(C2521="","Gasto",C2521))</f>
        <v/>
      </c>
      <c r="Q2521" s="52">
        <f>IF(P2521="","",IF(J2521&lt;&gt;"",J2521,CuentaPred&amp;""))</f>
        <v/>
      </c>
      <c r="R2521" s="52">
        <f>IF(P2521="","",IF(ISNUMBER(I2521),I2521,TasaUSD))</f>
        <v/>
      </c>
      <c r="S2521" s="53">
        <f>IF(P2521="","",IF(H2521="USD",G2521*R2521,G2521))</f>
        <v/>
      </c>
      <c r="T2521" s="53">
        <f>IF(P2521="","",IF(H2521="USD",G2521,IF(R2521&gt;0,G2521/R2521,0)))</f>
        <v/>
      </c>
      <c r="U2521" s="53">
        <f>IF(P2521="","",IF(P2521="Gasto",S2521,IF(P2521="Reembolso",-S2521,0)))</f>
        <v/>
      </c>
      <c r="V2521" s="53">
        <f>IF(P2521="","",IF(P2521="Ingreso",S2521,0))</f>
        <v/>
      </c>
      <c r="W2521" s="53">
        <f>IF(P2521="","",IF(P2521="Resultado trading",S2521,0))</f>
        <v/>
      </c>
      <c r="X2521" s="52">
        <f>IF(OR(P2521="Gasto",P2521="Reembolso"),IF(M2521&lt;&gt;"",M2521,IFERROR(INDEX(catClasif,MATCH(D2521&amp;"|"&amp;E2521,catClave,0))&amp;"","Variable")),"")</f>
        <v/>
      </c>
      <c r="Y2521" s="52">
        <f>IF(P2521="","",IFERROR(INDEX(catGrupo,MATCH(D2521&amp;"|"&amp;E2521,catClave,0))&amp;"",""))</f>
        <v/>
      </c>
      <c r="Z2521" s="52">
        <f>IF(P2521="","",WEEKDAY(B2521,2))</f>
        <v/>
      </c>
      <c r="AA2521" s="52">
        <f>IF(P2521="","",IF(AND(P2521="Gasto",X2521="Variable",D2521&lt;&gt;catTrading,S2521&gt;0,S2521&lt;=Umbral),1,0))</f>
        <v/>
      </c>
      <c r="AB2521" s="52">
        <f>IF(OR(P2521="",Q2521=""),"",IFERROR(IF(INDEX(ctaVinc,MATCH(Q2521,ctaNombre,0))&amp;""&lt;&gt;"",INDEX(ctaVinc,MATCH(Q2521,ctaNombre,0))&amp;"",Q2521),Q2521))</f>
        <v/>
      </c>
      <c r="AC2521" s="52">
        <f>IF(OR(K2521="",AND(P2521&lt;&gt;"Transferencia",P2521&lt;&gt;"Pago tarjeta")),"",IFERROR(IF(INDEX(ctaVinc,MATCH(K2521,ctaNombre,0))&amp;""&lt;&gt;"",INDEX(ctaVinc,MATCH(K2521,ctaNombre,0))&amp;"",K2521),K2521))</f>
        <v/>
      </c>
      <c r="AD2521" s="52">
        <f>IF(AB2521="","",IFERROR(INDEX(ctaTipo,MATCH(AB2521,ctaNombre,0))&amp;"",""))</f>
        <v/>
      </c>
      <c r="AE2521" s="52">
        <f>IF(AC2521="","",IFERROR(INDEX(ctaTipo,MATCH(AC2521,ctaNombre,0))&amp;"",""))</f>
        <v/>
      </c>
      <c r="AF2521" s="53">
        <f>IF(OR(P2521="",AB2521=""),"",IF(OR(P2521="Gasto",P2521="Transferencia",P2521="Pago tarjeta"),-1,1)*IF(IFERROR(INDEX(ctaMoneda,MATCH(AB2521,ctaNombre,0))&amp;"","DOP")="USD",T2521,S2521))</f>
        <v/>
      </c>
      <c r="AG2521" s="53">
        <f>IF(AC2521="","",IF(IFERROR(INDEX(ctaMoneda,MATCH(AC2521,ctaNombre,0))&amp;"","DOP")="USD",T2521,S2521))</f>
        <v/>
      </c>
      <c r="AH2521" s="53">
        <f>IF(P2521="","",IF(AND(AD2521&lt;&gt;"",COUNTIFS(tcTipo,AD2521,tcLiq,"Sí")&gt;0),IF(OR(P2521="Gasto",P2521="Transferencia",P2521="Pago tarjeta"),-1,1)*S2521,0)+IF(AND(AE2521&lt;&gt;"",COUNTIFS(tcTipo,AE2521,tcLiq,"Sí")&gt;0),S2521,0))</f>
        <v/>
      </c>
      <c r="AI2521" s="52">
        <f>IF(OR(L2521="",P2521=""),"",IF(COUNTIFS(L$6:L2521,L2521,P$6:P2521,"?*")=1,MAX(AI$5:AI2520)+1,""))</f>
        <v/>
      </c>
    </row>
    <row r="2522">
      <c r="B2522" s="47" t="n"/>
      <c r="C2522" s="48" t="n"/>
      <c r="D2522" s="48" t="n"/>
      <c r="E2522" s="48" t="n"/>
      <c r="F2522" s="48" t="n"/>
      <c r="G2522" s="49" t="n"/>
      <c r="H2522" s="48" t="n"/>
      <c r="I2522" s="50" t="n"/>
      <c r="J2522" s="48" t="n"/>
      <c r="K2522" s="48" t="n"/>
      <c r="L2522" s="48" t="n"/>
      <c r="M2522" s="48" t="n"/>
      <c r="N2522" s="48" t="n"/>
      <c r="O2522" s="51">
        <f>IF(AND(B2522="",G2522="",C2522="",D2522="",J2522=""),"",IF(B2522="","⚠ Falta fecha",IF(G2522="","⚠ Falta monto",IF(Q2522="","⚠ Falta cuenta",IF(ISNA(MATCH(Q2522,ctaNombre,0)),"⚠ Cuenta no registrada",IF(AND(OR(P2522="Gasto",P2522="Reembolso"),D2522=""),"⚠ Falta categoría",IF(AND(D2522&lt;&gt;"",E2522&lt;&gt;"",ISNA(MATCH(D2522&amp;"|"&amp;E2522,catClave,0))),"⚠ Subcategoría no corresponde",IF(AND(OR(P2522="Transferencia",P2522="Pago tarjeta"),K2522=""),"⚠ Falta cuenta destino",IF(AND(K2522&lt;&gt;"",P2522&lt;&gt;"Transferencia",P2522&lt;&gt;"Pago tarjeta"),"⚠ Destino solo aplica a transferencias",IF(AND(K2522&lt;&gt;"",K2522=Q2522),"⚠ Origen igual a destino",IF(AND(K2522&lt;&gt;"",ISNA(MATCH(K2522,ctaNombre,0))),"⚠ Destino no registrado",IF(AND(P2522="Pago tarjeta",AE2522&lt;&gt;"Tarjeta de crédito"),"⚠ El destino debe ser tarjeta de crédito",IF(AND(P2522="Gasto",E2522="Depósitos y retiros"),"⚠ Usa tipo Transferencia",IF(AND(P2522="Resultado trading",AD2522&lt;&gt;"Cuenta de trading"),"⚠ Usa una cuenta de trading",IF(AND(G2522&lt;=0,P2522&lt;&gt;"Ajuste",P2522&lt;&gt;"Resultado trading"),"⚠ El monto debe ser positivo","✓")))))))))))))))</f>
        <v/>
      </c>
      <c r="P2522" s="52">
        <f>IF(OR(B2522="",G2522=""),"",IF(C2522="","Gasto",C2522))</f>
        <v/>
      </c>
      <c r="Q2522" s="52">
        <f>IF(P2522="","",IF(J2522&lt;&gt;"",J2522,CuentaPred&amp;""))</f>
        <v/>
      </c>
      <c r="R2522" s="52">
        <f>IF(P2522="","",IF(ISNUMBER(I2522),I2522,TasaUSD))</f>
        <v/>
      </c>
      <c r="S2522" s="53">
        <f>IF(P2522="","",IF(H2522="USD",G2522*R2522,G2522))</f>
        <v/>
      </c>
      <c r="T2522" s="53">
        <f>IF(P2522="","",IF(H2522="USD",G2522,IF(R2522&gt;0,G2522/R2522,0)))</f>
        <v/>
      </c>
      <c r="U2522" s="53">
        <f>IF(P2522="","",IF(P2522="Gasto",S2522,IF(P2522="Reembolso",-S2522,0)))</f>
        <v/>
      </c>
      <c r="V2522" s="53">
        <f>IF(P2522="","",IF(P2522="Ingreso",S2522,0))</f>
        <v/>
      </c>
      <c r="W2522" s="53">
        <f>IF(P2522="","",IF(P2522="Resultado trading",S2522,0))</f>
        <v/>
      </c>
      <c r="X2522" s="52">
        <f>IF(OR(P2522="Gasto",P2522="Reembolso"),IF(M2522&lt;&gt;"",M2522,IFERROR(INDEX(catClasif,MATCH(D2522&amp;"|"&amp;E2522,catClave,0))&amp;"","Variable")),"")</f>
        <v/>
      </c>
      <c r="Y2522" s="52">
        <f>IF(P2522="","",IFERROR(INDEX(catGrupo,MATCH(D2522&amp;"|"&amp;E2522,catClave,0))&amp;"",""))</f>
        <v/>
      </c>
      <c r="Z2522" s="52">
        <f>IF(P2522="","",WEEKDAY(B2522,2))</f>
        <v/>
      </c>
      <c r="AA2522" s="52">
        <f>IF(P2522="","",IF(AND(P2522="Gasto",X2522="Variable",D2522&lt;&gt;catTrading,S2522&gt;0,S2522&lt;=Umbral),1,0))</f>
        <v/>
      </c>
      <c r="AB2522" s="52">
        <f>IF(OR(P2522="",Q2522=""),"",IFERROR(IF(INDEX(ctaVinc,MATCH(Q2522,ctaNombre,0))&amp;""&lt;&gt;"",INDEX(ctaVinc,MATCH(Q2522,ctaNombre,0))&amp;"",Q2522),Q2522))</f>
        <v/>
      </c>
      <c r="AC2522" s="52">
        <f>IF(OR(K2522="",AND(P2522&lt;&gt;"Transferencia",P2522&lt;&gt;"Pago tarjeta")),"",IFERROR(IF(INDEX(ctaVinc,MATCH(K2522,ctaNombre,0))&amp;""&lt;&gt;"",INDEX(ctaVinc,MATCH(K2522,ctaNombre,0))&amp;"",K2522),K2522))</f>
        <v/>
      </c>
      <c r="AD2522" s="52">
        <f>IF(AB2522="","",IFERROR(INDEX(ctaTipo,MATCH(AB2522,ctaNombre,0))&amp;"",""))</f>
        <v/>
      </c>
      <c r="AE2522" s="52">
        <f>IF(AC2522="","",IFERROR(INDEX(ctaTipo,MATCH(AC2522,ctaNombre,0))&amp;"",""))</f>
        <v/>
      </c>
      <c r="AF2522" s="53">
        <f>IF(OR(P2522="",AB2522=""),"",IF(OR(P2522="Gasto",P2522="Transferencia",P2522="Pago tarjeta"),-1,1)*IF(IFERROR(INDEX(ctaMoneda,MATCH(AB2522,ctaNombre,0))&amp;"","DOP")="USD",T2522,S2522))</f>
        <v/>
      </c>
      <c r="AG2522" s="53">
        <f>IF(AC2522="","",IF(IFERROR(INDEX(ctaMoneda,MATCH(AC2522,ctaNombre,0))&amp;"","DOP")="USD",T2522,S2522))</f>
        <v/>
      </c>
      <c r="AH2522" s="53">
        <f>IF(P2522="","",IF(AND(AD2522&lt;&gt;"",COUNTIFS(tcTipo,AD2522,tcLiq,"Sí")&gt;0),IF(OR(P2522="Gasto",P2522="Transferencia",P2522="Pago tarjeta"),-1,1)*S2522,0)+IF(AND(AE2522&lt;&gt;"",COUNTIFS(tcTipo,AE2522,tcLiq,"Sí")&gt;0),S2522,0))</f>
        <v/>
      </c>
      <c r="AI2522" s="52">
        <f>IF(OR(L2522="",P2522=""),"",IF(COUNTIFS(L$6:L2522,L2522,P$6:P2522,"?*")=1,MAX(AI$5:AI2521)+1,""))</f>
        <v/>
      </c>
    </row>
    <row r="2523">
      <c r="B2523" s="47" t="n"/>
      <c r="C2523" s="48" t="n"/>
      <c r="D2523" s="48" t="n"/>
      <c r="E2523" s="48" t="n"/>
      <c r="F2523" s="48" t="n"/>
      <c r="G2523" s="49" t="n"/>
      <c r="H2523" s="48" t="n"/>
      <c r="I2523" s="50" t="n"/>
      <c r="J2523" s="48" t="n"/>
      <c r="K2523" s="48" t="n"/>
      <c r="L2523" s="48" t="n"/>
      <c r="M2523" s="48" t="n"/>
      <c r="N2523" s="48" t="n"/>
      <c r="O2523" s="51">
        <f>IF(AND(B2523="",G2523="",C2523="",D2523="",J2523=""),"",IF(B2523="","⚠ Falta fecha",IF(G2523="","⚠ Falta monto",IF(Q2523="","⚠ Falta cuenta",IF(ISNA(MATCH(Q2523,ctaNombre,0)),"⚠ Cuenta no registrada",IF(AND(OR(P2523="Gasto",P2523="Reembolso"),D2523=""),"⚠ Falta categoría",IF(AND(D2523&lt;&gt;"",E2523&lt;&gt;"",ISNA(MATCH(D2523&amp;"|"&amp;E2523,catClave,0))),"⚠ Subcategoría no corresponde",IF(AND(OR(P2523="Transferencia",P2523="Pago tarjeta"),K2523=""),"⚠ Falta cuenta destino",IF(AND(K2523&lt;&gt;"",P2523&lt;&gt;"Transferencia",P2523&lt;&gt;"Pago tarjeta"),"⚠ Destino solo aplica a transferencias",IF(AND(K2523&lt;&gt;"",K2523=Q2523),"⚠ Origen igual a destino",IF(AND(K2523&lt;&gt;"",ISNA(MATCH(K2523,ctaNombre,0))),"⚠ Destino no registrado",IF(AND(P2523="Pago tarjeta",AE2523&lt;&gt;"Tarjeta de crédito"),"⚠ El destino debe ser tarjeta de crédito",IF(AND(P2523="Gasto",E2523="Depósitos y retiros"),"⚠ Usa tipo Transferencia",IF(AND(P2523="Resultado trading",AD2523&lt;&gt;"Cuenta de trading"),"⚠ Usa una cuenta de trading",IF(AND(G2523&lt;=0,P2523&lt;&gt;"Ajuste",P2523&lt;&gt;"Resultado trading"),"⚠ El monto debe ser positivo","✓")))))))))))))))</f>
        <v/>
      </c>
      <c r="P2523" s="52">
        <f>IF(OR(B2523="",G2523=""),"",IF(C2523="","Gasto",C2523))</f>
        <v/>
      </c>
      <c r="Q2523" s="52">
        <f>IF(P2523="","",IF(J2523&lt;&gt;"",J2523,CuentaPred&amp;""))</f>
        <v/>
      </c>
      <c r="R2523" s="52">
        <f>IF(P2523="","",IF(ISNUMBER(I2523),I2523,TasaUSD))</f>
        <v/>
      </c>
      <c r="S2523" s="53">
        <f>IF(P2523="","",IF(H2523="USD",G2523*R2523,G2523))</f>
        <v/>
      </c>
      <c r="T2523" s="53">
        <f>IF(P2523="","",IF(H2523="USD",G2523,IF(R2523&gt;0,G2523/R2523,0)))</f>
        <v/>
      </c>
      <c r="U2523" s="53">
        <f>IF(P2523="","",IF(P2523="Gasto",S2523,IF(P2523="Reembolso",-S2523,0)))</f>
        <v/>
      </c>
      <c r="V2523" s="53">
        <f>IF(P2523="","",IF(P2523="Ingreso",S2523,0))</f>
        <v/>
      </c>
      <c r="W2523" s="53">
        <f>IF(P2523="","",IF(P2523="Resultado trading",S2523,0))</f>
        <v/>
      </c>
      <c r="X2523" s="52">
        <f>IF(OR(P2523="Gasto",P2523="Reembolso"),IF(M2523&lt;&gt;"",M2523,IFERROR(INDEX(catClasif,MATCH(D2523&amp;"|"&amp;E2523,catClave,0))&amp;"","Variable")),"")</f>
        <v/>
      </c>
      <c r="Y2523" s="52">
        <f>IF(P2523="","",IFERROR(INDEX(catGrupo,MATCH(D2523&amp;"|"&amp;E2523,catClave,0))&amp;"",""))</f>
        <v/>
      </c>
      <c r="Z2523" s="52">
        <f>IF(P2523="","",WEEKDAY(B2523,2))</f>
        <v/>
      </c>
      <c r="AA2523" s="52">
        <f>IF(P2523="","",IF(AND(P2523="Gasto",X2523="Variable",D2523&lt;&gt;catTrading,S2523&gt;0,S2523&lt;=Umbral),1,0))</f>
        <v/>
      </c>
      <c r="AB2523" s="52">
        <f>IF(OR(P2523="",Q2523=""),"",IFERROR(IF(INDEX(ctaVinc,MATCH(Q2523,ctaNombre,0))&amp;""&lt;&gt;"",INDEX(ctaVinc,MATCH(Q2523,ctaNombre,0))&amp;"",Q2523),Q2523))</f>
        <v/>
      </c>
      <c r="AC2523" s="52">
        <f>IF(OR(K2523="",AND(P2523&lt;&gt;"Transferencia",P2523&lt;&gt;"Pago tarjeta")),"",IFERROR(IF(INDEX(ctaVinc,MATCH(K2523,ctaNombre,0))&amp;""&lt;&gt;"",INDEX(ctaVinc,MATCH(K2523,ctaNombre,0))&amp;"",K2523),K2523))</f>
        <v/>
      </c>
      <c r="AD2523" s="52">
        <f>IF(AB2523="","",IFERROR(INDEX(ctaTipo,MATCH(AB2523,ctaNombre,0))&amp;"",""))</f>
        <v/>
      </c>
      <c r="AE2523" s="52">
        <f>IF(AC2523="","",IFERROR(INDEX(ctaTipo,MATCH(AC2523,ctaNombre,0))&amp;"",""))</f>
        <v/>
      </c>
      <c r="AF2523" s="53">
        <f>IF(OR(P2523="",AB2523=""),"",IF(OR(P2523="Gasto",P2523="Transferencia",P2523="Pago tarjeta"),-1,1)*IF(IFERROR(INDEX(ctaMoneda,MATCH(AB2523,ctaNombre,0))&amp;"","DOP")="USD",T2523,S2523))</f>
        <v/>
      </c>
      <c r="AG2523" s="53">
        <f>IF(AC2523="","",IF(IFERROR(INDEX(ctaMoneda,MATCH(AC2523,ctaNombre,0))&amp;"","DOP")="USD",T2523,S2523))</f>
        <v/>
      </c>
      <c r="AH2523" s="53">
        <f>IF(P2523="","",IF(AND(AD2523&lt;&gt;"",COUNTIFS(tcTipo,AD2523,tcLiq,"Sí")&gt;0),IF(OR(P2523="Gasto",P2523="Transferencia",P2523="Pago tarjeta"),-1,1)*S2523,0)+IF(AND(AE2523&lt;&gt;"",COUNTIFS(tcTipo,AE2523,tcLiq,"Sí")&gt;0),S2523,0))</f>
        <v/>
      </c>
      <c r="AI2523" s="52">
        <f>IF(OR(L2523="",P2523=""),"",IF(COUNTIFS(L$6:L2523,L2523,P$6:P2523,"?*")=1,MAX(AI$5:AI2522)+1,""))</f>
        <v/>
      </c>
    </row>
    <row r="2524">
      <c r="B2524" s="47" t="n"/>
      <c r="C2524" s="48" t="n"/>
      <c r="D2524" s="48" t="n"/>
      <c r="E2524" s="48" t="n"/>
      <c r="F2524" s="48" t="n"/>
      <c r="G2524" s="49" t="n"/>
      <c r="H2524" s="48" t="n"/>
      <c r="I2524" s="50" t="n"/>
      <c r="J2524" s="48" t="n"/>
      <c r="K2524" s="48" t="n"/>
      <c r="L2524" s="48" t="n"/>
      <c r="M2524" s="48" t="n"/>
      <c r="N2524" s="48" t="n"/>
      <c r="O2524" s="51">
        <f>IF(AND(B2524="",G2524="",C2524="",D2524="",J2524=""),"",IF(B2524="","⚠ Falta fecha",IF(G2524="","⚠ Falta monto",IF(Q2524="","⚠ Falta cuenta",IF(ISNA(MATCH(Q2524,ctaNombre,0)),"⚠ Cuenta no registrada",IF(AND(OR(P2524="Gasto",P2524="Reembolso"),D2524=""),"⚠ Falta categoría",IF(AND(D2524&lt;&gt;"",E2524&lt;&gt;"",ISNA(MATCH(D2524&amp;"|"&amp;E2524,catClave,0))),"⚠ Subcategoría no corresponde",IF(AND(OR(P2524="Transferencia",P2524="Pago tarjeta"),K2524=""),"⚠ Falta cuenta destino",IF(AND(K2524&lt;&gt;"",P2524&lt;&gt;"Transferencia",P2524&lt;&gt;"Pago tarjeta"),"⚠ Destino solo aplica a transferencias",IF(AND(K2524&lt;&gt;"",K2524=Q2524),"⚠ Origen igual a destino",IF(AND(K2524&lt;&gt;"",ISNA(MATCH(K2524,ctaNombre,0))),"⚠ Destino no registrado",IF(AND(P2524="Pago tarjeta",AE2524&lt;&gt;"Tarjeta de crédito"),"⚠ El destino debe ser tarjeta de crédito",IF(AND(P2524="Gasto",E2524="Depósitos y retiros"),"⚠ Usa tipo Transferencia",IF(AND(P2524="Resultado trading",AD2524&lt;&gt;"Cuenta de trading"),"⚠ Usa una cuenta de trading",IF(AND(G2524&lt;=0,P2524&lt;&gt;"Ajuste",P2524&lt;&gt;"Resultado trading"),"⚠ El monto debe ser positivo","✓")))))))))))))))</f>
        <v/>
      </c>
      <c r="P2524" s="52">
        <f>IF(OR(B2524="",G2524=""),"",IF(C2524="","Gasto",C2524))</f>
        <v/>
      </c>
      <c r="Q2524" s="52">
        <f>IF(P2524="","",IF(J2524&lt;&gt;"",J2524,CuentaPred&amp;""))</f>
        <v/>
      </c>
      <c r="R2524" s="52">
        <f>IF(P2524="","",IF(ISNUMBER(I2524),I2524,TasaUSD))</f>
        <v/>
      </c>
      <c r="S2524" s="53">
        <f>IF(P2524="","",IF(H2524="USD",G2524*R2524,G2524))</f>
        <v/>
      </c>
      <c r="T2524" s="53">
        <f>IF(P2524="","",IF(H2524="USD",G2524,IF(R2524&gt;0,G2524/R2524,0)))</f>
        <v/>
      </c>
      <c r="U2524" s="53">
        <f>IF(P2524="","",IF(P2524="Gasto",S2524,IF(P2524="Reembolso",-S2524,0)))</f>
        <v/>
      </c>
      <c r="V2524" s="53">
        <f>IF(P2524="","",IF(P2524="Ingreso",S2524,0))</f>
        <v/>
      </c>
      <c r="W2524" s="53">
        <f>IF(P2524="","",IF(P2524="Resultado trading",S2524,0))</f>
        <v/>
      </c>
      <c r="X2524" s="52">
        <f>IF(OR(P2524="Gasto",P2524="Reembolso"),IF(M2524&lt;&gt;"",M2524,IFERROR(INDEX(catClasif,MATCH(D2524&amp;"|"&amp;E2524,catClave,0))&amp;"","Variable")),"")</f>
        <v/>
      </c>
      <c r="Y2524" s="52">
        <f>IF(P2524="","",IFERROR(INDEX(catGrupo,MATCH(D2524&amp;"|"&amp;E2524,catClave,0))&amp;"",""))</f>
        <v/>
      </c>
      <c r="Z2524" s="52">
        <f>IF(P2524="","",WEEKDAY(B2524,2))</f>
        <v/>
      </c>
      <c r="AA2524" s="52">
        <f>IF(P2524="","",IF(AND(P2524="Gasto",X2524="Variable",D2524&lt;&gt;catTrading,S2524&gt;0,S2524&lt;=Umbral),1,0))</f>
        <v/>
      </c>
      <c r="AB2524" s="52">
        <f>IF(OR(P2524="",Q2524=""),"",IFERROR(IF(INDEX(ctaVinc,MATCH(Q2524,ctaNombre,0))&amp;""&lt;&gt;"",INDEX(ctaVinc,MATCH(Q2524,ctaNombre,0))&amp;"",Q2524),Q2524))</f>
        <v/>
      </c>
      <c r="AC2524" s="52">
        <f>IF(OR(K2524="",AND(P2524&lt;&gt;"Transferencia",P2524&lt;&gt;"Pago tarjeta")),"",IFERROR(IF(INDEX(ctaVinc,MATCH(K2524,ctaNombre,0))&amp;""&lt;&gt;"",INDEX(ctaVinc,MATCH(K2524,ctaNombre,0))&amp;"",K2524),K2524))</f>
        <v/>
      </c>
      <c r="AD2524" s="52">
        <f>IF(AB2524="","",IFERROR(INDEX(ctaTipo,MATCH(AB2524,ctaNombre,0))&amp;"",""))</f>
        <v/>
      </c>
      <c r="AE2524" s="52">
        <f>IF(AC2524="","",IFERROR(INDEX(ctaTipo,MATCH(AC2524,ctaNombre,0))&amp;"",""))</f>
        <v/>
      </c>
      <c r="AF2524" s="53">
        <f>IF(OR(P2524="",AB2524=""),"",IF(OR(P2524="Gasto",P2524="Transferencia",P2524="Pago tarjeta"),-1,1)*IF(IFERROR(INDEX(ctaMoneda,MATCH(AB2524,ctaNombre,0))&amp;"","DOP")="USD",T2524,S2524))</f>
        <v/>
      </c>
      <c r="AG2524" s="53">
        <f>IF(AC2524="","",IF(IFERROR(INDEX(ctaMoneda,MATCH(AC2524,ctaNombre,0))&amp;"","DOP")="USD",T2524,S2524))</f>
        <v/>
      </c>
      <c r="AH2524" s="53">
        <f>IF(P2524="","",IF(AND(AD2524&lt;&gt;"",COUNTIFS(tcTipo,AD2524,tcLiq,"Sí")&gt;0),IF(OR(P2524="Gasto",P2524="Transferencia",P2524="Pago tarjeta"),-1,1)*S2524,0)+IF(AND(AE2524&lt;&gt;"",COUNTIFS(tcTipo,AE2524,tcLiq,"Sí")&gt;0),S2524,0))</f>
        <v/>
      </c>
      <c r="AI2524" s="52">
        <f>IF(OR(L2524="",P2524=""),"",IF(COUNTIFS(L$6:L2524,L2524,P$6:P2524,"?*")=1,MAX(AI$5:AI2523)+1,""))</f>
        <v/>
      </c>
    </row>
    <row r="2525">
      <c r="B2525" s="47" t="n"/>
      <c r="C2525" s="48" t="n"/>
      <c r="D2525" s="48" t="n"/>
      <c r="E2525" s="48" t="n"/>
      <c r="F2525" s="48" t="n"/>
      <c r="G2525" s="49" t="n"/>
      <c r="H2525" s="48" t="n"/>
      <c r="I2525" s="50" t="n"/>
      <c r="J2525" s="48" t="n"/>
      <c r="K2525" s="48" t="n"/>
      <c r="L2525" s="48" t="n"/>
      <c r="M2525" s="48" t="n"/>
      <c r="N2525" s="48" t="n"/>
      <c r="O2525" s="51">
        <f>IF(AND(B2525="",G2525="",C2525="",D2525="",J2525=""),"",IF(B2525="","⚠ Falta fecha",IF(G2525="","⚠ Falta monto",IF(Q2525="","⚠ Falta cuenta",IF(ISNA(MATCH(Q2525,ctaNombre,0)),"⚠ Cuenta no registrada",IF(AND(OR(P2525="Gasto",P2525="Reembolso"),D2525=""),"⚠ Falta categoría",IF(AND(D2525&lt;&gt;"",E2525&lt;&gt;"",ISNA(MATCH(D2525&amp;"|"&amp;E2525,catClave,0))),"⚠ Subcategoría no corresponde",IF(AND(OR(P2525="Transferencia",P2525="Pago tarjeta"),K2525=""),"⚠ Falta cuenta destino",IF(AND(K2525&lt;&gt;"",P2525&lt;&gt;"Transferencia",P2525&lt;&gt;"Pago tarjeta"),"⚠ Destino solo aplica a transferencias",IF(AND(K2525&lt;&gt;"",K2525=Q2525),"⚠ Origen igual a destino",IF(AND(K2525&lt;&gt;"",ISNA(MATCH(K2525,ctaNombre,0))),"⚠ Destino no registrado",IF(AND(P2525="Pago tarjeta",AE2525&lt;&gt;"Tarjeta de crédito"),"⚠ El destino debe ser tarjeta de crédito",IF(AND(P2525="Gasto",E2525="Depósitos y retiros"),"⚠ Usa tipo Transferencia",IF(AND(P2525="Resultado trading",AD2525&lt;&gt;"Cuenta de trading"),"⚠ Usa una cuenta de trading",IF(AND(G2525&lt;=0,P2525&lt;&gt;"Ajuste",P2525&lt;&gt;"Resultado trading"),"⚠ El monto debe ser positivo","✓")))))))))))))))</f>
        <v/>
      </c>
      <c r="P2525" s="52">
        <f>IF(OR(B2525="",G2525=""),"",IF(C2525="","Gasto",C2525))</f>
        <v/>
      </c>
      <c r="Q2525" s="52">
        <f>IF(P2525="","",IF(J2525&lt;&gt;"",J2525,CuentaPred&amp;""))</f>
        <v/>
      </c>
      <c r="R2525" s="52">
        <f>IF(P2525="","",IF(ISNUMBER(I2525),I2525,TasaUSD))</f>
        <v/>
      </c>
      <c r="S2525" s="53">
        <f>IF(P2525="","",IF(H2525="USD",G2525*R2525,G2525))</f>
        <v/>
      </c>
      <c r="T2525" s="53">
        <f>IF(P2525="","",IF(H2525="USD",G2525,IF(R2525&gt;0,G2525/R2525,0)))</f>
        <v/>
      </c>
      <c r="U2525" s="53">
        <f>IF(P2525="","",IF(P2525="Gasto",S2525,IF(P2525="Reembolso",-S2525,0)))</f>
        <v/>
      </c>
      <c r="V2525" s="53">
        <f>IF(P2525="","",IF(P2525="Ingreso",S2525,0))</f>
        <v/>
      </c>
      <c r="W2525" s="53">
        <f>IF(P2525="","",IF(P2525="Resultado trading",S2525,0))</f>
        <v/>
      </c>
      <c r="X2525" s="52">
        <f>IF(OR(P2525="Gasto",P2525="Reembolso"),IF(M2525&lt;&gt;"",M2525,IFERROR(INDEX(catClasif,MATCH(D2525&amp;"|"&amp;E2525,catClave,0))&amp;"","Variable")),"")</f>
        <v/>
      </c>
      <c r="Y2525" s="52">
        <f>IF(P2525="","",IFERROR(INDEX(catGrupo,MATCH(D2525&amp;"|"&amp;E2525,catClave,0))&amp;"",""))</f>
        <v/>
      </c>
      <c r="Z2525" s="52">
        <f>IF(P2525="","",WEEKDAY(B2525,2))</f>
        <v/>
      </c>
      <c r="AA2525" s="52">
        <f>IF(P2525="","",IF(AND(P2525="Gasto",X2525="Variable",D2525&lt;&gt;catTrading,S2525&gt;0,S2525&lt;=Umbral),1,0))</f>
        <v/>
      </c>
      <c r="AB2525" s="52">
        <f>IF(OR(P2525="",Q2525=""),"",IFERROR(IF(INDEX(ctaVinc,MATCH(Q2525,ctaNombre,0))&amp;""&lt;&gt;"",INDEX(ctaVinc,MATCH(Q2525,ctaNombre,0))&amp;"",Q2525),Q2525))</f>
        <v/>
      </c>
      <c r="AC2525" s="52">
        <f>IF(OR(K2525="",AND(P2525&lt;&gt;"Transferencia",P2525&lt;&gt;"Pago tarjeta")),"",IFERROR(IF(INDEX(ctaVinc,MATCH(K2525,ctaNombre,0))&amp;""&lt;&gt;"",INDEX(ctaVinc,MATCH(K2525,ctaNombre,0))&amp;"",K2525),K2525))</f>
        <v/>
      </c>
      <c r="AD2525" s="52">
        <f>IF(AB2525="","",IFERROR(INDEX(ctaTipo,MATCH(AB2525,ctaNombre,0))&amp;"",""))</f>
        <v/>
      </c>
      <c r="AE2525" s="52">
        <f>IF(AC2525="","",IFERROR(INDEX(ctaTipo,MATCH(AC2525,ctaNombre,0))&amp;"",""))</f>
        <v/>
      </c>
      <c r="AF2525" s="53">
        <f>IF(OR(P2525="",AB2525=""),"",IF(OR(P2525="Gasto",P2525="Transferencia",P2525="Pago tarjeta"),-1,1)*IF(IFERROR(INDEX(ctaMoneda,MATCH(AB2525,ctaNombre,0))&amp;"","DOP")="USD",T2525,S2525))</f>
        <v/>
      </c>
      <c r="AG2525" s="53">
        <f>IF(AC2525="","",IF(IFERROR(INDEX(ctaMoneda,MATCH(AC2525,ctaNombre,0))&amp;"","DOP")="USD",T2525,S2525))</f>
        <v/>
      </c>
      <c r="AH2525" s="53">
        <f>IF(P2525="","",IF(AND(AD2525&lt;&gt;"",COUNTIFS(tcTipo,AD2525,tcLiq,"Sí")&gt;0),IF(OR(P2525="Gasto",P2525="Transferencia",P2525="Pago tarjeta"),-1,1)*S2525,0)+IF(AND(AE2525&lt;&gt;"",COUNTIFS(tcTipo,AE2525,tcLiq,"Sí")&gt;0),S2525,0))</f>
        <v/>
      </c>
      <c r="AI2525" s="52">
        <f>IF(OR(L2525="",P2525=""),"",IF(COUNTIFS(L$6:L2525,L2525,P$6:P2525,"?*")=1,MAX(AI$5:AI2524)+1,""))</f>
        <v/>
      </c>
    </row>
    <row r="2526">
      <c r="B2526" s="47" t="n"/>
      <c r="C2526" s="48" t="n"/>
      <c r="D2526" s="48" t="n"/>
      <c r="E2526" s="48" t="n"/>
      <c r="F2526" s="48" t="n"/>
      <c r="G2526" s="49" t="n"/>
      <c r="H2526" s="48" t="n"/>
      <c r="I2526" s="50" t="n"/>
      <c r="J2526" s="48" t="n"/>
      <c r="K2526" s="48" t="n"/>
      <c r="L2526" s="48" t="n"/>
      <c r="M2526" s="48" t="n"/>
      <c r="N2526" s="48" t="n"/>
      <c r="O2526" s="51">
        <f>IF(AND(B2526="",G2526="",C2526="",D2526="",J2526=""),"",IF(B2526="","⚠ Falta fecha",IF(G2526="","⚠ Falta monto",IF(Q2526="","⚠ Falta cuenta",IF(ISNA(MATCH(Q2526,ctaNombre,0)),"⚠ Cuenta no registrada",IF(AND(OR(P2526="Gasto",P2526="Reembolso"),D2526=""),"⚠ Falta categoría",IF(AND(D2526&lt;&gt;"",E2526&lt;&gt;"",ISNA(MATCH(D2526&amp;"|"&amp;E2526,catClave,0))),"⚠ Subcategoría no corresponde",IF(AND(OR(P2526="Transferencia",P2526="Pago tarjeta"),K2526=""),"⚠ Falta cuenta destino",IF(AND(K2526&lt;&gt;"",P2526&lt;&gt;"Transferencia",P2526&lt;&gt;"Pago tarjeta"),"⚠ Destino solo aplica a transferencias",IF(AND(K2526&lt;&gt;"",K2526=Q2526),"⚠ Origen igual a destino",IF(AND(K2526&lt;&gt;"",ISNA(MATCH(K2526,ctaNombre,0))),"⚠ Destino no registrado",IF(AND(P2526="Pago tarjeta",AE2526&lt;&gt;"Tarjeta de crédito"),"⚠ El destino debe ser tarjeta de crédito",IF(AND(P2526="Gasto",E2526="Depósitos y retiros"),"⚠ Usa tipo Transferencia",IF(AND(P2526="Resultado trading",AD2526&lt;&gt;"Cuenta de trading"),"⚠ Usa una cuenta de trading",IF(AND(G2526&lt;=0,P2526&lt;&gt;"Ajuste",P2526&lt;&gt;"Resultado trading"),"⚠ El monto debe ser positivo","✓")))))))))))))))</f>
        <v/>
      </c>
      <c r="P2526" s="52">
        <f>IF(OR(B2526="",G2526=""),"",IF(C2526="","Gasto",C2526))</f>
        <v/>
      </c>
      <c r="Q2526" s="52">
        <f>IF(P2526="","",IF(J2526&lt;&gt;"",J2526,CuentaPred&amp;""))</f>
        <v/>
      </c>
      <c r="R2526" s="52">
        <f>IF(P2526="","",IF(ISNUMBER(I2526),I2526,TasaUSD))</f>
        <v/>
      </c>
      <c r="S2526" s="53">
        <f>IF(P2526="","",IF(H2526="USD",G2526*R2526,G2526))</f>
        <v/>
      </c>
      <c r="T2526" s="53">
        <f>IF(P2526="","",IF(H2526="USD",G2526,IF(R2526&gt;0,G2526/R2526,0)))</f>
        <v/>
      </c>
      <c r="U2526" s="53">
        <f>IF(P2526="","",IF(P2526="Gasto",S2526,IF(P2526="Reembolso",-S2526,0)))</f>
        <v/>
      </c>
      <c r="V2526" s="53">
        <f>IF(P2526="","",IF(P2526="Ingreso",S2526,0))</f>
        <v/>
      </c>
      <c r="W2526" s="53">
        <f>IF(P2526="","",IF(P2526="Resultado trading",S2526,0))</f>
        <v/>
      </c>
      <c r="X2526" s="52">
        <f>IF(OR(P2526="Gasto",P2526="Reembolso"),IF(M2526&lt;&gt;"",M2526,IFERROR(INDEX(catClasif,MATCH(D2526&amp;"|"&amp;E2526,catClave,0))&amp;"","Variable")),"")</f>
        <v/>
      </c>
      <c r="Y2526" s="52">
        <f>IF(P2526="","",IFERROR(INDEX(catGrupo,MATCH(D2526&amp;"|"&amp;E2526,catClave,0))&amp;"",""))</f>
        <v/>
      </c>
      <c r="Z2526" s="52">
        <f>IF(P2526="","",WEEKDAY(B2526,2))</f>
        <v/>
      </c>
      <c r="AA2526" s="52">
        <f>IF(P2526="","",IF(AND(P2526="Gasto",X2526="Variable",D2526&lt;&gt;catTrading,S2526&gt;0,S2526&lt;=Umbral),1,0))</f>
        <v/>
      </c>
      <c r="AB2526" s="52">
        <f>IF(OR(P2526="",Q2526=""),"",IFERROR(IF(INDEX(ctaVinc,MATCH(Q2526,ctaNombre,0))&amp;""&lt;&gt;"",INDEX(ctaVinc,MATCH(Q2526,ctaNombre,0))&amp;"",Q2526),Q2526))</f>
        <v/>
      </c>
      <c r="AC2526" s="52">
        <f>IF(OR(K2526="",AND(P2526&lt;&gt;"Transferencia",P2526&lt;&gt;"Pago tarjeta")),"",IFERROR(IF(INDEX(ctaVinc,MATCH(K2526,ctaNombre,0))&amp;""&lt;&gt;"",INDEX(ctaVinc,MATCH(K2526,ctaNombre,0))&amp;"",K2526),K2526))</f>
        <v/>
      </c>
      <c r="AD2526" s="52">
        <f>IF(AB2526="","",IFERROR(INDEX(ctaTipo,MATCH(AB2526,ctaNombre,0))&amp;"",""))</f>
        <v/>
      </c>
      <c r="AE2526" s="52">
        <f>IF(AC2526="","",IFERROR(INDEX(ctaTipo,MATCH(AC2526,ctaNombre,0))&amp;"",""))</f>
        <v/>
      </c>
      <c r="AF2526" s="53">
        <f>IF(OR(P2526="",AB2526=""),"",IF(OR(P2526="Gasto",P2526="Transferencia",P2526="Pago tarjeta"),-1,1)*IF(IFERROR(INDEX(ctaMoneda,MATCH(AB2526,ctaNombre,0))&amp;"","DOP")="USD",T2526,S2526))</f>
        <v/>
      </c>
      <c r="AG2526" s="53">
        <f>IF(AC2526="","",IF(IFERROR(INDEX(ctaMoneda,MATCH(AC2526,ctaNombre,0))&amp;"","DOP")="USD",T2526,S2526))</f>
        <v/>
      </c>
      <c r="AH2526" s="53">
        <f>IF(P2526="","",IF(AND(AD2526&lt;&gt;"",COUNTIFS(tcTipo,AD2526,tcLiq,"Sí")&gt;0),IF(OR(P2526="Gasto",P2526="Transferencia",P2526="Pago tarjeta"),-1,1)*S2526,0)+IF(AND(AE2526&lt;&gt;"",COUNTIFS(tcTipo,AE2526,tcLiq,"Sí")&gt;0),S2526,0))</f>
        <v/>
      </c>
      <c r="AI2526" s="52">
        <f>IF(OR(L2526="",P2526=""),"",IF(COUNTIFS(L$6:L2526,L2526,P$6:P2526,"?*")=1,MAX(AI$5:AI2525)+1,""))</f>
        <v/>
      </c>
    </row>
    <row r="2527">
      <c r="B2527" s="47" t="n"/>
      <c r="C2527" s="48" t="n"/>
      <c r="D2527" s="48" t="n"/>
      <c r="E2527" s="48" t="n"/>
      <c r="F2527" s="48" t="n"/>
      <c r="G2527" s="49" t="n"/>
      <c r="H2527" s="48" t="n"/>
      <c r="I2527" s="50" t="n"/>
      <c r="J2527" s="48" t="n"/>
      <c r="K2527" s="48" t="n"/>
      <c r="L2527" s="48" t="n"/>
      <c r="M2527" s="48" t="n"/>
      <c r="N2527" s="48" t="n"/>
      <c r="O2527" s="51">
        <f>IF(AND(B2527="",G2527="",C2527="",D2527="",J2527=""),"",IF(B2527="","⚠ Falta fecha",IF(G2527="","⚠ Falta monto",IF(Q2527="","⚠ Falta cuenta",IF(ISNA(MATCH(Q2527,ctaNombre,0)),"⚠ Cuenta no registrada",IF(AND(OR(P2527="Gasto",P2527="Reembolso"),D2527=""),"⚠ Falta categoría",IF(AND(D2527&lt;&gt;"",E2527&lt;&gt;"",ISNA(MATCH(D2527&amp;"|"&amp;E2527,catClave,0))),"⚠ Subcategoría no corresponde",IF(AND(OR(P2527="Transferencia",P2527="Pago tarjeta"),K2527=""),"⚠ Falta cuenta destino",IF(AND(K2527&lt;&gt;"",P2527&lt;&gt;"Transferencia",P2527&lt;&gt;"Pago tarjeta"),"⚠ Destino solo aplica a transferencias",IF(AND(K2527&lt;&gt;"",K2527=Q2527),"⚠ Origen igual a destino",IF(AND(K2527&lt;&gt;"",ISNA(MATCH(K2527,ctaNombre,0))),"⚠ Destino no registrado",IF(AND(P2527="Pago tarjeta",AE2527&lt;&gt;"Tarjeta de crédito"),"⚠ El destino debe ser tarjeta de crédito",IF(AND(P2527="Gasto",E2527="Depósitos y retiros"),"⚠ Usa tipo Transferencia",IF(AND(P2527="Resultado trading",AD2527&lt;&gt;"Cuenta de trading"),"⚠ Usa una cuenta de trading",IF(AND(G2527&lt;=0,P2527&lt;&gt;"Ajuste",P2527&lt;&gt;"Resultado trading"),"⚠ El monto debe ser positivo","✓")))))))))))))))</f>
        <v/>
      </c>
      <c r="P2527" s="52">
        <f>IF(OR(B2527="",G2527=""),"",IF(C2527="","Gasto",C2527))</f>
        <v/>
      </c>
      <c r="Q2527" s="52">
        <f>IF(P2527="","",IF(J2527&lt;&gt;"",J2527,CuentaPred&amp;""))</f>
        <v/>
      </c>
      <c r="R2527" s="52">
        <f>IF(P2527="","",IF(ISNUMBER(I2527),I2527,TasaUSD))</f>
        <v/>
      </c>
      <c r="S2527" s="53">
        <f>IF(P2527="","",IF(H2527="USD",G2527*R2527,G2527))</f>
        <v/>
      </c>
      <c r="T2527" s="53">
        <f>IF(P2527="","",IF(H2527="USD",G2527,IF(R2527&gt;0,G2527/R2527,0)))</f>
        <v/>
      </c>
      <c r="U2527" s="53">
        <f>IF(P2527="","",IF(P2527="Gasto",S2527,IF(P2527="Reembolso",-S2527,0)))</f>
        <v/>
      </c>
      <c r="V2527" s="53">
        <f>IF(P2527="","",IF(P2527="Ingreso",S2527,0))</f>
        <v/>
      </c>
      <c r="W2527" s="53">
        <f>IF(P2527="","",IF(P2527="Resultado trading",S2527,0))</f>
        <v/>
      </c>
      <c r="X2527" s="52">
        <f>IF(OR(P2527="Gasto",P2527="Reembolso"),IF(M2527&lt;&gt;"",M2527,IFERROR(INDEX(catClasif,MATCH(D2527&amp;"|"&amp;E2527,catClave,0))&amp;"","Variable")),"")</f>
        <v/>
      </c>
      <c r="Y2527" s="52">
        <f>IF(P2527="","",IFERROR(INDEX(catGrupo,MATCH(D2527&amp;"|"&amp;E2527,catClave,0))&amp;"",""))</f>
        <v/>
      </c>
      <c r="Z2527" s="52">
        <f>IF(P2527="","",WEEKDAY(B2527,2))</f>
        <v/>
      </c>
      <c r="AA2527" s="52">
        <f>IF(P2527="","",IF(AND(P2527="Gasto",X2527="Variable",D2527&lt;&gt;catTrading,S2527&gt;0,S2527&lt;=Umbral),1,0))</f>
        <v/>
      </c>
      <c r="AB2527" s="52">
        <f>IF(OR(P2527="",Q2527=""),"",IFERROR(IF(INDEX(ctaVinc,MATCH(Q2527,ctaNombre,0))&amp;""&lt;&gt;"",INDEX(ctaVinc,MATCH(Q2527,ctaNombre,0))&amp;"",Q2527),Q2527))</f>
        <v/>
      </c>
      <c r="AC2527" s="52">
        <f>IF(OR(K2527="",AND(P2527&lt;&gt;"Transferencia",P2527&lt;&gt;"Pago tarjeta")),"",IFERROR(IF(INDEX(ctaVinc,MATCH(K2527,ctaNombre,0))&amp;""&lt;&gt;"",INDEX(ctaVinc,MATCH(K2527,ctaNombre,0))&amp;"",K2527),K2527))</f>
        <v/>
      </c>
      <c r="AD2527" s="52">
        <f>IF(AB2527="","",IFERROR(INDEX(ctaTipo,MATCH(AB2527,ctaNombre,0))&amp;"",""))</f>
        <v/>
      </c>
      <c r="AE2527" s="52">
        <f>IF(AC2527="","",IFERROR(INDEX(ctaTipo,MATCH(AC2527,ctaNombre,0))&amp;"",""))</f>
        <v/>
      </c>
      <c r="AF2527" s="53">
        <f>IF(OR(P2527="",AB2527=""),"",IF(OR(P2527="Gasto",P2527="Transferencia",P2527="Pago tarjeta"),-1,1)*IF(IFERROR(INDEX(ctaMoneda,MATCH(AB2527,ctaNombre,0))&amp;"","DOP")="USD",T2527,S2527))</f>
        <v/>
      </c>
      <c r="AG2527" s="53">
        <f>IF(AC2527="","",IF(IFERROR(INDEX(ctaMoneda,MATCH(AC2527,ctaNombre,0))&amp;"","DOP")="USD",T2527,S2527))</f>
        <v/>
      </c>
      <c r="AH2527" s="53">
        <f>IF(P2527="","",IF(AND(AD2527&lt;&gt;"",COUNTIFS(tcTipo,AD2527,tcLiq,"Sí")&gt;0),IF(OR(P2527="Gasto",P2527="Transferencia",P2527="Pago tarjeta"),-1,1)*S2527,0)+IF(AND(AE2527&lt;&gt;"",COUNTIFS(tcTipo,AE2527,tcLiq,"Sí")&gt;0),S2527,0))</f>
        <v/>
      </c>
      <c r="AI2527" s="52">
        <f>IF(OR(L2527="",P2527=""),"",IF(COUNTIFS(L$6:L2527,L2527,P$6:P2527,"?*")=1,MAX(AI$5:AI2526)+1,""))</f>
        <v/>
      </c>
    </row>
    <row r="2528">
      <c r="B2528" s="47" t="n"/>
      <c r="C2528" s="48" t="n"/>
      <c r="D2528" s="48" t="n"/>
      <c r="E2528" s="48" t="n"/>
      <c r="F2528" s="48" t="n"/>
      <c r="G2528" s="49" t="n"/>
      <c r="H2528" s="48" t="n"/>
      <c r="I2528" s="50" t="n"/>
      <c r="J2528" s="48" t="n"/>
      <c r="K2528" s="48" t="n"/>
      <c r="L2528" s="48" t="n"/>
      <c r="M2528" s="48" t="n"/>
      <c r="N2528" s="48" t="n"/>
      <c r="O2528" s="51">
        <f>IF(AND(B2528="",G2528="",C2528="",D2528="",J2528=""),"",IF(B2528="","⚠ Falta fecha",IF(G2528="","⚠ Falta monto",IF(Q2528="","⚠ Falta cuenta",IF(ISNA(MATCH(Q2528,ctaNombre,0)),"⚠ Cuenta no registrada",IF(AND(OR(P2528="Gasto",P2528="Reembolso"),D2528=""),"⚠ Falta categoría",IF(AND(D2528&lt;&gt;"",E2528&lt;&gt;"",ISNA(MATCH(D2528&amp;"|"&amp;E2528,catClave,0))),"⚠ Subcategoría no corresponde",IF(AND(OR(P2528="Transferencia",P2528="Pago tarjeta"),K2528=""),"⚠ Falta cuenta destino",IF(AND(K2528&lt;&gt;"",P2528&lt;&gt;"Transferencia",P2528&lt;&gt;"Pago tarjeta"),"⚠ Destino solo aplica a transferencias",IF(AND(K2528&lt;&gt;"",K2528=Q2528),"⚠ Origen igual a destino",IF(AND(K2528&lt;&gt;"",ISNA(MATCH(K2528,ctaNombre,0))),"⚠ Destino no registrado",IF(AND(P2528="Pago tarjeta",AE2528&lt;&gt;"Tarjeta de crédito"),"⚠ El destino debe ser tarjeta de crédito",IF(AND(P2528="Gasto",E2528="Depósitos y retiros"),"⚠ Usa tipo Transferencia",IF(AND(P2528="Resultado trading",AD2528&lt;&gt;"Cuenta de trading"),"⚠ Usa una cuenta de trading",IF(AND(G2528&lt;=0,P2528&lt;&gt;"Ajuste",P2528&lt;&gt;"Resultado trading"),"⚠ El monto debe ser positivo","✓")))))))))))))))</f>
        <v/>
      </c>
      <c r="P2528" s="52">
        <f>IF(OR(B2528="",G2528=""),"",IF(C2528="","Gasto",C2528))</f>
        <v/>
      </c>
      <c r="Q2528" s="52">
        <f>IF(P2528="","",IF(J2528&lt;&gt;"",J2528,CuentaPred&amp;""))</f>
        <v/>
      </c>
      <c r="R2528" s="52">
        <f>IF(P2528="","",IF(ISNUMBER(I2528),I2528,TasaUSD))</f>
        <v/>
      </c>
      <c r="S2528" s="53">
        <f>IF(P2528="","",IF(H2528="USD",G2528*R2528,G2528))</f>
        <v/>
      </c>
      <c r="T2528" s="53">
        <f>IF(P2528="","",IF(H2528="USD",G2528,IF(R2528&gt;0,G2528/R2528,0)))</f>
        <v/>
      </c>
      <c r="U2528" s="53">
        <f>IF(P2528="","",IF(P2528="Gasto",S2528,IF(P2528="Reembolso",-S2528,0)))</f>
        <v/>
      </c>
      <c r="V2528" s="53">
        <f>IF(P2528="","",IF(P2528="Ingreso",S2528,0))</f>
        <v/>
      </c>
      <c r="W2528" s="53">
        <f>IF(P2528="","",IF(P2528="Resultado trading",S2528,0))</f>
        <v/>
      </c>
      <c r="X2528" s="52">
        <f>IF(OR(P2528="Gasto",P2528="Reembolso"),IF(M2528&lt;&gt;"",M2528,IFERROR(INDEX(catClasif,MATCH(D2528&amp;"|"&amp;E2528,catClave,0))&amp;"","Variable")),"")</f>
        <v/>
      </c>
      <c r="Y2528" s="52">
        <f>IF(P2528="","",IFERROR(INDEX(catGrupo,MATCH(D2528&amp;"|"&amp;E2528,catClave,0))&amp;"",""))</f>
        <v/>
      </c>
      <c r="Z2528" s="52">
        <f>IF(P2528="","",WEEKDAY(B2528,2))</f>
        <v/>
      </c>
      <c r="AA2528" s="52">
        <f>IF(P2528="","",IF(AND(P2528="Gasto",X2528="Variable",D2528&lt;&gt;catTrading,S2528&gt;0,S2528&lt;=Umbral),1,0))</f>
        <v/>
      </c>
      <c r="AB2528" s="52">
        <f>IF(OR(P2528="",Q2528=""),"",IFERROR(IF(INDEX(ctaVinc,MATCH(Q2528,ctaNombre,0))&amp;""&lt;&gt;"",INDEX(ctaVinc,MATCH(Q2528,ctaNombre,0))&amp;"",Q2528),Q2528))</f>
        <v/>
      </c>
      <c r="AC2528" s="52">
        <f>IF(OR(K2528="",AND(P2528&lt;&gt;"Transferencia",P2528&lt;&gt;"Pago tarjeta")),"",IFERROR(IF(INDEX(ctaVinc,MATCH(K2528,ctaNombre,0))&amp;""&lt;&gt;"",INDEX(ctaVinc,MATCH(K2528,ctaNombre,0))&amp;"",K2528),K2528))</f>
        <v/>
      </c>
      <c r="AD2528" s="52">
        <f>IF(AB2528="","",IFERROR(INDEX(ctaTipo,MATCH(AB2528,ctaNombre,0))&amp;"",""))</f>
        <v/>
      </c>
      <c r="AE2528" s="52">
        <f>IF(AC2528="","",IFERROR(INDEX(ctaTipo,MATCH(AC2528,ctaNombre,0))&amp;"",""))</f>
        <v/>
      </c>
      <c r="AF2528" s="53">
        <f>IF(OR(P2528="",AB2528=""),"",IF(OR(P2528="Gasto",P2528="Transferencia",P2528="Pago tarjeta"),-1,1)*IF(IFERROR(INDEX(ctaMoneda,MATCH(AB2528,ctaNombre,0))&amp;"","DOP")="USD",T2528,S2528))</f>
        <v/>
      </c>
      <c r="AG2528" s="53">
        <f>IF(AC2528="","",IF(IFERROR(INDEX(ctaMoneda,MATCH(AC2528,ctaNombre,0))&amp;"","DOP")="USD",T2528,S2528))</f>
        <v/>
      </c>
      <c r="AH2528" s="53">
        <f>IF(P2528="","",IF(AND(AD2528&lt;&gt;"",COUNTIFS(tcTipo,AD2528,tcLiq,"Sí")&gt;0),IF(OR(P2528="Gasto",P2528="Transferencia",P2528="Pago tarjeta"),-1,1)*S2528,0)+IF(AND(AE2528&lt;&gt;"",COUNTIFS(tcTipo,AE2528,tcLiq,"Sí")&gt;0),S2528,0))</f>
        <v/>
      </c>
      <c r="AI2528" s="52">
        <f>IF(OR(L2528="",P2528=""),"",IF(COUNTIFS(L$6:L2528,L2528,P$6:P2528,"?*")=1,MAX(AI$5:AI2527)+1,""))</f>
        <v/>
      </c>
    </row>
    <row r="2529">
      <c r="B2529" s="47" t="n"/>
      <c r="C2529" s="48" t="n"/>
      <c r="D2529" s="48" t="n"/>
      <c r="E2529" s="48" t="n"/>
      <c r="F2529" s="48" t="n"/>
      <c r="G2529" s="49" t="n"/>
      <c r="H2529" s="48" t="n"/>
      <c r="I2529" s="50" t="n"/>
      <c r="J2529" s="48" t="n"/>
      <c r="K2529" s="48" t="n"/>
      <c r="L2529" s="48" t="n"/>
      <c r="M2529" s="48" t="n"/>
      <c r="N2529" s="48" t="n"/>
      <c r="O2529" s="51">
        <f>IF(AND(B2529="",G2529="",C2529="",D2529="",J2529=""),"",IF(B2529="","⚠ Falta fecha",IF(G2529="","⚠ Falta monto",IF(Q2529="","⚠ Falta cuenta",IF(ISNA(MATCH(Q2529,ctaNombre,0)),"⚠ Cuenta no registrada",IF(AND(OR(P2529="Gasto",P2529="Reembolso"),D2529=""),"⚠ Falta categoría",IF(AND(D2529&lt;&gt;"",E2529&lt;&gt;"",ISNA(MATCH(D2529&amp;"|"&amp;E2529,catClave,0))),"⚠ Subcategoría no corresponde",IF(AND(OR(P2529="Transferencia",P2529="Pago tarjeta"),K2529=""),"⚠ Falta cuenta destino",IF(AND(K2529&lt;&gt;"",P2529&lt;&gt;"Transferencia",P2529&lt;&gt;"Pago tarjeta"),"⚠ Destino solo aplica a transferencias",IF(AND(K2529&lt;&gt;"",K2529=Q2529),"⚠ Origen igual a destino",IF(AND(K2529&lt;&gt;"",ISNA(MATCH(K2529,ctaNombre,0))),"⚠ Destino no registrado",IF(AND(P2529="Pago tarjeta",AE2529&lt;&gt;"Tarjeta de crédito"),"⚠ El destino debe ser tarjeta de crédito",IF(AND(P2529="Gasto",E2529="Depósitos y retiros"),"⚠ Usa tipo Transferencia",IF(AND(P2529="Resultado trading",AD2529&lt;&gt;"Cuenta de trading"),"⚠ Usa una cuenta de trading",IF(AND(G2529&lt;=0,P2529&lt;&gt;"Ajuste",P2529&lt;&gt;"Resultado trading"),"⚠ El monto debe ser positivo","✓")))))))))))))))</f>
        <v/>
      </c>
      <c r="P2529" s="52">
        <f>IF(OR(B2529="",G2529=""),"",IF(C2529="","Gasto",C2529))</f>
        <v/>
      </c>
      <c r="Q2529" s="52">
        <f>IF(P2529="","",IF(J2529&lt;&gt;"",J2529,CuentaPred&amp;""))</f>
        <v/>
      </c>
      <c r="R2529" s="52">
        <f>IF(P2529="","",IF(ISNUMBER(I2529),I2529,TasaUSD))</f>
        <v/>
      </c>
      <c r="S2529" s="53">
        <f>IF(P2529="","",IF(H2529="USD",G2529*R2529,G2529))</f>
        <v/>
      </c>
      <c r="T2529" s="53">
        <f>IF(P2529="","",IF(H2529="USD",G2529,IF(R2529&gt;0,G2529/R2529,0)))</f>
        <v/>
      </c>
      <c r="U2529" s="53">
        <f>IF(P2529="","",IF(P2529="Gasto",S2529,IF(P2529="Reembolso",-S2529,0)))</f>
        <v/>
      </c>
      <c r="V2529" s="53">
        <f>IF(P2529="","",IF(P2529="Ingreso",S2529,0))</f>
        <v/>
      </c>
      <c r="W2529" s="53">
        <f>IF(P2529="","",IF(P2529="Resultado trading",S2529,0))</f>
        <v/>
      </c>
      <c r="X2529" s="52">
        <f>IF(OR(P2529="Gasto",P2529="Reembolso"),IF(M2529&lt;&gt;"",M2529,IFERROR(INDEX(catClasif,MATCH(D2529&amp;"|"&amp;E2529,catClave,0))&amp;"","Variable")),"")</f>
        <v/>
      </c>
      <c r="Y2529" s="52">
        <f>IF(P2529="","",IFERROR(INDEX(catGrupo,MATCH(D2529&amp;"|"&amp;E2529,catClave,0))&amp;"",""))</f>
        <v/>
      </c>
      <c r="Z2529" s="52">
        <f>IF(P2529="","",WEEKDAY(B2529,2))</f>
        <v/>
      </c>
      <c r="AA2529" s="52">
        <f>IF(P2529="","",IF(AND(P2529="Gasto",X2529="Variable",D2529&lt;&gt;catTrading,S2529&gt;0,S2529&lt;=Umbral),1,0))</f>
        <v/>
      </c>
      <c r="AB2529" s="52">
        <f>IF(OR(P2529="",Q2529=""),"",IFERROR(IF(INDEX(ctaVinc,MATCH(Q2529,ctaNombre,0))&amp;""&lt;&gt;"",INDEX(ctaVinc,MATCH(Q2529,ctaNombre,0))&amp;"",Q2529),Q2529))</f>
        <v/>
      </c>
      <c r="AC2529" s="52">
        <f>IF(OR(K2529="",AND(P2529&lt;&gt;"Transferencia",P2529&lt;&gt;"Pago tarjeta")),"",IFERROR(IF(INDEX(ctaVinc,MATCH(K2529,ctaNombre,0))&amp;""&lt;&gt;"",INDEX(ctaVinc,MATCH(K2529,ctaNombre,0))&amp;"",K2529),K2529))</f>
        <v/>
      </c>
      <c r="AD2529" s="52">
        <f>IF(AB2529="","",IFERROR(INDEX(ctaTipo,MATCH(AB2529,ctaNombre,0))&amp;"",""))</f>
        <v/>
      </c>
      <c r="AE2529" s="52">
        <f>IF(AC2529="","",IFERROR(INDEX(ctaTipo,MATCH(AC2529,ctaNombre,0))&amp;"",""))</f>
        <v/>
      </c>
      <c r="AF2529" s="53">
        <f>IF(OR(P2529="",AB2529=""),"",IF(OR(P2529="Gasto",P2529="Transferencia",P2529="Pago tarjeta"),-1,1)*IF(IFERROR(INDEX(ctaMoneda,MATCH(AB2529,ctaNombre,0))&amp;"","DOP")="USD",T2529,S2529))</f>
        <v/>
      </c>
      <c r="AG2529" s="53">
        <f>IF(AC2529="","",IF(IFERROR(INDEX(ctaMoneda,MATCH(AC2529,ctaNombre,0))&amp;"","DOP")="USD",T2529,S2529))</f>
        <v/>
      </c>
      <c r="AH2529" s="53">
        <f>IF(P2529="","",IF(AND(AD2529&lt;&gt;"",COUNTIFS(tcTipo,AD2529,tcLiq,"Sí")&gt;0),IF(OR(P2529="Gasto",P2529="Transferencia",P2529="Pago tarjeta"),-1,1)*S2529,0)+IF(AND(AE2529&lt;&gt;"",COUNTIFS(tcTipo,AE2529,tcLiq,"Sí")&gt;0),S2529,0))</f>
        <v/>
      </c>
      <c r="AI2529" s="52">
        <f>IF(OR(L2529="",P2529=""),"",IF(COUNTIFS(L$6:L2529,L2529,P$6:P2529,"?*")=1,MAX(AI$5:AI2528)+1,""))</f>
        <v/>
      </c>
    </row>
    <row r="2530">
      <c r="B2530" s="47" t="n"/>
      <c r="C2530" s="48" t="n"/>
      <c r="D2530" s="48" t="n"/>
      <c r="E2530" s="48" t="n"/>
      <c r="F2530" s="48" t="n"/>
      <c r="G2530" s="49" t="n"/>
      <c r="H2530" s="48" t="n"/>
      <c r="I2530" s="50" t="n"/>
      <c r="J2530" s="48" t="n"/>
      <c r="K2530" s="48" t="n"/>
      <c r="L2530" s="48" t="n"/>
      <c r="M2530" s="48" t="n"/>
      <c r="N2530" s="48" t="n"/>
      <c r="O2530" s="51">
        <f>IF(AND(B2530="",G2530="",C2530="",D2530="",J2530=""),"",IF(B2530="","⚠ Falta fecha",IF(G2530="","⚠ Falta monto",IF(Q2530="","⚠ Falta cuenta",IF(ISNA(MATCH(Q2530,ctaNombre,0)),"⚠ Cuenta no registrada",IF(AND(OR(P2530="Gasto",P2530="Reembolso"),D2530=""),"⚠ Falta categoría",IF(AND(D2530&lt;&gt;"",E2530&lt;&gt;"",ISNA(MATCH(D2530&amp;"|"&amp;E2530,catClave,0))),"⚠ Subcategoría no corresponde",IF(AND(OR(P2530="Transferencia",P2530="Pago tarjeta"),K2530=""),"⚠ Falta cuenta destino",IF(AND(K2530&lt;&gt;"",P2530&lt;&gt;"Transferencia",P2530&lt;&gt;"Pago tarjeta"),"⚠ Destino solo aplica a transferencias",IF(AND(K2530&lt;&gt;"",K2530=Q2530),"⚠ Origen igual a destino",IF(AND(K2530&lt;&gt;"",ISNA(MATCH(K2530,ctaNombre,0))),"⚠ Destino no registrado",IF(AND(P2530="Pago tarjeta",AE2530&lt;&gt;"Tarjeta de crédito"),"⚠ El destino debe ser tarjeta de crédito",IF(AND(P2530="Gasto",E2530="Depósitos y retiros"),"⚠ Usa tipo Transferencia",IF(AND(P2530="Resultado trading",AD2530&lt;&gt;"Cuenta de trading"),"⚠ Usa una cuenta de trading",IF(AND(G2530&lt;=0,P2530&lt;&gt;"Ajuste",P2530&lt;&gt;"Resultado trading"),"⚠ El monto debe ser positivo","✓")))))))))))))))</f>
        <v/>
      </c>
      <c r="P2530" s="52">
        <f>IF(OR(B2530="",G2530=""),"",IF(C2530="","Gasto",C2530))</f>
        <v/>
      </c>
      <c r="Q2530" s="52">
        <f>IF(P2530="","",IF(J2530&lt;&gt;"",J2530,CuentaPred&amp;""))</f>
        <v/>
      </c>
      <c r="R2530" s="52">
        <f>IF(P2530="","",IF(ISNUMBER(I2530),I2530,TasaUSD))</f>
        <v/>
      </c>
      <c r="S2530" s="53">
        <f>IF(P2530="","",IF(H2530="USD",G2530*R2530,G2530))</f>
        <v/>
      </c>
      <c r="T2530" s="53">
        <f>IF(P2530="","",IF(H2530="USD",G2530,IF(R2530&gt;0,G2530/R2530,0)))</f>
        <v/>
      </c>
      <c r="U2530" s="53">
        <f>IF(P2530="","",IF(P2530="Gasto",S2530,IF(P2530="Reembolso",-S2530,0)))</f>
        <v/>
      </c>
      <c r="V2530" s="53">
        <f>IF(P2530="","",IF(P2530="Ingreso",S2530,0))</f>
        <v/>
      </c>
      <c r="W2530" s="53">
        <f>IF(P2530="","",IF(P2530="Resultado trading",S2530,0))</f>
        <v/>
      </c>
      <c r="X2530" s="52">
        <f>IF(OR(P2530="Gasto",P2530="Reembolso"),IF(M2530&lt;&gt;"",M2530,IFERROR(INDEX(catClasif,MATCH(D2530&amp;"|"&amp;E2530,catClave,0))&amp;"","Variable")),"")</f>
        <v/>
      </c>
      <c r="Y2530" s="52">
        <f>IF(P2530="","",IFERROR(INDEX(catGrupo,MATCH(D2530&amp;"|"&amp;E2530,catClave,0))&amp;"",""))</f>
        <v/>
      </c>
      <c r="Z2530" s="52">
        <f>IF(P2530="","",WEEKDAY(B2530,2))</f>
        <v/>
      </c>
      <c r="AA2530" s="52">
        <f>IF(P2530="","",IF(AND(P2530="Gasto",X2530="Variable",D2530&lt;&gt;catTrading,S2530&gt;0,S2530&lt;=Umbral),1,0))</f>
        <v/>
      </c>
      <c r="AB2530" s="52">
        <f>IF(OR(P2530="",Q2530=""),"",IFERROR(IF(INDEX(ctaVinc,MATCH(Q2530,ctaNombre,0))&amp;""&lt;&gt;"",INDEX(ctaVinc,MATCH(Q2530,ctaNombre,0))&amp;"",Q2530),Q2530))</f>
        <v/>
      </c>
      <c r="AC2530" s="52">
        <f>IF(OR(K2530="",AND(P2530&lt;&gt;"Transferencia",P2530&lt;&gt;"Pago tarjeta")),"",IFERROR(IF(INDEX(ctaVinc,MATCH(K2530,ctaNombre,0))&amp;""&lt;&gt;"",INDEX(ctaVinc,MATCH(K2530,ctaNombre,0))&amp;"",K2530),K2530))</f>
        <v/>
      </c>
      <c r="AD2530" s="52">
        <f>IF(AB2530="","",IFERROR(INDEX(ctaTipo,MATCH(AB2530,ctaNombre,0))&amp;"",""))</f>
        <v/>
      </c>
      <c r="AE2530" s="52">
        <f>IF(AC2530="","",IFERROR(INDEX(ctaTipo,MATCH(AC2530,ctaNombre,0))&amp;"",""))</f>
        <v/>
      </c>
      <c r="AF2530" s="53">
        <f>IF(OR(P2530="",AB2530=""),"",IF(OR(P2530="Gasto",P2530="Transferencia",P2530="Pago tarjeta"),-1,1)*IF(IFERROR(INDEX(ctaMoneda,MATCH(AB2530,ctaNombre,0))&amp;"","DOP")="USD",T2530,S2530))</f>
        <v/>
      </c>
      <c r="AG2530" s="53">
        <f>IF(AC2530="","",IF(IFERROR(INDEX(ctaMoneda,MATCH(AC2530,ctaNombre,0))&amp;"","DOP")="USD",T2530,S2530))</f>
        <v/>
      </c>
      <c r="AH2530" s="53">
        <f>IF(P2530="","",IF(AND(AD2530&lt;&gt;"",COUNTIFS(tcTipo,AD2530,tcLiq,"Sí")&gt;0),IF(OR(P2530="Gasto",P2530="Transferencia",P2530="Pago tarjeta"),-1,1)*S2530,0)+IF(AND(AE2530&lt;&gt;"",COUNTIFS(tcTipo,AE2530,tcLiq,"Sí")&gt;0),S2530,0))</f>
        <v/>
      </c>
      <c r="AI2530" s="52">
        <f>IF(OR(L2530="",P2530=""),"",IF(COUNTIFS(L$6:L2530,L2530,P$6:P2530,"?*")=1,MAX(AI$5:AI2529)+1,""))</f>
        <v/>
      </c>
    </row>
    <row r="2531">
      <c r="B2531" s="47" t="n"/>
      <c r="C2531" s="48" t="n"/>
      <c r="D2531" s="48" t="n"/>
      <c r="E2531" s="48" t="n"/>
      <c r="F2531" s="48" t="n"/>
      <c r="G2531" s="49" t="n"/>
      <c r="H2531" s="48" t="n"/>
      <c r="I2531" s="50" t="n"/>
      <c r="J2531" s="48" t="n"/>
      <c r="K2531" s="48" t="n"/>
      <c r="L2531" s="48" t="n"/>
      <c r="M2531" s="48" t="n"/>
      <c r="N2531" s="48" t="n"/>
      <c r="O2531" s="51">
        <f>IF(AND(B2531="",G2531="",C2531="",D2531="",J2531=""),"",IF(B2531="","⚠ Falta fecha",IF(G2531="","⚠ Falta monto",IF(Q2531="","⚠ Falta cuenta",IF(ISNA(MATCH(Q2531,ctaNombre,0)),"⚠ Cuenta no registrada",IF(AND(OR(P2531="Gasto",P2531="Reembolso"),D2531=""),"⚠ Falta categoría",IF(AND(D2531&lt;&gt;"",E2531&lt;&gt;"",ISNA(MATCH(D2531&amp;"|"&amp;E2531,catClave,0))),"⚠ Subcategoría no corresponde",IF(AND(OR(P2531="Transferencia",P2531="Pago tarjeta"),K2531=""),"⚠ Falta cuenta destino",IF(AND(K2531&lt;&gt;"",P2531&lt;&gt;"Transferencia",P2531&lt;&gt;"Pago tarjeta"),"⚠ Destino solo aplica a transferencias",IF(AND(K2531&lt;&gt;"",K2531=Q2531),"⚠ Origen igual a destino",IF(AND(K2531&lt;&gt;"",ISNA(MATCH(K2531,ctaNombre,0))),"⚠ Destino no registrado",IF(AND(P2531="Pago tarjeta",AE2531&lt;&gt;"Tarjeta de crédito"),"⚠ El destino debe ser tarjeta de crédito",IF(AND(P2531="Gasto",E2531="Depósitos y retiros"),"⚠ Usa tipo Transferencia",IF(AND(P2531="Resultado trading",AD2531&lt;&gt;"Cuenta de trading"),"⚠ Usa una cuenta de trading",IF(AND(G2531&lt;=0,P2531&lt;&gt;"Ajuste",P2531&lt;&gt;"Resultado trading"),"⚠ El monto debe ser positivo","✓")))))))))))))))</f>
        <v/>
      </c>
      <c r="P2531" s="52">
        <f>IF(OR(B2531="",G2531=""),"",IF(C2531="","Gasto",C2531))</f>
        <v/>
      </c>
      <c r="Q2531" s="52">
        <f>IF(P2531="","",IF(J2531&lt;&gt;"",J2531,CuentaPred&amp;""))</f>
        <v/>
      </c>
      <c r="R2531" s="52">
        <f>IF(P2531="","",IF(ISNUMBER(I2531),I2531,TasaUSD))</f>
        <v/>
      </c>
      <c r="S2531" s="53">
        <f>IF(P2531="","",IF(H2531="USD",G2531*R2531,G2531))</f>
        <v/>
      </c>
      <c r="T2531" s="53">
        <f>IF(P2531="","",IF(H2531="USD",G2531,IF(R2531&gt;0,G2531/R2531,0)))</f>
        <v/>
      </c>
      <c r="U2531" s="53">
        <f>IF(P2531="","",IF(P2531="Gasto",S2531,IF(P2531="Reembolso",-S2531,0)))</f>
        <v/>
      </c>
      <c r="V2531" s="53">
        <f>IF(P2531="","",IF(P2531="Ingreso",S2531,0))</f>
        <v/>
      </c>
      <c r="W2531" s="53">
        <f>IF(P2531="","",IF(P2531="Resultado trading",S2531,0))</f>
        <v/>
      </c>
      <c r="X2531" s="52">
        <f>IF(OR(P2531="Gasto",P2531="Reembolso"),IF(M2531&lt;&gt;"",M2531,IFERROR(INDEX(catClasif,MATCH(D2531&amp;"|"&amp;E2531,catClave,0))&amp;"","Variable")),"")</f>
        <v/>
      </c>
      <c r="Y2531" s="52">
        <f>IF(P2531="","",IFERROR(INDEX(catGrupo,MATCH(D2531&amp;"|"&amp;E2531,catClave,0))&amp;"",""))</f>
        <v/>
      </c>
      <c r="Z2531" s="52">
        <f>IF(P2531="","",WEEKDAY(B2531,2))</f>
        <v/>
      </c>
      <c r="AA2531" s="52">
        <f>IF(P2531="","",IF(AND(P2531="Gasto",X2531="Variable",D2531&lt;&gt;catTrading,S2531&gt;0,S2531&lt;=Umbral),1,0))</f>
        <v/>
      </c>
      <c r="AB2531" s="52">
        <f>IF(OR(P2531="",Q2531=""),"",IFERROR(IF(INDEX(ctaVinc,MATCH(Q2531,ctaNombre,0))&amp;""&lt;&gt;"",INDEX(ctaVinc,MATCH(Q2531,ctaNombre,0))&amp;"",Q2531),Q2531))</f>
        <v/>
      </c>
      <c r="AC2531" s="52">
        <f>IF(OR(K2531="",AND(P2531&lt;&gt;"Transferencia",P2531&lt;&gt;"Pago tarjeta")),"",IFERROR(IF(INDEX(ctaVinc,MATCH(K2531,ctaNombre,0))&amp;""&lt;&gt;"",INDEX(ctaVinc,MATCH(K2531,ctaNombre,0))&amp;"",K2531),K2531))</f>
        <v/>
      </c>
      <c r="AD2531" s="52">
        <f>IF(AB2531="","",IFERROR(INDEX(ctaTipo,MATCH(AB2531,ctaNombre,0))&amp;"",""))</f>
        <v/>
      </c>
      <c r="AE2531" s="52">
        <f>IF(AC2531="","",IFERROR(INDEX(ctaTipo,MATCH(AC2531,ctaNombre,0))&amp;"",""))</f>
        <v/>
      </c>
      <c r="AF2531" s="53">
        <f>IF(OR(P2531="",AB2531=""),"",IF(OR(P2531="Gasto",P2531="Transferencia",P2531="Pago tarjeta"),-1,1)*IF(IFERROR(INDEX(ctaMoneda,MATCH(AB2531,ctaNombre,0))&amp;"","DOP")="USD",T2531,S2531))</f>
        <v/>
      </c>
      <c r="AG2531" s="53">
        <f>IF(AC2531="","",IF(IFERROR(INDEX(ctaMoneda,MATCH(AC2531,ctaNombre,0))&amp;"","DOP")="USD",T2531,S2531))</f>
        <v/>
      </c>
      <c r="AH2531" s="53">
        <f>IF(P2531="","",IF(AND(AD2531&lt;&gt;"",COUNTIFS(tcTipo,AD2531,tcLiq,"Sí")&gt;0),IF(OR(P2531="Gasto",P2531="Transferencia",P2531="Pago tarjeta"),-1,1)*S2531,0)+IF(AND(AE2531&lt;&gt;"",COUNTIFS(tcTipo,AE2531,tcLiq,"Sí")&gt;0),S2531,0))</f>
        <v/>
      </c>
      <c r="AI2531" s="52">
        <f>IF(OR(L2531="",P2531=""),"",IF(COUNTIFS(L$6:L2531,L2531,P$6:P2531,"?*")=1,MAX(AI$5:AI2530)+1,""))</f>
        <v/>
      </c>
    </row>
    <row r="2532">
      <c r="B2532" s="47" t="n"/>
      <c r="C2532" s="48" t="n"/>
      <c r="D2532" s="48" t="n"/>
      <c r="E2532" s="48" t="n"/>
      <c r="F2532" s="48" t="n"/>
      <c r="G2532" s="49" t="n"/>
      <c r="H2532" s="48" t="n"/>
      <c r="I2532" s="50" t="n"/>
      <c r="J2532" s="48" t="n"/>
      <c r="K2532" s="48" t="n"/>
      <c r="L2532" s="48" t="n"/>
      <c r="M2532" s="48" t="n"/>
      <c r="N2532" s="48" t="n"/>
      <c r="O2532" s="51">
        <f>IF(AND(B2532="",G2532="",C2532="",D2532="",J2532=""),"",IF(B2532="","⚠ Falta fecha",IF(G2532="","⚠ Falta monto",IF(Q2532="","⚠ Falta cuenta",IF(ISNA(MATCH(Q2532,ctaNombre,0)),"⚠ Cuenta no registrada",IF(AND(OR(P2532="Gasto",P2532="Reembolso"),D2532=""),"⚠ Falta categoría",IF(AND(D2532&lt;&gt;"",E2532&lt;&gt;"",ISNA(MATCH(D2532&amp;"|"&amp;E2532,catClave,0))),"⚠ Subcategoría no corresponde",IF(AND(OR(P2532="Transferencia",P2532="Pago tarjeta"),K2532=""),"⚠ Falta cuenta destino",IF(AND(K2532&lt;&gt;"",P2532&lt;&gt;"Transferencia",P2532&lt;&gt;"Pago tarjeta"),"⚠ Destino solo aplica a transferencias",IF(AND(K2532&lt;&gt;"",K2532=Q2532),"⚠ Origen igual a destino",IF(AND(K2532&lt;&gt;"",ISNA(MATCH(K2532,ctaNombre,0))),"⚠ Destino no registrado",IF(AND(P2532="Pago tarjeta",AE2532&lt;&gt;"Tarjeta de crédito"),"⚠ El destino debe ser tarjeta de crédito",IF(AND(P2532="Gasto",E2532="Depósitos y retiros"),"⚠ Usa tipo Transferencia",IF(AND(P2532="Resultado trading",AD2532&lt;&gt;"Cuenta de trading"),"⚠ Usa una cuenta de trading",IF(AND(G2532&lt;=0,P2532&lt;&gt;"Ajuste",P2532&lt;&gt;"Resultado trading"),"⚠ El monto debe ser positivo","✓")))))))))))))))</f>
        <v/>
      </c>
      <c r="P2532" s="52">
        <f>IF(OR(B2532="",G2532=""),"",IF(C2532="","Gasto",C2532))</f>
        <v/>
      </c>
      <c r="Q2532" s="52">
        <f>IF(P2532="","",IF(J2532&lt;&gt;"",J2532,CuentaPred&amp;""))</f>
        <v/>
      </c>
      <c r="R2532" s="52">
        <f>IF(P2532="","",IF(ISNUMBER(I2532),I2532,TasaUSD))</f>
        <v/>
      </c>
      <c r="S2532" s="53">
        <f>IF(P2532="","",IF(H2532="USD",G2532*R2532,G2532))</f>
        <v/>
      </c>
      <c r="T2532" s="53">
        <f>IF(P2532="","",IF(H2532="USD",G2532,IF(R2532&gt;0,G2532/R2532,0)))</f>
        <v/>
      </c>
      <c r="U2532" s="53">
        <f>IF(P2532="","",IF(P2532="Gasto",S2532,IF(P2532="Reembolso",-S2532,0)))</f>
        <v/>
      </c>
      <c r="V2532" s="53">
        <f>IF(P2532="","",IF(P2532="Ingreso",S2532,0))</f>
        <v/>
      </c>
      <c r="W2532" s="53">
        <f>IF(P2532="","",IF(P2532="Resultado trading",S2532,0))</f>
        <v/>
      </c>
      <c r="X2532" s="52">
        <f>IF(OR(P2532="Gasto",P2532="Reembolso"),IF(M2532&lt;&gt;"",M2532,IFERROR(INDEX(catClasif,MATCH(D2532&amp;"|"&amp;E2532,catClave,0))&amp;"","Variable")),"")</f>
        <v/>
      </c>
      <c r="Y2532" s="52">
        <f>IF(P2532="","",IFERROR(INDEX(catGrupo,MATCH(D2532&amp;"|"&amp;E2532,catClave,0))&amp;"",""))</f>
        <v/>
      </c>
      <c r="Z2532" s="52">
        <f>IF(P2532="","",WEEKDAY(B2532,2))</f>
        <v/>
      </c>
      <c r="AA2532" s="52">
        <f>IF(P2532="","",IF(AND(P2532="Gasto",X2532="Variable",D2532&lt;&gt;catTrading,S2532&gt;0,S2532&lt;=Umbral),1,0))</f>
        <v/>
      </c>
      <c r="AB2532" s="52">
        <f>IF(OR(P2532="",Q2532=""),"",IFERROR(IF(INDEX(ctaVinc,MATCH(Q2532,ctaNombre,0))&amp;""&lt;&gt;"",INDEX(ctaVinc,MATCH(Q2532,ctaNombre,0))&amp;"",Q2532),Q2532))</f>
        <v/>
      </c>
      <c r="AC2532" s="52">
        <f>IF(OR(K2532="",AND(P2532&lt;&gt;"Transferencia",P2532&lt;&gt;"Pago tarjeta")),"",IFERROR(IF(INDEX(ctaVinc,MATCH(K2532,ctaNombre,0))&amp;""&lt;&gt;"",INDEX(ctaVinc,MATCH(K2532,ctaNombre,0))&amp;"",K2532),K2532))</f>
        <v/>
      </c>
      <c r="AD2532" s="52">
        <f>IF(AB2532="","",IFERROR(INDEX(ctaTipo,MATCH(AB2532,ctaNombre,0))&amp;"",""))</f>
        <v/>
      </c>
      <c r="AE2532" s="52">
        <f>IF(AC2532="","",IFERROR(INDEX(ctaTipo,MATCH(AC2532,ctaNombre,0))&amp;"",""))</f>
        <v/>
      </c>
      <c r="AF2532" s="53">
        <f>IF(OR(P2532="",AB2532=""),"",IF(OR(P2532="Gasto",P2532="Transferencia",P2532="Pago tarjeta"),-1,1)*IF(IFERROR(INDEX(ctaMoneda,MATCH(AB2532,ctaNombre,0))&amp;"","DOP")="USD",T2532,S2532))</f>
        <v/>
      </c>
      <c r="AG2532" s="53">
        <f>IF(AC2532="","",IF(IFERROR(INDEX(ctaMoneda,MATCH(AC2532,ctaNombre,0))&amp;"","DOP")="USD",T2532,S2532))</f>
        <v/>
      </c>
      <c r="AH2532" s="53">
        <f>IF(P2532="","",IF(AND(AD2532&lt;&gt;"",COUNTIFS(tcTipo,AD2532,tcLiq,"Sí")&gt;0),IF(OR(P2532="Gasto",P2532="Transferencia",P2532="Pago tarjeta"),-1,1)*S2532,0)+IF(AND(AE2532&lt;&gt;"",COUNTIFS(tcTipo,AE2532,tcLiq,"Sí")&gt;0),S2532,0))</f>
        <v/>
      </c>
      <c r="AI2532" s="52">
        <f>IF(OR(L2532="",P2532=""),"",IF(COUNTIFS(L$6:L2532,L2532,P$6:P2532,"?*")=1,MAX(AI$5:AI2531)+1,""))</f>
        <v/>
      </c>
    </row>
    <row r="2533">
      <c r="B2533" s="47" t="n"/>
      <c r="C2533" s="48" t="n"/>
      <c r="D2533" s="48" t="n"/>
      <c r="E2533" s="48" t="n"/>
      <c r="F2533" s="48" t="n"/>
      <c r="G2533" s="49" t="n"/>
      <c r="H2533" s="48" t="n"/>
      <c r="I2533" s="50" t="n"/>
      <c r="J2533" s="48" t="n"/>
      <c r="K2533" s="48" t="n"/>
      <c r="L2533" s="48" t="n"/>
      <c r="M2533" s="48" t="n"/>
      <c r="N2533" s="48" t="n"/>
      <c r="O2533" s="51">
        <f>IF(AND(B2533="",G2533="",C2533="",D2533="",J2533=""),"",IF(B2533="","⚠ Falta fecha",IF(G2533="","⚠ Falta monto",IF(Q2533="","⚠ Falta cuenta",IF(ISNA(MATCH(Q2533,ctaNombre,0)),"⚠ Cuenta no registrada",IF(AND(OR(P2533="Gasto",P2533="Reembolso"),D2533=""),"⚠ Falta categoría",IF(AND(D2533&lt;&gt;"",E2533&lt;&gt;"",ISNA(MATCH(D2533&amp;"|"&amp;E2533,catClave,0))),"⚠ Subcategoría no corresponde",IF(AND(OR(P2533="Transferencia",P2533="Pago tarjeta"),K2533=""),"⚠ Falta cuenta destino",IF(AND(K2533&lt;&gt;"",P2533&lt;&gt;"Transferencia",P2533&lt;&gt;"Pago tarjeta"),"⚠ Destino solo aplica a transferencias",IF(AND(K2533&lt;&gt;"",K2533=Q2533),"⚠ Origen igual a destino",IF(AND(K2533&lt;&gt;"",ISNA(MATCH(K2533,ctaNombre,0))),"⚠ Destino no registrado",IF(AND(P2533="Pago tarjeta",AE2533&lt;&gt;"Tarjeta de crédito"),"⚠ El destino debe ser tarjeta de crédito",IF(AND(P2533="Gasto",E2533="Depósitos y retiros"),"⚠ Usa tipo Transferencia",IF(AND(P2533="Resultado trading",AD2533&lt;&gt;"Cuenta de trading"),"⚠ Usa una cuenta de trading",IF(AND(G2533&lt;=0,P2533&lt;&gt;"Ajuste",P2533&lt;&gt;"Resultado trading"),"⚠ El monto debe ser positivo","✓")))))))))))))))</f>
        <v/>
      </c>
      <c r="P2533" s="52">
        <f>IF(OR(B2533="",G2533=""),"",IF(C2533="","Gasto",C2533))</f>
        <v/>
      </c>
      <c r="Q2533" s="52">
        <f>IF(P2533="","",IF(J2533&lt;&gt;"",J2533,CuentaPred&amp;""))</f>
        <v/>
      </c>
      <c r="R2533" s="52">
        <f>IF(P2533="","",IF(ISNUMBER(I2533),I2533,TasaUSD))</f>
        <v/>
      </c>
      <c r="S2533" s="53">
        <f>IF(P2533="","",IF(H2533="USD",G2533*R2533,G2533))</f>
        <v/>
      </c>
      <c r="T2533" s="53">
        <f>IF(P2533="","",IF(H2533="USD",G2533,IF(R2533&gt;0,G2533/R2533,0)))</f>
        <v/>
      </c>
      <c r="U2533" s="53">
        <f>IF(P2533="","",IF(P2533="Gasto",S2533,IF(P2533="Reembolso",-S2533,0)))</f>
        <v/>
      </c>
      <c r="V2533" s="53">
        <f>IF(P2533="","",IF(P2533="Ingreso",S2533,0))</f>
        <v/>
      </c>
      <c r="W2533" s="53">
        <f>IF(P2533="","",IF(P2533="Resultado trading",S2533,0))</f>
        <v/>
      </c>
      <c r="X2533" s="52">
        <f>IF(OR(P2533="Gasto",P2533="Reembolso"),IF(M2533&lt;&gt;"",M2533,IFERROR(INDEX(catClasif,MATCH(D2533&amp;"|"&amp;E2533,catClave,0))&amp;"","Variable")),"")</f>
        <v/>
      </c>
      <c r="Y2533" s="52">
        <f>IF(P2533="","",IFERROR(INDEX(catGrupo,MATCH(D2533&amp;"|"&amp;E2533,catClave,0))&amp;"",""))</f>
        <v/>
      </c>
      <c r="Z2533" s="52">
        <f>IF(P2533="","",WEEKDAY(B2533,2))</f>
        <v/>
      </c>
      <c r="AA2533" s="52">
        <f>IF(P2533="","",IF(AND(P2533="Gasto",X2533="Variable",D2533&lt;&gt;catTrading,S2533&gt;0,S2533&lt;=Umbral),1,0))</f>
        <v/>
      </c>
      <c r="AB2533" s="52">
        <f>IF(OR(P2533="",Q2533=""),"",IFERROR(IF(INDEX(ctaVinc,MATCH(Q2533,ctaNombre,0))&amp;""&lt;&gt;"",INDEX(ctaVinc,MATCH(Q2533,ctaNombre,0))&amp;"",Q2533),Q2533))</f>
        <v/>
      </c>
      <c r="AC2533" s="52">
        <f>IF(OR(K2533="",AND(P2533&lt;&gt;"Transferencia",P2533&lt;&gt;"Pago tarjeta")),"",IFERROR(IF(INDEX(ctaVinc,MATCH(K2533,ctaNombre,0))&amp;""&lt;&gt;"",INDEX(ctaVinc,MATCH(K2533,ctaNombre,0))&amp;"",K2533),K2533))</f>
        <v/>
      </c>
      <c r="AD2533" s="52">
        <f>IF(AB2533="","",IFERROR(INDEX(ctaTipo,MATCH(AB2533,ctaNombre,0))&amp;"",""))</f>
        <v/>
      </c>
      <c r="AE2533" s="52">
        <f>IF(AC2533="","",IFERROR(INDEX(ctaTipo,MATCH(AC2533,ctaNombre,0))&amp;"",""))</f>
        <v/>
      </c>
      <c r="AF2533" s="53">
        <f>IF(OR(P2533="",AB2533=""),"",IF(OR(P2533="Gasto",P2533="Transferencia",P2533="Pago tarjeta"),-1,1)*IF(IFERROR(INDEX(ctaMoneda,MATCH(AB2533,ctaNombre,0))&amp;"","DOP")="USD",T2533,S2533))</f>
        <v/>
      </c>
      <c r="AG2533" s="53">
        <f>IF(AC2533="","",IF(IFERROR(INDEX(ctaMoneda,MATCH(AC2533,ctaNombre,0))&amp;"","DOP")="USD",T2533,S2533))</f>
        <v/>
      </c>
      <c r="AH2533" s="53">
        <f>IF(P2533="","",IF(AND(AD2533&lt;&gt;"",COUNTIFS(tcTipo,AD2533,tcLiq,"Sí")&gt;0),IF(OR(P2533="Gasto",P2533="Transferencia",P2533="Pago tarjeta"),-1,1)*S2533,0)+IF(AND(AE2533&lt;&gt;"",COUNTIFS(tcTipo,AE2533,tcLiq,"Sí")&gt;0),S2533,0))</f>
        <v/>
      </c>
      <c r="AI2533" s="52">
        <f>IF(OR(L2533="",P2533=""),"",IF(COUNTIFS(L$6:L2533,L2533,P$6:P2533,"?*")=1,MAX(AI$5:AI2532)+1,""))</f>
        <v/>
      </c>
    </row>
    <row r="2534">
      <c r="B2534" s="47" t="n"/>
      <c r="C2534" s="48" t="n"/>
      <c r="D2534" s="48" t="n"/>
      <c r="E2534" s="48" t="n"/>
      <c r="F2534" s="48" t="n"/>
      <c r="G2534" s="49" t="n"/>
      <c r="H2534" s="48" t="n"/>
      <c r="I2534" s="50" t="n"/>
      <c r="J2534" s="48" t="n"/>
      <c r="K2534" s="48" t="n"/>
      <c r="L2534" s="48" t="n"/>
      <c r="M2534" s="48" t="n"/>
      <c r="N2534" s="48" t="n"/>
      <c r="O2534" s="51">
        <f>IF(AND(B2534="",G2534="",C2534="",D2534="",J2534=""),"",IF(B2534="","⚠ Falta fecha",IF(G2534="","⚠ Falta monto",IF(Q2534="","⚠ Falta cuenta",IF(ISNA(MATCH(Q2534,ctaNombre,0)),"⚠ Cuenta no registrada",IF(AND(OR(P2534="Gasto",P2534="Reembolso"),D2534=""),"⚠ Falta categoría",IF(AND(D2534&lt;&gt;"",E2534&lt;&gt;"",ISNA(MATCH(D2534&amp;"|"&amp;E2534,catClave,0))),"⚠ Subcategoría no corresponde",IF(AND(OR(P2534="Transferencia",P2534="Pago tarjeta"),K2534=""),"⚠ Falta cuenta destino",IF(AND(K2534&lt;&gt;"",P2534&lt;&gt;"Transferencia",P2534&lt;&gt;"Pago tarjeta"),"⚠ Destino solo aplica a transferencias",IF(AND(K2534&lt;&gt;"",K2534=Q2534),"⚠ Origen igual a destino",IF(AND(K2534&lt;&gt;"",ISNA(MATCH(K2534,ctaNombre,0))),"⚠ Destino no registrado",IF(AND(P2534="Pago tarjeta",AE2534&lt;&gt;"Tarjeta de crédito"),"⚠ El destino debe ser tarjeta de crédito",IF(AND(P2534="Gasto",E2534="Depósitos y retiros"),"⚠ Usa tipo Transferencia",IF(AND(P2534="Resultado trading",AD2534&lt;&gt;"Cuenta de trading"),"⚠ Usa una cuenta de trading",IF(AND(G2534&lt;=0,P2534&lt;&gt;"Ajuste",P2534&lt;&gt;"Resultado trading"),"⚠ El monto debe ser positivo","✓")))))))))))))))</f>
        <v/>
      </c>
      <c r="P2534" s="52">
        <f>IF(OR(B2534="",G2534=""),"",IF(C2534="","Gasto",C2534))</f>
        <v/>
      </c>
      <c r="Q2534" s="52">
        <f>IF(P2534="","",IF(J2534&lt;&gt;"",J2534,CuentaPred&amp;""))</f>
        <v/>
      </c>
      <c r="R2534" s="52">
        <f>IF(P2534="","",IF(ISNUMBER(I2534),I2534,TasaUSD))</f>
        <v/>
      </c>
      <c r="S2534" s="53">
        <f>IF(P2534="","",IF(H2534="USD",G2534*R2534,G2534))</f>
        <v/>
      </c>
      <c r="T2534" s="53">
        <f>IF(P2534="","",IF(H2534="USD",G2534,IF(R2534&gt;0,G2534/R2534,0)))</f>
        <v/>
      </c>
      <c r="U2534" s="53">
        <f>IF(P2534="","",IF(P2534="Gasto",S2534,IF(P2534="Reembolso",-S2534,0)))</f>
        <v/>
      </c>
      <c r="V2534" s="53">
        <f>IF(P2534="","",IF(P2534="Ingreso",S2534,0))</f>
        <v/>
      </c>
      <c r="W2534" s="53">
        <f>IF(P2534="","",IF(P2534="Resultado trading",S2534,0))</f>
        <v/>
      </c>
      <c r="X2534" s="52">
        <f>IF(OR(P2534="Gasto",P2534="Reembolso"),IF(M2534&lt;&gt;"",M2534,IFERROR(INDEX(catClasif,MATCH(D2534&amp;"|"&amp;E2534,catClave,0))&amp;"","Variable")),"")</f>
        <v/>
      </c>
      <c r="Y2534" s="52">
        <f>IF(P2534="","",IFERROR(INDEX(catGrupo,MATCH(D2534&amp;"|"&amp;E2534,catClave,0))&amp;"",""))</f>
        <v/>
      </c>
      <c r="Z2534" s="52">
        <f>IF(P2534="","",WEEKDAY(B2534,2))</f>
        <v/>
      </c>
      <c r="AA2534" s="52">
        <f>IF(P2534="","",IF(AND(P2534="Gasto",X2534="Variable",D2534&lt;&gt;catTrading,S2534&gt;0,S2534&lt;=Umbral),1,0))</f>
        <v/>
      </c>
      <c r="AB2534" s="52">
        <f>IF(OR(P2534="",Q2534=""),"",IFERROR(IF(INDEX(ctaVinc,MATCH(Q2534,ctaNombre,0))&amp;""&lt;&gt;"",INDEX(ctaVinc,MATCH(Q2534,ctaNombre,0))&amp;"",Q2534),Q2534))</f>
        <v/>
      </c>
      <c r="AC2534" s="52">
        <f>IF(OR(K2534="",AND(P2534&lt;&gt;"Transferencia",P2534&lt;&gt;"Pago tarjeta")),"",IFERROR(IF(INDEX(ctaVinc,MATCH(K2534,ctaNombre,0))&amp;""&lt;&gt;"",INDEX(ctaVinc,MATCH(K2534,ctaNombre,0))&amp;"",K2534),K2534))</f>
        <v/>
      </c>
      <c r="AD2534" s="52">
        <f>IF(AB2534="","",IFERROR(INDEX(ctaTipo,MATCH(AB2534,ctaNombre,0))&amp;"",""))</f>
        <v/>
      </c>
      <c r="AE2534" s="52">
        <f>IF(AC2534="","",IFERROR(INDEX(ctaTipo,MATCH(AC2534,ctaNombre,0))&amp;"",""))</f>
        <v/>
      </c>
      <c r="AF2534" s="53">
        <f>IF(OR(P2534="",AB2534=""),"",IF(OR(P2534="Gasto",P2534="Transferencia",P2534="Pago tarjeta"),-1,1)*IF(IFERROR(INDEX(ctaMoneda,MATCH(AB2534,ctaNombre,0))&amp;"","DOP")="USD",T2534,S2534))</f>
        <v/>
      </c>
      <c r="AG2534" s="53">
        <f>IF(AC2534="","",IF(IFERROR(INDEX(ctaMoneda,MATCH(AC2534,ctaNombre,0))&amp;"","DOP")="USD",T2534,S2534))</f>
        <v/>
      </c>
      <c r="AH2534" s="53">
        <f>IF(P2534="","",IF(AND(AD2534&lt;&gt;"",COUNTIFS(tcTipo,AD2534,tcLiq,"Sí")&gt;0),IF(OR(P2534="Gasto",P2534="Transferencia",P2534="Pago tarjeta"),-1,1)*S2534,0)+IF(AND(AE2534&lt;&gt;"",COUNTIFS(tcTipo,AE2534,tcLiq,"Sí")&gt;0),S2534,0))</f>
        <v/>
      </c>
      <c r="AI2534" s="52">
        <f>IF(OR(L2534="",P2534=""),"",IF(COUNTIFS(L$6:L2534,L2534,P$6:P2534,"?*")=1,MAX(AI$5:AI2533)+1,""))</f>
        <v/>
      </c>
    </row>
    <row r="2535">
      <c r="B2535" s="47" t="n"/>
      <c r="C2535" s="48" t="n"/>
      <c r="D2535" s="48" t="n"/>
      <c r="E2535" s="48" t="n"/>
      <c r="F2535" s="48" t="n"/>
      <c r="G2535" s="49" t="n"/>
      <c r="H2535" s="48" t="n"/>
      <c r="I2535" s="50" t="n"/>
      <c r="J2535" s="48" t="n"/>
      <c r="K2535" s="48" t="n"/>
      <c r="L2535" s="48" t="n"/>
      <c r="M2535" s="48" t="n"/>
      <c r="N2535" s="48" t="n"/>
      <c r="O2535" s="51">
        <f>IF(AND(B2535="",G2535="",C2535="",D2535="",J2535=""),"",IF(B2535="","⚠ Falta fecha",IF(G2535="","⚠ Falta monto",IF(Q2535="","⚠ Falta cuenta",IF(ISNA(MATCH(Q2535,ctaNombre,0)),"⚠ Cuenta no registrada",IF(AND(OR(P2535="Gasto",P2535="Reembolso"),D2535=""),"⚠ Falta categoría",IF(AND(D2535&lt;&gt;"",E2535&lt;&gt;"",ISNA(MATCH(D2535&amp;"|"&amp;E2535,catClave,0))),"⚠ Subcategoría no corresponde",IF(AND(OR(P2535="Transferencia",P2535="Pago tarjeta"),K2535=""),"⚠ Falta cuenta destino",IF(AND(K2535&lt;&gt;"",P2535&lt;&gt;"Transferencia",P2535&lt;&gt;"Pago tarjeta"),"⚠ Destino solo aplica a transferencias",IF(AND(K2535&lt;&gt;"",K2535=Q2535),"⚠ Origen igual a destino",IF(AND(K2535&lt;&gt;"",ISNA(MATCH(K2535,ctaNombre,0))),"⚠ Destino no registrado",IF(AND(P2535="Pago tarjeta",AE2535&lt;&gt;"Tarjeta de crédito"),"⚠ El destino debe ser tarjeta de crédito",IF(AND(P2535="Gasto",E2535="Depósitos y retiros"),"⚠ Usa tipo Transferencia",IF(AND(P2535="Resultado trading",AD2535&lt;&gt;"Cuenta de trading"),"⚠ Usa una cuenta de trading",IF(AND(G2535&lt;=0,P2535&lt;&gt;"Ajuste",P2535&lt;&gt;"Resultado trading"),"⚠ El monto debe ser positivo","✓")))))))))))))))</f>
        <v/>
      </c>
      <c r="P2535" s="52">
        <f>IF(OR(B2535="",G2535=""),"",IF(C2535="","Gasto",C2535))</f>
        <v/>
      </c>
      <c r="Q2535" s="52">
        <f>IF(P2535="","",IF(J2535&lt;&gt;"",J2535,CuentaPred&amp;""))</f>
        <v/>
      </c>
      <c r="R2535" s="52">
        <f>IF(P2535="","",IF(ISNUMBER(I2535),I2535,TasaUSD))</f>
        <v/>
      </c>
      <c r="S2535" s="53">
        <f>IF(P2535="","",IF(H2535="USD",G2535*R2535,G2535))</f>
        <v/>
      </c>
      <c r="T2535" s="53">
        <f>IF(P2535="","",IF(H2535="USD",G2535,IF(R2535&gt;0,G2535/R2535,0)))</f>
        <v/>
      </c>
      <c r="U2535" s="53">
        <f>IF(P2535="","",IF(P2535="Gasto",S2535,IF(P2535="Reembolso",-S2535,0)))</f>
        <v/>
      </c>
      <c r="V2535" s="53">
        <f>IF(P2535="","",IF(P2535="Ingreso",S2535,0))</f>
        <v/>
      </c>
      <c r="W2535" s="53">
        <f>IF(P2535="","",IF(P2535="Resultado trading",S2535,0))</f>
        <v/>
      </c>
      <c r="X2535" s="52">
        <f>IF(OR(P2535="Gasto",P2535="Reembolso"),IF(M2535&lt;&gt;"",M2535,IFERROR(INDEX(catClasif,MATCH(D2535&amp;"|"&amp;E2535,catClave,0))&amp;"","Variable")),"")</f>
        <v/>
      </c>
      <c r="Y2535" s="52">
        <f>IF(P2535="","",IFERROR(INDEX(catGrupo,MATCH(D2535&amp;"|"&amp;E2535,catClave,0))&amp;"",""))</f>
        <v/>
      </c>
      <c r="Z2535" s="52">
        <f>IF(P2535="","",WEEKDAY(B2535,2))</f>
        <v/>
      </c>
      <c r="AA2535" s="52">
        <f>IF(P2535="","",IF(AND(P2535="Gasto",X2535="Variable",D2535&lt;&gt;catTrading,S2535&gt;0,S2535&lt;=Umbral),1,0))</f>
        <v/>
      </c>
      <c r="AB2535" s="52">
        <f>IF(OR(P2535="",Q2535=""),"",IFERROR(IF(INDEX(ctaVinc,MATCH(Q2535,ctaNombre,0))&amp;""&lt;&gt;"",INDEX(ctaVinc,MATCH(Q2535,ctaNombre,0))&amp;"",Q2535),Q2535))</f>
        <v/>
      </c>
      <c r="AC2535" s="52">
        <f>IF(OR(K2535="",AND(P2535&lt;&gt;"Transferencia",P2535&lt;&gt;"Pago tarjeta")),"",IFERROR(IF(INDEX(ctaVinc,MATCH(K2535,ctaNombre,0))&amp;""&lt;&gt;"",INDEX(ctaVinc,MATCH(K2535,ctaNombre,0))&amp;"",K2535),K2535))</f>
        <v/>
      </c>
      <c r="AD2535" s="52">
        <f>IF(AB2535="","",IFERROR(INDEX(ctaTipo,MATCH(AB2535,ctaNombre,0))&amp;"",""))</f>
        <v/>
      </c>
      <c r="AE2535" s="52">
        <f>IF(AC2535="","",IFERROR(INDEX(ctaTipo,MATCH(AC2535,ctaNombre,0))&amp;"",""))</f>
        <v/>
      </c>
      <c r="AF2535" s="53">
        <f>IF(OR(P2535="",AB2535=""),"",IF(OR(P2535="Gasto",P2535="Transferencia",P2535="Pago tarjeta"),-1,1)*IF(IFERROR(INDEX(ctaMoneda,MATCH(AB2535,ctaNombre,0))&amp;"","DOP")="USD",T2535,S2535))</f>
        <v/>
      </c>
      <c r="AG2535" s="53">
        <f>IF(AC2535="","",IF(IFERROR(INDEX(ctaMoneda,MATCH(AC2535,ctaNombre,0))&amp;"","DOP")="USD",T2535,S2535))</f>
        <v/>
      </c>
      <c r="AH2535" s="53">
        <f>IF(P2535="","",IF(AND(AD2535&lt;&gt;"",COUNTIFS(tcTipo,AD2535,tcLiq,"Sí")&gt;0),IF(OR(P2535="Gasto",P2535="Transferencia",P2535="Pago tarjeta"),-1,1)*S2535,0)+IF(AND(AE2535&lt;&gt;"",COUNTIFS(tcTipo,AE2535,tcLiq,"Sí")&gt;0),S2535,0))</f>
        <v/>
      </c>
      <c r="AI2535" s="52">
        <f>IF(OR(L2535="",P2535=""),"",IF(COUNTIFS(L$6:L2535,L2535,P$6:P2535,"?*")=1,MAX(AI$5:AI2534)+1,""))</f>
        <v/>
      </c>
    </row>
    <row r="2536">
      <c r="B2536" s="47" t="n"/>
      <c r="C2536" s="48" t="n"/>
      <c r="D2536" s="48" t="n"/>
      <c r="E2536" s="48" t="n"/>
      <c r="F2536" s="48" t="n"/>
      <c r="G2536" s="49" t="n"/>
      <c r="H2536" s="48" t="n"/>
      <c r="I2536" s="50" t="n"/>
      <c r="J2536" s="48" t="n"/>
      <c r="K2536" s="48" t="n"/>
      <c r="L2536" s="48" t="n"/>
      <c r="M2536" s="48" t="n"/>
      <c r="N2536" s="48" t="n"/>
      <c r="O2536" s="51">
        <f>IF(AND(B2536="",G2536="",C2536="",D2536="",J2536=""),"",IF(B2536="","⚠ Falta fecha",IF(G2536="","⚠ Falta monto",IF(Q2536="","⚠ Falta cuenta",IF(ISNA(MATCH(Q2536,ctaNombre,0)),"⚠ Cuenta no registrada",IF(AND(OR(P2536="Gasto",P2536="Reembolso"),D2536=""),"⚠ Falta categoría",IF(AND(D2536&lt;&gt;"",E2536&lt;&gt;"",ISNA(MATCH(D2536&amp;"|"&amp;E2536,catClave,0))),"⚠ Subcategoría no corresponde",IF(AND(OR(P2536="Transferencia",P2536="Pago tarjeta"),K2536=""),"⚠ Falta cuenta destino",IF(AND(K2536&lt;&gt;"",P2536&lt;&gt;"Transferencia",P2536&lt;&gt;"Pago tarjeta"),"⚠ Destino solo aplica a transferencias",IF(AND(K2536&lt;&gt;"",K2536=Q2536),"⚠ Origen igual a destino",IF(AND(K2536&lt;&gt;"",ISNA(MATCH(K2536,ctaNombre,0))),"⚠ Destino no registrado",IF(AND(P2536="Pago tarjeta",AE2536&lt;&gt;"Tarjeta de crédito"),"⚠ El destino debe ser tarjeta de crédito",IF(AND(P2536="Gasto",E2536="Depósitos y retiros"),"⚠ Usa tipo Transferencia",IF(AND(P2536="Resultado trading",AD2536&lt;&gt;"Cuenta de trading"),"⚠ Usa una cuenta de trading",IF(AND(G2536&lt;=0,P2536&lt;&gt;"Ajuste",P2536&lt;&gt;"Resultado trading"),"⚠ El monto debe ser positivo","✓")))))))))))))))</f>
        <v/>
      </c>
      <c r="P2536" s="52">
        <f>IF(OR(B2536="",G2536=""),"",IF(C2536="","Gasto",C2536))</f>
        <v/>
      </c>
      <c r="Q2536" s="52">
        <f>IF(P2536="","",IF(J2536&lt;&gt;"",J2536,CuentaPred&amp;""))</f>
        <v/>
      </c>
      <c r="R2536" s="52">
        <f>IF(P2536="","",IF(ISNUMBER(I2536),I2536,TasaUSD))</f>
        <v/>
      </c>
      <c r="S2536" s="53">
        <f>IF(P2536="","",IF(H2536="USD",G2536*R2536,G2536))</f>
        <v/>
      </c>
      <c r="T2536" s="53">
        <f>IF(P2536="","",IF(H2536="USD",G2536,IF(R2536&gt;0,G2536/R2536,0)))</f>
        <v/>
      </c>
      <c r="U2536" s="53">
        <f>IF(P2536="","",IF(P2536="Gasto",S2536,IF(P2536="Reembolso",-S2536,0)))</f>
        <v/>
      </c>
      <c r="V2536" s="53">
        <f>IF(P2536="","",IF(P2536="Ingreso",S2536,0))</f>
        <v/>
      </c>
      <c r="W2536" s="53">
        <f>IF(P2536="","",IF(P2536="Resultado trading",S2536,0))</f>
        <v/>
      </c>
      <c r="X2536" s="52">
        <f>IF(OR(P2536="Gasto",P2536="Reembolso"),IF(M2536&lt;&gt;"",M2536,IFERROR(INDEX(catClasif,MATCH(D2536&amp;"|"&amp;E2536,catClave,0))&amp;"","Variable")),"")</f>
        <v/>
      </c>
      <c r="Y2536" s="52">
        <f>IF(P2536="","",IFERROR(INDEX(catGrupo,MATCH(D2536&amp;"|"&amp;E2536,catClave,0))&amp;"",""))</f>
        <v/>
      </c>
      <c r="Z2536" s="52">
        <f>IF(P2536="","",WEEKDAY(B2536,2))</f>
        <v/>
      </c>
      <c r="AA2536" s="52">
        <f>IF(P2536="","",IF(AND(P2536="Gasto",X2536="Variable",D2536&lt;&gt;catTrading,S2536&gt;0,S2536&lt;=Umbral),1,0))</f>
        <v/>
      </c>
      <c r="AB2536" s="52">
        <f>IF(OR(P2536="",Q2536=""),"",IFERROR(IF(INDEX(ctaVinc,MATCH(Q2536,ctaNombre,0))&amp;""&lt;&gt;"",INDEX(ctaVinc,MATCH(Q2536,ctaNombre,0))&amp;"",Q2536),Q2536))</f>
        <v/>
      </c>
      <c r="AC2536" s="52">
        <f>IF(OR(K2536="",AND(P2536&lt;&gt;"Transferencia",P2536&lt;&gt;"Pago tarjeta")),"",IFERROR(IF(INDEX(ctaVinc,MATCH(K2536,ctaNombre,0))&amp;""&lt;&gt;"",INDEX(ctaVinc,MATCH(K2536,ctaNombre,0))&amp;"",K2536),K2536))</f>
        <v/>
      </c>
      <c r="AD2536" s="52">
        <f>IF(AB2536="","",IFERROR(INDEX(ctaTipo,MATCH(AB2536,ctaNombre,0))&amp;"",""))</f>
        <v/>
      </c>
      <c r="AE2536" s="52">
        <f>IF(AC2536="","",IFERROR(INDEX(ctaTipo,MATCH(AC2536,ctaNombre,0))&amp;"",""))</f>
        <v/>
      </c>
      <c r="AF2536" s="53">
        <f>IF(OR(P2536="",AB2536=""),"",IF(OR(P2536="Gasto",P2536="Transferencia",P2536="Pago tarjeta"),-1,1)*IF(IFERROR(INDEX(ctaMoneda,MATCH(AB2536,ctaNombre,0))&amp;"","DOP")="USD",T2536,S2536))</f>
        <v/>
      </c>
      <c r="AG2536" s="53">
        <f>IF(AC2536="","",IF(IFERROR(INDEX(ctaMoneda,MATCH(AC2536,ctaNombre,0))&amp;"","DOP")="USD",T2536,S2536))</f>
        <v/>
      </c>
      <c r="AH2536" s="53">
        <f>IF(P2536="","",IF(AND(AD2536&lt;&gt;"",COUNTIFS(tcTipo,AD2536,tcLiq,"Sí")&gt;0),IF(OR(P2536="Gasto",P2536="Transferencia",P2536="Pago tarjeta"),-1,1)*S2536,0)+IF(AND(AE2536&lt;&gt;"",COUNTIFS(tcTipo,AE2536,tcLiq,"Sí")&gt;0),S2536,0))</f>
        <v/>
      </c>
      <c r="AI2536" s="52">
        <f>IF(OR(L2536="",P2536=""),"",IF(COUNTIFS(L$6:L2536,L2536,P$6:P2536,"?*")=1,MAX(AI$5:AI2535)+1,""))</f>
        <v/>
      </c>
    </row>
    <row r="2537">
      <c r="B2537" s="47" t="n"/>
      <c r="C2537" s="48" t="n"/>
      <c r="D2537" s="48" t="n"/>
      <c r="E2537" s="48" t="n"/>
      <c r="F2537" s="48" t="n"/>
      <c r="G2537" s="49" t="n"/>
      <c r="H2537" s="48" t="n"/>
      <c r="I2537" s="50" t="n"/>
      <c r="J2537" s="48" t="n"/>
      <c r="K2537" s="48" t="n"/>
      <c r="L2537" s="48" t="n"/>
      <c r="M2537" s="48" t="n"/>
      <c r="N2537" s="48" t="n"/>
      <c r="O2537" s="51">
        <f>IF(AND(B2537="",G2537="",C2537="",D2537="",J2537=""),"",IF(B2537="","⚠ Falta fecha",IF(G2537="","⚠ Falta monto",IF(Q2537="","⚠ Falta cuenta",IF(ISNA(MATCH(Q2537,ctaNombre,0)),"⚠ Cuenta no registrada",IF(AND(OR(P2537="Gasto",P2537="Reembolso"),D2537=""),"⚠ Falta categoría",IF(AND(D2537&lt;&gt;"",E2537&lt;&gt;"",ISNA(MATCH(D2537&amp;"|"&amp;E2537,catClave,0))),"⚠ Subcategoría no corresponde",IF(AND(OR(P2537="Transferencia",P2537="Pago tarjeta"),K2537=""),"⚠ Falta cuenta destino",IF(AND(K2537&lt;&gt;"",P2537&lt;&gt;"Transferencia",P2537&lt;&gt;"Pago tarjeta"),"⚠ Destino solo aplica a transferencias",IF(AND(K2537&lt;&gt;"",K2537=Q2537),"⚠ Origen igual a destino",IF(AND(K2537&lt;&gt;"",ISNA(MATCH(K2537,ctaNombre,0))),"⚠ Destino no registrado",IF(AND(P2537="Pago tarjeta",AE2537&lt;&gt;"Tarjeta de crédito"),"⚠ El destino debe ser tarjeta de crédito",IF(AND(P2537="Gasto",E2537="Depósitos y retiros"),"⚠ Usa tipo Transferencia",IF(AND(P2537="Resultado trading",AD2537&lt;&gt;"Cuenta de trading"),"⚠ Usa una cuenta de trading",IF(AND(G2537&lt;=0,P2537&lt;&gt;"Ajuste",P2537&lt;&gt;"Resultado trading"),"⚠ El monto debe ser positivo","✓")))))))))))))))</f>
        <v/>
      </c>
      <c r="P2537" s="52">
        <f>IF(OR(B2537="",G2537=""),"",IF(C2537="","Gasto",C2537))</f>
        <v/>
      </c>
      <c r="Q2537" s="52">
        <f>IF(P2537="","",IF(J2537&lt;&gt;"",J2537,CuentaPred&amp;""))</f>
        <v/>
      </c>
      <c r="R2537" s="52">
        <f>IF(P2537="","",IF(ISNUMBER(I2537),I2537,TasaUSD))</f>
        <v/>
      </c>
      <c r="S2537" s="53">
        <f>IF(P2537="","",IF(H2537="USD",G2537*R2537,G2537))</f>
        <v/>
      </c>
      <c r="T2537" s="53">
        <f>IF(P2537="","",IF(H2537="USD",G2537,IF(R2537&gt;0,G2537/R2537,0)))</f>
        <v/>
      </c>
      <c r="U2537" s="53">
        <f>IF(P2537="","",IF(P2537="Gasto",S2537,IF(P2537="Reembolso",-S2537,0)))</f>
        <v/>
      </c>
      <c r="V2537" s="53">
        <f>IF(P2537="","",IF(P2537="Ingreso",S2537,0))</f>
        <v/>
      </c>
      <c r="W2537" s="53">
        <f>IF(P2537="","",IF(P2537="Resultado trading",S2537,0))</f>
        <v/>
      </c>
      <c r="X2537" s="52">
        <f>IF(OR(P2537="Gasto",P2537="Reembolso"),IF(M2537&lt;&gt;"",M2537,IFERROR(INDEX(catClasif,MATCH(D2537&amp;"|"&amp;E2537,catClave,0))&amp;"","Variable")),"")</f>
        <v/>
      </c>
      <c r="Y2537" s="52">
        <f>IF(P2537="","",IFERROR(INDEX(catGrupo,MATCH(D2537&amp;"|"&amp;E2537,catClave,0))&amp;"",""))</f>
        <v/>
      </c>
      <c r="Z2537" s="52">
        <f>IF(P2537="","",WEEKDAY(B2537,2))</f>
        <v/>
      </c>
      <c r="AA2537" s="52">
        <f>IF(P2537="","",IF(AND(P2537="Gasto",X2537="Variable",D2537&lt;&gt;catTrading,S2537&gt;0,S2537&lt;=Umbral),1,0))</f>
        <v/>
      </c>
      <c r="AB2537" s="52">
        <f>IF(OR(P2537="",Q2537=""),"",IFERROR(IF(INDEX(ctaVinc,MATCH(Q2537,ctaNombre,0))&amp;""&lt;&gt;"",INDEX(ctaVinc,MATCH(Q2537,ctaNombre,0))&amp;"",Q2537),Q2537))</f>
        <v/>
      </c>
      <c r="AC2537" s="52">
        <f>IF(OR(K2537="",AND(P2537&lt;&gt;"Transferencia",P2537&lt;&gt;"Pago tarjeta")),"",IFERROR(IF(INDEX(ctaVinc,MATCH(K2537,ctaNombre,0))&amp;""&lt;&gt;"",INDEX(ctaVinc,MATCH(K2537,ctaNombre,0))&amp;"",K2537),K2537))</f>
        <v/>
      </c>
      <c r="AD2537" s="52">
        <f>IF(AB2537="","",IFERROR(INDEX(ctaTipo,MATCH(AB2537,ctaNombre,0))&amp;"",""))</f>
        <v/>
      </c>
      <c r="AE2537" s="52">
        <f>IF(AC2537="","",IFERROR(INDEX(ctaTipo,MATCH(AC2537,ctaNombre,0))&amp;"",""))</f>
        <v/>
      </c>
      <c r="AF2537" s="53">
        <f>IF(OR(P2537="",AB2537=""),"",IF(OR(P2537="Gasto",P2537="Transferencia",P2537="Pago tarjeta"),-1,1)*IF(IFERROR(INDEX(ctaMoneda,MATCH(AB2537,ctaNombre,0))&amp;"","DOP")="USD",T2537,S2537))</f>
        <v/>
      </c>
      <c r="AG2537" s="53">
        <f>IF(AC2537="","",IF(IFERROR(INDEX(ctaMoneda,MATCH(AC2537,ctaNombre,0))&amp;"","DOP")="USD",T2537,S2537))</f>
        <v/>
      </c>
      <c r="AH2537" s="53">
        <f>IF(P2537="","",IF(AND(AD2537&lt;&gt;"",COUNTIFS(tcTipo,AD2537,tcLiq,"Sí")&gt;0),IF(OR(P2537="Gasto",P2537="Transferencia",P2537="Pago tarjeta"),-1,1)*S2537,0)+IF(AND(AE2537&lt;&gt;"",COUNTIFS(tcTipo,AE2537,tcLiq,"Sí")&gt;0),S2537,0))</f>
        <v/>
      </c>
      <c r="AI2537" s="52">
        <f>IF(OR(L2537="",P2537=""),"",IF(COUNTIFS(L$6:L2537,L2537,P$6:P2537,"?*")=1,MAX(AI$5:AI2536)+1,""))</f>
        <v/>
      </c>
    </row>
    <row r="2538">
      <c r="B2538" s="47" t="n"/>
      <c r="C2538" s="48" t="n"/>
      <c r="D2538" s="48" t="n"/>
      <c r="E2538" s="48" t="n"/>
      <c r="F2538" s="48" t="n"/>
      <c r="G2538" s="49" t="n"/>
      <c r="H2538" s="48" t="n"/>
      <c r="I2538" s="50" t="n"/>
      <c r="J2538" s="48" t="n"/>
      <c r="K2538" s="48" t="n"/>
      <c r="L2538" s="48" t="n"/>
      <c r="M2538" s="48" t="n"/>
      <c r="N2538" s="48" t="n"/>
      <c r="O2538" s="51">
        <f>IF(AND(B2538="",G2538="",C2538="",D2538="",J2538=""),"",IF(B2538="","⚠ Falta fecha",IF(G2538="","⚠ Falta monto",IF(Q2538="","⚠ Falta cuenta",IF(ISNA(MATCH(Q2538,ctaNombre,0)),"⚠ Cuenta no registrada",IF(AND(OR(P2538="Gasto",P2538="Reembolso"),D2538=""),"⚠ Falta categoría",IF(AND(D2538&lt;&gt;"",E2538&lt;&gt;"",ISNA(MATCH(D2538&amp;"|"&amp;E2538,catClave,0))),"⚠ Subcategoría no corresponde",IF(AND(OR(P2538="Transferencia",P2538="Pago tarjeta"),K2538=""),"⚠ Falta cuenta destino",IF(AND(K2538&lt;&gt;"",P2538&lt;&gt;"Transferencia",P2538&lt;&gt;"Pago tarjeta"),"⚠ Destino solo aplica a transferencias",IF(AND(K2538&lt;&gt;"",K2538=Q2538),"⚠ Origen igual a destino",IF(AND(K2538&lt;&gt;"",ISNA(MATCH(K2538,ctaNombre,0))),"⚠ Destino no registrado",IF(AND(P2538="Pago tarjeta",AE2538&lt;&gt;"Tarjeta de crédito"),"⚠ El destino debe ser tarjeta de crédito",IF(AND(P2538="Gasto",E2538="Depósitos y retiros"),"⚠ Usa tipo Transferencia",IF(AND(P2538="Resultado trading",AD2538&lt;&gt;"Cuenta de trading"),"⚠ Usa una cuenta de trading",IF(AND(G2538&lt;=0,P2538&lt;&gt;"Ajuste",P2538&lt;&gt;"Resultado trading"),"⚠ El monto debe ser positivo","✓")))))))))))))))</f>
        <v/>
      </c>
      <c r="P2538" s="52">
        <f>IF(OR(B2538="",G2538=""),"",IF(C2538="","Gasto",C2538))</f>
        <v/>
      </c>
      <c r="Q2538" s="52">
        <f>IF(P2538="","",IF(J2538&lt;&gt;"",J2538,CuentaPred&amp;""))</f>
        <v/>
      </c>
      <c r="R2538" s="52">
        <f>IF(P2538="","",IF(ISNUMBER(I2538),I2538,TasaUSD))</f>
        <v/>
      </c>
      <c r="S2538" s="53">
        <f>IF(P2538="","",IF(H2538="USD",G2538*R2538,G2538))</f>
        <v/>
      </c>
      <c r="T2538" s="53">
        <f>IF(P2538="","",IF(H2538="USD",G2538,IF(R2538&gt;0,G2538/R2538,0)))</f>
        <v/>
      </c>
      <c r="U2538" s="53">
        <f>IF(P2538="","",IF(P2538="Gasto",S2538,IF(P2538="Reembolso",-S2538,0)))</f>
        <v/>
      </c>
      <c r="V2538" s="53">
        <f>IF(P2538="","",IF(P2538="Ingreso",S2538,0))</f>
        <v/>
      </c>
      <c r="W2538" s="53">
        <f>IF(P2538="","",IF(P2538="Resultado trading",S2538,0))</f>
        <v/>
      </c>
      <c r="X2538" s="52">
        <f>IF(OR(P2538="Gasto",P2538="Reembolso"),IF(M2538&lt;&gt;"",M2538,IFERROR(INDEX(catClasif,MATCH(D2538&amp;"|"&amp;E2538,catClave,0))&amp;"","Variable")),"")</f>
        <v/>
      </c>
      <c r="Y2538" s="52">
        <f>IF(P2538="","",IFERROR(INDEX(catGrupo,MATCH(D2538&amp;"|"&amp;E2538,catClave,0))&amp;"",""))</f>
        <v/>
      </c>
      <c r="Z2538" s="52">
        <f>IF(P2538="","",WEEKDAY(B2538,2))</f>
        <v/>
      </c>
      <c r="AA2538" s="52">
        <f>IF(P2538="","",IF(AND(P2538="Gasto",X2538="Variable",D2538&lt;&gt;catTrading,S2538&gt;0,S2538&lt;=Umbral),1,0))</f>
        <v/>
      </c>
      <c r="AB2538" s="52">
        <f>IF(OR(P2538="",Q2538=""),"",IFERROR(IF(INDEX(ctaVinc,MATCH(Q2538,ctaNombre,0))&amp;""&lt;&gt;"",INDEX(ctaVinc,MATCH(Q2538,ctaNombre,0))&amp;"",Q2538),Q2538))</f>
        <v/>
      </c>
      <c r="AC2538" s="52">
        <f>IF(OR(K2538="",AND(P2538&lt;&gt;"Transferencia",P2538&lt;&gt;"Pago tarjeta")),"",IFERROR(IF(INDEX(ctaVinc,MATCH(K2538,ctaNombre,0))&amp;""&lt;&gt;"",INDEX(ctaVinc,MATCH(K2538,ctaNombre,0))&amp;"",K2538),K2538))</f>
        <v/>
      </c>
      <c r="AD2538" s="52">
        <f>IF(AB2538="","",IFERROR(INDEX(ctaTipo,MATCH(AB2538,ctaNombre,0))&amp;"",""))</f>
        <v/>
      </c>
      <c r="AE2538" s="52">
        <f>IF(AC2538="","",IFERROR(INDEX(ctaTipo,MATCH(AC2538,ctaNombre,0))&amp;"",""))</f>
        <v/>
      </c>
      <c r="AF2538" s="53">
        <f>IF(OR(P2538="",AB2538=""),"",IF(OR(P2538="Gasto",P2538="Transferencia",P2538="Pago tarjeta"),-1,1)*IF(IFERROR(INDEX(ctaMoneda,MATCH(AB2538,ctaNombre,0))&amp;"","DOP")="USD",T2538,S2538))</f>
        <v/>
      </c>
      <c r="AG2538" s="53">
        <f>IF(AC2538="","",IF(IFERROR(INDEX(ctaMoneda,MATCH(AC2538,ctaNombre,0))&amp;"","DOP")="USD",T2538,S2538))</f>
        <v/>
      </c>
      <c r="AH2538" s="53">
        <f>IF(P2538="","",IF(AND(AD2538&lt;&gt;"",COUNTIFS(tcTipo,AD2538,tcLiq,"Sí")&gt;0),IF(OR(P2538="Gasto",P2538="Transferencia",P2538="Pago tarjeta"),-1,1)*S2538,0)+IF(AND(AE2538&lt;&gt;"",COUNTIFS(tcTipo,AE2538,tcLiq,"Sí")&gt;0),S2538,0))</f>
        <v/>
      </c>
      <c r="AI2538" s="52">
        <f>IF(OR(L2538="",P2538=""),"",IF(COUNTIFS(L$6:L2538,L2538,P$6:P2538,"?*")=1,MAX(AI$5:AI2537)+1,""))</f>
        <v/>
      </c>
    </row>
    <row r="2539">
      <c r="B2539" s="47" t="n"/>
      <c r="C2539" s="48" t="n"/>
      <c r="D2539" s="48" t="n"/>
      <c r="E2539" s="48" t="n"/>
      <c r="F2539" s="48" t="n"/>
      <c r="G2539" s="49" t="n"/>
      <c r="H2539" s="48" t="n"/>
      <c r="I2539" s="50" t="n"/>
      <c r="J2539" s="48" t="n"/>
      <c r="K2539" s="48" t="n"/>
      <c r="L2539" s="48" t="n"/>
      <c r="M2539" s="48" t="n"/>
      <c r="N2539" s="48" t="n"/>
      <c r="O2539" s="51">
        <f>IF(AND(B2539="",G2539="",C2539="",D2539="",J2539=""),"",IF(B2539="","⚠ Falta fecha",IF(G2539="","⚠ Falta monto",IF(Q2539="","⚠ Falta cuenta",IF(ISNA(MATCH(Q2539,ctaNombre,0)),"⚠ Cuenta no registrada",IF(AND(OR(P2539="Gasto",P2539="Reembolso"),D2539=""),"⚠ Falta categoría",IF(AND(D2539&lt;&gt;"",E2539&lt;&gt;"",ISNA(MATCH(D2539&amp;"|"&amp;E2539,catClave,0))),"⚠ Subcategoría no corresponde",IF(AND(OR(P2539="Transferencia",P2539="Pago tarjeta"),K2539=""),"⚠ Falta cuenta destino",IF(AND(K2539&lt;&gt;"",P2539&lt;&gt;"Transferencia",P2539&lt;&gt;"Pago tarjeta"),"⚠ Destino solo aplica a transferencias",IF(AND(K2539&lt;&gt;"",K2539=Q2539),"⚠ Origen igual a destino",IF(AND(K2539&lt;&gt;"",ISNA(MATCH(K2539,ctaNombre,0))),"⚠ Destino no registrado",IF(AND(P2539="Pago tarjeta",AE2539&lt;&gt;"Tarjeta de crédito"),"⚠ El destino debe ser tarjeta de crédito",IF(AND(P2539="Gasto",E2539="Depósitos y retiros"),"⚠ Usa tipo Transferencia",IF(AND(P2539="Resultado trading",AD2539&lt;&gt;"Cuenta de trading"),"⚠ Usa una cuenta de trading",IF(AND(G2539&lt;=0,P2539&lt;&gt;"Ajuste",P2539&lt;&gt;"Resultado trading"),"⚠ El monto debe ser positivo","✓")))))))))))))))</f>
        <v/>
      </c>
      <c r="P2539" s="52">
        <f>IF(OR(B2539="",G2539=""),"",IF(C2539="","Gasto",C2539))</f>
        <v/>
      </c>
      <c r="Q2539" s="52">
        <f>IF(P2539="","",IF(J2539&lt;&gt;"",J2539,CuentaPred&amp;""))</f>
        <v/>
      </c>
      <c r="R2539" s="52">
        <f>IF(P2539="","",IF(ISNUMBER(I2539),I2539,TasaUSD))</f>
        <v/>
      </c>
      <c r="S2539" s="53">
        <f>IF(P2539="","",IF(H2539="USD",G2539*R2539,G2539))</f>
        <v/>
      </c>
      <c r="T2539" s="53">
        <f>IF(P2539="","",IF(H2539="USD",G2539,IF(R2539&gt;0,G2539/R2539,0)))</f>
        <v/>
      </c>
      <c r="U2539" s="53">
        <f>IF(P2539="","",IF(P2539="Gasto",S2539,IF(P2539="Reembolso",-S2539,0)))</f>
        <v/>
      </c>
      <c r="V2539" s="53">
        <f>IF(P2539="","",IF(P2539="Ingreso",S2539,0))</f>
        <v/>
      </c>
      <c r="W2539" s="53">
        <f>IF(P2539="","",IF(P2539="Resultado trading",S2539,0))</f>
        <v/>
      </c>
      <c r="X2539" s="52">
        <f>IF(OR(P2539="Gasto",P2539="Reembolso"),IF(M2539&lt;&gt;"",M2539,IFERROR(INDEX(catClasif,MATCH(D2539&amp;"|"&amp;E2539,catClave,0))&amp;"","Variable")),"")</f>
        <v/>
      </c>
      <c r="Y2539" s="52">
        <f>IF(P2539="","",IFERROR(INDEX(catGrupo,MATCH(D2539&amp;"|"&amp;E2539,catClave,0))&amp;"",""))</f>
        <v/>
      </c>
      <c r="Z2539" s="52">
        <f>IF(P2539="","",WEEKDAY(B2539,2))</f>
        <v/>
      </c>
      <c r="AA2539" s="52">
        <f>IF(P2539="","",IF(AND(P2539="Gasto",X2539="Variable",D2539&lt;&gt;catTrading,S2539&gt;0,S2539&lt;=Umbral),1,0))</f>
        <v/>
      </c>
      <c r="AB2539" s="52">
        <f>IF(OR(P2539="",Q2539=""),"",IFERROR(IF(INDEX(ctaVinc,MATCH(Q2539,ctaNombre,0))&amp;""&lt;&gt;"",INDEX(ctaVinc,MATCH(Q2539,ctaNombre,0))&amp;"",Q2539),Q2539))</f>
        <v/>
      </c>
      <c r="AC2539" s="52">
        <f>IF(OR(K2539="",AND(P2539&lt;&gt;"Transferencia",P2539&lt;&gt;"Pago tarjeta")),"",IFERROR(IF(INDEX(ctaVinc,MATCH(K2539,ctaNombre,0))&amp;""&lt;&gt;"",INDEX(ctaVinc,MATCH(K2539,ctaNombre,0))&amp;"",K2539),K2539))</f>
        <v/>
      </c>
      <c r="AD2539" s="52">
        <f>IF(AB2539="","",IFERROR(INDEX(ctaTipo,MATCH(AB2539,ctaNombre,0))&amp;"",""))</f>
        <v/>
      </c>
      <c r="AE2539" s="52">
        <f>IF(AC2539="","",IFERROR(INDEX(ctaTipo,MATCH(AC2539,ctaNombre,0))&amp;"",""))</f>
        <v/>
      </c>
      <c r="AF2539" s="53">
        <f>IF(OR(P2539="",AB2539=""),"",IF(OR(P2539="Gasto",P2539="Transferencia",P2539="Pago tarjeta"),-1,1)*IF(IFERROR(INDEX(ctaMoneda,MATCH(AB2539,ctaNombre,0))&amp;"","DOP")="USD",T2539,S2539))</f>
        <v/>
      </c>
      <c r="AG2539" s="53">
        <f>IF(AC2539="","",IF(IFERROR(INDEX(ctaMoneda,MATCH(AC2539,ctaNombre,0))&amp;"","DOP")="USD",T2539,S2539))</f>
        <v/>
      </c>
      <c r="AH2539" s="53">
        <f>IF(P2539="","",IF(AND(AD2539&lt;&gt;"",COUNTIFS(tcTipo,AD2539,tcLiq,"Sí")&gt;0),IF(OR(P2539="Gasto",P2539="Transferencia",P2539="Pago tarjeta"),-1,1)*S2539,0)+IF(AND(AE2539&lt;&gt;"",COUNTIFS(tcTipo,AE2539,tcLiq,"Sí")&gt;0),S2539,0))</f>
        <v/>
      </c>
      <c r="AI2539" s="52">
        <f>IF(OR(L2539="",P2539=""),"",IF(COUNTIFS(L$6:L2539,L2539,P$6:P2539,"?*")=1,MAX(AI$5:AI2538)+1,""))</f>
        <v/>
      </c>
    </row>
    <row r="2540">
      <c r="B2540" s="47" t="n"/>
      <c r="C2540" s="48" t="n"/>
      <c r="D2540" s="48" t="n"/>
      <c r="E2540" s="48" t="n"/>
      <c r="F2540" s="48" t="n"/>
      <c r="G2540" s="49" t="n"/>
      <c r="H2540" s="48" t="n"/>
      <c r="I2540" s="50" t="n"/>
      <c r="J2540" s="48" t="n"/>
      <c r="K2540" s="48" t="n"/>
      <c r="L2540" s="48" t="n"/>
      <c r="M2540" s="48" t="n"/>
      <c r="N2540" s="48" t="n"/>
      <c r="O2540" s="51">
        <f>IF(AND(B2540="",G2540="",C2540="",D2540="",J2540=""),"",IF(B2540="","⚠ Falta fecha",IF(G2540="","⚠ Falta monto",IF(Q2540="","⚠ Falta cuenta",IF(ISNA(MATCH(Q2540,ctaNombre,0)),"⚠ Cuenta no registrada",IF(AND(OR(P2540="Gasto",P2540="Reembolso"),D2540=""),"⚠ Falta categoría",IF(AND(D2540&lt;&gt;"",E2540&lt;&gt;"",ISNA(MATCH(D2540&amp;"|"&amp;E2540,catClave,0))),"⚠ Subcategoría no corresponde",IF(AND(OR(P2540="Transferencia",P2540="Pago tarjeta"),K2540=""),"⚠ Falta cuenta destino",IF(AND(K2540&lt;&gt;"",P2540&lt;&gt;"Transferencia",P2540&lt;&gt;"Pago tarjeta"),"⚠ Destino solo aplica a transferencias",IF(AND(K2540&lt;&gt;"",K2540=Q2540),"⚠ Origen igual a destino",IF(AND(K2540&lt;&gt;"",ISNA(MATCH(K2540,ctaNombre,0))),"⚠ Destino no registrado",IF(AND(P2540="Pago tarjeta",AE2540&lt;&gt;"Tarjeta de crédito"),"⚠ El destino debe ser tarjeta de crédito",IF(AND(P2540="Gasto",E2540="Depósitos y retiros"),"⚠ Usa tipo Transferencia",IF(AND(P2540="Resultado trading",AD2540&lt;&gt;"Cuenta de trading"),"⚠ Usa una cuenta de trading",IF(AND(G2540&lt;=0,P2540&lt;&gt;"Ajuste",P2540&lt;&gt;"Resultado trading"),"⚠ El monto debe ser positivo","✓")))))))))))))))</f>
        <v/>
      </c>
      <c r="P2540" s="52">
        <f>IF(OR(B2540="",G2540=""),"",IF(C2540="","Gasto",C2540))</f>
        <v/>
      </c>
      <c r="Q2540" s="52">
        <f>IF(P2540="","",IF(J2540&lt;&gt;"",J2540,CuentaPred&amp;""))</f>
        <v/>
      </c>
      <c r="R2540" s="52">
        <f>IF(P2540="","",IF(ISNUMBER(I2540),I2540,TasaUSD))</f>
        <v/>
      </c>
      <c r="S2540" s="53">
        <f>IF(P2540="","",IF(H2540="USD",G2540*R2540,G2540))</f>
        <v/>
      </c>
      <c r="T2540" s="53">
        <f>IF(P2540="","",IF(H2540="USD",G2540,IF(R2540&gt;0,G2540/R2540,0)))</f>
        <v/>
      </c>
      <c r="U2540" s="53">
        <f>IF(P2540="","",IF(P2540="Gasto",S2540,IF(P2540="Reembolso",-S2540,0)))</f>
        <v/>
      </c>
      <c r="V2540" s="53">
        <f>IF(P2540="","",IF(P2540="Ingreso",S2540,0))</f>
        <v/>
      </c>
      <c r="W2540" s="53">
        <f>IF(P2540="","",IF(P2540="Resultado trading",S2540,0))</f>
        <v/>
      </c>
      <c r="X2540" s="52">
        <f>IF(OR(P2540="Gasto",P2540="Reembolso"),IF(M2540&lt;&gt;"",M2540,IFERROR(INDEX(catClasif,MATCH(D2540&amp;"|"&amp;E2540,catClave,0))&amp;"","Variable")),"")</f>
        <v/>
      </c>
      <c r="Y2540" s="52">
        <f>IF(P2540="","",IFERROR(INDEX(catGrupo,MATCH(D2540&amp;"|"&amp;E2540,catClave,0))&amp;"",""))</f>
        <v/>
      </c>
      <c r="Z2540" s="52">
        <f>IF(P2540="","",WEEKDAY(B2540,2))</f>
        <v/>
      </c>
      <c r="AA2540" s="52">
        <f>IF(P2540="","",IF(AND(P2540="Gasto",X2540="Variable",D2540&lt;&gt;catTrading,S2540&gt;0,S2540&lt;=Umbral),1,0))</f>
        <v/>
      </c>
      <c r="AB2540" s="52">
        <f>IF(OR(P2540="",Q2540=""),"",IFERROR(IF(INDEX(ctaVinc,MATCH(Q2540,ctaNombre,0))&amp;""&lt;&gt;"",INDEX(ctaVinc,MATCH(Q2540,ctaNombre,0))&amp;"",Q2540),Q2540))</f>
        <v/>
      </c>
      <c r="AC2540" s="52">
        <f>IF(OR(K2540="",AND(P2540&lt;&gt;"Transferencia",P2540&lt;&gt;"Pago tarjeta")),"",IFERROR(IF(INDEX(ctaVinc,MATCH(K2540,ctaNombre,0))&amp;""&lt;&gt;"",INDEX(ctaVinc,MATCH(K2540,ctaNombre,0))&amp;"",K2540),K2540))</f>
        <v/>
      </c>
      <c r="AD2540" s="52">
        <f>IF(AB2540="","",IFERROR(INDEX(ctaTipo,MATCH(AB2540,ctaNombre,0))&amp;"",""))</f>
        <v/>
      </c>
      <c r="AE2540" s="52">
        <f>IF(AC2540="","",IFERROR(INDEX(ctaTipo,MATCH(AC2540,ctaNombre,0))&amp;"",""))</f>
        <v/>
      </c>
      <c r="AF2540" s="53">
        <f>IF(OR(P2540="",AB2540=""),"",IF(OR(P2540="Gasto",P2540="Transferencia",P2540="Pago tarjeta"),-1,1)*IF(IFERROR(INDEX(ctaMoneda,MATCH(AB2540,ctaNombre,0))&amp;"","DOP")="USD",T2540,S2540))</f>
        <v/>
      </c>
      <c r="AG2540" s="53">
        <f>IF(AC2540="","",IF(IFERROR(INDEX(ctaMoneda,MATCH(AC2540,ctaNombre,0))&amp;"","DOP")="USD",T2540,S2540))</f>
        <v/>
      </c>
      <c r="AH2540" s="53">
        <f>IF(P2540="","",IF(AND(AD2540&lt;&gt;"",COUNTIFS(tcTipo,AD2540,tcLiq,"Sí")&gt;0),IF(OR(P2540="Gasto",P2540="Transferencia",P2540="Pago tarjeta"),-1,1)*S2540,0)+IF(AND(AE2540&lt;&gt;"",COUNTIFS(tcTipo,AE2540,tcLiq,"Sí")&gt;0),S2540,0))</f>
        <v/>
      </c>
      <c r="AI2540" s="52">
        <f>IF(OR(L2540="",P2540=""),"",IF(COUNTIFS(L$6:L2540,L2540,P$6:P2540,"?*")=1,MAX(AI$5:AI2539)+1,""))</f>
        <v/>
      </c>
    </row>
    <row r="2541">
      <c r="B2541" s="47" t="n"/>
      <c r="C2541" s="48" t="n"/>
      <c r="D2541" s="48" t="n"/>
      <c r="E2541" s="48" t="n"/>
      <c r="F2541" s="48" t="n"/>
      <c r="G2541" s="49" t="n"/>
      <c r="H2541" s="48" t="n"/>
      <c r="I2541" s="50" t="n"/>
      <c r="J2541" s="48" t="n"/>
      <c r="K2541" s="48" t="n"/>
      <c r="L2541" s="48" t="n"/>
      <c r="M2541" s="48" t="n"/>
      <c r="N2541" s="48" t="n"/>
      <c r="O2541" s="51">
        <f>IF(AND(B2541="",G2541="",C2541="",D2541="",J2541=""),"",IF(B2541="","⚠ Falta fecha",IF(G2541="","⚠ Falta monto",IF(Q2541="","⚠ Falta cuenta",IF(ISNA(MATCH(Q2541,ctaNombre,0)),"⚠ Cuenta no registrada",IF(AND(OR(P2541="Gasto",P2541="Reembolso"),D2541=""),"⚠ Falta categoría",IF(AND(D2541&lt;&gt;"",E2541&lt;&gt;"",ISNA(MATCH(D2541&amp;"|"&amp;E2541,catClave,0))),"⚠ Subcategoría no corresponde",IF(AND(OR(P2541="Transferencia",P2541="Pago tarjeta"),K2541=""),"⚠ Falta cuenta destino",IF(AND(K2541&lt;&gt;"",P2541&lt;&gt;"Transferencia",P2541&lt;&gt;"Pago tarjeta"),"⚠ Destino solo aplica a transferencias",IF(AND(K2541&lt;&gt;"",K2541=Q2541),"⚠ Origen igual a destino",IF(AND(K2541&lt;&gt;"",ISNA(MATCH(K2541,ctaNombre,0))),"⚠ Destino no registrado",IF(AND(P2541="Pago tarjeta",AE2541&lt;&gt;"Tarjeta de crédito"),"⚠ El destino debe ser tarjeta de crédito",IF(AND(P2541="Gasto",E2541="Depósitos y retiros"),"⚠ Usa tipo Transferencia",IF(AND(P2541="Resultado trading",AD2541&lt;&gt;"Cuenta de trading"),"⚠ Usa una cuenta de trading",IF(AND(G2541&lt;=0,P2541&lt;&gt;"Ajuste",P2541&lt;&gt;"Resultado trading"),"⚠ El monto debe ser positivo","✓")))))))))))))))</f>
        <v/>
      </c>
      <c r="P2541" s="52">
        <f>IF(OR(B2541="",G2541=""),"",IF(C2541="","Gasto",C2541))</f>
        <v/>
      </c>
      <c r="Q2541" s="52">
        <f>IF(P2541="","",IF(J2541&lt;&gt;"",J2541,CuentaPred&amp;""))</f>
        <v/>
      </c>
      <c r="R2541" s="52">
        <f>IF(P2541="","",IF(ISNUMBER(I2541),I2541,TasaUSD))</f>
        <v/>
      </c>
      <c r="S2541" s="53">
        <f>IF(P2541="","",IF(H2541="USD",G2541*R2541,G2541))</f>
        <v/>
      </c>
      <c r="T2541" s="53">
        <f>IF(P2541="","",IF(H2541="USD",G2541,IF(R2541&gt;0,G2541/R2541,0)))</f>
        <v/>
      </c>
      <c r="U2541" s="53">
        <f>IF(P2541="","",IF(P2541="Gasto",S2541,IF(P2541="Reembolso",-S2541,0)))</f>
        <v/>
      </c>
      <c r="V2541" s="53">
        <f>IF(P2541="","",IF(P2541="Ingreso",S2541,0))</f>
        <v/>
      </c>
      <c r="W2541" s="53">
        <f>IF(P2541="","",IF(P2541="Resultado trading",S2541,0))</f>
        <v/>
      </c>
      <c r="X2541" s="52">
        <f>IF(OR(P2541="Gasto",P2541="Reembolso"),IF(M2541&lt;&gt;"",M2541,IFERROR(INDEX(catClasif,MATCH(D2541&amp;"|"&amp;E2541,catClave,0))&amp;"","Variable")),"")</f>
        <v/>
      </c>
      <c r="Y2541" s="52">
        <f>IF(P2541="","",IFERROR(INDEX(catGrupo,MATCH(D2541&amp;"|"&amp;E2541,catClave,0))&amp;"",""))</f>
        <v/>
      </c>
      <c r="Z2541" s="52">
        <f>IF(P2541="","",WEEKDAY(B2541,2))</f>
        <v/>
      </c>
      <c r="AA2541" s="52">
        <f>IF(P2541="","",IF(AND(P2541="Gasto",X2541="Variable",D2541&lt;&gt;catTrading,S2541&gt;0,S2541&lt;=Umbral),1,0))</f>
        <v/>
      </c>
      <c r="AB2541" s="52">
        <f>IF(OR(P2541="",Q2541=""),"",IFERROR(IF(INDEX(ctaVinc,MATCH(Q2541,ctaNombre,0))&amp;""&lt;&gt;"",INDEX(ctaVinc,MATCH(Q2541,ctaNombre,0))&amp;"",Q2541),Q2541))</f>
        <v/>
      </c>
      <c r="AC2541" s="52">
        <f>IF(OR(K2541="",AND(P2541&lt;&gt;"Transferencia",P2541&lt;&gt;"Pago tarjeta")),"",IFERROR(IF(INDEX(ctaVinc,MATCH(K2541,ctaNombre,0))&amp;""&lt;&gt;"",INDEX(ctaVinc,MATCH(K2541,ctaNombre,0))&amp;"",K2541),K2541))</f>
        <v/>
      </c>
      <c r="AD2541" s="52">
        <f>IF(AB2541="","",IFERROR(INDEX(ctaTipo,MATCH(AB2541,ctaNombre,0))&amp;"",""))</f>
        <v/>
      </c>
      <c r="AE2541" s="52">
        <f>IF(AC2541="","",IFERROR(INDEX(ctaTipo,MATCH(AC2541,ctaNombre,0))&amp;"",""))</f>
        <v/>
      </c>
      <c r="AF2541" s="53">
        <f>IF(OR(P2541="",AB2541=""),"",IF(OR(P2541="Gasto",P2541="Transferencia",P2541="Pago tarjeta"),-1,1)*IF(IFERROR(INDEX(ctaMoneda,MATCH(AB2541,ctaNombre,0))&amp;"","DOP")="USD",T2541,S2541))</f>
        <v/>
      </c>
      <c r="AG2541" s="53">
        <f>IF(AC2541="","",IF(IFERROR(INDEX(ctaMoneda,MATCH(AC2541,ctaNombre,0))&amp;"","DOP")="USD",T2541,S2541))</f>
        <v/>
      </c>
      <c r="AH2541" s="53">
        <f>IF(P2541="","",IF(AND(AD2541&lt;&gt;"",COUNTIFS(tcTipo,AD2541,tcLiq,"Sí")&gt;0),IF(OR(P2541="Gasto",P2541="Transferencia",P2541="Pago tarjeta"),-1,1)*S2541,0)+IF(AND(AE2541&lt;&gt;"",COUNTIFS(tcTipo,AE2541,tcLiq,"Sí")&gt;0),S2541,0))</f>
        <v/>
      </c>
      <c r="AI2541" s="52">
        <f>IF(OR(L2541="",P2541=""),"",IF(COUNTIFS(L$6:L2541,L2541,P$6:P2541,"?*")=1,MAX(AI$5:AI2540)+1,""))</f>
        <v/>
      </c>
    </row>
    <row r="2542">
      <c r="B2542" s="47" t="n"/>
      <c r="C2542" s="48" t="n"/>
      <c r="D2542" s="48" t="n"/>
      <c r="E2542" s="48" t="n"/>
      <c r="F2542" s="48" t="n"/>
      <c r="G2542" s="49" t="n"/>
      <c r="H2542" s="48" t="n"/>
      <c r="I2542" s="50" t="n"/>
      <c r="J2542" s="48" t="n"/>
      <c r="K2542" s="48" t="n"/>
      <c r="L2542" s="48" t="n"/>
      <c r="M2542" s="48" t="n"/>
      <c r="N2542" s="48" t="n"/>
      <c r="O2542" s="51">
        <f>IF(AND(B2542="",G2542="",C2542="",D2542="",J2542=""),"",IF(B2542="","⚠ Falta fecha",IF(G2542="","⚠ Falta monto",IF(Q2542="","⚠ Falta cuenta",IF(ISNA(MATCH(Q2542,ctaNombre,0)),"⚠ Cuenta no registrada",IF(AND(OR(P2542="Gasto",P2542="Reembolso"),D2542=""),"⚠ Falta categoría",IF(AND(D2542&lt;&gt;"",E2542&lt;&gt;"",ISNA(MATCH(D2542&amp;"|"&amp;E2542,catClave,0))),"⚠ Subcategoría no corresponde",IF(AND(OR(P2542="Transferencia",P2542="Pago tarjeta"),K2542=""),"⚠ Falta cuenta destino",IF(AND(K2542&lt;&gt;"",P2542&lt;&gt;"Transferencia",P2542&lt;&gt;"Pago tarjeta"),"⚠ Destino solo aplica a transferencias",IF(AND(K2542&lt;&gt;"",K2542=Q2542),"⚠ Origen igual a destino",IF(AND(K2542&lt;&gt;"",ISNA(MATCH(K2542,ctaNombre,0))),"⚠ Destino no registrado",IF(AND(P2542="Pago tarjeta",AE2542&lt;&gt;"Tarjeta de crédito"),"⚠ El destino debe ser tarjeta de crédito",IF(AND(P2542="Gasto",E2542="Depósitos y retiros"),"⚠ Usa tipo Transferencia",IF(AND(P2542="Resultado trading",AD2542&lt;&gt;"Cuenta de trading"),"⚠ Usa una cuenta de trading",IF(AND(G2542&lt;=0,P2542&lt;&gt;"Ajuste",P2542&lt;&gt;"Resultado trading"),"⚠ El monto debe ser positivo","✓")))))))))))))))</f>
        <v/>
      </c>
      <c r="P2542" s="52">
        <f>IF(OR(B2542="",G2542=""),"",IF(C2542="","Gasto",C2542))</f>
        <v/>
      </c>
      <c r="Q2542" s="52">
        <f>IF(P2542="","",IF(J2542&lt;&gt;"",J2542,CuentaPred&amp;""))</f>
        <v/>
      </c>
      <c r="R2542" s="52">
        <f>IF(P2542="","",IF(ISNUMBER(I2542),I2542,TasaUSD))</f>
        <v/>
      </c>
      <c r="S2542" s="53">
        <f>IF(P2542="","",IF(H2542="USD",G2542*R2542,G2542))</f>
        <v/>
      </c>
      <c r="T2542" s="53">
        <f>IF(P2542="","",IF(H2542="USD",G2542,IF(R2542&gt;0,G2542/R2542,0)))</f>
        <v/>
      </c>
      <c r="U2542" s="53">
        <f>IF(P2542="","",IF(P2542="Gasto",S2542,IF(P2542="Reembolso",-S2542,0)))</f>
        <v/>
      </c>
      <c r="V2542" s="53">
        <f>IF(P2542="","",IF(P2542="Ingreso",S2542,0))</f>
        <v/>
      </c>
      <c r="W2542" s="53">
        <f>IF(P2542="","",IF(P2542="Resultado trading",S2542,0))</f>
        <v/>
      </c>
      <c r="X2542" s="52">
        <f>IF(OR(P2542="Gasto",P2542="Reembolso"),IF(M2542&lt;&gt;"",M2542,IFERROR(INDEX(catClasif,MATCH(D2542&amp;"|"&amp;E2542,catClave,0))&amp;"","Variable")),"")</f>
        <v/>
      </c>
      <c r="Y2542" s="52">
        <f>IF(P2542="","",IFERROR(INDEX(catGrupo,MATCH(D2542&amp;"|"&amp;E2542,catClave,0))&amp;"",""))</f>
        <v/>
      </c>
      <c r="Z2542" s="52">
        <f>IF(P2542="","",WEEKDAY(B2542,2))</f>
        <v/>
      </c>
      <c r="AA2542" s="52">
        <f>IF(P2542="","",IF(AND(P2542="Gasto",X2542="Variable",D2542&lt;&gt;catTrading,S2542&gt;0,S2542&lt;=Umbral),1,0))</f>
        <v/>
      </c>
      <c r="AB2542" s="52">
        <f>IF(OR(P2542="",Q2542=""),"",IFERROR(IF(INDEX(ctaVinc,MATCH(Q2542,ctaNombre,0))&amp;""&lt;&gt;"",INDEX(ctaVinc,MATCH(Q2542,ctaNombre,0))&amp;"",Q2542),Q2542))</f>
        <v/>
      </c>
      <c r="AC2542" s="52">
        <f>IF(OR(K2542="",AND(P2542&lt;&gt;"Transferencia",P2542&lt;&gt;"Pago tarjeta")),"",IFERROR(IF(INDEX(ctaVinc,MATCH(K2542,ctaNombre,0))&amp;""&lt;&gt;"",INDEX(ctaVinc,MATCH(K2542,ctaNombre,0))&amp;"",K2542),K2542))</f>
        <v/>
      </c>
      <c r="AD2542" s="52">
        <f>IF(AB2542="","",IFERROR(INDEX(ctaTipo,MATCH(AB2542,ctaNombre,0))&amp;"",""))</f>
        <v/>
      </c>
      <c r="AE2542" s="52">
        <f>IF(AC2542="","",IFERROR(INDEX(ctaTipo,MATCH(AC2542,ctaNombre,0))&amp;"",""))</f>
        <v/>
      </c>
      <c r="AF2542" s="53">
        <f>IF(OR(P2542="",AB2542=""),"",IF(OR(P2542="Gasto",P2542="Transferencia",P2542="Pago tarjeta"),-1,1)*IF(IFERROR(INDEX(ctaMoneda,MATCH(AB2542,ctaNombre,0))&amp;"","DOP")="USD",T2542,S2542))</f>
        <v/>
      </c>
      <c r="AG2542" s="53">
        <f>IF(AC2542="","",IF(IFERROR(INDEX(ctaMoneda,MATCH(AC2542,ctaNombre,0))&amp;"","DOP")="USD",T2542,S2542))</f>
        <v/>
      </c>
      <c r="AH2542" s="53">
        <f>IF(P2542="","",IF(AND(AD2542&lt;&gt;"",COUNTIFS(tcTipo,AD2542,tcLiq,"Sí")&gt;0),IF(OR(P2542="Gasto",P2542="Transferencia",P2542="Pago tarjeta"),-1,1)*S2542,0)+IF(AND(AE2542&lt;&gt;"",COUNTIFS(tcTipo,AE2542,tcLiq,"Sí")&gt;0),S2542,0))</f>
        <v/>
      </c>
      <c r="AI2542" s="52">
        <f>IF(OR(L2542="",P2542=""),"",IF(COUNTIFS(L$6:L2542,L2542,P$6:P2542,"?*")=1,MAX(AI$5:AI2541)+1,""))</f>
        <v/>
      </c>
    </row>
    <row r="2543">
      <c r="B2543" s="47" t="n"/>
      <c r="C2543" s="48" t="n"/>
      <c r="D2543" s="48" t="n"/>
      <c r="E2543" s="48" t="n"/>
      <c r="F2543" s="48" t="n"/>
      <c r="G2543" s="49" t="n"/>
      <c r="H2543" s="48" t="n"/>
      <c r="I2543" s="50" t="n"/>
      <c r="J2543" s="48" t="n"/>
      <c r="K2543" s="48" t="n"/>
      <c r="L2543" s="48" t="n"/>
      <c r="M2543" s="48" t="n"/>
      <c r="N2543" s="48" t="n"/>
      <c r="O2543" s="51">
        <f>IF(AND(B2543="",G2543="",C2543="",D2543="",J2543=""),"",IF(B2543="","⚠ Falta fecha",IF(G2543="","⚠ Falta monto",IF(Q2543="","⚠ Falta cuenta",IF(ISNA(MATCH(Q2543,ctaNombre,0)),"⚠ Cuenta no registrada",IF(AND(OR(P2543="Gasto",P2543="Reembolso"),D2543=""),"⚠ Falta categoría",IF(AND(D2543&lt;&gt;"",E2543&lt;&gt;"",ISNA(MATCH(D2543&amp;"|"&amp;E2543,catClave,0))),"⚠ Subcategoría no corresponde",IF(AND(OR(P2543="Transferencia",P2543="Pago tarjeta"),K2543=""),"⚠ Falta cuenta destino",IF(AND(K2543&lt;&gt;"",P2543&lt;&gt;"Transferencia",P2543&lt;&gt;"Pago tarjeta"),"⚠ Destino solo aplica a transferencias",IF(AND(K2543&lt;&gt;"",K2543=Q2543),"⚠ Origen igual a destino",IF(AND(K2543&lt;&gt;"",ISNA(MATCH(K2543,ctaNombre,0))),"⚠ Destino no registrado",IF(AND(P2543="Pago tarjeta",AE2543&lt;&gt;"Tarjeta de crédito"),"⚠ El destino debe ser tarjeta de crédito",IF(AND(P2543="Gasto",E2543="Depósitos y retiros"),"⚠ Usa tipo Transferencia",IF(AND(P2543="Resultado trading",AD2543&lt;&gt;"Cuenta de trading"),"⚠ Usa una cuenta de trading",IF(AND(G2543&lt;=0,P2543&lt;&gt;"Ajuste",P2543&lt;&gt;"Resultado trading"),"⚠ El monto debe ser positivo","✓")))))))))))))))</f>
        <v/>
      </c>
      <c r="P2543" s="52">
        <f>IF(OR(B2543="",G2543=""),"",IF(C2543="","Gasto",C2543))</f>
        <v/>
      </c>
      <c r="Q2543" s="52">
        <f>IF(P2543="","",IF(J2543&lt;&gt;"",J2543,CuentaPred&amp;""))</f>
        <v/>
      </c>
      <c r="R2543" s="52">
        <f>IF(P2543="","",IF(ISNUMBER(I2543),I2543,TasaUSD))</f>
        <v/>
      </c>
      <c r="S2543" s="53">
        <f>IF(P2543="","",IF(H2543="USD",G2543*R2543,G2543))</f>
        <v/>
      </c>
      <c r="T2543" s="53">
        <f>IF(P2543="","",IF(H2543="USD",G2543,IF(R2543&gt;0,G2543/R2543,0)))</f>
        <v/>
      </c>
      <c r="U2543" s="53">
        <f>IF(P2543="","",IF(P2543="Gasto",S2543,IF(P2543="Reembolso",-S2543,0)))</f>
        <v/>
      </c>
      <c r="V2543" s="53">
        <f>IF(P2543="","",IF(P2543="Ingreso",S2543,0))</f>
        <v/>
      </c>
      <c r="W2543" s="53">
        <f>IF(P2543="","",IF(P2543="Resultado trading",S2543,0))</f>
        <v/>
      </c>
      <c r="X2543" s="52">
        <f>IF(OR(P2543="Gasto",P2543="Reembolso"),IF(M2543&lt;&gt;"",M2543,IFERROR(INDEX(catClasif,MATCH(D2543&amp;"|"&amp;E2543,catClave,0))&amp;"","Variable")),"")</f>
        <v/>
      </c>
      <c r="Y2543" s="52">
        <f>IF(P2543="","",IFERROR(INDEX(catGrupo,MATCH(D2543&amp;"|"&amp;E2543,catClave,0))&amp;"",""))</f>
        <v/>
      </c>
      <c r="Z2543" s="52">
        <f>IF(P2543="","",WEEKDAY(B2543,2))</f>
        <v/>
      </c>
      <c r="AA2543" s="52">
        <f>IF(P2543="","",IF(AND(P2543="Gasto",X2543="Variable",D2543&lt;&gt;catTrading,S2543&gt;0,S2543&lt;=Umbral),1,0))</f>
        <v/>
      </c>
      <c r="AB2543" s="52">
        <f>IF(OR(P2543="",Q2543=""),"",IFERROR(IF(INDEX(ctaVinc,MATCH(Q2543,ctaNombre,0))&amp;""&lt;&gt;"",INDEX(ctaVinc,MATCH(Q2543,ctaNombre,0))&amp;"",Q2543),Q2543))</f>
        <v/>
      </c>
      <c r="AC2543" s="52">
        <f>IF(OR(K2543="",AND(P2543&lt;&gt;"Transferencia",P2543&lt;&gt;"Pago tarjeta")),"",IFERROR(IF(INDEX(ctaVinc,MATCH(K2543,ctaNombre,0))&amp;""&lt;&gt;"",INDEX(ctaVinc,MATCH(K2543,ctaNombre,0))&amp;"",K2543),K2543))</f>
        <v/>
      </c>
      <c r="AD2543" s="52">
        <f>IF(AB2543="","",IFERROR(INDEX(ctaTipo,MATCH(AB2543,ctaNombre,0))&amp;"",""))</f>
        <v/>
      </c>
      <c r="AE2543" s="52">
        <f>IF(AC2543="","",IFERROR(INDEX(ctaTipo,MATCH(AC2543,ctaNombre,0))&amp;"",""))</f>
        <v/>
      </c>
      <c r="AF2543" s="53">
        <f>IF(OR(P2543="",AB2543=""),"",IF(OR(P2543="Gasto",P2543="Transferencia",P2543="Pago tarjeta"),-1,1)*IF(IFERROR(INDEX(ctaMoneda,MATCH(AB2543,ctaNombre,0))&amp;"","DOP")="USD",T2543,S2543))</f>
        <v/>
      </c>
      <c r="AG2543" s="53">
        <f>IF(AC2543="","",IF(IFERROR(INDEX(ctaMoneda,MATCH(AC2543,ctaNombre,0))&amp;"","DOP")="USD",T2543,S2543))</f>
        <v/>
      </c>
      <c r="AH2543" s="53">
        <f>IF(P2543="","",IF(AND(AD2543&lt;&gt;"",COUNTIFS(tcTipo,AD2543,tcLiq,"Sí")&gt;0),IF(OR(P2543="Gasto",P2543="Transferencia",P2543="Pago tarjeta"),-1,1)*S2543,0)+IF(AND(AE2543&lt;&gt;"",COUNTIFS(tcTipo,AE2543,tcLiq,"Sí")&gt;0),S2543,0))</f>
        <v/>
      </c>
      <c r="AI2543" s="52">
        <f>IF(OR(L2543="",P2543=""),"",IF(COUNTIFS(L$6:L2543,L2543,P$6:P2543,"?*")=1,MAX(AI$5:AI2542)+1,""))</f>
        <v/>
      </c>
    </row>
    <row r="2544">
      <c r="B2544" s="47" t="n"/>
      <c r="C2544" s="48" t="n"/>
      <c r="D2544" s="48" t="n"/>
      <c r="E2544" s="48" t="n"/>
      <c r="F2544" s="48" t="n"/>
      <c r="G2544" s="49" t="n"/>
      <c r="H2544" s="48" t="n"/>
      <c r="I2544" s="50" t="n"/>
      <c r="J2544" s="48" t="n"/>
      <c r="K2544" s="48" t="n"/>
      <c r="L2544" s="48" t="n"/>
      <c r="M2544" s="48" t="n"/>
      <c r="N2544" s="48" t="n"/>
      <c r="O2544" s="51">
        <f>IF(AND(B2544="",G2544="",C2544="",D2544="",J2544=""),"",IF(B2544="","⚠ Falta fecha",IF(G2544="","⚠ Falta monto",IF(Q2544="","⚠ Falta cuenta",IF(ISNA(MATCH(Q2544,ctaNombre,0)),"⚠ Cuenta no registrada",IF(AND(OR(P2544="Gasto",P2544="Reembolso"),D2544=""),"⚠ Falta categoría",IF(AND(D2544&lt;&gt;"",E2544&lt;&gt;"",ISNA(MATCH(D2544&amp;"|"&amp;E2544,catClave,0))),"⚠ Subcategoría no corresponde",IF(AND(OR(P2544="Transferencia",P2544="Pago tarjeta"),K2544=""),"⚠ Falta cuenta destino",IF(AND(K2544&lt;&gt;"",P2544&lt;&gt;"Transferencia",P2544&lt;&gt;"Pago tarjeta"),"⚠ Destino solo aplica a transferencias",IF(AND(K2544&lt;&gt;"",K2544=Q2544),"⚠ Origen igual a destino",IF(AND(K2544&lt;&gt;"",ISNA(MATCH(K2544,ctaNombre,0))),"⚠ Destino no registrado",IF(AND(P2544="Pago tarjeta",AE2544&lt;&gt;"Tarjeta de crédito"),"⚠ El destino debe ser tarjeta de crédito",IF(AND(P2544="Gasto",E2544="Depósitos y retiros"),"⚠ Usa tipo Transferencia",IF(AND(P2544="Resultado trading",AD2544&lt;&gt;"Cuenta de trading"),"⚠ Usa una cuenta de trading",IF(AND(G2544&lt;=0,P2544&lt;&gt;"Ajuste",P2544&lt;&gt;"Resultado trading"),"⚠ El monto debe ser positivo","✓")))))))))))))))</f>
        <v/>
      </c>
      <c r="P2544" s="52">
        <f>IF(OR(B2544="",G2544=""),"",IF(C2544="","Gasto",C2544))</f>
        <v/>
      </c>
      <c r="Q2544" s="52">
        <f>IF(P2544="","",IF(J2544&lt;&gt;"",J2544,CuentaPred&amp;""))</f>
        <v/>
      </c>
      <c r="R2544" s="52">
        <f>IF(P2544="","",IF(ISNUMBER(I2544),I2544,TasaUSD))</f>
        <v/>
      </c>
      <c r="S2544" s="53">
        <f>IF(P2544="","",IF(H2544="USD",G2544*R2544,G2544))</f>
        <v/>
      </c>
      <c r="T2544" s="53">
        <f>IF(P2544="","",IF(H2544="USD",G2544,IF(R2544&gt;0,G2544/R2544,0)))</f>
        <v/>
      </c>
      <c r="U2544" s="53">
        <f>IF(P2544="","",IF(P2544="Gasto",S2544,IF(P2544="Reembolso",-S2544,0)))</f>
        <v/>
      </c>
      <c r="V2544" s="53">
        <f>IF(P2544="","",IF(P2544="Ingreso",S2544,0))</f>
        <v/>
      </c>
      <c r="W2544" s="53">
        <f>IF(P2544="","",IF(P2544="Resultado trading",S2544,0))</f>
        <v/>
      </c>
      <c r="X2544" s="52">
        <f>IF(OR(P2544="Gasto",P2544="Reembolso"),IF(M2544&lt;&gt;"",M2544,IFERROR(INDEX(catClasif,MATCH(D2544&amp;"|"&amp;E2544,catClave,0))&amp;"","Variable")),"")</f>
        <v/>
      </c>
      <c r="Y2544" s="52">
        <f>IF(P2544="","",IFERROR(INDEX(catGrupo,MATCH(D2544&amp;"|"&amp;E2544,catClave,0))&amp;"",""))</f>
        <v/>
      </c>
      <c r="Z2544" s="52">
        <f>IF(P2544="","",WEEKDAY(B2544,2))</f>
        <v/>
      </c>
      <c r="AA2544" s="52">
        <f>IF(P2544="","",IF(AND(P2544="Gasto",X2544="Variable",D2544&lt;&gt;catTrading,S2544&gt;0,S2544&lt;=Umbral),1,0))</f>
        <v/>
      </c>
      <c r="AB2544" s="52">
        <f>IF(OR(P2544="",Q2544=""),"",IFERROR(IF(INDEX(ctaVinc,MATCH(Q2544,ctaNombre,0))&amp;""&lt;&gt;"",INDEX(ctaVinc,MATCH(Q2544,ctaNombre,0))&amp;"",Q2544),Q2544))</f>
        <v/>
      </c>
      <c r="AC2544" s="52">
        <f>IF(OR(K2544="",AND(P2544&lt;&gt;"Transferencia",P2544&lt;&gt;"Pago tarjeta")),"",IFERROR(IF(INDEX(ctaVinc,MATCH(K2544,ctaNombre,0))&amp;""&lt;&gt;"",INDEX(ctaVinc,MATCH(K2544,ctaNombre,0))&amp;"",K2544),K2544))</f>
        <v/>
      </c>
      <c r="AD2544" s="52">
        <f>IF(AB2544="","",IFERROR(INDEX(ctaTipo,MATCH(AB2544,ctaNombre,0))&amp;"",""))</f>
        <v/>
      </c>
      <c r="AE2544" s="52">
        <f>IF(AC2544="","",IFERROR(INDEX(ctaTipo,MATCH(AC2544,ctaNombre,0))&amp;"",""))</f>
        <v/>
      </c>
      <c r="AF2544" s="53">
        <f>IF(OR(P2544="",AB2544=""),"",IF(OR(P2544="Gasto",P2544="Transferencia",P2544="Pago tarjeta"),-1,1)*IF(IFERROR(INDEX(ctaMoneda,MATCH(AB2544,ctaNombre,0))&amp;"","DOP")="USD",T2544,S2544))</f>
        <v/>
      </c>
      <c r="AG2544" s="53">
        <f>IF(AC2544="","",IF(IFERROR(INDEX(ctaMoneda,MATCH(AC2544,ctaNombre,0))&amp;"","DOP")="USD",T2544,S2544))</f>
        <v/>
      </c>
      <c r="AH2544" s="53">
        <f>IF(P2544="","",IF(AND(AD2544&lt;&gt;"",COUNTIFS(tcTipo,AD2544,tcLiq,"Sí")&gt;0),IF(OR(P2544="Gasto",P2544="Transferencia",P2544="Pago tarjeta"),-1,1)*S2544,0)+IF(AND(AE2544&lt;&gt;"",COUNTIFS(tcTipo,AE2544,tcLiq,"Sí")&gt;0),S2544,0))</f>
        <v/>
      </c>
      <c r="AI2544" s="52">
        <f>IF(OR(L2544="",P2544=""),"",IF(COUNTIFS(L$6:L2544,L2544,P$6:P2544,"?*")=1,MAX(AI$5:AI2543)+1,""))</f>
        <v/>
      </c>
    </row>
    <row r="2545">
      <c r="B2545" s="47" t="n"/>
      <c r="C2545" s="48" t="n"/>
      <c r="D2545" s="48" t="n"/>
      <c r="E2545" s="48" t="n"/>
      <c r="F2545" s="48" t="n"/>
      <c r="G2545" s="49" t="n"/>
      <c r="H2545" s="48" t="n"/>
      <c r="I2545" s="50" t="n"/>
      <c r="J2545" s="48" t="n"/>
      <c r="K2545" s="48" t="n"/>
      <c r="L2545" s="48" t="n"/>
      <c r="M2545" s="48" t="n"/>
      <c r="N2545" s="48" t="n"/>
      <c r="O2545" s="51">
        <f>IF(AND(B2545="",G2545="",C2545="",D2545="",J2545=""),"",IF(B2545="","⚠ Falta fecha",IF(G2545="","⚠ Falta monto",IF(Q2545="","⚠ Falta cuenta",IF(ISNA(MATCH(Q2545,ctaNombre,0)),"⚠ Cuenta no registrada",IF(AND(OR(P2545="Gasto",P2545="Reembolso"),D2545=""),"⚠ Falta categoría",IF(AND(D2545&lt;&gt;"",E2545&lt;&gt;"",ISNA(MATCH(D2545&amp;"|"&amp;E2545,catClave,0))),"⚠ Subcategoría no corresponde",IF(AND(OR(P2545="Transferencia",P2545="Pago tarjeta"),K2545=""),"⚠ Falta cuenta destino",IF(AND(K2545&lt;&gt;"",P2545&lt;&gt;"Transferencia",P2545&lt;&gt;"Pago tarjeta"),"⚠ Destino solo aplica a transferencias",IF(AND(K2545&lt;&gt;"",K2545=Q2545),"⚠ Origen igual a destino",IF(AND(K2545&lt;&gt;"",ISNA(MATCH(K2545,ctaNombre,0))),"⚠ Destino no registrado",IF(AND(P2545="Pago tarjeta",AE2545&lt;&gt;"Tarjeta de crédito"),"⚠ El destino debe ser tarjeta de crédito",IF(AND(P2545="Gasto",E2545="Depósitos y retiros"),"⚠ Usa tipo Transferencia",IF(AND(P2545="Resultado trading",AD2545&lt;&gt;"Cuenta de trading"),"⚠ Usa una cuenta de trading",IF(AND(G2545&lt;=0,P2545&lt;&gt;"Ajuste",P2545&lt;&gt;"Resultado trading"),"⚠ El monto debe ser positivo","✓")))))))))))))))</f>
        <v/>
      </c>
      <c r="P2545" s="52">
        <f>IF(OR(B2545="",G2545=""),"",IF(C2545="","Gasto",C2545))</f>
        <v/>
      </c>
      <c r="Q2545" s="52">
        <f>IF(P2545="","",IF(J2545&lt;&gt;"",J2545,CuentaPred&amp;""))</f>
        <v/>
      </c>
      <c r="R2545" s="52">
        <f>IF(P2545="","",IF(ISNUMBER(I2545),I2545,TasaUSD))</f>
        <v/>
      </c>
      <c r="S2545" s="53">
        <f>IF(P2545="","",IF(H2545="USD",G2545*R2545,G2545))</f>
        <v/>
      </c>
      <c r="T2545" s="53">
        <f>IF(P2545="","",IF(H2545="USD",G2545,IF(R2545&gt;0,G2545/R2545,0)))</f>
        <v/>
      </c>
      <c r="U2545" s="53">
        <f>IF(P2545="","",IF(P2545="Gasto",S2545,IF(P2545="Reembolso",-S2545,0)))</f>
        <v/>
      </c>
      <c r="V2545" s="53">
        <f>IF(P2545="","",IF(P2545="Ingreso",S2545,0))</f>
        <v/>
      </c>
      <c r="W2545" s="53">
        <f>IF(P2545="","",IF(P2545="Resultado trading",S2545,0))</f>
        <v/>
      </c>
      <c r="X2545" s="52">
        <f>IF(OR(P2545="Gasto",P2545="Reembolso"),IF(M2545&lt;&gt;"",M2545,IFERROR(INDEX(catClasif,MATCH(D2545&amp;"|"&amp;E2545,catClave,0))&amp;"","Variable")),"")</f>
        <v/>
      </c>
      <c r="Y2545" s="52">
        <f>IF(P2545="","",IFERROR(INDEX(catGrupo,MATCH(D2545&amp;"|"&amp;E2545,catClave,0))&amp;"",""))</f>
        <v/>
      </c>
      <c r="Z2545" s="52">
        <f>IF(P2545="","",WEEKDAY(B2545,2))</f>
        <v/>
      </c>
      <c r="AA2545" s="52">
        <f>IF(P2545="","",IF(AND(P2545="Gasto",X2545="Variable",D2545&lt;&gt;catTrading,S2545&gt;0,S2545&lt;=Umbral),1,0))</f>
        <v/>
      </c>
      <c r="AB2545" s="52">
        <f>IF(OR(P2545="",Q2545=""),"",IFERROR(IF(INDEX(ctaVinc,MATCH(Q2545,ctaNombre,0))&amp;""&lt;&gt;"",INDEX(ctaVinc,MATCH(Q2545,ctaNombre,0))&amp;"",Q2545),Q2545))</f>
        <v/>
      </c>
      <c r="AC2545" s="52">
        <f>IF(OR(K2545="",AND(P2545&lt;&gt;"Transferencia",P2545&lt;&gt;"Pago tarjeta")),"",IFERROR(IF(INDEX(ctaVinc,MATCH(K2545,ctaNombre,0))&amp;""&lt;&gt;"",INDEX(ctaVinc,MATCH(K2545,ctaNombre,0))&amp;"",K2545),K2545))</f>
        <v/>
      </c>
      <c r="AD2545" s="52">
        <f>IF(AB2545="","",IFERROR(INDEX(ctaTipo,MATCH(AB2545,ctaNombre,0))&amp;"",""))</f>
        <v/>
      </c>
      <c r="AE2545" s="52">
        <f>IF(AC2545="","",IFERROR(INDEX(ctaTipo,MATCH(AC2545,ctaNombre,0))&amp;"",""))</f>
        <v/>
      </c>
      <c r="AF2545" s="53">
        <f>IF(OR(P2545="",AB2545=""),"",IF(OR(P2545="Gasto",P2545="Transferencia",P2545="Pago tarjeta"),-1,1)*IF(IFERROR(INDEX(ctaMoneda,MATCH(AB2545,ctaNombre,0))&amp;"","DOP")="USD",T2545,S2545))</f>
        <v/>
      </c>
      <c r="AG2545" s="53">
        <f>IF(AC2545="","",IF(IFERROR(INDEX(ctaMoneda,MATCH(AC2545,ctaNombre,0))&amp;"","DOP")="USD",T2545,S2545))</f>
        <v/>
      </c>
      <c r="AH2545" s="53">
        <f>IF(P2545="","",IF(AND(AD2545&lt;&gt;"",COUNTIFS(tcTipo,AD2545,tcLiq,"Sí")&gt;0),IF(OR(P2545="Gasto",P2545="Transferencia",P2545="Pago tarjeta"),-1,1)*S2545,0)+IF(AND(AE2545&lt;&gt;"",COUNTIFS(tcTipo,AE2545,tcLiq,"Sí")&gt;0),S2545,0))</f>
        <v/>
      </c>
      <c r="AI2545" s="52">
        <f>IF(OR(L2545="",P2545=""),"",IF(COUNTIFS(L$6:L2545,L2545,P$6:P2545,"?*")=1,MAX(AI$5:AI2544)+1,""))</f>
        <v/>
      </c>
    </row>
    <row r="2546">
      <c r="B2546" s="47" t="n"/>
      <c r="C2546" s="48" t="n"/>
      <c r="D2546" s="48" t="n"/>
      <c r="E2546" s="48" t="n"/>
      <c r="F2546" s="48" t="n"/>
      <c r="G2546" s="49" t="n"/>
      <c r="H2546" s="48" t="n"/>
      <c r="I2546" s="50" t="n"/>
      <c r="J2546" s="48" t="n"/>
      <c r="K2546" s="48" t="n"/>
      <c r="L2546" s="48" t="n"/>
      <c r="M2546" s="48" t="n"/>
      <c r="N2546" s="48" t="n"/>
      <c r="O2546" s="51">
        <f>IF(AND(B2546="",G2546="",C2546="",D2546="",J2546=""),"",IF(B2546="","⚠ Falta fecha",IF(G2546="","⚠ Falta monto",IF(Q2546="","⚠ Falta cuenta",IF(ISNA(MATCH(Q2546,ctaNombre,0)),"⚠ Cuenta no registrada",IF(AND(OR(P2546="Gasto",P2546="Reembolso"),D2546=""),"⚠ Falta categoría",IF(AND(D2546&lt;&gt;"",E2546&lt;&gt;"",ISNA(MATCH(D2546&amp;"|"&amp;E2546,catClave,0))),"⚠ Subcategoría no corresponde",IF(AND(OR(P2546="Transferencia",P2546="Pago tarjeta"),K2546=""),"⚠ Falta cuenta destino",IF(AND(K2546&lt;&gt;"",P2546&lt;&gt;"Transferencia",P2546&lt;&gt;"Pago tarjeta"),"⚠ Destino solo aplica a transferencias",IF(AND(K2546&lt;&gt;"",K2546=Q2546),"⚠ Origen igual a destino",IF(AND(K2546&lt;&gt;"",ISNA(MATCH(K2546,ctaNombre,0))),"⚠ Destino no registrado",IF(AND(P2546="Pago tarjeta",AE2546&lt;&gt;"Tarjeta de crédito"),"⚠ El destino debe ser tarjeta de crédito",IF(AND(P2546="Gasto",E2546="Depósitos y retiros"),"⚠ Usa tipo Transferencia",IF(AND(P2546="Resultado trading",AD2546&lt;&gt;"Cuenta de trading"),"⚠ Usa una cuenta de trading",IF(AND(G2546&lt;=0,P2546&lt;&gt;"Ajuste",P2546&lt;&gt;"Resultado trading"),"⚠ El monto debe ser positivo","✓")))))))))))))))</f>
        <v/>
      </c>
      <c r="P2546" s="52">
        <f>IF(OR(B2546="",G2546=""),"",IF(C2546="","Gasto",C2546))</f>
        <v/>
      </c>
      <c r="Q2546" s="52">
        <f>IF(P2546="","",IF(J2546&lt;&gt;"",J2546,CuentaPred&amp;""))</f>
        <v/>
      </c>
      <c r="R2546" s="52">
        <f>IF(P2546="","",IF(ISNUMBER(I2546),I2546,TasaUSD))</f>
        <v/>
      </c>
      <c r="S2546" s="53">
        <f>IF(P2546="","",IF(H2546="USD",G2546*R2546,G2546))</f>
        <v/>
      </c>
      <c r="T2546" s="53">
        <f>IF(P2546="","",IF(H2546="USD",G2546,IF(R2546&gt;0,G2546/R2546,0)))</f>
        <v/>
      </c>
      <c r="U2546" s="53">
        <f>IF(P2546="","",IF(P2546="Gasto",S2546,IF(P2546="Reembolso",-S2546,0)))</f>
        <v/>
      </c>
      <c r="V2546" s="53">
        <f>IF(P2546="","",IF(P2546="Ingreso",S2546,0))</f>
        <v/>
      </c>
      <c r="W2546" s="53">
        <f>IF(P2546="","",IF(P2546="Resultado trading",S2546,0))</f>
        <v/>
      </c>
      <c r="X2546" s="52">
        <f>IF(OR(P2546="Gasto",P2546="Reembolso"),IF(M2546&lt;&gt;"",M2546,IFERROR(INDEX(catClasif,MATCH(D2546&amp;"|"&amp;E2546,catClave,0))&amp;"","Variable")),"")</f>
        <v/>
      </c>
      <c r="Y2546" s="52">
        <f>IF(P2546="","",IFERROR(INDEX(catGrupo,MATCH(D2546&amp;"|"&amp;E2546,catClave,0))&amp;"",""))</f>
        <v/>
      </c>
      <c r="Z2546" s="52">
        <f>IF(P2546="","",WEEKDAY(B2546,2))</f>
        <v/>
      </c>
      <c r="AA2546" s="52">
        <f>IF(P2546="","",IF(AND(P2546="Gasto",X2546="Variable",D2546&lt;&gt;catTrading,S2546&gt;0,S2546&lt;=Umbral),1,0))</f>
        <v/>
      </c>
      <c r="AB2546" s="52">
        <f>IF(OR(P2546="",Q2546=""),"",IFERROR(IF(INDEX(ctaVinc,MATCH(Q2546,ctaNombre,0))&amp;""&lt;&gt;"",INDEX(ctaVinc,MATCH(Q2546,ctaNombre,0))&amp;"",Q2546),Q2546))</f>
        <v/>
      </c>
      <c r="AC2546" s="52">
        <f>IF(OR(K2546="",AND(P2546&lt;&gt;"Transferencia",P2546&lt;&gt;"Pago tarjeta")),"",IFERROR(IF(INDEX(ctaVinc,MATCH(K2546,ctaNombre,0))&amp;""&lt;&gt;"",INDEX(ctaVinc,MATCH(K2546,ctaNombre,0))&amp;"",K2546),K2546))</f>
        <v/>
      </c>
      <c r="AD2546" s="52">
        <f>IF(AB2546="","",IFERROR(INDEX(ctaTipo,MATCH(AB2546,ctaNombre,0))&amp;"",""))</f>
        <v/>
      </c>
      <c r="AE2546" s="52">
        <f>IF(AC2546="","",IFERROR(INDEX(ctaTipo,MATCH(AC2546,ctaNombre,0))&amp;"",""))</f>
        <v/>
      </c>
      <c r="AF2546" s="53">
        <f>IF(OR(P2546="",AB2546=""),"",IF(OR(P2546="Gasto",P2546="Transferencia",P2546="Pago tarjeta"),-1,1)*IF(IFERROR(INDEX(ctaMoneda,MATCH(AB2546,ctaNombre,0))&amp;"","DOP")="USD",T2546,S2546))</f>
        <v/>
      </c>
      <c r="AG2546" s="53">
        <f>IF(AC2546="","",IF(IFERROR(INDEX(ctaMoneda,MATCH(AC2546,ctaNombre,0))&amp;"","DOP")="USD",T2546,S2546))</f>
        <v/>
      </c>
      <c r="AH2546" s="53">
        <f>IF(P2546="","",IF(AND(AD2546&lt;&gt;"",COUNTIFS(tcTipo,AD2546,tcLiq,"Sí")&gt;0),IF(OR(P2546="Gasto",P2546="Transferencia",P2546="Pago tarjeta"),-1,1)*S2546,0)+IF(AND(AE2546&lt;&gt;"",COUNTIFS(tcTipo,AE2546,tcLiq,"Sí")&gt;0),S2546,0))</f>
        <v/>
      </c>
      <c r="AI2546" s="52">
        <f>IF(OR(L2546="",P2546=""),"",IF(COUNTIFS(L$6:L2546,L2546,P$6:P2546,"?*")=1,MAX(AI$5:AI2545)+1,""))</f>
        <v/>
      </c>
    </row>
    <row r="2547">
      <c r="B2547" s="47" t="n"/>
      <c r="C2547" s="48" t="n"/>
      <c r="D2547" s="48" t="n"/>
      <c r="E2547" s="48" t="n"/>
      <c r="F2547" s="48" t="n"/>
      <c r="G2547" s="49" t="n"/>
      <c r="H2547" s="48" t="n"/>
      <c r="I2547" s="50" t="n"/>
      <c r="J2547" s="48" t="n"/>
      <c r="K2547" s="48" t="n"/>
      <c r="L2547" s="48" t="n"/>
      <c r="M2547" s="48" t="n"/>
      <c r="N2547" s="48" t="n"/>
      <c r="O2547" s="51">
        <f>IF(AND(B2547="",G2547="",C2547="",D2547="",J2547=""),"",IF(B2547="","⚠ Falta fecha",IF(G2547="","⚠ Falta monto",IF(Q2547="","⚠ Falta cuenta",IF(ISNA(MATCH(Q2547,ctaNombre,0)),"⚠ Cuenta no registrada",IF(AND(OR(P2547="Gasto",P2547="Reembolso"),D2547=""),"⚠ Falta categoría",IF(AND(D2547&lt;&gt;"",E2547&lt;&gt;"",ISNA(MATCH(D2547&amp;"|"&amp;E2547,catClave,0))),"⚠ Subcategoría no corresponde",IF(AND(OR(P2547="Transferencia",P2547="Pago tarjeta"),K2547=""),"⚠ Falta cuenta destino",IF(AND(K2547&lt;&gt;"",P2547&lt;&gt;"Transferencia",P2547&lt;&gt;"Pago tarjeta"),"⚠ Destino solo aplica a transferencias",IF(AND(K2547&lt;&gt;"",K2547=Q2547),"⚠ Origen igual a destino",IF(AND(K2547&lt;&gt;"",ISNA(MATCH(K2547,ctaNombre,0))),"⚠ Destino no registrado",IF(AND(P2547="Pago tarjeta",AE2547&lt;&gt;"Tarjeta de crédito"),"⚠ El destino debe ser tarjeta de crédito",IF(AND(P2547="Gasto",E2547="Depósitos y retiros"),"⚠ Usa tipo Transferencia",IF(AND(P2547="Resultado trading",AD2547&lt;&gt;"Cuenta de trading"),"⚠ Usa una cuenta de trading",IF(AND(G2547&lt;=0,P2547&lt;&gt;"Ajuste",P2547&lt;&gt;"Resultado trading"),"⚠ El monto debe ser positivo","✓")))))))))))))))</f>
        <v/>
      </c>
      <c r="P2547" s="52">
        <f>IF(OR(B2547="",G2547=""),"",IF(C2547="","Gasto",C2547))</f>
        <v/>
      </c>
      <c r="Q2547" s="52">
        <f>IF(P2547="","",IF(J2547&lt;&gt;"",J2547,CuentaPred&amp;""))</f>
        <v/>
      </c>
      <c r="R2547" s="52">
        <f>IF(P2547="","",IF(ISNUMBER(I2547),I2547,TasaUSD))</f>
        <v/>
      </c>
      <c r="S2547" s="53">
        <f>IF(P2547="","",IF(H2547="USD",G2547*R2547,G2547))</f>
        <v/>
      </c>
      <c r="T2547" s="53">
        <f>IF(P2547="","",IF(H2547="USD",G2547,IF(R2547&gt;0,G2547/R2547,0)))</f>
        <v/>
      </c>
      <c r="U2547" s="53">
        <f>IF(P2547="","",IF(P2547="Gasto",S2547,IF(P2547="Reembolso",-S2547,0)))</f>
        <v/>
      </c>
      <c r="V2547" s="53">
        <f>IF(P2547="","",IF(P2547="Ingreso",S2547,0))</f>
        <v/>
      </c>
      <c r="W2547" s="53">
        <f>IF(P2547="","",IF(P2547="Resultado trading",S2547,0))</f>
        <v/>
      </c>
      <c r="X2547" s="52">
        <f>IF(OR(P2547="Gasto",P2547="Reembolso"),IF(M2547&lt;&gt;"",M2547,IFERROR(INDEX(catClasif,MATCH(D2547&amp;"|"&amp;E2547,catClave,0))&amp;"","Variable")),"")</f>
        <v/>
      </c>
      <c r="Y2547" s="52">
        <f>IF(P2547="","",IFERROR(INDEX(catGrupo,MATCH(D2547&amp;"|"&amp;E2547,catClave,0))&amp;"",""))</f>
        <v/>
      </c>
      <c r="Z2547" s="52">
        <f>IF(P2547="","",WEEKDAY(B2547,2))</f>
        <v/>
      </c>
      <c r="AA2547" s="52">
        <f>IF(P2547="","",IF(AND(P2547="Gasto",X2547="Variable",D2547&lt;&gt;catTrading,S2547&gt;0,S2547&lt;=Umbral),1,0))</f>
        <v/>
      </c>
      <c r="AB2547" s="52">
        <f>IF(OR(P2547="",Q2547=""),"",IFERROR(IF(INDEX(ctaVinc,MATCH(Q2547,ctaNombre,0))&amp;""&lt;&gt;"",INDEX(ctaVinc,MATCH(Q2547,ctaNombre,0))&amp;"",Q2547),Q2547))</f>
        <v/>
      </c>
      <c r="AC2547" s="52">
        <f>IF(OR(K2547="",AND(P2547&lt;&gt;"Transferencia",P2547&lt;&gt;"Pago tarjeta")),"",IFERROR(IF(INDEX(ctaVinc,MATCH(K2547,ctaNombre,0))&amp;""&lt;&gt;"",INDEX(ctaVinc,MATCH(K2547,ctaNombre,0))&amp;"",K2547),K2547))</f>
        <v/>
      </c>
      <c r="AD2547" s="52">
        <f>IF(AB2547="","",IFERROR(INDEX(ctaTipo,MATCH(AB2547,ctaNombre,0))&amp;"",""))</f>
        <v/>
      </c>
      <c r="AE2547" s="52">
        <f>IF(AC2547="","",IFERROR(INDEX(ctaTipo,MATCH(AC2547,ctaNombre,0))&amp;"",""))</f>
        <v/>
      </c>
      <c r="AF2547" s="53">
        <f>IF(OR(P2547="",AB2547=""),"",IF(OR(P2547="Gasto",P2547="Transferencia",P2547="Pago tarjeta"),-1,1)*IF(IFERROR(INDEX(ctaMoneda,MATCH(AB2547,ctaNombre,0))&amp;"","DOP")="USD",T2547,S2547))</f>
        <v/>
      </c>
      <c r="AG2547" s="53">
        <f>IF(AC2547="","",IF(IFERROR(INDEX(ctaMoneda,MATCH(AC2547,ctaNombre,0))&amp;"","DOP")="USD",T2547,S2547))</f>
        <v/>
      </c>
      <c r="AH2547" s="53">
        <f>IF(P2547="","",IF(AND(AD2547&lt;&gt;"",COUNTIFS(tcTipo,AD2547,tcLiq,"Sí")&gt;0),IF(OR(P2547="Gasto",P2547="Transferencia",P2547="Pago tarjeta"),-1,1)*S2547,0)+IF(AND(AE2547&lt;&gt;"",COUNTIFS(tcTipo,AE2547,tcLiq,"Sí")&gt;0),S2547,0))</f>
        <v/>
      </c>
      <c r="AI2547" s="52">
        <f>IF(OR(L2547="",P2547=""),"",IF(COUNTIFS(L$6:L2547,L2547,P$6:P2547,"?*")=1,MAX(AI$5:AI2546)+1,""))</f>
        <v/>
      </c>
    </row>
    <row r="2548">
      <c r="B2548" s="47" t="n"/>
      <c r="C2548" s="48" t="n"/>
      <c r="D2548" s="48" t="n"/>
      <c r="E2548" s="48" t="n"/>
      <c r="F2548" s="48" t="n"/>
      <c r="G2548" s="49" t="n"/>
      <c r="H2548" s="48" t="n"/>
      <c r="I2548" s="50" t="n"/>
      <c r="J2548" s="48" t="n"/>
      <c r="K2548" s="48" t="n"/>
      <c r="L2548" s="48" t="n"/>
      <c r="M2548" s="48" t="n"/>
      <c r="N2548" s="48" t="n"/>
      <c r="O2548" s="51">
        <f>IF(AND(B2548="",G2548="",C2548="",D2548="",J2548=""),"",IF(B2548="","⚠ Falta fecha",IF(G2548="","⚠ Falta monto",IF(Q2548="","⚠ Falta cuenta",IF(ISNA(MATCH(Q2548,ctaNombre,0)),"⚠ Cuenta no registrada",IF(AND(OR(P2548="Gasto",P2548="Reembolso"),D2548=""),"⚠ Falta categoría",IF(AND(D2548&lt;&gt;"",E2548&lt;&gt;"",ISNA(MATCH(D2548&amp;"|"&amp;E2548,catClave,0))),"⚠ Subcategoría no corresponde",IF(AND(OR(P2548="Transferencia",P2548="Pago tarjeta"),K2548=""),"⚠ Falta cuenta destino",IF(AND(K2548&lt;&gt;"",P2548&lt;&gt;"Transferencia",P2548&lt;&gt;"Pago tarjeta"),"⚠ Destino solo aplica a transferencias",IF(AND(K2548&lt;&gt;"",K2548=Q2548),"⚠ Origen igual a destino",IF(AND(K2548&lt;&gt;"",ISNA(MATCH(K2548,ctaNombre,0))),"⚠ Destino no registrado",IF(AND(P2548="Pago tarjeta",AE2548&lt;&gt;"Tarjeta de crédito"),"⚠ El destino debe ser tarjeta de crédito",IF(AND(P2548="Gasto",E2548="Depósitos y retiros"),"⚠ Usa tipo Transferencia",IF(AND(P2548="Resultado trading",AD2548&lt;&gt;"Cuenta de trading"),"⚠ Usa una cuenta de trading",IF(AND(G2548&lt;=0,P2548&lt;&gt;"Ajuste",P2548&lt;&gt;"Resultado trading"),"⚠ El monto debe ser positivo","✓")))))))))))))))</f>
        <v/>
      </c>
      <c r="P2548" s="52">
        <f>IF(OR(B2548="",G2548=""),"",IF(C2548="","Gasto",C2548))</f>
        <v/>
      </c>
      <c r="Q2548" s="52">
        <f>IF(P2548="","",IF(J2548&lt;&gt;"",J2548,CuentaPred&amp;""))</f>
        <v/>
      </c>
      <c r="R2548" s="52">
        <f>IF(P2548="","",IF(ISNUMBER(I2548),I2548,TasaUSD))</f>
        <v/>
      </c>
      <c r="S2548" s="53">
        <f>IF(P2548="","",IF(H2548="USD",G2548*R2548,G2548))</f>
        <v/>
      </c>
      <c r="T2548" s="53">
        <f>IF(P2548="","",IF(H2548="USD",G2548,IF(R2548&gt;0,G2548/R2548,0)))</f>
        <v/>
      </c>
      <c r="U2548" s="53">
        <f>IF(P2548="","",IF(P2548="Gasto",S2548,IF(P2548="Reembolso",-S2548,0)))</f>
        <v/>
      </c>
      <c r="V2548" s="53">
        <f>IF(P2548="","",IF(P2548="Ingreso",S2548,0))</f>
        <v/>
      </c>
      <c r="W2548" s="53">
        <f>IF(P2548="","",IF(P2548="Resultado trading",S2548,0))</f>
        <v/>
      </c>
      <c r="X2548" s="52">
        <f>IF(OR(P2548="Gasto",P2548="Reembolso"),IF(M2548&lt;&gt;"",M2548,IFERROR(INDEX(catClasif,MATCH(D2548&amp;"|"&amp;E2548,catClave,0))&amp;"","Variable")),"")</f>
        <v/>
      </c>
      <c r="Y2548" s="52">
        <f>IF(P2548="","",IFERROR(INDEX(catGrupo,MATCH(D2548&amp;"|"&amp;E2548,catClave,0))&amp;"",""))</f>
        <v/>
      </c>
      <c r="Z2548" s="52">
        <f>IF(P2548="","",WEEKDAY(B2548,2))</f>
        <v/>
      </c>
      <c r="AA2548" s="52">
        <f>IF(P2548="","",IF(AND(P2548="Gasto",X2548="Variable",D2548&lt;&gt;catTrading,S2548&gt;0,S2548&lt;=Umbral),1,0))</f>
        <v/>
      </c>
      <c r="AB2548" s="52">
        <f>IF(OR(P2548="",Q2548=""),"",IFERROR(IF(INDEX(ctaVinc,MATCH(Q2548,ctaNombre,0))&amp;""&lt;&gt;"",INDEX(ctaVinc,MATCH(Q2548,ctaNombre,0))&amp;"",Q2548),Q2548))</f>
        <v/>
      </c>
      <c r="AC2548" s="52">
        <f>IF(OR(K2548="",AND(P2548&lt;&gt;"Transferencia",P2548&lt;&gt;"Pago tarjeta")),"",IFERROR(IF(INDEX(ctaVinc,MATCH(K2548,ctaNombre,0))&amp;""&lt;&gt;"",INDEX(ctaVinc,MATCH(K2548,ctaNombre,0))&amp;"",K2548),K2548))</f>
        <v/>
      </c>
      <c r="AD2548" s="52">
        <f>IF(AB2548="","",IFERROR(INDEX(ctaTipo,MATCH(AB2548,ctaNombre,0))&amp;"",""))</f>
        <v/>
      </c>
      <c r="AE2548" s="52">
        <f>IF(AC2548="","",IFERROR(INDEX(ctaTipo,MATCH(AC2548,ctaNombre,0))&amp;"",""))</f>
        <v/>
      </c>
      <c r="AF2548" s="53">
        <f>IF(OR(P2548="",AB2548=""),"",IF(OR(P2548="Gasto",P2548="Transferencia",P2548="Pago tarjeta"),-1,1)*IF(IFERROR(INDEX(ctaMoneda,MATCH(AB2548,ctaNombre,0))&amp;"","DOP")="USD",T2548,S2548))</f>
        <v/>
      </c>
      <c r="AG2548" s="53">
        <f>IF(AC2548="","",IF(IFERROR(INDEX(ctaMoneda,MATCH(AC2548,ctaNombre,0))&amp;"","DOP")="USD",T2548,S2548))</f>
        <v/>
      </c>
      <c r="AH2548" s="53">
        <f>IF(P2548="","",IF(AND(AD2548&lt;&gt;"",COUNTIFS(tcTipo,AD2548,tcLiq,"Sí")&gt;0),IF(OR(P2548="Gasto",P2548="Transferencia",P2548="Pago tarjeta"),-1,1)*S2548,0)+IF(AND(AE2548&lt;&gt;"",COUNTIFS(tcTipo,AE2548,tcLiq,"Sí")&gt;0),S2548,0))</f>
        <v/>
      </c>
      <c r="AI2548" s="52">
        <f>IF(OR(L2548="",P2548=""),"",IF(COUNTIFS(L$6:L2548,L2548,P$6:P2548,"?*")=1,MAX(AI$5:AI2547)+1,""))</f>
        <v/>
      </c>
    </row>
    <row r="2549">
      <c r="B2549" s="47" t="n"/>
      <c r="C2549" s="48" t="n"/>
      <c r="D2549" s="48" t="n"/>
      <c r="E2549" s="48" t="n"/>
      <c r="F2549" s="48" t="n"/>
      <c r="G2549" s="49" t="n"/>
      <c r="H2549" s="48" t="n"/>
      <c r="I2549" s="50" t="n"/>
      <c r="J2549" s="48" t="n"/>
      <c r="K2549" s="48" t="n"/>
      <c r="L2549" s="48" t="n"/>
      <c r="M2549" s="48" t="n"/>
      <c r="N2549" s="48" t="n"/>
      <c r="O2549" s="51">
        <f>IF(AND(B2549="",G2549="",C2549="",D2549="",J2549=""),"",IF(B2549="","⚠ Falta fecha",IF(G2549="","⚠ Falta monto",IF(Q2549="","⚠ Falta cuenta",IF(ISNA(MATCH(Q2549,ctaNombre,0)),"⚠ Cuenta no registrada",IF(AND(OR(P2549="Gasto",P2549="Reembolso"),D2549=""),"⚠ Falta categoría",IF(AND(D2549&lt;&gt;"",E2549&lt;&gt;"",ISNA(MATCH(D2549&amp;"|"&amp;E2549,catClave,0))),"⚠ Subcategoría no corresponde",IF(AND(OR(P2549="Transferencia",P2549="Pago tarjeta"),K2549=""),"⚠ Falta cuenta destino",IF(AND(K2549&lt;&gt;"",P2549&lt;&gt;"Transferencia",P2549&lt;&gt;"Pago tarjeta"),"⚠ Destino solo aplica a transferencias",IF(AND(K2549&lt;&gt;"",K2549=Q2549),"⚠ Origen igual a destino",IF(AND(K2549&lt;&gt;"",ISNA(MATCH(K2549,ctaNombre,0))),"⚠ Destino no registrado",IF(AND(P2549="Pago tarjeta",AE2549&lt;&gt;"Tarjeta de crédito"),"⚠ El destino debe ser tarjeta de crédito",IF(AND(P2549="Gasto",E2549="Depósitos y retiros"),"⚠ Usa tipo Transferencia",IF(AND(P2549="Resultado trading",AD2549&lt;&gt;"Cuenta de trading"),"⚠ Usa una cuenta de trading",IF(AND(G2549&lt;=0,P2549&lt;&gt;"Ajuste",P2549&lt;&gt;"Resultado trading"),"⚠ El monto debe ser positivo","✓")))))))))))))))</f>
        <v/>
      </c>
      <c r="P2549" s="52">
        <f>IF(OR(B2549="",G2549=""),"",IF(C2549="","Gasto",C2549))</f>
        <v/>
      </c>
      <c r="Q2549" s="52">
        <f>IF(P2549="","",IF(J2549&lt;&gt;"",J2549,CuentaPred&amp;""))</f>
        <v/>
      </c>
      <c r="R2549" s="52">
        <f>IF(P2549="","",IF(ISNUMBER(I2549),I2549,TasaUSD))</f>
        <v/>
      </c>
      <c r="S2549" s="53">
        <f>IF(P2549="","",IF(H2549="USD",G2549*R2549,G2549))</f>
        <v/>
      </c>
      <c r="T2549" s="53">
        <f>IF(P2549="","",IF(H2549="USD",G2549,IF(R2549&gt;0,G2549/R2549,0)))</f>
        <v/>
      </c>
      <c r="U2549" s="53">
        <f>IF(P2549="","",IF(P2549="Gasto",S2549,IF(P2549="Reembolso",-S2549,0)))</f>
        <v/>
      </c>
      <c r="V2549" s="53">
        <f>IF(P2549="","",IF(P2549="Ingreso",S2549,0))</f>
        <v/>
      </c>
      <c r="W2549" s="53">
        <f>IF(P2549="","",IF(P2549="Resultado trading",S2549,0))</f>
        <v/>
      </c>
      <c r="X2549" s="52">
        <f>IF(OR(P2549="Gasto",P2549="Reembolso"),IF(M2549&lt;&gt;"",M2549,IFERROR(INDEX(catClasif,MATCH(D2549&amp;"|"&amp;E2549,catClave,0))&amp;"","Variable")),"")</f>
        <v/>
      </c>
      <c r="Y2549" s="52">
        <f>IF(P2549="","",IFERROR(INDEX(catGrupo,MATCH(D2549&amp;"|"&amp;E2549,catClave,0))&amp;"",""))</f>
        <v/>
      </c>
      <c r="Z2549" s="52">
        <f>IF(P2549="","",WEEKDAY(B2549,2))</f>
        <v/>
      </c>
      <c r="AA2549" s="52">
        <f>IF(P2549="","",IF(AND(P2549="Gasto",X2549="Variable",D2549&lt;&gt;catTrading,S2549&gt;0,S2549&lt;=Umbral),1,0))</f>
        <v/>
      </c>
      <c r="AB2549" s="52">
        <f>IF(OR(P2549="",Q2549=""),"",IFERROR(IF(INDEX(ctaVinc,MATCH(Q2549,ctaNombre,0))&amp;""&lt;&gt;"",INDEX(ctaVinc,MATCH(Q2549,ctaNombre,0))&amp;"",Q2549),Q2549))</f>
        <v/>
      </c>
      <c r="AC2549" s="52">
        <f>IF(OR(K2549="",AND(P2549&lt;&gt;"Transferencia",P2549&lt;&gt;"Pago tarjeta")),"",IFERROR(IF(INDEX(ctaVinc,MATCH(K2549,ctaNombre,0))&amp;""&lt;&gt;"",INDEX(ctaVinc,MATCH(K2549,ctaNombre,0))&amp;"",K2549),K2549))</f>
        <v/>
      </c>
      <c r="AD2549" s="52">
        <f>IF(AB2549="","",IFERROR(INDEX(ctaTipo,MATCH(AB2549,ctaNombre,0))&amp;"",""))</f>
        <v/>
      </c>
      <c r="AE2549" s="52">
        <f>IF(AC2549="","",IFERROR(INDEX(ctaTipo,MATCH(AC2549,ctaNombre,0))&amp;"",""))</f>
        <v/>
      </c>
      <c r="AF2549" s="53">
        <f>IF(OR(P2549="",AB2549=""),"",IF(OR(P2549="Gasto",P2549="Transferencia",P2549="Pago tarjeta"),-1,1)*IF(IFERROR(INDEX(ctaMoneda,MATCH(AB2549,ctaNombre,0))&amp;"","DOP")="USD",T2549,S2549))</f>
        <v/>
      </c>
      <c r="AG2549" s="53">
        <f>IF(AC2549="","",IF(IFERROR(INDEX(ctaMoneda,MATCH(AC2549,ctaNombre,0))&amp;"","DOP")="USD",T2549,S2549))</f>
        <v/>
      </c>
      <c r="AH2549" s="53">
        <f>IF(P2549="","",IF(AND(AD2549&lt;&gt;"",COUNTIFS(tcTipo,AD2549,tcLiq,"Sí")&gt;0),IF(OR(P2549="Gasto",P2549="Transferencia",P2549="Pago tarjeta"),-1,1)*S2549,0)+IF(AND(AE2549&lt;&gt;"",COUNTIFS(tcTipo,AE2549,tcLiq,"Sí")&gt;0),S2549,0))</f>
        <v/>
      </c>
      <c r="AI2549" s="52">
        <f>IF(OR(L2549="",P2549=""),"",IF(COUNTIFS(L$6:L2549,L2549,P$6:P2549,"?*")=1,MAX(AI$5:AI2548)+1,""))</f>
        <v/>
      </c>
    </row>
    <row r="2550">
      <c r="B2550" s="47" t="n"/>
      <c r="C2550" s="48" t="n"/>
      <c r="D2550" s="48" t="n"/>
      <c r="E2550" s="48" t="n"/>
      <c r="F2550" s="48" t="n"/>
      <c r="G2550" s="49" t="n"/>
      <c r="H2550" s="48" t="n"/>
      <c r="I2550" s="50" t="n"/>
      <c r="J2550" s="48" t="n"/>
      <c r="K2550" s="48" t="n"/>
      <c r="L2550" s="48" t="n"/>
      <c r="M2550" s="48" t="n"/>
      <c r="N2550" s="48" t="n"/>
      <c r="O2550" s="51">
        <f>IF(AND(B2550="",G2550="",C2550="",D2550="",J2550=""),"",IF(B2550="","⚠ Falta fecha",IF(G2550="","⚠ Falta monto",IF(Q2550="","⚠ Falta cuenta",IF(ISNA(MATCH(Q2550,ctaNombre,0)),"⚠ Cuenta no registrada",IF(AND(OR(P2550="Gasto",P2550="Reembolso"),D2550=""),"⚠ Falta categoría",IF(AND(D2550&lt;&gt;"",E2550&lt;&gt;"",ISNA(MATCH(D2550&amp;"|"&amp;E2550,catClave,0))),"⚠ Subcategoría no corresponde",IF(AND(OR(P2550="Transferencia",P2550="Pago tarjeta"),K2550=""),"⚠ Falta cuenta destino",IF(AND(K2550&lt;&gt;"",P2550&lt;&gt;"Transferencia",P2550&lt;&gt;"Pago tarjeta"),"⚠ Destino solo aplica a transferencias",IF(AND(K2550&lt;&gt;"",K2550=Q2550),"⚠ Origen igual a destino",IF(AND(K2550&lt;&gt;"",ISNA(MATCH(K2550,ctaNombre,0))),"⚠ Destino no registrado",IF(AND(P2550="Pago tarjeta",AE2550&lt;&gt;"Tarjeta de crédito"),"⚠ El destino debe ser tarjeta de crédito",IF(AND(P2550="Gasto",E2550="Depósitos y retiros"),"⚠ Usa tipo Transferencia",IF(AND(P2550="Resultado trading",AD2550&lt;&gt;"Cuenta de trading"),"⚠ Usa una cuenta de trading",IF(AND(G2550&lt;=0,P2550&lt;&gt;"Ajuste",P2550&lt;&gt;"Resultado trading"),"⚠ El monto debe ser positivo","✓")))))))))))))))</f>
        <v/>
      </c>
      <c r="P2550" s="52">
        <f>IF(OR(B2550="",G2550=""),"",IF(C2550="","Gasto",C2550))</f>
        <v/>
      </c>
      <c r="Q2550" s="52">
        <f>IF(P2550="","",IF(J2550&lt;&gt;"",J2550,CuentaPred&amp;""))</f>
        <v/>
      </c>
      <c r="R2550" s="52">
        <f>IF(P2550="","",IF(ISNUMBER(I2550),I2550,TasaUSD))</f>
        <v/>
      </c>
      <c r="S2550" s="53">
        <f>IF(P2550="","",IF(H2550="USD",G2550*R2550,G2550))</f>
        <v/>
      </c>
      <c r="T2550" s="53">
        <f>IF(P2550="","",IF(H2550="USD",G2550,IF(R2550&gt;0,G2550/R2550,0)))</f>
        <v/>
      </c>
      <c r="U2550" s="53">
        <f>IF(P2550="","",IF(P2550="Gasto",S2550,IF(P2550="Reembolso",-S2550,0)))</f>
        <v/>
      </c>
      <c r="V2550" s="53">
        <f>IF(P2550="","",IF(P2550="Ingreso",S2550,0))</f>
        <v/>
      </c>
      <c r="W2550" s="53">
        <f>IF(P2550="","",IF(P2550="Resultado trading",S2550,0))</f>
        <v/>
      </c>
      <c r="X2550" s="52">
        <f>IF(OR(P2550="Gasto",P2550="Reembolso"),IF(M2550&lt;&gt;"",M2550,IFERROR(INDEX(catClasif,MATCH(D2550&amp;"|"&amp;E2550,catClave,0))&amp;"","Variable")),"")</f>
        <v/>
      </c>
      <c r="Y2550" s="52">
        <f>IF(P2550="","",IFERROR(INDEX(catGrupo,MATCH(D2550&amp;"|"&amp;E2550,catClave,0))&amp;"",""))</f>
        <v/>
      </c>
      <c r="Z2550" s="52">
        <f>IF(P2550="","",WEEKDAY(B2550,2))</f>
        <v/>
      </c>
      <c r="AA2550" s="52">
        <f>IF(P2550="","",IF(AND(P2550="Gasto",X2550="Variable",D2550&lt;&gt;catTrading,S2550&gt;0,S2550&lt;=Umbral),1,0))</f>
        <v/>
      </c>
      <c r="AB2550" s="52">
        <f>IF(OR(P2550="",Q2550=""),"",IFERROR(IF(INDEX(ctaVinc,MATCH(Q2550,ctaNombre,0))&amp;""&lt;&gt;"",INDEX(ctaVinc,MATCH(Q2550,ctaNombre,0))&amp;"",Q2550),Q2550))</f>
        <v/>
      </c>
      <c r="AC2550" s="52">
        <f>IF(OR(K2550="",AND(P2550&lt;&gt;"Transferencia",P2550&lt;&gt;"Pago tarjeta")),"",IFERROR(IF(INDEX(ctaVinc,MATCH(K2550,ctaNombre,0))&amp;""&lt;&gt;"",INDEX(ctaVinc,MATCH(K2550,ctaNombre,0))&amp;"",K2550),K2550))</f>
        <v/>
      </c>
      <c r="AD2550" s="52">
        <f>IF(AB2550="","",IFERROR(INDEX(ctaTipo,MATCH(AB2550,ctaNombre,0))&amp;"",""))</f>
        <v/>
      </c>
      <c r="AE2550" s="52">
        <f>IF(AC2550="","",IFERROR(INDEX(ctaTipo,MATCH(AC2550,ctaNombre,0))&amp;"",""))</f>
        <v/>
      </c>
      <c r="AF2550" s="53">
        <f>IF(OR(P2550="",AB2550=""),"",IF(OR(P2550="Gasto",P2550="Transferencia",P2550="Pago tarjeta"),-1,1)*IF(IFERROR(INDEX(ctaMoneda,MATCH(AB2550,ctaNombre,0))&amp;"","DOP")="USD",T2550,S2550))</f>
        <v/>
      </c>
      <c r="AG2550" s="53">
        <f>IF(AC2550="","",IF(IFERROR(INDEX(ctaMoneda,MATCH(AC2550,ctaNombre,0))&amp;"","DOP")="USD",T2550,S2550))</f>
        <v/>
      </c>
      <c r="AH2550" s="53">
        <f>IF(P2550="","",IF(AND(AD2550&lt;&gt;"",COUNTIFS(tcTipo,AD2550,tcLiq,"Sí")&gt;0),IF(OR(P2550="Gasto",P2550="Transferencia",P2550="Pago tarjeta"),-1,1)*S2550,0)+IF(AND(AE2550&lt;&gt;"",COUNTIFS(tcTipo,AE2550,tcLiq,"Sí")&gt;0),S2550,0))</f>
        <v/>
      </c>
      <c r="AI2550" s="52">
        <f>IF(OR(L2550="",P2550=""),"",IF(COUNTIFS(L$6:L2550,L2550,P$6:P2550,"?*")=1,MAX(AI$5:AI2549)+1,""))</f>
        <v/>
      </c>
    </row>
    <row r="2551">
      <c r="B2551" s="47" t="n"/>
      <c r="C2551" s="48" t="n"/>
      <c r="D2551" s="48" t="n"/>
      <c r="E2551" s="48" t="n"/>
      <c r="F2551" s="48" t="n"/>
      <c r="G2551" s="49" t="n"/>
      <c r="H2551" s="48" t="n"/>
      <c r="I2551" s="50" t="n"/>
      <c r="J2551" s="48" t="n"/>
      <c r="K2551" s="48" t="n"/>
      <c r="L2551" s="48" t="n"/>
      <c r="M2551" s="48" t="n"/>
      <c r="N2551" s="48" t="n"/>
      <c r="O2551" s="51">
        <f>IF(AND(B2551="",G2551="",C2551="",D2551="",J2551=""),"",IF(B2551="","⚠ Falta fecha",IF(G2551="","⚠ Falta monto",IF(Q2551="","⚠ Falta cuenta",IF(ISNA(MATCH(Q2551,ctaNombre,0)),"⚠ Cuenta no registrada",IF(AND(OR(P2551="Gasto",P2551="Reembolso"),D2551=""),"⚠ Falta categoría",IF(AND(D2551&lt;&gt;"",E2551&lt;&gt;"",ISNA(MATCH(D2551&amp;"|"&amp;E2551,catClave,0))),"⚠ Subcategoría no corresponde",IF(AND(OR(P2551="Transferencia",P2551="Pago tarjeta"),K2551=""),"⚠ Falta cuenta destino",IF(AND(K2551&lt;&gt;"",P2551&lt;&gt;"Transferencia",P2551&lt;&gt;"Pago tarjeta"),"⚠ Destino solo aplica a transferencias",IF(AND(K2551&lt;&gt;"",K2551=Q2551),"⚠ Origen igual a destino",IF(AND(K2551&lt;&gt;"",ISNA(MATCH(K2551,ctaNombre,0))),"⚠ Destino no registrado",IF(AND(P2551="Pago tarjeta",AE2551&lt;&gt;"Tarjeta de crédito"),"⚠ El destino debe ser tarjeta de crédito",IF(AND(P2551="Gasto",E2551="Depósitos y retiros"),"⚠ Usa tipo Transferencia",IF(AND(P2551="Resultado trading",AD2551&lt;&gt;"Cuenta de trading"),"⚠ Usa una cuenta de trading",IF(AND(G2551&lt;=0,P2551&lt;&gt;"Ajuste",P2551&lt;&gt;"Resultado trading"),"⚠ El monto debe ser positivo","✓")))))))))))))))</f>
        <v/>
      </c>
      <c r="P2551" s="52">
        <f>IF(OR(B2551="",G2551=""),"",IF(C2551="","Gasto",C2551))</f>
        <v/>
      </c>
      <c r="Q2551" s="52">
        <f>IF(P2551="","",IF(J2551&lt;&gt;"",J2551,CuentaPred&amp;""))</f>
        <v/>
      </c>
      <c r="R2551" s="52">
        <f>IF(P2551="","",IF(ISNUMBER(I2551),I2551,TasaUSD))</f>
        <v/>
      </c>
      <c r="S2551" s="53">
        <f>IF(P2551="","",IF(H2551="USD",G2551*R2551,G2551))</f>
        <v/>
      </c>
      <c r="T2551" s="53">
        <f>IF(P2551="","",IF(H2551="USD",G2551,IF(R2551&gt;0,G2551/R2551,0)))</f>
        <v/>
      </c>
      <c r="U2551" s="53">
        <f>IF(P2551="","",IF(P2551="Gasto",S2551,IF(P2551="Reembolso",-S2551,0)))</f>
        <v/>
      </c>
      <c r="V2551" s="53">
        <f>IF(P2551="","",IF(P2551="Ingreso",S2551,0))</f>
        <v/>
      </c>
      <c r="W2551" s="53">
        <f>IF(P2551="","",IF(P2551="Resultado trading",S2551,0))</f>
        <v/>
      </c>
      <c r="X2551" s="52">
        <f>IF(OR(P2551="Gasto",P2551="Reembolso"),IF(M2551&lt;&gt;"",M2551,IFERROR(INDEX(catClasif,MATCH(D2551&amp;"|"&amp;E2551,catClave,0))&amp;"","Variable")),"")</f>
        <v/>
      </c>
      <c r="Y2551" s="52">
        <f>IF(P2551="","",IFERROR(INDEX(catGrupo,MATCH(D2551&amp;"|"&amp;E2551,catClave,0))&amp;"",""))</f>
        <v/>
      </c>
      <c r="Z2551" s="52">
        <f>IF(P2551="","",WEEKDAY(B2551,2))</f>
        <v/>
      </c>
      <c r="AA2551" s="52">
        <f>IF(P2551="","",IF(AND(P2551="Gasto",X2551="Variable",D2551&lt;&gt;catTrading,S2551&gt;0,S2551&lt;=Umbral),1,0))</f>
        <v/>
      </c>
      <c r="AB2551" s="52">
        <f>IF(OR(P2551="",Q2551=""),"",IFERROR(IF(INDEX(ctaVinc,MATCH(Q2551,ctaNombre,0))&amp;""&lt;&gt;"",INDEX(ctaVinc,MATCH(Q2551,ctaNombre,0))&amp;"",Q2551),Q2551))</f>
        <v/>
      </c>
      <c r="AC2551" s="52">
        <f>IF(OR(K2551="",AND(P2551&lt;&gt;"Transferencia",P2551&lt;&gt;"Pago tarjeta")),"",IFERROR(IF(INDEX(ctaVinc,MATCH(K2551,ctaNombre,0))&amp;""&lt;&gt;"",INDEX(ctaVinc,MATCH(K2551,ctaNombre,0))&amp;"",K2551),K2551))</f>
        <v/>
      </c>
      <c r="AD2551" s="52">
        <f>IF(AB2551="","",IFERROR(INDEX(ctaTipo,MATCH(AB2551,ctaNombre,0))&amp;"",""))</f>
        <v/>
      </c>
      <c r="AE2551" s="52">
        <f>IF(AC2551="","",IFERROR(INDEX(ctaTipo,MATCH(AC2551,ctaNombre,0))&amp;"",""))</f>
        <v/>
      </c>
      <c r="AF2551" s="53">
        <f>IF(OR(P2551="",AB2551=""),"",IF(OR(P2551="Gasto",P2551="Transferencia",P2551="Pago tarjeta"),-1,1)*IF(IFERROR(INDEX(ctaMoneda,MATCH(AB2551,ctaNombre,0))&amp;"","DOP")="USD",T2551,S2551))</f>
        <v/>
      </c>
      <c r="AG2551" s="53">
        <f>IF(AC2551="","",IF(IFERROR(INDEX(ctaMoneda,MATCH(AC2551,ctaNombre,0))&amp;"","DOP")="USD",T2551,S2551))</f>
        <v/>
      </c>
      <c r="AH2551" s="53">
        <f>IF(P2551="","",IF(AND(AD2551&lt;&gt;"",COUNTIFS(tcTipo,AD2551,tcLiq,"Sí")&gt;0),IF(OR(P2551="Gasto",P2551="Transferencia",P2551="Pago tarjeta"),-1,1)*S2551,0)+IF(AND(AE2551&lt;&gt;"",COUNTIFS(tcTipo,AE2551,tcLiq,"Sí")&gt;0),S2551,0))</f>
        <v/>
      </c>
      <c r="AI2551" s="52">
        <f>IF(OR(L2551="",P2551=""),"",IF(COUNTIFS(L$6:L2551,L2551,P$6:P2551,"?*")=1,MAX(AI$5:AI2550)+1,""))</f>
        <v/>
      </c>
    </row>
    <row r="2552">
      <c r="B2552" s="47" t="n"/>
      <c r="C2552" s="48" t="n"/>
      <c r="D2552" s="48" t="n"/>
      <c r="E2552" s="48" t="n"/>
      <c r="F2552" s="48" t="n"/>
      <c r="G2552" s="49" t="n"/>
      <c r="H2552" s="48" t="n"/>
      <c r="I2552" s="50" t="n"/>
      <c r="J2552" s="48" t="n"/>
      <c r="K2552" s="48" t="n"/>
      <c r="L2552" s="48" t="n"/>
      <c r="M2552" s="48" t="n"/>
      <c r="N2552" s="48" t="n"/>
      <c r="O2552" s="51">
        <f>IF(AND(B2552="",G2552="",C2552="",D2552="",J2552=""),"",IF(B2552="","⚠ Falta fecha",IF(G2552="","⚠ Falta monto",IF(Q2552="","⚠ Falta cuenta",IF(ISNA(MATCH(Q2552,ctaNombre,0)),"⚠ Cuenta no registrada",IF(AND(OR(P2552="Gasto",P2552="Reembolso"),D2552=""),"⚠ Falta categoría",IF(AND(D2552&lt;&gt;"",E2552&lt;&gt;"",ISNA(MATCH(D2552&amp;"|"&amp;E2552,catClave,0))),"⚠ Subcategoría no corresponde",IF(AND(OR(P2552="Transferencia",P2552="Pago tarjeta"),K2552=""),"⚠ Falta cuenta destino",IF(AND(K2552&lt;&gt;"",P2552&lt;&gt;"Transferencia",P2552&lt;&gt;"Pago tarjeta"),"⚠ Destino solo aplica a transferencias",IF(AND(K2552&lt;&gt;"",K2552=Q2552),"⚠ Origen igual a destino",IF(AND(K2552&lt;&gt;"",ISNA(MATCH(K2552,ctaNombre,0))),"⚠ Destino no registrado",IF(AND(P2552="Pago tarjeta",AE2552&lt;&gt;"Tarjeta de crédito"),"⚠ El destino debe ser tarjeta de crédito",IF(AND(P2552="Gasto",E2552="Depósitos y retiros"),"⚠ Usa tipo Transferencia",IF(AND(P2552="Resultado trading",AD2552&lt;&gt;"Cuenta de trading"),"⚠ Usa una cuenta de trading",IF(AND(G2552&lt;=0,P2552&lt;&gt;"Ajuste",P2552&lt;&gt;"Resultado trading"),"⚠ El monto debe ser positivo","✓")))))))))))))))</f>
        <v/>
      </c>
      <c r="P2552" s="52">
        <f>IF(OR(B2552="",G2552=""),"",IF(C2552="","Gasto",C2552))</f>
        <v/>
      </c>
      <c r="Q2552" s="52">
        <f>IF(P2552="","",IF(J2552&lt;&gt;"",J2552,CuentaPred&amp;""))</f>
        <v/>
      </c>
      <c r="R2552" s="52">
        <f>IF(P2552="","",IF(ISNUMBER(I2552),I2552,TasaUSD))</f>
        <v/>
      </c>
      <c r="S2552" s="53">
        <f>IF(P2552="","",IF(H2552="USD",G2552*R2552,G2552))</f>
        <v/>
      </c>
      <c r="T2552" s="53">
        <f>IF(P2552="","",IF(H2552="USD",G2552,IF(R2552&gt;0,G2552/R2552,0)))</f>
        <v/>
      </c>
      <c r="U2552" s="53">
        <f>IF(P2552="","",IF(P2552="Gasto",S2552,IF(P2552="Reembolso",-S2552,0)))</f>
        <v/>
      </c>
      <c r="V2552" s="53">
        <f>IF(P2552="","",IF(P2552="Ingreso",S2552,0))</f>
        <v/>
      </c>
      <c r="W2552" s="53">
        <f>IF(P2552="","",IF(P2552="Resultado trading",S2552,0))</f>
        <v/>
      </c>
      <c r="X2552" s="52">
        <f>IF(OR(P2552="Gasto",P2552="Reembolso"),IF(M2552&lt;&gt;"",M2552,IFERROR(INDEX(catClasif,MATCH(D2552&amp;"|"&amp;E2552,catClave,0))&amp;"","Variable")),"")</f>
        <v/>
      </c>
      <c r="Y2552" s="52">
        <f>IF(P2552="","",IFERROR(INDEX(catGrupo,MATCH(D2552&amp;"|"&amp;E2552,catClave,0))&amp;"",""))</f>
        <v/>
      </c>
      <c r="Z2552" s="52">
        <f>IF(P2552="","",WEEKDAY(B2552,2))</f>
        <v/>
      </c>
      <c r="AA2552" s="52">
        <f>IF(P2552="","",IF(AND(P2552="Gasto",X2552="Variable",D2552&lt;&gt;catTrading,S2552&gt;0,S2552&lt;=Umbral),1,0))</f>
        <v/>
      </c>
      <c r="AB2552" s="52">
        <f>IF(OR(P2552="",Q2552=""),"",IFERROR(IF(INDEX(ctaVinc,MATCH(Q2552,ctaNombre,0))&amp;""&lt;&gt;"",INDEX(ctaVinc,MATCH(Q2552,ctaNombre,0))&amp;"",Q2552),Q2552))</f>
        <v/>
      </c>
      <c r="AC2552" s="52">
        <f>IF(OR(K2552="",AND(P2552&lt;&gt;"Transferencia",P2552&lt;&gt;"Pago tarjeta")),"",IFERROR(IF(INDEX(ctaVinc,MATCH(K2552,ctaNombre,0))&amp;""&lt;&gt;"",INDEX(ctaVinc,MATCH(K2552,ctaNombre,0))&amp;"",K2552),K2552))</f>
        <v/>
      </c>
      <c r="AD2552" s="52">
        <f>IF(AB2552="","",IFERROR(INDEX(ctaTipo,MATCH(AB2552,ctaNombre,0))&amp;"",""))</f>
        <v/>
      </c>
      <c r="AE2552" s="52">
        <f>IF(AC2552="","",IFERROR(INDEX(ctaTipo,MATCH(AC2552,ctaNombre,0))&amp;"",""))</f>
        <v/>
      </c>
      <c r="AF2552" s="53">
        <f>IF(OR(P2552="",AB2552=""),"",IF(OR(P2552="Gasto",P2552="Transferencia",P2552="Pago tarjeta"),-1,1)*IF(IFERROR(INDEX(ctaMoneda,MATCH(AB2552,ctaNombre,0))&amp;"","DOP")="USD",T2552,S2552))</f>
        <v/>
      </c>
      <c r="AG2552" s="53">
        <f>IF(AC2552="","",IF(IFERROR(INDEX(ctaMoneda,MATCH(AC2552,ctaNombre,0))&amp;"","DOP")="USD",T2552,S2552))</f>
        <v/>
      </c>
      <c r="AH2552" s="53">
        <f>IF(P2552="","",IF(AND(AD2552&lt;&gt;"",COUNTIFS(tcTipo,AD2552,tcLiq,"Sí")&gt;0),IF(OR(P2552="Gasto",P2552="Transferencia",P2552="Pago tarjeta"),-1,1)*S2552,0)+IF(AND(AE2552&lt;&gt;"",COUNTIFS(tcTipo,AE2552,tcLiq,"Sí")&gt;0),S2552,0))</f>
        <v/>
      </c>
      <c r="AI2552" s="52">
        <f>IF(OR(L2552="",P2552=""),"",IF(COUNTIFS(L$6:L2552,L2552,P$6:P2552,"?*")=1,MAX(AI$5:AI2551)+1,""))</f>
        <v/>
      </c>
    </row>
    <row r="2553">
      <c r="B2553" s="47" t="n"/>
      <c r="C2553" s="48" t="n"/>
      <c r="D2553" s="48" t="n"/>
      <c r="E2553" s="48" t="n"/>
      <c r="F2553" s="48" t="n"/>
      <c r="G2553" s="49" t="n"/>
      <c r="H2553" s="48" t="n"/>
      <c r="I2553" s="50" t="n"/>
      <c r="J2553" s="48" t="n"/>
      <c r="K2553" s="48" t="n"/>
      <c r="L2553" s="48" t="n"/>
      <c r="M2553" s="48" t="n"/>
      <c r="N2553" s="48" t="n"/>
      <c r="O2553" s="51">
        <f>IF(AND(B2553="",G2553="",C2553="",D2553="",J2553=""),"",IF(B2553="","⚠ Falta fecha",IF(G2553="","⚠ Falta monto",IF(Q2553="","⚠ Falta cuenta",IF(ISNA(MATCH(Q2553,ctaNombre,0)),"⚠ Cuenta no registrada",IF(AND(OR(P2553="Gasto",P2553="Reembolso"),D2553=""),"⚠ Falta categoría",IF(AND(D2553&lt;&gt;"",E2553&lt;&gt;"",ISNA(MATCH(D2553&amp;"|"&amp;E2553,catClave,0))),"⚠ Subcategoría no corresponde",IF(AND(OR(P2553="Transferencia",P2553="Pago tarjeta"),K2553=""),"⚠ Falta cuenta destino",IF(AND(K2553&lt;&gt;"",P2553&lt;&gt;"Transferencia",P2553&lt;&gt;"Pago tarjeta"),"⚠ Destino solo aplica a transferencias",IF(AND(K2553&lt;&gt;"",K2553=Q2553),"⚠ Origen igual a destino",IF(AND(K2553&lt;&gt;"",ISNA(MATCH(K2553,ctaNombre,0))),"⚠ Destino no registrado",IF(AND(P2553="Pago tarjeta",AE2553&lt;&gt;"Tarjeta de crédito"),"⚠ El destino debe ser tarjeta de crédito",IF(AND(P2553="Gasto",E2553="Depósitos y retiros"),"⚠ Usa tipo Transferencia",IF(AND(P2553="Resultado trading",AD2553&lt;&gt;"Cuenta de trading"),"⚠ Usa una cuenta de trading",IF(AND(G2553&lt;=0,P2553&lt;&gt;"Ajuste",P2553&lt;&gt;"Resultado trading"),"⚠ El monto debe ser positivo","✓")))))))))))))))</f>
        <v/>
      </c>
      <c r="P2553" s="52">
        <f>IF(OR(B2553="",G2553=""),"",IF(C2553="","Gasto",C2553))</f>
        <v/>
      </c>
      <c r="Q2553" s="52">
        <f>IF(P2553="","",IF(J2553&lt;&gt;"",J2553,CuentaPred&amp;""))</f>
        <v/>
      </c>
      <c r="R2553" s="52">
        <f>IF(P2553="","",IF(ISNUMBER(I2553),I2553,TasaUSD))</f>
        <v/>
      </c>
      <c r="S2553" s="53">
        <f>IF(P2553="","",IF(H2553="USD",G2553*R2553,G2553))</f>
        <v/>
      </c>
      <c r="T2553" s="53">
        <f>IF(P2553="","",IF(H2553="USD",G2553,IF(R2553&gt;0,G2553/R2553,0)))</f>
        <v/>
      </c>
      <c r="U2553" s="53">
        <f>IF(P2553="","",IF(P2553="Gasto",S2553,IF(P2553="Reembolso",-S2553,0)))</f>
        <v/>
      </c>
      <c r="V2553" s="53">
        <f>IF(P2553="","",IF(P2553="Ingreso",S2553,0))</f>
        <v/>
      </c>
      <c r="W2553" s="53">
        <f>IF(P2553="","",IF(P2553="Resultado trading",S2553,0))</f>
        <v/>
      </c>
      <c r="X2553" s="52">
        <f>IF(OR(P2553="Gasto",P2553="Reembolso"),IF(M2553&lt;&gt;"",M2553,IFERROR(INDEX(catClasif,MATCH(D2553&amp;"|"&amp;E2553,catClave,0))&amp;"","Variable")),"")</f>
        <v/>
      </c>
      <c r="Y2553" s="52">
        <f>IF(P2553="","",IFERROR(INDEX(catGrupo,MATCH(D2553&amp;"|"&amp;E2553,catClave,0))&amp;"",""))</f>
        <v/>
      </c>
      <c r="Z2553" s="52">
        <f>IF(P2553="","",WEEKDAY(B2553,2))</f>
        <v/>
      </c>
      <c r="AA2553" s="52">
        <f>IF(P2553="","",IF(AND(P2553="Gasto",X2553="Variable",D2553&lt;&gt;catTrading,S2553&gt;0,S2553&lt;=Umbral),1,0))</f>
        <v/>
      </c>
      <c r="AB2553" s="52">
        <f>IF(OR(P2553="",Q2553=""),"",IFERROR(IF(INDEX(ctaVinc,MATCH(Q2553,ctaNombre,0))&amp;""&lt;&gt;"",INDEX(ctaVinc,MATCH(Q2553,ctaNombre,0))&amp;"",Q2553),Q2553))</f>
        <v/>
      </c>
      <c r="AC2553" s="52">
        <f>IF(OR(K2553="",AND(P2553&lt;&gt;"Transferencia",P2553&lt;&gt;"Pago tarjeta")),"",IFERROR(IF(INDEX(ctaVinc,MATCH(K2553,ctaNombre,0))&amp;""&lt;&gt;"",INDEX(ctaVinc,MATCH(K2553,ctaNombre,0))&amp;"",K2553),K2553))</f>
        <v/>
      </c>
      <c r="AD2553" s="52">
        <f>IF(AB2553="","",IFERROR(INDEX(ctaTipo,MATCH(AB2553,ctaNombre,0))&amp;"",""))</f>
        <v/>
      </c>
      <c r="AE2553" s="52">
        <f>IF(AC2553="","",IFERROR(INDEX(ctaTipo,MATCH(AC2553,ctaNombre,0))&amp;"",""))</f>
        <v/>
      </c>
      <c r="AF2553" s="53">
        <f>IF(OR(P2553="",AB2553=""),"",IF(OR(P2553="Gasto",P2553="Transferencia",P2553="Pago tarjeta"),-1,1)*IF(IFERROR(INDEX(ctaMoneda,MATCH(AB2553,ctaNombre,0))&amp;"","DOP")="USD",T2553,S2553))</f>
        <v/>
      </c>
      <c r="AG2553" s="53">
        <f>IF(AC2553="","",IF(IFERROR(INDEX(ctaMoneda,MATCH(AC2553,ctaNombre,0))&amp;"","DOP")="USD",T2553,S2553))</f>
        <v/>
      </c>
      <c r="AH2553" s="53">
        <f>IF(P2553="","",IF(AND(AD2553&lt;&gt;"",COUNTIFS(tcTipo,AD2553,tcLiq,"Sí")&gt;0),IF(OR(P2553="Gasto",P2553="Transferencia",P2553="Pago tarjeta"),-1,1)*S2553,0)+IF(AND(AE2553&lt;&gt;"",COUNTIFS(tcTipo,AE2553,tcLiq,"Sí")&gt;0),S2553,0))</f>
        <v/>
      </c>
      <c r="AI2553" s="52">
        <f>IF(OR(L2553="",P2553=""),"",IF(COUNTIFS(L$6:L2553,L2553,P$6:P2553,"?*")=1,MAX(AI$5:AI2552)+1,""))</f>
        <v/>
      </c>
    </row>
    <row r="2554">
      <c r="B2554" s="47" t="n"/>
      <c r="C2554" s="48" t="n"/>
      <c r="D2554" s="48" t="n"/>
      <c r="E2554" s="48" t="n"/>
      <c r="F2554" s="48" t="n"/>
      <c r="G2554" s="49" t="n"/>
      <c r="H2554" s="48" t="n"/>
      <c r="I2554" s="50" t="n"/>
      <c r="J2554" s="48" t="n"/>
      <c r="K2554" s="48" t="n"/>
      <c r="L2554" s="48" t="n"/>
      <c r="M2554" s="48" t="n"/>
      <c r="N2554" s="48" t="n"/>
      <c r="O2554" s="51">
        <f>IF(AND(B2554="",G2554="",C2554="",D2554="",J2554=""),"",IF(B2554="","⚠ Falta fecha",IF(G2554="","⚠ Falta monto",IF(Q2554="","⚠ Falta cuenta",IF(ISNA(MATCH(Q2554,ctaNombre,0)),"⚠ Cuenta no registrada",IF(AND(OR(P2554="Gasto",P2554="Reembolso"),D2554=""),"⚠ Falta categoría",IF(AND(D2554&lt;&gt;"",E2554&lt;&gt;"",ISNA(MATCH(D2554&amp;"|"&amp;E2554,catClave,0))),"⚠ Subcategoría no corresponde",IF(AND(OR(P2554="Transferencia",P2554="Pago tarjeta"),K2554=""),"⚠ Falta cuenta destino",IF(AND(K2554&lt;&gt;"",P2554&lt;&gt;"Transferencia",P2554&lt;&gt;"Pago tarjeta"),"⚠ Destino solo aplica a transferencias",IF(AND(K2554&lt;&gt;"",K2554=Q2554),"⚠ Origen igual a destino",IF(AND(K2554&lt;&gt;"",ISNA(MATCH(K2554,ctaNombre,0))),"⚠ Destino no registrado",IF(AND(P2554="Pago tarjeta",AE2554&lt;&gt;"Tarjeta de crédito"),"⚠ El destino debe ser tarjeta de crédito",IF(AND(P2554="Gasto",E2554="Depósitos y retiros"),"⚠ Usa tipo Transferencia",IF(AND(P2554="Resultado trading",AD2554&lt;&gt;"Cuenta de trading"),"⚠ Usa una cuenta de trading",IF(AND(G2554&lt;=0,P2554&lt;&gt;"Ajuste",P2554&lt;&gt;"Resultado trading"),"⚠ El monto debe ser positivo","✓")))))))))))))))</f>
        <v/>
      </c>
      <c r="P2554" s="52">
        <f>IF(OR(B2554="",G2554=""),"",IF(C2554="","Gasto",C2554))</f>
        <v/>
      </c>
      <c r="Q2554" s="52">
        <f>IF(P2554="","",IF(J2554&lt;&gt;"",J2554,CuentaPred&amp;""))</f>
        <v/>
      </c>
      <c r="R2554" s="52">
        <f>IF(P2554="","",IF(ISNUMBER(I2554),I2554,TasaUSD))</f>
        <v/>
      </c>
      <c r="S2554" s="53">
        <f>IF(P2554="","",IF(H2554="USD",G2554*R2554,G2554))</f>
        <v/>
      </c>
      <c r="T2554" s="53">
        <f>IF(P2554="","",IF(H2554="USD",G2554,IF(R2554&gt;0,G2554/R2554,0)))</f>
        <v/>
      </c>
      <c r="U2554" s="53">
        <f>IF(P2554="","",IF(P2554="Gasto",S2554,IF(P2554="Reembolso",-S2554,0)))</f>
        <v/>
      </c>
      <c r="V2554" s="53">
        <f>IF(P2554="","",IF(P2554="Ingreso",S2554,0))</f>
        <v/>
      </c>
      <c r="W2554" s="53">
        <f>IF(P2554="","",IF(P2554="Resultado trading",S2554,0))</f>
        <v/>
      </c>
      <c r="X2554" s="52">
        <f>IF(OR(P2554="Gasto",P2554="Reembolso"),IF(M2554&lt;&gt;"",M2554,IFERROR(INDEX(catClasif,MATCH(D2554&amp;"|"&amp;E2554,catClave,0))&amp;"","Variable")),"")</f>
        <v/>
      </c>
      <c r="Y2554" s="52">
        <f>IF(P2554="","",IFERROR(INDEX(catGrupo,MATCH(D2554&amp;"|"&amp;E2554,catClave,0))&amp;"",""))</f>
        <v/>
      </c>
      <c r="Z2554" s="52">
        <f>IF(P2554="","",WEEKDAY(B2554,2))</f>
        <v/>
      </c>
      <c r="AA2554" s="52">
        <f>IF(P2554="","",IF(AND(P2554="Gasto",X2554="Variable",D2554&lt;&gt;catTrading,S2554&gt;0,S2554&lt;=Umbral),1,0))</f>
        <v/>
      </c>
      <c r="AB2554" s="52">
        <f>IF(OR(P2554="",Q2554=""),"",IFERROR(IF(INDEX(ctaVinc,MATCH(Q2554,ctaNombre,0))&amp;""&lt;&gt;"",INDEX(ctaVinc,MATCH(Q2554,ctaNombre,0))&amp;"",Q2554),Q2554))</f>
        <v/>
      </c>
      <c r="AC2554" s="52">
        <f>IF(OR(K2554="",AND(P2554&lt;&gt;"Transferencia",P2554&lt;&gt;"Pago tarjeta")),"",IFERROR(IF(INDEX(ctaVinc,MATCH(K2554,ctaNombre,0))&amp;""&lt;&gt;"",INDEX(ctaVinc,MATCH(K2554,ctaNombre,0))&amp;"",K2554),K2554))</f>
        <v/>
      </c>
      <c r="AD2554" s="52">
        <f>IF(AB2554="","",IFERROR(INDEX(ctaTipo,MATCH(AB2554,ctaNombre,0))&amp;"",""))</f>
        <v/>
      </c>
      <c r="AE2554" s="52">
        <f>IF(AC2554="","",IFERROR(INDEX(ctaTipo,MATCH(AC2554,ctaNombre,0))&amp;"",""))</f>
        <v/>
      </c>
      <c r="AF2554" s="53">
        <f>IF(OR(P2554="",AB2554=""),"",IF(OR(P2554="Gasto",P2554="Transferencia",P2554="Pago tarjeta"),-1,1)*IF(IFERROR(INDEX(ctaMoneda,MATCH(AB2554,ctaNombre,0))&amp;"","DOP")="USD",T2554,S2554))</f>
        <v/>
      </c>
      <c r="AG2554" s="53">
        <f>IF(AC2554="","",IF(IFERROR(INDEX(ctaMoneda,MATCH(AC2554,ctaNombre,0))&amp;"","DOP")="USD",T2554,S2554))</f>
        <v/>
      </c>
      <c r="AH2554" s="53">
        <f>IF(P2554="","",IF(AND(AD2554&lt;&gt;"",COUNTIFS(tcTipo,AD2554,tcLiq,"Sí")&gt;0),IF(OR(P2554="Gasto",P2554="Transferencia",P2554="Pago tarjeta"),-1,1)*S2554,0)+IF(AND(AE2554&lt;&gt;"",COUNTIFS(tcTipo,AE2554,tcLiq,"Sí")&gt;0),S2554,0))</f>
        <v/>
      </c>
      <c r="AI2554" s="52">
        <f>IF(OR(L2554="",P2554=""),"",IF(COUNTIFS(L$6:L2554,L2554,P$6:P2554,"?*")=1,MAX(AI$5:AI2553)+1,""))</f>
        <v/>
      </c>
    </row>
    <row r="2555">
      <c r="B2555" s="47" t="n"/>
      <c r="C2555" s="48" t="n"/>
      <c r="D2555" s="48" t="n"/>
      <c r="E2555" s="48" t="n"/>
      <c r="F2555" s="48" t="n"/>
      <c r="G2555" s="49" t="n"/>
      <c r="H2555" s="48" t="n"/>
      <c r="I2555" s="50" t="n"/>
      <c r="J2555" s="48" t="n"/>
      <c r="K2555" s="48" t="n"/>
      <c r="L2555" s="48" t="n"/>
      <c r="M2555" s="48" t="n"/>
      <c r="N2555" s="48" t="n"/>
      <c r="O2555" s="51">
        <f>IF(AND(B2555="",G2555="",C2555="",D2555="",J2555=""),"",IF(B2555="","⚠ Falta fecha",IF(G2555="","⚠ Falta monto",IF(Q2555="","⚠ Falta cuenta",IF(ISNA(MATCH(Q2555,ctaNombre,0)),"⚠ Cuenta no registrada",IF(AND(OR(P2555="Gasto",P2555="Reembolso"),D2555=""),"⚠ Falta categoría",IF(AND(D2555&lt;&gt;"",E2555&lt;&gt;"",ISNA(MATCH(D2555&amp;"|"&amp;E2555,catClave,0))),"⚠ Subcategoría no corresponde",IF(AND(OR(P2555="Transferencia",P2555="Pago tarjeta"),K2555=""),"⚠ Falta cuenta destino",IF(AND(K2555&lt;&gt;"",P2555&lt;&gt;"Transferencia",P2555&lt;&gt;"Pago tarjeta"),"⚠ Destino solo aplica a transferencias",IF(AND(K2555&lt;&gt;"",K2555=Q2555),"⚠ Origen igual a destino",IF(AND(K2555&lt;&gt;"",ISNA(MATCH(K2555,ctaNombre,0))),"⚠ Destino no registrado",IF(AND(P2555="Pago tarjeta",AE2555&lt;&gt;"Tarjeta de crédito"),"⚠ El destino debe ser tarjeta de crédito",IF(AND(P2555="Gasto",E2555="Depósitos y retiros"),"⚠ Usa tipo Transferencia",IF(AND(P2555="Resultado trading",AD2555&lt;&gt;"Cuenta de trading"),"⚠ Usa una cuenta de trading",IF(AND(G2555&lt;=0,P2555&lt;&gt;"Ajuste",P2555&lt;&gt;"Resultado trading"),"⚠ El monto debe ser positivo","✓")))))))))))))))</f>
        <v/>
      </c>
      <c r="P2555" s="52">
        <f>IF(OR(B2555="",G2555=""),"",IF(C2555="","Gasto",C2555))</f>
        <v/>
      </c>
      <c r="Q2555" s="52">
        <f>IF(P2555="","",IF(J2555&lt;&gt;"",J2555,CuentaPred&amp;""))</f>
        <v/>
      </c>
      <c r="R2555" s="52">
        <f>IF(P2555="","",IF(ISNUMBER(I2555),I2555,TasaUSD))</f>
        <v/>
      </c>
      <c r="S2555" s="53">
        <f>IF(P2555="","",IF(H2555="USD",G2555*R2555,G2555))</f>
        <v/>
      </c>
      <c r="T2555" s="53">
        <f>IF(P2555="","",IF(H2555="USD",G2555,IF(R2555&gt;0,G2555/R2555,0)))</f>
        <v/>
      </c>
      <c r="U2555" s="53">
        <f>IF(P2555="","",IF(P2555="Gasto",S2555,IF(P2555="Reembolso",-S2555,0)))</f>
        <v/>
      </c>
      <c r="V2555" s="53">
        <f>IF(P2555="","",IF(P2555="Ingreso",S2555,0))</f>
        <v/>
      </c>
      <c r="W2555" s="53">
        <f>IF(P2555="","",IF(P2555="Resultado trading",S2555,0))</f>
        <v/>
      </c>
      <c r="X2555" s="52">
        <f>IF(OR(P2555="Gasto",P2555="Reembolso"),IF(M2555&lt;&gt;"",M2555,IFERROR(INDEX(catClasif,MATCH(D2555&amp;"|"&amp;E2555,catClave,0))&amp;"","Variable")),"")</f>
        <v/>
      </c>
      <c r="Y2555" s="52">
        <f>IF(P2555="","",IFERROR(INDEX(catGrupo,MATCH(D2555&amp;"|"&amp;E2555,catClave,0))&amp;"",""))</f>
        <v/>
      </c>
      <c r="Z2555" s="52">
        <f>IF(P2555="","",WEEKDAY(B2555,2))</f>
        <v/>
      </c>
      <c r="AA2555" s="52">
        <f>IF(P2555="","",IF(AND(P2555="Gasto",X2555="Variable",D2555&lt;&gt;catTrading,S2555&gt;0,S2555&lt;=Umbral),1,0))</f>
        <v/>
      </c>
      <c r="AB2555" s="52">
        <f>IF(OR(P2555="",Q2555=""),"",IFERROR(IF(INDEX(ctaVinc,MATCH(Q2555,ctaNombre,0))&amp;""&lt;&gt;"",INDEX(ctaVinc,MATCH(Q2555,ctaNombre,0))&amp;"",Q2555),Q2555))</f>
        <v/>
      </c>
      <c r="AC2555" s="52">
        <f>IF(OR(K2555="",AND(P2555&lt;&gt;"Transferencia",P2555&lt;&gt;"Pago tarjeta")),"",IFERROR(IF(INDEX(ctaVinc,MATCH(K2555,ctaNombre,0))&amp;""&lt;&gt;"",INDEX(ctaVinc,MATCH(K2555,ctaNombre,0))&amp;"",K2555),K2555))</f>
        <v/>
      </c>
      <c r="AD2555" s="52">
        <f>IF(AB2555="","",IFERROR(INDEX(ctaTipo,MATCH(AB2555,ctaNombre,0))&amp;"",""))</f>
        <v/>
      </c>
      <c r="AE2555" s="52">
        <f>IF(AC2555="","",IFERROR(INDEX(ctaTipo,MATCH(AC2555,ctaNombre,0))&amp;"",""))</f>
        <v/>
      </c>
      <c r="AF2555" s="53">
        <f>IF(OR(P2555="",AB2555=""),"",IF(OR(P2555="Gasto",P2555="Transferencia",P2555="Pago tarjeta"),-1,1)*IF(IFERROR(INDEX(ctaMoneda,MATCH(AB2555,ctaNombre,0))&amp;"","DOP")="USD",T2555,S2555))</f>
        <v/>
      </c>
      <c r="AG2555" s="53">
        <f>IF(AC2555="","",IF(IFERROR(INDEX(ctaMoneda,MATCH(AC2555,ctaNombre,0))&amp;"","DOP")="USD",T2555,S2555))</f>
        <v/>
      </c>
      <c r="AH2555" s="53">
        <f>IF(P2555="","",IF(AND(AD2555&lt;&gt;"",COUNTIFS(tcTipo,AD2555,tcLiq,"Sí")&gt;0),IF(OR(P2555="Gasto",P2555="Transferencia",P2555="Pago tarjeta"),-1,1)*S2555,0)+IF(AND(AE2555&lt;&gt;"",COUNTIFS(tcTipo,AE2555,tcLiq,"Sí")&gt;0),S2555,0))</f>
        <v/>
      </c>
      <c r="AI2555" s="52">
        <f>IF(OR(L2555="",P2555=""),"",IF(COUNTIFS(L$6:L2555,L2555,P$6:P2555,"?*")=1,MAX(AI$5:AI2554)+1,""))</f>
        <v/>
      </c>
    </row>
    <row r="2556">
      <c r="B2556" s="47" t="n"/>
      <c r="C2556" s="48" t="n"/>
      <c r="D2556" s="48" t="n"/>
      <c r="E2556" s="48" t="n"/>
      <c r="F2556" s="48" t="n"/>
      <c r="G2556" s="49" t="n"/>
      <c r="H2556" s="48" t="n"/>
      <c r="I2556" s="50" t="n"/>
      <c r="J2556" s="48" t="n"/>
      <c r="K2556" s="48" t="n"/>
      <c r="L2556" s="48" t="n"/>
      <c r="M2556" s="48" t="n"/>
      <c r="N2556" s="48" t="n"/>
      <c r="O2556" s="51">
        <f>IF(AND(B2556="",G2556="",C2556="",D2556="",J2556=""),"",IF(B2556="","⚠ Falta fecha",IF(G2556="","⚠ Falta monto",IF(Q2556="","⚠ Falta cuenta",IF(ISNA(MATCH(Q2556,ctaNombre,0)),"⚠ Cuenta no registrada",IF(AND(OR(P2556="Gasto",P2556="Reembolso"),D2556=""),"⚠ Falta categoría",IF(AND(D2556&lt;&gt;"",E2556&lt;&gt;"",ISNA(MATCH(D2556&amp;"|"&amp;E2556,catClave,0))),"⚠ Subcategoría no corresponde",IF(AND(OR(P2556="Transferencia",P2556="Pago tarjeta"),K2556=""),"⚠ Falta cuenta destino",IF(AND(K2556&lt;&gt;"",P2556&lt;&gt;"Transferencia",P2556&lt;&gt;"Pago tarjeta"),"⚠ Destino solo aplica a transferencias",IF(AND(K2556&lt;&gt;"",K2556=Q2556),"⚠ Origen igual a destino",IF(AND(K2556&lt;&gt;"",ISNA(MATCH(K2556,ctaNombre,0))),"⚠ Destino no registrado",IF(AND(P2556="Pago tarjeta",AE2556&lt;&gt;"Tarjeta de crédito"),"⚠ El destino debe ser tarjeta de crédito",IF(AND(P2556="Gasto",E2556="Depósitos y retiros"),"⚠ Usa tipo Transferencia",IF(AND(P2556="Resultado trading",AD2556&lt;&gt;"Cuenta de trading"),"⚠ Usa una cuenta de trading",IF(AND(G2556&lt;=0,P2556&lt;&gt;"Ajuste",P2556&lt;&gt;"Resultado trading"),"⚠ El monto debe ser positivo","✓")))))))))))))))</f>
        <v/>
      </c>
      <c r="P2556" s="52">
        <f>IF(OR(B2556="",G2556=""),"",IF(C2556="","Gasto",C2556))</f>
        <v/>
      </c>
      <c r="Q2556" s="52">
        <f>IF(P2556="","",IF(J2556&lt;&gt;"",J2556,CuentaPred&amp;""))</f>
        <v/>
      </c>
      <c r="R2556" s="52">
        <f>IF(P2556="","",IF(ISNUMBER(I2556),I2556,TasaUSD))</f>
        <v/>
      </c>
      <c r="S2556" s="53">
        <f>IF(P2556="","",IF(H2556="USD",G2556*R2556,G2556))</f>
        <v/>
      </c>
      <c r="T2556" s="53">
        <f>IF(P2556="","",IF(H2556="USD",G2556,IF(R2556&gt;0,G2556/R2556,0)))</f>
        <v/>
      </c>
      <c r="U2556" s="53">
        <f>IF(P2556="","",IF(P2556="Gasto",S2556,IF(P2556="Reembolso",-S2556,0)))</f>
        <v/>
      </c>
      <c r="V2556" s="53">
        <f>IF(P2556="","",IF(P2556="Ingreso",S2556,0))</f>
        <v/>
      </c>
      <c r="W2556" s="53">
        <f>IF(P2556="","",IF(P2556="Resultado trading",S2556,0))</f>
        <v/>
      </c>
      <c r="X2556" s="52">
        <f>IF(OR(P2556="Gasto",P2556="Reembolso"),IF(M2556&lt;&gt;"",M2556,IFERROR(INDEX(catClasif,MATCH(D2556&amp;"|"&amp;E2556,catClave,0))&amp;"","Variable")),"")</f>
        <v/>
      </c>
      <c r="Y2556" s="52">
        <f>IF(P2556="","",IFERROR(INDEX(catGrupo,MATCH(D2556&amp;"|"&amp;E2556,catClave,0))&amp;"",""))</f>
        <v/>
      </c>
      <c r="Z2556" s="52">
        <f>IF(P2556="","",WEEKDAY(B2556,2))</f>
        <v/>
      </c>
      <c r="AA2556" s="52">
        <f>IF(P2556="","",IF(AND(P2556="Gasto",X2556="Variable",D2556&lt;&gt;catTrading,S2556&gt;0,S2556&lt;=Umbral),1,0))</f>
        <v/>
      </c>
      <c r="AB2556" s="52">
        <f>IF(OR(P2556="",Q2556=""),"",IFERROR(IF(INDEX(ctaVinc,MATCH(Q2556,ctaNombre,0))&amp;""&lt;&gt;"",INDEX(ctaVinc,MATCH(Q2556,ctaNombre,0))&amp;"",Q2556),Q2556))</f>
        <v/>
      </c>
      <c r="AC2556" s="52">
        <f>IF(OR(K2556="",AND(P2556&lt;&gt;"Transferencia",P2556&lt;&gt;"Pago tarjeta")),"",IFERROR(IF(INDEX(ctaVinc,MATCH(K2556,ctaNombre,0))&amp;""&lt;&gt;"",INDEX(ctaVinc,MATCH(K2556,ctaNombre,0))&amp;"",K2556),K2556))</f>
        <v/>
      </c>
      <c r="AD2556" s="52">
        <f>IF(AB2556="","",IFERROR(INDEX(ctaTipo,MATCH(AB2556,ctaNombre,0))&amp;"",""))</f>
        <v/>
      </c>
      <c r="AE2556" s="52">
        <f>IF(AC2556="","",IFERROR(INDEX(ctaTipo,MATCH(AC2556,ctaNombre,0))&amp;"",""))</f>
        <v/>
      </c>
      <c r="AF2556" s="53">
        <f>IF(OR(P2556="",AB2556=""),"",IF(OR(P2556="Gasto",P2556="Transferencia",P2556="Pago tarjeta"),-1,1)*IF(IFERROR(INDEX(ctaMoneda,MATCH(AB2556,ctaNombre,0))&amp;"","DOP")="USD",T2556,S2556))</f>
        <v/>
      </c>
      <c r="AG2556" s="53">
        <f>IF(AC2556="","",IF(IFERROR(INDEX(ctaMoneda,MATCH(AC2556,ctaNombre,0))&amp;"","DOP")="USD",T2556,S2556))</f>
        <v/>
      </c>
      <c r="AH2556" s="53">
        <f>IF(P2556="","",IF(AND(AD2556&lt;&gt;"",COUNTIFS(tcTipo,AD2556,tcLiq,"Sí")&gt;0),IF(OR(P2556="Gasto",P2556="Transferencia",P2556="Pago tarjeta"),-1,1)*S2556,0)+IF(AND(AE2556&lt;&gt;"",COUNTIFS(tcTipo,AE2556,tcLiq,"Sí")&gt;0),S2556,0))</f>
        <v/>
      </c>
      <c r="AI2556" s="52">
        <f>IF(OR(L2556="",P2556=""),"",IF(COUNTIFS(L$6:L2556,L2556,P$6:P2556,"?*")=1,MAX(AI$5:AI2555)+1,""))</f>
        <v/>
      </c>
    </row>
    <row r="2557">
      <c r="B2557" s="47" t="n"/>
      <c r="C2557" s="48" t="n"/>
      <c r="D2557" s="48" t="n"/>
      <c r="E2557" s="48" t="n"/>
      <c r="F2557" s="48" t="n"/>
      <c r="G2557" s="49" t="n"/>
      <c r="H2557" s="48" t="n"/>
      <c r="I2557" s="50" t="n"/>
      <c r="J2557" s="48" t="n"/>
      <c r="K2557" s="48" t="n"/>
      <c r="L2557" s="48" t="n"/>
      <c r="M2557" s="48" t="n"/>
      <c r="N2557" s="48" t="n"/>
      <c r="O2557" s="51">
        <f>IF(AND(B2557="",G2557="",C2557="",D2557="",J2557=""),"",IF(B2557="","⚠ Falta fecha",IF(G2557="","⚠ Falta monto",IF(Q2557="","⚠ Falta cuenta",IF(ISNA(MATCH(Q2557,ctaNombre,0)),"⚠ Cuenta no registrada",IF(AND(OR(P2557="Gasto",P2557="Reembolso"),D2557=""),"⚠ Falta categoría",IF(AND(D2557&lt;&gt;"",E2557&lt;&gt;"",ISNA(MATCH(D2557&amp;"|"&amp;E2557,catClave,0))),"⚠ Subcategoría no corresponde",IF(AND(OR(P2557="Transferencia",P2557="Pago tarjeta"),K2557=""),"⚠ Falta cuenta destino",IF(AND(K2557&lt;&gt;"",P2557&lt;&gt;"Transferencia",P2557&lt;&gt;"Pago tarjeta"),"⚠ Destino solo aplica a transferencias",IF(AND(K2557&lt;&gt;"",K2557=Q2557),"⚠ Origen igual a destino",IF(AND(K2557&lt;&gt;"",ISNA(MATCH(K2557,ctaNombre,0))),"⚠ Destino no registrado",IF(AND(P2557="Pago tarjeta",AE2557&lt;&gt;"Tarjeta de crédito"),"⚠ El destino debe ser tarjeta de crédito",IF(AND(P2557="Gasto",E2557="Depósitos y retiros"),"⚠ Usa tipo Transferencia",IF(AND(P2557="Resultado trading",AD2557&lt;&gt;"Cuenta de trading"),"⚠ Usa una cuenta de trading",IF(AND(G2557&lt;=0,P2557&lt;&gt;"Ajuste",P2557&lt;&gt;"Resultado trading"),"⚠ El monto debe ser positivo","✓")))))))))))))))</f>
        <v/>
      </c>
      <c r="P2557" s="52">
        <f>IF(OR(B2557="",G2557=""),"",IF(C2557="","Gasto",C2557))</f>
        <v/>
      </c>
      <c r="Q2557" s="52">
        <f>IF(P2557="","",IF(J2557&lt;&gt;"",J2557,CuentaPred&amp;""))</f>
        <v/>
      </c>
      <c r="R2557" s="52">
        <f>IF(P2557="","",IF(ISNUMBER(I2557),I2557,TasaUSD))</f>
        <v/>
      </c>
      <c r="S2557" s="53">
        <f>IF(P2557="","",IF(H2557="USD",G2557*R2557,G2557))</f>
        <v/>
      </c>
      <c r="T2557" s="53">
        <f>IF(P2557="","",IF(H2557="USD",G2557,IF(R2557&gt;0,G2557/R2557,0)))</f>
        <v/>
      </c>
      <c r="U2557" s="53">
        <f>IF(P2557="","",IF(P2557="Gasto",S2557,IF(P2557="Reembolso",-S2557,0)))</f>
        <v/>
      </c>
      <c r="V2557" s="53">
        <f>IF(P2557="","",IF(P2557="Ingreso",S2557,0))</f>
        <v/>
      </c>
      <c r="W2557" s="53">
        <f>IF(P2557="","",IF(P2557="Resultado trading",S2557,0))</f>
        <v/>
      </c>
      <c r="X2557" s="52">
        <f>IF(OR(P2557="Gasto",P2557="Reembolso"),IF(M2557&lt;&gt;"",M2557,IFERROR(INDEX(catClasif,MATCH(D2557&amp;"|"&amp;E2557,catClave,0))&amp;"","Variable")),"")</f>
        <v/>
      </c>
      <c r="Y2557" s="52">
        <f>IF(P2557="","",IFERROR(INDEX(catGrupo,MATCH(D2557&amp;"|"&amp;E2557,catClave,0))&amp;"",""))</f>
        <v/>
      </c>
      <c r="Z2557" s="52">
        <f>IF(P2557="","",WEEKDAY(B2557,2))</f>
        <v/>
      </c>
      <c r="AA2557" s="52">
        <f>IF(P2557="","",IF(AND(P2557="Gasto",X2557="Variable",D2557&lt;&gt;catTrading,S2557&gt;0,S2557&lt;=Umbral),1,0))</f>
        <v/>
      </c>
      <c r="AB2557" s="52">
        <f>IF(OR(P2557="",Q2557=""),"",IFERROR(IF(INDEX(ctaVinc,MATCH(Q2557,ctaNombre,0))&amp;""&lt;&gt;"",INDEX(ctaVinc,MATCH(Q2557,ctaNombre,0))&amp;"",Q2557),Q2557))</f>
        <v/>
      </c>
      <c r="AC2557" s="52">
        <f>IF(OR(K2557="",AND(P2557&lt;&gt;"Transferencia",P2557&lt;&gt;"Pago tarjeta")),"",IFERROR(IF(INDEX(ctaVinc,MATCH(K2557,ctaNombre,0))&amp;""&lt;&gt;"",INDEX(ctaVinc,MATCH(K2557,ctaNombre,0))&amp;"",K2557),K2557))</f>
        <v/>
      </c>
      <c r="AD2557" s="52">
        <f>IF(AB2557="","",IFERROR(INDEX(ctaTipo,MATCH(AB2557,ctaNombre,0))&amp;"",""))</f>
        <v/>
      </c>
      <c r="AE2557" s="52">
        <f>IF(AC2557="","",IFERROR(INDEX(ctaTipo,MATCH(AC2557,ctaNombre,0))&amp;"",""))</f>
        <v/>
      </c>
      <c r="AF2557" s="53">
        <f>IF(OR(P2557="",AB2557=""),"",IF(OR(P2557="Gasto",P2557="Transferencia",P2557="Pago tarjeta"),-1,1)*IF(IFERROR(INDEX(ctaMoneda,MATCH(AB2557,ctaNombre,0))&amp;"","DOP")="USD",T2557,S2557))</f>
        <v/>
      </c>
      <c r="AG2557" s="53">
        <f>IF(AC2557="","",IF(IFERROR(INDEX(ctaMoneda,MATCH(AC2557,ctaNombre,0))&amp;"","DOP")="USD",T2557,S2557))</f>
        <v/>
      </c>
      <c r="AH2557" s="53">
        <f>IF(P2557="","",IF(AND(AD2557&lt;&gt;"",COUNTIFS(tcTipo,AD2557,tcLiq,"Sí")&gt;0),IF(OR(P2557="Gasto",P2557="Transferencia",P2557="Pago tarjeta"),-1,1)*S2557,0)+IF(AND(AE2557&lt;&gt;"",COUNTIFS(tcTipo,AE2557,tcLiq,"Sí")&gt;0),S2557,0))</f>
        <v/>
      </c>
      <c r="AI2557" s="52">
        <f>IF(OR(L2557="",P2557=""),"",IF(COUNTIFS(L$6:L2557,L2557,P$6:P2557,"?*")=1,MAX(AI$5:AI2556)+1,""))</f>
        <v/>
      </c>
    </row>
    <row r="2558">
      <c r="B2558" s="47" t="n"/>
      <c r="C2558" s="48" t="n"/>
      <c r="D2558" s="48" t="n"/>
      <c r="E2558" s="48" t="n"/>
      <c r="F2558" s="48" t="n"/>
      <c r="G2558" s="49" t="n"/>
      <c r="H2558" s="48" t="n"/>
      <c r="I2558" s="50" t="n"/>
      <c r="J2558" s="48" t="n"/>
      <c r="K2558" s="48" t="n"/>
      <c r="L2558" s="48" t="n"/>
      <c r="M2558" s="48" t="n"/>
      <c r="N2558" s="48" t="n"/>
      <c r="O2558" s="51">
        <f>IF(AND(B2558="",G2558="",C2558="",D2558="",J2558=""),"",IF(B2558="","⚠ Falta fecha",IF(G2558="","⚠ Falta monto",IF(Q2558="","⚠ Falta cuenta",IF(ISNA(MATCH(Q2558,ctaNombre,0)),"⚠ Cuenta no registrada",IF(AND(OR(P2558="Gasto",P2558="Reembolso"),D2558=""),"⚠ Falta categoría",IF(AND(D2558&lt;&gt;"",E2558&lt;&gt;"",ISNA(MATCH(D2558&amp;"|"&amp;E2558,catClave,0))),"⚠ Subcategoría no corresponde",IF(AND(OR(P2558="Transferencia",P2558="Pago tarjeta"),K2558=""),"⚠ Falta cuenta destino",IF(AND(K2558&lt;&gt;"",P2558&lt;&gt;"Transferencia",P2558&lt;&gt;"Pago tarjeta"),"⚠ Destino solo aplica a transferencias",IF(AND(K2558&lt;&gt;"",K2558=Q2558),"⚠ Origen igual a destino",IF(AND(K2558&lt;&gt;"",ISNA(MATCH(K2558,ctaNombre,0))),"⚠ Destino no registrado",IF(AND(P2558="Pago tarjeta",AE2558&lt;&gt;"Tarjeta de crédito"),"⚠ El destino debe ser tarjeta de crédito",IF(AND(P2558="Gasto",E2558="Depósitos y retiros"),"⚠ Usa tipo Transferencia",IF(AND(P2558="Resultado trading",AD2558&lt;&gt;"Cuenta de trading"),"⚠ Usa una cuenta de trading",IF(AND(G2558&lt;=0,P2558&lt;&gt;"Ajuste",P2558&lt;&gt;"Resultado trading"),"⚠ El monto debe ser positivo","✓")))))))))))))))</f>
        <v/>
      </c>
      <c r="P2558" s="52">
        <f>IF(OR(B2558="",G2558=""),"",IF(C2558="","Gasto",C2558))</f>
        <v/>
      </c>
      <c r="Q2558" s="52">
        <f>IF(P2558="","",IF(J2558&lt;&gt;"",J2558,CuentaPred&amp;""))</f>
        <v/>
      </c>
      <c r="R2558" s="52">
        <f>IF(P2558="","",IF(ISNUMBER(I2558),I2558,TasaUSD))</f>
        <v/>
      </c>
      <c r="S2558" s="53">
        <f>IF(P2558="","",IF(H2558="USD",G2558*R2558,G2558))</f>
        <v/>
      </c>
      <c r="T2558" s="53">
        <f>IF(P2558="","",IF(H2558="USD",G2558,IF(R2558&gt;0,G2558/R2558,0)))</f>
        <v/>
      </c>
      <c r="U2558" s="53">
        <f>IF(P2558="","",IF(P2558="Gasto",S2558,IF(P2558="Reembolso",-S2558,0)))</f>
        <v/>
      </c>
      <c r="V2558" s="53">
        <f>IF(P2558="","",IF(P2558="Ingreso",S2558,0))</f>
        <v/>
      </c>
      <c r="W2558" s="53">
        <f>IF(P2558="","",IF(P2558="Resultado trading",S2558,0))</f>
        <v/>
      </c>
      <c r="X2558" s="52">
        <f>IF(OR(P2558="Gasto",P2558="Reembolso"),IF(M2558&lt;&gt;"",M2558,IFERROR(INDEX(catClasif,MATCH(D2558&amp;"|"&amp;E2558,catClave,0))&amp;"","Variable")),"")</f>
        <v/>
      </c>
      <c r="Y2558" s="52">
        <f>IF(P2558="","",IFERROR(INDEX(catGrupo,MATCH(D2558&amp;"|"&amp;E2558,catClave,0))&amp;"",""))</f>
        <v/>
      </c>
      <c r="Z2558" s="52">
        <f>IF(P2558="","",WEEKDAY(B2558,2))</f>
        <v/>
      </c>
      <c r="AA2558" s="52">
        <f>IF(P2558="","",IF(AND(P2558="Gasto",X2558="Variable",D2558&lt;&gt;catTrading,S2558&gt;0,S2558&lt;=Umbral),1,0))</f>
        <v/>
      </c>
      <c r="AB2558" s="52">
        <f>IF(OR(P2558="",Q2558=""),"",IFERROR(IF(INDEX(ctaVinc,MATCH(Q2558,ctaNombre,0))&amp;""&lt;&gt;"",INDEX(ctaVinc,MATCH(Q2558,ctaNombre,0))&amp;"",Q2558),Q2558))</f>
        <v/>
      </c>
      <c r="AC2558" s="52">
        <f>IF(OR(K2558="",AND(P2558&lt;&gt;"Transferencia",P2558&lt;&gt;"Pago tarjeta")),"",IFERROR(IF(INDEX(ctaVinc,MATCH(K2558,ctaNombre,0))&amp;""&lt;&gt;"",INDEX(ctaVinc,MATCH(K2558,ctaNombre,0))&amp;"",K2558),K2558))</f>
        <v/>
      </c>
      <c r="AD2558" s="52">
        <f>IF(AB2558="","",IFERROR(INDEX(ctaTipo,MATCH(AB2558,ctaNombre,0))&amp;"",""))</f>
        <v/>
      </c>
      <c r="AE2558" s="52">
        <f>IF(AC2558="","",IFERROR(INDEX(ctaTipo,MATCH(AC2558,ctaNombre,0))&amp;"",""))</f>
        <v/>
      </c>
      <c r="AF2558" s="53">
        <f>IF(OR(P2558="",AB2558=""),"",IF(OR(P2558="Gasto",P2558="Transferencia",P2558="Pago tarjeta"),-1,1)*IF(IFERROR(INDEX(ctaMoneda,MATCH(AB2558,ctaNombre,0))&amp;"","DOP")="USD",T2558,S2558))</f>
        <v/>
      </c>
      <c r="AG2558" s="53">
        <f>IF(AC2558="","",IF(IFERROR(INDEX(ctaMoneda,MATCH(AC2558,ctaNombre,0))&amp;"","DOP")="USD",T2558,S2558))</f>
        <v/>
      </c>
      <c r="AH2558" s="53">
        <f>IF(P2558="","",IF(AND(AD2558&lt;&gt;"",COUNTIFS(tcTipo,AD2558,tcLiq,"Sí")&gt;0),IF(OR(P2558="Gasto",P2558="Transferencia",P2558="Pago tarjeta"),-1,1)*S2558,0)+IF(AND(AE2558&lt;&gt;"",COUNTIFS(tcTipo,AE2558,tcLiq,"Sí")&gt;0),S2558,0))</f>
        <v/>
      </c>
      <c r="AI2558" s="52">
        <f>IF(OR(L2558="",P2558=""),"",IF(COUNTIFS(L$6:L2558,L2558,P$6:P2558,"?*")=1,MAX(AI$5:AI2557)+1,""))</f>
        <v/>
      </c>
    </row>
    <row r="2559">
      <c r="B2559" s="47" t="n"/>
      <c r="C2559" s="48" t="n"/>
      <c r="D2559" s="48" t="n"/>
      <c r="E2559" s="48" t="n"/>
      <c r="F2559" s="48" t="n"/>
      <c r="G2559" s="49" t="n"/>
      <c r="H2559" s="48" t="n"/>
      <c r="I2559" s="50" t="n"/>
      <c r="J2559" s="48" t="n"/>
      <c r="K2559" s="48" t="n"/>
      <c r="L2559" s="48" t="n"/>
      <c r="M2559" s="48" t="n"/>
      <c r="N2559" s="48" t="n"/>
      <c r="O2559" s="51">
        <f>IF(AND(B2559="",G2559="",C2559="",D2559="",J2559=""),"",IF(B2559="","⚠ Falta fecha",IF(G2559="","⚠ Falta monto",IF(Q2559="","⚠ Falta cuenta",IF(ISNA(MATCH(Q2559,ctaNombre,0)),"⚠ Cuenta no registrada",IF(AND(OR(P2559="Gasto",P2559="Reembolso"),D2559=""),"⚠ Falta categoría",IF(AND(D2559&lt;&gt;"",E2559&lt;&gt;"",ISNA(MATCH(D2559&amp;"|"&amp;E2559,catClave,0))),"⚠ Subcategoría no corresponde",IF(AND(OR(P2559="Transferencia",P2559="Pago tarjeta"),K2559=""),"⚠ Falta cuenta destino",IF(AND(K2559&lt;&gt;"",P2559&lt;&gt;"Transferencia",P2559&lt;&gt;"Pago tarjeta"),"⚠ Destino solo aplica a transferencias",IF(AND(K2559&lt;&gt;"",K2559=Q2559),"⚠ Origen igual a destino",IF(AND(K2559&lt;&gt;"",ISNA(MATCH(K2559,ctaNombre,0))),"⚠ Destino no registrado",IF(AND(P2559="Pago tarjeta",AE2559&lt;&gt;"Tarjeta de crédito"),"⚠ El destino debe ser tarjeta de crédito",IF(AND(P2559="Gasto",E2559="Depósitos y retiros"),"⚠ Usa tipo Transferencia",IF(AND(P2559="Resultado trading",AD2559&lt;&gt;"Cuenta de trading"),"⚠ Usa una cuenta de trading",IF(AND(G2559&lt;=0,P2559&lt;&gt;"Ajuste",P2559&lt;&gt;"Resultado trading"),"⚠ El monto debe ser positivo","✓")))))))))))))))</f>
        <v/>
      </c>
      <c r="P2559" s="52">
        <f>IF(OR(B2559="",G2559=""),"",IF(C2559="","Gasto",C2559))</f>
        <v/>
      </c>
      <c r="Q2559" s="52">
        <f>IF(P2559="","",IF(J2559&lt;&gt;"",J2559,CuentaPred&amp;""))</f>
        <v/>
      </c>
      <c r="R2559" s="52">
        <f>IF(P2559="","",IF(ISNUMBER(I2559),I2559,TasaUSD))</f>
        <v/>
      </c>
      <c r="S2559" s="53">
        <f>IF(P2559="","",IF(H2559="USD",G2559*R2559,G2559))</f>
        <v/>
      </c>
      <c r="T2559" s="53">
        <f>IF(P2559="","",IF(H2559="USD",G2559,IF(R2559&gt;0,G2559/R2559,0)))</f>
        <v/>
      </c>
      <c r="U2559" s="53">
        <f>IF(P2559="","",IF(P2559="Gasto",S2559,IF(P2559="Reembolso",-S2559,0)))</f>
        <v/>
      </c>
      <c r="V2559" s="53">
        <f>IF(P2559="","",IF(P2559="Ingreso",S2559,0))</f>
        <v/>
      </c>
      <c r="W2559" s="53">
        <f>IF(P2559="","",IF(P2559="Resultado trading",S2559,0))</f>
        <v/>
      </c>
      <c r="X2559" s="52">
        <f>IF(OR(P2559="Gasto",P2559="Reembolso"),IF(M2559&lt;&gt;"",M2559,IFERROR(INDEX(catClasif,MATCH(D2559&amp;"|"&amp;E2559,catClave,0))&amp;"","Variable")),"")</f>
        <v/>
      </c>
      <c r="Y2559" s="52">
        <f>IF(P2559="","",IFERROR(INDEX(catGrupo,MATCH(D2559&amp;"|"&amp;E2559,catClave,0))&amp;"",""))</f>
        <v/>
      </c>
      <c r="Z2559" s="52">
        <f>IF(P2559="","",WEEKDAY(B2559,2))</f>
        <v/>
      </c>
      <c r="AA2559" s="52">
        <f>IF(P2559="","",IF(AND(P2559="Gasto",X2559="Variable",D2559&lt;&gt;catTrading,S2559&gt;0,S2559&lt;=Umbral),1,0))</f>
        <v/>
      </c>
      <c r="AB2559" s="52">
        <f>IF(OR(P2559="",Q2559=""),"",IFERROR(IF(INDEX(ctaVinc,MATCH(Q2559,ctaNombre,0))&amp;""&lt;&gt;"",INDEX(ctaVinc,MATCH(Q2559,ctaNombre,0))&amp;"",Q2559),Q2559))</f>
        <v/>
      </c>
      <c r="AC2559" s="52">
        <f>IF(OR(K2559="",AND(P2559&lt;&gt;"Transferencia",P2559&lt;&gt;"Pago tarjeta")),"",IFERROR(IF(INDEX(ctaVinc,MATCH(K2559,ctaNombre,0))&amp;""&lt;&gt;"",INDEX(ctaVinc,MATCH(K2559,ctaNombre,0))&amp;"",K2559),K2559))</f>
        <v/>
      </c>
      <c r="AD2559" s="52">
        <f>IF(AB2559="","",IFERROR(INDEX(ctaTipo,MATCH(AB2559,ctaNombre,0))&amp;"",""))</f>
        <v/>
      </c>
      <c r="AE2559" s="52">
        <f>IF(AC2559="","",IFERROR(INDEX(ctaTipo,MATCH(AC2559,ctaNombre,0))&amp;"",""))</f>
        <v/>
      </c>
      <c r="AF2559" s="53">
        <f>IF(OR(P2559="",AB2559=""),"",IF(OR(P2559="Gasto",P2559="Transferencia",P2559="Pago tarjeta"),-1,1)*IF(IFERROR(INDEX(ctaMoneda,MATCH(AB2559,ctaNombre,0))&amp;"","DOP")="USD",T2559,S2559))</f>
        <v/>
      </c>
      <c r="AG2559" s="53">
        <f>IF(AC2559="","",IF(IFERROR(INDEX(ctaMoneda,MATCH(AC2559,ctaNombre,0))&amp;"","DOP")="USD",T2559,S2559))</f>
        <v/>
      </c>
      <c r="AH2559" s="53">
        <f>IF(P2559="","",IF(AND(AD2559&lt;&gt;"",COUNTIFS(tcTipo,AD2559,tcLiq,"Sí")&gt;0),IF(OR(P2559="Gasto",P2559="Transferencia",P2559="Pago tarjeta"),-1,1)*S2559,0)+IF(AND(AE2559&lt;&gt;"",COUNTIFS(tcTipo,AE2559,tcLiq,"Sí")&gt;0),S2559,0))</f>
        <v/>
      </c>
      <c r="AI2559" s="52">
        <f>IF(OR(L2559="",P2559=""),"",IF(COUNTIFS(L$6:L2559,L2559,P$6:P2559,"?*")=1,MAX(AI$5:AI2558)+1,""))</f>
        <v/>
      </c>
    </row>
    <row r="2560">
      <c r="B2560" s="47" t="n"/>
      <c r="C2560" s="48" t="n"/>
      <c r="D2560" s="48" t="n"/>
      <c r="E2560" s="48" t="n"/>
      <c r="F2560" s="48" t="n"/>
      <c r="G2560" s="49" t="n"/>
      <c r="H2560" s="48" t="n"/>
      <c r="I2560" s="50" t="n"/>
      <c r="J2560" s="48" t="n"/>
      <c r="K2560" s="48" t="n"/>
      <c r="L2560" s="48" t="n"/>
      <c r="M2560" s="48" t="n"/>
      <c r="N2560" s="48" t="n"/>
      <c r="O2560" s="51">
        <f>IF(AND(B2560="",G2560="",C2560="",D2560="",J2560=""),"",IF(B2560="","⚠ Falta fecha",IF(G2560="","⚠ Falta monto",IF(Q2560="","⚠ Falta cuenta",IF(ISNA(MATCH(Q2560,ctaNombre,0)),"⚠ Cuenta no registrada",IF(AND(OR(P2560="Gasto",P2560="Reembolso"),D2560=""),"⚠ Falta categoría",IF(AND(D2560&lt;&gt;"",E2560&lt;&gt;"",ISNA(MATCH(D2560&amp;"|"&amp;E2560,catClave,0))),"⚠ Subcategoría no corresponde",IF(AND(OR(P2560="Transferencia",P2560="Pago tarjeta"),K2560=""),"⚠ Falta cuenta destino",IF(AND(K2560&lt;&gt;"",P2560&lt;&gt;"Transferencia",P2560&lt;&gt;"Pago tarjeta"),"⚠ Destino solo aplica a transferencias",IF(AND(K2560&lt;&gt;"",K2560=Q2560),"⚠ Origen igual a destino",IF(AND(K2560&lt;&gt;"",ISNA(MATCH(K2560,ctaNombre,0))),"⚠ Destino no registrado",IF(AND(P2560="Pago tarjeta",AE2560&lt;&gt;"Tarjeta de crédito"),"⚠ El destino debe ser tarjeta de crédito",IF(AND(P2560="Gasto",E2560="Depósitos y retiros"),"⚠ Usa tipo Transferencia",IF(AND(P2560="Resultado trading",AD2560&lt;&gt;"Cuenta de trading"),"⚠ Usa una cuenta de trading",IF(AND(G2560&lt;=0,P2560&lt;&gt;"Ajuste",P2560&lt;&gt;"Resultado trading"),"⚠ El monto debe ser positivo","✓")))))))))))))))</f>
        <v/>
      </c>
      <c r="P2560" s="52">
        <f>IF(OR(B2560="",G2560=""),"",IF(C2560="","Gasto",C2560))</f>
        <v/>
      </c>
      <c r="Q2560" s="52">
        <f>IF(P2560="","",IF(J2560&lt;&gt;"",J2560,CuentaPred&amp;""))</f>
        <v/>
      </c>
      <c r="R2560" s="52">
        <f>IF(P2560="","",IF(ISNUMBER(I2560),I2560,TasaUSD))</f>
        <v/>
      </c>
      <c r="S2560" s="53">
        <f>IF(P2560="","",IF(H2560="USD",G2560*R2560,G2560))</f>
        <v/>
      </c>
      <c r="T2560" s="53">
        <f>IF(P2560="","",IF(H2560="USD",G2560,IF(R2560&gt;0,G2560/R2560,0)))</f>
        <v/>
      </c>
      <c r="U2560" s="53">
        <f>IF(P2560="","",IF(P2560="Gasto",S2560,IF(P2560="Reembolso",-S2560,0)))</f>
        <v/>
      </c>
      <c r="V2560" s="53">
        <f>IF(P2560="","",IF(P2560="Ingreso",S2560,0))</f>
        <v/>
      </c>
      <c r="W2560" s="53">
        <f>IF(P2560="","",IF(P2560="Resultado trading",S2560,0))</f>
        <v/>
      </c>
      <c r="X2560" s="52">
        <f>IF(OR(P2560="Gasto",P2560="Reembolso"),IF(M2560&lt;&gt;"",M2560,IFERROR(INDEX(catClasif,MATCH(D2560&amp;"|"&amp;E2560,catClave,0))&amp;"","Variable")),"")</f>
        <v/>
      </c>
      <c r="Y2560" s="52">
        <f>IF(P2560="","",IFERROR(INDEX(catGrupo,MATCH(D2560&amp;"|"&amp;E2560,catClave,0))&amp;"",""))</f>
        <v/>
      </c>
      <c r="Z2560" s="52">
        <f>IF(P2560="","",WEEKDAY(B2560,2))</f>
        <v/>
      </c>
      <c r="AA2560" s="52">
        <f>IF(P2560="","",IF(AND(P2560="Gasto",X2560="Variable",D2560&lt;&gt;catTrading,S2560&gt;0,S2560&lt;=Umbral),1,0))</f>
        <v/>
      </c>
      <c r="AB2560" s="52">
        <f>IF(OR(P2560="",Q2560=""),"",IFERROR(IF(INDEX(ctaVinc,MATCH(Q2560,ctaNombre,0))&amp;""&lt;&gt;"",INDEX(ctaVinc,MATCH(Q2560,ctaNombre,0))&amp;"",Q2560),Q2560))</f>
        <v/>
      </c>
      <c r="AC2560" s="52">
        <f>IF(OR(K2560="",AND(P2560&lt;&gt;"Transferencia",P2560&lt;&gt;"Pago tarjeta")),"",IFERROR(IF(INDEX(ctaVinc,MATCH(K2560,ctaNombre,0))&amp;""&lt;&gt;"",INDEX(ctaVinc,MATCH(K2560,ctaNombre,0))&amp;"",K2560),K2560))</f>
        <v/>
      </c>
      <c r="AD2560" s="52">
        <f>IF(AB2560="","",IFERROR(INDEX(ctaTipo,MATCH(AB2560,ctaNombre,0))&amp;"",""))</f>
        <v/>
      </c>
      <c r="AE2560" s="52">
        <f>IF(AC2560="","",IFERROR(INDEX(ctaTipo,MATCH(AC2560,ctaNombre,0))&amp;"",""))</f>
        <v/>
      </c>
      <c r="AF2560" s="53">
        <f>IF(OR(P2560="",AB2560=""),"",IF(OR(P2560="Gasto",P2560="Transferencia",P2560="Pago tarjeta"),-1,1)*IF(IFERROR(INDEX(ctaMoneda,MATCH(AB2560,ctaNombre,0))&amp;"","DOP")="USD",T2560,S2560))</f>
        <v/>
      </c>
      <c r="AG2560" s="53">
        <f>IF(AC2560="","",IF(IFERROR(INDEX(ctaMoneda,MATCH(AC2560,ctaNombre,0))&amp;"","DOP")="USD",T2560,S2560))</f>
        <v/>
      </c>
      <c r="AH2560" s="53">
        <f>IF(P2560="","",IF(AND(AD2560&lt;&gt;"",COUNTIFS(tcTipo,AD2560,tcLiq,"Sí")&gt;0),IF(OR(P2560="Gasto",P2560="Transferencia",P2560="Pago tarjeta"),-1,1)*S2560,0)+IF(AND(AE2560&lt;&gt;"",COUNTIFS(tcTipo,AE2560,tcLiq,"Sí")&gt;0),S2560,0))</f>
        <v/>
      </c>
      <c r="AI2560" s="52">
        <f>IF(OR(L2560="",P2560=""),"",IF(COUNTIFS(L$6:L2560,L2560,P$6:P2560,"?*")=1,MAX(AI$5:AI2559)+1,""))</f>
        <v/>
      </c>
    </row>
    <row r="2561">
      <c r="B2561" s="47" t="n"/>
      <c r="C2561" s="48" t="n"/>
      <c r="D2561" s="48" t="n"/>
      <c r="E2561" s="48" t="n"/>
      <c r="F2561" s="48" t="n"/>
      <c r="G2561" s="49" t="n"/>
      <c r="H2561" s="48" t="n"/>
      <c r="I2561" s="50" t="n"/>
      <c r="J2561" s="48" t="n"/>
      <c r="K2561" s="48" t="n"/>
      <c r="L2561" s="48" t="n"/>
      <c r="M2561" s="48" t="n"/>
      <c r="N2561" s="48" t="n"/>
      <c r="O2561" s="51">
        <f>IF(AND(B2561="",G2561="",C2561="",D2561="",J2561=""),"",IF(B2561="","⚠ Falta fecha",IF(G2561="","⚠ Falta monto",IF(Q2561="","⚠ Falta cuenta",IF(ISNA(MATCH(Q2561,ctaNombre,0)),"⚠ Cuenta no registrada",IF(AND(OR(P2561="Gasto",P2561="Reembolso"),D2561=""),"⚠ Falta categoría",IF(AND(D2561&lt;&gt;"",E2561&lt;&gt;"",ISNA(MATCH(D2561&amp;"|"&amp;E2561,catClave,0))),"⚠ Subcategoría no corresponde",IF(AND(OR(P2561="Transferencia",P2561="Pago tarjeta"),K2561=""),"⚠ Falta cuenta destino",IF(AND(K2561&lt;&gt;"",P2561&lt;&gt;"Transferencia",P2561&lt;&gt;"Pago tarjeta"),"⚠ Destino solo aplica a transferencias",IF(AND(K2561&lt;&gt;"",K2561=Q2561),"⚠ Origen igual a destino",IF(AND(K2561&lt;&gt;"",ISNA(MATCH(K2561,ctaNombre,0))),"⚠ Destino no registrado",IF(AND(P2561="Pago tarjeta",AE2561&lt;&gt;"Tarjeta de crédito"),"⚠ El destino debe ser tarjeta de crédito",IF(AND(P2561="Gasto",E2561="Depósitos y retiros"),"⚠ Usa tipo Transferencia",IF(AND(P2561="Resultado trading",AD2561&lt;&gt;"Cuenta de trading"),"⚠ Usa una cuenta de trading",IF(AND(G2561&lt;=0,P2561&lt;&gt;"Ajuste",P2561&lt;&gt;"Resultado trading"),"⚠ El monto debe ser positivo","✓")))))))))))))))</f>
        <v/>
      </c>
      <c r="P2561" s="52">
        <f>IF(OR(B2561="",G2561=""),"",IF(C2561="","Gasto",C2561))</f>
        <v/>
      </c>
      <c r="Q2561" s="52">
        <f>IF(P2561="","",IF(J2561&lt;&gt;"",J2561,CuentaPred&amp;""))</f>
        <v/>
      </c>
      <c r="R2561" s="52">
        <f>IF(P2561="","",IF(ISNUMBER(I2561),I2561,TasaUSD))</f>
        <v/>
      </c>
      <c r="S2561" s="53">
        <f>IF(P2561="","",IF(H2561="USD",G2561*R2561,G2561))</f>
        <v/>
      </c>
      <c r="T2561" s="53">
        <f>IF(P2561="","",IF(H2561="USD",G2561,IF(R2561&gt;0,G2561/R2561,0)))</f>
        <v/>
      </c>
      <c r="U2561" s="53">
        <f>IF(P2561="","",IF(P2561="Gasto",S2561,IF(P2561="Reembolso",-S2561,0)))</f>
        <v/>
      </c>
      <c r="V2561" s="53">
        <f>IF(P2561="","",IF(P2561="Ingreso",S2561,0))</f>
        <v/>
      </c>
      <c r="W2561" s="53">
        <f>IF(P2561="","",IF(P2561="Resultado trading",S2561,0))</f>
        <v/>
      </c>
      <c r="X2561" s="52">
        <f>IF(OR(P2561="Gasto",P2561="Reembolso"),IF(M2561&lt;&gt;"",M2561,IFERROR(INDEX(catClasif,MATCH(D2561&amp;"|"&amp;E2561,catClave,0))&amp;"","Variable")),"")</f>
        <v/>
      </c>
      <c r="Y2561" s="52">
        <f>IF(P2561="","",IFERROR(INDEX(catGrupo,MATCH(D2561&amp;"|"&amp;E2561,catClave,0))&amp;"",""))</f>
        <v/>
      </c>
      <c r="Z2561" s="52">
        <f>IF(P2561="","",WEEKDAY(B2561,2))</f>
        <v/>
      </c>
      <c r="AA2561" s="52">
        <f>IF(P2561="","",IF(AND(P2561="Gasto",X2561="Variable",D2561&lt;&gt;catTrading,S2561&gt;0,S2561&lt;=Umbral),1,0))</f>
        <v/>
      </c>
      <c r="AB2561" s="52">
        <f>IF(OR(P2561="",Q2561=""),"",IFERROR(IF(INDEX(ctaVinc,MATCH(Q2561,ctaNombre,0))&amp;""&lt;&gt;"",INDEX(ctaVinc,MATCH(Q2561,ctaNombre,0))&amp;"",Q2561),Q2561))</f>
        <v/>
      </c>
      <c r="AC2561" s="52">
        <f>IF(OR(K2561="",AND(P2561&lt;&gt;"Transferencia",P2561&lt;&gt;"Pago tarjeta")),"",IFERROR(IF(INDEX(ctaVinc,MATCH(K2561,ctaNombre,0))&amp;""&lt;&gt;"",INDEX(ctaVinc,MATCH(K2561,ctaNombre,0))&amp;"",K2561),K2561))</f>
        <v/>
      </c>
      <c r="AD2561" s="52">
        <f>IF(AB2561="","",IFERROR(INDEX(ctaTipo,MATCH(AB2561,ctaNombre,0))&amp;"",""))</f>
        <v/>
      </c>
      <c r="AE2561" s="52">
        <f>IF(AC2561="","",IFERROR(INDEX(ctaTipo,MATCH(AC2561,ctaNombre,0))&amp;"",""))</f>
        <v/>
      </c>
      <c r="AF2561" s="53">
        <f>IF(OR(P2561="",AB2561=""),"",IF(OR(P2561="Gasto",P2561="Transferencia",P2561="Pago tarjeta"),-1,1)*IF(IFERROR(INDEX(ctaMoneda,MATCH(AB2561,ctaNombre,0))&amp;"","DOP")="USD",T2561,S2561))</f>
        <v/>
      </c>
      <c r="AG2561" s="53">
        <f>IF(AC2561="","",IF(IFERROR(INDEX(ctaMoneda,MATCH(AC2561,ctaNombre,0))&amp;"","DOP")="USD",T2561,S2561))</f>
        <v/>
      </c>
      <c r="AH2561" s="53">
        <f>IF(P2561="","",IF(AND(AD2561&lt;&gt;"",COUNTIFS(tcTipo,AD2561,tcLiq,"Sí")&gt;0),IF(OR(P2561="Gasto",P2561="Transferencia",P2561="Pago tarjeta"),-1,1)*S2561,0)+IF(AND(AE2561&lt;&gt;"",COUNTIFS(tcTipo,AE2561,tcLiq,"Sí")&gt;0),S2561,0))</f>
        <v/>
      </c>
      <c r="AI2561" s="52">
        <f>IF(OR(L2561="",P2561=""),"",IF(COUNTIFS(L$6:L2561,L2561,P$6:P2561,"?*")=1,MAX(AI$5:AI2560)+1,""))</f>
        <v/>
      </c>
    </row>
    <row r="2562">
      <c r="B2562" s="47" t="n"/>
      <c r="C2562" s="48" t="n"/>
      <c r="D2562" s="48" t="n"/>
      <c r="E2562" s="48" t="n"/>
      <c r="F2562" s="48" t="n"/>
      <c r="G2562" s="49" t="n"/>
      <c r="H2562" s="48" t="n"/>
      <c r="I2562" s="50" t="n"/>
      <c r="J2562" s="48" t="n"/>
      <c r="K2562" s="48" t="n"/>
      <c r="L2562" s="48" t="n"/>
      <c r="M2562" s="48" t="n"/>
      <c r="N2562" s="48" t="n"/>
      <c r="O2562" s="51">
        <f>IF(AND(B2562="",G2562="",C2562="",D2562="",J2562=""),"",IF(B2562="","⚠ Falta fecha",IF(G2562="","⚠ Falta monto",IF(Q2562="","⚠ Falta cuenta",IF(ISNA(MATCH(Q2562,ctaNombre,0)),"⚠ Cuenta no registrada",IF(AND(OR(P2562="Gasto",P2562="Reembolso"),D2562=""),"⚠ Falta categoría",IF(AND(D2562&lt;&gt;"",E2562&lt;&gt;"",ISNA(MATCH(D2562&amp;"|"&amp;E2562,catClave,0))),"⚠ Subcategoría no corresponde",IF(AND(OR(P2562="Transferencia",P2562="Pago tarjeta"),K2562=""),"⚠ Falta cuenta destino",IF(AND(K2562&lt;&gt;"",P2562&lt;&gt;"Transferencia",P2562&lt;&gt;"Pago tarjeta"),"⚠ Destino solo aplica a transferencias",IF(AND(K2562&lt;&gt;"",K2562=Q2562),"⚠ Origen igual a destino",IF(AND(K2562&lt;&gt;"",ISNA(MATCH(K2562,ctaNombre,0))),"⚠ Destino no registrado",IF(AND(P2562="Pago tarjeta",AE2562&lt;&gt;"Tarjeta de crédito"),"⚠ El destino debe ser tarjeta de crédito",IF(AND(P2562="Gasto",E2562="Depósitos y retiros"),"⚠ Usa tipo Transferencia",IF(AND(P2562="Resultado trading",AD2562&lt;&gt;"Cuenta de trading"),"⚠ Usa una cuenta de trading",IF(AND(G2562&lt;=0,P2562&lt;&gt;"Ajuste",P2562&lt;&gt;"Resultado trading"),"⚠ El monto debe ser positivo","✓")))))))))))))))</f>
        <v/>
      </c>
      <c r="P2562" s="52">
        <f>IF(OR(B2562="",G2562=""),"",IF(C2562="","Gasto",C2562))</f>
        <v/>
      </c>
      <c r="Q2562" s="52">
        <f>IF(P2562="","",IF(J2562&lt;&gt;"",J2562,CuentaPred&amp;""))</f>
        <v/>
      </c>
      <c r="R2562" s="52">
        <f>IF(P2562="","",IF(ISNUMBER(I2562),I2562,TasaUSD))</f>
        <v/>
      </c>
      <c r="S2562" s="53">
        <f>IF(P2562="","",IF(H2562="USD",G2562*R2562,G2562))</f>
        <v/>
      </c>
      <c r="T2562" s="53">
        <f>IF(P2562="","",IF(H2562="USD",G2562,IF(R2562&gt;0,G2562/R2562,0)))</f>
        <v/>
      </c>
      <c r="U2562" s="53">
        <f>IF(P2562="","",IF(P2562="Gasto",S2562,IF(P2562="Reembolso",-S2562,0)))</f>
        <v/>
      </c>
      <c r="V2562" s="53">
        <f>IF(P2562="","",IF(P2562="Ingreso",S2562,0))</f>
        <v/>
      </c>
      <c r="W2562" s="53">
        <f>IF(P2562="","",IF(P2562="Resultado trading",S2562,0))</f>
        <v/>
      </c>
      <c r="X2562" s="52">
        <f>IF(OR(P2562="Gasto",P2562="Reembolso"),IF(M2562&lt;&gt;"",M2562,IFERROR(INDEX(catClasif,MATCH(D2562&amp;"|"&amp;E2562,catClave,0))&amp;"","Variable")),"")</f>
        <v/>
      </c>
      <c r="Y2562" s="52">
        <f>IF(P2562="","",IFERROR(INDEX(catGrupo,MATCH(D2562&amp;"|"&amp;E2562,catClave,0))&amp;"",""))</f>
        <v/>
      </c>
      <c r="Z2562" s="52">
        <f>IF(P2562="","",WEEKDAY(B2562,2))</f>
        <v/>
      </c>
      <c r="AA2562" s="52">
        <f>IF(P2562="","",IF(AND(P2562="Gasto",X2562="Variable",D2562&lt;&gt;catTrading,S2562&gt;0,S2562&lt;=Umbral),1,0))</f>
        <v/>
      </c>
      <c r="AB2562" s="52">
        <f>IF(OR(P2562="",Q2562=""),"",IFERROR(IF(INDEX(ctaVinc,MATCH(Q2562,ctaNombre,0))&amp;""&lt;&gt;"",INDEX(ctaVinc,MATCH(Q2562,ctaNombre,0))&amp;"",Q2562),Q2562))</f>
        <v/>
      </c>
      <c r="AC2562" s="52">
        <f>IF(OR(K2562="",AND(P2562&lt;&gt;"Transferencia",P2562&lt;&gt;"Pago tarjeta")),"",IFERROR(IF(INDEX(ctaVinc,MATCH(K2562,ctaNombre,0))&amp;""&lt;&gt;"",INDEX(ctaVinc,MATCH(K2562,ctaNombre,0))&amp;"",K2562),K2562))</f>
        <v/>
      </c>
      <c r="AD2562" s="52">
        <f>IF(AB2562="","",IFERROR(INDEX(ctaTipo,MATCH(AB2562,ctaNombre,0))&amp;"",""))</f>
        <v/>
      </c>
      <c r="AE2562" s="52">
        <f>IF(AC2562="","",IFERROR(INDEX(ctaTipo,MATCH(AC2562,ctaNombre,0))&amp;"",""))</f>
        <v/>
      </c>
      <c r="AF2562" s="53">
        <f>IF(OR(P2562="",AB2562=""),"",IF(OR(P2562="Gasto",P2562="Transferencia",P2562="Pago tarjeta"),-1,1)*IF(IFERROR(INDEX(ctaMoneda,MATCH(AB2562,ctaNombre,0))&amp;"","DOP")="USD",T2562,S2562))</f>
        <v/>
      </c>
      <c r="AG2562" s="53">
        <f>IF(AC2562="","",IF(IFERROR(INDEX(ctaMoneda,MATCH(AC2562,ctaNombre,0))&amp;"","DOP")="USD",T2562,S2562))</f>
        <v/>
      </c>
      <c r="AH2562" s="53">
        <f>IF(P2562="","",IF(AND(AD2562&lt;&gt;"",COUNTIFS(tcTipo,AD2562,tcLiq,"Sí")&gt;0),IF(OR(P2562="Gasto",P2562="Transferencia",P2562="Pago tarjeta"),-1,1)*S2562,0)+IF(AND(AE2562&lt;&gt;"",COUNTIFS(tcTipo,AE2562,tcLiq,"Sí")&gt;0),S2562,0))</f>
        <v/>
      </c>
      <c r="AI2562" s="52">
        <f>IF(OR(L2562="",P2562=""),"",IF(COUNTIFS(L$6:L2562,L2562,P$6:P2562,"?*")=1,MAX(AI$5:AI2561)+1,""))</f>
        <v/>
      </c>
    </row>
    <row r="2563">
      <c r="B2563" s="47" t="n"/>
      <c r="C2563" s="48" t="n"/>
      <c r="D2563" s="48" t="n"/>
      <c r="E2563" s="48" t="n"/>
      <c r="F2563" s="48" t="n"/>
      <c r="G2563" s="49" t="n"/>
      <c r="H2563" s="48" t="n"/>
      <c r="I2563" s="50" t="n"/>
      <c r="J2563" s="48" t="n"/>
      <c r="K2563" s="48" t="n"/>
      <c r="L2563" s="48" t="n"/>
      <c r="M2563" s="48" t="n"/>
      <c r="N2563" s="48" t="n"/>
      <c r="O2563" s="51">
        <f>IF(AND(B2563="",G2563="",C2563="",D2563="",J2563=""),"",IF(B2563="","⚠ Falta fecha",IF(G2563="","⚠ Falta monto",IF(Q2563="","⚠ Falta cuenta",IF(ISNA(MATCH(Q2563,ctaNombre,0)),"⚠ Cuenta no registrada",IF(AND(OR(P2563="Gasto",P2563="Reembolso"),D2563=""),"⚠ Falta categoría",IF(AND(D2563&lt;&gt;"",E2563&lt;&gt;"",ISNA(MATCH(D2563&amp;"|"&amp;E2563,catClave,0))),"⚠ Subcategoría no corresponde",IF(AND(OR(P2563="Transferencia",P2563="Pago tarjeta"),K2563=""),"⚠ Falta cuenta destino",IF(AND(K2563&lt;&gt;"",P2563&lt;&gt;"Transferencia",P2563&lt;&gt;"Pago tarjeta"),"⚠ Destino solo aplica a transferencias",IF(AND(K2563&lt;&gt;"",K2563=Q2563),"⚠ Origen igual a destino",IF(AND(K2563&lt;&gt;"",ISNA(MATCH(K2563,ctaNombre,0))),"⚠ Destino no registrado",IF(AND(P2563="Pago tarjeta",AE2563&lt;&gt;"Tarjeta de crédito"),"⚠ El destino debe ser tarjeta de crédito",IF(AND(P2563="Gasto",E2563="Depósitos y retiros"),"⚠ Usa tipo Transferencia",IF(AND(P2563="Resultado trading",AD2563&lt;&gt;"Cuenta de trading"),"⚠ Usa una cuenta de trading",IF(AND(G2563&lt;=0,P2563&lt;&gt;"Ajuste",P2563&lt;&gt;"Resultado trading"),"⚠ El monto debe ser positivo","✓")))))))))))))))</f>
        <v/>
      </c>
      <c r="P2563" s="52">
        <f>IF(OR(B2563="",G2563=""),"",IF(C2563="","Gasto",C2563))</f>
        <v/>
      </c>
      <c r="Q2563" s="52">
        <f>IF(P2563="","",IF(J2563&lt;&gt;"",J2563,CuentaPred&amp;""))</f>
        <v/>
      </c>
      <c r="R2563" s="52">
        <f>IF(P2563="","",IF(ISNUMBER(I2563),I2563,TasaUSD))</f>
        <v/>
      </c>
      <c r="S2563" s="53">
        <f>IF(P2563="","",IF(H2563="USD",G2563*R2563,G2563))</f>
        <v/>
      </c>
      <c r="T2563" s="53">
        <f>IF(P2563="","",IF(H2563="USD",G2563,IF(R2563&gt;0,G2563/R2563,0)))</f>
        <v/>
      </c>
      <c r="U2563" s="53">
        <f>IF(P2563="","",IF(P2563="Gasto",S2563,IF(P2563="Reembolso",-S2563,0)))</f>
        <v/>
      </c>
      <c r="V2563" s="53">
        <f>IF(P2563="","",IF(P2563="Ingreso",S2563,0))</f>
        <v/>
      </c>
      <c r="W2563" s="53">
        <f>IF(P2563="","",IF(P2563="Resultado trading",S2563,0))</f>
        <v/>
      </c>
      <c r="X2563" s="52">
        <f>IF(OR(P2563="Gasto",P2563="Reembolso"),IF(M2563&lt;&gt;"",M2563,IFERROR(INDEX(catClasif,MATCH(D2563&amp;"|"&amp;E2563,catClave,0))&amp;"","Variable")),"")</f>
        <v/>
      </c>
      <c r="Y2563" s="52">
        <f>IF(P2563="","",IFERROR(INDEX(catGrupo,MATCH(D2563&amp;"|"&amp;E2563,catClave,0))&amp;"",""))</f>
        <v/>
      </c>
      <c r="Z2563" s="52">
        <f>IF(P2563="","",WEEKDAY(B2563,2))</f>
        <v/>
      </c>
      <c r="AA2563" s="52">
        <f>IF(P2563="","",IF(AND(P2563="Gasto",X2563="Variable",D2563&lt;&gt;catTrading,S2563&gt;0,S2563&lt;=Umbral),1,0))</f>
        <v/>
      </c>
      <c r="AB2563" s="52">
        <f>IF(OR(P2563="",Q2563=""),"",IFERROR(IF(INDEX(ctaVinc,MATCH(Q2563,ctaNombre,0))&amp;""&lt;&gt;"",INDEX(ctaVinc,MATCH(Q2563,ctaNombre,0))&amp;"",Q2563),Q2563))</f>
        <v/>
      </c>
      <c r="AC2563" s="52">
        <f>IF(OR(K2563="",AND(P2563&lt;&gt;"Transferencia",P2563&lt;&gt;"Pago tarjeta")),"",IFERROR(IF(INDEX(ctaVinc,MATCH(K2563,ctaNombre,0))&amp;""&lt;&gt;"",INDEX(ctaVinc,MATCH(K2563,ctaNombre,0))&amp;"",K2563),K2563))</f>
        <v/>
      </c>
      <c r="AD2563" s="52">
        <f>IF(AB2563="","",IFERROR(INDEX(ctaTipo,MATCH(AB2563,ctaNombre,0))&amp;"",""))</f>
        <v/>
      </c>
      <c r="AE2563" s="52">
        <f>IF(AC2563="","",IFERROR(INDEX(ctaTipo,MATCH(AC2563,ctaNombre,0))&amp;"",""))</f>
        <v/>
      </c>
      <c r="AF2563" s="53">
        <f>IF(OR(P2563="",AB2563=""),"",IF(OR(P2563="Gasto",P2563="Transferencia",P2563="Pago tarjeta"),-1,1)*IF(IFERROR(INDEX(ctaMoneda,MATCH(AB2563,ctaNombre,0))&amp;"","DOP")="USD",T2563,S2563))</f>
        <v/>
      </c>
      <c r="AG2563" s="53">
        <f>IF(AC2563="","",IF(IFERROR(INDEX(ctaMoneda,MATCH(AC2563,ctaNombre,0))&amp;"","DOP")="USD",T2563,S2563))</f>
        <v/>
      </c>
      <c r="AH2563" s="53">
        <f>IF(P2563="","",IF(AND(AD2563&lt;&gt;"",COUNTIFS(tcTipo,AD2563,tcLiq,"Sí")&gt;0),IF(OR(P2563="Gasto",P2563="Transferencia",P2563="Pago tarjeta"),-1,1)*S2563,0)+IF(AND(AE2563&lt;&gt;"",COUNTIFS(tcTipo,AE2563,tcLiq,"Sí")&gt;0),S2563,0))</f>
        <v/>
      </c>
      <c r="AI2563" s="52">
        <f>IF(OR(L2563="",P2563=""),"",IF(COUNTIFS(L$6:L2563,L2563,P$6:P2563,"?*")=1,MAX(AI$5:AI2562)+1,""))</f>
        <v/>
      </c>
    </row>
    <row r="2564">
      <c r="B2564" s="47" t="n"/>
      <c r="C2564" s="48" t="n"/>
      <c r="D2564" s="48" t="n"/>
      <c r="E2564" s="48" t="n"/>
      <c r="F2564" s="48" t="n"/>
      <c r="G2564" s="49" t="n"/>
      <c r="H2564" s="48" t="n"/>
      <c r="I2564" s="50" t="n"/>
      <c r="J2564" s="48" t="n"/>
      <c r="K2564" s="48" t="n"/>
      <c r="L2564" s="48" t="n"/>
      <c r="M2564" s="48" t="n"/>
      <c r="N2564" s="48" t="n"/>
      <c r="O2564" s="51">
        <f>IF(AND(B2564="",G2564="",C2564="",D2564="",J2564=""),"",IF(B2564="","⚠ Falta fecha",IF(G2564="","⚠ Falta monto",IF(Q2564="","⚠ Falta cuenta",IF(ISNA(MATCH(Q2564,ctaNombre,0)),"⚠ Cuenta no registrada",IF(AND(OR(P2564="Gasto",P2564="Reembolso"),D2564=""),"⚠ Falta categoría",IF(AND(D2564&lt;&gt;"",E2564&lt;&gt;"",ISNA(MATCH(D2564&amp;"|"&amp;E2564,catClave,0))),"⚠ Subcategoría no corresponde",IF(AND(OR(P2564="Transferencia",P2564="Pago tarjeta"),K2564=""),"⚠ Falta cuenta destino",IF(AND(K2564&lt;&gt;"",P2564&lt;&gt;"Transferencia",P2564&lt;&gt;"Pago tarjeta"),"⚠ Destino solo aplica a transferencias",IF(AND(K2564&lt;&gt;"",K2564=Q2564),"⚠ Origen igual a destino",IF(AND(K2564&lt;&gt;"",ISNA(MATCH(K2564,ctaNombre,0))),"⚠ Destino no registrado",IF(AND(P2564="Pago tarjeta",AE2564&lt;&gt;"Tarjeta de crédito"),"⚠ El destino debe ser tarjeta de crédito",IF(AND(P2564="Gasto",E2564="Depósitos y retiros"),"⚠ Usa tipo Transferencia",IF(AND(P2564="Resultado trading",AD2564&lt;&gt;"Cuenta de trading"),"⚠ Usa una cuenta de trading",IF(AND(G2564&lt;=0,P2564&lt;&gt;"Ajuste",P2564&lt;&gt;"Resultado trading"),"⚠ El monto debe ser positivo","✓")))))))))))))))</f>
        <v/>
      </c>
      <c r="P2564" s="52">
        <f>IF(OR(B2564="",G2564=""),"",IF(C2564="","Gasto",C2564))</f>
        <v/>
      </c>
      <c r="Q2564" s="52">
        <f>IF(P2564="","",IF(J2564&lt;&gt;"",J2564,CuentaPred&amp;""))</f>
        <v/>
      </c>
      <c r="R2564" s="52">
        <f>IF(P2564="","",IF(ISNUMBER(I2564),I2564,TasaUSD))</f>
        <v/>
      </c>
      <c r="S2564" s="53">
        <f>IF(P2564="","",IF(H2564="USD",G2564*R2564,G2564))</f>
        <v/>
      </c>
      <c r="T2564" s="53">
        <f>IF(P2564="","",IF(H2564="USD",G2564,IF(R2564&gt;0,G2564/R2564,0)))</f>
        <v/>
      </c>
      <c r="U2564" s="53">
        <f>IF(P2564="","",IF(P2564="Gasto",S2564,IF(P2564="Reembolso",-S2564,0)))</f>
        <v/>
      </c>
      <c r="V2564" s="53">
        <f>IF(P2564="","",IF(P2564="Ingreso",S2564,0))</f>
        <v/>
      </c>
      <c r="W2564" s="53">
        <f>IF(P2564="","",IF(P2564="Resultado trading",S2564,0))</f>
        <v/>
      </c>
      <c r="X2564" s="52">
        <f>IF(OR(P2564="Gasto",P2564="Reembolso"),IF(M2564&lt;&gt;"",M2564,IFERROR(INDEX(catClasif,MATCH(D2564&amp;"|"&amp;E2564,catClave,0))&amp;"","Variable")),"")</f>
        <v/>
      </c>
      <c r="Y2564" s="52">
        <f>IF(P2564="","",IFERROR(INDEX(catGrupo,MATCH(D2564&amp;"|"&amp;E2564,catClave,0))&amp;"",""))</f>
        <v/>
      </c>
      <c r="Z2564" s="52">
        <f>IF(P2564="","",WEEKDAY(B2564,2))</f>
        <v/>
      </c>
      <c r="AA2564" s="52">
        <f>IF(P2564="","",IF(AND(P2564="Gasto",X2564="Variable",D2564&lt;&gt;catTrading,S2564&gt;0,S2564&lt;=Umbral),1,0))</f>
        <v/>
      </c>
      <c r="AB2564" s="52">
        <f>IF(OR(P2564="",Q2564=""),"",IFERROR(IF(INDEX(ctaVinc,MATCH(Q2564,ctaNombre,0))&amp;""&lt;&gt;"",INDEX(ctaVinc,MATCH(Q2564,ctaNombre,0))&amp;"",Q2564),Q2564))</f>
        <v/>
      </c>
      <c r="AC2564" s="52">
        <f>IF(OR(K2564="",AND(P2564&lt;&gt;"Transferencia",P2564&lt;&gt;"Pago tarjeta")),"",IFERROR(IF(INDEX(ctaVinc,MATCH(K2564,ctaNombre,0))&amp;""&lt;&gt;"",INDEX(ctaVinc,MATCH(K2564,ctaNombre,0))&amp;"",K2564),K2564))</f>
        <v/>
      </c>
      <c r="AD2564" s="52">
        <f>IF(AB2564="","",IFERROR(INDEX(ctaTipo,MATCH(AB2564,ctaNombre,0))&amp;"",""))</f>
        <v/>
      </c>
      <c r="AE2564" s="52">
        <f>IF(AC2564="","",IFERROR(INDEX(ctaTipo,MATCH(AC2564,ctaNombre,0))&amp;"",""))</f>
        <v/>
      </c>
      <c r="AF2564" s="53">
        <f>IF(OR(P2564="",AB2564=""),"",IF(OR(P2564="Gasto",P2564="Transferencia",P2564="Pago tarjeta"),-1,1)*IF(IFERROR(INDEX(ctaMoneda,MATCH(AB2564,ctaNombre,0))&amp;"","DOP")="USD",T2564,S2564))</f>
        <v/>
      </c>
      <c r="AG2564" s="53">
        <f>IF(AC2564="","",IF(IFERROR(INDEX(ctaMoneda,MATCH(AC2564,ctaNombre,0))&amp;"","DOP")="USD",T2564,S2564))</f>
        <v/>
      </c>
      <c r="AH2564" s="53">
        <f>IF(P2564="","",IF(AND(AD2564&lt;&gt;"",COUNTIFS(tcTipo,AD2564,tcLiq,"Sí")&gt;0),IF(OR(P2564="Gasto",P2564="Transferencia",P2564="Pago tarjeta"),-1,1)*S2564,0)+IF(AND(AE2564&lt;&gt;"",COUNTIFS(tcTipo,AE2564,tcLiq,"Sí")&gt;0),S2564,0))</f>
        <v/>
      </c>
      <c r="AI2564" s="52">
        <f>IF(OR(L2564="",P2564=""),"",IF(COUNTIFS(L$6:L2564,L2564,P$6:P2564,"?*")=1,MAX(AI$5:AI2563)+1,""))</f>
        <v/>
      </c>
    </row>
    <row r="2565">
      <c r="B2565" s="47" t="n"/>
      <c r="C2565" s="48" t="n"/>
      <c r="D2565" s="48" t="n"/>
      <c r="E2565" s="48" t="n"/>
      <c r="F2565" s="48" t="n"/>
      <c r="G2565" s="49" t="n"/>
      <c r="H2565" s="48" t="n"/>
      <c r="I2565" s="50" t="n"/>
      <c r="J2565" s="48" t="n"/>
      <c r="K2565" s="48" t="n"/>
      <c r="L2565" s="48" t="n"/>
      <c r="M2565" s="48" t="n"/>
      <c r="N2565" s="48" t="n"/>
      <c r="O2565" s="51">
        <f>IF(AND(B2565="",G2565="",C2565="",D2565="",J2565=""),"",IF(B2565="","⚠ Falta fecha",IF(G2565="","⚠ Falta monto",IF(Q2565="","⚠ Falta cuenta",IF(ISNA(MATCH(Q2565,ctaNombre,0)),"⚠ Cuenta no registrada",IF(AND(OR(P2565="Gasto",P2565="Reembolso"),D2565=""),"⚠ Falta categoría",IF(AND(D2565&lt;&gt;"",E2565&lt;&gt;"",ISNA(MATCH(D2565&amp;"|"&amp;E2565,catClave,0))),"⚠ Subcategoría no corresponde",IF(AND(OR(P2565="Transferencia",P2565="Pago tarjeta"),K2565=""),"⚠ Falta cuenta destino",IF(AND(K2565&lt;&gt;"",P2565&lt;&gt;"Transferencia",P2565&lt;&gt;"Pago tarjeta"),"⚠ Destino solo aplica a transferencias",IF(AND(K2565&lt;&gt;"",K2565=Q2565),"⚠ Origen igual a destino",IF(AND(K2565&lt;&gt;"",ISNA(MATCH(K2565,ctaNombre,0))),"⚠ Destino no registrado",IF(AND(P2565="Pago tarjeta",AE2565&lt;&gt;"Tarjeta de crédito"),"⚠ El destino debe ser tarjeta de crédito",IF(AND(P2565="Gasto",E2565="Depósitos y retiros"),"⚠ Usa tipo Transferencia",IF(AND(P2565="Resultado trading",AD2565&lt;&gt;"Cuenta de trading"),"⚠ Usa una cuenta de trading",IF(AND(G2565&lt;=0,P2565&lt;&gt;"Ajuste",P2565&lt;&gt;"Resultado trading"),"⚠ El monto debe ser positivo","✓")))))))))))))))</f>
        <v/>
      </c>
      <c r="P2565" s="52">
        <f>IF(OR(B2565="",G2565=""),"",IF(C2565="","Gasto",C2565))</f>
        <v/>
      </c>
      <c r="Q2565" s="52">
        <f>IF(P2565="","",IF(J2565&lt;&gt;"",J2565,CuentaPred&amp;""))</f>
        <v/>
      </c>
      <c r="R2565" s="52">
        <f>IF(P2565="","",IF(ISNUMBER(I2565),I2565,TasaUSD))</f>
        <v/>
      </c>
      <c r="S2565" s="53">
        <f>IF(P2565="","",IF(H2565="USD",G2565*R2565,G2565))</f>
        <v/>
      </c>
      <c r="T2565" s="53">
        <f>IF(P2565="","",IF(H2565="USD",G2565,IF(R2565&gt;0,G2565/R2565,0)))</f>
        <v/>
      </c>
      <c r="U2565" s="53">
        <f>IF(P2565="","",IF(P2565="Gasto",S2565,IF(P2565="Reembolso",-S2565,0)))</f>
        <v/>
      </c>
      <c r="V2565" s="53">
        <f>IF(P2565="","",IF(P2565="Ingreso",S2565,0))</f>
        <v/>
      </c>
      <c r="W2565" s="53">
        <f>IF(P2565="","",IF(P2565="Resultado trading",S2565,0))</f>
        <v/>
      </c>
      <c r="X2565" s="52">
        <f>IF(OR(P2565="Gasto",P2565="Reembolso"),IF(M2565&lt;&gt;"",M2565,IFERROR(INDEX(catClasif,MATCH(D2565&amp;"|"&amp;E2565,catClave,0))&amp;"","Variable")),"")</f>
        <v/>
      </c>
      <c r="Y2565" s="52">
        <f>IF(P2565="","",IFERROR(INDEX(catGrupo,MATCH(D2565&amp;"|"&amp;E2565,catClave,0))&amp;"",""))</f>
        <v/>
      </c>
      <c r="Z2565" s="52">
        <f>IF(P2565="","",WEEKDAY(B2565,2))</f>
        <v/>
      </c>
      <c r="AA2565" s="52">
        <f>IF(P2565="","",IF(AND(P2565="Gasto",X2565="Variable",D2565&lt;&gt;catTrading,S2565&gt;0,S2565&lt;=Umbral),1,0))</f>
        <v/>
      </c>
      <c r="AB2565" s="52">
        <f>IF(OR(P2565="",Q2565=""),"",IFERROR(IF(INDEX(ctaVinc,MATCH(Q2565,ctaNombre,0))&amp;""&lt;&gt;"",INDEX(ctaVinc,MATCH(Q2565,ctaNombre,0))&amp;"",Q2565),Q2565))</f>
        <v/>
      </c>
      <c r="AC2565" s="52">
        <f>IF(OR(K2565="",AND(P2565&lt;&gt;"Transferencia",P2565&lt;&gt;"Pago tarjeta")),"",IFERROR(IF(INDEX(ctaVinc,MATCH(K2565,ctaNombre,0))&amp;""&lt;&gt;"",INDEX(ctaVinc,MATCH(K2565,ctaNombre,0))&amp;"",K2565),K2565))</f>
        <v/>
      </c>
      <c r="AD2565" s="52">
        <f>IF(AB2565="","",IFERROR(INDEX(ctaTipo,MATCH(AB2565,ctaNombre,0))&amp;"",""))</f>
        <v/>
      </c>
      <c r="AE2565" s="52">
        <f>IF(AC2565="","",IFERROR(INDEX(ctaTipo,MATCH(AC2565,ctaNombre,0))&amp;"",""))</f>
        <v/>
      </c>
      <c r="AF2565" s="53">
        <f>IF(OR(P2565="",AB2565=""),"",IF(OR(P2565="Gasto",P2565="Transferencia",P2565="Pago tarjeta"),-1,1)*IF(IFERROR(INDEX(ctaMoneda,MATCH(AB2565,ctaNombre,0))&amp;"","DOP")="USD",T2565,S2565))</f>
        <v/>
      </c>
      <c r="AG2565" s="53">
        <f>IF(AC2565="","",IF(IFERROR(INDEX(ctaMoneda,MATCH(AC2565,ctaNombre,0))&amp;"","DOP")="USD",T2565,S2565))</f>
        <v/>
      </c>
      <c r="AH2565" s="53">
        <f>IF(P2565="","",IF(AND(AD2565&lt;&gt;"",COUNTIFS(tcTipo,AD2565,tcLiq,"Sí")&gt;0),IF(OR(P2565="Gasto",P2565="Transferencia",P2565="Pago tarjeta"),-1,1)*S2565,0)+IF(AND(AE2565&lt;&gt;"",COUNTIFS(tcTipo,AE2565,tcLiq,"Sí")&gt;0),S2565,0))</f>
        <v/>
      </c>
      <c r="AI2565" s="52">
        <f>IF(OR(L2565="",P2565=""),"",IF(COUNTIFS(L$6:L2565,L2565,P$6:P2565,"?*")=1,MAX(AI$5:AI2564)+1,""))</f>
        <v/>
      </c>
    </row>
    <row r="2566">
      <c r="B2566" s="47" t="n"/>
      <c r="C2566" s="48" t="n"/>
      <c r="D2566" s="48" t="n"/>
      <c r="E2566" s="48" t="n"/>
      <c r="F2566" s="48" t="n"/>
      <c r="G2566" s="49" t="n"/>
      <c r="H2566" s="48" t="n"/>
      <c r="I2566" s="50" t="n"/>
      <c r="J2566" s="48" t="n"/>
      <c r="K2566" s="48" t="n"/>
      <c r="L2566" s="48" t="n"/>
      <c r="M2566" s="48" t="n"/>
      <c r="N2566" s="48" t="n"/>
      <c r="O2566" s="51">
        <f>IF(AND(B2566="",G2566="",C2566="",D2566="",J2566=""),"",IF(B2566="","⚠ Falta fecha",IF(G2566="","⚠ Falta monto",IF(Q2566="","⚠ Falta cuenta",IF(ISNA(MATCH(Q2566,ctaNombre,0)),"⚠ Cuenta no registrada",IF(AND(OR(P2566="Gasto",P2566="Reembolso"),D2566=""),"⚠ Falta categoría",IF(AND(D2566&lt;&gt;"",E2566&lt;&gt;"",ISNA(MATCH(D2566&amp;"|"&amp;E2566,catClave,0))),"⚠ Subcategoría no corresponde",IF(AND(OR(P2566="Transferencia",P2566="Pago tarjeta"),K2566=""),"⚠ Falta cuenta destino",IF(AND(K2566&lt;&gt;"",P2566&lt;&gt;"Transferencia",P2566&lt;&gt;"Pago tarjeta"),"⚠ Destino solo aplica a transferencias",IF(AND(K2566&lt;&gt;"",K2566=Q2566),"⚠ Origen igual a destino",IF(AND(K2566&lt;&gt;"",ISNA(MATCH(K2566,ctaNombre,0))),"⚠ Destino no registrado",IF(AND(P2566="Pago tarjeta",AE2566&lt;&gt;"Tarjeta de crédito"),"⚠ El destino debe ser tarjeta de crédito",IF(AND(P2566="Gasto",E2566="Depósitos y retiros"),"⚠ Usa tipo Transferencia",IF(AND(P2566="Resultado trading",AD2566&lt;&gt;"Cuenta de trading"),"⚠ Usa una cuenta de trading",IF(AND(G2566&lt;=0,P2566&lt;&gt;"Ajuste",P2566&lt;&gt;"Resultado trading"),"⚠ El monto debe ser positivo","✓")))))))))))))))</f>
        <v/>
      </c>
      <c r="P2566" s="52">
        <f>IF(OR(B2566="",G2566=""),"",IF(C2566="","Gasto",C2566))</f>
        <v/>
      </c>
      <c r="Q2566" s="52">
        <f>IF(P2566="","",IF(J2566&lt;&gt;"",J2566,CuentaPred&amp;""))</f>
        <v/>
      </c>
      <c r="R2566" s="52">
        <f>IF(P2566="","",IF(ISNUMBER(I2566),I2566,TasaUSD))</f>
        <v/>
      </c>
      <c r="S2566" s="53">
        <f>IF(P2566="","",IF(H2566="USD",G2566*R2566,G2566))</f>
        <v/>
      </c>
      <c r="T2566" s="53">
        <f>IF(P2566="","",IF(H2566="USD",G2566,IF(R2566&gt;0,G2566/R2566,0)))</f>
        <v/>
      </c>
      <c r="U2566" s="53">
        <f>IF(P2566="","",IF(P2566="Gasto",S2566,IF(P2566="Reembolso",-S2566,0)))</f>
        <v/>
      </c>
      <c r="V2566" s="53">
        <f>IF(P2566="","",IF(P2566="Ingreso",S2566,0))</f>
        <v/>
      </c>
      <c r="W2566" s="53">
        <f>IF(P2566="","",IF(P2566="Resultado trading",S2566,0))</f>
        <v/>
      </c>
      <c r="X2566" s="52">
        <f>IF(OR(P2566="Gasto",P2566="Reembolso"),IF(M2566&lt;&gt;"",M2566,IFERROR(INDEX(catClasif,MATCH(D2566&amp;"|"&amp;E2566,catClave,0))&amp;"","Variable")),"")</f>
        <v/>
      </c>
      <c r="Y2566" s="52">
        <f>IF(P2566="","",IFERROR(INDEX(catGrupo,MATCH(D2566&amp;"|"&amp;E2566,catClave,0))&amp;"",""))</f>
        <v/>
      </c>
      <c r="Z2566" s="52">
        <f>IF(P2566="","",WEEKDAY(B2566,2))</f>
        <v/>
      </c>
      <c r="AA2566" s="52">
        <f>IF(P2566="","",IF(AND(P2566="Gasto",X2566="Variable",D2566&lt;&gt;catTrading,S2566&gt;0,S2566&lt;=Umbral),1,0))</f>
        <v/>
      </c>
      <c r="AB2566" s="52">
        <f>IF(OR(P2566="",Q2566=""),"",IFERROR(IF(INDEX(ctaVinc,MATCH(Q2566,ctaNombre,0))&amp;""&lt;&gt;"",INDEX(ctaVinc,MATCH(Q2566,ctaNombre,0))&amp;"",Q2566),Q2566))</f>
        <v/>
      </c>
      <c r="AC2566" s="52">
        <f>IF(OR(K2566="",AND(P2566&lt;&gt;"Transferencia",P2566&lt;&gt;"Pago tarjeta")),"",IFERROR(IF(INDEX(ctaVinc,MATCH(K2566,ctaNombre,0))&amp;""&lt;&gt;"",INDEX(ctaVinc,MATCH(K2566,ctaNombre,0))&amp;"",K2566),K2566))</f>
        <v/>
      </c>
      <c r="AD2566" s="52">
        <f>IF(AB2566="","",IFERROR(INDEX(ctaTipo,MATCH(AB2566,ctaNombre,0))&amp;"",""))</f>
        <v/>
      </c>
      <c r="AE2566" s="52">
        <f>IF(AC2566="","",IFERROR(INDEX(ctaTipo,MATCH(AC2566,ctaNombre,0))&amp;"",""))</f>
        <v/>
      </c>
      <c r="AF2566" s="53">
        <f>IF(OR(P2566="",AB2566=""),"",IF(OR(P2566="Gasto",P2566="Transferencia",P2566="Pago tarjeta"),-1,1)*IF(IFERROR(INDEX(ctaMoneda,MATCH(AB2566,ctaNombre,0))&amp;"","DOP")="USD",T2566,S2566))</f>
        <v/>
      </c>
      <c r="AG2566" s="53">
        <f>IF(AC2566="","",IF(IFERROR(INDEX(ctaMoneda,MATCH(AC2566,ctaNombre,0))&amp;"","DOP")="USD",T2566,S2566))</f>
        <v/>
      </c>
      <c r="AH2566" s="53">
        <f>IF(P2566="","",IF(AND(AD2566&lt;&gt;"",COUNTIFS(tcTipo,AD2566,tcLiq,"Sí")&gt;0),IF(OR(P2566="Gasto",P2566="Transferencia",P2566="Pago tarjeta"),-1,1)*S2566,0)+IF(AND(AE2566&lt;&gt;"",COUNTIFS(tcTipo,AE2566,tcLiq,"Sí")&gt;0),S2566,0))</f>
        <v/>
      </c>
      <c r="AI2566" s="52">
        <f>IF(OR(L2566="",P2566=""),"",IF(COUNTIFS(L$6:L2566,L2566,P$6:P2566,"?*")=1,MAX(AI$5:AI2565)+1,""))</f>
        <v/>
      </c>
    </row>
    <row r="2567">
      <c r="B2567" s="47" t="n"/>
      <c r="C2567" s="48" t="n"/>
      <c r="D2567" s="48" t="n"/>
      <c r="E2567" s="48" t="n"/>
      <c r="F2567" s="48" t="n"/>
      <c r="G2567" s="49" t="n"/>
      <c r="H2567" s="48" t="n"/>
      <c r="I2567" s="50" t="n"/>
      <c r="J2567" s="48" t="n"/>
      <c r="K2567" s="48" t="n"/>
      <c r="L2567" s="48" t="n"/>
      <c r="M2567" s="48" t="n"/>
      <c r="N2567" s="48" t="n"/>
      <c r="O2567" s="51">
        <f>IF(AND(B2567="",G2567="",C2567="",D2567="",J2567=""),"",IF(B2567="","⚠ Falta fecha",IF(G2567="","⚠ Falta monto",IF(Q2567="","⚠ Falta cuenta",IF(ISNA(MATCH(Q2567,ctaNombre,0)),"⚠ Cuenta no registrada",IF(AND(OR(P2567="Gasto",P2567="Reembolso"),D2567=""),"⚠ Falta categoría",IF(AND(D2567&lt;&gt;"",E2567&lt;&gt;"",ISNA(MATCH(D2567&amp;"|"&amp;E2567,catClave,0))),"⚠ Subcategoría no corresponde",IF(AND(OR(P2567="Transferencia",P2567="Pago tarjeta"),K2567=""),"⚠ Falta cuenta destino",IF(AND(K2567&lt;&gt;"",P2567&lt;&gt;"Transferencia",P2567&lt;&gt;"Pago tarjeta"),"⚠ Destino solo aplica a transferencias",IF(AND(K2567&lt;&gt;"",K2567=Q2567),"⚠ Origen igual a destino",IF(AND(K2567&lt;&gt;"",ISNA(MATCH(K2567,ctaNombre,0))),"⚠ Destino no registrado",IF(AND(P2567="Pago tarjeta",AE2567&lt;&gt;"Tarjeta de crédito"),"⚠ El destino debe ser tarjeta de crédito",IF(AND(P2567="Gasto",E2567="Depósitos y retiros"),"⚠ Usa tipo Transferencia",IF(AND(P2567="Resultado trading",AD2567&lt;&gt;"Cuenta de trading"),"⚠ Usa una cuenta de trading",IF(AND(G2567&lt;=0,P2567&lt;&gt;"Ajuste",P2567&lt;&gt;"Resultado trading"),"⚠ El monto debe ser positivo","✓")))))))))))))))</f>
        <v/>
      </c>
      <c r="P2567" s="52">
        <f>IF(OR(B2567="",G2567=""),"",IF(C2567="","Gasto",C2567))</f>
        <v/>
      </c>
      <c r="Q2567" s="52">
        <f>IF(P2567="","",IF(J2567&lt;&gt;"",J2567,CuentaPred&amp;""))</f>
        <v/>
      </c>
      <c r="R2567" s="52">
        <f>IF(P2567="","",IF(ISNUMBER(I2567),I2567,TasaUSD))</f>
        <v/>
      </c>
      <c r="S2567" s="53">
        <f>IF(P2567="","",IF(H2567="USD",G2567*R2567,G2567))</f>
        <v/>
      </c>
      <c r="T2567" s="53">
        <f>IF(P2567="","",IF(H2567="USD",G2567,IF(R2567&gt;0,G2567/R2567,0)))</f>
        <v/>
      </c>
      <c r="U2567" s="53">
        <f>IF(P2567="","",IF(P2567="Gasto",S2567,IF(P2567="Reembolso",-S2567,0)))</f>
        <v/>
      </c>
      <c r="V2567" s="53">
        <f>IF(P2567="","",IF(P2567="Ingreso",S2567,0))</f>
        <v/>
      </c>
      <c r="W2567" s="53">
        <f>IF(P2567="","",IF(P2567="Resultado trading",S2567,0))</f>
        <v/>
      </c>
      <c r="X2567" s="52">
        <f>IF(OR(P2567="Gasto",P2567="Reembolso"),IF(M2567&lt;&gt;"",M2567,IFERROR(INDEX(catClasif,MATCH(D2567&amp;"|"&amp;E2567,catClave,0))&amp;"","Variable")),"")</f>
        <v/>
      </c>
      <c r="Y2567" s="52">
        <f>IF(P2567="","",IFERROR(INDEX(catGrupo,MATCH(D2567&amp;"|"&amp;E2567,catClave,0))&amp;"",""))</f>
        <v/>
      </c>
      <c r="Z2567" s="52">
        <f>IF(P2567="","",WEEKDAY(B2567,2))</f>
        <v/>
      </c>
      <c r="AA2567" s="52">
        <f>IF(P2567="","",IF(AND(P2567="Gasto",X2567="Variable",D2567&lt;&gt;catTrading,S2567&gt;0,S2567&lt;=Umbral),1,0))</f>
        <v/>
      </c>
      <c r="AB2567" s="52">
        <f>IF(OR(P2567="",Q2567=""),"",IFERROR(IF(INDEX(ctaVinc,MATCH(Q2567,ctaNombre,0))&amp;""&lt;&gt;"",INDEX(ctaVinc,MATCH(Q2567,ctaNombre,0))&amp;"",Q2567),Q2567))</f>
        <v/>
      </c>
      <c r="AC2567" s="52">
        <f>IF(OR(K2567="",AND(P2567&lt;&gt;"Transferencia",P2567&lt;&gt;"Pago tarjeta")),"",IFERROR(IF(INDEX(ctaVinc,MATCH(K2567,ctaNombre,0))&amp;""&lt;&gt;"",INDEX(ctaVinc,MATCH(K2567,ctaNombre,0))&amp;"",K2567),K2567))</f>
        <v/>
      </c>
      <c r="AD2567" s="52">
        <f>IF(AB2567="","",IFERROR(INDEX(ctaTipo,MATCH(AB2567,ctaNombre,0))&amp;"",""))</f>
        <v/>
      </c>
      <c r="AE2567" s="52">
        <f>IF(AC2567="","",IFERROR(INDEX(ctaTipo,MATCH(AC2567,ctaNombre,0))&amp;"",""))</f>
        <v/>
      </c>
      <c r="AF2567" s="53">
        <f>IF(OR(P2567="",AB2567=""),"",IF(OR(P2567="Gasto",P2567="Transferencia",P2567="Pago tarjeta"),-1,1)*IF(IFERROR(INDEX(ctaMoneda,MATCH(AB2567,ctaNombre,0))&amp;"","DOP")="USD",T2567,S2567))</f>
        <v/>
      </c>
      <c r="AG2567" s="53">
        <f>IF(AC2567="","",IF(IFERROR(INDEX(ctaMoneda,MATCH(AC2567,ctaNombre,0))&amp;"","DOP")="USD",T2567,S2567))</f>
        <v/>
      </c>
      <c r="AH2567" s="53">
        <f>IF(P2567="","",IF(AND(AD2567&lt;&gt;"",COUNTIFS(tcTipo,AD2567,tcLiq,"Sí")&gt;0),IF(OR(P2567="Gasto",P2567="Transferencia",P2567="Pago tarjeta"),-1,1)*S2567,0)+IF(AND(AE2567&lt;&gt;"",COUNTIFS(tcTipo,AE2567,tcLiq,"Sí")&gt;0),S2567,0))</f>
        <v/>
      </c>
      <c r="AI2567" s="52">
        <f>IF(OR(L2567="",P2567=""),"",IF(COUNTIFS(L$6:L2567,L2567,P$6:P2567,"?*")=1,MAX(AI$5:AI2566)+1,""))</f>
        <v/>
      </c>
    </row>
    <row r="2568">
      <c r="B2568" s="47" t="n"/>
      <c r="C2568" s="48" t="n"/>
      <c r="D2568" s="48" t="n"/>
      <c r="E2568" s="48" t="n"/>
      <c r="F2568" s="48" t="n"/>
      <c r="G2568" s="49" t="n"/>
      <c r="H2568" s="48" t="n"/>
      <c r="I2568" s="50" t="n"/>
      <c r="J2568" s="48" t="n"/>
      <c r="K2568" s="48" t="n"/>
      <c r="L2568" s="48" t="n"/>
      <c r="M2568" s="48" t="n"/>
      <c r="N2568" s="48" t="n"/>
      <c r="O2568" s="51">
        <f>IF(AND(B2568="",G2568="",C2568="",D2568="",J2568=""),"",IF(B2568="","⚠ Falta fecha",IF(G2568="","⚠ Falta monto",IF(Q2568="","⚠ Falta cuenta",IF(ISNA(MATCH(Q2568,ctaNombre,0)),"⚠ Cuenta no registrada",IF(AND(OR(P2568="Gasto",P2568="Reembolso"),D2568=""),"⚠ Falta categoría",IF(AND(D2568&lt;&gt;"",E2568&lt;&gt;"",ISNA(MATCH(D2568&amp;"|"&amp;E2568,catClave,0))),"⚠ Subcategoría no corresponde",IF(AND(OR(P2568="Transferencia",P2568="Pago tarjeta"),K2568=""),"⚠ Falta cuenta destino",IF(AND(K2568&lt;&gt;"",P2568&lt;&gt;"Transferencia",P2568&lt;&gt;"Pago tarjeta"),"⚠ Destino solo aplica a transferencias",IF(AND(K2568&lt;&gt;"",K2568=Q2568),"⚠ Origen igual a destino",IF(AND(K2568&lt;&gt;"",ISNA(MATCH(K2568,ctaNombre,0))),"⚠ Destino no registrado",IF(AND(P2568="Pago tarjeta",AE2568&lt;&gt;"Tarjeta de crédito"),"⚠ El destino debe ser tarjeta de crédito",IF(AND(P2568="Gasto",E2568="Depósitos y retiros"),"⚠ Usa tipo Transferencia",IF(AND(P2568="Resultado trading",AD2568&lt;&gt;"Cuenta de trading"),"⚠ Usa una cuenta de trading",IF(AND(G2568&lt;=0,P2568&lt;&gt;"Ajuste",P2568&lt;&gt;"Resultado trading"),"⚠ El monto debe ser positivo","✓")))))))))))))))</f>
        <v/>
      </c>
      <c r="P2568" s="52">
        <f>IF(OR(B2568="",G2568=""),"",IF(C2568="","Gasto",C2568))</f>
        <v/>
      </c>
      <c r="Q2568" s="52">
        <f>IF(P2568="","",IF(J2568&lt;&gt;"",J2568,CuentaPred&amp;""))</f>
        <v/>
      </c>
      <c r="R2568" s="52">
        <f>IF(P2568="","",IF(ISNUMBER(I2568),I2568,TasaUSD))</f>
        <v/>
      </c>
      <c r="S2568" s="53">
        <f>IF(P2568="","",IF(H2568="USD",G2568*R2568,G2568))</f>
        <v/>
      </c>
      <c r="T2568" s="53">
        <f>IF(P2568="","",IF(H2568="USD",G2568,IF(R2568&gt;0,G2568/R2568,0)))</f>
        <v/>
      </c>
      <c r="U2568" s="53">
        <f>IF(P2568="","",IF(P2568="Gasto",S2568,IF(P2568="Reembolso",-S2568,0)))</f>
        <v/>
      </c>
      <c r="V2568" s="53">
        <f>IF(P2568="","",IF(P2568="Ingreso",S2568,0))</f>
        <v/>
      </c>
      <c r="W2568" s="53">
        <f>IF(P2568="","",IF(P2568="Resultado trading",S2568,0))</f>
        <v/>
      </c>
      <c r="X2568" s="52">
        <f>IF(OR(P2568="Gasto",P2568="Reembolso"),IF(M2568&lt;&gt;"",M2568,IFERROR(INDEX(catClasif,MATCH(D2568&amp;"|"&amp;E2568,catClave,0))&amp;"","Variable")),"")</f>
        <v/>
      </c>
      <c r="Y2568" s="52">
        <f>IF(P2568="","",IFERROR(INDEX(catGrupo,MATCH(D2568&amp;"|"&amp;E2568,catClave,0))&amp;"",""))</f>
        <v/>
      </c>
      <c r="Z2568" s="52">
        <f>IF(P2568="","",WEEKDAY(B2568,2))</f>
        <v/>
      </c>
      <c r="AA2568" s="52">
        <f>IF(P2568="","",IF(AND(P2568="Gasto",X2568="Variable",D2568&lt;&gt;catTrading,S2568&gt;0,S2568&lt;=Umbral),1,0))</f>
        <v/>
      </c>
      <c r="AB2568" s="52">
        <f>IF(OR(P2568="",Q2568=""),"",IFERROR(IF(INDEX(ctaVinc,MATCH(Q2568,ctaNombre,0))&amp;""&lt;&gt;"",INDEX(ctaVinc,MATCH(Q2568,ctaNombre,0))&amp;"",Q2568),Q2568))</f>
        <v/>
      </c>
      <c r="AC2568" s="52">
        <f>IF(OR(K2568="",AND(P2568&lt;&gt;"Transferencia",P2568&lt;&gt;"Pago tarjeta")),"",IFERROR(IF(INDEX(ctaVinc,MATCH(K2568,ctaNombre,0))&amp;""&lt;&gt;"",INDEX(ctaVinc,MATCH(K2568,ctaNombre,0))&amp;"",K2568),K2568))</f>
        <v/>
      </c>
      <c r="AD2568" s="52">
        <f>IF(AB2568="","",IFERROR(INDEX(ctaTipo,MATCH(AB2568,ctaNombre,0))&amp;"",""))</f>
        <v/>
      </c>
      <c r="AE2568" s="52">
        <f>IF(AC2568="","",IFERROR(INDEX(ctaTipo,MATCH(AC2568,ctaNombre,0))&amp;"",""))</f>
        <v/>
      </c>
      <c r="AF2568" s="53">
        <f>IF(OR(P2568="",AB2568=""),"",IF(OR(P2568="Gasto",P2568="Transferencia",P2568="Pago tarjeta"),-1,1)*IF(IFERROR(INDEX(ctaMoneda,MATCH(AB2568,ctaNombre,0))&amp;"","DOP")="USD",T2568,S2568))</f>
        <v/>
      </c>
      <c r="AG2568" s="53">
        <f>IF(AC2568="","",IF(IFERROR(INDEX(ctaMoneda,MATCH(AC2568,ctaNombre,0))&amp;"","DOP")="USD",T2568,S2568))</f>
        <v/>
      </c>
      <c r="AH2568" s="53">
        <f>IF(P2568="","",IF(AND(AD2568&lt;&gt;"",COUNTIFS(tcTipo,AD2568,tcLiq,"Sí")&gt;0),IF(OR(P2568="Gasto",P2568="Transferencia",P2568="Pago tarjeta"),-1,1)*S2568,0)+IF(AND(AE2568&lt;&gt;"",COUNTIFS(tcTipo,AE2568,tcLiq,"Sí")&gt;0),S2568,0))</f>
        <v/>
      </c>
      <c r="AI2568" s="52">
        <f>IF(OR(L2568="",P2568=""),"",IF(COUNTIFS(L$6:L2568,L2568,P$6:P2568,"?*")=1,MAX(AI$5:AI2567)+1,""))</f>
        <v/>
      </c>
    </row>
    <row r="2569">
      <c r="B2569" s="47" t="n"/>
      <c r="C2569" s="48" t="n"/>
      <c r="D2569" s="48" t="n"/>
      <c r="E2569" s="48" t="n"/>
      <c r="F2569" s="48" t="n"/>
      <c r="G2569" s="49" t="n"/>
      <c r="H2569" s="48" t="n"/>
      <c r="I2569" s="50" t="n"/>
      <c r="J2569" s="48" t="n"/>
      <c r="K2569" s="48" t="n"/>
      <c r="L2569" s="48" t="n"/>
      <c r="M2569" s="48" t="n"/>
      <c r="N2569" s="48" t="n"/>
      <c r="O2569" s="51">
        <f>IF(AND(B2569="",G2569="",C2569="",D2569="",J2569=""),"",IF(B2569="","⚠ Falta fecha",IF(G2569="","⚠ Falta monto",IF(Q2569="","⚠ Falta cuenta",IF(ISNA(MATCH(Q2569,ctaNombre,0)),"⚠ Cuenta no registrada",IF(AND(OR(P2569="Gasto",P2569="Reembolso"),D2569=""),"⚠ Falta categoría",IF(AND(D2569&lt;&gt;"",E2569&lt;&gt;"",ISNA(MATCH(D2569&amp;"|"&amp;E2569,catClave,0))),"⚠ Subcategoría no corresponde",IF(AND(OR(P2569="Transferencia",P2569="Pago tarjeta"),K2569=""),"⚠ Falta cuenta destino",IF(AND(K2569&lt;&gt;"",P2569&lt;&gt;"Transferencia",P2569&lt;&gt;"Pago tarjeta"),"⚠ Destino solo aplica a transferencias",IF(AND(K2569&lt;&gt;"",K2569=Q2569),"⚠ Origen igual a destino",IF(AND(K2569&lt;&gt;"",ISNA(MATCH(K2569,ctaNombre,0))),"⚠ Destino no registrado",IF(AND(P2569="Pago tarjeta",AE2569&lt;&gt;"Tarjeta de crédito"),"⚠ El destino debe ser tarjeta de crédito",IF(AND(P2569="Gasto",E2569="Depósitos y retiros"),"⚠ Usa tipo Transferencia",IF(AND(P2569="Resultado trading",AD2569&lt;&gt;"Cuenta de trading"),"⚠ Usa una cuenta de trading",IF(AND(G2569&lt;=0,P2569&lt;&gt;"Ajuste",P2569&lt;&gt;"Resultado trading"),"⚠ El monto debe ser positivo","✓")))))))))))))))</f>
        <v/>
      </c>
      <c r="P2569" s="52">
        <f>IF(OR(B2569="",G2569=""),"",IF(C2569="","Gasto",C2569))</f>
        <v/>
      </c>
      <c r="Q2569" s="52">
        <f>IF(P2569="","",IF(J2569&lt;&gt;"",J2569,CuentaPred&amp;""))</f>
        <v/>
      </c>
      <c r="R2569" s="52">
        <f>IF(P2569="","",IF(ISNUMBER(I2569),I2569,TasaUSD))</f>
        <v/>
      </c>
      <c r="S2569" s="53">
        <f>IF(P2569="","",IF(H2569="USD",G2569*R2569,G2569))</f>
        <v/>
      </c>
      <c r="T2569" s="53">
        <f>IF(P2569="","",IF(H2569="USD",G2569,IF(R2569&gt;0,G2569/R2569,0)))</f>
        <v/>
      </c>
      <c r="U2569" s="53">
        <f>IF(P2569="","",IF(P2569="Gasto",S2569,IF(P2569="Reembolso",-S2569,0)))</f>
        <v/>
      </c>
      <c r="V2569" s="53">
        <f>IF(P2569="","",IF(P2569="Ingreso",S2569,0))</f>
        <v/>
      </c>
      <c r="W2569" s="53">
        <f>IF(P2569="","",IF(P2569="Resultado trading",S2569,0))</f>
        <v/>
      </c>
      <c r="X2569" s="52">
        <f>IF(OR(P2569="Gasto",P2569="Reembolso"),IF(M2569&lt;&gt;"",M2569,IFERROR(INDEX(catClasif,MATCH(D2569&amp;"|"&amp;E2569,catClave,0))&amp;"","Variable")),"")</f>
        <v/>
      </c>
      <c r="Y2569" s="52">
        <f>IF(P2569="","",IFERROR(INDEX(catGrupo,MATCH(D2569&amp;"|"&amp;E2569,catClave,0))&amp;"",""))</f>
        <v/>
      </c>
      <c r="Z2569" s="52">
        <f>IF(P2569="","",WEEKDAY(B2569,2))</f>
        <v/>
      </c>
      <c r="AA2569" s="52">
        <f>IF(P2569="","",IF(AND(P2569="Gasto",X2569="Variable",D2569&lt;&gt;catTrading,S2569&gt;0,S2569&lt;=Umbral),1,0))</f>
        <v/>
      </c>
      <c r="AB2569" s="52">
        <f>IF(OR(P2569="",Q2569=""),"",IFERROR(IF(INDEX(ctaVinc,MATCH(Q2569,ctaNombre,0))&amp;""&lt;&gt;"",INDEX(ctaVinc,MATCH(Q2569,ctaNombre,0))&amp;"",Q2569),Q2569))</f>
        <v/>
      </c>
      <c r="AC2569" s="52">
        <f>IF(OR(K2569="",AND(P2569&lt;&gt;"Transferencia",P2569&lt;&gt;"Pago tarjeta")),"",IFERROR(IF(INDEX(ctaVinc,MATCH(K2569,ctaNombre,0))&amp;""&lt;&gt;"",INDEX(ctaVinc,MATCH(K2569,ctaNombre,0))&amp;"",K2569),K2569))</f>
        <v/>
      </c>
      <c r="AD2569" s="52">
        <f>IF(AB2569="","",IFERROR(INDEX(ctaTipo,MATCH(AB2569,ctaNombre,0))&amp;"",""))</f>
        <v/>
      </c>
      <c r="AE2569" s="52">
        <f>IF(AC2569="","",IFERROR(INDEX(ctaTipo,MATCH(AC2569,ctaNombre,0))&amp;"",""))</f>
        <v/>
      </c>
      <c r="AF2569" s="53">
        <f>IF(OR(P2569="",AB2569=""),"",IF(OR(P2569="Gasto",P2569="Transferencia",P2569="Pago tarjeta"),-1,1)*IF(IFERROR(INDEX(ctaMoneda,MATCH(AB2569,ctaNombre,0))&amp;"","DOP")="USD",T2569,S2569))</f>
        <v/>
      </c>
      <c r="AG2569" s="53">
        <f>IF(AC2569="","",IF(IFERROR(INDEX(ctaMoneda,MATCH(AC2569,ctaNombre,0))&amp;"","DOP")="USD",T2569,S2569))</f>
        <v/>
      </c>
      <c r="AH2569" s="53">
        <f>IF(P2569="","",IF(AND(AD2569&lt;&gt;"",COUNTIFS(tcTipo,AD2569,tcLiq,"Sí")&gt;0),IF(OR(P2569="Gasto",P2569="Transferencia",P2569="Pago tarjeta"),-1,1)*S2569,0)+IF(AND(AE2569&lt;&gt;"",COUNTIFS(tcTipo,AE2569,tcLiq,"Sí")&gt;0),S2569,0))</f>
        <v/>
      </c>
      <c r="AI2569" s="52">
        <f>IF(OR(L2569="",P2569=""),"",IF(COUNTIFS(L$6:L2569,L2569,P$6:P2569,"?*")=1,MAX(AI$5:AI2568)+1,""))</f>
        <v/>
      </c>
    </row>
    <row r="2570">
      <c r="B2570" s="47" t="n"/>
      <c r="C2570" s="48" t="n"/>
      <c r="D2570" s="48" t="n"/>
      <c r="E2570" s="48" t="n"/>
      <c r="F2570" s="48" t="n"/>
      <c r="G2570" s="49" t="n"/>
      <c r="H2570" s="48" t="n"/>
      <c r="I2570" s="50" t="n"/>
      <c r="J2570" s="48" t="n"/>
      <c r="K2570" s="48" t="n"/>
      <c r="L2570" s="48" t="n"/>
      <c r="M2570" s="48" t="n"/>
      <c r="N2570" s="48" t="n"/>
      <c r="O2570" s="51">
        <f>IF(AND(B2570="",G2570="",C2570="",D2570="",J2570=""),"",IF(B2570="","⚠ Falta fecha",IF(G2570="","⚠ Falta monto",IF(Q2570="","⚠ Falta cuenta",IF(ISNA(MATCH(Q2570,ctaNombre,0)),"⚠ Cuenta no registrada",IF(AND(OR(P2570="Gasto",P2570="Reembolso"),D2570=""),"⚠ Falta categoría",IF(AND(D2570&lt;&gt;"",E2570&lt;&gt;"",ISNA(MATCH(D2570&amp;"|"&amp;E2570,catClave,0))),"⚠ Subcategoría no corresponde",IF(AND(OR(P2570="Transferencia",P2570="Pago tarjeta"),K2570=""),"⚠ Falta cuenta destino",IF(AND(K2570&lt;&gt;"",P2570&lt;&gt;"Transferencia",P2570&lt;&gt;"Pago tarjeta"),"⚠ Destino solo aplica a transferencias",IF(AND(K2570&lt;&gt;"",K2570=Q2570),"⚠ Origen igual a destino",IF(AND(K2570&lt;&gt;"",ISNA(MATCH(K2570,ctaNombre,0))),"⚠ Destino no registrado",IF(AND(P2570="Pago tarjeta",AE2570&lt;&gt;"Tarjeta de crédito"),"⚠ El destino debe ser tarjeta de crédito",IF(AND(P2570="Gasto",E2570="Depósitos y retiros"),"⚠ Usa tipo Transferencia",IF(AND(P2570="Resultado trading",AD2570&lt;&gt;"Cuenta de trading"),"⚠ Usa una cuenta de trading",IF(AND(G2570&lt;=0,P2570&lt;&gt;"Ajuste",P2570&lt;&gt;"Resultado trading"),"⚠ El monto debe ser positivo","✓")))))))))))))))</f>
        <v/>
      </c>
      <c r="P2570" s="52">
        <f>IF(OR(B2570="",G2570=""),"",IF(C2570="","Gasto",C2570))</f>
        <v/>
      </c>
      <c r="Q2570" s="52">
        <f>IF(P2570="","",IF(J2570&lt;&gt;"",J2570,CuentaPred&amp;""))</f>
        <v/>
      </c>
      <c r="R2570" s="52">
        <f>IF(P2570="","",IF(ISNUMBER(I2570),I2570,TasaUSD))</f>
        <v/>
      </c>
      <c r="S2570" s="53">
        <f>IF(P2570="","",IF(H2570="USD",G2570*R2570,G2570))</f>
        <v/>
      </c>
      <c r="T2570" s="53">
        <f>IF(P2570="","",IF(H2570="USD",G2570,IF(R2570&gt;0,G2570/R2570,0)))</f>
        <v/>
      </c>
      <c r="U2570" s="53">
        <f>IF(P2570="","",IF(P2570="Gasto",S2570,IF(P2570="Reembolso",-S2570,0)))</f>
        <v/>
      </c>
      <c r="V2570" s="53">
        <f>IF(P2570="","",IF(P2570="Ingreso",S2570,0))</f>
        <v/>
      </c>
      <c r="W2570" s="53">
        <f>IF(P2570="","",IF(P2570="Resultado trading",S2570,0))</f>
        <v/>
      </c>
      <c r="X2570" s="52">
        <f>IF(OR(P2570="Gasto",P2570="Reembolso"),IF(M2570&lt;&gt;"",M2570,IFERROR(INDEX(catClasif,MATCH(D2570&amp;"|"&amp;E2570,catClave,0))&amp;"","Variable")),"")</f>
        <v/>
      </c>
      <c r="Y2570" s="52">
        <f>IF(P2570="","",IFERROR(INDEX(catGrupo,MATCH(D2570&amp;"|"&amp;E2570,catClave,0))&amp;"",""))</f>
        <v/>
      </c>
      <c r="Z2570" s="52">
        <f>IF(P2570="","",WEEKDAY(B2570,2))</f>
        <v/>
      </c>
      <c r="AA2570" s="52">
        <f>IF(P2570="","",IF(AND(P2570="Gasto",X2570="Variable",D2570&lt;&gt;catTrading,S2570&gt;0,S2570&lt;=Umbral),1,0))</f>
        <v/>
      </c>
      <c r="AB2570" s="52">
        <f>IF(OR(P2570="",Q2570=""),"",IFERROR(IF(INDEX(ctaVinc,MATCH(Q2570,ctaNombre,0))&amp;""&lt;&gt;"",INDEX(ctaVinc,MATCH(Q2570,ctaNombre,0))&amp;"",Q2570),Q2570))</f>
        <v/>
      </c>
      <c r="AC2570" s="52">
        <f>IF(OR(K2570="",AND(P2570&lt;&gt;"Transferencia",P2570&lt;&gt;"Pago tarjeta")),"",IFERROR(IF(INDEX(ctaVinc,MATCH(K2570,ctaNombre,0))&amp;""&lt;&gt;"",INDEX(ctaVinc,MATCH(K2570,ctaNombre,0))&amp;"",K2570),K2570))</f>
        <v/>
      </c>
      <c r="AD2570" s="52">
        <f>IF(AB2570="","",IFERROR(INDEX(ctaTipo,MATCH(AB2570,ctaNombre,0))&amp;"",""))</f>
        <v/>
      </c>
      <c r="AE2570" s="52">
        <f>IF(AC2570="","",IFERROR(INDEX(ctaTipo,MATCH(AC2570,ctaNombre,0))&amp;"",""))</f>
        <v/>
      </c>
      <c r="AF2570" s="53">
        <f>IF(OR(P2570="",AB2570=""),"",IF(OR(P2570="Gasto",P2570="Transferencia",P2570="Pago tarjeta"),-1,1)*IF(IFERROR(INDEX(ctaMoneda,MATCH(AB2570,ctaNombre,0))&amp;"","DOP")="USD",T2570,S2570))</f>
        <v/>
      </c>
      <c r="AG2570" s="53">
        <f>IF(AC2570="","",IF(IFERROR(INDEX(ctaMoneda,MATCH(AC2570,ctaNombre,0))&amp;"","DOP")="USD",T2570,S2570))</f>
        <v/>
      </c>
      <c r="AH2570" s="53">
        <f>IF(P2570="","",IF(AND(AD2570&lt;&gt;"",COUNTIFS(tcTipo,AD2570,tcLiq,"Sí")&gt;0),IF(OR(P2570="Gasto",P2570="Transferencia",P2570="Pago tarjeta"),-1,1)*S2570,0)+IF(AND(AE2570&lt;&gt;"",COUNTIFS(tcTipo,AE2570,tcLiq,"Sí")&gt;0),S2570,0))</f>
        <v/>
      </c>
      <c r="AI2570" s="52">
        <f>IF(OR(L2570="",P2570=""),"",IF(COUNTIFS(L$6:L2570,L2570,P$6:P2570,"?*")=1,MAX(AI$5:AI2569)+1,""))</f>
        <v/>
      </c>
    </row>
    <row r="2571">
      <c r="B2571" s="47" t="n"/>
      <c r="C2571" s="48" t="n"/>
      <c r="D2571" s="48" t="n"/>
      <c r="E2571" s="48" t="n"/>
      <c r="F2571" s="48" t="n"/>
      <c r="G2571" s="49" t="n"/>
      <c r="H2571" s="48" t="n"/>
      <c r="I2571" s="50" t="n"/>
      <c r="J2571" s="48" t="n"/>
      <c r="K2571" s="48" t="n"/>
      <c r="L2571" s="48" t="n"/>
      <c r="M2571" s="48" t="n"/>
      <c r="N2571" s="48" t="n"/>
      <c r="O2571" s="51">
        <f>IF(AND(B2571="",G2571="",C2571="",D2571="",J2571=""),"",IF(B2571="","⚠ Falta fecha",IF(G2571="","⚠ Falta monto",IF(Q2571="","⚠ Falta cuenta",IF(ISNA(MATCH(Q2571,ctaNombre,0)),"⚠ Cuenta no registrada",IF(AND(OR(P2571="Gasto",P2571="Reembolso"),D2571=""),"⚠ Falta categoría",IF(AND(D2571&lt;&gt;"",E2571&lt;&gt;"",ISNA(MATCH(D2571&amp;"|"&amp;E2571,catClave,0))),"⚠ Subcategoría no corresponde",IF(AND(OR(P2571="Transferencia",P2571="Pago tarjeta"),K2571=""),"⚠ Falta cuenta destino",IF(AND(K2571&lt;&gt;"",P2571&lt;&gt;"Transferencia",P2571&lt;&gt;"Pago tarjeta"),"⚠ Destino solo aplica a transferencias",IF(AND(K2571&lt;&gt;"",K2571=Q2571),"⚠ Origen igual a destino",IF(AND(K2571&lt;&gt;"",ISNA(MATCH(K2571,ctaNombre,0))),"⚠ Destino no registrado",IF(AND(P2571="Pago tarjeta",AE2571&lt;&gt;"Tarjeta de crédito"),"⚠ El destino debe ser tarjeta de crédito",IF(AND(P2571="Gasto",E2571="Depósitos y retiros"),"⚠ Usa tipo Transferencia",IF(AND(P2571="Resultado trading",AD2571&lt;&gt;"Cuenta de trading"),"⚠ Usa una cuenta de trading",IF(AND(G2571&lt;=0,P2571&lt;&gt;"Ajuste",P2571&lt;&gt;"Resultado trading"),"⚠ El monto debe ser positivo","✓")))))))))))))))</f>
        <v/>
      </c>
      <c r="P2571" s="52">
        <f>IF(OR(B2571="",G2571=""),"",IF(C2571="","Gasto",C2571))</f>
        <v/>
      </c>
      <c r="Q2571" s="52">
        <f>IF(P2571="","",IF(J2571&lt;&gt;"",J2571,CuentaPred&amp;""))</f>
        <v/>
      </c>
      <c r="R2571" s="52">
        <f>IF(P2571="","",IF(ISNUMBER(I2571),I2571,TasaUSD))</f>
        <v/>
      </c>
      <c r="S2571" s="53">
        <f>IF(P2571="","",IF(H2571="USD",G2571*R2571,G2571))</f>
        <v/>
      </c>
      <c r="T2571" s="53">
        <f>IF(P2571="","",IF(H2571="USD",G2571,IF(R2571&gt;0,G2571/R2571,0)))</f>
        <v/>
      </c>
      <c r="U2571" s="53">
        <f>IF(P2571="","",IF(P2571="Gasto",S2571,IF(P2571="Reembolso",-S2571,0)))</f>
        <v/>
      </c>
      <c r="V2571" s="53">
        <f>IF(P2571="","",IF(P2571="Ingreso",S2571,0))</f>
        <v/>
      </c>
      <c r="W2571" s="53">
        <f>IF(P2571="","",IF(P2571="Resultado trading",S2571,0))</f>
        <v/>
      </c>
      <c r="X2571" s="52">
        <f>IF(OR(P2571="Gasto",P2571="Reembolso"),IF(M2571&lt;&gt;"",M2571,IFERROR(INDEX(catClasif,MATCH(D2571&amp;"|"&amp;E2571,catClave,0))&amp;"","Variable")),"")</f>
        <v/>
      </c>
      <c r="Y2571" s="52">
        <f>IF(P2571="","",IFERROR(INDEX(catGrupo,MATCH(D2571&amp;"|"&amp;E2571,catClave,0))&amp;"",""))</f>
        <v/>
      </c>
      <c r="Z2571" s="52">
        <f>IF(P2571="","",WEEKDAY(B2571,2))</f>
        <v/>
      </c>
      <c r="AA2571" s="52">
        <f>IF(P2571="","",IF(AND(P2571="Gasto",X2571="Variable",D2571&lt;&gt;catTrading,S2571&gt;0,S2571&lt;=Umbral),1,0))</f>
        <v/>
      </c>
      <c r="AB2571" s="52">
        <f>IF(OR(P2571="",Q2571=""),"",IFERROR(IF(INDEX(ctaVinc,MATCH(Q2571,ctaNombre,0))&amp;""&lt;&gt;"",INDEX(ctaVinc,MATCH(Q2571,ctaNombre,0))&amp;"",Q2571),Q2571))</f>
        <v/>
      </c>
      <c r="AC2571" s="52">
        <f>IF(OR(K2571="",AND(P2571&lt;&gt;"Transferencia",P2571&lt;&gt;"Pago tarjeta")),"",IFERROR(IF(INDEX(ctaVinc,MATCH(K2571,ctaNombre,0))&amp;""&lt;&gt;"",INDEX(ctaVinc,MATCH(K2571,ctaNombre,0))&amp;"",K2571),K2571))</f>
        <v/>
      </c>
      <c r="AD2571" s="52">
        <f>IF(AB2571="","",IFERROR(INDEX(ctaTipo,MATCH(AB2571,ctaNombre,0))&amp;"",""))</f>
        <v/>
      </c>
      <c r="AE2571" s="52">
        <f>IF(AC2571="","",IFERROR(INDEX(ctaTipo,MATCH(AC2571,ctaNombre,0))&amp;"",""))</f>
        <v/>
      </c>
      <c r="AF2571" s="53">
        <f>IF(OR(P2571="",AB2571=""),"",IF(OR(P2571="Gasto",P2571="Transferencia",P2571="Pago tarjeta"),-1,1)*IF(IFERROR(INDEX(ctaMoneda,MATCH(AB2571,ctaNombre,0))&amp;"","DOP")="USD",T2571,S2571))</f>
        <v/>
      </c>
      <c r="AG2571" s="53">
        <f>IF(AC2571="","",IF(IFERROR(INDEX(ctaMoneda,MATCH(AC2571,ctaNombre,0))&amp;"","DOP")="USD",T2571,S2571))</f>
        <v/>
      </c>
      <c r="AH2571" s="53">
        <f>IF(P2571="","",IF(AND(AD2571&lt;&gt;"",COUNTIFS(tcTipo,AD2571,tcLiq,"Sí")&gt;0),IF(OR(P2571="Gasto",P2571="Transferencia",P2571="Pago tarjeta"),-1,1)*S2571,0)+IF(AND(AE2571&lt;&gt;"",COUNTIFS(tcTipo,AE2571,tcLiq,"Sí")&gt;0),S2571,0))</f>
        <v/>
      </c>
      <c r="AI2571" s="52">
        <f>IF(OR(L2571="",P2571=""),"",IF(COUNTIFS(L$6:L2571,L2571,P$6:P2571,"?*")=1,MAX(AI$5:AI2570)+1,""))</f>
        <v/>
      </c>
    </row>
    <row r="2572">
      <c r="B2572" s="47" t="n"/>
      <c r="C2572" s="48" t="n"/>
      <c r="D2572" s="48" t="n"/>
      <c r="E2572" s="48" t="n"/>
      <c r="F2572" s="48" t="n"/>
      <c r="G2572" s="49" t="n"/>
      <c r="H2572" s="48" t="n"/>
      <c r="I2572" s="50" t="n"/>
      <c r="J2572" s="48" t="n"/>
      <c r="K2572" s="48" t="n"/>
      <c r="L2572" s="48" t="n"/>
      <c r="M2572" s="48" t="n"/>
      <c r="N2572" s="48" t="n"/>
      <c r="O2572" s="51">
        <f>IF(AND(B2572="",G2572="",C2572="",D2572="",J2572=""),"",IF(B2572="","⚠ Falta fecha",IF(G2572="","⚠ Falta monto",IF(Q2572="","⚠ Falta cuenta",IF(ISNA(MATCH(Q2572,ctaNombre,0)),"⚠ Cuenta no registrada",IF(AND(OR(P2572="Gasto",P2572="Reembolso"),D2572=""),"⚠ Falta categoría",IF(AND(D2572&lt;&gt;"",E2572&lt;&gt;"",ISNA(MATCH(D2572&amp;"|"&amp;E2572,catClave,0))),"⚠ Subcategoría no corresponde",IF(AND(OR(P2572="Transferencia",P2572="Pago tarjeta"),K2572=""),"⚠ Falta cuenta destino",IF(AND(K2572&lt;&gt;"",P2572&lt;&gt;"Transferencia",P2572&lt;&gt;"Pago tarjeta"),"⚠ Destino solo aplica a transferencias",IF(AND(K2572&lt;&gt;"",K2572=Q2572),"⚠ Origen igual a destino",IF(AND(K2572&lt;&gt;"",ISNA(MATCH(K2572,ctaNombre,0))),"⚠ Destino no registrado",IF(AND(P2572="Pago tarjeta",AE2572&lt;&gt;"Tarjeta de crédito"),"⚠ El destino debe ser tarjeta de crédito",IF(AND(P2572="Gasto",E2572="Depósitos y retiros"),"⚠ Usa tipo Transferencia",IF(AND(P2572="Resultado trading",AD2572&lt;&gt;"Cuenta de trading"),"⚠ Usa una cuenta de trading",IF(AND(G2572&lt;=0,P2572&lt;&gt;"Ajuste",P2572&lt;&gt;"Resultado trading"),"⚠ El monto debe ser positivo","✓")))))))))))))))</f>
        <v/>
      </c>
      <c r="P2572" s="52">
        <f>IF(OR(B2572="",G2572=""),"",IF(C2572="","Gasto",C2572))</f>
        <v/>
      </c>
      <c r="Q2572" s="52">
        <f>IF(P2572="","",IF(J2572&lt;&gt;"",J2572,CuentaPred&amp;""))</f>
        <v/>
      </c>
      <c r="R2572" s="52">
        <f>IF(P2572="","",IF(ISNUMBER(I2572),I2572,TasaUSD))</f>
        <v/>
      </c>
      <c r="S2572" s="53">
        <f>IF(P2572="","",IF(H2572="USD",G2572*R2572,G2572))</f>
        <v/>
      </c>
      <c r="T2572" s="53">
        <f>IF(P2572="","",IF(H2572="USD",G2572,IF(R2572&gt;0,G2572/R2572,0)))</f>
        <v/>
      </c>
      <c r="U2572" s="53">
        <f>IF(P2572="","",IF(P2572="Gasto",S2572,IF(P2572="Reembolso",-S2572,0)))</f>
        <v/>
      </c>
      <c r="V2572" s="53">
        <f>IF(P2572="","",IF(P2572="Ingreso",S2572,0))</f>
        <v/>
      </c>
      <c r="W2572" s="53">
        <f>IF(P2572="","",IF(P2572="Resultado trading",S2572,0))</f>
        <v/>
      </c>
      <c r="X2572" s="52">
        <f>IF(OR(P2572="Gasto",P2572="Reembolso"),IF(M2572&lt;&gt;"",M2572,IFERROR(INDEX(catClasif,MATCH(D2572&amp;"|"&amp;E2572,catClave,0))&amp;"","Variable")),"")</f>
        <v/>
      </c>
      <c r="Y2572" s="52">
        <f>IF(P2572="","",IFERROR(INDEX(catGrupo,MATCH(D2572&amp;"|"&amp;E2572,catClave,0))&amp;"",""))</f>
        <v/>
      </c>
      <c r="Z2572" s="52">
        <f>IF(P2572="","",WEEKDAY(B2572,2))</f>
        <v/>
      </c>
      <c r="AA2572" s="52">
        <f>IF(P2572="","",IF(AND(P2572="Gasto",X2572="Variable",D2572&lt;&gt;catTrading,S2572&gt;0,S2572&lt;=Umbral),1,0))</f>
        <v/>
      </c>
      <c r="AB2572" s="52">
        <f>IF(OR(P2572="",Q2572=""),"",IFERROR(IF(INDEX(ctaVinc,MATCH(Q2572,ctaNombre,0))&amp;""&lt;&gt;"",INDEX(ctaVinc,MATCH(Q2572,ctaNombre,0))&amp;"",Q2572),Q2572))</f>
        <v/>
      </c>
      <c r="AC2572" s="52">
        <f>IF(OR(K2572="",AND(P2572&lt;&gt;"Transferencia",P2572&lt;&gt;"Pago tarjeta")),"",IFERROR(IF(INDEX(ctaVinc,MATCH(K2572,ctaNombre,0))&amp;""&lt;&gt;"",INDEX(ctaVinc,MATCH(K2572,ctaNombre,0))&amp;"",K2572),K2572))</f>
        <v/>
      </c>
      <c r="AD2572" s="52">
        <f>IF(AB2572="","",IFERROR(INDEX(ctaTipo,MATCH(AB2572,ctaNombre,0))&amp;"",""))</f>
        <v/>
      </c>
      <c r="AE2572" s="52">
        <f>IF(AC2572="","",IFERROR(INDEX(ctaTipo,MATCH(AC2572,ctaNombre,0))&amp;"",""))</f>
        <v/>
      </c>
      <c r="AF2572" s="53">
        <f>IF(OR(P2572="",AB2572=""),"",IF(OR(P2572="Gasto",P2572="Transferencia",P2572="Pago tarjeta"),-1,1)*IF(IFERROR(INDEX(ctaMoneda,MATCH(AB2572,ctaNombre,0))&amp;"","DOP")="USD",T2572,S2572))</f>
        <v/>
      </c>
      <c r="AG2572" s="53">
        <f>IF(AC2572="","",IF(IFERROR(INDEX(ctaMoneda,MATCH(AC2572,ctaNombre,0))&amp;"","DOP")="USD",T2572,S2572))</f>
        <v/>
      </c>
      <c r="AH2572" s="53">
        <f>IF(P2572="","",IF(AND(AD2572&lt;&gt;"",COUNTIFS(tcTipo,AD2572,tcLiq,"Sí")&gt;0),IF(OR(P2572="Gasto",P2572="Transferencia",P2572="Pago tarjeta"),-1,1)*S2572,0)+IF(AND(AE2572&lt;&gt;"",COUNTIFS(tcTipo,AE2572,tcLiq,"Sí")&gt;0),S2572,0))</f>
        <v/>
      </c>
      <c r="AI2572" s="52">
        <f>IF(OR(L2572="",P2572=""),"",IF(COUNTIFS(L$6:L2572,L2572,P$6:P2572,"?*")=1,MAX(AI$5:AI2571)+1,""))</f>
        <v/>
      </c>
    </row>
    <row r="2573">
      <c r="B2573" s="47" t="n"/>
      <c r="C2573" s="48" t="n"/>
      <c r="D2573" s="48" t="n"/>
      <c r="E2573" s="48" t="n"/>
      <c r="F2573" s="48" t="n"/>
      <c r="G2573" s="49" t="n"/>
      <c r="H2573" s="48" t="n"/>
      <c r="I2573" s="50" t="n"/>
      <c r="J2573" s="48" t="n"/>
      <c r="K2573" s="48" t="n"/>
      <c r="L2573" s="48" t="n"/>
      <c r="M2573" s="48" t="n"/>
      <c r="N2573" s="48" t="n"/>
      <c r="O2573" s="51">
        <f>IF(AND(B2573="",G2573="",C2573="",D2573="",J2573=""),"",IF(B2573="","⚠ Falta fecha",IF(G2573="","⚠ Falta monto",IF(Q2573="","⚠ Falta cuenta",IF(ISNA(MATCH(Q2573,ctaNombre,0)),"⚠ Cuenta no registrada",IF(AND(OR(P2573="Gasto",P2573="Reembolso"),D2573=""),"⚠ Falta categoría",IF(AND(D2573&lt;&gt;"",E2573&lt;&gt;"",ISNA(MATCH(D2573&amp;"|"&amp;E2573,catClave,0))),"⚠ Subcategoría no corresponde",IF(AND(OR(P2573="Transferencia",P2573="Pago tarjeta"),K2573=""),"⚠ Falta cuenta destino",IF(AND(K2573&lt;&gt;"",P2573&lt;&gt;"Transferencia",P2573&lt;&gt;"Pago tarjeta"),"⚠ Destino solo aplica a transferencias",IF(AND(K2573&lt;&gt;"",K2573=Q2573),"⚠ Origen igual a destino",IF(AND(K2573&lt;&gt;"",ISNA(MATCH(K2573,ctaNombre,0))),"⚠ Destino no registrado",IF(AND(P2573="Pago tarjeta",AE2573&lt;&gt;"Tarjeta de crédito"),"⚠ El destino debe ser tarjeta de crédito",IF(AND(P2573="Gasto",E2573="Depósitos y retiros"),"⚠ Usa tipo Transferencia",IF(AND(P2573="Resultado trading",AD2573&lt;&gt;"Cuenta de trading"),"⚠ Usa una cuenta de trading",IF(AND(G2573&lt;=0,P2573&lt;&gt;"Ajuste",P2573&lt;&gt;"Resultado trading"),"⚠ El monto debe ser positivo","✓")))))))))))))))</f>
        <v/>
      </c>
      <c r="P2573" s="52">
        <f>IF(OR(B2573="",G2573=""),"",IF(C2573="","Gasto",C2573))</f>
        <v/>
      </c>
      <c r="Q2573" s="52">
        <f>IF(P2573="","",IF(J2573&lt;&gt;"",J2573,CuentaPred&amp;""))</f>
        <v/>
      </c>
      <c r="R2573" s="52">
        <f>IF(P2573="","",IF(ISNUMBER(I2573),I2573,TasaUSD))</f>
        <v/>
      </c>
      <c r="S2573" s="53">
        <f>IF(P2573="","",IF(H2573="USD",G2573*R2573,G2573))</f>
        <v/>
      </c>
      <c r="T2573" s="53">
        <f>IF(P2573="","",IF(H2573="USD",G2573,IF(R2573&gt;0,G2573/R2573,0)))</f>
        <v/>
      </c>
      <c r="U2573" s="53">
        <f>IF(P2573="","",IF(P2573="Gasto",S2573,IF(P2573="Reembolso",-S2573,0)))</f>
        <v/>
      </c>
      <c r="V2573" s="53">
        <f>IF(P2573="","",IF(P2573="Ingreso",S2573,0))</f>
        <v/>
      </c>
      <c r="W2573" s="53">
        <f>IF(P2573="","",IF(P2573="Resultado trading",S2573,0))</f>
        <v/>
      </c>
      <c r="X2573" s="52">
        <f>IF(OR(P2573="Gasto",P2573="Reembolso"),IF(M2573&lt;&gt;"",M2573,IFERROR(INDEX(catClasif,MATCH(D2573&amp;"|"&amp;E2573,catClave,0))&amp;"","Variable")),"")</f>
        <v/>
      </c>
      <c r="Y2573" s="52">
        <f>IF(P2573="","",IFERROR(INDEX(catGrupo,MATCH(D2573&amp;"|"&amp;E2573,catClave,0))&amp;"",""))</f>
        <v/>
      </c>
      <c r="Z2573" s="52">
        <f>IF(P2573="","",WEEKDAY(B2573,2))</f>
        <v/>
      </c>
      <c r="AA2573" s="52">
        <f>IF(P2573="","",IF(AND(P2573="Gasto",X2573="Variable",D2573&lt;&gt;catTrading,S2573&gt;0,S2573&lt;=Umbral),1,0))</f>
        <v/>
      </c>
      <c r="AB2573" s="52">
        <f>IF(OR(P2573="",Q2573=""),"",IFERROR(IF(INDEX(ctaVinc,MATCH(Q2573,ctaNombre,0))&amp;""&lt;&gt;"",INDEX(ctaVinc,MATCH(Q2573,ctaNombre,0))&amp;"",Q2573),Q2573))</f>
        <v/>
      </c>
      <c r="AC2573" s="52">
        <f>IF(OR(K2573="",AND(P2573&lt;&gt;"Transferencia",P2573&lt;&gt;"Pago tarjeta")),"",IFERROR(IF(INDEX(ctaVinc,MATCH(K2573,ctaNombre,0))&amp;""&lt;&gt;"",INDEX(ctaVinc,MATCH(K2573,ctaNombre,0))&amp;"",K2573),K2573))</f>
        <v/>
      </c>
      <c r="AD2573" s="52">
        <f>IF(AB2573="","",IFERROR(INDEX(ctaTipo,MATCH(AB2573,ctaNombre,0))&amp;"",""))</f>
        <v/>
      </c>
      <c r="AE2573" s="52">
        <f>IF(AC2573="","",IFERROR(INDEX(ctaTipo,MATCH(AC2573,ctaNombre,0))&amp;"",""))</f>
        <v/>
      </c>
      <c r="AF2573" s="53">
        <f>IF(OR(P2573="",AB2573=""),"",IF(OR(P2573="Gasto",P2573="Transferencia",P2573="Pago tarjeta"),-1,1)*IF(IFERROR(INDEX(ctaMoneda,MATCH(AB2573,ctaNombre,0))&amp;"","DOP")="USD",T2573,S2573))</f>
        <v/>
      </c>
      <c r="AG2573" s="53">
        <f>IF(AC2573="","",IF(IFERROR(INDEX(ctaMoneda,MATCH(AC2573,ctaNombre,0))&amp;"","DOP")="USD",T2573,S2573))</f>
        <v/>
      </c>
      <c r="AH2573" s="53">
        <f>IF(P2573="","",IF(AND(AD2573&lt;&gt;"",COUNTIFS(tcTipo,AD2573,tcLiq,"Sí")&gt;0),IF(OR(P2573="Gasto",P2573="Transferencia",P2573="Pago tarjeta"),-1,1)*S2573,0)+IF(AND(AE2573&lt;&gt;"",COUNTIFS(tcTipo,AE2573,tcLiq,"Sí")&gt;0),S2573,0))</f>
        <v/>
      </c>
      <c r="AI2573" s="52">
        <f>IF(OR(L2573="",P2573=""),"",IF(COUNTIFS(L$6:L2573,L2573,P$6:P2573,"?*")=1,MAX(AI$5:AI2572)+1,""))</f>
        <v/>
      </c>
    </row>
    <row r="2574">
      <c r="B2574" s="47" t="n"/>
      <c r="C2574" s="48" t="n"/>
      <c r="D2574" s="48" t="n"/>
      <c r="E2574" s="48" t="n"/>
      <c r="F2574" s="48" t="n"/>
      <c r="G2574" s="49" t="n"/>
      <c r="H2574" s="48" t="n"/>
      <c r="I2574" s="50" t="n"/>
      <c r="J2574" s="48" t="n"/>
      <c r="K2574" s="48" t="n"/>
      <c r="L2574" s="48" t="n"/>
      <c r="M2574" s="48" t="n"/>
      <c r="N2574" s="48" t="n"/>
      <c r="O2574" s="51">
        <f>IF(AND(B2574="",G2574="",C2574="",D2574="",J2574=""),"",IF(B2574="","⚠ Falta fecha",IF(G2574="","⚠ Falta monto",IF(Q2574="","⚠ Falta cuenta",IF(ISNA(MATCH(Q2574,ctaNombre,0)),"⚠ Cuenta no registrada",IF(AND(OR(P2574="Gasto",P2574="Reembolso"),D2574=""),"⚠ Falta categoría",IF(AND(D2574&lt;&gt;"",E2574&lt;&gt;"",ISNA(MATCH(D2574&amp;"|"&amp;E2574,catClave,0))),"⚠ Subcategoría no corresponde",IF(AND(OR(P2574="Transferencia",P2574="Pago tarjeta"),K2574=""),"⚠ Falta cuenta destino",IF(AND(K2574&lt;&gt;"",P2574&lt;&gt;"Transferencia",P2574&lt;&gt;"Pago tarjeta"),"⚠ Destino solo aplica a transferencias",IF(AND(K2574&lt;&gt;"",K2574=Q2574),"⚠ Origen igual a destino",IF(AND(K2574&lt;&gt;"",ISNA(MATCH(K2574,ctaNombre,0))),"⚠ Destino no registrado",IF(AND(P2574="Pago tarjeta",AE2574&lt;&gt;"Tarjeta de crédito"),"⚠ El destino debe ser tarjeta de crédito",IF(AND(P2574="Gasto",E2574="Depósitos y retiros"),"⚠ Usa tipo Transferencia",IF(AND(P2574="Resultado trading",AD2574&lt;&gt;"Cuenta de trading"),"⚠ Usa una cuenta de trading",IF(AND(G2574&lt;=0,P2574&lt;&gt;"Ajuste",P2574&lt;&gt;"Resultado trading"),"⚠ El monto debe ser positivo","✓")))))))))))))))</f>
        <v/>
      </c>
      <c r="P2574" s="52">
        <f>IF(OR(B2574="",G2574=""),"",IF(C2574="","Gasto",C2574))</f>
        <v/>
      </c>
      <c r="Q2574" s="52">
        <f>IF(P2574="","",IF(J2574&lt;&gt;"",J2574,CuentaPred&amp;""))</f>
        <v/>
      </c>
      <c r="R2574" s="52">
        <f>IF(P2574="","",IF(ISNUMBER(I2574),I2574,TasaUSD))</f>
        <v/>
      </c>
      <c r="S2574" s="53">
        <f>IF(P2574="","",IF(H2574="USD",G2574*R2574,G2574))</f>
        <v/>
      </c>
      <c r="T2574" s="53">
        <f>IF(P2574="","",IF(H2574="USD",G2574,IF(R2574&gt;0,G2574/R2574,0)))</f>
        <v/>
      </c>
      <c r="U2574" s="53">
        <f>IF(P2574="","",IF(P2574="Gasto",S2574,IF(P2574="Reembolso",-S2574,0)))</f>
        <v/>
      </c>
      <c r="V2574" s="53">
        <f>IF(P2574="","",IF(P2574="Ingreso",S2574,0))</f>
        <v/>
      </c>
      <c r="W2574" s="53">
        <f>IF(P2574="","",IF(P2574="Resultado trading",S2574,0))</f>
        <v/>
      </c>
      <c r="X2574" s="52">
        <f>IF(OR(P2574="Gasto",P2574="Reembolso"),IF(M2574&lt;&gt;"",M2574,IFERROR(INDEX(catClasif,MATCH(D2574&amp;"|"&amp;E2574,catClave,0))&amp;"","Variable")),"")</f>
        <v/>
      </c>
      <c r="Y2574" s="52">
        <f>IF(P2574="","",IFERROR(INDEX(catGrupo,MATCH(D2574&amp;"|"&amp;E2574,catClave,0))&amp;"",""))</f>
        <v/>
      </c>
      <c r="Z2574" s="52">
        <f>IF(P2574="","",WEEKDAY(B2574,2))</f>
        <v/>
      </c>
      <c r="AA2574" s="52">
        <f>IF(P2574="","",IF(AND(P2574="Gasto",X2574="Variable",D2574&lt;&gt;catTrading,S2574&gt;0,S2574&lt;=Umbral),1,0))</f>
        <v/>
      </c>
      <c r="AB2574" s="52">
        <f>IF(OR(P2574="",Q2574=""),"",IFERROR(IF(INDEX(ctaVinc,MATCH(Q2574,ctaNombre,0))&amp;""&lt;&gt;"",INDEX(ctaVinc,MATCH(Q2574,ctaNombre,0))&amp;"",Q2574),Q2574))</f>
        <v/>
      </c>
      <c r="AC2574" s="52">
        <f>IF(OR(K2574="",AND(P2574&lt;&gt;"Transferencia",P2574&lt;&gt;"Pago tarjeta")),"",IFERROR(IF(INDEX(ctaVinc,MATCH(K2574,ctaNombre,0))&amp;""&lt;&gt;"",INDEX(ctaVinc,MATCH(K2574,ctaNombre,0))&amp;"",K2574),K2574))</f>
        <v/>
      </c>
      <c r="AD2574" s="52">
        <f>IF(AB2574="","",IFERROR(INDEX(ctaTipo,MATCH(AB2574,ctaNombre,0))&amp;"",""))</f>
        <v/>
      </c>
      <c r="AE2574" s="52">
        <f>IF(AC2574="","",IFERROR(INDEX(ctaTipo,MATCH(AC2574,ctaNombre,0))&amp;"",""))</f>
        <v/>
      </c>
      <c r="AF2574" s="53">
        <f>IF(OR(P2574="",AB2574=""),"",IF(OR(P2574="Gasto",P2574="Transferencia",P2574="Pago tarjeta"),-1,1)*IF(IFERROR(INDEX(ctaMoneda,MATCH(AB2574,ctaNombre,0))&amp;"","DOP")="USD",T2574,S2574))</f>
        <v/>
      </c>
      <c r="AG2574" s="53">
        <f>IF(AC2574="","",IF(IFERROR(INDEX(ctaMoneda,MATCH(AC2574,ctaNombre,0))&amp;"","DOP")="USD",T2574,S2574))</f>
        <v/>
      </c>
      <c r="AH2574" s="53">
        <f>IF(P2574="","",IF(AND(AD2574&lt;&gt;"",COUNTIFS(tcTipo,AD2574,tcLiq,"Sí")&gt;0),IF(OR(P2574="Gasto",P2574="Transferencia",P2574="Pago tarjeta"),-1,1)*S2574,0)+IF(AND(AE2574&lt;&gt;"",COUNTIFS(tcTipo,AE2574,tcLiq,"Sí")&gt;0),S2574,0))</f>
        <v/>
      </c>
      <c r="AI2574" s="52">
        <f>IF(OR(L2574="",P2574=""),"",IF(COUNTIFS(L$6:L2574,L2574,P$6:P2574,"?*")=1,MAX(AI$5:AI2573)+1,""))</f>
        <v/>
      </c>
    </row>
    <row r="2575">
      <c r="B2575" s="47" t="n"/>
      <c r="C2575" s="48" t="n"/>
      <c r="D2575" s="48" t="n"/>
      <c r="E2575" s="48" t="n"/>
      <c r="F2575" s="48" t="n"/>
      <c r="G2575" s="49" t="n"/>
      <c r="H2575" s="48" t="n"/>
      <c r="I2575" s="50" t="n"/>
      <c r="J2575" s="48" t="n"/>
      <c r="K2575" s="48" t="n"/>
      <c r="L2575" s="48" t="n"/>
      <c r="M2575" s="48" t="n"/>
      <c r="N2575" s="48" t="n"/>
      <c r="O2575" s="51">
        <f>IF(AND(B2575="",G2575="",C2575="",D2575="",J2575=""),"",IF(B2575="","⚠ Falta fecha",IF(G2575="","⚠ Falta monto",IF(Q2575="","⚠ Falta cuenta",IF(ISNA(MATCH(Q2575,ctaNombre,0)),"⚠ Cuenta no registrada",IF(AND(OR(P2575="Gasto",P2575="Reembolso"),D2575=""),"⚠ Falta categoría",IF(AND(D2575&lt;&gt;"",E2575&lt;&gt;"",ISNA(MATCH(D2575&amp;"|"&amp;E2575,catClave,0))),"⚠ Subcategoría no corresponde",IF(AND(OR(P2575="Transferencia",P2575="Pago tarjeta"),K2575=""),"⚠ Falta cuenta destino",IF(AND(K2575&lt;&gt;"",P2575&lt;&gt;"Transferencia",P2575&lt;&gt;"Pago tarjeta"),"⚠ Destino solo aplica a transferencias",IF(AND(K2575&lt;&gt;"",K2575=Q2575),"⚠ Origen igual a destino",IF(AND(K2575&lt;&gt;"",ISNA(MATCH(K2575,ctaNombre,0))),"⚠ Destino no registrado",IF(AND(P2575="Pago tarjeta",AE2575&lt;&gt;"Tarjeta de crédito"),"⚠ El destino debe ser tarjeta de crédito",IF(AND(P2575="Gasto",E2575="Depósitos y retiros"),"⚠ Usa tipo Transferencia",IF(AND(P2575="Resultado trading",AD2575&lt;&gt;"Cuenta de trading"),"⚠ Usa una cuenta de trading",IF(AND(G2575&lt;=0,P2575&lt;&gt;"Ajuste",P2575&lt;&gt;"Resultado trading"),"⚠ El monto debe ser positivo","✓")))))))))))))))</f>
        <v/>
      </c>
      <c r="P2575" s="52">
        <f>IF(OR(B2575="",G2575=""),"",IF(C2575="","Gasto",C2575))</f>
        <v/>
      </c>
      <c r="Q2575" s="52">
        <f>IF(P2575="","",IF(J2575&lt;&gt;"",J2575,CuentaPred&amp;""))</f>
        <v/>
      </c>
      <c r="R2575" s="52">
        <f>IF(P2575="","",IF(ISNUMBER(I2575),I2575,TasaUSD))</f>
        <v/>
      </c>
      <c r="S2575" s="53">
        <f>IF(P2575="","",IF(H2575="USD",G2575*R2575,G2575))</f>
        <v/>
      </c>
      <c r="T2575" s="53">
        <f>IF(P2575="","",IF(H2575="USD",G2575,IF(R2575&gt;0,G2575/R2575,0)))</f>
        <v/>
      </c>
      <c r="U2575" s="53">
        <f>IF(P2575="","",IF(P2575="Gasto",S2575,IF(P2575="Reembolso",-S2575,0)))</f>
        <v/>
      </c>
      <c r="V2575" s="53">
        <f>IF(P2575="","",IF(P2575="Ingreso",S2575,0))</f>
        <v/>
      </c>
      <c r="W2575" s="53">
        <f>IF(P2575="","",IF(P2575="Resultado trading",S2575,0))</f>
        <v/>
      </c>
      <c r="X2575" s="52">
        <f>IF(OR(P2575="Gasto",P2575="Reembolso"),IF(M2575&lt;&gt;"",M2575,IFERROR(INDEX(catClasif,MATCH(D2575&amp;"|"&amp;E2575,catClave,0))&amp;"","Variable")),"")</f>
        <v/>
      </c>
      <c r="Y2575" s="52">
        <f>IF(P2575="","",IFERROR(INDEX(catGrupo,MATCH(D2575&amp;"|"&amp;E2575,catClave,0))&amp;"",""))</f>
        <v/>
      </c>
      <c r="Z2575" s="52">
        <f>IF(P2575="","",WEEKDAY(B2575,2))</f>
        <v/>
      </c>
      <c r="AA2575" s="52">
        <f>IF(P2575="","",IF(AND(P2575="Gasto",X2575="Variable",D2575&lt;&gt;catTrading,S2575&gt;0,S2575&lt;=Umbral),1,0))</f>
        <v/>
      </c>
      <c r="AB2575" s="52">
        <f>IF(OR(P2575="",Q2575=""),"",IFERROR(IF(INDEX(ctaVinc,MATCH(Q2575,ctaNombre,0))&amp;""&lt;&gt;"",INDEX(ctaVinc,MATCH(Q2575,ctaNombre,0))&amp;"",Q2575),Q2575))</f>
        <v/>
      </c>
      <c r="AC2575" s="52">
        <f>IF(OR(K2575="",AND(P2575&lt;&gt;"Transferencia",P2575&lt;&gt;"Pago tarjeta")),"",IFERROR(IF(INDEX(ctaVinc,MATCH(K2575,ctaNombre,0))&amp;""&lt;&gt;"",INDEX(ctaVinc,MATCH(K2575,ctaNombre,0))&amp;"",K2575),K2575))</f>
        <v/>
      </c>
      <c r="AD2575" s="52">
        <f>IF(AB2575="","",IFERROR(INDEX(ctaTipo,MATCH(AB2575,ctaNombre,0))&amp;"",""))</f>
        <v/>
      </c>
      <c r="AE2575" s="52">
        <f>IF(AC2575="","",IFERROR(INDEX(ctaTipo,MATCH(AC2575,ctaNombre,0))&amp;"",""))</f>
        <v/>
      </c>
      <c r="AF2575" s="53">
        <f>IF(OR(P2575="",AB2575=""),"",IF(OR(P2575="Gasto",P2575="Transferencia",P2575="Pago tarjeta"),-1,1)*IF(IFERROR(INDEX(ctaMoneda,MATCH(AB2575,ctaNombre,0))&amp;"","DOP")="USD",T2575,S2575))</f>
        <v/>
      </c>
      <c r="AG2575" s="53">
        <f>IF(AC2575="","",IF(IFERROR(INDEX(ctaMoneda,MATCH(AC2575,ctaNombre,0))&amp;"","DOP")="USD",T2575,S2575))</f>
        <v/>
      </c>
      <c r="AH2575" s="53">
        <f>IF(P2575="","",IF(AND(AD2575&lt;&gt;"",COUNTIFS(tcTipo,AD2575,tcLiq,"Sí")&gt;0),IF(OR(P2575="Gasto",P2575="Transferencia",P2575="Pago tarjeta"),-1,1)*S2575,0)+IF(AND(AE2575&lt;&gt;"",COUNTIFS(tcTipo,AE2575,tcLiq,"Sí")&gt;0),S2575,0))</f>
        <v/>
      </c>
      <c r="AI2575" s="52">
        <f>IF(OR(L2575="",P2575=""),"",IF(COUNTIFS(L$6:L2575,L2575,P$6:P2575,"?*")=1,MAX(AI$5:AI2574)+1,""))</f>
        <v/>
      </c>
    </row>
    <row r="2576">
      <c r="B2576" s="47" t="n"/>
      <c r="C2576" s="48" t="n"/>
      <c r="D2576" s="48" t="n"/>
      <c r="E2576" s="48" t="n"/>
      <c r="F2576" s="48" t="n"/>
      <c r="G2576" s="49" t="n"/>
      <c r="H2576" s="48" t="n"/>
      <c r="I2576" s="50" t="n"/>
      <c r="J2576" s="48" t="n"/>
      <c r="K2576" s="48" t="n"/>
      <c r="L2576" s="48" t="n"/>
      <c r="M2576" s="48" t="n"/>
      <c r="N2576" s="48" t="n"/>
      <c r="O2576" s="51">
        <f>IF(AND(B2576="",G2576="",C2576="",D2576="",J2576=""),"",IF(B2576="","⚠ Falta fecha",IF(G2576="","⚠ Falta monto",IF(Q2576="","⚠ Falta cuenta",IF(ISNA(MATCH(Q2576,ctaNombre,0)),"⚠ Cuenta no registrada",IF(AND(OR(P2576="Gasto",P2576="Reembolso"),D2576=""),"⚠ Falta categoría",IF(AND(D2576&lt;&gt;"",E2576&lt;&gt;"",ISNA(MATCH(D2576&amp;"|"&amp;E2576,catClave,0))),"⚠ Subcategoría no corresponde",IF(AND(OR(P2576="Transferencia",P2576="Pago tarjeta"),K2576=""),"⚠ Falta cuenta destino",IF(AND(K2576&lt;&gt;"",P2576&lt;&gt;"Transferencia",P2576&lt;&gt;"Pago tarjeta"),"⚠ Destino solo aplica a transferencias",IF(AND(K2576&lt;&gt;"",K2576=Q2576),"⚠ Origen igual a destino",IF(AND(K2576&lt;&gt;"",ISNA(MATCH(K2576,ctaNombre,0))),"⚠ Destino no registrado",IF(AND(P2576="Pago tarjeta",AE2576&lt;&gt;"Tarjeta de crédito"),"⚠ El destino debe ser tarjeta de crédito",IF(AND(P2576="Gasto",E2576="Depósitos y retiros"),"⚠ Usa tipo Transferencia",IF(AND(P2576="Resultado trading",AD2576&lt;&gt;"Cuenta de trading"),"⚠ Usa una cuenta de trading",IF(AND(G2576&lt;=0,P2576&lt;&gt;"Ajuste",P2576&lt;&gt;"Resultado trading"),"⚠ El monto debe ser positivo","✓")))))))))))))))</f>
        <v/>
      </c>
      <c r="P2576" s="52">
        <f>IF(OR(B2576="",G2576=""),"",IF(C2576="","Gasto",C2576))</f>
        <v/>
      </c>
      <c r="Q2576" s="52">
        <f>IF(P2576="","",IF(J2576&lt;&gt;"",J2576,CuentaPred&amp;""))</f>
        <v/>
      </c>
      <c r="R2576" s="52">
        <f>IF(P2576="","",IF(ISNUMBER(I2576),I2576,TasaUSD))</f>
        <v/>
      </c>
      <c r="S2576" s="53">
        <f>IF(P2576="","",IF(H2576="USD",G2576*R2576,G2576))</f>
        <v/>
      </c>
      <c r="T2576" s="53">
        <f>IF(P2576="","",IF(H2576="USD",G2576,IF(R2576&gt;0,G2576/R2576,0)))</f>
        <v/>
      </c>
      <c r="U2576" s="53">
        <f>IF(P2576="","",IF(P2576="Gasto",S2576,IF(P2576="Reembolso",-S2576,0)))</f>
        <v/>
      </c>
      <c r="V2576" s="53">
        <f>IF(P2576="","",IF(P2576="Ingreso",S2576,0))</f>
        <v/>
      </c>
      <c r="W2576" s="53">
        <f>IF(P2576="","",IF(P2576="Resultado trading",S2576,0))</f>
        <v/>
      </c>
      <c r="X2576" s="52">
        <f>IF(OR(P2576="Gasto",P2576="Reembolso"),IF(M2576&lt;&gt;"",M2576,IFERROR(INDEX(catClasif,MATCH(D2576&amp;"|"&amp;E2576,catClave,0))&amp;"","Variable")),"")</f>
        <v/>
      </c>
      <c r="Y2576" s="52">
        <f>IF(P2576="","",IFERROR(INDEX(catGrupo,MATCH(D2576&amp;"|"&amp;E2576,catClave,0))&amp;"",""))</f>
        <v/>
      </c>
      <c r="Z2576" s="52">
        <f>IF(P2576="","",WEEKDAY(B2576,2))</f>
        <v/>
      </c>
      <c r="AA2576" s="52">
        <f>IF(P2576="","",IF(AND(P2576="Gasto",X2576="Variable",D2576&lt;&gt;catTrading,S2576&gt;0,S2576&lt;=Umbral),1,0))</f>
        <v/>
      </c>
      <c r="AB2576" s="52">
        <f>IF(OR(P2576="",Q2576=""),"",IFERROR(IF(INDEX(ctaVinc,MATCH(Q2576,ctaNombre,0))&amp;""&lt;&gt;"",INDEX(ctaVinc,MATCH(Q2576,ctaNombre,0))&amp;"",Q2576),Q2576))</f>
        <v/>
      </c>
      <c r="AC2576" s="52">
        <f>IF(OR(K2576="",AND(P2576&lt;&gt;"Transferencia",P2576&lt;&gt;"Pago tarjeta")),"",IFERROR(IF(INDEX(ctaVinc,MATCH(K2576,ctaNombre,0))&amp;""&lt;&gt;"",INDEX(ctaVinc,MATCH(K2576,ctaNombre,0))&amp;"",K2576),K2576))</f>
        <v/>
      </c>
      <c r="AD2576" s="52">
        <f>IF(AB2576="","",IFERROR(INDEX(ctaTipo,MATCH(AB2576,ctaNombre,0))&amp;"",""))</f>
        <v/>
      </c>
      <c r="AE2576" s="52">
        <f>IF(AC2576="","",IFERROR(INDEX(ctaTipo,MATCH(AC2576,ctaNombre,0))&amp;"",""))</f>
        <v/>
      </c>
      <c r="AF2576" s="53">
        <f>IF(OR(P2576="",AB2576=""),"",IF(OR(P2576="Gasto",P2576="Transferencia",P2576="Pago tarjeta"),-1,1)*IF(IFERROR(INDEX(ctaMoneda,MATCH(AB2576,ctaNombre,0))&amp;"","DOP")="USD",T2576,S2576))</f>
        <v/>
      </c>
      <c r="AG2576" s="53">
        <f>IF(AC2576="","",IF(IFERROR(INDEX(ctaMoneda,MATCH(AC2576,ctaNombre,0))&amp;"","DOP")="USD",T2576,S2576))</f>
        <v/>
      </c>
      <c r="AH2576" s="53">
        <f>IF(P2576="","",IF(AND(AD2576&lt;&gt;"",COUNTIFS(tcTipo,AD2576,tcLiq,"Sí")&gt;0),IF(OR(P2576="Gasto",P2576="Transferencia",P2576="Pago tarjeta"),-1,1)*S2576,0)+IF(AND(AE2576&lt;&gt;"",COUNTIFS(tcTipo,AE2576,tcLiq,"Sí")&gt;0),S2576,0))</f>
        <v/>
      </c>
      <c r="AI2576" s="52">
        <f>IF(OR(L2576="",P2576=""),"",IF(COUNTIFS(L$6:L2576,L2576,P$6:P2576,"?*")=1,MAX(AI$5:AI2575)+1,""))</f>
        <v/>
      </c>
    </row>
    <row r="2577">
      <c r="B2577" s="47" t="n"/>
      <c r="C2577" s="48" t="n"/>
      <c r="D2577" s="48" t="n"/>
      <c r="E2577" s="48" t="n"/>
      <c r="F2577" s="48" t="n"/>
      <c r="G2577" s="49" t="n"/>
      <c r="H2577" s="48" t="n"/>
      <c r="I2577" s="50" t="n"/>
      <c r="J2577" s="48" t="n"/>
      <c r="K2577" s="48" t="n"/>
      <c r="L2577" s="48" t="n"/>
      <c r="M2577" s="48" t="n"/>
      <c r="N2577" s="48" t="n"/>
      <c r="O2577" s="51">
        <f>IF(AND(B2577="",G2577="",C2577="",D2577="",J2577=""),"",IF(B2577="","⚠ Falta fecha",IF(G2577="","⚠ Falta monto",IF(Q2577="","⚠ Falta cuenta",IF(ISNA(MATCH(Q2577,ctaNombre,0)),"⚠ Cuenta no registrada",IF(AND(OR(P2577="Gasto",P2577="Reembolso"),D2577=""),"⚠ Falta categoría",IF(AND(D2577&lt;&gt;"",E2577&lt;&gt;"",ISNA(MATCH(D2577&amp;"|"&amp;E2577,catClave,0))),"⚠ Subcategoría no corresponde",IF(AND(OR(P2577="Transferencia",P2577="Pago tarjeta"),K2577=""),"⚠ Falta cuenta destino",IF(AND(K2577&lt;&gt;"",P2577&lt;&gt;"Transferencia",P2577&lt;&gt;"Pago tarjeta"),"⚠ Destino solo aplica a transferencias",IF(AND(K2577&lt;&gt;"",K2577=Q2577),"⚠ Origen igual a destino",IF(AND(K2577&lt;&gt;"",ISNA(MATCH(K2577,ctaNombre,0))),"⚠ Destino no registrado",IF(AND(P2577="Pago tarjeta",AE2577&lt;&gt;"Tarjeta de crédito"),"⚠ El destino debe ser tarjeta de crédito",IF(AND(P2577="Gasto",E2577="Depósitos y retiros"),"⚠ Usa tipo Transferencia",IF(AND(P2577="Resultado trading",AD2577&lt;&gt;"Cuenta de trading"),"⚠ Usa una cuenta de trading",IF(AND(G2577&lt;=0,P2577&lt;&gt;"Ajuste",P2577&lt;&gt;"Resultado trading"),"⚠ El monto debe ser positivo","✓")))))))))))))))</f>
        <v/>
      </c>
      <c r="P2577" s="52">
        <f>IF(OR(B2577="",G2577=""),"",IF(C2577="","Gasto",C2577))</f>
        <v/>
      </c>
      <c r="Q2577" s="52">
        <f>IF(P2577="","",IF(J2577&lt;&gt;"",J2577,CuentaPred&amp;""))</f>
        <v/>
      </c>
      <c r="R2577" s="52">
        <f>IF(P2577="","",IF(ISNUMBER(I2577),I2577,TasaUSD))</f>
        <v/>
      </c>
      <c r="S2577" s="53">
        <f>IF(P2577="","",IF(H2577="USD",G2577*R2577,G2577))</f>
        <v/>
      </c>
      <c r="T2577" s="53">
        <f>IF(P2577="","",IF(H2577="USD",G2577,IF(R2577&gt;0,G2577/R2577,0)))</f>
        <v/>
      </c>
      <c r="U2577" s="53">
        <f>IF(P2577="","",IF(P2577="Gasto",S2577,IF(P2577="Reembolso",-S2577,0)))</f>
        <v/>
      </c>
      <c r="V2577" s="53">
        <f>IF(P2577="","",IF(P2577="Ingreso",S2577,0))</f>
        <v/>
      </c>
      <c r="W2577" s="53">
        <f>IF(P2577="","",IF(P2577="Resultado trading",S2577,0))</f>
        <v/>
      </c>
      <c r="X2577" s="52">
        <f>IF(OR(P2577="Gasto",P2577="Reembolso"),IF(M2577&lt;&gt;"",M2577,IFERROR(INDEX(catClasif,MATCH(D2577&amp;"|"&amp;E2577,catClave,0))&amp;"","Variable")),"")</f>
        <v/>
      </c>
      <c r="Y2577" s="52">
        <f>IF(P2577="","",IFERROR(INDEX(catGrupo,MATCH(D2577&amp;"|"&amp;E2577,catClave,0))&amp;"",""))</f>
        <v/>
      </c>
      <c r="Z2577" s="52">
        <f>IF(P2577="","",WEEKDAY(B2577,2))</f>
        <v/>
      </c>
      <c r="AA2577" s="52">
        <f>IF(P2577="","",IF(AND(P2577="Gasto",X2577="Variable",D2577&lt;&gt;catTrading,S2577&gt;0,S2577&lt;=Umbral),1,0))</f>
        <v/>
      </c>
      <c r="AB2577" s="52">
        <f>IF(OR(P2577="",Q2577=""),"",IFERROR(IF(INDEX(ctaVinc,MATCH(Q2577,ctaNombre,0))&amp;""&lt;&gt;"",INDEX(ctaVinc,MATCH(Q2577,ctaNombre,0))&amp;"",Q2577),Q2577))</f>
        <v/>
      </c>
      <c r="AC2577" s="52">
        <f>IF(OR(K2577="",AND(P2577&lt;&gt;"Transferencia",P2577&lt;&gt;"Pago tarjeta")),"",IFERROR(IF(INDEX(ctaVinc,MATCH(K2577,ctaNombre,0))&amp;""&lt;&gt;"",INDEX(ctaVinc,MATCH(K2577,ctaNombre,0))&amp;"",K2577),K2577))</f>
        <v/>
      </c>
      <c r="AD2577" s="52">
        <f>IF(AB2577="","",IFERROR(INDEX(ctaTipo,MATCH(AB2577,ctaNombre,0))&amp;"",""))</f>
        <v/>
      </c>
      <c r="AE2577" s="52">
        <f>IF(AC2577="","",IFERROR(INDEX(ctaTipo,MATCH(AC2577,ctaNombre,0))&amp;"",""))</f>
        <v/>
      </c>
      <c r="AF2577" s="53">
        <f>IF(OR(P2577="",AB2577=""),"",IF(OR(P2577="Gasto",P2577="Transferencia",P2577="Pago tarjeta"),-1,1)*IF(IFERROR(INDEX(ctaMoneda,MATCH(AB2577,ctaNombre,0))&amp;"","DOP")="USD",T2577,S2577))</f>
        <v/>
      </c>
      <c r="AG2577" s="53">
        <f>IF(AC2577="","",IF(IFERROR(INDEX(ctaMoneda,MATCH(AC2577,ctaNombre,0))&amp;"","DOP")="USD",T2577,S2577))</f>
        <v/>
      </c>
      <c r="AH2577" s="53">
        <f>IF(P2577="","",IF(AND(AD2577&lt;&gt;"",COUNTIFS(tcTipo,AD2577,tcLiq,"Sí")&gt;0),IF(OR(P2577="Gasto",P2577="Transferencia",P2577="Pago tarjeta"),-1,1)*S2577,0)+IF(AND(AE2577&lt;&gt;"",COUNTIFS(tcTipo,AE2577,tcLiq,"Sí")&gt;0),S2577,0))</f>
        <v/>
      </c>
      <c r="AI2577" s="52">
        <f>IF(OR(L2577="",P2577=""),"",IF(COUNTIFS(L$6:L2577,L2577,P$6:P2577,"?*")=1,MAX(AI$5:AI2576)+1,""))</f>
        <v/>
      </c>
    </row>
    <row r="2578">
      <c r="B2578" s="47" t="n"/>
      <c r="C2578" s="48" t="n"/>
      <c r="D2578" s="48" t="n"/>
      <c r="E2578" s="48" t="n"/>
      <c r="F2578" s="48" t="n"/>
      <c r="G2578" s="49" t="n"/>
      <c r="H2578" s="48" t="n"/>
      <c r="I2578" s="50" t="n"/>
      <c r="J2578" s="48" t="n"/>
      <c r="K2578" s="48" t="n"/>
      <c r="L2578" s="48" t="n"/>
      <c r="M2578" s="48" t="n"/>
      <c r="N2578" s="48" t="n"/>
      <c r="O2578" s="51">
        <f>IF(AND(B2578="",G2578="",C2578="",D2578="",J2578=""),"",IF(B2578="","⚠ Falta fecha",IF(G2578="","⚠ Falta monto",IF(Q2578="","⚠ Falta cuenta",IF(ISNA(MATCH(Q2578,ctaNombre,0)),"⚠ Cuenta no registrada",IF(AND(OR(P2578="Gasto",P2578="Reembolso"),D2578=""),"⚠ Falta categoría",IF(AND(D2578&lt;&gt;"",E2578&lt;&gt;"",ISNA(MATCH(D2578&amp;"|"&amp;E2578,catClave,0))),"⚠ Subcategoría no corresponde",IF(AND(OR(P2578="Transferencia",P2578="Pago tarjeta"),K2578=""),"⚠ Falta cuenta destino",IF(AND(K2578&lt;&gt;"",P2578&lt;&gt;"Transferencia",P2578&lt;&gt;"Pago tarjeta"),"⚠ Destino solo aplica a transferencias",IF(AND(K2578&lt;&gt;"",K2578=Q2578),"⚠ Origen igual a destino",IF(AND(K2578&lt;&gt;"",ISNA(MATCH(K2578,ctaNombre,0))),"⚠ Destino no registrado",IF(AND(P2578="Pago tarjeta",AE2578&lt;&gt;"Tarjeta de crédito"),"⚠ El destino debe ser tarjeta de crédito",IF(AND(P2578="Gasto",E2578="Depósitos y retiros"),"⚠ Usa tipo Transferencia",IF(AND(P2578="Resultado trading",AD2578&lt;&gt;"Cuenta de trading"),"⚠ Usa una cuenta de trading",IF(AND(G2578&lt;=0,P2578&lt;&gt;"Ajuste",P2578&lt;&gt;"Resultado trading"),"⚠ El monto debe ser positivo","✓")))))))))))))))</f>
        <v/>
      </c>
      <c r="P2578" s="52">
        <f>IF(OR(B2578="",G2578=""),"",IF(C2578="","Gasto",C2578))</f>
        <v/>
      </c>
      <c r="Q2578" s="52">
        <f>IF(P2578="","",IF(J2578&lt;&gt;"",J2578,CuentaPred&amp;""))</f>
        <v/>
      </c>
      <c r="R2578" s="52">
        <f>IF(P2578="","",IF(ISNUMBER(I2578),I2578,TasaUSD))</f>
        <v/>
      </c>
      <c r="S2578" s="53">
        <f>IF(P2578="","",IF(H2578="USD",G2578*R2578,G2578))</f>
        <v/>
      </c>
      <c r="T2578" s="53">
        <f>IF(P2578="","",IF(H2578="USD",G2578,IF(R2578&gt;0,G2578/R2578,0)))</f>
        <v/>
      </c>
      <c r="U2578" s="53">
        <f>IF(P2578="","",IF(P2578="Gasto",S2578,IF(P2578="Reembolso",-S2578,0)))</f>
        <v/>
      </c>
      <c r="V2578" s="53">
        <f>IF(P2578="","",IF(P2578="Ingreso",S2578,0))</f>
        <v/>
      </c>
      <c r="W2578" s="53">
        <f>IF(P2578="","",IF(P2578="Resultado trading",S2578,0))</f>
        <v/>
      </c>
      <c r="X2578" s="52">
        <f>IF(OR(P2578="Gasto",P2578="Reembolso"),IF(M2578&lt;&gt;"",M2578,IFERROR(INDEX(catClasif,MATCH(D2578&amp;"|"&amp;E2578,catClave,0))&amp;"","Variable")),"")</f>
        <v/>
      </c>
      <c r="Y2578" s="52">
        <f>IF(P2578="","",IFERROR(INDEX(catGrupo,MATCH(D2578&amp;"|"&amp;E2578,catClave,0))&amp;"",""))</f>
        <v/>
      </c>
      <c r="Z2578" s="52">
        <f>IF(P2578="","",WEEKDAY(B2578,2))</f>
        <v/>
      </c>
      <c r="AA2578" s="52">
        <f>IF(P2578="","",IF(AND(P2578="Gasto",X2578="Variable",D2578&lt;&gt;catTrading,S2578&gt;0,S2578&lt;=Umbral),1,0))</f>
        <v/>
      </c>
      <c r="AB2578" s="52">
        <f>IF(OR(P2578="",Q2578=""),"",IFERROR(IF(INDEX(ctaVinc,MATCH(Q2578,ctaNombre,0))&amp;""&lt;&gt;"",INDEX(ctaVinc,MATCH(Q2578,ctaNombre,0))&amp;"",Q2578),Q2578))</f>
        <v/>
      </c>
      <c r="AC2578" s="52">
        <f>IF(OR(K2578="",AND(P2578&lt;&gt;"Transferencia",P2578&lt;&gt;"Pago tarjeta")),"",IFERROR(IF(INDEX(ctaVinc,MATCH(K2578,ctaNombre,0))&amp;""&lt;&gt;"",INDEX(ctaVinc,MATCH(K2578,ctaNombre,0))&amp;"",K2578),K2578))</f>
        <v/>
      </c>
      <c r="AD2578" s="52">
        <f>IF(AB2578="","",IFERROR(INDEX(ctaTipo,MATCH(AB2578,ctaNombre,0))&amp;"",""))</f>
        <v/>
      </c>
      <c r="AE2578" s="52">
        <f>IF(AC2578="","",IFERROR(INDEX(ctaTipo,MATCH(AC2578,ctaNombre,0))&amp;"",""))</f>
        <v/>
      </c>
      <c r="AF2578" s="53">
        <f>IF(OR(P2578="",AB2578=""),"",IF(OR(P2578="Gasto",P2578="Transferencia",P2578="Pago tarjeta"),-1,1)*IF(IFERROR(INDEX(ctaMoneda,MATCH(AB2578,ctaNombre,0))&amp;"","DOP")="USD",T2578,S2578))</f>
        <v/>
      </c>
      <c r="AG2578" s="53">
        <f>IF(AC2578="","",IF(IFERROR(INDEX(ctaMoneda,MATCH(AC2578,ctaNombre,0))&amp;"","DOP")="USD",T2578,S2578))</f>
        <v/>
      </c>
      <c r="AH2578" s="53">
        <f>IF(P2578="","",IF(AND(AD2578&lt;&gt;"",COUNTIFS(tcTipo,AD2578,tcLiq,"Sí")&gt;0),IF(OR(P2578="Gasto",P2578="Transferencia",P2578="Pago tarjeta"),-1,1)*S2578,0)+IF(AND(AE2578&lt;&gt;"",COUNTIFS(tcTipo,AE2578,tcLiq,"Sí")&gt;0),S2578,0))</f>
        <v/>
      </c>
      <c r="AI2578" s="52">
        <f>IF(OR(L2578="",P2578=""),"",IF(COUNTIFS(L$6:L2578,L2578,P$6:P2578,"?*")=1,MAX(AI$5:AI2577)+1,""))</f>
        <v/>
      </c>
    </row>
    <row r="2579">
      <c r="B2579" s="47" t="n"/>
      <c r="C2579" s="48" t="n"/>
      <c r="D2579" s="48" t="n"/>
      <c r="E2579" s="48" t="n"/>
      <c r="F2579" s="48" t="n"/>
      <c r="G2579" s="49" t="n"/>
      <c r="H2579" s="48" t="n"/>
      <c r="I2579" s="50" t="n"/>
      <c r="J2579" s="48" t="n"/>
      <c r="K2579" s="48" t="n"/>
      <c r="L2579" s="48" t="n"/>
      <c r="M2579" s="48" t="n"/>
      <c r="N2579" s="48" t="n"/>
      <c r="O2579" s="51">
        <f>IF(AND(B2579="",G2579="",C2579="",D2579="",J2579=""),"",IF(B2579="","⚠ Falta fecha",IF(G2579="","⚠ Falta monto",IF(Q2579="","⚠ Falta cuenta",IF(ISNA(MATCH(Q2579,ctaNombre,0)),"⚠ Cuenta no registrada",IF(AND(OR(P2579="Gasto",P2579="Reembolso"),D2579=""),"⚠ Falta categoría",IF(AND(D2579&lt;&gt;"",E2579&lt;&gt;"",ISNA(MATCH(D2579&amp;"|"&amp;E2579,catClave,0))),"⚠ Subcategoría no corresponde",IF(AND(OR(P2579="Transferencia",P2579="Pago tarjeta"),K2579=""),"⚠ Falta cuenta destino",IF(AND(K2579&lt;&gt;"",P2579&lt;&gt;"Transferencia",P2579&lt;&gt;"Pago tarjeta"),"⚠ Destino solo aplica a transferencias",IF(AND(K2579&lt;&gt;"",K2579=Q2579),"⚠ Origen igual a destino",IF(AND(K2579&lt;&gt;"",ISNA(MATCH(K2579,ctaNombre,0))),"⚠ Destino no registrado",IF(AND(P2579="Pago tarjeta",AE2579&lt;&gt;"Tarjeta de crédito"),"⚠ El destino debe ser tarjeta de crédito",IF(AND(P2579="Gasto",E2579="Depósitos y retiros"),"⚠ Usa tipo Transferencia",IF(AND(P2579="Resultado trading",AD2579&lt;&gt;"Cuenta de trading"),"⚠ Usa una cuenta de trading",IF(AND(G2579&lt;=0,P2579&lt;&gt;"Ajuste",P2579&lt;&gt;"Resultado trading"),"⚠ El monto debe ser positivo","✓")))))))))))))))</f>
        <v/>
      </c>
      <c r="P2579" s="52">
        <f>IF(OR(B2579="",G2579=""),"",IF(C2579="","Gasto",C2579))</f>
        <v/>
      </c>
      <c r="Q2579" s="52">
        <f>IF(P2579="","",IF(J2579&lt;&gt;"",J2579,CuentaPred&amp;""))</f>
        <v/>
      </c>
      <c r="R2579" s="52">
        <f>IF(P2579="","",IF(ISNUMBER(I2579),I2579,TasaUSD))</f>
        <v/>
      </c>
      <c r="S2579" s="53">
        <f>IF(P2579="","",IF(H2579="USD",G2579*R2579,G2579))</f>
        <v/>
      </c>
      <c r="T2579" s="53">
        <f>IF(P2579="","",IF(H2579="USD",G2579,IF(R2579&gt;0,G2579/R2579,0)))</f>
        <v/>
      </c>
      <c r="U2579" s="53">
        <f>IF(P2579="","",IF(P2579="Gasto",S2579,IF(P2579="Reembolso",-S2579,0)))</f>
        <v/>
      </c>
      <c r="V2579" s="53">
        <f>IF(P2579="","",IF(P2579="Ingreso",S2579,0))</f>
        <v/>
      </c>
      <c r="W2579" s="53">
        <f>IF(P2579="","",IF(P2579="Resultado trading",S2579,0))</f>
        <v/>
      </c>
      <c r="X2579" s="52">
        <f>IF(OR(P2579="Gasto",P2579="Reembolso"),IF(M2579&lt;&gt;"",M2579,IFERROR(INDEX(catClasif,MATCH(D2579&amp;"|"&amp;E2579,catClave,0))&amp;"","Variable")),"")</f>
        <v/>
      </c>
      <c r="Y2579" s="52">
        <f>IF(P2579="","",IFERROR(INDEX(catGrupo,MATCH(D2579&amp;"|"&amp;E2579,catClave,0))&amp;"",""))</f>
        <v/>
      </c>
      <c r="Z2579" s="52">
        <f>IF(P2579="","",WEEKDAY(B2579,2))</f>
        <v/>
      </c>
      <c r="AA2579" s="52">
        <f>IF(P2579="","",IF(AND(P2579="Gasto",X2579="Variable",D2579&lt;&gt;catTrading,S2579&gt;0,S2579&lt;=Umbral),1,0))</f>
        <v/>
      </c>
      <c r="AB2579" s="52">
        <f>IF(OR(P2579="",Q2579=""),"",IFERROR(IF(INDEX(ctaVinc,MATCH(Q2579,ctaNombre,0))&amp;""&lt;&gt;"",INDEX(ctaVinc,MATCH(Q2579,ctaNombre,0))&amp;"",Q2579),Q2579))</f>
        <v/>
      </c>
      <c r="AC2579" s="52">
        <f>IF(OR(K2579="",AND(P2579&lt;&gt;"Transferencia",P2579&lt;&gt;"Pago tarjeta")),"",IFERROR(IF(INDEX(ctaVinc,MATCH(K2579,ctaNombre,0))&amp;""&lt;&gt;"",INDEX(ctaVinc,MATCH(K2579,ctaNombre,0))&amp;"",K2579),K2579))</f>
        <v/>
      </c>
      <c r="AD2579" s="52">
        <f>IF(AB2579="","",IFERROR(INDEX(ctaTipo,MATCH(AB2579,ctaNombre,0))&amp;"",""))</f>
        <v/>
      </c>
      <c r="AE2579" s="52">
        <f>IF(AC2579="","",IFERROR(INDEX(ctaTipo,MATCH(AC2579,ctaNombre,0))&amp;"",""))</f>
        <v/>
      </c>
      <c r="AF2579" s="53">
        <f>IF(OR(P2579="",AB2579=""),"",IF(OR(P2579="Gasto",P2579="Transferencia",P2579="Pago tarjeta"),-1,1)*IF(IFERROR(INDEX(ctaMoneda,MATCH(AB2579,ctaNombre,0))&amp;"","DOP")="USD",T2579,S2579))</f>
        <v/>
      </c>
      <c r="AG2579" s="53">
        <f>IF(AC2579="","",IF(IFERROR(INDEX(ctaMoneda,MATCH(AC2579,ctaNombre,0))&amp;"","DOP")="USD",T2579,S2579))</f>
        <v/>
      </c>
      <c r="AH2579" s="53">
        <f>IF(P2579="","",IF(AND(AD2579&lt;&gt;"",COUNTIFS(tcTipo,AD2579,tcLiq,"Sí")&gt;0),IF(OR(P2579="Gasto",P2579="Transferencia",P2579="Pago tarjeta"),-1,1)*S2579,0)+IF(AND(AE2579&lt;&gt;"",COUNTIFS(tcTipo,AE2579,tcLiq,"Sí")&gt;0),S2579,0))</f>
        <v/>
      </c>
      <c r="AI2579" s="52">
        <f>IF(OR(L2579="",P2579=""),"",IF(COUNTIFS(L$6:L2579,L2579,P$6:P2579,"?*")=1,MAX(AI$5:AI2578)+1,""))</f>
        <v/>
      </c>
    </row>
    <row r="2580">
      <c r="B2580" s="47" t="n"/>
      <c r="C2580" s="48" t="n"/>
      <c r="D2580" s="48" t="n"/>
      <c r="E2580" s="48" t="n"/>
      <c r="F2580" s="48" t="n"/>
      <c r="G2580" s="49" t="n"/>
      <c r="H2580" s="48" t="n"/>
      <c r="I2580" s="50" t="n"/>
      <c r="J2580" s="48" t="n"/>
      <c r="K2580" s="48" t="n"/>
      <c r="L2580" s="48" t="n"/>
      <c r="M2580" s="48" t="n"/>
      <c r="N2580" s="48" t="n"/>
      <c r="O2580" s="51">
        <f>IF(AND(B2580="",G2580="",C2580="",D2580="",J2580=""),"",IF(B2580="","⚠ Falta fecha",IF(G2580="","⚠ Falta monto",IF(Q2580="","⚠ Falta cuenta",IF(ISNA(MATCH(Q2580,ctaNombre,0)),"⚠ Cuenta no registrada",IF(AND(OR(P2580="Gasto",P2580="Reembolso"),D2580=""),"⚠ Falta categoría",IF(AND(D2580&lt;&gt;"",E2580&lt;&gt;"",ISNA(MATCH(D2580&amp;"|"&amp;E2580,catClave,0))),"⚠ Subcategoría no corresponde",IF(AND(OR(P2580="Transferencia",P2580="Pago tarjeta"),K2580=""),"⚠ Falta cuenta destino",IF(AND(K2580&lt;&gt;"",P2580&lt;&gt;"Transferencia",P2580&lt;&gt;"Pago tarjeta"),"⚠ Destino solo aplica a transferencias",IF(AND(K2580&lt;&gt;"",K2580=Q2580),"⚠ Origen igual a destino",IF(AND(K2580&lt;&gt;"",ISNA(MATCH(K2580,ctaNombre,0))),"⚠ Destino no registrado",IF(AND(P2580="Pago tarjeta",AE2580&lt;&gt;"Tarjeta de crédito"),"⚠ El destino debe ser tarjeta de crédito",IF(AND(P2580="Gasto",E2580="Depósitos y retiros"),"⚠ Usa tipo Transferencia",IF(AND(P2580="Resultado trading",AD2580&lt;&gt;"Cuenta de trading"),"⚠ Usa una cuenta de trading",IF(AND(G2580&lt;=0,P2580&lt;&gt;"Ajuste",P2580&lt;&gt;"Resultado trading"),"⚠ El monto debe ser positivo","✓")))))))))))))))</f>
        <v/>
      </c>
      <c r="P2580" s="52">
        <f>IF(OR(B2580="",G2580=""),"",IF(C2580="","Gasto",C2580))</f>
        <v/>
      </c>
      <c r="Q2580" s="52">
        <f>IF(P2580="","",IF(J2580&lt;&gt;"",J2580,CuentaPred&amp;""))</f>
        <v/>
      </c>
      <c r="R2580" s="52">
        <f>IF(P2580="","",IF(ISNUMBER(I2580),I2580,TasaUSD))</f>
        <v/>
      </c>
      <c r="S2580" s="53">
        <f>IF(P2580="","",IF(H2580="USD",G2580*R2580,G2580))</f>
        <v/>
      </c>
      <c r="T2580" s="53">
        <f>IF(P2580="","",IF(H2580="USD",G2580,IF(R2580&gt;0,G2580/R2580,0)))</f>
        <v/>
      </c>
      <c r="U2580" s="53">
        <f>IF(P2580="","",IF(P2580="Gasto",S2580,IF(P2580="Reembolso",-S2580,0)))</f>
        <v/>
      </c>
      <c r="V2580" s="53">
        <f>IF(P2580="","",IF(P2580="Ingreso",S2580,0))</f>
        <v/>
      </c>
      <c r="W2580" s="53">
        <f>IF(P2580="","",IF(P2580="Resultado trading",S2580,0))</f>
        <v/>
      </c>
      <c r="X2580" s="52">
        <f>IF(OR(P2580="Gasto",P2580="Reembolso"),IF(M2580&lt;&gt;"",M2580,IFERROR(INDEX(catClasif,MATCH(D2580&amp;"|"&amp;E2580,catClave,0))&amp;"","Variable")),"")</f>
        <v/>
      </c>
      <c r="Y2580" s="52">
        <f>IF(P2580="","",IFERROR(INDEX(catGrupo,MATCH(D2580&amp;"|"&amp;E2580,catClave,0))&amp;"",""))</f>
        <v/>
      </c>
      <c r="Z2580" s="52">
        <f>IF(P2580="","",WEEKDAY(B2580,2))</f>
        <v/>
      </c>
      <c r="AA2580" s="52">
        <f>IF(P2580="","",IF(AND(P2580="Gasto",X2580="Variable",D2580&lt;&gt;catTrading,S2580&gt;0,S2580&lt;=Umbral),1,0))</f>
        <v/>
      </c>
      <c r="AB2580" s="52">
        <f>IF(OR(P2580="",Q2580=""),"",IFERROR(IF(INDEX(ctaVinc,MATCH(Q2580,ctaNombre,0))&amp;""&lt;&gt;"",INDEX(ctaVinc,MATCH(Q2580,ctaNombre,0))&amp;"",Q2580),Q2580))</f>
        <v/>
      </c>
      <c r="AC2580" s="52">
        <f>IF(OR(K2580="",AND(P2580&lt;&gt;"Transferencia",P2580&lt;&gt;"Pago tarjeta")),"",IFERROR(IF(INDEX(ctaVinc,MATCH(K2580,ctaNombre,0))&amp;""&lt;&gt;"",INDEX(ctaVinc,MATCH(K2580,ctaNombre,0))&amp;"",K2580),K2580))</f>
        <v/>
      </c>
      <c r="AD2580" s="52">
        <f>IF(AB2580="","",IFERROR(INDEX(ctaTipo,MATCH(AB2580,ctaNombre,0))&amp;"",""))</f>
        <v/>
      </c>
      <c r="AE2580" s="52">
        <f>IF(AC2580="","",IFERROR(INDEX(ctaTipo,MATCH(AC2580,ctaNombre,0))&amp;"",""))</f>
        <v/>
      </c>
      <c r="AF2580" s="53">
        <f>IF(OR(P2580="",AB2580=""),"",IF(OR(P2580="Gasto",P2580="Transferencia",P2580="Pago tarjeta"),-1,1)*IF(IFERROR(INDEX(ctaMoneda,MATCH(AB2580,ctaNombre,0))&amp;"","DOP")="USD",T2580,S2580))</f>
        <v/>
      </c>
      <c r="AG2580" s="53">
        <f>IF(AC2580="","",IF(IFERROR(INDEX(ctaMoneda,MATCH(AC2580,ctaNombre,0))&amp;"","DOP")="USD",T2580,S2580))</f>
        <v/>
      </c>
      <c r="AH2580" s="53">
        <f>IF(P2580="","",IF(AND(AD2580&lt;&gt;"",COUNTIFS(tcTipo,AD2580,tcLiq,"Sí")&gt;0),IF(OR(P2580="Gasto",P2580="Transferencia",P2580="Pago tarjeta"),-1,1)*S2580,0)+IF(AND(AE2580&lt;&gt;"",COUNTIFS(tcTipo,AE2580,tcLiq,"Sí")&gt;0),S2580,0))</f>
        <v/>
      </c>
      <c r="AI2580" s="52">
        <f>IF(OR(L2580="",P2580=""),"",IF(COUNTIFS(L$6:L2580,L2580,P$6:P2580,"?*")=1,MAX(AI$5:AI2579)+1,""))</f>
        <v/>
      </c>
    </row>
    <row r="2581">
      <c r="B2581" s="47" t="n"/>
      <c r="C2581" s="48" t="n"/>
      <c r="D2581" s="48" t="n"/>
      <c r="E2581" s="48" t="n"/>
      <c r="F2581" s="48" t="n"/>
      <c r="G2581" s="49" t="n"/>
      <c r="H2581" s="48" t="n"/>
      <c r="I2581" s="50" t="n"/>
      <c r="J2581" s="48" t="n"/>
      <c r="K2581" s="48" t="n"/>
      <c r="L2581" s="48" t="n"/>
      <c r="M2581" s="48" t="n"/>
      <c r="N2581" s="48" t="n"/>
      <c r="O2581" s="51">
        <f>IF(AND(B2581="",G2581="",C2581="",D2581="",J2581=""),"",IF(B2581="","⚠ Falta fecha",IF(G2581="","⚠ Falta monto",IF(Q2581="","⚠ Falta cuenta",IF(ISNA(MATCH(Q2581,ctaNombre,0)),"⚠ Cuenta no registrada",IF(AND(OR(P2581="Gasto",P2581="Reembolso"),D2581=""),"⚠ Falta categoría",IF(AND(D2581&lt;&gt;"",E2581&lt;&gt;"",ISNA(MATCH(D2581&amp;"|"&amp;E2581,catClave,0))),"⚠ Subcategoría no corresponde",IF(AND(OR(P2581="Transferencia",P2581="Pago tarjeta"),K2581=""),"⚠ Falta cuenta destino",IF(AND(K2581&lt;&gt;"",P2581&lt;&gt;"Transferencia",P2581&lt;&gt;"Pago tarjeta"),"⚠ Destino solo aplica a transferencias",IF(AND(K2581&lt;&gt;"",K2581=Q2581),"⚠ Origen igual a destino",IF(AND(K2581&lt;&gt;"",ISNA(MATCH(K2581,ctaNombre,0))),"⚠ Destino no registrado",IF(AND(P2581="Pago tarjeta",AE2581&lt;&gt;"Tarjeta de crédito"),"⚠ El destino debe ser tarjeta de crédito",IF(AND(P2581="Gasto",E2581="Depósitos y retiros"),"⚠ Usa tipo Transferencia",IF(AND(P2581="Resultado trading",AD2581&lt;&gt;"Cuenta de trading"),"⚠ Usa una cuenta de trading",IF(AND(G2581&lt;=0,P2581&lt;&gt;"Ajuste",P2581&lt;&gt;"Resultado trading"),"⚠ El monto debe ser positivo","✓")))))))))))))))</f>
        <v/>
      </c>
      <c r="P2581" s="52">
        <f>IF(OR(B2581="",G2581=""),"",IF(C2581="","Gasto",C2581))</f>
        <v/>
      </c>
      <c r="Q2581" s="52">
        <f>IF(P2581="","",IF(J2581&lt;&gt;"",J2581,CuentaPred&amp;""))</f>
        <v/>
      </c>
      <c r="R2581" s="52">
        <f>IF(P2581="","",IF(ISNUMBER(I2581),I2581,TasaUSD))</f>
        <v/>
      </c>
      <c r="S2581" s="53">
        <f>IF(P2581="","",IF(H2581="USD",G2581*R2581,G2581))</f>
        <v/>
      </c>
      <c r="T2581" s="53">
        <f>IF(P2581="","",IF(H2581="USD",G2581,IF(R2581&gt;0,G2581/R2581,0)))</f>
        <v/>
      </c>
      <c r="U2581" s="53">
        <f>IF(P2581="","",IF(P2581="Gasto",S2581,IF(P2581="Reembolso",-S2581,0)))</f>
        <v/>
      </c>
      <c r="V2581" s="53">
        <f>IF(P2581="","",IF(P2581="Ingreso",S2581,0))</f>
        <v/>
      </c>
      <c r="W2581" s="53">
        <f>IF(P2581="","",IF(P2581="Resultado trading",S2581,0))</f>
        <v/>
      </c>
      <c r="X2581" s="52">
        <f>IF(OR(P2581="Gasto",P2581="Reembolso"),IF(M2581&lt;&gt;"",M2581,IFERROR(INDEX(catClasif,MATCH(D2581&amp;"|"&amp;E2581,catClave,0))&amp;"","Variable")),"")</f>
        <v/>
      </c>
      <c r="Y2581" s="52">
        <f>IF(P2581="","",IFERROR(INDEX(catGrupo,MATCH(D2581&amp;"|"&amp;E2581,catClave,0))&amp;"",""))</f>
        <v/>
      </c>
      <c r="Z2581" s="52">
        <f>IF(P2581="","",WEEKDAY(B2581,2))</f>
        <v/>
      </c>
      <c r="AA2581" s="52">
        <f>IF(P2581="","",IF(AND(P2581="Gasto",X2581="Variable",D2581&lt;&gt;catTrading,S2581&gt;0,S2581&lt;=Umbral),1,0))</f>
        <v/>
      </c>
      <c r="AB2581" s="52">
        <f>IF(OR(P2581="",Q2581=""),"",IFERROR(IF(INDEX(ctaVinc,MATCH(Q2581,ctaNombre,0))&amp;""&lt;&gt;"",INDEX(ctaVinc,MATCH(Q2581,ctaNombre,0))&amp;"",Q2581),Q2581))</f>
        <v/>
      </c>
      <c r="AC2581" s="52">
        <f>IF(OR(K2581="",AND(P2581&lt;&gt;"Transferencia",P2581&lt;&gt;"Pago tarjeta")),"",IFERROR(IF(INDEX(ctaVinc,MATCH(K2581,ctaNombre,0))&amp;""&lt;&gt;"",INDEX(ctaVinc,MATCH(K2581,ctaNombre,0))&amp;"",K2581),K2581))</f>
        <v/>
      </c>
      <c r="AD2581" s="52">
        <f>IF(AB2581="","",IFERROR(INDEX(ctaTipo,MATCH(AB2581,ctaNombre,0))&amp;"",""))</f>
        <v/>
      </c>
      <c r="AE2581" s="52">
        <f>IF(AC2581="","",IFERROR(INDEX(ctaTipo,MATCH(AC2581,ctaNombre,0))&amp;"",""))</f>
        <v/>
      </c>
      <c r="AF2581" s="53">
        <f>IF(OR(P2581="",AB2581=""),"",IF(OR(P2581="Gasto",P2581="Transferencia",P2581="Pago tarjeta"),-1,1)*IF(IFERROR(INDEX(ctaMoneda,MATCH(AB2581,ctaNombre,0))&amp;"","DOP")="USD",T2581,S2581))</f>
        <v/>
      </c>
      <c r="AG2581" s="53">
        <f>IF(AC2581="","",IF(IFERROR(INDEX(ctaMoneda,MATCH(AC2581,ctaNombre,0))&amp;"","DOP")="USD",T2581,S2581))</f>
        <v/>
      </c>
      <c r="AH2581" s="53">
        <f>IF(P2581="","",IF(AND(AD2581&lt;&gt;"",COUNTIFS(tcTipo,AD2581,tcLiq,"Sí")&gt;0),IF(OR(P2581="Gasto",P2581="Transferencia",P2581="Pago tarjeta"),-1,1)*S2581,0)+IF(AND(AE2581&lt;&gt;"",COUNTIFS(tcTipo,AE2581,tcLiq,"Sí")&gt;0),S2581,0))</f>
        <v/>
      </c>
      <c r="AI2581" s="52">
        <f>IF(OR(L2581="",P2581=""),"",IF(COUNTIFS(L$6:L2581,L2581,P$6:P2581,"?*")=1,MAX(AI$5:AI2580)+1,""))</f>
        <v/>
      </c>
    </row>
    <row r="2582">
      <c r="B2582" s="47" t="n"/>
      <c r="C2582" s="48" t="n"/>
      <c r="D2582" s="48" t="n"/>
      <c r="E2582" s="48" t="n"/>
      <c r="F2582" s="48" t="n"/>
      <c r="G2582" s="49" t="n"/>
      <c r="H2582" s="48" t="n"/>
      <c r="I2582" s="50" t="n"/>
      <c r="J2582" s="48" t="n"/>
      <c r="K2582" s="48" t="n"/>
      <c r="L2582" s="48" t="n"/>
      <c r="M2582" s="48" t="n"/>
      <c r="N2582" s="48" t="n"/>
      <c r="O2582" s="51">
        <f>IF(AND(B2582="",G2582="",C2582="",D2582="",J2582=""),"",IF(B2582="","⚠ Falta fecha",IF(G2582="","⚠ Falta monto",IF(Q2582="","⚠ Falta cuenta",IF(ISNA(MATCH(Q2582,ctaNombre,0)),"⚠ Cuenta no registrada",IF(AND(OR(P2582="Gasto",P2582="Reembolso"),D2582=""),"⚠ Falta categoría",IF(AND(D2582&lt;&gt;"",E2582&lt;&gt;"",ISNA(MATCH(D2582&amp;"|"&amp;E2582,catClave,0))),"⚠ Subcategoría no corresponde",IF(AND(OR(P2582="Transferencia",P2582="Pago tarjeta"),K2582=""),"⚠ Falta cuenta destino",IF(AND(K2582&lt;&gt;"",P2582&lt;&gt;"Transferencia",P2582&lt;&gt;"Pago tarjeta"),"⚠ Destino solo aplica a transferencias",IF(AND(K2582&lt;&gt;"",K2582=Q2582),"⚠ Origen igual a destino",IF(AND(K2582&lt;&gt;"",ISNA(MATCH(K2582,ctaNombre,0))),"⚠ Destino no registrado",IF(AND(P2582="Pago tarjeta",AE2582&lt;&gt;"Tarjeta de crédito"),"⚠ El destino debe ser tarjeta de crédito",IF(AND(P2582="Gasto",E2582="Depósitos y retiros"),"⚠ Usa tipo Transferencia",IF(AND(P2582="Resultado trading",AD2582&lt;&gt;"Cuenta de trading"),"⚠ Usa una cuenta de trading",IF(AND(G2582&lt;=0,P2582&lt;&gt;"Ajuste",P2582&lt;&gt;"Resultado trading"),"⚠ El monto debe ser positivo","✓")))))))))))))))</f>
        <v/>
      </c>
      <c r="P2582" s="52">
        <f>IF(OR(B2582="",G2582=""),"",IF(C2582="","Gasto",C2582))</f>
        <v/>
      </c>
      <c r="Q2582" s="52">
        <f>IF(P2582="","",IF(J2582&lt;&gt;"",J2582,CuentaPred&amp;""))</f>
        <v/>
      </c>
      <c r="R2582" s="52">
        <f>IF(P2582="","",IF(ISNUMBER(I2582),I2582,TasaUSD))</f>
        <v/>
      </c>
      <c r="S2582" s="53">
        <f>IF(P2582="","",IF(H2582="USD",G2582*R2582,G2582))</f>
        <v/>
      </c>
      <c r="T2582" s="53">
        <f>IF(P2582="","",IF(H2582="USD",G2582,IF(R2582&gt;0,G2582/R2582,0)))</f>
        <v/>
      </c>
      <c r="U2582" s="53">
        <f>IF(P2582="","",IF(P2582="Gasto",S2582,IF(P2582="Reembolso",-S2582,0)))</f>
        <v/>
      </c>
      <c r="V2582" s="53">
        <f>IF(P2582="","",IF(P2582="Ingreso",S2582,0))</f>
        <v/>
      </c>
      <c r="W2582" s="53">
        <f>IF(P2582="","",IF(P2582="Resultado trading",S2582,0))</f>
        <v/>
      </c>
      <c r="X2582" s="52">
        <f>IF(OR(P2582="Gasto",P2582="Reembolso"),IF(M2582&lt;&gt;"",M2582,IFERROR(INDEX(catClasif,MATCH(D2582&amp;"|"&amp;E2582,catClave,0))&amp;"","Variable")),"")</f>
        <v/>
      </c>
      <c r="Y2582" s="52">
        <f>IF(P2582="","",IFERROR(INDEX(catGrupo,MATCH(D2582&amp;"|"&amp;E2582,catClave,0))&amp;"",""))</f>
        <v/>
      </c>
      <c r="Z2582" s="52">
        <f>IF(P2582="","",WEEKDAY(B2582,2))</f>
        <v/>
      </c>
      <c r="AA2582" s="52">
        <f>IF(P2582="","",IF(AND(P2582="Gasto",X2582="Variable",D2582&lt;&gt;catTrading,S2582&gt;0,S2582&lt;=Umbral),1,0))</f>
        <v/>
      </c>
      <c r="AB2582" s="52">
        <f>IF(OR(P2582="",Q2582=""),"",IFERROR(IF(INDEX(ctaVinc,MATCH(Q2582,ctaNombre,0))&amp;""&lt;&gt;"",INDEX(ctaVinc,MATCH(Q2582,ctaNombre,0))&amp;"",Q2582),Q2582))</f>
        <v/>
      </c>
      <c r="AC2582" s="52">
        <f>IF(OR(K2582="",AND(P2582&lt;&gt;"Transferencia",P2582&lt;&gt;"Pago tarjeta")),"",IFERROR(IF(INDEX(ctaVinc,MATCH(K2582,ctaNombre,0))&amp;""&lt;&gt;"",INDEX(ctaVinc,MATCH(K2582,ctaNombre,0))&amp;"",K2582),K2582))</f>
        <v/>
      </c>
      <c r="AD2582" s="52">
        <f>IF(AB2582="","",IFERROR(INDEX(ctaTipo,MATCH(AB2582,ctaNombre,0))&amp;"",""))</f>
        <v/>
      </c>
      <c r="AE2582" s="52">
        <f>IF(AC2582="","",IFERROR(INDEX(ctaTipo,MATCH(AC2582,ctaNombre,0))&amp;"",""))</f>
        <v/>
      </c>
      <c r="AF2582" s="53">
        <f>IF(OR(P2582="",AB2582=""),"",IF(OR(P2582="Gasto",P2582="Transferencia",P2582="Pago tarjeta"),-1,1)*IF(IFERROR(INDEX(ctaMoneda,MATCH(AB2582,ctaNombre,0))&amp;"","DOP")="USD",T2582,S2582))</f>
        <v/>
      </c>
      <c r="AG2582" s="53">
        <f>IF(AC2582="","",IF(IFERROR(INDEX(ctaMoneda,MATCH(AC2582,ctaNombre,0))&amp;"","DOP")="USD",T2582,S2582))</f>
        <v/>
      </c>
      <c r="AH2582" s="53">
        <f>IF(P2582="","",IF(AND(AD2582&lt;&gt;"",COUNTIFS(tcTipo,AD2582,tcLiq,"Sí")&gt;0),IF(OR(P2582="Gasto",P2582="Transferencia",P2582="Pago tarjeta"),-1,1)*S2582,0)+IF(AND(AE2582&lt;&gt;"",COUNTIFS(tcTipo,AE2582,tcLiq,"Sí")&gt;0),S2582,0))</f>
        <v/>
      </c>
      <c r="AI2582" s="52">
        <f>IF(OR(L2582="",P2582=""),"",IF(COUNTIFS(L$6:L2582,L2582,P$6:P2582,"?*")=1,MAX(AI$5:AI2581)+1,""))</f>
        <v/>
      </c>
    </row>
    <row r="2583">
      <c r="B2583" s="47" t="n"/>
      <c r="C2583" s="48" t="n"/>
      <c r="D2583" s="48" t="n"/>
      <c r="E2583" s="48" t="n"/>
      <c r="F2583" s="48" t="n"/>
      <c r="G2583" s="49" t="n"/>
      <c r="H2583" s="48" t="n"/>
      <c r="I2583" s="50" t="n"/>
      <c r="J2583" s="48" t="n"/>
      <c r="K2583" s="48" t="n"/>
      <c r="L2583" s="48" t="n"/>
      <c r="M2583" s="48" t="n"/>
      <c r="N2583" s="48" t="n"/>
      <c r="O2583" s="51">
        <f>IF(AND(B2583="",G2583="",C2583="",D2583="",J2583=""),"",IF(B2583="","⚠ Falta fecha",IF(G2583="","⚠ Falta monto",IF(Q2583="","⚠ Falta cuenta",IF(ISNA(MATCH(Q2583,ctaNombre,0)),"⚠ Cuenta no registrada",IF(AND(OR(P2583="Gasto",P2583="Reembolso"),D2583=""),"⚠ Falta categoría",IF(AND(D2583&lt;&gt;"",E2583&lt;&gt;"",ISNA(MATCH(D2583&amp;"|"&amp;E2583,catClave,0))),"⚠ Subcategoría no corresponde",IF(AND(OR(P2583="Transferencia",P2583="Pago tarjeta"),K2583=""),"⚠ Falta cuenta destino",IF(AND(K2583&lt;&gt;"",P2583&lt;&gt;"Transferencia",P2583&lt;&gt;"Pago tarjeta"),"⚠ Destino solo aplica a transferencias",IF(AND(K2583&lt;&gt;"",K2583=Q2583),"⚠ Origen igual a destino",IF(AND(K2583&lt;&gt;"",ISNA(MATCH(K2583,ctaNombre,0))),"⚠ Destino no registrado",IF(AND(P2583="Pago tarjeta",AE2583&lt;&gt;"Tarjeta de crédito"),"⚠ El destino debe ser tarjeta de crédito",IF(AND(P2583="Gasto",E2583="Depósitos y retiros"),"⚠ Usa tipo Transferencia",IF(AND(P2583="Resultado trading",AD2583&lt;&gt;"Cuenta de trading"),"⚠ Usa una cuenta de trading",IF(AND(G2583&lt;=0,P2583&lt;&gt;"Ajuste",P2583&lt;&gt;"Resultado trading"),"⚠ El monto debe ser positivo","✓")))))))))))))))</f>
        <v/>
      </c>
      <c r="P2583" s="52">
        <f>IF(OR(B2583="",G2583=""),"",IF(C2583="","Gasto",C2583))</f>
        <v/>
      </c>
      <c r="Q2583" s="52">
        <f>IF(P2583="","",IF(J2583&lt;&gt;"",J2583,CuentaPred&amp;""))</f>
        <v/>
      </c>
      <c r="R2583" s="52">
        <f>IF(P2583="","",IF(ISNUMBER(I2583),I2583,TasaUSD))</f>
        <v/>
      </c>
      <c r="S2583" s="53">
        <f>IF(P2583="","",IF(H2583="USD",G2583*R2583,G2583))</f>
        <v/>
      </c>
      <c r="T2583" s="53">
        <f>IF(P2583="","",IF(H2583="USD",G2583,IF(R2583&gt;0,G2583/R2583,0)))</f>
        <v/>
      </c>
      <c r="U2583" s="53">
        <f>IF(P2583="","",IF(P2583="Gasto",S2583,IF(P2583="Reembolso",-S2583,0)))</f>
        <v/>
      </c>
      <c r="V2583" s="53">
        <f>IF(P2583="","",IF(P2583="Ingreso",S2583,0))</f>
        <v/>
      </c>
      <c r="W2583" s="53">
        <f>IF(P2583="","",IF(P2583="Resultado trading",S2583,0))</f>
        <v/>
      </c>
      <c r="X2583" s="52">
        <f>IF(OR(P2583="Gasto",P2583="Reembolso"),IF(M2583&lt;&gt;"",M2583,IFERROR(INDEX(catClasif,MATCH(D2583&amp;"|"&amp;E2583,catClave,0))&amp;"","Variable")),"")</f>
        <v/>
      </c>
      <c r="Y2583" s="52">
        <f>IF(P2583="","",IFERROR(INDEX(catGrupo,MATCH(D2583&amp;"|"&amp;E2583,catClave,0))&amp;"",""))</f>
        <v/>
      </c>
      <c r="Z2583" s="52">
        <f>IF(P2583="","",WEEKDAY(B2583,2))</f>
        <v/>
      </c>
      <c r="AA2583" s="52">
        <f>IF(P2583="","",IF(AND(P2583="Gasto",X2583="Variable",D2583&lt;&gt;catTrading,S2583&gt;0,S2583&lt;=Umbral),1,0))</f>
        <v/>
      </c>
      <c r="AB2583" s="52">
        <f>IF(OR(P2583="",Q2583=""),"",IFERROR(IF(INDEX(ctaVinc,MATCH(Q2583,ctaNombre,0))&amp;""&lt;&gt;"",INDEX(ctaVinc,MATCH(Q2583,ctaNombre,0))&amp;"",Q2583),Q2583))</f>
        <v/>
      </c>
      <c r="AC2583" s="52">
        <f>IF(OR(K2583="",AND(P2583&lt;&gt;"Transferencia",P2583&lt;&gt;"Pago tarjeta")),"",IFERROR(IF(INDEX(ctaVinc,MATCH(K2583,ctaNombre,0))&amp;""&lt;&gt;"",INDEX(ctaVinc,MATCH(K2583,ctaNombre,0))&amp;"",K2583),K2583))</f>
        <v/>
      </c>
      <c r="AD2583" s="52">
        <f>IF(AB2583="","",IFERROR(INDEX(ctaTipo,MATCH(AB2583,ctaNombre,0))&amp;"",""))</f>
        <v/>
      </c>
      <c r="AE2583" s="52">
        <f>IF(AC2583="","",IFERROR(INDEX(ctaTipo,MATCH(AC2583,ctaNombre,0))&amp;"",""))</f>
        <v/>
      </c>
      <c r="AF2583" s="53">
        <f>IF(OR(P2583="",AB2583=""),"",IF(OR(P2583="Gasto",P2583="Transferencia",P2583="Pago tarjeta"),-1,1)*IF(IFERROR(INDEX(ctaMoneda,MATCH(AB2583,ctaNombre,0))&amp;"","DOP")="USD",T2583,S2583))</f>
        <v/>
      </c>
      <c r="AG2583" s="53">
        <f>IF(AC2583="","",IF(IFERROR(INDEX(ctaMoneda,MATCH(AC2583,ctaNombre,0))&amp;"","DOP")="USD",T2583,S2583))</f>
        <v/>
      </c>
      <c r="AH2583" s="53">
        <f>IF(P2583="","",IF(AND(AD2583&lt;&gt;"",COUNTIFS(tcTipo,AD2583,tcLiq,"Sí")&gt;0),IF(OR(P2583="Gasto",P2583="Transferencia",P2583="Pago tarjeta"),-1,1)*S2583,0)+IF(AND(AE2583&lt;&gt;"",COUNTIFS(tcTipo,AE2583,tcLiq,"Sí")&gt;0),S2583,0))</f>
        <v/>
      </c>
      <c r="AI2583" s="52">
        <f>IF(OR(L2583="",P2583=""),"",IF(COUNTIFS(L$6:L2583,L2583,P$6:P2583,"?*")=1,MAX(AI$5:AI2582)+1,""))</f>
        <v/>
      </c>
    </row>
    <row r="2584">
      <c r="B2584" s="47" t="n"/>
      <c r="C2584" s="48" t="n"/>
      <c r="D2584" s="48" t="n"/>
      <c r="E2584" s="48" t="n"/>
      <c r="F2584" s="48" t="n"/>
      <c r="G2584" s="49" t="n"/>
      <c r="H2584" s="48" t="n"/>
      <c r="I2584" s="50" t="n"/>
      <c r="J2584" s="48" t="n"/>
      <c r="K2584" s="48" t="n"/>
      <c r="L2584" s="48" t="n"/>
      <c r="M2584" s="48" t="n"/>
      <c r="N2584" s="48" t="n"/>
      <c r="O2584" s="51">
        <f>IF(AND(B2584="",G2584="",C2584="",D2584="",J2584=""),"",IF(B2584="","⚠ Falta fecha",IF(G2584="","⚠ Falta monto",IF(Q2584="","⚠ Falta cuenta",IF(ISNA(MATCH(Q2584,ctaNombre,0)),"⚠ Cuenta no registrada",IF(AND(OR(P2584="Gasto",P2584="Reembolso"),D2584=""),"⚠ Falta categoría",IF(AND(D2584&lt;&gt;"",E2584&lt;&gt;"",ISNA(MATCH(D2584&amp;"|"&amp;E2584,catClave,0))),"⚠ Subcategoría no corresponde",IF(AND(OR(P2584="Transferencia",P2584="Pago tarjeta"),K2584=""),"⚠ Falta cuenta destino",IF(AND(K2584&lt;&gt;"",P2584&lt;&gt;"Transferencia",P2584&lt;&gt;"Pago tarjeta"),"⚠ Destino solo aplica a transferencias",IF(AND(K2584&lt;&gt;"",K2584=Q2584),"⚠ Origen igual a destino",IF(AND(K2584&lt;&gt;"",ISNA(MATCH(K2584,ctaNombre,0))),"⚠ Destino no registrado",IF(AND(P2584="Pago tarjeta",AE2584&lt;&gt;"Tarjeta de crédito"),"⚠ El destino debe ser tarjeta de crédito",IF(AND(P2584="Gasto",E2584="Depósitos y retiros"),"⚠ Usa tipo Transferencia",IF(AND(P2584="Resultado trading",AD2584&lt;&gt;"Cuenta de trading"),"⚠ Usa una cuenta de trading",IF(AND(G2584&lt;=0,P2584&lt;&gt;"Ajuste",P2584&lt;&gt;"Resultado trading"),"⚠ El monto debe ser positivo","✓")))))))))))))))</f>
        <v/>
      </c>
      <c r="P2584" s="52">
        <f>IF(OR(B2584="",G2584=""),"",IF(C2584="","Gasto",C2584))</f>
        <v/>
      </c>
      <c r="Q2584" s="52">
        <f>IF(P2584="","",IF(J2584&lt;&gt;"",J2584,CuentaPred&amp;""))</f>
        <v/>
      </c>
      <c r="R2584" s="52">
        <f>IF(P2584="","",IF(ISNUMBER(I2584),I2584,TasaUSD))</f>
        <v/>
      </c>
      <c r="S2584" s="53">
        <f>IF(P2584="","",IF(H2584="USD",G2584*R2584,G2584))</f>
        <v/>
      </c>
      <c r="T2584" s="53">
        <f>IF(P2584="","",IF(H2584="USD",G2584,IF(R2584&gt;0,G2584/R2584,0)))</f>
        <v/>
      </c>
      <c r="U2584" s="53">
        <f>IF(P2584="","",IF(P2584="Gasto",S2584,IF(P2584="Reembolso",-S2584,0)))</f>
        <v/>
      </c>
      <c r="V2584" s="53">
        <f>IF(P2584="","",IF(P2584="Ingreso",S2584,0))</f>
        <v/>
      </c>
      <c r="W2584" s="53">
        <f>IF(P2584="","",IF(P2584="Resultado trading",S2584,0))</f>
        <v/>
      </c>
      <c r="X2584" s="52">
        <f>IF(OR(P2584="Gasto",P2584="Reembolso"),IF(M2584&lt;&gt;"",M2584,IFERROR(INDEX(catClasif,MATCH(D2584&amp;"|"&amp;E2584,catClave,0))&amp;"","Variable")),"")</f>
        <v/>
      </c>
      <c r="Y2584" s="52">
        <f>IF(P2584="","",IFERROR(INDEX(catGrupo,MATCH(D2584&amp;"|"&amp;E2584,catClave,0))&amp;"",""))</f>
        <v/>
      </c>
      <c r="Z2584" s="52">
        <f>IF(P2584="","",WEEKDAY(B2584,2))</f>
        <v/>
      </c>
      <c r="AA2584" s="52">
        <f>IF(P2584="","",IF(AND(P2584="Gasto",X2584="Variable",D2584&lt;&gt;catTrading,S2584&gt;0,S2584&lt;=Umbral),1,0))</f>
        <v/>
      </c>
      <c r="AB2584" s="52">
        <f>IF(OR(P2584="",Q2584=""),"",IFERROR(IF(INDEX(ctaVinc,MATCH(Q2584,ctaNombre,0))&amp;""&lt;&gt;"",INDEX(ctaVinc,MATCH(Q2584,ctaNombre,0))&amp;"",Q2584),Q2584))</f>
        <v/>
      </c>
      <c r="AC2584" s="52">
        <f>IF(OR(K2584="",AND(P2584&lt;&gt;"Transferencia",P2584&lt;&gt;"Pago tarjeta")),"",IFERROR(IF(INDEX(ctaVinc,MATCH(K2584,ctaNombre,0))&amp;""&lt;&gt;"",INDEX(ctaVinc,MATCH(K2584,ctaNombre,0))&amp;"",K2584),K2584))</f>
        <v/>
      </c>
      <c r="AD2584" s="52">
        <f>IF(AB2584="","",IFERROR(INDEX(ctaTipo,MATCH(AB2584,ctaNombre,0))&amp;"",""))</f>
        <v/>
      </c>
      <c r="AE2584" s="52">
        <f>IF(AC2584="","",IFERROR(INDEX(ctaTipo,MATCH(AC2584,ctaNombre,0))&amp;"",""))</f>
        <v/>
      </c>
      <c r="AF2584" s="53">
        <f>IF(OR(P2584="",AB2584=""),"",IF(OR(P2584="Gasto",P2584="Transferencia",P2584="Pago tarjeta"),-1,1)*IF(IFERROR(INDEX(ctaMoneda,MATCH(AB2584,ctaNombre,0))&amp;"","DOP")="USD",T2584,S2584))</f>
        <v/>
      </c>
      <c r="AG2584" s="53">
        <f>IF(AC2584="","",IF(IFERROR(INDEX(ctaMoneda,MATCH(AC2584,ctaNombre,0))&amp;"","DOP")="USD",T2584,S2584))</f>
        <v/>
      </c>
      <c r="AH2584" s="53">
        <f>IF(P2584="","",IF(AND(AD2584&lt;&gt;"",COUNTIFS(tcTipo,AD2584,tcLiq,"Sí")&gt;0),IF(OR(P2584="Gasto",P2584="Transferencia",P2584="Pago tarjeta"),-1,1)*S2584,0)+IF(AND(AE2584&lt;&gt;"",COUNTIFS(tcTipo,AE2584,tcLiq,"Sí")&gt;0),S2584,0))</f>
        <v/>
      </c>
      <c r="AI2584" s="52">
        <f>IF(OR(L2584="",P2584=""),"",IF(COUNTIFS(L$6:L2584,L2584,P$6:P2584,"?*")=1,MAX(AI$5:AI2583)+1,""))</f>
        <v/>
      </c>
    </row>
    <row r="2585">
      <c r="B2585" s="47" t="n"/>
      <c r="C2585" s="48" t="n"/>
      <c r="D2585" s="48" t="n"/>
      <c r="E2585" s="48" t="n"/>
      <c r="F2585" s="48" t="n"/>
      <c r="G2585" s="49" t="n"/>
      <c r="H2585" s="48" t="n"/>
      <c r="I2585" s="50" t="n"/>
      <c r="J2585" s="48" t="n"/>
      <c r="K2585" s="48" t="n"/>
      <c r="L2585" s="48" t="n"/>
      <c r="M2585" s="48" t="n"/>
      <c r="N2585" s="48" t="n"/>
      <c r="O2585" s="51">
        <f>IF(AND(B2585="",G2585="",C2585="",D2585="",J2585=""),"",IF(B2585="","⚠ Falta fecha",IF(G2585="","⚠ Falta monto",IF(Q2585="","⚠ Falta cuenta",IF(ISNA(MATCH(Q2585,ctaNombre,0)),"⚠ Cuenta no registrada",IF(AND(OR(P2585="Gasto",P2585="Reembolso"),D2585=""),"⚠ Falta categoría",IF(AND(D2585&lt;&gt;"",E2585&lt;&gt;"",ISNA(MATCH(D2585&amp;"|"&amp;E2585,catClave,0))),"⚠ Subcategoría no corresponde",IF(AND(OR(P2585="Transferencia",P2585="Pago tarjeta"),K2585=""),"⚠ Falta cuenta destino",IF(AND(K2585&lt;&gt;"",P2585&lt;&gt;"Transferencia",P2585&lt;&gt;"Pago tarjeta"),"⚠ Destino solo aplica a transferencias",IF(AND(K2585&lt;&gt;"",K2585=Q2585),"⚠ Origen igual a destino",IF(AND(K2585&lt;&gt;"",ISNA(MATCH(K2585,ctaNombre,0))),"⚠ Destino no registrado",IF(AND(P2585="Pago tarjeta",AE2585&lt;&gt;"Tarjeta de crédito"),"⚠ El destino debe ser tarjeta de crédito",IF(AND(P2585="Gasto",E2585="Depósitos y retiros"),"⚠ Usa tipo Transferencia",IF(AND(P2585="Resultado trading",AD2585&lt;&gt;"Cuenta de trading"),"⚠ Usa una cuenta de trading",IF(AND(G2585&lt;=0,P2585&lt;&gt;"Ajuste",P2585&lt;&gt;"Resultado trading"),"⚠ El monto debe ser positivo","✓")))))))))))))))</f>
        <v/>
      </c>
      <c r="P2585" s="52">
        <f>IF(OR(B2585="",G2585=""),"",IF(C2585="","Gasto",C2585))</f>
        <v/>
      </c>
      <c r="Q2585" s="52">
        <f>IF(P2585="","",IF(J2585&lt;&gt;"",J2585,CuentaPred&amp;""))</f>
        <v/>
      </c>
      <c r="R2585" s="52">
        <f>IF(P2585="","",IF(ISNUMBER(I2585),I2585,TasaUSD))</f>
        <v/>
      </c>
      <c r="S2585" s="53">
        <f>IF(P2585="","",IF(H2585="USD",G2585*R2585,G2585))</f>
        <v/>
      </c>
      <c r="T2585" s="53">
        <f>IF(P2585="","",IF(H2585="USD",G2585,IF(R2585&gt;0,G2585/R2585,0)))</f>
        <v/>
      </c>
      <c r="U2585" s="53">
        <f>IF(P2585="","",IF(P2585="Gasto",S2585,IF(P2585="Reembolso",-S2585,0)))</f>
        <v/>
      </c>
      <c r="V2585" s="53">
        <f>IF(P2585="","",IF(P2585="Ingreso",S2585,0))</f>
        <v/>
      </c>
      <c r="W2585" s="53">
        <f>IF(P2585="","",IF(P2585="Resultado trading",S2585,0))</f>
        <v/>
      </c>
      <c r="X2585" s="52">
        <f>IF(OR(P2585="Gasto",P2585="Reembolso"),IF(M2585&lt;&gt;"",M2585,IFERROR(INDEX(catClasif,MATCH(D2585&amp;"|"&amp;E2585,catClave,0))&amp;"","Variable")),"")</f>
        <v/>
      </c>
      <c r="Y2585" s="52">
        <f>IF(P2585="","",IFERROR(INDEX(catGrupo,MATCH(D2585&amp;"|"&amp;E2585,catClave,0))&amp;"",""))</f>
        <v/>
      </c>
      <c r="Z2585" s="52">
        <f>IF(P2585="","",WEEKDAY(B2585,2))</f>
        <v/>
      </c>
      <c r="AA2585" s="52">
        <f>IF(P2585="","",IF(AND(P2585="Gasto",X2585="Variable",D2585&lt;&gt;catTrading,S2585&gt;0,S2585&lt;=Umbral),1,0))</f>
        <v/>
      </c>
      <c r="AB2585" s="52">
        <f>IF(OR(P2585="",Q2585=""),"",IFERROR(IF(INDEX(ctaVinc,MATCH(Q2585,ctaNombre,0))&amp;""&lt;&gt;"",INDEX(ctaVinc,MATCH(Q2585,ctaNombre,0))&amp;"",Q2585),Q2585))</f>
        <v/>
      </c>
      <c r="AC2585" s="52">
        <f>IF(OR(K2585="",AND(P2585&lt;&gt;"Transferencia",P2585&lt;&gt;"Pago tarjeta")),"",IFERROR(IF(INDEX(ctaVinc,MATCH(K2585,ctaNombre,0))&amp;""&lt;&gt;"",INDEX(ctaVinc,MATCH(K2585,ctaNombre,0))&amp;"",K2585),K2585))</f>
        <v/>
      </c>
      <c r="AD2585" s="52">
        <f>IF(AB2585="","",IFERROR(INDEX(ctaTipo,MATCH(AB2585,ctaNombre,0))&amp;"",""))</f>
        <v/>
      </c>
      <c r="AE2585" s="52">
        <f>IF(AC2585="","",IFERROR(INDEX(ctaTipo,MATCH(AC2585,ctaNombre,0))&amp;"",""))</f>
        <v/>
      </c>
      <c r="AF2585" s="53">
        <f>IF(OR(P2585="",AB2585=""),"",IF(OR(P2585="Gasto",P2585="Transferencia",P2585="Pago tarjeta"),-1,1)*IF(IFERROR(INDEX(ctaMoneda,MATCH(AB2585,ctaNombre,0))&amp;"","DOP")="USD",T2585,S2585))</f>
        <v/>
      </c>
      <c r="AG2585" s="53">
        <f>IF(AC2585="","",IF(IFERROR(INDEX(ctaMoneda,MATCH(AC2585,ctaNombre,0))&amp;"","DOP")="USD",T2585,S2585))</f>
        <v/>
      </c>
      <c r="AH2585" s="53">
        <f>IF(P2585="","",IF(AND(AD2585&lt;&gt;"",COUNTIFS(tcTipo,AD2585,tcLiq,"Sí")&gt;0),IF(OR(P2585="Gasto",P2585="Transferencia",P2585="Pago tarjeta"),-1,1)*S2585,0)+IF(AND(AE2585&lt;&gt;"",COUNTIFS(tcTipo,AE2585,tcLiq,"Sí")&gt;0),S2585,0))</f>
        <v/>
      </c>
      <c r="AI2585" s="52">
        <f>IF(OR(L2585="",P2585=""),"",IF(COUNTIFS(L$6:L2585,L2585,P$6:P2585,"?*")=1,MAX(AI$5:AI2584)+1,""))</f>
        <v/>
      </c>
    </row>
    <row r="2586">
      <c r="B2586" s="47" t="n"/>
      <c r="C2586" s="48" t="n"/>
      <c r="D2586" s="48" t="n"/>
      <c r="E2586" s="48" t="n"/>
      <c r="F2586" s="48" t="n"/>
      <c r="G2586" s="49" t="n"/>
      <c r="H2586" s="48" t="n"/>
      <c r="I2586" s="50" t="n"/>
      <c r="J2586" s="48" t="n"/>
      <c r="K2586" s="48" t="n"/>
      <c r="L2586" s="48" t="n"/>
      <c r="M2586" s="48" t="n"/>
      <c r="N2586" s="48" t="n"/>
      <c r="O2586" s="51">
        <f>IF(AND(B2586="",G2586="",C2586="",D2586="",J2586=""),"",IF(B2586="","⚠ Falta fecha",IF(G2586="","⚠ Falta monto",IF(Q2586="","⚠ Falta cuenta",IF(ISNA(MATCH(Q2586,ctaNombre,0)),"⚠ Cuenta no registrada",IF(AND(OR(P2586="Gasto",P2586="Reembolso"),D2586=""),"⚠ Falta categoría",IF(AND(D2586&lt;&gt;"",E2586&lt;&gt;"",ISNA(MATCH(D2586&amp;"|"&amp;E2586,catClave,0))),"⚠ Subcategoría no corresponde",IF(AND(OR(P2586="Transferencia",P2586="Pago tarjeta"),K2586=""),"⚠ Falta cuenta destino",IF(AND(K2586&lt;&gt;"",P2586&lt;&gt;"Transferencia",P2586&lt;&gt;"Pago tarjeta"),"⚠ Destino solo aplica a transferencias",IF(AND(K2586&lt;&gt;"",K2586=Q2586),"⚠ Origen igual a destino",IF(AND(K2586&lt;&gt;"",ISNA(MATCH(K2586,ctaNombre,0))),"⚠ Destino no registrado",IF(AND(P2586="Pago tarjeta",AE2586&lt;&gt;"Tarjeta de crédito"),"⚠ El destino debe ser tarjeta de crédito",IF(AND(P2586="Gasto",E2586="Depósitos y retiros"),"⚠ Usa tipo Transferencia",IF(AND(P2586="Resultado trading",AD2586&lt;&gt;"Cuenta de trading"),"⚠ Usa una cuenta de trading",IF(AND(G2586&lt;=0,P2586&lt;&gt;"Ajuste",P2586&lt;&gt;"Resultado trading"),"⚠ El monto debe ser positivo","✓")))))))))))))))</f>
        <v/>
      </c>
      <c r="P2586" s="52">
        <f>IF(OR(B2586="",G2586=""),"",IF(C2586="","Gasto",C2586))</f>
        <v/>
      </c>
      <c r="Q2586" s="52">
        <f>IF(P2586="","",IF(J2586&lt;&gt;"",J2586,CuentaPred&amp;""))</f>
        <v/>
      </c>
      <c r="R2586" s="52">
        <f>IF(P2586="","",IF(ISNUMBER(I2586),I2586,TasaUSD))</f>
        <v/>
      </c>
      <c r="S2586" s="53">
        <f>IF(P2586="","",IF(H2586="USD",G2586*R2586,G2586))</f>
        <v/>
      </c>
      <c r="T2586" s="53">
        <f>IF(P2586="","",IF(H2586="USD",G2586,IF(R2586&gt;0,G2586/R2586,0)))</f>
        <v/>
      </c>
      <c r="U2586" s="53">
        <f>IF(P2586="","",IF(P2586="Gasto",S2586,IF(P2586="Reembolso",-S2586,0)))</f>
        <v/>
      </c>
      <c r="V2586" s="53">
        <f>IF(P2586="","",IF(P2586="Ingreso",S2586,0))</f>
        <v/>
      </c>
      <c r="W2586" s="53">
        <f>IF(P2586="","",IF(P2586="Resultado trading",S2586,0))</f>
        <v/>
      </c>
      <c r="X2586" s="52">
        <f>IF(OR(P2586="Gasto",P2586="Reembolso"),IF(M2586&lt;&gt;"",M2586,IFERROR(INDEX(catClasif,MATCH(D2586&amp;"|"&amp;E2586,catClave,0))&amp;"","Variable")),"")</f>
        <v/>
      </c>
      <c r="Y2586" s="52">
        <f>IF(P2586="","",IFERROR(INDEX(catGrupo,MATCH(D2586&amp;"|"&amp;E2586,catClave,0))&amp;"",""))</f>
        <v/>
      </c>
      <c r="Z2586" s="52">
        <f>IF(P2586="","",WEEKDAY(B2586,2))</f>
        <v/>
      </c>
      <c r="AA2586" s="52">
        <f>IF(P2586="","",IF(AND(P2586="Gasto",X2586="Variable",D2586&lt;&gt;catTrading,S2586&gt;0,S2586&lt;=Umbral),1,0))</f>
        <v/>
      </c>
      <c r="AB2586" s="52">
        <f>IF(OR(P2586="",Q2586=""),"",IFERROR(IF(INDEX(ctaVinc,MATCH(Q2586,ctaNombre,0))&amp;""&lt;&gt;"",INDEX(ctaVinc,MATCH(Q2586,ctaNombre,0))&amp;"",Q2586),Q2586))</f>
        <v/>
      </c>
      <c r="AC2586" s="52">
        <f>IF(OR(K2586="",AND(P2586&lt;&gt;"Transferencia",P2586&lt;&gt;"Pago tarjeta")),"",IFERROR(IF(INDEX(ctaVinc,MATCH(K2586,ctaNombre,0))&amp;""&lt;&gt;"",INDEX(ctaVinc,MATCH(K2586,ctaNombre,0))&amp;"",K2586),K2586))</f>
        <v/>
      </c>
      <c r="AD2586" s="52">
        <f>IF(AB2586="","",IFERROR(INDEX(ctaTipo,MATCH(AB2586,ctaNombre,0))&amp;"",""))</f>
        <v/>
      </c>
      <c r="AE2586" s="52">
        <f>IF(AC2586="","",IFERROR(INDEX(ctaTipo,MATCH(AC2586,ctaNombre,0))&amp;"",""))</f>
        <v/>
      </c>
      <c r="AF2586" s="53">
        <f>IF(OR(P2586="",AB2586=""),"",IF(OR(P2586="Gasto",P2586="Transferencia",P2586="Pago tarjeta"),-1,1)*IF(IFERROR(INDEX(ctaMoneda,MATCH(AB2586,ctaNombre,0))&amp;"","DOP")="USD",T2586,S2586))</f>
        <v/>
      </c>
      <c r="AG2586" s="53">
        <f>IF(AC2586="","",IF(IFERROR(INDEX(ctaMoneda,MATCH(AC2586,ctaNombre,0))&amp;"","DOP")="USD",T2586,S2586))</f>
        <v/>
      </c>
      <c r="AH2586" s="53">
        <f>IF(P2586="","",IF(AND(AD2586&lt;&gt;"",COUNTIFS(tcTipo,AD2586,tcLiq,"Sí")&gt;0),IF(OR(P2586="Gasto",P2586="Transferencia",P2586="Pago tarjeta"),-1,1)*S2586,0)+IF(AND(AE2586&lt;&gt;"",COUNTIFS(tcTipo,AE2586,tcLiq,"Sí")&gt;0),S2586,0))</f>
        <v/>
      </c>
      <c r="AI2586" s="52">
        <f>IF(OR(L2586="",P2586=""),"",IF(COUNTIFS(L$6:L2586,L2586,P$6:P2586,"?*")=1,MAX(AI$5:AI2585)+1,""))</f>
        <v/>
      </c>
    </row>
    <row r="2587">
      <c r="B2587" s="47" t="n"/>
      <c r="C2587" s="48" t="n"/>
      <c r="D2587" s="48" t="n"/>
      <c r="E2587" s="48" t="n"/>
      <c r="F2587" s="48" t="n"/>
      <c r="G2587" s="49" t="n"/>
      <c r="H2587" s="48" t="n"/>
      <c r="I2587" s="50" t="n"/>
      <c r="J2587" s="48" t="n"/>
      <c r="K2587" s="48" t="n"/>
      <c r="L2587" s="48" t="n"/>
      <c r="M2587" s="48" t="n"/>
      <c r="N2587" s="48" t="n"/>
      <c r="O2587" s="51">
        <f>IF(AND(B2587="",G2587="",C2587="",D2587="",J2587=""),"",IF(B2587="","⚠ Falta fecha",IF(G2587="","⚠ Falta monto",IF(Q2587="","⚠ Falta cuenta",IF(ISNA(MATCH(Q2587,ctaNombre,0)),"⚠ Cuenta no registrada",IF(AND(OR(P2587="Gasto",P2587="Reembolso"),D2587=""),"⚠ Falta categoría",IF(AND(D2587&lt;&gt;"",E2587&lt;&gt;"",ISNA(MATCH(D2587&amp;"|"&amp;E2587,catClave,0))),"⚠ Subcategoría no corresponde",IF(AND(OR(P2587="Transferencia",P2587="Pago tarjeta"),K2587=""),"⚠ Falta cuenta destino",IF(AND(K2587&lt;&gt;"",P2587&lt;&gt;"Transferencia",P2587&lt;&gt;"Pago tarjeta"),"⚠ Destino solo aplica a transferencias",IF(AND(K2587&lt;&gt;"",K2587=Q2587),"⚠ Origen igual a destino",IF(AND(K2587&lt;&gt;"",ISNA(MATCH(K2587,ctaNombre,0))),"⚠ Destino no registrado",IF(AND(P2587="Pago tarjeta",AE2587&lt;&gt;"Tarjeta de crédito"),"⚠ El destino debe ser tarjeta de crédito",IF(AND(P2587="Gasto",E2587="Depósitos y retiros"),"⚠ Usa tipo Transferencia",IF(AND(P2587="Resultado trading",AD2587&lt;&gt;"Cuenta de trading"),"⚠ Usa una cuenta de trading",IF(AND(G2587&lt;=0,P2587&lt;&gt;"Ajuste",P2587&lt;&gt;"Resultado trading"),"⚠ El monto debe ser positivo","✓")))))))))))))))</f>
        <v/>
      </c>
      <c r="P2587" s="52">
        <f>IF(OR(B2587="",G2587=""),"",IF(C2587="","Gasto",C2587))</f>
        <v/>
      </c>
      <c r="Q2587" s="52">
        <f>IF(P2587="","",IF(J2587&lt;&gt;"",J2587,CuentaPred&amp;""))</f>
        <v/>
      </c>
      <c r="R2587" s="52">
        <f>IF(P2587="","",IF(ISNUMBER(I2587),I2587,TasaUSD))</f>
        <v/>
      </c>
      <c r="S2587" s="53">
        <f>IF(P2587="","",IF(H2587="USD",G2587*R2587,G2587))</f>
        <v/>
      </c>
      <c r="T2587" s="53">
        <f>IF(P2587="","",IF(H2587="USD",G2587,IF(R2587&gt;0,G2587/R2587,0)))</f>
        <v/>
      </c>
      <c r="U2587" s="53">
        <f>IF(P2587="","",IF(P2587="Gasto",S2587,IF(P2587="Reembolso",-S2587,0)))</f>
        <v/>
      </c>
      <c r="V2587" s="53">
        <f>IF(P2587="","",IF(P2587="Ingreso",S2587,0))</f>
        <v/>
      </c>
      <c r="W2587" s="53">
        <f>IF(P2587="","",IF(P2587="Resultado trading",S2587,0))</f>
        <v/>
      </c>
      <c r="X2587" s="52">
        <f>IF(OR(P2587="Gasto",P2587="Reembolso"),IF(M2587&lt;&gt;"",M2587,IFERROR(INDEX(catClasif,MATCH(D2587&amp;"|"&amp;E2587,catClave,0))&amp;"","Variable")),"")</f>
        <v/>
      </c>
      <c r="Y2587" s="52">
        <f>IF(P2587="","",IFERROR(INDEX(catGrupo,MATCH(D2587&amp;"|"&amp;E2587,catClave,0))&amp;"",""))</f>
        <v/>
      </c>
      <c r="Z2587" s="52">
        <f>IF(P2587="","",WEEKDAY(B2587,2))</f>
        <v/>
      </c>
      <c r="AA2587" s="52">
        <f>IF(P2587="","",IF(AND(P2587="Gasto",X2587="Variable",D2587&lt;&gt;catTrading,S2587&gt;0,S2587&lt;=Umbral),1,0))</f>
        <v/>
      </c>
      <c r="AB2587" s="52">
        <f>IF(OR(P2587="",Q2587=""),"",IFERROR(IF(INDEX(ctaVinc,MATCH(Q2587,ctaNombre,0))&amp;""&lt;&gt;"",INDEX(ctaVinc,MATCH(Q2587,ctaNombre,0))&amp;"",Q2587),Q2587))</f>
        <v/>
      </c>
      <c r="AC2587" s="52">
        <f>IF(OR(K2587="",AND(P2587&lt;&gt;"Transferencia",P2587&lt;&gt;"Pago tarjeta")),"",IFERROR(IF(INDEX(ctaVinc,MATCH(K2587,ctaNombre,0))&amp;""&lt;&gt;"",INDEX(ctaVinc,MATCH(K2587,ctaNombre,0))&amp;"",K2587),K2587))</f>
        <v/>
      </c>
      <c r="AD2587" s="52">
        <f>IF(AB2587="","",IFERROR(INDEX(ctaTipo,MATCH(AB2587,ctaNombre,0))&amp;"",""))</f>
        <v/>
      </c>
      <c r="AE2587" s="52">
        <f>IF(AC2587="","",IFERROR(INDEX(ctaTipo,MATCH(AC2587,ctaNombre,0))&amp;"",""))</f>
        <v/>
      </c>
      <c r="AF2587" s="53">
        <f>IF(OR(P2587="",AB2587=""),"",IF(OR(P2587="Gasto",P2587="Transferencia",P2587="Pago tarjeta"),-1,1)*IF(IFERROR(INDEX(ctaMoneda,MATCH(AB2587,ctaNombre,0))&amp;"","DOP")="USD",T2587,S2587))</f>
        <v/>
      </c>
      <c r="AG2587" s="53">
        <f>IF(AC2587="","",IF(IFERROR(INDEX(ctaMoneda,MATCH(AC2587,ctaNombre,0))&amp;"","DOP")="USD",T2587,S2587))</f>
        <v/>
      </c>
      <c r="AH2587" s="53">
        <f>IF(P2587="","",IF(AND(AD2587&lt;&gt;"",COUNTIFS(tcTipo,AD2587,tcLiq,"Sí")&gt;0),IF(OR(P2587="Gasto",P2587="Transferencia",P2587="Pago tarjeta"),-1,1)*S2587,0)+IF(AND(AE2587&lt;&gt;"",COUNTIFS(tcTipo,AE2587,tcLiq,"Sí")&gt;0),S2587,0))</f>
        <v/>
      </c>
      <c r="AI2587" s="52">
        <f>IF(OR(L2587="",P2587=""),"",IF(COUNTIFS(L$6:L2587,L2587,P$6:P2587,"?*")=1,MAX(AI$5:AI2586)+1,""))</f>
        <v/>
      </c>
    </row>
    <row r="2588">
      <c r="B2588" s="47" t="n"/>
      <c r="C2588" s="48" t="n"/>
      <c r="D2588" s="48" t="n"/>
      <c r="E2588" s="48" t="n"/>
      <c r="F2588" s="48" t="n"/>
      <c r="G2588" s="49" t="n"/>
      <c r="H2588" s="48" t="n"/>
      <c r="I2588" s="50" t="n"/>
      <c r="J2588" s="48" t="n"/>
      <c r="K2588" s="48" t="n"/>
      <c r="L2588" s="48" t="n"/>
      <c r="M2588" s="48" t="n"/>
      <c r="N2588" s="48" t="n"/>
      <c r="O2588" s="51">
        <f>IF(AND(B2588="",G2588="",C2588="",D2588="",J2588=""),"",IF(B2588="","⚠ Falta fecha",IF(G2588="","⚠ Falta monto",IF(Q2588="","⚠ Falta cuenta",IF(ISNA(MATCH(Q2588,ctaNombre,0)),"⚠ Cuenta no registrada",IF(AND(OR(P2588="Gasto",P2588="Reembolso"),D2588=""),"⚠ Falta categoría",IF(AND(D2588&lt;&gt;"",E2588&lt;&gt;"",ISNA(MATCH(D2588&amp;"|"&amp;E2588,catClave,0))),"⚠ Subcategoría no corresponde",IF(AND(OR(P2588="Transferencia",P2588="Pago tarjeta"),K2588=""),"⚠ Falta cuenta destino",IF(AND(K2588&lt;&gt;"",P2588&lt;&gt;"Transferencia",P2588&lt;&gt;"Pago tarjeta"),"⚠ Destino solo aplica a transferencias",IF(AND(K2588&lt;&gt;"",K2588=Q2588),"⚠ Origen igual a destino",IF(AND(K2588&lt;&gt;"",ISNA(MATCH(K2588,ctaNombre,0))),"⚠ Destino no registrado",IF(AND(P2588="Pago tarjeta",AE2588&lt;&gt;"Tarjeta de crédito"),"⚠ El destino debe ser tarjeta de crédito",IF(AND(P2588="Gasto",E2588="Depósitos y retiros"),"⚠ Usa tipo Transferencia",IF(AND(P2588="Resultado trading",AD2588&lt;&gt;"Cuenta de trading"),"⚠ Usa una cuenta de trading",IF(AND(G2588&lt;=0,P2588&lt;&gt;"Ajuste",P2588&lt;&gt;"Resultado trading"),"⚠ El monto debe ser positivo","✓")))))))))))))))</f>
        <v/>
      </c>
      <c r="P2588" s="52">
        <f>IF(OR(B2588="",G2588=""),"",IF(C2588="","Gasto",C2588))</f>
        <v/>
      </c>
      <c r="Q2588" s="52">
        <f>IF(P2588="","",IF(J2588&lt;&gt;"",J2588,CuentaPred&amp;""))</f>
        <v/>
      </c>
      <c r="R2588" s="52">
        <f>IF(P2588="","",IF(ISNUMBER(I2588),I2588,TasaUSD))</f>
        <v/>
      </c>
      <c r="S2588" s="53">
        <f>IF(P2588="","",IF(H2588="USD",G2588*R2588,G2588))</f>
        <v/>
      </c>
      <c r="T2588" s="53">
        <f>IF(P2588="","",IF(H2588="USD",G2588,IF(R2588&gt;0,G2588/R2588,0)))</f>
        <v/>
      </c>
      <c r="U2588" s="53">
        <f>IF(P2588="","",IF(P2588="Gasto",S2588,IF(P2588="Reembolso",-S2588,0)))</f>
        <v/>
      </c>
      <c r="V2588" s="53">
        <f>IF(P2588="","",IF(P2588="Ingreso",S2588,0))</f>
        <v/>
      </c>
      <c r="W2588" s="53">
        <f>IF(P2588="","",IF(P2588="Resultado trading",S2588,0))</f>
        <v/>
      </c>
      <c r="X2588" s="52">
        <f>IF(OR(P2588="Gasto",P2588="Reembolso"),IF(M2588&lt;&gt;"",M2588,IFERROR(INDEX(catClasif,MATCH(D2588&amp;"|"&amp;E2588,catClave,0))&amp;"","Variable")),"")</f>
        <v/>
      </c>
      <c r="Y2588" s="52">
        <f>IF(P2588="","",IFERROR(INDEX(catGrupo,MATCH(D2588&amp;"|"&amp;E2588,catClave,0))&amp;"",""))</f>
        <v/>
      </c>
      <c r="Z2588" s="52">
        <f>IF(P2588="","",WEEKDAY(B2588,2))</f>
        <v/>
      </c>
      <c r="AA2588" s="52">
        <f>IF(P2588="","",IF(AND(P2588="Gasto",X2588="Variable",D2588&lt;&gt;catTrading,S2588&gt;0,S2588&lt;=Umbral),1,0))</f>
        <v/>
      </c>
      <c r="AB2588" s="52">
        <f>IF(OR(P2588="",Q2588=""),"",IFERROR(IF(INDEX(ctaVinc,MATCH(Q2588,ctaNombre,0))&amp;""&lt;&gt;"",INDEX(ctaVinc,MATCH(Q2588,ctaNombre,0))&amp;"",Q2588),Q2588))</f>
        <v/>
      </c>
      <c r="AC2588" s="52">
        <f>IF(OR(K2588="",AND(P2588&lt;&gt;"Transferencia",P2588&lt;&gt;"Pago tarjeta")),"",IFERROR(IF(INDEX(ctaVinc,MATCH(K2588,ctaNombre,0))&amp;""&lt;&gt;"",INDEX(ctaVinc,MATCH(K2588,ctaNombre,0))&amp;"",K2588),K2588))</f>
        <v/>
      </c>
      <c r="AD2588" s="52">
        <f>IF(AB2588="","",IFERROR(INDEX(ctaTipo,MATCH(AB2588,ctaNombre,0))&amp;"",""))</f>
        <v/>
      </c>
      <c r="AE2588" s="52">
        <f>IF(AC2588="","",IFERROR(INDEX(ctaTipo,MATCH(AC2588,ctaNombre,0))&amp;"",""))</f>
        <v/>
      </c>
      <c r="AF2588" s="53">
        <f>IF(OR(P2588="",AB2588=""),"",IF(OR(P2588="Gasto",P2588="Transferencia",P2588="Pago tarjeta"),-1,1)*IF(IFERROR(INDEX(ctaMoneda,MATCH(AB2588,ctaNombre,0))&amp;"","DOP")="USD",T2588,S2588))</f>
        <v/>
      </c>
      <c r="AG2588" s="53">
        <f>IF(AC2588="","",IF(IFERROR(INDEX(ctaMoneda,MATCH(AC2588,ctaNombre,0))&amp;"","DOP")="USD",T2588,S2588))</f>
        <v/>
      </c>
      <c r="AH2588" s="53">
        <f>IF(P2588="","",IF(AND(AD2588&lt;&gt;"",COUNTIFS(tcTipo,AD2588,tcLiq,"Sí")&gt;0),IF(OR(P2588="Gasto",P2588="Transferencia",P2588="Pago tarjeta"),-1,1)*S2588,0)+IF(AND(AE2588&lt;&gt;"",COUNTIFS(tcTipo,AE2588,tcLiq,"Sí")&gt;0),S2588,0))</f>
        <v/>
      </c>
      <c r="AI2588" s="52">
        <f>IF(OR(L2588="",P2588=""),"",IF(COUNTIFS(L$6:L2588,L2588,P$6:P2588,"?*")=1,MAX(AI$5:AI2587)+1,""))</f>
        <v/>
      </c>
    </row>
    <row r="2589">
      <c r="B2589" s="47" t="n"/>
      <c r="C2589" s="48" t="n"/>
      <c r="D2589" s="48" t="n"/>
      <c r="E2589" s="48" t="n"/>
      <c r="F2589" s="48" t="n"/>
      <c r="G2589" s="49" t="n"/>
      <c r="H2589" s="48" t="n"/>
      <c r="I2589" s="50" t="n"/>
      <c r="J2589" s="48" t="n"/>
      <c r="K2589" s="48" t="n"/>
      <c r="L2589" s="48" t="n"/>
      <c r="M2589" s="48" t="n"/>
      <c r="N2589" s="48" t="n"/>
      <c r="O2589" s="51">
        <f>IF(AND(B2589="",G2589="",C2589="",D2589="",J2589=""),"",IF(B2589="","⚠ Falta fecha",IF(G2589="","⚠ Falta monto",IF(Q2589="","⚠ Falta cuenta",IF(ISNA(MATCH(Q2589,ctaNombre,0)),"⚠ Cuenta no registrada",IF(AND(OR(P2589="Gasto",P2589="Reembolso"),D2589=""),"⚠ Falta categoría",IF(AND(D2589&lt;&gt;"",E2589&lt;&gt;"",ISNA(MATCH(D2589&amp;"|"&amp;E2589,catClave,0))),"⚠ Subcategoría no corresponde",IF(AND(OR(P2589="Transferencia",P2589="Pago tarjeta"),K2589=""),"⚠ Falta cuenta destino",IF(AND(K2589&lt;&gt;"",P2589&lt;&gt;"Transferencia",P2589&lt;&gt;"Pago tarjeta"),"⚠ Destino solo aplica a transferencias",IF(AND(K2589&lt;&gt;"",K2589=Q2589),"⚠ Origen igual a destino",IF(AND(K2589&lt;&gt;"",ISNA(MATCH(K2589,ctaNombre,0))),"⚠ Destino no registrado",IF(AND(P2589="Pago tarjeta",AE2589&lt;&gt;"Tarjeta de crédito"),"⚠ El destino debe ser tarjeta de crédito",IF(AND(P2589="Gasto",E2589="Depósitos y retiros"),"⚠ Usa tipo Transferencia",IF(AND(P2589="Resultado trading",AD2589&lt;&gt;"Cuenta de trading"),"⚠ Usa una cuenta de trading",IF(AND(G2589&lt;=0,P2589&lt;&gt;"Ajuste",P2589&lt;&gt;"Resultado trading"),"⚠ El monto debe ser positivo","✓")))))))))))))))</f>
        <v/>
      </c>
      <c r="P2589" s="52">
        <f>IF(OR(B2589="",G2589=""),"",IF(C2589="","Gasto",C2589))</f>
        <v/>
      </c>
      <c r="Q2589" s="52">
        <f>IF(P2589="","",IF(J2589&lt;&gt;"",J2589,CuentaPred&amp;""))</f>
        <v/>
      </c>
      <c r="R2589" s="52">
        <f>IF(P2589="","",IF(ISNUMBER(I2589),I2589,TasaUSD))</f>
        <v/>
      </c>
      <c r="S2589" s="53">
        <f>IF(P2589="","",IF(H2589="USD",G2589*R2589,G2589))</f>
        <v/>
      </c>
      <c r="T2589" s="53">
        <f>IF(P2589="","",IF(H2589="USD",G2589,IF(R2589&gt;0,G2589/R2589,0)))</f>
        <v/>
      </c>
      <c r="U2589" s="53">
        <f>IF(P2589="","",IF(P2589="Gasto",S2589,IF(P2589="Reembolso",-S2589,0)))</f>
        <v/>
      </c>
      <c r="V2589" s="53">
        <f>IF(P2589="","",IF(P2589="Ingreso",S2589,0))</f>
        <v/>
      </c>
      <c r="W2589" s="53">
        <f>IF(P2589="","",IF(P2589="Resultado trading",S2589,0))</f>
        <v/>
      </c>
      <c r="X2589" s="52">
        <f>IF(OR(P2589="Gasto",P2589="Reembolso"),IF(M2589&lt;&gt;"",M2589,IFERROR(INDEX(catClasif,MATCH(D2589&amp;"|"&amp;E2589,catClave,0))&amp;"","Variable")),"")</f>
        <v/>
      </c>
      <c r="Y2589" s="52">
        <f>IF(P2589="","",IFERROR(INDEX(catGrupo,MATCH(D2589&amp;"|"&amp;E2589,catClave,0))&amp;"",""))</f>
        <v/>
      </c>
      <c r="Z2589" s="52">
        <f>IF(P2589="","",WEEKDAY(B2589,2))</f>
        <v/>
      </c>
      <c r="AA2589" s="52">
        <f>IF(P2589="","",IF(AND(P2589="Gasto",X2589="Variable",D2589&lt;&gt;catTrading,S2589&gt;0,S2589&lt;=Umbral),1,0))</f>
        <v/>
      </c>
      <c r="AB2589" s="52">
        <f>IF(OR(P2589="",Q2589=""),"",IFERROR(IF(INDEX(ctaVinc,MATCH(Q2589,ctaNombre,0))&amp;""&lt;&gt;"",INDEX(ctaVinc,MATCH(Q2589,ctaNombre,0))&amp;"",Q2589),Q2589))</f>
        <v/>
      </c>
      <c r="AC2589" s="52">
        <f>IF(OR(K2589="",AND(P2589&lt;&gt;"Transferencia",P2589&lt;&gt;"Pago tarjeta")),"",IFERROR(IF(INDEX(ctaVinc,MATCH(K2589,ctaNombre,0))&amp;""&lt;&gt;"",INDEX(ctaVinc,MATCH(K2589,ctaNombre,0))&amp;"",K2589),K2589))</f>
        <v/>
      </c>
      <c r="AD2589" s="52">
        <f>IF(AB2589="","",IFERROR(INDEX(ctaTipo,MATCH(AB2589,ctaNombre,0))&amp;"",""))</f>
        <v/>
      </c>
      <c r="AE2589" s="52">
        <f>IF(AC2589="","",IFERROR(INDEX(ctaTipo,MATCH(AC2589,ctaNombre,0))&amp;"",""))</f>
        <v/>
      </c>
      <c r="AF2589" s="53">
        <f>IF(OR(P2589="",AB2589=""),"",IF(OR(P2589="Gasto",P2589="Transferencia",P2589="Pago tarjeta"),-1,1)*IF(IFERROR(INDEX(ctaMoneda,MATCH(AB2589,ctaNombre,0))&amp;"","DOP")="USD",T2589,S2589))</f>
        <v/>
      </c>
      <c r="AG2589" s="53">
        <f>IF(AC2589="","",IF(IFERROR(INDEX(ctaMoneda,MATCH(AC2589,ctaNombre,0))&amp;"","DOP")="USD",T2589,S2589))</f>
        <v/>
      </c>
      <c r="AH2589" s="53">
        <f>IF(P2589="","",IF(AND(AD2589&lt;&gt;"",COUNTIFS(tcTipo,AD2589,tcLiq,"Sí")&gt;0),IF(OR(P2589="Gasto",P2589="Transferencia",P2589="Pago tarjeta"),-1,1)*S2589,0)+IF(AND(AE2589&lt;&gt;"",COUNTIFS(tcTipo,AE2589,tcLiq,"Sí")&gt;0),S2589,0))</f>
        <v/>
      </c>
      <c r="AI2589" s="52">
        <f>IF(OR(L2589="",P2589=""),"",IF(COUNTIFS(L$6:L2589,L2589,P$6:P2589,"?*")=1,MAX(AI$5:AI2588)+1,""))</f>
        <v/>
      </c>
    </row>
    <row r="2590">
      <c r="B2590" s="47" t="n"/>
      <c r="C2590" s="48" t="n"/>
      <c r="D2590" s="48" t="n"/>
      <c r="E2590" s="48" t="n"/>
      <c r="F2590" s="48" t="n"/>
      <c r="G2590" s="49" t="n"/>
      <c r="H2590" s="48" t="n"/>
      <c r="I2590" s="50" t="n"/>
      <c r="J2590" s="48" t="n"/>
      <c r="K2590" s="48" t="n"/>
      <c r="L2590" s="48" t="n"/>
      <c r="M2590" s="48" t="n"/>
      <c r="N2590" s="48" t="n"/>
      <c r="O2590" s="51">
        <f>IF(AND(B2590="",G2590="",C2590="",D2590="",J2590=""),"",IF(B2590="","⚠ Falta fecha",IF(G2590="","⚠ Falta monto",IF(Q2590="","⚠ Falta cuenta",IF(ISNA(MATCH(Q2590,ctaNombre,0)),"⚠ Cuenta no registrada",IF(AND(OR(P2590="Gasto",P2590="Reembolso"),D2590=""),"⚠ Falta categoría",IF(AND(D2590&lt;&gt;"",E2590&lt;&gt;"",ISNA(MATCH(D2590&amp;"|"&amp;E2590,catClave,0))),"⚠ Subcategoría no corresponde",IF(AND(OR(P2590="Transferencia",P2590="Pago tarjeta"),K2590=""),"⚠ Falta cuenta destino",IF(AND(K2590&lt;&gt;"",P2590&lt;&gt;"Transferencia",P2590&lt;&gt;"Pago tarjeta"),"⚠ Destino solo aplica a transferencias",IF(AND(K2590&lt;&gt;"",K2590=Q2590),"⚠ Origen igual a destino",IF(AND(K2590&lt;&gt;"",ISNA(MATCH(K2590,ctaNombre,0))),"⚠ Destino no registrado",IF(AND(P2590="Pago tarjeta",AE2590&lt;&gt;"Tarjeta de crédito"),"⚠ El destino debe ser tarjeta de crédito",IF(AND(P2590="Gasto",E2590="Depósitos y retiros"),"⚠ Usa tipo Transferencia",IF(AND(P2590="Resultado trading",AD2590&lt;&gt;"Cuenta de trading"),"⚠ Usa una cuenta de trading",IF(AND(G2590&lt;=0,P2590&lt;&gt;"Ajuste",P2590&lt;&gt;"Resultado trading"),"⚠ El monto debe ser positivo","✓")))))))))))))))</f>
        <v/>
      </c>
      <c r="P2590" s="52">
        <f>IF(OR(B2590="",G2590=""),"",IF(C2590="","Gasto",C2590))</f>
        <v/>
      </c>
      <c r="Q2590" s="52">
        <f>IF(P2590="","",IF(J2590&lt;&gt;"",J2590,CuentaPred&amp;""))</f>
        <v/>
      </c>
      <c r="R2590" s="52">
        <f>IF(P2590="","",IF(ISNUMBER(I2590),I2590,TasaUSD))</f>
        <v/>
      </c>
      <c r="S2590" s="53">
        <f>IF(P2590="","",IF(H2590="USD",G2590*R2590,G2590))</f>
        <v/>
      </c>
      <c r="T2590" s="53">
        <f>IF(P2590="","",IF(H2590="USD",G2590,IF(R2590&gt;0,G2590/R2590,0)))</f>
        <v/>
      </c>
      <c r="U2590" s="53">
        <f>IF(P2590="","",IF(P2590="Gasto",S2590,IF(P2590="Reembolso",-S2590,0)))</f>
        <v/>
      </c>
      <c r="V2590" s="53">
        <f>IF(P2590="","",IF(P2590="Ingreso",S2590,0))</f>
        <v/>
      </c>
      <c r="W2590" s="53">
        <f>IF(P2590="","",IF(P2590="Resultado trading",S2590,0))</f>
        <v/>
      </c>
      <c r="X2590" s="52">
        <f>IF(OR(P2590="Gasto",P2590="Reembolso"),IF(M2590&lt;&gt;"",M2590,IFERROR(INDEX(catClasif,MATCH(D2590&amp;"|"&amp;E2590,catClave,0))&amp;"","Variable")),"")</f>
        <v/>
      </c>
      <c r="Y2590" s="52">
        <f>IF(P2590="","",IFERROR(INDEX(catGrupo,MATCH(D2590&amp;"|"&amp;E2590,catClave,0))&amp;"",""))</f>
        <v/>
      </c>
      <c r="Z2590" s="52">
        <f>IF(P2590="","",WEEKDAY(B2590,2))</f>
        <v/>
      </c>
      <c r="AA2590" s="52">
        <f>IF(P2590="","",IF(AND(P2590="Gasto",X2590="Variable",D2590&lt;&gt;catTrading,S2590&gt;0,S2590&lt;=Umbral),1,0))</f>
        <v/>
      </c>
      <c r="AB2590" s="52">
        <f>IF(OR(P2590="",Q2590=""),"",IFERROR(IF(INDEX(ctaVinc,MATCH(Q2590,ctaNombre,0))&amp;""&lt;&gt;"",INDEX(ctaVinc,MATCH(Q2590,ctaNombre,0))&amp;"",Q2590),Q2590))</f>
        <v/>
      </c>
      <c r="AC2590" s="52">
        <f>IF(OR(K2590="",AND(P2590&lt;&gt;"Transferencia",P2590&lt;&gt;"Pago tarjeta")),"",IFERROR(IF(INDEX(ctaVinc,MATCH(K2590,ctaNombre,0))&amp;""&lt;&gt;"",INDEX(ctaVinc,MATCH(K2590,ctaNombre,0))&amp;"",K2590),K2590))</f>
        <v/>
      </c>
      <c r="AD2590" s="52">
        <f>IF(AB2590="","",IFERROR(INDEX(ctaTipo,MATCH(AB2590,ctaNombre,0))&amp;"",""))</f>
        <v/>
      </c>
      <c r="AE2590" s="52">
        <f>IF(AC2590="","",IFERROR(INDEX(ctaTipo,MATCH(AC2590,ctaNombre,0))&amp;"",""))</f>
        <v/>
      </c>
      <c r="AF2590" s="53">
        <f>IF(OR(P2590="",AB2590=""),"",IF(OR(P2590="Gasto",P2590="Transferencia",P2590="Pago tarjeta"),-1,1)*IF(IFERROR(INDEX(ctaMoneda,MATCH(AB2590,ctaNombre,0))&amp;"","DOP")="USD",T2590,S2590))</f>
        <v/>
      </c>
      <c r="AG2590" s="53">
        <f>IF(AC2590="","",IF(IFERROR(INDEX(ctaMoneda,MATCH(AC2590,ctaNombre,0))&amp;"","DOP")="USD",T2590,S2590))</f>
        <v/>
      </c>
      <c r="AH2590" s="53">
        <f>IF(P2590="","",IF(AND(AD2590&lt;&gt;"",COUNTIFS(tcTipo,AD2590,tcLiq,"Sí")&gt;0),IF(OR(P2590="Gasto",P2590="Transferencia",P2590="Pago tarjeta"),-1,1)*S2590,0)+IF(AND(AE2590&lt;&gt;"",COUNTIFS(tcTipo,AE2590,tcLiq,"Sí")&gt;0),S2590,0))</f>
        <v/>
      </c>
      <c r="AI2590" s="52">
        <f>IF(OR(L2590="",P2590=""),"",IF(COUNTIFS(L$6:L2590,L2590,P$6:P2590,"?*")=1,MAX(AI$5:AI2589)+1,""))</f>
        <v/>
      </c>
    </row>
    <row r="2591">
      <c r="B2591" s="47" t="n"/>
      <c r="C2591" s="48" t="n"/>
      <c r="D2591" s="48" t="n"/>
      <c r="E2591" s="48" t="n"/>
      <c r="F2591" s="48" t="n"/>
      <c r="G2591" s="49" t="n"/>
      <c r="H2591" s="48" t="n"/>
      <c r="I2591" s="50" t="n"/>
      <c r="J2591" s="48" t="n"/>
      <c r="K2591" s="48" t="n"/>
      <c r="L2591" s="48" t="n"/>
      <c r="M2591" s="48" t="n"/>
      <c r="N2591" s="48" t="n"/>
      <c r="O2591" s="51">
        <f>IF(AND(B2591="",G2591="",C2591="",D2591="",J2591=""),"",IF(B2591="","⚠ Falta fecha",IF(G2591="","⚠ Falta monto",IF(Q2591="","⚠ Falta cuenta",IF(ISNA(MATCH(Q2591,ctaNombre,0)),"⚠ Cuenta no registrada",IF(AND(OR(P2591="Gasto",P2591="Reembolso"),D2591=""),"⚠ Falta categoría",IF(AND(D2591&lt;&gt;"",E2591&lt;&gt;"",ISNA(MATCH(D2591&amp;"|"&amp;E2591,catClave,0))),"⚠ Subcategoría no corresponde",IF(AND(OR(P2591="Transferencia",P2591="Pago tarjeta"),K2591=""),"⚠ Falta cuenta destino",IF(AND(K2591&lt;&gt;"",P2591&lt;&gt;"Transferencia",P2591&lt;&gt;"Pago tarjeta"),"⚠ Destino solo aplica a transferencias",IF(AND(K2591&lt;&gt;"",K2591=Q2591),"⚠ Origen igual a destino",IF(AND(K2591&lt;&gt;"",ISNA(MATCH(K2591,ctaNombre,0))),"⚠ Destino no registrado",IF(AND(P2591="Pago tarjeta",AE2591&lt;&gt;"Tarjeta de crédito"),"⚠ El destino debe ser tarjeta de crédito",IF(AND(P2591="Gasto",E2591="Depósitos y retiros"),"⚠ Usa tipo Transferencia",IF(AND(P2591="Resultado trading",AD2591&lt;&gt;"Cuenta de trading"),"⚠ Usa una cuenta de trading",IF(AND(G2591&lt;=0,P2591&lt;&gt;"Ajuste",P2591&lt;&gt;"Resultado trading"),"⚠ El monto debe ser positivo","✓")))))))))))))))</f>
        <v/>
      </c>
      <c r="P2591" s="52">
        <f>IF(OR(B2591="",G2591=""),"",IF(C2591="","Gasto",C2591))</f>
        <v/>
      </c>
      <c r="Q2591" s="52">
        <f>IF(P2591="","",IF(J2591&lt;&gt;"",J2591,CuentaPred&amp;""))</f>
        <v/>
      </c>
      <c r="R2591" s="52">
        <f>IF(P2591="","",IF(ISNUMBER(I2591),I2591,TasaUSD))</f>
        <v/>
      </c>
      <c r="S2591" s="53">
        <f>IF(P2591="","",IF(H2591="USD",G2591*R2591,G2591))</f>
        <v/>
      </c>
      <c r="T2591" s="53">
        <f>IF(P2591="","",IF(H2591="USD",G2591,IF(R2591&gt;0,G2591/R2591,0)))</f>
        <v/>
      </c>
      <c r="U2591" s="53">
        <f>IF(P2591="","",IF(P2591="Gasto",S2591,IF(P2591="Reembolso",-S2591,0)))</f>
        <v/>
      </c>
      <c r="V2591" s="53">
        <f>IF(P2591="","",IF(P2591="Ingreso",S2591,0))</f>
        <v/>
      </c>
      <c r="W2591" s="53">
        <f>IF(P2591="","",IF(P2591="Resultado trading",S2591,0))</f>
        <v/>
      </c>
      <c r="X2591" s="52">
        <f>IF(OR(P2591="Gasto",P2591="Reembolso"),IF(M2591&lt;&gt;"",M2591,IFERROR(INDEX(catClasif,MATCH(D2591&amp;"|"&amp;E2591,catClave,0))&amp;"","Variable")),"")</f>
        <v/>
      </c>
      <c r="Y2591" s="52">
        <f>IF(P2591="","",IFERROR(INDEX(catGrupo,MATCH(D2591&amp;"|"&amp;E2591,catClave,0))&amp;"",""))</f>
        <v/>
      </c>
      <c r="Z2591" s="52">
        <f>IF(P2591="","",WEEKDAY(B2591,2))</f>
        <v/>
      </c>
      <c r="AA2591" s="52">
        <f>IF(P2591="","",IF(AND(P2591="Gasto",X2591="Variable",D2591&lt;&gt;catTrading,S2591&gt;0,S2591&lt;=Umbral),1,0))</f>
        <v/>
      </c>
      <c r="AB2591" s="52">
        <f>IF(OR(P2591="",Q2591=""),"",IFERROR(IF(INDEX(ctaVinc,MATCH(Q2591,ctaNombre,0))&amp;""&lt;&gt;"",INDEX(ctaVinc,MATCH(Q2591,ctaNombre,0))&amp;"",Q2591),Q2591))</f>
        <v/>
      </c>
      <c r="AC2591" s="52">
        <f>IF(OR(K2591="",AND(P2591&lt;&gt;"Transferencia",P2591&lt;&gt;"Pago tarjeta")),"",IFERROR(IF(INDEX(ctaVinc,MATCH(K2591,ctaNombre,0))&amp;""&lt;&gt;"",INDEX(ctaVinc,MATCH(K2591,ctaNombre,0))&amp;"",K2591),K2591))</f>
        <v/>
      </c>
      <c r="AD2591" s="52">
        <f>IF(AB2591="","",IFERROR(INDEX(ctaTipo,MATCH(AB2591,ctaNombre,0))&amp;"",""))</f>
        <v/>
      </c>
      <c r="AE2591" s="52">
        <f>IF(AC2591="","",IFERROR(INDEX(ctaTipo,MATCH(AC2591,ctaNombre,0))&amp;"",""))</f>
        <v/>
      </c>
      <c r="AF2591" s="53">
        <f>IF(OR(P2591="",AB2591=""),"",IF(OR(P2591="Gasto",P2591="Transferencia",P2591="Pago tarjeta"),-1,1)*IF(IFERROR(INDEX(ctaMoneda,MATCH(AB2591,ctaNombre,0))&amp;"","DOP")="USD",T2591,S2591))</f>
        <v/>
      </c>
      <c r="AG2591" s="53">
        <f>IF(AC2591="","",IF(IFERROR(INDEX(ctaMoneda,MATCH(AC2591,ctaNombre,0))&amp;"","DOP")="USD",T2591,S2591))</f>
        <v/>
      </c>
      <c r="AH2591" s="53">
        <f>IF(P2591="","",IF(AND(AD2591&lt;&gt;"",COUNTIFS(tcTipo,AD2591,tcLiq,"Sí")&gt;0),IF(OR(P2591="Gasto",P2591="Transferencia",P2591="Pago tarjeta"),-1,1)*S2591,0)+IF(AND(AE2591&lt;&gt;"",COUNTIFS(tcTipo,AE2591,tcLiq,"Sí")&gt;0),S2591,0))</f>
        <v/>
      </c>
      <c r="AI2591" s="52">
        <f>IF(OR(L2591="",P2591=""),"",IF(COUNTIFS(L$6:L2591,L2591,P$6:P2591,"?*")=1,MAX(AI$5:AI2590)+1,""))</f>
        <v/>
      </c>
    </row>
    <row r="2592">
      <c r="B2592" s="47" t="n"/>
      <c r="C2592" s="48" t="n"/>
      <c r="D2592" s="48" t="n"/>
      <c r="E2592" s="48" t="n"/>
      <c r="F2592" s="48" t="n"/>
      <c r="G2592" s="49" t="n"/>
      <c r="H2592" s="48" t="n"/>
      <c r="I2592" s="50" t="n"/>
      <c r="J2592" s="48" t="n"/>
      <c r="K2592" s="48" t="n"/>
      <c r="L2592" s="48" t="n"/>
      <c r="M2592" s="48" t="n"/>
      <c r="N2592" s="48" t="n"/>
      <c r="O2592" s="51">
        <f>IF(AND(B2592="",G2592="",C2592="",D2592="",J2592=""),"",IF(B2592="","⚠ Falta fecha",IF(G2592="","⚠ Falta monto",IF(Q2592="","⚠ Falta cuenta",IF(ISNA(MATCH(Q2592,ctaNombre,0)),"⚠ Cuenta no registrada",IF(AND(OR(P2592="Gasto",P2592="Reembolso"),D2592=""),"⚠ Falta categoría",IF(AND(D2592&lt;&gt;"",E2592&lt;&gt;"",ISNA(MATCH(D2592&amp;"|"&amp;E2592,catClave,0))),"⚠ Subcategoría no corresponde",IF(AND(OR(P2592="Transferencia",P2592="Pago tarjeta"),K2592=""),"⚠ Falta cuenta destino",IF(AND(K2592&lt;&gt;"",P2592&lt;&gt;"Transferencia",P2592&lt;&gt;"Pago tarjeta"),"⚠ Destino solo aplica a transferencias",IF(AND(K2592&lt;&gt;"",K2592=Q2592),"⚠ Origen igual a destino",IF(AND(K2592&lt;&gt;"",ISNA(MATCH(K2592,ctaNombre,0))),"⚠ Destino no registrado",IF(AND(P2592="Pago tarjeta",AE2592&lt;&gt;"Tarjeta de crédito"),"⚠ El destino debe ser tarjeta de crédito",IF(AND(P2592="Gasto",E2592="Depósitos y retiros"),"⚠ Usa tipo Transferencia",IF(AND(P2592="Resultado trading",AD2592&lt;&gt;"Cuenta de trading"),"⚠ Usa una cuenta de trading",IF(AND(G2592&lt;=0,P2592&lt;&gt;"Ajuste",P2592&lt;&gt;"Resultado trading"),"⚠ El monto debe ser positivo","✓")))))))))))))))</f>
        <v/>
      </c>
      <c r="P2592" s="52">
        <f>IF(OR(B2592="",G2592=""),"",IF(C2592="","Gasto",C2592))</f>
        <v/>
      </c>
      <c r="Q2592" s="52">
        <f>IF(P2592="","",IF(J2592&lt;&gt;"",J2592,CuentaPred&amp;""))</f>
        <v/>
      </c>
      <c r="R2592" s="52">
        <f>IF(P2592="","",IF(ISNUMBER(I2592),I2592,TasaUSD))</f>
        <v/>
      </c>
      <c r="S2592" s="53">
        <f>IF(P2592="","",IF(H2592="USD",G2592*R2592,G2592))</f>
        <v/>
      </c>
      <c r="T2592" s="53">
        <f>IF(P2592="","",IF(H2592="USD",G2592,IF(R2592&gt;0,G2592/R2592,0)))</f>
        <v/>
      </c>
      <c r="U2592" s="53">
        <f>IF(P2592="","",IF(P2592="Gasto",S2592,IF(P2592="Reembolso",-S2592,0)))</f>
        <v/>
      </c>
      <c r="V2592" s="53">
        <f>IF(P2592="","",IF(P2592="Ingreso",S2592,0))</f>
        <v/>
      </c>
      <c r="W2592" s="53">
        <f>IF(P2592="","",IF(P2592="Resultado trading",S2592,0))</f>
        <v/>
      </c>
      <c r="X2592" s="52">
        <f>IF(OR(P2592="Gasto",P2592="Reembolso"),IF(M2592&lt;&gt;"",M2592,IFERROR(INDEX(catClasif,MATCH(D2592&amp;"|"&amp;E2592,catClave,0))&amp;"","Variable")),"")</f>
        <v/>
      </c>
      <c r="Y2592" s="52">
        <f>IF(P2592="","",IFERROR(INDEX(catGrupo,MATCH(D2592&amp;"|"&amp;E2592,catClave,0))&amp;"",""))</f>
        <v/>
      </c>
      <c r="Z2592" s="52">
        <f>IF(P2592="","",WEEKDAY(B2592,2))</f>
        <v/>
      </c>
      <c r="AA2592" s="52">
        <f>IF(P2592="","",IF(AND(P2592="Gasto",X2592="Variable",D2592&lt;&gt;catTrading,S2592&gt;0,S2592&lt;=Umbral),1,0))</f>
        <v/>
      </c>
      <c r="AB2592" s="52">
        <f>IF(OR(P2592="",Q2592=""),"",IFERROR(IF(INDEX(ctaVinc,MATCH(Q2592,ctaNombre,0))&amp;""&lt;&gt;"",INDEX(ctaVinc,MATCH(Q2592,ctaNombre,0))&amp;"",Q2592),Q2592))</f>
        <v/>
      </c>
      <c r="AC2592" s="52">
        <f>IF(OR(K2592="",AND(P2592&lt;&gt;"Transferencia",P2592&lt;&gt;"Pago tarjeta")),"",IFERROR(IF(INDEX(ctaVinc,MATCH(K2592,ctaNombre,0))&amp;""&lt;&gt;"",INDEX(ctaVinc,MATCH(K2592,ctaNombre,0))&amp;"",K2592),K2592))</f>
        <v/>
      </c>
      <c r="AD2592" s="52">
        <f>IF(AB2592="","",IFERROR(INDEX(ctaTipo,MATCH(AB2592,ctaNombre,0))&amp;"",""))</f>
        <v/>
      </c>
      <c r="AE2592" s="52">
        <f>IF(AC2592="","",IFERROR(INDEX(ctaTipo,MATCH(AC2592,ctaNombre,0))&amp;"",""))</f>
        <v/>
      </c>
      <c r="AF2592" s="53">
        <f>IF(OR(P2592="",AB2592=""),"",IF(OR(P2592="Gasto",P2592="Transferencia",P2592="Pago tarjeta"),-1,1)*IF(IFERROR(INDEX(ctaMoneda,MATCH(AB2592,ctaNombre,0))&amp;"","DOP")="USD",T2592,S2592))</f>
        <v/>
      </c>
      <c r="AG2592" s="53">
        <f>IF(AC2592="","",IF(IFERROR(INDEX(ctaMoneda,MATCH(AC2592,ctaNombre,0))&amp;"","DOP")="USD",T2592,S2592))</f>
        <v/>
      </c>
      <c r="AH2592" s="53">
        <f>IF(P2592="","",IF(AND(AD2592&lt;&gt;"",COUNTIFS(tcTipo,AD2592,tcLiq,"Sí")&gt;0),IF(OR(P2592="Gasto",P2592="Transferencia",P2592="Pago tarjeta"),-1,1)*S2592,0)+IF(AND(AE2592&lt;&gt;"",COUNTIFS(tcTipo,AE2592,tcLiq,"Sí")&gt;0),S2592,0))</f>
        <v/>
      </c>
      <c r="AI2592" s="52">
        <f>IF(OR(L2592="",P2592=""),"",IF(COUNTIFS(L$6:L2592,L2592,P$6:P2592,"?*")=1,MAX(AI$5:AI2591)+1,""))</f>
        <v/>
      </c>
    </row>
    <row r="2593">
      <c r="B2593" s="47" t="n"/>
      <c r="C2593" s="48" t="n"/>
      <c r="D2593" s="48" t="n"/>
      <c r="E2593" s="48" t="n"/>
      <c r="F2593" s="48" t="n"/>
      <c r="G2593" s="49" t="n"/>
      <c r="H2593" s="48" t="n"/>
      <c r="I2593" s="50" t="n"/>
      <c r="J2593" s="48" t="n"/>
      <c r="K2593" s="48" t="n"/>
      <c r="L2593" s="48" t="n"/>
      <c r="M2593" s="48" t="n"/>
      <c r="N2593" s="48" t="n"/>
      <c r="O2593" s="51">
        <f>IF(AND(B2593="",G2593="",C2593="",D2593="",J2593=""),"",IF(B2593="","⚠ Falta fecha",IF(G2593="","⚠ Falta monto",IF(Q2593="","⚠ Falta cuenta",IF(ISNA(MATCH(Q2593,ctaNombre,0)),"⚠ Cuenta no registrada",IF(AND(OR(P2593="Gasto",P2593="Reembolso"),D2593=""),"⚠ Falta categoría",IF(AND(D2593&lt;&gt;"",E2593&lt;&gt;"",ISNA(MATCH(D2593&amp;"|"&amp;E2593,catClave,0))),"⚠ Subcategoría no corresponde",IF(AND(OR(P2593="Transferencia",P2593="Pago tarjeta"),K2593=""),"⚠ Falta cuenta destino",IF(AND(K2593&lt;&gt;"",P2593&lt;&gt;"Transferencia",P2593&lt;&gt;"Pago tarjeta"),"⚠ Destino solo aplica a transferencias",IF(AND(K2593&lt;&gt;"",K2593=Q2593),"⚠ Origen igual a destino",IF(AND(K2593&lt;&gt;"",ISNA(MATCH(K2593,ctaNombre,0))),"⚠ Destino no registrado",IF(AND(P2593="Pago tarjeta",AE2593&lt;&gt;"Tarjeta de crédito"),"⚠ El destino debe ser tarjeta de crédito",IF(AND(P2593="Gasto",E2593="Depósitos y retiros"),"⚠ Usa tipo Transferencia",IF(AND(P2593="Resultado trading",AD2593&lt;&gt;"Cuenta de trading"),"⚠ Usa una cuenta de trading",IF(AND(G2593&lt;=0,P2593&lt;&gt;"Ajuste",P2593&lt;&gt;"Resultado trading"),"⚠ El monto debe ser positivo","✓")))))))))))))))</f>
        <v/>
      </c>
      <c r="P2593" s="52">
        <f>IF(OR(B2593="",G2593=""),"",IF(C2593="","Gasto",C2593))</f>
        <v/>
      </c>
      <c r="Q2593" s="52">
        <f>IF(P2593="","",IF(J2593&lt;&gt;"",J2593,CuentaPred&amp;""))</f>
        <v/>
      </c>
      <c r="R2593" s="52">
        <f>IF(P2593="","",IF(ISNUMBER(I2593),I2593,TasaUSD))</f>
        <v/>
      </c>
      <c r="S2593" s="53">
        <f>IF(P2593="","",IF(H2593="USD",G2593*R2593,G2593))</f>
        <v/>
      </c>
      <c r="T2593" s="53">
        <f>IF(P2593="","",IF(H2593="USD",G2593,IF(R2593&gt;0,G2593/R2593,0)))</f>
        <v/>
      </c>
      <c r="U2593" s="53">
        <f>IF(P2593="","",IF(P2593="Gasto",S2593,IF(P2593="Reembolso",-S2593,0)))</f>
        <v/>
      </c>
      <c r="V2593" s="53">
        <f>IF(P2593="","",IF(P2593="Ingreso",S2593,0))</f>
        <v/>
      </c>
      <c r="W2593" s="53">
        <f>IF(P2593="","",IF(P2593="Resultado trading",S2593,0))</f>
        <v/>
      </c>
      <c r="X2593" s="52">
        <f>IF(OR(P2593="Gasto",P2593="Reembolso"),IF(M2593&lt;&gt;"",M2593,IFERROR(INDEX(catClasif,MATCH(D2593&amp;"|"&amp;E2593,catClave,0))&amp;"","Variable")),"")</f>
        <v/>
      </c>
      <c r="Y2593" s="52">
        <f>IF(P2593="","",IFERROR(INDEX(catGrupo,MATCH(D2593&amp;"|"&amp;E2593,catClave,0))&amp;"",""))</f>
        <v/>
      </c>
      <c r="Z2593" s="52">
        <f>IF(P2593="","",WEEKDAY(B2593,2))</f>
        <v/>
      </c>
      <c r="AA2593" s="52">
        <f>IF(P2593="","",IF(AND(P2593="Gasto",X2593="Variable",D2593&lt;&gt;catTrading,S2593&gt;0,S2593&lt;=Umbral),1,0))</f>
        <v/>
      </c>
      <c r="AB2593" s="52">
        <f>IF(OR(P2593="",Q2593=""),"",IFERROR(IF(INDEX(ctaVinc,MATCH(Q2593,ctaNombre,0))&amp;""&lt;&gt;"",INDEX(ctaVinc,MATCH(Q2593,ctaNombre,0))&amp;"",Q2593),Q2593))</f>
        <v/>
      </c>
      <c r="AC2593" s="52">
        <f>IF(OR(K2593="",AND(P2593&lt;&gt;"Transferencia",P2593&lt;&gt;"Pago tarjeta")),"",IFERROR(IF(INDEX(ctaVinc,MATCH(K2593,ctaNombre,0))&amp;""&lt;&gt;"",INDEX(ctaVinc,MATCH(K2593,ctaNombre,0))&amp;"",K2593),K2593))</f>
        <v/>
      </c>
      <c r="AD2593" s="52">
        <f>IF(AB2593="","",IFERROR(INDEX(ctaTipo,MATCH(AB2593,ctaNombre,0))&amp;"",""))</f>
        <v/>
      </c>
      <c r="AE2593" s="52">
        <f>IF(AC2593="","",IFERROR(INDEX(ctaTipo,MATCH(AC2593,ctaNombre,0))&amp;"",""))</f>
        <v/>
      </c>
      <c r="AF2593" s="53">
        <f>IF(OR(P2593="",AB2593=""),"",IF(OR(P2593="Gasto",P2593="Transferencia",P2593="Pago tarjeta"),-1,1)*IF(IFERROR(INDEX(ctaMoneda,MATCH(AB2593,ctaNombre,0))&amp;"","DOP")="USD",T2593,S2593))</f>
        <v/>
      </c>
      <c r="AG2593" s="53">
        <f>IF(AC2593="","",IF(IFERROR(INDEX(ctaMoneda,MATCH(AC2593,ctaNombre,0))&amp;"","DOP")="USD",T2593,S2593))</f>
        <v/>
      </c>
      <c r="AH2593" s="53">
        <f>IF(P2593="","",IF(AND(AD2593&lt;&gt;"",COUNTIFS(tcTipo,AD2593,tcLiq,"Sí")&gt;0),IF(OR(P2593="Gasto",P2593="Transferencia",P2593="Pago tarjeta"),-1,1)*S2593,0)+IF(AND(AE2593&lt;&gt;"",COUNTIFS(tcTipo,AE2593,tcLiq,"Sí")&gt;0),S2593,0))</f>
        <v/>
      </c>
      <c r="AI2593" s="52">
        <f>IF(OR(L2593="",P2593=""),"",IF(COUNTIFS(L$6:L2593,L2593,P$6:P2593,"?*")=1,MAX(AI$5:AI2592)+1,""))</f>
        <v/>
      </c>
    </row>
    <row r="2594">
      <c r="B2594" s="47" t="n"/>
      <c r="C2594" s="48" t="n"/>
      <c r="D2594" s="48" t="n"/>
      <c r="E2594" s="48" t="n"/>
      <c r="F2594" s="48" t="n"/>
      <c r="G2594" s="49" t="n"/>
      <c r="H2594" s="48" t="n"/>
      <c r="I2594" s="50" t="n"/>
      <c r="J2594" s="48" t="n"/>
      <c r="K2594" s="48" t="n"/>
      <c r="L2594" s="48" t="n"/>
      <c r="M2594" s="48" t="n"/>
      <c r="N2594" s="48" t="n"/>
      <c r="O2594" s="51">
        <f>IF(AND(B2594="",G2594="",C2594="",D2594="",J2594=""),"",IF(B2594="","⚠ Falta fecha",IF(G2594="","⚠ Falta monto",IF(Q2594="","⚠ Falta cuenta",IF(ISNA(MATCH(Q2594,ctaNombre,0)),"⚠ Cuenta no registrada",IF(AND(OR(P2594="Gasto",P2594="Reembolso"),D2594=""),"⚠ Falta categoría",IF(AND(D2594&lt;&gt;"",E2594&lt;&gt;"",ISNA(MATCH(D2594&amp;"|"&amp;E2594,catClave,0))),"⚠ Subcategoría no corresponde",IF(AND(OR(P2594="Transferencia",P2594="Pago tarjeta"),K2594=""),"⚠ Falta cuenta destino",IF(AND(K2594&lt;&gt;"",P2594&lt;&gt;"Transferencia",P2594&lt;&gt;"Pago tarjeta"),"⚠ Destino solo aplica a transferencias",IF(AND(K2594&lt;&gt;"",K2594=Q2594),"⚠ Origen igual a destino",IF(AND(K2594&lt;&gt;"",ISNA(MATCH(K2594,ctaNombre,0))),"⚠ Destino no registrado",IF(AND(P2594="Pago tarjeta",AE2594&lt;&gt;"Tarjeta de crédito"),"⚠ El destino debe ser tarjeta de crédito",IF(AND(P2594="Gasto",E2594="Depósitos y retiros"),"⚠ Usa tipo Transferencia",IF(AND(P2594="Resultado trading",AD2594&lt;&gt;"Cuenta de trading"),"⚠ Usa una cuenta de trading",IF(AND(G2594&lt;=0,P2594&lt;&gt;"Ajuste",P2594&lt;&gt;"Resultado trading"),"⚠ El monto debe ser positivo","✓")))))))))))))))</f>
        <v/>
      </c>
      <c r="P2594" s="52">
        <f>IF(OR(B2594="",G2594=""),"",IF(C2594="","Gasto",C2594))</f>
        <v/>
      </c>
      <c r="Q2594" s="52">
        <f>IF(P2594="","",IF(J2594&lt;&gt;"",J2594,CuentaPred&amp;""))</f>
        <v/>
      </c>
      <c r="R2594" s="52">
        <f>IF(P2594="","",IF(ISNUMBER(I2594),I2594,TasaUSD))</f>
        <v/>
      </c>
      <c r="S2594" s="53">
        <f>IF(P2594="","",IF(H2594="USD",G2594*R2594,G2594))</f>
        <v/>
      </c>
      <c r="T2594" s="53">
        <f>IF(P2594="","",IF(H2594="USD",G2594,IF(R2594&gt;0,G2594/R2594,0)))</f>
        <v/>
      </c>
      <c r="U2594" s="53">
        <f>IF(P2594="","",IF(P2594="Gasto",S2594,IF(P2594="Reembolso",-S2594,0)))</f>
        <v/>
      </c>
      <c r="V2594" s="53">
        <f>IF(P2594="","",IF(P2594="Ingreso",S2594,0))</f>
        <v/>
      </c>
      <c r="W2594" s="53">
        <f>IF(P2594="","",IF(P2594="Resultado trading",S2594,0))</f>
        <v/>
      </c>
      <c r="X2594" s="52">
        <f>IF(OR(P2594="Gasto",P2594="Reembolso"),IF(M2594&lt;&gt;"",M2594,IFERROR(INDEX(catClasif,MATCH(D2594&amp;"|"&amp;E2594,catClave,0))&amp;"","Variable")),"")</f>
        <v/>
      </c>
      <c r="Y2594" s="52">
        <f>IF(P2594="","",IFERROR(INDEX(catGrupo,MATCH(D2594&amp;"|"&amp;E2594,catClave,0))&amp;"",""))</f>
        <v/>
      </c>
      <c r="Z2594" s="52">
        <f>IF(P2594="","",WEEKDAY(B2594,2))</f>
        <v/>
      </c>
      <c r="AA2594" s="52">
        <f>IF(P2594="","",IF(AND(P2594="Gasto",X2594="Variable",D2594&lt;&gt;catTrading,S2594&gt;0,S2594&lt;=Umbral),1,0))</f>
        <v/>
      </c>
      <c r="AB2594" s="52">
        <f>IF(OR(P2594="",Q2594=""),"",IFERROR(IF(INDEX(ctaVinc,MATCH(Q2594,ctaNombre,0))&amp;""&lt;&gt;"",INDEX(ctaVinc,MATCH(Q2594,ctaNombre,0))&amp;"",Q2594),Q2594))</f>
        <v/>
      </c>
      <c r="AC2594" s="52">
        <f>IF(OR(K2594="",AND(P2594&lt;&gt;"Transferencia",P2594&lt;&gt;"Pago tarjeta")),"",IFERROR(IF(INDEX(ctaVinc,MATCH(K2594,ctaNombre,0))&amp;""&lt;&gt;"",INDEX(ctaVinc,MATCH(K2594,ctaNombre,0))&amp;"",K2594),K2594))</f>
        <v/>
      </c>
      <c r="AD2594" s="52">
        <f>IF(AB2594="","",IFERROR(INDEX(ctaTipo,MATCH(AB2594,ctaNombre,0))&amp;"",""))</f>
        <v/>
      </c>
      <c r="AE2594" s="52">
        <f>IF(AC2594="","",IFERROR(INDEX(ctaTipo,MATCH(AC2594,ctaNombre,0))&amp;"",""))</f>
        <v/>
      </c>
      <c r="AF2594" s="53">
        <f>IF(OR(P2594="",AB2594=""),"",IF(OR(P2594="Gasto",P2594="Transferencia",P2594="Pago tarjeta"),-1,1)*IF(IFERROR(INDEX(ctaMoneda,MATCH(AB2594,ctaNombre,0))&amp;"","DOP")="USD",T2594,S2594))</f>
        <v/>
      </c>
      <c r="AG2594" s="53">
        <f>IF(AC2594="","",IF(IFERROR(INDEX(ctaMoneda,MATCH(AC2594,ctaNombre,0))&amp;"","DOP")="USD",T2594,S2594))</f>
        <v/>
      </c>
      <c r="AH2594" s="53">
        <f>IF(P2594="","",IF(AND(AD2594&lt;&gt;"",COUNTIFS(tcTipo,AD2594,tcLiq,"Sí")&gt;0),IF(OR(P2594="Gasto",P2594="Transferencia",P2594="Pago tarjeta"),-1,1)*S2594,0)+IF(AND(AE2594&lt;&gt;"",COUNTIFS(tcTipo,AE2594,tcLiq,"Sí")&gt;0),S2594,0))</f>
        <v/>
      </c>
      <c r="AI2594" s="52">
        <f>IF(OR(L2594="",P2594=""),"",IF(COUNTIFS(L$6:L2594,L2594,P$6:P2594,"?*")=1,MAX(AI$5:AI2593)+1,""))</f>
        <v/>
      </c>
    </row>
    <row r="2595">
      <c r="B2595" s="47" t="n"/>
      <c r="C2595" s="48" t="n"/>
      <c r="D2595" s="48" t="n"/>
      <c r="E2595" s="48" t="n"/>
      <c r="F2595" s="48" t="n"/>
      <c r="G2595" s="49" t="n"/>
      <c r="H2595" s="48" t="n"/>
      <c r="I2595" s="50" t="n"/>
      <c r="J2595" s="48" t="n"/>
      <c r="K2595" s="48" t="n"/>
      <c r="L2595" s="48" t="n"/>
      <c r="M2595" s="48" t="n"/>
      <c r="N2595" s="48" t="n"/>
      <c r="O2595" s="51">
        <f>IF(AND(B2595="",G2595="",C2595="",D2595="",J2595=""),"",IF(B2595="","⚠ Falta fecha",IF(G2595="","⚠ Falta monto",IF(Q2595="","⚠ Falta cuenta",IF(ISNA(MATCH(Q2595,ctaNombre,0)),"⚠ Cuenta no registrada",IF(AND(OR(P2595="Gasto",P2595="Reembolso"),D2595=""),"⚠ Falta categoría",IF(AND(D2595&lt;&gt;"",E2595&lt;&gt;"",ISNA(MATCH(D2595&amp;"|"&amp;E2595,catClave,0))),"⚠ Subcategoría no corresponde",IF(AND(OR(P2595="Transferencia",P2595="Pago tarjeta"),K2595=""),"⚠ Falta cuenta destino",IF(AND(K2595&lt;&gt;"",P2595&lt;&gt;"Transferencia",P2595&lt;&gt;"Pago tarjeta"),"⚠ Destino solo aplica a transferencias",IF(AND(K2595&lt;&gt;"",K2595=Q2595),"⚠ Origen igual a destino",IF(AND(K2595&lt;&gt;"",ISNA(MATCH(K2595,ctaNombre,0))),"⚠ Destino no registrado",IF(AND(P2595="Pago tarjeta",AE2595&lt;&gt;"Tarjeta de crédito"),"⚠ El destino debe ser tarjeta de crédito",IF(AND(P2595="Gasto",E2595="Depósitos y retiros"),"⚠ Usa tipo Transferencia",IF(AND(P2595="Resultado trading",AD2595&lt;&gt;"Cuenta de trading"),"⚠ Usa una cuenta de trading",IF(AND(G2595&lt;=0,P2595&lt;&gt;"Ajuste",P2595&lt;&gt;"Resultado trading"),"⚠ El monto debe ser positivo","✓")))))))))))))))</f>
        <v/>
      </c>
      <c r="P2595" s="52">
        <f>IF(OR(B2595="",G2595=""),"",IF(C2595="","Gasto",C2595))</f>
        <v/>
      </c>
      <c r="Q2595" s="52">
        <f>IF(P2595="","",IF(J2595&lt;&gt;"",J2595,CuentaPred&amp;""))</f>
        <v/>
      </c>
      <c r="R2595" s="52">
        <f>IF(P2595="","",IF(ISNUMBER(I2595),I2595,TasaUSD))</f>
        <v/>
      </c>
      <c r="S2595" s="53">
        <f>IF(P2595="","",IF(H2595="USD",G2595*R2595,G2595))</f>
        <v/>
      </c>
      <c r="T2595" s="53">
        <f>IF(P2595="","",IF(H2595="USD",G2595,IF(R2595&gt;0,G2595/R2595,0)))</f>
        <v/>
      </c>
      <c r="U2595" s="53">
        <f>IF(P2595="","",IF(P2595="Gasto",S2595,IF(P2595="Reembolso",-S2595,0)))</f>
        <v/>
      </c>
      <c r="V2595" s="53">
        <f>IF(P2595="","",IF(P2595="Ingreso",S2595,0))</f>
        <v/>
      </c>
      <c r="W2595" s="53">
        <f>IF(P2595="","",IF(P2595="Resultado trading",S2595,0))</f>
        <v/>
      </c>
      <c r="X2595" s="52">
        <f>IF(OR(P2595="Gasto",P2595="Reembolso"),IF(M2595&lt;&gt;"",M2595,IFERROR(INDEX(catClasif,MATCH(D2595&amp;"|"&amp;E2595,catClave,0))&amp;"","Variable")),"")</f>
        <v/>
      </c>
      <c r="Y2595" s="52">
        <f>IF(P2595="","",IFERROR(INDEX(catGrupo,MATCH(D2595&amp;"|"&amp;E2595,catClave,0))&amp;"",""))</f>
        <v/>
      </c>
      <c r="Z2595" s="52">
        <f>IF(P2595="","",WEEKDAY(B2595,2))</f>
        <v/>
      </c>
      <c r="AA2595" s="52">
        <f>IF(P2595="","",IF(AND(P2595="Gasto",X2595="Variable",D2595&lt;&gt;catTrading,S2595&gt;0,S2595&lt;=Umbral),1,0))</f>
        <v/>
      </c>
      <c r="AB2595" s="52">
        <f>IF(OR(P2595="",Q2595=""),"",IFERROR(IF(INDEX(ctaVinc,MATCH(Q2595,ctaNombre,0))&amp;""&lt;&gt;"",INDEX(ctaVinc,MATCH(Q2595,ctaNombre,0))&amp;"",Q2595),Q2595))</f>
        <v/>
      </c>
      <c r="AC2595" s="52">
        <f>IF(OR(K2595="",AND(P2595&lt;&gt;"Transferencia",P2595&lt;&gt;"Pago tarjeta")),"",IFERROR(IF(INDEX(ctaVinc,MATCH(K2595,ctaNombre,0))&amp;""&lt;&gt;"",INDEX(ctaVinc,MATCH(K2595,ctaNombre,0))&amp;"",K2595),K2595))</f>
        <v/>
      </c>
      <c r="AD2595" s="52">
        <f>IF(AB2595="","",IFERROR(INDEX(ctaTipo,MATCH(AB2595,ctaNombre,0))&amp;"",""))</f>
        <v/>
      </c>
      <c r="AE2595" s="52">
        <f>IF(AC2595="","",IFERROR(INDEX(ctaTipo,MATCH(AC2595,ctaNombre,0))&amp;"",""))</f>
        <v/>
      </c>
      <c r="AF2595" s="53">
        <f>IF(OR(P2595="",AB2595=""),"",IF(OR(P2595="Gasto",P2595="Transferencia",P2595="Pago tarjeta"),-1,1)*IF(IFERROR(INDEX(ctaMoneda,MATCH(AB2595,ctaNombre,0))&amp;"","DOP")="USD",T2595,S2595))</f>
        <v/>
      </c>
      <c r="AG2595" s="53">
        <f>IF(AC2595="","",IF(IFERROR(INDEX(ctaMoneda,MATCH(AC2595,ctaNombre,0))&amp;"","DOP")="USD",T2595,S2595))</f>
        <v/>
      </c>
      <c r="AH2595" s="53">
        <f>IF(P2595="","",IF(AND(AD2595&lt;&gt;"",COUNTIFS(tcTipo,AD2595,tcLiq,"Sí")&gt;0),IF(OR(P2595="Gasto",P2595="Transferencia",P2595="Pago tarjeta"),-1,1)*S2595,0)+IF(AND(AE2595&lt;&gt;"",COUNTIFS(tcTipo,AE2595,tcLiq,"Sí")&gt;0),S2595,0))</f>
        <v/>
      </c>
      <c r="AI2595" s="52">
        <f>IF(OR(L2595="",P2595=""),"",IF(COUNTIFS(L$6:L2595,L2595,P$6:P2595,"?*")=1,MAX(AI$5:AI2594)+1,""))</f>
        <v/>
      </c>
    </row>
    <row r="2596">
      <c r="B2596" s="47" t="n"/>
      <c r="C2596" s="48" t="n"/>
      <c r="D2596" s="48" t="n"/>
      <c r="E2596" s="48" t="n"/>
      <c r="F2596" s="48" t="n"/>
      <c r="G2596" s="49" t="n"/>
      <c r="H2596" s="48" t="n"/>
      <c r="I2596" s="50" t="n"/>
      <c r="J2596" s="48" t="n"/>
      <c r="K2596" s="48" t="n"/>
      <c r="L2596" s="48" t="n"/>
      <c r="M2596" s="48" t="n"/>
      <c r="N2596" s="48" t="n"/>
      <c r="O2596" s="51">
        <f>IF(AND(B2596="",G2596="",C2596="",D2596="",J2596=""),"",IF(B2596="","⚠ Falta fecha",IF(G2596="","⚠ Falta monto",IF(Q2596="","⚠ Falta cuenta",IF(ISNA(MATCH(Q2596,ctaNombre,0)),"⚠ Cuenta no registrada",IF(AND(OR(P2596="Gasto",P2596="Reembolso"),D2596=""),"⚠ Falta categoría",IF(AND(D2596&lt;&gt;"",E2596&lt;&gt;"",ISNA(MATCH(D2596&amp;"|"&amp;E2596,catClave,0))),"⚠ Subcategoría no corresponde",IF(AND(OR(P2596="Transferencia",P2596="Pago tarjeta"),K2596=""),"⚠ Falta cuenta destino",IF(AND(K2596&lt;&gt;"",P2596&lt;&gt;"Transferencia",P2596&lt;&gt;"Pago tarjeta"),"⚠ Destino solo aplica a transferencias",IF(AND(K2596&lt;&gt;"",K2596=Q2596),"⚠ Origen igual a destino",IF(AND(K2596&lt;&gt;"",ISNA(MATCH(K2596,ctaNombre,0))),"⚠ Destino no registrado",IF(AND(P2596="Pago tarjeta",AE2596&lt;&gt;"Tarjeta de crédito"),"⚠ El destino debe ser tarjeta de crédito",IF(AND(P2596="Gasto",E2596="Depósitos y retiros"),"⚠ Usa tipo Transferencia",IF(AND(P2596="Resultado trading",AD2596&lt;&gt;"Cuenta de trading"),"⚠ Usa una cuenta de trading",IF(AND(G2596&lt;=0,P2596&lt;&gt;"Ajuste",P2596&lt;&gt;"Resultado trading"),"⚠ El monto debe ser positivo","✓")))))))))))))))</f>
        <v/>
      </c>
      <c r="P2596" s="52">
        <f>IF(OR(B2596="",G2596=""),"",IF(C2596="","Gasto",C2596))</f>
        <v/>
      </c>
      <c r="Q2596" s="52">
        <f>IF(P2596="","",IF(J2596&lt;&gt;"",J2596,CuentaPred&amp;""))</f>
        <v/>
      </c>
      <c r="R2596" s="52">
        <f>IF(P2596="","",IF(ISNUMBER(I2596),I2596,TasaUSD))</f>
        <v/>
      </c>
      <c r="S2596" s="53">
        <f>IF(P2596="","",IF(H2596="USD",G2596*R2596,G2596))</f>
        <v/>
      </c>
      <c r="T2596" s="53">
        <f>IF(P2596="","",IF(H2596="USD",G2596,IF(R2596&gt;0,G2596/R2596,0)))</f>
        <v/>
      </c>
      <c r="U2596" s="53">
        <f>IF(P2596="","",IF(P2596="Gasto",S2596,IF(P2596="Reembolso",-S2596,0)))</f>
        <v/>
      </c>
      <c r="V2596" s="53">
        <f>IF(P2596="","",IF(P2596="Ingreso",S2596,0))</f>
        <v/>
      </c>
      <c r="W2596" s="53">
        <f>IF(P2596="","",IF(P2596="Resultado trading",S2596,0))</f>
        <v/>
      </c>
      <c r="X2596" s="52">
        <f>IF(OR(P2596="Gasto",P2596="Reembolso"),IF(M2596&lt;&gt;"",M2596,IFERROR(INDEX(catClasif,MATCH(D2596&amp;"|"&amp;E2596,catClave,0))&amp;"","Variable")),"")</f>
        <v/>
      </c>
      <c r="Y2596" s="52">
        <f>IF(P2596="","",IFERROR(INDEX(catGrupo,MATCH(D2596&amp;"|"&amp;E2596,catClave,0))&amp;"",""))</f>
        <v/>
      </c>
      <c r="Z2596" s="52">
        <f>IF(P2596="","",WEEKDAY(B2596,2))</f>
        <v/>
      </c>
      <c r="AA2596" s="52">
        <f>IF(P2596="","",IF(AND(P2596="Gasto",X2596="Variable",D2596&lt;&gt;catTrading,S2596&gt;0,S2596&lt;=Umbral),1,0))</f>
        <v/>
      </c>
      <c r="AB2596" s="52">
        <f>IF(OR(P2596="",Q2596=""),"",IFERROR(IF(INDEX(ctaVinc,MATCH(Q2596,ctaNombre,0))&amp;""&lt;&gt;"",INDEX(ctaVinc,MATCH(Q2596,ctaNombre,0))&amp;"",Q2596),Q2596))</f>
        <v/>
      </c>
      <c r="AC2596" s="52">
        <f>IF(OR(K2596="",AND(P2596&lt;&gt;"Transferencia",P2596&lt;&gt;"Pago tarjeta")),"",IFERROR(IF(INDEX(ctaVinc,MATCH(K2596,ctaNombre,0))&amp;""&lt;&gt;"",INDEX(ctaVinc,MATCH(K2596,ctaNombre,0))&amp;"",K2596),K2596))</f>
        <v/>
      </c>
      <c r="AD2596" s="52">
        <f>IF(AB2596="","",IFERROR(INDEX(ctaTipo,MATCH(AB2596,ctaNombre,0))&amp;"",""))</f>
        <v/>
      </c>
      <c r="AE2596" s="52">
        <f>IF(AC2596="","",IFERROR(INDEX(ctaTipo,MATCH(AC2596,ctaNombre,0))&amp;"",""))</f>
        <v/>
      </c>
      <c r="AF2596" s="53">
        <f>IF(OR(P2596="",AB2596=""),"",IF(OR(P2596="Gasto",P2596="Transferencia",P2596="Pago tarjeta"),-1,1)*IF(IFERROR(INDEX(ctaMoneda,MATCH(AB2596,ctaNombre,0))&amp;"","DOP")="USD",T2596,S2596))</f>
        <v/>
      </c>
      <c r="AG2596" s="53">
        <f>IF(AC2596="","",IF(IFERROR(INDEX(ctaMoneda,MATCH(AC2596,ctaNombre,0))&amp;"","DOP")="USD",T2596,S2596))</f>
        <v/>
      </c>
      <c r="AH2596" s="53">
        <f>IF(P2596="","",IF(AND(AD2596&lt;&gt;"",COUNTIFS(tcTipo,AD2596,tcLiq,"Sí")&gt;0),IF(OR(P2596="Gasto",P2596="Transferencia",P2596="Pago tarjeta"),-1,1)*S2596,0)+IF(AND(AE2596&lt;&gt;"",COUNTIFS(tcTipo,AE2596,tcLiq,"Sí")&gt;0),S2596,0))</f>
        <v/>
      </c>
      <c r="AI2596" s="52">
        <f>IF(OR(L2596="",P2596=""),"",IF(COUNTIFS(L$6:L2596,L2596,P$6:P2596,"?*")=1,MAX(AI$5:AI2595)+1,""))</f>
        <v/>
      </c>
    </row>
    <row r="2597">
      <c r="B2597" s="47" t="n"/>
      <c r="C2597" s="48" t="n"/>
      <c r="D2597" s="48" t="n"/>
      <c r="E2597" s="48" t="n"/>
      <c r="F2597" s="48" t="n"/>
      <c r="G2597" s="49" t="n"/>
      <c r="H2597" s="48" t="n"/>
      <c r="I2597" s="50" t="n"/>
      <c r="J2597" s="48" t="n"/>
      <c r="K2597" s="48" t="n"/>
      <c r="L2597" s="48" t="n"/>
      <c r="M2597" s="48" t="n"/>
      <c r="N2597" s="48" t="n"/>
      <c r="O2597" s="51">
        <f>IF(AND(B2597="",G2597="",C2597="",D2597="",J2597=""),"",IF(B2597="","⚠ Falta fecha",IF(G2597="","⚠ Falta monto",IF(Q2597="","⚠ Falta cuenta",IF(ISNA(MATCH(Q2597,ctaNombre,0)),"⚠ Cuenta no registrada",IF(AND(OR(P2597="Gasto",P2597="Reembolso"),D2597=""),"⚠ Falta categoría",IF(AND(D2597&lt;&gt;"",E2597&lt;&gt;"",ISNA(MATCH(D2597&amp;"|"&amp;E2597,catClave,0))),"⚠ Subcategoría no corresponde",IF(AND(OR(P2597="Transferencia",P2597="Pago tarjeta"),K2597=""),"⚠ Falta cuenta destino",IF(AND(K2597&lt;&gt;"",P2597&lt;&gt;"Transferencia",P2597&lt;&gt;"Pago tarjeta"),"⚠ Destino solo aplica a transferencias",IF(AND(K2597&lt;&gt;"",K2597=Q2597),"⚠ Origen igual a destino",IF(AND(K2597&lt;&gt;"",ISNA(MATCH(K2597,ctaNombre,0))),"⚠ Destino no registrado",IF(AND(P2597="Pago tarjeta",AE2597&lt;&gt;"Tarjeta de crédito"),"⚠ El destino debe ser tarjeta de crédito",IF(AND(P2597="Gasto",E2597="Depósitos y retiros"),"⚠ Usa tipo Transferencia",IF(AND(P2597="Resultado trading",AD2597&lt;&gt;"Cuenta de trading"),"⚠ Usa una cuenta de trading",IF(AND(G2597&lt;=0,P2597&lt;&gt;"Ajuste",P2597&lt;&gt;"Resultado trading"),"⚠ El monto debe ser positivo","✓")))))))))))))))</f>
        <v/>
      </c>
      <c r="P2597" s="52">
        <f>IF(OR(B2597="",G2597=""),"",IF(C2597="","Gasto",C2597))</f>
        <v/>
      </c>
      <c r="Q2597" s="52">
        <f>IF(P2597="","",IF(J2597&lt;&gt;"",J2597,CuentaPred&amp;""))</f>
        <v/>
      </c>
      <c r="R2597" s="52">
        <f>IF(P2597="","",IF(ISNUMBER(I2597),I2597,TasaUSD))</f>
        <v/>
      </c>
      <c r="S2597" s="53">
        <f>IF(P2597="","",IF(H2597="USD",G2597*R2597,G2597))</f>
        <v/>
      </c>
      <c r="T2597" s="53">
        <f>IF(P2597="","",IF(H2597="USD",G2597,IF(R2597&gt;0,G2597/R2597,0)))</f>
        <v/>
      </c>
      <c r="U2597" s="53">
        <f>IF(P2597="","",IF(P2597="Gasto",S2597,IF(P2597="Reembolso",-S2597,0)))</f>
        <v/>
      </c>
      <c r="V2597" s="53">
        <f>IF(P2597="","",IF(P2597="Ingreso",S2597,0))</f>
        <v/>
      </c>
      <c r="W2597" s="53">
        <f>IF(P2597="","",IF(P2597="Resultado trading",S2597,0))</f>
        <v/>
      </c>
      <c r="X2597" s="52">
        <f>IF(OR(P2597="Gasto",P2597="Reembolso"),IF(M2597&lt;&gt;"",M2597,IFERROR(INDEX(catClasif,MATCH(D2597&amp;"|"&amp;E2597,catClave,0))&amp;"","Variable")),"")</f>
        <v/>
      </c>
      <c r="Y2597" s="52">
        <f>IF(P2597="","",IFERROR(INDEX(catGrupo,MATCH(D2597&amp;"|"&amp;E2597,catClave,0))&amp;"",""))</f>
        <v/>
      </c>
      <c r="Z2597" s="52">
        <f>IF(P2597="","",WEEKDAY(B2597,2))</f>
        <v/>
      </c>
      <c r="AA2597" s="52">
        <f>IF(P2597="","",IF(AND(P2597="Gasto",X2597="Variable",D2597&lt;&gt;catTrading,S2597&gt;0,S2597&lt;=Umbral),1,0))</f>
        <v/>
      </c>
      <c r="AB2597" s="52">
        <f>IF(OR(P2597="",Q2597=""),"",IFERROR(IF(INDEX(ctaVinc,MATCH(Q2597,ctaNombre,0))&amp;""&lt;&gt;"",INDEX(ctaVinc,MATCH(Q2597,ctaNombre,0))&amp;"",Q2597),Q2597))</f>
        <v/>
      </c>
      <c r="AC2597" s="52">
        <f>IF(OR(K2597="",AND(P2597&lt;&gt;"Transferencia",P2597&lt;&gt;"Pago tarjeta")),"",IFERROR(IF(INDEX(ctaVinc,MATCH(K2597,ctaNombre,0))&amp;""&lt;&gt;"",INDEX(ctaVinc,MATCH(K2597,ctaNombre,0))&amp;"",K2597),K2597))</f>
        <v/>
      </c>
      <c r="AD2597" s="52">
        <f>IF(AB2597="","",IFERROR(INDEX(ctaTipo,MATCH(AB2597,ctaNombre,0))&amp;"",""))</f>
        <v/>
      </c>
      <c r="AE2597" s="52">
        <f>IF(AC2597="","",IFERROR(INDEX(ctaTipo,MATCH(AC2597,ctaNombre,0))&amp;"",""))</f>
        <v/>
      </c>
      <c r="AF2597" s="53">
        <f>IF(OR(P2597="",AB2597=""),"",IF(OR(P2597="Gasto",P2597="Transferencia",P2597="Pago tarjeta"),-1,1)*IF(IFERROR(INDEX(ctaMoneda,MATCH(AB2597,ctaNombre,0))&amp;"","DOP")="USD",T2597,S2597))</f>
        <v/>
      </c>
      <c r="AG2597" s="53">
        <f>IF(AC2597="","",IF(IFERROR(INDEX(ctaMoneda,MATCH(AC2597,ctaNombre,0))&amp;"","DOP")="USD",T2597,S2597))</f>
        <v/>
      </c>
      <c r="AH2597" s="53">
        <f>IF(P2597="","",IF(AND(AD2597&lt;&gt;"",COUNTIFS(tcTipo,AD2597,tcLiq,"Sí")&gt;0),IF(OR(P2597="Gasto",P2597="Transferencia",P2597="Pago tarjeta"),-1,1)*S2597,0)+IF(AND(AE2597&lt;&gt;"",COUNTIFS(tcTipo,AE2597,tcLiq,"Sí")&gt;0),S2597,0))</f>
        <v/>
      </c>
      <c r="AI2597" s="52">
        <f>IF(OR(L2597="",P2597=""),"",IF(COUNTIFS(L$6:L2597,L2597,P$6:P2597,"?*")=1,MAX(AI$5:AI2596)+1,""))</f>
        <v/>
      </c>
    </row>
    <row r="2598">
      <c r="B2598" s="47" t="n"/>
      <c r="C2598" s="48" t="n"/>
      <c r="D2598" s="48" t="n"/>
      <c r="E2598" s="48" t="n"/>
      <c r="F2598" s="48" t="n"/>
      <c r="G2598" s="49" t="n"/>
      <c r="H2598" s="48" t="n"/>
      <c r="I2598" s="50" t="n"/>
      <c r="J2598" s="48" t="n"/>
      <c r="K2598" s="48" t="n"/>
      <c r="L2598" s="48" t="n"/>
      <c r="M2598" s="48" t="n"/>
      <c r="N2598" s="48" t="n"/>
      <c r="O2598" s="51">
        <f>IF(AND(B2598="",G2598="",C2598="",D2598="",J2598=""),"",IF(B2598="","⚠ Falta fecha",IF(G2598="","⚠ Falta monto",IF(Q2598="","⚠ Falta cuenta",IF(ISNA(MATCH(Q2598,ctaNombre,0)),"⚠ Cuenta no registrada",IF(AND(OR(P2598="Gasto",P2598="Reembolso"),D2598=""),"⚠ Falta categoría",IF(AND(D2598&lt;&gt;"",E2598&lt;&gt;"",ISNA(MATCH(D2598&amp;"|"&amp;E2598,catClave,0))),"⚠ Subcategoría no corresponde",IF(AND(OR(P2598="Transferencia",P2598="Pago tarjeta"),K2598=""),"⚠ Falta cuenta destino",IF(AND(K2598&lt;&gt;"",P2598&lt;&gt;"Transferencia",P2598&lt;&gt;"Pago tarjeta"),"⚠ Destino solo aplica a transferencias",IF(AND(K2598&lt;&gt;"",K2598=Q2598),"⚠ Origen igual a destino",IF(AND(K2598&lt;&gt;"",ISNA(MATCH(K2598,ctaNombre,0))),"⚠ Destino no registrado",IF(AND(P2598="Pago tarjeta",AE2598&lt;&gt;"Tarjeta de crédito"),"⚠ El destino debe ser tarjeta de crédito",IF(AND(P2598="Gasto",E2598="Depósitos y retiros"),"⚠ Usa tipo Transferencia",IF(AND(P2598="Resultado trading",AD2598&lt;&gt;"Cuenta de trading"),"⚠ Usa una cuenta de trading",IF(AND(G2598&lt;=0,P2598&lt;&gt;"Ajuste",P2598&lt;&gt;"Resultado trading"),"⚠ El monto debe ser positivo","✓")))))))))))))))</f>
        <v/>
      </c>
      <c r="P2598" s="52">
        <f>IF(OR(B2598="",G2598=""),"",IF(C2598="","Gasto",C2598))</f>
        <v/>
      </c>
      <c r="Q2598" s="52">
        <f>IF(P2598="","",IF(J2598&lt;&gt;"",J2598,CuentaPred&amp;""))</f>
        <v/>
      </c>
      <c r="R2598" s="52">
        <f>IF(P2598="","",IF(ISNUMBER(I2598),I2598,TasaUSD))</f>
        <v/>
      </c>
      <c r="S2598" s="53">
        <f>IF(P2598="","",IF(H2598="USD",G2598*R2598,G2598))</f>
        <v/>
      </c>
      <c r="T2598" s="53">
        <f>IF(P2598="","",IF(H2598="USD",G2598,IF(R2598&gt;0,G2598/R2598,0)))</f>
        <v/>
      </c>
      <c r="U2598" s="53">
        <f>IF(P2598="","",IF(P2598="Gasto",S2598,IF(P2598="Reembolso",-S2598,0)))</f>
        <v/>
      </c>
      <c r="V2598" s="53">
        <f>IF(P2598="","",IF(P2598="Ingreso",S2598,0))</f>
        <v/>
      </c>
      <c r="W2598" s="53">
        <f>IF(P2598="","",IF(P2598="Resultado trading",S2598,0))</f>
        <v/>
      </c>
      <c r="X2598" s="52">
        <f>IF(OR(P2598="Gasto",P2598="Reembolso"),IF(M2598&lt;&gt;"",M2598,IFERROR(INDEX(catClasif,MATCH(D2598&amp;"|"&amp;E2598,catClave,0))&amp;"","Variable")),"")</f>
        <v/>
      </c>
      <c r="Y2598" s="52">
        <f>IF(P2598="","",IFERROR(INDEX(catGrupo,MATCH(D2598&amp;"|"&amp;E2598,catClave,0))&amp;"",""))</f>
        <v/>
      </c>
      <c r="Z2598" s="52">
        <f>IF(P2598="","",WEEKDAY(B2598,2))</f>
        <v/>
      </c>
      <c r="AA2598" s="52">
        <f>IF(P2598="","",IF(AND(P2598="Gasto",X2598="Variable",D2598&lt;&gt;catTrading,S2598&gt;0,S2598&lt;=Umbral),1,0))</f>
        <v/>
      </c>
      <c r="AB2598" s="52">
        <f>IF(OR(P2598="",Q2598=""),"",IFERROR(IF(INDEX(ctaVinc,MATCH(Q2598,ctaNombre,0))&amp;""&lt;&gt;"",INDEX(ctaVinc,MATCH(Q2598,ctaNombre,0))&amp;"",Q2598),Q2598))</f>
        <v/>
      </c>
      <c r="AC2598" s="52">
        <f>IF(OR(K2598="",AND(P2598&lt;&gt;"Transferencia",P2598&lt;&gt;"Pago tarjeta")),"",IFERROR(IF(INDEX(ctaVinc,MATCH(K2598,ctaNombre,0))&amp;""&lt;&gt;"",INDEX(ctaVinc,MATCH(K2598,ctaNombre,0))&amp;"",K2598),K2598))</f>
        <v/>
      </c>
      <c r="AD2598" s="52">
        <f>IF(AB2598="","",IFERROR(INDEX(ctaTipo,MATCH(AB2598,ctaNombre,0))&amp;"",""))</f>
        <v/>
      </c>
      <c r="AE2598" s="52">
        <f>IF(AC2598="","",IFERROR(INDEX(ctaTipo,MATCH(AC2598,ctaNombre,0))&amp;"",""))</f>
        <v/>
      </c>
      <c r="AF2598" s="53">
        <f>IF(OR(P2598="",AB2598=""),"",IF(OR(P2598="Gasto",P2598="Transferencia",P2598="Pago tarjeta"),-1,1)*IF(IFERROR(INDEX(ctaMoneda,MATCH(AB2598,ctaNombre,0))&amp;"","DOP")="USD",T2598,S2598))</f>
        <v/>
      </c>
      <c r="AG2598" s="53">
        <f>IF(AC2598="","",IF(IFERROR(INDEX(ctaMoneda,MATCH(AC2598,ctaNombre,0))&amp;"","DOP")="USD",T2598,S2598))</f>
        <v/>
      </c>
      <c r="AH2598" s="53">
        <f>IF(P2598="","",IF(AND(AD2598&lt;&gt;"",COUNTIFS(tcTipo,AD2598,tcLiq,"Sí")&gt;0),IF(OR(P2598="Gasto",P2598="Transferencia",P2598="Pago tarjeta"),-1,1)*S2598,0)+IF(AND(AE2598&lt;&gt;"",COUNTIFS(tcTipo,AE2598,tcLiq,"Sí")&gt;0),S2598,0))</f>
        <v/>
      </c>
      <c r="AI2598" s="52">
        <f>IF(OR(L2598="",P2598=""),"",IF(COUNTIFS(L$6:L2598,L2598,P$6:P2598,"?*")=1,MAX(AI$5:AI2597)+1,""))</f>
        <v/>
      </c>
    </row>
    <row r="2599">
      <c r="B2599" s="47" t="n"/>
      <c r="C2599" s="48" t="n"/>
      <c r="D2599" s="48" t="n"/>
      <c r="E2599" s="48" t="n"/>
      <c r="F2599" s="48" t="n"/>
      <c r="G2599" s="49" t="n"/>
      <c r="H2599" s="48" t="n"/>
      <c r="I2599" s="50" t="n"/>
      <c r="J2599" s="48" t="n"/>
      <c r="K2599" s="48" t="n"/>
      <c r="L2599" s="48" t="n"/>
      <c r="M2599" s="48" t="n"/>
      <c r="N2599" s="48" t="n"/>
      <c r="O2599" s="51">
        <f>IF(AND(B2599="",G2599="",C2599="",D2599="",J2599=""),"",IF(B2599="","⚠ Falta fecha",IF(G2599="","⚠ Falta monto",IF(Q2599="","⚠ Falta cuenta",IF(ISNA(MATCH(Q2599,ctaNombre,0)),"⚠ Cuenta no registrada",IF(AND(OR(P2599="Gasto",P2599="Reembolso"),D2599=""),"⚠ Falta categoría",IF(AND(D2599&lt;&gt;"",E2599&lt;&gt;"",ISNA(MATCH(D2599&amp;"|"&amp;E2599,catClave,0))),"⚠ Subcategoría no corresponde",IF(AND(OR(P2599="Transferencia",P2599="Pago tarjeta"),K2599=""),"⚠ Falta cuenta destino",IF(AND(K2599&lt;&gt;"",P2599&lt;&gt;"Transferencia",P2599&lt;&gt;"Pago tarjeta"),"⚠ Destino solo aplica a transferencias",IF(AND(K2599&lt;&gt;"",K2599=Q2599),"⚠ Origen igual a destino",IF(AND(K2599&lt;&gt;"",ISNA(MATCH(K2599,ctaNombre,0))),"⚠ Destino no registrado",IF(AND(P2599="Pago tarjeta",AE2599&lt;&gt;"Tarjeta de crédito"),"⚠ El destino debe ser tarjeta de crédito",IF(AND(P2599="Gasto",E2599="Depósitos y retiros"),"⚠ Usa tipo Transferencia",IF(AND(P2599="Resultado trading",AD2599&lt;&gt;"Cuenta de trading"),"⚠ Usa una cuenta de trading",IF(AND(G2599&lt;=0,P2599&lt;&gt;"Ajuste",P2599&lt;&gt;"Resultado trading"),"⚠ El monto debe ser positivo","✓")))))))))))))))</f>
        <v/>
      </c>
      <c r="P2599" s="52">
        <f>IF(OR(B2599="",G2599=""),"",IF(C2599="","Gasto",C2599))</f>
        <v/>
      </c>
      <c r="Q2599" s="52">
        <f>IF(P2599="","",IF(J2599&lt;&gt;"",J2599,CuentaPred&amp;""))</f>
        <v/>
      </c>
      <c r="R2599" s="52">
        <f>IF(P2599="","",IF(ISNUMBER(I2599),I2599,TasaUSD))</f>
        <v/>
      </c>
      <c r="S2599" s="53">
        <f>IF(P2599="","",IF(H2599="USD",G2599*R2599,G2599))</f>
        <v/>
      </c>
      <c r="T2599" s="53">
        <f>IF(P2599="","",IF(H2599="USD",G2599,IF(R2599&gt;0,G2599/R2599,0)))</f>
        <v/>
      </c>
      <c r="U2599" s="53">
        <f>IF(P2599="","",IF(P2599="Gasto",S2599,IF(P2599="Reembolso",-S2599,0)))</f>
        <v/>
      </c>
      <c r="V2599" s="53">
        <f>IF(P2599="","",IF(P2599="Ingreso",S2599,0))</f>
        <v/>
      </c>
      <c r="W2599" s="53">
        <f>IF(P2599="","",IF(P2599="Resultado trading",S2599,0))</f>
        <v/>
      </c>
      <c r="X2599" s="52">
        <f>IF(OR(P2599="Gasto",P2599="Reembolso"),IF(M2599&lt;&gt;"",M2599,IFERROR(INDEX(catClasif,MATCH(D2599&amp;"|"&amp;E2599,catClave,0))&amp;"","Variable")),"")</f>
        <v/>
      </c>
      <c r="Y2599" s="52">
        <f>IF(P2599="","",IFERROR(INDEX(catGrupo,MATCH(D2599&amp;"|"&amp;E2599,catClave,0))&amp;"",""))</f>
        <v/>
      </c>
      <c r="Z2599" s="52">
        <f>IF(P2599="","",WEEKDAY(B2599,2))</f>
        <v/>
      </c>
      <c r="AA2599" s="52">
        <f>IF(P2599="","",IF(AND(P2599="Gasto",X2599="Variable",D2599&lt;&gt;catTrading,S2599&gt;0,S2599&lt;=Umbral),1,0))</f>
        <v/>
      </c>
      <c r="AB2599" s="52">
        <f>IF(OR(P2599="",Q2599=""),"",IFERROR(IF(INDEX(ctaVinc,MATCH(Q2599,ctaNombre,0))&amp;""&lt;&gt;"",INDEX(ctaVinc,MATCH(Q2599,ctaNombre,0))&amp;"",Q2599),Q2599))</f>
        <v/>
      </c>
      <c r="AC2599" s="52">
        <f>IF(OR(K2599="",AND(P2599&lt;&gt;"Transferencia",P2599&lt;&gt;"Pago tarjeta")),"",IFERROR(IF(INDEX(ctaVinc,MATCH(K2599,ctaNombre,0))&amp;""&lt;&gt;"",INDEX(ctaVinc,MATCH(K2599,ctaNombre,0))&amp;"",K2599),K2599))</f>
        <v/>
      </c>
      <c r="AD2599" s="52">
        <f>IF(AB2599="","",IFERROR(INDEX(ctaTipo,MATCH(AB2599,ctaNombre,0))&amp;"",""))</f>
        <v/>
      </c>
      <c r="AE2599" s="52">
        <f>IF(AC2599="","",IFERROR(INDEX(ctaTipo,MATCH(AC2599,ctaNombre,0))&amp;"",""))</f>
        <v/>
      </c>
      <c r="AF2599" s="53">
        <f>IF(OR(P2599="",AB2599=""),"",IF(OR(P2599="Gasto",P2599="Transferencia",P2599="Pago tarjeta"),-1,1)*IF(IFERROR(INDEX(ctaMoneda,MATCH(AB2599,ctaNombre,0))&amp;"","DOP")="USD",T2599,S2599))</f>
        <v/>
      </c>
      <c r="AG2599" s="53">
        <f>IF(AC2599="","",IF(IFERROR(INDEX(ctaMoneda,MATCH(AC2599,ctaNombre,0))&amp;"","DOP")="USD",T2599,S2599))</f>
        <v/>
      </c>
      <c r="AH2599" s="53">
        <f>IF(P2599="","",IF(AND(AD2599&lt;&gt;"",COUNTIFS(tcTipo,AD2599,tcLiq,"Sí")&gt;0),IF(OR(P2599="Gasto",P2599="Transferencia",P2599="Pago tarjeta"),-1,1)*S2599,0)+IF(AND(AE2599&lt;&gt;"",COUNTIFS(tcTipo,AE2599,tcLiq,"Sí")&gt;0),S2599,0))</f>
        <v/>
      </c>
      <c r="AI2599" s="52">
        <f>IF(OR(L2599="",P2599=""),"",IF(COUNTIFS(L$6:L2599,L2599,P$6:P2599,"?*")=1,MAX(AI$5:AI2598)+1,""))</f>
        <v/>
      </c>
    </row>
    <row r="2600">
      <c r="B2600" s="47" t="n"/>
      <c r="C2600" s="48" t="n"/>
      <c r="D2600" s="48" t="n"/>
      <c r="E2600" s="48" t="n"/>
      <c r="F2600" s="48" t="n"/>
      <c r="G2600" s="49" t="n"/>
      <c r="H2600" s="48" t="n"/>
      <c r="I2600" s="50" t="n"/>
      <c r="J2600" s="48" t="n"/>
      <c r="K2600" s="48" t="n"/>
      <c r="L2600" s="48" t="n"/>
      <c r="M2600" s="48" t="n"/>
      <c r="N2600" s="48" t="n"/>
      <c r="O2600" s="51">
        <f>IF(AND(B2600="",G2600="",C2600="",D2600="",J2600=""),"",IF(B2600="","⚠ Falta fecha",IF(G2600="","⚠ Falta monto",IF(Q2600="","⚠ Falta cuenta",IF(ISNA(MATCH(Q2600,ctaNombre,0)),"⚠ Cuenta no registrada",IF(AND(OR(P2600="Gasto",P2600="Reembolso"),D2600=""),"⚠ Falta categoría",IF(AND(D2600&lt;&gt;"",E2600&lt;&gt;"",ISNA(MATCH(D2600&amp;"|"&amp;E2600,catClave,0))),"⚠ Subcategoría no corresponde",IF(AND(OR(P2600="Transferencia",P2600="Pago tarjeta"),K2600=""),"⚠ Falta cuenta destino",IF(AND(K2600&lt;&gt;"",P2600&lt;&gt;"Transferencia",P2600&lt;&gt;"Pago tarjeta"),"⚠ Destino solo aplica a transferencias",IF(AND(K2600&lt;&gt;"",K2600=Q2600),"⚠ Origen igual a destino",IF(AND(K2600&lt;&gt;"",ISNA(MATCH(K2600,ctaNombre,0))),"⚠ Destino no registrado",IF(AND(P2600="Pago tarjeta",AE2600&lt;&gt;"Tarjeta de crédito"),"⚠ El destino debe ser tarjeta de crédito",IF(AND(P2600="Gasto",E2600="Depósitos y retiros"),"⚠ Usa tipo Transferencia",IF(AND(P2600="Resultado trading",AD2600&lt;&gt;"Cuenta de trading"),"⚠ Usa una cuenta de trading",IF(AND(G2600&lt;=0,P2600&lt;&gt;"Ajuste",P2600&lt;&gt;"Resultado trading"),"⚠ El monto debe ser positivo","✓")))))))))))))))</f>
        <v/>
      </c>
      <c r="P2600" s="52">
        <f>IF(OR(B2600="",G2600=""),"",IF(C2600="","Gasto",C2600))</f>
        <v/>
      </c>
      <c r="Q2600" s="52">
        <f>IF(P2600="","",IF(J2600&lt;&gt;"",J2600,CuentaPred&amp;""))</f>
        <v/>
      </c>
      <c r="R2600" s="52">
        <f>IF(P2600="","",IF(ISNUMBER(I2600),I2600,TasaUSD))</f>
        <v/>
      </c>
      <c r="S2600" s="53">
        <f>IF(P2600="","",IF(H2600="USD",G2600*R2600,G2600))</f>
        <v/>
      </c>
      <c r="T2600" s="53">
        <f>IF(P2600="","",IF(H2600="USD",G2600,IF(R2600&gt;0,G2600/R2600,0)))</f>
        <v/>
      </c>
      <c r="U2600" s="53">
        <f>IF(P2600="","",IF(P2600="Gasto",S2600,IF(P2600="Reembolso",-S2600,0)))</f>
        <v/>
      </c>
      <c r="V2600" s="53">
        <f>IF(P2600="","",IF(P2600="Ingreso",S2600,0))</f>
        <v/>
      </c>
      <c r="W2600" s="53">
        <f>IF(P2600="","",IF(P2600="Resultado trading",S2600,0))</f>
        <v/>
      </c>
      <c r="X2600" s="52">
        <f>IF(OR(P2600="Gasto",P2600="Reembolso"),IF(M2600&lt;&gt;"",M2600,IFERROR(INDEX(catClasif,MATCH(D2600&amp;"|"&amp;E2600,catClave,0))&amp;"","Variable")),"")</f>
        <v/>
      </c>
      <c r="Y2600" s="52">
        <f>IF(P2600="","",IFERROR(INDEX(catGrupo,MATCH(D2600&amp;"|"&amp;E2600,catClave,0))&amp;"",""))</f>
        <v/>
      </c>
      <c r="Z2600" s="52">
        <f>IF(P2600="","",WEEKDAY(B2600,2))</f>
        <v/>
      </c>
      <c r="AA2600" s="52">
        <f>IF(P2600="","",IF(AND(P2600="Gasto",X2600="Variable",D2600&lt;&gt;catTrading,S2600&gt;0,S2600&lt;=Umbral),1,0))</f>
        <v/>
      </c>
      <c r="AB2600" s="52">
        <f>IF(OR(P2600="",Q2600=""),"",IFERROR(IF(INDEX(ctaVinc,MATCH(Q2600,ctaNombre,0))&amp;""&lt;&gt;"",INDEX(ctaVinc,MATCH(Q2600,ctaNombre,0))&amp;"",Q2600),Q2600))</f>
        <v/>
      </c>
      <c r="AC2600" s="52">
        <f>IF(OR(K2600="",AND(P2600&lt;&gt;"Transferencia",P2600&lt;&gt;"Pago tarjeta")),"",IFERROR(IF(INDEX(ctaVinc,MATCH(K2600,ctaNombre,0))&amp;""&lt;&gt;"",INDEX(ctaVinc,MATCH(K2600,ctaNombre,0))&amp;"",K2600),K2600))</f>
        <v/>
      </c>
      <c r="AD2600" s="52">
        <f>IF(AB2600="","",IFERROR(INDEX(ctaTipo,MATCH(AB2600,ctaNombre,0))&amp;"",""))</f>
        <v/>
      </c>
      <c r="AE2600" s="52">
        <f>IF(AC2600="","",IFERROR(INDEX(ctaTipo,MATCH(AC2600,ctaNombre,0))&amp;"",""))</f>
        <v/>
      </c>
      <c r="AF2600" s="53">
        <f>IF(OR(P2600="",AB2600=""),"",IF(OR(P2600="Gasto",P2600="Transferencia",P2600="Pago tarjeta"),-1,1)*IF(IFERROR(INDEX(ctaMoneda,MATCH(AB2600,ctaNombre,0))&amp;"","DOP")="USD",T2600,S2600))</f>
        <v/>
      </c>
      <c r="AG2600" s="53">
        <f>IF(AC2600="","",IF(IFERROR(INDEX(ctaMoneda,MATCH(AC2600,ctaNombre,0))&amp;"","DOP")="USD",T2600,S2600))</f>
        <v/>
      </c>
      <c r="AH2600" s="53">
        <f>IF(P2600="","",IF(AND(AD2600&lt;&gt;"",COUNTIFS(tcTipo,AD2600,tcLiq,"Sí")&gt;0),IF(OR(P2600="Gasto",P2600="Transferencia",P2600="Pago tarjeta"),-1,1)*S2600,0)+IF(AND(AE2600&lt;&gt;"",COUNTIFS(tcTipo,AE2600,tcLiq,"Sí")&gt;0),S2600,0))</f>
        <v/>
      </c>
      <c r="AI2600" s="52">
        <f>IF(OR(L2600="",P2600=""),"",IF(COUNTIFS(L$6:L2600,L2600,P$6:P2600,"?*")=1,MAX(AI$5:AI2599)+1,""))</f>
        <v/>
      </c>
    </row>
    <row r="2601">
      <c r="B2601" s="47" t="n"/>
      <c r="C2601" s="48" t="n"/>
      <c r="D2601" s="48" t="n"/>
      <c r="E2601" s="48" t="n"/>
      <c r="F2601" s="48" t="n"/>
      <c r="G2601" s="49" t="n"/>
      <c r="H2601" s="48" t="n"/>
      <c r="I2601" s="50" t="n"/>
      <c r="J2601" s="48" t="n"/>
      <c r="K2601" s="48" t="n"/>
      <c r="L2601" s="48" t="n"/>
      <c r="M2601" s="48" t="n"/>
      <c r="N2601" s="48" t="n"/>
      <c r="O2601" s="51">
        <f>IF(AND(B2601="",G2601="",C2601="",D2601="",J2601=""),"",IF(B2601="","⚠ Falta fecha",IF(G2601="","⚠ Falta monto",IF(Q2601="","⚠ Falta cuenta",IF(ISNA(MATCH(Q2601,ctaNombre,0)),"⚠ Cuenta no registrada",IF(AND(OR(P2601="Gasto",P2601="Reembolso"),D2601=""),"⚠ Falta categoría",IF(AND(D2601&lt;&gt;"",E2601&lt;&gt;"",ISNA(MATCH(D2601&amp;"|"&amp;E2601,catClave,0))),"⚠ Subcategoría no corresponde",IF(AND(OR(P2601="Transferencia",P2601="Pago tarjeta"),K2601=""),"⚠ Falta cuenta destino",IF(AND(K2601&lt;&gt;"",P2601&lt;&gt;"Transferencia",P2601&lt;&gt;"Pago tarjeta"),"⚠ Destino solo aplica a transferencias",IF(AND(K2601&lt;&gt;"",K2601=Q2601),"⚠ Origen igual a destino",IF(AND(K2601&lt;&gt;"",ISNA(MATCH(K2601,ctaNombre,0))),"⚠ Destino no registrado",IF(AND(P2601="Pago tarjeta",AE2601&lt;&gt;"Tarjeta de crédito"),"⚠ El destino debe ser tarjeta de crédito",IF(AND(P2601="Gasto",E2601="Depósitos y retiros"),"⚠ Usa tipo Transferencia",IF(AND(P2601="Resultado trading",AD2601&lt;&gt;"Cuenta de trading"),"⚠ Usa una cuenta de trading",IF(AND(G2601&lt;=0,P2601&lt;&gt;"Ajuste",P2601&lt;&gt;"Resultado trading"),"⚠ El monto debe ser positivo","✓")))))))))))))))</f>
        <v/>
      </c>
      <c r="P2601" s="52">
        <f>IF(OR(B2601="",G2601=""),"",IF(C2601="","Gasto",C2601))</f>
        <v/>
      </c>
      <c r="Q2601" s="52">
        <f>IF(P2601="","",IF(J2601&lt;&gt;"",J2601,CuentaPred&amp;""))</f>
        <v/>
      </c>
      <c r="R2601" s="52">
        <f>IF(P2601="","",IF(ISNUMBER(I2601),I2601,TasaUSD))</f>
        <v/>
      </c>
      <c r="S2601" s="53">
        <f>IF(P2601="","",IF(H2601="USD",G2601*R2601,G2601))</f>
        <v/>
      </c>
      <c r="T2601" s="53">
        <f>IF(P2601="","",IF(H2601="USD",G2601,IF(R2601&gt;0,G2601/R2601,0)))</f>
        <v/>
      </c>
      <c r="U2601" s="53">
        <f>IF(P2601="","",IF(P2601="Gasto",S2601,IF(P2601="Reembolso",-S2601,0)))</f>
        <v/>
      </c>
      <c r="V2601" s="53">
        <f>IF(P2601="","",IF(P2601="Ingreso",S2601,0))</f>
        <v/>
      </c>
      <c r="W2601" s="53">
        <f>IF(P2601="","",IF(P2601="Resultado trading",S2601,0))</f>
        <v/>
      </c>
      <c r="X2601" s="52">
        <f>IF(OR(P2601="Gasto",P2601="Reembolso"),IF(M2601&lt;&gt;"",M2601,IFERROR(INDEX(catClasif,MATCH(D2601&amp;"|"&amp;E2601,catClave,0))&amp;"","Variable")),"")</f>
        <v/>
      </c>
      <c r="Y2601" s="52">
        <f>IF(P2601="","",IFERROR(INDEX(catGrupo,MATCH(D2601&amp;"|"&amp;E2601,catClave,0))&amp;"",""))</f>
        <v/>
      </c>
      <c r="Z2601" s="52">
        <f>IF(P2601="","",WEEKDAY(B2601,2))</f>
        <v/>
      </c>
      <c r="AA2601" s="52">
        <f>IF(P2601="","",IF(AND(P2601="Gasto",X2601="Variable",D2601&lt;&gt;catTrading,S2601&gt;0,S2601&lt;=Umbral),1,0))</f>
        <v/>
      </c>
      <c r="AB2601" s="52">
        <f>IF(OR(P2601="",Q2601=""),"",IFERROR(IF(INDEX(ctaVinc,MATCH(Q2601,ctaNombre,0))&amp;""&lt;&gt;"",INDEX(ctaVinc,MATCH(Q2601,ctaNombre,0))&amp;"",Q2601),Q2601))</f>
        <v/>
      </c>
      <c r="AC2601" s="52">
        <f>IF(OR(K2601="",AND(P2601&lt;&gt;"Transferencia",P2601&lt;&gt;"Pago tarjeta")),"",IFERROR(IF(INDEX(ctaVinc,MATCH(K2601,ctaNombre,0))&amp;""&lt;&gt;"",INDEX(ctaVinc,MATCH(K2601,ctaNombre,0))&amp;"",K2601),K2601))</f>
        <v/>
      </c>
      <c r="AD2601" s="52">
        <f>IF(AB2601="","",IFERROR(INDEX(ctaTipo,MATCH(AB2601,ctaNombre,0))&amp;"",""))</f>
        <v/>
      </c>
      <c r="AE2601" s="52">
        <f>IF(AC2601="","",IFERROR(INDEX(ctaTipo,MATCH(AC2601,ctaNombre,0))&amp;"",""))</f>
        <v/>
      </c>
      <c r="AF2601" s="53">
        <f>IF(OR(P2601="",AB2601=""),"",IF(OR(P2601="Gasto",P2601="Transferencia",P2601="Pago tarjeta"),-1,1)*IF(IFERROR(INDEX(ctaMoneda,MATCH(AB2601,ctaNombre,0))&amp;"","DOP")="USD",T2601,S2601))</f>
        <v/>
      </c>
      <c r="AG2601" s="53">
        <f>IF(AC2601="","",IF(IFERROR(INDEX(ctaMoneda,MATCH(AC2601,ctaNombre,0))&amp;"","DOP")="USD",T2601,S2601))</f>
        <v/>
      </c>
      <c r="AH2601" s="53">
        <f>IF(P2601="","",IF(AND(AD2601&lt;&gt;"",COUNTIFS(tcTipo,AD2601,tcLiq,"Sí")&gt;0),IF(OR(P2601="Gasto",P2601="Transferencia",P2601="Pago tarjeta"),-1,1)*S2601,0)+IF(AND(AE2601&lt;&gt;"",COUNTIFS(tcTipo,AE2601,tcLiq,"Sí")&gt;0),S2601,0))</f>
        <v/>
      </c>
      <c r="AI2601" s="52">
        <f>IF(OR(L2601="",P2601=""),"",IF(COUNTIFS(L$6:L2601,L2601,P$6:P2601,"?*")=1,MAX(AI$5:AI2600)+1,""))</f>
        <v/>
      </c>
    </row>
    <row r="2602">
      <c r="B2602" s="47" t="n"/>
      <c r="C2602" s="48" t="n"/>
      <c r="D2602" s="48" t="n"/>
      <c r="E2602" s="48" t="n"/>
      <c r="F2602" s="48" t="n"/>
      <c r="G2602" s="49" t="n"/>
      <c r="H2602" s="48" t="n"/>
      <c r="I2602" s="50" t="n"/>
      <c r="J2602" s="48" t="n"/>
      <c r="K2602" s="48" t="n"/>
      <c r="L2602" s="48" t="n"/>
      <c r="M2602" s="48" t="n"/>
      <c r="N2602" s="48" t="n"/>
      <c r="O2602" s="51">
        <f>IF(AND(B2602="",G2602="",C2602="",D2602="",J2602=""),"",IF(B2602="","⚠ Falta fecha",IF(G2602="","⚠ Falta monto",IF(Q2602="","⚠ Falta cuenta",IF(ISNA(MATCH(Q2602,ctaNombre,0)),"⚠ Cuenta no registrada",IF(AND(OR(P2602="Gasto",P2602="Reembolso"),D2602=""),"⚠ Falta categoría",IF(AND(D2602&lt;&gt;"",E2602&lt;&gt;"",ISNA(MATCH(D2602&amp;"|"&amp;E2602,catClave,0))),"⚠ Subcategoría no corresponde",IF(AND(OR(P2602="Transferencia",P2602="Pago tarjeta"),K2602=""),"⚠ Falta cuenta destino",IF(AND(K2602&lt;&gt;"",P2602&lt;&gt;"Transferencia",P2602&lt;&gt;"Pago tarjeta"),"⚠ Destino solo aplica a transferencias",IF(AND(K2602&lt;&gt;"",K2602=Q2602),"⚠ Origen igual a destino",IF(AND(K2602&lt;&gt;"",ISNA(MATCH(K2602,ctaNombre,0))),"⚠ Destino no registrado",IF(AND(P2602="Pago tarjeta",AE2602&lt;&gt;"Tarjeta de crédito"),"⚠ El destino debe ser tarjeta de crédito",IF(AND(P2602="Gasto",E2602="Depósitos y retiros"),"⚠ Usa tipo Transferencia",IF(AND(P2602="Resultado trading",AD2602&lt;&gt;"Cuenta de trading"),"⚠ Usa una cuenta de trading",IF(AND(G2602&lt;=0,P2602&lt;&gt;"Ajuste",P2602&lt;&gt;"Resultado trading"),"⚠ El monto debe ser positivo","✓")))))))))))))))</f>
        <v/>
      </c>
      <c r="P2602" s="52">
        <f>IF(OR(B2602="",G2602=""),"",IF(C2602="","Gasto",C2602))</f>
        <v/>
      </c>
      <c r="Q2602" s="52">
        <f>IF(P2602="","",IF(J2602&lt;&gt;"",J2602,CuentaPred&amp;""))</f>
        <v/>
      </c>
      <c r="R2602" s="52">
        <f>IF(P2602="","",IF(ISNUMBER(I2602),I2602,TasaUSD))</f>
        <v/>
      </c>
      <c r="S2602" s="53">
        <f>IF(P2602="","",IF(H2602="USD",G2602*R2602,G2602))</f>
        <v/>
      </c>
      <c r="T2602" s="53">
        <f>IF(P2602="","",IF(H2602="USD",G2602,IF(R2602&gt;0,G2602/R2602,0)))</f>
        <v/>
      </c>
      <c r="U2602" s="53">
        <f>IF(P2602="","",IF(P2602="Gasto",S2602,IF(P2602="Reembolso",-S2602,0)))</f>
        <v/>
      </c>
      <c r="V2602" s="53">
        <f>IF(P2602="","",IF(P2602="Ingreso",S2602,0))</f>
        <v/>
      </c>
      <c r="W2602" s="53">
        <f>IF(P2602="","",IF(P2602="Resultado trading",S2602,0))</f>
        <v/>
      </c>
      <c r="X2602" s="52">
        <f>IF(OR(P2602="Gasto",P2602="Reembolso"),IF(M2602&lt;&gt;"",M2602,IFERROR(INDEX(catClasif,MATCH(D2602&amp;"|"&amp;E2602,catClave,0))&amp;"","Variable")),"")</f>
        <v/>
      </c>
      <c r="Y2602" s="52">
        <f>IF(P2602="","",IFERROR(INDEX(catGrupo,MATCH(D2602&amp;"|"&amp;E2602,catClave,0))&amp;"",""))</f>
        <v/>
      </c>
      <c r="Z2602" s="52">
        <f>IF(P2602="","",WEEKDAY(B2602,2))</f>
        <v/>
      </c>
      <c r="AA2602" s="52">
        <f>IF(P2602="","",IF(AND(P2602="Gasto",X2602="Variable",D2602&lt;&gt;catTrading,S2602&gt;0,S2602&lt;=Umbral),1,0))</f>
        <v/>
      </c>
      <c r="AB2602" s="52">
        <f>IF(OR(P2602="",Q2602=""),"",IFERROR(IF(INDEX(ctaVinc,MATCH(Q2602,ctaNombre,0))&amp;""&lt;&gt;"",INDEX(ctaVinc,MATCH(Q2602,ctaNombre,0))&amp;"",Q2602),Q2602))</f>
        <v/>
      </c>
      <c r="AC2602" s="52">
        <f>IF(OR(K2602="",AND(P2602&lt;&gt;"Transferencia",P2602&lt;&gt;"Pago tarjeta")),"",IFERROR(IF(INDEX(ctaVinc,MATCH(K2602,ctaNombre,0))&amp;""&lt;&gt;"",INDEX(ctaVinc,MATCH(K2602,ctaNombre,0))&amp;"",K2602),K2602))</f>
        <v/>
      </c>
      <c r="AD2602" s="52">
        <f>IF(AB2602="","",IFERROR(INDEX(ctaTipo,MATCH(AB2602,ctaNombre,0))&amp;"",""))</f>
        <v/>
      </c>
      <c r="AE2602" s="52">
        <f>IF(AC2602="","",IFERROR(INDEX(ctaTipo,MATCH(AC2602,ctaNombre,0))&amp;"",""))</f>
        <v/>
      </c>
      <c r="AF2602" s="53">
        <f>IF(OR(P2602="",AB2602=""),"",IF(OR(P2602="Gasto",P2602="Transferencia",P2602="Pago tarjeta"),-1,1)*IF(IFERROR(INDEX(ctaMoneda,MATCH(AB2602,ctaNombre,0))&amp;"","DOP")="USD",T2602,S2602))</f>
        <v/>
      </c>
      <c r="AG2602" s="53">
        <f>IF(AC2602="","",IF(IFERROR(INDEX(ctaMoneda,MATCH(AC2602,ctaNombre,0))&amp;"","DOP")="USD",T2602,S2602))</f>
        <v/>
      </c>
      <c r="AH2602" s="53">
        <f>IF(P2602="","",IF(AND(AD2602&lt;&gt;"",COUNTIFS(tcTipo,AD2602,tcLiq,"Sí")&gt;0),IF(OR(P2602="Gasto",P2602="Transferencia",P2602="Pago tarjeta"),-1,1)*S2602,0)+IF(AND(AE2602&lt;&gt;"",COUNTIFS(tcTipo,AE2602,tcLiq,"Sí")&gt;0),S2602,0))</f>
        <v/>
      </c>
      <c r="AI2602" s="52">
        <f>IF(OR(L2602="",P2602=""),"",IF(COUNTIFS(L$6:L2602,L2602,P$6:P2602,"?*")=1,MAX(AI$5:AI2601)+1,""))</f>
        <v/>
      </c>
    </row>
    <row r="2603">
      <c r="B2603" s="47" t="n"/>
      <c r="C2603" s="48" t="n"/>
      <c r="D2603" s="48" t="n"/>
      <c r="E2603" s="48" t="n"/>
      <c r="F2603" s="48" t="n"/>
      <c r="G2603" s="49" t="n"/>
      <c r="H2603" s="48" t="n"/>
      <c r="I2603" s="50" t="n"/>
      <c r="J2603" s="48" t="n"/>
      <c r="K2603" s="48" t="n"/>
      <c r="L2603" s="48" t="n"/>
      <c r="M2603" s="48" t="n"/>
      <c r="N2603" s="48" t="n"/>
      <c r="O2603" s="51">
        <f>IF(AND(B2603="",G2603="",C2603="",D2603="",J2603=""),"",IF(B2603="","⚠ Falta fecha",IF(G2603="","⚠ Falta monto",IF(Q2603="","⚠ Falta cuenta",IF(ISNA(MATCH(Q2603,ctaNombre,0)),"⚠ Cuenta no registrada",IF(AND(OR(P2603="Gasto",P2603="Reembolso"),D2603=""),"⚠ Falta categoría",IF(AND(D2603&lt;&gt;"",E2603&lt;&gt;"",ISNA(MATCH(D2603&amp;"|"&amp;E2603,catClave,0))),"⚠ Subcategoría no corresponde",IF(AND(OR(P2603="Transferencia",P2603="Pago tarjeta"),K2603=""),"⚠ Falta cuenta destino",IF(AND(K2603&lt;&gt;"",P2603&lt;&gt;"Transferencia",P2603&lt;&gt;"Pago tarjeta"),"⚠ Destino solo aplica a transferencias",IF(AND(K2603&lt;&gt;"",K2603=Q2603),"⚠ Origen igual a destino",IF(AND(K2603&lt;&gt;"",ISNA(MATCH(K2603,ctaNombre,0))),"⚠ Destino no registrado",IF(AND(P2603="Pago tarjeta",AE2603&lt;&gt;"Tarjeta de crédito"),"⚠ El destino debe ser tarjeta de crédito",IF(AND(P2603="Gasto",E2603="Depósitos y retiros"),"⚠ Usa tipo Transferencia",IF(AND(P2603="Resultado trading",AD2603&lt;&gt;"Cuenta de trading"),"⚠ Usa una cuenta de trading",IF(AND(G2603&lt;=0,P2603&lt;&gt;"Ajuste",P2603&lt;&gt;"Resultado trading"),"⚠ El monto debe ser positivo","✓")))))))))))))))</f>
        <v/>
      </c>
      <c r="P2603" s="52">
        <f>IF(OR(B2603="",G2603=""),"",IF(C2603="","Gasto",C2603))</f>
        <v/>
      </c>
      <c r="Q2603" s="52">
        <f>IF(P2603="","",IF(J2603&lt;&gt;"",J2603,CuentaPred&amp;""))</f>
        <v/>
      </c>
      <c r="R2603" s="52">
        <f>IF(P2603="","",IF(ISNUMBER(I2603),I2603,TasaUSD))</f>
        <v/>
      </c>
      <c r="S2603" s="53">
        <f>IF(P2603="","",IF(H2603="USD",G2603*R2603,G2603))</f>
        <v/>
      </c>
      <c r="T2603" s="53">
        <f>IF(P2603="","",IF(H2603="USD",G2603,IF(R2603&gt;0,G2603/R2603,0)))</f>
        <v/>
      </c>
      <c r="U2603" s="53">
        <f>IF(P2603="","",IF(P2603="Gasto",S2603,IF(P2603="Reembolso",-S2603,0)))</f>
        <v/>
      </c>
      <c r="V2603" s="53">
        <f>IF(P2603="","",IF(P2603="Ingreso",S2603,0))</f>
        <v/>
      </c>
      <c r="W2603" s="53">
        <f>IF(P2603="","",IF(P2603="Resultado trading",S2603,0))</f>
        <v/>
      </c>
      <c r="X2603" s="52">
        <f>IF(OR(P2603="Gasto",P2603="Reembolso"),IF(M2603&lt;&gt;"",M2603,IFERROR(INDEX(catClasif,MATCH(D2603&amp;"|"&amp;E2603,catClave,0))&amp;"","Variable")),"")</f>
        <v/>
      </c>
      <c r="Y2603" s="52">
        <f>IF(P2603="","",IFERROR(INDEX(catGrupo,MATCH(D2603&amp;"|"&amp;E2603,catClave,0))&amp;"",""))</f>
        <v/>
      </c>
      <c r="Z2603" s="52">
        <f>IF(P2603="","",WEEKDAY(B2603,2))</f>
        <v/>
      </c>
      <c r="AA2603" s="52">
        <f>IF(P2603="","",IF(AND(P2603="Gasto",X2603="Variable",D2603&lt;&gt;catTrading,S2603&gt;0,S2603&lt;=Umbral),1,0))</f>
        <v/>
      </c>
      <c r="AB2603" s="52">
        <f>IF(OR(P2603="",Q2603=""),"",IFERROR(IF(INDEX(ctaVinc,MATCH(Q2603,ctaNombre,0))&amp;""&lt;&gt;"",INDEX(ctaVinc,MATCH(Q2603,ctaNombre,0))&amp;"",Q2603),Q2603))</f>
        <v/>
      </c>
      <c r="AC2603" s="52">
        <f>IF(OR(K2603="",AND(P2603&lt;&gt;"Transferencia",P2603&lt;&gt;"Pago tarjeta")),"",IFERROR(IF(INDEX(ctaVinc,MATCH(K2603,ctaNombre,0))&amp;""&lt;&gt;"",INDEX(ctaVinc,MATCH(K2603,ctaNombre,0))&amp;"",K2603),K2603))</f>
        <v/>
      </c>
      <c r="AD2603" s="52">
        <f>IF(AB2603="","",IFERROR(INDEX(ctaTipo,MATCH(AB2603,ctaNombre,0))&amp;"",""))</f>
        <v/>
      </c>
      <c r="AE2603" s="52">
        <f>IF(AC2603="","",IFERROR(INDEX(ctaTipo,MATCH(AC2603,ctaNombre,0))&amp;"",""))</f>
        <v/>
      </c>
      <c r="AF2603" s="53">
        <f>IF(OR(P2603="",AB2603=""),"",IF(OR(P2603="Gasto",P2603="Transferencia",P2603="Pago tarjeta"),-1,1)*IF(IFERROR(INDEX(ctaMoneda,MATCH(AB2603,ctaNombre,0))&amp;"","DOP")="USD",T2603,S2603))</f>
        <v/>
      </c>
      <c r="AG2603" s="53">
        <f>IF(AC2603="","",IF(IFERROR(INDEX(ctaMoneda,MATCH(AC2603,ctaNombre,0))&amp;"","DOP")="USD",T2603,S2603))</f>
        <v/>
      </c>
      <c r="AH2603" s="53">
        <f>IF(P2603="","",IF(AND(AD2603&lt;&gt;"",COUNTIFS(tcTipo,AD2603,tcLiq,"Sí")&gt;0),IF(OR(P2603="Gasto",P2603="Transferencia",P2603="Pago tarjeta"),-1,1)*S2603,0)+IF(AND(AE2603&lt;&gt;"",COUNTIFS(tcTipo,AE2603,tcLiq,"Sí")&gt;0),S2603,0))</f>
        <v/>
      </c>
      <c r="AI2603" s="52">
        <f>IF(OR(L2603="",P2603=""),"",IF(COUNTIFS(L$6:L2603,L2603,P$6:P2603,"?*")=1,MAX(AI$5:AI2602)+1,""))</f>
        <v/>
      </c>
    </row>
    <row r="2604">
      <c r="B2604" s="47" t="n"/>
      <c r="C2604" s="48" t="n"/>
      <c r="D2604" s="48" t="n"/>
      <c r="E2604" s="48" t="n"/>
      <c r="F2604" s="48" t="n"/>
      <c r="G2604" s="49" t="n"/>
      <c r="H2604" s="48" t="n"/>
      <c r="I2604" s="50" t="n"/>
      <c r="J2604" s="48" t="n"/>
      <c r="K2604" s="48" t="n"/>
      <c r="L2604" s="48" t="n"/>
      <c r="M2604" s="48" t="n"/>
      <c r="N2604" s="48" t="n"/>
      <c r="O2604" s="51">
        <f>IF(AND(B2604="",G2604="",C2604="",D2604="",J2604=""),"",IF(B2604="","⚠ Falta fecha",IF(G2604="","⚠ Falta monto",IF(Q2604="","⚠ Falta cuenta",IF(ISNA(MATCH(Q2604,ctaNombre,0)),"⚠ Cuenta no registrada",IF(AND(OR(P2604="Gasto",P2604="Reembolso"),D2604=""),"⚠ Falta categoría",IF(AND(D2604&lt;&gt;"",E2604&lt;&gt;"",ISNA(MATCH(D2604&amp;"|"&amp;E2604,catClave,0))),"⚠ Subcategoría no corresponde",IF(AND(OR(P2604="Transferencia",P2604="Pago tarjeta"),K2604=""),"⚠ Falta cuenta destino",IF(AND(K2604&lt;&gt;"",P2604&lt;&gt;"Transferencia",P2604&lt;&gt;"Pago tarjeta"),"⚠ Destino solo aplica a transferencias",IF(AND(K2604&lt;&gt;"",K2604=Q2604),"⚠ Origen igual a destino",IF(AND(K2604&lt;&gt;"",ISNA(MATCH(K2604,ctaNombre,0))),"⚠ Destino no registrado",IF(AND(P2604="Pago tarjeta",AE2604&lt;&gt;"Tarjeta de crédito"),"⚠ El destino debe ser tarjeta de crédito",IF(AND(P2604="Gasto",E2604="Depósitos y retiros"),"⚠ Usa tipo Transferencia",IF(AND(P2604="Resultado trading",AD2604&lt;&gt;"Cuenta de trading"),"⚠ Usa una cuenta de trading",IF(AND(G2604&lt;=0,P2604&lt;&gt;"Ajuste",P2604&lt;&gt;"Resultado trading"),"⚠ El monto debe ser positivo","✓")))))))))))))))</f>
        <v/>
      </c>
      <c r="P2604" s="52">
        <f>IF(OR(B2604="",G2604=""),"",IF(C2604="","Gasto",C2604))</f>
        <v/>
      </c>
      <c r="Q2604" s="52">
        <f>IF(P2604="","",IF(J2604&lt;&gt;"",J2604,CuentaPred&amp;""))</f>
        <v/>
      </c>
      <c r="R2604" s="52">
        <f>IF(P2604="","",IF(ISNUMBER(I2604),I2604,TasaUSD))</f>
        <v/>
      </c>
      <c r="S2604" s="53">
        <f>IF(P2604="","",IF(H2604="USD",G2604*R2604,G2604))</f>
        <v/>
      </c>
      <c r="T2604" s="53">
        <f>IF(P2604="","",IF(H2604="USD",G2604,IF(R2604&gt;0,G2604/R2604,0)))</f>
        <v/>
      </c>
      <c r="U2604" s="53">
        <f>IF(P2604="","",IF(P2604="Gasto",S2604,IF(P2604="Reembolso",-S2604,0)))</f>
        <v/>
      </c>
      <c r="V2604" s="53">
        <f>IF(P2604="","",IF(P2604="Ingreso",S2604,0))</f>
        <v/>
      </c>
      <c r="W2604" s="53">
        <f>IF(P2604="","",IF(P2604="Resultado trading",S2604,0))</f>
        <v/>
      </c>
      <c r="X2604" s="52">
        <f>IF(OR(P2604="Gasto",P2604="Reembolso"),IF(M2604&lt;&gt;"",M2604,IFERROR(INDEX(catClasif,MATCH(D2604&amp;"|"&amp;E2604,catClave,0))&amp;"","Variable")),"")</f>
        <v/>
      </c>
      <c r="Y2604" s="52">
        <f>IF(P2604="","",IFERROR(INDEX(catGrupo,MATCH(D2604&amp;"|"&amp;E2604,catClave,0))&amp;"",""))</f>
        <v/>
      </c>
      <c r="Z2604" s="52">
        <f>IF(P2604="","",WEEKDAY(B2604,2))</f>
        <v/>
      </c>
      <c r="AA2604" s="52">
        <f>IF(P2604="","",IF(AND(P2604="Gasto",X2604="Variable",D2604&lt;&gt;catTrading,S2604&gt;0,S2604&lt;=Umbral),1,0))</f>
        <v/>
      </c>
      <c r="AB2604" s="52">
        <f>IF(OR(P2604="",Q2604=""),"",IFERROR(IF(INDEX(ctaVinc,MATCH(Q2604,ctaNombre,0))&amp;""&lt;&gt;"",INDEX(ctaVinc,MATCH(Q2604,ctaNombre,0))&amp;"",Q2604),Q2604))</f>
        <v/>
      </c>
      <c r="AC2604" s="52">
        <f>IF(OR(K2604="",AND(P2604&lt;&gt;"Transferencia",P2604&lt;&gt;"Pago tarjeta")),"",IFERROR(IF(INDEX(ctaVinc,MATCH(K2604,ctaNombre,0))&amp;""&lt;&gt;"",INDEX(ctaVinc,MATCH(K2604,ctaNombre,0))&amp;"",K2604),K2604))</f>
        <v/>
      </c>
      <c r="AD2604" s="52">
        <f>IF(AB2604="","",IFERROR(INDEX(ctaTipo,MATCH(AB2604,ctaNombre,0))&amp;"",""))</f>
        <v/>
      </c>
      <c r="AE2604" s="52">
        <f>IF(AC2604="","",IFERROR(INDEX(ctaTipo,MATCH(AC2604,ctaNombre,0))&amp;"",""))</f>
        <v/>
      </c>
      <c r="AF2604" s="53">
        <f>IF(OR(P2604="",AB2604=""),"",IF(OR(P2604="Gasto",P2604="Transferencia",P2604="Pago tarjeta"),-1,1)*IF(IFERROR(INDEX(ctaMoneda,MATCH(AB2604,ctaNombre,0))&amp;"","DOP")="USD",T2604,S2604))</f>
        <v/>
      </c>
      <c r="AG2604" s="53">
        <f>IF(AC2604="","",IF(IFERROR(INDEX(ctaMoneda,MATCH(AC2604,ctaNombre,0))&amp;"","DOP")="USD",T2604,S2604))</f>
        <v/>
      </c>
      <c r="AH2604" s="53">
        <f>IF(P2604="","",IF(AND(AD2604&lt;&gt;"",COUNTIFS(tcTipo,AD2604,tcLiq,"Sí")&gt;0),IF(OR(P2604="Gasto",P2604="Transferencia",P2604="Pago tarjeta"),-1,1)*S2604,0)+IF(AND(AE2604&lt;&gt;"",COUNTIFS(tcTipo,AE2604,tcLiq,"Sí")&gt;0),S2604,0))</f>
        <v/>
      </c>
      <c r="AI2604" s="52">
        <f>IF(OR(L2604="",P2604=""),"",IF(COUNTIFS(L$6:L2604,L2604,P$6:P2604,"?*")=1,MAX(AI$5:AI2603)+1,""))</f>
        <v/>
      </c>
    </row>
    <row r="2605">
      <c r="B2605" s="47" t="n"/>
      <c r="C2605" s="48" t="n"/>
      <c r="D2605" s="48" t="n"/>
      <c r="E2605" s="48" t="n"/>
      <c r="F2605" s="48" t="n"/>
      <c r="G2605" s="49" t="n"/>
      <c r="H2605" s="48" t="n"/>
      <c r="I2605" s="50" t="n"/>
      <c r="J2605" s="48" t="n"/>
      <c r="K2605" s="48" t="n"/>
      <c r="L2605" s="48" t="n"/>
      <c r="M2605" s="48" t="n"/>
      <c r="N2605" s="48" t="n"/>
      <c r="O2605" s="51">
        <f>IF(AND(B2605="",G2605="",C2605="",D2605="",J2605=""),"",IF(B2605="","⚠ Falta fecha",IF(G2605="","⚠ Falta monto",IF(Q2605="","⚠ Falta cuenta",IF(ISNA(MATCH(Q2605,ctaNombre,0)),"⚠ Cuenta no registrada",IF(AND(OR(P2605="Gasto",P2605="Reembolso"),D2605=""),"⚠ Falta categoría",IF(AND(D2605&lt;&gt;"",E2605&lt;&gt;"",ISNA(MATCH(D2605&amp;"|"&amp;E2605,catClave,0))),"⚠ Subcategoría no corresponde",IF(AND(OR(P2605="Transferencia",P2605="Pago tarjeta"),K2605=""),"⚠ Falta cuenta destino",IF(AND(K2605&lt;&gt;"",P2605&lt;&gt;"Transferencia",P2605&lt;&gt;"Pago tarjeta"),"⚠ Destino solo aplica a transferencias",IF(AND(K2605&lt;&gt;"",K2605=Q2605),"⚠ Origen igual a destino",IF(AND(K2605&lt;&gt;"",ISNA(MATCH(K2605,ctaNombre,0))),"⚠ Destino no registrado",IF(AND(P2605="Pago tarjeta",AE2605&lt;&gt;"Tarjeta de crédito"),"⚠ El destino debe ser tarjeta de crédito",IF(AND(P2605="Gasto",E2605="Depósitos y retiros"),"⚠ Usa tipo Transferencia",IF(AND(P2605="Resultado trading",AD2605&lt;&gt;"Cuenta de trading"),"⚠ Usa una cuenta de trading",IF(AND(G2605&lt;=0,P2605&lt;&gt;"Ajuste",P2605&lt;&gt;"Resultado trading"),"⚠ El monto debe ser positivo","✓")))))))))))))))</f>
        <v/>
      </c>
      <c r="P2605" s="52">
        <f>IF(OR(B2605="",G2605=""),"",IF(C2605="","Gasto",C2605))</f>
        <v/>
      </c>
      <c r="Q2605" s="52">
        <f>IF(P2605="","",IF(J2605&lt;&gt;"",J2605,CuentaPred&amp;""))</f>
        <v/>
      </c>
      <c r="R2605" s="52">
        <f>IF(P2605="","",IF(ISNUMBER(I2605),I2605,TasaUSD))</f>
        <v/>
      </c>
      <c r="S2605" s="53">
        <f>IF(P2605="","",IF(H2605="USD",G2605*R2605,G2605))</f>
        <v/>
      </c>
      <c r="T2605" s="53">
        <f>IF(P2605="","",IF(H2605="USD",G2605,IF(R2605&gt;0,G2605/R2605,0)))</f>
        <v/>
      </c>
      <c r="U2605" s="53">
        <f>IF(P2605="","",IF(P2605="Gasto",S2605,IF(P2605="Reembolso",-S2605,0)))</f>
        <v/>
      </c>
      <c r="V2605" s="53">
        <f>IF(P2605="","",IF(P2605="Ingreso",S2605,0))</f>
        <v/>
      </c>
      <c r="W2605" s="53">
        <f>IF(P2605="","",IF(P2605="Resultado trading",S2605,0))</f>
        <v/>
      </c>
      <c r="X2605" s="52">
        <f>IF(OR(P2605="Gasto",P2605="Reembolso"),IF(M2605&lt;&gt;"",M2605,IFERROR(INDEX(catClasif,MATCH(D2605&amp;"|"&amp;E2605,catClave,0))&amp;"","Variable")),"")</f>
        <v/>
      </c>
      <c r="Y2605" s="52">
        <f>IF(P2605="","",IFERROR(INDEX(catGrupo,MATCH(D2605&amp;"|"&amp;E2605,catClave,0))&amp;"",""))</f>
        <v/>
      </c>
      <c r="Z2605" s="52">
        <f>IF(P2605="","",WEEKDAY(B2605,2))</f>
        <v/>
      </c>
      <c r="AA2605" s="52">
        <f>IF(P2605="","",IF(AND(P2605="Gasto",X2605="Variable",D2605&lt;&gt;catTrading,S2605&gt;0,S2605&lt;=Umbral),1,0))</f>
        <v/>
      </c>
      <c r="AB2605" s="52">
        <f>IF(OR(P2605="",Q2605=""),"",IFERROR(IF(INDEX(ctaVinc,MATCH(Q2605,ctaNombre,0))&amp;""&lt;&gt;"",INDEX(ctaVinc,MATCH(Q2605,ctaNombre,0))&amp;"",Q2605),Q2605))</f>
        <v/>
      </c>
      <c r="AC2605" s="52">
        <f>IF(OR(K2605="",AND(P2605&lt;&gt;"Transferencia",P2605&lt;&gt;"Pago tarjeta")),"",IFERROR(IF(INDEX(ctaVinc,MATCH(K2605,ctaNombre,0))&amp;""&lt;&gt;"",INDEX(ctaVinc,MATCH(K2605,ctaNombre,0))&amp;"",K2605),K2605))</f>
        <v/>
      </c>
      <c r="AD2605" s="52">
        <f>IF(AB2605="","",IFERROR(INDEX(ctaTipo,MATCH(AB2605,ctaNombre,0))&amp;"",""))</f>
        <v/>
      </c>
      <c r="AE2605" s="52">
        <f>IF(AC2605="","",IFERROR(INDEX(ctaTipo,MATCH(AC2605,ctaNombre,0))&amp;"",""))</f>
        <v/>
      </c>
      <c r="AF2605" s="53">
        <f>IF(OR(P2605="",AB2605=""),"",IF(OR(P2605="Gasto",P2605="Transferencia",P2605="Pago tarjeta"),-1,1)*IF(IFERROR(INDEX(ctaMoneda,MATCH(AB2605,ctaNombre,0))&amp;"","DOP")="USD",T2605,S2605))</f>
        <v/>
      </c>
      <c r="AG2605" s="53">
        <f>IF(AC2605="","",IF(IFERROR(INDEX(ctaMoneda,MATCH(AC2605,ctaNombre,0))&amp;"","DOP")="USD",T2605,S2605))</f>
        <v/>
      </c>
      <c r="AH2605" s="53">
        <f>IF(P2605="","",IF(AND(AD2605&lt;&gt;"",COUNTIFS(tcTipo,AD2605,tcLiq,"Sí")&gt;0),IF(OR(P2605="Gasto",P2605="Transferencia",P2605="Pago tarjeta"),-1,1)*S2605,0)+IF(AND(AE2605&lt;&gt;"",COUNTIFS(tcTipo,AE2605,tcLiq,"Sí")&gt;0),S2605,0))</f>
        <v/>
      </c>
      <c r="AI2605" s="52">
        <f>IF(OR(L2605="",P2605=""),"",IF(COUNTIFS(L$6:L2605,L2605,P$6:P2605,"?*")=1,MAX(AI$5:AI2604)+1,""))</f>
        <v/>
      </c>
    </row>
    <row r="2606">
      <c r="B2606" s="47" t="n"/>
      <c r="C2606" s="48" t="n"/>
      <c r="D2606" s="48" t="n"/>
      <c r="E2606" s="48" t="n"/>
      <c r="F2606" s="48" t="n"/>
      <c r="G2606" s="49" t="n"/>
      <c r="H2606" s="48" t="n"/>
      <c r="I2606" s="50" t="n"/>
      <c r="J2606" s="48" t="n"/>
      <c r="K2606" s="48" t="n"/>
      <c r="L2606" s="48" t="n"/>
      <c r="M2606" s="48" t="n"/>
      <c r="N2606" s="48" t="n"/>
      <c r="O2606" s="51">
        <f>IF(AND(B2606="",G2606="",C2606="",D2606="",J2606=""),"",IF(B2606="","⚠ Falta fecha",IF(G2606="","⚠ Falta monto",IF(Q2606="","⚠ Falta cuenta",IF(ISNA(MATCH(Q2606,ctaNombre,0)),"⚠ Cuenta no registrada",IF(AND(OR(P2606="Gasto",P2606="Reembolso"),D2606=""),"⚠ Falta categoría",IF(AND(D2606&lt;&gt;"",E2606&lt;&gt;"",ISNA(MATCH(D2606&amp;"|"&amp;E2606,catClave,0))),"⚠ Subcategoría no corresponde",IF(AND(OR(P2606="Transferencia",P2606="Pago tarjeta"),K2606=""),"⚠ Falta cuenta destino",IF(AND(K2606&lt;&gt;"",P2606&lt;&gt;"Transferencia",P2606&lt;&gt;"Pago tarjeta"),"⚠ Destino solo aplica a transferencias",IF(AND(K2606&lt;&gt;"",K2606=Q2606),"⚠ Origen igual a destino",IF(AND(K2606&lt;&gt;"",ISNA(MATCH(K2606,ctaNombre,0))),"⚠ Destino no registrado",IF(AND(P2606="Pago tarjeta",AE2606&lt;&gt;"Tarjeta de crédito"),"⚠ El destino debe ser tarjeta de crédito",IF(AND(P2606="Gasto",E2606="Depósitos y retiros"),"⚠ Usa tipo Transferencia",IF(AND(P2606="Resultado trading",AD2606&lt;&gt;"Cuenta de trading"),"⚠ Usa una cuenta de trading",IF(AND(G2606&lt;=0,P2606&lt;&gt;"Ajuste",P2606&lt;&gt;"Resultado trading"),"⚠ El monto debe ser positivo","✓")))))))))))))))</f>
        <v/>
      </c>
      <c r="P2606" s="52">
        <f>IF(OR(B2606="",G2606=""),"",IF(C2606="","Gasto",C2606))</f>
        <v/>
      </c>
      <c r="Q2606" s="52">
        <f>IF(P2606="","",IF(J2606&lt;&gt;"",J2606,CuentaPred&amp;""))</f>
        <v/>
      </c>
      <c r="R2606" s="52">
        <f>IF(P2606="","",IF(ISNUMBER(I2606),I2606,TasaUSD))</f>
        <v/>
      </c>
      <c r="S2606" s="53">
        <f>IF(P2606="","",IF(H2606="USD",G2606*R2606,G2606))</f>
        <v/>
      </c>
      <c r="T2606" s="53">
        <f>IF(P2606="","",IF(H2606="USD",G2606,IF(R2606&gt;0,G2606/R2606,0)))</f>
        <v/>
      </c>
      <c r="U2606" s="53">
        <f>IF(P2606="","",IF(P2606="Gasto",S2606,IF(P2606="Reembolso",-S2606,0)))</f>
        <v/>
      </c>
      <c r="V2606" s="53">
        <f>IF(P2606="","",IF(P2606="Ingreso",S2606,0))</f>
        <v/>
      </c>
      <c r="W2606" s="53">
        <f>IF(P2606="","",IF(P2606="Resultado trading",S2606,0))</f>
        <v/>
      </c>
      <c r="X2606" s="52">
        <f>IF(OR(P2606="Gasto",P2606="Reembolso"),IF(M2606&lt;&gt;"",M2606,IFERROR(INDEX(catClasif,MATCH(D2606&amp;"|"&amp;E2606,catClave,0))&amp;"","Variable")),"")</f>
        <v/>
      </c>
      <c r="Y2606" s="52">
        <f>IF(P2606="","",IFERROR(INDEX(catGrupo,MATCH(D2606&amp;"|"&amp;E2606,catClave,0))&amp;"",""))</f>
        <v/>
      </c>
      <c r="Z2606" s="52">
        <f>IF(P2606="","",WEEKDAY(B2606,2))</f>
        <v/>
      </c>
      <c r="AA2606" s="52">
        <f>IF(P2606="","",IF(AND(P2606="Gasto",X2606="Variable",D2606&lt;&gt;catTrading,S2606&gt;0,S2606&lt;=Umbral),1,0))</f>
        <v/>
      </c>
      <c r="AB2606" s="52">
        <f>IF(OR(P2606="",Q2606=""),"",IFERROR(IF(INDEX(ctaVinc,MATCH(Q2606,ctaNombre,0))&amp;""&lt;&gt;"",INDEX(ctaVinc,MATCH(Q2606,ctaNombre,0))&amp;"",Q2606),Q2606))</f>
        <v/>
      </c>
      <c r="AC2606" s="52">
        <f>IF(OR(K2606="",AND(P2606&lt;&gt;"Transferencia",P2606&lt;&gt;"Pago tarjeta")),"",IFERROR(IF(INDEX(ctaVinc,MATCH(K2606,ctaNombre,0))&amp;""&lt;&gt;"",INDEX(ctaVinc,MATCH(K2606,ctaNombre,0))&amp;"",K2606),K2606))</f>
        <v/>
      </c>
      <c r="AD2606" s="52">
        <f>IF(AB2606="","",IFERROR(INDEX(ctaTipo,MATCH(AB2606,ctaNombre,0))&amp;"",""))</f>
        <v/>
      </c>
      <c r="AE2606" s="52">
        <f>IF(AC2606="","",IFERROR(INDEX(ctaTipo,MATCH(AC2606,ctaNombre,0))&amp;"",""))</f>
        <v/>
      </c>
      <c r="AF2606" s="53">
        <f>IF(OR(P2606="",AB2606=""),"",IF(OR(P2606="Gasto",P2606="Transferencia",P2606="Pago tarjeta"),-1,1)*IF(IFERROR(INDEX(ctaMoneda,MATCH(AB2606,ctaNombre,0))&amp;"","DOP")="USD",T2606,S2606))</f>
        <v/>
      </c>
      <c r="AG2606" s="53">
        <f>IF(AC2606="","",IF(IFERROR(INDEX(ctaMoneda,MATCH(AC2606,ctaNombre,0))&amp;"","DOP")="USD",T2606,S2606))</f>
        <v/>
      </c>
      <c r="AH2606" s="53">
        <f>IF(P2606="","",IF(AND(AD2606&lt;&gt;"",COUNTIFS(tcTipo,AD2606,tcLiq,"Sí")&gt;0),IF(OR(P2606="Gasto",P2606="Transferencia",P2606="Pago tarjeta"),-1,1)*S2606,0)+IF(AND(AE2606&lt;&gt;"",COUNTIFS(tcTipo,AE2606,tcLiq,"Sí")&gt;0),S2606,0))</f>
        <v/>
      </c>
      <c r="AI2606" s="52">
        <f>IF(OR(L2606="",P2606=""),"",IF(COUNTIFS(L$6:L2606,L2606,P$6:P2606,"?*")=1,MAX(AI$5:AI2605)+1,""))</f>
        <v/>
      </c>
    </row>
    <row r="2607">
      <c r="B2607" s="47" t="n"/>
      <c r="C2607" s="48" t="n"/>
      <c r="D2607" s="48" t="n"/>
      <c r="E2607" s="48" t="n"/>
      <c r="F2607" s="48" t="n"/>
      <c r="G2607" s="49" t="n"/>
      <c r="H2607" s="48" t="n"/>
      <c r="I2607" s="50" t="n"/>
      <c r="J2607" s="48" t="n"/>
      <c r="K2607" s="48" t="n"/>
      <c r="L2607" s="48" t="n"/>
      <c r="M2607" s="48" t="n"/>
      <c r="N2607" s="48" t="n"/>
      <c r="O2607" s="51">
        <f>IF(AND(B2607="",G2607="",C2607="",D2607="",J2607=""),"",IF(B2607="","⚠ Falta fecha",IF(G2607="","⚠ Falta monto",IF(Q2607="","⚠ Falta cuenta",IF(ISNA(MATCH(Q2607,ctaNombre,0)),"⚠ Cuenta no registrada",IF(AND(OR(P2607="Gasto",P2607="Reembolso"),D2607=""),"⚠ Falta categoría",IF(AND(D2607&lt;&gt;"",E2607&lt;&gt;"",ISNA(MATCH(D2607&amp;"|"&amp;E2607,catClave,0))),"⚠ Subcategoría no corresponde",IF(AND(OR(P2607="Transferencia",P2607="Pago tarjeta"),K2607=""),"⚠ Falta cuenta destino",IF(AND(K2607&lt;&gt;"",P2607&lt;&gt;"Transferencia",P2607&lt;&gt;"Pago tarjeta"),"⚠ Destino solo aplica a transferencias",IF(AND(K2607&lt;&gt;"",K2607=Q2607),"⚠ Origen igual a destino",IF(AND(K2607&lt;&gt;"",ISNA(MATCH(K2607,ctaNombre,0))),"⚠ Destino no registrado",IF(AND(P2607="Pago tarjeta",AE2607&lt;&gt;"Tarjeta de crédito"),"⚠ El destino debe ser tarjeta de crédito",IF(AND(P2607="Gasto",E2607="Depósitos y retiros"),"⚠ Usa tipo Transferencia",IF(AND(P2607="Resultado trading",AD2607&lt;&gt;"Cuenta de trading"),"⚠ Usa una cuenta de trading",IF(AND(G2607&lt;=0,P2607&lt;&gt;"Ajuste",P2607&lt;&gt;"Resultado trading"),"⚠ El monto debe ser positivo","✓")))))))))))))))</f>
        <v/>
      </c>
      <c r="P2607" s="52">
        <f>IF(OR(B2607="",G2607=""),"",IF(C2607="","Gasto",C2607))</f>
        <v/>
      </c>
      <c r="Q2607" s="52">
        <f>IF(P2607="","",IF(J2607&lt;&gt;"",J2607,CuentaPred&amp;""))</f>
        <v/>
      </c>
      <c r="R2607" s="52">
        <f>IF(P2607="","",IF(ISNUMBER(I2607),I2607,TasaUSD))</f>
        <v/>
      </c>
      <c r="S2607" s="53">
        <f>IF(P2607="","",IF(H2607="USD",G2607*R2607,G2607))</f>
        <v/>
      </c>
      <c r="T2607" s="53">
        <f>IF(P2607="","",IF(H2607="USD",G2607,IF(R2607&gt;0,G2607/R2607,0)))</f>
        <v/>
      </c>
      <c r="U2607" s="53">
        <f>IF(P2607="","",IF(P2607="Gasto",S2607,IF(P2607="Reembolso",-S2607,0)))</f>
        <v/>
      </c>
      <c r="V2607" s="53">
        <f>IF(P2607="","",IF(P2607="Ingreso",S2607,0))</f>
        <v/>
      </c>
      <c r="W2607" s="53">
        <f>IF(P2607="","",IF(P2607="Resultado trading",S2607,0))</f>
        <v/>
      </c>
      <c r="X2607" s="52">
        <f>IF(OR(P2607="Gasto",P2607="Reembolso"),IF(M2607&lt;&gt;"",M2607,IFERROR(INDEX(catClasif,MATCH(D2607&amp;"|"&amp;E2607,catClave,0))&amp;"","Variable")),"")</f>
        <v/>
      </c>
      <c r="Y2607" s="52">
        <f>IF(P2607="","",IFERROR(INDEX(catGrupo,MATCH(D2607&amp;"|"&amp;E2607,catClave,0))&amp;"",""))</f>
        <v/>
      </c>
      <c r="Z2607" s="52">
        <f>IF(P2607="","",WEEKDAY(B2607,2))</f>
        <v/>
      </c>
      <c r="AA2607" s="52">
        <f>IF(P2607="","",IF(AND(P2607="Gasto",X2607="Variable",D2607&lt;&gt;catTrading,S2607&gt;0,S2607&lt;=Umbral),1,0))</f>
        <v/>
      </c>
      <c r="AB2607" s="52">
        <f>IF(OR(P2607="",Q2607=""),"",IFERROR(IF(INDEX(ctaVinc,MATCH(Q2607,ctaNombre,0))&amp;""&lt;&gt;"",INDEX(ctaVinc,MATCH(Q2607,ctaNombre,0))&amp;"",Q2607),Q2607))</f>
        <v/>
      </c>
      <c r="AC2607" s="52">
        <f>IF(OR(K2607="",AND(P2607&lt;&gt;"Transferencia",P2607&lt;&gt;"Pago tarjeta")),"",IFERROR(IF(INDEX(ctaVinc,MATCH(K2607,ctaNombre,0))&amp;""&lt;&gt;"",INDEX(ctaVinc,MATCH(K2607,ctaNombre,0))&amp;"",K2607),K2607))</f>
        <v/>
      </c>
      <c r="AD2607" s="52">
        <f>IF(AB2607="","",IFERROR(INDEX(ctaTipo,MATCH(AB2607,ctaNombre,0))&amp;"",""))</f>
        <v/>
      </c>
      <c r="AE2607" s="52">
        <f>IF(AC2607="","",IFERROR(INDEX(ctaTipo,MATCH(AC2607,ctaNombre,0))&amp;"",""))</f>
        <v/>
      </c>
      <c r="AF2607" s="53">
        <f>IF(OR(P2607="",AB2607=""),"",IF(OR(P2607="Gasto",P2607="Transferencia",P2607="Pago tarjeta"),-1,1)*IF(IFERROR(INDEX(ctaMoneda,MATCH(AB2607,ctaNombre,0))&amp;"","DOP")="USD",T2607,S2607))</f>
        <v/>
      </c>
      <c r="AG2607" s="53">
        <f>IF(AC2607="","",IF(IFERROR(INDEX(ctaMoneda,MATCH(AC2607,ctaNombre,0))&amp;"","DOP")="USD",T2607,S2607))</f>
        <v/>
      </c>
      <c r="AH2607" s="53">
        <f>IF(P2607="","",IF(AND(AD2607&lt;&gt;"",COUNTIFS(tcTipo,AD2607,tcLiq,"Sí")&gt;0),IF(OR(P2607="Gasto",P2607="Transferencia",P2607="Pago tarjeta"),-1,1)*S2607,0)+IF(AND(AE2607&lt;&gt;"",COUNTIFS(tcTipo,AE2607,tcLiq,"Sí")&gt;0),S2607,0))</f>
        <v/>
      </c>
      <c r="AI2607" s="52">
        <f>IF(OR(L2607="",P2607=""),"",IF(COUNTIFS(L$6:L2607,L2607,P$6:P2607,"?*")=1,MAX(AI$5:AI2606)+1,""))</f>
        <v/>
      </c>
    </row>
    <row r="2608">
      <c r="B2608" s="47" t="n"/>
      <c r="C2608" s="48" t="n"/>
      <c r="D2608" s="48" t="n"/>
      <c r="E2608" s="48" t="n"/>
      <c r="F2608" s="48" t="n"/>
      <c r="G2608" s="49" t="n"/>
      <c r="H2608" s="48" t="n"/>
      <c r="I2608" s="50" t="n"/>
      <c r="J2608" s="48" t="n"/>
      <c r="K2608" s="48" t="n"/>
      <c r="L2608" s="48" t="n"/>
      <c r="M2608" s="48" t="n"/>
      <c r="N2608" s="48" t="n"/>
      <c r="O2608" s="51">
        <f>IF(AND(B2608="",G2608="",C2608="",D2608="",J2608=""),"",IF(B2608="","⚠ Falta fecha",IF(G2608="","⚠ Falta monto",IF(Q2608="","⚠ Falta cuenta",IF(ISNA(MATCH(Q2608,ctaNombre,0)),"⚠ Cuenta no registrada",IF(AND(OR(P2608="Gasto",P2608="Reembolso"),D2608=""),"⚠ Falta categoría",IF(AND(D2608&lt;&gt;"",E2608&lt;&gt;"",ISNA(MATCH(D2608&amp;"|"&amp;E2608,catClave,0))),"⚠ Subcategoría no corresponde",IF(AND(OR(P2608="Transferencia",P2608="Pago tarjeta"),K2608=""),"⚠ Falta cuenta destino",IF(AND(K2608&lt;&gt;"",P2608&lt;&gt;"Transferencia",P2608&lt;&gt;"Pago tarjeta"),"⚠ Destino solo aplica a transferencias",IF(AND(K2608&lt;&gt;"",K2608=Q2608),"⚠ Origen igual a destino",IF(AND(K2608&lt;&gt;"",ISNA(MATCH(K2608,ctaNombre,0))),"⚠ Destino no registrado",IF(AND(P2608="Pago tarjeta",AE2608&lt;&gt;"Tarjeta de crédito"),"⚠ El destino debe ser tarjeta de crédito",IF(AND(P2608="Gasto",E2608="Depósitos y retiros"),"⚠ Usa tipo Transferencia",IF(AND(P2608="Resultado trading",AD2608&lt;&gt;"Cuenta de trading"),"⚠ Usa una cuenta de trading",IF(AND(G2608&lt;=0,P2608&lt;&gt;"Ajuste",P2608&lt;&gt;"Resultado trading"),"⚠ El monto debe ser positivo","✓")))))))))))))))</f>
        <v/>
      </c>
      <c r="P2608" s="52">
        <f>IF(OR(B2608="",G2608=""),"",IF(C2608="","Gasto",C2608))</f>
        <v/>
      </c>
      <c r="Q2608" s="52">
        <f>IF(P2608="","",IF(J2608&lt;&gt;"",J2608,CuentaPred&amp;""))</f>
        <v/>
      </c>
      <c r="R2608" s="52">
        <f>IF(P2608="","",IF(ISNUMBER(I2608),I2608,TasaUSD))</f>
        <v/>
      </c>
      <c r="S2608" s="53">
        <f>IF(P2608="","",IF(H2608="USD",G2608*R2608,G2608))</f>
        <v/>
      </c>
      <c r="T2608" s="53">
        <f>IF(P2608="","",IF(H2608="USD",G2608,IF(R2608&gt;0,G2608/R2608,0)))</f>
        <v/>
      </c>
      <c r="U2608" s="53">
        <f>IF(P2608="","",IF(P2608="Gasto",S2608,IF(P2608="Reembolso",-S2608,0)))</f>
        <v/>
      </c>
      <c r="V2608" s="53">
        <f>IF(P2608="","",IF(P2608="Ingreso",S2608,0))</f>
        <v/>
      </c>
      <c r="W2608" s="53">
        <f>IF(P2608="","",IF(P2608="Resultado trading",S2608,0))</f>
        <v/>
      </c>
      <c r="X2608" s="52">
        <f>IF(OR(P2608="Gasto",P2608="Reembolso"),IF(M2608&lt;&gt;"",M2608,IFERROR(INDEX(catClasif,MATCH(D2608&amp;"|"&amp;E2608,catClave,0))&amp;"","Variable")),"")</f>
        <v/>
      </c>
      <c r="Y2608" s="52">
        <f>IF(P2608="","",IFERROR(INDEX(catGrupo,MATCH(D2608&amp;"|"&amp;E2608,catClave,0))&amp;"",""))</f>
        <v/>
      </c>
      <c r="Z2608" s="52">
        <f>IF(P2608="","",WEEKDAY(B2608,2))</f>
        <v/>
      </c>
      <c r="AA2608" s="52">
        <f>IF(P2608="","",IF(AND(P2608="Gasto",X2608="Variable",D2608&lt;&gt;catTrading,S2608&gt;0,S2608&lt;=Umbral),1,0))</f>
        <v/>
      </c>
      <c r="AB2608" s="52">
        <f>IF(OR(P2608="",Q2608=""),"",IFERROR(IF(INDEX(ctaVinc,MATCH(Q2608,ctaNombre,0))&amp;""&lt;&gt;"",INDEX(ctaVinc,MATCH(Q2608,ctaNombre,0))&amp;"",Q2608),Q2608))</f>
        <v/>
      </c>
      <c r="AC2608" s="52">
        <f>IF(OR(K2608="",AND(P2608&lt;&gt;"Transferencia",P2608&lt;&gt;"Pago tarjeta")),"",IFERROR(IF(INDEX(ctaVinc,MATCH(K2608,ctaNombre,0))&amp;""&lt;&gt;"",INDEX(ctaVinc,MATCH(K2608,ctaNombre,0))&amp;"",K2608),K2608))</f>
        <v/>
      </c>
      <c r="AD2608" s="52">
        <f>IF(AB2608="","",IFERROR(INDEX(ctaTipo,MATCH(AB2608,ctaNombre,0))&amp;"",""))</f>
        <v/>
      </c>
      <c r="AE2608" s="52">
        <f>IF(AC2608="","",IFERROR(INDEX(ctaTipo,MATCH(AC2608,ctaNombre,0))&amp;"",""))</f>
        <v/>
      </c>
      <c r="AF2608" s="53">
        <f>IF(OR(P2608="",AB2608=""),"",IF(OR(P2608="Gasto",P2608="Transferencia",P2608="Pago tarjeta"),-1,1)*IF(IFERROR(INDEX(ctaMoneda,MATCH(AB2608,ctaNombre,0))&amp;"","DOP")="USD",T2608,S2608))</f>
        <v/>
      </c>
      <c r="AG2608" s="53">
        <f>IF(AC2608="","",IF(IFERROR(INDEX(ctaMoneda,MATCH(AC2608,ctaNombre,0))&amp;"","DOP")="USD",T2608,S2608))</f>
        <v/>
      </c>
      <c r="AH2608" s="53">
        <f>IF(P2608="","",IF(AND(AD2608&lt;&gt;"",COUNTIFS(tcTipo,AD2608,tcLiq,"Sí")&gt;0),IF(OR(P2608="Gasto",P2608="Transferencia",P2608="Pago tarjeta"),-1,1)*S2608,0)+IF(AND(AE2608&lt;&gt;"",COUNTIFS(tcTipo,AE2608,tcLiq,"Sí")&gt;0),S2608,0))</f>
        <v/>
      </c>
      <c r="AI2608" s="52">
        <f>IF(OR(L2608="",P2608=""),"",IF(COUNTIFS(L$6:L2608,L2608,P$6:P2608,"?*")=1,MAX(AI$5:AI2607)+1,""))</f>
        <v/>
      </c>
    </row>
    <row r="2609">
      <c r="B2609" s="47" t="n"/>
      <c r="C2609" s="48" t="n"/>
      <c r="D2609" s="48" t="n"/>
      <c r="E2609" s="48" t="n"/>
      <c r="F2609" s="48" t="n"/>
      <c r="G2609" s="49" t="n"/>
      <c r="H2609" s="48" t="n"/>
      <c r="I2609" s="50" t="n"/>
      <c r="J2609" s="48" t="n"/>
      <c r="K2609" s="48" t="n"/>
      <c r="L2609" s="48" t="n"/>
      <c r="M2609" s="48" t="n"/>
      <c r="N2609" s="48" t="n"/>
      <c r="O2609" s="51">
        <f>IF(AND(B2609="",G2609="",C2609="",D2609="",J2609=""),"",IF(B2609="","⚠ Falta fecha",IF(G2609="","⚠ Falta monto",IF(Q2609="","⚠ Falta cuenta",IF(ISNA(MATCH(Q2609,ctaNombre,0)),"⚠ Cuenta no registrada",IF(AND(OR(P2609="Gasto",P2609="Reembolso"),D2609=""),"⚠ Falta categoría",IF(AND(D2609&lt;&gt;"",E2609&lt;&gt;"",ISNA(MATCH(D2609&amp;"|"&amp;E2609,catClave,0))),"⚠ Subcategoría no corresponde",IF(AND(OR(P2609="Transferencia",P2609="Pago tarjeta"),K2609=""),"⚠ Falta cuenta destino",IF(AND(K2609&lt;&gt;"",P2609&lt;&gt;"Transferencia",P2609&lt;&gt;"Pago tarjeta"),"⚠ Destino solo aplica a transferencias",IF(AND(K2609&lt;&gt;"",K2609=Q2609),"⚠ Origen igual a destino",IF(AND(K2609&lt;&gt;"",ISNA(MATCH(K2609,ctaNombre,0))),"⚠ Destino no registrado",IF(AND(P2609="Pago tarjeta",AE2609&lt;&gt;"Tarjeta de crédito"),"⚠ El destino debe ser tarjeta de crédito",IF(AND(P2609="Gasto",E2609="Depósitos y retiros"),"⚠ Usa tipo Transferencia",IF(AND(P2609="Resultado trading",AD2609&lt;&gt;"Cuenta de trading"),"⚠ Usa una cuenta de trading",IF(AND(G2609&lt;=0,P2609&lt;&gt;"Ajuste",P2609&lt;&gt;"Resultado trading"),"⚠ El monto debe ser positivo","✓")))))))))))))))</f>
        <v/>
      </c>
      <c r="P2609" s="52">
        <f>IF(OR(B2609="",G2609=""),"",IF(C2609="","Gasto",C2609))</f>
        <v/>
      </c>
      <c r="Q2609" s="52">
        <f>IF(P2609="","",IF(J2609&lt;&gt;"",J2609,CuentaPred&amp;""))</f>
        <v/>
      </c>
      <c r="R2609" s="52">
        <f>IF(P2609="","",IF(ISNUMBER(I2609),I2609,TasaUSD))</f>
        <v/>
      </c>
      <c r="S2609" s="53">
        <f>IF(P2609="","",IF(H2609="USD",G2609*R2609,G2609))</f>
        <v/>
      </c>
      <c r="T2609" s="53">
        <f>IF(P2609="","",IF(H2609="USD",G2609,IF(R2609&gt;0,G2609/R2609,0)))</f>
        <v/>
      </c>
      <c r="U2609" s="53">
        <f>IF(P2609="","",IF(P2609="Gasto",S2609,IF(P2609="Reembolso",-S2609,0)))</f>
        <v/>
      </c>
      <c r="V2609" s="53">
        <f>IF(P2609="","",IF(P2609="Ingreso",S2609,0))</f>
        <v/>
      </c>
      <c r="W2609" s="53">
        <f>IF(P2609="","",IF(P2609="Resultado trading",S2609,0))</f>
        <v/>
      </c>
      <c r="X2609" s="52">
        <f>IF(OR(P2609="Gasto",P2609="Reembolso"),IF(M2609&lt;&gt;"",M2609,IFERROR(INDEX(catClasif,MATCH(D2609&amp;"|"&amp;E2609,catClave,0))&amp;"","Variable")),"")</f>
        <v/>
      </c>
      <c r="Y2609" s="52">
        <f>IF(P2609="","",IFERROR(INDEX(catGrupo,MATCH(D2609&amp;"|"&amp;E2609,catClave,0))&amp;"",""))</f>
        <v/>
      </c>
      <c r="Z2609" s="52">
        <f>IF(P2609="","",WEEKDAY(B2609,2))</f>
        <v/>
      </c>
      <c r="AA2609" s="52">
        <f>IF(P2609="","",IF(AND(P2609="Gasto",X2609="Variable",D2609&lt;&gt;catTrading,S2609&gt;0,S2609&lt;=Umbral),1,0))</f>
        <v/>
      </c>
      <c r="AB2609" s="52">
        <f>IF(OR(P2609="",Q2609=""),"",IFERROR(IF(INDEX(ctaVinc,MATCH(Q2609,ctaNombre,0))&amp;""&lt;&gt;"",INDEX(ctaVinc,MATCH(Q2609,ctaNombre,0))&amp;"",Q2609),Q2609))</f>
        <v/>
      </c>
      <c r="AC2609" s="52">
        <f>IF(OR(K2609="",AND(P2609&lt;&gt;"Transferencia",P2609&lt;&gt;"Pago tarjeta")),"",IFERROR(IF(INDEX(ctaVinc,MATCH(K2609,ctaNombre,0))&amp;""&lt;&gt;"",INDEX(ctaVinc,MATCH(K2609,ctaNombre,0))&amp;"",K2609),K2609))</f>
        <v/>
      </c>
      <c r="AD2609" s="52">
        <f>IF(AB2609="","",IFERROR(INDEX(ctaTipo,MATCH(AB2609,ctaNombre,0))&amp;"",""))</f>
        <v/>
      </c>
      <c r="AE2609" s="52">
        <f>IF(AC2609="","",IFERROR(INDEX(ctaTipo,MATCH(AC2609,ctaNombre,0))&amp;"",""))</f>
        <v/>
      </c>
      <c r="AF2609" s="53">
        <f>IF(OR(P2609="",AB2609=""),"",IF(OR(P2609="Gasto",P2609="Transferencia",P2609="Pago tarjeta"),-1,1)*IF(IFERROR(INDEX(ctaMoneda,MATCH(AB2609,ctaNombre,0))&amp;"","DOP")="USD",T2609,S2609))</f>
        <v/>
      </c>
      <c r="AG2609" s="53">
        <f>IF(AC2609="","",IF(IFERROR(INDEX(ctaMoneda,MATCH(AC2609,ctaNombre,0))&amp;"","DOP")="USD",T2609,S2609))</f>
        <v/>
      </c>
      <c r="AH2609" s="53">
        <f>IF(P2609="","",IF(AND(AD2609&lt;&gt;"",COUNTIFS(tcTipo,AD2609,tcLiq,"Sí")&gt;0),IF(OR(P2609="Gasto",P2609="Transferencia",P2609="Pago tarjeta"),-1,1)*S2609,0)+IF(AND(AE2609&lt;&gt;"",COUNTIFS(tcTipo,AE2609,tcLiq,"Sí")&gt;0),S2609,0))</f>
        <v/>
      </c>
      <c r="AI2609" s="52">
        <f>IF(OR(L2609="",P2609=""),"",IF(COUNTIFS(L$6:L2609,L2609,P$6:P2609,"?*")=1,MAX(AI$5:AI2608)+1,""))</f>
        <v/>
      </c>
    </row>
    <row r="2610">
      <c r="B2610" s="47" t="n"/>
      <c r="C2610" s="48" t="n"/>
      <c r="D2610" s="48" t="n"/>
      <c r="E2610" s="48" t="n"/>
      <c r="F2610" s="48" t="n"/>
      <c r="G2610" s="49" t="n"/>
      <c r="H2610" s="48" t="n"/>
      <c r="I2610" s="50" t="n"/>
      <c r="J2610" s="48" t="n"/>
      <c r="K2610" s="48" t="n"/>
      <c r="L2610" s="48" t="n"/>
      <c r="M2610" s="48" t="n"/>
      <c r="N2610" s="48" t="n"/>
      <c r="O2610" s="51">
        <f>IF(AND(B2610="",G2610="",C2610="",D2610="",J2610=""),"",IF(B2610="","⚠ Falta fecha",IF(G2610="","⚠ Falta monto",IF(Q2610="","⚠ Falta cuenta",IF(ISNA(MATCH(Q2610,ctaNombre,0)),"⚠ Cuenta no registrada",IF(AND(OR(P2610="Gasto",P2610="Reembolso"),D2610=""),"⚠ Falta categoría",IF(AND(D2610&lt;&gt;"",E2610&lt;&gt;"",ISNA(MATCH(D2610&amp;"|"&amp;E2610,catClave,0))),"⚠ Subcategoría no corresponde",IF(AND(OR(P2610="Transferencia",P2610="Pago tarjeta"),K2610=""),"⚠ Falta cuenta destino",IF(AND(K2610&lt;&gt;"",P2610&lt;&gt;"Transferencia",P2610&lt;&gt;"Pago tarjeta"),"⚠ Destino solo aplica a transferencias",IF(AND(K2610&lt;&gt;"",K2610=Q2610),"⚠ Origen igual a destino",IF(AND(K2610&lt;&gt;"",ISNA(MATCH(K2610,ctaNombre,0))),"⚠ Destino no registrado",IF(AND(P2610="Pago tarjeta",AE2610&lt;&gt;"Tarjeta de crédito"),"⚠ El destino debe ser tarjeta de crédito",IF(AND(P2610="Gasto",E2610="Depósitos y retiros"),"⚠ Usa tipo Transferencia",IF(AND(P2610="Resultado trading",AD2610&lt;&gt;"Cuenta de trading"),"⚠ Usa una cuenta de trading",IF(AND(G2610&lt;=0,P2610&lt;&gt;"Ajuste",P2610&lt;&gt;"Resultado trading"),"⚠ El monto debe ser positivo","✓")))))))))))))))</f>
        <v/>
      </c>
      <c r="P2610" s="52">
        <f>IF(OR(B2610="",G2610=""),"",IF(C2610="","Gasto",C2610))</f>
        <v/>
      </c>
      <c r="Q2610" s="52">
        <f>IF(P2610="","",IF(J2610&lt;&gt;"",J2610,CuentaPred&amp;""))</f>
        <v/>
      </c>
      <c r="R2610" s="52">
        <f>IF(P2610="","",IF(ISNUMBER(I2610),I2610,TasaUSD))</f>
        <v/>
      </c>
      <c r="S2610" s="53">
        <f>IF(P2610="","",IF(H2610="USD",G2610*R2610,G2610))</f>
        <v/>
      </c>
      <c r="T2610" s="53">
        <f>IF(P2610="","",IF(H2610="USD",G2610,IF(R2610&gt;0,G2610/R2610,0)))</f>
        <v/>
      </c>
      <c r="U2610" s="53">
        <f>IF(P2610="","",IF(P2610="Gasto",S2610,IF(P2610="Reembolso",-S2610,0)))</f>
        <v/>
      </c>
      <c r="V2610" s="53">
        <f>IF(P2610="","",IF(P2610="Ingreso",S2610,0))</f>
        <v/>
      </c>
      <c r="W2610" s="53">
        <f>IF(P2610="","",IF(P2610="Resultado trading",S2610,0))</f>
        <v/>
      </c>
      <c r="X2610" s="52">
        <f>IF(OR(P2610="Gasto",P2610="Reembolso"),IF(M2610&lt;&gt;"",M2610,IFERROR(INDEX(catClasif,MATCH(D2610&amp;"|"&amp;E2610,catClave,0))&amp;"","Variable")),"")</f>
        <v/>
      </c>
      <c r="Y2610" s="52">
        <f>IF(P2610="","",IFERROR(INDEX(catGrupo,MATCH(D2610&amp;"|"&amp;E2610,catClave,0))&amp;"",""))</f>
        <v/>
      </c>
      <c r="Z2610" s="52">
        <f>IF(P2610="","",WEEKDAY(B2610,2))</f>
        <v/>
      </c>
      <c r="AA2610" s="52">
        <f>IF(P2610="","",IF(AND(P2610="Gasto",X2610="Variable",D2610&lt;&gt;catTrading,S2610&gt;0,S2610&lt;=Umbral),1,0))</f>
        <v/>
      </c>
      <c r="AB2610" s="52">
        <f>IF(OR(P2610="",Q2610=""),"",IFERROR(IF(INDEX(ctaVinc,MATCH(Q2610,ctaNombre,0))&amp;""&lt;&gt;"",INDEX(ctaVinc,MATCH(Q2610,ctaNombre,0))&amp;"",Q2610),Q2610))</f>
        <v/>
      </c>
      <c r="AC2610" s="52">
        <f>IF(OR(K2610="",AND(P2610&lt;&gt;"Transferencia",P2610&lt;&gt;"Pago tarjeta")),"",IFERROR(IF(INDEX(ctaVinc,MATCH(K2610,ctaNombre,0))&amp;""&lt;&gt;"",INDEX(ctaVinc,MATCH(K2610,ctaNombre,0))&amp;"",K2610),K2610))</f>
        <v/>
      </c>
      <c r="AD2610" s="52">
        <f>IF(AB2610="","",IFERROR(INDEX(ctaTipo,MATCH(AB2610,ctaNombre,0))&amp;"",""))</f>
        <v/>
      </c>
      <c r="AE2610" s="52">
        <f>IF(AC2610="","",IFERROR(INDEX(ctaTipo,MATCH(AC2610,ctaNombre,0))&amp;"",""))</f>
        <v/>
      </c>
      <c r="AF2610" s="53">
        <f>IF(OR(P2610="",AB2610=""),"",IF(OR(P2610="Gasto",P2610="Transferencia",P2610="Pago tarjeta"),-1,1)*IF(IFERROR(INDEX(ctaMoneda,MATCH(AB2610,ctaNombre,0))&amp;"","DOP")="USD",T2610,S2610))</f>
        <v/>
      </c>
      <c r="AG2610" s="53">
        <f>IF(AC2610="","",IF(IFERROR(INDEX(ctaMoneda,MATCH(AC2610,ctaNombre,0))&amp;"","DOP")="USD",T2610,S2610))</f>
        <v/>
      </c>
      <c r="AH2610" s="53">
        <f>IF(P2610="","",IF(AND(AD2610&lt;&gt;"",COUNTIFS(tcTipo,AD2610,tcLiq,"Sí")&gt;0),IF(OR(P2610="Gasto",P2610="Transferencia",P2610="Pago tarjeta"),-1,1)*S2610,0)+IF(AND(AE2610&lt;&gt;"",COUNTIFS(tcTipo,AE2610,tcLiq,"Sí")&gt;0),S2610,0))</f>
        <v/>
      </c>
      <c r="AI2610" s="52">
        <f>IF(OR(L2610="",P2610=""),"",IF(COUNTIFS(L$6:L2610,L2610,P$6:P2610,"?*")=1,MAX(AI$5:AI2609)+1,""))</f>
        <v/>
      </c>
    </row>
    <row r="2611">
      <c r="B2611" s="47" t="n"/>
      <c r="C2611" s="48" t="n"/>
      <c r="D2611" s="48" t="n"/>
      <c r="E2611" s="48" t="n"/>
      <c r="F2611" s="48" t="n"/>
      <c r="G2611" s="49" t="n"/>
      <c r="H2611" s="48" t="n"/>
      <c r="I2611" s="50" t="n"/>
      <c r="J2611" s="48" t="n"/>
      <c r="K2611" s="48" t="n"/>
      <c r="L2611" s="48" t="n"/>
      <c r="M2611" s="48" t="n"/>
      <c r="N2611" s="48" t="n"/>
      <c r="O2611" s="51">
        <f>IF(AND(B2611="",G2611="",C2611="",D2611="",J2611=""),"",IF(B2611="","⚠ Falta fecha",IF(G2611="","⚠ Falta monto",IF(Q2611="","⚠ Falta cuenta",IF(ISNA(MATCH(Q2611,ctaNombre,0)),"⚠ Cuenta no registrada",IF(AND(OR(P2611="Gasto",P2611="Reembolso"),D2611=""),"⚠ Falta categoría",IF(AND(D2611&lt;&gt;"",E2611&lt;&gt;"",ISNA(MATCH(D2611&amp;"|"&amp;E2611,catClave,0))),"⚠ Subcategoría no corresponde",IF(AND(OR(P2611="Transferencia",P2611="Pago tarjeta"),K2611=""),"⚠ Falta cuenta destino",IF(AND(K2611&lt;&gt;"",P2611&lt;&gt;"Transferencia",P2611&lt;&gt;"Pago tarjeta"),"⚠ Destino solo aplica a transferencias",IF(AND(K2611&lt;&gt;"",K2611=Q2611),"⚠ Origen igual a destino",IF(AND(K2611&lt;&gt;"",ISNA(MATCH(K2611,ctaNombre,0))),"⚠ Destino no registrado",IF(AND(P2611="Pago tarjeta",AE2611&lt;&gt;"Tarjeta de crédito"),"⚠ El destino debe ser tarjeta de crédito",IF(AND(P2611="Gasto",E2611="Depósitos y retiros"),"⚠ Usa tipo Transferencia",IF(AND(P2611="Resultado trading",AD2611&lt;&gt;"Cuenta de trading"),"⚠ Usa una cuenta de trading",IF(AND(G2611&lt;=0,P2611&lt;&gt;"Ajuste",P2611&lt;&gt;"Resultado trading"),"⚠ El monto debe ser positivo","✓")))))))))))))))</f>
        <v/>
      </c>
      <c r="P2611" s="52">
        <f>IF(OR(B2611="",G2611=""),"",IF(C2611="","Gasto",C2611))</f>
        <v/>
      </c>
      <c r="Q2611" s="52">
        <f>IF(P2611="","",IF(J2611&lt;&gt;"",J2611,CuentaPred&amp;""))</f>
        <v/>
      </c>
      <c r="R2611" s="52">
        <f>IF(P2611="","",IF(ISNUMBER(I2611),I2611,TasaUSD))</f>
        <v/>
      </c>
      <c r="S2611" s="53">
        <f>IF(P2611="","",IF(H2611="USD",G2611*R2611,G2611))</f>
        <v/>
      </c>
      <c r="T2611" s="53">
        <f>IF(P2611="","",IF(H2611="USD",G2611,IF(R2611&gt;0,G2611/R2611,0)))</f>
        <v/>
      </c>
      <c r="U2611" s="53">
        <f>IF(P2611="","",IF(P2611="Gasto",S2611,IF(P2611="Reembolso",-S2611,0)))</f>
        <v/>
      </c>
      <c r="V2611" s="53">
        <f>IF(P2611="","",IF(P2611="Ingreso",S2611,0))</f>
        <v/>
      </c>
      <c r="W2611" s="53">
        <f>IF(P2611="","",IF(P2611="Resultado trading",S2611,0))</f>
        <v/>
      </c>
      <c r="X2611" s="52">
        <f>IF(OR(P2611="Gasto",P2611="Reembolso"),IF(M2611&lt;&gt;"",M2611,IFERROR(INDEX(catClasif,MATCH(D2611&amp;"|"&amp;E2611,catClave,0))&amp;"","Variable")),"")</f>
        <v/>
      </c>
      <c r="Y2611" s="52">
        <f>IF(P2611="","",IFERROR(INDEX(catGrupo,MATCH(D2611&amp;"|"&amp;E2611,catClave,0))&amp;"",""))</f>
        <v/>
      </c>
      <c r="Z2611" s="52">
        <f>IF(P2611="","",WEEKDAY(B2611,2))</f>
        <v/>
      </c>
      <c r="AA2611" s="52">
        <f>IF(P2611="","",IF(AND(P2611="Gasto",X2611="Variable",D2611&lt;&gt;catTrading,S2611&gt;0,S2611&lt;=Umbral),1,0))</f>
        <v/>
      </c>
      <c r="AB2611" s="52">
        <f>IF(OR(P2611="",Q2611=""),"",IFERROR(IF(INDEX(ctaVinc,MATCH(Q2611,ctaNombre,0))&amp;""&lt;&gt;"",INDEX(ctaVinc,MATCH(Q2611,ctaNombre,0))&amp;"",Q2611),Q2611))</f>
        <v/>
      </c>
      <c r="AC2611" s="52">
        <f>IF(OR(K2611="",AND(P2611&lt;&gt;"Transferencia",P2611&lt;&gt;"Pago tarjeta")),"",IFERROR(IF(INDEX(ctaVinc,MATCH(K2611,ctaNombre,0))&amp;""&lt;&gt;"",INDEX(ctaVinc,MATCH(K2611,ctaNombre,0))&amp;"",K2611),K2611))</f>
        <v/>
      </c>
      <c r="AD2611" s="52">
        <f>IF(AB2611="","",IFERROR(INDEX(ctaTipo,MATCH(AB2611,ctaNombre,0))&amp;"",""))</f>
        <v/>
      </c>
      <c r="AE2611" s="52">
        <f>IF(AC2611="","",IFERROR(INDEX(ctaTipo,MATCH(AC2611,ctaNombre,0))&amp;"",""))</f>
        <v/>
      </c>
      <c r="AF2611" s="53">
        <f>IF(OR(P2611="",AB2611=""),"",IF(OR(P2611="Gasto",P2611="Transferencia",P2611="Pago tarjeta"),-1,1)*IF(IFERROR(INDEX(ctaMoneda,MATCH(AB2611,ctaNombre,0))&amp;"","DOP")="USD",T2611,S2611))</f>
        <v/>
      </c>
      <c r="AG2611" s="53">
        <f>IF(AC2611="","",IF(IFERROR(INDEX(ctaMoneda,MATCH(AC2611,ctaNombre,0))&amp;"","DOP")="USD",T2611,S2611))</f>
        <v/>
      </c>
      <c r="AH2611" s="53">
        <f>IF(P2611="","",IF(AND(AD2611&lt;&gt;"",COUNTIFS(tcTipo,AD2611,tcLiq,"Sí")&gt;0),IF(OR(P2611="Gasto",P2611="Transferencia",P2611="Pago tarjeta"),-1,1)*S2611,0)+IF(AND(AE2611&lt;&gt;"",COUNTIFS(tcTipo,AE2611,tcLiq,"Sí")&gt;0),S2611,0))</f>
        <v/>
      </c>
      <c r="AI2611" s="52">
        <f>IF(OR(L2611="",P2611=""),"",IF(COUNTIFS(L$6:L2611,L2611,P$6:P2611,"?*")=1,MAX(AI$5:AI2610)+1,""))</f>
        <v/>
      </c>
    </row>
    <row r="2612">
      <c r="B2612" s="47" t="n"/>
      <c r="C2612" s="48" t="n"/>
      <c r="D2612" s="48" t="n"/>
      <c r="E2612" s="48" t="n"/>
      <c r="F2612" s="48" t="n"/>
      <c r="G2612" s="49" t="n"/>
      <c r="H2612" s="48" t="n"/>
      <c r="I2612" s="50" t="n"/>
      <c r="J2612" s="48" t="n"/>
      <c r="K2612" s="48" t="n"/>
      <c r="L2612" s="48" t="n"/>
      <c r="M2612" s="48" t="n"/>
      <c r="N2612" s="48" t="n"/>
      <c r="O2612" s="51">
        <f>IF(AND(B2612="",G2612="",C2612="",D2612="",J2612=""),"",IF(B2612="","⚠ Falta fecha",IF(G2612="","⚠ Falta monto",IF(Q2612="","⚠ Falta cuenta",IF(ISNA(MATCH(Q2612,ctaNombre,0)),"⚠ Cuenta no registrada",IF(AND(OR(P2612="Gasto",P2612="Reembolso"),D2612=""),"⚠ Falta categoría",IF(AND(D2612&lt;&gt;"",E2612&lt;&gt;"",ISNA(MATCH(D2612&amp;"|"&amp;E2612,catClave,0))),"⚠ Subcategoría no corresponde",IF(AND(OR(P2612="Transferencia",P2612="Pago tarjeta"),K2612=""),"⚠ Falta cuenta destino",IF(AND(K2612&lt;&gt;"",P2612&lt;&gt;"Transferencia",P2612&lt;&gt;"Pago tarjeta"),"⚠ Destino solo aplica a transferencias",IF(AND(K2612&lt;&gt;"",K2612=Q2612),"⚠ Origen igual a destino",IF(AND(K2612&lt;&gt;"",ISNA(MATCH(K2612,ctaNombre,0))),"⚠ Destino no registrado",IF(AND(P2612="Pago tarjeta",AE2612&lt;&gt;"Tarjeta de crédito"),"⚠ El destino debe ser tarjeta de crédito",IF(AND(P2612="Gasto",E2612="Depósitos y retiros"),"⚠ Usa tipo Transferencia",IF(AND(P2612="Resultado trading",AD2612&lt;&gt;"Cuenta de trading"),"⚠ Usa una cuenta de trading",IF(AND(G2612&lt;=0,P2612&lt;&gt;"Ajuste",P2612&lt;&gt;"Resultado trading"),"⚠ El monto debe ser positivo","✓")))))))))))))))</f>
        <v/>
      </c>
      <c r="P2612" s="52">
        <f>IF(OR(B2612="",G2612=""),"",IF(C2612="","Gasto",C2612))</f>
        <v/>
      </c>
      <c r="Q2612" s="52">
        <f>IF(P2612="","",IF(J2612&lt;&gt;"",J2612,CuentaPred&amp;""))</f>
        <v/>
      </c>
      <c r="R2612" s="52">
        <f>IF(P2612="","",IF(ISNUMBER(I2612),I2612,TasaUSD))</f>
        <v/>
      </c>
      <c r="S2612" s="53">
        <f>IF(P2612="","",IF(H2612="USD",G2612*R2612,G2612))</f>
        <v/>
      </c>
      <c r="T2612" s="53">
        <f>IF(P2612="","",IF(H2612="USD",G2612,IF(R2612&gt;0,G2612/R2612,0)))</f>
        <v/>
      </c>
      <c r="U2612" s="53">
        <f>IF(P2612="","",IF(P2612="Gasto",S2612,IF(P2612="Reembolso",-S2612,0)))</f>
        <v/>
      </c>
      <c r="V2612" s="53">
        <f>IF(P2612="","",IF(P2612="Ingreso",S2612,0))</f>
        <v/>
      </c>
      <c r="W2612" s="53">
        <f>IF(P2612="","",IF(P2612="Resultado trading",S2612,0))</f>
        <v/>
      </c>
      <c r="X2612" s="52">
        <f>IF(OR(P2612="Gasto",P2612="Reembolso"),IF(M2612&lt;&gt;"",M2612,IFERROR(INDEX(catClasif,MATCH(D2612&amp;"|"&amp;E2612,catClave,0))&amp;"","Variable")),"")</f>
        <v/>
      </c>
      <c r="Y2612" s="52">
        <f>IF(P2612="","",IFERROR(INDEX(catGrupo,MATCH(D2612&amp;"|"&amp;E2612,catClave,0))&amp;"",""))</f>
        <v/>
      </c>
      <c r="Z2612" s="52">
        <f>IF(P2612="","",WEEKDAY(B2612,2))</f>
        <v/>
      </c>
      <c r="AA2612" s="52">
        <f>IF(P2612="","",IF(AND(P2612="Gasto",X2612="Variable",D2612&lt;&gt;catTrading,S2612&gt;0,S2612&lt;=Umbral),1,0))</f>
        <v/>
      </c>
      <c r="AB2612" s="52">
        <f>IF(OR(P2612="",Q2612=""),"",IFERROR(IF(INDEX(ctaVinc,MATCH(Q2612,ctaNombre,0))&amp;""&lt;&gt;"",INDEX(ctaVinc,MATCH(Q2612,ctaNombre,0))&amp;"",Q2612),Q2612))</f>
        <v/>
      </c>
      <c r="AC2612" s="52">
        <f>IF(OR(K2612="",AND(P2612&lt;&gt;"Transferencia",P2612&lt;&gt;"Pago tarjeta")),"",IFERROR(IF(INDEX(ctaVinc,MATCH(K2612,ctaNombre,0))&amp;""&lt;&gt;"",INDEX(ctaVinc,MATCH(K2612,ctaNombre,0))&amp;"",K2612),K2612))</f>
        <v/>
      </c>
      <c r="AD2612" s="52">
        <f>IF(AB2612="","",IFERROR(INDEX(ctaTipo,MATCH(AB2612,ctaNombre,0))&amp;"",""))</f>
        <v/>
      </c>
      <c r="AE2612" s="52">
        <f>IF(AC2612="","",IFERROR(INDEX(ctaTipo,MATCH(AC2612,ctaNombre,0))&amp;"",""))</f>
        <v/>
      </c>
      <c r="AF2612" s="53">
        <f>IF(OR(P2612="",AB2612=""),"",IF(OR(P2612="Gasto",P2612="Transferencia",P2612="Pago tarjeta"),-1,1)*IF(IFERROR(INDEX(ctaMoneda,MATCH(AB2612,ctaNombre,0))&amp;"","DOP")="USD",T2612,S2612))</f>
        <v/>
      </c>
      <c r="AG2612" s="53">
        <f>IF(AC2612="","",IF(IFERROR(INDEX(ctaMoneda,MATCH(AC2612,ctaNombre,0))&amp;"","DOP")="USD",T2612,S2612))</f>
        <v/>
      </c>
      <c r="AH2612" s="53">
        <f>IF(P2612="","",IF(AND(AD2612&lt;&gt;"",COUNTIFS(tcTipo,AD2612,tcLiq,"Sí")&gt;0),IF(OR(P2612="Gasto",P2612="Transferencia",P2612="Pago tarjeta"),-1,1)*S2612,0)+IF(AND(AE2612&lt;&gt;"",COUNTIFS(tcTipo,AE2612,tcLiq,"Sí")&gt;0),S2612,0))</f>
        <v/>
      </c>
      <c r="AI2612" s="52">
        <f>IF(OR(L2612="",P2612=""),"",IF(COUNTIFS(L$6:L2612,L2612,P$6:P2612,"?*")=1,MAX(AI$5:AI2611)+1,""))</f>
        <v/>
      </c>
    </row>
    <row r="2613">
      <c r="B2613" s="47" t="n"/>
      <c r="C2613" s="48" t="n"/>
      <c r="D2613" s="48" t="n"/>
      <c r="E2613" s="48" t="n"/>
      <c r="F2613" s="48" t="n"/>
      <c r="G2613" s="49" t="n"/>
      <c r="H2613" s="48" t="n"/>
      <c r="I2613" s="50" t="n"/>
      <c r="J2613" s="48" t="n"/>
      <c r="K2613" s="48" t="n"/>
      <c r="L2613" s="48" t="n"/>
      <c r="M2613" s="48" t="n"/>
      <c r="N2613" s="48" t="n"/>
      <c r="O2613" s="51">
        <f>IF(AND(B2613="",G2613="",C2613="",D2613="",J2613=""),"",IF(B2613="","⚠ Falta fecha",IF(G2613="","⚠ Falta monto",IF(Q2613="","⚠ Falta cuenta",IF(ISNA(MATCH(Q2613,ctaNombre,0)),"⚠ Cuenta no registrada",IF(AND(OR(P2613="Gasto",P2613="Reembolso"),D2613=""),"⚠ Falta categoría",IF(AND(D2613&lt;&gt;"",E2613&lt;&gt;"",ISNA(MATCH(D2613&amp;"|"&amp;E2613,catClave,0))),"⚠ Subcategoría no corresponde",IF(AND(OR(P2613="Transferencia",P2613="Pago tarjeta"),K2613=""),"⚠ Falta cuenta destino",IF(AND(K2613&lt;&gt;"",P2613&lt;&gt;"Transferencia",P2613&lt;&gt;"Pago tarjeta"),"⚠ Destino solo aplica a transferencias",IF(AND(K2613&lt;&gt;"",K2613=Q2613),"⚠ Origen igual a destino",IF(AND(K2613&lt;&gt;"",ISNA(MATCH(K2613,ctaNombre,0))),"⚠ Destino no registrado",IF(AND(P2613="Pago tarjeta",AE2613&lt;&gt;"Tarjeta de crédito"),"⚠ El destino debe ser tarjeta de crédito",IF(AND(P2613="Gasto",E2613="Depósitos y retiros"),"⚠ Usa tipo Transferencia",IF(AND(P2613="Resultado trading",AD2613&lt;&gt;"Cuenta de trading"),"⚠ Usa una cuenta de trading",IF(AND(G2613&lt;=0,P2613&lt;&gt;"Ajuste",P2613&lt;&gt;"Resultado trading"),"⚠ El monto debe ser positivo","✓")))))))))))))))</f>
        <v/>
      </c>
      <c r="P2613" s="52">
        <f>IF(OR(B2613="",G2613=""),"",IF(C2613="","Gasto",C2613))</f>
        <v/>
      </c>
      <c r="Q2613" s="52">
        <f>IF(P2613="","",IF(J2613&lt;&gt;"",J2613,CuentaPred&amp;""))</f>
        <v/>
      </c>
      <c r="R2613" s="52">
        <f>IF(P2613="","",IF(ISNUMBER(I2613),I2613,TasaUSD))</f>
        <v/>
      </c>
      <c r="S2613" s="53">
        <f>IF(P2613="","",IF(H2613="USD",G2613*R2613,G2613))</f>
        <v/>
      </c>
      <c r="T2613" s="53">
        <f>IF(P2613="","",IF(H2613="USD",G2613,IF(R2613&gt;0,G2613/R2613,0)))</f>
        <v/>
      </c>
      <c r="U2613" s="53">
        <f>IF(P2613="","",IF(P2613="Gasto",S2613,IF(P2613="Reembolso",-S2613,0)))</f>
        <v/>
      </c>
      <c r="V2613" s="53">
        <f>IF(P2613="","",IF(P2613="Ingreso",S2613,0))</f>
        <v/>
      </c>
      <c r="W2613" s="53">
        <f>IF(P2613="","",IF(P2613="Resultado trading",S2613,0))</f>
        <v/>
      </c>
      <c r="X2613" s="52">
        <f>IF(OR(P2613="Gasto",P2613="Reembolso"),IF(M2613&lt;&gt;"",M2613,IFERROR(INDEX(catClasif,MATCH(D2613&amp;"|"&amp;E2613,catClave,0))&amp;"","Variable")),"")</f>
        <v/>
      </c>
      <c r="Y2613" s="52">
        <f>IF(P2613="","",IFERROR(INDEX(catGrupo,MATCH(D2613&amp;"|"&amp;E2613,catClave,0))&amp;"",""))</f>
        <v/>
      </c>
      <c r="Z2613" s="52">
        <f>IF(P2613="","",WEEKDAY(B2613,2))</f>
        <v/>
      </c>
      <c r="AA2613" s="52">
        <f>IF(P2613="","",IF(AND(P2613="Gasto",X2613="Variable",D2613&lt;&gt;catTrading,S2613&gt;0,S2613&lt;=Umbral),1,0))</f>
        <v/>
      </c>
      <c r="AB2613" s="52">
        <f>IF(OR(P2613="",Q2613=""),"",IFERROR(IF(INDEX(ctaVinc,MATCH(Q2613,ctaNombre,0))&amp;""&lt;&gt;"",INDEX(ctaVinc,MATCH(Q2613,ctaNombre,0))&amp;"",Q2613),Q2613))</f>
        <v/>
      </c>
      <c r="AC2613" s="52">
        <f>IF(OR(K2613="",AND(P2613&lt;&gt;"Transferencia",P2613&lt;&gt;"Pago tarjeta")),"",IFERROR(IF(INDEX(ctaVinc,MATCH(K2613,ctaNombre,0))&amp;""&lt;&gt;"",INDEX(ctaVinc,MATCH(K2613,ctaNombre,0))&amp;"",K2613),K2613))</f>
        <v/>
      </c>
      <c r="AD2613" s="52">
        <f>IF(AB2613="","",IFERROR(INDEX(ctaTipo,MATCH(AB2613,ctaNombre,0))&amp;"",""))</f>
        <v/>
      </c>
      <c r="AE2613" s="52">
        <f>IF(AC2613="","",IFERROR(INDEX(ctaTipo,MATCH(AC2613,ctaNombre,0))&amp;"",""))</f>
        <v/>
      </c>
      <c r="AF2613" s="53">
        <f>IF(OR(P2613="",AB2613=""),"",IF(OR(P2613="Gasto",P2613="Transferencia",P2613="Pago tarjeta"),-1,1)*IF(IFERROR(INDEX(ctaMoneda,MATCH(AB2613,ctaNombre,0))&amp;"","DOP")="USD",T2613,S2613))</f>
        <v/>
      </c>
      <c r="AG2613" s="53">
        <f>IF(AC2613="","",IF(IFERROR(INDEX(ctaMoneda,MATCH(AC2613,ctaNombre,0))&amp;"","DOP")="USD",T2613,S2613))</f>
        <v/>
      </c>
      <c r="AH2613" s="53">
        <f>IF(P2613="","",IF(AND(AD2613&lt;&gt;"",COUNTIFS(tcTipo,AD2613,tcLiq,"Sí")&gt;0),IF(OR(P2613="Gasto",P2613="Transferencia",P2613="Pago tarjeta"),-1,1)*S2613,0)+IF(AND(AE2613&lt;&gt;"",COUNTIFS(tcTipo,AE2613,tcLiq,"Sí")&gt;0),S2613,0))</f>
        <v/>
      </c>
      <c r="AI2613" s="52">
        <f>IF(OR(L2613="",P2613=""),"",IF(COUNTIFS(L$6:L2613,L2613,P$6:P2613,"?*")=1,MAX(AI$5:AI2612)+1,""))</f>
        <v/>
      </c>
    </row>
    <row r="2614">
      <c r="B2614" s="47" t="n"/>
      <c r="C2614" s="48" t="n"/>
      <c r="D2614" s="48" t="n"/>
      <c r="E2614" s="48" t="n"/>
      <c r="F2614" s="48" t="n"/>
      <c r="G2614" s="49" t="n"/>
      <c r="H2614" s="48" t="n"/>
      <c r="I2614" s="50" t="n"/>
      <c r="J2614" s="48" t="n"/>
      <c r="K2614" s="48" t="n"/>
      <c r="L2614" s="48" t="n"/>
      <c r="M2614" s="48" t="n"/>
      <c r="N2614" s="48" t="n"/>
      <c r="O2614" s="51">
        <f>IF(AND(B2614="",G2614="",C2614="",D2614="",J2614=""),"",IF(B2614="","⚠ Falta fecha",IF(G2614="","⚠ Falta monto",IF(Q2614="","⚠ Falta cuenta",IF(ISNA(MATCH(Q2614,ctaNombre,0)),"⚠ Cuenta no registrada",IF(AND(OR(P2614="Gasto",P2614="Reembolso"),D2614=""),"⚠ Falta categoría",IF(AND(D2614&lt;&gt;"",E2614&lt;&gt;"",ISNA(MATCH(D2614&amp;"|"&amp;E2614,catClave,0))),"⚠ Subcategoría no corresponde",IF(AND(OR(P2614="Transferencia",P2614="Pago tarjeta"),K2614=""),"⚠ Falta cuenta destino",IF(AND(K2614&lt;&gt;"",P2614&lt;&gt;"Transferencia",P2614&lt;&gt;"Pago tarjeta"),"⚠ Destino solo aplica a transferencias",IF(AND(K2614&lt;&gt;"",K2614=Q2614),"⚠ Origen igual a destino",IF(AND(K2614&lt;&gt;"",ISNA(MATCH(K2614,ctaNombre,0))),"⚠ Destino no registrado",IF(AND(P2614="Pago tarjeta",AE2614&lt;&gt;"Tarjeta de crédito"),"⚠ El destino debe ser tarjeta de crédito",IF(AND(P2614="Gasto",E2614="Depósitos y retiros"),"⚠ Usa tipo Transferencia",IF(AND(P2614="Resultado trading",AD2614&lt;&gt;"Cuenta de trading"),"⚠ Usa una cuenta de trading",IF(AND(G2614&lt;=0,P2614&lt;&gt;"Ajuste",P2614&lt;&gt;"Resultado trading"),"⚠ El monto debe ser positivo","✓")))))))))))))))</f>
        <v/>
      </c>
      <c r="P2614" s="52">
        <f>IF(OR(B2614="",G2614=""),"",IF(C2614="","Gasto",C2614))</f>
        <v/>
      </c>
      <c r="Q2614" s="52">
        <f>IF(P2614="","",IF(J2614&lt;&gt;"",J2614,CuentaPred&amp;""))</f>
        <v/>
      </c>
      <c r="R2614" s="52">
        <f>IF(P2614="","",IF(ISNUMBER(I2614),I2614,TasaUSD))</f>
        <v/>
      </c>
      <c r="S2614" s="53">
        <f>IF(P2614="","",IF(H2614="USD",G2614*R2614,G2614))</f>
        <v/>
      </c>
      <c r="T2614" s="53">
        <f>IF(P2614="","",IF(H2614="USD",G2614,IF(R2614&gt;0,G2614/R2614,0)))</f>
        <v/>
      </c>
      <c r="U2614" s="53">
        <f>IF(P2614="","",IF(P2614="Gasto",S2614,IF(P2614="Reembolso",-S2614,0)))</f>
        <v/>
      </c>
      <c r="V2614" s="53">
        <f>IF(P2614="","",IF(P2614="Ingreso",S2614,0))</f>
        <v/>
      </c>
      <c r="W2614" s="53">
        <f>IF(P2614="","",IF(P2614="Resultado trading",S2614,0))</f>
        <v/>
      </c>
      <c r="X2614" s="52">
        <f>IF(OR(P2614="Gasto",P2614="Reembolso"),IF(M2614&lt;&gt;"",M2614,IFERROR(INDEX(catClasif,MATCH(D2614&amp;"|"&amp;E2614,catClave,0))&amp;"","Variable")),"")</f>
        <v/>
      </c>
      <c r="Y2614" s="52">
        <f>IF(P2614="","",IFERROR(INDEX(catGrupo,MATCH(D2614&amp;"|"&amp;E2614,catClave,0))&amp;"",""))</f>
        <v/>
      </c>
      <c r="Z2614" s="52">
        <f>IF(P2614="","",WEEKDAY(B2614,2))</f>
        <v/>
      </c>
      <c r="AA2614" s="52">
        <f>IF(P2614="","",IF(AND(P2614="Gasto",X2614="Variable",D2614&lt;&gt;catTrading,S2614&gt;0,S2614&lt;=Umbral),1,0))</f>
        <v/>
      </c>
      <c r="AB2614" s="52">
        <f>IF(OR(P2614="",Q2614=""),"",IFERROR(IF(INDEX(ctaVinc,MATCH(Q2614,ctaNombre,0))&amp;""&lt;&gt;"",INDEX(ctaVinc,MATCH(Q2614,ctaNombre,0))&amp;"",Q2614),Q2614))</f>
        <v/>
      </c>
      <c r="AC2614" s="52">
        <f>IF(OR(K2614="",AND(P2614&lt;&gt;"Transferencia",P2614&lt;&gt;"Pago tarjeta")),"",IFERROR(IF(INDEX(ctaVinc,MATCH(K2614,ctaNombre,0))&amp;""&lt;&gt;"",INDEX(ctaVinc,MATCH(K2614,ctaNombre,0))&amp;"",K2614),K2614))</f>
        <v/>
      </c>
      <c r="AD2614" s="52">
        <f>IF(AB2614="","",IFERROR(INDEX(ctaTipo,MATCH(AB2614,ctaNombre,0))&amp;"",""))</f>
        <v/>
      </c>
      <c r="AE2614" s="52">
        <f>IF(AC2614="","",IFERROR(INDEX(ctaTipo,MATCH(AC2614,ctaNombre,0))&amp;"",""))</f>
        <v/>
      </c>
      <c r="AF2614" s="53">
        <f>IF(OR(P2614="",AB2614=""),"",IF(OR(P2614="Gasto",P2614="Transferencia",P2614="Pago tarjeta"),-1,1)*IF(IFERROR(INDEX(ctaMoneda,MATCH(AB2614,ctaNombre,0))&amp;"","DOP")="USD",T2614,S2614))</f>
        <v/>
      </c>
      <c r="AG2614" s="53">
        <f>IF(AC2614="","",IF(IFERROR(INDEX(ctaMoneda,MATCH(AC2614,ctaNombre,0))&amp;"","DOP")="USD",T2614,S2614))</f>
        <v/>
      </c>
      <c r="AH2614" s="53">
        <f>IF(P2614="","",IF(AND(AD2614&lt;&gt;"",COUNTIFS(tcTipo,AD2614,tcLiq,"Sí")&gt;0),IF(OR(P2614="Gasto",P2614="Transferencia",P2614="Pago tarjeta"),-1,1)*S2614,0)+IF(AND(AE2614&lt;&gt;"",COUNTIFS(tcTipo,AE2614,tcLiq,"Sí")&gt;0),S2614,0))</f>
        <v/>
      </c>
      <c r="AI2614" s="52">
        <f>IF(OR(L2614="",P2614=""),"",IF(COUNTIFS(L$6:L2614,L2614,P$6:P2614,"?*")=1,MAX(AI$5:AI2613)+1,""))</f>
        <v/>
      </c>
    </row>
    <row r="2615">
      <c r="B2615" s="47" t="n"/>
      <c r="C2615" s="48" t="n"/>
      <c r="D2615" s="48" t="n"/>
      <c r="E2615" s="48" t="n"/>
      <c r="F2615" s="48" t="n"/>
      <c r="G2615" s="49" t="n"/>
      <c r="H2615" s="48" t="n"/>
      <c r="I2615" s="50" t="n"/>
      <c r="J2615" s="48" t="n"/>
      <c r="K2615" s="48" t="n"/>
      <c r="L2615" s="48" t="n"/>
      <c r="M2615" s="48" t="n"/>
      <c r="N2615" s="48" t="n"/>
      <c r="O2615" s="51">
        <f>IF(AND(B2615="",G2615="",C2615="",D2615="",J2615=""),"",IF(B2615="","⚠ Falta fecha",IF(G2615="","⚠ Falta monto",IF(Q2615="","⚠ Falta cuenta",IF(ISNA(MATCH(Q2615,ctaNombre,0)),"⚠ Cuenta no registrada",IF(AND(OR(P2615="Gasto",P2615="Reembolso"),D2615=""),"⚠ Falta categoría",IF(AND(D2615&lt;&gt;"",E2615&lt;&gt;"",ISNA(MATCH(D2615&amp;"|"&amp;E2615,catClave,0))),"⚠ Subcategoría no corresponde",IF(AND(OR(P2615="Transferencia",P2615="Pago tarjeta"),K2615=""),"⚠ Falta cuenta destino",IF(AND(K2615&lt;&gt;"",P2615&lt;&gt;"Transferencia",P2615&lt;&gt;"Pago tarjeta"),"⚠ Destino solo aplica a transferencias",IF(AND(K2615&lt;&gt;"",K2615=Q2615),"⚠ Origen igual a destino",IF(AND(K2615&lt;&gt;"",ISNA(MATCH(K2615,ctaNombre,0))),"⚠ Destino no registrado",IF(AND(P2615="Pago tarjeta",AE2615&lt;&gt;"Tarjeta de crédito"),"⚠ El destino debe ser tarjeta de crédito",IF(AND(P2615="Gasto",E2615="Depósitos y retiros"),"⚠ Usa tipo Transferencia",IF(AND(P2615="Resultado trading",AD2615&lt;&gt;"Cuenta de trading"),"⚠ Usa una cuenta de trading",IF(AND(G2615&lt;=0,P2615&lt;&gt;"Ajuste",P2615&lt;&gt;"Resultado trading"),"⚠ El monto debe ser positivo","✓")))))))))))))))</f>
        <v/>
      </c>
      <c r="P2615" s="52">
        <f>IF(OR(B2615="",G2615=""),"",IF(C2615="","Gasto",C2615))</f>
        <v/>
      </c>
      <c r="Q2615" s="52">
        <f>IF(P2615="","",IF(J2615&lt;&gt;"",J2615,CuentaPred&amp;""))</f>
        <v/>
      </c>
      <c r="R2615" s="52">
        <f>IF(P2615="","",IF(ISNUMBER(I2615),I2615,TasaUSD))</f>
        <v/>
      </c>
      <c r="S2615" s="53">
        <f>IF(P2615="","",IF(H2615="USD",G2615*R2615,G2615))</f>
        <v/>
      </c>
      <c r="T2615" s="53">
        <f>IF(P2615="","",IF(H2615="USD",G2615,IF(R2615&gt;0,G2615/R2615,0)))</f>
        <v/>
      </c>
      <c r="U2615" s="53">
        <f>IF(P2615="","",IF(P2615="Gasto",S2615,IF(P2615="Reembolso",-S2615,0)))</f>
        <v/>
      </c>
      <c r="V2615" s="53">
        <f>IF(P2615="","",IF(P2615="Ingreso",S2615,0))</f>
        <v/>
      </c>
      <c r="W2615" s="53">
        <f>IF(P2615="","",IF(P2615="Resultado trading",S2615,0))</f>
        <v/>
      </c>
      <c r="X2615" s="52">
        <f>IF(OR(P2615="Gasto",P2615="Reembolso"),IF(M2615&lt;&gt;"",M2615,IFERROR(INDEX(catClasif,MATCH(D2615&amp;"|"&amp;E2615,catClave,0))&amp;"","Variable")),"")</f>
        <v/>
      </c>
      <c r="Y2615" s="52">
        <f>IF(P2615="","",IFERROR(INDEX(catGrupo,MATCH(D2615&amp;"|"&amp;E2615,catClave,0))&amp;"",""))</f>
        <v/>
      </c>
      <c r="Z2615" s="52">
        <f>IF(P2615="","",WEEKDAY(B2615,2))</f>
        <v/>
      </c>
      <c r="AA2615" s="52">
        <f>IF(P2615="","",IF(AND(P2615="Gasto",X2615="Variable",D2615&lt;&gt;catTrading,S2615&gt;0,S2615&lt;=Umbral),1,0))</f>
        <v/>
      </c>
      <c r="AB2615" s="52">
        <f>IF(OR(P2615="",Q2615=""),"",IFERROR(IF(INDEX(ctaVinc,MATCH(Q2615,ctaNombre,0))&amp;""&lt;&gt;"",INDEX(ctaVinc,MATCH(Q2615,ctaNombre,0))&amp;"",Q2615),Q2615))</f>
        <v/>
      </c>
      <c r="AC2615" s="52">
        <f>IF(OR(K2615="",AND(P2615&lt;&gt;"Transferencia",P2615&lt;&gt;"Pago tarjeta")),"",IFERROR(IF(INDEX(ctaVinc,MATCH(K2615,ctaNombre,0))&amp;""&lt;&gt;"",INDEX(ctaVinc,MATCH(K2615,ctaNombre,0))&amp;"",K2615),K2615))</f>
        <v/>
      </c>
      <c r="AD2615" s="52">
        <f>IF(AB2615="","",IFERROR(INDEX(ctaTipo,MATCH(AB2615,ctaNombre,0))&amp;"",""))</f>
        <v/>
      </c>
      <c r="AE2615" s="52">
        <f>IF(AC2615="","",IFERROR(INDEX(ctaTipo,MATCH(AC2615,ctaNombre,0))&amp;"",""))</f>
        <v/>
      </c>
      <c r="AF2615" s="53">
        <f>IF(OR(P2615="",AB2615=""),"",IF(OR(P2615="Gasto",P2615="Transferencia",P2615="Pago tarjeta"),-1,1)*IF(IFERROR(INDEX(ctaMoneda,MATCH(AB2615,ctaNombre,0))&amp;"","DOP")="USD",T2615,S2615))</f>
        <v/>
      </c>
      <c r="AG2615" s="53">
        <f>IF(AC2615="","",IF(IFERROR(INDEX(ctaMoneda,MATCH(AC2615,ctaNombre,0))&amp;"","DOP")="USD",T2615,S2615))</f>
        <v/>
      </c>
      <c r="AH2615" s="53">
        <f>IF(P2615="","",IF(AND(AD2615&lt;&gt;"",COUNTIFS(tcTipo,AD2615,tcLiq,"Sí")&gt;0),IF(OR(P2615="Gasto",P2615="Transferencia",P2615="Pago tarjeta"),-1,1)*S2615,0)+IF(AND(AE2615&lt;&gt;"",COUNTIFS(tcTipo,AE2615,tcLiq,"Sí")&gt;0),S2615,0))</f>
        <v/>
      </c>
      <c r="AI2615" s="52">
        <f>IF(OR(L2615="",P2615=""),"",IF(COUNTIFS(L$6:L2615,L2615,P$6:P2615,"?*")=1,MAX(AI$5:AI2614)+1,""))</f>
        <v/>
      </c>
    </row>
    <row r="2616">
      <c r="B2616" s="47" t="n"/>
      <c r="C2616" s="48" t="n"/>
      <c r="D2616" s="48" t="n"/>
      <c r="E2616" s="48" t="n"/>
      <c r="F2616" s="48" t="n"/>
      <c r="G2616" s="49" t="n"/>
      <c r="H2616" s="48" t="n"/>
      <c r="I2616" s="50" t="n"/>
      <c r="J2616" s="48" t="n"/>
      <c r="K2616" s="48" t="n"/>
      <c r="L2616" s="48" t="n"/>
      <c r="M2616" s="48" t="n"/>
      <c r="N2616" s="48" t="n"/>
      <c r="O2616" s="51">
        <f>IF(AND(B2616="",G2616="",C2616="",D2616="",J2616=""),"",IF(B2616="","⚠ Falta fecha",IF(G2616="","⚠ Falta monto",IF(Q2616="","⚠ Falta cuenta",IF(ISNA(MATCH(Q2616,ctaNombre,0)),"⚠ Cuenta no registrada",IF(AND(OR(P2616="Gasto",P2616="Reembolso"),D2616=""),"⚠ Falta categoría",IF(AND(D2616&lt;&gt;"",E2616&lt;&gt;"",ISNA(MATCH(D2616&amp;"|"&amp;E2616,catClave,0))),"⚠ Subcategoría no corresponde",IF(AND(OR(P2616="Transferencia",P2616="Pago tarjeta"),K2616=""),"⚠ Falta cuenta destino",IF(AND(K2616&lt;&gt;"",P2616&lt;&gt;"Transferencia",P2616&lt;&gt;"Pago tarjeta"),"⚠ Destino solo aplica a transferencias",IF(AND(K2616&lt;&gt;"",K2616=Q2616),"⚠ Origen igual a destino",IF(AND(K2616&lt;&gt;"",ISNA(MATCH(K2616,ctaNombre,0))),"⚠ Destino no registrado",IF(AND(P2616="Pago tarjeta",AE2616&lt;&gt;"Tarjeta de crédito"),"⚠ El destino debe ser tarjeta de crédito",IF(AND(P2616="Gasto",E2616="Depósitos y retiros"),"⚠ Usa tipo Transferencia",IF(AND(P2616="Resultado trading",AD2616&lt;&gt;"Cuenta de trading"),"⚠ Usa una cuenta de trading",IF(AND(G2616&lt;=0,P2616&lt;&gt;"Ajuste",P2616&lt;&gt;"Resultado trading"),"⚠ El monto debe ser positivo","✓")))))))))))))))</f>
        <v/>
      </c>
      <c r="P2616" s="52">
        <f>IF(OR(B2616="",G2616=""),"",IF(C2616="","Gasto",C2616))</f>
        <v/>
      </c>
      <c r="Q2616" s="52">
        <f>IF(P2616="","",IF(J2616&lt;&gt;"",J2616,CuentaPred&amp;""))</f>
        <v/>
      </c>
      <c r="R2616" s="52">
        <f>IF(P2616="","",IF(ISNUMBER(I2616),I2616,TasaUSD))</f>
        <v/>
      </c>
      <c r="S2616" s="53">
        <f>IF(P2616="","",IF(H2616="USD",G2616*R2616,G2616))</f>
        <v/>
      </c>
      <c r="T2616" s="53">
        <f>IF(P2616="","",IF(H2616="USD",G2616,IF(R2616&gt;0,G2616/R2616,0)))</f>
        <v/>
      </c>
      <c r="U2616" s="53">
        <f>IF(P2616="","",IF(P2616="Gasto",S2616,IF(P2616="Reembolso",-S2616,0)))</f>
        <v/>
      </c>
      <c r="V2616" s="53">
        <f>IF(P2616="","",IF(P2616="Ingreso",S2616,0))</f>
        <v/>
      </c>
      <c r="W2616" s="53">
        <f>IF(P2616="","",IF(P2616="Resultado trading",S2616,0))</f>
        <v/>
      </c>
      <c r="X2616" s="52">
        <f>IF(OR(P2616="Gasto",P2616="Reembolso"),IF(M2616&lt;&gt;"",M2616,IFERROR(INDEX(catClasif,MATCH(D2616&amp;"|"&amp;E2616,catClave,0))&amp;"","Variable")),"")</f>
        <v/>
      </c>
      <c r="Y2616" s="52">
        <f>IF(P2616="","",IFERROR(INDEX(catGrupo,MATCH(D2616&amp;"|"&amp;E2616,catClave,0))&amp;"",""))</f>
        <v/>
      </c>
      <c r="Z2616" s="52">
        <f>IF(P2616="","",WEEKDAY(B2616,2))</f>
        <v/>
      </c>
      <c r="AA2616" s="52">
        <f>IF(P2616="","",IF(AND(P2616="Gasto",X2616="Variable",D2616&lt;&gt;catTrading,S2616&gt;0,S2616&lt;=Umbral),1,0))</f>
        <v/>
      </c>
      <c r="AB2616" s="52">
        <f>IF(OR(P2616="",Q2616=""),"",IFERROR(IF(INDEX(ctaVinc,MATCH(Q2616,ctaNombre,0))&amp;""&lt;&gt;"",INDEX(ctaVinc,MATCH(Q2616,ctaNombre,0))&amp;"",Q2616),Q2616))</f>
        <v/>
      </c>
      <c r="AC2616" s="52">
        <f>IF(OR(K2616="",AND(P2616&lt;&gt;"Transferencia",P2616&lt;&gt;"Pago tarjeta")),"",IFERROR(IF(INDEX(ctaVinc,MATCH(K2616,ctaNombre,0))&amp;""&lt;&gt;"",INDEX(ctaVinc,MATCH(K2616,ctaNombre,0))&amp;"",K2616),K2616))</f>
        <v/>
      </c>
      <c r="AD2616" s="52">
        <f>IF(AB2616="","",IFERROR(INDEX(ctaTipo,MATCH(AB2616,ctaNombre,0))&amp;"",""))</f>
        <v/>
      </c>
      <c r="AE2616" s="52">
        <f>IF(AC2616="","",IFERROR(INDEX(ctaTipo,MATCH(AC2616,ctaNombre,0))&amp;"",""))</f>
        <v/>
      </c>
      <c r="AF2616" s="53">
        <f>IF(OR(P2616="",AB2616=""),"",IF(OR(P2616="Gasto",P2616="Transferencia",P2616="Pago tarjeta"),-1,1)*IF(IFERROR(INDEX(ctaMoneda,MATCH(AB2616,ctaNombre,0))&amp;"","DOP")="USD",T2616,S2616))</f>
        <v/>
      </c>
      <c r="AG2616" s="53">
        <f>IF(AC2616="","",IF(IFERROR(INDEX(ctaMoneda,MATCH(AC2616,ctaNombre,0))&amp;"","DOP")="USD",T2616,S2616))</f>
        <v/>
      </c>
      <c r="AH2616" s="53">
        <f>IF(P2616="","",IF(AND(AD2616&lt;&gt;"",COUNTIFS(tcTipo,AD2616,tcLiq,"Sí")&gt;0),IF(OR(P2616="Gasto",P2616="Transferencia",P2616="Pago tarjeta"),-1,1)*S2616,0)+IF(AND(AE2616&lt;&gt;"",COUNTIFS(tcTipo,AE2616,tcLiq,"Sí")&gt;0),S2616,0))</f>
        <v/>
      </c>
      <c r="AI2616" s="52">
        <f>IF(OR(L2616="",P2616=""),"",IF(COUNTIFS(L$6:L2616,L2616,P$6:P2616,"?*")=1,MAX(AI$5:AI2615)+1,""))</f>
        <v/>
      </c>
    </row>
    <row r="2617">
      <c r="B2617" s="47" t="n"/>
      <c r="C2617" s="48" t="n"/>
      <c r="D2617" s="48" t="n"/>
      <c r="E2617" s="48" t="n"/>
      <c r="F2617" s="48" t="n"/>
      <c r="G2617" s="49" t="n"/>
      <c r="H2617" s="48" t="n"/>
      <c r="I2617" s="50" t="n"/>
      <c r="J2617" s="48" t="n"/>
      <c r="K2617" s="48" t="n"/>
      <c r="L2617" s="48" t="n"/>
      <c r="M2617" s="48" t="n"/>
      <c r="N2617" s="48" t="n"/>
      <c r="O2617" s="51">
        <f>IF(AND(B2617="",G2617="",C2617="",D2617="",J2617=""),"",IF(B2617="","⚠ Falta fecha",IF(G2617="","⚠ Falta monto",IF(Q2617="","⚠ Falta cuenta",IF(ISNA(MATCH(Q2617,ctaNombre,0)),"⚠ Cuenta no registrada",IF(AND(OR(P2617="Gasto",P2617="Reembolso"),D2617=""),"⚠ Falta categoría",IF(AND(D2617&lt;&gt;"",E2617&lt;&gt;"",ISNA(MATCH(D2617&amp;"|"&amp;E2617,catClave,0))),"⚠ Subcategoría no corresponde",IF(AND(OR(P2617="Transferencia",P2617="Pago tarjeta"),K2617=""),"⚠ Falta cuenta destino",IF(AND(K2617&lt;&gt;"",P2617&lt;&gt;"Transferencia",P2617&lt;&gt;"Pago tarjeta"),"⚠ Destino solo aplica a transferencias",IF(AND(K2617&lt;&gt;"",K2617=Q2617),"⚠ Origen igual a destino",IF(AND(K2617&lt;&gt;"",ISNA(MATCH(K2617,ctaNombre,0))),"⚠ Destino no registrado",IF(AND(P2617="Pago tarjeta",AE2617&lt;&gt;"Tarjeta de crédito"),"⚠ El destino debe ser tarjeta de crédito",IF(AND(P2617="Gasto",E2617="Depósitos y retiros"),"⚠ Usa tipo Transferencia",IF(AND(P2617="Resultado trading",AD2617&lt;&gt;"Cuenta de trading"),"⚠ Usa una cuenta de trading",IF(AND(G2617&lt;=0,P2617&lt;&gt;"Ajuste",P2617&lt;&gt;"Resultado trading"),"⚠ El monto debe ser positivo","✓")))))))))))))))</f>
        <v/>
      </c>
      <c r="P2617" s="52">
        <f>IF(OR(B2617="",G2617=""),"",IF(C2617="","Gasto",C2617))</f>
        <v/>
      </c>
      <c r="Q2617" s="52">
        <f>IF(P2617="","",IF(J2617&lt;&gt;"",J2617,CuentaPred&amp;""))</f>
        <v/>
      </c>
      <c r="R2617" s="52">
        <f>IF(P2617="","",IF(ISNUMBER(I2617),I2617,TasaUSD))</f>
        <v/>
      </c>
      <c r="S2617" s="53">
        <f>IF(P2617="","",IF(H2617="USD",G2617*R2617,G2617))</f>
        <v/>
      </c>
      <c r="T2617" s="53">
        <f>IF(P2617="","",IF(H2617="USD",G2617,IF(R2617&gt;0,G2617/R2617,0)))</f>
        <v/>
      </c>
      <c r="U2617" s="53">
        <f>IF(P2617="","",IF(P2617="Gasto",S2617,IF(P2617="Reembolso",-S2617,0)))</f>
        <v/>
      </c>
      <c r="V2617" s="53">
        <f>IF(P2617="","",IF(P2617="Ingreso",S2617,0))</f>
        <v/>
      </c>
      <c r="W2617" s="53">
        <f>IF(P2617="","",IF(P2617="Resultado trading",S2617,0))</f>
        <v/>
      </c>
      <c r="X2617" s="52">
        <f>IF(OR(P2617="Gasto",P2617="Reembolso"),IF(M2617&lt;&gt;"",M2617,IFERROR(INDEX(catClasif,MATCH(D2617&amp;"|"&amp;E2617,catClave,0))&amp;"","Variable")),"")</f>
        <v/>
      </c>
      <c r="Y2617" s="52">
        <f>IF(P2617="","",IFERROR(INDEX(catGrupo,MATCH(D2617&amp;"|"&amp;E2617,catClave,0))&amp;"",""))</f>
        <v/>
      </c>
      <c r="Z2617" s="52">
        <f>IF(P2617="","",WEEKDAY(B2617,2))</f>
        <v/>
      </c>
      <c r="AA2617" s="52">
        <f>IF(P2617="","",IF(AND(P2617="Gasto",X2617="Variable",D2617&lt;&gt;catTrading,S2617&gt;0,S2617&lt;=Umbral),1,0))</f>
        <v/>
      </c>
      <c r="AB2617" s="52">
        <f>IF(OR(P2617="",Q2617=""),"",IFERROR(IF(INDEX(ctaVinc,MATCH(Q2617,ctaNombre,0))&amp;""&lt;&gt;"",INDEX(ctaVinc,MATCH(Q2617,ctaNombre,0))&amp;"",Q2617),Q2617))</f>
        <v/>
      </c>
      <c r="AC2617" s="52">
        <f>IF(OR(K2617="",AND(P2617&lt;&gt;"Transferencia",P2617&lt;&gt;"Pago tarjeta")),"",IFERROR(IF(INDEX(ctaVinc,MATCH(K2617,ctaNombre,0))&amp;""&lt;&gt;"",INDEX(ctaVinc,MATCH(K2617,ctaNombre,0))&amp;"",K2617),K2617))</f>
        <v/>
      </c>
      <c r="AD2617" s="52">
        <f>IF(AB2617="","",IFERROR(INDEX(ctaTipo,MATCH(AB2617,ctaNombre,0))&amp;"",""))</f>
        <v/>
      </c>
      <c r="AE2617" s="52">
        <f>IF(AC2617="","",IFERROR(INDEX(ctaTipo,MATCH(AC2617,ctaNombre,0))&amp;"",""))</f>
        <v/>
      </c>
      <c r="AF2617" s="53">
        <f>IF(OR(P2617="",AB2617=""),"",IF(OR(P2617="Gasto",P2617="Transferencia",P2617="Pago tarjeta"),-1,1)*IF(IFERROR(INDEX(ctaMoneda,MATCH(AB2617,ctaNombre,0))&amp;"","DOP")="USD",T2617,S2617))</f>
        <v/>
      </c>
      <c r="AG2617" s="53">
        <f>IF(AC2617="","",IF(IFERROR(INDEX(ctaMoneda,MATCH(AC2617,ctaNombre,0))&amp;"","DOP")="USD",T2617,S2617))</f>
        <v/>
      </c>
      <c r="AH2617" s="53">
        <f>IF(P2617="","",IF(AND(AD2617&lt;&gt;"",COUNTIFS(tcTipo,AD2617,tcLiq,"Sí")&gt;0),IF(OR(P2617="Gasto",P2617="Transferencia",P2617="Pago tarjeta"),-1,1)*S2617,0)+IF(AND(AE2617&lt;&gt;"",COUNTIFS(tcTipo,AE2617,tcLiq,"Sí")&gt;0),S2617,0))</f>
        <v/>
      </c>
      <c r="AI2617" s="52">
        <f>IF(OR(L2617="",P2617=""),"",IF(COUNTIFS(L$6:L2617,L2617,P$6:P2617,"?*")=1,MAX(AI$5:AI2616)+1,""))</f>
        <v/>
      </c>
    </row>
    <row r="2618">
      <c r="B2618" s="47" t="n"/>
      <c r="C2618" s="48" t="n"/>
      <c r="D2618" s="48" t="n"/>
      <c r="E2618" s="48" t="n"/>
      <c r="F2618" s="48" t="n"/>
      <c r="G2618" s="49" t="n"/>
      <c r="H2618" s="48" t="n"/>
      <c r="I2618" s="50" t="n"/>
      <c r="J2618" s="48" t="n"/>
      <c r="K2618" s="48" t="n"/>
      <c r="L2618" s="48" t="n"/>
      <c r="M2618" s="48" t="n"/>
      <c r="N2618" s="48" t="n"/>
      <c r="O2618" s="51">
        <f>IF(AND(B2618="",G2618="",C2618="",D2618="",J2618=""),"",IF(B2618="","⚠ Falta fecha",IF(G2618="","⚠ Falta monto",IF(Q2618="","⚠ Falta cuenta",IF(ISNA(MATCH(Q2618,ctaNombre,0)),"⚠ Cuenta no registrada",IF(AND(OR(P2618="Gasto",P2618="Reembolso"),D2618=""),"⚠ Falta categoría",IF(AND(D2618&lt;&gt;"",E2618&lt;&gt;"",ISNA(MATCH(D2618&amp;"|"&amp;E2618,catClave,0))),"⚠ Subcategoría no corresponde",IF(AND(OR(P2618="Transferencia",P2618="Pago tarjeta"),K2618=""),"⚠ Falta cuenta destino",IF(AND(K2618&lt;&gt;"",P2618&lt;&gt;"Transferencia",P2618&lt;&gt;"Pago tarjeta"),"⚠ Destino solo aplica a transferencias",IF(AND(K2618&lt;&gt;"",K2618=Q2618),"⚠ Origen igual a destino",IF(AND(K2618&lt;&gt;"",ISNA(MATCH(K2618,ctaNombre,0))),"⚠ Destino no registrado",IF(AND(P2618="Pago tarjeta",AE2618&lt;&gt;"Tarjeta de crédito"),"⚠ El destino debe ser tarjeta de crédito",IF(AND(P2618="Gasto",E2618="Depósitos y retiros"),"⚠ Usa tipo Transferencia",IF(AND(P2618="Resultado trading",AD2618&lt;&gt;"Cuenta de trading"),"⚠ Usa una cuenta de trading",IF(AND(G2618&lt;=0,P2618&lt;&gt;"Ajuste",P2618&lt;&gt;"Resultado trading"),"⚠ El monto debe ser positivo","✓")))))))))))))))</f>
        <v/>
      </c>
      <c r="P2618" s="52">
        <f>IF(OR(B2618="",G2618=""),"",IF(C2618="","Gasto",C2618))</f>
        <v/>
      </c>
      <c r="Q2618" s="52">
        <f>IF(P2618="","",IF(J2618&lt;&gt;"",J2618,CuentaPred&amp;""))</f>
        <v/>
      </c>
      <c r="R2618" s="52">
        <f>IF(P2618="","",IF(ISNUMBER(I2618),I2618,TasaUSD))</f>
        <v/>
      </c>
      <c r="S2618" s="53">
        <f>IF(P2618="","",IF(H2618="USD",G2618*R2618,G2618))</f>
        <v/>
      </c>
      <c r="T2618" s="53">
        <f>IF(P2618="","",IF(H2618="USD",G2618,IF(R2618&gt;0,G2618/R2618,0)))</f>
        <v/>
      </c>
      <c r="U2618" s="53">
        <f>IF(P2618="","",IF(P2618="Gasto",S2618,IF(P2618="Reembolso",-S2618,0)))</f>
        <v/>
      </c>
      <c r="V2618" s="53">
        <f>IF(P2618="","",IF(P2618="Ingreso",S2618,0))</f>
        <v/>
      </c>
      <c r="W2618" s="53">
        <f>IF(P2618="","",IF(P2618="Resultado trading",S2618,0))</f>
        <v/>
      </c>
      <c r="X2618" s="52">
        <f>IF(OR(P2618="Gasto",P2618="Reembolso"),IF(M2618&lt;&gt;"",M2618,IFERROR(INDEX(catClasif,MATCH(D2618&amp;"|"&amp;E2618,catClave,0))&amp;"","Variable")),"")</f>
        <v/>
      </c>
      <c r="Y2618" s="52">
        <f>IF(P2618="","",IFERROR(INDEX(catGrupo,MATCH(D2618&amp;"|"&amp;E2618,catClave,0))&amp;"",""))</f>
        <v/>
      </c>
      <c r="Z2618" s="52">
        <f>IF(P2618="","",WEEKDAY(B2618,2))</f>
        <v/>
      </c>
      <c r="AA2618" s="52">
        <f>IF(P2618="","",IF(AND(P2618="Gasto",X2618="Variable",D2618&lt;&gt;catTrading,S2618&gt;0,S2618&lt;=Umbral),1,0))</f>
        <v/>
      </c>
      <c r="AB2618" s="52">
        <f>IF(OR(P2618="",Q2618=""),"",IFERROR(IF(INDEX(ctaVinc,MATCH(Q2618,ctaNombre,0))&amp;""&lt;&gt;"",INDEX(ctaVinc,MATCH(Q2618,ctaNombre,0))&amp;"",Q2618),Q2618))</f>
        <v/>
      </c>
      <c r="AC2618" s="52">
        <f>IF(OR(K2618="",AND(P2618&lt;&gt;"Transferencia",P2618&lt;&gt;"Pago tarjeta")),"",IFERROR(IF(INDEX(ctaVinc,MATCH(K2618,ctaNombre,0))&amp;""&lt;&gt;"",INDEX(ctaVinc,MATCH(K2618,ctaNombre,0))&amp;"",K2618),K2618))</f>
        <v/>
      </c>
      <c r="AD2618" s="52">
        <f>IF(AB2618="","",IFERROR(INDEX(ctaTipo,MATCH(AB2618,ctaNombre,0))&amp;"",""))</f>
        <v/>
      </c>
      <c r="AE2618" s="52">
        <f>IF(AC2618="","",IFERROR(INDEX(ctaTipo,MATCH(AC2618,ctaNombre,0))&amp;"",""))</f>
        <v/>
      </c>
      <c r="AF2618" s="53">
        <f>IF(OR(P2618="",AB2618=""),"",IF(OR(P2618="Gasto",P2618="Transferencia",P2618="Pago tarjeta"),-1,1)*IF(IFERROR(INDEX(ctaMoneda,MATCH(AB2618,ctaNombre,0))&amp;"","DOP")="USD",T2618,S2618))</f>
        <v/>
      </c>
      <c r="AG2618" s="53">
        <f>IF(AC2618="","",IF(IFERROR(INDEX(ctaMoneda,MATCH(AC2618,ctaNombre,0))&amp;"","DOP")="USD",T2618,S2618))</f>
        <v/>
      </c>
      <c r="AH2618" s="53">
        <f>IF(P2618="","",IF(AND(AD2618&lt;&gt;"",COUNTIFS(tcTipo,AD2618,tcLiq,"Sí")&gt;0),IF(OR(P2618="Gasto",P2618="Transferencia",P2618="Pago tarjeta"),-1,1)*S2618,0)+IF(AND(AE2618&lt;&gt;"",COUNTIFS(tcTipo,AE2618,tcLiq,"Sí")&gt;0),S2618,0))</f>
        <v/>
      </c>
      <c r="AI2618" s="52">
        <f>IF(OR(L2618="",P2618=""),"",IF(COUNTIFS(L$6:L2618,L2618,P$6:P2618,"?*")=1,MAX(AI$5:AI2617)+1,""))</f>
        <v/>
      </c>
    </row>
    <row r="2619">
      <c r="B2619" s="47" t="n"/>
      <c r="C2619" s="48" t="n"/>
      <c r="D2619" s="48" t="n"/>
      <c r="E2619" s="48" t="n"/>
      <c r="F2619" s="48" t="n"/>
      <c r="G2619" s="49" t="n"/>
      <c r="H2619" s="48" t="n"/>
      <c r="I2619" s="50" t="n"/>
      <c r="J2619" s="48" t="n"/>
      <c r="K2619" s="48" t="n"/>
      <c r="L2619" s="48" t="n"/>
      <c r="M2619" s="48" t="n"/>
      <c r="N2619" s="48" t="n"/>
      <c r="O2619" s="51">
        <f>IF(AND(B2619="",G2619="",C2619="",D2619="",J2619=""),"",IF(B2619="","⚠ Falta fecha",IF(G2619="","⚠ Falta monto",IF(Q2619="","⚠ Falta cuenta",IF(ISNA(MATCH(Q2619,ctaNombre,0)),"⚠ Cuenta no registrada",IF(AND(OR(P2619="Gasto",P2619="Reembolso"),D2619=""),"⚠ Falta categoría",IF(AND(D2619&lt;&gt;"",E2619&lt;&gt;"",ISNA(MATCH(D2619&amp;"|"&amp;E2619,catClave,0))),"⚠ Subcategoría no corresponde",IF(AND(OR(P2619="Transferencia",P2619="Pago tarjeta"),K2619=""),"⚠ Falta cuenta destino",IF(AND(K2619&lt;&gt;"",P2619&lt;&gt;"Transferencia",P2619&lt;&gt;"Pago tarjeta"),"⚠ Destino solo aplica a transferencias",IF(AND(K2619&lt;&gt;"",K2619=Q2619),"⚠ Origen igual a destino",IF(AND(K2619&lt;&gt;"",ISNA(MATCH(K2619,ctaNombre,0))),"⚠ Destino no registrado",IF(AND(P2619="Pago tarjeta",AE2619&lt;&gt;"Tarjeta de crédito"),"⚠ El destino debe ser tarjeta de crédito",IF(AND(P2619="Gasto",E2619="Depósitos y retiros"),"⚠ Usa tipo Transferencia",IF(AND(P2619="Resultado trading",AD2619&lt;&gt;"Cuenta de trading"),"⚠ Usa una cuenta de trading",IF(AND(G2619&lt;=0,P2619&lt;&gt;"Ajuste",P2619&lt;&gt;"Resultado trading"),"⚠ El monto debe ser positivo","✓")))))))))))))))</f>
        <v/>
      </c>
      <c r="P2619" s="52">
        <f>IF(OR(B2619="",G2619=""),"",IF(C2619="","Gasto",C2619))</f>
        <v/>
      </c>
      <c r="Q2619" s="52">
        <f>IF(P2619="","",IF(J2619&lt;&gt;"",J2619,CuentaPred&amp;""))</f>
        <v/>
      </c>
      <c r="R2619" s="52">
        <f>IF(P2619="","",IF(ISNUMBER(I2619),I2619,TasaUSD))</f>
        <v/>
      </c>
      <c r="S2619" s="53">
        <f>IF(P2619="","",IF(H2619="USD",G2619*R2619,G2619))</f>
        <v/>
      </c>
      <c r="T2619" s="53">
        <f>IF(P2619="","",IF(H2619="USD",G2619,IF(R2619&gt;0,G2619/R2619,0)))</f>
        <v/>
      </c>
      <c r="U2619" s="53">
        <f>IF(P2619="","",IF(P2619="Gasto",S2619,IF(P2619="Reembolso",-S2619,0)))</f>
        <v/>
      </c>
      <c r="V2619" s="53">
        <f>IF(P2619="","",IF(P2619="Ingreso",S2619,0))</f>
        <v/>
      </c>
      <c r="W2619" s="53">
        <f>IF(P2619="","",IF(P2619="Resultado trading",S2619,0))</f>
        <v/>
      </c>
      <c r="X2619" s="52">
        <f>IF(OR(P2619="Gasto",P2619="Reembolso"),IF(M2619&lt;&gt;"",M2619,IFERROR(INDEX(catClasif,MATCH(D2619&amp;"|"&amp;E2619,catClave,0))&amp;"","Variable")),"")</f>
        <v/>
      </c>
      <c r="Y2619" s="52">
        <f>IF(P2619="","",IFERROR(INDEX(catGrupo,MATCH(D2619&amp;"|"&amp;E2619,catClave,0))&amp;"",""))</f>
        <v/>
      </c>
      <c r="Z2619" s="52">
        <f>IF(P2619="","",WEEKDAY(B2619,2))</f>
        <v/>
      </c>
      <c r="AA2619" s="52">
        <f>IF(P2619="","",IF(AND(P2619="Gasto",X2619="Variable",D2619&lt;&gt;catTrading,S2619&gt;0,S2619&lt;=Umbral),1,0))</f>
        <v/>
      </c>
      <c r="AB2619" s="52">
        <f>IF(OR(P2619="",Q2619=""),"",IFERROR(IF(INDEX(ctaVinc,MATCH(Q2619,ctaNombre,0))&amp;""&lt;&gt;"",INDEX(ctaVinc,MATCH(Q2619,ctaNombre,0))&amp;"",Q2619),Q2619))</f>
        <v/>
      </c>
      <c r="AC2619" s="52">
        <f>IF(OR(K2619="",AND(P2619&lt;&gt;"Transferencia",P2619&lt;&gt;"Pago tarjeta")),"",IFERROR(IF(INDEX(ctaVinc,MATCH(K2619,ctaNombre,0))&amp;""&lt;&gt;"",INDEX(ctaVinc,MATCH(K2619,ctaNombre,0))&amp;"",K2619),K2619))</f>
        <v/>
      </c>
      <c r="AD2619" s="52">
        <f>IF(AB2619="","",IFERROR(INDEX(ctaTipo,MATCH(AB2619,ctaNombre,0))&amp;"",""))</f>
        <v/>
      </c>
      <c r="AE2619" s="52">
        <f>IF(AC2619="","",IFERROR(INDEX(ctaTipo,MATCH(AC2619,ctaNombre,0))&amp;"",""))</f>
        <v/>
      </c>
      <c r="AF2619" s="53">
        <f>IF(OR(P2619="",AB2619=""),"",IF(OR(P2619="Gasto",P2619="Transferencia",P2619="Pago tarjeta"),-1,1)*IF(IFERROR(INDEX(ctaMoneda,MATCH(AB2619,ctaNombre,0))&amp;"","DOP")="USD",T2619,S2619))</f>
        <v/>
      </c>
      <c r="AG2619" s="53">
        <f>IF(AC2619="","",IF(IFERROR(INDEX(ctaMoneda,MATCH(AC2619,ctaNombre,0))&amp;"","DOP")="USD",T2619,S2619))</f>
        <v/>
      </c>
      <c r="AH2619" s="53">
        <f>IF(P2619="","",IF(AND(AD2619&lt;&gt;"",COUNTIFS(tcTipo,AD2619,tcLiq,"Sí")&gt;0),IF(OR(P2619="Gasto",P2619="Transferencia",P2619="Pago tarjeta"),-1,1)*S2619,0)+IF(AND(AE2619&lt;&gt;"",COUNTIFS(tcTipo,AE2619,tcLiq,"Sí")&gt;0),S2619,0))</f>
        <v/>
      </c>
      <c r="AI2619" s="52">
        <f>IF(OR(L2619="",P2619=""),"",IF(COUNTIFS(L$6:L2619,L2619,P$6:P2619,"?*")=1,MAX(AI$5:AI2618)+1,""))</f>
        <v/>
      </c>
    </row>
    <row r="2620">
      <c r="B2620" s="47" t="n"/>
      <c r="C2620" s="48" t="n"/>
      <c r="D2620" s="48" t="n"/>
      <c r="E2620" s="48" t="n"/>
      <c r="F2620" s="48" t="n"/>
      <c r="G2620" s="49" t="n"/>
      <c r="H2620" s="48" t="n"/>
      <c r="I2620" s="50" t="n"/>
      <c r="J2620" s="48" t="n"/>
      <c r="K2620" s="48" t="n"/>
      <c r="L2620" s="48" t="n"/>
      <c r="M2620" s="48" t="n"/>
      <c r="N2620" s="48" t="n"/>
      <c r="O2620" s="51">
        <f>IF(AND(B2620="",G2620="",C2620="",D2620="",J2620=""),"",IF(B2620="","⚠ Falta fecha",IF(G2620="","⚠ Falta monto",IF(Q2620="","⚠ Falta cuenta",IF(ISNA(MATCH(Q2620,ctaNombre,0)),"⚠ Cuenta no registrada",IF(AND(OR(P2620="Gasto",P2620="Reembolso"),D2620=""),"⚠ Falta categoría",IF(AND(D2620&lt;&gt;"",E2620&lt;&gt;"",ISNA(MATCH(D2620&amp;"|"&amp;E2620,catClave,0))),"⚠ Subcategoría no corresponde",IF(AND(OR(P2620="Transferencia",P2620="Pago tarjeta"),K2620=""),"⚠ Falta cuenta destino",IF(AND(K2620&lt;&gt;"",P2620&lt;&gt;"Transferencia",P2620&lt;&gt;"Pago tarjeta"),"⚠ Destino solo aplica a transferencias",IF(AND(K2620&lt;&gt;"",K2620=Q2620),"⚠ Origen igual a destino",IF(AND(K2620&lt;&gt;"",ISNA(MATCH(K2620,ctaNombre,0))),"⚠ Destino no registrado",IF(AND(P2620="Pago tarjeta",AE2620&lt;&gt;"Tarjeta de crédito"),"⚠ El destino debe ser tarjeta de crédito",IF(AND(P2620="Gasto",E2620="Depósitos y retiros"),"⚠ Usa tipo Transferencia",IF(AND(P2620="Resultado trading",AD2620&lt;&gt;"Cuenta de trading"),"⚠ Usa una cuenta de trading",IF(AND(G2620&lt;=0,P2620&lt;&gt;"Ajuste",P2620&lt;&gt;"Resultado trading"),"⚠ El monto debe ser positivo","✓")))))))))))))))</f>
        <v/>
      </c>
      <c r="P2620" s="52">
        <f>IF(OR(B2620="",G2620=""),"",IF(C2620="","Gasto",C2620))</f>
        <v/>
      </c>
      <c r="Q2620" s="52">
        <f>IF(P2620="","",IF(J2620&lt;&gt;"",J2620,CuentaPred&amp;""))</f>
        <v/>
      </c>
      <c r="R2620" s="52">
        <f>IF(P2620="","",IF(ISNUMBER(I2620),I2620,TasaUSD))</f>
        <v/>
      </c>
      <c r="S2620" s="53">
        <f>IF(P2620="","",IF(H2620="USD",G2620*R2620,G2620))</f>
        <v/>
      </c>
      <c r="T2620" s="53">
        <f>IF(P2620="","",IF(H2620="USD",G2620,IF(R2620&gt;0,G2620/R2620,0)))</f>
        <v/>
      </c>
      <c r="U2620" s="53">
        <f>IF(P2620="","",IF(P2620="Gasto",S2620,IF(P2620="Reembolso",-S2620,0)))</f>
        <v/>
      </c>
      <c r="V2620" s="53">
        <f>IF(P2620="","",IF(P2620="Ingreso",S2620,0))</f>
        <v/>
      </c>
      <c r="W2620" s="53">
        <f>IF(P2620="","",IF(P2620="Resultado trading",S2620,0))</f>
        <v/>
      </c>
      <c r="X2620" s="52">
        <f>IF(OR(P2620="Gasto",P2620="Reembolso"),IF(M2620&lt;&gt;"",M2620,IFERROR(INDEX(catClasif,MATCH(D2620&amp;"|"&amp;E2620,catClave,0))&amp;"","Variable")),"")</f>
        <v/>
      </c>
      <c r="Y2620" s="52">
        <f>IF(P2620="","",IFERROR(INDEX(catGrupo,MATCH(D2620&amp;"|"&amp;E2620,catClave,0))&amp;"",""))</f>
        <v/>
      </c>
      <c r="Z2620" s="52">
        <f>IF(P2620="","",WEEKDAY(B2620,2))</f>
        <v/>
      </c>
      <c r="AA2620" s="52">
        <f>IF(P2620="","",IF(AND(P2620="Gasto",X2620="Variable",D2620&lt;&gt;catTrading,S2620&gt;0,S2620&lt;=Umbral),1,0))</f>
        <v/>
      </c>
      <c r="AB2620" s="52">
        <f>IF(OR(P2620="",Q2620=""),"",IFERROR(IF(INDEX(ctaVinc,MATCH(Q2620,ctaNombre,0))&amp;""&lt;&gt;"",INDEX(ctaVinc,MATCH(Q2620,ctaNombre,0))&amp;"",Q2620),Q2620))</f>
        <v/>
      </c>
      <c r="AC2620" s="52">
        <f>IF(OR(K2620="",AND(P2620&lt;&gt;"Transferencia",P2620&lt;&gt;"Pago tarjeta")),"",IFERROR(IF(INDEX(ctaVinc,MATCH(K2620,ctaNombre,0))&amp;""&lt;&gt;"",INDEX(ctaVinc,MATCH(K2620,ctaNombre,0))&amp;"",K2620),K2620))</f>
        <v/>
      </c>
      <c r="AD2620" s="52">
        <f>IF(AB2620="","",IFERROR(INDEX(ctaTipo,MATCH(AB2620,ctaNombre,0))&amp;"",""))</f>
        <v/>
      </c>
      <c r="AE2620" s="52">
        <f>IF(AC2620="","",IFERROR(INDEX(ctaTipo,MATCH(AC2620,ctaNombre,0))&amp;"",""))</f>
        <v/>
      </c>
      <c r="AF2620" s="53">
        <f>IF(OR(P2620="",AB2620=""),"",IF(OR(P2620="Gasto",P2620="Transferencia",P2620="Pago tarjeta"),-1,1)*IF(IFERROR(INDEX(ctaMoneda,MATCH(AB2620,ctaNombre,0))&amp;"","DOP")="USD",T2620,S2620))</f>
        <v/>
      </c>
      <c r="AG2620" s="53">
        <f>IF(AC2620="","",IF(IFERROR(INDEX(ctaMoneda,MATCH(AC2620,ctaNombre,0))&amp;"","DOP")="USD",T2620,S2620))</f>
        <v/>
      </c>
      <c r="AH2620" s="53">
        <f>IF(P2620="","",IF(AND(AD2620&lt;&gt;"",COUNTIFS(tcTipo,AD2620,tcLiq,"Sí")&gt;0),IF(OR(P2620="Gasto",P2620="Transferencia",P2620="Pago tarjeta"),-1,1)*S2620,0)+IF(AND(AE2620&lt;&gt;"",COUNTIFS(tcTipo,AE2620,tcLiq,"Sí")&gt;0),S2620,0))</f>
        <v/>
      </c>
      <c r="AI2620" s="52">
        <f>IF(OR(L2620="",P2620=""),"",IF(COUNTIFS(L$6:L2620,L2620,P$6:P2620,"?*")=1,MAX(AI$5:AI2619)+1,""))</f>
        <v/>
      </c>
    </row>
    <row r="2621">
      <c r="B2621" s="47" t="n"/>
      <c r="C2621" s="48" t="n"/>
      <c r="D2621" s="48" t="n"/>
      <c r="E2621" s="48" t="n"/>
      <c r="F2621" s="48" t="n"/>
      <c r="G2621" s="49" t="n"/>
      <c r="H2621" s="48" t="n"/>
      <c r="I2621" s="50" t="n"/>
      <c r="J2621" s="48" t="n"/>
      <c r="K2621" s="48" t="n"/>
      <c r="L2621" s="48" t="n"/>
      <c r="M2621" s="48" t="n"/>
      <c r="N2621" s="48" t="n"/>
      <c r="O2621" s="51">
        <f>IF(AND(B2621="",G2621="",C2621="",D2621="",J2621=""),"",IF(B2621="","⚠ Falta fecha",IF(G2621="","⚠ Falta monto",IF(Q2621="","⚠ Falta cuenta",IF(ISNA(MATCH(Q2621,ctaNombre,0)),"⚠ Cuenta no registrada",IF(AND(OR(P2621="Gasto",P2621="Reembolso"),D2621=""),"⚠ Falta categoría",IF(AND(D2621&lt;&gt;"",E2621&lt;&gt;"",ISNA(MATCH(D2621&amp;"|"&amp;E2621,catClave,0))),"⚠ Subcategoría no corresponde",IF(AND(OR(P2621="Transferencia",P2621="Pago tarjeta"),K2621=""),"⚠ Falta cuenta destino",IF(AND(K2621&lt;&gt;"",P2621&lt;&gt;"Transferencia",P2621&lt;&gt;"Pago tarjeta"),"⚠ Destino solo aplica a transferencias",IF(AND(K2621&lt;&gt;"",K2621=Q2621),"⚠ Origen igual a destino",IF(AND(K2621&lt;&gt;"",ISNA(MATCH(K2621,ctaNombre,0))),"⚠ Destino no registrado",IF(AND(P2621="Pago tarjeta",AE2621&lt;&gt;"Tarjeta de crédito"),"⚠ El destino debe ser tarjeta de crédito",IF(AND(P2621="Gasto",E2621="Depósitos y retiros"),"⚠ Usa tipo Transferencia",IF(AND(P2621="Resultado trading",AD2621&lt;&gt;"Cuenta de trading"),"⚠ Usa una cuenta de trading",IF(AND(G2621&lt;=0,P2621&lt;&gt;"Ajuste",P2621&lt;&gt;"Resultado trading"),"⚠ El monto debe ser positivo","✓")))))))))))))))</f>
        <v/>
      </c>
      <c r="P2621" s="52">
        <f>IF(OR(B2621="",G2621=""),"",IF(C2621="","Gasto",C2621))</f>
        <v/>
      </c>
      <c r="Q2621" s="52">
        <f>IF(P2621="","",IF(J2621&lt;&gt;"",J2621,CuentaPred&amp;""))</f>
        <v/>
      </c>
      <c r="R2621" s="52">
        <f>IF(P2621="","",IF(ISNUMBER(I2621),I2621,TasaUSD))</f>
        <v/>
      </c>
      <c r="S2621" s="53">
        <f>IF(P2621="","",IF(H2621="USD",G2621*R2621,G2621))</f>
        <v/>
      </c>
      <c r="T2621" s="53">
        <f>IF(P2621="","",IF(H2621="USD",G2621,IF(R2621&gt;0,G2621/R2621,0)))</f>
        <v/>
      </c>
      <c r="U2621" s="53">
        <f>IF(P2621="","",IF(P2621="Gasto",S2621,IF(P2621="Reembolso",-S2621,0)))</f>
        <v/>
      </c>
      <c r="V2621" s="53">
        <f>IF(P2621="","",IF(P2621="Ingreso",S2621,0))</f>
        <v/>
      </c>
      <c r="W2621" s="53">
        <f>IF(P2621="","",IF(P2621="Resultado trading",S2621,0))</f>
        <v/>
      </c>
      <c r="X2621" s="52">
        <f>IF(OR(P2621="Gasto",P2621="Reembolso"),IF(M2621&lt;&gt;"",M2621,IFERROR(INDEX(catClasif,MATCH(D2621&amp;"|"&amp;E2621,catClave,0))&amp;"","Variable")),"")</f>
        <v/>
      </c>
      <c r="Y2621" s="52">
        <f>IF(P2621="","",IFERROR(INDEX(catGrupo,MATCH(D2621&amp;"|"&amp;E2621,catClave,0))&amp;"",""))</f>
        <v/>
      </c>
      <c r="Z2621" s="52">
        <f>IF(P2621="","",WEEKDAY(B2621,2))</f>
        <v/>
      </c>
      <c r="AA2621" s="52">
        <f>IF(P2621="","",IF(AND(P2621="Gasto",X2621="Variable",D2621&lt;&gt;catTrading,S2621&gt;0,S2621&lt;=Umbral),1,0))</f>
        <v/>
      </c>
      <c r="AB2621" s="52">
        <f>IF(OR(P2621="",Q2621=""),"",IFERROR(IF(INDEX(ctaVinc,MATCH(Q2621,ctaNombre,0))&amp;""&lt;&gt;"",INDEX(ctaVinc,MATCH(Q2621,ctaNombre,0))&amp;"",Q2621),Q2621))</f>
        <v/>
      </c>
      <c r="AC2621" s="52">
        <f>IF(OR(K2621="",AND(P2621&lt;&gt;"Transferencia",P2621&lt;&gt;"Pago tarjeta")),"",IFERROR(IF(INDEX(ctaVinc,MATCH(K2621,ctaNombre,0))&amp;""&lt;&gt;"",INDEX(ctaVinc,MATCH(K2621,ctaNombre,0))&amp;"",K2621),K2621))</f>
        <v/>
      </c>
      <c r="AD2621" s="52">
        <f>IF(AB2621="","",IFERROR(INDEX(ctaTipo,MATCH(AB2621,ctaNombre,0))&amp;"",""))</f>
        <v/>
      </c>
      <c r="AE2621" s="52">
        <f>IF(AC2621="","",IFERROR(INDEX(ctaTipo,MATCH(AC2621,ctaNombre,0))&amp;"",""))</f>
        <v/>
      </c>
      <c r="AF2621" s="53">
        <f>IF(OR(P2621="",AB2621=""),"",IF(OR(P2621="Gasto",P2621="Transferencia",P2621="Pago tarjeta"),-1,1)*IF(IFERROR(INDEX(ctaMoneda,MATCH(AB2621,ctaNombre,0))&amp;"","DOP")="USD",T2621,S2621))</f>
        <v/>
      </c>
      <c r="AG2621" s="53">
        <f>IF(AC2621="","",IF(IFERROR(INDEX(ctaMoneda,MATCH(AC2621,ctaNombre,0))&amp;"","DOP")="USD",T2621,S2621))</f>
        <v/>
      </c>
      <c r="AH2621" s="53">
        <f>IF(P2621="","",IF(AND(AD2621&lt;&gt;"",COUNTIFS(tcTipo,AD2621,tcLiq,"Sí")&gt;0),IF(OR(P2621="Gasto",P2621="Transferencia",P2621="Pago tarjeta"),-1,1)*S2621,0)+IF(AND(AE2621&lt;&gt;"",COUNTIFS(tcTipo,AE2621,tcLiq,"Sí")&gt;0),S2621,0))</f>
        <v/>
      </c>
      <c r="AI2621" s="52">
        <f>IF(OR(L2621="",P2621=""),"",IF(COUNTIFS(L$6:L2621,L2621,P$6:P2621,"?*")=1,MAX(AI$5:AI2620)+1,""))</f>
        <v/>
      </c>
    </row>
    <row r="2622">
      <c r="B2622" s="47" t="n"/>
      <c r="C2622" s="48" t="n"/>
      <c r="D2622" s="48" t="n"/>
      <c r="E2622" s="48" t="n"/>
      <c r="F2622" s="48" t="n"/>
      <c r="G2622" s="49" t="n"/>
      <c r="H2622" s="48" t="n"/>
      <c r="I2622" s="50" t="n"/>
      <c r="J2622" s="48" t="n"/>
      <c r="K2622" s="48" t="n"/>
      <c r="L2622" s="48" t="n"/>
      <c r="M2622" s="48" t="n"/>
      <c r="N2622" s="48" t="n"/>
      <c r="O2622" s="51">
        <f>IF(AND(B2622="",G2622="",C2622="",D2622="",J2622=""),"",IF(B2622="","⚠ Falta fecha",IF(G2622="","⚠ Falta monto",IF(Q2622="","⚠ Falta cuenta",IF(ISNA(MATCH(Q2622,ctaNombre,0)),"⚠ Cuenta no registrada",IF(AND(OR(P2622="Gasto",P2622="Reembolso"),D2622=""),"⚠ Falta categoría",IF(AND(D2622&lt;&gt;"",E2622&lt;&gt;"",ISNA(MATCH(D2622&amp;"|"&amp;E2622,catClave,0))),"⚠ Subcategoría no corresponde",IF(AND(OR(P2622="Transferencia",P2622="Pago tarjeta"),K2622=""),"⚠ Falta cuenta destino",IF(AND(K2622&lt;&gt;"",P2622&lt;&gt;"Transferencia",P2622&lt;&gt;"Pago tarjeta"),"⚠ Destino solo aplica a transferencias",IF(AND(K2622&lt;&gt;"",K2622=Q2622),"⚠ Origen igual a destino",IF(AND(K2622&lt;&gt;"",ISNA(MATCH(K2622,ctaNombre,0))),"⚠ Destino no registrado",IF(AND(P2622="Pago tarjeta",AE2622&lt;&gt;"Tarjeta de crédito"),"⚠ El destino debe ser tarjeta de crédito",IF(AND(P2622="Gasto",E2622="Depósitos y retiros"),"⚠ Usa tipo Transferencia",IF(AND(P2622="Resultado trading",AD2622&lt;&gt;"Cuenta de trading"),"⚠ Usa una cuenta de trading",IF(AND(G2622&lt;=0,P2622&lt;&gt;"Ajuste",P2622&lt;&gt;"Resultado trading"),"⚠ El monto debe ser positivo","✓")))))))))))))))</f>
        <v/>
      </c>
      <c r="P2622" s="52">
        <f>IF(OR(B2622="",G2622=""),"",IF(C2622="","Gasto",C2622))</f>
        <v/>
      </c>
      <c r="Q2622" s="52">
        <f>IF(P2622="","",IF(J2622&lt;&gt;"",J2622,CuentaPred&amp;""))</f>
        <v/>
      </c>
      <c r="R2622" s="52">
        <f>IF(P2622="","",IF(ISNUMBER(I2622),I2622,TasaUSD))</f>
        <v/>
      </c>
      <c r="S2622" s="53">
        <f>IF(P2622="","",IF(H2622="USD",G2622*R2622,G2622))</f>
        <v/>
      </c>
      <c r="T2622" s="53">
        <f>IF(P2622="","",IF(H2622="USD",G2622,IF(R2622&gt;0,G2622/R2622,0)))</f>
        <v/>
      </c>
      <c r="U2622" s="53">
        <f>IF(P2622="","",IF(P2622="Gasto",S2622,IF(P2622="Reembolso",-S2622,0)))</f>
        <v/>
      </c>
      <c r="V2622" s="53">
        <f>IF(P2622="","",IF(P2622="Ingreso",S2622,0))</f>
        <v/>
      </c>
      <c r="W2622" s="53">
        <f>IF(P2622="","",IF(P2622="Resultado trading",S2622,0))</f>
        <v/>
      </c>
      <c r="X2622" s="52">
        <f>IF(OR(P2622="Gasto",P2622="Reembolso"),IF(M2622&lt;&gt;"",M2622,IFERROR(INDEX(catClasif,MATCH(D2622&amp;"|"&amp;E2622,catClave,0))&amp;"","Variable")),"")</f>
        <v/>
      </c>
      <c r="Y2622" s="52">
        <f>IF(P2622="","",IFERROR(INDEX(catGrupo,MATCH(D2622&amp;"|"&amp;E2622,catClave,0))&amp;"",""))</f>
        <v/>
      </c>
      <c r="Z2622" s="52">
        <f>IF(P2622="","",WEEKDAY(B2622,2))</f>
        <v/>
      </c>
      <c r="AA2622" s="52">
        <f>IF(P2622="","",IF(AND(P2622="Gasto",X2622="Variable",D2622&lt;&gt;catTrading,S2622&gt;0,S2622&lt;=Umbral),1,0))</f>
        <v/>
      </c>
      <c r="AB2622" s="52">
        <f>IF(OR(P2622="",Q2622=""),"",IFERROR(IF(INDEX(ctaVinc,MATCH(Q2622,ctaNombre,0))&amp;""&lt;&gt;"",INDEX(ctaVinc,MATCH(Q2622,ctaNombre,0))&amp;"",Q2622),Q2622))</f>
        <v/>
      </c>
      <c r="AC2622" s="52">
        <f>IF(OR(K2622="",AND(P2622&lt;&gt;"Transferencia",P2622&lt;&gt;"Pago tarjeta")),"",IFERROR(IF(INDEX(ctaVinc,MATCH(K2622,ctaNombre,0))&amp;""&lt;&gt;"",INDEX(ctaVinc,MATCH(K2622,ctaNombre,0))&amp;"",K2622),K2622))</f>
        <v/>
      </c>
      <c r="AD2622" s="52">
        <f>IF(AB2622="","",IFERROR(INDEX(ctaTipo,MATCH(AB2622,ctaNombre,0))&amp;"",""))</f>
        <v/>
      </c>
      <c r="AE2622" s="52">
        <f>IF(AC2622="","",IFERROR(INDEX(ctaTipo,MATCH(AC2622,ctaNombre,0))&amp;"",""))</f>
        <v/>
      </c>
      <c r="AF2622" s="53">
        <f>IF(OR(P2622="",AB2622=""),"",IF(OR(P2622="Gasto",P2622="Transferencia",P2622="Pago tarjeta"),-1,1)*IF(IFERROR(INDEX(ctaMoneda,MATCH(AB2622,ctaNombre,0))&amp;"","DOP")="USD",T2622,S2622))</f>
        <v/>
      </c>
      <c r="AG2622" s="53">
        <f>IF(AC2622="","",IF(IFERROR(INDEX(ctaMoneda,MATCH(AC2622,ctaNombre,0))&amp;"","DOP")="USD",T2622,S2622))</f>
        <v/>
      </c>
      <c r="AH2622" s="53">
        <f>IF(P2622="","",IF(AND(AD2622&lt;&gt;"",COUNTIFS(tcTipo,AD2622,tcLiq,"Sí")&gt;0),IF(OR(P2622="Gasto",P2622="Transferencia",P2622="Pago tarjeta"),-1,1)*S2622,0)+IF(AND(AE2622&lt;&gt;"",COUNTIFS(tcTipo,AE2622,tcLiq,"Sí")&gt;0),S2622,0))</f>
        <v/>
      </c>
      <c r="AI2622" s="52">
        <f>IF(OR(L2622="",P2622=""),"",IF(COUNTIFS(L$6:L2622,L2622,P$6:P2622,"?*")=1,MAX(AI$5:AI2621)+1,""))</f>
        <v/>
      </c>
    </row>
    <row r="2623">
      <c r="B2623" s="47" t="n"/>
      <c r="C2623" s="48" t="n"/>
      <c r="D2623" s="48" t="n"/>
      <c r="E2623" s="48" t="n"/>
      <c r="F2623" s="48" t="n"/>
      <c r="G2623" s="49" t="n"/>
      <c r="H2623" s="48" t="n"/>
      <c r="I2623" s="50" t="n"/>
      <c r="J2623" s="48" t="n"/>
      <c r="K2623" s="48" t="n"/>
      <c r="L2623" s="48" t="n"/>
      <c r="M2623" s="48" t="n"/>
      <c r="N2623" s="48" t="n"/>
      <c r="O2623" s="51">
        <f>IF(AND(B2623="",G2623="",C2623="",D2623="",J2623=""),"",IF(B2623="","⚠ Falta fecha",IF(G2623="","⚠ Falta monto",IF(Q2623="","⚠ Falta cuenta",IF(ISNA(MATCH(Q2623,ctaNombre,0)),"⚠ Cuenta no registrada",IF(AND(OR(P2623="Gasto",P2623="Reembolso"),D2623=""),"⚠ Falta categoría",IF(AND(D2623&lt;&gt;"",E2623&lt;&gt;"",ISNA(MATCH(D2623&amp;"|"&amp;E2623,catClave,0))),"⚠ Subcategoría no corresponde",IF(AND(OR(P2623="Transferencia",P2623="Pago tarjeta"),K2623=""),"⚠ Falta cuenta destino",IF(AND(K2623&lt;&gt;"",P2623&lt;&gt;"Transferencia",P2623&lt;&gt;"Pago tarjeta"),"⚠ Destino solo aplica a transferencias",IF(AND(K2623&lt;&gt;"",K2623=Q2623),"⚠ Origen igual a destino",IF(AND(K2623&lt;&gt;"",ISNA(MATCH(K2623,ctaNombre,0))),"⚠ Destino no registrado",IF(AND(P2623="Pago tarjeta",AE2623&lt;&gt;"Tarjeta de crédito"),"⚠ El destino debe ser tarjeta de crédito",IF(AND(P2623="Gasto",E2623="Depósitos y retiros"),"⚠ Usa tipo Transferencia",IF(AND(P2623="Resultado trading",AD2623&lt;&gt;"Cuenta de trading"),"⚠ Usa una cuenta de trading",IF(AND(G2623&lt;=0,P2623&lt;&gt;"Ajuste",P2623&lt;&gt;"Resultado trading"),"⚠ El monto debe ser positivo","✓")))))))))))))))</f>
        <v/>
      </c>
      <c r="P2623" s="52">
        <f>IF(OR(B2623="",G2623=""),"",IF(C2623="","Gasto",C2623))</f>
        <v/>
      </c>
      <c r="Q2623" s="52">
        <f>IF(P2623="","",IF(J2623&lt;&gt;"",J2623,CuentaPred&amp;""))</f>
        <v/>
      </c>
      <c r="R2623" s="52">
        <f>IF(P2623="","",IF(ISNUMBER(I2623),I2623,TasaUSD))</f>
        <v/>
      </c>
      <c r="S2623" s="53">
        <f>IF(P2623="","",IF(H2623="USD",G2623*R2623,G2623))</f>
        <v/>
      </c>
      <c r="T2623" s="53">
        <f>IF(P2623="","",IF(H2623="USD",G2623,IF(R2623&gt;0,G2623/R2623,0)))</f>
        <v/>
      </c>
      <c r="U2623" s="53">
        <f>IF(P2623="","",IF(P2623="Gasto",S2623,IF(P2623="Reembolso",-S2623,0)))</f>
        <v/>
      </c>
      <c r="V2623" s="53">
        <f>IF(P2623="","",IF(P2623="Ingreso",S2623,0))</f>
        <v/>
      </c>
      <c r="W2623" s="53">
        <f>IF(P2623="","",IF(P2623="Resultado trading",S2623,0))</f>
        <v/>
      </c>
      <c r="X2623" s="52">
        <f>IF(OR(P2623="Gasto",P2623="Reembolso"),IF(M2623&lt;&gt;"",M2623,IFERROR(INDEX(catClasif,MATCH(D2623&amp;"|"&amp;E2623,catClave,0))&amp;"","Variable")),"")</f>
        <v/>
      </c>
      <c r="Y2623" s="52">
        <f>IF(P2623="","",IFERROR(INDEX(catGrupo,MATCH(D2623&amp;"|"&amp;E2623,catClave,0))&amp;"",""))</f>
        <v/>
      </c>
      <c r="Z2623" s="52">
        <f>IF(P2623="","",WEEKDAY(B2623,2))</f>
        <v/>
      </c>
      <c r="AA2623" s="52">
        <f>IF(P2623="","",IF(AND(P2623="Gasto",X2623="Variable",D2623&lt;&gt;catTrading,S2623&gt;0,S2623&lt;=Umbral),1,0))</f>
        <v/>
      </c>
      <c r="AB2623" s="52">
        <f>IF(OR(P2623="",Q2623=""),"",IFERROR(IF(INDEX(ctaVinc,MATCH(Q2623,ctaNombre,0))&amp;""&lt;&gt;"",INDEX(ctaVinc,MATCH(Q2623,ctaNombre,0))&amp;"",Q2623),Q2623))</f>
        <v/>
      </c>
      <c r="AC2623" s="52">
        <f>IF(OR(K2623="",AND(P2623&lt;&gt;"Transferencia",P2623&lt;&gt;"Pago tarjeta")),"",IFERROR(IF(INDEX(ctaVinc,MATCH(K2623,ctaNombre,0))&amp;""&lt;&gt;"",INDEX(ctaVinc,MATCH(K2623,ctaNombre,0))&amp;"",K2623),K2623))</f>
        <v/>
      </c>
      <c r="AD2623" s="52">
        <f>IF(AB2623="","",IFERROR(INDEX(ctaTipo,MATCH(AB2623,ctaNombre,0))&amp;"",""))</f>
        <v/>
      </c>
      <c r="AE2623" s="52">
        <f>IF(AC2623="","",IFERROR(INDEX(ctaTipo,MATCH(AC2623,ctaNombre,0))&amp;"",""))</f>
        <v/>
      </c>
      <c r="AF2623" s="53">
        <f>IF(OR(P2623="",AB2623=""),"",IF(OR(P2623="Gasto",P2623="Transferencia",P2623="Pago tarjeta"),-1,1)*IF(IFERROR(INDEX(ctaMoneda,MATCH(AB2623,ctaNombre,0))&amp;"","DOP")="USD",T2623,S2623))</f>
        <v/>
      </c>
      <c r="AG2623" s="53">
        <f>IF(AC2623="","",IF(IFERROR(INDEX(ctaMoneda,MATCH(AC2623,ctaNombre,0))&amp;"","DOP")="USD",T2623,S2623))</f>
        <v/>
      </c>
      <c r="AH2623" s="53">
        <f>IF(P2623="","",IF(AND(AD2623&lt;&gt;"",COUNTIFS(tcTipo,AD2623,tcLiq,"Sí")&gt;0),IF(OR(P2623="Gasto",P2623="Transferencia",P2623="Pago tarjeta"),-1,1)*S2623,0)+IF(AND(AE2623&lt;&gt;"",COUNTIFS(tcTipo,AE2623,tcLiq,"Sí")&gt;0),S2623,0))</f>
        <v/>
      </c>
      <c r="AI2623" s="52">
        <f>IF(OR(L2623="",P2623=""),"",IF(COUNTIFS(L$6:L2623,L2623,P$6:P2623,"?*")=1,MAX(AI$5:AI2622)+1,""))</f>
        <v/>
      </c>
    </row>
    <row r="2624">
      <c r="B2624" s="47" t="n"/>
      <c r="C2624" s="48" t="n"/>
      <c r="D2624" s="48" t="n"/>
      <c r="E2624" s="48" t="n"/>
      <c r="F2624" s="48" t="n"/>
      <c r="G2624" s="49" t="n"/>
      <c r="H2624" s="48" t="n"/>
      <c r="I2624" s="50" t="n"/>
      <c r="J2624" s="48" t="n"/>
      <c r="K2624" s="48" t="n"/>
      <c r="L2624" s="48" t="n"/>
      <c r="M2624" s="48" t="n"/>
      <c r="N2624" s="48" t="n"/>
      <c r="O2624" s="51">
        <f>IF(AND(B2624="",G2624="",C2624="",D2624="",J2624=""),"",IF(B2624="","⚠ Falta fecha",IF(G2624="","⚠ Falta monto",IF(Q2624="","⚠ Falta cuenta",IF(ISNA(MATCH(Q2624,ctaNombre,0)),"⚠ Cuenta no registrada",IF(AND(OR(P2624="Gasto",P2624="Reembolso"),D2624=""),"⚠ Falta categoría",IF(AND(D2624&lt;&gt;"",E2624&lt;&gt;"",ISNA(MATCH(D2624&amp;"|"&amp;E2624,catClave,0))),"⚠ Subcategoría no corresponde",IF(AND(OR(P2624="Transferencia",P2624="Pago tarjeta"),K2624=""),"⚠ Falta cuenta destino",IF(AND(K2624&lt;&gt;"",P2624&lt;&gt;"Transferencia",P2624&lt;&gt;"Pago tarjeta"),"⚠ Destino solo aplica a transferencias",IF(AND(K2624&lt;&gt;"",K2624=Q2624),"⚠ Origen igual a destino",IF(AND(K2624&lt;&gt;"",ISNA(MATCH(K2624,ctaNombre,0))),"⚠ Destino no registrado",IF(AND(P2624="Pago tarjeta",AE2624&lt;&gt;"Tarjeta de crédito"),"⚠ El destino debe ser tarjeta de crédito",IF(AND(P2624="Gasto",E2624="Depósitos y retiros"),"⚠ Usa tipo Transferencia",IF(AND(P2624="Resultado trading",AD2624&lt;&gt;"Cuenta de trading"),"⚠ Usa una cuenta de trading",IF(AND(G2624&lt;=0,P2624&lt;&gt;"Ajuste",P2624&lt;&gt;"Resultado trading"),"⚠ El monto debe ser positivo","✓")))))))))))))))</f>
        <v/>
      </c>
      <c r="P2624" s="52">
        <f>IF(OR(B2624="",G2624=""),"",IF(C2624="","Gasto",C2624))</f>
        <v/>
      </c>
      <c r="Q2624" s="52">
        <f>IF(P2624="","",IF(J2624&lt;&gt;"",J2624,CuentaPred&amp;""))</f>
        <v/>
      </c>
      <c r="R2624" s="52">
        <f>IF(P2624="","",IF(ISNUMBER(I2624),I2624,TasaUSD))</f>
        <v/>
      </c>
      <c r="S2624" s="53">
        <f>IF(P2624="","",IF(H2624="USD",G2624*R2624,G2624))</f>
        <v/>
      </c>
      <c r="T2624" s="53">
        <f>IF(P2624="","",IF(H2624="USD",G2624,IF(R2624&gt;0,G2624/R2624,0)))</f>
        <v/>
      </c>
      <c r="U2624" s="53">
        <f>IF(P2624="","",IF(P2624="Gasto",S2624,IF(P2624="Reembolso",-S2624,0)))</f>
        <v/>
      </c>
      <c r="V2624" s="53">
        <f>IF(P2624="","",IF(P2624="Ingreso",S2624,0))</f>
        <v/>
      </c>
      <c r="W2624" s="53">
        <f>IF(P2624="","",IF(P2624="Resultado trading",S2624,0))</f>
        <v/>
      </c>
      <c r="X2624" s="52">
        <f>IF(OR(P2624="Gasto",P2624="Reembolso"),IF(M2624&lt;&gt;"",M2624,IFERROR(INDEX(catClasif,MATCH(D2624&amp;"|"&amp;E2624,catClave,0))&amp;"","Variable")),"")</f>
        <v/>
      </c>
      <c r="Y2624" s="52">
        <f>IF(P2624="","",IFERROR(INDEX(catGrupo,MATCH(D2624&amp;"|"&amp;E2624,catClave,0))&amp;"",""))</f>
        <v/>
      </c>
      <c r="Z2624" s="52">
        <f>IF(P2624="","",WEEKDAY(B2624,2))</f>
        <v/>
      </c>
      <c r="AA2624" s="52">
        <f>IF(P2624="","",IF(AND(P2624="Gasto",X2624="Variable",D2624&lt;&gt;catTrading,S2624&gt;0,S2624&lt;=Umbral),1,0))</f>
        <v/>
      </c>
      <c r="AB2624" s="52">
        <f>IF(OR(P2624="",Q2624=""),"",IFERROR(IF(INDEX(ctaVinc,MATCH(Q2624,ctaNombre,0))&amp;""&lt;&gt;"",INDEX(ctaVinc,MATCH(Q2624,ctaNombre,0))&amp;"",Q2624),Q2624))</f>
        <v/>
      </c>
      <c r="AC2624" s="52">
        <f>IF(OR(K2624="",AND(P2624&lt;&gt;"Transferencia",P2624&lt;&gt;"Pago tarjeta")),"",IFERROR(IF(INDEX(ctaVinc,MATCH(K2624,ctaNombre,0))&amp;""&lt;&gt;"",INDEX(ctaVinc,MATCH(K2624,ctaNombre,0))&amp;"",K2624),K2624))</f>
        <v/>
      </c>
      <c r="AD2624" s="52">
        <f>IF(AB2624="","",IFERROR(INDEX(ctaTipo,MATCH(AB2624,ctaNombre,0))&amp;"",""))</f>
        <v/>
      </c>
      <c r="AE2624" s="52">
        <f>IF(AC2624="","",IFERROR(INDEX(ctaTipo,MATCH(AC2624,ctaNombre,0))&amp;"",""))</f>
        <v/>
      </c>
      <c r="AF2624" s="53">
        <f>IF(OR(P2624="",AB2624=""),"",IF(OR(P2624="Gasto",P2624="Transferencia",P2624="Pago tarjeta"),-1,1)*IF(IFERROR(INDEX(ctaMoneda,MATCH(AB2624,ctaNombre,0))&amp;"","DOP")="USD",T2624,S2624))</f>
        <v/>
      </c>
      <c r="AG2624" s="53">
        <f>IF(AC2624="","",IF(IFERROR(INDEX(ctaMoneda,MATCH(AC2624,ctaNombre,0))&amp;"","DOP")="USD",T2624,S2624))</f>
        <v/>
      </c>
      <c r="AH2624" s="53">
        <f>IF(P2624="","",IF(AND(AD2624&lt;&gt;"",COUNTIFS(tcTipo,AD2624,tcLiq,"Sí")&gt;0),IF(OR(P2624="Gasto",P2624="Transferencia",P2624="Pago tarjeta"),-1,1)*S2624,0)+IF(AND(AE2624&lt;&gt;"",COUNTIFS(tcTipo,AE2624,tcLiq,"Sí")&gt;0),S2624,0))</f>
        <v/>
      </c>
      <c r="AI2624" s="52">
        <f>IF(OR(L2624="",P2624=""),"",IF(COUNTIFS(L$6:L2624,L2624,P$6:P2624,"?*")=1,MAX(AI$5:AI2623)+1,""))</f>
        <v/>
      </c>
    </row>
    <row r="2625">
      <c r="B2625" s="47" t="n"/>
      <c r="C2625" s="48" t="n"/>
      <c r="D2625" s="48" t="n"/>
      <c r="E2625" s="48" t="n"/>
      <c r="F2625" s="48" t="n"/>
      <c r="G2625" s="49" t="n"/>
      <c r="H2625" s="48" t="n"/>
      <c r="I2625" s="50" t="n"/>
      <c r="J2625" s="48" t="n"/>
      <c r="K2625" s="48" t="n"/>
      <c r="L2625" s="48" t="n"/>
      <c r="M2625" s="48" t="n"/>
      <c r="N2625" s="48" t="n"/>
      <c r="O2625" s="51">
        <f>IF(AND(B2625="",G2625="",C2625="",D2625="",J2625=""),"",IF(B2625="","⚠ Falta fecha",IF(G2625="","⚠ Falta monto",IF(Q2625="","⚠ Falta cuenta",IF(ISNA(MATCH(Q2625,ctaNombre,0)),"⚠ Cuenta no registrada",IF(AND(OR(P2625="Gasto",P2625="Reembolso"),D2625=""),"⚠ Falta categoría",IF(AND(D2625&lt;&gt;"",E2625&lt;&gt;"",ISNA(MATCH(D2625&amp;"|"&amp;E2625,catClave,0))),"⚠ Subcategoría no corresponde",IF(AND(OR(P2625="Transferencia",P2625="Pago tarjeta"),K2625=""),"⚠ Falta cuenta destino",IF(AND(K2625&lt;&gt;"",P2625&lt;&gt;"Transferencia",P2625&lt;&gt;"Pago tarjeta"),"⚠ Destino solo aplica a transferencias",IF(AND(K2625&lt;&gt;"",K2625=Q2625),"⚠ Origen igual a destino",IF(AND(K2625&lt;&gt;"",ISNA(MATCH(K2625,ctaNombre,0))),"⚠ Destino no registrado",IF(AND(P2625="Pago tarjeta",AE2625&lt;&gt;"Tarjeta de crédito"),"⚠ El destino debe ser tarjeta de crédito",IF(AND(P2625="Gasto",E2625="Depósitos y retiros"),"⚠ Usa tipo Transferencia",IF(AND(P2625="Resultado trading",AD2625&lt;&gt;"Cuenta de trading"),"⚠ Usa una cuenta de trading",IF(AND(G2625&lt;=0,P2625&lt;&gt;"Ajuste",P2625&lt;&gt;"Resultado trading"),"⚠ El monto debe ser positivo","✓")))))))))))))))</f>
        <v/>
      </c>
      <c r="P2625" s="52">
        <f>IF(OR(B2625="",G2625=""),"",IF(C2625="","Gasto",C2625))</f>
        <v/>
      </c>
      <c r="Q2625" s="52">
        <f>IF(P2625="","",IF(J2625&lt;&gt;"",J2625,CuentaPred&amp;""))</f>
        <v/>
      </c>
      <c r="R2625" s="52">
        <f>IF(P2625="","",IF(ISNUMBER(I2625),I2625,TasaUSD))</f>
        <v/>
      </c>
      <c r="S2625" s="53">
        <f>IF(P2625="","",IF(H2625="USD",G2625*R2625,G2625))</f>
        <v/>
      </c>
      <c r="T2625" s="53">
        <f>IF(P2625="","",IF(H2625="USD",G2625,IF(R2625&gt;0,G2625/R2625,0)))</f>
        <v/>
      </c>
      <c r="U2625" s="53">
        <f>IF(P2625="","",IF(P2625="Gasto",S2625,IF(P2625="Reembolso",-S2625,0)))</f>
        <v/>
      </c>
      <c r="V2625" s="53">
        <f>IF(P2625="","",IF(P2625="Ingreso",S2625,0))</f>
        <v/>
      </c>
      <c r="W2625" s="53">
        <f>IF(P2625="","",IF(P2625="Resultado trading",S2625,0))</f>
        <v/>
      </c>
      <c r="X2625" s="52">
        <f>IF(OR(P2625="Gasto",P2625="Reembolso"),IF(M2625&lt;&gt;"",M2625,IFERROR(INDEX(catClasif,MATCH(D2625&amp;"|"&amp;E2625,catClave,0))&amp;"","Variable")),"")</f>
        <v/>
      </c>
      <c r="Y2625" s="52">
        <f>IF(P2625="","",IFERROR(INDEX(catGrupo,MATCH(D2625&amp;"|"&amp;E2625,catClave,0))&amp;"",""))</f>
        <v/>
      </c>
      <c r="Z2625" s="52">
        <f>IF(P2625="","",WEEKDAY(B2625,2))</f>
        <v/>
      </c>
      <c r="AA2625" s="52">
        <f>IF(P2625="","",IF(AND(P2625="Gasto",X2625="Variable",D2625&lt;&gt;catTrading,S2625&gt;0,S2625&lt;=Umbral),1,0))</f>
        <v/>
      </c>
      <c r="AB2625" s="52">
        <f>IF(OR(P2625="",Q2625=""),"",IFERROR(IF(INDEX(ctaVinc,MATCH(Q2625,ctaNombre,0))&amp;""&lt;&gt;"",INDEX(ctaVinc,MATCH(Q2625,ctaNombre,0))&amp;"",Q2625),Q2625))</f>
        <v/>
      </c>
      <c r="AC2625" s="52">
        <f>IF(OR(K2625="",AND(P2625&lt;&gt;"Transferencia",P2625&lt;&gt;"Pago tarjeta")),"",IFERROR(IF(INDEX(ctaVinc,MATCH(K2625,ctaNombre,0))&amp;""&lt;&gt;"",INDEX(ctaVinc,MATCH(K2625,ctaNombre,0))&amp;"",K2625),K2625))</f>
        <v/>
      </c>
      <c r="AD2625" s="52">
        <f>IF(AB2625="","",IFERROR(INDEX(ctaTipo,MATCH(AB2625,ctaNombre,0))&amp;"",""))</f>
        <v/>
      </c>
      <c r="AE2625" s="52">
        <f>IF(AC2625="","",IFERROR(INDEX(ctaTipo,MATCH(AC2625,ctaNombre,0))&amp;"",""))</f>
        <v/>
      </c>
      <c r="AF2625" s="53">
        <f>IF(OR(P2625="",AB2625=""),"",IF(OR(P2625="Gasto",P2625="Transferencia",P2625="Pago tarjeta"),-1,1)*IF(IFERROR(INDEX(ctaMoneda,MATCH(AB2625,ctaNombre,0))&amp;"","DOP")="USD",T2625,S2625))</f>
        <v/>
      </c>
      <c r="AG2625" s="53">
        <f>IF(AC2625="","",IF(IFERROR(INDEX(ctaMoneda,MATCH(AC2625,ctaNombre,0))&amp;"","DOP")="USD",T2625,S2625))</f>
        <v/>
      </c>
      <c r="AH2625" s="53">
        <f>IF(P2625="","",IF(AND(AD2625&lt;&gt;"",COUNTIFS(tcTipo,AD2625,tcLiq,"Sí")&gt;0),IF(OR(P2625="Gasto",P2625="Transferencia",P2625="Pago tarjeta"),-1,1)*S2625,0)+IF(AND(AE2625&lt;&gt;"",COUNTIFS(tcTipo,AE2625,tcLiq,"Sí")&gt;0),S2625,0))</f>
        <v/>
      </c>
      <c r="AI2625" s="52">
        <f>IF(OR(L2625="",P2625=""),"",IF(COUNTIFS(L$6:L2625,L2625,P$6:P2625,"?*")=1,MAX(AI$5:AI2624)+1,""))</f>
        <v/>
      </c>
    </row>
    <row r="2626">
      <c r="B2626" s="47" t="n"/>
      <c r="C2626" s="48" t="n"/>
      <c r="D2626" s="48" t="n"/>
      <c r="E2626" s="48" t="n"/>
      <c r="F2626" s="48" t="n"/>
      <c r="G2626" s="49" t="n"/>
      <c r="H2626" s="48" t="n"/>
      <c r="I2626" s="50" t="n"/>
      <c r="J2626" s="48" t="n"/>
      <c r="K2626" s="48" t="n"/>
      <c r="L2626" s="48" t="n"/>
      <c r="M2626" s="48" t="n"/>
      <c r="N2626" s="48" t="n"/>
      <c r="O2626" s="51">
        <f>IF(AND(B2626="",G2626="",C2626="",D2626="",J2626=""),"",IF(B2626="","⚠ Falta fecha",IF(G2626="","⚠ Falta monto",IF(Q2626="","⚠ Falta cuenta",IF(ISNA(MATCH(Q2626,ctaNombre,0)),"⚠ Cuenta no registrada",IF(AND(OR(P2626="Gasto",P2626="Reembolso"),D2626=""),"⚠ Falta categoría",IF(AND(D2626&lt;&gt;"",E2626&lt;&gt;"",ISNA(MATCH(D2626&amp;"|"&amp;E2626,catClave,0))),"⚠ Subcategoría no corresponde",IF(AND(OR(P2626="Transferencia",P2626="Pago tarjeta"),K2626=""),"⚠ Falta cuenta destino",IF(AND(K2626&lt;&gt;"",P2626&lt;&gt;"Transferencia",P2626&lt;&gt;"Pago tarjeta"),"⚠ Destino solo aplica a transferencias",IF(AND(K2626&lt;&gt;"",K2626=Q2626),"⚠ Origen igual a destino",IF(AND(K2626&lt;&gt;"",ISNA(MATCH(K2626,ctaNombre,0))),"⚠ Destino no registrado",IF(AND(P2626="Pago tarjeta",AE2626&lt;&gt;"Tarjeta de crédito"),"⚠ El destino debe ser tarjeta de crédito",IF(AND(P2626="Gasto",E2626="Depósitos y retiros"),"⚠ Usa tipo Transferencia",IF(AND(P2626="Resultado trading",AD2626&lt;&gt;"Cuenta de trading"),"⚠ Usa una cuenta de trading",IF(AND(G2626&lt;=0,P2626&lt;&gt;"Ajuste",P2626&lt;&gt;"Resultado trading"),"⚠ El monto debe ser positivo","✓")))))))))))))))</f>
        <v/>
      </c>
      <c r="P2626" s="52">
        <f>IF(OR(B2626="",G2626=""),"",IF(C2626="","Gasto",C2626))</f>
        <v/>
      </c>
      <c r="Q2626" s="52">
        <f>IF(P2626="","",IF(J2626&lt;&gt;"",J2626,CuentaPred&amp;""))</f>
        <v/>
      </c>
      <c r="R2626" s="52">
        <f>IF(P2626="","",IF(ISNUMBER(I2626),I2626,TasaUSD))</f>
        <v/>
      </c>
      <c r="S2626" s="53">
        <f>IF(P2626="","",IF(H2626="USD",G2626*R2626,G2626))</f>
        <v/>
      </c>
      <c r="T2626" s="53">
        <f>IF(P2626="","",IF(H2626="USD",G2626,IF(R2626&gt;0,G2626/R2626,0)))</f>
        <v/>
      </c>
      <c r="U2626" s="53">
        <f>IF(P2626="","",IF(P2626="Gasto",S2626,IF(P2626="Reembolso",-S2626,0)))</f>
        <v/>
      </c>
      <c r="V2626" s="53">
        <f>IF(P2626="","",IF(P2626="Ingreso",S2626,0))</f>
        <v/>
      </c>
      <c r="W2626" s="53">
        <f>IF(P2626="","",IF(P2626="Resultado trading",S2626,0))</f>
        <v/>
      </c>
      <c r="X2626" s="52">
        <f>IF(OR(P2626="Gasto",P2626="Reembolso"),IF(M2626&lt;&gt;"",M2626,IFERROR(INDEX(catClasif,MATCH(D2626&amp;"|"&amp;E2626,catClave,0))&amp;"","Variable")),"")</f>
        <v/>
      </c>
      <c r="Y2626" s="52">
        <f>IF(P2626="","",IFERROR(INDEX(catGrupo,MATCH(D2626&amp;"|"&amp;E2626,catClave,0))&amp;"",""))</f>
        <v/>
      </c>
      <c r="Z2626" s="52">
        <f>IF(P2626="","",WEEKDAY(B2626,2))</f>
        <v/>
      </c>
      <c r="AA2626" s="52">
        <f>IF(P2626="","",IF(AND(P2626="Gasto",X2626="Variable",D2626&lt;&gt;catTrading,S2626&gt;0,S2626&lt;=Umbral),1,0))</f>
        <v/>
      </c>
      <c r="AB2626" s="52">
        <f>IF(OR(P2626="",Q2626=""),"",IFERROR(IF(INDEX(ctaVinc,MATCH(Q2626,ctaNombre,0))&amp;""&lt;&gt;"",INDEX(ctaVinc,MATCH(Q2626,ctaNombre,0))&amp;"",Q2626),Q2626))</f>
        <v/>
      </c>
      <c r="AC2626" s="52">
        <f>IF(OR(K2626="",AND(P2626&lt;&gt;"Transferencia",P2626&lt;&gt;"Pago tarjeta")),"",IFERROR(IF(INDEX(ctaVinc,MATCH(K2626,ctaNombre,0))&amp;""&lt;&gt;"",INDEX(ctaVinc,MATCH(K2626,ctaNombre,0))&amp;"",K2626),K2626))</f>
        <v/>
      </c>
      <c r="AD2626" s="52">
        <f>IF(AB2626="","",IFERROR(INDEX(ctaTipo,MATCH(AB2626,ctaNombre,0))&amp;"",""))</f>
        <v/>
      </c>
      <c r="AE2626" s="52">
        <f>IF(AC2626="","",IFERROR(INDEX(ctaTipo,MATCH(AC2626,ctaNombre,0))&amp;"",""))</f>
        <v/>
      </c>
      <c r="AF2626" s="53">
        <f>IF(OR(P2626="",AB2626=""),"",IF(OR(P2626="Gasto",P2626="Transferencia",P2626="Pago tarjeta"),-1,1)*IF(IFERROR(INDEX(ctaMoneda,MATCH(AB2626,ctaNombre,0))&amp;"","DOP")="USD",T2626,S2626))</f>
        <v/>
      </c>
      <c r="AG2626" s="53">
        <f>IF(AC2626="","",IF(IFERROR(INDEX(ctaMoneda,MATCH(AC2626,ctaNombre,0))&amp;"","DOP")="USD",T2626,S2626))</f>
        <v/>
      </c>
      <c r="AH2626" s="53">
        <f>IF(P2626="","",IF(AND(AD2626&lt;&gt;"",COUNTIFS(tcTipo,AD2626,tcLiq,"Sí")&gt;0),IF(OR(P2626="Gasto",P2626="Transferencia",P2626="Pago tarjeta"),-1,1)*S2626,0)+IF(AND(AE2626&lt;&gt;"",COUNTIFS(tcTipo,AE2626,tcLiq,"Sí")&gt;0),S2626,0))</f>
        <v/>
      </c>
      <c r="AI2626" s="52">
        <f>IF(OR(L2626="",P2626=""),"",IF(COUNTIFS(L$6:L2626,L2626,P$6:P2626,"?*")=1,MAX(AI$5:AI2625)+1,""))</f>
        <v/>
      </c>
    </row>
    <row r="2627">
      <c r="B2627" s="47" t="n"/>
      <c r="C2627" s="48" t="n"/>
      <c r="D2627" s="48" t="n"/>
      <c r="E2627" s="48" t="n"/>
      <c r="F2627" s="48" t="n"/>
      <c r="G2627" s="49" t="n"/>
      <c r="H2627" s="48" t="n"/>
      <c r="I2627" s="50" t="n"/>
      <c r="J2627" s="48" t="n"/>
      <c r="K2627" s="48" t="n"/>
      <c r="L2627" s="48" t="n"/>
      <c r="M2627" s="48" t="n"/>
      <c r="N2627" s="48" t="n"/>
      <c r="O2627" s="51">
        <f>IF(AND(B2627="",G2627="",C2627="",D2627="",J2627=""),"",IF(B2627="","⚠ Falta fecha",IF(G2627="","⚠ Falta monto",IF(Q2627="","⚠ Falta cuenta",IF(ISNA(MATCH(Q2627,ctaNombre,0)),"⚠ Cuenta no registrada",IF(AND(OR(P2627="Gasto",P2627="Reembolso"),D2627=""),"⚠ Falta categoría",IF(AND(D2627&lt;&gt;"",E2627&lt;&gt;"",ISNA(MATCH(D2627&amp;"|"&amp;E2627,catClave,0))),"⚠ Subcategoría no corresponde",IF(AND(OR(P2627="Transferencia",P2627="Pago tarjeta"),K2627=""),"⚠ Falta cuenta destino",IF(AND(K2627&lt;&gt;"",P2627&lt;&gt;"Transferencia",P2627&lt;&gt;"Pago tarjeta"),"⚠ Destino solo aplica a transferencias",IF(AND(K2627&lt;&gt;"",K2627=Q2627),"⚠ Origen igual a destino",IF(AND(K2627&lt;&gt;"",ISNA(MATCH(K2627,ctaNombre,0))),"⚠ Destino no registrado",IF(AND(P2627="Pago tarjeta",AE2627&lt;&gt;"Tarjeta de crédito"),"⚠ El destino debe ser tarjeta de crédito",IF(AND(P2627="Gasto",E2627="Depósitos y retiros"),"⚠ Usa tipo Transferencia",IF(AND(P2627="Resultado trading",AD2627&lt;&gt;"Cuenta de trading"),"⚠ Usa una cuenta de trading",IF(AND(G2627&lt;=0,P2627&lt;&gt;"Ajuste",P2627&lt;&gt;"Resultado trading"),"⚠ El monto debe ser positivo","✓")))))))))))))))</f>
        <v/>
      </c>
      <c r="P2627" s="52">
        <f>IF(OR(B2627="",G2627=""),"",IF(C2627="","Gasto",C2627))</f>
        <v/>
      </c>
      <c r="Q2627" s="52">
        <f>IF(P2627="","",IF(J2627&lt;&gt;"",J2627,CuentaPred&amp;""))</f>
        <v/>
      </c>
      <c r="R2627" s="52">
        <f>IF(P2627="","",IF(ISNUMBER(I2627),I2627,TasaUSD))</f>
        <v/>
      </c>
      <c r="S2627" s="53">
        <f>IF(P2627="","",IF(H2627="USD",G2627*R2627,G2627))</f>
        <v/>
      </c>
      <c r="T2627" s="53">
        <f>IF(P2627="","",IF(H2627="USD",G2627,IF(R2627&gt;0,G2627/R2627,0)))</f>
        <v/>
      </c>
      <c r="U2627" s="53">
        <f>IF(P2627="","",IF(P2627="Gasto",S2627,IF(P2627="Reembolso",-S2627,0)))</f>
        <v/>
      </c>
      <c r="V2627" s="53">
        <f>IF(P2627="","",IF(P2627="Ingreso",S2627,0))</f>
        <v/>
      </c>
      <c r="W2627" s="53">
        <f>IF(P2627="","",IF(P2627="Resultado trading",S2627,0))</f>
        <v/>
      </c>
      <c r="X2627" s="52">
        <f>IF(OR(P2627="Gasto",P2627="Reembolso"),IF(M2627&lt;&gt;"",M2627,IFERROR(INDEX(catClasif,MATCH(D2627&amp;"|"&amp;E2627,catClave,0))&amp;"","Variable")),"")</f>
        <v/>
      </c>
      <c r="Y2627" s="52">
        <f>IF(P2627="","",IFERROR(INDEX(catGrupo,MATCH(D2627&amp;"|"&amp;E2627,catClave,0))&amp;"",""))</f>
        <v/>
      </c>
      <c r="Z2627" s="52">
        <f>IF(P2627="","",WEEKDAY(B2627,2))</f>
        <v/>
      </c>
      <c r="AA2627" s="52">
        <f>IF(P2627="","",IF(AND(P2627="Gasto",X2627="Variable",D2627&lt;&gt;catTrading,S2627&gt;0,S2627&lt;=Umbral),1,0))</f>
        <v/>
      </c>
      <c r="AB2627" s="52">
        <f>IF(OR(P2627="",Q2627=""),"",IFERROR(IF(INDEX(ctaVinc,MATCH(Q2627,ctaNombre,0))&amp;""&lt;&gt;"",INDEX(ctaVinc,MATCH(Q2627,ctaNombre,0))&amp;"",Q2627),Q2627))</f>
        <v/>
      </c>
      <c r="AC2627" s="52">
        <f>IF(OR(K2627="",AND(P2627&lt;&gt;"Transferencia",P2627&lt;&gt;"Pago tarjeta")),"",IFERROR(IF(INDEX(ctaVinc,MATCH(K2627,ctaNombre,0))&amp;""&lt;&gt;"",INDEX(ctaVinc,MATCH(K2627,ctaNombre,0))&amp;"",K2627),K2627))</f>
        <v/>
      </c>
      <c r="AD2627" s="52">
        <f>IF(AB2627="","",IFERROR(INDEX(ctaTipo,MATCH(AB2627,ctaNombre,0))&amp;"",""))</f>
        <v/>
      </c>
      <c r="AE2627" s="52">
        <f>IF(AC2627="","",IFERROR(INDEX(ctaTipo,MATCH(AC2627,ctaNombre,0))&amp;"",""))</f>
        <v/>
      </c>
      <c r="AF2627" s="53">
        <f>IF(OR(P2627="",AB2627=""),"",IF(OR(P2627="Gasto",P2627="Transferencia",P2627="Pago tarjeta"),-1,1)*IF(IFERROR(INDEX(ctaMoneda,MATCH(AB2627,ctaNombre,0))&amp;"","DOP")="USD",T2627,S2627))</f>
        <v/>
      </c>
      <c r="AG2627" s="53">
        <f>IF(AC2627="","",IF(IFERROR(INDEX(ctaMoneda,MATCH(AC2627,ctaNombre,0))&amp;"","DOP")="USD",T2627,S2627))</f>
        <v/>
      </c>
      <c r="AH2627" s="53">
        <f>IF(P2627="","",IF(AND(AD2627&lt;&gt;"",COUNTIFS(tcTipo,AD2627,tcLiq,"Sí")&gt;0),IF(OR(P2627="Gasto",P2627="Transferencia",P2627="Pago tarjeta"),-1,1)*S2627,0)+IF(AND(AE2627&lt;&gt;"",COUNTIFS(tcTipo,AE2627,tcLiq,"Sí")&gt;0),S2627,0))</f>
        <v/>
      </c>
      <c r="AI2627" s="52">
        <f>IF(OR(L2627="",P2627=""),"",IF(COUNTIFS(L$6:L2627,L2627,P$6:P2627,"?*")=1,MAX(AI$5:AI2626)+1,""))</f>
        <v/>
      </c>
    </row>
    <row r="2628">
      <c r="B2628" s="47" t="n"/>
      <c r="C2628" s="48" t="n"/>
      <c r="D2628" s="48" t="n"/>
      <c r="E2628" s="48" t="n"/>
      <c r="F2628" s="48" t="n"/>
      <c r="G2628" s="49" t="n"/>
      <c r="H2628" s="48" t="n"/>
      <c r="I2628" s="50" t="n"/>
      <c r="J2628" s="48" t="n"/>
      <c r="K2628" s="48" t="n"/>
      <c r="L2628" s="48" t="n"/>
      <c r="M2628" s="48" t="n"/>
      <c r="N2628" s="48" t="n"/>
      <c r="O2628" s="51">
        <f>IF(AND(B2628="",G2628="",C2628="",D2628="",J2628=""),"",IF(B2628="","⚠ Falta fecha",IF(G2628="","⚠ Falta monto",IF(Q2628="","⚠ Falta cuenta",IF(ISNA(MATCH(Q2628,ctaNombre,0)),"⚠ Cuenta no registrada",IF(AND(OR(P2628="Gasto",P2628="Reembolso"),D2628=""),"⚠ Falta categoría",IF(AND(D2628&lt;&gt;"",E2628&lt;&gt;"",ISNA(MATCH(D2628&amp;"|"&amp;E2628,catClave,0))),"⚠ Subcategoría no corresponde",IF(AND(OR(P2628="Transferencia",P2628="Pago tarjeta"),K2628=""),"⚠ Falta cuenta destino",IF(AND(K2628&lt;&gt;"",P2628&lt;&gt;"Transferencia",P2628&lt;&gt;"Pago tarjeta"),"⚠ Destino solo aplica a transferencias",IF(AND(K2628&lt;&gt;"",K2628=Q2628),"⚠ Origen igual a destino",IF(AND(K2628&lt;&gt;"",ISNA(MATCH(K2628,ctaNombre,0))),"⚠ Destino no registrado",IF(AND(P2628="Pago tarjeta",AE2628&lt;&gt;"Tarjeta de crédito"),"⚠ El destino debe ser tarjeta de crédito",IF(AND(P2628="Gasto",E2628="Depósitos y retiros"),"⚠ Usa tipo Transferencia",IF(AND(P2628="Resultado trading",AD2628&lt;&gt;"Cuenta de trading"),"⚠ Usa una cuenta de trading",IF(AND(G2628&lt;=0,P2628&lt;&gt;"Ajuste",P2628&lt;&gt;"Resultado trading"),"⚠ El monto debe ser positivo","✓")))))))))))))))</f>
        <v/>
      </c>
      <c r="P2628" s="52">
        <f>IF(OR(B2628="",G2628=""),"",IF(C2628="","Gasto",C2628))</f>
        <v/>
      </c>
      <c r="Q2628" s="52">
        <f>IF(P2628="","",IF(J2628&lt;&gt;"",J2628,CuentaPred&amp;""))</f>
        <v/>
      </c>
      <c r="R2628" s="52">
        <f>IF(P2628="","",IF(ISNUMBER(I2628),I2628,TasaUSD))</f>
        <v/>
      </c>
      <c r="S2628" s="53">
        <f>IF(P2628="","",IF(H2628="USD",G2628*R2628,G2628))</f>
        <v/>
      </c>
      <c r="T2628" s="53">
        <f>IF(P2628="","",IF(H2628="USD",G2628,IF(R2628&gt;0,G2628/R2628,0)))</f>
        <v/>
      </c>
      <c r="U2628" s="53">
        <f>IF(P2628="","",IF(P2628="Gasto",S2628,IF(P2628="Reembolso",-S2628,0)))</f>
        <v/>
      </c>
      <c r="V2628" s="53">
        <f>IF(P2628="","",IF(P2628="Ingreso",S2628,0))</f>
        <v/>
      </c>
      <c r="W2628" s="53">
        <f>IF(P2628="","",IF(P2628="Resultado trading",S2628,0))</f>
        <v/>
      </c>
      <c r="X2628" s="52">
        <f>IF(OR(P2628="Gasto",P2628="Reembolso"),IF(M2628&lt;&gt;"",M2628,IFERROR(INDEX(catClasif,MATCH(D2628&amp;"|"&amp;E2628,catClave,0))&amp;"","Variable")),"")</f>
        <v/>
      </c>
      <c r="Y2628" s="52">
        <f>IF(P2628="","",IFERROR(INDEX(catGrupo,MATCH(D2628&amp;"|"&amp;E2628,catClave,0))&amp;"",""))</f>
        <v/>
      </c>
      <c r="Z2628" s="52">
        <f>IF(P2628="","",WEEKDAY(B2628,2))</f>
        <v/>
      </c>
      <c r="AA2628" s="52">
        <f>IF(P2628="","",IF(AND(P2628="Gasto",X2628="Variable",D2628&lt;&gt;catTrading,S2628&gt;0,S2628&lt;=Umbral),1,0))</f>
        <v/>
      </c>
      <c r="AB2628" s="52">
        <f>IF(OR(P2628="",Q2628=""),"",IFERROR(IF(INDEX(ctaVinc,MATCH(Q2628,ctaNombre,0))&amp;""&lt;&gt;"",INDEX(ctaVinc,MATCH(Q2628,ctaNombre,0))&amp;"",Q2628),Q2628))</f>
        <v/>
      </c>
      <c r="AC2628" s="52">
        <f>IF(OR(K2628="",AND(P2628&lt;&gt;"Transferencia",P2628&lt;&gt;"Pago tarjeta")),"",IFERROR(IF(INDEX(ctaVinc,MATCH(K2628,ctaNombre,0))&amp;""&lt;&gt;"",INDEX(ctaVinc,MATCH(K2628,ctaNombre,0))&amp;"",K2628),K2628))</f>
        <v/>
      </c>
      <c r="AD2628" s="52">
        <f>IF(AB2628="","",IFERROR(INDEX(ctaTipo,MATCH(AB2628,ctaNombre,0))&amp;"",""))</f>
        <v/>
      </c>
      <c r="AE2628" s="52">
        <f>IF(AC2628="","",IFERROR(INDEX(ctaTipo,MATCH(AC2628,ctaNombre,0))&amp;"",""))</f>
        <v/>
      </c>
      <c r="AF2628" s="53">
        <f>IF(OR(P2628="",AB2628=""),"",IF(OR(P2628="Gasto",P2628="Transferencia",P2628="Pago tarjeta"),-1,1)*IF(IFERROR(INDEX(ctaMoneda,MATCH(AB2628,ctaNombre,0))&amp;"","DOP")="USD",T2628,S2628))</f>
        <v/>
      </c>
      <c r="AG2628" s="53">
        <f>IF(AC2628="","",IF(IFERROR(INDEX(ctaMoneda,MATCH(AC2628,ctaNombre,0))&amp;"","DOP")="USD",T2628,S2628))</f>
        <v/>
      </c>
      <c r="AH2628" s="53">
        <f>IF(P2628="","",IF(AND(AD2628&lt;&gt;"",COUNTIFS(tcTipo,AD2628,tcLiq,"Sí")&gt;0),IF(OR(P2628="Gasto",P2628="Transferencia",P2628="Pago tarjeta"),-1,1)*S2628,0)+IF(AND(AE2628&lt;&gt;"",COUNTIFS(tcTipo,AE2628,tcLiq,"Sí")&gt;0),S2628,0))</f>
        <v/>
      </c>
      <c r="AI2628" s="52">
        <f>IF(OR(L2628="",P2628=""),"",IF(COUNTIFS(L$6:L2628,L2628,P$6:P2628,"?*")=1,MAX(AI$5:AI2627)+1,""))</f>
        <v/>
      </c>
    </row>
    <row r="2629">
      <c r="B2629" s="47" t="n"/>
      <c r="C2629" s="48" t="n"/>
      <c r="D2629" s="48" t="n"/>
      <c r="E2629" s="48" t="n"/>
      <c r="F2629" s="48" t="n"/>
      <c r="G2629" s="49" t="n"/>
      <c r="H2629" s="48" t="n"/>
      <c r="I2629" s="50" t="n"/>
      <c r="J2629" s="48" t="n"/>
      <c r="K2629" s="48" t="n"/>
      <c r="L2629" s="48" t="n"/>
      <c r="M2629" s="48" t="n"/>
      <c r="N2629" s="48" t="n"/>
      <c r="O2629" s="51">
        <f>IF(AND(B2629="",G2629="",C2629="",D2629="",J2629=""),"",IF(B2629="","⚠ Falta fecha",IF(G2629="","⚠ Falta monto",IF(Q2629="","⚠ Falta cuenta",IF(ISNA(MATCH(Q2629,ctaNombre,0)),"⚠ Cuenta no registrada",IF(AND(OR(P2629="Gasto",P2629="Reembolso"),D2629=""),"⚠ Falta categoría",IF(AND(D2629&lt;&gt;"",E2629&lt;&gt;"",ISNA(MATCH(D2629&amp;"|"&amp;E2629,catClave,0))),"⚠ Subcategoría no corresponde",IF(AND(OR(P2629="Transferencia",P2629="Pago tarjeta"),K2629=""),"⚠ Falta cuenta destino",IF(AND(K2629&lt;&gt;"",P2629&lt;&gt;"Transferencia",P2629&lt;&gt;"Pago tarjeta"),"⚠ Destino solo aplica a transferencias",IF(AND(K2629&lt;&gt;"",K2629=Q2629),"⚠ Origen igual a destino",IF(AND(K2629&lt;&gt;"",ISNA(MATCH(K2629,ctaNombre,0))),"⚠ Destino no registrado",IF(AND(P2629="Pago tarjeta",AE2629&lt;&gt;"Tarjeta de crédito"),"⚠ El destino debe ser tarjeta de crédito",IF(AND(P2629="Gasto",E2629="Depósitos y retiros"),"⚠ Usa tipo Transferencia",IF(AND(P2629="Resultado trading",AD2629&lt;&gt;"Cuenta de trading"),"⚠ Usa una cuenta de trading",IF(AND(G2629&lt;=0,P2629&lt;&gt;"Ajuste",P2629&lt;&gt;"Resultado trading"),"⚠ El monto debe ser positivo","✓")))))))))))))))</f>
        <v/>
      </c>
      <c r="P2629" s="52">
        <f>IF(OR(B2629="",G2629=""),"",IF(C2629="","Gasto",C2629))</f>
        <v/>
      </c>
      <c r="Q2629" s="52">
        <f>IF(P2629="","",IF(J2629&lt;&gt;"",J2629,CuentaPred&amp;""))</f>
        <v/>
      </c>
      <c r="R2629" s="52">
        <f>IF(P2629="","",IF(ISNUMBER(I2629),I2629,TasaUSD))</f>
        <v/>
      </c>
      <c r="S2629" s="53">
        <f>IF(P2629="","",IF(H2629="USD",G2629*R2629,G2629))</f>
        <v/>
      </c>
      <c r="T2629" s="53">
        <f>IF(P2629="","",IF(H2629="USD",G2629,IF(R2629&gt;0,G2629/R2629,0)))</f>
        <v/>
      </c>
      <c r="U2629" s="53">
        <f>IF(P2629="","",IF(P2629="Gasto",S2629,IF(P2629="Reembolso",-S2629,0)))</f>
        <v/>
      </c>
      <c r="V2629" s="53">
        <f>IF(P2629="","",IF(P2629="Ingreso",S2629,0))</f>
        <v/>
      </c>
      <c r="W2629" s="53">
        <f>IF(P2629="","",IF(P2629="Resultado trading",S2629,0))</f>
        <v/>
      </c>
      <c r="X2629" s="52">
        <f>IF(OR(P2629="Gasto",P2629="Reembolso"),IF(M2629&lt;&gt;"",M2629,IFERROR(INDEX(catClasif,MATCH(D2629&amp;"|"&amp;E2629,catClave,0))&amp;"","Variable")),"")</f>
        <v/>
      </c>
      <c r="Y2629" s="52">
        <f>IF(P2629="","",IFERROR(INDEX(catGrupo,MATCH(D2629&amp;"|"&amp;E2629,catClave,0))&amp;"",""))</f>
        <v/>
      </c>
      <c r="Z2629" s="52">
        <f>IF(P2629="","",WEEKDAY(B2629,2))</f>
        <v/>
      </c>
      <c r="AA2629" s="52">
        <f>IF(P2629="","",IF(AND(P2629="Gasto",X2629="Variable",D2629&lt;&gt;catTrading,S2629&gt;0,S2629&lt;=Umbral),1,0))</f>
        <v/>
      </c>
      <c r="AB2629" s="52">
        <f>IF(OR(P2629="",Q2629=""),"",IFERROR(IF(INDEX(ctaVinc,MATCH(Q2629,ctaNombre,0))&amp;""&lt;&gt;"",INDEX(ctaVinc,MATCH(Q2629,ctaNombre,0))&amp;"",Q2629),Q2629))</f>
        <v/>
      </c>
      <c r="AC2629" s="52">
        <f>IF(OR(K2629="",AND(P2629&lt;&gt;"Transferencia",P2629&lt;&gt;"Pago tarjeta")),"",IFERROR(IF(INDEX(ctaVinc,MATCH(K2629,ctaNombre,0))&amp;""&lt;&gt;"",INDEX(ctaVinc,MATCH(K2629,ctaNombre,0))&amp;"",K2629),K2629))</f>
        <v/>
      </c>
      <c r="AD2629" s="52">
        <f>IF(AB2629="","",IFERROR(INDEX(ctaTipo,MATCH(AB2629,ctaNombre,0))&amp;"",""))</f>
        <v/>
      </c>
      <c r="AE2629" s="52">
        <f>IF(AC2629="","",IFERROR(INDEX(ctaTipo,MATCH(AC2629,ctaNombre,0))&amp;"",""))</f>
        <v/>
      </c>
      <c r="AF2629" s="53">
        <f>IF(OR(P2629="",AB2629=""),"",IF(OR(P2629="Gasto",P2629="Transferencia",P2629="Pago tarjeta"),-1,1)*IF(IFERROR(INDEX(ctaMoneda,MATCH(AB2629,ctaNombre,0))&amp;"","DOP")="USD",T2629,S2629))</f>
        <v/>
      </c>
      <c r="AG2629" s="53">
        <f>IF(AC2629="","",IF(IFERROR(INDEX(ctaMoneda,MATCH(AC2629,ctaNombre,0))&amp;"","DOP")="USD",T2629,S2629))</f>
        <v/>
      </c>
      <c r="AH2629" s="53">
        <f>IF(P2629="","",IF(AND(AD2629&lt;&gt;"",COUNTIFS(tcTipo,AD2629,tcLiq,"Sí")&gt;0),IF(OR(P2629="Gasto",P2629="Transferencia",P2629="Pago tarjeta"),-1,1)*S2629,0)+IF(AND(AE2629&lt;&gt;"",COUNTIFS(tcTipo,AE2629,tcLiq,"Sí")&gt;0),S2629,0))</f>
        <v/>
      </c>
      <c r="AI2629" s="52">
        <f>IF(OR(L2629="",P2629=""),"",IF(COUNTIFS(L$6:L2629,L2629,P$6:P2629,"?*")=1,MAX(AI$5:AI2628)+1,""))</f>
        <v/>
      </c>
    </row>
    <row r="2630">
      <c r="B2630" s="47" t="n"/>
      <c r="C2630" s="48" t="n"/>
      <c r="D2630" s="48" t="n"/>
      <c r="E2630" s="48" t="n"/>
      <c r="F2630" s="48" t="n"/>
      <c r="G2630" s="49" t="n"/>
      <c r="H2630" s="48" t="n"/>
      <c r="I2630" s="50" t="n"/>
      <c r="J2630" s="48" t="n"/>
      <c r="K2630" s="48" t="n"/>
      <c r="L2630" s="48" t="n"/>
      <c r="M2630" s="48" t="n"/>
      <c r="N2630" s="48" t="n"/>
      <c r="O2630" s="51">
        <f>IF(AND(B2630="",G2630="",C2630="",D2630="",J2630=""),"",IF(B2630="","⚠ Falta fecha",IF(G2630="","⚠ Falta monto",IF(Q2630="","⚠ Falta cuenta",IF(ISNA(MATCH(Q2630,ctaNombre,0)),"⚠ Cuenta no registrada",IF(AND(OR(P2630="Gasto",P2630="Reembolso"),D2630=""),"⚠ Falta categoría",IF(AND(D2630&lt;&gt;"",E2630&lt;&gt;"",ISNA(MATCH(D2630&amp;"|"&amp;E2630,catClave,0))),"⚠ Subcategoría no corresponde",IF(AND(OR(P2630="Transferencia",P2630="Pago tarjeta"),K2630=""),"⚠ Falta cuenta destino",IF(AND(K2630&lt;&gt;"",P2630&lt;&gt;"Transferencia",P2630&lt;&gt;"Pago tarjeta"),"⚠ Destino solo aplica a transferencias",IF(AND(K2630&lt;&gt;"",K2630=Q2630),"⚠ Origen igual a destino",IF(AND(K2630&lt;&gt;"",ISNA(MATCH(K2630,ctaNombre,0))),"⚠ Destino no registrado",IF(AND(P2630="Pago tarjeta",AE2630&lt;&gt;"Tarjeta de crédito"),"⚠ El destino debe ser tarjeta de crédito",IF(AND(P2630="Gasto",E2630="Depósitos y retiros"),"⚠ Usa tipo Transferencia",IF(AND(P2630="Resultado trading",AD2630&lt;&gt;"Cuenta de trading"),"⚠ Usa una cuenta de trading",IF(AND(G2630&lt;=0,P2630&lt;&gt;"Ajuste",P2630&lt;&gt;"Resultado trading"),"⚠ El monto debe ser positivo","✓")))))))))))))))</f>
        <v/>
      </c>
      <c r="P2630" s="52">
        <f>IF(OR(B2630="",G2630=""),"",IF(C2630="","Gasto",C2630))</f>
        <v/>
      </c>
      <c r="Q2630" s="52">
        <f>IF(P2630="","",IF(J2630&lt;&gt;"",J2630,CuentaPred&amp;""))</f>
        <v/>
      </c>
      <c r="R2630" s="52">
        <f>IF(P2630="","",IF(ISNUMBER(I2630),I2630,TasaUSD))</f>
        <v/>
      </c>
      <c r="S2630" s="53">
        <f>IF(P2630="","",IF(H2630="USD",G2630*R2630,G2630))</f>
        <v/>
      </c>
      <c r="T2630" s="53">
        <f>IF(P2630="","",IF(H2630="USD",G2630,IF(R2630&gt;0,G2630/R2630,0)))</f>
        <v/>
      </c>
      <c r="U2630" s="53">
        <f>IF(P2630="","",IF(P2630="Gasto",S2630,IF(P2630="Reembolso",-S2630,0)))</f>
        <v/>
      </c>
      <c r="V2630" s="53">
        <f>IF(P2630="","",IF(P2630="Ingreso",S2630,0))</f>
        <v/>
      </c>
      <c r="W2630" s="53">
        <f>IF(P2630="","",IF(P2630="Resultado trading",S2630,0))</f>
        <v/>
      </c>
      <c r="X2630" s="52">
        <f>IF(OR(P2630="Gasto",P2630="Reembolso"),IF(M2630&lt;&gt;"",M2630,IFERROR(INDEX(catClasif,MATCH(D2630&amp;"|"&amp;E2630,catClave,0))&amp;"","Variable")),"")</f>
        <v/>
      </c>
      <c r="Y2630" s="52">
        <f>IF(P2630="","",IFERROR(INDEX(catGrupo,MATCH(D2630&amp;"|"&amp;E2630,catClave,0))&amp;"",""))</f>
        <v/>
      </c>
      <c r="Z2630" s="52">
        <f>IF(P2630="","",WEEKDAY(B2630,2))</f>
        <v/>
      </c>
      <c r="AA2630" s="52">
        <f>IF(P2630="","",IF(AND(P2630="Gasto",X2630="Variable",D2630&lt;&gt;catTrading,S2630&gt;0,S2630&lt;=Umbral),1,0))</f>
        <v/>
      </c>
      <c r="AB2630" s="52">
        <f>IF(OR(P2630="",Q2630=""),"",IFERROR(IF(INDEX(ctaVinc,MATCH(Q2630,ctaNombre,0))&amp;""&lt;&gt;"",INDEX(ctaVinc,MATCH(Q2630,ctaNombre,0))&amp;"",Q2630),Q2630))</f>
        <v/>
      </c>
      <c r="AC2630" s="52">
        <f>IF(OR(K2630="",AND(P2630&lt;&gt;"Transferencia",P2630&lt;&gt;"Pago tarjeta")),"",IFERROR(IF(INDEX(ctaVinc,MATCH(K2630,ctaNombre,0))&amp;""&lt;&gt;"",INDEX(ctaVinc,MATCH(K2630,ctaNombre,0))&amp;"",K2630),K2630))</f>
        <v/>
      </c>
      <c r="AD2630" s="52">
        <f>IF(AB2630="","",IFERROR(INDEX(ctaTipo,MATCH(AB2630,ctaNombre,0))&amp;"",""))</f>
        <v/>
      </c>
      <c r="AE2630" s="52">
        <f>IF(AC2630="","",IFERROR(INDEX(ctaTipo,MATCH(AC2630,ctaNombre,0))&amp;"",""))</f>
        <v/>
      </c>
      <c r="AF2630" s="53">
        <f>IF(OR(P2630="",AB2630=""),"",IF(OR(P2630="Gasto",P2630="Transferencia",P2630="Pago tarjeta"),-1,1)*IF(IFERROR(INDEX(ctaMoneda,MATCH(AB2630,ctaNombre,0))&amp;"","DOP")="USD",T2630,S2630))</f>
        <v/>
      </c>
      <c r="AG2630" s="53">
        <f>IF(AC2630="","",IF(IFERROR(INDEX(ctaMoneda,MATCH(AC2630,ctaNombre,0))&amp;"","DOP")="USD",T2630,S2630))</f>
        <v/>
      </c>
      <c r="AH2630" s="53">
        <f>IF(P2630="","",IF(AND(AD2630&lt;&gt;"",COUNTIFS(tcTipo,AD2630,tcLiq,"Sí")&gt;0),IF(OR(P2630="Gasto",P2630="Transferencia",P2630="Pago tarjeta"),-1,1)*S2630,0)+IF(AND(AE2630&lt;&gt;"",COUNTIFS(tcTipo,AE2630,tcLiq,"Sí")&gt;0),S2630,0))</f>
        <v/>
      </c>
      <c r="AI2630" s="52">
        <f>IF(OR(L2630="",P2630=""),"",IF(COUNTIFS(L$6:L2630,L2630,P$6:P2630,"?*")=1,MAX(AI$5:AI2629)+1,""))</f>
        <v/>
      </c>
    </row>
    <row r="2631">
      <c r="B2631" s="47" t="n"/>
      <c r="C2631" s="48" t="n"/>
      <c r="D2631" s="48" t="n"/>
      <c r="E2631" s="48" t="n"/>
      <c r="F2631" s="48" t="n"/>
      <c r="G2631" s="49" t="n"/>
      <c r="H2631" s="48" t="n"/>
      <c r="I2631" s="50" t="n"/>
      <c r="J2631" s="48" t="n"/>
      <c r="K2631" s="48" t="n"/>
      <c r="L2631" s="48" t="n"/>
      <c r="M2631" s="48" t="n"/>
      <c r="N2631" s="48" t="n"/>
      <c r="O2631" s="51">
        <f>IF(AND(B2631="",G2631="",C2631="",D2631="",J2631=""),"",IF(B2631="","⚠ Falta fecha",IF(G2631="","⚠ Falta monto",IF(Q2631="","⚠ Falta cuenta",IF(ISNA(MATCH(Q2631,ctaNombre,0)),"⚠ Cuenta no registrada",IF(AND(OR(P2631="Gasto",P2631="Reembolso"),D2631=""),"⚠ Falta categoría",IF(AND(D2631&lt;&gt;"",E2631&lt;&gt;"",ISNA(MATCH(D2631&amp;"|"&amp;E2631,catClave,0))),"⚠ Subcategoría no corresponde",IF(AND(OR(P2631="Transferencia",P2631="Pago tarjeta"),K2631=""),"⚠ Falta cuenta destino",IF(AND(K2631&lt;&gt;"",P2631&lt;&gt;"Transferencia",P2631&lt;&gt;"Pago tarjeta"),"⚠ Destino solo aplica a transferencias",IF(AND(K2631&lt;&gt;"",K2631=Q2631),"⚠ Origen igual a destino",IF(AND(K2631&lt;&gt;"",ISNA(MATCH(K2631,ctaNombre,0))),"⚠ Destino no registrado",IF(AND(P2631="Pago tarjeta",AE2631&lt;&gt;"Tarjeta de crédito"),"⚠ El destino debe ser tarjeta de crédito",IF(AND(P2631="Gasto",E2631="Depósitos y retiros"),"⚠ Usa tipo Transferencia",IF(AND(P2631="Resultado trading",AD2631&lt;&gt;"Cuenta de trading"),"⚠ Usa una cuenta de trading",IF(AND(G2631&lt;=0,P2631&lt;&gt;"Ajuste",P2631&lt;&gt;"Resultado trading"),"⚠ El monto debe ser positivo","✓")))))))))))))))</f>
        <v/>
      </c>
      <c r="P2631" s="52">
        <f>IF(OR(B2631="",G2631=""),"",IF(C2631="","Gasto",C2631))</f>
        <v/>
      </c>
      <c r="Q2631" s="52">
        <f>IF(P2631="","",IF(J2631&lt;&gt;"",J2631,CuentaPred&amp;""))</f>
        <v/>
      </c>
      <c r="R2631" s="52">
        <f>IF(P2631="","",IF(ISNUMBER(I2631),I2631,TasaUSD))</f>
        <v/>
      </c>
      <c r="S2631" s="53">
        <f>IF(P2631="","",IF(H2631="USD",G2631*R2631,G2631))</f>
        <v/>
      </c>
      <c r="T2631" s="53">
        <f>IF(P2631="","",IF(H2631="USD",G2631,IF(R2631&gt;0,G2631/R2631,0)))</f>
        <v/>
      </c>
      <c r="U2631" s="53">
        <f>IF(P2631="","",IF(P2631="Gasto",S2631,IF(P2631="Reembolso",-S2631,0)))</f>
        <v/>
      </c>
      <c r="V2631" s="53">
        <f>IF(P2631="","",IF(P2631="Ingreso",S2631,0))</f>
        <v/>
      </c>
      <c r="W2631" s="53">
        <f>IF(P2631="","",IF(P2631="Resultado trading",S2631,0))</f>
        <v/>
      </c>
      <c r="X2631" s="52">
        <f>IF(OR(P2631="Gasto",P2631="Reembolso"),IF(M2631&lt;&gt;"",M2631,IFERROR(INDEX(catClasif,MATCH(D2631&amp;"|"&amp;E2631,catClave,0))&amp;"","Variable")),"")</f>
        <v/>
      </c>
      <c r="Y2631" s="52">
        <f>IF(P2631="","",IFERROR(INDEX(catGrupo,MATCH(D2631&amp;"|"&amp;E2631,catClave,0))&amp;"",""))</f>
        <v/>
      </c>
      <c r="Z2631" s="52">
        <f>IF(P2631="","",WEEKDAY(B2631,2))</f>
        <v/>
      </c>
      <c r="AA2631" s="52">
        <f>IF(P2631="","",IF(AND(P2631="Gasto",X2631="Variable",D2631&lt;&gt;catTrading,S2631&gt;0,S2631&lt;=Umbral),1,0))</f>
        <v/>
      </c>
      <c r="AB2631" s="52">
        <f>IF(OR(P2631="",Q2631=""),"",IFERROR(IF(INDEX(ctaVinc,MATCH(Q2631,ctaNombre,0))&amp;""&lt;&gt;"",INDEX(ctaVinc,MATCH(Q2631,ctaNombre,0))&amp;"",Q2631),Q2631))</f>
        <v/>
      </c>
      <c r="AC2631" s="52">
        <f>IF(OR(K2631="",AND(P2631&lt;&gt;"Transferencia",P2631&lt;&gt;"Pago tarjeta")),"",IFERROR(IF(INDEX(ctaVinc,MATCH(K2631,ctaNombre,0))&amp;""&lt;&gt;"",INDEX(ctaVinc,MATCH(K2631,ctaNombre,0))&amp;"",K2631),K2631))</f>
        <v/>
      </c>
      <c r="AD2631" s="52">
        <f>IF(AB2631="","",IFERROR(INDEX(ctaTipo,MATCH(AB2631,ctaNombre,0))&amp;"",""))</f>
        <v/>
      </c>
      <c r="AE2631" s="52">
        <f>IF(AC2631="","",IFERROR(INDEX(ctaTipo,MATCH(AC2631,ctaNombre,0))&amp;"",""))</f>
        <v/>
      </c>
      <c r="AF2631" s="53">
        <f>IF(OR(P2631="",AB2631=""),"",IF(OR(P2631="Gasto",P2631="Transferencia",P2631="Pago tarjeta"),-1,1)*IF(IFERROR(INDEX(ctaMoneda,MATCH(AB2631,ctaNombre,0))&amp;"","DOP")="USD",T2631,S2631))</f>
        <v/>
      </c>
      <c r="AG2631" s="53">
        <f>IF(AC2631="","",IF(IFERROR(INDEX(ctaMoneda,MATCH(AC2631,ctaNombre,0))&amp;"","DOP")="USD",T2631,S2631))</f>
        <v/>
      </c>
      <c r="AH2631" s="53">
        <f>IF(P2631="","",IF(AND(AD2631&lt;&gt;"",COUNTIFS(tcTipo,AD2631,tcLiq,"Sí")&gt;0),IF(OR(P2631="Gasto",P2631="Transferencia",P2631="Pago tarjeta"),-1,1)*S2631,0)+IF(AND(AE2631&lt;&gt;"",COUNTIFS(tcTipo,AE2631,tcLiq,"Sí")&gt;0),S2631,0))</f>
        <v/>
      </c>
      <c r="AI2631" s="52">
        <f>IF(OR(L2631="",P2631=""),"",IF(COUNTIFS(L$6:L2631,L2631,P$6:P2631,"?*")=1,MAX(AI$5:AI2630)+1,""))</f>
        <v/>
      </c>
    </row>
    <row r="2632">
      <c r="B2632" s="47" t="n"/>
      <c r="C2632" s="48" t="n"/>
      <c r="D2632" s="48" t="n"/>
      <c r="E2632" s="48" t="n"/>
      <c r="F2632" s="48" t="n"/>
      <c r="G2632" s="49" t="n"/>
      <c r="H2632" s="48" t="n"/>
      <c r="I2632" s="50" t="n"/>
      <c r="J2632" s="48" t="n"/>
      <c r="K2632" s="48" t="n"/>
      <c r="L2632" s="48" t="n"/>
      <c r="M2632" s="48" t="n"/>
      <c r="N2632" s="48" t="n"/>
      <c r="O2632" s="51">
        <f>IF(AND(B2632="",G2632="",C2632="",D2632="",J2632=""),"",IF(B2632="","⚠ Falta fecha",IF(G2632="","⚠ Falta monto",IF(Q2632="","⚠ Falta cuenta",IF(ISNA(MATCH(Q2632,ctaNombre,0)),"⚠ Cuenta no registrada",IF(AND(OR(P2632="Gasto",P2632="Reembolso"),D2632=""),"⚠ Falta categoría",IF(AND(D2632&lt;&gt;"",E2632&lt;&gt;"",ISNA(MATCH(D2632&amp;"|"&amp;E2632,catClave,0))),"⚠ Subcategoría no corresponde",IF(AND(OR(P2632="Transferencia",P2632="Pago tarjeta"),K2632=""),"⚠ Falta cuenta destino",IF(AND(K2632&lt;&gt;"",P2632&lt;&gt;"Transferencia",P2632&lt;&gt;"Pago tarjeta"),"⚠ Destino solo aplica a transferencias",IF(AND(K2632&lt;&gt;"",K2632=Q2632),"⚠ Origen igual a destino",IF(AND(K2632&lt;&gt;"",ISNA(MATCH(K2632,ctaNombre,0))),"⚠ Destino no registrado",IF(AND(P2632="Pago tarjeta",AE2632&lt;&gt;"Tarjeta de crédito"),"⚠ El destino debe ser tarjeta de crédito",IF(AND(P2632="Gasto",E2632="Depósitos y retiros"),"⚠ Usa tipo Transferencia",IF(AND(P2632="Resultado trading",AD2632&lt;&gt;"Cuenta de trading"),"⚠ Usa una cuenta de trading",IF(AND(G2632&lt;=0,P2632&lt;&gt;"Ajuste",P2632&lt;&gt;"Resultado trading"),"⚠ El monto debe ser positivo","✓")))))))))))))))</f>
        <v/>
      </c>
      <c r="P2632" s="52">
        <f>IF(OR(B2632="",G2632=""),"",IF(C2632="","Gasto",C2632))</f>
        <v/>
      </c>
      <c r="Q2632" s="52">
        <f>IF(P2632="","",IF(J2632&lt;&gt;"",J2632,CuentaPred&amp;""))</f>
        <v/>
      </c>
      <c r="R2632" s="52">
        <f>IF(P2632="","",IF(ISNUMBER(I2632),I2632,TasaUSD))</f>
        <v/>
      </c>
      <c r="S2632" s="53">
        <f>IF(P2632="","",IF(H2632="USD",G2632*R2632,G2632))</f>
        <v/>
      </c>
      <c r="T2632" s="53">
        <f>IF(P2632="","",IF(H2632="USD",G2632,IF(R2632&gt;0,G2632/R2632,0)))</f>
        <v/>
      </c>
      <c r="U2632" s="53">
        <f>IF(P2632="","",IF(P2632="Gasto",S2632,IF(P2632="Reembolso",-S2632,0)))</f>
        <v/>
      </c>
      <c r="V2632" s="53">
        <f>IF(P2632="","",IF(P2632="Ingreso",S2632,0))</f>
        <v/>
      </c>
      <c r="W2632" s="53">
        <f>IF(P2632="","",IF(P2632="Resultado trading",S2632,0))</f>
        <v/>
      </c>
      <c r="X2632" s="52">
        <f>IF(OR(P2632="Gasto",P2632="Reembolso"),IF(M2632&lt;&gt;"",M2632,IFERROR(INDEX(catClasif,MATCH(D2632&amp;"|"&amp;E2632,catClave,0))&amp;"","Variable")),"")</f>
        <v/>
      </c>
      <c r="Y2632" s="52">
        <f>IF(P2632="","",IFERROR(INDEX(catGrupo,MATCH(D2632&amp;"|"&amp;E2632,catClave,0))&amp;"",""))</f>
        <v/>
      </c>
      <c r="Z2632" s="52">
        <f>IF(P2632="","",WEEKDAY(B2632,2))</f>
        <v/>
      </c>
      <c r="AA2632" s="52">
        <f>IF(P2632="","",IF(AND(P2632="Gasto",X2632="Variable",D2632&lt;&gt;catTrading,S2632&gt;0,S2632&lt;=Umbral),1,0))</f>
        <v/>
      </c>
      <c r="AB2632" s="52">
        <f>IF(OR(P2632="",Q2632=""),"",IFERROR(IF(INDEX(ctaVinc,MATCH(Q2632,ctaNombre,0))&amp;""&lt;&gt;"",INDEX(ctaVinc,MATCH(Q2632,ctaNombre,0))&amp;"",Q2632),Q2632))</f>
        <v/>
      </c>
      <c r="AC2632" s="52">
        <f>IF(OR(K2632="",AND(P2632&lt;&gt;"Transferencia",P2632&lt;&gt;"Pago tarjeta")),"",IFERROR(IF(INDEX(ctaVinc,MATCH(K2632,ctaNombre,0))&amp;""&lt;&gt;"",INDEX(ctaVinc,MATCH(K2632,ctaNombre,0))&amp;"",K2632),K2632))</f>
        <v/>
      </c>
      <c r="AD2632" s="52">
        <f>IF(AB2632="","",IFERROR(INDEX(ctaTipo,MATCH(AB2632,ctaNombre,0))&amp;"",""))</f>
        <v/>
      </c>
      <c r="AE2632" s="52">
        <f>IF(AC2632="","",IFERROR(INDEX(ctaTipo,MATCH(AC2632,ctaNombre,0))&amp;"",""))</f>
        <v/>
      </c>
      <c r="AF2632" s="53">
        <f>IF(OR(P2632="",AB2632=""),"",IF(OR(P2632="Gasto",P2632="Transferencia",P2632="Pago tarjeta"),-1,1)*IF(IFERROR(INDEX(ctaMoneda,MATCH(AB2632,ctaNombre,0))&amp;"","DOP")="USD",T2632,S2632))</f>
        <v/>
      </c>
      <c r="AG2632" s="53">
        <f>IF(AC2632="","",IF(IFERROR(INDEX(ctaMoneda,MATCH(AC2632,ctaNombre,0))&amp;"","DOP")="USD",T2632,S2632))</f>
        <v/>
      </c>
      <c r="AH2632" s="53">
        <f>IF(P2632="","",IF(AND(AD2632&lt;&gt;"",COUNTIFS(tcTipo,AD2632,tcLiq,"Sí")&gt;0),IF(OR(P2632="Gasto",P2632="Transferencia",P2632="Pago tarjeta"),-1,1)*S2632,0)+IF(AND(AE2632&lt;&gt;"",COUNTIFS(tcTipo,AE2632,tcLiq,"Sí")&gt;0),S2632,0))</f>
        <v/>
      </c>
      <c r="AI2632" s="52">
        <f>IF(OR(L2632="",P2632=""),"",IF(COUNTIFS(L$6:L2632,L2632,P$6:P2632,"?*")=1,MAX(AI$5:AI2631)+1,""))</f>
        <v/>
      </c>
    </row>
    <row r="2633">
      <c r="B2633" s="47" t="n"/>
      <c r="C2633" s="48" t="n"/>
      <c r="D2633" s="48" t="n"/>
      <c r="E2633" s="48" t="n"/>
      <c r="F2633" s="48" t="n"/>
      <c r="G2633" s="49" t="n"/>
      <c r="H2633" s="48" t="n"/>
      <c r="I2633" s="50" t="n"/>
      <c r="J2633" s="48" t="n"/>
      <c r="K2633" s="48" t="n"/>
      <c r="L2633" s="48" t="n"/>
      <c r="M2633" s="48" t="n"/>
      <c r="N2633" s="48" t="n"/>
      <c r="O2633" s="51">
        <f>IF(AND(B2633="",G2633="",C2633="",D2633="",J2633=""),"",IF(B2633="","⚠ Falta fecha",IF(G2633="","⚠ Falta monto",IF(Q2633="","⚠ Falta cuenta",IF(ISNA(MATCH(Q2633,ctaNombre,0)),"⚠ Cuenta no registrada",IF(AND(OR(P2633="Gasto",P2633="Reembolso"),D2633=""),"⚠ Falta categoría",IF(AND(D2633&lt;&gt;"",E2633&lt;&gt;"",ISNA(MATCH(D2633&amp;"|"&amp;E2633,catClave,0))),"⚠ Subcategoría no corresponde",IF(AND(OR(P2633="Transferencia",P2633="Pago tarjeta"),K2633=""),"⚠ Falta cuenta destino",IF(AND(K2633&lt;&gt;"",P2633&lt;&gt;"Transferencia",P2633&lt;&gt;"Pago tarjeta"),"⚠ Destino solo aplica a transferencias",IF(AND(K2633&lt;&gt;"",K2633=Q2633),"⚠ Origen igual a destino",IF(AND(K2633&lt;&gt;"",ISNA(MATCH(K2633,ctaNombre,0))),"⚠ Destino no registrado",IF(AND(P2633="Pago tarjeta",AE2633&lt;&gt;"Tarjeta de crédito"),"⚠ El destino debe ser tarjeta de crédito",IF(AND(P2633="Gasto",E2633="Depósitos y retiros"),"⚠ Usa tipo Transferencia",IF(AND(P2633="Resultado trading",AD2633&lt;&gt;"Cuenta de trading"),"⚠ Usa una cuenta de trading",IF(AND(G2633&lt;=0,P2633&lt;&gt;"Ajuste",P2633&lt;&gt;"Resultado trading"),"⚠ El monto debe ser positivo","✓")))))))))))))))</f>
        <v/>
      </c>
      <c r="P2633" s="52">
        <f>IF(OR(B2633="",G2633=""),"",IF(C2633="","Gasto",C2633))</f>
        <v/>
      </c>
      <c r="Q2633" s="52">
        <f>IF(P2633="","",IF(J2633&lt;&gt;"",J2633,CuentaPred&amp;""))</f>
        <v/>
      </c>
      <c r="R2633" s="52">
        <f>IF(P2633="","",IF(ISNUMBER(I2633),I2633,TasaUSD))</f>
        <v/>
      </c>
      <c r="S2633" s="53">
        <f>IF(P2633="","",IF(H2633="USD",G2633*R2633,G2633))</f>
        <v/>
      </c>
      <c r="T2633" s="53">
        <f>IF(P2633="","",IF(H2633="USD",G2633,IF(R2633&gt;0,G2633/R2633,0)))</f>
        <v/>
      </c>
      <c r="U2633" s="53">
        <f>IF(P2633="","",IF(P2633="Gasto",S2633,IF(P2633="Reembolso",-S2633,0)))</f>
        <v/>
      </c>
      <c r="V2633" s="53">
        <f>IF(P2633="","",IF(P2633="Ingreso",S2633,0))</f>
        <v/>
      </c>
      <c r="W2633" s="53">
        <f>IF(P2633="","",IF(P2633="Resultado trading",S2633,0))</f>
        <v/>
      </c>
      <c r="X2633" s="52">
        <f>IF(OR(P2633="Gasto",P2633="Reembolso"),IF(M2633&lt;&gt;"",M2633,IFERROR(INDEX(catClasif,MATCH(D2633&amp;"|"&amp;E2633,catClave,0))&amp;"","Variable")),"")</f>
        <v/>
      </c>
      <c r="Y2633" s="52">
        <f>IF(P2633="","",IFERROR(INDEX(catGrupo,MATCH(D2633&amp;"|"&amp;E2633,catClave,0))&amp;"",""))</f>
        <v/>
      </c>
      <c r="Z2633" s="52">
        <f>IF(P2633="","",WEEKDAY(B2633,2))</f>
        <v/>
      </c>
      <c r="AA2633" s="52">
        <f>IF(P2633="","",IF(AND(P2633="Gasto",X2633="Variable",D2633&lt;&gt;catTrading,S2633&gt;0,S2633&lt;=Umbral),1,0))</f>
        <v/>
      </c>
      <c r="AB2633" s="52">
        <f>IF(OR(P2633="",Q2633=""),"",IFERROR(IF(INDEX(ctaVinc,MATCH(Q2633,ctaNombre,0))&amp;""&lt;&gt;"",INDEX(ctaVinc,MATCH(Q2633,ctaNombre,0))&amp;"",Q2633),Q2633))</f>
        <v/>
      </c>
      <c r="AC2633" s="52">
        <f>IF(OR(K2633="",AND(P2633&lt;&gt;"Transferencia",P2633&lt;&gt;"Pago tarjeta")),"",IFERROR(IF(INDEX(ctaVinc,MATCH(K2633,ctaNombre,0))&amp;""&lt;&gt;"",INDEX(ctaVinc,MATCH(K2633,ctaNombre,0))&amp;"",K2633),K2633))</f>
        <v/>
      </c>
      <c r="AD2633" s="52">
        <f>IF(AB2633="","",IFERROR(INDEX(ctaTipo,MATCH(AB2633,ctaNombre,0))&amp;"",""))</f>
        <v/>
      </c>
      <c r="AE2633" s="52">
        <f>IF(AC2633="","",IFERROR(INDEX(ctaTipo,MATCH(AC2633,ctaNombre,0))&amp;"",""))</f>
        <v/>
      </c>
      <c r="AF2633" s="53">
        <f>IF(OR(P2633="",AB2633=""),"",IF(OR(P2633="Gasto",P2633="Transferencia",P2633="Pago tarjeta"),-1,1)*IF(IFERROR(INDEX(ctaMoneda,MATCH(AB2633,ctaNombre,0))&amp;"","DOP")="USD",T2633,S2633))</f>
        <v/>
      </c>
      <c r="AG2633" s="53">
        <f>IF(AC2633="","",IF(IFERROR(INDEX(ctaMoneda,MATCH(AC2633,ctaNombre,0))&amp;"","DOP")="USD",T2633,S2633))</f>
        <v/>
      </c>
      <c r="AH2633" s="53">
        <f>IF(P2633="","",IF(AND(AD2633&lt;&gt;"",COUNTIFS(tcTipo,AD2633,tcLiq,"Sí")&gt;0),IF(OR(P2633="Gasto",P2633="Transferencia",P2633="Pago tarjeta"),-1,1)*S2633,0)+IF(AND(AE2633&lt;&gt;"",COUNTIFS(tcTipo,AE2633,tcLiq,"Sí")&gt;0),S2633,0))</f>
        <v/>
      </c>
      <c r="AI2633" s="52">
        <f>IF(OR(L2633="",P2633=""),"",IF(COUNTIFS(L$6:L2633,L2633,P$6:P2633,"?*")=1,MAX(AI$5:AI2632)+1,""))</f>
        <v/>
      </c>
    </row>
    <row r="2634">
      <c r="B2634" s="47" t="n"/>
      <c r="C2634" s="48" t="n"/>
      <c r="D2634" s="48" t="n"/>
      <c r="E2634" s="48" t="n"/>
      <c r="F2634" s="48" t="n"/>
      <c r="G2634" s="49" t="n"/>
      <c r="H2634" s="48" t="n"/>
      <c r="I2634" s="50" t="n"/>
      <c r="J2634" s="48" t="n"/>
      <c r="K2634" s="48" t="n"/>
      <c r="L2634" s="48" t="n"/>
      <c r="M2634" s="48" t="n"/>
      <c r="N2634" s="48" t="n"/>
      <c r="O2634" s="51">
        <f>IF(AND(B2634="",G2634="",C2634="",D2634="",J2634=""),"",IF(B2634="","⚠ Falta fecha",IF(G2634="","⚠ Falta monto",IF(Q2634="","⚠ Falta cuenta",IF(ISNA(MATCH(Q2634,ctaNombre,0)),"⚠ Cuenta no registrada",IF(AND(OR(P2634="Gasto",P2634="Reembolso"),D2634=""),"⚠ Falta categoría",IF(AND(D2634&lt;&gt;"",E2634&lt;&gt;"",ISNA(MATCH(D2634&amp;"|"&amp;E2634,catClave,0))),"⚠ Subcategoría no corresponde",IF(AND(OR(P2634="Transferencia",P2634="Pago tarjeta"),K2634=""),"⚠ Falta cuenta destino",IF(AND(K2634&lt;&gt;"",P2634&lt;&gt;"Transferencia",P2634&lt;&gt;"Pago tarjeta"),"⚠ Destino solo aplica a transferencias",IF(AND(K2634&lt;&gt;"",K2634=Q2634),"⚠ Origen igual a destino",IF(AND(K2634&lt;&gt;"",ISNA(MATCH(K2634,ctaNombre,0))),"⚠ Destino no registrado",IF(AND(P2634="Pago tarjeta",AE2634&lt;&gt;"Tarjeta de crédito"),"⚠ El destino debe ser tarjeta de crédito",IF(AND(P2634="Gasto",E2634="Depósitos y retiros"),"⚠ Usa tipo Transferencia",IF(AND(P2634="Resultado trading",AD2634&lt;&gt;"Cuenta de trading"),"⚠ Usa una cuenta de trading",IF(AND(G2634&lt;=0,P2634&lt;&gt;"Ajuste",P2634&lt;&gt;"Resultado trading"),"⚠ El monto debe ser positivo","✓")))))))))))))))</f>
        <v/>
      </c>
      <c r="P2634" s="52">
        <f>IF(OR(B2634="",G2634=""),"",IF(C2634="","Gasto",C2634))</f>
        <v/>
      </c>
      <c r="Q2634" s="52">
        <f>IF(P2634="","",IF(J2634&lt;&gt;"",J2634,CuentaPred&amp;""))</f>
        <v/>
      </c>
      <c r="R2634" s="52">
        <f>IF(P2634="","",IF(ISNUMBER(I2634),I2634,TasaUSD))</f>
        <v/>
      </c>
      <c r="S2634" s="53">
        <f>IF(P2634="","",IF(H2634="USD",G2634*R2634,G2634))</f>
        <v/>
      </c>
      <c r="T2634" s="53">
        <f>IF(P2634="","",IF(H2634="USD",G2634,IF(R2634&gt;0,G2634/R2634,0)))</f>
        <v/>
      </c>
      <c r="U2634" s="53">
        <f>IF(P2634="","",IF(P2634="Gasto",S2634,IF(P2634="Reembolso",-S2634,0)))</f>
        <v/>
      </c>
      <c r="V2634" s="53">
        <f>IF(P2634="","",IF(P2634="Ingreso",S2634,0))</f>
        <v/>
      </c>
      <c r="W2634" s="53">
        <f>IF(P2634="","",IF(P2634="Resultado trading",S2634,0))</f>
        <v/>
      </c>
      <c r="X2634" s="52">
        <f>IF(OR(P2634="Gasto",P2634="Reembolso"),IF(M2634&lt;&gt;"",M2634,IFERROR(INDEX(catClasif,MATCH(D2634&amp;"|"&amp;E2634,catClave,0))&amp;"","Variable")),"")</f>
        <v/>
      </c>
      <c r="Y2634" s="52">
        <f>IF(P2634="","",IFERROR(INDEX(catGrupo,MATCH(D2634&amp;"|"&amp;E2634,catClave,0))&amp;"",""))</f>
        <v/>
      </c>
      <c r="Z2634" s="52">
        <f>IF(P2634="","",WEEKDAY(B2634,2))</f>
        <v/>
      </c>
      <c r="AA2634" s="52">
        <f>IF(P2634="","",IF(AND(P2634="Gasto",X2634="Variable",D2634&lt;&gt;catTrading,S2634&gt;0,S2634&lt;=Umbral),1,0))</f>
        <v/>
      </c>
      <c r="AB2634" s="52">
        <f>IF(OR(P2634="",Q2634=""),"",IFERROR(IF(INDEX(ctaVinc,MATCH(Q2634,ctaNombre,0))&amp;""&lt;&gt;"",INDEX(ctaVinc,MATCH(Q2634,ctaNombre,0))&amp;"",Q2634),Q2634))</f>
        <v/>
      </c>
      <c r="AC2634" s="52">
        <f>IF(OR(K2634="",AND(P2634&lt;&gt;"Transferencia",P2634&lt;&gt;"Pago tarjeta")),"",IFERROR(IF(INDEX(ctaVinc,MATCH(K2634,ctaNombre,0))&amp;""&lt;&gt;"",INDEX(ctaVinc,MATCH(K2634,ctaNombre,0))&amp;"",K2634),K2634))</f>
        <v/>
      </c>
      <c r="AD2634" s="52">
        <f>IF(AB2634="","",IFERROR(INDEX(ctaTipo,MATCH(AB2634,ctaNombre,0))&amp;"",""))</f>
        <v/>
      </c>
      <c r="AE2634" s="52">
        <f>IF(AC2634="","",IFERROR(INDEX(ctaTipo,MATCH(AC2634,ctaNombre,0))&amp;"",""))</f>
        <v/>
      </c>
      <c r="AF2634" s="53">
        <f>IF(OR(P2634="",AB2634=""),"",IF(OR(P2634="Gasto",P2634="Transferencia",P2634="Pago tarjeta"),-1,1)*IF(IFERROR(INDEX(ctaMoneda,MATCH(AB2634,ctaNombre,0))&amp;"","DOP")="USD",T2634,S2634))</f>
        <v/>
      </c>
      <c r="AG2634" s="53">
        <f>IF(AC2634="","",IF(IFERROR(INDEX(ctaMoneda,MATCH(AC2634,ctaNombre,0))&amp;"","DOP")="USD",T2634,S2634))</f>
        <v/>
      </c>
      <c r="AH2634" s="53">
        <f>IF(P2634="","",IF(AND(AD2634&lt;&gt;"",COUNTIFS(tcTipo,AD2634,tcLiq,"Sí")&gt;0),IF(OR(P2634="Gasto",P2634="Transferencia",P2634="Pago tarjeta"),-1,1)*S2634,0)+IF(AND(AE2634&lt;&gt;"",COUNTIFS(tcTipo,AE2634,tcLiq,"Sí")&gt;0),S2634,0))</f>
        <v/>
      </c>
      <c r="AI2634" s="52">
        <f>IF(OR(L2634="",P2634=""),"",IF(COUNTIFS(L$6:L2634,L2634,P$6:P2634,"?*")=1,MAX(AI$5:AI2633)+1,""))</f>
        <v/>
      </c>
    </row>
    <row r="2635">
      <c r="B2635" s="47" t="n"/>
      <c r="C2635" s="48" t="n"/>
      <c r="D2635" s="48" t="n"/>
      <c r="E2635" s="48" t="n"/>
      <c r="F2635" s="48" t="n"/>
      <c r="G2635" s="49" t="n"/>
      <c r="H2635" s="48" t="n"/>
      <c r="I2635" s="50" t="n"/>
      <c r="J2635" s="48" t="n"/>
      <c r="K2635" s="48" t="n"/>
      <c r="L2635" s="48" t="n"/>
      <c r="M2635" s="48" t="n"/>
      <c r="N2635" s="48" t="n"/>
      <c r="O2635" s="51">
        <f>IF(AND(B2635="",G2635="",C2635="",D2635="",J2635=""),"",IF(B2635="","⚠ Falta fecha",IF(G2635="","⚠ Falta monto",IF(Q2635="","⚠ Falta cuenta",IF(ISNA(MATCH(Q2635,ctaNombre,0)),"⚠ Cuenta no registrada",IF(AND(OR(P2635="Gasto",P2635="Reembolso"),D2635=""),"⚠ Falta categoría",IF(AND(D2635&lt;&gt;"",E2635&lt;&gt;"",ISNA(MATCH(D2635&amp;"|"&amp;E2635,catClave,0))),"⚠ Subcategoría no corresponde",IF(AND(OR(P2635="Transferencia",P2635="Pago tarjeta"),K2635=""),"⚠ Falta cuenta destino",IF(AND(K2635&lt;&gt;"",P2635&lt;&gt;"Transferencia",P2635&lt;&gt;"Pago tarjeta"),"⚠ Destino solo aplica a transferencias",IF(AND(K2635&lt;&gt;"",K2635=Q2635),"⚠ Origen igual a destino",IF(AND(K2635&lt;&gt;"",ISNA(MATCH(K2635,ctaNombre,0))),"⚠ Destino no registrado",IF(AND(P2635="Pago tarjeta",AE2635&lt;&gt;"Tarjeta de crédito"),"⚠ El destino debe ser tarjeta de crédito",IF(AND(P2635="Gasto",E2635="Depósitos y retiros"),"⚠ Usa tipo Transferencia",IF(AND(P2635="Resultado trading",AD2635&lt;&gt;"Cuenta de trading"),"⚠ Usa una cuenta de trading",IF(AND(G2635&lt;=0,P2635&lt;&gt;"Ajuste",P2635&lt;&gt;"Resultado trading"),"⚠ El monto debe ser positivo","✓")))))))))))))))</f>
        <v/>
      </c>
      <c r="P2635" s="52">
        <f>IF(OR(B2635="",G2635=""),"",IF(C2635="","Gasto",C2635))</f>
        <v/>
      </c>
      <c r="Q2635" s="52">
        <f>IF(P2635="","",IF(J2635&lt;&gt;"",J2635,CuentaPred&amp;""))</f>
        <v/>
      </c>
      <c r="R2635" s="52">
        <f>IF(P2635="","",IF(ISNUMBER(I2635),I2635,TasaUSD))</f>
        <v/>
      </c>
      <c r="S2635" s="53">
        <f>IF(P2635="","",IF(H2635="USD",G2635*R2635,G2635))</f>
        <v/>
      </c>
      <c r="T2635" s="53">
        <f>IF(P2635="","",IF(H2635="USD",G2635,IF(R2635&gt;0,G2635/R2635,0)))</f>
        <v/>
      </c>
      <c r="U2635" s="53">
        <f>IF(P2635="","",IF(P2635="Gasto",S2635,IF(P2635="Reembolso",-S2635,0)))</f>
        <v/>
      </c>
      <c r="V2635" s="53">
        <f>IF(P2635="","",IF(P2635="Ingreso",S2635,0))</f>
        <v/>
      </c>
      <c r="W2635" s="53">
        <f>IF(P2635="","",IF(P2635="Resultado trading",S2635,0))</f>
        <v/>
      </c>
      <c r="X2635" s="52">
        <f>IF(OR(P2635="Gasto",P2635="Reembolso"),IF(M2635&lt;&gt;"",M2635,IFERROR(INDEX(catClasif,MATCH(D2635&amp;"|"&amp;E2635,catClave,0))&amp;"","Variable")),"")</f>
        <v/>
      </c>
      <c r="Y2635" s="52">
        <f>IF(P2635="","",IFERROR(INDEX(catGrupo,MATCH(D2635&amp;"|"&amp;E2635,catClave,0))&amp;"",""))</f>
        <v/>
      </c>
      <c r="Z2635" s="52">
        <f>IF(P2635="","",WEEKDAY(B2635,2))</f>
        <v/>
      </c>
      <c r="AA2635" s="52">
        <f>IF(P2635="","",IF(AND(P2635="Gasto",X2635="Variable",D2635&lt;&gt;catTrading,S2635&gt;0,S2635&lt;=Umbral),1,0))</f>
        <v/>
      </c>
      <c r="AB2635" s="52">
        <f>IF(OR(P2635="",Q2635=""),"",IFERROR(IF(INDEX(ctaVinc,MATCH(Q2635,ctaNombre,0))&amp;""&lt;&gt;"",INDEX(ctaVinc,MATCH(Q2635,ctaNombre,0))&amp;"",Q2635),Q2635))</f>
        <v/>
      </c>
      <c r="AC2635" s="52">
        <f>IF(OR(K2635="",AND(P2635&lt;&gt;"Transferencia",P2635&lt;&gt;"Pago tarjeta")),"",IFERROR(IF(INDEX(ctaVinc,MATCH(K2635,ctaNombre,0))&amp;""&lt;&gt;"",INDEX(ctaVinc,MATCH(K2635,ctaNombre,0))&amp;"",K2635),K2635))</f>
        <v/>
      </c>
      <c r="AD2635" s="52">
        <f>IF(AB2635="","",IFERROR(INDEX(ctaTipo,MATCH(AB2635,ctaNombre,0))&amp;"",""))</f>
        <v/>
      </c>
      <c r="AE2635" s="52">
        <f>IF(AC2635="","",IFERROR(INDEX(ctaTipo,MATCH(AC2635,ctaNombre,0))&amp;"",""))</f>
        <v/>
      </c>
      <c r="AF2635" s="53">
        <f>IF(OR(P2635="",AB2635=""),"",IF(OR(P2635="Gasto",P2635="Transferencia",P2635="Pago tarjeta"),-1,1)*IF(IFERROR(INDEX(ctaMoneda,MATCH(AB2635,ctaNombre,0))&amp;"","DOP")="USD",T2635,S2635))</f>
        <v/>
      </c>
      <c r="AG2635" s="53">
        <f>IF(AC2635="","",IF(IFERROR(INDEX(ctaMoneda,MATCH(AC2635,ctaNombre,0))&amp;"","DOP")="USD",T2635,S2635))</f>
        <v/>
      </c>
      <c r="AH2635" s="53">
        <f>IF(P2635="","",IF(AND(AD2635&lt;&gt;"",COUNTIFS(tcTipo,AD2635,tcLiq,"Sí")&gt;0),IF(OR(P2635="Gasto",P2635="Transferencia",P2635="Pago tarjeta"),-1,1)*S2635,0)+IF(AND(AE2635&lt;&gt;"",COUNTIFS(tcTipo,AE2635,tcLiq,"Sí")&gt;0),S2635,0))</f>
        <v/>
      </c>
      <c r="AI2635" s="52">
        <f>IF(OR(L2635="",P2635=""),"",IF(COUNTIFS(L$6:L2635,L2635,P$6:P2635,"?*")=1,MAX(AI$5:AI2634)+1,""))</f>
        <v/>
      </c>
    </row>
    <row r="2636">
      <c r="B2636" s="47" t="n"/>
      <c r="C2636" s="48" t="n"/>
      <c r="D2636" s="48" t="n"/>
      <c r="E2636" s="48" t="n"/>
      <c r="F2636" s="48" t="n"/>
      <c r="G2636" s="49" t="n"/>
      <c r="H2636" s="48" t="n"/>
      <c r="I2636" s="50" t="n"/>
      <c r="J2636" s="48" t="n"/>
      <c r="K2636" s="48" t="n"/>
      <c r="L2636" s="48" t="n"/>
      <c r="M2636" s="48" t="n"/>
      <c r="N2636" s="48" t="n"/>
      <c r="O2636" s="51">
        <f>IF(AND(B2636="",G2636="",C2636="",D2636="",J2636=""),"",IF(B2636="","⚠ Falta fecha",IF(G2636="","⚠ Falta monto",IF(Q2636="","⚠ Falta cuenta",IF(ISNA(MATCH(Q2636,ctaNombre,0)),"⚠ Cuenta no registrada",IF(AND(OR(P2636="Gasto",P2636="Reembolso"),D2636=""),"⚠ Falta categoría",IF(AND(D2636&lt;&gt;"",E2636&lt;&gt;"",ISNA(MATCH(D2636&amp;"|"&amp;E2636,catClave,0))),"⚠ Subcategoría no corresponde",IF(AND(OR(P2636="Transferencia",P2636="Pago tarjeta"),K2636=""),"⚠ Falta cuenta destino",IF(AND(K2636&lt;&gt;"",P2636&lt;&gt;"Transferencia",P2636&lt;&gt;"Pago tarjeta"),"⚠ Destino solo aplica a transferencias",IF(AND(K2636&lt;&gt;"",K2636=Q2636),"⚠ Origen igual a destino",IF(AND(K2636&lt;&gt;"",ISNA(MATCH(K2636,ctaNombre,0))),"⚠ Destino no registrado",IF(AND(P2636="Pago tarjeta",AE2636&lt;&gt;"Tarjeta de crédito"),"⚠ El destino debe ser tarjeta de crédito",IF(AND(P2636="Gasto",E2636="Depósitos y retiros"),"⚠ Usa tipo Transferencia",IF(AND(P2636="Resultado trading",AD2636&lt;&gt;"Cuenta de trading"),"⚠ Usa una cuenta de trading",IF(AND(G2636&lt;=0,P2636&lt;&gt;"Ajuste",P2636&lt;&gt;"Resultado trading"),"⚠ El monto debe ser positivo","✓")))))))))))))))</f>
        <v/>
      </c>
      <c r="P2636" s="52">
        <f>IF(OR(B2636="",G2636=""),"",IF(C2636="","Gasto",C2636))</f>
        <v/>
      </c>
      <c r="Q2636" s="52">
        <f>IF(P2636="","",IF(J2636&lt;&gt;"",J2636,CuentaPred&amp;""))</f>
        <v/>
      </c>
      <c r="R2636" s="52">
        <f>IF(P2636="","",IF(ISNUMBER(I2636),I2636,TasaUSD))</f>
        <v/>
      </c>
      <c r="S2636" s="53">
        <f>IF(P2636="","",IF(H2636="USD",G2636*R2636,G2636))</f>
        <v/>
      </c>
      <c r="T2636" s="53">
        <f>IF(P2636="","",IF(H2636="USD",G2636,IF(R2636&gt;0,G2636/R2636,0)))</f>
        <v/>
      </c>
      <c r="U2636" s="53">
        <f>IF(P2636="","",IF(P2636="Gasto",S2636,IF(P2636="Reembolso",-S2636,0)))</f>
        <v/>
      </c>
      <c r="V2636" s="53">
        <f>IF(P2636="","",IF(P2636="Ingreso",S2636,0))</f>
        <v/>
      </c>
      <c r="W2636" s="53">
        <f>IF(P2636="","",IF(P2636="Resultado trading",S2636,0))</f>
        <v/>
      </c>
      <c r="X2636" s="52">
        <f>IF(OR(P2636="Gasto",P2636="Reembolso"),IF(M2636&lt;&gt;"",M2636,IFERROR(INDEX(catClasif,MATCH(D2636&amp;"|"&amp;E2636,catClave,0))&amp;"","Variable")),"")</f>
        <v/>
      </c>
      <c r="Y2636" s="52">
        <f>IF(P2636="","",IFERROR(INDEX(catGrupo,MATCH(D2636&amp;"|"&amp;E2636,catClave,0))&amp;"",""))</f>
        <v/>
      </c>
      <c r="Z2636" s="52">
        <f>IF(P2636="","",WEEKDAY(B2636,2))</f>
        <v/>
      </c>
      <c r="AA2636" s="52">
        <f>IF(P2636="","",IF(AND(P2636="Gasto",X2636="Variable",D2636&lt;&gt;catTrading,S2636&gt;0,S2636&lt;=Umbral),1,0))</f>
        <v/>
      </c>
      <c r="AB2636" s="52">
        <f>IF(OR(P2636="",Q2636=""),"",IFERROR(IF(INDEX(ctaVinc,MATCH(Q2636,ctaNombre,0))&amp;""&lt;&gt;"",INDEX(ctaVinc,MATCH(Q2636,ctaNombre,0))&amp;"",Q2636),Q2636))</f>
        <v/>
      </c>
      <c r="AC2636" s="52">
        <f>IF(OR(K2636="",AND(P2636&lt;&gt;"Transferencia",P2636&lt;&gt;"Pago tarjeta")),"",IFERROR(IF(INDEX(ctaVinc,MATCH(K2636,ctaNombre,0))&amp;""&lt;&gt;"",INDEX(ctaVinc,MATCH(K2636,ctaNombre,0))&amp;"",K2636),K2636))</f>
        <v/>
      </c>
      <c r="AD2636" s="52">
        <f>IF(AB2636="","",IFERROR(INDEX(ctaTipo,MATCH(AB2636,ctaNombre,0))&amp;"",""))</f>
        <v/>
      </c>
      <c r="AE2636" s="52">
        <f>IF(AC2636="","",IFERROR(INDEX(ctaTipo,MATCH(AC2636,ctaNombre,0))&amp;"",""))</f>
        <v/>
      </c>
      <c r="AF2636" s="53">
        <f>IF(OR(P2636="",AB2636=""),"",IF(OR(P2636="Gasto",P2636="Transferencia",P2636="Pago tarjeta"),-1,1)*IF(IFERROR(INDEX(ctaMoneda,MATCH(AB2636,ctaNombre,0))&amp;"","DOP")="USD",T2636,S2636))</f>
        <v/>
      </c>
      <c r="AG2636" s="53">
        <f>IF(AC2636="","",IF(IFERROR(INDEX(ctaMoneda,MATCH(AC2636,ctaNombre,0))&amp;"","DOP")="USD",T2636,S2636))</f>
        <v/>
      </c>
      <c r="AH2636" s="53">
        <f>IF(P2636="","",IF(AND(AD2636&lt;&gt;"",COUNTIFS(tcTipo,AD2636,tcLiq,"Sí")&gt;0),IF(OR(P2636="Gasto",P2636="Transferencia",P2636="Pago tarjeta"),-1,1)*S2636,0)+IF(AND(AE2636&lt;&gt;"",COUNTIFS(tcTipo,AE2636,tcLiq,"Sí")&gt;0),S2636,0))</f>
        <v/>
      </c>
      <c r="AI2636" s="52">
        <f>IF(OR(L2636="",P2636=""),"",IF(COUNTIFS(L$6:L2636,L2636,P$6:P2636,"?*")=1,MAX(AI$5:AI2635)+1,""))</f>
        <v/>
      </c>
    </row>
    <row r="2637">
      <c r="B2637" s="47" t="n"/>
      <c r="C2637" s="48" t="n"/>
      <c r="D2637" s="48" t="n"/>
      <c r="E2637" s="48" t="n"/>
      <c r="F2637" s="48" t="n"/>
      <c r="G2637" s="49" t="n"/>
      <c r="H2637" s="48" t="n"/>
      <c r="I2637" s="50" t="n"/>
      <c r="J2637" s="48" t="n"/>
      <c r="K2637" s="48" t="n"/>
      <c r="L2637" s="48" t="n"/>
      <c r="M2637" s="48" t="n"/>
      <c r="N2637" s="48" t="n"/>
      <c r="O2637" s="51">
        <f>IF(AND(B2637="",G2637="",C2637="",D2637="",J2637=""),"",IF(B2637="","⚠ Falta fecha",IF(G2637="","⚠ Falta monto",IF(Q2637="","⚠ Falta cuenta",IF(ISNA(MATCH(Q2637,ctaNombre,0)),"⚠ Cuenta no registrada",IF(AND(OR(P2637="Gasto",P2637="Reembolso"),D2637=""),"⚠ Falta categoría",IF(AND(D2637&lt;&gt;"",E2637&lt;&gt;"",ISNA(MATCH(D2637&amp;"|"&amp;E2637,catClave,0))),"⚠ Subcategoría no corresponde",IF(AND(OR(P2637="Transferencia",P2637="Pago tarjeta"),K2637=""),"⚠ Falta cuenta destino",IF(AND(K2637&lt;&gt;"",P2637&lt;&gt;"Transferencia",P2637&lt;&gt;"Pago tarjeta"),"⚠ Destino solo aplica a transferencias",IF(AND(K2637&lt;&gt;"",K2637=Q2637),"⚠ Origen igual a destino",IF(AND(K2637&lt;&gt;"",ISNA(MATCH(K2637,ctaNombre,0))),"⚠ Destino no registrado",IF(AND(P2637="Pago tarjeta",AE2637&lt;&gt;"Tarjeta de crédito"),"⚠ El destino debe ser tarjeta de crédito",IF(AND(P2637="Gasto",E2637="Depósitos y retiros"),"⚠ Usa tipo Transferencia",IF(AND(P2637="Resultado trading",AD2637&lt;&gt;"Cuenta de trading"),"⚠ Usa una cuenta de trading",IF(AND(G2637&lt;=0,P2637&lt;&gt;"Ajuste",P2637&lt;&gt;"Resultado trading"),"⚠ El monto debe ser positivo","✓")))))))))))))))</f>
        <v/>
      </c>
      <c r="P2637" s="52">
        <f>IF(OR(B2637="",G2637=""),"",IF(C2637="","Gasto",C2637))</f>
        <v/>
      </c>
      <c r="Q2637" s="52">
        <f>IF(P2637="","",IF(J2637&lt;&gt;"",J2637,CuentaPred&amp;""))</f>
        <v/>
      </c>
      <c r="R2637" s="52">
        <f>IF(P2637="","",IF(ISNUMBER(I2637),I2637,TasaUSD))</f>
        <v/>
      </c>
      <c r="S2637" s="53">
        <f>IF(P2637="","",IF(H2637="USD",G2637*R2637,G2637))</f>
        <v/>
      </c>
      <c r="T2637" s="53">
        <f>IF(P2637="","",IF(H2637="USD",G2637,IF(R2637&gt;0,G2637/R2637,0)))</f>
        <v/>
      </c>
      <c r="U2637" s="53">
        <f>IF(P2637="","",IF(P2637="Gasto",S2637,IF(P2637="Reembolso",-S2637,0)))</f>
        <v/>
      </c>
      <c r="V2637" s="53">
        <f>IF(P2637="","",IF(P2637="Ingreso",S2637,0))</f>
        <v/>
      </c>
      <c r="W2637" s="53">
        <f>IF(P2637="","",IF(P2637="Resultado trading",S2637,0))</f>
        <v/>
      </c>
      <c r="X2637" s="52">
        <f>IF(OR(P2637="Gasto",P2637="Reembolso"),IF(M2637&lt;&gt;"",M2637,IFERROR(INDEX(catClasif,MATCH(D2637&amp;"|"&amp;E2637,catClave,0))&amp;"","Variable")),"")</f>
        <v/>
      </c>
      <c r="Y2637" s="52">
        <f>IF(P2637="","",IFERROR(INDEX(catGrupo,MATCH(D2637&amp;"|"&amp;E2637,catClave,0))&amp;"",""))</f>
        <v/>
      </c>
      <c r="Z2637" s="52">
        <f>IF(P2637="","",WEEKDAY(B2637,2))</f>
        <v/>
      </c>
      <c r="AA2637" s="52">
        <f>IF(P2637="","",IF(AND(P2637="Gasto",X2637="Variable",D2637&lt;&gt;catTrading,S2637&gt;0,S2637&lt;=Umbral),1,0))</f>
        <v/>
      </c>
      <c r="AB2637" s="52">
        <f>IF(OR(P2637="",Q2637=""),"",IFERROR(IF(INDEX(ctaVinc,MATCH(Q2637,ctaNombre,0))&amp;""&lt;&gt;"",INDEX(ctaVinc,MATCH(Q2637,ctaNombre,0))&amp;"",Q2637),Q2637))</f>
        <v/>
      </c>
      <c r="AC2637" s="52">
        <f>IF(OR(K2637="",AND(P2637&lt;&gt;"Transferencia",P2637&lt;&gt;"Pago tarjeta")),"",IFERROR(IF(INDEX(ctaVinc,MATCH(K2637,ctaNombre,0))&amp;""&lt;&gt;"",INDEX(ctaVinc,MATCH(K2637,ctaNombre,0))&amp;"",K2637),K2637))</f>
        <v/>
      </c>
      <c r="AD2637" s="52">
        <f>IF(AB2637="","",IFERROR(INDEX(ctaTipo,MATCH(AB2637,ctaNombre,0))&amp;"",""))</f>
        <v/>
      </c>
      <c r="AE2637" s="52">
        <f>IF(AC2637="","",IFERROR(INDEX(ctaTipo,MATCH(AC2637,ctaNombre,0))&amp;"",""))</f>
        <v/>
      </c>
      <c r="AF2637" s="53">
        <f>IF(OR(P2637="",AB2637=""),"",IF(OR(P2637="Gasto",P2637="Transferencia",P2637="Pago tarjeta"),-1,1)*IF(IFERROR(INDEX(ctaMoneda,MATCH(AB2637,ctaNombre,0))&amp;"","DOP")="USD",T2637,S2637))</f>
        <v/>
      </c>
      <c r="AG2637" s="53">
        <f>IF(AC2637="","",IF(IFERROR(INDEX(ctaMoneda,MATCH(AC2637,ctaNombre,0))&amp;"","DOP")="USD",T2637,S2637))</f>
        <v/>
      </c>
      <c r="AH2637" s="53">
        <f>IF(P2637="","",IF(AND(AD2637&lt;&gt;"",COUNTIFS(tcTipo,AD2637,tcLiq,"Sí")&gt;0),IF(OR(P2637="Gasto",P2637="Transferencia",P2637="Pago tarjeta"),-1,1)*S2637,0)+IF(AND(AE2637&lt;&gt;"",COUNTIFS(tcTipo,AE2637,tcLiq,"Sí")&gt;0),S2637,0))</f>
        <v/>
      </c>
      <c r="AI2637" s="52">
        <f>IF(OR(L2637="",P2637=""),"",IF(COUNTIFS(L$6:L2637,L2637,P$6:P2637,"?*")=1,MAX(AI$5:AI2636)+1,""))</f>
        <v/>
      </c>
    </row>
    <row r="2638">
      <c r="B2638" s="47" t="n"/>
      <c r="C2638" s="48" t="n"/>
      <c r="D2638" s="48" t="n"/>
      <c r="E2638" s="48" t="n"/>
      <c r="F2638" s="48" t="n"/>
      <c r="G2638" s="49" t="n"/>
      <c r="H2638" s="48" t="n"/>
      <c r="I2638" s="50" t="n"/>
      <c r="J2638" s="48" t="n"/>
      <c r="K2638" s="48" t="n"/>
      <c r="L2638" s="48" t="n"/>
      <c r="M2638" s="48" t="n"/>
      <c r="N2638" s="48" t="n"/>
      <c r="O2638" s="51">
        <f>IF(AND(B2638="",G2638="",C2638="",D2638="",J2638=""),"",IF(B2638="","⚠ Falta fecha",IF(G2638="","⚠ Falta monto",IF(Q2638="","⚠ Falta cuenta",IF(ISNA(MATCH(Q2638,ctaNombre,0)),"⚠ Cuenta no registrada",IF(AND(OR(P2638="Gasto",P2638="Reembolso"),D2638=""),"⚠ Falta categoría",IF(AND(D2638&lt;&gt;"",E2638&lt;&gt;"",ISNA(MATCH(D2638&amp;"|"&amp;E2638,catClave,0))),"⚠ Subcategoría no corresponde",IF(AND(OR(P2638="Transferencia",P2638="Pago tarjeta"),K2638=""),"⚠ Falta cuenta destino",IF(AND(K2638&lt;&gt;"",P2638&lt;&gt;"Transferencia",P2638&lt;&gt;"Pago tarjeta"),"⚠ Destino solo aplica a transferencias",IF(AND(K2638&lt;&gt;"",K2638=Q2638),"⚠ Origen igual a destino",IF(AND(K2638&lt;&gt;"",ISNA(MATCH(K2638,ctaNombre,0))),"⚠ Destino no registrado",IF(AND(P2638="Pago tarjeta",AE2638&lt;&gt;"Tarjeta de crédito"),"⚠ El destino debe ser tarjeta de crédito",IF(AND(P2638="Gasto",E2638="Depósitos y retiros"),"⚠ Usa tipo Transferencia",IF(AND(P2638="Resultado trading",AD2638&lt;&gt;"Cuenta de trading"),"⚠ Usa una cuenta de trading",IF(AND(G2638&lt;=0,P2638&lt;&gt;"Ajuste",P2638&lt;&gt;"Resultado trading"),"⚠ El monto debe ser positivo","✓")))))))))))))))</f>
        <v/>
      </c>
      <c r="P2638" s="52">
        <f>IF(OR(B2638="",G2638=""),"",IF(C2638="","Gasto",C2638))</f>
        <v/>
      </c>
      <c r="Q2638" s="52">
        <f>IF(P2638="","",IF(J2638&lt;&gt;"",J2638,CuentaPred&amp;""))</f>
        <v/>
      </c>
      <c r="R2638" s="52">
        <f>IF(P2638="","",IF(ISNUMBER(I2638),I2638,TasaUSD))</f>
        <v/>
      </c>
      <c r="S2638" s="53">
        <f>IF(P2638="","",IF(H2638="USD",G2638*R2638,G2638))</f>
        <v/>
      </c>
      <c r="T2638" s="53">
        <f>IF(P2638="","",IF(H2638="USD",G2638,IF(R2638&gt;0,G2638/R2638,0)))</f>
        <v/>
      </c>
      <c r="U2638" s="53">
        <f>IF(P2638="","",IF(P2638="Gasto",S2638,IF(P2638="Reembolso",-S2638,0)))</f>
        <v/>
      </c>
      <c r="V2638" s="53">
        <f>IF(P2638="","",IF(P2638="Ingreso",S2638,0))</f>
        <v/>
      </c>
      <c r="W2638" s="53">
        <f>IF(P2638="","",IF(P2638="Resultado trading",S2638,0))</f>
        <v/>
      </c>
      <c r="X2638" s="52">
        <f>IF(OR(P2638="Gasto",P2638="Reembolso"),IF(M2638&lt;&gt;"",M2638,IFERROR(INDEX(catClasif,MATCH(D2638&amp;"|"&amp;E2638,catClave,0))&amp;"","Variable")),"")</f>
        <v/>
      </c>
      <c r="Y2638" s="52">
        <f>IF(P2638="","",IFERROR(INDEX(catGrupo,MATCH(D2638&amp;"|"&amp;E2638,catClave,0))&amp;"",""))</f>
        <v/>
      </c>
      <c r="Z2638" s="52">
        <f>IF(P2638="","",WEEKDAY(B2638,2))</f>
        <v/>
      </c>
      <c r="AA2638" s="52">
        <f>IF(P2638="","",IF(AND(P2638="Gasto",X2638="Variable",D2638&lt;&gt;catTrading,S2638&gt;0,S2638&lt;=Umbral),1,0))</f>
        <v/>
      </c>
      <c r="AB2638" s="52">
        <f>IF(OR(P2638="",Q2638=""),"",IFERROR(IF(INDEX(ctaVinc,MATCH(Q2638,ctaNombre,0))&amp;""&lt;&gt;"",INDEX(ctaVinc,MATCH(Q2638,ctaNombre,0))&amp;"",Q2638),Q2638))</f>
        <v/>
      </c>
      <c r="AC2638" s="52">
        <f>IF(OR(K2638="",AND(P2638&lt;&gt;"Transferencia",P2638&lt;&gt;"Pago tarjeta")),"",IFERROR(IF(INDEX(ctaVinc,MATCH(K2638,ctaNombre,0))&amp;""&lt;&gt;"",INDEX(ctaVinc,MATCH(K2638,ctaNombre,0))&amp;"",K2638),K2638))</f>
        <v/>
      </c>
      <c r="AD2638" s="52">
        <f>IF(AB2638="","",IFERROR(INDEX(ctaTipo,MATCH(AB2638,ctaNombre,0))&amp;"",""))</f>
        <v/>
      </c>
      <c r="AE2638" s="52">
        <f>IF(AC2638="","",IFERROR(INDEX(ctaTipo,MATCH(AC2638,ctaNombre,0))&amp;"",""))</f>
        <v/>
      </c>
      <c r="AF2638" s="53">
        <f>IF(OR(P2638="",AB2638=""),"",IF(OR(P2638="Gasto",P2638="Transferencia",P2638="Pago tarjeta"),-1,1)*IF(IFERROR(INDEX(ctaMoneda,MATCH(AB2638,ctaNombre,0))&amp;"","DOP")="USD",T2638,S2638))</f>
        <v/>
      </c>
      <c r="AG2638" s="53">
        <f>IF(AC2638="","",IF(IFERROR(INDEX(ctaMoneda,MATCH(AC2638,ctaNombre,0))&amp;"","DOP")="USD",T2638,S2638))</f>
        <v/>
      </c>
      <c r="AH2638" s="53">
        <f>IF(P2638="","",IF(AND(AD2638&lt;&gt;"",COUNTIFS(tcTipo,AD2638,tcLiq,"Sí")&gt;0),IF(OR(P2638="Gasto",P2638="Transferencia",P2638="Pago tarjeta"),-1,1)*S2638,0)+IF(AND(AE2638&lt;&gt;"",COUNTIFS(tcTipo,AE2638,tcLiq,"Sí")&gt;0),S2638,0))</f>
        <v/>
      </c>
      <c r="AI2638" s="52">
        <f>IF(OR(L2638="",P2638=""),"",IF(COUNTIFS(L$6:L2638,L2638,P$6:P2638,"?*")=1,MAX(AI$5:AI2637)+1,""))</f>
        <v/>
      </c>
    </row>
    <row r="2639">
      <c r="B2639" s="47" t="n"/>
      <c r="C2639" s="48" t="n"/>
      <c r="D2639" s="48" t="n"/>
      <c r="E2639" s="48" t="n"/>
      <c r="F2639" s="48" t="n"/>
      <c r="G2639" s="49" t="n"/>
      <c r="H2639" s="48" t="n"/>
      <c r="I2639" s="50" t="n"/>
      <c r="J2639" s="48" t="n"/>
      <c r="K2639" s="48" t="n"/>
      <c r="L2639" s="48" t="n"/>
      <c r="M2639" s="48" t="n"/>
      <c r="N2639" s="48" t="n"/>
      <c r="O2639" s="51">
        <f>IF(AND(B2639="",G2639="",C2639="",D2639="",J2639=""),"",IF(B2639="","⚠ Falta fecha",IF(G2639="","⚠ Falta monto",IF(Q2639="","⚠ Falta cuenta",IF(ISNA(MATCH(Q2639,ctaNombre,0)),"⚠ Cuenta no registrada",IF(AND(OR(P2639="Gasto",P2639="Reembolso"),D2639=""),"⚠ Falta categoría",IF(AND(D2639&lt;&gt;"",E2639&lt;&gt;"",ISNA(MATCH(D2639&amp;"|"&amp;E2639,catClave,0))),"⚠ Subcategoría no corresponde",IF(AND(OR(P2639="Transferencia",P2639="Pago tarjeta"),K2639=""),"⚠ Falta cuenta destino",IF(AND(K2639&lt;&gt;"",P2639&lt;&gt;"Transferencia",P2639&lt;&gt;"Pago tarjeta"),"⚠ Destino solo aplica a transferencias",IF(AND(K2639&lt;&gt;"",K2639=Q2639),"⚠ Origen igual a destino",IF(AND(K2639&lt;&gt;"",ISNA(MATCH(K2639,ctaNombre,0))),"⚠ Destino no registrado",IF(AND(P2639="Pago tarjeta",AE2639&lt;&gt;"Tarjeta de crédito"),"⚠ El destino debe ser tarjeta de crédito",IF(AND(P2639="Gasto",E2639="Depósitos y retiros"),"⚠ Usa tipo Transferencia",IF(AND(P2639="Resultado trading",AD2639&lt;&gt;"Cuenta de trading"),"⚠ Usa una cuenta de trading",IF(AND(G2639&lt;=0,P2639&lt;&gt;"Ajuste",P2639&lt;&gt;"Resultado trading"),"⚠ El monto debe ser positivo","✓")))))))))))))))</f>
        <v/>
      </c>
      <c r="P2639" s="52">
        <f>IF(OR(B2639="",G2639=""),"",IF(C2639="","Gasto",C2639))</f>
        <v/>
      </c>
      <c r="Q2639" s="52">
        <f>IF(P2639="","",IF(J2639&lt;&gt;"",J2639,CuentaPred&amp;""))</f>
        <v/>
      </c>
      <c r="R2639" s="52">
        <f>IF(P2639="","",IF(ISNUMBER(I2639),I2639,TasaUSD))</f>
        <v/>
      </c>
      <c r="S2639" s="53">
        <f>IF(P2639="","",IF(H2639="USD",G2639*R2639,G2639))</f>
        <v/>
      </c>
      <c r="T2639" s="53">
        <f>IF(P2639="","",IF(H2639="USD",G2639,IF(R2639&gt;0,G2639/R2639,0)))</f>
        <v/>
      </c>
      <c r="U2639" s="53">
        <f>IF(P2639="","",IF(P2639="Gasto",S2639,IF(P2639="Reembolso",-S2639,0)))</f>
        <v/>
      </c>
      <c r="V2639" s="53">
        <f>IF(P2639="","",IF(P2639="Ingreso",S2639,0))</f>
        <v/>
      </c>
      <c r="W2639" s="53">
        <f>IF(P2639="","",IF(P2639="Resultado trading",S2639,0))</f>
        <v/>
      </c>
      <c r="X2639" s="52">
        <f>IF(OR(P2639="Gasto",P2639="Reembolso"),IF(M2639&lt;&gt;"",M2639,IFERROR(INDEX(catClasif,MATCH(D2639&amp;"|"&amp;E2639,catClave,0))&amp;"","Variable")),"")</f>
        <v/>
      </c>
      <c r="Y2639" s="52">
        <f>IF(P2639="","",IFERROR(INDEX(catGrupo,MATCH(D2639&amp;"|"&amp;E2639,catClave,0))&amp;"",""))</f>
        <v/>
      </c>
      <c r="Z2639" s="52">
        <f>IF(P2639="","",WEEKDAY(B2639,2))</f>
        <v/>
      </c>
      <c r="AA2639" s="52">
        <f>IF(P2639="","",IF(AND(P2639="Gasto",X2639="Variable",D2639&lt;&gt;catTrading,S2639&gt;0,S2639&lt;=Umbral),1,0))</f>
        <v/>
      </c>
      <c r="AB2639" s="52">
        <f>IF(OR(P2639="",Q2639=""),"",IFERROR(IF(INDEX(ctaVinc,MATCH(Q2639,ctaNombre,0))&amp;""&lt;&gt;"",INDEX(ctaVinc,MATCH(Q2639,ctaNombre,0))&amp;"",Q2639),Q2639))</f>
        <v/>
      </c>
      <c r="AC2639" s="52">
        <f>IF(OR(K2639="",AND(P2639&lt;&gt;"Transferencia",P2639&lt;&gt;"Pago tarjeta")),"",IFERROR(IF(INDEX(ctaVinc,MATCH(K2639,ctaNombre,0))&amp;""&lt;&gt;"",INDEX(ctaVinc,MATCH(K2639,ctaNombre,0))&amp;"",K2639),K2639))</f>
        <v/>
      </c>
      <c r="AD2639" s="52">
        <f>IF(AB2639="","",IFERROR(INDEX(ctaTipo,MATCH(AB2639,ctaNombre,0))&amp;"",""))</f>
        <v/>
      </c>
      <c r="AE2639" s="52">
        <f>IF(AC2639="","",IFERROR(INDEX(ctaTipo,MATCH(AC2639,ctaNombre,0))&amp;"",""))</f>
        <v/>
      </c>
      <c r="AF2639" s="53">
        <f>IF(OR(P2639="",AB2639=""),"",IF(OR(P2639="Gasto",P2639="Transferencia",P2639="Pago tarjeta"),-1,1)*IF(IFERROR(INDEX(ctaMoneda,MATCH(AB2639,ctaNombre,0))&amp;"","DOP")="USD",T2639,S2639))</f>
        <v/>
      </c>
      <c r="AG2639" s="53">
        <f>IF(AC2639="","",IF(IFERROR(INDEX(ctaMoneda,MATCH(AC2639,ctaNombre,0))&amp;"","DOP")="USD",T2639,S2639))</f>
        <v/>
      </c>
      <c r="AH2639" s="53">
        <f>IF(P2639="","",IF(AND(AD2639&lt;&gt;"",COUNTIFS(tcTipo,AD2639,tcLiq,"Sí")&gt;0),IF(OR(P2639="Gasto",P2639="Transferencia",P2639="Pago tarjeta"),-1,1)*S2639,0)+IF(AND(AE2639&lt;&gt;"",COUNTIFS(tcTipo,AE2639,tcLiq,"Sí")&gt;0),S2639,0))</f>
        <v/>
      </c>
      <c r="AI2639" s="52">
        <f>IF(OR(L2639="",P2639=""),"",IF(COUNTIFS(L$6:L2639,L2639,P$6:P2639,"?*")=1,MAX(AI$5:AI2638)+1,""))</f>
        <v/>
      </c>
    </row>
    <row r="2640">
      <c r="B2640" s="47" t="n"/>
      <c r="C2640" s="48" t="n"/>
      <c r="D2640" s="48" t="n"/>
      <c r="E2640" s="48" t="n"/>
      <c r="F2640" s="48" t="n"/>
      <c r="G2640" s="49" t="n"/>
      <c r="H2640" s="48" t="n"/>
      <c r="I2640" s="50" t="n"/>
      <c r="J2640" s="48" t="n"/>
      <c r="K2640" s="48" t="n"/>
      <c r="L2640" s="48" t="n"/>
      <c r="M2640" s="48" t="n"/>
      <c r="N2640" s="48" t="n"/>
      <c r="O2640" s="51">
        <f>IF(AND(B2640="",G2640="",C2640="",D2640="",J2640=""),"",IF(B2640="","⚠ Falta fecha",IF(G2640="","⚠ Falta monto",IF(Q2640="","⚠ Falta cuenta",IF(ISNA(MATCH(Q2640,ctaNombre,0)),"⚠ Cuenta no registrada",IF(AND(OR(P2640="Gasto",P2640="Reembolso"),D2640=""),"⚠ Falta categoría",IF(AND(D2640&lt;&gt;"",E2640&lt;&gt;"",ISNA(MATCH(D2640&amp;"|"&amp;E2640,catClave,0))),"⚠ Subcategoría no corresponde",IF(AND(OR(P2640="Transferencia",P2640="Pago tarjeta"),K2640=""),"⚠ Falta cuenta destino",IF(AND(K2640&lt;&gt;"",P2640&lt;&gt;"Transferencia",P2640&lt;&gt;"Pago tarjeta"),"⚠ Destino solo aplica a transferencias",IF(AND(K2640&lt;&gt;"",K2640=Q2640),"⚠ Origen igual a destino",IF(AND(K2640&lt;&gt;"",ISNA(MATCH(K2640,ctaNombre,0))),"⚠ Destino no registrado",IF(AND(P2640="Pago tarjeta",AE2640&lt;&gt;"Tarjeta de crédito"),"⚠ El destino debe ser tarjeta de crédito",IF(AND(P2640="Gasto",E2640="Depósitos y retiros"),"⚠ Usa tipo Transferencia",IF(AND(P2640="Resultado trading",AD2640&lt;&gt;"Cuenta de trading"),"⚠ Usa una cuenta de trading",IF(AND(G2640&lt;=0,P2640&lt;&gt;"Ajuste",P2640&lt;&gt;"Resultado trading"),"⚠ El monto debe ser positivo","✓")))))))))))))))</f>
        <v/>
      </c>
      <c r="P2640" s="52">
        <f>IF(OR(B2640="",G2640=""),"",IF(C2640="","Gasto",C2640))</f>
        <v/>
      </c>
      <c r="Q2640" s="52">
        <f>IF(P2640="","",IF(J2640&lt;&gt;"",J2640,CuentaPred&amp;""))</f>
        <v/>
      </c>
      <c r="R2640" s="52">
        <f>IF(P2640="","",IF(ISNUMBER(I2640),I2640,TasaUSD))</f>
        <v/>
      </c>
      <c r="S2640" s="53">
        <f>IF(P2640="","",IF(H2640="USD",G2640*R2640,G2640))</f>
        <v/>
      </c>
      <c r="T2640" s="53">
        <f>IF(P2640="","",IF(H2640="USD",G2640,IF(R2640&gt;0,G2640/R2640,0)))</f>
        <v/>
      </c>
      <c r="U2640" s="53">
        <f>IF(P2640="","",IF(P2640="Gasto",S2640,IF(P2640="Reembolso",-S2640,0)))</f>
        <v/>
      </c>
      <c r="V2640" s="53">
        <f>IF(P2640="","",IF(P2640="Ingreso",S2640,0))</f>
        <v/>
      </c>
      <c r="W2640" s="53">
        <f>IF(P2640="","",IF(P2640="Resultado trading",S2640,0))</f>
        <v/>
      </c>
      <c r="X2640" s="52">
        <f>IF(OR(P2640="Gasto",P2640="Reembolso"),IF(M2640&lt;&gt;"",M2640,IFERROR(INDEX(catClasif,MATCH(D2640&amp;"|"&amp;E2640,catClave,0))&amp;"","Variable")),"")</f>
        <v/>
      </c>
      <c r="Y2640" s="52">
        <f>IF(P2640="","",IFERROR(INDEX(catGrupo,MATCH(D2640&amp;"|"&amp;E2640,catClave,0))&amp;"",""))</f>
        <v/>
      </c>
      <c r="Z2640" s="52">
        <f>IF(P2640="","",WEEKDAY(B2640,2))</f>
        <v/>
      </c>
      <c r="AA2640" s="52">
        <f>IF(P2640="","",IF(AND(P2640="Gasto",X2640="Variable",D2640&lt;&gt;catTrading,S2640&gt;0,S2640&lt;=Umbral),1,0))</f>
        <v/>
      </c>
      <c r="AB2640" s="52">
        <f>IF(OR(P2640="",Q2640=""),"",IFERROR(IF(INDEX(ctaVinc,MATCH(Q2640,ctaNombre,0))&amp;""&lt;&gt;"",INDEX(ctaVinc,MATCH(Q2640,ctaNombre,0))&amp;"",Q2640),Q2640))</f>
        <v/>
      </c>
      <c r="AC2640" s="52">
        <f>IF(OR(K2640="",AND(P2640&lt;&gt;"Transferencia",P2640&lt;&gt;"Pago tarjeta")),"",IFERROR(IF(INDEX(ctaVinc,MATCH(K2640,ctaNombre,0))&amp;""&lt;&gt;"",INDEX(ctaVinc,MATCH(K2640,ctaNombre,0))&amp;"",K2640),K2640))</f>
        <v/>
      </c>
      <c r="AD2640" s="52">
        <f>IF(AB2640="","",IFERROR(INDEX(ctaTipo,MATCH(AB2640,ctaNombre,0))&amp;"",""))</f>
        <v/>
      </c>
      <c r="AE2640" s="52">
        <f>IF(AC2640="","",IFERROR(INDEX(ctaTipo,MATCH(AC2640,ctaNombre,0))&amp;"",""))</f>
        <v/>
      </c>
      <c r="AF2640" s="53">
        <f>IF(OR(P2640="",AB2640=""),"",IF(OR(P2640="Gasto",P2640="Transferencia",P2640="Pago tarjeta"),-1,1)*IF(IFERROR(INDEX(ctaMoneda,MATCH(AB2640,ctaNombre,0))&amp;"","DOP")="USD",T2640,S2640))</f>
        <v/>
      </c>
      <c r="AG2640" s="53">
        <f>IF(AC2640="","",IF(IFERROR(INDEX(ctaMoneda,MATCH(AC2640,ctaNombre,0))&amp;"","DOP")="USD",T2640,S2640))</f>
        <v/>
      </c>
      <c r="AH2640" s="53">
        <f>IF(P2640="","",IF(AND(AD2640&lt;&gt;"",COUNTIFS(tcTipo,AD2640,tcLiq,"Sí")&gt;0),IF(OR(P2640="Gasto",P2640="Transferencia",P2640="Pago tarjeta"),-1,1)*S2640,0)+IF(AND(AE2640&lt;&gt;"",COUNTIFS(tcTipo,AE2640,tcLiq,"Sí")&gt;0),S2640,0))</f>
        <v/>
      </c>
      <c r="AI2640" s="52">
        <f>IF(OR(L2640="",P2640=""),"",IF(COUNTIFS(L$6:L2640,L2640,P$6:P2640,"?*")=1,MAX(AI$5:AI2639)+1,""))</f>
        <v/>
      </c>
    </row>
    <row r="2641">
      <c r="B2641" s="47" t="n"/>
      <c r="C2641" s="48" t="n"/>
      <c r="D2641" s="48" t="n"/>
      <c r="E2641" s="48" t="n"/>
      <c r="F2641" s="48" t="n"/>
      <c r="G2641" s="49" t="n"/>
      <c r="H2641" s="48" t="n"/>
      <c r="I2641" s="50" t="n"/>
      <c r="J2641" s="48" t="n"/>
      <c r="K2641" s="48" t="n"/>
      <c r="L2641" s="48" t="n"/>
      <c r="M2641" s="48" t="n"/>
      <c r="N2641" s="48" t="n"/>
      <c r="O2641" s="51">
        <f>IF(AND(B2641="",G2641="",C2641="",D2641="",J2641=""),"",IF(B2641="","⚠ Falta fecha",IF(G2641="","⚠ Falta monto",IF(Q2641="","⚠ Falta cuenta",IF(ISNA(MATCH(Q2641,ctaNombre,0)),"⚠ Cuenta no registrada",IF(AND(OR(P2641="Gasto",P2641="Reembolso"),D2641=""),"⚠ Falta categoría",IF(AND(D2641&lt;&gt;"",E2641&lt;&gt;"",ISNA(MATCH(D2641&amp;"|"&amp;E2641,catClave,0))),"⚠ Subcategoría no corresponde",IF(AND(OR(P2641="Transferencia",P2641="Pago tarjeta"),K2641=""),"⚠ Falta cuenta destino",IF(AND(K2641&lt;&gt;"",P2641&lt;&gt;"Transferencia",P2641&lt;&gt;"Pago tarjeta"),"⚠ Destino solo aplica a transferencias",IF(AND(K2641&lt;&gt;"",K2641=Q2641),"⚠ Origen igual a destino",IF(AND(K2641&lt;&gt;"",ISNA(MATCH(K2641,ctaNombre,0))),"⚠ Destino no registrado",IF(AND(P2641="Pago tarjeta",AE2641&lt;&gt;"Tarjeta de crédito"),"⚠ El destino debe ser tarjeta de crédito",IF(AND(P2641="Gasto",E2641="Depósitos y retiros"),"⚠ Usa tipo Transferencia",IF(AND(P2641="Resultado trading",AD2641&lt;&gt;"Cuenta de trading"),"⚠ Usa una cuenta de trading",IF(AND(G2641&lt;=0,P2641&lt;&gt;"Ajuste",P2641&lt;&gt;"Resultado trading"),"⚠ El monto debe ser positivo","✓")))))))))))))))</f>
        <v/>
      </c>
      <c r="P2641" s="52">
        <f>IF(OR(B2641="",G2641=""),"",IF(C2641="","Gasto",C2641))</f>
        <v/>
      </c>
      <c r="Q2641" s="52">
        <f>IF(P2641="","",IF(J2641&lt;&gt;"",J2641,CuentaPred&amp;""))</f>
        <v/>
      </c>
      <c r="R2641" s="52">
        <f>IF(P2641="","",IF(ISNUMBER(I2641),I2641,TasaUSD))</f>
        <v/>
      </c>
      <c r="S2641" s="53">
        <f>IF(P2641="","",IF(H2641="USD",G2641*R2641,G2641))</f>
        <v/>
      </c>
      <c r="T2641" s="53">
        <f>IF(P2641="","",IF(H2641="USD",G2641,IF(R2641&gt;0,G2641/R2641,0)))</f>
        <v/>
      </c>
      <c r="U2641" s="53">
        <f>IF(P2641="","",IF(P2641="Gasto",S2641,IF(P2641="Reembolso",-S2641,0)))</f>
        <v/>
      </c>
      <c r="V2641" s="53">
        <f>IF(P2641="","",IF(P2641="Ingreso",S2641,0))</f>
        <v/>
      </c>
      <c r="W2641" s="53">
        <f>IF(P2641="","",IF(P2641="Resultado trading",S2641,0))</f>
        <v/>
      </c>
      <c r="X2641" s="52">
        <f>IF(OR(P2641="Gasto",P2641="Reembolso"),IF(M2641&lt;&gt;"",M2641,IFERROR(INDEX(catClasif,MATCH(D2641&amp;"|"&amp;E2641,catClave,0))&amp;"","Variable")),"")</f>
        <v/>
      </c>
      <c r="Y2641" s="52">
        <f>IF(P2641="","",IFERROR(INDEX(catGrupo,MATCH(D2641&amp;"|"&amp;E2641,catClave,0))&amp;"",""))</f>
        <v/>
      </c>
      <c r="Z2641" s="52">
        <f>IF(P2641="","",WEEKDAY(B2641,2))</f>
        <v/>
      </c>
      <c r="AA2641" s="52">
        <f>IF(P2641="","",IF(AND(P2641="Gasto",X2641="Variable",D2641&lt;&gt;catTrading,S2641&gt;0,S2641&lt;=Umbral),1,0))</f>
        <v/>
      </c>
      <c r="AB2641" s="52">
        <f>IF(OR(P2641="",Q2641=""),"",IFERROR(IF(INDEX(ctaVinc,MATCH(Q2641,ctaNombre,0))&amp;""&lt;&gt;"",INDEX(ctaVinc,MATCH(Q2641,ctaNombre,0))&amp;"",Q2641),Q2641))</f>
        <v/>
      </c>
      <c r="AC2641" s="52">
        <f>IF(OR(K2641="",AND(P2641&lt;&gt;"Transferencia",P2641&lt;&gt;"Pago tarjeta")),"",IFERROR(IF(INDEX(ctaVinc,MATCH(K2641,ctaNombre,0))&amp;""&lt;&gt;"",INDEX(ctaVinc,MATCH(K2641,ctaNombre,0))&amp;"",K2641),K2641))</f>
        <v/>
      </c>
      <c r="AD2641" s="52">
        <f>IF(AB2641="","",IFERROR(INDEX(ctaTipo,MATCH(AB2641,ctaNombre,0))&amp;"",""))</f>
        <v/>
      </c>
      <c r="AE2641" s="52">
        <f>IF(AC2641="","",IFERROR(INDEX(ctaTipo,MATCH(AC2641,ctaNombre,0))&amp;"",""))</f>
        <v/>
      </c>
      <c r="AF2641" s="53">
        <f>IF(OR(P2641="",AB2641=""),"",IF(OR(P2641="Gasto",P2641="Transferencia",P2641="Pago tarjeta"),-1,1)*IF(IFERROR(INDEX(ctaMoneda,MATCH(AB2641,ctaNombre,0))&amp;"","DOP")="USD",T2641,S2641))</f>
        <v/>
      </c>
      <c r="AG2641" s="53">
        <f>IF(AC2641="","",IF(IFERROR(INDEX(ctaMoneda,MATCH(AC2641,ctaNombre,0))&amp;"","DOP")="USD",T2641,S2641))</f>
        <v/>
      </c>
      <c r="AH2641" s="53">
        <f>IF(P2641="","",IF(AND(AD2641&lt;&gt;"",COUNTIFS(tcTipo,AD2641,tcLiq,"Sí")&gt;0),IF(OR(P2641="Gasto",P2641="Transferencia",P2641="Pago tarjeta"),-1,1)*S2641,0)+IF(AND(AE2641&lt;&gt;"",COUNTIFS(tcTipo,AE2641,tcLiq,"Sí")&gt;0),S2641,0))</f>
        <v/>
      </c>
      <c r="AI2641" s="52">
        <f>IF(OR(L2641="",P2641=""),"",IF(COUNTIFS(L$6:L2641,L2641,P$6:P2641,"?*")=1,MAX(AI$5:AI2640)+1,""))</f>
        <v/>
      </c>
    </row>
    <row r="2642">
      <c r="B2642" s="47" t="n"/>
      <c r="C2642" s="48" t="n"/>
      <c r="D2642" s="48" t="n"/>
      <c r="E2642" s="48" t="n"/>
      <c r="F2642" s="48" t="n"/>
      <c r="G2642" s="49" t="n"/>
      <c r="H2642" s="48" t="n"/>
      <c r="I2642" s="50" t="n"/>
      <c r="J2642" s="48" t="n"/>
      <c r="K2642" s="48" t="n"/>
      <c r="L2642" s="48" t="n"/>
      <c r="M2642" s="48" t="n"/>
      <c r="N2642" s="48" t="n"/>
      <c r="O2642" s="51">
        <f>IF(AND(B2642="",G2642="",C2642="",D2642="",J2642=""),"",IF(B2642="","⚠ Falta fecha",IF(G2642="","⚠ Falta monto",IF(Q2642="","⚠ Falta cuenta",IF(ISNA(MATCH(Q2642,ctaNombre,0)),"⚠ Cuenta no registrada",IF(AND(OR(P2642="Gasto",P2642="Reembolso"),D2642=""),"⚠ Falta categoría",IF(AND(D2642&lt;&gt;"",E2642&lt;&gt;"",ISNA(MATCH(D2642&amp;"|"&amp;E2642,catClave,0))),"⚠ Subcategoría no corresponde",IF(AND(OR(P2642="Transferencia",P2642="Pago tarjeta"),K2642=""),"⚠ Falta cuenta destino",IF(AND(K2642&lt;&gt;"",P2642&lt;&gt;"Transferencia",P2642&lt;&gt;"Pago tarjeta"),"⚠ Destino solo aplica a transferencias",IF(AND(K2642&lt;&gt;"",K2642=Q2642),"⚠ Origen igual a destino",IF(AND(K2642&lt;&gt;"",ISNA(MATCH(K2642,ctaNombre,0))),"⚠ Destino no registrado",IF(AND(P2642="Pago tarjeta",AE2642&lt;&gt;"Tarjeta de crédito"),"⚠ El destino debe ser tarjeta de crédito",IF(AND(P2642="Gasto",E2642="Depósitos y retiros"),"⚠ Usa tipo Transferencia",IF(AND(P2642="Resultado trading",AD2642&lt;&gt;"Cuenta de trading"),"⚠ Usa una cuenta de trading",IF(AND(G2642&lt;=0,P2642&lt;&gt;"Ajuste",P2642&lt;&gt;"Resultado trading"),"⚠ El monto debe ser positivo","✓")))))))))))))))</f>
        <v/>
      </c>
      <c r="P2642" s="52">
        <f>IF(OR(B2642="",G2642=""),"",IF(C2642="","Gasto",C2642))</f>
        <v/>
      </c>
      <c r="Q2642" s="52">
        <f>IF(P2642="","",IF(J2642&lt;&gt;"",J2642,CuentaPred&amp;""))</f>
        <v/>
      </c>
      <c r="R2642" s="52">
        <f>IF(P2642="","",IF(ISNUMBER(I2642),I2642,TasaUSD))</f>
        <v/>
      </c>
      <c r="S2642" s="53">
        <f>IF(P2642="","",IF(H2642="USD",G2642*R2642,G2642))</f>
        <v/>
      </c>
      <c r="T2642" s="53">
        <f>IF(P2642="","",IF(H2642="USD",G2642,IF(R2642&gt;0,G2642/R2642,0)))</f>
        <v/>
      </c>
      <c r="U2642" s="53">
        <f>IF(P2642="","",IF(P2642="Gasto",S2642,IF(P2642="Reembolso",-S2642,0)))</f>
        <v/>
      </c>
      <c r="V2642" s="53">
        <f>IF(P2642="","",IF(P2642="Ingreso",S2642,0))</f>
        <v/>
      </c>
      <c r="W2642" s="53">
        <f>IF(P2642="","",IF(P2642="Resultado trading",S2642,0))</f>
        <v/>
      </c>
      <c r="X2642" s="52">
        <f>IF(OR(P2642="Gasto",P2642="Reembolso"),IF(M2642&lt;&gt;"",M2642,IFERROR(INDEX(catClasif,MATCH(D2642&amp;"|"&amp;E2642,catClave,0))&amp;"","Variable")),"")</f>
        <v/>
      </c>
      <c r="Y2642" s="52">
        <f>IF(P2642="","",IFERROR(INDEX(catGrupo,MATCH(D2642&amp;"|"&amp;E2642,catClave,0))&amp;"",""))</f>
        <v/>
      </c>
      <c r="Z2642" s="52">
        <f>IF(P2642="","",WEEKDAY(B2642,2))</f>
        <v/>
      </c>
      <c r="AA2642" s="52">
        <f>IF(P2642="","",IF(AND(P2642="Gasto",X2642="Variable",D2642&lt;&gt;catTrading,S2642&gt;0,S2642&lt;=Umbral),1,0))</f>
        <v/>
      </c>
      <c r="AB2642" s="52">
        <f>IF(OR(P2642="",Q2642=""),"",IFERROR(IF(INDEX(ctaVinc,MATCH(Q2642,ctaNombre,0))&amp;""&lt;&gt;"",INDEX(ctaVinc,MATCH(Q2642,ctaNombre,0))&amp;"",Q2642),Q2642))</f>
        <v/>
      </c>
      <c r="AC2642" s="52">
        <f>IF(OR(K2642="",AND(P2642&lt;&gt;"Transferencia",P2642&lt;&gt;"Pago tarjeta")),"",IFERROR(IF(INDEX(ctaVinc,MATCH(K2642,ctaNombre,0))&amp;""&lt;&gt;"",INDEX(ctaVinc,MATCH(K2642,ctaNombre,0))&amp;"",K2642),K2642))</f>
        <v/>
      </c>
      <c r="AD2642" s="52">
        <f>IF(AB2642="","",IFERROR(INDEX(ctaTipo,MATCH(AB2642,ctaNombre,0))&amp;"",""))</f>
        <v/>
      </c>
      <c r="AE2642" s="52">
        <f>IF(AC2642="","",IFERROR(INDEX(ctaTipo,MATCH(AC2642,ctaNombre,0))&amp;"",""))</f>
        <v/>
      </c>
      <c r="AF2642" s="53">
        <f>IF(OR(P2642="",AB2642=""),"",IF(OR(P2642="Gasto",P2642="Transferencia",P2642="Pago tarjeta"),-1,1)*IF(IFERROR(INDEX(ctaMoneda,MATCH(AB2642,ctaNombre,0))&amp;"","DOP")="USD",T2642,S2642))</f>
        <v/>
      </c>
      <c r="AG2642" s="53">
        <f>IF(AC2642="","",IF(IFERROR(INDEX(ctaMoneda,MATCH(AC2642,ctaNombre,0))&amp;"","DOP")="USD",T2642,S2642))</f>
        <v/>
      </c>
      <c r="AH2642" s="53">
        <f>IF(P2642="","",IF(AND(AD2642&lt;&gt;"",COUNTIFS(tcTipo,AD2642,tcLiq,"Sí")&gt;0),IF(OR(P2642="Gasto",P2642="Transferencia",P2642="Pago tarjeta"),-1,1)*S2642,0)+IF(AND(AE2642&lt;&gt;"",COUNTIFS(tcTipo,AE2642,tcLiq,"Sí")&gt;0),S2642,0))</f>
        <v/>
      </c>
      <c r="AI2642" s="52">
        <f>IF(OR(L2642="",P2642=""),"",IF(COUNTIFS(L$6:L2642,L2642,P$6:P2642,"?*")=1,MAX(AI$5:AI2641)+1,""))</f>
        <v/>
      </c>
    </row>
    <row r="2643">
      <c r="B2643" s="47" t="n"/>
      <c r="C2643" s="48" t="n"/>
      <c r="D2643" s="48" t="n"/>
      <c r="E2643" s="48" t="n"/>
      <c r="F2643" s="48" t="n"/>
      <c r="G2643" s="49" t="n"/>
      <c r="H2643" s="48" t="n"/>
      <c r="I2643" s="50" t="n"/>
      <c r="J2643" s="48" t="n"/>
      <c r="K2643" s="48" t="n"/>
      <c r="L2643" s="48" t="n"/>
      <c r="M2643" s="48" t="n"/>
      <c r="N2643" s="48" t="n"/>
      <c r="O2643" s="51">
        <f>IF(AND(B2643="",G2643="",C2643="",D2643="",J2643=""),"",IF(B2643="","⚠ Falta fecha",IF(G2643="","⚠ Falta monto",IF(Q2643="","⚠ Falta cuenta",IF(ISNA(MATCH(Q2643,ctaNombre,0)),"⚠ Cuenta no registrada",IF(AND(OR(P2643="Gasto",P2643="Reembolso"),D2643=""),"⚠ Falta categoría",IF(AND(D2643&lt;&gt;"",E2643&lt;&gt;"",ISNA(MATCH(D2643&amp;"|"&amp;E2643,catClave,0))),"⚠ Subcategoría no corresponde",IF(AND(OR(P2643="Transferencia",P2643="Pago tarjeta"),K2643=""),"⚠ Falta cuenta destino",IF(AND(K2643&lt;&gt;"",P2643&lt;&gt;"Transferencia",P2643&lt;&gt;"Pago tarjeta"),"⚠ Destino solo aplica a transferencias",IF(AND(K2643&lt;&gt;"",K2643=Q2643),"⚠ Origen igual a destino",IF(AND(K2643&lt;&gt;"",ISNA(MATCH(K2643,ctaNombre,0))),"⚠ Destino no registrado",IF(AND(P2643="Pago tarjeta",AE2643&lt;&gt;"Tarjeta de crédito"),"⚠ El destino debe ser tarjeta de crédito",IF(AND(P2643="Gasto",E2643="Depósitos y retiros"),"⚠ Usa tipo Transferencia",IF(AND(P2643="Resultado trading",AD2643&lt;&gt;"Cuenta de trading"),"⚠ Usa una cuenta de trading",IF(AND(G2643&lt;=0,P2643&lt;&gt;"Ajuste",P2643&lt;&gt;"Resultado trading"),"⚠ El monto debe ser positivo","✓")))))))))))))))</f>
        <v/>
      </c>
      <c r="P2643" s="52">
        <f>IF(OR(B2643="",G2643=""),"",IF(C2643="","Gasto",C2643))</f>
        <v/>
      </c>
      <c r="Q2643" s="52">
        <f>IF(P2643="","",IF(J2643&lt;&gt;"",J2643,CuentaPred&amp;""))</f>
        <v/>
      </c>
      <c r="R2643" s="52">
        <f>IF(P2643="","",IF(ISNUMBER(I2643),I2643,TasaUSD))</f>
        <v/>
      </c>
      <c r="S2643" s="53">
        <f>IF(P2643="","",IF(H2643="USD",G2643*R2643,G2643))</f>
        <v/>
      </c>
      <c r="T2643" s="53">
        <f>IF(P2643="","",IF(H2643="USD",G2643,IF(R2643&gt;0,G2643/R2643,0)))</f>
        <v/>
      </c>
      <c r="U2643" s="53">
        <f>IF(P2643="","",IF(P2643="Gasto",S2643,IF(P2643="Reembolso",-S2643,0)))</f>
        <v/>
      </c>
      <c r="V2643" s="53">
        <f>IF(P2643="","",IF(P2643="Ingreso",S2643,0))</f>
        <v/>
      </c>
      <c r="W2643" s="53">
        <f>IF(P2643="","",IF(P2643="Resultado trading",S2643,0))</f>
        <v/>
      </c>
      <c r="X2643" s="52">
        <f>IF(OR(P2643="Gasto",P2643="Reembolso"),IF(M2643&lt;&gt;"",M2643,IFERROR(INDEX(catClasif,MATCH(D2643&amp;"|"&amp;E2643,catClave,0))&amp;"","Variable")),"")</f>
        <v/>
      </c>
      <c r="Y2643" s="52">
        <f>IF(P2643="","",IFERROR(INDEX(catGrupo,MATCH(D2643&amp;"|"&amp;E2643,catClave,0))&amp;"",""))</f>
        <v/>
      </c>
      <c r="Z2643" s="52">
        <f>IF(P2643="","",WEEKDAY(B2643,2))</f>
        <v/>
      </c>
      <c r="AA2643" s="52">
        <f>IF(P2643="","",IF(AND(P2643="Gasto",X2643="Variable",D2643&lt;&gt;catTrading,S2643&gt;0,S2643&lt;=Umbral),1,0))</f>
        <v/>
      </c>
      <c r="AB2643" s="52">
        <f>IF(OR(P2643="",Q2643=""),"",IFERROR(IF(INDEX(ctaVinc,MATCH(Q2643,ctaNombre,0))&amp;""&lt;&gt;"",INDEX(ctaVinc,MATCH(Q2643,ctaNombre,0))&amp;"",Q2643),Q2643))</f>
        <v/>
      </c>
      <c r="AC2643" s="52">
        <f>IF(OR(K2643="",AND(P2643&lt;&gt;"Transferencia",P2643&lt;&gt;"Pago tarjeta")),"",IFERROR(IF(INDEX(ctaVinc,MATCH(K2643,ctaNombre,0))&amp;""&lt;&gt;"",INDEX(ctaVinc,MATCH(K2643,ctaNombre,0))&amp;"",K2643),K2643))</f>
        <v/>
      </c>
      <c r="AD2643" s="52">
        <f>IF(AB2643="","",IFERROR(INDEX(ctaTipo,MATCH(AB2643,ctaNombre,0))&amp;"",""))</f>
        <v/>
      </c>
      <c r="AE2643" s="52">
        <f>IF(AC2643="","",IFERROR(INDEX(ctaTipo,MATCH(AC2643,ctaNombre,0))&amp;"",""))</f>
        <v/>
      </c>
      <c r="AF2643" s="53">
        <f>IF(OR(P2643="",AB2643=""),"",IF(OR(P2643="Gasto",P2643="Transferencia",P2643="Pago tarjeta"),-1,1)*IF(IFERROR(INDEX(ctaMoneda,MATCH(AB2643,ctaNombre,0))&amp;"","DOP")="USD",T2643,S2643))</f>
        <v/>
      </c>
      <c r="AG2643" s="53">
        <f>IF(AC2643="","",IF(IFERROR(INDEX(ctaMoneda,MATCH(AC2643,ctaNombre,0))&amp;"","DOP")="USD",T2643,S2643))</f>
        <v/>
      </c>
      <c r="AH2643" s="53">
        <f>IF(P2643="","",IF(AND(AD2643&lt;&gt;"",COUNTIFS(tcTipo,AD2643,tcLiq,"Sí")&gt;0),IF(OR(P2643="Gasto",P2643="Transferencia",P2643="Pago tarjeta"),-1,1)*S2643,0)+IF(AND(AE2643&lt;&gt;"",COUNTIFS(tcTipo,AE2643,tcLiq,"Sí")&gt;0),S2643,0))</f>
        <v/>
      </c>
      <c r="AI2643" s="52">
        <f>IF(OR(L2643="",P2643=""),"",IF(COUNTIFS(L$6:L2643,L2643,P$6:P2643,"?*")=1,MAX(AI$5:AI2642)+1,""))</f>
        <v/>
      </c>
    </row>
    <row r="2644">
      <c r="B2644" s="47" t="n"/>
      <c r="C2644" s="48" t="n"/>
      <c r="D2644" s="48" t="n"/>
      <c r="E2644" s="48" t="n"/>
      <c r="F2644" s="48" t="n"/>
      <c r="G2644" s="49" t="n"/>
      <c r="H2644" s="48" t="n"/>
      <c r="I2644" s="50" t="n"/>
      <c r="J2644" s="48" t="n"/>
      <c r="K2644" s="48" t="n"/>
      <c r="L2644" s="48" t="n"/>
      <c r="M2644" s="48" t="n"/>
      <c r="N2644" s="48" t="n"/>
      <c r="O2644" s="51">
        <f>IF(AND(B2644="",G2644="",C2644="",D2644="",J2644=""),"",IF(B2644="","⚠ Falta fecha",IF(G2644="","⚠ Falta monto",IF(Q2644="","⚠ Falta cuenta",IF(ISNA(MATCH(Q2644,ctaNombre,0)),"⚠ Cuenta no registrada",IF(AND(OR(P2644="Gasto",P2644="Reembolso"),D2644=""),"⚠ Falta categoría",IF(AND(D2644&lt;&gt;"",E2644&lt;&gt;"",ISNA(MATCH(D2644&amp;"|"&amp;E2644,catClave,0))),"⚠ Subcategoría no corresponde",IF(AND(OR(P2644="Transferencia",P2644="Pago tarjeta"),K2644=""),"⚠ Falta cuenta destino",IF(AND(K2644&lt;&gt;"",P2644&lt;&gt;"Transferencia",P2644&lt;&gt;"Pago tarjeta"),"⚠ Destino solo aplica a transferencias",IF(AND(K2644&lt;&gt;"",K2644=Q2644),"⚠ Origen igual a destino",IF(AND(K2644&lt;&gt;"",ISNA(MATCH(K2644,ctaNombre,0))),"⚠ Destino no registrado",IF(AND(P2644="Pago tarjeta",AE2644&lt;&gt;"Tarjeta de crédito"),"⚠ El destino debe ser tarjeta de crédito",IF(AND(P2644="Gasto",E2644="Depósitos y retiros"),"⚠ Usa tipo Transferencia",IF(AND(P2644="Resultado trading",AD2644&lt;&gt;"Cuenta de trading"),"⚠ Usa una cuenta de trading",IF(AND(G2644&lt;=0,P2644&lt;&gt;"Ajuste",P2644&lt;&gt;"Resultado trading"),"⚠ El monto debe ser positivo","✓")))))))))))))))</f>
        <v/>
      </c>
      <c r="P2644" s="52">
        <f>IF(OR(B2644="",G2644=""),"",IF(C2644="","Gasto",C2644))</f>
        <v/>
      </c>
      <c r="Q2644" s="52">
        <f>IF(P2644="","",IF(J2644&lt;&gt;"",J2644,CuentaPred&amp;""))</f>
        <v/>
      </c>
      <c r="R2644" s="52">
        <f>IF(P2644="","",IF(ISNUMBER(I2644),I2644,TasaUSD))</f>
        <v/>
      </c>
      <c r="S2644" s="53">
        <f>IF(P2644="","",IF(H2644="USD",G2644*R2644,G2644))</f>
        <v/>
      </c>
      <c r="T2644" s="53">
        <f>IF(P2644="","",IF(H2644="USD",G2644,IF(R2644&gt;0,G2644/R2644,0)))</f>
        <v/>
      </c>
      <c r="U2644" s="53">
        <f>IF(P2644="","",IF(P2644="Gasto",S2644,IF(P2644="Reembolso",-S2644,0)))</f>
        <v/>
      </c>
      <c r="V2644" s="53">
        <f>IF(P2644="","",IF(P2644="Ingreso",S2644,0))</f>
        <v/>
      </c>
      <c r="W2644" s="53">
        <f>IF(P2644="","",IF(P2644="Resultado trading",S2644,0))</f>
        <v/>
      </c>
      <c r="X2644" s="52">
        <f>IF(OR(P2644="Gasto",P2644="Reembolso"),IF(M2644&lt;&gt;"",M2644,IFERROR(INDEX(catClasif,MATCH(D2644&amp;"|"&amp;E2644,catClave,0))&amp;"","Variable")),"")</f>
        <v/>
      </c>
      <c r="Y2644" s="52">
        <f>IF(P2644="","",IFERROR(INDEX(catGrupo,MATCH(D2644&amp;"|"&amp;E2644,catClave,0))&amp;"",""))</f>
        <v/>
      </c>
      <c r="Z2644" s="52">
        <f>IF(P2644="","",WEEKDAY(B2644,2))</f>
        <v/>
      </c>
      <c r="AA2644" s="52">
        <f>IF(P2644="","",IF(AND(P2644="Gasto",X2644="Variable",D2644&lt;&gt;catTrading,S2644&gt;0,S2644&lt;=Umbral),1,0))</f>
        <v/>
      </c>
      <c r="AB2644" s="52">
        <f>IF(OR(P2644="",Q2644=""),"",IFERROR(IF(INDEX(ctaVinc,MATCH(Q2644,ctaNombre,0))&amp;""&lt;&gt;"",INDEX(ctaVinc,MATCH(Q2644,ctaNombre,0))&amp;"",Q2644),Q2644))</f>
        <v/>
      </c>
      <c r="AC2644" s="52">
        <f>IF(OR(K2644="",AND(P2644&lt;&gt;"Transferencia",P2644&lt;&gt;"Pago tarjeta")),"",IFERROR(IF(INDEX(ctaVinc,MATCH(K2644,ctaNombre,0))&amp;""&lt;&gt;"",INDEX(ctaVinc,MATCH(K2644,ctaNombre,0))&amp;"",K2644),K2644))</f>
        <v/>
      </c>
      <c r="AD2644" s="52">
        <f>IF(AB2644="","",IFERROR(INDEX(ctaTipo,MATCH(AB2644,ctaNombre,0))&amp;"",""))</f>
        <v/>
      </c>
      <c r="AE2644" s="52">
        <f>IF(AC2644="","",IFERROR(INDEX(ctaTipo,MATCH(AC2644,ctaNombre,0))&amp;"",""))</f>
        <v/>
      </c>
      <c r="AF2644" s="53">
        <f>IF(OR(P2644="",AB2644=""),"",IF(OR(P2644="Gasto",P2644="Transferencia",P2644="Pago tarjeta"),-1,1)*IF(IFERROR(INDEX(ctaMoneda,MATCH(AB2644,ctaNombre,0))&amp;"","DOP")="USD",T2644,S2644))</f>
        <v/>
      </c>
      <c r="AG2644" s="53">
        <f>IF(AC2644="","",IF(IFERROR(INDEX(ctaMoneda,MATCH(AC2644,ctaNombre,0))&amp;"","DOP")="USD",T2644,S2644))</f>
        <v/>
      </c>
      <c r="AH2644" s="53">
        <f>IF(P2644="","",IF(AND(AD2644&lt;&gt;"",COUNTIFS(tcTipo,AD2644,tcLiq,"Sí")&gt;0),IF(OR(P2644="Gasto",P2644="Transferencia",P2644="Pago tarjeta"),-1,1)*S2644,0)+IF(AND(AE2644&lt;&gt;"",COUNTIFS(tcTipo,AE2644,tcLiq,"Sí")&gt;0),S2644,0))</f>
        <v/>
      </c>
      <c r="AI2644" s="52">
        <f>IF(OR(L2644="",P2644=""),"",IF(COUNTIFS(L$6:L2644,L2644,P$6:P2644,"?*")=1,MAX(AI$5:AI2643)+1,""))</f>
        <v/>
      </c>
    </row>
    <row r="2645">
      <c r="B2645" s="47" t="n"/>
      <c r="C2645" s="48" t="n"/>
      <c r="D2645" s="48" t="n"/>
      <c r="E2645" s="48" t="n"/>
      <c r="F2645" s="48" t="n"/>
      <c r="G2645" s="49" t="n"/>
      <c r="H2645" s="48" t="n"/>
      <c r="I2645" s="50" t="n"/>
      <c r="J2645" s="48" t="n"/>
      <c r="K2645" s="48" t="n"/>
      <c r="L2645" s="48" t="n"/>
      <c r="M2645" s="48" t="n"/>
      <c r="N2645" s="48" t="n"/>
      <c r="O2645" s="51">
        <f>IF(AND(B2645="",G2645="",C2645="",D2645="",J2645=""),"",IF(B2645="","⚠ Falta fecha",IF(G2645="","⚠ Falta monto",IF(Q2645="","⚠ Falta cuenta",IF(ISNA(MATCH(Q2645,ctaNombre,0)),"⚠ Cuenta no registrada",IF(AND(OR(P2645="Gasto",P2645="Reembolso"),D2645=""),"⚠ Falta categoría",IF(AND(D2645&lt;&gt;"",E2645&lt;&gt;"",ISNA(MATCH(D2645&amp;"|"&amp;E2645,catClave,0))),"⚠ Subcategoría no corresponde",IF(AND(OR(P2645="Transferencia",P2645="Pago tarjeta"),K2645=""),"⚠ Falta cuenta destino",IF(AND(K2645&lt;&gt;"",P2645&lt;&gt;"Transferencia",P2645&lt;&gt;"Pago tarjeta"),"⚠ Destino solo aplica a transferencias",IF(AND(K2645&lt;&gt;"",K2645=Q2645),"⚠ Origen igual a destino",IF(AND(K2645&lt;&gt;"",ISNA(MATCH(K2645,ctaNombre,0))),"⚠ Destino no registrado",IF(AND(P2645="Pago tarjeta",AE2645&lt;&gt;"Tarjeta de crédito"),"⚠ El destino debe ser tarjeta de crédito",IF(AND(P2645="Gasto",E2645="Depósitos y retiros"),"⚠ Usa tipo Transferencia",IF(AND(P2645="Resultado trading",AD2645&lt;&gt;"Cuenta de trading"),"⚠ Usa una cuenta de trading",IF(AND(G2645&lt;=0,P2645&lt;&gt;"Ajuste",P2645&lt;&gt;"Resultado trading"),"⚠ El monto debe ser positivo","✓")))))))))))))))</f>
        <v/>
      </c>
      <c r="P2645" s="52">
        <f>IF(OR(B2645="",G2645=""),"",IF(C2645="","Gasto",C2645))</f>
        <v/>
      </c>
      <c r="Q2645" s="52">
        <f>IF(P2645="","",IF(J2645&lt;&gt;"",J2645,CuentaPred&amp;""))</f>
        <v/>
      </c>
      <c r="R2645" s="52">
        <f>IF(P2645="","",IF(ISNUMBER(I2645),I2645,TasaUSD))</f>
        <v/>
      </c>
      <c r="S2645" s="53">
        <f>IF(P2645="","",IF(H2645="USD",G2645*R2645,G2645))</f>
        <v/>
      </c>
      <c r="T2645" s="53">
        <f>IF(P2645="","",IF(H2645="USD",G2645,IF(R2645&gt;0,G2645/R2645,0)))</f>
        <v/>
      </c>
      <c r="U2645" s="53">
        <f>IF(P2645="","",IF(P2645="Gasto",S2645,IF(P2645="Reembolso",-S2645,0)))</f>
        <v/>
      </c>
      <c r="V2645" s="53">
        <f>IF(P2645="","",IF(P2645="Ingreso",S2645,0))</f>
        <v/>
      </c>
      <c r="W2645" s="53">
        <f>IF(P2645="","",IF(P2645="Resultado trading",S2645,0))</f>
        <v/>
      </c>
      <c r="X2645" s="52">
        <f>IF(OR(P2645="Gasto",P2645="Reembolso"),IF(M2645&lt;&gt;"",M2645,IFERROR(INDEX(catClasif,MATCH(D2645&amp;"|"&amp;E2645,catClave,0))&amp;"","Variable")),"")</f>
        <v/>
      </c>
      <c r="Y2645" s="52">
        <f>IF(P2645="","",IFERROR(INDEX(catGrupo,MATCH(D2645&amp;"|"&amp;E2645,catClave,0))&amp;"",""))</f>
        <v/>
      </c>
      <c r="Z2645" s="52">
        <f>IF(P2645="","",WEEKDAY(B2645,2))</f>
        <v/>
      </c>
      <c r="AA2645" s="52">
        <f>IF(P2645="","",IF(AND(P2645="Gasto",X2645="Variable",D2645&lt;&gt;catTrading,S2645&gt;0,S2645&lt;=Umbral),1,0))</f>
        <v/>
      </c>
      <c r="AB2645" s="52">
        <f>IF(OR(P2645="",Q2645=""),"",IFERROR(IF(INDEX(ctaVinc,MATCH(Q2645,ctaNombre,0))&amp;""&lt;&gt;"",INDEX(ctaVinc,MATCH(Q2645,ctaNombre,0))&amp;"",Q2645),Q2645))</f>
        <v/>
      </c>
      <c r="AC2645" s="52">
        <f>IF(OR(K2645="",AND(P2645&lt;&gt;"Transferencia",P2645&lt;&gt;"Pago tarjeta")),"",IFERROR(IF(INDEX(ctaVinc,MATCH(K2645,ctaNombre,0))&amp;""&lt;&gt;"",INDEX(ctaVinc,MATCH(K2645,ctaNombre,0))&amp;"",K2645),K2645))</f>
        <v/>
      </c>
      <c r="AD2645" s="52">
        <f>IF(AB2645="","",IFERROR(INDEX(ctaTipo,MATCH(AB2645,ctaNombre,0))&amp;"",""))</f>
        <v/>
      </c>
      <c r="AE2645" s="52">
        <f>IF(AC2645="","",IFERROR(INDEX(ctaTipo,MATCH(AC2645,ctaNombre,0))&amp;"",""))</f>
        <v/>
      </c>
      <c r="AF2645" s="53">
        <f>IF(OR(P2645="",AB2645=""),"",IF(OR(P2645="Gasto",P2645="Transferencia",P2645="Pago tarjeta"),-1,1)*IF(IFERROR(INDEX(ctaMoneda,MATCH(AB2645,ctaNombre,0))&amp;"","DOP")="USD",T2645,S2645))</f>
        <v/>
      </c>
      <c r="AG2645" s="53">
        <f>IF(AC2645="","",IF(IFERROR(INDEX(ctaMoneda,MATCH(AC2645,ctaNombre,0))&amp;"","DOP")="USD",T2645,S2645))</f>
        <v/>
      </c>
      <c r="AH2645" s="53">
        <f>IF(P2645="","",IF(AND(AD2645&lt;&gt;"",COUNTIFS(tcTipo,AD2645,tcLiq,"Sí")&gt;0),IF(OR(P2645="Gasto",P2645="Transferencia",P2645="Pago tarjeta"),-1,1)*S2645,0)+IF(AND(AE2645&lt;&gt;"",COUNTIFS(tcTipo,AE2645,tcLiq,"Sí")&gt;0),S2645,0))</f>
        <v/>
      </c>
      <c r="AI2645" s="52">
        <f>IF(OR(L2645="",P2645=""),"",IF(COUNTIFS(L$6:L2645,L2645,P$6:P2645,"?*")=1,MAX(AI$5:AI2644)+1,""))</f>
        <v/>
      </c>
    </row>
    <row r="2646">
      <c r="B2646" s="47" t="n"/>
      <c r="C2646" s="48" t="n"/>
      <c r="D2646" s="48" t="n"/>
      <c r="E2646" s="48" t="n"/>
      <c r="F2646" s="48" t="n"/>
      <c r="G2646" s="49" t="n"/>
      <c r="H2646" s="48" t="n"/>
      <c r="I2646" s="50" t="n"/>
      <c r="J2646" s="48" t="n"/>
      <c r="K2646" s="48" t="n"/>
      <c r="L2646" s="48" t="n"/>
      <c r="M2646" s="48" t="n"/>
      <c r="N2646" s="48" t="n"/>
      <c r="O2646" s="51">
        <f>IF(AND(B2646="",G2646="",C2646="",D2646="",J2646=""),"",IF(B2646="","⚠ Falta fecha",IF(G2646="","⚠ Falta monto",IF(Q2646="","⚠ Falta cuenta",IF(ISNA(MATCH(Q2646,ctaNombre,0)),"⚠ Cuenta no registrada",IF(AND(OR(P2646="Gasto",P2646="Reembolso"),D2646=""),"⚠ Falta categoría",IF(AND(D2646&lt;&gt;"",E2646&lt;&gt;"",ISNA(MATCH(D2646&amp;"|"&amp;E2646,catClave,0))),"⚠ Subcategoría no corresponde",IF(AND(OR(P2646="Transferencia",P2646="Pago tarjeta"),K2646=""),"⚠ Falta cuenta destino",IF(AND(K2646&lt;&gt;"",P2646&lt;&gt;"Transferencia",P2646&lt;&gt;"Pago tarjeta"),"⚠ Destino solo aplica a transferencias",IF(AND(K2646&lt;&gt;"",K2646=Q2646),"⚠ Origen igual a destino",IF(AND(K2646&lt;&gt;"",ISNA(MATCH(K2646,ctaNombre,0))),"⚠ Destino no registrado",IF(AND(P2646="Pago tarjeta",AE2646&lt;&gt;"Tarjeta de crédito"),"⚠ El destino debe ser tarjeta de crédito",IF(AND(P2646="Gasto",E2646="Depósitos y retiros"),"⚠ Usa tipo Transferencia",IF(AND(P2646="Resultado trading",AD2646&lt;&gt;"Cuenta de trading"),"⚠ Usa una cuenta de trading",IF(AND(G2646&lt;=0,P2646&lt;&gt;"Ajuste",P2646&lt;&gt;"Resultado trading"),"⚠ El monto debe ser positivo","✓")))))))))))))))</f>
        <v/>
      </c>
      <c r="P2646" s="52">
        <f>IF(OR(B2646="",G2646=""),"",IF(C2646="","Gasto",C2646))</f>
        <v/>
      </c>
      <c r="Q2646" s="52">
        <f>IF(P2646="","",IF(J2646&lt;&gt;"",J2646,CuentaPred&amp;""))</f>
        <v/>
      </c>
      <c r="R2646" s="52">
        <f>IF(P2646="","",IF(ISNUMBER(I2646),I2646,TasaUSD))</f>
        <v/>
      </c>
      <c r="S2646" s="53">
        <f>IF(P2646="","",IF(H2646="USD",G2646*R2646,G2646))</f>
        <v/>
      </c>
      <c r="T2646" s="53">
        <f>IF(P2646="","",IF(H2646="USD",G2646,IF(R2646&gt;0,G2646/R2646,0)))</f>
        <v/>
      </c>
      <c r="U2646" s="53">
        <f>IF(P2646="","",IF(P2646="Gasto",S2646,IF(P2646="Reembolso",-S2646,0)))</f>
        <v/>
      </c>
      <c r="V2646" s="53">
        <f>IF(P2646="","",IF(P2646="Ingreso",S2646,0))</f>
        <v/>
      </c>
      <c r="W2646" s="53">
        <f>IF(P2646="","",IF(P2646="Resultado trading",S2646,0))</f>
        <v/>
      </c>
      <c r="X2646" s="52">
        <f>IF(OR(P2646="Gasto",P2646="Reembolso"),IF(M2646&lt;&gt;"",M2646,IFERROR(INDEX(catClasif,MATCH(D2646&amp;"|"&amp;E2646,catClave,0))&amp;"","Variable")),"")</f>
        <v/>
      </c>
      <c r="Y2646" s="52">
        <f>IF(P2646="","",IFERROR(INDEX(catGrupo,MATCH(D2646&amp;"|"&amp;E2646,catClave,0))&amp;"",""))</f>
        <v/>
      </c>
      <c r="Z2646" s="52">
        <f>IF(P2646="","",WEEKDAY(B2646,2))</f>
        <v/>
      </c>
      <c r="AA2646" s="52">
        <f>IF(P2646="","",IF(AND(P2646="Gasto",X2646="Variable",D2646&lt;&gt;catTrading,S2646&gt;0,S2646&lt;=Umbral),1,0))</f>
        <v/>
      </c>
      <c r="AB2646" s="52">
        <f>IF(OR(P2646="",Q2646=""),"",IFERROR(IF(INDEX(ctaVinc,MATCH(Q2646,ctaNombre,0))&amp;""&lt;&gt;"",INDEX(ctaVinc,MATCH(Q2646,ctaNombre,0))&amp;"",Q2646),Q2646))</f>
        <v/>
      </c>
      <c r="AC2646" s="52">
        <f>IF(OR(K2646="",AND(P2646&lt;&gt;"Transferencia",P2646&lt;&gt;"Pago tarjeta")),"",IFERROR(IF(INDEX(ctaVinc,MATCH(K2646,ctaNombre,0))&amp;""&lt;&gt;"",INDEX(ctaVinc,MATCH(K2646,ctaNombre,0))&amp;"",K2646),K2646))</f>
        <v/>
      </c>
      <c r="AD2646" s="52">
        <f>IF(AB2646="","",IFERROR(INDEX(ctaTipo,MATCH(AB2646,ctaNombre,0))&amp;"",""))</f>
        <v/>
      </c>
      <c r="AE2646" s="52">
        <f>IF(AC2646="","",IFERROR(INDEX(ctaTipo,MATCH(AC2646,ctaNombre,0))&amp;"",""))</f>
        <v/>
      </c>
      <c r="AF2646" s="53">
        <f>IF(OR(P2646="",AB2646=""),"",IF(OR(P2646="Gasto",P2646="Transferencia",P2646="Pago tarjeta"),-1,1)*IF(IFERROR(INDEX(ctaMoneda,MATCH(AB2646,ctaNombre,0))&amp;"","DOP")="USD",T2646,S2646))</f>
        <v/>
      </c>
      <c r="AG2646" s="53">
        <f>IF(AC2646="","",IF(IFERROR(INDEX(ctaMoneda,MATCH(AC2646,ctaNombre,0))&amp;"","DOP")="USD",T2646,S2646))</f>
        <v/>
      </c>
      <c r="AH2646" s="53">
        <f>IF(P2646="","",IF(AND(AD2646&lt;&gt;"",COUNTIFS(tcTipo,AD2646,tcLiq,"Sí")&gt;0),IF(OR(P2646="Gasto",P2646="Transferencia",P2646="Pago tarjeta"),-1,1)*S2646,0)+IF(AND(AE2646&lt;&gt;"",COUNTIFS(tcTipo,AE2646,tcLiq,"Sí")&gt;0),S2646,0))</f>
        <v/>
      </c>
      <c r="AI2646" s="52">
        <f>IF(OR(L2646="",P2646=""),"",IF(COUNTIFS(L$6:L2646,L2646,P$6:P2646,"?*")=1,MAX(AI$5:AI2645)+1,""))</f>
        <v/>
      </c>
    </row>
    <row r="2647">
      <c r="B2647" s="47" t="n"/>
      <c r="C2647" s="48" t="n"/>
      <c r="D2647" s="48" t="n"/>
      <c r="E2647" s="48" t="n"/>
      <c r="F2647" s="48" t="n"/>
      <c r="G2647" s="49" t="n"/>
      <c r="H2647" s="48" t="n"/>
      <c r="I2647" s="50" t="n"/>
      <c r="J2647" s="48" t="n"/>
      <c r="K2647" s="48" t="n"/>
      <c r="L2647" s="48" t="n"/>
      <c r="M2647" s="48" t="n"/>
      <c r="N2647" s="48" t="n"/>
      <c r="O2647" s="51">
        <f>IF(AND(B2647="",G2647="",C2647="",D2647="",J2647=""),"",IF(B2647="","⚠ Falta fecha",IF(G2647="","⚠ Falta monto",IF(Q2647="","⚠ Falta cuenta",IF(ISNA(MATCH(Q2647,ctaNombre,0)),"⚠ Cuenta no registrada",IF(AND(OR(P2647="Gasto",P2647="Reembolso"),D2647=""),"⚠ Falta categoría",IF(AND(D2647&lt;&gt;"",E2647&lt;&gt;"",ISNA(MATCH(D2647&amp;"|"&amp;E2647,catClave,0))),"⚠ Subcategoría no corresponde",IF(AND(OR(P2647="Transferencia",P2647="Pago tarjeta"),K2647=""),"⚠ Falta cuenta destino",IF(AND(K2647&lt;&gt;"",P2647&lt;&gt;"Transferencia",P2647&lt;&gt;"Pago tarjeta"),"⚠ Destino solo aplica a transferencias",IF(AND(K2647&lt;&gt;"",K2647=Q2647),"⚠ Origen igual a destino",IF(AND(K2647&lt;&gt;"",ISNA(MATCH(K2647,ctaNombre,0))),"⚠ Destino no registrado",IF(AND(P2647="Pago tarjeta",AE2647&lt;&gt;"Tarjeta de crédito"),"⚠ El destino debe ser tarjeta de crédito",IF(AND(P2647="Gasto",E2647="Depósitos y retiros"),"⚠ Usa tipo Transferencia",IF(AND(P2647="Resultado trading",AD2647&lt;&gt;"Cuenta de trading"),"⚠ Usa una cuenta de trading",IF(AND(G2647&lt;=0,P2647&lt;&gt;"Ajuste",P2647&lt;&gt;"Resultado trading"),"⚠ El monto debe ser positivo","✓")))))))))))))))</f>
        <v/>
      </c>
      <c r="P2647" s="52">
        <f>IF(OR(B2647="",G2647=""),"",IF(C2647="","Gasto",C2647))</f>
        <v/>
      </c>
      <c r="Q2647" s="52">
        <f>IF(P2647="","",IF(J2647&lt;&gt;"",J2647,CuentaPred&amp;""))</f>
        <v/>
      </c>
      <c r="R2647" s="52">
        <f>IF(P2647="","",IF(ISNUMBER(I2647),I2647,TasaUSD))</f>
        <v/>
      </c>
      <c r="S2647" s="53">
        <f>IF(P2647="","",IF(H2647="USD",G2647*R2647,G2647))</f>
        <v/>
      </c>
      <c r="T2647" s="53">
        <f>IF(P2647="","",IF(H2647="USD",G2647,IF(R2647&gt;0,G2647/R2647,0)))</f>
        <v/>
      </c>
      <c r="U2647" s="53">
        <f>IF(P2647="","",IF(P2647="Gasto",S2647,IF(P2647="Reembolso",-S2647,0)))</f>
        <v/>
      </c>
      <c r="V2647" s="53">
        <f>IF(P2647="","",IF(P2647="Ingreso",S2647,0))</f>
        <v/>
      </c>
      <c r="W2647" s="53">
        <f>IF(P2647="","",IF(P2647="Resultado trading",S2647,0))</f>
        <v/>
      </c>
      <c r="X2647" s="52">
        <f>IF(OR(P2647="Gasto",P2647="Reembolso"),IF(M2647&lt;&gt;"",M2647,IFERROR(INDEX(catClasif,MATCH(D2647&amp;"|"&amp;E2647,catClave,0))&amp;"","Variable")),"")</f>
        <v/>
      </c>
      <c r="Y2647" s="52">
        <f>IF(P2647="","",IFERROR(INDEX(catGrupo,MATCH(D2647&amp;"|"&amp;E2647,catClave,0))&amp;"",""))</f>
        <v/>
      </c>
      <c r="Z2647" s="52">
        <f>IF(P2647="","",WEEKDAY(B2647,2))</f>
        <v/>
      </c>
      <c r="AA2647" s="52">
        <f>IF(P2647="","",IF(AND(P2647="Gasto",X2647="Variable",D2647&lt;&gt;catTrading,S2647&gt;0,S2647&lt;=Umbral),1,0))</f>
        <v/>
      </c>
      <c r="AB2647" s="52">
        <f>IF(OR(P2647="",Q2647=""),"",IFERROR(IF(INDEX(ctaVinc,MATCH(Q2647,ctaNombre,0))&amp;""&lt;&gt;"",INDEX(ctaVinc,MATCH(Q2647,ctaNombre,0))&amp;"",Q2647),Q2647))</f>
        <v/>
      </c>
      <c r="AC2647" s="52">
        <f>IF(OR(K2647="",AND(P2647&lt;&gt;"Transferencia",P2647&lt;&gt;"Pago tarjeta")),"",IFERROR(IF(INDEX(ctaVinc,MATCH(K2647,ctaNombre,0))&amp;""&lt;&gt;"",INDEX(ctaVinc,MATCH(K2647,ctaNombre,0))&amp;"",K2647),K2647))</f>
        <v/>
      </c>
      <c r="AD2647" s="52">
        <f>IF(AB2647="","",IFERROR(INDEX(ctaTipo,MATCH(AB2647,ctaNombre,0))&amp;"",""))</f>
        <v/>
      </c>
      <c r="AE2647" s="52">
        <f>IF(AC2647="","",IFERROR(INDEX(ctaTipo,MATCH(AC2647,ctaNombre,0))&amp;"",""))</f>
        <v/>
      </c>
      <c r="AF2647" s="53">
        <f>IF(OR(P2647="",AB2647=""),"",IF(OR(P2647="Gasto",P2647="Transferencia",P2647="Pago tarjeta"),-1,1)*IF(IFERROR(INDEX(ctaMoneda,MATCH(AB2647,ctaNombre,0))&amp;"","DOP")="USD",T2647,S2647))</f>
        <v/>
      </c>
      <c r="AG2647" s="53">
        <f>IF(AC2647="","",IF(IFERROR(INDEX(ctaMoneda,MATCH(AC2647,ctaNombre,0))&amp;"","DOP")="USD",T2647,S2647))</f>
        <v/>
      </c>
      <c r="AH2647" s="53">
        <f>IF(P2647="","",IF(AND(AD2647&lt;&gt;"",COUNTIFS(tcTipo,AD2647,tcLiq,"Sí")&gt;0),IF(OR(P2647="Gasto",P2647="Transferencia",P2647="Pago tarjeta"),-1,1)*S2647,0)+IF(AND(AE2647&lt;&gt;"",COUNTIFS(tcTipo,AE2647,tcLiq,"Sí")&gt;0),S2647,0))</f>
        <v/>
      </c>
      <c r="AI2647" s="52">
        <f>IF(OR(L2647="",P2647=""),"",IF(COUNTIFS(L$6:L2647,L2647,P$6:P2647,"?*")=1,MAX(AI$5:AI2646)+1,""))</f>
        <v/>
      </c>
    </row>
    <row r="2648">
      <c r="B2648" s="47" t="n"/>
      <c r="C2648" s="48" t="n"/>
      <c r="D2648" s="48" t="n"/>
      <c r="E2648" s="48" t="n"/>
      <c r="F2648" s="48" t="n"/>
      <c r="G2648" s="49" t="n"/>
      <c r="H2648" s="48" t="n"/>
      <c r="I2648" s="50" t="n"/>
      <c r="J2648" s="48" t="n"/>
      <c r="K2648" s="48" t="n"/>
      <c r="L2648" s="48" t="n"/>
      <c r="M2648" s="48" t="n"/>
      <c r="N2648" s="48" t="n"/>
      <c r="O2648" s="51">
        <f>IF(AND(B2648="",G2648="",C2648="",D2648="",J2648=""),"",IF(B2648="","⚠ Falta fecha",IF(G2648="","⚠ Falta monto",IF(Q2648="","⚠ Falta cuenta",IF(ISNA(MATCH(Q2648,ctaNombre,0)),"⚠ Cuenta no registrada",IF(AND(OR(P2648="Gasto",P2648="Reembolso"),D2648=""),"⚠ Falta categoría",IF(AND(D2648&lt;&gt;"",E2648&lt;&gt;"",ISNA(MATCH(D2648&amp;"|"&amp;E2648,catClave,0))),"⚠ Subcategoría no corresponde",IF(AND(OR(P2648="Transferencia",P2648="Pago tarjeta"),K2648=""),"⚠ Falta cuenta destino",IF(AND(K2648&lt;&gt;"",P2648&lt;&gt;"Transferencia",P2648&lt;&gt;"Pago tarjeta"),"⚠ Destino solo aplica a transferencias",IF(AND(K2648&lt;&gt;"",K2648=Q2648),"⚠ Origen igual a destino",IF(AND(K2648&lt;&gt;"",ISNA(MATCH(K2648,ctaNombre,0))),"⚠ Destino no registrado",IF(AND(P2648="Pago tarjeta",AE2648&lt;&gt;"Tarjeta de crédito"),"⚠ El destino debe ser tarjeta de crédito",IF(AND(P2648="Gasto",E2648="Depósitos y retiros"),"⚠ Usa tipo Transferencia",IF(AND(P2648="Resultado trading",AD2648&lt;&gt;"Cuenta de trading"),"⚠ Usa una cuenta de trading",IF(AND(G2648&lt;=0,P2648&lt;&gt;"Ajuste",P2648&lt;&gt;"Resultado trading"),"⚠ El monto debe ser positivo","✓")))))))))))))))</f>
        <v/>
      </c>
      <c r="P2648" s="52">
        <f>IF(OR(B2648="",G2648=""),"",IF(C2648="","Gasto",C2648))</f>
        <v/>
      </c>
      <c r="Q2648" s="52">
        <f>IF(P2648="","",IF(J2648&lt;&gt;"",J2648,CuentaPred&amp;""))</f>
        <v/>
      </c>
      <c r="R2648" s="52">
        <f>IF(P2648="","",IF(ISNUMBER(I2648),I2648,TasaUSD))</f>
        <v/>
      </c>
      <c r="S2648" s="53">
        <f>IF(P2648="","",IF(H2648="USD",G2648*R2648,G2648))</f>
        <v/>
      </c>
      <c r="T2648" s="53">
        <f>IF(P2648="","",IF(H2648="USD",G2648,IF(R2648&gt;0,G2648/R2648,0)))</f>
        <v/>
      </c>
      <c r="U2648" s="53">
        <f>IF(P2648="","",IF(P2648="Gasto",S2648,IF(P2648="Reembolso",-S2648,0)))</f>
        <v/>
      </c>
      <c r="V2648" s="53">
        <f>IF(P2648="","",IF(P2648="Ingreso",S2648,0))</f>
        <v/>
      </c>
      <c r="W2648" s="53">
        <f>IF(P2648="","",IF(P2648="Resultado trading",S2648,0))</f>
        <v/>
      </c>
      <c r="X2648" s="52">
        <f>IF(OR(P2648="Gasto",P2648="Reembolso"),IF(M2648&lt;&gt;"",M2648,IFERROR(INDEX(catClasif,MATCH(D2648&amp;"|"&amp;E2648,catClave,0))&amp;"","Variable")),"")</f>
        <v/>
      </c>
      <c r="Y2648" s="52">
        <f>IF(P2648="","",IFERROR(INDEX(catGrupo,MATCH(D2648&amp;"|"&amp;E2648,catClave,0))&amp;"",""))</f>
        <v/>
      </c>
      <c r="Z2648" s="52">
        <f>IF(P2648="","",WEEKDAY(B2648,2))</f>
        <v/>
      </c>
      <c r="AA2648" s="52">
        <f>IF(P2648="","",IF(AND(P2648="Gasto",X2648="Variable",D2648&lt;&gt;catTrading,S2648&gt;0,S2648&lt;=Umbral),1,0))</f>
        <v/>
      </c>
      <c r="AB2648" s="52">
        <f>IF(OR(P2648="",Q2648=""),"",IFERROR(IF(INDEX(ctaVinc,MATCH(Q2648,ctaNombre,0))&amp;""&lt;&gt;"",INDEX(ctaVinc,MATCH(Q2648,ctaNombre,0))&amp;"",Q2648),Q2648))</f>
        <v/>
      </c>
      <c r="AC2648" s="52">
        <f>IF(OR(K2648="",AND(P2648&lt;&gt;"Transferencia",P2648&lt;&gt;"Pago tarjeta")),"",IFERROR(IF(INDEX(ctaVinc,MATCH(K2648,ctaNombre,0))&amp;""&lt;&gt;"",INDEX(ctaVinc,MATCH(K2648,ctaNombre,0))&amp;"",K2648),K2648))</f>
        <v/>
      </c>
      <c r="AD2648" s="52">
        <f>IF(AB2648="","",IFERROR(INDEX(ctaTipo,MATCH(AB2648,ctaNombre,0))&amp;"",""))</f>
        <v/>
      </c>
      <c r="AE2648" s="52">
        <f>IF(AC2648="","",IFERROR(INDEX(ctaTipo,MATCH(AC2648,ctaNombre,0))&amp;"",""))</f>
        <v/>
      </c>
      <c r="AF2648" s="53">
        <f>IF(OR(P2648="",AB2648=""),"",IF(OR(P2648="Gasto",P2648="Transferencia",P2648="Pago tarjeta"),-1,1)*IF(IFERROR(INDEX(ctaMoneda,MATCH(AB2648,ctaNombre,0))&amp;"","DOP")="USD",T2648,S2648))</f>
        <v/>
      </c>
      <c r="AG2648" s="53">
        <f>IF(AC2648="","",IF(IFERROR(INDEX(ctaMoneda,MATCH(AC2648,ctaNombre,0))&amp;"","DOP")="USD",T2648,S2648))</f>
        <v/>
      </c>
      <c r="AH2648" s="53">
        <f>IF(P2648="","",IF(AND(AD2648&lt;&gt;"",COUNTIFS(tcTipo,AD2648,tcLiq,"Sí")&gt;0),IF(OR(P2648="Gasto",P2648="Transferencia",P2648="Pago tarjeta"),-1,1)*S2648,0)+IF(AND(AE2648&lt;&gt;"",COUNTIFS(tcTipo,AE2648,tcLiq,"Sí")&gt;0),S2648,0))</f>
        <v/>
      </c>
      <c r="AI2648" s="52">
        <f>IF(OR(L2648="",P2648=""),"",IF(COUNTIFS(L$6:L2648,L2648,P$6:P2648,"?*")=1,MAX(AI$5:AI2647)+1,""))</f>
        <v/>
      </c>
    </row>
    <row r="2649">
      <c r="B2649" s="47" t="n"/>
      <c r="C2649" s="48" t="n"/>
      <c r="D2649" s="48" t="n"/>
      <c r="E2649" s="48" t="n"/>
      <c r="F2649" s="48" t="n"/>
      <c r="G2649" s="49" t="n"/>
      <c r="H2649" s="48" t="n"/>
      <c r="I2649" s="50" t="n"/>
      <c r="J2649" s="48" t="n"/>
      <c r="K2649" s="48" t="n"/>
      <c r="L2649" s="48" t="n"/>
      <c r="M2649" s="48" t="n"/>
      <c r="N2649" s="48" t="n"/>
      <c r="O2649" s="51">
        <f>IF(AND(B2649="",G2649="",C2649="",D2649="",J2649=""),"",IF(B2649="","⚠ Falta fecha",IF(G2649="","⚠ Falta monto",IF(Q2649="","⚠ Falta cuenta",IF(ISNA(MATCH(Q2649,ctaNombre,0)),"⚠ Cuenta no registrada",IF(AND(OR(P2649="Gasto",P2649="Reembolso"),D2649=""),"⚠ Falta categoría",IF(AND(D2649&lt;&gt;"",E2649&lt;&gt;"",ISNA(MATCH(D2649&amp;"|"&amp;E2649,catClave,0))),"⚠ Subcategoría no corresponde",IF(AND(OR(P2649="Transferencia",P2649="Pago tarjeta"),K2649=""),"⚠ Falta cuenta destino",IF(AND(K2649&lt;&gt;"",P2649&lt;&gt;"Transferencia",P2649&lt;&gt;"Pago tarjeta"),"⚠ Destino solo aplica a transferencias",IF(AND(K2649&lt;&gt;"",K2649=Q2649),"⚠ Origen igual a destino",IF(AND(K2649&lt;&gt;"",ISNA(MATCH(K2649,ctaNombre,0))),"⚠ Destino no registrado",IF(AND(P2649="Pago tarjeta",AE2649&lt;&gt;"Tarjeta de crédito"),"⚠ El destino debe ser tarjeta de crédito",IF(AND(P2649="Gasto",E2649="Depósitos y retiros"),"⚠ Usa tipo Transferencia",IF(AND(P2649="Resultado trading",AD2649&lt;&gt;"Cuenta de trading"),"⚠ Usa una cuenta de trading",IF(AND(G2649&lt;=0,P2649&lt;&gt;"Ajuste",P2649&lt;&gt;"Resultado trading"),"⚠ El monto debe ser positivo","✓")))))))))))))))</f>
        <v/>
      </c>
      <c r="P2649" s="52">
        <f>IF(OR(B2649="",G2649=""),"",IF(C2649="","Gasto",C2649))</f>
        <v/>
      </c>
      <c r="Q2649" s="52">
        <f>IF(P2649="","",IF(J2649&lt;&gt;"",J2649,CuentaPred&amp;""))</f>
        <v/>
      </c>
      <c r="R2649" s="52">
        <f>IF(P2649="","",IF(ISNUMBER(I2649),I2649,TasaUSD))</f>
        <v/>
      </c>
      <c r="S2649" s="53">
        <f>IF(P2649="","",IF(H2649="USD",G2649*R2649,G2649))</f>
        <v/>
      </c>
      <c r="T2649" s="53">
        <f>IF(P2649="","",IF(H2649="USD",G2649,IF(R2649&gt;0,G2649/R2649,0)))</f>
        <v/>
      </c>
      <c r="U2649" s="53">
        <f>IF(P2649="","",IF(P2649="Gasto",S2649,IF(P2649="Reembolso",-S2649,0)))</f>
        <v/>
      </c>
      <c r="V2649" s="53">
        <f>IF(P2649="","",IF(P2649="Ingreso",S2649,0))</f>
        <v/>
      </c>
      <c r="W2649" s="53">
        <f>IF(P2649="","",IF(P2649="Resultado trading",S2649,0))</f>
        <v/>
      </c>
      <c r="X2649" s="52">
        <f>IF(OR(P2649="Gasto",P2649="Reembolso"),IF(M2649&lt;&gt;"",M2649,IFERROR(INDEX(catClasif,MATCH(D2649&amp;"|"&amp;E2649,catClave,0))&amp;"","Variable")),"")</f>
        <v/>
      </c>
      <c r="Y2649" s="52">
        <f>IF(P2649="","",IFERROR(INDEX(catGrupo,MATCH(D2649&amp;"|"&amp;E2649,catClave,0))&amp;"",""))</f>
        <v/>
      </c>
      <c r="Z2649" s="52">
        <f>IF(P2649="","",WEEKDAY(B2649,2))</f>
        <v/>
      </c>
      <c r="AA2649" s="52">
        <f>IF(P2649="","",IF(AND(P2649="Gasto",X2649="Variable",D2649&lt;&gt;catTrading,S2649&gt;0,S2649&lt;=Umbral),1,0))</f>
        <v/>
      </c>
      <c r="AB2649" s="52">
        <f>IF(OR(P2649="",Q2649=""),"",IFERROR(IF(INDEX(ctaVinc,MATCH(Q2649,ctaNombre,0))&amp;""&lt;&gt;"",INDEX(ctaVinc,MATCH(Q2649,ctaNombre,0))&amp;"",Q2649),Q2649))</f>
        <v/>
      </c>
      <c r="AC2649" s="52">
        <f>IF(OR(K2649="",AND(P2649&lt;&gt;"Transferencia",P2649&lt;&gt;"Pago tarjeta")),"",IFERROR(IF(INDEX(ctaVinc,MATCH(K2649,ctaNombre,0))&amp;""&lt;&gt;"",INDEX(ctaVinc,MATCH(K2649,ctaNombre,0))&amp;"",K2649),K2649))</f>
        <v/>
      </c>
      <c r="AD2649" s="52">
        <f>IF(AB2649="","",IFERROR(INDEX(ctaTipo,MATCH(AB2649,ctaNombre,0))&amp;"",""))</f>
        <v/>
      </c>
      <c r="AE2649" s="52">
        <f>IF(AC2649="","",IFERROR(INDEX(ctaTipo,MATCH(AC2649,ctaNombre,0))&amp;"",""))</f>
        <v/>
      </c>
      <c r="AF2649" s="53">
        <f>IF(OR(P2649="",AB2649=""),"",IF(OR(P2649="Gasto",P2649="Transferencia",P2649="Pago tarjeta"),-1,1)*IF(IFERROR(INDEX(ctaMoneda,MATCH(AB2649,ctaNombre,0))&amp;"","DOP")="USD",T2649,S2649))</f>
        <v/>
      </c>
      <c r="AG2649" s="53">
        <f>IF(AC2649="","",IF(IFERROR(INDEX(ctaMoneda,MATCH(AC2649,ctaNombre,0))&amp;"","DOP")="USD",T2649,S2649))</f>
        <v/>
      </c>
      <c r="AH2649" s="53">
        <f>IF(P2649="","",IF(AND(AD2649&lt;&gt;"",COUNTIFS(tcTipo,AD2649,tcLiq,"Sí")&gt;0),IF(OR(P2649="Gasto",P2649="Transferencia",P2649="Pago tarjeta"),-1,1)*S2649,0)+IF(AND(AE2649&lt;&gt;"",COUNTIFS(tcTipo,AE2649,tcLiq,"Sí")&gt;0),S2649,0))</f>
        <v/>
      </c>
      <c r="AI2649" s="52">
        <f>IF(OR(L2649="",P2649=""),"",IF(COUNTIFS(L$6:L2649,L2649,P$6:P2649,"?*")=1,MAX(AI$5:AI2648)+1,""))</f>
        <v/>
      </c>
    </row>
    <row r="2650">
      <c r="B2650" s="47" t="n"/>
      <c r="C2650" s="48" t="n"/>
      <c r="D2650" s="48" t="n"/>
      <c r="E2650" s="48" t="n"/>
      <c r="F2650" s="48" t="n"/>
      <c r="G2650" s="49" t="n"/>
      <c r="H2650" s="48" t="n"/>
      <c r="I2650" s="50" t="n"/>
      <c r="J2650" s="48" t="n"/>
      <c r="K2650" s="48" t="n"/>
      <c r="L2650" s="48" t="n"/>
      <c r="M2650" s="48" t="n"/>
      <c r="N2650" s="48" t="n"/>
      <c r="O2650" s="51">
        <f>IF(AND(B2650="",G2650="",C2650="",D2650="",J2650=""),"",IF(B2650="","⚠ Falta fecha",IF(G2650="","⚠ Falta monto",IF(Q2650="","⚠ Falta cuenta",IF(ISNA(MATCH(Q2650,ctaNombre,0)),"⚠ Cuenta no registrada",IF(AND(OR(P2650="Gasto",P2650="Reembolso"),D2650=""),"⚠ Falta categoría",IF(AND(D2650&lt;&gt;"",E2650&lt;&gt;"",ISNA(MATCH(D2650&amp;"|"&amp;E2650,catClave,0))),"⚠ Subcategoría no corresponde",IF(AND(OR(P2650="Transferencia",P2650="Pago tarjeta"),K2650=""),"⚠ Falta cuenta destino",IF(AND(K2650&lt;&gt;"",P2650&lt;&gt;"Transferencia",P2650&lt;&gt;"Pago tarjeta"),"⚠ Destino solo aplica a transferencias",IF(AND(K2650&lt;&gt;"",K2650=Q2650),"⚠ Origen igual a destino",IF(AND(K2650&lt;&gt;"",ISNA(MATCH(K2650,ctaNombre,0))),"⚠ Destino no registrado",IF(AND(P2650="Pago tarjeta",AE2650&lt;&gt;"Tarjeta de crédito"),"⚠ El destino debe ser tarjeta de crédito",IF(AND(P2650="Gasto",E2650="Depósitos y retiros"),"⚠ Usa tipo Transferencia",IF(AND(P2650="Resultado trading",AD2650&lt;&gt;"Cuenta de trading"),"⚠ Usa una cuenta de trading",IF(AND(G2650&lt;=0,P2650&lt;&gt;"Ajuste",P2650&lt;&gt;"Resultado trading"),"⚠ El monto debe ser positivo","✓")))))))))))))))</f>
        <v/>
      </c>
      <c r="P2650" s="52">
        <f>IF(OR(B2650="",G2650=""),"",IF(C2650="","Gasto",C2650))</f>
        <v/>
      </c>
      <c r="Q2650" s="52">
        <f>IF(P2650="","",IF(J2650&lt;&gt;"",J2650,CuentaPred&amp;""))</f>
        <v/>
      </c>
      <c r="R2650" s="52">
        <f>IF(P2650="","",IF(ISNUMBER(I2650),I2650,TasaUSD))</f>
        <v/>
      </c>
      <c r="S2650" s="53">
        <f>IF(P2650="","",IF(H2650="USD",G2650*R2650,G2650))</f>
        <v/>
      </c>
      <c r="T2650" s="53">
        <f>IF(P2650="","",IF(H2650="USD",G2650,IF(R2650&gt;0,G2650/R2650,0)))</f>
        <v/>
      </c>
      <c r="U2650" s="53">
        <f>IF(P2650="","",IF(P2650="Gasto",S2650,IF(P2650="Reembolso",-S2650,0)))</f>
        <v/>
      </c>
      <c r="V2650" s="53">
        <f>IF(P2650="","",IF(P2650="Ingreso",S2650,0))</f>
        <v/>
      </c>
      <c r="W2650" s="53">
        <f>IF(P2650="","",IF(P2650="Resultado trading",S2650,0))</f>
        <v/>
      </c>
      <c r="X2650" s="52">
        <f>IF(OR(P2650="Gasto",P2650="Reembolso"),IF(M2650&lt;&gt;"",M2650,IFERROR(INDEX(catClasif,MATCH(D2650&amp;"|"&amp;E2650,catClave,0))&amp;"","Variable")),"")</f>
        <v/>
      </c>
      <c r="Y2650" s="52">
        <f>IF(P2650="","",IFERROR(INDEX(catGrupo,MATCH(D2650&amp;"|"&amp;E2650,catClave,0))&amp;"",""))</f>
        <v/>
      </c>
      <c r="Z2650" s="52">
        <f>IF(P2650="","",WEEKDAY(B2650,2))</f>
        <v/>
      </c>
      <c r="AA2650" s="52">
        <f>IF(P2650="","",IF(AND(P2650="Gasto",X2650="Variable",D2650&lt;&gt;catTrading,S2650&gt;0,S2650&lt;=Umbral),1,0))</f>
        <v/>
      </c>
      <c r="AB2650" s="52">
        <f>IF(OR(P2650="",Q2650=""),"",IFERROR(IF(INDEX(ctaVinc,MATCH(Q2650,ctaNombre,0))&amp;""&lt;&gt;"",INDEX(ctaVinc,MATCH(Q2650,ctaNombre,0))&amp;"",Q2650),Q2650))</f>
        <v/>
      </c>
      <c r="AC2650" s="52">
        <f>IF(OR(K2650="",AND(P2650&lt;&gt;"Transferencia",P2650&lt;&gt;"Pago tarjeta")),"",IFERROR(IF(INDEX(ctaVinc,MATCH(K2650,ctaNombre,0))&amp;""&lt;&gt;"",INDEX(ctaVinc,MATCH(K2650,ctaNombre,0))&amp;"",K2650),K2650))</f>
        <v/>
      </c>
      <c r="AD2650" s="52">
        <f>IF(AB2650="","",IFERROR(INDEX(ctaTipo,MATCH(AB2650,ctaNombre,0))&amp;"",""))</f>
        <v/>
      </c>
      <c r="AE2650" s="52">
        <f>IF(AC2650="","",IFERROR(INDEX(ctaTipo,MATCH(AC2650,ctaNombre,0))&amp;"",""))</f>
        <v/>
      </c>
      <c r="AF2650" s="53">
        <f>IF(OR(P2650="",AB2650=""),"",IF(OR(P2650="Gasto",P2650="Transferencia",P2650="Pago tarjeta"),-1,1)*IF(IFERROR(INDEX(ctaMoneda,MATCH(AB2650,ctaNombre,0))&amp;"","DOP")="USD",T2650,S2650))</f>
        <v/>
      </c>
      <c r="AG2650" s="53">
        <f>IF(AC2650="","",IF(IFERROR(INDEX(ctaMoneda,MATCH(AC2650,ctaNombre,0))&amp;"","DOP")="USD",T2650,S2650))</f>
        <v/>
      </c>
      <c r="AH2650" s="53">
        <f>IF(P2650="","",IF(AND(AD2650&lt;&gt;"",COUNTIFS(tcTipo,AD2650,tcLiq,"Sí")&gt;0),IF(OR(P2650="Gasto",P2650="Transferencia",P2650="Pago tarjeta"),-1,1)*S2650,0)+IF(AND(AE2650&lt;&gt;"",COUNTIFS(tcTipo,AE2650,tcLiq,"Sí")&gt;0),S2650,0))</f>
        <v/>
      </c>
      <c r="AI2650" s="52">
        <f>IF(OR(L2650="",P2650=""),"",IF(COUNTIFS(L$6:L2650,L2650,P$6:P2650,"?*")=1,MAX(AI$5:AI2649)+1,""))</f>
        <v/>
      </c>
    </row>
    <row r="2651">
      <c r="B2651" s="47" t="n"/>
      <c r="C2651" s="48" t="n"/>
      <c r="D2651" s="48" t="n"/>
      <c r="E2651" s="48" t="n"/>
      <c r="F2651" s="48" t="n"/>
      <c r="G2651" s="49" t="n"/>
      <c r="H2651" s="48" t="n"/>
      <c r="I2651" s="50" t="n"/>
      <c r="J2651" s="48" t="n"/>
      <c r="K2651" s="48" t="n"/>
      <c r="L2651" s="48" t="n"/>
      <c r="M2651" s="48" t="n"/>
      <c r="N2651" s="48" t="n"/>
      <c r="O2651" s="51">
        <f>IF(AND(B2651="",G2651="",C2651="",D2651="",J2651=""),"",IF(B2651="","⚠ Falta fecha",IF(G2651="","⚠ Falta monto",IF(Q2651="","⚠ Falta cuenta",IF(ISNA(MATCH(Q2651,ctaNombre,0)),"⚠ Cuenta no registrada",IF(AND(OR(P2651="Gasto",P2651="Reembolso"),D2651=""),"⚠ Falta categoría",IF(AND(D2651&lt;&gt;"",E2651&lt;&gt;"",ISNA(MATCH(D2651&amp;"|"&amp;E2651,catClave,0))),"⚠ Subcategoría no corresponde",IF(AND(OR(P2651="Transferencia",P2651="Pago tarjeta"),K2651=""),"⚠ Falta cuenta destino",IF(AND(K2651&lt;&gt;"",P2651&lt;&gt;"Transferencia",P2651&lt;&gt;"Pago tarjeta"),"⚠ Destino solo aplica a transferencias",IF(AND(K2651&lt;&gt;"",K2651=Q2651),"⚠ Origen igual a destino",IF(AND(K2651&lt;&gt;"",ISNA(MATCH(K2651,ctaNombre,0))),"⚠ Destino no registrado",IF(AND(P2651="Pago tarjeta",AE2651&lt;&gt;"Tarjeta de crédito"),"⚠ El destino debe ser tarjeta de crédito",IF(AND(P2651="Gasto",E2651="Depósitos y retiros"),"⚠ Usa tipo Transferencia",IF(AND(P2651="Resultado trading",AD2651&lt;&gt;"Cuenta de trading"),"⚠ Usa una cuenta de trading",IF(AND(G2651&lt;=0,P2651&lt;&gt;"Ajuste",P2651&lt;&gt;"Resultado trading"),"⚠ El monto debe ser positivo","✓")))))))))))))))</f>
        <v/>
      </c>
      <c r="P2651" s="52">
        <f>IF(OR(B2651="",G2651=""),"",IF(C2651="","Gasto",C2651))</f>
        <v/>
      </c>
      <c r="Q2651" s="52">
        <f>IF(P2651="","",IF(J2651&lt;&gt;"",J2651,CuentaPred&amp;""))</f>
        <v/>
      </c>
      <c r="R2651" s="52">
        <f>IF(P2651="","",IF(ISNUMBER(I2651),I2651,TasaUSD))</f>
        <v/>
      </c>
      <c r="S2651" s="53">
        <f>IF(P2651="","",IF(H2651="USD",G2651*R2651,G2651))</f>
        <v/>
      </c>
      <c r="T2651" s="53">
        <f>IF(P2651="","",IF(H2651="USD",G2651,IF(R2651&gt;0,G2651/R2651,0)))</f>
        <v/>
      </c>
      <c r="U2651" s="53">
        <f>IF(P2651="","",IF(P2651="Gasto",S2651,IF(P2651="Reembolso",-S2651,0)))</f>
        <v/>
      </c>
      <c r="V2651" s="53">
        <f>IF(P2651="","",IF(P2651="Ingreso",S2651,0))</f>
        <v/>
      </c>
      <c r="W2651" s="53">
        <f>IF(P2651="","",IF(P2651="Resultado trading",S2651,0))</f>
        <v/>
      </c>
      <c r="X2651" s="52">
        <f>IF(OR(P2651="Gasto",P2651="Reembolso"),IF(M2651&lt;&gt;"",M2651,IFERROR(INDEX(catClasif,MATCH(D2651&amp;"|"&amp;E2651,catClave,0))&amp;"","Variable")),"")</f>
        <v/>
      </c>
      <c r="Y2651" s="52">
        <f>IF(P2651="","",IFERROR(INDEX(catGrupo,MATCH(D2651&amp;"|"&amp;E2651,catClave,0))&amp;"",""))</f>
        <v/>
      </c>
      <c r="Z2651" s="52">
        <f>IF(P2651="","",WEEKDAY(B2651,2))</f>
        <v/>
      </c>
      <c r="AA2651" s="52">
        <f>IF(P2651="","",IF(AND(P2651="Gasto",X2651="Variable",D2651&lt;&gt;catTrading,S2651&gt;0,S2651&lt;=Umbral),1,0))</f>
        <v/>
      </c>
      <c r="AB2651" s="52">
        <f>IF(OR(P2651="",Q2651=""),"",IFERROR(IF(INDEX(ctaVinc,MATCH(Q2651,ctaNombre,0))&amp;""&lt;&gt;"",INDEX(ctaVinc,MATCH(Q2651,ctaNombre,0))&amp;"",Q2651),Q2651))</f>
        <v/>
      </c>
      <c r="AC2651" s="52">
        <f>IF(OR(K2651="",AND(P2651&lt;&gt;"Transferencia",P2651&lt;&gt;"Pago tarjeta")),"",IFERROR(IF(INDEX(ctaVinc,MATCH(K2651,ctaNombre,0))&amp;""&lt;&gt;"",INDEX(ctaVinc,MATCH(K2651,ctaNombre,0))&amp;"",K2651),K2651))</f>
        <v/>
      </c>
      <c r="AD2651" s="52">
        <f>IF(AB2651="","",IFERROR(INDEX(ctaTipo,MATCH(AB2651,ctaNombre,0))&amp;"",""))</f>
        <v/>
      </c>
      <c r="AE2651" s="52">
        <f>IF(AC2651="","",IFERROR(INDEX(ctaTipo,MATCH(AC2651,ctaNombre,0))&amp;"",""))</f>
        <v/>
      </c>
      <c r="AF2651" s="53">
        <f>IF(OR(P2651="",AB2651=""),"",IF(OR(P2651="Gasto",P2651="Transferencia",P2651="Pago tarjeta"),-1,1)*IF(IFERROR(INDEX(ctaMoneda,MATCH(AB2651,ctaNombre,0))&amp;"","DOP")="USD",T2651,S2651))</f>
        <v/>
      </c>
      <c r="AG2651" s="53">
        <f>IF(AC2651="","",IF(IFERROR(INDEX(ctaMoneda,MATCH(AC2651,ctaNombre,0))&amp;"","DOP")="USD",T2651,S2651))</f>
        <v/>
      </c>
      <c r="AH2651" s="53">
        <f>IF(P2651="","",IF(AND(AD2651&lt;&gt;"",COUNTIFS(tcTipo,AD2651,tcLiq,"Sí")&gt;0),IF(OR(P2651="Gasto",P2651="Transferencia",P2651="Pago tarjeta"),-1,1)*S2651,0)+IF(AND(AE2651&lt;&gt;"",COUNTIFS(tcTipo,AE2651,tcLiq,"Sí")&gt;0),S2651,0))</f>
        <v/>
      </c>
      <c r="AI2651" s="52">
        <f>IF(OR(L2651="",P2651=""),"",IF(COUNTIFS(L$6:L2651,L2651,P$6:P2651,"?*")=1,MAX(AI$5:AI2650)+1,""))</f>
        <v/>
      </c>
    </row>
    <row r="2652">
      <c r="B2652" s="47" t="n"/>
      <c r="C2652" s="48" t="n"/>
      <c r="D2652" s="48" t="n"/>
      <c r="E2652" s="48" t="n"/>
      <c r="F2652" s="48" t="n"/>
      <c r="G2652" s="49" t="n"/>
      <c r="H2652" s="48" t="n"/>
      <c r="I2652" s="50" t="n"/>
      <c r="J2652" s="48" t="n"/>
      <c r="K2652" s="48" t="n"/>
      <c r="L2652" s="48" t="n"/>
      <c r="M2652" s="48" t="n"/>
      <c r="N2652" s="48" t="n"/>
      <c r="O2652" s="51">
        <f>IF(AND(B2652="",G2652="",C2652="",D2652="",J2652=""),"",IF(B2652="","⚠ Falta fecha",IF(G2652="","⚠ Falta monto",IF(Q2652="","⚠ Falta cuenta",IF(ISNA(MATCH(Q2652,ctaNombre,0)),"⚠ Cuenta no registrada",IF(AND(OR(P2652="Gasto",P2652="Reembolso"),D2652=""),"⚠ Falta categoría",IF(AND(D2652&lt;&gt;"",E2652&lt;&gt;"",ISNA(MATCH(D2652&amp;"|"&amp;E2652,catClave,0))),"⚠ Subcategoría no corresponde",IF(AND(OR(P2652="Transferencia",P2652="Pago tarjeta"),K2652=""),"⚠ Falta cuenta destino",IF(AND(K2652&lt;&gt;"",P2652&lt;&gt;"Transferencia",P2652&lt;&gt;"Pago tarjeta"),"⚠ Destino solo aplica a transferencias",IF(AND(K2652&lt;&gt;"",K2652=Q2652),"⚠ Origen igual a destino",IF(AND(K2652&lt;&gt;"",ISNA(MATCH(K2652,ctaNombre,0))),"⚠ Destino no registrado",IF(AND(P2652="Pago tarjeta",AE2652&lt;&gt;"Tarjeta de crédito"),"⚠ El destino debe ser tarjeta de crédito",IF(AND(P2652="Gasto",E2652="Depósitos y retiros"),"⚠ Usa tipo Transferencia",IF(AND(P2652="Resultado trading",AD2652&lt;&gt;"Cuenta de trading"),"⚠ Usa una cuenta de trading",IF(AND(G2652&lt;=0,P2652&lt;&gt;"Ajuste",P2652&lt;&gt;"Resultado trading"),"⚠ El monto debe ser positivo","✓")))))))))))))))</f>
        <v/>
      </c>
      <c r="P2652" s="52">
        <f>IF(OR(B2652="",G2652=""),"",IF(C2652="","Gasto",C2652))</f>
        <v/>
      </c>
      <c r="Q2652" s="52">
        <f>IF(P2652="","",IF(J2652&lt;&gt;"",J2652,CuentaPred&amp;""))</f>
        <v/>
      </c>
      <c r="R2652" s="52">
        <f>IF(P2652="","",IF(ISNUMBER(I2652),I2652,TasaUSD))</f>
        <v/>
      </c>
      <c r="S2652" s="53">
        <f>IF(P2652="","",IF(H2652="USD",G2652*R2652,G2652))</f>
        <v/>
      </c>
      <c r="T2652" s="53">
        <f>IF(P2652="","",IF(H2652="USD",G2652,IF(R2652&gt;0,G2652/R2652,0)))</f>
        <v/>
      </c>
      <c r="U2652" s="53">
        <f>IF(P2652="","",IF(P2652="Gasto",S2652,IF(P2652="Reembolso",-S2652,0)))</f>
        <v/>
      </c>
      <c r="V2652" s="53">
        <f>IF(P2652="","",IF(P2652="Ingreso",S2652,0))</f>
        <v/>
      </c>
      <c r="W2652" s="53">
        <f>IF(P2652="","",IF(P2652="Resultado trading",S2652,0))</f>
        <v/>
      </c>
      <c r="X2652" s="52">
        <f>IF(OR(P2652="Gasto",P2652="Reembolso"),IF(M2652&lt;&gt;"",M2652,IFERROR(INDEX(catClasif,MATCH(D2652&amp;"|"&amp;E2652,catClave,0))&amp;"","Variable")),"")</f>
        <v/>
      </c>
      <c r="Y2652" s="52">
        <f>IF(P2652="","",IFERROR(INDEX(catGrupo,MATCH(D2652&amp;"|"&amp;E2652,catClave,0))&amp;"",""))</f>
        <v/>
      </c>
      <c r="Z2652" s="52">
        <f>IF(P2652="","",WEEKDAY(B2652,2))</f>
        <v/>
      </c>
      <c r="AA2652" s="52">
        <f>IF(P2652="","",IF(AND(P2652="Gasto",X2652="Variable",D2652&lt;&gt;catTrading,S2652&gt;0,S2652&lt;=Umbral),1,0))</f>
        <v/>
      </c>
      <c r="AB2652" s="52">
        <f>IF(OR(P2652="",Q2652=""),"",IFERROR(IF(INDEX(ctaVinc,MATCH(Q2652,ctaNombre,0))&amp;""&lt;&gt;"",INDEX(ctaVinc,MATCH(Q2652,ctaNombre,0))&amp;"",Q2652),Q2652))</f>
        <v/>
      </c>
      <c r="AC2652" s="52">
        <f>IF(OR(K2652="",AND(P2652&lt;&gt;"Transferencia",P2652&lt;&gt;"Pago tarjeta")),"",IFERROR(IF(INDEX(ctaVinc,MATCH(K2652,ctaNombre,0))&amp;""&lt;&gt;"",INDEX(ctaVinc,MATCH(K2652,ctaNombre,0))&amp;"",K2652),K2652))</f>
        <v/>
      </c>
      <c r="AD2652" s="52">
        <f>IF(AB2652="","",IFERROR(INDEX(ctaTipo,MATCH(AB2652,ctaNombre,0))&amp;"",""))</f>
        <v/>
      </c>
      <c r="AE2652" s="52">
        <f>IF(AC2652="","",IFERROR(INDEX(ctaTipo,MATCH(AC2652,ctaNombre,0))&amp;"",""))</f>
        <v/>
      </c>
      <c r="AF2652" s="53">
        <f>IF(OR(P2652="",AB2652=""),"",IF(OR(P2652="Gasto",P2652="Transferencia",P2652="Pago tarjeta"),-1,1)*IF(IFERROR(INDEX(ctaMoneda,MATCH(AB2652,ctaNombre,0))&amp;"","DOP")="USD",T2652,S2652))</f>
        <v/>
      </c>
      <c r="AG2652" s="53">
        <f>IF(AC2652="","",IF(IFERROR(INDEX(ctaMoneda,MATCH(AC2652,ctaNombre,0))&amp;"","DOP")="USD",T2652,S2652))</f>
        <v/>
      </c>
      <c r="AH2652" s="53">
        <f>IF(P2652="","",IF(AND(AD2652&lt;&gt;"",COUNTIFS(tcTipo,AD2652,tcLiq,"Sí")&gt;0),IF(OR(P2652="Gasto",P2652="Transferencia",P2652="Pago tarjeta"),-1,1)*S2652,0)+IF(AND(AE2652&lt;&gt;"",COUNTIFS(tcTipo,AE2652,tcLiq,"Sí")&gt;0),S2652,0))</f>
        <v/>
      </c>
      <c r="AI2652" s="52">
        <f>IF(OR(L2652="",P2652=""),"",IF(COUNTIFS(L$6:L2652,L2652,P$6:P2652,"?*")=1,MAX(AI$5:AI2651)+1,""))</f>
        <v/>
      </c>
    </row>
    <row r="2653">
      <c r="B2653" s="47" t="n"/>
      <c r="C2653" s="48" t="n"/>
      <c r="D2653" s="48" t="n"/>
      <c r="E2653" s="48" t="n"/>
      <c r="F2653" s="48" t="n"/>
      <c r="G2653" s="49" t="n"/>
      <c r="H2653" s="48" t="n"/>
      <c r="I2653" s="50" t="n"/>
      <c r="J2653" s="48" t="n"/>
      <c r="K2653" s="48" t="n"/>
      <c r="L2653" s="48" t="n"/>
      <c r="M2653" s="48" t="n"/>
      <c r="N2653" s="48" t="n"/>
      <c r="O2653" s="51">
        <f>IF(AND(B2653="",G2653="",C2653="",D2653="",J2653=""),"",IF(B2653="","⚠ Falta fecha",IF(G2653="","⚠ Falta monto",IF(Q2653="","⚠ Falta cuenta",IF(ISNA(MATCH(Q2653,ctaNombre,0)),"⚠ Cuenta no registrada",IF(AND(OR(P2653="Gasto",P2653="Reembolso"),D2653=""),"⚠ Falta categoría",IF(AND(D2653&lt;&gt;"",E2653&lt;&gt;"",ISNA(MATCH(D2653&amp;"|"&amp;E2653,catClave,0))),"⚠ Subcategoría no corresponde",IF(AND(OR(P2653="Transferencia",P2653="Pago tarjeta"),K2653=""),"⚠ Falta cuenta destino",IF(AND(K2653&lt;&gt;"",P2653&lt;&gt;"Transferencia",P2653&lt;&gt;"Pago tarjeta"),"⚠ Destino solo aplica a transferencias",IF(AND(K2653&lt;&gt;"",K2653=Q2653),"⚠ Origen igual a destino",IF(AND(K2653&lt;&gt;"",ISNA(MATCH(K2653,ctaNombre,0))),"⚠ Destino no registrado",IF(AND(P2653="Pago tarjeta",AE2653&lt;&gt;"Tarjeta de crédito"),"⚠ El destino debe ser tarjeta de crédito",IF(AND(P2653="Gasto",E2653="Depósitos y retiros"),"⚠ Usa tipo Transferencia",IF(AND(P2653="Resultado trading",AD2653&lt;&gt;"Cuenta de trading"),"⚠ Usa una cuenta de trading",IF(AND(G2653&lt;=0,P2653&lt;&gt;"Ajuste",P2653&lt;&gt;"Resultado trading"),"⚠ El monto debe ser positivo","✓")))))))))))))))</f>
        <v/>
      </c>
      <c r="P2653" s="52">
        <f>IF(OR(B2653="",G2653=""),"",IF(C2653="","Gasto",C2653))</f>
        <v/>
      </c>
      <c r="Q2653" s="52">
        <f>IF(P2653="","",IF(J2653&lt;&gt;"",J2653,CuentaPred&amp;""))</f>
        <v/>
      </c>
      <c r="R2653" s="52">
        <f>IF(P2653="","",IF(ISNUMBER(I2653),I2653,TasaUSD))</f>
        <v/>
      </c>
      <c r="S2653" s="53">
        <f>IF(P2653="","",IF(H2653="USD",G2653*R2653,G2653))</f>
        <v/>
      </c>
      <c r="T2653" s="53">
        <f>IF(P2653="","",IF(H2653="USD",G2653,IF(R2653&gt;0,G2653/R2653,0)))</f>
        <v/>
      </c>
      <c r="U2653" s="53">
        <f>IF(P2653="","",IF(P2653="Gasto",S2653,IF(P2653="Reembolso",-S2653,0)))</f>
        <v/>
      </c>
      <c r="V2653" s="53">
        <f>IF(P2653="","",IF(P2653="Ingreso",S2653,0))</f>
        <v/>
      </c>
      <c r="W2653" s="53">
        <f>IF(P2653="","",IF(P2653="Resultado trading",S2653,0))</f>
        <v/>
      </c>
      <c r="X2653" s="52">
        <f>IF(OR(P2653="Gasto",P2653="Reembolso"),IF(M2653&lt;&gt;"",M2653,IFERROR(INDEX(catClasif,MATCH(D2653&amp;"|"&amp;E2653,catClave,0))&amp;"","Variable")),"")</f>
        <v/>
      </c>
      <c r="Y2653" s="52">
        <f>IF(P2653="","",IFERROR(INDEX(catGrupo,MATCH(D2653&amp;"|"&amp;E2653,catClave,0))&amp;"",""))</f>
        <v/>
      </c>
      <c r="Z2653" s="52">
        <f>IF(P2653="","",WEEKDAY(B2653,2))</f>
        <v/>
      </c>
      <c r="AA2653" s="52">
        <f>IF(P2653="","",IF(AND(P2653="Gasto",X2653="Variable",D2653&lt;&gt;catTrading,S2653&gt;0,S2653&lt;=Umbral),1,0))</f>
        <v/>
      </c>
      <c r="AB2653" s="52">
        <f>IF(OR(P2653="",Q2653=""),"",IFERROR(IF(INDEX(ctaVinc,MATCH(Q2653,ctaNombre,0))&amp;""&lt;&gt;"",INDEX(ctaVinc,MATCH(Q2653,ctaNombre,0))&amp;"",Q2653),Q2653))</f>
        <v/>
      </c>
      <c r="AC2653" s="52">
        <f>IF(OR(K2653="",AND(P2653&lt;&gt;"Transferencia",P2653&lt;&gt;"Pago tarjeta")),"",IFERROR(IF(INDEX(ctaVinc,MATCH(K2653,ctaNombre,0))&amp;""&lt;&gt;"",INDEX(ctaVinc,MATCH(K2653,ctaNombre,0))&amp;"",K2653),K2653))</f>
        <v/>
      </c>
      <c r="AD2653" s="52">
        <f>IF(AB2653="","",IFERROR(INDEX(ctaTipo,MATCH(AB2653,ctaNombre,0))&amp;"",""))</f>
        <v/>
      </c>
      <c r="AE2653" s="52">
        <f>IF(AC2653="","",IFERROR(INDEX(ctaTipo,MATCH(AC2653,ctaNombre,0))&amp;"",""))</f>
        <v/>
      </c>
      <c r="AF2653" s="53">
        <f>IF(OR(P2653="",AB2653=""),"",IF(OR(P2653="Gasto",P2653="Transferencia",P2653="Pago tarjeta"),-1,1)*IF(IFERROR(INDEX(ctaMoneda,MATCH(AB2653,ctaNombre,0))&amp;"","DOP")="USD",T2653,S2653))</f>
        <v/>
      </c>
      <c r="AG2653" s="53">
        <f>IF(AC2653="","",IF(IFERROR(INDEX(ctaMoneda,MATCH(AC2653,ctaNombre,0))&amp;"","DOP")="USD",T2653,S2653))</f>
        <v/>
      </c>
      <c r="AH2653" s="53">
        <f>IF(P2653="","",IF(AND(AD2653&lt;&gt;"",COUNTIFS(tcTipo,AD2653,tcLiq,"Sí")&gt;0),IF(OR(P2653="Gasto",P2653="Transferencia",P2653="Pago tarjeta"),-1,1)*S2653,0)+IF(AND(AE2653&lt;&gt;"",COUNTIFS(tcTipo,AE2653,tcLiq,"Sí")&gt;0),S2653,0))</f>
        <v/>
      </c>
      <c r="AI2653" s="52">
        <f>IF(OR(L2653="",P2653=""),"",IF(COUNTIFS(L$6:L2653,L2653,P$6:P2653,"?*")=1,MAX(AI$5:AI2652)+1,""))</f>
        <v/>
      </c>
    </row>
    <row r="2654">
      <c r="B2654" s="47" t="n"/>
      <c r="C2654" s="48" t="n"/>
      <c r="D2654" s="48" t="n"/>
      <c r="E2654" s="48" t="n"/>
      <c r="F2654" s="48" t="n"/>
      <c r="G2654" s="49" t="n"/>
      <c r="H2654" s="48" t="n"/>
      <c r="I2654" s="50" t="n"/>
      <c r="J2654" s="48" t="n"/>
      <c r="K2654" s="48" t="n"/>
      <c r="L2654" s="48" t="n"/>
      <c r="M2654" s="48" t="n"/>
      <c r="N2654" s="48" t="n"/>
      <c r="O2654" s="51">
        <f>IF(AND(B2654="",G2654="",C2654="",D2654="",J2654=""),"",IF(B2654="","⚠ Falta fecha",IF(G2654="","⚠ Falta monto",IF(Q2654="","⚠ Falta cuenta",IF(ISNA(MATCH(Q2654,ctaNombre,0)),"⚠ Cuenta no registrada",IF(AND(OR(P2654="Gasto",P2654="Reembolso"),D2654=""),"⚠ Falta categoría",IF(AND(D2654&lt;&gt;"",E2654&lt;&gt;"",ISNA(MATCH(D2654&amp;"|"&amp;E2654,catClave,0))),"⚠ Subcategoría no corresponde",IF(AND(OR(P2654="Transferencia",P2654="Pago tarjeta"),K2654=""),"⚠ Falta cuenta destino",IF(AND(K2654&lt;&gt;"",P2654&lt;&gt;"Transferencia",P2654&lt;&gt;"Pago tarjeta"),"⚠ Destino solo aplica a transferencias",IF(AND(K2654&lt;&gt;"",K2654=Q2654),"⚠ Origen igual a destino",IF(AND(K2654&lt;&gt;"",ISNA(MATCH(K2654,ctaNombre,0))),"⚠ Destino no registrado",IF(AND(P2654="Pago tarjeta",AE2654&lt;&gt;"Tarjeta de crédito"),"⚠ El destino debe ser tarjeta de crédito",IF(AND(P2654="Gasto",E2654="Depósitos y retiros"),"⚠ Usa tipo Transferencia",IF(AND(P2654="Resultado trading",AD2654&lt;&gt;"Cuenta de trading"),"⚠ Usa una cuenta de trading",IF(AND(G2654&lt;=0,P2654&lt;&gt;"Ajuste",P2654&lt;&gt;"Resultado trading"),"⚠ El monto debe ser positivo","✓")))))))))))))))</f>
        <v/>
      </c>
      <c r="P2654" s="52">
        <f>IF(OR(B2654="",G2654=""),"",IF(C2654="","Gasto",C2654))</f>
        <v/>
      </c>
      <c r="Q2654" s="52">
        <f>IF(P2654="","",IF(J2654&lt;&gt;"",J2654,CuentaPred&amp;""))</f>
        <v/>
      </c>
      <c r="R2654" s="52">
        <f>IF(P2654="","",IF(ISNUMBER(I2654),I2654,TasaUSD))</f>
        <v/>
      </c>
      <c r="S2654" s="53">
        <f>IF(P2654="","",IF(H2654="USD",G2654*R2654,G2654))</f>
        <v/>
      </c>
      <c r="T2654" s="53">
        <f>IF(P2654="","",IF(H2654="USD",G2654,IF(R2654&gt;0,G2654/R2654,0)))</f>
        <v/>
      </c>
      <c r="U2654" s="53">
        <f>IF(P2654="","",IF(P2654="Gasto",S2654,IF(P2654="Reembolso",-S2654,0)))</f>
        <v/>
      </c>
      <c r="V2654" s="53">
        <f>IF(P2654="","",IF(P2654="Ingreso",S2654,0))</f>
        <v/>
      </c>
      <c r="W2654" s="53">
        <f>IF(P2654="","",IF(P2654="Resultado trading",S2654,0))</f>
        <v/>
      </c>
      <c r="X2654" s="52">
        <f>IF(OR(P2654="Gasto",P2654="Reembolso"),IF(M2654&lt;&gt;"",M2654,IFERROR(INDEX(catClasif,MATCH(D2654&amp;"|"&amp;E2654,catClave,0))&amp;"","Variable")),"")</f>
        <v/>
      </c>
      <c r="Y2654" s="52">
        <f>IF(P2654="","",IFERROR(INDEX(catGrupo,MATCH(D2654&amp;"|"&amp;E2654,catClave,0))&amp;"",""))</f>
        <v/>
      </c>
      <c r="Z2654" s="52">
        <f>IF(P2654="","",WEEKDAY(B2654,2))</f>
        <v/>
      </c>
      <c r="AA2654" s="52">
        <f>IF(P2654="","",IF(AND(P2654="Gasto",X2654="Variable",D2654&lt;&gt;catTrading,S2654&gt;0,S2654&lt;=Umbral),1,0))</f>
        <v/>
      </c>
      <c r="AB2654" s="52">
        <f>IF(OR(P2654="",Q2654=""),"",IFERROR(IF(INDEX(ctaVinc,MATCH(Q2654,ctaNombre,0))&amp;""&lt;&gt;"",INDEX(ctaVinc,MATCH(Q2654,ctaNombre,0))&amp;"",Q2654),Q2654))</f>
        <v/>
      </c>
      <c r="AC2654" s="52">
        <f>IF(OR(K2654="",AND(P2654&lt;&gt;"Transferencia",P2654&lt;&gt;"Pago tarjeta")),"",IFERROR(IF(INDEX(ctaVinc,MATCH(K2654,ctaNombre,0))&amp;""&lt;&gt;"",INDEX(ctaVinc,MATCH(K2654,ctaNombre,0))&amp;"",K2654),K2654))</f>
        <v/>
      </c>
      <c r="AD2654" s="52">
        <f>IF(AB2654="","",IFERROR(INDEX(ctaTipo,MATCH(AB2654,ctaNombre,0))&amp;"",""))</f>
        <v/>
      </c>
      <c r="AE2654" s="52">
        <f>IF(AC2654="","",IFERROR(INDEX(ctaTipo,MATCH(AC2654,ctaNombre,0))&amp;"",""))</f>
        <v/>
      </c>
      <c r="AF2654" s="53">
        <f>IF(OR(P2654="",AB2654=""),"",IF(OR(P2654="Gasto",P2654="Transferencia",P2654="Pago tarjeta"),-1,1)*IF(IFERROR(INDEX(ctaMoneda,MATCH(AB2654,ctaNombre,0))&amp;"","DOP")="USD",T2654,S2654))</f>
        <v/>
      </c>
      <c r="AG2654" s="53">
        <f>IF(AC2654="","",IF(IFERROR(INDEX(ctaMoneda,MATCH(AC2654,ctaNombre,0))&amp;"","DOP")="USD",T2654,S2654))</f>
        <v/>
      </c>
      <c r="AH2654" s="53">
        <f>IF(P2654="","",IF(AND(AD2654&lt;&gt;"",COUNTIFS(tcTipo,AD2654,tcLiq,"Sí")&gt;0),IF(OR(P2654="Gasto",P2654="Transferencia",P2654="Pago tarjeta"),-1,1)*S2654,0)+IF(AND(AE2654&lt;&gt;"",COUNTIFS(tcTipo,AE2654,tcLiq,"Sí")&gt;0),S2654,0))</f>
        <v/>
      </c>
      <c r="AI2654" s="52">
        <f>IF(OR(L2654="",P2654=""),"",IF(COUNTIFS(L$6:L2654,L2654,P$6:P2654,"?*")=1,MAX(AI$5:AI2653)+1,""))</f>
        <v/>
      </c>
    </row>
    <row r="2655">
      <c r="B2655" s="47" t="n"/>
      <c r="C2655" s="48" t="n"/>
      <c r="D2655" s="48" t="n"/>
      <c r="E2655" s="48" t="n"/>
      <c r="F2655" s="48" t="n"/>
      <c r="G2655" s="49" t="n"/>
      <c r="H2655" s="48" t="n"/>
      <c r="I2655" s="50" t="n"/>
      <c r="J2655" s="48" t="n"/>
      <c r="K2655" s="48" t="n"/>
      <c r="L2655" s="48" t="n"/>
      <c r="M2655" s="48" t="n"/>
      <c r="N2655" s="48" t="n"/>
      <c r="O2655" s="51">
        <f>IF(AND(B2655="",G2655="",C2655="",D2655="",J2655=""),"",IF(B2655="","⚠ Falta fecha",IF(G2655="","⚠ Falta monto",IF(Q2655="","⚠ Falta cuenta",IF(ISNA(MATCH(Q2655,ctaNombre,0)),"⚠ Cuenta no registrada",IF(AND(OR(P2655="Gasto",P2655="Reembolso"),D2655=""),"⚠ Falta categoría",IF(AND(D2655&lt;&gt;"",E2655&lt;&gt;"",ISNA(MATCH(D2655&amp;"|"&amp;E2655,catClave,0))),"⚠ Subcategoría no corresponde",IF(AND(OR(P2655="Transferencia",P2655="Pago tarjeta"),K2655=""),"⚠ Falta cuenta destino",IF(AND(K2655&lt;&gt;"",P2655&lt;&gt;"Transferencia",P2655&lt;&gt;"Pago tarjeta"),"⚠ Destino solo aplica a transferencias",IF(AND(K2655&lt;&gt;"",K2655=Q2655),"⚠ Origen igual a destino",IF(AND(K2655&lt;&gt;"",ISNA(MATCH(K2655,ctaNombre,0))),"⚠ Destino no registrado",IF(AND(P2655="Pago tarjeta",AE2655&lt;&gt;"Tarjeta de crédito"),"⚠ El destino debe ser tarjeta de crédito",IF(AND(P2655="Gasto",E2655="Depósitos y retiros"),"⚠ Usa tipo Transferencia",IF(AND(P2655="Resultado trading",AD2655&lt;&gt;"Cuenta de trading"),"⚠ Usa una cuenta de trading",IF(AND(G2655&lt;=0,P2655&lt;&gt;"Ajuste",P2655&lt;&gt;"Resultado trading"),"⚠ El monto debe ser positivo","✓")))))))))))))))</f>
        <v/>
      </c>
      <c r="P2655" s="52">
        <f>IF(OR(B2655="",G2655=""),"",IF(C2655="","Gasto",C2655))</f>
        <v/>
      </c>
      <c r="Q2655" s="52">
        <f>IF(P2655="","",IF(J2655&lt;&gt;"",J2655,CuentaPred&amp;""))</f>
        <v/>
      </c>
      <c r="R2655" s="52">
        <f>IF(P2655="","",IF(ISNUMBER(I2655),I2655,TasaUSD))</f>
        <v/>
      </c>
      <c r="S2655" s="53">
        <f>IF(P2655="","",IF(H2655="USD",G2655*R2655,G2655))</f>
        <v/>
      </c>
      <c r="T2655" s="53">
        <f>IF(P2655="","",IF(H2655="USD",G2655,IF(R2655&gt;0,G2655/R2655,0)))</f>
        <v/>
      </c>
      <c r="U2655" s="53">
        <f>IF(P2655="","",IF(P2655="Gasto",S2655,IF(P2655="Reembolso",-S2655,0)))</f>
        <v/>
      </c>
      <c r="V2655" s="53">
        <f>IF(P2655="","",IF(P2655="Ingreso",S2655,0))</f>
        <v/>
      </c>
      <c r="W2655" s="53">
        <f>IF(P2655="","",IF(P2655="Resultado trading",S2655,0))</f>
        <v/>
      </c>
      <c r="X2655" s="52">
        <f>IF(OR(P2655="Gasto",P2655="Reembolso"),IF(M2655&lt;&gt;"",M2655,IFERROR(INDEX(catClasif,MATCH(D2655&amp;"|"&amp;E2655,catClave,0))&amp;"","Variable")),"")</f>
        <v/>
      </c>
      <c r="Y2655" s="52">
        <f>IF(P2655="","",IFERROR(INDEX(catGrupo,MATCH(D2655&amp;"|"&amp;E2655,catClave,0))&amp;"",""))</f>
        <v/>
      </c>
      <c r="Z2655" s="52">
        <f>IF(P2655="","",WEEKDAY(B2655,2))</f>
        <v/>
      </c>
      <c r="AA2655" s="52">
        <f>IF(P2655="","",IF(AND(P2655="Gasto",X2655="Variable",D2655&lt;&gt;catTrading,S2655&gt;0,S2655&lt;=Umbral),1,0))</f>
        <v/>
      </c>
      <c r="AB2655" s="52">
        <f>IF(OR(P2655="",Q2655=""),"",IFERROR(IF(INDEX(ctaVinc,MATCH(Q2655,ctaNombre,0))&amp;""&lt;&gt;"",INDEX(ctaVinc,MATCH(Q2655,ctaNombre,0))&amp;"",Q2655),Q2655))</f>
        <v/>
      </c>
      <c r="AC2655" s="52">
        <f>IF(OR(K2655="",AND(P2655&lt;&gt;"Transferencia",P2655&lt;&gt;"Pago tarjeta")),"",IFERROR(IF(INDEX(ctaVinc,MATCH(K2655,ctaNombre,0))&amp;""&lt;&gt;"",INDEX(ctaVinc,MATCH(K2655,ctaNombre,0))&amp;"",K2655),K2655))</f>
        <v/>
      </c>
      <c r="AD2655" s="52">
        <f>IF(AB2655="","",IFERROR(INDEX(ctaTipo,MATCH(AB2655,ctaNombre,0))&amp;"",""))</f>
        <v/>
      </c>
      <c r="AE2655" s="52">
        <f>IF(AC2655="","",IFERROR(INDEX(ctaTipo,MATCH(AC2655,ctaNombre,0))&amp;"",""))</f>
        <v/>
      </c>
      <c r="AF2655" s="53">
        <f>IF(OR(P2655="",AB2655=""),"",IF(OR(P2655="Gasto",P2655="Transferencia",P2655="Pago tarjeta"),-1,1)*IF(IFERROR(INDEX(ctaMoneda,MATCH(AB2655,ctaNombre,0))&amp;"","DOP")="USD",T2655,S2655))</f>
        <v/>
      </c>
      <c r="AG2655" s="53">
        <f>IF(AC2655="","",IF(IFERROR(INDEX(ctaMoneda,MATCH(AC2655,ctaNombre,0))&amp;"","DOP")="USD",T2655,S2655))</f>
        <v/>
      </c>
      <c r="AH2655" s="53">
        <f>IF(P2655="","",IF(AND(AD2655&lt;&gt;"",COUNTIFS(tcTipo,AD2655,tcLiq,"Sí")&gt;0),IF(OR(P2655="Gasto",P2655="Transferencia",P2655="Pago tarjeta"),-1,1)*S2655,0)+IF(AND(AE2655&lt;&gt;"",COUNTIFS(tcTipo,AE2655,tcLiq,"Sí")&gt;0),S2655,0))</f>
        <v/>
      </c>
      <c r="AI2655" s="52">
        <f>IF(OR(L2655="",P2655=""),"",IF(COUNTIFS(L$6:L2655,L2655,P$6:P2655,"?*")=1,MAX(AI$5:AI2654)+1,""))</f>
        <v/>
      </c>
    </row>
    <row r="2656">
      <c r="B2656" s="47" t="n"/>
      <c r="C2656" s="48" t="n"/>
      <c r="D2656" s="48" t="n"/>
      <c r="E2656" s="48" t="n"/>
      <c r="F2656" s="48" t="n"/>
      <c r="G2656" s="49" t="n"/>
      <c r="H2656" s="48" t="n"/>
      <c r="I2656" s="50" t="n"/>
      <c r="J2656" s="48" t="n"/>
      <c r="K2656" s="48" t="n"/>
      <c r="L2656" s="48" t="n"/>
      <c r="M2656" s="48" t="n"/>
      <c r="N2656" s="48" t="n"/>
      <c r="O2656" s="51">
        <f>IF(AND(B2656="",G2656="",C2656="",D2656="",J2656=""),"",IF(B2656="","⚠ Falta fecha",IF(G2656="","⚠ Falta monto",IF(Q2656="","⚠ Falta cuenta",IF(ISNA(MATCH(Q2656,ctaNombre,0)),"⚠ Cuenta no registrada",IF(AND(OR(P2656="Gasto",P2656="Reembolso"),D2656=""),"⚠ Falta categoría",IF(AND(D2656&lt;&gt;"",E2656&lt;&gt;"",ISNA(MATCH(D2656&amp;"|"&amp;E2656,catClave,0))),"⚠ Subcategoría no corresponde",IF(AND(OR(P2656="Transferencia",P2656="Pago tarjeta"),K2656=""),"⚠ Falta cuenta destino",IF(AND(K2656&lt;&gt;"",P2656&lt;&gt;"Transferencia",P2656&lt;&gt;"Pago tarjeta"),"⚠ Destino solo aplica a transferencias",IF(AND(K2656&lt;&gt;"",K2656=Q2656),"⚠ Origen igual a destino",IF(AND(K2656&lt;&gt;"",ISNA(MATCH(K2656,ctaNombre,0))),"⚠ Destino no registrado",IF(AND(P2656="Pago tarjeta",AE2656&lt;&gt;"Tarjeta de crédito"),"⚠ El destino debe ser tarjeta de crédito",IF(AND(P2656="Gasto",E2656="Depósitos y retiros"),"⚠ Usa tipo Transferencia",IF(AND(P2656="Resultado trading",AD2656&lt;&gt;"Cuenta de trading"),"⚠ Usa una cuenta de trading",IF(AND(G2656&lt;=0,P2656&lt;&gt;"Ajuste",P2656&lt;&gt;"Resultado trading"),"⚠ El monto debe ser positivo","✓")))))))))))))))</f>
        <v/>
      </c>
      <c r="P2656" s="52">
        <f>IF(OR(B2656="",G2656=""),"",IF(C2656="","Gasto",C2656))</f>
        <v/>
      </c>
      <c r="Q2656" s="52">
        <f>IF(P2656="","",IF(J2656&lt;&gt;"",J2656,CuentaPred&amp;""))</f>
        <v/>
      </c>
      <c r="R2656" s="52">
        <f>IF(P2656="","",IF(ISNUMBER(I2656),I2656,TasaUSD))</f>
        <v/>
      </c>
      <c r="S2656" s="53">
        <f>IF(P2656="","",IF(H2656="USD",G2656*R2656,G2656))</f>
        <v/>
      </c>
      <c r="T2656" s="53">
        <f>IF(P2656="","",IF(H2656="USD",G2656,IF(R2656&gt;0,G2656/R2656,0)))</f>
        <v/>
      </c>
      <c r="U2656" s="53">
        <f>IF(P2656="","",IF(P2656="Gasto",S2656,IF(P2656="Reembolso",-S2656,0)))</f>
        <v/>
      </c>
      <c r="V2656" s="53">
        <f>IF(P2656="","",IF(P2656="Ingreso",S2656,0))</f>
        <v/>
      </c>
      <c r="W2656" s="53">
        <f>IF(P2656="","",IF(P2656="Resultado trading",S2656,0))</f>
        <v/>
      </c>
      <c r="X2656" s="52">
        <f>IF(OR(P2656="Gasto",P2656="Reembolso"),IF(M2656&lt;&gt;"",M2656,IFERROR(INDEX(catClasif,MATCH(D2656&amp;"|"&amp;E2656,catClave,0))&amp;"","Variable")),"")</f>
        <v/>
      </c>
      <c r="Y2656" s="52">
        <f>IF(P2656="","",IFERROR(INDEX(catGrupo,MATCH(D2656&amp;"|"&amp;E2656,catClave,0))&amp;"",""))</f>
        <v/>
      </c>
      <c r="Z2656" s="52">
        <f>IF(P2656="","",WEEKDAY(B2656,2))</f>
        <v/>
      </c>
      <c r="AA2656" s="52">
        <f>IF(P2656="","",IF(AND(P2656="Gasto",X2656="Variable",D2656&lt;&gt;catTrading,S2656&gt;0,S2656&lt;=Umbral),1,0))</f>
        <v/>
      </c>
      <c r="AB2656" s="52">
        <f>IF(OR(P2656="",Q2656=""),"",IFERROR(IF(INDEX(ctaVinc,MATCH(Q2656,ctaNombre,0))&amp;""&lt;&gt;"",INDEX(ctaVinc,MATCH(Q2656,ctaNombre,0))&amp;"",Q2656),Q2656))</f>
        <v/>
      </c>
      <c r="AC2656" s="52">
        <f>IF(OR(K2656="",AND(P2656&lt;&gt;"Transferencia",P2656&lt;&gt;"Pago tarjeta")),"",IFERROR(IF(INDEX(ctaVinc,MATCH(K2656,ctaNombre,0))&amp;""&lt;&gt;"",INDEX(ctaVinc,MATCH(K2656,ctaNombre,0))&amp;"",K2656),K2656))</f>
        <v/>
      </c>
      <c r="AD2656" s="52">
        <f>IF(AB2656="","",IFERROR(INDEX(ctaTipo,MATCH(AB2656,ctaNombre,0))&amp;"",""))</f>
        <v/>
      </c>
      <c r="AE2656" s="52">
        <f>IF(AC2656="","",IFERROR(INDEX(ctaTipo,MATCH(AC2656,ctaNombre,0))&amp;"",""))</f>
        <v/>
      </c>
      <c r="AF2656" s="53">
        <f>IF(OR(P2656="",AB2656=""),"",IF(OR(P2656="Gasto",P2656="Transferencia",P2656="Pago tarjeta"),-1,1)*IF(IFERROR(INDEX(ctaMoneda,MATCH(AB2656,ctaNombre,0))&amp;"","DOP")="USD",T2656,S2656))</f>
        <v/>
      </c>
      <c r="AG2656" s="53">
        <f>IF(AC2656="","",IF(IFERROR(INDEX(ctaMoneda,MATCH(AC2656,ctaNombre,0))&amp;"","DOP")="USD",T2656,S2656))</f>
        <v/>
      </c>
      <c r="AH2656" s="53">
        <f>IF(P2656="","",IF(AND(AD2656&lt;&gt;"",COUNTIFS(tcTipo,AD2656,tcLiq,"Sí")&gt;0),IF(OR(P2656="Gasto",P2656="Transferencia",P2656="Pago tarjeta"),-1,1)*S2656,0)+IF(AND(AE2656&lt;&gt;"",COUNTIFS(tcTipo,AE2656,tcLiq,"Sí")&gt;0),S2656,0))</f>
        <v/>
      </c>
      <c r="AI2656" s="52">
        <f>IF(OR(L2656="",P2656=""),"",IF(COUNTIFS(L$6:L2656,L2656,P$6:P2656,"?*")=1,MAX(AI$5:AI2655)+1,""))</f>
        <v/>
      </c>
    </row>
    <row r="2657">
      <c r="B2657" s="47" t="n"/>
      <c r="C2657" s="48" t="n"/>
      <c r="D2657" s="48" t="n"/>
      <c r="E2657" s="48" t="n"/>
      <c r="F2657" s="48" t="n"/>
      <c r="G2657" s="49" t="n"/>
      <c r="H2657" s="48" t="n"/>
      <c r="I2657" s="50" t="n"/>
      <c r="J2657" s="48" t="n"/>
      <c r="K2657" s="48" t="n"/>
      <c r="L2657" s="48" t="n"/>
      <c r="M2657" s="48" t="n"/>
      <c r="N2657" s="48" t="n"/>
      <c r="O2657" s="51">
        <f>IF(AND(B2657="",G2657="",C2657="",D2657="",J2657=""),"",IF(B2657="","⚠ Falta fecha",IF(G2657="","⚠ Falta monto",IF(Q2657="","⚠ Falta cuenta",IF(ISNA(MATCH(Q2657,ctaNombre,0)),"⚠ Cuenta no registrada",IF(AND(OR(P2657="Gasto",P2657="Reembolso"),D2657=""),"⚠ Falta categoría",IF(AND(D2657&lt;&gt;"",E2657&lt;&gt;"",ISNA(MATCH(D2657&amp;"|"&amp;E2657,catClave,0))),"⚠ Subcategoría no corresponde",IF(AND(OR(P2657="Transferencia",P2657="Pago tarjeta"),K2657=""),"⚠ Falta cuenta destino",IF(AND(K2657&lt;&gt;"",P2657&lt;&gt;"Transferencia",P2657&lt;&gt;"Pago tarjeta"),"⚠ Destino solo aplica a transferencias",IF(AND(K2657&lt;&gt;"",K2657=Q2657),"⚠ Origen igual a destino",IF(AND(K2657&lt;&gt;"",ISNA(MATCH(K2657,ctaNombre,0))),"⚠ Destino no registrado",IF(AND(P2657="Pago tarjeta",AE2657&lt;&gt;"Tarjeta de crédito"),"⚠ El destino debe ser tarjeta de crédito",IF(AND(P2657="Gasto",E2657="Depósitos y retiros"),"⚠ Usa tipo Transferencia",IF(AND(P2657="Resultado trading",AD2657&lt;&gt;"Cuenta de trading"),"⚠ Usa una cuenta de trading",IF(AND(G2657&lt;=0,P2657&lt;&gt;"Ajuste",P2657&lt;&gt;"Resultado trading"),"⚠ El monto debe ser positivo","✓")))))))))))))))</f>
        <v/>
      </c>
      <c r="P2657" s="52">
        <f>IF(OR(B2657="",G2657=""),"",IF(C2657="","Gasto",C2657))</f>
        <v/>
      </c>
      <c r="Q2657" s="52">
        <f>IF(P2657="","",IF(J2657&lt;&gt;"",J2657,CuentaPred&amp;""))</f>
        <v/>
      </c>
      <c r="R2657" s="52">
        <f>IF(P2657="","",IF(ISNUMBER(I2657),I2657,TasaUSD))</f>
        <v/>
      </c>
      <c r="S2657" s="53">
        <f>IF(P2657="","",IF(H2657="USD",G2657*R2657,G2657))</f>
        <v/>
      </c>
      <c r="T2657" s="53">
        <f>IF(P2657="","",IF(H2657="USD",G2657,IF(R2657&gt;0,G2657/R2657,0)))</f>
        <v/>
      </c>
      <c r="U2657" s="53">
        <f>IF(P2657="","",IF(P2657="Gasto",S2657,IF(P2657="Reembolso",-S2657,0)))</f>
        <v/>
      </c>
      <c r="V2657" s="53">
        <f>IF(P2657="","",IF(P2657="Ingreso",S2657,0))</f>
        <v/>
      </c>
      <c r="W2657" s="53">
        <f>IF(P2657="","",IF(P2657="Resultado trading",S2657,0))</f>
        <v/>
      </c>
      <c r="X2657" s="52">
        <f>IF(OR(P2657="Gasto",P2657="Reembolso"),IF(M2657&lt;&gt;"",M2657,IFERROR(INDEX(catClasif,MATCH(D2657&amp;"|"&amp;E2657,catClave,0))&amp;"","Variable")),"")</f>
        <v/>
      </c>
      <c r="Y2657" s="52">
        <f>IF(P2657="","",IFERROR(INDEX(catGrupo,MATCH(D2657&amp;"|"&amp;E2657,catClave,0))&amp;"",""))</f>
        <v/>
      </c>
      <c r="Z2657" s="52">
        <f>IF(P2657="","",WEEKDAY(B2657,2))</f>
        <v/>
      </c>
      <c r="AA2657" s="52">
        <f>IF(P2657="","",IF(AND(P2657="Gasto",X2657="Variable",D2657&lt;&gt;catTrading,S2657&gt;0,S2657&lt;=Umbral),1,0))</f>
        <v/>
      </c>
      <c r="AB2657" s="52">
        <f>IF(OR(P2657="",Q2657=""),"",IFERROR(IF(INDEX(ctaVinc,MATCH(Q2657,ctaNombre,0))&amp;""&lt;&gt;"",INDEX(ctaVinc,MATCH(Q2657,ctaNombre,0))&amp;"",Q2657),Q2657))</f>
        <v/>
      </c>
      <c r="AC2657" s="52">
        <f>IF(OR(K2657="",AND(P2657&lt;&gt;"Transferencia",P2657&lt;&gt;"Pago tarjeta")),"",IFERROR(IF(INDEX(ctaVinc,MATCH(K2657,ctaNombre,0))&amp;""&lt;&gt;"",INDEX(ctaVinc,MATCH(K2657,ctaNombre,0))&amp;"",K2657),K2657))</f>
        <v/>
      </c>
      <c r="AD2657" s="52">
        <f>IF(AB2657="","",IFERROR(INDEX(ctaTipo,MATCH(AB2657,ctaNombre,0))&amp;"",""))</f>
        <v/>
      </c>
      <c r="AE2657" s="52">
        <f>IF(AC2657="","",IFERROR(INDEX(ctaTipo,MATCH(AC2657,ctaNombre,0))&amp;"",""))</f>
        <v/>
      </c>
      <c r="AF2657" s="53">
        <f>IF(OR(P2657="",AB2657=""),"",IF(OR(P2657="Gasto",P2657="Transferencia",P2657="Pago tarjeta"),-1,1)*IF(IFERROR(INDEX(ctaMoneda,MATCH(AB2657,ctaNombre,0))&amp;"","DOP")="USD",T2657,S2657))</f>
        <v/>
      </c>
      <c r="AG2657" s="53">
        <f>IF(AC2657="","",IF(IFERROR(INDEX(ctaMoneda,MATCH(AC2657,ctaNombre,0))&amp;"","DOP")="USD",T2657,S2657))</f>
        <v/>
      </c>
      <c r="AH2657" s="53">
        <f>IF(P2657="","",IF(AND(AD2657&lt;&gt;"",COUNTIFS(tcTipo,AD2657,tcLiq,"Sí")&gt;0),IF(OR(P2657="Gasto",P2657="Transferencia",P2657="Pago tarjeta"),-1,1)*S2657,0)+IF(AND(AE2657&lt;&gt;"",COUNTIFS(tcTipo,AE2657,tcLiq,"Sí")&gt;0),S2657,0))</f>
        <v/>
      </c>
      <c r="AI2657" s="52">
        <f>IF(OR(L2657="",P2657=""),"",IF(COUNTIFS(L$6:L2657,L2657,P$6:P2657,"?*")=1,MAX(AI$5:AI2656)+1,""))</f>
        <v/>
      </c>
    </row>
    <row r="2658">
      <c r="B2658" s="47" t="n"/>
      <c r="C2658" s="48" t="n"/>
      <c r="D2658" s="48" t="n"/>
      <c r="E2658" s="48" t="n"/>
      <c r="F2658" s="48" t="n"/>
      <c r="G2658" s="49" t="n"/>
      <c r="H2658" s="48" t="n"/>
      <c r="I2658" s="50" t="n"/>
      <c r="J2658" s="48" t="n"/>
      <c r="K2658" s="48" t="n"/>
      <c r="L2658" s="48" t="n"/>
      <c r="M2658" s="48" t="n"/>
      <c r="N2658" s="48" t="n"/>
      <c r="O2658" s="51">
        <f>IF(AND(B2658="",G2658="",C2658="",D2658="",J2658=""),"",IF(B2658="","⚠ Falta fecha",IF(G2658="","⚠ Falta monto",IF(Q2658="","⚠ Falta cuenta",IF(ISNA(MATCH(Q2658,ctaNombre,0)),"⚠ Cuenta no registrada",IF(AND(OR(P2658="Gasto",P2658="Reembolso"),D2658=""),"⚠ Falta categoría",IF(AND(D2658&lt;&gt;"",E2658&lt;&gt;"",ISNA(MATCH(D2658&amp;"|"&amp;E2658,catClave,0))),"⚠ Subcategoría no corresponde",IF(AND(OR(P2658="Transferencia",P2658="Pago tarjeta"),K2658=""),"⚠ Falta cuenta destino",IF(AND(K2658&lt;&gt;"",P2658&lt;&gt;"Transferencia",P2658&lt;&gt;"Pago tarjeta"),"⚠ Destino solo aplica a transferencias",IF(AND(K2658&lt;&gt;"",K2658=Q2658),"⚠ Origen igual a destino",IF(AND(K2658&lt;&gt;"",ISNA(MATCH(K2658,ctaNombre,0))),"⚠ Destino no registrado",IF(AND(P2658="Pago tarjeta",AE2658&lt;&gt;"Tarjeta de crédito"),"⚠ El destino debe ser tarjeta de crédito",IF(AND(P2658="Gasto",E2658="Depósitos y retiros"),"⚠ Usa tipo Transferencia",IF(AND(P2658="Resultado trading",AD2658&lt;&gt;"Cuenta de trading"),"⚠ Usa una cuenta de trading",IF(AND(G2658&lt;=0,P2658&lt;&gt;"Ajuste",P2658&lt;&gt;"Resultado trading"),"⚠ El monto debe ser positivo","✓")))))))))))))))</f>
        <v/>
      </c>
      <c r="P2658" s="52">
        <f>IF(OR(B2658="",G2658=""),"",IF(C2658="","Gasto",C2658))</f>
        <v/>
      </c>
      <c r="Q2658" s="52">
        <f>IF(P2658="","",IF(J2658&lt;&gt;"",J2658,CuentaPred&amp;""))</f>
        <v/>
      </c>
      <c r="R2658" s="52">
        <f>IF(P2658="","",IF(ISNUMBER(I2658),I2658,TasaUSD))</f>
        <v/>
      </c>
      <c r="S2658" s="53">
        <f>IF(P2658="","",IF(H2658="USD",G2658*R2658,G2658))</f>
        <v/>
      </c>
      <c r="T2658" s="53">
        <f>IF(P2658="","",IF(H2658="USD",G2658,IF(R2658&gt;0,G2658/R2658,0)))</f>
        <v/>
      </c>
      <c r="U2658" s="53">
        <f>IF(P2658="","",IF(P2658="Gasto",S2658,IF(P2658="Reembolso",-S2658,0)))</f>
        <v/>
      </c>
      <c r="V2658" s="53">
        <f>IF(P2658="","",IF(P2658="Ingreso",S2658,0))</f>
        <v/>
      </c>
      <c r="W2658" s="53">
        <f>IF(P2658="","",IF(P2658="Resultado trading",S2658,0))</f>
        <v/>
      </c>
      <c r="X2658" s="52">
        <f>IF(OR(P2658="Gasto",P2658="Reembolso"),IF(M2658&lt;&gt;"",M2658,IFERROR(INDEX(catClasif,MATCH(D2658&amp;"|"&amp;E2658,catClave,0))&amp;"","Variable")),"")</f>
        <v/>
      </c>
      <c r="Y2658" s="52">
        <f>IF(P2658="","",IFERROR(INDEX(catGrupo,MATCH(D2658&amp;"|"&amp;E2658,catClave,0))&amp;"",""))</f>
        <v/>
      </c>
      <c r="Z2658" s="52">
        <f>IF(P2658="","",WEEKDAY(B2658,2))</f>
        <v/>
      </c>
      <c r="AA2658" s="52">
        <f>IF(P2658="","",IF(AND(P2658="Gasto",X2658="Variable",D2658&lt;&gt;catTrading,S2658&gt;0,S2658&lt;=Umbral),1,0))</f>
        <v/>
      </c>
      <c r="AB2658" s="52">
        <f>IF(OR(P2658="",Q2658=""),"",IFERROR(IF(INDEX(ctaVinc,MATCH(Q2658,ctaNombre,0))&amp;""&lt;&gt;"",INDEX(ctaVinc,MATCH(Q2658,ctaNombre,0))&amp;"",Q2658),Q2658))</f>
        <v/>
      </c>
      <c r="AC2658" s="52">
        <f>IF(OR(K2658="",AND(P2658&lt;&gt;"Transferencia",P2658&lt;&gt;"Pago tarjeta")),"",IFERROR(IF(INDEX(ctaVinc,MATCH(K2658,ctaNombre,0))&amp;""&lt;&gt;"",INDEX(ctaVinc,MATCH(K2658,ctaNombre,0))&amp;"",K2658),K2658))</f>
        <v/>
      </c>
      <c r="AD2658" s="52">
        <f>IF(AB2658="","",IFERROR(INDEX(ctaTipo,MATCH(AB2658,ctaNombre,0))&amp;"",""))</f>
        <v/>
      </c>
      <c r="AE2658" s="52">
        <f>IF(AC2658="","",IFERROR(INDEX(ctaTipo,MATCH(AC2658,ctaNombre,0))&amp;"",""))</f>
        <v/>
      </c>
      <c r="AF2658" s="53">
        <f>IF(OR(P2658="",AB2658=""),"",IF(OR(P2658="Gasto",P2658="Transferencia",P2658="Pago tarjeta"),-1,1)*IF(IFERROR(INDEX(ctaMoneda,MATCH(AB2658,ctaNombre,0))&amp;"","DOP")="USD",T2658,S2658))</f>
        <v/>
      </c>
      <c r="AG2658" s="53">
        <f>IF(AC2658="","",IF(IFERROR(INDEX(ctaMoneda,MATCH(AC2658,ctaNombre,0))&amp;"","DOP")="USD",T2658,S2658))</f>
        <v/>
      </c>
      <c r="AH2658" s="53">
        <f>IF(P2658="","",IF(AND(AD2658&lt;&gt;"",COUNTIFS(tcTipo,AD2658,tcLiq,"Sí")&gt;0),IF(OR(P2658="Gasto",P2658="Transferencia",P2658="Pago tarjeta"),-1,1)*S2658,0)+IF(AND(AE2658&lt;&gt;"",COUNTIFS(tcTipo,AE2658,tcLiq,"Sí")&gt;0),S2658,0))</f>
        <v/>
      </c>
      <c r="AI2658" s="52">
        <f>IF(OR(L2658="",P2658=""),"",IF(COUNTIFS(L$6:L2658,L2658,P$6:P2658,"?*")=1,MAX(AI$5:AI2657)+1,""))</f>
        <v/>
      </c>
    </row>
    <row r="2659">
      <c r="B2659" s="47" t="n"/>
      <c r="C2659" s="48" t="n"/>
      <c r="D2659" s="48" t="n"/>
      <c r="E2659" s="48" t="n"/>
      <c r="F2659" s="48" t="n"/>
      <c r="G2659" s="49" t="n"/>
      <c r="H2659" s="48" t="n"/>
      <c r="I2659" s="50" t="n"/>
      <c r="J2659" s="48" t="n"/>
      <c r="K2659" s="48" t="n"/>
      <c r="L2659" s="48" t="n"/>
      <c r="M2659" s="48" t="n"/>
      <c r="N2659" s="48" t="n"/>
      <c r="O2659" s="51">
        <f>IF(AND(B2659="",G2659="",C2659="",D2659="",J2659=""),"",IF(B2659="","⚠ Falta fecha",IF(G2659="","⚠ Falta monto",IF(Q2659="","⚠ Falta cuenta",IF(ISNA(MATCH(Q2659,ctaNombre,0)),"⚠ Cuenta no registrada",IF(AND(OR(P2659="Gasto",P2659="Reembolso"),D2659=""),"⚠ Falta categoría",IF(AND(D2659&lt;&gt;"",E2659&lt;&gt;"",ISNA(MATCH(D2659&amp;"|"&amp;E2659,catClave,0))),"⚠ Subcategoría no corresponde",IF(AND(OR(P2659="Transferencia",P2659="Pago tarjeta"),K2659=""),"⚠ Falta cuenta destino",IF(AND(K2659&lt;&gt;"",P2659&lt;&gt;"Transferencia",P2659&lt;&gt;"Pago tarjeta"),"⚠ Destino solo aplica a transferencias",IF(AND(K2659&lt;&gt;"",K2659=Q2659),"⚠ Origen igual a destino",IF(AND(K2659&lt;&gt;"",ISNA(MATCH(K2659,ctaNombre,0))),"⚠ Destino no registrado",IF(AND(P2659="Pago tarjeta",AE2659&lt;&gt;"Tarjeta de crédito"),"⚠ El destino debe ser tarjeta de crédito",IF(AND(P2659="Gasto",E2659="Depósitos y retiros"),"⚠ Usa tipo Transferencia",IF(AND(P2659="Resultado trading",AD2659&lt;&gt;"Cuenta de trading"),"⚠ Usa una cuenta de trading",IF(AND(G2659&lt;=0,P2659&lt;&gt;"Ajuste",P2659&lt;&gt;"Resultado trading"),"⚠ El monto debe ser positivo","✓")))))))))))))))</f>
        <v/>
      </c>
      <c r="P2659" s="52">
        <f>IF(OR(B2659="",G2659=""),"",IF(C2659="","Gasto",C2659))</f>
        <v/>
      </c>
      <c r="Q2659" s="52">
        <f>IF(P2659="","",IF(J2659&lt;&gt;"",J2659,CuentaPred&amp;""))</f>
        <v/>
      </c>
      <c r="R2659" s="52">
        <f>IF(P2659="","",IF(ISNUMBER(I2659),I2659,TasaUSD))</f>
        <v/>
      </c>
      <c r="S2659" s="53">
        <f>IF(P2659="","",IF(H2659="USD",G2659*R2659,G2659))</f>
        <v/>
      </c>
      <c r="T2659" s="53">
        <f>IF(P2659="","",IF(H2659="USD",G2659,IF(R2659&gt;0,G2659/R2659,0)))</f>
        <v/>
      </c>
      <c r="U2659" s="53">
        <f>IF(P2659="","",IF(P2659="Gasto",S2659,IF(P2659="Reembolso",-S2659,0)))</f>
        <v/>
      </c>
      <c r="V2659" s="53">
        <f>IF(P2659="","",IF(P2659="Ingreso",S2659,0))</f>
        <v/>
      </c>
      <c r="W2659" s="53">
        <f>IF(P2659="","",IF(P2659="Resultado trading",S2659,0))</f>
        <v/>
      </c>
      <c r="X2659" s="52">
        <f>IF(OR(P2659="Gasto",P2659="Reembolso"),IF(M2659&lt;&gt;"",M2659,IFERROR(INDEX(catClasif,MATCH(D2659&amp;"|"&amp;E2659,catClave,0))&amp;"","Variable")),"")</f>
        <v/>
      </c>
      <c r="Y2659" s="52">
        <f>IF(P2659="","",IFERROR(INDEX(catGrupo,MATCH(D2659&amp;"|"&amp;E2659,catClave,0))&amp;"",""))</f>
        <v/>
      </c>
      <c r="Z2659" s="52">
        <f>IF(P2659="","",WEEKDAY(B2659,2))</f>
        <v/>
      </c>
      <c r="AA2659" s="52">
        <f>IF(P2659="","",IF(AND(P2659="Gasto",X2659="Variable",D2659&lt;&gt;catTrading,S2659&gt;0,S2659&lt;=Umbral),1,0))</f>
        <v/>
      </c>
      <c r="AB2659" s="52">
        <f>IF(OR(P2659="",Q2659=""),"",IFERROR(IF(INDEX(ctaVinc,MATCH(Q2659,ctaNombre,0))&amp;""&lt;&gt;"",INDEX(ctaVinc,MATCH(Q2659,ctaNombre,0))&amp;"",Q2659),Q2659))</f>
        <v/>
      </c>
      <c r="AC2659" s="52">
        <f>IF(OR(K2659="",AND(P2659&lt;&gt;"Transferencia",P2659&lt;&gt;"Pago tarjeta")),"",IFERROR(IF(INDEX(ctaVinc,MATCH(K2659,ctaNombre,0))&amp;""&lt;&gt;"",INDEX(ctaVinc,MATCH(K2659,ctaNombre,0))&amp;"",K2659),K2659))</f>
        <v/>
      </c>
      <c r="AD2659" s="52">
        <f>IF(AB2659="","",IFERROR(INDEX(ctaTipo,MATCH(AB2659,ctaNombre,0))&amp;"",""))</f>
        <v/>
      </c>
      <c r="AE2659" s="52">
        <f>IF(AC2659="","",IFERROR(INDEX(ctaTipo,MATCH(AC2659,ctaNombre,0))&amp;"",""))</f>
        <v/>
      </c>
      <c r="AF2659" s="53">
        <f>IF(OR(P2659="",AB2659=""),"",IF(OR(P2659="Gasto",P2659="Transferencia",P2659="Pago tarjeta"),-1,1)*IF(IFERROR(INDEX(ctaMoneda,MATCH(AB2659,ctaNombre,0))&amp;"","DOP")="USD",T2659,S2659))</f>
        <v/>
      </c>
      <c r="AG2659" s="53">
        <f>IF(AC2659="","",IF(IFERROR(INDEX(ctaMoneda,MATCH(AC2659,ctaNombre,0))&amp;"","DOP")="USD",T2659,S2659))</f>
        <v/>
      </c>
      <c r="AH2659" s="53">
        <f>IF(P2659="","",IF(AND(AD2659&lt;&gt;"",COUNTIFS(tcTipo,AD2659,tcLiq,"Sí")&gt;0),IF(OR(P2659="Gasto",P2659="Transferencia",P2659="Pago tarjeta"),-1,1)*S2659,0)+IF(AND(AE2659&lt;&gt;"",COUNTIFS(tcTipo,AE2659,tcLiq,"Sí")&gt;0),S2659,0))</f>
        <v/>
      </c>
      <c r="AI2659" s="52">
        <f>IF(OR(L2659="",P2659=""),"",IF(COUNTIFS(L$6:L2659,L2659,P$6:P2659,"?*")=1,MAX(AI$5:AI2658)+1,""))</f>
        <v/>
      </c>
    </row>
    <row r="2660">
      <c r="B2660" s="47" t="n"/>
      <c r="C2660" s="48" t="n"/>
      <c r="D2660" s="48" t="n"/>
      <c r="E2660" s="48" t="n"/>
      <c r="F2660" s="48" t="n"/>
      <c r="G2660" s="49" t="n"/>
      <c r="H2660" s="48" t="n"/>
      <c r="I2660" s="50" t="n"/>
      <c r="J2660" s="48" t="n"/>
      <c r="K2660" s="48" t="n"/>
      <c r="L2660" s="48" t="n"/>
      <c r="M2660" s="48" t="n"/>
      <c r="N2660" s="48" t="n"/>
      <c r="O2660" s="51">
        <f>IF(AND(B2660="",G2660="",C2660="",D2660="",J2660=""),"",IF(B2660="","⚠ Falta fecha",IF(G2660="","⚠ Falta monto",IF(Q2660="","⚠ Falta cuenta",IF(ISNA(MATCH(Q2660,ctaNombre,0)),"⚠ Cuenta no registrada",IF(AND(OR(P2660="Gasto",P2660="Reembolso"),D2660=""),"⚠ Falta categoría",IF(AND(D2660&lt;&gt;"",E2660&lt;&gt;"",ISNA(MATCH(D2660&amp;"|"&amp;E2660,catClave,0))),"⚠ Subcategoría no corresponde",IF(AND(OR(P2660="Transferencia",P2660="Pago tarjeta"),K2660=""),"⚠ Falta cuenta destino",IF(AND(K2660&lt;&gt;"",P2660&lt;&gt;"Transferencia",P2660&lt;&gt;"Pago tarjeta"),"⚠ Destino solo aplica a transferencias",IF(AND(K2660&lt;&gt;"",K2660=Q2660),"⚠ Origen igual a destino",IF(AND(K2660&lt;&gt;"",ISNA(MATCH(K2660,ctaNombre,0))),"⚠ Destino no registrado",IF(AND(P2660="Pago tarjeta",AE2660&lt;&gt;"Tarjeta de crédito"),"⚠ El destino debe ser tarjeta de crédito",IF(AND(P2660="Gasto",E2660="Depósitos y retiros"),"⚠ Usa tipo Transferencia",IF(AND(P2660="Resultado trading",AD2660&lt;&gt;"Cuenta de trading"),"⚠ Usa una cuenta de trading",IF(AND(G2660&lt;=0,P2660&lt;&gt;"Ajuste",P2660&lt;&gt;"Resultado trading"),"⚠ El monto debe ser positivo","✓")))))))))))))))</f>
        <v/>
      </c>
      <c r="P2660" s="52">
        <f>IF(OR(B2660="",G2660=""),"",IF(C2660="","Gasto",C2660))</f>
        <v/>
      </c>
      <c r="Q2660" s="52">
        <f>IF(P2660="","",IF(J2660&lt;&gt;"",J2660,CuentaPred&amp;""))</f>
        <v/>
      </c>
      <c r="R2660" s="52">
        <f>IF(P2660="","",IF(ISNUMBER(I2660),I2660,TasaUSD))</f>
        <v/>
      </c>
      <c r="S2660" s="53">
        <f>IF(P2660="","",IF(H2660="USD",G2660*R2660,G2660))</f>
        <v/>
      </c>
      <c r="T2660" s="53">
        <f>IF(P2660="","",IF(H2660="USD",G2660,IF(R2660&gt;0,G2660/R2660,0)))</f>
        <v/>
      </c>
      <c r="U2660" s="53">
        <f>IF(P2660="","",IF(P2660="Gasto",S2660,IF(P2660="Reembolso",-S2660,0)))</f>
        <v/>
      </c>
      <c r="V2660" s="53">
        <f>IF(P2660="","",IF(P2660="Ingreso",S2660,0))</f>
        <v/>
      </c>
      <c r="W2660" s="53">
        <f>IF(P2660="","",IF(P2660="Resultado trading",S2660,0))</f>
        <v/>
      </c>
      <c r="X2660" s="52">
        <f>IF(OR(P2660="Gasto",P2660="Reembolso"),IF(M2660&lt;&gt;"",M2660,IFERROR(INDEX(catClasif,MATCH(D2660&amp;"|"&amp;E2660,catClave,0))&amp;"","Variable")),"")</f>
        <v/>
      </c>
      <c r="Y2660" s="52">
        <f>IF(P2660="","",IFERROR(INDEX(catGrupo,MATCH(D2660&amp;"|"&amp;E2660,catClave,0))&amp;"",""))</f>
        <v/>
      </c>
      <c r="Z2660" s="52">
        <f>IF(P2660="","",WEEKDAY(B2660,2))</f>
        <v/>
      </c>
      <c r="AA2660" s="52">
        <f>IF(P2660="","",IF(AND(P2660="Gasto",X2660="Variable",D2660&lt;&gt;catTrading,S2660&gt;0,S2660&lt;=Umbral),1,0))</f>
        <v/>
      </c>
      <c r="AB2660" s="52">
        <f>IF(OR(P2660="",Q2660=""),"",IFERROR(IF(INDEX(ctaVinc,MATCH(Q2660,ctaNombre,0))&amp;""&lt;&gt;"",INDEX(ctaVinc,MATCH(Q2660,ctaNombre,0))&amp;"",Q2660),Q2660))</f>
        <v/>
      </c>
      <c r="AC2660" s="52">
        <f>IF(OR(K2660="",AND(P2660&lt;&gt;"Transferencia",P2660&lt;&gt;"Pago tarjeta")),"",IFERROR(IF(INDEX(ctaVinc,MATCH(K2660,ctaNombre,0))&amp;""&lt;&gt;"",INDEX(ctaVinc,MATCH(K2660,ctaNombre,0))&amp;"",K2660),K2660))</f>
        <v/>
      </c>
      <c r="AD2660" s="52">
        <f>IF(AB2660="","",IFERROR(INDEX(ctaTipo,MATCH(AB2660,ctaNombre,0))&amp;"",""))</f>
        <v/>
      </c>
      <c r="AE2660" s="52">
        <f>IF(AC2660="","",IFERROR(INDEX(ctaTipo,MATCH(AC2660,ctaNombre,0))&amp;"",""))</f>
        <v/>
      </c>
      <c r="AF2660" s="53">
        <f>IF(OR(P2660="",AB2660=""),"",IF(OR(P2660="Gasto",P2660="Transferencia",P2660="Pago tarjeta"),-1,1)*IF(IFERROR(INDEX(ctaMoneda,MATCH(AB2660,ctaNombre,0))&amp;"","DOP")="USD",T2660,S2660))</f>
        <v/>
      </c>
      <c r="AG2660" s="53">
        <f>IF(AC2660="","",IF(IFERROR(INDEX(ctaMoneda,MATCH(AC2660,ctaNombre,0))&amp;"","DOP")="USD",T2660,S2660))</f>
        <v/>
      </c>
      <c r="AH2660" s="53">
        <f>IF(P2660="","",IF(AND(AD2660&lt;&gt;"",COUNTIFS(tcTipo,AD2660,tcLiq,"Sí")&gt;0),IF(OR(P2660="Gasto",P2660="Transferencia",P2660="Pago tarjeta"),-1,1)*S2660,0)+IF(AND(AE2660&lt;&gt;"",COUNTIFS(tcTipo,AE2660,tcLiq,"Sí")&gt;0),S2660,0))</f>
        <v/>
      </c>
      <c r="AI2660" s="52">
        <f>IF(OR(L2660="",P2660=""),"",IF(COUNTIFS(L$6:L2660,L2660,P$6:P2660,"?*")=1,MAX(AI$5:AI2659)+1,""))</f>
        <v/>
      </c>
    </row>
    <row r="2661">
      <c r="B2661" s="47" t="n"/>
      <c r="C2661" s="48" t="n"/>
      <c r="D2661" s="48" t="n"/>
      <c r="E2661" s="48" t="n"/>
      <c r="F2661" s="48" t="n"/>
      <c r="G2661" s="49" t="n"/>
      <c r="H2661" s="48" t="n"/>
      <c r="I2661" s="50" t="n"/>
      <c r="J2661" s="48" t="n"/>
      <c r="K2661" s="48" t="n"/>
      <c r="L2661" s="48" t="n"/>
      <c r="M2661" s="48" t="n"/>
      <c r="N2661" s="48" t="n"/>
      <c r="O2661" s="51">
        <f>IF(AND(B2661="",G2661="",C2661="",D2661="",J2661=""),"",IF(B2661="","⚠ Falta fecha",IF(G2661="","⚠ Falta monto",IF(Q2661="","⚠ Falta cuenta",IF(ISNA(MATCH(Q2661,ctaNombre,0)),"⚠ Cuenta no registrada",IF(AND(OR(P2661="Gasto",P2661="Reembolso"),D2661=""),"⚠ Falta categoría",IF(AND(D2661&lt;&gt;"",E2661&lt;&gt;"",ISNA(MATCH(D2661&amp;"|"&amp;E2661,catClave,0))),"⚠ Subcategoría no corresponde",IF(AND(OR(P2661="Transferencia",P2661="Pago tarjeta"),K2661=""),"⚠ Falta cuenta destino",IF(AND(K2661&lt;&gt;"",P2661&lt;&gt;"Transferencia",P2661&lt;&gt;"Pago tarjeta"),"⚠ Destino solo aplica a transferencias",IF(AND(K2661&lt;&gt;"",K2661=Q2661),"⚠ Origen igual a destino",IF(AND(K2661&lt;&gt;"",ISNA(MATCH(K2661,ctaNombre,0))),"⚠ Destino no registrado",IF(AND(P2661="Pago tarjeta",AE2661&lt;&gt;"Tarjeta de crédito"),"⚠ El destino debe ser tarjeta de crédito",IF(AND(P2661="Gasto",E2661="Depósitos y retiros"),"⚠ Usa tipo Transferencia",IF(AND(P2661="Resultado trading",AD2661&lt;&gt;"Cuenta de trading"),"⚠ Usa una cuenta de trading",IF(AND(G2661&lt;=0,P2661&lt;&gt;"Ajuste",P2661&lt;&gt;"Resultado trading"),"⚠ El monto debe ser positivo","✓")))))))))))))))</f>
        <v/>
      </c>
      <c r="P2661" s="52">
        <f>IF(OR(B2661="",G2661=""),"",IF(C2661="","Gasto",C2661))</f>
        <v/>
      </c>
      <c r="Q2661" s="52">
        <f>IF(P2661="","",IF(J2661&lt;&gt;"",J2661,CuentaPred&amp;""))</f>
        <v/>
      </c>
      <c r="R2661" s="52">
        <f>IF(P2661="","",IF(ISNUMBER(I2661),I2661,TasaUSD))</f>
        <v/>
      </c>
      <c r="S2661" s="53">
        <f>IF(P2661="","",IF(H2661="USD",G2661*R2661,G2661))</f>
        <v/>
      </c>
      <c r="T2661" s="53">
        <f>IF(P2661="","",IF(H2661="USD",G2661,IF(R2661&gt;0,G2661/R2661,0)))</f>
        <v/>
      </c>
      <c r="U2661" s="53">
        <f>IF(P2661="","",IF(P2661="Gasto",S2661,IF(P2661="Reembolso",-S2661,0)))</f>
        <v/>
      </c>
      <c r="V2661" s="53">
        <f>IF(P2661="","",IF(P2661="Ingreso",S2661,0))</f>
        <v/>
      </c>
      <c r="W2661" s="53">
        <f>IF(P2661="","",IF(P2661="Resultado trading",S2661,0))</f>
        <v/>
      </c>
      <c r="X2661" s="52">
        <f>IF(OR(P2661="Gasto",P2661="Reembolso"),IF(M2661&lt;&gt;"",M2661,IFERROR(INDEX(catClasif,MATCH(D2661&amp;"|"&amp;E2661,catClave,0))&amp;"","Variable")),"")</f>
        <v/>
      </c>
      <c r="Y2661" s="52">
        <f>IF(P2661="","",IFERROR(INDEX(catGrupo,MATCH(D2661&amp;"|"&amp;E2661,catClave,0))&amp;"",""))</f>
        <v/>
      </c>
      <c r="Z2661" s="52">
        <f>IF(P2661="","",WEEKDAY(B2661,2))</f>
        <v/>
      </c>
      <c r="AA2661" s="52">
        <f>IF(P2661="","",IF(AND(P2661="Gasto",X2661="Variable",D2661&lt;&gt;catTrading,S2661&gt;0,S2661&lt;=Umbral),1,0))</f>
        <v/>
      </c>
      <c r="AB2661" s="52">
        <f>IF(OR(P2661="",Q2661=""),"",IFERROR(IF(INDEX(ctaVinc,MATCH(Q2661,ctaNombre,0))&amp;""&lt;&gt;"",INDEX(ctaVinc,MATCH(Q2661,ctaNombre,0))&amp;"",Q2661),Q2661))</f>
        <v/>
      </c>
      <c r="AC2661" s="52">
        <f>IF(OR(K2661="",AND(P2661&lt;&gt;"Transferencia",P2661&lt;&gt;"Pago tarjeta")),"",IFERROR(IF(INDEX(ctaVinc,MATCH(K2661,ctaNombre,0))&amp;""&lt;&gt;"",INDEX(ctaVinc,MATCH(K2661,ctaNombre,0))&amp;"",K2661),K2661))</f>
        <v/>
      </c>
      <c r="AD2661" s="52">
        <f>IF(AB2661="","",IFERROR(INDEX(ctaTipo,MATCH(AB2661,ctaNombre,0))&amp;"",""))</f>
        <v/>
      </c>
      <c r="AE2661" s="52">
        <f>IF(AC2661="","",IFERROR(INDEX(ctaTipo,MATCH(AC2661,ctaNombre,0))&amp;"",""))</f>
        <v/>
      </c>
      <c r="AF2661" s="53">
        <f>IF(OR(P2661="",AB2661=""),"",IF(OR(P2661="Gasto",P2661="Transferencia",P2661="Pago tarjeta"),-1,1)*IF(IFERROR(INDEX(ctaMoneda,MATCH(AB2661,ctaNombre,0))&amp;"","DOP")="USD",T2661,S2661))</f>
        <v/>
      </c>
      <c r="AG2661" s="53">
        <f>IF(AC2661="","",IF(IFERROR(INDEX(ctaMoneda,MATCH(AC2661,ctaNombre,0))&amp;"","DOP")="USD",T2661,S2661))</f>
        <v/>
      </c>
      <c r="AH2661" s="53">
        <f>IF(P2661="","",IF(AND(AD2661&lt;&gt;"",COUNTIFS(tcTipo,AD2661,tcLiq,"Sí")&gt;0),IF(OR(P2661="Gasto",P2661="Transferencia",P2661="Pago tarjeta"),-1,1)*S2661,0)+IF(AND(AE2661&lt;&gt;"",COUNTIFS(tcTipo,AE2661,tcLiq,"Sí")&gt;0),S2661,0))</f>
        <v/>
      </c>
      <c r="AI2661" s="52">
        <f>IF(OR(L2661="",P2661=""),"",IF(COUNTIFS(L$6:L2661,L2661,P$6:P2661,"?*")=1,MAX(AI$5:AI2660)+1,""))</f>
        <v/>
      </c>
    </row>
    <row r="2662">
      <c r="B2662" s="47" t="n"/>
      <c r="C2662" s="48" t="n"/>
      <c r="D2662" s="48" t="n"/>
      <c r="E2662" s="48" t="n"/>
      <c r="F2662" s="48" t="n"/>
      <c r="G2662" s="49" t="n"/>
      <c r="H2662" s="48" t="n"/>
      <c r="I2662" s="50" t="n"/>
      <c r="J2662" s="48" t="n"/>
      <c r="K2662" s="48" t="n"/>
      <c r="L2662" s="48" t="n"/>
      <c r="M2662" s="48" t="n"/>
      <c r="N2662" s="48" t="n"/>
      <c r="O2662" s="51">
        <f>IF(AND(B2662="",G2662="",C2662="",D2662="",J2662=""),"",IF(B2662="","⚠ Falta fecha",IF(G2662="","⚠ Falta monto",IF(Q2662="","⚠ Falta cuenta",IF(ISNA(MATCH(Q2662,ctaNombre,0)),"⚠ Cuenta no registrada",IF(AND(OR(P2662="Gasto",P2662="Reembolso"),D2662=""),"⚠ Falta categoría",IF(AND(D2662&lt;&gt;"",E2662&lt;&gt;"",ISNA(MATCH(D2662&amp;"|"&amp;E2662,catClave,0))),"⚠ Subcategoría no corresponde",IF(AND(OR(P2662="Transferencia",P2662="Pago tarjeta"),K2662=""),"⚠ Falta cuenta destino",IF(AND(K2662&lt;&gt;"",P2662&lt;&gt;"Transferencia",P2662&lt;&gt;"Pago tarjeta"),"⚠ Destino solo aplica a transferencias",IF(AND(K2662&lt;&gt;"",K2662=Q2662),"⚠ Origen igual a destino",IF(AND(K2662&lt;&gt;"",ISNA(MATCH(K2662,ctaNombre,0))),"⚠ Destino no registrado",IF(AND(P2662="Pago tarjeta",AE2662&lt;&gt;"Tarjeta de crédito"),"⚠ El destino debe ser tarjeta de crédito",IF(AND(P2662="Gasto",E2662="Depósitos y retiros"),"⚠ Usa tipo Transferencia",IF(AND(P2662="Resultado trading",AD2662&lt;&gt;"Cuenta de trading"),"⚠ Usa una cuenta de trading",IF(AND(G2662&lt;=0,P2662&lt;&gt;"Ajuste",P2662&lt;&gt;"Resultado trading"),"⚠ El monto debe ser positivo","✓")))))))))))))))</f>
        <v/>
      </c>
      <c r="P2662" s="52">
        <f>IF(OR(B2662="",G2662=""),"",IF(C2662="","Gasto",C2662))</f>
        <v/>
      </c>
      <c r="Q2662" s="52">
        <f>IF(P2662="","",IF(J2662&lt;&gt;"",J2662,CuentaPred&amp;""))</f>
        <v/>
      </c>
      <c r="R2662" s="52">
        <f>IF(P2662="","",IF(ISNUMBER(I2662),I2662,TasaUSD))</f>
        <v/>
      </c>
      <c r="S2662" s="53">
        <f>IF(P2662="","",IF(H2662="USD",G2662*R2662,G2662))</f>
        <v/>
      </c>
      <c r="T2662" s="53">
        <f>IF(P2662="","",IF(H2662="USD",G2662,IF(R2662&gt;0,G2662/R2662,0)))</f>
        <v/>
      </c>
      <c r="U2662" s="53">
        <f>IF(P2662="","",IF(P2662="Gasto",S2662,IF(P2662="Reembolso",-S2662,0)))</f>
        <v/>
      </c>
      <c r="V2662" s="53">
        <f>IF(P2662="","",IF(P2662="Ingreso",S2662,0))</f>
        <v/>
      </c>
      <c r="W2662" s="53">
        <f>IF(P2662="","",IF(P2662="Resultado trading",S2662,0))</f>
        <v/>
      </c>
      <c r="X2662" s="52">
        <f>IF(OR(P2662="Gasto",P2662="Reembolso"),IF(M2662&lt;&gt;"",M2662,IFERROR(INDEX(catClasif,MATCH(D2662&amp;"|"&amp;E2662,catClave,0))&amp;"","Variable")),"")</f>
        <v/>
      </c>
      <c r="Y2662" s="52">
        <f>IF(P2662="","",IFERROR(INDEX(catGrupo,MATCH(D2662&amp;"|"&amp;E2662,catClave,0))&amp;"",""))</f>
        <v/>
      </c>
      <c r="Z2662" s="52">
        <f>IF(P2662="","",WEEKDAY(B2662,2))</f>
        <v/>
      </c>
      <c r="AA2662" s="52">
        <f>IF(P2662="","",IF(AND(P2662="Gasto",X2662="Variable",D2662&lt;&gt;catTrading,S2662&gt;0,S2662&lt;=Umbral),1,0))</f>
        <v/>
      </c>
      <c r="AB2662" s="52">
        <f>IF(OR(P2662="",Q2662=""),"",IFERROR(IF(INDEX(ctaVinc,MATCH(Q2662,ctaNombre,0))&amp;""&lt;&gt;"",INDEX(ctaVinc,MATCH(Q2662,ctaNombre,0))&amp;"",Q2662),Q2662))</f>
        <v/>
      </c>
      <c r="AC2662" s="52">
        <f>IF(OR(K2662="",AND(P2662&lt;&gt;"Transferencia",P2662&lt;&gt;"Pago tarjeta")),"",IFERROR(IF(INDEX(ctaVinc,MATCH(K2662,ctaNombre,0))&amp;""&lt;&gt;"",INDEX(ctaVinc,MATCH(K2662,ctaNombre,0))&amp;"",K2662),K2662))</f>
        <v/>
      </c>
      <c r="AD2662" s="52">
        <f>IF(AB2662="","",IFERROR(INDEX(ctaTipo,MATCH(AB2662,ctaNombre,0))&amp;"",""))</f>
        <v/>
      </c>
      <c r="AE2662" s="52">
        <f>IF(AC2662="","",IFERROR(INDEX(ctaTipo,MATCH(AC2662,ctaNombre,0))&amp;"",""))</f>
        <v/>
      </c>
      <c r="AF2662" s="53">
        <f>IF(OR(P2662="",AB2662=""),"",IF(OR(P2662="Gasto",P2662="Transferencia",P2662="Pago tarjeta"),-1,1)*IF(IFERROR(INDEX(ctaMoneda,MATCH(AB2662,ctaNombre,0))&amp;"","DOP")="USD",T2662,S2662))</f>
        <v/>
      </c>
      <c r="AG2662" s="53">
        <f>IF(AC2662="","",IF(IFERROR(INDEX(ctaMoneda,MATCH(AC2662,ctaNombre,0))&amp;"","DOP")="USD",T2662,S2662))</f>
        <v/>
      </c>
      <c r="AH2662" s="53">
        <f>IF(P2662="","",IF(AND(AD2662&lt;&gt;"",COUNTIFS(tcTipo,AD2662,tcLiq,"Sí")&gt;0),IF(OR(P2662="Gasto",P2662="Transferencia",P2662="Pago tarjeta"),-1,1)*S2662,0)+IF(AND(AE2662&lt;&gt;"",COUNTIFS(tcTipo,AE2662,tcLiq,"Sí")&gt;0),S2662,0))</f>
        <v/>
      </c>
      <c r="AI2662" s="52">
        <f>IF(OR(L2662="",P2662=""),"",IF(COUNTIFS(L$6:L2662,L2662,P$6:P2662,"?*")=1,MAX(AI$5:AI2661)+1,""))</f>
        <v/>
      </c>
    </row>
    <row r="2663">
      <c r="B2663" s="47" t="n"/>
      <c r="C2663" s="48" t="n"/>
      <c r="D2663" s="48" t="n"/>
      <c r="E2663" s="48" t="n"/>
      <c r="F2663" s="48" t="n"/>
      <c r="G2663" s="49" t="n"/>
      <c r="H2663" s="48" t="n"/>
      <c r="I2663" s="50" t="n"/>
      <c r="J2663" s="48" t="n"/>
      <c r="K2663" s="48" t="n"/>
      <c r="L2663" s="48" t="n"/>
      <c r="M2663" s="48" t="n"/>
      <c r="N2663" s="48" t="n"/>
      <c r="O2663" s="51">
        <f>IF(AND(B2663="",G2663="",C2663="",D2663="",J2663=""),"",IF(B2663="","⚠ Falta fecha",IF(G2663="","⚠ Falta monto",IF(Q2663="","⚠ Falta cuenta",IF(ISNA(MATCH(Q2663,ctaNombre,0)),"⚠ Cuenta no registrada",IF(AND(OR(P2663="Gasto",P2663="Reembolso"),D2663=""),"⚠ Falta categoría",IF(AND(D2663&lt;&gt;"",E2663&lt;&gt;"",ISNA(MATCH(D2663&amp;"|"&amp;E2663,catClave,0))),"⚠ Subcategoría no corresponde",IF(AND(OR(P2663="Transferencia",P2663="Pago tarjeta"),K2663=""),"⚠ Falta cuenta destino",IF(AND(K2663&lt;&gt;"",P2663&lt;&gt;"Transferencia",P2663&lt;&gt;"Pago tarjeta"),"⚠ Destino solo aplica a transferencias",IF(AND(K2663&lt;&gt;"",K2663=Q2663),"⚠ Origen igual a destino",IF(AND(K2663&lt;&gt;"",ISNA(MATCH(K2663,ctaNombre,0))),"⚠ Destino no registrado",IF(AND(P2663="Pago tarjeta",AE2663&lt;&gt;"Tarjeta de crédito"),"⚠ El destino debe ser tarjeta de crédito",IF(AND(P2663="Gasto",E2663="Depósitos y retiros"),"⚠ Usa tipo Transferencia",IF(AND(P2663="Resultado trading",AD2663&lt;&gt;"Cuenta de trading"),"⚠ Usa una cuenta de trading",IF(AND(G2663&lt;=0,P2663&lt;&gt;"Ajuste",P2663&lt;&gt;"Resultado trading"),"⚠ El monto debe ser positivo","✓")))))))))))))))</f>
        <v/>
      </c>
      <c r="P2663" s="52">
        <f>IF(OR(B2663="",G2663=""),"",IF(C2663="","Gasto",C2663))</f>
        <v/>
      </c>
      <c r="Q2663" s="52">
        <f>IF(P2663="","",IF(J2663&lt;&gt;"",J2663,CuentaPred&amp;""))</f>
        <v/>
      </c>
      <c r="R2663" s="52">
        <f>IF(P2663="","",IF(ISNUMBER(I2663),I2663,TasaUSD))</f>
        <v/>
      </c>
      <c r="S2663" s="53">
        <f>IF(P2663="","",IF(H2663="USD",G2663*R2663,G2663))</f>
        <v/>
      </c>
      <c r="T2663" s="53">
        <f>IF(P2663="","",IF(H2663="USD",G2663,IF(R2663&gt;0,G2663/R2663,0)))</f>
        <v/>
      </c>
      <c r="U2663" s="53">
        <f>IF(P2663="","",IF(P2663="Gasto",S2663,IF(P2663="Reembolso",-S2663,0)))</f>
        <v/>
      </c>
      <c r="V2663" s="53">
        <f>IF(P2663="","",IF(P2663="Ingreso",S2663,0))</f>
        <v/>
      </c>
      <c r="W2663" s="53">
        <f>IF(P2663="","",IF(P2663="Resultado trading",S2663,0))</f>
        <v/>
      </c>
      <c r="X2663" s="52">
        <f>IF(OR(P2663="Gasto",P2663="Reembolso"),IF(M2663&lt;&gt;"",M2663,IFERROR(INDEX(catClasif,MATCH(D2663&amp;"|"&amp;E2663,catClave,0))&amp;"","Variable")),"")</f>
        <v/>
      </c>
      <c r="Y2663" s="52">
        <f>IF(P2663="","",IFERROR(INDEX(catGrupo,MATCH(D2663&amp;"|"&amp;E2663,catClave,0))&amp;"",""))</f>
        <v/>
      </c>
      <c r="Z2663" s="52">
        <f>IF(P2663="","",WEEKDAY(B2663,2))</f>
        <v/>
      </c>
      <c r="AA2663" s="52">
        <f>IF(P2663="","",IF(AND(P2663="Gasto",X2663="Variable",D2663&lt;&gt;catTrading,S2663&gt;0,S2663&lt;=Umbral),1,0))</f>
        <v/>
      </c>
      <c r="AB2663" s="52">
        <f>IF(OR(P2663="",Q2663=""),"",IFERROR(IF(INDEX(ctaVinc,MATCH(Q2663,ctaNombre,0))&amp;""&lt;&gt;"",INDEX(ctaVinc,MATCH(Q2663,ctaNombre,0))&amp;"",Q2663),Q2663))</f>
        <v/>
      </c>
      <c r="AC2663" s="52">
        <f>IF(OR(K2663="",AND(P2663&lt;&gt;"Transferencia",P2663&lt;&gt;"Pago tarjeta")),"",IFERROR(IF(INDEX(ctaVinc,MATCH(K2663,ctaNombre,0))&amp;""&lt;&gt;"",INDEX(ctaVinc,MATCH(K2663,ctaNombre,0))&amp;"",K2663),K2663))</f>
        <v/>
      </c>
      <c r="AD2663" s="52">
        <f>IF(AB2663="","",IFERROR(INDEX(ctaTipo,MATCH(AB2663,ctaNombre,0))&amp;"",""))</f>
        <v/>
      </c>
      <c r="AE2663" s="52">
        <f>IF(AC2663="","",IFERROR(INDEX(ctaTipo,MATCH(AC2663,ctaNombre,0))&amp;"",""))</f>
        <v/>
      </c>
      <c r="AF2663" s="53">
        <f>IF(OR(P2663="",AB2663=""),"",IF(OR(P2663="Gasto",P2663="Transferencia",P2663="Pago tarjeta"),-1,1)*IF(IFERROR(INDEX(ctaMoneda,MATCH(AB2663,ctaNombre,0))&amp;"","DOP")="USD",T2663,S2663))</f>
        <v/>
      </c>
      <c r="AG2663" s="53">
        <f>IF(AC2663="","",IF(IFERROR(INDEX(ctaMoneda,MATCH(AC2663,ctaNombre,0))&amp;"","DOP")="USD",T2663,S2663))</f>
        <v/>
      </c>
      <c r="AH2663" s="53">
        <f>IF(P2663="","",IF(AND(AD2663&lt;&gt;"",COUNTIFS(tcTipo,AD2663,tcLiq,"Sí")&gt;0),IF(OR(P2663="Gasto",P2663="Transferencia",P2663="Pago tarjeta"),-1,1)*S2663,0)+IF(AND(AE2663&lt;&gt;"",COUNTIFS(tcTipo,AE2663,tcLiq,"Sí")&gt;0),S2663,0))</f>
        <v/>
      </c>
      <c r="AI2663" s="52">
        <f>IF(OR(L2663="",P2663=""),"",IF(COUNTIFS(L$6:L2663,L2663,P$6:P2663,"?*")=1,MAX(AI$5:AI2662)+1,""))</f>
        <v/>
      </c>
    </row>
    <row r="2664">
      <c r="B2664" s="47" t="n"/>
      <c r="C2664" s="48" t="n"/>
      <c r="D2664" s="48" t="n"/>
      <c r="E2664" s="48" t="n"/>
      <c r="F2664" s="48" t="n"/>
      <c r="G2664" s="49" t="n"/>
      <c r="H2664" s="48" t="n"/>
      <c r="I2664" s="50" t="n"/>
      <c r="J2664" s="48" t="n"/>
      <c r="K2664" s="48" t="n"/>
      <c r="L2664" s="48" t="n"/>
      <c r="M2664" s="48" t="n"/>
      <c r="N2664" s="48" t="n"/>
      <c r="O2664" s="51">
        <f>IF(AND(B2664="",G2664="",C2664="",D2664="",J2664=""),"",IF(B2664="","⚠ Falta fecha",IF(G2664="","⚠ Falta monto",IF(Q2664="","⚠ Falta cuenta",IF(ISNA(MATCH(Q2664,ctaNombre,0)),"⚠ Cuenta no registrada",IF(AND(OR(P2664="Gasto",P2664="Reembolso"),D2664=""),"⚠ Falta categoría",IF(AND(D2664&lt;&gt;"",E2664&lt;&gt;"",ISNA(MATCH(D2664&amp;"|"&amp;E2664,catClave,0))),"⚠ Subcategoría no corresponde",IF(AND(OR(P2664="Transferencia",P2664="Pago tarjeta"),K2664=""),"⚠ Falta cuenta destino",IF(AND(K2664&lt;&gt;"",P2664&lt;&gt;"Transferencia",P2664&lt;&gt;"Pago tarjeta"),"⚠ Destino solo aplica a transferencias",IF(AND(K2664&lt;&gt;"",K2664=Q2664),"⚠ Origen igual a destino",IF(AND(K2664&lt;&gt;"",ISNA(MATCH(K2664,ctaNombre,0))),"⚠ Destino no registrado",IF(AND(P2664="Pago tarjeta",AE2664&lt;&gt;"Tarjeta de crédito"),"⚠ El destino debe ser tarjeta de crédito",IF(AND(P2664="Gasto",E2664="Depósitos y retiros"),"⚠ Usa tipo Transferencia",IF(AND(P2664="Resultado trading",AD2664&lt;&gt;"Cuenta de trading"),"⚠ Usa una cuenta de trading",IF(AND(G2664&lt;=0,P2664&lt;&gt;"Ajuste",P2664&lt;&gt;"Resultado trading"),"⚠ El monto debe ser positivo","✓")))))))))))))))</f>
        <v/>
      </c>
      <c r="P2664" s="52">
        <f>IF(OR(B2664="",G2664=""),"",IF(C2664="","Gasto",C2664))</f>
        <v/>
      </c>
      <c r="Q2664" s="52">
        <f>IF(P2664="","",IF(J2664&lt;&gt;"",J2664,CuentaPred&amp;""))</f>
        <v/>
      </c>
      <c r="R2664" s="52">
        <f>IF(P2664="","",IF(ISNUMBER(I2664),I2664,TasaUSD))</f>
        <v/>
      </c>
      <c r="S2664" s="53">
        <f>IF(P2664="","",IF(H2664="USD",G2664*R2664,G2664))</f>
        <v/>
      </c>
      <c r="T2664" s="53">
        <f>IF(P2664="","",IF(H2664="USD",G2664,IF(R2664&gt;0,G2664/R2664,0)))</f>
        <v/>
      </c>
      <c r="U2664" s="53">
        <f>IF(P2664="","",IF(P2664="Gasto",S2664,IF(P2664="Reembolso",-S2664,0)))</f>
        <v/>
      </c>
      <c r="V2664" s="53">
        <f>IF(P2664="","",IF(P2664="Ingreso",S2664,0))</f>
        <v/>
      </c>
      <c r="W2664" s="53">
        <f>IF(P2664="","",IF(P2664="Resultado trading",S2664,0))</f>
        <v/>
      </c>
      <c r="X2664" s="52">
        <f>IF(OR(P2664="Gasto",P2664="Reembolso"),IF(M2664&lt;&gt;"",M2664,IFERROR(INDEX(catClasif,MATCH(D2664&amp;"|"&amp;E2664,catClave,0))&amp;"","Variable")),"")</f>
        <v/>
      </c>
      <c r="Y2664" s="52">
        <f>IF(P2664="","",IFERROR(INDEX(catGrupo,MATCH(D2664&amp;"|"&amp;E2664,catClave,0))&amp;"",""))</f>
        <v/>
      </c>
      <c r="Z2664" s="52">
        <f>IF(P2664="","",WEEKDAY(B2664,2))</f>
        <v/>
      </c>
      <c r="AA2664" s="52">
        <f>IF(P2664="","",IF(AND(P2664="Gasto",X2664="Variable",D2664&lt;&gt;catTrading,S2664&gt;0,S2664&lt;=Umbral),1,0))</f>
        <v/>
      </c>
      <c r="AB2664" s="52">
        <f>IF(OR(P2664="",Q2664=""),"",IFERROR(IF(INDEX(ctaVinc,MATCH(Q2664,ctaNombre,0))&amp;""&lt;&gt;"",INDEX(ctaVinc,MATCH(Q2664,ctaNombre,0))&amp;"",Q2664),Q2664))</f>
        <v/>
      </c>
      <c r="AC2664" s="52">
        <f>IF(OR(K2664="",AND(P2664&lt;&gt;"Transferencia",P2664&lt;&gt;"Pago tarjeta")),"",IFERROR(IF(INDEX(ctaVinc,MATCH(K2664,ctaNombre,0))&amp;""&lt;&gt;"",INDEX(ctaVinc,MATCH(K2664,ctaNombre,0))&amp;"",K2664),K2664))</f>
        <v/>
      </c>
      <c r="AD2664" s="52">
        <f>IF(AB2664="","",IFERROR(INDEX(ctaTipo,MATCH(AB2664,ctaNombre,0))&amp;"",""))</f>
        <v/>
      </c>
      <c r="AE2664" s="52">
        <f>IF(AC2664="","",IFERROR(INDEX(ctaTipo,MATCH(AC2664,ctaNombre,0))&amp;"",""))</f>
        <v/>
      </c>
      <c r="AF2664" s="53">
        <f>IF(OR(P2664="",AB2664=""),"",IF(OR(P2664="Gasto",P2664="Transferencia",P2664="Pago tarjeta"),-1,1)*IF(IFERROR(INDEX(ctaMoneda,MATCH(AB2664,ctaNombre,0))&amp;"","DOP")="USD",T2664,S2664))</f>
        <v/>
      </c>
      <c r="AG2664" s="53">
        <f>IF(AC2664="","",IF(IFERROR(INDEX(ctaMoneda,MATCH(AC2664,ctaNombre,0))&amp;"","DOP")="USD",T2664,S2664))</f>
        <v/>
      </c>
      <c r="AH2664" s="53">
        <f>IF(P2664="","",IF(AND(AD2664&lt;&gt;"",COUNTIFS(tcTipo,AD2664,tcLiq,"Sí")&gt;0),IF(OR(P2664="Gasto",P2664="Transferencia",P2664="Pago tarjeta"),-1,1)*S2664,0)+IF(AND(AE2664&lt;&gt;"",COUNTIFS(tcTipo,AE2664,tcLiq,"Sí")&gt;0),S2664,0))</f>
        <v/>
      </c>
      <c r="AI2664" s="52">
        <f>IF(OR(L2664="",P2664=""),"",IF(COUNTIFS(L$6:L2664,L2664,P$6:P2664,"?*")=1,MAX(AI$5:AI2663)+1,""))</f>
        <v/>
      </c>
    </row>
    <row r="2665">
      <c r="B2665" s="47" t="n"/>
      <c r="C2665" s="48" t="n"/>
      <c r="D2665" s="48" t="n"/>
      <c r="E2665" s="48" t="n"/>
      <c r="F2665" s="48" t="n"/>
      <c r="G2665" s="49" t="n"/>
      <c r="H2665" s="48" t="n"/>
      <c r="I2665" s="50" t="n"/>
      <c r="J2665" s="48" t="n"/>
      <c r="K2665" s="48" t="n"/>
      <c r="L2665" s="48" t="n"/>
      <c r="M2665" s="48" t="n"/>
      <c r="N2665" s="48" t="n"/>
      <c r="O2665" s="51">
        <f>IF(AND(B2665="",G2665="",C2665="",D2665="",J2665=""),"",IF(B2665="","⚠ Falta fecha",IF(G2665="","⚠ Falta monto",IF(Q2665="","⚠ Falta cuenta",IF(ISNA(MATCH(Q2665,ctaNombre,0)),"⚠ Cuenta no registrada",IF(AND(OR(P2665="Gasto",P2665="Reembolso"),D2665=""),"⚠ Falta categoría",IF(AND(D2665&lt;&gt;"",E2665&lt;&gt;"",ISNA(MATCH(D2665&amp;"|"&amp;E2665,catClave,0))),"⚠ Subcategoría no corresponde",IF(AND(OR(P2665="Transferencia",P2665="Pago tarjeta"),K2665=""),"⚠ Falta cuenta destino",IF(AND(K2665&lt;&gt;"",P2665&lt;&gt;"Transferencia",P2665&lt;&gt;"Pago tarjeta"),"⚠ Destino solo aplica a transferencias",IF(AND(K2665&lt;&gt;"",K2665=Q2665),"⚠ Origen igual a destino",IF(AND(K2665&lt;&gt;"",ISNA(MATCH(K2665,ctaNombre,0))),"⚠ Destino no registrado",IF(AND(P2665="Pago tarjeta",AE2665&lt;&gt;"Tarjeta de crédito"),"⚠ El destino debe ser tarjeta de crédito",IF(AND(P2665="Gasto",E2665="Depósitos y retiros"),"⚠ Usa tipo Transferencia",IF(AND(P2665="Resultado trading",AD2665&lt;&gt;"Cuenta de trading"),"⚠ Usa una cuenta de trading",IF(AND(G2665&lt;=0,P2665&lt;&gt;"Ajuste",P2665&lt;&gt;"Resultado trading"),"⚠ El monto debe ser positivo","✓")))))))))))))))</f>
        <v/>
      </c>
      <c r="P2665" s="52">
        <f>IF(OR(B2665="",G2665=""),"",IF(C2665="","Gasto",C2665))</f>
        <v/>
      </c>
      <c r="Q2665" s="52">
        <f>IF(P2665="","",IF(J2665&lt;&gt;"",J2665,CuentaPred&amp;""))</f>
        <v/>
      </c>
      <c r="R2665" s="52">
        <f>IF(P2665="","",IF(ISNUMBER(I2665),I2665,TasaUSD))</f>
        <v/>
      </c>
      <c r="S2665" s="53">
        <f>IF(P2665="","",IF(H2665="USD",G2665*R2665,G2665))</f>
        <v/>
      </c>
      <c r="T2665" s="53">
        <f>IF(P2665="","",IF(H2665="USD",G2665,IF(R2665&gt;0,G2665/R2665,0)))</f>
        <v/>
      </c>
      <c r="U2665" s="53">
        <f>IF(P2665="","",IF(P2665="Gasto",S2665,IF(P2665="Reembolso",-S2665,0)))</f>
        <v/>
      </c>
      <c r="V2665" s="53">
        <f>IF(P2665="","",IF(P2665="Ingreso",S2665,0))</f>
        <v/>
      </c>
      <c r="W2665" s="53">
        <f>IF(P2665="","",IF(P2665="Resultado trading",S2665,0))</f>
        <v/>
      </c>
      <c r="X2665" s="52">
        <f>IF(OR(P2665="Gasto",P2665="Reembolso"),IF(M2665&lt;&gt;"",M2665,IFERROR(INDEX(catClasif,MATCH(D2665&amp;"|"&amp;E2665,catClave,0))&amp;"","Variable")),"")</f>
        <v/>
      </c>
      <c r="Y2665" s="52">
        <f>IF(P2665="","",IFERROR(INDEX(catGrupo,MATCH(D2665&amp;"|"&amp;E2665,catClave,0))&amp;"",""))</f>
        <v/>
      </c>
      <c r="Z2665" s="52">
        <f>IF(P2665="","",WEEKDAY(B2665,2))</f>
        <v/>
      </c>
      <c r="AA2665" s="52">
        <f>IF(P2665="","",IF(AND(P2665="Gasto",X2665="Variable",D2665&lt;&gt;catTrading,S2665&gt;0,S2665&lt;=Umbral),1,0))</f>
        <v/>
      </c>
      <c r="AB2665" s="52">
        <f>IF(OR(P2665="",Q2665=""),"",IFERROR(IF(INDEX(ctaVinc,MATCH(Q2665,ctaNombre,0))&amp;""&lt;&gt;"",INDEX(ctaVinc,MATCH(Q2665,ctaNombre,0))&amp;"",Q2665),Q2665))</f>
        <v/>
      </c>
      <c r="AC2665" s="52">
        <f>IF(OR(K2665="",AND(P2665&lt;&gt;"Transferencia",P2665&lt;&gt;"Pago tarjeta")),"",IFERROR(IF(INDEX(ctaVinc,MATCH(K2665,ctaNombre,0))&amp;""&lt;&gt;"",INDEX(ctaVinc,MATCH(K2665,ctaNombre,0))&amp;"",K2665),K2665))</f>
        <v/>
      </c>
      <c r="AD2665" s="52">
        <f>IF(AB2665="","",IFERROR(INDEX(ctaTipo,MATCH(AB2665,ctaNombre,0))&amp;"",""))</f>
        <v/>
      </c>
      <c r="AE2665" s="52">
        <f>IF(AC2665="","",IFERROR(INDEX(ctaTipo,MATCH(AC2665,ctaNombre,0))&amp;"",""))</f>
        <v/>
      </c>
      <c r="AF2665" s="53">
        <f>IF(OR(P2665="",AB2665=""),"",IF(OR(P2665="Gasto",P2665="Transferencia",P2665="Pago tarjeta"),-1,1)*IF(IFERROR(INDEX(ctaMoneda,MATCH(AB2665,ctaNombre,0))&amp;"","DOP")="USD",T2665,S2665))</f>
        <v/>
      </c>
      <c r="AG2665" s="53">
        <f>IF(AC2665="","",IF(IFERROR(INDEX(ctaMoneda,MATCH(AC2665,ctaNombre,0))&amp;"","DOP")="USD",T2665,S2665))</f>
        <v/>
      </c>
      <c r="AH2665" s="53">
        <f>IF(P2665="","",IF(AND(AD2665&lt;&gt;"",COUNTIFS(tcTipo,AD2665,tcLiq,"Sí")&gt;0),IF(OR(P2665="Gasto",P2665="Transferencia",P2665="Pago tarjeta"),-1,1)*S2665,0)+IF(AND(AE2665&lt;&gt;"",COUNTIFS(tcTipo,AE2665,tcLiq,"Sí")&gt;0),S2665,0))</f>
        <v/>
      </c>
      <c r="AI2665" s="52">
        <f>IF(OR(L2665="",P2665=""),"",IF(COUNTIFS(L$6:L2665,L2665,P$6:P2665,"?*")=1,MAX(AI$5:AI2664)+1,""))</f>
        <v/>
      </c>
    </row>
    <row r="2666">
      <c r="B2666" s="47" t="n"/>
      <c r="C2666" s="48" t="n"/>
      <c r="D2666" s="48" t="n"/>
      <c r="E2666" s="48" t="n"/>
      <c r="F2666" s="48" t="n"/>
      <c r="G2666" s="49" t="n"/>
      <c r="H2666" s="48" t="n"/>
      <c r="I2666" s="50" t="n"/>
      <c r="J2666" s="48" t="n"/>
      <c r="K2666" s="48" t="n"/>
      <c r="L2666" s="48" t="n"/>
      <c r="M2666" s="48" t="n"/>
      <c r="N2666" s="48" t="n"/>
      <c r="O2666" s="51">
        <f>IF(AND(B2666="",G2666="",C2666="",D2666="",J2666=""),"",IF(B2666="","⚠ Falta fecha",IF(G2666="","⚠ Falta monto",IF(Q2666="","⚠ Falta cuenta",IF(ISNA(MATCH(Q2666,ctaNombre,0)),"⚠ Cuenta no registrada",IF(AND(OR(P2666="Gasto",P2666="Reembolso"),D2666=""),"⚠ Falta categoría",IF(AND(D2666&lt;&gt;"",E2666&lt;&gt;"",ISNA(MATCH(D2666&amp;"|"&amp;E2666,catClave,0))),"⚠ Subcategoría no corresponde",IF(AND(OR(P2666="Transferencia",P2666="Pago tarjeta"),K2666=""),"⚠ Falta cuenta destino",IF(AND(K2666&lt;&gt;"",P2666&lt;&gt;"Transferencia",P2666&lt;&gt;"Pago tarjeta"),"⚠ Destino solo aplica a transferencias",IF(AND(K2666&lt;&gt;"",K2666=Q2666),"⚠ Origen igual a destino",IF(AND(K2666&lt;&gt;"",ISNA(MATCH(K2666,ctaNombre,0))),"⚠ Destino no registrado",IF(AND(P2666="Pago tarjeta",AE2666&lt;&gt;"Tarjeta de crédito"),"⚠ El destino debe ser tarjeta de crédito",IF(AND(P2666="Gasto",E2666="Depósitos y retiros"),"⚠ Usa tipo Transferencia",IF(AND(P2666="Resultado trading",AD2666&lt;&gt;"Cuenta de trading"),"⚠ Usa una cuenta de trading",IF(AND(G2666&lt;=0,P2666&lt;&gt;"Ajuste",P2666&lt;&gt;"Resultado trading"),"⚠ El monto debe ser positivo","✓")))))))))))))))</f>
        <v/>
      </c>
      <c r="P2666" s="52">
        <f>IF(OR(B2666="",G2666=""),"",IF(C2666="","Gasto",C2666))</f>
        <v/>
      </c>
      <c r="Q2666" s="52">
        <f>IF(P2666="","",IF(J2666&lt;&gt;"",J2666,CuentaPred&amp;""))</f>
        <v/>
      </c>
      <c r="R2666" s="52">
        <f>IF(P2666="","",IF(ISNUMBER(I2666),I2666,TasaUSD))</f>
        <v/>
      </c>
      <c r="S2666" s="53">
        <f>IF(P2666="","",IF(H2666="USD",G2666*R2666,G2666))</f>
        <v/>
      </c>
      <c r="T2666" s="53">
        <f>IF(P2666="","",IF(H2666="USD",G2666,IF(R2666&gt;0,G2666/R2666,0)))</f>
        <v/>
      </c>
      <c r="U2666" s="53">
        <f>IF(P2666="","",IF(P2666="Gasto",S2666,IF(P2666="Reembolso",-S2666,0)))</f>
        <v/>
      </c>
      <c r="V2666" s="53">
        <f>IF(P2666="","",IF(P2666="Ingreso",S2666,0))</f>
        <v/>
      </c>
      <c r="W2666" s="53">
        <f>IF(P2666="","",IF(P2666="Resultado trading",S2666,0))</f>
        <v/>
      </c>
      <c r="X2666" s="52">
        <f>IF(OR(P2666="Gasto",P2666="Reembolso"),IF(M2666&lt;&gt;"",M2666,IFERROR(INDEX(catClasif,MATCH(D2666&amp;"|"&amp;E2666,catClave,0))&amp;"","Variable")),"")</f>
        <v/>
      </c>
      <c r="Y2666" s="52">
        <f>IF(P2666="","",IFERROR(INDEX(catGrupo,MATCH(D2666&amp;"|"&amp;E2666,catClave,0))&amp;"",""))</f>
        <v/>
      </c>
      <c r="Z2666" s="52">
        <f>IF(P2666="","",WEEKDAY(B2666,2))</f>
        <v/>
      </c>
      <c r="AA2666" s="52">
        <f>IF(P2666="","",IF(AND(P2666="Gasto",X2666="Variable",D2666&lt;&gt;catTrading,S2666&gt;0,S2666&lt;=Umbral),1,0))</f>
        <v/>
      </c>
      <c r="AB2666" s="52">
        <f>IF(OR(P2666="",Q2666=""),"",IFERROR(IF(INDEX(ctaVinc,MATCH(Q2666,ctaNombre,0))&amp;""&lt;&gt;"",INDEX(ctaVinc,MATCH(Q2666,ctaNombre,0))&amp;"",Q2666),Q2666))</f>
        <v/>
      </c>
      <c r="AC2666" s="52">
        <f>IF(OR(K2666="",AND(P2666&lt;&gt;"Transferencia",P2666&lt;&gt;"Pago tarjeta")),"",IFERROR(IF(INDEX(ctaVinc,MATCH(K2666,ctaNombre,0))&amp;""&lt;&gt;"",INDEX(ctaVinc,MATCH(K2666,ctaNombre,0))&amp;"",K2666),K2666))</f>
        <v/>
      </c>
      <c r="AD2666" s="52">
        <f>IF(AB2666="","",IFERROR(INDEX(ctaTipo,MATCH(AB2666,ctaNombre,0))&amp;"",""))</f>
        <v/>
      </c>
      <c r="AE2666" s="52">
        <f>IF(AC2666="","",IFERROR(INDEX(ctaTipo,MATCH(AC2666,ctaNombre,0))&amp;"",""))</f>
        <v/>
      </c>
      <c r="AF2666" s="53">
        <f>IF(OR(P2666="",AB2666=""),"",IF(OR(P2666="Gasto",P2666="Transferencia",P2666="Pago tarjeta"),-1,1)*IF(IFERROR(INDEX(ctaMoneda,MATCH(AB2666,ctaNombre,0))&amp;"","DOP")="USD",T2666,S2666))</f>
        <v/>
      </c>
      <c r="AG2666" s="53">
        <f>IF(AC2666="","",IF(IFERROR(INDEX(ctaMoneda,MATCH(AC2666,ctaNombre,0))&amp;"","DOP")="USD",T2666,S2666))</f>
        <v/>
      </c>
      <c r="AH2666" s="53">
        <f>IF(P2666="","",IF(AND(AD2666&lt;&gt;"",COUNTIFS(tcTipo,AD2666,tcLiq,"Sí")&gt;0),IF(OR(P2666="Gasto",P2666="Transferencia",P2666="Pago tarjeta"),-1,1)*S2666,0)+IF(AND(AE2666&lt;&gt;"",COUNTIFS(tcTipo,AE2666,tcLiq,"Sí")&gt;0),S2666,0))</f>
        <v/>
      </c>
      <c r="AI2666" s="52">
        <f>IF(OR(L2666="",P2666=""),"",IF(COUNTIFS(L$6:L2666,L2666,P$6:P2666,"?*")=1,MAX(AI$5:AI2665)+1,""))</f>
        <v/>
      </c>
    </row>
    <row r="2667">
      <c r="B2667" s="47" t="n"/>
      <c r="C2667" s="48" t="n"/>
      <c r="D2667" s="48" t="n"/>
      <c r="E2667" s="48" t="n"/>
      <c r="F2667" s="48" t="n"/>
      <c r="G2667" s="49" t="n"/>
      <c r="H2667" s="48" t="n"/>
      <c r="I2667" s="50" t="n"/>
      <c r="J2667" s="48" t="n"/>
      <c r="K2667" s="48" t="n"/>
      <c r="L2667" s="48" t="n"/>
      <c r="M2667" s="48" t="n"/>
      <c r="N2667" s="48" t="n"/>
      <c r="O2667" s="51">
        <f>IF(AND(B2667="",G2667="",C2667="",D2667="",J2667=""),"",IF(B2667="","⚠ Falta fecha",IF(G2667="","⚠ Falta monto",IF(Q2667="","⚠ Falta cuenta",IF(ISNA(MATCH(Q2667,ctaNombre,0)),"⚠ Cuenta no registrada",IF(AND(OR(P2667="Gasto",P2667="Reembolso"),D2667=""),"⚠ Falta categoría",IF(AND(D2667&lt;&gt;"",E2667&lt;&gt;"",ISNA(MATCH(D2667&amp;"|"&amp;E2667,catClave,0))),"⚠ Subcategoría no corresponde",IF(AND(OR(P2667="Transferencia",P2667="Pago tarjeta"),K2667=""),"⚠ Falta cuenta destino",IF(AND(K2667&lt;&gt;"",P2667&lt;&gt;"Transferencia",P2667&lt;&gt;"Pago tarjeta"),"⚠ Destino solo aplica a transferencias",IF(AND(K2667&lt;&gt;"",K2667=Q2667),"⚠ Origen igual a destino",IF(AND(K2667&lt;&gt;"",ISNA(MATCH(K2667,ctaNombre,0))),"⚠ Destino no registrado",IF(AND(P2667="Pago tarjeta",AE2667&lt;&gt;"Tarjeta de crédito"),"⚠ El destino debe ser tarjeta de crédito",IF(AND(P2667="Gasto",E2667="Depósitos y retiros"),"⚠ Usa tipo Transferencia",IF(AND(P2667="Resultado trading",AD2667&lt;&gt;"Cuenta de trading"),"⚠ Usa una cuenta de trading",IF(AND(G2667&lt;=0,P2667&lt;&gt;"Ajuste",P2667&lt;&gt;"Resultado trading"),"⚠ El monto debe ser positivo","✓")))))))))))))))</f>
        <v/>
      </c>
      <c r="P2667" s="52">
        <f>IF(OR(B2667="",G2667=""),"",IF(C2667="","Gasto",C2667))</f>
        <v/>
      </c>
      <c r="Q2667" s="52">
        <f>IF(P2667="","",IF(J2667&lt;&gt;"",J2667,CuentaPred&amp;""))</f>
        <v/>
      </c>
      <c r="R2667" s="52">
        <f>IF(P2667="","",IF(ISNUMBER(I2667),I2667,TasaUSD))</f>
        <v/>
      </c>
      <c r="S2667" s="53">
        <f>IF(P2667="","",IF(H2667="USD",G2667*R2667,G2667))</f>
        <v/>
      </c>
      <c r="T2667" s="53">
        <f>IF(P2667="","",IF(H2667="USD",G2667,IF(R2667&gt;0,G2667/R2667,0)))</f>
        <v/>
      </c>
      <c r="U2667" s="53">
        <f>IF(P2667="","",IF(P2667="Gasto",S2667,IF(P2667="Reembolso",-S2667,0)))</f>
        <v/>
      </c>
      <c r="V2667" s="53">
        <f>IF(P2667="","",IF(P2667="Ingreso",S2667,0))</f>
        <v/>
      </c>
      <c r="W2667" s="53">
        <f>IF(P2667="","",IF(P2667="Resultado trading",S2667,0))</f>
        <v/>
      </c>
      <c r="X2667" s="52">
        <f>IF(OR(P2667="Gasto",P2667="Reembolso"),IF(M2667&lt;&gt;"",M2667,IFERROR(INDEX(catClasif,MATCH(D2667&amp;"|"&amp;E2667,catClave,0))&amp;"","Variable")),"")</f>
        <v/>
      </c>
      <c r="Y2667" s="52">
        <f>IF(P2667="","",IFERROR(INDEX(catGrupo,MATCH(D2667&amp;"|"&amp;E2667,catClave,0))&amp;"",""))</f>
        <v/>
      </c>
      <c r="Z2667" s="52">
        <f>IF(P2667="","",WEEKDAY(B2667,2))</f>
        <v/>
      </c>
      <c r="AA2667" s="52">
        <f>IF(P2667="","",IF(AND(P2667="Gasto",X2667="Variable",D2667&lt;&gt;catTrading,S2667&gt;0,S2667&lt;=Umbral),1,0))</f>
        <v/>
      </c>
      <c r="AB2667" s="52">
        <f>IF(OR(P2667="",Q2667=""),"",IFERROR(IF(INDEX(ctaVinc,MATCH(Q2667,ctaNombre,0))&amp;""&lt;&gt;"",INDEX(ctaVinc,MATCH(Q2667,ctaNombre,0))&amp;"",Q2667),Q2667))</f>
        <v/>
      </c>
      <c r="AC2667" s="52">
        <f>IF(OR(K2667="",AND(P2667&lt;&gt;"Transferencia",P2667&lt;&gt;"Pago tarjeta")),"",IFERROR(IF(INDEX(ctaVinc,MATCH(K2667,ctaNombre,0))&amp;""&lt;&gt;"",INDEX(ctaVinc,MATCH(K2667,ctaNombre,0))&amp;"",K2667),K2667))</f>
        <v/>
      </c>
      <c r="AD2667" s="52">
        <f>IF(AB2667="","",IFERROR(INDEX(ctaTipo,MATCH(AB2667,ctaNombre,0))&amp;"",""))</f>
        <v/>
      </c>
      <c r="AE2667" s="52">
        <f>IF(AC2667="","",IFERROR(INDEX(ctaTipo,MATCH(AC2667,ctaNombre,0))&amp;"",""))</f>
        <v/>
      </c>
      <c r="AF2667" s="53">
        <f>IF(OR(P2667="",AB2667=""),"",IF(OR(P2667="Gasto",P2667="Transferencia",P2667="Pago tarjeta"),-1,1)*IF(IFERROR(INDEX(ctaMoneda,MATCH(AB2667,ctaNombre,0))&amp;"","DOP")="USD",T2667,S2667))</f>
        <v/>
      </c>
      <c r="AG2667" s="53">
        <f>IF(AC2667="","",IF(IFERROR(INDEX(ctaMoneda,MATCH(AC2667,ctaNombre,0))&amp;"","DOP")="USD",T2667,S2667))</f>
        <v/>
      </c>
      <c r="AH2667" s="53">
        <f>IF(P2667="","",IF(AND(AD2667&lt;&gt;"",COUNTIFS(tcTipo,AD2667,tcLiq,"Sí")&gt;0),IF(OR(P2667="Gasto",P2667="Transferencia",P2667="Pago tarjeta"),-1,1)*S2667,0)+IF(AND(AE2667&lt;&gt;"",COUNTIFS(tcTipo,AE2667,tcLiq,"Sí")&gt;0),S2667,0))</f>
        <v/>
      </c>
      <c r="AI2667" s="52">
        <f>IF(OR(L2667="",P2667=""),"",IF(COUNTIFS(L$6:L2667,L2667,P$6:P2667,"?*")=1,MAX(AI$5:AI2666)+1,""))</f>
        <v/>
      </c>
    </row>
    <row r="2668">
      <c r="B2668" s="47" t="n"/>
      <c r="C2668" s="48" t="n"/>
      <c r="D2668" s="48" t="n"/>
      <c r="E2668" s="48" t="n"/>
      <c r="F2668" s="48" t="n"/>
      <c r="G2668" s="49" t="n"/>
      <c r="H2668" s="48" t="n"/>
      <c r="I2668" s="50" t="n"/>
      <c r="J2668" s="48" t="n"/>
      <c r="K2668" s="48" t="n"/>
      <c r="L2668" s="48" t="n"/>
      <c r="M2668" s="48" t="n"/>
      <c r="N2668" s="48" t="n"/>
      <c r="O2668" s="51">
        <f>IF(AND(B2668="",G2668="",C2668="",D2668="",J2668=""),"",IF(B2668="","⚠ Falta fecha",IF(G2668="","⚠ Falta monto",IF(Q2668="","⚠ Falta cuenta",IF(ISNA(MATCH(Q2668,ctaNombre,0)),"⚠ Cuenta no registrada",IF(AND(OR(P2668="Gasto",P2668="Reembolso"),D2668=""),"⚠ Falta categoría",IF(AND(D2668&lt;&gt;"",E2668&lt;&gt;"",ISNA(MATCH(D2668&amp;"|"&amp;E2668,catClave,0))),"⚠ Subcategoría no corresponde",IF(AND(OR(P2668="Transferencia",P2668="Pago tarjeta"),K2668=""),"⚠ Falta cuenta destino",IF(AND(K2668&lt;&gt;"",P2668&lt;&gt;"Transferencia",P2668&lt;&gt;"Pago tarjeta"),"⚠ Destino solo aplica a transferencias",IF(AND(K2668&lt;&gt;"",K2668=Q2668),"⚠ Origen igual a destino",IF(AND(K2668&lt;&gt;"",ISNA(MATCH(K2668,ctaNombre,0))),"⚠ Destino no registrado",IF(AND(P2668="Pago tarjeta",AE2668&lt;&gt;"Tarjeta de crédito"),"⚠ El destino debe ser tarjeta de crédito",IF(AND(P2668="Gasto",E2668="Depósitos y retiros"),"⚠ Usa tipo Transferencia",IF(AND(P2668="Resultado trading",AD2668&lt;&gt;"Cuenta de trading"),"⚠ Usa una cuenta de trading",IF(AND(G2668&lt;=0,P2668&lt;&gt;"Ajuste",P2668&lt;&gt;"Resultado trading"),"⚠ El monto debe ser positivo","✓")))))))))))))))</f>
        <v/>
      </c>
      <c r="P2668" s="52">
        <f>IF(OR(B2668="",G2668=""),"",IF(C2668="","Gasto",C2668))</f>
        <v/>
      </c>
      <c r="Q2668" s="52">
        <f>IF(P2668="","",IF(J2668&lt;&gt;"",J2668,CuentaPred&amp;""))</f>
        <v/>
      </c>
      <c r="R2668" s="52">
        <f>IF(P2668="","",IF(ISNUMBER(I2668),I2668,TasaUSD))</f>
        <v/>
      </c>
      <c r="S2668" s="53">
        <f>IF(P2668="","",IF(H2668="USD",G2668*R2668,G2668))</f>
        <v/>
      </c>
      <c r="T2668" s="53">
        <f>IF(P2668="","",IF(H2668="USD",G2668,IF(R2668&gt;0,G2668/R2668,0)))</f>
        <v/>
      </c>
      <c r="U2668" s="53">
        <f>IF(P2668="","",IF(P2668="Gasto",S2668,IF(P2668="Reembolso",-S2668,0)))</f>
        <v/>
      </c>
      <c r="V2668" s="53">
        <f>IF(P2668="","",IF(P2668="Ingreso",S2668,0))</f>
        <v/>
      </c>
      <c r="W2668" s="53">
        <f>IF(P2668="","",IF(P2668="Resultado trading",S2668,0))</f>
        <v/>
      </c>
      <c r="X2668" s="52">
        <f>IF(OR(P2668="Gasto",P2668="Reembolso"),IF(M2668&lt;&gt;"",M2668,IFERROR(INDEX(catClasif,MATCH(D2668&amp;"|"&amp;E2668,catClave,0))&amp;"","Variable")),"")</f>
        <v/>
      </c>
      <c r="Y2668" s="52">
        <f>IF(P2668="","",IFERROR(INDEX(catGrupo,MATCH(D2668&amp;"|"&amp;E2668,catClave,0))&amp;"",""))</f>
        <v/>
      </c>
      <c r="Z2668" s="52">
        <f>IF(P2668="","",WEEKDAY(B2668,2))</f>
        <v/>
      </c>
      <c r="AA2668" s="52">
        <f>IF(P2668="","",IF(AND(P2668="Gasto",X2668="Variable",D2668&lt;&gt;catTrading,S2668&gt;0,S2668&lt;=Umbral),1,0))</f>
        <v/>
      </c>
      <c r="AB2668" s="52">
        <f>IF(OR(P2668="",Q2668=""),"",IFERROR(IF(INDEX(ctaVinc,MATCH(Q2668,ctaNombre,0))&amp;""&lt;&gt;"",INDEX(ctaVinc,MATCH(Q2668,ctaNombre,0))&amp;"",Q2668),Q2668))</f>
        <v/>
      </c>
      <c r="AC2668" s="52">
        <f>IF(OR(K2668="",AND(P2668&lt;&gt;"Transferencia",P2668&lt;&gt;"Pago tarjeta")),"",IFERROR(IF(INDEX(ctaVinc,MATCH(K2668,ctaNombre,0))&amp;""&lt;&gt;"",INDEX(ctaVinc,MATCH(K2668,ctaNombre,0))&amp;"",K2668),K2668))</f>
        <v/>
      </c>
      <c r="AD2668" s="52">
        <f>IF(AB2668="","",IFERROR(INDEX(ctaTipo,MATCH(AB2668,ctaNombre,0))&amp;"",""))</f>
        <v/>
      </c>
      <c r="AE2668" s="52">
        <f>IF(AC2668="","",IFERROR(INDEX(ctaTipo,MATCH(AC2668,ctaNombre,0))&amp;"",""))</f>
        <v/>
      </c>
      <c r="AF2668" s="53">
        <f>IF(OR(P2668="",AB2668=""),"",IF(OR(P2668="Gasto",P2668="Transferencia",P2668="Pago tarjeta"),-1,1)*IF(IFERROR(INDEX(ctaMoneda,MATCH(AB2668,ctaNombre,0))&amp;"","DOP")="USD",T2668,S2668))</f>
        <v/>
      </c>
      <c r="AG2668" s="53">
        <f>IF(AC2668="","",IF(IFERROR(INDEX(ctaMoneda,MATCH(AC2668,ctaNombre,0))&amp;"","DOP")="USD",T2668,S2668))</f>
        <v/>
      </c>
      <c r="AH2668" s="53">
        <f>IF(P2668="","",IF(AND(AD2668&lt;&gt;"",COUNTIFS(tcTipo,AD2668,tcLiq,"Sí")&gt;0),IF(OR(P2668="Gasto",P2668="Transferencia",P2668="Pago tarjeta"),-1,1)*S2668,0)+IF(AND(AE2668&lt;&gt;"",COUNTIFS(tcTipo,AE2668,tcLiq,"Sí")&gt;0),S2668,0))</f>
        <v/>
      </c>
      <c r="AI2668" s="52">
        <f>IF(OR(L2668="",P2668=""),"",IF(COUNTIFS(L$6:L2668,L2668,P$6:P2668,"?*")=1,MAX(AI$5:AI2667)+1,""))</f>
        <v/>
      </c>
    </row>
    <row r="2669">
      <c r="B2669" s="47" t="n"/>
      <c r="C2669" s="48" t="n"/>
      <c r="D2669" s="48" t="n"/>
      <c r="E2669" s="48" t="n"/>
      <c r="F2669" s="48" t="n"/>
      <c r="G2669" s="49" t="n"/>
      <c r="H2669" s="48" t="n"/>
      <c r="I2669" s="50" t="n"/>
      <c r="J2669" s="48" t="n"/>
      <c r="K2669" s="48" t="n"/>
      <c r="L2669" s="48" t="n"/>
      <c r="M2669" s="48" t="n"/>
      <c r="N2669" s="48" t="n"/>
      <c r="O2669" s="51">
        <f>IF(AND(B2669="",G2669="",C2669="",D2669="",J2669=""),"",IF(B2669="","⚠ Falta fecha",IF(G2669="","⚠ Falta monto",IF(Q2669="","⚠ Falta cuenta",IF(ISNA(MATCH(Q2669,ctaNombre,0)),"⚠ Cuenta no registrada",IF(AND(OR(P2669="Gasto",P2669="Reembolso"),D2669=""),"⚠ Falta categoría",IF(AND(D2669&lt;&gt;"",E2669&lt;&gt;"",ISNA(MATCH(D2669&amp;"|"&amp;E2669,catClave,0))),"⚠ Subcategoría no corresponde",IF(AND(OR(P2669="Transferencia",P2669="Pago tarjeta"),K2669=""),"⚠ Falta cuenta destino",IF(AND(K2669&lt;&gt;"",P2669&lt;&gt;"Transferencia",P2669&lt;&gt;"Pago tarjeta"),"⚠ Destino solo aplica a transferencias",IF(AND(K2669&lt;&gt;"",K2669=Q2669),"⚠ Origen igual a destino",IF(AND(K2669&lt;&gt;"",ISNA(MATCH(K2669,ctaNombre,0))),"⚠ Destino no registrado",IF(AND(P2669="Pago tarjeta",AE2669&lt;&gt;"Tarjeta de crédito"),"⚠ El destino debe ser tarjeta de crédito",IF(AND(P2669="Gasto",E2669="Depósitos y retiros"),"⚠ Usa tipo Transferencia",IF(AND(P2669="Resultado trading",AD2669&lt;&gt;"Cuenta de trading"),"⚠ Usa una cuenta de trading",IF(AND(G2669&lt;=0,P2669&lt;&gt;"Ajuste",P2669&lt;&gt;"Resultado trading"),"⚠ El monto debe ser positivo","✓")))))))))))))))</f>
        <v/>
      </c>
      <c r="P2669" s="52">
        <f>IF(OR(B2669="",G2669=""),"",IF(C2669="","Gasto",C2669))</f>
        <v/>
      </c>
      <c r="Q2669" s="52">
        <f>IF(P2669="","",IF(J2669&lt;&gt;"",J2669,CuentaPred&amp;""))</f>
        <v/>
      </c>
      <c r="R2669" s="52">
        <f>IF(P2669="","",IF(ISNUMBER(I2669),I2669,TasaUSD))</f>
        <v/>
      </c>
      <c r="S2669" s="53">
        <f>IF(P2669="","",IF(H2669="USD",G2669*R2669,G2669))</f>
        <v/>
      </c>
      <c r="T2669" s="53">
        <f>IF(P2669="","",IF(H2669="USD",G2669,IF(R2669&gt;0,G2669/R2669,0)))</f>
        <v/>
      </c>
      <c r="U2669" s="53">
        <f>IF(P2669="","",IF(P2669="Gasto",S2669,IF(P2669="Reembolso",-S2669,0)))</f>
        <v/>
      </c>
      <c r="V2669" s="53">
        <f>IF(P2669="","",IF(P2669="Ingreso",S2669,0))</f>
        <v/>
      </c>
      <c r="W2669" s="53">
        <f>IF(P2669="","",IF(P2669="Resultado trading",S2669,0))</f>
        <v/>
      </c>
      <c r="X2669" s="52">
        <f>IF(OR(P2669="Gasto",P2669="Reembolso"),IF(M2669&lt;&gt;"",M2669,IFERROR(INDEX(catClasif,MATCH(D2669&amp;"|"&amp;E2669,catClave,0))&amp;"","Variable")),"")</f>
        <v/>
      </c>
      <c r="Y2669" s="52">
        <f>IF(P2669="","",IFERROR(INDEX(catGrupo,MATCH(D2669&amp;"|"&amp;E2669,catClave,0))&amp;"",""))</f>
        <v/>
      </c>
      <c r="Z2669" s="52">
        <f>IF(P2669="","",WEEKDAY(B2669,2))</f>
        <v/>
      </c>
      <c r="AA2669" s="52">
        <f>IF(P2669="","",IF(AND(P2669="Gasto",X2669="Variable",D2669&lt;&gt;catTrading,S2669&gt;0,S2669&lt;=Umbral),1,0))</f>
        <v/>
      </c>
      <c r="AB2669" s="52">
        <f>IF(OR(P2669="",Q2669=""),"",IFERROR(IF(INDEX(ctaVinc,MATCH(Q2669,ctaNombre,0))&amp;""&lt;&gt;"",INDEX(ctaVinc,MATCH(Q2669,ctaNombre,0))&amp;"",Q2669),Q2669))</f>
        <v/>
      </c>
      <c r="AC2669" s="52">
        <f>IF(OR(K2669="",AND(P2669&lt;&gt;"Transferencia",P2669&lt;&gt;"Pago tarjeta")),"",IFERROR(IF(INDEX(ctaVinc,MATCH(K2669,ctaNombre,0))&amp;""&lt;&gt;"",INDEX(ctaVinc,MATCH(K2669,ctaNombre,0))&amp;"",K2669),K2669))</f>
        <v/>
      </c>
      <c r="AD2669" s="52">
        <f>IF(AB2669="","",IFERROR(INDEX(ctaTipo,MATCH(AB2669,ctaNombre,0))&amp;"",""))</f>
        <v/>
      </c>
      <c r="AE2669" s="52">
        <f>IF(AC2669="","",IFERROR(INDEX(ctaTipo,MATCH(AC2669,ctaNombre,0))&amp;"",""))</f>
        <v/>
      </c>
      <c r="AF2669" s="53">
        <f>IF(OR(P2669="",AB2669=""),"",IF(OR(P2669="Gasto",P2669="Transferencia",P2669="Pago tarjeta"),-1,1)*IF(IFERROR(INDEX(ctaMoneda,MATCH(AB2669,ctaNombre,0))&amp;"","DOP")="USD",T2669,S2669))</f>
        <v/>
      </c>
      <c r="AG2669" s="53">
        <f>IF(AC2669="","",IF(IFERROR(INDEX(ctaMoneda,MATCH(AC2669,ctaNombre,0))&amp;"","DOP")="USD",T2669,S2669))</f>
        <v/>
      </c>
      <c r="AH2669" s="53">
        <f>IF(P2669="","",IF(AND(AD2669&lt;&gt;"",COUNTIFS(tcTipo,AD2669,tcLiq,"Sí")&gt;0),IF(OR(P2669="Gasto",P2669="Transferencia",P2669="Pago tarjeta"),-1,1)*S2669,0)+IF(AND(AE2669&lt;&gt;"",COUNTIFS(tcTipo,AE2669,tcLiq,"Sí")&gt;0),S2669,0))</f>
        <v/>
      </c>
      <c r="AI2669" s="52">
        <f>IF(OR(L2669="",P2669=""),"",IF(COUNTIFS(L$6:L2669,L2669,P$6:P2669,"?*")=1,MAX(AI$5:AI2668)+1,""))</f>
        <v/>
      </c>
    </row>
    <row r="2670">
      <c r="B2670" s="47" t="n"/>
      <c r="C2670" s="48" t="n"/>
      <c r="D2670" s="48" t="n"/>
      <c r="E2670" s="48" t="n"/>
      <c r="F2670" s="48" t="n"/>
      <c r="G2670" s="49" t="n"/>
      <c r="H2670" s="48" t="n"/>
      <c r="I2670" s="50" t="n"/>
      <c r="J2670" s="48" t="n"/>
      <c r="K2670" s="48" t="n"/>
      <c r="L2670" s="48" t="n"/>
      <c r="M2670" s="48" t="n"/>
      <c r="N2670" s="48" t="n"/>
      <c r="O2670" s="51">
        <f>IF(AND(B2670="",G2670="",C2670="",D2670="",J2670=""),"",IF(B2670="","⚠ Falta fecha",IF(G2670="","⚠ Falta monto",IF(Q2670="","⚠ Falta cuenta",IF(ISNA(MATCH(Q2670,ctaNombre,0)),"⚠ Cuenta no registrada",IF(AND(OR(P2670="Gasto",P2670="Reembolso"),D2670=""),"⚠ Falta categoría",IF(AND(D2670&lt;&gt;"",E2670&lt;&gt;"",ISNA(MATCH(D2670&amp;"|"&amp;E2670,catClave,0))),"⚠ Subcategoría no corresponde",IF(AND(OR(P2670="Transferencia",P2670="Pago tarjeta"),K2670=""),"⚠ Falta cuenta destino",IF(AND(K2670&lt;&gt;"",P2670&lt;&gt;"Transferencia",P2670&lt;&gt;"Pago tarjeta"),"⚠ Destino solo aplica a transferencias",IF(AND(K2670&lt;&gt;"",K2670=Q2670),"⚠ Origen igual a destino",IF(AND(K2670&lt;&gt;"",ISNA(MATCH(K2670,ctaNombre,0))),"⚠ Destino no registrado",IF(AND(P2670="Pago tarjeta",AE2670&lt;&gt;"Tarjeta de crédito"),"⚠ El destino debe ser tarjeta de crédito",IF(AND(P2670="Gasto",E2670="Depósitos y retiros"),"⚠ Usa tipo Transferencia",IF(AND(P2670="Resultado trading",AD2670&lt;&gt;"Cuenta de trading"),"⚠ Usa una cuenta de trading",IF(AND(G2670&lt;=0,P2670&lt;&gt;"Ajuste",P2670&lt;&gt;"Resultado trading"),"⚠ El monto debe ser positivo","✓")))))))))))))))</f>
        <v/>
      </c>
      <c r="P2670" s="52">
        <f>IF(OR(B2670="",G2670=""),"",IF(C2670="","Gasto",C2670))</f>
        <v/>
      </c>
      <c r="Q2670" s="52">
        <f>IF(P2670="","",IF(J2670&lt;&gt;"",J2670,CuentaPred&amp;""))</f>
        <v/>
      </c>
      <c r="R2670" s="52">
        <f>IF(P2670="","",IF(ISNUMBER(I2670),I2670,TasaUSD))</f>
        <v/>
      </c>
      <c r="S2670" s="53">
        <f>IF(P2670="","",IF(H2670="USD",G2670*R2670,G2670))</f>
        <v/>
      </c>
      <c r="T2670" s="53">
        <f>IF(P2670="","",IF(H2670="USD",G2670,IF(R2670&gt;0,G2670/R2670,0)))</f>
        <v/>
      </c>
      <c r="U2670" s="53">
        <f>IF(P2670="","",IF(P2670="Gasto",S2670,IF(P2670="Reembolso",-S2670,0)))</f>
        <v/>
      </c>
      <c r="V2670" s="53">
        <f>IF(P2670="","",IF(P2670="Ingreso",S2670,0))</f>
        <v/>
      </c>
      <c r="W2670" s="53">
        <f>IF(P2670="","",IF(P2670="Resultado trading",S2670,0))</f>
        <v/>
      </c>
      <c r="X2670" s="52">
        <f>IF(OR(P2670="Gasto",P2670="Reembolso"),IF(M2670&lt;&gt;"",M2670,IFERROR(INDEX(catClasif,MATCH(D2670&amp;"|"&amp;E2670,catClave,0))&amp;"","Variable")),"")</f>
        <v/>
      </c>
      <c r="Y2670" s="52">
        <f>IF(P2670="","",IFERROR(INDEX(catGrupo,MATCH(D2670&amp;"|"&amp;E2670,catClave,0))&amp;"",""))</f>
        <v/>
      </c>
      <c r="Z2670" s="52">
        <f>IF(P2670="","",WEEKDAY(B2670,2))</f>
        <v/>
      </c>
      <c r="AA2670" s="52">
        <f>IF(P2670="","",IF(AND(P2670="Gasto",X2670="Variable",D2670&lt;&gt;catTrading,S2670&gt;0,S2670&lt;=Umbral),1,0))</f>
        <v/>
      </c>
      <c r="AB2670" s="52">
        <f>IF(OR(P2670="",Q2670=""),"",IFERROR(IF(INDEX(ctaVinc,MATCH(Q2670,ctaNombre,0))&amp;""&lt;&gt;"",INDEX(ctaVinc,MATCH(Q2670,ctaNombre,0))&amp;"",Q2670),Q2670))</f>
        <v/>
      </c>
      <c r="AC2670" s="52">
        <f>IF(OR(K2670="",AND(P2670&lt;&gt;"Transferencia",P2670&lt;&gt;"Pago tarjeta")),"",IFERROR(IF(INDEX(ctaVinc,MATCH(K2670,ctaNombre,0))&amp;""&lt;&gt;"",INDEX(ctaVinc,MATCH(K2670,ctaNombre,0))&amp;"",K2670),K2670))</f>
        <v/>
      </c>
      <c r="AD2670" s="52">
        <f>IF(AB2670="","",IFERROR(INDEX(ctaTipo,MATCH(AB2670,ctaNombre,0))&amp;"",""))</f>
        <v/>
      </c>
      <c r="AE2670" s="52">
        <f>IF(AC2670="","",IFERROR(INDEX(ctaTipo,MATCH(AC2670,ctaNombre,0))&amp;"",""))</f>
        <v/>
      </c>
      <c r="AF2670" s="53">
        <f>IF(OR(P2670="",AB2670=""),"",IF(OR(P2670="Gasto",P2670="Transferencia",P2670="Pago tarjeta"),-1,1)*IF(IFERROR(INDEX(ctaMoneda,MATCH(AB2670,ctaNombre,0))&amp;"","DOP")="USD",T2670,S2670))</f>
        <v/>
      </c>
      <c r="AG2670" s="53">
        <f>IF(AC2670="","",IF(IFERROR(INDEX(ctaMoneda,MATCH(AC2670,ctaNombre,0))&amp;"","DOP")="USD",T2670,S2670))</f>
        <v/>
      </c>
      <c r="AH2670" s="53">
        <f>IF(P2670="","",IF(AND(AD2670&lt;&gt;"",COUNTIFS(tcTipo,AD2670,tcLiq,"Sí")&gt;0),IF(OR(P2670="Gasto",P2670="Transferencia",P2670="Pago tarjeta"),-1,1)*S2670,0)+IF(AND(AE2670&lt;&gt;"",COUNTIFS(tcTipo,AE2670,tcLiq,"Sí")&gt;0),S2670,0))</f>
        <v/>
      </c>
      <c r="AI2670" s="52">
        <f>IF(OR(L2670="",P2670=""),"",IF(COUNTIFS(L$6:L2670,L2670,P$6:P2670,"?*")=1,MAX(AI$5:AI2669)+1,""))</f>
        <v/>
      </c>
    </row>
    <row r="2671">
      <c r="B2671" s="47" t="n"/>
      <c r="C2671" s="48" t="n"/>
      <c r="D2671" s="48" t="n"/>
      <c r="E2671" s="48" t="n"/>
      <c r="F2671" s="48" t="n"/>
      <c r="G2671" s="49" t="n"/>
      <c r="H2671" s="48" t="n"/>
      <c r="I2671" s="50" t="n"/>
      <c r="J2671" s="48" t="n"/>
      <c r="K2671" s="48" t="n"/>
      <c r="L2671" s="48" t="n"/>
      <c r="M2671" s="48" t="n"/>
      <c r="N2671" s="48" t="n"/>
      <c r="O2671" s="51">
        <f>IF(AND(B2671="",G2671="",C2671="",D2671="",J2671=""),"",IF(B2671="","⚠ Falta fecha",IF(G2671="","⚠ Falta monto",IF(Q2671="","⚠ Falta cuenta",IF(ISNA(MATCH(Q2671,ctaNombre,0)),"⚠ Cuenta no registrada",IF(AND(OR(P2671="Gasto",P2671="Reembolso"),D2671=""),"⚠ Falta categoría",IF(AND(D2671&lt;&gt;"",E2671&lt;&gt;"",ISNA(MATCH(D2671&amp;"|"&amp;E2671,catClave,0))),"⚠ Subcategoría no corresponde",IF(AND(OR(P2671="Transferencia",P2671="Pago tarjeta"),K2671=""),"⚠ Falta cuenta destino",IF(AND(K2671&lt;&gt;"",P2671&lt;&gt;"Transferencia",P2671&lt;&gt;"Pago tarjeta"),"⚠ Destino solo aplica a transferencias",IF(AND(K2671&lt;&gt;"",K2671=Q2671),"⚠ Origen igual a destino",IF(AND(K2671&lt;&gt;"",ISNA(MATCH(K2671,ctaNombre,0))),"⚠ Destino no registrado",IF(AND(P2671="Pago tarjeta",AE2671&lt;&gt;"Tarjeta de crédito"),"⚠ El destino debe ser tarjeta de crédito",IF(AND(P2671="Gasto",E2671="Depósitos y retiros"),"⚠ Usa tipo Transferencia",IF(AND(P2671="Resultado trading",AD2671&lt;&gt;"Cuenta de trading"),"⚠ Usa una cuenta de trading",IF(AND(G2671&lt;=0,P2671&lt;&gt;"Ajuste",P2671&lt;&gt;"Resultado trading"),"⚠ El monto debe ser positivo","✓")))))))))))))))</f>
        <v/>
      </c>
      <c r="P2671" s="52">
        <f>IF(OR(B2671="",G2671=""),"",IF(C2671="","Gasto",C2671))</f>
        <v/>
      </c>
      <c r="Q2671" s="52">
        <f>IF(P2671="","",IF(J2671&lt;&gt;"",J2671,CuentaPred&amp;""))</f>
        <v/>
      </c>
      <c r="R2671" s="52">
        <f>IF(P2671="","",IF(ISNUMBER(I2671),I2671,TasaUSD))</f>
        <v/>
      </c>
      <c r="S2671" s="53">
        <f>IF(P2671="","",IF(H2671="USD",G2671*R2671,G2671))</f>
        <v/>
      </c>
      <c r="T2671" s="53">
        <f>IF(P2671="","",IF(H2671="USD",G2671,IF(R2671&gt;0,G2671/R2671,0)))</f>
        <v/>
      </c>
      <c r="U2671" s="53">
        <f>IF(P2671="","",IF(P2671="Gasto",S2671,IF(P2671="Reembolso",-S2671,0)))</f>
        <v/>
      </c>
      <c r="V2671" s="53">
        <f>IF(P2671="","",IF(P2671="Ingreso",S2671,0))</f>
        <v/>
      </c>
      <c r="W2671" s="53">
        <f>IF(P2671="","",IF(P2671="Resultado trading",S2671,0))</f>
        <v/>
      </c>
      <c r="X2671" s="52">
        <f>IF(OR(P2671="Gasto",P2671="Reembolso"),IF(M2671&lt;&gt;"",M2671,IFERROR(INDEX(catClasif,MATCH(D2671&amp;"|"&amp;E2671,catClave,0))&amp;"","Variable")),"")</f>
        <v/>
      </c>
      <c r="Y2671" s="52">
        <f>IF(P2671="","",IFERROR(INDEX(catGrupo,MATCH(D2671&amp;"|"&amp;E2671,catClave,0))&amp;"",""))</f>
        <v/>
      </c>
      <c r="Z2671" s="52">
        <f>IF(P2671="","",WEEKDAY(B2671,2))</f>
        <v/>
      </c>
      <c r="AA2671" s="52">
        <f>IF(P2671="","",IF(AND(P2671="Gasto",X2671="Variable",D2671&lt;&gt;catTrading,S2671&gt;0,S2671&lt;=Umbral),1,0))</f>
        <v/>
      </c>
      <c r="AB2671" s="52">
        <f>IF(OR(P2671="",Q2671=""),"",IFERROR(IF(INDEX(ctaVinc,MATCH(Q2671,ctaNombre,0))&amp;""&lt;&gt;"",INDEX(ctaVinc,MATCH(Q2671,ctaNombre,0))&amp;"",Q2671),Q2671))</f>
        <v/>
      </c>
      <c r="AC2671" s="52">
        <f>IF(OR(K2671="",AND(P2671&lt;&gt;"Transferencia",P2671&lt;&gt;"Pago tarjeta")),"",IFERROR(IF(INDEX(ctaVinc,MATCH(K2671,ctaNombre,0))&amp;""&lt;&gt;"",INDEX(ctaVinc,MATCH(K2671,ctaNombre,0))&amp;"",K2671),K2671))</f>
        <v/>
      </c>
      <c r="AD2671" s="52">
        <f>IF(AB2671="","",IFERROR(INDEX(ctaTipo,MATCH(AB2671,ctaNombre,0))&amp;"",""))</f>
        <v/>
      </c>
      <c r="AE2671" s="52">
        <f>IF(AC2671="","",IFERROR(INDEX(ctaTipo,MATCH(AC2671,ctaNombre,0))&amp;"",""))</f>
        <v/>
      </c>
      <c r="AF2671" s="53">
        <f>IF(OR(P2671="",AB2671=""),"",IF(OR(P2671="Gasto",P2671="Transferencia",P2671="Pago tarjeta"),-1,1)*IF(IFERROR(INDEX(ctaMoneda,MATCH(AB2671,ctaNombre,0))&amp;"","DOP")="USD",T2671,S2671))</f>
        <v/>
      </c>
      <c r="AG2671" s="53">
        <f>IF(AC2671="","",IF(IFERROR(INDEX(ctaMoneda,MATCH(AC2671,ctaNombre,0))&amp;"","DOP")="USD",T2671,S2671))</f>
        <v/>
      </c>
      <c r="AH2671" s="53">
        <f>IF(P2671="","",IF(AND(AD2671&lt;&gt;"",COUNTIFS(tcTipo,AD2671,tcLiq,"Sí")&gt;0),IF(OR(P2671="Gasto",P2671="Transferencia",P2671="Pago tarjeta"),-1,1)*S2671,0)+IF(AND(AE2671&lt;&gt;"",COUNTIFS(tcTipo,AE2671,tcLiq,"Sí")&gt;0),S2671,0))</f>
        <v/>
      </c>
      <c r="AI2671" s="52">
        <f>IF(OR(L2671="",P2671=""),"",IF(COUNTIFS(L$6:L2671,L2671,P$6:P2671,"?*")=1,MAX(AI$5:AI2670)+1,""))</f>
        <v/>
      </c>
    </row>
    <row r="2672">
      <c r="B2672" s="47" t="n"/>
      <c r="C2672" s="48" t="n"/>
      <c r="D2672" s="48" t="n"/>
      <c r="E2672" s="48" t="n"/>
      <c r="F2672" s="48" t="n"/>
      <c r="G2672" s="49" t="n"/>
      <c r="H2672" s="48" t="n"/>
      <c r="I2672" s="50" t="n"/>
      <c r="J2672" s="48" t="n"/>
      <c r="K2672" s="48" t="n"/>
      <c r="L2672" s="48" t="n"/>
      <c r="M2672" s="48" t="n"/>
      <c r="N2672" s="48" t="n"/>
      <c r="O2672" s="51">
        <f>IF(AND(B2672="",G2672="",C2672="",D2672="",J2672=""),"",IF(B2672="","⚠ Falta fecha",IF(G2672="","⚠ Falta monto",IF(Q2672="","⚠ Falta cuenta",IF(ISNA(MATCH(Q2672,ctaNombre,0)),"⚠ Cuenta no registrada",IF(AND(OR(P2672="Gasto",P2672="Reembolso"),D2672=""),"⚠ Falta categoría",IF(AND(D2672&lt;&gt;"",E2672&lt;&gt;"",ISNA(MATCH(D2672&amp;"|"&amp;E2672,catClave,0))),"⚠ Subcategoría no corresponde",IF(AND(OR(P2672="Transferencia",P2672="Pago tarjeta"),K2672=""),"⚠ Falta cuenta destino",IF(AND(K2672&lt;&gt;"",P2672&lt;&gt;"Transferencia",P2672&lt;&gt;"Pago tarjeta"),"⚠ Destino solo aplica a transferencias",IF(AND(K2672&lt;&gt;"",K2672=Q2672),"⚠ Origen igual a destino",IF(AND(K2672&lt;&gt;"",ISNA(MATCH(K2672,ctaNombre,0))),"⚠ Destino no registrado",IF(AND(P2672="Pago tarjeta",AE2672&lt;&gt;"Tarjeta de crédito"),"⚠ El destino debe ser tarjeta de crédito",IF(AND(P2672="Gasto",E2672="Depósitos y retiros"),"⚠ Usa tipo Transferencia",IF(AND(P2672="Resultado trading",AD2672&lt;&gt;"Cuenta de trading"),"⚠ Usa una cuenta de trading",IF(AND(G2672&lt;=0,P2672&lt;&gt;"Ajuste",P2672&lt;&gt;"Resultado trading"),"⚠ El monto debe ser positivo","✓")))))))))))))))</f>
        <v/>
      </c>
      <c r="P2672" s="52">
        <f>IF(OR(B2672="",G2672=""),"",IF(C2672="","Gasto",C2672))</f>
        <v/>
      </c>
      <c r="Q2672" s="52">
        <f>IF(P2672="","",IF(J2672&lt;&gt;"",J2672,CuentaPred&amp;""))</f>
        <v/>
      </c>
      <c r="R2672" s="52">
        <f>IF(P2672="","",IF(ISNUMBER(I2672),I2672,TasaUSD))</f>
        <v/>
      </c>
      <c r="S2672" s="53">
        <f>IF(P2672="","",IF(H2672="USD",G2672*R2672,G2672))</f>
        <v/>
      </c>
      <c r="T2672" s="53">
        <f>IF(P2672="","",IF(H2672="USD",G2672,IF(R2672&gt;0,G2672/R2672,0)))</f>
        <v/>
      </c>
      <c r="U2672" s="53">
        <f>IF(P2672="","",IF(P2672="Gasto",S2672,IF(P2672="Reembolso",-S2672,0)))</f>
        <v/>
      </c>
      <c r="V2672" s="53">
        <f>IF(P2672="","",IF(P2672="Ingreso",S2672,0))</f>
        <v/>
      </c>
      <c r="W2672" s="53">
        <f>IF(P2672="","",IF(P2672="Resultado trading",S2672,0))</f>
        <v/>
      </c>
      <c r="X2672" s="52">
        <f>IF(OR(P2672="Gasto",P2672="Reembolso"),IF(M2672&lt;&gt;"",M2672,IFERROR(INDEX(catClasif,MATCH(D2672&amp;"|"&amp;E2672,catClave,0))&amp;"","Variable")),"")</f>
        <v/>
      </c>
      <c r="Y2672" s="52">
        <f>IF(P2672="","",IFERROR(INDEX(catGrupo,MATCH(D2672&amp;"|"&amp;E2672,catClave,0))&amp;"",""))</f>
        <v/>
      </c>
      <c r="Z2672" s="52">
        <f>IF(P2672="","",WEEKDAY(B2672,2))</f>
        <v/>
      </c>
      <c r="AA2672" s="52">
        <f>IF(P2672="","",IF(AND(P2672="Gasto",X2672="Variable",D2672&lt;&gt;catTrading,S2672&gt;0,S2672&lt;=Umbral),1,0))</f>
        <v/>
      </c>
      <c r="AB2672" s="52">
        <f>IF(OR(P2672="",Q2672=""),"",IFERROR(IF(INDEX(ctaVinc,MATCH(Q2672,ctaNombre,0))&amp;""&lt;&gt;"",INDEX(ctaVinc,MATCH(Q2672,ctaNombre,0))&amp;"",Q2672),Q2672))</f>
        <v/>
      </c>
      <c r="AC2672" s="52">
        <f>IF(OR(K2672="",AND(P2672&lt;&gt;"Transferencia",P2672&lt;&gt;"Pago tarjeta")),"",IFERROR(IF(INDEX(ctaVinc,MATCH(K2672,ctaNombre,0))&amp;""&lt;&gt;"",INDEX(ctaVinc,MATCH(K2672,ctaNombre,0))&amp;"",K2672),K2672))</f>
        <v/>
      </c>
      <c r="AD2672" s="52">
        <f>IF(AB2672="","",IFERROR(INDEX(ctaTipo,MATCH(AB2672,ctaNombre,0))&amp;"",""))</f>
        <v/>
      </c>
      <c r="AE2672" s="52">
        <f>IF(AC2672="","",IFERROR(INDEX(ctaTipo,MATCH(AC2672,ctaNombre,0))&amp;"",""))</f>
        <v/>
      </c>
      <c r="AF2672" s="53">
        <f>IF(OR(P2672="",AB2672=""),"",IF(OR(P2672="Gasto",P2672="Transferencia",P2672="Pago tarjeta"),-1,1)*IF(IFERROR(INDEX(ctaMoneda,MATCH(AB2672,ctaNombre,0))&amp;"","DOP")="USD",T2672,S2672))</f>
        <v/>
      </c>
      <c r="AG2672" s="53">
        <f>IF(AC2672="","",IF(IFERROR(INDEX(ctaMoneda,MATCH(AC2672,ctaNombre,0))&amp;"","DOP")="USD",T2672,S2672))</f>
        <v/>
      </c>
      <c r="AH2672" s="53">
        <f>IF(P2672="","",IF(AND(AD2672&lt;&gt;"",COUNTIFS(tcTipo,AD2672,tcLiq,"Sí")&gt;0),IF(OR(P2672="Gasto",P2672="Transferencia",P2672="Pago tarjeta"),-1,1)*S2672,0)+IF(AND(AE2672&lt;&gt;"",COUNTIFS(tcTipo,AE2672,tcLiq,"Sí")&gt;0),S2672,0))</f>
        <v/>
      </c>
      <c r="AI2672" s="52">
        <f>IF(OR(L2672="",P2672=""),"",IF(COUNTIFS(L$6:L2672,L2672,P$6:P2672,"?*")=1,MAX(AI$5:AI2671)+1,""))</f>
        <v/>
      </c>
    </row>
    <row r="2673">
      <c r="B2673" s="47" t="n"/>
      <c r="C2673" s="48" t="n"/>
      <c r="D2673" s="48" t="n"/>
      <c r="E2673" s="48" t="n"/>
      <c r="F2673" s="48" t="n"/>
      <c r="G2673" s="49" t="n"/>
      <c r="H2673" s="48" t="n"/>
      <c r="I2673" s="50" t="n"/>
      <c r="J2673" s="48" t="n"/>
      <c r="K2673" s="48" t="n"/>
      <c r="L2673" s="48" t="n"/>
      <c r="M2673" s="48" t="n"/>
      <c r="N2673" s="48" t="n"/>
      <c r="O2673" s="51">
        <f>IF(AND(B2673="",G2673="",C2673="",D2673="",J2673=""),"",IF(B2673="","⚠ Falta fecha",IF(G2673="","⚠ Falta monto",IF(Q2673="","⚠ Falta cuenta",IF(ISNA(MATCH(Q2673,ctaNombre,0)),"⚠ Cuenta no registrada",IF(AND(OR(P2673="Gasto",P2673="Reembolso"),D2673=""),"⚠ Falta categoría",IF(AND(D2673&lt;&gt;"",E2673&lt;&gt;"",ISNA(MATCH(D2673&amp;"|"&amp;E2673,catClave,0))),"⚠ Subcategoría no corresponde",IF(AND(OR(P2673="Transferencia",P2673="Pago tarjeta"),K2673=""),"⚠ Falta cuenta destino",IF(AND(K2673&lt;&gt;"",P2673&lt;&gt;"Transferencia",P2673&lt;&gt;"Pago tarjeta"),"⚠ Destino solo aplica a transferencias",IF(AND(K2673&lt;&gt;"",K2673=Q2673),"⚠ Origen igual a destino",IF(AND(K2673&lt;&gt;"",ISNA(MATCH(K2673,ctaNombre,0))),"⚠ Destino no registrado",IF(AND(P2673="Pago tarjeta",AE2673&lt;&gt;"Tarjeta de crédito"),"⚠ El destino debe ser tarjeta de crédito",IF(AND(P2673="Gasto",E2673="Depósitos y retiros"),"⚠ Usa tipo Transferencia",IF(AND(P2673="Resultado trading",AD2673&lt;&gt;"Cuenta de trading"),"⚠ Usa una cuenta de trading",IF(AND(G2673&lt;=0,P2673&lt;&gt;"Ajuste",P2673&lt;&gt;"Resultado trading"),"⚠ El monto debe ser positivo","✓")))))))))))))))</f>
        <v/>
      </c>
      <c r="P2673" s="52">
        <f>IF(OR(B2673="",G2673=""),"",IF(C2673="","Gasto",C2673))</f>
        <v/>
      </c>
      <c r="Q2673" s="52">
        <f>IF(P2673="","",IF(J2673&lt;&gt;"",J2673,CuentaPred&amp;""))</f>
        <v/>
      </c>
      <c r="R2673" s="52">
        <f>IF(P2673="","",IF(ISNUMBER(I2673),I2673,TasaUSD))</f>
        <v/>
      </c>
      <c r="S2673" s="53">
        <f>IF(P2673="","",IF(H2673="USD",G2673*R2673,G2673))</f>
        <v/>
      </c>
      <c r="T2673" s="53">
        <f>IF(P2673="","",IF(H2673="USD",G2673,IF(R2673&gt;0,G2673/R2673,0)))</f>
        <v/>
      </c>
      <c r="U2673" s="53">
        <f>IF(P2673="","",IF(P2673="Gasto",S2673,IF(P2673="Reembolso",-S2673,0)))</f>
        <v/>
      </c>
      <c r="V2673" s="53">
        <f>IF(P2673="","",IF(P2673="Ingreso",S2673,0))</f>
        <v/>
      </c>
      <c r="W2673" s="53">
        <f>IF(P2673="","",IF(P2673="Resultado trading",S2673,0))</f>
        <v/>
      </c>
      <c r="X2673" s="52">
        <f>IF(OR(P2673="Gasto",P2673="Reembolso"),IF(M2673&lt;&gt;"",M2673,IFERROR(INDEX(catClasif,MATCH(D2673&amp;"|"&amp;E2673,catClave,0))&amp;"","Variable")),"")</f>
        <v/>
      </c>
      <c r="Y2673" s="52">
        <f>IF(P2673="","",IFERROR(INDEX(catGrupo,MATCH(D2673&amp;"|"&amp;E2673,catClave,0))&amp;"",""))</f>
        <v/>
      </c>
      <c r="Z2673" s="52">
        <f>IF(P2673="","",WEEKDAY(B2673,2))</f>
        <v/>
      </c>
      <c r="AA2673" s="52">
        <f>IF(P2673="","",IF(AND(P2673="Gasto",X2673="Variable",D2673&lt;&gt;catTrading,S2673&gt;0,S2673&lt;=Umbral),1,0))</f>
        <v/>
      </c>
      <c r="AB2673" s="52">
        <f>IF(OR(P2673="",Q2673=""),"",IFERROR(IF(INDEX(ctaVinc,MATCH(Q2673,ctaNombre,0))&amp;""&lt;&gt;"",INDEX(ctaVinc,MATCH(Q2673,ctaNombre,0))&amp;"",Q2673),Q2673))</f>
        <v/>
      </c>
      <c r="AC2673" s="52">
        <f>IF(OR(K2673="",AND(P2673&lt;&gt;"Transferencia",P2673&lt;&gt;"Pago tarjeta")),"",IFERROR(IF(INDEX(ctaVinc,MATCH(K2673,ctaNombre,0))&amp;""&lt;&gt;"",INDEX(ctaVinc,MATCH(K2673,ctaNombre,0))&amp;"",K2673),K2673))</f>
        <v/>
      </c>
      <c r="AD2673" s="52">
        <f>IF(AB2673="","",IFERROR(INDEX(ctaTipo,MATCH(AB2673,ctaNombre,0))&amp;"",""))</f>
        <v/>
      </c>
      <c r="AE2673" s="52">
        <f>IF(AC2673="","",IFERROR(INDEX(ctaTipo,MATCH(AC2673,ctaNombre,0))&amp;"",""))</f>
        <v/>
      </c>
      <c r="AF2673" s="53">
        <f>IF(OR(P2673="",AB2673=""),"",IF(OR(P2673="Gasto",P2673="Transferencia",P2673="Pago tarjeta"),-1,1)*IF(IFERROR(INDEX(ctaMoneda,MATCH(AB2673,ctaNombre,0))&amp;"","DOP")="USD",T2673,S2673))</f>
        <v/>
      </c>
      <c r="AG2673" s="53">
        <f>IF(AC2673="","",IF(IFERROR(INDEX(ctaMoneda,MATCH(AC2673,ctaNombre,0))&amp;"","DOP")="USD",T2673,S2673))</f>
        <v/>
      </c>
      <c r="AH2673" s="53">
        <f>IF(P2673="","",IF(AND(AD2673&lt;&gt;"",COUNTIFS(tcTipo,AD2673,tcLiq,"Sí")&gt;0),IF(OR(P2673="Gasto",P2673="Transferencia",P2673="Pago tarjeta"),-1,1)*S2673,0)+IF(AND(AE2673&lt;&gt;"",COUNTIFS(tcTipo,AE2673,tcLiq,"Sí")&gt;0),S2673,0))</f>
        <v/>
      </c>
      <c r="AI2673" s="52">
        <f>IF(OR(L2673="",P2673=""),"",IF(COUNTIFS(L$6:L2673,L2673,P$6:P2673,"?*")=1,MAX(AI$5:AI2672)+1,""))</f>
        <v/>
      </c>
    </row>
    <row r="2674">
      <c r="B2674" s="47" t="n"/>
      <c r="C2674" s="48" t="n"/>
      <c r="D2674" s="48" t="n"/>
      <c r="E2674" s="48" t="n"/>
      <c r="F2674" s="48" t="n"/>
      <c r="G2674" s="49" t="n"/>
      <c r="H2674" s="48" t="n"/>
      <c r="I2674" s="50" t="n"/>
      <c r="J2674" s="48" t="n"/>
      <c r="K2674" s="48" t="n"/>
      <c r="L2674" s="48" t="n"/>
      <c r="M2674" s="48" t="n"/>
      <c r="N2674" s="48" t="n"/>
      <c r="O2674" s="51">
        <f>IF(AND(B2674="",G2674="",C2674="",D2674="",J2674=""),"",IF(B2674="","⚠ Falta fecha",IF(G2674="","⚠ Falta monto",IF(Q2674="","⚠ Falta cuenta",IF(ISNA(MATCH(Q2674,ctaNombre,0)),"⚠ Cuenta no registrada",IF(AND(OR(P2674="Gasto",P2674="Reembolso"),D2674=""),"⚠ Falta categoría",IF(AND(D2674&lt;&gt;"",E2674&lt;&gt;"",ISNA(MATCH(D2674&amp;"|"&amp;E2674,catClave,0))),"⚠ Subcategoría no corresponde",IF(AND(OR(P2674="Transferencia",P2674="Pago tarjeta"),K2674=""),"⚠ Falta cuenta destino",IF(AND(K2674&lt;&gt;"",P2674&lt;&gt;"Transferencia",P2674&lt;&gt;"Pago tarjeta"),"⚠ Destino solo aplica a transferencias",IF(AND(K2674&lt;&gt;"",K2674=Q2674),"⚠ Origen igual a destino",IF(AND(K2674&lt;&gt;"",ISNA(MATCH(K2674,ctaNombre,0))),"⚠ Destino no registrado",IF(AND(P2674="Pago tarjeta",AE2674&lt;&gt;"Tarjeta de crédito"),"⚠ El destino debe ser tarjeta de crédito",IF(AND(P2674="Gasto",E2674="Depósitos y retiros"),"⚠ Usa tipo Transferencia",IF(AND(P2674="Resultado trading",AD2674&lt;&gt;"Cuenta de trading"),"⚠ Usa una cuenta de trading",IF(AND(G2674&lt;=0,P2674&lt;&gt;"Ajuste",P2674&lt;&gt;"Resultado trading"),"⚠ El monto debe ser positivo","✓")))))))))))))))</f>
        <v/>
      </c>
      <c r="P2674" s="52">
        <f>IF(OR(B2674="",G2674=""),"",IF(C2674="","Gasto",C2674))</f>
        <v/>
      </c>
      <c r="Q2674" s="52">
        <f>IF(P2674="","",IF(J2674&lt;&gt;"",J2674,CuentaPred&amp;""))</f>
        <v/>
      </c>
      <c r="R2674" s="52">
        <f>IF(P2674="","",IF(ISNUMBER(I2674),I2674,TasaUSD))</f>
        <v/>
      </c>
      <c r="S2674" s="53">
        <f>IF(P2674="","",IF(H2674="USD",G2674*R2674,G2674))</f>
        <v/>
      </c>
      <c r="T2674" s="53">
        <f>IF(P2674="","",IF(H2674="USD",G2674,IF(R2674&gt;0,G2674/R2674,0)))</f>
        <v/>
      </c>
      <c r="U2674" s="53">
        <f>IF(P2674="","",IF(P2674="Gasto",S2674,IF(P2674="Reembolso",-S2674,0)))</f>
        <v/>
      </c>
      <c r="V2674" s="53">
        <f>IF(P2674="","",IF(P2674="Ingreso",S2674,0))</f>
        <v/>
      </c>
      <c r="W2674" s="53">
        <f>IF(P2674="","",IF(P2674="Resultado trading",S2674,0))</f>
        <v/>
      </c>
      <c r="X2674" s="52">
        <f>IF(OR(P2674="Gasto",P2674="Reembolso"),IF(M2674&lt;&gt;"",M2674,IFERROR(INDEX(catClasif,MATCH(D2674&amp;"|"&amp;E2674,catClave,0))&amp;"","Variable")),"")</f>
        <v/>
      </c>
      <c r="Y2674" s="52">
        <f>IF(P2674="","",IFERROR(INDEX(catGrupo,MATCH(D2674&amp;"|"&amp;E2674,catClave,0))&amp;"",""))</f>
        <v/>
      </c>
      <c r="Z2674" s="52">
        <f>IF(P2674="","",WEEKDAY(B2674,2))</f>
        <v/>
      </c>
      <c r="AA2674" s="52">
        <f>IF(P2674="","",IF(AND(P2674="Gasto",X2674="Variable",D2674&lt;&gt;catTrading,S2674&gt;0,S2674&lt;=Umbral),1,0))</f>
        <v/>
      </c>
      <c r="AB2674" s="52">
        <f>IF(OR(P2674="",Q2674=""),"",IFERROR(IF(INDEX(ctaVinc,MATCH(Q2674,ctaNombre,0))&amp;""&lt;&gt;"",INDEX(ctaVinc,MATCH(Q2674,ctaNombre,0))&amp;"",Q2674),Q2674))</f>
        <v/>
      </c>
      <c r="AC2674" s="52">
        <f>IF(OR(K2674="",AND(P2674&lt;&gt;"Transferencia",P2674&lt;&gt;"Pago tarjeta")),"",IFERROR(IF(INDEX(ctaVinc,MATCH(K2674,ctaNombre,0))&amp;""&lt;&gt;"",INDEX(ctaVinc,MATCH(K2674,ctaNombre,0))&amp;"",K2674),K2674))</f>
        <v/>
      </c>
      <c r="AD2674" s="52">
        <f>IF(AB2674="","",IFERROR(INDEX(ctaTipo,MATCH(AB2674,ctaNombre,0))&amp;"",""))</f>
        <v/>
      </c>
      <c r="AE2674" s="52">
        <f>IF(AC2674="","",IFERROR(INDEX(ctaTipo,MATCH(AC2674,ctaNombre,0))&amp;"",""))</f>
        <v/>
      </c>
      <c r="AF2674" s="53">
        <f>IF(OR(P2674="",AB2674=""),"",IF(OR(P2674="Gasto",P2674="Transferencia",P2674="Pago tarjeta"),-1,1)*IF(IFERROR(INDEX(ctaMoneda,MATCH(AB2674,ctaNombre,0))&amp;"","DOP")="USD",T2674,S2674))</f>
        <v/>
      </c>
      <c r="AG2674" s="53">
        <f>IF(AC2674="","",IF(IFERROR(INDEX(ctaMoneda,MATCH(AC2674,ctaNombre,0))&amp;"","DOP")="USD",T2674,S2674))</f>
        <v/>
      </c>
      <c r="AH2674" s="53">
        <f>IF(P2674="","",IF(AND(AD2674&lt;&gt;"",COUNTIFS(tcTipo,AD2674,tcLiq,"Sí")&gt;0),IF(OR(P2674="Gasto",P2674="Transferencia",P2674="Pago tarjeta"),-1,1)*S2674,0)+IF(AND(AE2674&lt;&gt;"",COUNTIFS(tcTipo,AE2674,tcLiq,"Sí")&gt;0),S2674,0))</f>
        <v/>
      </c>
      <c r="AI2674" s="52">
        <f>IF(OR(L2674="",P2674=""),"",IF(COUNTIFS(L$6:L2674,L2674,P$6:P2674,"?*")=1,MAX(AI$5:AI2673)+1,""))</f>
        <v/>
      </c>
    </row>
    <row r="2675">
      <c r="B2675" s="47" t="n"/>
      <c r="C2675" s="48" t="n"/>
      <c r="D2675" s="48" t="n"/>
      <c r="E2675" s="48" t="n"/>
      <c r="F2675" s="48" t="n"/>
      <c r="G2675" s="49" t="n"/>
      <c r="H2675" s="48" t="n"/>
      <c r="I2675" s="50" t="n"/>
      <c r="J2675" s="48" t="n"/>
      <c r="K2675" s="48" t="n"/>
      <c r="L2675" s="48" t="n"/>
      <c r="M2675" s="48" t="n"/>
      <c r="N2675" s="48" t="n"/>
      <c r="O2675" s="51">
        <f>IF(AND(B2675="",G2675="",C2675="",D2675="",J2675=""),"",IF(B2675="","⚠ Falta fecha",IF(G2675="","⚠ Falta monto",IF(Q2675="","⚠ Falta cuenta",IF(ISNA(MATCH(Q2675,ctaNombre,0)),"⚠ Cuenta no registrada",IF(AND(OR(P2675="Gasto",P2675="Reembolso"),D2675=""),"⚠ Falta categoría",IF(AND(D2675&lt;&gt;"",E2675&lt;&gt;"",ISNA(MATCH(D2675&amp;"|"&amp;E2675,catClave,0))),"⚠ Subcategoría no corresponde",IF(AND(OR(P2675="Transferencia",P2675="Pago tarjeta"),K2675=""),"⚠ Falta cuenta destino",IF(AND(K2675&lt;&gt;"",P2675&lt;&gt;"Transferencia",P2675&lt;&gt;"Pago tarjeta"),"⚠ Destino solo aplica a transferencias",IF(AND(K2675&lt;&gt;"",K2675=Q2675),"⚠ Origen igual a destino",IF(AND(K2675&lt;&gt;"",ISNA(MATCH(K2675,ctaNombre,0))),"⚠ Destino no registrado",IF(AND(P2675="Pago tarjeta",AE2675&lt;&gt;"Tarjeta de crédito"),"⚠ El destino debe ser tarjeta de crédito",IF(AND(P2675="Gasto",E2675="Depósitos y retiros"),"⚠ Usa tipo Transferencia",IF(AND(P2675="Resultado trading",AD2675&lt;&gt;"Cuenta de trading"),"⚠ Usa una cuenta de trading",IF(AND(G2675&lt;=0,P2675&lt;&gt;"Ajuste",P2675&lt;&gt;"Resultado trading"),"⚠ El monto debe ser positivo","✓")))))))))))))))</f>
        <v/>
      </c>
      <c r="P2675" s="52">
        <f>IF(OR(B2675="",G2675=""),"",IF(C2675="","Gasto",C2675))</f>
        <v/>
      </c>
      <c r="Q2675" s="52">
        <f>IF(P2675="","",IF(J2675&lt;&gt;"",J2675,CuentaPred&amp;""))</f>
        <v/>
      </c>
      <c r="R2675" s="52">
        <f>IF(P2675="","",IF(ISNUMBER(I2675),I2675,TasaUSD))</f>
        <v/>
      </c>
      <c r="S2675" s="53">
        <f>IF(P2675="","",IF(H2675="USD",G2675*R2675,G2675))</f>
        <v/>
      </c>
      <c r="T2675" s="53">
        <f>IF(P2675="","",IF(H2675="USD",G2675,IF(R2675&gt;0,G2675/R2675,0)))</f>
        <v/>
      </c>
      <c r="U2675" s="53">
        <f>IF(P2675="","",IF(P2675="Gasto",S2675,IF(P2675="Reembolso",-S2675,0)))</f>
        <v/>
      </c>
      <c r="V2675" s="53">
        <f>IF(P2675="","",IF(P2675="Ingreso",S2675,0))</f>
        <v/>
      </c>
      <c r="W2675" s="53">
        <f>IF(P2675="","",IF(P2675="Resultado trading",S2675,0))</f>
        <v/>
      </c>
      <c r="X2675" s="52">
        <f>IF(OR(P2675="Gasto",P2675="Reembolso"),IF(M2675&lt;&gt;"",M2675,IFERROR(INDEX(catClasif,MATCH(D2675&amp;"|"&amp;E2675,catClave,0))&amp;"","Variable")),"")</f>
        <v/>
      </c>
      <c r="Y2675" s="52">
        <f>IF(P2675="","",IFERROR(INDEX(catGrupo,MATCH(D2675&amp;"|"&amp;E2675,catClave,0))&amp;"",""))</f>
        <v/>
      </c>
      <c r="Z2675" s="52">
        <f>IF(P2675="","",WEEKDAY(B2675,2))</f>
        <v/>
      </c>
      <c r="AA2675" s="52">
        <f>IF(P2675="","",IF(AND(P2675="Gasto",X2675="Variable",D2675&lt;&gt;catTrading,S2675&gt;0,S2675&lt;=Umbral),1,0))</f>
        <v/>
      </c>
      <c r="AB2675" s="52">
        <f>IF(OR(P2675="",Q2675=""),"",IFERROR(IF(INDEX(ctaVinc,MATCH(Q2675,ctaNombre,0))&amp;""&lt;&gt;"",INDEX(ctaVinc,MATCH(Q2675,ctaNombre,0))&amp;"",Q2675),Q2675))</f>
        <v/>
      </c>
      <c r="AC2675" s="52">
        <f>IF(OR(K2675="",AND(P2675&lt;&gt;"Transferencia",P2675&lt;&gt;"Pago tarjeta")),"",IFERROR(IF(INDEX(ctaVinc,MATCH(K2675,ctaNombre,0))&amp;""&lt;&gt;"",INDEX(ctaVinc,MATCH(K2675,ctaNombre,0))&amp;"",K2675),K2675))</f>
        <v/>
      </c>
      <c r="AD2675" s="52">
        <f>IF(AB2675="","",IFERROR(INDEX(ctaTipo,MATCH(AB2675,ctaNombre,0))&amp;"",""))</f>
        <v/>
      </c>
      <c r="AE2675" s="52">
        <f>IF(AC2675="","",IFERROR(INDEX(ctaTipo,MATCH(AC2675,ctaNombre,0))&amp;"",""))</f>
        <v/>
      </c>
      <c r="AF2675" s="53">
        <f>IF(OR(P2675="",AB2675=""),"",IF(OR(P2675="Gasto",P2675="Transferencia",P2675="Pago tarjeta"),-1,1)*IF(IFERROR(INDEX(ctaMoneda,MATCH(AB2675,ctaNombre,0))&amp;"","DOP")="USD",T2675,S2675))</f>
        <v/>
      </c>
      <c r="AG2675" s="53">
        <f>IF(AC2675="","",IF(IFERROR(INDEX(ctaMoneda,MATCH(AC2675,ctaNombre,0))&amp;"","DOP")="USD",T2675,S2675))</f>
        <v/>
      </c>
      <c r="AH2675" s="53">
        <f>IF(P2675="","",IF(AND(AD2675&lt;&gt;"",COUNTIFS(tcTipo,AD2675,tcLiq,"Sí")&gt;0),IF(OR(P2675="Gasto",P2675="Transferencia",P2675="Pago tarjeta"),-1,1)*S2675,0)+IF(AND(AE2675&lt;&gt;"",COUNTIFS(tcTipo,AE2675,tcLiq,"Sí")&gt;0),S2675,0))</f>
        <v/>
      </c>
      <c r="AI2675" s="52">
        <f>IF(OR(L2675="",P2675=""),"",IF(COUNTIFS(L$6:L2675,L2675,P$6:P2675,"?*")=1,MAX(AI$5:AI2674)+1,""))</f>
        <v/>
      </c>
    </row>
    <row r="2676">
      <c r="B2676" s="47" t="n"/>
      <c r="C2676" s="48" t="n"/>
      <c r="D2676" s="48" t="n"/>
      <c r="E2676" s="48" t="n"/>
      <c r="F2676" s="48" t="n"/>
      <c r="G2676" s="49" t="n"/>
      <c r="H2676" s="48" t="n"/>
      <c r="I2676" s="50" t="n"/>
      <c r="J2676" s="48" t="n"/>
      <c r="K2676" s="48" t="n"/>
      <c r="L2676" s="48" t="n"/>
      <c r="M2676" s="48" t="n"/>
      <c r="N2676" s="48" t="n"/>
      <c r="O2676" s="51">
        <f>IF(AND(B2676="",G2676="",C2676="",D2676="",J2676=""),"",IF(B2676="","⚠ Falta fecha",IF(G2676="","⚠ Falta monto",IF(Q2676="","⚠ Falta cuenta",IF(ISNA(MATCH(Q2676,ctaNombre,0)),"⚠ Cuenta no registrada",IF(AND(OR(P2676="Gasto",P2676="Reembolso"),D2676=""),"⚠ Falta categoría",IF(AND(D2676&lt;&gt;"",E2676&lt;&gt;"",ISNA(MATCH(D2676&amp;"|"&amp;E2676,catClave,0))),"⚠ Subcategoría no corresponde",IF(AND(OR(P2676="Transferencia",P2676="Pago tarjeta"),K2676=""),"⚠ Falta cuenta destino",IF(AND(K2676&lt;&gt;"",P2676&lt;&gt;"Transferencia",P2676&lt;&gt;"Pago tarjeta"),"⚠ Destino solo aplica a transferencias",IF(AND(K2676&lt;&gt;"",K2676=Q2676),"⚠ Origen igual a destino",IF(AND(K2676&lt;&gt;"",ISNA(MATCH(K2676,ctaNombre,0))),"⚠ Destino no registrado",IF(AND(P2676="Pago tarjeta",AE2676&lt;&gt;"Tarjeta de crédito"),"⚠ El destino debe ser tarjeta de crédito",IF(AND(P2676="Gasto",E2676="Depósitos y retiros"),"⚠ Usa tipo Transferencia",IF(AND(P2676="Resultado trading",AD2676&lt;&gt;"Cuenta de trading"),"⚠ Usa una cuenta de trading",IF(AND(G2676&lt;=0,P2676&lt;&gt;"Ajuste",P2676&lt;&gt;"Resultado trading"),"⚠ El monto debe ser positivo","✓")))))))))))))))</f>
        <v/>
      </c>
      <c r="P2676" s="52">
        <f>IF(OR(B2676="",G2676=""),"",IF(C2676="","Gasto",C2676))</f>
        <v/>
      </c>
      <c r="Q2676" s="52">
        <f>IF(P2676="","",IF(J2676&lt;&gt;"",J2676,CuentaPred&amp;""))</f>
        <v/>
      </c>
      <c r="R2676" s="52">
        <f>IF(P2676="","",IF(ISNUMBER(I2676),I2676,TasaUSD))</f>
        <v/>
      </c>
      <c r="S2676" s="53">
        <f>IF(P2676="","",IF(H2676="USD",G2676*R2676,G2676))</f>
        <v/>
      </c>
      <c r="T2676" s="53">
        <f>IF(P2676="","",IF(H2676="USD",G2676,IF(R2676&gt;0,G2676/R2676,0)))</f>
        <v/>
      </c>
      <c r="U2676" s="53">
        <f>IF(P2676="","",IF(P2676="Gasto",S2676,IF(P2676="Reembolso",-S2676,0)))</f>
        <v/>
      </c>
      <c r="V2676" s="53">
        <f>IF(P2676="","",IF(P2676="Ingreso",S2676,0))</f>
        <v/>
      </c>
      <c r="W2676" s="53">
        <f>IF(P2676="","",IF(P2676="Resultado trading",S2676,0))</f>
        <v/>
      </c>
      <c r="X2676" s="52">
        <f>IF(OR(P2676="Gasto",P2676="Reembolso"),IF(M2676&lt;&gt;"",M2676,IFERROR(INDEX(catClasif,MATCH(D2676&amp;"|"&amp;E2676,catClave,0))&amp;"","Variable")),"")</f>
        <v/>
      </c>
      <c r="Y2676" s="52">
        <f>IF(P2676="","",IFERROR(INDEX(catGrupo,MATCH(D2676&amp;"|"&amp;E2676,catClave,0))&amp;"",""))</f>
        <v/>
      </c>
      <c r="Z2676" s="52">
        <f>IF(P2676="","",WEEKDAY(B2676,2))</f>
        <v/>
      </c>
      <c r="AA2676" s="52">
        <f>IF(P2676="","",IF(AND(P2676="Gasto",X2676="Variable",D2676&lt;&gt;catTrading,S2676&gt;0,S2676&lt;=Umbral),1,0))</f>
        <v/>
      </c>
      <c r="AB2676" s="52">
        <f>IF(OR(P2676="",Q2676=""),"",IFERROR(IF(INDEX(ctaVinc,MATCH(Q2676,ctaNombre,0))&amp;""&lt;&gt;"",INDEX(ctaVinc,MATCH(Q2676,ctaNombre,0))&amp;"",Q2676),Q2676))</f>
        <v/>
      </c>
      <c r="AC2676" s="52">
        <f>IF(OR(K2676="",AND(P2676&lt;&gt;"Transferencia",P2676&lt;&gt;"Pago tarjeta")),"",IFERROR(IF(INDEX(ctaVinc,MATCH(K2676,ctaNombre,0))&amp;""&lt;&gt;"",INDEX(ctaVinc,MATCH(K2676,ctaNombre,0))&amp;"",K2676),K2676))</f>
        <v/>
      </c>
      <c r="AD2676" s="52">
        <f>IF(AB2676="","",IFERROR(INDEX(ctaTipo,MATCH(AB2676,ctaNombre,0))&amp;"",""))</f>
        <v/>
      </c>
      <c r="AE2676" s="52">
        <f>IF(AC2676="","",IFERROR(INDEX(ctaTipo,MATCH(AC2676,ctaNombre,0))&amp;"",""))</f>
        <v/>
      </c>
      <c r="AF2676" s="53">
        <f>IF(OR(P2676="",AB2676=""),"",IF(OR(P2676="Gasto",P2676="Transferencia",P2676="Pago tarjeta"),-1,1)*IF(IFERROR(INDEX(ctaMoneda,MATCH(AB2676,ctaNombre,0))&amp;"","DOP")="USD",T2676,S2676))</f>
        <v/>
      </c>
      <c r="AG2676" s="53">
        <f>IF(AC2676="","",IF(IFERROR(INDEX(ctaMoneda,MATCH(AC2676,ctaNombre,0))&amp;"","DOP")="USD",T2676,S2676))</f>
        <v/>
      </c>
      <c r="AH2676" s="53">
        <f>IF(P2676="","",IF(AND(AD2676&lt;&gt;"",COUNTIFS(tcTipo,AD2676,tcLiq,"Sí")&gt;0),IF(OR(P2676="Gasto",P2676="Transferencia",P2676="Pago tarjeta"),-1,1)*S2676,0)+IF(AND(AE2676&lt;&gt;"",COUNTIFS(tcTipo,AE2676,tcLiq,"Sí")&gt;0),S2676,0))</f>
        <v/>
      </c>
      <c r="AI2676" s="52">
        <f>IF(OR(L2676="",P2676=""),"",IF(COUNTIFS(L$6:L2676,L2676,P$6:P2676,"?*")=1,MAX(AI$5:AI2675)+1,""))</f>
        <v/>
      </c>
    </row>
    <row r="2677">
      <c r="B2677" s="47" t="n"/>
      <c r="C2677" s="48" t="n"/>
      <c r="D2677" s="48" t="n"/>
      <c r="E2677" s="48" t="n"/>
      <c r="F2677" s="48" t="n"/>
      <c r="G2677" s="49" t="n"/>
      <c r="H2677" s="48" t="n"/>
      <c r="I2677" s="50" t="n"/>
      <c r="J2677" s="48" t="n"/>
      <c r="K2677" s="48" t="n"/>
      <c r="L2677" s="48" t="n"/>
      <c r="M2677" s="48" t="n"/>
      <c r="N2677" s="48" t="n"/>
      <c r="O2677" s="51">
        <f>IF(AND(B2677="",G2677="",C2677="",D2677="",J2677=""),"",IF(B2677="","⚠ Falta fecha",IF(G2677="","⚠ Falta monto",IF(Q2677="","⚠ Falta cuenta",IF(ISNA(MATCH(Q2677,ctaNombre,0)),"⚠ Cuenta no registrada",IF(AND(OR(P2677="Gasto",P2677="Reembolso"),D2677=""),"⚠ Falta categoría",IF(AND(D2677&lt;&gt;"",E2677&lt;&gt;"",ISNA(MATCH(D2677&amp;"|"&amp;E2677,catClave,0))),"⚠ Subcategoría no corresponde",IF(AND(OR(P2677="Transferencia",P2677="Pago tarjeta"),K2677=""),"⚠ Falta cuenta destino",IF(AND(K2677&lt;&gt;"",P2677&lt;&gt;"Transferencia",P2677&lt;&gt;"Pago tarjeta"),"⚠ Destino solo aplica a transferencias",IF(AND(K2677&lt;&gt;"",K2677=Q2677),"⚠ Origen igual a destino",IF(AND(K2677&lt;&gt;"",ISNA(MATCH(K2677,ctaNombre,0))),"⚠ Destino no registrado",IF(AND(P2677="Pago tarjeta",AE2677&lt;&gt;"Tarjeta de crédito"),"⚠ El destino debe ser tarjeta de crédito",IF(AND(P2677="Gasto",E2677="Depósitos y retiros"),"⚠ Usa tipo Transferencia",IF(AND(P2677="Resultado trading",AD2677&lt;&gt;"Cuenta de trading"),"⚠ Usa una cuenta de trading",IF(AND(G2677&lt;=0,P2677&lt;&gt;"Ajuste",P2677&lt;&gt;"Resultado trading"),"⚠ El monto debe ser positivo","✓")))))))))))))))</f>
        <v/>
      </c>
      <c r="P2677" s="52">
        <f>IF(OR(B2677="",G2677=""),"",IF(C2677="","Gasto",C2677))</f>
        <v/>
      </c>
      <c r="Q2677" s="52">
        <f>IF(P2677="","",IF(J2677&lt;&gt;"",J2677,CuentaPred&amp;""))</f>
        <v/>
      </c>
      <c r="R2677" s="52">
        <f>IF(P2677="","",IF(ISNUMBER(I2677),I2677,TasaUSD))</f>
        <v/>
      </c>
      <c r="S2677" s="53">
        <f>IF(P2677="","",IF(H2677="USD",G2677*R2677,G2677))</f>
        <v/>
      </c>
      <c r="T2677" s="53">
        <f>IF(P2677="","",IF(H2677="USD",G2677,IF(R2677&gt;0,G2677/R2677,0)))</f>
        <v/>
      </c>
      <c r="U2677" s="53">
        <f>IF(P2677="","",IF(P2677="Gasto",S2677,IF(P2677="Reembolso",-S2677,0)))</f>
        <v/>
      </c>
      <c r="V2677" s="53">
        <f>IF(P2677="","",IF(P2677="Ingreso",S2677,0))</f>
        <v/>
      </c>
      <c r="W2677" s="53">
        <f>IF(P2677="","",IF(P2677="Resultado trading",S2677,0))</f>
        <v/>
      </c>
      <c r="X2677" s="52">
        <f>IF(OR(P2677="Gasto",P2677="Reembolso"),IF(M2677&lt;&gt;"",M2677,IFERROR(INDEX(catClasif,MATCH(D2677&amp;"|"&amp;E2677,catClave,0))&amp;"","Variable")),"")</f>
        <v/>
      </c>
      <c r="Y2677" s="52">
        <f>IF(P2677="","",IFERROR(INDEX(catGrupo,MATCH(D2677&amp;"|"&amp;E2677,catClave,0))&amp;"",""))</f>
        <v/>
      </c>
      <c r="Z2677" s="52">
        <f>IF(P2677="","",WEEKDAY(B2677,2))</f>
        <v/>
      </c>
      <c r="AA2677" s="52">
        <f>IF(P2677="","",IF(AND(P2677="Gasto",X2677="Variable",D2677&lt;&gt;catTrading,S2677&gt;0,S2677&lt;=Umbral),1,0))</f>
        <v/>
      </c>
      <c r="AB2677" s="52">
        <f>IF(OR(P2677="",Q2677=""),"",IFERROR(IF(INDEX(ctaVinc,MATCH(Q2677,ctaNombre,0))&amp;""&lt;&gt;"",INDEX(ctaVinc,MATCH(Q2677,ctaNombre,0))&amp;"",Q2677),Q2677))</f>
        <v/>
      </c>
      <c r="AC2677" s="52">
        <f>IF(OR(K2677="",AND(P2677&lt;&gt;"Transferencia",P2677&lt;&gt;"Pago tarjeta")),"",IFERROR(IF(INDEX(ctaVinc,MATCH(K2677,ctaNombre,0))&amp;""&lt;&gt;"",INDEX(ctaVinc,MATCH(K2677,ctaNombre,0))&amp;"",K2677),K2677))</f>
        <v/>
      </c>
      <c r="AD2677" s="52">
        <f>IF(AB2677="","",IFERROR(INDEX(ctaTipo,MATCH(AB2677,ctaNombre,0))&amp;"",""))</f>
        <v/>
      </c>
      <c r="AE2677" s="52">
        <f>IF(AC2677="","",IFERROR(INDEX(ctaTipo,MATCH(AC2677,ctaNombre,0))&amp;"",""))</f>
        <v/>
      </c>
      <c r="AF2677" s="53">
        <f>IF(OR(P2677="",AB2677=""),"",IF(OR(P2677="Gasto",P2677="Transferencia",P2677="Pago tarjeta"),-1,1)*IF(IFERROR(INDEX(ctaMoneda,MATCH(AB2677,ctaNombre,0))&amp;"","DOP")="USD",T2677,S2677))</f>
        <v/>
      </c>
      <c r="AG2677" s="53">
        <f>IF(AC2677="","",IF(IFERROR(INDEX(ctaMoneda,MATCH(AC2677,ctaNombre,0))&amp;"","DOP")="USD",T2677,S2677))</f>
        <v/>
      </c>
      <c r="AH2677" s="53">
        <f>IF(P2677="","",IF(AND(AD2677&lt;&gt;"",COUNTIFS(tcTipo,AD2677,tcLiq,"Sí")&gt;0),IF(OR(P2677="Gasto",P2677="Transferencia",P2677="Pago tarjeta"),-1,1)*S2677,0)+IF(AND(AE2677&lt;&gt;"",COUNTIFS(tcTipo,AE2677,tcLiq,"Sí")&gt;0),S2677,0))</f>
        <v/>
      </c>
      <c r="AI2677" s="52">
        <f>IF(OR(L2677="",P2677=""),"",IF(COUNTIFS(L$6:L2677,L2677,P$6:P2677,"?*")=1,MAX(AI$5:AI2676)+1,""))</f>
        <v/>
      </c>
    </row>
    <row r="2678">
      <c r="B2678" s="47" t="n"/>
      <c r="C2678" s="48" t="n"/>
      <c r="D2678" s="48" t="n"/>
      <c r="E2678" s="48" t="n"/>
      <c r="F2678" s="48" t="n"/>
      <c r="G2678" s="49" t="n"/>
      <c r="H2678" s="48" t="n"/>
      <c r="I2678" s="50" t="n"/>
      <c r="J2678" s="48" t="n"/>
      <c r="K2678" s="48" t="n"/>
      <c r="L2678" s="48" t="n"/>
      <c r="M2678" s="48" t="n"/>
      <c r="N2678" s="48" t="n"/>
      <c r="O2678" s="51">
        <f>IF(AND(B2678="",G2678="",C2678="",D2678="",J2678=""),"",IF(B2678="","⚠ Falta fecha",IF(G2678="","⚠ Falta monto",IF(Q2678="","⚠ Falta cuenta",IF(ISNA(MATCH(Q2678,ctaNombre,0)),"⚠ Cuenta no registrada",IF(AND(OR(P2678="Gasto",P2678="Reembolso"),D2678=""),"⚠ Falta categoría",IF(AND(D2678&lt;&gt;"",E2678&lt;&gt;"",ISNA(MATCH(D2678&amp;"|"&amp;E2678,catClave,0))),"⚠ Subcategoría no corresponde",IF(AND(OR(P2678="Transferencia",P2678="Pago tarjeta"),K2678=""),"⚠ Falta cuenta destino",IF(AND(K2678&lt;&gt;"",P2678&lt;&gt;"Transferencia",P2678&lt;&gt;"Pago tarjeta"),"⚠ Destino solo aplica a transferencias",IF(AND(K2678&lt;&gt;"",K2678=Q2678),"⚠ Origen igual a destino",IF(AND(K2678&lt;&gt;"",ISNA(MATCH(K2678,ctaNombre,0))),"⚠ Destino no registrado",IF(AND(P2678="Pago tarjeta",AE2678&lt;&gt;"Tarjeta de crédito"),"⚠ El destino debe ser tarjeta de crédito",IF(AND(P2678="Gasto",E2678="Depósitos y retiros"),"⚠ Usa tipo Transferencia",IF(AND(P2678="Resultado trading",AD2678&lt;&gt;"Cuenta de trading"),"⚠ Usa una cuenta de trading",IF(AND(G2678&lt;=0,P2678&lt;&gt;"Ajuste",P2678&lt;&gt;"Resultado trading"),"⚠ El monto debe ser positivo","✓")))))))))))))))</f>
        <v/>
      </c>
      <c r="P2678" s="52">
        <f>IF(OR(B2678="",G2678=""),"",IF(C2678="","Gasto",C2678))</f>
        <v/>
      </c>
      <c r="Q2678" s="52">
        <f>IF(P2678="","",IF(J2678&lt;&gt;"",J2678,CuentaPred&amp;""))</f>
        <v/>
      </c>
      <c r="R2678" s="52">
        <f>IF(P2678="","",IF(ISNUMBER(I2678),I2678,TasaUSD))</f>
        <v/>
      </c>
      <c r="S2678" s="53">
        <f>IF(P2678="","",IF(H2678="USD",G2678*R2678,G2678))</f>
        <v/>
      </c>
      <c r="T2678" s="53">
        <f>IF(P2678="","",IF(H2678="USD",G2678,IF(R2678&gt;0,G2678/R2678,0)))</f>
        <v/>
      </c>
      <c r="U2678" s="53">
        <f>IF(P2678="","",IF(P2678="Gasto",S2678,IF(P2678="Reembolso",-S2678,0)))</f>
        <v/>
      </c>
      <c r="V2678" s="53">
        <f>IF(P2678="","",IF(P2678="Ingreso",S2678,0))</f>
        <v/>
      </c>
      <c r="W2678" s="53">
        <f>IF(P2678="","",IF(P2678="Resultado trading",S2678,0))</f>
        <v/>
      </c>
      <c r="X2678" s="52">
        <f>IF(OR(P2678="Gasto",P2678="Reembolso"),IF(M2678&lt;&gt;"",M2678,IFERROR(INDEX(catClasif,MATCH(D2678&amp;"|"&amp;E2678,catClave,0))&amp;"","Variable")),"")</f>
        <v/>
      </c>
      <c r="Y2678" s="52">
        <f>IF(P2678="","",IFERROR(INDEX(catGrupo,MATCH(D2678&amp;"|"&amp;E2678,catClave,0))&amp;"",""))</f>
        <v/>
      </c>
      <c r="Z2678" s="52">
        <f>IF(P2678="","",WEEKDAY(B2678,2))</f>
        <v/>
      </c>
      <c r="AA2678" s="52">
        <f>IF(P2678="","",IF(AND(P2678="Gasto",X2678="Variable",D2678&lt;&gt;catTrading,S2678&gt;0,S2678&lt;=Umbral),1,0))</f>
        <v/>
      </c>
      <c r="AB2678" s="52">
        <f>IF(OR(P2678="",Q2678=""),"",IFERROR(IF(INDEX(ctaVinc,MATCH(Q2678,ctaNombre,0))&amp;""&lt;&gt;"",INDEX(ctaVinc,MATCH(Q2678,ctaNombre,0))&amp;"",Q2678),Q2678))</f>
        <v/>
      </c>
      <c r="AC2678" s="52">
        <f>IF(OR(K2678="",AND(P2678&lt;&gt;"Transferencia",P2678&lt;&gt;"Pago tarjeta")),"",IFERROR(IF(INDEX(ctaVinc,MATCH(K2678,ctaNombre,0))&amp;""&lt;&gt;"",INDEX(ctaVinc,MATCH(K2678,ctaNombre,0))&amp;"",K2678),K2678))</f>
        <v/>
      </c>
      <c r="AD2678" s="52">
        <f>IF(AB2678="","",IFERROR(INDEX(ctaTipo,MATCH(AB2678,ctaNombre,0))&amp;"",""))</f>
        <v/>
      </c>
      <c r="AE2678" s="52">
        <f>IF(AC2678="","",IFERROR(INDEX(ctaTipo,MATCH(AC2678,ctaNombre,0))&amp;"",""))</f>
        <v/>
      </c>
      <c r="AF2678" s="53">
        <f>IF(OR(P2678="",AB2678=""),"",IF(OR(P2678="Gasto",P2678="Transferencia",P2678="Pago tarjeta"),-1,1)*IF(IFERROR(INDEX(ctaMoneda,MATCH(AB2678,ctaNombre,0))&amp;"","DOP")="USD",T2678,S2678))</f>
        <v/>
      </c>
      <c r="AG2678" s="53">
        <f>IF(AC2678="","",IF(IFERROR(INDEX(ctaMoneda,MATCH(AC2678,ctaNombre,0))&amp;"","DOP")="USD",T2678,S2678))</f>
        <v/>
      </c>
      <c r="AH2678" s="53">
        <f>IF(P2678="","",IF(AND(AD2678&lt;&gt;"",COUNTIFS(tcTipo,AD2678,tcLiq,"Sí")&gt;0),IF(OR(P2678="Gasto",P2678="Transferencia",P2678="Pago tarjeta"),-1,1)*S2678,0)+IF(AND(AE2678&lt;&gt;"",COUNTIFS(tcTipo,AE2678,tcLiq,"Sí")&gt;0),S2678,0))</f>
        <v/>
      </c>
      <c r="AI2678" s="52">
        <f>IF(OR(L2678="",P2678=""),"",IF(COUNTIFS(L$6:L2678,L2678,P$6:P2678,"?*")=1,MAX(AI$5:AI2677)+1,""))</f>
        <v/>
      </c>
    </row>
    <row r="2679">
      <c r="B2679" s="47" t="n"/>
      <c r="C2679" s="48" t="n"/>
      <c r="D2679" s="48" t="n"/>
      <c r="E2679" s="48" t="n"/>
      <c r="F2679" s="48" t="n"/>
      <c r="G2679" s="49" t="n"/>
      <c r="H2679" s="48" t="n"/>
      <c r="I2679" s="50" t="n"/>
      <c r="J2679" s="48" t="n"/>
      <c r="K2679" s="48" t="n"/>
      <c r="L2679" s="48" t="n"/>
      <c r="M2679" s="48" t="n"/>
      <c r="N2679" s="48" t="n"/>
      <c r="O2679" s="51">
        <f>IF(AND(B2679="",G2679="",C2679="",D2679="",J2679=""),"",IF(B2679="","⚠ Falta fecha",IF(G2679="","⚠ Falta monto",IF(Q2679="","⚠ Falta cuenta",IF(ISNA(MATCH(Q2679,ctaNombre,0)),"⚠ Cuenta no registrada",IF(AND(OR(P2679="Gasto",P2679="Reembolso"),D2679=""),"⚠ Falta categoría",IF(AND(D2679&lt;&gt;"",E2679&lt;&gt;"",ISNA(MATCH(D2679&amp;"|"&amp;E2679,catClave,0))),"⚠ Subcategoría no corresponde",IF(AND(OR(P2679="Transferencia",P2679="Pago tarjeta"),K2679=""),"⚠ Falta cuenta destino",IF(AND(K2679&lt;&gt;"",P2679&lt;&gt;"Transferencia",P2679&lt;&gt;"Pago tarjeta"),"⚠ Destino solo aplica a transferencias",IF(AND(K2679&lt;&gt;"",K2679=Q2679),"⚠ Origen igual a destino",IF(AND(K2679&lt;&gt;"",ISNA(MATCH(K2679,ctaNombre,0))),"⚠ Destino no registrado",IF(AND(P2679="Pago tarjeta",AE2679&lt;&gt;"Tarjeta de crédito"),"⚠ El destino debe ser tarjeta de crédito",IF(AND(P2679="Gasto",E2679="Depósitos y retiros"),"⚠ Usa tipo Transferencia",IF(AND(P2679="Resultado trading",AD2679&lt;&gt;"Cuenta de trading"),"⚠ Usa una cuenta de trading",IF(AND(G2679&lt;=0,P2679&lt;&gt;"Ajuste",P2679&lt;&gt;"Resultado trading"),"⚠ El monto debe ser positivo","✓")))))))))))))))</f>
        <v/>
      </c>
      <c r="P2679" s="52">
        <f>IF(OR(B2679="",G2679=""),"",IF(C2679="","Gasto",C2679))</f>
        <v/>
      </c>
      <c r="Q2679" s="52">
        <f>IF(P2679="","",IF(J2679&lt;&gt;"",J2679,CuentaPred&amp;""))</f>
        <v/>
      </c>
      <c r="R2679" s="52">
        <f>IF(P2679="","",IF(ISNUMBER(I2679),I2679,TasaUSD))</f>
        <v/>
      </c>
      <c r="S2679" s="53">
        <f>IF(P2679="","",IF(H2679="USD",G2679*R2679,G2679))</f>
        <v/>
      </c>
      <c r="T2679" s="53">
        <f>IF(P2679="","",IF(H2679="USD",G2679,IF(R2679&gt;0,G2679/R2679,0)))</f>
        <v/>
      </c>
      <c r="U2679" s="53">
        <f>IF(P2679="","",IF(P2679="Gasto",S2679,IF(P2679="Reembolso",-S2679,0)))</f>
        <v/>
      </c>
      <c r="V2679" s="53">
        <f>IF(P2679="","",IF(P2679="Ingreso",S2679,0))</f>
        <v/>
      </c>
      <c r="W2679" s="53">
        <f>IF(P2679="","",IF(P2679="Resultado trading",S2679,0))</f>
        <v/>
      </c>
      <c r="X2679" s="52">
        <f>IF(OR(P2679="Gasto",P2679="Reembolso"),IF(M2679&lt;&gt;"",M2679,IFERROR(INDEX(catClasif,MATCH(D2679&amp;"|"&amp;E2679,catClave,0))&amp;"","Variable")),"")</f>
        <v/>
      </c>
      <c r="Y2679" s="52">
        <f>IF(P2679="","",IFERROR(INDEX(catGrupo,MATCH(D2679&amp;"|"&amp;E2679,catClave,0))&amp;"",""))</f>
        <v/>
      </c>
      <c r="Z2679" s="52">
        <f>IF(P2679="","",WEEKDAY(B2679,2))</f>
        <v/>
      </c>
      <c r="AA2679" s="52">
        <f>IF(P2679="","",IF(AND(P2679="Gasto",X2679="Variable",D2679&lt;&gt;catTrading,S2679&gt;0,S2679&lt;=Umbral),1,0))</f>
        <v/>
      </c>
      <c r="AB2679" s="52">
        <f>IF(OR(P2679="",Q2679=""),"",IFERROR(IF(INDEX(ctaVinc,MATCH(Q2679,ctaNombre,0))&amp;""&lt;&gt;"",INDEX(ctaVinc,MATCH(Q2679,ctaNombre,0))&amp;"",Q2679),Q2679))</f>
        <v/>
      </c>
      <c r="AC2679" s="52">
        <f>IF(OR(K2679="",AND(P2679&lt;&gt;"Transferencia",P2679&lt;&gt;"Pago tarjeta")),"",IFERROR(IF(INDEX(ctaVinc,MATCH(K2679,ctaNombre,0))&amp;""&lt;&gt;"",INDEX(ctaVinc,MATCH(K2679,ctaNombre,0))&amp;"",K2679),K2679))</f>
        <v/>
      </c>
      <c r="AD2679" s="52">
        <f>IF(AB2679="","",IFERROR(INDEX(ctaTipo,MATCH(AB2679,ctaNombre,0))&amp;"",""))</f>
        <v/>
      </c>
      <c r="AE2679" s="52">
        <f>IF(AC2679="","",IFERROR(INDEX(ctaTipo,MATCH(AC2679,ctaNombre,0))&amp;"",""))</f>
        <v/>
      </c>
      <c r="AF2679" s="53">
        <f>IF(OR(P2679="",AB2679=""),"",IF(OR(P2679="Gasto",P2679="Transferencia",P2679="Pago tarjeta"),-1,1)*IF(IFERROR(INDEX(ctaMoneda,MATCH(AB2679,ctaNombre,0))&amp;"","DOP")="USD",T2679,S2679))</f>
        <v/>
      </c>
      <c r="AG2679" s="53">
        <f>IF(AC2679="","",IF(IFERROR(INDEX(ctaMoneda,MATCH(AC2679,ctaNombre,0))&amp;"","DOP")="USD",T2679,S2679))</f>
        <v/>
      </c>
      <c r="AH2679" s="53">
        <f>IF(P2679="","",IF(AND(AD2679&lt;&gt;"",COUNTIFS(tcTipo,AD2679,tcLiq,"Sí")&gt;0),IF(OR(P2679="Gasto",P2679="Transferencia",P2679="Pago tarjeta"),-1,1)*S2679,0)+IF(AND(AE2679&lt;&gt;"",COUNTIFS(tcTipo,AE2679,tcLiq,"Sí")&gt;0),S2679,0))</f>
        <v/>
      </c>
      <c r="AI2679" s="52">
        <f>IF(OR(L2679="",P2679=""),"",IF(COUNTIFS(L$6:L2679,L2679,P$6:P2679,"?*")=1,MAX(AI$5:AI2678)+1,""))</f>
        <v/>
      </c>
    </row>
    <row r="2680">
      <c r="B2680" s="47" t="n"/>
      <c r="C2680" s="48" t="n"/>
      <c r="D2680" s="48" t="n"/>
      <c r="E2680" s="48" t="n"/>
      <c r="F2680" s="48" t="n"/>
      <c r="G2680" s="49" t="n"/>
      <c r="H2680" s="48" t="n"/>
      <c r="I2680" s="50" t="n"/>
      <c r="J2680" s="48" t="n"/>
      <c r="K2680" s="48" t="n"/>
      <c r="L2680" s="48" t="n"/>
      <c r="M2680" s="48" t="n"/>
      <c r="N2680" s="48" t="n"/>
      <c r="O2680" s="51">
        <f>IF(AND(B2680="",G2680="",C2680="",D2680="",J2680=""),"",IF(B2680="","⚠ Falta fecha",IF(G2680="","⚠ Falta monto",IF(Q2680="","⚠ Falta cuenta",IF(ISNA(MATCH(Q2680,ctaNombre,0)),"⚠ Cuenta no registrada",IF(AND(OR(P2680="Gasto",P2680="Reembolso"),D2680=""),"⚠ Falta categoría",IF(AND(D2680&lt;&gt;"",E2680&lt;&gt;"",ISNA(MATCH(D2680&amp;"|"&amp;E2680,catClave,0))),"⚠ Subcategoría no corresponde",IF(AND(OR(P2680="Transferencia",P2680="Pago tarjeta"),K2680=""),"⚠ Falta cuenta destino",IF(AND(K2680&lt;&gt;"",P2680&lt;&gt;"Transferencia",P2680&lt;&gt;"Pago tarjeta"),"⚠ Destino solo aplica a transferencias",IF(AND(K2680&lt;&gt;"",K2680=Q2680),"⚠ Origen igual a destino",IF(AND(K2680&lt;&gt;"",ISNA(MATCH(K2680,ctaNombre,0))),"⚠ Destino no registrado",IF(AND(P2680="Pago tarjeta",AE2680&lt;&gt;"Tarjeta de crédito"),"⚠ El destino debe ser tarjeta de crédito",IF(AND(P2680="Gasto",E2680="Depósitos y retiros"),"⚠ Usa tipo Transferencia",IF(AND(P2680="Resultado trading",AD2680&lt;&gt;"Cuenta de trading"),"⚠ Usa una cuenta de trading",IF(AND(G2680&lt;=0,P2680&lt;&gt;"Ajuste",P2680&lt;&gt;"Resultado trading"),"⚠ El monto debe ser positivo","✓")))))))))))))))</f>
        <v/>
      </c>
      <c r="P2680" s="52">
        <f>IF(OR(B2680="",G2680=""),"",IF(C2680="","Gasto",C2680))</f>
        <v/>
      </c>
      <c r="Q2680" s="52">
        <f>IF(P2680="","",IF(J2680&lt;&gt;"",J2680,CuentaPred&amp;""))</f>
        <v/>
      </c>
      <c r="R2680" s="52">
        <f>IF(P2680="","",IF(ISNUMBER(I2680),I2680,TasaUSD))</f>
        <v/>
      </c>
      <c r="S2680" s="53">
        <f>IF(P2680="","",IF(H2680="USD",G2680*R2680,G2680))</f>
        <v/>
      </c>
      <c r="T2680" s="53">
        <f>IF(P2680="","",IF(H2680="USD",G2680,IF(R2680&gt;0,G2680/R2680,0)))</f>
        <v/>
      </c>
      <c r="U2680" s="53">
        <f>IF(P2680="","",IF(P2680="Gasto",S2680,IF(P2680="Reembolso",-S2680,0)))</f>
        <v/>
      </c>
      <c r="V2680" s="53">
        <f>IF(P2680="","",IF(P2680="Ingreso",S2680,0))</f>
        <v/>
      </c>
      <c r="W2680" s="53">
        <f>IF(P2680="","",IF(P2680="Resultado trading",S2680,0))</f>
        <v/>
      </c>
      <c r="X2680" s="52">
        <f>IF(OR(P2680="Gasto",P2680="Reembolso"),IF(M2680&lt;&gt;"",M2680,IFERROR(INDEX(catClasif,MATCH(D2680&amp;"|"&amp;E2680,catClave,0))&amp;"","Variable")),"")</f>
        <v/>
      </c>
      <c r="Y2680" s="52">
        <f>IF(P2680="","",IFERROR(INDEX(catGrupo,MATCH(D2680&amp;"|"&amp;E2680,catClave,0))&amp;"",""))</f>
        <v/>
      </c>
      <c r="Z2680" s="52">
        <f>IF(P2680="","",WEEKDAY(B2680,2))</f>
        <v/>
      </c>
      <c r="AA2680" s="52">
        <f>IF(P2680="","",IF(AND(P2680="Gasto",X2680="Variable",D2680&lt;&gt;catTrading,S2680&gt;0,S2680&lt;=Umbral),1,0))</f>
        <v/>
      </c>
      <c r="AB2680" s="52">
        <f>IF(OR(P2680="",Q2680=""),"",IFERROR(IF(INDEX(ctaVinc,MATCH(Q2680,ctaNombre,0))&amp;""&lt;&gt;"",INDEX(ctaVinc,MATCH(Q2680,ctaNombre,0))&amp;"",Q2680),Q2680))</f>
        <v/>
      </c>
      <c r="AC2680" s="52">
        <f>IF(OR(K2680="",AND(P2680&lt;&gt;"Transferencia",P2680&lt;&gt;"Pago tarjeta")),"",IFERROR(IF(INDEX(ctaVinc,MATCH(K2680,ctaNombre,0))&amp;""&lt;&gt;"",INDEX(ctaVinc,MATCH(K2680,ctaNombre,0))&amp;"",K2680),K2680))</f>
        <v/>
      </c>
      <c r="AD2680" s="52">
        <f>IF(AB2680="","",IFERROR(INDEX(ctaTipo,MATCH(AB2680,ctaNombre,0))&amp;"",""))</f>
        <v/>
      </c>
      <c r="AE2680" s="52">
        <f>IF(AC2680="","",IFERROR(INDEX(ctaTipo,MATCH(AC2680,ctaNombre,0))&amp;"",""))</f>
        <v/>
      </c>
      <c r="AF2680" s="53">
        <f>IF(OR(P2680="",AB2680=""),"",IF(OR(P2680="Gasto",P2680="Transferencia",P2680="Pago tarjeta"),-1,1)*IF(IFERROR(INDEX(ctaMoneda,MATCH(AB2680,ctaNombre,0))&amp;"","DOP")="USD",T2680,S2680))</f>
        <v/>
      </c>
      <c r="AG2680" s="53">
        <f>IF(AC2680="","",IF(IFERROR(INDEX(ctaMoneda,MATCH(AC2680,ctaNombre,0))&amp;"","DOP")="USD",T2680,S2680))</f>
        <v/>
      </c>
      <c r="AH2680" s="53">
        <f>IF(P2680="","",IF(AND(AD2680&lt;&gt;"",COUNTIFS(tcTipo,AD2680,tcLiq,"Sí")&gt;0),IF(OR(P2680="Gasto",P2680="Transferencia",P2680="Pago tarjeta"),-1,1)*S2680,0)+IF(AND(AE2680&lt;&gt;"",COUNTIFS(tcTipo,AE2680,tcLiq,"Sí")&gt;0),S2680,0))</f>
        <v/>
      </c>
      <c r="AI2680" s="52">
        <f>IF(OR(L2680="",P2680=""),"",IF(COUNTIFS(L$6:L2680,L2680,P$6:P2680,"?*")=1,MAX(AI$5:AI2679)+1,""))</f>
        <v/>
      </c>
    </row>
    <row r="2681">
      <c r="B2681" s="47" t="n"/>
      <c r="C2681" s="48" t="n"/>
      <c r="D2681" s="48" t="n"/>
      <c r="E2681" s="48" t="n"/>
      <c r="F2681" s="48" t="n"/>
      <c r="G2681" s="49" t="n"/>
      <c r="H2681" s="48" t="n"/>
      <c r="I2681" s="50" t="n"/>
      <c r="J2681" s="48" t="n"/>
      <c r="K2681" s="48" t="n"/>
      <c r="L2681" s="48" t="n"/>
      <c r="M2681" s="48" t="n"/>
      <c r="N2681" s="48" t="n"/>
      <c r="O2681" s="51">
        <f>IF(AND(B2681="",G2681="",C2681="",D2681="",J2681=""),"",IF(B2681="","⚠ Falta fecha",IF(G2681="","⚠ Falta monto",IF(Q2681="","⚠ Falta cuenta",IF(ISNA(MATCH(Q2681,ctaNombre,0)),"⚠ Cuenta no registrada",IF(AND(OR(P2681="Gasto",P2681="Reembolso"),D2681=""),"⚠ Falta categoría",IF(AND(D2681&lt;&gt;"",E2681&lt;&gt;"",ISNA(MATCH(D2681&amp;"|"&amp;E2681,catClave,0))),"⚠ Subcategoría no corresponde",IF(AND(OR(P2681="Transferencia",P2681="Pago tarjeta"),K2681=""),"⚠ Falta cuenta destino",IF(AND(K2681&lt;&gt;"",P2681&lt;&gt;"Transferencia",P2681&lt;&gt;"Pago tarjeta"),"⚠ Destino solo aplica a transferencias",IF(AND(K2681&lt;&gt;"",K2681=Q2681),"⚠ Origen igual a destino",IF(AND(K2681&lt;&gt;"",ISNA(MATCH(K2681,ctaNombre,0))),"⚠ Destino no registrado",IF(AND(P2681="Pago tarjeta",AE2681&lt;&gt;"Tarjeta de crédito"),"⚠ El destino debe ser tarjeta de crédito",IF(AND(P2681="Gasto",E2681="Depósitos y retiros"),"⚠ Usa tipo Transferencia",IF(AND(P2681="Resultado trading",AD2681&lt;&gt;"Cuenta de trading"),"⚠ Usa una cuenta de trading",IF(AND(G2681&lt;=0,P2681&lt;&gt;"Ajuste",P2681&lt;&gt;"Resultado trading"),"⚠ El monto debe ser positivo","✓")))))))))))))))</f>
        <v/>
      </c>
      <c r="P2681" s="52">
        <f>IF(OR(B2681="",G2681=""),"",IF(C2681="","Gasto",C2681))</f>
        <v/>
      </c>
      <c r="Q2681" s="52">
        <f>IF(P2681="","",IF(J2681&lt;&gt;"",J2681,CuentaPred&amp;""))</f>
        <v/>
      </c>
      <c r="R2681" s="52">
        <f>IF(P2681="","",IF(ISNUMBER(I2681),I2681,TasaUSD))</f>
        <v/>
      </c>
      <c r="S2681" s="53">
        <f>IF(P2681="","",IF(H2681="USD",G2681*R2681,G2681))</f>
        <v/>
      </c>
      <c r="T2681" s="53">
        <f>IF(P2681="","",IF(H2681="USD",G2681,IF(R2681&gt;0,G2681/R2681,0)))</f>
        <v/>
      </c>
      <c r="U2681" s="53">
        <f>IF(P2681="","",IF(P2681="Gasto",S2681,IF(P2681="Reembolso",-S2681,0)))</f>
        <v/>
      </c>
      <c r="V2681" s="53">
        <f>IF(P2681="","",IF(P2681="Ingreso",S2681,0))</f>
        <v/>
      </c>
      <c r="W2681" s="53">
        <f>IF(P2681="","",IF(P2681="Resultado trading",S2681,0))</f>
        <v/>
      </c>
      <c r="X2681" s="52">
        <f>IF(OR(P2681="Gasto",P2681="Reembolso"),IF(M2681&lt;&gt;"",M2681,IFERROR(INDEX(catClasif,MATCH(D2681&amp;"|"&amp;E2681,catClave,0))&amp;"","Variable")),"")</f>
        <v/>
      </c>
      <c r="Y2681" s="52">
        <f>IF(P2681="","",IFERROR(INDEX(catGrupo,MATCH(D2681&amp;"|"&amp;E2681,catClave,0))&amp;"",""))</f>
        <v/>
      </c>
      <c r="Z2681" s="52">
        <f>IF(P2681="","",WEEKDAY(B2681,2))</f>
        <v/>
      </c>
      <c r="AA2681" s="52">
        <f>IF(P2681="","",IF(AND(P2681="Gasto",X2681="Variable",D2681&lt;&gt;catTrading,S2681&gt;0,S2681&lt;=Umbral),1,0))</f>
        <v/>
      </c>
      <c r="AB2681" s="52">
        <f>IF(OR(P2681="",Q2681=""),"",IFERROR(IF(INDEX(ctaVinc,MATCH(Q2681,ctaNombre,0))&amp;""&lt;&gt;"",INDEX(ctaVinc,MATCH(Q2681,ctaNombre,0))&amp;"",Q2681),Q2681))</f>
        <v/>
      </c>
      <c r="AC2681" s="52">
        <f>IF(OR(K2681="",AND(P2681&lt;&gt;"Transferencia",P2681&lt;&gt;"Pago tarjeta")),"",IFERROR(IF(INDEX(ctaVinc,MATCH(K2681,ctaNombre,0))&amp;""&lt;&gt;"",INDEX(ctaVinc,MATCH(K2681,ctaNombre,0))&amp;"",K2681),K2681))</f>
        <v/>
      </c>
      <c r="AD2681" s="52">
        <f>IF(AB2681="","",IFERROR(INDEX(ctaTipo,MATCH(AB2681,ctaNombre,0))&amp;"",""))</f>
        <v/>
      </c>
      <c r="AE2681" s="52">
        <f>IF(AC2681="","",IFERROR(INDEX(ctaTipo,MATCH(AC2681,ctaNombre,0))&amp;"",""))</f>
        <v/>
      </c>
      <c r="AF2681" s="53">
        <f>IF(OR(P2681="",AB2681=""),"",IF(OR(P2681="Gasto",P2681="Transferencia",P2681="Pago tarjeta"),-1,1)*IF(IFERROR(INDEX(ctaMoneda,MATCH(AB2681,ctaNombre,0))&amp;"","DOP")="USD",T2681,S2681))</f>
        <v/>
      </c>
      <c r="AG2681" s="53">
        <f>IF(AC2681="","",IF(IFERROR(INDEX(ctaMoneda,MATCH(AC2681,ctaNombre,0))&amp;"","DOP")="USD",T2681,S2681))</f>
        <v/>
      </c>
      <c r="AH2681" s="53">
        <f>IF(P2681="","",IF(AND(AD2681&lt;&gt;"",COUNTIFS(tcTipo,AD2681,tcLiq,"Sí")&gt;0),IF(OR(P2681="Gasto",P2681="Transferencia",P2681="Pago tarjeta"),-1,1)*S2681,0)+IF(AND(AE2681&lt;&gt;"",COUNTIFS(tcTipo,AE2681,tcLiq,"Sí")&gt;0),S2681,0))</f>
        <v/>
      </c>
      <c r="AI2681" s="52">
        <f>IF(OR(L2681="",P2681=""),"",IF(COUNTIFS(L$6:L2681,L2681,P$6:P2681,"?*")=1,MAX(AI$5:AI2680)+1,""))</f>
        <v/>
      </c>
    </row>
    <row r="2682">
      <c r="B2682" s="47" t="n"/>
      <c r="C2682" s="48" t="n"/>
      <c r="D2682" s="48" t="n"/>
      <c r="E2682" s="48" t="n"/>
      <c r="F2682" s="48" t="n"/>
      <c r="G2682" s="49" t="n"/>
      <c r="H2682" s="48" t="n"/>
      <c r="I2682" s="50" t="n"/>
      <c r="J2682" s="48" t="n"/>
      <c r="K2682" s="48" t="n"/>
      <c r="L2682" s="48" t="n"/>
      <c r="M2682" s="48" t="n"/>
      <c r="N2682" s="48" t="n"/>
      <c r="O2682" s="51">
        <f>IF(AND(B2682="",G2682="",C2682="",D2682="",J2682=""),"",IF(B2682="","⚠ Falta fecha",IF(G2682="","⚠ Falta monto",IF(Q2682="","⚠ Falta cuenta",IF(ISNA(MATCH(Q2682,ctaNombre,0)),"⚠ Cuenta no registrada",IF(AND(OR(P2682="Gasto",P2682="Reembolso"),D2682=""),"⚠ Falta categoría",IF(AND(D2682&lt;&gt;"",E2682&lt;&gt;"",ISNA(MATCH(D2682&amp;"|"&amp;E2682,catClave,0))),"⚠ Subcategoría no corresponde",IF(AND(OR(P2682="Transferencia",P2682="Pago tarjeta"),K2682=""),"⚠ Falta cuenta destino",IF(AND(K2682&lt;&gt;"",P2682&lt;&gt;"Transferencia",P2682&lt;&gt;"Pago tarjeta"),"⚠ Destino solo aplica a transferencias",IF(AND(K2682&lt;&gt;"",K2682=Q2682),"⚠ Origen igual a destino",IF(AND(K2682&lt;&gt;"",ISNA(MATCH(K2682,ctaNombre,0))),"⚠ Destino no registrado",IF(AND(P2682="Pago tarjeta",AE2682&lt;&gt;"Tarjeta de crédito"),"⚠ El destino debe ser tarjeta de crédito",IF(AND(P2682="Gasto",E2682="Depósitos y retiros"),"⚠ Usa tipo Transferencia",IF(AND(P2682="Resultado trading",AD2682&lt;&gt;"Cuenta de trading"),"⚠ Usa una cuenta de trading",IF(AND(G2682&lt;=0,P2682&lt;&gt;"Ajuste",P2682&lt;&gt;"Resultado trading"),"⚠ El monto debe ser positivo","✓")))))))))))))))</f>
        <v/>
      </c>
      <c r="P2682" s="52">
        <f>IF(OR(B2682="",G2682=""),"",IF(C2682="","Gasto",C2682))</f>
        <v/>
      </c>
      <c r="Q2682" s="52">
        <f>IF(P2682="","",IF(J2682&lt;&gt;"",J2682,CuentaPred&amp;""))</f>
        <v/>
      </c>
      <c r="R2682" s="52">
        <f>IF(P2682="","",IF(ISNUMBER(I2682),I2682,TasaUSD))</f>
        <v/>
      </c>
      <c r="S2682" s="53">
        <f>IF(P2682="","",IF(H2682="USD",G2682*R2682,G2682))</f>
        <v/>
      </c>
      <c r="T2682" s="53">
        <f>IF(P2682="","",IF(H2682="USD",G2682,IF(R2682&gt;0,G2682/R2682,0)))</f>
        <v/>
      </c>
      <c r="U2682" s="53">
        <f>IF(P2682="","",IF(P2682="Gasto",S2682,IF(P2682="Reembolso",-S2682,0)))</f>
        <v/>
      </c>
      <c r="V2682" s="53">
        <f>IF(P2682="","",IF(P2682="Ingreso",S2682,0))</f>
        <v/>
      </c>
      <c r="W2682" s="53">
        <f>IF(P2682="","",IF(P2682="Resultado trading",S2682,0))</f>
        <v/>
      </c>
      <c r="X2682" s="52">
        <f>IF(OR(P2682="Gasto",P2682="Reembolso"),IF(M2682&lt;&gt;"",M2682,IFERROR(INDEX(catClasif,MATCH(D2682&amp;"|"&amp;E2682,catClave,0))&amp;"","Variable")),"")</f>
        <v/>
      </c>
      <c r="Y2682" s="52">
        <f>IF(P2682="","",IFERROR(INDEX(catGrupo,MATCH(D2682&amp;"|"&amp;E2682,catClave,0))&amp;"",""))</f>
        <v/>
      </c>
      <c r="Z2682" s="52">
        <f>IF(P2682="","",WEEKDAY(B2682,2))</f>
        <v/>
      </c>
      <c r="AA2682" s="52">
        <f>IF(P2682="","",IF(AND(P2682="Gasto",X2682="Variable",D2682&lt;&gt;catTrading,S2682&gt;0,S2682&lt;=Umbral),1,0))</f>
        <v/>
      </c>
      <c r="AB2682" s="52">
        <f>IF(OR(P2682="",Q2682=""),"",IFERROR(IF(INDEX(ctaVinc,MATCH(Q2682,ctaNombre,0))&amp;""&lt;&gt;"",INDEX(ctaVinc,MATCH(Q2682,ctaNombre,0))&amp;"",Q2682),Q2682))</f>
        <v/>
      </c>
      <c r="AC2682" s="52">
        <f>IF(OR(K2682="",AND(P2682&lt;&gt;"Transferencia",P2682&lt;&gt;"Pago tarjeta")),"",IFERROR(IF(INDEX(ctaVinc,MATCH(K2682,ctaNombre,0))&amp;""&lt;&gt;"",INDEX(ctaVinc,MATCH(K2682,ctaNombre,0))&amp;"",K2682),K2682))</f>
        <v/>
      </c>
      <c r="AD2682" s="52">
        <f>IF(AB2682="","",IFERROR(INDEX(ctaTipo,MATCH(AB2682,ctaNombre,0))&amp;"",""))</f>
        <v/>
      </c>
      <c r="AE2682" s="52">
        <f>IF(AC2682="","",IFERROR(INDEX(ctaTipo,MATCH(AC2682,ctaNombre,0))&amp;"",""))</f>
        <v/>
      </c>
      <c r="AF2682" s="53">
        <f>IF(OR(P2682="",AB2682=""),"",IF(OR(P2682="Gasto",P2682="Transferencia",P2682="Pago tarjeta"),-1,1)*IF(IFERROR(INDEX(ctaMoneda,MATCH(AB2682,ctaNombre,0))&amp;"","DOP")="USD",T2682,S2682))</f>
        <v/>
      </c>
      <c r="AG2682" s="53">
        <f>IF(AC2682="","",IF(IFERROR(INDEX(ctaMoneda,MATCH(AC2682,ctaNombre,0))&amp;"","DOP")="USD",T2682,S2682))</f>
        <v/>
      </c>
      <c r="AH2682" s="53">
        <f>IF(P2682="","",IF(AND(AD2682&lt;&gt;"",COUNTIFS(tcTipo,AD2682,tcLiq,"Sí")&gt;0),IF(OR(P2682="Gasto",P2682="Transferencia",P2682="Pago tarjeta"),-1,1)*S2682,0)+IF(AND(AE2682&lt;&gt;"",COUNTIFS(tcTipo,AE2682,tcLiq,"Sí")&gt;0),S2682,0))</f>
        <v/>
      </c>
      <c r="AI2682" s="52">
        <f>IF(OR(L2682="",P2682=""),"",IF(COUNTIFS(L$6:L2682,L2682,P$6:P2682,"?*")=1,MAX(AI$5:AI2681)+1,""))</f>
        <v/>
      </c>
    </row>
    <row r="2683">
      <c r="B2683" s="47" t="n"/>
      <c r="C2683" s="48" t="n"/>
      <c r="D2683" s="48" t="n"/>
      <c r="E2683" s="48" t="n"/>
      <c r="F2683" s="48" t="n"/>
      <c r="G2683" s="49" t="n"/>
      <c r="H2683" s="48" t="n"/>
      <c r="I2683" s="50" t="n"/>
      <c r="J2683" s="48" t="n"/>
      <c r="K2683" s="48" t="n"/>
      <c r="L2683" s="48" t="n"/>
      <c r="M2683" s="48" t="n"/>
      <c r="N2683" s="48" t="n"/>
      <c r="O2683" s="51">
        <f>IF(AND(B2683="",G2683="",C2683="",D2683="",J2683=""),"",IF(B2683="","⚠ Falta fecha",IF(G2683="","⚠ Falta monto",IF(Q2683="","⚠ Falta cuenta",IF(ISNA(MATCH(Q2683,ctaNombre,0)),"⚠ Cuenta no registrada",IF(AND(OR(P2683="Gasto",P2683="Reembolso"),D2683=""),"⚠ Falta categoría",IF(AND(D2683&lt;&gt;"",E2683&lt;&gt;"",ISNA(MATCH(D2683&amp;"|"&amp;E2683,catClave,0))),"⚠ Subcategoría no corresponde",IF(AND(OR(P2683="Transferencia",P2683="Pago tarjeta"),K2683=""),"⚠ Falta cuenta destino",IF(AND(K2683&lt;&gt;"",P2683&lt;&gt;"Transferencia",P2683&lt;&gt;"Pago tarjeta"),"⚠ Destino solo aplica a transferencias",IF(AND(K2683&lt;&gt;"",K2683=Q2683),"⚠ Origen igual a destino",IF(AND(K2683&lt;&gt;"",ISNA(MATCH(K2683,ctaNombre,0))),"⚠ Destino no registrado",IF(AND(P2683="Pago tarjeta",AE2683&lt;&gt;"Tarjeta de crédito"),"⚠ El destino debe ser tarjeta de crédito",IF(AND(P2683="Gasto",E2683="Depósitos y retiros"),"⚠ Usa tipo Transferencia",IF(AND(P2683="Resultado trading",AD2683&lt;&gt;"Cuenta de trading"),"⚠ Usa una cuenta de trading",IF(AND(G2683&lt;=0,P2683&lt;&gt;"Ajuste",P2683&lt;&gt;"Resultado trading"),"⚠ El monto debe ser positivo","✓")))))))))))))))</f>
        <v/>
      </c>
      <c r="P2683" s="52">
        <f>IF(OR(B2683="",G2683=""),"",IF(C2683="","Gasto",C2683))</f>
        <v/>
      </c>
      <c r="Q2683" s="52">
        <f>IF(P2683="","",IF(J2683&lt;&gt;"",J2683,CuentaPred&amp;""))</f>
        <v/>
      </c>
      <c r="R2683" s="52">
        <f>IF(P2683="","",IF(ISNUMBER(I2683),I2683,TasaUSD))</f>
        <v/>
      </c>
      <c r="S2683" s="53">
        <f>IF(P2683="","",IF(H2683="USD",G2683*R2683,G2683))</f>
        <v/>
      </c>
      <c r="T2683" s="53">
        <f>IF(P2683="","",IF(H2683="USD",G2683,IF(R2683&gt;0,G2683/R2683,0)))</f>
        <v/>
      </c>
      <c r="U2683" s="53">
        <f>IF(P2683="","",IF(P2683="Gasto",S2683,IF(P2683="Reembolso",-S2683,0)))</f>
        <v/>
      </c>
      <c r="V2683" s="53">
        <f>IF(P2683="","",IF(P2683="Ingreso",S2683,0))</f>
        <v/>
      </c>
      <c r="W2683" s="53">
        <f>IF(P2683="","",IF(P2683="Resultado trading",S2683,0))</f>
        <v/>
      </c>
      <c r="X2683" s="52">
        <f>IF(OR(P2683="Gasto",P2683="Reembolso"),IF(M2683&lt;&gt;"",M2683,IFERROR(INDEX(catClasif,MATCH(D2683&amp;"|"&amp;E2683,catClave,0))&amp;"","Variable")),"")</f>
        <v/>
      </c>
      <c r="Y2683" s="52">
        <f>IF(P2683="","",IFERROR(INDEX(catGrupo,MATCH(D2683&amp;"|"&amp;E2683,catClave,0))&amp;"",""))</f>
        <v/>
      </c>
      <c r="Z2683" s="52">
        <f>IF(P2683="","",WEEKDAY(B2683,2))</f>
        <v/>
      </c>
      <c r="AA2683" s="52">
        <f>IF(P2683="","",IF(AND(P2683="Gasto",X2683="Variable",D2683&lt;&gt;catTrading,S2683&gt;0,S2683&lt;=Umbral),1,0))</f>
        <v/>
      </c>
      <c r="AB2683" s="52">
        <f>IF(OR(P2683="",Q2683=""),"",IFERROR(IF(INDEX(ctaVinc,MATCH(Q2683,ctaNombre,0))&amp;""&lt;&gt;"",INDEX(ctaVinc,MATCH(Q2683,ctaNombre,0))&amp;"",Q2683),Q2683))</f>
        <v/>
      </c>
      <c r="AC2683" s="52">
        <f>IF(OR(K2683="",AND(P2683&lt;&gt;"Transferencia",P2683&lt;&gt;"Pago tarjeta")),"",IFERROR(IF(INDEX(ctaVinc,MATCH(K2683,ctaNombre,0))&amp;""&lt;&gt;"",INDEX(ctaVinc,MATCH(K2683,ctaNombre,0))&amp;"",K2683),K2683))</f>
        <v/>
      </c>
      <c r="AD2683" s="52">
        <f>IF(AB2683="","",IFERROR(INDEX(ctaTipo,MATCH(AB2683,ctaNombre,0))&amp;"",""))</f>
        <v/>
      </c>
      <c r="AE2683" s="52">
        <f>IF(AC2683="","",IFERROR(INDEX(ctaTipo,MATCH(AC2683,ctaNombre,0))&amp;"",""))</f>
        <v/>
      </c>
      <c r="AF2683" s="53">
        <f>IF(OR(P2683="",AB2683=""),"",IF(OR(P2683="Gasto",P2683="Transferencia",P2683="Pago tarjeta"),-1,1)*IF(IFERROR(INDEX(ctaMoneda,MATCH(AB2683,ctaNombre,0))&amp;"","DOP")="USD",T2683,S2683))</f>
        <v/>
      </c>
      <c r="AG2683" s="53">
        <f>IF(AC2683="","",IF(IFERROR(INDEX(ctaMoneda,MATCH(AC2683,ctaNombre,0))&amp;"","DOP")="USD",T2683,S2683))</f>
        <v/>
      </c>
      <c r="AH2683" s="53">
        <f>IF(P2683="","",IF(AND(AD2683&lt;&gt;"",COUNTIFS(tcTipo,AD2683,tcLiq,"Sí")&gt;0),IF(OR(P2683="Gasto",P2683="Transferencia",P2683="Pago tarjeta"),-1,1)*S2683,0)+IF(AND(AE2683&lt;&gt;"",COUNTIFS(tcTipo,AE2683,tcLiq,"Sí")&gt;0),S2683,0))</f>
        <v/>
      </c>
      <c r="AI2683" s="52">
        <f>IF(OR(L2683="",P2683=""),"",IF(COUNTIFS(L$6:L2683,L2683,P$6:P2683,"?*")=1,MAX(AI$5:AI2682)+1,""))</f>
        <v/>
      </c>
    </row>
    <row r="2684">
      <c r="B2684" s="47" t="n"/>
      <c r="C2684" s="48" t="n"/>
      <c r="D2684" s="48" t="n"/>
      <c r="E2684" s="48" t="n"/>
      <c r="F2684" s="48" t="n"/>
      <c r="G2684" s="49" t="n"/>
      <c r="H2684" s="48" t="n"/>
      <c r="I2684" s="50" t="n"/>
      <c r="J2684" s="48" t="n"/>
      <c r="K2684" s="48" t="n"/>
      <c r="L2684" s="48" t="n"/>
      <c r="M2684" s="48" t="n"/>
      <c r="N2684" s="48" t="n"/>
      <c r="O2684" s="51">
        <f>IF(AND(B2684="",G2684="",C2684="",D2684="",J2684=""),"",IF(B2684="","⚠ Falta fecha",IF(G2684="","⚠ Falta monto",IF(Q2684="","⚠ Falta cuenta",IF(ISNA(MATCH(Q2684,ctaNombre,0)),"⚠ Cuenta no registrada",IF(AND(OR(P2684="Gasto",P2684="Reembolso"),D2684=""),"⚠ Falta categoría",IF(AND(D2684&lt;&gt;"",E2684&lt;&gt;"",ISNA(MATCH(D2684&amp;"|"&amp;E2684,catClave,0))),"⚠ Subcategoría no corresponde",IF(AND(OR(P2684="Transferencia",P2684="Pago tarjeta"),K2684=""),"⚠ Falta cuenta destino",IF(AND(K2684&lt;&gt;"",P2684&lt;&gt;"Transferencia",P2684&lt;&gt;"Pago tarjeta"),"⚠ Destino solo aplica a transferencias",IF(AND(K2684&lt;&gt;"",K2684=Q2684),"⚠ Origen igual a destino",IF(AND(K2684&lt;&gt;"",ISNA(MATCH(K2684,ctaNombre,0))),"⚠ Destino no registrado",IF(AND(P2684="Pago tarjeta",AE2684&lt;&gt;"Tarjeta de crédito"),"⚠ El destino debe ser tarjeta de crédito",IF(AND(P2684="Gasto",E2684="Depósitos y retiros"),"⚠ Usa tipo Transferencia",IF(AND(P2684="Resultado trading",AD2684&lt;&gt;"Cuenta de trading"),"⚠ Usa una cuenta de trading",IF(AND(G2684&lt;=0,P2684&lt;&gt;"Ajuste",P2684&lt;&gt;"Resultado trading"),"⚠ El monto debe ser positivo","✓")))))))))))))))</f>
        <v/>
      </c>
      <c r="P2684" s="52">
        <f>IF(OR(B2684="",G2684=""),"",IF(C2684="","Gasto",C2684))</f>
        <v/>
      </c>
      <c r="Q2684" s="52">
        <f>IF(P2684="","",IF(J2684&lt;&gt;"",J2684,CuentaPred&amp;""))</f>
        <v/>
      </c>
      <c r="R2684" s="52">
        <f>IF(P2684="","",IF(ISNUMBER(I2684),I2684,TasaUSD))</f>
        <v/>
      </c>
      <c r="S2684" s="53">
        <f>IF(P2684="","",IF(H2684="USD",G2684*R2684,G2684))</f>
        <v/>
      </c>
      <c r="T2684" s="53">
        <f>IF(P2684="","",IF(H2684="USD",G2684,IF(R2684&gt;0,G2684/R2684,0)))</f>
        <v/>
      </c>
      <c r="U2684" s="53">
        <f>IF(P2684="","",IF(P2684="Gasto",S2684,IF(P2684="Reembolso",-S2684,0)))</f>
        <v/>
      </c>
      <c r="V2684" s="53">
        <f>IF(P2684="","",IF(P2684="Ingreso",S2684,0))</f>
        <v/>
      </c>
      <c r="W2684" s="53">
        <f>IF(P2684="","",IF(P2684="Resultado trading",S2684,0))</f>
        <v/>
      </c>
      <c r="X2684" s="52">
        <f>IF(OR(P2684="Gasto",P2684="Reembolso"),IF(M2684&lt;&gt;"",M2684,IFERROR(INDEX(catClasif,MATCH(D2684&amp;"|"&amp;E2684,catClave,0))&amp;"","Variable")),"")</f>
        <v/>
      </c>
      <c r="Y2684" s="52">
        <f>IF(P2684="","",IFERROR(INDEX(catGrupo,MATCH(D2684&amp;"|"&amp;E2684,catClave,0))&amp;"",""))</f>
        <v/>
      </c>
      <c r="Z2684" s="52">
        <f>IF(P2684="","",WEEKDAY(B2684,2))</f>
        <v/>
      </c>
      <c r="AA2684" s="52">
        <f>IF(P2684="","",IF(AND(P2684="Gasto",X2684="Variable",D2684&lt;&gt;catTrading,S2684&gt;0,S2684&lt;=Umbral),1,0))</f>
        <v/>
      </c>
      <c r="AB2684" s="52">
        <f>IF(OR(P2684="",Q2684=""),"",IFERROR(IF(INDEX(ctaVinc,MATCH(Q2684,ctaNombre,0))&amp;""&lt;&gt;"",INDEX(ctaVinc,MATCH(Q2684,ctaNombre,0))&amp;"",Q2684),Q2684))</f>
        <v/>
      </c>
      <c r="AC2684" s="52">
        <f>IF(OR(K2684="",AND(P2684&lt;&gt;"Transferencia",P2684&lt;&gt;"Pago tarjeta")),"",IFERROR(IF(INDEX(ctaVinc,MATCH(K2684,ctaNombre,0))&amp;""&lt;&gt;"",INDEX(ctaVinc,MATCH(K2684,ctaNombre,0))&amp;"",K2684),K2684))</f>
        <v/>
      </c>
      <c r="AD2684" s="52">
        <f>IF(AB2684="","",IFERROR(INDEX(ctaTipo,MATCH(AB2684,ctaNombre,0))&amp;"",""))</f>
        <v/>
      </c>
      <c r="AE2684" s="52">
        <f>IF(AC2684="","",IFERROR(INDEX(ctaTipo,MATCH(AC2684,ctaNombre,0))&amp;"",""))</f>
        <v/>
      </c>
      <c r="AF2684" s="53">
        <f>IF(OR(P2684="",AB2684=""),"",IF(OR(P2684="Gasto",P2684="Transferencia",P2684="Pago tarjeta"),-1,1)*IF(IFERROR(INDEX(ctaMoneda,MATCH(AB2684,ctaNombre,0))&amp;"","DOP")="USD",T2684,S2684))</f>
        <v/>
      </c>
      <c r="AG2684" s="53">
        <f>IF(AC2684="","",IF(IFERROR(INDEX(ctaMoneda,MATCH(AC2684,ctaNombre,0))&amp;"","DOP")="USD",T2684,S2684))</f>
        <v/>
      </c>
      <c r="AH2684" s="53">
        <f>IF(P2684="","",IF(AND(AD2684&lt;&gt;"",COUNTIFS(tcTipo,AD2684,tcLiq,"Sí")&gt;0),IF(OR(P2684="Gasto",P2684="Transferencia",P2684="Pago tarjeta"),-1,1)*S2684,0)+IF(AND(AE2684&lt;&gt;"",COUNTIFS(tcTipo,AE2684,tcLiq,"Sí")&gt;0),S2684,0))</f>
        <v/>
      </c>
      <c r="AI2684" s="52">
        <f>IF(OR(L2684="",P2684=""),"",IF(COUNTIFS(L$6:L2684,L2684,P$6:P2684,"?*")=1,MAX(AI$5:AI2683)+1,""))</f>
        <v/>
      </c>
    </row>
    <row r="2685">
      <c r="B2685" s="47" t="n"/>
      <c r="C2685" s="48" t="n"/>
      <c r="D2685" s="48" t="n"/>
      <c r="E2685" s="48" t="n"/>
      <c r="F2685" s="48" t="n"/>
      <c r="G2685" s="49" t="n"/>
      <c r="H2685" s="48" t="n"/>
      <c r="I2685" s="50" t="n"/>
      <c r="J2685" s="48" t="n"/>
      <c r="K2685" s="48" t="n"/>
      <c r="L2685" s="48" t="n"/>
      <c r="M2685" s="48" t="n"/>
      <c r="N2685" s="48" t="n"/>
      <c r="O2685" s="51">
        <f>IF(AND(B2685="",G2685="",C2685="",D2685="",J2685=""),"",IF(B2685="","⚠ Falta fecha",IF(G2685="","⚠ Falta monto",IF(Q2685="","⚠ Falta cuenta",IF(ISNA(MATCH(Q2685,ctaNombre,0)),"⚠ Cuenta no registrada",IF(AND(OR(P2685="Gasto",P2685="Reembolso"),D2685=""),"⚠ Falta categoría",IF(AND(D2685&lt;&gt;"",E2685&lt;&gt;"",ISNA(MATCH(D2685&amp;"|"&amp;E2685,catClave,0))),"⚠ Subcategoría no corresponde",IF(AND(OR(P2685="Transferencia",P2685="Pago tarjeta"),K2685=""),"⚠ Falta cuenta destino",IF(AND(K2685&lt;&gt;"",P2685&lt;&gt;"Transferencia",P2685&lt;&gt;"Pago tarjeta"),"⚠ Destino solo aplica a transferencias",IF(AND(K2685&lt;&gt;"",K2685=Q2685),"⚠ Origen igual a destino",IF(AND(K2685&lt;&gt;"",ISNA(MATCH(K2685,ctaNombre,0))),"⚠ Destino no registrado",IF(AND(P2685="Pago tarjeta",AE2685&lt;&gt;"Tarjeta de crédito"),"⚠ El destino debe ser tarjeta de crédito",IF(AND(P2685="Gasto",E2685="Depósitos y retiros"),"⚠ Usa tipo Transferencia",IF(AND(P2685="Resultado trading",AD2685&lt;&gt;"Cuenta de trading"),"⚠ Usa una cuenta de trading",IF(AND(G2685&lt;=0,P2685&lt;&gt;"Ajuste",P2685&lt;&gt;"Resultado trading"),"⚠ El monto debe ser positivo","✓")))))))))))))))</f>
        <v/>
      </c>
      <c r="P2685" s="52">
        <f>IF(OR(B2685="",G2685=""),"",IF(C2685="","Gasto",C2685))</f>
        <v/>
      </c>
      <c r="Q2685" s="52">
        <f>IF(P2685="","",IF(J2685&lt;&gt;"",J2685,CuentaPred&amp;""))</f>
        <v/>
      </c>
      <c r="R2685" s="52">
        <f>IF(P2685="","",IF(ISNUMBER(I2685),I2685,TasaUSD))</f>
        <v/>
      </c>
      <c r="S2685" s="53">
        <f>IF(P2685="","",IF(H2685="USD",G2685*R2685,G2685))</f>
        <v/>
      </c>
      <c r="T2685" s="53">
        <f>IF(P2685="","",IF(H2685="USD",G2685,IF(R2685&gt;0,G2685/R2685,0)))</f>
        <v/>
      </c>
      <c r="U2685" s="53">
        <f>IF(P2685="","",IF(P2685="Gasto",S2685,IF(P2685="Reembolso",-S2685,0)))</f>
        <v/>
      </c>
      <c r="V2685" s="53">
        <f>IF(P2685="","",IF(P2685="Ingreso",S2685,0))</f>
        <v/>
      </c>
      <c r="W2685" s="53">
        <f>IF(P2685="","",IF(P2685="Resultado trading",S2685,0))</f>
        <v/>
      </c>
      <c r="X2685" s="52">
        <f>IF(OR(P2685="Gasto",P2685="Reembolso"),IF(M2685&lt;&gt;"",M2685,IFERROR(INDEX(catClasif,MATCH(D2685&amp;"|"&amp;E2685,catClave,0))&amp;"","Variable")),"")</f>
        <v/>
      </c>
      <c r="Y2685" s="52">
        <f>IF(P2685="","",IFERROR(INDEX(catGrupo,MATCH(D2685&amp;"|"&amp;E2685,catClave,0))&amp;"",""))</f>
        <v/>
      </c>
      <c r="Z2685" s="52">
        <f>IF(P2685="","",WEEKDAY(B2685,2))</f>
        <v/>
      </c>
      <c r="AA2685" s="52">
        <f>IF(P2685="","",IF(AND(P2685="Gasto",X2685="Variable",D2685&lt;&gt;catTrading,S2685&gt;0,S2685&lt;=Umbral),1,0))</f>
        <v/>
      </c>
      <c r="AB2685" s="52">
        <f>IF(OR(P2685="",Q2685=""),"",IFERROR(IF(INDEX(ctaVinc,MATCH(Q2685,ctaNombre,0))&amp;""&lt;&gt;"",INDEX(ctaVinc,MATCH(Q2685,ctaNombre,0))&amp;"",Q2685),Q2685))</f>
        <v/>
      </c>
      <c r="AC2685" s="52">
        <f>IF(OR(K2685="",AND(P2685&lt;&gt;"Transferencia",P2685&lt;&gt;"Pago tarjeta")),"",IFERROR(IF(INDEX(ctaVinc,MATCH(K2685,ctaNombre,0))&amp;""&lt;&gt;"",INDEX(ctaVinc,MATCH(K2685,ctaNombre,0))&amp;"",K2685),K2685))</f>
        <v/>
      </c>
      <c r="AD2685" s="52">
        <f>IF(AB2685="","",IFERROR(INDEX(ctaTipo,MATCH(AB2685,ctaNombre,0))&amp;"",""))</f>
        <v/>
      </c>
      <c r="AE2685" s="52">
        <f>IF(AC2685="","",IFERROR(INDEX(ctaTipo,MATCH(AC2685,ctaNombre,0))&amp;"",""))</f>
        <v/>
      </c>
      <c r="AF2685" s="53">
        <f>IF(OR(P2685="",AB2685=""),"",IF(OR(P2685="Gasto",P2685="Transferencia",P2685="Pago tarjeta"),-1,1)*IF(IFERROR(INDEX(ctaMoneda,MATCH(AB2685,ctaNombre,0))&amp;"","DOP")="USD",T2685,S2685))</f>
        <v/>
      </c>
      <c r="AG2685" s="53">
        <f>IF(AC2685="","",IF(IFERROR(INDEX(ctaMoneda,MATCH(AC2685,ctaNombre,0))&amp;"","DOP")="USD",T2685,S2685))</f>
        <v/>
      </c>
      <c r="AH2685" s="53">
        <f>IF(P2685="","",IF(AND(AD2685&lt;&gt;"",COUNTIFS(tcTipo,AD2685,tcLiq,"Sí")&gt;0),IF(OR(P2685="Gasto",P2685="Transferencia",P2685="Pago tarjeta"),-1,1)*S2685,0)+IF(AND(AE2685&lt;&gt;"",COUNTIFS(tcTipo,AE2685,tcLiq,"Sí")&gt;0),S2685,0))</f>
        <v/>
      </c>
      <c r="AI2685" s="52">
        <f>IF(OR(L2685="",P2685=""),"",IF(COUNTIFS(L$6:L2685,L2685,P$6:P2685,"?*")=1,MAX(AI$5:AI2684)+1,""))</f>
        <v/>
      </c>
    </row>
    <row r="2686">
      <c r="B2686" s="47" t="n"/>
      <c r="C2686" s="48" t="n"/>
      <c r="D2686" s="48" t="n"/>
      <c r="E2686" s="48" t="n"/>
      <c r="F2686" s="48" t="n"/>
      <c r="G2686" s="49" t="n"/>
      <c r="H2686" s="48" t="n"/>
      <c r="I2686" s="50" t="n"/>
      <c r="J2686" s="48" t="n"/>
      <c r="K2686" s="48" t="n"/>
      <c r="L2686" s="48" t="n"/>
      <c r="M2686" s="48" t="n"/>
      <c r="N2686" s="48" t="n"/>
      <c r="O2686" s="51">
        <f>IF(AND(B2686="",G2686="",C2686="",D2686="",J2686=""),"",IF(B2686="","⚠ Falta fecha",IF(G2686="","⚠ Falta monto",IF(Q2686="","⚠ Falta cuenta",IF(ISNA(MATCH(Q2686,ctaNombre,0)),"⚠ Cuenta no registrada",IF(AND(OR(P2686="Gasto",P2686="Reembolso"),D2686=""),"⚠ Falta categoría",IF(AND(D2686&lt;&gt;"",E2686&lt;&gt;"",ISNA(MATCH(D2686&amp;"|"&amp;E2686,catClave,0))),"⚠ Subcategoría no corresponde",IF(AND(OR(P2686="Transferencia",P2686="Pago tarjeta"),K2686=""),"⚠ Falta cuenta destino",IF(AND(K2686&lt;&gt;"",P2686&lt;&gt;"Transferencia",P2686&lt;&gt;"Pago tarjeta"),"⚠ Destino solo aplica a transferencias",IF(AND(K2686&lt;&gt;"",K2686=Q2686),"⚠ Origen igual a destino",IF(AND(K2686&lt;&gt;"",ISNA(MATCH(K2686,ctaNombre,0))),"⚠ Destino no registrado",IF(AND(P2686="Pago tarjeta",AE2686&lt;&gt;"Tarjeta de crédito"),"⚠ El destino debe ser tarjeta de crédito",IF(AND(P2686="Gasto",E2686="Depósitos y retiros"),"⚠ Usa tipo Transferencia",IF(AND(P2686="Resultado trading",AD2686&lt;&gt;"Cuenta de trading"),"⚠ Usa una cuenta de trading",IF(AND(G2686&lt;=0,P2686&lt;&gt;"Ajuste",P2686&lt;&gt;"Resultado trading"),"⚠ El monto debe ser positivo","✓")))))))))))))))</f>
        <v/>
      </c>
      <c r="P2686" s="52">
        <f>IF(OR(B2686="",G2686=""),"",IF(C2686="","Gasto",C2686))</f>
        <v/>
      </c>
      <c r="Q2686" s="52">
        <f>IF(P2686="","",IF(J2686&lt;&gt;"",J2686,CuentaPred&amp;""))</f>
        <v/>
      </c>
      <c r="R2686" s="52">
        <f>IF(P2686="","",IF(ISNUMBER(I2686),I2686,TasaUSD))</f>
        <v/>
      </c>
      <c r="S2686" s="53">
        <f>IF(P2686="","",IF(H2686="USD",G2686*R2686,G2686))</f>
        <v/>
      </c>
      <c r="T2686" s="53">
        <f>IF(P2686="","",IF(H2686="USD",G2686,IF(R2686&gt;0,G2686/R2686,0)))</f>
        <v/>
      </c>
      <c r="U2686" s="53">
        <f>IF(P2686="","",IF(P2686="Gasto",S2686,IF(P2686="Reembolso",-S2686,0)))</f>
        <v/>
      </c>
      <c r="V2686" s="53">
        <f>IF(P2686="","",IF(P2686="Ingreso",S2686,0))</f>
        <v/>
      </c>
      <c r="W2686" s="53">
        <f>IF(P2686="","",IF(P2686="Resultado trading",S2686,0))</f>
        <v/>
      </c>
      <c r="X2686" s="52">
        <f>IF(OR(P2686="Gasto",P2686="Reembolso"),IF(M2686&lt;&gt;"",M2686,IFERROR(INDEX(catClasif,MATCH(D2686&amp;"|"&amp;E2686,catClave,0))&amp;"","Variable")),"")</f>
        <v/>
      </c>
      <c r="Y2686" s="52">
        <f>IF(P2686="","",IFERROR(INDEX(catGrupo,MATCH(D2686&amp;"|"&amp;E2686,catClave,0))&amp;"",""))</f>
        <v/>
      </c>
      <c r="Z2686" s="52">
        <f>IF(P2686="","",WEEKDAY(B2686,2))</f>
        <v/>
      </c>
      <c r="AA2686" s="52">
        <f>IF(P2686="","",IF(AND(P2686="Gasto",X2686="Variable",D2686&lt;&gt;catTrading,S2686&gt;0,S2686&lt;=Umbral),1,0))</f>
        <v/>
      </c>
      <c r="AB2686" s="52">
        <f>IF(OR(P2686="",Q2686=""),"",IFERROR(IF(INDEX(ctaVinc,MATCH(Q2686,ctaNombre,0))&amp;""&lt;&gt;"",INDEX(ctaVinc,MATCH(Q2686,ctaNombre,0))&amp;"",Q2686),Q2686))</f>
        <v/>
      </c>
      <c r="AC2686" s="52">
        <f>IF(OR(K2686="",AND(P2686&lt;&gt;"Transferencia",P2686&lt;&gt;"Pago tarjeta")),"",IFERROR(IF(INDEX(ctaVinc,MATCH(K2686,ctaNombre,0))&amp;""&lt;&gt;"",INDEX(ctaVinc,MATCH(K2686,ctaNombre,0))&amp;"",K2686),K2686))</f>
        <v/>
      </c>
      <c r="AD2686" s="52">
        <f>IF(AB2686="","",IFERROR(INDEX(ctaTipo,MATCH(AB2686,ctaNombre,0))&amp;"",""))</f>
        <v/>
      </c>
      <c r="AE2686" s="52">
        <f>IF(AC2686="","",IFERROR(INDEX(ctaTipo,MATCH(AC2686,ctaNombre,0))&amp;"",""))</f>
        <v/>
      </c>
      <c r="AF2686" s="53">
        <f>IF(OR(P2686="",AB2686=""),"",IF(OR(P2686="Gasto",P2686="Transferencia",P2686="Pago tarjeta"),-1,1)*IF(IFERROR(INDEX(ctaMoneda,MATCH(AB2686,ctaNombre,0))&amp;"","DOP")="USD",T2686,S2686))</f>
        <v/>
      </c>
      <c r="AG2686" s="53">
        <f>IF(AC2686="","",IF(IFERROR(INDEX(ctaMoneda,MATCH(AC2686,ctaNombre,0))&amp;"","DOP")="USD",T2686,S2686))</f>
        <v/>
      </c>
      <c r="AH2686" s="53">
        <f>IF(P2686="","",IF(AND(AD2686&lt;&gt;"",COUNTIFS(tcTipo,AD2686,tcLiq,"Sí")&gt;0),IF(OR(P2686="Gasto",P2686="Transferencia",P2686="Pago tarjeta"),-1,1)*S2686,0)+IF(AND(AE2686&lt;&gt;"",COUNTIFS(tcTipo,AE2686,tcLiq,"Sí")&gt;0),S2686,0))</f>
        <v/>
      </c>
      <c r="AI2686" s="52">
        <f>IF(OR(L2686="",P2686=""),"",IF(COUNTIFS(L$6:L2686,L2686,P$6:P2686,"?*")=1,MAX(AI$5:AI2685)+1,""))</f>
        <v/>
      </c>
    </row>
    <row r="2687">
      <c r="B2687" s="47" t="n"/>
      <c r="C2687" s="48" t="n"/>
      <c r="D2687" s="48" t="n"/>
      <c r="E2687" s="48" t="n"/>
      <c r="F2687" s="48" t="n"/>
      <c r="G2687" s="49" t="n"/>
      <c r="H2687" s="48" t="n"/>
      <c r="I2687" s="50" t="n"/>
      <c r="J2687" s="48" t="n"/>
      <c r="K2687" s="48" t="n"/>
      <c r="L2687" s="48" t="n"/>
      <c r="M2687" s="48" t="n"/>
      <c r="N2687" s="48" t="n"/>
      <c r="O2687" s="51">
        <f>IF(AND(B2687="",G2687="",C2687="",D2687="",J2687=""),"",IF(B2687="","⚠ Falta fecha",IF(G2687="","⚠ Falta monto",IF(Q2687="","⚠ Falta cuenta",IF(ISNA(MATCH(Q2687,ctaNombre,0)),"⚠ Cuenta no registrada",IF(AND(OR(P2687="Gasto",P2687="Reembolso"),D2687=""),"⚠ Falta categoría",IF(AND(D2687&lt;&gt;"",E2687&lt;&gt;"",ISNA(MATCH(D2687&amp;"|"&amp;E2687,catClave,0))),"⚠ Subcategoría no corresponde",IF(AND(OR(P2687="Transferencia",P2687="Pago tarjeta"),K2687=""),"⚠ Falta cuenta destino",IF(AND(K2687&lt;&gt;"",P2687&lt;&gt;"Transferencia",P2687&lt;&gt;"Pago tarjeta"),"⚠ Destino solo aplica a transferencias",IF(AND(K2687&lt;&gt;"",K2687=Q2687),"⚠ Origen igual a destino",IF(AND(K2687&lt;&gt;"",ISNA(MATCH(K2687,ctaNombre,0))),"⚠ Destino no registrado",IF(AND(P2687="Pago tarjeta",AE2687&lt;&gt;"Tarjeta de crédito"),"⚠ El destino debe ser tarjeta de crédito",IF(AND(P2687="Gasto",E2687="Depósitos y retiros"),"⚠ Usa tipo Transferencia",IF(AND(P2687="Resultado trading",AD2687&lt;&gt;"Cuenta de trading"),"⚠ Usa una cuenta de trading",IF(AND(G2687&lt;=0,P2687&lt;&gt;"Ajuste",P2687&lt;&gt;"Resultado trading"),"⚠ El monto debe ser positivo","✓")))))))))))))))</f>
        <v/>
      </c>
      <c r="P2687" s="52">
        <f>IF(OR(B2687="",G2687=""),"",IF(C2687="","Gasto",C2687))</f>
        <v/>
      </c>
      <c r="Q2687" s="52">
        <f>IF(P2687="","",IF(J2687&lt;&gt;"",J2687,CuentaPred&amp;""))</f>
        <v/>
      </c>
      <c r="R2687" s="52">
        <f>IF(P2687="","",IF(ISNUMBER(I2687),I2687,TasaUSD))</f>
        <v/>
      </c>
      <c r="S2687" s="53">
        <f>IF(P2687="","",IF(H2687="USD",G2687*R2687,G2687))</f>
        <v/>
      </c>
      <c r="T2687" s="53">
        <f>IF(P2687="","",IF(H2687="USD",G2687,IF(R2687&gt;0,G2687/R2687,0)))</f>
        <v/>
      </c>
      <c r="U2687" s="53">
        <f>IF(P2687="","",IF(P2687="Gasto",S2687,IF(P2687="Reembolso",-S2687,0)))</f>
        <v/>
      </c>
      <c r="V2687" s="53">
        <f>IF(P2687="","",IF(P2687="Ingreso",S2687,0))</f>
        <v/>
      </c>
      <c r="W2687" s="53">
        <f>IF(P2687="","",IF(P2687="Resultado trading",S2687,0))</f>
        <v/>
      </c>
      <c r="X2687" s="52">
        <f>IF(OR(P2687="Gasto",P2687="Reembolso"),IF(M2687&lt;&gt;"",M2687,IFERROR(INDEX(catClasif,MATCH(D2687&amp;"|"&amp;E2687,catClave,0))&amp;"","Variable")),"")</f>
        <v/>
      </c>
      <c r="Y2687" s="52">
        <f>IF(P2687="","",IFERROR(INDEX(catGrupo,MATCH(D2687&amp;"|"&amp;E2687,catClave,0))&amp;"",""))</f>
        <v/>
      </c>
      <c r="Z2687" s="52">
        <f>IF(P2687="","",WEEKDAY(B2687,2))</f>
        <v/>
      </c>
      <c r="AA2687" s="52">
        <f>IF(P2687="","",IF(AND(P2687="Gasto",X2687="Variable",D2687&lt;&gt;catTrading,S2687&gt;0,S2687&lt;=Umbral),1,0))</f>
        <v/>
      </c>
      <c r="AB2687" s="52">
        <f>IF(OR(P2687="",Q2687=""),"",IFERROR(IF(INDEX(ctaVinc,MATCH(Q2687,ctaNombre,0))&amp;""&lt;&gt;"",INDEX(ctaVinc,MATCH(Q2687,ctaNombre,0))&amp;"",Q2687),Q2687))</f>
        <v/>
      </c>
      <c r="AC2687" s="52">
        <f>IF(OR(K2687="",AND(P2687&lt;&gt;"Transferencia",P2687&lt;&gt;"Pago tarjeta")),"",IFERROR(IF(INDEX(ctaVinc,MATCH(K2687,ctaNombre,0))&amp;""&lt;&gt;"",INDEX(ctaVinc,MATCH(K2687,ctaNombre,0))&amp;"",K2687),K2687))</f>
        <v/>
      </c>
      <c r="AD2687" s="52">
        <f>IF(AB2687="","",IFERROR(INDEX(ctaTipo,MATCH(AB2687,ctaNombre,0))&amp;"",""))</f>
        <v/>
      </c>
      <c r="AE2687" s="52">
        <f>IF(AC2687="","",IFERROR(INDEX(ctaTipo,MATCH(AC2687,ctaNombre,0))&amp;"",""))</f>
        <v/>
      </c>
      <c r="AF2687" s="53">
        <f>IF(OR(P2687="",AB2687=""),"",IF(OR(P2687="Gasto",P2687="Transferencia",P2687="Pago tarjeta"),-1,1)*IF(IFERROR(INDEX(ctaMoneda,MATCH(AB2687,ctaNombre,0))&amp;"","DOP")="USD",T2687,S2687))</f>
        <v/>
      </c>
      <c r="AG2687" s="53">
        <f>IF(AC2687="","",IF(IFERROR(INDEX(ctaMoneda,MATCH(AC2687,ctaNombre,0))&amp;"","DOP")="USD",T2687,S2687))</f>
        <v/>
      </c>
      <c r="AH2687" s="53">
        <f>IF(P2687="","",IF(AND(AD2687&lt;&gt;"",COUNTIFS(tcTipo,AD2687,tcLiq,"Sí")&gt;0),IF(OR(P2687="Gasto",P2687="Transferencia",P2687="Pago tarjeta"),-1,1)*S2687,0)+IF(AND(AE2687&lt;&gt;"",COUNTIFS(tcTipo,AE2687,tcLiq,"Sí")&gt;0),S2687,0))</f>
        <v/>
      </c>
      <c r="AI2687" s="52">
        <f>IF(OR(L2687="",P2687=""),"",IF(COUNTIFS(L$6:L2687,L2687,P$6:P2687,"?*")=1,MAX(AI$5:AI2686)+1,""))</f>
        <v/>
      </c>
    </row>
    <row r="2688">
      <c r="B2688" s="47" t="n"/>
      <c r="C2688" s="48" t="n"/>
      <c r="D2688" s="48" t="n"/>
      <c r="E2688" s="48" t="n"/>
      <c r="F2688" s="48" t="n"/>
      <c r="G2688" s="49" t="n"/>
      <c r="H2688" s="48" t="n"/>
      <c r="I2688" s="50" t="n"/>
      <c r="J2688" s="48" t="n"/>
      <c r="K2688" s="48" t="n"/>
      <c r="L2688" s="48" t="n"/>
      <c r="M2688" s="48" t="n"/>
      <c r="N2688" s="48" t="n"/>
      <c r="O2688" s="51">
        <f>IF(AND(B2688="",G2688="",C2688="",D2688="",J2688=""),"",IF(B2688="","⚠ Falta fecha",IF(G2688="","⚠ Falta monto",IF(Q2688="","⚠ Falta cuenta",IF(ISNA(MATCH(Q2688,ctaNombre,0)),"⚠ Cuenta no registrada",IF(AND(OR(P2688="Gasto",P2688="Reembolso"),D2688=""),"⚠ Falta categoría",IF(AND(D2688&lt;&gt;"",E2688&lt;&gt;"",ISNA(MATCH(D2688&amp;"|"&amp;E2688,catClave,0))),"⚠ Subcategoría no corresponde",IF(AND(OR(P2688="Transferencia",P2688="Pago tarjeta"),K2688=""),"⚠ Falta cuenta destino",IF(AND(K2688&lt;&gt;"",P2688&lt;&gt;"Transferencia",P2688&lt;&gt;"Pago tarjeta"),"⚠ Destino solo aplica a transferencias",IF(AND(K2688&lt;&gt;"",K2688=Q2688),"⚠ Origen igual a destino",IF(AND(K2688&lt;&gt;"",ISNA(MATCH(K2688,ctaNombre,0))),"⚠ Destino no registrado",IF(AND(P2688="Pago tarjeta",AE2688&lt;&gt;"Tarjeta de crédito"),"⚠ El destino debe ser tarjeta de crédito",IF(AND(P2688="Gasto",E2688="Depósitos y retiros"),"⚠ Usa tipo Transferencia",IF(AND(P2688="Resultado trading",AD2688&lt;&gt;"Cuenta de trading"),"⚠ Usa una cuenta de trading",IF(AND(G2688&lt;=0,P2688&lt;&gt;"Ajuste",P2688&lt;&gt;"Resultado trading"),"⚠ El monto debe ser positivo","✓")))))))))))))))</f>
        <v/>
      </c>
      <c r="P2688" s="52">
        <f>IF(OR(B2688="",G2688=""),"",IF(C2688="","Gasto",C2688))</f>
        <v/>
      </c>
      <c r="Q2688" s="52">
        <f>IF(P2688="","",IF(J2688&lt;&gt;"",J2688,CuentaPred&amp;""))</f>
        <v/>
      </c>
      <c r="R2688" s="52">
        <f>IF(P2688="","",IF(ISNUMBER(I2688),I2688,TasaUSD))</f>
        <v/>
      </c>
      <c r="S2688" s="53">
        <f>IF(P2688="","",IF(H2688="USD",G2688*R2688,G2688))</f>
        <v/>
      </c>
      <c r="T2688" s="53">
        <f>IF(P2688="","",IF(H2688="USD",G2688,IF(R2688&gt;0,G2688/R2688,0)))</f>
        <v/>
      </c>
      <c r="U2688" s="53">
        <f>IF(P2688="","",IF(P2688="Gasto",S2688,IF(P2688="Reembolso",-S2688,0)))</f>
        <v/>
      </c>
      <c r="V2688" s="53">
        <f>IF(P2688="","",IF(P2688="Ingreso",S2688,0))</f>
        <v/>
      </c>
      <c r="W2688" s="53">
        <f>IF(P2688="","",IF(P2688="Resultado trading",S2688,0))</f>
        <v/>
      </c>
      <c r="X2688" s="52">
        <f>IF(OR(P2688="Gasto",P2688="Reembolso"),IF(M2688&lt;&gt;"",M2688,IFERROR(INDEX(catClasif,MATCH(D2688&amp;"|"&amp;E2688,catClave,0))&amp;"","Variable")),"")</f>
        <v/>
      </c>
      <c r="Y2688" s="52">
        <f>IF(P2688="","",IFERROR(INDEX(catGrupo,MATCH(D2688&amp;"|"&amp;E2688,catClave,0))&amp;"",""))</f>
        <v/>
      </c>
      <c r="Z2688" s="52">
        <f>IF(P2688="","",WEEKDAY(B2688,2))</f>
        <v/>
      </c>
      <c r="AA2688" s="52">
        <f>IF(P2688="","",IF(AND(P2688="Gasto",X2688="Variable",D2688&lt;&gt;catTrading,S2688&gt;0,S2688&lt;=Umbral),1,0))</f>
        <v/>
      </c>
      <c r="AB2688" s="52">
        <f>IF(OR(P2688="",Q2688=""),"",IFERROR(IF(INDEX(ctaVinc,MATCH(Q2688,ctaNombre,0))&amp;""&lt;&gt;"",INDEX(ctaVinc,MATCH(Q2688,ctaNombre,0))&amp;"",Q2688),Q2688))</f>
        <v/>
      </c>
      <c r="AC2688" s="52">
        <f>IF(OR(K2688="",AND(P2688&lt;&gt;"Transferencia",P2688&lt;&gt;"Pago tarjeta")),"",IFERROR(IF(INDEX(ctaVinc,MATCH(K2688,ctaNombre,0))&amp;""&lt;&gt;"",INDEX(ctaVinc,MATCH(K2688,ctaNombre,0))&amp;"",K2688),K2688))</f>
        <v/>
      </c>
      <c r="AD2688" s="52">
        <f>IF(AB2688="","",IFERROR(INDEX(ctaTipo,MATCH(AB2688,ctaNombre,0))&amp;"",""))</f>
        <v/>
      </c>
      <c r="AE2688" s="52">
        <f>IF(AC2688="","",IFERROR(INDEX(ctaTipo,MATCH(AC2688,ctaNombre,0))&amp;"",""))</f>
        <v/>
      </c>
      <c r="AF2688" s="53">
        <f>IF(OR(P2688="",AB2688=""),"",IF(OR(P2688="Gasto",P2688="Transferencia",P2688="Pago tarjeta"),-1,1)*IF(IFERROR(INDEX(ctaMoneda,MATCH(AB2688,ctaNombre,0))&amp;"","DOP")="USD",T2688,S2688))</f>
        <v/>
      </c>
      <c r="AG2688" s="53">
        <f>IF(AC2688="","",IF(IFERROR(INDEX(ctaMoneda,MATCH(AC2688,ctaNombre,0))&amp;"","DOP")="USD",T2688,S2688))</f>
        <v/>
      </c>
      <c r="AH2688" s="53">
        <f>IF(P2688="","",IF(AND(AD2688&lt;&gt;"",COUNTIFS(tcTipo,AD2688,tcLiq,"Sí")&gt;0),IF(OR(P2688="Gasto",P2688="Transferencia",P2688="Pago tarjeta"),-1,1)*S2688,0)+IF(AND(AE2688&lt;&gt;"",COUNTIFS(tcTipo,AE2688,tcLiq,"Sí")&gt;0),S2688,0))</f>
        <v/>
      </c>
      <c r="AI2688" s="52">
        <f>IF(OR(L2688="",P2688=""),"",IF(COUNTIFS(L$6:L2688,L2688,P$6:P2688,"?*")=1,MAX(AI$5:AI2687)+1,""))</f>
        <v/>
      </c>
    </row>
    <row r="2689">
      <c r="B2689" s="47" t="n"/>
      <c r="C2689" s="48" t="n"/>
      <c r="D2689" s="48" t="n"/>
      <c r="E2689" s="48" t="n"/>
      <c r="F2689" s="48" t="n"/>
      <c r="G2689" s="49" t="n"/>
      <c r="H2689" s="48" t="n"/>
      <c r="I2689" s="50" t="n"/>
      <c r="J2689" s="48" t="n"/>
      <c r="K2689" s="48" t="n"/>
      <c r="L2689" s="48" t="n"/>
      <c r="M2689" s="48" t="n"/>
      <c r="N2689" s="48" t="n"/>
      <c r="O2689" s="51">
        <f>IF(AND(B2689="",G2689="",C2689="",D2689="",J2689=""),"",IF(B2689="","⚠ Falta fecha",IF(G2689="","⚠ Falta monto",IF(Q2689="","⚠ Falta cuenta",IF(ISNA(MATCH(Q2689,ctaNombre,0)),"⚠ Cuenta no registrada",IF(AND(OR(P2689="Gasto",P2689="Reembolso"),D2689=""),"⚠ Falta categoría",IF(AND(D2689&lt;&gt;"",E2689&lt;&gt;"",ISNA(MATCH(D2689&amp;"|"&amp;E2689,catClave,0))),"⚠ Subcategoría no corresponde",IF(AND(OR(P2689="Transferencia",P2689="Pago tarjeta"),K2689=""),"⚠ Falta cuenta destino",IF(AND(K2689&lt;&gt;"",P2689&lt;&gt;"Transferencia",P2689&lt;&gt;"Pago tarjeta"),"⚠ Destino solo aplica a transferencias",IF(AND(K2689&lt;&gt;"",K2689=Q2689),"⚠ Origen igual a destino",IF(AND(K2689&lt;&gt;"",ISNA(MATCH(K2689,ctaNombre,0))),"⚠ Destino no registrado",IF(AND(P2689="Pago tarjeta",AE2689&lt;&gt;"Tarjeta de crédito"),"⚠ El destino debe ser tarjeta de crédito",IF(AND(P2689="Gasto",E2689="Depósitos y retiros"),"⚠ Usa tipo Transferencia",IF(AND(P2689="Resultado trading",AD2689&lt;&gt;"Cuenta de trading"),"⚠ Usa una cuenta de trading",IF(AND(G2689&lt;=0,P2689&lt;&gt;"Ajuste",P2689&lt;&gt;"Resultado trading"),"⚠ El monto debe ser positivo","✓")))))))))))))))</f>
        <v/>
      </c>
      <c r="P2689" s="52">
        <f>IF(OR(B2689="",G2689=""),"",IF(C2689="","Gasto",C2689))</f>
        <v/>
      </c>
      <c r="Q2689" s="52">
        <f>IF(P2689="","",IF(J2689&lt;&gt;"",J2689,CuentaPred&amp;""))</f>
        <v/>
      </c>
      <c r="R2689" s="52">
        <f>IF(P2689="","",IF(ISNUMBER(I2689),I2689,TasaUSD))</f>
        <v/>
      </c>
      <c r="S2689" s="53">
        <f>IF(P2689="","",IF(H2689="USD",G2689*R2689,G2689))</f>
        <v/>
      </c>
      <c r="T2689" s="53">
        <f>IF(P2689="","",IF(H2689="USD",G2689,IF(R2689&gt;0,G2689/R2689,0)))</f>
        <v/>
      </c>
      <c r="U2689" s="53">
        <f>IF(P2689="","",IF(P2689="Gasto",S2689,IF(P2689="Reembolso",-S2689,0)))</f>
        <v/>
      </c>
      <c r="V2689" s="53">
        <f>IF(P2689="","",IF(P2689="Ingreso",S2689,0))</f>
        <v/>
      </c>
      <c r="W2689" s="53">
        <f>IF(P2689="","",IF(P2689="Resultado trading",S2689,0))</f>
        <v/>
      </c>
      <c r="X2689" s="52">
        <f>IF(OR(P2689="Gasto",P2689="Reembolso"),IF(M2689&lt;&gt;"",M2689,IFERROR(INDEX(catClasif,MATCH(D2689&amp;"|"&amp;E2689,catClave,0))&amp;"","Variable")),"")</f>
        <v/>
      </c>
      <c r="Y2689" s="52">
        <f>IF(P2689="","",IFERROR(INDEX(catGrupo,MATCH(D2689&amp;"|"&amp;E2689,catClave,0))&amp;"",""))</f>
        <v/>
      </c>
      <c r="Z2689" s="52">
        <f>IF(P2689="","",WEEKDAY(B2689,2))</f>
        <v/>
      </c>
      <c r="AA2689" s="52">
        <f>IF(P2689="","",IF(AND(P2689="Gasto",X2689="Variable",D2689&lt;&gt;catTrading,S2689&gt;0,S2689&lt;=Umbral),1,0))</f>
        <v/>
      </c>
      <c r="AB2689" s="52">
        <f>IF(OR(P2689="",Q2689=""),"",IFERROR(IF(INDEX(ctaVinc,MATCH(Q2689,ctaNombre,0))&amp;""&lt;&gt;"",INDEX(ctaVinc,MATCH(Q2689,ctaNombre,0))&amp;"",Q2689),Q2689))</f>
        <v/>
      </c>
      <c r="AC2689" s="52">
        <f>IF(OR(K2689="",AND(P2689&lt;&gt;"Transferencia",P2689&lt;&gt;"Pago tarjeta")),"",IFERROR(IF(INDEX(ctaVinc,MATCH(K2689,ctaNombre,0))&amp;""&lt;&gt;"",INDEX(ctaVinc,MATCH(K2689,ctaNombre,0))&amp;"",K2689),K2689))</f>
        <v/>
      </c>
      <c r="AD2689" s="52">
        <f>IF(AB2689="","",IFERROR(INDEX(ctaTipo,MATCH(AB2689,ctaNombre,0))&amp;"",""))</f>
        <v/>
      </c>
      <c r="AE2689" s="52">
        <f>IF(AC2689="","",IFERROR(INDEX(ctaTipo,MATCH(AC2689,ctaNombre,0))&amp;"",""))</f>
        <v/>
      </c>
      <c r="AF2689" s="53">
        <f>IF(OR(P2689="",AB2689=""),"",IF(OR(P2689="Gasto",P2689="Transferencia",P2689="Pago tarjeta"),-1,1)*IF(IFERROR(INDEX(ctaMoneda,MATCH(AB2689,ctaNombre,0))&amp;"","DOP")="USD",T2689,S2689))</f>
        <v/>
      </c>
      <c r="AG2689" s="53">
        <f>IF(AC2689="","",IF(IFERROR(INDEX(ctaMoneda,MATCH(AC2689,ctaNombre,0))&amp;"","DOP")="USD",T2689,S2689))</f>
        <v/>
      </c>
      <c r="AH2689" s="53">
        <f>IF(P2689="","",IF(AND(AD2689&lt;&gt;"",COUNTIFS(tcTipo,AD2689,tcLiq,"Sí")&gt;0),IF(OR(P2689="Gasto",P2689="Transferencia",P2689="Pago tarjeta"),-1,1)*S2689,0)+IF(AND(AE2689&lt;&gt;"",COUNTIFS(tcTipo,AE2689,tcLiq,"Sí")&gt;0),S2689,0))</f>
        <v/>
      </c>
      <c r="AI2689" s="52">
        <f>IF(OR(L2689="",P2689=""),"",IF(COUNTIFS(L$6:L2689,L2689,P$6:P2689,"?*")=1,MAX(AI$5:AI2688)+1,""))</f>
        <v/>
      </c>
    </row>
    <row r="2690">
      <c r="B2690" s="47" t="n"/>
      <c r="C2690" s="48" t="n"/>
      <c r="D2690" s="48" t="n"/>
      <c r="E2690" s="48" t="n"/>
      <c r="F2690" s="48" t="n"/>
      <c r="G2690" s="49" t="n"/>
      <c r="H2690" s="48" t="n"/>
      <c r="I2690" s="50" t="n"/>
      <c r="J2690" s="48" t="n"/>
      <c r="K2690" s="48" t="n"/>
      <c r="L2690" s="48" t="n"/>
      <c r="M2690" s="48" t="n"/>
      <c r="N2690" s="48" t="n"/>
      <c r="O2690" s="51">
        <f>IF(AND(B2690="",G2690="",C2690="",D2690="",J2690=""),"",IF(B2690="","⚠ Falta fecha",IF(G2690="","⚠ Falta monto",IF(Q2690="","⚠ Falta cuenta",IF(ISNA(MATCH(Q2690,ctaNombre,0)),"⚠ Cuenta no registrada",IF(AND(OR(P2690="Gasto",P2690="Reembolso"),D2690=""),"⚠ Falta categoría",IF(AND(D2690&lt;&gt;"",E2690&lt;&gt;"",ISNA(MATCH(D2690&amp;"|"&amp;E2690,catClave,0))),"⚠ Subcategoría no corresponde",IF(AND(OR(P2690="Transferencia",P2690="Pago tarjeta"),K2690=""),"⚠ Falta cuenta destino",IF(AND(K2690&lt;&gt;"",P2690&lt;&gt;"Transferencia",P2690&lt;&gt;"Pago tarjeta"),"⚠ Destino solo aplica a transferencias",IF(AND(K2690&lt;&gt;"",K2690=Q2690),"⚠ Origen igual a destino",IF(AND(K2690&lt;&gt;"",ISNA(MATCH(K2690,ctaNombre,0))),"⚠ Destino no registrado",IF(AND(P2690="Pago tarjeta",AE2690&lt;&gt;"Tarjeta de crédito"),"⚠ El destino debe ser tarjeta de crédito",IF(AND(P2690="Gasto",E2690="Depósitos y retiros"),"⚠ Usa tipo Transferencia",IF(AND(P2690="Resultado trading",AD2690&lt;&gt;"Cuenta de trading"),"⚠ Usa una cuenta de trading",IF(AND(G2690&lt;=0,P2690&lt;&gt;"Ajuste",P2690&lt;&gt;"Resultado trading"),"⚠ El monto debe ser positivo","✓")))))))))))))))</f>
        <v/>
      </c>
      <c r="P2690" s="52">
        <f>IF(OR(B2690="",G2690=""),"",IF(C2690="","Gasto",C2690))</f>
        <v/>
      </c>
      <c r="Q2690" s="52">
        <f>IF(P2690="","",IF(J2690&lt;&gt;"",J2690,CuentaPred&amp;""))</f>
        <v/>
      </c>
      <c r="R2690" s="52">
        <f>IF(P2690="","",IF(ISNUMBER(I2690),I2690,TasaUSD))</f>
        <v/>
      </c>
      <c r="S2690" s="53">
        <f>IF(P2690="","",IF(H2690="USD",G2690*R2690,G2690))</f>
        <v/>
      </c>
      <c r="T2690" s="53">
        <f>IF(P2690="","",IF(H2690="USD",G2690,IF(R2690&gt;0,G2690/R2690,0)))</f>
        <v/>
      </c>
      <c r="U2690" s="53">
        <f>IF(P2690="","",IF(P2690="Gasto",S2690,IF(P2690="Reembolso",-S2690,0)))</f>
        <v/>
      </c>
      <c r="V2690" s="53">
        <f>IF(P2690="","",IF(P2690="Ingreso",S2690,0))</f>
        <v/>
      </c>
      <c r="W2690" s="53">
        <f>IF(P2690="","",IF(P2690="Resultado trading",S2690,0))</f>
        <v/>
      </c>
      <c r="X2690" s="52">
        <f>IF(OR(P2690="Gasto",P2690="Reembolso"),IF(M2690&lt;&gt;"",M2690,IFERROR(INDEX(catClasif,MATCH(D2690&amp;"|"&amp;E2690,catClave,0))&amp;"","Variable")),"")</f>
        <v/>
      </c>
      <c r="Y2690" s="52">
        <f>IF(P2690="","",IFERROR(INDEX(catGrupo,MATCH(D2690&amp;"|"&amp;E2690,catClave,0))&amp;"",""))</f>
        <v/>
      </c>
      <c r="Z2690" s="52">
        <f>IF(P2690="","",WEEKDAY(B2690,2))</f>
        <v/>
      </c>
      <c r="AA2690" s="52">
        <f>IF(P2690="","",IF(AND(P2690="Gasto",X2690="Variable",D2690&lt;&gt;catTrading,S2690&gt;0,S2690&lt;=Umbral),1,0))</f>
        <v/>
      </c>
      <c r="AB2690" s="52">
        <f>IF(OR(P2690="",Q2690=""),"",IFERROR(IF(INDEX(ctaVinc,MATCH(Q2690,ctaNombre,0))&amp;""&lt;&gt;"",INDEX(ctaVinc,MATCH(Q2690,ctaNombre,0))&amp;"",Q2690),Q2690))</f>
        <v/>
      </c>
      <c r="AC2690" s="52">
        <f>IF(OR(K2690="",AND(P2690&lt;&gt;"Transferencia",P2690&lt;&gt;"Pago tarjeta")),"",IFERROR(IF(INDEX(ctaVinc,MATCH(K2690,ctaNombre,0))&amp;""&lt;&gt;"",INDEX(ctaVinc,MATCH(K2690,ctaNombre,0))&amp;"",K2690),K2690))</f>
        <v/>
      </c>
      <c r="AD2690" s="52">
        <f>IF(AB2690="","",IFERROR(INDEX(ctaTipo,MATCH(AB2690,ctaNombre,0))&amp;"",""))</f>
        <v/>
      </c>
      <c r="AE2690" s="52">
        <f>IF(AC2690="","",IFERROR(INDEX(ctaTipo,MATCH(AC2690,ctaNombre,0))&amp;"",""))</f>
        <v/>
      </c>
      <c r="AF2690" s="53">
        <f>IF(OR(P2690="",AB2690=""),"",IF(OR(P2690="Gasto",P2690="Transferencia",P2690="Pago tarjeta"),-1,1)*IF(IFERROR(INDEX(ctaMoneda,MATCH(AB2690,ctaNombre,0))&amp;"","DOP")="USD",T2690,S2690))</f>
        <v/>
      </c>
      <c r="AG2690" s="53">
        <f>IF(AC2690="","",IF(IFERROR(INDEX(ctaMoneda,MATCH(AC2690,ctaNombre,0))&amp;"","DOP")="USD",T2690,S2690))</f>
        <v/>
      </c>
      <c r="AH2690" s="53">
        <f>IF(P2690="","",IF(AND(AD2690&lt;&gt;"",COUNTIFS(tcTipo,AD2690,tcLiq,"Sí")&gt;0),IF(OR(P2690="Gasto",P2690="Transferencia",P2690="Pago tarjeta"),-1,1)*S2690,0)+IF(AND(AE2690&lt;&gt;"",COUNTIFS(tcTipo,AE2690,tcLiq,"Sí")&gt;0),S2690,0))</f>
        <v/>
      </c>
      <c r="AI2690" s="52">
        <f>IF(OR(L2690="",P2690=""),"",IF(COUNTIFS(L$6:L2690,L2690,P$6:P2690,"?*")=1,MAX(AI$5:AI2689)+1,""))</f>
        <v/>
      </c>
    </row>
    <row r="2691">
      <c r="B2691" s="47" t="n"/>
      <c r="C2691" s="48" t="n"/>
      <c r="D2691" s="48" t="n"/>
      <c r="E2691" s="48" t="n"/>
      <c r="F2691" s="48" t="n"/>
      <c r="G2691" s="49" t="n"/>
      <c r="H2691" s="48" t="n"/>
      <c r="I2691" s="50" t="n"/>
      <c r="J2691" s="48" t="n"/>
      <c r="K2691" s="48" t="n"/>
      <c r="L2691" s="48" t="n"/>
      <c r="M2691" s="48" t="n"/>
      <c r="N2691" s="48" t="n"/>
      <c r="O2691" s="51">
        <f>IF(AND(B2691="",G2691="",C2691="",D2691="",J2691=""),"",IF(B2691="","⚠ Falta fecha",IF(G2691="","⚠ Falta monto",IF(Q2691="","⚠ Falta cuenta",IF(ISNA(MATCH(Q2691,ctaNombre,0)),"⚠ Cuenta no registrada",IF(AND(OR(P2691="Gasto",P2691="Reembolso"),D2691=""),"⚠ Falta categoría",IF(AND(D2691&lt;&gt;"",E2691&lt;&gt;"",ISNA(MATCH(D2691&amp;"|"&amp;E2691,catClave,0))),"⚠ Subcategoría no corresponde",IF(AND(OR(P2691="Transferencia",P2691="Pago tarjeta"),K2691=""),"⚠ Falta cuenta destino",IF(AND(K2691&lt;&gt;"",P2691&lt;&gt;"Transferencia",P2691&lt;&gt;"Pago tarjeta"),"⚠ Destino solo aplica a transferencias",IF(AND(K2691&lt;&gt;"",K2691=Q2691),"⚠ Origen igual a destino",IF(AND(K2691&lt;&gt;"",ISNA(MATCH(K2691,ctaNombre,0))),"⚠ Destino no registrado",IF(AND(P2691="Pago tarjeta",AE2691&lt;&gt;"Tarjeta de crédito"),"⚠ El destino debe ser tarjeta de crédito",IF(AND(P2691="Gasto",E2691="Depósitos y retiros"),"⚠ Usa tipo Transferencia",IF(AND(P2691="Resultado trading",AD2691&lt;&gt;"Cuenta de trading"),"⚠ Usa una cuenta de trading",IF(AND(G2691&lt;=0,P2691&lt;&gt;"Ajuste",P2691&lt;&gt;"Resultado trading"),"⚠ El monto debe ser positivo","✓")))))))))))))))</f>
        <v/>
      </c>
      <c r="P2691" s="52">
        <f>IF(OR(B2691="",G2691=""),"",IF(C2691="","Gasto",C2691))</f>
        <v/>
      </c>
      <c r="Q2691" s="52">
        <f>IF(P2691="","",IF(J2691&lt;&gt;"",J2691,CuentaPred&amp;""))</f>
        <v/>
      </c>
      <c r="R2691" s="52">
        <f>IF(P2691="","",IF(ISNUMBER(I2691),I2691,TasaUSD))</f>
        <v/>
      </c>
      <c r="S2691" s="53">
        <f>IF(P2691="","",IF(H2691="USD",G2691*R2691,G2691))</f>
        <v/>
      </c>
      <c r="T2691" s="53">
        <f>IF(P2691="","",IF(H2691="USD",G2691,IF(R2691&gt;0,G2691/R2691,0)))</f>
        <v/>
      </c>
      <c r="U2691" s="53">
        <f>IF(P2691="","",IF(P2691="Gasto",S2691,IF(P2691="Reembolso",-S2691,0)))</f>
        <v/>
      </c>
      <c r="V2691" s="53">
        <f>IF(P2691="","",IF(P2691="Ingreso",S2691,0))</f>
        <v/>
      </c>
      <c r="W2691" s="53">
        <f>IF(P2691="","",IF(P2691="Resultado trading",S2691,0))</f>
        <v/>
      </c>
      <c r="X2691" s="52">
        <f>IF(OR(P2691="Gasto",P2691="Reembolso"),IF(M2691&lt;&gt;"",M2691,IFERROR(INDEX(catClasif,MATCH(D2691&amp;"|"&amp;E2691,catClave,0))&amp;"","Variable")),"")</f>
        <v/>
      </c>
      <c r="Y2691" s="52">
        <f>IF(P2691="","",IFERROR(INDEX(catGrupo,MATCH(D2691&amp;"|"&amp;E2691,catClave,0))&amp;"",""))</f>
        <v/>
      </c>
      <c r="Z2691" s="52">
        <f>IF(P2691="","",WEEKDAY(B2691,2))</f>
        <v/>
      </c>
      <c r="AA2691" s="52">
        <f>IF(P2691="","",IF(AND(P2691="Gasto",X2691="Variable",D2691&lt;&gt;catTrading,S2691&gt;0,S2691&lt;=Umbral),1,0))</f>
        <v/>
      </c>
      <c r="AB2691" s="52">
        <f>IF(OR(P2691="",Q2691=""),"",IFERROR(IF(INDEX(ctaVinc,MATCH(Q2691,ctaNombre,0))&amp;""&lt;&gt;"",INDEX(ctaVinc,MATCH(Q2691,ctaNombre,0))&amp;"",Q2691),Q2691))</f>
        <v/>
      </c>
      <c r="AC2691" s="52">
        <f>IF(OR(K2691="",AND(P2691&lt;&gt;"Transferencia",P2691&lt;&gt;"Pago tarjeta")),"",IFERROR(IF(INDEX(ctaVinc,MATCH(K2691,ctaNombre,0))&amp;""&lt;&gt;"",INDEX(ctaVinc,MATCH(K2691,ctaNombre,0))&amp;"",K2691),K2691))</f>
        <v/>
      </c>
      <c r="AD2691" s="52">
        <f>IF(AB2691="","",IFERROR(INDEX(ctaTipo,MATCH(AB2691,ctaNombre,0))&amp;"",""))</f>
        <v/>
      </c>
      <c r="AE2691" s="52">
        <f>IF(AC2691="","",IFERROR(INDEX(ctaTipo,MATCH(AC2691,ctaNombre,0))&amp;"",""))</f>
        <v/>
      </c>
      <c r="AF2691" s="53">
        <f>IF(OR(P2691="",AB2691=""),"",IF(OR(P2691="Gasto",P2691="Transferencia",P2691="Pago tarjeta"),-1,1)*IF(IFERROR(INDEX(ctaMoneda,MATCH(AB2691,ctaNombre,0))&amp;"","DOP")="USD",T2691,S2691))</f>
        <v/>
      </c>
      <c r="AG2691" s="53">
        <f>IF(AC2691="","",IF(IFERROR(INDEX(ctaMoneda,MATCH(AC2691,ctaNombre,0))&amp;"","DOP")="USD",T2691,S2691))</f>
        <v/>
      </c>
      <c r="AH2691" s="53">
        <f>IF(P2691="","",IF(AND(AD2691&lt;&gt;"",COUNTIFS(tcTipo,AD2691,tcLiq,"Sí")&gt;0),IF(OR(P2691="Gasto",P2691="Transferencia",P2691="Pago tarjeta"),-1,1)*S2691,0)+IF(AND(AE2691&lt;&gt;"",COUNTIFS(tcTipo,AE2691,tcLiq,"Sí")&gt;0),S2691,0))</f>
        <v/>
      </c>
      <c r="AI2691" s="52">
        <f>IF(OR(L2691="",P2691=""),"",IF(COUNTIFS(L$6:L2691,L2691,P$6:P2691,"?*")=1,MAX(AI$5:AI2690)+1,""))</f>
        <v/>
      </c>
    </row>
    <row r="2692">
      <c r="B2692" s="47" t="n"/>
      <c r="C2692" s="48" t="n"/>
      <c r="D2692" s="48" t="n"/>
      <c r="E2692" s="48" t="n"/>
      <c r="F2692" s="48" t="n"/>
      <c r="G2692" s="49" t="n"/>
      <c r="H2692" s="48" t="n"/>
      <c r="I2692" s="50" t="n"/>
      <c r="J2692" s="48" t="n"/>
      <c r="K2692" s="48" t="n"/>
      <c r="L2692" s="48" t="n"/>
      <c r="M2692" s="48" t="n"/>
      <c r="N2692" s="48" t="n"/>
      <c r="O2692" s="51">
        <f>IF(AND(B2692="",G2692="",C2692="",D2692="",J2692=""),"",IF(B2692="","⚠ Falta fecha",IF(G2692="","⚠ Falta monto",IF(Q2692="","⚠ Falta cuenta",IF(ISNA(MATCH(Q2692,ctaNombre,0)),"⚠ Cuenta no registrada",IF(AND(OR(P2692="Gasto",P2692="Reembolso"),D2692=""),"⚠ Falta categoría",IF(AND(D2692&lt;&gt;"",E2692&lt;&gt;"",ISNA(MATCH(D2692&amp;"|"&amp;E2692,catClave,0))),"⚠ Subcategoría no corresponde",IF(AND(OR(P2692="Transferencia",P2692="Pago tarjeta"),K2692=""),"⚠ Falta cuenta destino",IF(AND(K2692&lt;&gt;"",P2692&lt;&gt;"Transferencia",P2692&lt;&gt;"Pago tarjeta"),"⚠ Destino solo aplica a transferencias",IF(AND(K2692&lt;&gt;"",K2692=Q2692),"⚠ Origen igual a destino",IF(AND(K2692&lt;&gt;"",ISNA(MATCH(K2692,ctaNombre,0))),"⚠ Destino no registrado",IF(AND(P2692="Pago tarjeta",AE2692&lt;&gt;"Tarjeta de crédito"),"⚠ El destino debe ser tarjeta de crédito",IF(AND(P2692="Gasto",E2692="Depósitos y retiros"),"⚠ Usa tipo Transferencia",IF(AND(P2692="Resultado trading",AD2692&lt;&gt;"Cuenta de trading"),"⚠ Usa una cuenta de trading",IF(AND(G2692&lt;=0,P2692&lt;&gt;"Ajuste",P2692&lt;&gt;"Resultado trading"),"⚠ El monto debe ser positivo","✓")))))))))))))))</f>
        <v/>
      </c>
      <c r="P2692" s="52">
        <f>IF(OR(B2692="",G2692=""),"",IF(C2692="","Gasto",C2692))</f>
        <v/>
      </c>
      <c r="Q2692" s="52">
        <f>IF(P2692="","",IF(J2692&lt;&gt;"",J2692,CuentaPred&amp;""))</f>
        <v/>
      </c>
      <c r="R2692" s="52">
        <f>IF(P2692="","",IF(ISNUMBER(I2692),I2692,TasaUSD))</f>
        <v/>
      </c>
      <c r="S2692" s="53">
        <f>IF(P2692="","",IF(H2692="USD",G2692*R2692,G2692))</f>
        <v/>
      </c>
      <c r="T2692" s="53">
        <f>IF(P2692="","",IF(H2692="USD",G2692,IF(R2692&gt;0,G2692/R2692,0)))</f>
        <v/>
      </c>
      <c r="U2692" s="53">
        <f>IF(P2692="","",IF(P2692="Gasto",S2692,IF(P2692="Reembolso",-S2692,0)))</f>
        <v/>
      </c>
      <c r="V2692" s="53">
        <f>IF(P2692="","",IF(P2692="Ingreso",S2692,0))</f>
        <v/>
      </c>
      <c r="W2692" s="53">
        <f>IF(P2692="","",IF(P2692="Resultado trading",S2692,0))</f>
        <v/>
      </c>
      <c r="X2692" s="52">
        <f>IF(OR(P2692="Gasto",P2692="Reembolso"),IF(M2692&lt;&gt;"",M2692,IFERROR(INDEX(catClasif,MATCH(D2692&amp;"|"&amp;E2692,catClave,0))&amp;"","Variable")),"")</f>
        <v/>
      </c>
      <c r="Y2692" s="52">
        <f>IF(P2692="","",IFERROR(INDEX(catGrupo,MATCH(D2692&amp;"|"&amp;E2692,catClave,0))&amp;"",""))</f>
        <v/>
      </c>
      <c r="Z2692" s="52">
        <f>IF(P2692="","",WEEKDAY(B2692,2))</f>
        <v/>
      </c>
      <c r="AA2692" s="52">
        <f>IF(P2692="","",IF(AND(P2692="Gasto",X2692="Variable",D2692&lt;&gt;catTrading,S2692&gt;0,S2692&lt;=Umbral),1,0))</f>
        <v/>
      </c>
      <c r="AB2692" s="52">
        <f>IF(OR(P2692="",Q2692=""),"",IFERROR(IF(INDEX(ctaVinc,MATCH(Q2692,ctaNombre,0))&amp;""&lt;&gt;"",INDEX(ctaVinc,MATCH(Q2692,ctaNombre,0))&amp;"",Q2692),Q2692))</f>
        <v/>
      </c>
      <c r="AC2692" s="52">
        <f>IF(OR(K2692="",AND(P2692&lt;&gt;"Transferencia",P2692&lt;&gt;"Pago tarjeta")),"",IFERROR(IF(INDEX(ctaVinc,MATCH(K2692,ctaNombre,0))&amp;""&lt;&gt;"",INDEX(ctaVinc,MATCH(K2692,ctaNombre,0))&amp;"",K2692),K2692))</f>
        <v/>
      </c>
      <c r="AD2692" s="52">
        <f>IF(AB2692="","",IFERROR(INDEX(ctaTipo,MATCH(AB2692,ctaNombre,0))&amp;"",""))</f>
        <v/>
      </c>
      <c r="AE2692" s="52">
        <f>IF(AC2692="","",IFERROR(INDEX(ctaTipo,MATCH(AC2692,ctaNombre,0))&amp;"",""))</f>
        <v/>
      </c>
      <c r="AF2692" s="53">
        <f>IF(OR(P2692="",AB2692=""),"",IF(OR(P2692="Gasto",P2692="Transferencia",P2692="Pago tarjeta"),-1,1)*IF(IFERROR(INDEX(ctaMoneda,MATCH(AB2692,ctaNombre,0))&amp;"","DOP")="USD",T2692,S2692))</f>
        <v/>
      </c>
      <c r="AG2692" s="53">
        <f>IF(AC2692="","",IF(IFERROR(INDEX(ctaMoneda,MATCH(AC2692,ctaNombre,0))&amp;"","DOP")="USD",T2692,S2692))</f>
        <v/>
      </c>
      <c r="AH2692" s="53">
        <f>IF(P2692="","",IF(AND(AD2692&lt;&gt;"",COUNTIFS(tcTipo,AD2692,tcLiq,"Sí")&gt;0),IF(OR(P2692="Gasto",P2692="Transferencia",P2692="Pago tarjeta"),-1,1)*S2692,0)+IF(AND(AE2692&lt;&gt;"",COUNTIFS(tcTipo,AE2692,tcLiq,"Sí")&gt;0),S2692,0))</f>
        <v/>
      </c>
      <c r="AI2692" s="52">
        <f>IF(OR(L2692="",P2692=""),"",IF(COUNTIFS(L$6:L2692,L2692,P$6:P2692,"?*")=1,MAX(AI$5:AI2691)+1,""))</f>
        <v/>
      </c>
    </row>
    <row r="2693">
      <c r="B2693" s="47" t="n"/>
      <c r="C2693" s="48" t="n"/>
      <c r="D2693" s="48" t="n"/>
      <c r="E2693" s="48" t="n"/>
      <c r="F2693" s="48" t="n"/>
      <c r="G2693" s="49" t="n"/>
      <c r="H2693" s="48" t="n"/>
      <c r="I2693" s="50" t="n"/>
      <c r="J2693" s="48" t="n"/>
      <c r="K2693" s="48" t="n"/>
      <c r="L2693" s="48" t="n"/>
      <c r="M2693" s="48" t="n"/>
      <c r="N2693" s="48" t="n"/>
      <c r="O2693" s="51">
        <f>IF(AND(B2693="",G2693="",C2693="",D2693="",J2693=""),"",IF(B2693="","⚠ Falta fecha",IF(G2693="","⚠ Falta monto",IF(Q2693="","⚠ Falta cuenta",IF(ISNA(MATCH(Q2693,ctaNombre,0)),"⚠ Cuenta no registrada",IF(AND(OR(P2693="Gasto",P2693="Reembolso"),D2693=""),"⚠ Falta categoría",IF(AND(D2693&lt;&gt;"",E2693&lt;&gt;"",ISNA(MATCH(D2693&amp;"|"&amp;E2693,catClave,0))),"⚠ Subcategoría no corresponde",IF(AND(OR(P2693="Transferencia",P2693="Pago tarjeta"),K2693=""),"⚠ Falta cuenta destino",IF(AND(K2693&lt;&gt;"",P2693&lt;&gt;"Transferencia",P2693&lt;&gt;"Pago tarjeta"),"⚠ Destino solo aplica a transferencias",IF(AND(K2693&lt;&gt;"",K2693=Q2693),"⚠ Origen igual a destino",IF(AND(K2693&lt;&gt;"",ISNA(MATCH(K2693,ctaNombre,0))),"⚠ Destino no registrado",IF(AND(P2693="Pago tarjeta",AE2693&lt;&gt;"Tarjeta de crédito"),"⚠ El destino debe ser tarjeta de crédito",IF(AND(P2693="Gasto",E2693="Depósitos y retiros"),"⚠ Usa tipo Transferencia",IF(AND(P2693="Resultado trading",AD2693&lt;&gt;"Cuenta de trading"),"⚠ Usa una cuenta de trading",IF(AND(G2693&lt;=0,P2693&lt;&gt;"Ajuste",P2693&lt;&gt;"Resultado trading"),"⚠ El monto debe ser positivo","✓")))))))))))))))</f>
        <v/>
      </c>
      <c r="P2693" s="52">
        <f>IF(OR(B2693="",G2693=""),"",IF(C2693="","Gasto",C2693))</f>
        <v/>
      </c>
      <c r="Q2693" s="52">
        <f>IF(P2693="","",IF(J2693&lt;&gt;"",J2693,CuentaPred&amp;""))</f>
        <v/>
      </c>
      <c r="R2693" s="52">
        <f>IF(P2693="","",IF(ISNUMBER(I2693),I2693,TasaUSD))</f>
        <v/>
      </c>
      <c r="S2693" s="53">
        <f>IF(P2693="","",IF(H2693="USD",G2693*R2693,G2693))</f>
        <v/>
      </c>
      <c r="T2693" s="53">
        <f>IF(P2693="","",IF(H2693="USD",G2693,IF(R2693&gt;0,G2693/R2693,0)))</f>
        <v/>
      </c>
      <c r="U2693" s="53">
        <f>IF(P2693="","",IF(P2693="Gasto",S2693,IF(P2693="Reembolso",-S2693,0)))</f>
        <v/>
      </c>
      <c r="V2693" s="53">
        <f>IF(P2693="","",IF(P2693="Ingreso",S2693,0))</f>
        <v/>
      </c>
      <c r="W2693" s="53">
        <f>IF(P2693="","",IF(P2693="Resultado trading",S2693,0))</f>
        <v/>
      </c>
      <c r="X2693" s="52">
        <f>IF(OR(P2693="Gasto",P2693="Reembolso"),IF(M2693&lt;&gt;"",M2693,IFERROR(INDEX(catClasif,MATCH(D2693&amp;"|"&amp;E2693,catClave,0))&amp;"","Variable")),"")</f>
        <v/>
      </c>
      <c r="Y2693" s="52">
        <f>IF(P2693="","",IFERROR(INDEX(catGrupo,MATCH(D2693&amp;"|"&amp;E2693,catClave,0))&amp;"",""))</f>
        <v/>
      </c>
      <c r="Z2693" s="52">
        <f>IF(P2693="","",WEEKDAY(B2693,2))</f>
        <v/>
      </c>
      <c r="AA2693" s="52">
        <f>IF(P2693="","",IF(AND(P2693="Gasto",X2693="Variable",D2693&lt;&gt;catTrading,S2693&gt;0,S2693&lt;=Umbral),1,0))</f>
        <v/>
      </c>
      <c r="AB2693" s="52">
        <f>IF(OR(P2693="",Q2693=""),"",IFERROR(IF(INDEX(ctaVinc,MATCH(Q2693,ctaNombre,0))&amp;""&lt;&gt;"",INDEX(ctaVinc,MATCH(Q2693,ctaNombre,0))&amp;"",Q2693),Q2693))</f>
        <v/>
      </c>
      <c r="AC2693" s="52">
        <f>IF(OR(K2693="",AND(P2693&lt;&gt;"Transferencia",P2693&lt;&gt;"Pago tarjeta")),"",IFERROR(IF(INDEX(ctaVinc,MATCH(K2693,ctaNombre,0))&amp;""&lt;&gt;"",INDEX(ctaVinc,MATCH(K2693,ctaNombre,0))&amp;"",K2693),K2693))</f>
        <v/>
      </c>
      <c r="AD2693" s="52">
        <f>IF(AB2693="","",IFERROR(INDEX(ctaTipo,MATCH(AB2693,ctaNombre,0))&amp;"",""))</f>
        <v/>
      </c>
      <c r="AE2693" s="52">
        <f>IF(AC2693="","",IFERROR(INDEX(ctaTipo,MATCH(AC2693,ctaNombre,0))&amp;"",""))</f>
        <v/>
      </c>
      <c r="AF2693" s="53">
        <f>IF(OR(P2693="",AB2693=""),"",IF(OR(P2693="Gasto",P2693="Transferencia",P2693="Pago tarjeta"),-1,1)*IF(IFERROR(INDEX(ctaMoneda,MATCH(AB2693,ctaNombre,0))&amp;"","DOP")="USD",T2693,S2693))</f>
        <v/>
      </c>
      <c r="AG2693" s="53">
        <f>IF(AC2693="","",IF(IFERROR(INDEX(ctaMoneda,MATCH(AC2693,ctaNombre,0))&amp;"","DOP")="USD",T2693,S2693))</f>
        <v/>
      </c>
      <c r="AH2693" s="53">
        <f>IF(P2693="","",IF(AND(AD2693&lt;&gt;"",COUNTIFS(tcTipo,AD2693,tcLiq,"Sí")&gt;0),IF(OR(P2693="Gasto",P2693="Transferencia",P2693="Pago tarjeta"),-1,1)*S2693,0)+IF(AND(AE2693&lt;&gt;"",COUNTIFS(tcTipo,AE2693,tcLiq,"Sí")&gt;0),S2693,0))</f>
        <v/>
      </c>
      <c r="AI2693" s="52">
        <f>IF(OR(L2693="",P2693=""),"",IF(COUNTIFS(L$6:L2693,L2693,P$6:P2693,"?*")=1,MAX(AI$5:AI2692)+1,""))</f>
        <v/>
      </c>
    </row>
    <row r="2694">
      <c r="B2694" s="47" t="n"/>
      <c r="C2694" s="48" t="n"/>
      <c r="D2694" s="48" t="n"/>
      <c r="E2694" s="48" t="n"/>
      <c r="F2694" s="48" t="n"/>
      <c r="G2694" s="49" t="n"/>
      <c r="H2694" s="48" t="n"/>
      <c r="I2694" s="50" t="n"/>
      <c r="J2694" s="48" t="n"/>
      <c r="K2694" s="48" t="n"/>
      <c r="L2694" s="48" t="n"/>
      <c r="M2694" s="48" t="n"/>
      <c r="N2694" s="48" t="n"/>
      <c r="O2694" s="51">
        <f>IF(AND(B2694="",G2694="",C2694="",D2694="",J2694=""),"",IF(B2694="","⚠ Falta fecha",IF(G2694="","⚠ Falta monto",IF(Q2694="","⚠ Falta cuenta",IF(ISNA(MATCH(Q2694,ctaNombre,0)),"⚠ Cuenta no registrada",IF(AND(OR(P2694="Gasto",P2694="Reembolso"),D2694=""),"⚠ Falta categoría",IF(AND(D2694&lt;&gt;"",E2694&lt;&gt;"",ISNA(MATCH(D2694&amp;"|"&amp;E2694,catClave,0))),"⚠ Subcategoría no corresponde",IF(AND(OR(P2694="Transferencia",P2694="Pago tarjeta"),K2694=""),"⚠ Falta cuenta destino",IF(AND(K2694&lt;&gt;"",P2694&lt;&gt;"Transferencia",P2694&lt;&gt;"Pago tarjeta"),"⚠ Destino solo aplica a transferencias",IF(AND(K2694&lt;&gt;"",K2694=Q2694),"⚠ Origen igual a destino",IF(AND(K2694&lt;&gt;"",ISNA(MATCH(K2694,ctaNombre,0))),"⚠ Destino no registrado",IF(AND(P2694="Pago tarjeta",AE2694&lt;&gt;"Tarjeta de crédito"),"⚠ El destino debe ser tarjeta de crédito",IF(AND(P2694="Gasto",E2694="Depósitos y retiros"),"⚠ Usa tipo Transferencia",IF(AND(P2694="Resultado trading",AD2694&lt;&gt;"Cuenta de trading"),"⚠ Usa una cuenta de trading",IF(AND(G2694&lt;=0,P2694&lt;&gt;"Ajuste",P2694&lt;&gt;"Resultado trading"),"⚠ El monto debe ser positivo","✓")))))))))))))))</f>
        <v/>
      </c>
      <c r="P2694" s="52">
        <f>IF(OR(B2694="",G2694=""),"",IF(C2694="","Gasto",C2694))</f>
        <v/>
      </c>
      <c r="Q2694" s="52">
        <f>IF(P2694="","",IF(J2694&lt;&gt;"",J2694,CuentaPred&amp;""))</f>
        <v/>
      </c>
      <c r="R2694" s="52">
        <f>IF(P2694="","",IF(ISNUMBER(I2694),I2694,TasaUSD))</f>
        <v/>
      </c>
      <c r="S2694" s="53">
        <f>IF(P2694="","",IF(H2694="USD",G2694*R2694,G2694))</f>
        <v/>
      </c>
      <c r="T2694" s="53">
        <f>IF(P2694="","",IF(H2694="USD",G2694,IF(R2694&gt;0,G2694/R2694,0)))</f>
        <v/>
      </c>
      <c r="U2694" s="53">
        <f>IF(P2694="","",IF(P2694="Gasto",S2694,IF(P2694="Reembolso",-S2694,0)))</f>
        <v/>
      </c>
      <c r="V2694" s="53">
        <f>IF(P2694="","",IF(P2694="Ingreso",S2694,0))</f>
        <v/>
      </c>
      <c r="W2694" s="53">
        <f>IF(P2694="","",IF(P2694="Resultado trading",S2694,0))</f>
        <v/>
      </c>
      <c r="X2694" s="52">
        <f>IF(OR(P2694="Gasto",P2694="Reembolso"),IF(M2694&lt;&gt;"",M2694,IFERROR(INDEX(catClasif,MATCH(D2694&amp;"|"&amp;E2694,catClave,0))&amp;"","Variable")),"")</f>
        <v/>
      </c>
      <c r="Y2694" s="52">
        <f>IF(P2694="","",IFERROR(INDEX(catGrupo,MATCH(D2694&amp;"|"&amp;E2694,catClave,0))&amp;"",""))</f>
        <v/>
      </c>
      <c r="Z2694" s="52">
        <f>IF(P2694="","",WEEKDAY(B2694,2))</f>
        <v/>
      </c>
      <c r="AA2694" s="52">
        <f>IF(P2694="","",IF(AND(P2694="Gasto",X2694="Variable",D2694&lt;&gt;catTrading,S2694&gt;0,S2694&lt;=Umbral),1,0))</f>
        <v/>
      </c>
      <c r="AB2694" s="52">
        <f>IF(OR(P2694="",Q2694=""),"",IFERROR(IF(INDEX(ctaVinc,MATCH(Q2694,ctaNombre,0))&amp;""&lt;&gt;"",INDEX(ctaVinc,MATCH(Q2694,ctaNombre,0))&amp;"",Q2694),Q2694))</f>
        <v/>
      </c>
      <c r="AC2694" s="52">
        <f>IF(OR(K2694="",AND(P2694&lt;&gt;"Transferencia",P2694&lt;&gt;"Pago tarjeta")),"",IFERROR(IF(INDEX(ctaVinc,MATCH(K2694,ctaNombre,0))&amp;""&lt;&gt;"",INDEX(ctaVinc,MATCH(K2694,ctaNombre,0))&amp;"",K2694),K2694))</f>
        <v/>
      </c>
      <c r="AD2694" s="52">
        <f>IF(AB2694="","",IFERROR(INDEX(ctaTipo,MATCH(AB2694,ctaNombre,0))&amp;"",""))</f>
        <v/>
      </c>
      <c r="AE2694" s="52">
        <f>IF(AC2694="","",IFERROR(INDEX(ctaTipo,MATCH(AC2694,ctaNombre,0))&amp;"",""))</f>
        <v/>
      </c>
      <c r="AF2694" s="53">
        <f>IF(OR(P2694="",AB2694=""),"",IF(OR(P2694="Gasto",P2694="Transferencia",P2694="Pago tarjeta"),-1,1)*IF(IFERROR(INDEX(ctaMoneda,MATCH(AB2694,ctaNombre,0))&amp;"","DOP")="USD",T2694,S2694))</f>
        <v/>
      </c>
      <c r="AG2694" s="53">
        <f>IF(AC2694="","",IF(IFERROR(INDEX(ctaMoneda,MATCH(AC2694,ctaNombre,0))&amp;"","DOP")="USD",T2694,S2694))</f>
        <v/>
      </c>
      <c r="AH2694" s="53">
        <f>IF(P2694="","",IF(AND(AD2694&lt;&gt;"",COUNTIFS(tcTipo,AD2694,tcLiq,"Sí")&gt;0),IF(OR(P2694="Gasto",P2694="Transferencia",P2694="Pago tarjeta"),-1,1)*S2694,0)+IF(AND(AE2694&lt;&gt;"",COUNTIFS(tcTipo,AE2694,tcLiq,"Sí")&gt;0),S2694,0))</f>
        <v/>
      </c>
      <c r="AI2694" s="52">
        <f>IF(OR(L2694="",P2694=""),"",IF(COUNTIFS(L$6:L2694,L2694,P$6:P2694,"?*")=1,MAX(AI$5:AI2693)+1,""))</f>
        <v/>
      </c>
    </row>
    <row r="2695">
      <c r="B2695" s="47" t="n"/>
      <c r="C2695" s="48" t="n"/>
      <c r="D2695" s="48" t="n"/>
      <c r="E2695" s="48" t="n"/>
      <c r="F2695" s="48" t="n"/>
      <c r="G2695" s="49" t="n"/>
      <c r="H2695" s="48" t="n"/>
      <c r="I2695" s="50" t="n"/>
      <c r="J2695" s="48" t="n"/>
      <c r="K2695" s="48" t="n"/>
      <c r="L2695" s="48" t="n"/>
      <c r="M2695" s="48" t="n"/>
      <c r="N2695" s="48" t="n"/>
      <c r="O2695" s="51">
        <f>IF(AND(B2695="",G2695="",C2695="",D2695="",J2695=""),"",IF(B2695="","⚠ Falta fecha",IF(G2695="","⚠ Falta monto",IF(Q2695="","⚠ Falta cuenta",IF(ISNA(MATCH(Q2695,ctaNombre,0)),"⚠ Cuenta no registrada",IF(AND(OR(P2695="Gasto",P2695="Reembolso"),D2695=""),"⚠ Falta categoría",IF(AND(D2695&lt;&gt;"",E2695&lt;&gt;"",ISNA(MATCH(D2695&amp;"|"&amp;E2695,catClave,0))),"⚠ Subcategoría no corresponde",IF(AND(OR(P2695="Transferencia",P2695="Pago tarjeta"),K2695=""),"⚠ Falta cuenta destino",IF(AND(K2695&lt;&gt;"",P2695&lt;&gt;"Transferencia",P2695&lt;&gt;"Pago tarjeta"),"⚠ Destino solo aplica a transferencias",IF(AND(K2695&lt;&gt;"",K2695=Q2695),"⚠ Origen igual a destino",IF(AND(K2695&lt;&gt;"",ISNA(MATCH(K2695,ctaNombre,0))),"⚠ Destino no registrado",IF(AND(P2695="Pago tarjeta",AE2695&lt;&gt;"Tarjeta de crédito"),"⚠ El destino debe ser tarjeta de crédito",IF(AND(P2695="Gasto",E2695="Depósitos y retiros"),"⚠ Usa tipo Transferencia",IF(AND(P2695="Resultado trading",AD2695&lt;&gt;"Cuenta de trading"),"⚠ Usa una cuenta de trading",IF(AND(G2695&lt;=0,P2695&lt;&gt;"Ajuste",P2695&lt;&gt;"Resultado trading"),"⚠ El monto debe ser positivo","✓")))))))))))))))</f>
        <v/>
      </c>
      <c r="P2695" s="52">
        <f>IF(OR(B2695="",G2695=""),"",IF(C2695="","Gasto",C2695))</f>
        <v/>
      </c>
      <c r="Q2695" s="52">
        <f>IF(P2695="","",IF(J2695&lt;&gt;"",J2695,CuentaPred&amp;""))</f>
        <v/>
      </c>
      <c r="R2695" s="52">
        <f>IF(P2695="","",IF(ISNUMBER(I2695),I2695,TasaUSD))</f>
        <v/>
      </c>
      <c r="S2695" s="53">
        <f>IF(P2695="","",IF(H2695="USD",G2695*R2695,G2695))</f>
        <v/>
      </c>
      <c r="T2695" s="53">
        <f>IF(P2695="","",IF(H2695="USD",G2695,IF(R2695&gt;0,G2695/R2695,0)))</f>
        <v/>
      </c>
      <c r="U2695" s="53">
        <f>IF(P2695="","",IF(P2695="Gasto",S2695,IF(P2695="Reembolso",-S2695,0)))</f>
        <v/>
      </c>
      <c r="V2695" s="53">
        <f>IF(P2695="","",IF(P2695="Ingreso",S2695,0))</f>
        <v/>
      </c>
      <c r="W2695" s="53">
        <f>IF(P2695="","",IF(P2695="Resultado trading",S2695,0))</f>
        <v/>
      </c>
      <c r="X2695" s="52">
        <f>IF(OR(P2695="Gasto",P2695="Reembolso"),IF(M2695&lt;&gt;"",M2695,IFERROR(INDEX(catClasif,MATCH(D2695&amp;"|"&amp;E2695,catClave,0))&amp;"","Variable")),"")</f>
        <v/>
      </c>
      <c r="Y2695" s="52">
        <f>IF(P2695="","",IFERROR(INDEX(catGrupo,MATCH(D2695&amp;"|"&amp;E2695,catClave,0))&amp;"",""))</f>
        <v/>
      </c>
      <c r="Z2695" s="52">
        <f>IF(P2695="","",WEEKDAY(B2695,2))</f>
        <v/>
      </c>
      <c r="AA2695" s="52">
        <f>IF(P2695="","",IF(AND(P2695="Gasto",X2695="Variable",D2695&lt;&gt;catTrading,S2695&gt;0,S2695&lt;=Umbral),1,0))</f>
        <v/>
      </c>
      <c r="AB2695" s="52">
        <f>IF(OR(P2695="",Q2695=""),"",IFERROR(IF(INDEX(ctaVinc,MATCH(Q2695,ctaNombre,0))&amp;""&lt;&gt;"",INDEX(ctaVinc,MATCH(Q2695,ctaNombre,0))&amp;"",Q2695),Q2695))</f>
        <v/>
      </c>
      <c r="AC2695" s="52">
        <f>IF(OR(K2695="",AND(P2695&lt;&gt;"Transferencia",P2695&lt;&gt;"Pago tarjeta")),"",IFERROR(IF(INDEX(ctaVinc,MATCH(K2695,ctaNombre,0))&amp;""&lt;&gt;"",INDEX(ctaVinc,MATCH(K2695,ctaNombre,0))&amp;"",K2695),K2695))</f>
        <v/>
      </c>
      <c r="AD2695" s="52">
        <f>IF(AB2695="","",IFERROR(INDEX(ctaTipo,MATCH(AB2695,ctaNombre,0))&amp;"",""))</f>
        <v/>
      </c>
      <c r="AE2695" s="52">
        <f>IF(AC2695="","",IFERROR(INDEX(ctaTipo,MATCH(AC2695,ctaNombre,0))&amp;"",""))</f>
        <v/>
      </c>
      <c r="AF2695" s="53">
        <f>IF(OR(P2695="",AB2695=""),"",IF(OR(P2695="Gasto",P2695="Transferencia",P2695="Pago tarjeta"),-1,1)*IF(IFERROR(INDEX(ctaMoneda,MATCH(AB2695,ctaNombre,0))&amp;"","DOP")="USD",T2695,S2695))</f>
        <v/>
      </c>
      <c r="AG2695" s="53">
        <f>IF(AC2695="","",IF(IFERROR(INDEX(ctaMoneda,MATCH(AC2695,ctaNombre,0))&amp;"","DOP")="USD",T2695,S2695))</f>
        <v/>
      </c>
      <c r="AH2695" s="53">
        <f>IF(P2695="","",IF(AND(AD2695&lt;&gt;"",COUNTIFS(tcTipo,AD2695,tcLiq,"Sí")&gt;0),IF(OR(P2695="Gasto",P2695="Transferencia",P2695="Pago tarjeta"),-1,1)*S2695,0)+IF(AND(AE2695&lt;&gt;"",COUNTIFS(tcTipo,AE2695,tcLiq,"Sí")&gt;0),S2695,0))</f>
        <v/>
      </c>
      <c r="AI2695" s="52">
        <f>IF(OR(L2695="",P2695=""),"",IF(COUNTIFS(L$6:L2695,L2695,P$6:P2695,"?*")=1,MAX(AI$5:AI2694)+1,""))</f>
        <v/>
      </c>
    </row>
    <row r="2696">
      <c r="B2696" s="47" t="n"/>
      <c r="C2696" s="48" t="n"/>
      <c r="D2696" s="48" t="n"/>
      <c r="E2696" s="48" t="n"/>
      <c r="F2696" s="48" t="n"/>
      <c r="G2696" s="49" t="n"/>
      <c r="H2696" s="48" t="n"/>
      <c r="I2696" s="50" t="n"/>
      <c r="J2696" s="48" t="n"/>
      <c r="K2696" s="48" t="n"/>
      <c r="L2696" s="48" t="n"/>
      <c r="M2696" s="48" t="n"/>
      <c r="N2696" s="48" t="n"/>
      <c r="O2696" s="51">
        <f>IF(AND(B2696="",G2696="",C2696="",D2696="",J2696=""),"",IF(B2696="","⚠ Falta fecha",IF(G2696="","⚠ Falta monto",IF(Q2696="","⚠ Falta cuenta",IF(ISNA(MATCH(Q2696,ctaNombre,0)),"⚠ Cuenta no registrada",IF(AND(OR(P2696="Gasto",P2696="Reembolso"),D2696=""),"⚠ Falta categoría",IF(AND(D2696&lt;&gt;"",E2696&lt;&gt;"",ISNA(MATCH(D2696&amp;"|"&amp;E2696,catClave,0))),"⚠ Subcategoría no corresponde",IF(AND(OR(P2696="Transferencia",P2696="Pago tarjeta"),K2696=""),"⚠ Falta cuenta destino",IF(AND(K2696&lt;&gt;"",P2696&lt;&gt;"Transferencia",P2696&lt;&gt;"Pago tarjeta"),"⚠ Destino solo aplica a transferencias",IF(AND(K2696&lt;&gt;"",K2696=Q2696),"⚠ Origen igual a destino",IF(AND(K2696&lt;&gt;"",ISNA(MATCH(K2696,ctaNombre,0))),"⚠ Destino no registrado",IF(AND(P2696="Pago tarjeta",AE2696&lt;&gt;"Tarjeta de crédito"),"⚠ El destino debe ser tarjeta de crédito",IF(AND(P2696="Gasto",E2696="Depósitos y retiros"),"⚠ Usa tipo Transferencia",IF(AND(P2696="Resultado trading",AD2696&lt;&gt;"Cuenta de trading"),"⚠ Usa una cuenta de trading",IF(AND(G2696&lt;=0,P2696&lt;&gt;"Ajuste",P2696&lt;&gt;"Resultado trading"),"⚠ El monto debe ser positivo","✓")))))))))))))))</f>
        <v/>
      </c>
      <c r="P2696" s="52">
        <f>IF(OR(B2696="",G2696=""),"",IF(C2696="","Gasto",C2696))</f>
        <v/>
      </c>
      <c r="Q2696" s="52">
        <f>IF(P2696="","",IF(J2696&lt;&gt;"",J2696,CuentaPred&amp;""))</f>
        <v/>
      </c>
      <c r="R2696" s="52">
        <f>IF(P2696="","",IF(ISNUMBER(I2696),I2696,TasaUSD))</f>
        <v/>
      </c>
      <c r="S2696" s="53">
        <f>IF(P2696="","",IF(H2696="USD",G2696*R2696,G2696))</f>
        <v/>
      </c>
      <c r="T2696" s="53">
        <f>IF(P2696="","",IF(H2696="USD",G2696,IF(R2696&gt;0,G2696/R2696,0)))</f>
        <v/>
      </c>
      <c r="U2696" s="53">
        <f>IF(P2696="","",IF(P2696="Gasto",S2696,IF(P2696="Reembolso",-S2696,0)))</f>
        <v/>
      </c>
      <c r="V2696" s="53">
        <f>IF(P2696="","",IF(P2696="Ingreso",S2696,0))</f>
        <v/>
      </c>
      <c r="W2696" s="53">
        <f>IF(P2696="","",IF(P2696="Resultado trading",S2696,0))</f>
        <v/>
      </c>
      <c r="X2696" s="52">
        <f>IF(OR(P2696="Gasto",P2696="Reembolso"),IF(M2696&lt;&gt;"",M2696,IFERROR(INDEX(catClasif,MATCH(D2696&amp;"|"&amp;E2696,catClave,0))&amp;"","Variable")),"")</f>
        <v/>
      </c>
      <c r="Y2696" s="52">
        <f>IF(P2696="","",IFERROR(INDEX(catGrupo,MATCH(D2696&amp;"|"&amp;E2696,catClave,0))&amp;"",""))</f>
        <v/>
      </c>
      <c r="Z2696" s="52">
        <f>IF(P2696="","",WEEKDAY(B2696,2))</f>
        <v/>
      </c>
      <c r="AA2696" s="52">
        <f>IF(P2696="","",IF(AND(P2696="Gasto",X2696="Variable",D2696&lt;&gt;catTrading,S2696&gt;0,S2696&lt;=Umbral),1,0))</f>
        <v/>
      </c>
      <c r="AB2696" s="52">
        <f>IF(OR(P2696="",Q2696=""),"",IFERROR(IF(INDEX(ctaVinc,MATCH(Q2696,ctaNombre,0))&amp;""&lt;&gt;"",INDEX(ctaVinc,MATCH(Q2696,ctaNombre,0))&amp;"",Q2696),Q2696))</f>
        <v/>
      </c>
      <c r="AC2696" s="52">
        <f>IF(OR(K2696="",AND(P2696&lt;&gt;"Transferencia",P2696&lt;&gt;"Pago tarjeta")),"",IFERROR(IF(INDEX(ctaVinc,MATCH(K2696,ctaNombre,0))&amp;""&lt;&gt;"",INDEX(ctaVinc,MATCH(K2696,ctaNombre,0))&amp;"",K2696),K2696))</f>
        <v/>
      </c>
      <c r="AD2696" s="52">
        <f>IF(AB2696="","",IFERROR(INDEX(ctaTipo,MATCH(AB2696,ctaNombre,0))&amp;"",""))</f>
        <v/>
      </c>
      <c r="AE2696" s="52">
        <f>IF(AC2696="","",IFERROR(INDEX(ctaTipo,MATCH(AC2696,ctaNombre,0))&amp;"",""))</f>
        <v/>
      </c>
      <c r="AF2696" s="53">
        <f>IF(OR(P2696="",AB2696=""),"",IF(OR(P2696="Gasto",P2696="Transferencia",P2696="Pago tarjeta"),-1,1)*IF(IFERROR(INDEX(ctaMoneda,MATCH(AB2696,ctaNombre,0))&amp;"","DOP")="USD",T2696,S2696))</f>
        <v/>
      </c>
      <c r="AG2696" s="53">
        <f>IF(AC2696="","",IF(IFERROR(INDEX(ctaMoneda,MATCH(AC2696,ctaNombre,0))&amp;"","DOP")="USD",T2696,S2696))</f>
        <v/>
      </c>
      <c r="AH2696" s="53">
        <f>IF(P2696="","",IF(AND(AD2696&lt;&gt;"",COUNTIFS(tcTipo,AD2696,tcLiq,"Sí")&gt;0),IF(OR(P2696="Gasto",P2696="Transferencia",P2696="Pago tarjeta"),-1,1)*S2696,0)+IF(AND(AE2696&lt;&gt;"",COUNTIFS(tcTipo,AE2696,tcLiq,"Sí")&gt;0),S2696,0))</f>
        <v/>
      </c>
      <c r="AI2696" s="52">
        <f>IF(OR(L2696="",P2696=""),"",IF(COUNTIFS(L$6:L2696,L2696,P$6:P2696,"?*")=1,MAX(AI$5:AI2695)+1,""))</f>
        <v/>
      </c>
    </row>
    <row r="2697">
      <c r="B2697" s="47" t="n"/>
      <c r="C2697" s="48" t="n"/>
      <c r="D2697" s="48" t="n"/>
      <c r="E2697" s="48" t="n"/>
      <c r="F2697" s="48" t="n"/>
      <c r="G2697" s="49" t="n"/>
      <c r="H2697" s="48" t="n"/>
      <c r="I2697" s="50" t="n"/>
      <c r="J2697" s="48" t="n"/>
      <c r="K2697" s="48" t="n"/>
      <c r="L2697" s="48" t="n"/>
      <c r="M2697" s="48" t="n"/>
      <c r="N2697" s="48" t="n"/>
      <c r="O2697" s="51">
        <f>IF(AND(B2697="",G2697="",C2697="",D2697="",J2697=""),"",IF(B2697="","⚠ Falta fecha",IF(G2697="","⚠ Falta monto",IF(Q2697="","⚠ Falta cuenta",IF(ISNA(MATCH(Q2697,ctaNombre,0)),"⚠ Cuenta no registrada",IF(AND(OR(P2697="Gasto",P2697="Reembolso"),D2697=""),"⚠ Falta categoría",IF(AND(D2697&lt;&gt;"",E2697&lt;&gt;"",ISNA(MATCH(D2697&amp;"|"&amp;E2697,catClave,0))),"⚠ Subcategoría no corresponde",IF(AND(OR(P2697="Transferencia",P2697="Pago tarjeta"),K2697=""),"⚠ Falta cuenta destino",IF(AND(K2697&lt;&gt;"",P2697&lt;&gt;"Transferencia",P2697&lt;&gt;"Pago tarjeta"),"⚠ Destino solo aplica a transferencias",IF(AND(K2697&lt;&gt;"",K2697=Q2697),"⚠ Origen igual a destino",IF(AND(K2697&lt;&gt;"",ISNA(MATCH(K2697,ctaNombre,0))),"⚠ Destino no registrado",IF(AND(P2697="Pago tarjeta",AE2697&lt;&gt;"Tarjeta de crédito"),"⚠ El destino debe ser tarjeta de crédito",IF(AND(P2697="Gasto",E2697="Depósitos y retiros"),"⚠ Usa tipo Transferencia",IF(AND(P2697="Resultado trading",AD2697&lt;&gt;"Cuenta de trading"),"⚠ Usa una cuenta de trading",IF(AND(G2697&lt;=0,P2697&lt;&gt;"Ajuste",P2697&lt;&gt;"Resultado trading"),"⚠ El monto debe ser positivo","✓")))))))))))))))</f>
        <v/>
      </c>
      <c r="P2697" s="52">
        <f>IF(OR(B2697="",G2697=""),"",IF(C2697="","Gasto",C2697))</f>
        <v/>
      </c>
      <c r="Q2697" s="52">
        <f>IF(P2697="","",IF(J2697&lt;&gt;"",J2697,CuentaPred&amp;""))</f>
        <v/>
      </c>
      <c r="R2697" s="52">
        <f>IF(P2697="","",IF(ISNUMBER(I2697),I2697,TasaUSD))</f>
        <v/>
      </c>
      <c r="S2697" s="53">
        <f>IF(P2697="","",IF(H2697="USD",G2697*R2697,G2697))</f>
        <v/>
      </c>
      <c r="T2697" s="53">
        <f>IF(P2697="","",IF(H2697="USD",G2697,IF(R2697&gt;0,G2697/R2697,0)))</f>
        <v/>
      </c>
      <c r="U2697" s="53">
        <f>IF(P2697="","",IF(P2697="Gasto",S2697,IF(P2697="Reembolso",-S2697,0)))</f>
        <v/>
      </c>
      <c r="V2697" s="53">
        <f>IF(P2697="","",IF(P2697="Ingreso",S2697,0))</f>
        <v/>
      </c>
      <c r="W2697" s="53">
        <f>IF(P2697="","",IF(P2697="Resultado trading",S2697,0))</f>
        <v/>
      </c>
      <c r="X2697" s="52">
        <f>IF(OR(P2697="Gasto",P2697="Reembolso"),IF(M2697&lt;&gt;"",M2697,IFERROR(INDEX(catClasif,MATCH(D2697&amp;"|"&amp;E2697,catClave,0))&amp;"","Variable")),"")</f>
        <v/>
      </c>
      <c r="Y2697" s="52">
        <f>IF(P2697="","",IFERROR(INDEX(catGrupo,MATCH(D2697&amp;"|"&amp;E2697,catClave,0))&amp;"",""))</f>
        <v/>
      </c>
      <c r="Z2697" s="52">
        <f>IF(P2697="","",WEEKDAY(B2697,2))</f>
        <v/>
      </c>
      <c r="AA2697" s="52">
        <f>IF(P2697="","",IF(AND(P2697="Gasto",X2697="Variable",D2697&lt;&gt;catTrading,S2697&gt;0,S2697&lt;=Umbral),1,0))</f>
        <v/>
      </c>
      <c r="AB2697" s="52">
        <f>IF(OR(P2697="",Q2697=""),"",IFERROR(IF(INDEX(ctaVinc,MATCH(Q2697,ctaNombre,0))&amp;""&lt;&gt;"",INDEX(ctaVinc,MATCH(Q2697,ctaNombre,0))&amp;"",Q2697),Q2697))</f>
        <v/>
      </c>
      <c r="AC2697" s="52">
        <f>IF(OR(K2697="",AND(P2697&lt;&gt;"Transferencia",P2697&lt;&gt;"Pago tarjeta")),"",IFERROR(IF(INDEX(ctaVinc,MATCH(K2697,ctaNombre,0))&amp;""&lt;&gt;"",INDEX(ctaVinc,MATCH(K2697,ctaNombre,0))&amp;"",K2697),K2697))</f>
        <v/>
      </c>
      <c r="AD2697" s="52">
        <f>IF(AB2697="","",IFERROR(INDEX(ctaTipo,MATCH(AB2697,ctaNombre,0))&amp;"",""))</f>
        <v/>
      </c>
      <c r="AE2697" s="52">
        <f>IF(AC2697="","",IFERROR(INDEX(ctaTipo,MATCH(AC2697,ctaNombre,0))&amp;"",""))</f>
        <v/>
      </c>
      <c r="AF2697" s="53">
        <f>IF(OR(P2697="",AB2697=""),"",IF(OR(P2697="Gasto",P2697="Transferencia",P2697="Pago tarjeta"),-1,1)*IF(IFERROR(INDEX(ctaMoneda,MATCH(AB2697,ctaNombre,0))&amp;"","DOP")="USD",T2697,S2697))</f>
        <v/>
      </c>
      <c r="AG2697" s="53">
        <f>IF(AC2697="","",IF(IFERROR(INDEX(ctaMoneda,MATCH(AC2697,ctaNombre,0))&amp;"","DOP")="USD",T2697,S2697))</f>
        <v/>
      </c>
      <c r="AH2697" s="53">
        <f>IF(P2697="","",IF(AND(AD2697&lt;&gt;"",COUNTIFS(tcTipo,AD2697,tcLiq,"Sí")&gt;0),IF(OR(P2697="Gasto",P2697="Transferencia",P2697="Pago tarjeta"),-1,1)*S2697,0)+IF(AND(AE2697&lt;&gt;"",COUNTIFS(tcTipo,AE2697,tcLiq,"Sí")&gt;0),S2697,0))</f>
        <v/>
      </c>
      <c r="AI2697" s="52">
        <f>IF(OR(L2697="",P2697=""),"",IF(COUNTIFS(L$6:L2697,L2697,P$6:P2697,"?*")=1,MAX(AI$5:AI2696)+1,""))</f>
        <v/>
      </c>
    </row>
    <row r="2698">
      <c r="B2698" s="47" t="n"/>
      <c r="C2698" s="48" t="n"/>
      <c r="D2698" s="48" t="n"/>
      <c r="E2698" s="48" t="n"/>
      <c r="F2698" s="48" t="n"/>
      <c r="G2698" s="49" t="n"/>
      <c r="H2698" s="48" t="n"/>
      <c r="I2698" s="50" t="n"/>
      <c r="J2698" s="48" t="n"/>
      <c r="K2698" s="48" t="n"/>
      <c r="L2698" s="48" t="n"/>
      <c r="M2698" s="48" t="n"/>
      <c r="N2698" s="48" t="n"/>
      <c r="O2698" s="51">
        <f>IF(AND(B2698="",G2698="",C2698="",D2698="",J2698=""),"",IF(B2698="","⚠ Falta fecha",IF(G2698="","⚠ Falta monto",IF(Q2698="","⚠ Falta cuenta",IF(ISNA(MATCH(Q2698,ctaNombre,0)),"⚠ Cuenta no registrada",IF(AND(OR(P2698="Gasto",P2698="Reembolso"),D2698=""),"⚠ Falta categoría",IF(AND(D2698&lt;&gt;"",E2698&lt;&gt;"",ISNA(MATCH(D2698&amp;"|"&amp;E2698,catClave,0))),"⚠ Subcategoría no corresponde",IF(AND(OR(P2698="Transferencia",P2698="Pago tarjeta"),K2698=""),"⚠ Falta cuenta destino",IF(AND(K2698&lt;&gt;"",P2698&lt;&gt;"Transferencia",P2698&lt;&gt;"Pago tarjeta"),"⚠ Destino solo aplica a transferencias",IF(AND(K2698&lt;&gt;"",K2698=Q2698),"⚠ Origen igual a destino",IF(AND(K2698&lt;&gt;"",ISNA(MATCH(K2698,ctaNombre,0))),"⚠ Destino no registrado",IF(AND(P2698="Pago tarjeta",AE2698&lt;&gt;"Tarjeta de crédito"),"⚠ El destino debe ser tarjeta de crédito",IF(AND(P2698="Gasto",E2698="Depósitos y retiros"),"⚠ Usa tipo Transferencia",IF(AND(P2698="Resultado trading",AD2698&lt;&gt;"Cuenta de trading"),"⚠ Usa una cuenta de trading",IF(AND(G2698&lt;=0,P2698&lt;&gt;"Ajuste",P2698&lt;&gt;"Resultado trading"),"⚠ El monto debe ser positivo","✓")))))))))))))))</f>
        <v/>
      </c>
      <c r="P2698" s="52">
        <f>IF(OR(B2698="",G2698=""),"",IF(C2698="","Gasto",C2698))</f>
        <v/>
      </c>
      <c r="Q2698" s="52">
        <f>IF(P2698="","",IF(J2698&lt;&gt;"",J2698,CuentaPred&amp;""))</f>
        <v/>
      </c>
      <c r="R2698" s="52">
        <f>IF(P2698="","",IF(ISNUMBER(I2698),I2698,TasaUSD))</f>
        <v/>
      </c>
      <c r="S2698" s="53">
        <f>IF(P2698="","",IF(H2698="USD",G2698*R2698,G2698))</f>
        <v/>
      </c>
      <c r="T2698" s="53">
        <f>IF(P2698="","",IF(H2698="USD",G2698,IF(R2698&gt;0,G2698/R2698,0)))</f>
        <v/>
      </c>
      <c r="U2698" s="53">
        <f>IF(P2698="","",IF(P2698="Gasto",S2698,IF(P2698="Reembolso",-S2698,0)))</f>
        <v/>
      </c>
      <c r="V2698" s="53">
        <f>IF(P2698="","",IF(P2698="Ingreso",S2698,0))</f>
        <v/>
      </c>
      <c r="W2698" s="53">
        <f>IF(P2698="","",IF(P2698="Resultado trading",S2698,0))</f>
        <v/>
      </c>
      <c r="X2698" s="52">
        <f>IF(OR(P2698="Gasto",P2698="Reembolso"),IF(M2698&lt;&gt;"",M2698,IFERROR(INDEX(catClasif,MATCH(D2698&amp;"|"&amp;E2698,catClave,0))&amp;"","Variable")),"")</f>
        <v/>
      </c>
      <c r="Y2698" s="52">
        <f>IF(P2698="","",IFERROR(INDEX(catGrupo,MATCH(D2698&amp;"|"&amp;E2698,catClave,0))&amp;"",""))</f>
        <v/>
      </c>
      <c r="Z2698" s="52">
        <f>IF(P2698="","",WEEKDAY(B2698,2))</f>
        <v/>
      </c>
      <c r="AA2698" s="52">
        <f>IF(P2698="","",IF(AND(P2698="Gasto",X2698="Variable",D2698&lt;&gt;catTrading,S2698&gt;0,S2698&lt;=Umbral),1,0))</f>
        <v/>
      </c>
      <c r="AB2698" s="52">
        <f>IF(OR(P2698="",Q2698=""),"",IFERROR(IF(INDEX(ctaVinc,MATCH(Q2698,ctaNombre,0))&amp;""&lt;&gt;"",INDEX(ctaVinc,MATCH(Q2698,ctaNombre,0))&amp;"",Q2698),Q2698))</f>
        <v/>
      </c>
      <c r="AC2698" s="52">
        <f>IF(OR(K2698="",AND(P2698&lt;&gt;"Transferencia",P2698&lt;&gt;"Pago tarjeta")),"",IFERROR(IF(INDEX(ctaVinc,MATCH(K2698,ctaNombre,0))&amp;""&lt;&gt;"",INDEX(ctaVinc,MATCH(K2698,ctaNombre,0))&amp;"",K2698),K2698))</f>
        <v/>
      </c>
      <c r="AD2698" s="52">
        <f>IF(AB2698="","",IFERROR(INDEX(ctaTipo,MATCH(AB2698,ctaNombre,0))&amp;"",""))</f>
        <v/>
      </c>
      <c r="AE2698" s="52">
        <f>IF(AC2698="","",IFERROR(INDEX(ctaTipo,MATCH(AC2698,ctaNombre,0))&amp;"",""))</f>
        <v/>
      </c>
      <c r="AF2698" s="53">
        <f>IF(OR(P2698="",AB2698=""),"",IF(OR(P2698="Gasto",P2698="Transferencia",P2698="Pago tarjeta"),-1,1)*IF(IFERROR(INDEX(ctaMoneda,MATCH(AB2698,ctaNombre,0))&amp;"","DOP")="USD",T2698,S2698))</f>
        <v/>
      </c>
      <c r="AG2698" s="53">
        <f>IF(AC2698="","",IF(IFERROR(INDEX(ctaMoneda,MATCH(AC2698,ctaNombre,0))&amp;"","DOP")="USD",T2698,S2698))</f>
        <v/>
      </c>
      <c r="AH2698" s="53">
        <f>IF(P2698="","",IF(AND(AD2698&lt;&gt;"",COUNTIFS(tcTipo,AD2698,tcLiq,"Sí")&gt;0),IF(OR(P2698="Gasto",P2698="Transferencia",P2698="Pago tarjeta"),-1,1)*S2698,0)+IF(AND(AE2698&lt;&gt;"",COUNTIFS(tcTipo,AE2698,tcLiq,"Sí")&gt;0),S2698,0))</f>
        <v/>
      </c>
      <c r="AI2698" s="52">
        <f>IF(OR(L2698="",P2698=""),"",IF(COUNTIFS(L$6:L2698,L2698,P$6:P2698,"?*")=1,MAX(AI$5:AI2697)+1,""))</f>
        <v/>
      </c>
    </row>
    <row r="2699">
      <c r="B2699" s="47" t="n"/>
      <c r="C2699" s="48" t="n"/>
      <c r="D2699" s="48" t="n"/>
      <c r="E2699" s="48" t="n"/>
      <c r="F2699" s="48" t="n"/>
      <c r="G2699" s="49" t="n"/>
      <c r="H2699" s="48" t="n"/>
      <c r="I2699" s="50" t="n"/>
      <c r="J2699" s="48" t="n"/>
      <c r="K2699" s="48" t="n"/>
      <c r="L2699" s="48" t="n"/>
      <c r="M2699" s="48" t="n"/>
      <c r="N2699" s="48" t="n"/>
      <c r="O2699" s="51">
        <f>IF(AND(B2699="",G2699="",C2699="",D2699="",J2699=""),"",IF(B2699="","⚠ Falta fecha",IF(G2699="","⚠ Falta monto",IF(Q2699="","⚠ Falta cuenta",IF(ISNA(MATCH(Q2699,ctaNombre,0)),"⚠ Cuenta no registrada",IF(AND(OR(P2699="Gasto",P2699="Reembolso"),D2699=""),"⚠ Falta categoría",IF(AND(D2699&lt;&gt;"",E2699&lt;&gt;"",ISNA(MATCH(D2699&amp;"|"&amp;E2699,catClave,0))),"⚠ Subcategoría no corresponde",IF(AND(OR(P2699="Transferencia",P2699="Pago tarjeta"),K2699=""),"⚠ Falta cuenta destino",IF(AND(K2699&lt;&gt;"",P2699&lt;&gt;"Transferencia",P2699&lt;&gt;"Pago tarjeta"),"⚠ Destino solo aplica a transferencias",IF(AND(K2699&lt;&gt;"",K2699=Q2699),"⚠ Origen igual a destino",IF(AND(K2699&lt;&gt;"",ISNA(MATCH(K2699,ctaNombre,0))),"⚠ Destino no registrado",IF(AND(P2699="Pago tarjeta",AE2699&lt;&gt;"Tarjeta de crédito"),"⚠ El destino debe ser tarjeta de crédito",IF(AND(P2699="Gasto",E2699="Depósitos y retiros"),"⚠ Usa tipo Transferencia",IF(AND(P2699="Resultado trading",AD2699&lt;&gt;"Cuenta de trading"),"⚠ Usa una cuenta de trading",IF(AND(G2699&lt;=0,P2699&lt;&gt;"Ajuste",P2699&lt;&gt;"Resultado trading"),"⚠ El monto debe ser positivo","✓")))))))))))))))</f>
        <v/>
      </c>
      <c r="P2699" s="52">
        <f>IF(OR(B2699="",G2699=""),"",IF(C2699="","Gasto",C2699))</f>
        <v/>
      </c>
      <c r="Q2699" s="52">
        <f>IF(P2699="","",IF(J2699&lt;&gt;"",J2699,CuentaPred&amp;""))</f>
        <v/>
      </c>
      <c r="R2699" s="52">
        <f>IF(P2699="","",IF(ISNUMBER(I2699),I2699,TasaUSD))</f>
        <v/>
      </c>
      <c r="S2699" s="53">
        <f>IF(P2699="","",IF(H2699="USD",G2699*R2699,G2699))</f>
        <v/>
      </c>
      <c r="T2699" s="53">
        <f>IF(P2699="","",IF(H2699="USD",G2699,IF(R2699&gt;0,G2699/R2699,0)))</f>
        <v/>
      </c>
      <c r="U2699" s="53">
        <f>IF(P2699="","",IF(P2699="Gasto",S2699,IF(P2699="Reembolso",-S2699,0)))</f>
        <v/>
      </c>
      <c r="V2699" s="53">
        <f>IF(P2699="","",IF(P2699="Ingreso",S2699,0))</f>
        <v/>
      </c>
      <c r="W2699" s="53">
        <f>IF(P2699="","",IF(P2699="Resultado trading",S2699,0))</f>
        <v/>
      </c>
      <c r="X2699" s="52">
        <f>IF(OR(P2699="Gasto",P2699="Reembolso"),IF(M2699&lt;&gt;"",M2699,IFERROR(INDEX(catClasif,MATCH(D2699&amp;"|"&amp;E2699,catClave,0))&amp;"","Variable")),"")</f>
        <v/>
      </c>
      <c r="Y2699" s="52">
        <f>IF(P2699="","",IFERROR(INDEX(catGrupo,MATCH(D2699&amp;"|"&amp;E2699,catClave,0))&amp;"",""))</f>
        <v/>
      </c>
      <c r="Z2699" s="52">
        <f>IF(P2699="","",WEEKDAY(B2699,2))</f>
        <v/>
      </c>
      <c r="AA2699" s="52">
        <f>IF(P2699="","",IF(AND(P2699="Gasto",X2699="Variable",D2699&lt;&gt;catTrading,S2699&gt;0,S2699&lt;=Umbral),1,0))</f>
        <v/>
      </c>
      <c r="AB2699" s="52">
        <f>IF(OR(P2699="",Q2699=""),"",IFERROR(IF(INDEX(ctaVinc,MATCH(Q2699,ctaNombre,0))&amp;""&lt;&gt;"",INDEX(ctaVinc,MATCH(Q2699,ctaNombre,0))&amp;"",Q2699),Q2699))</f>
        <v/>
      </c>
      <c r="AC2699" s="52">
        <f>IF(OR(K2699="",AND(P2699&lt;&gt;"Transferencia",P2699&lt;&gt;"Pago tarjeta")),"",IFERROR(IF(INDEX(ctaVinc,MATCH(K2699,ctaNombre,0))&amp;""&lt;&gt;"",INDEX(ctaVinc,MATCH(K2699,ctaNombre,0))&amp;"",K2699),K2699))</f>
        <v/>
      </c>
      <c r="AD2699" s="52">
        <f>IF(AB2699="","",IFERROR(INDEX(ctaTipo,MATCH(AB2699,ctaNombre,0))&amp;"",""))</f>
        <v/>
      </c>
      <c r="AE2699" s="52">
        <f>IF(AC2699="","",IFERROR(INDEX(ctaTipo,MATCH(AC2699,ctaNombre,0))&amp;"",""))</f>
        <v/>
      </c>
      <c r="AF2699" s="53">
        <f>IF(OR(P2699="",AB2699=""),"",IF(OR(P2699="Gasto",P2699="Transferencia",P2699="Pago tarjeta"),-1,1)*IF(IFERROR(INDEX(ctaMoneda,MATCH(AB2699,ctaNombre,0))&amp;"","DOP")="USD",T2699,S2699))</f>
        <v/>
      </c>
      <c r="AG2699" s="53">
        <f>IF(AC2699="","",IF(IFERROR(INDEX(ctaMoneda,MATCH(AC2699,ctaNombre,0))&amp;"","DOP")="USD",T2699,S2699))</f>
        <v/>
      </c>
      <c r="AH2699" s="53">
        <f>IF(P2699="","",IF(AND(AD2699&lt;&gt;"",COUNTIFS(tcTipo,AD2699,tcLiq,"Sí")&gt;0),IF(OR(P2699="Gasto",P2699="Transferencia",P2699="Pago tarjeta"),-1,1)*S2699,0)+IF(AND(AE2699&lt;&gt;"",COUNTIFS(tcTipo,AE2699,tcLiq,"Sí")&gt;0),S2699,0))</f>
        <v/>
      </c>
      <c r="AI2699" s="52">
        <f>IF(OR(L2699="",P2699=""),"",IF(COUNTIFS(L$6:L2699,L2699,P$6:P2699,"?*")=1,MAX(AI$5:AI2698)+1,""))</f>
        <v/>
      </c>
    </row>
    <row r="2700">
      <c r="B2700" s="47" t="n"/>
      <c r="C2700" s="48" t="n"/>
      <c r="D2700" s="48" t="n"/>
      <c r="E2700" s="48" t="n"/>
      <c r="F2700" s="48" t="n"/>
      <c r="G2700" s="49" t="n"/>
      <c r="H2700" s="48" t="n"/>
      <c r="I2700" s="50" t="n"/>
      <c r="J2700" s="48" t="n"/>
      <c r="K2700" s="48" t="n"/>
      <c r="L2700" s="48" t="n"/>
      <c r="M2700" s="48" t="n"/>
      <c r="N2700" s="48" t="n"/>
      <c r="O2700" s="51">
        <f>IF(AND(B2700="",G2700="",C2700="",D2700="",J2700=""),"",IF(B2700="","⚠ Falta fecha",IF(G2700="","⚠ Falta monto",IF(Q2700="","⚠ Falta cuenta",IF(ISNA(MATCH(Q2700,ctaNombre,0)),"⚠ Cuenta no registrada",IF(AND(OR(P2700="Gasto",P2700="Reembolso"),D2700=""),"⚠ Falta categoría",IF(AND(D2700&lt;&gt;"",E2700&lt;&gt;"",ISNA(MATCH(D2700&amp;"|"&amp;E2700,catClave,0))),"⚠ Subcategoría no corresponde",IF(AND(OR(P2700="Transferencia",P2700="Pago tarjeta"),K2700=""),"⚠ Falta cuenta destino",IF(AND(K2700&lt;&gt;"",P2700&lt;&gt;"Transferencia",P2700&lt;&gt;"Pago tarjeta"),"⚠ Destino solo aplica a transferencias",IF(AND(K2700&lt;&gt;"",K2700=Q2700),"⚠ Origen igual a destino",IF(AND(K2700&lt;&gt;"",ISNA(MATCH(K2700,ctaNombre,0))),"⚠ Destino no registrado",IF(AND(P2700="Pago tarjeta",AE2700&lt;&gt;"Tarjeta de crédito"),"⚠ El destino debe ser tarjeta de crédito",IF(AND(P2700="Gasto",E2700="Depósitos y retiros"),"⚠ Usa tipo Transferencia",IF(AND(P2700="Resultado trading",AD2700&lt;&gt;"Cuenta de trading"),"⚠ Usa una cuenta de trading",IF(AND(G2700&lt;=0,P2700&lt;&gt;"Ajuste",P2700&lt;&gt;"Resultado trading"),"⚠ El monto debe ser positivo","✓")))))))))))))))</f>
        <v/>
      </c>
      <c r="P2700" s="52">
        <f>IF(OR(B2700="",G2700=""),"",IF(C2700="","Gasto",C2700))</f>
        <v/>
      </c>
      <c r="Q2700" s="52">
        <f>IF(P2700="","",IF(J2700&lt;&gt;"",J2700,CuentaPred&amp;""))</f>
        <v/>
      </c>
      <c r="R2700" s="52">
        <f>IF(P2700="","",IF(ISNUMBER(I2700),I2700,TasaUSD))</f>
        <v/>
      </c>
      <c r="S2700" s="53">
        <f>IF(P2700="","",IF(H2700="USD",G2700*R2700,G2700))</f>
        <v/>
      </c>
      <c r="T2700" s="53">
        <f>IF(P2700="","",IF(H2700="USD",G2700,IF(R2700&gt;0,G2700/R2700,0)))</f>
        <v/>
      </c>
      <c r="U2700" s="53">
        <f>IF(P2700="","",IF(P2700="Gasto",S2700,IF(P2700="Reembolso",-S2700,0)))</f>
        <v/>
      </c>
      <c r="V2700" s="53">
        <f>IF(P2700="","",IF(P2700="Ingreso",S2700,0))</f>
        <v/>
      </c>
      <c r="W2700" s="53">
        <f>IF(P2700="","",IF(P2700="Resultado trading",S2700,0))</f>
        <v/>
      </c>
      <c r="X2700" s="52">
        <f>IF(OR(P2700="Gasto",P2700="Reembolso"),IF(M2700&lt;&gt;"",M2700,IFERROR(INDEX(catClasif,MATCH(D2700&amp;"|"&amp;E2700,catClave,0))&amp;"","Variable")),"")</f>
        <v/>
      </c>
      <c r="Y2700" s="52">
        <f>IF(P2700="","",IFERROR(INDEX(catGrupo,MATCH(D2700&amp;"|"&amp;E2700,catClave,0))&amp;"",""))</f>
        <v/>
      </c>
      <c r="Z2700" s="52">
        <f>IF(P2700="","",WEEKDAY(B2700,2))</f>
        <v/>
      </c>
      <c r="AA2700" s="52">
        <f>IF(P2700="","",IF(AND(P2700="Gasto",X2700="Variable",D2700&lt;&gt;catTrading,S2700&gt;0,S2700&lt;=Umbral),1,0))</f>
        <v/>
      </c>
      <c r="AB2700" s="52">
        <f>IF(OR(P2700="",Q2700=""),"",IFERROR(IF(INDEX(ctaVinc,MATCH(Q2700,ctaNombre,0))&amp;""&lt;&gt;"",INDEX(ctaVinc,MATCH(Q2700,ctaNombre,0))&amp;"",Q2700),Q2700))</f>
        <v/>
      </c>
      <c r="AC2700" s="52">
        <f>IF(OR(K2700="",AND(P2700&lt;&gt;"Transferencia",P2700&lt;&gt;"Pago tarjeta")),"",IFERROR(IF(INDEX(ctaVinc,MATCH(K2700,ctaNombre,0))&amp;""&lt;&gt;"",INDEX(ctaVinc,MATCH(K2700,ctaNombre,0))&amp;"",K2700),K2700))</f>
        <v/>
      </c>
      <c r="AD2700" s="52">
        <f>IF(AB2700="","",IFERROR(INDEX(ctaTipo,MATCH(AB2700,ctaNombre,0))&amp;"",""))</f>
        <v/>
      </c>
      <c r="AE2700" s="52">
        <f>IF(AC2700="","",IFERROR(INDEX(ctaTipo,MATCH(AC2700,ctaNombre,0))&amp;"",""))</f>
        <v/>
      </c>
      <c r="AF2700" s="53">
        <f>IF(OR(P2700="",AB2700=""),"",IF(OR(P2700="Gasto",P2700="Transferencia",P2700="Pago tarjeta"),-1,1)*IF(IFERROR(INDEX(ctaMoneda,MATCH(AB2700,ctaNombre,0))&amp;"","DOP")="USD",T2700,S2700))</f>
        <v/>
      </c>
      <c r="AG2700" s="53">
        <f>IF(AC2700="","",IF(IFERROR(INDEX(ctaMoneda,MATCH(AC2700,ctaNombre,0))&amp;"","DOP")="USD",T2700,S2700))</f>
        <v/>
      </c>
      <c r="AH2700" s="53">
        <f>IF(P2700="","",IF(AND(AD2700&lt;&gt;"",COUNTIFS(tcTipo,AD2700,tcLiq,"Sí")&gt;0),IF(OR(P2700="Gasto",P2700="Transferencia",P2700="Pago tarjeta"),-1,1)*S2700,0)+IF(AND(AE2700&lt;&gt;"",COUNTIFS(tcTipo,AE2700,tcLiq,"Sí")&gt;0),S2700,0))</f>
        <v/>
      </c>
      <c r="AI2700" s="52">
        <f>IF(OR(L2700="",P2700=""),"",IF(COUNTIFS(L$6:L2700,L2700,P$6:P2700,"?*")=1,MAX(AI$5:AI2699)+1,""))</f>
        <v/>
      </c>
    </row>
    <row r="2701">
      <c r="B2701" s="47" t="n"/>
      <c r="C2701" s="48" t="n"/>
      <c r="D2701" s="48" t="n"/>
      <c r="E2701" s="48" t="n"/>
      <c r="F2701" s="48" t="n"/>
      <c r="G2701" s="49" t="n"/>
      <c r="H2701" s="48" t="n"/>
      <c r="I2701" s="50" t="n"/>
      <c r="J2701" s="48" t="n"/>
      <c r="K2701" s="48" t="n"/>
      <c r="L2701" s="48" t="n"/>
      <c r="M2701" s="48" t="n"/>
      <c r="N2701" s="48" t="n"/>
      <c r="O2701" s="51">
        <f>IF(AND(B2701="",G2701="",C2701="",D2701="",J2701=""),"",IF(B2701="","⚠ Falta fecha",IF(G2701="","⚠ Falta monto",IF(Q2701="","⚠ Falta cuenta",IF(ISNA(MATCH(Q2701,ctaNombre,0)),"⚠ Cuenta no registrada",IF(AND(OR(P2701="Gasto",P2701="Reembolso"),D2701=""),"⚠ Falta categoría",IF(AND(D2701&lt;&gt;"",E2701&lt;&gt;"",ISNA(MATCH(D2701&amp;"|"&amp;E2701,catClave,0))),"⚠ Subcategoría no corresponde",IF(AND(OR(P2701="Transferencia",P2701="Pago tarjeta"),K2701=""),"⚠ Falta cuenta destino",IF(AND(K2701&lt;&gt;"",P2701&lt;&gt;"Transferencia",P2701&lt;&gt;"Pago tarjeta"),"⚠ Destino solo aplica a transferencias",IF(AND(K2701&lt;&gt;"",K2701=Q2701),"⚠ Origen igual a destino",IF(AND(K2701&lt;&gt;"",ISNA(MATCH(K2701,ctaNombre,0))),"⚠ Destino no registrado",IF(AND(P2701="Pago tarjeta",AE2701&lt;&gt;"Tarjeta de crédito"),"⚠ El destino debe ser tarjeta de crédito",IF(AND(P2701="Gasto",E2701="Depósitos y retiros"),"⚠ Usa tipo Transferencia",IF(AND(P2701="Resultado trading",AD2701&lt;&gt;"Cuenta de trading"),"⚠ Usa una cuenta de trading",IF(AND(G2701&lt;=0,P2701&lt;&gt;"Ajuste",P2701&lt;&gt;"Resultado trading"),"⚠ El monto debe ser positivo","✓")))))))))))))))</f>
        <v/>
      </c>
      <c r="P2701" s="52">
        <f>IF(OR(B2701="",G2701=""),"",IF(C2701="","Gasto",C2701))</f>
        <v/>
      </c>
      <c r="Q2701" s="52">
        <f>IF(P2701="","",IF(J2701&lt;&gt;"",J2701,CuentaPred&amp;""))</f>
        <v/>
      </c>
      <c r="R2701" s="52">
        <f>IF(P2701="","",IF(ISNUMBER(I2701),I2701,TasaUSD))</f>
        <v/>
      </c>
      <c r="S2701" s="53">
        <f>IF(P2701="","",IF(H2701="USD",G2701*R2701,G2701))</f>
        <v/>
      </c>
      <c r="T2701" s="53">
        <f>IF(P2701="","",IF(H2701="USD",G2701,IF(R2701&gt;0,G2701/R2701,0)))</f>
        <v/>
      </c>
      <c r="U2701" s="53">
        <f>IF(P2701="","",IF(P2701="Gasto",S2701,IF(P2701="Reembolso",-S2701,0)))</f>
        <v/>
      </c>
      <c r="V2701" s="53">
        <f>IF(P2701="","",IF(P2701="Ingreso",S2701,0))</f>
        <v/>
      </c>
      <c r="W2701" s="53">
        <f>IF(P2701="","",IF(P2701="Resultado trading",S2701,0))</f>
        <v/>
      </c>
      <c r="X2701" s="52">
        <f>IF(OR(P2701="Gasto",P2701="Reembolso"),IF(M2701&lt;&gt;"",M2701,IFERROR(INDEX(catClasif,MATCH(D2701&amp;"|"&amp;E2701,catClave,0))&amp;"","Variable")),"")</f>
        <v/>
      </c>
      <c r="Y2701" s="52">
        <f>IF(P2701="","",IFERROR(INDEX(catGrupo,MATCH(D2701&amp;"|"&amp;E2701,catClave,0))&amp;"",""))</f>
        <v/>
      </c>
      <c r="Z2701" s="52">
        <f>IF(P2701="","",WEEKDAY(B2701,2))</f>
        <v/>
      </c>
      <c r="AA2701" s="52">
        <f>IF(P2701="","",IF(AND(P2701="Gasto",X2701="Variable",D2701&lt;&gt;catTrading,S2701&gt;0,S2701&lt;=Umbral),1,0))</f>
        <v/>
      </c>
      <c r="AB2701" s="52">
        <f>IF(OR(P2701="",Q2701=""),"",IFERROR(IF(INDEX(ctaVinc,MATCH(Q2701,ctaNombre,0))&amp;""&lt;&gt;"",INDEX(ctaVinc,MATCH(Q2701,ctaNombre,0))&amp;"",Q2701),Q2701))</f>
        <v/>
      </c>
      <c r="AC2701" s="52">
        <f>IF(OR(K2701="",AND(P2701&lt;&gt;"Transferencia",P2701&lt;&gt;"Pago tarjeta")),"",IFERROR(IF(INDEX(ctaVinc,MATCH(K2701,ctaNombre,0))&amp;""&lt;&gt;"",INDEX(ctaVinc,MATCH(K2701,ctaNombre,0))&amp;"",K2701),K2701))</f>
        <v/>
      </c>
      <c r="AD2701" s="52">
        <f>IF(AB2701="","",IFERROR(INDEX(ctaTipo,MATCH(AB2701,ctaNombre,0))&amp;"",""))</f>
        <v/>
      </c>
      <c r="AE2701" s="52">
        <f>IF(AC2701="","",IFERROR(INDEX(ctaTipo,MATCH(AC2701,ctaNombre,0))&amp;"",""))</f>
        <v/>
      </c>
      <c r="AF2701" s="53">
        <f>IF(OR(P2701="",AB2701=""),"",IF(OR(P2701="Gasto",P2701="Transferencia",P2701="Pago tarjeta"),-1,1)*IF(IFERROR(INDEX(ctaMoneda,MATCH(AB2701,ctaNombre,0))&amp;"","DOP")="USD",T2701,S2701))</f>
        <v/>
      </c>
      <c r="AG2701" s="53">
        <f>IF(AC2701="","",IF(IFERROR(INDEX(ctaMoneda,MATCH(AC2701,ctaNombre,0))&amp;"","DOP")="USD",T2701,S2701))</f>
        <v/>
      </c>
      <c r="AH2701" s="53">
        <f>IF(P2701="","",IF(AND(AD2701&lt;&gt;"",COUNTIFS(tcTipo,AD2701,tcLiq,"Sí")&gt;0),IF(OR(P2701="Gasto",P2701="Transferencia",P2701="Pago tarjeta"),-1,1)*S2701,0)+IF(AND(AE2701&lt;&gt;"",COUNTIFS(tcTipo,AE2701,tcLiq,"Sí")&gt;0),S2701,0))</f>
        <v/>
      </c>
      <c r="AI2701" s="52">
        <f>IF(OR(L2701="",P2701=""),"",IF(COUNTIFS(L$6:L2701,L2701,P$6:P2701,"?*")=1,MAX(AI$5:AI2700)+1,""))</f>
        <v/>
      </c>
    </row>
    <row r="2702">
      <c r="B2702" s="47" t="n"/>
      <c r="C2702" s="48" t="n"/>
      <c r="D2702" s="48" t="n"/>
      <c r="E2702" s="48" t="n"/>
      <c r="F2702" s="48" t="n"/>
      <c r="G2702" s="49" t="n"/>
      <c r="H2702" s="48" t="n"/>
      <c r="I2702" s="50" t="n"/>
      <c r="J2702" s="48" t="n"/>
      <c r="K2702" s="48" t="n"/>
      <c r="L2702" s="48" t="n"/>
      <c r="M2702" s="48" t="n"/>
      <c r="N2702" s="48" t="n"/>
      <c r="O2702" s="51">
        <f>IF(AND(B2702="",G2702="",C2702="",D2702="",J2702=""),"",IF(B2702="","⚠ Falta fecha",IF(G2702="","⚠ Falta monto",IF(Q2702="","⚠ Falta cuenta",IF(ISNA(MATCH(Q2702,ctaNombre,0)),"⚠ Cuenta no registrada",IF(AND(OR(P2702="Gasto",P2702="Reembolso"),D2702=""),"⚠ Falta categoría",IF(AND(D2702&lt;&gt;"",E2702&lt;&gt;"",ISNA(MATCH(D2702&amp;"|"&amp;E2702,catClave,0))),"⚠ Subcategoría no corresponde",IF(AND(OR(P2702="Transferencia",P2702="Pago tarjeta"),K2702=""),"⚠ Falta cuenta destino",IF(AND(K2702&lt;&gt;"",P2702&lt;&gt;"Transferencia",P2702&lt;&gt;"Pago tarjeta"),"⚠ Destino solo aplica a transferencias",IF(AND(K2702&lt;&gt;"",K2702=Q2702),"⚠ Origen igual a destino",IF(AND(K2702&lt;&gt;"",ISNA(MATCH(K2702,ctaNombre,0))),"⚠ Destino no registrado",IF(AND(P2702="Pago tarjeta",AE2702&lt;&gt;"Tarjeta de crédito"),"⚠ El destino debe ser tarjeta de crédito",IF(AND(P2702="Gasto",E2702="Depósitos y retiros"),"⚠ Usa tipo Transferencia",IF(AND(P2702="Resultado trading",AD2702&lt;&gt;"Cuenta de trading"),"⚠ Usa una cuenta de trading",IF(AND(G2702&lt;=0,P2702&lt;&gt;"Ajuste",P2702&lt;&gt;"Resultado trading"),"⚠ El monto debe ser positivo","✓")))))))))))))))</f>
        <v/>
      </c>
      <c r="P2702" s="52">
        <f>IF(OR(B2702="",G2702=""),"",IF(C2702="","Gasto",C2702))</f>
        <v/>
      </c>
      <c r="Q2702" s="52">
        <f>IF(P2702="","",IF(J2702&lt;&gt;"",J2702,CuentaPred&amp;""))</f>
        <v/>
      </c>
      <c r="R2702" s="52">
        <f>IF(P2702="","",IF(ISNUMBER(I2702),I2702,TasaUSD))</f>
        <v/>
      </c>
      <c r="S2702" s="53">
        <f>IF(P2702="","",IF(H2702="USD",G2702*R2702,G2702))</f>
        <v/>
      </c>
      <c r="T2702" s="53">
        <f>IF(P2702="","",IF(H2702="USD",G2702,IF(R2702&gt;0,G2702/R2702,0)))</f>
        <v/>
      </c>
      <c r="U2702" s="53">
        <f>IF(P2702="","",IF(P2702="Gasto",S2702,IF(P2702="Reembolso",-S2702,0)))</f>
        <v/>
      </c>
      <c r="V2702" s="53">
        <f>IF(P2702="","",IF(P2702="Ingreso",S2702,0))</f>
        <v/>
      </c>
      <c r="W2702" s="53">
        <f>IF(P2702="","",IF(P2702="Resultado trading",S2702,0))</f>
        <v/>
      </c>
      <c r="X2702" s="52">
        <f>IF(OR(P2702="Gasto",P2702="Reembolso"),IF(M2702&lt;&gt;"",M2702,IFERROR(INDEX(catClasif,MATCH(D2702&amp;"|"&amp;E2702,catClave,0))&amp;"","Variable")),"")</f>
        <v/>
      </c>
      <c r="Y2702" s="52">
        <f>IF(P2702="","",IFERROR(INDEX(catGrupo,MATCH(D2702&amp;"|"&amp;E2702,catClave,0))&amp;"",""))</f>
        <v/>
      </c>
      <c r="Z2702" s="52">
        <f>IF(P2702="","",WEEKDAY(B2702,2))</f>
        <v/>
      </c>
      <c r="AA2702" s="52">
        <f>IF(P2702="","",IF(AND(P2702="Gasto",X2702="Variable",D2702&lt;&gt;catTrading,S2702&gt;0,S2702&lt;=Umbral),1,0))</f>
        <v/>
      </c>
      <c r="AB2702" s="52">
        <f>IF(OR(P2702="",Q2702=""),"",IFERROR(IF(INDEX(ctaVinc,MATCH(Q2702,ctaNombre,0))&amp;""&lt;&gt;"",INDEX(ctaVinc,MATCH(Q2702,ctaNombre,0))&amp;"",Q2702),Q2702))</f>
        <v/>
      </c>
      <c r="AC2702" s="52">
        <f>IF(OR(K2702="",AND(P2702&lt;&gt;"Transferencia",P2702&lt;&gt;"Pago tarjeta")),"",IFERROR(IF(INDEX(ctaVinc,MATCH(K2702,ctaNombre,0))&amp;""&lt;&gt;"",INDEX(ctaVinc,MATCH(K2702,ctaNombre,0))&amp;"",K2702),K2702))</f>
        <v/>
      </c>
      <c r="AD2702" s="52">
        <f>IF(AB2702="","",IFERROR(INDEX(ctaTipo,MATCH(AB2702,ctaNombre,0))&amp;"",""))</f>
        <v/>
      </c>
      <c r="AE2702" s="52">
        <f>IF(AC2702="","",IFERROR(INDEX(ctaTipo,MATCH(AC2702,ctaNombre,0))&amp;"",""))</f>
        <v/>
      </c>
      <c r="AF2702" s="53">
        <f>IF(OR(P2702="",AB2702=""),"",IF(OR(P2702="Gasto",P2702="Transferencia",P2702="Pago tarjeta"),-1,1)*IF(IFERROR(INDEX(ctaMoneda,MATCH(AB2702,ctaNombre,0))&amp;"","DOP")="USD",T2702,S2702))</f>
        <v/>
      </c>
      <c r="AG2702" s="53">
        <f>IF(AC2702="","",IF(IFERROR(INDEX(ctaMoneda,MATCH(AC2702,ctaNombre,0))&amp;"","DOP")="USD",T2702,S2702))</f>
        <v/>
      </c>
      <c r="AH2702" s="53">
        <f>IF(P2702="","",IF(AND(AD2702&lt;&gt;"",COUNTIFS(tcTipo,AD2702,tcLiq,"Sí")&gt;0),IF(OR(P2702="Gasto",P2702="Transferencia",P2702="Pago tarjeta"),-1,1)*S2702,0)+IF(AND(AE2702&lt;&gt;"",COUNTIFS(tcTipo,AE2702,tcLiq,"Sí")&gt;0),S2702,0))</f>
        <v/>
      </c>
      <c r="AI2702" s="52">
        <f>IF(OR(L2702="",P2702=""),"",IF(COUNTIFS(L$6:L2702,L2702,P$6:P2702,"?*")=1,MAX(AI$5:AI2701)+1,""))</f>
        <v/>
      </c>
    </row>
    <row r="2703">
      <c r="B2703" s="47" t="n"/>
      <c r="C2703" s="48" t="n"/>
      <c r="D2703" s="48" t="n"/>
      <c r="E2703" s="48" t="n"/>
      <c r="F2703" s="48" t="n"/>
      <c r="G2703" s="49" t="n"/>
      <c r="H2703" s="48" t="n"/>
      <c r="I2703" s="50" t="n"/>
      <c r="J2703" s="48" t="n"/>
      <c r="K2703" s="48" t="n"/>
      <c r="L2703" s="48" t="n"/>
      <c r="M2703" s="48" t="n"/>
      <c r="N2703" s="48" t="n"/>
      <c r="O2703" s="51">
        <f>IF(AND(B2703="",G2703="",C2703="",D2703="",J2703=""),"",IF(B2703="","⚠ Falta fecha",IF(G2703="","⚠ Falta monto",IF(Q2703="","⚠ Falta cuenta",IF(ISNA(MATCH(Q2703,ctaNombre,0)),"⚠ Cuenta no registrada",IF(AND(OR(P2703="Gasto",P2703="Reembolso"),D2703=""),"⚠ Falta categoría",IF(AND(D2703&lt;&gt;"",E2703&lt;&gt;"",ISNA(MATCH(D2703&amp;"|"&amp;E2703,catClave,0))),"⚠ Subcategoría no corresponde",IF(AND(OR(P2703="Transferencia",P2703="Pago tarjeta"),K2703=""),"⚠ Falta cuenta destino",IF(AND(K2703&lt;&gt;"",P2703&lt;&gt;"Transferencia",P2703&lt;&gt;"Pago tarjeta"),"⚠ Destino solo aplica a transferencias",IF(AND(K2703&lt;&gt;"",K2703=Q2703),"⚠ Origen igual a destino",IF(AND(K2703&lt;&gt;"",ISNA(MATCH(K2703,ctaNombre,0))),"⚠ Destino no registrado",IF(AND(P2703="Pago tarjeta",AE2703&lt;&gt;"Tarjeta de crédito"),"⚠ El destino debe ser tarjeta de crédito",IF(AND(P2703="Gasto",E2703="Depósitos y retiros"),"⚠ Usa tipo Transferencia",IF(AND(P2703="Resultado trading",AD2703&lt;&gt;"Cuenta de trading"),"⚠ Usa una cuenta de trading",IF(AND(G2703&lt;=0,P2703&lt;&gt;"Ajuste",P2703&lt;&gt;"Resultado trading"),"⚠ El monto debe ser positivo","✓")))))))))))))))</f>
        <v/>
      </c>
      <c r="P2703" s="52">
        <f>IF(OR(B2703="",G2703=""),"",IF(C2703="","Gasto",C2703))</f>
        <v/>
      </c>
      <c r="Q2703" s="52">
        <f>IF(P2703="","",IF(J2703&lt;&gt;"",J2703,CuentaPred&amp;""))</f>
        <v/>
      </c>
      <c r="R2703" s="52">
        <f>IF(P2703="","",IF(ISNUMBER(I2703),I2703,TasaUSD))</f>
        <v/>
      </c>
      <c r="S2703" s="53">
        <f>IF(P2703="","",IF(H2703="USD",G2703*R2703,G2703))</f>
        <v/>
      </c>
      <c r="T2703" s="53">
        <f>IF(P2703="","",IF(H2703="USD",G2703,IF(R2703&gt;0,G2703/R2703,0)))</f>
        <v/>
      </c>
      <c r="U2703" s="53">
        <f>IF(P2703="","",IF(P2703="Gasto",S2703,IF(P2703="Reembolso",-S2703,0)))</f>
        <v/>
      </c>
      <c r="V2703" s="53">
        <f>IF(P2703="","",IF(P2703="Ingreso",S2703,0))</f>
        <v/>
      </c>
      <c r="W2703" s="53">
        <f>IF(P2703="","",IF(P2703="Resultado trading",S2703,0))</f>
        <v/>
      </c>
      <c r="X2703" s="52">
        <f>IF(OR(P2703="Gasto",P2703="Reembolso"),IF(M2703&lt;&gt;"",M2703,IFERROR(INDEX(catClasif,MATCH(D2703&amp;"|"&amp;E2703,catClave,0))&amp;"","Variable")),"")</f>
        <v/>
      </c>
      <c r="Y2703" s="52">
        <f>IF(P2703="","",IFERROR(INDEX(catGrupo,MATCH(D2703&amp;"|"&amp;E2703,catClave,0))&amp;"",""))</f>
        <v/>
      </c>
      <c r="Z2703" s="52">
        <f>IF(P2703="","",WEEKDAY(B2703,2))</f>
        <v/>
      </c>
      <c r="AA2703" s="52">
        <f>IF(P2703="","",IF(AND(P2703="Gasto",X2703="Variable",D2703&lt;&gt;catTrading,S2703&gt;0,S2703&lt;=Umbral),1,0))</f>
        <v/>
      </c>
      <c r="AB2703" s="52">
        <f>IF(OR(P2703="",Q2703=""),"",IFERROR(IF(INDEX(ctaVinc,MATCH(Q2703,ctaNombre,0))&amp;""&lt;&gt;"",INDEX(ctaVinc,MATCH(Q2703,ctaNombre,0))&amp;"",Q2703),Q2703))</f>
        <v/>
      </c>
      <c r="AC2703" s="52">
        <f>IF(OR(K2703="",AND(P2703&lt;&gt;"Transferencia",P2703&lt;&gt;"Pago tarjeta")),"",IFERROR(IF(INDEX(ctaVinc,MATCH(K2703,ctaNombre,0))&amp;""&lt;&gt;"",INDEX(ctaVinc,MATCH(K2703,ctaNombre,0))&amp;"",K2703),K2703))</f>
        <v/>
      </c>
      <c r="AD2703" s="52">
        <f>IF(AB2703="","",IFERROR(INDEX(ctaTipo,MATCH(AB2703,ctaNombre,0))&amp;"",""))</f>
        <v/>
      </c>
      <c r="AE2703" s="52">
        <f>IF(AC2703="","",IFERROR(INDEX(ctaTipo,MATCH(AC2703,ctaNombre,0))&amp;"",""))</f>
        <v/>
      </c>
      <c r="AF2703" s="53">
        <f>IF(OR(P2703="",AB2703=""),"",IF(OR(P2703="Gasto",P2703="Transferencia",P2703="Pago tarjeta"),-1,1)*IF(IFERROR(INDEX(ctaMoneda,MATCH(AB2703,ctaNombre,0))&amp;"","DOP")="USD",T2703,S2703))</f>
        <v/>
      </c>
      <c r="AG2703" s="53">
        <f>IF(AC2703="","",IF(IFERROR(INDEX(ctaMoneda,MATCH(AC2703,ctaNombre,0))&amp;"","DOP")="USD",T2703,S2703))</f>
        <v/>
      </c>
      <c r="AH2703" s="53">
        <f>IF(P2703="","",IF(AND(AD2703&lt;&gt;"",COUNTIFS(tcTipo,AD2703,tcLiq,"Sí")&gt;0),IF(OR(P2703="Gasto",P2703="Transferencia",P2703="Pago tarjeta"),-1,1)*S2703,0)+IF(AND(AE2703&lt;&gt;"",COUNTIFS(tcTipo,AE2703,tcLiq,"Sí")&gt;0),S2703,0))</f>
        <v/>
      </c>
      <c r="AI2703" s="52">
        <f>IF(OR(L2703="",P2703=""),"",IF(COUNTIFS(L$6:L2703,L2703,P$6:P2703,"?*")=1,MAX(AI$5:AI2702)+1,""))</f>
        <v/>
      </c>
    </row>
    <row r="2704">
      <c r="B2704" s="47" t="n"/>
      <c r="C2704" s="48" t="n"/>
      <c r="D2704" s="48" t="n"/>
      <c r="E2704" s="48" t="n"/>
      <c r="F2704" s="48" t="n"/>
      <c r="G2704" s="49" t="n"/>
      <c r="H2704" s="48" t="n"/>
      <c r="I2704" s="50" t="n"/>
      <c r="J2704" s="48" t="n"/>
      <c r="K2704" s="48" t="n"/>
      <c r="L2704" s="48" t="n"/>
      <c r="M2704" s="48" t="n"/>
      <c r="N2704" s="48" t="n"/>
      <c r="O2704" s="51">
        <f>IF(AND(B2704="",G2704="",C2704="",D2704="",J2704=""),"",IF(B2704="","⚠ Falta fecha",IF(G2704="","⚠ Falta monto",IF(Q2704="","⚠ Falta cuenta",IF(ISNA(MATCH(Q2704,ctaNombre,0)),"⚠ Cuenta no registrada",IF(AND(OR(P2704="Gasto",P2704="Reembolso"),D2704=""),"⚠ Falta categoría",IF(AND(D2704&lt;&gt;"",E2704&lt;&gt;"",ISNA(MATCH(D2704&amp;"|"&amp;E2704,catClave,0))),"⚠ Subcategoría no corresponde",IF(AND(OR(P2704="Transferencia",P2704="Pago tarjeta"),K2704=""),"⚠ Falta cuenta destino",IF(AND(K2704&lt;&gt;"",P2704&lt;&gt;"Transferencia",P2704&lt;&gt;"Pago tarjeta"),"⚠ Destino solo aplica a transferencias",IF(AND(K2704&lt;&gt;"",K2704=Q2704),"⚠ Origen igual a destino",IF(AND(K2704&lt;&gt;"",ISNA(MATCH(K2704,ctaNombre,0))),"⚠ Destino no registrado",IF(AND(P2704="Pago tarjeta",AE2704&lt;&gt;"Tarjeta de crédito"),"⚠ El destino debe ser tarjeta de crédito",IF(AND(P2704="Gasto",E2704="Depósitos y retiros"),"⚠ Usa tipo Transferencia",IF(AND(P2704="Resultado trading",AD2704&lt;&gt;"Cuenta de trading"),"⚠ Usa una cuenta de trading",IF(AND(G2704&lt;=0,P2704&lt;&gt;"Ajuste",P2704&lt;&gt;"Resultado trading"),"⚠ El monto debe ser positivo","✓")))))))))))))))</f>
        <v/>
      </c>
      <c r="P2704" s="52">
        <f>IF(OR(B2704="",G2704=""),"",IF(C2704="","Gasto",C2704))</f>
        <v/>
      </c>
      <c r="Q2704" s="52">
        <f>IF(P2704="","",IF(J2704&lt;&gt;"",J2704,CuentaPred&amp;""))</f>
        <v/>
      </c>
      <c r="R2704" s="52">
        <f>IF(P2704="","",IF(ISNUMBER(I2704),I2704,TasaUSD))</f>
        <v/>
      </c>
      <c r="S2704" s="53">
        <f>IF(P2704="","",IF(H2704="USD",G2704*R2704,G2704))</f>
        <v/>
      </c>
      <c r="T2704" s="53">
        <f>IF(P2704="","",IF(H2704="USD",G2704,IF(R2704&gt;0,G2704/R2704,0)))</f>
        <v/>
      </c>
      <c r="U2704" s="53">
        <f>IF(P2704="","",IF(P2704="Gasto",S2704,IF(P2704="Reembolso",-S2704,0)))</f>
        <v/>
      </c>
      <c r="V2704" s="53">
        <f>IF(P2704="","",IF(P2704="Ingreso",S2704,0))</f>
        <v/>
      </c>
      <c r="W2704" s="53">
        <f>IF(P2704="","",IF(P2704="Resultado trading",S2704,0))</f>
        <v/>
      </c>
      <c r="X2704" s="52">
        <f>IF(OR(P2704="Gasto",P2704="Reembolso"),IF(M2704&lt;&gt;"",M2704,IFERROR(INDEX(catClasif,MATCH(D2704&amp;"|"&amp;E2704,catClave,0))&amp;"","Variable")),"")</f>
        <v/>
      </c>
      <c r="Y2704" s="52">
        <f>IF(P2704="","",IFERROR(INDEX(catGrupo,MATCH(D2704&amp;"|"&amp;E2704,catClave,0))&amp;"",""))</f>
        <v/>
      </c>
      <c r="Z2704" s="52">
        <f>IF(P2704="","",WEEKDAY(B2704,2))</f>
        <v/>
      </c>
      <c r="AA2704" s="52">
        <f>IF(P2704="","",IF(AND(P2704="Gasto",X2704="Variable",D2704&lt;&gt;catTrading,S2704&gt;0,S2704&lt;=Umbral),1,0))</f>
        <v/>
      </c>
      <c r="AB2704" s="52">
        <f>IF(OR(P2704="",Q2704=""),"",IFERROR(IF(INDEX(ctaVinc,MATCH(Q2704,ctaNombre,0))&amp;""&lt;&gt;"",INDEX(ctaVinc,MATCH(Q2704,ctaNombre,0))&amp;"",Q2704),Q2704))</f>
        <v/>
      </c>
      <c r="AC2704" s="52">
        <f>IF(OR(K2704="",AND(P2704&lt;&gt;"Transferencia",P2704&lt;&gt;"Pago tarjeta")),"",IFERROR(IF(INDEX(ctaVinc,MATCH(K2704,ctaNombre,0))&amp;""&lt;&gt;"",INDEX(ctaVinc,MATCH(K2704,ctaNombre,0))&amp;"",K2704),K2704))</f>
        <v/>
      </c>
      <c r="AD2704" s="52">
        <f>IF(AB2704="","",IFERROR(INDEX(ctaTipo,MATCH(AB2704,ctaNombre,0))&amp;"",""))</f>
        <v/>
      </c>
      <c r="AE2704" s="52">
        <f>IF(AC2704="","",IFERROR(INDEX(ctaTipo,MATCH(AC2704,ctaNombre,0))&amp;"",""))</f>
        <v/>
      </c>
      <c r="AF2704" s="53">
        <f>IF(OR(P2704="",AB2704=""),"",IF(OR(P2704="Gasto",P2704="Transferencia",P2704="Pago tarjeta"),-1,1)*IF(IFERROR(INDEX(ctaMoneda,MATCH(AB2704,ctaNombre,0))&amp;"","DOP")="USD",T2704,S2704))</f>
        <v/>
      </c>
      <c r="AG2704" s="53">
        <f>IF(AC2704="","",IF(IFERROR(INDEX(ctaMoneda,MATCH(AC2704,ctaNombre,0))&amp;"","DOP")="USD",T2704,S2704))</f>
        <v/>
      </c>
      <c r="AH2704" s="53">
        <f>IF(P2704="","",IF(AND(AD2704&lt;&gt;"",COUNTIFS(tcTipo,AD2704,tcLiq,"Sí")&gt;0),IF(OR(P2704="Gasto",P2704="Transferencia",P2704="Pago tarjeta"),-1,1)*S2704,0)+IF(AND(AE2704&lt;&gt;"",COUNTIFS(tcTipo,AE2704,tcLiq,"Sí")&gt;0),S2704,0))</f>
        <v/>
      </c>
      <c r="AI2704" s="52">
        <f>IF(OR(L2704="",P2704=""),"",IF(COUNTIFS(L$6:L2704,L2704,P$6:P2704,"?*")=1,MAX(AI$5:AI2703)+1,""))</f>
        <v/>
      </c>
    </row>
    <row r="2705">
      <c r="B2705" s="47" t="n"/>
      <c r="C2705" s="48" t="n"/>
      <c r="D2705" s="48" t="n"/>
      <c r="E2705" s="48" t="n"/>
      <c r="F2705" s="48" t="n"/>
      <c r="G2705" s="49" t="n"/>
      <c r="H2705" s="48" t="n"/>
      <c r="I2705" s="50" t="n"/>
      <c r="J2705" s="48" t="n"/>
      <c r="K2705" s="48" t="n"/>
      <c r="L2705" s="48" t="n"/>
      <c r="M2705" s="48" t="n"/>
      <c r="N2705" s="48" t="n"/>
      <c r="O2705" s="51">
        <f>IF(AND(B2705="",G2705="",C2705="",D2705="",J2705=""),"",IF(B2705="","⚠ Falta fecha",IF(G2705="","⚠ Falta monto",IF(Q2705="","⚠ Falta cuenta",IF(ISNA(MATCH(Q2705,ctaNombre,0)),"⚠ Cuenta no registrada",IF(AND(OR(P2705="Gasto",P2705="Reembolso"),D2705=""),"⚠ Falta categoría",IF(AND(D2705&lt;&gt;"",E2705&lt;&gt;"",ISNA(MATCH(D2705&amp;"|"&amp;E2705,catClave,0))),"⚠ Subcategoría no corresponde",IF(AND(OR(P2705="Transferencia",P2705="Pago tarjeta"),K2705=""),"⚠ Falta cuenta destino",IF(AND(K2705&lt;&gt;"",P2705&lt;&gt;"Transferencia",P2705&lt;&gt;"Pago tarjeta"),"⚠ Destino solo aplica a transferencias",IF(AND(K2705&lt;&gt;"",K2705=Q2705),"⚠ Origen igual a destino",IF(AND(K2705&lt;&gt;"",ISNA(MATCH(K2705,ctaNombre,0))),"⚠ Destino no registrado",IF(AND(P2705="Pago tarjeta",AE2705&lt;&gt;"Tarjeta de crédito"),"⚠ El destino debe ser tarjeta de crédito",IF(AND(P2705="Gasto",E2705="Depósitos y retiros"),"⚠ Usa tipo Transferencia",IF(AND(P2705="Resultado trading",AD2705&lt;&gt;"Cuenta de trading"),"⚠ Usa una cuenta de trading",IF(AND(G2705&lt;=0,P2705&lt;&gt;"Ajuste",P2705&lt;&gt;"Resultado trading"),"⚠ El monto debe ser positivo","✓")))))))))))))))</f>
        <v/>
      </c>
      <c r="P2705" s="52">
        <f>IF(OR(B2705="",G2705=""),"",IF(C2705="","Gasto",C2705))</f>
        <v/>
      </c>
      <c r="Q2705" s="52">
        <f>IF(P2705="","",IF(J2705&lt;&gt;"",J2705,CuentaPred&amp;""))</f>
        <v/>
      </c>
      <c r="R2705" s="52">
        <f>IF(P2705="","",IF(ISNUMBER(I2705),I2705,TasaUSD))</f>
        <v/>
      </c>
      <c r="S2705" s="53">
        <f>IF(P2705="","",IF(H2705="USD",G2705*R2705,G2705))</f>
        <v/>
      </c>
      <c r="T2705" s="53">
        <f>IF(P2705="","",IF(H2705="USD",G2705,IF(R2705&gt;0,G2705/R2705,0)))</f>
        <v/>
      </c>
      <c r="U2705" s="53">
        <f>IF(P2705="","",IF(P2705="Gasto",S2705,IF(P2705="Reembolso",-S2705,0)))</f>
        <v/>
      </c>
      <c r="V2705" s="53">
        <f>IF(P2705="","",IF(P2705="Ingreso",S2705,0))</f>
        <v/>
      </c>
      <c r="W2705" s="53">
        <f>IF(P2705="","",IF(P2705="Resultado trading",S2705,0))</f>
        <v/>
      </c>
      <c r="X2705" s="52">
        <f>IF(OR(P2705="Gasto",P2705="Reembolso"),IF(M2705&lt;&gt;"",M2705,IFERROR(INDEX(catClasif,MATCH(D2705&amp;"|"&amp;E2705,catClave,0))&amp;"","Variable")),"")</f>
        <v/>
      </c>
      <c r="Y2705" s="52">
        <f>IF(P2705="","",IFERROR(INDEX(catGrupo,MATCH(D2705&amp;"|"&amp;E2705,catClave,0))&amp;"",""))</f>
        <v/>
      </c>
      <c r="Z2705" s="52">
        <f>IF(P2705="","",WEEKDAY(B2705,2))</f>
        <v/>
      </c>
      <c r="AA2705" s="52">
        <f>IF(P2705="","",IF(AND(P2705="Gasto",X2705="Variable",D2705&lt;&gt;catTrading,S2705&gt;0,S2705&lt;=Umbral),1,0))</f>
        <v/>
      </c>
      <c r="AB2705" s="52">
        <f>IF(OR(P2705="",Q2705=""),"",IFERROR(IF(INDEX(ctaVinc,MATCH(Q2705,ctaNombre,0))&amp;""&lt;&gt;"",INDEX(ctaVinc,MATCH(Q2705,ctaNombre,0))&amp;"",Q2705),Q2705))</f>
        <v/>
      </c>
      <c r="AC2705" s="52">
        <f>IF(OR(K2705="",AND(P2705&lt;&gt;"Transferencia",P2705&lt;&gt;"Pago tarjeta")),"",IFERROR(IF(INDEX(ctaVinc,MATCH(K2705,ctaNombre,0))&amp;""&lt;&gt;"",INDEX(ctaVinc,MATCH(K2705,ctaNombre,0))&amp;"",K2705),K2705))</f>
        <v/>
      </c>
      <c r="AD2705" s="52">
        <f>IF(AB2705="","",IFERROR(INDEX(ctaTipo,MATCH(AB2705,ctaNombre,0))&amp;"",""))</f>
        <v/>
      </c>
      <c r="AE2705" s="52">
        <f>IF(AC2705="","",IFERROR(INDEX(ctaTipo,MATCH(AC2705,ctaNombre,0))&amp;"",""))</f>
        <v/>
      </c>
      <c r="AF2705" s="53">
        <f>IF(OR(P2705="",AB2705=""),"",IF(OR(P2705="Gasto",P2705="Transferencia",P2705="Pago tarjeta"),-1,1)*IF(IFERROR(INDEX(ctaMoneda,MATCH(AB2705,ctaNombre,0))&amp;"","DOP")="USD",T2705,S2705))</f>
        <v/>
      </c>
      <c r="AG2705" s="53">
        <f>IF(AC2705="","",IF(IFERROR(INDEX(ctaMoneda,MATCH(AC2705,ctaNombre,0))&amp;"","DOP")="USD",T2705,S2705))</f>
        <v/>
      </c>
      <c r="AH2705" s="53">
        <f>IF(P2705="","",IF(AND(AD2705&lt;&gt;"",COUNTIFS(tcTipo,AD2705,tcLiq,"Sí")&gt;0),IF(OR(P2705="Gasto",P2705="Transferencia",P2705="Pago tarjeta"),-1,1)*S2705,0)+IF(AND(AE2705&lt;&gt;"",COUNTIFS(tcTipo,AE2705,tcLiq,"Sí")&gt;0),S2705,0))</f>
        <v/>
      </c>
      <c r="AI2705" s="52">
        <f>IF(OR(L2705="",P2705=""),"",IF(COUNTIFS(L$6:L2705,L2705,P$6:P2705,"?*")=1,MAX(AI$5:AI2704)+1,""))</f>
        <v/>
      </c>
    </row>
    <row r="2706">
      <c r="B2706" s="47" t="n"/>
      <c r="C2706" s="48" t="n"/>
      <c r="D2706" s="48" t="n"/>
      <c r="E2706" s="48" t="n"/>
      <c r="F2706" s="48" t="n"/>
      <c r="G2706" s="49" t="n"/>
      <c r="H2706" s="48" t="n"/>
      <c r="I2706" s="50" t="n"/>
      <c r="J2706" s="48" t="n"/>
      <c r="K2706" s="48" t="n"/>
      <c r="L2706" s="48" t="n"/>
      <c r="M2706" s="48" t="n"/>
      <c r="N2706" s="48" t="n"/>
      <c r="O2706" s="51">
        <f>IF(AND(B2706="",G2706="",C2706="",D2706="",J2706=""),"",IF(B2706="","⚠ Falta fecha",IF(G2706="","⚠ Falta monto",IF(Q2706="","⚠ Falta cuenta",IF(ISNA(MATCH(Q2706,ctaNombre,0)),"⚠ Cuenta no registrada",IF(AND(OR(P2706="Gasto",P2706="Reembolso"),D2706=""),"⚠ Falta categoría",IF(AND(D2706&lt;&gt;"",E2706&lt;&gt;"",ISNA(MATCH(D2706&amp;"|"&amp;E2706,catClave,0))),"⚠ Subcategoría no corresponde",IF(AND(OR(P2706="Transferencia",P2706="Pago tarjeta"),K2706=""),"⚠ Falta cuenta destino",IF(AND(K2706&lt;&gt;"",P2706&lt;&gt;"Transferencia",P2706&lt;&gt;"Pago tarjeta"),"⚠ Destino solo aplica a transferencias",IF(AND(K2706&lt;&gt;"",K2706=Q2706),"⚠ Origen igual a destino",IF(AND(K2706&lt;&gt;"",ISNA(MATCH(K2706,ctaNombre,0))),"⚠ Destino no registrado",IF(AND(P2706="Pago tarjeta",AE2706&lt;&gt;"Tarjeta de crédito"),"⚠ El destino debe ser tarjeta de crédito",IF(AND(P2706="Gasto",E2706="Depósitos y retiros"),"⚠ Usa tipo Transferencia",IF(AND(P2706="Resultado trading",AD2706&lt;&gt;"Cuenta de trading"),"⚠ Usa una cuenta de trading",IF(AND(G2706&lt;=0,P2706&lt;&gt;"Ajuste",P2706&lt;&gt;"Resultado trading"),"⚠ El monto debe ser positivo","✓")))))))))))))))</f>
        <v/>
      </c>
      <c r="P2706" s="52">
        <f>IF(OR(B2706="",G2706=""),"",IF(C2706="","Gasto",C2706))</f>
        <v/>
      </c>
      <c r="Q2706" s="52">
        <f>IF(P2706="","",IF(J2706&lt;&gt;"",J2706,CuentaPred&amp;""))</f>
        <v/>
      </c>
      <c r="R2706" s="52">
        <f>IF(P2706="","",IF(ISNUMBER(I2706),I2706,TasaUSD))</f>
        <v/>
      </c>
      <c r="S2706" s="53">
        <f>IF(P2706="","",IF(H2706="USD",G2706*R2706,G2706))</f>
        <v/>
      </c>
      <c r="T2706" s="53">
        <f>IF(P2706="","",IF(H2706="USD",G2706,IF(R2706&gt;0,G2706/R2706,0)))</f>
        <v/>
      </c>
      <c r="U2706" s="53">
        <f>IF(P2706="","",IF(P2706="Gasto",S2706,IF(P2706="Reembolso",-S2706,0)))</f>
        <v/>
      </c>
      <c r="V2706" s="53">
        <f>IF(P2706="","",IF(P2706="Ingreso",S2706,0))</f>
        <v/>
      </c>
      <c r="W2706" s="53">
        <f>IF(P2706="","",IF(P2706="Resultado trading",S2706,0))</f>
        <v/>
      </c>
      <c r="X2706" s="52">
        <f>IF(OR(P2706="Gasto",P2706="Reembolso"),IF(M2706&lt;&gt;"",M2706,IFERROR(INDEX(catClasif,MATCH(D2706&amp;"|"&amp;E2706,catClave,0))&amp;"","Variable")),"")</f>
        <v/>
      </c>
      <c r="Y2706" s="52">
        <f>IF(P2706="","",IFERROR(INDEX(catGrupo,MATCH(D2706&amp;"|"&amp;E2706,catClave,0))&amp;"",""))</f>
        <v/>
      </c>
      <c r="Z2706" s="52">
        <f>IF(P2706="","",WEEKDAY(B2706,2))</f>
        <v/>
      </c>
      <c r="AA2706" s="52">
        <f>IF(P2706="","",IF(AND(P2706="Gasto",X2706="Variable",D2706&lt;&gt;catTrading,S2706&gt;0,S2706&lt;=Umbral),1,0))</f>
        <v/>
      </c>
      <c r="AB2706" s="52">
        <f>IF(OR(P2706="",Q2706=""),"",IFERROR(IF(INDEX(ctaVinc,MATCH(Q2706,ctaNombre,0))&amp;""&lt;&gt;"",INDEX(ctaVinc,MATCH(Q2706,ctaNombre,0))&amp;"",Q2706),Q2706))</f>
        <v/>
      </c>
      <c r="AC2706" s="52">
        <f>IF(OR(K2706="",AND(P2706&lt;&gt;"Transferencia",P2706&lt;&gt;"Pago tarjeta")),"",IFERROR(IF(INDEX(ctaVinc,MATCH(K2706,ctaNombre,0))&amp;""&lt;&gt;"",INDEX(ctaVinc,MATCH(K2706,ctaNombre,0))&amp;"",K2706),K2706))</f>
        <v/>
      </c>
      <c r="AD2706" s="52">
        <f>IF(AB2706="","",IFERROR(INDEX(ctaTipo,MATCH(AB2706,ctaNombre,0))&amp;"",""))</f>
        <v/>
      </c>
      <c r="AE2706" s="52">
        <f>IF(AC2706="","",IFERROR(INDEX(ctaTipo,MATCH(AC2706,ctaNombre,0))&amp;"",""))</f>
        <v/>
      </c>
      <c r="AF2706" s="53">
        <f>IF(OR(P2706="",AB2706=""),"",IF(OR(P2706="Gasto",P2706="Transferencia",P2706="Pago tarjeta"),-1,1)*IF(IFERROR(INDEX(ctaMoneda,MATCH(AB2706,ctaNombre,0))&amp;"","DOP")="USD",T2706,S2706))</f>
        <v/>
      </c>
      <c r="AG2706" s="53">
        <f>IF(AC2706="","",IF(IFERROR(INDEX(ctaMoneda,MATCH(AC2706,ctaNombre,0))&amp;"","DOP")="USD",T2706,S2706))</f>
        <v/>
      </c>
      <c r="AH2706" s="53">
        <f>IF(P2706="","",IF(AND(AD2706&lt;&gt;"",COUNTIFS(tcTipo,AD2706,tcLiq,"Sí")&gt;0),IF(OR(P2706="Gasto",P2706="Transferencia",P2706="Pago tarjeta"),-1,1)*S2706,0)+IF(AND(AE2706&lt;&gt;"",COUNTIFS(tcTipo,AE2706,tcLiq,"Sí")&gt;0),S2706,0))</f>
        <v/>
      </c>
      <c r="AI2706" s="52">
        <f>IF(OR(L2706="",P2706=""),"",IF(COUNTIFS(L$6:L2706,L2706,P$6:P2706,"?*")=1,MAX(AI$5:AI2705)+1,""))</f>
        <v/>
      </c>
    </row>
    <row r="2707">
      <c r="B2707" s="47" t="n"/>
      <c r="C2707" s="48" t="n"/>
      <c r="D2707" s="48" t="n"/>
      <c r="E2707" s="48" t="n"/>
      <c r="F2707" s="48" t="n"/>
      <c r="G2707" s="49" t="n"/>
      <c r="H2707" s="48" t="n"/>
      <c r="I2707" s="50" t="n"/>
      <c r="J2707" s="48" t="n"/>
      <c r="K2707" s="48" t="n"/>
      <c r="L2707" s="48" t="n"/>
      <c r="M2707" s="48" t="n"/>
      <c r="N2707" s="48" t="n"/>
      <c r="O2707" s="51">
        <f>IF(AND(B2707="",G2707="",C2707="",D2707="",J2707=""),"",IF(B2707="","⚠ Falta fecha",IF(G2707="","⚠ Falta monto",IF(Q2707="","⚠ Falta cuenta",IF(ISNA(MATCH(Q2707,ctaNombre,0)),"⚠ Cuenta no registrada",IF(AND(OR(P2707="Gasto",P2707="Reembolso"),D2707=""),"⚠ Falta categoría",IF(AND(D2707&lt;&gt;"",E2707&lt;&gt;"",ISNA(MATCH(D2707&amp;"|"&amp;E2707,catClave,0))),"⚠ Subcategoría no corresponde",IF(AND(OR(P2707="Transferencia",P2707="Pago tarjeta"),K2707=""),"⚠ Falta cuenta destino",IF(AND(K2707&lt;&gt;"",P2707&lt;&gt;"Transferencia",P2707&lt;&gt;"Pago tarjeta"),"⚠ Destino solo aplica a transferencias",IF(AND(K2707&lt;&gt;"",K2707=Q2707),"⚠ Origen igual a destino",IF(AND(K2707&lt;&gt;"",ISNA(MATCH(K2707,ctaNombre,0))),"⚠ Destino no registrado",IF(AND(P2707="Pago tarjeta",AE2707&lt;&gt;"Tarjeta de crédito"),"⚠ El destino debe ser tarjeta de crédito",IF(AND(P2707="Gasto",E2707="Depósitos y retiros"),"⚠ Usa tipo Transferencia",IF(AND(P2707="Resultado trading",AD2707&lt;&gt;"Cuenta de trading"),"⚠ Usa una cuenta de trading",IF(AND(G2707&lt;=0,P2707&lt;&gt;"Ajuste",P2707&lt;&gt;"Resultado trading"),"⚠ El monto debe ser positivo","✓")))))))))))))))</f>
        <v/>
      </c>
      <c r="P2707" s="52">
        <f>IF(OR(B2707="",G2707=""),"",IF(C2707="","Gasto",C2707))</f>
        <v/>
      </c>
      <c r="Q2707" s="52">
        <f>IF(P2707="","",IF(J2707&lt;&gt;"",J2707,CuentaPred&amp;""))</f>
        <v/>
      </c>
      <c r="R2707" s="52">
        <f>IF(P2707="","",IF(ISNUMBER(I2707),I2707,TasaUSD))</f>
        <v/>
      </c>
      <c r="S2707" s="53">
        <f>IF(P2707="","",IF(H2707="USD",G2707*R2707,G2707))</f>
        <v/>
      </c>
      <c r="T2707" s="53">
        <f>IF(P2707="","",IF(H2707="USD",G2707,IF(R2707&gt;0,G2707/R2707,0)))</f>
        <v/>
      </c>
      <c r="U2707" s="53">
        <f>IF(P2707="","",IF(P2707="Gasto",S2707,IF(P2707="Reembolso",-S2707,0)))</f>
        <v/>
      </c>
      <c r="V2707" s="53">
        <f>IF(P2707="","",IF(P2707="Ingreso",S2707,0))</f>
        <v/>
      </c>
      <c r="W2707" s="53">
        <f>IF(P2707="","",IF(P2707="Resultado trading",S2707,0))</f>
        <v/>
      </c>
      <c r="X2707" s="52">
        <f>IF(OR(P2707="Gasto",P2707="Reembolso"),IF(M2707&lt;&gt;"",M2707,IFERROR(INDEX(catClasif,MATCH(D2707&amp;"|"&amp;E2707,catClave,0))&amp;"","Variable")),"")</f>
        <v/>
      </c>
      <c r="Y2707" s="52">
        <f>IF(P2707="","",IFERROR(INDEX(catGrupo,MATCH(D2707&amp;"|"&amp;E2707,catClave,0))&amp;"",""))</f>
        <v/>
      </c>
      <c r="Z2707" s="52">
        <f>IF(P2707="","",WEEKDAY(B2707,2))</f>
        <v/>
      </c>
      <c r="AA2707" s="52">
        <f>IF(P2707="","",IF(AND(P2707="Gasto",X2707="Variable",D2707&lt;&gt;catTrading,S2707&gt;0,S2707&lt;=Umbral),1,0))</f>
        <v/>
      </c>
      <c r="AB2707" s="52">
        <f>IF(OR(P2707="",Q2707=""),"",IFERROR(IF(INDEX(ctaVinc,MATCH(Q2707,ctaNombre,0))&amp;""&lt;&gt;"",INDEX(ctaVinc,MATCH(Q2707,ctaNombre,0))&amp;"",Q2707),Q2707))</f>
        <v/>
      </c>
      <c r="AC2707" s="52">
        <f>IF(OR(K2707="",AND(P2707&lt;&gt;"Transferencia",P2707&lt;&gt;"Pago tarjeta")),"",IFERROR(IF(INDEX(ctaVinc,MATCH(K2707,ctaNombre,0))&amp;""&lt;&gt;"",INDEX(ctaVinc,MATCH(K2707,ctaNombre,0))&amp;"",K2707),K2707))</f>
        <v/>
      </c>
      <c r="AD2707" s="52">
        <f>IF(AB2707="","",IFERROR(INDEX(ctaTipo,MATCH(AB2707,ctaNombre,0))&amp;"",""))</f>
        <v/>
      </c>
      <c r="AE2707" s="52">
        <f>IF(AC2707="","",IFERROR(INDEX(ctaTipo,MATCH(AC2707,ctaNombre,0))&amp;"",""))</f>
        <v/>
      </c>
      <c r="AF2707" s="53">
        <f>IF(OR(P2707="",AB2707=""),"",IF(OR(P2707="Gasto",P2707="Transferencia",P2707="Pago tarjeta"),-1,1)*IF(IFERROR(INDEX(ctaMoneda,MATCH(AB2707,ctaNombre,0))&amp;"","DOP")="USD",T2707,S2707))</f>
        <v/>
      </c>
      <c r="AG2707" s="53">
        <f>IF(AC2707="","",IF(IFERROR(INDEX(ctaMoneda,MATCH(AC2707,ctaNombre,0))&amp;"","DOP")="USD",T2707,S2707))</f>
        <v/>
      </c>
      <c r="AH2707" s="53">
        <f>IF(P2707="","",IF(AND(AD2707&lt;&gt;"",COUNTIFS(tcTipo,AD2707,tcLiq,"Sí")&gt;0),IF(OR(P2707="Gasto",P2707="Transferencia",P2707="Pago tarjeta"),-1,1)*S2707,0)+IF(AND(AE2707&lt;&gt;"",COUNTIFS(tcTipo,AE2707,tcLiq,"Sí")&gt;0),S2707,0))</f>
        <v/>
      </c>
      <c r="AI2707" s="52">
        <f>IF(OR(L2707="",P2707=""),"",IF(COUNTIFS(L$6:L2707,L2707,P$6:P2707,"?*")=1,MAX(AI$5:AI2706)+1,""))</f>
        <v/>
      </c>
    </row>
    <row r="2708">
      <c r="B2708" s="47" t="n"/>
      <c r="C2708" s="48" t="n"/>
      <c r="D2708" s="48" t="n"/>
      <c r="E2708" s="48" t="n"/>
      <c r="F2708" s="48" t="n"/>
      <c r="G2708" s="49" t="n"/>
      <c r="H2708" s="48" t="n"/>
      <c r="I2708" s="50" t="n"/>
      <c r="J2708" s="48" t="n"/>
      <c r="K2708" s="48" t="n"/>
      <c r="L2708" s="48" t="n"/>
      <c r="M2708" s="48" t="n"/>
      <c r="N2708" s="48" t="n"/>
      <c r="O2708" s="51">
        <f>IF(AND(B2708="",G2708="",C2708="",D2708="",J2708=""),"",IF(B2708="","⚠ Falta fecha",IF(G2708="","⚠ Falta monto",IF(Q2708="","⚠ Falta cuenta",IF(ISNA(MATCH(Q2708,ctaNombre,0)),"⚠ Cuenta no registrada",IF(AND(OR(P2708="Gasto",P2708="Reembolso"),D2708=""),"⚠ Falta categoría",IF(AND(D2708&lt;&gt;"",E2708&lt;&gt;"",ISNA(MATCH(D2708&amp;"|"&amp;E2708,catClave,0))),"⚠ Subcategoría no corresponde",IF(AND(OR(P2708="Transferencia",P2708="Pago tarjeta"),K2708=""),"⚠ Falta cuenta destino",IF(AND(K2708&lt;&gt;"",P2708&lt;&gt;"Transferencia",P2708&lt;&gt;"Pago tarjeta"),"⚠ Destino solo aplica a transferencias",IF(AND(K2708&lt;&gt;"",K2708=Q2708),"⚠ Origen igual a destino",IF(AND(K2708&lt;&gt;"",ISNA(MATCH(K2708,ctaNombre,0))),"⚠ Destino no registrado",IF(AND(P2708="Pago tarjeta",AE2708&lt;&gt;"Tarjeta de crédito"),"⚠ El destino debe ser tarjeta de crédito",IF(AND(P2708="Gasto",E2708="Depósitos y retiros"),"⚠ Usa tipo Transferencia",IF(AND(P2708="Resultado trading",AD2708&lt;&gt;"Cuenta de trading"),"⚠ Usa una cuenta de trading",IF(AND(G2708&lt;=0,P2708&lt;&gt;"Ajuste",P2708&lt;&gt;"Resultado trading"),"⚠ El monto debe ser positivo","✓")))))))))))))))</f>
        <v/>
      </c>
      <c r="P2708" s="52">
        <f>IF(OR(B2708="",G2708=""),"",IF(C2708="","Gasto",C2708))</f>
        <v/>
      </c>
      <c r="Q2708" s="52">
        <f>IF(P2708="","",IF(J2708&lt;&gt;"",J2708,CuentaPred&amp;""))</f>
        <v/>
      </c>
      <c r="R2708" s="52">
        <f>IF(P2708="","",IF(ISNUMBER(I2708),I2708,TasaUSD))</f>
        <v/>
      </c>
      <c r="S2708" s="53">
        <f>IF(P2708="","",IF(H2708="USD",G2708*R2708,G2708))</f>
        <v/>
      </c>
      <c r="T2708" s="53">
        <f>IF(P2708="","",IF(H2708="USD",G2708,IF(R2708&gt;0,G2708/R2708,0)))</f>
        <v/>
      </c>
      <c r="U2708" s="53">
        <f>IF(P2708="","",IF(P2708="Gasto",S2708,IF(P2708="Reembolso",-S2708,0)))</f>
        <v/>
      </c>
      <c r="V2708" s="53">
        <f>IF(P2708="","",IF(P2708="Ingreso",S2708,0))</f>
        <v/>
      </c>
      <c r="W2708" s="53">
        <f>IF(P2708="","",IF(P2708="Resultado trading",S2708,0))</f>
        <v/>
      </c>
      <c r="X2708" s="52">
        <f>IF(OR(P2708="Gasto",P2708="Reembolso"),IF(M2708&lt;&gt;"",M2708,IFERROR(INDEX(catClasif,MATCH(D2708&amp;"|"&amp;E2708,catClave,0))&amp;"","Variable")),"")</f>
        <v/>
      </c>
      <c r="Y2708" s="52">
        <f>IF(P2708="","",IFERROR(INDEX(catGrupo,MATCH(D2708&amp;"|"&amp;E2708,catClave,0))&amp;"",""))</f>
        <v/>
      </c>
      <c r="Z2708" s="52">
        <f>IF(P2708="","",WEEKDAY(B2708,2))</f>
        <v/>
      </c>
      <c r="AA2708" s="52">
        <f>IF(P2708="","",IF(AND(P2708="Gasto",X2708="Variable",D2708&lt;&gt;catTrading,S2708&gt;0,S2708&lt;=Umbral),1,0))</f>
        <v/>
      </c>
      <c r="AB2708" s="52">
        <f>IF(OR(P2708="",Q2708=""),"",IFERROR(IF(INDEX(ctaVinc,MATCH(Q2708,ctaNombre,0))&amp;""&lt;&gt;"",INDEX(ctaVinc,MATCH(Q2708,ctaNombre,0))&amp;"",Q2708),Q2708))</f>
        <v/>
      </c>
      <c r="AC2708" s="52">
        <f>IF(OR(K2708="",AND(P2708&lt;&gt;"Transferencia",P2708&lt;&gt;"Pago tarjeta")),"",IFERROR(IF(INDEX(ctaVinc,MATCH(K2708,ctaNombre,0))&amp;""&lt;&gt;"",INDEX(ctaVinc,MATCH(K2708,ctaNombre,0))&amp;"",K2708),K2708))</f>
        <v/>
      </c>
      <c r="AD2708" s="52">
        <f>IF(AB2708="","",IFERROR(INDEX(ctaTipo,MATCH(AB2708,ctaNombre,0))&amp;"",""))</f>
        <v/>
      </c>
      <c r="AE2708" s="52">
        <f>IF(AC2708="","",IFERROR(INDEX(ctaTipo,MATCH(AC2708,ctaNombre,0))&amp;"",""))</f>
        <v/>
      </c>
      <c r="AF2708" s="53">
        <f>IF(OR(P2708="",AB2708=""),"",IF(OR(P2708="Gasto",P2708="Transferencia",P2708="Pago tarjeta"),-1,1)*IF(IFERROR(INDEX(ctaMoneda,MATCH(AB2708,ctaNombre,0))&amp;"","DOP")="USD",T2708,S2708))</f>
        <v/>
      </c>
      <c r="AG2708" s="53">
        <f>IF(AC2708="","",IF(IFERROR(INDEX(ctaMoneda,MATCH(AC2708,ctaNombre,0))&amp;"","DOP")="USD",T2708,S2708))</f>
        <v/>
      </c>
      <c r="AH2708" s="53">
        <f>IF(P2708="","",IF(AND(AD2708&lt;&gt;"",COUNTIFS(tcTipo,AD2708,tcLiq,"Sí")&gt;0),IF(OR(P2708="Gasto",P2708="Transferencia",P2708="Pago tarjeta"),-1,1)*S2708,0)+IF(AND(AE2708&lt;&gt;"",COUNTIFS(tcTipo,AE2708,tcLiq,"Sí")&gt;0),S2708,0))</f>
        <v/>
      </c>
      <c r="AI2708" s="52">
        <f>IF(OR(L2708="",P2708=""),"",IF(COUNTIFS(L$6:L2708,L2708,P$6:P2708,"?*")=1,MAX(AI$5:AI2707)+1,""))</f>
        <v/>
      </c>
    </row>
    <row r="2709">
      <c r="B2709" s="47" t="n"/>
      <c r="C2709" s="48" t="n"/>
      <c r="D2709" s="48" t="n"/>
      <c r="E2709" s="48" t="n"/>
      <c r="F2709" s="48" t="n"/>
      <c r="G2709" s="49" t="n"/>
      <c r="H2709" s="48" t="n"/>
      <c r="I2709" s="50" t="n"/>
      <c r="J2709" s="48" t="n"/>
      <c r="K2709" s="48" t="n"/>
      <c r="L2709" s="48" t="n"/>
      <c r="M2709" s="48" t="n"/>
      <c r="N2709" s="48" t="n"/>
      <c r="O2709" s="51">
        <f>IF(AND(B2709="",G2709="",C2709="",D2709="",J2709=""),"",IF(B2709="","⚠ Falta fecha",IF(G2709="","⚠ Falta monto",IF(Q2709="","⚠ Falta cuenta",IF(ISNA(MATCH(Q2709,ctaNombre,0)),"⚠ Cuenta no registrada",IF(AND(OR(P2709="Gasto",P2709="Reembolso"),D2709=""),"⚠ Falta categoría",IF(AND(D2709&lt;&gt;"",E2709&lt;&gt;"",ISNA(MATCH(D2709&amp;"|"&amp;E2709,catClave,0))),"⚠ Subcategoría no corresponde",IF(AND(OR(P2709="Transferencia",P2709="Pago tarjeta"),K2709=""),"⚠ Falta cuenta destino",IF(AND(K2709&lt;&gt;"",P2709&lt;&gt;"Transferencia",P2709&lt;&gt;"Pago tarjeta"),"⚠ Destino solo aplica a transferencias",IF(AND(K2709&lt;&gt;"",K2709=Q2709),"⚠ Origen igual a destino",IF(AND(K2709&lt;&gt;"",ISNA(MATCH(K2709,ctaNombre,0))),"⚠ Destino no registrado",IF(AND(P2709="Pago tarjeta",AE2709&lt;&gt;"Tarjeta de crédito"),"⚠ El destino debe ser tarjeta de crédito",IF(AND(P2709="Gasto",E2709="Depósitos y retiros"),"⚠ Usa tipo Transferencia",IF(AND(P2709="Resultado trading",AD2709&lt;&gt;"Cuenta de trading"),"⚠ Usa una cuenta de trading",IF(AND(G2709&lt;=0,P2709&lt;&gt;"Ajuste",P2709&lt;&gt;"Resultado trading"),"⚠ El monto debe ser positivo","✓")))))))))))))))</f>
        <v/>
      </c>
      <c r="P2709" s="52">
        <f>IF(OR(B2709="",G2709=""),"",IF(C2709="","Gasto",C2709))</f>
        <v/>
      </c>
      <c r="Q2709" s="52">
        <f>IF(P2709="","",IF(J2709&lt;&gt;"",J2709,CuentaPred&amp;""))</f>
        <v/>
      </c>
      <c r="R2709" s="52">
        <f>IF(P2709="","",IF(ISNUMBER(I2709),I2709,TasaUSD))</f>
        <v/>
      </c>
      <c r="S2709" s="53">
        <f>IF(P2709="","",IF(H2709="USD",G2709*R2709,G2709))</f>
        <v/>
      </c>
      <c r="T2709" s="53">
        <f>IF(P2709="","",IF(H2709="USD",G2709,IF(R2709&gt;0,G2709/R2709,0)))</f>
        <v/>
      </c>
      <c r="U2709" s="53">
        <f>IF(P2709="","",IF(P2709="Gasto",S2709,IF(P2709="Reembolso",-S2709,0)))</f>
        <v/>
      </c>
      <c r="V2709" s="53">
        <f>IF(P2709="","",IF(P2709="Ingreso",S2709,0))</f>
        <v/>
      </c>
      <c r="W2709" s="53">
        <f>IF(P2709="","",IF(P2709="Resultado trading",S2709,0))</f>
        <v/>
      </c>
      <c r="X2709" s="52">
        <f>IF(OR(P2709="Gasto",P2709="Reembolso"),IF(M2709&lt;&gt;"",M2709,IFERROR(INDEX(catClasif,MATCH(D2709&amp;"|"&amp;E2709,catClave,0))&amp;"","Variable")),"")</f>
        <v/>
      </c>
      <c r="Y2709" s="52">
        <f>IF(P2709="","",IFERROR(INDEX(catGrupo,MATCH(D2709&amp;"|"&amp;E2709,catClave,0))&amp;"",""))</f>
        <v/>
      </c>
      <c r="Z2709" s="52">
        <f>IF(P2709="","",WEEKDAY(B2709,2))</f>
        <v/>
      </c>
      <c r="AA2709" s="52">
        <f>IF(P2709="","",IF(AND(P2709="Gasto",X2709="Variable",D2709&lt;&gt;catTrading,S2709&gt;0,S2709&lt;=Umbral),1,0))</f>
        <v/>
      </c>
      <c r="AB2709" s="52">
        <f>IF(OR(P2709="",Q2709=""),"",IFERROR(IF(INDEX(ctaVinc,MATCH(Q2709,ctaNombre,0))&amp;""&lt;&gt;"",INDEX(ctaVinc,MATCH(Q2709,ctaNombre,0))&amp;"",Q2709),Q2709))</f>
        <v/>
      </c>
      <c r="AC2709" s="52">
        <f>IF(OR(K2709="",AND(P2709&lt;&gt;"Transferencia",P2709&lt;&gt;"Pago tarjeta")),"",IFERROR(IF(INDEX(ctaVinc,MATCH(K2709,ctaNombre,0))&amp;""&lt;&gt;"",INDEX(ctaVinc,MATCH(K2709,ctaNombre,0))&amp;"",K2709),K2709))</f>
        <v/>
      </c>
      <c r="AD2709" s="52">
        <f>IF(AB2709="","",IFERROR(INDEX(ctaTipo,MATCH(AB2709,ctaNombre,0))&amp;"",""))</f>
        <v/>
      </c>
      <c r="AE2709" s="52">
        <f>IF(AC2709="","",IFERROR(INDEX(ctaTipo,MATCH(AC2709,ctaNombre,0))&amp;"",""))</f>
        <v/>
      </c>
      <c r="AF2709" s="53">
        <f>IF(OR(P2709="",AB2709=""),"",IF(OR(P2709="Gasto",P2709="Transferencia",P2709="Pago tarjeta"),-1,1)*IF(IFERROR(INDEX(ctaMoneda,MATCH(AB2709,ctaNombre,0))&amp;"","DOP")="USD",T2709,S2709))</f>
        <v/>
      </c>
      <c r="AG2709" s="53">
        <f>IF(AC2709="","",IF(IFERROR(INDEX(ctaMoneda,MATCH(AC2709,ctaNombre,0))&amp;"","DOP")="USD",T2709,S2709))</f>
        <v/>
      </c>
      <c r="AH2709" s="53">
        <f>IF(P2709="","",IF(AND(AD2709&lt;&gt;"",COUNTIFS(tcTipo,AD2709,tcLiq,"Sí")&gt;0),IF(OR(P2709="Gasto",P2709="Transferencia",P2709="Pago tarjeta"),-1,1)*S2709,0)+IF(AND(AE2709&lt;&gt;"",COUNTIFS(tcTipo,AE2709,tcLiq,"Sí")&gt;0),S2709,0))</f>
        <v/>
      </c>
      <c r="AI2709" s="52">
        <f>IF(OR(L2709="",P2709=""),"",IF(COUNTIFS(L$6:L2709,L2709,P$6:P2709,"?*")=1,MAX(AI$5:AI2708)+1,""))</f>
        <v/>
      </c>
    </row>
    <row r="2710">
      <c r="B2710" s="47" t="n"/>
      <c r="C2710" s="48" t="n"/>
      <c r="D2710" s="48" t="n"/>
      <c r="E2710" s="48" t="n"/>
      <c r="F2710" s="48" t="n"/>
      <c r="G2710" s="49" t="n"/>
      <c r="H2710" s="48" t="n"/>
      <c r="I2710" s="50" t="n"/>
      <c r="J2710" s="48" t="n"/>
      <c r="K2710" s="48" t="n"/>
      <c r="L2710" s="48" t="n"/>
      <c r="M2710" s="48" t="n"/>
      <c r="N2710" s="48" t="n"/>
      <c r="O2710" s="51">
        <f>IF(AND(B2710="",G2710="",C2710="",D2710="",J2710=""),"",IF(B2710="","⚠ Falta fecha",IF(G2710="","⚠ Falta monto",IF(Q2710="","⚠ Falta cuenta",IF(ISNA(MATCH(Q2710,ctaNombre,0)),"⚠ Cuenta no registrada",IF(AND(OR(P2710="Gasto",P2710="Reembolso"),D2710=""),"⚠ Falta categoría",IF(AND(D2710&lt;&gt;"",E2710&lt;&gt;"",ISNA(MATCH(D2710&amp;"|"&amp;E2710,catClave,0))),"⚠ Subcategoría no corresponde",IF(AND(OR(P2710="Transferencia",P2710="Pago tarjeta"),K2710=""),"⚠ Falta cuenta destino",IF(AND(K2710&lt;&gt;"",P2710&lt;&gt;"Transferencia",P2710&lt;&gt;"Pago tarjeta"),"⚠ Destino solo aplica a transferencias",IF(AND(K2710&lt;&gt;"",K2710=Q2710),"⚠ Origen igual a destino",IF(AND(K2710&lt;&gt;"",ISNA(MATCH(K2710,ctaNombre,0))),"⚠ Destino no registrado",IF(AND(P2710="Pago tarjeta",AE2710&lt;&gt;"Tarjeta de crédito"),"⚠ El destino debe ser tarjeta de crédito",IF(AND(P2710="Gasto",E2710="Depósitos y retiros"),"⚠ Usa tipo Transferencia",IF(AND(P2710="Resultado trading",AD2710&lt;&gt;"Cuenta de trading"),"⚠ Usa una cuenta de trading",IF(AND(G2710&lt;=0,P2710&lt;&gt;"Ajuste",P2710&lt;&gt;"Resultado trading"),"⚠ El monto debe ser positivo","✓")))))))))))))))</f>
        <v/>
      </c>
      <c r="P2710" s="52">
        <f>IF(OR(B2710="",G2710=""),"",IF(C2710="","Gasto",C2710))</f>
        <v/>
      </c>
      <c r="Q2710" s="52">
        <f>IF(P2710="","",IF(J2710&lt;&gt;"",J2710,CuentaPred&amp;""))</f>
        <v/>
      </c>
      <c r="R2710" s="52">
        <f>IF(P2710="","",IF(ISNUMBER(I2710),I2710,TasaUSD))</f>
        <v/>
      </c>
      <c r="S2710" s="53">
        <f>IF(P2710="","",IF(H2710="USD",G2710*R2710,G2710))</f>
        <v/>
      </c>
      <c r="T2710" s="53">
        <f>IF(P2710="","",IF(H2710="USD",G2710,IF(R2710&gt;0,G2710/R2710,0)))</f>
        <v/>
      </c>
      <c r="U2710" s="53">
        <f>IF(P2710="","",IF(P2710="Gasto",S2710,IF(P2710="Reembolso",-S2710,0)))</f>
        <v/>
      </c>
      <c r="V2710" s="53">
        <f>IF(P2710="","",IF(P2710="Ingreso",S2710,0))</f>
        <v/>
      </c>
      <c r="W2710" s="53">
        <f>IF(P2710="","",IF(P2710="Resultado trading",S2710,0))</f>
        <v/>
      </c>
      <c r="X2710" s="52">
        <f>IF(OR(P2710="Gasto",P2710="Reembolso"),IF(M2710&lt;&gt;"",M2710,IFERROR(INDEX(catClasif,MATCH(D2710&amp;"|"&amp;E2710,catClave,0))&amp;"","Variable")),"")</f>
        <v/>
      </c>
      <c r="Y2710" s="52">
        <f>IF(P2710="","",IFERROR(INDEX(catGrupo,MATCH(D2710&amp;"|"&amp;E2710,catClave,0))&amp;"",""))</f>
        <v/>
      </c>
      <c r="Z2710" s="52">
        <f>IF(P2710="","",WEEKDAY(B2710,2))</f>
        <v/>
      </c>
      <c r="AA2710" s="52">
        <f>IF(P2710="","",IF(AND(P2710="Gasto",X2710="Variable",D2710&lt;&gt;catTrading,S2710&gt;0,S2710&lt;=Umbral),1,0))</f>
        <v/>
      </c>
      <c r="AB2710" s="52">
        <f>IF(OR(P2710="",Q2710=""),"",IFERROR(IF(INDEX(ctaVinc,MATCH(Q2710,ctaNombre,0))&amp;""&lt;&gt;"",INDEX(ctaVinc,MATCH(Q2710,ctaNombre,0))&amp;"",Q2710),Q2710))</f>
        <v/>
      </c>
      <c r="AC2710" s="52">
        <f>IF(OR(K2710="",AND(P2710&lt;&gt;"Transferencia",P2710&lt;&gt;"Pago tarjeta")),"",IFERROR(IF(INDEX(ctaVinc,MATCH(K2710,ctaNombre,0))&amp;""&lt;&gt;"",INDEX(ctaVinc,MATCH(K2710,ctaNombre,0))&amp;"",K2710),K2710))</f>
        <v/>
      </c>
      <c r="AD2710" s="52">
        <f>IF(AB2710="","",IFERROR(INDEX(ctaTipo,MATCH(AB2710,ctaNombre,0))&amp;"",""))</f>
        <v/>
      </c>
      <c r="AE2710" s="52">
        <f>IF(AC2710="","",IFERROR(INDEX(ctaTipo,MATCH(AC2710,ctaNombre,0))&amp;"",""))</f>
        <v/>
      </c>
      <c r="AF2710" s="53">
        <f>IF(OR(P2710="",AB2710=""),"",IF(OR(P2710="Gasto",P2710="Transferencia",P2710="Pago tarjeta"),-1,1)*IF(IFERROR(INDEX(ctaMoneda,MATCH(AB2710,ctaNombre,0))&amp;"","DOP")="USD",T2710,S2710))</f>
        <v/>
      </c>
      <c r="AG2710" s="53">
        <f>IF(AC2710="","",IF(IFERROR(INDEX(ctaMoneda,MATCH(AC2710,ctaNombre,0))&amp;"","DOP")="USD",T2710,S2710))</f>
        <v/>
      </c>
      <c r="AH2710" s="53">
        <f>IF(P2710="","",IF(AND(AD2710&lt;&gt;"",COUNTIFS(tcTipo,AD2710,tcLiq,"Sí")&gt;0),IF(OR(P2710="Gasto",P2710="Transferencia",P2710="Pago tarjeta"),-1,1)*S2710,0)+IF(AND(AE2710&lt;&gt;"",COUNTIFS(tcTipo,AE2710,tcLiq,"Sí")&gt;0),S2710,0))</f>
        <v/>
      </c>
      <c r="AI2710" s="52">
        <f>IF(OR(L2710="",P2710=""),"",IF(COUNTIFS(L$6:L2710,L2710,P$6:P2710,"?*")=1,MAX(AI$5:AI2709)+1,""))</f>
        <v/>
      </c>
    </row>
    <row r="2711">
      <c r="B2711" s="47" t="n"/>
      <c r="C2711" s="48" t="n"/>
      <c r="D2711" s="48" t="n"/>
      <c r="E2711" s="48" t="n"/>
      <c r="F2711" s="48" t="n"/>
      <c r="G2711" s="49" t="n"/>
      <c r="H2711" s="48" t="n"/>
      <c r="I2711" s="50" t="n"/>
      <c r="J2711" s="48" t="n"/>
      <c r="K2711" s="48" t="n"/>
      <c r="L2711" s="48" t="n"/>
      <c r="M2711" s="48" t="n"/>
      <c r="N2711" s="48" t="n"/>
      <c r="O2711" s="51">
        <f>IF(AND(B2711="",G2711="",C2711="",D2711="",J2711=""),"",IF(B2711="","⚠ Falta fecha",IF(G2711="","⚠ Falta monto",IF(Q2711="","⚠ Falta cuenta",IF(ISNA(MATCH(Q2711,ctaNombre,0)),"⚠ Cuenta no registrada",IF(AND(OR(P2711="Gasto",P2711="Reembolso"),D2711=""),"⚠ Falta categoría",IF(AND(D2711&lt;&gt;"",E2711&lt;&gt;"",ISNA(MATCH(D2711&amp;"|"&amp;E2711,catClave,0))),"⚠ Subcategoría no corresponde",IF(AND(OR(P2711="Transferencia",P2711="Pago tarjeta"),K2711=""),"⚠ Falta cuenta destino",IF(AND(K2711&lt;&gt;"",P2711&lt;&gt;"Transferencia",P2711&lt;&gt;"Pago tarjeta"),"⚠ Destino solo aplica a transferencias",IF(AND(K2711&lt;&gt;"",K2711=Q2711),"⚠ Origen igual a destino",IF(AND(K2711&lt;&gt;"",ISNA(MATCH(K2711,ctaNombre,0))),"⚠ Destino no registrado",IF(AND(P2711="Pago tarjeta",AE2711&lt;&gt;"Tarjeta de crédito"),"⚠ El destino debe ser tarjeta de crédito",IF(AND(P2711="Gasto",E2711="Depósitos y retiros"),"⚠ Usa tipo Transferencia",IF(AND(P2711="Resultado trading",AD2711&lt;&gt;"Cuenta de trading"),"⚠ Usa una cuenta de trading",IF(AND(G2711&lt;=0,P2711&lt;&gt;"Ajuste",P2711&lt;&gt;"Resultado trading"),"⚠ El monto debe ser positivo","✓")))))))))))))))</f>
        <v/>
      </c>
      <c r="P2711" s="52">
        <f>IF(OR(B2711="",G2711=""),"",IF(C2711="","Gasto",C2711))</f>
        <v/>
      </c>
      <c r="Q2711" s="52">
        <f>IF(P2711="","",IF(J2711&lt;&gt;"",J2711,CuentaPred&amp;""))</f>
        <v/>
      </c>
      <c r="R2711" s="52">
        <f>IF(P2711="","",IF(ISNUMBER(I2711),I2711,TasaUSD))</f>
        <v/>
      </c>
      <c r="S2711" s="53">
        <f>IF(P2711="","",IF(H2711="USD",G2711*R2711,G2711))</f>
        <v/>
      </c>
      <c r="T2711" s="53">
        <f>IF(P2711="","",IF(H2711="USD",G2711,IF(R2711&gt;0,G2711/R2711,0)))</f>
        <v/>
      </c>
      <c r="U2711" s="53">
        <f>IF(P2711="","",IF(P2711="Gasto",S2711,IF(P2711="Reembolso",-S2711,0)))</f>
        <v/>
      </c>
      <c r="V2711" s="53">
        <f>IF(P2711="","",IF(P2711="Ingreso",S2711,0))</f>
        <v/>
      </c>
      <c r="W2711" s="53">
        <f>IF(P2711="","",IF(P2711="Resultado trading",S2711,0))</f>
        <v/>
      </c>
      <c r="X2711" s="52">
        <f>IF(OR(P2711="Gasto",P2711="Reembolso"),IF(M2711&lt;&gt;"",M2711,IFERROR(INDEX(catClasif,MATCH(D2711&amp;"|"&amp;E2711,catClave,0))&amp;"","Variable")),"")</f>
        <v/>
      </c>
      <c r="Y2711" s="52">
        <f>IF(P2711="","",IFERROR(INDEX(catGrupo,MATCH(D2711&amp;"|"&amp;E2711,catClave,0))&amp;"",""))</f>
        <v/>
      </c>
      <c r="Z2711" s="52">
        <f>IF(P2711="","",WEEKDAY(B2711,2))</f>
        <v/>
      </c>
      <c r="AA2711" s="52">
        <f>IF(P2711="","",IF(AND(P2711="Gasto",X2711="Variable",D2711&lt;&gt;catTrading,S2711&gt;0,S2711&lt;=Umbral),1,0))</f>
        <v/>
      </c>
      <c r="AB2711" s="52">
        <f>IF(OR(P2711="",Q2711=""),"",IFERROR(IF(INDEX(ctaVinc,MATCH(Q2711,ctaNombre,0))&amp;""&lt;&gt;"",INDEX(ctaVinc,MATCH(Q2711,ctaNombre,0))&amp;"",Q2711),Q2711))</f>
        <v/>
      </c>
      <c r="AC2711" s="52">
        <f>IF(OR(K2711="",AND(P2711&lt;&gt;"Transferencia",P2711&lt;&gt;"Pago tarjeta")),"",IFERROR(IF(INDEX(ctaVinc,MATCH(K2711,ctaNombre,0))&amp;""&lt;&gt;"",INDEX(ctaVinc,MATCH(K2711,ctaNombre,0))&amp;"",K2711),K2711))</f>
        <v/>
      </c>
      <c r="AD2711" s="52">
        <f>IF(AB2711="","",IFERROR(INDEX(ctaTipo,MATCH(AB2711,ctaNombre,0))&amp;"",""))</f>
        <v/>
      </c>
      <c r="AE2711" s="52">
        <f>IF(AC2711="","",IFERROR(INDEX(ctaTipo,MATCH(AC2711,ctaNombre,0))&amp;"",""))</f>
        <v/>
      </c>
      <c r="AF2711" s="53">
        <f>IF(OR(P2711="",AB2711=""),"",IF(OR(P2711="Gasto",P2711="Transferencia",P2711="Pago tarjeta"),-1,1)*IF(IFERROR(INDEX(ctaMoneda,MATCH(AB2711,ctaNombre,0))&amp;"","DOP")="USD",T2711,S2711))</f>
        <v/>
      </c>
      <c r="AG2711" s="53">
        <f>IF(AC2711="","",IF(IFERROR(INDEX(ctaMoneda,MATCH(AC2711,ctaNombre,0))&amp;"","DOP")="USD",T2711,S2711))</f>
        <v/>
      </c>
      <c r="AH2711" s="53">
        <f>IF(P2711="","",IF(AND(AD2711&lt;&gt;"",COUNTIFS(tcTipo,AD2711,tcLiq,"Sí")&gt;0),IF(OR(P2711="Gasto",P2711="Transferencia",P2711="Pago tarjeta"),-1,1)*S2711,0)+IF(AND(AE2711&lt;&gt;"",COUNTIFS(tcTipo,AE2711,tcLiq,"Sí")&gt;0),S2711,0))</f>
        <v/>
      </c>
      <c r="AI2711" s="52">
        <f>IF(OR(L2711="",P2711=""),"",IF(COUNTIFS(L$6:L2711,L2711,P$6:P2711,"?*")=1,MAX(AI$5:AI2710)+1,""))</f>
        <v/>
      </c>
    </row>
    <row r="2712">
      <c r="B2712" s="47" t="n"/>
      <c r="C2712" s="48" t="n"/>
      <c r="D2712" s="48" t="n"/>
      <c r="E2712" s="48" t="n"/>
      <c r="F2712" s="48" t="n"/>
      <c r="G2712" s="49" t="n"/>
      <c r="H2712" s="48" t="n"/>
      <c r="I2712" s="50" t="n"/>
      <c r="J2712" s="48" t="n"/>
      <c r="K2712" s="48" t="n"/>
      <c r="L2712" s="48" t="n"/>
      <c r="M2712" s="48" t="n"/>
      <c r="N2712" s="48" t="n"/>
      <c r="O2712" s="51">
        <f>IF(AND(B2712="",G2712="",C2712="",D2712="",J2712=""),"",IF(B2712="","⚠ Falta fecha",IF(G2712="","⚠ Falta monto",IF(Q2712="","⚠ Falta cuenta",IF(ISNA(MATCH(Q2712,ctaNombre,0)),"⚠ Cuenta no registrada",IF(AND(OR(P2712="Gasto",P2712="Reembolso"),D2712=""),"⚠ Falta categoría",IF(AND(D2712&lt;&gt;"",E2712&lt;&gt;"",ISNA(MATCH(D2712&amp;"|"&amp;E2712,catClave,0))),"⚠ Subcategoría no corresponde",IF(AND(OR(P2712="Transferencia",P2712="Pago tarjeta"),K2712=""),"⚠ Falta cuenta destino",IF(AND(K2712&lt;&gt;"",P2712&lt;&gt;"Transferencia",P2712&lt;&gt;"Pago tarjeta"),"⚠ Destino solo aplica a transferencias",IF(AND(K2712&lt;&gt;"",K2712=Q2712),"⚠ Origen igual a destino",IF(AND(K2712&lt;&gt;"",ISNA(MATCH(K2712,ctaNombre,0))),"⚠ Destino no registrado",IF(AND(P2712="Pago tarjeta",AE2712&lt;&gt;"Tarjeta de crédito"),"⚠ El destino debe ser tarjeta de crédito",IF(AND(P2712="Gasto",E2712="Depósitos y retiros"),"⚠ Usa tipo Transferencia",IF(AND(P2712="Resultado trading",AD2712&lt;&gt;"Cuenta de trading"),"⚠ Usa una cuenta de trading",IF(AND(G2712&lt;=0,P2712&lt;&gt;"Ajuste",P2712&lt;&gt;"Resultado trading"),"⚠ El monto debe ser positivo","✓")))))))))))))))</f>
        <v/>
      </c>
      <c r="P2712" s="52">
        <f>IF(OR(B2712="",G2712=""),"",IF(C2712="","Gasto",C2712))</f>
        <v/>
      </c>
      <c r="Q2712" s="52">
        <f>IF(P2712="","",IF(J2712&lt;&gt;"",J2712,CuentaPred&amp;""))</f>
        <v/>
      </c>
      <c r="R2712" s="52">
        <f>IF(P2712="","",IF(ISNUMBER(I2712),I2712,TasaUSD))</f>
        <v/>
      </c>
      <c r="S2712" s="53">
        <f>IF(P2712="","",IF(H2712="USD",G2712*R2712,G2712))</f>
        <v/>
      </c>
      <c r="T2712" s="53">
        <f>IF(P2712="","",IF(H2712="USD",G2712,IF(R2712&gt;0,G2712/R2712,0)))</f>
        <v/>
      </c>
      <c r="U2712" s="53">
        <f>IF(P2712="","",IF(P2712="Gasto",S2712,IF(P2712="Reembolso",-S2712,0)))</f>
        <v/>
      </c>
      <c r="V2712" s="53">
        <f>IF(P2712="","",IF(P2712="Ingreso",S2712,0))</f>
        <v/>
      </c>
      <c r="W2712" s="53">
        <f>IF(P2712="","",IF(P2712="Resultado trading",S2712,0))</f>
        <v/>
      </c>
      <c r="X2712" s="52">
        <f>IF(OR(P2712="Gasto",P2712="Reembolso"),IF(M2712&lt;&gt;"",M2712,IFERROR(INDEX(catClasif,MATCH(D2712&amp;"|"&amp;E2712,catClave,0))&amp;"","Variable")),"")</f>
        <v/>
      </c>
      <c r="Y2712" s="52">
        <f>IF(P2712="","",IFERROR(INDEX(catGrupo,MATCH(D2712&amp;"|"&amp;E2712,catClave,0))&amp;"",""))</f>
        <v/>
      </c>
      <c r="Z2712" s="52">
        <f>IF(P2712="","",WEEKDAY(B2712,2))</f>
        <v/>
      </c>
      <c r="AA2712" s="52">
        <f>IF(P2712="","",IF(AND(P2712="Gasto",X2712="Variable",D2712&lt;&gt;catTrading,S2712&gt;0,S2712&lt;=Umbral),1,0))</f>
        <v/>
      </c>
      <c r="AB2712" s="52">
        <f>IF(OR(P2712="",Q2712=""),"",IFERROR(IF(INDEX(ctaVinc,MATCH(Q2712,ctaNombre,0))&amp;""&lt;&gt;"",INDEX(ctaVinc,MATCH(Q2712,ctaNombre,0))&amp;"",Q2712),Q2712))</f>
        <v/>
      </c>
      <c r="AC2712" s="52">
        <f>IF(OR(K2712="",AND(P2712&lt;&gt;"Transferencia",P2712&lt;&gt;"Pago tarjeta")),"",IFERROR(IF(INDEX(ctaVinc,MATCH(K2712,ctaNombre,0))&amp;""&lt;&gt;"",INDEX(ctaVinc,MATCH(K2712,ctaNombre,0))&amp;"",K2712),K2712))</f>
        <v/>
      </c>
      <c r="AD2712" s="52">
        <f>IF(AB2712="","",IFERROR(INDEX(ctaTipo,MATCH(AB2712,ctaNombre,0))&amp;"",""))</f>
        <v/>
      </c>
      <c r="AE2712" s="52">
        <f>IF(AC2712="","",IFERROR(INDEX(ctaTipo,MATCH(AC2712,ctaNombre,0))&amp;"",""))</f>
        <v/>
      </c>
      <c r="AF2712" s="53">
        <f>IF(OR(P2712="",AB2712=""),"",IF(OR(P2712="Gasto",P2712="Transferencia",P2712="Pago tarjeta"),-1,1)*IF(IFERROR(INDEX(ctaMoneda,MATCH(AB2712,ctaNombre,0))&amp;"","DOP")="USD",T2712,S2712))</f>
        <v/>
      </c>
      <c r="AG2712" s="53">
        <f>IF(AC2712="","",IF(IFERROR(INDEX(ctaMoneda,MATCH(AC2712,ctaNombre,0))&amp;"","DOP")="USD",T2712,S2712))</f>
        <v/>
      </c>
      <c r="AH2712" s="53">
        <f>IF(P2712="","",IF(AND(AD2712&lt;&gt;"",COUNTIFS(tcTipo,AD2712,tcLiq,"Sí")&gt;0),IF(OR(P2712="Gasto",P2712="Transferencia",P2712="Pago tarjeta"),-1,1)*S2712,0)+IF(AND(AE2712&lt;&gt;"",COUNTIFS(tcTipo,AE2712,tcLiq,"Sí")&gt;0),S2712,0))</f>
        <v/>
      </c>
      <c r="AI2712" s="52">
        <f>IF(OR(L2712="",P2712=""),"",IF(COUNTIFS(L$6:L2712,L2712,P$6:P2712,"?*")=1,MAX(AI$5:AI2711)+1,""))</f>
        <v/>
      </c>
    </row>
    <row r="2713">
      <c r="B2713" s="47" t="n"/>
      <c r="C2713" s="48" t="n"/>
      <c r="D2713" s="48" t="n"/>
      <c r="E2713" s="48" t="n"/>
      <c r="F2713" s="48" t="n"/>
      <c r="G2713" s="49" t="n"/>
      <c r="H2713" s="48" t="n"/>
      <c r="I2713" s="50" t="n"/>
      <c r="J2713" s="48" t="n"/>
      <c r="K2713" s="48" t="n"/>
      <c r="L2713" s="48" t="n"/>
      <c r="M2713" s="48" t="n"/>
      <c r="N2713" s="48" t="n"/>
      <c r="O2713" s="51">
        <f>IF(AND(B2713="",G2713="",C2713="",D2713="",J2713=""),"",IF(B2713="","⚠ Falta fecha",IF(G2713="","⚠ Falta monto",IF(Q2713="","⚠ Falta cuenta",IF(ISNA(MATCH(Q2713,ctaNombre,0)),"⚠ Cuenta no registrada",IF(AND(OR(P2713="Gasto",P2713="Reembolso"),D2713=""),"⚠ Falta categoría",IF(AND(D2713&lt;&gt;"",E2713&lt;&gt;"",ISNA(MATCH(D2713&amp;"|"&amp;E2713,catClave,0))),"⚠ Subcategoría no corresponde",IF(AND(OR(P2713="Transferencia",P2713="Pago tarjeta"),K2713=""),"⚠ Falta cuenta destino",IF(AND(K2713&lt;&gt;"",P2713&lt;&gt;"Transferencia",P2713&lt;&gt;"Pago tarjeta"),"⚠ Destino solo aplica a transferencias",IF(AND(K2713&lt;&gt;"",K2713=Q2713),"⚠ Origen igual a destino",IF(AND(K2713&lt;&gt;"",ISNA(MATCH(K2713,ctaNombre,0))),"⚠ Destino no registrado",IF(AND(P2713="Pago tarjeta",AE2713&lt;&gt;"Tarjeta de crédito"),"⚠ El destino debe ser tarjeta de crédito",IF(AND(P2713="Gasto",E2713="Depósitos y retiros"),"⚠ Usa tipo Transferencia",IF(AND(P2713="Resultado trading",AD2713&lt;&gt;"Cuenta de trading"),"⚠ Usa una cuenta de trading",IF(AND(G2713&lt;=0,P2713&lt;&gt;"Ajuste",P2713&lt;&gt;"Resultado trading"),"⚠ El monto debe ser positivo","✓")))))))))))))))</f>
        <v/>
      </c>
      <c r="P2713" s="52">
        <f>IF(OR(B2713="",G2713=""),"",IF(C2713="","Gasto",C2713))</f>
        <v/>
      </c>
      <c r="Q2713" s="52">
        <f>IF(P2713="","",IF(J2713&lt;&gt;"",J2713,CuentaPred&amp;""))</f>
        <v/>
      </c>
      <c r="R2713" s="52">
        <f>IF(P2713="","",IF(ISNUMBER(I2713),I2713,TasaUSD))</f>
        <v/>
      </c>
      <c r="S2713" s="53">
        <f>IF(P2713="","",IF(H2713="USD",G2713*R2713,G2713))</f>
        <v/>
      </c>
      <c r="T2713" s="53">
        <f>IF(P2713="","",IF(H2713="USD",G2713,IF(R2713&gt;0,G2713/R2713,0)))</f>
        <v/>
      </c>
      <c r="U2713" s="53">
        <f>IF(P2713="","",IF(P2713="Gasto",S2713,IF(P2713="Reembolso",-S2713,0)))</f>
        <v/>
      </c>
      <c r="V2713" s="53">
        <f>IF(P2713="","",IF(P2713="Ingreso",S2713,0))</f>
        <v/>
      </c>
      <c r="W2713" s="53">
        <f>IF(P2713="","",IF(P2713="Resultado trading",S2713,0))</f>
        <v/>
      </c>
      <c r="X2713" s="52">
        <f>IF(OR(P2713="Gasto",P2713="Reembolso"),IF(M2713&lt;&gt;"",M2713,IFERROR(INDEX(catClasif,MATCH(D2713&amp;"|"&amp;E2713,catClave,0))&amp;"","Variable")),"")</f>
        <v/>
      </c>
      <c r="Y2713" s="52">
        <f>IF(P2713="","",IFERROR(INDEX(catGrupo,MATCH(D2713&amp;"|"&amp;E2713,catClave,0))&amp;"",""))</f>
        <v/>
      </c>
      <c r="Z2713" s="52">
        <f>IF(P2713="","",WEEKDAY(B2713,2))</f>
        <v/>
      </c>
      <c r="AA2713" s="52">
        <f>IF(P2713="","",IF(AND(P2713="Gasto",X2713="Variable",D2713&lt;&gt;catTrading,S2713&gt;0,S2713&lt;=Umbral),1,0))</f>
        <v/>
      </c>
      <c r="AB2713" s="52">
        <f>IF(OR(P2713="",Q2713=""),"",IFERROR(IF(INDEX(ctaVinc,MATCH(Q2713,ctaNombre,0))&amp;""&lt;&gt;"",INDEX(ctaVinc,MATCH(Q2713,ctaNombre,0))&amp;"",Q2713),Q2713))</f>
        <v/>
      </c>
      <c r="AC2713" s="52">
        <f>IF(OR(K2713="",AND(P2713&lt;&gt;"Transferencia",P2713&lt;&gt;"Pago tarjeta")),"",IFERROR(IF(INDEX(ctaVinc,MATCH(K2713,ctaNombre,0))&amp;""&lt;&gt;"",INDEX(ctaVinc,MATCH(K2713,ctaNombre,0))&amp;"",K2713),K2713))</f>
        <v/>
      </c>
      <c r="AD2713" s="52">
        <f>IF(AB2713="","",IFERROR(INDEX(ctaTipo,MATCH(AB2713,ctaNombre,0))&amp;"",""))</f>
        <v/>
      </c>
      <c r="AE2713" s="52">
        <f>IF(AC2713="","",IFERROR(INDEX(ctaTipo,MATCH(AC2713,ctaNombre,0))&amp;"",""))</f>
        <v/>
      </c>
      <c r="AF2713" s="53">
        <f>IF(OR(P2713="",AB2713=""),"",IF(OR(P2713="Gasto",P2713="Transferencia",P2713="Pago tarjeta"),-1,1)*IF(IFERROR(INDEX(ctaMoneda,MATCH(AB2713,ctaNombre,0))&amp;"","DOP")="USD",T2713,S2713))</f>
        <v/>
      </c>
      <c r="AG2713" s="53">
        <f>IF(AC2713="","",IF(IFERROR(INDEX(ctaMoneda,MATCH(AC2713,ctaNombre,0))&amp;"","DOP")="USD",T2713,S2713))</f>
        <v/>
      </c>
      <c r="AH2713" s="53">
        <f>IF(P2713="","",IF(AND(AD2713&lt;&gt;"",COUNTIFS(tcTipo,AD2713,tcLiq,"Sí")&gt;0),IF(OR(P2713="Gasto",P2713="Transferencia",P2713="Pago tarjeta"),-1,1)*S2713,0)+IF(AND(AE2713&lt;&gt;"",COUNTIFS(tcTipo,AE2713,tcLiq,"Sí")&gt;0),S2713,0))</f>
        <v/>
      </c>
      <c r="AI2713" s="52">
        <f>IF(OR(L2713="",P2713=""),"",IF(COUNTIFS(L$6:L2713,L2713,P$6:P2713,"?*")=1,MAX(AI$5:AI2712)+1,""))</f>
        <v/>
      </c>
    </row>
    <row r="2714">
      <c r="B2714" s="47" t="n"/>
      <c r="C2714" s="48" t="n"/>
      <c r="D2714" s="48" t="n"/>
      <c r="E2714" s="48" t="n"/>
      <c r="F2714" s="48" t="n"/>
      <c r="G2714" s="49" t="n"/>
      <c r="H2714" s="48" t="n"/>
      <c r="I2714" s="50" t="n"/>
      <c r="J2714" s="48" t="n"/>
      <c r="K2714" s="48" t="n"/>
      <c r="L2714" s="48" t="n"/>
      <c r="M2714" s="48" t="n"/>
      <c r="N2714" s="48" t="n"/>
      <c r="O2714" s="51">
        <f>IF(AND(B2714="",G2714="",C2714="",D2714="",J2714=""),"",IF(B2714="","⚠ Falta fecha",IF(G2714="","⚠ Falta monto",IF(Q2714="","⚠ Falta cuenta",IF(ISNA(MATCH(Q2714,ctaNombre,0)),"⚠ Cuenta no registrada",IF(AND(OR(P2714="Gasto",P2714="Reembolso"),D2714=""),"⚠ Falta categoría",IF(AND(D2714&lt;&gt;"",E2714&lt;&gt;"",ISNA(MATCH(D2714&amp;"|"&amp;E2714,catClave,0))),"⚠ Subcategoría no corresponde",IF(AND(OR(P2714="Transferencia",P2714="Pago tarjeta"),K2714=""),"⚠ Falta cuenta destino",IF(AND(K2714&lt;&gt;"",P2714&lt;&gt;"Transferencia",P2714&lt;&gt;"Pago tarjeta"),"⚠ Destino solo aplica a transferencias",IF(AND(K2714&lt;&gt;"",K2714=Q2714),"⚠ Origen igual a destino",IF(AND(K2714&lt;&gt;"",ISNA(MATCH(K2714,ctaNombre,0))),"⚠ Destino no registrado",IF(AND(P2714="Pago tarjeta",AE2714&lt;&gt;"Tarjeta de crédito"),"⚠ El destino debe ser tarjeta de crédito",IF(AND(P2714="Gasto",E2714="Depósitos y retiros"),"⚠ Usa tipo Transferencia",IF(AND(P2714="Resultado trading",AD2714&lt;&gt;"Cuenta de trading"),"⚠ Usa una cuenta de trading",IF(AND(G2714&lt;=0,P2714&lt;&gt;"Ajuste",P2714&lt;&gt;"Resultado trading"),"⚠ El monto debe ser positivo","✓")))))))))))))))</f>
        <v/>
      </c>
      <c r="P2714" s="52">
        <f>IF(OR(B2714="",G2714=""),"",IF(C2714="","Gasto",C2714))</f>
        <v/>
      </c>
      <c r="Q2714" s="52">
        <f>IF(P2714="","",IF(J2714&lt;&gt;"",J2714,CuentaPred&amp;""))</f>
        <v/>
      </c>
      <c r="R2714" s="52">
        <f>IF(P2714="","",IF(ISNUMBER(I2714),I2714,TasaUSD))</f>
        <v/>
      </c>
      <c r="S2714" s="53">
        <f>IF(P2714="","",IF(H2714="USD",G2714*R2714,G2714))</f>
        <v/>
      </c>
      <c r="T2714" s="53">
        <f>IF(P2714="","",IF(H2714="USD",G2714,IF(R2714&gt;0,G2714/R2714,0)))</f>
        <v/>
      </c>
      <c r="U2714" s="53">
        <f>IF(P2714="","",IF(P2714="Gasto",S2714,IF(P2714="Reembolso",-S2714,0)))</f>
        <v/>
      </c>
      <c r="V2714" s="53">
        <f>IF(P2714="","",IF(P2714="Ingreso",S2714,0))</f>
        <v/>
      </c>
      <c r="W2714" s="53">
        <f>IF(P2714="","",IF(P2714="Resultado trading",S2714,0))</f>
        <v/>
      </c>
      <c r="X2714" s="52">
        <f>IF(OR(P2714="Gasto",P2714="Reembolso"),IF(M2714&lt;&gt;"",M2714,IFERROR(INDEX(catClasif,MATCH(D2714&amp;"|"&amp;E2714,catClave,0))&amp;"","Variable")),"")</f>
        <v/>
      </c>
      <c r="Y2714" s="52">
        <f>IF(P2714="","",IFERROR(INDEX(catGrupo,MATCH(D2714&amp;"|"&amp;E2714,catClave,0))&amp;"",""))</f>
        <v/>
      </c>
      <c r="Z2714" s="52">
        <f>IF(P2714="","",WEEKDAY(B2714,2))</f>
        <v/>
      </c>
      <c r="AA2714" s="52">
        <f>IF(P2714="","",IF(AND(P2714="Gasto",X2714="Variable",D2714&lt;&gt;catTrading,S2714&gt;0,S2714&lt;=Umbral),1,0))</f>
        <v/>
      </c>
      <c r="AB2714" s="52">
        <f>IF(OR(P2714="",Q2714=""),"",IFERROR(IF(INDEX(ctaVinc,MATCH(Q2714,ctaNombre,0))&amp;""&lt;&gt;"",INDEX(ctaVinc,MATCH(Q2714,ctaNombre,0))&amp;"",Q2714),Q2714))</f>
        <v/>
      </c>
      <c r="AC2714" s="52">
        <f>IF(OR(K2714="",AND(P2714&lt;&gt;"Transferencia",P2714&lt;&gt;"Pago tarjeta")),"",IFERROR(IF(INDEX(ctaVinc,MATCH(K2714,ctaNombre,0))&amp;""&lt;&gt;"",INDEX(ctaVinc,MATCH(K2714,ctaNombre,0))&amp;"",K2714),K2714))</f>
        <v/>
      </c>
      <c r="AD2714" s="52">
        <f>IF(AB2714="","",IFERROR(INDEX(ctaTipo,MATCH(AB2714,ctaNombre,0))&amp;"",""))</f>
        <v/>
      </c>
      <c r="AE2714" s="52">
        <f>IF(AC2714="","",IFERROR(INDEX(ctaTipo,MATCH(AC2714,ctaNombre,0))&amp;"",""))</f>
        <v/>
      </c>
      <c r="AF2714" s="53">
        <f>IF(OR(P2714="",AB2714=""),"",IF(OR(P2714="Gasto",P2714="Transferencia",P2714="Pago tarjeta"),-1,1)*IF(IFERROR(INDEX(ctaMoneda,MATCH(AB2714,ctaNombre,0))&amp;"","DOP")="USD",T2714,S2714))</f>
        <v/>
      </c>
      <c r="AG2714" s="53">
        <f>IF(AC2714="","",IF(IFERROR(INDEX(ctaMoneda,MATCH(AC2714,ctaNombre,0))&amp;"","DOP")="USD",T2714,S2714))</f>
        <v/>
      </c>
      <c r="AH2714" s="53">
        <f>IF(P2714="","",IF(AND(AD2714&lt;&gt;"",COUNTIFS(tcTipo,AD2714,tcLiq,"Sí")&gt;0),IF(OR(P2714="Gasto",P2714="Transferencia",P2714="Pago tarjeta"),-1,1)*S2714,0)+IF(AND(AE2714&lt;&gt;"",COUNTIFS(tcTipo,AE2714,tcLiq,"Sí")&gt;0),S2714,0))</f>
        <v/>
      </c>
      <c r="AI2714" s="52">
        <f>IF(OR(L2714="",P2714=""),"",IF(COUNTIFS(L$6:L2714,L2714,P$6:P2714,"?*")=1,MAX(AI$5:AI2713)+1,""))</f>
        <v/>
      </c>
    </row>
    <row r="2715">
      <c r="B2715" s="47" t="n"/>
      <c r="C2715" s="48" t="n"/>
      <c r="D2715" s="48" t="n"/>
      <c r="E2715" s="48" t="n"/>
      <c r="F2715" s="48" t="n"/>
      <c r="G2715" s="49" t="n"/>
      <c r="H2715" s="48" t="n"/>
      <c r="I2715" s="50" t="n"/>
      <c r="J2715" s="48" t="n"/>
      <c r="K2715" s="48" t="n"/>
      <c r="L2715" s="48" t="n"/>
      <c r="M2715" s="48" t="n"/>
      <c r="N2715" s="48" t="n"/>
      <c r="O2715" s="51">
        <f>IF(AND(B2715="",G2715="",C2715="",D2715="",J2715=""),"",IF(B2715="","⚠ Falta fecha",IF(G2715="","⚠ Falta monto",IF(Q2715="","⚠ Falta cuenta",IF(ISNA(MATCH(Q2715,ctaNombre,0)),"⚠ Cuenta no registrada",IF(AND(OR(P2715="Gasto",P2715="Reembolso"),D2715=""),"⚠ Falta categoría",IF(AND(D2715&lt;&gt;"",E2715&lt;&gt;"",ISNA(MATCH(D2715&amp;"|"&amp;E2715,catClave,0))),"⚠ Subcategoría no corresponde",IF(AND(OR(P2715="Transferencia",P2715="Pago tarjeta"),K2715=""),"⚠ Falta cuenta destino",IF(AND(K2715&lt;&gt;"",P2715&lt;&gt;"Transferencia",P2715&lt;&gt;"Pago tarjeta"),"⚠ Destino solo aplica a transferencias",IF(AND(K2715&lt;&gt;"",K2715=Q2715),"⚠ Origen igual a destino",IF(AND(K2715&lt;&gt;"",ISNA(MATCH(K2715,ctaNombre,0))),"⚠ Destino no registrado",IF(AND(P2715="Pago tarjeta",AE2715&lt;&gt;"Tarjeta de crédito"),"⚠ El destino debe ser tarjeta de crédito",IF(AND(P2715="Gasto",E2715="Depósitos y retiros"),"⚠ Usa tipo Transferencia",IF(AND(P2715="Resultado trading",AD2715&lt;&gt;"Cuenta de trading"),"⚠ Usa una cuenta de trading",IF(AND(G2715&lt;=0,P2715&lt;&gt;"Ajuste",P2715&lt;&gt;"Resultado trading"),"⚠ El monto debe ser positivo","✓")))))))))))))))</f>
        <v/>
      </c>
      <c r="P2715" s="52">
        <f>IF(OR(B2715="",G2715=""),"",IF(C2715="","Gasto",C2715))</f>
        <v/>
      </c>
      <c r="Q2715" s="52">
        <f>IF(P2715="","",IF(J2715&lt;&gt;"",J2715,CuentaPred&amp;""))</f>
        <v/>
      </c>
      <c r="R2715" s="52">
        <f>IF(P2715="","",IF(ISNUMBER(I2715),I2715,TasaUSD))</f>
        <v/>
      </c>
      <c r="S2715" s="53">
        <f>IF(P2715="","",IF(H2715="USD",G2715*R2715,G2715))</f>
        <v/>
      </c>
      <c r="T2715" s="53">
        <f>IF(P2715="","",IF(H2715="USD",G2715,IF(R2715&gt;0,G2715/R2715,0)))</f>
        <v/>
      </c>
      <c r="U2715" s="53">
        <f>IF(P2715="","",IF(P2715="Gasto",S2715,IF(P2715="Reembolso",-S2715,0)))</f>
        <v/>
      </c>
      <c r="V2715" s="53">
        <f>IF(P2715="","",IF(P2715="Ingreso",S2715,0))</f>
        <v/>
      </c>
      <c r="W2715" s="53">
        <f>IF(P2715="","",IF(P2715="Resultado trading",S2715,0))</f>
        <v/>
      </c>
      <c r="X2715" s="52">
        <f>IF(OR(P2715="Gasto",P2715="Reembolso"),IF(M2715&lt;&gt;"",M2715,IFERROR(INDEX(catClasif,MATCH(D2715&amp;"|"&amp;E2715,catClave,0))&amp;"","Variable")),"")</f>
        <v/>
      </c>
      <c r="Y2715" s="52">
        <f>IF(P2715="","",IFERROR(INDEX(catGrupo,MATCH(D2715&amp;"|"&amp;E2715,catClave,0))&amp;"",""))</f>
        <v/>
      </c>
      <c r="Z2715" s="52">
        <f>IF(P2715="","",WEEKDAY(B2715,2))</f>
        <v/>
      </c>
      <c r="AA2715" s="52">
        <f>IF(P2715="","",IF(AND(P2715="Gasto",X2715="Variable",D2715&lt;&gt;catTrading,S2715&gt;0,S2715&lt;=Umbral),1,0))</f>
        <v/>
      </c>
      <c r="AB2715" s="52">
        <f>IF(OR(P2715="",Q2715=""),"",IFERROR(IF(INDEX(ctaVinc,MATCH(Q2715,ctaNombre,0))&amp;""&lt;&gt;"",INDEX(ctaVinc,MATCH(Q2715,ctaNombre,0))&amp;"",Q2715),Q2715))</f>
        <v/>
      </c>
      <c r="AC2715" s="52">
        <f>IF(OR(K2715="",AND(P2715&lt;&gt;"Transferencia",P2715&lt;&gt;"Pago tarjeta")),"",IFERROR(IF(INDEX(ctaVinc,MATCH(K2715,ctaNombre,0))&amp;""&lt;&gt;"",INDEX(ctaVinc,MATCH(K2715,ctaNombre,0))&amp;"",K2715),K2715))</f>
        <v/>
      </c>
      <c r="AD2715" s="52">
        <f>IF(AB2715="","",IFERROR(INDEX(ctaTipo,MATCH(AB2715,ctaNombre,0))&amp;"",""))</f>
        <v/>
      </c>
      <c r="AE2715" s="52">
        <f>IF(AC2715="","",IFERROR(INDEX(ctaTipo,MATCH(AC2715,ctaNombre,0))&amp;"",""))</f>
        <v/>
      </c>
      <c r="AF2715" s="53">
        <f>IF(OR(P2715="",AB2715=""),"",IF(OR(P2715="Gasto",P2715="Transferencia",P2715="Pago tarjeta"),-1,1)*IF(IFERROR(INDEX(ctaMoneda,MATCH(AB2715,ctaNombre,0))&amp;"","DOP")="USD",T2715,S2715))</f>
        <v/>
      </c>
      <c r="AG2715" s="53">
        <f>IF(AC2715="","",IF(IFERROR(INDEX(ctaMoneda,MATCH(AC2715,ctaNombre,0))&amp;"","DOP")="USD",T2715,S2715))</f>
        <v/>
      </c>
      <c r="AH2715" s="53">
        <f>IF(P2715="","",IF(AND(AD2715&lt;&gt;"",COUNTIFS(tcTipo,AD2715,tcLiq,"Sí")&gt;0),IF(OR(P2715="Gasto",P2715="Transferencia",P2715="Pago tarjeta"),-1,1)*S2715,0)+IF(AND(AE2715&lt;&gt;"",COUNTIFS(tcTipo,AE2715,tcLiq,"Sí")&gt;0),S2715,0))</f>
        <v/>
      </c>
      <c r="AI2715" s="52">
        <f>IF(OR(L2715="",P2715=""),"",IF(COUNTIFS(L$6:L2715,L2715,P$6:P2715,"?*")=1,MAX(AI$5:AI2714)+1,""))</f>
        <v/>
      </c>
    </row>
    <row r="2716">
      <c r="B2716" s="47" t="n"/>
      <c r="C2716" s="48" t="n"/>
      <c r="D2716" s="48" t="n"/>
      <c r="E2716" s="48" t="n"/>
      <c r="F2716" s="48" t="n"/>
      <c r="G2716" s="49" t="n"/>
      <c r="H2716" s="48" t="n"/>
      <c r="I2716" s="50" t="n"/>
      <c r="J2716" s="48" t="n"/>
      <c r="K2716" s="48" t="n"/>
      <c r="L2716" s="48" t="n"/>
      <c r="M2716" s="48" t="n"/>
      <c r="N2716" s="48" t="n"/>
      <c r="O2716" s="51">
        <f>IF(AND(B2716="",G2716="",C2716="",D2716="",J2716=""),"",IF(B2716="","⚠ Falta fecha",IF(G2716="","⚠ Falta monto",IF(Q2716="","⚠ Falta cuenta",IF(ISNA(MATCH(Q2716,ctaNombre,0)),"⚠ Cuenta no registrada",IF(AND(OR(P2716="Gasto",P2716="Reembolso"),D2716=""),"⚠ Falta categoría",IF(AND(D2716&lt;&gt;"",E2716&lt;&gt;"",ISNA(MATCH(D2716&amp;"|"&amp;E2716,catClave,0))),"⚠ Subcategoría no corresponde",IF(AND(OR(P2716="Transferencia",P2716="Pago tarjeta"),K2716=""),"⚠ Falta cuenta destino",IF(AND(K2716&lt;&gt;"",P2716&lt;&gt;"Transferencia",P2716&lt;&gt;"Pago tarjeta"),"⚠ Destino solo aplica a transferencias",IF(AND(K2716&lt;&gt;"",K2716=Q2716),"⚠ Origen igual a destino",IF(AND(K2716&lt;&gt;"",ISNA(MATCH(K2716,ctaNombre,0))),"⚠ Destino no registrado",IF(AND(P2716="Pago tarjeta",AE2716&lt;&gt;"Tarjeta de crédito"),"⚠ El destino debe ser tarjeta de crédito",IF(AND(P2716="Gasto",E2716="Depósitos y retiros"),"⚠ Usa tipo Transferencia",IF(AND(P2716="Resultado trading",AD2716&lt;&gt;"Cuenta de trading"),"⚠ Usa una cuenta de trading",IF(AND(G2716&lt;=0,P2716&lt;&gt;"Ajuste",P2716&lt;&gt;"Resultado trading"),"⚠ El monto debe ser positivo","✓")))))))))))))))</f>
        <v/>
      </c>
      <c r="P2716" s="52">
        <f>IF(OR(B2716="",G2716=""),"",IF(C2716="","Gasto",C2716))</f>
        <v/>
      </c>
      <c r="Q2716" s="52">
        <f>IF(P2716="","",IF(J2716&lt;&gt;"",J2716,CuentaPred&amp;""))</f>
        <v/>
      </c>
      <c r="R2716" s="52">
        <f>IF(P2716="","",IF(ISNUMBER(I2716),I2716,TasaUSD))</f>
        <v/>
      </c>
      <c r="S2716" s="53">
        <f>IF(P2716="","",IF(H2716="USD",G2716*R2716,G2716))</f>
        <v/>
      </c>
      <c r="T2716" s="53">
        <f>IF(P2716="","",IF(H2716="USD",G2716,IF(R2716&gt;0,G2716/R2716,0)))</f>
        <v/>
      </c>
      <c r="U2716" s="53">
        <f>IF(P2716="","",IF(P2716="Gasto",S2716,IF(P2716="Reembolso",-S2716,0)))</f>
        <v/>
      </c>
      <c r="V2716" s="53">
        <f>IF(P2716="","",IF(P2716="Ingreso",S2716,0))</f>
        <v/>
      </c>
      <c r="W2716" s="53">
        <f>IF(P2716="","",IF(P2716="Resultado trading",S2716,0))</f>
        <v/>
      </c>
      <c r="X2716" s="52">
        <f>IF(OR(P2716="Gasto",P2716="Reembolso"),IF(M2716&lt;&gt;"",M2716,IFERROR(INDEX(catClasif,MATCH(D2716&amp;"|"&amp;E2716,catClave,0))&amp;"","Variable")),"")</f>
        <v/>
      </c>
      <c r="Y2716" s="52">
        <f>IF(P2716="","",IFERROR(INDEX(catGrupo,MATCH(D2716&amp;"|"&amp;E2716,catClave,0))&amp;"",""))</f>
        <v/>
      </c>
      <c r="Z2716" s="52">
        <f>IF(P2716="","",WEEKDAY(B2716,2))</f>
        <v/>
      </c>
      <c r="AA2716" s="52">
        <f>IF(P2716="","",IF(AND(P2716="Gasto",X2716="Variable",D2716&lt;&gt;catTrading,S2716&gt;0,S2716&lt;=Umbral),1,0))</f>
        <v/>
      </c>
      <c r="AB2716" s="52">
        <f>IF(OR(P2716="",Q2716=""),"",IFERROR(IF(INDEX(ctaVinc,MATCH(Q2716,ctaNombre,0))&amp;""&lt;&gt;"",INDEX(ctaVinc,MATCH(Q2716,ctaNombre,0))&amp;"",Q2716),Q2716))</f>
        <v/>
      </c>
      <c r="AC2716" s="52">
        <f>IF(OR(K2716="",AND(P2716&lt;&gt;"Transferencia",P2716&lt;&gt;"Pago tarjeta")),"",IFERROR(IF(INDEX(ctaVinc,MATCH(K2716,ctaNombre,0))&amp;""&lt;&gt;"",INDEX(ctaVinc,MATCH(K2716,ctaNombre,0))&amp;"",K2716),K2716))</f>
        <v/>
      </c>
      <c r="AD2716" s="52">
        <f>IF(AB2716="","",IFERROR(INDEX(ctaTipo,MATCH(AB2716,ctaNombre,0))&amp;"",""))</f>
        <v/>
      </c>
      <c r="AE2716" s="52">
        <f>IF(AC2716="","",IFERROR(INDEX(ctaTipo,MATCH(AC2716,ctaNombre,0))&amp;"",""))</f>
        <v/>
      </c>
      <c r="AF2716" s="53">
        <f>IF(OR(P2716="",AB2716=""),"",IF(OR(P2716="Gasto",P2716="Transferencia",P2716="Pago tarjeta"),-1,1)*IF(IFERROR(INDEX(ctaMoneda,MATCH(AB2716,ctaNombre,0))&amp;"","DOP")="USD",T2716,S2716))</f>
        <v/>
      </c>
      <c r="AG2716" s="53">
        <f>IF(AC2716="","",IF(IFERROR(INDEX(ctaMoneda,MATCH(AC2716,ctaNombre,0))&amp;"","DOP")="USD",T2716,S2716))</f>
        <v/>
      </c>
      <c r="AH2716" s="53">
        <f>IF(P2716="","",IF(AND(AD2716&lt;&gt;"",COUNTIFS(tcTipo,AD2716,tcLiq,"Sí")&gt;0),IF(OR(P2716="Gasto",P2716="Transferencia",P2716="Pago tarjeta"),-1,1)*S2716,0)+IF(AND(AE2716&lt;&gt;"",COUNTIFS(tcTipo,AE2716,tcLiq,"Sí")&gt;0),S2716,0))</f>
        <v/>
      </c>
      <c r="AI2716" s="52">
        <f>IF(OR(L2716="",P2716=""),"",IF(COUNTIFS(L$6:L2716,L2716,P$6:P2716,"?*")=1,MAX(AI$5:AI2715)+1,""))</f>
        <v/>
      </c>
    </row>
    <row r="2717">
      <c r="B2717" s="47" t="n"/>
      <c r="C2717" s="48" t="n"/>
      <c r="D2717" s="48" t="n"/>
      <c r="E2717" s="48" t="n"/>
      <c r="F2717" s="48" t="n"/>
      <c r="G2717" s="49" t="n"/>
      <c r="H2717" s="48" t="n"/>
      <c r="I2717" s="50" t="n"/>
      <c r="J2717" s="48" t="n"/>
      <c r="K2717" s="48" t="n"/>
      <c r="L2717" s="48" t="n"/>
      <c r="M2717" s="48" t="n"/>
      <c r="N2717" s="48" t="n"/>
      <c r="O2717" s="51">
        <f>IF(AND(B2717="",G2717="",C2717="",D2717="",J2717=""),"",IF(B2717="","⚠ Falta fecha",IF(G2717="","⚠ Falta monto",IF(Q2717="","⚠ Falta cuenta",IF(ISNA(MATCH(Q2717,ctaNombre,0)),"⚠ Cuenta no registrada",IF(AND(OR(P2717="Gasto",P2717="Reembolso"),D2717=""),"⚠ Falta categoría",IF(AND(D2717&lt;&gt;"",E2717&lt;&gt;"",ISNA(MATCH(D2717&amp;"|"&amp;E2717,catClave,0))),"⚠ Subcategoría no corresponde",IF(AND(OR(P2717="Transferencia",P2717="Pago tarjeta"),K2717=""),"⚠ Falta cuenta destino",IF(AND(K2717&lt;&gt;"",P2717&lt;&gt;"Transferencia",P2717&lt;&gt;"Pago tarjeta"),"⚠ Destino solo aplica a transferencias",IF(AND(K2717&lt;&gt;"",K2717=Q2717),"⚠ Origen igual a destino",IF(AND(K2717&lt;&gt;"",ISNA(MATCH(K2717,ctaNombre,0))),"⚠ Destino no registrado",IF(AND(P2717="Pago tarjeta",AE2717&lt;&gt;"Tarjeta de crédito"),"⚠ El destino debe ser tarjeta de crédito",IF(AND(P2717="Gasto",E2717="Depósitos y retiros"),"⚠ Usa tipo Transferencia",IF(AND(P2717="Resultado trading",AD2717&lt;&gt;"Cuenta de trading"),"⚠ Usa una cuenta de trading",IF(AND(G2717&lt;=0,P2717&lt;&gt;"Ajuste",P2717&lt;&gt;"Resultado trading"),"⚠ El monto debe ser positivo","✓")))))))))))))))</f>
        <v/>
      </c>
      <c r="P2717" s="52">
        <f>IF(OR(B2717="",G2717=""),"",IF(C2717="","Gasto",C2717))</f>
        <v/>
      </c>
      <c r="Q2717" s="52">
        <f>IF(P2717="","",IF(J2717&lt;&gt;"",J2717,CuentaPred&amp;""))</f>
        <v/>
      </c>
      <c r="R2717" s="52">
        <f>IF(P2717="","",IF(ISNUMBER(I2717),I2717,TasaUSD))</f>
        <v/>
      </c>
      <c r="S2717" s="53">
        <f>IF(P2717="","",IF(H2717="USD",G2717*R2717,G2717))</f>
        <v/>
      </c>
      <c r="T2717" s="53">
        <f>IF(P2717="","",IF(H2717="USD",G2717,IF(R2717&gt;0,G2717/R2717,0)))</f>
        <v/>
      </c>
      <c r="U2717" s="53">
        <f>IF(P2717="","",IF(P2717="Gasto",S2717,IF(P2717="Reembolso",-S2717,0)))</f>
        <v/>
      </c>
      <c r="V2717" s="53">
        <f>IF(P2717="","",IF(P2717="Ingreso",S2717,0))</f>
        <v/>
      </c>
      <c r="W2717" s="53">
        <f>IF(P2717="","",IF(P2717="Resultado trading",S2717,0))</f>
        <v/>
      </c>
      <c r="X2717" s="52">
        <f>IF(OR(P2717="Gasto",P2717="Reembolso"),IF(M2717&lt;&gt;"",M2717,IFERROR(INDEX(catClasif,MATCH(D2717&amp;"|"&amp;E2717,catClave,0))&amp;"","Variable")),"")</f>
        <v/>
      </c>
      <c r="Y2717" s="52">
        <f>IF(P2717="","",IFERROR(INDEX(catGrupo,MATCH(D2717&amp;"|"&amp;E2717,catClave,0))&amp;"",""))</f>
        <v/>
      </c>
      <c r="Z2717" s="52">
        <f>IF(P2717="","",WEEKDAY(B2717,2))</f>
        <v/>
      </c>
      <c r="AA2717" s="52">
        <f>IF(P2717="","",IF(AND(P2717="Gasto",X2717="Variable",D2717&lt;&gt;catTrading,S2717&gt;0,S2717&lt;=Umbral),1,0))</f>
        <v/>
      </c>
      <c r="AB2717" s="52">
        <f>IF(OR(P2717="",Q2717=""),"",IFERROR(IF(INDEX(ctaVinc,MATCH(Q2717,ctaNombre,0))&amp;""&lt;&gt;"",INDEX(ctaVinc,MATCH(Q2717,ctaNombre,0))&amp;"",Q2717),Q2717))</f>
        <v/>
      </c>
      <c r="AC2717" s="52">
        <f>IF(OR(K2717="",AND(P2717&lt;&gt;"Transferencia",P2717&lt;&gt;"Pago tarjeta")),"",IFERROR(IF(INDEX(ctaVinc,MATCH(K2717,ctaNombre,0))&amp;""&lt;&gt;"",INDEX(ctaVinc,MATCH(K2717,ctaNombre,0))&amp;"",K2717),K2717))</f>
        <v/>
      </c>
      <c r="AD2717" s="52">
        <f>IF(AB2717="","",IFERROR(INDEX(ctaTipo,MATCH(AB2717,ctaNombre,0))&amp;"",""))</f>
        <v/>
      </c>
      <c r="AE2717" s="52">
        <f>IF(AC2717="","",IFERROR(INDEX(ctaTipo,MATCH(AC2717,ctaNombre,0))&amp;"",""))</f>
        <v/>
      </c>
      <c r="AF2717" s="53">
        <f>IF(OR(P2717="",AB2717=""),"",IF(OR(P2717="Gasto",P2717="Transferencia",P2717="Pago tarjeta"),-1,1)*IF(IFERROR(INDEX(ctaMoneda,MATCH(AB2717,ctaNombre,0))&amp;"","DOP")="USD",T2717,S2717))</f>
        <v/>
      </c>
      <c r="AG2717" s="53">
        <f>IF(AC2717="","",IF(IFERROR(INDEX(ctaMoneda,MATCH(AC2717,ctaNombre,0))&amp;"","DOP")="USD",T2717,S2717))</f>
        <v/>
      </c>
      <c r="AH2717" s="53">
        <f>IF(P2717="","",IF(AND(AD2717&lt;&gt;"",COUNTIFS(tcTipo,AD2717,tcLiq,"Sí")&gt;0),IF(OR(P2717="Gasto",P2717="Transferencia",P2717="Pago tarjeta"),-1,1)*S2717,0)+IF(AND(AE2717&lt;&gt;"",COUNTIFS(tcTipo,AE2717,tcLiq,"Sí")&gt;0),S2717,0))</f>
        <v/>
      </c>
      <c r="AI2717" s="52">
        <f>IF(OR(L2717="",P2717=""),"",IF(COUNTIFS(L$6:L2717,L2717,P$6:P2717,"?*")=1,MAX(AI$5:AI2716)+1,""))</f>
        <v/>
      </c>
    </row>
    <row r="2718">
      <c r="B2718" s="47" t="n"/>
      <c r="C2718" s="48" t="n"/>
      <c r="D2718" s="48" t="n"/>
      <c r="E2718" s="48" t="n"/>
      <c r="F2718" s="48" t="n"/>
      <c r="G2718" s="49" t="n"/>
      <c r="H2718" s="48" t="n"/>
      <c r="I2718" s="50" t="n"/>
      <c r="J2718" s="48" t="n"/>
      <c r="K2718" s="48" t="n"/>
      <c r="L2718" s="48" t="n"/>
      <c r="M2718" s="48" t="n"/>
      <c r="N2718" s="48" t="n"/>
      <c r="O2718" s="51">
        <f>IF(AND(B2718="",G2718="",C2718="",D2718="",J2718=""),"",IF(B2718="","⚠ Falta fecha",IF(G2718="","⚠ Falta monto",IF(Q2718="","⚠ Falta cuenta",IF(ISNA(MATCH(Q2718,ctaNombre,0)),"⚠ Cuenta no registrada",IF(AND(OR(P2718="Gasto",P2718="Reembolso"),D2718=""),"⚠ Falta categoría",IF(AND(D2718&lt;&gt;"",E2718&lt;&gt;"",ISNA(MATCH(D2718&amp;"|"&amp;E2718,catClave,0))),"⚠ Subcategoría no corresponde",IF(AND(OR(P2718="Transferencia",P2718="Pago tarjeta"),K2718=""),"⚠ Falta cuenta destino",IF(AND(K2718&lt;&gt;"",P2718&lt;&gt;"Transferencia",P2718&lt;&gt;"Pago tarjeta"),"⚠ Destino solo aplica a transferencias",IF(AND(K2718&lt;&gt;"",K2718=Q2718),"⚠ Origen igual a destino",IF(AND(K2718&lt;&gt;"",ISNA(MATCH(K2718,ctaNombre,0))),"⚠ Destino no registrado",IF(AND(P2718="Pago tarjeta",AE2718&lt;&gt;"Tarjeta de crédito"),"⚠ El destino debe ser tarjeta de crédito",IF(AND(P2718="Gasto",E2718="Depósitos y retiros"),"⚠ Usa tipo Transferencia",IF(AND(P2718="Resultado trading",AD2718&lt;&gt;"Cuenta de trading"),"⚠ Usa una cuenta de trading",IF(AND(G2718&lt;=0,P2718&lt;&gt;"Ajuste",P2718&lt;&gt;"Resultado trading"),"⚠ El monto debe ser positivo","✓")))))))))))))))</f>
        <v/>
      </c>
      <c r="P2718" s="52">
        <f>IF(OR(B2718="",G2718=""),"",IF(C2718="","Gasto",C2718))</f>
        <v/>
      </c>
      <c r="Q2718" s="52">
        <f>IF(P2718="","",IF(J2718&lt;&gt;"",J2718,CuentaPred&amp;""))</f>
        <v/>
      </c>
      <c r="R2718" s="52">
        <f>IF(P2718="","",IF(ISNUMBER(I2718),I2718,TasaUSD))</f>
        <v/>
      </c>
      <c r="S2718" s="53">
        <f>IF(P2718="","",IF(H2718="USD",G2718*R2718,G2718))</f>
        <v/>
      </c>
      <c r="T2718" s="53">
        <f>IF(P2718="","",IF(H2718="USD",G2718,IF(R2718&gt;0,G2718/R2718,0)))</f>
        <v/>
      </c>
      <c r="U2718" s="53">
        <f>IF(P2718="","",IF(P2718="Gasto",S2718,IF(P2718="Reembolso",-S2718,0)))</f>
        <v/>
      </c>
      <c r="V2718" s="53">
        <f>IF(P2718="","",IF(P2718="Ingreso",S2718,0))</f>
        <v/>
      </c>
      <c r="W2718" s="53">
        <f>IF(P2718="","",IF(P2718="Resultado trading",S2718,0))</f>
        <v/>
      </c>
      <c r="X2718" s="52">
        <f>IF(OR(P2718="Gasto",P2718="Reembolso"),IF(M2718&lt;&gt;"",M2718,IFERROR(INDEX(catClasif,MATCH(D2718&amp;"|"&amp;E2718,catClave,0))&amp;"","Variable")),"")</f>
        <v/>
      </c>
      <c r="Y2718" s="52">
        <f>IF(P2718="","",IFERROR(INDEX(catGrupo,MATCH(D2718&amp;"|"&amp;E2718,catClave,0))&amp;"",""))</f>
        <v/>
      </c>
      <c r="Z2718" s="52">
        <f>IF(P2718="","",WEEKDAY(B2718,2))</f>
        <v/>
      </c>
      <c r="AA2718" s="52">
        <f>IF(P2718="","",IF(AND(P2718="Gasto",X2718="Variable",D2718&lt;&gt;catTrading,S2718&gt;0,S2718&lt;=Umbral),1,0))</f>
        <v/>
      </c>
      <c r="AB2718" s="52">
        <f>IF(OR(P2718="",Q2718=""),"",IFERROR(IF(INDEX(ctaVinc,MATCH(Q2718,ctaNombre,0))&amp;""&lt;&gt;"",INDEX(ctaVinc,MATCH(Q2718,ctaNombre,0))&amp;"",Q2718),Q2718))</f>
        <v/>
      </c>
      <c r="AC2718" s="52">
        <f>IF(OR(K2718="",AND(P2718&lt;&gt;"Transferencia",P2718&lt;&gt;"Pago tarjeta")),"",IFERROR(IF(INDEX(ctaVinc,MATCH(K2718,ctaNombre,0))&amp;""&lt;&gt;"",INDEX(ctaVinc,MATCH(K2718,ctaNombre,0))&amp;"",K2718),K2718))</f>
        <v/>
      </c>
      <c r="AD2718" s="52">
        <f>IF(AB2718="","",IFERROR(INDEX(ctaTipo,MATCH(AB2718,ctaNombre,0))&amp;"",""))</f>
        <v/>
      </c>
      <c r="AE2718" s="52">
        <f>IF(AC2718="","",IFERROR(INDEX(ctaTipo,MATCH(AC2718,ctaNombre,0))&amp;"",""))</f>
        <v/>
      </c>
      <c r="AF2718" s="53">
        <f>IF(OR(P2718="",AB2718=""),"",IF(OR(P2718="Gasto",P2718="Transferencia",P2718="Pago tarjeta"),-1,1)*IF(IFERROR(INDEX(ctaMoneda,MATCH(AB2718,ctaNombre,0))&amp;"","DOP")="USD",T2718,S2718))</f>
        <v/>
      </c>
      <c r="AG2718" s="53">
        <f>IF(AC2718="","",IF(IFERROR(INDEX(ctaMoneda,MATCH(AC2718,ctaNombre,0))&amp;"","DOP")="USD",T2718,S2718))</f>
        <v/>
      </c>
      <c r="AH2718" s="53">
        <f>IF(P2718="","",IF(AND(AD2718&lt;&gt;"",COUNTIFS(tcTipo,AD2718,tcLiq,"Sí")&gt;0),IF(OR(P2718="Gasto",P2718="Transferencia",P2718="Pago tarjeta"),-1,1)*S2718,0)+IF(AND(AE2718&lt;&gt;"",COUNTIFS(tcTipo,AE2718,tcLiq,"Sí")&gt;0),S2718,0))</f>
        <v/>
      </c>
      <c r="AI2718" s="52">
        <f>IF(OR(L2718="",P2718=""),"",IF(COUNTIFS(L$6:L2718,L2718,P$6:P2718,"?*")=1,MAX(AI$5:AI2717)+1,""))</f>
        <v/>
      </c>
    </row>
    <row r="2719">
      <c r="B2719" s="47" t="n"/>
      <c r="C2719" s="48" t="n"/>
      <c r="D2719" s="48" t="n"/>
      <c r="E2719" s="48" t="n"/>
      <c r="F2719" s="48" t="n"/>
      <c r="G2719" s="49" t="n"/>
      <c r="H2719" s="48" t="n"/>
      <c r="I2719" s="50" t="n"/>
      <c r="J2719" s="48" t="n"/>
      <c r="K2719" s="48" t="n"/>
      <c r="L2719" s="48" t="n"/>
      <c r="M2719" s="48" t="n"/>
      <c r="N2719" s="48" t="n"/>
      <c r="O2719" s="51">
        <f>IF(AND(B2719="",G2719="",C2719="",D2719="",J2719=""),"",IF(B2719="","⚠ Falta fecha",IF(G2719="","⚠ Falta monto",IF(Q2719="","⚠ Falta cuenta",IF(ISNA(MATCH(Q2719,ctaNombre,0)),"⚠ Cuenta no registrada",IF(AND(OR(P2719="Gasto",P2719="Reembolso"),D2719=""),"⚠ Falta categoría",IF(AND(D2719&lt;&gt;"",E2719&lt;&gt;"",ISNA(MATCH(D2719&amp;"|"&amp;E2719,catClave,0))),"⚠ Subcategoría no corresponde",IF(AND(OR(P2719="Transferencia",P2719="Pago tarjeta"),K2719=""),"⚠ Falta cuenta destino",IF(AND(K2719&lt;&gt;"",P2719&lt;&gt;"Transferencia",P2719&lt;&gt;"Pago tarjeta"),"⚠ Destino solo aplica a transferencias",IF(AND(K2719&lt;&gt;"",K2719=Q2719),"⚠ Origen igual a destino",IF(AND(K2719&lt;&gt;"",ISNA(MATCH(K2719,ctaNombre,0))),"⚠ Destino no registrado",IF(AND(P2719="Pago tarjeta",AE2719&lt;&gt;"Tarjeta de crédito"),"⚠ El destino debe ser tarjeta de crédito",IF(AND(P2719="Gasto",E2719="Depósitos y retiros"),"⚠ Usa tipo Transferencia",IF(AND(P2719="Resultado trading",AD2719&lt;&gt;"Cuenta de trading"),"⚠ Usa una cuenta de trading",IF(AND(G2719&lt;=0,P2719&lt;&gt;"Ajuste",P2719&lt;&gt;"Resultado trading"),"⚠ El monto debe ser positivo","✓")))))))))))))))</f>
        <v/>
      </c>
      <c r="P2719" s="52">
        <f>IF(OR(B2719="",G2719=""),"",IF(C2719="","Gasto",C2719))</f>
        <v/>
      </c>
      <c r="Q2719" s="52">
        <f>IF(P2719="","",IF(J2719&lt;&gt;"",J2719,CuentaPred&amp;""))</f>
        <v/>
      </c>
      <c r="R2719" s="52">
        <f>IF(P2719="","",IF(ISNUMBER(I2719),I2719,TasaUSD))</f>
        <v/>
      </c>
      <c r="S2719" s="53">
        <f>IF(P2719="","",IF(H2719="USD",G2719*R2719,G2719))</f>
        <v/>
      </c>
      <c r="T2719" s="53">
        <f>IF(P2719="","",IF(H2719="USD",G2719,IF(R2719&gt;0,G2719/R2719,0)))</f>
        <v/>
      </c>
      <c r="U2719" s="53">
        <f>IF(P2719="","",IF(P2719="Gasto",S2719,IF(P2719="Reembolso",-S2719,0)))</f>
        <v/>
      </c>
      <c r="V2719" s="53">
        <f>IF(P2719="","",IF(P2719="Ingreso",S2719,0))</f>
        <v/>
      </c>
      <c r="W2719" s="53">
        <f>IF(P2719="","",IF(P2719="Resultado trading",S2719,0))</f>
        <v/>
      </c>
      <c r="X2719" s="52">
        <f>IF(OR(P2719="Gasto",P2719="Reembolso"),IF(M2719&lt;&gt;"",M2719,IFERROR(INDEX(catClasif,MATCH(D2719&amp;"|"&amp;E2719,catClave,0))&amp;"","Variable")),"")</f>
        <v/>
      </c>
      <c r="Y2719" s="52">
        <f>IF(P2719="","",IFERROR(INDEX(catGrupo,MATCH(D2719&amp;"|"&amp;E2719,catClave,0))&amp;"",""))</f>
        <v/>
      </c>
      <c r="Z2719" s="52">
        <f>IF(P2719="","",WEEKDAY(B2719,2))</f>
        <v/>
      </c>
      <c r="AA2719" s="52">
        <f>IF(P2719="","",IF(AND(P2719="Gasto",X2719="Variable",D2719&lt;&gt;catTrading,S2719&gt;0,S2719&lt;=Umbral),1,0))</f>
        <v/>
      </c>
      <c r="AB2719" s="52">
        <f>IF(OR(P2719="",Q2719=""),"",IFERROR(IF(INDEX(ctaVinc,MATCH(Q2719,ctaNombre,0))&amp;""&lt;&gt;"",INDEX(ctaVinc,MATCH(Q2719,ctaNombre,0))&amp;"",Q2719),Q2719))</f>
        <v/>
      </c>
      <c r="AC2719" s="52">
        <f>IF(OR(K2719="",AND(P2719&lt;&gt;"Transferencia",P2719&lt;&gt;"Pago tarjeta")),"",IFERROR(IF(INDEX(ctaVinc,MATCH(K2719,ctaNombre,0))&amp;""&lt;&gt;"",INDEX(ctaVinc,MATCH(K2719,ctaNombre,0))&amp;"",K2719),K2719))</f>
        <v/>
      </c>
      <c r="AD2719" s="52">
        <f>IF(AB2719="","",IFERROR(INDEX(ctaTipo,MATCH(AB2719,ctaNombre,0))&amp;"",""))</f>
        <v/>
      </c>
      <c r="AE2719" s="52">
        <f>IF(AC2719="","",IFERROR(INDEX(ctaTipo,MATCH(AC2719,ctaNombre,0))&amp;"",""))</f>
        <v/>
      </c>
      <c r="AF2719" s="53">
        <f>IF(OR(P2719="",AB2719=""),"",IF(OR(P2719="Gasto",P2719="Transferencia",P2719="Pago tarjeta"),-1,1)*IF(IFERROR(INDEX(ctaMoneda,MATCH(AB2719,ctaNombre,0))&amp;"","DOP")="USD",T2719,S2719))</f>
        <v/>
      </c>
      <c r="AG2719" s="53">
        <f>IF(AC2719="","",IF(IFERROR(INDEX(ctaMoneda,MATCH(AC2719,ctaNombre,0))&amp;"","DOP")="USD",T2719,S2719))</f>
        <v/>
      </c>
      <c r="AH2719" s="53">
        <f>IF(P2719="","",IF(AND(AD2719&lt;&gt;"",COUNTIFS(tcTipo,AD2719,tcLiq,"Sí")&gt;0),IF(OR(P2719="Gasto",P2719="Transferencia",P2719="Pago tarjeta"),-1,1)*S2719,0)+IF(AND(AE2719&lt;&gt;"",COUNTIFS(tcTipo,AE2719,tcLiq,"Sí")&gt;0),S2719,0))</f>
        <v/>
      </c>
      <c r="AI2719" s="52">
        <f>IF(OR(L2719="",P2719=""),"",IF(COUNTIFS(L$6:L2719,L2719,P$6:P2719,"?*")=1,MAX(AI$5:AI2718)+1,""))</f>
        <v/>
      </c>
    </row>
    <row r="2720">
      <c r="B2720" s="47" t="n"/>
      <c r="C2720" s="48" t="n"/>
      <c r="D2720" s="48" t="n"/>
      <c r="E2720" s="48" t="n"/>
      <c r="F2720" s="48" t="n"/>
      <c r="G2720" s="49" t="n"/>
      <c r="H2720" s="48" t="n"/>
      <c r="I2720" s="50" t="n"/>
      <c r="J2720" s="48" t="n"/>
      <c r="K2720" s="48" t="n"/>
      <c r="L2720" s="48" t="n"/>
      <c r="M2720" s="48" t="n"/>
      <c r="N2720" s="48" t="n"/>
      <c r="O2720" s="51">
        <f>IF(AND(B2720="",G2720="",C2720="",D2720="",J2720=""),"",IF(B2720="","⚠ Falta fecha",IF(G2720="","⚠ Falta monto",IF(Q2720="","⚠ Falta cuenta",IF(ISNA(MATCH(Q2720,ctaNombre,0)),"⚠ Cuenta no registrada",IF(AND(OR(P2720="Gasto",P2720="Reembolso"),D2720=""),"⚠ Falta categoría",IF(AND(D2720&lt;&gt;"",E2720&lt;&gt;"",ISNA(MATCH(D2720&amp;"|"&amp;E2720,catClave,0))),"⚠ Subcategoría no corresponde",IF(AND(OR(P2720="Transferencia",P2720="Pago tarjeta"),K2720=""),"⚠ Falta cuenta destino",IF(AND(K2720&lt;&gt;"",P2720&lt;&gt;"Transferencia",P2720&lt;&gt;"Pago tarjeta"),"⚠ Destino solo aplica a transferencias",IF(AND(K2720&lt;&gt;"",K2720=Q2720),"⚠ Origen igual a destino",IF(AND(K2720&lt;&gt;"",ISNA(MATCH(K2720,ctaNombre,0))),"⚠ Destino no registrado",IF(AND(P2720="Pago tarjeta",AE2720&lt;&gt;"Tarjeta de crédito"),"⚠ El destino debe ser tarjeta de crédito",IF(AND(P2720="Gasto",E2720="Depósitos y retiros"),"⚠ Usa tipo Transferencia",IF(AND(P2720="Resultado trading",AD2720&lt;&gt;"Cuenta de trading"),"⚠ Usa una cuenta de trading",IF(AND(G2720&lt;=0,P2720&lt;&gt;"Ajuste",P2720&lt;&gt;"Resultado trading"),"⚠ El monto debe ser positivo","✓")))))))))))))))</f>
        <v/>
      </c>
      <c r="P2720" s="52">
        <f>IF(OR(B2720="",G2720=""),"",IF(C2720="","Gasto",C2720))</f>
        <v/>
      </c>
      <c r="Q2720" s="52">
        <f>IF(P2720="","",IF(J2720&lt;&gt;"",J2720,CuentaPred&amp;""))</f>
        <v/>
      </c>
      <c r="R2720" s="52">
        <f>IF(P2720="","",IF(ISNUMBER(I2720),I2720,TasaUSD))</f>
        <v/>
      </c>
      <c r="S2720" s="53">
        <f>IF(P2720="","",IF(H2720="USD",G2720*R2720,G2720))</f>
        <v/>
      </c>
      <c r="T2720" s="53">
        <f>IF(P2720="","",IF(H2720="USD",G2720,IF(R2720&gt;0,G2720/R2720,0)))</f>
        <v/>
      </c>
      <c r="U2720" s="53">
        <f>IF(P2720="","",IF(P2720="Gasto",S2720,IF(P2720="Reembolso",-S2720,0)))</f>
        <v/>
      </c>
      <c r="V2720" s="53">
        <f>IF(P2720="","",IF(P2720="Ingreso",S2720,0))</f>
        <v/>
      </c>
      <c r="W2720" s="53">
        <f>IF(P2720="","",IF(P2720="Resultado trading",S2720,0))</f>
        <v/>
      </c>
      <c r="X2720" s="52">
        <f>IF(OR(P2720="Gasto",P2720="Reembolso"),IF(M2720&lt;&gt;"",M2720,IFERROR(INDEX(catClasif,MATCH(D2720&amp;"|"&amp;E2720,catClave,0))&amp;"","Variable")),"")</f>
        <v/>
      </c>
      <c r="Y2720" s="52">
        <f>IF(P2720="","",IFERROR(INDEX(catGrupo,MATCH(D2720&amp;"|"&amp;E2720,catClave,0))&amp;"",""))</f>
        <v/>
      </c>
      <c r="Z2720" s="52">
        <f>IF(P2720="","",WEEKDAY(B2720,2))</f>
        <v/>
      </c>
      <c r="AA2720" s="52">
        <f>IF(P2720="","",IF(AND(P2720="Gasto",X2720="Variable",D2720&lt;&gt;catTrading,S2720&gt;0,S2720&lt;=Umbral),1,0))</f>
        <v/>
      </c>
      <c r="AB2720" s="52">
        <f>IF(OR(P2720="",Q2720=""),"",IFERROR(IF(INDEX(ctaVinc,MATCH(Q2720,ctaNombre,0))&amp;""&lt;&gt;"",INDEX(ctaVinc,MATCH(Q2720,ctaNombre,0))&amp;"",Q2720),Q2720))</f>
        <v/>
      </c>
      <c r="AC2720" s="52">
        <f>IF(OR(K2720="",AND(P2720&lt;&gt;"Transferencia",P2720&lt;&gt;"Pago tarjeta")),"",IFERROR(IF(INDEX(ctaVinc,MATCH(K2720,ctaNombre,0))&amp;""&lt;&gt;"",INDEX(ctaVinc,MATCH(K2720,ctaNombre,0))&amp;"",K2720),K2720))</f>
        <v/>
      </c>
      <c r="AD2720" s="52">
        <f>IF(AB2720="","",IFERROR(INDEX(ctaTipo,MATCH(AB2720,ctaNombre,0))&amp;"",""))</f>
        <v/>
      </c>
      <c r="AE2720" s="52">
        <f>IF(AC2720="","",IFERROR(INDEX(ctaTipo,MATCH(AC2720,ctaNombre,0))&amp;"",""))</f>
        <v/>
      </c>
      <c r="AF2720" s="53">
        <f>IF(OR(P2720="",AB2720=""),"",IF(OR(P2720="Gasto",P2720="Transferencia",P2720="Pago tarjeta"),-1,1)*IF(IFERROR(INDEX(ctaMoneda,MATCH(AB2720,ctaNombre,0))&amp;"","DOP")="USD",T2720,S2720))</f>
        <v/>
      </c>
      <c r="AG2720" s="53">
        <f>IF(AC2720="","",IF(IFERROR(INDEX(ctaMoneda,MATCH(AC2720,ctaNombre,0))&amp;"","DOP")="USD",T2720,S2720))</f>
        <v/>
      </c>
      <c r="AH2720" s="53">
        <f>IF(P2720="","",IF(AND(AD2720&lt;&gt;"",COUNTIFS(tcTipo,AD2720,tcLiq,"Sí")&gt;0),IF(OR(P2720="Gasto",P2720="Transferencia",P2720="Pago tarjeta"),-1,1)*S2720,0)+IF(AND(AE2720&lt;&gt;"",COUNTIFS(tcTipo,AE2720,tcLiq,"Sí")&gt;0),S2720,0))</f>
        <v/>
      </c>
      <c r="AI2720" s="52">
        <f>IF(OR(L2720="",P2720=""),"",IF(COUNTIFS(L$6:L2720,L2720,P$6:P2720,"?*")=1,MAX(AI$5:AI2719)+1,""))</f>
        <v/>
      </c>
    </row>
    <row r="2721">
      <c r="B2721" s="47" t="n"/>
      <c r="C2721" s="48" t="n"/>
      <c r="D2721" s="48" t="n"/>
      <c r="E2721" s="48" t="n"/>
      <c r="F2721" s="48" t="n"/>
      <c r="G2721" s="49" t="n"/>
      <c r="H2721" s="48" t="n"/>
      <c r="I2721" s="50" t="n"/>
      <c r="J2721" s="48" t="n"/>
      <c r="K2721" s="48" t="n"/>
      <c r="L2721" s="48" t="n"/>
      <c r="M2721" s="48" t="n"/>
      <c r="N2721" s="48" t="n"/>
      <c r="O2721" s="51">
        <f>IF(AND(B2721="",G2721="",C2721="",D2721="",J2721=""),"",IF(B2721="","⚠ Falta fecha",IF(G2721="","⚠ Falta monto",IF(Q2721="","⚠ Falta cuenta",IF(ISNA(MATCH(Q2721,ctaNombre,0)),"⚠ Cuenta no registrada",IF(AND(OR(P2721="Gasto",P2721="Reembolso"),D2721=""),"⚠ Falta categoría",IF(AND(D2721&lt;&gt;"",E2721&lt;&gt;"",ISNA(MATCH(D2721&amp;"|"&amp;E2721,catClave,0))),"⚠ Subcategoría no corresponde",IF(AND(OR(P2721="Transferencia",P2721="Pago tarjeta"),K2721=""),"⚠ Falta cuenta destino",IF(AND(K2721&lt;&gt;"",P2721&lt;&gt;"Transferencia",P2721&lt;&gt;"Pago tarjeta"),"⚠ Destino solo aplica a transferencias",IF(AND(K2721&lt;&gt;"",K2721=Q2721),"⚠ Origen igual a destino",IF(AND(K2721&lt;&gt;"",ISNA(MATCH(K2721,ctaNombre,0))),"⚠ Destino no registrado",IF(AND(P2721="Pago tarjeta",AE2721&lt;&gt;"Tarjeta de crédito"),"⚠ El destino debe ser tarjeta de crédito",IF(AND(P2721="Gasto",E2721="Depósitos y retiros"),"⚠ Usa tipo Transferencia",IF(AND(P2721="Resultado trading",AD2721&lt;&gt;"Cuenta de trading"),"⚠ Usa una cuenta de trading",IF(AND(G2721&lt;=0,P2721&lt;&gt;"Ajuste",P2721&lt;&gt;"Resultado trading"),"⚠ El monto debe ser positivo","✓")))))))))))))))</f>
        <v/>
      </c>
      <c r="P2721" s="52">
        <f>IF(OR(B2721="",G2721=""),"",IF(C2721="","Gasto",C2721))</f>
        <v/>
      </c>
      <c r="Q2721" s="52">
        <f>IF(P2721="","",IF(J2721&lt;&gt;"",J2721,CuentaPred&amp;""))</f>
        <v/>
      </c>
      <c r="R2721" s="52">
        <f>IF(P2721="","",IF(ISNUMBER(I2721),I2721,TasaUSD))</f>
        <v/>
      </c>
      <c r="S2721" s="53">
        <f>IF(P2721="","",IF(H2721="USD",G2721*R2721,G2721))</f>
        <v/>
      </c>
      <c r="T2721" s="53">
        <f>IF(P2721="","",IF(H2721="USD",G2721,IF(R2721&gt;0,G2721/R2721,0)))</f>
        <v/>
      </c>
      <c r="U2721" s="53">
        <f>IF(P2721="","",IF(P2721="Gasto",S2721,IF(P2721="Reembolso",-S2721,0)))</f>
        <v/>
      </c>
      <c r="V2721" s="53">
        <f>IF(P2721="","",IF(P2721="Ingreso",S2721,0))</f>
        <v/>
      </c>
      <c r="W2721" s="53">
        <f>IF(P2721="","",IF(P2721="Resultado trading",S2721,0))</f>
        <v/>
      </c>
      <c r="X2721" s="52">
        <f>IF(OR(P2721="Gasto",P2721="Reembolso"),IF(M2721&lt;&gt;"",M2721,IFERROR(INDEX(catClasif,MATCH(D2721&amp;"|"&amp;E2721,catClave,0))&amp;"","Variable")),"")</f>
        <v/>
      </c>
      <c r="Y2721" s="52">
        <f>IF(P2721="","",IFERROR(INDEX(catGrupo,MATCH(D2721&amp;"|"&amp;E2721,catClave,0))&amp;"",""))</f>
        <v/>
      </c>
      <c r="Z2721" s="52">
        <f>IF(P2721="","",WEEKDAY(B2721,2))</f>
        <v/>
      </c>
      <c r="AA2721" s="52">
        <f>IF(P2721="","",IF(AND(P2721="Gasto",X2721="Variable",D2721&lt;&gt;catTrading,S2721&gt;0,S2721&lt;=Umbral),1,0))</f>
        <v/>
      </c>
      <c r="AB2721" s="52">
        <f>IF(OR(P2721="",Q2721=""),"",IFERROR(IF(INDEX(ctaVinc,MATCH(Q2721,ctaNombre,0))&amp;""&lt;&gt;"",INDEX(ctaVinc,MATCH(Q2721,ctaNombre,0))&amp;"",Q2721),Q2721))</f>
        <v/>
      </c>
      <c r="AC2721" s="52">
        <f>IF(OR(K2721="",AND(P2721&lt;&gt;"Transferencia",P2721&lt;&gt;"Pago tarjeta")),"",IFERROR(IF(INDEX(ctaVinc,MATCH(K2721,ctaNombre,0))&amp;""&lt;&gt;"",INDEX(ctaVinc,MATCH(K2721,ctaNombre,0))&amp;"",K2721),K2721))</f>
        <v/>
      </c>
      <c r="AD2721" s="52">
        <f>IF(AB2721="","",IFERROR(INDEX(ctaTipo,MATCH(AB2721,ctaNombre,0))&amp;"",""))</f>
        <v/>
      </c>
      <c r="AE2721" s="52">
        <f>IF(AC2721="","",IFERROR(INDEX(ctaTipo,MATCH(AC2721,ctaNombre,0))&amp;"",""))</f>
        <v/>
      </c>
      <c r="AF2721" s="53">
        <f>IF(OR(P2721="",AB2721=""),"",IF(OR(P2721="Gasto",P2721="Transferencia",P2721="Pago tarjeta"),-1,1)*IF(IFERROR(INDEX(ctaMoneda,MATCH(AB2721,ctaNombre,0))&amp;"","DOP")="USD",T2721,S2721))</f>
        <v/>
      </c>
      <c r="AG2721" s="53">
        <f>IF(AC2721="","",IF(IFERROR(INDEX(ctaMoneda,MATCH(AC2721,ctaNombre,0))&amp;"","DOP")="USD",T2721,S2721))</f>
        <v/>
      </c>
      <c r="AH2721" s="53">
        <f>IF(P2721="","",IF(AND(AD2721&lt;&gt;"",COUNTIFS(tcTipo,AD2721,tcLiq,"Sí")&gt;0),IF(OR(P2721="Gasto",P2721="Transferencia",P2721="Pago tarjeta"),-1,1)*S2721,0)+IF(AND(AE2721&lt;&gt;"",COUNTIFS(tcTipo,AE2721,tcLiq,"Sí")&gt;0),S2721,0))</f>
        <v/>
      </c>
      <c r="AI2721" s="52">
        <f>IF(OR(L2721="",P2721=""),"",IF(COUNTIFS(L$6:L2721,L2721,P$6:P2721,"?*")=1,MAX(AI$5:AI2720)+1,""))</f>
        <v/>
      </c>
    </row>
    <row r="2722">
      <c r="B2722" s="47" t="n"/>
      <c r="C2722" s="48" t="n"/>
      <c r="D2722" s="48" t="n"/>
      <c r="E2722" s="48" t="n"/>
      <c r="F2722" s="48" t="n"/>
      <c r="G2722" s="49" t="n"/>
      <c r="H2722" s="48" t="n"/>
      <c r="I2722" s="50" t="n"/>
      <c r="J2722" s="48" t="n"/>
      <c r="K2722" s="48" t="n"/>
      <c r="L2722" s="48" t="n"/>
      <c r="M2722" s="48" t="n"/>
      <c r="N2722" s="48" t="n"/>
      <c r="O2722" s="51">
        <f>IF(AND(B2722="",G2722="",C2722="",D2722="",J2722=""),"",IF(B2722="","⚠ Falta fecha",IF(G2722="","⚠ Falta monto",IF(Q2722="","⚠ Falta cuenta",IF(ISNA(MATCH(Q2722,ctaNombre,0)),"⚠ Cuenta no registrada",IF(AND(OR(P2722="Gasto",P2722="Reembolso"),D2722=""),"⚠ Falta categoría",IF(AND(D2722&lt;&gt;"",E2722&lt;&gt;"",ISNA(MATCH(D2722&amp;"|"&amp;E2722,catClave,0))),"⚠ Subcategoría no corresponde",IF(AND(OR(P2722="Transferencia",P2722="Pago tarjeta"),K2722=""),"⚠ Falta cuenta destino",IF(AND(K2722&lt;&gt;"",P2722&lt;&gt;"Transferencia",P2722&lt;&gt;"Pago tarjeta"),"⚠ Destino solo aplica a transferencias",IF(AND(K2722&lt;&gt;"",K2722=Q2722),"⚠ Origen igual a destino",IF(AND(K2722&lt;&gt;"",ISNA(MATCH(K2722,ctaNombre,0))),"⚠ Destino no registrado",IF(AND(P2722="Pago tarjeta",AE2722&lt;&gt;"Tarjeta de crédito"),"⚠ El destino debe ser tarjeta de crédito",IF(AND(P2722="Gasto",E2722="Depósitos y retiros"),"⚠ Usa tipo Transferencia",IF(AND(P2722="Resultado trading",AD2722&lt;&gt;"Cuenta de trading"),"⚠ Usa una cuenta de trading",IF(AND(G2722&lt;=0,P2722&lt;&gt;"Ajuste",P2722&lt;&gt;"Resultado trading"),"⚠ El monto debe ser positivo","✓")))))))))))))))</f>
        <v/>
      </c>
      <c r="P2722" s="52">
        <f>IF(OR(B2722="",G2722=""),"",IF(C2722="","Gasto",C2722))</f>
        <v/>
      </c>
      <c r="Q2722" s="52">
        <f>IF(P2722="","",IF(J2722&lt;&gt;"",J2722,CuentaPred&amp;""))</f>
        <v/>
      </c>
      <c r="R2722" s="52">
        <f>IF(P2722="","",IF(ISNUMBER(I2722),I2722,TasaUSD))</f>
        <v/>
      </c>
      <c r="S2722" s="53">
        <f>IF(P2722="","",IF(H2722="USD",G2722*R2722,G2722))</f>
        <v/>
      </c>
      <c r="T2722" s="53">
        <f>IF(P2722="","",IF(H2722="USD",G2722,IF(R2722&gt;0,G2722/R2722,0)))</f>
        <v/>
      </c>
      <c r="U2722" s="53">
        <f>IF(P2722="","",IF(P2722="Gasto",S2722,IF(P2722="Reembolso",-S2722,0)))</f>
        <v/>
      </c>
      <c r="V2722" s="53">
        <f>IF(P2722="","",IF(P2722="Ingreso",S2722,0))</f>
        <v/>
      </c>
      <c r="W2722" s="53">
        <f>IF(P2722="","",IF(P2722="Resultado trading",S2722,0))</f>
        <v/>
      </c>
      <c r="X2722" s="52">
        <f>IF(OR(P2722="Gasto",P2722="Reembolso"),IF(M2722&lt;&gt;"",M2722,IFERROR(INDEX(catClasif,MATCH(D2722&amp;"|"&amp;E2722,catClave,0))&amp;"","Variable")),"")</f>
        <v/>
      </c>
      <c r="Y2722" s="52">
        <f>IF(P2722="","",IFERROR(INDEX(catGrupo,MATCH(D2722&amp;"|"&amp;E2722,catClave,0))&amp;"",""))</f>
        <v/>
      </c>
      <c r="Z2722" s="52">
        <f>IF(P2722="","",WEEKDAY(B2722,2))</f>
        <v/>
      </c>
      <c r="AA2722" s="52">
        <f>IF(P2722="","",IF(AND(P2722="Gasto",X2722="Variable",D2722&lt;&gt;catTrading,S2722&gt;0,S2722&lt;=Umbral),1,0))</f>
        <v/>
      </c>
      <c r="AB2722" s="52">
        <f>IF(OR(P2722="",Q2722=""),"",IFERROR(IF(INDEX(ctaVinc,MATCH(Q2722,ctaNombre,0))&amp;""&lt;&gt;"",INDEX(ctaVinc,MATCH(Q2722,ctaNombre,0))&amp;"",Q2722),Q2722))</f>
        <v/>
      </c>
      <c r="AC2722" s="52">
        <f>IF(OR(K2722="",AND(P2722&lt;&gt;"Transferencia",P2722&lt;&gt;"Pago tarjeta")),"",IFERROR(IF(INDEX(ctaVinc,MATCH(K2722,ctaNombre,0))&amp;""&lt;&gt;"",INDEX(ctaVinc,MATCH(K2722,ctaNombre,0))&amp;"",K2722),K2722))</f>
        <v/>
      </c>
      <c r="AD2722" s="52">
        <f>IF(AB2722="","",IFERROR(INDEX(ctaTipo,MATCH(AB2722,ctaNombre,0))&amp;"",""))</f>
        <v/>
      </c>
      <c r="AE2722" s="52">
        <f>IF(AC2722="","",IFERROR(INDEX(ctaTipo,MATCH(AC2722,ctaNombre,0))&amp;"",""))</f>
        <v/>
      </c>
      <c r="AF2722" s="53">
        <f>IF(OR(P2722="",AB2722=""),"",IF(OR(P2722="Gasto",P2722="Transferencia",P2722="Pago tarjeta"),-1,1)*IF(IFERROR(INDEX(ctaMoneda,MATCH(AB2722,ctaNombre,0))&amp;"","DOP")="USD",T2722,S2722))</f>
        <v/>
      </c>
      <c r="AG2722" s="53">
        <f>IF(AC2722="","",IF(IFERROR(INDEX(ctaMoneda,MATCH(AC2722,ctaNombre,0))&amp;"","DOP")="USD",T2722,S2722))</f>
        <v/>
      </c>
      <c r="AH2722" s="53">
        <f>IF(P2722="","",IF(AND(AD2722&lt;&gt;"",COUNTIFS(tcTipo,AD2722,tcLiq,"Sí")&gt;0),IF(OR(P2722="Gasto",P2722="Transferencia",P2722="Pago tarjeta"),-1,1)*S2722,0)+IF(AND(AE2722&lt;&gt;"",COUNTIFS(tcTipo,AE2722,tcLiq,"Sí")&gt;0),S2722,0))</f>
        <v/>
      </c>
      <c r="AI2722" s="52">
        <f>IF(OR(L2722="",P2722=""),"",IF(COUNTIFS(L$6:L2722,L2722,P$6:P2722,"?*")=1,MAX(AI$5:AI2721)+1,""))</f>
        <v/>
      </c>
    </row>
    <row r="2723">
      <c r="B2723" s="47" t="n"/>
      <c r="C2723" s="48" t="n"/>
      <c r="D2723" s="48" t="n"/>
      <c r="E2723" s="48" t="n"/>
      <c r="F2723" s="48" t="n"/>
      <c r="G2723" s="49" t="n"/>
      <c r="H2723" s="48" t="n"/>
      <c r="I2723" s="50" t="n"/>
      <c r="J2723" s="48" t="n"/>
      <c r="K2723" s="48" t="n"/>
      <c r="L2723" s="48" t="n"/>
      <c r="M2723" s="48" t="n"/>
      <c r="N2723" s="48" t="n"/>
      <c r="O2723" s="51">
        <f>IF(AND(B2723="",G2723="",C2723="",D2723="",J2723=""),"",IF(B2723="","⚠ Falta fecha",IF(G2723="","⚠ Falta monto",IF(Q2723="","⚠ Falta cuenta",IF(ISNA(MATCH(Q2723,ctaNombre,0)),"⚠ Cuenta no registrada",IF(AND(OR(P2723="Gasto",P2723="Reembolso"),D2723=""),"⚠ Falta categoría",IF(AND(D2723&lt;&gt;"",E2723&lt;&gt;"",ISNA(MATCH(D2723&amp;"|"&amp;E2723,catClave,0))),"⚠ Subcategoría no corresponde",IF(AND(OR(P2723="Transferencia",P2723="Pago tarjeta"),K2723=""),"⚠ Falta cuenta destino",IF(AND(K2723&lt;&gt;"",P2723&lt;&gt;"Transferencia",P2723&lt;&gt;"Pago tarjeta"),"⚠ Destino solo aplica a transferencias",IF(AND(K2723&lt;&gt;"",K2723=Q2723),"⚠ Origen igual a destino",IF(AND(K2723&lt;&gt;"",ISNA(MATCH(K2723,ctaNombre,0))),"⚠ Destino no registrado",IF(AND(P2723="Pago tarjeta",AE2723&lt;&gt;"Tarjeta de crédito"),"⚠ El destino debe ser tarjeta de crédito",IF(AND(P2723="Gasto",E2723="Depósitos y retiros"),"⚠ Usa tipo Transferencia",IF(AND(P2723="Resultado trading",AD2723&lt;&gt;"Cuenta de trading"),"⚠ Usa una cuenta de trading",IF(AND(G2723&lt;=0,P2723&lt;&gt;"Ajuste",P2723&lt;&gt;"Resultado trading"),"⚠ El monto debe ser positivo","✓")))))))))))))))</f>
        <v/>
      </c>
      <c r="P2723" s="52">
        <f>IF(OR(B2723="",G2723=""),"",IF(C2723="","Gasto",C2723))</f>
        <v/>
      </c>
      <c r="Q2723" s="52">
        <f>IF(P2723="","",IF(J2723&lt;&gt;"",J2723,CuentaPred&amp;""))</f>
        <v/>
      </c>
      <c r="R2723" s="52">
        <f>IF(P2723="","",IF(ISNUMBER(I2723),I2723,TasaUSD))</f>
        <v/>
      </c>
      <c r="S2723" s="53">
        <f>IF(P2723="","",IF(H2723="USD",G2723*R2723,G2723))</f>
        <v/>
      </c>
      <c r="T2723" s="53">
        <f>IF(P2723="","",IF(H2723="USD",G2723,IF(R2723&gt;0,G2723/R2723,0)))</f>
        <v/>
      </c>
      <c r="U2723" s="53">
        <f>IF(P2723="","",IF(P2723="Gasto",S2723,IF(P2723="Reembolso",-S2723,0)))</f>
        <v/>
      </c>
      <c r="V2723" s="53">
        <f>IF(P2723="","",IF(P2723="Ingreso",S2723,0))</f>
        <v/>
      </c>
      <c r="W2723" s="53">
        <f>IF(P2723="","",IF(P2723="Resultado trading",S2723,0))</f>
        <v/>
      </c>
      <c r="X2723" s="52">
        <f>IF(OR(P2723="Gasto",P2723="Reembolso"),IF(M2723&lt;&gt;"",M2723,IFERROR(INDEX(catClasif,MATCH(D2723&amp;"|"&amp;E2723,catClave,0))&amp;"","Variable")),"")</f>
        <v/>
      </c>
      <c r="Y2723" s="52">
        <f>IF(P2723="","",IFERROR(INDEX(catGrupo,MATCH(D2723&amp;"|"&amp;E2723,catClave,0))&amp;"",""))</f>
        <v/>
      </c>
      <c r="Z2723" s="52">
        <f>IF(P2723="","",WEEKDAY(B2723,2))</f>
        <v/>
      </c>
      <c r="AA2723" s="52">
        <f>IF(P2723="","",IF(AND(P2723="Gasto",X2723="Variable",D2723&lt;&gt;catTrading,S2723&gt;0,S2723&lt;=Umbral),1,0))</f>
        <v/>
      </c>
      <c r="AB2723" s="52">
        <f>IF(OR(P2723="",Q2723=""),"",IFERROR(IF(INDEX(ctaVinc,MATCH(Q2723,ctaNombre,0))&amp;""&lt;&gt;"",INDEX(ctaVinc,MATCH(Q2723,ctaNombre,0))&amp;"",Q2723),Q2723))</f>
        <v/>
      </c>
      <c r="AC2723" s="52">
        <f>IF(OR(K2723="",AND(P2723&lt;&gt;"Transferencia",P2723&lt;&gt;"Pago tarjeta")),"",IFERROR(IF(INDEX(ctaVinc,MATCH(K2723,ctaNombre,0))&amp;""&lt;&gt;"",INDEX(ctaVinc,MATCH(K2723,ctaNombre,0))&amp;"",K2723),K2723))</f>
        <v/>
      </c>
      <c r="AD2723" s="52">
        <f>IF(AB2723="","",IFERROR(INDEX(ctaTipo,MATCH(AB2723,ctaNombre,0))&amp;"",""))</f>
        <v/>
      </c>
      <c r="AE2723" s="52">
        <f>IF(AC2723="","",IFERROR(INDEX(ctaTipo,MATCH(AC2723,ctaNombre,0))&amp;"",""))</f>
        <v/>
      </c>
      <c r="AF2723" s="53">
        <f>IF(OR(P2723="",AB2723=""),"",IF(OR(P2723="Gasto",P2723="Transferencia",P2723="Pago tarjeta"),-1,1)*IF(IFERROR(INDEX(ctaMoneda,MATCH(AB2723,ctaNombre,0))&amp;"","DOP")="USD",T2723,S2723))</f>
        <v/>
      </c>
      <c r="AG2723" s="53">
        <f>IF(AC2723="","",IF(IFERROR(INDEX(ctaMoneda,MATCH(AC2723,ctaNombre,0))&amp;"","DOP")="USD",T2723,S2723))</f>
        <v/>
      </c>
      <c r="AH2723" s="53">
        <f>IF(P2723="","",IF(AND(AD2723&lt;&gt;"",COUNTIFS(tcTipo,AD2723,tcLiq,"Sí")&gt;0),IF(OR(P2723="Gasto",P2723="Transferencia",P2723="Pago tarjeta"),-1,1)*S2723,0)+IF(AND(AE2723&lt;&gt;"",COUNTIFS(tcTipo,AE2723,tcLiq,"Sí")&gt;0),S2723,0))</f>
        <v/>
      </c>
      <c r="AI2723" s="52">
        <f>IF(OR(L2723="",P2723=""),"",IF(COUNTIFS(L$6:L2723,L2723,P$6:P2723,"?*")=1,MAX(AI$5:AI2722)+1,""))</f>
        <v/>
      </c>
    </row>
    <row r="2724">
      <c r="B2724" s="47" t="n"/>
      <c r="C2724" s="48" t="n"/>
      <c r="D2724" s="48" t="n"/>
      <c r="E2724" s="48" t="n"/>
      <c r="F2724" s="48" t="n"/>
      <c r="G2724" s="49" t="n"/>
      <c r="H2724" s="48" t="n"/>
      <c r="I2724" s="50" t="n"/>
      <c r="J2724" s="48" t="n"/>
      <c r="K2724" s="48" t="n"/>
      <c r="L2724" s="48" t="n"/>
      <c r="M2724" s="48" t="n"/>
      <c r="N2724" s="48" t="n"/>
      <c r="O2724" s="51">
        <f>IF(AND(B2724="",G2724="",C2724="",D2724="",J2724=""),"",IF(B2724="","⚠ Falta fecha",IF(G2724="","⚠ Falta monto",IF(Q2724="","⚠ Falta cuenta",IF(ISNA(MATCH(Q2724,ctaNombre,0)),"⚠ Cuenta no registrada",IF(AND(OR(P2724="Gasto",P2724="Reembolso"),D2724=""),"⚠ Falta categoría",IF(AND(D2724&lt;&gt;"",E2724&lt;&gt;"",ISNA(MATCH(D2724&amp;"|"&amp;E2724,catClave,0))),"⚠ Subcategoría no corresponde",IF(AND(OR(P2724="Transferencia",P2724="Pago tarjeta"),K2724=""),"⚠ Falta cuenta destino",IF(AND(K2724&lt;&gt;"",P2724&lt;&gt;"Transferencia",P2724&lt;&gt;"Pago tarjeta"),"⚠ Destino solo aplica a transferencias",IF(AND(K2724&lt;&gt;"",K2724=Q2724),"⚠ Origen igual a destino",IF(AND(K2724&lt;&gt;"",ISNA(MATCH(K2724,ctaNombre,0))),"⚠ Destino no registrado",IF(AND(P2724="Pago tarjeta",AE2724&lt;&gt;"Tarjeta de crédito"),"⚠ El destino debe ser tarjeta de crédito",IF(AND(P2724="Gasto",E2724="Depósitos y retiros"),"⚠ Usa tipo Transferencia",IF(AND(P2724="Resultado trading",AD2724&lt;&gt;"Cuenta de trading"),"⚠ Usa una cuenta de trading",IF(AND(G2724&lt;=0,P2724&lt;&gt;"Ajuste",P2724&lt;&gt;"Resultado trading"),"⚠ El monto debe ser positivo","✓")))))))))))))))</f>
        <v/>
      </c>
      <c r="P2724" s="52">
        <f>IF(OR(B2724="",G2724=""),"",IF(C2724="","Gasto",C2724))</f>
        <v/>
      </c>
      <c r="Q2724" s="52">
        <f>IF(P2724="","",IF(J2724&lt;&gt;"",J2724,CuentaPred&amp;""))</f>
        <v/>
      </c>
      <c r="R2724" s="52">
        <f>IF(P2724="","",IF(ISNUMBER(I2724),I2724,TasaUSD))</f>
        <v/>
      </c>
      <c r="S2724" s="53">
        <f>IF(P2724="","",IF(H2724="USD",G2724*R2724,G2724))</f>
        <v/>
      </c>
      <c r="T2724" s="53">
        <f>IF(P2724="","",IF(H2724="USD",G2724,IF(R2724&gt;0,G2724/R2724,0)))</f>
        <v/>
      </c>
      <c r="U2724" s="53">
        <f>IF(P2724="","",IF(P2724="Gasto",S2724,IF(P2724="Reembolso",-S2724,0)))</f>
        <v/>
      </c>
      <c r="V2724" s="53">
        <f>IF(P2724="","",IF(P2724="Ingreso",S2724,0))</f>
        <v/>
      </c>
      <c r="W2724" s="53">
        <f>IF(P2724="","",IF(P2724="Resultado trading",S2724,0))</f>
        <v/>
      </c>
      <c r="X2724" s="52">
        <f>IF(OR(P2724="Gasto",P2724="Reembolso"),IF(M2724&lt;&gt;"",M2724,IFERROR(INDEX(catClasif,MATCH(D2724&amp;"|"&amp;E2724,catClave,0))&amp;"","Variable")),"")</f>
        <v/>
      </c>
      <c r="Y2724" s="52">
        <f>IF(P2724="","",IFERROR(INDEX(catGrupo,MATCH(D2724&amp;"|"&amp;E2724,catClave,0))&amp;"",""))</f>
        <v/>
      </c>
      <c r="Z2724" s="52">
        <f>IF(P2724="","",WEEKDAY(B2724,2))</f>
        <v/>
      </c>
      <c r="AA2724" s="52">
        <f>IF(P2724="","",IF(AND(P2724="Gasto",X2724="Variable",D2724&lt;&gt;catTrading,S2724&gt;0,S2724&lt;=Umbral),1,0))</f>
        <v/>
      </c>
      <c r="AB2724" s="52">
        <f>IF(OR(P2724="",Q2724=""),"",IFERROR(IF(INDEX(ctaVinc,MATCH(Q2724,ctaNombre,0))&amp;""&lt;&gt;"",INDEX(ctaVinc,MATCH(Q2724,ctaNombre,0))&amp;"",Q2724),Q2724))</f>
        <v/>
      </c>
      <c r="AC2724" s="52">
        <f>IF(OR(K2724="",AND(P2724&lt;&gt;"Transferencia",P2724&lt;&gt;"Pago tarjeta")),"",IFERROR(IF(INDEX(ctaVinc,MATCH(K2724,ctaNombre,0))&amp;""&lt;&gt;"",INDEX(ctaVinc,MATCH(K2724,ctaNombre,0))&amp;"",K2724),K2724))</f>
        <v/>
      </c>
      <c r="AD2724" s="52">
        <f>IF(AB2724="","",IFERROR(INDEX(ctaTipo,MATCH(AB2724,ctaNombre,0))&amp;"",""))</f>
        <v/>
      </c>
      <c r="AE2724" s="52">
        <f>IF(AC2724="","",IFERROR(INDEX(ctaTipo,MATCH(AC2724,ctaNombre,0))&amp;"",""))</f>
        <v/>
      </c>
      <c r="AF2724" s="53">
        <f>IF(OR(P2724="",AB2724=""),"",IF(OR(P2724="Gasto",P2724="Transferencia",P2724="Pago tarjeta"),-1,1)*IF(IFERROR(INDEX(ctaMoneda,MATCH(AB2724,ctaNombre,0))&amp;"","DOP")="USD",T2724,S2724))</f>
        <v/>
      </c>
      <c r="AG2724" s="53">
        <f>IF(AC2724="","",IF(IFERROR(INDEX(ctaMoneda,MATCH(AC2724,ctaNombre,0))&amp;"","DOP")="USD",T2724,S2724))</f>
        <v/>
      </c>
      <c r="AH2724" s="53">
        <f>IF(P2724="","",IF(AND(AD2724&lt;&gt;"",COUNTIFS(tcTipo,AD2724,tcLiq,"Sí")&gt;0),IF(OR(P2724="Gasto",P2724="Transferencia",P2724="Pago tarjeta"),-1,1)*S2724,0)+IF(AND(AE2724&lt;&gt;"",COUNTIFS(tcTipo,AE2724,tcLiq,"Sí")&gt;0),S2724,0))</f>
        <v/>
      </c>
      <c r="AI2724" s="52">
        <f>IF(OR(L2724="",P2724=""),"",IF(COUNTIFS(L$6:L2724,L2724,P$6:P2724,"?*")=1,MAX(AI$5:AI2723)+1,""))</f>
        <v/>
      </c>
    </row>
    <row r="2725">
      <c r="B2725" s="47" t="n"/>
      <c r="C2725" s="48" t="n"/>
      <c r="D2725" s="48" t="n"/>
      <c r="E2725" s="48" t="n"/>
      <c r="F2725" s="48" t="n"/>
      <c r="G2725" s="49" t="n"/>
      <c r="H2725" s="48" t="n"/>
      <c r="I2725" s="50" t="n"/>
      <c r="J2725" s="48" t="n"/>
      <c r="K2725" s="48" t="n"/>
      <c r="L2725" s="48" t="n"/>
      <c r="M2725" s="48" t="n"/>
      <c r="N2725" s="48" t="n"/>
      <c r="O2725" s="51">
        <f>IF(AND(B2725="",G2725="",C2725="",D2725="",J2725=""),"",IF(B2725="","⚠ Falta fecha",IF(G2725="","⚠ Falta monto",IF(Q2725="","⚠ Falta cuenta",IF(ISNA(MATCH(Q2725,ctaNombre,0)),"⚠ Cuenta no registrada",IF(AND(OR(P2725="Gasto",P2725="Reembolso"),D2725=""),"⚠ Falta categoría",IF(AND(D2725&lt;&gt;"",E2725&lt;&gt;"",ISNA(MATCH(D2725&amp;"|"&amp;E2725,catClave,0))),"⚠ Subcategoría no corresponde",IF(AND(OR(P2725="Transferencia",P2725="Pago tarjeta"),K2725=""),"⚠ Falta cuenta destino",IF(AND(K2725&lt;&gt;"",P2725&lt;&gt;"Transferencia",P2725&lt;&gt;"Pago tarjeta"),"⚠ Destino solo aplica a transferencias",IF(AND(K2725&lt;&gt;"",K2725=Q2725),"⚠ Origen igual a destino",IF(AND(K2725&lt;&gt;"",ISNA(MATCH(K2725,ctaNombre,0))),"⚠ Destino no registrado",IF(AND(P2725="Pago tarjeta",AE2725&lt;&gt;"Tarjeta de crédito"),"⚠ El destino debe ser tarjeta de crédito",IF(AND(P2725="Gasto",E2725="Depósitos y retiros"),"⚠ Usa tipo Transferencia",IF(AND(P2725="Resultado trading",AD2725&lt;&gt;"Cuenta de trading"),"⚠ Usa una cuenta de trading",IF(AND(G2725&lt;=0,P2725&lt;&gt;"Ajuste",P2725&lt;&gt;"Resultado trading"),"⚠ El monto debe ser positivo","✓")))))))))))))))</f>
        <v/>
      </c>
      <c r="P2725" s="52">
        <f>IF(OR(B2725="",G2725=""),"",IF(C2725="","Gasto",C2725))</f>
        <v/>
      </c>
      <c r="Q2725" s="52">
        <f>IF(P2725="","",IF(J2725&lt;&gt;"",J2725,CuentaPred&amp;""))</f>
        <v/>
      </c>
      <c r="R2725" s="52">
        <f>IF(P2725="","",IF(ISNUMBER(I2725),I2725,TasaUSD))</f>
        <v/>
      </c>
      <c r="S2725" s="53">
        <f>IF(P2725="","",IF(H2725="USD",G2725*R2725,G2725))</f>
        <v/>
      </c>
      <c r="T2725" s="53">
        <f>IF(P2725="","",IF(H2725="USD",G2725,IF(R2725&gt;0,G2725/R2725,0)))</f>
        <v/>
      </c>
      <c r="U2725" s="53">
        <f>IF(P2725="","",IF(P2725="Gasto",S2725,IF(P2725="Reembolso",-S2725,0)))</f>
        <v/>
      </c>
      <c r="V2725" s="53">
        <f>IF(P2725="","",IF(P2725="Ingreso",S2725,0))</f>
        <v/>
      </c>
      <c r="W2725" s="53">
        <f>IF(P2725="","",IF(P2725="Resultado trading",S2725,0))</f>
        <v/>
      </c>
      <c r="X2725" s="52">
        <f>IF(OR(P2725="Gasto",P2725="Reembolso"),IF(M2725&lt;&gt;"",M2725,IFERROR(INDEX(catClasif,MATCH(D2725&amp;"|"&amp;E2725,catClave,0))&amp;"","Variable")),"")</f>
        <v/>
      </c>
      <c r="Y2725" s="52">
        <f>IF(P2725="","",IFERROR(INDEX(catGrupo,MATCH(D2725&amp;"|"&amp;E2725,catClave,0))&amp;"",""))</f>
        <v/>
      </c>
      <c r="Z2725" s="52">
        <f>IF(P2725="","",WEEKDAY(B2725,2))</f>
        <v/>
      </c>
      <c r="AA2725" s="52">
        <f>IF(P2725="","",IF(AND(P2725="Gasto",X2725="Variable",D2725&lt;&gt;catTrading,S2725&gt;0,S2725&lt;=Umbral),1,0))</f>
        <v/>
      </c>
      <c r="AB2725" s="52">
        <f>IF(OR(P2725="",Q2725=""),"",IFERROR(IF(INDEX(ctaVinc,MATCH(Q2725,ctaNombre,0))&amp;""&lt;&gt;"",INDEX(ctaVinc,MATCH(Q2725,ctaNombre,0))&amp;"",Q2725),Q2725))</f>
        <v/>
      </c>
      <c r="AC2725" s="52">
        <f>IF(OR(K2725="",AND(P2725&lt;&gt;"Transferencia",P2725&lt;&gt;"Pago tarjeta")),"",IFERROR(IF(INDEX(ctaVinc,MATCH(K2725,ctaNombre,0))&amp;""&lt;&gt;"",INDEX(ctaVinc,MATCH(K2725,ctaNombre,0))&amp;"",K2725),K2725))</f>
        <v/>
      </c>
      <c r="AD2725" s="52">
        <f>IF(AB2725="","",IFERROR(INDEX(ctaTipo,MATCH(AB2725,ctaNombre,0))&amp;"",""))</f>
        <v/>
      </c>
      <c r="AE2725" s="52">
        <f>IF(AC2725="","",IFERROR(INDEX(ctaTipo,MATCH(AC2725,ctaNombre,0))&amp;"",""))</f>
        <v/>
      </c>
      <c r="AF2725" s="53">
        <f>IF(OR(P2725="",AB2725=""),"",IF(OR(P2725="Gasto",P2725="Transferencia",P2725="Pago tarjeta"),-1,1)*IF(IFERROR(INDEX(ctaMoneda,MATCH(AB2725,ctaNombre,0))&amp;"","DOP")="USD",T2725,S2725))</f>
        <v/>
      </c>
      <c r="AG2725" s="53">
        <f>IF(AC2725="","",IF(IFERROR(INDEX(ctaMoneda,MATCH(AC2725,ctaNombre,0))&amp;"","DOP")="USD",T2725,S2725))</f>
        <v/>
      </c>
      <c r="AH2725" s="53">
        <f>IF(P2725="","",IF(AND(AD2725&lt;&gt;"",COUNTIFS(tcTipo,AD2725,tcLiq,"Sí")&gt;0),IF(OR(P2725="Gasto",P2725="Transferencia",P2725="Pago tarjeta"),-1,1)*S2725,0)+IF(AND(AE2725&lt;&gt;"",COUNTIFS(tcTipo,AE2725,tcLiq,"Sí")&gt;0),S2725,0))</f>
        <v/>
      </c>
      <c r="AI2725" s="52">
        <f>IF(OR(L2725="",P2725=""),"",IF(COUNTIFS(L$6:L2725,L2725,P$6:P2725,"?*")=1,MAX(AI$5:AI2724)+1,""))</f>
        <v/>
      </c>
    </row>
    <row r="2726">
      <c r="B2726" s="47" t="n"/>
      <c r="C2726" s="48" t="n"/>
      <c r="D2726" s="48" t="n"/>
      <c r="E2726" s="48" t="n"/>
      <c r="F2726" s="48" t="n"/>
      <c r="G2726" s="49" t="n"/>
      <c r="H2726" s="48" t="n"/>
      <c r="I2726" s="50" t="n"/>
      <c r="J2726" s="48" t="n"/>
      <c r="K2726" s="48" t="n"/>
      <c r="L2726" s="48" t="n"/>
      <c r="M2726" s="48" t="n"/>
      <c r="N2726" s="48" t="n"/>
      <c r="O2726" s="51">
        <f>IF(AND(B2726="",G2726="",C2726="",D2726="",J2726=""),"",IF(B2726="","⚠ Falta fecha",IF(G2726="","⚠ Falta monto",IF(Q2726="","⚠ Falta cuenta",IF(ISNA(MATCH(Q2726,ctaNombre,0)),"⚠ Cuenta no registrada",IF(AND(OR(P2726="Gasto",P2726="Reembolso"),D2726=""),"⚠ Falta categoría",IF(AND(D2726&lt;&gt;"",E2726&lt;&gt;"",ISNA(MATCH(D2726&amp;"|"&amp;E2726,catClave,0))),"⚠ Subcategoría no corresponde",IF(AND(OR(P2726="Transferencia",P2726="Pago tarjeta"),K2726=""),"⚠ Falta cuenta destino",IF(AND(K2726&lt;&gt;"",P2726&lt;&gt;"Transferencia",P2726&lt;&gt;"Pago tarjeta"),"⚠ Destino solo aplica a transferencias",IF(AND(K2726&lt;&gt;"",K2726=Q2726),"⚠ Origen igual a destino",IF(AND(K2726&lt;&gt;"",ISNA(MATCH(K2726,ctaNombre,0))),"⚠ Destino no registrado",IF(AND(P2726="Pago tarjeta",AE2726&lt;&gt;"Tarjeta de crédito"),"⚠ El destino debe ser tarjeta de crédito",IF(AND(P2726="Gasto",E2726="Depósitos y retiros"),"⚠ Usa tipo Transferencia",IF(AND(P2726="Resultado trading",AD2726&lt;&gt;"Cuenta de trading"),"⚠ Usa una cuenta de trading",IF(AND(G2726&lt;=0,P2726&lt;&gt;"Ajuste",P2726&lt;&gt;"Resultado trading"),"⚠ El monto debe ser positivo","✓")))))))))))))))</f>
        <v/>
      </c>
      <c r="P2726" s="52">
        <f>IF(OR(B2726="",G2726=""),"",IF(C2726="","Gasto",C2726))</f>
        <v/>
      </c>
      <c r="Q2726" s="52">
        <f>IF(P2726="","",IF(J2726&lt;&gt;"",J2726,CuentaPred&amp;""))</f>
        <v/>
      </c>
      <c r="R2726" s="52">
        <f>IF(P2726="","",IF(ISNUMBER(I2726),I2726,TasaUSD))</f>
        <v/>
      </c>
      <c r="S2726" s="53">
        <f>IF(P2726="","",IF(H2726="USD",G2726*R2726,G2726))</f>
        <v/>
      </c>
      <c r="T2726" s="53">
        <f>IF(P2726="","",IF(H2726="USD",G2726,IF(R2726&gt;0,G2726/R2726,0)))</f>
        <v/>
      </c>
      <c r="U2726" s="53">
        <f>IF(P2726="","",IF(P2726="Gasto",S2726,IF(P2726="Reembolso",-S2726,0)))</f>
        <v/>
      </c>
      <c r="V2726" s="53">
        <f>IF(P2726="","",IF(P2726="Ingreso",S2726,0))</f>
        <v/>
      </c>
      <c r="W2726" s="53">
        <f>IF(P2726="","",IF(P2726="Resultado trading",S2726,0))</f>
        <v/>
      </c>
      <c r="X2726" s="52">
        <f>IF(OR(P2726="Gasto",P2726="Reembolso"),IF(M2726&lt;&gt;"",M2726,IFERROR(INDEX(catClasif,MATCH(D2726&amp;"|"&amp;E2726,catClave,0))&amp;"","Variable")),"")</f>
        <v/>
      </c>
      <c r="Y2726" s="52">
        <f>IF(P2726="","",IFERROR(INDEX(catGrupo,MATCH(D2726&amp;"|"&amp;E2726,catClave,0))&amp;"",""))</f>
        <v/>
      </c>
      <c r="Z2726" s="52">
        <f>IF(P2726="","",WEEKDAY(B2726,2))</f>
        <v/>
      </c>
      <c r="AA2726" s="52">
        <f>IF(P2726="","",IF(AND(P2726="Gasto",X2726="Variable",D2726&lt;&gt;catTrading,S2726&gt;0,S2726&lt;=Umbral),1,0))</f>
        <v/>
      </c>
      <c r="AB2726" s="52">
        <f>IF(OR(P2726="",Q2726=""),"",IFERROR(IF(INDEX(ctaVinc,MATCH(Q2726,ctaNombre,0))&amp;""&lt;&gt;"",INDEX(ctaVinc,MATCH(Q2726,ctaNombre,0))&amp;"",Q2726),Q2726))</f>
        <v/>
      </c>
      <c r="AC2726" s="52">
        <f>IF(OR(K2726="",AND(P2726&lt;&gt;"Transferencia",P2726&lt;&gt;"Pago tarjeta")),"",IFERROR(IF(INDEX(ctaVinc,MATCH(K2726,ctaNombre,0))&amp;""&lt;&gt;"",INDEX(ctaVinc,MATCH(K2726,ctaNombre,0))&amp;"",K2726),K2726))</f>
        <v/>
      </c>
      <c r="AD2726" s="52">
        <f>IF(AB2726="","",IFERROR(INDEX(ctaTipo,MATCH(AB2726,ctaNombre,0))&amp;"",""))</f>
        <v/>
      </c>
      <c r="AE2726" s="52">
        <f>IF(AC2726="","",IFERROR(INDEX(ctaTipo,MATCH(AC2726,ctaNombre,0))&amp;"",""))</f>
        <v/>
      </c>
      <c r="AF2726" s="53">
        <f>IF(OR(P2726="",AB2726=""),"",IF(OR(P2726="Gasto",P2726="Transferencia",P2726="Pago tarjeta"),-1,1)*IF(IFERROR(INDEX(ctaMoneda,MATCH(AB2726,ctaNombre,0))&amp;"","DOP")="USD",T2726,S2726))</f>
        <v/>
      </c>
      <c r="AG2726" s="53">
        <f>IF(AC2726="","",IF(IFERROR(INDEX(ctaMoneda,MATCH(AC2726,ctaNombre,0))&amp;"","DOP")="USD",T2726,S2726))</f>
        <v/>
      </c>
      <c r="AH2726" s="53">
        <f>IF(P2726="","",IF(AND(AD2726&lt;&gt;"",COUNTIFS(tcTipo,AD2726,tcLiq,"Sí")&gt;0),IF(OR(P2726="Gasto",P2726="Transferencia",P2726="Pago tarjeta"),-1,1)*S2726,0)+IF(AND(AE2726&lt;&gt;"",COUNTIFS(tcTipo,AE2726,tcLiq,"Sí")&gt;0),S2726,0))</f>
        <v/>
      </c>
      <c r="AI2726" s="52">
        <f>IF(OR(L2726="",P2726=""),"",IF(COUNTIFS(L$6:L2726,L2726,P$6:P2726,"?*")=1,MAX(AI$5:AI2725)+1,""))</f>
        <v/>
      </c>
    </row>
    <row r="2727">
      <c r="B2727" s="47" t="n"/>
      <c r="C2727" s="48" t="n"/>
      <c r="D2727" s="48" t="n"/>
      <c r="E2727" s="48" t="n"/>
      <c r="F2727" s="48" t="n"/>
      <c r="G2727" s="49" t="n"/>
      <c r="H2727" s="48" t="n"/>
      <c r="I2727" s="50" t="n"/>
      <c r="J2727" s="48" t="n"/>
      <c r="K2727" s="48" t="n"/>
      <c r="L2727" s="48" t="n"/>
      <c r="M2727" s="48" t="n"/>
      <c r="N2727" s="48" t="n"/>
      <c r="O2727" s="51">
        <f>IF(AND(B2727="",G2727="",C2727="",D2727="",J2727=""),"",IF(B2727="","⚠ Falta fecha",IF(G2727="","⚠ Falta monto",IF(Q2727="","⚠ Falta cuenta",IF(ISNA(MATCH(Q2727,ctaNombre,0)),"⚠ Cuenta no registrada",IF(AND(OR(P2727="Gasto",P2727="Reembolso"),D2727=""),"⚠ Falta categoría",IF(AND(D2727&lt;&gt;"",E2727&lt;&gt;"",ISNA(MATCH(D2727&amp;"|"&amp;E2727,catClave,0))),"⚠ Subcategoría no corresponde",IF(AND(OR(P2727="Transferencia",P2727="Pago tarjeta"),K2727=""),"⚠ Falta cuenta destino",IF(AND(K2727&lt;&gt;"",P2727&lt;&gt;"Transferencia",P2727&lt;&gt;"Pago tarjeta"),"⚠ Destino solo aplica a transferencias",IF(AND(K2727&lt;&gt;"",K2727=Q2727),"⚠ Origen igual a destino",IF(AND(K2727&lt;&gt;"",ISNA(MATCH(K2727,ctaNombre,0))),"⚠ Destino no registrado",IF(AND(P2727="Pago tarjeta",AE2727&lt;&gt;"Tarjeta de crédito"),"⚠ El destino debe ser tarjeta de crédito",IF(AND(P2727="Gasto",E2727="Depósitos y retiros"),"⚠ Usa tipo Transferencia",IF(AND(P2727="Resultado trading",AD2727&lt;&gt;"Cuenta de trading"),"⚠ Usa una cuenta de trading",IF(AND(G2727&lt;=0,P2727&lt;&gt;"Ajuste",P2727&lt;&gt;"Resultado trading"),"⚠ El monto debe ser positivo","✓")))))))))))))))</f>
        <v/>
      </c>
      <c r="P2727" s="52">
        <f>IF(OR(B2727="",G2727=""),"",IF(C2727="","Gasto",C2727))</f>
        <v/>
      </c>
      <c r="Q2727" s="52">
        <f>IF(P2727="","",IF(J2727&lt;&gt;"",J2727,CuentaPred&amp;""))</f>
        <v/>
      </c>
      <c r="R2727" s="52">
        <f>IF(P2727="","",IF(ISNUMBER(I2727),I2727,TasaUSD))</f>
        <v/>
      </c>
      <c r="S2727" s="53">
        <f>IF(P2727="","",IF(H2727="USD",G2727*R2727,G2727))</f>
        <v/>
      </c>
      <c r="T2727" s="53">
        <f>IF(P2727="","",IF(H2727="USD",G2727,IF(R2727&gt;0,G2727/R2727,0)))</f>
        <v/>
      </c>
      <c r="U2727" s="53">
        <f>IF(P2727="","",IF(P2727="Gasto",S2727,IF(P2727="Reembolso",-S2727,0)))</f>
        <v/>
      </c>
      <c r="V2727" s="53">
        <f>IF(P2727="","",IF(P2727="Ingreso",S2727,0))</f>
        <v/>
      </c>
      <c r="W2727" s="53">
        <f>IF(P2727="","",IF(P2727="Resultado trading",S2727,0))</f>
        <v/>
      </c>
      <c r="X2727" s="52">
        <f>IF(OR(P2727="Gasto",P2727="Reembolso"),IF(M2727&lt;&gt;"",M2727,IFERROR(INDEX(catClasif,MATCH(D2727&amp;"|"&amp;E2727,catClave,0))&amp;"","Variable")),"")</f>
        <v/>
      </c>
      <c r="Y2727" s="52">
        <f>IF(P2727="","",IFERROR(INDEX(catGrupo,MATCH(D2727&amp;"|"&amp;E2727,catClave,0))&amp;"",""))</f>
        <v/>
      </c>
      <c r="Z2727" s="52">
        <f>IF(P2727="","",WEEKDAY(B2727,2))</f>
        <v/>
      </c>
      <c r="AA2727" s="52">
        <f>IF(P2727="","",IF(AND(P2727="Gasto",X2727="Variable",D2727&lt;&gt;catTrading,S2727&gt;0,S2727&lt;=Umbral),1,0))</f>
        <v/>
      </c>
      <c r="AB2727" s="52">
        <f>IF(OR(P2727="",Q2727=""),"",IFERROR(IF(INDEX(ctaVinc,MATCH(Q2727,ctaNombre,0))&amp;""&lt;&gt;"",INDEX(ctaVinc,MATCH(Q2727,ctaNombre,0))&amp;"",Q2727),Q2727))</f>
        <v/>
      </c>
      <c r="AC2727" s="52">
        <f>IF(OR(K2727="",AND(P2727&lt;&gt;"Transferencia",P2727&lt;&gt;"Pago tarjeta")),"",IFERROR(IF(INDEX(ctaVinc,MATCH(K2727,ctaNombre,0))&amp;""&lt;&gt;"",INDEX(ctaVinc,MATCH(K2727,ctaNombre,0))&amp;"",K2727),K2727))</f>
        <v/>
      </c>
      <c r="AD2727" s="52">
        <f>IF(AB2727="","",IFERROR(INDEX(ctaTipo,MATCH(AB2727,ctaNombre,0))&amp;"",""))</f>
        <v/>
      </c>
      <c r="AE2727" s="52">
        <f>IF(AC2727="","",IFERROR(INDEX(ctaTipo,MATCH(AC2727,ctaNombre,0))&amp;"",""))</f>
        <v/>
      </c>
      <c r="AF2727" s="53">
        <f>IF(OR(P2727="",AB2727=""),"",IF(OR(P2727="Gasto",P2727="Transferencia",P2727="Pago tarjeta"),-1,1)*IF(IFERROR(INDEX(ctaMoneda,MATCH(AB2727,ctaNombre,0))&amp;"","DOP")="USD",T2727,S2727))</f>
        <v/>
      </c>
      <c r="AG2727" s="53">
        <f>IF(AC2727="","",IF(IFERROR(INDEX(ctaMoneda,MATCH(AC2727,ctaNombre,0))&amp;"","DOP")="USD",T2727,S2727))</f>
        <v/>
      </c>
      <c r="AH2727" s="53">
        <f>IF(P2727="","",IF(AND(AD2727&lt;&gt;"",COUNTIFS(tcTipo,AD2727,tcLiq,"Sí")&gt;0),IF(OR(P2727="Gasto",P2727="Transferencia",P2727="Pago tarjeta"),-1,1)*S2727,0)+IF(AND(AE2727&lt;&gt;"",COUNTIFS(tcTipo,AE2727,tcLiq,"Sí")&gt;0),S2727,0))</f>
        <v/>
      </c>
      <c r="AI2727" s="52">
        <f>IF(OR(L2727="",P2727=""),"",IF(COUNTIFS(L$6:L2727,L2727,P$6:P2727,"?*")=1,MAX(AI$5:AI2726)+1,""))</f>
        <v/>
      </c>
    </row>
    <row r="2728">
      <c r="B2728" s="47" t="n"/>
      <c r="C2728" s="48" t="n"/>
      <c r="D2728" s="48" t="n"/>
      <c r="E2728" s="48" t="n"/>
      <c r="F2728" s="48" t="n"/>
      <c r="G2728" s="49" t="n"/>
      <c r="H2728" s="48" t="n"/>
      <c r="I2728" s="50" t="n"/>
      <c r="J2728" s="48" t="n"/>
      <c r="K2728" s="48" t="n"/>
      <c r="L2728" s="48" t="n"/>
      <c r="M2728" s="48" t="n"/>
      <c r="N2728" s="48" t="n"/>
      <c r="O2728" s="51">
        <f>IF(AND(B2728="",G2728="",C2728="",D2728="",J2728=""),"",IF(B2728="","⚠ Falta fecha",IF(G2728="","⚠ Falta monto",IF(Q2728="","⚠ Falta cuenta",IF(ISNA(MATCH(Q2728,ctaNombre,0)),"⚠ Cuenta no registrada",IF(AND(OR(P2728="Gasto",P2728="Reembolso"),D2728=""),"⚠ Falta categoría",IF(AND(D2728&lt;&gt;"",E2728&lt;&gt;"",ISNA(MATCH(D2728&amp;"|"&amp;E2728,catClave,0))),"⚠ Subcategoría no corresponde",IF(AND(OR(P2728="Transferencia",P2728="Pago tarjeta"),K2728=""),"⚠ Falta cuenta destino",IF(AND(K2728&lt;&gt;"",P2728&lt;&gt;"Transferencia",P2728&lt;&gt;"Pago tarjeta"),"⚠ Destino solo aplica a transferencias",IF(AND(K2728&lt;&gt;"",K2728=Q2728),"⚠ Origen igual a destino",IF(AND(K2728&lt;&gt;"",ISNA(MATCH(K2728,ctaNombre,0))),"⚠ Destino no registrado",IF(AND(P2728="Pago tarjeta",AE2728&lt;&gt;"Tarjeta de crédito"),"⚠ El destino debe ser tarjeta de crédito",IF(AND(P2728="Gasto",E2728="Depósitos y retiros"),"⚠ Usa tipo Transferencia",IF(AND(P2728="Resultado trading",AD2728&lt;&gt;"Cuenta de trading"),"⚠ Usa una cuenta de trading",IF(AND(G2728&lt;=0,P2728&lt;&gt;"Ajuste",P2728&lt;&gt;"Resultado trading"),"⚠ El monto debe ser positivo","✓")))))))))))))))</f>
        <v/>
      </c>
      <c r="P2728" s="52">
        <f>IF(OR(B2728="",G2728=""),"",IF(C2728="","Gasto",C2728))</f>
        <v/>
      </c>
      <c r="Q2728" s="52">
        <f>IF(P2728="","",IF(J2728&lt;&gt;"",J2728,CuentaPred&amp;""))</f>
        <v/>
      </c>
      <c r="R2728" s="52">
        <f>IF(P2728="","",IF(ISNUMBER(I2728),I2728,TasaUSD))</f>
        <v/>
      </c>
      <c r="S2728" s="53">
        <f>IF(P2728="","",IF(H2728="USD",G2728*R2728,G2728))</f>
        <v/>
      </c>
      <c r="T2728" s="53">
        <f>IF(P2728="","",IF(H2728="USD",G2728,IF(R2728&gt;0,G2728/R2728,0)))</f>
        <v/>
      </c>
      <c r="U2728" s="53">
        <f>IF(P2728="","",IF(P2728="Gasto",S2728,IF(P2728="Reembolso",-S2728,0)))</f>
        <v/>
      </c>
      <c r="V2728" s="53">
        <f>IF(P2728="","",IF(P2728="Ingreso",S2728,0))</f>
        <v/>
      </c>
      <c r="W2728" s="53">
        <f>IF(P2728="","",IF(P2728="Resultado trading",S2728,0))</f>
        <v/>
      </c>
      <c r="X2728" s="52">
        <f>IF(OR(P2728="Gasto",P2728="Reembolso"),IF(M2728&lt;&gt;"",M2728,IFERROR(INDEX(catClasif,MATCH(D2728&amp;"|"&amp;E2728,catClave,0))&amp;"","Variable")),"")</f>
        <v/>
      </c>
      <c r="Y2728" s="52">
        <f>IF(P2728="","",IFERROR(INDEX(catGrupo,MATCH(D2728&amp;"|"&amp;E2728,catClave,0))&amp;"",""))</f>
        <v/>
      </c>
      <c r="Z2728" s="52">
        <f>IF(P2728="","",WEEKDAY(B2728,2))</f>
        <v/>
      </c>
      <c r="AA2728" s="52">
        <f>IF(P2728="","",IF(AND(P2728="Gasto",X2728="Variable",D2728&lt;&gt;catTrading,S2728&gt;0,S2728&lt;=Umbral),1,0))</f>
        <v/>
      </c>
      <c r="AB2728" s="52">
        <f>IF(OR(P2728="",Q2728=""),"",IFERROR(IF(INDEX(ctaVinc,MATCH(Q2728,ctaNombre,0))&amp;""&lt;&gt;"",INDEX(ctaVinc,MATCH(Q2728,ctaNombre,0))&amp;"",Q2728),Q2728))</f>
        <v/>
      </c>
      <c r="AC2728" s="52">
        <f>IF(OR(K2728="",AND(P2728&lt;&gt;"Transferencia",P2728&lt;&gt;"Pago tarjeta")),"",IFERROR(IF(INDEX(ctaVinc,MATCH(K2728,ctaNombre,0))&amp;""&lt;&gt;"",INDEX(ctaVinc,MATCH(K2728,ctaNombre,0))&amp;"",K2728),K2728))</f>
        <v/>
      </c>
      <c r="AD2728" s="52">
        <f>IF(AB2728="","",IFERROR(INDEX(ctaTipo,MATCH(AB2728,ctaNombre,0))&amp;"",""))</f>
        <v/>
      </c>
      <c r="AE2728" s="52">
        <f>IF(AC2728="","",IFERROR(INDEX(ctaTipo,MATCH(AC2728,ctaNombre,0))&amp;"",""))</f>
        <v/>
      </c>
      <c r="AF2728" s="53">
        <f>IF(OR(P2728="",AB2728=""),"",IF(OR(P2728="Gasto",P2728="Transferencia",P2728="Pago tarjeta"),-1,1)*IF(IFERROR(INDEX(ctaMoneda,MATCH(AB2728,ctaNombre,0))&amp;"","DOP")="USD",T2728,S2728))</f>
        <v/>
      </c>
      <c r="AG2728" s="53">
        <f>IF(AC2728="","",IF(IFERROR(INDEX(ctaMoneda,MATCH(AC2728,ctaNombre,0))&amp;"","DOP")="USD",T2728,S2728))</f>
        <v/>
      </c>
      <c r="AH2728" s="53">
        <f>IF(P2728="","",IF(AND(AD2728&lt;&gt;"",COUNTIFS(tcTipo,AD2728,tcLiq,"Sí")&gt;0),IF(OR(P2728="Gasto",P2728="Transferencia",P2728="Pago tarjeta"),-1,1)*S2728,0)+IF(AND(AE2728&lt;&gt;"",COUNTIFS(tcTipo,AE2728,tcLiq,"Sí")&gt;0),S2728,0))</f>
        <v/>
      </c>
      <c r="AI2728" s="52">
        <f>IF(OR(L2728="",P2728=""),"",IF(COUNTIFS(L$6:L2728,L2728,P$6:P2728,"?*")=1,MAX(AI$5:AI2727)+1,""))</f>
        <v/>
      </c>
    </row>
    <row r="2729">
      <c r="B2729" s="47" t="n"/>
      <c r="C2729" s="48" t="n"/>
      <c r="D2729" s="48" t="n"/>
      <c r="E2729" s="48" t="n"/>
      <c r="F2729" s="48" t="n"/>
      <c r="G2729" s="49" t="n"/>
      <c r="H2729" s="48" t="n"/>
      <c r="I2729" s="50" t="n"/>
      <c r="J2729" s="48" t="n"/>
      <c r="K2729" s="48" t="n"/>
      <c r="L2729" s="48" t="n"/>
      <c r="M2729" s="48" t="n"/>
      <c r="N2729" s="48" t="n"/>
      <c r="O2729" s="51">
        <f>IF(AND(B2729="",G2729="",C2729="",D2729="",J2729=""),"",IF(B2729="","⚠ Falta fecha",IF(G2729="","⚠ Falta monto",IF(Q2729="","⚠ Falta cuenta",IF(ISNA(MATCH(Q2729,ctaNombre,0)),"⚠ Cuenta no registrada",IF(AND(OR(P2729="Gasto",P2729="Reembolso"),D2729=""),"⚠ Falta categoría",IF(AND(D2729&lt;&gt;"",E2729&lt;&gt;"",ISNA(MATCH(D2729&amp;"|"&amp;E2729,catClave,0))),"⚠ Subcategoría no corresponde",IF(AND(OR(P2729="Transferencia",P2729="Pago tarjeta"),K2729=""),"⚠ Falta cuenta destino",IF(AND(K2729&lt;&gt;"",P2729&lt;&gt;"Transferencia",P2729&lt;&gt;"Pago tarjeta"),"⚠ Destino solo aplica a transferencias",IF(AND(K2729&lt;&gt;"",K2729=Q2729),"⚠ Origen igual a destino",IF(AND(K2729&lt;&gt;"",ISNA(MATCH(K2729,ctaNombre,0))),"⚠ Destino no registrado",IF(AND(P2729="Pago tarjeta",AE2729&lt;&gt;"Tarjeta de crédito"),"⚠ El destino debe ser tarjeta de crédito",IF(AND(P2729="Gasto",E2729="Depósitos y retiros"),"⚠ Usa tipo Transferencia",IF(AND(P2729="Resultado trading",AD2729&lt;&gt;"Cuenta de trading"),"⚠ Usa una cuenta de trading",IF(AND(G2729&lt;=0,P2729&lt;&gt;"Ajuste",P2729&lt;&gt;"Resultado trading"),"⚠ El monto debe ser positivo","✓")))))))))))))))</f>
        <v/>
      </c>
      <c r="P2729" s="52">
        <f>IF(OR(B2729="",G2729=""),"",IF(C2729="","Gasto",C2729))</f>
        <v/>
      </c>
      <c r="Q2729" s="52">
        <f>IF(P2729="","",IF(J2729&lt;&gt;"",J2729,CuentaPred&amp;""))</f>
        <v/>
      </c>
      <c r="R2729" s="52">
        <f>IF(P2729="","",IF(ISNUMBER(I2729),I2729,TasaUSD))</f>
        <v/>
      </c>
      <c r="S2729" s="53">
        <f>IF(P2729="","",IF(H2729="USD",G2729*R2729,G2729))</f>
        <v/>
      </c>
      <c r="T2729" s="53">
        <f>IF(P2729="","",IF(H2729="USD",G2729,IF(R2729&gt;0,G2729/R2729,0)))</f>
        <v/>
      </c>
      <c r="U2729" s="53">
        <f>IF(P2729="","",IF(P2729="Gasto",S2729,IF(P2729="Reembolso",-S2729,0)))</f>
        <v/>
      </c>
      <c r="V2729" s="53">
        <f>IF(P2729="","",IF(P2729="Ingreso",S2729,0))</f>
        <v/>
      </c>
      <c r="W2729" s="53">
        <f>IF(P2729="","",IF(P2729="Resultado trading",S2729,0))</f>
        <v/>
      </c>
      <c r="X2729" s="52">
        <f>IF(OR(P2729="Gasto",P2729="Reembolso"),IF(M2729&lt;&gt;"",M2729,IFERROR(INDEX(catClasif,MATCH(D2729&amp;"|"&amp;E2729,catClave,0))&amp;"","Variable")),"")</f>
        <v/>
      </c>
      <c r="Y2729" s="52">
        <f>IF(P2729="","",IFERROR(INDEX(catGrupo,MATCH(D2729&amp;"|"&amp;E2729,catClave,0))&amp;"",""))</f>
        <v/>
      </c>
      <c r="Z2729" s="52">
        <f>IF(P2729="","",WEEKDAY(B2729,2))</f>
        <v/>
      </c>
      <c r="AA2729" s="52">
        <f>IF(P2729="","",IF(AND(P2729="Gasto",X2729="Variable",D2729&lt;&gt;catTrading,S2729&gt;0,S2729&lt;=Umbral),1,0))</f>
        <v/>
      </c>
      <c r="AB2729" s="52">
        <f>IF(OR(P2729="",Q2729=""),"",IFERROR(IF(INDEX(ctaVinc,MATCH(Q2729,ctaNombre,0))&amp;""&lt;&gt;"",INDEX(ctaVinc,MATCH(Q2729,ctaNombre,0))&amp;"",Q2729),Q2729))</f>
        <v/>
      </c>
      <c r="AC2729" s="52">
        <f>IF(OR(K2729="",AND(P2729&lt;&gt;"Transferencia",P2729&lt;&gt;"Pago tarjeta")),"",IFERROR(IF(INDEX(ctaVinc,MATCH(K2729,ctaNombre,0))&amp;""&lt;&gt;"",INDEX(ctaVinc,MATCH(K2729,ctaNombre,0))&amp;"",K2729),K2729))</f>
        <v/>
      </c>
      <c r="AD2729" s="52">
        <f>IF(AB2729="","",IFERROR(INDEX(ctaTipo,MATCH(AB2729,ctaNombre,0))&amp;"",""))</f>
        <v/>
      </c>
      <c r="AE2729" s="52">
        <f>IF(AC2729="","",IFERROR(INDEX(ctaTipo,MATCH(AC2729,ctaNombre,0))&amp;"",""))</f>
        <v/>
      </c>
      <c r="AF2729" s="53">
        <f>IF(OR(P2729="",AB2729=""),"",IF(OR(P2729="Gasto",P2729="Transferencia",P2729="Pago tarjeta"),-1,1)*IF(IFERROR(INDEX(ctaMoneda,MATCH(AB2729,ctaNombre,0))&amp;"","DOP")="USD",T2729,S2729))</f>
        <v/>
      </c>
      <c r="AG2729" s="53">
        <f>IF(AC2729="","",IF(IFERROR(INDEX(ctaMoneda,MATCH(AC2729,ctaNombre,0))&amp;"","DOP")="USD",T2729,S2729))</f>
        <v/>
      </c>
      <c r="AH2729" s="53">
        <f>IF(P2729="","",IF(AND(AD2729&lt;&gt;"",COUNTIFS(tcTipo,AD2729,tcLiq,"Sí")&gt;0),IF(OR(P2729="Gasto",P2729="Transferencia",P2729="Pago tarjeta"),-1,1)*S2729,0)+IF(AND(AE2729&lt;&gt;"",COUNTIFS(tcTipo,AE2729,tcLiq,"Sí")&gt;0),S2729,0))</f>
        <v/>
      </c>
      <c r="AI2729" s="52">
        <f>IF(OR(L2729="",P2729=""),"",IF(COUNTIFS(L$6:L2729,L2729,P$6:P2729,"?*")=1,MAX(AI$5:AI2728)+1,""))</f>
        <v/>
      </c>
    </row>
    <row r="2730">
      <c r="B2730" s="47" t="n"/>
      <c r="C2730" s="48" t="n"/>
      <c r="D2730" s="48" t="n"/>
      <c r="E2730" s="48" t="n"/>
      <c r="F2730" s="48" t="n"/>
      <c r="G2730" s="49" t="n"/>
      <c r="H2730" s="48" t="n"/>
      <c r="I2730" s="50" t="n"/>
      <c r="J2730" s="48" t="n"/>
      <c r="K2730" s="48" t="n"/>
      <c r="L2730" s="48" t="n"/>
      <c r="M2730" s="48" t="n"/>
      <c r="N2730" s="48" t="n"/>
      <c r="O2730" s="51">
        <f>IF(AND(B2730="",G2730="",C2730="",D2730="",J2730=""),"",IF(B2730="","⚠ Falta fecha",IF(G2730="","⚠ Falta monto",IF(Q2730="","⚠ Falta cuenta",IF(ISNA(MATCH(Q2730,ctaNombre,0)),"⚠ Cuenta no registrada",IF(AND(OR(P2730="Gasto",P2730="Reembolso"),D2730=""),"⚠ Falta categoría",IF(AND(D2730&lt;&gt;"",E2730&lt;&gt;"",ISNA(MATCH(D2730&amp;"|"&amp;E2730,catClave,0))),"⚠ Subcategoría no corresponde",IF(AND(OR(P2730="Transferencia",P2730="Pago tarjeta"),K2730=""),"⚠ Falta cuenta destino",IF(AND(K2730&lt;&gt;"",P2730&lt;&gt;"Transferencia",P2730&lt;&gt;"Pago tarjeta"),"⚠ Destino solo aplica a transferencias",IF(AND(K2730&lt;&gt;"",K2730=Q2730),"⚠ Origen igual a destino",IF(AND(K2730&lt;&gt;"",ISNA(MATCH(K2730,ctaNombre,0))),"⚠ Destino no registrado",IF(AND(P2730="Pago tarjeta",AE2730&lt;&gt;"Tarjeta de crédito"),"⚠ El destino debe ser tarjeta de crédito",IF(AND(P2730="Gasto",E2730="Depósitos y retiros"),"⚠ Usa tipo Transferencia",IF(AND(P2730="Resultado trading",AD2730&lt;&gt;"Cuenta de trading"),"⚠ Usa una cuenta de trading",IF(AND(G2730&lt;=0,P2730&lt;&gt;"Ajuste",P2730&lt;&gt;"Resultado trading"),"⚠ El monto debe ser positivo","✓")))))))))))))))</f>
        <v/>
      </c>
      <c r="P2730" s="52">
        <f>IF(OR(B2730="",G2730=""),"",IF(C2730="","Gasto",C2730))</f>
        <v/>
      </c>
      <c r="Q2730" s="52">
        <f>IF(P2730="","",IF(J2730&lt;&gt;"",J2730,CuentaPred&amp;""))</f>
        <v/>
      </c>
      <c r="R2730" s="52">
        <f>IF(P2730="","",IF(ISNUMBER(I2730),I2730,TasaUSD))</f>
        <v/>
      </c>
      <c r="S2730" s="53">
        <f>IF(P2730="","",IF(H2730="USD",G2730*R2730,G2730))</f>
        <v/>
      </c>
      <c r="T2730" s="53">
        <f>IF(P2730="","",IF(H2730="USD",G2730,IF(R2730&gt;0,G2730/R2730,0)))</f>
        <v/>
      </c>
      <c r="U2730" s="53">
        <f>IF(P2730="","",IF(P2730="Gasto",S2730,IF(P2730="Reembolso",-S2730,0)))</f>
        <v/>
      </c>
      <c r="V2730" s="53">
        <f>IF(P2730="","",IF(P2730="Ingreso",S2730,0))</f>
        <v/>
      </c>
      <c r="W2730" s="53">
        <f>IF(P2730="","",IF(P2730="Resultado trading",S2730,0))</f>
        <v/>
      </c>
      <c r="X2730" s="52">
        <f>IF(OR(P2730="Gasto",P2730="Reembolso"),IF(M2730&lt;&gt;"",M2730,IFERROR(INDEX(catClasif,MATCH(D2730&amp;"|"&amp;E2730,catClave,0))&amp;"","Variable")),"")</f>
        <v/>
      </c>
      <c r="Y2730" s="52">
        <f>IF(P2730="","",IFERROR(INDEX(catGrupo,MATCH(D2730&amp;"|"&amp;E2730,catClave,0))&amp;"",""))</f>
        <v/>
      </c>
      <c r="Z2730" s="52">
        <f>IF(P2730="","",WEEKDAY(B2730,2))</f>
        <v/>
      </c>
      <c r="AA2730" s="52">
        <f>IF(P2730="","",IF(AND(P2730="Gasto",X2730="Variable",D2730&lt;&gt;catTrading,S2730&gt;0,S2730&lt;=Umbral),1,0))</f>
        <v/>
      </c>
      <c r="AB2730" s="52">
        <f>IF(OR(P2730="",Q2730=""),"",IFERROR(IF(INDEX(ctaVinc,MATCH(Q2730,ctaNombre,0))&amp;""&lt;&gt;"",INDEX(ctaVinc,MATCH(Q2730,ctaNombre,0))&amp;"",Q2730),Q2730))</f>
        <v/>
      </c>
      <c r="AC2730" s="52">
        <f>IF(OR(K2730="",AND(P2730&lt;&gt;"Transferencia",P2730&lt;&gt;"Pago tarjeta")),"",IFERROR(IF(INDEX(ctaVinc,MATCH(K2730,ctaNombre,0))&amp;""&lt;&gt;"",INDEX(ctaVinc,MATCH(K2730,ctaNombre,0))&amp;"",K2730),K2730))</f>
        <v/>
      </c>
      <c r="AD2730" s="52">
        <f>IF(AB2730="","",IFERROR(INDEX(ctaTipo,MATCH(AB2730,ctaNombre,0))&amp;"",""))</f>
        <v/>
      </c>
      <c r="AE2730" s="52">
        <f>IF(AC2730="","",IFERROR(INDEX(ctaTipo,MATCH(AC2730,ctaNombre,0))&amp;"",""))</f>
        <v/>
      </c>
      <c r="AF2730" s="53">
        <f>IF(OR(P2730="",AB2730=""),"",IF(OR(P2730="Gasto",P2730="Transferencia",P2730="Pago tarjeta"),-1,1)*IF(IFERROR(INDEX(ctaMoneda,MATCH(AB2730,ctaNombre,0))&amp;"","DOP")="USD",T2730,S2730))</f>
        <v/>
      </c>
      <c r="AG2730" s="53">
        <f>IF(AC2730="","",IF(IFERROR(INDEX(ctaMoneda,MATCH(AC2730,ctaNombre,0))&amp;"","DOP")="USD",T2730,S2730))</f>
        <v/>
      </c>
      <c r="AH2730" s="53">
        <f>IF(P2730="","",IF(AND(AD2730&lt;&gt;"",COUNTIFS(tcTipo,AD2730,tcLiq,"Sí")&gt;0),IF(OR(P2730="Gasto",P2730="Transferencia",P2730="Pago tarjeta"),-1,1)*S2730,0)+IF(AND(AE2730&lt;&gt;"",COUNTIFS(tcTipo,AE2730,tcLiq,"Sí")&gt;0),S2730,0))</f>
        <v/>
      </c>
      <c r="AI2730" s="52">
        <f>IF(OR(L2730="",P2730=""),"",IF(COUNTIFS(L$6:L2730,L2730,P$6:P2730,"?*")=1,MAX(AI$5:AI2729)+1,""))</f>
        <v/>
      </c>
    </row>
    <row r="2731">
      <c r="B2731" s="47" t="n"/>
      <c r="C2731" s="48" t="n"/>
      <c r="D2731" s="48" t="n"/>
      <c r="E2731" s="48" t="n"/>
      <c r="F2731" s="48" t="n"/>
      <c r="G2731" s="49" t="n"/>
      <c r="H2731" s="48" t="n"/>
      <c r="I2731" s="50" t="n"/>
      <c r="J2731" s="48" t="n"/>
      <c r="K2731" s="48" t="n"/>
      <c r="L2731" s="48" t="n"/>
      <c r="M2731" s="48" t="n"/>
      <c r="N2731" s="48" t="n"/>
      <c r="O2731" s="51">
        <f>IF(AND(B2731="",G2731="",C2731="",D2731="",J2731=""),"",IF(B2731="","⚠ Falta fecha",IF(G2731="","⚠ Falta monto",IF(Q2731="","⚠ Falta cuenta",IF(ISNA(MATCH(Q2731,ctaNombre,0)),"⚠ Cuenta no registrada",IF(AND(OR(P2731="Gasto",P2731="Reembolso"),D2731=""),"⚠ Falta categoría",IF(AND(D2731&lt;&gt;"",E2731&lt;&gt;"",ISNA(MATCH(D2731&amp;"|"&amp;E2731,catClave,0))),"⚠ Subcategoría no corresponde",IF(AND(OR(P2731="Transferencia",P2731="Pago tarjeta"),K2731=""),"⚠ Falta cuenta destino",IF(AND(K2731&lt;&gt;"",P2731&lt;&gt;"Transferencia",P2731&lt;&gt;"Pago tarjeta"),"⚠ Destino solo aplica a transferencias",IF(AND(K2731&lt;&gt;"",K2731=Q2731),"⚠ Origen igual a destino",IF(AND(K2731&lt;&gt;"",ISNA(MATCH(K2731,ctaNombre,0))),"⚠ Destino no registrado",IF(AND(P2731="Pago tarjeta",AE2731&lt;&gt;"Tarjeta de crédito"),"⚠ El destino debe ser tarjeta de crédito",IF(AND(P2731="Gasto",E2731="Depósitos y retiros"),"⚠ Usa tipo Transferencia",IF(AND(P2731="Resultado trading",AD2731&lt;&gt;"Cuenta de trading"),"⚠ Usa una cuenta de trading",IF(AND(G2731&lt;=0,P2731&lt;&gt;"Ajuste",P2731&lt;&gt;"Resultado trading"),"⚠ El monto debe ser positivo","✓")))))))))))))))</f>
        <v/>
      </c>
      <c r="P2731" s="52">
        <f>IF(OR(B2731="",G2731=""),"",IF(C2731="","Gasto",C2731))</f>
        <v/>
      </c>
      <c r="Q2731" s="52">
        <f>IF(P2731="","",IF(J2731&lt;&gt;"",J2731,CuentaPred&amp;""))</f>
        <v/>
      </c>
      <c r="R2731" s="52">
        <f>IF(P2731="","",IF(ISNUMBER(I2731),I2731,TasaUSD))</f>
        <v/>
      </c>
      <c r="S2731" s="53">
        <f>IF(P2731="","",IF(H2731="USD",G2731*R2731,G2731))</f>
        <v/>
      </c>
      <c r="T2731" s="53">
        <f>IF(P2731="","",IF(H2731="USD",G2731,IF(R2731&gt;0,G2731/R2731,0)))</f>
        <v/>
      </c>
      <c r="U2731" s="53">
        <f>IF(P2731="","",IF(P2731="Gasto",S2731,IF(P2731="Reembolso",-S2731,0)))</f>
        <v/>
      </c>
      <c r="V2731" s="53">
        <f>IF(P2731="","",IF(P2731="Ingreso",S2731,0))</f>
        <v/>
      </c>
      <c r="W2731" s="53">
        <f>IF(P2731="","",IF(P2731="Resultado trading",S2731,0))</f>
        <v/>
      </c>
      <c r="X2731" s="52">
        <f>IF(OR(P2731="Gasto",P2731="Reembolso"),IF(M2731&lt;&gt;"",M2731,IFERROR(INDEX(catClasif,MATCH(D2731&amp;"|"&amp;E2731,catClave,0))&amp;"","Variable")),"")</f>
        <v/>
      </c>
      <c r="Y2731" s="52">
        <f>IF(P2731="","",IFERROR(INDEX(catGrupo,MATCH(D2731&amp;"|"&amp;E2731,catClave,0))&amp;"",""))</f>
        <v/>
      </c>
      <c r="Z2731" s="52">
        <f>IF(P2731="","",WEEKDAY(B2731,2))</f>
        <v/>
      </c>
      <c r="AA2731" s="52">
        <f>IF(P2731="","",IF(AND(P2731="Gasto",X2731="Variable",D2731&lt;&gt;catTrading,S2731&gt;0,S2731&lt;=Umbral),1,0))</f>
        <v/>
      </c>
      <c r="AB2731" s="52">
        <f>IF(OR(P2731="",Q2731=""),"",IFERROR(IF(INDEX(ctaVinc,MATCH(Q2731,ctaNombre,0))&amp;""&lt;&gt;"",INDEX(ctaVinc,MATCH(Q2731,ctaNombre,0))&amp;"",Q2731),Q2731))</f>
        <v/>
      </c>
      <c r="AC2731" s="52">
        <f>IF(OR(K2731="",AND(P2731&lt;&gt;"Transferencia",P2731&lt;&gt;"Pago tarjeta")),"",IFERROR(IF(INDEX(ctaVinc,MATCH(K2731,ctaNombre,0))&amp;""&lt;&gt;"",INDEX(ctaVinc,MATCH(K2731,ctaNombre,0))&amp;"",K2731),K2731))</f>
        <v/>
      </c>
      <c r="AD2731" s="52">
        <f>IF(AB2731="","",IFERROR(INDEX(ctaTipo,MATCH(AB2731,ctaNombre,0))&amp;"",""))</f>
        <v/>
      </c>
      <c r="AE2731" s="52">
        <f>IF(AC2731="","",IFERROR(INDEX(ctaTipo,MATCH(AC2731,ctaNombre,0))&amp;"",""))</f>
        <v/>
      </c>
      <c r="AF2731" s="53">
        <f>IF(OR(P2731="",AB2731=""),"",IF(OR(P2731="Gasto",P2731="Transferencia",P2731="Pago tarjeta"),-1,1)*IF(IFERROR(INDEX(ctaMoneda,MATCH(AB2731,ctaNombre,0))&amp;"","DOP")="USD",T2731,S2731))</f>
        <v/>
      </c>
      <c r="AG2731" s="53">
        <f>IF(AC2731="","",IF(IFERROR(INDEX(ctaMoneda,MATCH(AC2731,ctaNombre,0))&amp;"","DOP")="USD",T2731,S2731))</f>
        <v/>
      </c>
      <c r="AH2731" s="53">
        <f>IF(P2731="","",IF(AND(AD2731&lt;&gt;"",COUNTIFS(tcTipo,AD2731,tcLiq,"Sí")&gt;0),IF(OR(P2731="Gasto",P2731="Transferencia",P2731="Pago tarjeta"),-1,1)*S2731,0)+IF(AND(AE2731&lt;&gt;"",COUNTIFS(tcTipo,AE2731,tcLiq,"Sí")&gt;0),S2731,0))</f>
        <v/>
      </c>
      <c r="AI2731" s="52">
        <f>IF(OR(L2731="",P2731=""),"",IF(COUNTIFS(L$6:L2731,L2731,P$6:P2731,"?*")=1,MAX(AI$5:AI2730)+1,""))</f>
        <v/>
      </c>
    </row>
    <row r="2732">
      <c r="B2732" s="47" t="n"/>
      <c r="C2732" s="48" t="n"/>
      <c r="D2732" s="48" t="n"/>
      <c r="E2732" s="48" t="n"/>
      <c r="F2732" s="48" t="n"/>
      <c r="G2732" s="49" t="n"/>
      <c r="H2732" s="48" t="n"/>
      <c r="I2732" s="50" t="n"/>
      <c r="J2732" s="48" t="n"/>
      <c r="K2732" s="48" t="n"/>
      <c r="L2732" s="48" t="n"/>
      <c r="M2732" s="48" t="n"/>
      <c r="N2732" s="48" t="n"/>
      <c r="O2732" s="51">
        <f>IF(AND(B2732="",G2732="",C2732="",D2732="",J2732=""),"",IF(B2732="","⚠ Falta fecha",IF(G2732="","⚠ Falta monto",IF(Q2732="","⚠ Falta cuenta",IF(ISNA(MATCH(Q2732,ctaNombre,0)),"⚠ Cuenta no registrada",IF(AND(OR(P2732="Gasto",P2732="Reembolso"),D2732=""),"⚠ Falta categoría",IF(AND(D2732&lt;&gt;"",E2732&lt;&gt;"",ISNA(MATCH(D2732&amp;"|"&amp;E2732,catClave,0))),"⚠ Subcategoría no corresponde",IF(AND(OR(P2732="Transferencia",P2732="Pago tarjeta"),K2732=""),"⚠ Falta cuenta destino",IF(AND(K2732&lt;&gt;"",P2732&lt;&gt;"Transferencia",P2732&lt;&gt;"Pago tarjeta"),"⚠ Destino solo aplica a transferencias",IF(AND(K2732&lt;&gt;"",K2732=Q2732),"⚠ Origen igual a destino",IF(AND(K2732&lt;&gt;"",ISNA(MATCH(K2732,ctaNombre,0))),"⚠ Destino no registrado",IF(AND(P2732="Pago tarjeta",AE2732&lt;&gt;"Tarjeta de crédito"),"⚠ El destino debe ser tarjeta de crédito",IF(AND(P2732="Gasto",E2732="Depósitos y retiros"),"⚠ Usa tipo Transferencia",IF(AND(P2732="Resultado trading",AD2732&lt;&gt;"Cuenta de trading"),"⚠ Usa una cuenta de trading",IF(AND(G2732&lt;=0,P2732&lt;&gt;"Ajuste",P2732&lt;&gt;"Resultado trading"),"⚠ El monto debe ser positivo","✓")))))))))))))))</f>
        <v/>
      </c>
      <c r="P2732" s="52">
        <f>IF(OR(B2732="",G2732=""),"",IF(C2732="","Gasto",C2732))</f>
        <v/>
      </c>
      <c r="Q2732" s="52">
        <f>IF(P2732="","",IF(J2732&lt;&gt;"",J2732,CuentaPred&amp;""))</f>
        <v/>
      </c>
      <c r="R2732" s="52">
        <f>IF(P2732="","",IF(ISNUMBER(I2732),I2732,TasaUSD))</f>
        <v/>
      </c>
      <c r="S2732" s="53">
        <f>IF(P2732="","",IF(H2732="USD",G2732*R2732,G2732))</f>
        <v/>
      </c>
      <c r="T2732" s="53">
        <f>IF(P2732="","",IF(H2732="USD",G2732,IF(R2732&gt;0,G2732/R2732,0)))</f>
        <v/>
      </c>
      <c r="U2732" s="53">
        <f>IF(P2732="","",IF(P2732="Gasto",S2732,IF(P2732="Reembolso",-S2732,0)))</f>
        <v/>
      </c>
      <c r="V2732" s="53">
        <f>IF(P2732="","",IF(P2732="Ingreso",S2732,0))</f>
        <v/>
      </c>
      <c r="W2732" s="53">
        <f>IF(P2732="","",IF(P2732="Resultado trading",S2732,0))</f>
        <v/>
      </c>
      <c r="X2732" s="52">
        <f>IF(OR(P2732="Gasto",P2732="Reembolso"),IF(M2732&lt;&gt;"",M2732,IFERROR(INDEX(catClasif,MATCH(D2732&amp;"|"&amp;E2732,catClave,0))&amp;"","Variable")),"")</f>
        <v/>
      </c>
      <c r="Y2732" s="52">
        <f>IF(P2732="","",IFERROR(INDEX(catGrupo,MATCH(D2732&amp;"|"&amp;E2732,catClave,0))&amp;"",""))</f>
        <v/>
      </c>
      <c r="Z2732" s="52">
        <f>IF(P2732="","",WEEKDAY(B2732,2))</f>
        <v/>
      </c>
      <c r="AA2732" s="52">
        <f>IF(P2732="","",IF(AND(P2732="Gasto",X2732="Variable",D2732&lt;&gt;catTrading,S2732&gt;0,S2732&lt;=Umbral),1,0))</f>
        <v/>
      </c>
      <c r="AB2732" s="52">
        <f>IF(OR(P2732="",Q2732=""),"",IFERROR(IF(INDEX(ctaVinc,MATCH(Q2732,ctaNombre,0))&amp;""&lt;&gt;"",INDEX(ctaVinc,MATCH(Q2732,ctaNombre,0))&amp;"",Q2732),Q2732))</f>
        <v/>
      </c>
      <c r="AC2732" s="52">
        <f>IF(OR(K2732="",AND(P2732&lt;&gt;"Transferencia",P2732&lt;&gt;"Pago tarjeta")),"",IFERROR(IF(INDEX(ctaVinc,MATCH(K2732,ctaNombre,0))&amp;""&lt;&gt;"",INDEX(ctaVinc,MATCH(K2732,ctaNombre,0))&amp;"",K2732),K2732))</f>
        <v/>
      </c>
      <c r="AD2732" s="52">
        <f>IF(AB2732="","",IFERROR(INDEX(ctaTipo,MATCH(AB2732,ctaNombre,0))&amp;"",""))</f>
        <v/>
      </c>
      <c r="AE2732" s="52">
        <f>IF(AC2732="","",IFERROR(INDEX(ctaTipo,MATCH(AC2732,ctaNombre,0))&amp;"",""))</f>
        <v/>
      </c>
      <c r="AF2732" s="53">
        <f>IF(OR(P2732="",AB2732=""),"",IF(OR(P2732="Gasto",P2732="Transferencia",P2732="Pago tarjeta"),-1,1)*IF(IFERROR(INDEX(ctaMoneda,MATCH(AB2732,ctaNombre,0))&amp;"","DOP")="USD",T2732,S2732))</f>
        <v/>
      </c>
      <c r="AG2732" s="53">
        <f>IF(AC2732="","",IF(IFERROR(INDEX(ctaMoneda,MATCH(AC2732,ctaNombre,0))&amp;"","DOP")="USD",T2732,S2732))</f>
        <v/>
      </c>
      <c r="AH2732" s="53">
        <f>IF(P2732="","",IF(AND(AD2732&lt;&gt;"",COUNTIFS(tcTipo,AD2732,tcLiq,"Sí")&gt;0),IF(OR(P2732="Gasto",P2732="Transferencia",P2732="Pago tarjeta"),-1,1)*S2732,0)+IF(AND(AE2732&lt;&gt;"",COUNTIFS(tcTipo,AE2732,tcLiq,"Sí")&gt;0),S2732,0))</f>
        <v/>
      </c>
      <c r="AI2732" s="52">
        <f>IF(OR(L2732="",P2732=""),"",IF(COUNTIFS(L$6:L2732,L2732,P$6:P2732,"?*")=1,MAX(AI$5:AI2731)+1,""))</f>
        <v/>
      </c>
    </row>
    <row r="2733">
      <c r="B2733" s="47" t="n"/>
      <c r="C2733" s="48" t="n"/>
      <c r="D2733" s="48" t="n"/>
      <c r="E2733" s="48" t="n"/>
      <c r="F2733" s="48" t="n"/>
      <c r="G2733" s="49" t="n"/>
      <c r="H2733" s="48" t="n"/>
      <c r="I2733" s="50" t="n"/>
      <c r="J2733" s="48" t="n"/>
      <c r="K2733" s="48" t="n"/>
      <c r="L2733" s="48" t="n"/>
      <c r="M2733" s="48" t="n"/>
      <c r="N2733" s="48" t="n"/>
      <c r="O2733" s="51">
        <f>IF(AND(B2733="",G2733="",C2733="",D2733="",J2733=""),"",IF(B2733="","⚠ Falta fecha",IF(G2733="","⚠ Falta monto",IF(Q2733="","⚠ Falta cuenta",IF(ISNA(MATCH(Q2733,ctaNombre,0)),"⚠ Cuenta no registrada",IF(AND(OR(P2733="Gasto",P2733="Reembolso"),D2733=""),"⚠ Falta categoría",IF(AND(D2733&lt;&gt;"",E2733&lt;&gt;"",ISNA(MATCH(D2733&amp;"|"&amp;E2733,catClave,0))),"⚠ Subcategoría no corresponde",IF(AND(OR(P2733="Transferencia",P2733="Pago tarjeta"),K2733=""),"⚠ Falta cuenta destino",IF(AND(K2733&lt;&gt;"",P2733&lt;&gt;"Transferencia",P2733&lt;&gt;"Pago tarjeta"),"⚠ Destino solo aplica a transferencias",IF(AND(K2733&lt;&gt;"",K2733=Q2733),"⚠ Origen igual a destino",IF(AND(K2733&lt;&gt;"",ISNA(MATCH(K2733,ctaNombre,0))),"⚠ Destino no registrado",IF(AND(P2733="Pago tarjeta",AE2733&lt;&gt;"Tarjeta de crédito"),"⚠ El destino debe ser tarjeta de crédito",IF(AND(P2733="Gasto",E2733="Depósitos y retiros"),"⚠ Usa tipo Transferencia",IF(AND(P2733="Resultado trading",AD2733&lt;&gt;"Cuenta de trading"),"⚠ Usa una cuenta de trading",IF(AND(G2733&lt;=0,P2733&lt;&gt;"Ajuste",P2733&lt;&gt;"Resultado trading"),"⚠ El monto debe ser positivo","✓")))))))))))))))</f>
        <v/>
      </c>
      <c r="P2733" s="52">
        <f>IF(OR(B2733="",G2733=""),"",IF(C2733="","Gasto",C2733))</f>
        <v/>
      </c>
      <c r="Q2733" s="52">
        <f>IF(P2733="","",IF(J2733&lt;&gt;"",J2733,CuentaPred&amp;""))</f>
        <v/>
      </c>
      <c r="R2733" s="52">
        <f>IF(P2733="","",IF(ISNUMBER(I2733),I2733,TasaUSD))</f>
        <v/>
      </c>
      <c r="S2733" s="53">
        <f>IF(P2733="","",IF(H2733="USD",G2733*R2733,G2733))</f>
        <v/>
      </c>
      <c r="T2733" s="53">
        <f>IF(P2733="","",IF(H2733="USD",G2733,IF(R2733&gt;0,G2733/R2733,0)))</f>
        <v/>
      </c>
      <c r="U2733" s="53">
        <f>IF(P2733="","",IF(P2733="Gasto",S2733,IF(P2733="Reembolso",-S2733,0)))</f>
        <v/>
      </c>
      <c r="V2733" s="53">
        <f>IF(P2733="","",IF(P2733="Ingreso",S2733,0))</f>
        <v/>
      </c>
      <c r="W2733" s="53">
        <f>IF(P2733="","",IF(P2733="Resultado trading",S2733,0))</f>
        <v/>
      </c>
      <c r="X2733" s="52">
        <f>IF(OR(P2733="Gasto",P2733="Reembolso"),IF(M2733&lt;&gt;"",M2733,IFERROR(INDEX(catClasif,MATCH(D2733&amp;"|"&amp;E2733,catClave,0))&amp;"","Variable")),"")</f>
        <v/>
      </c>
      <c r="Y2733" s="52">
        <f>IF(P2733="","",IFERROR(INDEX(catGrupo,MATCH(D2733&amp;"|"&amp;E2733,catClave,0))&amp;"",""))</f>
        <v/>
      </c>
      <c r="Z2733" s="52">
        <f>IF(P2733="","",WEEKDAY(B2733,2))</f>
        <v/>
      </c>
      <c r="AA2733" s="52">
        <f>IF(P2733="","",IF(AND(P2733="Gasto",X2733="Variable",D2733&lt;&gt;catTrading,S2733&gt;0,S2733&lt;=Umbral),1,0))</f>
        <v/>
      </c>
      <c r="AB2733" s="52">
        <f>IF(OR(P2733="",Q2733=""),"",IFERROR(IF(INDEX(ctaVinc,MATCH(Q2733,ctaNombre,0))&amp;""&lt;&gt;"",INDEX(ctaVinc,MATCH(Q2733,ctaNombre,0))&amp;"",Q2733),Q2733))</f>
        <v/>
      </c>
      <c r="AC2733" s="52">
        <f>IF(OR(K2733="",AND(P2733&lt;&gt;"Transferencia",P2733&lt;&gt;"Pago tarjeta")),"",IFERROR(IF(INDEX(ctaVinc,MATCH(K2733,ctaNombre,0))&amp;""&lt;&gt;"",INDEX(ctaVinc,MATCH(K2733,ctaNombre,0))&amp;"",K2733),K2733))</f>
        <v/>
      </c>
      <c r="AD2733" s="52">
        <f>IF(AB2733="","",IFERROR(INDEX(ctaTipo,MATCH(AB2733,ctaNombre,0))&amp;"",""))</f>
        <v/>
      </c>
      <c r="AE2733" s="52">
        <f>IF(AC2733="","",IFERROR(INDEX(ctaTipo,MATCH(AC2733,ctaNombre,0))&amp;"",""))</f>
        <v/>
      </c>
      <c r="AF2733" s="53">
        <f>IF(OR(P2733="",AB2733=""),"",IF(OR(P2733="Gasto",P2733="Transferencia",P2733="Pago tarjeta"),-1,1)*IF(IFERROR(INDEX(ctaMoneda,MATCH(AB2733,ctaNombre,0))&amp;"","DOP")="USD",T2733,S2733))</f>
        <v/>
      </c>
      <c r="AG2733" s="53">
        <f>IF(AC2733="","",IF(IFERROR(INDEX(ctaMoneda,MATCH(AC2733,ctaNombre,0))&amp;"","DOP")="USD",T2733,S2733))</f>
        <v/>
      </c>
      <c r="AH2733" s="53">
        <f>IF(P2733="","",IF(AND(AD2733&lt;&gt;"",COUNTIFS(tcTipo,AD2733,tcLiq,"Sí")&gt;0),IF(OR(P2733="Gasto",P2733="Transferencia",P2733="Pago tarjeta"),-1,1)*S2733,0)+IF(AND(AE2733&lt;&gt;"",COUNTIFS(tcTipo,AE2733,tcLiq,"Sí")&gt;0),S2733,0))</f>
        <v/>
      </c>
      <c r="AI2733" s="52">
        <f>IF(OR(L2733="",P2733=""),"",IF(COUNTIFS(L$6:L2733,L2733,P$6:P2733,"?*")=1,MAX(AI$5:AI2732)+1,""))</f>
        <v/>
      </c>
    </row>
    <row r="2734">
      <c r="B2734" s="47" t="n"/>
      <c r="C2734" s="48" t="n"/>
      <c r="D2734" s="48" t="n"/>
      <c r="E2734" s="48" t="n"/>
      <c r="F2734" s="48" t="n"/>
      <c r="G2734" s="49" t="n"/>
      <c r="H2734" s="48" t="n"/>
      <c r="I2734" s="50" t="n"/>
      <c r="J2734" s="48" t="n"/>
      <c r="K2734" s="48" t="n"/>
      <c r="L2734" s="48" t="n"/>
      <c r="M2734" s="48" t="n"/>
      <c r="N2734" s="48" t="n"/>
      <c r="O2734" s="51">
        <f>IF(AND(B2734="",G2734="",C2734="",D2734="",J2734=""),"",IF(B2734="","⚠ Falta fecha",IF(G2734="","⚠ Falta monto",IF(Q2734="","⚠ Falta cuenta",IF(ISNA(MATCH(Q2734,ctaNombre,0)),"⚠ Cuenta no registrada",IF(AND(OR(P2734="Gasto",P2734="Reembolso"),D2734=""),"⚠ Falta categoría",IF(AND(D2734&lt;&gt;"",E2734&lt;&gt;"",ISNA(MATCH(D2734&amp;"|"&amp;E2734,catClave,0))),"⚠ Subcategoría no corresponde",IF(AND(OR(P2734="Transferencia",P2734="Pago tarjeta"),K2734=""),"⚠ Falta cuenta destino",IF(AND(K2734&lt;&gt;"",P2734&lt;&gt;"Transferencia",P2734&lt;&gt;"Pago tarjeta"),"⚠ Destino solo aplica a transferencias",IF(AND(K2734&lt;&gt;"",K2734=Q2734),"⚠ Origen igual a destino",IF(AND(K2734&lt;&gt;"",ISNA(MATCH(K2734,ctaNombre,0))),"⚠ Destino no registrado",IF(AND(P2734="Pago tarjeta",AE2734&lt;&gt;"Tarjeta de crédito"),"⚠ El destino debe ser tarjeta de crédito",IF(AND(P2734="Gasto",E2734="Depósitos y retiros"),"⚠ Usa tipo Transferencia",IF(AND(P2734="Resultado trading",AD2734&lt;&gt;"Cuenta de trading"),"⚠ Usa una cuenta de trading",IF(AND(G2734&lt;=0,P2734&lt;&gt;"Ajuste",P2734&lt;&gt;"Resultado trading"),"⚠ El monto debe ser positivo","✓")))))))))))))))</f>
        <v/>
      </c>
      <c r="P2734" s="52">
        <f>IF(OR(B2734="",G2734=""),"",IF(C2734="","Gasto",C2734))</f>
        <v/>
      </c>
      <c r="Q2734" s="52">
        <f>IF(P2734="","",IF(J2734&lt;&gt;"",J2734,CuentaPred&amp;""))</f>
        <v/>
      </c>
      <c r="R2734" s="52">
        <f>IF(P2734="","",IF(ISNUMBER(I2734),I2734,TasaUSD))</f>
        <v/>
      </c>
      <c r="S2734" s="53">
        <f>IF(P2734="","",IF(H2734="USD",G2734*R2734,G2734))</f>
        <v/>
      </c>
      <c r="T2734" s="53">
        <f>IF(P2734="","",IF(H2734="USD",G2734,IF(R2734&gt;0,G2734/R2734,0)))</f>
        <v/>
      </c>
      <c r="U2734" s="53">
        <f>IF(P2734="","",IF(P2734="Gasto",S2734,IF(P2734="Reembolso",-S2734,0)))</f>
        <v/>
      </c>
      <c r="V2734" s="53">
        <f>IF(P2734="","",IF(P2734="Ingreso",S2734,0))</f>
        <v/>
      </c>
      <c r="W2734" s="53">
        <f>IF(P2734="","",IF(P2734="Resultado trading",S2734,0))</f>
        <v/>
      </c>
      <c r="X2734" s="52">
        <f>IF(OR(P2734="Gasto",P2734="Reembolso"),IF(M2734&lt;&gt;"",M2734,IFERROR(INDEX(catClasif,MATCH(D2734&amp;"|"&amp;E2734,catClave,0))&amp;"","Variable")),"")</f>
        <v/>
      </c>
      <c r="Y2734" s="52">
        <f>IF(P2734="","",IFERROR(INDEX(catGrupo,MATCH(D2734&amp;"|"&amp;E2734,catClave,0))&amp;"",""))</f>
        <v/>
      </c>
      <c r="Z2734" s="52">
        <f>IF(P2734="","",WEEKDAY(B2734,2))</f>
        <v/>
      </c>
      <c r="AA2734" s="52">
        <f>IF(P2734="","",IF(AND(P2734="Gasto",X2734="Variable",D2734&lt;&gt;catTrading,S2734&gt;0,S2734&lt;=Umbral),1,0))</f>
        <v/>
      </c>
      <c r="AB2734" s="52">
        <f>IF(OR(P2734="",Q2734=""),"",IFERROR(IF(INDEX(ctaVinc,MATCH(Q2734,ctaNombre,0))&amp;""&lt;&gt;"",INDEX(ctaVinc,MATCH(Q2734,ctaNombre,0))&amp;"",Q2734),Q2734))</f>
        <v/>
      </c>
      <c r="AC2734" s="52">
        <f>IF(OR(K2734="",AND(P2734&lt;&gt;"Transferencia",P2734&lt;&gt;"Pago tarjeta")),"",IFERROR(IF(INDEX(ctaVinc,MATCH(K2734,ctaNombre,0))&amp;""&lt;&gt;"",INDEX(ctaVinc,MATCH(K2734,ctaNombre,0))&amp;"",K2734),K2734))</f>
        <v/>
      </c>
      <c r="AD2734" s="52">
        <f>IF(AB2734="","",IFERROR(INDEX(ctaTipo,MATCH(AB2734,ctaNombre,0))&amp;"",""))</f>
        <v/>
      </c>
      <c r="AE2734" s="52">
        <f>IF(AC2734="","",IFERROR(INDEX(ctaTipo,MATCH(AC2734,ctaNombre,0))&amp;"",""))</f>
        <v/>
      </c>
      <c r="AF2734" s="53">
        <f>IF(OR(P2734="",AB2734=""),"",IF(OR(P2734="Gasto",P2734="Transferencia",P2734="Pago tarjeta"),-1,1)*IF(IFERROR(INDEX(ctaMoneda,MATCH(AB2734,ctaNombre,0))&amp;"","DOP")="USD",T2734,S2734))</f>
        <v/>
      </c>
      <c r="AG2734" s="53">
        <f>IF(AC2734="","",IF(IFERROR(INDEX(ctaMoneda,MATCH(AC2734,ctaNombre,0))&amp;"","DOP")="USD",T2734,S2734))</f>
        <v/>
      </c>
      <c r="AH2734" s="53">
        <f>IF(P2734="","",IF(AND(AD2734&lt;&gt;"",COUNTIFS(tcTipo,AD2734,tcLiq,"Sí")&gt;0),IF(OR(P2734="Gasto",P2734="Transferencia",P2734="Pago tarjeta"),-1,1)*S2734,0)+IF(AND(AE2734&lt;&gt;"",COUNTIFS(tcTipo,AE2734,tcLiq,"Sí")&gt;0),S2734,0))</f>
        <v/>
      </c>
      <c r="AI2734" s="52">
        <f>IF(OR(L2734="",P2734=""),"",IF(COUNTIFS(L$6:L2734,L2734,P$6:P2734,"?*")=1,MAX(AI$5:AI2733)+1,""))</f>
        <v/>
      </c>
    </row>
    <row r="2735">
      <c r="B2735" s="47" t="n"/>
      <c r="C2735" s="48" t="n"/>
      <c r="D2735" s="48" t="n"/>
      <c r="E2735" s="48" t="n"/>
      <c r="F2735" s="48" t="n"/>
      <c r="G2735" s="49" t="n"/>
      <c r="H2735" s="48" t="n"/>
      <c r="I2735" s="50" t="n"/>
      <c r="J2735" s="48" t="n"/>
      <c r="K2735" s="48" t="n"/>
      <c r="L2735" s="48" t="n"/>
      <c r="M2735" s="48" t="n"/>
      <c r="N2735" s="48" t="n"/>
      <c r="O2735" s="51">
        <f>IF(AND(B2735="",G2735="",C2735="",D2735="",J2735=""),"",IF(B2735="","⚠ Falta fecha",IF(G2735="","⚠ Falta monto",IF(Q2735="","⚠ Falta cuenta",IF(ISNA(MATCH(Q2735,ctaNombre,0)),"⚠ Cuenta no registrada",IF(AND(OR(P2735="Gasto",P2735="Reembolso"),D2735=""),"⚠ Falta categoría",IF(AND(D2735&lt;&gt;"",E2735&lt;&gt;"",ISNA(MATCH(D2735&amp;"|"&amp;E2735,catClave,0))),"⚠ Subcategoría no corresponde",IF(AND(OR(P2735="Transferencia",P2735="Pago tarjeta"),K2735=""),"⚠ Falta cuenta destino",IF(AND(K2735&lt;&gt;"",P2735&lt;&gt;"Transferencia",P2735&lt;&gt;"Pago tarjeta"),"⚠ Destino solo aplica a transferencias",IF(AND(K2735&lt;&gt;"",K2735=Q2735),"⚠ Origen igual a destino",IF(AND(K2735&lt;&gt;"",ISNA(MATCH(K2735,ctaNombre,0))),"⚠ Destino no registrado",IF(AND(P2735="Pago tarjeta",AE2735&lt;&gt;"Tarjeta de crédito"),"⚠ El destino debe ser tarjeta de crédito",IF(AND(P2735="Gasto",E2735="Depósitos y retiros"),"⚠ Usa tipo Transferencia",IF(AND(P2735="Resultado trading",AD2735&lt;&gt;"Cuenta de trading"),"⚠ Usa una cuenta de trading",IF(AND(G2735&lt;=0,P2735&lt;&gt;"Ajuste",P2735&lt;&gt;"Resultado trading"),"⚠ El monto debe ser positivo","✓")))))))))))))))</f>
        <v/>
      </c>
      <c r="P2735" s="52">
        <f>IF(OR(B2735="",G2735=""),"",IF(C2735="","Gasto",C2735))</f>
        <v/>
      </c>
      <c r="Q2735" s="52">
        <f>IF(P2735="","",IF(J2735&lt;&gt;"",J2735,CuentaPred&amp;""))</f>
        <v/>
      </c>
      <c r="R2735" s="52">
        <f>IF(P2735="","",IF(ISNUMBER(I2735),I2735,TasaUSD))</f>
        <v/>
      </c>
      <c r="S2735" s="53">
        <f>IF(P2735="","",IF(H2735="USD",G2735*R2735,G2735))</f>
        <v/>
      </c>
      <c r="T2735" s="53">
        <f>IF(P2735="","",IF(H2735="USD",G2735,IF(R2735&gt;0,G2735/R2735,0)))</f>
        <v/>
      </c>
      <c r="U2735" s="53">
        <f>IF(P2735="","",IF(P2735="Gasto",S2735,IF(P2735="Reembolso",-S2735,0)))</f>
        <v/>
      </c>
      <c r="V2735" s="53">
        <f>IF(P2735="","",IF(P2735="Ingreso",S2735,0))</f>
        <v/>
      </c>
      <c r="W2735" s="53">
        <f>IF(P2735="","",IF(P2735="Resultado trading",S2735,0))</f>
        <v/>
      </c>
      <c r="X2735" s="52">
        <f>IF(OR(P2735="Gasto",P2735="Reembolso"),IF(M2735&lt;&gt;"",M2735,IFERROR(INDEX(catClasif,MATCH(D2735&amp;"|"&amp;E2735,catClave,0))&amp;"","Variable")),"")</f>
        <v/>
      </c>
      <c r="Y2735" s="52">
        <f>IF(P2735="","",IFERROR(INDEX(catGrupo,MATCH(D2735&amp;"|"&amp;E2735,catClave,0))&amp;"",""))</f>
        <v/>
      </c>
      <c r="Z2735" s="52">
        <f>IF(P2735="","",WEEKDAY(B2735,2))</f>
        <v/>
      </c>
      <c r="AA2735" s="52">
        <f>IF(P2735="","",IF(AND(P2735="Gasto",X2735="Variable",D2735&lt;&gt;catTrading,S2735&gt;0,S2735&lt;=Umbral),1,0))</f>
        <v/>
      </c>
      <c r="AB2735" s="52">
        <f>IF(OR(P2735="",Q2735=""),"",IFERROR(IF(INDEX(ctaVinc,MATCH(Q2735,ctaNombre,0))&amp;""&lt;&gt;"",INDEX(ctaVinc,MATCH(Q2735,ctaNombre,0))&amp;"",Q2735),Q2735))</f>
        <v/>
      </c>
      <c r="AC2735" s="52">
        <f>IF(OR(K2735="",AND(P2735&lt;&gt;"Transferencia",P2735&lt;&gt;"Pago tarjeta")),"",IFERROR(IF(INDEX(ctaVinc,MATCH(K2735,ctaNombre,0))&amp;""&lt;&gt;"",INDEX(ctaVinc,MATCH(K2735,ctaNombre,0))&amp;"",K2735),K2735))</f>
        <v/>
      </c>
      <c r="AD2735" s="52">
        <f>IF(AB2735="","",IFERROR(INDEX(ctaTipo,MATCH(AB2735,ctaNombre,0))&amp;"",""))</f>
        <v/>
      </c>
      <c r="AE2735" s="52">
        <f>IF(AC2735="","",IFERROR(INDEX(ctaTipo,MATCH(AC2735,ctaNombre,0))&amp;"",""))</f>
        <v/>
      </c>
      <c r="AF2735" s="53">
        <f>IF(OR(P2735="",AB2735=""),"",IF(OR(P2735="Gasto",P2735="Transferencia",P2735="Pago tarjeta"),-1,1)*IF(IFERROR(INDEX(ctaMoneda,MATCH(AB2735,ctaNombre,0))&amp;"","DOP")="USD",T2735,S2735))</f>
        <v/>
      </c>
      <c r="AG2735" s="53">
        <f>IF(AC2735="","",IF(IFERROR(INDEX(ctaMoneda,MATCH(AC2735,ctaNombre,0))&amp;"","DOP")="USD",T2735,S2735))</f>
        <v/>
      </c>
      <c r="AH2735" s="53">
        <f>IF(P2735="","",IF(AND(AD2735&lt;&gt;"",COUNTIFS(tcTipo,AD2735,tcLiq,"Sí")&gt;0),IF(OR(P2735="Gasto",P2735="Transferencia",P2735="Pago tarjeta"),-1,1)*S2735,0)+IF(AND(AE2735&lt;&gt;"",COUNTIFS(tcTipo,AE2735,tcLiq,"Sí")&gt;0),S2735,0))</f>
        <v/>
      </c>
      <c r="AI2735" s="52">
        <f>IF(OR(L2735="",P2735=""),"",IF(COUNTIFS(L$6:L2735,L2735,P$6:P2735,"?*")=1,MAX(AI$5:AI2734)+1,""))</f>
        <v/>
      </c>
    </row>
    <row r="2736">
      <c r="B2736" s="47" t="n"/>
      <c r="C2736" s="48" t="n"/>
      <c r="D2736" s="48" t="n"/>
      <c r="E2736" s="48" t="n"/>
      <c r="F2736" s="48" t="n"/>
      <c r="G2736" s="49" t="n"/>
      <c r="H2736" s="48" t="n"/>
      <c r="I2736" s="50" t="n"/>
      <c r="J2736" s="48" t="n"/>
      <c r="K2736" s="48" t="n"/>
      <c r="L2736" s="48" t="n"/>
      <c r="M2736" s="48" t="n"/>
      <c r="N2736" s="48" t="n"/>
      <c r="O2736" s="51">
        <f>IF(AND(B2736="",G2736="",C2736="",D2736="",J2736=""),"",IF(B2736="","⚠ Falta fecha",IF(G2736="","⚠ Falta monto",IF(Q2736="","⚠ Falta cuenta",IF(ISNA(MATCH(Q2736,ctaNombre,0)),"⚠ Cuenta no registrada",IF(AND(OR(P2736="Gasto",P2736="Reembolso"),D2736=""),"⚠ Falta categoría",IF(AND(D2736&lt;&gt;"",E2736&lt;&gt;"",ISNA(MATCH(D2736&amp;"|"&amp;E2736,catClave,0))),"⚠ Subcategoría no corresponde",IF(AND(OR(P2736="Transferencia",P2736="Pago tarjeta"),K2736=""),"⚠ Falta cuenta destino",IF(AND(K2736&lt;&gt;"",P2736&lt;&gt;"Transferencia",P2736&lt;&gt;"Pago tarjeta"),"⚠ Destino solo aplica a transferencias",IF(AND(K2736&lt;&gt;"",K2736=Q2736),"⚠ Origen igual a destino",IF(AND(K2736&lt;&gt;"",ISNA(MATCH(K2736,ctaNombre,0))),"⚠ Destino no registrado",IF(AND(P2736="Pago tarjeta",AE2736&lt;&gt;"Tarjeta de crédito"),"⚠ El destino debe ser tarjeta de crédito",IF(AND(P2736="Gasto",E2736="Depósitos y retiros"),"⚠ Usa tipo Transferencia",IF(AND(P2736="Resultado trading",AD2736&lt;&gt;"Cuenta de trading"),"⚠ Usa una cuenta de trading",IF(AND(G2736&lt;=0,P2736&lt;&gt;"Ajuste",P2736&lt;&gt;"Resultado trading"),"⚠ El monto debe ser positivo","✓")))))))))))))))</f>
        <v/>
      </c>
      <c r="P2736" s="52">
        <f>IF(OR(B2736="",G2736=""),"",IF(C2736="","Gasto",C2736))</f>
        <v/>
      </c>
      <c r="Q2736" s="52">
        <f>IF(P2736="","",IF(J2736&lt;&gt;"",J2736,CuentaPred&amp;""))</f>
        <v/>
      </c>
      <c r="R2736" s="52">
        <f>IF(P2736="","",IF(ISNUMBER(I2736),I2736,TasaUSD))</f>
        <v/>
      </c>
      <c r="S2736" s="53">
        <f>IF(P2736="","",IF(H2736="USD",G2736*R2736,G2736))</f>
        <v/>
      </c>
      <c r="T2736" s="53">
        <f>IF(P2736="","",IF(H2736="USD",G2736,IF(R2736&gt;0,G2736/R2736,0)))</f>
        <v/>
      </c>
      <c r="U2736" s="53">
        <f>IF(P2736="","",IF(P2736="Gasto",S2736,IF(P2736="Reembolso",-S2736,0)))</f>
        <v/>
      </c>
      <c r="V2736" s="53">
        <f>IF(P2736="","",IF(P2736="Ingreso",S2736,0))</f>
        <v/>
      </c>
      <c r="W2736" s="53">
        <f>IF(P2736="","",IF(P2736="Resultado trading",S2736,0))</f>
        <v/>
      </c>
      <c r="X2736" s="52">
        <f>IF(OR(P2736="Gasto",P2736="Reembolso"),IF(M2736&lt;&gt;"",M2736,IFERROR(INDEX(catClasif,MATCH(D2736&amp;"|"&amp;E2736,catClave,0))&amp;"","Variable")),"")</f>
        <v/>
      </c>
      <c r="Y2736" s="52">
        <f>IF(P2736="","",IFERROR(INDEX(catGrupo,MATCH(D2736&amp;"|"&amp;E2736,catClave,0))&amp;"",""))</f>
        <v/>
      </c>
      <c r="Z2736" s="52">
        <f>IF(P2736="","",WEEKDAY(B2736,2))</f>
        <v/>
      </c>
      <c r="AA2736" s="52">
        <f>IF(P2736="","",IF(AND(P2736="Gasto",X2736="Variable",D2736&lt;&gt;catTrading,S2736&gt;0,S2736&lt;=Umbral),1,0))</f>
        <v/>
      </c>
      <c r="AB2736" s="52">
        <f>IF(OR(P2736="",Q2736=""),"",IFERROR(IF(INDEX(ctaVinc,MATCH(Q2736,ctaNombre,0))&amp;""&lt;&gt;"",INDEX(ctaVinc,MATCH(Q2736,ctaNombre,0))&amp;"",Q2736),Q2736))</f>
        <v/>
      </c>
      <c r="AC2736" s="52">
        <f>IF(OR(K2736="",AND(P2736&lt;&gt;"Transferencia",P2736&lt;&gt;"Pago tarjeta")),"",IFERROR(IF(INDEX(ctaVinc,MATCH(K2736,ctaNombre,0))&amp;""&lt;&gt;"",INDEX(ctaVinc,MATCH(K2736,ctaNombre,0))&amp;"",K2736),K2736))</f>
        <v/>
      </c>
      <c r="AD2736" s="52">
        <f>IF(AB2736="","",IFERROR(INDEX(ctaTipo,MATCH(AB2736,ctaNombre,0))&amp;"",""))</f>
        <v/>
      </c>
      <c r="AE2736" s="52">
        <f>IF(AC2736="","",IFERROR(INDEX(ctaTipo,MATCH(AC2736,ctaNombre,0))&amp;"",""))</f>
        <v/>
      </c>
      <c r="AF2736" s="53">
        <f>IF(OR(P2736="",AB2736=""),"",IF(OR(P2736="Gasto",P2736="Transferencia",P2736="Pago tarjeta"),-1,1)*IF(IFERROR(INDEX(ctaMoneda,MATCH(AB2736,ctaNombre,0))&amp;"","DOP")="USD",T2736,S2736))</f>
        <v/>
      </c>
      <c r="AG2736" s="53">
        <f>IF(AC2736="","",IF(IFERROR(INDEX(ctaMoneda,MATCH(AC2736,ctaNombre,0))&amp;"","DOP")="USD",T2736,S2736))</f>
        <v/>
      </c>
      <c r="AH2736" s="53">
        <f>IF(P2736="","",IF(AND(AD2736&lt;&gt;"",COUNTIFS(tcTipo,AD2736,tcLiq,"Sí")&gt;0),IF(OR(P2736="Gasto",P2736="Transferencia",P2736="Pago tarjeta"),-1,1)*S2736,0)+IF(AND(AE2736&lt;&gt;"",COUNTIFS(tcTipo,AE2736,tcLiq,"Sí")&gt;0),S2736,0))</f>
        <v/>
      </c>
      <c r="AI2736" s="52">
        <f>IF(OR(L2736="",P2736=""),"",IF(COUNTIFS(L$6:L2736,L2736,P$6:P2736,"?*")=1,MAX(AI$5:AI2735)+1,""))</f>
        <v/>
      </c>
    </row>
    <row r="2737">
      <c r="B2737" s="47" t="n"/>
      <c r="C2737" s="48" t="n"/>
      <c r="D2737" s="48" t="n"/>
      <c r="E2737" s="48" t="n"/>
      <c r="F2737" s="48" t="n"/>
      <c r="G2737" s="49" t="n"/>
      <c r="H2737" s="48" t="n"/>
      <c r="I2737" s="50" t="n"/>
      <c r="J2737" s="48" t="n"/>
      <c r="K2737" s="48" t="n"/>
      <c r="L2737" s="48" t="n"/>
      <c r="M2737" s="48" t="n"/>
      <c r="N2737" s="48" t="n"/>
      <c r="O2737" s="51">
        <f>IF(AND(B2737="",G2737="",C2737="",D2737="",J2737=""),"",IF(B2737="","⚠ Falta fecha",IF(G2737="","⚠ Falta monto",IF(Q2737="","⚠ Falta cuenta",IF(ISNA(MATCH(Q2737,ctaNombre,0)),"⚠ Cuenta no registrada",IF(AND(OR(P2737="Gasto",P2737="Reembolso"),D2737=""),"⚠ Falta categoría",IF(AND(D2737&lt;&gt;"",E2737&lt;&gt;"",ISNA(MATCH(D2737&amp;"|"&amp;E2737,catClave,0))),"⚠ Subcategoría no corresponde",IF(AND(OR(P2737="Transferencia",P2737="Pago tarjeta"),K2737=""),"⚠ Falta cuenta destino",IF(AND(K2737&lt;&gt;"",P2737&lt;&gt;"Transferencia",P2737&lt;&gt;"Pago tarjeta"),"⚠ Destino solo aplica a transferencias",IF(AND(K2737&lt;&gt;"",K2737=Q2737),"⚠ Origen igual a destino",IF(AND(K2737&lt;&gt;"",ISNA(MATCH(K2737,ctaNombre,0))),"⚠ Destino no registrado",IF(AND(P2737="Pago tarjeta",AE2737&lt;&gt;"Tarjeta de crédito"),"⚠ El destino debe ser tarjeta de crédito",IF(AND(P2737="Gasto",E2737="Depósitos y retiros"),"⚠ Usa tipo Transferencia",IF(AND(P2737="Resultado trading",AD2737&lt;&gt;"Cuenta de trading"),"⚠ Usa una cuenta de trading",IF(AND(G2737&lt;=0,P2737&lt;&gt;"Ajuste",P2737&lt;&gt;"Resultado trading"),"⚠ El monto debe ser positivo","✓")))))))))))))))</f>
        <v/>
      </c>
      <c r="P2737" s="52">
        <f>IF(OR(B2737="",G2737=""),"",IF(C2737="","Gasto",C2737))</f>
        <v/>
      </c>
      <c r="Q2737" s="52">
        <f>IF(P2737="","",IF(J2737&lt;&gt;"",J2737,CuentaPred&amp;""))</f>
        <v/>
      </c>
      <c r="R2737" s="52">
        <f>IF(P2737="","",IF(ISNUMBER(I2737),I2737,TasaUSD))</f>
        <v/>
      </c>
      <c r="S2737" s="53">
        <f>IF(P2737="","",IF(H2737="USD",G2737*R2737,G2737))</f>
        <v/>
      </c>
      <c r="T2737" s="53">
        <f>IF(P2737="","",IF(H2737="USD",G2737,IF(R2737&gt;0,G2737/R2737,0)))</f>
        <v/>
      </c>
      <c r="U2737" s="53">
        <f>IF(P2737="","",IF(P2737="Gasto",S2737,IF(P2737="Reembolso",-S2737,0)))</f>
        <v/>
      </c>
      <c r="V2737" s="53">
        <f>IF(P2737="","",IF(P2737="Ingreso",S2737,0))</f>
        <v/>
      </c>
      <c r="W2737" s="53">
        <f>IF(P2737="","",IF(P2737="Resultado trading",S2737,0))</f>
        <v/>
      </c>
      <c r="X2737" s="52">
        <f>IF(OR(P2737="Gasto",P2737="Reembolso"),IF(M2737&lt;&gt;"",M2737,IFERROR(INDEX(catClasif,MATCH(D2737&amp;"|"&amp;E2737,catClave,0))&amp;"","Variable")),"")</f>
        <v/>
      </c>
      <c r="Y2737" s="52">
        <f>IF(P2737="","",IFERROR(INDEX(catGrupo,MATCH(D2737&amp;"|"&amp;E2737,catClave,0))&amp;"",""))</f>
        <v/>
      </c>
      <c r="Z2737" s="52">
        <f>IF(P2737="","",WEEKDAY(B2737,2))</f>
        <v/>
      </c>
      <c r="AA2737" s="52">
        <f>IF(P2737="","",IF(AND(P2737="Gasto",X2737="Variable",D2737&lt;&gt;catTrading,S2737&gt;0,S2737&lt;=Umbral),1,0))</f>
        <v/>
      </c>
      <c r="AB2737" s="52">
        <f>IF(OR(P2737="",Q2737=""),"",IFERROR(IF(INDEX(ctaVinc,MATCH(Q2737,ctaNombre,0))&amp;""&lt;&gt;"",INDEX(ctaVinc,MATCH(Q2737,ctaNombre,0))&amp;"",Q2737),Q2737))</f>
        <v/>
      </c>
      <c r="AC2737" s="52">
        <f>IF(OR(K2737="",AND(P2737&lt;&gt;"Transferencia",P2737&lt;&gt;"Pago tarjeta")),"",IFERROR(IF(INDEX(ctaVinc,MATCH(K2737,ctaNombre,0))&amp;""&lt;&gt;"",INDEX(ctaVinc,MATCH(K2737,ctaNombre,0))&amp;"",K2737),K2737))</f>
        <v/>
      </c>
      <c r="AD2737" s="52">
        <f>IF(AB2737="","",IFERROR(INDEX(ctaTipo,MATCH(AB2737,ctaNombre,0))&amp;"",""))</f>
        <v/>
      </c>
      <c r="AE2737" s="52">
        <f>IF(AC2737="","",IFERROR(INDEX(ctaTipo,MATCH(AC2737,ctaNombre,0))&amp;"",""))</f>
        <v/>
      </c>
      <c r="AF2737" s="53">
        <f>IF(OR(P2737="",AB2737=""),"",IF(OR(P2737="Gasto",P2737="Transferencia",P2737="Pago tarjeta"),-1,1)*IF(IFERROR(INDEX(ctaMoneda,MATCH(AB2737,ctaNombre,0))&amp;"","DOP")="USD",T2737,S2737))</f>
        <v/>
      </c>
      <c r="AG2737" s="53">
        <f>IF(AC2737="","",IF(IFERROR(INDEX(ctaMoneda,MATCH(AC2737,ctaNombre,0))&amp;"","DOP")="USD",T2737,S2737))</f>
        <v/>
      </c>
      <c r="AH2737" s="53">
        <f>IF(P2737="","",IF(AND(AD2737&lt;&gt;"",COUNTIFS(tcTipo,AD2737,tcLiq,"Sí")&gt;0),IF(OR(P2737="Gasto",P2737="Transferencia",P2737="Pago tarjeta"),-1,1)*S2737,0)+IF(AND(AE2737&lt;&gt;"",COUNTIFS(tcTipo,AE2737,tcLiq,"Sí")&gt;0),S2737,0))</f>
        <v/>
      </c>
      <c r="AI2737" s="52">
        <f>IF(OR(L2737="",P2737=""),"",IF(COUNTIFS(L$6:L2737,L2737,P$6:P2737,"?*")=1,MAX(AI$5:AI2736)+1,""))</f>
        <v/>
      </c>
    </row>
    <row r="2738">
      <c r="B2738" s="47" t="n"/>
      <c r="C2738" s="48" t="n"/>
      <c r="D2738" s="48" t="n"/>
      <c r="E2738" s="48" t="n"/>
      <c r="F2738" s="48" t="n"/>
      <c r="G2738" s="49" t="n"/>
      <c r="H2738" s="48" t="n"/>
      <c r="I2738" s="50" t="n"/>
      <c r="J2738" s="48" t="n"/>
      <c r="K2738" s="48" t="n"/>
      <c r="L2738" s="48" t="n"/>
      <c r="M2738" s="48" t="n"/>
      <c r="N2738" s="48" t="n"/>
      <c r="O2738" s="51">
        <f>IF(AND(B2738="",G2738="",C2738="",D2738="",J2738=""),"",IF(B2738="","⚠ Falta fecha",IF(G2738="","⚠ Falta monto",IF(Q2738="","⚠ Falta cuenta",IF(ISNA(MATCH(Q2738,ctaNombre,0)),"⚠ Cuenta no registrada",IF(AND(OR(P2738="Gasto",P2738="Reembolso"),D2738=""),"⚠ Falta categoría",IF(AND(D2738&lt;&gt;"",E2738&lt;&gt;"",ISNA(MATCH(D2738&amp;"|"&amp;E2738,catClave,0))),"⚠ Subcategoría no corresponde",IF(AND(OR(P2738="Transferencia",P2738="Pago tarjeta"),K2738=""),"⚠ Falta cuenta destino",IF(AND(K2738&lt;&gt;"",P2738&lt;&gt;"Transferencia",P2738&lt;&gt;"Pago tarjeta"),"⚠ Destino solo aplica a transferencias",IF(AND(K2738&lt;&gt;"",K2738=Q2738),"⚠ Origen igual a destino",IF(AND(K2738&lt;&gt;"",ISNA(MATCH(K2738,ctaNombre,0))),"⚠ Destino no registrado",IF(AND(P2738="Pago tarjeta",AE2738&lt;&gt;"Tarjeta de crédito"),"⚠ El destino debe ser tarjeta de crédito",IF(AND(P2738="Gasto",E2738="Depósitos y retiros"),"⚠ Usa tipo Transferencia",IF(AND(P2738="Resultado trading",AD2738&lt;&gt;"Cuenta de trading"),"⚠ Usa una cuenta de trading",IF(AND(G2738&lt;=0,P2738&lt;&gt;"Ajuste",P2738&lt;&gt;"Resultado trading"),"⚠ El monto debe ser positivo","✓")))))))))))))))</f>
        <v/>
      </c>
      <c r="P2738" s="52">
        <f>IF(OR(B2738="",G2738=""),"",IF(C2738="","Gasto",C2738))</f>
        <v/>
      </c>
      <c r="Q2738" s="52">
        <f>IF(P2738="","",IF(J2738&lt;&gt;"",J2738,CuentaPred&amp;""))</f>
        <v/>
      </c>
      <c r="R2738" s="52">
        <f>IF(P2738="","",IF(ISNUMBER(I2738),I2738,TasaUSD))</f>
        <v/>
      </c>
      <c r="S2738" s="53">
        <f>IF(P2738="","",IF(H2738="USD",G2738*R2738,G2738))</f>
        <v/>
      </c>
      <c r="T2738" s="53">
        <f>IF(P2738="","",IF(H2738="USD",G2738,IF(R2738&gt;0,G2738/R2738,0)))</f>
        <v/>
      </c>
      <c r="U2738" s="53">
        <f>IF(P2738="","",IF(P2738="Gasto",S2738,IF(P2738="Reembolso",-S2738,0)))</f>
        <v/>
      </c>
      <c r="V2738" s="53">
        <f>IF(P2738="","",IF(P2738="Ingreso",S2738,0))</f>
        <v/>
      </c>
      <c r="W2738" s="53">
        <f>IF(P2738="","",IF(P2738="Resultado trading",S2738,0))</f>
        <v/>
      </c>
      <c r="X2738" s="52">
        <f>IF(OR(P2738="Gasto",P2738="Reembolso"),IF(M2738&lt;&gt;"",M2738,IFERROR(INDEX(catClasif,MATCH(D2738&amp;"|"&amp;E2738,catClave,0))&amp;"","Variable")),"")</f>
        <v/>
      </c>
      <c r="Y2738" s="52">
        <f>IF(P2738="","",IFERROR(INDEX(catGrupo,MATCH(D2738&amp;"|"&amp;E2738,catClave,0))&amp;"",""))</f>
        <v/>
      </c>
      <c r="Z2738" s="52">
        <f>IF(P2738="","",WEEKDAY(B2738,2))</f>
        <v/>
      </c>
      <c r="AA2738" s="52">
        <f>IF(P2738="","",IF(AND(P2738="Gasto",X2738="Variable",D2738&lt;&gt;catTrading,S2738&gt;0,S2738&lt;=Umbral),1,0))</f>
        <v/>
      </c>
      <c r="AB2738" s="52">
        <f>IF(OR(P2738="",Q2738=""),"",IFERROR(IF(INDEX(ctaVinc,MATCH(Q2738,ctaNombre,0))&amp;""&lt;&gt;"",INDEX(ctaVinc,MATCH(Q2738,ctaNombre,0))&amp;"",Q2738),Q2738))</f>
        <v/>
      </c>
      <c r="AC2738" s="52">
        <f>IF(OR(K2738="",AND(P2738&lt;&gt;"Transferencia",P2738&lt;&gt;"Pago tarjeta")),"",IFERROR(IF(INDEX(ctaVinc,MATCH(K2738,ctaNombre,0))&amp;""&lt;&gt;"",INDEX(ctaVinc,MATCH(K2738,ctaNombre,0))&amp;"",K2738),K2738))</f>
        <v/>
      </c>
      <c r="AD2738" s="52">
        <f>IF(AB2738="","",IFERROR(INDEX(ctaTipo,MATCH(AB2738,ctaNombre,0))&amp;"",""))</f>
        <v/>
      </c>
      <c r="AE2738" s="52">
        <f>IF(AC2738="","",IFERROR(INDEX(ctaTipo,MATCH(AC2738,ctaNombre,0))&amp;"",""))</f>
        <v/>
      </c>
      <c r="AF2738" s="53">
        <f>IF(OR(P2738="",AB2738=""),"",IF(OR(P2738="Gasto",P2738="Transferencia",P2738="Pago tarjeta"),-1,1)*IF(IFERROR(INDEX(ctaMoneda,MATCH(AB2738,ctaNombre,0))&amp;"","DOP")="USD",T2738,S2738))</f>
        <v/>
      </c>
      <c r="AG2738" s="53">
        <f>IF(AC2738="","",IF(IFERROR(INDEX(ctaMoneda,MATCH(AC2738,ctaNombre,0))&amp;"","DOP")="USD",T2738,S2738))</f>
        <v/>
      </c>
      <c r="AH2738" s="53">
        <f>IF(P2738="","",IF(AND(AD2738&lt;&gt;"",COUNTIFS(tcTipo,AD2738,tcLiq,"Sí")&gt;0),IF(OR(P2738="Gasto",P2738="Transferencia",P2738="Pago tarjeta"),-1,1)*S2738,0)+IF(AND(AE2738&lt;&gt;"",COUNTIFS(tcTipo,AE2738,tcLiq,"Sí")&gt;0),S2738,0))</f>
        <v/>
      </c>
      <c r="AI2738" s="52">
        <f>IF(OR(L2738="",P2738=""),"",IF(COUNTIFS(L$6:L2738,L2738,P$6:P2738,"?*")=1,MAX(AI$5:AI2737)+1,""))</f>
        <v/>
      </c>
    </row>
    <row r="2739">
      <c r="B2739" s="47" t="n"/>
      <c r="C2739" s="48" t="n"/>
      <c r="D2739" s="48" t="n"/>
      <c r="E2739" s="48" t="n"/>
      <c r="F2739" s="48" t="n"/>
      <c r="G2739" s="49" t="n"/>
      <c r="H2739" s="48" t="n"/>
      <c r="I2739" s="50" t="n"/>
      <c r="J2739" s="48" t="n"/>
      <c r="K2739" s="48" t="n"/>
      <c r="L2739" s="48" t="n"/>
      <c r="M2739" s="48" t="n"/>
      <c r="N2739" s="48" t="n"/>
      <c r="O2739" s="51">
        <f>IF(AND(B2739="",G2739="",C2739="",D2739="",J2739=""),"",IF(B2739="","⚠ Falta fecha",IF(G2739="","⚠ Falta monto",IF(Q2739="","⚠ Falta cuenta",IF(ISNA(MATCH(Q2739,ctaNombre,0)),"⚠ Cuenta no registrada",IF(AND(OR(P2739="Gasto",P2739="Reembolso"),D2739=""),"⚠ Falta categoría",IF(AND(D2739&lt;&gt;"",E2739&lt;&gt;"",ISNA(MATCH(D2739&amp;"|"&amp;E2739,catClave,0))),"⚠ Subcategoría no corresponde",IF(AND(OR(P2739="Transferencia",P2739="Pago tarjeta"),K2739=""),"⚠ Falta cuenta destino",IF(AND(K2739&lt;&gt;"",P2739&lt;&gt;"Transferencia",P2739&lt;&gt;"Pago tarjeta"),"⚠ Destino solo aplica a transferencias",IF(AND(K2739&lt;&gt;"",K2739=Q2739),"⚠ Origen igual a destino",IF(AND(K2739&lt;&gt;"",ISNA(MATCH(K2739,ctaNombre,0))),"⚠ Destino no registrado",IF(AND(P2739="Pago tarjeta",AE2739&lt;&gt;"Tarjeta de crédito"),"⚠ El destino debe ser tarjeta de crédito",IF(AND(P2739="Gasto",E2739="Depósitos y retiros"),"⚠ Usa tipo Transferencia",IF(AND(P2739="Resultado trading",AD2739&lt;&gt;"Cuenta de trading"),"⚠ Usa una cuenta de trading",IF(AND(G2739&lt;=0,P2739&lt;&gt;"Ajuste",P2739&lt;&gt;"Resultado trading"),"⚠ El monto debe ser positivo","✓")))))))))))))))</f>
        <v/>
      </c>
      <c r="P2739" s="52">
        <f>IF(OR(B2739="",G2739=""),"",IF(C2739="","Gasto",C2739))</f>
        <v/>
      </c>
      <c r="Q2739" s="52">
        <f>IF(P2739="","",IF(J2739&lt;&gt;"",J2739,CuentaPred&amp;""))</f>
        <v/>
      </c>
      <c r="R2739" s="52">
        <f>IF(P2739="","",IF(ISNUMBER(I2739),I2739,TasaUSD))</f>
        <v/>
      </c>
      <c r="S2739" s="53">
        <f>IF(P2739="","",IF(H2739="USD",G2739*R2739,G2739))</f>
        <v/>
      </c>
      <c r="T2739" s="53">
        <f>IF(P2739="","",IF(H2739="USD",G2739,IF(R2739&gt;0,G2739/R2739,0)))</f>
        <v/>
      </c>
      <c r="U2739" s="53">
        <f>IF(P2739="","",IF(P2739="Gasto",S2739,IF(P2739="Reembolso",-S2739,0)))</f>
        <v/>
      </c>
      <c r="V2739" s="53">
        <f>IF(P2739="","",IF(P2739="Ingreso",S2739,0))</f>
        <v/>
      </c>
      <c r="W2739" s="53">
        <f>IF(P2739="","",IF(P2739="Resultado trading",S2739,0))</f>
        <v/>
      </c>
      <c r="X2739" s="52">
        <f>IF(OR(P2739="Gasto",P2739="Reembolso"),IF(M2739&lt;&gt;"",M2739,IFERROR(INDEX(catClasif,MATCH(D2739&amp;"|"&amp;E2739,catClave,0))&amp;"","Variable")),"")</f>
        <v/>
      </c>
      <c r="Y2739" s="52">
        <f>IF(P2739="","",IFERROR(INDEX(catGrupo,MATCH(D2739&amp;"|"&amp;E2739,catClave,0))&amp;"",""))</f>
        <v/>
      </c>
      <c r="Z2739" s="52">
        <f>IF(P2739="","",WEEKDAY(B2739,2))</f>
        <v/>
      </c>
      <c r="AA2739" s="52">
        <f>IF(P2739="","",IF(AND(P2739="Gasto",X2739="Variable",D2739&lt;&gt;catTrading,S2739&gt;0,S2739&lt;=Umbral),1,0))</f>
        <v/>
      </c>
      <c r="AB2739" s="52">
        <f>IF(OR(P2739="",Q2739=""),"",IFERROR(IF(INDEX(ctaVinc,MATCH(Q2739,ctaNombre,0))&amp;""&lt;&gt;"",INDEX(ctaVinc,MATCH(Q2739,ctaNombre,0))&amp;"",Q2739),Q2739))</f>
        <v/>
      </c>
      <c r="AC2739" s="52">
        <f>IF(OR(K2739="",AND(P2739&lt;&gt;"Transferencia",P2739&lt;&gt;"Pago tarjeta")),"",IFERROR(IF(INDEX(ctaVinc,MATCH(K2739,ctaNombre,0))&amp;""&lt;&gt;"",INDEX(ctaVinc,MATCH(K2739,ctaNombre,0))&amp;"",K2739),K2739))</f>
        <v/>
      </c>
      <c r="AD2739" s="52">
        <f>IF(AB2739="","",IFERROR(INDEX(ctaTipo,MATCH(AB2739,ctaNombre,0))&amp;"",""))</f>
        <v/>
      </c>
      <c r="AE2739" s="52">
        <f>IF(AC2739="","",IFERROR(INDEX(ctaTipo,MATCH(AC2739,ctaNombre,0))&amp;"",""))</f>
        <v/>
      </c>
      <c r="AF2739" s="53">
        <f>IF(OR(P2739="",AB2739=""),"",IF(OR(P2739="Gasto",P2739="Transferencia",P2739="Pago tarjeta"),-1,1)*IF(IFERROR(INDEX(ctaMoneda,MATCH(AB2739,ctaNombre,0))&amp;"","DOP")="USD",T2739,S2739))</f>
        <v/>
      </c>
      <c r="AG2739" s="53">
        <f>IF(AC2739="","",IF(IFERROR(INDEX(ctaMoneda,MATCH(AC2739,ctaNombre,0))&amp;"","DOP")="USD",T2739,S2739))</f>
        <v/>
      </c>
      <c r="AH2739" s="53">
        <f>IF(P2739="","",IF(AND(AD2739&lt;&gt;"",COUNTIFS(tcTipo,AD2739,tcLiq,"Sí")&gt;0),IF(OR(P2739="Gasto",P2739="Transferencia",P2739="Pago tarjeta"),-1,1)*S2739,0)+IF(AND(AE2739&lt;&gt;"",COUNTIFS(tcTipo,AE2739,tcLiq,"Sí")&gt;0),S2739,0))</f>
        <v/>
      </c>
      <c r="AI2739" s="52">
        <f>IF(OR(L2739="",P2739=""),"",IF(COUNTIFS(L$6:L2739,L2739,P$6:P2739,"?*")=1,MAX(AI$5:AI2738)+1,""))</f>
        <v/>
      </c>
    </row>
    <row r="2740">
      <c r="B2740" s="47" t="n"/>
      <c r="C2740" s="48" t="n"/>
      <c r="D2740" s="48" t="n"/>
      <c r="E2740" s="48" t="n"/>
      <c r="F2740" s="48" t="n"/>
      <c r="G2740" s="49" t="n"/>
      <c r="H2740" s="48" t="n"/>
      <c r="I2740" s="50" t="n"/>
      <c r="J2740" s="48" t="n"/>
      <c r="K2740" s="48" t="n"/>
      <c r="L2740" s="48" t="n"/>
      <c r="M2740" s="48" t="n"/>
      <c r="N2740" s="48" t="n"/>
      <c r="O2740" s="51">
        <f>IF(AND(B2740="",G2740="",C2740="",D2740="",J2740=""),"",IF(B2740="","⚠ Falta fecha",IF(G2740="","⚠ Falta monto",IF(Q2740="","⚠ Falta cuenta",IF(ISNA(MATCH(Q2740,ctaNombre,0)),"⚠ Cuenta no registrada",IF(AND(OR(P2740="Gasto",P2740="Reembolso"),D2740=""),"⚠ Falta categoría",IF(AND(D2740&lt;&gt;"",E2740&lt;&gt;"",ISNA(MATCH(D2740&amp;"|"&amp;E2740,catClave,0))),"⚠ Subcategoría no corresponde",IF(AND(OR(P2740="Transferencia",P2740="Pago tarjeta"),K2740=""),"⚠ Falta cuenta destino",IF(AND(K2740&lt;&gt;"",P2740&lt;&gt;"Transferencia",P2740&lt;&gt;"Pago tarjeta"),"⚠ Destino solo aplica a transferencias",IF(AND(K2740&lt;&gt;"",K2740=Q2740),"⚠ Origen igual a destino",IF(AND(K2740&lt;&gt;"",ISNA(MATCH(K2740,ctaNombre,0))),"⚠ Destino no registrado",IF(AND(P2740="Pago tarjeta",AE2740&lt;&gt;"Tarjeta de crédito"),"⚠ El destino debe ser tarjeta de crédito",IF(AND(P2740="Gasto",E2740="Depósitos y retiros"),"⚠ Usa tipo Transferencia",IF(AND(P2740="Resultado trading",AD2740&lt;&gt;"Cuenta de trading"),"⚠ Usa una cuenta de trading",IF(AND(G2740&lt;=0,P2740&lt;&gt;"Ajuste",P2740&lt;&gt;"Resultado trading"),"⚠ El monto debe ser positivo","✓")))))))))))))))</f>
        <v/>
      </c>
      <c r="P2740" s="52">
        <f>IF(OR(B2740="",G2740=""),"",IF(C2740="","Gasto",C2740))</f>
        <v/>
      </c>
      <c r="Q2740" s="52">
        <f>IF(P2740="","",IF(J2740&lt;&gt;"",J2740,CuentaPred&amp;""))</f>
        <v/>
      </c>
      <c r="R2740" s="52">
        <f>IF(P2740="","",IF(ISNUMBER(I2740),I2740,TasaUSD))</f>
        <v/>
      </c>
      <c r="S2740" s="53">
        <f>IF(P2740="","",IF(H2740="USD",G2740*R2740,G2740))</f>
        <v/>
      </c>
      <c r="T2740" s="53">
        <f>IF(P2740="","",IF(H2740="USD",G2740,IF(R2740&gt;0,G2740/R2740,0)))</f>
        <v/>
      </c>
      <c r="U2740" s="53">
        <f>IF(P2740="","",IF(P2740="Gasto",S2740,IF(P2740="Reembolso",-S2740,0)))</f>
        <v/>
      </c>
      <c r="V2740" s="53">
        <f>IF(P2740="","",IF(P2740="Ingreso",S2740,0))</f>
        <v/>
      </c>
      <c r="W2740" s="53">
        <f>IF(P2740="","",IF(P2740="Resultado trading",S2740,0))</f>
        <v/>
      </c>
      <c r="X2740" s="52">
        <f>IF(OR(P2740="Gasto",P2740="Reembolso"),IF(M2740&lt;&gt;"",M2740,IFERROR(INDEX(catClasif,MATCH(D2740&amp;"|"&amp;E2740,catClave,0))&amp;"","Variable")),"")</f>
        <v/>
      </c>
      <c r="Y2740" s="52">
        <f>IF(P2740="","",IFERROR(INDEX(catGrupo,MATCH(D2740&amp;"|"&amp;E2740,catClave,0))&amp;"",""))</f>
        <v/>
      </c>
      <c r="Z2740" s="52">
        <f>IF(P2740="","",WEEKDAY(B2740,2))</f>
        <v/>
      </c>
      <c r="AA2740" s="52">
        <f>IF(P2740="","",IF(AND(P2740="Gasto",X2740="Variable",D2740&lt;&gt;catTrading,S2740&gt;0,S2740&lt;=Umbral),1,0))</f>
        <v/>
      </c>
      <c r="AB2740" s="52">
        <f>IF(OR(P2740="",Q2740=""),"",IFERROR(IF(INDEX(ctaVinc,MATCH(Q2740,ctaNombre,0))&amp;""&lt;&gt;"",INDEX(ctaVinc,MATCH(Q2740,ctaNombre,0))&amp;"",Q2740),Q2740))</f>
        <v/>
      </c>
      <c r="AC2740" s="52">
        <f>IF(OR(K2740="",AND(P2740&lt;&gt;"Transferencia",P2740&lt;&gt;"Pago tarjeta")),"",IFERROR(IF(INDEX(ctaVinc,MATCH(K2740,ctaNombre,0))&amp;""&lt;&gt;"",INDEX(ctaVinc,MATCH(K2740,ctaNombre,0))&amp;"",K2740),K2740))</f>
        <v/>
      </c>
      <c r="AD2740" s="52">
        <f>IF(AB2740="","",IFERROR(INDEX(ctaTipo,MATCH(AB2740,ctaNombre,0))&amp;"",""))</f>
        <v/>
      </c>
      <c r="AE2740" s="52">
        <f>IF(AC2740="","",IFERROR(INDEX(ctaTipo,MATCH(AC2740,ctaNombre,0))&amp;"",""))</f>
        <v/>
      </c>
      <c r="AF2740" s="53">
        <f>IF(OR(P2740="",AB2740=""),"",IF(OR(P2740="Gasto",P2740="Transferencia",P2740="Pago tarjeta"),-1,1)*IF(IFERROR(INDEX(ctaMoneda,MATCH(AB2740,ctaNombre,0))&amp;"","DOP")="USD",T2740,S2740))</f>
        <v/>
      </c>
      <c r="AG2740" s="53">
        <f>IF(AC2740="","",IF(IFERROR(INDEX(ctaMoneda,MATCH(AC2740,ctaNombre,0))&amp;"","DOP")="USD",T2740,S2740))</f>
        <v/>
      </c>
      <c r="AH2740" s="53">
        <f>IF(P2740="","",IF(AND(AD2740&lt;&gt;"",COUNTIFS(tcTipo,AD2740,tcLiq,"Sí")&gt;0),IF(OR(P2740="Gasto",P2740="Transferencia",P2740="Pago tarjeta"),-1,1)*S2740,0)+IF(AND(AE2740&lt;&gt;"",COUNTIFS(tcTipo,AE2740,tcLiq,"Sí")&gt;0),S2740,0))</f>
        <v/>
      </c>
      <c r="AI2740" s="52">
        <f>IF(OR(L2740="",P2740=""),"",IF(COUNTIFS(L$6:L2740,L2740,P$6:P2740,"?*")=1,MAX(AI$5:AI2739)+1,""))</f>
        <v/>
      </c>
    </row>
    <row r="2741">
      <c r="B2741" s="47" t="n"/>
      <c r="C2741" s="48" t="n"/>
      <c r="D2741" s="48" t="n"/>
      <c r="E2741" s="48" t="n"/>
      <c r="F2741" s="48" t="n"/>
      <c r="G2741" s="49" t="n"/>
      <c r="H2741" s="48" t="n"/>
      <c r="I2741" s="50" t="n"/>
      <c r="J2741" s="48" t="n"/>
      <c r="K2741" s="48" t="n"/>
      <c r="L2741" s="48" t="n"/>
      <c r="M2741" s="48" t="n"/>
      <c r="N2741" s="48" t="n"/>
      <c r="O2741" s="51">
        <f>IF(AND(B2741="",G2741="",C2741="",D2741="",J2741=""),"",IF(B2741="","⚠ Falta fecha",IF(G2741="","⚠ Falta monto",IF(Q2741="","⚠ Falta cuenta",IF(ISNA(MATCH(Q2741,ctaNombre,0)),"⚠ Cuenta no registrada",IF(AND(OR(P2741="Gasto",P2741="Reembolso"),D2741=""),"⚠ Falta categoría",IF(AND(D2741&lt;&gt;"",E2741&lt;&gt;"",ISNA(MATCH(D2741&amp;"|"&amp;E2741,catClave,0))),"⚠ Subcategoría no corresponde",IF(AND(OR(P2741="Transferencia",P2741="Pago tarjeta"),K2741=""),"⚠ Falta cuenta destino",IF(AND(K2741&lt;&gt;"",P2741&lt;&gt;"Transferencia",P2741&lt;&gt;"Pago tarjeta"),"⚠ Destino solo aplica a transferencias",IF(AND(K2741&lt;&gt;"",K2741=Q2741),"⚠ Origen igual a destino",IF(AND(K2741&lt;&gt;"",ISNA(MATCH(K2741,ctaNombre,0))),"⚠ Destino no registrado",IF(AND(P2741="Pago tarjeta",AE2741&lt;&gt;"Tarjeta de crédito"),"⚠ El destino debe ser tarjeta de crédito",IF(AND(P2741="Gasto",E2741="Depósitos y retiros"),"⚠ Usa tipo Transferencia",IF(AND(P2741="Resultado trading",AD2741&lt;&gt;"Cuenta de trading"),"⚠ Usa una cuenta de trading",IF(AND(G2741&lt;=0,P2741&lt;&gt;"Ajuste",P2741&lt;&gt;"Resultado trading"),"⚠ El monto debe ser positivo","✓")))))))))))))))</f>
        <v/>
      </c>
      <c r="P2741" s="52">
        <f>IF(OR(B2741="",G2741=""),"",IF(C2741="","Gasto",C2741))</f>
        <v/>
      </c>
      <c r="Q2741" s="52">
        <f>IF(P2741="","",IF(J2741&lt;&gt;"",J2741,CuentaPred&amp;""))</f>
        <v/>
      </c>
      <c r="R2741" s="52">
        <f>IF(P2741="","",IF(ISNUMBER(I2741),I2741,TasaUSD))</f>
        <v/>
      </c>
      <c r="S2741" s="53">
        <f>IF(P2741="","",IF(H2741="USD",G2741*R2741,G2741))</f>
        <v/>
      </c>
      <c r="T2741" s="53">
        <f>IF(P2741="","",IF(H2741="USD",G2741,IF(R2741&gt;0,G2741/R2741,0)))</f>
        <v/>
      </c>
      <c r="U2741" s="53">
        <f>IF(P2741="","",IF(P2741="Gasto",S2741,IF(P2741="Reembolso",-S2741,0)))</f>
        <v/>
      </c>
      <c r="V2741" s="53">
        <f>IF(P2741="","",IF(P2741="Ingreso",S2741,0))</f>
        <v/>
      </c>
      <c r="W2741" s="53">
        <f>IF(P2741="","",IF(P2741="Resultado trading",S2741,0))</f>
        <v/>
      </c>
      <c r="X2741" s="52">
        <f>IF(OR(P2741="Gasto",P2741="Reembolso"),IF(M2741&lt;&gt;"",M2741,IFERROR(INDEX(catClasif,MATCH(D2741&amp;"|"&amp;E2741,catClave,0))&amp;"","Variable")),"")</f>
        <v/>
      </c>
      <c r="Y2741" s="52">
        <f>IF(P2741="","",IFERROR(INDEX(catGrupo,MATCH(D2741&amp;"|"&amp;E2741,catClave,0))&amp;"",""))</f>
        <v/>
      </c>
      <c r="Z2741" s="52">
        <f>IF(P2741="","",WEEKDAY(B2741,2))</f>
        <v/>
      </c>
      <c r="AA2741" s="52">
        <f>IF(P2741="","",IF(AND(P2741="Gasto",X2741="Variable",D2741&lt;&gt;catTrading,S2741&gt;0,S2741&lt;=Umbral),1,0))</f>
        <v/>
      </c>
      <c r="AB2741" s="52">
        <f>IF(OR(P2741="",Q2741=""),"",IFERROR(IF(INDEX(ctaVinc,MATCH(Q2741,ctaNombre,0))&amp;""&lt;&gt;"",INDEX(ctaVinc,MATCH(Q2741,ctaNombre,0))&amp;"",Q2741),Q2741))</f>
        <v/>
      </c>
      <c r="AC2741" s="52">
        <f>IF(OR(K2741="",AND(P2741&lt;&gt;"Transferencia",P2741&lt;&gt;"Pago tarjeta")),"",IFERROR(IF(INDEX(ctaVinc,MATCH(K2741,ctaNombre,0))&amp;""&lt;&gt;"",INDEX(ctaVinc,MATCH(K2741,ctaNombre,0))&amp;"",K2741),K2741))</f>
        <v/>
      </c>
      <c r="AD2741" s="52">
        <f>IF(AB2741="","",IFERROR(INDEX(ctaTipo,MATCH(AB2741,ctaNombre,0))&amp;"",""))</f>
        <v/>
      </c>
      <c r="AE2741" s="52">
        <f>IF(AC2741="","",IFERROR(INDEX(ctaTipo,MATCH(AC2741,ctaNombre,0))&amp;"",""))</f>
        <v/>
      </c>
      <c r="AF2741" s="53">
        <f>IF(OR(P2741="",AB2741=""),"",IF(OR(P2741="Gasto",P2741="Transferencia",P2741="Pago tarjeta"),-1,1)*IF(IFERROR(INDEX(ctaMoneda,MATCH(AB2741,ctaNombre,0))&amp;"","DOP")="USD",T2741,S2741))</f>
        <v/>
      </c>
      <c r="AG2741" s="53">
        <f>IF(AC2741="","",IF(IFERROR(INDEX(ctaMoneda,MATCH(AC2741,ctaNombre,0))&amp;"","DOP")="USD",T2741,S2741))</f>
        <v/>
      </c>
      <c r="AH2741" s="53">
        <f>IF(P2741="","",IF(AND(AD2741&lt;&gt;"",COUNTIFS(tcTipo,AD2741,tcLiq,"Sí")&gt;0),IF(OR(P2741="Gasto",P2741="Transferencia",P2741="Pago tarjeta"),-1,1)*S2741,0)+IF(AND(AE2741&lt;&gt;"",COUNTIFS(tcTipo,AE2741,tcLiq,"Sí")&gt;0),S2741,0))</f>
        <v/>
      </c>
      <c r="AI2741" s="52">
        <f>IF(OR(L2741="",P2741=""),"",IF(COUNTIFS(L$6:L2741,L2741,P$6:P2741,"?*")=1,MAX(AI$5:AI2740)+1,""))</f>
        <v/>
      </c>
    </row>
    <row r="2742">
      <c r="B2742" s="47" t="n"/>
      <c r="C2742" s="48" t="n"/>
      <c r="D2742" s="48" t="n"/>
      <c r="E2742" s="48" t="n"/>
      <c r="F2742" s="48" t="n"/>
      <c r="G2742" s="49" t="n"/>
      <c r="H2742" s="48" t="n"/>
      <c r="I2742" s="50" t="n"/>
      <c r="J2742" s="48" t="n"/>
      <c r="K2742" s="48" t="n"/>
      <c r="L2742" s="48" t="n"/>
      <c r="M2742" s="48" t="n"/>
      <c r="N2742" s="48" t="n"/>
      <c r="O2742" s="51">
        <f>IF(AND(B2742="",G2742="",C2742="",D2742="",J2742=""),"",IF(B2742="","⚠ Falta fecha",IF(G2742="","⚠ Falta monto",IF(Q2742="","⚠ Falta cuenta",IF(ISNA(MATCH(Q2742,ctaNombre,0)),"⚠ Cuenta no registrada",IF(AND(OR(P2742="Gasto",P2742="Reembolso"),D2742=""),"⚠ Falta categoría",IF(AND(D2742&lt;&gt;"",E2742&lt;&gt;"",ISNA(MATCH(D2742&amp;"|"&amp;E2742,catClave,0))),"⚠ Subcategoría no corresponde",IF(AND(OR(P2742="Transferencia",P2742="Pago tarjeta"),K2742=""),"⚠ Falta cuenta destino",IF(AND(K2742&lt;&gt;"",P2742&lt;&gt;"Transferencia",P2742&lt;&gt;"Pago tarjeta"),"⚠ Destino solo aplica a transferencias",IF(AND(K2742&lt;&gt;"",K2742=Q2742),"⚠ Origen igual a destino",IF(AND(K2742&lt;&gt;"",ISNA(MATCH(K2742,ctaNombre,0))),"⚠ Destino no registrado",IF(AND(P2742="Pago tarjeta",AE2742&lt;&gt;"Tarjeta de crédito"),"⚠ El destino debe ser tarjeta de crédito",IF(AND(P2742="Gasto",E2742="Depósitos y retiros"),"⚠ Usa tipo Transferencia",IF(AND(P2742="Resultado trading",AD2742&lt;&gt;"Cuenta de trading"),"⚠ Usa una cuenta de trading",IF(AND(G2742&lt;=0,P2742&lt;&gt;"Ajuste",P2742&lt;&gt;"Resultado trading"),"⚠ El monto debe ser positivo","✓")))))))))))))))</f>
        <v/>
      </c>
      <c r="P2742" s="52">
        <f>IF(OR(B2742="",G2742=""),"",IF(C2742="","Gasto",C2742))</f>
        <v/>
      </c>
      <c r="Q2742" s="52">
        <f>IF(P2742="","",IF(J2742&lt;&gt;"",J2742,CuentaPred&amp;""))</f>
        <v/>
      </c>
      <c r="R2742" s="52">
        <f>IF(P2742="","",IF(ISNUMBER(I2742),I2742,TasaUSD))</f>
        <v/>
      </c>
      <c r="S2742" s="53">
        <f>IF(P2742="","",IF(H2742="USD",G2742*R2742,G2742))</f>
        <v/>
      </c>
      <c r="T2742" s="53">
        <f>IF(P2742="","",IF(H2742="USD",G2742,IF(R2742&gt;0,G2742/R2742,0)))</f>
        <v/>
      </c>
      <c r="U2742" s="53">
        <f>IF(P2742="","",IF(P2742="Gasto",S2742,IF(P2742="Reembolso",-S2742,0)))</f>
        <v/>
      </c>
      <c r="V2742" s="53">
        <f>IF(P2742="","",IF(P2742="Ingreso",S2742,0))</f>
        <v/>
      </c>
      <c r="W2742" s="53">
        <f>IF(P2742="","",IF(P2742="Resultado trading",S2742,0))</f>
        <v/>
      </c>
      <c r="X2742" s="52">
        <f>IF(OR(P2742="Gasto",P2742="Reembolso"),IF(M2742&lt;&gt;"",M2742,IFERROR(INDEX(catClasif,MATCH(D2742&amp;"|"&amp;E2742,catClave,0))&amp;"","Variable")),"")</f>
        <v/>
      </c>
      <c r="Y2742" s="52">
        <f>IF(P2742="","",IFERROR(INDEX(catGrupo,MATCH(D2742&amp;"|"&amp;E2742,catClave,0))&amp;"",""))</f>
        <v/>
      </c>
      <c r="Z2742" s="52">
        <f>IF(P2742="","",WEEKDAY(B2742,2))</f>
        <v/>
      </c>
      <c r="AA2742" s="52">
        <f>IF(P2742="","",IF(AND(P2742="Gasto",X2742="Variable",D2742&lt;&gt;catTrading,S2742&gt;0,S2742&lt;=Umbral),1,0))</f>
        <v/>
      </c>
      <c r="AB2742" s="52">
        <f>IF(OR(P2742="",Q2742=""),"",IFERROR(IF(INDEX(ctaVinc,MATCH(Q2742,ctaNombre,0))&amp;""&lt;&gt;"",INDEX(ctaVinc,MATCH(Q2742,ctaNombre,0))&amp;"",Q2742),Q2742))</f>
        <v/>
      </c>
      <c r="AC2742" s="52">
        <f>IF(OR(K2742="",AND(P2742&lt;&gt;"Transferencia",P2742&lt;&gt;"Pago tarjeta")),"",IFERROR(IF(INDEX(ctaVinc,MATCH(K2742,ctaNombre,0))&amp;""&lt;&gt;"",INDEX(ctaVinc,MATCH(K2742,ctaNombre,0))&amp;"",K2742),K2742))</f>
        <v/>
      </c>
      <c r="AD2742" s="52">
        <f>IF(AB2742="","",IFERROR(INDEX(ctaTipo,MATCH(AB2742,ctaNombre,0))&amp;"",""))</f>
        <v/>
      </c>
      <c r="AE2742" s="52">
        <f>IF(AC2742="","",IFERROR(INDEX(ctaTipo,MATCH(AC2742,ctaNombre,0))&amp;"",""))</f>
        <v/>
      </c>
      <c r="AF2742" s="53">
        <f>IF(OR(P2742="",AB2742=""),"",IF(OR(P2742="Gasto",P2742="Transferencia",P2742="Pago tarjeta"),-1,1)*IF(IFERROR(INDEX(ctaMoneda,MATCH(AB2742,ctaNombre,0))&amp;"","DOP")="USD",T2742,S2742))</f>
        <v/>
      </c>
      <c r="AG2742" s="53">
        <f>IF(AC2742="","",IF(IFERROR(INDEX(ctaMoneda,MATCH(AC2742,ctaNombre,0))&amp;"","DOP")="USD",T2742,S2742))</f>
        <v/>
      </c>
      <c r="AH2742" s="53">
        <f>IF(P2742="","",IF(AND(AD2742&lt;&gt;"",COUNTIFS(tcTipo,AD2742,tcLiq,"Sí")&gt;0),IF(OR(P2742="Gasto",P2742="Transferencia",P2742="Pago tarjeta"),-1,1)*S2742,0)+IF(AND(AE2742&lt;&gt;"",COUNTIFS(tcTipo,AE2742,tcLiq,"Sí")&gt;0),S2742,0))</f>
        <v/>
      </c>
      <c r="AI2742" s="52">
        <f>IF(OR(L2742="",P2742=""),"",IF(COUNTIFS(L$6:L2742,L2742,P$6:P2742,"?*")=1,MAX(AI$5:AI2741)+1,""))</f>
        <v/>
      </c>
    </row>
    <row r="2743">
      <c r="B2743" s="47" t="n"/>
      <c r="C2743" s="48" t="n"/>
      <c r="D2743" s="48" t="n"/>
      <c r="E2743" s="48" t="n"/>
      <c r="F2743" s="48" t="n"/>
      <c r="G2743" s="49" t="n"/>
      <c r="H2743" s="48" t="n"/>
      <c r="I2743" s="50" t="n"/>
      <c r="J2743" s="48" t="n"/>
      <c r="K2743" s="48" t="n"/>
      <c r="L2743" s="48" t="n"/>
      <c r="M2743" s="48" t="n"/>
      <c r="N2743" s="48" t="n"/>
      <c r="O2743" s="51">
        <f>IF(AND(B2743="",G2743="",C2743="",D2743="",J2743=""),"",IF(B2743="","⚠ Falta fecha",IF(G2743="","⚠ Falta monto",IF(Q2743="","⚠ Falta cuenta",IF(ISNA(MATCH(Q2743,ctaNombre,0)),"⚠ Cuenta no registrada",IF(AND(OR(P2743="Gasto",P2743="Reembolso"),D2743=""),"⚠ Falta categoría",IF(AND(D2743&lt;&gt;"",E2743&lt;&gt;"",ISNA(MATCH(D2743&amp;"|"&amp;E2743,catClave,0))),"⚠ Subcategoría no corresponde",IF(AND(OR(P2743="Transferencia",P2743="Pago tarjeta"),K2743=""),"⚠ Falta cuenta destino",IF(AND(K2743&lt;&gt;"",P2743&lt;&gt;"Transferencia",P2743&lt;&gt;"Pago tarjeta"),"⚠ Destino solo aplica a transferencias",IF(AND(K2743&lt;&gt;"",K2743=Q2743),"⚠ Origen igual a destino",IF(AND(K2743&lt;&gt;"",ISNA(MATCH(K2743,ctaNombre,0))),"⚠ Destino no registrado",IF(AND(P2743="Pago tarjeta",AE2743&lt;&gt;"Tarjeta de crédito"),"⚠ El destino debe ser tarjeta de crédito",IF(AND(P2743="Gasto",E2743="Depósitos y retiros"),"⚠ Usa tipo Transferencia",IF(AND(P2743="Resultado trading",AD2743&lt;&gt;"Cuenta de trading"),"⚠ Usa una cuenta de trading",IF(AND(G2743&lt;=0,P2743&lt;&gt;"Ajuste",P2743&lt;&gt;"Resultado trading"),"⚠ El monto debe ser positivo","✓")))))))))))))))</f>
        <v/>
      </c>
      <c r="P2743" s="52">
        <f>IF(OR(B2743="",G2743=""),"",IF(C2743="","Gasto",C2743))</f>
        <v/>
      </c>
      <c r="Q2743" s="52">
        <f>IF(P2743="","",IF(J2743&lt;&gt;"",J2743,CuentaPred&amp;""))</f>
        <v/>
      </c>
      <c r="R2743" s="52">
        <f>IF(P2743="","",IF(ISNUMBER(I2743),I2743,TasaUSD))</f>
        <v/>
      </c>
      <c r="S2743" s="53">
        <f>IF(P2743="","",IF(H2743="USD",G2743*R2743,G2743))</f>
        <v/>
      </c>
      <c r="T2743" s="53">
        <f>IF(P2743="","",IF(H2743="USD",G2743,IF(R2743&gt;0,G2743/R2743,0)))</f>
        <v/>
      </c>
      <c r="U2743" s="53">
        <f>IF(P2743="","",IF(P2743="Gasto",S2743,IF(P2743="Reembolso",-S2743,0)))</f>
        <v/>
      </c>
      <c r="V2743" s="53">
        <f>IF(P2743="","",IF(P2743="Ingreso",S2743,0))</f>
        <v/>
      </c>
      <c r="W2743" s="53">
        <f>IF(P2743="","",IF(P2743="Resultado trading",S2743,0))</f>
        <v/>
      </c>
      <c r="X2743" s="52">
        <f>IF(OR(P2743="Gasto",P2743="Reembolso"),IF(M2743&lt;&gt;"",M2743,IFERROR(INDEX(catClasif,MATCH(D2743&amp;"|"&amp;E2743,catClave,0))&amp;"","Variable")),"")</f>
        <v/>
      </c>
      <c r="Y2743" s="52">
        <f>IF(P2743="","",IFERROR(INDEX(catGrupo,MATCH(D2743&amp;"|"&amp;E2743,catClave,0))&amp;"",""))</f>
        <v/>
      </c>
      <c r="Z2743" s="52">
        <f>IF(P2743="","",WEEKDAY(B2743,2))</f>
        <v/>
      </c>
      <c r="AA2743" s="52">
        <f>IF(P2743="","",IF(AND(P2743="Gasto",X2743="Variable",D2743&lt;&gt;catTrading,S2743&gt;0,S2743&lt;=Umbral),1,0))</f>
        <v/>
      </c>
      <c r="AB2743" s="52">
        <f>IF(OR(P2743="",Q2743=""),"",IFERROR(IF(INDEX(ctaVinc,MATCH(Q2743,ctaNombre,0))&amp;""&lt;&gt;"",INDEX(ctaVinc,MATCH(Q2743,ctaNombre,0))&amp;"",Q2743),Q2743))</f>
        <v/>
      </c>
      <c r="AC2743" s="52">
        <f>IF(OR(K2743="",AND(P2743&lt;&gt;"Transferencia",P2743&lt;&gt;"Pago tarjeta")),"",IFERROR(IF(INDEX(ctaVinc,MATCH(K2743,ctaNombre,0))&amp;""&lt;&gt;"",INDEX(ctaVinc,MATCH(K2743,ctaNombre,0))&amp;"",K2743),K2743))</f>
        <v/>
      </c>
      <c r="AD2743" s="52">
        <f>IF(AB2743="","",IFERROR(INDEX(ctaTipo,MATCH(AB2743,ctaNombre,0))&amp;"",""))</f>
        <v/>
      </c>
      <c r="AE2743" s="52">
        <f>IF(AC2743="","",IFERROR(INDEX(ctaTipo,MATCH(AC2743,ctaNombre,0))&amp;"",""))</f>
        <v/>
      </c>
      <c r="AF2743" s="53">
        <f>IF(OR(P2743="",AB2743=""),"",IF(OR(P2743="Gasto",P2743="Transferencia",P2743="Pago tarjeta"),-1,1)*IF(IFERROR(INDEX(ctaMoneda,MATCH(AB2743,ctaNombre,0))&amp;"","DOP")="USD",T2743,S2743))</f>
        <v/>
      </c>
      <c r="AG2743" s="53">
        <f>IF(AC2743="","",IF(IFERROR(INDEX(ctaMoneda,MATCH(AC2743,ctaNombre,0))&amp;"","DOP")="USD",T2743,S2743))</f>
        <v/>
      </c>
      <c r="AH2743" s="53">
        <f>IF(P2743="","",IF(AND(AD2743&lt;&gt;"",COUNTIFS(tcTipo,AD2743,tcLiq,"Sí")&gt;0),IF(OR(P2743="Gasto",P2743="Transferencia",P2743="Pago tarjeta"),-1,1)*S2743,0)+IF(AND(AE2743&lt;&gt;"",COUNTIFS(tcTipo,AE2743,tcLiq,"Sí")&gt;0),S2743,0))</f>
        <v/>
      </c>
      <c r="AI2743" s="52">
        <f>IF(OR(L2743="",P2743=""),"",IF(COUNTIFS(L$6:L2743,L2743,P$6:P2743,"?*")=1,MAX(AI$5:AI2742)+1,""))</f>
        <v/>
      </c>
    </row>
    <row r="2744">
      <c r="B2744" s="47" t="n"/>
      <c r="C2744" s="48" t="n"/>
      <c r="D2744" s="48" t="n"/>
      <c r="E2744" s="48" t="n"/>
      <c r="F2744" s="48" t="n"/>
      <c r="G2744" s="49" t="n"/>
      <c r="H2744" s="48" t="n"/>
      <c r="I2744" s="50" t="n"/>
      <c r="J2744" s="48" t="n"/>
      <c r="K2744" s="48" t="n"/>
      <c r="L2744" s="48" t="n"/>
      <c r="M2744" s="48" t="n"/>
      <c r="N2744" s="48" t="n"/>
      <c r="O2744" s="51">
        <f>IF(AND(B2744="",G2744="",C2744="",D2744="",J2744=""),"",IF(B2744="","⚠ Falta fecha",IF(G2744="","⚠ Falta monto",IF(Q2744="","⚠ Falta cuenta",IF(ISNA(MATCH(Q2744,ctaNombre,0)),"⚠ Cuenta no registrada",IF(AND(OR(P2744="Gasto",P2744="Reembolso"),D2744=""),"⚠ Falta categoría",IF(AND(D2744&lt;&gt;"",E2744&lt;&gt;"",ISNA(MATCH(D2744&amp;"|"&amp;E2744,catClave,0))),"⚠ Subcategoría no corresponde",IF(AND(OR(P2744="Transferencia",P2744="Pago tarjeta"),K2744=""),"⚠ Falta cuenta destino",IF(AND(K2744&lt;&gt;"",P2744&lt;&gt;"Transferencia",P2744&lt;&gt;"Pago tarjeta"),"⚠ Destino solo aplica a transferencias",IF(AND(K2744&lt;&gt;"",K2744=Q2744),"⚠ Origen igual a destino",IF(AND(K2744&lt;&gt;"",ISNA(MATCH(K2744,ctaNombre,0))),"⚠ Destino no registrado",IF(AND(P2744="Pago tarjeta",AE2744&lt;&gt;"Tarjeta de crédito"),"⚠ El destino debe ser tarjeta de crédito",IF(AND(P2744="Gasto",E2744="Depósitos y retiros"),"⚠ Usa tipo Transferencia",IF(AND(P2744="Resultado trading",AD2744&lt;&gt;"Cuenta de trading"),"⚠ Usa una cuenta de trading",IF(AND(G2744&lt;=0,P2744&lt;&gt;"Ajuste",P2744&lt;&gt;"Resultado trading"),"⚠ El monto debe ser positivo","✓")))))))))))))))</f>
        <v/>
      </c>
      <c r="P2744" s="52">
        <f>IF(OR(B2744="",G2744=""),"",IF(C2744="","Gasto",C2744))</f>
        <v/>
      </c>
      <c r="Q2744" s="52">
        <f>IF(P2744="","",IF(J2744&lt;&gt;"",J2744,CuentaPred&amp;""))</f>
        <v/>
      </c>
      <c r="R2744" s="52">
        <f>IF(P2744="","",IF(ISNUMBER(I2744),I2744,TasaUSD))</f>
        <v/>
      </c>
      <c r="S2744" s="53">
        <f>IF(P2744="","",IF(H2744="USD",G2744*R2744,G2744))</f>
        <v/>
      </c>
      <c r="T2744" s="53">
        <f>IF(P2744="","",IF(H2744="USD",G2744,IF(R2744&gt;0,G2744/R2744,0)))</f>
        <v/>
      </c>
      <c r="U2744" s="53">
        <f>IF(P2744="","",IF(P2744="Gasto",S2744,IF(P2744="Reembolso",-S2744,0)))</f>
        <v/>
      </c>
      <c r="V2744" s="53">
        <f>IF(P2744="","",IF(P2744="Ingreso",S2744,0))</f>
        <v/>
      </c>
      <c r="W2744" s="53">
        <f>IF(P2744="","",IF(P2744="Resultado trading",S2744,0))</f>
        <v/>
      </c>
      <c r="X2744" s="52">
        <f>IF(OR(P2744="Gasto",P2744="Reembolso"),IF(M2744&lt;&gt;"",M2744,IFERROR(INDEX(catClasif,MATCH(D2744&amp;"|"&amp;E2744,catClave,0))&amp;"","Variable")),"")</f>
        <v/>
      </c>
      <c r="Y2744" s="52">
        <f>IF(P2744="","",IFERROR(INDEX(catGrupo,MATCH(D2744&amp;"|"&amp;E2744,catClave,0))&amp;"",""))</f>
        <v/>
      </c>
      <c r="Z2744" s="52">
        <f>IF(P2744="","",WEEKDAY(B2744,2))</f>
        <v/>
      </c>
      <c r="AA2744" s="52">
        <f>IF(P2744="","",IF(AND(P2744="Gasto",X2744="Variable",D2744&lt;&gt;catTrading,S2744&gt;0,S2744&lt;=Umbral),1,0))</f>
        <v/>
      </c>
      <c r="AB2744" s="52">
        <f>IF(OR(P2744="",Q2744=""),"",IFERROR(IF(INDEX(ctaVinc,MATCH(Q2744,ctaNombre,0))&amp;""&lt;&gt;"",INDEX(ctaVinc,MATCH(Q2744,ctaNombre,0))&amp;"",Q2744),Q2744))</f>
        <v/>
      </c>
      <c r="AC2744" s="52">
        <f>IF(OR(K2744="",AND(P2744&lt;&gt;"Transferencia",P2744&lt;&gt;"Pago tarjeta")),"",IFERROR(IF(INDEX(ctaVinc,MATCH(K2744,ctaNombre,0))&amp;""&lt;&gt;"",INDEX(ctaVinc,MATCH(K2744,ctaNombre,0))&amp;"",K2744),K2744))</f>
        <v/>
      </c>
      <c r="AD2744" s="52">
        <f>IF(AB2744="","",IFERROR(INDEX(ctaTipo,MATCH(AB2744,ctaNombre,0))&amp;"",""))</f>
        <v/>
      </c>
      <c r="AE2744" s="52">
        <f>IF(AC2744="","",IFERROR(INDEX(ctaTipo,MATCH(AC2744,ctaNombre,0))&amp;"",""))</f>
        <v/>
      </c>
      <c r="AF2744" s="53">
        <f>IF(OR(P2744="",AB2744=""),"",IF(OR(P2744="Gasto",P2744="Transferencia",P2744="Pago tarjeta"),-1,1)*IF(IFERROR(INDEX(ctaMoneda,MATCH(AB2744,ctaNombre,0))&amp;"","DOP")="USD",T2744,S2744))</f>
        <v/>
      </c>
      <c r="AG2744" s="53">
        <f>IF(AC2744="","",IF(IFERROR(INDEX(ctaMoneda,MATCH(AC2744,ctaNombre,0))&amp;"","DOP")="USD",T2744,S2744))</f>
        <v/>
      </c>
      <c r="AH2744" s="53">
        <f>IF(P2744="","",IF(AND(AD2744&lt;&gt;"",COUNTIFS(tcTipo,AD2744,tcLiq,"Sí")&gt;0),IF(OR(P2744="Gasto",P2744="Transferencia",P2744="Pago tarjeta"),-1,1)*S2744,0)+IF(AND(AE2744&lt;&gt;"",COUNTIFS(tcTipo,AE2744,tcLiq,"Sí")&gt;0),S2744,0))</f>
        <v/>
      </c>
      <c r="AI2744" s="52">
        <f>IF(OR(L2744="",P2744=""),"",IF(COUNTIFS(L$6:L2744,L2744,P$6:P2744,"?*")=1,MAX(AI$5:AI2743)+1,""))</f>
        <v/>
      </c>
    </row>
    <row r="2745">
      <c r="B2745" s="47" t="n"/>
      <c r="C2745" s="48" t="n"/>
      <c r="D2745" s="48" t="n"/>
      <c r="E2745" s="48" t="n"/>
      <c r="F2745" s="48" t="n"/>
      <c r="G2745" s="49" t="n"/>
      <c r="H2745" s="48" t="n"/>
      <c r="I2745" s="50" t="n"/>
      <c r="J2745" s="48" t="n"/>
      <c r="K2745" s="48" t="n"/>
      <c r="L2745" s="48" t="n"/>
      <c r="M2745" s="48" t="n"/>
      <c r="N2745" s="48" t="n"/>
      <c r="O2745" s="51">
        <f>IF(AND(B2745="",G2745="",C2745="",D2745="",J2745=""),"",IF(B2745="","⚠ Falta fecha",IF(G2745="","⚠ Falta monto",IF(Q2745="","⚠ Falta cuenta",IF(ISNA(MATCH(Q2745,ctaNombre,0)),"⚠ Cuenta no registrada",IF(AND(OR(P2745="Gasto",P2745="Reembolso"),D2745=""),"⚠ Falta categoría",IF(AND(D2745&lt;&gt;"",E2745&lt;&gt;"",ISNA(MATCH(D2745&amp;"|"&amp;E2745,catClave,0))),"⚠ Subcategoría no corresponde",IF(AND(OR(P2745="Transferencia",P2745="Pago tarjeta"),K2745=""),"⚠ Falta cuenta destino",IF(AND(K2745&lt;&gt;"",P2745&lt;&gt;"Transferencia",P2745&lt;&gt;"Pago tarjeta"),"⚠ Destino solo aplica a transferencias",IF(AND(K2745&lt;&gt;"",K2745=Q2745),"⚠ Origen igual a destino",IF(AND(K2745&lt;&gt;"",ISNA(MATCH(K2745,ctaNombre,0))),"⚠ Destino no registrado",IF(AND(P2745="Pago tarjeta",AE2745&lt;&gt;"Tarjeta de crédito"),"⚠ El destino debe ser tarjeta de crédito",IF(AND(P2745="Gasto",E2745="Depósitos y retiros"),"⚠ Usa tipo Transferencia",IF(AND(P2745="Resultado trading",AD2745&lt;&gt;"Cuenta de trading"),"⚠ Usa una cuenta de trading",IF(AND(G2745&lt;=0,P2745&lt;&gt;"Ajuste",P2745&lt;&gt;"Resultado trading"),"⚠ El monto debe ser positivo","✓")))))))))))))))</f>
        <v/>
      </c>
      <c r="P2745" s="52">
        <f>IF(OR(B2745="",G2745=""),"",IF(C2745="","Gasto",C2745))</f>
        <v/>
      </c>
      <c r="Q2745" s="52">
        <f>IF(P2745="","",IF(J2745&lt;&gt;"",J2745,CuentaPred&amp;""))</f>
        <v/>
      </c>
      <c r="R2745" s="52">
        <f>IF(P2745="","",IF(ISNUMBER(I2745),I2745,TasaUSD))</f>
        <v/>
      </c>
      <c r="S2745" s="53">
        <f>IF(P2745="","",IF(H2745="USD",G2745*R2745,G2745))</f>
        <v/>
      </c>
      <c r="T2745" s="53">
        <f>IF(P2745="","",IF(H2745="USD",G2745,IF(R2745&gt;0,G2745/R2745,0)))</f>
        <v/>
      </c>
      <c r="U2745" s="53">
        <f>IF(P2745="","",IF(P2745="Gasto",S2745,IF(P2745="Reembolso",-S2745,0)))</f>
        <v/>
      </c>
      <c r="V2745" s="53">
        <f>IF(P2745="","",IF(P2745="Ingreso",S2745,0))</f>
        <v/>
      </c>
      <c r="W2745" s="53">
        <f>IF(P2745="","",IF(P2745="Resultado trading",S2745,0))</f>
        <v/>
      </c>
      <c r="X2745" s="52">
        <f>IF(OR(P2745="Gasto",P2745="Reembolso"),IF(M2745&lt;&gt;"",M2745,IFERROR(INDEX(catClasif,MATCH(D2745&amp;"|"&amp;E2745,catClave,0))&amp;"","Variable")),"")</f>
        <v/>
      </c>
      <c r="Y2745" s="52">
        <f>IF(P2745="","",IFERROR(INDEX(catGrupo,MATCH(D2745&amp;"|"&amp;E2745,catClave,0))&amp;"",""))</f>
        <v/>
      </c>
      <c r="Z2745" s="52">
        <f>IF(P2745="","",WEEKDAY(B2745,2))</f>
        <v/>
      </c>
      <c r="AA2745" s="52">
        <f>IF(P2745="","",IF(AND(P2745="Gasto",X2745="Variable",D2745&lt;&gt;catTrading,S2745&gt;0,S2745&lt;=Umbral),1,0))</f>
        <v/>
      </c>
      <c r="AB2745" s="52">
        <f>IF(OR(P2745="",Q2745=""),"",IFERROR(IF(INDEX(ctaVinc,MATCH(Q2745,ctaNombre,0))&amp;""&lt;&gt;"",INDEX(ctaVinc,MATCH(Q2745,ctaNombre,0))&amp;"",Q2745),Q2745))</f>
        <v/>
      </c>
      <c r="AC2745" s="52">
        <f>IF(OR(K2745="",AND(P2745&lt;&gt;"Transferencia",P2745&lt;&gt;"Pago tarjeta")),"",IFERROR(IF(INDEX(ctaVinc,MATCH(K2745,ctaNombre,0))&amp;""&lt;&gt;"",INDEX(ctaVinc,MATCH(K2745,ctaNombre,0))&amp;"",K2745),K2745))</f>
        <v/>
      </c>
      <c r="AD2745" s="52">
        <f>IF(AB2745="","",IFERROR(INDEX(ctaTipo,MATCH(AB2745,ctaNombre,0))&amp;"",""))</f>
        <v/>
      </c>
      <c r="AE2745" s="52">
        <f>IF(AC2745="","",IFERROR(INDEX(ctaTipo,MATCH(AC2745,ctaNombre,0))&amp;"",""))</f>
        <v/>
      </c>
      <c r="AF2745" s="53">
        <f>IF(OR(P2745="",AB2745=""),"",IF(OR(P2745="Gasto",P2745="Transferencia",P2745="Pago tarjeta"),-1,1)*IF(IFERROR(INDEX(ctaMoneda,MATCH(AB2745,ctaNombre,0))&amp;"","DOP")="USD",T2745,S2745))</f>
        <v/>
      </c>
      <c r="AG2745" s="53">
        <f>IF(AC2745="","",IF(IFERROR(INDEX(ctaMoneda,MATCH(AC2745,ctaNombre,0))&amp;"","DOP")="USD",T2745,S2745))</f>
        <v/>
      </c>
      <c r="AH2745" s="53">
        <f>IF(P2745="","",IF(AND(AD2745&lt;&gt;"",COUNTIFS(tcTipo,AD2745,tcLiq,"Sí")&gt;0),IF(OR(P2745="Gasto",P2745="Transferencia",P2745="Pago tarjeta"),-1,1)*S2745,0)+IF(AND(AE2745&lt;&gt;"",COUNTIFS(tcTipo,AE2745,tcLiq,"Sí")&gt;0),S2745,0))</f>
        <v/>
      </c>
      <c r="AI2745" s="52">
        <f>IF(OR(L2745="",P2745=""),"",IF(COUNTIFS(L$6:L2745,L2745,P$6:P2745,"?*")=1,MAX(AI$5:AI2744)+1,""))</f>
        <v/>
      </c>
    </row>
    <row r="2746">
      <c r="B2746" s="47" t="n"/>
      <c r="C2746" s="48" t="n"/>
      <c r="D2746" s="48" t="n"/>
      <c r="E2746" s="48" t="n"/>
      <c r="F2746" s="48" t="n"/>
      <c r="G2746" s="49" t="n"/>
      <c r="H2746" s="48" t="n"/>
      <c r="I2746" s="50" t="n"/>
      <c r="J2746" s="48" t="n"/>
      <c r="K2746" s="48" t="n"/>
      <c r="L2746" s="48" t="n"/>
      <c r="M2746" s="48" t="n"/>
      <c r="N2746" s="48" t="n"/>
      <c r="O2746" s="51">
        <f>IF(AND(B2746="",G2746="",C2746="",D2746="",J2746=""),"",IF(B2746="","⚠ Falta fecha",IF(G2746="","⚠ Falta monto",IF(Q2746="","⚠ Falta cuenta",IF(ISNA(MATCH(Q2746,ctaNombre,0)),"⚠ Cuenta no registrada",IF(AND(OR(P2746="Gasto",P2746="Reembolso"),D2746=""),"⚠ Falta categoría",IF(AND(D2746&lt;&gt;"",E2746&lt;&gt;"",ISNA(MATCH(D2746&amp;"|"&amp;E2746,catClave,0))),"⚠ Subcategoría no corresponde",IF(AND(OR(P2746="Transferencia",P2746="Pago tarjeta"),K2746=""),"⚠ Falta cuenta destino",IF(AND(K2746&lt;&gt;"",P2746&lt;&gt;"Transferencia",P2746&lt;&gt;"Pago tarjeta"),"⚠ Destino solo aplica a transferencias",IF(AND(K2746&lt;&gt;"",K2746=Q2746),"⚠ Origen igual a destino",IF(AND(K2746&lt;&gt;"",ISNA(MATCH(K2746,ctaNombre,0))),"⚠ Destino no registrado",IF(AND(P2746="Pago tarjeta",AE2746&lt;&gt;"Tarjeta de crédito"),"⚠ El destino debe ser tarjeta de crédito",IF(AND(P2746="Gasto",E2746="Depósitos y retiros"),"⚠ Usa tipo Transferencia",IF(AND(P2746="Resultado trading",AD2746&lt;&gt;"Cuenta de trading"),"⚠ Usa una cuenta de trading",IF(AND(G2746&lt;=0,P2746&lt;&gt;"Ajuste",P2746&lt;&gt;"Resultado trading"),"⚠ El monto debe ser positivo","✓")))))))))))))))</f>
        <v/>
      </c>
      <c r="P2746" s="52">
        <f>IF(OR(B2746="",G2746=""),"",IF(C2746="","Gasto",C2746))</f>
        <v/>
      </c>
      <c r="Q2746" s="52">
        <f>IF(P2746="","",IF(J2746&lt;&gt;"",J2746,CuentaPred&amp;""))</f>
        <v/>
      </c>
      <c r="R2746" s="52">
        <f>IF(P2746="","",IF(ISNUMBER(I2746),I2746,TasaUSD))</f>
        <v/>
      </c>
      <c r="S2746" s="53">
        <f>IF(P2746="","",IF(H2746="USD",G2746*R2746,G2746))</f>
        <v/>
      </c>
      <c r="T2746" s="53">
        <f>IF(P2746="","",IF(H2746="USD",G2746,IF(R2746&gt;0,G2746/R2746,0)))</f>
        <v/>
      </c>
      <c r="U2746" s="53">
        <f>IF(P2746="","",IF(P2746="Gasto",S2746,IF(P2746="Reembolso",-S2746,0)))</f>
        <v/>
      </c>
      <c r="V2746" s="53">
        <f>IF(P2746="","",IF(P2746="Ingreso",S2746,0))</f>
        <v/>
      </c>
      <c r="W2746" s="53">
        <f>IF(P2746="","",IF(P2746="Resultado trading",S2746,0))</f>
        <v/>
      </c>
      <c r="X2746" s="52">
        <f>IF(OR(P2746="Gasto",P2746="Reembolso"),IF(M2746&lt;&gt;"",M2746,IFERROR(INDEX(catClasif,MATCH(D2746&amp;"|"&amp;E2746,catClave,0))&amp;"","Variable")),"")</f>
        <v/>
      </c>
      <c r="Y2746" s="52">
        <f>IF(P2746="","",IFERROR(INDEX(catGrupo,MATCH(D2746&amp;"|"&amp;E2746,catClave,0))&amp;"",""))</f>
        <v/>
      </c>
      <c r="Z2746" s="52">
        <f>IF(P2746="","",WEEKDAY(B2746,2))</f>
        <v/>
      </c>
      <c r="AA2746" s="52">
        <f>IF(P2746="","",IF(AND(P2746="Gasto",X2746="Variable",D2746&lt;&gt;catTrading,S2746&gt;0,S2746&lt;=Umbral),1,0))</f>
        <v/>
      </c>
      <c r="AB2746" s="52">
        <f>IF(OR(P2746="",Q2746=""),"",IFERROR(IF(INDEX(ctaVinc,MATCH(Q2746,ctaNombre,0))&amp;""&lt;&gt;"",INDEX(ctaVinc,MATCH(Q2746,ctaNombre,0))&amp;"",Q2746),Q2746))</f>
        <v/>
      </c>
      <c r="AC2746" s="52">
        <f>IF(OR(K2746="",AND(P2746&lt;&gt;"Transferencia",P2746&lt;&gt;"Pago tarjeta")),"",IFERROR(IF(INDEX(ctaVinc,MATCH(K2746,ctaNombre,0))&amp;""&lt;&gt;"",INDEX(ctaVinc,MATCH(K2746,ctaNombre,0))&amp;"",K2746),K2746))</f>
        <v/>
      </c>
      <c r="AD2746" s="52">
        <f>IF(AB2746="","",IFERROR(INDEX(ctaTipo,MATCH(AB2746,ctaNombre,0))&amp;"",""))</f>
        <v/>
      </c>
      <c r="AE2746" s="52">
        <f>IF(AC2746="","",IFERROR(INDEX(ctaTipo,MATCH(AC2746,ctaNombre,0))&amp;"",""))</f>
        <v/>
      </c>
      <c r="AF2746" s="53">
        <f>IF(OR(P2746="",AB2746=""),"",IF(OR(P2746="Gasto",P2746="Transferencia",P2746="Pago tarjeta"),-1,1)*IF(IFERROR(INDEX(ctaMoneda,MATCH(AB2746,ctaNombre,0))&amp;"","DOP")="USD",T2746,S2746))</f>
        <v/>
      </c>
      <c r="AG2746" s="53">
        <f>IF(AC2746="","",IF(IFERROR(INDEX(ctaMoneda,MATCH(AC2746,ctaNombre,0))&amp;"","DOP")="USD",T2746,S2746))</f>
        <v/>
      </c>
      <c r="AH2746" s="53">
        <f>IF(P2746="","",IF(AND(AD2746&lt;&gt;"",COUNTIFS(tcTipo,AD2746,tcLiq,"Sí")&gt;0),IF(OR(P2746="Gasto",P2746="Transferencia",P2746="Pago tarjeta"),-1,1)*S2746,0)+IF(AND(AE2746&lt;&gt;"",COUNTIFS(tcTipo,AE2746,tcLiq,"Sí")&gt;0),S2746,0))</f>
        <v/>
      </c>
      <c r="AI2746" s="52">
        <f>IF(OR(L2746="",P2746=""),"",IF(COUNTIFS(L$6:L2746,L2746,P$6:P2746,"?*")=1,MAX(AI$5:AI2745)+1,""))</f>
        <v/>
      </c>
    </row>
    <row r="2747">
      <c r="B2747" s="47" t="n"/>
      <c r="C2747" s="48" t="n"/>
      <c r="D2747" s="48" t="n"/>
      <c r="E2747" s="48" t="n"/>
      <c r="F2747" s="48" t="n"/>
      <c r="G2747" s="49" t="n"/>
      <c r="H2747" s="48" t="n"/>
      <c r="I2747" s="50" t="n"/>
      <c r="J2747" s="48" t="n"/>
      <c r="K2747" s="48" t="n"/>
      <c r="L2747" s="48" t="n"/>
      <c r="M2747" s="48" t="n"/>
      <c r="N2747" s="48" t="n"/>
      <c r="O2747" s="51">
        <f>IF(AND(B2747="",G2747="",C2747="",D2747="",J2747=""),"",IF(B2747="","⚠ Falta fecha",IF(G2747="","⚠ Falta monto",IF(Q2747="","⚠ Falta cuenta",IF(ISNA(MATCH(Q2747,ctaNombre,0)),"⚠ Cuenta no registrada",IF(AND(OR(P2747="Gasto",P2747="Reembolso"),D2747=""),"⚠ Falta categoría",IF(AND(D2747&lt;&gt;"",E2747&lt;&gt;"",ISNA(MATCH(D2747&amp;"|"&amp;E2747,catClave,0))),"⚠ Subcategoría no corresponde",IF(AND(OR(P2747="Transferencia",P2747="Pago tarjeta"),K2747=""),"⚠ Falta cuenta destino",IF(AND(K2747&lt;&gt;"",P2747&lt;&gt;"Transferencia",P2747&lt;&gt;"Pago tarjeta"),"⚠ Destino solo aplica a transferencias",IF(AND(K2747&lt;&gt;"",K2747=Q2747),"⚠ Origen igual a destino",IF(AND(K2747&lt;&gt;"",ISNA(MATCH(K2747,ctaNombre,0))),"⚠ Destino no registrado",IF(AND(P2747="Pago tarjeta",AE2747&lt;&gt;"Tarjeta de crédito"),"⚠ El destino debe ser tarjeta de crédito",IF(AND(P2747="Gasto",E2747="Depósitos y retiros"),"⚠ Usa tipo Transferencia",IF(AND(P2747="Resultado trading",AD2747&lt;&gt;"Cuenta de trading"),"⚠ Usa una cuenta de trading",IF(AND(G2747&lt;=0,P2747&lt;&gt;"Ajuste",P2747&lt;&gt;"Resultado trading"),"⚠ El monto debe ser positivo","✓")))))))))))))))</f>
        <v/>
      </c>
      <c r="P2747" s="52">
        <f>IF(OR(B2747="",G2747=""),"",IF(C2747="","Gasto",C2747))</f>
        <v/>
      </c>
      <c r="Q2747" s="52">
        <f>IF(P2747="","",IF(J2747&lt;&gt;"",J2747,CuentaPred&amp;""))</f>
        <v/>
      </c>
      <c r="R2747" s="52">
        <f>IF(P2747="","",IF(ISNUMBER(I2747),I2747,TasaUSD))</f>
        <v/>
      </c>
      <c r="S2747" s="53">
        <f>IF(P2747="","",IF(H2747="USD",G2747*R2747,G2747))</f>
        <v/>
      </c>
      <c r="T2747" s="53">
        <f>IF(P2747="","",IF(H2747="USD",G2747,IF(R2747&gt;0,G2747/R2747,0)))</f>
        <v/>
      </c>
      <c r="U2747" s="53">
        <f>IF(P2747="","",IF(P2747="Gasto",S2747,IF(P2747="Reembolso",-S2747,0)))</f>
        <v/>
      </c>
      <c r="V2747" s="53">
        <f>IF(P2747="","",IF(P2747="Ingreso",S2747,0))</f>
        <v/>
      </c>
      <c r="W2747" s="53">
        <f>IF(P2747="","",IF(P2747="Resultado trading",S2747,0))</f>
        <v/>
      </c>
      <c r="X2747" s="52">
        <f>IF(OR(P2747="Gasto",P2747="Reembolso"),IF(M2747&lt;&gt;"",M2747,IFERROR(INDEX(catClasif,MATCH(D2747&amp;"|"&amp;E2747,catClave,0))&amp;"","Variable")),"")</f>
        <v/>
      </c>
      <c r="Y2747" s="52">
        <f>IF(P2747="","",IFERROR(INDEX(catGrupo,MATCH(D2747&amp;"|"&amp;E2747,catClave,0))&amp;"",""))</f>
        <v/>
      </c>
      <c r="Z2747" s="52">
        <f>IF(P2747="","",WEEKDAY(B2747,2))</f>
        <v/>
      </c>
      <c r="AA2747" s="52">
        <f>IF(P2747="","",IF(AND(P2747="Gasto",X2747="Variable",D2747&lt;&gt;catTrading,S2747&gt;0,S2747&lt;=Umbral),1,0))</f>
        <v/>
      </c>
      <c r="AB2747" s="52">
        <f>IF(OR(P2747="",Q2747=""),"",IFERROR(IF(INDEX(ctaVinc,MATCH(Q2747,ctaNombre,0))&amp;""&lt;&gt;"",INDEX(ctaVinc,MATCH(Q2747,ctaNombre,0))&amp;"",Q2747),Q2747))</f>
        <v/>
      </c>
      <c r="AC2747" s="52">
        <f>IF(OR(K2747="",AND(P2747&lt;&gt;"Transferencia",P2747&lt;&gt;"Pago tarjeta")),"",IFERROR(IF(INDEX(ctaVinc,MATCH(K2747,ctaNombre,0))&amp;""&lt;&gt;"",INDEX(ctaVinc,MATCH(K2747,ctaNombre,0))&amp;"",K2747),K2747))</f>
        <v/>
      </c>
      <c r="AD2747" s="52">
        <f>IF(AB2747="","",IFERROR(INDEX(ctaTipo,MATCH(AB2747,ctaNombre,0))&amp;"",""))</f>
        <v/>
      </c>
      <c r="AE2747" s="52">
        <f>IF(AC2747="","",IFERROR(INDEX(ctaTipo,MATCH(AC2747,ctaNombre,0))&amp;"",""))</f>
        <v/>
      </c>
      <c r="AF2747" s="53">
        <f>IF(OR(P2747="",AB2747=""),"",IF(OR(P2747="Gasto",P2747="Transferencia",P2747="Pago tarjeta"),-1,1)*IF(IFERROR(INDEX(ctaMoneda,MATCH(AB2747,ctaNombre,0))&amp;"","DOP")="USD",T2747,S2747))</f>
        <v/>
      </c>
      <c r="AG2747" s="53">
        <f>IF(AC2747="","",IF(IFERROR(INDEX(ctaMoneda,MATCH(AC2747,ctaNombre,0))&amp;"","DOP")="USD",T2747,S2747))</f>
        <v/>
      </c>
      <c r="AH2747" s="53">
        <f>IF(P2747="","",IF(AND(AD2747&lt;&gt;"",COUNTIFS(tcTipo,AD2747,tcLiq,"Sí")&gt;0),IF(OR(P2747="Gasto",P2747="Transferencia",P2747="Pago tarjeta"),-1,1)*S2747,0)+IF(AND(AE2747&lt;&gt;"",COUNTIFS(tcTipo,AE2747,tcLiq,"Sí")&gt;0),S2747,0))</f>
        <v/>
      </c>
      <c r="AI2747" s="52">
        <f>IF(OR(L2747="",P2747=""),"",IF(COUNTIFS(L$6:L2747,L2747,P$6:P2747,"?*")=1,MAX(AI$5:AI2746)+1,""))</f>
        <v/>
      </c>
    </row>
    <row r="2748">
      <c r="B2748" s="47" t="n"/>
      <c r="C2748" s="48" t="n"/>
      <c r="D2748" s="48" t="n"/>
      <c r="E2748" s="48" t="n"/>
      <c r="F2748" s="48" t="n"/>
      <c r="G2748" s="49" t="n"/>
      <c r="H2748" s="48" t="n"/>
      <c r="I2748" s="50" t="n"/>
      <c r="J2748" s="48" t="n"/>
      <c r="K2748" s="48" t="n"/>
      <c r="L2748" s="48" t="n"/>
      <c r="M2748" s="48" t="n"/>
      <c r="N2748" s="48" t="n"/>
      <c r="O2748" s="51">
        <f>IF(AND(B2748="",G2748="",C2748="",D2748="",J2748=""),"",IF(B2748="","⚠ Falta fecha",IF(G2748="","⚠ Falta monto",IF(Q2748="","⚠ Falta cuenta",IF(ISNA(MATCH(Q2748,ctaNombre,0)),"⚠ Cuenta no registrada",IF(AND(OR(P2748="Gasto",P2748="Reembolso"),D2748=""),"⚠ Falta categoría",IF(AND(D2748&lt;&gt;"",E2748&lt;&gt;"",ISNA(MATCH(D2748&amp;"|"&amp;E2748,catClave,0))),"⚠ Subcategoría no corresponde",IF(AND(OR(P2748="Transferencia",P2748="Pago tarjeta"),K2748=""),"⚠ Falta cuenta destino",IF(AND(K2748&lt;&gt;"",P2748&lt;&gt;"Transferencia",P2748&lt;&gt;"Pago tarjeta"),"⚠ Destino solo aplica a transferencias",IF(AND(K2748&lt;&gt;"",K2748=Q2748),"⚠ Origen igual a destino",IF(AND(K2748&lt;&gt;"",ISNA(MATCH(K2748,ctaNombre,0))),"⚠ Destino no registrado",IF(AND(P2748="Pago tarjeta",AE2748&lt;&gt;"Tarjeta de crédito"),"⚠ El destino debe ser tarjeta de crédito",IF(AND(P2748="Gasto",E2748="Depósitos y retiros"),"⚠ Usa tipo Transferencia",IF(AND(P2748="Resultado trading",AD2748&lt;&gt;"Cuenta de trading"),"⚠ Usa una cuenta de trading",IF(AND(G2748&lt;=0,P2748&lt;&gt;"Ajuste",P2748&lt;&gt;"Resultado trading"),"⚠ El monto debe ser positivo","✓")))))))))))))))</f>
        <v/>
      </c>
      <c r="P2748" s="52">
        <f>IF(OR(B2748="",G2748=""),"",IF(C2748="","Gasto",C2748))</f>
        <v/>
      </c>
      <c r="Q2748" s="52">
        <f>IF(P2748="","",IF(J2748&lt;&gt;"",J2748,CuentaPred&amp;""))</f>
        <v/>
      </c>
      <c r="R2748" s="52">
        <f>IF(P2748="","",IF(ISNUMBER(I2748),I2748,TasaUSD))</f>
        <v/>
      </c>
      <c r="S2748" s="53">
        <f>IF(P2748="","",IF(H2748="USD",G2748*R2748,G2748))</f>
        <v/>
      </c>
      <c r="T2748" s="53">
        <f>IF(P2748="","",IF(H2748="USD",G2748,IF(R2748&gt;0,G2748/R2748,0)))</f>
        <v/>
      </c>
      <c r="U2748" s="53">
        <f>IF(P2748="","",IF(P2748="Gasto",S2748,IF(P2748="Reembolso",-S2748,0)))</f>
        <v/>
      </c>
      <c r="V2748" s="53">
        <f>IF(P2748="","",IF(P2748="Ingreso",S2748,0))</f>
        <v/>
      </c>
      <c r="W2748" s="53">
        <f>IF(P2748="","",IF(P2748="Resultado trading",S2748,0))</f>
        <v/>
      </c>
      <c r="X2748" s="52">
        <f>IF(OR(P2748="Gasto",P2748="Reembolso"),IF(M2748&lt;&gt;"",M2748,IFERROR(INDEX(catClasif,MATCH(D2748&amp;"|"&amp;E2748,catClave,0))&amp;"","Variable")),"")</f>
        <v/>
      </c>
      <c r="Y2748" s="52">
        <f>IF(P2748="","",IFERROR(INDEX(catGrupo,MATCH(D2748&amp;"|"&amp;E2748,catClave,0))&amp;"",""))</f>
        <v/>
      </c>
      <c r="Z2748" s="52">
        <f>IF(P2748="","",WEEKDAY(B2748,2))</f>
        <v/>
      </c>
      <c r="AA2748" s="52">
        <f>IF(P2748="","",IF(AND(P2748="Gasto",X2748="Variable",D2748&lt;&gt;catTrading,S2748&gt;0,S2748&lt;=Umbral),1,0))</f>
        <v/>
      </c>
      <c r="AB2748" s="52">
        <f>IF(OR(P2748="",Q2748=""),"",IFERROR(IF(INDEX(ctaVinc,MATCH(Q2748,ctaNombre,0))&amp;""&lt;&gt;"",INDEX(ctaVinc,MATCH(Q2748,ctaNombre,0))&amp;"",Q2748),Q2748))</f>
        <v/>
      </c>
      <c r="AC2748" s="52">
        <f>IF(OR(K2748="",AND(P2748&lt;&gt;"Transferencia",P2748&lt;&gt;"Pago tarjeta")),"",IFERROR(IF(INDEX(ctaVinc,MATCH(K2748,ctaNombre,0))&amp;""&lt;&gt;"",INDEX(ctaVinc,MATCH(K2748,ctaNombre,0))&amp;"",K2748),K2748))</f>
        <v/>
      </c>
      <c r="AD2748" s="52">
        <f>IF(AB2748="","",IFERROR(INDEX(ctaTipo,MATCH(AB2748,ctaNombre,0))&amp;"",""))</f>
        <v/>
      </c>
      <c r="AE2748" s="52">
        <f>IF(AC2748="","",IFERROR(INDEX(ctaTipo,MATCH(AC2748,ctaNombre,0))&amp;"",""))</f>
        <v/>
      </c>
      <c r="AF2748" s="53">
        <f>IF(OR(P2748="",AB2748=""),"",IF(OR(P2748="Gasto",P2748="Transferencia",P2748="Pago tarjeta"),-1,1)*IF(IFERROR(INDEX(ctaMoneda,MATCH(AB2748,ctaNombre,0))&amp;"","DOP")="USD",T2748,S2748))</f>
        <v/>
      </c>
      <c r="AG2748" s="53">
        <f>IF(AC2748="","",IF(IFERROR(INDEX(ctaMoneda,MATCH(AC2748,ctaNombre,0))&amp;"","DOP")="USD",T2748,S2748))</f>
        <v/>
      </c>
      <c r="AH2748" s="53">
        <f>IF(P2748="","",IF(AND(AD2748&lt;&gt;"",COUNTIFS(tcTipo,AD2748,tcLiq,"Sí")&gt;0),IF(OR(P2748="Gasto",P2748="Transferencia",P2748="Pago tarjeta"),-1,1)*S2748,0)+IF(AND(AE2748&lt;&gt;"",COUNTIFS(tcTipo,AE2748,tcLiq,"Sí")&gt;0),S2748,0))</f>
        <v/>
      </c>
      <c r="AI2748" s="52">
        <f>IF(OR(L2748="",P2748=""),"",IF(COUNTIFS(L$6:L2748,L2748,P$6:P2748,"?*")=1,MAX(AI$5:AI2747)+1,""))</f>
        <v/>
      </c>
    </row>
    <row r="2749">
      <c r="B2749" s="47" t="n"/>
      <c r="C2749" s="48" t="n"/>
      <c r="D2749" s="48" t="n"/>
      <c r="E2749" s="48" t="n"/>
      <c r="F2749" s="48" t="n"/>
      <c r="G2749" s="49" t="n"/>
      <c r="H2749" s="48" t="n"/>
      <c r="I2749" s="50" t="n"/>
      <c r="J2749" s="48" t="n"/>
      <c r="K2749" s="48" t="n"/>
      <c r="L2749" s="48" t="n"/>
      <c r="M2749" s="48" t="n"/>
      <c r="N2749" s="48" t="n"/>
      <c r="O2749" s="51">
        <f>IF(AND(B2749="",G2749="",C2749="",D2749="",J2749=""),"",IF(B2749="","⚠ Falta fecha",IF(G2749="","⚠ Falta monto",IF(Q2749="","⚠ Falta cuenta",IF(ISNA(MATCH(Q2749,ctaNombre,0)),"⚠ Cuenta no registrada",IF(AND(OR(P2749="Gasto",P2749="Reembolso"),D2749=""),"⚠ Falta categoría",IF(AND(D2749&lt;&gt;"",E2749&lt;&gt;"",ISNA(MATCH(D2749&amp;"|"&amp;E2749,catClave,0))),"⚠ Subcategoría no corresponde",IF(AND(OR(P2749="Transferencia",P2749="Pago tarjeta"),K2749=""),"⚠ Falta cuenta destino",IF(AND(K2749&lt;&gt;"",P2749&lt;&gt;"Transferencia",P2749&lt;&gt;"Pago tarjeta"),"⚠ Destino solo aplica a transferencias",IF(AND(K2749&lt;&gt;"",K2749=Q2749),"⚠ Origen igual a destino",IF(AND(K2749&lt;&gt;"",ISNA(MATCH(K2749,ctaNombre,0))),"⚠ Destino no registrado",IF(AND(P2749="Pago tarjeta",AE2749&lt;&gt;"Tarjeta de crédito"),"⚠ El destino debe ser tarjeta de crédito",IF(AND(P2749="Gasto",E2749="Depósitos y retiros"),"⚠ Usa tipo Transferencia",IF(AND(P2749="Resultado trading",AD2749&lt;&gt;"Cuenta de trading"),"⚠ Usa una cuenta de trading",IF(AND(G2749&lt;=0,P2749&lt;&gt;"Ajuste",P2749&lt;&gt;"Resultado trading"),"⚠ El monto debe ser positivo","✓")))))))))))))))</f>
        <v/>
      </c>
      <c r="P2749" s="52">
        <f>IF(OR(B2749="",G2749=""),"",IF(C2749="","Gasto",C2749))</f>
        <v/>
      </c>
      <c r="Q2749" s="52">
        <f>IF(P2749="","",IF(J2749&lt;&gt;"",J2749,CuentaPred&amp;""))</f>
        <v/>
      </c>
      <c r="R2749" s="52">
        <f>IF(P2749="","",IF(ISNUMBER(I2749),I2749,TasaUSD))</f>
        <v/>
      </c>
      <c r="S2749" s="53">
        <f>IF(P2749="","",IF(H2749="USD",G2749*R2749,G2749))</f>
        <v/>
      </c>
      <c r="T2749" s="53">
        <f>IF(P2749="","",IF(H2749="USD",G2749,IF(R2749&gt;0,G2749/R2749,0)))</f>
        <v/>
      </c>
      <c r="U2749" s="53">
        <f>IF(P2749="","",IF(P2749="Gasto",S2749,IF(P2749="Reembolso",-S2749,0)))</f>
        <v/>
      </c>
      <c r="V2749" s="53">
        <f>IF(P2749="","",IF(P2749="Ingreso",S2749,0))</f>
        <v/>
      </c>
      <c r="W2749" s="53">
        <f>IF(P2749="","",IF(P2749="Resultado trading",S2749,0))</f>
        <v/>
      </c>
      <c r="X2749" s="52">
        <f>IF(OR(P2749="Gasto",P2749="Reembolso"),IF(M2749&lt;&gt;"",M2749,IFERROR(INDEX(catClasif,MATCH(D2749&amp;"|"&amp;E2749,catClave,0))&amp;"","Variable")),"")</f>
        <v/>
      </c>
      <c r="Y2749" s="52">
        <f>IF(P2749="","",IFERROR(INDEX(catGrupo,MATCH(D2749&amp;"|"&amp;E2749,catClave,0))&amp;"",""))</f>
        <v/>
      </c>
      <c r="Z2749" s="52">
        <f>IF(P2749="","",WEEKDAY(B2749,2))</f>
        <v/>
      </c>
      <c r="AA2749" s="52">
        <f>IF(P2749="","",IF(AND(P2749="Gasto",X2749="Variable",D2749&lt;&gt;catTrading,S2749&gt;0,S2749&lt;=Umbral),1,0))</f>
        <v/>
      </c>
      <c r="AB2749" s="52">
        <f>IF(OR(P2749="",Q2749=""),"",IFERROR(IF(INDEX(ctaVinc,MATCH(Q2749,ctaNombre,0))&amp;""&lt;&gt;"",INDEX(ctaVinc,MATCH(Q2749,ctaNombre,0))&amp;"",Q2749),Q2749))</f>
        <v/>
      </c>
      <c r="AC2749" s="52">
        <f>IF(OR(K2749="",AND(P2749&lt;&gt;"Transferencia",P2749&lt;&gt;"Pago tarjeta")),"",IFERROR(IF(INDEX(ctaVinc,MATCH(K2749,ctaNombre,0))&amp;""&lt;&gt;"",INDEX(ctaVinc,MATCH(K2749,ctaNombre,0))&amp;"",K2749),K2749))</f>
        <v/>
      </c>
      <c r="AD2749" s="52">
        <f>IF(AB2749="","",IFERROR(INDEX(ctaTipo,MATCH(AB2749,ctaNombre,0))&amp;"",""))</f>
        <v/>
      </c>
      <c r="AE2749" s="52">
        <f>IF(AC2749="","",IFERROR(INDEX(ctaTipo,MATCH(AC2749,ctaNombre,0))&amp;"",""))</f>
        <v/>
      </c>
      <c r="AF2749" s="53">
        <f>IF(OR(P2749="",AB2749=""),"",IF(OR(P2749="Gasto",P2749="Transferencia",P2749="Pago tarjeta"),-1,1)*IF(IFERROR(INDEX(ctaMoneda,MATCH(AB2749,ctaNombre,0))&amp;"","DOP")="USD",T2749,S2749))</f>
        <v/>
      </c>
      <c r="AG2749" s="53">
        <f>IF(AC2749="","",IF(IFERROR(INDEX(ctaMoneda,MATCH(AC2749,ctaNombre,0))&amp;"","DOP")="USD",T2749,S2749))</f>
        <v/>
      </c>
      <c r="AH2749" s="53">
        <f>IF(P2749="","",IF(AND(AD2749&lt;&gt;"",COUNTIFS(tcTipo,AD2749,tcLiq,"Sí")&gt;0),IF(OR(P2749="Gasto",P2749="Transferencia",P2749="Pago tarjeta"),-1,1)*S2749,0)+IF(AND(AE2749&lt;&gt;"",COUNTIFS(tcTipo,AE2749,tcLiq,"Sí")&gt;0),S2749,0))</f>
        <v/>
      </c>
      <c r="AI2749" s="52">
        <f>IF(OR(L2749="",P2749=""),"",IF(COUNTIFS(L$6:L2749,L2749,P$6:P2749,"?*")=1,MAX(AI$5:AI2748)+1,""))</f>
        <v/>
      </c>
    </row>
    <row r="2750">
      <c r="B2750" s="47" t="n"/>
      <c r="C2750" s="48" t="n"/>
      <c r="D2750" s="48" t="n"/>
      <c r="E2750" s="48" t="n"/>
      <c r="F2750" s="48" t="n"/>
      <c r="G2750" s="49" t="n"/>
      <c r="H2750" s="48" t="n"/>
      <c r="I2750" s="50" t="n"/>
      <c r="J2750" s="48" t="n"/>
      <c r="K2750" s="48" t="n"/>
      <c r="L2750" s="48" t="n"/>
      <c r="M2750" s="48" t="n"/>
      <c r="N2750" s="48" t="n"/>
      <c r="O2750" s="51">
        <f>IF(AND(B2750="",G2750="",C2750="",D2750="",J2750=""),"",IF(B2750="","⚠ Falta fecha",IF(G2750="","⚠ Falta monto",IF(Q2750="","⚠ Falta cuenta",IF(ISNA(MATCH(Q2750,ctaNombre,0)),"⚠ Cuenta no registrada",IF(AND(OR(P2750="Gasto",P2750="Reembolso"),D2750=""),"⚠ Falta categoría",IF(AND(D2750&lt;&gt;"",E2750&lt;&gt;"",ISNA(MATCH(D2750&amp;"|"&amp;E2750,catClave,0))),"⚠ Subcategoría no corresponde",IF(AND(OR(P2750="Transferencia",P2750="Pago tarjeta"),K2750=""),"⚠ Falta cuenta destino",IF(AND(K2750&lt;&gt;"",P2750&lt;&gt;"Transferencia",P2750&lt;&gt;"Pago tarjeta"),"⚠ Destino solo aplica a transferencias",IF(AND(K2750&lt;&gt;"",K2750=Q2750),"⚠ Origen igual a destino",IF(AND(K2750&lt;&gt;"",ISNA(MATCH(K2750,ctaNombre,0))),"⚠ Destino no registrado",IF(AND(P2750="Pago tarjeta",AE2750&lt;&gt;"Tarjeta de crédito"),"⚠ El destino debe ser tarjeta de crédito",IF(AND(P2750="Gasto",E2750="Depósitos y retiros"),"⚠ Usa tipo Transferencia",IF(AND(P2750="Resultado trading",AD2750&lt;&gt;"Cuenta de trading"),"⚠ Usa una cuenta de trading",IF(AND(G2750&lt;=0,P2750&lt;&gt;"Ajuste",P2750&lt;&gt;"Resultado trading"),"⚠ El monto debe ser positivo","✓")))))))))))))))</f>
        <v/>
      </c>
      <c r="P2750" s="52">
        <f>IF(OR(B2750="",G2750=""),"",IF(C2750="","Gasto",C2750))</f>
        <v/>
      </c>
      <c r="Q2750" s="52">
        <f>IF(P2750="","",IF(J2750&lt;&gt;"",J2750,CuentaPred&amp;""))</f>
        <v/>
      </c>
      <c r="R2750" s="52">
        <f>IF(P2750="","",IF(ISNUMBER(I2750),I2750,TasaUSD))</f>
        <v/>
      </c>
      <c r="S2750" s="53">
        <f>IF(P2750="","",IF(H2750="USD",G2750*R2750,G2750))</f>
        <v/>
      </c>
      <c r="T2750" s="53">
        <f>IF(P2750="","",IF(H2750="USD",G2750,IF(R2750&gt;0,G2750/R2750,0)))</f>
        <v/>
      </c>
      <c r="U2750" s="53">
        <f>IF(P2750="","",IF(P2750="Gasto",S2750,IF(P2750="Reembolso",-S2750,0)))</f>
        <v/>
      </c>
      <c r="V2750" s="53">
        <f>IF(P2750="","",IF(P2750="Ingreso",S2750,0))</f>
        <v/>
      </c>
      <c r="W2750" s="53">
        <f>IF(P2750="","",IF(P2750="Resultado trading",S2750,0))</f>
        <v/>
      </c>
      <c r="X2750" s="52">
        <f>IF(OR(P2750="Gasto",P2750="Reembolso"),IF(M2750&lt;&gt;"",M2750,IFERROR(INDEX(catClasif,MATCH(D2750&amp;"|"&amp;E2750,catClave,0))&amp;"","Variable")),"")</f>
        <v/>
      </c>
      <c r="Y2750" s="52">
        <f>IF(P2750="","",IFERROR(INDEX(catGrupo,MATCH(D2750&amp;"|"&amp;E2750,catClave,0))&amp;"",""))</f>
        <v/>
      </c>
      <c r="Z2750" s="52">
        <f>IF(P2750="","",WEEKDAY(B2750,2))</f>
        <v/>
      </c>
      <c r="AA2750" s="52">
        <f>IF(P2750="","",IF(AND(P2750="Gasto",X2750="Variable",D2750&lt;&gt;catTrading,S2750&gt;0,S2750&lt;=Umbral),1,0))</f>
        <v/>
      </c>
      <c r="AB2750" s="52">
        <f>IF(OR(P2750="",Q2750=""),"",IFERROR(IF(INDEX(ctaVinc,MATCH(Q2750,ctaNombre,0))&amp;""&lt;&gt;"",INDEX(ctaVinc,MATCH(Q2750,ctaNombre,0))&amp;"",Q2750),Q2750))</f>
        <v/>
      </c>
      <c r="AC2750" s="52">
        <f>IF(OR(K2750="",AND(P2750&lt;&gt;"Transferencia",P2750&lt;&gt;"Pago tarjeta")),"",IFERROR(IF(INDEX(ctaVinc,MATCH(K2750,ctaNombre,0))&amp;""&lt;&gt;"",INDEX(ctaVinc,MATCH(K2750,ctaNombre,0))&amp;"",K2750),K2750))</f>
        <v/>
      </c>
      <c r="AD2750" s="52">
        <f>IF(AB2750="","",IFERROR(INDEX(ctaTipo,MATCH(AB2750,ctaNombre,0))&amp;"",""))</f>
        <v/>
      </c>
      <c r="AE2750" s="52">
        <f>IF(AC2750="","",IFERROR(INDEX(ctaTipo,MATCH(AC2750,ctaNombre,0))&amp;"",""))</f>
        <v/>
      </c>
      <c r="AF2750" s="53">
        <f>IF(OR(P2750="",AB2750=""),"",IF(OR(P2750="Gasto",P2750="Transferencia",P2750="Pago tarjeta"),-1,1)*IF(IFERROR(INDEX(ctaMoneda,MATCH(AB2750,ctaNombre,0))&amp;"","DOP")="USD",T2750,S2750))</f>
        <v/>
      </c>
      <c r="AG2750" s="53">
        <f>IF(AC2750="","",IF(IFERROR(INDEX(ctaMoneda,MATCH(AC2750,ctaNombre,0))&amp;"","DOP")="USD",T2750,S2750))</f>
        <v/>
      </c>
      <c r="AH2750" s="53">
        <f>IF(P2750="","",IF(AND(AD2750&lt;&gt;"",COUNTIFS(tcTipo,AD2750,tcLiq,"Sí")&gt;0),IF(OR(P2750="Gasto",P2750="Transferencia",P2750="Pago tarjeta"),-1,1)*S2750,0)+IF(AND(AE2750&lt;&gt;"",COUNTIFS(tcTipo,AE2750,tcLiq,"Sí")&gt;0),S2750,0))</f>
        <v/>
      </c>
      <c r="AI2750" s="52">
        <f>IF(OR(L2750="",P2750=""),"",IF(COUNTIFS(L$6:L2750,L2750,P$6:P2750,"?*")=1,MAX(AI$5:AI2749)+1,""))</f>
        <v/>
      </c>
    </row>
    <row r="2751">
      <c r="B2751" s="47" t="n"/>
      <c r="C2751" s="48" t="n"/>
      <c r="D2751" s="48" t="n"/>
      <c r="E2751" s="48" t="n"/>
      <c r="F2751" s="48" t="n"/>
      <c r="G2751" s="49" t="n"/>
      <c r="H2751" s="48" t="n"/>
      <c r="I2751" s="50" t="n"/>
      <c r="J2751" s="48" t="n"/>
      <c r="K2751" s="48" t="n"/>
      <c r="L2751" s="48" t="n"/>
      <c r="M2751" s="48" t="n"/>
      <c r="N2751" s="48" t="n"/>
      <c r="O2751" s="51">
        <f>IF(AND(B2751="",G2751="",C2751="",D2751="",J2751=""),"",IF(B2751="","⚠ Falta fecha",IF(G2751="","⚠ Falta monto",IF(Q2751="","⚠ Falta cuenta",IF(ISNA(MATCH(Q2751,ctaNombre,0)),"⚠ Cuenta no registrada",IF(AND(OR(P2751="Gasto",P2751="Reembolso"),D2751=""),"⚠ Falta categoría",IF(AND(D2751&lt;&gt;"",E2751&lt;&gt;"",ISNA(MATCH(D2751&amp;"|"&amp;E2751,catClave,0))),"⚠ Subcategoría no corresponde",IF(AND(OR(P2751="Transferencia",P2751="Pago tarjeta"),K2751=""),"⚠ Falta cuenta destino",IF(AND(K2751&lt;&gt;"",P2751&lt;&gt;"Transferencia",P2751&lt;&gt;"Pago tarjeta"),"⚠ Destino solo aplica a transferencias",IF(AND(K2751&lt;&gt;"",K2751=Q2751),"⚠ Origen igual a destino",IF(AND(K2751&lt;&gt;"",ISNA(MATCH(K2751,ctaNombre,0))),"⚠ Destino no registrado",IF(AND(P2751="Pago tarjeta",AE2751&lt;&gt;"Tarjeta de crédito"),"⚠ El destino debe ser tarjeta de crédito",IF(AND(P2751="Gasto",E2751="Depósitos y retiros"),"⚠ Usa tipo Transferencia",IF(AND(P2751="Resultado trading",AD2751&lt;&gt;"Cuenta de trading"),"⚠ Usa una cuenta de trading",IF(AND(G2751&lt;=0,P2751&lt;&gt;"Ajuste",P2751&lt;&gt;"Resultado trading"),"⚠ El monto debe ser positivo","✓")))))))))))))))</f>
        <v/>
      </c>
      <c r="P2751" s="52">
        <f>IF(OR(B2751="",G2751=""),"",IF(C2751="","Gasto",C2751))</f>
        <v/>
      </c>
      <c r="Q2751" s="52">
        <f>IF(P2751="","",IF(J2751&lt;&gt;"",J2751,CuentaPred&amp;""))</f>
        <v/>
      </c>
      <c r="R2751" s="52">
        <f>IF(P2751="","",IF(ISNUMBER(I2751),I2751,TasaUSD))</f>
        <v/>
      </c>
      <c r="S2751" s="53">
        <f>IF(P2751="","",IF(H2751="USD",G2751*R2751,G2751))</f>
        <v/>
      </c>
      <c r="T2751" s="53">
        <f>IF(P2751="","",IF(H2751="USD",G2751,IF(R2751&gt;0,G2751/R2751,0)))</f>
        <v/>
      </c>
      <c r="U2751" s="53">
        <f>IF(P2751="","",IF(P2751="Gasto",S2751,IF(P2751="Reembolso",-S2751,0)))</f>
        <v/>
      </c>
      <c r="V2751" s="53">
        <f>IF(P2751="","",IF(P2751="Ingreso",S2751,0))</f>
        <v/>
      </c>
      <c r="W2751" s="53">
        <f>IF(P2751="","",IF(P2751="Resultado trading",S2751,0))</f>
        <v/>
      </c>
      <c r="X2751" s="52">
        <f>IF(OR(P2751="Gasto",P2751="Reembolso"),IF(M2751&lt;&gt;"",M2751,IFERROR(INDEX(catClasif,MATCH(D2751&amp;"|"&amp;E2751,catClave,0))&amp;"","Variable")),"")</f>
        <v/>
      </c>
      <c r="Y2751" s="52">
        <f>IF(P2751="","",IFERROR(INDEX(catGrupo,MATCH(D2751&amp;"|"&amp;E2751,catClave,0))&amp;"",""))</f>
        <v/>
      </c>
      <c r="Z2751" s="52">
        <f>IF(P2751="","",WEEKDAY(B2751,2))</f>
        <v/>
      </c>
      <c r="AA2751" s="52">
        <f>IF(P2751="","",IF(AND(P2751="Gasto",X2751="Variable",D2751&lt;&gt;catTrading,S2751&gt;0,S2751&lt;=Umbral),1,0))</f>
        <v/>
      </c>
      <c r="AB2751" s="52">
        <f>IF(OR(P2751="",Q2751=""),"",IFERROR(IF(INDEX(ctaVinc,MATCH(Q2751,ctaNombre,0))&amp;""&lt;&gt;"",INDEX(ctaVinc,MATCH(Q2751,ctaNombre,0))&amp;"",Q2751),Q2751))</f>
        <v/>
      </c>
      <c r="AC2751" s="52">
        <f>IF(OR(K2751="",AND(P2751&lt;&gt;"Transferencia",P2751&lt;&gt;"Pago tarjeta")),"",IFERROR(IF(INDEX(ctaVinc,MATCH(K2751,ctaNombre,0))&amp;""&lt;&gt;"",INDEX(ctaVinc,MATCH(K2751,ctaNombre,0))&amp;"",K2751),K2751))</f>
        <v/>
      </c>
      <c r="AD2751" s="52">
        <f>IF(AB2751="","",IFERROR(INDEX(ctaTipo,MATCH(AB2751,ctaNombre,0))&amp;"",""))</f>
        <v/>
      </c>
      <c r="AE2751" s="52">
        <f>IF(AC2751="","",IFERROR(INDEX(ctaTipo,MATCH(AC2751,ctaNombre,0))&amp;"",""))</f>
        <v/>
      </c>
      <c r="AF2751" s="53">
        <f>IF(OR(P2751="",AB2751=""),"",IF(OR(P2751="Gasto",P2751="Transferencia",P2751="Pago tarjeta"),-1,1)*IF(IFERROR(INDEX(ctaMoneda,MATCH(AB2751,ctaNombre,0))&amp;"","DOP")="USD",T2751,S2751))</f>
        <v/>
      </c>
      <c r="AG2751" s="53">
        <f>IF(AC2751="","",IF(IFERROR(INDEX(ctaMoneda,MATCH(AC2751,ctaNombre,0))&amp;"","DOP")="USD",T2751,S2751))</f>
        <v/>
      </c>
      <c r="AH2751" s="53">
        <f>IF(P2751="","",IF(AND(AD2751&lt;&gt;"",COUNTIFS(tcTipo,AD2751,tcLiq,"Sí")&gt;0),IF(OR(P2751="Gasto",P2751="Transferencia",P2751="Pago tarjeta"),-1,1)*S2751,0)+IF(AND(AE2751&lt;&gt;"",COUNTIFS(tcTipo,AE2751,tcLiq,"Sí")&gt;0),S2751,0))</f>
        <v/>
      </c>
      <c r="AI2751" s="52">
        <f>IF(OR(L2751="",P2751=""),"",IF(COUNTIFS(L$6:L2751,L2751,P$6:P2751,"?*")=1,MAX(AI$5:AI2750)+1,""))</f>
        <v/>
      </c>
    </row>
    <row r="2752">
      <c r="B2752" s="47" t="n"/>
      <c r="C2752" s="48" t="n"/>
      <c r="D2752" s="48" t="n"/>
      <c r="E2752" s="48" t="n"/>
      <c r="F2752" s="48" t="n"/>
      <c r="G2752" s="49" t="n"/>
      <c r="H2752" s="48" t="n"/>
      <c r="I2752" s="50" t="n"/>
      <c r="J2752" s="48" t="n"/>
      <c r="K2752" s="48" t="n"/>
      <c r="L2752" s="48" t="n"/>
      <c r="M2752" s="48" t="n"/>
      <c r="N2752" s="48" t="n"/>
      <c r="O2752" s="51">
        <f>IF(AND(B2752="",G2752="",C2752="",D2752="",J2752=""),"",IF(B2752="","⚠ Falta fecha",IF(G2752="","⚠ Falta monto",IF(Q2752="","⚠ Falta cuenta",IF(ISNA(MATCH(Q2752,ctaNombre,0)),"⚠ Cuenta no registrada",IF(AND(OR(P2752="Gasto",P2752="Reembolso"),D2752=""),"⚠ Falta categoría",IF(AND(D2752&lt;&gt;"",E2752&lt;&gt;"",ISNA(MATCH(D2752&amp;"|"&amp;E2752,catClave,0))),"⚠ Subcategoría no corresponde",IF(AND(OR(P2752="Transferencia",P2752="Pago tarjeta"),K2752=""),"⚠ Falta cuenta destino",IF(AND(K2752&lt;&gt;"",P2752&lt;&gt;"Transferencia",P2752&lt;&gt;"Pago tarjeta"),"⚠ Destino solo aplica a transferencias",IF(AND(K2752&lt;&gt;"",K2752=Q2752),"⚠ Origen igual a destino",IF(AND(K2752&lt;&gt;"",ISNA(MATCH(K2752,ctaNombre,0))),"⚠ Destino no registrado",IF(AND(P2752="Pago tarjeta",AE2752&lt;&gt;"Tarjeta de crédito"),"⚠ El destino debe ser tarjeta de crédito",IF(AND(P2752="Gasto",E2752="Depósitos y retiros"),"⚠ Usa tipo Transferencia",IF(AND(P2752="Resultado trading",AD2752&lt;&gt;"Cuenta de trading"),"⚠ Usa una cuenta de trading",IF(AND(G2752&lt;=0,P2752&lt;&gt;"Ajuste",P2752&lt;&gt;"Resultado trading"),"⚠ El monto debe ser positivo","✓")))))))))))))))</f>
        <v/>
      </c>
      <c r="P2752" s="52">
        <f>IF(OR(B2752="",G2752=""),"",IF(C2752="","Gasto",C2752))</f>
        <v/>
      </c>
      <c r="Q2752" s="52">
        <f>IF(P2752="","",IF(J2752&lt;&gt;"",J2752,CuentaPred&amp;""))</f>
        <v/>
      </c>
      <c r="R2752" s="52">
        <f>IF(P2752="","",IF(ISNUMBER(I2752),I2752,TasaUSD))</f>
        <v/>
      </c>
      <c r="S2752" s="53">
        <f>IF(P2752="","",IF(H2752="USD",G2752*R2752,G2752))</f>
        <v/>
      </c>
      <c r="T2752" s="53">
        <f>IF(P2752="","",IF(H2752="USD",G2752,IF(R2752&gt;0,G2752/R2752,0)))</f>
        <v/>
      </c>
      <c r="U2752" s="53">
        <f>IF(P2752="","",IF(P2752="Gasto",S2752,IF(P2752="Reembolso",-S2752,0)))</f>
        <v/>
      </c>
      <c r="V2752" s="53">
        <f>IF(P2752="","",IF(P2752="Ingreso",S2752,0))</f>
        <v/>
      </c>
      <c r="W2752" s="53">
        <f>IF(P2752="","",IF(P2752="Resultado trading",S2752,0))</f>
        <v/>
      </c>
      <c r="X2752" s="52">
        <f>IF(OR(P2752="Gasto",P2752="Reembolso"),IF(M2752&lt;&gt;"",M2752,IFERROR(INDEX(catClasif,MATCH(D2752&amp;"|"&amp;E2752,catClave,0))&amp;"","Variable")),"")</f>
        <v/>
      </c>
      <c r="Y2752" s="52">
        <f>IF(P2752="","",IFERROR(INDEX(catGrupo,MATCH(D2752&amp;"|"&amp;E2752,catClave,0))&amp;"",""))</f>
        <v/>
      </c>
      <c r="Z2752" s="52">
        <f>IF(P2752="","",WEEKDAY(B2752,2))</f>
        <v/>
      </c>
      <c r="AA2752" s="52">
        <f>IF(P2752="","",IF(AND(P2752="Gasto",X2752="Variable",D2752&lt;&gt;catTrading,S2752&gt;0,S2752&lt;=Umbral),1,0))</f>
        <v/>
      </c>
      <c r="AB2752" s="52">
        <f>IF(OR(P2752="",Q2752=""),"",IFERROR(IF(INDEX(ctaVinc,MATCH(Q2752,ctaNombre,0))&amp;""&lt;&gt;"",INDEX(ctaVinc,MATCH(Q2752,ctaNombre,0))&amp;"",Q2752),Q2752))</f>
        <v/>
      </c>
      <c r="AC2752" s="52">
        <f>IF(OR(K2752="",AND(P2752&lt;&gt;"Transferencia",P2752&lt;&gt;"Pago tarjeta")),"",IFERROR(IF(INDEX(ctaVinc,MATCH(K2752,ctaNombre,0))&amp;""&lt;&gt;"",INDEX(ctaVinc,MATCH(K2752,ctaNombre,0))&amp;"",K2752),K2752))</f>
        <v/>
      </c>
      <c r="AD2752" s="52">
        <f>IF(AB2752="","",IFERROR(INDEX(ctaTipo,MATCH(AB2752,ctaNombre,0))&amp;"",""))</f>
        <v/>
      </c>
      <c r="AE2752" s="52">
        <f>IF(AC2752="","",IFERROR(INDEX(ctaTipo,MATCH(AC2752,ctaNombre,0))&amp;"",""))</f>
        <v/>
      </c>
      <c r="AF2752" s="53">
        <f>IF(OR(P2752="",AB2752=""),"",IF(OR(P2752="Gasto",P2752="Transferencia",P2752="Pago tarjeta"),-1,1)*IF(IFERROR(INDEX(ctaMoneda,MATCH(AB2752,ctaNombre,0))&amp;"","DOP")="USD",T2752,S2752))</f>
        <v/>
      </c>
      <c r="AG2752" s="53">
        <f>IF(AC2752="","",IF(IFERROR(INDEX(ctaMoneda,MATCH(AC2752,ctaNombre,0))&amp;"","DOP")="USD",T2752,S2752))</f>
        <v/>
      </c>
      <c r="AH2752" s="53">
        <f>IF(P2752="","",IF(AND(AD2752&lt;&gt;"",COUNTIFS(tcTipo,AD2752,tcLiq,"Sí")&gt;0),IF(OR(P2752="Gasto",P2752="Transferencia",P2752="Pago tarjeta"),-1,1)*S2752,0)+IF(AND(AE2752&lt;&gt;"",COUNTIFS(tcTipo,AE2752,tcLiq,"Sí")&gt;0),S2752,0))</f>
        <v/>
      </c>
      <c r="AI2752" s="52">
        <f>IF(OR(L2752="",P2752=""),"",IF(COUNTIFS(L$6:L2752,L2752,P$6:P2752,"?*")=1,MAX(AI$5:AI2751)+1,""))</f>
        <v/>
      </c>
    </row>
    <row r="2753">
      <c r="B2753" s="47" t="n"/>
      <c r="C2753" s="48" t="n"/>
      <c r="D2753" s="48" t="n"/>
      <c r="E2753" s="48" t="n"/>
      <c r="F2753" s="48" t="n"/>
      <c r="G2753" s="49" t="n"/>
      <c r="H2753" s="48" t="n"/>
      <c r="I2753" s="50" t="n"/>
      <c r="J2753" s="48" t="n"/>
      <c r="K2753" s="48" t="n"/>
      <c r="L2753" s="48" t="n"/>
      <c r="M2753" s="48" t="n"/>
      <c r="N2753" s="48" t="n"/>
      <c r="O2753" s="51">
        <f>IF(AND(B2753="",G2753="",C2753="",D2753="",J2753=""),"",IF(B2753="","⚠ Falta fecha",IF(G2753="","⚠ Falta monto",IF(Q2753="","⚠ Falta cuenta",IF(ISNA(MATCH(Q2753,ctaNombre,0)),"⚠ Cuenta no registrada",IF(AND(OR(P2753="Gasto",P2753="Reembolso"),D2753=""),"⚠ Falta categoría",IF(AND(D2753&lt;&gt;"",E2753&lt;&gt;"",ISNA(MATCH(D2753&amp;"|"&amp;E2753,catClave,0))),"⚠ Subcategoría no corresponde",IF(AND(OR(P2753="Transferencia",P2753="Pago tarjeta"),K2753=""),"⚠ Falta cuenta destino",IF(AND(K2753&lt;&gt;"",P2753&lt;&gt;"Transferencia",P2753&lt;&gt;"Pago tarjeta"),"⚠ Destino solo aplica a transferencias",IF(AND(K2753&lt;&gt;"",K2753=Q2753),"⚠ Origen igual a destino",IF(AND(K2753&lt;&gt;"",ISNA(MATCH(K2753,ctaNombre,0))),"⚠ Destino no registrado",IF(AND(P2753="Pago tarjeta",AE2753&lt;&gt;"Tarjeta de crédito"),"⚠ El destino debe ser tarjeta de crédito",IF(AND(P2753="Gasto",E2753="Depósitos y retiros"),"⚠ Usa tipo Transferencia",IF(AND(P2753="Resultado trading",AD2753&lt;&gt;"Cuenta de trading"),"⚠ Usa una cuenta de trading",IF(AND(G2753&lt;=0,P2753&lt;&gt;"Ajuste",P2753&lt;&gt;"Resultado trading"),"⚠ El monto debe ser positivo","✓")))))))))))))))</f>
        <v/>
      </c>
      <c r="P2753" s="52">
        <f>IF(OR(B2753="",G2753=""),"",IF(C2753="","Gasto",C2753))</f>
        <v/>
      </c>
      <c r="Q2753" s="52">
        <f>IF(P2753="","",IF(J2753&lt;&gt;"",J2753,CuentaPred&amp;""))</f>
        <v/>
      </c>
      <c r="R2753" s="52">
        <f>IF(P2753="","",IF(ISNUMBER(I2753),I2753,TasaUSD))</f>
        <v/>
      </c>
      <c r="S2753" s="53">
        <f>IF(P2753="","",IF(H2753="USD",G2753*R2753,G2753))</f>
        <v/>
      </c>
      <c r="T2753" s="53">
        <f>IF(P2753="","",IF(H2753="USD",G2753,IF(R2753&gt;0,G2753/R2753,0)))</f>
        <v/>
      </c>
      <c r="U2753" s="53">
        <f>IF(P2753="","",IF(P2753="Gasto",S2753,IF(P2753="Reembolso",-S2753,0)))</f>
        <v/>
      </c>
      <c r="V2753" s="53">
        <f>IF(P2753="","",IF(P2753="Ingreso",S2753,0))</f>
        <v/>
      </c>
      <c r="W2753" s="53">
        <f>IF(P2753="","",IF(P2753="Resultado trading",S2753,0))</f>
        <v/>
      </c>
      <c r="X2753" s="52">
        <f>IF(OR(P2753="Gasto",P2753="Reembolso"),IF(M2753&lt;&gt;"",M2753,IFERROR(INDEX(catClasif,MATCH(D2753&amp;"|"&amp;E2753,catClave,0))&amp;"","Variable")),"")</f>
        <v/>
      </c>
      <c r="Y2753" s="52">
        <f>IF(P2753="","",IFERROR(INDEX(catGrupo,MATCH(D2753&amp;"|"&amp;E2753,catClave,0))&amp;"",""))</f>
        <v/>
      </c>
      <c r="Z2753" s="52">
        <f>IF(P2753="","",WEEKDAY(B2753,2))</f>
        <v/>
      </c>
      <c r="AA2753" s="52">
        <f>IF(P2753="","",IF(AND(P2753="Gasto",X2753="Variable",D2753&lt;&gt;catTrading,S2753&gt;0,S2753&lt;=Umbral),1,0))</f>
        <v/>
      </c>
      <c r="AB2753" s="52">
        <f>IF(OR(P2753="",Q2753=""),"",IFERROR(IF(INDEX(ctaVinc,MATCH(Q2753,ctaNombre,0))&amp;""&lt;&gt;"",INDEX(ctaVinc,MATCH(Q2753,ctaNombre,0))&amp;"",Q2753),Q2753))</f>
        <v/>
      </c>
      <c r="AC2753" s="52">
        <f>IF(OR(K2753="",AND(P2753&lt;&gt;"Transferencia",P2753&lt;&gt;"Pago tarjeta")),"",IFERROR(IF(INDEX(ctaVinc,MATCH(K2753,ctaNombre,0))&amp;""&lt;&gt;"",INDEX(ctaVinc,MATCH(K2753,ctaNombre,0))&amp;"",K2753),K2753))</f>
        <v/>
      </c>
      <c r="AD2753" s="52">
        <f>IF(AB2753="","",IFERROR(INDEX(ctaTipo,MATCH(AB2753,ctaNombre,0))&amp;"",""))</f>
        <v/>
      </c>
      <c r="AE2753" s="52">
        <f>IF(AC2753="","",IFERROR(INDEX(ctaTipo,MATCH(AC2753,ctaNombre,0))&amp;"",""))</f>
        <v/>
      </c>
      <c r="AF2753" s="53">
        <f>IF(OR(P2753="",AB2753=""),"",IF(OR(P2753="Gasto",P2753="Transferencia",P2753="Pago tarjeta"),-1,1)*IF(IFERROR(INDEX(ctaMoneda,MATCH(AB2753,ctaNombre,0))&amp;"","DOP")="USD",T2753,S2753))</f>
        <v/>
      </c>
      <c r="AG2753" s="53">
        <f>IF(AC2753="","",IF(IFERROR(INDEX(ctaMoneda,MATCH(AC2753,ctaNombre,0))&amp;"","DOP")="USD",T2753,S2753))</f>
        <v/>
      </c>
      <c r="AH2753" s="53">
        <f>IF(P2753="","",IF(AND(AD2753&lt;&gt;"",COUNTIFS(tcTipo,AD2753,tcLiq,"Sí")&gt;0),IF(OR(P2753="Gasto",P2753="Transferencia",P2753="Pago tarjeta"),-1,1)*S2753,0)+IF(AND(AE2753&lt;&gt;"",COUNTIFS(tcTipo,AE2753,tcLiq,"Sí")&gt;0),S2753,0))</f>
        <v/>
      </c>
      <c r="AI2753" s="52">
        <f>IF(OR(L2753="",P2753=""),"",IF(COUNTIFS(L$6:L2753,L2753,P$6:P2753,"?*")=1,MAX(AI$5:AI2752)+1,""))</f>
        <v/>
      </c>
    </row>
    <row r="2754">
      <c r="B2754" s="47" t="n"/>
      <c r="C2754" s="48" t="n"/>
      <c r="D2754" s="48" t="n"/>
      <c r="E2754" s="48" t="n"/>
      <c r="F2754" s="48" t="n"/>
      <c r="G2754" s="49" t="n"/>
      <c r="H2754" s="48" t="n"/>
      <c r="I2754" s="50" t="n"/>
      <c r="J2754" s="48" t="n"/>
      <c r="K2754" s="48" t="n"/>
      <c r="L2754" s="48" t="n"/>
      <c r="M2754" s="48" t="n"/>
      <c r="N2754" s="48" t="n"/>
      <c r="O2754" s="51">
        <f>IF(AND(B2754="",G2754="",C2754="",D2754="",J2754=""),"",IF(B2754="","⚠ Falta fecha",IF(G2754="","⚠ Falta monto",IF(Q2754="","⚠ Falta cuenta",IF(ISNA(MATCH(Q2754,ctaNombre,0)),"⚠ Cuenta no registrada",IF(AND(OR(P2754="Gasto",P2754="Reembolso"),D2754=""),"⚠ Falta categoría",IF(AND(D2754&lt;&gt;"",E2754&lt;&gt;"",ISNA(MATCH(D2754&amp;"|"&amp;E2754,catClave,0))),"⚠ Subcategoría no corresponde",IF(AND(OR(P2754="Transferencia",P2754="Pago tarjeta"),K2754=""),"⚠ Falta cuenta destino",IF(AND(K2754&lt;&gt;"",P2754&lt;&gt;"Transferencia",P2754&lt;&gt;"Pago tarjeta"),"⚠ Destino solo aplica a transferencias",IF(AND(K2754&lt;&gt;"",K2754=Q2754),"⚠ Origen igual a destino",IF(AND(K2754&lt;&gt;"",ISNA(MATCH(K2754,ctaNombre,0))),"⚠ Destino no registrado",IF(AND(P2754="Pago tarjeta",AE2754&lt;&gt;"Tarjeta de crédito"),"⚠ El destino debe ser tarjeta de crédito",IF(AND(P2754="Gasto",E2754="Depósitos y retiros"),"⚠ Usa tipo Transferencia",IF(AND(P2754="Resultado trading",AD2754&lt;&gt;"Cuenta de trading"),"⚠ Usa una cuenta de trading",IF(AND(G2754&lt;=0,P2754&lt;&gt;"Ajuste",P2754&lt;&gt;"Resultado trading"),"⚠ El monto debe ser positivo","✓")))))))))))))))</f>
        <v/>
      </c>
      <c r="P2754" s="52">
        <f>IF(OR(B2754="",G2754=""),"",IF(C2754="","Gasto",C2754))</f>
        <v/>
      </c>
      <c r="Q2754" s="52">
        <f>IF(P2754="","",IF(J2754&lt;&gt;"",J2754,CuentaPred&amp;""))</f>
        <v/>
      </c>
      <c r="R2754" s="52">
        <f>IF(P2754="","",IF(ISNUMBER(I2754),I2754,TasaUSD))</f>
        <v/>
      </c>
      <c r="S2754" s="53">
        <f>IF(P2754="","",IF(H2754="USD",G2754*R2754,G2754))</f>
        <v/>
      </c>
      <c r="T2754" s="53">
        <f>IF(P2754="","",IF(H2754="USD",G2754,IF(R2754&gt;0,G2754/R2754,0)))</f>
        <v/>
      </c>
      <c r="U2754" s="53">
        <f>IF(P2754="","",IF(P2754="Gasto",S2754,IF(P2754="Reembolso",-S2754,0)))</f>
        <v/>
      </c>
      <c r="V2754" s="53">
        <f>IF(P2754="","",IF(P2754="Ingreso",S2754,0))</f>
        <v/>
      </c>
      <c r="W2754" s="53">
        <f>IF(P2754="","",IF(P2754="Resultado trading",S2754,0))</f>
        <v/>
      </c>
      <c r="X2754" s="52">
        <f>IF(OR(P2754="Gasto",P2754="Reembolso"),IF(M2754&lt;&gt;"",M2754,IFERROR(INDEX(catClasif,MATCH(D2754&amp;"|"&amp;E2754,catClave,0))&amp;"","Variable")),"")</f>
        <v/>
      </c>
      <c r="Y2754" s="52">
        <f>IF(P2754="","",IFERROR(INDEX(catGrupo,MATCH(D2754&amp;"|"&amp;E2754,catClave,0))&amp;"",""))</f>
        <v/>
      </c>
      <c r="Z2754" s="52">
        <f>IF(P2754="","",WEEKDAY(B2754,2))</f>
        <v/>
      </c>
      <c r="AA2754" s="52">
        <f>IF(P2754="","",IF(AND(P2754="Gasto",X2754="Variable",D2754&lt;&gt;catTrading,S2754&gt;0,S2754&lt;=Umbral),1,0))</f>
        <v/>
      </c>
      <c r="AB2754" s="52">
        <f>IF(OR(P2754="",Q2754=""),"",IFERROR(IF(INDEX(ctaVinc,MATCH(Q2754,ctaNombre,0))&amp;""&lt;&gt;"",INDEX(ctaVinc,MATCH(Q2754,ctaNombre,0))&amp;"",Q2754),Q2754))</f>
        <v/>
      </c>
      <c r="AC2754" s="52">
        <f>IF(OR(K2754="",AND(P2754&lt;&gt;"Transferencia",P2754&lt;&gt;"Pago tarjeta")),"",IFERROR(IF(INDEX(ctaVinc,MATCH(K2754,ctaNombre,0))&amp;""&lt;&gt;"",INDEX(ctaVinc,MATCH(K2754,ctaNombre,0))&amp;"",K2754),K2754))</f>
        <v/>
      </c>
      <c r="AD2754" s="52">
        <f>IF(AB2754="","",IFERROR(INDEX(ctaTipo,MATCH(AB2754,ctaNombre,0))&amp;"",""))</f>
        <v/>
      </c>
      <c r="AE2754" s="52">
        <f>IF(AC2754="","",IFERROR(INDEX(ctaTipo,MATCH(AC2754,ctaNombre,0))&amp;"",""))</f>
        <v/>
      </c>
      <c r="AF2754" s="53">
        <f>IF(OR(P2754="",AB2754=""),"",IF(OR(P2754="Gasto",P2754="Transferencia",P2754="Pago tarjeta"),-1,1)*IF(IFERROR(INDEX(ctaMoneda,MATCH(AB2754,ctaNombre,0))&amp;"","DOP")="USD",T2754,S2754))</f>
        <v/>
      </c>
      <c r="AG2754" s="53">
        <f>IF(AC2754="","",IF(IFERROR(INDEX(ctaMoneda,MATCH(AC2754,ctaNombre,0))&amp;"","DOP")="USD",T2754,S2754))</f>
        <v/>
      </c>
      <c r="AH2754" s="53">
        <f>IF(P2754="","",IF(AND(AD2754&lt;&gt;"",COUNTIFS(tcTipo,AD2754,tcLiq,"Sí")&gt;0),IF(OR(P2754="Gasto",P2754="Transferencia",P2754="Pago tarjeta"),-1,1)*S2754,0)+IF(AND(AE2754&lt;&gt;"",COUNTIFS(tcTipo,AE2754,tcLiq,"Sí")&gt;0),S2754,0))</f>
        <v/>
      </c>
      <c r="AI2754" s="52">
        <f>IF(OR(L2754="",P2754=""),"",IF(COUNTIFS(L$6:L2754,L2754,P$6:P2754,"?*")=1,MAX(AI$5:AI2753)+1,""))</f>
        <v/>
      </c>
    </row>
    <row r="2755">
      <c r="B2755" s="47" t="n"/>
      <c r="C2755" s="48" t="n"/>
      <c r="D2755" s="48" t="n"/>
      <c r="E2755" s="48" t="n"/>
      <c r="F2755" s="48" t="n"/>
      <c r="G2755" s="49" t="n"/>
      <c r="H2755" s="48" t="n"/>
      <c r="I2755" s="50" t="n"/>
      <c r="J2755" s="48" t="n"/>
      <c r="K2755" s="48" t="n"/>
      <c r="L2755" s="48" t="n"/>
      <c r="M2755" s="48" t="n"/>
      <c r="N2755" s="48" t="n"/>
      <c r="O2755" s="51">
        <f>IF(AND(B2755="",G2755="",C2755="",D2755="",J2755=""),"",IF(B2755="","⚠ Falta fecha",IF(G2755="","⚠ Falta monto",IF(Q2755="","⚠ Falta cuenta",IF(ISNA(MATCH(Q2755,ctaNombre,0)),"⚠ Cuenta no registrada",IF(AND(OR(P2755="Gasto",P2755="Reembolso"),D2755=""),"⚠ Falta categoría",IF(AND(D2755&lt;&gt;"",E2755&lt;&gt;"",ISNA(MATCH(D2755&amp;"|"&amp;E2755,catClave,0))),"⚠ Subcategoría no corresponde",IF(AND(OR(P2755="Transferencia",P2755="Pago tarjeta"),K2755=""),"⚠ Falta cuenta destino",IF(AND(K2755&lt;&gt;"",P2755&lt;&gt;"Transferencia",P2755&lt;&gt;"Pago tarjeta"),"⚠ Destino solo aplica a transferencias",IF(AND(K2755&lt;&gt;"",K2755=Q2755),"⚠ Origen igual a destino",IF(AND(K2755&lt;&gt;"",ISNA(MATCH(K2755,ctaNombre,0))),"⚠ Destino no registrado",IF(AND(P2755="Pago tarjeta",AE2755&lt;&gt;"Tarjeta de crédito"),"⚠ El destino debe ser tarjeta de crédito",IF(AND(P2755="Gasto",E2755="Depósitos y retiros"),"⚠ Usa tipo Transferencia",IF(AND(P2755="Resultado trading",AD2755&lt;&gt;"Cuenta de trading"),"⚠ Usa una cuenta de trading",IF(AND(G2755&lt;=0,P2755&lt;&gt;"Ajuste",P2755&lt;&gt;"Resultado trading"),"⚠ El monto debe ser positivo","✓")))))))))))))))</f>
        <v/>
      </c>
      <c r="P2755" s="52">
        <f>IF(OR(B2755="",G2755=""),"",IF(C2755="","Gasto",C2755))</f>
        <v/>
      </c>
      <c r="Q2755" s="52">
        <f>IF(P2755="","",IF(J2755&lt;&gt;"",J2755,CuentaPred&amp;""))</f>
        <v/>
      </c>
      <c r="R2755" s="52">
        <f>IF(P2755="","",IF(ISNUMBER(I2755),I2755,TasaUSD))</f>
        <v/>
      </c>
      <c r="S2755" s="53">
        <f>IF(P2755="","",IF(H2755="USD",G2755*R2755,G2755))</f>
        <v/>
      </c>
      <c r="T2755" s="53">
        <f>IF(P2755="","",IF(H2755="USD",G2755,IF(R2755&gt;0,G2755/R2755,0)))</f>
        <v/>
      </c>
      <c r="U2755" s="53">
        <f>IF(P2755="","",IF(P2755="Gasto",S2755,IF(P2755="Reembolso",-S2755,0)))</f>
        <v/>
      </c>
      <c r="V2755" s="53">
        <f>IF(P2755="","",IF(P2755="Ingreso",S2755,0))</f>
        <v/>
      </c>
      <c r="W2755" s="53">
        <f>IF(P2755="","",IF(P2755="Resultado trading",S2755,0))</f>
        <v/>
      </c>
      <c r="X2755" s="52">
        <f>IF(OR(P2755="Gasto",P2755="Reembolso"),IF(M2755&lt;&gt;"",M2755,IFERROR(INDEX(catClasif,MATCH(D2755&amp;"|"&amp;E2755,catClave,0))&amp;"","Variable")),"")</f>
        <v/>
      </c>
      <c r="Y2755" s="52">
        <f>IF(P2755="","",IFERROR(INDEX(catGrupo,MATCH(D2755&amp;"|"&amp;E2755,catClave,0))&amp;"",""))</f>
        <v/>
      </c>
      <c r="Z2755" s="52">
        <f>IF(P2755="","",WEEKDAY(B2755,2))</f>
        <v/>
      </c>
      <c r="AA2755" s="52">
        <f>IF(P2755="","",IF(AND(P2755="Gasto",X2755="Variable",D2755&lt;&gt;catTrading,S2755&gt;0,S2755&lt;=Umbral),1,0))</f>
        <v/>
      </c>
      <c r="AB2755" s="52">
        <f>IF(OR(P2755="",Q2755=""),"",IFERROR(IF(INDEX(ctaVinc,MATCH(Q2755,ctaNombre,0))&amp;""&lt;&gt;"",INDEX(ctaVinc,MATCH(Q2755,ctaNombre,0))&amp;"",Q2755),Q2755))</f>
        <v/>
      </c>
      <c r="AC2755" s="52">
        <f>IF(OR(K2755="",AND(P2755&lt;&gt;"Transferencia",P2755&lt;&gt;"Pago tarjeta")),"",IFERROR(IF(INDEX(ctaVinc,MATCH(K2755,ctaNombre,0))&amp;""&lt;&gt;"",INDEX(ctaVinc,MATCH(K2755,ctaNombre,0))&amp;"",K2755),K2755))</f>
        <v/>
      </c>
      <c r="AD2755" s="52">
        <f>IF(AB2755="","",IFERROR(INDEX(ctaTipo,MATCH(AB2755,ctaNombre,0))&amp;"",""))</f>
        <v/>
      </c>
      <c r="AE2755" s="52">
        <f>IF(AC2755="","",IFERROR(INDEX(ctaTipo,MATCH(AC2755,ctaNombre,0))&amp;"",""))</f>
        <v/>
      </c>
      <c r="AF2755" s="53">
        <f>IF(OR(P2755="",AB2755=""),"",IF(OR(P2755="Gasto",P2755="Transferencia",P2755="Pago tarjeta"),-1,1)*IF(IFERROR(INDEX(ctaMoneda,MATCH(AB2755,ctaNombre,0))&amp;"","DOP")="USD",T2755,S2755))</f>
        <v/>
      </c>
      <c r="AG2755" s="53">
        <f>IF(AC2755="","",IF(IFERROR(INDEX(ctaMoneda,MATCH(AC2755,ctaNombre,0))&amp;"","DOP")="USD",T2755,S2755))</f>
        <v/>
      </c>
      <c r="AH2755" s="53">
        <f>IF(P2755="","",IF(AND(AD2755&lt;&gt;"",COUNTIFS(tcTipo,AD2755,tcLiq,"Sí")&gt;0),IF(OR(P2755="Gasto",P2755="Transferencia",P2755="Pago tarjeta"),-1,1)*S2755,0)+IF(AND(AE2755&lt;&gt;"",COUNTIFS(tcTipo,AE2755,tcLiq,"Sí")&gt;0),S2755,0))</f>
        <v/>
      </c>
      <c r="AI2755" s="52">
        <f>IF(OR(L2755="",P2755=""),"",IF(COUNTIFS(L$6:L2755,L2755,P$6:P2755,"?*")=1,MAX(AI$5:AI2754)+1,""))</f>
        <v/>
      </c>
    </row>
    <row r="2756">
      <c r="B2756" s="47" t="n"/>
      <c r="C2756" s="48" t="n"/>
      <c r="D2756" s="48" t="n"/>
      <c r="E2756" s="48" t="n"/>
      <c r="F2756" s="48" t="n"/>
      <c r="G2756" s="49" t="n"/>
      <c r="H2756" s="48" t="n"/>
      <c r="I2756" s="50" t="n"/>
      <c r="J2756" s="48" t="n"/>
      <c r="K2756" s="48" t="n"/>
      <c r="L2756" s="48" t="n"/>
      <c r="M2756" s="48" t="n"/>
      <c r="N2756" s="48" t="n"/>
      <c r="O2756" s="51">
        <f>IF(AND(B2756="",G2756="",C2756="",D2756="",J2756=""),"",IF(B2756="","⚠ Falta fecha",IF(G2756="","⚠ Falta monto",IF(Q2756="","⚠ Falta cuenta",IF(ISNA(MATCH(Q2756,ctaNombre,0)),"⚠ Cuenta no registrada",IF(AND(OR(P2756="Gasto",P2756="Reembolso"),D2756=""),"⚠ Falta categoría",IF(AND(D2756&lt;&gt;"",E2756&lt;&gt;"",ISNA(MATCH(D2756&amp;"|"&amp;E2756,catClave,0))),"⚠ Subcategoría no corresponde",IF(AND(OR(P2756="Transferencia",P2756="Pago tarjeta"),K2756=""),"⚠ Falta cuenta destino",IF(AND(K2756&lt;&gt;"",P2756&lt;&gt;"Transferencia",P2756&lt;&gt;"Pago tarjeta"),"⚠ Destino solo aplica a transferencias",IF(AND(K2756&lt;&gt;"",K2756=Q2756),"⚠ Origen igual a destino",IF(AND(K2756&lt;&gt;"",ISNA(MATCH(K2756,ctaNombre,0))),"⚠ Destino no registrado",IF(AND(P2756="Pago tarjeta",AE2756&lt;&gt;"Tarjeta de crédito"),"⚠ El destino debe ser tarjeta de crédito",IF(AND(P2756="Gasto",E2756="Depósitos y retiros"),"⚠ Usa tipo Transferencia",IF(AND(P2756="Resultado trading",AD2756&lt;&gt;"Cuenta de trading"),"⚠ Usa una cuenta de trading",IF(AND(G2756&lt;=0,P2756&lt;&gt;"Ajuste",P2756&lt;&gt;"Resultado trading"),"⚠ El monto debe ser positivo","✓")))))))))))))))</f>
        <v/>
      </c>
      <c r="P2756" s="52">
        <f>IF(OR(B2756="",G2756=""),"",IF(C2756="","Gasto",C2756))</f>
        <v/>
      </c>
      <c r="Q2756" s="52">
        <f>IF(P2756="","",IF(J2756&lt;&gt;"",J2756,CuentaPred&amp;""))</f>
        <v/>
      </c>
      <c r="R2756" s="52">
        <f>IF(P2756="","",IF(ISNUMBER(I2756),I2756,TasaUSD))</f>
        <v/>
      </c>
      <c r="S2756" s="53">
        <f>IF(P2756="","",IF(H2756="USD",G2756*R2756,G2756))</f>
        <v/>
      </c>
      <c r="T2756" s="53">
        <f>IF(P2756="","",IF(H2756="USD",G2756,IF(R2756&gt;0,G2756/R2756,0)))</f>
        <v/>
      </c>
      <c r="U2756" s="53">
        <f>IF(P2756="","",IF(P2756="Gasto",S2756,IF(P2756="Reembolso",-S2756,0)))</f>
        <v/>
      </c>
      <c r="V2756" s="53">
        <f>IF(P2756="","",IF(P2756="Ingreso",S2756,0))</f>
        <v/>
      </c>
      <c r="W2756" s="53">
        <f>IF(P2756="","",IF(P2756="Resultado trading",S2756,0))</f>
        <v/>
      </c>
      <c r="X2756" s="52">
        <f>IF(OR(P2756="Gasto",P2756="Reembolso"),IF(M2756&lt;&gt;"",M2756,IFERROR(INDEX(catClasif,MATCH(D2756&amp;"|"&amp;E2756,catClave,0))&amp;"","Variable")),"")</f>
        <v/>
      </c>
      <c r="Y2756" s="52">
        <f>IF(P2756="","",IFERROR(INDEX(catGrupo,MATCH(D2756&amp;"|"&amp;E2756,catClave,0))&amp;"",""))</f>
        <v/>
      </c>
      <c r="Z2756" s="52">
        <f>IF(P2756="","",WEEKDAY(B2756,2))</f>
        <v/>
      </c>
      <c r="AA2756" s="52">
        <f>IF(P2756="","",IF(AND(P2756="Gasto",X2756="Variable",D2756&lt;&gt;catTrading,S2756&gt;0,S2756&lt;=Umbral),1,0))</f>
        <v/>
      </c>
      <c r="AB2756" s="52">
        <f>IF(OR(P2756="",Q2756=""),"",IFERROR(IF(INDEX(ctaVinc,MATCH(Q2756,ctaNombre,0))&amp;""&lt;&gt;"",INDEX(ctaVinc,MATCH(Q2756,ctaNombre,0))&amp;"",Q2756),Q2756))</f>
        <v/>
      </c>
      <c r="AC2756" s="52">
        <f>IF(OR(K2756="",AND(P2756&lt;&gt;"Transferencia",P2756&lt;&gt;"Pago tarjeta")),"",IFERROR(IF(INDEX(ctaVinc,MATCH(K2756,ctaNombre,0))&amp;""&lt;&gt;"",INDEX(ctaVinc,MATCH(K2756,ctaNombre,0))&amp;"",K2756),K2756))</f>
        <v/>
      </c>
      <c r="AD2756" s="52">
        <f>IF(AB2756="","",IFERROR(INDEX(ctaTipo,MATCH(AB2756,ctaNombre,0))&amp;"",""))</f>
        <v/>
      </c>
      <c r="AE2756" s="52">
        <f>IF(AC2756="","",IFERROR(INDEX(ctaTipo,MATCH(AC2756,ctaNombre,0))&amp;"",""))</f>
        <v/>
      </c>
      <c r="AF2756" s="53">
        <f>IF(OR(P2756="",AB2756=""),"",IF(OR(P2756="Gasto",P2756="Transferencia",P2756="Pago tarjeta"),-1,1)*IF(IFERROR(INDEX(ctaMoneda,MATCH(AB2756,ctaNombre,0))&amp;"","DOP")="USD",T2756,S2756))</f>
        <v/>
      </c>
      <c r="AG2756" s="53">
        <f>IF(AC2756="","",IF(IFERROR(INDEX(ctaMoneda,MATCH(AC2756,ctaNombre,0))&amp;"","DOP")="USD",T2756,S2756))</f>
        <v/>
      </c>
      <c r="AH2756" s="53">
        <f>IF(P2756="","",IF(AND(AD2756&lt;&gt;"",COUNTIFS(tcTipo,AD2756,tcLiq,"Sí")&gt;0),IF(OR(P2756="Gasto",P2756="Transferencia",P2756="Pago tarjeta"),-1,1)*S2756,0)+IF(AND(AE2756&lt;&gt;"",COUNTIFS(tcTipo,AE2756,tcLiq,"Sí")&gt;0),S2756,0))</f>
        <v/>
      </c>
      <c r="AI2756" s="52">
        <f>IF(OR(L2756="",P2756=""),"",IF(COUNTIFS(L$6:L2756,L2756,P$6:P2756,"?*")=1,MAX(AI$5:AI2755)+1,""))</f>
        <v/>
      </c>
    </row>
    <row r="2757">
      <c r="B2757" s="47" t="n"/>
      <c r="C2757" s="48" t="n"/>
      <c r="D2757" s="48" t="n"/>
      <c r="E2757" s="48" t="n"/>
      <c r="F2757" s="48" t="n"/>
      <c r="G2757" s="49" t="n"/>
      <c r="H2757" s="48" t="n"/>
      <c r="I2757" s="50" t="n"/>
      <c r="J2757" s="48" t="n"/>
      <c r="K2757" s="48" t="n"/>
      <c r="L2757" s="48" t="n"/>
      <c r="M2757" s="48" t="n"/>
      <c r="N2757" s="48" t="n"/>
      <c r="O2757" s="51">
        <f>IF(AND(B2757="",G2757="",C2757="",D2757="",J2757=""),"",IF(B2757="","⚠ Falta fecha",IF(G2757="","⚠ Falta monto",IF(Q2757="","⚠ Falta cuenta",IF(ISNA(MATCH(Q2757,ctaNombre,0)),"⚠ Cuenta no registrada",IF(AND(OR(P2757="Gasto",P2757="Reembolso"),D2757=""),"⚠ Falta categoría",IF(AND(D2757&lt;&gt;"",E2757&lt;&gt;"",ISNA(MATCH(D2757&amp;"|"&amp;E2757,catClave,0))),"⚠ Subcategoría no corresponde",IF(AND(OR(P2757="Transferencia",P2757="Pago tarjeta"),K2757=""),"⚠ Falta cuenta destino",IF(AND(K2757&lt;&gt;"",P2757&lt;&gt;"Transferencia",P2757&lt;&gt;"Pago tarjeta"),"⚠ Destino solo aplica a transferencias",IF(AND(K2757&lt;&gt;"",K2757=Q2757),"⚠ Origen igual a destino",IF(AND(K2757&lt;&gt;"",ISNA(MATCH(K2757,ctaNombre,0))),"⚠ Destino no registrado",IF(AND(P2757="Pago tarjeta",AE2757&lt;&gt;"Tarjeta de crédito"),"⚠ El destino debe ser tarjeta de crédito",IF(AND(P2757="Gasto",E2757="Depósitos y retiros"),"⚠ Usa tipo Transferencia",IF(AND(P2757="Resultado trading",AD2757&lt;&gt;"Cuenta de trading"),"⚠ Usa una cuenta de trading",IF(AND(G2757&lt;=0,P2757&lt;&gt;"Ajuste",P2757&lt;&gt;"Resultado trading"),"⚠ El monto debe ser positivo","✓")))))))))))))))</f>
        <v/>
      </c>
      <c r="P2757" s="52">
        <f>IF(OR(B2757="",G2757=""),"",IF(C2757="","Gasto",C2757))</f>
        <v/>
      </c>
      <c r="Q2757" s="52">
        <f>IF(P2757="","",IF(J2757&lt;&gt;"",J2757,CuentaPred&amp;""))</f>
        <v/>
      </c>
      <c r="R2757" s="52">
        <f>IF(P2757="","",IF(ISNUMBER(I2757),I2757,TasaUSD))</f>
        <v/>
      </c>
      <c r="S2757" s="53">
        <f>IF(P2757="","",IF(H2757="USD",G2757*R2757,G2757))</f>
        <v/>
      </c>
      <c r="T2757" s="53">
        <f>IF(P2757="","",IF(H2757="USD",G2757,IF(R2757&gt;0,G2757/R2757,0)))</f>
        <v/>
      </c>
      <c r="U2757" s="53">
        <f>IF(P2757="","",IF(P2757="Gasto",S2757,IF(P2757="Reembolso",-S2757,0)))</f>
        <v/>
      </c>
      <c r="V2757" s="53">
        <f>IF(P2757="","",IF(P2757="Ingreso",S2757,0))</f>
        <v/>
      </c>
      <c r="W2757" s="53">
        <f>IF(P2757="","",IF(P2757="Resultado trading",S2757,0))</f>
        <v/>
      </c>
      <c r="X2757" s="52">
        <f>IF(OR(P2757="Gasto",P2757="Reembolso"),IF(M2757&lt;&gt;"",M2757,IFERROR(INDEX(catClasif,MATCH(D2757&amp;"|"&amp;E2757,catClave,0))&amp;"","Variable")),"")</f>
        <v/>
      </c>
      <c r="Y2757" s="52">
        <f>IF(P2757="","",IFERROR(INDEX(catGrupo,MATCH(D2757&amp;"|"&amp;E2757,catClave,0))&amp;"",""))</f>
        <v/>
      </c>
      <c r="Z2757" s="52">
        <f>IF(P2757="","",WEEKDAY(B2757,2))</f>
        <v/>
      </c>
      <c r="AA2757" s="52">
        <f>IF(P2757="","",IF(AND(P2757="Gasto",X2757="Variable",D2757&lt;&gt;catTrading,S2757&gt;0,S2757&lt;=Umbral),1,0))</f>
        <v/>
      </c>
      <c r="AB2757" s="52">
        <f>IF(OR(P2757="",Q2757=""),"",IFERROR(IF(INDEX(ctaVinc,MATCH(Q2757,ctaNombre,0))&amp;""&lt;&gt;"",INDEX(ctaVinc,MATCH(Q2757,ctaNombre,0))&amp;"",Q2757),Q2757))</f>
        <v/>
      </c>
      <c r="AC2757" s="52">
        <f>IF(OR(K2757="",AND(P2757&lt;&gt;"Transferencia",P2757&lt;&gt;"Pago tarjeta")),"",IFERROR(IF(INDEX(ctaVinc,MATCH(K2757,ctaNombre,0))&amp;""&lt;&gt;"",INDEX(ctaVinc,MATCH(K2757,ctaNombre,0))&amp;"",K2757),K2757))</f>
        <v/>
      </c>
      <c r="AD2757" s="52">
        <f>IF(AB2757="","",IFERROR(INDEX(ctaTipo,MATCH(AB2757,ctaNombre,0))&amp;"",""))</f>
        <v/>
      </c>
      <c r="AE2757" s="52">
        <f>IF(AC2757="","",IFERROR(INDEX(ctaTipo,MATCH(AC2757,ctaNombre,0))&amp;"",""))</f>
        <v/>
      </c>
      <c r="AF2757" s="53">
        <f>IF(OR(P2757="",AB2757=""),"",IF(OR(P2757="Gasto",P2757="Transferencia",P2757="Pago tarjeta"),-1,1)*IF(IFERROR(INDEX(ctaMoneda,MATCH(AB2757,ctaNombre,0))&amp;"","DOP")="USD",T2757,S2757))</f>
        <v/>
      </c>
      <c r="AG2757" s="53">
        <f>IF(AC2757="","",IF(IFERROR(INDEX(ctaMoneda,MATCH(AC2757,ctaNombre,0))&amp;"","DOP")="USD",T2757,S2757))</f>
        <v/>
      </c>
      <c r="AH2757" s="53">
        <f>IF(P2757="","",IF(AND(AD2757&lt;&gt;"",COUNTIFS(tcTipo,AD2757,tcLiq,"Sí")&gt;0),IF(OR(P2757="Gasto",P2757="Transferencia",P2757="Pago tarjeta"),-1,1)*S2757,0)+IF(AND(AE2757&lt;&gt;"",COUNTIFS(tcTipo,AE2757,tcLiq,"Sí")&gt;0),S2757,0))</f>
        <v/>
      </c>
      <c r="AI2757" s="52">
        <f>IF(OR(L2757="",P2757=""),"",IF(COUNTIFS(L$6:L2757,L2757,P$6:P2757,"?*")=1,MAX(AI$5:AI2756)+1,""))</f>
        <v/>
      </c>
    </row>
    <row r="2758">
      <c r="B2758" s="47" t="n"/>
      <c r="C2758" s="48" t="n"/>
      <c r="D2758" s="48" t="n"/>
      <c r="E2758" s="48" t="n"/>
      <c r="F2758" s="48" t="n"/>
      <c r="G2758" s="49" t="n"/>
      <c r="H2758" s="48" t="n"/>
      <c r="I2758" s="50" t="n"/>
      <c r="J2758" s="48" t="n"/>
      <c r="K2758" s="48" t="n"/>
      <c r="L2758" s="48" t="n"/>
      <c r="M2758" s="48" t="n"/>
      <c r="N2758" s="48" t="n"/>
      <c r="O2758" s="51">
        <f>IF(AND(B2758="",G2758="",C2758="",D2758="",J2758=""),"",IF(B2758="","⚠ Falta fecha",IF(G2758="","⚠ Falta monto",IF(Q2758="","⚠ Falta cuenta",IF(ISNA(MATCH(Q2758,ctaNombre,0)),"⚠ Cuenta no registrada",IF(AND(OR(P2758="Gasto",P2758="Reembolso"),D2758=""),"⚠ Falta categoría",IF(AND(D2758&lt;&gt;"",E2758&lt;&gt;"",ISNA(MATCH(D2758&amp;"|"&amp;E2758,catClave,0))),"⚠ Subcategoría no corresponde",IF(AND(OR(P2758="Transferencia",P2758="Pago tarjeta"),K2758=""),"⚠ Falta cuenta destino",IF(AND(K2758&lt;&gt;"",P2758&lt;&gt;"Transferencia",P2758&lt;&gt;"Pago tarjeta"),"⚠ Destino solo aplica a transferencias",IF(AND(K2758&lt;&gt;"",K2758=Q2758),"⚠ Origen igual a destino",IF(AND(K2758&lt;&gt;"",ISNA(MATCH(K2758,ctaNombre,0))),"⚠ Destino no registrado",IF(AND(P2758="Pago tarjeta",AE2758&lt;&gt;"Tarjeta de crédito"),"⚠ El destino debe ser tarjeta de crédito",IF(AND(P2758="Gasto",E2758="Depósitos y retiros"),"⚠ Usa tipo Transferencia",IF(AND(P2758="Resultado trading",AD2758&lt;&gt;"Cuenta de trading"),"⚠ Usa una cuenta de trading",IF(AND(G2758&lt;=0,P2758&lt;&gt;"Ajuste",P2758&lt;&gt;"Resultado trading"),"⚠ El monto debe ser positivo","✓")))))))))))))))</f>
        <v/>
      </c>
      <c r="P2758" s="52">
        <f>IF(OR(B2758="",G2758=""),"",IF(C2758="","Gasto",C2758))</f>
        <v/>
      </c>
      <c r="Q2758" s="52">
        <f>IF(P2758="","",IF(J2758&lt;&gt;"",J2758,CuentaPred&amp;""))</f>
        <v/>
      </c>
      <c r="R2758" s="52">
        <f>IF(P2758="","",IF(ISNUMBER(I2758),I2758,TasaUSD))</f>
        <v/>
      </c>
      <c r="S2758" s="53">
        <f>IF(P2758="","",IF(H2758="USD",G2758*R2758,G2758))</f>
        <v/>
      </c>
      <c r="T2758" s="53">
        <f>IF(P2758="","",IF(H2758="USD",G2758,IF(R2758&gt;0,G2758/R2758,0)))</f>
        <v/>
      </c>
      <c r="U2758" s="53">
        <f>IF(P2758="","",IF(P2758="Gasto",S2758,IF(P2758="Reembolso",-S2758,0)))</f>
        <v/>
      </c>
      <c r="V2758" s="53">
        <f>IF(P2758="","",IF(P2758="Ingreso",S2758,0))</f>
        <v/>
      </c>
      <c r="W2758" s="53">
        <f>IF(P2758="","",IF(P2758="Resultado trading",S2758,0))</f>
        <v/>
      </c>
      <c r="X2758" s="52">
        <f>IF(OR(P2758="Gasto",P2758="Reembolso"),IF(M2758&lt;&gt;"",M2758,IFERROR(INDEX(catClasif,MATCH(D2758&amp;"|"&amp;E2758,catClave,0))&amp;"","Variable")),"")</f>
        <v/>
      </c>
      <c r="Y2758" s="52">
        <f>IF(P2758="","",IFERROR(INDEX(catGrupo,MATCH(D2758&amp;"|"&amp;E2758,catClave,0))&amp;"",""))</f>
        <v/>
      </c>
      <c r="Z2758" s="52">
        <f>IF(P2758="","",WEEKDAY(B2758,2))</f>
        <v/>
      </c>
      <c r="AA2758" s="52">
        <f>IF(P2758="","",IF(AND(P2758="Gasto",X2758="Variable",D2758&lt;&gt;catTrading,S2758&gt;0,S2758&lt;=Umbral),1,0))</f>
        <v/>
      </c>
      <c r="AB2758" s="52">
        <f>IF(OR(P2758="",Q2758=""),"",IFERROR(IF(INDEX(ctaVinc,MATCH(Q2758,ctaNombre,0))&amp;""&lt;&gt;"",INDEX(ctaVinc,MATCH(Q2758,ctaNombre,0))&amp;"",Q2758),Q2758))</f>
        <v/>
      </c>
      <c r="AC2758" s="52">
        <f>IF(OR(K2758="",AND(P2758&lt;&gt;"Transferencia",P2758&lt;&gt;"Pago tarjeta")),"",IFERROR(IF(INDEX(ctaVinc,MATCH(K2758,ctaNombre,0))&amp;""&lt;&gt;"",INDEX(ctaVinc,MATCH(K2758,ctaNombre,0))&amp;"",K2758),K2758))</f>
        <v/>
      </c>
      <c r="AD2758" s="52">
        <f>IF(AB2758="","",IFERROR(INDEX(ctaTipo,MATCH(AB2758,ctaNombre,0))&amp;"",""))</f>
        <v/>
      </c>
      <c r="AE2758" s="52">
        <f>IF(AC2758="","",IFERROR(INDEX(ctaTipo,MATCH(AC2758,ctaNombre,0))&amp;"",""))</f>
        <v/>
      </c>
      <c r="AF2758" s="53">
        <f>IF(OR(P2758="",AB2758=""),"",IF(OR(P2758="Gasto",P2758="Transferencia",P2758="Pago tarjeta"),-1,1)*IF(IFERROR(INDEX(ctaMoneda,MATCH(AB2758,ctaNombre,0))&amp;"","DOP")="USD",T2758,S2758))</f>
        <v/>
      </c>
      <c r="AG2758" s="53">
        <f>IF(AC2758="","",IF(IFERROR(INDEX(ctaMoneda,MATCH(AC2758,ctaNombre,0))&amp;"","DOP")="USD",T2758,S2758))</f>
        <v/>
      </c>
      <c r="AH2758" s="53">
        <f>IF(P2758="","",IF(AND(AD2758&lt;&gt;"",COUNTIFS(tcTipo,AD2758,tcLiq,"Sí")&gt;0),IF(OR(P2758="Gasto",P2758="Transferencia",P2758="Pago tarjeta"),-1,1)*S2758,0)+IF(AND(AE2758&lt;&gt;"",COUNTIFS(tcTipo,AE2758,tcLiq,"Sí")&gt;0),S2758,0))</f>
        <v/>
      </c>
      <c r="AI2758" s="52">
        <f>IF(OR(L2758="",P2758=""),"",IF(COUNTIFS(L$6:L2758,L2758,P$6:P2758,"?*")=1,MAX(AI$5:AI2757)+1,""))</f>
        <v/>
      </c>
    </row>
    <row r="2759">
      <c r="B2759" s="47" t="n"/>
      <c r="C2759" s="48" t="n"/>
      <c r="D2759" s="48" t="n"/>
      <c r="E2759" s="48" t="n"/>
      <c r="F2759" s="48" t="n"/>
      <c r="G2759" s="49" t="n"/>
      <c r="H2759" s="48" t="n"/>
      <c r="I2759" s="50" t="n"/>
      <c r="J2759" s="48" t="n"/>
      <c r="K2759" s="48" t="n"/>
      <c r="L2759" s="48" t="n"/>
      <c r="M2759" s="48" t="n"/>
      <c r="N2759" s="48" t="n"/>
      <c r="O2759" s="51">
        <f>IF(AND(B2759="",G2759="",C2759="",D2759="",J2759=""),"",IF(B2759="","⚠ Falta fecha",IF(G2759="","⚠ Falta monto",IF(Q2759="","⚠ Falta cuenta",IF(ISNA(MATCH(Q2759,ctaNombre,0)),"⚠ Cuenta no registrada",IF(AND(OR(P2759="Gasto",P2759="Reembolso"),D2759=""),"⚠ Falta categoría",IF(AND(D2759&lt;&gt;"",E2759&lt;&gt;"",ISNA(MATCH(D2759&amp;"|"&amp;E2759,catClave,0))),"⚠ Subcategoría no corresponde",IF(AND(OR(P2759="Transferencia",P2759="Pago tarjeta"),K2759=""),"⚠ Falta cuenta destino",IF(AND(K2759&lt;&gt;"",P2759&lt;&gt;"Transferencia",P2759&lt;&gt;"Pago tarjeta"),"⚠ Destino solo aplica a transferencias",IF(AND(K2759&lt;&gt;"",K2759=Q2759),"⚠ Origen igual a destino",IF(AND(K2759&lt;&gt;"",ISNA(MATCH(K2759,ctaNombre,0))),"⚠ Destino no registrado",IF(AND(P2759="Pago tarjeta",AE2759&lt;&gt;"Tarjeta de crédito"),"⚠ El destino debe ser tarjeta de crédito",IF(AND(P2759="Gasto",E2759="Depósitos y retiros"),"⚠ Usa tipo Transferencia",IF(AND(P2759="Resultado trading",AD2759&lt;&gt;"Cuenta de trading"),"⚠ Usa una cuenta de trading",IF(AND(G2759&lt;=0,P2759&lt;&gt;"Ajuste",P2759&lt;&gt;"Resultado trading"),"⚠ El monto debe ser positivo","✓")))))))))))))))</f>
        <v/>
      </c>
      <c r="P2759" s="52">
        <f>IF(OR(B2759="",G2759=""),"",IF(C2759="","Gasto",C2759))</f>
        <v/>
      </c>
      <c r="Q2759" s="52">
        <f>IF(P2759="","",IF(J2759&lt;&gt;"",J2759,CuentaPred&amp;""))</f>
        <v/>
      </c>
      <c r="R2759" s="52">
        <f>IF(P2759="","",IF(ISNUMBER(I2759),I2759,TasaUSD))</f>
        <v/>
      </c>
      <c r="S2759" s="53">
        <f>IF(P2759="","",IF(H2759="USD",G2759*R2759,G2759))</f>
        <v/>
      </c>
      <c r="T2759" s="53">
        <f>IF(P2759="","",IF(H2759="USD",G2759,IF(R2759&gt;0,G2759/R2759,0)))</f>
        <v/>
      </c>
      <c r="U2759" s="53">
        <f>IF(P2759="","",IF(P2759="Gasto",S2759,IF(P2759="Reembolso",-S2759,0)))</f>
        <v/>
      </c>
      <c r="V2759" s="53">
        <f>IF(P2759="","",IF(P2759="Ingreso",S2759,0))</f>
        <v/>
      </c>
      <c r="W2759" s="53">
        <f>IF(P2759="","",IF(P2759="Resultado trading",S2759,0))</f>
        <v/>
      </c>
      <c r="X2759" s="52">
        <f>IF(OR(P2759="Gasto",P2759="Reembolso"),IF(M2759&lt;&gt;"",M2759,IFERROR(INDEX(catClasif,MATCH(D2759&amp;"|"&amp;E2759,catClave,0))&amp;"","Variable")),"")</f>
        <v/>
      </c>
      <c r="Y2759" s="52">
        <f>IF(P2759="","",IFERROR(INDEX(catGrupo,MATCH(D2759&amp;"|"&amp;E2759,catClave,0))&amp;"",""))</f>
        <v/>
      </c>
      <c r="Z2759" s="52">
        <f>IF(P2759="","",WEEKDAY(B2759,2))</f>
        <v/>
      </c>
      <c r="AA2759" s="52">
        <f>IF(P2759="","",IF(AND(P2759="Gasto",X2759="Variable",D2759&lt;&gt;catTrading,S2759&gt;0,S2759&lt;=Umbral),1,0))</f>
        <v/>
      </c>
      <c r="AB2759" s="52">
        <f>IF(OR(P2759="",Q2759=""),"",IFERROR(IF(INDEX(ctaVinc,MATCH(Q2759,ctaNombre,0))&amp;""&lt;&gt;"",INDEX(ctaVinc,MATCH(Q2759,ctaNombre,0))&amp;"",Q2759),Q2759))</f>
        <v/>
      </c>
      <c r="AC2759" s="52">
        <f>IF(OR(K2759="",AND(P2759&lt;&gt;"Transferencia",P2759&lt;&gt;"Pago tarjeta")),"",IFERROR(IF(INDEX(ctaVinc,MATCH(K2759,ctaNombre,0))&amp;""&lt;&gt;"",INDEX(ctaVinc,MATCH(K2759,ctaNombre,0))&amp;"",K2759),K2759))</f>
        <v/>
      </c>
      <c r="AD2759" s="52">
        <f>IF(AB2759="","",IFERROR(INDEX(ctaTipo,MATCH(AB2759,ctaNombre,0))&amp;"",""))</f>
        <v/>
      </c>
      <c r="AE2759" s="52">
        <f>IF(AC2759="","",IFERROR(INDEX(ctaTipo,MATCH(AC2759,ctaNombre,0))&amp;"",""))</f>
        <v/>
      </c>
      <c r="AF2759" s="53">
        <f>IF(OR(P2759="",AB2759=""),"",IF(OR(P2759="Gasto",P2759="Transferencia",P2759="Pago tarjeta"),-1,1)*IF(IFERROR(INDEX(ctaMoneda,MATCH(AB2759,ctaNombre,0))&amp;"","DOP")="USD",T2759,S2759))</f>
        <v/>
      </c>
      <c r="AG2759" s="53">
        <f>IF(AC2759="","",IF(IFERROR(INDEX(ctaMoneda,MATCH(AC2759,ctaNombre,0))&amp;"","DOP")="USD",T2759,S2759))</f>
        <v/>
      </c>
      <c r="AH2759" s="53">
        <f>IF(P2759="","",IF(AND(AD2759&lt;&gt;"",COUNTIFS(tcTipo,AD2759,tcLiq,"Sí")&gt;0),IF(OR(P2759="Gasto",P2759="Transferencia",P2759="Pago tarjeta"),-1,1)*S2759,0)+IF(AND(AE2759&lt;&gt;"",COUNTIFS(tcTipo,AE2759,tcLiq,"Sí")&gt;0),S2759,0))</f>
        <v/>
      </c>
      <c r="AI2759" s="52">
        <f>IF(OR(L2759="",P2759=""),"",IF(COUNTIFS(L$6:L2759,L2759,P$6:P2759,"?*")=1,MAX(AI$5:AI2758)+1,""))</f>
        <v/>
      </c>
    </row>
    <row r="2760">
      <c r="B2760" s="47" t="n"/>
      <c r="C2760" s="48" t="n"/>
      <c r="D2760" s="48" t="n"/>
      <c r="E2760" s="48" t="n"/>
      <c r="F2760" s="48" t="n"/>
      <c r="G2760" s="49" t="n"/>
      <c r="H2760" s="48" t="n"/>
      <c r="I2760" s="50" t="n"/>
      <c r="J2760" s="48" t="n"/>
      <c r="K2760" s="48" t="n"/>
      <c r="L2760" s="48" t="n"/>
      <c r="M2760" s="48" t="n"/>
      <c r="N2760" s="48" t="n"/>
      <c r="O2760" s="51">
        <f>IF(AND(B2760="",G2760="",C2760="",D2760="",J2760=""),"",IF(B2760="","⚠ Falta fecha",IF(G2760="","⚠ Falta monto",IF(Q2760="","⚠ Falta cuenta",IF(ISNA(MATCH(Q2760,ctaNombre,0)),"⚠ Cuenta no registrada",IF(AND(OR(P2760="Gasto",P2760="Reembolso"),D2760=""),"⚠ Falta categoría",IF(AND(D2760&lt;&gt;"",E2760&lt;&gt;"",ISNA(MATCH(D2760&amp;"|"&amp;E2760,catClave,0))),"⚠ Subcategoría no corresponde",IF(AND(OR(P2760="Transferencia",P2760="Pago tarjeta"),K2760=""),"⚠ Falta cuenta destino",IF(AND(K2760&lt;&gt;"",P2760&lt;&gt;"Transferencia",P2760&lt;&gt;"Pago tarjeta"),"⚠ Destino solo aplica a transferencias",IF(AND(K2760&lt;&gt;"",K2760=Q2760),"⚠ Origen igual a destino",IF(AND(K2760&lt;&gt;"",ISNA(MATCH(K2760,ctaNombre,0))),"⚠ Destino no registrado",IF(AND(P2760="Pago tarjeta",AE2760&lt;&gt;"Tarjeta de crédito"),"⚠ El destino debe ser tarjeta de crédito",IF(AND(P2760="Gasto",E2760="Depósitos y retiros"),"⚠ Usa tipo Transferencia",IF(AND(P2760="Resultado trading",AD2760&lt;&gt;"Cuenta de trading"),"⚠ Usa una cuenta de trading",IF(AND(G2760&lt;=0,P2760&lt;&gt;"Ajuste",P2760&lt;&gt;"Resultado trading"),"⚠ El monto debe ser positivo","✓")))))))))))))))</f>
        <v/>
      </c>
      <c r="P2760" s="52">
        <f>IF(OR(B2760="",G2760=""),"",IF(C2760="","Gasto",C2760))</f>
        <v/>
      </c>
      <c r="Q2760" s="52">
        <f>IF(P2760="","",IF(J2760&lt;&gt;"",J2760,CuentaPred&amp;""))</f>
        <v/>
      </c>
      <c r="R2760" s="52">
        <f>IF(P2760="","",IF(ISNUMBER(I2760),I2760,TasaUSD))</f>
        <v/>
      </c>
      <c r="S2760" s="53">
        <f>IF(P2760="","",IF(H2760="USD",G2760*R2760,G2760))</f>
        <v/>
      </c>
      <c r="T2760" s="53">
        <f>IF(P2760="","",IF(H2760="USD",G2760,IF(R2760&gt;0,G2760/R2760,0)))</f>
        <v/>
      </c>
      <c r="U2760" s="53">
        <f>IF(P2760="","",IF(P2760="Gasto",S2760,IF(P2760="Reembolso",-S2760,0)))</f>
        <v/>
      </c>
      <c r="V2760" s="53">
        <f>IF(P2760="","",IF(P2760="Ingreso",S2760,0))</f>
        <v/>
      </c>
      <c r="W2760" s="53">
        <f>IF(P2760="","",IF(P2760="Resultado trading",S2760,0))</f>
        <v/>
      </c>
      <c r="X2760" s="52">
        <f>IF(OR(P2760="Gasto",P2760="Reembolso"),IF(M2760&lt;&gt;"",M2760,IFERROR(INDEX(catClasif,MATCH(D2760&amp;"|"&amp;E2760,catClave,0))&amp;"","Variable")),"")</f>
        <v/>
      </c>
      <c r="Y2760" s="52">
        <f>IF(P2760="","",IFERROR(INDEX(catGrupo,MATCH(D2760&amp;"|"&amp;E2760,catClave,0))&amp;"",""))</f>
        <v/>
      </c>
      <c r="Z2760" s="52">
        <f>IF(P2760="","",WEEKDAY(B2760,2))</f>
        <v/>
      </c>
      <c r="AA2760" s="52">
        <f>IF(P2760="","",IF(AND(P2760="Gasto",X2760="Variable",D2760&lt;&gt;catTrading,S2760&gt;0,S2760&lt;=Umbral),1,0))</f>
        <v/>
      </c>
      <c r="AB2760" s="52">
        <f>IF(OR(P2760="",Q2760=""),"",IFERROR(IF(INDEX(ctaVinc,MATCH(Q2760,ctaNombre,0))&amp;""&lt;&gt;"",INDEX(ctaVinc,MATCH(Q2760,ctaNombre,0))&amp;"",Q2760),Q2760))</f>
        <v/>
      </c>
      <c r="AC2760" s="52">
        <f>IF(OR(K2760="",AND(P2760&lt;&gt;"Transferencia",P2760&lt;&gt;"Pago tarjeta")),"",IFERROR(IF(INDEX(ctaVinc,MATCH(K2760,ctaNombre,0))&amp;""&lt;&gt;"",INDEX(ctaVinc,MATCH(K2760,ctaNombre,0))&amp;"",K2760),K2760))</f>
        <v/>
      </c>
      <c r="AD2760" s="52">
        <f>IF(AB2760="","",IFERROR(INDEX(ctaTipo,MATCH(AB2760,ctaNombre,0))&amp;"",""))</f>
        <v/>
      </c>
      <c r="AE2760" s="52">
        <f>IF(AC2760="","",IFERROR(INDEX(ctaTipo,MATCH(AC2760,ctaNombre,0))&amp;"",""))</f>
        <v/>
      </c>
      <c r="AF2760" s="53">
        <f>IF(OR(P2760="",AB2760=""),"",IF(OR(P2760="Gasto",P2760="Transferencia",P2760="Pago tarjeta"),-1,1)*IF(IFERROR(INDEX(ctaMoneda,MATCH(AB2760,ctaNombre,0))&amp;"","DOP")="USD",T2760,S2760))</f>
        <v/>
      </c>
      <c r="AG2760" s="53">
        <f>IF(AC2760="","",IF(IFERROR(INDEX(ctaMoneda,MATCH(AC2760,ctaNombre,0))&amp;"","DOP")="USD",T2760,S2760))</f>
        <v/>
      </c>
      <c r="AH2760" s="53">
        <f>IF(P2760="","",IF(AND(AD2760&lt;&gt;"",COUNTIFS(tcTipo,AD2760,tcLiq,"Sí")&gt;0),IF(OR(P2760="Gasto",P2760="Transferencia",P2760="Pago tarjeta"),-1,1)*S2760,0)+IF(AND(AE2760&lt;&gt;"",COUNTIFS(tcTipo,AE2760,tcLiq,"Sí")&gt;0),S2760,0))</f>
        <v/>
      </c>
      <c r="AI2760" s="52">
        <f>IF(OR(L2760="",P2760=""),"",IF(COUNTIFS(L$6:L2760,L2760,P$6:P2760,"?*")=1,MAX(AI$5:AI2759)+1,""))</f>
        <v/>
      </c>
    </row>
    <row r="2761">
      <c r="B2761" s="47" t="n"/>
      <c r="C2761" s="48" t="n"/>
      <c r="D2761" s="48" t="n"/>
      <c r="E2761" s="48" t="n"/>
      <c r="F2761" s="48" t="n"/>
      <c r="G2761" s="49" t="n"/>
      <c r="H2761" s="48" t="n"/>
      <c r="I2761" s="50" t="n"/>
      <c r="J2761" s="48" t="n"/>
      <c r="K2761" s="48" t="n"/>
      <c r="L2761" s="48" t="n"/>
      <c r="M2761" s="48" t="n"/>
      <c r="N2761" s="48" t="n"/>
      <c r="O2761" s="51">
        <f>IF(AND(B2761="",G2761="",C2761="",D2761="",J2761=""),"",IF(B2761="","⚠ Falta fecha",IF(G2761="","⚠ Falta monto",IF(Q2761="","⚠ Falta cuenta",IF(ISNA(MATCH(Q2761,ctaNombre,0)),"⚠ Cuenta no registrada",IF(AND(OR(P2761="Gasto",P2761="Reembolso"),D2761=""),"⚠ Falta categoría",IF(AND(D2761&lt;&gt;"",E2761&lt;&gt;"",ISNA(MATCH(D2761&amp;"|"&amp;E2761,catClave,0))),"⚠ Subcategoría no corresponde",IF(AND(OR(P2761="Transferencia",P2761="Pago tarjeta"),K2761=""),"⚠ Falta cuenta destino",IF(AND(K2761&lt;&gt;"",P2761&lt;&gt;"Transferencia",P2761&lt;&gt;"Pago tarjeta"),"⚠ Destino solo aplica a transferencias",IF(AND(K2761&lt;&gt;"",K2761=Q2761),"⚠ Origen igual a destino",IF(AND(K2761&lt;&gt;"",ISNA(MATCH(K2761,ctaNombre,0))),"⚠ Destino no registrado",IF(AND(P2761="Pago tarjeta",AE2761&lt;&gt;"Tarjeta de crédito"),"⚠ El destino debe ser tarjeta de crédito",IF(AND(P2761="Gasto",E2761="Depósitos y retiros"),"⚠ Usa tipo Transferencia",IF(AND(P2761="Resultado trading",AD2761&lt;&gt;"Cuenta de trading"),"⚠ Usa una cuenta de trading",IF(AND(G2761&lt;=0,P2761&lt;&gt;"Ajuste",P2761&lt;&gt;"Resultado trading"),"⚠ El monto debe ser positivo","✓")))))))))))))))</f>
        <v/>
      </c>
      <c r="P2761" s="52">
        <f>IF(OR(B2761="",G2761=""),"",IF(C2761="","Gasto",C2761))</f>
        <v/>
      </c>
      <c r="Q2761" s="52">
        <f>IF(P2761="","",IF(J2761&lt;&gt;"",J2761,CuentaPred&amp;""))</f>
        <v/>
      </c>
      <c r="R2761" s="52">
        <f>IF(P2761="","",IF(ISNUMBER(I2761),I2761,TasaUSD))</f>
        <v/>
      </c>
      <c r="S2761" s="53">
        <f>IF(P2761="","",IF(H2761="USD",G2761*R2761,G2761))</f>
        <v/>
      </c>
      <c r="T2761" s="53">
        <f>IF(P2761="","",IF(H2761="USD",G2761,IF(R2761&gt;0,G2761/R2761,0)))</f>
        <v/>
      </c>
      <c r="U2761" s="53">
        <f>IF(P2761="","",IF(P2761="Gasto",S2761,IF(P2761="Reembolso",-S2761,0)))</f>
        <v/>
      </c>
      <c r="V2761" s="53">
        <f>IF(P2761="","",IF(P2761="Ingreso",S2761,0))</f>
        <v/>
      </c>
      <c r="W2761" s="53">
        <f>IF(P2761="","",IF(P2761="Resultado trading",S2761,0))</f>
        <v/>
      </c>
      <c r="X2761" s="52">
        <f>IF(OR(P2761="Gasto",P2761="Reembolso"),IF(M2761&lt;&gt;"",M2761,IFERROR(INDEX(catClasif,MATCH(D2761&amp;"|"&amp;E2761,catClave,0))&amp;"","Variable")),"")</f>
        <v/>
      </c>
      <c r="Y2761" s="52">
        <f>IF(P2761="","",IFERROR(INDEX(catGrupo,MATCH(D2761&amp;"|"&amp;E2761,catClave,0))&amp;"",""))</f>
        <v/>
      </c>
      <c r="Z2761" s="52">
        <f>IF(P2761="","",WEEKDAY(B2761,2))</f>
        <v/>
      </c>
      <c r="AA2761" s="52">
        <f>IF(P2761="","",IF(AND(P2761="Gasto",X2761="Variable",D2761&lt;&gt;catTrading,S2761&gt;0,S2761&lt;=Umbral),1,0))</f>
        <v/>
      </c>
      <c r="AB2761" s="52">
        <f>IF(OR(P2761="",Q2761=""),"",IFERROR(IF(INDEX(ctaVinc,MATCH(Q2761,ctaNombre,0))&amp;""&lt;&gt;"",INDEX(ctaVinc,MATCH(Q2761,ctaNombre,0))&amp;"",Q2761),Q2761))</f>
        <v/>
      </c>
      <c r="AC2761" s="52">
        <f>IF(OR(K2761="",AND(P2761&lt;&gt;"Transferencia",P2761&lt;&gt;"Pago tarjeta")),"",IFERROR(IF(INDEX(ctaVinc,MATCH(K2761,ctaNombre,0))&amp;""&lt;&gt;"",INDEX(ctaVinc,MATCH(K2761,ctaNombre,0))&amp;"",K2761),K2761))</f>
        <v/>
      </c>
      <c r="AD2761" s="52">
        <f>IF(AB2761="","",IFERROR(INDEX(ctaTipo,MATCH(AB2761,ctaNombre,0))&amp;"",""))</f>
        <v/>
      </c>
      <c r="AE2761" s="52">
        <f>IF(AC2761="","",IFERROR(INDEX(ctaTipo,MATCH(AC2761,ctaNombre,0))&amp;"",""))</f>
        <v/>
      </c>
      <c r="AF2761" s="53">
        <f>IF(OR(P2761="",AB2761=""),"",IF(OR(P2761="Gasto",P2761="Transferencia",P2761="Pago tarjeta"),-1,1)*IF(IFERROR(INDEX(ctaMoneda,MATCH(AB2761,ctaNombre,0))&amp;"","DOP")="USD",T2761,S2761))</f>
        <v/>
      </c>
      <c r="AG2761" s="53">
        <f>IF(AC2761="","",IF(IFERROR(INDEX(ctaMoneda,MATCH(AC2761,ctaNombre,0))&amp;"","DOP")="USD",T2761,S2761))</f>
        <v/>
      </c>
      <c r="AH2761" s="53">
        <f>IF(P2761="","",IF(AND(AD2761&lt;&gt;"",COUNTIFS(tcTipo,AD2761,tcLiq,"Sí")&gt;0),IF(OR(P2761="Gasto",P2761="Transferencia",P2761="Pago tarjeta"),-1,1)*S2761,0)+IF(AND(AE2761&lt;&gt;"",COUNTIFS(tcTipo,AE2761,tcLiq,"Sí")&gt;0),S2761,0))</f>
        <v/>
      </c>
      <c r="AI2761" s="52">
        <f>IF(OR(L2761="",P2761=""),"",IF(COUNTIFS(L$6:L2761,L2761,P$6:P2761,"?*")=1,MAX(AI$5:AI2760)+1,""))</f>
        <v/>
      </c>
    </row>
    <row r="2762">
      <c r="B2762" s="47" t="n"/>
      <c r="C2762" s="48" t="n"/>
      <c r="D2762" s="48" t="n"/>
      <c r="E2762" s="48" t="n"/>
      <c r="F2762" s="48" t="n"/>
      <c r="G2762" s="49" t="n"/>
      <c r="H2762" s="48" t="n"/>
      <c r="I2762" s="50" t="n"/>
      <c r="J2762" s="48" t="n"/>
      <c r="K2762" s="48" t="n"/>
      <c r="L2762" s="48" t="n"/>
      <c r="M2762" s="48" t="n"/>
      <c r="N2762" s="48" t="n"/>
      <c r="O2762" s="51">
        <f>IF(AND(B2762="",G2762="",C2762="",D2762="",J2762=""),"",IF(B2762="","⚠ Falta fecha",IF(G2762="","⚠ Falta monto",IF(Q2762="","⚠ Falta cuenta",IF(ISNA(MATCH(Q2762,ctaNombre,0)),"⚠ Cuenta no registrada",IF(AND(OR(P2762="Gasto",P2762="Reembolso"),D2762=""),"⚠ Falta categoría",IF(AND(D2762&lt;&gt;"",E2762&lt;&gt;"",ISNA(MATCH(D2762&amp;"|"&amp;E2762,catClave,0))),"⚠ Subcategoría no corresponde",IF(AND(OR(P2762="Transferencia",P2762="Pago tarjeta"),K2762=""),"⚠ Falta cuenta destino",IF(AND(K2762&lt;&gt;"",P2762&lt;&gt;"Transferencia",P2762&lt;&gt;"Pago tarjeta"),"⚠ Destino solo aplica a transferencias",IF(AND(K2762&lt;&gt;"",K2762=Q2762),"⚠ Origen igual a destino",IF(AND(K2762&lt;&gt;"",ISNA(MATCH(K2762,ctaNombre,0))),"⚠ Destino no registrado",IF(AND(P2762="Pago tarjeta",AE2762&lt;&gt;"Tarjeta de crédito"),"⚠ El destino debe ser tarjeta de crédito",IF(AND(P2762="Gasto",E2762="Depósitos y retiros"),"⚠ Usa tipo Transferencia",IF(AND(P2762="Resultado trading",AD2762&lt;&gt;"Cuenta de trading"),"⚠ Usa una cuenta de trading",IF(AND(G2762&lt;=0,P2762&lt;&gt;"Ajuste",P2762&lt;&gt;"Resultado trading"),"⚠ El monto debe ser positivo","✓")))))))))))))))</f>
        <v/>
      </c>
      <c r="P2762" s="52">
        <f>IF(OR(B2762="",G2762=""),"",IF(C2762="","Gasto",C2762))</f>
        <v/>
      </c>
      <c r="Q2762" s="52">
        <f>IF(P2762="","",IF(J2762&lt;&gt;"",J2762,CuentaPred&amp;""))</f>
        <v/>
      </c>
      <c r="R2762" s="52">
        <f>IF(P2762="","",IF(ISNUMBER(I2762),I2762,TasaUSD))</f>
        <v/>
      </c>
      <c r="S2762" s="53">
        <f>IF(P2762="","",IF(H2762="USD",G2762*R2762,G2762))</f>
        <v/>
      </c>
      <c r="T2762" s="53">
        <f>IF(P2762="","",IF(H2762="USD",G2762,IF(R2762&gt;0,G2762/R2762,0)))</f>
        <v/>
      </c>
      <c r="U2762" s="53">
        <f>IF(P2762="","",IF(P2762="Gasto",S2762,IF(P2762="Reembolso",-S2762,0)))</f>
        <v/>
      </c>
      <c r="V2762" s="53">
        <f>IF(P2762="","",IF(P2762="Ingreso",S2762,0))</f>
        <v/>
      </c>
      <c r="W2762" s="53">
        <f>IF(P2762="","",IF(P2762="Resultado trading",S2762,0))</f>
        <v/>
      </c>
      <c r="X2762" s="52">
        <f>IF(OR(P2762="Gasto",P2762="Reembolso"),IF(M2762&lt;&gt;"",M2762,IFERROR(INDEX(catClasif,MATCH(D2762&amp;"|"&amp;E2762,catClave,0))&amp;"","Variable")),"")</f>
        <v/>
      </c>
      <c r="Y2762" s="52">
        <f>IF(P2762="","",IFERROR(INDEX(catGrupo,MATCH(D2762&amp;"|"&amp;E2762,catClave,0))&amp;"",""))</f>
        <v/>
      </c>
      <c r="Z2762" s="52">
        <f>IF(P2762="","",WEEKDAY(B2762,2))</f>
        <v/>
      </c>
      <c r="AA2762" s="52">
        <f>IF(P2762="","",IF(AND(P2762="Gasto",X2762="Variable",D2762&lt;&gt;catTrading,S2762&gt;0,S2762&lt;=Umbral),1,0))</f>
        <v/>
      </c>
      <c r="AB2762" s="52">
        <f>IF(OR(P2762="",Q2762=""),"",IFERROR(IF(INDEX(ctaVinc,MATCH(Q2762,ctaNombre,0))&amp;""&lt;&gt;"",INDEX(ctaVinc,MATCH(Q2762,ctaNombre,0))&amp;"",Q2762),Q2762))</f>
        <v/>
      </c>
      <c r="AC2762" s="52">
        <f>IF(OR(K2762="",AND(P2762&lt;&gt;"Transferencia",P2762&lt;&gt;"Pago tarjeta")),"",IFERROR(IF(INDEX(ctaVinc,MATCH(K2762,ctaNombre,0))&amp;""&lt;&gt;"",INDEX(ctaVinc,MATCH(K2762,ctaNombre,0))&amp;"",K2762),K2762))</f>
        <v/>
      </c>
      <c r="AD2762" s="52">
        <f>IF(AB2762="","",IFERROR(INDEX(ctaTipo,MATCH(AB2762,ctaNombre,0))&amp;"",""))</f>
        <v/>
      </c>
      <c r="AE2762" s="52">
        <f>IF(AC2762="","",IFERROR(INDEX(ctaTipo,MATCH(AC2762,ctaNombre,0))&amp;"",""))</f>
        <v/>
      </c>
      <c r="AF2762" s="53">
        <f>IF(OR(P2762="",AB2762=""),"",IF(OR(P2762="Gasto",P2762="Transferencia",P2762="Pago tarjeta"),-1,1)*IF(IFERROR(INDEX(ctaMoneda,MATCH(AB2762,ctaNombre,0))&amp;"","DOP")="USD",T2762,S2762))</f>
        <v/>
      </c>
      <c r="AG2762" s="53">
        <f>IF(AC2762="","",IF(IFERROR(INDEX(ctaMoneda,MATCH(AC2762,ctaNombre,0))&amp;"","DOP")="USD",T2762,S2762))</f>
        <v/>
      </c>
      <c r="AH2762" s="53">
        <f>IF(P2762="","",IF(AND(AD2762&lt;&gt;"",COUNTIFS(tcTipo,AD2762,tcLiq,"Sí")&gt;0),IF(OR(P2762="Gasto",P2762="Transferencia",P2762="Pago tarjeta"),-1,1)*S2762,0)+IF(AND(AE2762&lt;&gt;"",COUNTIFS(tcTipo,AE2762,tcLiq,"Sí")&gt;0),S2762,0))</f>
        <v/>
      </c>
      <c r="AI2762" s="52">
        <f>IF(OR(L2762="",P2762=""),"",IF(COUNTIFS(L$6:L2762,L2762,P$6:P2762,"?*")=1,MAX(AI$5:AI2761)+1,""))</f>
        <v/>
      </c>
    </row>
    <row r="2763">
      <c r="B2763" s="47" t="n"/>
      <c r="C2763" s="48" t="n"/>
      <c r="D2763" s="48" t="n"/>
      <c r="E2763" s="48" t="n"/>
      <c r="F2763" s="48" t="n"/>
      <c r="G2763" s="49" t="n"/>
      <c r="H2763" s="48" t="n"/>
      <c r="I2763" s="50" t="n"/>
      <c r="J2763" s="48" t="n"/>
      <c r="K2763" s="48" t="n"/>
      <c r="L2763" s="48" t="n"/>
      <c r="M2763" s="48" t="n"/>
      <c r="N2763" s="48" t="n"/>
      <c r="O2763" s="51">
        <f>IF(AND(B2763="",G2763="",C2763="",D2763="",J2763=""),"",IF(B2763="","⚠ Falta fecha",IF(G2763="","⚠ Falta monto",IF(Q2763="","⚠ Falta cuenta",IF(ISNA(MATCH(Q2763,ctaNombre,0)),"⚠ Cuenta no registrada",IF(AND(OR(P2763="Gasto",P2763="Reembolso"),D2763=""),"⚠ Falta categoría",IF(AND(D2763&lt;&gt;"",E2763&lt;&gt;"",ISNA(MATCH(D2763&amp;"|"&amp;E2763,catClave,0))),"⚠ Subcategoría no corresponde",IF(AND(OR(P2763="Transferencia",P2763="Pago tarjeta"),K2763=""),"⚠ Falta cuenta destino",IF(AND(K2763&lt;&gt;"",P2763&lt;&gt;"Transferencia",P2763&lt;&gt;"Pago tarjeta"),"⚠ Destino solo aplica a transferencias",IF(AND(K2763&lt;&gt;"",K2763=Q2763),"⚠ Origen igual a destino",IF(AND(K2763&lt;&gt;"",ISNA(MATCH(K2763,ctaNombre,0))),"⚠ Destino no registrado",IF(AND(P2763="Pago tarjeta",AE2763&lt;&gt;"Tarjeta de crédito"),"⚠ El destino debe ser tarjeta de crédito",IF(AND(P2763="Gasto",E2763="Depósitos y retiros"),"⚠ Usa tipo Transferencia",IF(AND(P2763="Resultado trading",AD2763&lt;&gt;"Cuenta de trading"),"⚠ Usa una cuenta de trading",IF(AND(G2763&lt;=0,P2763&lt;&gt;"Ajuste",P2763&lt;&gt;"Resultado trading"),"⚠ El monto debe ser positivo","✓")))))))))))))))</f>
        <v/>
      </c>
      <c r="P2763" s="52">
        <f>IF(OR(B2763="",G2763=""),"",IF(C2763="","Gasto",C2763))</f>
        <v/>
      </c>
      <c r="Q2763" s="52">
        <f>IF(P2763="","",IF(J2763&lt;&gt;"",J2763,CuentaPred&amp;""))</f>
        <v/>
      </c>
      <c r="R2763" s="52">
        <f>IF(P2763="","",IF(ISNUMBER(I2763),I2763,TasaUSD))</f>
        <v/>
      </c>
      <c r="S2763" s="53">
        <f>IF(P2763="","",IF(H2763="USD",G2763*R2763,G2763))</f>
        <v/>
      </c>
      <c r="T2763" s="53">
        <f>IF(P2763="","",IF(H2763="USD",G2763,IF(R2763&gt;0,G2763/R2763,0)))</f>
        <v/>
      </c>
      <c r="U2763" s="53">
        <f>IF(P2763="","",IF(P2763="Gasto",S2763,IF(P2763="Reembolso",-S2763,0)))</f>
        <v/>
      </c>
      <c r="V2763" s="53">
        <f>IF(P2763="","",IF(P2763="Ingreso",S2763,0))</f>
        <v/>
      </c>
      <c r="W2763" s="53">
        <f>IF(P2763="","",IF(P2763="Resultado trading",S2763,0))</f>
        <v/>
      </c>
      <c r="X2763" s="52">
        <f>IF(OR(P2763="Gasto",P2763="Reembolso"),IF(M2763&lt;&gt;"",M2763,IFERROR(INDEX(catClasif,MATCH(D2763&amp;"|"&amp;E2763,catClave,0))&amp;"","Variable")),"")</f>
        <v/>
      </c>
      <c r="Y2763" s="52">
        <f>IF(P2763="","",IFERROR(INDEX(catGrupo,MATCH(D2763&amp;"|"&amp;E2763,catClave,0))&amp;"",""))</f>
        <v/>
      </c>
      <c r="Z2763" s="52">
        <f>IF(P2763="","",WEEKDAY(B2763,2))</f>
        <v/>
      </c>
      <c r="AA2763" s="52">
        <f>IF(P2763="","",IF(AND(P2763="Gasto",X2763="Variable",D2763&lt;&gt;catTrading,S2763&gt;0,S2763&lt;=Umbral),1,0))</f>
        <v/>
      </c>
      <c r="AB2763" s="52">
        <f>IF(OR(P2763="",Q2763=""),"",IFERROR(IF(INDEX(ctaVinc,MATCH(Q2763,ctaNombre,0))&amp;""&lt;&gt;"",INDEX(ctaVinc,MATCH(Q2763,ctaNombre,0))&amp;"",Q2763),Q2763))</f>
        <v/>
      </c>
      <c r="AC2763" s="52">
        <f>IF(OR(K2763="",AND(P2763&lt;&gt;"Transferencia",P2763&lt;&gt;"Pago tarjeta")),"",IFERROR(IF(INDEX(ctaVinc,MATCH(K2763,ctaNombre,0))&amp;""&lt;&gt;"",INDEX(ctaVinc,MATCH(K2763,ctaNombre,0))&amp;"",K2763),K2763))</f>
        <v/>
      </c>
      <c r="AD2763" s="52">
        <f>IF(AB2763="","",IFERROR(INDEX(ctaTipo,MATCH(AB2763,ctaNombre,0))&amp;"",""))</f>
        <v/>
      </c>
      <c r="AE2763" s="52">
        <f>IF(AC2763="","",IFERROR(INDEX(ctaTipo,MATCH(AC2763,ctaNombre,0))&amp;"",""))</f>
        <v/>
      </c>
      <c r="AF2763" s="53">
        <f>IF(OR(P2763="",AB2763=""),"",IF(OR(P2763="Gasto",P2763="Transferencia",P2763="Pago tarjeta"),-1,1)*IF(IFERROR(INDEX(ctaMoneda,MATCH(AB2763,ctaNombre,0))&amp;"","DOP")="USD",T2763,S2763))</f>
        <v/>
      </c>
      <c r="AG2763" s="53">
        <f>IF(AC2763="","",IF(IFERROR(INDEX(ctaMoneda,MATCH(AC2763,ctaNombre,0))&amp;"","DOP")="USD",T2763,S2763))</f>
        <v/>
      </c>
      <c r="AH2763" s="53">
        <f>IF(P2763="","",IF(AND(AD2763&lt;&gt;"",COUNTIFS(tcTipo,AD2763,tcLiq,"Sí")&gt;0),IF(OR(P2763="Gasto",P2763="Transferencia",P2763="Pago tarjeta"),-1,1)*S2763,0)+IF(AND(AE2763&lt;&gt;"",COUNTIFS(tcTipo,AE2763,tcLiq,"Sí")&gt;0),S2763,0))</f>
        <v/>
      </c>
      <c r="AI2763" s="52">
        <f>IF(OR(L2763="",P2763=""),"",IF(COUNTIFS(L$6:L2763,L2763,P$6:P2763,"?*")=1,MAX(AI$5:AI2762)+1,""))</f>
        <v/>
      </c>
    </row>
    <row r="2764">
      <c r="B2764" s="47" t="n"/>
      <c r="C2764" s="48" t="n"/>
      <c r="D2764" s="48" t="n"/>
      <c r="E2764" s="48" t="n"/>
      <c r="F2764" s="48" t="n"/>
      <c r="G2764" s="49" t="n"/>
      <c r="H2764" s="48" t="n"/>
      <c r="I2764" s="50" t="n"/>
      <c r="J2764" s="48" t="n"/>
      <c r="K2764" s="48" t="n"/>
      <c r="L2764" s="48" t="n"/>
      <c r="M2764" s="48" t="n"/>
      <c r="N2764" s="48" t="n"/>
      <c r="O2764" s="51">
        <f>IF(AND(B2764="",G2764="",C2764="",D2764="",J2764=""),"",IF(B2764="","⚠ Falta fecha",IF(G2764="","⚠ Falta monto",IF(Q2764="","⚠ Falta cuenta",IF(ISNA(MATCH(Q2764,ctaNombre,0)),"⚠ Cuenta no registrada",IF(AND(OR(P2764="Gasto",P2764="Reembolso"),D2764=""),"⚠ Falta categoría",IF(AND(D2764&lt;&gt;"",E2764&lt;&gt;"",ISNA(MATCH(D2764&amp;"|"&amp;E2764,catClave,0))),"⚠ Subcategoría no corresponde",IF(AND(OR(P2764="Transferencia",P2764="Pago tarjeta"),K2764=""),"⚠ Falta cuenta destino",IF(AND(K2764&lt;&gt;"",P2764&lt;&gt;"Transferencia",P2764&lt;&gt;"Pago tarjeta"),"⚠ Destino solo aplica a transferencias",IF(AND(K2764&lt;&gt;"",K2764=Q2764),"⚠ Origen igual a destino",IF(AND(K2764&lt;&gt;"",ISNA(MATCH(K2764,ctaNombre,0))),"⚠ Destino no registrado",IF(AND(P2764="Pago tarjeta",AE2764&lt;&gt;"Tarjeta de crédito"),"⚠ El destino debe ser tarjeta de crédito",IF(AND(P2764="Gasto",E2764="Depósitos y retiros"),"⚠ Usa tipo Transferencia",IF(AND(P2764="Resultado trading",AD2764&lt;&gt;"Cuenta de trading"),"⚠ Usa una cuenta de trading",IF(AND(G2764&lt;=0,P2764&lt;&gt;"Ajuste",P2764&lt;&gt;"Resultado trading"),"⚠ El monto debe ser positivo","✓")))))))))))))))</f>
        <v/>
      </c>
      <c r="P2764" s="52">
        <f>IF(OR(B2764="",G2764=""),"",IF(C2764="","Gasto",C2764))</f>
        <v/>
      </c>
      <c r="Q2764" s="52">
        <f>IF(P2764="","",IF(J2764&lt;&gt;"",J2764,CuentaPred&amp;""))</f>
        <v/>
      </c>
      <c r="R2764" s="52">
        <f>IF(P2764="","",IF(ISNUMBER(I2764),I2764,TasaUSD))</f>
        <v/>
      </c>
      <c r="S2764" s="53">
        <f>IF(P2764="","",IF(H2764="USD",G2764*R2764,G2764))</f>
        <v/>
      </c>
      <c r="T2764" s="53">
        <f>IF(P2764="","",IF(H2764="USD",G2764,IF(R2764&gt;0,G2764/R2764,0)))</f>
        <v/>
      </c>
      <c r="U2764" s="53">
        <f>IF(P2764="","",IF(P2764="Gasto",S2764,IF(P2764="Reembolso",-S2764,0)))</f>
        <v/>
      </c>
      <c r="V2764" s="53">
        <f>IF(P2764="","",IF(P2764="Ingreso",S2764,0))</f>
        <v/>
      </c>
      <c r="W2764" s="53">
        <f>IF(P2764="","",IF(P2764="Resultado trading",S2764,0))</f>
        <v/>
      </c>
      <c r="X2764" s="52">
        <f>IF(OR(P2764="Gasto",P2764="Reembolso"),IF(M2764&lt;&gt;"",M2764,IFERROR(INDEX(catClasif,MATCH(D2764&amp;"|"&amp;E2764,catClave,0))&amp;"","Variable")),"")</f>
        <v/>
      </c>
      <c r="Y2764" s="52">
        <f>IF(P2764="","",IFERROR(INDEX(catGrupo,MATCH(D2764&amp;"|"&amp;E2764,catClave,0))&amp;"",""))</f>
        <v/>
      </c>
      <c r="Z2764" s="52">
        <f>IF(P2764="","",WEEKDAY(B2764,2))</f>
        <v/>
      </c>
      <c r="AA2764" s="52">
        <f>IF(P2764="","",IF(AND(P2764="Gasto",X2764="Variable",D2764&lt;&gt;catTrading,S2764&gt;0,S2764&lt;=Umbral),1,0))</f>
        <v/>
      </c>
      <c r="AB2764" s="52">
        <f>IF(OR(P2764="",Q2764=""),"",IFERROR(IF(INDEX(ctaVinc,MATCH(Q2764,ctaNombre,0))&amp;""&lt;&gt;"",INDEX(ctaVinc,MATCH(Q2764,ctaNombre,0))&amp;"",Q2764),Q2764))</f>
        <v/>
      </c>
      <c r="AC2764" s="52">
        <f>IF(OR(K2764="",AND(P2764&lt;&gt;"Transferencia",P2764&lt;&gt;"Pago tarjeta")),"",IFERROR(IF(INDEX(ctaVinc,MATCH(K2764,ctaNombre,0))&amp;""&lt;&gt;"",INDEX(ctaVinc,MATCH(K2764,ctaNombre,0))&amp;"",K2764),K2764))</f>
        <v/>
      </c>
      <c r="AD2764" s="52">
        <f>IF(AB2764="","",IFERROR(INDEX(ctaTipo,MATCH(AB2764,ctaNombre,0))&amp;"",""))</f>
        <v/>
      </c>
      <c r="AE2764" s="52">
        <f>IF(AC2764="","",IFERROR(INDEX(ctaTipo,MATCH(AC2764,ctaNombre,0))&amp;"",""))</f>
        <v/>
      </c>
      <c r="AF2764" s="53">
        <f>IF(OR(P2764="",AB2764=""),"",IF(OR(P2764="Gasto",P2764="Transferencia",P2764="Pago tarjeta"),-1,1)*IF(IFERROR(INDEX(ctaMoneda,MATCH(AB2764,ctaNombre,0))&amp;"","DOP")="USD",T2764,S2764))</f>
        <v/>
      </c>
      <c r="AG2764" s="53">
        <f>IF(AC2764="","",IF(IFERROR(INDEX(ctaMoneda,MATCH(AC2764,ctaNombre,0))&amp;"","DOP")="USD",T2764,S2764))</f>
        <v/>
      </c>
      <c r="AH2764" s="53">
        <f>IF(P2764="","",IF(AND(AD2764&lt;&gt;"",COUNTIFS(tcTipo,AD2764,tcLiq,"Sí")&gt;0),IF(OR(P2764="Gasto",P2764="Transferencia",P2764="Pago tarjeta"),-1,1)*S2764,0)+IF(AND(AE2764&lt;&gt;"",COUNTIFS(tcTipo,AE2764,tcLiq,"Sí")&gt;0),S2764,0))</f>
        <v/>
      </c>
      <c r="AI2764" s="52">
        <f>IF(OR(L2764="",P2764=""),"",IF(COUNTIFS(L$6:L2764,L2764,P$6:P2764,"?*")=1,MAX(AI$5:AI2763)+1,""))</f>
        <v/>
      </c>
    </row>
    <row r="2765">
      <c r="B2765" s="47" t="n"/>
      <c r="C2765" s="48" t="n"/>
      <c r="D2765" s="48" t="n"/>
      <c r="E2765" s="48" t="n"/>
      <c r="F2765" s="48" t="n"/>
      <c r="G2765" s="49" t="n"/>
      <c r="H2765" s="48" t="n"/>
      <c r="I2765" s="50" t="n"/>
      <c r="J2765" s="48" t="n"/>
      <c r="K2765" s="48" t="n"/>
      <c r="L2765" s="48" t="n"/>
      <c r="M2765" s="48" t="n"/>
      <c r="N2765" s="48" t="n"/>
      <c r="O2765" s="51">
        <f>IF(AND(B2765="",G2765="",C2765="",D2765="",J2765=""),"",IF(B2765="","⚠ Falta fecha",IF(G2765="","⚠ Falta monto",IF(Q2765="","⚠ Falta cuenta",IF(ISNA(MATCH(Q2765,ctaNombre,0)),"⚠ Cuenta no registrada",IF(AND(OR(P2765="Gasto",P2765="Reembolso"),D2765=""),"⚠ Falta categoría",IF(AND(D2765&lt;&gt;"",E2765&lt;&gt;"",ISNA(MATCH(D2765&amp;"|"&amp;E2765,catClave,0))),"⚠ Subcategoría no corresponde",IF(AND(OR(P2765="Transferencia",P2765="Pago tarjeta"),K2765=""),"⚠ Falta cuenta destino",IF(AND(K2765&lt;&gt;"",P2765&lt;&gt;"Transferencia",P2765&lt;&gt;"Pago tarjeta"),"⚠ Destino solo aplica a transferencias",IF(AND(K2765&lt;&gt;"",K2765=Q2765),"⚠ Origen igual a destino",IF(AND(K2765&lt;&gt;"",ISNA(MATCH(K2765,ctaNombre,0))),"⚠ Destino no registrado",IF(AND(P2765="Pago tarjeta",AE2765&lt;&gt;"Tarjeta de crédito"),"⚠ El destino debe ser tarjeta de crédito",IF(AND(P2765="Gasto",E2765="Depósitos y retiros"),"⚠ Usa tipo Transferencia",IF(AND(P2765="Resultado trading",AD2765&lt;&gt;"Cuenta de trading"),"⚠ Usa una cuenta de trading",IF(AND(G2765&lt;=0,P2765&lt;&gt;"Ajuste",P2765&lt;&gt;"Resultado trading"),"⚠ El monto debe ser positivo","✓")))))))))))))))</f>
        <v/>
      </c>
      <c r="P2765" s="52">
        <f>IF(OR(B2765="",G2765=""),"",IF(C2765="","Gasto",C2765))</f>
        <v/>
      </c>
      <c r="Q2765" s="52">
        <f>IF(P2765="","",IF(J2765&lt;&gt;"",J2765,CuentaPred&amp;""))</f>
        <v/>
      </c>
      <c r="R2765" s="52">
        <f>IF(P2765="","",IF(ISNUMBER(I2765),I2765,TasaUSD))</f>
        <v/>
      </c>
      <c r="S2765" s="53">
        <f>IF(P2765="","",IF(H2765="USD",G2765*R2765,G2765))</f>
        <v/>
      </c>
      <c r="T2765" s="53">
        <f>IF(P2765="","",IF(H2765="USD",G2765,IF(R2765&gt;0,G2765/R2765,0)))</f>
        <v/>
      </c>
      <c r="U2765" s="53">
        <f>IF(P2765="","",IF(P2765="Gasto",S2765,IF(P2765="Reembolso",-S2765,0)))</f>
        <v/>
      </c>
      <c r="V2765" s="53">
        <f>IF(P2765="","",IF(P2765="Ingreso",S2765,0))</f>
        <v/>
      </c>
      <c r="W2765" s="53">
        <f>IF(P2765="","",IF(P2765="Resultado trading",S2765,0))</f>
        <v/>
      </c>
      <c r="X2765" s="52">
        <f>IF(OR(P2765="Gasto",P2765="Reembolso"),IF(M2765&lt;&gt;"",M2765,IFERROR(INDEX(catClasif,MATCH(D2765&amp;"|"&amp;E2765,catClave,0))&amp;"","Variable")),"")</f>
        <v/>
      </c>
      <c r="Y2765" s="52">
        <f>IF(P2765="","",IFERROR(INDEX(catGrupo,MATCH(D2765&amp;"|"&amp;E2765,catClave,0))&amp;"",""))</f>
        <v/>
      </c>
      <c r="Z2765" s="52">
        <f>IF(P2765="","",WEEKDAY(B2765,2))</f>
        <v/>
      </c>
      <c r="AA2765" s="52">
        <f>IF(P2765="","",IF(AND(P2765="Gasto",X2765="Variable",D2765&lt;&gt;catTrading,S2765&gt;0,S2765&lt;=Umbral),1,0))</f>
        <v/>
      </c>
      <c r="AB2765" s="52">
        <f>IF(OR(P2765="",Q2765=""),"",IFERROR(IF(INDEX(ctaVinc,MATCH(Q2765,ctaNombre,0))&amp;""&lt;&gt;"",INDEX(ctaVinc,MATCH(Q2765,ctaNombre,0))&amp;"",Q2765),Q2765))</f>
        <v/>
      </c>
      <c r="AC2765" s="52">
        <f>IF(OR(K2765="",AND(P2765&lt;&gt;"Transferencia",P2765&lt;&gt;"Pago tarjeta")),"",IFERROR(IF(INDEX(ctaVinc,MATCH(K2765,ctaNombre,0))&amp;""&lt;&gt;"",INDEX(ctaVinc,MATCH(K2765,ctaNombre,0))&amp;"",K2765),K2765))</f>
        <v/>
      </c>
      <c r="AD2765" s="52">
        <f>IF(AB2765="","",IFERROR(INDEX(ctaTipo,MATCH(AB2765,ctaNombre,0))&amp;"",""))</f>
        <v/>
      </c>
      <c r="AE2765" s="52">
        <f>IF(AC2765="","",IFERROR(INDEX(ctaTipo,MATCH(AC2765,ctaNombre,0))&amp;"",""))</f>
        <v/>
      </c>
      <c r="AF2765" s="53">
        <f>IF(OR(P2765="",AB2765=""),"",IF(OR(P2765="Gasto",P2765="Transferencia",P2765="Pago tarjeta"),-1,1)*IF(IFERROR(INDEX(ctaMoneda,MATCH(AB2765,ctaNombre,0))&amp;"","DOP")="USD",T2765,S2765))</f>
        <v/>
      </c>
      <c r="AG2765" s="53">
        <f>IF(AC2765="","",IF(IFERROR(INDEX(ctaMoneda,MATCH(AC2765,ctaNombre,0))&amp;"","DOP")="USD",T2765,S2765))</f>
        <v/>
      </c>
      <c r="AH2765" s="53">
        <f>IF(P2765="","",IF(AND(AD2765&lt;&gt;"",COUNTIFS(tcTipo,AD2765,tcLiq,"Sí")&gt;0),IF(OR(P2765="Gasto",P2765="Transferencia",P2765="Pago tarjeta"),-1,1)*S2765,0)+IF(AND(AE2765&lt;&gt;"",COUNTIFS(tcTipo,AE2765,tcLiq,"Sí")&gt;0),S2765,0))</f>
        <v/>
      </c>
      <c r="AI2765" s="52">
        <f>IF(OR(L2765="",P2765=""),"",IF(COUNTIFS(L$6:L2765,L2765,P$6:P2765,"?*")=1,MAX(AI$5:AI2764)+1,""))</f>
        <v/>
      </c>
    </row>
    <row r="2766">
      <c r="B2766" s="47" t="n"/>
      <c r="C2766" s="48" t="n"/>
      <c r="D2766" s="48" t="n"/>
      <c r="E2766" s="48" t="n"/>
      <c r="F2766" s="48" t="n"/>
      <c r="G2766" s="49" t="n"/>
      <c r="H2766" s="48" t="n"/>
      <c r="I2766" s="50" t="n"/>
      <c r="J2766" s="48" t="n"/>
      <c r="K2766" s="48" t="n"/>
      <c r="L2766" s="48" t="n"/>
      <c r="M2766" s="48" t="n"/>
      <c r="N2766" s="48" t="n"/>
      <c r="O2766" s="51">
        <f>IF(AND(B2766="",G2766="",C2766="",D2766="",J2766=""),"",IF(B2766="","⚠ Falta fecha",IF(G2766="","⚠ Falta monto",IF(Q2766="","⚠ Falta cuenta",IF(ISNA(MATCH(Q2766,ctaNombre,0)),"⚠ Cuenta no registrada",IF(AND(OR(P2766="Gasto",P2766="Reembolso"),D2766=""),"⚠ Falta categoría",IF(AND(D2766&lt;&gt;"",E2766&lt;&gt;"",ISNA(MATCH(D2766&amp;"|"&amp;E2766,catClave,0))),"⚠ Subcategoría no corresponde",IF(AND(OR(P2766="Transferencia",P2766="Pago tarjeta"),K2766=""),"⚠ Falta cuenta destino",IF(AND(K2766&lt;&gt;"",P2766&lt;&gt;"Transferencia",P2766&lt;&gt;"Pago tarjeta"),"⚠ Destino solo aplica a transferencias",IF(AND(K2766&lt;&gt;"",K2766=Q2766),"⚠ Origen igual a destino",IF(AND(K2766&lt;&gt;"",ISNA(MATCH(K2766,ctaNombre,0))),"⚠ Destino no registrado",IF(AND(P2766="Pago tarjeta",AE2766&lt;&gt;"Tarjeta de crédito"),"⚠ El destino debe ser tarjeta de crédito",IF(AND(P2766="Gasto",E2766="Depósitos y retiros"),"⚠ Usa tipo Transferencia",IF(AND(P2766="Resultado trading",AD2766&lt;&gt;"Cuenta de trading"),"⚠ Usa una cuenta de trading",IF(AND(G2766&lt;=0,P2766&lt;&gt;"Ajuste",P2766&lt;&gt;"Resultado trading"),"⚠ El monto debe ser positivo","✓")))))))))))))))</f>
        <v/>
      </c>
      <c r="P2766" s="52">
        <f>IF(OR(B2766="",G2766=""),"",IF(C2766="","Gasto",C2766))</f>
        <v/>
      </c>
      <c r="Q2766" s="52">
        <f>IF(P2766="","",IF(J2766&lt;&gt;"",J2766,CuentaPred&amp;""))</f>
        <v/>
      </c>
      <c r="R2766" s="52">
        <f>IF(P2766="","",IF(ISNUMBER(I2766),I2766,TasaUSD))</f>
        <v/>
      </c>
      <c r="S2766" s="53">
        <f>IF(P2766="","",IF(H2766="USD",G2766*R2766,G2766))</f>
        <v/>
      </c>
      <c r="T2766" s="53">
        <f>IF(P2766="","",IF(H2766="USD",G2766,IF(R2766&gt;0,G2766/R2766,0)))</f>
        <v/>
      </c>
      <c r="U2766" s="53">
        <f>IF(P2766="","",IF(P2766="Gasto",S2766,IF(P2766="Reembolso",-S2766,0)))</f>
        <v/>
      </c>
      <c r="V2766" s="53">
        <f>IF(P2766="","",IF(P2766="Ingreso",S2766,0))</f>
        <v/>
      </c>
      <c r="W2766" s="53">
        <f>IF(P2766="","",IF(P2766="Resultado trading",S2766,0))</f>
        <v/>
      </c>
      <c r="X2766" s="52">
        <f>IF(OR(P2766="Gasto",P2766="Reembolso"),IF(M2766&lt;&gt;"",M2766,IFERROR(INDEX(catClasif,MATCH(D2766&amp;"|"&amp;E2766,catClave,0))&amp;"","Variable")),"")</f>
        <v/>
      </c>
      <c r="Y2766" s="52">
        <f>IF(P2766="","",IFERROR(INDEX(catGrupo,MATCH(D2766&amp;"|"&amp;E2766,catClave,0))&amp;"",""))</f>
        <v/>
      </c>
      <c r="Z2766" s="52">
        <f>IF(P2766="","",WEEKDAY(B2766,2))</f>
        <v/>
      </c>
      <c r="AA2766" s="52">
        <f>IF(P2766="","",IF(AND(P2766="Gasto",X2766="Variable",D2766&lt;&gt;catTrading,S2766&gt;0,S2766&lt;=Umbral),1,0))</f>
        <v/>
      </c>
      <c r="AB2766" s="52">
        <f>IF(OR(P2766="",Q2766=""),"",IFERROR(IF(INDEX(ctaVinc,MATCH(Q2766,ctaNombre,0))&amp;""&lt;&gt;"",INDEX(ctaVinc,MATCH(Q2766,ctaNombre,0))&amp;"",Q2766),Q2766))</f>
        <v/>
      </c>
      <c r="AC2766" s="52">
        <f>IF(OR(K2766="",AND(P2766&lt;&gt;"Transferencia",P2766&lt;&gt;"Pago tarjeta")),"",IFERROR(IF(INDEX(ctaVinc,MATCH(K2766,ctaNombre,0))&amp;""&lt;&gt;"",INDEX(ctaVinc,MATCH(K2766,ctaNombre,0))&amp;"",K2766),K2766))</f>
        <v/>
      </c>
      <c r="AD2766" s="52">
        <f>IF(AB2766="","",IFERROR(INDEX(ctaTipo,MATCH(AB2766,ctaNombre,0))&amp;"",""))</f>
        <v/>
      </c>
      <c r="AE2766" s="52">
        <f>IF(AC2766="","",IFERROR(INDEX(ctaTipo,MATCH(AC2766,ctaNombre,0))&amp;"",""))</f>
        <v/>
      </c>
      <c r="AF2766" s="53">
        <f>IF(OR(P2766="",AB2766=""),"",IF(OR(P2766="Gasto",P2766="Transferencia",P2766="Pago tarjeta"),-1,1)*IF(IFERROR(INDEX(ctaMoneda,MATCH(AB2766,ctaNombre,0))&amp;"","DOP")="USD",T2766,S2766))</f>
        <v/>
      </c>
      <c r="AG2766" s="53">
        <f>IF(AC2766="","",IF(IFERROR(INDEX(ctaMoneda,MATCH(AC2766,ctaNombre,0))&amp;"","DOP")="USD",T2766,S2766))</f>
        <v/>
      </c>
      <c r="AH2766" s="53">
        <f>IF(P2766="","",IF(AND(AD2766&lt;&gt;"",COUNTIFS(tcTipo,AD2766,tcLiq,"Sí")&gt;0),IF(OR(P2766="Gasto",P2766="Transferencia",P2766="Pago tarjeta"),-1,1)*S2766,0)+IF(AND(AE2766&lt;&gt;"",COUNTIFS(tcTipo,AE2766,tcLiq,"Sí")&gt;0),S2766,0))</f>
        <v/>
      </c>
      <c r="AI2766" s="52">
        <f>IF(OR(L2766="",P2766=""),"",IF(COUNTIFS(L$6:L2766,L2766,P$6:P2766,"?*")=1,MAX(AI$5:AI2765)+1,""))</f>
        <v/>
      </c>
    </row>
    <row r="2767">
      <c r="B2767" s="47" t="n"/>
      <c r="C2767" s="48" t="n"/>
      <c r="D2767" s="48" t="n"/>
      <c r="E2767" s="48" t="n"/>
      <c r="F2767" s="48" t="n"/>
      <c r="G2767" s="49" t="n"/>
      <c r="H2767" s="48" t="n"/>
      <c r="I2767" s="50" t="n"/>
      <c r="J2767" s="48" t="n"/>
      <c r="K2767" s="48" t="n"/>
      <c r="L2767" s="48" t="n"/>
      <c r="M2767" s="48" t="n"/>
      <c r="N2767" s="48" t="n"/>
      <c r="O2767" s="51">
        <f>IF(AND(B2767="",G2767="",C2767="",D2767="",J2767=""),"",IF(B2767="","⚠ Falta fecha",IF(G2767="","⚠ Falta monto",IF(Q2767="","⚠ Falta cuenta",IF(ISNA(MATCH(Q2767,ctaNombre,0)),"⚠ Cuenta no registrada",IF(AND(OR(P2767="Gasto",P2767="Reembolso"),D2767=""),"⚠ Falta categoría",IF(AND(D2767&lt;&gt;"",E2767&lt;&gt;"",ISNA(MATCH(D2767&amp;"|"&amp;E2767,catClave,0))),"⚠ Subcategoría no corresponde",IF(AND(OR(P2767="Transferencia",P2767="Pago tarjeta"),K2767=""),"⚠ Falta cuenta destino",IF(AND(K2767&lt;&gt;"",P2767&lt;&gt;"Transferencia",P2767&lt;&gt;"Pago tarjeta"),"⚠ Destino solo aplica a transferencias",IF(AND(K2767&lt;&gt;"",K2767=Q2767),"⚠ Origen igual a destino",IF(AND(K2767&lt;&gt;"",ISNA(MATCH(K2767,ctaNombre,0))),"⚠ Destino no registrado",IF(AND(P2767="Pago tarjeta",AE2767&lt;&gt;"Tarjeta de crédito"),"⚠ El destino debe ser tarjeta de crédito",IF(AND(P2767="Gasto",E2767="Depósitos y retiros"),"⚠ Usa tipo Transferencia",IF(AND(P2767="Resultado trading",AD2767&lt;&gt;"Cuenta de trading"),"⚠ Usa una cuenta de trading",IF(AND(G2767&lt;=0,P2767&lt;&gt;"Ajuste",P2767&lt;&gt;"Resultado trading"),"⚠ El monto debe ser positivo","✓")))))))))))))))</f>
        <v/>
      </c>
      <c r="P2767" s="52">
        <f>IF(OR(B2767="",G2767=""),"",IF(C2767="","Gasto",C2767))</f>
        <v/>
      </c>
      <c r="Q2767" s="52">
        <f>IF(P2767="","",IF(J2767&lt;&gt;"",J2767,CuentaPred&amp;""))</f>
        <v/>
      </c>
      <c r="R2767" s="52">
        <f>IF(P2767="","",IF(ISNUMBER(I2767),I2767,TasaUSD))</f>
        <v/>
      </c>
      <c r="S2767" s="53">
        <f>IF(P2767="","",IF(H2767="USD",G2767*R2767,G2767))</f>
        <v/>
      </c>
      <c r="T2767" s="53">
        <f>IF(P2767="","",IF(H2767="USD",G2767,IF(R2767&gt;0,G2767/R2767,0)))</f>
        <v/>
      </c>
      <c r="U2767" s="53">
        <f>IF(P2767="","",IF(P2767="Gasto",S2767,IF(P2767="Reembolso",-S2767,0)))</f>
        <v/>
      </c>
      <c r="V2767" s="53">
        <f>IF(P2767="","",IF(P2767="Ingreso",S2767,0))</f>
        <v/>
      </c>
      <c r="W2767" s="53">
        <f>IF(P2767="","",IF(P2767="Resultado trading",S2767,0))</f>
        <v/>
      </c>
      <c r="X2767" s="52">
        <f>IF(OR(P2767="Gasto",P2767="Reembolso"),IF(M2767&lt;&gt;"",M2767,IFERROR(INDEX(catClasif,MATCH(D2767&amp;"|"&amp;E2767,catClave,0))&amp;"","Variable")),"")</f>
        <v/>
      </c>
      <c r="Y2767" s="52">
        <f>IF(P2767="","",IFERROR(INDEX(catGrupo,MATCH(D2767&amp;"|"&amp;E2767,catClave,0))&amp;"",""))</f>
        <v/>
      </c>
      <c r="Z2767" s="52">
        <f>IF(P2767="","",WEEKDAY(B2767,2))</f>
        <v/>
      </c>
      <c r="AA2767" s="52">
        <f>IF(P2767="","",IF(AND(P2767="Gasto",X2767="Variable",D2767&lt;&gt;catTrading,S2767&gt;0,S2767&lt;=Umbral),1,0))</f>
        <v/>
      </c>
      <c r="AB2767" s="52">
        <f>IF(OR(P2767="",Q2767=""),"",IFERROR(IF(INDEX(ctaVinc,MATCH(Q2767,ctaNombre,0))&amp;""&lt;&gt;"",INDEX(ctaVinc,MATCH(Q2767,ctaNombre,0))&amp;"",Q2767),Q2767))</f>
        <v/>
      </c>
      <c r="AC2767" s="52">
        <f>IF(OR(K2767="",AND(P2767&lt;&gt;"Transferencia",P2767&lt;&gt;"Pago tarjeta")),"",IFERROR(IF(INDEX(ctaVinc,MATCH(K2767,ctaNombre,0))&amp;""&lt;&gt;"",INDEX(ctaVinc,MATCH(K2767,ctaNombre,0))&amp;"",K2767),K2767))</f>
        <v/>
      </c>
      <c r="AD2767" s="52">
        <f>IF(AB2767="","",IFERROR(INDEX(ctaTipo,MATCH(AB2767,ctaNombre,0))&amp;"",""))</f>
        <v/>
      </c>
      <c r="AE2767" s="52">
        <f>IF(AC2767="","",IFERROR(INDEX(ctaTipo,MATCH(AC2767,ctaNombre,0))&amp;"",""))</f>
        <v/>
      </c>
      <c r="AF2767" s="53">
        <f>IF(OR(P2767="",AB2767=""),"",IF(OR(P2767="Gasto",P2767="Transferencia",P2767="Pago tarjeta"),-1,1)*IF(IFERROR(INDEX(ctaMoneda,MATCH(AB2767,ctaNombre,0))&amp;"","DOP")="USD",T2767,S2767))</f>
        <v/>
      </c>
      <c r="AG2767" s="53">
        <f>IF(AC2767="","",IF(IFERROR(INDEX(ctaMoneda,MATCH(AC2767,ctaNombre,0))&amp;"","DOP")="USD",T2767,S2767))</f>
        <v/>
      </c>
      <c r="AH2767" s="53">
        <f>IF(P2767="","",IF(AND(AD2767&lt;&gt;"",COUNTIFS(tcTipo,AD2767,tcLiq,"Sí")&gt;0),IF(OR(P2767="Gasto",P2767="Transferencia",P2767="Pago tarjeta"),-1,1)*S2767,0)+IF(AND(AE2767&lt;&gt;"",COUNTIFS(tcTipo,AE2767,tcLiq,"Sí")&gt;0),S2767,0))</f>
        <v/>
      </c>
      <c r="AI2767" s="52">
        <f>IF(OR(L2767="",P2767=""),"",IF(COUNTIFS(L$6:L2767,L2767,P$6:P2767,"?*")=1,MAX(AI$5:AI2766)+1,""))</f>
        <v/>
      </c>
    </row>
    <row r="2768">
      <c r="B2768" s="47" t="n"/>
      <c r="C2768" s="48" t="n"/>
      <c r="D2768" s="48" t="n"/>
      <c r="E2768" s="48" t="n"/>
      <c r="F2768" s="48" t="n"/>
      <c r="G2768" s="49" t="n"/>
      <c r="H2768" s="48" t="n"/>
      <c r="I2768" s="50" t="n"/>
      <c r="J2768" s="48" t="n"/>
      <c r="K2768" s="48" t="n"/>
      <c r="L2768" s="48" t="n"/>
      <c r="M2768" s="48" t="n"/>
      <c r="N2768" s="48" t="n"/>
      <c r="O2768" s="51">
        <f>IF(AND(B2768="",G2768="",C2768="",D2768="",J2768=""),"",IF(B2768="","⚠ Falta fecha",IF(G2768="","⚠ Falta monto",IF(Q2768="","⚠ Falta cuenta",IF(ISNA(MATCH(Q2768,ctaNombre,0)),"⚠ Cuenta no registrada",IF(AND(OR(P2768="Gasto",P2768="Reembolso"),D2768=""),"⚠ Falta categoría",IF(AND(D2768&lt;&gt;"",E2768&lt;&gt;"",ISNA(MATCH(D2768&amp;"|"&amp;E2768,catClave,0))),"⚠ Subcategoría no corresponde",IF(AND(OR(P2768="Transferencia",P2768="Pago tarjeta"),K2768=""),"⚠ Falta cuenta destino",IF(AND(K2768&lt;&gt;"",P2768&lt;&gt;"Transferencia",P2768&lt;&gt;"Pago tarjeta"),"⚠ Destino solo aplica a transferencias",IF(AND(K2768&lt;&gt;"",K2768=Q2768),"⚠ Origen igual a destino",IF(AND(K2768&lt;&gt;"",ISNA(MATCH(K2768,ctaNombre,0))),"⚠ Destino no registrado",IF(AND(P2768="Pago tarjeta",AE2768&lt;&gt;"Tarjeta de crédito"),"⚠ El destino debe ser tarjeta de crédito",IF(AND(P2768="Gasto",E2768="Depósitos y retiros"),"⚠ Usa tipo Transferencia",IF(AND(P2768="Resultado trading",AD2768&lt;&gt;"Cuenta de trading"),"⚠ Usa una cuenta de trading",IF(AND(G2768&lt;=0,P2768&lt;&gt;"Ajuste",P2768&lt;&gt;"Resultado trading"),"⚠ El monto debe ser positivo","✓")))))))))))))))</f>
        <v/>
      </c>
      <c r="P2768" s="52">
        <f>IF(OR(B2768="",G2768=""),"",IF(C2768="","Gasto",C2768))</f>
        <v/>
      </c>
      <c r="Q2768" s="52">
        <f>IF(P2768="","",IF(J2768&lt;&gt;"",J2768,CuentaPred&amp;""))</f>
        <v/>
      </c>
      <c r="R2768" s="52">
        <f>IF(P2768="","",IF(ISNUMBER(I2768),I2768,TasaUSD))</f>
        <v/>
      </c>
      <c r="S2768" s="53">
        <f>IF(P2768="","",IF(H2768="USD",G2768*R2768,G2768))</f>
        <v/>
      </c>
      <c r="T2768" s="53">
        <f>IF(P2768="","",IF(H2768="USD",G2768,IF(R2768&gt;0,G2768/R2768,0)))</f>
        <v/>
      </c>
      <c r="U2768" s="53">
        <f>IF(P2768="","",IF(P2768="Gasto",S2768,IF(P2768="Reembolso",-S2768,0)))</f>
        <v/>
      </c>
      <c r="V2768" s="53">
        <f>IF(P2768="","",IF(P2768="Ingreso",S2768,0))</f>
        <v/>
      </c>
      <c r="W2768" s="53">
        <f>IF(P2768="","",IF(P2768="Resultado trading",S2768,0))</f>
        <v/>
      </c>
      <c r="X2768" s="52">
        <f>IF(OR(P2768="Gasto",P2768="Reembolso"),IF(M2768&lt;&gt;"",M2768,IFERROR(INDEX(catClasif,MATCH(D2768&amp;"|"&amp;E2768,catClave,0))&amp;"","Variable")),"")</f>
        <v/>
      </c>
      <c r="Y2768" s="52">
        <f>IF(P2768="","",IFERROR(INDEX(catGrupo,MATCH(D2768&amp;"|"&amp;E2768,catClave,0))&amp;"",""))</f>
        <v/>
      </c>
      <c r="Z2768" s="52">
        <f>IF(P2768="","",WEEKDAY(B2768,2))</f>
        <v/>
      </c>
      <c r="AA2768" s="52">
        <f>IF(P2768="","",IF(AND(P2768="Gasto",X2768="Variable",D2768&lt;&gt;catTrading,S2768&gt;0,S2768&lt;=Umbral),1,0))</f>
        <v/>
      </c>
      <c r="AB2768" s="52">
        <f>IF(OR(P2768="",Q2768=""),"",IFERROR(IF(INDEX(ctaVinc,MATCH(Q2768,ctaNombre,0))&amp;""&lt;&gt;"",INDEX(ctaVinc,MATCH(Q2768,ctaNombre,0))&amp;"",Q2768),Q2768))</f>
        <v/>
      </c>
      <c r="AC2768" s="52">
        <f>IF(OR(K2768="",AND(P2768&lt;&gt;"Transferencia",P2768&lt;&gt;"Pago tarjeta")),"",IFERROR(IF(INDEX(ctaVinc,MATCH(K2768,ctaNombre,0))&amp;""&lt;&gt;"",INDEX(ctaVinc,MATCH(K2768,ctaNombre,0))&amp;"",K2768),K2768))</f>
        <v/>
      </c>
      <c r="AD2768" s="52">
        <f>IF(AB2768="","",IFERROR(INDEX(ctaTipo,MATCH(AB2768,ctaNombre,0))&amp;"",""))</f>
        <v/>
      </c>
      <c r="AE2768" s="52">
        <f>IF(AC2768="","",IFERROR(INDEX(ctaTipo,MATCH(AC2768,ctaNombre,0))&amp;"",""))</f>
        <v/>
      </c>
      <c r="AF2768" s="53">
        <f>IF(OR(P2768="",AB2768=""),"",IF(OR(P2768="Gasto",P2768="Transferencia",P2768="Pago tarjeta"),-1,1)*IF(IFERROR(INDEX(ctaMoneda,MATCH(AB2768,ctaNombre,0))&amp;"","DOP")="USD",T2768,S2768))</f>
        <v/>
      </c>
      <c r="AG2768" s="53">
        <f>IF(AC2768="","",IF(IFERROR(INDEX(ctaMoneda,MATCH(AC2768,ctaNombre,0))&amp;"","DOP")="USD",T2768,S2768))</f>
        <v/>
      </c>
      <c r="AH2768" s="53">
        <f>IF(P2768="","",IF(AND(AD2768&lt;&gt;"",COUNTIFS(tcTipo,AD2768,tcLiq,"Sí")&gt;0),IF(OR(P2768="Gasto",P2768="Transferencia",P2768="Pago tarjeta"),-1,1)*S2768,0)+IF(AND(AE2768&lt;&gt;"",COUNTIFS(tcTipo,AE2768,tcLiq,"Sí")&gt;0),S2768,0))</f>
        <v/>
      </c>
      <c r="AI2768" s="52">
        <f>IF(OR(L2768="",P2768=""),"",IF(COUNTIFS(L$6:L2768,L2768,P$6:P2768,"?*")=1,MAX(AI$5:AI2767)+1,""))</f>
        <v/>
      </c>
    </row>
    <row r="2769">
      <c r="B2769" s="47" t="n"/>
      <c r="C2769" s="48" t="n"/>
      <c r="D2769" s="48" t="n"/>
      <c r="E2769" s="48" t="n"/>
      <c r="F2769" s="48" t="n"/>
      <c r="G2769" s="49" t="n"/>
      <c r="H2769" s="48" t="n"/>
      <c r="I2769" s="50" t="n"/>
      <c r="J2769" s="48" t="n"/>
      <c r="K2769" s="48" t="n"/>
      <c r="L2769" s="48" t="n"/>
      <c r="M2769" s="48" t="n"/>
      <c r="N2769" s="48" t="n"/>
      <c r="O2769" s="51">
        <f>IF(AND(B2769="",G2769="",C2769="",D2769="",J2769=""),"",IF(B2769="","⚠ Falta fecha",IF(G2769="","⚠ Falta monto",IF(Q2769="","⚠ Falta cuenta",IF(ISNA(MATCH(Q2769,ctaNombre,0)),"⚠ Cuenta no registrada",IF(AND(OR(P2769="Gasto",P2769="Reembolso"),D2769=""),"⚠ Falta categoría",IF(AND(D2769&lt;&gt;"",E2769&lt;&gt;"",ISNA(MATCH(D2769&amp;"|"&amp;E2769,catClave,0))),"⚠ Subcategoría no corresponde",IF(AND(OR(P2769="Transferencia",P2769="Pago tarjeta"),K2769=""),"⚠ Falta cuenta destino",IF(AND(K2769&lt;&gt;"",P2769&lt;&gt;"Transferencia",P2769&lt;&gt;"Pago tarjeta"),"⚠ Destino solo aplica a transferencias",IF(AND(K2769&lt;&gt;"",K2769=Q2769),"⚠ Origen igual a destino",IF(AND(K2769&lt;&gt;"",ISNA(MATCH(K2769,ctaNombre,0))),"⚠ Destino no registrado",IF(AND(P2769="Pago tarjeta",AE2769&lt;&gt;"Tarjeta de crédito"),"⚠ El destino debe ser tarjeta de crédito",IF(AND(P2769="Gasto",E2769="Depósitos y retiros"),"⚠ Usa tipo Transferencia",IF(AND(P2769="Resultado trading",AD2769&lt;&gt;"Cuenta de trading"),"⚠ Usa una cuenta de trading",IF(AND(G2769&lt;=0,P2769&lt;&gt;"Ajuste",P2769&lt;&gt;"Resultado trading"),"⚠ El monto debe ser positivo","✓")))))))))))))))</f>
        <v/>
      </c>
      <c r="P2769" s="52">
        <f>IF(OR(B2769="",G2769=""),"",IF(C2769="","Gasto",C2769))</f>
        <v/>
      </c>
      <c r="Q2769" s="52">
        <f>IF(P2769="","",IF(J2769&lt;&gt;"",J2769,CuentaPred&amp;""))</f>
        <v/>
      </c>
      <c r="R2769" s="52">
        <f>IF(P2769="","",IF(ISNUMBER(I2769),I2769,TasaUSD))</f>
        <v/>
      </c>
      <c r="S2769" s="53">
        <f>IF(P2769="","",IF(H2769="USD",G2769*R2769,G2769))</f>
        <v/>
      </c>
      <c r="T2769" s="53">
        <f>IF(P2769="","",IF(H2769="USD",G2769,IF(R2769&gt;0,G2769/R2769,0)))</f>
        <v/>
      </c>
      <c r="U2769" s="53">
        <f>IF(P2769="","",IF(P2769="Gasto",S2769,IF(P2769="Reembolso",-S2769,0)))</f>
        <v/>
      </c>
      <c r="V2769" s="53">
        <f>IF(P2769="","",IF(P2769="Ingreso",S2769,0))</f>
        <v/>
      </c>
      <c r="W2769" s="53">
        <f>IF(P2769="","",IF(P2769="Resultado trading",S2769,0))</f>
        <v/>
      </c>
      <c r="X2769" s="52">
        <f>IF(OR(P2769="Gasto",P2769="Reembolso"),IF(M2769&lt;&gt;"",M2769,IFERROR(INDEX(catClasif,MATCH(D2769&amp;"|"&amp;E2769,catClave,0))&amp;"","Variable")),"")</f>
        <v/>
      </c>
      <c r="Y2769" s="52">
        <f>IF(P2769="","",IFERROR(INDEX(catGrupo,MATCH(D2769&amp;"|"&amp;E2769,catClave,0))&amp;"",""))</f>
        <v/>
      </c>
      <c r="Z2769" s="52">
        <f>IF(P2769="","",WEEKDAY(B2769,2))</f>
        <v/>
      </c>
      <c r="AA2769" s="52">
        <f>IF(P2769="","",IF(AND(P2769="Gasto",X2769="Variable",D2769&lt;&gt;catTrading,S2769&gt;0,S2769&lt;=Umbral),1,0))</f>
        <v/>
      </c>
      <c r="AB2769" s="52">
        <f>IF(OR(P2769="",Q2769=""),"",IFERROR(IF(INDEX(ctaVinc,MATCH(Q2769,ctaNombre,0))&amp;""&lt;&gt;"",INDEX(ctaVinc,MATCH(Q2769,ctaNombre,0))&amp;"",Q2769),Q2769))</f>
        <v/>
      </c>
      <c r="AC2769" s="52">
        <f>IF(OR(K2769="",AND(P2769&lt;&gt;"Transferencia",P2769&lt;&gt;"Pago tarjeta")),"",IFERROR(IF(INDEX(ctaVinc,MATCH(K2769,ctaNombre,0))&amp;""&lt;&gt;"",INDEX(ctaVinc,MATCH(K2769,ctaNombre,0))&amp;"",K2769),K2769))</f>
        <v/>
      </c>
      <c r="AD2769" s="52">
        <f>IF(AB2769="","",IFERROR(INDEX(ctaTipo,MATCH(AB2769,ctaNombre,0))&amp;"",""))</f>
        <v/>
      </c>
      <c r="AE2769" s="52">
        <f>IF(AC2769="","",IFERROR(INDEX(ctaTipo,MATCH(AC2769,ctaNombre,0))&amp;"",""))</f>
        <v/>
      </c>
      <c r="AF2769" s="53">
        <f>IF(OR(P2769="",AB2769=""),"",IF(OR(P2769="Gasto",P2769="Transferencia",P2769="Pago tarjeta"),-1,1)*IF(IFERROR(INDEX(ctaMoneda,MATCH(AB2769,ctaNombre,0))&amp;"","DOP")="USD",T2769,S2769))</f>
        <v/>
      </c>
      <c r="AG2769" s="53">
        <f>IF(AC2769="","",IF(IFERROR(INDEX(ctaMoneda,MATCH(AC2769,ctaNombre,0))&amp;"","DOP")="USD",T2769,S2769))</f>
        <v/>
      </c>
      <c r="AH2769" s="53">
        <f>IF(P2769="","",IF(AND(AD2769&lt;&gt;"",COUNTIFS(tcTipo,AD2769,tcLiq,"Sí")&gt;0),IF(OR(P2769="Gasto",P2769="Transferencia",P2769="Pago tarjeta"),-1,1)*S2769,0)+IF(AND(AE2769&lt;&gt;"",COUNTIFS(tcTipo,AE2769,tcLiq,"Sí")&gt;0),S2769,0))</f>
        <v/>
      </c>
      <c r="AI2769" s="52">
        <f>IF(OR(L2769="",P2769=""),"",IF(COUNTIFS(L$6:L2769,L2769,P$6:P2769,"?*")=1,MAX(AI$5:AI2768)+1,""))</f>
        <v/>
      </c>
    </row>
    <row r="2770">
      <c r="B2770" s="47" t="n"/>
      <c r="C2770" s="48" t="n"/>
      <c r="D2770" s="48" t="n"/>
      <c r="E2770" s="48" t="n"/>
      <c r="F2770" s="48" t="n"/>
      <c r="G2770" s="49" t="n"/>
      <c r="H2770" s="48" t="n"/>
      <c r="I2770" s="50" t="n"/>
      <c r="J2770" s="48" t="n"/>
      <c r="K2770" s="48" t="n"/>
      <c r="L2770" s="48" t="n"/>
      <c r="M2770" s="48" t="n"/>
      <c r="N2770" s="48" t="n"/>
      <c r="O2770" s="51">
        <f>IF(AND(B2770="",G2770="",C2770="",D2770="",J2770=""),"",IF(B2770="","⚠ Falta fecha",IF(G2770="","⚠ Falta monto",IF(Q2770="","⚠ Falta cuenta",IF(ISNA(MATCH(Q2770,ctaNombre,0)),"⚠ Cuenta no registrada",IF(AND(OR(P2770="Gasto",P2770="Reembolso"),D2770=""),"⚠ Falta categoría",IF(AND(D2770&lt;&gt;"",E2770&lt;&gt;"",ISNA(MATCH(D2770&amp;"|"&amp;E2770,catClave,0))),"⚠ Subcategoría no corresponde",IF(AND(OR(P2770="Transferencia",P2770="Pago tarjeta"),K2770=""),"⚠ Falta cuenta destino",IF(AND(K2770&lt;&gt;"",P2770&lt;&gt;"Transferencia",P2770&lt;&gt;"Pago tarjeta"),"⚠ Destino solo aplica a transferencias",IF(AND(K2770&lt;&gt;"",K2770=Q2770),"⚠ Origen igual a destino",IF(AND(K2770&lt;&gt;"",ISNA(MATCH(K2770,ctaNombre,0))),"⚠ Destino no registrado",IF(AND(P2770="Pago tarjeta",AE2770&lt;&gt;"Tarjeta de crédito"),"⚠ El destino debe ser tarjeta de crédito",IF(AND(P2770="Gasto",E2770="Depósitos y retiros"),"⚠ Usa tipo Transferencia",IF(AND(P2770="Resultado trading",AD2770&lt;&gt;"Cuenta de trading"),"⚠ Usa una cuenta de trading",IF(AND(G2770&lt;=0,P2770&lt;&gt;"Ajuste",P2770&lt;&gt;"Resultado trading"),"⚠ El monto debe ser positivo","✓")))))))))))))))</f>
        <v/>
      </c>
      <c r="P2770" s="52">
        <f>IF(OR(B2770="",G2770=""),"",IF(C2770="","Gasto",C2770))</f>
        <v/>
      </c>
      <c r="Q2770" s="52">
        <f>IF(P2770="","",IF(J2770&lt;&gt;"",J2770,CuentaPred&amp;""))</f>
        <v/>
      </c>
      <c r="R2770" s="52">
        <f>IF(P2770="","",IF(ISNUMBER(I2770),I2770,TasaUSD))</f>
        <v/>
      </c>
      <c r="S2770" s="53">
        <f>IF(P2770="","",IF(H2770="USD",G2770*R2770,G2770))</f>
        <v/>
      </c>
      <c r="T2770" s="53">
        <f>IF(P2770="","",IF(H2770="USD",G2770,IF(R2770&gt;0,G2770/R2770,0)))</f>
        <v/>
      </c>
      <c r="U2770" s="53">
        <f>IF(P2770="","",IF(P2770="Gasto",S2770,IF(P2770="Reembolso",-S2770,0)))</f>
        <v/>
      </c>
      <c r="V2770" s="53">
        <f>IF(P2770="","",IF(P2770="Ingreso",S2770,0))</f>
        <v/>
      </c>
      <c r="W2770" s="53">
        <f>IF(P2770="","",IF(P2770="Resultado trading",S2770,0))</f>
        <v/>
      </c>
      <c r="X2770" s="52">
        <f>IF(OR(P2770="Gasto",P2770="Reembolso"),IF(M2770&lt;&gt;"",M2770,IFERROR(INDEX(catClasif,MATCH(D2770&amp;"|"&amp;E2770,catClave,0))&amp;"","Variable")),"")</f>
        <v/>
      </c>
      <c r="Y2770" s="52">
        <f>IF(P2770="","",IFERROR(INDEX(catGrupo,MATCH(D2770&amp;"|"&amp;E2770,catClave,0))&amp;"",""))</f>
        <v/>
      </c>
      <c r="Z2770" s="52">
        <f>IF(P2770="","",WEEKDAY(B2770,2))</f>
        <v/>
      </c>
      <c r="AA2770" s="52">
        <f>IF(P2770="","",IF(AND(P2770="Gasto",X2770="Variable",D2770&lt;&gt;catTrading,S2770&gt;0,S2770&lt;=Umbral),1,0))</f>
        <v/>
      </c>
      <c r="AB2770" s="52">
        <f>IF(OR(P2770="",Q2770=""),"",IFERROR(IF(INDEX(ctaVinc,MATCH(Q2770,ctaNombre,0))&amp;""&lt;&gt;"",INDEX(ctaVinc,MATCH(Q2770,ctaNombre,0))&amp;"",Q2770),Q2770))</f>
        <v/>
      </c>
      <c r="AC2770" s="52">
        <f>IF(OR(K2770="",AND(P2770&lt;&gt;"Transferencia",P2770&lt;&gt;"Pago tarjeta")),"",IFERROR(IF(INDEX(ctaVinc,MATCH(K2770,ctaNombre,0))&amp;""&lt;&gt;"",INDEX(ctaVinc,MATCH(K2770,ctaNombre,0))&amp;"",K2770),K2770))</f>
        <v/>
      </c>
      <c r="AD2770" s="52">
        <f>IF(AB2770="","",IFERROR(INDEX(ctaTipo,MATCH(AB2770,ctaNombre,0))&amp;"",""))</f>
        <v/>
      </c>
      <c r="AE2770" s="52">
        <f>IF(AC2770="","",IFERROR(INDEX(ctaTipo,MATCH(AC2770,ctaNombre,0))&amp;"",""))</f>
        <v/>
      </c>
      <c r="AF2770" s="53">
        <f>IF(OR(P2770="",AB2770=""),"",IF(OR(P2770="Gasto",P2770="Transferencia",P2770="Pago tarjeta"),-1,1)*IF(IFERROR(INDEX(ctaMoneda,MATCH(AB2770,ctaNombre,0))&amp;"","DOP")="USD",T2770,S2770))</f>
        <v/>
      </c>
      <c r="AG2770" s="53">
        <f>IF(AC2770="","",IF(IFERROR(INDEX(ctaMoneda,MATCH(AC2770,ctaNombre,0))&amp;"","DOP")="USD",T2770,S2770))</f>
        <v/>
      </c>
      <c r="AH2770" s="53">
        <f>IF(P2770="","",IF(AND(AD2770&lt;&gt;"",COUNTIFS(tcTipo,AD2770,tcLiq,"Sí")&gt;0),IF(OR(P2770="Gasto",P2770="Transferencia",P2770="Pago tarjeta"),-1,1)*S2770,0)+IF(AND(AE2770&lt;&gt;"",COUNTIFS(tcTipo,AE2770,tcLiq,"Sí")&gt;0),S2770,0))</f>
        <v/>
      </c>
      <c r="AI2770" s="52">
        <f>IF(OR(L2770="",P2770=""),"",IF(COUNTIFS(L$6:L2770,L2770,P$6:P2770,"?*")=1,MAX(AI$5:AI2769)+1,""))</f>
        <v/>
      </c>
    </row>
    <row r="2771">
      <c r="B2771" s="47" t="n"/>
      <c r="C2771" s="48" t="n"/>
      <c r="D2771" s="48" t="n"/>
      <c r="E2771" s="48" t="n"/>
      <c r="F2771" s="48" t="n"/>
      <c r="G2771" s="49" t="n"/>
      <c r="H2771" s="48" t="n"/>
      <c r="I2771" s="50" t="n"/>
      <c r="J2771" s="48" t="n"/>
      <c r="K2771" s="48" t="n"/>
      <c r="L2771" s="48" t="n"/>
      <c r="M2771" s="48" t="n"/>
      <c r="N2771" s="48" t="n"/>
      <c r="O2771" s="51">
        <f>IF(AND(B2771="",G2771="",C2771="",D2771="",J2771=""),"",IF(B2771="","⚠ Falta fecha",IF(G2771="","⚠ Falta monto",IF(Q2771="","⚠ Falta cuenta",IF(ISNA(MATCH(Q2771,ctaNombre,0)),"⚠ Cuenta no registrada",IF(AND(OR(P2771="Gasto",P2771="Reembolso"),D2771=""),"⚠ Falta categoría",IF(AND(D2771&lt;&gt;"",E2771&lt;&gt;"",ISNA(MATCH(D2771&amp;"|"&amp;E2771,catClave,0))),"⚠ Subcategoría no corresponde",IF(AND(OR(P2771="Transferencia",P2771="Pago tarjeta"),K2771=""),"⚠ Falta cuenta destino",IF(AND(K2771&lt;&gt;"",P2771&lt;&gt;"Transferencia",P2771&lt;&gt;"Pago tarjeta"),"⚠ Destino solo aplica a transferencias",IF(AND(K2771&lt;&gt;"",K2771=Q2771),"⚠ Origen igual a destino",IF(AND(K2771&lt;&gt;"",ISNA(MATCH(K2771,ctaNombre,0))),"⚠ Destino no registrado",IF(AND(P2771="Pago tarjeta",AE2771&lt;&gt;"Tarjeta de crédito"),"⚠ El destino debe ser tarjeta de crédito",IF(AND(P2771="Gasto",E2771="Depósitos y retiros"),"⚠ Usa tipo Transferencia",IF(AND(P2771="Resultado trading",AD2771&lt;&gt;"Cuenta de trading"),"⚠ Usa una cuenta de trading",IF(AND(G2771&lt;=0,P2771&lt;&gt;"Ajuste",P2771&lt;&gt;"Resultado trading"),"⚠ El monto debe ser positivo","✓")))))))))))))))</f>
        <v/>
      </c>
      <c r="P2771" s="52">
        <f>IF(OR(B2771="",G2771=""),"",IF(C2771="","Gasto",C2771))</f>
        <v/>
      </c>
      <c r="Q2771" s="52">
        <f>IF(P2771="","",IF(J2771&lt;&gt;"",J2771,CuentaPred&amp;""))</f>
        <v/>
      </c>
      <c r="R2771" s="52">
        <f>IF(P2771="","",IF(ISNUMBER(I2771),I2771,TasaUSD))</f>
        <v/>
      </c>
      <c r="S2771" s="53">
        <f>IF(P2771="","",IF(H2771="USD",G2771*R2771,G2771))</f>
        <v/>
      </c>
      <c r="T2771" s="53">
        <f>IF(P2771="","",IF(H2771="USD",G2771,IF(R2771&gt;0,G2771/R2771,0)))</f>
        <v/>
      </c>
      <c r="U2771" s="53">
        <f>IF(P2771="","",IF(P2771="Gasto",S2771,IF(P2771="Reembolso",-S2771,0)))</f>
        <v/>
      </c>
      <c r="V2771" s="53">
        <f>IF(P2771="","",IF(P2771="Ingreso",S2771,0))</f>
        <v/>
      </c>
      <c r="W2771" s="53">
        <f>IF(P2771="","",IF(P2771="Resultado trading",S2771,0))</f>
        <v/>
      </c>
      <c r="X2771" s="52">
        <f>IF(OR(P2771="Gasto",P2771="Reembolso"),IF(M2771&lt;&gt;"",M2771,IFERROR(INDEX(catClasif,MATCH(D2771&amp;"|"&amp;E2771,catClave,0))&amp;"","Variable")),"")</f>
        <v/>
      </c>
      <c r="Y2771" s="52">
        <f>IF(P2771="","",IFERROR(INDEX(catGrupo,MATCH(D2771&amp;"|"&amp;E2771,catClave,0))&amp;"",""))</f>
        <v/>
      </c>
      <c r="Z2771" s="52">
        <f>IF(P2771="","",WEEKDAY(B2771,2))</f>
        <v/>
      </c>
      <c r="AA2771" s="52">
        <f>IF(P2771="","",IF(AND(P2771="Gasto",X2771="Variable",D2771&lt;&gt;catTrading,S2771&gt;0,S2771&lt;=Umbral),1,0))</f>
        <v/>
      </c>
      <c r="AB2771" s="52">
        <f>IF(OR(P2771="",Q2771=""),"",IFERROR(IF(INDEX(ctaVinc,MATCH(Q2771,ctaNombre,0))&amp;""&lt;&gt;"",INDEX(ctaVinc,MATCH(Q2771,ctaNombre,0))&amp;"",Q2771),Q2771))</f>
        <v/>
      </c>
      <c r="AC2771" s="52">
        <f>IF(OR(K2771="",AND(P2771&lt;&gt;"Transferencia",P2771&lt;&gt;"Pago tarjeta")),"",IFERROR(IF(INDEX(ctaVinc,MATCH(K2771,ctaNombre,0))&amp;""&lt;&gt;"",INDEX(ctaVinc,MATCH(K2771,ctaNombre,0))&amp;"",K2771),K2771))</f>
        <v/>
      </c>
      <c r="AD2771" s="52">
        <f>IF(AB2771="","",IFERROR(INDEX(ctaTipo,MATCH(AB2771,ctaNombre,0))&amp;"",""))</f>
        <v/>
      </c>
      <c r="AE2771" s="52">
        <f>IF(AC2771="","",IFERROR(INDEX(ctaTipo,MATCH(AC2771,ctaNombre,0))&amp;"",""))</f>
        <v/>
      </c>
      <c r="AF2771" s="53">
        <f>IF(OR(P2771="",AB2771=""),"",IF(OR(P2771="Gasto",P2771="Transferencia",P2771="Pago tarjeta"),-1,1)*IF(IFERROR(INDEX(ctaMoneda,MATCH(AB2771,ctaNombre,0))&amp;"","DOP")="USD",T2771,S2771))</f>
        <v/>
      </c>
      <c r="AG2771" s="53">
        <f>IF(AC2771="","",IF(IFERROR(INDEX(ctaMoneda,MATCH(AC2771,ctaNombre,0))&amp;"","DOP")="USD",T2771,S2771))</f>
        <v/>
      </c>
      <c r="AH2771" s="53">
        <f>IF(P2771="","",IF(AND(AD2771&lt;&gt;"",COUNTIFS(tcTipo,AD2771,tcLiq,"Sí")&gt;0),IF(OR(P2771="Gasto",P2771="Transferencia",P2771="Pago tarjeta"),-1,1)*S2771,0)+IF(AND(AE2771&lt;&gt;"",COUNTIFS(tcTipo,AE2771,tcLiq,"Sí")&gt;0),S2771,0))</f>
        <v/>
      </c>
      <c r="AI2771" s="52">
        <f>IF(OR(L2771="",P2771=""),"",IF(COUNTIFS(L$6:L2771,L2771,P$6:P2771,"?*")=1,MAX(AI$5:AI2770)+1,""))</f>
        <v/>
      </c>
    </row>
    <row r="2772">
      <c r="B2772" s="47" t="n"/>
      <c r="C2772" s="48" t="n"/>
      <c r="D2772" s="48" t="n"/>
      <c r="E2772" s="48" t="n"/>
      <c r="F2772" s="48" t="n"/>
      <c r="G2772" s="49" t="n"/>
      <c r="H2772" s="48" t="n"/>
      <c r="I2772" s="50" t="n"/>
      <c r="J2772" s="48" t="n"/>
      <c r="K2772" s="48" t="n"/>
      <c r="L2772" s="48" t="n"/>
      <c r="M2772" s="48" t="n"/>
      <c r="N2772" s="48" t="n"/>
      <c r="O2772" s="51">
        <f>IF(AND(B2772="",G2772="",C2772="",D2772="",J2772=""),"",IF(B2772="","⚠ Falta fecha",IF(G2772="","⚠ Falta monto",IF(Q2772="","⚠ Falta cuenta",IF(ISNA(MATCH(Q2772,ctaNombre,0)),"⚠ Cuenta no registrada",IF(AND(OR(P2772="Gasto",P2772="Reembolso"),D2772=""),"⚠ Falta categoría",IF(AND(D2772&lt;&gt;"",E2772&lt;&gt;"",ISNA(MATCH(D2772&amp;"|"&amp;E2772,catClave,0))),"⚠ Subcategoría no corresponde",IF(AND(OR(P2772="Transferencia",P2772="Pago tarjeta"),K2772=""),"⚠ Falta cuenta destino",IF(AND(K2772&lt;&gt;"",P2772&lt;&gt;"Transferencia",P2772&lt;&gt;"Pago tarjeta"),"⚠ Destino solo aplica a transferencias",IF(AND(K2772&lt;&gt;"",K2772=Q2772),"⚠ Origen igual a destino",IF(AND(K2772&lt;&gt;"",ISNA(MATCH(K2772,ctaNombre,0))),"⚠ Destino no registrado",IF(AND(P2772="Pago tarjeta",AE2772&lt;&gt;"Tarjeta de crédito"),"⚠ El destino debe ser tarjeta de crédito",IF(AND(P2772="Gasto",E2772="Depósitos y retiros"),"⚠ Usa tipo Transferencia",IF(AND(P2772="Resultado trading",AD2772&lt;&gt;"Cuenta de trading"),"⚠ Usa una cuenta de trading",IF(AND(G2772&lt;=0,P2772&lt;&gt;"Ajuste",P2772&lt;&gt;"Resultado trading"),"⚠ El monto debe ser positivo","✓")))))))))))))))</f>
        <v/>
      </c>
      <c r="P2772" s="52">
        <f>IF(OR(B2772="",G2772=""),"",IF(C2772="","Gasto",C2772))</f>
        <v/>
      </c>
      <c r="Q2772" s="52">
        <f>IF(P2772="","",IF(J2772&lt;&gt;"",J2772,CuentaPred&amp;""))</f>
        <v/>
      </c>
      <c r="R2772" s="52">
        <f>IF(P2772="","",IF(ISNUMBER(I2772),I2772,TasaUSD))</f>
        <v/>
      </c>
      <c r="S2772" s="53">
        <f>IF(P2772="","",IF(H2772="USD",G2772*R2772,G2772))</f>
        <v/>
      </c>
      <c r="T2772" s="53">
        <f>IF(P2772="","",IF(H2772="USD",G2772,IF(R2772&gt;0,G2772/R2772,0)))</f>
        <v/>
      </c>
      <c r="U2772" s="53">
        <f>IF(P2772="","",IF(P2772="Gasto",S2772,IF(P2772="Reembolso",-S2772,0)))</f>
        <v/>
      </c>
      <c r="V2772" s="53">
        <f>IF(P2772="","",IF(P2772="Ingreso",S2772,0))</f>
        <v/>
      </c>
      <c r="W2772" s="53">
        <f>IF(P2772="","",IF(P2772="Resultado trading",S2772,0))</f>
        <v/>
      </c>
      <c r="X2772" s="52">
        <f>IF(OR(P2772="Gasto",P2772="Reembolso"),IF(M2772&lt;&gt;"",M2772,IFERROR(INDEX(catClasif,MATCH(D2772&amp;"|"&amp;E2772,catClave,0))&amp;"","Variable")),"")</f>
        <v/>
      </c>
      <c r="Y2772" s="52">
        <f>IF(P2772="","",IFERROR(INDEX(catGrupo,MATCH(D2772&amp;"|"&amp;E2772,catClave,0))&amp;"",""))</f>
        <v/>
      </c>
      <c r="Z2772" s="52">
        <f>IF(P2772="","",WEEKDAY(B2772,2))</f>
        <v/>
      </c>
      <c r="AA2772" s="52">
        <f>IF(P2772="","",IF(AND(P2772="Gasto",X2772="Variable",D2772&lt;&gt;catTrading,S2772&gt;0,S2772&lt;=Umbral),1,0))</f>
        <v/>
      </c>
      <c r="AB2772" s="52">
        <f>IF(OR(P2772="",Q2772=""),"",IFERROR(IF(INDEX(ctaVinc,MATCH(Q2772,ctaNombre,0))&amp;""&lt;&gt;"",INDEX(ctaVinc,MATCH(Q2772,ctaNombre,0))&amp;"",Q2772),Q2772))</f>
        <v/>
      </c>
      <c r="AC2772" s="52">
        <f>IF(OR(K2772="",AND(P2772&lt;&gt;"Transferencia",P2772&lt;&gt;"Pago tarjeta")),"",IFERROR(IF(INDEX(ctaVinc,MATCH(K2772,ctaNombre,0))&amp;""&lt;&gt;"",INDEX(ctaVinc,MATCH(K2772,ctaNombre,0))&amp;"",K2772),K2772))</f>
        <v/>
      </c>
      <c r="AD2772" s="52">
        <f>IF(AB2772="","",IFERROR(INDEX(ctaTipo,MATCH(AB2772,ctaNombre,0))&amp;"",""))</f>
        <v/>
      </c>
      <c r="AE2772" s="52">
        <f>IF(AC2772="","",IFERROR(INDEX(ctaTipo,MATCH(AC2772,ctaNombre,0))&amp;"",""))</f>
        <v/>
      </c>
      <c r="AF2772" s="53">
        <f>IF(OR(P2772="",AB2772=""),"",IF(OR(P2772="Gasto",P2772="Transferencia",P2772="Pago tarjeta"),-1,1)*IF(IFERROR(INDEX(ctaMoneda,MATCH(AB2772,ctaNombre,0))&amp;"","DOP")="USD",T2772,S2772))</f>
        <v/>
      </c>
      <c r="AG2772" s="53">
        <f>IF(AC2772="","",IF(IFERROR(INDEX(ctaMoneda,MATCH(AC2772,ctaNombre,0))&amp;"","DOP")="USD",T2772,S2772))</f>
        <v/>
      </c>
      <c r="AH2772" s="53">
        <f>IF(P2772="","",IF(AND(AD2772&lt;&gt;"",COUNTIFS(tcTipo,AD2772,tcLiq,"Sí")&gt;0),IF(OR(P2772="Gasto",P2772="Transferencia",P2772="Pago tarjeta"),-1,1)*S2772,0)+IF(AND(AE2772&lt;&gt;"",COUNTIFS(tcTipo,AE2772,tcLiq,"Sí")&gt;0),S2772,0))</f>
        <v/>
      </c>
      <c r="AI2772" s="52">
        <f>IF(OR(L2772="",P2772=""),"",IF(COUNTIFS(L$6:L2772,L2772,P$6:P2772,"?*")=1,MAX(AI$5:AI2771)+1,""))</f>
        <v/>
      </c>
    </row>
    <row r="2773">
      <c r="B2773" s="47" t="n"/>
      <c r="C2773" s="48" t="n"/>
      <c r="D2773" s="48" t="n"/>
      <c r="E2773" s="48" t="n"/>
      <c r="F2773" s="48" t="n"/>
      <c r="G2773" s="49" t="n"/>
      <c r="H2773" s="48" t="n"/>
      <c r="I2773" s="50" t="n"/>
      <c r="J2773" s="48" t="n"/>
      <c r="K2773" s="48" t="n"/>
      <c r="L2773" s="48" t="n"/>
      <c r="M2773" s="48" t="n"/>
      <c r="N2773" s="48" t="n"/>
      <c r="O2773" s="51">
        <f>IF(AND(B2773="",G2773="",C2773="",D2773="",J2773=""),"",IF(B2773="","⚠ Falta fecha",IF(G2773="","⚠ Falta monto",IF(Q2773="","⚠ Falta cuenta",IF(ISNA(MATCH(Q2773,ctaNombre,0)),"⚠ Cuenta no registrada",IF(AND(OR(P2773="Gasto",P2773="Reembolso"),D2773=""),"⚠ Falta categoría",IF(AND(D2773&lt;&gt;"",E2773&lt;&gt;"",ISNA(MATCH(D2773&amp;"|"&amp;E2773,catClave,0))),"⚠ Subcategoría no corresponde",IF(AND(OR(P2773="Transferencia",P2773="Pago tarjeta"),K2773=""),"⚠ Falta cuenta destino",IF(AND(K2773&lt;&gt;"",P2773&lt;&gt;"Transferencia",P2773&lt;&gt;"Pago tarjeta"),"⚠ Destino solo aplica a transferencias",IF(AND(K2773&lt;&gt;"",K2773=Q2773),"⚠ Origen igual a destino",IF(AND(K2773&lt;&gt;"",ISNA(MATCH(K2773,ctaNombre,0))),"⚠ Destino no registrado",IF(AND(P2773="Pago tarjeta",AE2773&lt;&gt;"Tarjeta de crédito"),"⚠ El destino debe ser tarjeta de crédito",IF(AND(P2773="Gasto",E2773="Depósitos y retiros"),"⚠ Usa tipo Transferencia",IF(AND(P2773="Resultado trading",AD2773&lt;&gt;"Cuenta de trading"),"⚠ Usa una cuenta de trading",IF(AND(G2773&lt;=0,P2773&lt;&gt;"Ajuste",P2773&lt;&gt;"Resultado trading"),"⚠ El monto debe ser positivo","✓")))))))))))))))</f>
        <v/>
      </c>
      <c r="P2773" s="52">
        <f>IF(OR(B2773="",G2773=""),"",IF(C2773="","Gasto",C2773))</f>
        <v/>
      </c>
      <c r="Q2773" s="52">
        <f>IF(P2773="","",IF(J2773&lt;&gt;"",J2773,CuentaPred&amp;""))</f>
        <v/>
      </c>
      <c r="R2773" s="52">
        <f>IF(P2773="","",IF(ISNUMBER(I2773),I2773,TasaUSD))</f>
        <v/>
      </c>
      <c r="S2773" s="53">
        <f>IF(P2773="","",IF(H2773="USD",G2773*R2773,G2773))</f>
        <v/>
      </c>
      <c r="T2773" s="53">
        <f>IF(P2773="","",IF(H2773="USD",G2773,IF(R2773&gt;0,G2773/R2773,0)))</f>
        <v/>
      </c>
      <c r="U2773" s="53">
        <f>IF(P2773="","",IF(P2773="Gasto",S2773,IF(P2773="Reembolso",-S2773,0)))</f>
        <v/>
      </c>
      <c r="V2773" s="53">
        <f>IF(P2773="","",IF(P2773="Ingreso",S2773,0))</f>
        <v/>
      </c>
      <c r="W2773" s="53">
        <f>IF(P2773="","",IF(P2773="Resultado trading",S2773,0))</f>
        <v/>
      </c>
      <c r="X2773" s="52">
        <f>IF(OR(P2773="Gasto",P2773="Reembolso"),IF(M2773&lt;&gt;"",M2773,IFERROR(INDEX(catClasif,MATCH(D2773&amp;"|"&amp;E2773,catClave,0))&amp;"","Variable")),"")</f>
        <v/>
      </c>
      <c r="Y2773" s="52">
        <f>IF(P2773="","",IFERROR(INDEX(catGrupo,MATCH(D2773&amp;"|"&amp;E2773,catClave,0))&amp;"",""))</f>
        <v/>
      </c>
      <c r="Z2773" s="52">
        <f>IF(P2773="","",WEEKDAY(B2773,2))</f>
        <v/>
      </c>
      <c r="AA2773" s="52">
        <f>IF(P2773="","",IF(AND(P2773="Gasto",X2773="Variable",D2773&lt;&gt;catTrading,S2773&gt;0,S2773&lt;=Umbral),1,0))</f>
        <v/>
      </c>
      <c r="AB2773" s="52">
        <f>IF(OR(P2773="",Q2773=""),"",IFERROR(IF(INDEX(ctaVinc,MATCH(Q2773,ctaNombre,0))&amp;""&lt;&gt;"",INDEX(ctaVinc,MATCH(Q2773,ctaNombre,0))&amp;"",Q2773),Q2773))</f>
        <v/>
      </c>
      <c r="AC2773" s="52">
        <f>IF(OR(K2773="",AND(P2773&lt;&gt;"Transferencia",P2773&lt;&gt;"Pago tarjeta")),"",IFERROR(IF(INDEX(ctaVinc,MATCH(K2773,ctaNombre,0))&amp;""&lt;&gt;"",INDEX(ctaVinc,MATCH(K2773,ctaNombre,0))&amp;"",K2773),K2773))</f>
        <v/>
      </c>
      <c r="AD2773" s="52">
        <f>IF(AB2773="","",IFERROR(INDEX(ctaTipo,MATCH(AB2773,ctaNombre,0))&amp;"",""))</f>
        <v/>
      </c>
      <c r="AE2773" s="52">
        <f>IF(AC2773="","",IFERROR(INDEX(ctaTipo,MATCH(AC2773,ctaNombre,0))&amp;"",""))</f>
        <v/>
      </c>
      <c r="AF2773" s="53">
        <f>IF(OR(P2773="",AB2773=""),"",IF(OR(P2773="Gasto",P2773="Transferencia",P2773="Pago tarjeta"),-1,1)*IF(IFERROR(INDEX(ctaMoneda,MATCH(AB2773,ctaNombre,0))&amp;"","DOP")="USD",T2773,S2773))</f>
        <v/>
      </c>
      <c r="AG2773" s="53">
        <f>IF(AC2773="","",IF(IFERROR(INDEX(ctaMoneda,MATCH(AC2773,ctaNombre,0))&amp;"","DOP")="USD",T2773,S2773))</f>
        <v/>
      </c>
      <c r="AH2773" s="53">
        <f>IF(P2773="","",IF(AND(AD2773&lt;&gt;"",COUNTIFS(tcTipo,AD2773,tcLiq,"Sí")&gt;0),IF(OR(P2773="Gasto",P2773="Transferencia",P2773="Pago tarjeta"),-1,1)*S2773,0)+IF(AND(AE2773&lt;&gt;"",COUNTIFS(tcTipo,AE2773,tcLiq,"Sí")&gt;0),S2773,0))</f>
        <v/>
      </c>
      <c r="AI2773" s="52">
        <f>IF(OR(L2773="",P2773=""),"",IF(COUNTIFS(L$6:L2773,L2773,P$6:P2773,"?*")=1,MAX(AI$5:AI2772)+1,""))</f>
        <v/>
      </c>
    </row>
    <row r="2774">
      <c r="B2774" s="47" t="n"/>
      <c r="C2774" s="48" t="n"/>
      <c r="D2774" s="48" t="n"/>
      <c r="E2774" s="48" t="n"/>
      <c r="F2774" s="48" t="n"/>
      <c r="G2774" s="49" t="n"/>
      <c r="H2774" s="48" t="n"/>
      <c r="I2774" s="50" t="n"/>
      <c r="J2774" s="48" t="n"/>
      <c r="K2774" s="48" t="n"/>
      <c r="L2774" s="48" t="n"/>
      <c r="M2774" s="48" t="n"/>
      <c r="N2774" s="48" t="n"/>
      <c r="O2774" s="51">
        <f>IF(AND(B2774="",G2774="",C2774="",D2774="",J2774=""),"",IF(B2774="","⚠ Falta fecha",IF(G2774="","⚠ Falta monto",IF(Q2774="","⚠ Falta cuenta",IF(ISNA(MATCH(Q2774,ctaNombre,0)),"⚠ Cuenta no registrada",IF(AND(OR(P2774="Gasto",P2774="Reembolso"),D2774=""),"⚠ Falta categoría",IF(AND(D2774&lt;&gt;"",E2774&lt;&gt;"",ISNA(MATCH(D2774&amp;"|"&amp;E2774,catClave,0))),"⚠ Subcategoría no corresponde",IF(AND(OR(P2774="Transferencia",P2774="Pago tarjeta"),K2774=""),"⚠ Falta cuenta destino",IF(AND(K2774&lt;&gt;"",P2774&lt;&gt;"Transferencia",P2774&lt;&gt;"Pago tarjeta"),"⚠ Destino solo aplica a transferencias",IF(AND(K2774&lt;&gt;"",K2774=Q2774),"⚠ Origen igual a destino",IF(AND(K2774&lt;&gt;"",ISNA(MATCH(K2774,ctaNombre,0))),"⚠ Destino no registrado",IF(AND(P2774="Pago tarjeta",AE2774&lt;&gt;"Tarjeta de crédito"),"⚠ El destino debe ser tarjeta de crédito",IF(AND(P2774="Gasto",E2774="Depósitos y retiros"),"⚠ Usa tipo Transferencia",IF(AND(P2774="Resultado trading",AD2774&lt;&gt;"Cuenta de trading"),"⚠ Usa una cuenta de trading",IF(AND(G2774&lt;=0,P2774&lt;&gt;"Ajuste",P2774&lt;&gt;"Resultado trading"),"⚠ El monto debe ser positivo","✓")))))))))))))))</f>
        <v/>
      </c>
      <c r="P2774" s="52">
        <f>IF(OR(B2774="",G2774=""),"",IF(C2774="","Gasto",C2774))</f>
        <v/>
      </c>
      <c r="Q2774" s="52">
        <f>IF(P2774="","",IF(J2774&lt;&gt;"",J2774,CuentaPred&amp;""))</f>
        <v/>
      </c>
      <c r="R2774" s="52">
        <f>IF(P2774="","",IF(ISNUMBER(I2774),I2774,TasaUSD))</f>
        <v/>
      </c>
      <c r="S2774" s="53">
        <f>IF(P2774="","",IF(H2774="USD",G2774*R2774,G2774))</f>
        <v/>
      </c>
      <c r="T2774" s="53">
        <f>IF(P2774="","",IF(H2774="USD",G2774,IF(R2774&gt;0,G2774/R2774,0)))</f>
        <v/>
      </c>
      <c r="U2774" s="53">
        <f>IF(P2774="","",IF(P2774="Gasto",S2774,IF(P2774="Reembolso",-S2774,0)))</f>
        <v/>
      </c>
      <c r="V2774" s="53">
        <f>IF(P2774="","",IF(P2774="Ingreso",S2774,0))</f>
        <v/>
      </c>
      <c r="W2774" s="53">
        <f>IF(P2774="","",IF(P2774="Resultado trading",S2774,0))</f>
        <v/>
      </c>
      <c r="X2774" s="52">
        <f>IF(OR(P2774="Gasto",P2774="Reembolso"),IF(M2774&lt;&gt;"",M2774,IFERROR(INDEX(catClasif,MATCH(D2774&amp;"|"&amp;E2774,catClave,0))&amp;"","Variable")),"")</f>
        <v/>
      </c>
      <c r="Y2774" s="52">
        <f>IF(P2774="","",IFERROR(INDEX(catGrupo,MATCH(D2774&amp;"|"&amp;E2774,catClave,0))&amp;"",""))</f>
        <v/>
      </c>
      <c r="Z2774" s="52">
        <f>IF(P2774="","",WEEKDAY(B2774,2))</f>
        <v/>
      </c>
      <c r="AA2774" s="52">
        <f>IF(P2774="","",IF(AND(P2774="Gasto",X2774="Variable",D2774&lt;&gt;catTrading,S2774&gt;0,S2774&lt;=Umbral),1,0))</f>
        <v/>
      </c>
      <c r="AB2774" s="52">
        <f>IF(OR(P2774="",Q2774=""),"",IFERROR(IF(INDEX(ctaVinc,MATCH(Q2774,ctaNombre,0))&amp;""&lt;&gt;"",INDEX(ctaVinc,MATCH(Q2774,ctaNombre,0))&amp;"",Q2774),Q2774))</f>
        <v/>
      </c>
      <c r="AC2774" s="52">
        <f>IF(OR(K2774="",AND(P2774&lt;&gt;"Transferencia",P2774&lt;&gt;"Pago tarjeta")),"",IFERROR(IF(INDEX(ctaVinc,MATCH(K2774,ctaNombre,0))&amp;""&lt;&gt;"",INDEX(ctaVinc,MATCH(K2774,ctaNombre,0))&amp;"",K2774),K2774))</f>
        <v/>
      </c>
      <c r="AD2774" s="52">
        <f>IF(AB2774="","",IFERROR(INDEX(ctaTipo,MATCH(AB2774,ctaNombre,0))&amp;"",""))</f>
        <v/>
      </c>
      <c r="AE2774" s="52">
        <f>IF(AC2774="","",IFERROR(INDEX(ctaTipo,MATCH(AC2774,ctaNombre,0))&amp;"",""))</f>
        <v/>
      </c>
      <c r="AF2774" s="53">
        <f>IF(OR(P2774="",AB2774=""),"",IF(OR(P2774="Gasto",P2774="Transferencia",P2774="Pago tarjeta"),-1,1)*IF(IFERROR(INDEX(ctaMoneda,MATCH(AB2774,ctaNombre,0))&amp;"","DOP")="USD",T2774,S2774))</f>
        <v/>
      </c>
      <c r="AG2774" s="53">
        <f>IF(AC2774="","",IF(IFERROR(INDEX(ctaMoneda,MATCH(AC2774,ctaNombre,0))&amp;"","DOP")="USD",T2774,S2774))</f>
        <v/>
      </c>
      <c r="AH2774" s="53">
        <f>IF(P2774="","",IF(AND(AD2774&lt;&gt;"",COUNTIFS(tcTipo,AD2774,tcLiq,"Sí")&gt;0),IF(OR(P2774="Gasto",P2774="Transferencia",P2774="Pago tarjeta"),-1,1)*S2774,0)+IF(AND(AE2774&lt;&gt;"",COUNTIFS(tcTipo,AE2774,tcLiq,"Sí")&gt;0),S2774,0))</f>
        <v/>
      </c>
      <c r="AI2774" s="52">
        <f>IF(OR(L2774="",P2774=""),"",IF(COUNTIFS(L$6:L2774,L2774,P$6:P2774,"?*")=1,MAX(AI$5:AI2773)+1,""))</f>
        <v/>
      </c>
    </row>
    <row r="2775">
      <c r="B2775" s="47" t="n"/>
      <c r="C2775" s="48" t="n"/>
      <c r="D2775" s="48" t="n"/>
      <c r="E2775" s="48" t="n"/>
      <c r="F2775" s="48" t="n"/>
      <c r="G2775" s="49" t="n"/>
      <c r="H2775" s="48" t="n"/>
      <c r="I2775" s="50" t="n"/>
      <c r="J2775" s="48" t="n"/>
      <c r="K2775" s="48" t="n"/>
      <c r="L2775" s="48" t="n"/>
      <c r="M2775" s="48" t="n"/>
      <c r="N2775" s="48" t="n"/>
      <c r="O2775" s="51">
        <f>IF(AND(B2775="",G2775="",C2775="",D2775="",J2775=""),"",IF(B2775="","⚠ Falta fecha",IF(G2775="","⚠ Falta monto",IF(Q2775="","⚠ Falta cuenta",IF(ISNA(MATCH(Q2775,ctaNombre,0)),"⚠ Cuenta no registrada",IF(AND(OR(P2775="Gasto",P2775="Reembolso"),D2775=""),"⚠ Falta categoría",IF(AND(D2775&lt;&gt;"",E2775&lt;&gt;"",ISNA(MATCH(D2775&amp;"|"&amp;E2775,catClave,0))),"⚠ Subcategoría no corresponde",IF(AND(OR(P2775="Transferencia",P2775="Pago tarjeta"),K2775=""),"⚠ Falta cuenta destino",IF(AND(K2775&lt;&gt;"",P2775&lt;&gt;"Transferencia",P2775&lt;&gt;"Pago tarjeta"),"⚠ Destino solo aplica a transferencias",IF(AND(K2775&lt;&gt;"",K2775=Q2775),"⚠ Origen igual a destino",IF(AND(K2775&lt;&gt;"",ISNA(MATCH(K2775,ctaNombre,0))),"⚠ Destino no registrado",IF(AND(P2775="Pago tarjeta",AE2775&lt;&gt;"Tarjeta de crédito"),"⚠ El destino debe ser tarjeta de crédito",IF(AND(P2775="Gasto",E2775="Depósitos y retiros"),"⚠ Usa tipo Transferencia",IF(AND(P2775="Resultado trading",AD2775&lt;&gt;"Cuenta de trading"),"⚠ Usa una cuenta de trading",IF(AND(G2775&lt;=0,P2775&lt;&gt;"Ajuste",P2775&lt;&gt;"Resultado trading"),"⚠ El monto debe ser positivo","✓")))))))))))))))</f>
        <v/>
      </c>
      <c r="P2775" s="52">
        <f>IF(OR(B2775="",G2775=""),"",IF(C2775="","Gasto",C2775))</f>
        <v/>
      </c>
      <c r="Q2775" s="52">
        <f>IF(P2775="","",IF(J2775&lt;&gt;"",J2775,CuentaPred&amp;""))</f>
        <v/>
      </c>
      <c r="R2775" s="52">
        <f>IF(P2775="","",IF(ISNUMBER(I2775),I2775,TasaUSD))</f>
        <v/>
      </c>
      <c r="S2775" s="53">
        <f>IF(P2775="","",IF(H2775="USD",G2775*R2775,G2775))</f>
        <v/>
      </c>
      <c r="T2775" s="53">
        <f>IF(P2775="","",IF(H2775="USD",G2775,IF(R2775&gt;0,G2775/R2775,0)))</f>
        <v/>
      </c>
      <c r="U2775" s="53">
        <f>IF(P2775="","",IF(P2775="Gasto",S2775,IF(P2775="Reembolso",-S2775,0)))</f>
        <v/>
      </c>
      <c r="V2775" s="53">
        <f>IF(P2775="","",IF(P2775="Ingreso",S2775,0))</f>
        <v/>
      </c>
      <c r="W2775" s="53">
        <f>IF(P2775="","",IF(P2775="Resultado trading",S2775,0))</f>
        <v/>
      </c>
      <c r="X2775" s="52">
        <f>IF(OR(P2775="Gasto",P2775="Reembolso"),IF(M2775&lt;&gt;"",M2775,IFERROR(INDEX(catClasif,MATCH(D2775&amp;"|"&amp;E2775,catClave,0))&amp;"","Variable")),"")</f>
        <v/>
      </c>
      <c r="Y2775" s="52">
        <f>IF(P2775="","",IFERROR(INDEX(catGrupo,MATCH(D2775&amp;"|"&amp;E2775,catClave,0))&amp;"",""))</f>
        <v/>
      </c>
      <c r="Z2775" s="52">
        <f>IF(P2775="","",WEEKDAY(B2775,2))</f>
        <v/>
      </c>
      <c r="AA2775" s="52">
        <f>IF(P2775="","",IF(AND(P2775="Gasto",X2775="Variable",D2775&lt;&gt;catTrading,S2775&gt;0,S2775&lt;=Umbral),1,0))</f>
        <v/>
      </c>
      <c r="AB2775" s="52">
        <f>IF(OR(P2775="",Q2775=""),"",IFERROR(IF(INDEX(ctaVinc,MATCH(Q2775,ctaNombre,0))&amp;""&lt;&gt;"",INDEX(ctaVinc,MATCH(Q2775,ctaNombre,0))&amp;"",Q2775),Q2775))</f>
        <v/>
      </c>
      <c r="AC2775" s="52">
        <f>IF(OR(K2775="",AND(P2775&lt;&gt;"Transferencia",P2775&lt;&gt;"Pago tarjeta")),"",IFERROR(IF(INDEX(ctaVinc,MATCH(K2775,ctaNombre,0))&amp;""&lt;&gt;"",INDEX(ctaVinc,MATCH(K2775,ctaNombre,0))&amp;"",K2775),K2775))</f>
        <v/>
      </c>
      <c r="AD2775" s="52">
        <f>IF(AB2775="","",IFERROR(INDEX(ctaTipo,MATCH(AB2775,ctaNombre,0))&amp;"",""))</f>
        <v/>
      </c>
      <c r="AE2775" s="52">
        <f>IF(AC2775="","",IFERROR(INDEX(ctaTipo,MATCH(AC2775,ctaNombre,0))&amp;"",""))</f>
        <v/>
      </c>
      <c r="AF2775" s="53">
        <f>IF(OR(P2775="",AB2775=""),"",IF(OR(P2775="Gasto",P2775="Transferencia",P2775="Pago tarjeta"),-1,1)*IF(IFERROR(INDEX(ctaMoneda,MATCH(AB2775,ctaNombre,0))&amp;"","DOP")="USD",T2775,S2775))</f>
        <v/>
      </c>
      <c r="AG2775" s="53">
        <f>IF(AC2775="","",IF(IFERROR(INDEX(ctaMoneda,MATCH(AC2775,ctaNombre,0))&amp;"","DOP")="USD",T2775,S2775))</f>
        <v/>
      </c>
      <c r="AH2775" s="53">
        <f>IF(P2775="","",IF(AND(AD2775&lt;&gt;"",COUNTIFS(tcTipo,AD2775,tcLiq,"Sí")&gt;0),IF(OR(P2775="Gasto",P2775="Transferencia",P2775="Pago tarjeta"),-1,1)*S2775,0)+IF(AND(AE2775&lt;&gt;"",COUNTIFS(tcTipo,AE2775,tcLiq,"Sí")&gt;0),S2775,0))</f>
        <v/>
      </c>
      <c r="AI2775" s="52">
        <f>IF(OR(L2775="",P2775=""),"",IF(COUNTIFS(L$6:L2775,L2775,P$6:P2775,"?*")=1,MAX(AI$5:AI2774)+1,""))</f>
        <v/>
      </c>
    </row>
    <row r="2776">
      <c r="B2776" s="47" t="n"/>
      <c r="C2776" s="48" t="n"/>
      <c r="D2776" s="48" t="n"/>
      <c r="E2776" s="48" t="n"/>
      <c r="F2776" s="48" t="n"/>
      <c r="G2776" s="49" t="n"/>
      <c r="H2776" s="48" t="n"/>
      <c r="I2776" s="50" t="n"/>
      <c r="J2776" s="48" t="n"/>
      <c r="K2776" s="48" t="n"/>
      <c r="L2776" s="48" t="n"/>
      <c r="M2776" s="48" t="n"/>
      <c r="N2776" s="48" t="n"/>
      <c r="O2776" s="51">
        <f>IF(AND(B2776="",G2776="",C2776="",D2776="",J2776=""),"",IF(B2776="","⚠ Falta fecha",IF(G2776="","⚠ Falta monto",IF(Q2776="","⚠ Falta cuenta",IF(ISNA(MATCH(Q2776,ctaNombre,0)),"⚠ Cuenta no registrada",IF(AND(OR(P2776="Gasto",P2776="Reembolso"),D2776=""),"⚠ Falta categoría",IF(AND(D2776&lt;&gt;"",E2776&lt;&gt;"",ISNA(MATCH(D2776&amp;"|"&amp;E2776,catClave,0))),"⚠ Subcategoría no corresponde",IF(AND(OR(P2776="Transferencia",P2776="Pago tarjeta"),K2776=""),"⚠ Falta cuenta destino",IF(AND(K2776&lt;&gt;"",P2776&lt;&gt;"Transferencia",P2776&lt;&gt;"Pago tarjeta"),"⚠ Destino solo aplica a transferencias",IF(AND(K2776&lt;&gt;"",K2776=Q2776),"⚠ Origen igual a destino",IF(AND(K2776&lt;&gt;"",ISNA(MATCH(K2776,ctaNombre,0))),"⚠ Destino no registrado",IF(AND(P2776="Pago tarjeta",AE2776&lt;&gt;"Tarjeta de crédito"),"⚠ El destino debe ser tarjeta de crédito",IF(AND(P2776="Gasto",E2776="Depósitos y retiros"),"⚠ Usa tipo Transferencia",IF(AND(P2776="Resultado trading",AD2776&lt;&gt;"Cuenta de trading"),"⚠ Usa una cuenta de trading",IF(AND(G2776&lt;=0,P2776&lt;&gt;"Ajuste",P2776&lt;&gt;"Resultado trading"),"⚠ El monto debe ser positivo","✓")))))))))))))))</f>
        <v/>
      </c>
      <c r="P2776" s="52">
        <f>IF(OR(B2776="",G2776=""),"",IF(C2776="","Gasto",C2776))</f>
        <v/>
      </c>
      <c r="Q2776" s="52">
        <f>IF(P2776="","",IF(J2776&lt;&gt;"",J2776,CuentaPred&amp;""))</f>
        <v/>
      </c>
      <c r="R2776" s="52">
        <f>IF(P2776="","",IF(ISNUMBER(I2776),I2776,TasaUSD))</f>
        <v/>
      </c>
      <c r="S2776" s="53">
        <f>IF(P2776="","",IF(H2776="USD",G2776*R2776,G2776))</f>
        <v/>
      </c>
      <c r="T2776" s="53">
        <f>IF(P2776="","",IF(H2776="USD",G2776,IF(R2776&gt;0,G2776/R2776,0)))</f>
        <v/>
      </c>
      <c r="U2776" s="53">
        <f>IF(P2776="","",IF(P2776="Gasto",S2776,IF(P2776="Reembolso",-S2776,0)))</f>
        <v/>
      </c>
      <c r="V2776" s="53">
        <f>IF(P2776="","",IF(P2776="Ingreso",S2776,0))</f>
        <v/>
      </c>
      <c r="W2776" s="53">
        <f>IF(P2776="","",IF(P2776="Resultado trading",S2776,0))</f>
        <v/>
      </c>
      <c r="X2776" s="52">
        <f>IF(OR(P2776="Gasto",P2776="Reembolso"),IF(M2776&lt;&gt;"",M2776,IFERROR(INDEX(catClasif,MATCH(D2776&amp;"|"&amp;E2776,catClave,0))&amp;"","Variable")),"")</f>
        <v/>
      </c>
      <c r="Y2776" s="52">
        <f>IF(P2776="","",IFERROR(INDEX(catGrupo,MATCH(D2776&amp;"|"&amp;E2776,catClave,0))&amp;"",""))</f>
        <v/>
      </c>
      <c r="Z2776" s="52">
        <f>IF(P2776="","",WEEKDAY(B2776,2))</f>
        <v/>
      </c>
      <c r="AA2776" s="52">
        <f>IF(P2776="","",IF(AND(P2776="Gasto",X2776="Variable",D2776&lt;&gt;catTrading,S2776&gt;0,S2776&lt;=Umbral),1,0))</f>
        <v/>
      </c>
      <c r="AB2776" s="52">
        <f>IF(OR(P2776="",Q2776=""),"",IFERROR(IF(INDEX(ctaVinc,MATCH(Q2776,ctaNombre,0))&amp;""&lt;&gt;"",INDEX(ctaVinc,MATCH(Q2776,ctaNombre,0))&amp;"",Q2776),Q2776))</f>
        <v/>
      </c>
      <c r="AC2776" s="52">
        <f>IF(OR(K2776="",AND(P2776&lt;&gt;"Transferencia",P2776&lt;&gt;"Pago tarjeta")),"",IFERROR(IF(INDEX(ctaVinc,MATCH(K2776,ctaNombre,0))&amp;""&lt;&gt;"",INDEX(ctaVinc,MATCH(K2776,ctaNombre,0))&amp;"",K2776),K2776))</f>
        <v/>
      </c>
      <c r="AD2776" s="52">
        <f>IF(AB2776="","",IFERROR(INDEX(ctaTipo,MATCH(AB2776,ctaNombre,0))&amp;"",""))</f>
        <v/>
      </c>
      <c r="AE2776" s="52">
        <f>IF(AC2776="","",IFERROR(INDEX(ctaTipo,MATCH(AC2776,ctaNombre,0))&amp;"",""))</f>
        <v/>
      </c>
      <c r="AF2776" s="53">
        <f>IF(OR(P2776="",AB2776=""),"",IF(OR(P2776="Gasto",P2776="Transferencia",P2776="Pago tarjeta"),-1,1)*IF(IFERROR(INDEX(ctaMoneda,MATCH(AB2776,ctaNombre,0))&amp;"","DOP")="USD",T2776,S2776))</f>
        <v/>
      </c>
      <c r="AG2776" s="53">
        <f>IF(AC2776="","",IF(IFERROR(INDEX(ctaMoneda,MATCH(AC2776,ctaNombre,0))&amp;"","DOP")="USD",T2776,S2776))</f>
        <v/>
      </c>
      <c r="AH2776" s="53">
        <f>IF(P2776="","",IF(AND(AD2776&lt;&gt;"",COUNTIFS(tcTipo,AD2776,tcLiq,"Sí")&gt;0),IF(OR(P2776="Gasto",P2776="Transferencia",P2776="Pago tarjeta"),-1,1)*S2776,0)+IF(AND(AE2776&lt;&gt;"",COUNTIFS(tcTipo,AE2776,tcLiq,"Sí")&gt;0),S2776,0))</f>
        <v/>
      </c>
      <c r="AI2776" s="52">
        <f>IF(OR(L2776="",P2776=""),"",IF(COUNTIFS(L$6:L2776,L2776,P$6:P2776,"?*")=1,MAX(AI$5:AI2775)+1,""))</f>
        <v/>
      </c>
    </row>
    <row r="2777">
      <c r="B2777" s="47" t="n"/>
      <c r="C2777" s="48" t="n"/>
      <c r="D2777" s="48" t="n"/>
      <c r="E2777" s="48" t="n"/>
      <c r="F2777" s="48" t="n"/>
      <c r="G2777" s="49" t="n"/>
      <c r="H2777" s="48" t="n"/>
      <c r="I2777" s="50" t="n"/>
      <c r="J2777" s="48" t="n"/>
      <c r="K2777" s="48" t="n"/>
      <c r="L2777" s="48" t="n"/>
      <c r="M2777" s="48" t="n"/>
      <c r="N2777" s="48" t="n"/>
      <c r="O2777" s="51">
        <f>IF(AND(B2777="",G2777="",C2777="",D2777="",J2777=""),"",IF(B2777="","⚠ Falta fecha",IF(G2777="","⚠ Falta monto",IF(Q2777="","⚠ Falta cuenta",IF(ISNA(MATCH(Q2777,ctaNombre,0)),"⚠ Cuenta no registrada",IF(AND(OR(P2777="Gasto",P2777="Reembolso"),D2777=""),"⚠ Falta categoría",IF(AND(D2777&lt;&gt;"",E2777&lt;&gt;"",ISNA(MATCH(D2777&amp;"|"&amp;E2777,catClave,0))),"⚠ Subcategoría no corresponde",IF(AND(OR(P2777="Transferencia",P2777="Pago tarjeta"),K2777=""),"⚠ Falta cuenta destino",IF(AND(K2777&lt;&gt;"",P2777&lt;&gt;"Transferencia",P2777&lt;&gt;"Pago tarjeta"),"⚠ Destino solo aplica a transferencias",IF(AND(K2777&lt;&gt;"",K2777=Q2777),"⚠ Origen igual a destino",IF(AND(K2777&lt;&gt;"",ISNA(MATCH(K2777,ctaNombre,0))),"⚠ Destino no registrado",IF(AND(P2777="Pago tarjeta",AE2777&lt;&gt;"Tarjeta de crédito"),"⚠ El destino debe ser tarjeta de crédito",IF(AND(P2777="Gasto",E2777="Depósitos y retiros"),"⚠ Usa tipo Transferencia",IF(AND(P2777="Resultado trading",AD2777&lt;&gt;"Cuenta de trading"),"⚠ Usa una cuenta de trading",IF(AND(G2777&lt;=0,P2777&lt;&gt;"Ajuste",P2777&lt;&gt;"Resultado trading"),"⚠ El monto debe ser positivo","✓")))))))))))))))</f>
        <v/>
      </c>
      <c r="P2777" s="52">
        <f>IF(OR(B2777="",G2777=""),"",IF(C2777="","Gasto",C2777))</f>
        <v/>
      </c>
      <c r="Q2777" s="52">
        <f>IF(P2777="","",IF(J2777&lt;&gt;"",J2777,CuentaPred&amp;""))</f>
        <v/>
      </c>
      <c r="R2777" s="52">
        <f>IF(P2777="","",IF(ISNUMBER(I2777),I2777,TasaUSD))</f>
        <v/>
      </c>
      <c r="S2777" s="53">
        <f>IF(P2777="","",IF(H2777="USD",G2777*R2777,G2777))</f>
        <v/>
      </c>
      <c r="T2777" s="53">
        <f>IF(P2777="","",IF(H2777="USD",G2777,IF(R2777&gt;0,G2777/R2777,0)))</f>
        <v/>
      </c>
      <c r="U2777" s="53">
        <f>IF(P2777="","",IF(P2777="Gasto",S2777,IF(P2777="Reembolso",-S2777,0)))</f>
        <v/>
      </c>
      <c r="V2777" s="53">
        <f>IF(P2777="","",IF(P2777="Ingreso",S2777,0))</f>
        <v/>
      </c>
      <c r="W2777" s="53">
        <f>IF(P2777="","",IF(P2777="Resultado trading",S2777,0))</f>
        <v/>
      </c>
      <c r="X2777" s="52">
        <f>IF(OR(P2777="Gasto",P2777="Reembolso"),IF(M2777&lt;&gt;"",M2777,IFERROR(INDEX(catClasif,MATCH(D2777&amp;"|"&amp;E2777,catClave,0))&amp;"","Variable")),"")</f>
        <v/>
      </c>
      <c r="Y2777" s="52">
        <f>IF(P2777="","",IFERROR(INDEX(catGrupo,MATCH(D2777&amp;"|"&amp;E2777,catClave,0))&amp;"",""))</f>
        <v/>
      </c>
      <c r="Z2777" s="52">
        <f>IF(P2777="","",WEEKDAY(B2777,2))</f>
        <v/>
      </c>
      <c r="AA2777" s="52">
        <f>IF(P2777="","",IF(AND(P2777="Gasto",X2777="Variable",D2777&lt;&gt;catTrading,S2777&gt;0,S2777&lt;=Umbral),1,0))</f>
        <v/>
      </c>
      <c r="AB2777" s="52">
        <f>IF(OR(P2777="",Q2777=""),"",IFERROR(IF(INDEX(ctaVinc,MATCH(Q2777,ctaNombre,0))&amp;""&lt;&gt;"",INDEX(ctaVinc,MATCH(Q2777,ctaNombre,0))&amp;"",Q2777),Q2777))</f>
        <v/>
      </c>
      <c r="AC2777" s="52">
        <f>IF(OR(K2777="",AND(P2777&lt;&gt;"Transferencia",P2777&lt;&gt;"Pago tarjeta")),"",IFERROR(IF(INDEX(ctaVinc,MATCH(K2777,ctaNombre,0))&amp;""&lt;&gt;"",INDEX(ctaVinc,MATCH(K2777,ctaNombre,0))&amp;"",K2777),K2777))</f>
        <v/>
      </c>
      <c r="AD2777" s="52">
        <f>IF(AB2777="","",IFERROR(INDEX(ctaTipo,MATCH(AB2777,ctaNombre,0))&amp;"",""))</f>
        <v/>
      </c>
      <c r="AE2777" s="52">
        <f>IF(AC2777="","",IFERROR(INDEX(ctaTipo,MATCH(AC2777,ctaNombre,0))&amp;"",""))</f>
        <v/>
      </c>
      <c r="AF2777" s="53">
        <f>IF(OR(P2777="",AB2777=""),"",IF(OR(P2777="Gasto",P2777="Transferencia",P2777="Pago tarjeta"),-1,1)*IF(IFERROR(INDEX(ctaMoneda,MATCH(AB2777,ctaNombre,0))&amp;"","DOP")="USD",T2777,S2777))</f>
        <v/>
      </c>
      <c r="AG2777" s="53">
        <f>IF(AC2777="","",IF(IFERROR(INDEX(ctaMoneda,MATCH(AC2777,ctaNombre,0))&amp;"","DOP")="USD",T2777,S2777))</f>
        <v/>
      </c>
      <c r="AH2777" s="53">
        <f>IF(P2777="","",IF(AND(AD2777&lt;&gt;"",COUNTIFS(tcTipo,AD2777,tcLiq,"Sí")&gt;0),IF(OR(P2777="Gasto",P2777="Transferencia",P2777="Pago tarjeta"),-1,1)*S2777,0)+IF(AND(AE2777&lt;&gt;"",COUNTIFS(tcTipo,AE2777,tcLiq,"Sí")&gt;0),S2777,0))</f>
        <v/>
      </c>
      <c r="AI2777" s="52">
        <f>IF(OR(L2777="",P2777=""),"",IF(COUNTIFS(L$6:L2777,L2777,P$6:P2777,"?*")=1,MAX(AI$5:AI2776)+1,""))</f>
        <v/>
      </c>
    </row>
    <row r="2778">
      <c r="B2778" s="47" t="n"/>
      <c r="C2778" s="48" t="n"/>
      <c r="D2778" s="48" t="n"/>
      <c r="E2778" s="48" t="n"/>
      <c r="F2778" s="48" t="n"/>
      <c r="G2778" s="49" t="n"/>
      <c r="H2778" s="48" t="n"/>
      <c r="I2778" s="50" t="n"/>
      <c r="J2778" s="48" t="n"/>
      <c r="K2778" s="48" t="n"/>
      <c r="L2778" s="48" t="n"/>
      <c r="M2778" s="48" t="n"/>
      <c r="N2778" s="48" t="n"/>
      <c r="O2778" s="51">
        <f>IF(AND(B2778="",G2778="",C2778="",D2778="",J2778=""),"",IF(B2778="","⚠ Falta fecha",IF(G2778="","⚠ Falta monto",IF(Q2778="","⚠ Falta cuenta",IF(ISNA(MATCH(Q2778,ctaNombre,0)),"⚠ Cuenta no registrada",IF(AND(OR(P2778="Gasto",P2778="Reembolso"),D2778=""),"⚠ Falta categoría",IF(AND(D2778&lt;&gt;"",E2778&lt;&gt;"",ISNA(MATCH(D2778&amp;"|"&amp;E2778,catClave,0))),"⚠ Subcategoría no corresponde",IF(AND(OR(P2778="Transferencia",P2778="Pago tarjeta"),K2778=""),"⚠ Falta cuenta destino",IF(AND(K2778&lt;&gt;"",P2778&lt;&gt;"Transferencia",P2778&lt;&gt;"Pago tarjeta"),"⚠ Destino solo aplica a transferencias",IF(AND(K2778&lt;&gt;"",K2778=Q2778),"⚠ Origen igual a destino",IF(AND(K2778&lt;&gt;"",ISNA(MATCH(K2778,ctaNombre,0))),"⚠ Destino no registrado",IF(AND(P2778="Pago tarjeta",AE2778&lt;&gt;"Tarjeta de crédito"),"⚠ El destino debe ser tarjeta de crédito",IF(AND(P2778="Gasto",E2778="Depósitos y retiros"),"⚠ Usa tipo Transferencia",IF(AND(P2778="Resultado trading",AD2778&lt;&gt;"Cuenta de trading"),"⚠ Usa una cuenta de trading",IF(AND(G2778&lt;=0,P2778&lt;&gt;"Ajuste",P2778&lt;&gt;"Resultado trading"),"⚠ El monto debe ser positivo","✓")))))))))))))))</f>
        <v/>
      </c>
      <c r="P2778" s="52">
        <f>IF(OR(B2778="",G2778=""),"",IF(C2778="","Gasto",C2778))</f>
        <v/>
      </c>
      <c r="Q2778" s="52">
        <f>IF(P2778="","",IF(J2778&lt;&gt;"",J2778,CuentaPred&amp;""))</f>
        <v/>
      </c>
      <c r="R2778" s="52">
        <f>IF(P2778="","",IF(ISNUMBER(I2778),I2778,TasaUSD))</f>
        <v/>
      </c>
      <c r="S2778" s="53">
        <f>IF(P2778="","",IF(H2778="USD",G2778*R2778,G2778))</f>
        <v/>
      </c>
      <c r="T2778" s="53">
        <f>IF(P2778="","",IF(H2778="USD",G2778,IF(R2778&gt;0,G2778/R2778,0)))</f>
        <v/>
      </c>
      <c r="U2778" s="53">
        <f>IF(P2778="","",IF(P2778="Gasto",S2778,IF(P2778="Reembolso",-S2778,0)))</f>
        <v/>
      </c>
      <c r="V2778" s="53">
        <f>IF(P2778="","",IF(P2778="Ingreso",S2778,0))</f>
        <v/>
      </c>
      <c r="W2778" s="53">
        <f>IF(P2778="","",IF(P2778="Resultado trading",S2778,0))</f>
        <v/>
      </c>
      <c r="X2778" s="52">
        <f>IF(OR(P2778="Gasto",P2778="Reembolso"),IF(M2778&lt;&gt;"",M2778,IFERROR(INDEX(catClasif,MATCH(D2778&amp;"|"&amp;E2778,catClave,0))&amp;"","Variable")),"")</f>
        <v/>
      </c>
      <c r="Y2778" s="52">
        <f>IF(P2778="","",IFERROR(INDEX(catGrupo,MATCH(D2778&amp;"|"&amp;E2778,catClave,0))&amp;"",""))</f>
        <v/>
      </c>
      <c r="Z2778" s="52">
        <f>IF(P2778="","",WEEKDAY(B2778,2))</f>
        <v/>
      </c>
      <c r="AA2778" s="52">
        <f>IF(P2778="","",IF(AND(P2778="Gasto",X2778="Variable",D2778&lt;&gt;catTrading,S2778&gt;0,S2778&lt;=Umbral),1,0))</f>
        <v/>
      </c>
      <c r="AB2778" s="52">
        <f>IF(OR(P2778="",Q2778=""),"",IFERROR(IF(INDEX(ctaVinc,MATCH(Q2778,ctaNombre,0))&amp;""&lt;&gt;"",INDEX(ctaVinc,MATCH(Q2778,ctaNombre,0))&amp;"",Q2778),Q2778))</f>
        <v/>
      </c>
      <c r="AC2778" s="52">
        <f>IF(OR(K2778="",AND(P2778&lt;&gt;"Transferencia",P2778&lt;&gt;"Pago tarjeta")),"",IFERROR(IF(INDEX(ctaVinc,MATCH(K2778,ctaNombre,0))&amp;""&lt;&gt;"",INDEX(ctaVinc,MATCH(K2778,ctaNombre,0))&amp;"",K2778),K2778))</f>
        <v/>
      </c>
      <c r="AD2778" s="52">
        <f>IF(AB2778="","",IFERROR(INDEX(ctaTipo,MATCH(AB2778,ctaNombre,0))&amp;"",""))</f>
        <v/>
      </c>
      <c r="AE2778" s="52">
        <f>IF(AC2778="","",IFERROR(INDEX(ctaTipo,MATCH(AC2778,ctaNombre,0))&amp;"",""))</f>
        <v/>
      </c>
      <c r="AF2778" s="53">
        <f>IF(OR(P2778="",AB2778=""),"",IF(OR(P2778="Gasto",P2778="Transferencia",P2778="Pago tarjeta"),-1,1)*IF(IFERROR(INDEX(ctaMoneda,MATCH(AB2778,ctaNombre,0))&amp;"","DOP")="USD",T2778,S2778))</f>
        <v/>
      </c>
      <c r="AG2778" s="53">
        <f>IF(AC2778="","",IF(IFERROR(INDEX(ctaMoneda,MATCH(AC2778,ctaNombre,0))&amp;"","DOP")="USD",T2778,S2778))</f>
        <v/>
      </c>
      <c r="AH2778" s="53">
        <f>IF(P2778="","",IF(AND(AD2778&lt;&gt;"",COUNTIFS(tcTipo,AD2778,tcLiq,"Sí")&gt;0),IF(OR(P2778="Gasto",P2778="Transferencia",P2778="Pago tarjeta"),-1,1)*S2778,0)+IF(AND(AE2778&lt;&gt;"",COUNTIFS(tcTipo,AE2778,tcLiq,"Sí")&gt;0),S2778,0))</f>
        <v/>
      </c>
      <c r="AI2778" s="52">
        <f>IF(OR(L2778="",P2778=""),"",IF(COUNTIFS(L$6:L2778,L2778,P$6:P2778,"?*")=1,MAX(AI$5:AI2777)+1,""))</f>
        <v/>
      </c>
    </row>
    <row r="2779">
      <c r="B2779" s="47" t="n"/>
      <c r="C2779" s="48" t="n"/>
      <c r="D2779" s="48" t="n"/>
      <c r="E2779" s="48" t="n"/>
      <c r="F2779" s="48" t="n"/>
      <c r="G2779" s="49" t="n"/>
      <c r="H2779" s="48" t="n"/>
      <c r="I2779" s="50" t="n"/>
      <c r="J2779" s="48" t="n"/>
      <c r="K2779" s="48" t="n"/>
      <c r="L2779" s="48" t="n"/>
      <c r="M2779" s="48" t="n"/>
      <c r="N2779" s="48" t="n"/>
      <c r="O2779" s="51">
        <f>IF(AND(B2779="",G2779="",C2779="",D2779="",J2779=""),"",IF(B2779="","⚠ Falta fecha",IF(G2779="","⚠ Falta monto",IF(Q2779="","⚠ Falta cuenta",IF(ISNA(MATCH(Q2779,ctaNombre,0)),"⚠ Cuenta no registrada",IF(AND(OR(P2779="Gasto",P2779="Reembolso"),D2779=""),"⚠ Falta categoría",IF(AND(D2779&lt;&gt;"",E2779&lt;&gt;"",ISNA(MATCH(D2779&amp;"|"&amp;E2779,catClave,0))),"⚠ Subcategoría no corresponde",IF(AND(OR(P2779="Transferencia",P2779="Pago tarjeta"),K2779=""),"⚠ Falta cuenta destino",IF(AND(K2779&lt;&gt;"",P2779&lt;&gt;"Transferencia",P2779&lt;&gt;"Pago tarjeta"),"⚠ Destino solo aplica a transferencias",IF(AND(K2779&lt;&gt;"",K2779=Q2779),"⚠ Origen igual a destino",IF(AND(K2779&lt;&gt;"",ISNA(MATCH(K2779,ctaNombre,0))),"⚠ Destino no registrado",IF(AND(P2779="Pago tarjeta",AE2779&lt;&gt;"Tarjeta de crédito"),"⚠ El destino debe ser tarjeta de crédito",IF(AND(P2779="Gasto",E2779="Depósitos y retiros"),"⚠ Usa tipo Transferencia",IF(AND(P2779="Resultado trading",AD2779&lt;&gt;"Cuenta de trading"),"⚠ Usa una cuenta de trading",IF(AND(G2779&lt;=0,P2779&lt;&gt;"Ajuste",P2779&lt;&gt;"Resultado trading"),"⚠ El monto debe ser positivo","✓")))))))))))))))</f>
        <v/>
      </c>
      <c r="P2779" s="52">
        <f>IF(OR(B2779="",G2779=""),"",IF(C2779="","Gasto",C2779))</f>
        <v/>
      </c>
      <c r="Q2779" s="52">
        <f>IF(P2779="","",IF(J2779&lt;&gt;"",J2779,CuentaPred&amp;""))</f>
        <v/>
      </c>
      <c r="R2779" s="52">
        <f>IF(P2779="","",IF(ISNUMBER(I2779),I2779,TasaUSD))</f>
        <v/>
      </c>
      <c r="S2779" s="53">
        <f>IF(P2779="","",IF(H2779="USD",G2779*R2779,G2779))</f>
        <v/>
      </c>
      <c r="T2779" s="53">
        <f>IF(P2779="","",IF(H2779="USD",G2779,IF(R2779&gt;0,G2779/R2779,0)))</f>
        <v/>
      </c>
      <c r="U2779" s="53">
        <f>IF(P2779="","",IF(P2779="Gasto",S2779,IF(P2779="Reembolso",-S2779,0)))</f>
        <v/>
      </c>
      <c r="V2779" s="53">
        <f>IF(P2779="","",IF(P2779="Ingreso",S2779,0))</f>
        <v/>
      </c>
      <c r="W2779" s="53">
        <f>IF(P2779="","",IF(P2779="Resultado trading",S2779,0))</f>
        <v/>
      </c>
      <c r="X2779" s="52">
        <f>IF(OR(P2779="Gasto",P2779="Reembolso"),IF(M2779&lt;&gt;"",M2779,IFERROR(INDEX(catClasif,MATCH(D2779&amp;"|"&amp;E2779,catClave,0))&amp;"","Variable")),"")</f>
        <v/>
      </c>
      <c r="Y2779" s="52">
        <f>IF(P2779="","",IFERROR(INDEX(catGrupo,MATCH(D2779&amp;"|"&amp;E2779,catClave,0))&amp;"",""))</f>
        <v/>
      </c>
      <c r="Z2779" s="52">
        <f>IF(P2779="","",WEEKDAY(B2779,2))</f>
        <v/>
      </c>
      <c r="AA2779" s="52">
        <f>IF(P2779="","",IF(AND(P2779="Gasto",X2779="Variable",D2779&lt;&gt;catTrading,S2779&gt;0,S2779&lt;=Umbral),1,0))</f>
        <v/>
      </c>
      <c r="AB2779" s="52">
        <f>IF(OR(P2779="",Q2779=""),"",IFERROR(IF(INDEX(ctaVinc,MATCH(Q2779,ctaNombre,0))&amp;""&lt;&gt;"",INDEX(ctaVinc,MATCH(Q2779,ctaNombre,0))&amp;"",Q2779),Q2779))</f>
        <v/>
      </c>
      <c r="AC2779" s="52">
        <f>IF(OR(K2779="",AND(P2779&lt;&gt;"Transferencia",P2779&lt;&gt;"Pago tarjeta")),"",IFERROR(IF(INDEX(ctaVinc,MATCH(K2779,ctaNombre,0))&amp;""&lt;&gt;"",INDEX(ctaVinc,MATCH(K2779,ctaNombre,0))&amp;"",K2779),K2779))</f>
        <v/>
      </c>
      <c r="AD2779" s="52">
        <f>IF(AB2779="","",IFERROR(INDEX(ctaTipo,MATCH(AB2779,ctaNombre,0))&amp;"",""))</f>
        <v/>
      </c>
      <c r="AE2779" s="52">
        <f>IF(AC2779="","",IFERROR(INDEX(ctaTipo,MATCH(AC2779,ctaNombre,0))&amp;"",""))</f>
        <v/>
      </c>
      <c r="AF2779" s="53">
        <f>IF(OR(P2779="",AB2779=""),"",IF(OR(P2779="Gasto",P2779="Transferencia",P2779="Pago tarjeta"),-1,1)*IF(IFERROR(INDEX(ctaMoneda,MATCH(AB2779,ctaNombre,0))&amp;"","DOP")="USD",T2779,S2779))</f>
        <v/>
      </c>
      <c r="AG2779" s="53">
        <f>IF(AC2779="","",IF(IFERROR(INDEX(ctaMoneda,MATCH(AC2779,ctaNombre,0))&amp;"","DOP")="USD",T2779,S2779))</f>
        <v/>
      </c>
      <c r="AH2779" s="53">
        <f>IF(P2779="","",IF(AND(AD2779&lt;&gt;"",COUNTIFS(tcTipo,AD2779,tcLiq,"Sí")&gt;0),IF(OR(P2779="Gasto",P2779="Transferencia",P2779="Pago tarjeta"),-1,1)*S2779,0)+IF(AND(AE2779&lt;&gt;"",COUNTIFS(tcTipo,AE2779,tcLiq,"Sí")&gt;0),S2779,0))</f>
        <v/>
      </c>
      <c r="AI2779" s="52">
        <f>IF(OR(L2779="",P2779=""),"",IF(COUNTIFS(L$6:L2779,L2779,P$6:P2779,"?*")=1,MAX(AI$5:AI2778)+1,""))</f>
        <v/>
      </c>
    </row>
    <row r="2780">
      <c r="B2780" s="47" t="n"/>
      <c r="C2780" s="48" t="n"/>
      <c r="D2780" s="48" t="n"/>
      <c r="E2780" s="48" t="n"/>
      <c r="F2780" s="48" t="n"/>
      <c r="G2780" s="49" t="n"/>
      <c r="H2780" s="48" t="n"/>
      <c r="I2780" s="50" t="n"/>
      <c r="J2780" s="48" t="n"/>
      <c r="K2780" s="48" t="n"/>
      <c r="L2780" s="48" t="n"/>
      <c r="M2780" s="48" t="n"/>
      <c r="N2780" s="48" t="n"/>
      <c r="O2780" s="51">
        <f>IF(AND(B2780="",G2780="",C2780="",D2780="",J2780=""),"",IF(B2780="","⚠ Falta fecha",IF(G2780="","⚠ Falta monto",IF(Q2780="","⚠ Falta cuenta",IF(ISNA(MATCH(Q2780,ctaNombre,0)),"⚠ Cuenta no registrada",IF(AND(OR(P2780="Gasto",P2780="Reembolso"),D2780=""),"⚠ Falta categoría",IF(AND(D2780&lt;&gt;"",E2780&lt;&gt;"",ISNA(MATCH(D2780&amp;"|"&amp;E2780,catClave,0))),"⚠ Subcategoría no corresponde",IF(AND(OR(P2780="Transferencia",P2780="Pago tarjeta"),K2780=""),"⚠ Falta cuenta destino",IF(AND(K2780&lt;&gt;"",P2780&lt;&gt;"Transferencia",P2780&lt;&gt;"Pago tarjeta"),"⚠ Destino solo aplica a transferencias",IF(AND(K2780&lt;&gt;"",K2780=Q2780),"⚠ Origen igual a destino",IF(AND(K2780&lt;&gt;"",ISNA(MATCH(K2780,ctaNombre,0))),"⚠ Destino no registrado",IF(AND(P2780="Pago tarjeta",AE2780&lt;&gt;"Tarjeta de crédito"),"⚠ El destino debe ser tarjeta de crédito",IF(AND(P2780="Gasto",E2780="Depósitos y retiros"),"⚠ Usa tipo Transferencia",IF(AND(P2780="Resultado trading",AD2780&lt;&gt;"Cuenta de trading"),"⚠ Usa una cuenta de trading",IF(AND(G2780&lt;=0,P2780&lt;&gt;"Ajuste",P2780&lt;&gt;"Resultado trading"),"⚠ El monto debe ser positivo","✓")))))))))))))))</f>
        <v/>
      </c>
      <c r="P2780" s="52">
        <f>IF(OR(B2780="",G2780=""),"",IF(C2780="","Gasto",C2780))</f>
        <v/>
      </c>
      <c r="Q2780" s="52">
        <f>IF(P2780="","",IF(J2780&lt;&gt;"",J2780,CuentaPred&amp;""))</f>
        <v/>
      </c>
      <c r="R2780" s="52">
        <f>IF(P2780="","",IF(ISNUMBER(I2780),I2780,TasaUSD))</f>
        <v/>
      </c>
      <c r="S2780" s="53">
        <f>IF(P2780="","",IF(H2780="USD",G2780*R2780,G2780))</f>
        <v/>
      </c>
      <c r="T2780" s="53">
        <f>IF(P2780="","",IF(H2780="USD",G2780,IF(R2780&gt;0,G2780/R2780,0)))</f>
        <v/>
      </c>
      <c r="U2780" s="53">
        <f>IF(P2780="","",IF(P2780="Gasto",S2780,IF(P2780="Reembolso",-S2780,0)))</f>
        <v/>
      </c>
      <c r="V2780" s="53">
        <f>IF(P2780="","",IF(P2780="Ingreso",S2780,0))</f>
        <v/>
      </c>
      <c r="W2780" s="53">
        <f>IF(P2780="","",IF(P2780="Resultado trading",S2780,0))</f>
        <v/>
      </c>
      <c r="X2780" s="52">
        <f>IF(OR(P2780="Gasto",P2780="Reembolso"),IF(M2780&lt;&gt;"",M2780,IFERROR(INDEX(catClasif,MATCH(D2780&amp;"|"&amp;E2780,catClave,0))&amp;"","Variable")),"")</f>
        <v/>
      </c>
      <c r="Y2780" s="52">
        <f>IF(P2780="","",IFERROR(INDEX(catGrupo,MATCH(D2780&amp;"|"&amp;E2780,catClave,0))&amp;"",""))</f>
        <v/>
      </c>
      <c r="Z2780" s="52">
        <f>IF(P2780="","",WEEKDAY(B2780,2))</f>
        <v/>
      </c>
      <c r="AA2780" s="52">
        <f>IF(P2780="","",IF(AND(P2780="Gasto",X2780="Variable",D2780&lt;&gt;catTrading,S2780&gt;0,S2780&lt;=Umbral),1,0))</f>
        <v/>
      </c>
      <c r="AB2780" s="52">
        <f>IF(OR(P2780="",Q2780=""),"",IFERROR(IF(INDEX(ctaVinc,MATCH(Q2780,ctaNombre,0))&amp;""&lt;&gt;"",INDEX(ctaVinc,MATCH(Q2780,ctaNombre,0))&amp;"",Q2780),Q2780))</f>
        <v/>
      </c>
      <c r="AC2780" s="52">
        <f>IF(OR(K2780="",AND(P2780&lt;&gt;"Transferencia",P2780&lt;&gt;"Pago tarjeta")),"",IFERROR(IF(INDEX(ctaVinc,MATCH(K2780,ctaNombre,0))&amp;""&lt;&gt;"",INDEX(ctaVinc,MATCH(K2780,ctaNombre,0))&amp;"",K2780),K2780))</f>
        <v/>
      </c>
      <c r="AD2780" s="52">
        <f>IF(AB2780="","",IFERROR(INDEX(ctaTipo,MATCH(AB2780,ctaNombre,0))&amp;"",""))</f>
        <v/>
      </c>
      <c r="AE2780" s="52">
        <f>IF(AC2780="","",IFERROR(INDEX(ctaTipo,MATCH(AC2780,ctaNombre,0))&amp;"",""))</f>
        <v/>
      </c>
      <c r="AF2780" s="53">
        <f>IF(OR(P2780="",AB2780=""),"",IF(OR(P2780="Gasto",P2780="Transferencia",P2780="Pago tarjeta"),-1,1)*IF(IFERROR(INDEX(ctaMoneda,MATCH(AB2780,ctaNombre,0))&amp;"","DOP")="USD",T2780,S2780))</f>
        <v/>
      </c>
      <c r="AG2780" s="53">
        <f>IF(AC2780="","",IF(IFERROR(INDEX(ctaMoneda,MATCH(AC2780,ctaNombre,0))&amp;"","DOP")="USD",T2780,S2780))</f>
        <v/>
      </c>
      <c r="AH2780" s="53">
        <f>IF(P2780="","",IF(AND(AD2780&lt;&gt;"",COUNTIFS(tcTipo,AD2780,tcLiq,"Sí")&gt;0),IF(OR(P2780="Gasto",P2780="Transferencia",P2780="Pago tarjeta"),-1,1)*S2780,0)+IF(AND(AE2780&lt;&gt;"",COUNTIFS(tcTipo,AE2780,tcLiq,"Sí")&gt;0),S2780,0))</f>
        <v/>
      </c>
      <c r="AI2780" s="52">
        <f>IF(OR(L2780="",P2780=""),"",IF(COUNTIFS(L$6:L2780,L2780,P$6:P2780,"?*")=1,MAX(AI$5:AI2779)+1,""))</f>
        <v/>
      </c>
    </row>
    <row r="2781">
      <c r="B2781" s="47" t="n"/>
      <c r="C2781" s="48" t="n"/>
      <c r="D2781" s="48" t="n"/>
      <c r="E2781" s="48" t="n"/>
      <c r="F2781" s="48" t="n"/>
      <c r="G2781" s="49" t="n"/>
      <c r="H2781" s="48" t="n"/>
      <c r="I2781" s="50" t="n"/>
      <c r="J2781" s="48" t="n"/>
      <c r="K2781" s="48" t="n"/>
      <c r="L2781" s="48" t="n"/>
      <c r="M2781" s="48" t="n"/>
      <c r="N2781" s="48" t="n"/>
      <c r="O2781" s="51">
        <f>IF(AND(B2781="",G2781="",C2781="",D2781="",J2781=""),"",IF(B2781="","⚠ Falta fecha",IF(G2781="","⚠ Falta monto",IF(Q2781="","⚠ Falta cuenta",IF(ISNA(MATCH(Q2781,ctaNombre,0)),"⚠ Cuenta no registrada",IF(AND(OR(P2781="Gasto",P2781="Reembolso"),D2781=""),"⚠ Falta categoría",IF(AND(D2781&lt;&gt;"",E2781&lt;&gt;"",ISNA(MATCH(D2781&amp;"|"&amp;E2781,catClave,0))),"⚠ Subcategoría no corresponde",IF(AND(OR(P2781="Transferencia",P2781="Pago tarjeta"),K2781=""),"⚠ Falta cuenta destino",IF(AND(K2781&lt;&gt;"",P2781&lt;&gt;"Transferencia",P2781&lt;&gt;"Pago tarjeta"),"⚠ Destino solo aplica a transferencias",IF(AND(K2781&lt;&gt;"",K2781=Q2781),"⚠ Origen igual a destino",IF(AND(K2781&lt;&gt;"",ISNA(MATCH(K2781,ctaNombre,0))),"⚠ Destino no registrado",IF(AND(P2781="Pago tarjeta",AE2781&lt;&gt;"Tarjeta de crédito"),"⚠ El destino debe ser tarjeta de crédito",IF(AND(P2781="Gasto",E2781="Depósitos y retiros"),"⚠ Usa tipo Transferencia",IF(AND(P2781="Resultado trading",AD2781&lt;&gt;"Cuenta de trading"),"⚠ Usa una cuenta de trading",IF(AND(G2781&lt;=0,P2781&lt;&gt;"Ajuste",P2781&lt;&gt;"Resultado trading"),"⚠ El monto debe ser positivo","✓")))))))))))))))</f>
        <v/>
      </c>
      <c r="P2781" s="52">
        <f>IF(OR(B2781="",G2781=""),"",IF(C2781="","Gasto",C2781))</f>
        <v/>
      </c>
      <c r="Q2781" s="52">
        <f>IF(P2781="","",IF(J2781&lt;&gt;"",J2781,CuentaPred&amp;""))</f>
        <v/>
      </c>
      <c r="R2781" s="52">
        <f>IF(P2781="","",IF(ISNUMBER(I2781),I2781,TasaUSD))</f>
        <v/>
      </c>
      <c r="S2781" s="53">
        <f>IF(P2781="","",IF(H2781="USD",G2781*R2781,G2781))</f>
        <v/>
      </c>
      <c r="T2781" s="53">
        <f>IF(P2781="","",IF(H2781="USD",G2781,IF(R2781&gt;0,G2781/R2781,0)))</f>
        <v/>
      </c>
      <c r="U2781" s="53">
        <f>IF(P2781="","",IF(P2781="Gasto",S2781,IF(P2781="Reembolso",-S2781,0)))</f>
        <v/>
      </c>
      <c r="V2781" s="53">
        <f>IF(P2781="","",IF(P2781="Ingreso",S2781,0))</f>
        <v/>
      </c>
      <c r="W2781" s="53">
        <f>IF(P2781="","",IF(P2781="Resultado trading",S2781,0))</f>
        <v/>
      </c>
      <c r="X2781" s="52">
        <f>IF(OR(P2781="Gasto",P2781="Reembolso"),IF(M2781&lt;&gt;"",M2781,IFERROR(INDEX(catClasif,MATCH(D2781&amp;"|"&amp;E2781,catClave,0))&amp;"","Variable")),"")</f>
        <v/>
      </c>
      <c r="Y2781" s="52">
        <f>IF(P2781="","",IFERROR(INDEX(catGrupo,MATCH(D2781&amp;"|"&amp;E2781,catClave,0))&amp;"",""))</f>
        <v/>
      </c>
      <c r="Z2781" s="52">
        <f>IF(P2781="","",WEEKDAY(B2781,2))</f>
        <v/>
      </c>
      <c r="AA2781" s="52">
        <f>IF(P2781="","",IF(AND(P2781="Gasto",X2781="Variable",D2781&lt;&gt;catTrading,S2781&gt;0,S2781&lt;=Umbral),1,0))</f>
        <v/>
      </c>
      <c r="AB2781" s="52">
        <f>IF(OR(P2781="",Q2781=""),"",IFERROR(IF(INDEX(ctaVinc,MATCH(Q2781,ctaNombre,0))&amp;""&lt;&gt;"",INDEX(ctaVinc,MATCH(Q2781,ctaNombre,0))&amp;"",Q2781),Q2781))</f>
        <v/>
      </c>
      <c r="AC2781" s="52">
        <f>IF(OR(K2781="",AND(P2781&lt;&gt;"Transferencia",P2781&lt;&gt;"Pago tarjeta")),"",IFERROR(IF(INDEX(ctaVinc,MATCH(K2781,ctaNombre,0))&amp;""&lt;&gt;"",INDEX(ctaVinc,MATCH(K2781,ctaNombre,0))&amp;"",K2781),K2781))</f>
        <v/>
      </c>
      <c r="AD2781" s="52">
        <f>IF(AB2781="","",IFERROR(INDEX(ctaTipo,MATCH(AB2781,ctaNombre,0))&amp;"",""))</f>
        <v/>
      </c>
      <c r="AE2781" s="52">
        <f>IF(AC2781="","",IFERROR(INDEX(ctaTipo,MATCH(AC2781,ctaNombre,0))&amp;"",""))</f>
        <v/>
      </c>
      <c r="AF2781" s="53">
        <f>IF(OR(P2781="",AB2781=""),"",IF(OR(P2781="Gasto",P2781="Transferencia",P2781="Pago tarjeta"),-1,1)*IF(IFERROR(INDEX(ctaMoneda,MATCH(AB2781,ctaNombre,0))&amp;"","DOP")="USD",T2781,S2781))</f>
        <v/>
      </c>
      <c r="AG2781" s="53">
        <f>IF(AC2781="","",IF(IFERROR(INDEX(ctaMoneda,MATCH(AC2781,ctaNombre,0))&amp;"","DOP")="USD",T2781,S2781))</f>
        <v/>
      </c>
      <c r="AH2781" s="53">
        <f>IF(P2781="","",IF(AND(AD2781&lt;&gt;"",COUNTIFS(tcTipo,AD2781,tcLiq,"Sí")&gt;0),IF(OR(P2781="Gasto",P2781="Transferencia",P2781="Pago tarjeta"),-1,1)*S2781,0)+IF(AND(AE2781&lt;&gt;"",COUNTIFS(tcTipo,AE2781,tcLiq,"Sí")&gt;0),S2781,0))</f>
        <v/>
      </c>
      <c r="AI2781" s="52">
        <f>IF(OR(L2781="",P2781=""),"",IF(COUNTIFS(L$6:L2781,L2781,P$6:P2781,"?*")=1,MAX(AI$5:AI2780)+1,""))</f>
        <v/>
      </c>
    </row>
    <row r="2782">
      <c r="B2782" s="47" t="n"/>
      <c r="C2782" s="48" t="n"/>
      <c r="D2782" s="48" t="n"/>
      <c r="E2782" s="48" t="n"/>
      <c r="F2782" s="48" t="n"/>
      <c r="G2782" s="49" t="n"/>
      <c r="H2782" s="48" t="n"/>
      <c r="I2782" s="50" t="n"/>
      <c r="J2782" s="48" t="n"/>
      <c r="K2782" s="48" t="n"/>
      <c r="L2782" s="48" t="n"/>
      <c r="M2782" s="48" t="n"/>
      <c r="N2782" s="48" t="n"/>
      <c r="O2782" s="51">
        <f>IF(AND(B2782="",G2782="",C2782="",D2782="",J2782=""),"",IF(B2782="","⚠ Falta fecha",IF(G2782="","⚠ Falta monto",IF(Q2782="","⚠ Falta cuenta",IF(ISNA(MATCH(Q2782,ctaNombre,0)),"⚠ Cuenta no registrada",IF(AND(OR(P2782="Gasto",P2782="Reembolso"),D2782=""),"⚠ Falta categoría",IF(AND(D2782&lt;&gt;"",E2782&lt;&gt;"",ISNA(MATCH(D2782&amp;"|"&amp;E2782,catClave,0))),"⚠ Subcategoría no corresponde",IF(AND(OR(P2782="Transferencia",P2782="Pago tarjeta"),K2782=""),"⚠ Falta cuenta destino",IF(AND(K2782&lt;&gt;"",P2782&lt;&gt;"Transferencia",P2782&lt;&gt;"Pago tarjeta"),"⚠ Destino solo aplica a transferencias",IF(AND(K2782&lt;&gt;"",K2782=Q2782),"⚠ Origen igual a destino",IF(AND(K2782&lt;&gt;"",ISNA(MATCH(K2782,ctaNombre,0))),"⚠ Destino no registrado",IF(AND(P2782="Pago tarjeta",AE2782&lt;&gt;"Tarjeta de crédito"),"⚠ El destino debe ser tarjeta de crédito",IF(AND(P2782="Gasto",E2782="Depósitos y retiros"),"⚠ Usa tipo Transferencia",IF(AND(P2782="Resultado trading",AD2782&lt;&gt;"Cuenta de trading"),"⚠ Usa una cuenta de trading",IF(AND(G2782&lt;=0,P2782&lt;&gt;"Ajuste",P2782&lt;&gt;"Resultado trading"),"⚠ El monto debe ser positivo","✓")))))))))))))))</f>
        <v/>
      </c>
      <c r="P2782" s="52">
        <f>IF(OR(B2782="",G2782=""),"",IF(C2782="","Gasto",C2782))</f>
        <v/>
      </c>
      <c r="Q2782" s="52">
        <f>IF(P2782="","",IF(J2782&lt;&gt;"",J2782,CuentaPred&amp;""))</f>
        <v/>
      </c>
      <c r="R2782" s="52">
        <f>IF(P2782="","",IF(ISNUMBER(I2782),I2782,TasaUSD))</f>
        <v/>
      </c>
      <c r="S2782" s="53">
        <f>IF(P2782="","",IF(H2782="USD",G2782*R2782,G2782))</f>
        <v/>
      </c>
      <c r="T2782" s="53">
        <f>IF(P2782="","",IF(H2782="USD",G2782,IF(R2782&gt;0,G2782/R2782,0)))</f>
        <v/>
      </c>
      <c r="U2782" s="53">
        <f>IF(P2782="","",IF(P2782="Gasto",S2782,IF(P2782="Reembolso",-S2782,0)))</f>
        <v/>
      </c>
      <c r="V2782" s="53">
        <f>IF(P2782="","",IF(P2782="Ingreso",S2782,0))</f>
        <v/>
      </c>
      <c r="W2782" s="53">
        <f>IF(P2782="","",IF(P2782="Resultado trading",S2782,0))</f>
        <v/>
      </c>
      <c r="X2782" s="52">
        <f>IF(OR(P2782="Gasto",P2782="Reembolso"),IF(M2782&lt;&gt;"",M2782,IFERROR(INDEX(catClasif,MATCH(D2782&amp;"|"&amp;E2782,catClave,0))&amp;"","Variable")),"")</f>
        <v/>
      </c>
      <c r="Y2782" s="52">
        <f>IF(P2782="","",IFERROR(INDEX(catGrupo,MATCH(D2782&amp;"|"&amp;E2782,catClave,0))&amp;"",""))</f>
        <v/>
      </c>
      <c r="Z2782" s="52">
        <f>IF(P2782="","",WEEKDAY(B2782,2))</f>
        <v/>
      </c>
      <c r="AA2782" s="52">
        <f>IF(P2782="","",IF(AND(P2782="Gasto",X2782="Variable",D2782&lt;&gt;catTrading,S2782&gt;0,S2782&lt;=Umbral),1,0))</f>
        <v/>
      </c>
      <c r="AB2782" s="52">
        <f>IF(OR(P2782="",Q2782=""),"",IFERROR(IF(INDEX(ctaVinc,MATCH(Q2782,ctaNombre,0))&amp;""&lt;&gt;"",INDEX(ctaVinc,MATCH(Q2782,ctaNombre,0))&amp;"",Q2782),Q2782))</f>
        <v/>
      </c>
      <c r="AC2782" s="52">
        <f>IF(OR(K2782="",AND(P2782&lt;&gt;"Transferencia",P2782&lt;&gt;"Pago tarjeta")),"",IFERROR(IF(INDEX(ctaVinc,MATCH(K2782,ctaNombre,0))&amp;""&lt;&gt;"",INDEX(ctaVinc,MATCH(K2782,ctaNombre,0))&amp;"",K2782),K2782))</f>
        <v/>
      </c>
      <c r="AD2782" s="52">
        <f>IF(AB2782="","",IFERROR(INDEX(ctaTipo,MATCH(AB2782,ctaNombre,0))&amp;"",""))</f>
        <v/>
      </c>
      <c r="AE2782" s="52">
        <f>IF(AC2782="","",IFERROR(INDEX(ctaTipo,MATCH(AC2782,ctaNombre,0))&amp;"",""))</f>
        <v/>
      </c>
      <c r="AF2782" s="53">
        <f>IF(OR(P2782="",AB2782=""),"",IF(OR(P2782="Gasto",P2782="Transferencia",P2782="Pago tarjeta"),-1,1)*IF(IFERROR(INDEX(ctaMoneda,MATCH(AB2782,ctaNombre,0))&amp;"","DOP")="USD",T2782,S2782))</f>
        <v/>
      </c>
      <c r="AG2782" s="53">
        <f>IF(AC2782="","",IF(IFERROR(INDEX(ctaMoneda,MATCH(AC2782,ctaNombre,0))&amp;"","DOP")="USD",T2782,S2782))</f>
        <v/>
      </c>
      <c r="AH2782" s="53">
        <f>IF(P2782="","",IF(AND(AD2782&lt;&gt;"",COUNTIFS(tcTipo,AD2782,tcLiq,"Sí")&gt;0),IF(OR(P2782="Gasto",P2782="Transferencia",P2782="Pago tarjeta"),-1,1)*S2782,0)+IF(AND(AE2782&lt;&gt;"",COUNTIFS(tcTipo,AE2782,tcLiq,"Sí")&gt;0),S2782,0))</f>
        <v/>
      </c>
      <c r="AI2782" s="52">
        <f>IF(OR(L2782="",P2782=""),"",IF(COUNTIFS(L$6:L2782,L2782,P$6:P2782,"?*")=1,MAX(AI$5:AI2781)+1,""))</f>
        <v/>
      </c>
    </row>
    <row r="2783">
      <c r="B2783" s="47" t="n"/>
      <c r="C2783" s="48" t="n"/>
      <c r="D2783" s="48" t="n"/>
      <c r="E2783" s="48" t="n"/>
      <c r="F2783" s="48" t="n"/>
      <c r="G2783" s="49" t="n"/>
      <c r="H2783" s="48" t="n"/>
      <c r="I2783" s="50" t="n"/>
      <c r="J2783" s="48" t="n"/>
      <c r="K2783" s="48" t="n"/>
      <c r="L2783" s="48" t="n"/>
      <c r="M2783" s="48" t="n"/>
      <c r="N2783" s="48" t="n"/>
      <c r="O2783" s="51">
        <f>IF(AND(B2783="",G2783="",C2783="",D2783="",J2783=""),"",IF(B2783="","⚠ Falta fecha",IF(G2783="","⚠ Falta monto",IF(Q2783="","⚠ Falta cuenta",IF(ISNA(MATCH(Q2783,ctaNombre,0)),"⚠ Cuenta no registrada",IF(AND(OR(P2783="Gasto",P2783="Reembolso"),D2783=""),"⚠ Falta categoría",IF(AND(D2783&lt;&gt;"",E2783&lt;&gt;"",ISNA(MATCH(D2783&amp;"|"&amp;E2783,catClave,0))),"⚠ Subcategoría no corresponde",IF(AND(OR(P2783="Transferencia",P2783="Pago tarjeta"),K2783=""),"⚠ Falta cuenta destino",IF(AND(K2783&lt;&gt;"",P2783&lt;&gt;"Transferencia",P2783&lt;&gt;"Pago tarjeta"),"⚠ Destino solo aplica a transferencias",IF(AND(K2783&lt;&gt;"",K2783=Q2783),"⚠ Origen igual a destino",IF(AND(K2783&lt;&gt;"",ISNA(MATCH(K2783,ctaNombre,0))),"⚠ Destino no registrado",IF(AND(P2783="Pago tarjeta",AE2783&lt;&gt;"Tarjeta de crédito"),"⚠ El destino debe ser tarjeta de crédito",IF(AND(P2783="Gasto",E2783="Depósitos y retiros"),"⚠ Usa tipo Transferencia",IF(AND(P2783="Resultado trading",AD2783&lt;&gt;"Cuenta de trading"),"⚠ Usa una cuenta de trading",IF(AND(G2783&lt;=0,P2783&lt;&gt;"Ajuste",P2783&lt;&gt;"Resultado trading"),"⚠ El monto debe ser positivo","✓")))))))))))))))</f>
        <v/>
      </c>
      <c r="P2783" s="52">
        <f>IF(OR(B2783="",G2783=""),"",IF(C2783="","Gasto",C2783))</f>
        <v/>
      </c>
      <c r="Q2783" s="52">
        <f>IF(P2783="","",IF(J2783&lt;&gt;"",J2783,CuentaPred&amp;""))</f>
        <v/>
      </c>
      <c r="R2783" s="52">
        <f>IF(P2783="","",IF(ISNUMBER(I2783),I2783,TasaUSD))</f>
        <v/>
      </c>
      <c r="S2783" s="53">
        <f>IF(P2783="","",IF(H2783="USD",G2783*R2783,G2783))</f>
        <v/>
      </c>
      <c r="T2783" s="53">
        <f>IF(P2783="","",IF(H2783="USD",G2783,IF(R2783&gt;0,G2783/R2783,0)))</f>
        <v/>
      </c>
      <c r="U2783" s="53">
        <f>IF(P2783="","",IF(P2783="Gasto",S2783,IF(P2783="Reembolso",-S2783,0)))</f>
        <v/>
      </c>
      <c r="V2783" s="53">
        <f>IF(P2783="","",IF(P2783="Ingreso",S2783,0))</f>
        <v/>
      </c>
      <c r="W2783" s="53">
        <f>IF(P2783="","",IF(P2783="Resultado trading",S2783,0))</f>
        <v/>
      </c>
      <c r="X2783" s="52">
        <f>IF(OR(P2783="Gasto",P2783="Reembolso"),IF(M2783&lt;&gt;"",M2783,IFERROR(INDEX(catClasif,MATCH(D2783&amp;"|"&amp;E2783,catClave,0))&amp;"","Variable")),"")</f>
        <v/>
      </c>
      <c r="Y2783" s="52">
        <f>IF(P2783="","",IFERROR(INDEX(catGrupo,MATCH(D2783&amp;"|"&amp;E2783,catClave,0))&amp;"",""))</f>
        <v/>
      </c>
      <c r="Z2783" s="52">
        <f>IF(P2783="","",WEEKDAY(B2783,2))</f>
        <v/>
      </c>
      <c r="AA2783" s="52">
        <f>IF(P2783="","",IF(AND(P2783="Gasto",X2783="Variable",D2783&lt;&gt;catTrading,S2783&gt;0,S2783&lt;=Umbral),1,0))</f>
        <v/>
      </c>
      <c r="AB2783" s="52">
        <f>IF(OR(P2783="",Q2783=""),"",IFERROR(IF(INDEX(ctaVinc,MATCH(Q2783,ctaNombre,0))&amp;""&lt;&gt;"",INDEX(ctaVinc,MATCH(Q2783,ctaNombre,0))&amp;"",Q2783),Q2783))</f>
        <v/>
      </c>
      <c r="AC2783" s="52">
        <f>IF(OR(K2783="",AND(P2783&lt;&gt;"Transferencia",P2783&lt;&gt;"Pago tarjeta")),"",IFERROR(IF(INDEX(ctaVinc,MATCH(K2783,ctaNombre,0))&amp;""&lt;&gt;"",INDEX(ctaVinc,MATCH(K2783,ctaNombre,0))&amp;"",K2783),K2783))</f>
        <v/>
      </c>
      <c r="AD2783" s="52">
        <f>IF(AB2783="","",IFERROR(INDEX(ctaTipo,MATCH(AB2783,ctaNombre,0))&amp;"",""))</f>
        <v/>
      </c>
      <c r="AE2783" s="52">
        <f>IF(AC2783="","",IFERROR(INDEX(ctaTipo,MATCH(AC2783,ctaNombre,0))&amp;"",""))</f>
        <v/>
      </c>
      <c r="AF2783" s="53">
        <f>IF(OR(P2783="",AB2783=""),"",IF(OR(P2783="Gasto",P2783="Transferencia",P2783="Pago tarjeta"),-1,1)*IF(IFERROR(INDEX(ctaMoneda,MATCH(AB2783,ctaNombre,0))&amp;"","DOP")="USD",T2783,S2783))</f>
        <v/>
      </c>
      <c r="AG2783" s="53">
        <f>IF(AC2783="","",IF(IFERROR(INDEX(ctaMoneda,MATCH(AC2783,ctaNombre,0))&amp;"","DOP")="USD",T2783,S2783))</f>
        <v/>
      </c>
      <c r="AH2783" s="53">
        <f>IF(P2783="","",IF(AND(AD2783&lt;&gt;"",COUNTIFS(tcTipo,AD2783,tcLiq,"Sí")&gt;0),IF(OR(P2783="Gasto",P2783="Transferencia",P2783="Pago tarjeta"),-1,1)*S2783,0)+IF(AND(AE2783&lt;&gt;"",COUNTIFS(tcTipo,AE2783,tcLiq,"Sí")&gt;0),S2783,0))</f>
        <v/>
      </c>
      <c r="AI2783" s="52">
        <f>IF(OR(L2783="",P2783=""),"",IF(COUNTIFS(L$6:L2783,L2783,P$6:P2783,"?*")=1,MAX(AI$5:AI2782)+1,""))</f>
        <v/>
      </c>
    </row>
    <row r="2784">
      <c r="B2784" s="47" t="n"/>
      <c r="C2784" s="48" t="n"/>
      <c r="D2784" s="48" t="n"/>
      <c r="E2784" s="48" t="n"/>
      <c r="F2784" s="48" t="n"/>
      <c r="G2784" s="49" t="n"/>
      <c r="H2784" s="48" t="n"/>
      <c r="I2784" s="50" t="n"/>
      <c r="J2784" s="48" t="n"/>
      <c r="K2784" s="48" t="n"/>
      <c r="L2784" s="48" t="n"/>
      <c r="M2784" s="48" t="n"/>
      <c r="N2784" s="48" t="n"/>
      <c r="O2784" s="51">
        <f>IF(AND(B2784="",G2784="",C2784="",D2784="",J2784=""),"",IF(B2784="","⚠ Falta fecha",IF(G2784="","⚠ Falta monto",IF(Q2784="","⚠ Falta cuenta",IF(ISNA(MATCH(Q2784,ctaNombre,0)),"⚠ Cuenta no registrada",IF(AND(OR(P2784="Gasto",P2784="Reembolso"),D2784=""),"⚠ Falta categoría",IF(AND(D2784&lt;&gt;"",E2784&lt;&gt;"",ISNA(MATCH(D2784&amp;"|"&amp;E2784,catClave,0))),"⚠ Subcategoría no corresponde",IF(AND(OR(P2784="Transferencia",P2784="Pago tarjeta"),K2784=""),"⚠ Falta cuenta destino",IF(AND(K2784&lt;&gt;"",P2784&lt;&gt;"Transferencia",P2784&lt;&gt;"Pago tarjeta"),"⚠ Destino solo aplica a transferencias",IF(AND(K2784&lt;&gt;"",K2784=Q2784),"⚠ Origen igual a destino",IF(AND(K2784&lt;&gt;"",ISNA(MATCH(K2784,ctaNombre,0))),"⚠ Destino no registrado",IF(AND(P2784="Pago tarjeta",AE2784&lt;&gt;"Tarjeta de crédito"),"⚠ El destino debe ser tarjeta de crédito",IF(AND(P2784="Gasto",E2784="Depósitos y retiros"),"⚠ Usa tipo Transferencia",IF(AND(P2784="Resultado trading",AD2784&lt;&gt;"Cuenta de trading"),"⚠ Usa una cuenta de trading",IF(AND(G2784&lt;=0,P2784&lt;&gt;"Ajuste",P2784&lt;&gt;"Resultado trading"),"⚠ El monto debe ser positivo","✓")))))))))))))))</f>
        <v/>
      </c>
      <c r="P2784" s="52">
        <f>IF(OR(B2784="",G2784=""),"",IF(C2784="","Gasto",C2784))</f>
        <v/>
      </c>
      <c r="Q2784" s="52">
        <f>IF(P2784="","",IF(J2784&lt;&gt;"",J2784,CuentaPred&amp;""))</f>
        <v/>
      </c>
      <c r="R2784" s="52">
        <f>IF(P2784="","",IF(ISNUMBER(I2784),I2784,TasaUSD))</f>
        <v/>
      </c>
      <c r="S2784" s="53">
        <f>IF(P2784="","",IF(H2784="USD",G2784*R2784,G2784))</f>
        <v/>
      </c>
      <c r="T2784" s="53">
        <f>IF(P2784="","",IF(H2784="USD",G2784,IF(R2784&gt;0,G2784/R2784,0)))</f>
        <v/>
      </c>
      <c r="U2784" s="53">
        <f>IF(P2784="","",IF(P2784="Gasto",S2784,IF(P2784="Reembolso",-S2784,0)))</f>
        <v/>
      </c>
      <c r="V2784" s="53">
        <f>IF(P2784="","",IF(P2784="Ingreso",S2784,0))</f>
        <v/>
      </c>
      <c r="W2784" s="53">
        <f>IF(P2784="","",IF(P2784="Resultado trading",S2784,0))</f>
        <v/>
      </c>
      <c r="X2784" s="52">
        <f>IF(OR(P2784="Gasto",P2784="Reembolso"),IF(M2784&lt;&gt;"",M2784,IFERROR(INDEX(catClasif,MATCH(D2784&amp;"|"&amp;E2784,catClave,0))&amp;"","Variable")),"")</f>
        <v/>
      </c>
      <c r="Y2784" s="52">
        <f>IF(P2784="","",IFERROR(INDEX(catGrupo,MATCH(D2784&amp;"|"&amp;E2784,catClave,0))&amp;"",""))</f>
        <v/>
      </c>
      <c r="Z2784" s="52">
        <f>IF(P2784="","",WEEKDAY(B2784,2))</f>
        <v/>
      </c>
      <c r="AA2784" s="52">
        <f>IF(P2784="","",IF(AND(P2784="Gasto",X2784="Variable",D2784&lt;&gt;catTrading,S2784&gt;0,S2784&lt;=Umbral),1,0))</f>
        <v/>
      </c>
      <c r="AB2784" s="52">
        <f>IF(OR(P2784="",Q2784=""),"",IFERROR(IF(INDEX(ctaVinc,MATCH(Q2784,ctaNombre,0))&amp;""&lt;&gt;"",INDEX(ctaVinc,MATCH(Q2784,ctaNombre,0))&amp;"",Q2784),Q2784))</f>
        <v/>
      </c>
      <c r="AC2784" s="52">
        <f>IF(OR(K2784="",AND(P2784&lt;&gt;"Transferencia",P2784&lt;&gt;"Pago tarjeta")),"",IFERROR(IF(INDEX(ctaVinc,MATCH(K2784,ctaNombre,0))&amp;""&lt;&gt;"",INDEX(ctaVinc,MATCH(K2784,ctaNombre,0))&amp;"",K2784),K2784))</f>
        <v/>
      </c>
      <c r="AD2784" s="52">
        <f>IF(AB2784="","",IFERROR(INDEX(ctaTipo,MATCH(AB2784,ctaNombre,0))&amp;"",""))</f>
        <v/>
      </c>
      <c r="AE2784" s="52">
        <f>IF(AC2784="","",IFERROR(INDEX(ctaTipo,MATCH(AC2784,ctaNombre,0))&amp;"",""))</f>
        <v/>
      </c>
      <c r="AF2784" s="53">
        <f>IF(OR(P2784="",AB2784=""),"",IF(OR(P2784="Gasto",P2784="Transferencia",P2784="Pago tarjeta"),-1,1)*IF(IFERROR(INDEX(ctaMoneda,MATCH(AB2784,ctaNombre,0))&amp;"","DOP")="USD",T2784,S2784))</f>
        <v/>
      </c>
      <c r="AG2784" s="53">
        <f>IF(AC2784="","",IF(IFERROR(INDEX(ctaMoneda,MATCH(AC2784,ctaNombre,0))&amp;"","DOP")="USD",T2784,S2784))</f>
        <v/>
      </c>
      <c r="AH2784" s="53">
        <f>IF(P2784="","",IF(AND(AD2784&lt;&gt;"",COUNTIFS(tcTipo,AD2784,tcLiq,"Sí")&gt;0),IF(OR(P2784="Gasto",P2784="Transferencia",P2784="Pago tarjeta"),-1,1)*S2784,0)+IF(AND(AE2784&lt;&gt;"",COUNTIFS(tcTipo,AE2784,tcLiq,"Sí")&gt;0),S2784,0))</f>
        <v/>
      </c>
      <c r="AI2784" s="52">
        <f>IF(OR(L2784="",P2784=""),"",IF(COUNTIFS(L$6:L2784,L2784,P$6:P2784,"?*")=1,MAX(AI$5:AI2783)+1,""))</f>
        <v/>
      </c>
    </row>
    <row r="2785">
      <c r="B2785" s="47" t="n"/>
      <c r="C2785" s="48" t="n"/>
      <c r="D2785" s="48" t="n"/>
      <c r="E2785" s="48" t="n"/>
      <c r="F2785" s="48" t="n"/>
      <c r="G2785" s="49" t="n"/>
      <c r="H2785" s="48" t="n"/>
      <c r="I2785" s="50" t="n"/>
      <c r="J2785" s="48" t="n"/>
      <c r="K2785" s="48" t="n"/>
      <c r="L2785" s="48" t="n"/>
      <c r="M2785" s="48" t="n"/>
      <c r="N2785" s="48" t="n"/>
      <c r="O2785" s="51">
        <f>IF(AND(B2785="",G2785="",C2785="",D2785="",J2785=""),"",IF(B2785="","⚠ Falta fecha",IF(G2785="","⚠ Falta monto",IF(Q2785="","⚠ Falta cuenta",IF(ISNA(MATCH(Q2785,ctaNombre,0)),"⚠ Cuenta no registrada",IF(AND(OR(P2785="Gasto",P2785="Reembolso"),D2785=""),"⚠ Falta categoría",IF(AND(D2785&lt;&gt;"",E2785&lt;&gt;"",ISNA(MATCH(D2785&amp;"|"&amp;E2785,catClave,0))),"⚠ Subcategoría no corresponde",IF(AND(OR(P2785="Transferencia",P2785="Pago tarjeta"),K2785=""),"⚠ Falta cuenta destino",IF(AND(K2785&lt;&gt;"",P2785&lt;&gt;"Transferencia",P2785&lt;&gt;"Pago tarjeta"),"⚠ Destino solo aplica a transferencias",IF(AND(K2785&lt;&gt;"",K2785=Q2785),"⚠ Origen igual a destino",IF(AND(K2785&lt;&gt;"",ISNA(MATCH(K2785,ctaNombre,0))),"⚠ Destino no registrado",IF(AND(P2785="Pago tarjeta",AE2785&lt;&gt;"Tarjeta de crédito"),"⚠ El destino debe ser tarjeta de crédito",IF(AND(P2785="Gasto",E2785="Depósitos y retiros"),"⚠ Usa tipo Transferencia",IF(AND(P2785="Resultado trading",AD2785&lt;&gt;"Cuenta de trading"),"⚠ Usa una cuenta de trading",IF(AND(G2785&lt;=0,P2785&lt;&gt;"Ajuste",P2785&lt;&gt;"Resultado trading"),"⚠ El monto debe ser positivo","✓")))))))))))))))</f>
        <v/>
      </c>
      <c r="P2785" s="52">
        <f>IF(OR(B2785="",G2785=""),"",IF(C2785="","Gasto",C2785))</f>
        <v/>
      </c>
      <c r="Q2785" s="52">
        <f>IF(P2785="","",IF(J2785&lt;&gt;"",J2785,CuentaPred&amp;""))</f>
        <v/>
      </c>
      <c r="R2785" s="52">
        <f>IF(P2785="","",IF(ISNUMBER(I2785),I2785,TasaUSD))</f>
        <v/>
      </c>
      <c r="S2785" s="53">
        <f>IF(P2785="","",IF(H2785="USD",G2785*R2785,G2785))</f>
        <v/>
      </c>
      <c r="T2785" s="53">
        <f>IF(P2785="","",IF(H2785="USD",G2785,IF(R2785&gt;0,G2785/R2785,0)))</f>
        <v/>
      </c>
      <c r="U2785" s="53">
        <f>IF(P2785="","",IF(P2785="Gasto",S2785,IF(P2785="Reembolso",-S2785,0)))</f>
        <v/>
      </c>
      <c r="V2785" s="53">
        <f>IF(P2785="","",IF(P2785="Ingreso",S2785,0))</f>
        <v/>
      </c>
      <c r="W2785" s="53">
        <f>IF(P2785="","",IF(P2785="Resultado trading",S2785,0))</f>
        <v/>
      </c>
      <c r="X2785" s="52">
        <f>IF(OR(P2785="Gasto",P2785="Reembolso"),IF(M2785&lt;&gt;"",M2785,IFERROR(INDEX(catClasif,MATCH(D2785&amp;"|"&amp;E2785,catClave,0))&amp;"","Variable")),"")</f>
        <v/>
      </c>
      <c r="Y2785" s="52">
        <f>IF(P2785="","",IFERROR(INDEX(catGrupo,MATCH(D2785&amp;"|"&amp;E2785,catClave,0))&amp;"",""))</f>
        <v/>
      </c>
      <c r="Z2785" s="52">
        <f>IF(P2785="","",WEEKDAY(B2785,2))</f>
        <v/>
      </c>
      <c r="AA2785" s="52">
        <f>IF(P2785="","",IF(AND(P2785="Gasto",X2785="Variable",D2785&lt;&gt;catTrading,S2785&gt;0,S2785&lt;=Umbral),1,0))</f>
        <v/>
      </c>
      <c r="AB2785" s="52">
        <f>IF(OR(P2785="",Q2785=""),"",IFERROR(IF(INDEX(ctaVinc,MATCH(Q2785,ctaNombre,0))&amp;""&lt;&gt;"",INDEX(ctaVinc,MATCH(Q2785,ctaNombre,0))&amp;"",Q2785),Q2785))</f>
        <v/>
      </c>
      <c r="AC2785" s="52">
        <f>IF(OR(K2785="",AND(P2785&lt;&gt;"Transferencia",P2785&lt;&gt;"Pago tarjeta")),"",IFERROR(IF(INDEX(ctaVinc,MATCH(K2785,ctaNombre,0))&amp;""&lt;&gt;"",INDEX(ctaVinc,MATCH(K2785,ctaNombre,0))&amp;"",K2785),K2785))</f>
        <v/>
      </c>
      <c r="AD2785" s="52">
        <f>IF(AB2785="","",IFERROR(INDEX(ctaTipo,MATCH(AB2785,ctaNombre,0))&amp;"",""))</f>
        <v/>
      </c>
      <c r="AE2785" s="52">
        <f>IF(AC2785="","",IFERROR(INDEX(ctaTipo,MATCH(AC2785,ctaNombre,0))&amp;"",""))</f>
        <v/>
      </c>
      <c r="AF2785" s="53">
        <f>IF(OR(P2785="",AB2785=""),"",IF(OR(P2785="Gasto",P2785="Transferencia",P2785="Pago tarjeta"),-1,1)*IF(IFERROR(INDEX(ctaMoneda,MATCH(AB2785,ctaNombre,0))&amp;"","DOP")="USD",T2785,S2785))</f>
        <v/>
      </c>
      <c r="AG2785" s="53">
        <f>IF(AC2785="","",IF(IFERROR(INDEX(ctaMoneda,MATCH(AC2785,ctaNombre,0))&amp;"","DOP")="USD",T2785,S2785))</f>
        <v/>
      </c>
      <c r="AH2785" s="53">
        <f>IF(P2785="","",IF(AND(AD2785&lt;&gt;"",COUNTIFS(tcTipo,AD2785,tcLiq,"Sí")&gt;0),IF(OR(P2785="Gasto",P2785="Transferencia",P2785="Pago tarjeta"),-1,1)*S2785,0)+IF(AND(AE2785&lt;&gt;"",COUNTIFS(tcTipo,AE2785,tcLiq,"Sí")&gt;0),S2785,0))</f>
        <v/>
      </c>
      <c r="AI2785" s="52">
        <f>IF(OR(L2785="",P2785=""),"",IF(COUNTIFS(L$6:L2785,L2785,P$6:P2785,"?*")=1,MAX(AI$5:AI2784)+1,""))</f>
        <v/>
      </c>
    </row>
    <row r="2786">
      <c r="B2786" s="47" t="n"/>
      <c r="C2786" s="48" t="n"/>
      <c r="D2786" s="48" t="n"/>
      <c r="E2786" s="48" t="n"/>
      <c r="F2786" s="48" t="n"/>
      <c r="G2786" s="49" t="n"/>
      <c r="H2786" s="48" t="n"/>
      <c r="I2786" s="50" t="n"/>
      <c r="J2786" s="48" t="n"/>
      <c r="K2786" s="48" t="n"/>
      <c r="L2786" s="48" t="n"/>
      <c r="M2786" s="48" t="n"/>
      <c r="N2786" s="48" t="n"/>
      <c r="O2786" s="51">
        <f>IF(AND(B2786="",G2786="",C2786="",D2786="",J2786=""),"",IF(B2786="","⚠ Falta fecha",IF(G2786="","⚠ Falta monto",IF(Q2786="","⚠ Falta cuenta",IF(ISNA(MATCH(Q2786,ctaNombre,0)),"⚠ Cuenta no registrada",IF(AND(OR(P2786="Gasto",P2786="Reembolso"),D2786=""),"⚠ Falta categoría",IF(AND(D2786&lt;&gt;"",E2786&lt;&gt;"",ISNA(MATCH(D2786&amp;"|"&amp;E2786,catClave,0))),"⚠ Subcategoría no corresponde",IF(AND(OR(P2786="Transferencia",P2786="Pago tarjeta"),K2786=""),"⚠ Falta cuenta destino",IF(AND(K2786&lt;&gt;"",P2786&lt;&gt;"Transferencia",P2786&lt;&gt;"Pago tarjeta"),"⚠ Destino solo aplica a transferencias",IF(AND(K2786&lt;&gt;"",K2786=Q2786),"⚠ Origen igual a destino",IF(AND(K2786&lt;&gt;"",ISNA(MATCH(K2786,ctaNombre,0))),"⚠ Destino no registrado",IF(AND(P2786="Pago tarjeta",AE2786&lt;&gt;"Tarjeta de crédito"),"⚠ El destino debe ser tarjeta de crédito",IF(AND(P2786="Gasto",E2786="Depósitos y retiros"),"⚠ Usa tipo Transferencia",IF(AND(P2786="Resultado trading",AD2786&lt;&gt;"Cuenta de trading"),"⚠ Usa una cuenta de trading",IF(AND(G2786&lt;=0,P2786&lt;&gt;"Ajuste",P2786&lt;&gt;"Resultado trading"),"⚠ El monto debe ser positivo","✓")))))))))))))))</f>
        <v/>
      </c>
      <c r="P2786" s="52">
        <f>IF(OR(B2786="",G2786=""),"",IF(C2786="","Gasto",C2786))</f>
        <v/>
      </c>
      <c r="Q2786" s="52">
        <f>IF(P2786="","",IF(J2786&lt;&gt;"",J2786,CuentaPred&amp;""))</f>
        <v/>
      </c>
      <c r="R2786" s="52">
        <f>IF(P2786="","",IF(ISNUMBER(I2786),I2786,TasaUSD))</f>
        <v/>
      </c>
      <c r="S2786" s="53">
        <f>IF(P2786="","",IF(H2786="USD",G2786*R2786,G2786))</f>
        <v/>
      </c>
      <c r="T2786" s="53">
        <f>IF(P2786="","",IF(H2786="USD",G2786,IF(R2786&gt;0,G2786/R2786,0)))</f>
        <v/>
      </c>
      <c r="U2786" s="53">
        <f>IF(P2786="","",IF(P2786="Gasto",S2786,IF(P2786="Reembolso",-S2786,0)))</f>
        <v/>
      </c>
      <c r="V2786" s="53">
        <f>IF(P2786="","",IF(P2786="Ingreso",S2786,0))</f>
        <v/>
      </c>
      <c r="W2786" s="53">
        <f>IF(P2786="","",IF(P2786="Resultado trading",S2786,0))</f>
        <v/>
      </c>
      <c r="X2786" s="52">
        <f>IF(OR(P2786="Gasto",P2786="Reembolso"),IF(M2786&lt;&gt;"",M2786,IFERROR(INDEX(catClasif,MATCH(D2786&amp;"|"&amp;E2786,catClave,0))&amp;"","Variable")),"")</f>
        <v/>
      </c>
      <c r="Y2786" s="52">
        <f>IF(P2786="","",IFERROR(INDEX(catGrupo,MATCH(D2786&amp;"|"&amp;E2786,catClave,0))&amp;"",""))</f>
        <v/>
      </c>
      <c r="Z2786" s="52">
        <f>IF(P2786="","",WEEKDAY(B2786,2))</f>
        <v/>
      </c>
      <c r="AA2786" s="52">
        <f>IF(P2786="","",IF(AND(P2786="Gasto",X2786="Variable",D2786&lt;&gt;catTrading,S2786&gt;0,S2786&lt;=Umbral),1,0))</f>
        <v/>
      </c>
      <c r="AB2786" s="52">
        <f>IF(OR(P2786="",Q2786=""),"",IFERROR(IF(INDEX(ctaVinc,MATCH(Q2786,ctaNombre,0))&amp;""&lt;&gt;"",INDEX(ctaVinc,MATCH(Q2786,ctaNombre,0))&amp;"",Q2786),Q2786))</f>
        <v/>
      </c>
      <c r="AC2786" s="52">
        <f>IF(OR(K2786="",AND(P2786&lt;&gt;"Transferencia",P2786&lt;&gt;"Pago tarjeta")),"",IFERROR(IF(INDEX(ctaVinc,MATCH(K2786,ctaNombre,0))&amp;""&lt;&gt;"",INDEX(ctaVinc,MATCH(K2786,ctaNombre,0))&amp;"",K2786),K2786))</f>
        <v/>
      </c>
      <c r="AD2786" s="52">
        <f>IF(AB2786="","",IFERROR(INDEX(ctaTipo,MATCH(AB2786,ctaNombre,0))&amp;"",""))</f>
        <v/>
      </c>
      <c r="AE2786" s="52">
        <f>IF(AC2786="","",IFERROR(INDEX(ctaTipo,MATCH(AC2786,ctaNombre,0))&amp;"",""))</f>
        <v/>
      </c>
      <c r="AF2786" s="53">
        <f>IF(OR(P2786="",AB2786=""),"",IF(OR(P2786="Gasto",P2786="Transferencia",P2786="Pago tarjeta"),-1,1)*IF(IFERROR(INDEX(ctaMoneda,MATCH(AB2786,ctaNombre,0))&amp;"","DOP")="USD",T2786,S2786))</f>
        <v/>
      </c>
      <c r="AG2786" s="53">
        <f>IF(AC2786="","",IF(IFERROR(INDEX(ctaMoneda,MATCH(AC2786,ctaNombre,0))&amp;"","DOP")="USD",T2786,S2786))</f>
        <v/>
      </c>
      <c r="AH2786" s="53">
        <f>IF(P2786="","",IF(AND(AD2786&lt;&gt;"",COUNTIFS(tcTipo,AD2786,tcLiq,"Sí")&gt;0),IF(OR(P2786="Gasto",P2786="Transferencia",P2786="Pago tarjeta"),-1,1)*S2786,0)+IF(AND(AE2786&lt;&gt;"",COUNTIFS(tcTipo,AE2786,tcLiq,"Sí")&gt;0),S2786,0))</f>
        <v/>
      </c>
      <c r="AI2786" s="52">
        <f>IF(OR(L2786="",P2786=""),"",IF(COUNTIFS(L$6:L2786,L2786,P$6:P2786,"?*")=1,MAX(AI$5:AI2785)+1,""))</f>
        <v/>
      </c>
    </row>
    <row r="2787">
      <c r="B2787" s="47" t="n"/>
      <c r="C2787" s="48" t="n"/>
      <c r="D2787" s="48" t="n"/>
      <c r="E2787" s="48" t="n"/>
      <c r="F2787" s="48" t="n"/>
      <c r="G2787" s="49" t="n"/>
      <c r="H2787" s="48" t="n"/>
      <c r="I2787" s="50" t="n"/>
      <c r="J2787" s="48" t="n"/>
      <c r="K2787" s="48" t="n"/>
      <c r="L2787" s="48" t="n"/>
      <c r="M2787" s="48" t="n"/>
      <c r="N2787" s="48" t="n"/>
      <c r="O2787" s="51">
        <f>IF(AND(B2787="",G2787="",C2787="",D2787="",J2787=""),"",IF(B2787="","⚠ Falta fecha",IF(G2787="","⚠ Falta monto",IF(Q2787="","⚠ Falta cuenta",IF(ISNA(MATCH(Q2787,ctaNombre,0)),"⚠ Cuenta no registrada",IF(AND(OR(P2787="Gasto",P2787="Reembolso"),D2787=""),"⚠ Falta categoría",IF(AND(D2787&lt;&gt;"",E2787&lt;&gt;"",ISNA(MATCH(D2787&amp;"|"&amp;E2787,catClave,0))),"⚠ Subcategoría no corresponde",IF(AND(OR(P2787="Transferencia",P2787="Pago tarjeta"),K2787=""),"⚠ Falta cuenta destino",IF(AND(K2787&lt;&gt;"",P2787&lt;&gt;"Transferencia",P2787&lt;&gt;"Pago tarjeta"),"⚠ Destino solo aplica a transferencias",IF(AND(K2787&lt;&gt;"",K2787=Q2787),"⚠ Origen igual a destino",IF(AND(K2787&lt;&gt;"",ISNA(MATCH(K2787,ctaNombre,0))),"⚠ Destino no registrado",IF(AND(P2787="Pago tarjeta",AE2787&lt;&gt;"Tarjeta de crédito"),"⚠ El destino debe ser tarjeta de crédito",IF(AND(P2787="Gasto",E2787="Depósitos y retiros"),"⚠ Usa tipo Transferencia",IF(AND(P2787="Resultado trading",AD2787&lt;&gt;"Cuenta de trading"),"⚠ Usa una cuenta de trading",IF(AND(G2787&lt;=0,P2787&lt;&gt;"Ajuste",P2787&lt;&gt;"Resultado trading"),"⚠ El monto debe ser positivo","✓")))))))))))))))</f>
        <v/>
      </c>
      <c r="P2787" s="52">
        <f>IF(OR(B2787="",G2787=""),"",IF(C2787="","Gasto",C2787))</f>
        <v/>
      </c>
      <c r="Q2787" s="52">
        <f>IF(P2787="","",IF(J2787&lt;&gt;"",J2787,CuentaPred&amp;""))</f>
        <v/>
      </c>
      <c r="R2787" s="52">
        <f>IF(P2787="","",IF(ISNUMBER(I2787),I2787,TasaUSD))</f>
        <v/>
      </c>
      <c r="S2787" s="53">
        <f>IF(P2787="","",IF(H2787="USD",G2787*R2787,G2787))</f>
        <v/>
      </c>
      <c r="T2787" s="53">
        <f>IF(P2787="","",IF(H2787="USD",G2787,IF(R2787&gt;0,G2787/R2787,0)))</f>
        <v/>
      </c>
      <c r="U2787" s="53">
        <f>IF(P2787="","",IF(P2787="Gasto",S2787,IF(P2787="Reembolso",-S2787,0)))</f>
        <v/>
      </c>
      <c r="V2787" s="53">
        <f>IF(P2787="","",IF(P2787="Ingreso",S2787,0))</f>
        <v/>
      </c>
      <c r="W2787" s="53">
        <f>IF(P2787="","",IF(P2787="Resultado trading",S2787,0))</f>
        <v/>
      </c>
      <c r="X2787" s="52">
        <f>IF(OR(P2787="Gasto",P2787="Reembolso"),IF(M2787&lt;&gt;"",M2787,IFERROR(INDEX(catClasif,MATCH(D2787&amp;"|"&amp;E2787,catClave,0))&amp;"","Variable")),"")</f>
        <v/>
      </c>
      <c r="Y2787" s="52">
        <f>IF(P2787="","",IFERROR(INDEX(catGrupo,MATCH(D2787&amp;"|"&amp;E2787,catClave,0))&amp;"",""))</f>
        <v/>
      </c>
      <c r="Z2787" s="52">
        <f>IF(P2787="","",WEEKDAY(B2787,2))</f>
        <v/>
      </c>
      <c r="AA2787" s="52">
        <f>IF(P2787="","",IF(AND(P2787="Gasto",X2787="Variable",D2787&lt;&gt;catTrading,S2787&gt;0,S2787&lt;=Umbral),1,0))</f>
        <v/>
      </c>
      <c r="AB2787" s="52">
        <f>IF(OR(P2787="",Q2787=""),"",IFERROR(IF(INDEX(ctaVinc,MATCH(Q2787,ctaNombre,0))&amp;""&lt;&gt;"",INDEX(ctaVinc,MATCH(Q2787,ctaNombre,0))&amp;"",Q2787),Q2787))</f>
        <v/>
      </c>
      <c r="AC2787" s="52">
        <f>IF(OR(K2787="",AND(P2787&lt;&gt;"Transferencia",P2787&lt;&gt;"Pago tarjeta")),"",IFERROR(IF(INDEX(ctaVinc,MATCH(K2787,ctaNombre,0))&amp;""&lt;&gt;"",INDEX(ctaVinc,MATCH(K2787,ctaNombre,0))&amp;"",K2787),K2787))</f>
        <v/>
      </c>
      <c r="AD2787" s="52">
        <f>IF(AB2787="","",IFERROR(INDEX(ctaTipo,MATCH(AB2787,ctaNombre,0))&amp;"",""))</f>
        <v/>
      </c>
      <c r="AE2787" s="52">
        <f>IF(AC2787="","",IFERROR(INDEX(ctaTipo,MATCH(AC2787,ctaNombre,0))&amp;"",""))</f>
        <v/>
      </c>
      <c r="AF2787" s="53">
        <f>IF(OR(P2787="",AB2787=""),"",IF(OR(P2787="Gasto",P2787="Transferencia",P2787="Pago tarjeta"),-1,1)*IF(IFERROR(INDEX(ctaMoneda,MATCH(AB2787,ctaNombre,0))&amp;"","DOP")="USD",T2787,S2787))</f>
        <v/>
      </c>
      <c r="AG2787" s="53">
        <f>IF(AC2787="","",IF(IFERROR(INDEX(ctaMoneda,MATCH(AC2787,ctaNombre,0))&amp;"","DOP")="USD",T2787,S2787))</f>
        <v/>
      </c>
      <c r="AH2787" s="53">
        <f>IF(P2787="","",IF(AND(AD2787&lt;&gt;"",COUNTIFS(tcTipo,AD2787,tcLiq,"Sí")&gt;0),IF(OR(P2787="Gasto",P2787="Transferencia",P2787="Pago tarjeta"),-1,1)*S2787,0)+IF(AND(AE2787&lt;&gt;"",COUNTIFS(tcTipo,AE2787,tcLiq,"Sí")&gt;0),S2787,0))</f>
        <v/>
      </c>
      <c r="AI2787" s="52">
        <f>IF(OR(L2787="",P2787=""),"",IF(COUNTIFS(L$6:L2787,L2787,P$6:P2787,"?*")=1,MAX(AI$5:AI2786)+1,""))</f>
        <v/>
      </c>
    </row>
    <row r="2788">
      <c r="B2788" s="47" t="n"/>
      <c r="C2788" s="48" t="n"/>
      <c r="D2788" s="48" t="n"/>
      <c r="E2788" s="48" t="n"/>
      <c r="F2788" s="48" t="n"/>
      <c r="G2788" s="49" t="n"/>
      <c r="H2788" s="48" t="n"/>
      <c r="I2788" s="50" t="n"/>
      <c r="J2788" s="48" t="n"/>
      <c r="K2788" s="48" t="n"/>
      <c r="L2788" s="48" t="n"/>
      <c r="M2788" s="48" t="n"/>
      <c r="N2788" s="48" t="n"/>
      <c r="O2788" s="51">
        <f>IF(AND(B2788="",G2788="",C2788="",D2788="",J2788=""),"",IF(B2788="","⚠ Falta fecha",IF(G2788="","⚠ Falta monto",IF(Q2788="","⚠ Falta cuenta",IF(ISNA(MATCH(Q2788,ctaNombre,0)),"⚠ Cuenta no registrada",IF(AND(OR(P2788="Gasto",P2788="Reembolso"),D2788=""),"⚠ Falta categoría",IF(AND(D2788&lt;&gt;"",E2788&lt;&gt;"",ISNA(MATCH(D2788&amp;"|"&amp;E2788,catClave,0))),"⚠ Subcategoría no corresponde",IF(AND(OR(P2788="Transferencia",P2788="Pago tarjeta"),K2788=""),"⚠ Falta cuenta destino",IF(AND(K2788&lt;&gt;"",P2788&lt;&gt;"Transferencia",P2788&lt;&gt;"Pago tarjeta"),"⚠ Destino solo aplica a transferencias",IF(AND(K2788&lt;&gt;"",K2788=Q2788),"⚠ Origen igual a destino",IF(AND(K2788&lt;&gt;"",ISNA(MATCH(K2788,ctaNombre,0))),"⚠ Destino no registrado",IF(AND(P2788="Pago tarjeta",AE2788&lt;&gt;"Tarjeta de crédito"),"⚠ El destino debe ser tarjeta de crédito",IF(AND(P2788="Gasto",E2788="Depósitos y retiros"),"⚠ Usa tipo Transferencia",IF(AND(P2788="Resultado trading",AD2788&lt;&gt;"Cuenta de trading"),"⚠ Usa una cuenta de trading",IF(AND(G2788&lt;=0,P2788&lt;&gt;"Ajuste",P2788&lt;&gt;"Resultado trading"),"⚠ El monto debe ser positivo","✓")))))))))))))))</f>
        <v/>
      </c>
      <c r="P2788" s="52">
        <f>IF(OR(B2788="",G2788=""),"",IF(C2788="","Gasto",C2788))</f>
        <v/>
      </c>
      <c r="Q2788" s="52">
        <f>IF(P2788="","",IF(J2788&lt;&gt;"",J2788,CuentaPred&amp;""))</f>
        <v/>
      </c>
      <c r="R2788" s="52">
        <f>IF(P2788="","",IF(ISNUMBER(I2788),I2788,TasaUSD))</f>
        <v/>
      </c>
      <c r="S2788" s="53">
        <f>IF(P2788="","",IF(H2788="USD",G2788*R2788,G2788))</f>
        <v/>
      </c>
      <c r="T2788" s="53">
        <f>IF(P2788="","",IF(H2788="USD",G2788,IF(R2788&gt;0,G2788/R2788,0)))</f>
        <v/>
      </c>
      <c r="U2788" s="53">
        <f>IF(P2788="","",IF(P2788="Gasto",S2788,IF(P2788="Reembolso",-S2788,0)))</f>
        <v/>
      </c>
      <c r="V2788" s="53">
        <f>IF(P2788="","",IF(P2788="Ingreso",S2788,0))</f>
        <v/>
      </c>
      <c r="W2788" s="53">
        <f>IF(P2788="","",IF(P2788="Resultado trading",S2788,0))</f>
        <v/>
      </c>
      <c r="X2788" s="52">
        <f>IF(OR(P2788="Gasto",P2788="Reembolso"),IF(M2788&lt;&gt;"",M2788,IFERROR(INDEX(catClasif,MATCH(D2788&amp;"|"&amp;E2788,catClave,0))&amp;"","Variable")),"")</f>
        <v/>
      </c>
      <c r="Y2788" s="52">
        <f>IF(P2788="","",IFERROR(INDEX(catGrupo,MATCH(D2788&amp;"|"&amp;E2788,catClave,0))&amp;"",""))</f>
        <v/>
      </c>
      <c r="Z2788" s="52">
        <f>IF(P2788="","",WEEKDAY(B2788,2))</f>
        <v/>
      </c>
      <c r="AA2788" s="52">
        <f>IF(P2788="","",IF(AND(P2788="Gasto",X2788="Variable",D2788&lt;&gt;catTrading,S2788&gt;0,S2788&lt;=Umbral),1,0))</f>
        <v/>
      </c>
      <c r="AB2788" s="52">
        <f>IF(OR(P2788="",Q2788=""),"",IFERROR(IF(INDEX(ctaVinc,MATCH(Q2788,ctaNombre,0))&amp;""&lt;&gt;"",INDEX(ctaVinc,MATCH(Q2788,ctaNombre,0))&amp;"",Q2788),Q2788))</f>
        <v/>
      </c>
      <c r="AC2788" s="52">
        <f>IF(OR(K2788="",AND(P2788&lt;&gt;"Transferencia",P2788&lt;&gt;"Pago tarjeta")),"",IFERROR(IF(INDEX(ctaVinc,MATCH(K2788,ctaNombre,0))&amp;""&lt;&gt;"",INDEX(ctaVinc,MATCH(K2788,ctaNombre,0))&amp;"",K2788),K2788))</f>
        <v/>
      </c>
      <c r="AD2788" s="52">
        <f>IF(AB2788="","",IFERROR(INDEX(ctaTipo,MATCH(AB2788,ctaNombre,0))&amp;"",""))</f>
        <v/>
      </c>
      <c r="AE2788" s="52">
        <f>IF(AC2788="","",IFERROR(INDEX(ctaTipo,MATCH(AC2788,ctaNombre,0))&amp;"",""))</f>
        <v/>
      </c>
      <c r="AF2788" s="53">
        <f>IF(OR(P2788="",AB2788=""),"",IF(OR(P2788="Gasto",P2788="Transferencia",P2788="Pago tarjeta"),-1,1)*IF(IFERROR(INDEX(ctaMoneda,MATCH(AB2788,ctaNombre,0))&amp;"","DOP")="USD",T2788,S2788))</f>
        <v/>
      </c>
      <c r="AG2788" s="53">
        <f>IF(AC2788="","",IF(IFERROR(INDEX(ctaMoneda,MATCH(AC2788,ctaNombre,0))&amp;"","DOP")="USD",T2788,S2788))</f>
        <v/>
      </c>
      <c r="AH2788" s="53">
        <f>IF(P2788="","",IF(AND(AD2788&lt;&gt;"",COUNTIFS(tcTipo,AD2788,tcLiq,"Sí")&gt;0),IF(OR(P2788="Gasto",P2788="Transferencia",P2788="Pago tarjeta"),-1,1)*S2788,0)+IF(AND(AE2788&lt;&gt;"",COUNTIFS(tcTipo,AE2788,tcLiq,"Sí")&gt;0),S2788,0))</f>
        <v/>
      </c>
      <c r="AI2788" s="52">
        <f>IF(OR(L2788="",P2788=""),"",IF(COUNTIFS(L$6:L2788,L2788,P$6:P2788,"?*")=1,MAX(AI$5:AI2787)+1,""))</f>
        <v/>
      </c>
    </row>
    <row r="2789">
      <c r="B2789" s="47" t="n"/>
      <c r="C2789" s="48" t="n"/>
      <c r="D2789" s="48" t="n"/>
      <c r="E2789" s="48" t="n"/>
      <c r="F2789" s="48" t="n"/>
      <c r="G2789" s="49" t="n"/>
      <c r="H2789" s="48" t="n"/>
      <c r="I2789" s="50" t="n"/>
      <c r="J2789" s="48" t="n"/>
      <c r="K2789" s="48" t="n"/>
      <c r="L2789" s="48" t="n"/>
      <c r="M2789" s="48" t="n"/>
      <c r="N2789" s="48" t="n"/>
      <c r="O2789" s="51">
        <f>IF(AND(B2789="",G2789="",C2789="",D2789="",J2789=""),"",IF(B2789="","⚠ Falta fecha",IF(G2789="","⚠ Falta monto",IF(Q2789="","⚠ Falta cuenta",IF(ISNA(MATCH(Q2789,ctaNombre,0)),"⚠ Cuenta no registrada",IF(AND(OR(P2789="Gasto",P2789="Reembolso"),D2789=""),"⚠ Falta categoría",IF(AND(D2789&lt;&gt;"",E2789&lt;&gt;"",ISNA(MATCH(D2789&amp;"|"&amp;E2789,catClave,0))),"⚠ Subcategoría no corresponde",IF(AND(OR(P2789="Transferencia",P2789="Pago tarjeta"),K2789=""),"⚠ Falta cuenta destino",IF(AND(K2789&lt;&gt;"",P2789&lt;&gt;"Transferencia",P2789&lt;&gt;"Pago tarjeta"),"⚠ Destino solo aplica a transferencias",IF(AND(K2789&lt;&gt;"",K2789=Q2789),"⚠ Origen igual a destino",IF(AND(K2789&lt;&gt;"",ISNA(MATCH(K2789,ctaNombre,0))),"⚠ Destino no registrado",IF(AND(P2789="Pago tarjeta",AE2789&lt;&gt;"Tarjeta de crédito"),"⚠ El destino debe ser tarjeta de crédito",IF(AND(P2789="Gasto",E2789="Depósitos y retiros"),"⚠ Usa tipo Transferencia",IF(AND(P2789="Resultado trading",AD2789&lt;&gt;"Cuenta de trading"),"⚠ Usa una cuenta de trading",IF(AND(G2789&lt;=0,P2789&lt;&gt;"Ajuste",P2789&lt;&gt;"Resultado trading"),"⚠ El monto debe ser positivo","✓")))))))))))))))</f>
        <v/>
      </c>
      <c r="P2789" s="52">
        <f>IF(OR(B2789="",G2789=""),"",IF(C2789="","Gasto",C2789))</f>
        <v/>
      </c>
      <c r="Q2789" s="52">
        <f>IF(P2789="","",IF(J2789&lt;&gt;"",J2789,CuentaPred&amp;""))</f>
        <v/>
      </c>
      <c r="R2789" s="52">
        <f>IF(P2789="","",IF(ISNUMBER(I2789),I2789,TasaUSD))</f>
        <v/>
      </c>
      <c r="S2789" s="53">
        <f>IF(P2789="","",IF(H2789="USD",G2789*R2789,G2789))</f>
        <v/>
      </c>
      <c r="T2789" s="53">
        <f>IF(P2789="","",IF(H2789="USD",G2789,IF(R2789&gt;0,G2789/R2789,0)))</f>
        <v/>
      </c>
      <c r="U2789" s="53">
        <f>IF(P2789="","",IF(P2789="Gasto",S2789,IF(P2789="Reembolso",-S2789,0)))</f>
        <v/>
      </c>
      <c r="V2789" s="53">
        <f>IF(P2789="","",IF(P2789="Ingreso",S2789,0))</f>
        <v/>
      </c>
      <c r="W2789" s="53">
        <f>IF(P2789="","",IF(P2789="Resultado trading",S2789,0))</f>
        <v/>
      </c>
      <c r="X2789" s="52">
        <f>IF(OR(P2789="Gasto",P2789="Reembolso"),IF(M2789&lt;&gt;"",M2789,IFERROR(INDEX(catClasif,MATCH(D2789&amp;"|"&amp;E2789,catClave,0))&amp;"","Variable")),"")</f>
        <v/>
      </c>
      <c r="Y2789" s="52">
        <f>IF(P2789="","",IFERROR(INDEX(catGrupo,MATCH(D2789&amp;"|"&amp;E2789,catClave,0))&amp;"",""))</f>
        <v/>
      </c>
      <c r="Z2789" s="52">
        <f>IF(P2789="","",WEEKDAY(B2789,2))</f>
        <v/>
      </c>
      <c r="AA2789" s="52">
        <f>IF(P2789="","",IF(AND(P2789="Gasto",X2789="Variable",D2789&lt;&gt;catTrading,S2789&gt;0,S2789&lt;=Umbral),1,0))</f>
        <v/>
      </c>
      <c r="AB2789" s="52">
        <f>IF(OR(P2789="",Q2789=""),"",IFERROR(IF(INDEX(ctaVinc,MATCH(Q2789,ctaNombre,0))&amp;""&lt;&gt;"",INDEX(ctaVinc,MATCH(Q2789,ctaNombre,0))&amp;"",Q2789),Q2789))</f>
        <v/>
      </c>
      <c r="AC2789" s="52">
        <f>IF(OR(K2789="",AND(P2789&lt;&gt;"Transferencia",P2789&lt;&gt;"Pago tarjeta")),"",IFERROR(IF(INDEX(ctaVinc,MATCH(K2789,ctaNombre,0))&amp;""&lt;&gt;"",INDEX(ctaVinc,MATCH(K2789,ctaNombre,0))&amp;"",K2789),K2789))</f>
        <v/>
      </c>
      <c r="AD2789" s="52">
        <f>IF(AB2789="","",IFERROR(INDEX(ctaTipo,MATCH(AB2789,ctaNombre,0))&amp;"",""))</f>
        <v/>
      </c>
      <c r="AE2789" s="52">
        <f>IF(AC2789="","",IFERROR(INDEX(ctaTipo,MATCH(AC2789,ctaNombre,0))&amp;"",""))</f>
        <v/>
      </c>
      <c r="AF2789" s="53">
        <f>IF(OR(P2789="",AB2789=""),"",IF(OR(P2789="Gasto",P2789="Transferencia",P2789="Pago tarjeta"),-1,1)*IF(IFERROR(INDEX(ctaMoneda,MATCH(AB2789,ctaNombre,0))&amp;"","DOP")="USD",T2789,S2789))</f>
        <v/>
      </c>
      <c r="AG2789" s="53">
        <f>IF(AC2789="","",IF(IFERROR(INDEX(ctaMoneda,MATCH(AC2789,ctaNombre,0))&amp;"","DOP")="USD",T2789,S2789))</f>
        <v/>
      </c>
      <c r="AH2789" s="53">
        <f>IF(P2789="","",IF(AND(AD2789&lt;&gt;"",COUNTIFS(tcTipo,AD2789,tcLiq,"Sí")&gt;0),IF(OR(P2789="Gasto",P2789="Transferencia",P2789="Pago tarjeta"),-1,1)*S2789,0)+IF(AND(AE2789&lt;&gt;"",COUNTIFS(tcTipo,AE2789,tcLiq,"Sí")&gt;0),S2789,0))</f>
        <v/>
      </c>
      <c r="AI2789" s="52">
        <f>IF(OR(L2789="",P2789=""),"",IF(COUNTIFS(L$6:L2789,L2789,P$6:P2789,"?*")=1,MAX(AI$5:AI2788)+1,""))</f>
        <v/>
      </c>
    </row>
    <row r="2790">
      <c r="B2790" s="47" t="n"/>
      <c r="C2790" s="48" t="n"/>
      <c r="D2790" s="48" t="n"/>
      <c r="E2790" s="48" t="n"/>
      <c r="F2790" s="48" t="n"/>
      <c r="G2790" s="49" t="n"/>
      <c r="H2790" s="48" t="n"/>
      <c r="I2790" s="50" t="n"/>
      <c r="J2790" s="48" t="n"/>
      <c r="K2790" s="48" t="n"/>
      <c r="L2790" s="48" t="n"/>
      <c r="M2790" s="48" t="n"/>
      <c r="N2790" s="48" t="n"/>
      <c r="O2790" s="51">
        <f>IF(AND(B2790="",G2790="",C2790="",D2790="",J2790=""),"",IF(B2790="","⚠ Falta fecha",IF(G2790="","⚠ Falta monto",IF(Q2790="","⚠ Falta cuenta",IF(ISNA(MATCH(Q2790,ctaNombre,0)),"⚠ Cuenta no registrada",IF(AND(OR(P2790="Gasto",P2790="Reembolso"),D2790=""),"⚠ Falta categoría",IF(AND(D2790&lt;&gt;"",E2790&lt;&gt;"",ISNA(MATCH(D2790&amp;"|"&amp;E2790,catClave,0))),"⚠ Subcategoría no corresponde",IF(AND(OR(P2790="Transferencia",P2790="Pago tarjeta"),K2790=""),"⚠ Falta cuenta destino",IF(AND(K2790&lt;&gt;"",P2790&lt;&gt;"Transferencia",P2790&lt;&gt;"Pago tarjeta"),"⚠ Destino solo aplica a transferencias",IF(AND(K2790&lt;&gt;"",K2790=Q2790),"⚠ Origen igual a destino",IF(AND(K2790&lt;&gt;"",ISNA(MATCH(K2790,ctaNombre,0))),"⚠ Destino no registrado",IF(AND(P2790="Pago tarjeta",AE2790&lt;&gt;"Tarjeta de crédito"),"⚠ El destino debe ser tarjeta de crédito",IF(AND(P2790="Gasto",E2790="Depósitos y retiros"),"⚠ Usa tipo Transferencia",IF(AND(P2790="Resultado trading",AD2790&lt;&gt;"Cuenta de trading"),"⚠ Usa una cuenta de trading",IF(AND(G2790&lt;=0,P2790&lt;&gt;"Ajuste",P2790&lt;&gt;"Resultado trading"),"⚠ El monto debe ser positivo","✓")))))))))))))))</f>
        <v/>
      </c>
      <c r="P2790" s="52">
        <f>IF(OR(B2790="",G2790=""),"",IF(C2790="","Gasto",C2790))</f>
        <v/>
      </c>
      <c r="Q2790" s="52">
        <f>IF(P2790="","",IF(J2790&lt;&gt;"",J2790,CuentaPred&amp;""))</f>
        <v/>
      </c>
      <c r="R2790" s="52">
        <f>IF(P2790="","",IF(ISNUMBER(I2790),I2790,TasaUSD))</f>
        <v/>
      </c>
      <c r="S2790" s="53">
        <f>IF(P2790="","",IF(H2790="USD",G2790*R2790,G2790))</f>
        <v/>
      </c>
      <c r="T2790" s="53">
        <f>IF(P2790="","",IF(H2790="USD",G2790,IF(R2790&gt;0,G2790/R2790,0)))</f>
        <v/>
      </c>
      <c r="U2790" s="53">
        <f>IF(P2790="","",IF(P2790="Gasto",S2790,IF(P2790="Reembolso",-S2790,0)))</f>
        <v/>
      </c>
      <c r="V2790" s="53">
        <f>IF(P2790="","",IF(P2790="Ingreso",S2790,0))</f>
        <v/>
      </c>
      <c r="W2790" s="53">
        <f>IF(P2790="","",IF(P2790="Resultado trading",S2790,0))</f>
        <v/>
      </c>
      <c r="X2790" s="52">
        <f>IF(OR(P2790="Gasto",P2790="Reembolso"),IF(M2790&lt;&gt;"",M2790,IFERROR(INDEX(catClasif,MATCH(D2790&amp;"|"&amp;E2790,catClave,0))&amp;"","Variable")),"")</f>
        <v/>
      </c>
      <c r="Y2790" s="52">
        <f>IF(P2790="","",IFERROR(INDEX(catGrupo,MATCH(D2790&amp;"|"&amp;E2790,catClave,0))&amp;"",""))</f>
        <v/>
      </c>
      <c r="Z2790" s="52">
        <f>IF(P2790="","",WEEKDAY(B2790,2))</f>
        <v/>
      </c>
      <c r="AA2790" s="52">
        <f>IF(P2790="","",IF(AND(P2790="Gasto",X2790="Variable",D2790&lt;&gt;catTrading,S2790&gt;0,S2790&lt;=Umbral),1,0))</f>
        <v/>
      </c>
      <c r="AB2790" s="52">
        <f>IF(OR(P2790="",Q2790=""),"",IFERROR(IF(INDEX(ctaVinc,MATCH(Q2790,ctaNombre,0))&amp;""&lt;&gt;"",INDEX(ctaVinc,MATCH(Q2790,ctaNombre,0))&amp;"",Q2790),Q2790))</f>
        <v/>
      </c>
      <c r="AC2790" s="52">
        <f>IF(OR(K2790="",AND(P2790&lt;&gt;"Transferencia",P2790&lt;&gt;"Pago tarjeta")),"",IFERROR(IF(INDEX(ctaVinc,MATCH(K2790,ctaNombre,0))&amp;""&lt;&gt;"",INDEX(ctaVinc,MATCH(K2790,ctaNombre,0))&amp;"",K2790),K2790))</f>
        <v/>
      </c>
      <c r="AD2790" s="52">
        <f>IF(AB2790="","",IFERROR(INDEX(ctaTipo,MATCH(AB2790,ctaNombre,0))&amp;"",""))</f>
        <v/>
      </c>
      <c r="AE2790" s="52">
        <f>IF(AC2790="","",IFERROR(INDEX(ctaTipo,MATCH(AC2790,ctaNombre,0))&amp;"",""))</f>
        <v/>
      </c>
      <c r="AF2790" s="53">
        <f>IF(OR(P2790="",AB2790=""),"",IF(OR(P2790="Gasto",P2790="Transferencia",P2790="Pago tarjeta"),-1,1)*IF(IFERROR(INDEX(ctaMoneda,MATCH(AB2790,ctaNombre,0))&amp;"","DOP")="USD",T2790,S2790))</f>
        <v/>
      </c>
      <c r="AG2790" s="53">
        <f>IF(AC2790="","",IF(IFERROR(INDEX(ctaMoneda,MATCH(AC2790,ctaNombre,0))&amp;"","DOP")="USD",T2790,S2790))</f>
        <v/>
      </c>
      <c r="AH2790" s="53">
        <f>IF(P2790="","",IF(AND(AD2790&lt;&gt;"",COUNTIFS(tcTipo,AD2790,tcLiq,"Sí")&gt;0),IF(OR(P2790="Gasto",P2790="Transferencia",P2790="Pago tarjeta"),-1,1)*S2790,0)+IF(AND(AE2790&lt;&gt;"",COUNTIFS(tcTipo,AE2790,tcLiq,"Sí")&gt;0),S2790,0))</f>
        <v/>
      </c>
      <c r="AI2790" s="52">
        <f>IF(OR(L2790="",P2790=""),"",IF(COUNTIFS(L$6:L2790,L2790,P$6:P2790,"?*")=1,MAX(AI$5:AI2789)+1,""))</f>
        <v/>
      </c>
    </row>
    <row r="2791">
      <c r="B2791" s="47" t="n"/>
      <c r="C2791" s="48" t="n"/>
      <c r="D2791" s="48" t="n"/>
      <c r="E2791" s="48" t="n"/>
      <c r="F2791" s="48" t="n"/>
      <c r="G2791" s="49" t="n"/>
      <c r="H2791" s="48" t="n"/>
      <c r="I2791" s="50" t="n"/>
      <c r="J2791" s="48" t="n"/>
      <c r="K2791" s="48" t="n"/>
      <c r="L2791" s="48" t="n"/>
      <c r="M2791" s="48" t="n"/>
      <c r="N2791" s="48" t="n"/>
      <c r="O2791" s="51">
        <f>IF(AND(B2791="",G2791="",C2791="",D2791="",J2791=""),"",IF(B2791="","⚠ Falta fecha",IF(G2791="","⚠ Falta monto",IF(Q2791="","⚠ Falta cuenta",IF(ISNA(MATCH(Q2791,ctaNombre,0)),"⚠ Cuenta no registrada",IF(AND(OR(P2791="Gasto",P2791="Reembolso"),D2791=""),"⚠ Falta categoría",IF(AND(D2791&lt;&gt;"",E2791&lt;&gt;"",ISNA(MATCH(D2791&amp;"|"&amp;E2791,catClave,0))),"⚠ Subcategoría no corresponde",IF(AND(OR(P2791="Transferencia",P2791="Pago tarjeta"),K2791=""),"⚠ Falta cuenta destino",IF(AND(K2791&lt;&gt;"",P2791&lt;&gt;"Transferencia",P2791&lt;&gt;"Pago tarjeta"),"⚠ Destino solo aplica a transferencias",IF(AND(K2791&lt;&gt;"",K2791=Q2791),"⚠ Origen igual a destino",IF(AND(K2791&lt;&gt;"",ISNA(MATCH(K2791,ctaNombre,0))),"⚠ Destino no registrado",IF(AND(P2791="Pago tarjeta",AE2791&lt;&gt;"Tarjeta de crédito"),"⚠ El destino debe ser tarjeta de crédito",IF(AND(P2791="Gasto",E2791="Depósitos y retiros"),"⚠ Usa tipo Transferencia",IF(AND(P2791="Resultado trading",AD2791&lt;&gt;"Cuenta de trading"),"⚠ Usa una cuenta de trading",IF(AND(G2791&lt;=0,P2791&lt;&gt;"Ajuste",P2791&lt;&gt;"Resultado trading"),"⚠ El monto debe ser positivo","✓")))))))))))))))</f>
        <v/>
      </c>
      <c r="P2791" s="52">
        <f>IF(OR(B2791="",G2791=""),"",IF(C2791="","Gasto",C2791))</f>
        <v/>
      </c>
      <c r="Q2791" s="52">
        <f>IF(P2791="","",IF(J2791&lt;&gt;"",J2791,CuentaPred&amp;""))</f>
        <v/>
      </c>
      <c r="R2791" s="52">
        <f>IF(P2791="","",IF(ISNUMBER(I2791),I2791,TasaUSD))</f>
        <v/>
      </c>
      <c r="S2791" s="53">
        <f>IF(P2791="","",IF(H2791="USD",G2791*R2791,G2791))</f>
        <v/>
      </c>
      <c r="T2791" s="53">
        <f>IF(P2791="","",IF(H2791="USD",G2791,IF(R2791&gt;0,G2791/R2791,0)))</f>
        <v/>
      </c>
      <c r="U2791" s="53">
        <f>IF(P2791="","",IF(P2791="Gasto",S2791,IF(P2791="Reembolso",-S2791,0)))</f>
        <v/>
      </c>
      <c r="V2791" s="53">
        <f>IF(P2791="","",IF(P2791="Ingreso",S2791,0))</f>
        <v/>
      </c>
      <c r="W2791" s="53">
        <f>IF(P2791="","",IF(P2791="Resultado trading",S2791,0))</f>
        <v/>
      </c>
      <c r="X2791" s="52">
        <f>IF(OR(P2791="Gasto",P2791="Reembolso"),IF(M2791&lt;&gt;"",M2791,IFERROR(INDEX(catClasif,MATCH(D2791&amp;"|"&amp;E2791,catClave,0))&amp;"","Variable")),"")</f>
        <v/>
      </c>
      <c r="Y2791" s="52">
        <f>IF(P2791="","",IFERROR(INDEX(catGrupo,MATCH(D2791&amp;"|"&amp;E2791,catClave,0))&amp;"",""))</f>
        <v/>
      </c>
      <c r="Z2791" s="52">
        <f>IF(P2791="","",WEEKDAY(B2791,2))</f>
        <v/>
      </c>
      <c r="AA2791" s="52">
        <f>IF(P2791="","",IF(AND(P2791="Gasto",X2791="Variable",D2791&lt;&gt;catTrading,S2791&gt;0,S2791&lt;=Umbral),1,0))</f>
        <v/>
      </c>
      <c r="AB2791" s="52">
        <f>IF(OR(P2791="",Q2791=""),"",IFERROR(IF(INDEX(ctaVinc,MATCH(Q2791,ctaNombre,0))&amp;""&lt;&gt;"",INDEX(ctaVinc,MATCH(Q2791,ctaNombre,0))&amp;"",Q2791),Q2791))</f>
        <v/>
      </c>
      <c r="AC2791" s="52">
        <f>IF(OR(K2791="",AND(P2791&lt;&gt;"Transferencia",P2791&lt;&gt;"Pago tarjeta")),"",IFERROR(IF(INDEX(ctaVinc,MATCH(K2791,ctaNombre,0))&amp;""&lt;&gt;"",INDEX(ctaVinc,MATCH(K2791,ctaNombre,0))&amp;"",K2791),K2791))</f>
        <v/>
      </c>
      <c r="AD2791" s="52">
        <f>IF(AB2791="","",IFERROR(INDEX(ctaTipo,MATCH(AB2791,ctaNombre,0))&amp;"",""))</f>
        <v/>
      </c>
      <c r="AE2791" s="52">
        <f>IF(AC2791="","",IFERROR(INDEX(ctaTipo,MATCH(AC2791,ctaNombre,0))&amp;"",""))</f>
        <v/>
      </c>
      <c r="AF2791" s="53">
        <f>IF(OR(P2791="",AB2791=""),"",IF(OR(P2791="Gasto",P2791="Transferencia",P2791="Pago tarjeta"),-1,1)*IF(IFERROR(INDEX(ctaMoneda,MATCH(AB2791,ctaNombre,0))&amp;"","DOP")="USD",T2791,S2791))</f>
        <v/>
      </c>
      <c r="AG2791" s="53">
        <f>IF(AC2791="","",IF(IFERROR(INDEX(ctaMoneda,MATCH(AC2791,ctaNombre,0))&amp;"","DOP")="USD",T2791,S2791))</f>
        <v/>
      </c>
      <c r="AH2791" s="53">
        <f>IF(P2791="","",IF(AND(AD2791&lt;&gt;"",COUNTIFS(tcTipo,AD2791,tcLiq,"Sí")&gt;0),IF(OR(P2791="Gasto",P2791="Transferencia",P2791="Pago tarjeta"),-1,1)*S2791,0)+IF(AND(AE2791&lt;&gt;"",COUNTIFS(tcTipo,AE2791,tcLiq,"Sí")&gt;0),S2791,0))</f>
        <v/>
      </c>
      <c r="AI2791" s="52">
        <f>IF(OR(L2791="",P2791=""),"",IF(COUNTIFS(L$6:L2791,L2791,P$6:P2791,"?*")=1,MAX(AI$5:AI2790)+1,""))</f>
        <v/>
      </c>
    </row>
    <row r="2792">
      <c r="B2792" s="47" t="n"/>
      <c r="C2792" s="48" t="n"/>
      <c r="D2792" s="48" t="n"/>
      <c r="E2792" s="48" t="n"/>
      <c r="F2792" s="48" t="n"/>
      <c r="G2792" s="49" t="n"/>
      <c r="H2792" s="48" t="n"/>
      <c r="I2792" s="50" t="n"/>
      <c r="J2792" s="48" t="n"/>
      <c r="K2792" s="48" t="n"/>
      <c r="L2792" s="48" t="n"/>
      <c r="M2792" s="48" t="n"/>
      <c r="N2792" s="48" t="n"/>
      <c r="O2792" s="51">
        <f>IF(AND(B2792="",G2792="",C2792="",D2792="",J2792=""),"",IF(B2792="","⚠ Falta fecha",IF(G2792="","⚠ Falta monto",IF(Q2792="","⚠ Falta cuenta",IF(ISNA(MATCH(Q2792,ctaNombre,0)),"⚠ Cuenta no registrada",IF(AND(OR(P2792="Gasto",P2792="Reembolso"),D2792=""),"⚠ Falta categoría",IF(AND(D2792&lt;&gt;"",E2792&lt;&gt;"",ISNA(MATCH(D2792&amp;"|"&amp;E2792,catClave,0))),"⚠ Subcategoría no corresponde",IF(AND(OR(P2792="Transferencia",P2792="Pago tarjeta"),K2792=""),"⚠ Falta cuenta destino",IF(AND(K2792&lt;&gt;"",P2792&lt;&gt;"Transferencia",P2792&lt;&gt;"Pago tarjeta"),"⚠ Destino solo aplica a transferencias",IF(AND(K2792&lt;&gt;"",K2792=Q2792),"⚠ Origen igual a destino",IF(AND(K2792&lt;&gt;"",ISNA(MATCH(K2792,ctaNombre,0))),"⚠ Destino no registrado",IF(AND(P2792="Pago tarjeta",AE2792&lt;&gt;"Tarjeta de crédito"),"⚠ El destino debe ser tarjeta de crédito",IF(AND(P2792="Gasto",E2792="Depósitos y retiros"),"⚠ Usa tipo Transferencia",IF(AND(P2792="Resultado trading",AD2792&lt;&gt;"Cuenta de trading"),"⚠ Usa una cuenta de trading",IF(AND(G2792&lt;=0,P2792&lt;&gt;"Ajuste",P2792&lt;&gt;"Resultado trading"),"⚠ El monto debe ser positivo","✓")))))))))))))))</f>
        <v/>
      </c>
      <c r="P2792" s="52">
        <f>IF(OR(B2792="",G2792=""),"",IF(C2792="","Gasto",C2792))</f>
        <v/>
      </c>
      <c r="Q2792" s="52">
        <f>IF(P2792="","",IF(J2792&lt;&gt;"",J2792,CuentaPred&amp;""))</f>
        <v/>
      </c>
      <c r="R2792" s="52">
        <f>IF(P2792="","",IF(ISNUMBER(I2792),I2792,TasaUSD))</f>
        <v/>
      </c>
      <c r="S2792" s="53">
        <f>IF(P2792="","",IF(H2792="USD",G2792*R2792,G2792))</f>
        <v/>
      </c>
      <c r="T2792" s="53">
        <f>IF(P2792="","",IF(H2792="USD",G2792,IF(R2792&gt;0,G2792/R2792,0)))</f>
        <v/>
      </c>
      <c r="U2792" s="53">
        <f>IF(P2792="","",IF(P2792="Gasto",S2792,IF(P2792="Reembolso",-S2792,0)))</f>
        <v/>
      </c>
      <c r="V2792" s="53">
        <f>IF(P2792="","",IF(P2792="Ingreso",S2792,0))</f>
        <v/>
      </c>
      <c r="W2792" s="53">
        <f>IF(P2792="","",IF(P2792="Resultado trading",S2792,0))</f>
        <v/>
      </c>
      <c r="X2792" s="52">
        <f>IF(OR(P2792="Gasto",P2792="Reembolso"),IF(M2792&lt;&gt;"",M2792,IFERROR(INDEX(catClasif,MATCH(D2792&amp;"|"&amp;E2792,catClave,0))&amp;"","Variable")),"")</f>
        <v/>
      </c>
      <c r="Y2792" s="52">
        <f>IF(P2792="","",IFERROR(INDEX(catGrupo,MATCH(D2792&amp;"|"&amp;E2792,catClave,0))&amp;"",""))</f>
        <v/>
      </c>
      <c r="Z2792" s="52">
        <f>IF(P2792="","",WEEKDAY(B2792,2))</f>
        <v/>
      </c>
      <c r="AA2792" s="52">
        <f>IF(P2792="","",IF(AND(P2792="Gasto",X2792="Variable",D2792&lt;&gt;catTrading,S2792&gt;0,S2792&lt;=Umbral),1,0))</f>
        <v/>
      </c>
      <c r="AB2792" s="52">
        <f>IF(OR(P2792="",Q2792=""),"",IFERROR(IF(INDEX(ctaVinc,MATCH(Q2792,ctaNombre,0))&amp;""&lt;&gt;"",INDEX(ctaVinc,MATCH(Q2792,ctaNombre,0))&amp;"",Q2792),Q2792))</f>
        <v/>
      </c>
      <c r="AC2792" s="52">
        <f>IF(OR(K2792="",AND(P2792&lt;&gt;"Transferencia",P2792&lt;&gt;"Pago tarjeta")),"",IFERROR(IF(INDEX(ctaVinc,MATCH(K2792,ctaNombre,0))&amp;""&lt;&gt;"",INDEX(ctaVinc,MATCH(K2792,ctaNombre,0))&amp;"",K2792),K2792))</f>
        <v/>
      </c>
      <c r="AD2792" s="52">
        <f>IF(AB2792="","",IFERROR(INDEX(ctaTipo,MATCH(AB2792,ctaNombre,0))&amp;"",""))</f>
        <v/>
      </c>
      <c r="AE2792" s="52">
        <f>IF(AC2792="","",IFERROR(INDEX(ctaTipo,MATCH(AC2792,ctaNombre,0))&amp;"",""))</f>
        <v/>
      </c>
      <c r="AF2792" s="53">
        <f>IF(OR(P2792="",AB2792=""),"",IF(OR(P2792="Gasto",P2792="Transferencia",P2792="Pago tarjeta"),-1,1)*IF(IFERROR(INDEX(ctaMoneda,MATCH(AB2792,ctaNombre,0))&amp;"","DOP")="USD",T2792,S2792))</f>
        <v/>
      </c>
      <c r="AG2792" s="53">
        <f>IF(AC2792="","",IF(IFERROR(INDEX(ctaMoneda,MATCH(AC2792,ctaNombre,0))&amp;"","DOP")="USD",T2792,S2792))</f>
        <v/>
      </c>
      <c r="AH2792" s="53">
        <f>IF(P2792="","",IF(AND(AD2792&lt;&gt;"",COUNTIFS(tcTipo,AD2792,tcLiq,"Sí")&gt;0),IF(OR(P2792="Gasto",P2792="Transferencia",P2792="Pago tarjeta"),-1,1)*S2792,0)+IF(AND(AE2792&lt;&gt;"",COUNTIFS(tcTipo,AE2792,tcLiq,"Sí")&gt;0),S2792,0))</f>
        <v/>
      </c>
      <c r="AI2792" s="52">
        <f>IF(OR(L2792="",P2792=""),"",IF(COUNTIFS(L$6:L2792,L2792,P$6:P2792,"?*")=1,MAX(AI$5:AI2791)+1,""))</f>
        <v/>
      </c>
    </row>
    <row r="2793">
      <c r="B2793" s="47" t="n"/>
      <c r="C2793" s="48" t="n"/>
      <c r="D2793" s="48" t="n"/>
      <c r="E2793" s="48" t="n"/>
      <c r="F2793" s="48" t="n"/>
      <c r="G2793" s="49" t="n"/>
      <c r="H2793" s="48" t="n"/>
      <c r="I2793" s="50" t="n"/>
      <c r="J2793" s="48" t="n"/>
      <c r="K2793" s="48" t="n"/>
      <c r="L2793" s="48" t="n"/>
      <c r="M2793" s="48" t="n"/>
      <c r="N2793" s="48" t="n"/>
      <c r="O2793" s="51">
        <f>IF(AND(B2793="",G2793="",C2793="",D2793="",J2793=""),"",IF(B2793="","⚠ Falta fecha",IF(G2793="","⚠ Falta monto",IF(Q2793="","⚠ Falta cuenta",IF(ISNA(MATCH(Q2793,ctaNombre,0)),"⚠ Cuenta no registrada",IF(AND(OR(P2793="Gasto",P2793="Reembolso"),D2793=""),"⚠ Falta categoría",IF(AND(D2793&lt;&gt;"",E2793&lt;&gt;"",ISNA(MATCH(D2793&amp;"|"&amp;E2793,catClave,0))),"⚠ Subcategoría no corresponde",IF(AND(OR(P2793="Transferencia",P2793="Pago tarjeta"),K2793=""),"⚠ Falta cuenta destino",IF(AND(K2793&lt;&gt;"",P2793&lt;&gt;"Transferencia",P2793&lt;&gt;"Pago tarjeta"),"⚠ Destino solo aplica a transferencias",IF(AND(K2793&lt;&gt;"",K2793=Q2793),"⚠ Origen igual a destino",IF(AND(K2793&lt;&gt;"",ISNA(MATCH(K2793,ctaNombre,0))),"⚠ Destino no registrado",IF(AND(P2793="Pago tarjeta",AE2793&lt;&gt;"Tarjeta de crédito"),"⚠ El destino debe ser tarjeta de crédito",IF(AND(P2793="Gasto",E2793="Depósitos y retiros"),"⚠ Usa tipo Transferencia",IF(AND(P2793="Resultado trading",AD2793&lt;&gt;"Cuenta de trading"),"⚠ Usa una cuenta de trading",IF(AND(G2793&lt;=0,P2793&lt;&gt;"Ajuste",P2793&lt;&gt;"Resultado trading"),"⚠ El monto debe ser positivo","✓")))))))))))))))</f>
        <v/>
      </c>
      <c r="P2793" s="52">
        <f>IF(OR(B2793="",G2793=""),"",IF(C2793="","Gasto",C2793))</f>
        <v/>
      </c>
      <c r="Q2793" s="52">
        <f>IF(P2793="","",IF(J2793&lt;&gt;"",J2793,CuentaPred&amp;""))</f>
        <v/>
      </c>
      <c r="R2793" s="52">
        <f>IF(P2793="","",IF(ISNUMBER(I2793),I2793,TasaUSD))</f>
        <v/>
      </c>
      <c r="S2793" s="53">
        <f>IF(P2793="","",IF(H2793="USD",G2793*R2793,G2793))</f>
        <v/>
      </c>
      <c r="T2793" s="53">
        <f>IF(P2793="","",IF(H2793="USD",G2793,IF(R2793&gt;0,G2793/R2793,0)))</f>
        <v/>
      </c>
      <c r="U2793" s="53">
        <f>IF(P2793="","",IF(P2793="Gasto",S2793,IF(P2793="Reembolso",-S2793,0)))</f>
        <v/>
      </c>
      <c r="V2793" s="53">
        <f>IF(P2793="","",IF(P2793="Ingreso",S2793,0))</f>
        <v/>
      </c>
      <c r="W2793" s="53">
        <f>IF(P2793="","",IF(P2793="Resultado trading",S2793,0))</f>
        <v/>
      </c>
      <c r="X2793" s="52">
        <f>IF(OR(P2793="Gasto",P2793="Reembolso"),IF(M2793&lt;&gt;"",M2793,IFERROR(INDEX(catClasif,MATCH(D2793&amp;"|"&amp;E2793,catClave,0))&amp;"","Variable")),"")</f>
        <v/>
      </c>
      <c r="Y2793" s="52">
        <f>IF(P2793="","",IFERROR(INDEX(catGrupo,MATCH(D2793&amp;"|"&amp;E2793,catClave,0))&amp;"",""))</f>
        <v/>
      </c>
      <c r="Z2793" s="52">
        <f>IF(P2793="","",WEEKDAY(B2793,2))</f>
        <v/>
      </c>
      <c r="AA2793" s="52">
        <f>IF(P2793="","",IF(AND(P2793="Gasto",X2793="Variable",D2793&lt;&gt;catTrading,S2793&gt;0,S2793&lt;=Umbral),1,0))</f>
        <v/>
      </c>
      <c r="AB2793" s="52">
        <f>IF(OR(P2793="",Q2793=""),"",IFERROR(IF(INDEX(ctaVinc,MATCH(Q2793,ctaNombre,0))&amp;""&lt;&gt;"",INDEX(ctaVinc,MATCH(Q2793,ctaNombre,0))&amp;"",Q2793),Q2793))</f>
        <v/>
      </c>
      <c r="AC2793" s="52">
        <f>IF(OR(K2793="",AND(P2793&lt;&gt;"Transferencia",P2793&lt;&gt;"Pago tarjeta")),"",IFERROR(IF(INDEX(ctaVinc,MATCH(K2793,ctaNombre,0))&amp;""&lt;&gt;"",INDEX(ctaVinc,MATCH(K2793,ctaNombre,0))&amp;"",K2793),K2793))</f>
        <v/>
      </c>
      <c r="AD2793" s="52">
        <f>IF(AB2793="","",IFERROR(INDEX(ctaTipo,MATCH(AB2793,ctaNombre,0))&amp;"",""))</f>
        <v/>
      </c>
      <c r="AE2793" s="52">
        <f>IF(AC2793="","",IFERROR(INDEX(ctaTipo,MATCH(AC2793,ctaNombre,0))&amp;"",""))</f>
        <v/>
      </c>
      <c r="AF2793" s="53">
        <f>IF(OR(P2793="",AB2793=""),"",IF(OR(P2793="Gasto",P2793="Transferencia",P2793="Pago tarjeta"),-1,1)*IF(IFERROR(INDEX(ctaMoneda,MATCH(AB2793,ctaNombre,0))&amp;"","DOP")="USD",T2793,S2793))</f>
        <v/>
      </c>
      <c r="AG2793" s="53">
        <f>IF(AC2793="","",IF(IFERROR(INDEX(ctaMoneda,MATCH(AC2793,ctaNombre,0))&amp;"","DOP")="USD",T2793,S2793))</f>
        <v/>
      </c>
      <c r="AH2793" s="53">
        <f>IF(P2793="","",IF(AND(AD2793&lt;&gt;"",COUNTIFS(tcTipo,AD2793,tcLiq,"Sí")&gt;0),IF(OR(P2793="Gasto",P2793="Transferencia",P2793="Pago tarjeta"),-1,1)*S2793,0)+IF(AND(AE2793&lt;&gt;"",COUNTIFS(tcTipo,AE2793,tcLiq,"Sí")&gt;0),S2793,0))</f>
        <v/>
      </c>
      <c r="AI2793" s="52">
        <f>IF(OR(L2793="",P2793=""),"",IF(COUNTIFS(L$6:L2793,L2793,P$6:P2793,"?*")=1,MAX(AI$5:AI2792)+1,""))</f>
        <v/>
      </c>
    </row>
    <row r="2794">
      <c r="B2794" s="47" t="n"/>
      <c r="C2794" s="48" t="n"/>
      <c r="D2794" s="48" t="n"/>
      <c r="E2794" s="48" t="n"/>
      <c r="F2794" s="48" t="n"/>
      <c r="G2794" s="49" t="n"/>
      <c r="H2794" s="48" t="n"/>
      <c r="I2794" s="50" t="n"/>
      <c r="J2794" s="48" t="n"/>
      <c r="K2794" s="48" t="n"/>
      <c r="L2794" s="48" t="n"/>
      <c r="M2794" s="48" t="n"/>
      <c r="N2794" s="48" t="n"/>
      <c r="O2794" s="51">
        <f>IF(AND(B2794="",G2794="",C2794="",D2794="",J2794=""),"",IF(B2794="","⚠ Falta fecha",IF(G2794="","⚠ Falta monto",IF(Q2794="","⚠ Falta cuenta",IF(ISNA(MATCH(Q2794,ctaNombre,0)),"⚠ Cuenta no registrada",IF(AND(OR(P2794="Gasto",P2794="Reembolso"),D2794=""),"⚠ Falta categoría",IF(AND(D2794&lt;&gt;"",E2794&lt;&gt;"",ISNA(MATCH(D2794&amp;"|"&amp;E2794,catClave,0))),"⚠ Subcategoría no corresponde",IF(AND(OR(P2794="Transferencia",P2794="Pago tarjeta"),K2794=""),"⚠ Falta cuenta destino",IF(AND(K2794&lt;&gt;"",P2794&lt;&gt;"Transferencia",P2794&lt;&gt;"Pago tarjeta"),"⚠ Destino solo aplica a transferencias",IF(AND(K2794&lt;&gt;"",K2794=Q2794),"⚠ Origen igual a destino",IF(AND(K2794&lt;&gt;"",ISNA(MATCH(K2794,ctaNombre,0))),"⚠ Destino no registrado",IF(AND(P2794="Pago tarjeta",AE2794&lt;&gt;"Tarjeta de crédito"),"⚠ El destino debe ser tarjeta de crédito",IF(AND(P2794="Gasto",E2794="Depósitos y retiros"),"⚠ Usa tipo Transferencia",IF(AND(P2794="Resultado trading",AD2794&lt;&gt;"Cuenta de trading"),"⚠ Usa una cuenta de trading",IF(AND(G2794&lt;=0,P2794&lt;&gt;"Ajuste",P2794&lt;&gt;"Resultado trading"),"⚠ El monto debe ser positivo","✓")))))))))))))))</f>
        <v/>
      </c>
      <c r="P2794" s="52">
        <f>IF(OR(B2794="",G2794=""),"",IF(C2794="","Gasto",C2794))</f>
        <v/>
      </c>
      <c r="Q2794" s="52">
        <f>IF(P2794="","",IF(J2794&lt;&gt;"",J2794,CuentaPred&amp;""))</f>
        <v/>
      </c>
      <c r="R2794" s="52">
        <f>IF(P2794="","",IF(ISNUMBER(I2794),I2794,TasaUSD))</f>
        <v/>
      </c>
      <c r="S2794" s="53">
        <f>IF(P2794="","",IF(H2794="USD",G2794*R2794,G2794))</f>
        <v/>
      </c>
      <c r="T2794" s="53">
        <f>IF(P2794="","",IF(H2794="USD",G2794,IF(R2794&gt;0,G2794/R2794,0)))</f>
        <v/>
      </c>
      <c r="U2794" s="53">
        <f>IF(P2794="","",IF(P2794="Gasto",S2794,IF(P2794="Reembolso",-S2794,0)))</f>
        <v/>
      </c>
      <c r="V2794" s="53">
        <f>IF(P2794="","",IF(P2794="Ingreso",S2794,0))</f>
        <v/>
      </c>
      <c r="W2794" s="53">
        <f>IF(P2794="","",IF(P2794="Resultado trading",S2794,0))</f>
        <v/>
      </c>
      <c r="X2794" s="52">
        <f>IF(OR(P2794="Gasto",P2794="Reembolso"),IF(M2794&lt;&gt;"",M2794,IFERROR(INDEX(catClasif,MATCH(D2794&amp;"|"&amp;E2794,catClave,0))&amp;"","Variable")),"")</f>
        <v/>
      </c>
      <c r="Y2794" s="52">
        <f>IF(P2794="","",IFERROR(INDEX(catGrupo,MATCH(D2794&amp;"|"&amp;E2794,catClave,0))&amp;"",""))</f>
        <v/>
      </c>
      <c r="Z2794" s="52">
        <f>IF(P2794="","",WEEKDAY(B2794,2))</f>
        <v/>
      </c>
      <c r="AA2794" s="52">
        <f>IF(P2794="","",IF(AND(P2794="Gasto",X2794="Variable",D2794&lt;&gt;catTrading,S2794&gt;0,S2794&lt;=Umbral),1,0))</f>
        <v/>
      </c>
      <c r="AB2794" s="52">
        <f>IF(OR(P2794="",Q2794=""),"",IFERROR(IF(INDEX(ctaVinc,MATCH(Q2794,ctaNombre,0))&amp;""&lt;&gt;"",INDEX(ctaVinc,MATCH(Q2794,ctaNombre,0))&amp;"",Q2794),Q2794))</f>
        <v/>
      </c>
      <c r="AC2794" s="52">
        <f>IF(OR(K2794="",AND(P2794&lt;&gt;"Transferencia",P2794&lt;&gt;"Pago tarjeta")),"",IFERROR(IF(INDEX(ctaVinc,MATCH(K2794,ctaNombre,0))&amp;""&lt;&gt;"",INDEX(ctaVinc,MATCH(K2794,ctaNombre,0))&amp;"",K2794),K2794))</f>
        <v/>
      </c>
      <c r="AD2794" s="52">
        <f>IF(AB2794="","",IFERROR(INDEX(ctaTipo,MATCH(AB2794,ctaNombre,0))&amp;"",""))</f>
        <v/>
      </c>
      <c r="AE2794" s="52">
        <f>IF(AC2794="","",IFERROR(INDEX(ctaTipo,MATCH(AC2794,ctaNombre,0))&amp;"",""))</f>
        <v/>
      </c>
      <c r="AF2794" s="53">
        <f>IF(OR(P2794="",AB2794=""),"",IF(OR(P2794="Gasto",P2794="Transferencia",P2794="Pago tarjeta"),-1,1)*IF(IFERROR(INDEX(ctaMoneda,MATCH(AB2794,ctaNombre,0))&amp;"","DOP")="USD",T2794,S2794))</f>
        <v/>
      </c>
      <c r="AG2794" s="53">
        <f>IF(AC2794="","",IF(IFERROR(INDEX(ctaMoneda,MATCH(AC2794,ctaNombre,0))&amp;"","DOP")="USD",T2794,S2794))</f>
        <v/>
      </c>
      <c r="AH2794" s="53">
        <f>IF(P2794="","",IF(AND(AD2794&lt;&gt;"",COUNTIFS(tcTipo,AD2794,tcLiq,"Sí")&gt;0),IF(OR(P2794="Gasto",P2794="Transferencia",P2794="Pago tarjeta"),-1,1)*S2794,0)+IF(AND(AE2794&lt;&gt;"",COUNTIFS(tcTipo,AE2794,tcLiq,"Sí")&gt;0),S2794,0))</f>
        <v/>
      </c>
      <c r="AI2794" s="52">
        <f>IF(OR(L2794="",P2794=""),"",IF(COUNTIFS(L$6:L2794,L2794,P$6:P2794,"?*")=1,MAX(AI$5:AI2793)+1,""))</f>
        <v/>
      </c>
    </row>
    <row r="2795">
      <c r="B2795" s="47" t="n"/>
      <c r="C2795" s="48" t="n"/>
      <c r="D2795" s="48" t="n"/>
      <c r="E2795" s="48" t="n"/>
      <c r="F2795" s="48" t="n"/>
      <c r="G2795" s="49" t="n"/>
      <c r="H2795" s="48" t="n"/>
      <c r="I2795" s="50" t="n"/>
      <c r="J2795" s="48" t="n"/>
      <c r="K2795" s="48" t="n"/>
      <c r="L2795" s="48" t="n"/>
      <c r="M2795" s="48" t="n"/>
      <c r="N2795" s="48" t="n"/>
      <c r="O2795" s="51">
        <f>IF(AND(B2795="",G2795="",C2795="",D2795="",J2795=""),"",IF(B2795="","⚠ Falta fecha",IF(G2795="","⚠ Falta monto",IF(Q2795="","⚠ Falta cuenta",IF(ISNA(MATCH(Q2795,ctaNombre,0)),"⚠ Cuenta no registrada",IF(AND(OR(P2795="Gasto",P2795="Reembolso"),D2795=""),"⚠ Falta categoría",IF(AND(D2795&lt;&gt;"",E2795&lt;&gt;"",ISNA(MATCH(D2795&amp;"|"&amp;E2795,catClave,0))),"⚠ Subcategoría no corresponde",IF(AND(OR(P2795="Transferencia",P2795="Pago tarjeta"),K2795=""),"⚠ Falta cuenta destino",IF(AND(K2795&lt;&gt;"",P2795&lt;&gt;"Transferencia",P2795&lt;&gt;"Pago tarjeta"),"⚠ Destino solo aplica a transferencias",IF(AND(K2795&lt;&gt;"",K2795=Q2795),"⚠ Origen igual a destino",IF(AND(K2795&lt;&gt;"",ISNA(MATCH(K2795,ctaNombre,0))),"⚠ Destino no registrado",IF(AND(P2795="Pago tarjeta",AE2795&lt;&gt;"Tarjeta de crédito"),"⚠ El destino debe ser tarjeta de crédito",IF(AND(P2795="Gasto",E2795="Depósitos y retiros"),"⚠ Usa tipo Transferencia",IF(AND(P2795="Resultado trading",AD2795&lt;&gt;"Cuenta de trading"),"⚠ Usa una cuenta de trading",IF(AND(G2795&lt;=0,P2795&lt;&gt;"Ajuste",P2795&lt;&gt;"Resultado trading"),"⚠ El monto debe ser positivo","✓")))))))))))))))</f>
        <v/>
      </c>
      <c r="P2795" s="52">
        <f>IF(OR(B2795="",G2795=""),"",IF(C2795="","Gasto",C2795))</f>
        <v/>
      </c>
      <c r="Q2795" s="52">
        <f>IF(P2795="","",IF(J2795&lt;&gt;"",J2795,CuentaPred&amp;""))</f>
        <v/>
      </c>
      <c r="R2795" s="52">
        <f>IF(P2795="","",IF(ISNUMBER(I2795),I2795,TasaUSD))</f>
        <v/>
      </c>
      <c r="S2795" s="53">
        <f>IF(P2795="","",IF(H2795="USD",G2795*R2795,G2795))</f>
        <v/>
      </c>
      <c r="T2795" s="53">
        <f>IF(P2795="","",IF(H2795="USD",G2795,IF(R2795&gt;0,G2795/R2795,0)))</f>
        <v/>
      </c>
      <c r="U2795" s="53">
        <f>IF(P2795="","",IF(P2795="Gasto",S2795,IF(P2795="Reembolso",-S2795,0)))</f>
        <v/>
      </c>
      <c r="V2795" s="53">
        <f>IF(P2795="","",IF(P2795="Ingreso",S2795,0))</f>
        <v/>
      </c>
      <c r="W2795" s="53">
        <f>IF(P2795="","",IF(P2795="Resultado trading",S2795,0))</f>
        <v/>
      </c>
      <c r="X2795" s="52">
        <f>IF(OR(P2795="Gasto",P2795="Reembolso"),IF(M2795&lt;&gt;"",M2795,IFERROR(INDEX(catClasif,MATCH(D2795&amp;"|"&amp;E2795,catClave,0))&amp;"","Variable")),"")</f>
        <v/>
      </c>
      <c r="Y2795" s="52">
        <f>IF(P2795="","",IFERROR(INDEX(catGrupo,MATCH(D2795&amp;"|"&amp;E2795,catClave,0))&amp;"",""))</f>
        <v/>
      </c>
      <c r="Z2795" s="52">
        <f>IF(P2795="","",WEEKDAY(B2795,2))</f>
        <v/>
      </c>
      <c r="AA2795" s="52">
        <f>IF(P2795="","",IF(AND(P2795="Gasto",X2795="Variable",D2795&lt;&gt;catTrading,S2795&gt;0,S2795&lt;=Umbral),1,0))</f>
        <v/>
      </c>
      <c r="AB2795" s="52">
        <f>IF(OR(P2795="",Q2795=""),"",IFERROR(IF(INDEX(ctaVinc,MATCH(Q2795,ctaNombre,0))&amp;""&lt;&gt;"",INDEX(ctaVinc,MATCH(Q2795,ctaNombre,0))&amp;"",Q2795),Q2795))</f>
        <v/>
      </c>
      <c r="AC2795" s="52">
        <f>IF(OR(K2795="",AND(P2795&lt;&gt;"Transferencia",P2795&lt;&gt;"Pago tarjeta")),"",IFERROR(IF(INDEX(ctaVinc,MATCH(K2795,ctaNombre,0))&amp;""&lt;&gt;"",INDEX(ctaVinc,MATCH(K2795,ctaNombre,0))&amp;"",K2795),K2795))</f>
        <v/>
      </c>
      <c r="AD2795" s="52">
        <f>IF(AB2795="","",IFERROR(INDEX(ctaTipo,MATCH(AB2795,ctaNombre,0))&amp;"",""))</f>
        <v/>
      </c>
      <c r="AE2795" s="52">
        <f>IF(AC2795="","",IFERROR(INDEX(ctaTipo,MATCH(AC2795,ctaNombre,0))&amp;"",""))</f>
        <v/>
      </c>
      <c r="AF2795" s="53">
        <f>IF(OR(P2795="",AB2795=""),"",IF(OR(P2795="Gasto",P2795="Transferencia",P2795="Pago tarjeta"),-1,1)*IF(IFERROR(INDEX(ctaMoneda,MATCH(AB2795,ctaNombre,0))&amp;"","DOP")="USD",T2795,S2795))</f>
        <v/>
      </c>
      <c r="AG2795" s="53">
        <f>IF(AC2795="","",IF(IFERROR(INDEX(ctaMoneda,MATCH(AC2795,ctaNombre,0))&amp;"","DOP")="USD",T2795,S2795))</f>
        <v/>
      </c>
      <c r="AH2795" s="53">
        <f>IF(P2795="","",IF(AND(AD2795&lt;&gt;"",COUNTIFS(tcTipo,AD2795,tcLiq,"Sí")&gt;0),IF(OR(P2795="Gasto",P2795="Transferencia",P2795="Pago tarjeta"),-1,1)*S2795,0)+IF(AND(AE2795&lt;&gt;"",COUNTIFS(tcTipo,AE2795,tcLiq,"Sí")&gt;0),S2795,0))</f>
        <v/>
      </c>
      <c r="AI2795" s="52">
        <f>IF(OR(L2795="",P2795=""),"",IF(COUNTIFS(L$6:L2795,L2795,P$6:P2795,"?*")=1,MAX(AI$5:AI2794)+1,""))</f>
        <v/>
      </c>
    </row>
    <row r="2796">
      <c r="B2796" s="47" t="n"/>
      <c r="C2796" s="48" t="n"/>
      <c r="D2796" s="48" t="n"/>
      <c r="E2796" s="48" t="n"/>
      <c r="F2796" s="48" t="n"/>
      <c r="G2796" s="49" t="n"/>
      <c r="H2796" s="48" t="n"/>
      <c r="I2796" s="50" t="n"/>
      <c r="J2796" s="48" t="n"/>
      <c r="K2796" s="48" t="n"/>
      <c r="L2796" s="48" t="n"/>
      <c r="M2796" s="48" t="n"/>
      <c r="N2796" s="48" t="n"/>
      <c r="O2796" s="51">
        <f>IF(AND(B2796="",G2796="",C2796="",D2796="",J2796=""),"",IF(B2796="","⚠ Falta fecha",IF(G2796="","⚠ Falta monto",IF(Q2796="","⚠ Falta cuenta",IF(ISNA(MATCH(Q2796,ctaNombre,0)),"⚠ Cuenta no registrada",IF(AND(OR(P2796="Gasto",P2796="Reembolso"),D2796=""),"⚠ Falta categoría",IF(AND(D2796&lt;&gt;"",E2796&lt;&gt;"",ISNA(MATCH(D2796&amp;"|"&amp;E2796,catClave,0))),"⚠ Subcategoría no corresponde",IF(AND(OR(P2796="Transferencia",P2796="Pago tarjeta"),K2796=""),"⚠ Falta cuenta destino",IF(AND(K2796&lt;&gt;"",P2796&lt;&gt;"Transferencia",P2796&lt;&gt;"Pago tarjeta"),"⚠ Destino solo aplica a transferencias",IF(AND(K2796&lt;&gt;"",K2796=Q2796),"⚠ Origen igual a destino",IF(AND(K2796&lt;&gt;"",ISNA(MATCH(K2796,ctaNombre,0))),"⚠ Destino no registrado",IF(AND(P2796="Pago tarjeta",AE2796&lt;&gt;"Tarjeta de crédito"),"⚠ El destino debe ser tarjeta de crédito",IF(AND(P2796="Gasto",E2796="Depósitos y retiros"),"⚠ Usa tipo Transferencia",IF(AND(P2796="Resultado trading",AD2796&lt;&gt;"Cuenta de trading"),"⚠ Usa una cuenta de trading",IF(AND(G2796&lt;=0,P2796&lt;&gt;"Ajuste",P2796&lt;&gt;"Resultado trading"),"⚠ El monto debe ser positivo","✓")))))))))))))))</f>
        <v/>
      </c>
      <c r="P2796" s="52">
        <f>IF(OR(B2796="",G2796=""),"",IF(C2796="","Gasto",C2796))</f>
        <v/>
      </c>
      <c r="Q2796" s="52">
        <f>IF(P2796="","",IF(J2796&lt;&gt;"",J2796,CuentaPred&amp;""))</f>
        <v/>
      </c>
      <c r="R2796" s="52">
        <f>IF(P2796="","",IF(ISNUMBER(I2796),I2796,TasaUSD))</f>
        <v/>
      </c>
      <c r="S2796" s="53">
        <f>IF(P2796="","",IF(H2796="USD",G2796*R2796,G2796))</f>
        <v/>
      </c>
      <c r="T2796" s="53">
        <f>IF(P2796="","",IF(H2796="USD",G2796,IF(R2796&gt;0,G2796/R2796,0)))</f>
        <v/>
      </c>
      <c r="U2796" s="53">
        <f>IF(P2796="","",IF(P2796="Gasto",S2796,IF(P2796="Reembolso",-S2796,0)))</f>
        <v/>
      </c>
      <c r="V2796" s="53">
        <f>IF(P2796="","",IF(P2796="Ingreso",S2796,0))</f>
        <v/>
      </c>
      <c r="W2796" s="53">
        <f>IF(P2796="","",IF(P2796="Resultado trading",S2796,0))</f>
        <v/>
      </c>
      <c r="X2796" s="52">
        <f>IF(OR(P2796="Gasto",P2796="Reembolso"),IF(M2796&lt;&gt;"",M2796,IFERROR(INDEX(catClasif,MATCH(D2796&amp;"|"&amp;E2796,catClave,0))&amp;"","Variable")),"")</f>
        <v/>
      </c>
      <c r="Y2796" s="52">
        <f>IF(P2796="","",IFERROR(INDEX(catGrupo,MATCH(D2796&amp;"|"&amp;E2796,catClave,0))&amp;"",""))</f>
        <v/>
      </c>
      <c r="Z2796" s="52">
        <f>IF(P2796="","",WEEKDAY(B2796,2))</f>
        <v/>
      </c>
      <c r="AA2796" s="52">
        <f>IF(P2796="","",IF(AND(P2796="Gasto",X2796="Variable",D2796&lt;&gt;catTrading,S2796&gt;0,S2796&lt;=Umbral),1,0))</f>
        <v/>
      </c>
      <c r="AB2796" s="52">
        <f>IF(OR(P2796="",Q2796=""),"",IFERROR(IF(INDEX(ctaVinc,MATCH(Q2796,ctaNombre,0))&amp;""&lt;&gt;"",INDEX(ctaVinc,MATCH(Q2796,ctaNombre,0))&amp;"",Q2796),Q2796))</f>
        <v/>
      </c>
      <c r="AC2796" s="52">
        <f>IF(OR(K2796="",AND(P2796&lt;&gt;"Transferencia",P2796&lt;&gt;"Pago tarjeta")),"",IFERROR(IF(INDEX(ctaVinc,MATCH(K2796,ctaNombre,0))&amp;""&lt;&gt;"",INDEX(ctaVinc,MATCH(K2796,ctaNombre,0))&amp;"",K2796),K2796))</f>
        <v/>
      </c>
      <c r="AD2796" s="52">
        <f>IF(AB2796="","",IFERROR(INDEX(ctaTipo,MATCH(AB2796,ctaNombre,0))&amp;"",""))</f>
        <v/>
      </c>
      <c r="AE2796" s="52">
        <f>IF(AC2796="","",IFERROR(INDEX(ctaTipo,MATCH(AC2796,ctaNombre,0))&amp;"",""))</f>
        <v/>
      </c>
      <c r="AF2796" s="53">
        <f>IF(OR(P2796="",AB2796=""),"",IF(OR(P2796="Gasto",P2796="Transferencia",P2796="Pago tarjeta"),-1,1)*IF(IFERROR(INDEX(ctaMoneda,MATCH(AB2796,ctaNombre,0))&amp;"","DOP")="USD",T2796,S2796))</f>
        <v/>
      </c>
      <c r="AG2796" s="53">
        <f>IF(AC2796="","",IF(IFERROR(INDEX(ctaMoneda,MATCH(AC2796,ctaNombre,0))&amp;"","DOP")="USD",T2796,S2796))</f>
        <v/>
      </c>
      <c r="AH2796" s="53">
        <f>IF(P2796="","",IF(AND(AD2796&lt;&gt;"",COUNTIFS(tcTipo,AD2796,tcLiq,"Sí")&gt;0),IF(OR(P2796="Gasto",P2796="Transferencia",P2796="Pago tarjeta"),-1,1)*S2796,0)+IF(AND(AE2796&lt;&gt;"",COUNTIFS(tcTipo,AE2796,tcLiq,"Sí")&gt;0),S2796,0))</f>
        <v/>
      </c>
      <c r="AI2796" s="52">
        <f>IF(OR(L2796="",P2796=""),"",IF(COUNTIFS(L$6:L2796,L2796,P$6:P2796,"?*")=1,MAX(AI$5:AI2795)+1,""))</f>
        <v/>
      </c>
    </row>
    <row r="2797">
      <c r="B2797" s="47" t="n"/>
      <c r="C2797" s="48" t="n"/>
      <c r="D2797" s="48" t="n"/>
      <c r="E2797" s="48" t="n"/>
      <c r="F2797" s="48" t="n"/>
      <c r="G2797" s="49" t="n"/>
      <c r="H2797" s="48" t="n"/>
      <c r="I2797" s="50" t="n"/>
      <c r="J2797" s="48" t="n"/>
      <c r="K2797" s="48" t="n"/>
      <c r="L2797" s="48" t="n"/>
      <c r="M2797" s="48" t="n"/>
      <c r="N2797" s="48" t="n"/>
      <c r="O2797" s="51">
        <f>IF(AND(B2797="",G2797="",C2797="",D2797="",J2797=""),"",IF(B2797="","⚠ Falta fecha",IF(G2797="","⚠ Falta monto",IF(Q2797="","⚠ Falta cuenta",IF(ISNA(MATCH(Q2797,ctaNombre,0)),"⚠ Cuenta no registrada",IF(AND(OR(P2797="Gasto",P2797="Reembolso"),D2797=""),"⚠ Falta categoría",IF(AND(D2797&lt;&gt;"",E2797&lt;&gt;"",ISNA(MATCH(D2797&amp;"|"&amp;E2797,catClave,0))),"⚠ Subcategoría no corresponde",IF(AND(OR(P2797="Transferencia",P2797="Pago tarjeta"),K2797=""),"⚠ Falta cuenta destino",IF(AND(K2797&lt;&gt;"",P2797&lt;&gt;"Transferencia",P2797&lt;&gt;"Pago tarjeta"),"⚠ Destino solo aplica a transferencias",IF(AND(K2797&lt;&gt;"",K2797=Q2797),"⚠ Origen igual a destino",IF(AND(K2797&lt;&gt;"",ISNA(MATCH(K2797,ctaNombre,0))),"⚠ Destino no registrado",IF(AND(P2797="Pago tarjeta",AE2797&lt;&gt;"Tarjeta de crédito"),"⚠ El destino debe ser tarjeta de crédito",IF(AND(P2797="Gasto",E2797="Depósitos y retiros"),"⚠ Usa tipo Transferencia",IF(AND(P2797="Resultado trading",AD2797&lt;&gt;"Cuenta de trading"),"⚠ Usa una cuenta de trading",IF(AND(G2797&lt;=0,P2797&lt;&gt;"Ajuste",P2797&lt;&gt;"Resultado trading"),"⚠ El monto debe ser positivo","✓")))))))))))))))</f>
        <v/>
      </c>
      <c r="P2797" s="52">
        <f>IF(OR(B2797="",G2797=""),"",IF(C2797="","Gasto",C2797))</f>
        <v/>
      </c>
      <c r="Q2797" s="52">
        <f>IF(P2797="","",IF(J2797&lt;&gt;"",J2797,CuentaPred&amp;""))</f>
        <v/>
      </c>
      <c r="R2797" s="52">
        <f>IF(P2797="","",IF(ISNUMBER(I2797),I2797,TasaUSD))</f>
        <v/>
      </c>
      <c r="S2797" s="53">
        <f>IF(P2797="","",IF(H2797="USD",G2797*R2797,G2797))</f>
        <v/>
      </c>
      <c r="T2797" s="53">
        <f>IF(P2797="","",IF(H2797="USD",G2797,IF(R2797&gt;0,G2797/R2797,0)))</f>
        <v/>
      </c>
      <c r="U2797" s="53">
        <f>IF(P2797="","",IF(P2797="Gasto",S2797,IF(P2797="Reembolso",-S2797,0)))</f>
        <v/>
      </c>
      <c r="V2797" s="53">
        <f>IF(P2797="","",IF(P2797="Ingreso",S2797,0))</f>
        <v/>
      </c>
      <c r="W2797" s="53">
        <f>IF(P2797="","",IF(P2797="Resultado trading",S2797,0))</f>
        <v/>
      </c>
      <c r="X2797" s="52">
        <f>IF(OR(P2797="Gasto",P2797="Reembolso"),IF(M2797&lt;&gt;"",M2797,IFERROR(INDEX(catClasif,MATCH(D2797&amp;"|"&amp;E2797,catClave,0))&amp;"","Variable")),"")</f>
        <v/>
      </c>
      <c r="Y2797" s="52">
        <f>IF(P2797="","",IFERROR(INDEX(catGrupo,MATCH(D2797&amp;"|"&amp;E2797,catClave,0))&amp;"",""))</f>
        <v/>
      </c>
      <c r="Z2797" s="52">
        <f>IF(P2797="","",WEEKDAY(B2797,2))</f>
        <v/>
      </c>
      <c r="AA2797" s="52">
        <f>IF(P2797="","",IF(AND(P2797="Gasto",X2797="Variable",D2797&lt;&gt;catTrading,S2797&gt;0,S2797&lt;=Umbral),1,0))</f>
        <v/>
      </c>
      <c r="AB2797" s="52">
        <f>IF(OR(P2797="",Q2797=""),"",IFERROR(IF(INDEX(ctaVinc,MATCH(Q2797,ctaNombre,0))&amp;""&lt;&gt;"",INDEX(ctaVinc,MATCH(Q2797,ctaNombre,0))&amp;"",Q2797),Q2797))</f>
        <v/>
      </c>
      <c r="AC2797" s="52">
        <f>IF(OR(K2797="",AND(P2797&lt;&gt;"Transferencia",P2797&lt;&gt;"Pago tarjeta")),"",IFERROR(IF(INDEX(ctaVinc,MATCH(K2797,ctaNombre,0))&amp;""&lt;&gt;"",INDEX(ctaVinc,MATCH(K2797,ctaNombre,0))&amp;"",K2797),K2797))</f>
        <v/>
      </c>
      <c r="AD2797" s="52">
        <f>IF(AB2797="","",IFERROR(INDEX(ctaTipo,MATCH(AB2797,ctaNombre,0))&amp;"",""))</f>
        <v/>
      </c>
      <c r="AE2797" s="52">
        <f>IF(AC2797="","",IFERROR(INDEX(ctaTipo,MATCH(AC2797,ctaNombre,0))&amp;"",""))</f>
        <v/>
      </c>
      <c r="AF2797" s="53">
        <f>IF(OR(P2797="",AB2797=""),"",IF(OR(P2797="Gasto",P2797="Transferencia",P2797="Pago tarjeta"),-1,1)*IF(IFERROR(INDEX(ctaMoneda,MATCH(AB2797,ctaNombre,0))&amp;"","DOP")="USD",T2797,S2797))</f>
        <v/>
      </c>
      <c r="AG2797" s="53">
        <f>IF(AC2797="","",IF(IFERROR(INDEX(ctaMoneda,MATCH(AC2797,ctaNombre,0))&amp;"","DOP")="USD",T2797,S2797))</f>
        <v/>
      </c>
      <c r="AH2797" s="53">
        <f>IF(P2797="","",IF(AND(AD2797&lt;&gt;"",COUNTIFS(tcTipo,AD2797,tcLiq,"Sí")&gt;0),IF(OR(P2797="Gasto",P2797="Transferencia",P2797="Pago tarjeta"),-1,1)*S2797,0)+IF(AND(AE2797&lt;&gt;"",COUNTIFS(tcTipo,AE2797,tcLiq,"Sí")&gt;0),S2797,0))</f>
        <v/>
      </c>
      <c r="AI2797" s="52">
        <f>IF(OR(L2797="",P2797=""),"",IF(COUNTIFS(L$6:L2797,L2797,P$6:P2797,"?*")=1,MAX(AI$5:AI2796)+1,""))</f>
        <v/>
      </c>
    </row>
    <row r="2798">
      <c r="B2798" s="47" t="n"/>
      <c r="C2798" s="48" t="n"/>
      <c r="D2798" s="48" t="n"/>
      <c r="E2798" s="48" t="n"/>
      <c r="F2798" s="48" t="n"/>
      <c r="G2798" s="49" t="n"/>
      <c r="H2798" s="48" t="n"/>
      <c r="I2798" s="50" t="n"/>
      <c r="J2798" s="48" t="n"/>
      <c r="K2798" s="48" t="n"/>
      <c r="L2798" s="48" t="n"/>
      <c r="M2798" s="48" t="n"/>
      <c r="N2798" s="48" t="n"/>
      <c r="O2798" s="51">
        <f>IF(AND(B2798="",G2798="",C2798="",D2798="",J2798=""),"",IF(B2798="","⚠ Falta fecha",IF(G2798="","⚠ Falta monto",IF(Q2798="","⚠ Falta cuenta",IF(ISNA(MATCH(Q2798,ctaNombre,0)),"⚠ Cuenta no registrada",IF(AND(OR(P2798="Gasto",P2798="Reembolso"),D2798=""),"⚠ Falta categoría",IF(AND(D2798&lt;&gt;"",E2798&lt;&gt;"",ISNA(MATCH(D2798&amp;"|"&amp;E2798,catClave,0))),"⚠ Subcategoría no corresponde",IF(AND(OR(P2798="Transferencia",P2798="Pago tarjeta"),K2798=""),"⚠ Falta cuenta destino",IF(AND(K2798&lt;&gt;"",P2798&lt;&gt;"Transferencia",P2798&lt;&gt;"Pago tarjeta"),"⚠ Destino solo aplica a transferencias",IF(AND(K2798&lt;&gt;"",K2798=Q2798),"⚠ Origen igual a destino",IF(AND(K2798&lt;&gt;"",ISNA(MATCH(K2798,ctaNombre,0))),"⚠ Destino no registrado",IF(AND(P2798="Pago tarjeta",AE2798&lt;&gt;"Tarjeta de crédito"),"⚠ El destino debe ser tarjeta de crédito",IF(AND(P2798="Gasto",E2798="Depósitos y retiros"),"⚠ Usa tipo Transferencia",IF(AND(P2798="Resultado trading",AD2798&lt;&gt;"Cuenta de trading"),"⚠ Usa una cuenta de trading",IF(AND(G2798&lt;=0,P2798&lt;&gt;"Ajuste",P2798&lt;&gt;"Resultado trading"),"⚠ El monto debe ser positivo","✓")))))))))))))))</f>
        <v/>
      </c>
      <c r="P2798" s="52">
        <f>IF(OR(B2798="",G2798=""),"",IF(C2798="","Gasto",C2798))</f>
        <v/>
      </c>
      <c r="Q2798" s="52">
        <f>IF(P2798="","",IF(J2798&lt;&gt;"",J2798,CuentaPred&amp;""))</f>
        <v/>
      </c>
      <c r="R2798" s="52">
        <f>IF(P2798="","",IF(ISNUMBER(I2798),I2798,TasaUSD))</f>
        <v/>
      </c>
      <c r="S2798" s="53">
        <f>IF(P2798="","",IF(H2798="USD",G2798*R2798,G2798))</f>
        <v/>
      </c>
      <c r="T2798" s="53">
        <f>IF(P2798="","",IF(H2798="USD",G2798,IF(R2798&gt;0,G2798/R2798,0)))</f>
        <v/>
      </c>
      <c r="U2798" s="53">
        <f>IF(P2798="","",IF(P2798="Gasto",S2798,IF(P2798="Reembolso",-S2798,0)))</f>
        <v/>
      </c>
      <c r="V2798" s="53">
        <f>IF(P2798="","",IF(P2798="Ingreso",S2798,0))</f>
        <v/>
      </c>
      <c r="W2798" s="53">
        <f>IF(P2798="","",IF(P2798="Resultado trading",S2798,0))</f>
        <v/>
      </c>
      <c r="X2798" s="52">
        <f>IF(OR(P2798="Gasto",P2798="Reembolso"),IF(M2798&lt;&gt;"",M2798,IFERROR(INDEX(catClasif,MATCH(D2798&amp;"|"&amp;E2798,catClave,0))&amp;"","Variable")),"")</f>
        <v/>
      </c>
      <c r="Y2798" s="52">
        <f>IF(P2798="","",IFERROR(INDEX(catGrupo,MATCH(D2798&amp;"|"&amp;E2798,catClave,0))&amp;"",""))</f>
        <v/>
      </c>
      <c r="Z2798" s="52">
        <f>IF(P2798="","",WEEKDAY(B2798,2))</f>
        <v/>
      </c>
      <c r="AA2798" s="52">
        <f>IF(P2798="","",IF(AND(P2798="Gasto",X2798="Variable",D2798&lt;&gt;catTrading,S2798&gt;0,S2798&lt;=Umbral),1,0))</f>
        <v/>
      </c>
      <c r="AB2798" s="52">
        <f>IF(OR(P2798="",Q2798=""),"",IFERROR(IF(INDEX(ctaVinc,MATCH(Q2798,ctaNombre,0))&amp;""&lt;&gt;"",INDEX(ctaVinc,MATCH(Q2798,ctaNombre,0))&amp;"",Q2798),Q2798))</f>
        <v/>
      </c>
      <c r="AC2798" s="52">
        <f>IF(OR(K2798="",AND(P2798&lt;&gt;"Transferencia",P2798&lt;&gt;"Pago tarjeta")),"",IFERROR(IF(INDEX(ctaVinc,MATCH(K2798,ctaNombre,0))&amp;""&lt;&gt;"",INDEX(ctaVinc,MATCH(K2798,ctaNombre,0))&amp;"",K2798),K2798))</f>
        <v/>
      </c>
      <c r="AD2798" s="52">
        <f>IF(AB2798="","",IFERROR(INDEX(ctaTipo,MATCH(AB2798,ctaNombre,0))&amp;"",""))</f>
        <v/>
      </c>
      <c r="AE2798" s="52">
        <f>IF(AC2798="","",IFERROR(INDEX(ctaTipo,MATCH(AC2798,ctaNombre,0))&amp;"",""))</f>
        <v/>
      </c>
      <c r="AF2798" s="53">
        <f>IF(OR(P2798="",AB2798=""),"",IF(OR(P2798="Gasto",P2798="Transferencia",P2798="Pago tarjeta"),-1,1)*IF(IFERROR(INDEX(ctaMoneda,MATCH(AB2798,ctaNombre,0))&amp;"","DOP")="USD",T2798,S2798))</f>
        <v/>
      </c>
      <c r="AG2798" s="53">
        <f>IF(AC2798="","",IF(IFERROR(INDEX(ctaMoneda,MATCH(AC2798,ctaNombre,0))&amp;"","DOP")="USD",T2798,S2798))</f>
        <v/>
      </c>
      <c r="AH2798" s="53">
        <f>IF(P2798="","",IF(AND(AD2798&lt;&gt;"",COUNTIFS(tcTipo,AD2798,tcLiq,"Sí")&gt;0),IF(OR(P2798="Gasto",P2798="Transferencia",P2798="Pago tarjeta"),-1,1)*S2798,0)+IF(AND(AE2798&lt;&gt;"",COUNTIFS(tcTipo,AE2798,tcLiq,"Sí")&gt;0),S2798,0))</f>
        <v/>
      </c>
      <c r="AI2798" s="52">
        <f>IF(OR(L2798="",P2798=""),"",IF(COUNTIFS(L$6:L2798,L2798,P$6:P2798,"?*")=1,MAX(AI$5:AI2797)+1,""))</f>
        <v/>
      </c>
    </row>
    <row r="2799">
      <c r="B2799" s="47" t="n"/>
      <c r="C2799" s="48" t="n"/>
      <c r="D2799" s="48" t="n"/>
      <c r="E2799" s="48" t="n"/>
      <c r="F2799" s="48" t="n"/>
      <c r="G2799" s="49" t="n"/>
      <c r="H2799" s="48" t="n"/>
      <c r="I2799" s="50" t="n"/>
      <c r="J2799" s="48" t="n"/>
      <c r="K2799" s="48" t="n"/>
      <c r="L2799" s="48" t="n"/>
      <c r="M2799" s="48" t="n"/>
      <c r="N2799" s="48" t="n"/>
      <c r="O2799" s="51">
        <f>IF(AND(B2799="",G2799="",C2799="",D2799="",J2799=""),"",IF(B2799="","⚠ Falta fecha",IF(G2799="","⚠ Falta monto",IF(Q2799="","⚠ Falta cuenta",IF(ISNA(MATCH(Q2799,ctaNombre,0)),"⚠ Cuenta no registrada",IF(AND(OR(P2799="Gasto",P2799="Reembolso"),D2799=""),"⚠ Falta categoría",IF(AND(D2799&lt;&gt;"",E2799&lt;&gt;"",ISNA(MATCH(D2799&amp;"|"&amp;E2799,catClave,0))),"⚠ Subcategoría no corresponde",IF(AND(OR(P2799="Transferencia",P2799="Pago tarjeta"),K2799=""),"⚠ Falta cuenta destino",IF(AND(K2799&lt;&gt;"",P2799&lt;&gt;"Transferencia",P2799&lt;&gt;"Pago tarjeta"),"⚠ Destino solo aplica a transferencias",IF(AND(K2799&lt;&gt;"",K2799=Q2799),"⚠ Origen igual a destino",IF(AND(K2799&lt;&gt;"",ISNA(MATCH(K2799,ctaNombre,0))),"⚠ Destino no registrado",IF(AND(P2799="Pago tarjeta",AE2799&lt;&gt;"Tarjeta de crédito"),"⚠ El destino debe ser tarjeta de crédito",IF(AND(P2799="Gasto",E2799="Depósitos y retiros"),"⚠ Usa tipo Transferencia",IF(AND(P2799="Resultado trading",AD2799&lt;&gt;"Cuenta de trading"),"⚠ Usa una cuenta de trading",IF(AND(G2799&lt;=0,P2799&lt;&gt;"Ajuste",P2799&lt;&gt;"Resultado trading"),"⚠ El monto debe ser positivo","✓")))))))))))))))</f>
        <v/>
      </c>
      <c r="P2799" s="52">
        <f>IF(OR(B2799="",G2799=""),"",IF(C2799="","Gasto",C2799))</f>
        <v/>
      </c>
      <c r="Q2799" s="52">
        <f>IF(P2799="","",IF(J2799&lt;&gt;"",J2799,CuentaPred&amp;""))</f>
        <v/>
      </c>
      <c r="R2799" s="52">
        <f>IF(P2799="","",IF(ISNUMBER(I2799),I2799,TasaUSD))</f>
        <v/>
      </c>
      <c r="S2799" s="53">
        <f>IF(P2799="","",IF(H2799="USD",G2799*R2799,G2799))</f>
        <v/>
      </c>
      <c r="T2799" s="53">
        <f>IF(P2799="","",IF(H2799="USD",G2799,IF(R2799&gt;0,G2799/R2799,0)))</f>
        <v/>
      </c>
      <c r="U2799" s="53">
        <f>IF(P2799="","",IF(P2799="Gasto",S2799,IF(P2799="Reembolso",-S2799,0)))</f>
        <v/>
      </c>
      <c r="V2799" s="53">
        <f>IF(P2799="","",IF(P2799="Ingreso",S2799,0))</f>
        <v/>
      </c>
      <c r="W2799" s="53">
        <f>IF(P2799="","",IF(P2799="Resultado trading",S2799,0))</f>
        <v/>
      </c>
      <c r="X2799" s="52">
        <f>IF(OR(P2799="Gasto",P2799="Reembolso"),IF(M2799&lt;&gt;"",M2799,IFERROR(INDEX(catClasif,MATCH(D2799&amp;"|"&amp;E2799,catClave,0))&amp;"","Variable")),"")</f>
        <v/>
      </c>
      <c r="Y2799" s="52">
        <f>IF(P2799="","",IFERROR(INDEX(catGrupo,MATCH(D2799&amp;"|"&amp;E2799,catClave,0))&amp;"",""))</f>
        <v/>
      </c>
      <c r="Z2799" s="52">
        <f>IF(P2799="","",WEEKDAY(B2799,2))</f>
        <v/>
      </c>
      <c r="AA2799" s="52">
        <f>IF(P2799="","",IF(AND(P2799="Gasto",X2799="Variable",D2799&lt;&gt;catTrading,S2799&gt;0,S2799&lt;=Umbral),1,0))</f>
        <v/>
      </c>
      <c r="AB2799" s="52">
        <f>IF(OR(P2799="",Q2799=""),"",IFERROR(IF(INDEX(ctaVinc,MATCH(Q2799,ctaNombre,0))&amp;""&lt;&gt;"",INDEX(ctaVinc,MATCH(Q2799,ctaNombre,0))&amp;"",Q2799),Q2799))</f>
        <v/>
      </c>
      <c r="AC2799" s="52">
        <f>IF(OR(K2799="",AND(P2799&lt;&gt;"Transferencia",P2799&lt;&gt;"Pago tarjeta")),"",IFERROR(IF(INDEX(ctaVinc,MATCH(K2799,ctaNombre,0))&amp;""&lt;&gt;"",INDEX(ctaVinc,MATCH(K2799,ctaNombre,0))&amp;"",K2799),K2799))</f>
        <v/>
      </c>
      <c r="AD2799" s="52">
        <f>IF(AB2799="","",IFERROR(INDEX(ctaTipo,MATCH(AB2799,ctaNombre,0))&amp;"",""))</f>
        <v/>
      </c>
      <c r="AE2799" s="52">
        <f>IF(AC2799="","",IFERROR(INDEX(ctaTipo,MATCH(AC2799,ctaNombre,0))&amp;"",""))</f>
        <v/>
      </c>
      <c r="AF2799" s="53">
        <f>IF(OR(P2799="",AB2799=""),"",IF(OR(P2799="Gasto",P2799="Transferencia",P2799="Pago tarjeta"),-1,1)*IF(IFERROR(INDEX(ctaMoneda,MATCH(AB2799,ctaNombre,0))&amp;"","DOP")="USD",T2799,S2799))</f>
        <v/>
      </c>
      <c r="AG2799" s="53">
        <f>IF(AC2799="","",IF(IFERROR(INDEX(ctaMoneda,MATCH(AC2799,ctaNombre,0))&amp;"","DOP")="USD",T2799,S2799))</f>
        <v/>
      </c>
      <c r="AH2799" s="53">
        <f>IF(P2799="","",IF(AND(AD2799&lt;&gt;"",COUNTIFS(tcTipo,AD2799,tcLiq,"Sí")&gt;0),IF(OR(P2799="Gasto",P2799="Transferencia",P2799="Pago tarjeta"),-1,1)*S2799,0)+IF(AND(AE2799&lt;&gt;"",COUNTIFS(tcTipo,AE2799,tcLiq,"Sí")&gt;0),S2799,0))</f>
        <v/>
      </c>
      <c r="AI2799" s="52">
        <f>IF(OR(L2799="",P2799=""),"",IF(COUNTIFS(L$6:L2799,L2799,P$6:P2799,"?*")=1,MAX(AI$5:AI2798)+1,""))</f>
        <v/>
      </c>
    </row>
    <row r="2800">
      <c r="B2800" s="47" t="n"/>
      <c r="C2800" s="48" t="n"/>
      <c r="D2800" s="48" t="n"/>
      <c r="E2800" s="48" t="n"/>
      <c r="F2800" s="48" t="n"/>
      <c r="G2800" s="49" t="n"/>
      <c r="H2800" s="48" t="n"/>
      <c r="I2800" s="50" t="n"/>
      <c r="J2800" s="48" t="n"/>
      <c r="K2800" s="48" t="n"/>
      <c r="L2800" s="48" t="n"/>
      <c r="M2800" s="48" t="n"/>
      <c r="N2800" s="48" t="n"/>
      <c r="O2800" s="51">
        <f>IF(AND(B2800="",G2800="",C2800="",D2800="",J2800=""),"",IF(B2800="","⚠ Falta fecha",IF(G2800="","⚠ Falta monto",IF(Q2800="","⚠ Falta cuenta",IF(ISNA(MATCH(Q2800,ctaNombre,0)),"⚠ Cuenta no registrada",IF(AND(OR(P2800="Gasto",P2800="Reembolso"),D2800=""),"⚠ Falta categoría",IF(AND(D2800&lt;&gt;"",E2800&lt;&gt;"",ISNA(MATCH(D2800&amp;"|"&amp;E2800,catClave,0))),"⚠ Subcategoría no corresponde",IF(AND(OR(P2800="Transferencia",P2800="Pago tarjeta"),K2800=""),"⚠ Falta cuenta destino",IF(AND(K2800&lt;&gt;"",P2800&lt;&gt;"Transferencia",P2800&lt;&gt;"Pago tarjeta"),"⚠ Destino solo aplica a transferencias",IF(AND(K2800&lt;&gt;"",K2800=Q2800),"⚠ Origen igual a destino",IF(AND(K2800&lt;&gt;"",ISNA(MATCH(K2800,ctaNombre,0))),"⚠ Destino no registrado",IF(AND(P2800="Pago tarjeta",AE2800&lt;&gt;"Tarjeta de crédito"),"⚠ El destino debe ser tarjeta de crédito",IF(AND(P2800="Gasto",E2800="Depósitos y retiros"),"⚠ Usa tipo Transferencia",IF(AND(P2800="Resultado trading",AD2800&lt;&gt;"Cuenta de trading"),"⚠ Usa una cuenta de trading",IF(AND(G2800&lt;=0,P2800&lt;&gt;"Ajuste",P2800&lt;&gt;"Resultado trading"),"⚠ El monto debe ser positivo","✓")))))))))))))))</f>
        <v/>
      </c>
      <c r="P2800" s="52">
        <f>IF(OR(B2800="",G2800=""),"",IF(C2800="","Gasto",C2800))</f>
        <v/>
      </c>
      <c r="Q2800" s="52">
        <f>IF(P2800="","",IF(J2800&lt;&gt;"",J2800,CuentaPred&amp;""))</f>
        <v/>
      </c>
      <c r="R2800" s="52">
        <f>IF(P2800="","",IF(ISNUMBER(I2800),I2800,TasaUSD))</f>
        <v/>
      </c>
      <c r="S2800" s="53">
        <f>IF(P2800="","",IF(H2800="USD",G2800*R2800,G2800))</f>
        <v/>
      </c>
      <c r="T2800" s="53">
        <f>IF(P2800="","",IF(H2800="USD",G2800,IF(R2800&gt;0,G2800/R2800,0)))</f>
        <v/>
      </c>
      <c r="U2800" s="53">
        <f>IF(P2800="","",IF(P2800="Gasto",S2800,IF(P2800="Reembolso",-S2800,0)))</f>
        <v/>
      </c>
      <c r="V2800" s="53">
        <f>IF(P2800="","",IF(P2800="Ingreso",S2800,0))</f>
        <v/>
      </c>
      <c r="W2800" s="53">
        <f>IF(P2800="","",IF(P2800="Resultado trading",S2800,0))</f>
        <v/>
      </c>
      <c r="X2800" s="52">
        <f>IF(OR(P2800="Gasto",P2800="Reembolso"),IF(M2800&lt;&gt;"",M2800,IFERROR(INDEX(catClasif,MATCH(D2800&amp;"|"&amp;E2800,catClave,0))&amp;"","Variable")),"")</f>
        <v/>
      </c>
      <c r="Y2800" s="52">
        <f>IF(P2800="","",IFERROR(INDEX(catGrupo,MATCH(D2800&amp;"|"&amp;E2800,catClave,0))&amp;"",""))</f>
        <v/>
      </c>
      <c r="Z2800" s="52">
        <f>IF(P2800="","",WEEKDAY(B2800,2))</f>
        <v/>
      </c>
      <c r="AA2800" s="52">
        <f>IF(P2800="","",IF(AND(P2800="Gasto",X2800="Variable",D2800&lt;&gt;catTrading,S2800&gt;0,S2800&lt;=Umbral),1,0))</f>
        <v/>
      </c>
      <c r="AB2800" s="52">
        <f>IF(OR(P2800="",Q2800=""),"",IFERROR(IF(INDEX(ctaVinc,MATCH(Q2800,ctaNombre,0))&amp;""&lt;&gt;"",INDEX(ctaVinc,MATCH(Q2800,ctaNombre,0))&amp;"",Q2800),Q2800))</f>
        <v/>
      </c>
      <c r="AC2800" s="52">
        <f>IF(OR(K2800="",AND(P2800&lt;&gt;"Transferencia",P2800&lt;&gt;"Pago tarjeta")),"",IFERROR(IF(INDEX(ctaVinc,MATCH(K2800,ctaNombre,0))&amp;""&lt;&gt;"",INDEX(ctaVinc,MATCH(K2800,ctaNombre,0))&amp;"",K2800),K2800))</f>
        <v/>
      </c>
      <c r="AD2800" s="52">
        <f>IF(AB2800="","",IFERROR(INDEX(ctaTipo,MATCH(AB2800,ctaNombre,0))&amp;"",""))</f>
        <v/>
      </c>
      <c r="AE2800" s="52">
        <f>IF(AC2800="","",IFERROR(INDEX(ctaTipo,MATCH(AC2800,ctaNombre,0))&amp;"",""))</f>
        <v/>
      </c>
      <c r="AF2800" s="53">
        <f>IF(OR(P2800="",AB2800=""),"",IF(OR(P2800="Gasto",P2800="Transferencia",P2800="Pago tarjeta"),-1,1)*IF(IFERROR(INDEX(ctaMoneda,MATCH(AB2800,ctaNombre,0))&amp;"","DOP")="USD",T2800,S2800))</f>
        <v/>
      </c>
      <c r="AG2800" s="53">
        <f>IF(AC2800="","",IF(IFERROR(INDEX(ctaMoneda,MATCH(AC2800,ctaNombre,0))&amp;"","DOP")="USD",T2800,S2800))</f>
        <v/>
      </c>
      <c r="AH2800" s="53">
        <f>IF(P2800="","",IF(AND(AD2800&lt;&gt;"",COUNTIFS(tcTipo,AD2800,tcLiq,"Sí")&gt;0),IF(OR(P2800="Gasto",P2800="Transferencia",P2800="Pago tarjeta"),-1,1)*S2800,0)+IF(AND(AE2800&lt;&gt;"",COUNTIFS(tcTipo,AE2800,tcLiq,"Sí")&gt;0),S2800,0))</f>
        <v/>
      </c>
      <c r="AI2800" s="52">
        <f>IF(OR(L2800="",P2800=""),"",IF(COUNTIFS(L$6:L2800,L2800,P$6:P2800,"?*")=1,MAX(AI$5:AI2799)+1,""))</f>
        <v/>
      </c>
    </row>
    <row r="2801">
      <c r="B2801" s="47" t="n"/>
      <c r="C2801" s="48" t="n"/>
      <c r="D2801" s="48" t="n"/>
      <c r="E2801" s="48" t="n"/>
      <c r="F2801" s="48" t="n"/>
      <c r="G2801" s="49" t="n"/>
      <c r="H2801" s="48" t="n"/>
      <c r="I2801" s="50" t="n"/>
      <c r="J2801" s="48" t="n"/>
      <c r="K2801" s="48" t="n"/>
      <c r="L2801" s="48" t="n"/>
      <c r="M2801" s="48" t="n"/>
      <c r="N2801" s="48" t="n"/>
      <c r="O2801" s="51">
        <f>IF(AND(B2801="",G2801="",C2801="",D2801="",J2801=""),"",IF(B2801="","⚠ Falta fecha",IF(G2801="","⚠ Falta monto",IF(Q2801="","⚠ Falta cuenta",IF(ISNA(MATCH(Q2801,ctaNombre,0)),"⚠ Cuenta no registrada",IF(AND(OR(P2801="Gasto",P2801="Reembolso"),D2801=""),"⚠ Falta categoría",IF(AND(D2801&lt;&gt;"",E2801&lt;&gt;"",ISNA(MATCH(D2801&amp;"|"&amp;E2801,catClave,0))),"⚠ Subcategoría no corresponde",IF(AND(OR(P2801="Transferencia",P2801="Pago tarjeta"),K2801=""),"⚠ Falta cuenta destino",IF(AND(K2801&lt;&gt;"",P2801&lt;&gt;"Transferencia",P2801&lt;&gt;"Pago tarjeta"),"⚠ Destino solo aplica a transferencias",IF(AND(K2801&lt;&gt;"",K2801=Q2801),"⚠ Origen igual a destino",IF(AND(K2801&lt;&gt;"",ISNA(MATCH(K2801,ctaNombre,0))),"⚠ Destino no registrado",IF(AND(P2801="Pago tarjeta",AE2801&lt;&gt;"Tarjeta de crédito"),"⚠ El destino debe ser tarjeta de crédito",IF(AND(P2801="Gasto",E2801="Depósitos y retiros"),"⚠ Usa tipo Transferencia",IF(AND(P2801="Resultado trading",AD2801&lt;&gt;"Cuenta de trading"),"⚠ Usa una cuenta de trading",IF(AND(G2801&lt;=0,P2801&lt;&gt;"Ajuste",P2801&lt;&gt;"Resultado trading"),"⚠ El monto debe ser positivo","✓")))))))))))))))</f>
        <v/>
      </c>
      <c r="P2801" s="52">
        <f>IF(OR(B2801="",G2801=""),"",IF(C2801="","Gasto",C2801))</f>
        <v/>
      </c>
      <c r="Q2801" s="52">
        <f>IF(P2801="","",IF(J2801&lt;&gt;"",J2801,CuentaPred&amp;""))</f>
        <v/>
      </c>
      <c r="R2801" s="52">
        <f>IF(P2801="","",IF(ISNUMBER(I2801),I2801,TasaUSD))</f>
        <v/>
      </c>
      <c r="S2801" s="53">
        <f>IF(P2801="","",IF(H2801="USD",G2801*R2801,G2801))</f>
        <v/>
      </c>
      <c r="T2801" s="53">
        <f>IF(P2801="","",IF(H2801="USD",G2801,IF(R2801&gt;0,G2801/R2801,0)))</f>
        <v/>
      </c>
      <c r="U2801" s="53">
        <f>IF(P2801="","",IF(P2801="Gasto",S2801,IF(P2801="Reembolso",-S2801,0)))</f>
        <v/>
      </c>
      <c r="V2801" s="53">
        <f>IF(P2801="","",IF(P2801="Ingreso",S2801,0))</f>
        <v/>
      </c>
      <c r="W2801" s="53">
        <f>IF(P2801="","",IF(P2801="Resultado trading",S2801,0))</f>
        <v/>
      </c>
      <c r="X2801" s="52">
        <f>IF(OR(P2801="Gasto",P2801="Reembolso"),IF(M2801&lt;&gt;"",M2801,IFERROR(INDEX(catClasif,MATCH(D2801&amp;"|"&amp;E2801,catClave,0))&amp;"","Variable")),"")</f>
        <v/>
      </c>
      <c r="Y2801" s="52">
        <f>IF(P2801="","",IFERROR(INDEX(catGrupo,MATCH(D2801&amp;"|"&amp;E2801,catClave,0))&amp;"",""))</f>
        <v/>
      </c>
      <c r="Z2801" s="52">
        <f>IF(P2801="","",WEEKDAY(B2801,2))</f>
        <v/>
      </c>
      <c r="AA2801" s="52">
        <f>IF(P2801="","",IF(AND(P2801="Gasto",X2801="Variable",D2801&lt;&gt;catTrading,S2801&gt;0,S2801&lt;=Umbral),1,0))</f>
        <v/>
      </c>
      <c r="AB2801" s="52">
        <f>IF(OR(P2801="",Q2801=""),"",IFERROR(IF(INDEX(ctaVinc,MATCH(Q2801,ctaNombre,0))&amp;""&lt;&gt;"",INDEX(ctaVinc,MATCH(Q2801,ctaNombre,0))&amp;"",Q2801),Q2801))</f>
        <v/>
      </c>
      <c r="AC2801" s="52">
        <f>IF(OR(K2801="",AND(P2801&lt;&gt;"Transferencia",P2801&lt;&gt;"Pago tarjeta")),"",IFERROR(IF(INDEX(ctaVinc,MATCH(K2801,ctaNombre,0))&amp;""&lt;&gt;"",INDEX(ctaVinc,MATCH(K2801,ctaNombre,0))&amp;"",K2801),K2801))</f>
        <v/>
      </c>
      <c r="AD2801" s="52">
        <f>IF(AB2801="","",IFERROR(INDEX(ctaTipo,MATCH(AB2801,ctaNombre,0))&amp;"",""))</f>
        <v/>
      </c>
      <c r="AE2801" s="52">
        <f>IF(AC2801="","",IFERROR(INDEX(ctaTipo,MATCH(AC2801,ctaNombre,0))&amp;"",""))</f>
        <v/>
      </c>
      <c r="AF2801" s="53">
        <f>IF(OR(P2801="",AB2801=""),"",IF(OR(P2801="Gasto",P2801="Transferencia",P2801="Pago tarjeta"),-1,1)*IF(IFERROR(INDEX(ctaMoneda,MATCH(AB2801,ctaNombre,0))&amp;"","DOP")="USD",T2801,S2801))</f>
        <v/>
      </c>
      <c r="AG2801" s="53">
        <f>IF(AC2801="","",IF(IFERROR(INDEX(ctaMoneda,MATCH(AC2801,ctaNombre,0))&amp;"","DOP")="USD",T2801,S2801))</f>
        <v/>
      </c>
      <c r="AH2801" s="53">
        <f>IF(P2801="","",IF(AND(AD2801&lt;&gt;"",COUNTIFS(tcTipo,AD2801,tcLiq,"Sí")&gt;0),IF(OR(P2801="Gasto",P2801="Transferencia",P2801="Pago tarjeta"),-1,1)*S2801,0)+IF(AND(AE2801&lt;&gt;"",COUNTIFS(tcTipo,AE2801,tcLiq,"Sí")&gt;0),S2801,0))</f>
        <v/>
      </c>
      <c r="AI2801" s="52">
        <f>IF(OR(L2801="",P2801=""),"",IF(COUNTIFS(L$6:L2801,L2801,P$6:P2801,"?*")=1,MAX(AI$5:AI2800)+1,""))</f>
        <v/>
      </c>
    </row>
    <row r="2802">
      <c r="B2802" s="47" t="n"/>
      <c r="C2802" s="48" t="n"/>
      <c r="D2802" s="48" t="n"/>
      <c r="E2802" s="48" t="n"/>
      <c r="F2802" s="48" t="n"/>
      <c r="G2802" s="49" t="n"/>
      <c r="H2802" s="48" t="n"/>
      <c r="I2802" s="50" t="n"/>
      <c r="J2802" s="48" t="n"/>
      <c r="K2802" s="48" t="n"/>
      <c r="L2802" s="48" t="n"/>
      <c r="M2802" s="48" t="n"/>
      <c r="N2802" s="48" t="n"/>
      <c r="O2802" s="51">
        <f>IF(AND(B2802="",G2802="",C2802="",D2802="",J2802=""),"",IF(B2802="","⚠ Falta fecha",IF(G2802="","⚠ Falta monto",IF(Q2802="","⚠ Falta cuenta",IF(ISNA(MATCH(Q2802,ctaNombre,0)),"⚠ Cuenta no registrada",IF(AND(OR(P2802="Gasto",P2802="Reembolso"),D2802=""),"⚠ Falta categoría",IF(AND(D2802&lt;&gt;"",E2802&lt;&gt;"",ISNA(MATCH(D2802&amp;"|"&amp;E2802,catClave,0))),"⚠ Subcategoría no corresponde",IF(AND(OR(P2802="Transferencia",P2802="Pago tarjeta"),K2802=""),"⚠ Falta cuenta destino",IF(AND(K2802&lt;&gt;"",P2802&lt;&gt;"Transferencia",P2802&lt;&gt;"Pago tarjeta"),"⚠ Destino solo aplica a transferencias",IF(AND(K2802&lt;&gt;"",K2802=Q2802),"⚠ Origen igual a destino",IF(AND(K2802&lt;&gt;"",ISNA(MATCH(K2802,ctaNombre,0))),"⚠ Destino no registrado",IF(AND(P2802="Pago tarjeta",AE2802&lt;&gt;"Tarjeta de crédito"),"⚠ El destino debe ser tarjeta de crédito",IF(AND(P2802="Gasto",E2802="Depósitos y retiros"),"⚠ Usa tipo Transferencia",IF(AND(P2802="Resultado trading",AD2802&lt;&gt;"Cuenta de trading"),"⚠ Usa una cuenta de trading",IF(AND(G2802&lt;=0,P2802&lt;&gt;"Ajuste",P2802&lt;&gt;"Resultado trading"),"⚠ El monto debe ser positivo","✓")))))))))))))))</f>
        <v/>
      </c>
      <c r="P2802" s="52">
        <f>IF(OR(B2802="",G2802=""),"",IF(C2802="","Gasto",C2802))</f>
        <v/>
      </c>
      <c r="Q2802" s="52">
        <f>IF(P2802="","",IF(J2802&lt;&gt;"",J2802,CuentaPred&amp;""))</f>
        <v/>
      </c>
      <c r="R2802" s="52">
        <f>IF(P2802="","",IF(ISNUMBER(I2802),I2802,TasaUSD))</f>
        <v/>
      </c>
      <c r="S2802" s="53">
        <f>IF(P2802="","",IF(H2802="USD",G2802*R2802,G2802))</f>
        <v/>
      </c>
      <c r="T2802" s="53">
        <f>IF(P2802="","",IF(H2802="USD",G2802,IF(R2802&gt;0,G2802/R2802,0)))</f>
        <v/>
      </c>
      <c r="U2802" s="53">
        <f>IF(P2802="","",IF(P2802="Gasto",S2802,IF(P2802="Reembolso",-S2802,0)))</f>
        <v/>
      </c>
      <c r="V2802" s="53">
        <f>IF(P2802="","",IF(P2802="Ingreso",S2802,0))</f>
        <v/>
      </c>
      <c r="W2802" s="53">
        <f>IF(P2802="","",IF(P2802="Resultado trading",S2802,0))</f>
        <v/>
      </c>
      <c r="X2802" s="52">
        <f>IF(OR(P2802="Gasto",P2802="Reembolso"),IF(M2802&lt;&gt;"",M2802,IFERROR(INDEX(catClasif,MATCH(D2802&amp;"|"&amp;E2802,catClave,0))&amp;"","Variable")),"")</f>
        <v/>
      </c>
      <c r="Y2802" s="52">
        <f>IF(P2802="","",IFERROR(INDEX(catGrupo,MATCH(D2802&amp;"|"&amp;E2802,catClave,0))&amp;"",""))</f>
        <v/>
      </c>
      <c r="Z2802" s="52">
        <f>IF(P2802="","",WEEKDAY(B2802,2))</f>
        <v/>
      </c>
      <c r="AA2802" s="52">
        <f>IF(P2802="","",IF(AND(P2802="Gasto",X2802="Variable",D2802&lt;&gt;catTrading,S2802&gt;0,S2802&lt;=Umbral),1,0))</f>
        <v/>
      </c>
      <c r="AB2802" s="52">
        <f>IF(OR(P2802="",Q2802=""),"",IFERROR(IF(INDEX(ctaVinc,MATCH(Q2802,ctaNombre,0))&amp;""&lt;&gt;"",INDEX(ctaVinc,MATCH(Q2802,ctaNombre,0))&amp;"",Q2802),Q2802))</f>
        <v/>
      </c>
      <c r="AC2802" s="52">
        <f>IF(OR(K2802="",AND(P2802&lt;&gt;"Transferencia",P2802&lt;&gt;"Pago tarjeta")),"",IFERROR(IF(INDEX(ctaVinc,MATCH(K2802,ctaNombre,0))&amp;""&lt;&gt;"",INDEX(ctaVinc,MATCH(K2802,ctaNombre,0))&amp;"",K2802),K2802))</f>
        <v/>
      </c>
      <c r="AD2802" s="52">
        <f>IF(AB2802="","",IFERROR(INDEX(ctaTipo,MATCH(AB2802,ctaNombre,0))&amp;"",""))</f>
        <v/>
      </c>
      <c r="AE2802" s="52">
        <f>IF(AC2802="","",IFERROR(INDEX(ctaTipo,MATCH(AC2802,ctaNombre,0))&amp;"",""))</f>
        <v/>
      </c>
      <c r="AF2802" s="53">
        <f>IF(OR(P2802="",AB2802=""),"",IF(OR(P2802="Gasto",P2802="Transferencia",P2802="Pago tarjeta"),-1,1)*IF(IFERROR(INDEX(ctaMoneda,MATCH(AB2802,ctaNombre,0))&amp;"","DOP")="USD",T2802,S2802))</f>
        <v/>
      </c>
      <c r="AG2802" s="53">
        <f>IF(AC2802="","",IF(IFERROR(INDEX(ctaMoneda,MATCH(AC2802,ctaNombre,0))&amp;"","DOP")="USD",T2802,S2802))</f>
        <v/>
      </c>
      <c r="AH2802" s="53">
        <f>IF(P2802="","",IF(AND(AD2802&lt;&gt;"",COUNTIFS(tcTipo,AD2802,tcLiq,"Sí")&gt;0),IF(OR(P2802="Gasto",P2802="Transferencia",P2802="Pago tarjeta"),-1,1)*S2802,0)+IF(AND(AE2802&lt;&gt;"",COUNTIFS(tcTipo,AE2802,tcLiq,"Sí")&gt;0),S2802,0))</f>
        <v/>
      </c>
      <c r="AI2802" s="52">
        <f>IF(OR(L2802="",P2802=""),"",IF(COUNTIFS(L$6:L2802,L2802,P$6:P2802,"?*")=1,MAX(AI$5:AI2801)+1,""))</f>
        <v/>
      </c>
    </row>
    <row r="2803">
      <c r="B2803" s="47" t="n"/>
      <c r="C2803" s="48" t="n"/>
      <c r="D2803" s="48" t="n"/>
      <c r="E2803" s="48" t="n"/>
      <c r="F2803" s="48" t="n"/>
      <c r="G2803" s="49" t="n"/>
      <c r="H2803" s="48" t="n"/>
      <c r="I2803" s="50" t="n"/>
      <c r="J2803" s="48" t="n"/>
      <c r="K2803" s="48" t="n"/>
      <c r="L2803" s="48" t="n"/>
      <c r="M2803" s="48" t="n"/>
      <c r="N2803" s="48" t="n"/>
      <c r="O2803" s="51">
        <f>IF(AND(B2803="",G2803="",C2803="",D2803="",J2803=""),"",IF(B2803="","⚠ Falta fecha",IF(G2803="","⚠ Falta monto",IF(Q2803="","⚠ Falta cuenta",IF(ISNA(MATCH(Q2803,ctaNombre,0)),"⚠ Cuenta no registrada",IF(AND(OR(P2803="Gasto",P2803="Reembolso"),D2803=""),"⚠ Falta categoría",IF(AND(D2803&lt;&gt;"",E2803&lt;&gt;"",ISNA(MATCH(D2803&amp;"|"&amp;E2803,catClave,0))),"⚠ Subcategoría no corresponde",IF(AND(OR(P2803="Transferencia",P2803="Pago tarjeta"),K2803=""),"⚠ Falta cuenta destino",IF(AND(K2803&lt;&gt;"",P2803&lt;&gt;"Transferencia",P2803&lt;&gt;"Pago tarjeta"),"⚠ Destino solo aplica a transferencias",IF(AND(K2803&lt;&gt;"",K2803=Q2803),"⚠ Origen igual a destino",IF(AND(K2803&lt;&gt;"",ISNA(MATCH(K2803,ctaNombre,0))),"⚠ Destino no registrado",IF(AND(P2803="Pago tarjeta",AE2803&lt;&gt;"Tarjeta de crédito"),"⚠ El destino debe ser tarjeta de crédito",IF(AND(P2803="Gasto",E2803="Depósitos y retiros"),"⚠ Usa tipo Transferencia",IF(AND(P2803="Resultado trading",AD2803&lt;&gt;"Cuenta de trading"),"⚠ Usa una cuenta de trading",IF(AND(G2803&lt;=0,P2803&lt;&gt;"Ajuste",P2803&lt;&gt;"Resultado trading"),"⚠ El monto debe ser positivo","✓")))))))))))))))</f>
        <v/>
      </c>
      <c r="P2803" s="52">
        <f>IF(OR(B2803="",G2803=""),"",IF(C2803="","Gasto",C2803))</f>
        <v/>
      </c>
      <c r="Q2803" s="52">
        <f>IF(P2803="","",IF(J2803&lt;&gt;"",J2803,CuentaPred&amp;""))</f>
        <v/>
      </c>
      <c r="R2803" s="52">
        <f>IF(P2803="","",IF(ISNUMBER(I2803),I2803,TasaUSD))</f>
        <v/>
      </c>
      <c r="S2803" s="53">
        <f>IF(P2803="","",IF(H2803="USD",G2803*R2803,G2803))</f>
        <v/>
      </c>
      <c r="T2803" s="53">
        <f>IF(P2803="","",IF(H2803="USD",G2803,IF(R2803&gt;0,G2803/R2803,0)))</f>
        <v/>
      </c>
      <c r="U2803" s="53">
        <f>IF(P2803="","",IF(P2803="Gasto",S2803,IF(P2803="Reembolso",-S2803,0)))</f>
        <v/>
      </c>
      <c r="V2803" s="53">
        <f>IF(P2803="","",IF(P2803="Ingreso",S2803,0))</f>
        <v/>
      </c>
      <c r="W2803" s="53">
        <f>IF(P2803="","",IF(P2803="Resultado trading",S2803,0))</f>
        <v/>
      </c>
      <c r="X2803" s="52">
        <f>IF(OR(P2803="Gasto",P2803="Reembolso"),IF(M2803&lt;&gt;"",M2803,IFERROR(INDEX(catClasif,MATCH(D2803&amp;"|"&amp;E2803,catClave,0))&amp;"","Variable")),"")</f>
        <v/>
      </c>
      <c r="Y2803" s="52">
        <f>IF(P2803="","",IFERROR(INDEX(catGrupo,MATCH(D2803&amp;"|"&amp;E2803,catClave,0))&amp;"",""))</f>
        <v/>
      </c>
      <c r="Z2803" s="52">
        <f>IF(P2803="","",WEEKDAY(B2803,2))</f>
        <v/>
      </c>
      <c r="AA2803" s="52">
        <f>IF(P2803="","",IF(AND(P2803="Gasto",X2803="Variable",D2803&lt;&gt;catTrading,S2803&gt;0,S2803&lt;=Umbral),1,0))</f>
        <v/>
      </c>
      <c r="AB2803" s="52">
        <f>IF(OR(P2803="",Q2803=""),"",IFERROR(IF(INDEX(ctaVinc,MATCH(Q2803,ctaNombre,0))&amp;""&lt;&gt;"",INDEX(ctaVinc,MATCH(Q2803,ctaNombre,0))&amp;"",Q2803),Q2803))</f>
        <v/>
      </c>
      <c r="AC2803" s="52">
        <f>IF(OR(K2803="",AND(P2803&lt;&gt;"Transferencia",P2803&lt;&gt;"Pago tarjeta")),"",IFERROR(IF(INDEX(ctaVinc,MATCH(K2803,ctaNombre,0))&amp;""&lt;&gt;"",INDEX(ctaVinc,MATCH(K2803,ctaNombre,0))&amp;"",K2803),K2803))</f>
        <v/>
      </c>
      <c r="AD2803" s="52">
        <f>IF(AB2803="","",IFERROR(INDEX(ctaTipo,MATCH(AB2803,ctaNombre,0))&amp;"",""))</f>
        <v/>
      </c>
      <c r="AE2803" s="52">
        <f>IF(AC2803="","",IFERROR(INDEX(ctaTipo,MATCH(AC2803,ctaNombre,0))&amp;"",""))</f>
        <v/>
      </c>
      <c r="AF2803" s="53">
        <f>IF(OR(P2803="",AB2803=""),"",IF(OR(P2803="Gasto",P2803="Transferencia",P2803="Pago tarjeta"),-1,1)*IF(IFERROR(INDEX(ctaMoneda,MATCH(AB2803,ctaNombre,0))&amp;"","DOP")="USD",T2803,S2803))</f>
        <v/>
      </c>
      <c r="AG2803" s="53">
        <f>IF(AC2803="","",IF(IFERROR(INDEX(ctaMoneda,MATCH(AC2803,ctaNombre,0))&amp;"","DOP")="USD",T2803,S2803))</f>
        <v/>
      </c>
      <c r="AH2803" s="53">
        <f>IF(P2803="","",IF(AND(AD2803&lt;&gt;"",COUNTIFS(tcTipo,AD2803,tcLiq,"Sí")&gt;0),IF(OR(P2803="Gasto",P2803="Transferencia",P2803="Pago tarjeta"),-1,1)*S2803,0)+IF(AND(AE2803&lt;&gt;"",COUNTIFS(tcTipo,AE2803,tcLiq,"Sí")&gt;0),S2803,0))</f>
        <v/>
      </c>
      <c r="AI2803" s="52">
        <f>IF(OR(L2803="",P2803=""),"",IF(COUNTIFS(L$6:L2803,L2803,P$6:P2803,"?*")=1,MAX(AI$5:AI2802)+1,""))</f>
        <v/>
      </c>
    </row>
    <row r="2804">
      <c r="B2804" s="47" t="n"/>
      <c r="C2804" s="48" t="n"/>
      <c r="D2804" s="48" t="n"/>
      <c r="E2804" s="48" t="n"/>
      <c r="F2804" s="48" t="n"/>
      <c r="G2804" s="49" t="n"/>
      <c r="H2804" s="48" t="n"/>
      <c r="I2804" s="50" t="n"/>
      <c r="J2804" s="48" t="n"/>
      <c r="K2804" s="48" t="n"/>
      <c r="L2804" s="48" t="n"/>
      <c r="M2804" s="48" t="n"/>
      <c r="N2804" s="48" t="n"/>
      <c r="O2804" s="51">
        <f>IF(AND(B2804="",G2804="",C2804="",D2804="",J2804=""),"",IF(B2804="","⚠ Falta fecha",IF(G2804="","⚠ Falta monto",IF(Q2804="","⚠ Falta cuenta",IF(ISNA(MATCH(Q2804,ctaNombre,0)),"⚠ Cuenta no registrada",IF(AND(OR(P2804="Gasto",P2804="Reembolso"),D2804=""),"⚠ Falta categoría",IF(AND(D2804&lt;&gt;"",E2804&lt;&gt;"",ISNA(MATCH(D2804&amp;"|"&amp;E2804,catClave,0))),"⚠ Subcategoría no corresponde",IF(AND(OR(P2804="Transferencia",P2804="Pago tarjeta"),K2804=""),"⚠ Falta cuenta destino",IF(AND(K2804&lt;&gt;"",P2804&lt;&gt;"Transferencia",P2804&lt;&gt;"Pago tarjeta"),"⚠ Destino solo aplica a transferencias",IF(AND(K2804&lt;&gt;"",K2804=Q2804),"⚠ Origen igual a destino",IF(AND(K2804&lt;&gt;"",ISNA(MATCH(K2804,ctaNombre,0))),"⚠ Destino no registrado",IF(AND(P2804="Pago tarjeta",AE2804&lt;&gt;"Tarjeta de crédito"),"⚠ El destino debe ser tarjeta de crédito",IF(AND(P2804="Gasto",E2804="Depósitos y retiros"),"⚠ Usa tipo Transferencia",IF(AND(P2804="Resultado trading",AD2804&lt;&gt;"Cuenta de trading"),"⚠ Usa una cuenta de trading",IF(AND(G2804&lt;=0,P2804&lt;&gt;"Ajuste",P2804&lt;&gt;"Resultado trading"),"⚠ El monto debe ser positivo","✓")))))))))))))))</f>
        <v/>
      </c>
      <c r="P2804" s="52">
        <f>IF(OR(B2804="",G2804=""),"",IF(C2804="","Gasto",C2804))</f>
        <v/>
      </c>
      <c r="Q2804" s="52">
        <f>IF(P2804="","",IF(J2804&lt;&gt;"",J2804,CuentaPred&amp;""))</f>
        <v/>
      </c>
      <c r="R2804" s="52">
        <f>IF(P2804="","",IF(ISNUMBER(I2804),I2804,TasaUSD))</f>
        <v/>
      </c>
      <c r="S2804" s="53">
        <f>IF(P2804="","",IF(H2804="USD",G2804*R2804,G2804))</f>
        <v/>
      </c>
      <c r="T2804" s="53">
        <f>IF(P2804="","",IF(H2804="USD",G2804,IF(R2804&gt;0,G2804/R2804,0)))</f>
        <v/>
      </c>
      <c r="U2804" s="53">
        <f>IF(P2804="","",IF(P2804="Gasto",S2804,IF(P2804="Reembolso",-S2804,0)))</f>
        <v/>
      </c>
      <c r="V2804" s="53">
        <f>IF(P2804="","",IF(P2804="Ingreso",S2804,0))</f>
        <v/>
      </c>
      <c r="W2804" s="53">
        <f>IF(P2804="","",IF(P2804="Resultado trading",S2804,0))</f>
        <v/>
      </c>
      <c r="X2804" s="52">
        <f>IF(OR(P2804="Gasto",P2804="Reembolso"),IF(M2804&lt;&gt;"",M2804,IFERROR(INDEX(catClasif,MATCH(D2804&amp;"|"&amp;E2804,catClave,0))&amp;"","Variable")),"")</f>
        <v/>
      </c>
      <c r="Y2804" s="52">
        <f>IF(P2804="","",IFERROR(INDEX(catGrupo,MATCH(D2804&amp;"|"&amp;E2804,catClave,0))&amp;"",""))</f>
        <v/>
      </c>
      <c r="Z2804" s="52">
        <f>IF(P2804="","",WEEKDAY(B2804,2))</f>
        <v/>
      </c>
      <c r="AA2804" s="52">
        <f>IF(P2804="","",IF(AND(P2804="Gasto",X2804="Variable",D2804&lt;&gt;catTrading,S2804&gt;0,S2804&lt;=Umbral),1,0))</f>
        <v/>
      </c>
      <c r="AB2804" s="52">
        <f>IF(OR(P2804="",Q2804=""),"",IFERROR(IF(INDEX(ctaVinc,MATCH(Q2804,ctaNombre,0))&amp;""&lt;&gt;"",INDEX(ctaVinc,MATCH(Q2804,ctaNombre,0))&amp;"",Q2804),Q2804))</f>
        <v/>
      </c>
      <c r="AC2804" s="52">
        <f>IF(OR(K2804="",AND(P2804&lt;&gt;"Transferencia",P2804&lt;&gt;"Pago tarjeta")),"",IFERROR(IF(INDEX(ctaVinc,MATCH(K2804,ctaNombre,0))&amp;""&lt;&gt;"",INDEX(ctaVinc,MATCH(K2804,ctaNombre,0))&amp;"",K2804),K2804))</f>
        <v/>
      </c>
      <c r="AD2804" s="52">
        <f>IF(AB2804="","",IFERROR(INDEX(ctaTipo,MATCH(AB2804,ctaNombre,0))&amp;"",""))</f>
        <v/>
      </c>
      <c r="AE2804" s="52">
        <f>IF(AC2804="","",IFERROR(INDEX(ctaTipo,MATCH(AC2804,ctaNombre,0))&amp;"",""))</f>
        <v/>
      </c>
      <c r="AF2804" s="53">
        <f>IF(OR(P2804="",AB2804=""),"",IF(OR(P2804="Gasto",P2804="Transferencia",P2804="Pago tarjeta"),-1,1)*IF(IFERROR(INDEX(ctaMoneda,MATCH(AB2804,ctaNombre,0))&amp;"","DOP")="USD",T2804,S2804))</f>
        <v/>
      </c>
      <c r="AG2804" s="53">
        <f>IF(AC2804="","",IF(IFERROR(INDEX(ctaMoneda,MATCH(AC2804,ctaNombre,0))&amp;"","DOP")="USD",T2804,S2804))</f>
        <v/>
      </c>
      <c r="AH2804" s="53">
        <f>IF(P2804="","",IF(AND(AD2804&lt;&gt;"",COUNTIFS(tcTipo,AD2804,tcLiq,"Sí")&gt;0),IF(OR(P2804="Gasto",P2804="Transferencia",P2804="Pago tarjeta"),-1,1)*S2804,0)+IF(AND(AE2804&lt;&gt;"",COUNTIFS(tcTipo,AE2804,tcLiq,"Sí")&gt;0),S2804,0))</f>
        <v/>
      </c>
      <c r="AI2804" s="52">
        <f>IF(OR(L2804="",P2804=""),"",IF(COUNTIFS(L$6:L2804,L2804,P$6:P2804,"?*")=1,MAX(AI$5:AI2803)+1,""))</f>
        <v/>
      </c>
    </row>
    <row r="2805">
      <c r="B2805" s="47" t="n"/>
      <c r="C2805" s="48" t="n"/>
      <c r="D2805" s="48" t="n"/>
      <c r="E2805" s="48" t="n"/>
      <c r="F2805" s="48" t="n"/>
      <c r="G2805" s="49" t="n"/>
      <c r="H2805" s="48" t="n"/>
      <c r="I2805" s="50" t="n"/>
      <c r="J2805" s="48" t="n"/>
      <c r="K2805" s="48" t="n"/>
      <c r="L2805" s="48" t="n"/>
      <c r="M2805" s="48" t="n"/>
      <c r="N2805" s="48" t="n"/>
      <c r="O2805" s="51">
        <f>IF(AND(B2805="",G2805="",C2805="",D2805="",J2805=""),"",IF(B2805="","⚠ Falta fecha",IF(G2805="","⚠ Falta monto",IF(Q2805="","⚠ Falta cuenta",IF(ISNA(MATCH(Q2805,ctaNombre,0)),"⚠ Cuenta no registrada",IF(AND(OR(P2805="Gasto",P2805="Reembolso"),D2805=""),"⚠ Falta categoría",IF(AND(D2805&lt;&gt;"",E2805&lt;&gt;"",ISNA(MATCH(D2805&amp;"|"&amp;E2805,catClave,0))),"⚠ Subcategoría no corresponde",IF(AND(OR(P2805="Transferencia",P2805="Pago tarjeta"),K2805=""),"⚠ Falta cuenta destino",IF(AND(K2805&lt;&gt;"",P2805&lt;&gt;"Transferencia",P2805&lt;&gt;"Pago tarjeta"),"⚠ Destino solo aplica a transferencias",IF(AND(K2805&lt;&gt;"",K2805=Q2805),"⚠ Origen igual a destino",IF(AND(K2805&lt;&gt;"",ISNA(MATCH(K2805,ctaNombre,0))),"⚠ Destino no registrado",IF(AND(P2805="Pago tarjeta",AE2805&lt;&gt;"Tarjeta de crédito"),"⚠ El destino debe ser tarjeta de crédito",IF(AND(P2805="Gasto",E2805="Depósitos y retiros"),"⚠ Usa tipo Transferencia",IF(AND(P2805="Resultado trading",AD2805&lt;&gt;"Cuenta de trading"),"⚠ Usa una cuenta de trading",IF(AND(G2805&lt;=0,P2805&lt;&gt;"Ajuste",P2805&lt;&gt;"Resultado trading"),"⚠ El monto debe ser positivo","✓")))))))))))))))</f>
        <v/>
      </c>
      <c r="P2805" s="52">
        <f>IF(OR(B2805="",G2805=""),"",IF(C2805="","Gasto",C2805))</f>
        <v/>
      </c>
      <c r="Q2805" s="52">
        <f>IF(P2805="","",IF(J2805&lt;&gt;"",J2805,CuentaPred&amp;""))</f>
        <v/>
      </c>
      <c r="R2805" s="52">
        <f>IF(P2805="","",IF(ISNUMBER(I2805),I2805,TasaUSD))</f>
        <v/>
      </c>
      <c r="S2805" s="53">
        <f>IF(P2805="","",IF(H2805="USD",G2805*R2805,G2805))</f>
        <v/>
      </c>
      <c r="T2805" s="53">
        <f>IF(P2805="","",IF(H2805="USD",G2805,IF(R2805&gt;0,G2805/R2805,0)))</f>
        <v/>
      </c>
      <c r="U2805" s="53">
        <f>IF(P2805="","",IF(P2805="Gasto",S2805,IF(P2805="Reembolso",-S2805,0)))</f>
        <v/>
      </c>
      <c r="V2805" s="53">
        <f>IF(P2805="","",IF(P2805="Ingreso",S2805,0))</f>
        <v/>
      </c>
      <c r="W2805" s="53">
        <f>IF(P2805="","",IF(P2805="Resultado trading",S2805,0))</f>
        <v/>
      </c>
      <c r="X2805" s="52">
        <f>IF(OR(P2805="Gasto",P2805="Reembolso"),IF(M2805&lt;&gt;"",M2805,IFERROR(INDEX(catClasif,MATCH(D2805&amp;"|"&amp;E2805,catClave,0))&amp;"","Variable")),"")</f>
        <v/>
      </c>
      <c r="Y2805" s="52">
        <f>IF(P2805="","",IFERROR(INDEX(catGrupo,MATCH(D2805&amp;"|"&amp;E2805,catClave,0))&amp;"",""))</f>
        <v/>
      </c>
      <c r="Z2805" s="52">
        <f>IF(P2805="","",WEEKDAY(B2805,2))</f>
        <v/>
      </c>
      <c r="AA2805" s="52">
        <f>IF(P2805="","",IF(AND(P2805="Gasto",X2805="Variable",D2805&lt;&gt;catTrading,S2805&gt;0,S2805&lt;=Umbral),1,0))</f>
        <v/>
      </c>
      <c r="AB2805" s="52">
        <f>IF(OR(P2805="",Q2805=""),"",IFERROR(IF(INDEX(ctaVinc,MATCH(Q2805,ctaNombre,0))&amp;""&lt;&gt;"",INDEX(ctaVinc,MATCH(Q2805,ctaNombre,0))&amp;"",Q2805),Q2805))</f>
        <v/>
      </c>
      <c r="AC2805" s="52">
        <f>IF(OR(K2805="",AND(P2805&lt;&gt;"Transferencia",P2805&lt;&gt;"Pago tarjeta")),"",IFERROR(IF(INDEX(ctaVinc,MATCH(K2805,ctaNombre,0))&amp;""&lt;&gt;"",INDEX(ctaVinc,MATCH(K2805,ctaNombre,0))&amp;"",K2805),K2805))</f>
        <v/>
      </c>
      <c r="AD2805" s="52">
        <f>IF(AB2805="","",IFERROR(INDEX(ctaTipo,MATCH(AB2805,ctaNombre,0))&amp;"",""))</f>
        <v/>
      </c>
      <c r="AE2805" s="52">
        <f>IF(AC2805="","",IFERROR(INDEX(ctaTipo,MATCH(AC2805,ctaNombre,0))&amp;"",""))</f>
        <v/>
      </c>
      <c r="AF2805" s="53">
        <f>IF(OR(P2805="",AB2805=""),"",IF(OR(P2805="Gasto",P2805="Transferencia",P2805="Pago tarjeta"),-1,1)*IF(IFERROR(INDEX(ctaMoneda,MATCH(AB2805,ctaNombre,0))&amp;"","DOP")="USD",T2805,S2805))</f>
        <v/>
      </c>
      <c r="AG2805" s="53">
        <f>IF(AC2805="","",IF(IFERROR(INDEX(ctaMoneda,MATCH(AC2805,ctaNombre,0))&amp;"","DOP")="USD",T2805,S2805))</f>
        <v/>
      </c>
      <c r="AH2805" s="53">
        <f>IF(P2805="","",IF(AND(AD2805&lt;&gt;"",COUNTIFS(tcTipo,AD2805,tcLiq,"Sí")&gt;0),IF(OR(P2805="Gasto",P2805="Transferencia",P2805="Pago tarjeta"),-1,1)*S2805,0)+IF(AND(AE2805&lt;&gt;"",COUNTIFS(tcTipo,AE2805,tcLiq,"Sí")&gt;0),S2805,0))</f>
        <v/>
      </c>
      <c r="AI2805" s="52">
        <f>IF(OR(L2805="",P2805=""),"",IF(COUNTIFS(L$6:L2805,L2805,P$6:P2805,"?*")=1,MAX(AI$5:AI2804)+1,""))</f>
        <v/>
      </c>
    </row>
    <row r="2806">
      <c r="B2806" s="47" t="n"/>
      <c r="C2806" s="48" t="n"/>
      <c r="D2806" s="48" t="n"/>
      <c r="E2806" s="48" t="n"/>
      <c r="F2806" s="48" t="n"/>
      <c r="G2806" s="49" t="n"/>
      <c r="H2806" s="48" t="n"/>
      <c r="I2806" s="50" t="n"/>
      <c r="J2806" s="48" t="n"/>
      <c r="K2806" s="48" t="n"/>
      <c r="L2806" s="48" t="n"/>
      <c r="M2806" s="48" t="n"/>
      <c r="N2806" s="48" t="n"/>
      <c r="O2806" s="51">
        <f>IF(AND(B2806="",G2806="",C2806="",D2806="",J2806=""),"",IF(B2806="","⚠ Falta fecha",IF(G2806="","⚠ Falta monto",IF(Q2806="","⚠ Falta cuenta",IF(ISNA(MATCH(Q2806,ctaNombre,0)),"⚠ Cuenta no registrada",IF(AND(OR(P2806="Gasto",P2806="Reembolso"),D2806=""),"⚠ Falta categoría",IF(AND(D2806&lt;&gt;"",E2806&lt;&gt;"",ISNA(MATCH(D2806&amp;"|"&amp;E2806,catClave,0))),"⚠ Subcategoría no corresponde",IF(AND(OR(P2806="Transferencia",P2806="Pago tarjeta"),K2806=""),"⚠ Falta cuenta destino",IF(AND(K2806&lt;&gt;"",P2806&lt;&gt;"Transferencia",P2806&lt;&gt;"Pago tarjeta"),"⚠ Destino solo aplica a transferencias",IF(AND(K2806&lt;&gt;"",K2806=Q2806),"⚠ Origen igual a destino",IF(AND(K2806&lt;&gt;"",ISNA(MATCH(K2806,ctaNombre,0))),"⚠ Destino no registrado",IF(AND(P2806="Pago tarjeta",AE2806&lt;&gt;"Tarjeta de crédito"),"⚠ El destino debe ser tarjeta de crédito",IF(AND(P2806="Gasto",E2806="Depósitos y retiros"),"⚠ Usa tipo Transferencia",IF(AND(P2806="Resultado trading",AD2806&lt;&gt;"Cuenta de trading"),"⚠ Usa una cuenta de trading",IF(AND(G2806&lt;=0,P2806&lt;&gt;"Ajuste",P2806&lt;&gt;"Resultado trading"),"⚠ El monto debe ser positivo","✓")))))))))))))))</f>
        <v/>
      </c>
      <c r="P2806" s="52">
        <f>IF(OR(B2806="",G2806=""),"",IF(C2806="","Gasto",C2806))</f>
        <v/>
      </c>
      <c r="Q2806" s="52">
        <f>IF(P2806="","",IF(J2806&lt;&gt;"",J2806,CuentaPred&amp;""))</f>
        <v/>
      </c>
      <c r="R2806" s="52">
        <f>IF(P2806="","",IF(ISNUMBER(I2806),I2806,TasaUSD))</f>
        <v/>
      </c>
      <c r="S2806" s="53">
        <f>IF(P2806="","",IF(H2806="USD",G2806*R2806,G2806))</f>
        <v/>
      </c>
      <c r="T2806" s="53">
        <f>IF(P2806="","",IF(H2806="USD",G2806,IF(R2806&gt;0,G2806/R2806,0)))</f>
        <v/>
      </c>
      <c r="U2806" s="53">
        <f>IF(P2806="","",IF(P2806="Gasto",S2806,IF(P2806="Reembolso",-S2806,0)))</f>
        <v/>
      </c>
      <c r="V2806" s="53">
        <f>IF(P2806="","",IF(P2806="Ingreso",S2806,0))</f>
        <v/>
      </c>
      <c r="W2806" s="53">
        <f>IF(P2806="","",IF(P2806="Resultado trading",S2806,0))</f>
        <v/>
      </c>
      <c r="X2806" s="52">
        <f>IF(OR(P2806="Gasto",P2806="Reembolso"),IF(M2806&lt;&gt;"",M2806,IFERROR(INDEX(catClasif,MATCH(D2806&amp;"|"&amp;E2806,catClave,0))&amp;"","Variable")),"")</f>
        <v/>
      </c>
      <c r="Y2806" s="52">
        <f>IF(P2806="","",IFERROR(INDEX(catGrupo,MATCH(D2806&amp;"|"&amp;E2806,catClave,0))&amp;"",""))</f>
        <v/>
      </c>
      <c r="Z2806" s="52">
        <f>IF(P2806="","",WEEKDAY(B2806,2))</f>
        <v/>
      </c>
      <c r="AA2806" s="52">
        <f>IF(P2806="","",IF(AND(P2806="Gasto",X2806="Variable",D2806&lt;&gt;catTrading,S2806&gt;0,S2806&lt;=Umbral),1,0))</f>
        <v/>
      </c>
      <c r="AB2806" s="52">
        <f>IF(OR(P2806="",Q2806=""),"",IFERROR(IF(INDEX(ctaVinc,MATCH(Q2806,ctaNombre,0))&amp;""&lt;&gt;"",INDEX(ctaVinc,MATCH(Q2806,ctaNombre,0))&amp;"",Q2806),Q2806))</f>
        <v/>
      </c>
      <c r="AC2806" s="52">
        <f>IF(OR(K2806="",AND(P2806&lt;&gt;"Transferencia",P2806&lt;&gt;"Pago tarjeta")),"",IFERROR(IF(INDEX(ctaVinc,MATCH(K2806,ctaNombre,0))&amp;""&lt;&gt;"",INDEX(ctaVinc,MATCH(K2806,ctaNombre,0))&amp;"",K2806),K2806))</f>
        <v/>
      </c>
      <c r="AD2806" s="52">
        <f>IF(AB2806="","",IFERROR(INDEX(ctaTipo,MATCH(AB2806,ctaNombre,0))&amp;"",""))</f>
        <v/>
      </c>
      <c r="AE2806" s="52">
        <f>IF(AC2806="","",IFERROR(INDEX(ctaTipo,MATCH(AC2806,ctaNombre,0))&amp;"",""))</f>
        <v/>
      </c>
      <c r="AF2806" s="53">
        <f>IF(OR(P2806="",AB2806=""),"",IF(OR(P2806="Gasto",P2806="Transferencia",P2806="Pago tarjeta"),-1,1)*IF(IFERROR(INDEX(ctaMoneda,MATCH(AB2806,ctaNombre,0))&amp;"","DOP")="USD",T2806,S2806))</f>
        <v/>
      </c>
      <c r="AG2806" s="53">
        <f>IF(AC2806="","",IF(IFERROR(INDEX(ctaMoneda,MATCH(AC2806,ctaNombre,0))&amp;"","DOP")="USD",T2806,S2806))</f>
        <v/>
      </c>
      <c r="AH2806" s="53">
        <f>IF(P2806="","",IF(AND(AD2806&lt;&gt;"",COUNTIFS(tcTipo,AD2806,tcLiq,"Sí")&gt;0),IF(OR(P2806="Gasto",P2806="Transferencia",P2806="Pago tarjeta"),-1,1)*S2806,0)+IF(AND(AE2806&lt;&gt;"",COUNTIFS(tcTipo,AE2806,tcLiq,"Sí")&gt;0),S2806,0))</f>
        <v/>
      </c>
      <c r="AI2806" s="52">
        <f>IF(OR(L2806="",P2806=""),"",IF(COUNTIFS(L$6:L2806,L2806,P$6:P2806,"?*")=1,MAX(AI$5:AI2805)+1,""))</f>
        <v/>
      </c>
    </row>
    <row r="2807">
      <c r="B2807" s="47" t="n"/>
      <c r="C2807" s="48" t="n"/>
      <c r="D2807" s="48" t="n"/>
      <c r="E2807" s="48" t="n"/>
      <c r="F2807" s="48" t="n"/>
      <c r="G2807" s="49" t="n"/>
      <c r="H2807" s="48" t="n"/>
      <c r="I2807" s="50" t="n"/>
      <c r="J2807" s="48" t="n"/>
      <c r="K2807" s="48" t="n"/>
      <c r="L2807" s="48" t="n"/>
      <c r="M2807" s="48" t="n"/>
      <c r="N2807" s="48" t="n"/>
      <c r="O2807" s="51">
        <f>IF(AND(B2807="",G2807="",C2807="",D2807="",J2807=""),"",IF(B2807="","⚠ Falta fecha",IF(G2807="","⚠ Falta monto",IF(Q2807="","⚠ Falta cuenta",IF(ISNA(MATCH(Q2807,ctaNombre,0)),"⚠ Cuenta no registrada",IF(AND(OR(P2807="Gasto",P2807="Reembolso"),D2807=""),"⚠ Falta categoría",IF(AND(D2807&lt;&gt;"",E2807&lt;&gt;"",ISNA(MATCH(D2807&amp;"|"&amp;E2807,catClave,0))),"⚠ Subcategoría no corresponde",IF(AND(OR(P2807="Transferencia",P2807="Pago tarjeta"),K2807=""),"⚠ Falta cuenta destino",IF(AND(K2807&lt;&gt;"",P2807&lt;&gt;"Transferencia",P2807&lt;&gt;"Pago tarjeta"),"⚠ Destino solo aplica a transferencias",IF(AND(K2807&lt;&gt;"",K2807=Q2807),"⚠ Origen igual a destino",IF(AND(K2807&lt;&gt;"",ISNA(MATCH(K2807,ctaNombre,0))),"⚠ Destino no registrado",IF(AND(P2807="Pago tarjeta",AE2807&lt;&gt;"Tarjeta de crédito"),"⚠ El destino debe ser tarjeta de crédito",IF(AND(P2807="Gasto",E2807="Depósitos y retiros"),"⚠ Usa tipo Transferencia",IF(AND(P2807="Resultado trading",AD2807&lt;&gt;"Cuenta de trading"),"⚠ Usa una cuenta de trading",IF(AND(G2807&lt;=0,P2807&lt;&gt;"Ajuste",P2807&lt;&gt;"Resultado trading"),"⚠ El monto debe ser positivo","✓")))))))))))))))</f>
        <v/>
      </c>
      <c r="P2807" s="52">
        <f>IF(OR(B2807="",G2807=""),"",IF(C2807="","Gasto",C2807))</f>
        <v/>
      </c>
      <c r="Q2807" s="52">
        <f>IF(P2807="","",IF(J2807&lt;&gt;"",J2807,CuentaPred&amp;""))</f>
        <v/>
      </c>
      <c r="R2807" s="52">
        <f>IF(P2807="","",IF(ISNUMBER(I2807),I2807,TasaUSD))</f>
        <v/>
      </c>
      <c r="S2807" s="53">
        <f>IF(P2807="","",IF(H2807="USD",G2807*R2807,G2807))</f>
        <v/>
      </c>
      <c r="T2807" s="53">
        <f>IF(P2807="","",IF(H2807="USD",G2807,IF(R2807&gt;0,G2807/R2807,0)))</f>
        <v/>
      </c>
      <c r="U2807" s="53">
        <f>IF(P2807="","",IF(P2807="Gasto",S2807,IF(P2807="Reembolso",-S2807,0)))</f>
        <v/>
      </c>
      <c r="V2807" s="53">
        <f>IF(P2807="","",IF(P2807="Ingreso",S2807,0))</f>
        <v/>
      </c>
      <c r="W2807" s="53">
        <f>IF(P2807="","",IF(P2807="Resultado trading",S2807,0))</f>
        <v/>
      </c>
      <c r="X2807" s="52">
        <f>IF(OR(P2807="Gasto",P2807="Reembolso"),IF(M2807&lt;&gt;"",M2807,IFERROR(INDEX(catClasif,MATCH(D2807&amp;"|"&amp;E2807,catClave,0))&amp;"","Variable")),"")</f>
        <v/>
      </c>
      <c r="Y2807" s="52">
        <f>IF(P2807="","",IFERROR(INDEX(catGrupo,MATCH(D2807&amp;"|"&amp;E2807,catClave,0))&amp;"",""))</f>
        <v/>
      </c>
      <c r="Z2807" s="52">
        <f>IF(P2807="","",WEEKDAY(B2807,2))</f>
        <v/>
      </c>
      <c r="AA2807" s="52">
        <f>IF(P2807="","",IF(AND(P2807="Gasto",X2807="Variable",D2807&lt;&gt;catTrading,S2807&gt;0,S2807&lt;=Umbral),1,0))</f>
        <v/>
      </c>
      <c r="AB2807" s="52">
        <f>IF(OR(P2807="",Q2807=""),"",IFERROR(IF(INDEX(ctaVinc,MATCH(Q2807,ctaNombre,0))&amp;""&lt;&gt;"",INDEX(ctaVinc,MATCH(Q2807,ctaNombre,0))&amp;"",Q2807),Q2807))</f>
        <v/>
      </c>
      <c r="AC2807" s="52">
        <f>IF(OR(K2807="",AND(P2807&lt;&gt;"Transferencia",P2807&lt;&gt;"Pago tarjeta")),"",IFERROR(IF(INDEX(ctaVinc,MATCH(K2807,ctaNombre,0))&amp;""&lt;&gt;"",INDEX(ctaVinc,MATCH(K2807,ctaNombre,0))&amp;"",K2807),K2807))</f>
        <v/>
      </c>
      <c r="AD2807" s="52">
        <f>IF(AB2807="","",IFERROR(INDEX(ctaTipo,MATCH(AB2807,ctaNombre,0))&amp;"",""))</f>
        <v/>
      </c>
      <c r="AE2807" s="52">
        <f>IF(AC2807="","",IFERROR(INDEX(ctaTipo,MATCH(AC2807,ctaNombre,0))&amp;"",""))</f>
        <v/>
      </c>
      <c r="AF2807" s="53">
        <f>IF(OR(P2807="",AB2807=""),"",IF(OR(P2807="Gasto",P2807="Transferencia",P2807="Pago tarjeta"),-1,1)*IF(IFERROR(INDEX(ctaMoneda,MATCH(AB2807,ctaNombre,0))&amp;"","DOP")="USD",T2807,S2807))</f>
        <v/>
      </c>
      <c r="AG2807" s="53">
        <f>IF(AC2807="","",IF(IFERROR(INDEX(ctaMoneda,MATCH(AC2807,ctaNombre,0))&amp;"","DOP")="USD",T2807,S2807))</f>
        <v/>
      </c>
      <c r="AH2807" s="53">
        <f>IF(P2807="","",IF(AND(AD2807&lt;&gt;"",COUNTIFS(tcTipo,AD2807,tcLiq,"Sí")&gt;0),IF(OR(P2807="Gasto",P2807="Transferencia",P2807="Pago tarjeta"),-1,1)*S2807,0)+IF(AND(AE2807&lt;&gt;"",COUNTIFS(tcTipo,AE2807,tcLiq,"Sí")&gt;0),S2807,0))</f>
        <v/>
      </c>
      <c r="AI2807" s="52">
        <f>IF(OR(L2807="",P2807=""),"",IF(COUNTIFS(L$6:L2807,L2807,P$6:P2807,"?*")=1,MAX(AI$5:AI2806)+1,""))</f>
        <v/>
      </c>
    </row>
    <row r="2808">
      <c r="B2808" s="47" t="n"/>
      <c r="C2808" s="48" t="n"/>
      <c r="D2808" s="48" t="n"/>
      <c r="E2808" s="48" t="n"/>
      <c r="F2808" s="48" t="n"/>
      <c r="G2808" s="49" t="n"/>
      <c r="H2808" s="48" t="n"/>
      <c r="I2808" s="50" t="n"/>
      <c r="J2808" s="48" t="n"/>
      <c r="K2808" s="48" t="n"/>
      <c r="L2808" s="48" t="n"/>
      <c r="M2808" s="48" t="n"/>
      <c r="N2808" s="48" t="n"/>
      <c r="O2808" s="51">
        <f>IF(AND(B2808="",G2808="",C2808="",D2808="",J2808=""),"",IF(B2808="","⚠ Falta fecha",IF(G2808="","⚠ Falta monto",IF(Q2808="","⚠ Falta cuenta",IF(ISNA(MATCH(Q2808,ctaNombre,0)),"⚠ Cuenta no registrada",IF(AND(OR(P2808="Gasto",P2808="Reembolso"),D2808=""),"⚠ Falta categoría",IF(AND(D2808&lt;&gt;"",E2808&lt;&gt;"",ISNA(MATCH(D2808&amp;"|"&amp;E2808,catClave,0))),"⚠ Subcategoría no corresponde",IF(AND(OR(P2808="Transferencia",P2808="Pago tarjeta"),K2808=""),"⚠ Falta cuenta destino",IF(AND(K2808&lt;&gt;"",P2808&lt;&gt;"Transferencia",P2808&lt;&gt;"Pago tarjeta"),"⚠ Destino solo aplica a transferencias",IF(AND(K2808&lt;&gt;"",K2808=Q2808),"⚠ Origen igual a destino",IF(AND(K2808&lt;&gt;"",ISNA(MATCH(K2808,ctaNombre,0))),"⚠ Destino no registrado",IF(AND(P2808="Pago tarjeta",AE2808&lt;&gt;"Tarjeta de crédito"),"⚠ El destino debe ser tarjeta de crédito",IF(AND(P2808="Gasto",E2808="Depósitos y retiros"),"⚠ Usa tipo Transferencia",IF(AND(P2808="Resultado trading",AD2808&lt;&gt;"Cuenta de trading"),"⚠ Usa una cuenta de trading",IF(AND(G2808&lt;=0,P2808&lt;&gt;"Ajuste",P2808&lt;&gt;"Resultado trading"),"⚠ El monto debe ser positivo","✓")))))))))))))))</f>
        <v/>
      </c>
      <c r="P2808" s="52">
        <f>IF(OR(B2808="",G2808=""),"",IF(C2808="","Gasto",C2808))</f>
        <v/>
      </c>
      <c r="Q2808" s="52">
        <f>IF(P2808="","",IF(J2808&lt;&gt;"",J2808,CuentaPred&amp;""))</f>
        <v/>
      </c>
      <c r="R2808" s="52">
        <f>IF(P2808="","",IF(ISNUMBER(I2808),I2808,TasaUSD))</f>
        <v/>
      </c>
      <c r="S2808" s="53">
        <f>IF(P2808="","",IF(H2808="USD",G2808*R2808,G2808))</f>
        <v/>
      </c>
      <c r="T2808" s="53">
        <f>IF(P2808="","",IF(H2808="USD",G2808,IF(R2808&gt;0,G2808/R2808,0)))</f>
        <v/>
      </c>
      <c r="U2808" s="53">
        <f>IF(P2808="","",IF(P2808="Gasto",S2808,IF(P2808="Reembolso",-S2808,0)))</f>
        <v/>
      </c>
      <c r="V2808" s="53">
        <f>IF(P2808="","",IF(P2808="Ingreso",S2808,0))</f>
        <v/>
      </c>
      <c r="W2808" s="53">
        <f>IF(P2808="","",IF(P2808="Resultado trading",S2808,0))</f>
        <v/>
      </c>
      <c r="X2808" s="52">
        <f>IF(OR(P2808="Gasto",P2808="Reembolso"),IF(M2808&lt;&gt;"",M2808,IFERROR(INDEX(catClasif,MATCH(D2808&amp;"|"&amp;E2808,catClave,0))&amp;"","Variable")),"")</f>
        <v/>
      </c>
      <c r="Y2808" s="52">
        <f>IF(P2808="","",IFERROR(INDEX(catGrupo,MATCH(D2808&amp;"|"&amp;E2808,catClave,0))&amp;"",""))</f>
        <v/>
      </c>
      <c r="Z2808" s="52">
        <f>IF(P2808="","",WEEKDAY(B2808,2))</f>
        <v/>
      </c>
      <c r="AA2808" s="52">
        <f>IF(P2808="","",IF(AND(P2808="Gasto",X2808="Variable",D2808&lt;&gt;catTrading,S2808&gt;0,S2808&lt;=Umbral),1,0))</f>
        <v/>
      </c>
      <c r="AB2808" s="52">
        <f>IF(OR(P2808="",Q2808=""),"",IFERROR(IF(INDEX(ctaVinc,MATCH(Q2808,ctaNombre,0))&amp;""&lt;&gt;"",INDEX(ctaVinc,MATCH(Q2808,ctaNombre,0))&amp;"",Q2808),Q2808))</f>
        <v/>
      </c>
      <c r="AC2808" s="52">
        <f>IF(OR(K2808="",AND(P2808&lt;&gt;"Transferencia",P2808&lt;&gt;"Pago tarjeta")),"",IFERROR(IF(INDEX(ctaVinc,MATCH(K2808,ctaNombre,0))&amp;""&lt;&gt;"",INDEX(ctaVinc,MATCH(K2808,ctaNombre,0))&amp;"",K2808),K2808))</f>
        <v/>
      </c>
      <c r="AD2808" s="52">
        <f>IF(AB2808="","",IFERROR(INDEX(ctaTipo,MATCH(AB2808,ctaNombre,0))&amp;"",""))</f>
        <v/>
      </c>
      <c r="AE2808" s="52">
        <f>IF(AC2808="","",IFERROR(INDEX(ctaTipo,MATCH(AC2808,ctaNombre,0))&amp;"",""))</f>
        <v/>
      </c>
      <c r="AF2808" s="53">
        <f>IF(OR(P2808="",AB2808=""),"",IF(OR(P2808="Gasto",P2808="Transferencia",P2808="Pago tarjeta"),-1,1)*IF(IFERROR(INDEX(ctaMoneda,MATCH(AB2808,ctaNombre,0))&amp;"","DOP")="USD",T2808,S2808))</f>
        <v/>
      </c>
      <c r="AG2808" s="53">
        <f>IF(AC2808="","",IF(IFERROR(INDEX(ctaMoneda,MATCH(AC2808,ctaNombre,0))&amp;"","DOP")="USD",T2808,S2808))</f>
        <v/>
      </c>
      <c r="AH2808" s="53">
        <f>IF(P2808="","",IF(AND(AD2808&lt;&gt;"",COUNTIFS(tcTipo,AD2808,tcLiq,"Sí")&gt;0),IF(OR(P2808="Gasto",P2808="Transferencia",P2808="Pago tarjeta"),-1,1)*S2808,0)+IF(AND(AE2808&lt;&gt;"",COUNTIFS(tcTipo,AE2808,tcLiq,"Sí")&gt;0),S2808,0))</f>
        <v/>
      </c>
      <c r="AI2808" s="52">
        <f>IF(OR(L2808="",P2808=""),"",IF(COUNTIFS(L$6:L2808,L2808,P$6:P2808,"?*")=1,MAX(AI$5:AI2807)+1,""))</f>
        <v/>
      </c>
    </row>
    <row r="2809">
      <c r="B2809" s="47" t="n"/>
      <c r="C2809" s="48" t="n"/>
      <c r="D2809" s="48" t="n"/>
      <c r="E2809" s="48" t="n"/>
      <c r="F2809" s="48" t="n"/>
      <c r="G2809" s="49" t="n"/>
      <c r="H2809" s="48" t="n"/>
      <c r="I2809" s="50" t="n"/>
      <c r="J2809" s="48" t="n"/>
      <c r="K2809" s="48" t="n"/>
      <c r="L2809" s="48" t="n"/>
      <c r="M2809" s="48" t="n"/>
      <c r="N2809" s="48" t="n"/>
      <c r="O2809" s="51">
        <f>IF(AND(B2809="",G2809="",C2809="",D2809="",J2809=""),"",IF(B2809="","⚠ Falta fecha",IF(G2809="","⚠ Falta monto",IF(Q2809="","⚠ Falta cuenta",IF(ISNA(MATCH(Q2809,ctaNombre,0)),"⚠ Cuenta no registrada",IF(AND(OR(P2809="Gasto",P2809="Reembolso"),D2809=""),"⚠ Falta categoría",IF(AND(D2809&lt;&gt;"",E2809&lt;&gt;"",ISNA(MATCH(D2809&amp;"|"&amp;E2809,catClave,0))),"⚠ Subcategoría no corresponde",IF(AND(OR(P2809="Transferencia",P2809="Pago tarjeta"),K2809=""),"⚠ Falta cuenta destino",IF(AND(K2809&lt;&gt;"",P2809&lt;&gt;"Transferencia",P2809&lt;&gt;"Pago tarjeta"),"⚠ Destino solo aplica a transferencias",IF(AND(K2809&lt;&gt;"",K2809=Q2809),"⚠ Origen igual a destino",IF(AND(K2809&lt;&gt;"",ISNA(MATCH(K2809,ctaNombre,0))),"⚠ Destino no registrado",IF(AND(P2809="Pago tarjeta",AE2809&lt;&gt;"Tarjeta de crédito"),"⚠ El destino debe ser tarjeta de crédito",IF(AND(P2809="Gasto",E2809="Depósitos y retiros"),"⚠ Usa tipo Transferencia",IF(AND(P2809="Resultado trading",AD2809&lt;&gt;"Cuenta de trading"),"⚠ Usa una cuenta de trading",IF(AND(G2809&lt;=0,P2809&lt;&gt;"Ajuste",P2809&lt;&gt;"Resultado trading"),"⚠ El monto debe ser positivo","✓")))))))))))))))</f>
        <v/>
      </c>
      <c r="P2809" s="52">
        <f>IF(OR(B2809="",G2809=""),"",IF(C2809="","Gasto",C2809))</f>
        <v/>
      </c>
      <c r="Q2809" s="52">
        <f>IF(P2809="","",IF(J2809&lt;&gt;"",J2809,CuentaPred&amp;""))</f>
        <v/>
      </c>
      <c r="R2809" s="52">
        <f>IF(P2809="","",IF(ISNUMBER(I2809),I2809,TasaUSD))</f>
        <v/>
      </c>
      <c r="S2809" s="53">
        <f>IF(P2809="","",IF(H2809="USD",G2809*R2809,G2809))</f>
        <v/>
      </c>
      <c r="T2809" s="53">
        <f>IF(P2809="","",IF(H2809="USD",G2809,IF(R2809&gt;0,G2809/R2809,0)))</f>
        <v/>
      </c>
      <c r="U2809" s="53">
        <f>IF(P2809="","",IF(P2809="Gasto",S2809,IF(P2809="Reembolso",-S2809,0)))</f>
        <v/>
      </c>
      <c r="V2809" s="53">
        <f>IF(P2809="","",IF(P2809="Ingreso",S2809,0))</f>
        <v/>
      </c>
      <c r="W2809" s="53">
        <f>IF(P2809="","",IF(P2809="Resultado trading",S2809,0))</f>
        <v/>
      </c>
      <c r="X2809" s="52">
        <f>IF(OR(P2809="Gasto",P2809="Reembolso"),IF(M2809&lt;&gt;"",M2809,IFERROR(INDEX(catClasif,MATCH(D2809&amp;"|"&amp;E2809,catClave,0))&amp;"","Variable")),"")</f>
        <v/>
      </c>
      <c r="Y2809" s="52">
        <f>IF(P2809="","",IFERROR(INDEX(catGrupo,MATCH(D2809&amp;"|"&amp;E2809,catClave,0))&amp;"",""))</f>
        <v/>
      </c>
      <c r="Z2809" s="52">
        <f>IF(P2809="","",WEEKDAY(B2809,2))</f>
        <v/>
      </c>
      <c r="AA2809" s="52">
        <f>IF(P2809="","",IF(AND(P2809="Gasto",X2809="Variable",D2809&lt;&gt;catTrading,S2809&gt;0,S2809&lt;=Umbral),1,0))</f>
        <v/>
      </c>
      <c r="AB2809" s="52">
        <f>IF(OR(P2809="",Q2809=""),"",IFERROR(IF(INDEX(ctaVinc,MATCH(Q2809,ctaNombre,0))&amp;""&lt;&gt;"",INDEX(ctaVinc,MATCH(Q2809,ctaNombre,0))&amp;"",Q2809),Q2809))</f>
        <v/>
      </c>
      <c r="AC2809" s="52">
        <f>IF(OR(K2809="",AND(P2809&lt;&gt;"Transferencia",P2809&lt;&gt;"Pago tarjeta")),"",IFERROR(IF(INDEX(ctaVinc,MATCH(K2809,ctaNombre,0))&amp;""&lt;&gt;"",INDEX(ctaVinc,MATCH(K2809,ctaNombre,0))&amp;"",K2809),K2809))</f>
        <v/>
      </c>
      <c r="AD2809" s="52">
        <f>IF(AB2809="","",IFERROR(INDEX(ctaTipo,MATCH(AB2809,ctaNombre,0))&amp;"",""))</f>
        <v/>
      </c>
      <c r="AE2809" s="52">
        <f>IF(AC2809="","",IFERROR(INDEX(ctaTipo,MATCH(AC2809,ctaNombre,0))&amp;"",""))</f>
        <v/>
      </c>
      <c r="AF2809" s="53">
        <f>IF(OR(P2809="",AB2809=""),"",IF(OR(P2809="Gasto",P2809="Transferencia",P2809="Pago tarjeta"),-1,1)*IF(IFERROR(INDEX(ctaMoneda,MATCH(AB2809,ctaNombre,0))&amp;"","DOP")="USD",T2809,S2809))</f>
        <v/>
      </c>
      <c r="AG2809" s="53">
        <f>IF(AC2809="","",IF(IFERROR(INDEX(ctaMoneda,MATCH(AC2809,ctaNombre,0))&amp;"","DOP")="USD",T2809,S2809))</f>
        <v/>
      </c>
      <c r="AH2809" s="53">
        <f>IF(P2809="","",IF(AND(AD2809&lt;&gt;"",COUNTIFS(tcTipo,AD2809,tcLiq,"Sí")&gt;0),IF(OR(P2809="Gasto",P2809="Transferencia",P2809="Pago tarjeta"),-1,1)*S2809,0)+IF(AND(AE2809&lt;&gt;"",COUNTIFS(tcTipo,AE2809,tcLiq,"Sí")&gt;0),S2809,0))</f>
        <v/>
      </c>
      <c r="AI2809" s="52">
        <f>IF(OR(L2809="",P2809=""),"",IF(COUNTIFS(L$6:L2809,L2809,P$6:P2809,"?*")=1,MAX(AI$5:AI2808)+1,""))</f>
        <v/>
      </c>
    </row>
    <row r="2810">
      <c r="B2810" s="47" t="n"/>
      <c r="C2810" s="48" t="n"/>
      <c r="D2810" s="48" t="n"/>
      <c r="E2810" s="48" t="n"/>
      <c r="F2810" s="48" t="n"/>
      <c r="G2810" s="49" t="n"/>
      <c r="H2810" s="48" t="n"/>
      <c r="I2810" s="50" t="n"/>
      <c r="J2810" s="48" t="n"/>
      <c r="K2810" s="48" t="n"/>
      <c r="L2810" s="48" t="n"/>
      <c r="M2810" s="48" t="n"/>
      <c r="N2810" s="48" t="n"/>
      <c r="O2810" s="51">
        <f>IF(AND(B2810="",G2810="",C2810="",D2810="",J2810=""),"",IF(B2810="","⚠ Falta fecha",IF(G2810="","⚠ Falta monto",IF(Q2810="","⚠ Falta cuenta",IF(ISNA(MATCH(Q2810,ctaNombre,0)),"⚠ Cuenta no registrada",IF(AND(OR(P2810="Gasto",P2810="Reembolso"),D2810=""),"⚠ Falta categoría",IF(AND(D2810&lt;&gt;"",E2810&lt;&gt;"",ISNA(MATCH(D2810&amp;"|"&amp;E2810,catClave,0))),"⚠ Subcategoría no corresponde",IF(AND(OR(P2810="Transferencia",P2810="Pago tarjeta"),K2810=""),"⚠ Falta cuenta destino",IF(AND(K2810&lt;&gt;"",P2810&lt;&gt;"Transferencia",P2810&lt;&gt;"Pago tarjeta"),"⚠ Destino solo aplica a transferencias",IF(AND(K2810&lt;&gt;"",K2810=Q2810),"⚠ Origen igual a destino",IF(AND(K2810&lt;&gt;"",ISNA(MATCH(K2810,ctaNombre,0))),"⚠ Destino no registrado",IF(AND(P2810="Pago tarjeta",AE2810&lt;&gt;"Tarjeta de crédito"),"⚠ El destino debe ser tarjeta de crédito",IF(AND(P2810="Gasto",E2810="Depósitos y retiros"),"⚠ Usa tipo Transferencia",IF(AND(P2810="Resultado trading",AD2810&lt;&gt;"Cuenta de trading"),"⚠ Usa una cuenta de trading",IF(AND(G2810&lt;=0,P2810&lt;&gt;"Ajuste",P2810&lt;&gt;"Resultado trading"),"⚠ El monto debe ser positivo","✓")))))))))))))))</f>
        <v/>
      </c>
      <c r="P2810" s="52">
        <f>IF(OR(B2810="",G2810=""),"",IF(C2810="","Gasto",C2810))</f>
        <v/>
      </c>
      <c r="Q2810" s="52">
        <f>IF(P2810="","",IF(J2810&lt;&gt;"",J2810,CuentaPred&amp;""))</f>
        <v/>
      </c>
      <c r="R2810" s="52">
        <f>IF(P2810="","",IF(ISNUMBER(I2810),I2810,TasaUSD))</f>
        <v/>
      </c>
      <c r="S2810" s="53">
        <f>IF(P2810="","",IF(H2810="USD",G2810*R2810,G2810))</f>
        <v/>
      </c>
      <c r="T2810" s="53">
        <f>IF(P2810="","",IF(H2810="USD",G2810,IF(R2810&gt;0,G2810/R2810,0)))</f>
        <v/>
      </c>
      <c r="U2810" s="53">
        <f>IF(P2810="","",IF(P2810="Gasto",S2810,IF(P2810="Reembolso",-S2810,0)))</f>
        <v/>
      </c>
      <c r="V2810" s="53">
        <f>IF(P2810="","",IF(P2810="Ingreso",S2810,0))</f>
        <v/>
      </c>
      <c r="W2810" s="53">
        <f>IF(P2810="","",IF(P2810="Resultado trading",S2810,0))</f>
        <v/>
      </c>
      <c r="X2810" s="52">
        <f>IF(OR(P2810="Gasto",P2810="Reembolso"),IF(M2810&lt;&gt;"",M2810,IFERROR(INDEX(catClasif,MATCH(D2810&amp;"|"&amp;E2810,catClave,0))&amp;"","Variable")),"")</f>
        <v/>
      </c>
      <c r="Y2810" s="52">
        <f>IF(P2810="","",IFERROR(INDEX(catGrupo,MATCH(D2810&amp;"|"&amp;E2810,catClave,0))&amp;"",""))</f>
        <v/>
      </c>
      <c r="Z2810" s="52">
        <f>IF(P2810="","",WEEKDAY(B2810,2))</f>
        <v/>
      </c>
      <c r="AA2810" s="52">
        <f>IF(P2810="","",IF(AND(P2810="Gasto",X2810="Variable",D2810&lt;&gt;catTrading,S2810&gt;0,S2810&lt;=Umbral),1,0))</f>
        <v/>
      </c>
      <c r="AB2810" s="52">
        <f>IF(OR(P2810="",Q2810=""),"",IFERROR(IF(INDEX(ctaVinc,MATCH(Q2810,ctaNombre,0))&amp;""&lt;&gt;"",INDEX(ctaVinc,MATCH(Q2810,ctaNombre,0))&amp;"",Q2810),Q2810))</f>
        <v/>
      </c>
      <c r="AC2810" s="52">
        <f>IF(OR(K2810="",AND(P2810&lt;&gt;"Transferencia",P2810&lt;&gt;"Pago tarjeta")),"",IFERROR(IF(INDEX(ctaVinc,MATCH(K2810,ctaNombre,0))&amp;""&lt;&gt;"",INDEX(ctaVinc,MATCH(K2810,ctaNombre,0))&amp;"",K2810),K2810))</f>
        <v/>
      </c>
      <c r="AD2810" s="52">
        <f>IF(AB2810="","",IFERROR(INDEX(ctaTipo,MATCH(AB2810,ctaNombre,0))&amp;"",""))</f>
        <v/>
      </c>
      <c r="AE2810" s="52">
        <f>IF(AC2810="","",IFERROR(INDEX(ctaTipo,MATCH(AC2810,ctaNombre,0))&amp;"",""))</f>
        <v/>
      </c>
      <c r="AF2810" s="53">
        <f>IF(OR(P2810="",AB2810=""),"",IF(OR(P2810="Gasto",P2810="Transferencia",P2810="Pago tarjeta"),-1,1)*IF(IFERROR(INDEX(ctaMoneda,MATCH(AB2810,ctaNombre,0))&amp;"","DOP")="USD",T2810,S2810))</f>
        <v/>
      </c>
      <c r="AG2810" s="53">
        <f>IF(AC2810="","",IF(IFERROR(INDEX(ctaMoneda,MATCH(AC2810,ctaNombre,0))&amp;"","DOP")="USD",T2810,S2810))</f>
        <v/>
      </c>
      <c r="AH2810" s="53">
        <f>IF(P2810="","",IF(AND(AD2810&lt;&gt;"",COUNTIFS(tcTipo,AD2810,tcLiq,"Sí")&gt;0),IF(OR(P2810="Gasto",P2810="Transferencia",P2810="Pago tarjeta"),-1,1)*S2810,0)+IF(AND(AE2810&lt;&gt;"",COUNTIFS(tcTipo,AE2810,tcLiq,"Sí")&gt;0),S2810,0))</f>
        <v/>
      </c>
      <c r="AI2810" s="52">
        <f>IF(OR(L2810="",P2810=""),"",IF(COUNTIFS(L$6:L2810,L2810,P$6:P2810,"?*")=1,MAX(AI$5:AI2809)+1,""))</f>
        <v/>
      </c>
    </row>
    <row r="2811">
      <c r="B2811" s="47" t="n"/>
      <c r="C2811" s="48" t="n"/>
      <c r="D2811" s="48" t="n"/>
      <c r="E2811" s="48" t="n"/>
      <c r="F2811" s="48" t="n"/>
      <c r="G2811" s="49" t="n"/>
      <c r="H2811" s="48" t="n"/>
      <c r="I2811" s="50" t="n"/>
      <c r="J2811" s="48" t="n"/>
      <c r="K2811" s="48" t="n"/>
      <c r="L2811" s="48" t="n"/>
      <c r="M2811" s="48" t="n"/>
      <c r="N2811" s="48" t="n"/>
      <c r="O2811" s="51">
        <f>IF(AND(B2811="",G2811="",C2811="",D2811="",J2811=""),"",IF(B2811="","⚠ Falta fecha",IF(G2811="","⚠ Falta monto",IF(Q2811="","⚠ Falta cuenta",IF(ISNA(MATCH(Q2811,ctaNombre,0)),"⚠ Cuenta no registrada",IF(AND(OR(P2811="Gasto",P2811="Reembolso"),D2811=""),"⚠ Falta categoría",IF(AND(D2811&lt;&gt;"",E2811&lt;&gt;"",ISNA(MATCH(D2811&amp;"|"&amp;E2811,catClave,0))),"⚠ Subcategoría no corresponde",IF(AND(OR(P2811="Transferencia",P2811="Pago tarjeta"),K2811=""),"⚠ Falta cuenta destino",IF(AND(K2811&lt;&gt;"",P2811&lt;&gt;"Transferencia",P2811&lt;&gt;"Pago tarjeta"),"⚠ Destino solo aplica a transferencias",IF(AND(K2811&lt;&gt;"",K2811=Q2811),"⚠ Origen igual a destino",IF(AND(K2811&lt;&gt;"",ISNA(MATCH(K2811,ctaNombre,0))),"⚠ Destino no registrado",IF(AND(P2811="Pago tarjeta",AE2811&lt;&gt;"Tarjeta de crédito"),"⚠ El destino debe ser tarjeta de crédito",IF(AND(P2811="Gasto",E2811="Depósitos y retiros"),"⚠ Usa tipo Transferencia",IF(AND(P2811="Resultado trading",AD2811&lt;&gt;"Cuenta de trading"),"⚠ Usa una cuenta de trading",IF(AND(G2811&lt;=0,P2811&lt;&gt;"Ajuste",P2811&lt;&gt;"Resultado trading"),"⚠ El monto debe ser positivo","✓")))))))))))))))</f>
        <v/>
      </c>
      <c r="P2811" s="52">
        <f>IF(OR(B2811="",G2811=""),"",IF(C2811="","Gasto",C2811))</f>
        <v/>
      </c>
      <c r="Q2811" s="52">
        <f>IF(P2811="","",IF(J2811&lt;&gt;"",J2811,CuentaPred&amp;""))</f>
        <v/>
      </c>
      <c r="R2811" s="52">
        <f>IF(P2811="","",IF(ISNUMBER(I2811),I2811,TasaUSD))</f>
        <v/>
      </c>
      <c r="S2811" s="53">
        <f>IF(P2811="","",IF(H2811="USD",G2811*R2811,G2811))</f>
        <v/>
      </c>
      <c r="T2811" s="53">
        <f>IF(P2811="","",IF(H2811="USD",G2811,IF(R2811&gt;0,G2811/R2811,0)))</f>
        <v/>
      </c>
      <c r="U2811" s="53">
        <f>IF(P2811="","",IF(P2811="Gasto",S2811,IF(P2811="Reembolso",-S2811,0)))</f>
        <v/>
      </c>
      <c r="V2811" s="53">
        <f>IF(P2811="","",IF(P2811="Ingreso",S2811,0))</f>
        <v/>
      </c>
      <c r="W2811" s="53">
        <f>IF(P2811="","",IF(P2811="Resultado trading",S2811,0))</f>
        <v/>
      </c>
      <c r="X2811" s="52">
        <f>IF(OR(P2811="Gasto",P2811="Reembolso"),IF(M2811&lt;&gt;"",M2811,IFERROR(INDEX(catClasif,MATCH(D2811&amp;"|"&amp;E2811,catClave,0))&amp;"","Variable")),"")</f>
        <v/>
      </c>
      <c r="Y2811" s="52">
        <f>IF(P2811="","",IFERROR(INDEX(catGrupo,MATCH(D2811&amp;"|"&amp;E2811,catClave,0))&amp;"",""))</f>
        <v/>
      </c>
      <c r="Z2811" s="52">
        <f>IF(P2811="","",WEEKDAY(B2811,2))</f>
        <v/>
      </c>
      <c r="AA2811" s="52">
        <f>IF(P2811="","",IF(AND(P2811="Gasto",X2811="Variable",D2811&lt;&gt;catTrading,S2811&gt;0,S2811&lt;=Umbral),1,0))</f>
        <v/>
      </c>
      <c r="AB2811" s="52">
        <f>IF(OR(P2811="",Q2811=""),"",IFERROR(IF(INDEX(ctaVinc,MATCH(Q2811,ctaNombre,0))&amp;""&lt;&gt;"",INDEX(ctaVinc,MATCH(Q2811,ctaNombre,0))&amp;"",Q2811),Q2811))</f>
        <v/>
      </c>
      <c r="AC2811" s="52">
        <f>IF(OR(K2811="",AND(P2811&lt;&gt;"Transferencia",P2811&lt;&gt;"Pago tarjeta")),"",IFERROR(IF(INDEX(ctaVinc,MATCH(K2811,ctaNombre,0))&amp;""&lt;&gt;"",INDEX(ctaVinc,MATCH(K2811,ctaNombre,0))&amp;"",K2811),K2811))</f>
        <v/>
      </c>
      <c r="AD2811" s="52">
        <f>IF(AB2811="","",IFERROR(INDEX(ctaTipo,MATCH(AB2811,ctaNombre,0))&amp;"",""))</f>
        <v/>
      </c>
      <c r="AE2811" s="52">
        <f>IF(AC2811="","",IFERROR(INDEX(ctaTipo,MATCH(AC2811,ctaNombre,0))&amp;"",""))</f>
        <v/>
      </c>
      <c r="AF2811" s="53">
        <f>IF(OR(P2811="",AB2811=""),"",IF(OR(P2811="Gasto",P2811="Transferencia",P2811="Pago tarjeta"),-1,1)*IF(IFERROR(INDEX(ctaMoneda,MATCH(AB2811,ctaNombre,0))&amp;"","DOP")="USD",T2811,S2811))</f>
        <v/>
      </c>
      <c r="AG2811" s="53">
        <f>IF(AC2811="","",IF(IFERROR(INDEX(ctaMoneda,MATCH(AC2811,ctaNombre,0))&amp;"","DOP")="USD",T2811,S2811))</f>
        <v/>
      </c>
      <c r="AH2811" s="53">
        <f>IF(P2811="","",IF(AND(AD2811&lt;&gt;"",COUNTIFS(tcTipo,AD2811,tcLiq,"Sí")&gt;0),IF(OR(P2811="Gasto",P2811="Transferencia",P2811="Pago tarjeta"),-1,1)*S2811,0)+IF(AND(AE2811&lt;&gt;"",COUNTIFS(tcTipo,AE2811,tcLiq,"Sí")&gt;0),S2811,0))</f>
        <v/>
      </c>
      <c r="AI2811" s="52">
        <f>IF(OR(L2811="",P2811=""),"",IF(COUNTIFS(L$6:L2811,L2811,P$6:P2811,"?*")=1,MAX(AI$5:AI2810)+1,""))</f>
        <v/>
      </c>
    </row>
    <row r="2812">
      <c r="B2812" s="47" t="n"/>
      <c r="C2812" s="48" t="n"/>
      <c r="D2812" s="48" t="n"/>
      <c r="E2812" s="48" t="n"/>
      <c r="F2812" s="48" t="n"/>
      <c r="G2812" s="49" t="n"/>
      <c r="H2812" s="48" t="n"/>
      <c r="I2812" s="50" t="n"/>
      <c r="J2812" s="48" t="n"/>
      <c r="K2812" s="48" t="n"/>
      <c r="L2812" s="48" t="n"/>
      <c r="M2812" s="48" t="n"/>
      <c r="N2812" s="48" t="n"/>
      <c r="O2812" s="51">
        <f>IF(AND(B2812="",G2812="",C2812="",D2812="",J2812=""),"",IF(B2812="","⚠ Falta fecha",IF(G2812="","⚠ Falta monto",IF(Q2812="","⚠ Falta cuenta",IF(ISNA(MATCH(Q2812,ctaNombre,0)),"⚠ Cuenta no registrada",IF(AND(OR(P2812="Gasto",P2812="Reembolso"),D2812=""),"⚠ Falta categoría",IF(AND(D2812&lt;&gt;"",E2812&lt;&gt;"",ISNA(MATCH(D2812&amp;"|"&amp;E2812,catClave,0))),"⚠ Subcategoría no corresponde",IF(AND(OR(P2812="Transferencia",P2812="Pago tarjeta"),K2812=""),"⚠ Falta cuenta destino",IF(AND(K2812&lt;&gt;"",P2812&lt;&gt;"Transferencia",P2812&lt;&gt;"Pago tarjeta"),"⚠ Destino solo aplica a transferencias",IF(AND(K2812&lt;&gt;"",K2812=Q2812),"⚠ Origen igual a destino",IF(AND(K2812&lt;&gt;"",ISNA(MATCH(K2812,ctaNombre,0))),"⚠ Destino no registrado",IF(AND(P2812="Pago tarjeta",AE2812&lt;&gt;"Tarjeta de crédito"),"⚠ El destino debe ser tarjeta de crédito",IF(AND(P2812="Gasto",E2812="Depósitos y retiros"),"⚠ Usa tipo Transferencia",IF(AND(P2812="Resultado trading",AD2812&lt;&gt;"Cuenta de trading"),"⚠ Usa una cuenta de trading",IF(AND(G2812&lt;=0,P2812&lt;&gt;"Ajuste",P2812&lt;&gt;"Resultado trading"),"⚠ El monto debe ser positivo","✓")))))))))))))))</f>
        <v/>
      </c>
      <c r="P2812" s="52">
        <f>IF(OR(B2812="",G2812=""),"",IF(C2812="","Gasto",C2812))</f>
        <v/>
      </c>
      <c r="Q2812" s="52">
        <f>IF(P2812="","",IF(J2812&lt;&gt;"",J2812,CuentaPred&amp;""))</f>
        <v/>
      </c>
      <c r="R2812" s="52">
        <f>IF(P2812="","",IF(ISNUMBER(I2812),I2812,TasaUSD))</f>
        <v/>
      </c>
      <c r="S2812" s="53">
        <f>IF(P2812="","",IF(H2812="USD",G2812*R2812,G2812))</f>
        <v/>
      </c>
      <c r="T2812" s="53">
        <f>IF(P2812="","",IF(H2812="USD",G2812,IF(R2812&gt;0,G2812/R2812,0)))</f>
        <v/>
      </c>
      <c r="U2812" s="53">
        <f>IF(P2812="","",IF(P2812="Gasto",S2812,IF(P2812="Reembolso",-S2812,0)))</f>
        <v/>
      </c>
      <c r="V2812" s="53">
        <f>IF(P2812="","",IF(P2812="Ingreso",S2812,0))</f>
        <v/>
      </c>
      <c r="W2812" s="53">
        <f>IF(P2812="","",IF(P2812="Resultado trading",S2812,0))</f>
        <v/>
      </c>
      <c r="X2812" s="52">
        <f>IF(OR(P2812="Gasto",P2812="Reembolso"),IF(M2812&lt;&gt;"",M2812,IFERROR(INDEX(catClasif,MATCH(D2812&amp;"|"&amp;E2812,catClave,0))&amp;"","Variable")),"")</f>
        <v/>
      </c>
      <c r="Y2812" s="52">
        <f>IF(P2812="","",IFERROR(INDEX(catGrupo,MATCH(D2812&amp;"|"&amp;E2812,catClave,0))&amp;"",""))</f>
        <v/>
      </c>
      <c r="Z2812" s="52">
        <f>IF(P2812="","",WEEKDAY(B2812,2))</f>
        <v/>
      </c>
      <c r="AA2812" s="52">
        <f>IF(P2812="","",IF(AND(P2812="Gasto",X2812="Variable",D2812&lt;&gt;catTrading,S2812&gt;0,S2812&lt;=Umbral),1,0))</f>
        <v/>
      </c>
      <c r="AB2812" s="52">
        <f>IF(OR(P2812="",Q2812=""),"",IFERROR(IF(INDEX(ctaVinc,MATCH(Q2812,ctaNombre,0))&amp;""&lt;&gt;"",INDEX(ctaVinc,MATCH(Q2812,ctaNombre,0))&amp;"",Q2812),Q2812))</f>
        <v/>
      </c>
      <c r="AC2812" s="52">
        <f>IF(OR(K2812="",AND(P2812&lt;&gt;"Transferencia",P2812&lt;&gt;"Pago tarjeta")),"",IFERROR(IF(INDEX(ctaVinc,MATCH(K2812,ctaNombre,0))&amp;""&lt;&gt;"",INDEX(ctaVinc,MATCH(K2812,ctaNombre,0))&amp;"",K2812),K2812))</f>
        <v/>
      </c>
      <c r="AD2812" s="52">
        <f>IF(AB2812="","",IFERROR(INDEX(ctaTipo,MATCH(AB2812,ctaNombre,0))&amp;"",""))</f>
        <v/>
      </c>
      <c r="AE2812" s="52">
        <f>IF(AC2812="","",IFERROR(INDEX(ctaTipo,MATCH(AC2812,ctaNombre,0))&amp;"",""))</f>
        <v/>
      </c>
      <c r="AF2812" s="53">
        <f>IF(OR(P2812="",AB2812=""),"",IF(OR(P2812="Gasto",P2812="Transferencia",P2812="Pago tarjeta"),-1,1)*IF(IFERROR(INDEX(ctaMoneda,MATCH(AB2812,ctaNombre,0))&amp;"","DOP")="USD",T2812,S2812))</f>
        <v/>
      </c>
      <c r="AG2812" s="53">
        <f>IF(AC2812="","",IF(IFERROR(INDEX(ctaMoneda,MATCH(AC2812,ctaNombre,0))&amp;"","DOP")="USD",T2812,S2812))</f>
        <v/>
      </c>
      <c r="AH2812" s="53">
        <f>IF(P2812="","",IF(AND(AD2812&lt;&gt;"",COUNTIFS(tcTipo,AD2812,tcLiq,"Sí")&gt;0),IF(OR(P2812="Gasto",P2812="Transferencia",P2812="Pago tarjeta"),-1,1)*S2812,0)+IF(AND(AE2812&lt;&gt;"",COUNTIFS(tcTipo,AE2812,tcLiq,"Sí")&gt;0),S2812,0))</f>
        <v/>
      </c>
      <c r="AI2812" s="52">
        <f>IF(OR(L2812="",P2812=""),"",IF(COUNTIFS(L$6:L2812,L2812,P$6:P2812,"?*")=1,MAX(AI$5:AI2811)+1,""))</f>
        <v/>
      </c>
    </row>
    <row r="2813">
      <c r="B2813" s="47" t="n"/>
      <c r="C2813" s="48" t="n"/>
      <c r="D2813" s="48" t="n"/>
      <c r="E2813" s="48" t="n"/>
      <c r="F2813" s="48" t="n"/>
      <c r="G2813" s="49" t="n"/>
      <c r="H2813" s="48" t="n"/>
      <c r="I2813" s="50" t="n"/>
      <c r="J2813" s="48" t="n"/>
      <c r="K2813" s="48" t="n"/>
      <c r="L2813" s="48" t="n"/>
      <c r="M2813" s="48" t="n"/>
      <c r="N2813" s="48" t="n"/>
      <c r="O2813" s="51">
        <f>IF(AND(B2813="",G2813="",C2813="",D2813="",J2813=""),"",IF(B2813="","⚠ Falta fecha",IF(G2813="","⚠ Falta monto",IF(Q2813="","⚠ Falta cuenta",IF(ISNA(MATCH(Q2813,ctaNombre,0)),"⚠ Cuenta no registrada",IF(AND(OR(P2813="Gasto",P2813="Reembolso"),D2813=""),"⚠ Falta categoría",IF(AND(D2813&lt;&gt;"",E2813&lt;&gt;"",ISNA(MATCH(D2813&amp;"|"&amp;E2813,catClave,0))),"⚠ Subcategoría no corresponde",IF(AND(OR(P2813="Transferencia",P2813="Pago tarjeta"),K2813=""),"⚠ Falta cuenta destino",IF(AND(K2813&lt;&gt;"",P2813&lt;&gt;"Transferencia",P2813&lt;&gt;"Pago tarjeta"),"⚠ Destino solo aplica a transferencias",IF(AND(K2813&lt;&gt;"",K2813=Q2813),"⚠ Origen igual a destino",IF(AND(K2813&lt;&gt;"",ISNA(MATCH(K2813,ctaNombre,0))),"⚠ Destino no registrado",IF(AND(P2813="Pago tarjeta",AE2813&lt;&gt;"Tarjeta de crédito"),"⚠ El destino debe ser tarjeta de crédito",IF(AND(P2813="Gasto",E2813="Depósitos y retiros"),"⚠ Usa tipo Transferencia",IF(AND(P2813="Resultado trading",AD2813&lt;&gt;"Cuenta de trading"),"⚠ Usa una cuenta de trading",IF(AND(G2813&lt;=0,P2813&lt;&gt;"Ajuste",P2813&lt;&gt;"Resultado trading"),"⚠ El monto debe ser positivo","✓")))))))))))))))</f>
        <v/>
      </c>
      <c r="P2813" s="52">
        <f>IF(OR(B2813="",G2813=""),"",IF(C2813="","Gasto",C2813))</f>
        <v/>
      </c>
      <c r="Q2813" s="52">
        <f>IF(P2813="","",IF(J2813&lt;&gt;"",J2813,CuentaPred&amp;""))</f>
        <v/>
      </c>
      <c r="R2813" s="52">
        <f>IF(P2813="","",IF(ISNUMBER(I2813),I2813,TasaUSD))</f>
        <v/>
      </c>
      <c r="S2813" s="53">
        <f>IF(P2813="","",IF(H2813="USD",G2813*R2813,G2813))</f>
        <v/>
      </c>
      <c r="T2813" s="53">
        <f>IF(P2813="","",IF(H2813="USD",G2813,IF(R2813&gt;0,G2813/R2813,0)))</f>
        <v/>
      </c>
      <c r="U2813" s="53">
        <f>IF(P2813="","",IF(P2813="Gasto",S2813,IF(P2813="Reembolso",-S2813,0)))</f>
        <v/>
      </c>
      <c r="V2813" s="53">
        <f>IF(P2813="","",IF(P2813="Ingreso",S2813,0))</f>
        <v/>
      </c>
      <c r="W2813" s="53">
        <f>IF(P2813="","",IF(P2813="Resultado trading",S2813,0))</f>
        <v/>
      </c>
      <c r="X2813" s="52">
        <f>IF(OR(P2813="Gasto",P2813="Reembolso"),IF(M2813&lt;&gt;"",M2813,IFERROR(INDEX(catClasif,MATCH(D2813&amp;"|"&amp;E2813,catClave,0))&amp;"","Variable")),"")</f>
        <v/>
      </c>
      <c r="Y2813" s="52">
        <f>IF(P2813="","",IFERROR(INDEX(catGrupo,MATCH(D2813&amp;"|"&amp;E2813,catClave,0))&amp;"",""))</f>
        <v/>
      </c>
      <c r="Z2813" s="52">
        <f>IF(P2813="","",WEEKDAY(B2813,2))</f>
        <v/>
      </c>
      <c r="AA2813" s="52">
        <f>IF(P2813="","",IF(AND(P2813="Gasto",X2813="Variable",D2813&lt;&gt;catTrading,S2813&gt;0,S2813&lt;=Umbral),1,0))</f>
        <v/>
      </c>
      <c r="AB2813" s="52">
        <f>IF(OR(P2813="",Q2813=""),"",IFERROR(IF(INDEX(ctaVinc,MATCH(Q2813,ctaNombre,0))&amp;""&lt;&gt;"",INDEX(ctaVinc,MATCH(Q2813,ctaNombre,0))&amp;"",Q2813),Q2813))</f>
        <v/>
      </c>
      <c r="AC2813" s="52">
        <f>IF(OR(K2813="",AND(P2813&lt;&gt;"Transferencia",P2813&lt;&gt;"Pago tarjeta")),"",IFERROR(IF(INDEX(ctaVinc,MATCH(K2813,ctaNombre,0))&amp;""&lt;&gt;"",INDEX(ctaVinc,MATCH(K2813,ctaNombre,0))&amp;"",K2813),K2813))</f>
        <v/>
      </c>
      <c r="AD2813" s="52">
        <f>IF(AB2813="","",IFERROR(INDEX(ctaTipo,MATCH(AB2813,ctaNombre,0))&amp;"",""))</f>
        <v/>
      </c>
      <c r="AE2813" s="52">
        <f>IF(AC2813="","",IFERROR(INDEX(ctaTipo,MATCH(AC2813,ctaNombre,0))&amp;"",""))</f>
        <v/>
      </c>
      <c r="AF2813" s="53">
        <f>IF(OR(P2813="",AB2813=""),"",IF(OR(P2813="Gasto",P2813="Transferencia",P2813="Pago tarjeta"),-1,1)*IF(IFERROR(INDEX(ctaMoneda,MATCH(AB2813,ctaNombre,0))&amp;"","DOP")="USD",T2813,S2813))</f>
        <v/>
      </c>
      <c r="AG2813" s="53">
        <f>IF(AC2813="","",IF(IFERROR(INDEX(ctaMoneda,MATCH(AC2813,ctaNombre,0))&amp;"","DOP")="USD",T2813,S2813))</f>
        <v/>
      </c>
      <c r="AH2813" s="53">
        <f>IF(P2813="","",IF(AND(AD2813&lt;&gt;"",COUNTIFS(tcTipo,AD2813,tcLiq,"Sí")&gt;0),IF(OR(P2813="Gasto",P2813="Transferencia",P2813="Pago tarjeta"),-1,1)*S2813,0)+IF(AND(AE2813&lt;&gt;"",COUNTIFS(tcTipo,AE2813,tcLiq,"Sí")&gt;0),S2813,0))</f>
        <v/>
      </c>
      <c r="AI2813" s="52">
        <f>IF(OR(L2813="",P2813=""),"",IF(COUNTIFS(L$6:L2813,L2813,P$6:P2813,"?*")=1,MAX(AI$5:AI2812)+1,""))</f>
        <v/>
      </c>
    </row>
    <row r="2814">
      <c r="B2814" s="47" t="n"/>
      <c r="C2814" s="48" t="n"/>
      <c r="D2814" s="48" t="n"/>
      <c r="E2814" s="48" t="n"/>
      <c r="F2814" s="48" t="n"/>
      <c r="G2814" s="49" t="n"/>
      <c r="H2814" s="48" t="n"/>
      <c r="I2814" s="50" t="n"/>
      <c r="J2814" s="48" t="n"/>
      <c r="K2814" s="48" t="n"/>
      <c r="L2814" s="48" t="n"/>
      <c r="M2814" s="48" t="n"/>
      <c r="N2814" s="48" t="n"/>
      <c r="O2814" s="51">
        <f>IF(AND(B2814="",G2814="",C2814="",D2814="",J2814=""),"",IF(B2814="","⚠ Falta fecha",IF(G2814="","⚠ Falta monto",IF(Q2814="","⚠ Falta cuenta",IF(ISNA(MATCH(Q2814,ctaNombre,0)),"⚠ Cuenta no registrada",IF(AND(OR(P2814="Gasto",P2814="Reembolso"),D2814=""),"⚠ Falta categoría",IF(AND(D2814&lt;&gt;"",E2814&lt;&gt;"",ISNA(MATCH(D2814&amp;"|"&amp;E2814,catClave,0))),"⚠ Subcategoría no corresponde",IF(AND(OR(P2814="Transferencia",P2814="Pago tarjeta"),K2814=""),"⚠ Falta cuenta destino",IF(AND(K2814&lt;&gt;"",P2814&lt;&gt;"Transferencia",P2814&lt;&gt;"Pago tarjeta"),"⚠ Destino solo aplica a transferencias",IF(AND(K2814&lt;&gt;"",K2814=Q2814),"⚠ Origen igual a destino",IF(AND(K2814&lt;&gt;"",ISNA(MATCH(K2814,ctaNombre,0))),"⚠ Destino no registrado",IF(AND(P2814="Pago tarjeta",AE2814&lt;&gt;"Tarjeta de crédito"),"⚠ El destino debe ser tarjeta de crédito",IF(AND(P2814="Gasto",E2814="Depósitos y retiros"),"⚠ Usa tipo Transferencia",IF(AND(P2814="Resultado trading",AD2814&lt;&gt;"Cuenta de trading"),"⚠ Usa una cuenta de trading",IF(AND(G2814&lt;=0,P2814&lt;&gt;"Ajuste",P2814&lt;&gt;"Resultado trading"),"⚠ El monto debe ser positivo","✓")))))))))))))))</f>
        <v/>
      </c>
      <c r="P2814" s="52">
        <f>IF(OR(B2814="",G2814=""),"",IF(C2814="","Gasto",C2814))</f>
        <v/>
      </c>
      <c r="Q2814" s="52">
        <f>IF(P2814="","",IF(J2814&lt;&gt;"",J2814,CuentaPred&amp;""))</f>
        <v/>
      </c>
      <c r="R2814" s="52">
        <f>IF(P2814="","",IF(ISNUMBER(I2814),I2814,TasaUSD))</f>
        <v/>
      </c>
      <c r="S2814" s="53">
        <f>IF(P2814="","",IF(H2814="USD",G2814*R2814,G2814))</f>
        <v/>
      </c>
      <c r="T2814" s="53">
        <f>IF(P2814="","",IF(H2814="USD",G2814,IF(R2814&gt;0,G2814/R2814,0)))</f>
        <v/>
      </c>
      <c r="U2814" s="53">
        <f>IF(P2814="","",IF(P2814="Gasto",S2814,IF(P2814="Reembolso",-S2814,0)))</f>
        <v/>
      </c>
      <c r="V2814" s="53">
        <f>IF(P2814="","",IF(P2814="Ingreso",S2814,0))</f>
        <v/>
      </c>
      <c r="W2814" s="53">
        <f>IF(P2814="","",IF(P2814="Resultado trading",S2814,0))</f>
        <v/>
      </c>
      <c r="X2814" s="52">
        <f>IF(OR(P2814="Gasto",P2814="Reembolso"),IF(M2814&lt;&gt;"",M2814,IFERROR(INDEX(catClasif,MATCH(D2814&amp;"|"&amp;E2814,catClave,0))&amp;"","Variable")),"")</f>
        <v/>
      </c>
      <c r="Y2814" s="52">
        <f>IF(P2814="","",IFERROR(INDEX(catGrupo,MATCH(D2814&amp;"|"&amp;E2814,catClave,0))&amp;"",""))</f>
        <v/>
      </c>
      <c r="Z2814" s="52">
        <f>IF(P2814="","",WEEKDAY(B2814,2))</f>
        <v/>
      </c>
      <c r="AA2814" s="52">
        <f>IF(P2814="","",IF(AND(P2814="Gasto",X2814="Variable",D2814&lt;&gt;catTrading,S2814&gt;0,S2814&lt;=Umbral),1,0))</f>
        <v/>
      </c>
      <c r="AB2814" s="52">
        <f>IF(OR(P2814="",Q2814=""),"",IFERROR(IF(INDEX(ctaVinc,MATCH(Q2814,ctaNombre,0))&amp;""&lt;&gt;"",INDEX(ctaVinc,MATCH(Q2814,ctaNombre,0))&amp;"",Q2814),Q2814))</f>
        <v/>
      </c>
      <c r="AC2814" s="52">
        <f>IF(OR(K2814="",AND(P2814&lt;&gt;"Transferencia",P2814&lt;&gt;"Pago tarjeta")),"",IFERROR(IF(INDEX(ctaVinc,MATCH(K2814,ctaNombre,0))&amp;""&lt;&gt;"",INDEX(ctaVinc,MATCH(K2814,ctaNombre,0))&amp;"",K2814),K2814))</f>
        <v/>
      </c>
      <c r="AD2814" s="52">
        <f>IF(AB2814="","",IFERROR(INDEX(ctaTipo,MATCH(AB2814,ctaNombre,0))&amp;"",""))</f>
        <v/>
      </c>
      <c r="AE2814" s="52">
        <f>IF(AC2814="","",IFERROR(INDEX(ctaTipo,MATCH(AC2814,ctaNombre,0))&amp;"",""))</f>
        <v/>
      </c>
      <c r="AF2814" s="53">
        <f>IF(OR(P2814="",AB2814=""),"",IF(OR(P2814="Gasto",P2814="Transferencia",P2814="Pago tarjeta"),-1,1)*IF(IFERROR(INDEX(ctaMoneda,MATCH(AB2814,ctaNombre,0))&amp;"","DOP")="USD",T2814,S2814))</f>
        <v/>
      </c>
      <c r="AG2814" s="53">
        <f>IF(AC2814="","",IF(IFERROR(INDEX(ctaMoneda,MATCH(AC2814,ctaNombre,0))&amp;"","DOP")="USD",T2814,S2814))</f>
        <v/>
      </c>
      <c r="AH2814" s="53">
        <f>IF(P2814="","",IF(AND(AD2814&lt;&gt;"",COUNTIFS(tcTipo,AD2814,tcLiq,"Sí")&gt;0),IF(OR(P2814="Gasto",P2814="Transferencia",P2814="Pago tarjeta"),-1,1)*S2814,0)+IF(AND(AE2814&lt;&gt;"",COUNTIFS(tcTipo,AE2814,tcLiq,"Sí")&gt;0),S2814,0))</f>
        <v/>
      </c>
      <c r="AI2814" s="52">
        <f>IF(OR(L2814="",P2814=""),"",IF(COUNTIFS(L$6:L2814,L2814,P$6:P2814,"?*")=1,MAX(AI$5:AI2813)+1,""))</f>
        <v/>
      </c>
    </row>
    <row r="2815">
      <c r="B2815" s="47" t="n"/>
      <c r="C2815" s="48" t="n"/>
      <c r="D2815" s="48" t="n"/>
      <c r="E2815" s="48" t="n"/>
      <c r="F2815" s="48" t="n"/>
      <c r="G2815" s="49" t="n"/>
      <c r="H2815" s="48" t="n"/>
      <c r="I2815" s="50" t="n"/>
      <c r="J2815" s="48" t="n"/>
      <c r="K2815" s="48" t="n"/>
      <c r="L2815" s="48" t="n"/>
      <c r="M2815" s="48" t="n"/>
      <c r="N2815" s="48" t="n"/>
      <c r="O2815" s="51">
        <f>IF(AND(B2815="",G2815="",C2815="",D2815="",J2815=""),"",IF(B2815="","⚠ Falta fecha",IF(G2815="","⚠ Falta monto",IF(Q2815="","⚠ Falta cuenta",IF(ISNA(MATCH(Q2815,ctaNombre,0)),"⚠ Cuenta no registrada",IF(AND(OR(P2815="Gasto",P2815="Reembolso"),D2815=""),"⚠ Falta categoría",IF(AND(D2815&lt;&gt;"",E2815&lt;&gt;"",ISNA(MATCH(D2815&amp;"|"&amp;E2815,catClave,0))),"⚠ Subcategoría no corresponde",IF(AND(OR(P2815="Transferencia",P2815="Pago tarjeta"),K2815=""),"⚠ Falta cuenta destino",IF(AND(K2815&lt;&gt;"",P2815&lt;&gt;"Transferencia",P2815&lt;&gt;"Pago tarjeta"),"⚠ Destino solo aplica a transferencias",IF(AND(K2815&lt;&gt;"",K2815=Q2815),"⚠ Origen igual a destino",IF(AND(K2815&lt;&gt;"",ISNA(MATCH(K2815,ctaNombre,0))),"⚠ Destino no registrado",IF(AND(P2815="Pago tarjeta",AE2815&lt;&gt;"Tarjeta de crédito"),"⚠ El destino debe ser tarjeta de crédito",IF(AND(P2815="Gasto",E2815="Depósitos y retiros"),"⚠ Usa tipo Transferencia",IF(AND(P2815="Resultado trading",AD2815&lt;&gt;"Cuenta de trading"),"⚠ Usa una cuenta de trading",IF(AND(G2815&lt;=0,P2815&lt;&gt;"Ajuste",P2815&lt;&gt;"Resultado trading"),"⚠ El monto debe ser positivo","✓")))))))))))))))</f>
        <v/>
      </c>
      <c r="P2815" s="52">
        <f>IF(OR(B2815="",G2815=""),"",IF(C2815="","Gasto",C2815))</f>
        <v/>
      </c>
      <c r="Q2815" s="52">
        <f>IF(P2815="","",IF(J2815&lt;&gt;"",J2815,CuentaPred&amp;""))</f>
        <v/>
      </c>
      <c r="R2815" s="52">
        <f>IF(P2815="","",IF(ISNUMBER(I2815),I2815,TasaUSD))</f>
        <v/>
      </c>
      <c r="S2815" s="53">
        <f>IF(P2815="","",IF(H2815="USD",G2815*R2815,G2815))</f>
        <v/>
      </c>
      <c r="T2815" s="53">
        <f>IF(P2815="","",IF(H2815="USD",G2815,IF(R2815&gt;0,G2815/R2815,0)))</f>
        <v/>
      </c>
      <c r="U2815" s="53">
        <f>IF(P2815="","",IF(P2815="Gasto",S2815,IF(P2815="Reembolso",-S2815,0)))</f>
        <v/>
      </c>
      <c r="V2815" s="53">
        <f>IF(P2815="","",IF(P2815="Ingreso",S2815,0))</f>
        <v/>
      </c>
      <c r="W2815" s="53">
        <f>IF(P2815="","",IF(P2815="Resultado trading",S2815,0))</f>
        <v/>
      </c>
      <c r="X2815" s="52">
        <f>IF(OR(P2815="Gasto",P2815="Reembolso"),IF(M2815&lt;&gt;"",M2815,IFERROR(INDEX(catClasif,MATCH(D2815&amp;"|"&amp;E2815,catClave,0))&amp;"","Variable")),"")</f>
        <v/>
      </c>
      <c r="Y2815" s="52">
        <f>IF(P2815="","",IFERROR(INDEX(catGrupo,MATCH(D2815&amp;"|"&amp;E2815,catClave,0))&amp;"",""))</f>
        <v/>
      </c>
      <c r="Z2815" s="52">
        <f>IF(P2815="","",WEEKDAY(B2815,2))</f>
        <v/>
      </c>
      <c r="AA2815" s="52">
        <f>IF(P2815="","",IF(AND(P2815="Gasto",X2815="Variable",D2815&lt;&gt;catTrading,S2815&gt;0,S2815&lt;=Umbral),1,0))</f>
        <v/>
      </c>
      <c r="AB2815" s="52">
        <f>IF(OR(P2815="",Q2815=""),"",IFERROR(IF(INDEX(ctaVinc,MATCH(Q2815,ctaNombre,0))&amp;""&lt;&gt;"",INDEX(ctaVinc,MATCH(Q2815,ctaNombre,0))&amp;"",Q2815),Q2815))</f>
        <v/>
      </c>
      <c r="AC2815" s="52">
        <f>IF(OR(K2815="",AND(P2815&lt;&gt;"Transferencia",P2815&lt;&gt;"Pago tarjeta")),"",IFERROR(IF(INDEX(ctaVinc,MATCH(K2815,ctaNombre,0))&amp;""&lt;&gt;"",INDEX(ctaVinc,MATCH(K2815,ctaNombre,0))&amp;"",K2815),K2815))</f>
        <v/>
      </c>
      <c r="AD2815" s="52">
        <f>IF(AB2815="","",IFERROR(INDEX(ctaTipo,MATCH(AB2815,ctaNombre,0))&amp;"",""))</f>
        <v/>
      </c>
      <c r="AE2815" s="52">
        <f>IF(AC2815="","",IFERROR(INDEX(ctaTipo,MATCH(AC2815,ctaNombre,0))&amp;"",""))</f>
        <v/>
      </c>
      <c r="AF2815" s="53">
        <f>IF(OR(P2815="",AB2815=""),"",IF(OR(P2815="Gasto",P2815="Transferencia",P2815="Pago tarjeta"),-1,1)*IF(IFERROR(INDEX(ctaMoneda,MATCH(AB2815,ctaNombre,0))&amp;"","DOP")="USD",T2815,S2815))</f>
        <v/>
      </c>
      <c r="AG2815" s="53">
        <f>IF(AC2815="","",IF(IFERROR(INDEX(ctaMoneda,MATCH(AC2815,ctaNombre,0))&amp;"","DOP")="USD",T2815,S2815))</f>
        <v/>
      </c>
      <c r="AH2815" s="53">
        <f>IF(P2815="","",IF(AND(AD2815&lt;&gt;"",COUNTIFS(tcTipo,AD2815,tcLiq,"Sí")&gt;0),IF(OR(P2815="Gasto",P2815="Transferencia",P2815="Pago tarjeta"),-1,1)*S2815,0)+IF(AND(AE2815&lt;&gt;"",COUNTIFS(tcTipo,AE2815,tcLiq,"Sí")&gt;0),S2815,0))</f>
        <v/>
      </c>
      <c r="AI2815" s="52">
        <f>IF(OR(L2815="",P2815=""),"",IF(COUNTIFS(L$6:L2815,L2815,P$6:P2815,"?*")=1,MAX(AI$5:AI2814)+1,""))</f>
        <v/>
      </c>
    </row>
    <row r="2816">
      <c r="B2816" s="47" t="n"/>
      <c r="C2816" s="48" t="n"/>
      <c r="D2816" s="48" t="n"/>
      <c r="E2816" s="48" t="n"/>
      <c r="F2816" s="48" t="n"/>
      <c r="G2816" s="49" t="n"/>
      <c r="H2816" s="48" t="n"/>
      <c r="I2816" s="50" t="n"/>
      <c r="J2816" s="48" t="n"/>
      <c r="K2816" s="48" t="n"/>
      <c r="L2816" s="48" t="n"/>
      <c r="M2816" s="48" t="n"/>
      <c r="N2816" s="48" t="n"/>
      <c r="O2816" s="51">
        <f>IF(AND(B2816="",G2816="",C2816="",D2816="",J2816=""),"",IF(B2816="","⚠ Falta fecha",IF(G2816="","⚠ Falta monto",IF(Q2816="","⚠ Falta cuenta",IF(ISNA(MATCH(Q2816,ctaNombre,0)),"⚠ Cuenta no registrada",IF(AND(OR(P2816="Gasto",P2816="Reembolso"),D2816=""),"⚠ Falta categoría",IF(AND(D2816&lt;&gt;"",E2816&lt;&gt;"",ISNA(MATCH(D2816&amp;"|"&amp;E2816,catClave,0))),"⚠ Subcategoría no corresponde",IF(AND(OR(P2816="Transferencia",P2816="Pago tarjeta"),K2816=""),"⚠ Falta cuenta destino",IF(AND(K2816&lt;&gt;"",P2816&lt;&gt;"Transferencia",P2816&lt;&gt;"Pago tarjeta"),"⚠ Destino solo aplica a transferencias",IF(AND(K2816&lt;&gt;"",K2816=Q2816),"⚠ Origen igual a destino",IF(AND(K2816&lt;&gt;"",ISNA(MATCH(K2816,ctaNombre,0))),"⚠ Destino no registrado",IF(AND(P2816="Pago tarjeta",AE2816&lt;&gt;"Tarjeta de crédito"),"⚠ El destino debe ser tarjeta de crédito",IF(AND(P2816="Gasto",E2816="Depósitos y retiros"),"⚠ Usa tipo Transferencia",IF(AND(P2816="Resultado trading",AD2816&lt;&gt;"Cuenta de trading"),"⚠ Usa una cuenta de trading",IF(AND(G2816&lt;=0,P2816&lt;&gt;"Ajuste",P2816&lt;&gt;"Resultado trading"),"⚠ El monto debe ser positivo","✓")))))))))))))))</f>
        <v/>
      </c>
      <c r="P2816" s="52">
        <f>IF(OR(B2816="",G2816=""),"",IF(C2816="","Gasto",C2816))</f>
        <v/>
      </c>
      <c r="Q2816" s="52">
        <f>IF(P2816="","",IF(J2816&lt;&gt;"",J2816,CuentaPred&amp;""))</f>
        <v/>
      </c>
      <c r="R2816" s="52">
        <f>IF(P2816="","",IF(ISNUMBER(I2816),I2816,TasaUSD))</f>
        <v/>
      </c>
      <c r="S2816" s="53">
        <f>IF(P2816="","",IF(H2816="USD",G2816*R2816,G2816))</f>
        <v/>
      </c>
      <c r="T2816" s="53">
        <f>IF(P2816="","",IF(H2816="USD",G2816,IF(R2816&gt;0,G2816/R2816,0)))</f>
        <v/>
      </c>
      <c r="U2816" s="53">
        <f>IF(P2816="","",IF(P2816="Gasto",S2816,IF(P2816="Reembolso",-S2816,0)))</f>
        <v/>
      </c>
      <c r="V2816" s="53">
        <f>IF(P2816="","",IF(P2816="Ingreso",S2816,0))</f>
        <v/>
      </c>
      <c r="W2816" s="53">
        <f>IF(P2816="","",IF(P2816="Resultado trading",S2816,0))</f>
        <v/>
      </c>
      <c r="X2816" s="52">
        <f>IF(OR(P2816="Gasto",P2816="Reembolso"),IF(M2816&lt;&gt;"",M2816,IFERROR(INDEX(catClasif,MATCH(D2816&amp;"|"&amp;E2816,catClave,0))&amp;"","Variable")),"")</f>
        <v/>
      </c>
      <c r="Y2816" s="52">
        <f>IF(P2816="","",IFERROR(INDEX(catGrupo,MATCH(D2816&amp;"|"&amp;E2816,catClave,0))&amp;"",""))</f>
        <v/>
      </c>
      <c r="Z2816" s="52">
        <f>IF(P2816="","",WEEKDAY(B2816,2))</f>
        <v/>
      </c>
      <c r="AA2816" s="52">
        <f>IF(P2816="","",IF(AND(P2816="Gasto",X2816="Variable",D2816&lt;&gt;catTrading,S2816&gt;0,S2816&lt;=Umbral),1,0))</f>
        <v/>
      </c>
      <c r="AB2816" s="52">
        <f>IF(OR(P2816="",Q2816=""),"",IFERROR(IF(INDEX(ctaVinc,MATCH(Q2816,ctaNombre,0))&amp;""&lt;&gt;"",INDEX(ctaVinc,MATCH(Q2816,ctaNombre,0))&amp;"",Q2816),Q2816))</f>
        <v/>
      </c>
      <c r="AC2816" s="52">
        <f>IF(OR(K2816="",AND(P2816&lt;&gt;"Transferencia",P2816&lt;&gt;"Pago tarjeta")),"",IFERROR(IF(INDEX(ctaVinc,MATCH(K2816,ctaNombre,0))&amp;""&lt;&gt;"",INDEX(ctaVinc,MATCH(K2816,ctaNombre,0))&amp;"",K2816),K2816))</f>
        <v/>
      </c>
      <c r="AD2816" s="52">
        <f>IF(AB2816="","",IFERROR(INDEX(ctaTipo,MATCH(AB2816,ctaNombre,0))&amp;"",""))</f>
        <v/>
      </c>
      <c r="AE2816" s="52">
        <f>IF(AC2816="","",IFERROR(INDEX(ctaTipo,MATCH(AC2816,ctaNombre,0))&amp;"",""))</f>
        <v/>
      </c>
      <c r="AF2816" s="53">
        <f>IF(OR(P2816="",AB2816=""),"",IF(OR(P2816="Gasto",P2816="Transferencia",P2816="Pago tarjeta"),-1,1)*IF(IFERROR(INDEX(ctaMoneda,MATCH(AB2816,ctaNombre,0))&amp;"","DOP")="USD",T2816,S2816))</f>
        <v/>
      </c>
      <c r="AG2816" s="53">
        <f>IF(AC2816="","",IF(IFERROR(INDEX(ctaMoneda,MATCH(AC2816,ctaNombre,0))&amp;"","DOP")="USD",T2816,S2816))</f>
        <v/>
      </c>
      <c r="AH2816" s="53">
        <f>IF(P2816="","",IF(AND(AD2816&lt;&gt;"",COUNTIFS(tcTipo,AD2816,tcLiq,"Sí")&gt;0),IF(OR(P2816="Gasto",P2816="Transferencia",P2816="Pago tarjeta"),-1,1)*S2816,0)+IF(AND(AE2816&lt;&gt;"",COUNTIFS(tcTipo,AE2816,tcLiq,"Sí")&gt;0),S2816,0))</f>
        <v/>
      </c>
      <c r="AI2816" s="52">
        <f>IF(OR(L2816="",P2816=""),"",IF(COUNTIFS(L$6:L2816,L2816,P$6:P2816,"?*")=1,MAX(AI$5:AI2815)+1,""))</f>
        <v/>
      </c>
    </row>
    <row r="2817">
      <c r="B2817" s="47" t="n"/>
      <c r="C2817" s="48" t="n"/>
      <c r="D2817" s="48" t="n"/>
      <c r="E2817" s="48" t="n"/>
      <c r="F2817" s="48" t="n"/>
      <c r="G2817" s="49" t="n"/>
      <c r="H2817" s="48" t="n"/>
      <c r="I2817" s="50" t="n"/>
      <c r="J2817" s="48" t="n"/>
      <c r="K2817" s="48" t="n"/>
      <c r="L2817" s="48" t="n"/>
      <c r="M2817" s="48" t="n"/>
      <c r="N2817" s="48" t="n"/>
      <c r="O2817" s="51">
        <f>IF(AND(B2817="",G2817="",C2817="",D2817="",J2817=""),"",IF(B2817="","⚠ Falta fecha",IF(G2817="","⚠ Falta monto",IF(Q2817="","⚠ Falta cuenta",IF(ISNA(MATCH(Q2817,ctaNombre,0)),"⚠ Cuenta no registrada",IF(AND(OR(P2817="Gasto",P2817="Reembolso"),D2817=""),"⚠ Falta categoría",IF(AND(D2817&lt;&gt;"",E2817&lt;&gt;"",ISNA(MATCH(D2817&amp;"|"&amp;E2817,catClave,0))),"⚠ Subcategoría no corresponde",IF(AND(OR(P2817="Transferencia",P2817="Pago tarjeta"),K2817=""),"⚠ Falta cuenta destino",IF(AND(K2817&lt;&gt;"",P2817&lt;&gt;"Transferencia",P2817&lt;&gt;"Pago tarjeta"),"⚠ Destino solo aplica a transferencias",IF(AND(K2817&lt;&gt;"",K2817=Q2817),"⚠ Origen igual a destino",IF(AND(K2817&lt;&gt;"",ISNA(MATCH(K2817,ctaNombre,0))),"⚠ Destino no registrado",IF(AND(P2817="Pago tarjeta",AE2817&lt;&gt;"Tarjeta de crédito"),"⚠ El destino debe ser tarjeta de crédito",IF(AND(P2817="Gasto",E2817="Depósitos y retiros"),"⚠ Usa tipo Transferencia",IF(AND(P2817="Resultado trading",AD2817&lt;&gt;"Cuenta de trading"),"⚠ Usa una cuenta de trading",IF(AND(G2817&lt;=0,P2817&lt;&gt;"Ajuste",P2817&lt;&gt;"Resultado trading"),"⚠ El monto debe ser positivo","✓")))))))))))))))</f>
        <v/>
      </c>
      <c r="P2817" s="52">
        <f>IF(OR(B2817="",G2817=""),"",IF(C2817="","Gasto",C2817))</f>
        <v/>
      </c>
      <c r="Q2817" s="52">
        <f>IF(P2817="","",IF(J2817&lt;&gt;"",J2817,CuentaPred&amp;""))</f>
        <v/>
      </c>
      <c r="R2817" s="52">
        <f>IF(P2817="","",IF(ISNUMBER(I2817),I2817,TasaUSD))</f>
        <v/>
      </c>
      <c r="S2817" s="53">
        <f>IF(P2817="","",IF(H2817="USD",G2817*R2817,G2817))</f>
        <v/>
      </c>
      <c r="T2817" s="53">
        <f>IF(P2817="","",IF(H2817="USD",G2817,IF(R2817&gt;0,G2817/R2817,0)))</f>
        <v/>
      </c>
      <c r="U2817" s="53">
        <f>IF(P2817="","",IF(P2817="Gasto",S2817,IF(P2817="Reembolso",-S2817,0)))</f>
        <v/>
      </c>
      <c r="V2817" s="53">
        <f>IF(P2817="","",IF(P2817="Ingreso",S2817,0))</f>
        <v/>
      </c>
      <c r="W2817" s="53">
        <f>IF(P2817="","",IF(P2817="Resultado trading",S2817,0))</f>
        <v/>
      </c>
      <c r="X2817" s="52">
        <f>IF(OR(P2817="Gasto",P2817="Reembolso"),IF(M2817&lt;&gt;"",M2817,IFERROR(INDEX(catClasif,MATCH(D2817&amp;"|"&amp;E2817,catClave,0))&amp;"","Variable")),"")</f>
        <v/>
      </c>
      <c r="Y2817" s="52">
        <f>IF(P2817="","",IFERROR(INDEX(catGrupo,MATCH(D2817&amp;"|"&amp;E2817,catClave,0))&amp;"",""))</f>
        <v/>
      </c>
      <c r="Z2817" s="52">
        <f>IF(P2817="","",WEEKDAY(B2817,2))</f>
        <v/>
      </c>
      <c r="AA2817" s="52">
        <f>IF(P2817="","",IF(AND(P2817="Gasto",X2817="Variable",D2817&lt;&gt;catTrading,S2817&gt;0,S2817&lt;=Umbral),1,0))</f>
        <v/>
      </c>
      <c r="AB2817" s="52">
        <f>IF(OR(P2817="",Q2817=""),"",IFERROR(IF(INDEX(ctaVinc,MATCH(Q2817,ctaNombre,0))&amp;""&lt;&gt;"",INDEX(ctaVinc,MATCH(Q2817,ctaNombre,0))&amp;"",Q2817),Q2817))</f>
        <v/>
      </c>
      <c r="AC2817" s="52">
        <f>IF(OR(K2817="",AND(P2817&lt;&gt;"Transferencia",P2817&lt;&gt;"Pago tarjeta")),"",IFERROR(IF(INDEX(ctaVinc,MATCH(K2817,ctaNombre,0))&amp;""&lt;&gt;"",INDEX(ctaVinc,MATCH(K2817,ctaNombre,0))&amp;"",K2817),K2817))</f>
        <v/>
      </c>
      <c r="AD2817" s="52">
        <f>IF(AB2817="","",IFERROR(INDEX(ctaTipo,MATCH(AB2817,ctaNombre,0))&amp;"",""))</f>
        <v/>
      </c>
      <c r="AE2817" s="52">
        <f>IF(AC2817="","",IFERROR(INDEX(ctaTipo,MATCH(AC2817,ctaNombre,0))&amp;"",""))</f>
        <v/>
      </c>
      <c r="AF2817" s="53">
        <f>IF(OR(P2817="",AB2817=""),"",IF(OR(P2817="Gasto",P2817="Transferencia",P2817="Pago tarjeta"),-1,1)*IF(IFERROR(INDEX(ctaMoneda,MATCH(AB2817,ctaNombre,0))&amp;"","DOP")="USD",T2817,S2817))</f>
        <v/>
      </c>
      <c r="AG2817" s="53">
        <f>IF(AC2817="","",IF(IFERROR(INDEX(ctaMoneda,MATCH(AC2817,ctaNombre,0))&amp;"","DOP")="USD",T2817,S2817))</f>
        <v/>
      </c>
      <c r="AH2817" s="53">
        <f>IF(P2817="","",IF(AND(AD2817&lt;&gt;"",COUNTIFS(tcTipo,AD2817,tcLiq,"Sí")&gt;0),IF(OR(P2817="Gasto",P2817="Transferencia",P2817="Pago tarjeta"),-1,1)*S2817,0)+IF(AND(AE2817&lt;&gt;"",COUNTIFS(tcTipo,AE2817,tcLiq,"Sí")&gt;0),S2817,0))</f>
        <v/>
      </c>
      <c r="AI2817" s="52">
        <f>IF(OR(L2817="",P2817=""),"",IF(COUNTIFS(L$6:L2817,L2817,P$6:P2817,"?*")=1,MAX(AI$5:AI2816)+1,""))</f>
        <v/>
      </c>
    </row>
    <row r="2818">
      <c r="B2818" s="47" t="n"/>
      <c r="C2818" s="48" t="n"/>
      <c r="D2818" s="48" t="n"/>
      <c r="E2818" s="48" t="n"/>
      <c r="F2818" s="48" t="n"/>
      <c r="G2818" s="49" t="n"/>
      <c r="H2818" s="48" t="n"/>
      <c r="I2818" s="50" t="n"/>
      <c r="J2818" s="48" t="n"/>
      <c r="K2818" s="48" t="n"/>
      <c r="L2818" s="48" t="n"/>
      <c r="M2818" s="48" t="n"/>
      <c r="N2818" s="48" t="n"/>
      <c r="O2818" s="51">
        <f>IF(AND(B2818="",G2818="",C2818="",D2818="",J2818=""),"",IF(B2818="","⚠ Falta fecha",IF(G2818="","⚠ Falta monto",IF(Q2818="","⚠ Falta cuenta",IF(ISNA(MATCH(Q2818,ctaNombre,0)),"⚠ Cuenta no registrada",IF(AND(OR(P2818="Gasto",P2818="Reembolso"),D2818=""),"⚠ Falta categoría",IF(AND(D2818&lt;&gt;"",E2818&lt;&gt;"",ISNA(MATCH(D2818&amp;"|"&amp;E2818,catClave,0))),"⚠ Subcategoría no corresponde",IF(AND(OR(P2818="Transferencia",P2818="Pago tarjeta"),K2818=""),"⚠ Falta cuenta destino",IF(AND(K2818&lt;&gt;"",P2818&lt;&gt;"Transferencia",P2818&lt;&gt;"Pago tarjeta"),"⚠ Destino solo aplica a transferencias",IF(AND(K2818&lt;&gt;"",K2818=Q2818),"⚠ Origen igual a destino",IF(AND(K2818&lt;&gt;"",ISNA(MATCH(K2818,ctaNombre,0))),"⚠ Destino no registrado",IF(AND(P2818="Pago tarjeta",AE2818&lt;&gt;"Tarjeta de crédito"),"⚠ El destino debe ser tarjeta de crédito",IF(AND(P2818="Gasto",E2818="Depósitos y retiros"),"⚠ Usa tipo Transferencia",IF(AND(P2818="Resultado trading",AD2818&lt;&gt;"Cuenta de trading"),"⚠ Usa una cuenta de trading",IF(AND(G2818&lt;=0,P2818&lt;&gt;"Ajuste",P2818&lt;&gt;"Resultado trading"),"⚠ El monto debe ser positivo","✓")))))))))))))))</f>
        <v/>
      </c>
      <c r="P2818" s="52">
        <f>IF(OR(B2818="",G2818=""),"",IF(C2818="","Gasto",C2818))</f>
        <v/>
      </c>
      <c r="Q2818" s="52">
        <f>IF(P2818="","",IF(J2818&lt;&gt;"",J2818,CuentaPred&amp;""))</f>
        <v/>
      </c>
      <c r="R2818" s="52">
        <f>IF(P2818="","",IF(ISNUMBER(I2818),I2818,TasaUSD))</f>
        <v/>
      </c>
      <c r="S2818" s="53">
        <f>IF(P2818="","",IF(H2818="USD",G2818*R2818,G2818))</f>
        <v/>
      </c>
      <c r="T2818" s="53">
        <f>IF(P2818="","",IF(H2818="USD",G2818,IF(R2818&gt;0,G2818/R2818,0)))</f>
        <v/>
      </c>
      <c r="U2818" s="53">
        <f>IF(P2818="","",IF(P2818="Gasto",S2818,IF(P2818="Reembolso",-S2818,0)))</f>
        <v/>
      </c>
      <c r="V2818" s="53">
        <f>IF(P2818="","",IF(P2818="Ingreso",S2818,0))</f>
        <v/>
      </c>
      <c r="W2818" s="53">
        <f>IF(P2818="","",IF(P2818="Resultado trading",S2818,0))</f>
        <v/>
      </c>
      <c r="X2818" s="52">
        <f>IF(OR(P2818="Gasto",P2818="Reembolso"),IF(M2818&lt;&gt;"",M2818,IFERROR(INDEX(catClasif,MATCH(D2818&amp;"|"&amp;E2818,catClave,0))&amp;"","Variable")),"")</f>
        <v/>
      </c>
      <c r="Y2818" s="52">
        <f>IF(P2818="","",IFERROR(INDEX(catGrupo,MATCH(D2818&amp;"|"&amp;E2818,catClave,0))&amp;"",""))</f>
        <v/>
      </c>
      <c r="Z2818" s="52">
        <f>IF(P2818="","",WEEKDAY(B2818,2))</f>
        <v/>
      </c>
      <c r="AA2818" s="52">
        <f>IF(P2818="","",IF(AND(P2818="Gasto",X2818="Variable",D2818&lt;&gt;catTrading,S2818&gt;0,S2818&lt;=Umbral),1,0))</f>
        <v/>
      </c>
      <c r="AB2818" s="52">
        <f>IF(OR(P2818="",Q2818=""),"",IFERROR(IF(INDEX(ctaVinc,MATCH(Q2818,ctaNombre,0))&amp;""&lt;&gt;"",INDEX(ctaVinc,MATCH(Q2818,ctaNombre,0))&amp;"",Q2818),Q2818))</f>
        <v/>
      </c>
      <c r="AC2818" s="52">
        <f>IF(OR(K2818="",AND(P2818&lt;&gt;"Transferencia",P2818&lt;&gt;"Pago tarjeta")),"",IFERROR(IF(INDEX(ctaVinc,MATCH(K2818,ctaNombre,0))&amp;""&lt;&gt;"",INDEX(ctaVinc,MATCH(K2818,ctaNombre,0))&amp;"",K2818),K2818))</f>
        <v/>
      </c>
      <c r="AD2818" s="52">
        <f>IF(AB2818="","",IFERROR(INDEX(ctaTipo,MATCH(AB2818,ctaNombre,0))&amp;"",""))</f>
        <v/>
      </c>
      <c r="AE2818" s="52">
        <f>IF(AC2818="","",IFERROR(INDEX(ctaTipo,MATCH(AC2818,ctaNombre,0))&amp;"",""))</f>
        <v/>
      </c>
      <c r="AF2818" s="53">
        <f>IF(OR(P2818="",AB2818=""),"",IF(OR(P2818="Gasto",P2818="Transferencia",P2818="Pago tarjeta"),-1,1)*IF(IFERROR(INDEX(ctaMoneda,MATCH(AB2818,ctaNombre,0))&amp;"","DOP")="USD",T2818,S2818))</f>
        <v/>
      </c>
      <c r="AG2818" s="53">
        <f>IF(AC2818="","",IF(IFERROR(INDEX(ctaMoneda,MATCH(AC2818,ctaNombre,0))&amp;"","DOP")="USD",T2818,S2818))</f>
        <v/>
      </c>
      <c r="AH2818" s="53">
        <f>IF(P2818="","",IF(AND(AD2818&lt;&gt;"",COUNTIFS(tcTipo,AD2818,tcLiq,"Sí")&gt;0),IF(OR(P2818="Gasto",P2818="Transferencia",P2818="Pago tarjeta"),-1,1)*S2818,0)+IF(AND(AE2818&lt;&gt;"",COUNTIFS(tcTipo,AE2818,tcLiq,"Sí")&gt;0),S2818,0))</f>
        <v/>
      </c>
      <c r="AI2818" s="52">
        <f>IF(OR(L2818="",P2818=""),"",IF(COUNTIFS(L$6:L2818,L2818,P$6:P2818,"?*")=1,MAX(AI$5:AI2817)+1,""))</f>
        <v/>
      </c>
    </row>
    <row r="2819">
      <c r="B2819" s="47" t="n"/>
      <c r="C2819" s="48" t="n"/>
      <c r="D2819" s="48" t="n"/>
      <c r="E2819" s="48" t="n"/>
      <c r="F2819" s="48" t="n"/>
      <c r="G2819" s="49" t="n"/>
      <c r="H2819" s="48" t="n"/>
      <c r="I2819" s="50" t="n"/>
      <c r="J2819" s="48" t="n"/>
      <c r="K2819" s="48" t="n"/>
      <c r="L2819" s="48" t="n"/>
      <c r="M2819" s="48" t="n"/>
      <c r="N2819" s="48" t="n"/>
      <c r="O2819" s="51">
        <f>IF(AND(B2819="",G2819="",C2819="",D2819="",J2819=""),"",IF(B2819="","⚠ Falta fecha",IF(G2819="","⚠ Falta monto",IF(Q2819="","⚠ Falta cuenta",IF(ISNA(MATCH(Q2819,ctaNombre,0)),"⚠ Cuenta no registrada",IF(AND(OR(P2819="Gasto",P2819="Reembolso"),D2819=""),"⚠ Falta categoría",IF(AND(D2819&lt;&gt;"",E2819&lt;&gt;"",ISNA(MATCH(D2819&amp;"|"&amp;E2819,catClave,0))),"⚠ Subcategoría no corresponde",IF(AND(OR(P2819="Transferencia",P2819="Pago tarjeta"),K2819=""),"⚠ Falta cuenta destino",IF(AND(K2819&lt;&gt;"",P2819&lt;&gt;"Transferencia",P2819&lt;&gt;"Pago tarjeta"),"⚠ Destino solo aplica a transferencias",IF(AND(K2819&lt;&gt;"",K2819=Q2819),"⚠ Origen igual a destino",IF(AND(K2819&lt;&gt;"",ISNA(MATCH(K2819,ctaNombre,0))),"⚠ Destino no registrado",IF(AND(P2819="Pago tarjeta",AE2819&lt;&gt;"Tarjeta de crédito"),"⚠ El destino debe ser tarjeta de crédito",IF(AND(P2819="Gasto",E2819="Depósitos y retiros"),"⚠ Usa tipo Transferencia",IF(AND(P2819="Resultado trading",AD2819&lt;&gt;"Cuenta de trading"),"⚠ Usa una cuenta de trading",IF(AND(G2819&lt;=0,P2819&lt;&gt;"Ajuste",P2819&lt;&gt;"Resultado trading"),"⚠ El monto debe ser positivo","✓")))))))))))))))</f>
        <v/>
      </c>
      <c r="P2819" s="52">
        <f>IF(OR(B2819="",G2819=""),"",IF(C2819="","Gasto",C2819))</f>
        <v/>
      </c>
      <c r="Q2819" s="52">
        <f>IF(P2819="","",IF(J2819&lt;&gt;"",J2819,CuentaPred&amp;""))</f>
        <v/>
      </c>
      <c r="R2819" s="52">
        <f>IF(P2819="","",IF(ISNUMBER(I2819),I2819,TasaUSD))</f>
        <v/>
      </c>
      <c r="S2819" s="53">
        <f>IF(P2819="","",IF(H2819="USD",G2819*R2819,G2819))</f>
        <v/>
      </c>
      <c r="T2819" s="53">
        <f>IF(P2819="","",IF(H2819="USD",G2819,IF(R2819&gt;0,G2819/R2819,0)))</f>
        <v/>
      </c>
      <c r="U2819" s="53">
        <f>IF(P2819="","",IF(P2819="Gasto",S2819,IF(P2819="Reembolso",-S2819,0)))</f>
        <v/>
      </c>
      <c r="V2819" s="53">
        <f>IF(P2819="","",IF(P2819="Ingreso",S2819,0))</f>
        <v/>
      </c>
      <c r="W2819" s="53">
        <f>IF(P2819="","",IF(P2819="Resultado trading",S2819,0))</f>
        <v/>
      </c>
      <c r="X2819" s="52">
        <f>IF(OR(P2819="Gasto",P2819="Reembolso"),IF(M2819&lt;&gt;"",M2819,IFERROR(INDEX(catClasif,MATCH(D2819&amp;"|"&amp;E2819,catClave,0))&amp;"","Variable")),"")</f>
        <v/>
      </c>
      <c r="Y2819" s="52">
        <f>IF(P2819="","",IFERROR(INDEX(catGrupo,MATCH(D2819&amp;"|"&amp;E2819,catClave,0))&amp;"",""))</f>
        <v/>
      </c>
      <c r="Z2819" s="52">
        <f>IF(P2819="","",WEEKDAY(B2819,2))</f>
        <v/>
      </c>
      <c r="AA2819" s="52">
        <f>IF(P2819="","",IF(AND(P2819="Gasto",X2819="Variable",D2819&lt;&gt;catTrading,S2819&gt;0,S2819&lt;=Umbral),1,0))</f>
        <v/>
      </c>
      <c r="AB2819" s="52">
        <f>IF(OR(P2819="",Q2819=""),"",IFERROR(IF(INDEX(ctaVinc,MATCH(Q2819,ctaNombre,0))&amp;""&lt;&gt;"",INDEX(ctaVinc,MATCH(Q2819,ctaNombre,0))&amp;"",Q2819),Q2819))</f>
        <v/>
      </c>
      <c r="AC2819" s="52">
        <f>IF(OR(K2819="",AND(P2819&lt;&gt;"Transferencia",P2819&lt;&gt;"Pago tarjeta")),"",IFERROR(IF(INDEX(ctaVinc,MATCH(K2819,ctaNombre,0))&amp;""&lt;&gt;"",INDEX(ctaVinc,MATCH(K2819,ctaNombre,0))&amp;"",K2819),K2819))</f>
        <v/>
      </c>
      <c r="AD2819" s="52">
        <f>IF(AB2819="","",IFERROR(INDEX(ctaTipo,MATCH(AB2819,ctaNombre,0))&amp;"",""))</f>
        <v/>
      </c>
      <c r="AE2819" s="52">
        <f>IF(AC2819="","",IFERROR(INDEX(ctaTipo,MATCH(AC2819,ctaNombre,0))&amp;"",""))</f>
        <v/>
      </c>
      <c r="AF2819" s="53">
        <f>IF(OR(P2819="",AB2819=""),"",IF(OR(P2819="Gasto",P2819="Transferencia",P2819="Pago tarjeta"),-1,1)*IF(IFERROR(INDEX(ctaMoneda,MATCH(AB2819,ctaNombre,0))&amp;"","DOP")="USD",T2819,S2819))</f>
        <v/>
      </c>
      <c r="AG2819" s="53">
        <f>IF(AC2819="","",IF(IFERROR(INDEX(ctaMoneda,MATCH(AC2819,ctaNombre,0))&amp;"","DOP")="USD",T2819,S2819))</f>
        <v/>
      </c>
      <c r="AH2819" s="53">
        <f>IF(P2819="","",IF(AND(AD2819&lt;&gt;"",COUNTIFS(tcTipo,AD2819,tcLiq,"Sí")&gt;0),IF(OR(P2819="Gasto",P2819="Transferencia",P2819="Pago tarjeta"),-1,1)*S2819,0)+IF(AND(AE2819&lt;&gt;"",COUNTIFS(tcTipo,AE2819,tcLiq,"Sí")&gt;0),S2819,0))</f>
        <v/>
      </c>
      <c r="AI2819" s="52">
        <f>IF(OR(L2819="",P2819=""),"",IF(COUNTIFS(L$6:L2819,L2819,P$6:P2819,"?*")=1,MAX(AI$5:AI2818)+1,""))</f>
        <v/>
      </c>
    </row>
    <row r="2820">
      <c r="B2820" s="47" t="n"/>
      <c r="C2820" s="48" t="n"/>
      <c r="D2820" s="48" t="n"/>
      <c r="E2820" s="48" t="n"/>
      <c r="F2820" s="48" t="n"/>
      <c r="G2820" s="49" t="n"/>
      <c r="H2820" s="48" t="n"/>
      <c r="I2820" s="50" t="n"/>
      <c r="J2820" s="48" t="n"/>
      <c r="K2820" s="48" t="n"/>
      <c r="L2820" s="48" t="n"/>
      <c r="M2820" s="48" t="n"/>
      <c r="N2820" s="48" t="n"/>
      <c r="O2820" s="51">
        <f>IF(AND(B2820="",G2820="",C2820="",D2820="",J2820=""),"",IF(B2820="","⚠ Falta fecha",IF(G2820="","⚠ Falta monto",IF(Q2820="","⚠ Falta cuenta",IF(ISNA(MATCH(Q2820,ctaNombre,0)),"⚠ Cuenta no registrada",IF(AND(OR(P2820="Gasto",P2820="Reembolso"),D2820=""),"⚠ Falta categoría",IF(AND(D2820&lt;&gt;"",E2820&lt;&gt;"",ISNA(MATCH(D2820&amp;"|"&amp;E2820,catClave,0))),"⚠ Subcategoría no corresponde",IF(AND(OR(P2820="Transferencia",P2820="Pago tarjeta"),K2820=""),"⚠ Falta cuenta destino",IF(AND(K2820&lt;&gt;"",P2820&lt;&gt;"Transferencia",P2820&lt;&gt;"Pago tarjeta"),"⚠ Destino solo aplica a transferencias",IF(AND(K2820&lt;&gt;"",K2820=Q2820),"⚠ Origen igual a destino",IF(AND(K2820&lt;&gt;"",ISNA(MATCH(K2820,ctaNombre,0))),"⚠ Destino no registrado",IF(AND(P2820="Pago tarjeta",AE2820&lt;&gt;"Tarjeta de crédito"),"⚠ El destino debe ser tarjeta de crédito",IF(AND(P2820="Gasto",E2820="Depósitos y retiros"),"⚠ Usa tipo Transferencia",IF(AND(P2820="Resultado trading",AD2820&lt;&gt;"Cuenta de trading"),"⚠ Usa una cuenta de trading",IF(AND(G2820&lt;=0,P2820&lt;&gt;"Ajuste",P2820&lt;&gt;"Resultado trading"),"⚠ El monto debe ser positivo","✓")))))))))))))))</f>
        <v/>
      </c>
      <c r="P2820" s="52">
        <f>IF(OR(B2820="",G2820=""),"",IF(C2820="","Gasto",C2820))</f>
        <v/>
      </c>
      <c r="Q2820" s="52">
        <f>IF(P2820="","",IF(J2820&lt;&gt;"",J2820,CuentaPred&amp;""))</f>
        <v/>
      </c>
      <c r="R2820" s="52">
        <f>IF(P2820="","",IF(ISNUMBER(I2820),I2820,TasaUSD))</f>
        <v/>
      </c>
      <c r="S2820" s="53">
        <f>IF(P2820="","",IF(H2820="USD",G2820*R2820,G2820))</f>
        <v/>
      </c>
      <c r="T2820" s="53">
        <f>IF(P2820="","",IF(H2820="USD",G2820,IF(R2820&gt;0,G2820/R2820,0)))</f>
        <v/>
      </c>
      <c r="U2820" s="53">
        <f>IF(P2820="","",IF(P2820="Gasto",S2820,IF(P2820="Reembolso",-S2820,0)))</f>
        <v/>
      </c>
      <c r="V2820" s="53">
        <f>IF(P2820="","",IF(P2820="Ingreso",S2820,0))</f>
        <v/>
      </c>
      <c r="W2820" s="53">
        <f>IF(P2820="","",IF(P2820="Resultado trading",S2820,0))</f>
        <v/>
      </c>
      <c r="X2820" s="52">
        <f>IF(OR(P2820="Gasto",P2820="Reembolso"),IF(M2820&lt;&gt;"",M2820,IFERROR(INDEX(catClasif,MATCH(D2820&amp;"|"&amp;E2820,catClave,0))&amp;"","Variable")),"")</f>
        <v/>
      </c>
      <c r="Y2820" s="52">
        <f>IF(P2820="","",IFERROR(INDEX(catGrupo,MATCH(D2820&amp;"|"&amp;E2820,catClave,0))&amp;"",""))</f>
        <v/>
      </c>
      <c r="Z2820" s="52">
        <f>IF(P2820="","",WEEKDAY(B2820,2))</f>
        <v/>
      </c>
      <c r="AA2820" s="52">
        <f>IF(P2820="","",IF(AND(P2820="Gasto",X2820="Variable",D2820&lt;&gt;catTrading,S2820&gt;0,S2820&lt;=Umbral),1,0))</f>
        <v/>
      </c>
      <c r="AB2820" s="52">
        <f>IF(OR(P2820="",Q2820=""),"",IFERROR(IF(INDEX(ctaVinc,MATCH(Q2820,ctaNombre,0))&amp;""&lt;&gt;"",INDEX(ctaVinc,MATCH(Q2820,ctaNombre,0))&amp;"",Q2820),Q2820))</f>
        <v/>
      </c>
      <c r="AC2820" s="52">
        <f>IF(OR(K2820="",AND(P2820&lt;&gt;"Transferencia",P2820&lt;&gt;"Pago tarjeta")),"",IFERROR(IF(INDEX(ctaVinc,MATCH(K2820,ctaNombre,0))&amp;""&lt;&gt;"",INDEX(ctaVinc,MATCH(K2820,ctaNombre,0))&amp;"",K2820),K2820))</f>
        <v/>
      </c>
      <c r="AD2820" s="52">
        <f>IF(AB2820="","",IFERROR(INDEX(ctaTipo,MATCH(AB2820,ctaNombre,0))&amp;"",""))</f>
        <v/>
      </c>
      <c r="AE2820" s="52">
        <f>IF(AC2820="","",IFERROR(INDEX(ctaTipo,MATCH(AC2820,ctaNombre,0))&amp;"",""))</f>
        <v/>
      </c>
      <c r="AF2820" s="53">
        <f>IF(OR(P2820="",AB2820=""),"",IF(OR(P2820="Gasto",P2820="Transferencia",P2820="Pago tarjeta"),-1,1)*IF(IFERROR(INDEX(ctaMoneda,MATCH(AB2820,ctaNombre,0))&amp;"","DOP")="USD",T2820,S2820))</f>
        <v/>
      </c>
      <c r="AG2820" s="53">
        <f>IF(AC2820="","",IF(IFERROR(INDEX(ctaMoneda,MATCH(AC2820,ctaNombre,0))&amp;"","DOP")="USD",T2820,S2820))</f>
        <v/>
      </c>
      <c r="AH2820" s="53">
        <f>IF(P2820="","",IF(AND(AD2820&lt;&gt;"",COUNTIFS(tcTipo,AD2820,tcLiq,"Sí")&gt;0),IF(OR(P2820="Gasto",P2820="Transferencia",P2820="Pago tarjeta"),-1,1)*S2820,0)+IF(AND(AE2820&lt;&gt;"",COUNTIFS(tcTipo,AE2820,tcLiq,"Sí")&gt;0),S2820,0))</f>
        <v/>
      </c>
      <c r="AI2820" s="52">
        <f>IF(OR(L2820="",P2820=""),"",IF(COUNTIFS(L$6:L2820,L2820,P$6:P2820,"?*")=1,MAX(AI$5:AI2819)+1,""))</f>
        <v/>
      </c>
    </row>
    <row r="2821">
      <c r="B2821" s="47" t="n"/>
      <c r="C2821" s="48" t="n"/>
      <c r="D2821" s="48" t="n"/>
      <c r="E2821" s="48" t="n"/>
      <c r="F2821" s="48" t="n"/>
      <c r="G2821" s="49" t="n"/>
      <c r="H2821" s="48" t="n"/>
      <c r="I2821" s="50" t="n"/>
      <c r="J2821" s="48" t="n"/>
      <c r="K2821" s="48" t="n"/>
      <c r="L2821" s="48" t="n"/>
      <c r="M2821" s="48" t="n"/>
      <c r="N2821" s="48" t="n"/>
      <c r="O2821" s="51">
        <f>IF(AND(B2821="",G2821="",C2821="",D2821="",J2821=""),"",IF(B2821="","⚠ Falta fecha",IF(G2821="","⚠ Falta monto",IF(Q2821="","⚠ Falta cuenta",IF(ISNA(MATCH(Q2821,ctaNombre,0)),"⚠ Cuenta no registrada",IF(AND(OR(P2821="Gasto",P2821="Reembolso"),D2821=""),"⚠ Falta categoría",IF(AND(D2821&lt;&gt;"",E2821&lt;&gt;"",ISNA(MATCH(D2821&amp;"|"&amp;E2821,catClave,0))),"⚠ Subcategoría no corresponde",IF(AND(OR(P2821="Transferencia",P2821="Pago tarjeta"),K2821=""),"⚠ Falta cuenta destino",IF(AND(K2821&lt;&gt;"",P2821&lt;&gt;"Transferencia",P2821&lt;&gt;"Pago tarjeta"),"⚠ Destino solo aplica a transferencias",IF(AND(K2821&lt;&gt;"",K2821=Q2821),"⚠ Origen igual a destino",IF(AND(K2821&lt;&gt;"",ISNA(MATCH(K2821,ctaNombre,0))),"⚠ Destino no registrado",IF(AND(P2821="Pago tarjeta",AE2821&lt;&gt;"Tarjeta de crédito"),"⚠ El destino debe ser tarjeta de crédito",IF(AND(P2821="Gasto",E2821="Depósitos y retiros"),"⚠ Usa tipo Transferencia",IF(AND(P2821="Resultado trading",AD2821&lt;&gt;"Cuenta de trading"),"⚠ Usa una cuenta de trading",IF(AND(G2821&lt;=0,P2821&lt;&gt;"Ajuste",P2821&lt;&gt;"Resultado trading"),"⚠ El monto debe ser positivo","✓")))))))))))))))</f>
        <v/>
      </c>
      <c r="P2821" s="52">
        <f>IF(OR(B2821="",G2821=""),"",IF(C2821="","Gasto",C2821))</f>
        <v/>
      </c>
      <c r="Q2821" s="52">
        <f>IF(P2821="","",IF(J2821&lt;&gt;"",J2821,CuentaPred&amp;""))</f>
        <v/>
      </c>
      <c r="R2821" s="52">
        <f>IF(P2821="","",IF(ISNUMBER(I2821),I2821,TasaUSD))</f>
        <v/>
      </c>
      <c r="S2821" s="53">
        <f>IF(P2821="","",IF(H2821="USD",G2821*R2821,G2821))</f>
        <v/>
      </c>
      <c r="T2821" s="53">
        <f>IF(P2821="","",IF(H2821="USD",G2821,IF(R2821&gt;0,G2821/R2821,0)))</f>
        <v/>
      </c>
      <c r="U2821" s="53">
        <f>IF(P2821="","",IF(P2821="Gasto",S2821,IF(P2821="Reembolso",-S2821,0)))</f>
        <v/>
      </c>
      <c r="V2821" s="53">
        <f>IF(P2821="","",IF(P2821="Ingreso",S2821,0))</f>
        <v/>
      </c>
      <c r="W2821" s="53">
        <f>IF(P2821="","",IF(P2821="Resultado trading",S2821,0))</f>
        <v/>
      </c>
      <c r="X2821" s="52">
        <f>IF(OR(P2821="Gasto",P2821="Reembolso"),IF(M2821&lt;&gt;"",M2821,IFERROR(INDEX(catClasif,MATCH(D2821&amp;"|"&amp;E2821,catClave,0))&amp;"","Variable")),"")</f>
        <v/>
      </c>
      <c r="Y2821" s="52">
        <f>IF(P2821="","",IFERROR(INDEX(catGrupo,MATCH(D2821&amp;"|"&amp;E2821,catClave,0))&amp;"",""))</f>
        <v/>
      </c>
      <c r="Z2821" s="52">
        <f>IF(P2821="","",WEEKDAY(B2821,2))</f>
        <v/>
      </c>
      <c r="AA2821" s="52">
        <f>IF(P2821="","",IF(AND(P2821="Gasto",X2821="Variable",D2821&lt;&gt;catTrading,S2821&gt;0,S2821&lt;=Umbral),1,0))</f>
        <v/>
      </c>
      <c r="AB2821" s="52">
        <f>IF(OR(P2821="",Q2821=""),"",IFERROR(IF(INDEX(ctaVinc,MATCH(Q2821,ctaNombre,0))&amp;""&lt;&gt;"",INDEX(ctaVinc,MATCH(Q2821,ctaNombre,0))&amp;"",Q2821),Q2821))</f>
        <v/>
      </c>
      <c r="AC2821" s="52">
        <f>IF(OR(K2821="",AND(P2821&lt;&gt;"Transferencia",P2821&lt;&gt;"Pago tarjeta")),"",IFERROR(IF(INDEX(ctaVinc,MATCH(K2821,ctaNombre,0))&amp;""&lt;&gt;"",INDEX(ctaVinc,MATCH(K2821,ctaNombre,0))&amp;"",K2821),K2821))</f>
        <v/>
      </c>
      <c r="AD2821" s="52">
        <f>IF(AB2821="","",IFERROR(INDEX(ctaTipo,MATCH(AB2821,ctaNombre,0))&amp;"",""))</f>
        <v/>
      </c>
      <c r="AE2821" s="52">
        <f>IF(AC2821="","",IFERROR(INDEX(ctaTipo,MATCH(AC2821,ctaNombre,0))&amp;"",""))</f>
        <v/>
      </c>
      <c r="AF2821" s="53">
        <f>IF(OR(P2821="",AB2821=""),"",IF(OR(P2821="Gasto",P2821="Transferencia",P2821="Pago tarjeta"),-1,1)*IF(IFERROR(INDEX(ctaMoneda,MATCH(AB2821,ctaNombre,0))&amp;"","DOP")="USD",T2821,S2821))</f>
        <v/>
      </c>
      <c r="AG2821" s="53">
        <f>IF(AC2821="","",IF(IFERROR(INDEX(ctaMoneda,MATCH(AC2821,ctaNombre,0))&amp;"","DOP")="USD",T2821,S2821))</f>
        <v/>
      </c>
      <c r="AH2821" s="53">
        <f>IF(P2821="","",IF(AND(AD2821&lt;&gt;"",COUNTIFS(tcTipo,AD2821,tcLiq,"Sí")&gt;0),IF(OR(P2821="Gasto",P2821="Transferencia",P2821="Pago tarjeta"),-1,1)*S2821,0)+IF(AND(AE2821&lt;&gt;"",COUNTIFS(tcTipo,AE2821,tcLiq,"Sí")&gt;0),S2821,0))</f>
        <v/>
      </c>
      <c r="AI2821" s="52">
        <f>IF(OR(L2821="",P2821=""),"",IF(COUNTIFS(L$6:L2821,L2821,P$6:P2821,"?*")=1,MAX(AI$5:AI2820)+1,""))</f>
        <v/>
      </c>
    </row>
    <row r="2822">
      <c r="B2822" s="47" t="n"/>
      <c r="C2822" s="48" t="n"/>
      <c r="D2822" s="48" t="n"/>
      <c r="E2822" s="48" t="n"/>
      <c r="F2822" s="48" t="n"/>
      <c r="G2822" s="49" t="n"/>
      <c r="H2822" s="48" t="n"/>
      <c r="I2822" s="50" t="n"/>
      <c r="J2822" s="48" t="n"/>
      <c r="K2822" s="48" t="n"/>
      <c r="L2822" s="48" t="n"/>
      <c r="M2822" s="48" t="n"/>
      <c r="N2822" s="48" t="n"/>
      <c r="O2822" s="51">
        <f>IF(AND(B2822="",G2822="",C2822="",D2822="",J2822=""),"",IF(B2822="","⚠ Falta fecha",IF(G2822="","⚠ Falta monto",IF(Q2822="","⚠ Falta cuenta",IF(ISNA(MATCH(Q2822,ctaNombre,0)),"⚠ Cuenta no registrada",IF(AND(OR(P2822="Gasto",P2822="Reembolso"),D2822=""),"⚠ Falta categoría",IF(AND(D2822&lt;&gt;"",E2822&lt;&gt;"",ISNA(MATCH(D2822&amp;"|"&amp;E2822,catClave,0))),"⚠ Subcategoría no corresponde",IF(AND(OR(P2822="Transferencia",P2822="Pago tarjeta"),K2822=""),"⚠ Falta cuenta destino",IF(AND(K2822&lt;&gt;"",P2822&lt;&gt;"Transferencia",P2822&lt;&gt;"Pago tarjeta"),"⚠ Destino solo aplica a transferencias",IF(AND(K2822&lt;&gt;"",K2822=Q2822),"⚠ Origen igual a destino",IF(AND(K2822&lt;&gt;"",ISNA(MATCH(K2822,ctaNombre,0))),"⚠ Destino no registrado",IF(AND(P2822="Pago tarjeta",AE2822&lt;&gt;"Tarjeta de crédito"),"⚠ El destino debe ser tarjeta de crédito",IF(AND(P2822="Gasto",E2822="Depósitos y retiros"),"⚠ Usa tipo Transferencia",IF(AND(P2822="Resultado trading",AD2822&lt;&gt;"Cuenta de trading"),"⚠ Usa una cuenta de trading",IF(AND(G2822&lt;=0,P2822&lt;&gt;"Ajuste",P2822&lt;&gt;"Resultado trading"),"⚠ El monto debe ser positivo","✓")))))))))))))))</f>
        <v/>
      </c>
      <c r="P2822" s="52">
        <f>IF(OR(B2822="",G2822=""),"",IF(C2822="","Gasto",C2822))</f>
        <v/>
      </c>
      <c r="Q2822" s="52">
        <f>IF(P2822="","",IF(J2822&lt;&gt;"",J2822,CuentaPred&amp;""))</f>
        <v/>
      </c>
      <c r="R2822" s="52">
        <f>IF(P2822="","",IF(ISNUMBER(I2822),I2822,TasaUSD))</f>
        <v/>
      </c>
      <c r="S2822" s="53">
        <f>IF(P2822="","",IF(H2822="USD",G2822*R2822,G2822))</f>
        <v/>
      </c>
      <c r="T2822" s="53">
        <f>IF(P2822="","",IF(H2822="USD",G2822,IF(R2822&gt;0,G2822/R2822,0)))</f>
        <v/>
      </c>
      <c r="U2822" s="53">
        <f>IF(P2822="","",IF(P2822="Gasto",S2822,IF(P2822="Reembolso",-S2822,0)))</f>
        <v/>
      </c>
      <c r="V2822" s="53">
        <f>IF(P2822="","",IF(P2822="Ingreso",S2822,0))</f>
        <v/>
      </c>
      <c r="W2822" s="53">
        <f>IF(P2822="","",IF(P2822="Resultado trading",S2822,0))</f>
        <v/>
      </c>
      <c r="X2822" s="52">
        <f>IF(OR(P2822="Gasto",P2822="Reembolso"),IF(M2822&lt;&gt;"",M2822,IFERROR(INDEX(catClasif,MATCH(D2822&amp;"|"&amp;E2822,catClave,0))&amp;"","Variable")),"")</f>
        <v/>
      </c>
      <c r="Y2822" s="52">
        <f>IF(P2822="","",IFERROR(INDEX(catGrupo,MATCH(D2822&amp;"|"&amp;E2822,catClave,0))&amp;"",""))</f>
        <v/>
      </c>
      <c r="Z2822" s="52">
        <f>IF(P2822="","",WEEKDAY(B2822,2))</f>
        <v/>
      </c>
      <c r="AA2822" s="52">
        <f>IF(P2822="","",IF(AND(P2822="Gasto",X2822="Variable",D2822&lt;&gt;catTrading,S2822&gt;0,S2822&lt;=Umbral),1,0))</f>
        <v/>
      </c>
      <c r="AB2822" s="52">
        <f>IF(OR(P2822="",Q2822=""),"",IFERROR(IF(INDEX(ctaVinc,MATCH(Q2822,ctaNombre,0))&amp;""&lt;&gt;"",INDEX(ctaVinc,MATCH(Q2822,ctaNombre,0))&amp;"",Q2822),Q2822))</f>
        <v/>
      </c>
      <c r="AC2822" s="52">
        <f>IF(OR(K2822="",AND(P2822&lt;&gt;"Transferencia",P2822&lt;&gt;"Pago tarjeta")),"",IFERROR(IF(INDEX(ctaVinc,MATCH(K2822,ctaNombre,0))&amp;""&lt;&gt;"",INDEX(ctaVinc,MATCH(K2822,ctaNombre,0))&amp;"",K2822),K2822))</f>
        <v/>
      </c>
      <c r="AD2822" s="52">
        <f>IF(AB2822="","",IFERROR(INDEX(ctaTipo,MATCH(AB2822,ctaNombre,0))&amp;"",""))</f>
        <v/>
      </c>
      <c r="AE2822" s="52">
        <f>IF(AC2822="","",IFERROR(INDEX(ctaTipo,MATCH(AC2822,ctaNombre,0))&amp;"",""))</f>
        <v/>
      </c>
      <c r="AF2822" s="53">
        <f>IF(OR(P2822="",AB2822=""),"",IF(OR(P2822="Gasto",P2822="Transferencia",P2822="Pago tarjeta"),-1,1)*IF(IFERROR(INDEX(ctaMoneda,MATCH(AB2822,ctaNombre,0))&amp;"","DOP")="USD",T2822,S2822))</f>
        <v/>
      </c>
      <c r="AG2822" s="53">
        <f>IF(AC2822="","",IF(IFERROR(INDEX(ctaMoneda,MATCH(AC2822,ctaNombre,0))&amp;"","DOP")="USD",T2822,S2822))</f>
        <v/>
      </c>
      <c r="AH2822" s="53">
        <f>IF(P2822="","",IF(AND(AD2822&lt;&gt;"",COUNTIFS(tcTipo,AD2822,tcLiq,"Sí")&gt;0),IF(OR(P2822="Gasto",P2822="Transferencia",P2822="Pago tarjeta"),-1,1)*S2822,0)+IF(AND(AE2822&lt;&gt;"",COUNTIFS(tcTipo,AE2822,tcLiq,"Sí")&gt;0),S2822,0))</f>
        <v/>
      </c>
      <c r="AI2822" s="52">
        <f>IF(OR(L2822="",P2822=""),"",IF(COUNTIFS(L$6:L2822,L2822,P$6:P2822,"?*")=1,MAX(AI$5:AI2821)+1,""))</f>
        <v/>
      </c>
    </row>
    <row r="2823">
      <c r="B2823" s="47" t="n"/>
      <c r="C2823" s="48" t="n"/>
      <c r="D2823" s="48" t="n"/>
      <c r="E2823" s="48" t="n"/>
      <c r="F2823" s="48" t="n"/>
      <c r="G2823" s="49" t="n"/>
      <c r="H2823" s="48" t="n"/>
      <c r="I2823" s="50" t="n"/>
      <c r="J2823" s="48" t="n"/>
      <c r="K2823" s="48" t="n"/>
      <c r="L2823" s="48" t="n"/>
      <c r="M2823" s="48" t="n"/>
      <c r="N2823" s="48" t="n"/>
      <c r="O2823" s="51">
        <f>IF(AND(B2823="",G2823="",C2823="",D2823="",J2823=""),"",IF(B2823="","⚠ Falta fecha",IF(G2823="","⚠ Falta monto",IF(Q2823="","⚠ Falta cuenta",IF(ISNA(MATCH(Q2823,ctaNombre,0)),"⚠ Cuenta no registrada",IF(AND(OR(P2823="Gasto",P2823="Reembolso"),D2823=""),"⚠ Falta categoría",IF(AND(D2823&lt;&gt;"",E2823&lt;&gt;"",ISNA(MATCH(D2823&amp;"|"&amp;E2823,catClave,0))),"⚠ Subcategoría no corresponde",IF(AND(OR(P2823="Transferencia",P2823="Pago tarjeta"),K2823=""),"⚠ Falta cuenta destino",IF(AND(K2823&lt;&gt;"",P2823&lt;&gt;"Transferencia",P2823&lt;&gt;"Pago tarjeta"),"⚠ Destino solo aplica a transferencias",IF(AND(K2823&lt;&gt;"",K2823=Q2823),"⚠ Origen igual a destino",IF(AND(K2823&lt;&gt;"",ISNA(MATCH(K2823,ctaNombre,0))),"⚠ Destino no registrado",IF(AND(P2823="Pago tarjeta",AE2823&lt;&gt;"Tarjeta de crédito"),"⚠ El destino debe ser tarjeta de crédito",IF(AND(P2823="Gasto",E2823="Depósitos y retiros"),"⚠ Usa tipo Transferencia",IF(AND(P2823="Resultado trading",AD2823&lt;&gt;"Cuenta de trading"),"⚠ Usa una cuenta de trading",IF(AND(G2823&lt;=0,P2823&lt;&gt;"Ajuste",P2823&lt;&gt;"Resultado trading"),"⚠ El monto debe ser positivo","✓")))))))))))))))</f>
        <v/>
      </c>
      <c r="P2823" s="52">
        <f>IF(OR(B2823="",G2823=""),"",IF(C2823="","Gasto",C2823))</f>
        <v/>
      </c>
      <c r="Q2823" s="52">
        <f>IF(P2823="","",IF(J2823&lt;&gt;"",J2823,CuentaPred&amp;""))</f>
        <v/>
      </c>
      <c r="R2823" s="52">
        <f>IF(P2823="","",IF(ISNUMBER(I2823),I2823,TasaUSD))</f>
        <v/>
      </c>
      <c r="S2823" s="53">
        <f>IF(P2823="","",IF(H2823="USD",G2823*R2823,G2823))</f>
        <v/>
      </c>
      <c r="T2823" s="53">
        <f>IF(P2823="","",IF(H2823="USD",G2823,IF(R2823&gt;0,G2823/R2823,0)))</f>
        <v/>
      </c>
      <c r="U2823" s="53">
        <f>IF(P2823="","",IF(P2823="Gasto",S2823,IF(P2823="Reembolso",-S2823,0)))</f>
        <v/>
      </c>
      <c r="V2823" s="53">
        <f>IF(P2823="","",IF(P2823="Ingreso",S2823,0))</f>
        <v/>
      </c>
      <c r="W2823" s="53">
        <f>IF(P2823="","",IF(P2823="Resultado trading",S2823,0))</f>
        <v/>
      </c>
      <c r="X2823" s="52">
        <f>IF(OR(P2823="Gasto",P2823="Reembolso"),IF(M2823&lt;&gt;"",M2823,IFERROR(INDEX(catClasif,MATCH(D2823&amp;"|"&amp;E2823,catClave,0))&amp;"","Variable")),"")</f>
        <v/>
      </c>
      <c r="Y2823" s="52">
        <f>IF(P2823="","",IFERROR(INDEX(catGrupo,MATCH(D2823&amp;"|"&amp;E2823,catClave,0))&amp;"",""))</f>
        <v/>
      </c>
      <c r="Z2823" s="52">
        <f>IF(P2823="","",WEEKDAY(B2823,2))</f>
        <v/>
      </c>
      <c r="AA2823" s="52">
        <f>IF(P2823="","",IF(AND(P2823="Gasto",X2823="Variable",D2823&lt;&gt;catTrading,S2823&gt;0,S2823&lt;=Umbral),1,0))</f>
        <v/>
      </c>
      <c r="AB2823" s="52">
        <f>IF(OR(P2823="",Q2823=""),"",IFERROR(IF(INDEX(ctaVinc,MATCH(Q2823,ctaNombre,0))&amp;""&lt;&gt;"",INDEX(ctaVinc,MATCH(Q2823,ctaNombre,0))&amp;"",Q2823),Q2823))</f>
        <v/>
      </c>
      <c r="AC2823" s="52">
        <f>IF(OR(K2823="",AND(P2823&lt;&gt;"Transferencia",P2823&lt;&gt;"Pago tarjeta")),"",IFERROR(IF(INDEX(ctaVinc,MATCH(K2823,ctaNombre,0))&amp;""&lt;&gt;"",INDEX(ctaVinc,MATCH(K2823,ctaNombre,0))&amp;"",K2823),K2823))</f>
        <v/>
      </c>
      <c r="AD2823" s="52">
        <f>IF(AB2823="","",IFERROR(INDEX(ctaTipo,MATCH(AB2823,ctaNombre,0))&amp;"",""))</f>
        <v/>
      </c>
      <c r="AE2823" s="52">
        <f>IF(AC2823="","",IFERROR(INDEX(ctaTipo,MATCH(AC2823,ctaNombre,0))&amp;"",""))</f>
        <v/>
      </c>
      <c r="AF2823" s="53">
        <f>IF(OR(P2823="",AB2823=""),"",IF(OR(P2823="Gasto",P2823="Transferencia",P2823="Pago tarjeta"),-1,1)*IF(IFERROR(INDEX(ctaMoneda,MATCH(AB2823,ctaNombre,0))&amp;"","DOP")="USD",T2823,S2823))</f>
        <v/>
      </c>
      <c r="AG2823" s="53">
        <f>IF(AC2823="","",IF(IFERROR(INDEX(ctaMoneda,MATCH(AC2823,ctaNombre,0))&amp;"","DOP")="USD",T2823,S2823))</f>
        <v/>
      </c>
      <c r="AH2823" s="53">
        <f>IF(P2823="","",IF(AND(AD2823&lt;&gt;"",COUNTIFS(tcTipo,AD2823,tcLiq,"Sí")&gt;0),IF(OR(P2823="Gasto",P2823="Transferencia",P2823="Pago tarjeta"),-1,1)*S2823,0)+IF(AND(AE2823&lt;&gt;"",COUNTIFS(tcTipo,AE2823,tcLiq,"Sí")&gt;0),S2823,0))</f>
        <v/>
      </c>
      <c r="AI2823" s="52">
        <f>IF(OR(L2823="",P2823=""),"",IF(COUNTIFS(L$6:L2823,L2823,P$6:P2823,"?*")=1,MAX(AI$5:AI2822)+1,""))</f>
        <v/>
      </c>
    </row>
    <row r="2824">
      <c r="B2824" s="47" t="n"/>
      <c r="C2824" s="48" t="n"/>
      <c r="D2824" s="48" t="n"/>
      <c r="E2824" s="48" t="n"/>
      <c r="F2824" s="48" t="n"/>
      <c r="G2824" s="49" t="n"/>
      <c r="H2824" s="48" t="n"/>
      <c r="I2824" s="50" t="n"/>
      <c r="J2824" s="48" t="n"/>
      <c r="K2824" s="48" t="n"/>
      <c r="L2824" s="48" t="n"/>
      <c r="M2824" s="48" t="n"/>
      <c r="N2824" s="48" t="n"/>
      <c r="O2824" s="51">
        <f>IF(AND(B2824="",G2824="",C2824="",D2824="",J2824=""),"",IF(B2824="","⚠ Falta fecha",IF(G2824="","⚠ Falta monto",IF(Q2824="","⚠ Falta cuenta",IF(ISNA(MATCH(Q2824,ctaNombre,0)),"⚠ Cuenta no registrada",IF(AND(OR(P2824="Gasto",P2824="Reembolso"),D2824=""),"⚠ Falta categoría",IF(AND(D2824&lt;&gt;"",E2824&lt;&gt;"",ISNA(MATCH(D2824&amp;"|"&amp;E2824,catClave,0))),"⚠ Subcategoría no corresponde",IF(AND(OR(P2824="Transferencia",P2824="Pago tarjeta"),K2824=""),"⚠ Falta cuenta destino",IF(AND(K2824&lt;&gt;"",P2824&lt;&gt;"Transferencia",P2824&lt;&gt;"Pago tarjeta"),"⚠ Destino solo aplica a transferencias",IF(AND(K2824&lt;&gt;"",K2824=Q2824),"⚠ Origen igual a destino",IF(AND(K2824&lt;&gt;"",ISNA(MATCH(K2824,ctaNombre,0))),"⚠ Destino no registrado",IF(AND(P2824="Pago tarjeta",AE2824&lt;&gt;"Tarjeta de crédito"),"⚠ El destino debe ser tarjeta de crédito",IF(AND(P2824="Gasto",E2824="Depósitos y retiros"),"⚠ Usa tipo Transferencia",IF(AND(P2824="Resultado trading",AD2824&lt;&gt;"Cuenta de trading"),"⚠ Usa una cuenta de trading",IF(AND(G2824&lt;=0,P2824&lt;&gt;"Ajuste",P2824&lt;&gt;"Resultado trading"),"⚠ El monto debe ser positivo","✓")))))))))))))))</f>
        <v/>
      </c>
      <c r="P2824" s="52">
        <f>IF(OR(B2824="",G2824=""),"",IF(C2824="","Gasto",C2824))</f>
        <v/>
      </c>
      <c r="Q2824" s="52">
        <f>IF(P2824="","",IF(J2824&lt;&gt;"",J2824,CuentaPred&amp;""))</f>
        <v/>
      </c>
      <c r="R2824" s="52">
        <f>IF(P2824="","",IF(ISNUMBER(I2824),I2824,TasaUSD))</f>
        <v/>
      </c>
      <c r="S2824" s="53">
        <f>IF(P2824="","",IF(H2824="USD",G2824*R2824,G2824))</f>
        <v/>
      </c>
      <c r="T2824" s="53">
        <f>IF(P2824="","",IF(H2824="USD",G2824,IF(R2824&gt;0,G2824/R2824,0)))</f>
        <v/>
      </c>
      <c r="U2824" s="53">
        <f>IF(P2824="","",IF(P2824="Gasto",S2824,IF(P2824="Reembolso",-S2824,0)))</f>
        <v/>
      </c>
      <c r="V2824" s="53">
        <f>IF(P2824="","",IF(P2824="Ingreso",S2824,0))</f>
        <v/>
      </c>
      <c r="W2824" s="53">
        <f>IF(P2824="","",IF(P2824="Resultado trading",S2824,0))</f>
        <v/>
      </c>
      <c r="X2824" s="52">
        <f>IF(OR(P2824="Gasto",P2824="Reembolso"),IF(M2824&lt;&gt;"",M2824,IFERROR(INDEX(catClasif,MATCH(D2824&amp;"|"&amp;E2824,catClave,0))&amp;"","Variable")),"")</f>
        <v/>
      </c>
      <c r="Y2824" s="52">
        <f>IF(P2824="","",IFERROR(INDEX(catGrupo,MATCH(D2824&amp;"|"&amp;E2824,catClave,0))&amp;"",""))</f>
        <v/>
      </c>
      <c r="Z2824" s="52">
        <f>IF(P2824="","",WEEKDAY(B2824,2))</f>
        <v/>
      </c>
      <c r="AA2824" s="52">
        <f>IF(P2824="","",IF(AND(P2824="Gasto",X2824="Variable",D2824&lt;&gt;catTrading,S2824&gt;0,S2824&lt;=Umbral),1,0))</f>
        <v/>
      </c>
      <c r="AB2824" s="52">
        <f>IF(OR(P2824="",Q2824=""),"",IFERROR(IF(INDEX(ctaVinc,MATCH(Q2824,ctaNombre,0))&amp;""&lt;&gt;"",INDEX(ctaVinc,MATCH(Q2824,ctaNombre,0))&amp;"",Q2824),Q2824))</f>
        <v/>
      </c>
      <c r="AC2824" s="52">
        <f>IF(OR(K2824="",AND(P2824&lt;&gt;"Transferencia",P2824&lt;&gt;"Pago tarjeta")),"",IFERROR(IF(INDEX(ctaVinc,MATCH(K2824,ctaNombre,0))&amp;""&lt;&gt;"",INDEX(ctaVinc,MATCH(K2824,ctaNombre,0))&amp;"",K2824),K2824))</f>
        <v/>
      </c>
      <c r="AD2824" s="52">
        <f>IF(AB2824="","",IFERROR(INDEX(ctaTipo,MATCH(AB2824,ctaNombre,0))&amp;"",""))</f>
        <v/>
      </c>
      <c r="AE2824" s="52">
        <f>IF(AC2824="","",IFERROR(INDEX(ctaTipo,MATCH(AC2824,ctaNombre,0))&amp;"",""))</f>
        <v/>
      </c>
      <c r="AF2824" s="53">
        <f>IF(OR(P2824="",AB2824=""),"",IF(OR(P2824="Gasto",P2824="Transferencia",P2824="Pago tarjeta"),-1,1)*IF(IFERROR(INDEX(ctaMoneda,MATCH(AB2824,ctaNombre,0))&amp;"","DOP")="USD",T2824,S2824))</f>
        <v/>
      </c>
      <c r="AG2824" s="53">
        <f>IF(AC2824="","",IF(IFERROR(INDEX(ctaMoneda,MATCH(AC2824,ctaNombre,0))&amp;"","DOP")="USD",T2824,S2824))</f>
        <v/>
      </c>
      <c r="AH2824" s="53">
        <f>IF(P2824="","",IF(AND(AD2824&lt;&gt;"",COUNTIFS(tcTipo,AD2824,tcLiq,"Sí")&gt;0),IF(OR(P2824="Gasto",P2824="Transferencia",P2824="Pago tarjeta"),-1,1)*S2824,0)+IF(AND(AE2824&lt;&gt;"",COUNTIFS(tcTipo,AE2824,tcLiq,"Sí")&gt;0),S2824,0))</f>
        <v/>
      </c>
      <c r="AI2824" s="52">
        <f>IF(OR(L2824="",P2824=""),"",IF(COUNTIFS(L$6:L2824,L2824,P$6:P2824,"?*")=1,MAX(AI$5:AI2823)+1,""))</f>
        <v/>
      </c>
    </row>
    <row r="2825">
      <c r="B2825" s="47" t="n"/>
      <c r="C2825" s="48" t="n"/>
      <c r="D2825" s="48" t="n"/>
      <c r="E2825" s="48" t="n"/>
      <c r="F2825" s="48" t="n"/>
      <c r="G2825" s="49" t="n"/>
      <c r="H2825" s="48" t="n"/>
      <c r="I2825" s="50" t="n"/>
      <c r="J2825" s="48" t="n"/>
      <c r="K2825" s="48" t="n"/>
      <c r="L2825" s="48" t="n"/>
      <c r="M2825" s="48" t="n"/>
      <c r="N2825" s="48" t="n"/>
      <c r="O2825" s="51">
        <f>IF(AND(B2825="",G2825="",C2825="",D2825="",J2825=""),"",IF(B2825="","⚠ Falta fecha",IF(G2825="","⚠ Falta monto",IF(Q2825="","⚠ Falta cuenta",IF(ISNA(MATCH(Q2825,ctaNombre,0)),"⚠ Cuenta no registrada",IF(AND(OR(P2825="Gasto",P2825="Reembolso"),D2825=""),"⚠ Falta categoría",IF(AND(D2825&lt;&gt;"",E2825&lt;&gt;"",ISNA(MATCH(D2825&amp;"|"&amp;E2825,catClave,0))),"⚠ Subcategoría no corresponde",IF(AND(OR(P2825="Transferencia",P2825="Pago tarjeta"),K2825=""),"⚠ Falta cuenta destino",IF(AND(K2825&lt;&gt;"",P2825&lt;&gt;"Transferencia",P2825&lt;&gt;"Pago tarjeta"),"⚠ Destino solo aplica a transferencias",IF(AND(K2825&lt;&gt;"",K2825=Q2825),"⚠ Origen igual a destino",IF(AND(K2825&lt;&gt;"",ISNA(MATCH(K2825,ctaNombre,0))),"⚠ Destino no registrado",IF(AND(P2825="Pago tarjeta",AE2825&lt;&gt;"Tarjeta de crédito"),"⚠ El destino debe ser tarjeta de crédito",IF(AND(P2825="Gasto",E2825="Depósitos y retiros"),"⚠ Usa tipo Transferencia",IF(AND(P2825="Resultado trading",AD2825&lt;&gt;"Cuenta de trading"),"⚠ Usa una cuenta de trading",IF(AND(G2825&lt;=0,P2825&lt;&gt;"Ajuste",P2825&lt;&gt;"Resultado trading"),"⚠ El monto debe ser positivo","✓")))))))))))))))</f>
        <v/>
      </c>
      <c r="P2825" s="52">
        <f>IF(OR(B2825="",G2825=""),"",IF(C2825="","Gasto",C2825))</f>
        <v/>
      </c>
      <c r="Q2825" s="52">
        <f>IF(P2825="","",IF(J2825&lt;&gt;"",J2825,CuentaPred&amp;""))</f>
        <v/>
      </c>
      <c r="R2825" s="52">
        <f>IF(P2825="","",IF(ISNUMBER(I2825),I2825,TasaUSD))</f>
        <v/>
      </c>
      <c r="S2825" s="53">
        <f>IF(P2825="","",IF(H2825="USD",G2825*R2825,G2825))</f>
        <v/>
      </c>
      <c r="T2825" s="53">
        <f>IF(P2825="","",IF(H2825="USD",G2825,IF(R2825&gt;0,G2825/R2825,0)))</f>
        <v/>
      </c>
      <c r="U2825" s="53">
        <f>IF(P2825="","",IF(P2825="Gasto",S2825,IF(P2825="Reembolso",-S2825,0)))</f>
        <v/>
      </c>
      <c r="V2825" s="53">
        <f>IF(P2825="","",IF(P2825="Ingreso",S2825,0))</f>
        <v/>
      </c>
      <c r="W2825" s="53">
        <f>IF(P2825="","",IF(P2825="Resultado trading",S2825,0))</f>
        <v/>
      </c>
      <c r="X2825" s="52">
        <f>IF(OR(P2825="Gasto",P2825="Reembolso"),IF(M2825&lt;&gt;"",M2825,IFERROR(INDEX(catClasif,MATCH(D2825&amp;"|"&amp;E2825,catClave,0))&amp;"","Variable")),"")</f>
        <v/>
      </c>
      <c r="Y2825" s="52">
        <f>IF(P2825="","",IFERROR(INDEX(catGrupo,MATCH(D2825&amp;"|"&amp;E2825,catClave,0))&amp;"",""))</f>
        <v/>
      </c>
      <c r="Z2825" s="52">
        <f>IF(P2825="","",WEEKDAY(B2825,2))</f>
        <v/>
      </c>
      <c r="AA2825" s="52">
        <f>IF(P2825="","",IF(AND(P2825="Gasto",X2825="Variable",D2825&lt;&gt;catTrading,S2825&gt;0,S2825&lt;=Umbral),1,0))</f>
        <v/>
      </c>
      <c r="AB2825" s="52">
        <f>IF(OR(P2825="",Q2825=""),"",IFERROR(IF(INDEX(ctaVinc,MATCH(Q2825,ctaNombre,0))&amp;""&lt;&gt;"",INDEX(ctaVinc,MATCH(Q2825,ctaNombre,0))&amp;"",Q2825),Q2825))</f>
        <v/>
      </c>
      <c r="AC2825" s="52">
        <f>IF(OR(K2825="",AND(P2825&lt;&gt;"Transferencia",P2825&lt;&gt;"Pago tarjeta")),"",IFERROR(IF(INDEX(ctaVinc,MATCH(K2825,ctaNombre,0))&amp;""&lt;&gt;"",INDEX(ctaVinc,MATCH(K2825,ctaNombre,0))&amp;"",K2825),K2825))</f>
        <v/>
      </c>
      <c r="AD2825" s="52">
        <f>IF(AB2825="","",IFERROR(INDEX(ctaTipo,MATCH(AB2825,ctaNombre,0))&amp;"",""))</f>
        <v/>
      </c>
      <c r="AE2825" s="52">
        <f>IF(AC2825="","",IFERROR(INDEX(ctaTipo,MATCH(AC2825,ctaNombre,0))&amp;"",""))</f>
        <v/>
      </c>
      <c r="AF2825" s="53">
        <f>IF(OR(P2825="",AB2825=""),"",IF(OR(P2825="Gasto",P2825="Transferencia",P2825="Pago tarjeta"),-1,1)*IF(IFERROR(INDEX(ctaMoneda,MATCH(AB2825,ctaNombre,0))&amp;"","DOP")="USD",T2825,S2825))</f>
        <v/>
      </c>
      <c r="AG2825" s="53">
        <f>IF(AC2825="","",IF(IFERROR(INDEX(ctaMoneda,MATCH(AC2825,ctaNombre,0))&amp;"","DOP")="USD",T2825,S2825))</f>
        <v/>
      </c>
      <c r="AH2825" s="53">
        <f>IF(P2825="","",IF(AND(AD2825&lt;&gt;"",COUNTIFS(tcTipo,AD2825,tcLiq,"Sí")&gt;0),IF(OR(P2825="Gasto",P2825="Transferencia",P2825="Pago tarjeta"),-1,1)*S2825,0)+IF(AND(AE2825&lt;&gt;"",COUNTIFS(tcTipo,AE2825,tcLiq,"Sí")&gt;0),S2825,0))</f>
        <v/>
      </c>
      <c r="AI2825" s="52">
        <f>IF(OR(L2825="",P2825=""),"",IF(COUNTIFS(L$6:L2825,L2825,P$6:P2825,"?*")=1,MAX(AI$5:AI2824)+1,""))</f>
        <v/>
      </c>
    </row>
    <row r="2826">
      <c r="B2826" s="47" t="n"/>
      <c r="C2826" s="48" t="n"/>
      <c r="D2826" s="48" t="n"/>
      <c r="E2826" s="48" t="n"/>
      <c r="F2826" s="48" t="n"/>
      <c r="G2826" s="49" t="n"/>
      <c r="H2826" s="48" t="n"/>
      <c r="I2826" s="50" t="n"/>
      <c r="J2826" s="48" t="n"/>
      <c r="K2826" s="48" t="n"/>
      <c r="L2826" s="48" t="n"/>
      <c r="M2826" s="48" t="n"/>
      <c r="N2826" s="48" t="n"/>
      <c r="O2826" s="51">
        <f>IF(AND(B2826="",G2826="",C2826="",D2826="",J2826=""),"",IF(B2826="","⚠ Falta fecha",IF(G2826="","⚠ Falta monto",IF(Q2826="","⚠ Falta cuenta",IF(ISNA(MATCH(Q2826,ctaNombre,0)),"⚠ Cuenta no registrada",IF(AND(OR(P2826="Gasto",P2826="Reembolso"),D2826=""),"⚠ Falta categoría",IF(AND(D2826&lt;&gt;"",E2826&lt;&gt;"",ISNA(MATCH(D2826&amp;"|"&amp;E2826,catClave,0))),"⚠ Subcategoría no corresponde",IF(AND(OR(P2826="Transferencia",P2826="Pago tarjeta"),K2826=""),"⚠ Falta cuenta destino",IF(AND(K2826&lt;&gt;"",P2826&lt;&gt;"Transferencia",P2826&lt;&gt;"Pago tarjeta"),"⚠ Destino solo aplica a transferencias",IF(AND(K2826&lt;&gt;"",K2826=Q2826),"⚠ Origen igual a destino",IF(AND(K2826&lt;&gt;"",ISNA(MATCH(K2826,ctaNombre,0))),"⚠ Destino no registrado",IF(AND(P2826="Pago tarjeta",AE2826&lt;&gt;"Tarjeta de crédito"),"⚠ El destino debe ser tarjeta de crédito",IF(AND(P2826="Gasto",E2826="Depósitos y retiros"),"⚠ Usa tipo Transferencia",IF(AND(P2826="Resultado trading",AD2826&lt;&gt;"Cuenta de trading"),"⚠ Usa una cuenta de trading",IF(AND(G2826&lt;=0,P2826&lt;&gt;"Ajuste",P2826&lt;&gt;"Resultado trading"),"⚠ El monto debe ser positivo","✓")))))))))))))))</f>
        <v/>
      </c>
      <c r="P2826" s="52">
        <f>IF(OR(B2826="",G2826=""),"",IF(C2826="","Gasto",C2826))</f>
        <v/>
      </c>
      <c r="Q2826" s="52">
        <f>IF(P2826="","",IF(J2826&lt;&gt;"",J2826,CuentaPred&amp;""))</f>
        <v/>
      </c>
      <c r="R2826" s="52">
        <f>IF(P2826="","",IF(ISNUMBER(I2826),I2826,TasaUSD))</f>
        <v/>
      </c>
      <c r="S2826" s="53">
        <f>IF(P2826="","",IF(H2826="USD",G2826*R2826,G2826))</f>
        <v/>
      </c>
      <c r="T2826" s="53">
        <f>IF(P2826="","",IF(H2826="USD",G2826,IF(R2826&gt;0,G2826/R2826,0)))</f>
        <v/>
      </c>
      <c r="U2826" s="53">
        <f>IF(P2826="","",IF(P2826="Gasto",S2826,IF(P2826="Reembolso",-S2826,0)))</f>
        <v/>
      </c>
      <c r="V2826" s="53">
        <f>IF(P2826="","",IF(P2826="Ingreso",S2826,0))</f>
        <v/>
      </c>
      <c r="W2826" s="53">
        <f>IF(P2826="","",IF(P2826="Resultado trading",S2826,0))</f>
        <v/>
      </c>
      <c r="X2826" s="52">
        <f>IF(OR(P2826="Gasto",P2826="Reembolso"),IF(M2826&lt;&gt;"",M2826,IFERROR(INDEX(catClasif,MATCH(D2826&amp;"|"&amp;E2826,catClave,0))&amp;"","Variable")),"")</f>
        <v/>
      </c>
      <c r="Y2826" s="52">
        <f>IF(P2826="","",IFERROR(INDEX(catGrupo,MATCH(D2826&amp;"|"&amp;E2826,catClave,0))&amp;"",""))</f>
        <v/>
      </c>
      <c r="Z2826" s="52">
        <f>IF(P2826="","",WEEKDAY(B2826,2))</f>
        <v/>
      </c>
      <c r="AA2826" s="52">
        <f>IF(P2826="","",IF(AND(P2826="Gasto",X2826="Variable",D2826&lt;&gt;catTrading,S2826&gt;0,S2826&lt;=Umbral),1,0))</f>
        <v/>
      </c>
      <c r="AB2826" s="52">
        <f>IF(OR(P2826="",Q2826=""),"",IFERROR(IF(INDEX(ctaVinc,MATCH(Q2826,ctaNombre,0))&amp;""&lt;&gt;"",INDEX(ctaVinc,MATCH(Q2826,ctaNombre,0))&amp;"",Q2826),Q2826))</f>
        <v/>
      </c>
      <c r="AC2826" s="52">
        <f>IF(OR(K2826="",AND(P2826&lt;&gt;"Transferencia",P2826&lt;&gt;"Pago tarjeta")),"",IFERROR(IF(INDEX(ctaVinc,MATCH(K2826,ctaNombre,0))&amp;""&lt;&gt;"",INDEX(ctaVinc,MATCH(K2826,ctaNombre,0))&amp;"",K2826),K2826))</f>
        <v/>
      </c>
      <c r="AD2826" s="52">
        <f>IF(AB2826="","",IFERROR(INDEX(ctaTipo,MATCH(AB2826,ctaNombre,0))&amp;"",""))</f>
        <v/>
      </c>
      <c r="AE2826" s="52">
        <f>IF(AC2826="","",IFERROR(INDEX(ctaTipo,MATCH(AC2826,ctaNombre,0))&amp;"",""))</f>
        <v/>
      </c>
      <c r="AF2826" s="53">
        <f>IF(OR(P2826="",AB2826=""),"",IF(OR(P2826="Gasto",P2826="Transferencia",P2826="Pago tarjeta"),-1,1)*IF(IFERROR(INDEX(ctaMoneda,MATCH(AB2826,ctaNombre,0))&amp;"","DOP")="USD",T2826,S2826))</f>
        <v/>
      </c>
      <c r="AG2826" s="53">
        <f>IF(AC2826="","",IF(IFERROR(INDEX(ctaMoneda,MATCH(AC2826,ctaNombre,0))&amp;"","DOP")="USD",T2826,S2826))</f>
        <v/>
      </c>
      <c r="AH2826" s="53">
        <f>IF(P2826="","",IF(AND(AD2826&lt;&gt;"",COUNTIFS(tcTipo,AD2826,tcLiq,"Sí")&gt;0),IF(OR(P2826="Gasto",P2826="Transferencia",P2826="Pago tarjeta"),-1,1)*S2826,0)+IF(AND(AE2826&lt;&gt;"",COUNTIFS(tcTipo,AE2826,tcLiq,"Sí")&gt;0),S2826,0))</f>
        <v/>
      </c>
      <c r="AI2826" s="52">
        <f>IF(OR(L2826="",P2826=""),"",IF(COUNTIFS(L$6:L2826,L2826,P$6:P2826,"?*")=1,MAX(AI$5:AI2825)+1,""))</f>
        <v/>
      </c>
    </row>
    <row r="2827">
      <c r="B2827" s="47" t="n"/>
      <c r="C2827" s="48" t="n"/>
      <c r="D2827" s="48" t="n"/>
      <c r="E2827" s="48" t="n"/>
      <c r="F2827" s="48" t="n"/>
      <c r="G2827" s="49" t="n"/>
      <c r="H2827" s="48" t="n"/>
      <c r="I2827" s="50" t="n"/>
      <c r="J2827" s="48" t="n"/>
      <c r="K2827" s="48" t="n"/>
      <c r="L2827" s="48" t="n"/>
      <c r="M2827" s="48" t="n"/>
      <c r="N2827" s="48" t="n"/>
      <c r="O2827" s="51">
        <f>IF(AND(B2827="",G2827="",C2827="",D2827="",J2827=""),"",IF(B2827="","⚠ Falta fecha",IF(G2827="","⚠ Falta monto",IF(Q2827="","⚠ Falta cuenta",IF(ISNA(MATCH(Q2827,ctaNombre,0)),"⚠ Cuenta no registrada",IF(AND(OR(P2827="Gasto",P2827="Reembolso"),D2827=""),"⚠ Falta categoría",IF(AND(D2827&lt;&gt;"",E2827&lt;&gt;"",ISNA(MATCH(D2827&amp;"|"&amp;E2827,catClave,0))),"⚠ Subcategoría no corresponde",IF(AND(OR(P2827="Transferencia",P2827="Pago tarjeta"),K2827=""),"⚠ Falta cuenta destino",IF(AND(K2827&lt;&gt;"",P2827&lt;&gt;"Transferencia",P2827&lt;&gt;"Pago tarjeta"),"⚠ Destino solo aplica a transferencias",IF(AND(K2827&lt;&gt;"",K2827=Q2827),"⚠ Origen igual a destino",IF(AND(K2827&lt;&gt;"",ISNA(MATCH(K2827,ctaNombre,0))),"⚠ Destino no registrado",IF(AND(P2827="Pago tarjeta",AE2827&lt;&gt;"Tarjeta de crédito"),"⚠ El destino debe ser tarjeta de crédito",IF(AND(P2827="Gasto",E2827="Depósitos y retiros"),"⚠ Usa tipo Transferencia",IF(AND(P2827="Resultado trading",AD2827&lt;&gt;"Cuenta de trading"),"⚠ Usa una cuenta de trading",IF(AND(G2827&lt;=0,P2827&lt;&gt;"Ajuste",P2827&lt;&gt;"Resultado trading"),"⚠ El monto debe ser positivo","✓")))))))))))))))</f>
        <v/>
      </c>
      <c r="P2827" s="52">
        <f>IF(OR(B2827="",G2827=""),"",IF(C2827="","Gasto",C2827))</f>
        <v/>
      </c>
      <c r="Q2827" s="52">
        <f>IF(P2827="","",IF(J2827&lt;&gt;"",J2827,CuentaPred&amp;""))</f>
        <v/>
      </c>
      <c r="R2827" s="52">
        <f>IF(P2827="","",IF(ISNUMBER(I2827),I2827,TasaUSD))</f>
        <v/>
      </c>
      <c r="S2827" s="53">
        <f>IF(P2827="","",IF(H2827="USD",G2827*R2827,G2827))</f>
        <v/>
      </c>
      <c r="T2827" s="53">
        <f>IF(P2827="","",IF(H2827="USD",G2827,IF(R2827&gt;0,G2827/R2827,0)))</f>
        <v/>
      </c>
      <c r="U2827" s="53">
        <f>IF(P2827="","",IF(P2827="Gasto",S2827,IF(P2827="Reembolso",-S2827,0)))</f>
        <v/>
      </c>
      <c r="V2827" s="53">
        <f>IF(P2827="","",IF(P2827="Ingreso",S2827,0))</f>
        <v/>
      </c>
      <c r="W2827" s="53">
        <f>IF(P2827="","",IF(P2827="Resultado trading",S2827,0))</f>
        <v/>
      </c>
      <c r="X2827" s="52">
        <f>IF(OR(P2827="Gasto",P2827="Reembolso"),IF(M2827&lt;&gt;"",M2827,IFERROR(INDEX(catClasif,MATCH(D2827&amp;"|"&amp;E2827,catClave,0))&amp;"","Variable")),"")</f>
        <v/>
      </c>
      <c r="Y2827" s="52">
        <f>IF(P2827="","",IFERROR(INDEX(catGrupo,MATCH(D2827&amp;"|"&amp;E2827,catClave,0))&amp;"",""))</f>
        <v/>
      </c>
      <c r="Z2827" s="52">
        <f>IF(P2827="","",WEEKDAY(B2827,2))</f>
        <v/>
      </c>
      <c r="AA2827" s="52">
        <f>IF(P2827="","",IF(AND(P2827="Gasto",X2827="Variable",D2827&lt;&gt;catTrading,S2827&gt;0,S2827&lt;=Umbral),1,0))</f>
        <v/>
      </c>
      <c r="AB2827" s="52">
        <f>IF(OR(P2827="",Q2827=""),"",IFERROR(IF(INDEX(ctaVinc,MATCH(Q2827,ctaNombre,0))&amp;""&lt;&gt;"",INDEX(ctaVinc,MATCH(Q2827,ctaNombre,0))&amp;"",Q2827),Q2827))</f>
        <v/>
      </c>
      <c r="AC2827" s="52">
        <f>IF(OR(K2827="",AND(P2827&lt;&gt;"Transferencia",P2827&lt;&gt;"Pago tarjeta")),"",IFERROR(IF(INDEX(ctaVinc,MATCH(K2827,ctaNombre,0))&amp;""&lt;&gt;"",INDEX(ctaVinc,MATCH(K2827,ctaNombre,0))&amp;"",K2827),K2827))</f>
        <v/>
      </c>
      <c r="AD2827" s="52">
        <f>IF(AB2827="","",IFERROR(INDEX(ctaTipo,MATCH(AB2827,ctaNombre,0))&amp;"",""))</f>
        <v/>
      </c>
      <c r="AE2827" s="52">
        <f>IF(AC2827="","",IFERROR(INDEX(ctaTipo,MATCH(AC2827,ctaNombre,0))&amp;"",""))</f>
        <v/>
      </c>
      <c r="AF2827" s="53">
        <f>IF(OR(P2827="",AB2827=""),"",IF(OR(P2827="Gasto",P2827="Transferencia",P2827="Pago tarjeta"),-1,1)*IF(IFERROR(INDEX(ctaMoneda,MATCH(AB2827,ctaNombre,0))&amp;"","DOP")="USD",T2827,S2827))</f>
        <v/>
      </c>
      <c r="AG2827" s="53">
        <f>IF(AC2827="","",IF(IFERROR(INDEX(ctaMoneda,MATCH(AC2827,ctaNombre,0))&amp;"","DOP")="USD",T2827,S2827))</f>
        <v/>
      </c>
      <c r="AH2827" s="53">
        <f>IF(P2827="","",IF(AND(AD2827&lt;&gt;"",COUNTIFS(tcTipo,AD2827,tcLiq,"Sí")&gt;0),IF(OR(P2827="Gasto",P2827="Transferencia",P2827="Pago tarjeta"),-1,1)*S2827,0)+IF(AND(AE2827&lt;&gt;"",COUNTIFS(tcTipo,AE2827,tcLiq,"Sí")&gt;0),S2827,0))</f>
        <v/>
      </c>
      <c r="AI2827" s="52">
        <f>IF(OR(L2827="",P2827=""),"",IF(COUNTIFS(L$6:L2827,L2827,P$6:P2827,"?*")=1,MAX(AI$5:AI2826)+1,""))</f>
        <v/>
      </c>
    </row>
    <row r="2828">
      <c r="B2828" s="47" t="n"/>
      <c r="C2828" s="48" t="n"/>
      <c r="D2828" s="48" t="n"/>
      <c r="E2828" s="48" t="n"/>
      <c r="F2828" s="48" t="n"/>
      <c r="G2828" s="49" t="n"/>
      <c r="H2828" s="48" t="n"/>
      <c r="I2828" s="50" t="n"/>
      <c r="J2828" s="48" t="n"/>
      <c r="K2828" s="48" t="n"/>
      <c r="L2828" s="48" t="n"/>
      <c r="M2828" s="48" t="n"/>
      <c r="N2828" s="48" t="n"/>
      <c r="O2828" s="51">
        <f>IF(AND(B2828="",G2828="",C2828="",D2828="",J2828=""),"",IF(B2828="","⚠ Falta fecha",IF(G2828="","⚠ Falta monto",IF(Q2828="","⚠ Falta cuenta",IF(ISNA(MATCH(Q2828,ctaNombre,0)),"⚠ Cuenta no registrada",IF(AND(OR(P2828="Gasto",P2828="Reembolso"),D2828=""),"⚠ Falta categoría",IF(AND(D2828&lt;&gt;"",E2828&lt;&gt;"",ISNA(MATCH(D2828&amp;"|"&amp;E2828,catClave,0))),"⚠ Subcategoría no corresponde",IF(AND(OR(P2828="Transferencia",P2828="Pago tarjeta"),K2828=""),"⚠ Falta cuenta destino",IF(AND(K2828&lt;&gt;"",P2828&lt;&gt;"Transferencia",P2828&lt;&gt;"Pago tarjeta"),"⚠ Destino solo aplica a transferencias",IF(AND(K2828&lt;&gt;"",K2828=Q2828),"⚠ Origen igual a destino",IF(AND(K2828&lt;&gt;"",ISNA(MATCH(K2828,ctaNombre,0))),"⚠ Destino no registrado",IF(AND(P2828="Pago tarjeta",AE2828&lt;&gt;"Tarjeta de crédito"),"⚠ El destino debe ser tarjeta de crédito",IF(AND(P2828="Gasto",E2828="Depósitos y retiros"),"⚠ Usa tipo Transferencia",IF(AND(P2828="Resultado trading",AD2828&lt;&gt;"Cuenta de trading"),"⚠ Usa una cuenta de trading",IF(AND(G2828&lt;=0,P2828&lt;&gt;"Ajuste",P2828&lt;&gt;"Resultado trading"),"⚠ El monto debe ser positivo","✓")))))))))))))))</f>
        <v/>
      </c>
      <c r="P2828" s="52">
        <f>IF(OR(B2828="",G2828=""),"",IF(C2828="","Gasto",C2828))</f>
        <v/>
      </c>
      <c r="Q2828" s="52">
        <f>IF(P2828="","",IF(J2828&lt;&gt;"",J2828,CuentaPred&amp;""))</f>
        <v/>
      </c>
      <c r="R2828" s="52">
        <f>IF(P2828="","",IF(ISNUMBER(I2828),I2828,TasaUSD))</f>
        <v/>
      </c>
      <c r="S2828" s="53">
        <f>IF(P2828="","",IF(H2828="USD",G2828*R2828,G2828))</f>
        <v/>
      </c>
      <c r="T2828" s="53">
        <f>IF(P2828="","",IF(H2828="USD",G2828,IF(R2828&gt;0,G2828/R2828,0)))</f>
        <v/>
      </c>
      <c r="U2828" s="53">
        <f>IF(P2828="","",IF(P2828="Gasto",S2828,IF(P2828="Reembolso",-S2828,0)))</f>
        <v/>
      </c>
      <c r="V2828" s="53">
        <f>IF(P2828="","",IF(P2828="Ingreso",S2828,0))</f>
        <v/>
      </c>
      <c r="W2828" s="53">
        <f>IF(P2828="","",IF(P2828="Resultado trading",S2828,0))</f>
        <v/>
      </c>
      <c r="X2828" s="52">
        <f>IF(OR(P2828="Gasto",P2828="Reembolso"),IF(M2828&lt;&gt;"",M2828,IFERROR(INDEX(catClasif,MATCH(D2828&amp;"|"&amp;E2828,catClave,0))&amp;"","Variable")),"")</f>
        <v/>
      </c>
      <c r="Y2828" s="52">
        <f>IF(P2828="","",IFERROR(INDEX(catGrupo,MATCH(D2828&amp;"|"&amp;E2828,catClave,0))&amp;"",""))</f>
        <v/>
      </c>
      <c r="Z2828" s="52">
        <f>IF(P2828="","",WEEKDAY(B2828,2))</f>
        <v/>
      </c>
      <c r="AA2828" s="52">
        <f>IF(P2828="","",IF(AND(P2828="Gasto",X2828="Variable",D2828&lt;&gt;catTrading,S2828&gt;0,S2828&lt;=Umbral),1,0))</f>
        <v/>
      </c>
      <c r="AB2828" s="52">
        <f>IF(OR(P2828="",Q2828=""),"",IFERROR(IF(INDEX(ctaVinc,MATCH(Q2828,ctaNombre,0))&amp;""&lt;&gt;"",INDEX(ctaVinc,MATCH(Q2828,ctaNombre,0))&amp;"",Q2828),Q2828))</f>
        <v/>
      </c>
      <c r="AC2828" s="52">
        <f>IF(OR(K2828="",AND(P2828&lt;&gt;"Transferencia",P2828&lt;&gt;"Pago tarjeta")),"",IFERROR(IF(INDEX(ctaVinc,MATCH(K2828,ctaNombre,0))&amp;""&lt;&gt;"",INDEX(ctaVinc,MATCH(K2828,ctaNombre,0))&amp;"",K2828),K2828))</f>
        <v/>
      </c>
      <c r="AD2828" s="52">
        <f>IF(AB2828="","",IFERROR(INDEX(ctaTipo,MATCH(AB2828,ctaNombre,0))&amp;"",""))</f>
        <v/>
      </c>
      <c r="AE2828" s="52">
        <f>IF(AC2828="","",IFERROR(INDEX(ctaTipo,MATCH(AC2828,ctaNombre,0))&amp;"",""))</f>
        <v/>
      </c>
      <c r="AF2828" s="53">
        <f>IF(OR(P2828="",AB2828=""),"",IF(OR(P2828="Gasto",P2828="Transferencia",P2828="Pago tarjeta"),-1,1)*IF(IFERROR(INDEX(ctaMoneda,MATCH(AB2828,ctaNombre,0))&amp;"","DOP")="USD",T2828,S2828))</f>
        <v/>
      </c>
      <c r="AG2828" s="53">
        <f>IF(AC2828="","",IF(IFERROR(INDEX(ctaMoneda,MATCH(AC2828,ctaNombre,0))&amp;"","DOP")="USD",T2828,S2828))</f>
        <v/>
      </c>
      <c r="AH2828" s="53">
        <f>IF(P2828="","",IF(AND(AD2828&lt;&gt;"",COUNTIFS(tcTipo,AD2828,tcLiq,"Sí")&gt;0),IF(OR(P2828="Gasto",P2828="Transferencia",P2828="Pago tarjeta"),-1,1)*S2828,0)+IF(AND(AE2828&lt;&gt;"",COUNTIFS(tcTipo,AE2828,tcLiq,"Sí")&gt;0),S2828,0))</f>
        <v/>
      </c>
      <c r="AI2828" s="52">
        <f>IF(OR(L2828="",P2828=""),"",IF(COUNTIFS(L$6:L2828,L2828,P$6:P2828,"?*")=1,MAX(AI$5:AI2827)+1,""))</f>
        <v/>
      </c>
    </row>
    <row r="2829">
      <c r="B2829" s="47" t="n"/>
      <c r="C2829" s="48" t="n"/>
      <c r="D2829" s="48" t="n"/>
      <c r="E2829" s="48" t="n"/>
      <c r="F2829" s="48" t="n"/>
      <c r="G2829" s="49" t="n"/>
      <c r="H2829" s="48" t="n"/>
      <c r="I2829" s="50" t="n"/>
      <c r="J2829" s="48" t="n"/>
      <c r="K2829" s="48" t="n"/>
      <c r="L2829" s="48" t="n"/>
      <c r="M2829" s="48" t="n"/>
      <c r="N2829" s="48" t="n"/>
      <c r="O2829" s="51">
        <f>IF(AND(B2829="",G2829="",C2829="",D2829="",J2829=""),"",IF(B2829="","⚠ Falta fecha",IF(G2829="","⚠ Falta monto",IF(Q2829="","⚠ Falta cuenta",IF(ISNA(MATCH(Q2829,ctaNombre,0)),"⚠ Cuenta no registrada",IF(AND(OR(P2829="Gasto",P2829="Reembolso"),D2829=""),"⚠ Falta categoría",IF(AND(D2829&lt;&gt;"",E2829&lt;&gt;"",ISNA(MATCH(D2829&amp;"|"&amp;E2829,catClave,0))),"⚠ Subcategoría no corresponde",IF(AND(OR(P2829="Transferencia",P2829="Pago tarjeta"),K2829=""),"⚠ Falta cuenta destino",IF(AND(K2829&lt;&gt;"",P2829&lt;&gt;"Transferencia",P2829&lt;&gt;"Pago tarjeta"),"⚠ Destino solo aplica a transferencias",IF(AND(K2829&lt;&gt;"",K2829=Q2829),"⚠ Origen igual a destino",IF(AND(K2829&lt;&gt;"",ISNA(MATCH(K2829,ctaNombre,0))),"⚠ Destino no registrado",IF(AND(P2829="Pago tarjeta",AE2829&lt;&gt;"Tarjeta de crédito"),"⚠ El destino debe ser tarjeta de crédito",IF(AND(P2829="Gasto",E2829="Depósitos y retiros"),"⚠ Usa tipo Transferencia",IF(AND(P2829="Resultado trading",AD2829&lt;&gt;"Cuenta de trading"),"⚠ Usa una cuenta de trading",IF(AND(G2829&lt;=0,P2829&lt;&gt;"Ajuste",P2829&lt;&gt;"Resultado trading"),"⚠ El monto debe ser positivo","✓")))))))))))))))</f>
        <v/>
      </c>
      <c r="P2829" s="52">
        <f>IF(OR(B2829="",G2829=""),"",IF(C2829="","Gasto",C2829))</f>
        <v/>
      </c>
      <c r="Q2829" s="52">
        <f>IF(P2829="","",IF(J2829&lt;&gt;"",J2829,CuentaPred&amp;""))</f>
        <v/>
      </c>
      <c r="R2829" s="52">
        <f>IF(P2829="","",IF(ISNUMBER(I2829),I2829,TasaUSD))</f>
        <v/>
      </c>
      <c r="S2829" s="53">
        <f>IF(P2829="","",IF(H2829="USD",G2829*R2829,G2829))</f>
        <v/>
      </c>
      <c r="T2829" s="53">
        <f>IF(P2829="","",IF(H2829="USD",G2829,IF(R2829&gt;0,G2829/R2829,0)))</f>
        <v/>
      </c>
      <c r="U2829" s="53">
        <f>IF(P2829="","",IF(P2829="Gasto",S2829,IF(P2829="Reembolso",-S2829,0)))</f>
        <v/>
      </c>
      <c r="V2829" s="53">
        <f>IF(P2829="","",IF(P2829="Ingreso",S2829,0))</f>
        <v/>
      </c>
      <c r="W2829" s="53">
        <f>IF(P2829="","",IF(P2829="Resultado trading",S2829,0))</f>
        <v/>
      </c>
      <c r="X2829" s="52">
        <f>IF(OR(P2829="Gasto",P2829="Reembolso"),IF(M2829&lt;&gt;"",M2829,IFERROR(INDEX(catClasif,MATCH(D2829&amp;"|"&amp;E2829,catClave,0))&amp;"","Variable")),"")</f>
        <v/>
      </c>
      <c r="Y2829" s="52">
        <f>IF(P2829="","",IFERROR(INDEX(catGrupo,MATCH(D2829&amp;"|"&amp;E2829,catClave,0))&amp;"",""))</f>
        <v/>
      </c>
      <c r="Z2829" s="52">
        <f>IF(P2829="","",WEEKDAY(B2829,2))</f>
        <v/>
      </c>
      <c r="AA2829" s="52">
        <f>IF(P2829="","",IF(AND(P2829="Gasto",X2829="Variable",D2829&lt;&gt;catTrading,S2829&gt;0,S2829&lt;=Umbral),1,0))</f>
        <v/>
      </c>
      <c r="AB2829" s="52">
        <f>IF(OR(P2829="",Q2829=""),"",IFERROR(IF(INDEX(ctaVinc,MATCH(Q2829,ctaNombre,0))&amp;""&lt;&gt;"",INDEX(ctaVinc,MATCH(Q2829,ctaNombre,0))&amp;"",Q2829),Q2829))</f>
        <v/>
      </c>
      <c r="AC2829" s="52">
        <f>IF(OR(K2829="",AND(P2829&lt;&gt;"Transferencia",P2829&lt;&gt;"Pago tarjeta")),"",IFERROR(IF(INDEX(ctaVinc,MATCH(K2829,ctaNombre,0))&amp;""&lt;&gt;"",INDEX(ctaVinc,MATCH(K2829,ctaNombre,0))&amp;"",K2829),K2829))</f>
        <v/>
      </c>
      <c r="AD2829" s="52">
        <f>IF(AB2829="","",IFERROR(INDEX(ctaTipo,MATCH(AB2829,ctaNombre,0))&amp;"",""))</f>
        <v/>
      </c>
      <c r="AE2829" s="52">
        <f>IF(AC2829="","",IFERROR(INDEX(ctaTipo,MATCH(AC2829,ctaNombre,0))&amp;"",""))</f>
        <v/>
      </c>
      <c r="AF2829" s="53">
        <f>IF(OR(P2829="",AB2829=""),"",IF(OR(P2829="Gasto",P2829="Transferencia",P2829="Pago tarjeta"),-1,1)*IF(IFERROR(INDEX(ctaMoneda,MATCH(AB2829,ctaNombre,0))&amp;"","DOP")="USD",T2829,S2829))</f>
        <v/>
      </c>
      <c r="AG2829" s="53">
        <f>IF(AC2829="","",IF(IFERROR(INDEX(ctaMoneda,MATCH(AC2829,ctaNombre,0))&amp;"","DOP")="USD",T2829,S2829))</f>
        <v/>
      </c>
      <c r="AH2829" s="53">
        <f>IF(P2829="","",IF(AND(AD2829&lt;&gt;"",COUNTIFS(tcTipo,AD2829,tcLiq,"Sí")&gt;0),IF(OR(P2829="Gasto",P2829="Transferencia",P2829="Pago tarjeta"),-1,1)*S2829,0)+IF(AND(AE2829&lt;&gt;"",COUNTIFS(tcTipo,AE2829,tcLiq,"Sí")&gt;0),S2829,0))</f>
        <v/>
      </c>
      <c r="AI2829" s="52">
        <f>IF(OR(L2829="",P2829=""),"",IF(COUNTIFS(L$6:L2829,L2829,P$6:P2829,"?*")=1,MAX(AI$5:AI2828)+1,""))</f>
        <v/>
      </c>
    </row>
    <row r="2830">
      <c r="B2830" s="47" t="n"/>
      <c r="C2830" s="48" t="n"/>
      <c r="D2830" s="48" t="n"/>
      <c r="E2830" s="48" t="n"/>
      <c r="F2830" s="48" t="n"/>
      <c r="G2830" s="49" t="n"/>
      <c r="H2830" s="48" t="n"/>
      <c r="I2830" s="50" t="n"/>
      <c r="J2830" s="48" t="n"/>
      <c r="K2830" s="48" t="n"/>
      <c r="L2830" s="48" t="n"/>
      <c r="M2830" s="48" t="n"/>
      <c r="N2830" s="48" t="n"/>
      <c r="O2830" s="51">
        <f>IF(AND(B2830="",G2830="",C2830="",D2830="",J2830=""),"",IF(B2830="","⚠ Falta fecha",IF(G2830="","⚠ Falta monto",IF(Q2830="","⚠ Falta cuenta",IF(ISNA(MATCH(Q2830,ctaNombre,0)),"⚠ Cuenta no registrada",IF(AND(OR(P2830="Gasto",P2830="Reembolso"),D2830=""),"⚠ Falta categoría",IF(AND(D2830&lt;&gt;"",E2830&lt;&gt;"",ISNA(MATCH(D2830&amp;"|"&amp;E2830,catClave,0))),"⚠ Subcategoría no corresponde",IF(AND(OR(P2830="Transferencia",P2830="Pago tarjeta"),K2830=""),"⚠ Falta cuenta destino",IF(AND(K2830&lt;&gt;"",P2830&lt;&gt;"Transferencia",P2830&lt;&gt;"Pago tarjeta"),"⚠ Destino solo aplica a transferencias",IF(AND(K2830&lt;&gt;"",K2830=Q2830),"⚠ Origen igual a destino",IF(AND(K2830&lt;&gt;"",ISNA(MATCH(K2830,ctaNombre,0))),"⚠ Destino no registrado",IF(AND(P2830="Pago tarjeta",AE2830&lt;&gt;"Tarjeta de crédito"),"⚠ El destino debe ser tarjeta de crédito",IF(AND(P2830="Gasto",E2830="Depósitos y retiros"),"⚠ Usa tipo Transferencia",IF(AND(P2830="Resultado trading",AD2830&lt;&gt;"Cuenta de trading"),"⚠ Usa una cuenta de trading",IF(AND(G2830&lt;=0,P2830&lt;&gt;"Ajuste",P2830&lt;&gt;"Resultado trading"),"⚠ El monto debe ser positivo","✓")))))))))))))))</f>
        <v/>
      </c>
      <c r="P2830" s="52">
        <f>IF(OR(B2830="",G2830=""),"",IF(C2830="","Gasto",C2830))</f>
        <v/>
      </c>
      <c r="Q2830" s="52">
        <f>IF(P2830="","",IF(J2830&lt;&gt;"",J2830,CuentaPred&amp;""))</f>
        <v/>
      </c>
      <c r="R2830" s="52">
        <f>IF(P2830="","",IF(ISNUMBER(I2830),I2830,TasaUSD))</f>
        <v/>
      </c>
      <c r="S2830" s="53">
        <f>IF(P2830="","",IF(H2830="USD",G2830*R2830,G2830))</f>
        <v/>
      </c>
      <c r="T2830" s="53">
        <f>IF(P2830="","",IF(H2830="USD",G2830,IF(R2830&gt;0,G2830/R2830,0)))</f>
        <v/>
      </c>
      <c r="U2830" s="53">
        <f>IF(P2830="","",IF(P2830="Gasto",S2830,IF(P2830="Reembolso",-S2830,0)))</f>
        <v/>
      </c>
      <c r="V2830" s="53">
        <f>IF(P2830="","",IF(P2830="Ingreso",S2830,0))</f>
        <v/>
      </c>
      <c r="W2830" s="53">
        <f>IF(P2830="","",IF(P2830="Resultado trading",S2830,0))</f>
        <v/>
      </c>
      <c r="X2830" s="52">
        <f>IF(OR(P2830="Gasto",P2830="Reembolso"),IF(M2830&lt;&gt;"",M2830,IFERROR(INDEX(catClasif,MATCH(D2830&amp;"|"&amp;E2830,catClave,0))&amp;"","Variable")),"")</f>
        <v/>
      </c>
      <c r="Y2830" s="52">
        <f>IF(P2830="","",IFERROR(INDEX(catGrupo,MATCH(D2830&amp;"|"&amp;E2830,catClave,0))&amp;"",""))</f>
        <v/>
      </c>
      <c r="Z2830" s="52">
        <f>IF(P2830="","",WEEKDAY(B2830,2))</f>
        <v/>
      </c>
      <c r="AA2830" s="52">
        <f>IF(P2830="","",IF(AND(P2830="Gasto",X2830="Variable",D2830&lt;&gt;catTrading,S2830&gt;0,S2830&lt;=Umbral),1,0))</f>
        <v/>
      </c>
      <c r="AB2830" s="52">
        <f>IF(OR(P2830="",Q2830=""),"",IFERROR(IF(INDEX(ctaVinc,MATCH(Q2830,ctaNombre,0))&amp;""&lt;&gt;"",INDEX(ctaVinc,MATCH(Q2830,ctaNombre,0))&amp;"",Q2830),Q2830))</f>
        <v/>
      </c>
      <c r="AC2830" s="52">
        <f>IF(OR(K2830="",AND(P2830&lt;&gt;"Transferencia",P2830&lt;&gt;"Pago tarjeta")),"",IFERROR(IF(INDEX(ctaVinc,MATCH(K2830,ctaNombre,0))&amp;""&lt;&gt;"",INDEX(ctaVinc,MATCH(K2830,ctaNombre,0))&amp;"",K2830),K2830))</f>
        <v/>
      </c>
      <c r="AD2830" s="52">
        <f>IF(AB2830="","",IFERROR(INDEX(ctaTipo,MATCH(AB2830,ctaNombre,0))&amp;"",""))</f>
        <v/>
      </c>
      <c r="AE2830" s="52">
        <f>IF(AC2830="","",IFERROR(INDEX(ctaTipo,MATCH(AC2830,ctaNombre,0))&amp;"",""))</f>
        <v/>
      </c>
      <c r="AF2830" s="53">
        <f>IF(OR(P2830="",AB2830=""),"",IF(OR(P2830="Gasto",P2830="Transferencia",P2830="Pago tarjeta"),-1,1)*IF(IFERROR(INDEX(ctaMoneda,MATCH(AB2830,ctaNombre,0))&amp;"","DOP")="USD",T2830,S2830))</f>
        <v/>
      </c>
      <c r="AG2830" s="53">
        <f>IF(AC2830="","",IF(IFERROR(INDEX(ctaMoneda,MATCH(AC2830,ctaNombre,0))&amp;"","DOP")="USD",T2830,S2830))</f>
        <v/>
      </c>
      <c r="AH2830" s="53">
        <f>IF(P2830="","",IF(AND(AD2830&lt;&gt;"",COUNTIFS(tcTipo,AD2830,tcLiq,"Sí")&gt;0),IF(OR(P2830="Gasto",P2830="Transferencia",P2830="Pago tarjeta"),-1,1)*S2830,0)+IF(AND(AE2830&lt;&gt;"",COUNTIFS(tcTipo,AE2830,tcLiq,"Sí")&gt;0),S2830,0))</f>
        <v/>
      </c>
      <c r="AI2830" s="52">
        <f>IF(OR(L2830="",P2830=""),"",IF(COUNTIFS(L$6:L2830,L2830,P$6:P2830,"?*")=1,MAX(AI$5:AI2829)+1,""))</f>
        <v/>
      </c>
    </row>
    <row r="2831">
      <c r="B2831" s="47" t="n"/>
      <c r="C2831" s="48" t="n"/>
      <c r="D2831" s="48" t="n"/>
      <c r="E2831" s="48" t="n"/>
      <c r="F2831" s="48" t="n"/>
      <c r="G2831" s="49" t="n"/>
      <c r="H2831" s="48" t="n"/>
      <c r="I2831" s="50" t="n"/>
      <c r="J2831" s="48" t="n"/>
      <c r="K2831" s="48" t="n"/>
      <c r="L2831" s="48" t="n"/>
      <c r="M2831" s="48" t="n"/>
      <c r="N2831" s="48" t="n"/>
      <c r="O2831" s="51">
        <f>IF(AND(B2831="",G2831="",C2831="",D2831="",J2831=""),"",IF(B2831="","⚠ Falta fecha",IF(G2831="","⚠ Falta monto",IF(Q2831="","⚠ Falta cuenta",IF(ISNA(MATCH(Q2831,ctaNombre,0)),"⚠ Cuenta no registrada",IF(AND(OR(P2831="Gasto",P2831="Reembolso"),D2831=""),"⚠ Falta categoría",IF(AND(D2831&lt;&gt;"",E2831&lt;&gt;"",ISNA(MATCH(D2831&amp;"|"&amp;E2831,catClave,0))),"⚠ Subcategoría no corresponde",IF(AND(OR(P2831="Transferencia",P2831="Pago tarjeta"),K2831=""),"⚠ Falta cuenta destino",IF(AND(K2831&lt;&gt;"",P2831&lt;&gt;"Transferencia",P2831&lt;&gt;"Pago tarjeta"),"⚠ Destino solo aplica a transferencias",IF(AND(K2831&lt;&gt;"",K2831=Q2831),"⚠ Origen igual a destino",IF(AND(K2831&lt;&gt;"",ISNA(MATCH(K2831,ctaNombre,0))),"⚠ Destino no registrado",IF(AND(P2831="Pago tarjeta",AE2831&lt;&gt;"Tarjeta de crédito"),"⚠ El destino debe ser tarjeta de crédito",IF(AND(P2831="Gasto",E2831="Depósitos y retiros"),"⚠ Usa tipo Transferencia",IF(AND(P2831="Resultado trading",AD2831&lt;&gt;"Cuenta de trading"),"⚠ Usa una cuenta de trading",IF(AND(G2831&lt;=0,P2831&lt;&gt;"Ajuste",P2831&lt;&gt;"Resultado trading"),"⚠ El monto debe ser positivo","✓")))))))))))))))</f>
        <v/>
      </c>
      <c r="P2831" s="52">
        <f>IF(OR(B2831="",G2831=""),"",IF(C2831="","Gasto",C2831))</f>
        <v/>
      </c>
      <c r="Q2831" s="52">
        <f>IF(P2831="","",IF(J2831&lt;&gt;"",J2831,CuentaPred&amp;""))</f>
        <v/>
      </c>
      <c r="R2831" s="52">
        <f>IF(P2831="","",IF(ISNUMBER(I2831),I2831,TasaUSD))</f>
        <v/>
      </c>
      <c r="S2831" s="53">
        <f>IF(P2831="","",IF(H2831="USD",G2831*R2831,G2831))</f>
        <v/>
      </c>
      <c r="T2831" s="53">
        <f>IF(P2831="","",IF(H2831="USD",G2831,IF(R2831&gt;0,G2831/R2831,0)))</f>
        <v/>
      </c>
      <c r="U2831" s="53">
        <f>IF(P2831="","",IF(P2831="Gasto",S2831,IF(P2831="Reembolso",-S2831,0)))</f>
        <v/>
      </c>
      <c r="V2831" s="53">
        <f>IF(P2831="","",IF(P2831="Ingreso",S2831,0))</f>
        <v/>
      </c>
      <c r="W2831" s="53">
        <f>IF(P2831="","",IF(P2831="Resultado trading",S2831,0))</f>
        <v/>
      </c>
      <c r="X2831" s="52">
        <f>IF(OR(P2831="Gasto",P2831="Reembolso"),IF(M2831&lt;&gt;"",M2831,IFERROR(INDEX(catClasif,MATCH(D2831&amp;"|"&amp;E2831,catClave,0))&amp;"","Variable")),"")</f>
        <v/>
      </c>
      <c r="Y2831" s="52">
        <f>IF(P2831="","",IFERROR(INDEX(catGrupo,MATCH(D2831&amp;"|"&amp;E2831,catClave,0))&amp;"",""))</f>
        <v/>
      </c>
      <c r="Z2831" s="52">
        <f>IF(P2831="","",WEEKDAY(B2831,2))</f>
        <v/>
      </c>
      <c r="AA2831" s="52">
        <f>IF(P2831="","",IF(AND(P2831="Gasto",X2831="Variable",D2831&lt;&gt;catTrading,S2831&gt;0,S2831&lt;=Umbral),1,0))</f>
        <v/>
      </c>
      <c r="AB2831" s="52">
        <f>IF(OR(P2831="",Q2831=""),"",IFERROR(IF(INDEX(ctaVinc,MATCH(Q2831,ctaNombre,0))&amp;""&lt;&gt;"",INDEX(ctaVinc,MATCH(Q2831,ctaNombre,0))&amp;"",Q2831),Q2831))</f>
        <v/>
      </c>
      <c r="AC2831" s="52">
        <f>IF(OR(K2831="",AND(P2831&lt;&gt;"Transferencia",P2831&lt;&gt;"Pago tarjeta")),"",IFERROR(IF(INDEX(ctaVinc,MATCH(K2831,ctaNombre,0))&amp;""&lt;&gt;"",INDEX(ctaVinc,MATCH(K2831,ctaNombre,0))&amp;"",K2831),K2831))</f>
        <v/>
      </c>
      <c r="AD2831" s="52">
        <f>IF(AB2831="","",IFERROR(INDEX(ctaTipo,MATCH(AB2831,ctaNombre,0))&amp;"",""))</f>
        <v/>
      </c>
      <c r="AE2831" s="52">
        <f>IF(AC2831="","",IFERROR(INDEX(ctaTipo,MATCH(AC2831,ctaNombre,0))&amp;"",""))</f>
        <v/>
      </c>
      <c r="AF2831" s="53">
        <f>IF(OR(P2831="",AB2831=""),"",IF(OR(P2831="Gasto",P2831="Transferencia",P2831="Pago tarjeta"),-1,1)*IF(IFERROR(INDEX(ctaMoneda,MATCH(AB2831,ctaNombre,0))&amp;"","DOP")="USD",T2831,S2831))</f>
        <v/>
      </c>
      <c r="AG2831" s="53">
        <f>IF(AC2831="","",IF(IFERROR(INDEX(ctaMoneda,MATCH(AC2831,ctaNombre,0))&amp;"","DOP")="USD",T2831,S2831))</f>
        <v/>
      </c>
      <c r="AH2831" s="53">
        <f>IF(P2831="","",IF(AND(AD2831&lt;&gt;"",COUNTIFS(tcTipo,AD2831,tcLiq,"Sí")&gt;0),IF(OR(P2831="Gasto",P2831="Transferencia",P2831="Pago tarjeta"),-1,1)*S2831,0)+IF(AND(AE2831&lt;&gt;"",COUNTIFS(tcTipo,AE2831,tcLiq,"Sí")&gt;0),S2831,0))</f>
        <v/>
      </c>
      <c r="AI2831" s="52">
        <f>IF(OR(L2831="",P2831=""),"",IF(COUNTIFS(L$6:L2831,L2831,P$6:P2831,"?*")=1,MAX(AI$5:AI2830)+1,""))</f>
        <v/>
      </c>
    </row>
    <row r="2832">
      <c r="B2832" s="47" t="n"/>
      <c r="C2832" s="48" t="n"/>
      <c r="D2832" s="48" t="n"/>
      <c r="E2832" s="48" t="n"/>
      <c r="F2832" s="48" t="n"/>
      <c r="G2832" s="49" t="n"/>
      <c r="H2832" s="48" t="n"/>
      <c r="I2832" s="50" t="n"/>
      <c r="J2832" s="48" t="n"/>
      <c r="K2832" s="48" t="n"/>
      <c r="L2832" s="48" t="n"/>
      <c r="M2832" s="48" t="n"/>
      <c r="N2832" s="48" t="n"/>
      <c r="O2832" s="51">
        <f>IF(AND(B2832="",G2832="",C2832="",D2832="",J2832=""),"",IF(B2832="","⚠ Falta fecha",IF(G2832="","⚠ Falta monto",IF(Q2832="","⚠ Falta cuenta",IF(ISNA(MATCH(Q2832,ctaNombre,0)),"⚠ Cuenta no registrada",IF(AND(OR(P2832="Gasto",P2832="Reembolso"),D2832=""),"⚠ Falta categoría",IF(AND(D2832&lt;&gt;"",E2832&lt;&gt;"",ISNA(MATCH(D2832&amp;"|"&amp;E2832,catClave,0))),"⚠ Subcategoría no corresponde",IF(AND(OR(P2832="Transferencia",P2832="Pago tarjeta"),K2832=""),"⚠ Falta cuenta destino",IF(AND(K2832&lt;&gt;"",P2832&lt;&gt;"Transferencia",P2832&lt;&gt;"Pago tarjeta"),"⚠ Destino solo aplica a transferencias",IF(AND(K2832&lt;&gt;"",K2832=Q2832),"⚠ Origen igual a destino",IF(AND(K2832&lt;&gt;"",ISNA(MATCH(K2832,ctaNombre,0))),"⚠ Destino no registrado",IF(AND(P2832="Pago tarjeta",AE2832&lt;&gt;"Tarjeta de crédito"),"⚠ El destino debe ser tarjeta de crédito",IF(AND(P2832="Gasto",E2832="Depósitos y retiros"),"⚠ Usa tipo Transferencia",IF(AND(P2832="Resultado trading",AD2832&lt;&gt;"Cuenta de trading"),"⚠ Usa una cuenta de trading",IF(AND(G2832&lt;=0,P2832&lt;&gt;"Ajuste",P2832&lt;&gt;"Resultado trading"),"⚠ El monto debe ser positivo","✓")))))))))))))))</f>
        <v/>
      </c>
      <c r="P2832" s="52">
        <f>IF(OR(B2832="",G2832=""),"",IF(C2832="","Gasto",C2832))</f>
        <v/>
      </c>
      <c r="Q2832" s="52">
        <f>IF(P2832="","",IF(J2832&lt;&gt;"",J2832,CuentaPred&amp;""))</f>
        <v/>
      </c>
      <c r="R2832" s="52">
        <f>IF(P2832="","",IF(ISNUMBER(I2832),I2832,TasaUSD))</f>
        <v/>
      </c>
      <c r="S2832" s="53">
        <f>IF(P2832="","",IF(H2832="USD",G2832*R2832,G2832))</f>
        <v/>
      </c>
      <c r="T2832" s="53">
        <f>IF(P2832="","",IF(H2832="USD",G2832,IF(R2832&gt;0,G2832/R2832,0)))</f>
        <v/>
      </c>
      <c r="U2832" s="53">
        <f>IF(P2832="","",IF(P2832="Gasto",S2832,IF(P2832="Reembolso",-S2832,0)))</f>
        <v/>
      </c>
      <c r="V2832" s="53">
        <f>IF(P2832="","",IF(P2832="Ingreso",S2832,0))</f>
        <v/>
      </c>
      <c r="W2832" s="53">
        <f>IF(P2832="","",IF(P2832="Resultado trading",S2832,0))</f>
        <v/>
      </c>
      <c r="X2832" s="52">
        <f>IF(OR(P2832="Gasto",P2832="Reembolso"),IF(M2832&lt;&gt;"",M2832,IFERROR(INDEX(catClasif,MATCH(D2832&amp;"|"&amp;E2832,catClave,0))&amp;"","Variable")),"")</f>
        <v/>
      </c>
      <c r="Y2832" s="52">
        <f>IF(P2832="","",IFERROR(INDEX(catGrupo,MATCH(D2832&amp;"|"&amp;E2832,catClave,0))&amp;"",""))</f>
        <v/>
      </c>
      <c r="Z2832" s="52">
        <f>IF(P2832="","",WEEKDAY(B2832,2))</f>
        <v/>
      </c>
      <c r="AA2832" s="52">
        <f>IF(P2832="","",IF(AND(P2832="Gasto",X2832="Variable",D2832&lt;&gt;catTrading,S2832&gt;0,S2832&lt;=Umbral),1,0))</f>
        <v/>
      </c>
      <c r="AB2832" s="52">
        <f>IF(OR(P2832="",Q2832=""),"",IFERROR(IF(INDEX(ctaVinc,MATCH(Q2832,ctaNombre,0))&amp;""&lt;&gt;"",INDEX(ctaVinc,MATCH(Q2832,ctaNombre,0))&amp;"",Q2832),Q2832))</f>
        <v/>
      </c>
      <c r="AC2832" s="52">
        <f>IF(OR(K2832="",AND(P2832&lt;&gt;"Transferencia",P2832&lt;&gt;"Pago tarjeta")),"",IFERROR(IF(INDEX(ctaVinc,MATCH(K2832,ctaNombre,0))&amp;""&lt;&gt;"",INDEX(ctaVinc,MATCH(K2832,ctaNombre,0))&amp;"",K2832),K2832))</f>
        <v/>
      </c>
      <c r="AD2832" s="52">
        <f>IF(AB2832="","",IFERROR(INDEX(ctaTipo,MATCH(AB2832,ctaNombre,0))&amp;"",""))</f>
        <v/>
      </c>
      <c r="AE2832" s="52">
        <f>IF(AC2832="","",IFERROR(INDEX(ctaTipo,MATCH(AC2832,ctaNombre,0))&amp;"",""))</f>
        <v/>
      </c>
      <c r="AF2832" s="53">
        <f>IF(OR(P2832="",AB2832=""),"",IF(OR(P2832="Gasto",P2832="Transferencia",P2832="Pago tarjeta"),-1,1)*IF(IFERROR(INDEX(ctaMoneda,MATCH(AB2832,ctaNombre,0))&amp;"","DOP")="USD",T2832,S2832))</f>
        <v/>
      </c>
      <c r="AG2832" s="53">
        <f>IF(AC2832="","",IF(IFERROR(INDEX(ctaMoneda,MATCH(AC2832,ctaNombre,0))&amp;"","DOP")="USD",T2832,S2832))</f>
        <v/>
      </c>
      <c r="AH2832" s="53">
        <f>IF(P2832="","",IF(AND(AD2832&lt;&gt;"",COUNTIFS(tcTipo,AD2832,tcLiq,"Sí")&gt;0),IF(OR(P2832="Gasto",P2832="Transferencia",P2832="Pago tarjeta"),-1,1)*S2832,0)+IF(AND(AE2832&lt;&gt;"",COUNTIFS(tcTipo,AE2832,tcLiq,"Sí")&gt;0),S2832,0))</f>
        <v/>
      </c>
      <c r="AI2832" s="52">
        <f>IF(OR(L2832="",P2832=""),"",IF(COUNTIFS(L$6:L2832,L2832,P$6:P2832,"?*")=1,MAX(AI$5:AI2831)+1,""))</f>
        <v/>
      </c>
    </row>
    <row r="2833">
      <c r="B2833" s="47" t="n"/>
      <c r="C2833" s="48" t="n"/>
      <c r="D2833" s="48" t="n"/>
      <c r="E2833" s="48" t="n"/>
      <c r="F2833" s="48" t="n"/>
      <c r="G2833" s="49" t="n"/>
      <c r="H2833" s="48" t="n"/>
      <c r="I2833" s="50" t="n"/>
      <c r="J2833" s="48" t="n"/>
      <c r="K2833" s="48" t="n"/>
      <c r="L2833" s="48" t="n"/>
      <c r="M2833" s="48" t="n"/>
      <c r="N2833" s="48" t="n"/>
      <c r="O2833" s="51">
        <f>IF(AND(B2833="",G2833="",C2833="",D2833="",J2833=""),"",IF(B2833="","⚠ Falta fecha",IF(G2833="","⚠ Falta monto",IF(Q2833="","⚠ Falta cuenta",IF(ISNA(MATCH(Q2833,ctaNombre,0)),"⚠ Cuenta no registrada",IF(AND(OR(P2833="Gasto",P2833="Reembolso"),D2833=""),"⚠ Falta categoría",IF(AND(D2833&lt;&gt;"",E2833&lt;&gt;"",ISNA(MATCH(D2833&amp;"|"&amp;E2833,catClave,0))),"⚠ Subcategoría no corresponde",IF(AND(OR(P2833="Transferencia",P2833="Pago tarjeta"),K2833=""),"⚠ Falta cuenta destino",IF(AND(K2833&lt;&gt;"",P2833&lt;&gt;"Transferencia",P2833&lt;&gt;"Pago tarjeta"),"⚠ Destino solo aplica a transferencias",IF(AND(K2833&lt;&gt;"",K2833=Q2833),"⚠ Origen igual a destino",IF(AND(K2833&lt;&gt;"",ISNA(MATCH(K2833,ctaNombre,0))),"⚠ Destino no registrado",IF(AND(P2833="Pago tarjeta",AE2833&lt;&gt;"Tarjeta de crédito"),"⚠ El destino debe ser tarjeta de crédito",IF(AND(P2833="Gasto",E2833="Depósitos y retiros"),"⚠ Usa tipo Transferencia",IF(AND(P2833="Resultado trading",AD2833&lt;&gt;"Cuenta de trading"),"⚠ Usa una cuenta de trading",IF(AND(G2833&lt;=0,P2833&lt;&gt;"Ajuste",P2833&lt;&gt;"Resultado trading"),"⚠ El monto debe ser positivo","✓")))))))))))))))</f>
        <v/>
      </c>
      <c r="P2833" s="52">
        <f>IF(OR(B2833="",G2833=""),"",IF(C2833="","Gasto",C2833))</f>
        <v/>
      </c>
      <c r="Q2833" s="52">
        <f>IF(P2833="","",IF(J2833&lt;&gt;"",J2833,CuentaPred&amp;""))</f>
        <v/>
      </c>
      <c r="R2833" s="52">
        <f>IF(P2833="","",IF(ISNUMBER(I2833),I2833,TasaUSD))</f>
        <v/>
      </c>
      <c r="S2833" s="53">
        <f>IF(P2833="","",IF(H2833="USD",G2833*R2833,G2833))</f>
        <v/>
      </c>
      <c r="T2833" s="53">
        <f>IF(P2833="","",IF(H2833="USD",G2833,IF(R2833&gt;0,G2833/R2833,0)))</f>
        <v/>
      </c>
      <c r="U2833" s="53">
        <f>IF(P2833="","",IF(P2833="Gasto",S2833,IF(P2833="Reembolso",-S2833,0)))</f>
        <v/>
      </c>
      <c r="V2833" s="53">
        <f>IF(P2833="","",IF(P2833="Ingreso",S2833,0))</f>
        <v/>
      </c>
      <c r="W2833" s="53">
        <f>IF(P2833="","",IF(P2833="Resultado trading",S2833,0))</f>
        <v/>
      </c>
      <c r="X2833" s="52">
        <f>IF(OR(P2833="Gasto",P2833="Reembolso"),IF(M2833&lt;&gt;"",M2833,IFERROR(INDEX(catClasif,MATCH(D2833&amp;"|"&amp;E2833,catClave,0))&amp;"","Variable")),"")</f>
        <v/>
      </c>
      <c r="Y2833" s="52">
        <f>IF(P2833="","",IFERROR(INDEX(catGrupo,MATCH(D2833&amp;"|"&amp;E2833,catClave,0))&amp;"",""))</f>
        <v/>
      </c>
      <c r="Z2833" s="52">
        <f>IF(P2833="","",WEEKDAY(B2833,2))</f>
        <v/>
      </c>
      <c r="AA2833" s="52">
        <f>IF(P2833="","",IF(AND(P2833="Gasto",X2833="Variable",D2833&lt;&gt;catTrading,S2833&gt;0,S2833&lt;=Umbral),1,0))</f>
        <v/>
      </c>
      <c r="AB2833" s="52">
        <f>IF(OR(P2833="",Q2833=""),"",IFERROR(IF(INDEX(ctaVinc,MATCH(Q2833,ctaNombre,0))&amp;""&lt;&gt;"",INDEX(ctaVinc,MATCH(Q2833,ctaNombre,0))&amp;"",Q2833),Q2833))</f>
        <v/>
      </c>
      <c r="AC2833" s="52">
        <f>IF(OR(K2833="",AND(P2833&lt;&gt;"Transferencia",P2833&lt;&gt;"Pago tarjeta")),"",IFERROR(IF(INDEX(ctaVinc,MATCH(K2833,ctaNombre,0))&amp;""&lt;&gt;"",INDEX(ctaVinc,MATCH(K2833,ctaNombre,0))&amp;"",K2833),K2833))</f>
        <v/>
      </c>
      <c r="AD2833" s="52">
        <f>IF(AB2833="","",IFERROR(INDEX(ctaTipo,MATCH(AB2833,ctaNombre,0))&amp;"",""))</f>
        <v/>
      </c>
      <c r="AE2833" s="52">
        <f>IF(AC2833="","",IFERROR(INDEX(ctaTipo,MATCH(AC2833,ctaNombre,0))&amp;"",""))</f>
        <v/>
      </c>
      <c r="AF2833" s="53">
        <f>IF(OR(P2833="",AB2833=""),"",IF(OR(P2833="Gasto",P2833="Transferencia",P2833="Pago tarjeta"),-1,1)*IF(IFERROR(INDEX(ctaMoneda,MATCH(AB2833,ctaNombre,0))&amp;"","DOP")="USD",T2833,S2833))</f>
        <v/>
      </c>
      <c r="AG2833" s="53">
        <f>IF(AC2833="","",IF(IFERROR(INDEX(ctaMoneda,MATCH(AC2833,ctaNombre,0))&amp;"","DOP")="USD",T2833,S2833))</f>
        <v/>
      </c>
      <c r="AH2833" s="53">
        <f>IF(P2833="","",IF(AND(AD2833&lt;&gt;"",COUNTIFS(tcTipo,AD2833,tcLiq,"Sí")&gt;0),IF(OR(P2833="Gasto",P2833="Transferencia",P2833="Pago tarjeta"),-1,1)*S2833,0)+IF(AND(AE2833&lt;&gt;"",COUNTIFS(tcTipo,AE2833,tcLiq,"Sí")&gt;0),S2833,0))</f>
        <v/>
      </c>
      <c r="AI2833" s="52">
        <f>IF(OR(L2833="",P2833=""),"",IF(COUNTIFS(L$6:L2833,L2833,P$6:P2833,"?*")=1,MAX(AI$5:AI2832)+1,""))</f>
        <v/>
      </c>
    </row>
    <row r="2834">
      <c r="B2834" s="47" t="n"/>
      <c r="C2834" s="48" t="n"/>
      <c r="D2834" s="48" t="n"/>
      <c r="E2834" s="48" t="n"/>
      <c r="F2834" s="48" t="n"/>
      <c r="G2834" s="49" t="n"/>
      <c r="H2834" s="48" t="n"/>
      <c r="I2834" s="50" t="n"/>
      <c r="J2834" s="48" t="n"/>
      <c r="K2834" s="48" t="n"/>
      <c r="L2834" s="48" t="n"/>
      <c r="M2834" s="48" t="n"/>
      <c r="N2834" s="48" t="n"/>
      <c r="O2834" s="51">
        <f>IF(AND(B2834="",G2834="",C2834="",D2834="",J2834=""),"",IF(B2834="","⚠ Falta fecha",IF(G2834="","⚠ Falta monto",IF(Q2834="","⚠ Falta cuenta",IF(ISNA(MATCH(Q2834,ctaNombre,0)),"⚠ Cuenta no registrada",IF(AND(OR(P2834="Gasto",P2834="Reembolso"),D2834=""),"⚠ Falta categoría",IF(AND(D2834&lt;&gt;"",E2834&lt;&gt;"",ISNA(MATCH(D2834&amp;"|"&amp;E2834,catClave,0))),"⚠ Subcategoría no corresponde",IF(AND(OR(P2834="Transferencia",P2834="Pago tarjeta"),K2834=""),"⚠ Falta cuenta destino",IF(AND(K2834&lt;&gt;"",P2834&lt;&gt;"Transferencia",P2834&lt;&gt;"Pago tarjeta"),"⚠ Destino solo aplica a transferencias",IF(AND(K2834&lt;&gt;"",K2834=Q2834),"⚠ Origen igual a destino",IF(AND(K2834&lt;&gt;"",ISNA(MATCH(K2834,ctaNombre,0))),"⚠ Destino no registrado",IF(AND(P2834="Pago tarjeta",AE2834&lt;&gt;"Tarjeta de crédito"),"⚠ El destino debe ser tarjeta de crédito",IF(AND(P2834="Gasto",E2834="Depósitos y retiros"),"⚠ Usa tipo Transferencia",IF(AND(P2834="Resultado trading",AD2834&lt;&gt;"Cuenta de trading"),"⚠ Usa una cuenta de trading",IF(AND(G2834&lt;=0,P2834&lt;&gt;"Ajuste",P2834&lt;&gt;"Resultado trading"),"⚠ El monto debe ser positivo","✓")))))))))))))))</f>
        <v/>
      </c>
      <c r="P2834" s="52">
        <f>IF(OR(B2834="",G2834=""),"",IF(C2834="","Gasto",C2834))</f>
        <v/>
      </c>
      <c r="Q2834" s="52">
        <f>IF(P2834="","",IF(J2834&lt;&gt;"",J2834,CuentaPred&amp;""))</f>
        <v/>
      </c>
      <c r="R2834" s="52">
        <f>IF(P2834="","",IF(ISNUMBER(I2834),I2834,TasaUSD))</f>
        <v/>
      </c>
      <c r="S2834" s="53">
        <f>IF(P2834="","",IF(H2834="USD",G2834*R2834,G2834))</f>
        <v/>
      </c>
      <c r="T2834" s="53">
        <f>IF(P2834="","",IF(H2834="USD",G2834,IF(R2834&gt;0,G2834/R2834,0)))</f>
        <v/>
      </c>
      <c r="U2834" s="53">
        <f>IF(P2834="","",IF(P2834="Gasto",S2834,IF(P2834="Reembolso",-S2834,0)))</f>
        <v/>
      </c>
      <c r="V2834" s="53">
        <f>IF(P2834="","",IF(P2834="Ingreso",S2834,0))</f>
        <v/>
      </c>
      <c r="W2834" s="53">
        <f>IF(P2834="","",IF(P2834="Resultado trading",S2834,0))</f>
        <v/>
      </c>
      <c r="X2834" s="52">
        <f>IF(OR(P2834="Gasto",P2834="Reembolso"),IF(M2834&lt;&gt;"",M2834,IFERROR(INDEX(catClasif,MATCH(D2834&amp;"|"&amp;E2834,catClave,0))&amp;"","Variable")),"")</f>
        <v/>
      </c>
      <c r="Y2834" s="52">
        <f>IF(P2834="","",IFERROR(INDEX(catGrupo,MATCH(D2834&amp;"|"&amp;E2834,catClave,0))&amp;"",""))</f>
        <v/>
      </c>
      <c r="Z2834" s="52">
        <f>IF(P2834="","",WEEKDAY(B2834,2))</f>
        <v/>
      </c>
      <c r="AA2834" s="52">
        <f>IF(P2834="","",IF(AND(P2834="Gasto",X2834="Variable",D2834&lt;&gt;catTrading,S2834&gt;0,S2834&lt;=Umbral),1,0))</f>
        <v/>
      </c>
      <c r="AB2834" s="52">
        <f>IF(OR(P2834="",Q2834=""),"",IFERROR(IF(INDEX(ctaVinc,MATCH(Q2834,ctaNombre,0))&amp;""&lt;&gt;"",INDEX(ctaVinc,MATCH(Q2834,ctaNombre,0))&amp;"",Q2834),Q2834))</f>
        <v/>
      </c>
      <c r="AC2834" s="52">
        <f>IF(OR(K2834="",AND(P2834&lt;&gt;"Transferencia",P2834&lt;&gt;"Pago tarjeta")),"",IFERROR(IF(INDEX(ctaVinc,MATCH(K2834,ctaNombre,0))&amp;""&lt;&gt;"",INDEX(ctaVinc,MATCH(K2834,ctaNombre,0))&amp;"",K2834),K2834))</f>
        <v/>
      </c>
      <c r="AD2834" s="52">
        <f>IF(AB2834="","",IFERROR(INDEX(ctaTipo,MATCH(AB2834,ctaNombre,0))&amp;"",""))</f>
        <v/>
      </c>
      <c r="AE2834" s="52">
        <f>IF(AC2834="","",IFERROR(INDEX(ctaTipo,MATCH(AC2834,ctaNombre,0))&amp;"",""))</f>
        <v/>
      </c>
      <c r="AF2834" s="53">
        <f>IF(OR(P2834="",AB2834=""),"",IF(OR(P2834="Gasto",P2834="Transferencia",P2834="Pago tarjeta"),-1,1)*IF(IFERROR(INDEX(ctaMoneda,MATCH(AB2834,ctaNombre,0))&amp;"","DOP")="USD",T2834,S2834))</f>
        <v/>
      </c>
      <c r="AG2834" s="53">
        <f>IF(AC2834="","",IF(IFERROR(INDEX(ctaMoneda,MATCH(AC2834,ctaNombre,0))&amp;"","DOP")="USD",T2834,S2834))</f>
        <v/>
      </c>
      <c r="AH2834" s="53">
        <f>IF(P2834="","",IF(AND(AD2834&lt;&gt;"",COUNTIFS(tcTipo,AD2834,tcLiq,"Sí")&gt;0),IF(OR(P2834="Gasto",P2834="Transferencia",P2834="Pago tarjeta"),-1,1)*S2834,0)+IF(AND(AE2834&lt;&gt;"",COUNTIFS(tcTipo,AE2834,tcLiq,"Sí")&gt;0),S2834,0))</f>
        <v/>
      </c>
      <c r="AI2834" s="52">
        <f>IF(OR(L2834="",P2834=""),"",IF(COUNTIFS(L$6:L2834,L2834,P$6:P2834,"?*")=1,MAX(AI$5:AI2833)+1,""))</f>
        <v/>
      </c>
    </row>
    <row r="2835">
      <c r="B2835" s="47" t="n"/>
      <c r="C2835" s="48" t="n"/>
      <c r="D2835" s="48" t="n"/>
      <c r="E2835" s="48" t="n"/>
      <c r="F2835" s="48" t="n"/>
      <c r="G2835" s="49" t="n"/>
      <c r="H2835" s="48" t="n"/>
      <c r="I2835" s="50" t="n"/>
      <c r="J2835" s="48" t="n"/>
      <c r="K2835" s="48" t="n"/>
      <c r="L2835" s="48" t="n"/>
      <c r="M2835" s="48" t="n"/>
      <c r="N2835" s="48" t="n"/>
      <c r="O2835" s="51">
        <f>IF(AND(B2835="",G2835="",C2835="",D2835="",J2835=""),"",IF(B2835="","⚠ Falta fecha",IF(G2835="","⚠ Falta monto",IF(Q2835="","⚠ Falta cuenta",IF(ISNA(MATCH(Q2835,ctaNombre,0)),"⚠ Cuenta no registrada",IF(AND(OR(P2835="Gasto",P2835="Reembolso"),D2835=""),"⚠ Falta categoría",IF(AND(D2835&lt;&gt;"",E2835&lt;&gt;"",ISNA(MATCH(D2835&amp;"|"&amp;E2835,catClave,0))),"⚠ Subcategoría no corresponde",IF(AND(OR(P2835="Transferencia",P2835="Pago tarjeta"),K2835=""),"⚠ Falta cuenta destino",IF(AND(K2835&lt;&gt;"",P2835&lt;&gt;"Transferencia",P2835&lt;&gt;"Pago tarjeta"),"⚠ Destino solo aplica a transferencias",IF(AND(K2835&lt;&gt;"",K2835=Q2835),"⚠ Origen igual a destino",IF(AND(K2835&lt;&gt;"",ISNA(MATCH(K2835,ctaNombre,0))),"⚠ Destino no registrado",IF(AND(P2835="Pago tarjeta",AE2835&lt;&gt;"Tarjeta de crédito"),"⚠ El destino debe ser tarjeta de crédito",IF(AND(P2835="Gasto",E2835="Depósitos y retiros"),"⚠ Usa tipo Transferencia",IF(AND(P2835="Resultado trading",AD2835&lt;&gt;"Cuenta de trading"),"⚠ Usa una cuenta de trading",IF(AND(G2835&lt;=0,P2835&lt;&gt;"Ajuste",P2835&lt;&gt;"Resultado trading"),"⚠ El monto debe ser positivo","✓")))))))))))))))</f>
        <v/>
      </c>
      <c r="P2835" s="52">
        <f>IF(OR(B2835="",G2835=""),"",IF(C2835="","Gasto",C2835))</f>
        <v/>
      </c>
      <c r="Q2835" s="52">
        <f>IF(P2835="","",IF(J2835&lt;&gt;"",J2835,CuentaPred&amp;""))</f>
        <v/>
      </c>
      <c r="R2835" s="52">
        <f>IF(P2835="","",IF(ISNUMBER(I2835),I2835,TasaUSD))</f>
        <v/>
      </c>
      <c r="S2835" s="53">
        <f>IF(P2835="","",IF(H2835="USD",G2835*R2835,G2835))</f>
        <v/>
      </c>
      <c r="T2835" s="53">
        <f>IF(P2835="","",IF(H2835="USD",G2835,IF(R2835&gt;0,G2835/R2835,0)))</f>
        <v/>
      </c>
      <c r="U2835" s="53">
        <f>IF(P2835="","",IF(P2835="Gasto",S2835,IF(P2835="Reembolso",-S2835,0)))</f>
        <v/>
      </c>
      <c r="V2835" s="53">
        <f>IF(P2835="","",IF(P2835="Ingreso",S2835,0))</f>
        <v/>
      </c>
      <c r="W2835" s="53">
        <f>IF(P2835="","",IF(P2835="Resultado trading",S2835,0))</f>
        <v/>
      </c>
      <c r="X2835" s="52">
        <f>IF(OR(P2835="Gasto",P2835="Reembolso"),IF(M2835&lt;&gt;"",M2835,IFERROR(INDEX(catClasif,MATCH(D2835&amp;"|"&amp;E2835,catClave,0))&amp;"","Variable")),"")</f>
        <v/>
      </c>
      <c r="Y2835" s="52">
        <f>IF(P2835="","",IFERROR(INDEX(catGrupo,MATCH(D2835&amp;"|"&amp;E2835,catClave,0))&amp;"",""))</f>
        <v/>
      </c>
      <c r="Z2835" s="52">
        <f>IF(P2835="","",WEEKDAY(B2835,2))</f>
        <v/>
      </c>
      <c r="AA2835" s="52">
        <f>IF(P2835="","",IF(AND(P2835="Gasto",X2835="Variable",D2835&lt;&gt;catTrading,S2835&gt;0,S2835&lt;=Umbral),1,0))</f>
        <v/>
      </c>
      <c r="AB2835" s="52">
        <f>IF(OR(P2835="",Q2835=""),"",IFERROR(IF(INDEX(ctaVinc,MATCH(Q2835,ctaNombre,0))&amp;""&lt;&gt;"",INDEX(ctaVinc,MATCH(Q2835,ctaNombre,0))&amp;"",Q2835),Q2835))</f>
        <v/>
      </c>
      <c r="AC2835" s="52">
        <f>IF(OR(K2835="",AND(P2835&lt;&gt;"Transferencia",P2835&lt;&gt;"Pago tarjeta")),"",IFERROR(IF(INDEX(ctaVinc,MATCH(K2835,ctaNombre,0))&amp;""&lt;&gt;"",INDEX(ctaVinc,MATCH(K2835,ctaNombre,0))&amp;"",K2835),K2835))</f>
        <v/>
      </c>
      <c r="AD2835" s="52">
        <f>IF(AB2835="","",IFERROR(INDEX(ctaTipo,MATCH(AB2835,ctaNombre,0))&amp;"",""))</f>
        <v/>
      </c>
      <c r="AE2835" s="52">
        <f>IF(AC2835="","",IFERROR(INDEX(ctaTipo,MATCH(AC2835,ctaNombre,0))&amp;"",""))</f>
        <v/>
      </c>
      <c r="AF2835" s="53">
        <f>IF(OR(P2835="",AB2835=""),"",IF(OR(P2835="Gasto",P2835="Transferencia",P2835="Pago tarjeta"),-1,1)*IF(IFERROR(INDEX(ctaMoneda,MATCH(AB2835,ctaNombre,0))&amp;"","DOP")="USD",T2835,S2835))</f>
        <v/>
      </c>
      <c r="AG2835" s="53">
        <f>IF(AC2835="","",IF(IFERROR(INDEX(ctaMoneda,MATCH(AC2835,ctaNombre,0))&amp;"","DOP")="USD",T2835,S2835))</f>
        <v/>
      </c>
      <c r="AH2835" s="53">
        <f>IF(P2835="","",IF(AND(AD2835&lt;&gt;"",COUNTIFS(tcTipo,AD2835,tcLiq,"Sí")&gt;0),IF(OR(P2835="Gasto",P2835="Transferencia",P2835="Pago tarjeta"),-1,1)*S2835,0)+IF(AND(AE2835&lt;&gt;"",COUNTIFS(tcTipo,AE2835,tcLiq,"Sí")&gt;0),S2835,0))</f>
        <v/>
      </c>
      <c r="AI2835" s="52">
        <f>IF(OR(L2835="",P2835=""),"",IF(COUNTIFS(L$6:L2835,L2835,P$6:P2835,"?*")=1,MAX(AI$5:AI2834)+1,""))</f>
        <v/>
      </c>
    </row>
    <row r="2836">
      <c r="B2836" s="47" t="n"/>
      <c r="C2836" s="48" t="n"/>
      <c r="D2836" s="48" t="n"/>
      <c r="E2836" s="48" t="n"/>
      <c r="F2836" s="48" t="n"/>
      <c r="G2836" s="49" t="n"/>
      <c r="H2836" s="48" t="n"/>
      <c r="I2836" s="50" t="n"/>
      <c r="J2836" s="48" t="n"/>
      <c r="K2836" s="48" t="n"/>
      <c r="L2836" s="48" t="n"/>
      <c r="M2836" s="48" t="n"/>
      <c r="N2836" s="48" t="n"/>
      <c r="O2836" s="51">
        <f>IF(AND(B2836="",G2836="",C2836="",D2836="",J2836=""),"",IF(B2836="","⚠ Falta fecha",IF(G2836="","⚠ Falta monto",IF(Q2836="","⚠ Falta cuenta",IF(ISNA(MATCH(Q2836,ctaNombre,0)),"⚠ Cuenta no registrada",IF(AND(OR(P2836="Gasto",P2836="Reembolso"),D2836=""),"⚠ Falta categoría",IF(AND(D2836&lt;&gt;"",E2836&lt;&gt;"",ISNA(MATCH(D2836&amp;"|"&amp;E2836,catClave,0))),"⚠ Subcategoría no corresponde",IF(AND(OR(P2836="Transferencia",P2836="Pago tarjeta"),K2836=""),"⚠ Falta cuenta destino",IF(AND(K2836&lt;&gt;"",P2836&lt;&gt;"Transferencia",P2836&lt;&gt;"Pago tarjeta"),"⚠ Destino solo aplica a transferencias",IF(AND(K2836&lt;&gt;"",K2836=Q2836),"⚠ Origen igual a destino",IF(AND(K2836&lt;&gt;"",ISNA(MATCH(K2836,ctaNombre,0))),"⚠ Destino no registrado",IF(AND(P2836="Pago tarjeta",AE2836&lt;&gt;"Tarjeta de crédito"),"⚠ El destino debe ser tarjeta de crédito",IF(AND(P2836="Gasto",E2836="Depósitos y retiros"),"⚠ Usa tipo Transferencia",IF(AND(P2836="Resultado trading",AD2836&lt;&gt;"Cuenta de trading"),"⚠ Usa una cuenta de trading",IF(AND(G2836&lt;=0,P2836&lt;&gt;"Ajuste",P2836&lt;&gt;"Resultado trading"),"⚠ El monto debe ser positivo","✓")))))))))))))))</f>
        <v/>
      </c>
      <c r="P2836" s="52">
        <f>IF(OR(B2836="",G2836=""),"",IF(C2836="","Gasto",C2836))</f>
        <v/>
      </c>
      <c r="Q2836" s="52">
        <f>IF(P2836="","",IF(J2836&lt;&gt;"",J2836,CuentaPred&amp;""))</f>
        <v/>
      </c>
      <c r="R2836" s="52">
        <f>IF(P2836="","",IF(ISNUMBER(I2836),I2836,TasaUSD))</f>
        <v/>
      </c>
      <c r="S2836" s="53">
        <f>IF(P2836="","",IF(H2836="USD",G2836*R2836,G2836))</f>
        <v/>
      </c>
      <c r="T2836" s="53">
        <f>IF(P2836="","",IF(H2836="USD",G2836,IF(R2836&gt;0,G2836/R2836,0)))</f>
        <v/>
      </c>
      <c r="U2836" s="53">
        <f>IF(P2836="","",IF(P2836="Gasto",S2836,IF(P2836="Reembolso",-S2836,0)))</f>
        <v/>
      </c>
      <c r="V2836" s="53">
        <f>IF(P2836="","",IF(P2836="Ingreso",S2836,0))</f>
        <v/>
      </c>
      <c r="W2836" s="53">
        <f>IF(P2836="","",IF(P2836="Resultado trading",S2836,0))</f>
        <v/>
      </c>
      <c r="X2836" s="52">
        <f>IF(OR(P2836="Gasto",P2836="Reembolso"),IF(M2836&lt;&gt;"",M2836,IFERROR(INDEX(catClasif,MATCH(D2836&amp;"|"&amp;E2836,catClave,0))&amp;"","Variable")),"")</f>
        <v/>
      </c>
      <c r="Y2836" s="52">
        <f>IF(P2836="","",IFERROR(INDEX(catGrupo,MATCH(D2836&amp;"|"&amp;E2836,catClave,0))&amp;"",""))</f>
        <v/>
      </c>
      <c r="Z2836" s="52">
        <f>IF(P2836="","",WEEKDAY(B2836,2))</f>
        <v/>
      </c>
      <c r="AA2836" s="52">
        <f>IF(P2836="","",IF(AND(P2836="Gasto",X2836="Variable",D2836&lt;&gt;catTrading,S2836&gt;0,S2836&lt;=Umbral),1,0))</f>
        <v/>
      </c>
      <c r="AB2836" s="52">
        <f>IF(OR(P2836="",Q2836=""),"",IFERROR(IF(INDEX(ctaVinc,MATCH(Q2836,ctaNombre,0))&amp;""&lt;&gt;"",INDEX(ctaVinc,MATCH(Q2836,ctaNombre,0))&amp;"",Q2836),Q2836))</f>
        <v/>
      </c>
      <c r="AC2836" s="52">
        <f>IF(OR(K2836="",AND(P2836&lt;&gt;"Transferencia",P2836&lt;&gt;"Pago tarjeta")),"",IFERROR(IF(INDEX(ctaVinc,MATCH(K2836,ctaNombre,0))&amp;""&lt;&gt;"",INDEX(ctaVinc,MATCH(K2836,ctaNombre,0))&amp;"",K2836),K2836))</f>
        <v/>
      </c>
      <c r="AD2836" s="52">
        <f>IF(AB2836="","",IFERROR(INDEX(ctaTipo,MATCH(AB2836,ctaNombre,0))&amp;"",""))</f>
        <v/>
      </c>
      <c r="AE2836" s="52">
        <f>IF(AC2836="","",IFERROR(INDEX(ctaTipo,MATCH(AC2836,ctaNombre,0))&amp;"",""))</f>
        <v/>
      </c>
      <c r="AF2836" s="53">
        <f>IF(OR(P2836="",AB2836=""),"",IF(OR(P2836="Gasto",P2836="Transferencia",P2836="Pago tarjeta"),-1,1)*IF(IFERROR(INDEX(ctaMoneda,MATCH(AB2836,ctaNombre,0))&amp;"","DOP")="USD",T2836,S2836))</f>
        <v/>
      </c>
      <c r="AG2836" s="53">
        <f>IF(AC2836="","",IF(IFERROR(INDEX(ctaMoneda,MATCH(AC2836,ctaNombre,0))&amp;"","DOP")="USD",T2836,S2836))</f>
        <v/>
      </c>
      <c r="AH2836" s="53">
        <f>IF(P2836="","",IF(AND(AD2836&lt;&gt;"",COUNTIFS(tcTipo,AD2836,tcLiq,"Sí")&gt;0),IF(OR(P2836="Gasto",P2836="Transferencia",P2836="Pago tarjeta"),-1,1)*S2836,0)+IF(AND(AE2836&lt;&gt;"",COUNTIFS(tcTipo,AE2836,tcLiq,"Sí")&gt;0),S2836,0))</f>
        <v/>
      </c>
      <c r="AI2836" s="52">
        <f>IF(OR(L2836="",P2836=""),"",IF(COUNTIFS(L$6:L2836,L2836,P$6:P2836,"?*")=1,MAX(AI$5:AI2835)+1,""))</f>
        <v/>
      </c>
    </row>
    <row r="2837">
      <c r="B2837" s="47" t="n"/>
      <c r="C2837" s="48" t="n"/>
      <c r="D2837" s="48" t="n"/>
      <c r="E2837" s="48" t="n"/>
      <c r="F2837" s="48" t="n"/>
      <c r="G2837" s="49" t="n"/>
      <c r="H2837" s="48" t="n"/>
      <c r="I2837" s="50" t="n"/>
      <c r="J2837" s="48" t="n"/>
      <c r="K2837" s="48" t="n"/>
      <c r="L2837" s="48" t="n"/>
      <c r="M2837" s="48" t="n"/>
      <c r="N2837" s="48" t="n"/>
      <c r="O2837" s="51">
        <f>IF(AND(B2837="",G2837="",C2837="",D2837="",J2837=""),"",IF(B2837="","⚠ Falta fecha",IF(G2837="","⚠ Falta monto",IF(Q2837="","⚠ Falta cuenta",IF(ISNA(MATCH(Q2837,ctaNombre,0)),"⚠ Cuenta no registrada",IF(AND(OR(P2837="Gasto",P2837="Reembolso"),D2837=""),"⚠ Falta categoría",IF(AND(D2837&lt;&gt;"",E2837&lt;&gt;"",ISNA(MATCH(D2837&amp;"|"&amp;E2837,catClave,0))),"⚠ Subcategoría no corresponde",IF(AND(OR(P2837="Transferencia",P2837="Pago tarjeta"),K2837=""),"⚠ Falta cuenta destino",IF(AND(K2837&lt;&gt;"",P2837&lt;&gt;"Transferencia",P2837&lt;&gt;"Pago tarjeta"),"⚠ Destino solo aplica a transferencias",IF(AND(K2837&lt;&gt;"",K2837=Q2837),"⚠ Origen igual a destino",IF(AND(K2837&lt;&gt;"",ISNA(MATCH(K2837,ctaNombre,0))),"⚠ Destino no registrado",IF(AND(P2837="Pago tarjeta",AE2837&lt;&gt;"Tarjeta de crédito"),"⚠ El destino debe ser tarjeta de crédito",IF(AND(P2837="Gasto",E2837="Depósitos y retiros"),"⚠ Usa tipo Transferencia",IF(AND(P2837="Resultado trading",AD2837&lt;&gt;"Cuenta de trading"),"⚠ Usa una cuenta de trading",IF(AND(G2837&lt;=0,P2837&lt;&gt;"Ajuste",P2837&lt;&gt;"Resultado trading"),"⚠ El monto debe ser positivo","✓")))))))))))))))</f>
        <v/>
      </c>
      <c r="P2837" s="52">
        <f>IF(OR(B2837="",G2837=""),"",IF(C2837="","Gasto",C2837))</f>
        <v/>
      </c>
      <c r="Q2837" s="52">
        <f>IF(P2837="","",IF(J2837&lt;&gt;"",J2837,CuentaPred&amp;""))</f>
        <v/>
      </c>
      <c r="R2837" s="52">
        <f>IF(P2837="","",IF(ISNUMBER(I2837),I2837,TasaUSD))</f>
        <v/>
      </c>
      <c r="S2837" s="53">
        <f>IF(P2837="","",IF(H2837="USD",G2837*R2837,G2837))</f>
        <v/>
      </c>
      <c r="T2837" s="53">
        <f>IF(P2837="","",IF(H2837="USD",G2837,IF(R2837&gt;0,G2837/R2837,0)))</f>
        <v/>
      </c>
      <c r="U2837" s="53">
        <f>IF(P2837="","",IF(P2837="Gasto",S2837,IF(P2837="Reembolso",-S2837,0)))</f>
        <v/>
      </c>
      <c r="V2837" s="53">
        <f>IF(P2837="","",IF(P2837="Ingreso",S2837,0))</f>
        <v/>
      </c>
      <c r="W2837" s="53">
        <f>IF(P2837="","",IF(P2837="Resultado trading",S2837,0))</f>
        <v/>
      </c>
      <c r="X2837" s="52">
        <f>IF(OR(P2837="Gasto",P2837="Reembolso"),IF(M2837&lt;&gt;"",M2837,IFERROR(INDEX(catClasif,MATCH(D2837&amp;"|"&amp;E2837,catClave,0))&amp;"","Variable")),"")</f>
        <v/>
      </c>
      <c r="Y2837" s="52">
        <f>IF(P2837="","",IFERROR(INDEX(catGrupo,MATCH(D2837&amp;"|"&amp;E2837,catClave,0))&amp;"",""))</f>
        <v/>
      </c>
      <c r="Z2837" s="52">
        <f>IF(P2837="","",WEEKDAY(B2837,2))</f>
        <v/>
      </c>
      <c r="AA2837" s="52">
        <f>IF(P2837="","",IF(AND(P2837="Gasto",X2837="Variable",D2837&lt;&gt;catTrading,S2837&gt;0,S2837&lt;=Umbral),1,0))</f>
        <v/>
      </c>
      <c r="AB2837" s="52">
        <f>IF(OR(P2837="",Q2837=""),"",IFERROR(IF(INDEX(ctaVinc,MATCH(Q2837,ctaNombre,0))&amp;""&lt;&gt;"",INDEX(ctaVinc,MATCH(Q2837,ctaNombre,0))&amp;"",Q2837),Q2837))</f>
        <v/>
      </c>
      <c r="AC2837" s="52">
        <f>IF(OR(K2837="",AND(P2837&lt;&gt;"Transferencia",P2837&lt;&gt;"Pago tarjeta")),"",IFERROR(IF(INDEX(ctaVinc,MATCH(K2837,ctaNombre,0))&amp;""&lt;&gt;"",INDEX(ctaVinc,MATCH(K2837,ctaNombre,0))&amp;"",K2837),K2837))</f>
        <v/>
      </c>
      <c r="AD2837" s="52">
        <f>IF(AB2837="","",IFERROR(INDEX(ctaTipo,MATCH(AB2837,ctaNombre,0))&amp;"",""))</f>
        <v/>
      </c>
      <c r="AE2837" s="52">
        <f>IF(AC2837="","",IFERROR(INDEX(ctaTipo,MATCH(AC2837,ctaNombre,0))&amp;"",""))</f>
        <v/>
      </c>
      <c r="AF2837" s="53">
        <f>IF(OR(P2837="",AB2837=""),"",IF(OR(P2837="Gasto",P2837="Transferencia",P2837="Pago tarjeta"),-1,1)*IF(IFERROR(INDEX(ctaMoneda,MATCH(AB2837,ctaNombre,0))&amp;"","DOP")="USD",T2837,S2837))</f>
        <v/>
      </c>
      <c r="AG2837" s="53">
        <f>IF(AC2837="","",IF(IFERROR(INDEX(ctaMoneda,MATCH(AC2837,ctaNombre,0))&amp;"","DOP")="USD",T2837,S2837))</f>
        <v/>
      </c>
      <c r="AH2837" s="53">
        <f>IF(P2837="","",IF(AND(AD2837&lt;&gt;"",COUNTIFS(tcTipo,AD2837,tcLiq,"Sí")&gt;0),IF(OR(P2837="Gasto",P2837="Transferencia",P2837="Pago tarjeta"),-1,1)*S2837,0)+IF(AND(AE2837&lt;&gt;"",COUNTIFS(tcTipo,AE2837,tcLiq,"Sí")&gt;0),S2837,0))</f>
        <v/>
      </c>
      <c r="AI2837" s="52">
        <f>IF(OR(L2837="",P2837=""),"",IF(COUNTIFS(L$6:L2837,L2837,P$6:P2837,"?*")=1,MAX(AI$5:AI2836)+1,""))</f>
        <v/>
      </c>
    </row>
    <row r="2838">
      <c r="B2838" s="47" t="n"/>
      <c r="C2838" s="48" t="n"/>
      <c r="D2838" s="48" t="n"/>
      <c r="E2838" s="48" t="n"/>
      <c r="F2838" s="48" t="n"/>
      <c r="G2838" s="49" t="n"/>
      <c r="H2838" s="48" t="n"/>
      <c r="I2838" s="50" t="n"/>
      <c r="J2838" s="48" t="n"/>
      <c r="K2838" s="48" t="n"/>
      <c r="L2838" s="48" t="n"/>
      <c r="M2838" s="48" t="n"/>
      <c r="N2838" s="48" t="n"/>
      <c r="O2838" s="51">
        <f>IF(AND(B2838="",G2838="",C2838="",D2838="",J2838=""),"",IF(B2838="","⚠ Falta fecha",IF(G2838="","⚠ Falta monto",IF(Q2838="","⚠ Falta cuenta",IF(ISNA(MATCH(Q2838,ctaNombre,0)),"⚠ Cuenta no registrada",IF(AND(OR(P2838="Gasto",P2838="Reembolso"),D2838=""),"⚠ Falta categoría",IF(AND(D2838&lt;&gt;"",E2838&lt;&gt;"",ISNA(MATCH(D2838&amp;"|"&amp;E2838,catClave,0))),"⚠ Subcategoría no corresponde",IF(AND(OR(P2838="Transferencia",P2838="Pago tarjeta"),K2838=""),"⚠ Falta cuenta destino",IF(AND(K2838&lt;&gt;"",P2838&lt;&gt;"Transferencia",P2838&lt;&gt;"Pago tarjeta"),"⚠ Destino solo aplica a transferencias",IF(AND(K2838&lt;&gt;"",K2838=Q2838),"⚠ Origen igual a destino",IF(AND(K2838&lt;&gt;"",ISNA(MATCH(K2838,ctaNombre,0))),"⚠ Destino no registrado",IF(AND(P2838="Pago tarjeta",AE2838&lt;&gt;"Tarjeta de crédito"),"⚠ El destino debe ser tarjeta de crédito",IF(AND(P2838="Gasto",E2838="Depósitos y retiros"),"⚠ Usa tipo Transferencia",IF(AND(P2838="Resultado trading",AD2838&lt;&gt;"Cuenta de trading"),"⚠ Usa una cuenta de trading",IF(AND(G2838&lt;=0,P2838&lt;&gt;"Ajuste",P2838&lt;&gt;"Resultado trading"),"⚠ El monto debe ser positivo","✓")))))))))))))))</f>
        <v/>
      </c>
      <c r="P2838" s="52">
        <f>IF(OR(B2838="",G2838=""),"",IF(C2838="","Gasto",C2838))</f>
        <v/>
      </c>
      <c r="Q2838" s="52">
        <f>IF(P2838="","",IF(J2838&lt;&gt;"",J2838,CuentaPred&amp;""))</f>
        <v/>
      </c>
      <c r="R2838" s="52">
        <f>IF(P2838="","",IF(ISNUMBER(I2838),I2838,TasaUSD))</f>
        <v/>
      </c>
      <c r="S2838" s="53">
        <f>IF(P2838="","",IF(H2838="USD",G2838*R2838,G2838))</f>
        <v/>
      </c>
      <c r="T2838" s="53">
        <f>IF(P2838="","",IF(H2838="USD",G2838,IF(R2838&gt;0,G2838/R2838,0)))</f>
        <v/>
      </c>
      <c r="U2838" s="53">
        <f>IF(P2838="","",IF(P2838="Gasto",S2838,IF(P2838="Reembolso",-S2838,0)))</f>
        <v/>
      </c>
      <c r="V2838" s="53">
        <f>IF(P2838="","",IF(P2838="Ingreso",S2838,0))</f>
        <v/>
      </c>
      <c r="W2838" s="53">
        <f>IF(P2838="","",IF(P2838="Resultado trading",S2838,0))</f>
        <v/>
      </c>
      <c r="X2838" s="52">
        <f>IF(OR(P2838="Gasto",P2838="Reembolso"),IF(M2838&lt;&gt;"",M2838,IFERROR(INDEX(catClasif,MATCH(D2838&amp;"|"&amp;E2838,catClave,0))&amp;"","Variable")),"")</f>
        <v/>
      </c>
      <c r="Y2838" s="52">
        <f>IF(P2838="","",IFERROR(INDEX(catGrupo,MATCH(D2838&amp;"|"&amp;E2838,catClave,0))&amp;"",""))</f>
        <v/>
      </c>
      <c r="Z2838" s="52">
        <f>IF(P2838="","",WEEKDAY(B2838,2))</f>
        <v/>
      </c>
      <c r="AA2838" s="52">
        <f>IF(P2838="","",IF(AND(P2838="Gasto",X2838="Variable",D2838&lt;&gt;catTrading,S2838&gt;0,S2838&lt;=Umbral),1,0))</f>
        <v/>
      </c>
      <c r="AB2838" s="52">
        <f>IF(OR(P2838="",Q2838=""),"",IFERROR(IF(INDEX(ctaVinc,MATCH(Q2838,ctaNombre,0))&amp;""&lt;&gt;"",INDEX(ctaVinc,MATCH(Q2838,ctaNombre,0))&amp;"",Q2838),Q2838))</f>
        <v/>
      </c>
      <c r="AC2838" s="52">
        <f>IF(OR(K2838="",AND(P2838&lt;&gt;"Transferencia",P2838&lt;&gt;"Pago tarjeta")),"",IFERROR(IF(INDEX(ctaVinc,MATCH(K2838,ctaNombre,0))&amp;""&lt;&gt;"",INDEX(ctaVinc,MATCH(K2838,ctaNombre,0))&amp;"",K2838),K2838))</f>
        <v/>
      </c>
      <c r="AD2838" s="52">
        <f>IF(AB2838="","",IFERROR(INDEX(ctaTipo,MATCH(AB2838,ctaNombre,0))&amp;"",""))</f>
        <v/>
      </c>
      <c r="AE2838" s="52">
        <f>IF(AC2838="","",IFERROR(INDEX(ctaTipo,MATCH(AC2838,ctaNombre,0))&amp;"",""))</f>
        <v/>
      </c>
      <c r="AF2838" s="53">
        <f>IF(OR(P2838="",AB2838=""),"",IF(OR(P2838="Gasto",P2838="Transferencia",P2838="Pago tarjeta"),-1,1)*IF(IFERROR(INDEX(ctaMoneda,MATCH(AB2838,ctaNombre,0))&amp;"","DOP")="USD",T2838,S2838))</f>
        <v/>
      </c>
      <c r="AG2838" s="53">
        <f>IF(AC2838="","",IF(IFERROR(INDEX(ctaMoneda,MATCH(AC2838,ctaNombre,0))&amp;"","DOP")="USD",T2838,S2838))</f>
        <v/>
      </c>
      <c r="AH2838" s="53">
        <f>IF(P2838="","",IF(AND(AD2838&lt;&gt;"",COUNTIFS(tcTipo,AD2838,tcLiq,"Sí")&gt;0),IF(OR(P2838="Gasto",P2838="Transferencia",P2838="Pago tarjeta"),-1,1)*S2838,0)+IF(AND(AE2838&lt;&gt;"",COUNTIFS(tcTipo,AE2838,tcLiq,"Sí")&gt;0),S2838,0))</f>
        <v/>
      </c>
      <c r="AI2838" s="52">
        <f>IF(OR(L2838="",P2838=""),"",IF(COUNTIFS(L$6:L2838,L2838,P$6:P2838,"?*")=1,MAX(AI$5:AI2837)+1,""))</f>
        <v/>
      </c>
    </row>
    <row r="2839">
      <c r="B2839" s="47" t="n"/>
      <c r="C2839" s="48" t="n"/>
      <c r="D2839" s="48" t="n"/>
      <c r="E2839" s="48" t="n"/>
      <c r="F2839" s="48" t="n"/>
      <c r="G2839" s="49" t="n"/>
      <c r="H2839" s="48" t="n"/>
      <c r="I2839" s="50" t="n"/>
      <c r="J2839" s="48" t="n"/>
      <c r="K2839" s="48" t="n"/>
      <c r="L2839" s="48" t="n"/>
      <c r="M2839" s="48" t="n"/>
      <c r="N2839" s="48" t="n"/>
      <c r="O2839" s="51">
        <f>IF(AND(B2839="",G2839="",C2839="",D2839="",J2839=""),"",IF(B2839="","⚠ Falta fecha",IF(G2839="","⚠ Falta monto",IF(Q2839="","⚠ Falta cuenta",IF(ISNA(MATCH(Q2839,ctaNombre,0)),"⚠ Cuenta no registrada",IF(AND(OR(P2839="Gasto",P2839="Reembolso"),D2839=""),"⚠ Falta categoría",IF(AND(D2839&lt;&gt;"",E2839&lt;&gt;"",ISNA(MATCH(D2839&amp;"|"&amp;E2839,catClave,0))),"⚠ Subcategoría no corresponde",IF(AND(OR(P2839="Transferencia",P2839="Pago tarjeta"),K2839=""),"⚠ Falta cuenta destino",IF(AND(K2839&lt;&gt;"",P2839&lt;&gt;"Transferencia",P2839&lt;&gt;"Pago tarjeta"),"⚠ Destino solo aplica a transferencias",IF(AND(K2839&lt;&gt;"",K2839=Q2839),"⚠ Origen igual a destino",IF(AND(K2839&lt;&gt;"",ISNA(MATCH(K2839,ctaNombre,0))),"⚠ Destino no registrado",IF(AND(P2839="Pago tarjeta",AE2839&lt;&gt;"Tarjeta de crédito"),"⚠ El destino debe ser tarjeta de crédito",IF(AND(P2839="Gasto",E2839="Depósitos y retiros"),"⚠ Usa tipo Transferencia",IF(AND(P2839="Resultado trading",AD2839&lt;&gt;"Cuenta de trading"),"⚠ Usa una cuenta de trading",IF(AND(G2839&lt;=0,P2839&lt;&gt;"Ajuste",P2839&lt;&gt;"Resultado trading"),"⚠ El monto debe ser positivo","✓")))))))))))))))</f>
        <v/>
      </c>
      <c r="P2839" s="52">
        <f>IF(OR(B2839="",G2839=""),"",IF(C2839="","Gasto",C2839))</f>
        <v/>
      </c>
      <c r="Q2839" s="52">
        <f>IF(P2839="","",IF(J2839&lt;&gt;"",J2839,CuentaPred&amp;""))</f>
        <v/>
      </c>
      <c r="R2839" s="52">
        <f>IF(P2839="","",IF(ISNUMBER(I2839),I2839,TasaUSD))</f>
        <v/>
      </c>
      <c r="S2839" s="53">
        <f>IF(P2839="","",IF(H2839="USD",G2839*R2839,G2839))</f>
        <v/>
      </c>
      <c r="T2839" s="53">
        <f>IF(P2839="","",IF(H2839="USD",G2839,IF(R2839&gt;0,G2839/R2839,0)))</f>
        <v/>
      </c>
      <c r="U2839" s="53">
        <f>IF(P2839="","",IF(P2839="Gasto",S2839,IF(P2839="Reembolso",-S2839,0)))</f>
        <v/>
      </c>
      <c r="V2839" s="53">
        <f>IF(P2839="","",IF(P2839="Ingreso",S2839,0))</f>
        <v/>
      </c>
      <c r="W2839" s="53">
        <f>IF(P2839="","",IF(P2839="Resultado trading",S2839,0))</f>
        <v/>
      </c>
      <c r="X2839" s="52">
        <f>IF(OR(P2839="Gasto",P2839="Reembolso"),IF(M2839&lt;&gt;"",M2839,IFERROR(INDEX(catClasif,MATCH(D2839&amp;"|"&amp;E2839,catClave,0))&amp;"","Variable")),"")</f>
        <v/>
      </c>
      <c r="Y2839" s="52">
        <f>IF(P2839="","",IFERROR(INDEX(catGrupo,MATCH(D2839&amp;"|"&amp;E2839,catClave,0))&amp;"",""))</f>
        <v/>
      </c>
      <c r="Z2839" s="52">
        <f>IF(P2839="","",WEEKDAY(B2839,2))</f>
        <v/>
      </c>
      <c r="AA2839" s="52">
        <f>IF(P2839="","",IF(AND(P2839="Gasto",X2839="Variable",D2839&lt;&gt;catTrading,S2839&gt;0,S2839&lt;=Umbral),1,0))</f>
        <v/>
      </c>
      <c r="AB2839" s="52">
        <f>IF(OR(P2839="",Q2839=""),"",IFERROR(IF(INDEX(ctaVinc,MATCH(Q2839,ctaNombre,0))&amp;""&lt;&gt;"",INDEX(ctaVinc,MATCH(Q2839,ctaNombre,0))&amp;"",Q2839),Q2839))</f>
        <v/>
      </c>
      <c r="AC2839" s="52">
        <f>IF(OR(K2839="",AND(P2839&lt;&gt;"Transferencia",P2839&lt;&gt;"Pago tarjeta")),"",IFERROR(IF(INDEX(ctaVinc,MATCH(K2839,ctaNombre,0))&amp;""&lt;&gt;"",INDEX(ctaVinc,MATCH(K2839,ctaNombre,0))&amp;"",K2839),K2839))</f>
        <v/>
      </c>
      <c r="AD2839" s="52">
        <f>IF(AB2839="","",IFERROR(INDEX(ctaTipo,MATCH(AB2839,ctaNombre,0))&amp;"",""))</f>
        <v/>
      </c>
      <c r="AE2839" s="52">
        <f>IF(AC2839="","",IFERROR(INDEX(ctaTipo,MATCH(AC2839,ctaNombre,0))&amp;"",""))</f>
        <v/>
      </c>
      <c r="AF2839" s="53">
        <f>IF(OR(P2839="",AB2839=""),"",IF(OR(P2839="Gasto",P2839="Transferencia",P2839="Pago tarjeta"),-1,1)*IF(IFERROR(INDEX(ctaMoneda,MATCH(AB2839,ctaNombre,0))&amp;"","DOP")="USD",T2839,S2839))</f>
        <v/>
      </c>
      <c r="AG2839" s="53">
        <f>IF(AC2839="","",IF(IFERROR(INDEX(ctaMoneda,MATCH(AC2839,ctaNombre,0))&amp;"","DOP")="USD",T2839,S2839))</f>
        <v/>
      </c>
      <c r="AH2839" s="53">
        <f>IF(P2839="","",IF(AND(AD2839&lt;&gt;"",COUNTIFS(tcTipo,AD2839,tcLiq,"Sí")&gt;0),IF(OR(P2839="Gasto",P2839="Transferencia",P2839="Pago tarjeta"),-1,1)*S2839,0)+IF(AND(AE2839&lt;&gt;"",COUNTIFS(tcTipo,AE2839,tcLiq,"Sí")&gt;0),S2839,0))</f>
        <v/>
      </c>
      <c r="AI2839" s="52">
        <f>IF(OR(L2839="",P2839=""),"",IF(COUNTIFS(L$6:L2839,L2839,P$6:P2839,"?*")=1,MAX(AI$5:AI2838)+1,""))</f>
        <v/>
      </c>
    </row>
    <row r="2840">
      <c r="B2840" s="47" t="n"/>
      <c r="C2840" s="48" t="n"/>
      <c r="D2840" s="48" t="n"/>
      <c r="E2840" s="48" t="n"/>
      <c r="F2840" s="48" t="n"/>
      <c r="G2840" s="49" t="n"/>
      <c r="H2840" s="48" t="n"/>
      <c r="I2840" s="50" t="n"/>
      <c r="J2840" s="48" t="n"/>
      <c r="K2840" s="48" t="n"/>
      <c r="L2840" s="48" t="n"/>
      <c r="M2840" s="48" t="n"/>
      <c r="N2840" s="48" t="n"/>
      <c r="O2840" s="51">
        <f>IF(AND(B2840="",G2840="",C2840="",D2840="",J2840=""),"",IF(B2840="","⚠ Falta fecha",IF(G2840="","⚠ Falta monto",IF(Q2840="","⚠ Falta cuenta",IF(ISNA(MATCH(Q2840,ctaNombre,0)),"⚠ Cuenta no registrada",IF(AND(OR(P2840="Gasto",P2840="Reembolso"),D2840=""),"⚠ Falta categoría",IF(AND(D2840&lt;&gt;"",E2840&lt;&gt;"",ISNA(MATCH(D2840&amp;"|"&amp;E2840,catClave,0))),"⚠ Subcategoría no corresponde",IF(AND(OR(P2840="Transferencia",P2840="Pago tarjeta"),K2840=""),"⚠ Falta cuenta destino",IF(AND(K2840&lt;&gt;"",P2840&lt;&gt;"Transferencia",P2840&lt;&gt;"Pago tarjeta"),"⚠ Destino solo aplica a transferencias",IF(AND(K2840&lt;&gt;"",K2840=Q2840),"⚠ Origen igual a destino",IF(AND(K2840&lt;&gt;"",ISNA(MATCH(K2840,ctaNombre,0))),"⚠ Destino no registrado",IF(AND(P2840="Pago tarjeta",AE2840&lt;&gt;"Tarjeta de crédito"),"⚠ El destino debe ser tarjeta de crédito",IF(AND(P2840="Gasto",E2840="Depósitos y retiros"),"⚠ Usa tipo Transferencia",IF(AND(P2840="Resultado trading",AD2840&lt;&gt;"Cuenta de trading"),"⚠ Usa una cuenta de trading",IF(AND(G2840&lt;=0,P2840&lt;&gt;"Ajuste",P2840&lt;&gt;"Resultado trading"),"⚠ El monto debe ser positivo","✓")))))))))))))))</f>
        <v/>
      </c>
      <c r="P2840" s="52">
        <f>IF(OR(B2840="",G2840=""),"",IF(C2840="","Gasto",C2840))</f>
        <v/>
      </c>
      <c r="Q2840" s="52">
        <f>IF(P2840="","",IF(J2840&lt;&gt;"",J2840,CuentaPred&amp;""))</f>
        <v/>
      </c>
      <c r="R2840" s="52">
        <f>IF(P2840="","",IF(ISNUMBER(I2840),I2840,TasaUSD))</f>
        <v/>
      </c>
      <c r="S2840" s="53">
        <f>IF(P2840="","",IF(H2840="USD",G2840*R2840,G2840))</f>
        <v/>
      </c>
      <c r="T2840" s="53">
        <f>IF(P2840="","",IF(H2840="USD",G2840,IF(R2840&gt;0,G2840/R2840,0)))</f>
        <v/>
      </c>
      <c r="U2840" s="53">
        <f>IF(P2840="","",IF(P2840="Gasto",S2840,IF(P2840="Reembolso",-S2840,0)))</f>
        <v/>
      </c>
      <c r="V2840" s="53">
        <f>IF(P2840="","",IF(P2840="Ingreso",S2840,0))</f>
        <v/>
      </c>
      <c r="W2840" s="53">
        <f>IF(P2840="","",IF(P2840="Resultado trading",S2840,0))</f>
        <v/>
      </c>
      <c r="X2840" s="52">
        <f>IF(OR(P2840="Gasto",P2840="Reembolso"),IF(M2840&lt;&gt;"",M2840,IFERROR(INDEX(catClasif,MATCH(D2840&amp;"|"&amp;E2840,catClave,0))&amp;"","Variable")),"")</f>
        <v/>
      </c>
      <c r="Y2840" s="52">
        <f>IF(P2840="","",IFERROR(INDEX(catGrupo,MATCH(D2840&amp;"|"&amp;E2840,catClave,0))&amp;"",""))</f>
        <v/>
      </c>
      <c r="Z2840" s="52">
        <f>IF(P2840="","",WEEKDAY(B2840,2))</f>
        <v/>
      </c>
      <c r="AA2840" s="52">
        <f>IF(P2840="","",IF(AND(P2840="Gasto",X2840="Variable",D2840&lt;&gt;catTrading,S2840&gt;0,S2840&lt;=Umbral),1,0))</f>
        <v/>
      </c>
      <c r="AB2840" s="52">
        <f>IF(OR(P2840="",Q2840=""),"",IFERROR(IF(INDEX(ctaVinc,MATCH(Q2840,ctaNombre,0))&amp;""&lt;&gt;"",INDEX(ctaVinc,MATCH(Q2840,ctaNombre,0))&amp;"",Q2840),Q2840))</f>
        <v/>
      </c>
      <c r="AC2840" s="52">
        <f>IF(OR(K2840="",AND(P2840&lt;&gt;"Transferencia",P2840&lt;&gt;"Pago tarjeta")),"",IFERROR(IF(INDEX(ctaVinc,MATCH(K2840,ctaNombre,0))&amp;""&lt;&gt;"",INDEX(ctaVinc,MATCH(K2840,ctaNombre,0))&amp;"",K2840),K2840))</f>
        <v/>
      </c>
      <c r="AD2840" s="52">
        <f>IF(AB2840="","",IFERROR(INDEX(ctaTipo,MATCH(AB2840,ctaNombre,0))&amp;"",""))</f>
        <v/>
      </c>
      <c r="AE2840" s="52">
        <f>IF(AC2840="","",IFERROR(INDEX(ctaTipo,MATCH(AC2840,ctaNombre,0))&amp;"",""))</f>
        <v/>
      </c>
      <c r="AF2840" s="53">
        <f>IF(OR(P2840="",AB2840=""),"",IF(OR(P2840="Gasto",P2840="Transferencia",P2840="Pago tarjeta"),-1,1)*IF(IFERROR(INDEX(ctaMoneda,MATCH(AB2840,ctaNombre,0))&amp;"","DOP")="USD",T2840,S2840))</f>
        <v/>
      </c>
      <c r="AG2840" s="53">
        <f>IF(AC2840="","",IF(IFERROR(INDEX(ctaMoneda,MATCH(AC2840,ctaNombre,0))&amp;"","DOP")="USD",T2840,S2840))</f>
        <v/>
      </c>
      <c r="AH2840" s="53">
        <f>IF(P2840="","",IF(AND(AD2840&lt;&gt;"",COUNTIFS(tcTipo,AD2840,tcLiq,"Sí")&gt;0),IF(OR(P2840="Gasto",P2840="Transferencia",P2840="Pago tarjeta"),-1,1)*S2840,0)+IF(AND(AE2840&lt;&gt;"",COUNTIFS(tcTipo,AE2840,tcLiq,"Sí")&gt;0),S2840,0))</f>
        <v/>
      </c>
      <c r="AI2840" s="52">
        <f>IF(OR(L2840="",P2840=""),"",IF(COUNTIFS(L$6:L2840,L2840,P$6:P2840,"?*")=1,MAX(AI$5:AI2839)+1,""))</f>
        <v/>
      </c>
    </row>
    <row r="2841">
      <c r="B2841" s="47" t="n"/>
      <c r="C2841" s="48" t="n"/>
      <c r="D2841" s="48" t="n"/>
      <c r="E2841" s="48" t="n"/>
      <c r="F2841" s="48" t="n"/>
      <c r="G2841" s="49" t="n"/>
      <c r="H2841" s="48" t="n"/>
      <c r="I2841" s="50" t="n"/>
      <c r="J2841" s="48" t="n"/>
      <c r="K2841" s="48" t="n"/>
      <c r="L2841" s="48" t="n"/>
      <c r="M2841" s="48" t="n"/>
      <c r="N2841" s="48" t="n"/>
      <c r="O2841" s="51">
        <f>IF(AND(B2841="",G2841="",C2841="",D2841="",J2841=""),"",IF(B2841="","⚠ Falta fecha",IF(G2841="","⚠ Falta monto",IF(Q2841="","⚠ Falta cuenta",IF(ISNA(MATCH(Q2841,ctaNombre,0)),"⚠ Cuenta no registrada",IF(AND(OR(P2841="Gasto",P2841="Reembolso"),D2841=""),"⚠ Falta categoría",IF(AND(D2841&lt;&gt;"",E2841&lt;&gt;"",ISNA(MATCH(D2841&amp;"|"&amp;E2841,catClave,0))),"⚠ Subcategoría no corresponde",IF(AND(OR(P2841="Transferencia",P2841="Pago tarjeta"),K2841=""),"⚠ Falta cuenta destino",IF(AND(K2841&lt;&gt;"",P2841&lt;&gt;"Transferencia",P2841&lt;&gt;"Pago tarjeta"),"⚠ Destino solo aplica a transferencias",IF(AND(K2841&lt;&gt;"",K2841=Q2841),"⚠ Origen igual a destino",IF(AND(K2841&lt;&gt;"",ISNA(MATCH(K2841,ctaNombre,0))),"⚠ Destino no registrado",IF(AND(P2841="Pago tarjeta",AE2841&lt;&gt;"Tarjeta de crédito"),"⚠ El destino debe ser tarjeta de crédito",IF(AND(P2841="Gasto",E2841="Depósitos y retiros"),"⚠ Usa tipo Transferencia",IF(AND(P2841="Resultado trading",AD2841&lt;&gt;"Cuenta de trading"),"⚠ Usa una cuenta de trading",IF(AND(G2841&lt;=0,P2841&lt;&gt;"Ajuste",P2841&lt;&gt;"Resultado trading"),"⚠ El monto debe ser positivo","✓")))))))))))))))</f>
        <v/>
      </c>
      <c r="P2841" s="52">
        <f>IF(OR(B2841="",G2841=""),"",IF(C2841="","Gasto",C2841))</f>
        <v/>
      </c>
      <c r="Q2841" s="52">
        <f>IF(P2841="","",IF(J2841&lt;&gt;"",J2841,CuentaPred&amp;""))</f>
        <v/>
      </c>
      <c r="R2841" s="52">
        <f>IF(P2841="","",IF(ISNUMBER(I2841),I2841,TasaUSD))</f>
        <v/>
      </c>
      <c r="S2841" s="53">
        <f>IF(P2841="","",IF(H2841="USD",G2841*R2841,G2841))</f>
        <v/>
      </c>
      <c r="T2841" s="53">
        <f>IF(P2841="","",IF(H2841="USD",G2841,IF(R2841&gt;0,G2841/R2841,0)))</f>
        <v/>
      </c>
      <c r="U2841" s="53">
        <f>IF(P2841="","",IF(P2841="Gasto",S2841,IF(P2841="Reembolso",-S2841,0)))</f>
        <v/>
      </c>
      <c r="V2841" s="53">
        <f>IF(P2841="","",IF(P2841="Ingreso",S2841,0))</f>
        <v/>
      </c>
      <c r="W2841" s="53">
        <f>IF(P2841="","",IF(P2841="Resultado trading",S2841,0))</f>
        <v/>
      </c>
      <c r="X2841" s="52">
        <f>IF(OR(P2841="Gasto",P2841="Reembolso"),IF(M2841&lt;&gt;"",M2841,IFERROR(INDEX(catClasif,MATCH(D2841&amp;"|"&amp;E2841,catClave,0))&amp;"","Variable")),"")</f>
        <v/>
      </c>
      <c r="Y2841" s="52">
        <f>IF(P2841="","",IFERROR(INDEX(catGrupo,MATCH(D2841&amp;"|"&amp;E2841,catClave,0))&amp;"",""))</f>
        <v/>
      </c>
      <c r="Z2841" s="52">
        <f>IF(P2841="","",WEEKDAY(B2841,2))</f>
        <v/>
      </c>
      <c r="AA2841" s="52">
        <f>IF(P2841="","",IF(AND(P2841="Gasto",X2841="Variable",D2841&lt;&gt;catTrading,S2841&gt;0,S2841&lt;=Umbral),1,0))</f>
        <v/>
      </c>
      <c r="AB2841" s="52">
        <f>IF(OR(P2841="",Q2841=""),"",IFERROR(IF(INDEX(ctaVinc,MATCH(Q2841,ctaNombre,0))&amp;""&lt;&gt;"",INDEX(ctaVinc,MATCH(Q2841,ctaNombre,0))&amp;"",Q2841),Q2841))</f>
        <v/>
      </c>
      <c r="AC2841" s="52">
        <f>IF(OR(K2841="",AND(P2841&lt;&gt;"Transferencia",P2841&lt;&gt;"Pago tarjeta")),"",IFERROR(IF(INDEX(ctaVinc,MATCH(K2841,ctaNombre,0))&amp;""&lt;&gt;"",INDEX(ctaVinc,MATCH(K2841,ctaNombre,0))&amp;"",K2841),K2841))</f>
        <v/>
      </c>
      <c r="AD2841" s="52">
        <f>IF(AB2841="","",IFERROR(INDEX(ctaTipo,MATCH(AB2841,ctaNombre,0))&amp;"",""))</f>
        <v/>
      </c>
      <c r="AE2841" s="52">
        <f>IF(AC2841="","",IFERROR(INDEX(ctaTipo,MATCH(AC2841,ctaNombre,0))&amp;"",""))</f>
        <v/>
      </c>
      <c r="AF2841" s="53">
        <f>IF(OR(P2841="",AB2841=""),"",IF(OR(P2841="Gasto",P2841="Transferencia",P2841="Pago tarjeta"),-1,1)*IF(IFERROR(INDEX(ctaMoneda,MATCH(AB2841,ctaNombre,0))&amp;"","DOP")="USD",T2841,S2841))</f>
        <v/>
      </c>
      <c r="AG2841" s="53">
        <f>IF(AC2841="","",IF(IFERROR(INDEX(ctaMoneda,MATCH(AC2841,ctaNombre,0))&amp;"","DOP")="USD",T2841,S2841))</f>
        <v/>
      </c>
      <c r="AH2841" s="53">
        <f>IF(P2841="","",IF(AND(AD2841&lt;&gt;"",COUNTIFS(tcTipo,AD2841,tcLiq,"Sí")&gt;0),IF(OR(P2841="Gasto",P2841="Transferencia",P2841="Pago tarjeta"),-1,1)*S2841,0)+IF(AND(AE2841&lt;&gt;"",COUNTIFS(tcTipo,AE2841,tcLiq,"Sí")&gt;0),S2841,0))</f>
        <v/>
      </c>
      <c r="AI2841" s="52">
        <f>IF(OR(L2841="",P2841=""),"",IF(COUNTIFS(L$6:L2841,L2841,P$6:P2841,"?*")=1,MAX(AI$5:AI2840)+1,""))</f>
        <v/>
      </c>
    </row>
    <row r="2842">
      <c r="B2842" s="47" t="n"/>
      <c r="C2842" s="48" t="n"/>
      <c r="D2842" s="48" t="n"/>
      <c r="E2842" s="48" t="n"/>
      <c r="F2842" s="48" t="n"/>
      <c r="G2842" s="49" t="n"/>
      <c r="H2842" s="48" t="n"/>
      <c r="I2842" s="50" t="n"/>
      <c r="J2842" s="48" t="n"/>
      <c r="K2842" s="48" t="n"/>
      <c r="L2842" s="48" t="n"/>
      <c r="M2842" s="48" t="n"/>
      <c r="N2842" s="48" t="n"/>
      <c r="O2842" s="51">
        <f>IF(AND(B2842="",G2842="",C2842="",D2842="",J2842=""),"",IF(B2842="","⚠ Falta fecha",IF(G2842="","⚠ Falta monto",IF(Q2842="","⚠ Falta cuenta",IF(ISNA(MATCH(Q2842,ctaNombre,0)),"⚠ Cuenta no registrada",IF(AND(OR(P2842="Gasto",P2842="Reembolso"),D2842=""),"⚠ Falta categoría",IF(AND(D2842&lt;&gt;"",E2842&lt;&gt;"",ISNA(MATCH(D2842&amp;"|"&amp;E2842,catClave,0))),"⚠ Subcategoría no corresponde",IF(AND(OR(P2842="Transferencia",P2842="Pago tarjeta"),K2842=""),"⚠ Falta cuenta destino",IF(AND(K2842&lt;&gt;"",P2842&lt;&gt;"Transferencia",P2842&lt;&gt;"Pago tarjeta"),"⚠ Destino solo aplica a transferencias",IF(AND(K2842&lt;&gt;"",K2842=Q2842),"⚠ Origen igual a destino",IF(AND(K2842&lt;&gt;"",ISNA(MATCH(K2842,ctaNombre,0))),"⚠ Destino no registrado",IF(AND(P2842="Pago tarjeta",AE2842&lt;&gt;"Tarjeta de crédito"),"⚠ El destino debe ser tarjeta de crédito",IF(AND(P2842="Gasto",E2842="Depósitos y retiros"),"⚠ Usa tipo Transferencia",IF(AND(P2842="Resultado trading",AD2842&lt;&gt;"Cuenta de trading"),"⚠ Usa una cuenta de trading",IF(AND(G2842&lt;=0,P2842&lt;&gt;"Ajuste",P2842&lt;&gt;"Resultado trading"),"⚠ El monto debe ser positivo","✓")))))))))))))))</f>
        <v/>
      </c>
      <c r="P2842" s="52">
        <f>IF(OR(B2842="",G2842=""),"",IF(C2842="","Gasto",C2842))</f>
        <v/>
      </c>
      <c r="Q2842" s="52">
        <f>IF(P2842="","",IF(J2842&lt;&gt;"",J2842,CuentaPred&amp;""))</f>
        <v/>
      </c>
      <c r="R2842" s="52">
        <f>IF(P2842="","",IF(ISNUMBER(I2842),I2842,TasaUSD))</f>
        <v/>
      </c>
      <c r="S2842" s="53">
        <f>IF(P2842="","",IF(H2842="USD",G2842*R2842,G2842))</f>
        <v/>
      </c>
      <c r="T2842" s="53">
        <f>IF(P2842="","",IF(H2842="USD",G2842,IF(R2842&gt;0,G2842/R2842,0)))</f>
        <v/>
      </c>
      <c r="U2842" s="53">
        <f>IF(P2842="","",IF(P2842="Gasto",S2842,IF(P2842="Reembolso",-S2842,0)))</f>
        <v/>
      </c>
      <c r="V2842" s="53">
        <f>IF(P2842="","",IF(P2842="Ingreso",S2842,0))</f>
        <v/>
      </c>
      <c r="W2842" s="53">
        <f>IF(P2842="","",IF(P2842="Resultado trading",S2842,0))</f>
        <v/>
      </c>
      <c r="X2842" s="52">
        <f>IF(OR(P2842="Gasto",P2842="Reembolso"),IF(M2842&lt;&gt;"",M2842,IFERROR(INDEX(catClasif,MATCH(D2842&amp;"|"&amp;E2842,catClave,0))&amp;"","Variable")),"")</f>
        <v/>
      </c>
      <c r="Y2842" s="52">
        <f>IF(P2842="","",IFERROR(INDEX(catGrupo,MATCH(D2842&amp;"|"&amp;E2842,catClave,0))&amp;"",""))</f>
        <v/>
      </c>
      <c r="Z2842" s="52">
        <f>IF(P2842="","",WEEKDAY(B2842,2))</f>
        <v/>
      </c>
      <c r="AA2842" s="52">
        <f>IF(P2842="","",IF(AND(P2842="Gasto",X2842="Variable",D2842&lt;&gt;catTrading,S2842&gt;0,S2842&lt;=Umbral),1,0))</f>
        <v/>
      </c>
      <c r="AB2842" s="52">
        <f>IF(OR(P2842="",Q2842=""),"",IFERROR(IF(INDEX(ctaVinc,MATCH(Q2842,ctaNombre,0))&amp;""&lt;&gt;"",INDEX(ctaVinc,MATCH(Q2842,ctaNombre,0))&amp;"",Q2842),Q2842))</f>
        <v/>
      </c>
      <c r="AC2842" s="52">
        <f>IF(OR(K2842="",AND(P2842&lt;&gt;"Transferencia",P2842&lt;&gt;"Pago tarjeta")),"",IFERROR(IF(INDEX(ctaVinc,MATCH(K2842,ctaNombre,0))&amp;""&lt;&gt;"",INDEX(ctaVinc,MATCH(K2842,ctaNombre,0))&amp;"",K2842),K2842))</f>
        <v/>
      </c>
      <c r="AD2842" s="52">
        <f>IF(AB2842="","",IFERROR(INDEX(ctaTipo,MATCH(AB2842,ctaNombre,0))&amp;"",""))</f>
        <v/>
      </c>
      <c r="AE2842" s="52">
        <f>IF(AC2842="","",IFERROR(INDEX(ctaTipo,MATCH(AC2842,ctaNombre,0))&amp;"",""))</f>
        <v/>
      </c>
      <c r="AF2842" s="53">
        <f>IF(OR(P2842="",AB2842=""),"",IF(OR(P2842="Gasto",P2842="Transferencia",P2842="Pago tarjeta"),-1,1)*IF(IFERROR(INDEX(ctaMoneda,MATCH(AB2842,ctaNombre,0))&amp;"","DOP")="USD",T2842,S2842))</f>
        <v/>
      </c>
      <c r="AG2842" s="53">
        <f>IF(AC2842="","",IF(IFERROR(INDEX(ctaMoneda,MATCH(AC2842,ctaNombre,0))&amp;"","DOP")="USD",T2842,S2842))</f>
        <v/>
      </c>
      <c r="AH2842" s="53">
        <f>IF(P2842="","",IF(AND(AD2842&lt;&gt;"",COUNTIFS(tcTipo,AD2842,tcLiq,"Sí")&gt;0),IF(OR(P2842="Gasto",P2842="Transferencia",P2842="Pago tarjeta"),-1,1)*S2842,0)+IF(AND(AE2842&lt;&gt;"",COUNTIFS(tcTipo,AE2842,tcLiq,"Sí")&gt;0),S2842,0))</f>
        <v/>
      </c>
      <c r="AI2842" s="52">
        <f>IF(OR(L2842="",P2842=""),"",IF(COUNTIFS(L$6:L2842,L2842,P$6:P2842,"?*")=1,MAX(AI$5:AI2841)+1,""))</f>
        <v/>
      </c>
    </row>
    <row r="2843">
      <c r="B2843" s="47" t="n"/>
      <c r="C2843" s="48" t="n"/>
      <c r="D2843" s="48" t="n"/>
      <c r="E2843" s="48" t="n"/>
      <c r="F2843" s="48" t="n"/>
      <c r="G2843" s="49" t="n"/>
      <c r="H2843" s="48" t="n"/>
      <c r="I2843" s="50" t="n"/>
      <c r="J2843" s="48" t="n"/>
      <c r="K2843" s="48" t="n"/>
      <c r="L2843" s="48" t="n"/>
      <c r="M2843" s="48" t="n"/>
      <c r="N2843" s="48" t="n"/>
      <c r="O2843" s="51">
        <f>IF(AND(B2843="",G2843="",C2843="",D2843="",J2843=""),"",IF(B2843="","⚠ Falta fecha",IF(G2843="","⚠ Falta monto",IF(Q2843="","⚠ Falta cuenta",IF(ISNA(MATCH(Q2843,ctaNombre,0)),"⚠ Cuenta no registrada",IF(AND(OR(P2843="Gasto",P2843="Reembolso"),D2843=""),"⚠ Falta categoría",IF(AND(D2843&lt;&gt;"",E2843&lt;&gt;"",ISNA(MATCH(D2843&amp;"|"&amp;E2843,catClave,0))),"⚠ Subcategoría no corresponde",IF(AND(OR(P2843="Transferencia",P2843="Pago tarjeta"),K2843=""),"⚠ Falta cuenta destino",IF(AND(K2843&lt;&gt;"",P2843&lt;&gt;"Transferencia",P2843&lt;&gt;"Pago tarjeta"),"⚠ Destino solo aplica a transferencias",IF(AND(K2843&lt;&gt;"",K2843=Q2843),"⚠ Origen igual a destino",IF(AND(K2843&lt;&gt;"",ISNA(MATCH(K2843,ctaNombre,0))),"⚠ Destino no registrado",IF(AND(P2843="Pago tarjeta",AE2843&lt;&gt;"Tarjeta de crédito"),"⚠ El destino debe ser tarjeta de crédito",IF(AND(P2843="Gasto",E2843="Depósitos y retiros"),"⚠ Usa tipo Transferencia",IF(AND(P2843="Resultado trading",AD2843&lt;&gt;"Cuenta de trading"),"⚠ Usa una cuenta de trading",IF(AND(G2843&lt;=0,P2843&lt;&gt;"Ajuste",P2843&lt;&gt;"Resultado trading"),"⚠ El monto debe ser positivo","✓")))))))))))))))</f>
        <v/>
      </c>
      <c r="P2843" s="52">
        <f>IF(OR(B2843="",G2843=""),"",IF(C2843="","Gasto",C2843))</f>
        <v/>
      </c>
      <c r="Q2843" s="52">
        <f>IF(P2843="","",IF(J2843&lt;&gt;"",J2843,CuentaPred&amp;""))</f>
        <v/>
      </c>
      <c r="R2843" s="52">
        <f>IF(P2843="","",IF(ISNUMBER(I2843),I2843,TasaUSD))</f>
        <v/>
      </c>
      <c r="S2843" s="53">
        <f>IF(P2843="","",IF(H2843="USD",G2843*R2843,G2843))</f>
        <v/>
      </c>
      <c r="T2843" s="53">
        <f>IF(P2843="","",IF(H2843="USD",G2843,IF(R2843&gt;0,G2843/R2843,0)))</f>
        <v/>
      </c>
      <c r="U2843" s="53">
        <f>IF(P2843="","",IF(P2843="Gasto",S2843,IF(P2843="Reembolso",-S2843,0)))</f>
        <v/>
      </c>
      <c r="V2843" s="53">
        <f>IF(P2843="","",IF(P2843="Ingreso",S2843,0))</f>
        <v/>
      </c>
      <c r="W2843" s="53">
        <f>IF(P2843="","",IF(P2843="Resultado trading",S2843,0))</f>
        <v/>
      </c>
      <c r="X2843" s="52">
        <f>IF(OR(P2843="Gasto",P2843="Reembolso"),IF(M2843&lt;&gt;"",M2843,IFERROR(INDEX(catClasif,MATCH(D2843&amp;"|"&amp;E2843,catClave,0))&amp;"","Variable")),"")</f>
        <v/>
      </c>
      <c r="Y2843" s="52">
        <f>IF(P2843="","",IFERROR(INDEX(catGrupo,MATCH(D2843&amp;"|"&amp;E2843,catClave,0))&amp;"",""))</f>
        <v/>
      </c>
      <c r="Z2843" s="52">
        <f>IF(P2843="","",WEEKDAY(B2843,2))</f>
        <v/>
      </c>
      <c r="AA2843" s="52">
        <f>IF(P2843="","",IF(AND(P2843="Gasto",X2843="Variable",D2843&lt;&gt;catTrading,S2843&gt;0,S2843&lt;=Umbral),1,0))</f>
        <v/>
      </c>
      <c r="AB2843" s="52">
        <f>IF(OR(P2843="",Q2843=""),"",IFERROR(IF(INDEX(ctaVinc,MATCH(Q2843,ctaNombre,0))&amp;""&lt;&gt;"",INDEX(ctaVinc,MATCH(Q2843,ctaNombre,0))&amp;"",Q2843),Q2843))</f>
        <v/>
      </c>
      <c r="AC2843" s="52">
        <f>IF(OR(K2843="",AND(P2843&lt;&gt;"Transferencia",P2843&lt;&gt;"Pago tarjeta")),"",IFERROR(IF(INDEX(ctaVinc,MATCH(K2843,ctaNombre,0))&amp;""&lt;&gt;"",INDEX(ctaVinc,MATCH(K2843,ctaNombre,0))&amp;"",K2843),K2843))</f>
        <v/>
      </c>
      <c r="AD2843" s="52">
        <f>IF(AB2843="","",IFERROR(INDEX(ctaTipo,MATCH(AB2843,ctaNombre,0))&amp;"",""))</f>
        <v/>
      </c>
      <c r="AE2843" s="52">
        <f>IF(AC2843="","",IFERROR(INDEX(ctaTipo,MATCH(AC2843,ctaNombre,0))&amp;"",""))</f>
        <v/>
      </c>
      <c r="AF2843" s="53">
        <f>IF(OR(P2843="",AB2843=""),"",IF(OR(P2843="Gasto",P2843="Transferencia",P2843="Pago tarjeta"),-1,1)*IF(IFERROR(INDEX(ctaMoneda,MATCH(AB2843,ctaNombre,0))&amp;"","DOP")="USD",T2843,S2843))</f>
        <v/>
      </c>
      <c r="AG2843" s="53">
        <f>IF(AC2843="","",IF(IFERROR(INDEX(ctaMoneda,MATCH(AC2843,ctaNombre,0))&amp;"","DOP")="USD",T2843,S2843))</f>
        <v/>
      </c>
      <c r="AH2843" s="53">
        <f>IF(P2843="","",IF(AND(AD2843&lt;&gt;"",COUNTIFS(tcTipo,AD2843,tcLiq,"Sí")&gt;0),IF(OR(P2843="Gasto",P2843="Transferencia",P2843="Pago tarjeta"),-1,1)*S2843,0)+IF(AND(AE2843&lt;&gt;"",COUNTIFS(tcTipo,AE2843,tcLiq,"Sí")&gt;0),S2843,0))</f>
        <v/>
      </c>
      <c r="AI2843" s="52">
        <f>IF(OR(L2843="",P2843=""),"",IF(COUNTIFS(L$6:L2843,L2843,P$6:P2843,"?*")=1,MAX(AI$5:AI2842)+1,""))</f>
        <v/>
      </c>
    </row>
    <row r="2844">
      <c r="B2844" s="47" t="n"/>
      <c r="C2844" s="48" t="n"/>
      <c r="D2844" s="48" t="n"/>
      <c r="E2844" s="48" t="n"/>
      <c r="F2844" s="48" t="n"/>
      <c r="G2844" s="49" t="n"/>
      <c r="H2844" s="48" t="n"/>
      <c r="I2844" s="50" t="n"/>
      <c r="J2844" s="48" t="n"/>
      <c r="K2844" s="48" t="n"/>
      <c r="L2844" s="48" t="n"/>
      <c r="M2844" s="48" t="n"/>
      <c r="N2844" s="48" t="n"/>
      <c r="O2844" s="51">
        <f>IF(AND(B2844="",G2844="",C2844="",D2844="",J2844=""),"",IF(B2844="","⚠ Falta fecha",IF(G2844="","⚠ Falta monto",IF(Q2844="","⚠ Falta cuenta",IF(ISNA(MATCH(Q2844,ctaNombre,0)),"⚠ Cuenta no registrada",IF(AND(OR(P2844="Gasto",P2844="Reembolso"),D2844=""),"⚠ Falta categoría",IF(AND(D2844&lt;&gt;"",E2844&lt;&gt;"",ISNA(MATCH(D2844&amp;"|"&amp;E2844,catClave,0))),"⚠ Subcategoría no corresponde",IF(AND(OR(P2844="Transferencia",P2844="Pago tarjeta"),K2844=""),"⚠ Falta cuenta destino",IF(AND(K2844&lt;&gt;"",P2844&lt;&gt;"Transferencia",P2844&lt;&gt;"Pago tarjeta"),"⚠ Destino solo aplica a transferencias",IF(AND(K2844&lt;&gt;"",K2844=Q2844),"⚠ Origen igual a destino",IF(AND(K2844&lt;&gt;"",ISNA(MATCH(K2844,ctaNombre,0))),"⚠ Destino no registrado",IF(AND(P2844="Pago tarjeta",AE2844&lt;&gt;"Tarjeta de crédito"),"⚠ El destino debe ser tarjeta de crédito",IF(AND(P2844="Gasto",E2844="Depósitos y retiros"),"⚠ Usa tipo Transferencia",IF(AND(P2844="Resultado trading",AD2844&lt;&gt;"Cuenta de trading"),"⚠ Usa una cuenta de trading",IF(AND(G2844&lt;=0,P2844&lt;&gt;"Ajuste",P2844&lt;&gt;"Resultado trading"),"⚠ El monto debe ser positivo","✓")))))))))))))))</f>
        <v/>
      </c>
      <c r="P2844" s="52">
        <f>IF(OR(B2844="",G2844=""),"",IF(C2844="","Gasto",C2844))</f>
        <v/>
      </c>
      <c r="Q2844" s="52">
        <f>IF(P2844="","",IF(J2844&lt;&gt;"",J2844,CuentaPred&amp;""))</f>
        <v/>
      </c>
      <c r="R2844" s="52">
        <f>IF(P2844="","",IF(ISNUMBER(I2844),I2844,TasaUSD))</f>
        <v/>
      </c>
      <c r="S2844" s="53">
        <f>IF(P2844="","",IF(H2844="USD",G2844*R2844,G2844))</f>
        <v/>
      </c>
      <c r="T2844" s="53">
        <f>IF(P2844="","",IF(H2844="USD",G2844,IF(R2844&gt;0,G2844/R2844,0)))</f>
        <v/>
      </c>
      <c r="U2844" s="53">
        <f>IF(P2844="","",IF(P2844="Gasto",S2844,IF(P2844="Reembolso",-S2844,0)))</f>
        <v/>
      </c>
      <c r="V2844" s="53">
        <f>IF(P2844="","",IF(P2844="Ingreso",S2844,0))</f>
        <v/>
      </c>
      <c r="W2844" s="53">
        <f>IF(P2844="","",IF(P2844="Resultado trading",S2844,0))</f>
        <v/>
      </c>
      <c r="X2844" s="52">
        <f>IF(OR(P2844="Gasto",P2844="Reembolso"),IF(M2844&lt;&gt;"",M2844,IFERROR(INDEX(catClasif,MATCH(D2844&amp;"|"&amp;E2844,catClave,0))&amp;"","Variable")),"")</f>
        <v/>
      </c>
      <c r="Y2844" s="52">
        <f>IF(P2844="","",IFERROR(INDEX(catGrupo,MATCH(D2844&amp;"|"&amp;E2844,catClave,0))&amp;"",""))</f>
        <v/>
      </c>
      <c r="Z2844" s="52">
        <f>IF(P2844="","",WEEKDAY(B2844,2))</f>
        <v/>
      </c>
      <c r="AA2844" s="52">
        <f>IF(P2844="","",IF(AND(P2844="Gasto",X2844="Variable",D2844&lt;&gt;catTrading,S2844&gt;0,S2844&lt;=Umbral),1,0))</f>
        <v/>
      </c>
      <c r="AB2844" s="52">
        <f>IF(OR(P2844="",Q2844=""),"",IFERROR(IF(INDEX(ctaVinc,MATCH(Q2844,ctaNombre,0))&amp;""&lt;&gt;"",INDEX(ctaVinc,MATCH(Q2844,ctaNombre,0))&amp;"",Q2844),Q2844))</f>
        <v/>
      </c>
      <c r="AC2844" s="52">
        <f>IF(OR(K2844="",AND(P2844&lt;&gt;"Transferencia",P2844&lt;&gt;"Pago tarjeta")),"",IFERROR(IF(INDEX(ctaVinc,MATCH(K2844,ctaNombre,0))&amp;""&lt;&gt;"",INDEX(ctaVinc,MATCH(K2844,ctaNombre,0))&amp;"",K2844),K2844))</f>
        <v/>
      </c>
      <c r="AD2844" s="52">
        <f>IF(AB2844="","",IFERROR(INDEX(ctaTipo,MATCH(AB2844,ctaNombre,0))&amp;"",""))</f>
        <v/>
      </c>
      <c r="AE2844" s="52">
        <f>IF(AC2844="","",IFERROR(INDEX(ctaTipo,MATCH(AC2844,ctaNombre,0))&amp;"",""))</f>
        <v/>
      </c>
      <c r="AF2844" s="53">
        <f>IF(OR(P2844="",AB2844=""),"",IF(OR(P2844="Gasto",P2844="Transferencia",P2844="Pago tarjeta"),-1,1)*IF(IFERROR(INDEX(ctaMoneda,MATCH(AB2844,ctaNombre,0))&amp;"","DOP")="USD",T2844,S2844))</f>
        <v/>
      </c>
      <c r="AG2844" s="53">
        <f>IF(AC2844="","",IF(IFERROR(INDEX(ctaMoneda,MATCH(AC2844,ctaNombre,0))&amp;"","DOP")="USD",T2844,S2844))</f>
        <v/>
      </c>
      <c r="AH2844" s="53">
        <f>IF(P2844="","",IF(AND(AD2844&lt;&gt;"",COUNTIFS(tcTipo,AD2844,tcLiq,"Sí")&gt;0),IF(OR(P2844="Gasto",P2844="Transferencia",P2844="Pago tarjeta"),-1,1)*S2844,0)+IF(AND(AE2844&lt;&gt;"",COUNTIFS(tcTipo,AE2844,tcLiq,"Sí")&gt;0),S2844,0))</f>
        <v/>
      </c>
      <c r="AI2844" s="52">
        <f>IF(OR(L2844="",P2844=""),"",IF(COUNTIFS(L$6:L2844,L2844,P$6:P2844,"?*")=1,MAX(AI$5:AI2843)+1,""))</f>
        <v/>
      </c>
    </row>
    <row r="2845">
      <c r="B2845" s="47" t="n"/>
      <c r="C2845" s="48" t="n"/>
      <c r="D2845" s="48" t="n"/>
      <c r="E2845" s="48" t="n"/>
      <c r="F2845" s="48" t="n"/>
      <c r="G2845" s="49" t="n"/>
      <c r="H2845" s="48" t="n"/>
      <c r="I2845" s="50" t="n"/>
      <c r="J2845" s="48" t="n"/>
      <c r="K2845" s="48" t="n"/>
      <c r="L2845" s="48" t="n"/>
      <c r="M2845" s="48" t="n"/>
      <c r="N2845" s="48" t="n"/>
      <c r="O2845" s="51">
        <f>IF(AND(B2845="",G2845="",C2845="",D2845="",J2845=""),"",IF(B2845="","⚠ Falta fecha",IF(G2845="","⚠ Falta monto",IF(Q2845="","⚠ Falta cuenta",IF(ISNA(MATCH(Q2845,ctaNombre,0)),"⚠ Cuenta no registrada",IF(AND(OR(P2845="Gasto",P2845="Reembolso"),D2845=""),"⚠ Falta categoría",IF(AND(D2845&lt;&gt;"",E2845&lt;&gt;"",ISNA(MATCH(D2845&amp;"|"&amp;E2845,catClave,0))),"⚠ Subcategoría no corresponde",IF(AND(OR(P2845="Transferencia",P2845="Pago tarjeta"),K2845=""),"⚠ Falta cuenta destino",IF(AND(K2845&lt;&gt;"",P2845&lt;&gt;"Transferencia",P2845&lt;&gt;"Pago tarjeta"),"⚠ Destino solo aplica a transferencias",IF(AND(K2845&lt;&gt;"",K2845=Q2845),"⚠ Origen igual a destino",IF(AND(K2845&lt;&gt;"",ISNA(MATCH(K2845,ctaNombre,0))),"⚠ Destino no registrado",IF(AND(P2845="Pago tarjeta",AE2845&lt;&gt;"Tarjeta de crédito"),"⚠ El destino debe ser tarjeta de crédito",IF(AND(P2845="Gasto",E2845="Depósitos y retiros"),"⚠ Usa tipo Transferencia",IF(AND(P2845="Resultado trading",AD2845&lt;&gt;"Cuenta de trading"),"⚠ Usa una cuenta de trading",IF(AND(G2845&lt;=0,P2845&lt;&gt;"Ajuste",P2845&lt;&gt;"Resultado trading"),"⚠ El monto debe ser positivo","✓")))))))))))))))</f>
        <v/>
      </c>
      <c r="P2845" s="52">
        <f>IF(OR(B2845="",G2845=""),"",IF(C2845="","Gasto",C2845))</f>
        <v/>
      </c>
      <c r="Q2845" s="52">
        <f>IF(P2845="","",IF(J2845&lt;&gt;"",J2845,CuentaPred&amp;""))</f>
        <v/>
      </c>
      <c r="R2845" s="52">
        <f>IF(P2845="","",IF(ISNUMBER(I2845),I2845,TasaUSD))</f>
        <v/>
      </c>
      <c r="S2845" s="53">
        <f>IF(P2845="","",IF(H2845="USD",G2845*R2845,G2845))</f>
        <v/>
      </c>
      <c r="T2845" s="53">
        <f>IF(P2845="","",IF(H2845="USD",G2845,IF(R2845&gt;0,G2845/R2845,0)))</f>
        <v/>
      </c>
      <c r="U2845" s="53">
        <f>IF(P2845="","",IF(P2845="Gasto",S2845,IF(P2845="Reembolso",-S2845,0)))</f>
        <v/>
      </c>
      <c r="V2845" s="53">
        <f>IF(P2845="","",IF(P2845="Ingreso",S2845,0))</f>
        <v/>
      </c>
      <c r="W2845" s="53">
        <f>IF(P2845="","",IF(P2845="Resultado trading",S2845,0))</f>
        <v/>
      </c>
      <c r="X2845" s="52">
        <f>IF(OR(P2845="Gasto",P2845="Reembolso"),IF(M2845&lt;&gt;"",M2845,IFERROR(INDEX(catClasif,MATCH(D2845&amp;"|"&amp;E2845,catClave,0))&amp;"","Variable")),"")</f>
        <v/>
      </c>
      <c r="Y2845" s="52">
        <f>IF(P2845="","",IFERROR(INDEX(catGrupo,MATCH(D2845&amp;"|"&amp;E2845,catClave,0))&amp;"",""))</f>
        <v/>
      </c>
      <c r="Z2845" s="52">
        <f>IF(P2845="","",WEEKDAY(B2845,2))</f>
        <v/>
      </c>
      <c r="AA2845" s="52">
        <f>IF(P2845="","",IF(AND(P2845="Gasto",X2845="Variable",D2845&lt;&gt;catTrading,S2845&gt;0,S2845&lt;=Umbral),1,0))</f>
        <v/>
      </c>
      <c r="AB2845" s="52">
        <f>IF(OR(P2845="",Q2845=""),"",IFERROR(IF(INDEX(ctaVinc,MATCH(Q2845,ctaNombre,0))&amp;""&lt;&gt;"",INDEX(ctaVinc,MATCH(Q2845,ctaNombre,0))&amp;"",Q2845),Q2845))</f>
        <v/>
      </c>
      <c r="AC2845" s="52">
        <f>IF(OR(K2845="",AND(P2845&lt;&gt;"Transferencia",P2845&lt;&gt;"Pago tarjeta")),"",IFERROR(IF(INDEX(ctaVinc,MATCH(K2845,ctaNombre,0))&amp;""&lt;&gt;"",INDEX(ctaVinc,MATCH(K2845,ctaNombre,0))&amp;"",K2845),K2845))</f>
        <v/>
      </c>
      <c r="AD2845" s="52">
        <f>IF(AB2845="","",IFERROR(INDEX(ctaTipo,MATCH(AB2845,ctaNombre,0))&amp;"",""))</f>
        <v/>
      </c>
      <c r="AE2845" s="52">
        <f>IF(AC2845="","",IFERROR(INDEX(ctaTipo,MATCH(AC2845,ctaNombre,0))&amp;"",""))</f>
        <v/>
      </c>
      <c r="AF2845" s="53">
        <f>IF(OR(P2845="",AB2845=""),"",IF(OR(P2845="Gasto",P2845="Transferencia",P2845="Pago tarjeta"),-1,1)*IF(IFERROR(INDEX(ctaMoneda,MATCH(AB2845,ctaNombre,0))&amp;"","DOP")="USD",T2845,S2845))</f>
        <v/>
      </c>
      <c r="AG2845" s="53">
        <f>IF(AC2845="","",IF(IFERROR(INDEX(ctaMoneda,MATCH(AC2845,ctaNombre,0))&amp;"","DOP")="USD",T2845,S2845))</f>
        <v/>
      </c>
      <c r="AH2845" s="53">
        <f>IF(P2845="","",IF(AND(AD2845&lt;&gt;"",COUNTIFS(tcTipo,AD2845,tcLiq,"Sí")&gt;0),IF(OR(P2845="Gasto",P2845="Transferencia",P2845="Pago tarjeta"),-1,1)*S2845,0)+IF(AND(AE2845&lt;&gt;"",COUNTIFS(tcTipo,AE2845,tcLiq,"Sí")&gt;0),S2845,0))</f>
        <v/>
      </c>
      <c r="AI2845" s="52">
        <f>IF(OR(L2845="",P2845=""),"",IF(COUNTIFS(L$6:L2845,L2845,P$6:P2845,"?*")=1,MAX(AI$5:AI2844)+1,""))</f>
        <v/>
      </c>
    </row>
    <row r="2846">
      <c r="B2846" s="47" t="n"/>
      <c r="C2846" s="48" t="n"/>
      <c r="D2846" s="48" t="n"/>
      <c r="E2846" s="48" t="n"/>
      <c r="F2846" s="48" t="n"/>
      <c r="G2846" s="49" t="n"/>
      <c r="H2846" s="48" t="n"/>
      <c r="I2846" s="50" t="n"/>
      <c r="J2846" s="48" t="n"/>
      <c r="K2846" s="48" t="n"/>
      <c r="L2846" s="48" t="n"/>
      <c r="M2846" s="48" t="n"/>
      <c r="N2846" s="48" t="n"/>
      <c r="O2846" s="51">
        <f>IF(AND(B2846="",G2846="",C2846="",D2846="",J2846=""),"",IF(B2846="","⚠ Falta fecha",IF(G2846="","⚠ Falta monto",IF(Q2846="","⚠ Falta cuenta",IF(ISNA(MATCH(Q2846,ctaNombre,0)),"⚠ Cuenta no registrada",IF(AND(OR(P2846="Gasto",P2846="Reembolso"),D2846=""),"⚠ Falta categoría",IF(AND(D2846&lt;&gt;"",E2846&lt;&gt;"",ISNA(MATCH(D2846&amp;"|"&amp;E2846,catClave,0))),"⚠ Subcategoría no corresponde",IF(AND(OR(P2846="Transferencia",P2846="Pago tarjeta"),K2846=""),"⚠ Falta cuenta destino",IF(AND(K2846&lt;&gt;"",P2846&lt;&gt;"Transferencia",P2846&lt;&gt;"Pago tarjeta"),"⚠ Destino solo aplica a transferencias",IF(AND(K2846&lt;&gt;"",K2846=Q2846),"⚠ Origen igual a destino",IF(AND(K2846&lt;&gt;"",ISNA(MATCH(K2846,ctaNombre,0))),"⚠ Destino no registrado",IF(AND(P2846="Pago tarjeta",AE2846&lt;&gt;"Tarjeta de crédito"),"⚠ El destino debe ser tarjeta de crédito",IF(AND(P2846="Gasto",E2846="Depósitos y retiros"),"⚠ Usa tipo Transferencia",IF(AND(P2846="Resultado trading",AD2846&lt;&gt;"Cuenta de trading"),"⚠ Usa una cuenta de trading",IF(AND(G2846&lt;=0,P2846&lt;&gt;"Ajuste",P2846&lt;&gt;"Resultado trading"),"⚠ El monto debe ser positivo","✓")))))))))))))))</f>
        <v/>
      </c>
      <c r="P2846" s="52">
        <f>IF(OR(B2846="",G2846=""),"",IF(C2846="","Gasto",C2846))</f>
        <v/>
      </c>
      <c r="Q2846" s="52">
        <f>IF(P2846="","",IF(J2846&lt;&gt;"",J2846,CuentaPred&amp;""))</f>
        <v/>
      </c>
      <c r="R2846" s="52">
        <f>IF(P2846="","",IF(ISNUMBER(I2846),I2846,TasaUSD))</f>
        <v/>
      </c>
      <c r="S2846" s="53">
        <f>IF(P2846="","",IF(H2846="USD",G2846*R2846,G2846))</f>
        <v/>
      </c>
      <c r="T2846" s="53">
        <f>IF(P2846="","",IF(H2846="USD",G2846,IF(R2846&gt;0,G2846/R2846,0)))</f>
        <v/>
      </c>
      <c r="U2846" s="53">
        <f>IF(P2846="","",IF(P2846="Gasto",S2846,IF(P2846="Reembolso",-S2846,0)))</f>
        <v/>
      </c>
      <c r="V2846" s="53">
        <f>IF(P2846="","",IF(P2846="Ingreso",S2846,0))</f>
        <v/>
      </c>
      <c r="W2846" s="53">
        <f>IF(P2846="","",IF(P2846="Resultado trading",S2846,0))</f>
        <v/>
      </c>
      <c r="X2846" s="52">
        <f>IF(OR(P2846="Gasto",P2846="Reembolso"),IF(M2846&lt;&gt;"",M2846,IFERROR(INDEX(catClasif,MATCH(D2846&amp;"|"&amp;E2846,catClave,0))&amp;"","Variable")),"")</f>
        <v/>
      </c>
      <c r="Y2846" s="52">
        <f>IF(P2846="","",IFERROR(INDEX(catGrupo,MATCH(D2846&amp;"|"&amp;E2846,catClave,0))&amp;"",""))</f>
        <v/>
      </c>
      <c r="Z2846" s="52">
        <f>IF(P2846="","",WEEKDAY(B2846,2))</f>
        <v/>
      </c>
      <c r="AA2846" s="52">
        <f>IF(P2846="","",IF(AND(P2846="Gasto",X2846="Variable",D2846&lt;&gt;catTrading,S2846&gt;0,S2846&lt;=Umbral),1,0))</f>
        <v/>
      </c>
      <c r="AB2846" s="52">
        <f>IF(OR(P2846="",Q2846=""),"",IFERROR(IF(INDEX(ctaVinc,MATCH(Q2846,ctaNombre,0))&amp;""&lt;&gt;"",INDEX(ctaVinc,MATCH(Q2846,ctaNombre,0))&amp;"",Q2846),Q2846))</f>
        <v/>
      </c>
      <c r="AC2846" s="52">
        <f>IF(OR(K2846="",AND(P2846&lt;&gt;"Transferencia",P2846&lt;&gt;"Pago tarjeta")),"",IFERROR(IF(INDEX(ctaVinc,MATCH(K2846,ctaNombre,0))&amp;""&lt;&gt;"",INDEX(ctaVinc,MATCH(K2846,ctaNombre,0))&amp;"",K2846),K2846))</f>
        <v/>
      </c>
      <c r="AD2846" s="52">
        <f>IF(AB2846="","",IFERROR(INDEX(ctaTipo,MATCH(AB2846,ctaNombre,0))&amp;"",""))</f>
        <v/>
      </c>
      <c r="AE2846" s="52">
        <f>IF(AC2846="","",IFERROR(INDEX(ctaTipo,MATCH(AC2846,ctaNombre,0))&amp;"",""))</f>
        <v/>
      </c>
      <c r="AF2846" s="53">
        <f>IF(OR(P2846="",AB2846=""),"",IF(OR(P2846="Gasto",P2846="Transferencia",P2846="Pago tarjeta"),-1,1)*IF(IFERROR(INDEX(ctaMoneda,MATCH(AB2846,ctaNombre,0))&amp;"","DOP")="USD",T2846,S2846))</f>
        <v/>
      </c>
      <c r="AG2846" s="53">
        <f>IF(AC2846="","",IF(IFERROR(INDEX(ctaMoneda,MATCH(AC2846,ctaNombre,0))&amp;"","DOP")="USD",T2846,S2846))</f>
        <v/>
      </c>
      <c r="AH2846" s="53">
        <f>IF(P2846="","",IF(AND(AD2846&lt;&gt;"",COUNTIFS(tcTipo,AD2846,tcLiq,"Sí")&gt;0),IF(OR(P2846="Gasto",P2846="Transferencia",P2846="Pago tarjeta"),-1,1)*S2846,0)+IF(AND(AE2846&lt;&gt;"",COUNTIFS(tcTipo,AE2846,tcLiq,"Sí")&gt;0),S2846,0))</f>
        <v/>
      </c>
      <c r="AI2846" s="52">
        <f>IF(OR(L2846="",P2846=""),"",IF(COUNTIFS(L$6:L2846,L2846,P$6:P2846,"?*")=1,MAX(AI$5:AI2845)+1,""))</f>
        <v/>
      </c>
    </row>
    <row r="2847">
      <c r="B2847" s="47" t="n"/>
      <c r="C2847" s="48" t="n"/>
      <c r="D2847" s="48" t="n"/>
      <c r="E2847" s="48" t="n"/>
      <c r="F2847" s="48" t="n"/>
      <c r="G2847" s="49" t="n"/>
      <c r="H2847" s="48" t="n"/>
      <c r="I2847" s="50" t="n"/>
      <c r="J2847" s="48" t="n"/>
      <c r="K2847" s="48" t="n"/>
      <c r="L2847" s="48" t="n"/>
      <c r="M2847" s="48" t="n"/>
      <c r="N2847" s="48" t="n"/>
      <c r="O2847" s="51">
        <f>IF(AND(B2847="",G2847="",C2847="",D2847="",J2847=""),"",IF(B2847="","⚠ Falta fecha",IF(G2847="","⚠ Falta monto",IF(Q2847="","⚠ Falta cuenta",IF(ISNA(MATCH(Q2847,ctaNombre,0)),"⚠ Cuenta no registrada",IF(AND(OR(P2847="Gasto",P2847="Reembolso"),D2847=""),"⚠ Falta categoría",IF(AND(D2847&lt;&gt;"",E2847&lt;&gt;"",ISNA(MATCH(D2847&amp;"|"&amp;E2847,catClave,0))),"⚠ Subcategoría no corresponde",IF(AND(OR(P2847="Transferencia",P2847="Pago tarjeta"),K2847=""),"⚠ Falta cuenta destino",IF(AND(K2847&lt;&gt;"",P2847&lt;&gt;"Transferencia",P2847&lt;&gt;"Pago tarjeta"),"⚠ Destino solo aplica a transferencias",IF(AND(K2847&lt;&gt;"",K2847=Q2847),"⚠ Origen igual a destino",IF(AND(K2847&lt;&gt;"",ISNA(MATCH(K2847,ctaNombre,0))),"⚠ Destino no registrado",IF(AND(P2847="Pago tarjeta",AE2847&lt;&gt;"Tarjeta de crédito"),"⚠ El destino debe ser tarjeta de crédito",IF(AND(P2847="Gasto",E2847="Depósitos y retiros"),"⚠ Usa tipo Transferencia",IF(AND(P2847="Resultado trading",AD2847&lt;&gt;"Cuenta de trading"),"⚠ Usa una cuenta de trading",IF(AND(G2847&lt;=0,P2847&lt;&gt;"Ajuste",P2847&lt;&gt;"Resultado trading"),"⚠ El monto debe ser positivo","✓")))))))))))))))</f>
        <v/>
      </c>
      <c r="P2847" s="52">
        <f>IF(OR(B2847="",G2847=""),"",IF(C2847="","Gasto",C2847))</f>
        <v/>
      </c>
      <c r="Q2847" s="52">
        <f>IF(P2847="","",IF(J2847&lt;&gt;"",J2847,CuentaPred&amp;""))</f>
        <v/>
      </c>
      <c r="R2847" s="52">
        <f>IF(P2847="","",IF(ISNUMBER(I2847),I2847,TasaUSD))</f>
        <v/>
      </c>
      <c r="S2847" s="53">
        <f>IF(P2847="","",IF(H2847="USD",G2847*R2847,G2847))</f>
        <v/>
      </c>
      <c r="T2847" s="53">
        <f>IF(P2847="","",IF(H2847="USD",G2847,IF(R2847&gt;0,G2847/R2847,0)))</f>
        <v/>
      </c>
      <c r="U2847" s="53">
        <f>IF(P2847="","",IF(P2847="Gasto",S2847,IF(P2847="Reembolso",-S2847,0)))</f>
        <v/>
      </c>
      <c r="V2847" s="53">
        <f>IF(P2847="","",IF(P2847="Ingreso",S2847,0))</f>
        <v/>
      </c>
      <c r="W2847" s="53">
        <f>IF(P2847="","",IF(P2847="Resultado trading",S2847,0))</f>
        <v/>
      </c>
      <c r="X2847" s="52">
        <f>IF(OR(P2847="Gasto",P2847="Reembolso"),IF(M2847&lt;&gt;"",M2847,IFERROR(INDEX(catClasif,MATCH(D2847&amp;"|"&amp;E2847,catClave,0))&amp;"","Variable")),"")</f>
        <v/>
      </c>
      <c r="Y2847" s="52">
        <f>IF(P2847="","",IFERROR(INDEX(catGrupo,MATCH(D2847&amp;"|"&amp;E2847,catClave,0))&amp;"",""))</f>
        <v/>
      </c>
      <c r="Z2847" s="52">
        <f>IF(P2847="","",WEEKDAY(B2847,2))</f>
        <v/>
      </c>
      <c r="AA2847" s="52">
        <f>IF(P2847="","",IF(AND(P2847="Gasto",X2847="Variable",D2847&lt;&gt;catTrading,S2847&gt;0,S2847&lt;=Umbral),1,0))</f>
        <v/>
      </c>
      <c r="AB2847" s="52">
        <f>IF(OR(P2847="",Q2847=""),"",IFERROR(IF(INDEX(ctaVinc,MATCH(Q2847,ctaNombre,0))&amp;""&lt;&gt;"",INDEX(ctaVinc,MATCH(Q2847,ctaNombre,0))&amp;"",Q2847),Q2847))</f>
        <v/>
      </c>
      <c r="AC2847" s="52">
        <f>IF(OR(K2847="",AND(P2847&lt;&gt;"Transferencia",P2847&lt;&gt;"Pago tarjeta")),"",IFERROR(IF(INDEX(ctaVinc,MATCH(K2847,ctaNombre,0))&amp;""&lt;&gt;"",INDEX(ctaVinc,MATCH(K2847,ctaNombre,0))&amp;"",K2847),K2847))</f>
        <v/>
      </c>
      <c r="AD2847" s="52">
        <f>IF(AB2847="","",IFERROR(INDEX(ctaTipo,MATCH(AB2847,ctaNombre,0))&amp;"",""))</f>
        <v/>
      </c>
      <c r="AE2847" s="52">
        <f>IF(AC2847="","",IFERROR(INDEX(ctaTipo,MATCH(AC2847,ctaNombre,0))&amp;"",""))</f>
        <v/>
      </c>
      <c r="AF2847" s="53">
        <f>IF(OR(P2847="",AB2847=""),"",IF(OR(P2847="Gasto",P2847="Transferencia",P2847="Pago tarjeta"),-1,1)*IF(IFERROR(INDEX(ctaMoneda,MATCH(AB2847,ctaNombre,0))&amp;"","DOP")="USD",T2847,S2847))</f>
        <v/>
      </c>
      <c r="AG2847" s="53">
        <f>IF(AC2847="","",IF(IFERROR(INDEX(ctaMoneda,MATCH(AC2847,ctaNombre,0))&amp;"","DOP")="USD",T2847,S2847))</f>
        <v/>
      </c>
      <c r="AH2847" s="53">
        <f>IF(P2847="","",IF(AND(AD2847&lt;&gt;"",COUNTIFS(tcTipo,AD2847,tcLiq,"Sí")&gt;0),IF(OR(P2847="Gasto",P2847="Transferencia",P2847="Pago tarjeta"),-1,1)*S2847,0)+IF(AND(AE2847&lt;&gt;"",COUNTIFS(tcTipo,AE2847,tcLiq,"Sí")&gt;0),S2847,0))</f>
        <v/>
      </c>
      <c r="AI2847" s="52">
        <f>IF(OR(L2847="",P2847=""),"",IF(COUNTIFS(L$6:L2847,L2847,P$6:P2847,"?*")=1,MAX(AI$5:AI2846)+1,""))</f>
        <v/>
      </c>
    </row>
    <row r="2848">
      <c r="B2848" s="47" t="n"/>
      <c r="C2848" s="48" t="n"/>
      <c r="D2848" s="48" t="n"/>
      <c r="E2848" s="48" t="n"/>
      <c r="F2848" s="48" t="n"/>
      <c r="G2848" s="49" t="n"/>
      <c r="H2848" s="48" t="n"/>
      <c r="I2848" s="50" t="n"/>
      <c r="J2848" s="48" t="n"/>
      <c r="K2848" s="48" t="n"/>
      <c r="L2848" s="48" t="n"/>
      <c r="M2848" s="48" t="n"/>
      <c r="N2848" s="48" t="n"/>
      <c r="O2848" s="51">
        <f>IF(AND(B2848="",G2848="",C2848="",D2848="",J2848=""),"",IF(B2848="","⚠ Falta fecha",IF(G2848="","⚠ Falta monto",IF(Q2848="","⚠ Falta cuenta",IF(ISNA(MATCH(Q2848,ctaNombre,0)),"⚠ Cuenta no registrada",IF(AND(OR(P2848="Gasto",P2848="Reembolso"),D2848=""),"⚠ Falta categoría",IF(AND(D2848&lt;&gt;"",E2848&lt;&gt;"",ISNA(MATCH(D2848&amp;"|"&amp;E2848,catClave,0))),"⚠ Subcategoría no corresponde",IF(AND(OR(P2848="Transferencia",P2848="Pago tarjeta"),K2848=""),"⚠ Falta cuenta destino",IF(AND(K2848&lt;&gt;"",P2848&lt;&gt;"Transferencia",P2848&lt;&gt;"Pago tarjeta"),"⚠ Destino solo aplica a transferencias",IF(AND(K2848&lt;&gt;"",K2848=Q2848),"⚠ Origen igual a destino",IF(AND(K2848&lt;&gt;"",ISNA(MATCH(K2848,ctaNombre,0))),"⚠ Destino no registrado",IF(AND(P2848="Pago tarjeta",AE2848&lt;&gt;"Tarjeta de crédito"),"⚠ El destino debe ser tarjeta de crédito",IF(AND(P2848="Gasto",E2848="Depósitos y retiros"),"⚠ Usa tipo Transferencia",IF(AND(P2848="Resultado trading",AD2848&lt;&gt;"Cuenta de trading"),"⚠ Usa una cuenta de trading",IF(AND(G2848&lt;=0,P2848&lt;&gt;"Ajuste",P2848&lt;&gt;"Resultado trading"),"⚠ El monto debe ser positivo","✓")))))))))))))))</f>
        <v/>
      </c>
      <c r="P2848" s="52">
        <f>IF(OR(B2848="",G2848=""),"",IF(C2848="","Gasto",C2848))</f>
        <v/>
      </c>
      <c r="Q2848" s="52">
        <f>IF(P2848="","",IF(J2848&lt;&gt;"",J2848,CuentaPred&amp;""))</f>
        <v/>
      </c>
      <c r="R2848" s="52">
        <f>IF(P2848="","",IF(ISNUMBER(I2848),I2848,TasaUSD))</f>
        <v/>
      </c>
      <c r="S2848" s="53">
        <f>IF(P2848="","",IF(H2848="USD",G2848*R2848,G2848))</f>
        <v/>
      </c>
      <c r="T2848" s="53">
        <f>IF(P2848="","",IF(H2848="USD",G2848,IF(R2848&gt;0,G2848/R2848,0)))</f>
        <v/>
      </c>
      <c r="U2848" s="53">
        <f>IF(P2848="","",IF(P2848="Gasto",S2848,IF(P2848="Reembolso",-S2848,0)))</f>
        <v/>
      </c>
      <c r="V2848" s="53">
        <f>IF(P2848="","",IF(P2848="Ingreso",S2848,0))</f>
        <v/>
      </c>
      <c r="W2848" s="53">
        <f>IF(P2848="","",IF(P2848="Resultado trading",S2848,0))</f>
        <v/>
      </c>
      <c r="X2848" s="52">
        <f>IF(OR(P2848="Gasto",P2848="Reembolso"),IF(M2848&lt;&gt;"",M2848,IFERROR(INDEX(catClasif,MATCH(D2848&amp;"|"&amp;E2848,catClave,0))&amp;"","Variable")),"")</f>
        <v/>
      </c>
      <c r="Y2848" s="52">
        <f>IF(P2848="","",IFERROR(INDEX(catGrupo,MATCH(D2848&amp;"|"&amp;E2848,catClave,0))&amp;"",""))</f>
        <v/>
      </c>
      <c r="Z2848" s="52">
        <f>IF(P2848="","",WEEKDAY(B2848,2))</f>
        <v/>
      </c>
      <c r="AA2848" s="52">
        <f>IF(P2848="","",IF(AND(P2848="Gasto",X2848="Variable",D2848&lt;&gt;catTrading,S2848&gt;0,S2848&lt;=Umbral),1,0))</f>
        <v/>
      </c>
      <c r="AB2848" s="52">
        <f>IF(OR(P2848="",Q2848=""),"",IFERROR(IF(INDEX(ctaVinc,MATCH(Q2848,ctaNombre,0))&amp;""&lt;&gt;"",INDEX(ctaVinc,MATCH(Q2848,ctaNombre,0))&amp;"",Q2848),Q2848))</f>
        <v/>
      </c>
      <c r="AC2848" s="52">
        <f>IF(OR(K2848="",AND(P2848&lt;&gt;"Transferencia",P2848&lt;&gt;"Pago tarjeta")),"",IFERROR(IF(INDEX(ctaVinc,MATCH(K2848,ctaNombre,0))&amp;""&lt;&gt;"",INDEX(ctaVinc,MATCH(K2848,ctaNombre,0))&amp;"",K2848),K2848))</f>
        <v/>
      </c>
      <c r="AD2848" s="52">
        <f>IF(AB2848="","",IFERROR(INDEX(ctaTipo,MATCH(AB2848,ctaNombre,0))&amp;"",""))</f>
        <v/>
      </c>
      <c r="AE2848" s="52">
        <f>IF(AC2848="","",IFERROR(INDEX(ctaTipo,MATCH(AC2848,ctaNombre,0))&amp;"",""))</f>
        <v/>
      </c>
      <c r="AF2848" s="53">
        <f>IF(OR(P2848="",AB2848=""),"",IF(OR(P2848="Gasto",P2848="Transferencia",P2848="Pago tarjeta"),-1,1)*IF(IFERROR(INDEX(ctaMoneda,MATCH(AB2848,ctaNombre,0))&amp;"","DOP")="USD",T2848,S2848))</f>
        <v/>
      </c>
      <c r="AG2848" s="53">
        <f>IF(AC2848="","",IF(IFERROR(INDEX(ctaMoneda,MATCH(AC2848,ctaNombre,0))&amp;"","DOP")="USD",T2848,S2848))</f>
        <v/>
      </c>
      <c r="AH2848" s="53">
        <f>IF(P2848="","",IF(AND(AD2848&lt;&gt;"",COUNTIFS(tcTipo,AD2848,tcLiq,"Sí")&gt;0),IF(OR(P2848="Gasto",P2848="Transferencia",P2848="Pago tarjeta"),-1,1)*S2848,0)+IF(AND(AE2848&lt;&gt;"",COUNTIFS(tcTipo,AE2848,tcLiq,"Sí")&gt;0),S2848,0))</f>
        <v/>
      </c>
      <c r="AI2848" s="52">
        <f>IF(OR(L2848="",P2848=""),"",IF(COUNTIFS(L$6:L2848,L2848,P$6:P2848,"?*")=1,MAX(AI$5:AI2847)+1,""))</f>
        <v/>
      </c>
    </row>
    <row r="2849">
      <c r="B2849" s="47" t="n"/>
      <c r="C2849" s="48" t="n"/>
      <c r="D2849" s="48" t="n"/>
      <c r="E2849" s="48" t="n"/>
      <c r="F2849" s="48" t="n"/>
      <c r="G2849" s="49" t="n"/>
      <c r="H2849" s="48" t="n"/>
      <c r="I2849" s="50" t="n"/>
      <c r="J2849" s="48" t="n"/>
      <c r="K2849" s="48" t="n"/>
      <c r="L2849" s="48" t="n"/>
      <c r="M2849" s="48" t="n"/>
      <c r="N2849" s="48" t="n"/>
      <c r="O2849" s="51">
        <f>IF(AND(B2849="",G2849="",C2849="",D2849="",J2849=""),"",IF(B2849="","⚠ Falta fecha",IF(G2849="","⚠ Falta monto",IF(Q2849="","⚠ Falta cuenta",IF(ISNA(MATCH(Q2849,ctaNombre,0)),"⚠ Cuenta no registrada",IF(AND(OR(P2849="Gasto",P2849="Reembolso"),D2849=""),"⚠ Falta categoría",IF(AND(D2849&lt;&gt;"",E2849&lt;&gt;"",ISNA(MATCH(D2849&amp;"|"&amp;E2849,catClave,0))),"⚠ Subcategoría no corresponde",IF(AND(OR(P2849="Transferencia",P2849="Pago tarjeta"),K2849=""),"⚠ Falta cuenta destino",IF(AND(K2849&lt;&gt;"",P2849&lt;&gt;"Transferencia",P2849&lt;&gt;"Pago tarjeta"),"⚠ Destino solo aplica a transferencias",IF(AND(K2849&lt;&gt;"",K2849=Q2849),"⚠ Origen igual a destino",IF(AND(K2849&lt;&gt;"",ISNA(MATCH(K2849,ctaNombre,0))),"⚠ Destino no registrado",IF(AND(P2849="Pago tarjeta",AE2849&lt;&gt;"Tarjeta de crédito"),"⚠ El destino debe ser tarjeta de crédito",IF(AND(P2849="Gasto",E2849="Depósitos y retiros"),"⚠ Usa tipo Transferencia",IF(AND(P2849="Resultado trading",AD2849&lt;&gt;"Cuenta de trading"),"⚠ Usa una cuenta de trading",IF(AND(G2849&lt;=0,P2849&lt;&gt;"Ajuste",P2849&lt;&gt;"Resultado trading"),"⚠ El monto debe ser positivo","✓")))))))))))))))</f>
        <v/>
      </c>
      <c r="P2849" s="52">
        <f>IF(OR(B2849="",G2849=""),"",IF(C2849="","Gasto",C2849))</f>
        <v/>
      </c>
      <c r="Q2849" s="52">
        <f>IF(P2849="","",IF(J2849&lt;&gt;"",J2849,CuentaPred&amp;""))</f>
        <v/>
      </c>
      <c r="R2849" s="52">
        <f>IF(P2849="","",IF(ISNUMBER(I2849),I2849,TasaUSD))</f>
        <v/>
      </c>
      <c r="S2849" s="53">
        <f>IF(P2849="","",IF(H2849="USD",G2849*R2849,G2849))</f>
        <v/>
      </c>
      <c r="T2849" s="53">
        <f>IF(P2849="","",IF(H2849="USD",G2849,IF(R2849&gt;0,G2849/R2849,0)))</f>
        <v/>
      </c>
      <c r="U2849" s="53">
        <f>IF(P2849="","",IF(P2849="Gasto",S2849,IF(P2849="Reembolso",-S2849,0)))</f>
        <v/>
      </c>
      <c r="V2849" s="53">
        <f>IF(P2849="","",IF(P2849="Ingreso",S2849,0))</f>
        <v/>
      </c>
      <c r="W2849" s="53">
        <f>IF(P2849="","",IF(P2849="Resultado trading",S2849,0))</f>
        <v/>
      </c>
      <c r="X2849" s="52">
        <f>IF(OR(P2849="Gasto",P2849="Reembolso"),IF(M2849&lt;&gt;"",M2849,IFERROR(INDEX(catClasif,MATCH(D2849&amp;"|"&amp;E2849,catClave,0))&amp;"","Variable")),"")</f>
        <v/>
      </c>
      <c r="Y2849" s="52">
        <f>IF(P2849="","",IFERROR(INDEX(catGrupo,MATCH(D2849&amp;"|"&amp;E2849,catClave,0))&amp;"",""))</f>
        <v/>
      </c>
      <c r="Z2849" s="52">
        <f>IF(P2849="","",WEEKDAY(B2849,2))</f>
        <v/>
      </c>
      <c r="AA2849" s="52">
        <f>IF(P2849="","",IF(AND(P2849="Gasto",X2849="Variable",D2849&lt;&gt;catTrading,S2849&gt;0,S2849&lt;=Umbral),1,0))</f>
        <v/>
      </c>
      <c r="AB2849" s="52">
        <f>IF(OR(P2849="",Q2849=""),"",IFERROR(IF(INDEX(ctaVinc,MATCH(Q2849,ctaNombre,0))&amp;""&lt;&gt;"",INDEX(ctaVinc,MATCH(Q2849,ctaNombre,0))&amp;"",Q2849),Q2849))</f>
        <v/>
      </c>
      <c r="AC2849" s="52">
        <f>IF(OR(K2849="",AND(P2849&lt;&gt;"Transferencia",P2849&lt;&gt;"Pago tarjeta")),"",IFERROR(IF(INDEX(ctaVinc,MATCH(K2849,ctaNombre,0))&amp;""&lt;&gt;"",INDEX(ctaVinc,MATCH(K2849,ctaNombre,0))&amp;"",K2849),K2849))</f>
        <v/>
      </c>
      <c r="AD2849" s="52">
        <f>IF(AB2849="","",IFERROR(INDEX(ctaTipo,MATCH(AB2849,ctaNombre,0))&amp;"",""))</f>
        <v/>
      </c>
      <c r="AE2849" s="52">
        <f>IF(AC2849="","",IFERROR(INDEX(ctaTipo,MATCH(AC2849,ctaNombre,0))&amp;"",""))</f>
        <v/>
      </c>
      <c r="AF2849" s="53">
        <f>IF(OR(P2849="",AB2849=""),"",IF(OR(P2849="Gasto",P2849="Transferencia",P2849="Pago tarjeta"),-1,1)*IF(IFERROR(INDEX(ctaMoneda,MATCH(AB2849,ctaNombre,0))&amp;"","DOP")="USD",T2849,S2849))</f>
        <v/>
      </c>
      <c r="AG2849" s="53">
        <f>IF(AC2849="","",IF(IFERROR(INDEX(ctaMoneda,MATCH(AC2849,ctaNombre,0))&amp;"","DOP")="USD",T2849,S2849))</f>
        <v/>
      </c>
      <c r="AH2849" s="53">
        <f>IF(P2849="","",IF(AND(AD2849&lt;&gt;"",COUNTIFS(tcTipo,AD2849,tcLiq,"Sí")&gt;0),IF(OR(P2849="Gasto",P2849="Transferencia",P2849="Pago tarjeta"),-1,1)*S2849,0)+IF(AND(AE2849&lt;&gt;"",COUNTIFS(tcTipo,AE2849,tcLiq,"Sí")&gt;0),S2849,0))</f>
        <v/>
      </c>
      <c r="AI2849" s="52">
        <f>IF(OR(L2849="",P2849=""),"",IF(COUNTIFS(L$6:L2849,L2849,P$6:P2849,"?*")=1,MAX(AI$5:AI2848)+1,""))</f>
        <v/>
      </c>
    </row>
    <row r="2850">
      <c r="B2850" s="47" t="n"/>
      <c r="C2850" s="48" t="n"/>
      <c r="D2850" s="48" t="n"/>
      <c r="E2850" s="48" t="n"/>
      <c r="F2850" s="48" t="n"/>
      <c r="G2850" s="49" t="n"/>
      <c r="H2850" s="48" t="n"/>
      <c r="I2850" s="50" t="n"/>
      <c r="J2850" s="48" t="n"/>
      <c r="K2850" s="48" t="n"/>
      <c r="L2850" s="48" t="n"/>
      <c r="M2850" s="48" t="n"/>
      <c r="N2850" s="48" t="n"/>
      <c r="O2850" s="51">
        <f>IF(AND(B2850="",G2850="",C2850="",D2850="",J2850=""),"",IF(B2850="","⚠ Falta fecha",IF(G2850="","⚠ Falta monto",IF(Q2850="","⚠ Falta cuenta",IF(ISNA(MATCH(Q2850,ctaNombre,0)),"⚠ Cuenta no registrada",IF(AND(OR(P2850="Gasto",P2850="Reembolso"),D2850=""),"⚠ Falta categoría",IF(AND(D2850&lt;&gt;"",E2850&lt;&gt;"",ISNA(MATCH(D2850&amp;"|"&amp;E2850,catClave,0))),"⚠ Subcategoría no corresponde",IF(AND(OR(P2850="Transferencia",P2850="Pago tarjeta"),K2850=""),"⚠ Falta cuenta destino",IF(AND(K2850&lt;&gt;"",P2850&lt;&gt;"Transferencia",P2850&lt;&gt;"Pago tarjeta"),"⚠ Destino solo aplica a transferencias",IF(AND(K2850&lt;&gt;"",K2850=Q2850),"⚠ Origen igual a destino",IF(AND(K2850&lt;&gt;"",ISNA(MATCH(K2850,ctaNombre,0))),"⚠ Destino no registrado",IF(AND(P2850="Pago tarjeta",AE2850&lt;&gt;"Tarjeta de crédito"),"⚠ El destino debe ser tarjeta de crédito",IF(AND(P2850="Gasto",E2850="Depósitos y retiros"),"⚠ Usa tipo Transferencia",IF(AND(P2850="Resultado trading",AD2850&lt;&gt;"Cuenta de trading"),"⚠ Usa una cuenta de trading",IF(AND(G2850&lt;=0,P2850&lt;&gt;"Ajuste",P2850&lt;&gt;"Resultado trading"),"⚠ El monto debe ser positivo","✓")))))))))))))))</f>
        <v/>
      </c>
      <c r="P2850" s="52">
        <f>IF(OR(B2850="",G2850=""),"",IF(C2850="","Gasto",C2850))</f>
        <v/>
      </c>
      <c r="Q2850" s="52">
        <f>IF(P2850="","",IF(J2850&lt;&gt;"",J2850,CuentaPred&amp;""))</f>
        <v/>
      </c>
      <c r="R2850" s="52">
        <f>IF(P2850="","",IF(ISNUMBER(I2850),I2850,TasaUSD))</f>
        <v/>
      </c>
      <c r="S2850" s="53">
        <f>IF(P2850="","",IF(H2850="USD",G2850*R2850,G2850))</f>
        <v/>
      </c>
      <c r="T2850" s="53">
        <f>IF(P2850="","",IF(H2850="USD",G2850,IF(R2850&gt;0,G2850/R2850,0)))</f>
        <v/>
      </c>
      <c r="U2850" s="53">
        <f>IF(P2850="","",IF(P2850="Gasto",S2850,IF(P2850="Reembolso",-S2850,0)))</f>
        <v/>
      </c>
      <c r="V2850" s="53">
        <f>IF(P2850="","",IF(P2850="Ingreso",S2850,0))</f>
        <v/>
      </c>
      <c r="W2850" s="53">
        <f>IF(P2850="","",IF(P2850="Resultado trading",S2850,0))</f>
        <v/>
      </c>
      <c r="X2850" s="52">
        <f>IF(OR(P2850="Gasto",P2850="Reembolso"),IF(M2850&lt;&gt;"",M2850,IFERROR(INDEX(catClasif,MATCH(D2850&amp;"|"&amp;E2850,catClave,0))&amp;"","Variable")),"")</f>
        <v/>
      </c>
      <c r="Y2850" s="52">
        <f>IF(P2850="","",IFERROR(INDEX(catGrupo,MATCH(D2850&amp;"|"&amp;E2850,catClave,0))&amp;"",""))</f>
        <v/>
      </c>
      <c r="Z2850" s="52">
        <f>IF(P2850="","",WEEKDAY(B2850,2))</f>
        <v/>
      </c>
      <c r="AA2850" s="52">
        <f>IF(P2850="","",IF(AND(P2850="Gasto",X2850="Variable",D2850&lt;&gt;catTrading,S2850&gt;0,S2850&lt;=Umbral),1,0))</f>
        <v/>
      </c>
      <c r="AB2850" s="52">
        <f>IF(OR(P2850="",Q2850=""),"",IFERROR(IF(INDEX(ctaVinc,MATCH(Q2850,ctaNombre,0))&amp;""&lt;&gt;"",INDEX(ctaVinc,MATCH(Q2850,ctaNombre,0))&amp;"",Q2850),Q2850))</f>
        <v/>
      </c>
      <c r="AC2850" s="52">
        <f>IF(OR(K2850="",AND(P2850&lt;&gt;"Transferencia",P2850&lt;&gt;"Pago tarjeta")),"",IFERROR(IF(INDEX(ctaVinc,MATCH(K2850,ctaNombre,0))&amp;""&lt;&gt;"",INDEX(ctaVinc,MATCH(K2850,ctaNombre,0))&amp;"",K2850),K2850))</f>
        <v/>
      </c>
      <c r="AD2850" s="52">
        <f>IF(AB2850="","",IFERROR(INDEX(ctaTipo,MATCH(AB2850,ctaNombre,0))&amp;"",""))</f>
        <v/>
      </c>
      <c r="AE2850" s="52">
        <f>IF(AC2850="","",IFERROR(INDEX(ctaTipo,MATCH(AC2850,ctaNombre,0))&amp;"",""))</f>
        <v/>
      </c>
      <c r="AF2850" s="53">
        <f>IF(OR(P2850="",AB2850=""),"",IF(OR(P2850="Gasto",P2850="Transferencia",P2850="Pago tarjeta"),-1,1)*IF(IFERROR(INDEX(ctaMoneda,MATCH(AB2850,ctaNombre,0))&amp;"","DOP")="USD",T2850,S2850))</f>
        <v/>
      </c>
      <c r="AG2850" s="53">
        <f>IF(AC2850="","",IF(IFERROR(INDEX(ctaMoneda,MATCH(AC2850,ctaNombre,0))&amp;"","DOP")="USD",T2850,S2850))</f>
        <v/>
      </c>
      <c r="AH2850" s="53">
        <f>IF(P2850="","",IF(AND(AD2850&lt;&gt;"",COUNTIFS(tcTipo,AD2850,tcLiq,"Sí")&gt;0),IF(OR(P2850="Gasto",P2850="Transferencia",P2850="Pago tarjeta"),-1,1)*S2850,0)+IF(AND(AE2850&lt;&gt;"",COUNTIFS(tcTipo,AE2850,tcLiq,"Sí")&gt;0),S2850,0))</f>
        <v/>
      </c>
      <c r="AI2850" s="52">
        <f>IF(OR(L2850="",P2850=""),"",IF(COUNTIFS(L$6:L2850,L2850,P$6:P2850,"?*")=1,MAX(AI$5:AI2849)+1,""))</f>
        <v/>
      </c>
    </row>
    <row r="2851">
      <c r="B2851" s="47" t="n"/>
      <c r="C2851" s="48" t="n"/>
      <c r="D2851" s="48" t="n"/>
      <c r="E2851" s="48" t="n"/>
      <c r="F2851" s="48" t="n"/>
      <c r="G2851" s="49" t="n"/>
      <c r="H2851" s="48" t="n"/>
      <c r="I2851" s="50" t="n"/>
      <c r="J2851" s="48" t="n"/>
      <c r="K2851" s="48" t="n"/>
      <c r="L2851" s="48" t="n"/>
      <c r="M2851" s="48" t="n"/>
      <c r="N2851" s="48" t="n"/>
      <c r="O2851" s="51">
        <f>IF(AND(B2851="",G2851="",C2851="",D2851="",J2851=""),"",IF(B2851="","⚠ Falta fecha",IF(G2851="","⚠ Falta monto",IF(Q2851="","⚠ Falta cuenta",IF(ISNA(MATCH(Q2851,ctaNombre,0)),"⚠ Cuenta no registrada",IF(AND(OR(P2851="Gasto",P2851="Reembolso"),D2851=""),"⚠ Falta categoría",IF(AND(D2851&lt;&gt;"",E2851&lt;&gt;"",ISNA(MATCH(D2851&amp;"|"&amp;E2851,catClave,0))),"⚠ Subcategoría no corresponde",IF(AND(OR(P2851="Transferencia",P2851="Pago tarjeta"),K2851=""),"⚠ Falta cuenta destino",IF(AND(K2851&lt;&gt;"",P2851&lt;&gt;"Transferencia",P2851&lt;&gt;"Pago tarjeta"),"⚠ Destino solo aplica a transferencias",IF(AND(K2851&lt;&gt;"",K2851=Q2851),"⚠ Origen igual a destino",IF(AND(K2851&lt;&gt;"",ISNA(MATCH(K2851,ctaNombre,0))),"⚠ Destino no registrado",IF(AND(P2851="Pago tarjeta",AE2851&lt;&gt;"Tarjeta de crédito"),"⚠ El destino debe ser tarjeta de crédito",IF(AND(P2851="Gasto",E2851="Depósitos y retiros"),"⚠ Usa tipo Transferencia",IF(AND(P2851="Resultado trading",AD2851&lt;&gt;"Cuenta de trading"),"⚠ Usa una cuenta de trading",IF(AND(G2851&lt;=0,P2851&lt;&gt;"Ajuste",P2851&lt;&gt;"Resultado trading"),"⚠ El monto debe ser positivo","✓")))))))))))))))</f>
        <v/>
      </c>
      <c r="P2851" s="52">
        <f>IF(OR(B2851="",G2851=""),"",IF(C2851="","Gasto",C2851))</f>
        <v/>
      </c>
      <c r="Q2851" s="52">
        <f>IF(P2851="","",IF(J2851&lt;&gt;"",J2851,CuentaPred&amp;""))</f>
        <v/>
      </c>
      <c r="R2851" s="52">
        <f>IF(P2851="","",IF(ISNUMBER(I2851),I2851,TasaUSD))</f>
        <v/>
      </c>
      <c r="S2851" s="53">
        <f>IF(P2851="","",IF(H2851="USD",G2851*R2851,G2851))</f>
        <v/>
      </c>
      <c r="T2851" s="53">
        <f>IF(P2851="","",IF(H2851="USD",G2851,IF(R2851&gt;0,G2851/R2851,0)))</f>
        <v/>
      </c>
      <c r="U2851" s="53">
        <f>IF(P2851="","",IF(P2851="Gasto",S2851,IF(P2851="Reembolso",-S2851,0)))</f>
        <v/>
      </c>
      <c r="V2851" s="53">
        <f>IF(P2851="","",IF(P2851="Ingreso",S2851,0))</f>
        <v/>
      </c>
      <c r="W2851" s="53">
        <f>IF(P2851="","",IF(P2851="Resultado trading",S2851,0))</f>
        <v/>
      </c>
      <c r="X2851" s="52">
        <f>IF(OR(P2851="Gasto",P2851="Reembolso"),IF(M2851&lt;&gt;"",M2851,IFERROR(INDEX(catClasif,MATCH(D2851&amp;"|"&amp;E2851,catClave,0))&amp;"","Variable")),"")</f>
        <v/>
      </c>
      <c r="Y2851" s="52">
        <f>IF(P2851="","",IFERROR(INDEX(catGrupo,MATCH(D2851&amp;"|"&amp;E2851,catClave,0))&amp;"",""))</f>
        <v/>
      </c>
      <c r="Z2851" s="52">
        <f>IF(P2851="","",WEEKDAY(B2851,2))</f>
        <v/>
      </c>
      <c r="AA2851" s="52">
        <f>IF(P2851="","",IF(AND(P2851="Gasto",X2851="Variable",D2851&lt;&gt;catTrading,S2851&gt;0,S2851&lt;=Umbral),1,0))</f>
        <v/>
      </c>
      <c r="AB2851" s="52">
        <f>IF(OR(P2851="",Q2851=""),"",IFERROR(IF(INDEX(ctaVinc,MATCH(Q2851,ctaNombre,0))&amp;""&lt;&gt;"",INDEX(ctaVinc,MATCH(Q2851,ctaNombre,0))&amp;"",Q2851),Q2851))</f>
        <v/>
      </c>
      <c r="AC2851" s="52">
        <f>IF(OR(K2851="",AND(P2851&lt;&gt;"Transferencia",P2851&lt;&gt;"Pago tarjeta")),"",IFERROR(IF(INDEX(ctaVinc,MATCH(K2851,ctaNombre,0))&amp;""&lt;&gt;"",INDEX(ctaVinc,MATCH(K2851,ctaNombre,0))&amp;"",K2851),K2851))</f>
        <v/>
      </c>
      <c r="AD2851" s="52">
        <f>IF(AB2851="","",IFERROR(INDEX(ctaTipo,MATCH(AB2851,ctaNombre,0))&amp;"",""))</f>
        <v/>
      </c>
      <c r="AE2851" s="52">
        <f>IF(AC2851="","",IFERROR(INDEX(ctaTipo,MATCH(AC2851,ctaNombre,0))&amp;"",""))</f>
        <v/>
      </c>
      <c r="AF2851" s="53">
        <f>IF(OR(P2851="",AB2851=""),"",IF(OR(P2851="Gasto",P2851="Transferencia",P2851="Pago tarjeta"),-1,1)*IF(IFERROR(INDEX(ctaMoneda,MATCH(AB2851,ctaNombre,0))&amp;"","DOP")="USD",T2851,S2851))</f>
        <v/>
      </c>
      <c r="AG2851" s="53">
        <f>IF(AC2851="","",IF(IFERROR(INDEX(ctaMoneda,MATCH(AC2851,ctaNombre,0))&amp;"","DOP")="USD",T2851,S2851))</f>
        <v/>
      </c>
      <c r="AH2851" s="53">
        <f>IF(P2851="","",IF(AND(AD2851&lt;&gt;"",COUNTIFS(tcTipo,AD2851,tcLiq,"Sí")&gt;0),IF(OR(P2851="Gasto",P2851="Transferencia",P2851="Pago tarjeta"),-1,1)*S2851,0)+IF(AND(AE2851&lt;&gt;"",COUNTIFS(tcTipo,AE2851,tcLiq,"Sí")&gt;0),S2851,0))</f>
        <v/>
      </c>
      <c r="AI2851" s="52">
        <f>IF(OR(L2851="",P2851=""),"",IF(COUNTIFS(L$6:L2851,L2851,P$6:P2851,"?*")=1,MAX(AI$5:AI2850)+1,""))</f>
        <v/>
      </c>
    </row>
    <row r="2852">
      <c r="B2852" s="47" t="n"/>
      <c r="C2852" s="48" t="n"/>
      <c r="D2852" s="48" t="n"/>
      <c r="E2852" s="48" t="n"/>
      <c r="F2852" s="48" t="n"/>
      <c r="G2852" s="49" t="n"/>
      <c r="H2852" s="48" t="n"/>
      <c r="I2852" s="50" t="n"/>
      <c r="J2852" s="48" t="n"/>
      <c r="K2852" s="48" t="n"/>
      <c r="L2852" s="48" t="n"/>
      <c r="M2852" s="48" t="n"/>
      <c r="N2852" s="48" t="n"/>
      <c r="O2852" s="51">
        <f>IF(AND(B2852="",G2852="",C2852="",D2852="",J2852=""),"",IF(B2852="","⚠ Falta fecha",IF(G2852="","⚠ Falta monto",IF(Q2852="","⚠ Falta cuenta",IF(ISNA(MATCH(Q2852,ctaNombre,0)),"⚠ Cuenta no registrada",IF(AND(OR(P2852="Gasto",P2852="Reembolso"),D2852=""),"⚠ Falta categoría",IF(AND(D2852&lt;&gt;"",E2852&lt;&gt;"",ISNA(MATCH(D2852&amp;"|"&amp;E2852,catClave,0))),"⚠ Subcategoría no corresponde",IF(AND(OR(P2852="Transferencia",P2852="Pago tarjeta"),K2852=""),"⚠ Falta cuenta destino",IF(AND(K2852&lt;&gt;"",P2852&lt;&gt;"Transferencia",P2852&lt;&gt;"Pago tarjeta"),"⚠ Destino solo aplica a transferencias",IF(AND(K2852&lt;&gt;"",K2852=Q2852),"⚠ Origen igual a destino",IF(AND(K2852&lt;&gt;"",ISNA(MATCH(K2852,ctaNombre,0))),"⚠ Destino no registrado",IF(AND(P2852="Pago tarjeta",AE2852&lt;&gt;"Tarjeta de crédito"),"⚠ El destino debe ser tarjeta de crédito",IF(AND(P2852="Gasto",E2852="Depósitos y retiros"),"⚠ Usa tipo Transferencia",IF(AND(P2852="Resultado trading",AD2852&lt;&gt;"Cuenta de trading"),"⚠ Usa una cuenta de trading",IF(AND(G2852&lt;=0,P2852&lt;&gt;"Ajuste",P2852&lt;&gt;"Resultado trading"),"⚠ El monto debe ser positivo","✓")))))))))))))))</f>
        <v/>
      </c>
      <c r="P2852" s="52">
        <f>IF(OR(B2852="",G2852=""),"",IF(C2852="","Gasto",C2852))</f>
        <v/>
      </c>
      <c r="Q2852" s="52">
        <f>IF(P2852="","",IF(J2852&lt;&gt;"",J2852,CuentaPred&amp;""))</f>
        <v/>
      </c>
      <c r="R2852" s="52">
        <f>IF(P2852="","",IF(ISNUMBER(I2852),I2852,TasaUSD))</f>
        <v/>
      </c>
      <c r="S2852" s="53">
        <f>IF(P2852="","",IF(H2852="USD",G2852*R2852,G2852))</f>
        <v/>
      </c>
      <c r="T2852" s="53">
        <f>IF(P2852="","",IF(H2852="USD",G2852,IF(R2852&gt;0,G2852/R2852,0)))</f>
        <v/>
      </c>
      <c r="U2852" s="53">
        <f>IF(P2852="","",IF(P2852="Gasto",S2852,IF(P2852="Reembolso",-S2852,0)))</f>
        <v/>
      </c>
      <c r="V2852" s="53">
        <f>IF(P2852="","",IF(P2852="Ingreso",S2852,0))</f>
        <v/>
      </c>
      <c r="W2852" s="53">
        <f>IF(P2852="","",IF(P2852="Resultado trading",S2852,0))</f>
        <v/>
      </c>
      <c r="X2852" s="52">
        <f>IF(OR(P2852="Gasto",P2852="Reembolso"),IF(M2852&lt;&gt;"",M2852,IFERROR(INDEX(catClasif,MATCH(D2852&amp;"|"&amp;E2852,catClave,0))&amp;"","Variable")),"")</f>
        <v/>
      </c>
      <c r="Y2852" s="52">
        <f>IF(P2852="","",IFERROR(INDEX(catGrupo,MATCH(D2852&amp;"|"&amp;E2852,catClave,0))&amp;"",""))</f>
        <v/>
      </c>
      <c r="Z2852" s="52">
        <f>IF(P2852="","",WEEKDAY(B2852,2))</f>
        <v/>
      </c>
      <c r="AA2852" s="52">
        <f>IF(P2852="","",IF(AND(P2852="Gasto",X2852="Variable",D2852&lt;&gt;catTrading,S2852&gt;0,S2852&lt;=Umbral),1,0))</f>
        <v/>
      </c>
      <c r="AB2852" s="52">
        <f>IF(OR(P2852="",Q2852=""),"",IFERROR(IF(INDEX(ctaVinc,MATCH(Q2852,ctaNombre,0))&amp;""&lt;&gt;"",INDEX(ctaVinc,MATCH(Q2852,ctaNombre,0))&amp;"",Q2852),Q2852))</f>
        <v/>
      </c>
      <c r="AC2852" s="52">
        <f>IF(OR(K2852="",AND(P2852&lt;&gt;"Transferencia",P2852&lt;&gt;"Pago tarjeta")),"",IFERROR(IF(INDEX(ctaVinc,MATCH(K2852,ctaNombre,0))&amp;""&lt;&gt;"",INDEX(ctaVinc,MATCH(K2852,ctaNombre,0))&amp;"",K2852),K2852))</f>
        <v/>
      </c>
      <c r="AD2852" s="52">
        <f>IF(AB2852="","",IFERROR(INDEX(ctaTipo,MATCH(AB2852,ctaNombre,0))&amp;"",""))</f>
        <v/>
      </c>
      <c r="AE2852" s="52">
        <f>IF(AC2852="","",IFERROR(INDEX(ctaTipo,MATCH(AC2852,ctaNombre,0))&amp;"",""))</f>
        <v/>
      </c>
      <c r="AF2852" s="53">
        <f>IF(OR(P2852="",AB2852=""),"",IF(OR(P2852="Gasto",P2852="Transferencia",P2852="Pago tarjeta"),-1,1)*IF(IFERROR(INDEX(ctaMoneda,MATCH(AB2852,ctaNombre,0))&amp;"","DOP")="USD",T2852,S2852))</f>
        <v/>
      </c>
      <c r="AG2852" s="53">
        <f>IF(AC2852="","",IF(IFERROR(INDEX(ctaMoneda,MATCH(AC2852,ctaNombre,0))&amp;"","DOP")="USD",T2852,S2852))</f>
        <v/>
      </c>
      <c r="AH2852" s="53">
        <f>IF(P2852="","",IF(AND(AD2852&lt;&gt;"",COUNTIFS(tcTipo,AD2852,tcLiq,"Sí")&gt;0),IF(OR(P2852="Gasto",P2852="Transferencia",P2852="Pago tarjeta"),-1,1)*S2852,0)+IF(AND(AE2852&lt;&gt;"",COUNTIFS(tcTipo,AE2852,tcLiq,"Sí")&gt;0),S2852,0))</f>
        <v/>
      </c>
      <c r="AI2852" s="52">
        <f>IF(OR(L2852="",P2852=""),"",IF(COUNTIFS(L$6:L2852,L2852,P$6:P2852,"?*")=1,MAX(AI$5:AI2851)+1,""))</f>
        <v/>
      </c>
    </row>
    <row r="2853">
      <c r="B2853" s="47" t="n"/>
      <c r="C2853" s="48" t="n"/>
      <c r="D2853" s="48" t="n"/>
      <c r="E2853" s="48" t="n"/>
      <c r="F2853" s="48" t="n"/>
      <c r="G2853" s="49" t="n"/>
      <c r="H2853" s="48" t="n"/>
      <c r="I2853" s="50" t="n"/>
      <c r="J2853" s="48" t="n"/>
      <c r="K2853" s="48" t="n"/>
      <c r="L2853" s="48" t="n"/>
      <c r="M2853" s="48" t="n"/>
      <c r="N2853" s="48" t="n"/>
      <c r="O2853" s="51">
        <f>IF(AND(B2853="",G2853="",C2853="",D2853="",J2853=""),"",IF(B2853="","⚠ Falta fecha",IF(G2853="","⚠ Falta monto",IF(Q2853="","⚠ Falta cuenta",IF(ISNA(MATCH(Q2853,ctaNombre,0)),"⚠ Cuenta no registrada",IF(AND(OR(P2853="Gasto",P2853="Reembolso"),D2853=""),"⚠ Falta categoría",IF(AND(D2853&lt;&gt;"",E2853&lt;&gt;"",ISNA(MATCH(D2853&amp;"|"&amp;E2853,catClave,0))),"⚠ Subcategoría no corresponde",IF(AND(OR(P2853="Transferencia",P2853="Pago tarjeta"),K2853=""),"⚠ Falta cuenta destino",IF(AND(K2853&lt;&gt;"",P2853&lt;&gt;"Transferencia",P2853&lt;&gt;"Pago tarjeta"),"⚠ Destino solo aplica a transferencias",IF(AND(K2853&lt;&gt;"",K2853=Q2853),"⚠ Origen igual a destino",IF(AND(K2853&lt;&gt;"",ISNA(MATCH(K2853,ctaNombre,0))),"⚠ Destino no registrado",IF(AND(P2853="Pago tarjeta",AE2853&lt;&gt;"Tarjeta de crédito"),"⚠ El destino debe ser tarjeta de crédito",IF(AND(P2853="Gasto",E2853="Depósitos y retiros"),"⚠ Usa tipo Transferencia",IF(AND(P2853="Resultado trading",AD2853&lt;&gt;"Cuenta de trading"),"⚠ Usa una cuenta de trading",IF(AND(G2853&lt;=0,P2853&lt;&gt;"Ajuste",P2853&lt;&gt;"Resultado trading"),"⚠ El monto debe ser positivo","✓")))))))))))))))</f>
        <v/>
      </c>
      <c r="P2853" s="52">
        <f>IF(OR(B2853="",G2853=""),"",IF(C2853="","Gasto",C2853))</f>
        <v/>
      </c>
      <c r="Q2853" s="52">
        <f>IF(P2853="","",IF(J2853&lt;&gt;"",J2853,CuentaPred&amp;""))</f>
        <v/>
      </c>
      <c r="R2853" s="52">
        <f>IF(P2853="","",IF(ISNUMBER(I2853),I2853,TasaUSD))</f>
        <v/>
      </c>
      <c r="S2853" s="53">
        <f>IF(P2853="","",IF(H2853="USD",G2853*R2853,G2853))</f>
        <v/>
      </c>
      <c r="T2853" s="53">
        <f>IF(P2853="","",IF(H2853="USD",G2853,IF(R2853&gt;0,G2853/R2853,0)))</f>
        <v/>
      </c>
      <c r="U2853" s="53">
        <f>IF(P2853="","",IF(P2853="Gasto",S2853,IF(P2853="Reembolso",-S2853,0)))</f>
        <v/>
      </c>
      <c r="V2853" s="53">
        <f>IF(P2853="","",IF(P2853="Ingreso",S2853,0))</f>
        <v/>
      </c>
      <c r="W2853" s="53">
        <f>IF(P2853="","",IF(P2853="Resultado trading",S2853,0))</f>
        <v/>
      </c>
      <c r="X2853" s="52">
        <f>IF(OR(P2853="Gasto",P2853="Reembolso"),IF(M2853&lt;&gt;"",M2853,IFERROR(INDEX(catClasif,MATCH(D2853&amp;"|"&amp;E2853,catClave,0))&amp;"","Variable")),"")</f>
        <v/>
      </c>
      <c r="Y2853" s="52">
        <f>IF(P2853="","",IFERROR(INDEX(catGrupo,MATCH(D2853&amp;"|"&amp;E2853,catClave,0))&amp;"",""))</f>
        <v/>
      </c>
      <c r="Z2853" s="52">
        <f>IF(P2853="","",WEEKDAY(B2853,2))</f>
        <v/>
      </c>
      <c r="AA2853" s="52">
        <f>IF(P2853="","",IF(AND(P2853="Gasto",X2853="Variable",D2853&lt;&gt;catTrading,S2853&gt;0,S2853&lt;=Umbral),1,0))</f>
        <v/>
      </c>
      <c r="AB2853" s="52">
        <f>IF(OR(P2853="",Q2853=""),"",IFERROR(IF(INDEX(ctaVinc,MATCH(Q2853,ctaNombre,0))&amp;""&lt;&gt;"",INDEX(ctaVinc,MATCH(Q2853,ctaNombre,0))&amp;"",Q2853),Q2853))</f>
        <v/>
      </c>
      <c r="AC2853" s="52">
        <f>IF(OR(K2853="",AND(P2853&lt;&gt;"Transferencia",P2853&lt;&gt;"Pago tarjeta")),"",IFERROR(IF(INDEX(ctaVinc,MATCH(K2853,ctaNombre,0))&amp;""&lt;&gt;"",INDEX(ctaVinc,MATCH(K2853,ctaNombre,0))&amp;"",K2853),K2853))</f>
        <v/>
      </c>
      <c r="AD2853" s="52">
        <f>IF(AB2853="","",IFERROR(INDEX(ctaTipo,MATCH(AB2853,ctaNombre,0))&amp;"",""))</f>
        <v/>
      </c>
      <c r="AE2853" s="52">
        <f>IF(AC2853="","",IFERROR(INDEX(ctaTipo,MATCH(AC2853,ctaNombre,0))&amp;"",""))</f>
        <v/>
      </c>
      <c r="AF2853" s="53">
        <f>IF(OR(P2853="",AB2853=""),"",IF(OR(P2853="Gasto",P2853="Transferencia",P2853="Pago tarjeta"),-1,1)*IF(IFERROR(INDEX(ctaMoneda,MATCH(AB2853,ctaNombre,0))&amp;"","DOP")="USD",T2853,S2853))</f>
        <v/>
      </c>
      <c r="AG2853" s="53">
        <f>IF(AC2853="","",IF(IFERROR(INDEX(ctaMoneda,MATCH(AC2853,ctaNombre,0))&amp;"","DOP")="USD",T2853,S2853))</f>
        <v/>
      </c>
      <c r="AH2853" s="53">
        <f>IF(P2853="","",IF(AND(AD2853&lt;&gt;"",COUNTIFS(tcTipo,AD2853,tcLiq,"Sí")&gt;0),IF(OR(P2853="Gasto",P2853="Transferencia",P2853="Pago tarjeta"),-1,1)*S2853,0)+IF(AND(AE2853&lt;&gt;"",COUNTIFS(tcTipo,AE2853,tcLiq,"Sí")&gt;0),S2853,0))</f>
        <v/>
      </c>
      <c r="AI2853" s="52">
        <f>IF(OR(L2853="",P2853=""),"",IF(COUNTIFS(L$6:L2853,L2853,P$6:P2853,"?*")=1,MAX(AI$5:AI2852)+1,""))</f>
        <v/>
      </c>
    </row>
    <row r="2854">
      <c r="B2854" s="47" t="n"/>
      <c r="C2854" s="48" t="n"/>
      <c r="D2854" s="48" t="n"/>
      <c r="E2854" s="48" t="n"/>
      <c r="F2854" s="48" t="n"/>
      <c r="G2854" s="49" t="n"/>
      <c r="H2854" s="48" t="n"/>
      <c r="I2854" s="50" t="n"/>
      <c r="J2854" s="48" t="n"/>
      <c r="K2854" s="48" t="n"/>
      <c r="L2854" s="48" t="n"/>
      <c r="M2854" s="48" t="n"/>
      <c r="N2854" s="48" t="n"/>
      <c r="O2854" s="51">
        <f>IF(AND(B2854="",G2854="",C2854="",D2854="",J2854=""),"",IF(B2854="","⚠ Falta fecha",IF(G2854="","⚠ Falta monto",IF(Q2854="","⚠ Falta cuenta",IF(ISNA(MATCH(Q2854,ctaNombre,0)),"⚠ Cuenta no registrada",IF(AND(OR(P2854="Gasto",P2854="Reembolso"),D2854=""),"⚠ Falta categoría",IF(AND(D2854&lt;&gt;"",E2854&lt;&gt;"",ISNA(MATCH(D2854&amp;"|"&amp;E2854,catClave,0))),"⚠ Subcategoría no corresponde",IF(AND(OR(P2854="Transferencia",P2854="Pago tarjeta"),K2854=""),"⚠ Falta cuenta destino",IF(AND(K2854&lt;&gt;"",P2854&lt;&gt;"Transferencia",P2854&lt;&gt;"Pago tarjeta"),"⚠ Destino solo aplica a transferencias",IF(AND(K2854&lt;&gt;"",K2854=Q2854),"⚠ Origen igual a destino",IF(AND(K2854&lt;&gt;"",ISNA(MATCH(K2854,ctaNombre,0))),"⚠ Destino no registrado",IF(AND(P2854="Pago tarjeta",AE2854&lt;&gt;"Tarjeta de crédito"),"⚠ El destino debe ser tarjeta de crédito",IF(AND(P2854="Gasto",E2854="Depósitos y retiros"),"⚠ Usa tipo Transferencia",IF(AND(P2854="Resultado trading",AD2854&lt;&gt;"Cuenta de trading"),"⚠ Usa una cuenta de trading",IF(AND(G2854&lt;=0,P2854&lt;&gt;"Ajuste",P2854&lt;&gt;"Resultado trading"),"⚠ El monto debe ser positivo","✓")))))))))))))))</f>
        <v/>
      </c>
      <c r="P2854" s="52">
        <f>IF(OR(B2854="",G2854=""),"",IF(C2854="","Gasto",C2854))</f>
        <v/>
      </c>
      <c r="Q2854" s="52">
        <f>IF(P2854="","",IF(J2854&lt;&gt;"",J2854,CuentaPred&amp;""))</f>
        <v/>
      </c>
      <c r="R2854" s="52">
        <f>IF(P2854="","",IF(ISNUMBER(I2854),I2854,TasaUSD))</f>
        <v/>
      </c>
      <c r="S2854" s="53">
        <f>IF(P2854="","",IF(H2854="USD",G2854*R2854,G2854))</f>
        <v/>
      </c>
      <c r="T2854" s="53">
        <f>IF(P2854="","",IF(H2854="USD",G2854,IF(R2854&gt;0,G2854/R2854,0)))</f>
        <v/>
      </c>
      <c r="U2854" s="53">
        <f>IF(P2854="","",IF(P2854="Gasto",S2854,IF(P2854="Reembolso",-S2854,0)))</f>
        <v/>
      </c>
      <c r="V2854" s="53">
        <f>IF(P2854="","",IF(P2854="Ingreso",S2854,0))</f>
        <v/>
      </c>
      <c r="W2854" s="53">
        <f>IF(P2854="","",IF(P2854="Resultado trading",S2854,0))</f>
        <v/>
      </c>
      <c r="X2854" s="52">
        <f>IF(OR(P2854="Gasto",P2854="Reembolso"),IF(M2854&lt;&gt;"",M2854,IFERROR(INDEX(catClasif,MATCH(D2854&amp;"|"&amp;E2854,catClave,0))&amp;"","Variable")),"")</f>
        <v/>
      </c>
      <c r="Y2854" s="52">
        <f>IF(P2854="","",IFERROR(INDEX(catGrupo,MATCH(D2854&amp;"|"&amp;E2854,catClave,0))&amp;"",""))</f>
        <v/>
      </c>
      <c r="Z2854" s="52">
        <f>IF(P2854="","",WEEKDAY(B2854,2))</f>
        <v/>
      </c>
      <c r="AA2854" s="52">
        <f>IF(P2854="","",IF(AND(P2854="Gasto",X2854="Variable",D2854&lt;&gt;catTrading,S2854&gt;0,S2854&lt;=Umbral),1,0))</f>
        <v/>
      </c>
      <c r="AB2854" s="52">
        <f>IF(OR(P2854="",Q2854=""),"",IFERROR(IF(INDEX(ctaVinc,MATCH(Q2854,ctaNombre,0))&amp;""&lt;&gt;"",INDEX(ctaVinc,MATCH(Q2854,ctaNombre,0))&amp;"",Q2854),Q2854))</f>
        <v/>
      </c>
      <c r="AC2854" s="52">
        <f>IF(OR(K2854="",AND(P2854&lt;&gt;"Transferencia",P2854&lt;&gt;"Pago tarjeta")),"",IFERROR(IF(INDEX(ctaVinc,MATCH(K2854,ctaNombre,0))&amp;""&lt;&gt;"",INDEX(ctaVinc,MATCH(K2854,ctaNombre,0))&amp;"",K2854),K2854))</f>
        <v/>
      </c>
      <c r="AD2854" s="52">
        <f>IF(AB2854="","",IFERROR(INDEX(ctaTipo,MATCH(AB2854,ctaNombre,0))&amp;"",""))</f>
        <v/>
      </c>
      <c r="AE2854" s="52">
        <f>IF(AC2854="","",IFERROR(INDEX(ctaTipo,MATCH(AC2854,ctaNombre,0))&amp;"",""))</f>
        <v/>
      </c>
      <c r="AF2854" s="53">
        <f>IF(OR(P2854="",AB2854=""),"",IF(OR(P2854="Gasto",P2854="Transferencia",P2854="Pago tarjeta"),-1,1)*IF(IFERROR(INDEX(ctaMoneda,MATCH(AB2854,ctaNombre,0))&amp;"","DOP")="USD",T2854,S2854))</f>
        <v/>
      </c>
      <c r="AG2854" s="53">
        <f>IF(AC2854="","",IF(IFERROR(INDEX(ctaMoneda,MATCH(AC2854,ctaNombre,0))&amp;"","DOP")="USD",T2854,S2854))</f>
        <v/>
      </c>
      <c r="AH2854" s="53">
        <f>IF(P2854="","",IF(AND(AD2854&lt;&gt;"",COUNTIFS(tcTipo,AD2854,tcLiq,"Sí")&gt;0),IF(OR(P2854="Gasto",P2854="Transferencia",P2854="Pago tarjeta"),-1,1)*S2854,0)+IF(AND(AE2854&lt;&gt;"",COUNTIFS(tcTipo,AE2854,tcLiq,"Sí")&gt;0),S2854,0))</f>
        <v/>
      </c>
      <c r="AI2854" s="52">
        <f>IF(OR(L2854="",P2854=""),"",IF(COUNTIFS(L$6:L2854,L2854,P$6:P2854,"?*")=1,MAX(AI$5:AI2853)+1,""))</f>
        <v/>
      </c>
    </row>
    <row r="2855">
      <c r="B2855" s="47" t="n"/>
      <c r="C2855" s="48" t="n"/>
      <c r="D2855" s="48" t="n"/>
      <c r="E2855" s="48" t="n"/>
      <c r="F2855" s="48" t="n"/>
      <c r="G2855" s="49" t="n"/>
      <c r="H2855" s="48" t="n"/>
      <c r="I2855" s="50" t="n"/>
      <c r="J2855" s="48" t="n"/>
      <c r="K2855" s="48" t="n"/>
      <c r="L2855" s="48" t="n"/>
      <c r="M2855" s="48" t="n"/>
      <c r="N2855" s="48" t="n"/>
      <c r="O2855" s="51">
        <f>IF(AND(B2855="",G2855="",C2855="",D2855="",J2855=""),"",IF(B2855="","⚠ Falta fecha",IF(G2855="","⚠ Falta monto",IF(Q2855="","⚠ Falta cuenta",IF(ISNA(MATCH(Q2855,ctaNombre,0)),"⚠ Cuenta no registrada",IF(AND(OR(P2855="Gasto",P2855="Reembolso"),D2855=""),"⚠ Falta categoría",IF(AND(D2855&lt;&gt;"",E2855&lt;&gt;"",ISNA(MATCH(D2855&amp;"|"&amp;E2855,catClave,0))),"⚠ Subcategoría no corresponde",IF(AND(OR(P2855="Transferencia",P2855="Pago tarjeta"),K2855=""),"⚠ Falta cuenta destino",IF(AND(K2855&lt;&gt;"",P2855&lt;&gt;"Transferencia",P2855&lt;&gt;"Pago tarjeta"),"⚠ Destino solo aplica a transferencias",IF(AND(K2855&lt;&gt;"",K2855=Q2855),"⚠ Origen igual a destino",IF(AND(K2855&lt;&gt;"",ISNA(MATCH(K2855,ctaNombre,0))),"⚠ Destino no registrado",IF(AND(P2855="Pago tarjeta",AE2855&lt;&gt;"Tarjeta de crédito"),"⚠ El destino debe ser tarjeta de crédito",IF(AND(P2855="Gasto",E2855="Depósitos y retiros"),"⚠ Usa tipo Transferencia",IF(AND(P2855="Resultado trading",AD2855&lt;&gt;"Cuenta de trading"),"⚠ Usa una cuenta de trading",IF(AND(G2855&lt;=0,P2855&lt;&gt;"Ajuste",P2855&lt;&gt;"Resultado trading"),"⚠ El monto debe ser positivo","✓")))))))))))))))</f>
        <v/>
      </c>
      <c r="P2855" s="52">
        <f>IF(OR(B2855="",G2855=""),"",IF(C2855="","Gasto",C2855))</f>
        <v/>
      </c>
      <c r="Q2855" s="52">
        <f>IF(P2855="","",IF(J2855&lt;&gt;"",J2855,CuentaPred&amp;""))</f>
        <v/>
      </c>
      <c r="R2855" s="52">
        <f>IF(P2855="","",IF(ISNUMBER(I2855),I2855,TasaUSD))</f>
        <v/>
      </c>
      <c r="S2855" s="53">
        <f>IF(P2855="","",IF(H2855="USD",G2855*R2855,G2855))</f>
        <v/>
      </c>
      <c r="T2855" s="53">
        <f>IF(P2855="","",IF(H2855="USD",G2855,IF(R2855&gt;0,G2855/R2855,0)))</f>
        <v/>
      </c>
      <c r="U2855" s="53">
        <f>IF(P2855="","",IF(P2855="Gasto",S2855,IF(P2855="Reembolso",-S2855,0)))</f>
        <v/>
      </c>
      <c r="V2855" s="53">
        <f>IF(P2855="","",IF(P2855="Ingreso",S2855,0))</f>
        <v/>
      </c>
      <c r="W2855" s="53">
        <f>IF(P2855="","",IF(P2855="Resultado trading",S2855,0))</f>
        <v/>
      </c>
      <c r="X2855" s="52">
        <f>IF(OR(P2855="Gasto",P2855="Reembolso"),IF(M2855&lt;&gt;"",M2855,IFERROR(INDEX(catClasif,MATCH(D2855&amp;"|"&amp;E2855,catClave,0))&amp;"","Variable")),"")</f>
        <v/>
      </c>
      <c r="Y2855" s="52">
        <f>IF(P2855="","",IFERROR(INDEX(catGrupo,MATCH(D2855&amp;"|"&amp;E2855,catClave,0))&amp;"",""))</f>
        <v/>
      </c>
      <c r="Z2855" s="52">
        <f>IF(P2855="","",WEEKDAY(B2855,2))</f>
        <v/>
      </c>
      <c r="AA2855" s="52">
        <f>IF(P2855="","",IF(AND(P2855="Gasto",X2855="Variable",D2855&lt;&gt;catTrading,S2855&gt;0,S2855&lt;=Umbral),1,0))</f>
        <v/>
      </c>
      <c r="AB2855" s="52">
        <f>IF(OR(P2855="",Q2855=""),"",IFERROR(IF(INDEX(ctaVinc,MATCH(Q2855,ctaNombre,0))&amp;""&lt;&gt;"",INDEX(ctaVinc,MATCH(Q2855,ctaNombre,0))&amp;"",Q2855),Q2855))</f>
        <v/>
      </c>
      <c r="AC2855" s="52">
        <f>IF(OR(K2855="",AND(P2855&lt;&gt;"Transferencia",P2855&lt;&gt;"Pago tarjeta")),"",IFERROR(IF(INDEX(ctaVinc,MATCH(K2855,ctaNombre,0))&amp;""&lt;&gt;"",INDEX(ctaVinc,MATCH(K2855,ctaNombre,0))&amp;"",K2855),K2855))</f>
        <v/>
      </c>
      <c r="AD2855" s="52">
        <f>IF(AB2855="","",IFERROR(INDEX(ctaTipo,MATCH(AB2855,ctaNombre,0))&amp;"",""))</f>
        <v/>
      </c>
      <c r="AE2855" s="52">
        <f>IF(AC2855="","",IFERROR(INDEX(ctaTipo,MATCH(AC2855,ctaNombre,0))&amp;"",""))</f>
        <v/>
      </c>
      <c r="AF2855" s="53">
        <f>IF(OR(P2855="",AB2855=""),"",IF(OR(P2855="Gasto",P2855="Transferencia",P2855="Pago tarjeta"),-1,1)*IF(IFERROR(INDEX(ctaMoneda,MATCH(AB2855,ctaNombre,0))&amp;"","DOP")="USD",T2855,S2855))</f>
        <v/>
      </c>
      <c r="AG2855" s="53">
        <f>IF(AC2855="","",IF(IFERROR(INDEX(ctaMoneda,MATCH(AC2855,ctaNombre,0))&amp;"","DOP")="USD",T2855,S2855))</f>
        <v/>
      </c>
      <c r="AH2855" s="53">
        <f>IF(P2855="","",IF(AND(AD2855&lt;&gt;"",COUNTIFS(tcTipo,AD2855,tcLiq,"Sí")&gt;0),IF(OR(P2855="Gasto",P2855="Transferencia",P2855="Pago tarjeta"),-1,1)*S2855,0)+IF(AND(AE2855&lt;&gt;"",COUNTIFS(tcTipo,AE2855,tcLiq,"Sí")&gt;0),S2855,0))</f>
        <v/>
      </c>
      <c r="AI2855" s="52">
        <f>IF(OR(L2855="",P2855=""),"",IF(COUNTIFS(L$6:L2855,L2855,P$6:P2855,"?*")=1,MAX(AI$5:AI2854)+1,""))</f>
        <v/>
      </c>
    </row>
    <row r="2856">
      <c r="B2856" s="47" t="n"/>
      <c r="C2856" s="48" t="n"/>
      <c r="D2856" s="48" t="n"/>
      <c r="E2856" s="48" t="n"/>
      <c r="F2856" s="48" t="n"/>
      <c r="G2856" s="49" t="n"/>
      <c r="H2856" s="48" t="n"/>
      <c r="I2856" s="50" t="n"/>
      <c r="J2856" s="48" t="n"/>
      <c r="K2856" s="48" t="n"/>
      <c r="L2856" s="48" t="n"/>
      <c r="M2856" s="48" t="n"/>
      <c r="N2856" s="48" t="n"/>
      <c r="O2856" s="51">
        <f>IF(AND(B2856="",G2856="",C2856="",D2856="",J2856=""),"",IF(B2856="","⚠ Falta fecha",IF(G2856="","⚠ Falta monto",IF(Q2856="","⚠ Falta cuenta",IF(ISNA(MATCH(Q2856,ctaNombre,0)),"⚠ Cuenta no registrada",IF(AND(OR(P2856="Gasto",P2856="Reembolso"),D2856=""),"⚠ Falta categoría",IF(AND(D2856&lt;&gt;"",E2856&lt;&gt;"",ISNA(MATCH(D2856&amp;"|"&amp;E2856,catClave,0))),"⚠ Subcategoría no corresponde",IF(AND(OR(P2856="Transferencia",P2856="Pago tarjeta"),K2856=""),"⚠ Falta cuenta destino",IF(AND(K2856&lt;&gt;"",P2856&lt;&gt;"Transferencia",P2856&lt;&gt;"Pago tarjeta"),"⚠ Destino solo aplica a transferencias",IF(AND(K2856&lt;&gt;"",K2856=Q2856),"⚠ Origen igual a destino",IF(AND(K2856&lt;&gt;"",ISNA(MATCH(K2856,ctaNombre,0))),"⚠ Destino no registrado",IF(AND(P2856="Pago tarjeta",AE2856&lt;&gt;"Tarjeta de crédito"),"⚠ El destino debe ser tarjeta de crédito",IF(AND(P2856="Gasto",E2856="Depósitos y retiros"),"⚠ Usa tipo Transferencia",IF(AND(P2856="Resultado trading",AD2856&lt;&gt;"Cuenta de trading"),"⚠ Usa una cuenta de trading",IF(AND(G2856&lt;=0,P2856&lt;&gt;"Ajuste",P2856&lt;&gt;"Resultado trading"),"⚠ El monto debe ser positivo","✓")))))))))))))))</f>
        <v/>
      </c>
      <c r="P2856" s="52">
        <f>IF(OR(B2856="",G2856=""),"",IF(C2856="","Gasto",C2856))</f>
        <v/>
      </c>
      <c r="Q2856" s="52">
        <f>IF(P2856="","",IF(J2856&lt;&gt;"",J2856,CuentaPred&amp;""))</f>
        <v/>
      </c>
      <c r="R2856" s="52">
        <f>IF(P2856="","",IF(ISNUMBER(I2856),I2856,TasaUSD))</f>
        <v/>
      </c>
      <c r="S2856" s="53">
        <f>IF(P2856="","",IF(H2856="USD",G2856*R2856,G2856))</f>
        <v/>
      </c>
      <c r="T2856" s="53">
        <f>IF(P2856="","",IF(H2856="USD",G2856,IF(R2856&gt;0,G2856/R2856,0)))</f>
        <v/>
      </c>
      <c r="U2856" s="53">
        <f>IF(P2856="","",IF(P2856="Gasto",S2856,IF(P2856="Reembolso",-S2856,0)))</f>
        <v/>
      </c>
      <c r="V2856" s="53">
        <f>IF(P2856="","",IF(P2856="Ingreso",S2856,0))</f>
        <v/>
      </c>
      <c r="W2856" s="53">
        <f>IF(P2856="","",IF(P2856="Resultado trading",S2856,0))</f>
        <v/>
      </c>
      <c r="X2856" s="52">
        <f>IF(OR(P2856="Gasto",P2856="Reembolso"),IF(M2856&lt;&gt;"",M2856,IFERROR(INDEX(catClasif,MATCH(D2856&amp;"|"&amp;E2856,catClave,0))&amp;"","Variable")),"")</f>
        <v/>
      </c>
      <c r="Y2856" s="52">
        <f>IF(P2856="","",IFERROR(INDEX(catGrupo,MATCH(D2856&amp;"|"&amp;E2856,catClave,0))&amp;"",""))</f>
        <v/>
      </c>
      <c r="Z2856" s="52">
        <f>IF(P2856="","",WEEKDAY(B2856,2))</f>
        <v/>
      </c>
      <c r="AA2856" s="52">
        <f>IF(P2856="","",IF(AND(P2856="Gasto",X2856="Variable",D2856&lt;&gt;catTrading,S2856&gt;0,S2856&lt;=Umbral),1,0))</f>
        <v/>
      </c>
      <c r="AB2856" s="52">
        <f>IF(OR(P2856="",Q2856=""),"",IFERROR(IF(INDEX(ctaVinc,MATCH(Q2856,ctaNombre,0))&amp;""&lt;&gt;"",INDEX(ctaVinc,MATCH(Q2856,ctaNombre,0))&amp;"",Q2856),Q2856))</f>
        <v/>
      </c>
      <c r="AC2856" s="52">
        <f>IF(OR(K2856="",AND(P2856&lt;&gt;"Transferencia",P2856&lt;&gt;"Pago tarjeta")),"",IFERROR(IF(INDEX(ctaVinc,MATCH(K2856,ctaNombre,0))&amp;""&lt;&gt;"",INDEX(ctaVinc,MATCH(K2856,ctaNombre,0))&amp;"",K2856),K2856))</f>
        <v/>
      </c>
      <c r="AD2856" s="52">
        <f>IF(AB2856="","",IFERROR(INDEX(ctaTipo,MATCH(AB2856,ctaNombre,0))&amp;"",""))</f>
        <v/>
      </c>
      <c r="AE2856" s="52">
        <f>IF(AC2856="","",IFERROR(INDEX(ctaTipo,MATCH(AC2856,ctaNombre,0))&amp;"",""))</f>
        <v/>
      </c>
      <c r="AF2856" s="53">
        <f>IF(OR(P2856="",AB2856=""),"",IF(OR(P2856="Gasto",P2856="Transferencia",P2856="Pago tarjeta"),-1,1)*IF(IFERROR(INDEX(ctaMoneda,MATCH(AB2856,ctaNombre,0))&amp;"","DOP")="USD",T2856,S2856))</f>
        <v/>
      </c>
      <c r="AG2856" s="53">
        <f>IF(AC2856="","",IF(IFERROR(INDEX(ctaMoneda,MATCH(AC2856,ctaNombre,0))&amp;"","DOP")="USD",T2856,S2856))</f>
        <v/>
      </c>
      <c r="AH2856" s="53">
        <f>IF(P2856="","",IF(AND(AD2856&lt;&gt;"",COUNTIFS(tcTipo,AD2856,tcLiq,"Sí")&gt;0),IF(OR(P2856="Gasto",P2856="Transferencia",P2856="Pago tarjeta"),-1,1)*S2856,0)+IF(AND(AE2856&lt;&gt;"",COUNTIFS(tcTipo,AE2856,tcLiq,"Sí")&gt;0),S2856,0))</f>
        <v/>
      </c>
      <c r="AI2856" s="52">
        <f>IF(OR(L2856="",P2856=""),"",IF(COUNTIFS(L$6:L2856,L2856,P$6:P2856,"?*")=1,MAX(AI$5:AI2855)+1,""))</f>
        <v/>
      </c>
    </row>
    <row r="2857">
      <c r="B2857" s="47" t="n"/>
      <c r="C2857" s="48" t="n"/>
      <c r="D2857" s="48" t="n"/>
      <c r="E2857" s="48" t="n"/>
      <c r="F2857" s="48" t="n"/>
      <c r="G2857" s="49" t="n"/>
      <c r="H2857" s="48" t="n"/>
      <c r="I2857" s="50" t="n"/>
      <c r="J2857" s="48" t="n"/>
      <c r="K2857" s="48" t="n"/>
      <c r="L2857" s="48" t="n"/>
      <c r="M2857" s="48" t="n"/>
      <c r="N2857" s="48" t="n"/>
      <c r="O2857" s="51">
        <f>IF(AND(B2857="",G2857="",C2857="",D2857="",J2857=""),"",IF(B2857="","⚠ Falta fecha",IF(G2857="","⚠ Falta monto",IF(Q2857="","⚠ Falta cuenta",IF(ISNA(MATCH(Q2857,ctaNombre,0)),"⚠ Cuenta no registrada",IF(AND(OR(P2857="Gasto",P2857="Reembolso"),D2857=""),"⚠ Falta categoría",IF(AND(D2857&lt;&gt;"",E2857&lt;&gt;"",ISNA(MATCH(D2857&amp;"|"&amp;E2857,catClave,0))),"⚠ Subcategoría no corresponde",IF(AND(OR(P2857="Transferencia",P2857="Pago tarjeta"),K2857=""),"⚠ Falta cuenta destino",IF(AND(K2857&lt;&gt;"",P2857&lt;&gt;"Transferencia",P2857&lt;&gt;"Pago tarjeta"),"⚠ Destino solo aplica a transferencias",IF(AND(K2857&lt;&gt;"",K2857=Q2857),"⚠ Origen igual a destino",IF(AND(K2857&lt;&gt;"",ISNA(MATCH(K2857,ctaNombre,0))),"⚠ Destino no registrado",IF(AND(P2857="Pago tarjeta",AE2857&lt;&gt;"Tarjeta de crédito"),"⚠ El destino debe ser tarjeta de crédito",IF(AND(P2857="Gasto",E2857="Depósitos y retiros"),"⚠ Usa tipo Transferencia",IF(AND(P2857="Resultado trading",AD2857&lt;&gt;"Cuenta de trading"),"⚠ Usa una cuenta de trading",IF(AND(G2857&lt;=0,P2857&lt;&gt;"Ajuste",P2857&lt;&gt;"Resultado trading"),"⚠ El monto debe ser positivo","✓")))))))))))))))</f>
        <v/>
      </c>
      <c r="P2857" s="52">
        <f>IF(OR(B2857="",G2857=""),"",IF(C2857="","Gasto",C2857))</f>
        <v/>
      </c>
      <c r="Q2857" s="52">
        <f>IF(P2857="","",IF(J2857&lt;&gt;"",J2857,CuentaPred&amp;""))</f>
        <v/>
      </c>
      <c r="R2857" s="52">
        <f>IF(P2857="","",IF(ISNUMBER(I2857),I2857,TasaUSD))</f>
        <v/>
      </c>
      <c r="S2857" s="53">
        <f>IF(P2857="","",IF(H2857="USD",G2857*R2857,G2857))</f>
        <v/>
      </c>
      <c r="T2857" s="53">
        <f>IF(P2857="","",IF(H2857="USD",G2857,IF(R2857&gt;0,G2857/R2857,0)))</f>
        <v/>
      </c>
      <c r="U2857" s="53">
        <f>IF(P2857="","",IF(P2857="Gasto",S2857,IF(P2857="Reembolso",-S2857,0)))</f>
        <v/>
      </c>
      <c r="V2857" s="53">
        <f>IF(P2857="","",IF(P2857="Ingreso",S2857,0))</f>
        <v/>
      </c>
      <c r="W2857" s="53">
        <f>IF(P2857="","",IF(P2857="Resultado trading",S2857,0))</f>
        <v/>
      </c>
      <c r="X2857" s="52">
        <f>IF(OR(P2857="Gasto",P2857="Reembolso"),IF(M2857&lt;&gt;"",M2857,IFERROR(INDEX(catClasif,MATCH(D2857&amp;"|"&amp;E2857,catClave,0))&amp;"","Variable")),"")</f>
        <v/>
      </c>
      <c r="Y2857" s="52">
        <f>IF(P2857="","",IFERROR(INDEX(catGrupo,MATCH(D2857&amp;"|"&amp;E2857,catClave,0))&amp;"",""))</f>
        <v/>
      </c>
      <c r="Z2857" s="52">
        <f>IF(P2857="","",WEEKDAY(B2857,2))</f>
        <v/>
      </c>
      <c r="AA2857" s="52">
        <f>IF(P2857="","",IF(AND(P2857="Gasto",X2857="Variable",D2857&lt;&gt;catTrading,S2857&gt;0,S2857&lt;=Umbral),1,0))</f>
        <v/>
      </c>
      <c r="AB2857" s="52">
        <f>IF(OR(P2857="",Q2857=""),"",IFERROR(IF(INDEX(ctaVinc,MATCH(Q2857,ctaNombre,0))&amp;""&lt;&gt;"",INDEX(ctaVinc,MATCH(Q2857,ctaNombre,0))&amp;"",Q2857),Q2857))</f>
        <v/>
      </c>
      <c r="AC2857" s="52">
        <f>IF(OR(K2857="",AND(P2857&lt;&gt;"Transferencia",P2857&lt;&gt;"Pago tarjeta")),"",IFERROR(IF(INDEX(ctaVinc,MATCH(K2857,ctaNombre,0))&amp;""&lt;&gt;"",INDEX(ctaVinc,MATCH(K2857,ctaNombre,0))&amp;"",K2857),K2857))</f>
        <v/>
      </c>
      <c r="AD2857" s="52">
        <f>IF(AB2857="","",IFERROR(INDEX(ctaTipo,MATCH(AB2857,ctaNombre,0))&amp;"",""))</f>
        <v/>
      </c>
      <c r="AE2857" s="52">
        <f>IF(AC2857="","",IFERROR(INDEX(ctaTipo,MATCH(AC2857,ctaNombre,0))&amp;"",""))</f>
        <v/>
      </c>
      <c r="AF2857" s="53">
        <f>IF(OR(P2857="",AB2857=""),"",IF(OR(P2857="Gasto",P2857="Transferencia",P2857="Pago tarjeta"),-1,1)*IF(IFERROR(INDEX(ctaMoneda,MATCH(AB2857,ctaNombre,0))&amp;"","DOP")="USD",T2857,S2857))</f>
        <v/>
      </c>
      <c r="AG2857" s="53">
        <f>IF(AC2857="","",IF(IFERROR(INDEX(ctaMoneda,MATCH(AC2857,ctaNombre,0))&amp;"","DOP")="USD",T2857,S2857))</f>
        <v/>
      </c>
      <c r="AH2857" s="53">
        <f>IF(P2857="","",IF(AND(AD2857&lt;&gt;"",COUNTIFS(tcTipo,AD2857,tcLiq,"Sí")&gt;0),IF(OR(P2857="Gasto",P2857="Transferencia",P2857="Pago tarjeta"),-1,1)*S2857,0)+IF(AND(AE2857&lt;&gt;"",COUNTIFS(tcTipo,AE2857,tcLiq,"Sí")&gt;0),S2857,0))</f>
        <v/>
      </c>
      <c r="AI2857" s="52">
        <f>IF(OR(L2857="",P2857=""),"",IF(COUNTIFS(L$6:L2857,L2857,P$6:P2857,"?*")=1,MAX(AI$5:AI2856)+1,""))</f>
        <v/>
      </c>
    </row>
    <row r="2858">
      <c r="B2858" s="47" t="n"/>
      <c r="C2858" s="48" t="n"/>
      <c r="D2858" s="48" t="n"/>
      <c r="E2858" s="48" t="n"/>
      <c r="F2858" s="48" t="n"/>
      <c r="G2858" s="49" t="n"/>
      <c r="H2858" s="48" t="n"/>
      <c r="I2858" s="50" t="n"/>
      <c r="J2858" s="48" t="n"/>
      <c r="K2858" s="48" t="n"/>
      <c r="L2858" s="48" t="n"/>
      <c r="M2858" s="48" t="n"/>
      <c r="N2858" s="48" t="n"/>
      <c r="O2858" s="51">
        <f>IF(AND(B2858="",G2858="",C2858="",D2858="",J2858=""),"",IF(B2858="","⚠ Falta fecha",IF(G2858="","⚠ Falta monto",IF(Q2858="","⚠ Falta cuenta",IF(ISNA(MATCH(Q2858,ctaNombre,0)),"⚠ Cuenta no registrada",IF(AND(OR(P2858="Gasto",P2858="Reembolso"),D2858=""),"⚠ Falta categoría",IF(AND(D2858&lt;&gt;"",E2858&lt;&gt;"",ISNA(MATCH(D2858&amp;"|"&amp;E2858,catClave,0))),"⚠ Subcategoría no corresponde",IF(AND(OR(P2858="Transferencia",P2858="Pago tarjeta"),K2858=""),"⚠ Falta cuenta destino",IF(AND(K2858&lt;&gt;"",P2858&lt;&gt;"Transferencia",P2858&lt;&gt;"Pago tarjeta"),"⚠ Destino solo aplica a transferencias",IF(AND(K2858&lt;&gt;"",K2858=Q2858),"⚠ Origen igual a destino",IF(AND(K2858&lt;&gt;"",ISNA(MATCH(K2858,ctaNombre,0))),"⚠ Destino no registrado",IF(AND(P2858="Pago tarjeta",AE2858&lt;&gt;"Tarjeta de crédito"),"⚠ El destino debe ser tarjeta de crédito",IF(AND(P2858="Gasto",E2858="Depósitos y retiros"),"⚠ Usa tipo Transferencia",IF(AND(P2858="Resultado trading",AD2858&lt;&gt;"Cuenta de trading"),"⚠ Usa una cuenta de trading",IF(AND(G2858&lt;=0,P2858&lt;&gt;"Ajuste",P2858&lt;&gt;"Resultado trading"),"⚠ El monto debe ser positivo","✓")))))))))))))))</f>
        <v/>
      </c>
      <c r="P2858" s="52">
        <f>IF(OR(B2858="",G2858=""),"",IF(C2858="","Gasto",C2858))</f>
        <v/>
      </c>
      <c r="Q2858" s="52">
        <f>IF(P2858="","",IF(J2858&lt;&gt;"",J2858,CuentaPred&amp;""))</f>
        <v/>
      </c>
      <c r="R2858" s="52">
        <f>IF(P2858="","",IF(ISNUMBER(I2858),I2858,TasaUSD))</f>
        <v/>
      </c>
      <c r="S2858" s="53">
        <f>IF(P2858="","",IF(H2858="USD",G2858*R2858,G2858))</f>
        <v/>
      </c>
      <c r="T2858" s="53">
        <f>IF(P2858="","",IF(H2858="USD",G2858,IF(R2858&gt;0,G2858/R2858,0)))</f>
        <v/>
      </c>
      <c r="U2858" s="53">
        <f>IF(P2858="","",IF(P2858="Gasto",S2858,IF(P2858="Reembolso",-S2858,0)))</f>
        <v/>
      </c>
      <c r="V2858" s="53">
        <f>IF(P2858="","",IF(P2858="Ingreso",S2858,0))</f>
        <v/>
      </c>
      <c r="W2858" s="53">
        <f>IF(P2858="","",IF(P2858="Resultado trading",S2858,0))</f>
        <v/>
      </c>
      <c r="X2858" s="52">
        <f>IF(OR(P2858="Gasto",P2858="Reembolso"),IF(M2858&lt;&gt;"",M2858,IFERROR(INDEX(catClasif,MATCH(D2858&amp;"|"&amp;E2858,catClave,0))&amp;"","Variable")),"")</f>
        <v/>
      </c>
      <c r="Y2858" s="52">
        <f>IF(P2858="","",IFERROR(INDEX(catGrupo,MATCH(D2858&amp;"|"&amp;E2858,catClave,0))&amp;"",""))</f>
        <v/>
      </c>
      <c r="Z2858" s="52">
        <f>IF(P2858="","",WEEKDAY(B2858,2))</f>
        <v/>
      </c>
      <c r="AA2858" s="52">
        <f>IF(P2858="","",IF(AND(P2858="Gasto",X2858="Variable",D2858&lt;&gt;catTrading,S2858&gt;0,S2858&lt;=Umbral),1,0))</f>
        <v/>
      </c>
      <c r="AB2858" s="52">
        <f>IF(OR(P2858="",Q2858=""),"",IFERROR(IF(INDEX(ctaVinc,MATCH(Q2858,ctaNombre,0))&amp;""&lt;&gt;"",INDEX(ctaVinc,MATCH(Q2858,ctaNombre,0))&amp;"",Q2858),Q2858))</f>
        <v/>
      </c>
      <c r="AC2858" s="52">
        <f>IF(OR(K2858="",AND(P2858&lt;&gt;"Transferencia",P2858&lt;&gt;"Pago tarjeta")),"",IFERROR(IF(INDEX(ctaVinc,MATCH(K2858,ctaNombre,0))&amp;""&lt;&gt;"",INDEX(ctaVinc,MATCH(K2858,ctaNombre,0))&amp;"",K2858),K2858))</f>
        <v/>
      </c>
      <c r="AD2858" s="52">
        <f>IF(AB2858="","",IFERROR(INDEX(ctaTipo,MATCH(AB2858,ctaNombre,0))&amp;"",""))</f>
        <v/>
      </c>
      <c r="AE2858" s="52">
        <f>IF(AC2858="","",IFERROR(INDEX(ctaTipo,MATCH(AC2858,ctaNombre,0))&amp;"",""))</f>
        <v/>
      </c>
      <c r="AF2858" s="53">
        <f>IF(OR(P2858="",AB2858=""),"",IF(OR(P2858="Gasto",P2858="Transferencia",P2858="Pago tarjeta"),-1,1)*IF(IFERROR(INDEX(ctaMoneda,MATCH(AB2858,ctaNombre,0))&amp;"","DOP")="USD",T2858,S2858))</f>
        <v/>
      </c>
      <c r="AG2858" s="53">
        <f>IF(AC2858="","",IF(IFERROR(INDEX(ctaMoneda,MATCH(AC2858,ctaNombre,0))&amp;"","DOP")="USD",T2858,S2858))</f>
        <v/>
      </c>
      <c r="AH2858" s="53">
        <f>IF(P2858="","",IF(AND(AD2858&lt;&gt;"",COUNTIFS(tcTipo,AD2858,tcLiq,"Sí")&gt;0),IF(OR(P2858="Gasto",P2858="Transferencia",P2858="Pago tarjeta"),-1,1)*S2858,0)+IF(AND(AE2858&lt;&gt;"",COUNTIFS(tcTipo,AE2858,tcLiq,"Sí")&gt;0),S2858,0))</f>
        <v/>
      </c>
      <c r="AI2858" s="52">
        <f>IF(OR(L2858="",P2858=""),"",IF(COUNTIFS(L$6:L2858,L2858,P$6:P2858,"?*")=1,MAX(AI$5:AI2857)+1,""))</f>
        <v/>
      </c>
    </row>
    <row r="2859">
      <c r="B2859" s="47" t="n"/>
      <c r="C2859" s="48" t="n"/>
      <c r="D2859" s="48" t="n"/>
      <c r="E2859" s="48" t="n"/>
      <c r="F2859" s="48" t="n"/>
      <c r="G2859" s="49" t="n"/>
      <c r="H2859" s="48" t="n"/>
      <c r="I2859" s="50" t="n"/>
      <c r="J2859" s="48" t="n"/>
      <c r="K2859" s="48" t="n"/>
      <c r="L2859" s="48" t="n"/>
      <c r="M2859" s="48" t="n"/>
      <c r="N2859" s="48" t="n"/>
      <c r="O2859" s="51">
        <f>IF(AND(B2859="",G2859="",C2859="",D2859="",J2859=""),"",IF(B2859="","⚠ Falta fecha",IF(G2859="","⚠ Falta monto",IF(Q2859="","⚠ Falta cuenta",IF(ISNA(MATCH(Q2859,ctaNombre,0)),"⚠ Cuenta no registrada",IF(AND(OR(P2859="Gasto",P2859="Reembolso"),D2859=""),"⚠ Falta categoría",IF(AND(D2859&lt;&gt;"",E2859&lt;&gt;"",ISNA(MATCH(D2859&amp;"|"&amp;E2859,catClave,0))),"⚠ Subcategoría no corresponde",IF(AND(OR(P2859="Transferencia",P2859="Pago tarjeta"),K2859=""),"⚠ Falta cuenta destino",IF(AND(K2859&lt;&gt;"",P2859&lt;&gt;"Transferencia",P2859&lt;&gt;"Pago tarjeta"),"⚠ Destino solo aplica a transferencias",IF(AND(K2859&lt;&gt;"",K2859=Q2859),"⚠ Origen igual a destino",IF(AND(K2859&lt;&gt;"",ISNA(MATCH(K2859,ctaNombre,0))),"⚠ Destino no registrado",IF(AND(P2859="Pago tarjeta",AE2859&lt;&gt;"Tarjeta de crédito"),"⚠ El destino debe ser tarjeta de crédito",IF(AND(P2859="Gasto",E2859="Depósitos y retiros"),"⚠ Usa tipo Transferencia",IF(AND(P2859="Resultado trading",AD2859&lt;&gt;"Cuenta de trading"),"⚠ Usa una cuenta de trading",IF(AND(G2859&lt;=0,P2859&lt;&gt;"Ajuste",P2859&lt;&gt;"Resultado trading"),"⚠ El monto debe ser positivo","✓")))))))))))))))</f>
        <v/>
      </c>
      <c r="P2859" s="52">
        <f>IF(OR(B2859="",G2859=""),"",IF(C2859="","Gasto",C2859))</f>
        <v/>
      </c>
      <c r="Q2859" s="52">
        <f>IF(P2859="","",IF(J2859&lt;&gt;"",J2859,CuentaPred&amp;""))</f>
        <v/>
      </c>
      <c r="R2859" s="52">
        <f>IF(P2859="","",IF(ISNUMBER(I2859),I2859,TasaUSD))</f>
        <v/>
      </c>
      <c r="S2859" s="53">
        <f>IF(P2859="","",IF(H2859="USD",G2859*R2859,G2859))</f>
        <v/>
      </c>
      <c r="T2859" s="53">
        <f>IF(P2859="","",IF(H2859="USD",G2859,IF(R2859&gt;0,G2859/R2859,0)))</f>
        <v/>
      </c>
      <c r="U2859" s="53">
        <f>IF(P2859="","",IF(P2859="Gasto",S2859,IF(P2859="Reembolso",-S2859,0)))</f>
        <v/>
      </c>
      <c r="V2859" s="53">
        <f>IF(P2859="","",IF(P2859="Ingreso",S2859,0))</f>
        <v/>
      </c>
      <c r="W2859" s="53">
        <f>IF(P2859="","",IF(P2859="Resultado trading",S2859,0))</f>
        <v/>
      </c>
      <c r="X2859" s="52">
        <f>IF(OR(P2859="Gasto",P2859="Reembolso"),IF(M2859&lt;&gt;"",M2859,IFERROR(INDEX(catClasif,MATCH(D2859&amp;"|"&amp;E2859,catClave,0))&amp;"","Variable")),"")</f>
        <v/>
      </c>
      <c r="Y2859" s="52">
        <f>IF(P2859="","",IFERROR(INDEX(catGrupo,MATCH(D2859&amp;"|"&amp;E2859,catClave,0))&amp;"",""))</f>
        <v/>
      </c>
      <c r="Z2859" s="52">
        <f>IF(P2859="","",WEEKDAY(B2859,2))</f>
        <v/>
      </c>
      <c r="AA2859" s="52">
        <f>IF(P2859="","",IF(AND(P2859="Gasto",X2859="Variable",D2859&lt;&gt;catTrading,S2859&gt;0,S2859&lt;=Umbral),1,0))</f>
        <v/>
      </c>
      <c r="AB2859" s="52">
        <f>IF(OR(P2859="",Q2859=""),"",IFERROR(IF(INDEX(ctaVinc,MATCH(Q2859,ctaNombre,0))&amp;""&lt;&gt;"",INDEX(ctaVinc,MATCH(Q2859,ctaNombre,0))&amp;"",Q2859),Q2859))</f>
        <v/>
      </c>
      <c r="AC2859" s="52">
        <f>IF(OR(K2859="",AND(P2859&lt;&gt;"Transferencia",P2859&lt;&gt;"Pago tarjeta")),"",IFERROR(IF(INDEX(ctaVinc,MATCH(K2859,ctaNombre,0))&amp;""&lt;&gt;"",INDEX(ctaVinc,MATCH(K2859,ctaNombre,0))&amp;"",K2859),K2859))</f>
        <v/>
      </c>
      <c r="AD2859" s="52">
        <f>IF(AB2859="","",IFERROR(INDEX(ctaTipo,MATCH(AB2859,ctaNombre,0))&amp;"",""))</f>
        <v/>
      </c>
      <c r="AE2859" s="52">
        <f>IF(AC2859="","",IFERROR(INDEX(ctaTipo,MATCH(AC2859,ctaNombre,0))&amp;"",""))</f>
        <v/>
      </c>
      <c r="AF2859" s="53">
        <f>IF(OR(P2859="",AB2859=""),"",IF(OR(P2859="Gasto",P2859="Transferencia",P2859="Pago tarjeta"),-1,1)*IF(IFERROR(INDEX(ctaMoneda,MATCH(AB2859,ctaNombre,0))&amp;"","DOP")="USD",T2859,S2859))</f>
        <v/>
      </c>
      <c r="AG2859" s="53">
        <f>IF(AC2859="","",IF(IFERROR(INDEX(ctaMoneda,MATCH(AC2859,ctaNombre,0))&amp;"","DOP")="USD",T2859,S2859))</f>
        <v/>
      </c>
      <c r="AH2859" s="53">
        <f>IF(P2859="","",IF(AND(AD2859&lt;&gt;"",COUNTIFS(tcTipo,AD2859,tcLiq,"Sí")&gt;0),IF(OR(P2859="Gasto",P2859="Transferencia",P2859="Pago tarjeta"),-1,1)*S2859,0)+IF(AND(AE2859&lt;&gt;"",COUNTIFS(tcTipo,AE2859,tcLiq,"Sí")&gt;0),S2859,0))</f>
        <v/>
      </c>
      <c r="AI2859" s="52">
        <f>IF(OR(L2859="",P2859=""),"",IF(COUNTIFS(L$6:L2859,L2859,P$6:P2859,"?*")=1,MAX(AI$5:AI2858)+1,""))</f>
        <v/>
      </c>
    </row>
    <row r="2860">
      <c r="B2860" s="47" t="n"/>
      <c r="C2860" s="48" t="n"/>
      <c r="D2860" s="48" t="n"/>
      <c r="E2860" s="48" t="n"/>
      <c r="F2860" s="48" t="n"/>
      <c r="G2860" s="49" t="n"/>
      <c r="H2860" s="48" t="n"/>
      <c r="I2860" s="50" t="n"/>
      <c r="J2860" s="48" t="n"/>
      <c r="K2860" s="48" t="n"/>
      <c r="L2860" s="48" t="n"/>
      <c r="M2860" s="48" t="n"/>
      <c r="N2860" s="48" t="n"/>
      <c r="O2860" s="51">
        <f>IF(AND(B2860="",G2860="",C2860="",D2860="",J2860=""),"",IF(B2860="","⚠ Falta fecha",IF(G2860="","⚠ Falta monto",IF(Q2860="","⚠ Falta cuenta",IF(ISNA(MATCH(Q2860,ctaNombre,0)),"⚠ Cuenta no registrada",IF(AND(OR(P2860="Gasto",P2860="Reembolso"),D2860=""),"⚠ Falta categoría",IF(AND(D2860&lt;&gt;"",E2860&lt;&gt;"",ISNA(MATCH(D2860&amp;"|"&amp;E2860,catClave,0))),"⚠ Subcategoría no corresponde",IF(AND(OR(P2860="Transferencia",P2860="Pago tarjeta"),K2860=""),"⚠ Falta cuenta destino",IF(AND(K2860&lt;&gt;"",P2860&lt;&gt;"Transferencia",P2860&lt;&gt;"Pago tarjeta"),"⚠ Destino solo aplica a transferencias",IF(AND(K2860&lt;&gt;"",K2860=Q2860),"⚠ Origen igual a destino",IF(AND(K2860&lt;&gt;"",ISNA(MATCH(K2860,ctaNombre,0))),"⚠ Destino no registrado",IF(AND(P2860="Pago tarjeta",AE2860&lt;&gt;"Tarjeta de crédito"),"⚠ El destino debe ser tarjeta de crédito",IF(AND(P2860="Gasto",E2860="Depósitos y retiros"),"⚠ Usa tipo Transferencia",IF(AND(P2860="Resultado trading",AD2860&lt;&gt;"Cuenta de trading"),"⚠ Usa una cuenta de trading",IF(AND(G2860&lt;=0,P2860&lt;&gt;"Ajuste",P2860&lt;&gt;"Resultado trading"),"⚠ El monto debe ser positivo","✓")))))))))))))))</f>
        <v/>
      </c>
      <c r="P2860" s="52">
        <f>IF(OR(B2860="",G2860=""),"",IF(C2860="","Gasto",C2860))</f>
        <v/>
      </c>
      <c r="Q2860" s="52">
        <f>IF(P2860="","",IF(J2860&lt;&gt;"",J2860,CuentaPred&amp;""))</f>
        <v/>
      </c>
      <c r="R2860" s="52">
        <f>IF(P2860="","",IF(ISNUMBER(I2860),I2860,TasaUSD))</f>
        <v/>
      </c>
      <c r="S2860" s="53">
        <f>IF(P2860="","",IF(H2860="USD",G2860*R2860,G2860))</f>
        <v/>
      </c>
      <c r="T2860" s="53">
        <f>IF(P2860="","",IF(H2860="USD",G2860,IF(R2860&gt;0,G2860/R2860,0)))</f>
        <v/>
      </c>
      <c r="U2860" s="53">
        <f>IF(P2860="","",IF(P2860="Gasto",S2860,IF(P2860="Reembolso",-S2860,0)))</f>
        <v/>
      </c>
      <c r="V2860" s="53">
        <f>IF(P2860="","",IF(P2860="Ingreso",S2860,0))</f>
        <v/>
      </c>
      <c r="W2860" s="53">
        <f>IF(P2860="","",IF(P2860="Resultado trading",S2860,0))</f>
        <v/>
      </c>
      <c r="X2860" s="52">
        <f>IF(OR(P2860="Gasto",P2860="Reembolso"),IF(M2860&lt;&gt;"",M2860,IFERROR(INDEX(catClasif,MATCH(D2860&amp;"|"&amp;E2860,catClave,0))&amp;"","Variable")),"")</f>
        <v/>
      </c>
      <c r="Y2860" s="52">
        <f>IF(P2860="","",IFERROR(INDEX(catGrupo,MATCH(D2860&amp;"|"&amp;E2860,catClave,0))&amp;"",""))</f>
        <v/>
      </c>
      <c r="Z2860" s="52">
        <f>IF(P2860="","",WEEKDAY(B2860,2))</f>
        <v/>
      </c>
      <c r="AA2860" s="52">
        <f>IF(P2860="","",IF(AND(P2860="Gasto",X2860="Variable",D2860&lt;&gt;catTrading,S2860&gt;0,S2860&lt;=Umbral),1,0))</f>
        <v/>
      </c>
      <c r="AB2860" s="52">
        <f>IF(OR(P2860="",Q2860=""),"",IFERROR(IF(INDEX(ctaVinc,MATCH(Q2860,ctaNombre,0))&amp;""&lt;&gt;"",INDEX(ctaVinc,MATCH(Q2860,ctaNombre,0))&amp;"",Q2860),Q2860))</f>
        <v/>
      </c>
      <c r="AC2860" s="52">
        <f>IF(OR(K2860="",AND(P2860&lt;&gt;"Transferencia",P2860&lt;&gt;"Pago tarjeta")),"",IFERROR(IF(INDEX(ctaVinc,MATCH(K2860,ctaNombre,0))&amp;""&lt;&gt;"",INDEX(ctaVinc,MATCH(K2860,ctaNombre,0))&amp;"",K2860),K2860))</f>
        <v/>
      </c>
      <c r="AD2860" s="52">
        <f>IF(AB2860="","",IFERROR(INDEX(ctaTipo,MATCH(AB2860,ctaNombre,0))&amp;"",""))</f>
        <v/>
      </c>
      <c r="AE2860" s="52">
        <f>IF(AC2860="","",IFERROR(INDEX(ctaTipo,MATCH(AC2860,ctaNombre,0))&amp;"",""))</f>
        <v/>
      </c>
      <c r="AF2860" s="53">
        <f>IF(OR(P2860="",AB2860=""),"",IF(OR(P2860="Gasto",P2860="Transferencia",P2860="Pago tarjeta"),-1,1)*IF(IFERROR(INDEX(ctaMoneda,MATCH(AB2860,ctaNombre,0))&amp;"","DOP")="USD",T2860,S2860))</f>
        <v/>
      </c>
      <c r="AG2860" s="53">
        <f>IF(AC2860="","",IF(IFERROR(INDEX(ctaMoneda,MATCH(AC2860,ctaNombre,0))&amp;"","DOP")="USD",T2860,S2860))</f>
        <v/>
      </c>
      <c r="AH2860" s="53">
        <f>IF(P2860="","",IF(AND(AD2860&lt;&gt;"",COUNTIFS(tcTipo,AD2860,tcLiq,"Sí")&gt;0),IF(OR(P2860="Gasto",P2860="Transferencia",P2860="Pago tarjeta"),-1,1)*S2860,0)+IF(AND(AE2860&lt;&gt;"",COUNTIFS(tcTipo,AE2860,tcLiq,"Sí")&gt;0),S2860,0))</f>
        <v/>
      </c>
      <c r="AI2860" s="52">
        <f>IF(OR(L2860="",P2860=""),"",IF(COUNTIFS(L$6:L2860,L2860,P$6:P2860,"?*")=1,MAX(AI$5:AI2859)+1,""))</f>
        <v/>
      </c>
    </row>
    <row r="2861">
      <c r="B2861" s="47" t="n"/>
      <c r="C2861" s="48" t="n"/>
      <c r="D2861" s="48" t="n"/>
      <c r="E2861" s="48" t="n"/>
      <c r="F2861" s="48" t="n"/>
      <c r="G2861" s="49" t="n"/>
      <c r="H2861" s="48" t="n"/>
      <c r="I2861" s="50" t="n"/>
      <c r="J2861" s="48" t="n"/>
      <c r="K2861" s="48" t="n"/>
      <c r="L2861" s="48" t="n"/>
      <c r="M2861" s="48" t="n"/>
      <c r="N2861" s="48" t="n"/>
      <c r="O2861" s="51">
        <f>IF(AND(B2861="",G2861="",C2861="",D2861="",J2861=""),"",IF(B2861="","⚠ Falta fecha",IF(G2861="","⚠ Falta monto",IF(Q2861="","⚠ Falta cuenta",IF(ISNA(MATCH(Q2861,ctaNombre,0)),"⚠ Cuenta no registrada",IF(AND(OR(P2861="Gasto",P2861="Reembolso"),D2861=""),"⚠ Falta categoría",IF(AND(D2861&lt;&gt;"",E2861&lt;&gt;"",ISNA(MATCH(D2861&amp;"|"&amp;E2861,catClave,0))),"⚠ Subcategoría no corresponde",IF(AND(OR(P2861="Transferencia",P2861="Pago tarjeta"),K2861=""),"⚠ Falta cuenta destino",IF(AND(K2861&lt;&gt;"",P2861&lt;&gt;"Transferencia",P2861&lt;&gt;"Pago tarjeta"),"⚠ Destino solo aplica a transferencias",IF(AND(K2861&lt;&gt;"",K2861=Q2861),"⚠ Origen igual a destino",IF(AND(K2861&lt;&gt;"",ISNA(MATCH(K2861,ctaNombre,0))),"⚠ Destino no registrado",IF(AND(P2861="Pago tarjeta",AE2861&lt;&gt;"Tarjeta de crédito"),"⚠ El destino debe ser tarjeta de crédito",IF(AND(P2861="Gasto",E2861="Depósitos y retiros"),"⚠ Usa tipo Transferencia",IF(AND(P2861="Resultado trading",AD2861&lt;&gt;"Cuenta de trading"),"⚠ Usa una cuenta de trading",IF(AND(G2861&lt;=0,P2861&lt;&gt;"Ajuste",P2861&lt;&gt;"Resultado trading"),"⚠ El monto debe ser positivo","✓")))))))))))))))</f>
        <v/>
      </c>
      <c r="P2861" s="52">
        <f>IF(OR(B2861="",G2861=""),"",IF(C2861="","Gasto",C2861))</f>
        <v/>
      </c>
      <c r="Q2861" s="52">
        <f>IF(P2861="","",IF(J2861&lt;&gt;"",J2861,CuentaPred&amp;""))</f>
        <v/>
      </c>
      <c r="R2861" s="52">
        <f>IF(P2861="","",IF(ISNUMBER(I2861),I2861,TasaUSD))</f>
        <v/>
      </c>
      <c r="S2861" s="53">
        <f>IF(P2861="","",IF(H2861="USD",G2861*R2861,G2861))</f>
        <v/>
      </c>
      <c r="T2861" s="53">
        <f>IF(P2861="","",IF(H2861="USD",G2861,IF(R2861&gt;0,G2861/R2861,0)))</f>
        <v/>
      </c>
      <c r="U2861" s="53">
        <f>IF(P2861="","",IF(P2861="Gasto",S2861,IF(P2861="Reembolso",-S2861,0)))</f>
        <v/>
      </c>
      <c r="V2861" s="53">
        <f>IF(P2861="","",IF(P2861="Ingreso",S2861,0))</f>
        <v/>
      </c>
      <c r="W2861" s="53">
        <f>IF(P2861="","",IF(P2861="Resultado trading",S2861,0))</f>
        <v/>
      </c>
      <c r="X2861" s="52">
        <f>IF(OR(P2861="Gasto",P2861="Reembolso"),IF(M2861&lt;&gt;"",M2861,IFERROR(INDEX(catClasif,MATCH(D2861&amp;"|"&amp;E2861,catClave,0))&amp;"","Variable")),"")</f>
        <v/>
      </c>
      <c r="Y2861" s="52">
        <f>IF(P2861="","",IFERROR(INDEX(catGrupo,MATCH(D2861&amp;"|"&amp;E2861,catClave,0))&amp;"",""))</f>
        <v/>
      </c>
      <c r="Z2861" s="52">
        <f>IF(P2861="","",WEEKDAY(B2861,2))</f>
        <v/>
      </c>
      <c r="AA2861" s="52">
        <f>IF(P2861="","",IF(AND(P2861="Gasto",X2861="Variable",D2861&lt;&gt;catTrading,S2861&gt;0,S2861&lt;=Umbral),1,0))</f>
        <v/>
      </c>
      <c r="AB2861" s="52">
        <f>IF(OR(P2861="",Q2861=""),"",IFERROR(IF(INDEX(ctaVinc,MATCH(Q2861,ctaNombre,0))&amp;""&lt;&gt;"",INDEX(ctaVinc,MATCH(Q2861,ctaNombre,0))&amp;"",Q2861),Q2861))</f>
        <v/>
      </c>
      <c r="AC2861" s="52">
        <f>IF(OR(K2861="",AND(P2861&lt;&gt;"Transferencia",P2861&lt;&gt;"Pago tarjeta")),"",IFERROR(IF(INDEX(ctaVinc,MATCH(K2861,ctaNombre,0))&amp;""&lt;&gt;"",INDEX(ctaVinc,MATCH(K2861,ctaNombre,0))&amp;"",K2861),K2861))</f>
        <v/>
      </c>
      <c r="AD2861" s="52">
        <f>IF(AB2861="","",IFERROR(INDEX(ctaTipo,MATCH(AB2861,ctaNombre,0))&amp;"",""))</f>
        <v/>
      </c>
      <c r="AE2861" s="52">
        <f>IF(AC2861="","",IFERROR(INDEX(ctaTipo,MATCH(AC2861,ctaNombre,0))&amp;"",""))</f>
        <v/>
      </c>
      <c r="AF2861" s="53">
        <f>IF(OR(P2861="",AB2861=""),"",IF(OR(P2861="Gasto",P2861="Transferencia",P2861="Pago tarjeta"),-1,1)*IF(IFERROR(INDEX(ctaMoneda,MATCH(AB2861,ctaNombre,0))&amp;"","DOP")="USD",T2861,S2861))</f>
        <v/>
      </c>
      <c r="AG2861" s="53">
        <f>IF(AC2861="","",IF(IFERROR(INDEX(ctaMoneda,MATCH(AC2861,ctaNombre,0))&amp;"","DOP")="USD",T2861,S2861))</f>
        <v/>
      </c>
      <c r="AH2861" s="53">
        <f>IF(P2861="","",IF(AND(AD2861&lt;&gt;"",COUNTIFS(tcTipo,AD2861,tcLiq,"Sí")&gt;0),IF(OR(P2861="Gasto",P2861="Transferencia",P2861="Pago tarjeta"),-1,1)*S2861,0)+IF(AND(AE2861&lt;&gt;"",COUNTIFS(tcTipo,AE2861,tcLiq,"Sí")&gt;0),S2861,0))</f>
        <v/>
      </c>
      <c r="AI2861" s="52">
        <f>IF(OR(L2861="",P2861=""),"",IF(COUNTIFS(L$6:L2861,L2861,P$6:P2861,"?*")=1,MAX(AI$5:AI2860)+1,""))</f>
        <v/>
      </c>
    </row>
    <row r="2862">
      <c r="B2862" s="47" t="n"/>
      <c r="C2862" s="48" t="n"/>
      <c r="D2862" s="48" t="n"/>
      <c r="E2862" s="48" t="n"/>
      <c r="F2862" s="48" t="n"/>
      <c r="G2862" s="49" t="n"/>
      <c r="H2862" s="48" t="n"/>
      <c r="I2862" s="50" t="n"/>
      <c r="J2862" s="48" t="n"/>
      <c r="K2862" s="48" t="n"/>
      <c r="L2862" s="48" t="n"/>
      <c r="M2862" s="48" t="n"/>
      <c r="N2862" s="48" t="n"/>
      <c r="O2862" s="51">
        <f>IF(AND(B2862="",G2862="",C2862="",D2862="",J2862=""),"",IF(B2862="","⚠ Falta fecha",IF(G2862="","⚠ Falta monto",IF(Q2862="","⚠ Falta cuenta",IF(ISNA(MATCH(Q2862,ctaNombre,0)),"⚠ Cuenta no registrada",IF(AND(OR(P2862="Gasto",P2862="Reembolso"),D2862=""),"⚠ Falta categoría",IF(AND(D2862&lt;&gt;"",E2862&lt;&gt;"",ISNA(MATCH(D2862&amp;"|"&amp;E2862,catClave,0))),"⚠ Subcategoría no corresponde",IF(AND(OR(P2862="Transferencia",P2862="Pago tarjeta"),K2862=""),"⚠ Falta cuenta destino",IF(AND(K2862&lt;&gt;"",P2862&lt;&gt;"Transferencia",P2862&lt;&gt;"Pago tarjeta"),"⚠ Destino solo aplica a transferencias",IF(AND(K2862&lt;&gt;"",K2862=Q2862),"⚠ Origen igual a destino",IF(AND(K2862&lt;&gt;"",ISNA(MATCH(K2862,ctaNombre,0))),"⚠ Destino no registrado",IF(AND(P2862="Pago tarjeta",AE2862&lt;&gt;"Tarjeta de crédito"),"⚠ El destino debe ser tarjeta de crédito",IF(AND(P2862="Gasto",E2862="Depósitos y retiros"),"⚠ Usa tipo Transferencia",IF(AND(P2862="Resultado trading",AD2862&lt;&gt;"Cuenta de trading"),"⚠ Usa una cuenta de trading",IF(AND(G2862&lt;=0,P2862&lt;&gt;"Ajuste",P2862&lt;&gt;"Resultado trading"),"⚠ El monto debe ser positivo","✓")))))))))))))))</f>
        <v/>
      </c>
      <c r="P2862" s="52">
        <f>IF(OR(B2862="",G2862=""),"",IF(C2862="","Gasto",C2862))</f>
        <v/>
      </c>
      <c r="Q2862" s="52">
        <f>IF(P2862="","",IF(J2862&lt;&gt;"",J2862,CuentaPred&amp;""))</f>
        <v/>
      </c>
      <c r="R2862" s="52">
        <f>IF(P2862="","",IF(ISNUMBER(I2862),I2862,TasaUSD))</f>
        <v/>
      </c>
      <c r="S2862" s="53">
        <f>IF(P2862="","",IF(H2862="USD",G2862*R2862,G2862))</f>
        <v/>
      </c>
      <c r="T2862" s="53">
        <f>IF(P2862="","",IF(H2862="USD",G2862,IF(R2862&gt;0,G2862/R2862,0)))</f>
        <v/>
      </c>
      <c r="U2862" s="53">
        <f>IF(P2862="","",IF(P2862="Gasto",S2862,IF(P2862="Reembolso",-S2862,0)))</f>
        <v/>
      </c>
      <c r="V2862" s="53">
        <f>IF(P2862="","",IF(P2862="Ingreso",S2862,0))</f>
        <v/>
      </c>
      <c r="W2862" s="53">
        <f>IF(P2862="","",IF(P2862="Resultado trading",S2862,0))</f>
        <v/>
      </c>
      <c r="X2862" s="52">
        <f>IF(OR(P2862="Gasto",P2862="Reembolso"),IF(M2862&lt;&gt;"",M2862,IFERROR(INDEX(catClasif,MATCH(D2862&amp;"|"&amp;E2862,catClave,0))&amp;"","Variable")),"")</f>
        <v/>
      </c>
      <c r="Y2862" s="52">
        <f>IF(P2862="","",IFERROR(INDEX(catGrupo,MATCH(D2862&amp;"|"&amp;E2862,catClave,0))&amp;"",""))</f>
        <v/>
      </c>
      <c r="Z2862" s="52">
        <f>IF(P2862="","",WEEKDAY(B2862,2))</f>
        <v/>
      </c>
      <c r="AA2862" s="52">
        <f>IF(P2862="","",IF(AND(P2862="Gasto",X2862="Variable",D2862&lt;&gt;catTrading,S2862&gt;0,S2862&lt;=Umbral),1,0))</f>
        <v/>
      </c>
      <c r="AB2862" s="52">
        <f>IF(OR(P2862="",Q2862=""),"",IFERROR(IF(INDEX(ctaVinc,MATCH(Q2862,ctaNombre,0))&amp;""&lt;&gt;"",INDEX(ctaVinc,MATCH(Q2862,ctaNombre,0))&amp;"",Q2862),Q2862))</f>
        <v/>
      </c>
      <c r="AC2862" s="52">
        <f>IF(OR(K2862="",AND(P2862&lt;&gt;"Transferencia",P2862&lt;&gt;"Pago tarjeta")),"",IFERROR(IF(INDEX(ctaVinc,MATCH(K2862,ctaNombre,0))&amp;""&lt;&gt;"",INDEX(ctaVinc,MATCH(K2862,ctaNombre,0))&amp;"",K2862),K2862))</f>
        <v/>
      </c>
      <c r="AD2862" s="52">
        <f>IF(AB2862="","",IFERROR(INDEX(ctaTipo,MATCH(AB2862,ctaNombre,0))&amp;"",""))</f>
        <v/>
      </c>
      <c r="AE2862" s="52">
        <f>IF(AC2862="","",IFERROR(INDEX(ctaTipo,MATCH(AC2862,ctaNombre,0))&amp;"",""))</f>
        <v/>
      </c>
      <c r="AF2862" s="53">
        <f>IF(OR(P2862="",AB2862=""),"",IF(OR(P2862="Gasto",P2862="Transferencia",P2862="Pago tarjeta"),-1,1)*IF(IFERROR(INDEX(ctaMoneda,MATCH(AB2862,ctaNombre,0))&amp;"","DOP")="USD",T2862,S2862))</f>
        <v/>
      </c>
      <c r="AG2862" s="53">
        <f>IF(AC2862="","",IF(IFERROR(INDEX(ctaMoneda,MATCH(AC2862,ctaNombre,0))&amp;"","DOP")="USD",T2862,S2862))</f>
        <v/>
      </c>
      <c r="AH2862" s="53">
        <f>IF(P2862="","",IF(AND(AD2862&lt;&gt;"",COUNTIFS(tcTipo,AD2862,tcLiq,"Sí")&gt;0),IF(OR(P2862="Gasto",P2862="Transferencia",P2862="Pago tarjeta"),-1,1)*S2862,0)+IF(AND(AE2862&lt;&gt;"",COUNTIFS(tcTipo,AE2862,tcLiq,"Sí")&gt;0),S2862,0))</f>
        <v/>
      </c>
      <c r="AI2862" s="52">
        <f>IF(OR(L2862="",P2862=""),"",IF(COUNTIFS(L$6:L2862,L2862,P$6:P2862,"?*")=1,MAX(AI$5:AI2861)+1,""))</f>
        <v/>
      </c>
    </row>
    <row r="2863">
      <c r="B2863" s="47" t="n"/>
      <c r="C2863" s="48" t="n"/>
      <c r="D2863" s="48" t="n"/>
      <c r="E2863" s="48" t="n"/>
      <c r="F2863" s="48" t="n"/>
      <c r="G2863" s="49" t="n"/>
      <c r="H2863" s="48" t="n"/>
      <c r="I2863" s="50" t="n"/>
      <c r="J2863" s="48" t="n"/>
      <c r="K2863" s="48" t="n"/>
      <c r="L2863" s="48" t="n"/>
      <c r="M2863" s="48" t="n"/>
      <c r="N2863" s="48" t="n"/>
      <c r="O2863" s="51">
        <f>IF(AND(B2863="",G2863="",C2863="",D2863="",J2863=""),"",IF(B2863="","⚠ Falta fecha",IF(G2863="","⚠ Falta monto",IF(Q2863="","⚠ Falta cuenta",IF(ISNA(MATCH(Q2863,ctaNombre,0)),"⚠ Cuenta no registrada",IF(AND(OR(P2863="Gasto",P2863="Reembolso"),D2863=""),"⚠ Falta categoría",IF(AND(D2863&lt;&gt;"",E2863&lt;&gt;"",ISNA(MATCH(D2863&amp;"|"&amp;E2863,catClave,0))),"⚠ Subcategoría no corresponde",IF(AND(OR(P2863="Transferencia",P2863="Pago tarjeta"),K2863=""),"⚠ Falta cuenta destino",IF(AND(K2863&lt;&gt;"",P2863&lt;&gt;"Transferencia",P2863&lt;&gt;"Pago tarjeta"),"⚠ Destino solo aplica a transferencias",IF(AND(K2863&lt;&gt;"",K2863=Q2863),"⚠ Origen igual a destino",IF(AND(K2863&lt;&gt;"",ISNA(MATCH(K2863,ctaNombre,0))),"⚠ Destino no registrado",IF(AND(P2863="Pago tarjeta",AE2863&lt;&gt;"Tarjeta de crédito"),"⚠ El destino debe ser tarjeta de crédito",IF(AND(P2863="Gasto",E2863="Depósitos y retiros"),"⚠ Usa tipo Transferencia",IF(AND(P2863="Resultado trading",AD2863&lt;&gt;"Cuenta de trading"),"⚠ Usa una cuenta de trading",IF(AND(G2863&lt;=0,P2863&lt;&gt;"Ajuste",P2863&lt;&gt;"Resultado trading"),"⚠ El monto debe ser positivo","✓")))))))))))))))</f>
        <v/>
      </c>
      <c r="P2863" s="52">
        <f>IF(OR(B2863="",G2863=""),"",IF(C2863="","Gasto",C2863))</f>
        <v/>
      </c>
      <c r="Q2863" s="52">
        <f>IF(P2863="","",IF(J2863&lt;&gt;"",J2863,CuentaPred&amp;""))</f>
        <v/>
      </c>
      <c r="R2863" s="52">
        <f>IF(P2863="","",IF(ISNUMBER(I2863),I2863,TasaUSD))</f>
        <v/>
      </c>
      <c r="S2863" s="53">
        <f>IF(P2863="","",IF(H2863="USD",G2863*R2863,G2863))</f>
        <v/>
      </c>
      <c r="T2863" s="53">
        <f>IF(P2863="","",IF(H2863="USD",G2863,IF(R2863&gt;0,G2863/R2863,0)))</f>
        <v/>
      </c>
      <c r="U2863" s="53">
        <f>IF(P2863="","",IF(P2863="Gasto",S2863,IF(P2863="Reembolso",-S2863,0)))</f>
        <v/>
      </c>
      <c r="V2863" s="53">
        <f>IF(P2863="","",IF(P2863="Ingreso",S2863,0))</f>
        <v/>
      </c>
      <c r="W2863" s="53">
        <f>IF(P2863="","",IF(P2863="Resultado trading",S2863,0))</f>
        <v/>
      </c>
      <c r="X2863" s="52">
        <f>IF(OR(P2863="Gasto",P2863="Reembolso"),IF(M2863&lt;&gt;"",M2863,IFERROR(INDEX(catClasif,MATCH(D2863&amp;"|"&amp;E2863,catClave,0))&amp;"","Variable")),"")</f>
        <v/>
      </c>
      <c r="Y2863" s="52">
        <f>IF(P2863="","",IFERROR(INDEX(catGrupo,MATCH(D2863&amp;"|"&amp;E2863,catClave,0))&amp;"",""))</f>
        <v/>
      </c>
      <c r="Z2863" s="52">
        <f>IF(P2863="","",WEEKDAY(B2863,2))</f>
        <v/>
      </c>
      <c r="AA2863" s="52">
        <f>IF(P2863="","",IF(AND(P2863="Gasto",X2863="Variable",D2863&lt;&gt;catTrading,S2863&gt;0,S2863&lt;=Umbral),1,0))</f>
        <v/>
      </c>
      <c r="AB2863" s="52">
        <f>IF(OR(P2863="",Q2863=""),"",IFERROR(IF(INDEX(ctaVinc,MATCH(Q2863,ctaNombre,0))&amp;""&lt;&gt;"",INDEX(ctaVinc,MATCH(Q2863,ctaNombre,0))&amp;"",Q2863),Q2863))</f>
        <v/>
      </c>
      <c r="AC2863" s="52">
        <f>IF(OR(K2863="",AND(P2863&lt;&gt;"Transferencia",P2863&lt;&gt;"Pago tarjeta")),"",IFERROR(IF(INDEX(ctaVinc,MATCH(K2863,ctaNombre,0))&amp;""&lt;&gt;"",INDEX(ctaVinc,MATCH(K2863,ctaNombre,0))&amp;"",K2863),K2863))</f>
        <v/>
      </c>
      <c r="AD2863" s="52">
        <f>IF(AB2863="","",IFERROR(INDEX(ctaTipo,MATCH(AB2863,ctaNombre,0))&amp;"",""))</f>
        <v/>
      </c>
      <c r="AE2863" s="52">
        <f>IF(AC2863="","",IFERROR(INDEX(ctaTipo,MATCH(AC2863,ctaNombre,0))&amp;"",""))</f>
        <v/>
      </c>
      <c r="AF2863" s="53">
        <f>IF(OR(P2863="",AB2863=""),"",IF(OR(P2863="Gasto",P2863="Transferencia",P2863="Pago tarjeta"),-1,1)*IF(IFERROR(INDEX(ctaMoneda,MATCH(AB2863,ctaNombre,0))&amp;"","DOP")="USD",T2863,S2863))</f>
        <v/>
      </c>
      <c r="AG2863" s="53">
        <f>IF(AC2863="","",IF(IFERROR(INDEX(ctaMoneda,MATCH(AC2863,ctaNombre,0))&amp;"","DOP")="USD",T2863,S2863))</f>
        <v/>
      </c>
      <c r="AH2863" s="53">
        <f>IF(P2863="","",IF(AND(AD2863&lt;&gt;"",COUNTIFS(tcTipo,AD2863,tcLiq,"Sí")&gt;0),IF(OR(P2863="Gasto",P2863="Transferencia",P2863="Pago tarjeta"),-1,1)*S2863,0)+IF(AND(AE2863&lt;&gt;"",COUNTIFS(tcTipo,AE2863,tcLiq,"Sí")&gt;0),S2863,0))</f>
        <v/>
      </c>
      <c r="AI2863" s="52">
        <f>IF(OR(L2863="",P2863=""),"",IF(COUNTIFS(L$6:L2863,L2863,P$6:P2863,"?*")=1,MAX(AI$5:AI2862)+1,""))</f>
        <v/>
      </c>
    </row>
    <row r="2864">
      <c r="B2864" s="47" t="n"/>
      <c r="C2864" s="48" t="n"/>
      <c r="D2864" s="48" t="n"/>
      <c r="E2864" s="48" t="n"/>
      <c r="F2864" s="48" t="n"/>
      <c r="G2864" s="49" t="n"/>
      <c r="H2864" s="48" t="n"/>
      <c r="I2864" s="50" t="n"/>
      <c r="J2864" s="48" t="n"/>
      <c r="K2864" s="48" t="n"/>
      <c r="L2864" s="48" t="n"/>
      <c r="M2864" s="48" t="n"/>
      <c r="N2864" s="48" t="n"/>
      <c r="O2864" s="51">
        <f>IF(AND(B2864="",G2864="",C2864="",D2864="",J2864=""),"",IF(B2864="","⚠ Falta fecha",IF(G2864="","⚠ Falta monto",IF(Q2864="","⚠ Falta cuenta",IF(ISNA(MATCH(Q2864,ctaNombre,0)),"⚠ Cuenta no registrada",IF(AND(OR(P2864="Gasto",P2864="Reembolso"),D2864=""),"⚠ Falta categoría",IF(AND(D2864&lt;&gt;"",E2864&lt;&gt;"",ISNA(MATCH(D2864&amp;"|"&amp;E2864,catClave,0))),"⚠ Subcategoría no corresponde",IF(AND(OR(P2864="Transferencia",P2864="Pago tarjeta"),K2864=""),"⚠ Falta cuenta destino",IF(AND(K2864&lt;&gt;"",P2864&lt;&gt;"Transferencia",P2864&lt;&gt;"Pago tarjeta"),"⚠ Destino solo aplica a transferencias",IF(AND(K2864&lt;&gt;"",K2864=Q2864),"⚠ Origen igual a destino",IF(AND(K2864&lt;&gt;"",ISNA(MATCH(K2864,ctaNombre,0))),"⚠ Destino no registrado",IF(AND(P2864="Pago tarjeta",AE2864&lt;&gt;"Tarjeta de crédito"),"⚠ El destino debe ser tarjeta de crédito",IF(AND(P2864="Gasto",E2864="Depósitos y retiros"),"⚠ Usa tipo Transferencia",IF(AND(P2864="Resultado trading",AD2864&lt;&gt;"Cuenta de trading"),"⚠ Usa una cuenta de trading",IF(AND(G2864&lt;=0,P2864&lt;&gt;"Ajuste",P2864&lt;&gt;"Resultado trading"),"⚠ El monto debe ser positivo","✓")))))))))))))))</f>
        <v/>
      </c>
      <c r="P2864" s="52">
        <f>IF(OR(B2864="",G2864=""),"",IF(C2864="","Gasto",C2864))</f>
        <v/>
      </c>
      <c r="Q2864" s="52">
        <f>IF(P2864="","",IF(J2864&lt;&gt;"",J2864,CuentaPred&amp;""))</f>
        <v/>
      </c>
      <c r="R2864" s="52">
        <f>IF(P2864="","",IF(ISNUMBER(I2864),I2864,TasaUSD))</f>
        <v/>
      </c>
      <c r="S2864" s="53">
        <f>IF(P2864="","",IF(H2864="USD",G2864*R2864,G2864))</f>
        <v/>
      </c>
      <c r="T2864" s="53">
        <f>IF(P2864="","",IF(H2864="USD",G2864,IF(R2864&gt;0,G2864/R2864,0)))</f>
        <v/>
      </c>
      <c r="U2864" s="53">
        <f>IF(P2864="","",IF(P2864="Gasto",S2864,IF(P2864="Reembolso",-S2864,0)))</f>
        <v/>
      </c>
      <c r="V2864" s="53">
        <f>IF(P2864="","",IF(P2864="Ingreso",S2864,0))</f>
        <v/>
      </c>
      <c r="W2864" s="53">
        <f>IF(P2864="","",IF(P2864="Resultado trading",S2864,0))</f>
        <v/>
      </c>
      <c r="X2864" s="52">
        <f>IF(OR(P2864="Gasto",P2864="Reembolso"),IF(M2864&lt;&gt;"",M2864,IFERROR(INDEX(catClasif,MATCH(D2864&amp;"|"&amp;E2864,catClave,0))&amp;"","Variable")),"")</f>
        <v/>
      </c>
      <c r="Y2864" s="52">
        <f>IF(P2864="","",IFERROR(INDEX(catGrupo,MATCH(D2864&amp;"|"&amp;E2864,catClave,0))&amp;"",""))</f>
        <v/>
      </c>
      <c r="Z2864" s="52">
        <f>IF(P2864="","",WEEKDAY(B2864,2))</f>
        <v/>
      </c>
      <c r="AA2864" s="52">
        <f>IF(P2864="","",IF(AND(P2864="Gasto",X2864="Variable",D2864&lt;&gt;catTrading,S2864&gt;0,S2864&lt;=Umbral),1,0))</f>
        <v/>
      </c>
      <c r="AB2864" s="52">
        <f>IF(OR(P2864="",Q2864=""),"",IFERROR(IF(INDEX(ctaVinc,MATCH(Q2864,ctaNombre,0))&amp;""&lt;&gt;"",INDEX(ctaVinc,MATCH(Q2864,ctaNombre,0))&amp;"",Q2864),Q2864))</f>
        <v/>
      </c>
      <c r="AC2864" s="52">
        <f>IF(OR(K2864="",AND(P2864&lt;&gt;"Transferencia",P2864&lt;&gt;"Pago tarjeta")),"",IFERROR(IF(INDEX(ctaVinc,MATCH(K2864,ctaNombre,0))&amp;""&lt;&gt;"",INDEX(ctaVinc,MATCH(K2864,ctaNombre,0))&amp;"",K2864),K2864))</f>
        <v/>
      </c>
      <c r="AD2864" s="52">
        <f>IF(AB2864="","",IFERROR(INDEX(ctaTipo,MATCH(AB2864,ctaNombre,0))&amp;"",""))</f>
        <v/>
      </c>
      <c r="AE2864" s="52">
        <f>IF(AC2864="","",IFERROR(INDEX(ctaTipo,MATCH(AC2864,ctaNombre,0))&amp;"",""))</f>
        <v/>
      </c>
      <c r="AF2864" s="53">
        <f>IF(OR(P2864="",AB2864=""),"",IF(OR(P2864="Gasto",P2864="Transferencia",P2864="Pago tarjeta"),-1,1)*IF(IFERROR(INDEX(ctaMoneda,MATCH(AB2864,ctaNombre,0))&amp;"","DOP")="USD",T2864,S2864))</f>
        <v/>
      </c>
      <c r="AG2864" s="53">
        <f>IF(AC2864="","",IF(IFERROR(INDEX(ctaMoneda,MATCH(AC2864,ctaNombre,0))&amp;"","DOP")="USD",T2864,S2864))</f>
        <v/>
      </c>
      <c r="AH2864" s="53">
        <f>IF(P2864="","",IF(AND(AD2864&lt;&gt;"",COUNTIFS(tcTipo,AD2864,tcLiq,"Sí")&gt;0),IF(OR(P2864="Gasto",P2864="Transferencia",P2864="Pago tarjeta"),-1,1)*S2864,0)+IF(AND(AE2864&lt;&gt;"",COUNTIFS(tcTipo,AE2864,tcLiq,"Sí")&gt;0),S2864,0))</f>
        <v/>
      </c>
      <c r="AI2864" s="52">
        <f>IF(OR(L2864="",P2864=""),"",IF(COUNTIFS(L$6:L2864,L2864,P$6:P2864,"?*")=1,MAX(AI$5:AI2863)+1,""))</f>
        <v/>
      </c>
    </row>
    <row r="2865">
      <c r="B2865" s="47" t="n"/>
      <c r="C2865" s="48" t="n"/>
      <c r="D2865" s="48" t="n"/>
      <c r="E2865" s="48" t="n"/>
      <c r="F2865" s="48" t="n"/>
      <c r="G2865" s="49" t="n"/>
      <c r="H2865" s="48" t="n"/>
      <c r="I2865" s="50" t="n"/>
      <c r="J2865" s="48" t="n"/>
      <c r="K2865" s="48" t="n"/>
      <c r="L2865" s="48" t="n"/>
      <c r="M2865" s="48" t="n"/>
      <c r="N2865" s="48" t="n"/>
      <c r="O2865" s="51">
        <f>IF(AND(B2865="",G2865="",C2865="",D2865="",J2865=""),"",IF(B2865="","⚠ Falta fecha",IF(G2865="","⚠ Falta monto",IF(Q2865="","⚠ Falta cuenta",IF(ISNA(MATCH(Q2865,ctaNombre,0)),"⚠ Cuenta no registrada",IF(AND(OR(P2865="Gasto",P2865="Reembolso"),D2865=""),"⚠ Falta categoría",IF(AND(D2865&lt;&gt;"",E2865&lt;&gt;"",ISNA(MATCH(D2865&amp;"|"&amp;E2865,catClave,0))),"⚠ Subcategoría no corresponde",IF(AND(OR(P2865="Transferencia",P2865="Pago tarjeta"),K2865=""),"⚠ Falta cuenta destino",IF(AND(K2865&lt;&gt;"",P2865&lt;&gt;"Transferencia",P2865&lt;&gt;"Pago tarjeta"),"⚠ Destino solo aplica a transferencias",IF(AND(K2865&lt;&gt;"",K2865=Q2865),"⚠ Origen igual a destino",IF(AND(K2865&lt;&gt;"",ISNA(MATCH(K2865,ctaNombre,0))),"⚠ Destino no registrado",IF(AND(P2865="Pago tarjeta",AE2865&lt;&gt;"Tarjeta de crédito"),"⚠ El destino debe ser tarjeta de crédito",IF(AND(P2865="Gasto",E2865="Depósitos y retiros"),"⚠ Usa tipo Transferencia",IF(AND(P2865="Resultado trading",AD2865&lt;&gt;"Cuenta de trading"),"⚠ Usa una cuenta de trading",IF(AND(G2865&lt;=0,P2865&lt;&gt;"Ajuste",P2865&lt;&gt;"Resultado trading"),"⚠ El monto debe ser positivo","✓")))))))))))))))</f>
        <v/>
      </c>
      <c r="P2865" s="52">
        <f>IF(OR(B2865="",G2865=""),"",IF(C2865="","Gasto",C2865))</f>
        <v/>
      </c>
      <c r="Q2865" s="52">
        <f>IF(P2865="","",IF(J2865&lt;&gt;"",J2865,CuentaPred&amp;""))</f>
        <v/>
      </c>
      <c r="R2865" s="52">
        <f>IF(P2865="","",IF(ISNUMBER(I2865),I2865,TasaUSD))</f>
        <v/>
      </c>
      <c r="S2865" s="53">
        <f>IF(P2865="","",IF(H2865="USD",G2865*R2865,G2865))</f>
        <v/>
      </c>
      <c r="T2865" s="53">
        <f>IF(P2865="","",IF(H2865="USD",G2865,IF(R2865&gt;0,G2865/R2865,0)))</f>
        <v/>
      </c>
      <c r="U2865" s="53">
        <f>IF(P2865="","",IF(P2865="Gasto",S2865,IF(P2865="Reembolso",-S2865,0)))</f>
        <v/>
      </c>
      <c r="V2865" s="53">
        <f>IF(P2865="","",IF(P2865="Ingreso",S2865,0))</f>
        <v/>
      </c>
      <c r="W2865" s="53">
        <f>IF(P2865="","",IF(P2865="Resultado trading",S2865,0))</f>
        <v/>
      </c>
      <c r="X2865" s="52">
        <f>IF(OR(P2865="Gasto",P2865="Reembolso"),IF(M2865&lt;&gt;"",M2865,IFERROR(INDEX(catClasif,MATCH(D2865&amp;"|"&amp;E2865,catClave,0))&amp;"","Variable")),"")</f>
        <v/>
      </c>
      <c r="Y2865" s="52">
        <f>IF(P2865="","",IFERROR(INDEX(catGrupo,MATCH(D2865&amp;"|"&amp;E2865,catClave,0))&amp;"",""))</f>
        <v/>
      </c>
      <c r="Z2865" s="52">
        <f>IF(P2865="","",WEEKDAY(B2865,2))</f>
        <v/>
      </c>
      <c r="AA2865" s="52">
        <f>IF(P2865="","",IF(AND(P2865="Gasto",X2865="Variable",D2865&lt;&gt;catTrading,S2865&gt;0,S2865&lt;=Umbral),1,0))</f>
        <v/>
      </c>
      <c r="AB2865" s="52">
        <f>IF(OR(P2865="",Q2865=""),"",IFERROR(IF(INDEX(ctaVinc,MATCH(Q2865,ctaNombre,0))&amp;""&lt;&gt;"",INDEX(ctaVinc,MATCH(Q2865,ctaNombre,0))&amp;"",Q2865),Q2865))</f>
        <v/>
      </c>
      <c r="AC2865" s="52">
        <f>IF(OR(K2865="",AND(P2865&lt;&gt;"Transferencia",P2865&lt;&gt;"Pago tarjeta")),"",IFERROR(IF(INDEX(ctaVinc,MATCH(K2865,ctaNombre,0))&amp;""&lt;&gt;"",INDEX(ctaVinc,MATCH(K2865,ctaNombre,0))&amp;"",K2865),K2865))</f>
        <v/>
      </c>
      <c r="AD2865" s="52">
        <f>IF(AB2865="","",IFERROR(INDEX(ctaTipo,MATCH(AB2865,ctaNombre,0))&amp;"",""))</f>
        <v/>
      </c>
      <c r="AE2865" s="52">
        <f>IF(AC2865="","",IFERROR(INDEX(ctaTipo,MATCH(AC2865,ctaNombre,0))&amp;"",""))</f>
        <v/>
      </c>
      <c r="AF2865" s="53">
        <f>IF(OR(P2865="",AB2865=""),"",IF(OR(P2865="Gasto",P2865="Transferencia",P2865="Pago tarjeta"),-1,1)*IF(IFERROR(INDEX(ctaMoneda,MATCH(AB2865,ctaNombre,0))&amp;"","DOP")="USD",T2865,S2865))</f>
        <v/>
      </c>
      <c r="AG2865" s="53">
        <f>IF(AC2865="","",IF(IFERROR(INDEX(ctaMoneda,MATCH(AC2865,ctaNombre,0))&amp;"","DOP")="USD",T2865,S2865))</f>
        <v/>
      </c>
      <c r="AH2865" s="53">
        <f>IF(P2865="","",IF(AND(AD2865&lt;&gt;"",COUNTIFS(tcTipo,AD2865,tcLiq,"Sí")&gt;0),IF(OR(P2865="Gasto",P2865="Transferencia",P2865="Pago tarjeta"),-1,1)*S2865,0)+IF(AND(AE2865&lt;&gt;"",COUNTIFS(tcTipo,AE2865,tcLiq,"Sí")&gt;0),S2865,0))</f>
        <v/>
      </c>
      <c r="AI2865" s="52">
        <f>IF(OR(L2865="",P2865=""),"",IF(COUNTIFS(L$6:L2865,L2865,P$6:P2865,"?*")=1,MAX(AI$5:AI2864)+1,""))</f>
        <v/>
      </c>
    </row>
    <row r="2866">
      <c r="B2866" s="47" t="n"/>
      <c r="C2866" s="48" t="n"/>
      <c r="D2866" s="48" t="n"/>
      <c r="E2866" s="48" t="n"/>
      <c r="F2866" s="48" t="n"/>
      <c r="G2866" s="49" t="n"/>
      <c r="H2866" s="48" t="n"/>
      <c r="I2866" s="50" t="n"/>
      <c r="J2866" s="48" t="n"/>
      <c r="K2866" s="48" t="n"/>
      <c r="L2866" s="48" t="n"/>
      <c r="M2866" s="48" t="n"/>
      <c r="N2866" s="48" t="n"/>
      <c r="O2866" s="51">
        <f>IF(AND(B2866="",G2866="",C2866="",D2866="",J2866=""),"",IF(B2866="","⚠ Falta fecha",IF(G2866="","⚠ Falta monto",IF(Q2866="","⚠ Falta cuenta",IF(ISNA(MATCH(Q2866,ctaNombre,0)),"⚠ Cuenta no registrada",IF(AND(OR(P2866="Gasto",P2866="Reembolso"),D2866=""),"⚠ Falta categoría",IF(AND(D2866&lt;&gt;"",E2866&lt;&gt;"",ISNA(MATCH(D2866&amp;"|"&amp;E2866,catClave,0))),"⚠ Subcategoría no corresponde",IF(AND(OR(P2866="Transferencia",P2866="Pago tarjeta"),K2866=""),"⚠ Falta cuenta destino",IF(AND(K2866&lt;&gt;"",P2866&lt;&gt;"Transferencia",P2866&lt;&gt;"Pago tarjeta"),"⚠ Destino solo aplica a transferencias",IF(AND(K2866&lt;&gt;"",K2866=Q2866),"⚠ Origen igual a destino",IF(AND(K2866&lt;&gt;"",ISNA(MATCH(K2866,ctaNombre,0))),"⚠ Destino no registrado",IF(AND(P2866="Pago tarjeta",AE2866&lt;&gt;"Tarjeta de crédito"),"⚠ El destino debe ser tarjeta de crédito",IF(AND(P2866="Gasto",E2866="Depósitos y retiros"),"⚠ Usa tipo Transferencia",IF(AND(P2866="Resultado trading",AD2866&lt;&gt;"Cuenta de trading"),"⚠ Usa una cuenta de trading",IF(AND(G2866&lt;=0,P2866&lt;&gt;"Ajuste",P2866&lt;&gt;"Resultado trading"),"⚠ El monto debe ser positivo","✓")))))))))))))))</f>
        <v/>
      </c>
      <c r="P2866" s="52">
        <f>IF(OR(B2866="",G2866=""),"",IF(C2866="","Gasto",C2866))</f>
        <v/>
      </c>
      <c r="Q2866" s="52">
        <f>IF(P2866="","",IF(J2866&lt;&gt;"",J2866,CuentaPred&amp;""))</f>
        <v/>
      </c>
      <c r="R2866" s="52">
        <f>IF(P2866="","",IF(ISNUMBER(I2866),I2866,TasaUSD))</f>
        <v/>
      </c>
      <c r="S2866" s="53">
        <f>IF(P2866="","",IF(H2866="USD",G2866*R2866,G2866))</f>
        <v/>
      </c>
      <c r="T2866" s="53">
        <f>IF(P2866="","",IF(H2866="USD",G2866,IF(R2866&gt;0,G2866/R2866,0)))</f>
        <v/>
      </c>
      <c r="U2866" s="53">
        <f>IF(P2866="","",IF(P2866="Gasto",S2866,IF(P2866="Reembolso",-S2866,0)))</f>
        <v/>
      </c>
      <c r="V2866" s="53">
        <f>IF(P2866="","",IF(P2866="Ingreso",S2866,0))</f>
        <v/>
      </c>
      <c r="W2866" s="53">
        <f>IF(P2866="","",IF(P2866="Resultado trading",S2866,0))</f>
        <v/>
      </c>
      <c r="X2866" s="52">
        <f>IF(OR(P2866="Gasto",P2866="Reembolso"),IF(M2866&lt;&gt;"",M2866,IFERROR(INDEX(catClasif,MATCH(D2866&amp;"|"&amp;E2866,catClave,0))&amp;"","Variable")),"")</f>
        <v/>
      </c>
      <c r="Y2866" s="52">
        <f>IF(P2866="","",IFERROR(INDEX(catGrupo,MATCH(D2866&amp;"|"&amp;E2866,catClave,0))&amp;"",""))</f>
        <v/>
      </c>
      <c r="Z2866" s="52">
        <f>IF(P2866="","",WEEKDAY(B2866,2))</f>
        <v/>
      </c>
      <c r="AA2866" s="52">
        <f>IF(P2866="","",IF(AND(P2866="Gasto",X2866="Variable",D2866&lt;&gt;catTrading,S2866&gt;0,S2866&lt;=Umbral),1,0))</f>
        <v/>
      </c>
      <c r="AB2866" s="52">
        <f>IF(OR(P2866="",Q2866=""),"",IFERROR(IF(INDEX(ctaVinc,MATCH(Q2866,ctaNombre,0))&amp;""&lt;&gt;"",INDEX(ctaVinc,MATCH(Q2866,ctaNombre,0))&amp;"",Q2866),Q2866))</f>
        <v/>
      </c>
      <c r="AC2866" s="52">
        <f>IF(OR(K2866="",AND(P2866&lt;&gt;"Transferencia",P2866&lt;&gt;"Pago tarjeta")),"",IFERROR(IF(INDEX(ctaVinc,MATCH(K2866,ctaNombre,0))&amp;""&lt;&gt;"",INDEX(ctaVinc,MATCH(K2866,ctaNombre,0))&amp;"",K2866),K2866))</f>
        <v/>
      </c>
      <c r="AD2866" s="52">
        <f>IF(AB2866="","",IFERROR(INDEX(ctaTipo,MATCH(AB2866,ctaNombre,0))&amp;"",""))</f>
        <v/>
      </c>
      <c r="AE2866" s="52">
        <f>IF(AC2866="","",IFERROR(INDEX(ctaTipo,MATCH(AC2866,ctaNombre,0))&amp;"",""))</f>
        <v/>
      </c>
      <c r="AF2866" s="53">
        <f>IF(OR(P2866="",AB2866=""),"",IF(OR(P2866="Gasto",P2866="Transferencia",P2866="Pago tarjeta"),-1,1)*IF(IFERROR(INDEX(ctaMoneda,MATCH(AB2866,ctaNombre,0))&amp;"","DOP")="USD",T2866,S2866))</f>
        <v/>
      </c>
      <c r="AG2866" s="53">
        <f>IF(AC2866="","",IF(IFERROR(INDEX(ctaMoneda,MATCH(AC2866,ctaNombre,0))&amp;"","DOP")="USD",T2866,S2866))</f>
        <v/>
      </c>
      <c r="AH2866" s="53">
        <f>IF(P2866="","",IF(AND(AD2866&lt;&gt;"",COUNTIFS(tcTipo,AD2866,tcLiq,"Sí")&gt;0),IF(OR(P2866="Gasto",P2866="Transferencia",P2866="Pago tarjeta"),-1,1)*S2866,0)+IF(AND(AE2866&lt;&gt;"",COUNTIFS(tcTipo,AE2866,tcLiq,"Sí")&gt;0),S2866,0))</f>
        <v/>
      </c>
      <c r="AI2866" s="52">
        <f>IF(OR(L2866="",P2866=""),"",IF(COUNTIFS(L$6:L2866,L2866,P$6:P2866,"?*")=1,MAX(AI$5:AI2865)+1,""))</f>
        <v/>
      </c>
    </row>
    <row r="2867">
      <c r="B2867" s="47" t="n"/>
      <c r="C2867" s="48" t="n"/>
      <c r="D2867" s="48" t="n"/>
      <c r="E2867" s="48" t="n"/>
      <c r="F2867" s="48" t="n"/>
      <c r="G2867" s="49" t="n"/>
      <c r="H2867" s="48" t="n"/>
      <c r="I2867" s="50" t="n"/>
      <c r="J2867" s="48" t="n"/>
      <c r="K2867" s="48" t="n"/>
      <c r="L2867" s="48" t="n"/>
      <c r="M2867" s="48" t="n"/>
      <c r="N2867" s="48" t="n"/>
      <c r="O2867" s="51">
        <f>IF(AND(B2867="",G2867="",C2867="",D2867="",J2867=""),"",IF(B2867="","⚠ Falta fecha",IF(G2867="","⚠ Falta monto",IF(Q2867="","⚠ Falta cuenta",IF(ISNA(MATCH(Q2867,ctaNombre,0)),"⚠ Cuenta no registrada",IF(AND(OR(P2867="Gasto",P2867="Reembolso"),D2867=""),"⚠ Falta categoría",IF(AND(D2867&lt;&gt;"",E2867&lt;&gt;"",ISNA(MATCH(D2867&amp;"|"&amp;E2867,catClave,0))),"⚠ Subcategoría no corresponde",IF(AND(OR(P2867="Transferencia",P2867="Pago tarjeta"),K2867=""),"⚠ Falta cuenta destino",IF(AND(K2867&lt;&gt;"",P2867&lt;&gt;"Transferencia",P2867&lt;&gt;"Pago tarjeta"),"⚠ Destino solo aplica a transferencias",IF(AND(K2867&lt;&gt;"",K2867=Q2867),"⚠ Origen igual a destino",IF(AND(K2867&lt;&gt;"",ISNA(MATCH(K2867,ctaNombre,0))),"⚠ Destino no registrado",IF(AND(P2867="Pago tarjeta",AE2867&lt;&gt;"Tarjeta de crédito"),"⚠ El destino debe ser tarjeta de crédito",IF(AND(P2867="Gasto",E2867="Depósitos y retiros"),"⚠ Usa tipo Transferencia",IF(AND(P2867="Resultado trading",AD2867&lt;&gt;"Cuenta de trading"),"⚠ Usa una cuenta de trading",IF(AND(G2867&lt;=0,P2867&lt;&gt;"Ajuste",P2867&lt;&gt;"Resultado trading"),"⚠ El monto debe ser positivo","✓")))))))))))))))</f>
        <v/>
      </c>
      <c r="P2867" s="52">
        <f>IF(OR(B2867="",G2867=""),"",IF(C2867="","Gasto",C2867))</f>
        <v/>
      </c>
      <c r="Q2867" s="52">
        <f>IF(P2867="","",IF(J2867&lt;&gt;"",J2867,CuentaPred&amp;""))</f>
        <v/>
      </c>
      <c r="R2867" s="52">
        <f>IF(P2867="","",IF(ISNUMBER(I2867),I2867,TasaUSD))</f>
        <v/>
      </c>
      <c r="S2867" s="53">
        <f>IF(P2867="","",IF(H2867="USD",G2867*R2867,G2867))</f>
        <v/>
      </c>
      <c r="T2867" s="53">
        <f>IF(P2867="","",IF(H2867="USD",G2867,IF(R2867&gt;0,G2867/R2867,0)))</f>
        <v/>
      </c>
      <c r="U2867" s="53">
        <f>IF(P2867="","",IF(P2867="Gasto",S2867,IF(P2867="Reembolso",-S2867,0)))</f>
        <v/>
      </c>
      <c r="V2867" s="53">
        <f>IF(P2867="","",IF(P2867="Ingreso",S2867,0))</f>
        <v/>
      </c>
      <c r="W2867" s="53">
        <f>IF(P2867="","",IF(P2867="Resultado trading",S2867,0))</f>
        <v/>
      </c>
      <c r="X2867" s="52">
        <f>IF(OR(P2867="Gasto",P2867="Reembolso"),IF(M2867&lt;&gt;"",M2867,IFERROR(INDEX(catClasif,MATCH(D2867&amp;"|"&amp;E2867,catClave,0))&amp;"","Variable")),"")</f>
        <v/>
      </c>
      <c r="Y2867" s="52">
        <f>IF(P2867="","",IFERROR(INDEX(catGrupo,MATCH(D2867&amp;"|"&amp;E2867,catClave,0))&amp;"",""))</f>
        <v/>
      </c>
      <c r="Z2867" s="52">
        <f>IF(P2867="","",WEEKDAY(B2867,2))</f>
        <v/>
      </c>
      <c r="AA2867" s="52">
        <f>IF(P2867="","",IF(AND(P2867="Gasto",X2867="Variable",D2867&lt;&gt;catTrading,S2867&gt;0,S2867&lt;=Umbral),1,0))</f>
        <v/>
      </c>
      <c r="AB2867" s="52">
        <f>IF(OR(P2867="",Q2867=""),"",IFERROR(IF(INDEX(ctaVinc,MATCH(Q2867,ctaNombre,0))&amp;""&lt;&gt;"",INDEX(ctaVinc,MATCH(Q2867,ctaNombre,0))&amp;"",Q2867),Q2867))</f>
        <v/>
      </c>
      <c r="AC2867" s="52">
        <f>IF(OR(K2867="",AND(P2867&lt;&gt;"Transferencia",P2867&lt;&gt;"Pago tarjeta")),"",IFERROR(IF(INDEX(ctaVinc,MATCH(K2867,ctaNombre,0))&amp;""&lt;&gt;"",INDEX(ctaVinc,MATCH(K2867,ctaNombre,0))&amp;"",K2867),K2867))</f>
        <v/>
      </c>
      <c r="AD2867" s="52">
        <f>IF(AB2867="","",IFERROR(INDEX(ctaTipo,MATCH(AB2867,ctaNombre,0))&amp;"",""))</f>
        <v/>
      </c>
      <c r="AE2867" s="52">
        <f>IF(AC2867="","",IFERROR(INDEX(ctaTipo,MATCH(AC2867,ctaNombre,0))&amp;"",""))</f>
        <v/>
      </c>
      <c r="AF2867" s="53">
        <f>IF(OR(P2867="",AB2867=""),"",IF(OR(P2867="Gasto",P2867="Transferencia",P2867="Pago tarjeta"),-1,1)*IF(IFERROR(INDEX(ctaMoneda,MATCH(AB2867,ctaNombre,0))&amp;"","DOP")="USD",T2867,S2867))</f>
        <v/>
      </c>
      <c r="AG2867" s="53">
        <f>IF(AC2867="","",IF(IFERROR(INDEX(ctaMoneda,MATCH(AC2867,ctaNombre,0))&amp;"","DOP")="USD",T2867,S2867))</f>
        <v/>
      </c>
      <c r="AH2867" s="53">
        <f>IF(P2867="","",IF(AND(AD2867&lt;&gt;"",COUNTIFS(tcTipo,AD2867,tcLiq,"Sí")&gt;0),IF(OR(P2867="Gasto",P2867="Transferencia",P2867="Pago tarjeta"),-1,1)*S2867,0)+IF(AND(AE2867&lt;&gt;"",COUNTIFS(tcTipo,AE2867,tcLiq,"Sí")&gt;0),S2867,0))</f>
        <v/>
      </c>
      <c r="AI2867" s="52">
        <f>IF(OR(L2867="",P2867=""),"",IF(COUNTIFS(L$6:L2867,L2867,P$6:P2867,"?*")=1,MAX(AI$5:AI2866)+1,""))</f>
        <v/>
      </c>
    </row>
    <row r="2868">
      <c r="B2868" s="47" t="n"/>
      <c r="C2868" s="48" t="n"/>
      <c r="D2868" s="48" t="n"/>
      <c r="E2868" s="48" t="n"/>
      <c r="F2868" s="48" t="n"/>
      <c r="G2868" s="49" t="n"/>
      <c r="H2868" s="48" t="n"/>
      <c r="I2868" s="50" t="n"/>
      <c r="J2868" s="48" t="n"/>
      <c r="K2868" s="48" t="n"/>
      <c r="L2868" s="48" t="n"/>
      <c r="M2868" s="48" t="n"/>
      <c r="N2868" s="48" t="n"/>
      <c r="O2868" s="51">
        <f>IF(AND(B2868="",G2868="",C2868="",D2868="",J2868=""),"",IF(B2868="","⚠ Falta fecha",IF(G2868="","⚠ Falta monto",IF(Q2868="","⚠ Falta cuenta",IF(ISNA(MATCH(Q2868,ctaNombre,0)),"⚠ Cuenta no registrada",IF(AND(OR(P2868="Gasto",P2868="Reembolso"),D2868=""),"⚠ Falta categoría",IF(AND(D2868&lt;&gt;"",E2868&lt;&gt;"",ISNA(MATCH(D2868&amp;"|"&amp;E2868,catClave,0))),"⚠ Subcategoría no corresponde",IF(AND(OR(P2868="Transferencia",P2868="Pago tarjeta"),K2868=""),"⚠ Falta cuenta destino",IF(AND(K2868&lt;&gt;"",P2868&lt;&gt;"Transferencia",P2868&lt;&gt;"Pago tarjeta"),"⚠ Destino solo aplica a transferencias",IF(AND(K2868&lt;&gt;"",K2868=Q2868),"⚠ Origen igual a destino",IF(AND(K2868&lt;&gt;"",ISNA(MATCH(K2868,ctaNombre,0))),"⚠ Destino no registrado",IF(AND(P2868="Pago tarjeta",AE2868&lt;&gt;"Tarjeta de crédito"),"⚠ El destino debe ser tarjeta de crédito",IF(AND(P2868="Gasto",E2868="Depósitos y retiros"),"⚠ Usa tipo Transferencia",IF(AND(P2868="Resultado trading",AD2868&lt;&gt;"Cuenta de trading"),"⚠ Usa una cuenta de trading",IF(AND(G2868&lt;=0,P2868&lt;&gt;"Ajuste",P2868&lt;&gt;"Resultado trading"),"⚠ El monto debe ser positivo","✓")))))))))))))))</f>
        <v/>
      </c>
      <c r="P2868" s="52">
        <f>IF(OR(B2868="",G2868=""),"",IF(C2868="","Gasto",C2868))</f>
        <v/>
      </c>
      <c r="Q2868" s="52">
        <f>IF(P2868="","",IF(J2868&lt;&gt;"",J2868,CuentaPred&amp;""))</f>
        <v/>
      </c>
      <c r="R2868" s="52">
        <f>IF(P2868="","",IF(ISNUMBER(I2868),I2868,TasaUSD))</f>
        <v/>
      </c>
      <c r="S2868" s="53">
        <f>IF(P2868="","",IF(H2868="USD",G2868*R2868,G2868))</f>
        <v/>
      </c>
      <c r="T2868" s="53">
        <f>IF(P2868="","",IF(H2868="USD",G2868,IF(R2868&gt;0,G2868/R2868,0)))</f>
        <v/>
      </c>
      <c r="U2868" s="53">
        <f>IF(P2868="","",IF(P2868="Gasto",S2868,IF(P2868="Reembolso",-S2868,0)))</f>
        <v/>
      </c>
      <c r="V2868" s="53">
        <f>IF(P2868="","",IF(P2868="Ingreso",S2868,0))</f>
        <v/>
      </c>
      <c r="W2868" s="53">
        <f>IF(P2868="","",IF(P2868="Resultado trading",S2868,0))</f>
        <v/>
      </c>
      <c r="X2868" s="52">
        <f>IF(OR(P2868="Gasto",P2868="Reembolso"),IF(M2868&lt;&gt;"",M2868,IFERROR(INDEX(catClasif,MATCH(D2868&amp;"|"&amp;E2868,catClave,0))&amp;"","Variable")),"")</f>
        <v/>
      </c>
      <c r="Y2868" s="52">
        <f>IF(P2868="","",IFERROR(INDEX(catGrupo,MATCH(D2868&amp;"|"&amp;E2868,catClave,0))&amp;"",""))</f>
        <v/>
      </c>
      <c r="Z2868" s="52">
        <f>IF(P2868="","",WEEKDAY(B2868,2))</f>
        <v/>
      </c>
      <c r="AA2868" s="52">
        <f>IF(P2868="","",IF(AND(P2868="Gasto",X2868="Variable",D2868&lt;&gt;catTrading,S2868&gt;0,S2868&lt;=Umbral),1,0))</f>
        <v/>
      </c>
      <c r="AB2868" s="52">
        <f>IF(OR(P2868="",Q2868=""),"",IFERROR(IF(INDEX(ctaVinc,MATCH(Q2868,ctaNombre,0))&amp;""&lt;&gt;"",INDEX(ctaVinc,MATCH(Q2868,ctaNombre,0))&amp;"",Q2868),Q2868))</f>
        <v/>
      </c>
      <c r="AC2868" s="52">
        <f>IF(OR(K2868="",AND(P2868&lt;&gt;"Transferencia",P2868&lt;&gt;"Pago tarjeta")),"",IFERROR(IF(INDEX(ctaVinc,MATCH(K2868,ctaNombre,0))&amp;""&lt;&gt;"",INDEX(ctaVinc,MATCH(K2868,ctaNombre,0))&amp;"",K2868),K2868))</f>
        <v/>
      </c>
      <c r="AD2868" s="52">
        <f>IF(AB2868="","",IFERROR(INDEX(ctaTipo,MATCH(AB2868,ctaNombre,0))&amp;"",""))</f>
        <v/>
      </c>
      <c r="AE2868" s="52">
        <f>IF(AC2868="","",IFERROR(INDEX(ctaTipo,MATCH(AC2868,ctaNombre,0))&amp;"",""))</f>
        <v/>
      </c>
      <c r="AF2868" s="53">
        <f>IF(OR(P2868="",AB2868=""),"",IF(OR(P2868="Gasto",P2868="Transferencia",P2868="Pago tarjeta"),-1,1)*IF(IFERROR(INDEX(ctaMoneda,MATCH(AB2868,ctaNombre,0))&amp;"","DOP")="USD",T2868,S2868))</f>
        <v/>
      </c>
      <c r="AG2868" s="53">
        <f>IF(AC2868="","",IF(IFERROR(INDEX(ctaMoneda,MATCH(AC2868,ctaNombre,0))&amp;"","DOP")="USD",T2868,S2868))</f>
        <v/>
      </c>
      <c r="AH2868" s="53">
        <f>IF(P2868="","",IF(AND(AD2868&lt;&gt;"",COUNTIFS(tcTipo,AD2868,tcLiq,"Sí")&gt;0),IF(OR(P2868="Gasto",P2868="Transferencia",P2868="Pago tarjeta"),-1,1)*S2868,0)+IF(AND(AE2868&lt;&gt;"",COUNTIFS(tcTipo,AE2868,tcLiq,"Sí")&gt;0),S2868,0))</f>
        <v/>
      </c>
      <c r="AI2868" s="52">
        <f>IF(OR(L2868="",P2868=""),"",IF(COUNTIFS(L$6:L2868,L2868,P$6:P2868,"?*")=1,MAX(AI$5:AI2867)+1,""))</f>
        <v/>
      </c>
    </row>
    <row r="2869">
      <c r="B2869" s="47" t="n"/>
      <c r="C2869" s="48" t="n"/>
      <c r="D2869" s="48" t="n"/>
      <c r="E2869" s="48" t="n"/>
      <c r="F2869" s="48" t="n"/>
      <c r="G2869" s="49" t="n"/>
      <c r="H2869" s="48" t="n"/>
      <c r="I2869" s="50" t="n"/>
      <c r="J2869" s="48" t="n"/>
      <c r="K2869" s="48" t="n"/>
      <c r="L2869" s="48" t="n"/>
      <c r="M2869" s="48" t="n"/>
      <c r="N2869" s="48" t="n"/>
      <c r="O2869" s="51">
        <f>IF(AND(B2869="",G2869="",C2869="",D2869="",J2869=""),"",IF(B2869="","⚠ Falta fecha",IF(G2869="","⚠ Falta monto",IF(Q2869="","⚠ Falta cuenta",IF(ISNA(MATCH(Q2869,ctaNombre,0)),"⚠ Cuenta no registrada",IF(AND(OR(P2869="Gasto",P2869="Reembolso"),D2869=""),"⚠ Falta categoría",IF(AND(D2869&lt;&gt;"",E2869&lt;&gt;"",ISNA(MATCH(D2869&amp;"|"&amp;E2869,catClave,0))),"⚠ Subcategoría no corresponde",IF(AND(OR(P2869="Transferencia",P2869="Pago tarjeta"),K2869=""),"⚠ Falta cuenta destino",IF(AND(K2869&lt;&gt;"",P2869&lt;&gt;"Transferencia",P2869&lt;&gt;"Pago tarjeta"),"⚠ Destino solo aplica a transferencias",IF(AND(K2869&lt;&gt;"",K2869=Q2869),"⚠ Origen igual a destino",IF(AND(K2869&lt;&gt;"",ISNA(MATCH(K2869,ctaNombre,0))),"⚠ Destino no registrado",IF(AND(P2869="Pago tarjeta",AE2869&lt;&gt;"Tarjeta de crédito"),"⚠ El destino debe ser tarjeta de crédito",IF(AND(P2869="Gasto",E2869="Depósitos y retiros"),"⚠ Usa tipo Transferencia",IF(AND(P2869="Resultado trading",AD2869&lt;&gt;"Cuenta de trading"),"⚠ Usa una cuenta de trading",IF(AND(G2869&lt;=0,P2869&lt;&gt;"Ajuste",P2869&lt;&gt;"Resultado trading"),"⚠ El monto debe ser positivo","✓")))))))))))))))</f>
        <v/>
      </c>
      <c r="P2869" s="52">
        <f>IF(OR(B2869="",G2869=""),"",IF(C2869="","Gasto",C2869))</f>
        <v/>
      </c>
      <c r="Q2869" s="52">
        <f>IF(P2869="","",IF(J2869&lt;&gt;"",J2869,CuentaPred&amp;""))</f>
        <v/>
      </c>
      <c r="R2869" s="52">
        <f>IF(P2869="","",IF(ISNUMBER(I2869),I2869,TasaUSD))</f>
        <v/>
      </c>
      <c r="S2869" s="53">
        <f>IF(P2869="","",IF(H2869="USD",G2869*R2869,G2869))</f>
        <v/>
      </c>
      <c r="T2869" s="53">
        <f>IF(P2869="","",IF(H2869="USD",G2869,IF(R2869&gt;0,G2869/R2869,0)))</f>
        <v/>
      </c>
      <c r="U2869" s="53">
        <f>IF(P2869="","",IF(P2869="Gasto",S2869,IF(P2869="Reembolso",-S2869,0)))</f>
        <v/>
      </c>
      <c r="V2869" s="53">
        <f>IF(P2869="","",IF(P2869="Ingreso",S2869,0))</f>
        <v/>
      </c>
      <c r="W2869" s="53">
        <f>IF(P2869="","",IF(P2869="Resultado trading",S2869,0))</f>
        <v/>
      </c>
      <c r="X2869" s="52">
        <f>IF(OR(P2869="Gasto",P2869="Reembolso"),IF(M2869&lt;&gt;"",M2869,IFERROR(INDEX(catClasif,MATCH(D2869&amp;"|"&amp;E2869,catClave,0))&amp;"","Variable")),"")</f>
        <v/>
      </c>
      <c r="Y2869" s="52">
        <f>IF(P2869="","",IFERROR(INDEX(catGrupo,MATCH(D2869&amp;"|"&amp;E2869,catClave,0))&amp;"",""))</f>
        <v/>
      </c>
      <c r="Z2869" s="52">
        <f>IF(P2869="","",WEEKDAY(B2869,2))</f>
        <v/>
      </c>
      <c r="AA2869" s="52">
        <f>IF(P2869="","",IF(AND(P2869="Gasto",X2869="Variable",D2869&lt;&gt;catTrading,S2869&gt;0,S2869&lt;=Umbral),1,0))</f>
        <v/>
      </c>
      <c r="AB2869" s="52">
        <f>IF(OR(P2869="",Q2869=""),"",IFERROR(IF(INDEX(ctaVinc,MATCH(Q2869,ctaNombre,0))&amp;""&lt;&gt;"",INDEX(ctaVinc,MATCH(Q2869,ctaNombre,0))&amp;"",Q2869),Q2869))</f>
        <v/>
      </c>
      <c r="AC2869" s="52">
        <f>IF(OR(K2869="",AND(P2869&lt;&gt;"Transferencia",P2869&lt;&gt;"Pago tarjeta")),"",IFERROR(IF(INDEX(ctaVinc,MATCH(K2869,ctaNombre,0))&amp;""&lt;&gt;"",INDEX(ctaVinc,MATCH(K2869,ctaNombre,0))&amp;"",K2869),K2869))</f>
        <v/>
      </c>
      <c r="AD2869" s="52">
        <f>IF(AB2869="","",IFERROR(INDEX(ctaTipo,MATCH(AB2869,ctaNombre,0))&amp;"",""))</f>
        <v/>
      </c>
      <c r="AE2869" s="52">
        <f>IF(AC2869="","",IFERROR(INDEX(ctaTipo,MATCH(AC2869,ctaNombre,0))&amp;"",""))</f>
        <v/>
      </c>
      <c r="AF2869" s="53">
        <f>IF(OR(P2869="",AB2869=""),"",IF(OR(P2869="Gasto",P2869="Transferencia",P2869="Pago tarjeta"),-1,1)*IF(IFERROR(INDEX(ctaMoneda,MATCH(AB2869,ctaNombre,0))&amp;"","DOP")="USD",T2869,S2869))</f>
        <v/>
      </c>
      <c r="AG2869" s="53">
        <f>IF(AC2869="","",IF(IFERROR(INDEX(ctaMoneda,MATCH(AC2869,ctaNombre,0))&amp;"","DOP")="USD",T2869,S2869))</f>
        <v/>
      </c>
      <c r="AH2869" s="53">
        <f>IF(P2869="","",IF(AND(AD2869&lt;&gt;"",COUNTIFS(tcTipo,AD2869,tcLiq,"Sí")&gt;0),IF(OR(P2869="Gasto",P2869="Transferencia",P2869="Pago tarjeta"),-1,1)*S2869,0)+IF(AND(AE2869&lt;&gt;"",COUNTIFS(tcTipo,AE2869,tcLiq,"Sí")&gt;0),S2869,0))</f>
        <v/>
      </c>
      <c r="AI2869" s="52">
        <f>IF(OR(L2869="",P2869=""),"",IF(COUNTIFS(L$6:L2869,L2869,P$6:P2869,"?*")=1,MAX(AI$5:AI2868)+1,""))</f>
        <v/>
      </c>
    </row>
    <row r="2870">
      <c r="B2870" s="47" t="n"/>
      <c r="C2870" s="48" t="n"/>
      <c r="D2870" s="48" t="n"/>
      <c r="E2870" s="48" t="n"/>
      <c r="F2870" s="48" t="n"/>
      <c r="G2870" s="49" t="n"/>
      <c r="H2870" s="48" t="n"/>
      <c r="I2870" s="50" t="n"/>
      <c r="J2870" s="48" t="n"/>
      <c r="K2870" s="48" t="n"/>
      <c r="L2870" s="48" t="n"/>
      <c r="M2870" s="48" t="n"/>
      <c r="N2870" s="48" t="n"/>
      <c r="O2870" s="51">
        <f>IF(AND(B2870="",G2870="",C2870="",D2870="",J2870=""),"",IF(B2870="","⚠ Falta fecha",IF(G2870="","⚠ Falta monto",IF(Q2870="","⚠ Falta cuenta",IF(ISNA(MATCH(Q2870,ctaNombre,0)),"⚠ Cuenta no registrada",IF(AND(OR(P2870="Gasto",P2870="Reembolso"),D2870=""),"⚠ Falta categoría",IF(AND(D2870&lt;&gt;"",E2870&lt;&gt;"",ISNA(MATCH(D2870&amp;"|"&amp;E2870,catClave,0))),"⚠ Subcategoría no corresponde",IF(AND(OR(P2870="Transferencia",P2870="Pago tarjeta"),K2870=""),"⚠ Falta cuenta destino",IF(AND(K2870&lt;&gt;"",P2870&lt;&gt;"Transferencia",P2870&lt;&gt;"Pago tarjeta"),"⚠ Destino solo aplica a transferencias",IF(AND(K2870&lt;&gt;"",K2870=Q2870),"⚠ Origen igual a destino",IF(AND(K2870&lt;&gt;"",ISNA(MATCH(K2870,ctaNombre,0))),"⚠ Destino no registrado",IF(AND(P2870="Pago tarjeta",AE2870&lt;&gt;"Tarjeta de crédito"),"⚠ El destino debe ser tarjeta de crédito",IF(AND(P2870="Gasto",E2870="Depósitos y retiros"),"⚠ Usa tipo Transferencia",IF(AND(P2870="Resultado trading",AD2870&lt;&gt;"Cuenta de trading"),"⚠ Usa una cuenta de trading",IF(AND(G2870&lt;=0,P2870&lt;&gt;"Ajuste",P2870&lt;&gt;"Resultado trading"),"⚠ El monto debe ser positivo","✓")))))))))))))))</f>
        <v/>
      </c>
      <c r="P2870" s="52">
        <f>IF(OR(B2870="",G2870=""),"",IF(C2870="","Gasto",C2870))</f>
        <v/>
      </c>
      <c r="Q2870" s="52">
        <f>IF(P2870="","",IF(J2870&lt;&gt;"",J2870,CuentaPred&amp;""))</f>
        <v/>
      </c>
      <c r="R2870" s="52">
        <f>IF(P2870="","",IF(ISNUMBER(I2870),I2870,TasaUSD))</f>
        <v/>
      </c>
      <c r="S2870" s="53">
        <f>IF(P2870="","",IF(H2870="USD",G2870*R2870,G2870))</f>
        <v/>
      </c>
      <c r="T2870" s="53">
        <f>IF(P2870="","",IF(H2870="USD",G2870,IF(R2870&gt;0,G2870/R2870,0)))</f>
        <v/>
      </c>
      <c r="U2870" s="53">
        <f>IF(P2870="","",IF(P2870="Gasto",S2870,IF(P2870="Reembolso",-S2870,0)))</f>
        <v/>
      </c>
      <c r="V2870" s="53">
        <f>IF(P2870="","",IF(P2870="Ingreso",S2870,0))</f>
        <v/>
      </c>
      <c r="W2870" s="53">
        <f>IF(P2870="","",IF(P2870="Resultado trading",S2870,0))</f>
        <v/>
      </c>
      <c r="X2870" s="52">
        <f>IF(OR(P2870="Gasto",P2870="Reembolso"),IF(M2870&lt;&gt;"",M2870,IFERROR(INDEX(catClasif,MATCH(D2870&amp;"|"&amp;E2870,catClave,0))&amp;"","Variable")),"")</f>
        <v/>
      </c>
      <c r="Y2870" s="52">
        <f>IF(P2870="","",IFERROR(INDEX(catGrupo,MATCH(D2870&amp;"|"&amp;E2870,catClave,0))&amp;"",""))</f>
        <v/>
      </c>
      <c r="Z2870" s="52">
        <f>IF(P2870="","",WEEKDAY(B2870,2))</f>
        <v/>
      </c>
      <c r="AA2870" s="52">
        <f>IF(P2870="","",IF(AND(P2870="Gasto",X2870="Variable",D2870&lt;&gt;catTrading,S2870&gt;0,S2870&lt;=Umbral),1,0))</f>
        <v/>
      </c>
      <c r="AB2870" s="52">
        <f>IF(OR(P2870="",Q2870=""),"",IFERROR(IF(INDEX(ctaVinc,MATCH(Q2870,ctaNombre,0))&amp;""&lt;&gt;"",INDEX(ctaVinc,MATCH(Q2870,ctaNombre,0))&amp;"",Q2870),Q2870))</f>
        <v/>
      </c>
      <c r="AC2870" s="52">
        <f>IF(OR(K2870="",AND(P2870&lt;&gt;"Transferencia",P2870&lt;&gt;"Pago tarjeta")),"",IFERROR(IF(INDEX(ctaVinc,MATCH(K2870,ctaNombre,0))&amp;""&lt;&gt;"",INDEX(ctaVinc,MATCH(K2870,ctaNombre,0))&amp;"",K2870),K2870))</f>
        <v/>
      </c>
      <c r="AD2870" s="52">
        <f>IF(AB2870="","",IFERROR(INDEX(ctaTipo,MATCH(AB2870,ctaNombre,0))&amp;"",""))</f>
        <v/>
      </c>
      <c r="AE2870" s="52">
        <f>IF(AC2870="","",IFERROR(INDEX(ctaTipo,MATCH(AC2870,ctaNombre,0))&amp;"",""))</f>
        <v/>
      </c>
      <c r="AF2870" s="53">
        <f>IF(OR(P2870="",AB2870=""),"",IF(OR(P2870="Gasto",P2870="Transferencia",P2870="Pago tarjeta"),-1,1)*IF(IFERROR(INDEX(ctaMoneda,MATCH(AB2870,ctaNombre,0))&amp;"","DOP")="USD",T2870,S2870))</f>
        <v/>
      </c>
      <c r="AG2870" s="53">
        <f>IF(AC2870="","",IF(IFERROR(INDEX(ctaMoneda,MATCH(AC2870,ctaNombre,0))&amp;"","DOP")="USD",T2870,S2870))</f>
        <v/>
      </c>
      <c r="AH2870" s="53">
        <f>IF(P2870="","",IF(AND(AD2870&lt;&gt;"",COUNTIFS(tcTipo,AD2870,tcLiq,"Sí")&gt;0),IF(OR(P2870="Gasto",P2870="Transferencia",P2870="Pago tarjeta"),-1,1)*S2870,0)+IF(AND(AE2870&lt;&gt;"",COUNTIFS(tcTipo,AE2870,tcLiq,"Sí")&gt;0),S2870,0))</f>
        <v/>
      </c>
      <c r="AI2870" s="52">
        <f>IF(OR(L2870="",P2870=""),"",IF(COUNTIFS(L$6:L2870,L2870,P$6:P2870,"?*")=1,MAX(AI$5:AI2869)+1,""))</f>
        <v/>
      </c>
    </row>
    <row r="2871">
      <c r="B2871" s="47" t="n"/>
      <c r="C2871" s="48" t="n"/>
      <c r="D2871" s="48" t="n"/>
      <c r="E2871" s="48" t="n"/>
      <c r="F2871" s="48" t="n"/>
      <c r="G2871" s="49" t="n"/>
      <c r="H2871" s="48" t="n"/>
      <c r="I2871" s="50" t="n"/>
      <c r="J2871" s="48" t="n"/>
      <c r="K2871" s="48" t="n"/>
      <c r="L2871" s="48" t="n"/>
      <c r="M2871" s="48" t="n"/>
      <c r="N2871" s="48" t="n"/>
      <c r="O2871" s="51">
        <f>IF(AND(B2871="",G2871="",C2871="",D2871="",J2871=""),"",IF(B2871="","⚠ Falta fecha",IF(G2871="","⚠ Falta monto",IF(Q2871="","⚠ Falta cuenta",IF(ISNA(MATCH(Q2871,ctaNombre,0)),"⚠ Cuenta no registrada",IF(AND(OR(P2871="Gasto",P2871="Reembolso"),D2871=""),"⚠ Falta categoría",IF(AND(D2871&lt;&gt;"",E2871&lt;&gt;"",ISNA(MATCH(D2871&amp;"|"&amp;E2871,catClave,0))),"⚠ Subcategoría no corresponde",IF(AND(OR(P2871="Transferencia",P2871="Pago tarjeta"),K2871=""),"⚠ Falta cuenta destino",IF(AND(K2871&lt;&gt;"",P2871&lt;&gt;"Transferencia",P2871&lt;&gt;"Pago tarjeta"),"⚠ Destino solo aplica a transferencias",IF(AND(K2871&lt;&gt;"",K2871=Q2871),"⚠ Origen igual a destino",IF(AND(K2871&lt;&gt;"",ISNA(MATCH(K2871,ctaNombre,0))),"⚠ Destino no registrado",IF(AND(P2871="Pago tarjeta",AE2871&lt;&gt;"Tarjeta de crédito"),"⚠ El destino debe ser tarjeta de crédito",IF(AND(P2871="Gasto",E2871="Depósitos y retiros"),"⚠ Usa tipo Transferencia",IF(AND(P2871="Resultado trading",AD2871&lt;&gt;"Cuenta de trading"),"⚠ Usa una cuenta de trading",IF(AND(G2871&lt;=0,P2871&lt;&gt;"Ajuste",P2871&lt;&gt;"Resultado trading"),"⚠ El monto debe ser positivo","✓")))))))))))))))</f>
        <v/>
      </c>
      <c r="P2871" s="52">
        <f>IF(OR(B2871="",G2871=""),"",IF(C2871="","Gasto",C2871))</f>
        <v/>
      </c>
      <c r="Q2871" s="52">
        <f>IF(P2871="","",IF(J2871&lt;&gt;"",J2871,CuentaPred&amp;""))</f>
        <v/>
      </c>
      <c r="R2871" s="52">
        <f>IF(P2871="","",IF(ISNUMBER(I2871),I2871,TasaUSD))</f>
        <v/>
      </c>
      <c r="S2871" s="53">
        <f>IF(P2871="","",IF(H2871="USD",G2871*R2871,G2871))</f>
        <v/>
      </c>
      <c r="T2871" s="53">
        <f>IF(P2871="","",IF(H2871="USD",G2871,IF(R2871&gt;0,G2871/R2871,0)))</f>
        <v/>
      </c>
      <c r="U2871" s="53">
        <f>IF(P2871="","",IF(P2871="Gasto",S2871,IF(P2871="Reembolso",-S2871,0)))</f>
        <v/>
      </c>
      <c r="V2871" s="53">
        <f>IF(P2871="","",IF(P2871="Ingreso",S2871,0))</f>
        <v/>
      </c>
      <c r="W2871" s="53">
        <f>IF(P2871="","",IF(P2871="Resultado trading",S2871,0))</f>
        <v/>
      </c>
      <c r="X2871" s="52">
        <f>IF(OR(P2871="Gasto",P2871="Reembolso"),IF(M2871&lt;&gt;"",M2871,IFERROR(INDEX(catClasif,MATCH(D2871&amp;"|"&amp;E2871,catClave,0))&amp;"","Variable")),"")</f>
        <v/>
      </c>
      <c r="Y2871" s="52">
        <f>IF(P2871="","",IFERROR(INDEX(catGrupo,MATCH(D2871&amp;"|"&amp;E2871,catClave,0))&amp;"",""))</f>
        <v/>
      </c>
      <c r="Z2871" s="52">
        <f>IF(P2871="","",WEEKDAY(B2871,2))</f>
        <v/>
      </c>
      <c r="AA2871" s="52">
        <f>IF(P2871="","",IF(AND(P2871="Gasto",X2871="Variable",D2871&lt;&gt;catTrading,S2871&gt;0,S2871&lt;=Umbral),1,0))</f>
        <v/>
      </c>
      <c r="AB2871" s="52">
        <f>IF(OR(P2871="",Q2871=""),"",IFERROR(IF(INDEX(ctaVinc,MATCH(Q2871,ctaNombre,0))&amp;""&lt;&gt;"",INDEX(ctaVinc,MATCH(Q2871,ctaNombre,0))&amp;"",Q2871),Q2871))</f>
        <v/>
      </c>
      <c r="AC2871" s="52">
        <f>IF(OR(K2871="",AND(P2871&lt;&gt;"Transferencia",P2871&lt;&gt;"Pago tarjeta")),"",IFERROR(IF(INDEX(ctaVinc,MATCH(K2871,ctaNombre,0))&amp;""&lt;&gt;"",INDEX(ctaVinc,MATCH(K2871,ctaNombre,0))&amp;"",K2871),K2871))</f>
        <v/>
      </c>
      <c r="AD2871" s="52">
        <f>IF(AB2871="","",IFERROR(INDEX(ctaTipo,MATCH(AB2871,ctaNombre,0))&amp;"",""))</f>
        <v/>
      </c>
      <c r="AE2871" s="52">
        <f>IF(AC2871="","",IFERROR(INDEX(ctaTipo,MATCH(AC2871,ctaNombre,0))&amp;"",""))</f>
        <v/>
      </c>
      <c r="AF2871" s="53">
        <f>IF(OR(P2871="",AB2871=""),"",IF(OR(P2871="Gasto",P2871="Transferencia",P2871="Pago tarjeta"),-1,1)*IF(IFERROR(INDEX(ctaMoneda,MATCH(AB2871,ctaNombre,0))&amp;"","DOP")="USD",T2871,S2871))</f>
        <v/>
      </c>
      <c r="AG2871" s="53">
        <f>IF(AC2871="","",IF(IFERROR(INDEX(ctaMoneda,MATCH(AC2871,ctaNombre,0))&amp;"","DOP")="USD",T2871,S2871))</f>
        <v/>
      </c>
      <c r="AH2871" s="53">
        <f>IF(P2871="","",IF(AND(AD2871&lt;&gt;"",COUNTIFS(tcTipo,AD2871,tcLiq,"Sí")&gt;0),IF(OR(P2871="Gasto",P2871="Transferencia",P2871="Pago tarjeta"),-1,1)*S2871,0)+IF(AND(AE2871&lt;&gt;"",COUNTIFS(tcTipo,AE2871,tcLiq,"Sí")&gt;0),S2871,0))</f>
        <v/>
      </c>
      <c r="AI2871" s="52">
        <f>IF(OR(L2871="",P2871=""),"",IF(COUNTIFS(L$6:L2871,L2871,P$6:P2871,"?*")=1,MAX(AI$5:AI2870)+1,""))</f>
        <v/>
      </c>
    </row>
    <row r="2872">
      <c r="B2872" s="47" t="n"/>
      <c r="C2872" s="48" t="n"/>
      <c r="D2872" s="48" t="n"/>
      <c r="E2872" s="48" t="n"/>
      <c r="F2872" s="48" t="n"/>
      <c r="G2872" s="49" t="n"/>
      <c r="H2872" s="48" t="n"/>
      <c r="I2872" s="50" t="n"/>
      <c r="J2872" s="48" t="n"/>
      <c r="K2872" s="48" t="n"/>
      <c r="L2872" s="48" t="n"/>
      <c r="M2872" s="48" t="n"/>
      <c r="N2872" s="48" t="n"/>
      <c r="O2872" s="51">
        <f>IF(AND(B2872="",G2872="",C2872="",D2872="",J2872=""),"",IF(B2872="","⚠ Falta fecha",IF(G2872="","⚠ Falta monto",IF(Q2872="","⚠ Falta cuenta",IF(ISNA(MATCH(Q2872,ctaNombre,0)),"⚠ Cuenta no registrada",IF(AND(OR(P2872="Gasto",P2872="Reembolso"),D2872=""),"⚠ Falta categoría",IF(AND(D2872&lt;&gt;"",E2872&lt;&gt;"",ISNA(MATCH(D2872&amp;"|"&amp;E2872,catClave,0))),"⚠ Subcategoría no corresponde",IF(AND(OR(P2872="Transferencia",P2872="Pago tarjeta"),K2872=""),"⚠ Falta cuenta destino",IF(AND(K2872&lt;&gt;"",P2872&lt;&gt;"Transferencia",P2872&lt;&gt;"Pago tarjeta"),"⚠ Destino solo aplica a transferencias",IF(AND(K2872&lt;&gt;"",K2872=Q2872),"⚠ Origen igual a destino",IF(AND(K2872&lt;&gt;"",ISNA(MATCH(K2872,ctaNombre,0))),"⚠ Destino no registrado",IF(AND(P2872="Pago tarjeta",AE2872&lt;&gt;"Tarjeta de crédito"),"⚠ El destino debe ser tarjeta de crédito",IF(AND(P2872="Gasto",E2872="Depósitos y retiros"),"⚠ Usa tipo Transferencia",IF(AND(P2872="Resultado trading",AD2872&lt;&gt;"Cuenta de trading"),"⚠ Usa una cuenta de trading",IF(AND(G2872&lt;=0,P2872&lt;&gt;"Ajuste",P2872&lt;&gt;"Resultado trading"),"⚠ El monto debe ser positivo","✓")))))))))))))))</f>
        <v/>
      </c>
      <c r="P2872" s="52">
        <f>IF(OR(B2872="",G2872=""),"",IF(C2872="","Gasto",C2872))</f>
        <v/>
      </c>
      <c r="Q2872" s="52">
        <f>IF(P2872="","",IF(J2872&lt;&gt;"",J2872,CuentaPred&amp;""))</f>
        <v/>
      </c>
      <c r="R2872" s="52">
        <f>IF(P2872="","",IF(ISNUMBER(I2872),I2872,TasaUSD))</f>
        <v/>
      </c>
      <c r="S2872" s="53">
        <f>IF(P2872="","",IF(H2872="USD",G2872*R2872,G2872))</f>
        <v/>
      </c>
      <c r="T2872" s="53">
        <f>IF(P2872="","",IF(H2872="USD",G2872,IF(R2872&gt;0,G2872/R2872,0)))</f>
        <v/>
      </c>
      <c r="U2872" s="53">
        <f>IF(P2872="","",IF(P2872="Gasto",S2872,IF(P2872="Reembolso",-S2872,0)))</f>
        <v/>
      </c>
      <c r="V2872" s="53">
        <f>IF(P2872="","",IF(P2872="Ingreso",S2872,0))</f>
        <v/>
      </c>
      <c r="W2872" s="53">
        <f>IF(P2872="","",IF(P2872="Resultado trading",S2872,0))</f>
        <v/>
      </c>
      <c r="X2872" s="52">
        <f>IF(OR(P2872="Gasto",P2872="Reembolso"),IF(M2872&lt;&gt;"",M2872,IFERROR(INDEX(catClasif,MATCH(D2872&amp;"|"&amp;E2872,catClave,0))&amp;"","Variable")),"")</f>
        <v/>
      </c>
      <c r="Y2872" s="52">
        <f>IF(P2872="","",IFERROR(INDEX(catGrupo,MATCH(D2872&amp;"|"&amp;E2872,catClave,0))&amp;"",""))</f>
        <v/>
      </c>
      <c r="Z2872" s="52">
        <f>IF(P2872="","",WEEKDAY(B2872,2))</f>
        <v/>
      </c>
      <c r="AA2872" s="52">
        <f>IF(P2872="","",IF(AND(P2872="Gasto",X2872="Variable",D2872&lt;&gt;catTrading,S2872&gt;0,S2872&lt;=Umbral),1,0))</f>
        <v/>
      </c>
      <c r="AB2872" s="52">
        <f>IF(OR(P2872="",Q2872=""),"",IFERROR(IF(INDEX(ctaVinc,MATCH(Q2872,ctaNombre,0))&amp;""&lt;&gt;"",INDEX(ctaVinc,MATCH(Q2872,ctaNombre,0))&amp;"",Q2872),Q2872))</f>
        <v/>
      </c>
      <c r="AC2872" s="52">
        <f>IF(OR(K2872="",AND(P2872&lt;&gt;"Transferencia",P2872&lt;&gt;"Pago tarjeta")),"",IFERROR(IF(INDEX(ctaVinc,MATCH(K2872,ctaNombre,0))&amp;""&lt;&gt;"",INDEX(ctaVinc,MATCH(K2872,ctaNombre,0))&amp;"",K2872),K2872))</f>
        <v/>
      </c>
      <c r="AD2872" s="52">
        <f>IF(AB2872="","",IFERROR(INDEX(ctaTipo,MATCH(AB2872,ctaNombre,0))&amp;"",""))</f>
        <v/>
      </c>
      <c r="AE2872" s="52">
        <f>IF(AC2872="","",IFERROR(INDEX(ctaTipo,MATCH(AC2872,ctaNombre,0))&amp;"",""))</f>
        <v/>
      </c>
      <c r="AF2872" s="53">
        <f>IF(OR(P2872="",AB2872=""),"",IF(OR(P2872="Gasto",P2872="Transferencia",P2872="Pago tarjeta"),-1,1)*IF(IFERROR(INDEX(ctaMoneda,MATCH(AB2872,ctaNombre,0))&amp;"","DOP")="USD",T2872,S2872))</f>
        <v/>
      </c>
      <c r="AG2872" s="53">
        <f>IF(AC2872="","",IF(IFERROR(INDEX(ctaMoneda,MATCH(AC2872,ctaNombre,0))&amp;"","DOP")="USD",T2872,S2872))</f>
        <v/>
      </c>
      <c r="AH2872" s="53">
        <f>IF(P2872="","",IF(AND(AD2872&lt;&gt;"",COUNTIFS(tcTipo,AD2872,tcLiq,"Sí")&gt;0),IF(OR(P2872="Gasto",P2872="Transferencia",P2872="Pago tarjeta"),-1,1)*S2872,0)+IF(AND(AE2872&lt;&gt;"",COUNTIFS(tcTipo,AE2872,tcLiq,"Sí")&gt;0),S2872,0))</f>
        <v/>
      </c>
      <c r="AI2872" s="52">
        <f>IF(OR(L2872="",P2872=""),"",IF(COUNTIFS(L$6:L2872,L2872,P$6:P2872,"?*")=1,MAX(AI$5:AI2871)+1,""))</f>
        <v/>
      </c>
    </row>
    <row r="2873">
      <c r="B2873" s="47" t="n"/>
      <c r="C2873" s="48" t="n"/>
      <c r="D2873" s="48" t="n"/>
      <c r="E2873" s="48" t="n"/>
      <c r="F2873" s="48" t="n"/>
      <c r="G2873" s="49" t="n"/>
      <c r="H2873" s="48" t="n"/>
      <c r="I2873" s="50" t="n"/>
      <c r="J2873" s="48" t="n"/>
      <c r="K2873" s="48" t="n"/>
      <c r="L2873" s="48" t="n"/>
      <c r="M2873" s="48" t="n"/>
      <c r="N2873" s="48" t="n"/>
      <c r="O2873" s="51">
        <f>IF(AND(B2873="",G2873="",C2873="",D2873="",J2873=""),"",IF(B2873="","⚠ Falta fecha",IF(G2873="","⚠ Falta monto",IF(Q2873="","⚠ Falta cuenta",IF(ISNA(MATCH(Q2873,ctaNombre,0)),"⚠ Cuenta no registrada",IF(AND(OR(P2873="Gasto",P2873="Reembolso"),D2873=""),"⚠ Falta categoría",IF(AND(D2873&lt;&gt;"",E2873&lt;&gt;"",ISNA(MATCH(D2873&amp;"|"&amp;E2873,catClave,0))),"⚠ Subcategoría no corresponde",IF(AND(OR(P2873="Transferencia",P2873="Pago tarjeta"),K2873=""),"⚠ Falta cuenta destino",IF(AND(K2873&lt;&gt;"",P2873&lt;&gt;"Transferencia",P2873&lt;&gt;"Pago tarjeta"),"⚠ Destino solo aplica a transferencias",IF(AND(K2873&lt;&gt;"",K2873=Q2873),"⚠ Origen igual a destino",IF(AND(K2873&lt;&gt;"",ISNA(MATCH(K2873,ctaNombre,0))),"⚠ Destino no registrado",IF(AND(P2873="Pago tarjeta",AE2873&lt;&gt;"Tarjeta de crédito"),"⚠ El destino debe ser tarjeta de crédito",IF(AND(P2873="Gasto",E2873="Depósitos y retiros"),"⚠ Usa tipo Transferencia",IF(AND(P2873="Resultado trading",AD2873&lt;&gt;"Cuenta de trading"),"⚠ Usa una cuenta de trading",IF(AND(G2873&lt;=0,P2873&lt;&gt;"Ajuste",P2873&lt;&gt;"Resultado trading"),"⚠ El monto debe ser positivo","✓")))))))))))))))</f>
        <v/>
      </c>
      <c r="P2873" s="52">
        <f>IF(OR(B2873="",G2873=""),"",IF(C2873="","Gasto",C2873))</f>
        <v/>
      </c>
      <c r="Q2873" s="52">
        <f>IF(P2873="","",IF(J2873&lt;&gt;"",J2873,CuentaPred&amp;""))</f>
        <v/>
      </c>
      <c r="R2873" s="52">
        <f>IF(P2873="","",IF(ISNUMBER(I2873),I2873,TasaUSD))</f>
        <v/>
      </c>
      <c r="S2873" s="53">
        <f>IF(P2873="","",IF(H2873="USD",G2873*R2873,G2873))</f>
        <v/>
      </c>
      <c r="T2873" s="53">
        <f>IF(P2873="","",IF(H2873="USD",G2873,IF(R2873&gt;0,G2873/R2873,0)))</f>
        <v/>
      </c>
      <c r="U2873" s="53">
        <f>IF(P2873="","",IF(P2873="Gasto",S2873,IF(P2873="Reembolso",-S2873,0)))</f>
        <v/>
      </c>
      <c r="V2873" s="53">
        <f>IF(P2873="","",IF(P2873="Ingreso",S2873,0))</f>
        <v/>
      </c>
      <c r="W2873" s="53">
        <f>IF(P2873="","",IF(P2873="Resultado trading",S2873,0))</f>
        <v/>
      </c>
      <c r="X2873" s="52">
        <f>IF(OR(P2873="Gasto",P2873="Reembolso"),IF(M2873&lt;&gt;"",M2873,IFERROR(INDEX(catClasif,MATCH(D2873&amp;"|"&amp;E2873,catClave,0))&amp;"","Variable")),"")</f>
        <v/>
      </c>
      <c r="Y2873" s="52">
        <f>IF(P2873="","",IFERROR(INDEX(catGrupo,MATCH(D2873&amp;"|"&amp;E2873,catClave,0))&amp;"",""))</f>
        <v/>
      </c>
      <c r="Z2873" s="52">
        <f>IF(P2873="","",WEEKDAY(B2873,2))</f>
        <v/>
      </c>
      <c r="AA2873" s="52">
        <f>IF(P2873="","",IF(AND(P2873="Gasto",X2873="Variable",D2873&lt;&gt;catTrading,S2873&gt;0,S2873&lt;=Umbral),1,0))</f>
        <v/>
      </c>
      <c r="AB2873" s="52">
        <f>IF(OR(P2873="",Q2873=""),"",IFERROR(IF(INDEX(ctaVinc,MATCH(Q2873,ctaNombre,0))&amp;""&lt;&gt;"",INDEX(ctaVinc,MATCH(Q2873,ctaNombre,0))&amp;"",Q2873),Q2873))</f>
        <v/>
      </c>
      <c r="AC2873" s="52">
        <f>IF(OR(K2873="",AND(P2873&lt;&gt;"Transferencia",P2873&lt;&gt;"Pago tarjeta")),"",IFERROR(IF(INDEX(ctaVinc,MATCH(K2873,ctaNombre,0))&amp;""&lt;&gt;"",INDEX(ctaVinc,MATCH(K2873,ctaNombre,0))&amp;"",K2873),K2873))</f>
        <v/>
      </c>
      <c r="AD2873" s="52">
        <f>IF(AB2873="","",IFERROR(INDEX(ctaTipo,MATCH(AB2873,ctaNombre,0))&amp;"",""))</f>
        <v/>
      </c>
      <c r="AE2873" s="52">
        <f>IF(AC2873="","",IFERROR(INDEX(ctaTipo,MATCH(AC2873,ctaNombre,0))&amp;"",""))</f>
        <v/>
      </c>
      <c r="AF2873" s="53">
        <f>IF(OR(P2873="",AB2873=""),"",IF(OR(P2873="Gasto",P2873="Transferencia",P2873="Pago tarjeta"),-1,1)*IF(IFERROR(INDEX(ctaMoneda,MATCH(AB2873,ctaNombre,0))&amp;"","DOP")="USD",T2873,S2873))</f>
        <v/>
      </c>
      <c r="AG2873" s="53">
        <f>IF(AC2873="","",IF(IFERROR(INDEX(ctaMoneda,MATCH(AC2873,ctaNombre,0))&amp;"","DOP")="USD",T2873,S2873))</f>
        <v/>
      </c>
      <c r="AH2873" s="53">
        <f>IF(P2873="","",IF(AND(AD2873&lt;&gt;"",COUNTIFS(tcTipo,AD2873,tcLiq,"Sí")&gt;0),IF(OR(P2873="Gasto",P2873="Transferencia",P2873="Pago tarjeta"),-1,1)*S2873,0)+IF(AND(AE2873&lt;&gt;"",COUNTIFS(tcTipo,AE2873,tcLiq,"Sí")&gt;0),S2873,0))</f>
        <v/>
      </c>
      <c r="AI2873" s="52">
        <f>IF(OR(L2873="",P2873=""),"",IF(COUNTIFS(L$6:L2873,L2873,P$6:P2873,"?*")=1,MAX(AI$5:AI2872)+1,""))</f>
        <v/>
      </c>
    </row>
    <row r="2874">
      <c r="B2874" s="47" t="n"/>
      <c r="C2874" s="48" t="n"/>
      <c r="D2874" s="48" t="n"/>
      <c r="E2874" s="48" t="n"/>
      <c r="F2874" s="48" t="n"/>
      <c r="G2874" s="49" t="n"/>
      <c r="H2874" s="48" t="n"/>
      <c r="I2874" s="50" t="n"/>
      <c r="J2874" s="48" t="n"/>
      <c r="K2874" s="48" t="n"/>
      <c r="L2874" s="48" t="n"/>
      <c r="M2874" s="48" t="n"/>
      <c r="N2874" s="48" t="n"/>
      <c r="O2874" s="51">
        <f>IF(AND(B2874="",G2874="",C2874="",D2874="",J2874=""),"",IF(B2874="","⚠ Falta fecha",IF(G2874="","⚠ Falta monto",IF(Q2874="","⚠ Falta cuenta",IF(ISNA(MATCH(Q2874,ctaNombre,0)),"⚠ Cuenta no registrada",IF(AND(OR(P2874="Gasto",P2874="Reembolso"),D2874=""),"⚠ Falta categoría",IF(AND(D2874&lt;&gt;"",E2874&lt;&gt;"",ISNA(MATCH(D2874&amp;"|"&amp;E2874,catClave,0))),"⚠ Subcategoría no corresponde",IF(AND(OR(P2874="Transferencia",P2874="Pago tarjeta"),K2874=""),"⚠ Falta cuenta destino",IF(AND(K2874&lt;&gt;"",P2874&lt;&gt;"Transferencia",P2874&lt;&gt;"Pago tarjeta"),"⚠ Destino solo aplica a transferencias",IF(AND(K2874&lt;&gt;"",K2874=Q2874),"⚠ Origen igual a destino",IF(AND(K2874&lt;&gt;"",ISNA(MATCH(K2874,ctaNombre,0))),"⚠ Destino no registrado",IF(AND(P2874="Pago tarjeta",AE2874&lt;&gt;"Tarjeta de crédito"),"⚠ El destino debe ser tarjeta de crédito",IF(AND(P2874="Gasto",E2874="Depósitos y retiros"),"⚠ Usa tipo Transferencia",IF(AND(P2874="Resultado trading",AD2874&lt;&gt;"Cuenta de trading"),"⚠ Usa una cuenta de trading",IF(AND(G2874&lt;=0,P2874&lt;&gt;"Ajuste",P2874&lt;&gt;"Resultado trading"),"⚠ El monto debe ser positivo","✓")))))))))))))))</f>
        <v/>
      </c>
      <c r="P2874" s="52">
        <f>IF(OR(B2874="",G2874=""),"",IF(C2874="","Gasto",C2874))</f>
        <v/>
      </c>
      <c r="Q2874" s="52">
        <f>IF(P2874="","",IF(J2874&lt;&gt;"",J2874,CuentaPred&amp;""))</f>
        <v/>
      </c>
      <c r="R2874" s="52">
        <f>IF(P2874="","",IF(ISNUMBER(I2874),I2874,TasaUSD))</f>
        <v/>
      </c>
      <c r="S2874" s="53">
        <f>IF(P2874="","",IF(H2874="USD",G2874*R2874,G2874))</f>
        <v/>
      </c>
      <c r="T2874" s="53">
        <f>IF(P2874="","",IF(H2874="USD",G2874,IF(R2874&gt;0,G2874/R2874,0)))</f>
        <v/>
      </c>
      <c r="U2874" s="53">
        <f>IF(P2874="","",IF(P2874="Gasto",S2874,IF(P2874="Reembolso",-S2874,0)))</f>
        <v/>
      </c>
      <c r="V2874" s="53">
        <f>IF(P2874="","",IF(P2874="Ingreso",S2874,0))</f>
        <v/>
      </c>
      <c r="W2874" s="53">
        <f>IF(P2874="","",IF(P2874="Resultado trading",S2874,0))</f>
        <v/>
      </c>
      <c r="X2874" s="52">
        <f>IF(OR(P2874="Gasto",P2874="Reembolso"),IF(M2874&lt;&gt;"",M2874,IFERROR(INDEX(catClasif,MATCH(D2874&amp;"|"&amp;E2874,catClave,0))&amp;"","Variable")),"")</f>
        <v/>
      </c>
      <c r="Y2874" s="52">
        <f>IF(P2874="","",IFERROR(INDEX(catGrupo,MATCH(D2874&amp;"|"&amp;E2874,catClave,0))&amp;"",""))</f>
        <v/>
      </c>
      <c r="Z2874" s="52">
        <f>IF(P2874="","",WEEKDAY(B2874,2))</f>
        <v/>
      </c>
      <c r="AA2874" s="52">
        <f>IF(P2874="","",IF(AND(P2874="Gasto",X2874="Variable",D2874&lt;&gt;catTrading,S2874&gt;0,S2874&lt;=Umbral),1,0))</f>
        <v/>
      </c>
      <c r="AB2874" s="52">
        <f>IF(OR(P2874="",Q2874=""),"",IFERROR(IF(INDEX(ctaVinc,MATCH(Q2874,ctaNombre,0))&amp;""&lt;&gt;"",INDEX(ctaVinc,MATCH(Q2874,ctaNombre,0))&amp;"",Q2874),Q2874))</f>
        <v/>
      </c>
      <c r="AC2874" s="52">
        <f>IF(OR(K2874="",AND(P2874&lt;&gt;"Transferencia",P2874&lt;&gt;"Pago tarjeta")),"",IFERROR(IF(INDEX(ctaVinc,MATCH(K2874,ctaNombre,0))&amp;""&lt;&gt;"",INDEX(ctaVinc,MATCH(K2874,ctaNombre,0))&amp;"",K2874),K2874))</f>
        <v/>
      </c>
      <c r="AD2874" s="52">
        <f>IF(AB2874="","",IFERROR(INDEX(ctaTipo,MATCH(AB2874,ctaNombre,0))&amp;"",""))</f>
        <v/>
      </c>
      <c r="AE2874" s="52">
        <f>IF(AC2874="","",IFERROR(INDEX(ctaTipo,MATCH(AC2874,ctaNombre,0))&amp;"",""))</f>
        <v/>
      </c>
      <c r="AF2874" s="53">
        <f>IF(OR(P2874="",AB2874=""),"",IF(OR(P2874="Gasto",P2874="Transferencia",P2874="Pago tarjeta"),-1,1)*IF(IFERROR(INDEX(ctaMoneda,MATCH(AB2874,ctaNombre,0))&amp;"","DOP")="USD",T2874,S2874))</f>
        <v/>
      </c>
      <c r="AG2874" s="53">
        <f>IF(AC2874="","",IF(IFERROR(INDEX(ctaMoneda,MATCH(AC2874,ctaNombre,0))&amp;"","DOP")="USD",T2874,S2874))</f>
        <v/>
      </c>
      <c r="AH2874" s="53">
        <f>IF(P2874="","",IF(AND(AD2874&lt;&gt;"",COUNTIFS(tcTipo,AD2874,tcLiq,"Sí")&gt;0),IF(OR(P2874="Gasto",P2874="Transferencia",P2874="Pago tarjeta"),-1,1)*S2874,0)+IF(AND(AE2874&lt;&gt;"",COUNTIFS(tcTipo,AE2874,tcLiq,"Sí")&gt;0),S2874,0))</f>
        <v/>
      </c>
      <c r="AI2874" s="52">
        <f>IF(OR(L2874="",P2874=""),"",IF(COUNTIFS(L$6:L2874,L2874,P$6:P2874,"?*")=1,MAX(AI$5:AI2873)+1,""))</f>
        <v/>
      </c>
    </row>
    <row r="2875">
      <c r="B2875" s="47" t="n"/>
      <c r="C2875" s="48" t="n"/>
      <c r="D2875" s="48" t="n"/>
      <c r="E2875" s="48" t="n"/>
      <c r="F2875" s="48" t="n"/>
      <c r="G2875" s="49" t="n"/>
      <c r="H2875" s="48" t="n"/>
      <c r="I2875" s="50" t="n"/>
      <c r="J2875" s="48" t="n"/>
      <c r="K2875" s="48" t="n"/>
      <c r="L2875" s="48" t="n"/>
      <c r="M2875" s="48" t="n"/>
      <c r="N2875" s="48" t="n"/>
      <c r="O2875" s="51">
        <f>IF(AND(B2875="",G2875="",C2875="",D2875="",J2875=""),"",IF(B2875="","⚠ Falta fecha",IF(G2875="","⚠ Falta monto",IF(Q2875="","⚠ Falta cuenta",IF(ISNA(MATCH(Q2875,ctaNombre,0)),"⚠ Cuenta no registrada",IF(AND(OR(P2875="Gasto",P2875="Reembolso"),D2875=""),"⚠ Falta categoría",IF(AND(D2875&lt;&gt;"",E2875&lt;&gt;"",ISNA(MATCH(D2875&amp;"|"&amp;E2875,catClave,0))),"⚠ Subcategoría no corresponde",IF(AND(OR(P2875="Transferencia",P2875="Pago tarjeta"),K2875=""),"⚠ Falta cuenta destino",IF(AND(K2875&lt;&gt;"",P2875&lt;&gt;"Transferencia",P2875&lt;&gt;"Pago tarjeta"),"⚠ Destino solo aplica a transferencias",IF(AND(K2875&lt;&gt;"",K2875=Q2875),"⚠ Origen igual a destino",IF(AND(K2875&lt;&gt;"",ISNA(MATCH(K2875,ctaNombre,0))),"⚠ Destino no registrado",IF(AND(P2875="Pago tarjeta",AE2875&lt;&gt;"Tarjeta de crédito"),"⚠ El destino debe ser tarjeta de crédito",IF(AND(P2875="Gasto",E2875="Depósitos y retiros"),"⚠ Usa tipo Transferencia",IF(AND(P2875="Resultado trading",AD2875&lt;&gt;"Cuenta de trading"),"⚠ Usa una cuenta de trading",IF(AND(G2875&lt;=0,P2875&lt;&gt;"Ajuste",P2875&lt;&gt;"Resultado trading"),"⚠ El monto debe ser positivo","✓")))))))))))))))</f>
        <v/>
      </c>
      <c r="P2875" s="52">
        <f>IF(OR(B2875="",G2875=""),"",IF(C2875="","Gasto",C2875))</f>
        <v/>
      </c>
      <c r="Q2875" s="52">
        <f>IF(P2875="","",IF(J2875&lt;&gt;"",J2875,CuentaPred&amp;""))</f>
        <v/>
      </c>
      <c r="R2875" s="52">
        <f>IF(P2875="","",IF(ISNUMBER(I2875),I2875,TasaUSD))</f>
        <v/>
      </c>
      <c r="S2875" s="53">
        <f>IF(P2875="","",IF(H2875="USD",G2875*R2875,G2875))</f>
        <v/>
      </c>
      <c r="T2875" s="53">
        <f>IF(P2875="","",IF(H2875="USD",G2875,IF(R2875&gt;0,G2875/R2875,0)))</f>
        <v/>
      </c>
      <c r="U2875" s="53">
        <f>IF(P2875="","",IF(P2875="Gasto",S2875,IF(P2875="Reembolso",-S2875,0)))</f>
        <v/>
      </c>
      <c r="V2875" s="53">
        <f>IF(P2875="","",IF(P2875="Ingreso",S2875,0))</f>
        <v/>
      </c>
      <c r="W2875" s="53">
        <f>IF(P2875="","",IF(P2875="Resultado trading",S2875,0))</f>
        <v/>
      </c>
      <c r="X2875" s="52">
        <f>IF(OR(P2875="Gasto",P2875="Reembolso"),IF(M2875&lt;&gt;"",M2875,IFERROR(INDEX(catClasif,MATCH(D2875&amp;"|"&amp;E2875,catClave,0))&amp;"","Variable")),"")</f>
        <v/>
      </c>
      <c r="Y2875" s="52">
        <f>IF(P2875="","",IFERROR(INDEX(catGrupo,MATCH(D2875&amp;"|"&amp;E2875,catClave,0))&amp;"",""))</f>
        <v/>
      </c>
      <c r="Z2875" s="52">
        <f>IF(P2875="","",WEEKDAY(B2875,2))</f>
        <v/>
      </c>
      <c r="AA2875" s="52">
        <f>IF(P2875="","",IF(AND(P2875="Gasto",X2875="Variable",D2875&lt;&gt;catTrading,S2875&gt;0,S2875&lt;=Umbral),1,0))</f>
        <v/>
      </c>
      <c r="AB2875" s="52">
        <f>IF(OR(P2875="",Q2875=""),"",IFERROR(IF(INDEX(ctaVinc,MATCH(Q2875,ctaNombre,0))&amp;""&lt;&gt;"",INDEX(ctaVinc,MATCH(Q2875,ctaNombre,0))&amp;"",Q2875),Q2875))</f>
        <v/>
      </c>
      <c r="AC2875" s="52">
        <f>IF(OR(K2875="",AND(P2875&lt;&gt;"Transferencia",P2875&lt;&gt;"Pago tarjeta")),"",IFERROR(IF(INDEX(ctaVinc,MATCH(K2875,ctaNombre,0))&amp;""&lt;&gt;"",INDEX(ctaVinc,MATCH(K2875,ctaNombre,0))&amp;"",K2875),K2875))</f>
        <v/>
      </c>
      <c r="AD2875" s="52">
        <f>IF(AB2875="","",IFERROR(INDEX(ctaTipo,MATCH(AB2875,ctaNombre,0))&amp;"",""))</f>
        <v/>
      </c>
      <c r="AE2875" s="52">
        <f>IF(AC2875="","",IFERROR(INDEX(ctaTipo,MATCH(AC2875,ctaNombre,0))&amp;"",""))</f>
        <v/>
      </c>
      <c r="AF2875" s="53">
        <f>IF(OR(P2875="",AB2875=""),"",IF(OR(P2875="Gasto",P2875="Transferencia",P2875="Pago tarjeta"),-1,1)*IF(IFERROR(INDEX(ctaMoneda,MATCH(AB2875,ctaNombre,0))&amp;"","DOP")="USD",T2875,S2875))</f>
        <v/>
      </c>
      <c r="AG2875" s="53">
        <f>IF(AC2875="","",IF(IFERROR(INDEX(ctaMoneda,MATCH(AC2875,ctaNombre,0))&amp;"","DOP")="USD",T2875,S2875))</f>
        <v/>
      </c>
      <c r="AH2875" s="53">
        <f>IF(P2875="","",IF(AND(AD2875&lt;&gt;"",COUNTIFS(tcTipo,AD2875,tcLiq,"Sí")&gt;0),IF(OR(P2875="Gasto",P2875="Transferencia",P2875="Pago tarjeta"),-1,1)*S2875,0)+IF(AND(AE2875&lt;&gt;"",COUNTIFS(tcTipo,AE2875,tcLiq,"Sí")&gt;0),S2875,0))</f>
        <v/>
      </c>
      <c r="AI2875" s="52">
        <f>IF(OR(L2875="",P2875=""),"",IF(COUNTIFS(L$6:L2875,L2875,P$6:P2875,"?*")=1,MAX(AI$5:AI2874)+1,""))</f>
        <v/>
      </c>
    </row>
    <row r="2876">
      <c r="B2876" s="47" t="n"/>
      <c r="C2876" s="48" t="n"/>
      <c r="D2876" s="48" t="n"/>
      <c r="E2876" s="48" t="n"/>
      <c r="F2876" s="48" t="n"/>
      <c r="G2876" s="49" t="n"/>
      <c r="H2876" s="48" t="n"/>
      <c r="I2876" s="50" t="n"/>
      <c r="J2876" s="48" t="n"/>
      <c r="K2876" s="48" t="n"/>
      <c r="L2876" s="48" t="n"/>
      <c r="M2876" s="48" t="n"/>
      <c r="N2876" s="48" t="n"/>
      <c r="O2876" s="51">
        <f>IF(AND(B2876="",G2876="",C2876="",D2876="",J2876=""),"",IF(B2876="","⚠ Falta fecha",IF(G2876="","⚠ Falta monto",IF(Q2876="","⚠ Falta cuenta",IF(ISNA(MATCH(Q2876,ctaNombre,0)),"⚠ Cuenta no registrada",IF(AND(OR(P2876="Gasto",P2876="Reembolso"),D2876=""),"⚠ Falta categoría",IF(AND(D2876&lt;&gt;"",E2876&lt;&gt;"",ISNA(MATCH(D2876&amp;"|"&amp;E2876,catClave,0))),"⚠ Subcategoría no corresponde",IF(AND(OR(P2876="Transferencia",P2876="Pago tarjeta"),K2876=""),"⚠ Falta cuenta destino",IF(AND(K2876&lt;&gt;"",P2876&lt;&gt;"Transferencia",P2876&lt;&gt;"Pago tarjeta"),"⚠ Destino solo aplica a transferencias",IF(AND(K2876&lt;&gt;"",K2876=Q2876),"⚠ Origen igual a destino",IF(AND(K2876&lt;&gt;"",ISNA(MATCH(K2876,ctaNombre,0))),"⚠ Destino no registrado",IF(AND(P2876="Pago tarjeta",AE2876&lt;&gt;"Tarjeta de crédito"),"⚠ El destino debe ser tarjeta de crédito",IF(AND(P2876="Gasto",E2876="Depósitos y retiros"),"⚠ Usa tipo Transferencia",IF(AND(P2876="Resultado trading",AD2876&lt;&gt;"Cuenta de trading"),"⚠ Usa una cuenta de trading",IF(AND(G2876&lt;=0,P2876&lt;&gt;"Ajuste",P2876&lt;&gt;"Resultado trading"),"⚠ El monto debe ser positivo","✓")))))))))))))))</f>
        <v/>
      </c>
      <c r="P2876" s="52">
        <f>IF(OR(B2876="",G2876=""),"",IF(C2876="","Gasto",C2876))</f>
        <v/>
      </c>
      <c r="Q2876" s="52">
        <f>IF(P2876="","",IF(J2876&lt;&gt;"",J2876,CuentaPred&amp;""))</f>
        <v/>
      </c>
      <c r="R2876" s="52">
        <f>IF(P2876="","",IF(ISNUMBER(I2876),I2876,TasaUSD))</f>
        <v/>
      </c>
      <c r="S2876" s="53">
        <f>IF(P2876="","",IF(H2876="USD",G2876*R2876,G2876))</f>
        <v/>
      </c>
      <c r="T2876" s="53">
        <f>IF(P2876="","",IF(H2876="USD",G2876,IF(R2876&gt;0,G2876/R2876,0)))</f>
        <v/>
      </c>
      <c r="U2876" s="53">
        <f>IF(P2876="","",IF(P2876="Gasto",S2876,IF(P2876="Reembolso",-S2876,0)))</f>
        <v/>
      </c>
      <c r="V2876" s="53">
        <f>IF(P2876="","",IF(P2876="Ingreso",S2876,0))</f>
        <v/>
      </c>
      <c r="W2876" s="53">
        <f>IF(P2876="","",IF(P2876="Resultado trading",S2876,0))</f>
        <v/>
      </c>
      <c r="X2876" s="52">
        <f>IF(OR(P2876="Gasto",P2876="Reembolso"),IF(M2876&lt;&gt;"",M2876,IFERROR(INDEX(catClasif,MATCH(D2876&amp;"|"&amp;E2876,catClave,0))&amp;"","Variable")),"")</f>
        <v/>
      </c>
      <c r="Y2876" s="52">
        <f>IF(P2876="","",IFERROR(INDEX(catGrupo,MATCH(D2876&amp;"|"&amp;E2876,catClave,0))&amp;"",""))</f>
        <v/>
      </c>
      <c r="Z2876" s="52">
        <f>IF(P2876="","",WEEKDAY(B2876,2))</f>
        <v/>
      </c>
      <c r="AA2876" s="52">
        <f>IF(P2876="","",IF(AND(P2876="Gasto",X2876="Variable",D2876&lt;&gt;catTrading,S2876&gt;0,S2876&lt;=Umbral),1,0))</f>
        <v/>
      </c>
      <c r="AB2876" s="52">
        <f>IF(OR(P2876="",Q2876=""),"",IFERROR(IF(INDEX(ctaVinc,MATCH(Q2876,ctaNombre,0))&amp;""&lt;&gt;"",INDEX(ctaVinc,MATCH(Q2876,ctaNombre,0))&amp;"",Q2876),Q2876))</f>
        <v/>
      </c>
      <c r="AC2876" s="52">
        <f>IF(OR(K2876="",AND(P2876&lt;&gt;"Transferencia",P2876&lt;&gt;"Pago tarjeta")),"",IFERROR(IF(INDEX(ctaVinc,MATCH(K2876,ctaNombre,0))&amp;""&lt;&gt;"",INDEX(ctaVinc,MATCH(K2876,ctaNombre,0))&amp;"",K2876),K2876))</f>
        <v/>
      </c>
      <c r="AD2876" s="52">
        <f>IF(AB2876="","",IFERROR(INDEX(ctaTipo,MATCH(AB2876,ctaNombre,0))&amp;"",""))</f>
        <v/>
      </c>
      <c r="AE2876" s="52">
        <f>IF(AC2876="","",IFERROR(INDEX(ctaTipo,MATCH(AC2876,ctaNombre,0))&amp;"",""))</f>
        <v/>
      </c>
      <c r="AF2876" s="53">
        <f>IF(OR(P2876="",AB2876=""),"",IF(OR(P2876="Gasto",P2876="Transferencia",P2876="Pago tarjeta"),-1,1)*IF(IFERROR(INDEX(ctaMoneda,MATCH(AB2876,ctaNombre,0))&amp;"","DOP")="USD",T2876,S2876))</f>
        <v/>
      </c>
      <c r="AG2876" s="53">
        <f>IF(AC2876="","",IF(IFERROR(INDEX(ctaMoneda,MATCH(AC2876,ctaNombre,0))&amp;"","DOP")="USD",T2876,S2876))</f>
        <v/>
      </c>
      <c r="AH2876" s="53">
        <f>IF(P2876="","",IF(AND(AD2876&lt;&gt;"",COUNTIFS(tcTipo,AD2876,tcLiq,"Sí")&gt;0),IF(OR(P2876="Gasto",P2876="Transferencia",P2876="Pago tarjeta"),-1,1)*S2876,0)+IF(AND(AE2876&lt;&gt;"",COUNTIFS(tcTipo,AE2876,tcLiq,"Sí")&gt;0),S2876,0))</f>
        <v/>
      </c>
      <c r="AI2876" s="52">
        <f>IF(OR(L2876="",P2876=""),"",IF(COUNTIFS(L$6:L2876,L2876,P$6:P2876,"?*")=1,MAX(AI$5:AI2875)+1,""))</f>
        <v/>
      </c>
    </row>
    <row r="2877">
      <c r="B2877" s="47" t="n"/>
      <c r="C2877" s="48" t="n"/>
      <c r="D2877" s="48" t="n"/>
      <c r="E2877" s="48" t="n"/>
      <c r="F2877" s="48" t="n"/>
      <c r="G2877" s="49" t="n"/>
      <c r="H2877" s="48" t="n"/>
      <c r="I2877" s="50" t="n"/>
      <c r="J2877" s="48" t="n"/>
      <c r="K2877" s="48" t="n"/>
      <c r="L2877" s="48" t="n"/>
      <c r="M2877" s="48" t="n"/>
      <c r="N2877" s="48" t="n"/>
      <c r="O2877" s="51">
        <f>IF(AND(B2877="",G2877="",C2877="",D2877="",J2877=""),"",IF(B2877="","⚠ Falta fecha",IF(G2877="","⚠ Falta monto",IF(Q2877="","⚠ Falta cuenta",IF(ISNA(MATCH(Q2877,ctaNombre,0)),"⚠ Cuenta no registrada",IF(AND(OR(P2877="Gasto",P2877="Reembolso"),D2877=""),"⚠ Falta categoría",IF(AND(D2877&lt;&gt;"",E2877&lt;&gt;"",ISNA(MATCH(D2877&amp;"|"&amp;E2877,catClave,0))),"⚠ Subcategoría no corresponde",IF(AND(OR(P2877="Transferencia",P2877="Pago tarjeta"),K2877=""),"⚠ Falta cuenta destino",IF(AND(K2877&lt;&gt;"",P2877&lt;&gt;"Transferencia",P2877&lt;&gt;"Pago tarjeta"),"⚠ Destino solo aplica a transferencias",IF(AND(K2877&lt;&gt;"",K2877=Q2877),"⚠ Origen igual a destino",IF(AND(K2877&lt;&gt;"",ISNA(MATCH(K2877,ctaNombre,0))),"⚠ Destino no registrado",IF(AND(P2877="Pago tarjeta",AE2877&lt;&gt;"Tarjeta de crédito"),"⚠ El destino debe ser tarjeta de crédito",IF(AND(P2877="Gasto",E2877="Depósitos y retiros"),"⚠ Usa tipo Transferencia",IF(AND(P2877="Resultado trading",AD2877&lt;&gt;"Cuenta de trading"),"⚠ Usa una cuenta de trading",IF(AND(G2877&lt;=0,P2877&lt;&gt;"Ajuste",P2877&lt;&gt;"Resultado trading"),"⚠ El monto debe ser positivo","✓")))))))))))))))</f>
        <v/>
      </c>
      <c r="P2877" s="52">
        <f>IF(OR(B2877="",G2877=""),"",IF(C2877="","Gasto",C2877))</f>
        <v/>
      </c>
      <c r="Q2877" s="52">
        <f>IF(P2877="","",IF(J2877&lt;&gt;"",J2877,CuentaPred&amp;""))</f>
        <v/>
      </c>
      <c r="R2877" s="52">
        <f>IF(P2877="","",IF(ISNUMBER(I2877),I2877,TasaUSD))</f>
        <v/>
      </c>
      <c r="S2877" s="53">
        <f>IF(P2877="","",IF(H2877="USD",G2877*R2877,G2877))</f>
        <v/>
      </c>
      <c r="T2877" s="53">
        <f>IF(P2877="","",IF(H2877="USD",G2877,IF(R2877&gt;0,G2877/R2877,0)))</f>
        <v/>
      </c>
      <c r="U2877" s="53">
        <f>IF(P2877="","",IF(P2877="Gasto",S2877,IF(P2877="Reembolso",-S2877,0)))</f>
        <v/>
      </c>
      <c r="V2877" s="53">
        <f>IF(P2877="","",IF(P2877="Ingreso",S2877,0))</f>
        <v/>
      </c>
      <c r="W2877" s="53">
        <f>IF(P2877="","",IF(P2877="Resultado trading",S2877,0))</f>
        <v/>
      </c>
      <c r="X2877" s="52">
        <f>IF(OR(P2877="Gasto",P2877="Reembolso"),IF(M2877&lt;&gt;"",M2877,IFERROR(INDEX(catClasif,MATCH(D2877&amp;"|"&amp;E2877,catClave,0))&amp;"","Variable")),"")</f>
        <v/>
      </c>
      <c r="Y2877" s="52">
        <f>IF(P2877="","",IFERROR(INDEX(catGrupo,MATCH(D2877&amp;"|"&amp;E2877,catClave,0))&amp;"",""))</f>
        <v/>
      </c>
      <c r="Z2877" s="52">
        <f>IF(P2877="","",WEEKDAY(B2877,2))</f>
        <v/>
      </c>
      <c r="AA2877" s="52">
        <f>IF(P2877="","",IF(AND(P2877="Gasto",X2877="Variable",D2877&lt;&gt;catTrading,S2877&gt;0,S2877&lt;=Umbral),1,0))</f>
        <v/>
      </c>
      <c r="AB2877" s="52">
        <f>IF(OR(P2877="",Q2877=""),"",IFERROR(IF(INDEX(ctaVinc,MATCH(Q2877,ctaNombre,0))&amp;""&lt;&gt;"",INDEX(ctaVinc,MATCH(Q2877,ctaNombre,0))&amp;"",Q2877),Q2877))</f>
        <v/>
      </c>
      <c r="AC2877" s="52">
        <f>IF(OR(K2877="",AND(P2877&lt;&gt;"Transferencia",P2877&lt;&gt;"Pago tarjeta")),"",IFERROR(IF(INDEX(ctaVinc,MATCH(K2877,ctaNombre,0))&amp;""&lt;&gt;"",INDEX(ctaVinc,MATCH(K2877,ctaNombre,0))&amp;"",K2877),K2877))</f>
        <v/>
      </c>
      <c r="AD2877" s="52">
        <f>IF(AB2877="","",IFERROR(INDEX(ctaTipo,MATCH(AB2877,ctaNombre,0))&amp;"",""))</f>
        <v/>
      </c>
      <c r="AE2877" s="52">
        <f>IF(AC2877="","",IFERROR(INDEX(ctaTipo,MATCH(AC2877,ctaNombre,0))&amp;"",""))</f>
        <v/>
      </c>
      <c r="AF2877" s="53">
        <f>IF(OR(P2877="",AB2877=""),"",IF(OR(P2877="Gasto",P2877="Transferencia",P2877="Pago tarjeta"),-1,1)*IF(IFERROR(INDEX(ctaMoneda,MATCH(AB2877,ctaNombre,0))&amp;"","DOP")="USD",T2877,S2877))</f>
        <v/>
      </c>
      <c r="AG2877" s="53">
        <f>IF(AC2877="","",IF(IFERROR(INDEX(ctaMoneda,MATCH(AC2877,ctaNombre,0))&amp;"","DOP")="USD",T2877,S2877))</f>
        <v/>
      </c>
      <c r="AH2877" s="53">
        <f>IF(P2877="","",IF(AND(AD2877&lt;&gt;"",COUNTIFS(tcTipo,AD2877,tcLiq,"Sí")&gt;0),IF(OR(P2877="Gasto",P2877="Transferencia",P2877="Pago tarjeta"),-1,1)*S2877,0)+IF(AND(AE2877&lt;&gt;"",COUNTIFS(tcTipo,AE2877,tcLiq,"Sí")&gt;0),S2877,0))</f>
        <v/>
      </c>
      <c r="AI2877" s="52">
        <f>IF(OR(L2877="",P2877=""),"",IF(COUNTIFS(L$6:L2877,L2877,P$6:P2877,"?*")=1,MAX(AI$5:AI2876)+1,""))</f>
        <v/>
      </c>
    </row>
    <row r="2878">
      <c r="B2878" s="47" t="n"/>
      <c r="C2878" s="48" t="n"/>
      <c r="D2878" s="48" t="n"/>
      <c r="E2878" s="48" t="n"/>
      <c r="F2878" s="48" t="n"/>
      <c r="G2878" s="49" t="n"/>
      <c r="H2878" s="48" t="n"/>
      <c r="I2878" s="50" t="n"/>
      <c r="J2878" s="48" t="n"/>
      <c r="K2878" s="48" t="n"/>
      <c r="L2878" s="48" t="n"/>
      <c r="M2878" s="48" t="n"/>
      <c r="N2878" s="48" t="n"/>
      <c r="O2878" s="51">
        <f>IF(AND(B2878="",G2878="",C2878="",D2878="",J2878=""),"",IF(B2878="","⚠ Falta fecha",IF(G2878="","⚠ Falta monto",IF(Q2878="","⚠ Falta cuenta",IF(ISNA(MATCH(Q2878,ctaNombre,0)),"⚠ Cuenta no registrada",IF(AND(OR(P2878="Gasto",P2878="Reembolso"),D2878=""),"⚠ Falta categoría",IF(AND(D2878&lt;&gt;"",E2878&lt;&gt;"",ISNA(MATCH(D2878&amp;"|"&amp;E2878,catClave,0))),"⚠ Subcategoría no corresponde",IF(AND(OR(P2878="Transferencia",P2878="Pago tarjeta"),K2878=""),"⚠ Falta cuenta destino",IF(AND(K2878&lt;&gt;"",P2878&lt;&gt;"Transferencia",P2878&lt;&gt;"Pago tarjeta"),"⚠ Destino solo aplica a transferencias",IF(AND(K2878&lt;&gt;"",K2878=Q2878),"⚠ Origen igual a destino",IF(AND(K2878&lt;&gt;"",ISNA(MATCH(K2878,ctaNombre,0))),"⚠ Destino no registrado",IF(AND(P2878="Pago tarjeta",AE2878&lt;&gt;"Tarjeta de crédito"),"⚠ El destino debe ser tarjeta de crédito",IF(AND(P2878="Gasto",E2878="Depósitos y retiros"),"⚠ Usa tipo Transferencia",IF(AND(P2878="Resultado trading",AD2878&lt;&gt;"Cuenta de trading"),"⚠ Usa una cuenta de trading",IF(AND(G2878&lt;=0,P2878&lt;&gt;"Ajuste",P2878&lt;&gt;"Resultado trading"),"⚠ El monto debe ser positivo","✓")))))))))))))))</f>
        <v/>
      </c>
      <c r="P2878" s="52">
        <f>IF(OR(B2878="",G2878=""),"",IF(C2878="","Gasto",C2878))</f>
        <v/>
      </c>
      <c r="Q2878" s="52">
        <f>IF(P2878="","",IF(J2878&lt;&gt;"",J2878,CuentaPred&amp;""))</f>
        <v/>
      </c>
      <c r="R2878" s="52">
        <f>IF(P2878="","",IF(ISNUMBER(I2878),I2878,TasaUSD))</f>
        <v/>
      </c>
      <c r="S2878" s="53">
        <f>IF(P2878="","",IF(H2878="USD",G2878*R2878,G2878))</f>
        <v/>
      </c>
      <c r="T2878" s="53">
        <f>IF(P2878="","",IF(H2878="USD",G2878,IF(R2878&gt;0,G2878/R2878,0)))</f>
        <v/>
      </c>
      <c r="U2878" s="53">
        <f>IF(P2878="","",IF(P2878="Gasto",S2878,IF(P2878="Reembolso",-S2878,0)))</f>
        <v/>
      </c>
      <c r="V2878" s="53">
        <f>IF(P2878="","",IF(P2878="Ingreso",S2878,0))</f>
        <v/>
      </c>
      <c r="W2878" s="53">
        <f>IF(P2878="","",IF(P2878="Resultado trading",S2878,0))</f>
        <v/>
      </c>
      <c r="X2878" s="52">
        <f>IF(OR(P2878="Gasto",P2878="Reembolso"),IF(M2878&lt;&gt;"",M2878,IFERROR(INDEX(catClasif,MATCH(D2878&amp;"|"&amp;E2878,catClave,0))&amp;"","Variable")),"")</f>
        <v/>
      </c>
      <c r="Y2878" s="52">
        <f>IF(P2878="","",IFERROR(INDEX(catGrupo,MATCH(D2878&amp;"|"&amp;E2878,catClave,0))&amp;"",""))</f>
        <v/>
      </c>
      <c r="Z2878" s="52">
        <f>IF(P2878="","",WEEKDAY(B2878,2))</f>
        <v/>
      </c>
      <c r="AA2878" s="52">
        <f>IF(P2878="","",IF(AND(P2878="Gasto",X2878="Variable",D2878&lt;&gt;catTrading,S2878&gt;0,S2878&lt;=Umbral),1,0))</f>
        <v/>
      </c>
      <c r="AB2878" s="52">
        <f>IF(OR(P2878="",Q2878=""),"",IFERROR(IF(INDEX(ctaVinc,MATCH(Q2878,ctaNombre,0))&amp;""&lt;&gt;"",INDEX(ctaVinc,MATCH(Q2878,ctaNombre,0))&amp;"",Q2878),Q2878))</f>
        <v/>
      </c>
      <c r="AC2878" s="52">
        <f>IF(OR(K2878="",AND(P2878&lt;&gt;"Transferencia",P2878&lt;&gt;"Pago tarjeta")),"",IFERROR(IF(INDEX(ctaVinc,MATCH(K2878,ctaNombre,0))&amp;""&lt;&gt;"",INDEX(ctaVinc,MATCH(K2878,ctaNombre,0))&amp;"",K2878),K2878))</f>
        <v/>
      </c>
      <c r="AD2878" s="52">
        <f>IF(AB2878="","",IFERROR(INDEX(ctaTipo,MATCH(AB2878,ctaNombre,0))&amp;"",""))</f>
        <v/>
      </c>
      <c r="AE2878" s="52">
        <f>IF(AC2878="","",IFERROR(INDEX(ctaTipo,MATCH(AC2878,ctaNombre,0))&amp;"",""))</f>
        <v/>
      </c>
      <c r="AF2878" s="53">
        <f>IF(OR(P2878="",AB2878=""),"",IF(OR(P2878="Gasto",P2878="Transferencia",P2878="Pago tarjeta"),-1,1)*IF(IFERROR(INDEX(ctaMoneda,MATCH(AB2878,ctaNombre,0))&amp;"","DOP")="USD",T2878,S2878))</f>
        <v/>
      </c>
      <c r="AG2878" s="53">
        <f>IF(AC2878="","",IF(IFERROR(INDEX(ctaMoneda,MATCH(AC2878,ctaNombre,0))&amp;"","DOP")="USD",T2878,S2878))</f>
        <v/>
      </c>
      <c r="AH2878" s="53">
        <f>IF(P2878="","",IF(AND(AD2878&lt;&gt;"",COUNTIFS(tcTipo,AD2878,tcLiq,"Sí")&gt;0),IF(OR(P2878="Gasto",P2878="Transferencia",P2878="Pago tarjeta"),-1,1)*S2878,0)+IF(AND(AE2878&lt;&gt;"",COUNTIFS(tcTipo,AE2878,tcLiq,"Sí")&gt;0),S2878,0))</f>
        <v/>
      </c>
      <c r="AI2878" s="52">
        <f>IF(OR(L2878="",P2878=""),"",IF(COUNTIFS(L$6:L2878,L2878,P$6:P2878,"?*")=1,MAX(AI$5:AI2877)+1,""))</f>
        <v/>
      </c>
    </row>
    <row r="2879">
      <c r="B2879" s="47" t="n"/>
      <c r="C2879" s="48" t="n"/>
      <c r="D2879" s="48" t="n"/>
      <c r="E2879" s="48" t="n"/>
      <c r="F2879" s="48" t="n"/>
      <c r="G2879" s="49" t="n"/>
      <c r="H2879" s="48" t="n"/>
      <c r="I2879" s="50" t="n"/>
      <c r="J2879" s="48" t="n"/>
      <c r="K2879" s="48" t="n"/>
      <c r="L2879" s="48" t="n"/>
      <c r="M2879" s="48" t="n"/>
      <c r="N2879" s="48" t="n"/>
      <c r="O2879" s="51">
        <f>IF(AND(B2879="",G2879="",C2879="",D2879="",J2879=""),"",IF(B2879="","⚠ Falta fecha",IF(G2879="","⚠ Falta monto",IF(Q2879="","⚠ Falta cuenta",IF(ISNA(MATCH(Q2879,ctaNombre,0)),"⚠ Cuenta no registrada",IF(AND(OR(P2879="Gasto",P2879="Reembolso"),D2879=""),"⚠ Falta categoría",IF(AND(D2879&lt;&gt;"",E2879&lt;&gt;"",ISNA(MATCH(D2879&amp;"|"&amp;E2879,catClave,0))),"⚠ Subcategoría no corresponde",IF(AND(OR(P2879="Transferencia",P2879="Pago tarjeta"),K2879=""),"⚠ Falta cuenta destino",IF(AND(K2879&lt;&gt;"",P2879&lt;&gt;"Transferencia",P2879&lt;&gt;"Pago tarjeta"),"⚠ Destino solo aplica a transferencias",IF(AND(K2879&lt;&gt;"",K2879=Q2879),"⚠ Origen igual a destino",IF(AND(K2879&lt;&gt;"",ISNA(MATCH(K2879,ctaNombre,0))),"⚠ Destino no registrado",IF(AND(P2879="Pago tarjeta",AE2879&lt;&gt;"Tarjeta de crédito"),"⚠ El destino debe ser tarjeta de crédito",IF(AND(P2879="Gasto",E2879="Depósitos y retiros"),"⚠ Usa tipo Transferencia",IF(AND(P2879="Resultado trading",AD2879&lt;&gt;"Cuenta de trading"),"⚠ Usa una cuenta de trading",IF(AND(G2879&lt;=0,P2879&lt;&gt;"Ajuste",P2879&lt;&gt;"Resultado trading"),"⚠ El monto debe ser positivo","✓")))))))))))))))</f>
        <v/>
      </c>
      <c r="P2879" s="52">
        <f>IF(OR(B2879="",G2879=""),"",IF(C2879="","Gasto",C2879))</f>
        <v/>
      </c>
      <c r="Q2879" s="52">
        <f>IF(P2879="","",IF(J2879&lt;&gt;"",J2879,CuentaPred&amp;""))</f>
        <v/>
      </c>
      <c r="R2879" s="52">
        <f>IF(P2879="","",IF(ISNUMBER(I2879),I2879,TasaUSD))</f>
        <v/>
      </c>
      <c r="S2879" s="53">
        <f>IF(P2879="","",IF(H2879="USD",G2879*R2879,G2879))</f>
        <v/>
      </c>
      <c r="T2879" s="53">
        <f>IF(P2879="","",IF(H2879="USD",G2879,IF(R2879&gt;0,G2879/R2879,0)))</f>
        <v/>
      </c>
      <c r="U2879" s="53">
        <f>IF(P2879="","",IF(P2879="Gasto",S2879,IF(P2879="Reembolso",-S2879,0)))</f>
        <v/>
      </c>
      <c r="V2879" s="53">
        <f>IF(P2879="","",IF(P2879="Ingreso",S2879,0))</f>
        <v/>
      </c>
      <c r="W2879" s="53">
        <f>IF(P2879="","",IF(P2879="Resultado trading",S2879,0))</f>
        <v/>
      </c>
      <c r="X2879" s="52">
        <f>IF(OR(P2879="Gasto",P2879="Reembolso"),IF(M2879&lt;&gt;"",M2879,IFERROR(INDEX(catClasif,MATCH(D2879&amp;"|"&amp;E2879,catClave,0))&amp;"","Variable")),"")</f>
        <v/>
      </c>
      <c r="Y2879" s="52">
        <f>IF(P2879="","",IFERROR(INDEX(catGrupo,MATCH(D2879&amp;"|"&amp;E2879,catClave,0))&amp;"",""))</f>
        <v/>
      </c>
      <c r="Z2879" s="52">
        <f>IF(P2879="","",WEEKDAY(B2879,2))</f>
        <v/>
      </c>
      <c r="AA2879" s="52">
        <f>IF(P2879="","",IF(AND(P2879="Gasto",X2879="Variable",D2879&lt;&gt;catTrading,S2879&gt;0,S2879&lt;=Umbral),1,0))</f>
        <v/>
      </c>
      <c r="AB2879" s="52">
        <f>IF(OR(P2879="",Q2879=""),"",IFERROR(IF(INDEX(ctaVinc,MATCH(Q2879,ctaNombre,0))&amp;""&lt;&gt;"",INDEX(ctaVinc,MATCH(Q2879,ctaNombre,0))&amp;"",Q2879),Q2879))</f>
        <v/>
      </c>
      <c r="AC2879" s="52">
        <f>IF(OR(K2879="",AND(P2879&lt;&gt;"Transferencia",P2879&lt;&gt;"Pago tarjeta")),"",IFERROR(IF(INDEX(ctaVinc,MATCH(K2879,ctaNombre,0))&amp;""&lt;&gt;"",INDEX(ctaVinc,MATCH(K2879,ctaNombre,0))&amp;"",K2879),K2879))</f>
        <v/>
      </c>
      <c r="AD2879" s="52">
        <f>IF(AB2879="","",IFERROR(INDEX(ctaTipo,MATCH(AB2879,ctaNombre,0))&amp;"",""))</f>
        <v/>
      </c>
      <c r="AE2879" s="52">
        <f>IF(AC2879="","",IFERROR(INDEX(ctaTipo,MATCH(AC2879,ctaNombre,0))&amp;"",""))</f>
        <v/>
      </c>
      <c r="AF2879" s="53">
        <f>IF(OR(P2879="",AB2879=""),"",IF(OR(P2879="Gasto",P2879="Transferencia",P2879="Pago tarjeta"),-1,1)*IF(IFERROR(INDEX(ctaMoneda,MATCH(AB2879,ctaNombre,0))&amp;"","DOP")="USD",T2879,S2879))</f>
        <v/>
      </c>
      <c r="AG2879" s="53">
        <f>IF(AC2879="","",IF(IFERROR(INDEX(ctaMoneda,MATCH(AC2879,ctaNombre,0))&amp;"","DOP")="USD",T2879,S2879))</f>
        <v/>
      </c>
      <c r="AH2879" s="53">
        <f>IF(P2879="","",IF(AND(AD2879&lt;&gt;"",COUNTIFS(tcTipo,AD2879,tcLiq,"Sí")&gt;0),IF(OR(P2879="Gasto",P2879="Transferencia",P2879="Pago tarjeta"),-1,1)*S2879,0)+IF(AND(AE2879&lt;&gt;"",COUNTIFS(tcTipo,AE2879,tcLiq,"Sí")&gt;0),S2879,0))</f>
        <v/>
      </c>
      <c r="AI2879" s="52">
        <f>IF(OR(L2879="",P2879=""),"",IF(COUNTIFS(L$6:L2879,L2879,P$6:P2879,"?*")=1,MAX(AI$5:AI2878)+1,""))</f>
        <v/>
      </c>
    </row>
    <row r="2880">
      <c r="B2880" s="47" t="n"/>
      <c r="C2880" s="48" t="n"/>
      <c r="D2880" s="48" t="n"/>
      <c r="E2880" s="48" t="n"/>
      <c r="F2880" s="48" t="n"/>
      <c r="G2880" s="49" t="n"/>
      <c r="H2880" s="48" t="n"/>
      <c r="I2880" s="50" t="n"/>
      <c r="J2880" s="48" t="n"/>
      <c r="K2880" s="48" t="n"/>
      <c r="L2880" s="48" t="n"/>
      <c r="M2880" s="48" t="n"/>
      <c r="N2880" s="48" t="n"/>
      <c r="O2880" s="51">
        <f>IF(AND(B2880="",G2880="",C2880="",D2880="",J2880=""),"",IF(B2880="","⚠ Falta fecha",IF(G2880="","⚠ Falta monto",IF(Q2880="","⚠ Falta cuenta",IF(ISNA(MATCH(Q2880,ctaNombre,0)),"⚠ Cuenta no registrada",IF(AND(OR(P2880="Gasto",P2880="Reembolso"),D2880=""),"⚠ Falta categoría",IF(AND(D2880&lt;&gt;"",E2880&lt;&gt;"",ISNA(MATCH(D2880&amp;"|"&amp;E2880,catClave,0))),"⚠ Subcategoría no corresponde",IF(AND(OR(P2880="Transferencia",P2880="Pago tarjeta"),K2880=""),"⚠ Falta cuenta destino",IF(AND(K2880&lt;&gt;"",P2880&lt;&gt;"Transferencia",P2880&lt;&gt;"Pago tarjeta"),"⚠ Destino solo aplica a transferencias",IF(AND(K2880&lt;&gt;"",K2880=Q2880),"⚠ Origen igual a destino",IF(AND(K2880&lt;&gt;"",ISNA(MATCH(K2880,ctaNombre,0))),"⚠ Destino no registrado",IF(AND(P2880="Pago tarjeta",AE2880&lt;&gt;"Tarjeta de crédito"),"⚠ El destino debe ser tarjeta de crédito",IF(AND(P2880="Gasto",E2880="Depósitos y retiros"),"⚠ Usa tipo Transferencia",IF(AND(P2880="Resultado trading",AD2880&lt;&gt;"Cuenta de trading"),"⚠ Usa una cuenta de trading",IF(AND(G2880&lt;=0,P2880&lt;&gt;"Ajuste",P2880&lt;&gt;"Resultado trading"),"⚠ El monto debe ser positivo","✓")))))))))))))))</f>
        <v/>
      </c>
      <c r="P2880" s="52">
        <f>IF(OR(B2880="",G2880=""),"",IF(C2880="","Gasto",C2880))</f>
        <v/>
      </c>
      <c r="Q2880" s="52">
        <f>IF(P2880="","",IF(J2880&lt;&gt;"",J2880,CuentaPred&amp;""))</f>
        <v/>
      </c>
      <c r="R2880" s="52">
        <f>IF(P2880="","",IF(ISNUMBER(I2880),I2880,TasaUSD))</f>
        <v/>
      </c>
      <c r="S2880" s="53">
        <f>IF(P2880="","",IF(H2880="USD",G2880*R2880,G2880))</f>
        <v/>
      </c>
      <c r="T2880" s="53">
        <f>IF(P2880="","",IF(H2880="USD",G2880,IF(R2880&gt;0,G2880/R2880,0)))</f>
        <v/>
      </c>
      <c r="U2880" s="53">
        <f>IF(P2880="","",IF(P2880="Gasto",S2880,IF(P2880="Reembolso",-S2880,0)))</f>
        <v/>
      </c>
      <c r="V2880" s="53">
        <f>IF(P2880="","",IF(P2880="Ingreso",S2880,0))</f>
        <v/>
      </c>
      <c r="W2880" s="53">
        <f>IF(P2880="","",IF(P2880="Resultado trading",S2880,0))</f>
        <v/>
      </c>
      <c r="X2880" s="52">
        <f>IF(OR(P2880="Gasto",P2880="Reembolso"),IF(M2880&lt;&gt;"",M2880,IFERROR(INDEX(catClasif,MATCH(D2880&amp;"|"&amp;E2880,catClave,0))&amp;"","Variable")),"")</f>
        <v/>
      </c>
      <c r="Y2880" s="52">
        <f>IF(P2880="","",IFERROR(INDEX(catGrupo,MATCH(D2880&amp;"|"&amp;E2880,catClave,0))&amp;"",""))</f>
        <v/>
      </c>
      <c r="Z2880" s="52">
        <f>IF(P2880="","",WEEKDAY(B2880,2))</f>
        <v/>
      </c>
      <c r="AA2880" s="52">
        <f>IF(P2880="","",IF(AND(P2880="Gasto",X2880="Variable",D2880&lt;&gt;catTrading,S2880&gt;0,S2880&lt;=Umbral),1,0))</f>
        <v/>
      </c>
      <c r="AB2880" s="52">
        <f>IF(OR(P2880="",Q2880=""),"",IFERROR(IF(INDEX(ctaVinc,MATCH(Q2880,ctaNombre,0))&amp;""&lt;&gt;"",INDEX(ctaVinc,MATCH(Q2880,ctaNombre,0))&amp;"",Q2880),Q2880))</f>
        <v/>
      </c>
      <c r="AC2880" s="52">
        <f>IF(OR(K2880="",AND(P2880&lt;&gt;"Transferencia",P2880&lt;&gt;"Pago tarjeta")),"",IFERROR(IF(INDEX(ctaVinc,MATCH(K2880,ctaNombre,0))&amp;""&lt;&gt;"",INDEX(ctaVinc,MATCH(K2880,ctaNombre,0))&amp;"",K2880),K2880))</f>
        <v/>
      </c>
      <c r="AD2880" s="52">
        <f>IF(AB2880="","",IFERROR(INDEX(ctaTipo,MATCH(AB2880,ctaNombre,0))&amp;"",""))</f>
        <v/>
      </c>
      <c r="AE2880" s="52">
        <f>IF(AC2880="","",IFERROR(INDEX(ctaTipo,MATCH(AC2880,ctaNombre,0))&amp;"",""))</f>
        <v/>
      </c>
      <c r="AF2880" s="53">
        <f>IF(OR(P2880="",AB2880=""),"",IF(OR(P2880="Gasto",P2880="Transferencia",P2880="Pago tarjeta"),-1,1)*IF(IFERROR(INDEX(ctaMoneda,MATCH(AB2880,ctaNombre,0))&amp;"","DOP")="USD",T2880,S2880))</f>
        <v/>
      </c>
      <c r="AG2880" s="53">
        <f>IF(AC2880="","",IF(IFERROR(INDEX(ctaMoneda,MATCH(AC2880,ctaNombre,0))&amp;"","DOP")="USD",T2880,S2880))</f>
        <v/>
      </c>
      <c r="AH2880" s="53">
        <f>IF(P2880="","",IF(AND(AD2880&lt;&gt;"",COUNTIFS(tcTipo,AD2880,tcLiq,"Sí")&gt;0),IF(OR(P2880="Gasto",P2880="Transferencia",P2880="Pago tarjeta"),-1,1)*S2880,0)+IF(AND(AE2880&lt;&gt;"",COUNTIFS(tcTipo,AE2880,tcLiq,"Sí")&gt;0),S2880,0))</f>
        <v/>
      </c>
      <c r="AI2880" s="52">
        <f>IF(OR(L2880="",P2880=""),"",IF(COUNTIFS(L$6:L2880,L2880,P$6:P2880,"?*")=1,MAX(AI$5:AI2879)+1,""))</f>
        <v/>
      </c>
    </row>
    <row r="2881">
      <c r="B2881" s="47" t="n"/>
      <c r="C2881" s="48" t="n"/>
      <c r="D2881" s="48" t="n"/>
      <c r="E2881" s="48" t="n"/>
      <c r="F2881" s="48" t="n"/>
      <c r="G2881" s="49" t="n"/>
      <c r="H2881" s="48" t="n"/>
      <c r="I2881" s="50" t="n"/>
      <c r="J2881" s="48" t="n"/>
      <c r="K2881" s="48" t="n"/>
      <c r="L2881" s="48" t="n"/>
      <c r="M2881" s="48" t="n"/>
      <c r="N2881" s="48" t="n"/>
      <c r="O2881" s="51">
        <f>IF(AND(B2881="",G2881="",C2881="",D2881="",J2881=""),"",IF(B2881="","⚠ Falta fecha",IF(G2881="","⚠ Falta monto",IF(Q2881="","⚠ Falta cuenta",IF(ISNA(MATCH(Q2881,ctaNombre,0)),"⚠ Cuenta no registrada",IF(AND(OR(P2881="Gasto",P2881="Reembolso"),D2881=""),"⚠ Falta categoría",IF(AND(D2881&lt;&gt;"",E2881&lt;&gt;"",ISNA(MATCH(D2881&amp;"|"&amp;E2881,catClave,0))),"⚠ Subcategoría no corresponde",IF(AND(OR(P2881="Transferencia",P2881="Pago tarjeta"),K2881=""),"⚠ Falta cuenta destino",IF(AND(K2881&lt;&gt;"",P2881&lt;&gt;"Transferencia",P2881&lt;&gt;"Pago tarjeta"),"⚠ Destino solo aplica a transferencias",IF(AND(K2881&lt;&gt;"",K2881=Q2881),"⚠ Origen igual a destino",IF(AND(K2881&lt;&gt;"",ISNA(MATCH(K2881,ctaNombre,0))),"⚠ Destino no registrado",IF(AND(P2881="Pago tarjeta",AE2881&lt;&gt;"Tarjeta de crédito"),"⚠ El destino debe ser tarjeta de crédito",IF(AND(P2881="Gasto",E2881="Depósitos y retiros"),"⚠ Usa tipo Transferencia",IF(AND(P2881="Resultado trading",AD2881&lt;&gt;"Cuenta de trading"),"⚠ Usa una cuenta de trading",IF(AND(G2881&lt;=0,P2881&lt;&gt;"Ajuste",P2881&lt;&gt;"Resultado trading"),"⚠ El monto debe ser positivo","✓")))))))))))))))</f>
        <v/>
      </c>
      <c r="P2881" s="52">
        <f>IF(OR(B2881="",G2881=""),"",IF(C2881="","Gasto",C2881))</f>
        <v/>
      </c>
      <c r="Q2881" s="52">
        <f>IF(P2881="","",IF(J2881&lt;&gt;"",J2881,CuentaPred&amp;""))</f>
        <v/>
      </c>
      <c r="R2881" s="52">
        <f>IF(P2881="","",IF(ISNUMBER(I2881),I2881,TasaUSD))</f>
        <v/>
      </c>
      <c r="S2881" s="53">
        <f>IF(P2881="","",IF(H2881="USD",G2881*R2881,G2881))</f>
        <v/>
      </c>
      <c r="T2881" s="53">
        <f>IF(P2881="","",IF(H2881="USD",G2881,IF(R2881&gt;0,G2881/R2881,0)))</f>
        <v/>
      </c>
      <c r="U2881" s="53">
        <f>IF(P2881="","",IF(P2881="Gasto",S2881,IF(P2881="Reembolso",-S2881,0)))</f>
        <v/>
      </c>
      <c r="V2881" s="53">
        <f>IF(P2881="","",IF(P2881="Ingreso",S2881,0))</f>
        <v/>
      </c>
      <c r="W2881" s="53">
        <f>IF(P2881="","",IF(P2881="Resultado trading",S2881,0))</f>
        <v/>
      </c>
      <c r="X2881" s="52">
        <f>IF(OR(P2881="Gasto",P2881="Reembolso"),IF(M2881&lt;&gt;"",M2881,IFERROR(INDEX(catClasif,MATCH(D2881&amp;"|"&amp;E2881,catClave,0))&amp;"","Variable")),"")</f>
        <v/>
      </c>
      <c r="Y2881" s="52">
        <f>IF(P2881="","",IFERROR(INDEX(catGrupo,MATCH(D2881&amp;"|"&amp;E2881,catClave,0))&amp;"",""))</f>
        <v/>
      </c>
      <c r="Z2881" s="52">
        <f>IF(P2881="","",WEEKDAY(B2881,2))</f>
        <v/>
      </c>
      <c r="AA2881" s="52">
        <f>IF(P2881="","",IF(AND(P2881="Gasto",X2881="Variable",D2881&lt;&gt;catTrading,S2881&gt;0,S2881&lt;=Umbral),1,0))</f>
        <v/>
      </c>
      <c r="AB2881" s="52">
        <f>IF(OR(P2881="",Q2881=""),"",IFERROR(IF(INDEX(ctaVinc,MATCH(Q2881,ctaNombre,0))&amp;""&lt;&gt;"",INDEX(ctaVinc,MATCH(Q2881,ctaNombre,0))&amp;"",Q2881),Q2881))</f>
        <v/>
      </c>
      <c r="AC2881" s="52">
        <f>IF(OR(K2881="",AND(P2881&lt;&gt;"Transferencia",P2881&lt;&gt;"Pago tarjeta")),"",IFERROR(IF(INDEX(ctaVinc,MATCH(K2881,ctaNombre,0))&amp;""&lt;&gt;"",INDEX(ctaVinc,MATCH(K2881,ctaNombre,0))&amp;"",K2881),K2881))</f>
        <v/>
      </c>
      <c r="AD2881" s="52">
        <f>IF(AB2881="","",IFERROR(INDEX(ctaTipo,MATCH(AB2881,ctaNombre,0))&amp;"",""))</f>
        <v/>
      </c>
      <c r="AE2881" s="52">
        <f>IF(AC2881="","",IFERROR(INDEX(ctaTipo,MATCH(AC2881,ctaNombre,0))&amp;"",""))</f>
        <v/>
      </c>
      <c r="AF2881" s="53">
        <f>IF(OR(P2881="",AB2881=""),"",IF(OR(P2881="Gasto",P2881="Transferencia",P2881="Pago tarjeta"),-1,1)*IF(IFERROR(INDEX(ctaMoneda,MATCH(AB2881,ctaNombre,0))&amp;"","DOP")="USD",T2881,S2881))</f>
        <v/>
      </c>
      <c r="AG2881" s="53">
        <f>IF(AC2881="","",IF(IFERROR(INDEX(ctaMoneda,MATCH(AC2881,ctaNombre,0))&amp;"","DOP")="USD",T2881,S2881))</f>
        <v/>
      </c>
      <c r="AH2881" s="53">
        <f>IF(P2881="","",IF(AND(AD2881&lt;&gt;"",COUNTIFS(tcTipo,AD2881,tcLiq,"Sí")&gt;0),IF(OR(P2881="Gasto",P2881="Transferencia",P2881="Pago tarjeta"),-1,1)*S2881,0)+IF(AND(AE2881&lt;&gt;"",COUNTIFS(tcTipo,AE2881,tcLiq,"Sí")&gt;0),S2881,0))</f>
        <v/>
      </c>
      <c r="AI2881" s="52">
        <f>IF(OR(L2881="",P2881=""),"",IF(COUNTIFS(L$6:L2881,L2881,P$6:P2881,"?*")=1,MAX(AI$5:AI2880)+1,""))</f>
        <v/>
      </c>
    </row>
    <row r="2882">
      <c r="B2882" s="47" t="n"/>
      <c r="C2882" s="48" t="n"/>
      <c r="D2882" s="48" t="n"/>
      <c r="E2882" s="48" t="n"/>
      <c r="F2882" s="48" t="n"/>
      <c r="G2882" s="49" t="n"/>
      <c r="H2882" s="48" t="n"/>
      <c r="I2882" s="50" t="n"/>
      <c r="J2882" s="48" t="n"/>
      <c r="K2882" s="48" t="n"/>
      <c r="L2882" s="48" t="n"/>
      <c r="M2882" s="48" t="n"/>
      <c r="N2882" s="48" t="n"/>
      <c r="O2882" s="51">
        <f>IF(AND(B2882="",G2882="",C2882="",D2882="",J2882=""),"",IF(B2882="","⚠ Falta fecha",IF(G2882="","⚠ Falta monto",IF(Q2882="","⚠ Falta cuenta",IF(ISNA(MATCH(Q2882,ctaNombre,0)),"⚠ Cuenta no registrada",IF(AND(OR(P2882="Gasto",P2882="Reembolso"),D2882=""),"⚠ Falta categoría",IF(AND(D2882&lt;&gt;"",E2882&lt;&gt;"",ISNA(MATCH(D2882&amp;"|"&amp;E2882,catClave,0))),"⚠ Subcategoría no corresponde",IF(AND(OR(P2882="Transferencia",P2882="Pago tarjeta"),K2882=""),"⚠ Falta cuenta destino",IF(AND(K2882&lt;&gt;"",P2882&lt;&gt;"Transferencia",P2882&lt;&gt;"Pago tarjeta"),"⚠ Destino solo aplica a transferencias",IF(AND(K2882&lt;&gt;"",K2882=Q2882),"⚠ Origen igual a destino",IF(AND(K2882&lt;&gt;"",ISNA(MATCH(K2882,ctaNombre,0))),"⚠ Destino no registrado",IF(AND(P2882="Pago tarjeta",AE2882&lt;&gt;"Tarjeta de crédito"),"⚠ El destino debe ser tarjeta de crédito",IF(AND(P2882="Gasto",E2882="Depósitos y retiros"),"⚠ Usa tipo Transferencia",IF(AND(P2882="Resultado trading",AD2882&lt;&gt;"Cuenta de trading"),"⚠ Usa una cuenta de trading",IF(AND(G2882&lt;=0,P2882&lt;&gt;"Ajuste",P2882&lt;&gt;"Resultado trading"),"⚠ El monto debe ser positivo","✓")))))))))))))))</f>
        <v/>
      </c>
      <c r="P2882" s="52">
        <f>IF(OR(B2882="",G2882=""),"",IF(C2882="","Gasto",C2882))</f>
        <v/>
      </c>
      <c r="Q2882" s="52">
        <f>IF(P2882="","",IF(J2882&lt;&gt;"",J2882,CuentaPred&amp;""))</f>
        <v/>
      </c>
      <c r="R2882" s="52">
        <f>IF(P2882="","",IF(ISNUMBER(I2882),I2882,TasaUSD))</f>
        <v/>
      </c>
      <c r="S2882" s="53">
        <f>IF(P2882="","",IF(H2882="USD",G2882*R2882,G2882))</f>
        <v/>
      </c>
      <c r="T2882" s="53">
        <f>IF(P2882="","",IF(H2882="USD",G2882,IF(R2882&gt;0,G2882/R2882,0)))</f>
        <v/>
      </c>
      <c r="U2882" s="53">
        <f>IF(P2882="","",IF(P2882="Gasto",S2882,IF(P2882="Reembolso",-S2882,0)))</f>
        <v/>
      </c>
      <c r="V2882" s="53">
        <f>IF(P2882="","",IF(P2882="Ingreso",S2882,0))</f>
        <v/>
      </c>
      <c r="W2882" s="53">
        <f>IF(P2882="","",IF(P2882="Resultado trading",S2882,0))</f>
        <v/>
      </c>
      <c r="X2882" s="52">
        <f>IF(OR(P2882="Gasto",P2882="Reembolso"),IF(M2882&lt;&gt;"",M2882,IFERROR(INDEX(catClasif,MATCH(D2882&amp;"|"&amp;E2882,catClave,0))&amp;"","Variable")),"")</f>
        <v/>
      </c>
      <c r="Y2882" s="52">
        <f>IF(P2882="","",IFERROR(INDEX(catGrupo,MATCH(D2882&amp;"|"&amp;E2882,catClave,0))&amp;"",""))</f>
        <v/>
      </c>
      <c r="Z2882" s="52">
        <f>IF(P2882="","",WEEKDAY(B2882,2))</f>
        <v/>
      </c>
      <c r="AA2882" s="52">
        <f>IF(P2882="","",IF(AND(P2882="Gasto",X2882="Variable",D2882&lt;&gt;catTrading,S2882&gt;0,S2882&lt;=Umbral),1,0))</f>
        <v/>
      </c>
      <c r="AB2882" s="52">
        <f>IF(OR(P2882="",Q2882=""),"",IFERROR(IF(INDEX(ctaVinc,MATCH(Q2882,ctaNombre,0))&amp;""&lt;&gt;"",INDEX(ctaVinc,MATCH(Q2882,ctaNombre,0))&amp;"",Q2882),Q2882))</f>
        <v/>
      </c>
      <c r="AC2882" s="52">
        <f>IF(OR(K2882="",AND(P2882&lt;&gt;"Transferencia",P2882&lt;&gt;"Pago tarjeta")),"",IFERROR(IF(INDEX(ctaVinc,MATCH(K2882,ctaNombre,0))&amp;""&lt;&gt;"",INDEX(ctaVinc,MATCH(K2882,ctaNombre,0))&amp;"",K2882),K2882))</f>
        <v/>
      </c>
      <c r="AD2882" s="52">
        <f>IF(AB2882="","",IFERROR(INDEX(ctaTipo,MATCH(AB2882,ctaNombre,0))&amp;"",""))</f>
        <v/>
      </c>
      <c r="AE2882" s="52">
        <f>IF(AC2882="","",IFERROR(INDEX(ctaTipo,MATCH(AC2882,ctaNombre,0))&amp;"",""))</f>
        <v/>
      </c>
      <c r="AF2882" s="53">
        <f>IF(OR(P2882="",AB2882=""),"",IF(OR(P2882="Gasto",P2882="Transferencia",P2882="Pago tarjeta"),-1,1)*IF(IFERROR(INDEX(ctaMoneda,MATCH(AB2882,ctaNombre,0))&amp;"","DOP")="USD",T2882,S2882))</f>
        <v/>
      </c>
      <c r="AG2882" s="53">
        <f>IF(AC2882="","",IF(IFERROR(INDEX(ctaMoneda,MATCH(AC2882,ctaNombre,0))&amp;"","DOP")="USD",T2882,S2882))</f>
        <v/>
      </c>
      <c r="AH2882" s="53">
        <f>IF(P2882="","",IF(AND(AD2882&lt;&gt;"",COUNTIFS(tcTipo,AD2882,tcLiq,"Sí")&gt;0),IF(OR(P2882="Gasto",P2882="Transferencia",P2882="Pago tarjeta"),-1,1)*S2882,0)+IF(AND(AE2882&lt;&gt;"",COUNTIFS(tcTipo,AE2882,tcLiq,"Sí")&gt;0),S2882,0))</f>
        <v/>
      </c>
      <c r="AI2882" s="52">
        <f>IF(OR(L2882="",P2882=""),"",IF(COUNTIFS(L$6:L2882,L2882,P$6:P2882,"?*")=1,MAX(AI$5:AI2881)+1,""))</f>
        <v/>
      </c>
    </row>
    <row r="2883">
      <c r="B2883" s="47" t="n"/>
      <c r="C2883" s="48" t="n"/>
      <c r="D2883" s="48" t="n"/>
      <c r="E2883" s="48" t="n"/>
      <c r="F2883" s="48" t="n"/>
      <c r="G2883" s="49" t="n"/>
      <c r="H2883" s="48" t="n"/>
      <c r="I2883" s="50" t="n"/>
      <c r="J2883" s="48" t="n"/>
      <c r="K2883" s="48" t="n"/>
      <c r="L2883" s="48" t="n"/>
      <c r="M2883" s="48" t="n"/>
      <c r="N2883" s="48" t="n"/>
      <c r="O2883" s="51">
        <f>IF(AND(B2883="",G2883="",C2883="",D2883="",J2883=""),"",IF(B2883="","⚠ Falta fecha",IF(G2883="","⚠ Falta monto",IF(Q2883="","⚠ Falta cuenta",IF(ISNA(MATCH(Q2883,ctaNombre,0)),"⚠ Cuenta no registrada",IF(AND(OR(P2883="Gasto",P2883="Reembolso"),D2883=""),"⚠ Falta categoría",IF(AND(D2883&lt;&gt;"",E2883&lt;&gt;"",ISNA(MATCH(D2883&amp;"|"&amp;E2883,catClave,0))),"⚠ Subcategoría no corresponde",IF(AND(OR(P2883="Transferencia",P2883="Pago tarjeta"),K2883=""),"⚠ Falta cuenta destino",IF(AND(K2883&lt;&gt;"",P2883&lt;&gt;"Transferencia",P2883&lt;&gt;"Pago tarjeta"),"⚠ Destino solo aplica a transferencias",IF(AND(K2883&lt;&gt;"",K2883=Q2883),"⚠ Origen igual a destino",IF(AND(K2883&lt;&gt;"",ISNA(MATCH(K2883,ctaNombre,0))),"⚠ Destino no registrado",IF(AND(P2883="Pago tarjeta",AE2883&lt;&gt;"Tarjeta de crédito"),"⚠ El destino debe ser tarjeta de crédito",IF(AND(P2883="Gasto",E2883="Depósitos y retiros"),"⚠ Usa tipo Transferencia",IF(AND(P2883="Resultado trading",AD2883&lt;&gt;"Cuenta de trading"),"⚠ Usa una cuenta de trading",IF(AND(G2883&lt;=0,P2883&lt;&gt;"Ajuste",P2883&lt;&gt;"Resultado trading"),"⚠ El monto debe ser positivo","✓")))))))))))))))</f>
        <v/>
      </c>
      <c r="P2883" s="52">
        <f>IF(OR(B2883="",G2883=""),"",IF(C2883="","Gasto",C2883))</f>
        <v/>
      </c>
      <c r="Q2883" s="52">
        <f>IF(P2883="","",IF(J2883&lt;&gt;"",J2883,CuentaPred&amp;""))</f>
        <v/>
      </c>
      <c r="R2883" s="52">
        <f>IF(P2883="","",IF(ISNUMBER(I2883),I2883,TasaUSD))</f>
        <v/>
      </c>
      <c r="S2883" s="53">
        <f>IF(P2883="","",IF(H2883="USD",G2883*R2883,G2883))</f>
        <v/>
      </c>
      <c r="T2883" s="53">
        <f>IF(P2883="","",IF(H2883="USD",G2883,IF(R2883&gt;0,G2883/R2883,0)))</f>
        <v/>
      </c>
      <c r="U2883" s="53">
        <f>IF(P2883="","",IF(P2883="Gasto",S2883,IF(P2883="Reembolso",-S2883,0)))</f>
        <v/>
      </c>
      <c r="V2883" s="53">
        <f>IF(P2883="","",IF(P2883="Ingreso",S2883,0))</f>
        <v/>
      </c>
      <c r="W2883" s="53">
        <f>IF(P2883="","",IF(P2883="Resultado trading",S2883,0))</f>
        <v/>
      </c>
      <c r="X2883" s="52">
        <f>IF(OR(P2883="Gasto",P2883="Reembolso"),IF(M2883&lt;&gt;"",M2883,IFERROR(INDEX(catClasif,MATCH(D2883&amp;"|"&amp;E2883,catClave,0))&amp;"","Variable")),"")</f>
        <v/>
      </c>
      <c r="Y2883" s="52">
        <f>IF(P2883="","",IFERROR(INDEX(catGrupo,MATCH(D2883&amp;"|"&amp;E2883,catClave,0))&amp;"",""))</f>
        <v/>
      </c>
      <c r="Z2883" s="52">
        <f>IF(P2883="","",WEEKDAY(B2883,2))</f>
        <v/>
      </c>
      <c r="AA2883" s="52">
        <f>IF(P2883="","",IF(AND(P2883="Gasto",X2883="Variable",D2883&lt;&gt;catTrading,S2883&gt;0,S2883&lt;=Umbral),1,0))</f>
        <v/>
      </c>
      <c r="AB2883" s="52">
        <f>IF(OR(P2883="",Q2883=""),"",IFERROR(IF(INDEX(ctaVinc,MATCH(Q2883,ctaNombre,0))&amp;""&lt;&gt;"",INDEX(ctaVinc,MATCH(Q2883,ctaNombre,0))&amp;"",Q2883),Q2883))</f>
        <v/>
      </c>
      <c r="AC2883" s="52">
        <f>IF(OR(K2883="",AND(P2883&lt;&gt;"Transferencia",P2883&lt;&gt;"Pago tarjeta")),"",IFERROR(IF(INDEX(ctaVinc,MATCH(K2883,ctaNombre,0))&amp;""&lt;&gt;"",INDEX(ctaVinc,MATCH(K2883,ctaNombre,0))&amp;"",K2883),K2883))</f>
        <v/>
      </c>
      <c r="AD2883" s="52">
        <f>IF(AB2883="","",IFERROR(INDEX(ctaTipo,MATCH(AB2883,ctaNombre,0))&amp;"",""))</f>
        <v/>
      </c>
      <c r="AE2883" s="52">
        <f>IF(AC2883="","",IFERROR(INDEX(ctaTipo,MATCH(AC2883,ctaNombre,0))&amp;"",""))</f>
        <v/>
      </c>
      <c r="AF2883" s="53">
        <f>IF(OR(P2883="",AB2883=""),"",IF(OR(P2883="Gasto",P2883="Transferencia",P2883="Pago tarjeta"),-1,1)*IF(IFERROR(INDEX(ctaMoneda,MATCH(AB2883,ctaNombre,0))&amp;"","DOP")="USD",T2883,S2883))</f>
        <v/>
      </c>
      <c r="AG2883" s="53">
        <f>IF(AC2883="","",IF(IFERROR(INDEX(ctaMoneda,MATCH(AC2883,ctaNombre,0))&amp;"","DOP")="USD",T2883,S2883))</f>
        <v/>
      </c>
      <c r="AH2883" s="53">
        <f>IF(P2883="","",IF(AND(AD2883&lt;&gt;"",COUNTIFS(tcTipo,AD2883,tcLiq,"Sí")&gt;0),IF(OR(P2883="Gasto",P2883="Transferencia",P2883="Pago tarjeta"),-1,1)*S2883,0)+IF(AND(AE2883&lt;&gt;"",COUNTIFS(tcTipo,AE2883,tcLiq,"Sí")&gt;0),S2883,0))</f>
        <v/>
      </c>
      <c r="AI2883" s="52">
        <f>IF(OR(L2883="",P2883=""),"",IF(COUNTIFS(L$6:L2883,L2883,P$6:P2883,"?*")=1,MAX(AI$5:AI2882)+1,""))</f>
        <v/>
      </c>
    </row>
    <row r="2884">
      <c r="B2884" s="47" t="n"/>
      <c r="C2884" s="48" t="n"/>
      <c r="D2884" s="48" t="n"/>
      <c r="E2884" s="48" t="n"/>
      <c r="F2884" s="48" t="n"/>
      <c r="G2884" s="49" t="n"/>
      <c r="H2884" s="48" t="n"/>
      <c r="I2884" s="50" t="n"/>
      <c r="J2884" s="48" t="n"/>
      <c r="K2884" s="48" t="n"/>
      <c r="L2884" s="48" t="n"/>
      <c r="M2884" s="48" t="n"/>
      <c r="N2884" s="48" t="n"/>
      <c r="O2884" s="51">
        <f>IF(AND(B2884="",G2884="",C2884="",D2884="",J2884=""),"",IF(B2884="","⚠ Falta fecha",IF(G2884="","⚠ Falta monto",IF(Q2884="","⚠ Falta cuenta",IF(ISNA(MATCH(Q2884,ctaNombre,0)),"⚠ Cuenta no registrada",IF(AND(OR(P2884="Gasto",P2884="Reembolso"),D2884=""),"⚠ Falta categoría",IF(AND(D2884&lt;&gt;"",E2884&lt;&gt;"",ISNA(MATCH(D2884&amp;"|"&amp;E2884,catClave,0))),"⚠ Subcategoría no corresponde",IF(AND(OR(P2884="Transferencia",P2884="Pago tarjeta"),K2884=""),"⚠ Falta cuenta destino",IF(AND(K2884&lt;&gt;"",P2884&lt;&gt;"Transferencia",P2884&lt;&gt;"Pago tarjeta"),"⚠ Destino solo aplica a transferencias",IF(AND(K2884&lt;&gt;"",K2884=Q2884),"⚠ Origen igual a destino",IF(AND(K2884&lt;&gt;"",ISNA(MATCH(K2884,ctaNombre,0))),"⚠ Destino no registrado",IF(AND(P2884="Pago tarjeta",AE2884&lt;&gt;"Tarjeta de crédito"),"⚠ El destino debe ser tarjeta de crédito",IF(AND(P2884="Gasto",E2884="Depósitos y retiros"),"⚠ Usa tipo Transferencia",IF(AND(P2884="Resultado trading",AD2884&lt;&gt;"Cuenta de trading"),"⚠ Usa una cuenta de trading",IF(AND(G2884&lt;=0,P2884&lt;&gt;"Ajuste",P2884&lt;&gt;"Resultado trading"),"⚠ El monto debe ser positivo","✓")))))))))))))))</f>
        <v/>
      </c>
      <c r="P2884" s="52">
        <f>IF(OR(B2884="",G2884=""),"",IF(C2884="","Gasto",C2884))</f>
        <v/>
      </c>
      <c r="Q2884" s="52">
        <f>IF(P2884="","",IF(J2884&lt;&gt;"",J2884,CuentaPred&amp;""))</f>
        <v/>
      </c>
      <c r="R2884" s="52">
        <f>IF(P2884="","",IF(ISNUMBER(I2884),I2884,TasaUSD))</f>
        <v/>
      </c>
      <c r="S2884" s="53">
        <f>IF(P2884="","",IF(H2884="USD",G2884*R2884,G2884))</f>
        <v/>
      </c>
      <c r="T2884" s="53">
        <f>IF(P2884="","",IF(H2884="USD",G2884,IF(R2884&gt;0,G2884/R2884,0)))</f>
        <v/>
      </c>
      <c r="U2884" s="53">
        <f>IF(P2884="","",IF(P2884="Gasto",S2884,IF(P2884="Reembolso",-S2884,0)))</f>
        <v/>
      </c>
      <c r="V2884" s="53">
        <f>IF(P2884="","",IF(P2884="Ingreso",S2884,0))</f>
        <v/>
      </c>
      <c r="W2884" s="53">
        <f>IF(P2884="","",IF(P2884="Resultado trading",S2884,0))</f>
        <v/>
      </c>
      <c r="X2884" s="52">
        <f>IF(OR(P2884="Gasto",P2884="Reembolso"),IF(M2884&lt;&gt;"",M2884,IFERROR(INDEX(catClasif,MATCH(D2884&amp;"|"&amp;E2884,catClave,0))&amp;"","Variable")),"")</f>
        <v/>
      </c>
      <c r="Y2884" s="52">
        <f>IF(P2884="","",IFERROR(INDEX(catGrupo,MATCH(D2884&amp;"|"&amp;E2884,catClave,0))&amp;"",""))</f>
        <v/>
      </c>
      <c r="Z2884" s="52">
        <f>IF(P2884="","",WEEKDAY(B2884,2))</f>
        <v/>
      </c>
      <c r="AA2884" s="52">
        <f>IF(P2884="","",IF(AND(P2884="Gasto",X2884="Variable",D2884&lt;&gt;catTrading,S2884&gt;0,S2884&lt;=Umbral),1,0))</f>
        <v/>
      </c>
      <c r="AB2884" s="52">
        <f>IF(OR(P2884="",Q2884=""),"",IFERROR(IF(INDEX(ctaVinc,MATCH(Q2884,ctaNombre,0))&amp;""&lt;&gt;"",INDEX(ctaVinc,MATCH(Q2884,ctaNombre,0))&amp;"",Q2884),Q2884))</f>
        <v/>
      </c>
      <c r="AC2884" s="52">
        <f>IF(OR(K2884="",AND(P2884&lt;&gt;"Transferencia",P2884&lt;&gt;"Pago tarjeta")),"",IFERROR(IF(INDEX(ctaVinc,MATCH(K2884,ctaNombre,0))&amp;""&lt;&gt;"",INDEX(ctaVinc,MATCH(K2884,ctaNombre,0))&amp;"",K2884),K2884))</f>
        <v/>
      </c>
      <c r="AD2884" s="52">
        <f>IF(AB2884="","",IFERROR(INDEX(ctaTipo,MATCH(AB2884,ctaNombre,0))&amp;"",""))</f>
        <v/>
      </c>
      <c r="AE2884" s="52">
        <f>IF(AC2884="","",IFERROR(INDEX(ctaTipo,MATCH(AC2884,ctaNombre,0))&amp;"",""))</f>
        <v/>
      </c>
      <c r="AF2884" s="53">
        <f>IF(OR(P2884="",AB2884=""),"",IF(OR(P2884="Gasto",P2884="Transferencia",P2884="Pago tarjeta"),-1,1)*IF(IFERROR(INDEX(ctaMoneda,MATCH(AB2884,ctaNombre,0))&amp;"","DOP")="USD",T2884,S2884))</f>
        <v/>
      </c>
      <c r="AG2884" s="53">
        <f>IF(AC2884="","",IF(IFERROR(INDEX(ctaMoneda,MATCH(AC2884,ctaNombre,0))&amp;"","DOP")="USD",T2884,S2884))</f>
        <v/>
      </c>
      <c r="AH2884" s="53">
        <f>IF(P2884="","",IF(AND(AD2884&lt;&gt;"",COUNTIFS(tcTipo,AD2884,tcLiq,"Sí")&gt;0),IF(OR(P2884="Gasto",P2884="Transferencia",P2884="Pago tarjeta"),-1,1)*S2884,0)+IF(AND(AE2884&lt;&gt;"",COUNTIFS(tcTipo,AE2884,tcLiq,"Sí")&gt;0),S2884,0))</f>
        <v/>
      </c>
      <c r="AI2884" s="52">
        <f>IF(OR(L2884="",P2884=""),"",IF(COUNTIFS(L$6:L2884,L2884,P$6:P2884,"?*")=1,MAX(AI$5:AI2883)+1,""))</f>
        <v/>
      </c>
    </row>
    <row r="2885">
      <c r="B2885" s="47" t="n"/>
      <c r="C2885" s="48" t="n"/>
      <c r="D2885" s="48" t="n"/>
      <c r="E2885" s="48" t="n"/>
      <c r="F2885" s="48" t="n"/>
      <c r="G2885" s="49" t="n"/>
      <c r="H2885" s="48" t="n"/>
      <c r="I2885" s="50" t="n"/>
      <c r="J2885" s="48" t="n"/>
      <c r="K2885" s="48" t="n"/>
      <c r="L2885" s="48" t="n"/>
      <c r="M2885" s="48" t="n"/>
      <c r="N2885" s="48" t="n"/>
      <c r="O2885" s="51">
        <f>IF(AND(B2885="",G2885="",C2885="",D2885="",J2885=""),"",IF(B2885="","⚠ Falta fecha",IF(G2885="","⚠ Falta monto",IF(Q2885="","⚠ Falta cuenta",IF(ISNA(MATCH(Q2885,ctaNombre,0)),"⚠ Cuenta no registrada",IF(AND(OR(P2885="Gasto",P2885="Reembolso"),D2885=""),"⚠ Falta categoría",IF(AND(D2885&lt;&gt;"",E2885&lt;&gt;"",ISNA(MATCH(D2885&amp;"|"&amp;E2885,catClave,0))),"⚠ Subcategoría no corresponde",IF(AND(OR(P2885="Transferencia",P2885="Pago tarjeta"),K2885=""),"⚠ Falta cuenta destino",IF(AND(K2885&lt;&gt;"",P2885&lt;&gt;"Transferencia",P2885&lt;&gt;"Pago tarjeta"),"⚠ Destino solo aplica a transferencias",IF(AND(K2885&lt;&gt;"",K2885=Q2885),"⚠ Origen igual a destino",IF(AND(K2885&lt;&gt;"",ISNA(MATCH(K2885,ctaNombre,0))),"⚠ Destino no registrado",IF(AND(P2885="Pago tarjeta",AE2885&lt;&gt;"Tarjeta de crédito"),"⚠ El destino debe ser tarjeta de crédito",IF(AND(P2885="Gasto",E2885="Depósitos y retiros"),"⚠ Usa tipo Transferencia",IF(AND(P2885="Resultado trading",AD2885&lt;&gt;"Cuenta de trading"),"⚠ Usa una cuenta de trading",IF(AND(G2885&lt;=0,P2885&lt;&gt;"Ajuste",P2885&lt;&gt;"Resultado trading"),"⚠ El monto debe ser positivo","✓")))))))))))))))</f>
        <v/>
      </c>
      <c r="P2885" s="52">
        <f>IF(OR(B2885="",G2885=""),"",IF(C2885="","Gasto",C2885))</f>
        <v/>
      </c>
      <c r="Q2885" s="52">
        <f>IF(P2885="","",IF(J2885&lt;&gt;"",J2885,CuentaPred&amp;""))</f>
        <v/>
      </c>
      <c r="R2885" s="52">
        <f>IF(P2885="","",IF(ISNUMBER(I2885),I2885,TasaUSD))</f>
        <v/>
      </c>
      <c r="S2885" s="53">
        <f>IF(P2885="","",IF(H2885="USD",G2885*R2885,G2885))</f>
        <v/>
      </c>
      <c r="T2885" s="53">
        <f>IF(P2885="","",IF(H2885="USD",G2885,IF(R2885&gt;0,G2885/R2885,0)))</f>
        <v/>
      </c>
      <c r="U2885" s="53">
        <f>IF(P2885="","",IF(P2885="Gasto",S2885,IF(P2885="Reembolso",-S2885,0)))</f>
        <v/>
      </c>
      <c r="V2885" s="53">
        <f>IF(P2885="","",IF(P2885="Ingreso",S2885,0))</f>
        <v/>
      </c>
      <c r="W2885" s="53">
        <f>IF(P2885="","",IF(P2885="Resultado trading",S2885,0))</f>
        <v/>
      </c>
      <c r="X2885" s="52">
        <f>IF(OR(P2885="Gasto",P2885="Reembolso"),IF(M2885&lt;&gt;"",M2885,IFERROR(INDEX(catClasif,MATCH(D2885&amp;"|"&amp;E2885,catClave,0))&amp;"","Variable")),"")</f>
        <v/>
      </c>
      <c r="Y2885" s="52">
        <f>IF(P2885="","",IFERROR(INDEX(catGrupo,MATCH(D2885&amp;"|"&amp;E2885,catClave,0))&amp;"",""))</f>
        <v/>
      </c>
      <c r="Z2885" s="52">
        <f>IF(P2885="","",WEEKDAY(B2885,2))</f>
        <v/>
      </c>
      <c r="AA2885" s="52">
        <f>IF(P2885="","",IF(AND(P2885="Gasto",X2885="Variable",D2885&lt;&gt;catTrading,S2885&gt;0,S2885&lt;=Umbral),1,0))</f>
        <v/>
      </c>
      <c r="AB2885" s="52">
        <f>IF(OR(P2885="",Q2885=""),"",IFERROR(IF(INDEX(ctaVinc,MATCH(Q2885,ctaNombre,0))&amp;""&lt;&gt;"",INDEX(ctaVinc,MATCH(Q2885,ctaNombre,0))&amp;"",Q2885),Q2885))</f>
        <v/>
      </c>
      <c r="AC2885" s="52">
        <f>IF(OR(K2885="",AND(P2885&lt;&gt;"Transferencia",P2885&lt;&gt;"Pago tarjeta")),"",IFERROR(IF(INDEX(ctaVinc,MATCH(K2885,ctaNombre,0))&amp;""&lt;&gt;"",INDEX(ctaVinc,MATCH(K2885,ctaNombre,0))&amp;"",K2885),K2885))</f>
        <v/>
      </c>
      <c r="AD2885" s="52">
        <f>IF(AB2885="","",IFERROR(INDEX(ctaTipo,MATCH(AB2885,ctaNombre,0))&amp;"",""))</f>
        <v/>
      </c>
      <c r="AE2885" s="52">
        <f>IF(AC2885="","",IFERROR(INDEX(ctaTipo,MATCH(AC2885,ctaNombre,0))&amp;"",""))</f>
        <v/>
      </c>
      <c r="AF2885" s="53">
        <f>IF(OR(P2885="",AB2885=""),"",IF(OR(P2885="Gasto",P2885="Transferencia",P2885="Pago tarjeta"),-1,1)*IF(IFERROR(INDEX(ctaMoneda,MATCH(AB2885,ctaNombre,0))&amp;"","DOP")="USD",T2885,S2885))</f>
        <v/>
      </c>
      <c r="AG2885" s="53">
        <f>IF(AC2885="","",IF(IFERROR(INDEX(ctaMoneda,MATCH(AC2885,ctaNombre,0))&amp;"","DOP")="USD",T2885,S2885))</f>
        <v/>
      </c>
      <c r="AH2885" s="53">
        <f>IF(P2885="","",IF(AND(AD2885&lt;&gt;"",COUNTIFS(tcTipo,AD2885,tcLiq,"Sí")&gt;0),IF(OR(P2885="Gasto",P2885="Transferencia",P2885="Pago tarjeta"),-1,1)*S2885,0)+IF(AND(AE2885&lt;&gt;"",COUNTIFS(tcTipo,AE2885,tcLiq,"Sí")&gt;0),S2885,0))</f>
        <v/>
      </c>
      <c r="AI2885" s="52">
        <f>IF(OR(L2885="",P2885=""),"",IF(COUNTIFS(L$6:L2885,L2885,P$6:P2885,"?*")=1,MAX(AI$5:AI2884)+1,""))</f>
        <v/>
      </c>
    </row>
    <row r="2886">
      <c r="B2886" s="47" t="n"/>
      <c r="C2886" s="48" t="n"/>
      <c r="D2886" s="48" t="n"/>
      <c r="E2886" s="48" t="n"/>
      <c r="F2886" s="48" t="n"/>
      <c r="G2886" s="49" t="n"/>
      <c r="H2886" s="48" t="n"/>
      <c r="I2886" s="50" t="n"/>
      <c r="J2886" s="48" t="n"/>
      <c r="K2886" s="48" t="n"/>
      <c r="L2886" s="48" t="n"/>
      <c r="M2886" s="48" t="n"/>
      <c r="N2886" s="48" t="n"/>
      <c r="O2886" s="51">
        <f>IF(AND(B2886="",G2886="",C2886="",D2886="",J2886=""),"",IF(B2886="","⚠ Falta fecha",IF(G2886="","⚠ Falta monto",IF(Q2886="","⚠ Falta cuenta",IF(ISNA(MATCH(Q2886,ctaNombre,0)),"⚠ Cuenta no registrada",IF(AND(OR(P2886="Gasto",P2886="Reembolso"),D2886=""),"⚠ Falta categoría",IF(AND(D2886&lt;&gt;"",E2886&lt;&gt;"",ISNA(MATCH(D2886&amp;"|"&amp;E2886,catClave,0))),"⚠ Subcategoría no corresponde",IF(AND(OR(P2886="Transferencia",P2886="Pago tarjeta"),K2886=""),"⚠ Falta cuenta destino",IF(AND(K2886&lt;&gt;"",P2886&lt;&gt;"Transferencia",P2886&lt;&gt;"Pago tarjeta"),"⚠ Destino solo aplica a transferencias",IF(AND(K2886&lt;&gt;"",K2886=Q2886),"⚠ Origen igual a destino",IF(AND(K2886&lt;&gt;"",ISNA(MATCH(K2886,ctaNombre,0))),"⚠ Destino no registrado",IF(AND(P2886="Pago tarjeta",AE2886&lt;&gt;"Tarjeta de crédito"),"⚠ El destino debe ser tarjeta de crédito",IF(AND(P2886="Gasto",E2886="Depósitos y retiros"),"⚠ Usa tipo Transferencia",IF(AND(P2886="Resultado trading",AD2886&lt;&gt;"Cuenta de trading"),"⚠ Usa una cuenta de trading",IF(AND(G2886&lt;=0,P2886&lt;&gt;"Ajuste",P2886&lt;&gt;"Resultado trading"),"⚠ El monto debe ser positivo","✓")))))))))))))))</f>
        <v/>
      </c>
      <c r="P2886" s="52">
        <f>IF(OR(B2886="",G2886=""),"",IF(C2886="","Gasto",C2886))</f>
        <v/>
      </c>
      <c r="Q2886" s="52">
        <f>IF(P2886="","",IF(J2886&lt;&gt;"",J2886,CuentaPred&amp;""))</f>
        <v/>
      </c>
      <c r="R2886" s="52">
        <f>IF(P2886="","",IF(ISNUMBER(I2886),I2886,TasaUSD))</f>
        <v/>
      </c>
      <c r="S2886" s="53">
        <f>IF(P2886="","",IF(H2886="USD",G2886*R2886,G2886))</f>
        <v/>
      </c>
      <c r="T2886" s="53">
        <f>IF(P2886="","",IF(H2886="USD",G2886,IF(R2886&gt;0,G2886/R2886,0)))</f>
        <v/>
      </c>
      <c r="U2886" s="53">
        <f>IF(P2886="","",IF(P2886="Gasto",S2886,IF(P2886="Reembolso",-S2886,0)))</f>
        <v/>
      </c>
      <c r="V2886" s="53">
        <f>IF(P2886="","",IF(P2886="Ingreso",S2886,0))</f>
        <v/>
      </c>
      <c r="W2886" s="53">
        <f>IF(P2886="","",IF(P2886="Resultado trading",S2886,0))</f>
        <v/>
      </c>
      <c r="X2886" s="52">
        <f>IF(OR(P2886="Gasto",P2886="Reembolso"),IF(M2886&lt;&gt;"",M2886,IFERROR(INDEX(catClasif,MATCH(D2886&amp;"|"&amp;E2886,catClave,0))&amp;"","Variable")),"")</f>
        <v/>
      </c>
      <c r="Y2886" s="52">
        <f>IF(P2886="","",IFERROR(INDEX(catGrupo,MATCH(D2886&amp;"|"&amp;E2886,catClave,0))&amp;"",""))</f>
        <v/>
      </c>
      <c r="Z2886" s="52">
        <f>IF(P2886="","",WEEKDAY(B2886,2))</f>
        <v/>
      </c>
      <c r="AA2886" s="52">
        <f>IF(P2886="","",IF(AND(P2886="Gasto",X2886="Variable",D2886&lt;&gt;catTrading,S2886&gt;0,S2886&lt;=Umbral),1,0))</f>
        <v/>
      </c>
      <c r="AB2886" s="52">
        <f>IF(OR(P2886="",Q2886=""),"",IFERROR(IF(INDEX(ctaVinc,MATCH(Q2886,ctaNombre,0))&amp;""&lt;&gt;"",INDEX(ctaVinc,MATCH(Q2886,ctaNombre,0))&amp;"",Q2886),Q2886))</f>
        <v/>
      </c>
      <c r="AC2886" s="52">
        <f>IF(OR(K2886="",AND(P2886&lt;&gt;"Transferencia",P2886&lt;&gt;"Pago tarjeta")),"",IFERROR(IF(INDEX(ctaVinc,MATCH(K2886,ctaNombre,0))&amp;""&lt;&gt;"",INDEX(ctaVinc,MATCH(K2886,ctaNombre,0))&amp;"",K2886),K2886))</f>
        <v/>
      </c>
      <c r="AD2886" s="52">
        <f>IF(AB2886="","",IFERROR(INDEX(ctaTipo,MATCH(AB2886,ctaNombre,0))&amp;"",""))</f>
        <v/>
      </c>
      <c r="AE2886" s="52">
        <f>IF(AC2886="","",IFERROR(INDEX(ctaTipo,MATCH(AC2886,ctaNombre,0))&amp;"",""))</f>
        <v/>
      </c>
      <c r="AF2886" s="53">
        <f>IF(OR(P2886="",AB2886=""),"",IF(OR(P2886="Gasto",P2886="Transferencia",P2886="Pago tarjeta"),-1,1)*IF(IFERROR(INDEX(ctaMoneda,MATCH(AB2886,ctaNombre,0))&amp;"","DOP")="USD",T2886,S2886))</f>
        <v/>
      </c>
      <c r="AG2886" s="53">
        <f>IF(AC2886="","",IF(IFERROR(INDEX(ctaMoneda,MATCH(AC2886,ctaNombre,0))&amp;"","DOP")="USD",T2886,S2886))</f>
        <v/>
      </c>
      <c r="AH2886" s="53">
        <f>IF(P2886="","",IF(AND(AD2886&lt;&gt;"",COUNTIFS(tcTipo,AD2886,tcLiq,"Sí")&gt;0),IF(OR(P2886="Gasto",P2886="Transferencia",P2886="Pago tarjeta"),-1,1)*S2886,0)+IF(AND(AE2886&lt;&gt;"",COUNTIFS(tcTipo,AE2886,tcLiq,"Sí")&gt;0),S2886,0))</f>
        <v/>
      </c>
      <c r="AI2886" s="52">
        <f>IF(OR(L2886="",P2886=""),"",IF(COUNTIFS(L$6:L2886,L2886,P$6:P2886,"?*")=1,MAX(AI$5:AI2885)+1,""))</f>
        <v/>
      </c>
    </row>
    <row r="2887">
      <c r="B2887" s="47" t="n"/>
      <c r="C2887" s="48" t="n"/>
      <c r="D2887" s="48" t="n"/>
      <c r="E2887" s="48" t="n"/>
      <c r="F2887" s="48" t="n"/>
      <c r="G2887" s="49" t="n"/>
      <c r="H2887" s="48" t="n"/>
      <c r="I2887" s="50" t="n"/>
      <c r="J2887" s="48" t="n"/>
      <c r="K2887" s="48" t="n"/>
      <c r="L2887" s="48" t="n"/>
      <c r="M2887" s="48" t="n"/>
      <c r="N2887" s="48" t="n"/>
      <c r="O2887" s="51">
        <f>IF(AND(B2887="",G2887="",C2887="",D2887="",J2887=""),"",IF(B2887="","⚠ Falta fecha",IF(G2887="","⚠ Falta monto",IF(Q2887="","⚠ Falta cuenta",IF(ISNA(MATCH(Q2887,ctaNombre,0)),"⚠ Cuenta no registrada",IF(AND(OR(P2887="Gasto",P2887="Reembolso"),D2887=""),"⚠ Falta categoría",IF(AND(D2887&lt;&gt;"",E2887&lt;&gt;"",ISNA(MATCH(D2887&amp;"|"&amp;E2887,catClave,0))),"⚠ Subcategoría no corresponde",IF(AND(OR(P2887="Transferencia",P2887="Pago tarjeta"),K2887=""),"⚠ Falta cuenta destino",IF(AND(K2887&lt;&gt;"",P2887&lt;&gt;"Transferencia",P2887&lt;&gt;"Pago tarjeta"),"⚠ Destino solo aplica a transferencias",IF(AND(K2887&lt;&gt;"",K2887=Q2887),"⚠ Origen igual a destino",IF(AND(K2887&lt;&gt;"",ISNA(MATCH(K2887,ctaNombre,0))),"⚠ Destino no registrado",IF(AND(P2887="Pago tarjeta",AE2887&lt;&gt;"Tarjeta de crédito"),"⚠ El destino debe ser tarjeta de crédito",IF(AND(P2887="Gasto",E2887="Depósitos y retiros"),"⚠ Usa tipo Transferencia",IF(AND(P2887="Resultado trading",AD2887&lt;&gt;"Cuenta de trading"),"⚠ Usa una cuenta de trading",IF(AND(G2887&lt;=0,P2887&lt;&gt;"Ajuste",P2887&lt;&gt;"Resultado trading"),"⚠ El monto debe ser positivo","✓")))))))))))))))</f>
        <v/>
      </c>
      <c r="P2887" s="52">
        <f>IF(OR(B2887="",G2887=""),"",IF(C2887="","Gasto",C2887))</f>
        <v/>
      </c>
      <c r="Q2887" s="52">
        <f>IF(P2887="","",IF(J2887&lt;&gt;"",J2887,CuentaPred&amp;""))</f>
        <v/>
      </c>
      <c r="R2887" s="52">
        <f>IF(P2887="","",IF(ISNUMBER(I2887),I2887,TasaUSD))</f>
        <v/>
      </c>
      <c r="S2887" s="53">
        <f>IF(P2887="","",IF(H2887="USD",G2887*R2887,G2887))</f>
        <v/>
      </c>
      <c r="T2887" s="53">
        <f>IF(P2887="","",IF(H2887="USD",G2887,IF(R2887&gt;0,G2887/R2887,0)))</f>
        <v/>
      </c>
      <c r="U2887" s="53">
        <f>IF(P2887="","",IF(P2887="Gasto",S2887,IF(P2887="Reembolso",-S2887,0)))</f>
        <v/>
      </c>
      <c r="V2887" s="53">
        <f>IF(P2887="","",IF(P2887="Ingreso",S2887,0))</f>
        <v/>
      </c>
      <c r="W2887" s="53">
        <f>IF(P2887="","",IF(P2887="Resultado trading",S2887,0))</f>
        <v/>
      </c>
      <c r="X2887" s="52">
        <f>IF(OR(P2887="Gasto",P2887="Reembolso"),IF(M2887&lt;&gt;"",M2887,IFERROR(INDEX(catClasif,MATCH(D2887&amp;"|"&amp;E2887,catClave,0))&amp;"","Variable")),"")</f>
        <v/>
      </c>
      <c r="Y2887" s="52">
        <f>IF(P2887="","",IFERROR(INDEX(catGrupo,MATCH(D2887&amp;"|"&amp;E2887,catClave,0))&amp;"",""))</f>
        <v/>
      </c>
      <c r="Z2887" s="52">
        <f>IF(P2887="","",WEEKDAY(B2887,2))</f>
        <v/>
      </c>
      <c r="AA2887" s="52">
        <f>IF(P2887="","",IF(AND(P2887="Gasto",X2887="Variable",D2887&lt;&gt;catTrading,S2887&gt;0,S2887&lt;=Umbral),1,0))</f>
        <v/>
      </c>
      <c r="AB2887" s="52">
        <f>IF(OR(P2887="",Q2887=""),"",IFERROR(IF(INDEX(ctaVinc,MATCH(Q2887,ctaNombre,0))&amp;""&lt;&gt;"",INDEX(ctaVinc,MATCH(Q2887,ctaNombre,0))&amp;"",Q2887),Q2887))</f>
        <v/>
      </c>
      <c r="AC2887" s="52">
        <f>IF(OR(K2887="",AND(P2887&lt;&gt;"Transferencia",P2887&lt;&gt;"Pago tarjeta")),"",IFERROR(IF(INDEX(ctaVinc,MATCH(K2887,ctaNombre,0))&amp;""&lt;&gt;"",INDEX(ctaVinc,MATCH(K2887,ctaNombre,0))&amp;"",K2887),K2887))</f>
        <v/>
      </c>
      <c r="AD2887" s="52">
        <f>IF(AB2887="","",IFERROR(INDEX(ctaTipo,MATCH(AB2887,ctaNombre,0))&amp;"",""))</f>
        <v/>
      </c>
      <c r="AE2887" s="52">
        <f>IF(AC2887="","",IFERROR(INDEX(ctaTipo,MATCH(AC2887,ctaNombre,0))&amp;"",""))</f>
        <v/>
      </c>
      <c r="AF2887" s="53">
        <f>IF(OR(P2887="",AB2887=""),"",IF(OR(P2887="Gasto",P2887="Transferencia",P2887="Pago tarjeta"),-1,1)*IF(IFERROR(INDEX(ctaMoneda,MATCH(AB2887,ctaNombre,0))&amp;"","DOP")="USD",T2887,S2887))</f>
        <v/>
      </c>
      <c r="AG2887" s="53">
        <f>IF(AC2887="","",IF(IFERROR(INDEX(ctaMoneda,MATCH(AC2887,ctaNombre,0))&amp;"","DOP")="USD",T2887,S2887))</f>
        <v/>
      </c>
      <c r="AH2887" s="53">
        <f>IF(P2887="","",IF(AND(AD2887&lt;&gt;"",COUNTIFS(tcTipo,AD2887,tcLiq,"Sí")&gt;0),IF(OR(P2887="Gasto",P2887="Transferencia",P2887="Pago tarjeta"),-1,1)*S2887,0)+IF(AND(AE2887&lt;&gt;"",COUNTIFS(tcTipo,AE2887,tcLiq,"Sí")&gt;0),S2887,0))</f>
        <v/>
      </c>
      <c r="AI2887" s="52">
        <f>IF(OR(L2887="",P2887=""),"",IF(COUNTIFS(L$6:L2887,L2887,P$6:P2887,"?*")=1,MAX(AI$5:AI2886)+1,""))</f>
        <v/>
      </c>
    </row>
    <row r="2888">
      <c r="B2888" s="47" t="n"/>
      <c r="C2888" s="48" t="n"/>
      <c r="D2888" s="48" t="n"/>
      <c r="E2888" s="48" t="n"/>
      <c r="F2888" s="48" t="n"/>
      <c r="G2888" s="49" t="n"/>
      <c r="H2888" s="48" t="n"/>
      <c r="I2888" s="50" t="n"/>
      <c r="J2888" s="48" t="n"/>
      <c r="K2888" s="48" t="n"/>
      <c r="L2888" s="48" t="n"/>
      <c r="M2888" s="48" t="n"/>
      <c r="N2888" s="48" t="n"/>
      <c r="O2888" s="51">
        <f>IF(AND(B2888="",G2888="",C2888="",D2888="",J2888=""),"",IF(B2888="","⚠ Falta fecha",IF(G2888="","⚠ Falta monto",IF(Q2888="","⚠ Falta cuenta",IF(ISNA(MATCH(Q2888,ctaNombre,0)),"⚠ Cuenta no registrada",IF(AND(OR(P2888="Gasto",P2888="Reembolso"),D2888=""),"⚠ Falta categoría",IF(AND(D2888&lt;&gt;"",E2888&lt;&gt;"",ISNA(MATCH(D2888&amp;"|"&amp;E2888,catClave,0))),"⚠ Subcategoría no corresponde",IF(AND(OR(P2888="Transferencia",P2888="Pago tarjeta"),K2888=""),"⚠ Falta cuenta destino",IF(AND(K2888&lt;&gt;"",P2888&lt;&gt;"Transferencia",P2888&lt;&gt;"Pago tarjeta"),"⚠ Destino solo aplica a transferencias",IF(AND(K2888&lt;&gt;"",K2888=Q2888),"⚠ Origen igual a destino",IF(AND(K2888&lt;&gt;"",ISNA(MATCH(K2888,ctaNombre,0))),"⚠ Destino no registrado",IF(AND(P2888="Pago tarjeta",AE2888&lt;&gt;"Tarjeta de crédito"),"⚠ El destino debe ser tarjeta de crédito",IF(AND(P2888="Gasto",E2888="Depósitos y retiros"),"⚠ Usa tipo Transferencia",IF(AND(P2888="Resultado trading",AD2888&lt;&gt;"Cuenta de trading"),"⚠ Usa una cuenta de trading",IF(AND(G2888&lt;=0,P2888&lt;&gt;"Ajuste",P2888&lt;&gt;"Resultado trading"),"⚠ El monto debe ser positivo","✓")))))))))))))))</f>
        <v/>
      </c>
      <c r="P2888" s="52">
        <f>IF(OR(B2888="",G2888=""),"",IF(C2888="","Gasto",C2888))</f>
        <v/>
      </c>
      <c r="Q2888" s="52">
        <f>IF(P2888="","",IF(J2888&lt;&gt;"",J2888,CuentaPred&amp;""))</f>
        <v/>
      </c>
      <c r="R2888" s="52">
        <f>IF(P2888="","",IF(ISNUMBER(I2888),I2888,TasaUSD))</f>
        <v/>
      </c>
      <c r="S2888" s="53">
        <f>IF(P2888="","",IF(H2888="USD",G2888*R2888,G2888))</f>
        <v/>
      </c>
      <c r="T2888" s="53">
        <f>IF(P2888="","",IF(H2888="USD",G2888,IF(R2888&gt;0,G2888/R2888,0)))</f>
        <v/>
      </c>
      <c r="U2888" s="53">
        <f>IF(P2888="","",IF(P2888="Gasto",S2888,IF(P2888="Reembolso",-S2888,0)))</f>
        <v/>
      </c>
      <c r="V2888" s="53">
        <f>IF(P2888="","",IF(P2888="Ingreso",S2888,0))</f>
        <v/>
      </c>
      <c r="W2888" s="53">
        <f>IF(P2888="","",IF(P2888="Resultado trading",S2888,0))</f>
        <v/>
      </c>
      <c r="X2888" s="52">
        <f>IF(OR(P2888="Gasto",P2888="Reembolso"),IF(M2888&lt;&gt;"",M2888,IFERROR(INDEX(catClasif,MATCH(D2888&amp;"|"&amp;E2888,catClave,0))&amp;"","Variable")),"")</f>
        <v/>
      </c>
      <c r="Y2888" s="52">
        <f>IF(P2888="","",IFERROR(INDEX(catGrupo,MATCH(D2888&amp;"|"&amp;E2888,catClave,0))&amp;"",""))</f>
        <v/>
      </c>
      <c r="Z2888" s="52">
        <f>IF(P2888="","",WEEKDAY(B2888,2))</f>
        <v/>
      </c>
      <c r="AA2888" s="52">
        <f>IF(P2888="","",IF(AND(P2888="Gasto",X2888="Variable",D2888&lt;&gt;catTrading,S2888&gt;0,S2888&lt;=Umbral),1,0))</f>
        <v/>
      </c>
      <c r="AB2888" s="52">
        <f>IF(OR(P2888="",Q2888=""),"",IFERROR(IF(INDEX(ctaVinc,MATCH(Q2888,ctaNombre,0))&amp;""&lt;&gt;"",INDEX(ctaVinc,MATCH(Q2888,ctaNombre,0))&amp;"",Q2888),Q2888))</f>
        <v/>
      </c>
      <c r="AC2888" s="52">
        <f>IF(OR(K2888="",AND(P2888&lt;&gt;"Transferencia",P2888&lt;&gt;"Pago tarjeta")),"",IFERROR(IF(INDEX(ctaVinc,MATCH(K2888,ctaNombre,0))&amp;""&lt;&gt;"",INDEX(ctaVinc,MATCH(K2888,ctaNombre,0))&amp;"",K2888),K2888))</f>
        <v/>
      </c>
      <c r="AD2888" s="52">
        <f>IF(AB2888="","",IFERROR(INDEX(ctaTipo,MATCH(AB2888,ctaNombre,0))&amp;"",""))</f>
        <v/>
      </c>
      <c r="AE2888" s="52">
        <f>IF(AC2888="","",IFERROR(INDEX(ctaTipo,MATCH(AC2888,ctaNombre,0))&amp;"",""))</f>
        <v/>
      </c>
      <c r="AF2888" s="53">
        <f>IF(OR(P2888="",AB2888=""),"",IF(OR(P2888="Gasto",P2888="Transferencia",P2888="Pago tarjeta"),-1,1)*IF(IFERROR(INDEX(ctaMoneda,MATCH(AB2888,ctaNombre,0))&amp;"","DOP")="USD",T2888,S2888))</f>
        <v/>
      </c>
      <c r="AG2888" s="53">
        <f>IF(AC2888="","",IF(IFERROR(INDEX(ctaMoneda,MATCH(AC2888,ctaNombre,0))&amp;"","DOP")="USD",T2888,S2888))</f>
        <v/>
      </c>
      <c r="AH2888" s="53">
        <f>IF(P2888="","",IF(AND(AD2888&lt;&gt;"",COUNTIFS(tcTipo,AD2888,tcLiq,"Sí")&gt;0),IF(OR(P2888="Gasto",P2888="Transferencia",P2888="Pago tarjeta"),-1,1)*S2888,0)+IF(AND(AE2888&lt;&gt;"",COUNTIFS(tcTipo,AE2888,tcLiq,"Sí")&gt;0),S2888,0))</f>
        <v/>
      </c>
      <c r="AI2888" s="52">
        <f>IF(OR(L2888="",P2888=""),"",IF(COUNTIFS(L$6:L2888,L2888,P$6:P2888,"?*")=1,MAX(AI$5:AI2887)+1,""))</f>
        <v/>
      </c>
    </row>
    <row r="2889">
      <c r="B2889" s="47" t="n"/>
      <c r="C2889" s="48" t="n"/>
      <c r="D2889" s="48" t="n"/>
      <c r="E2889" s="48" t="n"/>
      <c r="F2889" s="48" t="n"/>
      <c r="G2889" s="49" t="n"/>
      <c r="H2889" s="48" t="n"/>
      <c r="I2889" s="50" t="n"/>
      <c r="J2889" s="48" t="n"/>
      <c r="K2889" s="48" t="n"/>
      <c r="L2889" s="48" t="n"/>
      <c r="M2889" s="48" t="n"/>
      <c r="N2889" s="48" t="n"/>
      <c r="O2889" s="51">
        <f>IF(AND(B2889="",G2889="",C2889="",D2889="",J2889=""),"",IF(B2889="","⚠ Falta fecha",IF(G2889="","⚠ Falta monto",IF(Q2889="","⚠ Falta cuenta",IF(ISNA(MATCH(Q2889,ctaNombre,0)),"⚠ Cuenta no registrada",IF(AND(OR(P2889="Gasto",P2889="Reembolso"),D2889=""),"⚠ Falta categoría",IF(AND(D2889&lt;&gt;"",E2889&lt;&gt;"",ISNA(MATCH(D2889&amp;"|"&amp;E2889,catClave,0))),"⚠ Subcategoría no corresponde",IF(AND(OR(P2889="Transferencia",P2889="Pago tarjeta"),K2889=""),"⚠ Falta cuenta destino",IF(AND(K2889&lt;&gt;"",P2889&lt;&gt;"Transferencia",P2889&lt;&gt;"Pago tarjeta"),"⚠ Destino solo aplica a transferencias",IF(AND(K2889&lt;&gt;"",K2889=Q2889),"⚠ Origen igual a destino",IF(AND(K2889&lt;&gt;"",ISNA(MATCH(K2889,ctaNombre,0))),"⚠ Destino no registrado",IF(AND(P2889="Pago tarjeta",AE2889&lt;&gt;"Tarjeta de crédito"),"⚠ El destino debe ser tarjeta de crédito",IF(AND(P2889="Gasto",E2889="Depósitos y retiros"),"⚠ Usa tipo Transferencia",IF(AND(P2889="Resultado trading",AD2889&lt;&gt;"Cuenta de trading"),"⚠ Usa una cuenta de trading",IF(AND(G2889&lt;=0,P2889&lt;&gt;"Ajuste",P2889&lt;&gt;"Resultado trading"),"⚠ El monto debe ser positivo","✓")))))))))))))))</f>
        <v/>
      </c>
      <c r="P2889" s="52">
        <f>IF(OR(B2889="",G2889=""),"",IF(C2889="","Gasto",C2889))</f>
        <v/>
      </c>
      <c r="Q2889" s="52">
        <f>IF(P2889="","",IF(J2889&lt;&gt;"",J2889,CuentaPred&amp;""))</f>
        <v/>
      </c>
      <c r="R2889" s="52">
        <f>IF(P2889="","",IF(ISNUMBER(I2889),I2889,TasaUSD))</f>
        <v/>
      </c>
      <c r="S2889" s="53">
        <f>IF(P2889="","",IF(H2889="USD",G2889*R2889,G2889))</f>
        <v/>
      </c>
      <c r="T2889" s="53">
        <f>IF(P2889="","",IF(H2889="USD",G2889,IF(R2889&gt;0,G2889/R2889,0)))</f>
        <v/>
      </c>
      <c r="U2889" s="53">
        <f>IF(P2889="","",IF(P2889="Gasto",S2889,IF(P2889="Reembolso",-S2889,0)))</f>
        <v/>
      </c>
      <c r="V2889" s="53">
        <f>IF(P2889="","",IF(P2889="Ingreso",S2889,0))</f>
        <v/>
      </c>
      <c r="W2889" s="53">
        <f>IF(P2889="","",IF(P2889="Resultado trading",S2889,0))</f>
        <v/>
      </c>
      <c r="X2889" s="52">
        <f>IF(OR(P2889="Gasto",P2889="Reembolso"),IF(M2889&lt;&gt;"",M2889,IFERROR(INDEX(catClasif,MATCH(D2889&amp;"|"&amp;E2889,catClave,0))&amp;"","Variable")),"")</f>
        <v/>
      </c>
      <c r="Y2889" s="52">
        <f>IF(P2889="","",IFERROR(INDEX(catGrupo,MATCH(D2889&amp;"|"&amp;E2889,catClave,0))&amp;"",""))</f>
        <v/>
      </c>
      <c r="Z2889" s="52">
        <f>IF(P2889="","",WEEKDAY(B2889,2))</f>
        <v/>
      </c>
      <c r="AA2889" s="52">
        <f>IF(P2889="","",IF(AND(P2889="Gasto",X2889="Variable",D2889&lt;&gt;catTrading,S2889&gt;0,S2889&lt;=Umbral),1,0))</f>
        <v/>
      </c>
      <c r="AB2889" s="52">
        <f>IF(OR(P2889="",Q2889=""),"",IFERROR(IF(INDEX(ctaVinc,MATCH(Q2889,ctaNombre,0))&amp;""&lt;&gt;"",INDEX(ctaVinc,MATCH(Q2889,ctaNombre,0))&amp;"",Q2889),Q2889))</f>
        <v/>
      </c>
      <c r="AC2889" s="52">
        <f>IF(OR(K2889="",AND(P2889&lt;&gt;"Transferencia",P2889&lt;&gt;"Pago tarjeta")),"",IFERROR(IF(INDEX(ctaVinc,MATCH(K2889,ctaNombre,0))&amp;""&lt;&gt;"",INDEX(ctaVinc,MATCH(K2889,ctaNombre,0))&amp;"",K2889),K2889))</f>
        <v/>
      </c>
      <c r="AD2889" s="52">
        <f>IF(AB2889="","",IFERROR(INDEX(ctaTipo,MATCH(AB2889,ctaNombre,0))&amp;"",""))</f>
        <v/>
      </c>
      <c r="AE2889" s="52">
        <f>IF(AC2889="","",IFERROR(INDEX(ctaTipo,MATCH(AC2889,ctaNombre,0))&amp;"",""))</f>
        <v/>
      </c>
      <c r="AF2889" s="53">
        <f>IF(OR(P2889="",AB2889=""),"",IF(OR(P2889="Gasto",P2889="Transferencia",P2889="Pago tarjeta"),-1,1)*IF(IFERROR(INDEX(ctaMoneda,MATCH(AB2889,ctaNombre,0))&amp;"","DOP")="USD",T2889,S2889))</f>
        <v/>
      </c>
      <c r="AG2889" s="53">
        <f>IF(AC2889="","",IF(IFERROR(INDEX(ctaMoneda,MATCH(AC2889,ctaNombre,0))&amp;"","DOP")="USD",T2889,S2889))</f>
        <v/>
      </c>
      <c r="AH2889" s="53">
        <f>IF(P2889="","",IF(AND(AD2889&lt;&gt;"",COUNTIFS(tcTipo,AD2889,tcLiq,"Sí")&gt;0),IF(OR(P2889="Gasto",P2889="Transferencia",P2889="Pago tarjeta"),-1,1)*S2889,0)+IF(AND(AE2889&lt;&gt;"",COUNTIFS(tcTipo,AE2889,tcLiq,"Sí")&gt;0),S2889,0))</f>
        <v/>
      </c>
      <c r="AI2889" s="52">
        <f>IF(OR(L2889="",P2889=""),"",IF(COUNTIFS(L$6:L2889,L2889,P$6:P2889,"?*")=1,MAX(AI$5:AI2888)+1,""))</f>
        <v/>
      </c>
    </row>
    <row r="2890">
      <c r="B2890" s="47" t="n"/>
      <c r="C2890" s="48" t="n"/>
      <c r="D2890" s="48" t="n"/>
      <c r="E2890" s="48" t="n"/>
      <c r="F2890" s="48" t="n"/>
      <c r="G2890" s="49" t="n"/>
      <c r="H2890" s="48" t="n"/>
      <c r="I2890" s="50" t="n"/>
      <c r="J2890" s="48" t="n"/>
      <c r="K2890" s="48" t="n"/>
      <c r="L2890" s="48" t="n"/>
      <c r="M2890" s="48" t="n"/>
      <c r="N2890" s="48" t="n"/>
      <c r="O2890" s="51">
        <f>IF(AND(B2890="",G2890="",C2890="",D2890="",J2890=""),"",IF(B2890="","⚠ Falta fecha",IF(G2890="","⚠ Falta monto",IF(Q2890="","⚠ Falta cuenta",IF(ISNA(MATCH(Q2890,ctaNombre,0)),"⚠ Cuenta no registrada",IF(AND(OR(P2890="Gasto",P2890="Reembolso"),D2890=""),"⚠ Falta categoría",IF(AND(D2890&lt;&gt;"",E2890&lt;&gt;"",ISNA(MATCH(D2890&amp;"|"&amp;E2890,catClave,0))),"⚠ Subcategoría no corresponde",IF(AND(OR(P2890="Transferencia",P2890="Pago tarjeta"),K2890=""),"⚠ Falta cuenta destino",IF(AND(K2890&lt;&gt;"",P2890&lt;&gt;"Transferencia",P2890&lt;&gt;"Pago tarjeta"),"⚠ Destino solo aplica a transferencias",IF(AND(K2890&lt;&gt;"",K2890=Q2890),"⚠ Origen igual a destino",IF(AND(K2890&lt;&gt;"",ISNA(MATCH(K2890,ctaNombre,0))),"⚠ Destino no registrado",IF(AND(P2890="Pago tarjeta",AE2890&lt;&gt;"Tarjeta de crédito"),"⚠ El destino debe ser tarjeta de crédito",IF(AND(P2890="Gasto",E2890="Depósitos y retiros"),"⚠ Usa tipo Transferencia",IF(AND(P2890="Resultado trading",AD2890&lt;&gt;"Cuenta de trading"),"⚠ Usa una cuenta de trading",IF(AND(G2890&lt;=0,P2890&lt;&gt;"Ajuste",P2890&lt;&gt;"Resultado trading"),"⚠ El monto debe ser positivo","✓")))))))))))))))</f>
        <v/>
      </c>
      <c r="P2890" s="52">
        <f>IF(OR(B2890="",G2890=""),"",IF(C2890="","Gasto",C2890))</f>
        <v/>
      </c>
      <c r="Q2890" s="52">
        <f>IF(P2890="","",IF(J2890&lt;&gt;"",J2890,CuentaPred&amp;""))</f>
        <v/>
      </c>
      <c r="R2890" s="52">
        <f>IF(P2890="","",IF(ISNUMBER(I2890),I2890,TasaUSD))</f>
        <v/>
      </c>
      <c r="S2890" s="53">
        <f>IF(P2890="","",IF(H2890="USD",G2890*R2890,G2890))</f>
        <v/>
      </c>
      <c r="T2890" s="53">
        <f>IF(P2890="","",IF(H2890="USD",G2890,IF(R2890&gt;0,G2890/R2890,0)))</f>
        <v/>
      </c>
      <c r="U2890" s="53">
        <f>IF(P2890="","",IF(P2890="Gasto",S2890,IF(P2890="Reembolso",-S2890,0)))</f>
        <v/>
      </c>
      <c r="V2890" s="53">
        <f>IF(P2890="","",IF(P2890="Ingreso",S2890,0))</f>
        <v/>
      </c>
      <c r="W2890" s="53">
        <f>IF(P2890="","",IF(P2890="Resultado trading",S2890,0))</f>
        <v/>
      </c>
      <c r="X2890" s="52">
        <f>IF(OR(P2890="Gasto",P2890="Reembolso"),IF(M2890&lt;&gt;"",M2890,IFERROR(INDEX(catClasif,MATCH(D2890&amp;"|"&amp;E2890,catClave,0))&amp;"","Variable")),"")</f>
        <v/>
      </c>
      <c r="Y2890" s="52">
        <f>IF(P2890="","",IFERROR(INDEX(catGrupo,MATCH(D2890&amp;"|"&amp;E2890,catClave,0))&amp;"",""))</f>
        <v/>
      </c>
      <c r="Z2890" s="52">
        <f>IF(P2890="","",WEEKDAY(B2890,2))</f>
        <v/>
      </c>
      <c r="AA2890" s="52">
        <f>IF(P2890="","",IF(AND(P2890="Gasto",X2890="Variable",D2890&lt;&gt;catTrading,S2890&gt;0,S2890&lt;=Umbral),1,0))</f>
        <v/>
      </c>
      <c r="AB2890" s="52">
        <f>IF(OR(P2890="",Q2890=""),"",IFERROR(IF(INDEX(ctaVinc,MATCH(Q2890,ctaNombre,0))&amp;""&lt;&gt;"",INDEX(ctaVinc,MATCH(Q2890,ctaNombre,0))&amp;"",Q2890),Q2890))</f>
        <v/>
      </c>
      <c r="AC2890" s="52">
        <f>IF(OR(K2890="",AND(P2890&lt;&gt;"Transferencia",P2890&lt;&gt;"Pago tarjeta")),"",IFERROR(IF(INDEX(ctaVinc,MATCH(K2890,ctaNombre,0))&amp;""&lt;&gt;"",INDEX(ctaVinc,MATCH(K2890,ctaNombre,0))&amp;"",K2890),K2890))</f>
        <v/>
      </c>
      <c r="AD2890" s="52">
        <f>IF(AB2890="","",IFERROR(INDEX(ctaTipo,MATCH(AB2890,ctaNombre,0))&amp;"",""))</f>
        <v/>
      </c>
      <c r="AE2890" s="52">
        <f>IF(AC2890="","",IFERROR(INDEX(ctaTipo,MATCH(AC2890,ctaNombre,0))&amp;"",""))</f>
        <v/>
      </c>
      <c r="AF2890" s="53">
        <f>IF(OR(P2890="",AB2890=""),"",IF(OR(P2890="Gasto",P2890="Transferencia",P2890="Pago tarjeta"),-1,1)*IF(IFERROR(INDEX(ctaMoneda,MATCH(AB2890,ctaNombre,0))&amp;"","DOP")="USD",T2890,S2890))</f>
        <v/>
      </c>
      <c r="AG2890" s="53">
        <f>IF(AC2890="","",IF(IFERROR(INDEX(ctaMoneda,MATCH(AC2890,ctaNombre,0))&amp;"","DOP")="USD",T2890,S2890))</f>
        <v/>
      </c>
      <c r="AH2890" s="53">
        <f>IF(P2890="","",IF(AND(AD2890&lt;&gt;"",COUNTIFS(tcTipo,AD2890,tcLiq,"Sí")&gt;0),IF(OR(P2890="Gasto",P2890="Transferencia",P2890="Pago tarjeta"),-1,1)*S2890,0)+IF(AND(AE2890&lt;&gt;"",COUNTIFS(tcTipo,AE2890,tcLiq,"Sí")&gt;0),S2890,0))</f>
        <v/>
      </c>
      <c r="AI2890" s="52">
        <f>IF(OR(L2890="",P2890=""),"",IF(COUNTIFS(L$6:L2890,L2890,P$6:P2890,"?*")=1,MAX(AI$5:AI2889)+1,""))</f>
        <v/>
      </c>
    </row>
    <row r="2891">
      <c r="B2891" s="47" t="n"/>
      <c r="C2891" s="48" t="n"/>
      <c r="D2891" s="48" t="n"/>
      <c r="E2891" s="48" t="n"/>
      <c r="F2891" s="48" t="n"/>
      <c r="G2891" s="49" t="n"/>
      <c r="H2891" s="48" t="n"/>
      <c r="I2891" s="50" t="n"/>
      <c r="J2891" s="48" t="n"/>
      <c r="K2891" s="48" t="n"/>
      <c r="L2891" s="48" t="n"/>
      <c r="M2891" s="48" t="n"/>
      <c r="N2891" s="48" t="n"/>
      <c r="O2891" s="51">
        <f>IF(AND(B2891="",G2891="",C2891="",D2891="",J2891=""),"",IF(B2891="","⚠ Falta fecha",IF(G2891="","⚠ Falta monto",IF(Q2891="","⚠ Falta cuenta",IF(ISNA(MATCH(Q2891,ctaNombre,0)),"⚠ Cuenta no registrada",IF(AND(OR(P2891="Gasto",P2891="Reembolso"),D2891=""),"⚠ Falta categoría",IF(AND(D2891&lt;&gt;"",E2891&lt;&gt;"",ISNA(MATCH(D2891&amp;"|"&amp;E2891,catClave,0))),"⚠ Subcategoría no corresponde",IF(AND(OR(P2891="Transferencia",P2891="Pago tarjeta"),K2891=""),"⚠ Falta cuenta destino",IF(AND(K2891&lt;&gt;"",P2891&lt;&gt;"Transferencia",P2891&lt;&gt;"Pago tarjeta"),"⚠ Destino solo aplica a transferencias",IF(AND(K2891&lt;&gt;"",K2891=Q2891),"⚠ Origen igual a destino",IF(AND(K2891&lt;&gt;"",ISNA(MATCH(K2891,ctaNombre,0))),"⚠ Destino no registrado",IF(AND(P2891="Pago tarjeta",AE2891&lt;&gt;"Tarjeta de crédito"),"⚠ El destino debe ser tarjeta de crédito",IF(AND(P2891="Gasto",E2891="Depósitos y retiros"),"⚠ Usa tipo Transferencia",IF(AND(P2891="Resultado trading",AD2891&lt;&gt;"Cuenta de trading"),"⚠ Usa una cuenta de trading",IF(AND(G2891&lt;=0,P2891&lt;&gt;"Ajuste",P2891&lt;&gt;"Resultado trading"),"⚠ El monto debe ser positivo","✓")))))))))))))))</f>
        <v/>
      </c>
      <c r="P2891" s="52">
        <f>IF(OR(B2891="",G2891=""),"",IF(C2891="","Gasto",C2891))</f>
        <v/>
      </c>
      <c r="Q2891" s="52">
        <f>IF(P2891="","",IF(J2891&lt;&gt;"",J2891,CuentaPred&amp;""))</f>
        <v/>
      </c>
      <c r="R2891" s="52">
        <f>IF(P2891="","",IF(ISNUMBER(I2891),I2891,TasaUSD))</f>
        <v/>
      </c>
      <c r="S2891" s="53">
        <f>IF(P2891="","",IF(H2891="USD",G2891*R2891,G2891))</f>
        <v/>
      </c>
      <c r="T2891" s="53">
        <f>IF(P2891="","",IF(H2891="USD",G2891,IF(R2891&gt;0,G2891/R2891,0)))</f>
        <v/>
      </c>
      <c r="U2891" s="53">
        <f>IF(P2891="","",IF(P2891="Gasto",S2891,IF(P2891="Reembolso",-S2891,0)))</f>
        <v/>
      </c>
      <c r="V2891" s="53">
        <f>IF(P2891="","",IF(P2891="Ingreso",S2891,0))</f>
        <v/>
      </c>
      <c r="W2891" s="53">
        <f>IF(P2891="","",IF(P2891="Resultado trading",S2891,0))</f>
        <v/>
      </c>
      <c r="X2891" s="52">
        <f>IF(OR(P2891="Gasto",P2891="Reembolso"),IF(M2891&lt;&gt;"",M2891,IFERROR(INDEX(catClasif,MATCH(D2891&amp;"|"&amp;E2891,catClave,0))&amp;"","Variable")),"")</f>
        <v/>
      </c>
      <c r="Y2891" s="52">
        <f>IF(P2891="","",IFERROR(INDEX(catGrupo,MATCH(D2891&amp;"|"&amp;E2891,catClave,0))&amp;"",""))</f>
        <v/>
      </c>
      <c r="Z2891" s="52">
        <f>IF(P2891="","",WEEKDAY(B2891,2))</f>
        <v/>
      </c>
      <c r="AA2891" s="52">
        <f>IF(P2891="","",IF(AND(P2891="Gasto",X2891="Variable",D2891&lt;&gt;catTrading,S2891&gt;0,S2891&lt;=Umbral),1,0))</f>
        <v/>
      </c>
      <c r="AB2891" s="52">
        <f>IF(OR(P2891="",Q2891=""),"",IFERROR(IF(INDEX(ctaVinc,MATCH(Q2891,ctaNombre,0))&amp;""&lt;&gt;"",INDEX(ctaVinc,MATCH(Q2891,ctaNombre,0))&amp;"",Q2891),Q2891))</f>
        <v/>
      </c>
      <c r="AC2891" s="52">
        <f>IF(OR(K2891="",AND(P2891&lt;&gt;"Transferencia",P2891&lt;&gt;"Pago tarjeta")),"",IFERROR(IF(INDEX(ctaVinc,MATCH(K2891,ctaNombre,0))&amp;""&lt;&gt;"",INDEX(ctaVinc,MATCH(K2891,ctaNombre,0))&amp;"",K2891),K2891))</f>
        <v/>
      </c>
      <c r="AD2891" s="52">
        <f>IF(AB2891="","",IFERROR(INDEX(ctaTipo,MATCH(AB2891,ctaNombre,0))&amp;"",""))</f>
        <v/>
      </c>
      <c r="AE2891" s="52">
        <f>IF(AC2891="","",IFERROR(INDEX(ctaTipo,MATCH(AC2891,ctaNombre,0))&amp;"",""))</f>
        <v/>
      </c>
      <c r="AF2891" s="53">
        <f>IF(OR(P2891="",AB2891=""),"",IF(OR(P2891="Gasto",P2891="Transferencia",P2891="Pago tarjeta"),-1,1)*IF(IFERROR(INDEX(ctaMoneda,MATCH(AB2891,ctaNombre,0))&amp;"","DOP")="USD",T2891,S2891))</f>
        <v/>
      </c>
      <c r="AG2891" s="53">
        <f>IF(AC2891="","",IF(IFERROR(INDEX(ctaMoneda,MATCH(AC2891,ctaNombre,0))&amp;"","DOP")="USD",T2891,S2891))</f>
        <v/>
      </c>
      <c r="AH2891" s="53">
        <f>IF(P2891="","",IF(AND(AD2891&lt;&gt;"",COUNTIFS(tcTipo,AD2891,tcLiq,"Sí")&gt;0),IF(OR(P2891="Gasto",P2891="Transferencia",P2891="Pago tarjeta"),-1,1)*S2891,0)+IF(AND(AE2891&lt;&gt;"",COUNTIFS(tcTipo,AE2891,tcLiq,"Sí")&gt;0),S2891,0))</f>
        <v/>
      </c>
      <c r="AI2891" s="52">
        <f>IF(OR(L2891="",P2891=""),"",IF(COUNTIFS(L$6:L2891,L2891,P$6:P2891,"?*")=1,MAX(AI$5:AI2890)+1,""))</f>
        <v/>
      </c>
    </row>
    <row r="2892">
      <c r="B2892" s="47" t="n"/>
      <c r="C2892" s="48" t="n"/>
      <c r="D2892" s="48" t="n"/>
      <c r="E2892" s="48" t="n"/>
      <c r="F2892" s="48" t="n"/>
      <c r="G2892" s="49" t="n"/>
      <c r="H2892" s="48" t="n"/>
      <c r="I2892" s="50" t="n"/>
      <c r="J2892" s="48" t="n"/>
      <c r="K2892" s="48" t="n"/>
      <c r="L2892" s="48" t="n"/>
      <c r="M2892" s="48" t="n"/>
      <c r="N2892" s="48" t="n"/>
      <c r="O2892" s="51">
        <f>IF(AND(B2892="",G2892="",C2892="",D2892="",J2892=""),"",IF(B2892="","⚠ Falta fecha",IF(G2892="","⚠ Falta monto",IF(Q2892="","⚠ Falta cuenta",IF(ISNA(MATCH(Q2892,ctaNombre,0)),"⚠ Cuenta no registrada",IF(AND(OR(P2892="Gasto",P2892="Reembolso"),D2892=""),"⚠ Falta categoría",IF(AND(D2892&lt;&gt;"",E2892&lt;&gt;"",ISNA(MATCH(D2892&amp;"|"&amp;E2892,catClave,0))),"⚠ Subcategoría no corresponde",IF(AND(OR(P2892="Transferencia",P2892="Pago tarjeta"),K2892=""),"⚠ Falta cuenta destino",IF(AND(K2892&lt;&gt;"",P2892&lt;&gt;"Transferencia",P2892&lt;&gt;"Pago tarjeta"),"⚠ Destino solo aplica a transferencias",IF(AND(K2892&lt;&gt;"",K2892=Q2892),"⚠ Origen igual a destino",IF(AND(K2892&lt;&gt;"",ISNA(MATCH(K2892,ctaNombre,0))),"⚠ Destino no registrado",IF(AND(P2892="Pago tarjeta",AE2892&lt;&gt;"Tarjeta de crédito"),"⚠ El destino debe ser tarjeta de crédito",IF(AND(P2892="Gasto",E2892="Depósitos y retiros"),"⚠ Usa tipo Transferencia",IF(AND(P2892="Resultado trading",AD2892&lt;&gt;"Cuenta de trading"),"⚠ Usa una cuenta de trading",IF(AND(G2892&lt;=0,P2892&lt;&gt;"Ajuste",P2892&lt;&gt;"Resultado trading"),"⚠ El monto debe ser positivo","✓")))))))))))))))</f>
        <v/>
      </c>
      <c r="P2892" s="52">
        <f>IF(OR(B2892="",G2892=""),"",IF(C2892="","Gasto",C2892))</f>
        <v/>
      </c>
      <c r="Q2892" s="52">
        <f>IF(P2892="","",IF(J2892&lt;&gt;"",J2892,CuentaPred&amp;""))</f>
        <v/>
      </c>
      <c r="R2892" s="52">
        <f>IF(P2892="","",IF(ISNUMBER(I2892),I2892,TasaUSD))</f>
        <v/>
      </c>
      <c r="S2892" s="53">
        <f>IF(P2892="","",IF(H2892="USD",G2892*R2892,G2892))</f>
        <v/>
      </c>
      <c r="T2892" s="53">
        <f>IF(P2892="","",IF(H2892="USD",G2892,IF(R2892&gt;0,G2892/R2892,0)))</f>
        <v/>
      </c>
      <c r="U2892" s="53">
        <f>IF(P2892="","",IF(P2892="Gasto",S2892,IF(P2892="Reembolso",-S2892,0)))</f>
        <v/>
      </c>
      <c r="V2892" s="53">
        <f>IF(P2892="","",IF(P2892="Ingreso",S2892,0))</f>
        <v/>
      </c>
      <c r="W2892" s="53">
        <f>IF(P2892="","",IF(P2892="Resultado trading",S2892,0))</f>
        <v/>
      </c>
      <c r="X2892" s="52">
        <f>IF(OR(P2892="Gasto",P2892="Reembolso"),IF(M2892&lt;&gt;"",M2892,IFERROR(INDEX(catClasif,MATCH(D2892&amp;"|"&amp;E2892,catClave,0))&amp;"","Variable")),"")</f>
        <v/>
      </c>
      <c r="Y2892" s="52">
        <f>IF(P2892="","",IFERROR(INDEX(catGrupo,MATCH(D2892&amp;"|"&amp;E2892,catClave,0))&amp;"",""))</f>
        <v/>
      </c>
      <c r="Z2892" s="52">
        <f>IF(P2892="","",WEEKDAY(B2892,2))</f>
        <v/>
      </c>
      <c r="AA2892" s="52">
        <f>IF(P2892="","",IF(AND(P2892="Gasto",X2892="Variable",D2892&lt;&gt;catTrading,S2892&gt;0,S2892&lt;=Umbral),1,0))</f>
        <v/>
      </c>
      <c r="AB2892" s="52">
        <f>IF(OR(P2892="",Q2892=""),"",IFERROR(IF(INDEX(ctaVinc,MATCH(Q2892,ctaNombre,0))&amp;""&lt;&gt;"",INDEX(ctaVinc,MATCH(Q2892,ctaNombre,0))&amp;"",Q2892),Q2892))</f>
        <v/>
      </c>
      <c r="AC2892" s="52">
        <f>IF(OR(K2892="",AND(P2892&lt;&gt;"Transferencia",P2892&lt;&gt;"Pago tarjeta")),"",IFERROR(IF(INDEX(ctaVinc,MATCH(K2892,ctaNombre,0))&amp;""&lt;&gt;"",INDEX(ctaVinc,MATCH(K2892,ctaNombre,0))&amp;"",K2892),K2892))</f>
        <v/>
      </c>
      <c r="AD2892" s="52">
        <f>IF(AB2892="","",IFERROR(INDEX(ctaTipo,MATCH(AB2892,ctaNombre,0))&amp;"",""))</f>
        <v/>
      </c>
      <c r="AE2892" s="52">
        <f>IF(AC2892="","",IFERROR(INDEX(ctaTipo,MATCH(AC2892,ctaNombre,0))&amp;"",""))</f>
        <v/>
      </c>
      <c r="AF2892" s="53">
        <f>IF(OR(P2892="",AB2892=""),"",IF(OR(P2892="Gasto",P2892="Transferencia",P2892="Pago tarjeta"),-1,1)*IF(IFERROR(INDEX(ctaMoneda,MATCH(AB2892,ctaNombre,0))&amp;"","DOP")="USD",T2892,S2892))</f>
        <v/>
      </c>
      <c r="AG2892" s="53">
        <f>IF(AC2892="","",IF(IFERROR(INDEX(ctaMoneda,MATCH(AC2892,ctaNombre,0))&amp;"","DOP")="USD",T2892,S2892))</f>
        <v/>
      </c>
      <c r="AH2892" s="53">
        <f>IF(P2892="","",IF(AND(AD2892&lt;&gt;"",COUNTIFS(tcTipo,AD2892,tcLiq,"Sí")&gt;0),IF(OR(P2892="Gasto",P2892="Transferencia",P2892="Pago tarjeta"),-1,1)*S2892,0)+IF(AND(AE2892&lt;&gt;"",COUNTIFS(tcTipo,AE2892,tcLiq,"Sí")&gt;0),S2892,0))</f>
        <v/>
      </c>
      <c r="AI2892" s="52">
        <f>IF(OR(L2892="",P2892=""),"",IF(COUNTIFS(L$6:L2892,L2892,P$6:P2892,"?*")=1,MAX(AI$5:AI2891)+1,""))</f>
        <v/>
      </c>
    </row>
    <row r="2893">
      <c r="B2893" s="47" t="n"/>
      <c r="C2893" s="48" t="n"/>
      <c r="D2893" s="48" t="n"/>
      <c r="E2893" s="48" t="n"/>
      <c r="F2893" s="48" t="n"/>
      <c r="G2893" s="49" t="n"/>
      <c r="H2893" s="48" t="n"/>
      <c r="I2893" s="50" t="n"/>
      <c r="J2893" s="48" t="n"/>
      <c r="K2893" s="48" t="n"/>
      <c r="L2893" s="48" t="n"/>
      <c r="M2893" s="48" t="n"/>
      <c r="N2893" s="48" t="n"/>
      <c r="O2893" s="51">
        <f>IF(AND(B2893="",G2893="",C2893="",D2893="",J2893=""),"",IF(B2893="","⚠ Falta fecha",IF(G2893="","⚠ Falta monto",IF(Q2893="","⚠ Falta cuenta",IF(ISNA(MATCH(Q2893,ctaNombre,0)),"⚠ Cuenta no registrada",IF(AND(OR(P2893="Gasto",P2893="Reembolso"),D2893=""),"⚠ Falta categoría",IF(AND(D2893&lt;&gt;"",E2893&lt;&gt;"",ISNA(MATCH(D2893&amp;"|"&amp;E2893,catClave,0))),"⚠ Subcategoría no corresponde",IF(AND(OR(P2893="Transferencia",P2893="Pago tarjeta"),K2893=""),"⚠ Falta cuenta destino",IF(AND(K2893&lt;&gt;"",P2893&lt;&gt;"Transferencia",P2893&lt;&gt;"Pago tarjeta"),"⚠ Destino solo aplica a transferencias",IF(AND(K2893&lt;&gt;"",K2893=Q2893),"⚠ Origen igual a destino",IF(AND(K2893&lt;&gt;"",ISNA(MATCH(K2893,ctaNombre,0))),"⚠ Destino no registrado",IF(AND(P2893="Pago tarjeta",AE2893&lt;&gt;"Tarjeta de crédito"),"⚠ El destino debe ser tarjeta de crédito",IF(AND(P2893="Gasto",E2893="Depósitos y retiros"),"⚠ Usa tipo Transferencia",IF(AND(P2893="Resultado trading",AD2893&lt;&gt;"Cuenta de trading"),"⚠ Usa una cuenta de trading",IF(AND(G2893&lt;=0,P2893&lt;&gt;"Ajuste",P2893&lt;&gt;"Resultado trading"),"⚠ El monto debe ser positivo","✓")))))))))))))))</f>
        <v/>
      </c>
      <c r="P2893" s="52">
        <f>IF(OR(B2893="",G2893=""),"",IF(C2893="","Gasto",C2893))</f>
        <v/>
      </c>
      <c r="Q2893" s="52">
        <f>IF(P2893="","",IF(J2893&lt;&gt;"",J2893,CuentaPred&amp;""))</f>
        <v/>
      </c>
      <c r="R2893" s="52">
        <f>IF(P2893="","",IF(ISNUMBER(I2893),I2893,TasaUSD))</f>
        <v/>
      </c>
      <c r="S2893" s="53">
        <f>IF(P2893="","",IF(H2893="USD",G2893*R2893,G2893))</f>
        <v/>
      </c>
      <c r="T2893" s="53">
        <f>IF(P2893="","",IF(H2893="USD",G2893,IF(R2893&gt;0,G2893/R2893,0)))</f>
        <v/>
      </c>
      <c r="U2893" s="53">
        <f>IF(P2893="","",IF(P2893="Gasto",S2893,IF(P2893="Reembolso",-S2893,0)))</f>
        <v/>
      </c>
      <c r="V2893" s="53">
        <f>IF(P2893="","",IF(P2893="Ingreso",S2893,0))</f>
        <v/>
      </c>
      <c r="W2893" s="53">
        <f>IF(P2893="","",IF(P2893="Resultado trading",S2893,0))</f>
        <v/>
      </c>
      <c r="X2893" s="52">
        <f>IF(OR(P2893="Gasto",P2893="Reembolso"),IF(M2893&lt;&gt;"",M2893,IFERROR(INDEX(catClasif,MATCH(D2893&amp;"|"&amp;E2893,catClave,0))&amp;"","Variable")),"")</f>
        <v/>
      </c>
      <c r="Y2893" s="52">
        <f>IF(P2893="","",IFERROR(INDEX(catGrupo,MATCH(D2893&amp;"|"&amp;E2893,catClave,0))&amp;"",""))</f>
        <v/>
      </c>
      <c r="Z2893" s="52">
        <f>IF(P2893="","",WEEKDAY(B2893,2))</f>
        <v/>
      </c>
      <c r="AA2893" s="52">
        <f>IF(P2893="","",IF(AND(P2893="Gasto",X2893="Variable",D2893&lt;&gt;catTrading,S2893&gt;0,S2893&lt;=Umbral),1,0))</f>
        <v/>
      </c>
      <c r="AB2893" s="52">
        <f>IF(OR(P2893="",Q2893=""),"",IFERROR(IF(INDEX(ctaVinc,MATCH(Q2893,ctaNombre,0))&amp;""&lt;&gt;"",INDEX(ctaVinc,MATCH(Q2893,ctaNombre,0))&amp;"",Q2893),Q2893))</f>
        <v/>
      </c>
      <c r="AC2893" s="52">
        <f>IF(OR(K2893="",AND(P2893&lt;&gt;"Transferencia",P2893&lt;&gt;"Pago tarjeta")),"",IFERROR(IF(INDEX(ctaVinc,MATCH(K2893,ctaNombre,0))&amp;""&lt;&gt;"",INDEX(ctaVinc,MATCH(K2893,ctaNombre,0))&amp;"",K2893),K2893))</f>
        <v/>
      </c>
      <c r="AD2893" s="52">
        <f>IF(AB2893="","",IFERROR(INDEX(ctaTipo,MATCH(AB2893,ctaNombre,0))&amp;"",""))</f>
        <v/>
      </c>
      <c r="AE2893" s="52">
        <f>IF(AC2893="","",IFERROR(INDEX(ctaTipo,MATCH(AC2893,ctaNombre,0))&amp;"",""))</f>
        <v/>
      </c>
      <c r="AF2893" s="53">
        <f>IF(OR(P2893="",AB2893=""),"",IF(OR(P2893="Gasto",P2893="Transferencia",P2893="Pago tarjeta"),-1,1)*IF(IFERROR(INDEX(ctaMoneda,MATCH(AB2893,ctaNombre,0))&amp;"","DOP")="USD",T2893,S2893))</f>
        <v/>
      </c>
      <c r="AG2893" s="53">
        <f>IF(AC2893="","",IF(IFERROR(INDEX(ctaMoneda,MATCH(AC2893,ctaNombre,0))&amp;"","DOP")="USD",T2893,S2893))</f>
        <v/>
      </c>
      <c r="AH2893" s="53">
        <f>IF(P2893="","",IF(AND(AD2893&lt;&gt;"",COUNTIFS(tcTipo,AD2893,tcLiq,"Sí")&gt;0),IF(OR(P2893="Gasto",P2893="Transferencia",P2893="Pago tarjeta"),-1,1)*S2893,0)+IF(AND(AE2893&lt;&gt;"",COUNTIFS(tcTipo,AE2893,tcLiq,"Sí")&gt;0),S2893,0))</f>
        <v/>
      </c>
      <c r="AI2893" s="52">
        <f>IF(OR(L2893="",P2893=""),"",IF(COUNTIFS(L$6:L2893,L2893,P$6:P2893,"?*")=1,MAX(AI$5:AI2892)+1,""))</f>
        <v/>
      </c>
    </row>
    <row r="2894">
      <c r="B2894" s="47" t="n"/>
      <c r="C2894" s="48" t="n"/>
      <c r="D2894" s="48" t="n"/>
      <c r="E2894" s="48" t="n"/>
      <c r="F2894" s="48" t="n"/>
      <c r="G2894" s="49" t="n"/>
      <c r="H2894" s="48" t="n"/>
      <c r="I2894" s="50" t="n"/>
      <c r="J2894" s="48" t="n"/>
      <c r="K2894" s="48" t="n"/>
      <c r="L2894" s="48" t="n"/>
      <c r="M2894" s="48" t="n"/>
      <c r="N2894" s="48" t="n"/>
      <c r="O2894" s="51">
        <f>IF(AND(B2894="",G2894="",C2894="",D2894="",J2894=""),"",IF(B2894="","⚠ Falta fecha",IF(G2894="","⚠ Falta monto",IF(Q2894="","⚠ Falta cuenta",IF(ISNA(MATCH(Q2894,ctaNombre,0)),"⚠ Cuenta no registrada",IF(AND(OR(P2894="Gasto",P2894="Reembolso"),D2894=""),"⚠ Falta categoría",IF(AND(D2894&lt;&gt;"",E2894&lt;&gt;"",ISNA(MATCH(D2894&amp;"|"&amp;E2894,catClave,0))),"⚠ Subcategoría no corresponde",IF(AND(OR(P2894="Transferencia",P2894="Pago tarjeta"),K2894=""),"⚠ Falta cuenta destino",IF(AND(K2894&lt;&gt;"",P2894&lt;&gt;"Transferencia",P2894&lt;&gt;"Pago tarjeta"),"⚠ Destino solo aplica a transferencias",IF(AND(K2894&lt;&gt;"",K2894=Q2894),"⚠ Origen igual a destino",IF(AND(K2894&lt;&gt;"",ISNA(MATCH(K2894,ctaNombre,0))),"⚠ Destino no registrado",IF(AND(P2894="Pago tarjeta",AE2894&lt;&gt;"Tarjeta de crédito"),"⚠ El destino debe ser tarjeta de crédito",IF(AND(P2894="Gasto",E2894="Depósitos y retiros"),"⚠ Usa tipo Transferencia",IF(AND(P2894="Resultado trading",AD2894&lt;&gt;"Cuenta de trading"),"⚠ Usa una cuenta de trading",IF(AND(G2894&lt;=0,P2894&lt;&gt;"Ajuste",P2894&lt;&gt;"Resultado trading"),"⚠ El monto debe ser positivo","✓")))))))))))))))</f>
        <v/>
      </c>
      <c r="P2894" s="52">
        <f>IF(OR(B2894="",G2894=""),"",IF(C2894="","Gasto",C2894))</f>
        <v/>
      </c>
      <c r="Q2894" s="52">
        <f>IF(P2894="","",IF(J2894&lt;&gt;"",J2894,CuentaPred&amp;""))</f>
        <v/>
      </c>
      <c r="R2894" s="52">
        <f>IF(P2894="","",IF(ISNUMBER(I2894),I2894,TasaUSD))</f>
        <v/>
      </c>
      <c r="S2894" s="53">
        <f>IF(P2894="","",IF(H2894="USD",G2894*R2894,G2894))</f>
        <v/>
      </c>
      <c r="T2894" s="53">
        <f>IF(P2894="","",IF(H2894="USD",G2894,IF(R2894&gt;0,G2894/R2894,0)))</f>
        <v/>
      </c>
      <c r="U2894" s="53">
        <f>IF(P2894="","",IF(P2894="Gasto",S2894,IF(P2894="Reembolso",-S2894,0)))</f>
        <v/>
      </c>
      <c r="V2894" s="53">
        <f>IF(P2894="","",IF(P2894="Ingreso",S2894,0))</f>
        <v/>
      </c>
      <c r="W2894" s="53">
        <f>IF(P2894="","",IF(P2894="Resultado trading",S2894,0))</f>
        <v/>
      </c>
      <c r="X2894" s="52">
        <f>IF(OR(P2894="Gasto",P2894="Reembolso"),IF(M2894&lt;&gt;"",M2894,IFERROR(INDEX(catClasif,MATCH(D2894&amp;"|"&amp;E2894,catClave,0))&amp;"","Variable")),"")</f>
        <v/>
      </c>
      <c r="Y2894" s="52">
        <f>IF(P2894="","",IFERROR(INDEX(catGrupo,MATCH(D2894&amp;"|"&amp;E2894,catClave,0))&amp;"",""))</f>
        <v/>
      </c>
      <c r="Z2894" s="52">
        <f>IF(P2894="","",WEEKDAY(B2894,2))</f>
        <v/>
      </c>
      <c r="AA2894" s="52">
        <f>IF(P2894="","",IF(AND(P2894="Gasto",X2894="Variable",D2894&lt;&gt;catTrading,S2894&gt;0,S2894&lt;=Umbral),1,0))</f>
        <v/>
      </c>
      <c r="AB2894" s="52">
        <f>IF(OR(P2894="",Q2894=""),"",IFERROR(IF(INDEX(ctaVinc,MATCH(Q2894,ctaNombre,0))&amp;""&lt;&gt;"",INDEX(ctaVinc,MATCH(Q2894,ctaNombre,0))&amp;"",Q2894),Q2894))</f>
        <v/>
      </c>
      <c r="AC2894" s="52">
        <f>IF(OR(K2894="",AND(P2894&lt;&gt;"Transferencia",P2894&lt;&gt;"Pago tarjeta")),"",IFERROR(IF(INDEX(ctaVinc,MATCH(K2894,ctaNombre,0))&amp;""&lt;&gt;"",INDEX(ctaVinc,MATCH(K2894,ctaNombre,0))&amp;"",K2894),K2894))</f>
        <v/>
      </c>
      <c r="AD2894" s="52">
        <f>IF(AB2894="","",IFERROR(INDEX(ctaTipo,MATCH(AB2894,ctaNombre,0))&amp;"",""))</f>
        <v/>
      </c>
      <c r="AE2894" s="52">
        <f>IF(AC2894="","",IFERROR(INDEX(ctaTipo,MATCH(AC2894,ctaNombre,0))&amp;"",""))</f>
        <v/>
      </c>
      <c r="AF2894" s="53">
        <f>IF(OR(P2894="",AB2894=""),"",IF(OR(P2894="Gasto",P2894="Transferencia",P2894="Pago tarjeta"),-1,1)*IF(IFERROR(INDEX(ctaMoneda,MATCH(AB2894,ctaNombre,0))&amp;"","DOP")="USD",T2894,S2894))</f>
        <v/>
      </c>
      <c r="AG2894" s="53">
        <f>IF(AC2894="","",IF(IFERROR(INDEX(ctaMoneda,MATCH(AC2894,ctaNombre,0))&amp;"","DOP")="USD",T2894,S2894))</f>
        <v/>
      </c>
      <c r="AH2894" s="53">
        <f>IF(P2894="","",IF(AND(AD2894&lt;&gt;"",COUNTIFS(tcTipo,AD2894,tcLiq,"Sí")&gt;0),IF(OR(P2894="Gasto",P2894="Transferencia",P2894="Pago tarjeta"),-1,1)*S2894,0)+IF(AND(AE2894&lt;&gt;"",COUNTIFS(tcTipo,AE2894,tcLiq,"Sí")&gt;0),S2894,0))</f>
        <v/>
      </c>
      <c r="AI2894" s="52">
        <f>IF(OR(L2894="",P2894=""),"",IF(COUNTIFS(L$6:L2894,L2894,P$6:P2894,"?*")=1,MAX(AI$5:AI2893)+1,""))</f>
        <v/>
      </c>
    </row>
    <row r="2895">
      <c r="B2895" s="47" t="n"/>
      <c r="C2895" s="48" t="n"/>
      <c r="D2895" s="48" t="n"/>
      <c r="E2895" s="48" t="n"/>
      <c r="F2895" s="48" t="n"/>
      <c r="G2895" s="49" t="n"/>
      <c r="H2895" s="48" t="n"/>
      <c r="I2895" s="50" t="n"/>
      <c r="J2895" s="48" t="n"/>
      <c r="K2895" s="48" t="n"/>
      <c r="L2895" s="48" t="n"/>
      <c r="M2895" s="48" t="n"/>
      <c r="N2895" s="48" t="n"/>
      <c r="O2895" s="51">
        <f>IF(AND(B2895="",G2895="",C2895="",D2895="",J2895=""),"",IF(B2895="","⚠ Falta fecha",IF(G2895="","⚠ Falta monto",IF(Q2895="","⚠ Falta cuenta",IF(ISNA(MATCH(Q2895,ctaNombre,0)),"⚠ Cuenta no registrada",IF(AND(OR(P2895="Gasto",P2895="Reembolso"),D2895=""),"⚠ Falta categoría",IF(AND(D2895&lt;&gt;"",E2895&lt;&gt;"",ISNA(MATCH(D2895&amp;"|"&amp;E2895,catClave,0))),"⚠ Subcategoría no corresponde",IF(AND(OR(P2895="Transferencia",P2895="Pago tarjeta"),K2895=""),"⚠ Falta cuenta destino",IF(AND(K2895&lt;&gt;"",P2895&lt;&gt;"Transferencia",P2895&lt;&gt;"Pago tarjeta"),"⚠ Destino solo aplica a transferencias",IF(AND(K2895&lt;&gt;"",K2895=Q2895),"⚠ Origen igual a destino",IF(AND(K2895&lt;&gt;"",ISNA(MATCH(K2895,ctaNombre,0))),"⚠ Destino no registrado",IF(AND(P2895="Pago tarjeta",AE2895&lt;&gt;"Tarjeta de crédito"),"⚠ El destino debe ser tarjeta de crédito",IF(AND(P2895="Gasto",E2895="Depósitos y retiros"),"⚠ Usa tipo Transferencia",IF(AND(P2895="Resultado trading",AD2895&lt;&gt;"Cuenta de trading"),"⚠ Usa una cuenta de trading",IF(AND(G2895&lt;=0,P2895&lt;&gt;"Ajuste",P2895&lt;&gt;"Resultado trading"),"⚠ El monto debe ser positivo","✓")))))))))))))))</f>
        <v/>
      </c>
      <c r="P2895" s="52">
        <f>IF(OR(B2895="",G2895=""),"",IF(C2895="","Gasto",C2895))</f>
        <v/>
      </c>
      <c r="Q2895" s="52">
        <f>IF(P2895="","",IF(J2895&lt;&gt;"",J2895,CuentaPred&amp;""))</f>
        <v/>
      </c>
      <c r="R2895" s="52">
        <f>IF(P2895="","",IF(ISNUMBER(I2895),I2895,TasaUSD))</f>
        <v/>
      </c>
      <c r="S2895" s="53">
        <f>IF(P2895="","",IF(H2895="USD",G2895*R2895,G2895))</f>
        <v/>
      </c>
      <c r="T2895" s="53">
        <f>IF(P2895="","",IF(H2895="USD",G2895,IF(R2895&gt;0,G2895/R2895,0)))</f>
        <v/>
      </c>
      <c r="U2895" s="53">
        <f>IF(P2895="","",IF(P2895="Gasto",S2895,IF(P2895="Reembolso",-S2895,0)))</f>
        <v/>
      </c>
      <c r="V2895" s="53">
        <f>IF(P2895="","",IF(P2895="Ingreso",S2895,0))</f>
        <v/>
      </c>
      <c r="W2895" s="53">
        <f>IF(P2895="","",IF(P2895="Resultado trading",S2895,0))</f>
        <v/>
      </c>
      <c r="X2895" s="52">
        <f>IF(OR(P2895="Gasto",P2895="Reembolso"),IF(M2895&lt;&gt;"",M2895,IFERROR(INDEX(catClasif,MATCH(D2895&amp;"|"&amp;E2895,catClave,0))&amp;"","Variable")),"")</f>
        <v/>
      </c>
      <c r="Y2895" s="52">
        <f>IF(P2895="","",IFERROR(INDEX(catGrupo,MATCH(D2895&amp;"|"&amp;E2895,catClave,0))&amp;"",""))</f>
        <v/>
      </c>
      <c r="Z2895" s="52">
        <f>IF(P2895="","",WEEKDAY(B2895,2))</f>
        <v/>
      </c>
      <c r="AA2895" s="52">
        <f>IF(P2895="","",IF(AND(P2895="Gasto",X2895="Variable",D2895&lt;&gt;catTrading,S2895&gt;0,S2895&lt;=Umbral),1,0))</f>
        <v/>
      </c>
      <c r="AB2895" s="52">
        <f>IF(OR(P2895="",Q2895=""),"",IFERROR(IF(INDEX(ctaVinc,MATCH(Q2895,ctaNombre,0))&amp;""&lt;&gt;"",INDEX(ctaVinc,MATCH(Q2895,ctaNombre,0))&amp;"",Q2895),Q2895))</f>
        <v/>
      </c>
      <c r="AC2895" s="52">
        <f>IF(OR(K2895="",AND(P2895&lt;&gt;"Transferencia",P2895&lt;&gt;"Pago tarjeta")),"",IFERROR(IF(INDEX(ctaVinc,MATCH(K2895,ctaNombre,0))&amp;""&lt;&gt;"",INDEX(ctaVinc,MATCH(K2895,ctaNombre,0))&amp;"",K2895),K2895))</f>
        <v/>
      </c>
      <c r="AD2895" s="52">
        <f>IF(AB2895="","",IFERROR(INDEX(ctaTipo,MATCH(AB2895,ctaNombre,0))&amp;"",""))</f>
        <v/>
      </c>
      <c r="AE2895" s="52">
        <f>IF(AC2895="","",IFERROR(INDEX(ctaTipo,MATCH(AC2895,ctaNombre,0))&amp;"",""))</f>
        <v/>
      </c>
      <c r="AF2895" s="53">
        <f>IF(OR(P2895="",AB2895=""),"",IF(OR(P2895="Gasto",P2895="Transferencia",P2895="Pago tarjeta"),-1,1)*IF(IFERROR(INDEX(ctaMoneda,MATCH(AB2895,ctaNombre,0))&amp;"","DOP")="USD",T2895,S2895))</f>
        <v/>
      </c>
      <c r="AG2895" s="53">
        <f>IF(AC2895="","",IF(IFERROR(INDEX(ctaMoneda,MATCH(AC2895,ctaNombre,0))&amp;"","DOP")="USD",T2895,S2895))</f>
        <v/>
      </c>
      <c r="AH2895" s="53">
        <f>IF(P2895="","",IF(AND(AD2895&lt;&gt;"",COUNTIFS(tcTipo,AD2895,tcLiq,"Sí")&gt;0),IF(OR(P2895="Gasto",P2895="Transferencia",P2895="Pago tarjeta"),-1,1)*S2895,0)+IF(AND(AE2895&lt;&gt;"",COUNTIFS(tcTipo,AE2895,tcLiq,"Sí")&gt;0),S2895,0))</f>
        <v/>
      </c>
      <c r="AI2895" s="52">
        <f>IF(OR(L2895="",P2895=""),"",IF(COUNTIFS(L$6:L2895,L2895,P$6:P2895,"?*")=1,MAX(AI$5:AI2894)+1,""))</f>
        <v/>
      </c>
    </row>
    <row r="2896">
      <c r="B2896" s="47" t="n"/>
      <c r="C2896" s="48" t="n"/>
      <c r="D2896" s="48" t="n"/>
      <c r="E2896" s="48" t="n"/>
      <c r="F2896" s="48" t="n"/>
      <c r="G2896" s="49" t="n"/>
      <c r="H2896" s="48" t="n"/>
      <c r="I2896" s="50" t="n"/>
      <c r="J2896" s="48" t="n"/>
      <c r="K2896" s="48" t="n"/>
      <c r="L2896" s="48" t="n"/>
      <c r="M2896" s="48" t="n"/>
      <c r="N2896" s="48" t="n"/>
      <c r="O2896" s="51">
        <f>IF(AND(B2896="",G2896="",C2896="",D2896="",J2896=""),"",IF(B2896="","⚠ Falta fecha",IF(G2896="","⚠ Falta monto",IF(Q2896="","⚠ Falta cuenta",IF(ISNA(MATCH(Q2896,ctaNombre,0)),"⚠ Cuenta no registrada",IF(AND(OR(P2896="Gasto",P2896="Reembolso"),D2896=""),"⚠ Falta categoría",IF(AND(D2896&lt;&gt;"",E2896&lt;&gt;"",ISNA(MATCH(D2896&amp;"|"&amp;E2896,catClave,0))),"⚠ Subcategoría no corresponde",IF(AND(OR(P2896="Transferencia",P2896="Pago tarjeta"),K2896=""),"⚠ Falta cuenta destino",IF(AND(K2896&lt;&gt;"",P2896&lt;&gt;"Transferencia",P2896&lt;&gt;"Pago tarjeta"),"⚠ Destino solo aplica a transferencias",IF(AND(K2896&lt;&gt;"",K2896=Q2896),"⚠ Origen igual a destino",IF(AND(K2896&lt;&gt;"",ISNA(MATCH(K2896,ctaNombre,0))),"⚠ Destino no registrado",IF(AND(P2896="Pago tarjeta",AE2896&lt;&gt;"Tarjeta de crédito"),"⚠ El destino debe ser tarjeta de crédito",IF(AND(P2896="Gasto",E2896="Depósitos y retiros"),"⚠ Usa tipo Transferencia",IF(AND(P2896="Resultado trading",AD2896&lt;&gt;"Cuenta de trading"),"⚠ Usa una cuenta de trading",IF(AND(G2896&lt;=0,P2896&lt;&gt;"Ajuste",P2896&lt;&gt;"Resultado trading"),"⚠ El monto debe ser positivo","✓")))))))))))))))</f>
        <v/>
      </c>
      <c r="P2896" s="52">
        <f>IF(OR(B2896="",G2896=""),"",IF(C2896="","Gasto",C2896))</f>
        <v/>
      </c>
      <c r="Q2896" s="52">
        <f>IF(P2896="","",IF(J2896&lt;&gt;"",J2896,CuentaPred&amp;""))</f>
        <v/>
      </c>
      <c r="R2896" s="52">
        <f>IF(P2896="","",IF(ISNUMBER(I2896),I2896,TasaUSD))</f>
        <v/>
      </c>
      <c r="S2896" s="53">
        <f>IF(P2896="","",IF(H2896="USD",G2896*R2896,G2896))</f>
        <v/>
      </c>
      <c r="T2896" s="53">
        <f>IF(P2896="","",IF(H2896="USD",G2896,IF(R2896&gt;0,G2896/R2896,0)))</f>
        <v/>
      </c>
      <c r="U2896" s="53">
        <f>IF(P2896="","",IF(P2896="Gasto",S2896,IF(P2896="Reembolso",-S2896,0)))</f>
        <v/>
      </c>
      <c r="V2896" s="53">
        <f>IF(P2896="","",IF(P2896="Ingreso",S2896,0))</f>
        <v/>
      </c>
      <c r="W2896" s="53">
        <f>IF(P2896="","",IF(P2896="Resultado trading",S2896,0))</f>
        <v/>
      </c>
      <c r="X2896" s="52">
        <f>IF(OR(P2896="Gasto",P2896="Reembolso"),IF(M2896&lt;&gt;"",M2896,IFERROR(INDEX(catClasif,MATCH(D2896&amp;"|"&amp;E2896,catClave,0))&amp;"","Variable")),"")</f>
        <v/>
      </c>
      <c r="Y2896" s="52">
        <f>IF(P2896="","",IFERROR(INDEX(catGrupo,MATCH(D2896&amp;"|"&amp;E2896,catClave,0))&amp;"",""))</f>
        <v/>
      </c>
      <c r="Z2896" s="52">
        <f>IF(P2896="","",WEEKDAY(B2896,2))</f>
        <v/>
      </c>
      <c r="AA2896" s="52">
        <f>IF(P2896="","",IF(AND(P2896="Gasto",X2896="Variable",D2896&lt;&gt;catTrading,S2896&gt;0,S2896&lt;=Umbral),1,0))</f>
        <v/>
      </c>
      <c r="AB2896" s="52">
        <f>IF(OR(P2896="",Q2896=""),"",IFERROR(IF(INDEX(ctaVinc,MATCH(Q2896,ctaNombre,0))&amp;""&lt;&gt;"",INDEX(ctaVinc,MATCH(Q2896,ctaNombre,0))&amp;"",Q2896),Q2896))</f>
        <v/>
      </c>
      <c r="AC2896" s="52">
        <f>IF(OR(K2896="",AND(P2896&lt;&gt;"Transferencia",P2896&lt;&gt;"Pago tarjeta")),"",IFERROR(IF(INDEX(ctaVinc,MATCH(K2896,ctaNombre,0))&amp;""&lt;&gt;"",INDEX(ctaVinc,MATCH(K2896,ctaNombre,0))&amp;"",K2896),K2896))</f>
        <v/>
      </c>
      <c r="AD2896" s="52">
        <f>IF(AB2896="","",IFERROR(INDEX(ctaTipo,MATCH(AB2896,ctaNombre,0))&amp;"",""))</f>
        <v/>
      </c>
      <c r="AE2896" s="52">
        <f>IF(AC2896="","",IFERROR(INDEX(ctaTipo,MATCH(AC2896,ctaNombre,0))&amp;"",""))</f>
        <v/>
      </c>
      <c r="AF2896" s="53">
        <f>IF(OR(P2896="",AB2896=""),"",IF(OR(P2896="Gasto",P2896="Transferencia",P2896="Pago tarjeta"),-1,1)*IF(IFERROR(INDEX(ctaMoneda,MATCH(AB2896,ctaNombre,0))&amp;"","DOP")="USD",T2896,S2896))</f>
        <v/>
      </c>
      <c r="AG2896" s="53">
        <f>IF(AC2896="","",IF(IFERROR(INDEX(ctaMoneda,MATCH(AC2896,ctaNombre,0))&amp;"","DOP")="USD",T2896,S2896))</f>
        <v/>
      </c>
      <c r="AH2896" s="53">
        <f>IF(P2896="","",IF(AND(AD2896&lt;&gt;"",COUNTIFS(tcTipo,AD2896,tcLiq,"Sí")&gt;0),IF(OR(P2896="Gasto",P2896="Transferencia",P2896="Pago tarjeta"),-1,1)*S2896,0)+IF(AND(AE2896&lt;&gt;"",COUNTIFS(tcTipo,AE2896,tcLiq,"Sí")&gt;0),S2896,0))</f>
        <v/>
      </c>
      <c r="AI2896" s="52">
        <f>IF(OR(L2896="",P2896=""),"",IF(COUNTIFS(L$6:L2896,L2896,P$6:P2896,"?*")=1,MAX(AI$5:AI2895)+1,""))</f>
        <v/>
      </c>
    </row>
    <row r="2897">
      <c r="B2897" s="47" t="n"/>
      <c r="C2897" s="48" t="n"/>
      <c r="D2897" s="48" t="n"/>
      <c r="E2897" s="48" t="n"/>
      <c r="F2897" s="48" t="n"/>
      <c r="G2897" s="49" t="n"/>
      <c r="H2897" s="48" t="n"/>
      <c r="I2897" s="50" t="n"/>
      <c r="J2897" s="48" t="n"/>
      <c r="K2897" s="48" t="n"/>
      <c r="L2897" s="48" t="n"/>
      <c r="M2897" s="48" t="n"/>
      <c r="N2897" s="48" t="n"/>
      <c r="O2897" s="51">
        <f>IF(AND(B2897="",G2897="",C2897="",D2897="",J2897=""),"",IF(B2897="","⚠ Falta fecha",IF(G2897="","⚠ Falta monto",IF(Q2897="","⚠ Falta cuenta",IF(ISNA(MATCH(Q2897,ctaNombre,0)),"⚠ Cuenta no registrada",IF(AND(OR(P2897="Gasto",P2897="Reembolso"),D2897=""),"⚠ Falta categoría",IF(AND(D2897&lt;&gt;"",E2897&lt;&gt;"",ISNA(MATCH(D2897&amp;"|"&amp;E2897,catClave,0))),"⚠ Subcategoría no corresponde",IF(AND(OR(P2897="Transferencia",P2897="Pago tarjeta"),K2897=""),"⚠ Falta cuenta destino",IF(AND(K2897&lt;&gt;"",P2897&lt;&gt;"Transferencia",P2897&lt;&gt;"Pago tarjeta"),"⚠ Destino solo aplica a transferencias",IF(AND(K2897&lt;&gt;"",K2897=Q2897),"⚠ Origen igual a destino",IF(AND(K2897&lt;&gt;"",ISNA(MATCH(K2897,ctaNombre,0))),"⚠ Destino no registrado",IF(AND(P2897="Pago tarjeta",AE2897&lt;&gt;"Tarjeta de crédito"),"⚠ El destino debe ser tarjeta de crédito",IF(AND(P2897="Gasto",E2897="Depósitos y retiros"),"⚠ Usa tipo Transferencia",IF(AND(P2897="Resultado trading",AD2897&lt;&gt;"Cuenta de trading"),"⚠ Usa una cuenta de trading",IF(AND(G2897&lt;=0,P2897&lt;&gt;"Ajuste",P2897&lt;&gt;"Resultado trading"),"⚠ El monto debe ser positivo","✓")))))))))))))))</f>
        <v/>
      </c>
      <c r="P2897" s="52">
        <f>IF(OR(B2897="",G2897=""),"",IF(C2897="","Gasto",C2897))</f>
        <v/>
      </c>
      <c r="Q2897" s="52">
        <f>IF(P2897="","",IF(J2897&lt;&gt;"",J2897,CuentaPred&amp;""))</f>
        <v/>
      </c>
      <c r="R2897" s="52">
        <f>IF(P2897="","",IF(ISNUMBER(I2897),I2897,TasaUSD))</f>
        <v/>
      </c>
      <c r="S2897" s="53">
        <f>IF(P2897="","",IF(H2897="USD",G2897*R2897,G2897))</f>
        <v/>
      </c>
      <c r="T2897" s="53">
        <f>IF(P2897="","",IF(H2897="USD",G2897,IF(R2897&gt;0,G2897/R2897,0)))</f>
        <v/>
      </c>
      <c r="U2897" s="53">
        <f>IF(P2897="","",IF(P2897="Gasto",S2897,IF(P2897="Reembolso",-S2897,0)))</f>
        <v/>
      </c>
      <c r="V2897" s="53">
        <f>IF(P2897="","",IF(P2897="Ingreso",S2897,0))</f>
        <v/>
      </c>
      <c r="W2897" s="53">
        <f>IF(P2897="","",IF(P2897="Resultado trading",S2897,0))</f>
        <v/>
      </c>
      <c r="X2897" s="52">
        <f>IF(OR(P2897="Gasto",P2897="Reembolso"),IF(M2897&lt;&gt;"",M2897,IFERROR(INDEX(catClasif,MATCH(D2897&amp;"|"&amp;E2897,catClave,0))&amp;"","Variable")),"")</f>
        <v/>
      </c>
      <c r="Y2897" s="52">
        <f>IF(P2897="","",IFERROR(INDEX(catGrupo,MATCH(D2897&amp;"|"&amp;E2897,catClave,0))&amp;"",""))</f>
        <v/>
      </c>
      <c r="Z2897" s="52">
        <f>IF(P2897="","",WEEKDAY(B2897,2))</f>
        <v/>
      </c>
      <c r="AA2897" s="52">
        <f>IF(P2897="","",IF(AND(P2897="Gasto",X2897="Variable",D2897&lt;&gt;catTrading,S2897&gt;0,S2897&lt;=Umbral),1,0))</f>
        <v/>
      </c>
      <c r="AB2897" s="52">
        <f>IF(OR(P2897="",Q2897=""),"",IFERROR(IF(INDEX(ctaVinc,MATCH(Q2897,ctaNombre,0))&amp;""&lt;&gt;"",INDEX(ctaVinc,MATCH(Q2897,ctaNombre,0))&amp;"",Q2897),Q2897))</f>
        <v/>
      </c>
      <c r="AC2897" s="52">
        <f>IF(OR(K2897="",AND(P2897&lt;&gt;"Transferencia",P2897&lt;&gt;"Pago tarjeta")),"",IFERROR(IF(INDEX(ctaVinc,MATCH(K2897,ctaNombre,0))&amp;""&lt;&gt;"",INDEX(ctaVinc,MATCH(K2897,ctaNombre,0))&amp;"",K2897),K2897))</f>
        <v/>
      </c>
      <c r="AD2897" s="52">
        <f>IF(AB2897="","",IFERROR(INDEX(ctaTipo,MATCH(AB2897,ctaNombre,0))&amp;"",""))</f>
        <v/>
      </c>
      <c r="AE2897" s="52">
        <f>IF(AC2897="","",IFERROR(INDEX(ctaTipo,MATCH(AC2897,ctaNombre,0))&amp;"",""))</f>
        <v/>
      </c>
      <c r="AF2897" s="53">
        <f>IF(OR(P2897="",AB2897=""),"",IF(OR(P2897="Gasto",P2897="Transferencia",P2897="Pago tarjeta"),-1,1)*IF(IFERROR(INDEX(ctaMoneda,MATCH(AB2897,ctaNombre,0))&amp;"","DOP")="USD",T2897,S2897))</f>
        <v/>
      </c>
      <c r="AG2897" s="53">
        <f>IF(AC2897="","",IF(IFERROR(INDEX(ctaMoneda,MATCH(AC2897,ctaNombre,0))&amp;"","DOP")="USD",T2897,S2897))</f>
        <v/>
      </c>
      <c r="AH2897" s="53">
        <f>IF(P2897="","",IF(AND(AD2897&lt;&gt;"",COUNTIFS(tcTipo,AD2897,tcLiq,"Sí")&gt;0),IF(OR(P2897="Gasto",P2897="Transferencia",P2897="Pago tarjeta"),-1,1)*S2897,0)+IF(AND(AE2897&lt;&gt;"",COUNTIFS(tcTipo,AE2897,tcLiq,"Sí")&gt;0),S2897,0))</f>
        <v/>
      </c>
      <c r="AI2897" s="52">
        <f>IF(OR(L2897="",P2897=""),"",IF(COUNTIFS(L$6:L2897,L2897,P$6:P2897,"?*")=1,MAX(AI$5:AI2896)+1,""))</f>
        <v/>
      </c>
    </row>
    <row r="2898">
      <c r="B2898" s="47" t="n"/>
      <c r="C2898" s="48" t="n"/>
      <c r="D2898" s="48" t="n"/>
      <c r="E2898" s="48" t="n"/>
      <c r="F2898" s="48" t="n"/>
      <c r="G2898" s="49" t="n"/>
      <c r="H2898" s="48" t="n"/>
      <c r="I2898" s="50" t="n"/>
      <c r="J2898" s="48" t="n"/>
      <c r="K2898" s="48" t="n"/>
      <c r="L2898" s="48" t="n"/>
      <c r="M2898" s="48" t="n"/>
      <c r="N2898" s="48" t="n"/>
      <c r="O2898" s="51">
        <f>IF(AND(B2898="",G2898="",C2898="",D2898="",J2898=""),"",IF(B2898="","⚠ Falta fecha",IF(G2898="","⚠ Falta monto",IF(Q2898="","⚠ Falta cuenta",IF(ISNA(MATCH(Q2898,ctaNombre,0)),"⚠ Cuenta no registrada",IF(AND(OR(P2898="Gasto",P2898="Reembolso"),D2898=""),"⚠ Falta categoría",IF(AND(D2898&lt;&gt;"",E2898&lt;&gt;"",ISNA(MATCH(D2898&amp;"|"&amp;E2898,catClave,0))),"⚠ Subcategoría no corresponde",IF(AND(OR(P2898="Transferencia",P2898="Pago tarjeta"),K2898=""),"⚠ Falta cuenta destino",IF(AND(K2898&lt;&gt;"",P2898&lt;&gt;"Transferencia",P2898&lt;&gt;"Pago tarjeta"),"⚠ Destino solo aplica a transferencias",IF(AND(K2898&lt;&gt;"",K2898=Q2898),"⚠ Origen igual a destino",IF(AND(K2898&lt;&gt;"",ISNA(MATCH(K2898,ctaNombre,0))),"⚠ Destino no registrado",IF(AND(P2898="Pago tarjeta",AE2898&lt;&gt;"Tarjeta de crédito"),"⚠ El destino debe ser tarjeta de crédito",IF(AND(P2898="Gasto",E2898="Depósitos y retiros"),"⚠ Usa tipo Transferencia",IF(AND(P2898="Resultado trading",AD2898&lt;&gt;"Cuenta de trading"),"⚠ Usa una cuenta de trading",IF(AND(G2898&lt;=0,P2898&lt;&gt;"Ajuste",P2898&lt;&gt;"Resultado trading"),"⚠ El monto debe ser positivo","✓")))))))))))))))</f>
        <v/>
      </c>
      <c r="P2898" s="52">
        <f>IF(OR(B2898="",G2898=""),"",IF(C2898="","Gasto",C2898))</f>
        <v/>
      </c>
      <c r="Q2898" s="52">
        <f>IF(P2898="","",IF(J2898&lt;&gt;"",J2898,CuentaPred&amp;""))</f>
        <v/>
      </c>
      <c r="R2898" s="52">
        <f>IF(P2898="","",IF(ISNUMBER(I2898),I2898,TasaUSD))</f>
        <v/>
      </c>
      <c r="S2898" s="53">
        <f>IF(P2898="","",IF(H2898="USD",G2898*R2898,G2898))</f>
        <v/>
      </c>
      <c r="T2898" s="53">
        <f>IF(P2898="","",IF(H2898="USD",G2898,IF(R2898&gt;0,G2898/R2898,0)))</f>
        <v/>
      </c>
      <c r="U2898" s="53">
        <f>IF(P2898="","",IF(P2898="Gasto",S2898,IF(P2898="Reembolso",-S2898,0)))</f>
        <v/>
      </c>
      <c r="V2898" s="53">
        <f>IF(P2898="","",IF(P2898="Ingreso",S2898,0))</f>
        <v/>
      </c>
      <c r="W2898" s="53">
        <f>IF(P2898="","",IF(P2898="Resultado trading",S2898,0))</f>
        <v/>
      </c>
      <c r="X2898" s="52">
        <f>IF(OR(P2898="Gasto",P2898="Reembolso"),IF(M2898&lt;&gt;"",M2898,IFERROR(INDEX(catClasif,MATCH(D2898&amp;"|"&amp;E2898,catClave,0))&amp;"","Variable")),"")</f>
        <v/>
      </c>
      <c r="Y2898" s="52">
        <f>IF(P2898="","",IFERROR(INDEX(catGrupo,MATCH(D2898&amp;"|"&amp;E2898,catClave,0))&amp;"",""))</f>
        <v/>
      </c>
      <c r="Z2898" s="52">
        <f>IF(P2898="","",WEEKDAY(B2898,2))</f>
        <v/>
      </c>
      <c r="AA2898" s="52">
        <f>IF(P2898="","",IF(AND(P2898="Gasto",X2898="Variable",D2898&lt;&gt;catTrading,S2898&gt;0,S2898&lt;=Umbral),1,0))</f>
        <v/>
      </c>
      <c r="AB2898" s="52">
        <f>IF(OR(P2898="",Q2898=""),"",IFERROR(IF(INDEX(ctaVinc,MATCH(Q2898,ctaNombre,0))&amp;""&lt;&gt;"",INDEX(ctaVinc,MATCH(Q2898,ctaNombre,0))&amp;"",Q2898),Q2898))</f>
        <v/>
      </c>
      <c r="AC2898" s="52">
        <f>IF(OR(K2898="",AND(P2898&lt;&gt;"Transferencia",P2898&lt;&gt;"Pago tarjeta")),"",IFERROR(IF(INDEX(ctaVinc,MATCH(K2898,ctaNombre,0))&amp;""&lt;&gt;"",INDEX(ctaVinc,MATCH(K2898,ctaNombre,0))&amp;"",K2898),K2898))</f>
        <v/>
      </c>
      <c r="AD2898" s="52">
        <f>IF(AB2898="","",IFERROR(INDEX(ctaTipo,MATCH(AB2898,ctaNombre,0))&amp;"",""))</f>
        <v/>
      </c>
      <c r="AE2898" s="52">
        <f>IF(AC2898="","",IFERROR(INDEX(ctaTipo,MATCH(AC2898,ctaNombre,0))&amp;"",""))</f>
        <v/>
      </c>
      <c r="AF2898" s="53">
        <f>IF(OR(P2898="",AB2898=""),"",IF(OR(P2898="Gasto",P2898="Transferencia",P2898="Pago tarjeta"),-1,1)*IF(IFERROR(INDEX(ctaMoneda,MATCH(AB2898,ctaNombre,0))&amp;"","DOP")="USD",T2898,S2898))</f>
        <v/>
      </c>
      <c r="AG2898" s="53">
        <f>IF(AC2898="","",IF(IFERROR(INDEX(ctaMoneda,MATCH(AC2898,ctaNombre,0))&amp;"","DOP")="USD",T2898,S2898))</f>
        <v/>
      </c>
      <c r="AH2898" s="53">
        <f>IF(P2898="","",IF(AND(AD2898&lt;&gt;"",COUNTIFS(tcTipo,AD2898,tcLiq,"Sí")&gt;0),IF(OR(P2898="Gasto",P2898="Transferencia",P2898="Pago tarjeta"),-1,1)*S2898,0)+IF(AND(AE2898&lt;&gt;"",COUNTIFS(tcTipo,AE2898,tcLiq,"Sí")&gt;0),S2898,0))</f>
        <v/>
      </c>
      <c r="AI2898" s="52">
        <f>IF(OR(L2898="",P2898=""),"",IF(COUNTIFS(L$6:L2898,L2898,P$6:P2898,"?*")=1,MAX(AI$5:AI2897)+1,""))</f>
        <v/>
      </c>
    </row>
    <row r="2899">
      <c r="B2899" s="47" t="n"/>
      <c r="C2899" s="48" t="n"/>
      <c r="D2899" s="48" t="n"/>
      <c r="E2899" s="48" t="n"/>
      <c r="F2899" s="48" t="n"/>
      <c r="G2899" s="49" t="n"/>
      <c r="H2899" s="48" t="n"/>
      <c r="I2899" s="50" t="n"/>
      <c r="J2899" s="48" t="n"/>
      <c r="K2899" s="48" t="n"/>
      <c r="L2899" s="48" t="n"/>
      <c r="M2899" s="48" t="n"/>
      <c r="N2899" s="48" t="n"/>
      <c r="O2899" s="51">
        <f>IF(AND(B2899="",G2899="",C2899="",D2899="",J2899=""),"",IF(B2899="","⚠ Falta fecha",IF(G2899="","⚠ Falta monto",IF(Q2899="","⚠ Falta cuenta",IF(ISNA(MATCH(Q2899,ctaNombre,0)),"⚠ Cuenta no registrada",IF(AND(OR(P2899="Gasto",P2899="Reembolso"),D2899=""),"⚠ Falta categoría",IF(AND(D2899&lt;&gt;"",E2899&lt;&gt;"",ISNA(MATCH(D2899&amp;"|"&amp;E2899,catClave,0))),"⚠ Subcategoría no corresponde",IF(AND(OR(P2899="Transferencia",P2899="Pago tarjeta"),K2899=""),"⚠ Falta cuenta destino",IF(AND(K2899&lt;&gt;"",P2899&lt;&gt;"Transferencia",P2899&lt;&gt;"Pago tarjeta"),"⚠ Destino solo aplica a transferencias",IF(AND(K2899&lt;&gt;"",K2899=Q2899),"⚠ Origen igual a destino",IF(AND(K2899&lt;&gt;"",ISNA(MATCH(K2899,ctaNombre,0))),"⚠ Destino no registrado",IF(AND(P2899="Pago tarjeta",AE2899&lt;&gt;"Tarjeta de crédito"),"⚠ El destino debe ser tarjeta de crédito",IF(AND(P2899="Gasto",E2899="Depósitos y retiros"),"⚠ Usa tipo Transferencia",IF(AND(P2899="Resultado trading",AD2899&lt;&gt;"Cuenta de trading"),"⚠ Usa una cuenta de trading",IF(AND(G2899&lt;=0,P2899&lt;&gt;"Ajuste",P2899&lt;&gt;"Resultado trading"),"⚠ El monto debe ser positivo","✓")))))))))))))))</f>
        <v/>
      </c>
      <c r="P2899" s="52">
        <f>IF(OR(B2899="",G2899=""),"",IF(C2899="","Gasto",C2899))</f>
        <v/>
      </c>
      <c r="Q2899" s="52">
        <f>IF(P2899="","",IF(J2899&lt;&gt;"",J2899,CuentaPred&amp;""))</f>
        <v/>
      </c>
      <c r="R2899" s="52">
        <f>IF(P2899="","",IF(ISNUMBER(I2899),I2899,TasaUSD))</f>
        <v/>
      </c>
      <c r="S2899" s="53">
        <f>IF(P2899="","",IF(H2899="USD",G2899*R2899,G2899))</f>
        <v/>
      </c>
      <c r="T2899" s="53">
        <f>IF(P2899="","",IF(H2899="USD",G2899,IF(R2899&gt;0,G2899/R2899,0)))</f>
        <v/>
      </c>
      <c r="U2899" s="53">
        <f>IF(P2899="","",IF(P2899="Gasto",S2899,IF(P2899="Reembolso",-S2899,0)))</f>
        <v/>
      </c>
      <c r="V2899" s="53">
        <f>IF(P2899="","",IF(P2899="Ingreso",S2899,0))</f>
        <v/>
      </c>
      <c r="W2899" s="53">
        <f>IF(P2899="","",IF(P2899="Resultado trading",S2899,0))</f>
        <v/>
      </c>
      <c r="X2899" s="52">
        <f>IF(OR(P2899="Gasto",P2899="Reembolso"),IF(M2899&lt;&gt;"",M2899,IFERROR(INDEX(catClasif,MATCH(D2899&amp;"|"&amp;E2899,catClave,0))&amp;"","Variable")),"")</f>
        <v/>
      </c>
      <c r="Y2899" s="52">
        <f>IF(P2899="","",IFERROR(INDEX(catGrupo,MATCH(D2899&amp;"|"&amp;E2899,catClave,0))&amp;"",""))</f>
        <v/>
      </c>
      <c r="Z2899" s="52">
        <f>IF(P2899="","",WEEKDAY(B2899,2))</f>
        <v/>
      </c>
      <c r="AA2899" s="52">
        <f>IF(P2899="","",IF(AND(P2899="Gasto",X2899="Variable",D2899&lt;&gt;catTrading,S2899&gt;0,S2899&lt;=Umbral),1,0))</f>
        <v/>
      </c>
      <c r="AB2899" s="52">
        <f>IF(OR(P2899="",Q2899=""),"",IFERROR(IF(INDEX(ctaVinc,MATCH(Q2899,ctaNombre,0))&amp;""&lt;&gt;"",INDEX(ctaVinc,MATCH(Q2899,ctaNombre,0))&amp;"",Q2899),Q2899))</f>
        <v/>
      </c>
      <c r="AC2899" s="52">
        <f>IF(OR(K2899="",AND(P2899&lt;&gt;"Transferencia",P2899&lt;&gt;"Pago tarjeta")),"",IFERROR(IF(INDEX(ctaVinc,MATCH(K2899,ctaNombre,0))&amp;""&lt;&gt;"",INDEX(ctaVinc,MATCH(K2899,ctaNombre,0))&amp;"",K2899),K2899))</f>
        <v/>
      </c>
      <c r="AD2899" s="52">
        <f>IF(AB2899="","",IFERROR(INDEX(ctaTipo,MATCH(AB2899,ctaNombre,0))&amp;"",""))</f>
        <v/>
      </c>
      <c r="AE2899" s="52">
        <f>IF(AC2899="","",IFERROR(INDEX(ctaTipo,MATCH(AC2899,ctaNombre,0))&amp;"",""))</f>
        <v/>
      </c>
      <c r="AF2899" s="53">
        <f>IF(OR(P2899="",AB2899=""),"",IF(OR(P2899="Gasto",P2899="Transferencia",P2899="Pago tarjeta"),-1,1)*IF(IFERROR(INDEX(ctaMoneda,MATCH(AB2899,ctaNombre,0))&amp;"","DOP")="USD",T2899,S2899))</f>
        <v/>
      </c>
      <c r="AG2899" s="53">
        <f>IF(AC2899="","",IF(IFERROR(INDEX(ctaMoneda,MATCH(AC2899,ctaNombre,0))&amp;"","DOP")="USD",T2899,S2899))</f>
        <v/>
      </c>
      <c r="AH2899" s="53">
        <f>IF(P2899="","",IF(AND(AD2899&lt;&gt;"",COUNTIFS(tcTipo,AD2899,tcLiq,"Sí")&gt;0),IF(OR(P2899="Gasto",P2899="Transferencia",P2899="Pago tarjeta"),-1,1)*S2899,0)+IF(AND(AE2899&lt;&gt;"",COUNTIFS(tcTipo,AE2899,tcLiq,"Sí")&gt;0),S2899,0))</f>
        <v/>
      </c>
      <c r="AI2899" s="52">
        <f>IF(OR(L2899="",P2899=""),"",IF(COUNTIFS(L$6:L2899,L2899,P$6:P2899,"?*")=1,MAX(AI$5:AI2898)+1,""))</f>
        <v/>
      </c>
    </row>
    <row r="2900">
      <c r="B2900" s="47" t="n"/>
      <c r="C2900" s="48" t="n"/>
      <c r="D2900" s="48" t="n"/>
      <c r="E2900" s="48" t="n"/>
      <c r="F2900" s="48" t="n"/>
      <c r="G2900" s="49" t="n"/>
      <c r="H2900" s="48" t="n"/>
      <c r="I2900" s="50" t="n"/>
      <c r="J2900" s="48" t="n"/>
      <c r="K2900" s="48" t="n"/>
      <c r="L2900" s="48" t="n"/>
      <c r="M2900" s="48" t="n"/>
      <c r="N2900" s="48" t="n"/>
      <c r="O2900" s="51">
        <f>IF(AND(B2900="",G2900="",C2900="",D2900="",J2900=""),"",IF(B2900="","⚠ Falta fecha",IF(G2900="","⚠ Falta monto",IF(Q2900="","⚠ Falta cuenta",IF(ISNA(MATCH(Q2900,ctaNombre,0)),"⚠ Cuenta no registrada",IF(AND(OR(P2900="Gasto",P2900="Reembolso"),D2900=""),"⚠ Falta categoría",IF(AND(D2900&lt;&gt;"",E2900&lt;&gt;"",ISNA(MATCH(D2900&amp;"|"&amp;E2900,catClave,0))),"⚠ Subcategoría no corresponde",IF(AND(OR(P2900="Transferencia",P2900="Pago tarjeta"),K2900=""),"⚠ Falta cuenta destino",IF(AND(K2900&lt;&gt;"",P2900&lt;&gt;"Transferencia",P2900&lt;&gt;"Pago tarjeta"),"⚠ Destino solo aplica a transferencias",IF(AND(K2900&lt;&gt;"",K2900=Q2900),"⚠ Origen igual a destino",IF(AND(K2900&lt;&gt;"",ISNA(MATCH(K2900,ctaNombre,0))),"⚠ Destino no registrado",IF(AND(P2900="Pago tarjeta",AE2900&lt;&gt;"Tarjeta de crédito"),"⚠ El destino debe ser tarjeta de crédito",IF(AND(P2900="Gasto",E2900="Depósitos y retiros"),"⚠ Usa tipo Transferencia",IF(AND(P2900="Resultado trading",AD2900&lt;&gt;"Cuenta de trading"),"⚠ Usa una cuenta de trading",IF(AND(G2900&lt;=0,P2900&lt;&gt;"Ajuste",P2900&lt;&gt;"Resultado trading"),"⚠ El monto debe ser positivo","✓")))))))))))))))</f>
        <v/>
      </c>
      <c r="P2900" s="52">
        <f>IF(OR(B2900="",G2900=""),"",IF(C2900="","Gasto",C2900))</f>
        <v/>
      </c>
      <c r="Q2900" s="52">
        <f>IF(P2900="","",IF(J2900&lt;&gt;"",J2900,CuentaPred&amp;""))</f>
        <v/>
      </c>
      <c r="R2900" s="52">
        <f>IF(P2900="","",IF(ISNUMBER(I2900),I2900,TasaUSD))</f>
        <v/>
      </c>
      <c r="S2900" s="53">
        <f>IF(P2900="","",IF(H2900="USD",G2900*R2900,G2900))</f>
        <v/>
      </c>
      <c r="T2900" s="53">
        <f>IF(P2900="","",IF(H2900="USD",G2900,IF(R2900&gt;0,G2900/R2900,0)))</f>
        <v/>
      </c>
      <c r="U2900" s="53">
        <f>IF(P2900="","",IF(P2900="Gasto",S2900,IF(P2900="Reembolso",-S2900,0)))</f>
        <v/>
      </c>
      <c r="V2900" s="53">
        <f>IF(P2900="","",IF(P2900="Ingreso",S2900,0))</f>
        <v/>
      </c>
      <c r="W2900" s="53">
        <f>IF(P2900="","",IF(P2900="Resultado trading",S2900,0))</f>
        <v/>
      </c>
      <c r="X2900" s="52">
        <f>IF(OR(P2900="Gasto",P2900="Reembolso"),IF(M2900&lt;&gt;"",M2900,IFERROR(INDEX(catClasif,MATCH(D2900&amp;"|"&amp;E2900,catClave,0))&amp;"","Variable")),"")</f>
        <v/>
      </c>
      <c r="Y2900" s="52">
        <f>IF(P2900="","",IFERROR(INDEX(catGrupo,MATCH(D2900&amp;"|"&amp;E2900,catClave,0))&amp;"",""))</f>
        <v/>
      </c>
      <c r="Z2900" s="52">
        <f>IF(P2900="","",WEEKDAY(B2900,2))</f>
        <v/>
      </c>
      <c r="AA2900" s="52">
        <f>IF(P2900="","",IF(AND(P2900="Gasto",X2900="Variable",D2900&lt;&gt;catTrading,S2900&gt;0,S2900&lt;=Umbral),1,0))</f>
        <v/>
      </c>
      <c r="AB2900" s="52">
        <f>IF(OR(P2900="",Q2900=""),"",IFERROR(IF(INDEX(ctaVinc,MATCH(Q2900,ctaNombre,0))&amp;""&lt;&gt;"",INDEX(ctaVinc,MATCH(Q2900,ctaNombre,0))&amp;"",Q2900),Q2900))</f>
        <v/>
      </c>
      <c r="AC2900" s="52">
        <f>IF(OR(K2900="",AND(P2900&lt;&gt;"Transferencia",P2900&lt;&gt;"Pago tarjeta")),"",IFERROR(IF(INDEX(ctaVinc,MATCH(K2900,ctaNombre,0))&amp;""&lt;&gt;"",INDEX(ctaVinc,MATCH(K2900,ctaNombre,0))&amp;"",K2900),K2900))</f>
        <v/>
      </c>
      <c r="AD2900" s="52">
        <f>IF(AB2900="","",IFERROR(INDEX(ctaTipo,MATCH(AB2900,ctaNombre,0))&amp;"",""))</f>
        <v/>
      </c>
      <c r="AE2900" s="52">
        <f>IF(AC2900="","",IFERROR(INDEX(ctaTipo,MATCH(AC2900,ctaNombre,0))&amp;"",""))</f>
        <v/>
      </c>
      <c r="AF2900" s="53">
        <f>IF(OR(P2900="",AB2900=""),"",IF(OR(P2900="Gasto",P2900="Transferencia",P2900="Pago tarjeta"),-1,1)*IF(IFERROR(INDEX(ctaMoneda,MATCH(AB2900,ctaNombre,0))&amp;"","DOP")="USD",T2900,S2900))</f>
        <v/>
      </c>
      <c r="AG2900" s="53">
        <f>IF(AC2900="","",IF(IFERROR(INDEX(ctaMoneda,MATCH(AC2900,ctaNombre,0))&amp;"","DOP")="USD",T2900,S2900))</f>
        <v/>
      </c>
      <c r="AH2900" s="53">
        <f>IF(P2900="","",IF(AND(AD2900&lt;&gt;"",COUNTIFS(tcTipo,AD2900,tcLiq,"Sí")&gt;0),IF(OR(P2900="Gasto",P2900="Transferencia",P2900="Pago tarjeta"),-1,1)*S2900,0)+IF(AND(AE2900&lt;&gt;"",COUNTIFS(tcTipo,AE2900,tcLiq,"Sí")&gt;0),S2900,0))</f>
        <v/>
      </c>
      <c r="AI2900" s="52">
        <f>IF(OR(L2900="",P2900=""),"",IF(COUNTIFS(L$6:L2900,L2900,P$6:P2900,"?*")=1,MAX(AI$5:AI2899)+1,""))</f>
        <v/>
      </c>
    </row>
    <row r="2901">
      <c r="B2901" s="47" t="n"/>
      <c r="C2901" s="48" t="n"/>
      <c r="D2901" s="48" t="n"/>
      <c r="E2901" s="48" t="n"/>
      <c r="F2901" s="48" t="n"/>
      <c r="G2901" s="49" t="n"/>
      <c r="H2901" s="48" t="n"/>
      <c r="I2901" s="50" t="n"/>
      <c r="J2901" s="48" t="n"/>
      <c r="K2901" s="48" t="n"/>
      <c r="L2901" s="48" t="n"/>
      <c r="M2901" s="48" t="n"/>
      <c r="N2901" s="48" t="n"/>
      <c r="O2901" s="51">
        <f>IF(AND(B2901="",G2901="",C2901="",D2901="",J2901=""),"",IF(B2901="","⚠ Falta fecha",IF(G2901="","⚠ Falta monto",IF(Q2901="","⚠ Falta cuenta",IF(ISNA(MATCH(Q2901,ctaNombre,0)),"⚠ Cuenta no registrada",IF(AND(OR(P2901="Gasto",P2901="Reembolso"),D2901=""),"⚠ Falta categoría",IF(AND(D2901&lt;&gt;"",E2901&lt;&gt;"",ISNA(MATCH(D2901&amp;"|"&amp;E2901,catClave,0))),"⚠ Subcategoría no corresponde",IF(AND(OR(P2901="Transferencia",P2901="Pago tarjeta"),K2901=""),"⚠ Falta cuenta destino",IF(AND(K2901&lt;&gt;"",P2901&lt;&gt;"Transferencia",P2901&lt;&gt;"Pago tarjeta"),"⚠ Destino solo aplica a transferencias",IF(AND(K2901&lt;&gt;"",K2901=Q2901),"⚠ Origen igual a destino",IF(AND(K2901&lt;&gt;"",ISNA(MATCH(K2901,ctaNombre,0))),"⚠ Destino no registrado",IF(AND(P2901="Pago tarjeta",AE2901&lt;&gt;"Tarjeta de crédito"),"⚠ El destino debe ser tarjeta de crédito",IF(AND(P2901="Gasto",E2901="Depósitos y retiros"),"⚠ Usa tipo Transferencia",IF(AND(P2901="Resultado trading",AD2901&lt;&gt;"Cuenta de trading"),"⚠ Usa una cuenta de trading",IF(AND(G2901&lt;=0,P2901&lt;&gt;"Ajuste",P2901&lt;&gt;"Resultado trading"),"⚠ El monto debe ser positivo","✓")))))))))))))))</f>
        <v/>
      </c>
      <c r="P2901" s="52">
        <f>IF(OR(B2901="",G2901=""),"",IF(C2901="","Gasto",C2901))</f>
        <v/>
      </c>
      <c r="Q2901" s="52">
        <f>IF(P2901="","",IF(J2901&lt;&gt;"",J2901,CuentaPred&amp;""))</f>
        <v/>
      </c>
      <c r="R2901" s="52">
        <f>IF(P2901="","",IF(ISNUMBER(I2901),I2901,TasaUSD))</f>
        <v/>
      </c>
      <c r="S2901" s="53">
        <f>IF(P2901="","",IF(H2901="USD",G2901*R2901,G2901))</f>
        <v/>
      </c>
      <c r="T2901" s="53">
        <f>IF(P2901="","",IF(H2901="USD",G2901,IF(R2901&gt;0,G2901/R2901,0)))</f>
        <v/>
      </c>
      <c r="U2901" s="53">
        <f>IF(P2901="","",IF(P2901="Gasto",S2901,IF(P2901="Reembolso",-S2901,0)))</f>
        <v/>
      </c>
      <c r="V2901" s="53">
        <f>IF(P2901="","",IF(P2901="Ingreso",S2901,0))</f>
        <v/>
      </c>
      <c r="W2901" s="53">
        <f>IF(P2901="","",IF(P2901="Resultado trading",S2901,0))</f>
        <v/>
      </c>
      <c r="X2901" s="52">
        <f>IF(OR(P2901="Gasto",P2901="Reembolso"),IF(M2901&lt;&gt;"",M2901,IFERROR(INDEX(catClasif,MATCH(D2901&amp;"|"&amp;E2901,catClave,0))&amp;"","Variable")),"")</f>
        <v/>
      </c>
      <c r="Y2901" s="52">
        <f>IF(P2901="","",IFERROR(INDEX(catGrupo,MATCH(D2901&amp;"|"&amp;E2901,catClave,0))&amp;"",""))</f>
        <v/>
      </c>
      <c r="Z2901" s="52">
        <f>IF(P2901="","",WEEKDAY(B2901,2))</f>
        <v/>
      </c>
      <c r="AA2901" s="52">
        <f>IF(P2901="","",IF(AND(P2901="Gasto",X2901="Variable",D2901&lt;&gt;catTrading,S2901&gt;0,S2901&lt;=Umbral),1,0))</f>
        <v/>
      </c>
      <c r="AB2901" s="52">
        <f>IF(OR(P2901="",Q2901=""),"",IFERROR(IF(INDEX(ctaVinc,MATCH(Q2901,ctaNombre,0))&amp;""&lt;&gt;"",INDEX(ctaVinc,MATCH(Q2901,ctaNombre,0))&amp;"",Q2901),Q2901))</f>
        <v/>
      </c>
      <c r="AC2901" s="52">
        <f>IF(OR(K2901="",AND(P2901&lt;&gt;"Transferencia",P2901&lt;&gt;"Pago tarjeta")),"",IFERROR(IF(INDEX(ctaVinc,MATCH(K2901,ctaNombre,0))&amp;""&lt;&gt;"",INDEX(ctaVinc,MATCH(K2901,ctaNombre,0))&amp;"",K2901),K2901))</f>
        <v/>
      </c>
      <c r="AD2901" s="52">
        <f>IF(AB2901="","",IFERROR(INDEX(ctaTipo,MATCH(AB2901,ctaNombre,0))&amp;"",""))</f>
        <v/>
      </c>
      <c r="AE2901" s="52">
        <f>IF(AC2901="","",IFERROR(INDEX(ctaTipo,MATCH(AC2901,ctaNombre,0))&amp;"",""))</f>
        <v/>
      </c>
      <c r="AF2901" s="53">
        <f>IF(OR(P2901="",AB2901=""),"",IF(OR(P2901="Gasto",P2901="Transferencia",P2901="Pago tarjeta"),-1,1)*IF(IFERROR(INDEX(ctaMoneda,MATCH(AB2901,ctaNombre,0))&amp;"","DOP")="USD",T2901,S2901))</f>
        <v/>
      </c>
      <c r="AG2901" s="53">
        <f>IF(AC2901="","",IF(IFERROR(INDEX(ctaMoneda,MATCH(AC2901,ctaNombre,0))&amp;"","DOP")="USD",T2901,S2901))</f>
        <v/>
      </c>
      <c r="AH2901" s="53">
        <f>IF(P2901="","",IF(AND(AD2901&lt;&gt;"",COUNTIFS(tcTipo,AD2901,tcLiq,"Sí")&gt;0),IF(OR(P2901="Gasto",P2901="Transferencia",P2901="Pago tarjeta"),-1,1)*S2901,0)+IF(AND(AE2901&lt;&gt;"",COUNTIFS(tcTipo,AE2901,tcLiq,"Sí")&gt;0),S2901,0))</f>
        <v/>
      </c>
      <c r="AI2901" s="52">
        <f>IF(OR(L2901="",P2901=""),"",IF(COUNTIFS(L$6:L2901,L2901,P$6:P2901,"?*")=1,MAX(AI$5:AI2900)+1,""))</f>
        <v/>
      </c>
    </row>
    <row r="2902">
      <c r="B2902" s="47" t="n"/>
      <c r="C2902" s="48" t="n"/>
      <c r="D2902" s="48" t="n"/>
      <c r="E2902" s="48" t="n"/>
      <c r="F2902" s="48" t="n"/>
      <c r="G2902" s="49" t="n"/>
      <c r="H2902" s="48" t="n"/>
      <c r="I2902" s="50" t="n"/>
      <c r="J2902" s="48" t="n"/>
      <c r="K2902" s="48" t="n"/>
      <c r="L2902" s="48" t="n"/>
      <c r="M2902" s="48" t="n"/>
      <c r="N2902" s="48" t="n"/>
      <c r="O2902" s="51">
        <f>IF(AND(B2902="",G2902="",C2902="",D2902="",J2902=""),"",IF(B2902="","⚠ Falta fecha",IF(G2902="","⚠ Falta monto",IF(Q2902="","⚠ Falta cuenta",IF(ISNA(MATCH(Q2902,ctaNombre,0)),"⚠ Cuenta no registrada",IF(AND(OR(P2902="Gasto",P2902="Reembolso"),D2902=""),"⚠ Falta categoría",IF(AND(D2902&lt;&gt;"",E2902&lt;&gt;"",ISNA(MATCH(D2902&amp;"|"&amp;E2902,catClave,0))),"⚠ Subcategoría no corresponde",IF(AND(OR(P2902="Transferencia",P2902="Pago tarjeta"),K2902=""),"⚠ Falta cuenta destino",IF(AND(K2902&lt;&gt;"",P2902&lt;&gt;"Transferencia",P2902&lt;&gt;"Pago tarjeta"),"⚠ Destino solo aplica a transferencias",IF(AND(K2902&lt;&gt;"",K2902=Q2902),"⚠ Origen igual a destino",IF(AND(K2902&lt;&gt;"",ISNA(MATCH(K2902,ctaNombre,0))),"⚠ Destino no registrado",IF(AND(P2902="Pago tarjeta",AE2902&lt;&gt;"Tarjeta de crédito"),"⚠ El destino debe ser tarjeta de crédito",IF(AND(P2902="Gasto",E2902="Depósitos y retiros"),"⚠ Usa tipo Transferencia",IF(AND(P2902="Resultado trading",AD2902&lt;&gt;"Cuenta de trading"),"⚠ Usa una cuenta de trading",IF(AND(G2902&lt;=0,P2902&lt;&gt;"Ajuste",P2902&lt;&gt;"Resultado trading"),"⚠ El monto debe ser positivo","✓")))))))))))))))</f>
        <v/>
      </c>
      <c r="P2902" s="52">
        <f>IF(OR(B2902="",G2902=""),"",IF(C2902="","Gasto",C2902))</f>
        <v/>
      </c>
      <c r="Q2902" s="52">
        <f>IF(P2902="","",IF(J2902&lt;&gt;"",J2902,CuentaPred&amp;""))</f>
        <v/>
      </c>
      <c r="R2902" s="52">
        <f>IF(P2902="","",IF(ISNUMBER(I2902),I2902,TasaUSD))</f>
        <v/>
      </c>
      <c r="S2902" s="53">
        <f>IF(P2902="","",IF(H2902="USD",G2902*R2902,G2902))</f>
        <v/>
      </c>
      <c r="T2902" s="53">
        <f>IF(P2902="","",IF(H2902="USD",G2902,IF(R2902&gt;0,G2902/R2902,0)))</f>
        <v/>
      </c>
      <c r="U2902" s="53">
        <f>IF(P2902="","",IF(P2902="Gasto",S2902,IF(P2902="Reembolso",-S2902,0)))</f>
        <v/>
      </c>
      <c r="V2902" s="53">
        <f>IF(P2902="","",IF(P2902="Ingreso",S2902,0))</f>
        <v/>
      </c>
      <c r="W2902" s="53">
        <f>IF(P2902="","",IF(P2902="Resultado trading",S2902,0))</f>
        <v/>
      </c>
      <c r="X2902" s="52">
        <f>IF(OR(P2902="Gasto",P2902="Reembolso"),IF(M2902&lt;&gt;"",M2902,IFERROR(INDEX(catClasif,MATCH(D2902&amp;"|"&amp;E2902,catClave,0))&amp;"","Variable")),"")</f>
        <v/>
      </c>
      <c r="Y2902" s="52">
        <f>IF(P2902="","",IFERROR(INDEX(catGrupo,MATCH(D2902&amp;"|"&amp;E2902,catClave,0))&amp;"",""))</f>
        <v/>
      </c>
      <c r="Z2902" s="52">
        <f>IF(P2902="","",WEEKDAY(B2902,2))</f>
        <v/>
      </c>
      <c r="AA2902" s="52">
        <f>IF(P2902="","",IF(AND(P2902="Gasto",X2902="Variable",D2902&lt;&gt;catTrading,S2902&gt;0,S2902&lt;=Umbral),1,0))</f>
        <v/>
      </c>
      <c r="AB2902" s="52">
        <f>IF(OR(P2902="",Q2902=""),"",IFERROR(IF(INDEX(ctaVinc,MATCH(Q2902,ctaNombre,0))&amp;""&lt;&gt;"",INDEX(ctaVinc,MATCH(Q2902,ctaNombre,0))&amp;"",Q2902),Q2902))</f>
        <v/>
      </c>
      <c r="AC2902" s="52">
        <f>IF(OR(K2902="",AND(P2902&lt;&gt;"Transferencia",P2902&lt;&gt;"Pago tarjeta")),"",IFERROR(IF(INDEX(ctaVinc,MATCH(K2902,ctaNombre,0))&amp;""&lt;&gt;"",INDEX(ctaVinc,MATCH(K2902,ctaNombre,0))&amp;"",K2902),K2902))</f>
        <v/>
      </c>
      <c r="AD2902" s="52">
        <f>IF(AB2902="","",IFERROR(INDEX(ctaTipo,MATCH(AB2902,ctaNombre,0))&amp;"",""))</f>
        <v/>
      </c>
      <c r="AE2902" s="52">
        <f>IF(AC2902="","",IFERROR(INDEX(ctaTipo,MATCH(AC2902,ctaNombre,0))&amp;"",""))</f>
        <v/>
      </c>
      <c r="AF2902" s="53">
        <f>IF(OR(P2902="",AB2902=""),"",IF(OR(P2902="Gasto",P2902="Transferencia",P2902="Pago tarjeta"),-1,1)*IF(IFERROR(INDEX(ctaMoneda,MATCH(AB2902,ctaNombre,0))&amp;"","DOP")="USD",T2902,S2902))</f>
        <v/>
      </c>
      <c r="AG2902" s="53">
        <f>IF(AC2902="","",IF(IFERROR(INDEX(ctaMoneda,MATCH(AC2902,ctaNombre,0))&amp;"","DOP")="USD",T2902,S2902))</f>
        <v/>
      </c>
      <c r="AH2902" s="53">
        <f>IF(P2902="","",IF(AND(AD2902&lt;&gt;"",COUNTIFS(tcTipo,AD2902,tcLiq,"Sí")&gt;0),IF(OR(P2902="Gasto",P2902="Transferencia",P2902="Pago tarjeta"),-1,1)*S2902,0)+IF(AND(AE2902&lt;&gt;"",COUNTIFS(tcTipo,AE2902,tcLiq,"Sí")&gt;0),S2902,0))</f>
        <v/>
      </c>
      <c r="AI2902" s="52">
        <f>IF(OR(L2902="",P2902=""),"",IF(COUNTIFS(L$6:L2902,L2902,P$6:P2902,"?*")=1,MAX(AI$5:AI2901)+1,""))</f>
        <v/>
      </c>
    </row>
    <row r="2903">
      <c r="B2903" s="47" t="n"/>
      <c r="C2903" s="48" t="n"/>
      <c r="D2903" s="48" t="n"/>
      <c r="E2903" s="48" t="n"/>
      <c r="F2903" s="48" t="n"/>
      <c r="G2903" s="49" t="n"/>
      <c r="H2903" s="48" t="n"/>
      <c r="I2903" s="50" t="n"/>
      <c r="J2903" s="48" t="n"/>
      <c r="K2903" s="48" t="n"/>
      <c r="L2903" s="48" t="n"/>
      <c r="M2903" s="48" t="n"/>
      <c r="N2903" s="48" t="n"/>
      <c r="O2903" s="51">
        <f>IF(AND(B2903="",G2903="",C2903="",D2903="",J2903=""),"",IF(B2903="","⚠ Falta fecha",IF(G2903="","⚠ Falta monto",IF(Q2903="","⚠ Falta cuenta",IF(ISNA(MATCH(Q2903,ctaNombre,0)),"⚠ Cuenta no registrada",IF(AND(OR(P2903="Gasto",P2903="Reembolso"),D2903=""),"⚠ Falta categoría",IF(AND(D2903&lt;&gt;"",E2903&lt;&gt;"",ISNA(MATCH(D2903&amp;"|"&amp;E2903,catClave,0))),"⚠ Subcategoría no corresponde",IF(AND(OR(P2903="Transferencia",P2903="Pago tarjeta"),K2903=""),"⚠ Falta cuenta destino",IF(AND(K2903&lt;&gt;"",P2903&lt;&gt;"Transferencia",P2903&lt;&gt;"Pago tarjeta"),"⚠ Destino solo aplica a transferencias",IF(AND(K2903&lt;&gt;"",K2903=Q2903),"⚠ Origen igual a destino",IF(AND(K2903&lt;&gt;"",ISNA(MATCH(K2903,ctaNombre,0))),"⚠ Destino no registrado",IF(AND(P2903="Pago tarjeta",AE2903&lt;&gt;"Tarjeta de crédito"),"⚠ El destino debe ser tarjeta de crédito",IF(AND(P2903="Gasto",E2903="Depósitos y retiros"),"⚠ Usa tipo Transferencia",IF(AND(P2903="Resultado trading",AD2903&lt;&gt;"Cuenta de trading"),"⚠ Usa una cuenta de trading",IF(AND(G2903&lt;=0,P2903&lt;&gt;"Ajuste",P2903&lt;&gt;"Resultado trading"),"⚠ El monto debe ser positivo","✓")))))))))))))))</f>
        <v/>
      </c>
      <c r="P2903" s="52">
        <f>IF(OR(B2903="",G2903=""),"",IF(C2903="","Gasto",C2903))</f>
        <v/>
      </c>
      <c r="Q2903" s="52">
        <f>IF(P2903="","",IF(J2903&lt;&gt;"",J2903,CuentaPred&amp;""))</f>
        <v/>
      </c>
      <c r="R2903" s="52">
        <f>IF(P2903="","",IF(ISNUMBER(I2903),I2903,TasaUSD))</f>
        <v/>
      </c>
      <c r="S2903" s="53">
        <f>IF(P2903="","",IF(H2903="USD",G2903*R2903,G2903))</f>
        <v/>
      </c>
      <c r="T2903" s="53">
        <f>IF(P2903="","",IF(H2903="USD",G2903,IF(R2903&gt;0,G2903/R2903,0)))</f>
        <v/>
      </c>
      <c r="U2903" s="53">
        <f>IF(P2903="","",IF(P2903="Gasto",S2903,IF(P2903="Reembolso",-S2903,0)))</f>
        <v/>
      </c>
      <c r="V2903" s="53">
        <f>IF(P2903="","",IF(P2903="Ingreso",S2903,0))</f>
        <v/>
      </c>
      <c r="W2903" s="53">
        <f>IF(P2903="","",IF(P2903="Resultado trading",S2903,0))</f>
        <v/>
      </c>
      <c r="X2903" s="52">
        <f>IF(OR(P2903="Gasto",P2903="Reembolso"),IF(M2903&lt;&gt;"",M2903,IFERROR(INDEX(catClasif,MATCH(D2903&amp;"|"&amp;E2903,catClave,0))&amp;"","Variable")),"")</f>
        <v/>
      </c>
      <c r="Y2903" s="52">
        <f>IF(P2903="","",IFERROR(INDEX(catGrupo,MATCH(D2903&amp;"|"&amp;E2903,catClave,0))&amp;"",""))</f>
        <v/>
      </c>
      <c r="Z2903" s="52">
        <f>IF(P2903="","",WEEKDAY(B2903,2))</f>
        <v/>
      </c>
      <c r="AA2903" s="52">
        <f>IF(P2903="","",IF(AND(P2903="Gasto",X2903="Variable",D2903&lt;&gt;catTrading,S2903&gt;0,S2903&lt;=Umbral),1,0))</f>
        <v/>
      </c>
      <c r="AB2903" s="52">
        <f>IF(OR(P2903="",Q2903=""),"",IFERROR(IF(INDEX(ctaVinc,MATCH(Q2903,ctaNombre,0))&amp;""&lt;&gt;"",INDEX(ctaVinc,MATCH(Q2903,ctaNombre,0))&amp;"",Q2903),Q2903))</f>
        <v/>
      </c>
      <c r="AC2903" s="52">
        <f>IF(OR(K2903="",AND(P2903&lt;&gt;"Transferencia",P2903&lt;&gt;"Pago tarjeta")),"",IFERROR(IF(INDEX(ctaVinc,MATCH(K2903,ctaNombre,0))&amp;""&lt;&gt;"",INDEX(ctaVinc,MATCH(K2903,ctaNombre,0))&amp;"",K2903),K2903))</f>
        <v/>
      </c>
      <c r="AD2903" s="52">
        <f>IF(AB2903="","",IFERROR(INDEX(ctaTipo,MATCH(AB2903,ctaNombre,0))&amp;"",""))</f>
        <v/>
      </c>
      <c r="AE2903" s="52">
        <f>IF(AC2903="","",IFERROR(INDEX(ctaTipo,MATCH(AC2903,ctaNombre,0))&amp;"",""))</f>
        <v/>
      </c>
      <c r="AF2903" s="53">
        <f>IF(OR(P2903="",AB2903=""),"",IF(OR(P2903="Gasto",P2903="Transferencia",P2903="Pago tarjeta"),-1,1)*IF(IFERROR(INDEX(ctaMoneda,MATCH(AB2903,ctaNombre,0))&amp;"","DOP")="USD",T2903,S2903))</f>
        <v/>
      </c>
      <c r="AG2903" s="53">
        <f>IF(AC2903="","",IF(IFERROR(INDEX(ctaMoneda,MATCH(AC2903,ctaNombre,0))&amp;"","DOP")="USD",T2903,S2903))</f>
        <v/>
      </c>
      <c r="AH2903" s="53">
        <f>IF(P2903="","",IF(AND(AD2903&lt;&gt;"",COUNTIFS(tcTipo,AD2903,tcLiq,"Sí")&gt;0),IF(OR(P2903="Gasto",P2903="Transferencia",P2903="Pago tarjeta"),-1,1)*S2903,0)+IF(AND(AE2903&lt;&gt;"",COUNTIFS(tcTipo,AE2903,tcLiq,"Sí")&gt;0),S2903,0))</f>
        <v/>
      </c>
      <c r="AI2903" s="52">
        <f>IF(OR(L2903="",P2903=""),"",IF(COUNTIFS(L$6:L2903,L2903,P$6:P2903,"?*")=1,MAX(AI$5:AI2902)+1,""))</f>
        <v/>
      </c>
    </row>
    <row r="2904">
      <c r="B2904" s="47" t="n"/>
      <c r="C2904" s="48" t="n"/>
      <c r="D2904" s="48" t="n"/>
      <c r="E2904" s="48" t="n"/>
      <c r="F2904" s="48" t="n"/>
      <c r="G2904" s="49" t="n"/>
      <c r="H2904" s="48" t="n"/>
      <c r="I2904" s="50" t="n"/>
      <c r="J2904" s="48" t="n"/>
      <c r="K2904" s="48" t="n"/>
      <c r="L2904" s="48" t="n"/>
      <c r="M2904" s="48" t="n"/>
      <c r="N2904" s="48" t="n"/>
      <c r="O2904" s="51">
        <f>IF(AND(B2904="",G2904="",C2904="",D2904="",J2904=""),"",IF(B2904="","⚠ Falta fecha",IF(G2904="","⚠ Falta monto",IF(Q2904="","⚠ Falta cuenta",IF(ISNA(MATCH(Q2904,ctaNombre,0)),"⚠ Cuenta no registrada",IF(AND(OR(P2904="Gasto",P2904="Reembolso"),D2904=""),"⚠ Falta categoría",IF(AND(D2904&lt;&gt;"",E2904&lt;&gt;"",ISNA(MATCH(D2904&amp;"|"&amp;E2904,catClave,0))),"⚠ Subcategoría no corresponde",IF(AND(OR(P2904="Transferencia",P2904="Pago tarjeta"),K2904=""),"⚠ Falta cuenta destino",IF(AND(K2904&lt;&gt;"",P2904&lt;&gt;"Transferencia",P2904&lt;&gt;"Pago tarjeta"),"⚠ Destino solo aplica a transferencias",IF(AND(K2904&lt;&gt;"",K2904=Q2904),"⚠ Origen igual a destino",IF(AND(K2904&lt;&gt;"",ISNA(MATCH(K2904,ctaNombre,0))),"⚠ Destino no registrado",IF(AND(P2904="Pago tarjeta",AE2904&lt;&gt;"Tarjeta de crédito"),"⚠ El destino debe ser tarjeta de crédito",IF(AND(P2904="Gasto",E2904="Depósitos y retiros"),"⚠ Usa tipo Transferencia",IF(AND(P2904="Resultado trading",AD2904&lt;&gt;"Cuenta de trading"),"⚠ Usa una cuenta de trading",IF(AND(G2904&lt;=0,P2904&lt;&gt;"Ajuste",P2904&lt;&gt;"Resultado trading"),"⚠ El monto debe ser positivo","✓")))))))))))))))</f>
        <v/>
      </c>
      <c r="P2904" s="52">
        <f>IF(OR(B2904="",G2904=""),"",IF(C2904="","Gasto",C2904))</f>
        <v/>
      </c>
      <c r="Q2904" s="52">
        <f>IF(P2904="","",IF(J2904&lt;&gt;"",J2904,CuentaPred&amp;""))</f>
        <v/>
      </c>
      <c r="R2904" s="52">
        <f>IF(P2904="","",IF(ISNUMBER(I2904),I2904,TasaUSD))</f>
        <v/>
      </c>
      <c r="S2904" s="53">
        <f>IF(P2904="","",IF(H2904="USD",G2904*R2904,G2904))</f>
        <v/>
      </c>
      <c r="T2904" s="53">
        <f>IF(P2904="","",IF(H2904="USD",G2904,IF(R2904&gt;0,G2904/R2904,0)))</f>
        <v/>
      </c>
      <c r="U2904" s="53">
        <f>IF(P2904="","",IF(P2904="Gasto",S2904,IF(P2904="Reembolso",-S2904,0)))</f>
        <v/>
      </c>
      <c r="V2904" s="53">
        <f>IF(P2904="","",IF(P2904="Ingreso",S2904,0))</f>
        <v/>
      </c>
      <c r="W2904" s="53">
        <f>IF(P2904="","",IF(P2904="Resultado trading",S2904,0))</f>
        <v/>
      </c>
      <c r="X2904" s="52">
        <f>IF(OR(P2904="Gasto",P2904="Reembolso"),IF(M2904&lt;&gt;"",M2904,IFERROR(INDEX(catClasif,MATCH(D2904&amp;"|"&amp;E2904,catClave,0))&amp;"","Variable")),"")</f>
        <v/>
      </c>
      <c r="Y2904" s="52">
        <f>IF(P2904="","",IFERROR(INDEX(catGrupo,MATCH(D2904&amp;"|"&amp;E2904,catClave,0))&amp;"",""))</f>
        <v/>
      </c>
      <c r="Z2904" s="52">
        <f>IF(P2904="","",WEEKDAY(B2904,2))</f>
        <v/>
      </c>
      <c r="AA2904" s="52">
        <f>IF(P2904="","",IF(AND(P2904="Gasto",X2904="Variable",D2904&lt;&gt;catTrading,S2904&gt;0,S2904&lt;=Umbral),1,0))</f>
        <v/>
      </c>
      <c r="AB2904" s="52">
        <f>IF(OR(P2904="",Q2904=""),"",IFERROR(IF(INDEX(ctaVinc,MATCH(Q2904,ctaNombre,0))&amp;""&lt;&gt;"",INDEX(ctaVinc,MATCH(Q2904,ctaNombre,0))&amp;"",Q2904),Q2904))</f>
        <v/>
      </c>
      <c r="AC2904" s="52">
        <f>IF(OR(K2904="",AND(P2904&lt;&gt;"Transferencia",P2904&lt;&gt;"Pago tarjeta")),"",IFERROR(IF(INDEX(ctaVinc,MATCH(K2904,ctaNombre,0))&amp;""&lt;&gt;"",INDEX(ctaVinc,MATCH(K2904,ctaNombre,0))&amp;"",K2904),K2904))</f>
        <v/>
      </c>
      <c r="AD2904" s="52">
        <f>IF(AB2904="","",IFERROR(INDEX(ctaTipo,MATCH(AB2904,ctaNombre,0))&amp;"",""))</f>
        <v/>
      </c>
      <c r="AE2904" s="52">
        <f>IF(AC2904="","",IFERROR(INDEX(ctaTipo,MATCH(AC2904,ctaNombre,0))&amp;"",""))</f>
        <v/>
      </c>
      <c r="AF2904" s="53">
        <f>IF(OR(P2904="",AB2904=""),"",IF(OR(P2904="Gasto",P2904="Transferencia",P2904="Pago tarjeta"),-1,1)*IF(IFERROR(INDEX(ctaMoneda,MATCH(AB2904,ctaNombre,0))&amp;"","DOP")="USD",T2904,S2904))</f>
        <v/>
      </c>
      <c r="AG2904" s="53">
        <f>IF(AC2904="","",IF(IFERROR(INDEX(ctaMoneda,MATCH(AC2904,ctaNombre,0))&amp;"","DOP")="USD",T2904,S2904))</f>
        <v/>
      </c>
      <c r="AH2904" s="53">
        <f>IF(P2904="","",IF(AND(AD2904&lt;&gt;"",COUNTIFS(tcTipo,AD2904,tcLiq,"Sí")&gt;0),IF(OR(P2904="Gasto",P2904="Transferencia",P2904="Pago tarjeta"),-1,1)*S2904,0)+IF(AND(AE2904&lt;&gt;"",COUNTIFS(tcTipo,AE2904,tcLiq,"Sí")&gt;0),S2904,0))</f>
        <v/>
      </c>
      <c r="AI2904" s="52">
        <f>IF(OR(L2904="",P2904=""),"",IF(COUNTIFS(L$6:L2904,L2904,P$6:P2904,"?*")=1,MAX(AI$5:AI2903)+1,""))</f>
        <v/>
      </c>
    </row>
    <row r="2905">
      <c r="B2905" s="47" t="n"/>
      <c r="C2905" s="48" t="n"/>
      <c r="D2905" s="48" t="n"/>
      <c r="E2905" s="48" t="n"/>
      <c r="F2905" s="48" t="n"/>
      <c r="G2905" s="49" t="n"/>
      <c r="H2905" s="48" t="n"/>
      <c r="I2905" s="50" t="n"/>
      <c r="J2905" s="48" t="n"/>
      <c r="K2905" s="48" t="n"/>
      <c r="L2905" s="48" t="n"/>
      <c r="M2905" s="48" t="n"/>
      <c r="N2905" s="48" t="n"/>
      <c r="O2905" s="51">
        <f>IF(AND(B2905="",G2905="",C2905="",D2905="",J2905=""),"",IF(B2905="","⚠ Falta fecha",IF(G2905="","⚠ Falta monto",IF(Q2905="","⚠ Falta cuenta",IF(ISNA(MATCH(Q2905,ctaNombre,0)),"⚠ Cuenta no registrada",IF(AND(OR(P2905="Gasto",P2905="Reembolso"),D2905=""),"⚠ Falta categoría",IF(AND(D2905&lt;&gt;"",E2905&lt;&gt;"",ISNA(MATCH(D2905&amp;"|"&amp;E2905,catClave,0))),"⚠ Subcategoría no corresponde",IF(AND(OR(P2905="Transferencia",P2905="Pago tarjeta"),K2905=""),"⚠ Falta cuenta destino",IF(AND(K2905&lt;&gt;"",P2905&lt;&gt;"Transferencia",P2905&lt;&gt;"Pago tarjeta"),"⚠ Destino solo aplica a transferencias",IF(AND(K2905&lt;&gt;"",K2905=Q2905),"⚠ Origen igual a destino",IF(AND(K2905&lt;&gt;"",ISNA(MATCH(K2905,ctaNombre,0))),"⚠ Destino no registrado",IF(AND(P2905="Pago tarjeta",AE2905&lt;&gt;"Tarjeta de crédito"),"⚠ El destino debe ser tarjeta de crédito",IF(AND(P2905="Gasto",E2905="Depósitos y retiros"),"⚠ Usa tipo Transferencia",IF(AND(P2905="Resultado trading",AD2905&lt;&gt;"Cuenta de trading"),"⚠ Usa una cuenta de trading",IF(AND(G2905&lt;=0,P2905&lt;&gt;"Ajuste",P2905&lt;&gt;"Resultado trading"),"⚠ El monto debe ser positivo","✓")))))))))))))))</f>
        <v/>
      </c>
      <c r="P2905" s="52">
        <f>IF(OR(B2905="",G2905=""),"",IF(C2905="","Gasto",C2905))</f>
        <v/>
      </c>
      <c r="Q2905" s="52">
        <f>IF(P2905="","",IF(J2905&lt;&gt;"",J2905,CuentaPred&amp;""))</f>
        <v/>
      </c>
      <c r="R2905" s="52">
        <f>IF(P2905="","",IF(ISNUMBER(I2905),I2905,TasaUSD))</f>
        <v/>
      </c>
      <c r="S2905" s="53">
        <f>IF(P2905="","",IF(H2905="USD",G2905*R2905,G2905))</f>
        <v/>
      </c>
      <c r="T2905" s="53">
        <f>IF(P2905="","",IF(H2905="USD",G2905,IF(R2905&gt;0,G2905/R2905,0)))</f>
        <v/>
      </c>
      <c r="U2905" s="53">
        <f>IF(P2905="","",IF(P2905="Gasto",S2905,IF(P2905="Reembolso",-S2905,0)))</f>
        <v/>
      </c>
      <c r="V2905" s="53">
        <f>IF(P2905="","",IF(P2905="Ingreso",S2905,0))</f>
        <v/>
      </c>
      <c r="W2905" s="53">
        <f>IF(P2905="","",IF(P2905="Resultado trading",S2905,0))</f>
        <v/>
      </c>
      <c r="X2905" s="52">
        <f>IF(OR(P2905="Gasto",P2905="Reembolso"),IF(M2905&lt;&gt;"",M2905,IFERROR(INDEX(catClasif,MATCH(D2905&amp;"|"&amp;E2905,catClave,0))&amp;"","Variable")),"")</f>
        <v/>
      </c>
      <c r="Y2905" s="52">
        <f>IF(P2905="","",IFERROR(INDEX(catGrupo,MATCH(D2905&amp;"|"&amp;E2905,catClave,0))&amp;"",""))</f>
        <v/>
      </c>
      <c r="Z2905" s="52">
        <f>IF(P2905="","",WEEKDAY(B2905,2))</f>
        <v/>
      </c>
      <c r="AA2905" s="52">
        <f>IF(P2905="","",IF(AND(P2905="Gasto",X2905="Variable",D2905&lt;&gt;catTrading,S2905&gt;0,S2905&lt;=Umbral),1,0))</f>
        <v/>
      </c>
      <c r="AB2905" s="52">
        <f>IF(OR(P2905="",Q2905=""),"",IFERROR(IF(INDEX(ctaVinc,MATCH(Q2905,ctaNombre,0))&amp;""&lt;&gt;"",INDEX(ctaVinc,MATCH(Q2905,ctaNombre,0))&amp;"",Q2905),Q2905))</f>
        <v/>
      </c>
      <c r="AC2905" s="52">
        <f>IF(OR(K2905="",AND(P2905&lt;&gt;"Transferencia",P2905&lt;&gt;"Pago tarjeta")),"",IFERROR(IF(INDEX(ctaVinc,MATCH(K2905,ctaNombre,0))&amp;""&lt;&gt;"",INDEX(ctaVinc,MATCH(K2905,ctaNombre,0))&amp;"",K2905),K2905))</f>
        <v/>
      </c>
      <c r="AD2905" s="52">
        <f>IF(AB2905="","",IFERROR(INDEX(ctaTipo,MATCH(AB2905,ctaNombre,0))&amp;"",""))</f>
        <v/>
      </c>
      <c r="AE2905" s="52">
        <f>IF(AC2905="","",IFERROR(INDEX(ctaTipo,MATCH(AC2905,ctaNombre,0))&amp;"",""))</f>
        <v/>
      </c>
      <c r="AF2905" s="53">
        <f>IF(OR(P2905="",AB2905=""),"",IF(OR(P2905="Gasto",P2905="Transferencia",P2905="Pago tarjeta"),-1,1)*IF(IFERROR(INDEX(ctaMoneda,MATCH(AB2905,ctaNombre,0))&amp;"","DOP")="USD",T2905,S2905))</f>
        <v/>
      </c>
      <c r="AG2905" s="53">
        <f>IF(AC2905="","",IF(IFERROR(INDEX(ctaMoneda,MATCH(AC2905,ctaNombre,0))&amp;"","DOP")="USD",T2905,S2905))</f>
        <v/>
      </c>
      <c r="AH2905" s="53">
        <f>IF(P2905="","",IF(AND(AD2905&lt;&gt;"",COUNTIFS(tcTipo,AD2905,tcLiq,"Sí")&gt;0),IF(OR(P2905="Gasto",P2905="Transferencia",P2905="Pago tarjeta"),-1,1)*S2905,0)+IF(AND(AE2905&lt;&gt;"",COUNTIFS(tcTipo,AE2905,tcLiq,"Sí")&gt;0),S2905,0))</f>
        <v/>
      </c>
      <c r="AI2905" s="52">
        <f>IF(OR(L2905="",P2905=""),"",IF(COUNTIFS(L$6:L2905,L2905,P$6:P2905,"?*")=1,MAX(AI$5:AI2904)+1,""))</f>
        <v/>
      </c>
    </row>
    <row r="2906">
      <c r="B2906" s="47" t="n"/>
      <c r="C2906" s="48" t="n"/>
      <c r="D2906" s="48" t="n"/>
      <c r="E2906" s="48" t="n"/>
      <c r="F2906" s="48" t="n"/>
      <c r="G2906" s="49" t="n"/>
      <c r="H2906" s="48" t="n"/>
      <c r="I2906" s="50" t="n"/>
      <c r="J2906" s="48" t="n"/>
      <c r="K2906" s="48" t="n"/>
      <c r="L2906" s="48" t="n"/>
      <c r="M2906" s="48" t="n"/>
      <c r="N2906" s="48" t="n"/>
      <c r="O2906" s="51">
        <f>IF(AND(B2906="",G2906="",C2906="",D2906="",J2906=""),"",IF(B2906="","⚠ Falta fecha",IF(G2906="","⚠ Falta monto",IF(Q2906="","⚠ Falta cuenta",IF(ISNA(MATCH(Q2906,ctaNombre,0)),"⚠ Cuenta no registrada",IF(AND(OR(P2906="Gasto",P2906="Reembolso"),D2906=""),"⚠ Falta categoría",IF(AND(D2906&lt;&gt;"",E2906&lt;&gt;"",ISNA(MATCH(D2906&amp;"|"&amp;E2906,catClave,0))),"⚠ Subcategoría no corresponde",IF(AND(OR(P2906="Transferencia",P2906="Pago tarjeta"),K2906=""),"⚠ Falta cuenta destino",IF(AND(K2906&lt;&gt;"",P2906&lt;&gt;"Transferencia",P2906&lt;&gt;"Pago tarjeta"),"⚠ Destino solo aplica a transferencias",IF(AND(K2906&lt;&gt;"",K2906=Q2906),"⚠ Origen igual a destino",IF(AND(K2906&lt;&gt;"",ISNA(MATCH(K2906,ctaNombre,0))),"⚠ Destino no registrado",IF(AND(P2906="Pago tarjeta",AE2906&lt;&gt;"Tarjeta de crédito"),"⚠ El destino debe ser tarjeta de crédito",IF(AND(P2906="Gasto",E2906="Depósitos y retiros"),"⚠ Usa tipo Transferencia",IF(AND(P2906="Resultado trading",AD2906&lt;&gt;"Cuenta de trading"),"⚠ Usa una cuenta de trading",IF(AND(G2906&lt;=0,P2906&lt;&gt;"Ajuste",P2906&lt;&gt;"Resultado trading"),"⚠ El monto debe ser positivo","✓")))))))))))))))</f>
        <v/>
      </c>
      <c r="P2906" s="52">
        <f>IF(OR(B2906="",G2906=""),"",IF(C2906="","Gasto",C2906))</f>
        <v/>
      </c>
      <c r="Q2906" s="52">
        <f>IF(P2906="","",IF(J2906&lt;&gt;"",J2906,CuentaPred&amp;""))</f>
        <v/>
      </c>
      <c r="R2906" s="52">
        <f>IF(P2906="","",IF(ISNUMBER(I2906),I2906,TasaUSD))</f>
        <v/>
      </c>
      <c r="S2906" s="53">
        <f>IF(P2906="","",IF(H2906="USD",G2906*R2906,G2906))</f>
        <v/>
      </c>
      <c r="T2906" s="53">
        <f>IF(P2906="","",IF(H2906="USD",G2906,IF(R2906&gt;0,G2906/R2906,0)))</f>
        <v/>
      </c>
      <c r="U2906" s="53">
        <f>IF(P2906="","",IF(P2906="Gasto",S2906,IF(P2906="Reembolso",-S2906,0)))</f>
        <v/>
      </c>
      <c r="V2906" s="53">
        <f>IF(P2906="","",IF(P2906="Ingreso",S2906,0))</f>
        <v/>
      </c>
      <c r="W2906" s="53">
        <f>IF(P2906="","",IF(P2906="Resultado trading",S2906,0))</f>
        <v/>
      </c>
      <c r="X2906" s="52">
        <f>IF(OR(P2906="Gasto",P2906="Reembolso"),IF(M2906&lt;&gt;"",M2906,IFERROR(INDEX(catClasif,MATCH(D2906&amp;"|"&amp;E2906,catClave,0))&amp;"","Variable")),"")</f>
        <v/>
      </c>
      <c r="Y2906" s="52">
        <f>IF(P2906="","",IFERROR(INDEX(catGrupo,MATCH(D2906&amp;"|"&amp;E2906,catClave,0))&amp;"",""))</f>
        <v/>
      </c>
      <c r="Z2906" s="52">
        <f>IF(P2906="","",WEEKDAY(B2906,2))</f>
        <v/>
      </c>
      <c r="AA2906" s="52">
        <f>IF(P2906="","",IF(AND(P2906="Gasto",X2906="Variable",D2906&lt;&gt;catTrading,S2906&gt;0,S2906&lt;=Umbral),1,0))</f>
        <v/>
      </c>
      <c r="AB2906" s="52">
        <f>IF(OR(P2906="",Q2906=""),"",IFERROR(IF(INDEX(ctaVinc,MATCH(Q2906,ctaNombre,0))&amp;""&lt;&gt;"",INDEX(ctaVinc,MATCH(Q2906,ctaNombre,0))&amp;"",Q2906),Q2906))</f>
        <v/>
      </c>
      <c r="AC2906" s="52">
        <f>IF(OR(K2906="",AND(P2906&lt;&gt;"Transferencia",P2906&lt;&gt;"Pago tarjeta")),"",IFERROR(IF(INDEX(ctaVinc,MATCH(K2906,ctaNombre,0))&amp;""&lt;&gt;"",INDEX(ctaVinc,MATCH(K2906,ctaNombre,0))&amp;"",K2906),K2906))</f>
        <v/>
      </c>
      <c r="AD2906" s="52">
        <f>IF(AB2906="","",IFERROR(INDEX(ctaTipo,MATCH(AB2906,ctaNombre,0))&amp;"",""))</f>
        <v/>
      </c>
      <c r="AE2906" s="52">
        <f>IF(AC2906="","",IFERROR(INDEX(ctaTipo,MATCH(AC2906,ctaNombre,0))&amp;"",""))</f>
        <v/>
      </c>
      <c r="AF2906" s="53">
        <f>IF(OR(P2906="",AB2906=""),"",IF(OR(P2906="Gasto",P2906="Transferencia",P2906="Pago tarjeta"),-1,1)*IF(IFERROR(INDEX(ctaMoneda,MATCH(AB2906,ctaNombre,0))&amp;"","DOP")="USD",T2906,S2906))</f>
        <v/>
      </c>
      <c r="AG2906" s="53">
        <f>IF(AC2906="","",IF(IFERROR(INDEX(ctaMoneda,MATCH(AC2906,ctaNombre,0))&amp;"","DOP")="USD",T2906,S2906))</f>
        <v/>
      </c>
      <c r="AH2906" s="53">
        <f>IF(P2906="","",IF(AND(AD2906&lt;&gt;"",COUNTIFS(tcTipo,AD2906,tcLiq,"Sí")&gt;0),IF(OR(P2906="Gasto",P2906="Transferencia",P2906="Pago tarjeta"),-1,1)*S2906,0)+IF(AND(AE2906&lt;&gt;"",COUNTIFS(tcTipo,AE2906,tcLiq,"Sí")&gt;0),S2906,0))</f>
        <v/>
      </c>
      <c r="AI2906" s="52">
        <f>IF(OR(L2906="",P2906=""),"",IF(COUNTIFS(L$6:L2906,L2906,P$6:P2906,"?*")=1,MAX(AI$5:AI2905)+1,""))</f>
        <v/>
      </c>
    </row>
    <row r="2907">
      <c r="B2907" s="47" t="n"/>
      <c r="C2907" s="48" t="n"/>
      <c r="D2907" s="48" t="n"/>
      <c r="E2907" s="48" t="n"/>
      <c r="F2907" s="48" t="n"/>
      <c r="G2907" s="49" t="n"/>
      <c r="H2907" s="48" t="n"/>
      <c r="I2907" s="50" t="n"/>
      <c r="J2907" s="48" t="n"/>
      <c r="K2907" s="48" t="n"/>
      <c r="L2907" s="48" t="n"/>
      <c r="M2907" s="48" t="n"/>
      <c r="N2907" s="48" t="n"/>
      <c r="O2907" s="51">
        <f>IF(AND(B2907="",G2907="",C2907="",D2907="",J2907=""),"",IF(B2907="","⚠ Falta fecha",IF(G2907="","⚠ Falta monto",IF(Q2907="","⚠ Falta cuenta",IF(ISNA(MATCH(Q2907,ctaNombre,0)),"⚠ Cuenta no registrada",IF(AND(OR(P2907="Gasto",P2907="Reembolso"),D2907=""),"⚠ Falta categoría",IF(AND(D2907&lt;&gt;"",E2907&lt;&gt;"",ISNA(MATCH(D2907&amp;"|"&amp;E2907,catClave,0))),"⚠ Subcategoría no corresponde",IF(AND(OR(P2907="Transferencia",P2907="Pago tarjeta"),K2907=""),"⚠ Falta cuenta destino",IF(AND(K2907&lt;&gt;"",P2907&lt;&gt;"Transferencia",P2907&lt;&gt;"Pago tarjeta"),"⚠ Destino solo aplica a transferencias",IF(AND(K2907&lt;&gt;"",K2907=Q2907),"⚠ Origen igual a destino",IF(AND(K2907&lt;&gt;"",ISNA(MATCH(K2907,ctaNombre,0))),"⚠ Destino no registrado",IF(AND(P2907="Pago tarjeta",AE2907&lt;&gt;"Tarjeta de crédito"),"⚠ El destino debe ser tarjeta de crédito",IF(AND(P2907="Gasto",E2907="Depósitos y retiros"),"⚠ Usa tipo Transferencia",IF(AND(P2907="Resultado trading",AD2907&lt;&gt;"Cuenta de trading"),"⚠ Usa una cuenta de trading",IF(AND(G2907&lt;=0,P2907&lt;&gt;"Ajuste",P2907&lt;&gt;"Resultado trading"),"⚠ El monto debe ser positivo","✓")))))))))))))))</f>
        <v/>
      </c>
      <c r="P2907" s="52">
        <f>IF(OR(B2907="",G2907=""),"",IF(C2907="","Gasto",C2907))</f>
        <v/>
      </c>
      <c r="Q2907" s="52">
        <f>IF(P2907="","",IF(J2907&lt;&gt;"",J2907,CuentaPred&amp;""))</f>
        <v/>
      </c>
      <c r="R2907" s="52">
        <f>IF(P2907="","",IF(ISNUMBER(I2907),I2907,TasaUSD))</f>
        <v/>
      </c>
      <c r="S2907" s="53">
        <f>IF(P2907="","",IF(H2907="USD",G2907*R2907,G2907))</f>
        <v/>
      </c>
      <c r="T2907" s="53">
        <f>IF(P2907="","",IF(H2907="USD",G2907,IF(R2907&gt;0,G2907/R2907,0)))</f>
        <v/>
      </c>
      <c r="U2907" s="53">
        <f>IF(P2907="","",IF(P2907="Gasto",S2907,IF(P2907="Reembolso",-S2907,0)))</f>
        <v/>
      </c>
      <c r="V2907" s="53">
        <f>IF(P2907="","",IF(P2907="Ingreso",S2907,0))</f>
        <v/>
      </c>
      <c r="W2907" s="53">
        <f>IF(P2907="","",IF(P2907="Resultado trading",S2907,0))</f>
        <v/>
      </c>
      <c r="X2907" s="52">
        <f>IF(OR(P2907="Gasto",P2907="Reembolso"),IF(M2907&lt;&gt;"",M2907,IFERROR(INDEX(catClasif,MATCH(D2907&amp;"|"&amp;E2907,catClave,0))&amp;"","Variable")),"")</f>
        <v/>
      </c>
      <c r="Y2907" s="52">
        <f>IF(P2907="","",IFERROR(INDEX(catGrupo,MATCH(D2907&amp;"|"&amp;E2907,catClave,0))&amp;"",""))</f>
        <v/>
      </c>
      <c r="Z2907" s="52">
        <f>IF(P2907="","",WEEKDAY(B2907,2))</f>
        <v/>
      </c>
      <c r="AA2907" s="52">
        <f>IF(P2907="","",IF(AND(P2907="Gasto",X2907="Variable",D2907&lt;&gt;catTrading,S2907&gt;0,S2907&lt;=Umbral),1,0))</f>
        <v/>
      </c>
      <c r="AB2907" s="52">
        <f>IF(OR(P2907="",Q2907=""),"",IFERROR(IF(INDEX(ctaVinc,MATCH(Q2907,ctaNombre,0))&amp;""&lt;&gt;"",INDEX(ctaVinc,MATCH(Q2907,ctaNombre,0))&amp;"",Q2907),Q2907))</f>
        <v/>
      </c>
      <c r="AC2907" s="52">
        <f>IF(OR(K2907="",AND(P2907&lt;&gt;"Transferencia",P2907&lt;&gt;"Pago tarjeta")),"",IFERROR(IF(INDEX(ctaVinc,MATCH(K2907,ctaNombre,0))&amp;""&lt;&gt;"",INDEX(ctaVinc,MATCH(K2907,ctaNombre,0))&amp;"",K2907),K2907))</f>
        <v/>
      </c>
      <c r="AD2907" s="52">
        <f>IF(AB2907="","",IFERROR(INDEX(ctaTipo,MATCH(AB2907,ctaNombre,0))&amp;"",""))</f>
        <v/>
      </c>
      <c r="AE2907" s="52">
        <f>IF(AC2907="","",IFERROR(INDEX(ctaTipo,MATCH(AC2907,ctaNombre,0))&amp;"",""))</f>
        <v/>
      </c>
      <c r="AF2907" s="53">
        <f>IF(OR(P2907="",AB2907=""),"",IF(OR(P2907="Gasto",P2907="Transferencia",P2907="Pago tarjeta"),-1,1)*IF(IFERROR(INDEX(ctaMoneda,MATCH(AB2907,ctaNombre,0))&amp;"","DOP")="USD",T2907,S2907))</f>
        <v/>
      </c>
      <c r="AG2907" s="53">
        <f>IF(AC2907="","",IF(IFERROR(INDEX(ctaMoneda,MATCH(AC2907,ctaNombre,0))&amp;"","DOP")="USD",T2907,S2907))</f>
        <v/>
      </c>
      <c r="AH2907" s="53">
        <f>IF(P2907="","",IF(AND(AD2907&lt;&gt;"",COUNTIFS(tcTipo,AD2907,tcLiq,"Sí")&gt;0),IF(OR(P2907="Gasto",P2907="Transferencia",P2907="Pago tarjeta"),-1,1)*S2907,0)+IF(AND(AE2907&lt;&gt;"",COUNTIFS(tcTipo,AE2907,tcLiq,"Sí")&gt;0),S2907,0))</f>
        <v/>
      </c>
      <c r="AI2907" s="52">
        <f>IF(OR(L2907="",P2907=""),"",IF(COUNTIFS(L$6:L2907,L2907,P$6:P2907,"?*")=1,MAX(AI$5:AI2906)+1,""))</f>
        <v/>
      </c>
    </row>
    <row r="2908">
      <c r="B2908" s="47" t="n"/>
      <c r="C2908" s="48" t="n"/>
      <c r="D2908" s="48" t="n"/>
      <c r="E2908" s="48" t="n"/>
      <c r="F2908" s="48" t="n"/>
      <c r="G2908" s="49" t="n"/>
      <c r="H2908" s="48" t="n"/>
      <c r="I2908" s="50" t="n"/>
      <c r="J2908" s="48" t="n"/>
      <c r="K2908" s="48" t="n"/>
      <c r="L2908" s="48" t="n"/>
      <c r="M2908" s="48" t="n"/>
      <c r="N2908" s="48" t="n"/>
      <c r="O2908" s="51">
        <f>IF(AND(B2908="",G2908="",C2908="",D2908="",J2908=""),"",IF(B2908="","⚠ Falta fecha",IF(G2908="","⚠ Falta monto",IF(Q2908="","⚠ Falta cuenta",IF(ISNA(MATCH(Q2908,ctaNombre,0)),"⚠ Cuenta no registrada",IF(AND(OR(P2908="Gasto",P2908="Reembolso"),D2908=""),"⚠ Falta categoría",IF(AND(D2908&lt;&gt;"",E2908&lt;&gt;"",ISNA(MATCH(D2908&amp;"|"&amp;E2908,catClave,0))),"⚠ Subcategoría no corresponde",IF(AND(OR(P2908="Transferencia",P2908="Pago tarjeta"),K2908=""),"⚠ Falta cuenta destino",IF(AND(K2908&lt;&gt;"",P2908&lt;&gt;"Transferencia",P2908&lt;&gt;"Pago tarjeta"),"⚠ Destino solo aplica a transferencias",IF(AND(K2908&lt;&gt;"",K2908=Q2908),"⚠ Origen igual a destino",IF(AND(K2908&lt;&gt;"",ISNA(MATCH(K2908,ctaNombre,0))),"⚠ Destino no registrado",IF(AND(P2908="Pago tarjeta",AE2908&lt;&gt;"Tarjeta de crédito"),"⚠ El destino debe ser tarjeta de crédito",IF(AND(P2908="Gasto",E2908="Depósitos y retiros"),"⚠ Usa tipo Transferencia",IF(AND(P2908="Resultado trading",AD2908&lt;&gt;"Cuenta de trading"),"⚠ Usa una cuenta de trading",IF(AND(G2908&lt;=0,P2908&lt;&gt;"Ajuste",P2908&lt;&gt;"Resultado trading"),"⚠ El monto debe ser positivo","✓")))))))))))))))</f>
        <v/>
      </c>
      <c r="P2908" s="52">
        <f>IF(OR(B2908="",G2908=""),"",IF(C2908="","Gasto",C2908))</f>
        <v/>
      </c>
      <c r="Q2908" s="52">
        <f>IF(P2908="","",IF(J2908&lt;&gt;"",J2908,CuentaPred&amp;""))</f>
        <v/>
      </c>
      <c r="R2908" s="52">
        <f>IF(P2908="","",IF(ISNUMBER(I2908),I2908,TasaUSD))</f>
        <v/>
      </c>
      <c r="S2908" s="53">
        <f>IF(P2908="","",IF(H2908="USD",G2908*R2908,G2908))</f>
        <v/>
      </c>
      <c r="T2908" s="53">
        <f>IF(P2908="","",IF(H2908="USD",G2908,IF(R2908&gt;0,G2908/R2908,0)))</f>
        <v/>
      </c>
      <c r="U2908" s="53">
        <f>IF(P2908="","",IF(P2908="Gasto",S2908,IF(P2908="Reembolso",-S2908,0)))</f>
        <v/>
      </c>
      <c r="V2908" s="53">
        <f>IF(P2908="","",IF(P2908="Ingreso",S2908,0))</f>
        <v/>
      </c>
      <c r="W2908" s="53">
        <f>IF(P2908="","",IF(P2908="Resultado trading",S2908,0))</f>
        <v/>
      </c>
      <c r="X2908" s="52">
        <f>IF(OR(P2908="Gasto",P2908="Reembolso"),IF(M2908&lt;&gt;"",M2908,IFERROR(INDEX(catClasif,MATCH(D2908&amp;"|"&amp;E2908,catClave,0))&amp;"","Variable")),"")</f>
        <v/>
      </c>
      <c r="Y2908" s="52">
        <f>IF(P2908="","",IFERROR(INDEX(catGrupo,MATCH(D2908&amp;"|"&amp;E2908,catClave,0))&amp;"",""))</f>
        <v/>
      </c>
      <c r="Z2908" s="52">
        <f>IF(P2908="","",WEEKDAY(B2908,2))</f>
        <v/>
      </c>
      <c r="AA2908" s="52">
        <f>IF(P2908="","",IF(AND(P2908="Gasto",X2908="Variable",D2908&lt;&gt;catTrading,S2908&gt;0,S2908&lt;=Umbral),1,0))</f>
        <v/>
      </c>
      <c r="AB2908" s="52">
        <f>IF(OR(P2908="",Q2908=""),"",IFERROR(IF(INDEX(ctaVinc,MATCH(Q2908,ctaNombre,0))&amp;""&lt;&gt;"",INDEX(ctaVinc,MATCH(Q2908,ctaNombre,0))&amp;"",Q2908),Q2908))</f>
        <v/>
      </c>
      <c r="AC2908" s="52">
        <f>IF(OR(K2908="",AND(P2908&lt;&gt;"Transferencia",P2908&lt;&gt;"Pago tarjeta")),"",IFERROR(IF(INDEX(ctaVinc,MATCH(K2908,ctaNombre,0))&amp;""&lt;&gt;"",INDEX(ctaVinc,MATCH(K2908,ctaNombre,0))&amp;"",K2908),K2908))</f>
        <v/>
      </c>
      <c r="AD2908" s="52">
        <f>IF(AB2908="","",IFERROR(INDEX(ctaTipo,MATCH(AB2908,ctaNombre,0))&amp;"",""))</f>
        <v/>
      </c>
      <c r="AE2908" s="52">
        <f>IF(AC2908="","",IFERROR(INDEX(ctaTipo,MATCH(AC2908,ctaNombre,0))&amp;"",""))</f>
        <v/>
      </c>
      <c r="AF2908" s="53">
        <f>IF(OR(P2908="",AB2908=""),"",IF(OR(P2908="Gasto",P2908="Transferencia",P2908="Pago tarjeta"),-1,1)*IF(IFERROR(INDEX(ctaMoneda,MATCH(AB2908,ctaNombre,0))&amp;"","DOP")="USD",T2908,S2908))</f>
        <v/>
      </c>
      <c r="AG2908" s="53">
        <f>IF(AC2908="","",IF(IFERROR(INDEX(ctaMoneda,MATCH(AC2908,ctaNombre,0))&amp;"","DOP")="USD",T2908,S2908))</f>
        <v/>
      </c>
      <c r="AH2908" s="53">
        <f>IF(P2908="","",IF(AND(AD2908&lt;&gt;"",COUNTIFS(tcTipo,AD2908,tcLiq,"Sí")&gt;0),IF(OR(P2908="Gasto",P2908="Transferencia",P2908="Pago tarjeta"),-1,1)*S2908,0)+IF(AND(AE2908&lt;&gt;"",COUNTIFS(tcTipo,AE2908,tcLiq,"Sí")&gt;0),S2908,0))</f>
        <v/>
      </c>
      <c r="AI2908" s="52">
        <f>IF(OR(L2908="",P2908=""),"",IF(COUNTIFS(L$6:L2908,L2908,P$6:P2908,"?*")=1,MAX(AI$5:AI2907)+1,""))</f>
        <v/>
      </c>
    </row>
    <row r="2909">
      <c r="B2909" s="47" t="n"/>
      <c r="C2909" s="48" t="n"/>
      <c r="D2909" s="48" t="n"/>
      <c r="E2909" s="48" t="n"/>
      <c r="F2909" s="48" t="n"/>
      <c r="G2909" s="49" t="n"/>
      <c r="H2909" s="48" t="n"/>
      <c r="I2909" s="50" t="n"/>
      <c r="J2909" s="48" t="n"/>
      <c r="K2909" s="48" t="n"/>
      <c r="L2909" s="48" t="n"/>
      <c r="M2909" s="48" t="n"/>
      <c r="N2909" s="48" t="n"/>
      <c r="O2909" s="51">
        <f>IF(AND(B2909="",G2909="",C2909="",D2909="",J2909=""),"",IF(B2909="","⚠ Falta fecha",IF(G2909="","⚠ Falta monto",IF(Q2909="","⚠ Falta cuenta",IF(ISNA(MATCH(Q2909,ctaNombre,0)),"⚠ Cuenta no registrada",IF(AND(OR(P2909="Gasto",P2909="Reembolso"),D2909=""),"⚠ Falta categoría",IF(AND(D2909&lt;&gt;"",E2909&lt;&gt;"",ISNA(MATCH(D2909&amp;"|"&amp;E2909,catClave,0))),"⚠ Subcategoría no corresponde",IF(AND(OR(P2909="Transferencia",P2909="Pago tarjeta"),K2909=""),"⚠ Falta cuenta destino",IF(AND(K2909&lt;&gt;"",P2909&lt;&gt;"Transferencia",P2909&lt;&gt;"Pago tarjeta"),"⚠ Destino solo aplica a transferencias",IF(AND(K2909&lt;&gt;"",K2909=Q2909),"⚠ Origen igual a destino",IF(AND(K2909&lt;&gt;"",ISNA(MATCH(K2909,ctaNombre,0))),"⚠ Destino no registrado",IF(AND(P2909="Pago tarjeta",AE2909&lt;&gt;"Tarjeta de crédito"),"⚠ El destino debe ser tarjeta de crédito",IF(AND(P2909="Gasto",E2909="Depósitos y retiros"),"⚠ Usa tipo Transferencia",IF(AND(P2909="Resultado trading",AD2909&lt;&gt;"Cuenta de trading"),"⚠ Usa una cuenta de trading",IF(AND(G2909&lt;=0,P2909&lt;&gt;"Ajuste",P2909&lt;&gt;"Resultado trading"),"⚠ El monto debe ser positivo","✓")))))))))))))))</f>
        <v/>
      </c>
      <c r="P2909" s="52">
        <f>IF(OR(B2909="",G2909=""),"",IF(C2909="","Gasto",C2909))</f>
        <v/>
      </c>
      <c r="Q2909" s="52">
        <f>IF(P2909="","",IF(J2909&lt;&gt;"",J2909,CuentaPred&amp;""))</f>
        <v/>
      </c>
      <c r="R2909" s="52">
        <f>IF(P2909="","",IF(ISNUMBER(I2909),I2909,TasaUSD))</f>
        <v/>
      </c>
      <c r="S2909" s="53">
        <f>IF(P2909="","",IF(H2909="USD",G2909*R2909,G2909))</f>
        <v/>
      </c>
      <c r="T2909" s="53">
        <f>IF(P2909="","",IF(H2909="USD",G2909,IF(R2909&gt;0,G2909/R2909,0)))</f>
        <v/>
      </c>
      <c r="U2909" s="53">
        <f>IF(P2909="","",IF(P2909="Gasto",S2909,IF(P2909="Reembolso",-S2909,0)))</f>
        <v/>
      </c>
      <c r="V2909" s="53">
        <f>IF(P2909="","",IF(P2909="Ingreso",S2909,0))</f>
        <v/>
      </c>
      <c r="W2909" s="53">
        <f>IF(P2909="","",IF(P2909="Resultado trading",S2909,0))</f>
        <v/>
      </c>
      <c r="X2909" s="52">
        <f>IF(OR(P2909="Gasto",P2909="Reembolso"),IF(M2909&lt;&gt;"",M2909,IFERROR(INDEX(catClasif,MATCH(D2909&amp;"|"&amp;E2909,catClave,0))&amp;"","Variable")),"")</f>
        <v/>
      </c>
      <c r="Y2909" s="52">
        <f>IF(P2909="","",IFERROR(INDEX(catGrupo,MATCH(D2909&amp;"|"&amp;E2909,catClave,0))&amp;"",""))</f>
        <v/>
      </c>
      <c r="Z2909" s="52">
        <f>IF(P2909="","",WEEKDAY(B2909,2))</f>
        <v/>
      </c>
      <c r="AA2909" s="52">
        <f>IF(P2909="","",IF(AND(P2909="Gasto",X2909="Variable",D2909&lt;&gt;catTrading,S2909&gt;0,S2909&lt;=Umbral),1,0))</f>
        <v/>
      </c>
      <c r="AB2909" s="52">
        <f>IF(OR(P2909="",Q2909=""),"",IFERROR(IF(INDEX(ctaVinc,MATCH(Q2909,ctaNombre,0))&amp;""&lt;&gt;"",INDEX(ctaVinc,MATCH(Q2909,ctaNombre,0))&amp;"",Q2909),Q2909))</f>
        <v/>
      </c>
      <c r="AC2909" s="52">
        <f>IF(OR(K2909="",AND(P2909&lt;&gt;"Transferencia",P2909&lt;&gt;"Pago tarjeta")),"",IFERROR(IF(INDEX(ctaVinc,MATCH(K2909,ctaNombre,0))&amp;""&lt;&gt;"",INDEX(ctaVinc,MATCH(K2909,ctaNombre,0))&amp;"",K2909),K2909))</f>
        <v/>
      </c>
      <c r="AD2909" s="52">
        <f>IF(AB2909="","",IFERROR(INDEX(ctaTipo,MATCH(AB2909,ctaNombre,0))&amp;"",""))</f>
        <v/>
      </c>
      <c r="AE2909" s="52">
        <f>IF(AC2909="","",IFERROR(INDEX(ctaTipo,MATCH(AC2909,ctaNombre,0))&amp;"",""))</f>
        <v/>
      </c>
      <c r="AF2909" s="53">
        <f>IF(OR(P2909="",AB2909=""),"",IF(OR(P2909="Gasto",P2909="Transferencia",P2909="Pago tarjeta"),-1,1)*IF(IFERROR(INDEX(ctaMoneda,MATCH(AB2909,ctaNombre,0))&amp;"","DOP")="USD",T2909,S2909))</f>
        <v/>
      </c>
      <c r="AG2909" s="53">
        <f>IF(AC2909="","",IF(IFERROR(INDEX(ctaMoneda,MATCH(AC2909,ctaNombre,0))&amp;"","DOP")="USD",T2909,S2909))</f>
        <v/>
      </c>
      <c r="AH2909" s="53">
        <f>IF(P2909="","",IF(AND(AD2909&lt;&gt;"",COUNTIFS(tcTipo,AD2909,tcLiq,"Sí")&gt;0),IF(OR(P2909="Gasto",P2909="Transferencia",P2909="Pago tarjeta"),-1,1)*S2909,0)+IF(AND(AE2909&lt;&gt;"",COUNTIFS(tcTipo,AE2909,tcLiq,"Sí")&gt;0),S2909,0))</f>
        <v/>
      </c>
      <c r="AI2909" s="52">
        <f>IF(OR(L2909="",P2909=""),"",IF(COUNTIFS(L$6:L2909,L2909,P$6:P2909,"?*")=1,MAX(AI$5:AI2908)+1,""))</f>
        <v/>
      </c>
    </row>
    <row r="2910">
      <c r="B2910" s="47" t="n"/>
      <c r="C2910" s="48" t="n"/>
      <c r="D2910" s="48" t="n"/>
      <c r="E2910" s="48" t="n"/>
      <c r="F2910" s="48" t="n"/>
      <c r="G2910" s="49" t="n"/>
      <c r="H2910" s="48" t="n"/>
      <c r="I2910" s="50" t="n"/>
      <c r="J2910" s="48" t="n"/>
      <c r="K2910" s="48" t="n"/>
      <c r="L2910" s="48" t="n"/>
      <c r="M2910" s="48" t="n"/>
      <c r="N2910" s="48" t="n"/>
      <c r="O2910" s="51">
        <f>IF(AND(B2910="",G2910="",C2910="",D2910="",J2910=""),"",IF(B2910="","⚠ Falta fecha",IF(G2910="","⚠ Falta monto",IF(Q2910="","⚠ Falta cuenta",IF(ISNA(MATCH(Q2910,ctaNombre,0)),"⚠ Cuenta no registrada",IF(AND(OR(P2910="Gasto",P2910="Reembolso"),D2910=""),"⚠ Falta categoría",IF(AND(D2910&lt;&gt;"",E2910&lt;&gt;"",ISNA(MATCH(D2910&amp;"|"&amp;E2910,catClave,0))),"⚠ Subcategoría no corresponde",IF(AND(OR(P2910="Transferencia",P2910="Pago tarjeta"),K2910=""),"⚠ Falta cuenta destino",IF(AND(K2910&lt;&gt;"",P2910&lt;&gt;"Transferencia",P2910&lt;&gt;"Pago tarjeta"),"⚠ Destino solo aplica a transferencias",IF(AND(K2910&lt;&gt;"",K2910=Q2910),"⚠ Origen igual a destino",IF(AND(K2910&lt;&gt;"",ISNA(MATCH(K2910,ctaNombre,0))),"⚠ Destino no registrado",IF(AND(P2910="Pago tarjeta",AE2910&lt;&gt;"Tarjeta de crédito"),"⚠ El destino debe ser tarjeta de crédito",IF(AND(P2910="Gasto",E2910="Depósitos y retiros"),"⚠ Usa tipo Transferencia",IF(AND(P2910="Resultado trading",AD2910&lt;&gt;"Cuenta de trading"),"⚠ Usa una cuenta de trading",IF(AND(G2910&lt;=0,P2910&lt;&gt;"Ajuste",P2910&lt;&gt;"Resultado trading"),"⚠ El monto debe ser positivo","✓")))))))))))))))</f>
        <v/>
      </c>
      <c r="P2910" s="52">
        <f>IF(OR(B2910="",G2910=""),"",IF(C2910="","Gasto",C2910))</f>
        <v/>
      </c>
      <c r="Q2910" s="52">
        <f>IF(P2910="","",IF(J2910&lt;&gt;"",J2910,CuentaPred&amp;""))</f>
        <v/>
      </c>
      <c r="R2910" s="52">
        <f>IF(P2910="","",IF(ISNUMBER(I2910),I2910,TasaUSD))</f>
        <v/>
      </c>
      <c r="S2910" s="53">
        <f>IF(P2910="","",IF(H2910="USD",G2910*R2910,G2910))</f>
        <v/>
      </c>
      <c r="T2910" s="53">
        <f>IF(P2910="","",IF(H2910="USD",G2910,IF(R2910&gt;0,G2910/R2910,0)))</f>
        <v/>
      </c>
      <c r="U2910" s="53">
        <f>IF(P2910="","",IF(P2910="Gasto",S2910,IF(P2910="Reembolso",-S2910,0)))</f>
        <v/>
      </c>
      <c r="V2910" s="53">
        <f>IF(P2910="","",IF(P2910="Ingreso",S2910,0))</f>
        <v/>
      </c>
      <c r="W2910" s="53">
        <f>IF(P2910="","",IF(P2910="Resultado trading",S2910,0))</f>
        <v/>
      </c>
      <c r="X2910" s="52">
        <f>IF(OR(P2910="Gasto",P2910="Reembolso"),IF(M2910&lt;&gt;"",M2910,IFERROR(INDEX(catClasif,MATCH(D2910&amp;"|"&amp;E2910,catClave,0))&amp;"","Variable")),"")</f>
        <v/>
      </c>
      <c r="Y2910" s="52">
        <f>IF(P2910="","",IFERROR(INDEX(catGrupo,MATCH(D2910&amp;"|"&amp;E2910,catClave,0))&amp;"",""))</f>
        <v/>
      </c>
      <c r="Z2910" s="52">
        <f>IF(P2910="","",WEEKDAY(B2910,2))</f>
        <v/>
      </c>
      <c r="AA2910" s="52">
        <f>IF(P2910="","",IF(AND(P2910="Gasto",X2910="Variable",D2910&lt;&gt;catTrading,S2910&gt;0,S2910&lt;=Umbral),1,0))</f>
        <v/>
      </c>
      <c r="AB2910" s="52">
        <f>IF(OR(P2910="",Q2910=""),"",IFERROR(IF(INDEX(ctaVinc,MATCH(Q2910,ctaNombre,0))&amp;""&lt;&gt;"",INDEX(ctaVinc,MATCH(Q2910,ctaNombre,0))&amp;"",Q2910),Q2910))</f>
        <v/>
      </c>
      <c r="AC2910" s="52">
        <f>IF(OR(K2910="",AND(P2910&lt;&gt;"Transferencia",P2910&lt;&gt;"Pago tarjeta")),"",IFERROR(IF(INDEX(ctaVinc,MATCH(K2910,ctaNombre,0))&amp;""&lt;&gt;"",INDEX(ctaVinc,MATCH(K2910,ctaNombre,0))&amp;"",K2910),K2910))</f>
        <v/>
      </c>
      <c r="AD2910" s="52">
        <f>IF(AB2910="","",IFERROR(INDEX(ctaTipo,MATCH(AB2910,ctaNombre,0))&amp;"",""))</f>
        <v/>
      </c>
      <c r="AE2910" s="52">
        <f>IF(AC2910="","",IFERROR(INDEX(ctaTipo,MATCH(AC2910,ctaNombre,0))&amp;"",""))</f>
        <v/>
      </c>
      <c r="AF2910" s="53">
        <f>IF(OR(P2910="",AB2910=""),"",IF(OR(P2910="Gasto",P2910="Transferencia",P2910="Pago tarjeta"),-1,1)*IF(IFERROR(INDEX(ctaMoneda,MATCH(AB2910,ctaNombre,0))&amp;"","DOP")="USD",T2910,S2910))</f>
        <v/>
      </c>
      <c r="AG2910" s="53">
        <f>IF(AC2910="","",IF(IFERROR(INDEX(ctaMoneda,MATCH(AC2910,ctaNombre,0))&amp;"","DOP")="USD",T2910,S2910))</f>
        <v/>
      </c>
      <c r="AH2910" s="53">
        <f>IF(P2910="","",IF(AND(AD2910&lt;&gt;"",COUNTIFS(tcTipo,AD2910,tcLiq,"Sí")&gt;0),IF(OR(P2910="Gasto",P2910="Transferencia",P2910="Pago tarjeta"),-1,1)*S2910,0)+IF(AND(AE2910&lt;&gt;"",COUNTIFS(tcTipo,AE2910,tcLiq,"Sí")&gt;0),S2910,0))</f>
        <v/>
      </c>
      <c r="AI2910" s="52">
        <f>IF(OR(L2910="",P2910=""),"",IF(COUNTIFS(L$6:L2910,L2910,P$6:P2910,"?*")=1,MAX(AI$5:AI2909)+1,""))</f>
        <v/>
      </c>
    </row>
    <row r="2911">
      <c r="B2911" s="47" t="n"/>
      <c r="C2911" s="48" t="n"/>
      <c r="D2911" s="48" t="n"/>
      <c r="E2911" s="48" t="n"/>
      <c r="F2911" s="48" t="n"/>
      <c r="G2911" s="49" t="n"/>
      <c r="H2911" s="48" t="n"/>
      <c r="I2911" s="50" t="n"/>
      <c r="J2911" s="48" t="n"/>
      <c r="K2911" s="48" t="n"/>
      <c r="L2911" s="48" t="n"/>
      <c r="M2911" s="48" t="n"/>
      <c r="N2911" s="48" t="n"/>
      <c r="O2911" s="51">
        <f>IF(AND(B2911="",G2911="",C2911="",D2911="",J2911=""),"",IF(B2911="","⚠ Falta fecha",IF(G2911="","⚠ Falta monto",IF(Q2911="","⚠ Falta cuenta",IF(ISNA(MATCH(Q2911,ctaNombre,0)),"⚠ Cuenta no registrada",IF(AND(OR(P2911="Gasto",P2911="Reembolso"),D2911=""),"⚠ Falta categoría",IF(AND(D2911&lt;&gt;"",E2911&lt;&gt;"",ISNA(MATCH(D2911&amp;"|"&amp;E2911,catClave,0))),"⚠ Subcategoría no corresponde",IF(AND(OR(P2911="Transferencia",P2911="Pago tarjeta"),K2911=""),"⚠ Falta cuenta destino",IF(AND(K2911&lt;&gt;"",P2911&lt;&gt;"Transferencia",P2911&lt;&gt;"Pago tarjeta"),"⚠ Destino solo aplica a transferencias",IF(AND(K2911&lt;&gt;"",K2911=Q2911),"⚠ Origen igual a destino",IF(AND(K2911&lt;&gt;"",ISNA(MATCH(K2911,ctaNombre,0))),"⚠ Destino no registrado",IF(AND(P2911="Pago tarjeta",AE2911&lt;&gt;"Tarjeta de crédito"),"⚠ El destino debe ser tarjeta de crédito",IF(AND(P2911="Gasto",E2911="Depósitos y retiros"),"⚠ Usa tipo Transferencia",IF(AND(P2911="Resultado trading",AD2911&lt;&gt;"Cuenta de trading"),"⚠ Usa una cuenta de trading",IF(AND(G2911&lt;=0,P2911&lt;&gt;"Ajuste",P2911&lt;&gt;"Resultado trading"),"⚠ El monto debe ser positivo","✓")))))))))))))))</f>
        <v/>
      </c>
      <c r="P2911" s="52">
        <f>IF(OR(B2911="",G2911=""),"",IF(C2911="","Gasto",C2911))</f>
        <v/>
      </c>
      <c r="Q2911" s="52">
        <f>IF(P2911="","",IF(J2911&lt;&gt;"",J2911,CuentaPred&amp;""))</f>
        <v/>
      </c>
      <c r="R2911" s="52">
        <f>IF(P2911="","",IF(ISNUMBER(I2911),I2911,TasaUSD))</f>
        <v/>
      </c>
      <c r="S2911" s="53">
        <f>IF(P2911="","",IF(H2911="USD",G2911*R2911,G2911))</f>
        <v/>
      </c>
      <c r="T2911" s="53">
        <f>IF(P2911="","",IF(H2911="USD",G2911,IF(R2911&gt;0,G2911/R2911,0)))</f>
        <v/>
      </c>
      <c r="U2911" s="53">
        <f>IF(P2911="","",IF(P2911="Gasto",S2911,IF(P2911="Reembolso",-S2911,0)))</f>
        <v/>
      </c>
      <c r="V2911" s="53">
        <f>IF(P2911="","",IF(P2911="Ingreso",S2911,0))</f>
        <v/>
      </c>
      <c r="W2911" s="53">
        <f>IF(P2911="","",IF(P2911="Resultado trading",S2911,0))</f>
        <v/>
      </c>
      <c r="X2911" s="52">
        <f>IF(OR(P2911="Gasto",P2911="Reembolso"),IF(M2911&lt;&gt;"",M2911,IFERROR(INDEX(catClasif,MATCH(D2911&amp;"|"&amp;E2911,catClave,0))&amp;"","Variable")),"")</f>
        <v/>
      </c>
      <c r="Y2911" s="52">
        <f>IF(P2911="","",IFERROR(INDEX(catGrupo,MATCH(D2911&amp;"|"&amp;E2911,catClave,0))&amp;"",""))</f>
        <v/>
      </c>
      <c r="Z2911" s="52">
        <f>IF(P2911="","",WEEKDAY(B2911,2))</f>
        <v/>
      </c>
      <c r="AA2911" s="52">
        <f>IF(P2911="","",IF(AND(P2911="Gasto",X2911="Variable",D2911&lt;&gt;catTrading,S2911&gt;0,S2911&lt;=Umbral),1,0))</f>
        <v/>
      </c>
      <c r="AB2911" s="52">
        <f>IF(OR(P2911="",Q2911=""),"",IFERROR(IF(INDEX(ctaVinc,MATCH(Q2911,ctaNombre,0))&amp;""&lt;&gt;"",INDEX(ctaVinc,MATCH(Q2911,ctaNombre,0))&amp;"",Q2911),Q2911))</f>
        <v/>
      </c>
      <c r="AC2911" s="52">
        <f>IF(OR(K2911="",AND(P2911&lt;&gt;"Transferencia",P2911&lt;&gt;"Pago tarjeta")),"",IFERROR(IF(INDEX(ctaVinc,MATCH(K2911,ctaNombre,0))&amp;""&lt;&gt;"",INDEX(ctaVinc,MATCH(K2911,ctaNombre,0))&amp;"",K2911),K2911))</f>
        <v/>
      </c>
      <c r="AD2911" s="52">
        <f>IF(AB2911="","",IFERROR(INDEX(ctaTipo,MATCH(AB2911,ctaNombre,0))&amp;"",""))</f>
        <v/>
      </c>
      <c r="AE2911" s="52">
        <f>IF(AC2911="","",IFERROR(INDEX(ctaTipo,MATCH(AC2911,ctaNombre,0))&amp;"",""))</f>
        <v/>
      </c>
      <c r="AF2911" s="53">
        <f>IF(OR(P2911="",AB2911=""),"",IF(OR(P2911="Gasto",P2911="Transferencia",P2911="Pago tarjeta"),-1,1)*IF(IFERROR(INDEX(ctaMoneda,MATCH(AB2911,ctaNombre,0))&amp;"","DOP")="USD",T2911,S2911))</f>
        <v/>
      </c>
      <c r="AG2911" s="53">
        <f>IF(AC2911="","",IF(IFERROR(INDEX(ctaMoneda,MATCH(AC2911,ctaNombre,0))&amp;"","DOP")="USD",T2911,S2911))</f>
        <v/>
      </c>
      <c r="AH2911" s="53">
        <f>IF(P2911="","",IF(AND(AD2911&lt;&gt;"",COUNTIFS(tcTipo,AD2911,tcLiq,"Sí")&gt;0),IF(OR(P2911="Gasto",P2911="Transferencia",P2911="Pago tarjeta"),-1,1)*S2911,0)+IF(AND(AE2911&lt;&gt;"",COUNTIFS(tcTipo,AE2911,tcLiq,"Sí")&gt;0),S2911,0))</f>
        <v/>
      </c>
      <c r="AI2911" s="52">
        <f>IF(OR(L2911="",P2911=""),"",IF(COUNTIFS(L$6:L2911,L2911,P$6:P2911,"?*")=1,MAX(AI$5:AI2910)+1,""))</f>
        <v/>
      </c>
    </row>
    <row r="2912">
      <c r="B2912" s="47" t="n"/>
      <c r="C2912" s="48" t="n"/>
      <c r="D2912" s="48" t="n"/>
      <c r="E2912" s="48" t="n"/>
      <c r="F2912" s="48" t="n"/>
      <c r="G2912" s="49" t="n"/>
      <c r="H2912" s="48" t="n"/>
      <c r="I2912" s="50" t="n"/>
      <c r="J2912" s="48" t="n"/>
      <c r="K2912" s="48" t="n"/>
      <c r="L2912" s="48" t="n"/>
      <c r="M2912" s="48" t="n"/>
      <c r="N2912" s="48" t="n"/>
      <c r="O2912" s="51">
        <f>IF(AND(B2912="",G2912="",C2912="",D2912="",J2912=""),"",IF(B2912="","⚠ Falta fecha",IF(G2912="","⚠ Falta monto",IF(Q2912="","⚠ Falta cuenta",IF(ISNA(MATCH(Q2912,ctaNombre,0)),"⚠ Cuenta no registrada",IF(AND(OR(P2912="Gasto",P2912="Reembolso"),D2912=""),"⚠ Falta categoría",IF(AND(D2912&lt;&gt;"",E2912&lt;&gt;"",ISNA(MATCH(D2912&amp;"|"&amp;E2912,catClave,0))),"⚠ Subcategoría no corresponde",IF(AND(OR(P2912="Transferencia",P2912="Pago tarjeta"),K2912=""),"⚠ Falta cuenta destino",IF(AND(K2912&lt;&gt;"",P2912&lt;&gt;"Transferencia",P2912&lt;&gt;"Pago tarjeta"),"⚠ Destino solo aplica a transferencias",IF(AND(K2912&lt;&gt;"",K2912=Q2912),"⚠ Origen igual a destino",IF(AND(K2912&lt;&gt;"",ISNA(MATCH(K2912,ctaNombre,0))),"⚠ Destino no registrado",IF(AND(P2912="Pago tarjeta",AE2912&lt;&gt;"Tarjeta de crédito"),"⚠ El destino debe ser tarjeta de crédito",IF(AND(P2912="Gasto",E2912="Depósitos y retiros"),"⚠ Usa tipo Transferencia",IF(AND(P2912="Resultado trading",AD2912&lt;&gt;"Cuenta de trading"),"⚠ Usa una cuenta de trading",IF(AND(G2912&lt;=0,P2912&lt;&gt;"Ajuste",P2912&lt;&gt;"Resultado trading"),"⚠ El monto debe ser positivo","✓")))))))))))))))</f>
        <v/>
      </c>
      <c r="P2912" s="52">
        <f>IF(OR(B2912="",G2912=""),"",IF(C2912="","Gasto",C2912))</f>
        <v/>
      </c>
      <c r="Q2912" s="52">
        <f>IF(P2912="","",IF(J2912&lt;&gt;"",J2912,CuentaPred&amp;""))</f>
        <v/>
      </c>
      <c r="R2912" s="52">
        <f>IF(P2912="","",IF(ISNUMBER(I2912),I2912,TasaUSD))</f>
        <v/>
      </c>
      <c r="S2912" s="53">
        <f>IF(P2912="","",IF(H2912="USD",G2912*R2912,G2912))</f>
        <v/>
      </c>
      <c r="T2912" s="53">
        <f>IF(P2912="","",IF(H2912="USD",G2912,IF(R2912&gt;0,G2912/R2912,0)))</f>
        <v/>
      </c>
      <c r="U2912" s="53">
        <f>IF(P2912="","",IF(P2912="Gasto",S2912,IF(P2912="Reembolso",-S2912,0)))</f>
        <v/>
      </c>
      <c r="V2912" s="53">
        <f>IF(P2912="","",IF(P2912="Ingreso",S2912,0))</f>
        <v/>
      </c>
      <c r="W2912" s="53">
        <f>IF(P2912="","",IF(P2912="Resultado trading",S2912,0))</f>
        <v/>
      </c>
      <c r="X2912" s="52">
        <f>IF(OR(P2912="Gasto",P2912="Reembolso"),IF(M2912&lt;&gt;"",M2912,IFERROR(INDEX(catClasif,MATCH(D2912&amp;"|"&amp;E2912,catClave,0))&amp;"","Variable")),"")</f>
        <v/>
      </c>
      <c r="Y2912" s="52">
        <f>IF(P2912="","",IFERROR(INDEX(catGrupo,MATCH(D2912&amp;"|"&amp;E2912,catClave,0))&amp;"",""))</f>
        <v/>
      </c>
      <c r="Z2912" s="52">
        <f>IF(P2912="","",WEEKDAY(B2912,2))</f>
        <v/>
      </c>
      <c r="AA2912" s="52">
        <f>IF(P2912="","",IF(AND(P2912="Gasto",X2912="Variable",D2912&lt;&gt;catTrading,S2912&gt;0,S2912&lt;=Umbral),1,0))</f>
        <v/>
      </c>
      <c r="AB2912" s="52">
        <f>IF(OR(P2912="",Q2912=""),"",IFERROR(IF(INDEX(ctaVinc,MATCH(Q2912,ctaNombre,0))&amp;""&lt;&gt;"",INDEX(ctaVinc,MATCH(Q2912,ctaNombre,0))&amp;"",Q2912),Q2912))</f>
        <v/>
      </c>
      <c r="AC2912" s="52">
        <f>IF(OR(K2912="",AND(P2912&lt;&gt;"Transferencia",P2912&lt;&gt;"Pago tarjeta")),"",IFERROR(IF(INDEX(ctaVinc,MATCH(K2912,ctaNombre,0))&amp;""&lt;&gt;"",INDEX(ctaVinc,MATCH(K2912,ctaNombre,0))&amp;"",K2912),K2912))</f>
        <v/>
      </c>
      <c r="AD2912" s="52">
        <f>IF(AB2912="","",IFERROR(INDEX(ctaTipo,MATCH(AB2912,ctaNombre,0))&amp;"",""))</f>
        <v/>
      </c>
      <c r="AE2912" s="52">
        <f>IF(AC2912="","",IFERROR(INDEX(ctaTipo,MATCH(AC2912,ctaNombre,0))&amp;"",""))</f>
        <v/>
      </c>
      <c r="AF2912" s="53">
        <f>IF(OR(P2912="",AB2912=""),"",IF(OR(P2912="Gasto",P2912="Transferencia",P2912="Pago tarjeta"),-1,1)*IF(IFERROR(INDEX(ctaMoneda,MATCH(AB2912,ctaNombre,0))&amp;"","DOP")="USD",T2912,S2912))</f>
        <v/>
      </c>
      <c r="AG2912" s="53">
        <f>IF(AC2912="","",IF(IFERROR(INDEX(ctaMoneda,MATCH(AC2912,ctaNombre,0))&amp;"","DOP")="USD",T2912,S2912))</f>
        <v/>
      </c>
      <c r="AH2912" s="53">
        <f>IF(P2912="","",IF(AND(AD2912&lt;&gt;"",COUNTIFS(tcTipo,AD2912,tcLiq,"Sí")&gt;0),IF(OR(P2912="Gasto",P2912="Transferencia",P2912="Pago tarjeta"),-1,1)*S2912,0)+IF(AND(AE2912&lt;&gt;"",COUNTIFS(tcTipo,AE2912,tcLiq,"Sí")&gt;0),S2912,0))</f>
        <v/>
      </c>
      <c r="AI2912" s="52">
        <f>IF(OR(L2912="",P2912=""),"",IF(COUNTIFS(L$6:L2912,L2912,P$6:P2912,"?*")=1,MAX(AI$5:AI2911)+1,""))</f>
        <v/>
      </c>
    </row>
    <row r="2913">
      <c r="B2913" s="47" t="n"/>
      <c r="C2913" s="48" t="n"/>
      <c r="D2913" s="48" t="n"/>
      <c r="E2913" s="48" t="n"/>
      <c r="F2913" s="48" t="n"/>
      <c r="G2913" s="49" t="n"/>
      <c r="H2913" s="48" t="n"/>
      <c r="I2913" s="50" t="n"/>
      <c r="J2913" s="48" t="n"/>
      <c r="K2913" s="48" t="n"/>
      <c r="L2913" s="48" t="n"/>
      <c r="M2913" s="48" t="n"/>
      <c r="N2913" s="48" t="n"/>
      <c r="O2913" s="51">
        <f>IF(AND(B2913="",G2913="",C2913="",D2913="",J2913=""),"",IF(B2913="","⚠ Falta fecha",IF(G2913="","⚠ Falta monto",IF(Q2913="","⚠ Falta cuenta",IF(ISNA(MATCH(Q2913,ctaNombre,0)),"⚠ Cuenta no registrada",IF(AND(OR(P2913="Gasto",P2913="Reembolso"),D2913=""),"⚠ Falta categoría",IF(AND(D2913&lt;&gt;"",E2913&lt;&gt;"",ISNA(MATCH(D2913&amp;"|"&amp;E2913,catClave,0))),"⚠ Subcategoría no corresponde",IF(AND(OR(P2913="Transferencia",P2913="Pago tarjeta"),K2913=""),"⚠ Falta cuenta destino",IF(AND(K2913&lt;&gt;"",P2913&lt;&gt;"Transferencia",P2913&lt;&gt;"Pago tarjeta"),"⚠ Destino solo aplica a transferencias",IF(AND(K2913&lt;&gt;"",K2913=Q2913),"⚠ Origen igual a destino",IF(AND(K2913&lt;&gt;"",ISNA(MATCH(K2913,ctaNombre,0))),"⚠ Destino no registrado",IF(AND(P2913="Pago tarjeta",AE2913&lt;&gt;"Tarjeta de crédito"),"⚠ El destino debe ser tarjeta de crédito",IF(AND(P2913="Gasto",E2913="Depósitos y retiros"),"⚠ Usa tipo Transferencia",IF(AND(P2913="Resultado trading",AD2913&lt;&gt;"Cuenta de trading"),"⚠ Usa una cuenta de trading",IF(AND(G2913&lt;=0,P2913&lt;&gt;"Ajuste",P2913&lt;&gt;"Resultado trading"),"⚠ El monto debe ser positivo","✓")))))))))))))))</f>
        <v/>
      </c>
      <c r="P2913" s="52">
        <f>IF(OR(B2913="",G2913=""),"",IF(C2913="","Gasto",C2913))</f>
        <v/>
      </c>
      <c r="Q2913" s="52">
        <f>IF(P2913="","",IF(J2913&lt;&gt;"",J2913,CuentaPred&amp;""))</f>
        <v/>
      </c>
      <c r="R2913" s="52">
        <f>IF(P2913="","",IF(ISNUMBER(I2913),I2913,TasaUSD))</f>
        <v/>
      </c>
      <c r="S2913" s="53">
        <f>IF(P2913="","",IF(H2913="USD",G2913*R2913,G2913))</f>
        <v/>
      </c>
      <c r="T2913" s="53">
        <f>IF(P2913="","",IF(H2913="USD",G2913,IF(R2913&gt;0,G2913/R2913,0)))</f>
        <v/>
      </c>
      <c r="U2913" s="53">
        <f>IF(P2913="","",IF(P2913="Gasto",S2913,IF(P2913="Reembolso",-S2913,0)))</f>
        <v/>
      </c>
      <c r="V2913" s="53">
        <f>IF(P2913="","",IF(P2913="Ingreso",S2913,0))</f>
        <v/>
      </c>
      <c r="W2913" s="53">
        <f>IF(P2913="","",IF(P2913="Resultado trading",S2913,0))</f>
        <v/>
      </c>
      <c r="X2913" s="52">
        <f>IF(OR(P2913="Gasto",P2913="Reembolso"),IF(M2913&lt;&gt;"",M2913,IFERROR(INDEX(catClasif,MATCH(D2913&amp;"|"&amp;E2913,catClave,0))&amp;"","Variable")),"")</f>
        <v/>
      </c>
      <c r="Y2913" s="52">
        <f>IF(P2913="","",IFERROR(INDEX(catGrupo,MATCH(D2913&amp;"|"&amp;E2913,catClave,0))&amp;"",""))</f>
        <v/>
      </c>
      <c r="Z2913" s="52">
        <f>IF(P2913="","",WEEKDAY(B2913,2))</f>
        <v/>
      </c>
      <c r="AA2913" s="52">
        <f>IF(P2913="","",IF(AND(P2913="Gasto",X2913="Variable",D2913&lt;&gt;catTrading,S2913&gt;0,S2913&lt;=Umbral),1,0))</f>
        <v/>
      </c>
      <c r="AB2913" s="52">
        <f>IF(OR(P2913="",Q2913=""),"",IFERROR(IF(INDEX(ctaVinc,MATCH(Q2913,ctaNombre,0))&amp;""&lt;&gt;"",INDEX(ctaVinc,MATCH(Q2913,ctaNombre,0))&amp;"",Q2913),Q2913))</f>
        <v/>
      </c>
      <c r="AC2913" s="52">
        <f>IF(OR(K2913="",AND(P2913&lt;&gt;"Transferencia",P2913&lt;&gt;"Pago tarjeta")),"",IFERROR(IF(INDEX(ctaVinc,MATCH(K2913,ctaNombre,0))&amp;""&lt;&gt;"",INDEX(ctaVinc,MATCH(K2913,ctaNombre,0))&amp;"",K2913),K2913))</f>
        <v/>
      </c>
      <c r="AD2913" s="52">
        <f>IF(AB2913="","",IFERROR(INDEX(ctaTipo,MATCH(AB2913,ctaNombre,0))&amp;"",""))</f>
        <v/>
      </c>
      <c r="AE2913" s="52">
        <f>IF(AC2913="","",IFERROR(INDEX(ctaTipo,MATCH(AC2913,ctaNombre,0))&amp;"",""))</f>
        <v/>
      </c>
      <c r="AF2913" s="53">
        <f>IF(OR(P2913="",AB2913=""),"",IF(OR(P2913="Gasto",P2913="Transferencia",P2913="Pago tarjeta"),-1,1)*IF(IFERROR(INDEX(ctaMoneda,MATCH(AB2913,ctaNombre,0))&amp;"","DOP")="USD",T2913,S2913))</f>
        <v/>
      </c>
      <c r="AG2913" s="53">
        <f>IF(AC2913="","",IF(IFERROR(INDEX(ctaMoneda,MATCH(AC2913,ctaNombre,0))&amp;"","DOP")="USD",T2913,S2913))</f>
        <v/>
      </c>
      <c r="AH2913" s="53">
        <f>IF(P2913="","",IF(AND(AD2913&lt;&gt;"",COUNTIFS(tcTipo,AD2913,tcLiq,"Sí")&gt;0),IF(OR(P2913="Gasto",P2913="Transferencia",P2913="Pago tarjeta"),-1,1)*S2913,0)+IF(AND(AE2913&lt;&gt;"",COUNTIFS(tcTipo,AE2913,tcLiq,"Sí")&gt;0),S2913,0))</f>
        <v/>
      </c>
      <c r="AI2913" s="52">
        <f>IF(OR(L2913="",P2913=""),"",IF(COUNTIFS(L$6:L2913,L2913,P$6:P2913,"?*")=1,MAX(AI$5:AI2912)+1,""))</f>
        <v/>
      </c>
    </row>
    <row r="2914">
      <c r="B2914" s="47" t="n"/>
      <c r="C2914" s="48" t="n"/>
      <c r="D2914" s="48" t="n"/>
      <c r="E2914" s="48" t="n"/>
      <c r="F2914" s="48" t="n"/>
      <c r="G2914" s="49" t="n"/>
      <c r="H2914" s="48" t="n"/>
      <c r="I2914" s="50" t="n"/>
      <c r="J2914" s="48" t="n"/>
      <c r="K2914" s="48" t="n"/>
      <c r="L2914" s="48" t="n"/>
      <c r="M2914" s="48" t="n"/>
      <c r="N2914" s="48" t="n"/>
      <c r="O2914" s="51">
        <f>IF(AND(B2914="",G2914="",C2914="",D2914="",J2914=""),"",IF(B2914="","⚠ Falta fecha",IF(G2914="","⚠ Falta monto",IF(Q2914="","⚠ Falta cuenta",IF(ISNA(MATCH(Q2914,ctaNombre,0)),"⚠ Cuenta no registrada",IF(AND(OR(P2914="Gasto",P2914="Reembolso"),D2914=""),"⚠ Falta categoría",IF(AND(D2914&lt;&gt;"",E2914&lt;&gt;"",ISNA(MATCH(D2914&amp;"|"&amp;E2914,catClave,0))),"⚠ Subcategoría no corresponde",IF(AND(OR(P2914="Transferencia",P2914="Pago tarjeta"),K2914=""),"⚠ Falta cuenta destino",IF(AND(K2914&lt;&gt;"",P2914&lt;&gt;"Transferencia",P2914&lt;&gt;"Pago tarjeta"),"⚠ Destino solo aplica a transferencias",IF(AND(K2914&lt;&gt;"",K2914=Q2914),"⚠ Origen igual a destino",IF(AND(K2914&lt;&gt;"",ISNA(MATCH(K2914,ctaNombre,0))),"⚠ Destino no registrado",IF(AND(P2914="Pago tarjeta",AE2914&lt;&gt;"Tarjeta de crédito"),"⚠ El destino debe ser tarjeta de crédito",IF(AND(P2914="Gasto",E2914="Depósitos y retiros"),"⚠ Usa tipo Transferencia",IF(AND(P2914="Resultado trading",AD2914&lt;&gt;"Cuenta de trading"),"⚠ Usa una cuenta de trading",IF(AND(G2914&lt;=0,P2914&lt;&gt;"Ajuste",P2914&lt;&gt;"Resultado trading"),"⚠ El monto debe ser positivo","✓")))))))))))))))</f>
        <v/>
      </c>
      <c r="P2914" s="52">
        <f>IF(OR(B2914="",G2914=""),"",IF(C2914="","Gasto",C2914))</f>
        <v/>
      </c>
      <c r="Q2914" s="52">
        <f>IF(P2914="","",IF(J2914&lt;&gt;"",J2914,CuentaPred&amp;""))</f>
        <v/>
      </c>
      <c r="R2914" s="52">
        <f>IF(P2914="","",IF(ISNUMBER(I2914),I2914,TasaUSD))</f>
        <v/>
      </c>
      <c r="S2914" s="53">
        <f>IF(P2914="","",IF(H2914="USD",G2914*R2914,G2914))</f>
        <v/>
      </c>
      <c r="T2914" s="53">
        <f>IF(P2914="","",IF(H2914="USD",G2914,IF(R2914&gt;0,G2914/R2914,0)))</f>
        <v/>
      </c>
      <c r="U2914" s="53">
        <f>IF(P2914="","",IF(P2914="Gasto",S2914,IF(P2914="Reembolso",-S2914,0)))</f>
        <v/>
      </c>
      <c r="V2914" s="53">
        <f>IF(P2914="","",IF(P2914="Ingreso",S2914,0))</f>
        <v/>
      </c>
      <c r="W2914" s="53">
        <f>IF(P2914="","",IF(P2914="Resultado trading",S2914,0))</f>
        <v/>
      </c>
      <c r="X2914" s="52">
        <f>IF(OR(P2914="Gasto",P2914="Reembolso"),IF(M2914&lt;&gt;"",M2914,IFERROR(INDEX(catClasif,MATCH(D2914&amp;"|"&amp;E2914,catClave,0))&amp;"","Variable")),"")</f>
        <v/>
      </c>
      <c r="Y2914" s="52">
        <f>IF(P2914="","",IFERROR(INDEX(catGrupo,MATCH(D2914&amp;"|"&amp;E2914,catClave,0))&amp;"",""))</f>
        <v/>
      </c>
      <c r="Z2914" s="52">
        <f>IF(P2914="","",WEEKDAY(B2914,2))</f>
        <v/>
      </c>
      <c r="AA2914" s="52">
        <f>IF(P2914="","",IF(AND(P2914="Gasto",X2914="Variable",D2914&lt;&gt;catTrading,S2914&gt;0,S2914&lt;=Umbral),1,0))</f>
        <v/>
      </c>
      <c r="AB2914" s="52">
        <f>IF(OR(P2914="",Q2914=""),"",IFERROR(IF(INDEX(ctaVinc,MATCH(Q2914,ctaNombre,0))&amp;""&lt;&gt;"",INDEX(ctaVinc,MATCH(Q2914,ctaNombre,0))&amp;"",Q2914),Q2914))</f>
        <v/>
      </c>
      <c r="AC2914" s="52">
        <f>IF(OR(K2914="",AND(P2914&lt;&gt;"Transferencia",P2914&lt;&gt;"Pago tarjeta")),"",IFERROR(IF(INDEX(ctaVinc,MATCH(K2914,ctaNombre,0))&amp;""&lt;&gt;"",INDEX(ctaVinc,MATCH(K2914,ctaNombre,0))&amp;"",K2914),K2914))</f>
        <v/>
      </c>
      <c r="AD2914" s="52">
        <f>IF(AB2914="","",IFERROR(INDEX(ctaTipo,MATCH(AB2914,ctaNombre,0))&amp;"",""))</f>
        <v/>
      </c>
      <c r="AE2914" s="52">
        <f>IF(AC2914="","",IFERROR(INDEX(ctaTipo,MATCH(AC2914,ctaNombre,0))&amp;"",""))</f>
        <v/>
      </c>
      <c r="AF2914" s="53">
        <f>IF(OR(P2914="",AB2914=""),"",IF(OR(P2914="Gasto",P2914="Transferencia",P2914="Pago tarjeta"),-1,1)*IF(IFERROR(INDEX(ctaMoneda,MATCH(AB2914,ctaNombre,0))&amp;"","DOP")="USD",T2914,S2914))</f>
        <v/>
      </c>
      <c r="AG2914" s="53">
        <f>IF(AC2914="","",IF(IFERROR(INDEX(ctaMoneda,MATCH(AC2914,ctaNombre,0))&amp;"","DOP")="USD",T2914,S2914))</f>
        <v/>
      </c>
      <c r="AH2914" s="53">
        <f>IF(P2914="","",IF(AND(AD2914&lt;&gt;"",COUNTIFS(tcTipo,AD2914,tcLiq,"Sí")&gt;0),IF(OR(P2914="Gasto",P2914="Transferencia",P2914="Pago tarjeta"),-1,1)*S2914,0)+IF(AND(AE2914&lt;&gt;"",COUNTIFS(tcTipo,AE2914,tcLiq,"Sí")&gt;0),S2914,0))</f>
        <v/>
      </c>
      <c r="AI2914" s="52">
        <f>IF(OR(L2914="",P2914=""),"",IF(COUNTIFS(L$6:L2914,L2914,P$6:P2914,"?*")=1,MAX(AI$5:AI2913)+1,""))</f>
        <v/>
      </c>
    </row>
    <row r="2915">
      <c r="B2915" s="47" t="n"/>
      <c r="C2915" s="48" t="n"/>
      <c r="D2915" s="48" t="n"/>
      <c r="E2915" s="48" t="n"/>
      <c r="F2915" s="48" t="n"/>
      <c r="G2915" s="49" t="n"/>
      <c r="H2915" s="48" t="n"/>
      <c r="I2915" s="50" t="n"/>
      <c r="J2915" s="48" t="n"/>
      <c r="K2915" s="48" t="n"/>
      <c r="L2915" s="48" t="n"/>
      <c r="M2915" s="48" t="n"/>
      <c r="N2915" s="48" t="n"/>
      <c r="O2915" s="51">
        <f>IF(AND(B2915="",G2915="",C2915="",D2915="",J2915=""),"",IF(B2915="","⚠ Falta fecha",IF(G2915="","⚠ Falta monto",IF(Q2915="","⚠ Falta cuenta",IF(ISNA(MATCH(Q2915,ctaNombre,0)),"⚠ Cuenta no registrada",IF(AND(OR(P2915="Gasto",P2915="Reembolso"),D2915=""),"⚠ Falta categoría",IF(AND(D2915&lt;&gt;"",E2915&lt;&gt;"",ISNA(MATCH(D2915&amp;"|"&amp;E2915,catClave,0))),"⚠ Subcategoría no corresponde",IF(AND(OR(P2915="Transferencia",P2915="Pago tarjeta"),K2915=""),"⚠ Falta cuenta destino",IF(AND(K2915&lt;&gt;"",P2915&lt;&gt;"Transferencia",P2915&lt;&gt;"Pago tarjeta"),"⚠ Destino solo aplica a transferencias",IF(AND(K2915&lt;&gt;"",K2915=Q2915),"⚠ Origen igual a destino",IF(AND(K2915&lt;&gt;"",ISNA(MATCH(K2915,ctaNombre,0))),"⚠ Destino no registrado",IF(AND(P2915="Pago tarjeta",AE2915&lt;&gt;"Tarjeta de crédito"),"⚠ El destino debe ser tarjeta de crédito",IF(AND(P2915="Gasto",E2915="Depósitos y retiros"),"⚠ Usa tipo Transferencia",IF(AND(P2915="Resultado trading",AD2915&lt;&gt;"Cuenta de trading"),"⚠ Usa una cuenta de trading",IF(AND(G2915&lt;=0,P2915&lt;&gt;"Ajuste",P2915&lt;&gt;"Resultado trading"),"⚠ El monto debe ser positivo","✓")))))))))))))))</f>
        <v/>
      </c>
      <c r="P2915" s="52">
        <f>IF(OR(B2915="",G2915=""),"",IF(C2915="","Gasto",C2915))</f>
        <v/>
      </c>
      <c r="Q2915" s="52">
        <f>IF(P2915="","",IF(J2915&lt;&gt;"",J2915,CuentaPred&amp;""))</f>
        <v/>
      </c>
      <c r="R2915" s="52">
        <f>IF(P2915="","",IF(ISNUMBER(I2915),I2915,TasaUSD))</f>
        <v/>
      </c>
      <c r="S2915" s="53">
        <f>IF(P2915="","",IF(H2915="USD",G2915*R2915,G2915))</f>
        <v/>
      </c>
      <c r="T2915" s="53">
        <f>IF(P2915="","",IF(H2915="USD",G2915,IF(R2915&gt;0,G2915/R2915,0)))</f>
        <v/>
      </c>
      <c r="U2915" s="53">
        <f>IF(P2915="","",IF(P2915="Gasto",S2915,IF(P2915="Reembolso",-S2915,0)))</f>
        <v/>
      </c>
      <c r="V2915" s="53">
        <f>IF(P2915="","",IF(P2915="Ingreso",S2915,0))</f>
        <v/>
      </c>
      <c r="W2915" s="53">
        <f>IF(P2915="","",IF(P2915="Resultado trading",S2915,0))</f>
        <v/>
      </c>
      <c r="X2915" s="52">
        <f>IF(OR(P2915="Gasto",P2915="Reembolso"),IF(M2915&lt;&gt;"",M2915,IFERROR(INDEX(catClasif,MATCH(D2915&amp;"|"&amp;E2915,catClave,0))&amp;"","Variable")),"")</f>
        <v/>
      </c>
      <c r="Y2915" s="52">
        <f>IF(P2915="","",IFERROR(INDEX(catGrupo,MATCH(D2915&amp;"|"&amp;E2915,catClave,0))&amp;"",""))</f>
        <v/>
      </c>
      <c r="Z2915" s="52">
        <f>IF(P2915="","",WEEKDAY(B2915,2))</f>
        <v/>
      </c>
      <c r="AA2915" s="52">
        <f>IF(P2915="","",IF(AND(P2915="Gasto",X2915="Variable",D2915&lt;&gt;catTrading,S2915&gt;0,S2915&lt;=Umbral),1,0))</f>
        <v/>
      </c>
      <c r="AB2915" s="52">
        <f>IF(OR(P2915="",Q2915=""),"",IFERROR(IF(INDEX(ctaVinc,MATCH(Q2915,ctaNombre,0))&amp;""&lt;&gt;"",INDEX(ctaVinc,MATCH(Q2915,ctaNombre,0))&amp;"",Q2915),Q2915))</f>
        <v/>
      </c>
      <c r="AC2915" s="52">
        <f>IF(OR(K2915="",AND(P2915&lt;&gt;"Transferencia",P2915&lt;&gt;"Pago tarjeta")),"",IFERROR(IF(INDEX(ctaVinc,MATCH(K2915,ctaNombre,0))&amp;""&lt;&gt;"",INDEX(ctaVinc,MATCH(K2915,ctaNombre,0))&amp;"",K2915),K2915))</f>
        <v/>
      </c>
      <c r="AD2915" s="52">
        <f>IF(AB2915="","",IFERROR(INDEX(ctaTipo,MATCH(AB2915,ctaNombre,0))&amp;"",""))</f>
        <v/>
      </c>
      <c r="AE2915" s="52">
        <f>IF(AC2915="","",IFERROR(INDEX(ctaTipo,MATCH(AC2915,ctaNombre,0))&amp;"",""))</f>
        <v/>
      </c>
      <c r="AF2915" s="53">
        <f>IF(OR(P2915="",AB2915=""),"",IF(OR(P2915="Gasto",P2915="Transferencia",P2915="Pago tarjeta"),-1,1)*IF(IFERROR(INDEX(ctaMoneda,MATCH(AB2915,ctaNombre,0))&amp;"","DOP")="USD",T2915,S2915))</f>
        <v/>
      </c>
      <c r="AG2915" s="53">
        <f>IF(AC2915="","",IF(IFERROR(INDEX(ctaMoneda,MATCH(AC2915,ctaNombre,0))&amp;"","DOP")="USD",T2915,S2915))</f>
        <v/>
      </c>
      <c r="AH2915" s="53">
        <f>IF(P2915="","",IF(AND(AD2915&lt;&gt;"",COUNTIFS(tcTipo,AD2915,tcLiq,"Sí")&gt;0),IF(OR(P2915="Gasto",P2915="Transferencia",P2915="Pago tarjeta"),-1,1)*S2915,0)+IF(AND(AE2915&lt;&gt;"",COUNTIFS(tcTipo,AE2915,tcLiq,"Sí")&gt;0),S2915,0))</f>
        <v/>
      </c>
      <c r="AI2915" s="52">
        <f>IF(OR(L2915="",P2915=""),"",IF(COUNTIFS(L$6:L2915,L2915,P$6:P2915,"?*")=1,MAX(AI$5:AI2914)+1,""))</f>
        <v/>
      </c>
    </row>
    <row r="2916">
      <c r="B2916" s="47" t="n"/>
      <c r="C2916" s="48" t="n"/>
      <c r="D2916" s="48" t="n"/>
      <c r="E2916" s="48" t="n"/>
      <c r="F2916" s="48" t="n"/>
      <c r="G2916" s="49" t="n"/>
      <c r="H2916" s="48" t="n"/>
      <c r="I2916" s="50" t="n"/>
      <c r="J2916" s="48" t="n"/>
      <c r="K2916" s="48" t="n"/>
      <c r="L2916" s="48" t="n"/>
      <c r="M2916" s="48" t="n"/>
      <c r="N2916" s="48" t="n"/>
      <c r="O2916" s="51">
        <f>IF(AND(B2916="",G2916="",C2916="",D2916="",J2916=""),"",IF(B2916="","⚠ Falta fecha",IF(G2916="","⚠ Falta monto",IF(Q2916="","⚠ Falta cuenta",IF(ISNA(MATCH(Q2916,ctaNombre,0)),"⚠ Cuenta no registrada",IF(AND(OR(P2916="Gasto",P2916="Reembolso"),D2916=""),"⚠ Falta categoría",IF(AND(D2916&lt;&gt;"",E2916&lt;&gt;"",ISNA(MATCH(D2916&amp;"|"&amp;E2916,catClave,0))),"⚠ Subcategoría no corresponde",IF(AND(OR(P2916="Transferencia",P2916="Pago tarjeta"),K2916=""),"⚠ Falta cuenta destino",IF(AND(K2916&lt;&gt;"",P2916&lt;&gt;"Transferencia",P2916&lt;&gt;"Pago tarjeta"),"⚠ Destino solo aplica a transferencias",IF(AND(K2916&lt;&gt;"",K2916=Q2916),"⚠ Origen igual a destino",IF(AND(K2916&lt;&gt;"",ISNA(MATCH(K2916,ctaNombre,0))),"⚠ Destino no registrado",IF(AND(P2916="Pago tarjeta",AE2916&lt;&gt;"Tarjeta de crédito"),"⚠ El destino debe ser tarjeta de crédito",IF(AND(P2916="Gasto",E2916="Depósitos y retiros"),"⚠ Usa tipo Transferencia",IF(AND(P2916="Resultado trading",AD2916&lt;&gt;"Cuenta de trading"),"⚠ Usa una cuenta de trading",IF(AND(G2916&lt;=0,P2916&lt;&gt;"Ajuste",P2916&lt;&gt;"Resultado trading"),"⚠ El monto debe ser positivo","✓")))))))))))))))</f>
        <v/>
      </c>
      <c r="P2916" s="52">
        <f>IF(OR(B2916="",G2916=""),"",IF(C2916="","Gasto",C2916))</f>
        <v/>
      </c>
      <c r="Q2916" s="52">
        <f>IF(P2916="","",IF(J2916&lt;&gt;"",J2916,CuentaPred&amp;""))</f>
        <v/>
      </c>
      <c r="R2916" s="52">
        <f>IF(P2916="","",IF(ISNUMBER(I2916),I2916,TasaUSD))</f>
        <v/>
      </c>
      <c r="S2916" s="53">
        <f>IF(P2916="","",IF(H2916="USD",G2916*R2916,G2916))</f>
        <v/>
      </c>
      <c r="T2916" s="53">
        <f>IF(P2916="","",IF(H2916="USD",G2916,IF(R2916&gt;0,G2916/R2916,0)))</f>
        <v/>
      </c>
      <c r="U2916" s="53">
        <f>IF(P2916="","",IF(P2916="Gasto",S2916,IF(P2916="Reembolso",-S2916,0)))</f>
        <v/>
      </c>
      <c r="V2916" s="53">
        <f>IF(P2916="","",IF(P2916="Ingreso",S2916,0))</f>
        <v/>
      </c>
      <c r="W2916" s="53">
        <f>IF(P2916="","",IF(P2916="Resultado trading",S2916,0))</f>
        <v/>
      </c>
      <c r="X2916" s="52">
        <f>IF(OR(P2916="Gasto",P2916="Reembolso"),IF(M2916&lt;&gt;"",M2916,IFERROR(INDEX(catClasif,MATCH(D2916&amp;"|"&amp;E2916,catClave,0))&amp;"","Variable")),"")</f>
        <v/>
      </c>
      <c r="Y2916" s="52">
        <f>IF(P2916="","",IFERROR(INDEX(catGrupo,MATCH(D2916&amp;"|"&amp;E2916,catClave,0))&amp;"",""))</f>
        <v/>
      </c>
      <c r="Z2916" s="52">
        <f>IF(P2916="","",WEEKDAY(B2916,2))</f>
        <v/>
      </c>
      <c r="AA2916" s="52">
        <f>IF(P2916="","",IF(AND(P2916="Gasto",X2916="Variable",D2916&lt;&gt;catTrading,S2916&gt;0,S2916&lt;=Umbral),1,0))</f>
        <v/>
      </c>
      <c r="AB2916" s="52">
        <f>IF(OR(P2916="",Q2916=""),"",IFERROR(IF(INDEX(ctaVinc,MATCH(Q2916,ctaNombre,0))&amp;""&lt;&gt;"",INDEX(ctaVinc,MATCH(Q2916,ctaNombre,0))&amp;"",Q2916),Q2916))</f>
        <v/>
      </c>
      <c r="AC2916" s="52">
        <f>IF(OR(K2916="",AND(P2916&lt;&gt;"Transferencia",P2916&lt;&gt;"Pago tarjeta")),"",IFERROR(IF(INDEX(ctaVinc,MATCH(K2916,ctaNombre,0))&amp;""&lt;&gt;"",INDEX(ctaVinc,MATCH(K2916,ctaNombre,0))&amp;"",K2916),K2916))</f>
        <v/>
      </c>
      <c r="AD2916" s="52">
        <f>IF(AB2916="","",IFERROR(INDEX(ctaTipo,MATCH(AB2916,ctaNombre,0))&amp;"",""))</f>
        <v/>
      </c>
      <c r="AE2916" s="52">
        <f>IF(AC2916="","",IFERROR(INDEX(ctaTipo,MATCH(AC2916,ctaNombre,0))&amp;"",""))</f>
        <v/>
      </c>
      <c r="AF2916" s="53">
        <f>IF(OR(P2916="",AB2916=""),"",IF(OR(P2916="Gasto",P2916="Transferencia",P2916="Pago tarjeta"),-1,1)*IF(IFERROR(INDEX(ctaMoneda,MATCH(AB2916,ctaNombre,0))&amp;"","DOP")="USD",T2916,S2916))</f>
        <v/>
      </c>
      <c r="AG2916" s="53">
        <f>IF(AC2916="","",IF(IFERROR(INDEX(ctaMoneda,MATCH(AC2916,ctaNombre,0))&amp;"","DOP")="USD",T2916,S2916))</f>
        <v/>
      </c>
      <c r="AH2916" s="53">
        <f>IF(P2916="","",IF(AND(AD2916&lt;&gt;"",COUNTIFS(tcTipo,AD2916,tcLiq,"Sí")&gt;0),IF(OR(P2916="Gasto",P2916="Transferencia",P2916="Pago tarjeta"),-1,1)*S2916,0)+IF(AND(AE2916&lt;&gt;"",COUNTIFS(tcTipo,AE2916,tcLiq,"Sí")&gt;0),S2916,0))</f>
        <v/>
      </c>
      <c r="AI2916" s="52">
        <f>IF(OR(L2916="",P2916=""),"",IF(COUNTIFS(L$6:L2916,L2916,P$6:P2916,"?*")=1,MAX(AI$5:AI2915)+1,""))</f>
        <v/>
      </c>
    </row>
    <row r="2917">
      <c r="B2917" s="47" t="n"/>
      <c r="C2917" s="48" t="n"/>
      <c r="D2917" s="48" t="n"/>
      <c r="E2917" s="48" t="n"/>
      <c r="F2917" s="48" t="n"/>
      <c r="G2917" s="49" t="n"/>
      <c r="H2917" s="48" t="n"/>
      <c r="I2917" s="50" t="n"/>
      <c r="J2917" s="48" t="n"/>
      <c r="K2917" s="48" t="n"/>
      <c r="L2917" s="48" t="n"/>
      <c r="M2917" s="48" t="n"/>
      <c r="N2917" s="48" t="n"/>
      <c r="O2917" s="51">
        <f>IF(AND(B2917="",G2917="",C2917="",D2917="",J2917=""),"",IF(B2917="","⚠ Falta fecha",IF(G2917="","⚠ Falta monto",IF(Q2917="","⚠ Falta cuenta",IF(ISNA(MATCH(Q2917,ctaNombre,0)),"⚠ Cuenta no registrada",IF(AND(OR(P2917="Gasto",P2917="Reembolso"),D2917=""),"⚠ Falta categoría",IF(AND(D2917&lt;&gt;"",E2917&lt;&gt;"",ISNA(MATCH(D2917&amp;"|"&amp;E2917,catClave,0))),"⚠ Subcategoría no corresponde",IF(AND(OR(P2917="Transferencia",P2917="Pago tarjeta"),K2917=""),"⚠ Falta cuenta destino",IF(AND(K2917&lt;&gt;"",P2917&lt;&gt;"Transferencia",P2917&lt;&gt;"Pago tarjeta"),"⚠ Destino solo aplica a transferencias",IF(AND(K2917&lt;&gt;"",K2917=Q2917),"⚠ Origen igual a destino",IF(AND(K2917&lt;&gt;"",ISNA(MATCH(K2917,ctaNombre,0))),"⚠ Destino no registrado",IF(AND(P2917="Pago tarjeta",AE2917&lt;&gt;"Tarjeta de crédito"),"⚠ El destino debe ser tarjeta de crédito",IF(AND(P2917="Gasto",E2917="Depósitos y retiros"),"⚠ Usa tipo Transferencia",IF(AND(P2917="Resultado trading",AD2917&lt;&gt;"Cuenta de trading"),"⚠ Usa una cuenta de trading",IF(AND(G2917&lt;=0,P2917&lt;&gt;"Ajuste",P2917&lt;&gt;"Resultado trading"),"⚠ El monto debe ser positivo","✓")))))))))))))))</f>
        <v/>
      </c>
      <c r="P2917" s="52">
        <f>IF(OR(B2917="",G2917=""),"",IF(C2917="","Gasto",C2917))</f>
        <v/>
      </c>
      <c r="Q2917" s="52">
        <f>IF(P2917="","",IF(J2917&lt;&gt;"",J2917,CuentaPred&amp;""))</f>
        <v/>
      </c>
      <c r="R2917" s="52">
        <f>IF(P2917="","",IF(ISNUMBER(I2917),I2917,TasaUSD))</f>
        <v/>
      </c>
      <c r="S2917" s="53">
        <f>IF(P2917="","",IF(H2917="USD",G2917*R2917,G2917))</f>
        <v/>
      </c>
      <c r="T2917" s="53">
        <f>IF(P2917="","",IF(H2917="USD",G2917,IF(R2917&gt;0,G2917/R2917,0)))</f>
        <v/>
      </c>
      <c r="U2917" s="53">
        <f>IF(P2917="","",IF(P2917="Gasto",S2917,IF(P2917="Reembolso",-S2917,0)))</f>
        <v/>
      </c>
      <c r="V2917" s="53">
        <f>IF(P2917="","",IF(P2917="Ingreso",S2917,0))</f>
        <v/>
      </c>
      <c r="W2917" s="53">
        <f>IF(P2917="","",IF(P2917="Resultado trading",S2917,0))</f>
        <v/>
      </c>
      <c r="X2917" s="52">
        <f>IF(OR(P2917="Gasto",P2917="Reembolso"),IF(M2917&lt;&gt;"",M2917,IFERROR(INDEX(catClasif,MATCH(D2917&amp;"|"&amp;E2917,catClave,0))&amp;"","Variable")),"")</f>
        <v/>
      </c>
      <c r="Y2917" s="52">
        <f>IF(P2917="","",IFERROR(INDEX(catGrupo,MATCH(D2917&amp;"|"&amp;E2917,catClave,0))&amp;"",""))</f>
        <v/>
      </c>
      <c r="Z2917" s="52">
        <f>IF(P2917="","",WEEKDAY(B2917,2))</f>
        <v/>
      </c>
      <c r="AA2917" s="52">
        <f>IF(P2917="","",IF(AND(P2917="Gasto",X2917="Variable",D2917&lt;&gt;catTrading,S2917&gt;0,S2917&lt;=Umbral),1,0))</f>
        <v/>
      </c>
      <c r="AB2917" s="52">
        <f>IF(OR(P2917="",Q2917=""),"",IFERROR(IF(INDEX(ctaVinc,MATCH(Q2917,ctaNombre,0))&amp;""&lt;&gt;"",INDEX(ctaVinc,MATCH(Q2917,ctaNombre,0))&amp;"",Q2917),Q2917))</f>
        <v/>
      </c>
      <c r="AC2917" s="52">
        <f>IF(OR(K2917="",AND(P2917&lt;&gt;"Transferencia",P2917&lt;&gt;"Pago tarjeta")),"",IFERROR(IF(INDEX(ctaVinc,MATCH(K2917,ctaNombre,0))&amp;""&lt;&gt;"",INDEX(ctaVinc,MATCH(K2917,ctaNombre,0))&amp;"",K2917),K2917))</f>
        <v/>
      </c>
      <c r="AD2917" s="52">
        <f>IF(AB2917="","",IFERROR(INDEX(ctaTipo,MATCH(AB2917,ctaNombre,0))&amp;"",""))</f>
        <v/>
      </c>
      <c r="AE2917" s="52">
        <f>IF(AC2917="","",IFERROR(INDEX(ctaTipo,MATCH(AC2917,ctaNombre,0))&amp;"",""))</f>
        <v/>
      </c>
      <c r="AF2917" s="53">
        <f>IF(OR(P2917="",AB2917=""),"",IF(OR(P2917="Gasto",P2917="Transferencia",P2917="Pago tarjeta"),-1,1)*IF(IFERROR(INDEX(ctaMoneda,MATCH(AB2917,ctaNombre,0))&amp;"","DOP")="USD",T2917,S2917))</f>
        <v/>
      </c>
      <c r="AG2917" s="53">
        <f>IF(AC2917="","",IF(IFERROR(INDEX(ctaMoneda,MATCH(AC2917,ctaNombre,0))&amp;"","DOP")="USD",T2917,S2917))</f>
        <v/>
      </c>
      <c r="AH2917" s="53">
        <f>IF(P2917="","",IF(AND(AD2917&lt;&gt;"",COUNTIFS(tcTipo,AD2917,tcLiq,"Sí")&gt;0),IF(OR(P2917="Gasto",P2917="Transferencia",P2917="Pago tarjeta"),-1,1)*S2917,0)+IF(AND(AE2917&lt;&gt;"",COUNTIFS(tcTipo,AE2917,tcLiq,"Sí")&gt;0),S2917,0))</f>
        <v/>
      </c>
      <c r="AI2917" s="52">
        <f>IF(OR(L2917="",P2917=""),"",IF(COUNTIFS(L$6:L2917,L2917,P$6:P2917,"?*")=1,MAX(AI$5:AI2916)+1,""))</f>
        <v/>
      </c>
    </row>
    <row r="2918">
      <c r="B2918" s="47" t="n"/>
      <c r="C2918" s="48" t="n"/>
      <c r="D2918" s="48" t="n"/>
      <c r="E2918" s="48" t="n"/>
      <c r="F2918" s="48" t="n"/>
      <c r="G2918" s="49" t="n"/>
      <c r="H2918" s="48" t="n"/>
      <c r="I2918" s="50" t="n"/>
      <c r="J2918" s="48" t="n"/>
      <c r="K2918" s="48" t="n"/>
      <c r="L2918" s="48" t="n"/>
      <c r="M2918" s="48" t="n"/>
      <c r="N2918" s="48" t="n"/>
      <c r="O2918" s="51">
        <f>IF(AND(B2918="",G2918="",C2918="",D2918="",J2918=""),"",IF(B2918="","⚠ Falta fecha",IF(G2918="","⚠ Falta monto",IF(Q2918="","⚠ Falta cuenta",IF(ISNA(MATCH(Q2918,ctaNombre,0)),"⚠ Cuenta no registrada",IF(AND(OR(P2918="Gasto",P2918="Reembolso"),D2918=""),"⚠ Falta categoría",IF(AND(D2918&lt;&gt;"",E2918&lt;&gt;"",ISNA(MATCH(D2918&amp;"|"&amp;E2918,catClave,0))),"⚠ Subcategoría no corresponde",IF(AND(OR(P2918="Transferencia",P2918="Pago tarjeta"),K2918=""),"⚠ Falta cuenta destino",IF(AND(K2918&lt;&gt;"",P2918&lt;&gt;"Transferencia",P2918&lt;&gt;"Pago tarjeta"),"⚠ Destino solo aplica a transferencias",IF(AND(K2918&lt;&gt;"",K2918=Q2918),"⚠ Origen igual a destino",IF(AND(K2918&lt;&gt;"",ISNA(MATCH(K2918,ctaNombre,0))),"⚠ Destino no registrado",IF(AND(P2918="Pago tarjeta",AE2918&lt;&gt;"Tarjeta de crédito"),"⚠ El destino debe ser tarjeta de crédito",IF(AND(P2918="Gasto",E2918="Depósitos y retiros"),"⚠ Usa tipo Transferencia",IF(AND(P2918="Resultado trading",AD2918&lt;&gt;"Cuenta de trading"),"⚠ Usa una cuenta de trading",IF(AND(G2918&lt;=0,P2918&lt;&gt;"Ajuste",P2918&lt;&gt;"Resultado trading"),"⚠ El monto debe ser positivo","✓")))))))))))))))</f>
        <v/>
      </c>
      <c r="P2918" s="52">
        <f>IF(OR(B2918="",G2918=""),"",IF(C2918="","Gasto",C2918))</f>
        <v/>
      </c>
      <c r="Q2918" s="52">
        <f>IF(P2918="","",IF(J2918&lt;&gt;"",J2918,CuentaPred&amp;""))</f>
        <v/>
      </c>
      <c r="R2918" s="52">
        <f>IF(P2918="","",IF(ISNUMBER(I2918),I2918,TasaUSD))</f>
        <v/>
      </c>
      <c r="S2918" s="53">
        <f>IF(P2918="","",IF(H2918="USD",G2918*R2918,G2918))</f>
        <v/>
      </c>
      <c r="T2918" s="53">
        <f>IF(P2918="","",IF(H2918="USD",G2918,IF(R2918&gt;0,G2918/R2918,0)))</f>
        <v/>
      </c>
      <c r="U2918" s="53">
        <f>IF(P2918="","",IF(P2918="Gasto",S2918,IF(P2918="Reembolso",-S2918,0)))</f>
        <v/>
      </c>
      <c r="V2918" s="53">
        <f>IF(P2918="","",IF(P2918="Ingreso",S2918,0))</f>
        <v/>
      </c>
      <c r="W2918" s="53">
        <f>IF(P2918="","",IF(P2918="Resultado trading",S2918,0))</f>
        <v/>
      </c>
      <c r="X2918" s="52">
        <f>IF(OR(P2918="Gasto",P2918="Reembolso"),IF(M2918&lt;&gt;"",M2918,IFERROR(INDEX(catClasif,MATCH(D2918&amp;"|"&amp;E2918,catClave,0))&amp;"","Variable")),"")</f>
        <v/>
      </c>
      <c r="Y2918" s="52">
        <f>IF(P2918="","",IFERROR(INDEX(catGrupo,MATCH(D2918&amp;"|"&amp;E2918,catClave,0))&amp;"",""))</f>
        <v/>
      </c>
      <c r="Z2918" s="52">
        <f>IF(P2918="","",WEEKDAY(B2918,2))</f>
        <v/>
      </c>
      <c r="AA2918" s="52">
        <f>IF(P2918="","",IF(AND(P2918="Gasto",X2918="Variable",D2918&lt;&gt;catTrading,S2918&gt;0,S2918&lt;=Umbral),1,0))</f>
        <v/>
      </c>
      <c r="AB2918" s="52">
        <f>IF(OR(P2918="",Q2918=""),"",IFERROR(IF(INDEX(ctaVinc,MATCH(Q2918,ctaNombre,0))&amp;""&lt;&gt;"",INDEX(ctaVinc,MATCH(Q2918,ctaNombre,0))&amp;"",Q2918),Q2918))</f>
        <v/>
      </c>
      <c r="AC2918" s="52">
        <f>IF(OR(K2918="",AND(P2918&lt;&gt;"Transferencia",P2918&lt;&gt;"Pago tarjeta")),"",IFERROR(IF(INDEX(ctaVinc,MATCH(K2918,ctaNombre,0))&amp;""&lt;&gt;"",INDEX(ctaVinc,MATCH(K2918,ctaNombre,0))&amp;"",K2918),K2918))</f>
        <v/>
      </c>
      <c r="AD2918" s="52">
        <f>IF(AB2918="","",IFERROR(INDEX(ctaTipo,MATCH(AB2918,ctaNombre,0))&amp;"",""))</f>
        <v/>
      </c>
      <c r="AE2918" s="52">
        <f>IF(AC2918="","",IFERROR(INDEX(ctaTipo,MATCH(AC2918,ctaNombre,0))&amp;"",""))</f>
        <v/>
      </c>
      <c r="AF2918" s="53">
        <f>IF(OR(P2918="",AB2918=""),"",IF(OR(P2918="Gasto",P2918="Transferencia",P2918="Pago tarjeta"),-1,1)*IF(IFERROR(INDEX(ctaMoneda,MATCH(AB2918,ctaNombre,0))&amp;"","DOP")="USD",T2918,S2918))</f>
        <v/>
      </c>
      <c r="AG2918" s="53">
        <f>IF(AC2918="","",IF(IFERROR(INDEX(ctaMoneda,MATCH(AC2918,ctaNombre,0))&amp;"","DOP")="USD",T2918,S2918))</f>
        <v/>
      </c>
      <c r="AH2918" s="53">
        <f>IF(P2918="","",IF(AND(AD2918&lt;&gt;"",COUNTIFS(tcTipo,AD2918,tcLiq,"Sí")&gt;0),IF(OR(P2918="Gasto",P2918="Transferencia",P2918="Pago tarjeta"),-1,1)*S2918,0)+IF(AND(AE2918&lt;&gt;"",COUNTIFS(tcTipo,AE2918,tcLiq,"Sí")&gt;0),S2918,0))</f>
        <v/>
      </c>
      <c r="AI2918" s="52">
        <f>IF(OR(L2918="",P2918=""),"",IF(COUNTIFS(L$6:L2918,L2918,P$6:P2918,"?*")=1,MAX(AI$5:AI2917)+1,""))</f>
        <v/>
      </c>
    </row>
    <row r="2919">
      <c r="B2919" s="47" t="n"/>
      <c r="C2919" s="48" t="n"/>
      <c r="D2919" s="48" t="n"/>
      <c r="E2919" s="48" t="n"/>
      <c r="F2919" s="48" t="n"/>
      <c r="G2919" s="49" t="n"/>
      <c r="H2919" s="48" t="n"/>
      <c r="I2919" s="50" t="n"/>
      <c r="J2919" s="48" t="n"/>
      <c r="K2919" s="48" t="n"/>
      <c r="L2919" s="48" t="n"/>
      <c r="M2919" s="48" t="n"/>
      <c r="N2919" s="48" t="n"/>
      <c r="O2919" s="51">
        <f>IF(AND(B2919="",G2919="",C2919="",D2919="",J2919=""),"",IF(B2919="","⚠ Falta fecha",IF(G2919="","⚠ Falta monto",IF(Q2919="","⚠ Falta cuenta",IF(ISNA(MATCH(Q2919,ctaNombre,0)),"⚠ Cuenta no registrada",IF(AND(OR(P2919="Gasto",P2919="Reembolso"),D2919=""),"⚠ Falta categoría",IF(AND(D2919&lt;&gt;"",E2919&lt;&gt;"",ISNA(MATCH(D2919&amp;"|"&amp;E2919,catClave,0))),"⚠ Subcategoría no corresponde",IF(AND(OR(P2919="Transferencia",P2919="Pago tarjeta"),K2919=""),"⚠ Falta cuenta destino",IF(AND(K2919&lt;&gt;"",P2919&lt;&gt;"Transferencia",P2919&lt;&gt;"Pago tarjeta"),"⚠ Destino solo aplica a transferencias",IF(AND(K2919&lt;&gt;"",K2919=Q2919),"⚠ Origen igual a destino",IF(AND(K2919&lt;&gt;"",ISNA(MATCH(K2919,ctaNombre,0))),"⚠ Destino no registrado",IF(AND(P2919="Pago tarjeta",AE2919&lt;&gt;"Tarjeta de crédito"),"⚠ El destino debe ser tarjeta de crédito",IF(AND(P2919="Gasto",E2919="Depósitos y retiros"),"⚠ Usa tipo Transferencia",IF(AND(P2919="Resultado trading",AD2919&lt;&gt;"Cuenta de trading"),"⚠ Usa una cuenta de trading",IF(AND(G2919&lt;=0,P2919&lt;&gt;"Ajuste",P2919&lt;&gt;"Resultado trading"),"⚠ El monto debe ser positivo","✓")))))))))))))))</f>
        <v/>
      </c>
      <c r="P2919" s="52">
        <f>IF(OR(B2919="",G2919=""),"",IF(C2919="","Gasto",C2919))</f>
        <v/>
      </c>
      <c r="Q2919" s="52">
        <f>IF(P2919="","",IF(J2919&lt;&gt;"",J2919,CuentaPred&amp;""))</f>
        <v/>
      </c>
      <c r="R2919" s="52">
        <f>IF(P2919="","",IF(ISNUMBER(I2919),I2919,TasaUSD))</f>
        <v/>
      </c>
      <c r="S2919" s="53">
        <f>IF(P2919="","",IF(H2919="USD",G2919*R2919,G2919))</f>
        <v/>
      </c>
      <c r="T2919" s="53">
        <f>IF(P2919="","",IF(H2919="USD",G2919,IF(R2919&gt;0,G2919/R2919,0)))</f>
        <v/>
      </c>
      <c r="U2919" s="53">
        <f>IF(P2919="","",IF(P2919="Gasto",S2919,IF(P2919="Reembolso",-S2919,0)))</f>
        <v/>
      </c>
      <c r="V2919" s="53">
        <f>IF(P2919="","",IF(P2919="Ingreso",S2919,0))</f>
        <v/>
      </c>
      <c r="W2919" s="53">
        <f>IF(P2919="","",IF(P2919="Resultado trading",S2919,0))</f>
        <v/>
      </c>
      <c r="X2919" s="52">
        <f>IF(OR(P2919="Gasto",P2919="Reembolso"),IF(M2919&lt;&gt;"",M2919,IFERROR(INDEX(catClasif,MATCH(D2919&amp;"|"&amp;E2919,catClave,0))&amp;"","Variable")),"")</f>
        <v/>
      </c>
      <c r="Y2919" s="52">
        <f>IF(P2919="","",IFERROR(INDEX(catGrupo,MATCH(D2919&amp;"|"&amp;E2919,catClave,0))&amp;"",""))</f>
        <v/>
      </c>
      <c r="Z2919" s="52">
        <f>IF(P2919="","",WEEKDAY(B2919,2))</f>
        <v/>
      </c>
      <c r="AA2919" s="52">
        <f>IF(P2919="","",IF(AND(P2919="Gasto",X2919="Variable",D2919&lt;&gt;catTrading,S2919&gt;0,S2919&lt;=Umbral),1,0))</f>
        <v/>
      </c>
      <c r="AB2919" s="52">
        <f>IF(OR(P2919="",Q2919=""),"",IFERROR(IF(INDEX(ctaVinc,MATCH(Q2919,ctaNombre,0))&amp;""&lt;&gt;"",INDEX(ctaVinc,MATCH(Q2919,ctaNombre,0))&amp;"",Q2919),Q2919))</f>
        <v/>
      </c>
      <c r="AC2919" s="52">
        <f>IF(OR(K2919="",AND(P2919&lt;&gt;"Transferencia",P2919&lt;&gt;"Pago tarjeta")),"",IFERROR(IF(INDEX(ctaVinc,MATCH(K2919,ctaNombre,0))&amp;""&lt;&gt;"",INDEX(ctaVinc,MATCH(K2919,ctaNombre,0))&amp;"",K2919),K2919))</f>
        <v/>
      </c>
      <c r="AD2919" s="52">
        <f>IF(AB2919="","",IFERROR(INDEX(ctaTipo,MATCH(AB2919,ctaNombre,0))&amp;"",""))</f>
        <v/>
      </c>
      <c r="AE2919" s="52">
        <f>IF(AC2919="","",IFERROR(INDEX(ctaTipo,MATCH(AC2919,ctaNombre,0))&amp;"",""))</f>
        <v/>
      </c>
      <c r="AF2919" s="53">
        <f>IF(OR(P2919="",AB2919=""),"",IF(OR(P2919="Gasto",P2919="Transferencia",P2919="Pago tarjeta"),-1,1)*IF(IFERROR(INDEX(ctaMoneda,MATCH(AB2919,ctaNombre,0))&amp;"","DOP")="USD",T2919,S2919))</f>
        <v/>
      </c>
      <c r="AG2919" s="53">
        <f>IF(AC2919="","",IF(IFERROR(INDEX(ctaMoneda,MATCH(AC2919,ctaNombre,0))&amp;"","DOP")="USD",T2919,S2919))</f>
        <v/>
      </c>
      <c r="AH2919" s="53">
        <f>IF(P2919="","",IF(AND(AD2919&lt;&gt;"",COUNTIFS(tcTipo,AD2919,tcLiq,"Sí")&gt;0),IF(OR(P2919="Gasto",P2919="Transferencia",P2919="Pago tarjeta"),-1,1)*S2919,0)+IF(AND(AE2919&lt;&gt;"",COUNTIFS(tcTipo,AE2919,tcLiq,"Sí")&gt;0),S2919,0))</f>
        <v/>
      </c>
      <c r="AI2919" s="52">
        <f>IF(OR(L2919="",P2919=""),"",IF(COUNTIFS(L$6:L2919,L2919,P$6:P2919,"?*")=1,MAX(AI$5:AI2918)+1,""))</f>
        <v/>
      </c>
    </row>
    <row r="2920">
      <c r="B2920" s="47" t="n"/>
      <c r="C2920" s="48" t="n"/>
      <c r="D2920" s="48" t="n"/>
      <c r="E2920" s="48" t="n"/>
      <c r="F2920" s="48" t="n"/>
      <c r="G2920" s="49" t="n"/>
      <c r="H2920" s="48" t="n"/>
      <c r="I2920" s="50" t="n"/>
      <c r="J2920" s="48" t="n"/>
      <c r="K2920" s="48" t="n"/>
      <c r="L2920" s="48" t="n"/>
      <c r="M2920" s="48" t="n"/>
      <c r="N2920" s="48" t="n"/>
      <c r="O2920" s="51">
        <f>IF(AND(B2920="",G2920="",C2920="",D2920="",J2920=""),"",IF(B2920="","⚠ Falta fecha",IF(G2920="","⚠ Falta monto",IF(Q2920="","⚠ Falta cuenta",IF(ISNA(MATCH(Q2920,ctaNombre,0)),"⚠ Cuenta no registrada",IF(AND(OR(P2920="Gasto",P2920="Reembolso"),D2920=""),"⚠ Falta categoría",IF(AND(D2920&lt;&gt;"",E2920&lt;&gt;"",ISNA(MATCH(D2920&amp;"|"&amp;E2920,catClave,0))),"⚠ Subcategoría no corresponde",IF(AND(OR(P2920="Transferencia",P2920="Pago tarjeta"),K2920=""),"⚠ Falta cuenta destino",IF(AND(K2920&lt;&gt;"",P2920&lt;&gt;"Transferencia",P2920&lt;&gt;"Pago tarjeta"),"⚠ Destino solo aplica a transferencias",IF(AND(K2920&lt;&gt;"",K2920=Q2920),"⚠ Origen igual a destino",IF(AND(K2920&lt;&gt;"",ISNA(MATCH(K2920,ctaNombre,0))),"⚠ Destino no registrado",IF(AND(P2920="Pago tarjeta",AE2920&lt;&gt;"Tarjeta de crédito"),"⚠ El destino debe ser tarjeta de crédito",IF(AND(P2920="Gasto",E2920="Depósitos y retiros"),"⚠ Usa tipo Transferencia",IF(AND(P2920="Resultado trading",AD2920&lt;&gt;"Cuenta de trading"),"⚠ Usa una cuenta de trading",IF(AND(G2920&lt;=0,P2920&lt;&gt;"Ajuste",P2920&lt;&gt;"Resultado trading"),"⚠ El monto debe ser positivo","✓")))))))))))))))</f>
        <v/>
      </c>
      <c r="P2920" s="52">
        <f>IF(OR(B2920="",G2920=""),"",IF(C2920="","Gasto",C2920))</f>
        <v/>
      </c>
      <c r="Q2920" s="52">
        <f>IF(P2920="","",IF(J2920&lt;&gt;"",J2920,CuentaPred&amp;""))</f>
        <v/>
      </c>
      <c r="R2920" s="52">
        <f>IF(P2920="","",IF(ISNUMBER(I2920),I2920,TasaUSD))</f>
        <v/>
      </c>
      <c r="S2920" s="53">
        <f>IF(P2920="","",IF(H2920="USD",G2920*R2920,G2920))</f>
        <v/>
      </c>
      <c r="T2920" s="53">
        <f>IF(P2920="","",IF(H2920="USD",G2920,IF(R2920&gt;0,G2920/R2920,0)))</f>
        <v/>
      </c>
      <c r="U2920" s="53">
        <f>IF(P2920="","",IF(P2920="Gasto",S2920,IF(P2920="Reembolso",-S2920,0)))</f>
        <v/>
      </c>
      <c r="V2920" s="53">
        <f>IF(P2920="","",IF(P2920="Ingreso",S2920,0))</f>
        <v/>
      </c>
      <c r="W2920" s="53">
        <f>IF(P2920="","",IF(P2920="Resultado trading",S2920,0))</f>
        <v/>
      </c>
      <c r="X2920" s="52">
        <f>IF(OR(P2920="Gasto",P2920="Reembolso"),IF(M2920&lt;&gt;"",M2920,IFERROR(INDEX(catClasif,MATCH(D2920&amp;"|"&amp;E2920,catClave,0))&amp;"","Variable")),"")</f>
        <v/>
      </c>
      <c r="Y2920" s="52">
        <f>IF(P2920="","",IFERROR(INDEX(catGrupo,MATCH(D2920&amp;"|"&amp;E2920,catClave,0))&amp;"",""))</f>
        <v/>
      </c>
      <c r="Z2920" s="52">
        <f>IF(P2920="","",WEEKDAY(B2920,2))</f>
        <v/>
      </c>
      <c r="AA2920" s="52">
        <f>IF(P2920="","",IF(AND(P2920="Gasto",X2920="Variable",D2920&lt;&gt;catTrading,S2920&gt;0,S2920&lt;=Umbral),1,0))</f>
        <v/>
      </c>
      <c r="AB2920" s="52">
        <f>IF(OR(P2920="",Q2920=""),"",IFERROR(IF(INDEX(ctaVinc,MATCH(Q2920,ctaNombre,0))&amp;""&lt;&gt;"",INDEX(ctaVinc,MATCH(Q2920,ctaNombre,0))&amp;"",Q2920),Q2920))</f>
        <v/>
      </c>
      <c r="AC2920" s="52">
        <f>IF(OR(K2920="",AND(P2920&lt;&gt;"Transferencia",P2920&lt;&gt;"Pago tarjeta")),"",IFERROR(IF(INDEX(ctaVinc,MATCH(K2920,ctaNombre,0))&amp;""&lt;&gt;"",INDEX(ctaVinc,MATCH(K2920,ctaNombre,0))&amp;"",K2920),K2920))</f>
        <v/>
      </c>
      <c r="AD2920" s="52">
        <f>IF(AB2920="","",IFERROR(INDEX(ctaTipo,MATCH(AB2920,ctaNombre,0))&amp;"",""))</f>
        <v/>
      </c>
      <c r="AE2920" s="52">
        <f>IF(AC2920="","",IFERROR(INDEX(ctaTipo,MATCH(AC2920,ctaNombre,0))&amp;"",""))</f>
        <v/>
      </c>
      <c r="AF2920" s="53">
        <f>IF(OR(P2920="",AB2920=""),"",IF(OR(P2920="Gasto",P2920="Transferencia",P2920="Pago tarjeta"),-1,1)*IF(IFERROR(INDEX(ctaMoneda,MATCH(AB2920,ctaNombre,0))&amp;"","DOP")="USD",T2920,S2920))</f>
        <v/>
      </c>
      <c r="AG2920" s="53">
        <f>IF(AC2920="","",IF(IFERROR(INDEX(ctaMoneda,MATCH(AC2920,ctaNombre,0))&amp;"","DOP")="USD",T2920,S2920))</f>
        <v/>
      </c>
      <c r="AH2920" s="53">
        <f>IF(P2920="","",IF(AND(AD2920&lt;&gt;"",COUNTIFS(tcTipo,AD2920,tcLiq,"Sí")&gt;0),IF(OR(P2920="Gasto",P2920="Transferencia",P2920="Pago tarjeta"),-1,1)*S2920,0)+IF(AND(AE2920&lt;&gt;"",COUNTIFS(tcTipo,AE2920,tcLiq,"Sí")&gt;0),S2920,0))</f>
        <v/>
      </c>
      <c r="AI2920" s="52">
        <f>IF(OR(L2920="",P2920=""),"",IF(COUNTIFS(L$6:L2920,L2920,P$6:P2920,"?*")=1,MAX(AI$5:AI2919)+1,""))</f>
        <v/>
      </c>
    </row>
    <row r="2921">
      <c r="B2921" s="47" t="n"/>
      <c r="C2921" s="48" t="n"/>
      <c r="D2921" s="48" t="n"/>
      <c r="E2921" s="48" t="n"/>
      <c r="F2921" s="48" t="n"/>
      <c r="G2921" s="49" t="n"/>
      <c r="H2921" s="48" t="n"/>
      <c r="I2921" s="50" t="n"/>
      <c r="J2921" s="48" t="n"/>
      <c r="K2921" s="48" t="n"/>
      <c r="L2921" s="48" t="n"/>
      <c r="M2921" s="48" t="n"/>
      <c r="N2921" s="48" t="n"/>
      <c r="O2921" s="51">
        <f>IF(AND(B2921="",G2921="",C2921="",D2921="",J2921=""),"",IF(B2921="","⚠ Falta fecha",IF(G2921="","⚠ Falta monto",IF(Q2921="","⚠ Falta cuenta",IF(ISNA(MATCH(Q2921,ctaNombre,0)),"⚠ Cuenta no registrada",IF(AND(OR(P2921="Gasto",P2921="Reembolso"),D2921=""),"⚠ Falta categoría",IF(AND(D2921&lt;&gt;"",E2921&lt;&gt;"",ISNA(MATCH(D2921&amp;"|"&amp;E2921,catClave,0))),"⚠ Subcategoría no corresponde",IF(AND(OR(P2921="Transferencia",P2921="Pago tarjeta"),K2921=""),"⚠ Falta cuenta destino",IF(AND(K2921&lt;&gt;"",P2921&lt;&gt;"Transferencia",P2921&lt;&gt;"Pago tarjeta"),"⚠ Destino solo aplica a transferencias",IF(AND(K2921&lt;&gt;"",K2921=Q2921),"⚠ Origen igual a destino",IF(AND(K2921&lt;&gt;"",ISNA(MATCH(K2921,ctaNombre,0))),"⚠ Destino no registrado",IF(AND(P2921="Pago tarjeta",AE2921&lt;&gt;"Tarjeta de crédito"),"⚠ El destino debe ser tarjeta de crédito",IF(AND(P2921="Gasto",E2921="Depósitos y retiros"),"⚠ Usa tipo Transferencia",IF(AND(P2921="Resultado trading",AD2921&lt;&gt;"Cuenta de trading"),"⚠ Usa una cuenta de trading",IF(AND(G2921&lt;=0,P2921&lt;&gt;"Ajuste",P2921&lt;&gt;"Resultado trading"),"⚠ El monto debe ser positivo","✓")))))))))))))))</f>
        <v/>
      </c>
      <c r="P2921" s="52">
        <f>IF(OR(B2921="",G2921=""),"",IF(C2921="","Gasto",C2921))</f>
        <v/>
      </c>
      <c r="Q2921" s="52">
        <f>IF(P2921="","",IF(J2921&lt;&gt;"",J2921,CuentaPred&amp;""))</f>
        <v/>
      </c>
      <c r="R2921" s="52">
        <f>IF(P2921="","",IF(ISNUMBER(I2921),I2921,TasaUSD))</f>
        <v/>
      </c>
      <c r="S2921" s="53">
        <f>IF(P2921="","",IF(H2921="USD",G2921*R2921,G2921))</f>
        <v/>
      </c>
      <c r="T2921" s="53">
        <f>IF(P2921="","",IF(H2921="USD",G2921,IF(R2921&gt;0,G2921/R2921,0)))</f>
        <v/>
      </c>
      <c r="U2921" s="53">
        <f>IF(P2921="","",IF(P2921="Gasto",S2921,IF(P2921="Reembolso",-S2921,0)))</f>
        <v/>
      </c>
      <c r="V2921" s="53">
        <f>IF(P2921="","",IF(P2921="Ingreso",S2921,0))</f>
        <v/>
      </c>
      <c r="W2921" s="53">
        <f>IF(P2921="","",IF(P2921="Resultado trading",S2921,0))</f>
        <v/>
      </c>
      <c r="X2921" s="52">
        <f>IF(OR(P2921="Gasto",P2921="Reembolso"),IF(M2921&lt;&gt;"",M2921,IFERROR(INDEX(catClasif,MATCH(D2921&amp;"|"&amp;E2921,catClave,0))&amp;"","Variable")),"")</f>
        <v/>
      </c>
      <c r="Y2921" s="52">
        <f>IF(P2921="","",IFERROR(INDEX(catGrupo,MATCH(D2921&amp;"|"&amp;E2921,catClave,0))&amp;"",""))</f>
        <v/>
      </c>
      <c r="Z2921" s="52">
        <f>IF(P2921="","",WEEKDAY(B2921,2))</f>
        <v/>
      </c>
      <c r="AA2921" s="52">
        <f>IF(P2921="","",IF(AND(P2921="Gasto",X2921="Variable",D2921&lt;&gt;catTrading,S2921&gt;0,S2921&lt;=Umbral),1,0))</f>
        <v/>
      </c>
      <c r="AB2921" s="52">
        <f>IF(OR(P2921="",Q2921=""),"",IFERROR(IF(INDEX(ctaVinc,MATCH(Q2921,ctaNombre,0))&amp;""&lt;&gt;"",INDEX(ctaVinc,MATCH(Q2921,ctaNombre,0))&amp;"",Q2921),Q2921))</f>
        <v/>
      </c>
      <c r="AC2921" s="52">
        <f>IF(OR(K2921="",AND(P2921&lt;&gt;"Transferencia",P2921&lt;&gt;"Pago tarjeta")),"",IFERROR(IF(INDEX(ctaVinc,MATCH(K2921,ctaNombre,0))&amp;""&lt;&gt;"",INDEX(ctaVinc,MATCH(K2921,ctaNombre,0))&amp;"",K2921),K2921))</f>
        <v/>
      </c>
      <c r="AD2921" s="52">
        <f>IF(AB2921="","",IFERROR(INDEX(ctaTipo,MATCH(AB2921,ctaNombre,0))&amp;"",""))</f>
        <v/>
      </c>
      <c r="AE2921" s="52">
        <f>IF(AC2921="","",IFERROR(INDEX(ctaTipo,MATCH(AC2921,ctaNombre,0))&amp;"",""))</f>
        <v/>
      </c>
      <c r="AF2921" s="53">
        <f>IF(OR(P2921="",AB2921=""),"",IF(OR(P2921="Gasto",P2921="Transferencia",P2921="Pago tarjeta"),-1,1)*IF(IFERROR(INDEX(ctaMoneda,MATCH(AB2921,ctaNombre,0))&amp;"","DOP")="USD",T2921,S2921))</f>
        <v/>
      </c>
      <c r="AG2921" s="53">
        <f>IF(AC2921="","",IF(IFERROR(INDEX(ctaMoneda,MATCH(AC2921,ctaNombre,0))&amp;"","DOP")="USD",T2921,S2921))</f>
        <v/>
      </c>
      <c r="AH2921" s="53">
        <f>IF(P2921="","",IF(AND(AD2921&lt;&gt;"",COUNTIFS(tcTipo,AD2921,tcLiq,"Sí")&gt;0),IF(OR(P2921="Gasto",P2921="Transferencia",P2921="Pago tarjeta"),-1,1)*S2921,0)+IF(AND(AE2921&lt;&gt;"",COUNTIFS(tcTipo,AE2921,tcLiq,"Sí")&gt;0),S2921,0))</f>
        <v/>
      </c>
      <c r="AI2921" s="52">
        <f>IF(OR(L2921="",P2921=""),"",IF(COUNTIFS(L$6:L2921,L2921,P$6:P2921,"?*")=1,MAX(AI$5:AI2920)+1,""))</f>
        <v/>
      </c>
    </row>
    <row r="2922">
      <c r="B2922" s="47" t="n"/>
      <c r="C2922" s="48" t="n"/>
      <c r="D2922" s="48" t="n"/>
      <c r="E2922" s="48" t="n"/>
      <c r="F2922" s="48" t="n"/>
      <c r="G2922" s="49" t="n"/>
      <c r="H2922" s="48" t="n"/>
      <c r="I2922" s="50" t="n"/>
      <c r="J2922" s="48" t="n"/>
      <c r="K2922" s="48" t="n"/>
      <c r="L2922" s="48" t="n"/>
      <c r="M2922" s="48" t="n"/>
      <c r="N2922" s="48" t="n"/>
      <c r="O2922" s="51">
        <f>IF(AND(B2922="",G2922="",C2922="",D2922="",J2922=""),"",IF(B2922="","⚠ Falta fecha",IF(G2922="","⚠ Falta monto",IF(Q2922="","⚠ Falta cuenta",IF(ISNA(MATCH(Q2922,ctaNombre,0)),"⚠ Cuenta no registrada",IF(AND(OR(P2922="Gasto",P2922="Reembolso"),D2922=""),"⚠ Falta categoría",IF(AND(D2922&lt;&gt;"",E2922&lt;&gt;"",ISNA(MATCH(D2922&amp;"|"&amp;E2922,catClave,0))),"⚠ Subcategoría no corresponde",IF(AND(OR(P2922="Transferencia",P2922="Pago tarjeta"),K2922=""),"⚠ Falta cuenta destino",IF(AND(K2922&lt;&gt;"",P2922&lt;&gt;"Transferencia",P2922&lt;&gt;"Pago tarjeta"),"⚠ Destino solo aplica a transferencias",IF(AND(K2922&lt;&gt;"",K2922=Q2922),"⚠ Origen igual a destino",IF(AND(K2922&lt;&gt;"",ISNA(MATCH(K2922,ctaNombre,0))),"⚠ Destino no registrado",IF(AND(P2922="Pago tarjeta",AE2922&lt;&gt;"Tarjeta de crédito"),"⚠ El destino debe ser tarjeta de crédito",IF(AND(P2922="Gasto",E2922="Depósitos y retiros"),"⚠ Usa tipo Transferencia",IF(AND(P2922="Resultado trading",AD2922&lt;&gt;"Cuenta de trading"),"⚠ Usa una cuenta de trading",IF(AND(G2922&lt;=0,P2922&lt;&gt;"Ajuste",P2922&lt;&gt;"Resultado trading"),"⚠ El monto debe ser positivo","✓")))))))))))))))</f>
        <v/>
      </c>
      <c r="P2922" s="52">
        <f>IF(OR(B2922="",G2922=""),"",IF(C2922="","Gasto",C2922))</f>
        <v/>
      </c>
      <c r="Q2922" s="52">
        <f>IF(P2922="","",IF(J2922&lt;&gt;"",J2922,CuentaPred&amp;""))</f>
        <v/>
      </c>
      <c r="R2922" s="52">
        <f>IF(P2922="","",IF(ISNUMBER(I2922),I2922,TasaUSD))</f>
        <v/>
      </c>
      <c r="S2922" s="53">
        <f>IF(P2922="","",IF(H2922="USD",G2922*R2922,G2922))</f>
        <v/>
      </c>
      <c r="T2922" s="53">
        <f>IF(P2922="","",IF(H2922="USD",G2922,IF(R2922&gt;0,G2922/R2922,0)))</f>
        <v/>
      </c>
      <c r="U2922" s="53">
        <f>IF(P2922="","",IF(P2922="Gasto",S2922,IF(P2922="Reembolso",-S2922,0)))</f>
        <v/>
      </c>
      <c r="V2922" s="53">
        <f>IF(P2922="","",IF(P2922="Ingreso",S2922,0))</f>
        <v/>
      </c>
      <c r="W2922" s="53">
        <f>IF(P2922="","",IF(P2922="Resultado trading",S2922,0))</f>
        <v/>
      </c>
      <c r="X2922" s="52">
        <f>IF(OR(P2922="Gasto",P2922="Reembolso"),IF(M2922&lt;&gt;"",M2922,IFERROR(INDEX(catClasif,MATCH(D2922&amp;"|"&amp;E2922,catClave,0))&amp;"","Variable")),"")</f>
        <v/>
      </c>
      <c r="Y2922" s="52">
        <f>IF(P2922="","",IFERROR(INDEX(catGrupo,MATCH(D2922&amp;"|"&amp;E2922,catClave,0))&amp;"",""))</f>
        <v/>
      </c>
      <c r="Z2922" s="52">
        <f>IF(P2922="","",WEEKDAY(B2922,2))</f>
        <v/>
      </c>
      <c r="AA2922" s="52">
        <f>IF(P2922="","",IF(AND(P2922="Gasto",X2922="Variable",D2922&lt;&gt;catTrading,S2922&gt;0,S2922&lt;=Umbral),1,0))</f>
        <v/>
      </c>
      <c r="AB2922" s="52">
        <f>IF(OR(P2922="",Q2922=""),"",IFERROR(IF(INDEX(ctaVinc,MATCH(Q2922,ctaNombre,0))&amp;""&lt;&gt;"",INDEX(ctaVinc,MATCH(Q2922,ctaNombre,0))&amp;"",Q2922),Q2922))</f>
        <v/>
      </c>
      <c r="AC2922" s="52">
        <f>IF(OR(K2922="",AND(P2922&lt;&gt;"Transferencia",P2922&lt;&gt;"Pago tarjeta")),"",IFERROR(IF(INDEX(ctaVinc,MATCH(K2922,ctaNombre,0))&amp;""&lt;&gt;"",INDEX(ctaVinc,MATCH(K2922,ctaNombre,0))&amp;"",K2922),K2922))</f>
        <v/>
      </c>
      <c r="AD2922" s="52">
        <f>IF(AB2922="","",IFERROR(INDEX(ctaTipo,MATCH(AB2922,ctaNombre,0))&amp;"",""))</f>
        <v/>
      </c>
      <c r="AE2922" s="52">
        <f>IF(AC2922="","",IFERROR(INDEX(ctaTipo,MATCH(AC2922,ctaNombre,0))&amp;"",""))</f>
        <v/>
      </c>
      <c r="AF2922" s="53">
        <f>IF(OR(P2922="",AB2922=""),"",IF(OR(P2922="Gasto",P2922="Transferencia",P2922="Pago tarjeta"),-1,1)*IF(IFERROR(INDEX(ctaMoneda,MATCH(AB2922,ctaNombre,0))&amp;"","DOP")="USD",T2922,S2922))</f>
        <v/>
      </c>
      <c r="AG2922" s="53">
        <f>IF(AC2922="","",IF(IFERROR(INDEX(ctaMoneda,MATCH(AC2922,ctaNombre,0))&amp;"","DOP")="USD",T2922,S2922))</f>
        <v/>
      </c>
      <c r="AH2922" s="53">
        <f>IF(P2922="","",IF(AND(AD2922&lt;&gt;"",COUNTIFS(tcTipo,AD2922,tcLiq,"Sí")&gt;0),IF(OR(P2922="Gasto",P2922="Transferencia",P2922="Pago tarjeta"),-1,1)*S2922,0)+IF(AND(AE2922&lt;&gt;"",COUNTIFS(tcTipo,AE2922,tcLiq,"Sí")&gt;0),S2922,0))</f>
        <v/>
      </c>
      <c r="AI2922" s="52">
        <f>IF(OR(L2922="",P2922=""),"",IF(COUNTIFS(L$6:L2922,L2922,P$6:P2922,"?*")=1,MAX(AI$5:AI2921)+1,""))</f>
        <v/>
      </c>
    </row>
    <row r="2923">
      <c r="B2923" s="47" t="n"/>
      <c r="C2923" s="48" t="n"/>
      <c r="D2923" s="48" t="n"/>
      <c r="E2923" s="48" t="n"/>
      <c r="F2923" s="48" t="n"/>
      <c r="G2923" s="49" t="n"/>
      <c r="H2923" s="48" t="n"/>
      <c r="I2923" s="50" t="n"/>
      <c r="J2923" s="48" t="n"/>
      <c r="K2923" s="48" t="n"/>
      <c r="L2923" s="48" t="n"/>
      <c r="M2923" s="48" t="n"/>
      <c r="N2923" s="48" t="n"/>
      <c r="O2923" s="51">
        <f>IF(AND(B2923="",G2923="",C2923="",D2923="",J2923=""),"",IF(B2923="","⚠ Falta fecha",IF(G2923="","⚠ Falta monto",IF(Q2923="","⚠ Falta cuenta",IF(ISNA(MATCH(Q2923,ctaNombre,0)),"⚠ Cuenta no registrada",IF(AND(OR(P2923="Gasto",P2923="Reembolso"),D2923=""),"⚠ Falta categoría",IF(AND(D2923&lt;&gt;"",E2923&lt;&gt;"",ISNA(MATCH(D2923&amp;"|"&amp;E2923,catClave,0))),"⚠ Subcategoría no corresponde",IF(AND(OR(P2923="Transferencia",P2923="Pago tarjeta"),K2923=""),"⚠ Falta cuenta destino",IF(AND(K2923&lt;&gt;"",P2923&lt;&gt;"Transferencia",P2923&lt;&gt;"Pago tarjeta"),"⚠ Destino solo aplica a transferencias",IF(AND(K2923&lt;&gt;"",K2923=Q2923),"⚠ Origen igual a destino",IF(AND(K2923&lt;&gt;"",ISNA(MATCH(K2923,ctaNombre,0))),"⚠ Destino no registrado",IF(AND(P2923="Pago tarjeta",AE2923&lt;&gt;"Tarjeta de crédito"),"⚠ El destino debe ser tarjeta de crédito",IF(AND(P2923="Gasto",E2923="Depósitos y retiros"),"⚠ Usa tipo Transferencia",IF(AND(P2923="Resultado trading",AD2923&lt;&gt;"Cuenta de trading"),"⚠ Usa una cuenta de trading",IF(AND(G2923&lt;=0,P2923&lt;&gt;"Ajuste",P2923&lt;&gt;"Resultado trading"),"⚠ El monto debe ser positivo","✓")))))))))))))))</f>
        <v/>
      </c>
      <c r="P2923" s="52">
        <f>IF(OR(B2923="",G2923=""),"",IF(C2923="","Gasto",C2923))</f>
        <v/>
      </c>
      <c r="Q2923" s="52">
        <f>IF(P2923="","",IF(J2923&lt;&gt;"",J2923,CuentaPred&amp;""))</f>
        <v/>
      </c>
      <c r="R2923" s="52">
        <f>IF(P2923="","",IF(ISNUMBER(I2923),I2923,TasaUSD))</f>
        <v/>
      </c>
      <c r="S2923" s="53">
        <f>IF(P2923="","",IF(H2923="USD",G2923*R2923,G2923))</f>
        <v/>
      </c>
      <c r="T2923" s="53">
        <f>IF(P2923="","",IF(H2923="USD",G2923,IF(R2923&gt;0,G2923/R2923,0)))</f>
        <v/>
      </c>
      <c r="U2923" s="53">
        <f>IF(P2923="","",IF(P2923="Gasto",S2923,IF(P2923="Reembolso",-S2923,0)))</f>
        <v/>
      </c>
      <c r="V2923" s="53">
        <f>IF(P2923="","",IF(P2923="Ingreso",S2923,0))</f>
        <v/>
      </c>
      <c r="W2923" s="53">
        <f>IF(P2923="","",IF(P2923="Resultado trading",S2923,0))</f>
        <v/>
      </c>
      <c r="X2923" s="52">
        <f>IF(OR(P2923="Gasto",P2923="Reembolso"),IF(M2923&lt;&gt;"",M2923,IFERROR(INDEX(catClasif,MATCH(D2923&amp;"|"&amp;E2923,catClave,0))&amp;"","Variable")),"")</f>
        <v/>
      </c>
      <c r="Y2923" s="52">
        <f>IF(P2923="","",IFERROR(INDEX(catGrupo,MATCH(D2923&amp;"|"&amp;E2923,catClave,0))&amp;"",""))</f>
        <v/>
      </c>
      <c r="Z2923" s="52">
        <f>IF(P2923="","",WEEKDAY(B2923,2))</f>
        <v/>
      </c>
      <c r="AA2923" s="52">
        <f>IF(P2923="","",IF(AND(P2923="Gasto",X2923="Variable",D2923&lt;&gt;catTrading,S2923&gt;0,S2923&lt;=Umbral),1,0))</f>
        <v/>
      </c>
      <c r="AB2923" s="52">
        <f>IF(OR(P2923="",Q2923=""),"",IFERROR(IF(INDEX(ctaVinc,MATCH(Q2923,ctaNombre,0))&amp;""&lt;&gt;"",INDEX(ctaVinc,MATCH(Q2923,ctaNombre,0))&amp;"",Q2923),Q2923))</f>
        <v/>
      </c>
      <c r="AC2923" s="52">
        <f>IF(OR(K2923="",AND(P2923&lt;&gt;"Transferencia",P2923&lt;&gt;"Pago tarjeta")),"",IFERROR(IF(INDEX(ctaVinc,MATCH(K2923,ctaNombre,0))&amp;""&lt;&gt;"",INDEX(ctaVinc,MATCH(K2923,ctaNombre,0))&amp;"",K2923),K2923))</f>
        <v/>
      </c>
      <c r="AD2923" s="52">
        <f>IF(AB2923="","",IFERROR(INDEX(ctaTipo,MATCH(AB2923,ctaNombre,0))&amp;"",""))</f>
        <v/>
      </c>
      <c r="AE2923" s="52">
        <f>IF(AC2923="","",IFERROR(INDEX(ctaTipo,MATCH(AC2923,ctaNombre,0))&amp;"",""))</f>
        <v/>
      </c>
      <c r="AF2923" s="53">
        <f>IF(OR(P2923="",AB2923=""),"",IF(OR(P2923="Gasto",P2923="Transferencia",P2923="Pago tarjeta"),-1,1)*IF(IFERROR(INDEX(ctaMoneda,MATCH(AB2923,ctaNombre,0))&amp;"","DOP")="USD",T2923,S2923))</f>
        <v/>
      </c>
      <c r="AG2923" s="53">
        <f>IF(AC2923="","",IF(IFERROR(INDEX(ctaMoneda,MATCH(AC2923,ctaNombre,0))&amp;"","DOP")="USD",T2923,S2923))</f>
        <v/>
      </c>
      <c r="AH2923" s="53">
        <f>IF(P2923="","",IF(AND(AD2923&lt;&gt;"",COUNTIFS(tcTipo,AD2923,tcLiq,"Sí")&gt;0),IF(OR(P2923="Gasto",P2923="Transferencia",P2923="Pago tarjeta"),-1,1)*S2923,0)+IF(AND(AE2923&lt;&gt;"",COUNTIFS(tcTipo,AE2923,tcLiq,"Sí")&gt;0),S2923,0))</f>
        <v/>
      </c>
      <c r="AI2923" s="52">
        <f>IF(OR(L2923="",P2923=""),"",IF(COUNTIFS(L$6:L2923,L2923,P$6:P2923,"?*")=1,MAX(AI$5:AI2922)+1,""))</f>
        <v/>
      </c>
    </row>
    <row r="2924">
      <c r="B2924" s="47" t="n"/>
      <c r="C2924" s="48" t="n"/>
      <c r="D2924" s="48" t="n"/>
      <c r="E2924" s="48" t="n"/>
      <c r="F2924" s="48" t="n"/>
      <c r="G2924" s="49" t="n"/>
      <c r="H2924" s="48" t="n"/>
      <c r="I2924" s="50" t="n"/>
      <c r="J2924" s="48" t="n"/>
      <c r="K2924" s="48" t="n"/>
      <c r="L2924" s="48" t="n"/>
      <c r="M2924" s="48" t="n"/>
      <c r="N2924" s="48" t="n"/>
      <c r="O2924" s="51">
        <f>IF(AND(B2924="",G2924="",C2924="",D2924="",J2924=""),"",IF(B2924="","⚠ Falta fecha",IF(G2924="","⚠ Falta monto",IF(Q2924="","⚠ Falta cuenta",IF(ISNA(MATCH(Q2924,ctaNombre,0)),"⚠ Cuenta no registrada",IF(AND(OR(P2924="Gasto",P2924="Reembolso"),D2924=""),"⚠ Falta categoría",IF(AND(D2924&lt;&gt;"",E2924&lt;&gt;"",ISNA(MATCH(D2924&amp;"|"&amp;E2924,catClave,0))),"⚠ Subcategoría no corresponde",IF(AND(OR(P2924="Transferencia",P2924="Pago tarjeta"),K2924=""),"⚠ Falta cuenta destino",IF(AND(K2924&lt;&gt;"",P2924&lt;&gt;"Transferencia",P2924&lt;&gt;"Pago tarjeta"),"⚠ Destino solo aplica a transferencias",IF(AND(K2924&lt;&gt;"",K2924=Q2924),"⚠ Origen igual a destino",IF(AND(K2924&lt;&gt;"",ISNA(MATCH(K2924,ctaNombre,0))),"⚠ Destino no registrado",IF(AND(P2924="Pago tarjeta",AE2924&lt;&gt;"Tarjeta de crédito"),"⚠ El destino debe ser tarjeta de crédito",IF(AND(P2924="Gasto",E2924="Depósitos y retiros"),"⚠ Usa tipo Transferencia",IF(AND(P2924="Resultado trading",AD2924&lt;&gt;"Cuenta de trading"),"⚠ Usa una cuenta de trading",IF(AND(G2924&lt;=0,P2924&lt;&gt;"Ajuste",P2924&lt;&gt;"Resultado trading"),"⚠ El monto debe ser positivo","✓")))))))))))))))</f>
        <v/>
      </c>
      <c r="P2924" s="52">
        <f>IF(OR(B2924="",G2924=""),"",IF(C2924="","Gasto",C2924))</f>
        <v/>
      </c>
      <c r="Q2924" s="52">
        <f>IF(P2924="","",IF(J2924&lt;&gt;"",J2924,CuentaPred&amp;""))</f>
        <v/>
      </c>
      <c r="R2924" s="52">
        <f>IF(P2924="","",IF(ISNUMBER(I2924),I2924,TasaUSD))</f>
        <v/>
      </c>
      <c r="S2924" s="53">
        <f>IF(P2924="","",IF(H2924="USD",G2924*R2924,G2924))</f>
        <v/>
      </c>
      <c r="T2924" s="53">
        <f>IF(P2924="","",IF(H2924="USD",G2924,IF(R2924&gt;0,G2924/R2924,0)))</f>
        <v/>
      </c>
      <c r="U2924" s="53">
        <f>IF(P2924="","",IF(P2924="Gasto",S2924,IF(P2924="Reembolso",-S2924,0)))</f>
        <v/>
      </c>
      <c r="V2924" s="53">
        <f>IF(P2924="","",IF(P2924="Ingreso",S2924,0))</f>
        <v/>
      </c>
      <c r="W2924" s="53">
        <f>IF(P2924="","",IF(P2924="Resultado trading",S2924,0))</f>
        <v/>
      </c>
      <c r="X2924" s="52">
        <f>IF(OR(P2924="Gasto",P2924="Reembolso"),IF(M2924&lt;&gt;"",M2924,IFERROR(INDEX(catClasif,MATCH(D2924&amp;"|"&amp;E2924,catClave,0))&amp;"","Variable")),"")</f>
        <v/>
      </c>
      <c r="Y2924" s="52">
        <f>IF(P2924="","",IFERROR(INDEX(catGrupo,MATCH(D2924&amp;"|"&amp;E2924,catClave,0))&amp;"",""))</f>
        <v/>
      </c>
      <c r="Z2924" s="52">
        <f>IF(P2924="","",WEEKDAY(B2924,2))</f>
        <v/>
      </c>
      <c r="AA2924" s="52">
        <f>IF(P2924="","",IF(AND(P2924="Gasto",X2924="Variable",D2924&lt;&gt;catTrading,S2924&gt;0,S2924&lt;=Umbral),1,0))</f>
        <v/>
      </c>
      <c r="AB2924" s="52">
        <f>IF(OR(P2924="",Q2924=""),"",IFERROR(IF(INDEX(ctaVinc,MATCH(Q2924,ctaNombre,0))&amp;""&lt;&gt;"",INDEX(ctaVinc,MATCH(Q2924,ctaNombre,0))&amp;"",Q2924),Q2924))</f>
        <v/>
      </c>
      <c r="AC2924" s="52">
        <f>IF(OR(K2924="",AND(P2924&lt;&gt;"Transferencia",P2924&lt;&gt;"Pago tarjeta")),"",IFERROR(IF(INDEX(ctaVinc,MATCH(K2924,ctaNombre,0))&amp;""&lt;&gt;"",INDEX(ctaVinc,MATCH(K2924,ctaNombre,0))&amp;"",K2924),K2924))</f>
        <v/>
      </c>
      <c r="AD2924" s="52">
        <f>IF(AB2924="","",IFERROR(INDEX(ctaTipo,MATCH(AB2924,ctaNombre,0))&amp;"",""))</f>
        <v/>
      </c>
      <c r="AE2924" s="52">
        <f>IF(AC2924="","",IFERROR(INDEX(ctaTipo,MATCH(AC2924,ctaNombre,0))&amp;"",""))</f>
        <v/>
      </c>
      <c r="AF2924" s="53">
        <f>IF(OR(P2924="",AB2924=""),"",IF(OR(P2924="Gasto",P2924="Transferencia",P2924="Pago tarjeta"),-1,1)*IF(IFERROR(INDEX(ctaMoneda,MATCH(AB2924,ctaNombre,0))&amp;"","DOP")="USD",T2924,S2924))</f>
        <v/>
      </c>
      <c r="AG2924" s="53">
        <f>IF(AC2924="","",IF(IFERROR(INDEX(ctaMoneda,MATCH(AC2924,ctaNombre,0))&amp;"","DOP")="USD",T2924,S2924))</f>
        <v/>
      </c>
      <c r="AH2924" s="53">
        <f>IF(P2924="","",IF(AND(AD2924&lt;&gt;"",COUNTIFS(tcTipo,AD2924,tcLiq,"Sí")&gt;0),IF(OR(P2924="Gasto",P2924="Transferencia",P2924="Pago tarjeta"),-1,1)*S2924,0)+IF(AND(AE2924&lt;&gt;"",COUNTIFS(tcTipo,AE2924,tcLiq,"Sí")&gt;0),S2924,0))</f>
        <v/>
      </c>
      <c r="AI2924" s="52">
        <f>IF(OR(L2924="",P2924=""),"",IF(COUNTIFS(L$6:L2924,L2924,P$6:P2924,"?*")=1,MAX(AI$5:AI2923)+1,""))</f>
        <v/>
      </c>
    </row>
    <row r="2925">
      <c r="B2925" s="47" t="n"/>
      <c r="C2925" s="48" t="n"/>
      <c r="D2925" s="48" t="n"/>
      <c r="E2925" s="48" t="n"/>
      <c r="F2925" s="48" t="n"/>
      <c r="G2925" s="49" t="n"/>
      <c r="H2925" s="48" t="n"/>
      <c r="I2925" s="50" t="n"/>
      <c r="J2925" s="48" t="n"/>
      <c r="K2925" s="48" t="n"/>
      <c r="L2925" s="48" t="n"/>
      <c r="M2925" s="48" t="n"/>
      <c r="N2925" s="48" t="n"/>
      <c r="O2925" s="51">
        <f>IF(AND(B2925="",G2925="",C2925="",D2925="",J2925=""),"",IF(B2925="","⚠ Falta fecha",IF(G2925="","⚠ Falta monto",IF(Q2925="","⚠ Falta cuenta",IF(ISNA(MATCH(Q2925,ctaNombre,0)),"⚠ Cuenta no registrada",IF(AND(OR(P2925="Gasto",P2925="Reembolso"),D2925=""),"⚠ Falta categoría",IF(AND(D2925&lt;&gt;"",E2925&lt;&gt;"",ISNA(MATCH(D2925&amp;"|"&amp;E2925,catClave,0))),"⚠ Subcategoría no corresponde",IF(AND(OR(P2925="Transferencia",P2925="Pago tarjeta"),K2925=""),"⚠ Falta cuenta destino",IF(AND(K2925&lt;&gt;"",P2925&lt;&gt;"Transferencia",P2925&lt;&gt;"Pago tarjeta"),"⚠ Destino solo aplica a transferencias",IF(AND(K2925&lt;&gt;"",K2925=Q2925),"⚠ Origen igual a destino",IF(AND(K2925&lt;&gt;"",ISNA(MATCH(K2925,ctaNombre,0))),"⚠ Destino no registrado",IF(AND(P2925="Pago tarjeta",AE2925&lt;&gt;"Tarjeta de crédito"),"⚠ El destino debe ser tarjeta de crédito",IF(AND(P2925="Gasto",E2925="Depósitos y retiros"),"⚠ Usa tipo Transferencia",IF(AND(P2925="Resultado trading",AD2925&lt;&gt;"Cuenta de trading"),"⚠ Usa una cuenta de trading",IF(AND(G2925&lt;=0,P2925&lt;&gt;"Ajuste",P2925&lt;&gt;"Resultado trading"),"⚠ El monto debe ser positivo","✓")))))))))))))))</f>
        <v/>
      </c>
      <c r="P2925" s="52">
        <f>IF(OR(B2925="",G2925=""),"",IF(C2925="","Gasto",C2925))</f>
        <v/>
      </c>
      <c r="Q2925" s="52">
        <f>IF(P2925="","",IF(J2925&lt;&gt;"",J2925,CuentaPred&amp;""))</f>
        <v/>
      </c>
      <c r="R2925" s="52">
        <f>IF(P2925="","",IF(ISNUMBER(I2925),I2925,TasaUSD))</f>
        <v/>
      </c>
      <c r="S2925" s="53">
        <f>IF(P2925="","",IF(H2925="USD",G2925*R2925,G2925))</f>
        <v/>
      </c>
      <c r="T2925" s="53">
        <f>IF(P2925="","",IF(H2925="USD",G2925,IF(R2925&gt;0,G2925/R2925,0)))</f>
        <v/>
      </c>
      <c r="U2925" s="53">
        <f>IF(P2925="","",IF(P2925="Gasto",S2925,IF(P2925="Reembolso",-S2925,0)))</f>
        <v/>
      </c>
      <c r="V2925" s="53">
        <f>IF(P2925="","",IF(P2925="Ingreso",S2925,0))</f>
        <v/>
      </c>
      <c r="W2925" s="53">
        <f>IF(P2925="","",IF(P2925="Resultado trading",S2925,0))</f>
        <v/>
      </c>
      <c r="X2925" s="52">
        <f>IF(OR(P2925="Gasto",P2925="Reembolso"),IF(M2925&lt;&gt;"",M2925,IFERROR(INDEX(catClasif,MATCH(D2925&amp;"|"&amp;E2925,catClave,0))&amp;"","Variable")),"")</f>
        <v/>
      </c>
      <c r="Y2925" s="52">
        <f>IF(P2925="","",IFERROR(INDEX(catGrupo,MATCH(D2925&amp;"|"&amp;E2925,catClave,0))&amp;"",""))</f>
        <v/>
      </c>
      <c r="Z2925" s="52">
        <f>IF(P2925="","",WEEKDAY(B2925,2))</f>
        <v/>
      </c>
      <c r="AA2925" s="52">
        <f>IF(P2925="","",IF(AND(P2925="Gasto",X2925="Variable",D2925&lt;&gt;catTrading,S2925&gt;0,S2925&lt;=Umbral),1,0))</f>
        <v/>
      </c>
      <c r="AB2925" s="52">
        <f>IF(OR(P2925="",Q2925=""),"",IFERROR(IF(INDEX(ctaVinc,MATCH(Q2925,ctaNombre,0))&amp;""&lt;&gt;"",INDEX(ctaVinc,MATCH(Q2925,ctaNombre,0))&amp;"",Q2925),Q2925))</f>
        <v/>
      </c>
      <c r="AC2925" s="52">
        <f>IF(OR(K2925="",AND(P2925&lt;&gt;"Transferencia",P2925&lt;&gt;"Pago tarjeta")),"",IFERROR(IF(INDEX(ctaVinc,MATCH(K2925,ctaNombre,0))&amp;""&lt;&gt;"",INDEX(ctaVinc,MATCH(K2925,ctaNombre,0))&amp;"",K2925),K2925))</f>
        <v/>
      </c>
      <c r="AD2925" s="52">
        <f>IF(AB2925="","",IFERROR(INDEX(ctaTipo,MATCH(AB2925,ctaNombre,0))&amp;"",""))</f>
        <v/>
      </c>
      <c r="AE2925" s="52">
        <f>IF(AC2925="","",IFERROR(INDEX(ctaTipo,MATCH(AC2925,ctaNombre,0))&amp;"",""))</f>
        <v/>
      </c>
      <c r="AF2925" s="53">
        <f>IF(OR(P2925="",AB2925=""),"",IF(OR(P2925="Gasto",P2925="Transferencia",P2925="Pago tarjeta"),-1,1)*IF(IFERROR(INDEX(ctaMoneda,MATCH(AB2925,ctaNombre,0))&amp;"","DOP")="USD",T2925,S2925))</f>
        <v/>
      </c>
      <c r="AG2925" s="53">
        <f>IF(AC2925="","",IF(IFERROR(INDEX(ctaMoneda,MATCH(AC2925,ctaNombre,0))&amp;"","DOP")="USD",T2925,S2925))</f>
        <v/>
      </c>
      <c r="AH2925" s="53">
        <f>IF(P2925="","",IF(AND(AD2925&lt;&gt;"",COUNTIFS(tcTipo,AD2925,tcLiq,"Sí")&gt;0),IF(OR(P2925="Gasto",P2925="Transferencia",P2925="Pago tarjeta"),-1,1)*S2925,0)+IF(AND(AE2925&lt;&gt;"",COUNTIFS(tcTipo,AE2925,tcLiq,"Sí")&gt;0),S2925,0))</f>
        <v/>
      </c>
      <c r="AI2925" s="52">
        <f>IF(OR(L2925="",P2925=""),"",IF(COUNTIFS(L$6:L2925,L2925,P$6:P2925,"?*")=1,MAX(AI$5:AI2924)+1,""))</f>
        <v/>
      </c>
    </row>
    <row r="2926">
      <c r="B2926" s="47" t="n"/>
      <c r="C2926" s="48" t="n"/>
      <c r="D2926" s="48" t="n"/>
      <c r="E2926" s="48" t="n"/>
      <c r="F2926" s="48" t="n"/>
      <c r="G2926" s="49" t="n"/>
      <c r="H2926" s="48" t="n"/>
      <c r="I2926" s="50" t="n"/>
      <c r="J2926" s="48" t="n"/>
      <c r="K2926" s="48" t="n"/>
      <c r="L2926" s="48" t="n"/>
      <c r="M2926" s="48" t="n"/>
      <c r="N2926" s="48" t="n"/>
      <c r="O2926" s="51">
        <f>IF(AND(B2926="",G2926="",C2926="",D2926="",J2926=""),"",IF(B2926="","⚠ Falta fecha",IF(G2926="","⚠ Falta monto",IF(Q2926="","⚠ Falta cuenta",IF(ISNA(MATCH(Q2926,ctaNombre,0)),"⚠ Cuenta no registrada",IF(AND(OR(P2926="Gasto",P2926="Reembolso"),D2926=""),"⚠ Falta categoría",IF(AND(D2926&lt;&gt;"",E2926&lt;&gt;"",ISNA(MATCH(D2926&amp;"|"&amp;E2926,catClave,0))),"⚠ Subcategoría no corresponde",IF(AND(OR(P2926="Transferencia",P2926="Pago tarjeta"),K2926=""),"⚠ Falta cuenta destino",IF(AND(K2926&lt;&gt;"",P2926&lt;&gt;"Transferencia",P2926&lt;&gt;"Pago tarjeta"),"⚠ Destino solo aplica a transferencias",IF(AND(K2926&lt;&gt;"",K2926=Q2926),"⚠ Origen igual a destino",IF(AND(K2926&lt;&gt;"",ISNA(MATCH(K2926,ctaNombre,0))),"⚠ Destino no registrado",IF(AND(P2926="Pago tarjeta",AE2926&lt;&gt;"Tarjeta de crédito"),"⚠ El destino debe ser tarjeta de crédito",IF(AND(P2926="Gasto",E2926="Depósitos y retiros"),"⚠ Usa tipo Transferencia",IF(AND(P2926="Resultado trading",AD2926&lt;&gt;"Cuenta de trading"),"⚠ Usa una cuenta de trading",IF(AND(G2926&lt;=0,P2926&lt;&gt;"Ajuste",P2926&lt;&gt;"Resultado trading"),"⚠ El monto debe ser positivo","✓")))))))))))))))</f>
        <v/>
      </c>
      <c r="P2926" s="52">
        <f>IF(OR(B2926="",G2926=""),"",IF(C2926="","Gasto",C2926))</f>
        <v/>
      </c>
      <c r="Q2926" s="52">
        <f>IF(P2926="","",IF(J2926&lt;&gt;"",J2926,CuentaPred&amp;""))</f>
        <v/>
      </c>
      <c r="R2926" s="52">
        <f>IF(P2926="","",IF(ISNUMBER(I2926),I2926,TasaUSD))</f>
        <v/>
      </c>
      <c r="S2926" s="53">
        <f>IF(P2926="","",IF(H2926="USD",G2926*R2926,G2926))</f>
        <v/>
      </c>
      <c r="T2926" s="53">
        <f>IF(P2926="","",IF(H2926="USD",G2926,IF(R2926&gt;0,G2926/R2926,0)))</f>
        <v/>
      </c>
      <c r="U2926" s="53">
        <f>IF(P2926="","",IF(P2926="Gasto",S2926,IF(P2926="Reembolso",-S2926,0)))</f>
        <v/>
      </c>
      <c r="V2926" s="53">
        <f>IF(P2926="","",IF(P2926="Ingreso",S2926,0))</f>
        <v/>
      </c>
      <c r="W2926" s="53">
        <f>IF(P2926="","",IF(P2926="Resultado trading",S2926,0))</f>
        <v/>
      </c>
      <c r="X2926" s="52">
        <f>IF(OR(P2926="Gasto",P2926="Reembolso"),IF(M2926&lt;&gt;"",M2926,IFERROR(INDEX(catClasif,MATCH(D2926&amp;"|"&amp;E2926,catClave,0))&amp;"","Variable")),"")</f>
        <v/>
      </c>
      <c r="Y2926" s="52">
        <f>IF(P2926="","",IFERROR(INDEX(catGrupo,MATCH(D2926&amp;"|"&amp;E2926,catClave,0))&amp;"",""))</f>
        <v/>
      </c>
      <c r="Z2926" s="52">
        <f>IF(P2926="","",WEEKDAY(B2926,2))</f>
        <v/>
      </c>
      <c r="AA2926" s="52">
        <f>IF(P2926="","",IF(AND(P2926="Gasto",X2926="Variable",D2926&lt;&gt;catTrading,S2926&gt;0,S2926&lt;=Umbral),1,0))</f>
        <v/>
      </c>
      <c r="AB2926" s="52">
        <f>IF(OR(P2926="",Q2926=""),"",IFERROR(IF(INDEX(ctaVinc,MATCH(Q2926,ctaNombre,0))&amp;""&lt;&gt;"",INDEX(ctaVinc,MATCH(Q2926,ctaNombre,0))&amp;"",Q2926),Q2926))</f>
        <v/>
      </c>
      <c r="AC2926" s="52">
        <f>IF(OR(K2926="",AND(P2926&lt;&gt;"Transferencia",P2926&lt;&gt;"Pago tarjeta")),"",IFERROR(IF(INDEX(ctaVinc,MATCH(K2926,ctaNombre,0))&amp;""&lt;&gt;"",INDEX(ctaVinc,MATCH(K2926,ctaNombre,0))&amp;"",K2926),K2926))</f>
        <v/>
      </c>
      <c r="AD2926" s="52">
        <f>IF(AB2926="","",IFERROR(INDEX(ctaTipo,MATCH(AB2926,ctaNombre,0))&amp;"",""))</f>
        <v/>
      </c>
      <c r="AE2926" s="52">
        <f>IF(AC2926="","",IFERROR(INDEX(ctaTipo,MATCH(AC2926,ctaNombre,0))&amp;"",""))</f>
        <v/>
      </c>
      <c r="AF2926" s="53">
        <f>IF(OR(P2926="",AB2926=""),"",IF(OR(P2926="Gasto",P2926="Transferencia",P2926="Pago tarjeta"),-1,1)*IF(IFERROR(INDEX(ctaMoneda,MATCH(AB2926,ctaNombre,0))&amp;"","DOP")="USD",T2926,S2926))</f>
        <v/>
      </c>
      <c r="AG2926" s="53">
        <f>IF(AC2926="","",IF(IFERROR(INDEX(ctaMoneda,MATCH(AC2926,ctaNombre,0))&amp;"","DOP")="USD",T2926,S2926))</f>
        <v/>
      </c>
      <c r="AH2926" s="53">
        <f>IF(P2926="","",IF(AND(AD2926&lt;&gt;"",COUNTIFS(tcTipo,AD2926,tcLiq,"Sí")&gt;0),IF(OR(P2926="Gasto",P2926="Transferencia",P2926="Pago tarjeta"),-1,1)*S2926,0)+IF(AND(AE2926&lt;&gt;"",COUNTIFS(tcTipo,AE2926,tcLiq,"Sí")&gt;0),S2926,0))</f>
        <v/>
      </c>
      <c r="AI2926" s="52">
        <f>IF(OR(L2926="",P2926=""),"",IF(COUNTIFS(L$6:L2926,L2926,P$6:P2926,"?*")=1,MAX(AI$5:AI2925)+1,""))</f>
        <v/>
      </c>
    </row>
    <row r="2927">
      <c r="B2927" s="47" t="n"/>
      <c r="C2927" s="48" t="n"/>
      <c r="D2927" s="48" t="n"/>
      <c r="E2927" s="48" t="n"/>
      <c r="F2927" s="48" t="n"/>
      <c r="G2927" s="49" t="n"/>
      <c r="H2927" s="48" t="n"/>
      <c r="I2927" s="50" t="n"/>
      <c r="J2927" s="48" t="n"/>
      <c r="K2927" s="48" t="n"/>
      <c r="L2927" s="48" t="n"/>
      <c r="M2927" s="48" t="n"/>
      <c r="N2927" s="48" t="n"/>
      <c r="O2927" s="51">
        <f>IF(AND(B2927="",G2927="",C2927="",D2927="",J2927=""),"",IF(B2927="","⚠ Falta fecha",IF(G2927="","⚠ Falta monto",IF(Q2927="","⚠ Falta cuenta",IF(ISNA(MATCH(Q2927,ctaNombre,0)),"⚠ Cuenta no registrada",IF(AND(OR(P2927="Gasto",P2927="Reembolso"),D2927=""),"⚠ Falta categoría",IF(AND(D2927&lt;&gt;"",E2927&lt;&gt;"",ISNA(MATCH(D2927&amp;"|"&amp;E2927,catClave,0))),"⚠ Subcategoría no corresponde",IF(AND(OR(P2927="Transferencia",P2927="Pago tarjeta"),K2927=""),"⚠ Falta cuenta destino",IF(AND(K2927&lt;&gt;"",P2927&lt;&gt;"Transferencia",P2927&lt;&gt;"Pago tarjeta"),"⚠ Destino solo aplica a transferencias",IF(AND(K2927&lt;&gt;"",K2927=Q2927),"⚠ Origen igual a destino",IF(AND(K2927&lt;&gt;"",ISNA(MATCH(K2927,ctaNombre,0))),"⚠ Destino no registrado",IF(AND(P2927="Pago tarjeta",AE2927&lt;&gt;"Tarjeta de crédito"),"⚠ El destino debe ser tarjeta de crédito",IF(AND(P2927="Gasto",E2927="Depósitos y retiros"),"⚠ Usa tipo Transferencia",IF(AND(P2927="Resultado trading",AD2927&lt;&gt;"Cuenta de trading"),"⚠ Usa una cuenta de trading",IF(AND(G2927&lt;=0,P2927&lt;&gt;"Ajuste",P2927&lt;&gt;"Resultado trading"),"⚠ El monto debe ser positivo","✓")))))))))))))))</f>
        <v/>
      </c>
      <c r="P2927" s="52">
        <f>IF(OR(B2927="",G2927=""),"",IF(C2927="","Gasto",C2927))</f>
        <v/>
      </c>
      <c r="Q2927" s="52">
        <f>IF(P2927="","",IF(J2927&lt;&gt;"",J2927,CuentaPred&amp;""))</f>
        <v/>
      </c>
      <c r="R2927" s="52">
        <f>IF(P2927="","",IF(ISNUMBER(I2927),I2927,TasaUSD))</f>
        <v/>
      </c>
      <c r="S2927" s="53">
        <f>IF(P2927="","",IF(H2927="USD",G2927*R2927,G2927))</f>
        <v/>
      </c>
      <c r="T2927" s="53">
        <f>IF(P2927="","",IF(H2927="USD",G2927,IF(R2927&gt;0,G2927/R2927,0)))</f>
        <v/>
      </c>
      <c r="U2927" s="53">
        <f>IF(P2927="","",IF(P2927="Gasto",S2927,IF(P2927="Reembolso",-S2927,0)))</f>
        <v/>
      </c>
      <c r="V2927" s="53">
        <f>IF(P2927="","",IF(P2927="Ingreso",S2927,0))</f>
        <v/>
      </c>
      <c r="W2927" s="53">
        <f>IF(P2927="","",IF(P2927="Resultado trading",S2927,0))</f>
        <v/>
      </c>
      <c r="X2927" s="52">
        <f>IF(OR(P2927="Gasto",P2927="Reembolso"),IF(M2927&lt;&gt;"",M2927,IFERROR(INDEX(catClasif,MATCH(D2927&amp;"|"&amp;E2927,catClave,0))&amp;"","Variable")),"")</f>
        <v/>
      </c>
      <c r="Y2927" s="52">
        <f>IF(P2927="","",IFERROR(INDEX(catGrupo,MATCH(D2927&amp;"|"&amp;E2927,catClave,0))&amp;"",""))</f>
        <v/>
      </c>
      <c r="Z2927" s="52">
        <f>IF(P2927="","",WEEKDAY(B2927,2))</f>
        <v/>
      </c>
      <c r="AA2927" s="52">
        <f>IF(P2927="","",IF(AND(P2927="Gasto",X2927="Variable",D2927&lt;&gt;catTrading,S2927&gt;0,S2927&lt;=Umbral),1,0))</f>
        <v/>
      </c>
      <c r="AB2927" s="52">
        <f>IF(OR(P2927="",Q2927=""),"",IFERROR(IF(INDEX(ctaVinc,MATCH(Q2927,ctaNombre,0))&amp;""&lt;&gt;"",INDEX(ctaVinc,MATCH(Q2927,ctaNombre,0))&amp;"",Q2927),Q2927))</f>
        <v/>
      </c>
      <c r="AC2927" s="52">
        <f>IF(OR(K2927="",AND(P2927&lt;&gt;"Transferencia",P2927&lt;&gt;"Pago tarjeta")),"",IFERROR(IF(INDEX(ctaVinc,MATCH(K2927,ctaNombre,0))&amp;""&lt;&gt;"",INDEX(ctaVinc,MATCH(K2927,ctaNombre,0))&amp;"",K2927),K2927))</f>
        <v/>
      </c>
      <c r="AD2927" s="52">
        <f>IF(AB2927="","",IFERROR(INDEX(ctaTipo,MATCH(AB2927,ctaNombre,0))&amp;"",""))</f>
        <v/>
      </c>
      <c r="AE2927" s="52">
        <f>IF(AC2927="","",IFERROR(INDEX(ctaTipo,MATCH(AC2927,ctaNombre,0))&amp;"",""))</f>
        <v/>
      </c>
      <c r="AF2927" s="53">
        <f>IF(OR(P2927="",AB2927=""),"",IF(OR(P2927="Gasto",P2927="Transferencia",P2927="Pago tarjeta"),-1,1)*IF(IFERROR(INDEX(ctaMoneda,MATCH(AB2927,ctaNombre,0))&amp;"","DOP")="USD",T2927,S2927))</f>
        <v/>
      </c>
      <c r="AG2927" s="53">
        <f>IF(AC2927="","",IF(IFERROR(INDEX(ctaMoneda,MATCH(AC2927,ctaNombre,0))&amp;"","DOP")="USD",T2927,S2927))</f>
        <v/>
      </c>
      <c r="AH2927" s="53">
        <f>IF(P2927="","",IF(AND(AD2927&lt;&gt;"",COUNTIFS(tcTipo,AD2927,tcLiq,"Sí")&gt;0),IF(OR(P2927="Gasto",P2927="Transferencia",P2927="Pago tarjeta"),-1,1)*S2927,0)+IF(AND(AE2927&lt;&gt;"",COUNTIFS(tcTipo,AE2927,tcLiq,"Sí")&gt;0),S2927,0))</f>
        <v/>
      </c>
      <c r="AI2927" s="52">
        <f>IF(OR(L2927="",P2927=""),"",IF(COUNTIFS(L$6:L2927,L2927,P$6:P2927,"?*")=1,MAX(AI$5:AI2926)+1,""))</f>
        <v/>
      </c>
    </row>
    <row r="2928">
      <c r="B2928" s="47" t="n"/>
      <c r="C2928" s="48" t="n"/>
      <c r="D2928" s="48" t="n"/>
      <c r="E2928" s="48" t="n"/>
      <c r="F2928" s="48" t="n"/>
      <c r="G2928" s="49" t="n"/>
      <c r="H2928" s="48" t="n"/>
      <c r="I2928" s="50" t="n"/>
      <c r="J2928" s="48" t="n"/>
      <c r="K2928" s="48" t="n"/>
      <c r="L2928" s="48" t="n"/>
      <c r="M2928" s="48" t="n"/>
      <c r="N2928" s="48" t="n"/>
      <c r="O2928" s="51">
        <f>IF(AND(B2928="",G2928="",C2928="",D2928="",J2928=""),"",IF(B2928="","⚠ Falta fecha",IF(G2928="","⚠ Falta monto",IF(Q2928="","⚠ Falta cuenta",IF(ISNA(MATCH(Q2928,ctaNombre,0)),"⚠ Cuenta no registrada",IF(AND(OR(P2928="Gasto",P2928="Reembolso"),D2928=""),"⚠ Falta categoría",IF(AND(D2928&lt;&gt;"",E2928&lt;&gt;"",ISNA(MATCH(D2928&amp;"|"&amp;E2928,catClave,0))),"⚠ Subcategoría no corresponde",IF(AND(OR(P2928="Transferencia",P2928="Pago tarjeta"),K2928=""),"⚠ Falta cuenta destino",IF(AND(K2928&lt;&gt;"",P2928&lt;&gt;"Transferencia",P2928&lt;&gt;"Pago tarjeta"),"⚠ Destino solo aplica a transferencias",IF(AND(K2928&lt;&gt;"",K2928=Q2928),"⚠ Origen igual a destino",IF(AND(K2928&lt;&gt;"",ISNA(MATCH(K2928,ctaNombre,0))),"⚠ Destino no registrado",IF(AND(P2928="Pago tarjeta",AE2928&lt;&gt;"Tarjeta de crédito"),"⚠ El destino debe ser tarjeta de crédito",IF(AND(P2928="Gasto",E2928="Depósitos y retiros"),"⚠ Usa tipo Transferencia",IF(AND(P2928="Resultado trading",AD2928&lt;&gt;"Cuenta de trading"),"⚠ Usa una cuenta de trading",IF(AND(G2928&lt;=0,P2928&lt;&gt;"Ajuste",P2928&lt;&gt;"Resultado trading"),"⚠ El monto debe ser positivo","✓")))))))))))))))</f>
        <v/>
      </c>
      <c r="P2928" s="52">
        <f>IF(OR(B2928="",G2928=""),"",IF(C2928="","Gasto",C2928))</f>
        <v/>
      </c>
      <c r="Q2928" s="52">
        <f>IF(P2928="","",IF(J2928&lt;&gt;"",J2928,CuentaPred&amp;""))</f>
        <v/>
      </c>
      <c r="R2928" s="52">
        <f>IF(P2928="","",IF(ISNUMBER(I2928),I2928,TasaUSD))</f>
        <v/>
      </c>
      <c r="S2928" s="53">
        <f>IF(P2928="","",IF(H2928="USD",G2928*R2928,G2928))</f>
        <v/>
      </c>
      <c r="T2928" s="53">
        <f>IF(P2928="","",IF(H2928="USD",G2928,IF(R2928&gt;0,G2928/R2928,0)))</f>
        <v/>
      </c>
      <c r="U2928" s="53">
        <f>IF(P2928="","",IF(P2928="Gasto",S2928,IF(P2928="Reembolso",-S2928,0)))</f>
        <v/>
      </c>
      <c r="V2928" s="53">
        <f>IF(P2928="","",IF(P2928="Ingreso",S2928,0))</f>
        <v/>
      </c>
      <c r="W2928" s="53">
        <f>IF(P2928="","",IF(P2928="Resultado trading",S2928,0))</f>
        <v/>
      </c>
      <c r="X2928" s="52">
        <f>IF(OR(P2928="Gasto",P2928="Reembolso"),IF(M2928&lt;&gt;"",M2928,IFERROR(INDEX(catClasif,MATCH(D2928&amp;"|"&amp;E2928,catClave,0))&amp;"","Variable")),"")</f>
        <v/>
      </c>
      <c r="Y2928" s="52">
        <f>IF(P2928="","",IFERROR(INDEX(catGrupo,MATCH(D2928&amp;"|"&amp;E2928,catClave,0))&amp;"",""))</f>
        <v/>
      </c>
      <c r="Z2928" s="52">
        <f>IF(P2928="","",WEEKDAY(B2928,2))</f>
        <v/>
      </c>
      <c r="AA2928" s="52">
        <f>IF(P2928="","",IF(AND(P2928="Gasto",X2928="Variable",D2928&lt;&gt;catTrading,S2928&gt;0,S2928&lt;=Umbral),1,0))</f>
        <v/>
      </c>
      <c r="AB2928" s="52">
        <f>IF(OR(P2928="",Q2928=""),"",IFERROR(IF(INDEX(ctaVinc,MATCH(Q2928,ctaNombre,0))&amp;""&lt;&gt;"",INDEX(ctaVinc,MATCH(Q2928,ctaNombre,0))&amp;"",Q2928),Q2928))</f>
        <v/>
      </c>
      <c r="AC2928" s="52">
        <f>IF(OR(K2928="",AND(P2928&lt;&gt;"Transferencia",P2928&lt;&gt;"Pago tarjeta")),"",IFERROR(IF(INDEX(ctaVinc,MATCH(K2928,ctaNombre,0))&amp;""&lt;&gt;"",INDEX(ctaVinc,MATCH(K2928,ctaNombre,0))&amp;"",K2928),K2928))</f>
        <v/>
      </c>
      <c r="AD2928" s="52">
        <f>IF(AB2928="","",IFERROR(INDEX(ctaTipo,MATCH(AB2928,ctaNombre,0))&amp;"",""))</f>
        <v/>
      </c>
      <c r="AE2928" s="52">
        <f>IF(AC2928="","",IFERROR(INDEX(ctaTipo,MATCH(AC2928,ctaNombre,0))&amp;"",""))</f>
        <v/>
      </c>
      <c r="AF2928" s="53">
        <f>IF(OR(P2928="",AB2928=""),"",IF(OR(P2928="Gasto",P2928="Transferencia",P2928="Pago tarjeta"),-1,1)*IF(IFERROR(INDEX(ctaMoneda,MATCH(AB2928,ctaNombre,0))&amp;"","DOP")="USD",T2928,S2928))</f>
        <v/>
      </c>
      <c r="AG2928" s="53">
        <f>IF(AC2928="","",IF(IFERROR(INDEX(ctaMoneda,MATCH(AC2928,ctaNombre,0))&amp;"","DOP")="USD",T2928,S2928))</f>
        <v/>
      </c>
      <c r="AH2928" s="53">
        <f>IF(P2928="","",IF(AND(AD2928&lt;&gt;"",COUNTIFS(tcTipo,AD2928,tcLiq,"Sí")&gt;0),IF(OR(P2928="Gasto",P2928="Transferencia",P2928="Pago tarjeta"),-1,1)*S2928,0)+IF(AND(AE2928&lt;&gt;"",COUNTIFS(tcTipo,AE2928,tcLiq,"Sí")&gt;0),S2928,0))</f>
        <v/>
      </c>
      <c r="AI2928" s="52">
        <f>IF(OR(L2928="",P2928=""),"",IF(COUNTIFS(L$6:L2928,L2928,P$6:P2928,"?*")=1,MAX(AI$5:AI2927)+1,""))</f>
        <v/>
      </c>
    </row>
    <row r="2929">
      <c r="B2929" s="47" t="n"/>
      <c r="C2929" s="48" t="n"/>
      <c r="D2929" s="48" t="n"/>
      <c r="E2929" s="48" t="n"/>
      <c r="F2929" s="48" t="n"/>
      <c r="G2929" s="49" t="n"/>
      <c r="H2929" s="48" t="n"/>
      <c r="I2929" s="50" t="n"/>
      <c r="J2929" s="48" t="n"/>
      <c r="K2929" s="48" t="n"/>
      <c r="L2929" s="48" t="n"/>
      <c r="M2929" s="48" t="n"/>
      <c r="N2929" s="48" t="n"/>
      <c r="O2929" s="51">
        <f>IF(AND(B2929="",G2929="",C2929="",D2929="",J2929=""),"",IF(B2929="","⚠ Falta fecha",IF(G2929="","⚠ Falta monto",IF(Q2929="","⚠ Falta cuenta",IF(ISNA(MATCH(Q2929,ctaNombre,0)),"⚠ Cuenta no registrada",IF(AND(OR(P2929="Gasto",P2929="Reembolso"),D2929=""),"⚠ Falta categoría",IF(AND(D2929&lt;&gt;"",E2929&lt;&gt;"",ISNA(MATCH(D2929&amp;"|"&amp;E2929,catClave,0))),"⚠ Subcategoría no corresponde",IF(AND(OR(P2929="Transferencia",P2929="Pago tarjeta"),K2929=""),"⚠ Falta cuenta destino",IF(AND(K2929&lt;&gt;"",P2929&lt;&gt;"Transferencia",P2929&lt;&gt;"Pago tarjeta"),"⚠ Destino solo aplica a transferencias",IF(AND(K2929&lt;&gt;"",K2929=Q2929),"⚠ Origen igual a destino",IF(AND(K2929&lt;&gt;"",ISNA(MATCH(K2929,ctaNombre,0))),"⚠ Destino no registrado",IF(AND(P2929="Pago tarjeta",AE2929&lt;&gt;"Tarjeta de crédito"),"⚠ El destino debe ser tarjeta de crédito",IF(AND(P2929="Gasto",E2929="Depósitos y retiros"),"⚠ Usa tipo Transferencia",IF(AND(P2929="Resultado trading",AD2929&lt;&gt;"Cuenta de trading"),"⚠ Usa una cuenta de trading",IF(AND(G2929&lt;=0,P2929&lt;&gt;"Ajuste",P2929&lt;&gt;"Resultado trading"),"⚠ El monto debe ser positivo","✓")))))))))))))))</f>
        <v/>
      </c>
      <c r="P2929" s="52">
        <f>IF(OR(B2929="",G2929=""),"",IF(C2929="","Gasto",C2929))</f>
        <v/>
      </c>
      <c r="Q2929" s="52">
        <f>IF(P2929="","",IF(J2929&lt;&gt;"",J2929,CuentaPred&amp;""))</f>
        <v/>
      </c>
      <c r="R2929" s="52">
        <f>IF(P2929="","",IF(ISNUMBER(I2929),I2929,TasaUSD))</f>
        <v/>
      </c>
      <c r="S2929" s="53">
        <f>IF(P2929="","",IF(H2929="USD",G2929*R2929,G2929))</f>
        <v/>
      </c>
      <c r="T2929" s="53">
        <f>IF(P2929="","",IF(H2929="USD",G2929,IF(R2929&gt;0,G2929/R2929,0)))</f>
        <v/>
      </c>
      <c r="U2929" s="53">
        <f>IF(P2929="","",IF(P2929="Gasto",S2929,IF(P2929="Reembolso",-S2929,0)))</f>
        <v/>
      </c>
      <c r="V2929" s="53">
        <f>IF(P2929="","",IF(P2929="Ingreso",S2929,0))</f>
        <v/>
      </c>
      <c r="W2929" s="53">
        <f>IF(P2929="","",IF(P2929="Resultado trading",S2929,0))</f>
        <v/>
      </c>
      <c r="X2929" s="52">
        <f>IF(OR(P2929="Gasto",P2929="Reembolso"),IF(M2929&lt;&gt;"",M2929,IFERROR(INDEX(catClasif,MATCH(D2929&amp;"|"&amp;E2929,catClave,0))&amp;"","Variable")),"")</f>
        <v/>
      </c>
      <c r="Y2929" s="52">
        <f>IF(P2929="","",IFERROR(INDEX(catGrupo,MATCH(D2929&amp;"|"&amp;E2929,catClave,0))&amp;"",""))</f>
        <v/>
      </c>
      <c r="Z2929" s="52">
        <f>IF(P2929="","",WEEKDAY(B2929,2))</f>
        <v/>
      </c>
      <c r="AA2929" s="52">
        <f>IF(P2929="","",IF(AND(P2929="Gasto",X2929="Variable",D2929&lt;&gt;catTrading,S2929&gt;0,S2929&lt;=Umbral),1,0))</f>
        <v/>
      </c>
      <c r="AB2929" s="52">
        <f>IF(OR(P2929="",Q2929=""),"",IFERROR(IF(INDEX(ctaVinc,MATCH(Q2929,ctaNombre,0))&amp;""&lt;&gt;"",INDEX(ctaVinc,MATCH(Q2929,ctaNombre,0))&amp;"",Q2929),Q2929))</f>
        <v/>
      </c>
      <c r="AC2929" s="52">
        <f>IF(OR(K2929="",AND(P2929&lt;&gt;"Transferencia",P2929&lt;&gt;"Pago tarjeta")),"",IFERROR(IF(INDEX(ctaVinc,MATCH(K2929,ctaNombre,0))&amp;""&lt;&gt;"",INDEX(ctaVinc,MATCH(K2929,ctaNombre,0))&amp;"",K2929),K2929))</f>
        <v/>
      </c>
      <c r="AD2929" s="52">
        <f>IF(AB2929="","",IFERROR(INDEX(ctaTipo,MATCH(AB2929,ctaNombre,0))&amp;"",""))</f>
        <v/>
      </c>
      <c r="AE2929" s="52">
        <f>IF(AC2929="","",IFERROR(INDEX(ctaTipo,MATCH(AC2929,ctaNombre,0))&amp;"",""))</f>
        <v/>
      </c>
      <c r="AF2929" s="53">
        <f>IF(OR(P2929="",AB2929=""),"",IF(OR(P2929="Gasto",P2929="Transferencia",P2929="Pago tarjeta"),-1,1)*IF(IFERROR(INDEX(ctaMoneda,MATCH(AB2929,ctaNombre,0))&amp;"","DOP")="USD",T2929,S2929))</f>
        <v/>
      </c>
      <c r="AG2929" s="53">
        <f>IF(AC2929="","",IF(IFERROR(INDEX(ctaMoneda,MATCH(AC2929,ctaNombre,0))&amp;"","DOP")="USD",T2929,S2929))</f>
        <v/>
      </c>
      <c r="AH2929" s="53">
        <f>IF(P2929="","",IF(AND(AD2929&lt;&gt;"",COUNTIFS(tcTipo,AD2929,tcLiq,"Sí")&gt;0),IF(OR(P2929="Gasto",P2929="Transferencia",P2929="Pago tarjeta"),-1,1)*S2929,0)+IF(AND(AE2929&lt;&gt;"",COUNTIFS(tcTipo,AE2929,tcLiq,"Sí")&gt;0),S2929,0))</f>
        <v/>
      </c>
      <c r="AI2929" s="52">
        <f>IF(OR(L2929="",P2929=""),"",IF(COUNTIFS(L$6:L2929,L2929,P$6:P2929,"?*")=1,MAX(AI$5:AI2928)+1,""))</f>
        <v/>
      </c>
    </row>
    <row r="2930">
      <c r="B2930" s="47" t="n"/>
      <c r="C2930" s="48" t="n"/>
      <c r="D2930" s="48" t="n"/>
      <c r="E2930" s="48" t="n"/>
      <c r="F2930" s="48" t="n"/>
      <c r="G2930" s="49" t="n"/>
      <c r="H2930" s="48" t="n"/>
      <c r="I2930" s="50" t="n"/>
      <c r="J2930" s="48" t="n"/>
      <c r="K2930" s="48" t="n"/>
      <c r="L2930" s="48" t="n"/>
      <c r="M2930" s="48" t="n"/>
      <c r="N2930" s="48" t="n"/>
      <c r="O2930" s="51">
        <f>IF(AND(B2930="",G2930="",C2930="",D2930="",J2930=""),"",IF(B2930="","⚠ Falta fecha",IF(G2930="","⚠ Falta monto",IF(Q2930="","⚠ Falta cuenta",IF(ISNA(MATCH(Q2930,ctaNombre,0)),"⚠ Cuenta no registrada",IF(AND(OR(P2930="Gasto",P2930="Reembolso"),D2930=""),"⚠ Falta categoría",IF(AND(D2930&lt;&gt;"",E2930&lt;&gt;"",ISNA(MATCH(D2930&amp;"|"&amp;E2930,catClave,0))),"⚠ Subcategoría no corresponde",IF(AND(OR(P2930="Transferencia",P2930="Pago tarjeta"),K2930=""),"⚠ Falta cuenta destino",IF(AND(K2930&lt;&gt;"",P2930&lt;&gt;"Transferencia",P2930&lt;&gt;"Pago tarjeta"),"⚠ Destino solo aplica a transferencias",IF(AND(K2930&lt;&gt;"",K2930=Q2930),"⚠ Origen igual a destino",IF(AND(K2930&lt;&gt;"",ISNA(MATCH(K2930,ctaNombre,0))),"⚠ Destino no registrado",IF(AND(P2930="Pago tarjeta",AE2930&lt;&gt;"Tarjeta de crédito"),"⚠ El destino debe ser tarjeta de crédito",IF(AND(P2930="Gasto",E2930="Depósitos y retiros"),"⚠ Usa tipo Transferencia",IF(AND(P2930="Resultado trading",AD2930&lt;&gt;"Cuenta de trading"),"⚠ Usa una cuenta de trading",IF(AND(G2930&lt;=0,P2930&lt;&gt;"Ajuste",P2930&lt;&gt;"Resultado trading"),"⚠ El monto debe ser positivo","✓")))))))))))))))</f>
        <v/>
      </c>
      <c r="P2930" s="52">
        <f>IF(OR(B2930="",G2930=""),"",IF(C2930="","Gasto",C2930))</f>
        <v/>
      </c>
      <c r="Q2930" s="52">
        <f>IF(P2930="","",IF(J2930&lt;&gt;"",J2930,CuentaPred&amp;""))</f>
        <v/>
      </c>
      <c r="R2930" s="52">
        <f>IF(P2930="","",IF(ISNUMBER(I2930),I2930,TasaUSD))</f>
        <v/>
      </c>
      <c r="S2930" s="53">
        <f>IF(P2930="","",IF(H2930="USD",G2930*R2930,G2930))</f>
        <v/>
      </c>
      <c r="T2930" s="53">
        <f>IF(P2930="","",IF(H2930="USD",G2930,IF(R2930&gt;0,G2930/R2930,0)))</f>
        <v/>
      </c>
      <c r="U2930" s="53">
        <f>IF(P2930="","",IF(P2930="Gasto",S2930,IF(P2930="Reembolso",-S2930,0)))</f>
        <v/>
      </c>
      <c r="V2930" s="53">
        <f>IF(P2930="","",IF(P2930="Ingreso",S2930,0))</f>
        <v/>
      </c>
      <c r="W2930" s="53">
        <f>IF(P2930="","",IF(P2930="Resultado trading",S2930,0))</f>
        <v/>
      </c>
      <c r="X2930" s="52">
        <f>IF(OR(P2930="Gasto",P2930="Reembolso"),IF(M2930&lt;&gt;"",M2930,IFERROR(INDEX(catClasif,MATCH(D2930&amp;"|"&amp;E2930,catClave,0))&amp;"","Variable")),"")</f>
        <v/>
      </c>
      <c r="Y2930" s="52">
        <f>IF(P2930="","",IFERROR(INDEX(catGrupo,MATCH(D2930&amp;"|"&amp;E2930,catClave,0))&amp;"",""))</f>
        <v/>
      </c>
      <c r="Z2930" s="52">
        <f>IF(P2930="","",WEEKDAY(B2930,2))</f>
        <v/>
      </c>
      <c r="AA2930" s="52">
        <f>IF(P2930="","",IF(AND(P2930="Gasto",X2930="Variable",D2930&lt;&gt;catTrading,S2930&gt;0,S2930&lt;=Umbral),1,0))</f>
        <v/>
      </c>
      <c r="AB2930" s="52">
        <f>IF(OR(P2930="",Q2930=""),"",IFERROR(IF(INDEX(ctaVinc,MATCH(Q2930,ctaNombre,0))&amp;""&lt;&gt;"",INDEX(ctaVinc,MATCH(Q2930,ctaNombre,0))&amp;"",Q2930),Q2930))</f>
        <v/>
      </c>
      <c r="AC2930" s="52">
        <f>IF(OR(K2930="",AND(P2930&lt;&gt;"Transferencia",P2930&lt;&gt;"Pago tarjeta")),"",IFERROR(IF(INDEX(ctaVinc,MATCH(K2930,ctaNombre,0))&amp;""&lt;&gt;"",INDEX(ctaVinc,MATCH(K2930,ctaNombre,0))&amp;"",K2930),K2930))</f>
        <v/>
      </c>
      <c r="AD2930" s="52">
        <f>IF(AB2930="","",IFERROR(INDEX(ctaTipo,MATCH(AB2930,ctaNombre,0))&amp;"",""))</f>
        <v/>
      </c>
      <c r="AE2930" s="52">
        <f>IF(AC2930="","",IFERROR(INDEX(ctaTipo,MATCH(AC2930,ctaNombre,0))&amp;"",""))</f>
        <v/>
      </c>
      <c r="AF2930" s="53">
        <f>IF(OR(P2930="",AB2930=""),"",IF(OR(P2930="Gasto",P2930="Transferencia",P2930="Pago tarjeta"),-1,1)*IF(IFERROR(INDEX(ctaMoneda,MATCH(AB2930,ctaNombre,0))&amp;"","DOP")="USD",T2930,S2930))</f>
        <v/>
      </c>
      <c r="AG2930" s="53">
        <f>IF(AC2930="","",IF(IFERROR(INDEX(ctaMoneda,MATCH(AC2930,ctaNombre,0))&amp;"","DOP")="USD",T2930,S2930))</f>
        <v/>
      </c>
      <c r="AH2930" s="53">
        <f>IF(P2930="","",IF(AND(AD2930&lt;&gt;"",COUNTIFS(tcTipo,AD2930,tcLiq,"Sí")&gt;0),IF(OR(P2930="Gasto",P2930="Transferencia",P2930="Pago tarjeta"),-1,1)*S2930,0)+IF(AND(AE2930&lt;&gt;"",COUNTIFS(tcTipo,AE2930,tcLiq,"Sí")&gt;0),S2930,0))</f>
        <v/>
      </c>
      <c r="AI2930" s="52">
        <f>IF(OR(L2930="",P2930=""),"",IF(COUNTIFS(L$6:L2930,L2930,P$6:P2930,"?*")=1,MAX(AI$5:AI2929)+1,""))</f>
        <v/>
      </c>
    </row>
    <row r="2931">
      <c r="B2931" s="47" t="n"/>
      <c r="C2931" s="48" t="n"/>
      <c r="D2931" s="48" t="n"/>
      <c r="E2931" s="48" t="n"/>
      <c r="F2931" s="48" t="n"/>
      <c r="G2931" s="49" t="n"/>
      <c r="H2931" s="48" t="n"/>
      <c r="I2931" s="50" t="n"/>
      <c r="J2931" s="48" t="n"/>
      <c r="K2931" s="48" t="n"/>
      <c r="L2931" s="48" t="n"/>
      <c r="M2931" s="48" t="n"/>
      <c r="N2931" s="48" t="n"/>
      <c r="O2931" s="51">
        <f>IF(AND(B2931="",G2931="",C2931="",D2931="",J2931=""),"",IF(B2931="","⚠ Falta fecha",IF(G2931="","⚠ Falta monto",IF(Q2931="","⚠ Falta cuenta",IF(ISNA(MATCH(Q2931,ctaNombre,0)),"⚠ Cuenta no registrada",IF(AND(OR(P2931="Gasto",P2931="Reembolso"),D2931=""),"⚠ Falta categoría",IF(AND(D2931&lt;&gt;"",E2931&lt;&gt;"",ISNA(MATCH(D2931&amp;"|"&amp;E2931,catClave,0))),"⚠ Subcategoría no corresponde",IF(AND(OR(P2931="Transferencia",P2931="Pago tarjeta"),K2931=""),"⚠ Falta cuenta destino",IF(AND(K2931&lt;&gt;"",P2931&lt;&gt;"Transferencia",P2931&lt;&gt;"Pago tarjeta"),"⚠ Destino solo aplica a transferencias",IF(AND(K2931&lt;&gt;"",K2931=Q2931),"⚠ Origen igual a destino",IF(AND(K2931&lt;&gt;"",ISNA(MATCH(K2931,ctaNombre,0))),"⚠ Destino no registrado",IF(AND(P2931="Pago tarjeta",AE2931&lt;&gt;"Tarjeta de crédito"),"⚠ El destino debe ser tarjeta de crédito",IF(AND(P2931="Gasto",E2931="Depósitos y retiros"),"⚠ Usa tipo Transferencia",IF(AND(P2931="Resultado trading",AD2931&lt;&gt;"Cuenta de trading"),"⚠ Usa una cuenta de trading",IF(AND(G2931&lt;=0,P2931&lt;&gt;"Ajuste",P2931&lt;&gt;"Resultado trading"),"⚠ El monto debe ser positivo","✓")))))))))))))))</f>
        <v/>
      </c>
      <c r="P2931" s="52">
        <f>IF(OR(B2931="",G2931=""),"",IF(C2931="","Gasto",C2931))</f>
        <v/>
      </c>
      <c r="Q2931" s="52">
        <f>IF(P2931="","",IF(J2931&lt;&gt;"",J2931,CuentaPred&amp;""))</f>
        <v/>
      </c>
      <c r="R2931" s="52">
        <f>IF(P2931="","",IF(ISNUMBER(I2931),I2931,TasaUSD))</f>
        <v/>
      </c>
      <c r="S2931" s="53">
        <f>IF(P2931="","",IF(H2931="USD",G2931*R2931,G2931))</f>
        <v/>
      </c>
      <c r="T2931" s="53">
        <f>IF(P2931="","",IF(H2931="USD",G2931,IF(R2931&gt;0,G2931/R2931,0)))</f>
        <v/>
      </c>
      <c r="U2931" s="53">
        <f>IF(P2931="","",IF(P2931="Gasto",S2931,IF(P2931="Reembolso",-S2931,0)))</f>
        <v/>
      </c>
      <c r="V2931" s="53">
        <f>IF(P2931="","",IF(P2931="Ingreso",S2931,0))</f>
        <v/>
      </c>
      <c r="W2931" s="53">
        <f>IF(P2931="","",IF(P2931="Resultado trading",S2931,0))</f>
        <v/>
      </c>
      <c r="X2931" s="52">
        <f>IF(OR(P2931="Gasto",P2931="Reembolso"),IF(M2931&lt;&gt;"",M2931,IFERROR(INDEX(catClasif,MATCH(D2931&amp;"|"&amp;E2931,catClave,0))&amp;"","Variable")),"")</f>
        <v/>
      </c>
      <c r="Y2931" s="52">
        <f>IF(P2931="","",IFERROR(INDEX(catGrupo,MATCH(D2931&amp;"|"&amp;E2931,catClave,0))&amp;"",""))</f>
        <v/>
      </c>
      <c r="Z2931" s="52">
        <f>IF(P2931="","",WEEKDAY(B2931,2))</f>
        <v/>
      </c>
      <c r="AA2931" s="52">
        <f>IF(P2931="","",IF(AND(P2931="Gasto",X2931="Variable",D2931&lt;&gt;catTrading,S2931&gt;0,S2931&lt;=Umbral),1,0))</f>
        <v/>
      </c>
      <c r="AB2931" s="52">
        <f>IF(OR(P2931="",Q2931=""),"",IFERROR(IF(INDEX(ctaVinc,MATCH(Q2931,ctaNombre,0))&amp;""&lt;&gt;"",INDEX(ctaVinc,MATCH(Q2931,ctaNombre,0))&amp;"",Q2931),Q2931))</f>
        <v/>
      </c>
      <c r="AC2931" s="52">
        <f>IF(OR(K2931="",AND(P2931&lt;&gt;"Transferencia",P2931&lt;&gt;"Pago tarjeta")),"",IFERROR(IF(INDEX(ctaVinc,MATCH(K2931,ctaNombre,0))&amp;""&lt;&gt;"",INDEX(ctaVinc,MATCH(K2931,ctaNombre,0))&amp;"",K2931),K2931))</f>
        <v/>
      </c>
      <c r="AD2931" s="52">
        <f>IF(AB2931="","",IFERROR(INDEX(ctaTipo,MATCH(AB2931,ctaNombre,0))&amp;"",""))</f>
        <v/>
      </c>
      <c r="AE2931" s="52">
        <f>IF(AC2931="","",IFERROR(INDEX(ctaTipo,MATCH(AC2931,ctaNombre,0))&amp;"",""))</f>
        <v/>
      </c>
      <c r="AF2931" s="53">
        <f>IF(OR(P2931="",AB2931=""),"",IF(OR(P2931="Gasto",P2931="Transferencia",P2931="Pago tarjeta"),-1,1)*IF(IFERROR(INDEX(ctaMoneda,MATCH(AB2931,ctaNombre,0))&amp;"","DOP")="USD",T2931,S2931))</f>
        <v/>
      </c>
      <c r="AG2931" s="53">
        <f>IF(AC2931="","",IF(IFERROR(INDEX(ctaMoneda,MATCH(AC2931,ctaNombre,0))&amp;"","DOP")="USD",T2931,S2931))</f>
        <v/>
      </c>
      <c r="AH2931" s="53">
        <f>IF(P2931="","",IF(AND(AD2931&lt;&gt;"",COUNTIFS(tcTipo,AD2931,tcLiq,"Sí")&gt;0),IF(OR(P2931="Gasto",P2931="Transferencia",P2931="Pago tarjeta"),-1,1)*S2931,0)+IF(AND(AE2931&lt;&gt;"",COUNTIFS(tcTipo,AE2931,tcLiq,"Sí")&gt;0),S2931,0))</f>
        <v/>
      </c>
      <c r="AI2931" s="52">
        <f>IF(OR(L2931="",P2931=""),"",IF(COUNTIFS(L$6:L2931,L2931,P$6:P2931,"?*")=1,MAX(AI$5:AI2930)+1,""))</f>
        <v/>
      </c>
    </row>
    <row r="2932">
      <c r="B2932" s="47" t="n"/>
      <c r="C2932" s="48" t="n"/>
      <c r="D2932" s="48" t="n"/>
      <c r="E2932" s="48" t="n"/>
      <c r="F2932" s="48" t="n"/>
      <c r="G2932" s="49" t="n"/>
      <c r="H2932" s="48" t="n"/>
      <c r="I2932" s="50" t="n"/>
      <c r="J2932" s="48" t="n"/>
      <c r="K2932" s="48" t="n"/>
      <c r="L2932" s="48" t="n"/>
      <c r="M2932" s="48" t="n"/>
      <c r="N2932" s="48" t="n"/>
      <c r="O2932" s="51">
        <f>IF(AND(B2932="",G2932="",C2932="",D2932="",J2932=""),"",IF(B2932="","⚠ Falta fecha",IF(G2932="","⚠ Falta monto",IF(Q2932="","⚠ Falta cuenta",IF(ISNA(MATCH(Q2932,ctaNombre,0)),"⚠ Cuenta no registrada",IF(AND(OR(P2932="Gasto",P2932="Reembolso"),D2932=""),"⚠ Falta categoría",IF(AND(D2932&lt;&gt;"",E2932&lt;&gt;"",ISNA(MATCH(D2932&amp;"|"&amp;E2932,catClave,0))),"⚠ Subcategoría no corresponde",IF(AND(OR(P2932="Transferencia",P2932="Pago tarjeta"),K2932=""),"⚠ Falta cuenta destino",IF(AND(K2932&lt;&gt;"",P2932&lt;&gt;"Transferencia",P2932&lt;&gt;"Pago tarjeta"),"⚠ Destino solo aplica a transferencias",IF(AND(K2932&lt;&gt;"",K2932=Q2932),"⚠ Origen igual a destino",IF(AND(K2932&lt;&gt;"",ISNA(MATCH(K2932,ctaNombre,0))),"⚠ Destino no registrado",IF(AND(P2932="Pago tarjeta",AE2932&lt;&gt;"Tarjeta de crédito"),"⚠ El destino debe ser tarjeta de crédito",IF(AND(P2932="Gasto",E2932="Depósitos y retiros"),"⚠ Usa tipo Transferencia",IF(AND(P2932="Resultado trading",AD2932&lt;&gt;"Cuenta de trading"),"⚠ Usa una cuenta de trading",IF(AND(G2932&lt;=0,P2932&lt;&gt;"Ajuste",P2932&lt;&gt;"Resultado trading"),"⚠ El monto debe ser positivo","✓")))))))))))))))</f>
        <v/>
      </c>
      <c r="P2932" s="52">
        <f>IF(OR(B2932="",G2932=""),"",IF(C2932="","Gasto",C2932))</f>
        <v/>
      </c>
      <c r="Q2932" s="52">
        <f>IF(P2932="","",IF(J2932&lt;&gt;"",J2932,CuentaPred&amp;""))</f>
        <v/>
      </c>
      <c r="R2932" s="52">
        <f>IF(P2932="","",IF(ISNUMBER(I2932),I2932,TasaUSD))</f>
        <v/>
      </c>
      <c r="S2932" s="53">
        <f>IF(P2932="","",IF(H2932="USD",G2932*R2932,G2932))</f>
        <v/>
      </c>
      <c r="T2932" s="53">
        <f>IF(P2932="","",IF(H2932="USD",G2932,IF(R2932&gt;0,G2932/R2932,0)))</f>
        <v/>
      </c>
      <c r="U2932" s="53">
        <f>IF(P2932="","",IF(P2932="Gasto",S2932,IF(P2932="Reembolso",-S2932,0)))</f>
        <v/>
      </c>
      <c r="V2932" s="53">
        <f>IF(P2932="","",IF(P2932="Ingreso",S2932,0))</f>
        <v/>
      </c>
      <c r="W2932" s="53">
        <f>IF(P2932="","",IF(P2932="Resultado trading",S2932,0))</f>
        <v/>
      </c>
      <c r="X2932" s="52">
        <f>IF(OR(P2932="Gasto",P2932="Reembolso"),IF(M2932&lt;&gt;"",M2932,IFERROR(INDEX(catClasif,MATCH(D2932&amp;"|"&amp;E2932,catClave,0))&amp;"","Variable")),"")</f>
        <v/>
      </c>
      <c r="Y2932" s="52">
        <f>IF(P2932="","",IFERROR(INDEX(catGrupo,MATCH(D2932&amp;"|"&amp;E2932,catClave,0))&amp;"",""))</f>
        <v/>
      </c>
      <c r="Z2932" s="52">
        <f>IF(P2932="","",WEEKDAY(B2932,2))</f>
        <v/>
      </c>
      <c r="AA2932" s="52">
        <f>IF(P2932="","",IF(AND(P2932="Gasto",X2932="Variable",D2932&lt;&gt;catTrading,S2932&gt;0,S2932&lt;=Umbral),1,0))</f>
        <v/>
      </c>
      <c r="AB2932" s="52">
        <f>IF(OR(P2932="",Q2932=""),"",IFERROR(IF(INDEX(ctaVinc,MATCH(Q2932,ctaNombre,0))&amp;""&lt;&gt;"",INDEX(ctaVinc,MATCH(Q2932,ctaNombre,0))&amp;"",Q2932),Q2932))</f>
        <v/>
      </c>
      <c r="AC2932" s="52">
        <f>IF(OR(K2932="",AND(P2932&lt;&gt;"Transferencia",P2932&lt;&gt;"Pago tarjeta")),"",IFERROR(IF(INDEX(ctaVinc,MATCH(K2932,ctaNombre,0))&amp;""&lt;&gt;"",INDEX(ctaVinc,MATCH(K2932,ctaNombre,0))&amp;"",K2932),K2932))</f>
        <v/>
      </c>
      <c r="AD2932" s="52">
        <f>IF(AB2932="","",IFERROR(INDEX(ctaTipo,MATCH(AB2932,ctaNombre,0))&amp;"",""))</f>
        <v/>
      </c>
      <c r="AE2932" s="52">
        <f>IF(AC2932="","",IFERROR(INDEX(ctaTipo,MATCH(AC2932,ctaNombre,0))&amp;"",""))</f>
        <v/>
      </c>
      <c r="AF2932" s="53">
        <f>IF(OR(P2932="",AB2932=""),"",IF(OR(P2932="Gasto",P2932="Transferencia",P2932="Pago tarjeta"),-1,1)*IF(IFERROR(INDEX(ctaMoneda,MATCH(AB2932,ctaNombre,0))&amp;"","DOP")="USD",T2932,S2932))</f>
        <v/>
      </c>
      <c r="AG2932" s="53">
        <f>IF(AC2932="","",IF(IFERROR(INDEX(ctaMoneda,MATCH(AC2932,ctaNombre,0))&amp;"","DOP")="USD",T2932,S2932))</f>
        <v/>
      </c>
      <c r="AH2932" s="53">
        <f>IF(P2932="","",IF(AND(AD2932&lt;&gt;"",COUNTIFS(tcTipo,AD2932,tcLiq,"Sí")&gt;0),IF(OR(P2932="Gasto",P2932="Transferencia",P2932="Pago tarjeta"),-1,1)*S2932,0)+IF(AND(AE2932&lt;&gt;"",COUNTIFS(tcTipo,AE2932,tcLiq,"Sí")&gt;0),S2932,0))</f>
        <v/>
      </c>
      <c r="AI2932" s="52">
        <f>IF(OR(L2932="",P2932=""),"",IF(COUNTIFS(L$6:L2932,L2932,P$6:P2932,"?*")=1,MAX(AI$5:AI2931)+1,""))</f>
        <v/>
      </c>
    </row>
    <row r="2933">
      <c r="B2933" s="47" t="n"/>
      <c r="C2933" s="48" t="n"/>
      <c r="D2933" s="48" t="n"/>
      <c r="E2933" s="48" t="n"/>
      <c r="F2933" s="48" t="n"/>
      <c r="G2933" s="49" t="n"/>
      <c r="H2933" s="48" t="n"/>
      <c r="I2933" s="50" t="n"/>
      <c r="J2933" s="48" t="n"/>
      <c r="K2933" s="48" t="n"/>
      <c r="L2933" s="48" t="n"/>
      <c r="M2933" s="48" t="n"/>
      <c r="N2933" s="48" t="n"/>
      <c r="O2933" s="51">
        <f>IF(AND(B2933="",G2933="",C2933="",D2933="",J2933=""),"",IF(B2933="","⚠ Falta fecha",IF(G2933="","⚠ Falta monto",IF(Q2933="","⚠ Falta cuenta",IF(ISNA(MATCH(Q2933,ctaNombre,0)),"⚠ Cuenta no registrada",IF(AND(OR(P2933="Gasto",P2933="Reembolso"),D2933=""),"⚠ Falta categoría",IF(AND(D2933&lt;&gt;"",E2933&lt;&gt;"",ISNA(MATCH(D2933&amp;"|"&amp;E2933,catClave,0))),"⚠ Subcategoría no corresponde",IF(AND(OR(P2933="Transferencia",P2933="Pago tarjeta"),K2933=""),"⚠ Falta cuenta destino",IF(AND(K2933&lt;&gt;"",P2933&lt;&gt;"Transferencia",P2933&lt;&gt;"Pago tarjeta"),"⚠ Destino solo aplica a transferencias",IF(AND(K2933&lt;&gt;"",K2933=Q2933),"⚠ Origen igual a destino",IF(AND(K2933&lt;&gt;"",ISNA(MATCH(K2933,ctaNombre,0))),"⚠ Destino no registrado",IF(AND(P2933="Pago tarjeta",AE2933&lt;&gt;"Tarjeta de crédito"),"⚠ El destino debe ser tarjeta de crédito",IF(AND(P2933="Gasto",E2933="Depósitos y retiros"),"⚠ Usa tipo Transferencia",IF(AND(P2933="Resultado trading",AD2933&lt;&gt;"Cuenta de trading"),"⚠ Usa una cuenta de trading",IF(AND(G2933&lt;=0,P2933&lt;&gt;"Ajuste",P2933&lt;&gt;"Resultado trading"),"⚠ El monto debe ser positivo","✓")))))))))))))))</f>
        <v/>
      </c>
      <c r="P2933" s="52">
        <f>IF(OR(B2933="",G2933=""),"",IF(C2933="","Gasto",C2933))</f>
        <v/>
      </c>
      <c r="Q2933" s="52">
        <f>IF(P2933="","",IF(J2933&lt;&gt;"",J2933,CuentaPred&amp;""))</f>
        <v/>
      </c>
      <c r="R2933" s="52">
        <f>IF(P2933="","",IF(ISNUMBER(I2933),I2933,TasaUSD))</f>
        <v/>
      </c>
      <c r="S2933" s="53">
        <f>IF(P2933="","",IF(H2933="USD",G2933*R2933,G2933))</f>
        <v/>
      </c>
      <c r="T2933" s="53">
        <f>IF(P2933="","",IF(H2933="USD",G2933,IF(R2933&gt;0,G2933/R2933,0)))</f>
        <v/>
      </c>
      <c r="U2933" s="53">
        <f>IF(P2933="","",IF(P2933="Gasto",S2933,IF(P2933="Reembolso",-S2933,0)))</f>
        <v/>
      </c>
      <c r="V2933" s="53">
        <f>IF(P2933="","",IF(P2933="Ingreso",S2933,0))</f>
        <v/>
      </c>
      <c r="W2933" s="53">
        <f>IF(P2933="","",IF(P2933="Resultado trading",S2933,0))</f>
        <v/>
      </c>
      <c r="X2933" s="52">
        <f>IF(OR(P2933="Gasto",P2933="Reembolso"),IF(M2933&lt;&gt;"",M2933,IFERROR(INDEX(catClasif,MATCH(D2933&amp;"|"&amp;E2933,catClave,0))&amp;"","Variable")),"")</f>
        <v/>
      </c>
      <c r="Y2933" s="52">
        <f>IF(P2933="","",IFERROR(INDEX(catGrupo,MATCH(D2933&amp;"|"&amp;E2933,catClave,0))&amp;"",""))</f>
        <v/>
      </c>
      <c r="Z2933" s="52">
        <f>IF(P2933="","",WEEKDAY(B2933,2))</f>
        <v/>
      </c>
      <c r="AA2933" s="52">
        <f>IF(P2933="","",IF(AND(P2933="Gasto",X2933="Variable",D2933&lt;&gt;catTrading,S2933&gt;0,S2933&lt;=Umbral),1,0))</f>
        <v/>
      </c>
      <c r="AB2933" s="52">
        <f>IF(OR(P2933="",Q2933=""),"",IFERROR(IF(INDEX(ctaVinc,MATCH(Q2933,ctaNombre,0))&amp;""&lt;&gt;"",INDEX(ctaVinc,MATCH(Q2933,ctaNombre,0))&amp;"",Q2933),Q2933))</f>
        <v/>
      </c>
      <c r="AC2933" s="52">
        <f>IF(OR(K2933="",AND(P2933&lt;&gt;"Transferencia",P2933&lt;&gt;"Pago tarjeta")),"",IFERROR(IF(INDEX(ctaVinc,MATCH(K2933,ctaNombre,0))&amp;""&lt;&gt;"",INDEX(ctaVinc,MATCH(K2933,ctaNombre,0))&amp;"",K2933),K2933))</f>
        <v/>
      </c>
      <c r="AD2933" s="52">
        <f>IF(AB2933="","",IFERROR(INDEX(ctaTipo,MATCH(AB2933,ctaNombre,0))&amp;"",""))</f>
        <v/>
      </c>
      <c r="AE2933" s="52">
        <f>IF(AC2933="","",IFERROR(INDEX(ctaTipo,MATCH(AC2933,ctaNombre,0))&amp;"",""))</f>
        <v/>
      </c>
      <c r="AF2933" s="53">
        <f>IF(OR(P2933="",AB2933=""),"",IF(OR(P2933="Gasto",P2933="Transferencia",P2933="Pago tarjeta"),-1,1)*IF(IFERROR(INDEX(ctaMoneda,MATCH(AB2933,ctaNombre,0))&amp;"","DOP")="USD",T2933,S2933))</f>
        <v/>
      </c>
      <c r="AG2933" s="53">
        <f>IF(AC2933="","",IF(IFERROR(INDEX(ctaMoneda,MATCH(AC2933,ctaNombre,0))&amp;"","DOP")="USD",T2933,S2933))</f>
        <v/>
      </c>
      <c r="AH2933" s="53">
        <f>IF(P2933="","",IF(AND(AD2933&lt;&gt;"",COUNTIFS(tcTipo,AD2933,tcLiq,"Sí")&gt;0),IF(OR(P2933="Gasto",P2933="Transferencia",P2933="Pago tarjeta"),-1,1)*S2933,0)+IF(AND(AE2933&lt;&gt;"",COUNTIFS(tcTipo,AE2933,tcLiq,"Sí")&gt;0),S2933,0))</f>
        <v/>
      </c>
      <c r="AI2933" s="52">
        <f>IF(OR(L2933="",P2933=""),"",IF(COUNTIFS(L$6:L2933,L2933,P$6:P2933,"?*")=1,MAX(AI$5:AI2932)+1,""))</f>
        <v/>
      </c>
    </row>
    <row r="2934">
      <c r="B2934" s="47" t="n"/>
      <c r="C2934" s="48" t="n"/>
      <c r="D2934" s="48" t="n"/>
      <c r="E2934" s="48" t="n"/>
      <c r="F2934" s="48" t="n"/>
      <c r="G2934" s="49" t="n"/>
      <c r="H2934" s="48" t="n"/>
      <c r="I2934" s="50" t="n"/>
      <c r="J2934" s="48" t="n"/>
      <c r="K2934" s="48" t="n"/>
      <c r="L2934" s="48" t="n"/>
      <c r="M2934" s="48" t="n"/>
      <c r="N2934" s="48" t="n"/>
      <c r="O2934" s="51">
        <f>IF(AND(B2934="",G2934="",C2934="",D2934="",J2934=""),"",IF(B2934="","⚠ Falta fecha",IF(G2934="","⚠ Falta monto",IF(Q2934="","⚠ Falta cuenta",IF(ISNA(MATCH(Q2934,ctaNombre,0)),"⚠ Cuenta no registrada",IF(AND(OR(P2934="Gasto",P2934="Reembolso"),D2934=""),"⚠ Falta categoría",IF(AND(D2934&lt;&gt;"",E2934&lt;&gt;"",ISNA(MATCH(D2934&amp;"|"&amp;E2934,catClave,0))),"⚠ Subcategoría no corresponde",IF(AND(OR(P2934="Transferencia",P2934="Pago tarjeta"),K2934=""),"⚠ Falta cuenta destino",IF(AND(K2934&lt;&gt;"",P2934&lt;&gt;"Transferencia",P2934&lt;&gt;"Pago tarjeta"),"⚠ Destino solo aplica a transferencias",IF(AND(K2934&lt;&gt;"",K2934=Q2934),"⚠ Origen igual a destino",IF(AND(K2934&lt;&gt;"",ISNA(MATCH(K2934,ctaNombre,0))),"⚠ Destino no registrado",IF(AND(P2934="Pago tarjeta",AE2934&lt;&gt;"Tarjeta de crédito"),"⚠ El destino debe ser tarjeta de crédito",IF(AND(P2934="Gasto",E2934="Depósitos y retiros"),"⚠ Usa tipo Transferencia",IF(AND(P2934="Resultado trading",AD2934&lt;&gt;"Cuenta de trading"),"⚠ Usa una cuenta de trading",IF(AND(G2934&lt;=0,P2934&lt;&gt;"Ajuste",P2934&lt;&gt;"Resultado trading"),"⚠ El monto debe ser positivo","✓")))))))))))))))</f>
        <v/>
      </c>
      <c r="P2934" s="52">
        <f>IF(OR(B2934="",G2934=""),"",IF(C2934="","Gasto",C2934))</f>
        <v/>
      </c>
      <c r="Q2934" s="52">
        <f>IF(P2934="","",IF(J2934&lt;&gt;"",J2934,CuentaPred&amp;""))</f>
        <v/>
      </c>
      <c r="R2934" s="52">
        <f>IF(P2934="","",IF(ISNUMBER(I2934),I2934,TasaUSD))</f>
        <v/>
      </c>
      <c r="S2934" s="53">
        <f>IF(P2934="","",IF(H2934="USD",G2934*R2934,G2934))</f>
        <v/>
      </c>
      <c r="T2934" s="53">
        <f>IF(P2934="","",IF(H2934="USD",G2934,IF(R2934&gt;0,G2934/R2934,0)))</f>
        <v/>
      </c>
      <c r="U2934" s="53">
        <f>IF(P2934="","",IF(P2934="Gasto",S2934,IF(P2934="Reembolso",-S2934,0)))</f>
        <v/>
      </c>
      <c r="V2934" s="53">
        <f>IF(P2934="","",IF(P2934="Ingreso",S2934,0))</f>
        <v/>
      </c>
      <c r="W2934" s="53">
        <f>IF(P2934="","",IF(P2934="Resultado trading",S2934,0))</f>
        <v/>
      </c>
      <c r="X2934" s="52">
        <f>IF(OR(P2934="Gasto",P2934="Reembolso"),IF(M2934&lt;&gt;"",M2934,IFERROR(INDEX(catClasif,MATCH(D2934&amp;"|"&amp;E2934,catClave,0))&amp;"","Variable")),"")</f>
        <v/>
      </c>
      <c r="Y2934" s="52">
        <f>IF(P2934="","",IFERROR(INDEX(catGrupo,MATCH(D2934&amp;"|"&amp;E2934,catClave,0))&amp;"",""))</f>
        <v/>
      </c>
      <c r="Z2934" s="52">
        <f>IF(P2934="","",WEEKDAY(B2934,2))</f>
        <v/>
      </c>
      <c r="AA2934" s="52">
        <f>IF(P2934="","",IF(AND(P2934="Gasto",X2934="Variable",D2934&lt;&gt;catTrading,S2934&gt;0,S2934&lt;=Umbral),1,0))</f>
        <v/>
      </c>
      <c r="AB2934" s="52">
        <f>IF(OR(P2934="",Q2934=""),"",IFERROR(IF(INDEX(ctaVinc,MATCH(Q2934,ctaNombre,0))&amp;""&lt;&gt;"",INDEX(ctaVinc,MATCH(Q2934,ctaNombre,0))&amp;"",Q2934),Q2934))</f>
        <v/>
      </c>
      <c r="AC2934" s="52">
        <f>IF(OR(K2934="",AND(P2934&lt;&gt;"Transferencia",P2934&lt;&gt;"Pago tarjeta")),"",IFERROR(IF(INDEX(ctaVinc,MATCH(K2934,ctaNombre,0))&amp;""&lt;&gt;"",INDEX(ctaVinc,MATCH(K2934,ctaNombre,0))&amp;"",K2934),K2934))</f>
        <v/>
      </c>
      <c r="AD2934" s="52">
        <f>IF(AB2934="","",IFERROR(INDEX(ctaTipo,MATCH(AB2934,ctaNombre,0))&amp;"",""))</f>
        <v/>
      </c>
      <c r="AE2934" s="52">
        <f>IF(AC2934="","",IFERROR(INDEX(ctaTipo,MATCH(AC2934,ctaNombre,0))&amp;"",""))</f>
        <v/>
      </c>
      <c r="AF2934" s="53">
        <f>IF(OR(P2934="",AB2934=""),"",IF(OR(P2934="Gasto",P2934="Transferencia",P2934="Pago tarjeta"),-1,1)*IF(IFERROR(INDEX(ctaMoneda,MATCH(AB2934,ctaNombre,0))&amp;"","DOP")="USD",T2934,S2934))</f>
        <v/>
      </c>
      <c r="AG2934" s="53">
        <f>IF(AC2934="","",IF(IFERROR(INDEX(ctaMoneda,MATCH(AC2934,ctaNombre,0))&amp;"","DOP")="USD",T2934,S2934))</f>
        <v/>
      </c>
      <c r="AH2934" s="53">
        <f>IF(P2934="","",IF(AND(AD2934&lt;&gt;"",COUNTIFS(tcTipo,AD2934,tcLiq,"Sí")&gt;0),IF(OR(P2934="Gasto",P2934="Transferencia",P2934="Pago tarjeta"),-1,1)*S2934,0)+IF(AND(AE2934&lt;&gt;"",COUNTIFS(tcTipo,AE2934,tcLiq,"Sí")&gt;0),S2934,0))</f>
        <v/>
      </c>
      <c r="AI2934" s="52">
        <f>IF(OR(L2934="",P2934=""),"",IF(COUNTIFS(L$6:L2934,L2934,P$6:P2934,"?*")=1,MAX(AI$5:AI2933)+1,""))</f>
        <v/>
      </c>
    </row>
    <row r="2935">
      <c r="B2935" s="47" t="n"/>
      <c r="C2935" s="48" t="n"/>
      <c r="D2935" s="48" t="n"/>
      <c r="E2935" s="48" t="n"/>
      <c r="F2935" s="48" t="n"/>
      <c r="G2935" s="49" t="n"/>
      <c r="H2935" s="48" t="n"/>
      <c r="I2935" s="50" t="n"/>
      <c r="J2935" s="48" t="n"/>
      <c r="K2935" s="48" t="n"/>
      <c r="L2935" s="48" t="n"/>
      <c r="M2935" s="48" t="n"/>
      <c r="N2935" s="48" t="n"/>
      <c r="O2935" s="51">
        <f>IF(AND(B2935="",G2935="",C2935="",D2935="",J2935=""),"",IF(B2935="","⚠ Falta fecha",IF(G2935="","⚠ Falta monto",IF(Q2935="","⚠ Falta cuenta",IF(ISNA(MATCH(Q2935,ctaNombre,0)),"⚠ Cuenta no registrada",IF(AND(OR(P2935="Gasto",P2935="Reembolso"),D2935=""),"⚠ Falta categoría",IF(AND(D2935&lt;&gt;"",E2935&lt;&gt;"",ISNA(MATCH(D2935&amp;"|"&amp;E2935,catClave,0))),"⚠ Subcategoría no corresponde",IF(AND(OR(P2935="Transferencia",P2935="Pago tarjeta"),K2935=""),"⚠ Falta cuenta destino",IF(AND(K2935&lt;&gt;"",P2935&lt;&gt;"Transferencia",P2935&lt;&gt;"Pago tarjeta"),"⚠ Destino solo aplica a transferencias",IF(AND(K2935&lt;&gt;"",K2935=Q2935),"⚠ Origen igual a destino",IF(AND(K2935&lt;&gt;"",ISNA(MATCH(K2935,ctaNombre,0))),"⚠ Destino no registrado",IF(AND(P2935="Pago tarjeta",AE2935&lt;&gt;"Tarjeta de crédito"),"⚠ El destino debe ser tarjeta de crédito",IF(AND(P2935="Gasto",E2935="Depósitos y retiros"),"⚠ Usa tipo Transferencia",IF(AND(P2935="Resultado trading",AD2935&lt;&gt;"Cuenta de trading"),"⚠ Usa una cuenta de trading",IF(AND(G2935&lt;=0,P2935&lt;&gt;"Ajuste",P2935&lt;&gt;"Resultado trading"),"⚠ El monto debe ser positivo","✓")))))))))))))))</f>
        <v/>
      </c>
      <c r="P2935" s="52">
        <f>IF(OR(B2935="",G2935=""),"",IF(C2935="","Gasto",C2935))</f>
        <v/>
      </c>
      <c r="Q2935" s="52">
        <f>IF(P2935="","",IF(J2935&lt;&gt;"",J2935,CuentaPred&amp;""))</f>
        <v/>
      </c>
      <c r="R2935" s="52">
        <f>IF(P2935="","",IF(ISNUMBER(I2935),I2935,TasaUSD))</f>
        <v/>
      </c>
      <c r="S2935" s="53">
        <f>IF(P2935="","",IF(H2935="USD",G2935*R2935,G2935))</f>
        <v/>
      </c>
      <c r="T2935" s="53">
        <f>IF(P2935="","",IF(H2935="USD",G2935,IF(R2935&gt;0,G2935/R2935,0)))</f>
        <v/>
      </c>
      <c r="U2935" s="53">
        <f>IF(P2935="","",IF(P2935="Gasto",S2935,IF(P2935="Reembolso",-S2935,0)))</f>
        <v/>
      </c>
      <c r="V2935" s="53">
        <f>IF(P2935="","",IF(P2935="Ingreso",S2935,0))</f>
        <v/>
      </c>
      <c r="W2935" s="53">
        <f>IF(P2935="","",IF(P2935="Resultado trading",S2935,0))</f>
        <v/>
      </c>
      <c r="X2935" s="52">
        <f>IF(OR(P2935="Gasto",P2935="Reembolso"),IF(M2935&lt;&gt;"",M2935,IFERROR(INDEX(catClasif,MATCH(D2935&amp;"|"&amp;E2935,catClave,0))&amp;"","Variable")),"")</f>
        <v/>
      </c>
      <c r="Y2935" s="52">
        <f>IF(P2935="","",IFERROR(INDEX(catGrupo,MATCH(D2935&amp;"|"&amp;E2935,catClave,0))&amp;"",""))</f>
        <v/>
      </c>
      <c r="Z2935" s="52">
        <f>IF(P2935="","",WEEKDAY(B2935,2))</f>
        <v/>
      </c>
      <c r="AA2935" s="52">
        <f>IF(P2935="","",IF(AND(P2935="Gasto",X2935="Variable",D2935&lt;&gt;catTrading,S2935&gt;0,S2935&lt;=Umbral),1,0))</f>
        <v/>
      </c>
      <c r="AB2935" s="52">
        <f>IF(OR(P2935="",Q2935=""),"",IFERROR(IF(INDEX(ctaVinc,MATCH(Q2935,ctaNombre,0))&amp;""&lt;&gt;"",INDEX(ctaVinc,MATCH(Q2935,ctaNombre,0))&amp;"",Q2935),Q2935))</f>
        <v/>
      </c>
      <c r="AC2935" s="52">
        <f>IF(OR(K2935="",AND(P2935&lt;&gt;"Transferencia",P2935&lt;&gt;"Pago tarjeta")),"",IFERROR(IF(INDEX(ctaVinc,MATCH(K2935,ctaNombre,0))&amp;""&lt;&gt;"",INDEX(ctaVinc,MATCH(K2935,ctaNombre,0))&amp;"",K2935),K2935))</f>
        <v/>
      </c>
      <c r="AD2935" s="52">
        <f>IF(AB2935="","",IFERROR(INDEX(ctaTipo,MATCH(AB2935,ctaNombre,0))&amp;"",""))</f>
        <v/>
      </c>
      <c r="AE2935" s="52">
        <f>IF(AC2935="","",IFERROR(INDEX(ctaTipo,MATCH(AC2935,ctaNombre,0))&amp;"",""))</f>
        <v/>
      </c>
      <c r="AF2935" s="53">
        <f>IF(OR(P2935="",AB2935=""),"",IF(OR(P2935="Gasto",P2935="Transferencia",P2935="Pago tarjeta"),-1,1)*IF(IFERROR(INDEX(ctaMoneda,MATCH(AB2935,ctaNombre,0))&amp;"","DOP")="USD",T2935,S2935))</f>
        <v/>
      </c>
      <c r="AG2935" s="53">
        <f>IF(AC2935="","",IF(IFERROR(INDEX(ctaMoneda,MATCH(AC2935,ctaNombre,0))&amp;"","DOP")="USD",T2935,S2935))</f>
        <v/>
      </c>
      <c r="AH2935" s="53">
        <f>IF(P2935="","",IF(AND(AD2935&lt;&gt;"",COUNTIFS(tcTipo,AD2935,tcLiq,"Sí")&gt;0),IF(OR(P2935="Gasto",P2935="Transferencia",P2935="Pago tarjeta"),-1,1)*S2935,0)+IF(AND(AE2935&lt;&gt;"",COUNTIFS(tcTipo,AE2935,tcLiq,"Sí")&gt;0),S2935,0))</f>
        <v/>
      </c>
      <c r="AI2935" s="52">
        <f>IF(OR(L2935="",P2935=""),"",IF(COUNTIFS(L$6:L2935,L2935,P$6:P2935,"?*")=1,MAX(AI$5:AI2934)+1,""))</f>
        <v/>
      </c>
    </row>
    <row r="2936">
      <c r="B2936" s="47" t="n"/>
      <c r="C2936" s="48" t="n"/>
      <c r="D2936" s="48" t="n"/>
      <c r="E2936" s="48" t="n"/>
      <c r="F2936" s="48" t="n"/>
      <c r="G2936" s="49" t="n"/>
      <c r="H2936" s="48" t="n"/>
      <c r="I2936" s="50" t="n"/>
      <c r="J2936" s="48" t="n"/>
      <c r="K2936" s="48" t="n"/>
      <c r="L2936" s="48" t="n"/>
      <c r="M2936" s="48" t="n"/>
      <c r="N2936" s="48" t="n"/>
      <c r="O2936" s="51">
        <f>IF(AND(B2936="",G2936="",C2936="",D2936="",J2936=""),"",IF(B2936="","⚠ Falta fecha",IF(G2936="","⚠ Falta monto",IF(Q2936="","⚠ Falta cuenta",IF(ISNA(MATCH(Q2936,ctaNombre,0)),"⚠ Cuenta no registrada",IF(AND(OR(P2936="Gasto",P2936="Reembolso"),D2936=""),"⚠ Falta categoría",IF(AND(D2936&lt;&gt;"",E2936&lt;&gt;"",ISNA(MATCH(D2936&amp;"|"&amp;E2936,catClave,0))),"⚠ Subcategoría no corresponde",IF(AND(OR(P2936="Transferencia",P2936="Pago tarjeta"),K2936=""),"⚠ Falta cuenta destino",IF(AND(K2936&lt;&gt;"",P2936&lt;&gt;"Transferencia",P2936&lt;&gt;"Pago tarjeta"),"⚠ Destino solo aplica a transferencias",IF(AND(K2936&lt;&gt;"",K2936=Q2936),"⚠ Origen igual a destino",IF(AND(K2936&lt;&gt;"",ISNA(MATCH(K2936,ctaNombre,0))),"⚠ Destino no registrado",IF(AND(P2936="Pago tarjeta",AE2936&lt;&gt;"Tarjeta de crédito"),"⚠ El destino debe ser tarjeta de crédito",IF(AND(P2936="Gasto",E2936="Depósitos y retiros"),"⚠ Usa tipo Transferencia",IF(AND(P2936="Resultado trading",AD2936&lt;&gt;"Cuenta de trading"),"⚠ Usa una cuenta de trading",IF(AND(G2936&lt;=0,P2936&lt;&gt;"Ajuste",P2936&lt;&gt;"Resultado trading"),"⚠ El monto debe ser positivo","✓")))))))))))))))</f>
        <v/>
      </c>
      <c r="P2936" s="52">
        <f>IF(OR(B2936="",G2936=""),"",IF(C2936="","Gasto",C2936))</f>
        <v/>
      </c>
      <c r="Q2936" s="52">
        <f>IF(P2936="","",IF(J2936&lt;&gt;"",J2936,CuentaPred&amp;""))</f>
        <v/>
      </c>
      <c r="R2936" s="52">
        <f>IF(P2936="","",IF(ISNUMBER(I2936),I2936,TasaUSD))</f>
        <v/>
      </c>
      <c r="S2936" s="53">
        <f>IF(P2936="","",IF(H2936="USD",G2936*R2936,G2936))</f>
        <v/>
      </c>
      <c r="T2936" s="53">
        <f>IF(P2936="","",IF(H2936="USD",G2936,IF(R2936&gt;0,G2936/R2936,0)))</f>
        <v/>
      </c>
      <c r="U2936" s="53">
        <f>IF(P2936="","",IF(P2936="Gasto",S2936,IF(P2936="Reembolso",-S2936,0)))</f>
        <v/>
      </c>
      <c r="V2936" s="53">
        <f>IF(P2936="","",IF(P2936="Ingreso",S2936,0))</f>
        <v/>
      </c>
      <c r="W2936" s="53">
        <f>IF(P2936="","",IF(P2936="Resultado trading",S2936,0))</f>
        <v/>
      </c>
      <c r="X2936" s="52">
        <f>IF(OR(P2936="Gasto",P2936="Reembolso"),IF(M2936&lt;&gt;"",M2936,IFERROR(INDEX(catClasif,MATCH(D2936&amp;"|"&amp;E2936,catClave,0))&amp;"","Variable")),"")</f>
        <v/>
      </c>
      <c r="Y2936" s="52">
        <f>IF(P2936="","",IFERROR(INDEX(catGrupo,MATCH(D2936&amp;"|"&amp;E2936,catClave,0))&amp;"",""))</f>
        <v/>
      </c>
      <c r="Z2936" s="52">
        <f>IF(P2936="","",WEEKDAY(B2936,2))</f>
        <v/>
      </c>
      <c r="AA2936" s="52">
        <f>IF(P2936="","",IF(AND(P2936="Gasto",X2936="Variable",D2936&lt;&gt;catTrading,S2936&gt;0,S2936&lt;=Umbral),1,0))</f>
        <v/>
      </c>
      <c r="AB2936" s="52">
        <f>IF(OR(P2936="",Q2936=""),"",IFERROR(IF(INDEX(ctaVinc,MATCH(Q2936,ctaNombre,0))&amp;""&lt;&gt;"",INDEX(ctaVinc,MATCH(Q2936,ctaNombre,0))&amp;"",Q2936),Q2936))</f>
        <v/>
      </c>
      <c r="AC2936" s="52">
        <f>IF(OR(K2936="",AND(P2936&lt;&gt;"Transferencia",P2936&lt;&gt;"Pago tarjeta")),"",IFERROR(IF(INDEX(ctaVinc,MATCH(K2936,ctaNombre,0))&amp;""&lt;&gt;"",INDEX(ctaVinc,MATCH(K2936,ctaNombre,0))&amp;"",K2936),K2936))</f>
        <v/>
      </c>
      <c r="AD2936" s="52">
        <f>IF(AB2936="","",IFERROR(INDEX(ctaTipo,MATCH(AB2936,ctaNombre,0))&amp;"",""))</f>
        <v/>
      </c>
      <c r="AE2936" s="52">
        <f>IF(AC2936="","",IFERROR(INDEX(ctaTipo,MATCH(AC2936,ctaNombre,0))&amp;"",""))</f>
        <v/>
      </c>
      <c r="AF2936" s="53">
        <f>IF(OR(P2936="",AB2936=""),"",IF(OR(P2936="Gasto",P2936="Transferencia",P2936="Pago tarjeta"),-1,1)*IF(IFERROR(INDEX(ctaMoneda,MATCH(AB2936,ctaNombre,0))&amp;"","DOP")="USD",T2936,S2936))</f>
        <v/>
      </c>
      <c r="AG2936" s="53">
        <f>IF(AC2936="","",IF(IFERROR(INDEX(ctaMoneda,MATCH(AC2936,ctaNombre,0))&amp;"","DOP")="USD",T2936,S2936))</f>
        <v/>
      </c>
      <c r="AH2936" s="53">
        <f>IF(P2936="","",IF(AND(AD2936&lt;&gt;"",COUNTIFS(tcTipo,AD2936,tcLiq,"Sí")&gt;0),IF(OR(P2936="Gasto",P2936="Transferencia",P2936="Pago tarjeta"),-1,1)*S2936,0)+IF(AND(AE2936&lt;&gt;"",COUNTIFS(tcTipo,AE2936,tcLiq,"Sí")&gt;0),S2936,0))</f>
        <v/>
      </c>
      <c r="AI2936" s="52">
        <f>IF(OR(L2936="",P2936=""),"",IF(COUNTIFS(L$6:L2936,L2936,P$6:P2936,"?*")=1,MAX(AI$5:AI2935)+1,""))</f>
        <v/>
      </c>
    </row>
    <row r="2937">
      <c r="B2937" s="47" t="n"/>
      <c r="C2937" s="48" t="n"/>
      <c r="D2937" s="48" t="n"/>
      <c r="E2937" s="48" t="n"/>
      <c r="F2937" s="48" t="n"/>
      <c r="G2937" s="49" t="n"/>
      <c r="H2937" s="48" t="n"/>
      <c r="I2937" s="50" t="n"/>
      <c r="J2937" s="48" t="n"/>
      <c r="K2937" s="48" t="n"/>
      <c r="L2937" s="48" t="n"/>
      <c r="M2937" s="48" t="n"/>
      <c r="N2937" s="48" t="n"/>
      <c r="O2937" s="51">
        <f>IF(AND(B2937="",G2937="",C2937="",D2937="",J2937=""),"",IF(B2937="","⚠ Falta fecha",IF(G2937="","⚠ Falta monto",IF(Q2937="","⚠ Falta cuenta",IF(ISNA(MATCH(Q2937,ctaNombre,0)),"⚠ Cuenta no registrada",IF(AND(OR(P2937="Gasto",P2937="Reembolso"),D2937=""),"⚠ Falta categoría",IF(AND(D2937&lt;&gt;"",E2937&lt;&gt;"",ISNA(MATCH(D2937&amp;"|"&amp;E2937,catClave,0))),"⚠ Subcategoría no corresponde",IF(AND(OR(P2937="Transferencia",P2937="Pago tarjeta"),K2937=""),"⚠ Falta cuenta destino",IF(AND(K2937&lt;&gt;"",P2937&lt;&gt;"Transferencia",P2937&lt;&gt;"Pago tarjeta"),"⚠ Destino solo aplica a transferencias",IF(AND(K2937&lt;&gt;"",K2937=Q2937),"⚠ Origen igual a destino",IF(AND(K2937&lt;&gt;"",ISNA(MATCH(K2937,ctaNombre,0))),"⚠ Destino no registrado",IF(AND(P2937="Pago tarjeta",AE2937&lt;&gt;"Tarjeta de crédito"),"⚠ El destino debe ser tarjeta de crédito",IF(AND(P2937="Gasto",E2937="Depósitos y retiros"),"⚠ Usa tipo Transferencia",IF(AND(P2937="Resultado trading",AD2937&lt;&gt;"Cuenta de trading"),"⚠ Usa una cuenta de trading",IF(AND(G2937&lt;=0,P2937&lt;&gt;"Ajuste",P2937&lt;&gt;"Resultado trading"),"⚠ El monto debe ser positivo","✓")))))))))))))))</f>
        <v/>
      </c>
      <c r="P2937" s="52">
        <f>IF(OR(B2937="",G2937=""),"",IF(C2937="","Gasto",C2937))</f>
        <v/>
      </c>
      <c r="Q2937" s="52">
        <f>IF(P2937="","",IF(J2937&lt;&gt;"",J2937,CuentaPred&amp;""))</f>
        <v/>
      </c>
      <c r="R2937" s="52">
        <f>IF(P2937="","",IF(ISNUMBER(I2937),I2937,TasaUSD))</f>
        <v/>
      </c>
      <c r="S2937" s="53">
        <f>IF(P2937="","",IF(H2937="USD",G2937*R2937,G2937))</f>
        <v/>
      </c>
      <c r="T2937" s="53">
        <f>IF(P2937="","",IF(H2937="USD",G2937,IF(R2937&gt;0,G2937/R2937,0)))</f>
        <v/>
      </c>
      <c r="U2937" s="53">
        <f>IF(P2937="","",IF(P2937="Gasto",S2937,IF(P2937="Reembolso",-S2937,0)))</f>
        <v/>
      </c>
      <c r="V2937" s="53">
        <f>IF(P2937="","",IF(P2937="Ingreso",S2937,0))</f>
        <v/>
      </c>
      <c r="W2937" s="53">
        <f>IF(P2937="","",IF(P2937="Resultado trading",S2937,0))</f>
        <v/>
      </c>
      <c r="X2937" s="52">
        <f>IF(OR(P2937="Gasto",P2937="Reembolso"),IF(M2937&lt;&gt;"",M2937,IFERROR(INDEX(catClasif,MATCH(D2937&amp;"|"&amp;E2937,catClave,0))&amp;"","Variable")),"")</f>
        <v/>
      </c>
      <c r="Y2937" s="52">
        <f>IF(P2937="","",IFERROR(INDEX(catGrupo,MATCH(D2937&amp;"|"&amp;E2937,catClave,0))&amp;"",""))</f>
        <v/>
      </c>
      <c r="Z2937" s="52">
        <f>IF(P2937="","",WEEKDAY(B2937,2))</f>
        <v/>
      </c>
      <c r="AA2937" s="52">
        <f>IF(P2937="","",IF(AND(P2937="Gasto",X2937="Variable",D2937&lt;&gt;catTrading,S2937&gt;0,S2937&lt;=Umbral),1,0))</f>
        <v/>
      </c>
      <c r="AB2937" s="52">
        <f>IF(OR(P2937="",Q2937=""),"",IFERROR(IF(INDEX(ctaVinc,MATCH(Q2937,ctaNombre,0))&amp;""&lt;&gt;"",INDEX(ctaVinc,MATCH(Q2937,ctaNombre,0))&amp;"",Q2937),Q2937))</f>
        <v/>
      </c>
      <c r="AC2937" s="52">
        <f>IF(OR(K2937="",AND(P2937&lt;&gt;"Transferencia",P2937&lt;&gt;"Pago tarjeta")),"",IFERROR(IF(INDEX(ctaVinc,MATCH(K2937,ctaNombre,0))&amp;""&lt;&gt;"",INDEX(ctaVinc,MATCH(K2937,ctaNombre,0))&amp;"",K2937),K2937))</f>
        <v/>
      </c>
      <c r="AD2937" s="52">
        <f>IF(AB2937="","",IFERROR(INDEX(ctaTipo,MATCH(AB2937,ctaNombre,0))&amp;"",""))</f>
        <v/>
      </c>
      <c r="AE2937" s="52">
        <f>IF(AC2937="","",IFERROR(INDEX(ctaTipo,MATCH(AC2937,ctaNombre,0))&amp;"",""))</f>
        <v/>
      </c>
      <c r="AF2937" s="53">
        <f>IF(OR(P2937="",AB2937=""),"",IF(OR(P2937="Gasto",P2937="Transferencia",P2937="Pago tarjeta"),-1,1)*IF(IFERROR(INDEX(ctaMoneda,MATCH(AB2937,ctaNombre,0))&amp;"","DOP")="USD",T2937,S2937))</f>
        <v/>
      </c>
      <c r="AG2937" s="53">
        <f>IF(AC2937="","",IF(IFERROR(INDEX(ctaMoneda,MATCH(AC2937,ctaNombre,0))&amp;"","DOP")="USD",T2937,S2937))</f>
        <v/>
      </c>
      <c r="AH2937" s="53">
        <f>IF(P2937="","",IF(AND(AD2937&lt;&gt;"",COUNTIFS(tcTipo,AD2937,tcLiq,"Sí")&gt;0),IF(OR(P2937="Gasto",P2937="Transferencia",P2937="Pago tarjeta"),-1,1)*S2937,0)+IF(AND(AE2937&lt;&gt;"",COUNTIFS(tcTipo,AE2937,tcLiq,"Sí")&gt;0),S2937,0))</f>
        <v/>
      </c>
      <c r="AI2937" s="52">
        <f>IF(OR(L2937="",P2937=""),"",IF(COUNTIFS(L$6:L2937,L2937,P$6:P2937,"?*")=1,MAX(AI$5:AI2936)+1,""))</f>
        <v/>
      </c>
    </row>
    <row r="2938">
      <c r="B2938" s="47" t="n"/>
      <c r="C2938" s="48" t="n"/>
      <c r="D2938" s="48" t="n"/>
      <c r="E2938" s="48" t="n"/>
      <c r="F2938" s="48" t="n"/>
      <c r="G2938" s="49" t="n"/>
      <c r="H2938" s="48" t="n"/>
      <c r="I2938" s="50" t="n"/>
      <c r="J2938" s="48" t="n"/>
      <c r="K2938" s="48" t="n"/>
      <c r="L2938" s="48" t="n"/>
      <c r="M2938" s="48" t="n"/>
      <c r="N2938" s="48" t="n"/>
      <c r="O2938" s="51">
        <f>IF(AND(B2938="",G2938="",C2938="",D2938="",J2938=""),"",IF(B2938="","⚠ Falta fecha",IF(G2938="","⚠ Falta monto",IF(Q2938="","⚠ Falta cuenta",IF(ISNA(MATCH(Q2938,ctaNombre,0)),"⚠ Cuenta no registrada",IF(AND(OR(P2938="Gasto",P2938="Reembolso"),D2938=""),"⚠ Falta categoría",IF(AND(D2938&lt;&gt;"",E2938&lt;&gt;"",ISNA(MATCH(D2938&amp;"|"&amp;E2938,catClave,0))),"⚠ Subcategoría no corresponde",IF(AND(OR(P2938="Transferencia",P2938="Pago tarjeta"),K2938=""),"⚠ Falta cuenta destino",IF(AND(K2938&lt;&gt;"",P2938&lt;&gt;"Transferencia",P2938&lt;&gt;"Pago tarjeta"),"⚠ Destino solo aplica a transferencias",IF(AND(K2938&lt;&gt;"",K2938=Q2938),"⚠ Origen igual a destino",IF(AND(K2938&lt;&gt;"",ISNA(MATCH(K2938,ctaNombre,0))),"⚠ Destino no registrado",IF(AND(P2938="Pago tarjeta",AE2938&lt;&gt;"Tarjeta de crédito"),"⚠ El destino debe ser tarjeta de crédito",IF(AND(P2938="Gasto",E2938="Depósitos y retiros"),"⚠ Usa tipo Transferencia",IF(AND(P2938="Resultado trading",AD2938&lt;&gt;"Cuenta de trading"),"⚠ Usa una cuenta de trading",IF(AND(G2938&lt;=0,P2938&lt;&gt;"Ajuste",P2938&lt;&gt;"Resultado trading"),"⚠ El monto debe ser positivo","✓")))))))))))))))</f>
        <v/>
      </c>
      <c r="P2938" s="52">
        <f>IF(OR(B2938="",G2938=""),"",IF(C2938="","Gasto",C2938))</f>
        <v/>
      </c>
      <c r="Q2938" s="52">
        <f>IF(P2938="","",IF(J2938&lt;&gt;"",J2938,CuentaPred&amp;""))</f>
        <v/>
      </c>
      <c r="R2938" s="52">
        <f>IF(P2938="","",IF(ISNUMBER(I2938),I2938,TasaUSD))</f>
        <v/>
      </c>
      <c r="S2938" s="53">
        <f>IF(P2938="","",IF(H2938="USD",G2938*R2938,G2938))</f>
        <v/>
      </c>
      <c r="T2938" s="53">
        <f>IF(P2938="","",IF(H2938="USD",G2938,IF(R2938&gt;0,G2938/R2938,0)))</f>
        <v/>
      </c>
      <c r="U2938" s="53">
        <f>IF(P2938="","",IF(P2938="Gasto",S2938,IF(P2938="Reembolso",-S2938,0)))</f>
        <v/>
      </c>
      <c r="V2938" s="53">
        <f>IF(P2938="","",IF(P2938="Ingreso",S2938,0))</f>
        <v/>
      </c>
      <c r="W2938" s="53">
        <f>IF(P2938="","",IF(P2938="Resultado trading",S2938,0))</f>
        <v/>
      </c>
      <c r="X2938" s="52">
        <f>IF(OR(P2938="Gasto",P2938="Reembolso"),IF(M2938&lt;&gt;"",M2938,IFERROR(INDEX(catClasif,MATCH(D2938&amp;"|"&amp;E2938,catClave,0))&amp;"","Variable")),"")</f>
        <v/>
      </c>
      <c r="Y2938" s="52">
        <f>IF(P2938="","",IFERROR(INDEX(catGrupo,MATCH(D2938&amp;"|"&amp;E2938,catClave,0))&amp;"",""))</f>
        <v/>
      </c>
      <c r="Z2938" s="52">
        <f>IF(P2938="","",WEEKDAY(B2938,2))</f>
        <v/>
      </c>
      <c r="AA2938" s="52">
        <f>IF(P2938="","",IF(AND(P2938="Gasto",X2938="Variable",D2938&lt;&gt;catTrading,S2938&gt;0,S2938&lt;=Umbral),1,0))</f>
        <v/>
      </c>
      <c r="AB2938" s="52">
        <f>IF(OR(P2938="",Q2938=""),"",IFERROR(IF(INDEX(ctaVinc,MATCH(Q2938,ctaNombre,0))&amp;""&lt;&gt;"",INDEX(ctaVinc,MATCH(Q2938,ctaNombre,0))&amp;"",Q2938),Q2938))</f>
        <v/>
      </c>
      <c r="AC2938" s="52">
        <f>IF(OR(K2938="",AND(P2938&lt;&gt;"Transferencia",P2938&lt;&gt;"Pago tarjeta")),"",IFERROR(IF(INDEX(ctaVinc,MATCH(K2938,ctaNombre,0))&amp;""&lt;&gt;"",INDEX(ctaVinc,MATCH(K2938,ctaNombre,0))&amp;"",K2938),K2938))</f>
        <v/>
      </c>
      <c r="AD2938" s="52">
        <f>IF(AB2938="","",IFERROR(INDEX(ctaTipo,MATCH(AB2938,ctaNombre,0))&amp;"",""))</f>
        <v/>
      </c>
      <c r="AE2938" s="52">
        <f>IF(AC2938="","",IFERROR(INDEX(ctaTipo,MATCH(AC2938,ctaNombre,0))&amp;"",""))</f>
        <v/>
      </c>
      <c r="AF2938" s="53">
        <f>IF(OR(P2938="",AB2938=""),"",IF(OR(P2938="Gasto",P2938="Transferencia",P2938="Pago tarjeta"),-1,1)*IF(IFERROR(INDEX(ctaMoneda,MATCH(AB2938,ctaNombre,0))&amp;"","DOP")="USD",T2938,S2938))</f>
        <v/>
      </c>
      <c r="AG2938" s="53">
        <f>IF(AC2938="","",IF(IFERROR(INDEX(ctaMoneda,MATCH(AC2938,ctaNombre,0))&amp;"","DOP")="USD",T2938,S2938))</f>
        <v/>
      </c>
      <c r="AH2938" s="53">
        <f>IF(P2938="","",IF(AND(AD2938&lt;&gt;"",COUNTIFS(tcTipo,AD2938,tcLiq,"Sí")&gt;0),IF(OR(P2938="Gasto",P2938="Transferencia",P2938="Pago tarjeta"),-1,1)*S2938,0)+IF(AND(AE2938&lt;&gt;"",COUNTIFS(tcTipo,AE2938,tcLiq,"Sí")&gt;0),S2938,0))</f>
        <v/>
      </c>
      <c r="AI2938" s="52">
        <f>IF(OR(L2938="",P2938=""),"",IF(COUNTIFS(L$6:L2938,L2938,P$6:P2938,"?*")=1,MAX(AI$5:AI2937)+1,""))</f>
        <v/>
      </c>
    </row>
    <row r="2939">
      <c r="B2939" s="47" t="n"/>
      <c r="C2939" s="48" t="n"/>
      <c r="D2939" s="48" t="n"/>
      <c r="E2939" s="48" t="n"/>
      <c r="F2939" s="48" t="n"/>
      <c r="G2939" s="49" t="n"/>
      <c r="H2939" s="48" t="n"/>
      <c r="I2939" s="50" t="n"/>
      <c r="J2939" s="48" t="n"/>
      <c r="K2939" s="48" t="n"/>
      <c r="L2939" s="48" t="n"/>
      <c r="M2939" s="48" t="n"/>
      <c r="N2939" s="48" t="n"/>
      <c r="O2939" s="51">
        <f>IF(AND(B2939="",G2939="",C2939="",D2939="",J2939=""),"",IF(B2939="","⚠ Falta fecha",IF(G2939="","⚠ Falta monto",IF(Q2939="","⚠ Falta cuenta",IF(ISNA(MATCH(Q2939,ctaNombre,0)),"⚠ Cuenta no registrada",IF(AND(OR(P2939="Gasto",P2939="Reembolso"),D2939=""),"⚠ Falta categoría",IF(AND(D2939&lt;&gt;"",E2939&lt;&gt;"",ISNA(MATCH(D2939&amp;"|"&amp;E2939,catClave,0))),"⚠ Subcategoría no corresponde",IF(AND(OR(P2939="Transferencia",P2939="Pago tarjeta"),K2939=""),"⚠ Falta cuenta destino",IF(AND(K2939&lt;&gt;"",P2939&lt;&gt;"Transferencia",P2939&lt;&gt;"Pago tarjeta"),"⚠ Destino solo aplica a transferencias",IF(AND(K2939&lt;&gt;"",K2939=Q2939),"⚠ Origen igual a destino",IF(AND(K2939&lt;&gt;"",ISNA(MATCH(K2939,ctaNombre,0))),"⚠ Destino no registrado",IF(AND(P2939="Pago tarjeta",AE2939&lt;&gt;"Tarjeta de crédito"),"⚠ El destino debe ser tarjeta de crédito",IF(AND(P2939="Gasto",E2939="Depósitos y retiros"),"⚠ Usa tipo Transferencia",IF(AND(P2939="Resultado trading",AD2939&lt;&gt;"Cuenta de trading"),"⚠ Usa una cuenta de trading",IF(AND(G2939&lt;=0,P2939&lt;&gt;"Ajuste",P2939&lt;&gt;"Resultado trading"),"⚠ El monto debe ser positivo","✓")))))))))))))))</f>
        <v/>
      </c>
      <c r="P2939" s="52">
        <f>IF(OR(B2939="",G2939=""),"",IF(C2939="","Gasto",C2939))</f>
        <v/>
      </c>
      <c r="Q2939" s="52">
        <f>IF(P2939="","",IF(J2939&lt;&gt;"",J2939,CuentaPred&amp;""))</f>
        <v/>
      </c>
      <c r="R2939" s="52">
        <f>IF(P2939="","",IF(ISNUMBER(I2939),I2939,TasaUSD))</f>
        <v/>
      </c>
      <c r="S2939" s="53">
        <f>IF(P2939="","",IF(H2939="USD",G2939*R2939,G2939))</f>
        <v/>
      </c>
      <c r="T2939" s="53">
        <f>IF(P2939="","",IF(H2939="USD",G2939,IF(R2939&gt;0,G2939/R2939,0)))</f>
        <v/>
      </c>
      <c r="U2939" s="53">
        <f>IF(P2939="","",IF(P2939="Gasto",S2939,IF(P2939="Reembolso",-S2939,0)))</f>
        <v/>
      </c>
      <c r="V2939" s="53">
        <f>IF(P2939="","",IF(P2939="Ingreso",S2939,0))</f>
        <v/>
      </c>
      <c r="W2939" s="53">
        <f>IF(P2939="","",IF(P2939="Resultado trading",S2939,0))</f>
        <v/>
      </c>
      <c r="X2939" s="52">
        <f>IF(OR(P2939="Gasto",P2939="Reembolso"),IF(M2939&lt;&gt;"",M2939,IFERROR(INDEX(catClasif,MATCH(D2939&amp;"|"&amp;E2939,catClave,0))&amp;"","Variable")),"")</f>
        <v/>
      </c>
      <c r="Y2939" s="52">
        <f>IF(P2939="","",IFERROR(INDEX(catGrupo,MATCH(D2939&amp;"|"&amp;E2939,catClave,0))&amp;"",""))</f>
        <v/>
      </c>
      <c r="Z2939" s="52">
        <f>IF(P2939="","",WEEKDAY(B2939,2))</f>
        <v/>
      </c>
      <c r="AA2939" s="52">
        <f>IF(P2939="","",IF(AND(P2939="Gasto",X2939="Variable",D2939&lt;&gt;catTrading,S2939&gt;0,S2939&lt;=Umbral),1,0))</f>
        <v/>
      </c>
      <c r="AB2939" s="52">
        <f>IF(OR(P2939="",Q2939=""),"",IFERROR(IF(INDEX(ctaVinc,MATCH(Q2939,ctaNombre,0))&amp;""&lt;&gt;"",INDEX(ctaVinc,MATCH(Q2939,ctaNombre,0))&amp;"",Q2939),Q2939))</f>
        <v/>
      </c>
      <c r="AC2939" s="52">
        <f>IF(OR(K2939="",AND(P2939&lt;&gt;"Transferencia",P2939&lt;&gt;"Pago tarjeta")),"",IFERROR(IF(INDEX(ctaVinc,MATCH(K2939,ctaNombre,0))&amp;""&lt;&gt;"",INDEX(ctaVinc,MATCH(K2939,ctaNombre,0))&amp;"",K2939),K2939))</f>
        <v/>
      </c>
      <c r="AD2939" s="52">
        <f>IF(AB2939="","",IFERROR(INDEX(ctaTipo,MATCH(AB2939,ctaNombre,0))&amp;"",""))</f>
        <v/>
      </c>
      <c r="AE2939" s="52">
        <f>IF(AC2939="","",IFERROR(INDEX(ctaTipo,MATCH(AC2939,ctaNombre,0))&amp;"",""))</f>
        <v/>
      </c>
      <c r="AF2939" s="53">
        <f>IF(OR(P2939="",AB2939=""),"",IF(OR(P2939="Gasto",P2939="Transferencia",P2939="Pago tarjeta"),-1,1)*IF(IFERROR(INDEX(ctaMoneda,MATCH(AB2939,ctaNombre,0))&amp;"","DOP")="USD",T2939,S2939))</f>
        <v/>
      </c>
      <c r="AG2939" s="53">
        <f>IF(AC2939="","",IF(IFERROR(INDEX(ctaMoneda,MATCH(AC2939,ctaNombre,0))&amp;"","DOP")="USD",T2939,S2939))</f>
        <v/>
      </c>
      <c r="AH2939" s="53">
        <f>IF(P2939="","",IF(AND(AD2939&lt;&gt;"",COUNTIFS(tcTipo,AD2939,tcLiq,"Sí")&gt;0),IF(OR(P2939="Gasto",P2939="Transferencia",P2939="Pago tarjeta"),-1,1)*S2939,0)+IF(AND(AE2939&lt;&gt;"",COUNTIFS(tcTipo,AE2939,tcLiq,"Sí")&gt;0),S2939,0))</f>
        <v/>
      </c>
      <c r="AI2939" s="52">
        <f>IF(OR(L2939="",P2939=""),"",IF(COUNTIFS(L$6:L2939,L2939,P$6:P2939,"?*")=1,MAX(AI$5:AI2938)+1,""))</f>
        <v/>
      </c>
    </row>
    <row r="2940">
      <c r="B2940" s="47" t="n"/>
      <c r="C2940" s="48" t="n"/>
      <c r="D2940" s="48" t="n"/>
      <c r="E2940" s="48" t="n"/>
      <c r="F2940" s="48" t="n"/>
      <c r="G2940" s="49" t="n"/>
      <c r="H2940" s="48" t="n"/>
      <c r="I2940" s="50" t="n"/>
      <c r="J2940" s="48" t="n"/>
      <c r="K2940" s="48" t="n"/>
      <c r="L2940" s="48" t="n"/>
      <c r="M2940" s="48" t="n"/>
      <c r="N2940" s="48" t="n"/>
      <c r="O2940" s="51">
        <f>IF(AND(B2940="",G2940="",C2940="",D2940="",J2940=""),"",IF(B2940="","⚠ Falta fecha",IF(G2940="","⚠ Falta monto",IF(Q2940="","⚠ Falta cuenta",IF(ISNA(MATCH(Q2940,ctaNombre,0)),"⚠ Cuenta no registrada",IF(AND(OR(P2940="Gasto",P2940="Reembolso"),D2940=""),"⚠ Falta categoría",IF(AND(D2940&lt;&gt;"",E2940&lt;&gt;"",ISNA(MATCH(D2940&amp;"|"&amp;E2940,catClave,0))),"⚠ Subcategoría no corresponde",IF(AND(OR(P2940="Transferencia",P2940="Pago tarjeta"),K2940=""),"⚠ Falta cuenta destino",IF(AND(K2940&lt;&gt;"",P2940&lt;&gt;"Transferencia",P2940&lt;&gt;"Pago tarjeta"),"⚠ Destino solo aplica a transferencias",IF(AND(K2940&lt;&gt;"",K2940=Q2940),"⚠ Origen igual a destino",IF(AND(K2940&lt;&gt;"",ISNA(MATCH(K2940,ctaNombre,0))),"⚠ Destino no registrado",IF(AND(P2940="Pago tarjeta",AE2940&lt;&gt;"Tarjeta de crédito"),"⚠ El destino debe ser tarjeta de crédito",IF(AND(P2940="Gasto",E2940="Depósitos y retiros"),"⚠ Usa tipo Transferencia",IF(AND(P2940="Resultado trading",AD2940&lt;&gt;"Cuenta de trading"),"⚠ Usa una cuenta de trading",IF(AND(G2940&lt;=0,P2940&lt;&gt;"Ajuste",P2940&lt;&gt;"Resultado trading"),"⚠ El monto debe ser positivo","✓")))))))))))))))</f>
        <v/>
      </c>
      <c r="P2940" s="52">
        <f>IF(OR(B2940="",G2940=""),"",IF(C2940="","Gasto",C2940))</f>
        <v/>
      </c>
      <c r="Q2940" s="52">
        <f>IF(P2940="","",IF(J2940&lt;&gt;"",J2940,CuentaPred&amp;""))</f>
        <v/>
      </c>
      <c r="R2940" s="52">
        <f>IF(P2940="","",IF(ISNUMBER(I2940),I2940,TasaUSD))</f>
        <v/>
      </c>
      <c r="S2940" s="53">
        <f>IF(P2940="","",IF(H2940="USD",G2940*R2940,G2940))</f>
        <v/>
      </c>
      <c r="T2940" s="53">
        <f>IF(P2940="","",IF(H2940="USD",G2940,IF(R2940&gt;0,G2940/R2940,0)))</f>
        <v/>
      </c>
      <c r="U2940" s="53">
        <f>IF(P2940="","",IF(P2940="Gasto",S2940,IF(P2940="Reembolso",-S2940,0)))</f>
        <v/>
      </c>
      <c r="V2940" s="53">
        <f>IF(P2940="","",IF(P2940="Ingreso",S2940,0))</f>
        <v/>
      </c>
      <c r="W2940" s="53">
        <f>IF(P2940="","",IF(P2940="Resultado trading",S2940,0))</f>
        <v/>
      </c>
      <c r="X2940" s="52">
        <f>IF(OR(P2940="Gasto",P2940="Reembolso"),IF(M2940&lt;&gt;"",M2940,IFERROR(INDEX(catClasif,MATCH(D2940&amp;"|"&amp;E2940,catClave,0))&amp;"","Variable")),"")</f>
        <v/>
      </c>
      <c r="Y2940" s="52">
        <f>IF(P2940="","",IFERROR(INDEX(catGrupo,MATCH(D2940&amp;"|"&amp;E2940,catClave,0))&amp;"",""))</f>
        <v/>
      </c>
      <c r="Z2940" s="52">
        <f>IF(P2940="","",WEEKDAY(B2940,2))</f>
        <v/>
      </c>
      <c r="AA2940" s="52">
        <f>IF(P2940="","",IF(AND(P2940="Gasto",X2940="Variable",D2940&lt;&gt;catTrading,S2940&gt;0,S2940&lt;=Umbral),1,0))</f>
        <v/>
      </c>
      <c r="AB2940" s="52">
        <f>IF(OR(P2940="",Q2940=""),"",IFERROR(IF(INDEX(ctaVinc,MATCH(Q2940,ctaNombre,0))&amp;""&lt;&gt;"",INDEX(ctaVinc,MATCH(Q2940,ctaNombre,0))&amp;"",Q2940),Q2940))</f>
        <v/>
      </c>
      <c r="AC2940" s="52">
        <f>IF(OR(K2940="",AND(P2940&lt;&gt;"Transferencia",P2940&lt;&gt;"Pago tarjeta")),"",IFERROR(IF(INDEX(ctaVinc,MATCH(K2940,ctaNombre,0))&amp;""&lt;&gt;"",INDEX(ctaVinc,MATCH(K2940,ctaNombre,0))&amp;"",K2940),K2940))</f>
        <v/>
      </c>
      <c r="AD2940" s="52">
        <f>IF(AB2940="","",IFERROR(INDEX(ctaTipo,MATCH(AB2940,ctaNombre,0))&amp;"",""))</f>
        <v/>
      </c>
      <c r="AE2940" s="52">
        <f>IF(AC2940="","",IFERROR(INDEX(ctaTipo,MATCH(AC2940,ctaNombre,0))&amp;"",""))</f>
        <v/>
      </c>
      <c r="AF2940" s="53">
        <f>IF(OR(P2940="",AB2940=""),"",IF(OR(P2940="Gasto",P2940="Transferencia",P2940="Pago tarjeta"),-1,1)*IF(IFERROR(INDEX(ctaMoneda,MATCH(AB2940,ctaNombre,0))&amp;"","DOP")="USD",T2940,S2940))</f>
        <v/>
      </c>
      <c r="AG2940" s="53">
        <f>IF(AC2940="","",IF(IFERROR(INDEX(ctaMoneda,MATCH(AC2940,ctaNombre,0))&amp;"","DOP")="USD",T2940,S2940))</f>
        <v/>
      </c>
      <c r="AH2940" s="53">
        <f>IF(P2940="","",IF(AND(AD2940&lt;&gt;"",COUNTIFS(tcTipo,AD2940,tcLiq,"Sí")&gt;0),IF(OR(P2940="Gasto",P2940="Transferencia",P2940="Pago tarjeta"),-1,1)*S2940,0)+IF(AND(AE2940&lt;&gt;"",COUNTIFS(tcTipo,AE2940,tcLiq,"Sí")&gt;0),S2940,0))</f>
        <v/>
      </c>
      <c r="AI2940" s="52">
        <f>IF(OR(L2940="",P2940=""),"",IF(COUNTIFS(L$6:L2940,L2940,P$6:P2940,"?*")=1,MAX(AI$5:AI2939)+1,""))</f>
        <v/>
      </c>
    </row>
    <row r="2941">
      <c r="B2941" s="47" t="n"/>
      <c r="C2941" s="48" t="n"/>
      <c r="D2941" s="48" t="n"/>
      <c r="E2941" s="48" t="n"/>
      <c r="F2941" s="48" t="n"/>
      <c r="G2941" s="49" t="n"/>
      <c r="H2941" s="48" t="n"/>
      <c r="I2941" s="50" t="n"/>
      <c r="J2941" s="48" t="n"/>
      <c r="K2941" s="48" t="n"/>
      <c r="L2941" s="48" t="n"/>
      <c r="M2941" s="48" t="n"/>
      <c r="N2941" s="48" t="n"/>
      <c r="O2941" s="51">
        <f>IF(AND(B2941="",G2941="",C2941="",D2941="",J2941=""),"",IF(B2941="","⚠ Falta fecha",IF(G2941="","⚠ Falta monto",IF(Q2941="","⚠ Falta cuenta",IF(ISNA(MATCH(Q2941,ctaNombre,0)),"⚠ Cuenta no registrada",IF(AND(OR(P2941="Gasto",P2941="Reembolso"),D2941=""),"⚠ Falta categoría",IF(AND(D2941&lt;&gt;"",E2941&lt;&gt;"",ISNA(MATCH(D2941&amp;"|"&amp;E2941,catClave,0))),"⚠ Subcategoría no corresponde",IF(AND(OR(P2941="Transferencia",P2941="Pago tarjeta"),K2941=""),"⚠ Falta cuenta destino",IF(AND(K2941&lt;&gt;"",P2941&lt;&gt;"Transferencia",P2941&lt;&gt;"Pago tarjeta"),"⚠ Destino solo aplica a transferencias",IF(AND(K2941&lt;&gt;"",K2941=Q2941),"⚠ Origen igual a destino",IF(AND(K2941&lt;&gt;"",ISNA(MATCH(K2941,ctaNombre,0))),"⚠ Destino no registrado",IF(AND(P2941="Pago tarjeta",AE2941&lt;&gt;"Tarjeta de crédito"),"⚠ El destino debe ser tarjeta de crédito",IF(AND(P2941="Gasto",E2941="Depósitos y retiros"),"⚠ Usa tipo Transferencia",IF(AND(P2941="Resultado trading",AD2941&lt;&gt;"Cuenta de trading"),"⚠ Usa una cuenta de trading",IF(AND(G2941&lt;=0,P2941&lt;&gt;"Ajuste",P2941&lt;&gt;"Resultado trading"),"⚠ El monto debe ser positivo","✓")))))))))))))))</f>
        <v/>
      </c>
      <c r="P2941" s="52">
        <f>IF(OR(B2941="",G2941=""),"",IF(C2941="","Gasto",C2941))</f>
        <v/>
      </c>
      <c r="Q2941" s="52">
        <f>IF(P2941="","",IF(J2941&lt;&gt;"",J2941,CuentaPred&amp;""))</f>
        <v/>
      </c>
      <c r="R2941" s="52">
        <f>IF(P2941="","",IF(ISNUMBER(I2941),I2941,TasaUSD))</f>
        <v/>
      </c>
      <c r="S2941" s="53">
        <f>IF(P2941="","",IF(H2941="USD",G2941*R2941,G2941))</f>
        <v/>
      </c>
      <c r="T2941" s="53">
        <f>IF(P2941="","",IF(H2941="USD",G2941,IF(R2941&gt;0,G2941/R2941,0)))</f>
        <v/>
      </c>
      <c r="U2941" s="53">
        <f>IF(P2941="","",IF(P2941="Gasto",S2941,IF(P2941="Reembolso",-S2941,0)))</f>
        <v/>
      </c>
      <c r="V2941" s="53">
        <f>IF(P2941="","",IF(P2941="Ingreso",S2941,0))</f>
        <v/>
      </c>
      <c r="W2941" s="53">
        <f>IF(P2941="","",IF(P2941="Resultado trading",S2941,0))</f>
        <v/>
      </c>
      <c r="X2941" s="52">
        <f>IF(OR(P2941="Gasto",P2941="Reembolso"),IF(M2941&lt;&gt;"",M2941,IFERROR(INDEX(catClasif,MATCH(D2941&amp;"|"&amp;E2941,catClave,0))&amp;"","Variable")),"")</f>
        <v/>
      </c>
      <c r="Y2941" s="52">
        <f>IF(P2941="","",IFERROR(INDEX(catGrupo,MATCH(D2941&amp;"|"&amp;E2941,catClave,0))&amp;"",""))</f>
        <v/>
      </c>
      <c r="Z2941" s="52">
        <f>IF(P2941="","",WEEKDAY(B2941,2))</f>
        <v/>
      </c>
      <c r="AA2941" s="52">
        <f>IF(P2941="","",IF(AND(P2941="Gasto",X2941="Variable",D2941&lt;&gt;catTrading,S2941&gt;0,S2941&lt;=Umbral),1,0))</f>
        <v/>
      </c>
      <c r="AB2941" s="52">
        <f>IF(OR(P2941="",Q2941=""),"",IFERROR(IF(INDEX(ctaVinc,MATCH(Q2941,ctaNombre,0))&amp;""&lt;&gt;"",INDEX(ctaVinc,MATCH(Q2941,ctaNombre,0))&amp;"",Q2941),Q2941))</f>
        <v/>
      </c>
      <c r="AC2941" s="52">
        <f>IF(OR(K2941="",AND(P2941&lt;&gt;"Transferencia",P2941&lt;&gt;"Pago tarjeta")),"",IFERROR(IF(INDEX(ctaVinc,MATCH(K2941,ctaNombre,0))&amp;""&lt;&gt;"",INDEX(ctaVinc,MATCH(K2941,ctaNombre,0))&amp;"",K2941),K2941))</f>
        <v/>
      </c>
      <c r="AD2941" s="52">
        <f>IF(AB2941="","",IFERROR(INDEX(ctaTipo,MATCH(AB2941,ctaNombre,0))&amp;"",""))</f>
        <v/>
      </c>
      <c r="AE2941" s="52">
        <f>IF(AC2941="","",IFERROR(INDEX(ctaTipo,MATCH(AC2941,ctaNombre,0))&amp;"",""))</f>
        <v/>
      </c>
      <c r="AF2941" s="53">
        <f>IF(OR(P2941="",AB2941=""),"",IF(OR(P2941="Gasto",P2941="Transferencia",P2941="Pago tarjeta"),-1,1)*IF(IFERROR(INDEX(ctaMoneda,MATCH(AB2941,ctaNombre,0))&amp;"","DOP")="USD",T2941,S2941))</f>
        <v/>
      </c>
      <c r="AG2941" s="53">
        <f>IF(AC2941="","",IF(IFERROR(INDEX(ctaMoneda,MATCH(AC2941,ctaNombre,0))&amp;"","DOP")="USD",T2941,S2941))</f>
        <v/>
      </c>
      <c r="AH2941" s="53">
        <f>IF(P2941="","",IF(AND(AD2941&lt;&gt;"",COUNTIFS(tcTipo,AD2941,tcLiq,"Sí")&gt;0),IF(OR(P2941="Gasto",P2941="Transferencia",P2941="Pago tarjeta"),-1,1)*S2941,0)+IF(AND(AE2941&lt;&gt;"",COUNTIFS(tcTipo,AE2941,tcLiq,"Sí")&gt;0),S2941,0))</f>
        <v/>
      </c>
      <c r="AI2941" s="52">
        <f>IF(OR(L2941="",P2941=""),"",IF(COUNTIFS(L$6:L2941,L2941,P$6:P2941,"?*")=1,MAX(AI$5:AI2940)+1,""))</f>
        <v/>
      </c>
    </row>
    <row r="2942">
      <c r="B2942" s="47" t="n"/>
      <c r="C2942" s="48" t="n"/>
      <c r="D2942" s="48" t="n"/>
      <c r="E2942" s="48" t="n"/>
      <c r="F2942" s="48" t="n"/>
      <c r="G2942" s="49" t="n"/>
      <c r="H2942" s="48" t="n"/>
      <c r="I2942" s="50" t="n"/>
      <c r="J2942" s="48" t="n"/>
      <c r="K2942" s="48" t="n"/>
      <c r="L2942" s="48" t="n"/>
      <c r="M2942" s="48" t="n"/>
      <c r="N2942" s="48" t="n"/>
      <c r="O2942" s="51">
        <f>IF(AND(B2942="",G2942="",C2942="",D2942="",J2942=""),"",IF(B2942="","⚠ Falta fecha",IF(G2942="","⚠ Falta monto",IF(Q2942="","⚠ Falta cuenta",IF(ISNA(MATCH(Q2942,ctaNombre,0)),"⚠ Cuenta no registrada",IF(AND(OR(P2942="Gasto",P2942="Reembolso"),D2942=""),"⚠ Falta categoría",IF(AND(D2942&lt;&gt;"",E2942&lt;&gt;"",ISNA(MATCH(D2942&amp;"|"&amp;E2942,catClave,0))),"⚠ Subcategoría no corresponde",IF(AND(OR(P2942="Transferencia",P2942="Pago tarjeta"),K2942=""),"⚠ Falta cuenta destino",IF(AND(K2942&lt;&gt;"",P2942&lt;&gt;"Transferencia",P2942&lt;&gt;"Pago tarjeta"),"⚠ Destino solo aplica a transferencias",IF(AND(K2942&lt;&gt;"",K2942=Q2942),"⚠ Origen igual a destino",IF(AND(K2942&lt;&gt;"",ISNA(MATCH(K2942,ctaNombre,0))),"⚠ Destino no registrado",IF(AND(P2942="Pago tarjeta",AE2942&lt;&gt;"Tarjeta de crédito"),"⚠ El destino debe ser tarjeta de crédito",IF(AND(P2942="Gasto",E2942="Depósitos y retiros"),"⚠ Usa tipo Transferencia",IF(AND(P2942="Resultado trading",AD2942&lt;&gt;"Cuenta de trading"),"⚠ Usa una cuenta de trading",IF(AND(G2942&lt;=0,P2942&lt;&gt;"Ajuste",P2942&lt;&gt;"Resultado trading"),"⚠ El monto debe ser positivo","✓")))))))))))))))</f>
        <v/>
      </c>
      <c r="P2942" s="52">
        <f>IF(OR(B2942="",G2942=""),"",IF(C2942="","Gasto",C2942))</f>
        <v/>
      </c>
      <c r="Q2942" s="52">
        <f>IF(P2942="","",IF(J2942&lt;&gt;"",J2942,CuentaPred&amp;""))</f>
        <v/>
      </c>
      <c r="R2942" s="52">
        <f>IF(P2942="","",IF(ISNUMBER(I2942),I2942,TasaUSD))</f>
        <v/>
      </c>
      <c r="S2942" s="53">
        <f>IF(P2942="","",IF(H2942="USD",G2942*R2942,G2942))</f>
        <v/>
      </c>
      <c r="T2942" s="53">
        <f>IF(P2942="","",IF(H2942="USD",G2942,IF(R2942&gt;0,G2942/R2942,0)))</f>
        <v/>
      </c>
      <c r="U2942" s="53">
        <f>IF(P2942="","",IF(P2942="Gasto",S2942,IF(P2942="Reembolso",-S2942,0)))</f>
        <v/>
      </c>
      <c r="V2942" s="53">
        <f>IF(P2942="","",IF(P2942="Ingreso",S2942,0))</f>
        <v/>
      </c>
      <c r="W2942" s="53">
        <f>IF(P2942="","",IF(P2942="Resultado trading",S2942,0))</f>
        <v/>
      </c>
      <c r="X2942" s="52">
        <f>IF(OR(P2942="Gasto",P2942="Reembolso"),IF(M2942&lt;&gt;"",M2942,IFERROR(INDEX(catClasif,MATCH(D2942&amp;"|"&amp;E2942,catClave,0))&amp;"","Variable")),"")</f>
        <v/>
      </c>
      <c r="Y2942" s="52">
        <f>IF(P2942="","",IFERROR(INDEX(catGrupo,MATCH(D2942&amp;"|"&amp;E2942,catClave,0))&amp;"",""))</f>
        <v/>
      </c>
      <c r="Z2942" s="52">
        <f>IF(P2942="","",WEEKDAY(B2942,2))</f>
        <v/>
      </c>
      <c r="AA2942" s="52">
        <f>IF(P2942="","",IF(AND(P2942="Gasto",X2942="Variable",D2942&lt;&gt;catTrading,S2942&gt;0,S2942&lt;=Umbral),1,0))</f>
        <v/>
      </c>
      <c r="AB2942" s="52">
        <f>IF(OR(P2942="",Q2942=""),"",IFERROR(IF(INDEX(ctaVinc,MATCH(Q2942,ctaNombre,0))&amp;""&lt;&gt;"",INDEX(ctaVinc,MATCH(Q2942,ctaNombre,0))&amp;"",Q2942),Q2942))</f>
        <v/>
      </c>
      <c r="AC2942" s="52">
        <f>IF(OR(K2942="",AND(P2942&lt;&gt;"Transferencia",P2942&lt;&gt;"Pago tarjeta")),"",IFERROR(IF(INDEX(ctaVinc,MATCH(K2942,ctaNombre,0))&amp;""&lt;&gt;"",INDEX(ctaVinc,MATCH(K2942,ctaNombre,0))&amp;"",K2942),K2942))</f>
        <v/>
      </c>
      <c r="AD2942" s="52">
        <f>IF(AB2942="","",IFERROR(INDEX(ctaTipo,MATCH(AB2942,ctaNombre,0))&amp;"",""))</f>
        <v/>
      </c>
      <c r="AE2942" s="52">
        <f>IF(AC2942="","",IFERROR(INDEX(ctaTipo,MATCH(AC2942,ctaNombre,0))&amp;"",""))</f>
        <v/>
      </c>
      <c r="AF2942" s="53">
        <f>IF(OR(P2942="",AB2942=""),"",IF(OR(P2942="Gasto",P2942="Transferencia",P2942="Pago tarjeta"),-1,1)*IF(IFERROR(INDEX(ctaMoneda,MATCH(AB2942,ctaNombre,0))&amp;"","DOP")="USD",T2942,S2942))</f>
        <v/>
      </c>
      <c r="AG2942" s="53">
        <f>IF(AC2942="","",IF(IFERROR(INDEX(ctaMoneda,MATCH(AC2942,ctaNombre,0))&amp;"","DOP")="USD",T2942,S2942))</f>
        <v/>
      </c>
      <c r="AH2942" s="53">
        <f>IF(P2942="","",IF(AND(AD2942&lt;&gt;"",COUNTIFS(tcTipo,AD2942,tcLiq,"Sí")&gt;0),IF(OR(P2942="Gasto",P2942="Transferencia",P2942="Pago tarjeta"),-1,1)*S2942,0)+IF(AND(AE2942&lt;&gt;"",COUNTIFS(tcTipo,AE2942,tcLiq,"Sí")&gt;0),S2942,0))</f>
        <v/>
      </c>
      <c r="AI2942" s="52">
        <f>IF(OR(L2942="",P2942=""),"",IF(COUNTIFS(L$6:L2942,L2942,P$6:P2942,"?*")=1,MAX(AI$5:AI2941)+1,""))</f>
        <v/>
      </c>
    </row>
    <row r="2943">
      <c r="B2943" s="47" t="n"/>
      <c r="C2943" s="48" t="n"/>
      <c r="D2943" s="48" t="n"/>
      <c r="E2943" s="48" t="n"/>
      <c r="F2943" s="48" t="n"/>
      <c r="G2943" s="49" t="n"/>
      <c r="H2943" s="48" t="n"/>
      <c r="I2943" s="50" t="n"/>
      <c r="J2943" s="48" t="n"/>
      <c r="K2943" s="48" t="n"/>
      <c r="L2943" s="48" t="n"/>
      <c r="M2943" s="48" t="n"/>
      <c r="N2943" s="48" t="n"/>
      <c r="O2943" s="51">
        <f>IF(AND(B2943="",G2943="",C2943="",D2943="",J2943=""),"",IF(B2943="","⚠ Falta fecha",IF(G2943="","⚠ Falta monto",IF(Q2943="","⚠ Falta cuenta",IF(ISNA(MATCH(Q2943,ctaNombre,0)),"⚠ Cuenta no registrada",IF(AND(OR(P2943="Gasto",P2943="Reembolso"),D2943=""),"⚠ Falta categoría",IF(AND(D2943&lt;&gt;"",E2943&lt;&gt;"",ISNA(MATCH(D2943&amp;"|"&amp;E2943,catClave,0))),"⚠ Subcategoría no corresponde",IF(AND(OR(P2943="Transferencia",P2943="Pago tarjeta"),K2943=""),"⚠ Falta cuenta destino",IF(AND(K2943&lt;&gt;"",P2943&lt;&gt;"Transferencia",P2943&lt;&gt;"Pago tarjeta"),"⚠ Destino solo aplica a transferencias",IF(AND(K2943&lt;&gt;"",K2943=Q2943),"⚠ Origen igual a destino",IF(AND(K2943&lt;&gt;"",ISNA(MATCH(K2943,ctaNombre,0))),"⚠ Destino no registrado",IF(AND(P2943="Pago tarjeta",AE2943&lt;&gt;"Tarjeta de crédito"),"⚠ El destino debe ser tarjeta de crédito",IF(AND(P2943="Gasto",E2943="Depósitos y retiros"),"⚠ Usa tipo Transferencia",IF(AND(P2943="Resultado trading",AD2943&lt;&gt;"Cuenta de trading"),"⚠ Usa una cuenta de trading",IF(AND(G2943&lt;=0,P2943&lt;&gt;"Ajuste",P2943&lt;&gt;"Resultado trading"),"⚠ El monto debe ser positivo","✓")))))))))))))))</f>
        <v/>
      </c>
      <c r="P2943" s="52">
        <f>IF(OR(B2943="",G2943=""),"",IF(C2943="","Gasto",C2943))</f>
        <v/>
      </c>
      <c r="Q2943" s="52">
        <f>IF(P2943="","",IF(J2943&lt;&gt;"",J2943,CuentaPred&amp;""))</f>
        <v/>
      </c>
      <c r="R2943" s="52">
        <f>IF(P2943="","",IF(ISNUMBER(I2943),I2943,TasaUSD))</f>
        <v/>
      </c>
      <c r="S2943" s="53">
        <f>IF(P2943="","",IF(H2943="USD",G2943*R2943,G2943))</f>
        <v/>
      </c>
      <c r="T2943" s="53">
        <f>IF(P2943="","",IF(H2943="USD",G2943,IF(R2943&gt;0,G2943/R2943,0)))</f>
        <v/>
      </c>
      <c r="U2943" s="53">
        <f>IF(P2943="","",IF(P2943="Gasto",S2943,IF(P2943="Reembolso",-S2943,0)))</f>
        <v/>
      </c>
      <c r="V2943" s="53">
        <f>IF(P2943="","",IF(P2943="Ingreso",S2943,0))</f>
        <v/>
      </c>
      <c r="W2943" s="53">
        <f>IF(P2943="","",IF(P2943="Resultado trading",S2943,0))</f>
        <v/>
      </c>
      <c r="X2943" s="52">
        <f>IF(OR(P2943="Gasto",P2943="Reembolso"),IF(M2943&lt;&gt;"",M2943,IFERROR(INDEX(catClasif,MATCH(D2943&amp;"|"&amp;E2943,catClave,0))&amp;"","Variable")),"")</f>
        <v/>
      </c>
      <c r="Y2943" s="52">
        <f>IF(P2943="","",IFERROR(INDEX(catGrupo,MATCH(D2943&amp;"|"&amp;E2943,catClave,0))&amp;"",""))</f>
        <v/>
      </c>
      <c r="Z2943" s="52">
        <f>IF(P2943="","",WEEKDAY(B2943,2))</f>
        <v/>
      </c>
      <c r="AA2943" s="52">
        <f>IF(P2943="","",IF(AND(P2943="Gasto",X2943="Variable",D2943&lt;&gt;catTrading,S2943&gt;0,S2943&lt;=Umbral),1,0))</f>
        <v/>
      </c>
      <c r="AB2943" s="52">
        <f>IF(OR(P2943="",Q2943=""),"",IFERROR(IF(INDEX(ctaVinc,MATCH(Q2943,ctaNombre,0))&amp;""&lt;&gt;"",INDEX(ctaVinc,MATCH(Q2943,ctaNombre,0))&amp;"",Q2943),Q2943))</f>
        <v/>
      </c>
      <c r="AC2943" s="52">
        <f>IF(OR(K2943="",AND(P2943&lt;&gt;"Transferencia",P2943&lt;&gt;"Pago tarjeta")),"",IFERROR(IF(INDEX(ctaVinc,MATCH(K2943,ctaNombre,0))&amp;""&lt;&gt;"",INDEX(ctaVinc,MATCH(K2943,ctaNombre,0))&amp;"",K2943),K2943))</f>
        <v/>
      </c>
      <c r="AD2943" s="52">
        <f>IF(AB2943="","",IFERROR(INDEX(ctaTipo,MATCH(AB2943,ctaNombre,0))&amp;"",""))</f>
        <v/>
      </c>
      <c r="AE2943" s="52">
        <f>IF(AC2943="","",IFERROR(INDEX(ctaTipo,MATCH(AC2943,ctaNombre,0))&amp;"",""))</f>
        <v/>
      </c>
      <c r="AF2943" s="53">
        <f>IF(OR(P2943="",AB2943=""),"",IF(OR(P2943="Gasto",P2943="Transferencia",P2943="Pago tarjeta"),-1,1)*IF(IFERROR(INDEX(ctaMoneda,MATCH(AB2943,ctaNombre,0))&amp;"","DOP")="USD",T2943,S2943))</f>
        <v/>
      </c>
      <c r="AG2943" s="53">
        <f>IF(AC2943="","",IF(IFERROR(INDEX(ctaMoneda,MATCH(AC2943,ctaNombre,0))&amp;"","DOP")="USD",T2943,S2943))</f>
        <v/>
      </c>
      <c r="AH2943" s="53">
        <f>IF(P2943="","",IF(AND(AD2943&lt;&gt;"",COUNTIFS(tcTipo,AD2943,tcLiq,"Sí")&gt;0),IF(OR(P2943="Gasto",P2943="Transferencia",P2943="Pago tarjeta"),-1,1)*S2943,0)+IF(AND(AE2943&lt;&gt;"",COUNTIFS(tcTipo,AE2943,tcLiq,"Sí")&gt;0),S2943,0))</f>
        <v/>
      </c>
      <c r="AI2943" s="52">
        <f>IF(OR(L2943="",P2943=""),"",IF(COUNTIFS(L$6:L2943,L2943,P$6:P2943,"?*")=1,MAX(AI$5:AI2942)+1,""))</f>
        <v/>
      </c>
    </row>
    <row r="2944">
      <c r="B2944" s="47" t="n"/>
      <c r="C2944" s="48" t="n"/>
      <c r="D2944" s="48" t="n"/>
      <c r="E2944" s="48" t="n"/>
      <c r="F2944" s="48" t="n"/>
      <c r="G2944" s="49" t="n"/>
      <c r="H2944" s="48" t="n"/>
      <c r="I2944" s="50" t="n"/>
      <c r="J2944" s="48" t="n"/>
      <c r="K2944" s="48" t="n"/>
      <c r="L2944" s="48" t="n"/>
      <c r="M2944" s="48" t="n"/>
      <c r="N2944" s="48" t="n"/>
      <c r="O2944" s="51">
        <f>IF(AND(B2944="",G2944="",C2944="",D2944="",J2944=""),"",IF(B2944="","⚠ Falta fecha",IF(G2944="","⚠ Falta monto",IF(Q2944="","⚠ Falta cuenta",IF(ISNA(MATCH(Q2944,ctaNombre,0)),"⚠ Cuenta no registrada",IF(AND(OR(P2944="Gasto",P2944="Reembolso"),D2944=""),"⚠ Falta categoría",IF(AND(D2944&lt;&gt;"",E2944&lt;&gt;"",ISNA(MATCH(D2944&amp;"|"&amp;E2944,catClave,0))),"⚠ Subcategoría no corresponde",IF(AND(OR(P2944="Transferencia",P2944="Pago tarjeta"),K2944=""),"⚠ Falta cuenta destino",IF(AND(K2944&lt;&gt;"",P2944&lt;&gt;"Transferencia",P2944&lt;&gt;"Pago tarjeta"),"⚠ Destino solo aplica a transferencias",IF(AND(K2944&lt;&gt;"",K2944=Q2944),"⚠ Origen igual a destino",IF(AND(K2944&lt;&gt;"",ISNA(MATCH(K2944,ctaNombre,0))),"⚠ Destino no registrado",IF(AND(P2944="Pago tarjeta",AE2944&lt;&gt;"Tarjeta de crédito"),"⚠ El destino debe ser tarjeta de crédito",IF(AND(P2944="Gasto",E2944="Depósitos y retiros"),"⚠ Usa tipo Transferencia",IF(AND(P2944="Resultado trading",AD2944&lt;&gt;"Cuenta de trading"),"⚠ Usa una cuenta de trading",IF(AND(G2944&lt;=0,P2944&lt;&gt;"Ajuste",P2944&lt;&gt;"Resultado trading"),"⚠ El monto debe ser positivo","✓")))))))))))))))</f>
        <v/>
      </c>
      <c r="P2944" s="52">
        <f>IF(OR(B2944="",G2944=""),"",IF(C2944="","Gasto",C2944))</f>
        <v/>
      </c>
      <c r="Q2944" s="52">
        <f>IF(P2944="","",IF(J2944&lt;&gt;"",J2944,CuentaPred&amp;""))</f>
        <v/>
      </c>
      <c r="R2944" s="52">
        <f>IF(P2944="","",IF(ISNUMBER(I2944),I2944,TasaUSD))</f>
        <v/>
      </c>
      <c r="S2944" s="53">
        <f>IF(P2944="","",IF(H2944="USD",G2944*R2944,G2944))</f>
        <v/>
      </c>
      <c r="T2944" s="53">
        <f>IF(P2944="","",IF(H2944="USD",G2944,IF(R2944&gt;0,G2944/R2944,0)))</f>
        <v/>
      </c>
      <c r="U2944" s="53">
        <f>IF(P2944="","",IF(P2944="Gasto",S2944,IF(P2944="Reembolso",-S2944,0)))</f>
        <v/>
      </c>
      <c r="V2944" s="53">
        <f>IF(P2944="","",IF(P2944="Ingreso",S2944,0))</f>
        <v/>
      </c>
      <c r="W2944" s="53">
        <f>IF(P2944="","",IF(P2944="Resultado trading",S2944,0))</f>
        <v/>
      </c>
      <c r="X2944" s="52">
        <f>IF(OR(P2944="Gasto",P2944="Reembolso"),IF(M2944&lt;&gt;"",M2944,IFERROR(INDEX(catClasif,MATCH(D2944&amp;"|"&amp;E2944,catClave,0))&amp;"","Variable")),"")</f>
        <v/>
      </c>
      <c r="Y2944" s="52">
        <f>IF(P2944="","",IFERROR(INDEX(catGrupo,MATCH(D2944&amp;"|"&amp;E2944,catClave,0))&amp;"",""))</f>
        <v/>
      </c>
      <c r="Z2944" s="52">
        <f>IF(P2944="","",WEEKDAY(B2944,2))</f>
        <v/>
      </c>
      <c r="AA2944" s="52">
        <f>IF(P2944="","",IF(AND(P2944="Gasto",X2944="Variable",D2944&lt;&gt;catTrading,S2944&gt;0,S2944&lt;=Umbral),1,0))</f>
        <v/>
      </c>
      <c r="AB2944" s="52">
        <f>IF(OR(P2944="",Q2944=""),"",IFERROR(IF(INDEX(ctaVinc,MATCH(Q2944,ctaNombre,0))&amp;""&lt;&gt;"",INDEX(ctaVinc,MATCH(Q2944,ctaNombre,0))&amp;"",Q2944),Q2944))</f>
        <v/>
      </c>
      <c r="AC2944" s="52">
        <f>IF(OR(K2944="",AND(P2944&lt;&gt;"Transferencia",P2944&lt;&gt;"Pago tarjeta")),"",IFERROR(IF(INDEX(ctaVinc,MATCH(K2944,ctaNombre,0))&amp;""&lt;&gt;"",INDEX(ctaVinc,MATCH(K2944,ctaNombre,0))&amp;"",K2944),K2944))</f>
        <v/>
      </c>
      <c r="AD2944" s="52">
        <f>IF(AB2944="","",IFERROR(INDEX(ctaTipo,MATCH(AB2944,ctaNombre,0))&amp;"",""))</f>
        <v/>
      </c>
      <c r="AE2944" s="52">
        <f>IF(AC2944="","",IFERROR(INDEX(ctaTipo,MATCH(AC2944,ctaNombre,0))&amp;"",""))</f>
        <v/>
      </c>
      <c r="AF2944" s="53">
        <f>IF(OR(P2944="",AB2944=""),"",IF(OR(P2944="Gasto",P2944="Transferencia",P2944="Pago tarjeta"),-1,1)*IF(IFERROR(INDEX(ctaMoneda,MATCH(AB2944,ctaNombre,0))&amp;"","DOP")="USD",T2944,S2944))</f>
        <v/>
      </c>
      <c r="AG2944" s="53">
        <f>IF(AC2944="","",IF(IFERROR(INDEX(ctaMoneda,MATCH(AC2944,ctaNombre,0))&amp;"","DOP")="USD",T2944,S2944))</f>
        <v/>
      </c>
      <c r="AH2944" s="53">
        <f>IF(P2944="","",IF(AND(AD2944&lt;&gt;"",COUNTIFS(tcTipo,AD2944,tcLiq,"Sí")&gt;0),IF(OR(P2944="Gasto",P2944="Transferencia",P2944="Pago tarjeta"),-1,1)*S2944,0)+IF(AND(AE2944&lt;&gt;"",COUNTIFS(tcTipo,AE2944,tcLiq,"Sí")&gt;0),S2944,0))</f>
        <v/>
      </c>
      <c r="AI2944" s="52">
        <f>IF(OR(L2944="",P2944=""),"",IF(COUNTIFS(L$6:L2944,L2944,P$6:P2944,"?*")=1,MAX(AI$5:AI2943)+1,""))</f>
        <v/>
      </c>
    </row>
    <row r="2945">
      <c r="B2945" s="47" t="n"/>
      <c r="C2945" s="48" t="n"/>
      <c r="D2945" s="48" t="n"/>
      <c r="E2945" s="48" t="n"/>
      <c r="F2945" s="48" t="n"/>
      <c r="G2945" s="49" t="n"/>
      <c r="H2945" s="48" t="n"/>
      <c r="I2945" s="50" t="n"/>
      <c r="J2945" s="48" t="n"/>
      <c r="K2945" s="48" t="n"/>
      <c r="L2945" s="48" t="n"/>
      <c r="M2945" s="48" t="n"/>
      <c r="N2945" s="48" t="n"/>
      <c r="O2945" s="51">
        <f>IF(AND(B2945="",G2945="",C2945="",D2945="",J2945=""),"",IF(B2945="","⚠ Falta fecha",IF(G2945="","⚠ Falta monto",IF(Q2945="","⚠ Falta cuenta",IF(ISNA(MATCH(Q2945,ctaNombre,0)),"⚠ Cuenta no registrada",IF(AND(OR(P2945="Gasto",P2945="Reembolso"),D2945=""),"⚠ Falta categoría",IF(AND(D2945&lt;&gt;"",E2945&lt;&gt;"",ISNA(MATCH(D2945&amp;"|"&amp;E2945,catClave,0))),"⚠ Subcategoría no corresponde",IF(AND(OR(P2945="Transferencia",P2945="Pago tarjeta"),K2945=""),"⚠ Falta cuenta destino",IF(AND(K2945&lt;&gt;"",P2945&lt;&gt;"Transferencia",P2945&lt;&gt;"Pago tarjeta"),"⚠ Destino solo aplica a transferencias",IF(AND(K2945&lt;&gt;"",K2945=Q2945),"⚠ Origen igual a destino",IF(AND(K2945&lt;&gt;"",ISNA(MATCH(K2945,ctaNombre,0))),"⚠ Destino no registrado",IF(AND(P2945="Pago tarjeta",AE2945&lt;&gt;"Tarjeta de crédito"),"⚠ El destino debe ser tarjeta de crédito",IF(AND(P2945="Gasto",E2945="Depósitos y retiros"),"⚠ Usa tipo Transferencia",IF(AND(P2945="Resultado trading",AD2945&lt;&gt;"Cuenta de trading"),"⚠ Usa una cuenta de trading",IF(AND(G2945&lt;=0,P2945&lt;&gt;"Ajuste",P2945&lt;&gt;"Resultado trading"),"⚠ El monto debe ser positivo","✓")))))))))))))))</f>
        <v/>
      </c>
      <c r="P2945" s="52">
        <f>IF(OR(B2945="",G2945=""),"",IF(C2945="","Gasto",C2945))</f>
        <v/>
      </c>
      <c r="Q2945" s="52">
        <f>IF(P2945="","",IF(J2945&lt;&gt;"",J2945,CuentaPred&amp;""))</f>
        <v/>
      </c>
      <c r="R2945" s="52">
        <f>IF(P2945="","",IF(ISNUMBER(I2945),I2945,TasaUSD))</f>
        <v/>
      </c>
      <c r="S2945" s="53">
        <f>IF(P2945="","",IF(H2945="USD",G2945*R2945,G2945))</f>
        <v/>
      </c>
      <c r="T2945" s="53">
        <f>IF(P2945="","",IF(H2945="USD",G2945,IF(R2945&gt;0,G2945/R2945,0)))</f>
        <v/>
      </c>
      <c r="U2945" s="53">
        <f>IF(P2945="","",IF(P2945="Gasto",S2945,IF(P2945="Reembolso",-S2945,0)))</f>
        <v/>
      </c>
      <c r="V2945" s="53">
        <f>IF(P2945="","",IF(P2945="Ingreso",S2945,0))</f>
        <v/>
      </c>
      <c r="W2945" s="53">
        <f>IF(P2945="","",IF(P2945="Resultado trading",S2945,0))</f>
        <v/>
      </c>
      <c r="X2945" s="52">
        <f>IF(OR(P2945="Gasto",P2945="Reembolso"),IF(M2945&lt;&gt;"",M2945,IFERROR(INDEX(catClasif,MATCH(D2945&amp;"|"&amp;E2945,catClave,0))&amp;"","Variable")),"")</f>
        <v/>
      </c>
      <c r="Y2945" s="52">
        <f>IF(P2945="","",IFERROR(INDEX(catGrupo,MATCH(D2945&amp;"|"&amp;E2945,catClave,0))&amp;"",""))</f>
        <v/>
      </c>
      <c r="Z2945" s="52">
        <f>IF(P2945="","",WEEKDAY(B2945,2))</f>
        <v/>
      </c>
      <c r="AA2945" s="52">
        <f>IF(P2945="","",IF(AND(P2945="Gasto",X2945="Variable",D2945&lt;&gt;catTrading,S2945&gt;0,S2945&lt;=Umbral),1,0))</f>
        <v/>
      </c>
      <c r="AB2945" s="52">
        <f>IF(OR(P2945="",Q2945=""),"",IFERROR(IF(INDEX(ctaVinc,MATCH(Q2945,ctaNombre,0))&amp;""&lt;&gt;"",INDEX(ctaVinc,MATCH(Q2945,ctaNombre,0))&amp;"",Q2945),Q2945))</f>
        <v/>
      </c>
      <c r="AC2945" s="52">
        <f>IF(OR(K2945="",AND(P2945&lt;&gt;"Transferencia",P2945&lt;&gt;"Pago tarjeta")),"",IFERROR(IF(INDEX(ctaVinc,MATCH(K2945,ctaNombre,0))&amp;""&lt;&gt;"",INDEX(ctaVinc,MATCH(K2945,ctaNombre,0))&amp;"",K2945),K2945))</f>
        <v/>
      </c>
      <c r="AD2945" s="52">
        <f>IF(AB2945="","",IFERROR(INDEX(ctaTipo,MATCH(AB2945,ctaNombre,0))&amp;"",""))</f>
        <v/>
      </c>
      <c r="AE2945" s="52">
        <f>IF(AC2945="","",IFERROR(INDEX(ctaTipo,MATCH(AC2945,ctaNombre,0))&amp;"",""))</f>
        <v/>
      </c>
      <c r="AF2945" s="53">
        <f>IF(OR(P2945="",AB2945=""),"",IF(OR(P2945="Gasto",P2945="Transferencia",P2945="Pago tarjeta"),-1,1)*IF(IFERROR(INDEX(ctaMoneda,MATCH(AB2945,ctaNombre,0))&amp;"","DOP")="USD",T2945,S2945))</f>
        <v/>
      </c>
      <c r="AG2945" s="53">
        <f>IF(AC2945="","",IF(IFERROR(INDEX(ctaMoneda,MATCH(AC2945,ctaNombre,0))&amp;"","DOP")="USD",T2945,S2945))</f>
        <v/>
      </c>
      <c r="AH2945" s="53">
        <f>IF(P2945="","",IF(AND(AD2945&lt;&gt;"",COUNTIFS(tcTipo,AD2945,tcLiq,"Sí")&gt;0),IF(OR(P2945="Gasto",P2945="Transferencia",P2945="Pago tarjeta"),-1,1)*S2945,0)+IF(AND(AE2945&lt;&gt;"",COUNTIFS(tcTipo,AE2945,tcLiq,"Sí")&gt;0),S2945,0))</f>
        <v/>
      </c>
      <c r="AI2945" s="52">
        <f>IF(OR(L2945="",P2945=""),"",IF(COUNTIFS(L$6:L2945,L2945,P$6:P2945,"?*")=1,MAX(AI$5:AI2944)+1,""))</f>
        <v/>
      </c>
    </row>
    <row r="2946">
      <c r="B2946" s="47" t="n"/>
      <c r="C2946" s="48" t="n"/>
      <c r="D2946" s="48" t="n"/>
      <c r="E2946" s="48" t="n"/>
      <c r="F2946" s="48" t="n"/>
      <c r="G2946" s="49" t="n"/>
      <c r="H2946" s="48" t="n"/>
      <c r="I2946" s="50" t="n"/>
      <c r="J2946" s="48" t="n"/>
      <c r="K2946" s="48" t="n"/>
      <c r="L2946" s="48" t="n"/>
      <c r="M2946" s="48" t="n"/>
      <c r="N2946" s="48" t="n"/>
      <c r="O2946" s="51">
        <f>IF(AND(B2946="",G2946="",C2946="",D2946="",J2946=""),"",IF(B2946="","⚠ Falta fecha",IF(G2946="","⚠ Falta monto",IF(Q2946="","⚠ Falta cuenta",IF(ISNA(MATCH(Q2946,ctaNombre,0)),"⚠ Cuenta no registrada",IF(AND(OR(P2946="Gasto",P2946="Reembolso"),D2946=""),"⚠ Falta categoría",IF(AND(D2946&lt;&gt;"",E2946&lt;&gt;"",ISNA(MATCH(D2946&amp;"|"&amp;E2946,catClave,0))),"⚠ Subcategoría no corresponde",IF(AND(OR(P2946="Transferencia",P2946="Pago tarjeta"),K2946=""),"⚠ Falta cuenta destino",IF(AND(K2946&lt;&gt;"",P2946&lt;&gt;"Transferencia",P2946&lt;&gt;"Pago tarjeta"),"⚠ Destino solo aplica a transferencias",IF(AND(K2946&lt;&gt;"",K2946=Q2946),"⚠ Origen igual a destino",IF(AND(K2946&lt;&gt;"",ISNA(MATCH(K2946,ctaNombre,0))),"⚠ Destino no registrado",IF(AND(P2946="Pago tarjeta",AE2946&lt;&gt;"Tarjeta de crédito"),"⚠ El destino debe ser tarjeta de crédito",IF(AND(P2946="Gasto",E2946="Depósitos y retiros"),"⚠ Usa tipo Transferencia",IF(AND(P2946="Resultado trading",AD2946&lt;&gt;"Cuenta de trading"),"⚠ Usa una cuenta de trading",IF(AND(G2946&lt;=0,P2946&lt;&gt;"Ajuste",P2946&lt;&gt;"Resultado trading"),"⚠ El monto debe ser positivo","✓")))))))))))))))</f>
        <v/>
      </c>
      <c r="P2946" s="52">
        <f>IF(OR(B2946="",G2946=""),"",IF(C2946="","Gasto",C2946))</f>
        <v/>
      </c>
      <c r="Q2946" s="52">
        <f>IF(P2946="","",IF(J2946&lt;&gt;"",J2946,CuentaPred&amp;""))</f>
        <v/>
      </c>
      <c r="R2946" s="52">
        <f>IF(P2946="","",IF(ISNUMBER(I2946),I2946,TasaUSD))</f>
        <v/>
      </c>
      <c r="S2946" s="53">
        <f>IF(P2946="","",IF(H2946="USD",G2946*R2946,G2946))</f>
        <v/>
      </c>
      <c r="T2946" s="53">
        <f>IF(P2946="","",IF(H2946="USD",G2946,IF(R2946&gt;0,G2946/R2946,0)))</f>
        <v/>
      </c>
      <c r="U2946" s="53">
        <f>IF(P2946="","",IF(P2946="Gasto",S2946,IF(P2946="Reembolso",-S2946,0)))</f>
        <v/>
      </c>
      <c r="V2946" s="53">
        <f>IF(P2946="","",IF(P2946="Ingreso",S2946,0))</f>
        <v/>
      </c>
      <c r="W2946" s="53">
        <f>IF(P2946="","",IF(P2946="Resultado trading",S2946,0))</f>
        <v/>
      </c>
      <c r="X2946" s="52">
        <f>IF(OR(P2946="Gasto",P2946="Reembolso"),IF(M2946&lt;&gt;"",M2946,IFERROR(INDEX(catClasif,MATCH(D2946&amp;"|"&amp;E2946,catClave,0))&amp;"","Variable")),"")</f>
        <v/>
      </c>
      <c r="Y2946" s="52">
        <f>IF(P2946="","",IFERROR(INDEX(catGrupo,MATCH(D2946&amp;"|"&amp;E2946,catClave,0))&amp;"",""))</f>
        <v/>
      </c>
      <c r="Z2946" s="52">
        <f>IF(P2946="","",WEEKDAY(B2946,2))</f>
        <v/>
      </c>
      <c r="AA2946" s="52">
        <f>IF(P2946="","",IF(AND(P2946="Gasto",X2946="Variable",D2946&lt;&gt;catTrading,S2946&gt;0,S2946&lt;=Umbral),1,0))</f>
        <v/>
      </c>
      <c r="AB2946" s="52">
        <f>IF(OR(P2946="",Q2946=""),"",IFERROR(IF(INDEX(ctaVinc,MATCH(Q2946,ctaNombre,0))&amp;""&lt;&gt;"",INDEX(ctaVinc,MATCH(Q2946,ctaNombre,0))&amp;"",Q2946),Q2946))</f>
        <v/>
      </c>
      <c r="AC2946" s="52">
        <f>IF(OR(K2946="",AND(P2946&lt;&gt;"Transferencia",P2946&lt;&gt;"Pago tarjeta")),"",IFERROR(IF(INDEX(ctaVinc,MATCH(K2946,ctaNombre,0))&amp;""&lt;&gt;"",INDEX(ctaVinc,MATCH(K2946,ctaNombre,0))&amp;"",K2946),K2946))</f>
        <v/>
      </c>
      <c r="AD2946" s="52">
        <f>IF(AB2946="","",IFERROR(INDEX(ctaTipo,MATCH(AB2946,ctaNombre,0))&amp;"",""))</f>
        <v/>
      </c>
      <c r="AE2946" s="52">
        <f>IF(AC2946="","",IFERROR(INDEX(ctaTipo,MATCH(AC2946,ctaNombre,0))&amp;"",""))</f>
        <v/>
      </c>
      <c r="AF2946" s="53">
        <f>IF(OR(P2946="",AB2946=""),"",IF(OR(P2946="Gasto",P2946="Transferencia",P2946="Pago tarjeta"),-1,1)*IF(IFERROR(INDEX(ctaMoneda,MATCH(AB2946,ctaNombre,0))&amp;"","DOP")="USD",T2946,S2946))</f>
        <v/>
      </c>
      <c r="AG2946" s="53">
        <f>IF(AC2946="","",IF(IFERROR(INDEX(ctaMoneda,MATCH(AC2946,ctaNombre,0))&amp;"","DOP")="USD",T2946,S2946))</f>
        <v/>
      </c>
      <c r="AH2946" s="53">
        <f>IF(P2946="","",IF(AND(AD2946&lt;&gt;"",COUNTIFS(tcTipo,AD2946,tcLiq,"Sí")&gt;0),IF(OR(P2946="Gasto",P2946="Transferencia",P2946="Pago tarjeta"),-1,1)*S2946,0)+IF(AND(AE2946&lt;&gt;"",COUNTIFS(tcTipo,AE2946,tcLiq,"Sí")&gt;0),S2946,0))</f>
        <v/>
      </c>
      <c r="AI2946" s="52">
        <f>IF(OR(L2946="",P2946=""),"",IF(COUNTIFS(L$6:L2946,L2946,P$6:P2946,"?*")=1,MAX(AI$5:AI2945)+1,""))</f>
        <v/>
      </c>
    </row>
    <row r="2947">
      <c r="B2947" s="47" t="n"/>
      <c r="C2947" s="48" t="n"/>
      <c r="D2947" s="48" t="n"/>
      <c r="E2947" s="48" t="n"/>
      <c r="F2947" s="48" t="n"/>
      <c r="G2947" s="49" t="n"/>
      <c r="H2947" s="48" t="n"/>
      <c r="I2947" s="50" t="n"/>
      <c r="J2947" s="48" t="n"/>
      <c r="K2947" s="48" t="n"/>
      <c r="L2947" s="48" t="n"/>
      <c r="M2947" s="48" t="n"/>
      <c r="N2947" s="48" t="n"/>
      <c r="O2947" s="51">
        <f>IF(AND(B2947="",G2947="",C2947="",D2947="",J2947=""),"",IF(B2947="","⚠ Falta fecha",IF(G2947="","⚠ Falta monto",IF(Q2947="","⚠ Falta cuenta",IF(ISNA(MATCH(Q2947,ctaNombre,0)),"⚠ Cuenta no registrada",IF(AND(OR(P2947="Gasto",P2947="Reembolso"),D2947=""),"⚠ Falta categoría",IF(AND(D2947&lt;&gt;"",E2947&lt;&gt;"",ISNA(MATCH(D2947&amp;"|"&amp;E2947,catClave,0))),"⚠ Subcategoría no corresponde",IF(AND(OR(P2947="Transferencia",P2947="Pago tarjeta"),K2947=""),"⚠ Falta cuenta destino",IF(AND(K2947&lt;&gt;"",P2947&lt;&gt;"Transferencia",P2947&lt;&gt;"Pago tarjeta"),"⚠ Destino solo aplica a transferencias",IF(AND(K2947&lt;&gt;"",K2947=Q2947),"⚠ Origen igual a destino",IF(AND(K2947&lt;&gt;"",ISNA(MATCH(K2947,ctaNombre,0))),"⚠ Destino no registrado",IF(AND(P2947="Pago tarjeta",AE2947&lt;&gt;"Tarjeta de crédito"),"⚠ El destino debe ser tarjeta de crédito",IF(AND(P2947="Gasto",E2947="Depósitos y retiros"),"⚠ Usa tipo Transferencia",IF(AND(P2947="Resultado trading",AD2947&lt;&gt;"Cuenta de trading"),"⚠ Usa una cuenta de trading",IF(AND(G2947&lt;=0,P2947&lt;&gt;"Ajuste",P2947&lt;&gt;"Resultado trading"),"⚠ El monto debe ser positivo","✓")))))))))))))))</f>
        <v/>
      </c>
      <c r="P2947" s="52">
        <f>IF(OR(B2947="",G2947=""),"",IF(C2947="","Gasto",C2947))</f>
        <v/>
      </c>
      <c r="Q2947" s="52">
        <f>IF(P2947="","",IF(J2947&lt;&gt;"",J2947,CuentaPred&amp;""))</f>
        <v/>
      </c>
      <c r="R2947" s="52">
        <f>IF(P2947="","",IF(ISNUMBER(I2947),I2947,TasaUSD))</f>
        <v/>
      </c>
      <c r="S2947" s="53">
        <f>IF(P2947="","",IF(H2947="USD",G2947*R2947,G2947))</f>
        <v/>
      </c>
      <c r="T2947" s="53">
        <f>IF(P2947="","",IF(H2947="USD",G2947,IF(R2947&gt;0,G2947/R2947,0)))</f>
        <v/>
      </c>
      <c r="U2947" s="53">
        <f>IF(P2947="","",IF(P2947="Gasto",S2947,IF(P2947="Reembolso",-S2947,0)))</f>
        <v/>
      </c>
      <c r="V2947" s="53">
        <f>IF(P2947="","",IF(P2947="Ingreso",S2947,0))</f>
        <v/>
      </c>
      <c r="W2947" s="53">
        <f>IF(P2947="","",IF(P2947="Resultado trading",S2947,0))</f>
        <v/>
      </c>
      <c r="X2947" s="52">
        <f>IF(OR(P2947="Gasto",P2947="Reembolso"),IF(M2947&lt;&gt;"",M2947,IFERROR(INDEX(catClasif,MATCH(D2947&amp;"|"&amp;E2947,catClave,0))&amp;"","Variable")),"")</f>
        <v/>
      </c>
      <c r="Y2947" s="52">
        <f>IF(P2947="","",IFERROR(INDEX(catGrupo,MATCH(D2947&amp;"|"&amp;E2947,catClave,0))&amp;"",""))</f>
        <v/>
      </c>
      <c r="Z2947" s="52">
        <f>IF(P2947="","",WEEKDAY(B2947,2))</f>
        <v/>
      </c>
      <c r="AA2947" s="52">
        <f>IF(P2947="","",IF(AND(P2947="Gasto",X2947="Variable",D2947&lt;&gt;catTrading,S2947&gt;0,S2947&lt;=Umbral),1,0))</f>
        <v/>
      </c>
      <c r="AB2947" s="52">
        <f>IF(OR(P2947="",Q2947=""),"",IFERROR(IF(INDEX(ctaVinc,MATCH(Q2947,ctaNombre,0))&amp;""&lt;&gt;"",INDEX(ctaVinc,MATCH(Q2947,ctaNombre,0))&amp;"",Q2947),Q2947))</f>
        <v/>
      </c>
      <c r="AC2947" s="52">
        <f>IF(OR(K2947="",AND(P2947&lt;&gt;"Transferencia",P2947&lt;&gt;"Pago tarjeta")),"",IFERROR(IF(INDEX(ctaVinc,MATCH(K2947,ctaNombre,0))&amp;""&lt;&gt;"",INDEX(ctaVinc,MATCH(K2947,ctaNombre,0))&amp;"",K2947),K2947))</f>
        <v/>
      </c>
      <c r="AD2947" s="52">
        <f>IF(AB2947="","",IFERROR(INDEX(ctaTipo,MATCH(AB2947,ctaNombre,0))&amp;"",""))</f>
        <v/>
      </c>
      <c r="AE2947" s="52">
        <f>IF(AC2947="","",IFERROR(INDEX(ctaTipo,MATCH(AC2947,ctaNombre,0))&amp;"",""))</f>
        <v/>
      </c>
      <c r="AF2947" s="53">
        <f>IF(OR(P2947="",AB2947=""),"",IF(OR(P2947="Gasto",P2947="Transferencia",P2947="Pago tarjeta"),-1,1)*IF(IFERROR(INDEX(ctaMoneda,MATCH(AB2947,ctaNombre,0))&amp;"","DOP")="USD",T2947,S2947))</f>
        <v/>
      </c>
      <c r="AG2947" s="53">
        <f>IF(AC2947="","",IF(IFERROR(INDEX(ctaMoneda,MATCH(AC2947,ctaNombre,0))&amp;"","DOP")="USD",T2947,S2947))</f>
        <v/>
      </c>
      <c r="AH2947" s="53">
        <f>IF(P2947="","",IF(AND(AD2947&lt;&gt;"",COUNTIFS(tcTipo,AD2947,tcLiq,"Sí")&gt;0),IF(OR(P2947="Gasto",P2947="Transferencia",P2947="Pago tarjeta"),-1,1)*S2947,0)+IF(AND(AE2947&lt;&gt;"",COUNTIFS(tcTipo,AE2947,tcLiq,"Sí")&gt;0),S2947,0))</f>
        <v/>
      </c>
      <c r="AI2947" s="52">
        <f>IF(OR(L2947="",P2947=""),"",IF(COUNTIFS(L$6:L2947,L2947,P$6:P2947,"?*")=1,MAX(AI$5:AI2946)+1,""))</f>
        <v/>
      </c>
    </row>
    <row r="2948">
      <c r="B2948" s="47" t="n"/>
      <c r="C2948" s="48" t="n"/>
      <c r="D2948" s="48" t="n"/>
      <c r="E2948" s="48" t="n"/>
      <c r="F2948" s="48" t="n"/>
      <c r="G2948" s="49" t="n"/>
      <c r="H2948" s="48" t="n"/>
      <c r="I2948" s="50" t="n"/>
      <c r="J2948" s="48" t="n"/>
      <c r="K2948" s="48" t="n"/>
      <c r="L2948" s="48" t="n"/>
      <c r="M2948" s="48" t="n"/>
      <c r="N2948" s="48" t="n"/>
      <c r="O2948" s="51">
        <f>IF(AND(B2948="",G2948="",C2948="",D2948="",J2948=""),"",IF(B2948="","⚠ Falta fecha",IF(G2948="","⚠ Falta monto",IF(Q2948="","⚠ Falta cuenta",IF(ISNA(MATCH(Q2948,ctaNombre,0)),"⚠ Cuenta no registrada",IF(AND(OR(P2948="Gasto",P2948="Reembolso"),D2948=""),"⚠ Falta categoría",IF(AND(D2948&lt;&gt;"",E2948&lt;&gt;"",ISNA(MATCH(D2948&amp;"|"&amp;E2948,catClave,0))),"⚠ Subcategoría no corresponde",IF(AND(OR(P2948="Transferencia",P2948="Pago tarjeta"),K2948=""),"⚠ Falta cuenta destino",IF(AND(K2948&lt;&gt;"",P2948&lt;&gt;"Transferencia",P2948&lt;&gt;"Pago tarjeta"),"⚠ Destino solo aplica a transferencias",IF(AND(K2948&lt;&gt;"",K2948=Q2948),"⚠ Origen igual a destino",IF(AND(K2948&lt;&gt;"",ISNA(MATCH(K2948,ctaNombre,0))),"⚠ Destino no registrado",IF(AND(P2948="Pago tarjeta",AE2948&lt;&gt;"Tarjeta de crédito"),"⚠ El destino debe ser tarjeta de crédito",IF(AND(P2948="Gasto",E2948="Depósitos y retiros"),"⚠ Usa tipo Transferencia",IF(AND(P2948="Resultado trading",AD2948&lt;&gt;"Cuenta de trading"),"⚠ Usa una cuenta de trading",IF(AND(G2948&lt;=0,P2948&lt;&gt;"Ajuste",P2948&lt;&gt;"Resultado trading"),"⚠ El monto debe ser positivo","✓")))))))))))))))</f>
        <v/>
      </c>
      <c r="P2948" s="52">
        <f>IF(OR(B2948="",G2948=""),"",IF(C2948="","Gasto",C2948))</f>
        <v/>
      </c>
      <c r="Q2948" s="52">
        <f>IF(P2948="","",IF(J2948&lt;&gt;"",J2948,CuentaPred&amp;""))</f>
        <v/>
      </c>
      <c r="R2948" s="52">
        <f>IF(P2948="","",IF(ISNUMBER(I2948),I2948,TasaUSD))</f>
        <v/>
      </c>
      <c r="S2948" s="53">
        <f>IF(P2948="","",IF(H2948="USD",G2948*R2948,G2948))</f>
        <v/>
      </c>
      <c r="T2948" s="53">
        <f>IF(P2948="","",IF(H2948="USD",G2948,IF(R2948&gt;0,G2948/R2948,0)))</f>
        <v/>
      </c>
      <c r="U2948" s="53">
        <f>IF(P2948="","",IF(P2948="Gasto",S2948,IF(P2948="Reembolso",-S2948,0)))</f>
        <v/>
      </c>
      <c r="V2948" s="53">
        <f>IF(P2948="","",IF(P2948="Ingreso",S2948,0))</f>
        <v/>
      </c>
      <c r="W2948" s="53">
        <f>IF(P2948="","",IF(P2948="Resultado trading",S2948,0))</f>
        <v/>
      </c>
      <c r="X2948" s="52">
        <f>IF(OR(P2948="Gasto",P2948="Reembolso"),IF(M2948&lt;&gt;"",M2948,IFERROR(INDEX(catClasif,MATCH(D2948&amp;"|"&amp;E2948,catClave,0))&amp;"","Variable")),"")</f>
        <v/>
      </c>
      <c r="Y2948" s="52">
        <f>IF(P2948="","",IFERROR(INDEX(catGrupo,MATCH(D2948&amp;"|"&amp;E2948,catClave,0))&amp;"",""))</f>
        <v/>
      </c>
      <c r="Z2948" s="52">
        <f>IF(P2948="","",WEEKDAY(B2948,2))</f>
        <v/>
      </c>
      <c r="AA2948" s="52">
        <f>IF(P2948="","",IF(AND(P2948="Gasto",X2948="Variable",D2948&lt;&gt;catTrading,S2948&gt;0,S2948&lt;=Umbral),1,0))</f>
        <v/>
      </c>
      <c r="AB2948" s="52">
        <f>IF(OR(P2948="",Q2948=""),"",IFERROR(IF(INDEX(ctaVinc,MATCH(Q2948,ctaNombre,0))&amp;""&lt;&gt;"",INDEX(ctaVinc,MATCH(Q2948,ctaNombre,0))&amp;"",Q2948),Q2948))</f>
        <v/>
      </c>
      <c r="AC2948" s="52">
        <f>IF(OR(K2948="",AND(P2948&lt;&gt;"Transferencia",P2948&lt;&gt;"Pago tarjeta")),"",IFERROR(IF(INDEX(ctaVinc,MATCH(K2948,ctaNombre,0))&amp;""&lt;&gt;"",INDEX(ctaVinc,MATCH(K2948,ctaNombre,0))&amp;"",K2948),K2948))</f>
        <v/>
      </c>
      <c r="AD2948" s="52">
        <f>IF(AB2948="","",IFERROR(INDEX(ctaTipo,MATCH(AB2948,ctaNombre,0))&amp;"",""))</f>
        <v/>
      </c>
      <c r="AE2948" s="52">
        <f>IF(AC2948="","",IFERROR(INDEX(ctaTipo,MATCH(AC2948,ctaNombre,0))&amp;"",""))</f>
        <v/>
      </c>
      <c r="AF2948" s="53">
        <f>IF(OR(P2948="",AB2948=""),"",IF(OR(P2948="Gasto",P2948="Transferencia",P2948="Pago tarjeta"),-1,1)*IF(IFERROR(INDEX(ctaMoneda,MATCH(AB2948,ctaNombre,0))&amp;"","DOP")="USD",T2948,S2948))</f>
        <v/>
      </c>
      <c r="AG2948" s="53">
        <f>IF(AC2948="","",IF(IFERROR(INDEX(ctaMoneda,MATCH(AC2948,ctaNombre,0))&amp;"","DOP")="USD",T2948,S2948))</f>
        <v/>
      </c>
      <c r="AH2948" s="53">
        <f>IF(P2948="","",IF(AND(AD2948&lt;&gt;"",COUNTIFS(tcTipo,AD2948,tcLiq,"Sí")&gt;0),IF(OR(P2948="Gasto",P2948="Transferencia",P2948="Pago tarjeta"),-1,1)*S2948,0)+IF(AND(AE2948&lt;&gt;"",COUNTIFS(tcTipo,AE2948,tcLiq,"Sí")&gt;0),S2948,0))</f>
        <v/>
      </c>
      <c r="AI2948" s="52">
        <f>IF(OR(L2948="",P2948=""),"",IF(COUNTIFS(L$6:L2948,L2948,P$6:P2948,"?*")=1,MAX(AI$5:AI2947)+1,""))</f>
        <v/>
      </c>
    </row>
    <row r="2949">
      <c r="B2949" s="47" t="n"/>
      <c r="C2949" s="48" t="n"/>
      <c r="D2949" s="48" t="n"/>
      <c r="E2949" s="48" t="n"/>
      <c r="F2949" s="48" t="n"/>
      <c r="G2949" s="49" t="n"/>
      <c r="H2949" s="48" t="n"/>
      <c r="I2949" s="50" t="n"/>
      <c r="J2949" s="48" t="n"/>
      <c r="K2949" s="48" t="n"/>
      <c r="L2949" s="48" t="n"/>
      <c r="M2949" s="48" t="n"/>
      <c r="N2949" s="48" t="n"/>
      <c r="O2949" s="51">
        <f>IF(AND(B2949="",G2949="",C2949="",D2949="",J2949=""),"",IF(B2949="","⚠ Falta fecha",IF(G2949="","⚠ Falta monto",IF(Q2949="","⚠ Falta cuenta",IF(ISNA(MATCH(Q2949,ctaNombre,0)),"⚠ Cuenta no registrada",IF(AND(OR(P2949="Gasto",P2949="Reembolso"),D2949=""),"⚠ Falta categoría",IF(AND(D2949&lt;&gt;"",E2949&lt;&gt;"",ISNA(MATCH(D2949&amp;"|"&amp;E2949,catClave,0))),"⚠ Subcategoría no corresponde",IF(AND(OR(P2949="Transferencia",P2949="Pago tarjeta"),K2949=""),"⚠ Falta cuenta destino",IF(AND(K2949&lt;&gt;"",P2949&lt;&gt;"Transferencia",P2949&lt;&gt;"Pago tarjeta"),"⚠ Destino solo aplica a transferencias",IF(AND(K2949&lt;&gt;"",K2949=Q2949),"⚠ Origen igual a destino",IF(AND(K2949&lt;&gt;"",ISNA(MATCH(K2949,ctaNombre,0))),"⚠ Destino no registrado",IF(AND(P2949="Pago tarjeta",AE2949&lt;&gt;"Tarjeta de crédito"),"⚠ El destino debe ser tarjeta de crédito",IF(AND(P2949="Gasto",E2949="Depósitos y retiros"),"⚠ Usa tipo Transferencia",IF(AND(P2949="Resultado trading",AD2949&lt;&gt;"Cuenta de trading"),"⚠ Usa una cuenta de trading",IF(AND(G2949&lt;=0,P2949&lt;&gt;"Ajuste",P2949&lt;&gt;"Resultado trading"),"⚠ El monto debe ser positivo","✓")))))))))))))))</f>
        <v/>
      </c>
      <c r="P2949" s="52">
        <f>IF(OR(B2949="",G2949=""),"",IF(C2949="","Gasto",C2949))</f>
        <v/>
      </c>
      <c r="Q2949" s="52">
        <f>IF(P2949="","",IF(J2949&lt;&gt;"",J2949,CuentaPred&amp;""))</f>
        <v/>
      </c>
      <c r="R2949" s="52">
        <f>IF(P2949="","",IF(ISNUMBER(I2949),I2949,TasaUSD))</f>
        <v/>
      </c>
      <c r="S2949" s="53">
        <f>IF(P2949="","",IF(H2949="USD",G2949*R2949,G2949))</f>
        <v/>
      </c>
      <c r="T2949" s="53">
        <f>IF(P2949="","",IF(H2949="USD",G2949,IF(R2949&gt;0,G2949/R2949,0)))</f>
        <v/>
      </c>
      <c r="U2949" s="53">
        <f>IF(P2949="","",IF(P2949="Gasto",S2949,IF(P2949="Reembolso",-S2949,0)))</f>
        <v/>
      </c>
      <c r="V2949" s="53">
        <f>IF(P2949="","",IF(P2949="Ingreso",S2949,0))</f>
        <v/>
      </c>
      <c r="W2949" s="53">
        <f>IF(P2949="","",IF(P2949="Resultado trading",S2949,0))</f>
        <v/>
      </c>
      <c r="X2949" s="52">
        <f>IF(OR(P2949="Gasto",P2949="Reembolso"),IF(M2949&lt;&gt;"",M2949,IFERROR(INDEX(catClasif,MATCH(D2949&amp;"|"&amp;E2949,catClave,0))&amp;"","Variable")),"")</f>
        <v/>
      </c>
      <c r="Y2949" s="52">
        <f>IF(P2949="","",IFERROR(INDEX(catGrupo,MATCH(D2949&amp;"|"&amp;E2949,catClave,0))&amp;"",""))</f>
        <v/>
      </c>
      <c r="Z2949" s="52">
        <f>IF(P2949="","",WEEKDAY(B2949,2))</f>
        <v/>
      </c>
      <c r="AA2949" s="52">
        <f>IF(P2949="","",IF(AND(P2949="Gasto",X2949="Variable",D2949&lt;&gt;catTrading,S2949&gt;0,S2949&lt;=Umbral),1,0))</f>
        <v/>
      </c>
      <c r="AB2949" s="52">
        <f>IF(OR(P2949="",Q2949=""),"",IFERROR(IF(INDEX(ctaVinc,MATCH(Q2949,ctaNombre,0))&amp;""&lt;&gt;"",INDEX(ctaVinc,MATCH(Q2949,ctaNombre,0))&amp;"",Q2949),Q2949))</f>
        <v/>
      </c>
      <c r="AC2949" s="52">
        <f>IF(OR(K2949="",AND(P2949&lt;&gt;"Transferencia",P2949&lt;&gt;"Pago tarjeta")),"",IFERROR(IF(INDEX(ctaVinc,MATCH(K2949,ctaNombre,0))&amp;""&lt;&gt;"",INDEX(ctaVinc,MATCH(K2949,ctaNombre,0))&amp;"",K2949),K2949))</f>
        <v/>
      </c>
      <c r="AD2949" s="52">
        <f>IF(AB2949="","",IFERROR(INDEX(ctaTipo,MATCH(AB2949,ctaNombre,0))&amp;"",""))</f>
        <v/>
      </c>
      <c r="AE2949" s="52">
        <f>IF(AC2949="","",IFERROR(INDEX(ctaTipo,MATCH(AC2949,ctaNombre,0))&amp;"",""))</f>
        <v/>
      </c>
      <c r="AF2949" s="53">
        <f>IF(OR(P2949="",AB2949=""),"",IF(OR(P2949="Gasto",P2949="Transferencia",P2949="Pago tarjeta"),-1,1)*IF(IFERROR(INDEX(ctaMoneda,MATCH(AB2949,ctaNombre,0))&amp;"","DOP")="USD",T2949,S2949))</f>
        <v/>
      </c>
      <c r="AG2949" s="53">
        <f>IF(AC2949="","",IF(IFERROR(INDEX(ctaMoneda,MATCH(AC2949,ctaNombre,0))&amp;"","DOP")="USD",T2949,S2949))</f>
        <v/>
      </c>
      <c r="AH2949" s="53">
        <f>IF(P2949="","",IF(AND(AD2949&lt;&gt;"",COUNTIFS(tcTipo,AD2949,tcLiq,"Sí")&gt;0),IF(OR(P2949="Gasto",P2949="Transferencia",P2949="Pago tarjeta"),-1,1)*S2949,0)+IF(AND(AE2949&lt;&gt;"",COUNTIFS(tcTipo,AE2949,tcLiq,"Sí")&gt;0),S2949,0))</f>
        <v/>
      </c>
      <c r="AI2949" s="52">
        <f>IF(OR(L2949="",P2949=""),"",IF(COUNTIFS(L$6:L2949,L2949,P$6:P2949,"?*")=1,MAX(AI$5:AI2948)+1,""))</f>
        <v/>
      </c>
    </row>
    <row r="2950">
      <c r="B2950" s="47" t="n"/>
      <c r="C2950" s="48" t="n"/>
      <c r="D2950" s="48" t="n"/>
      <c r="E2950" s="48" t="n"/>
      <c r="F2950" s="48" t="n"/>
      <c r="G2950" s="49" t="n"/>
      <c r="H2950" s="48" t="n"/>
      <c r="I2950" s="50" t="n"/>
      <c r="J2950" s="48" t="n"/>
      <c r="K2950" s="48" t="n"/>
      <c r="L2950" s="48" t="n"/>
      <c r="M2950" s="48" t="n"/>
      <c r="N2950" s="48" t="n"/>
      <c r="O2950" s="51">
        <f>IF(AND(B2950="",G2950="",C2950="",D2950="",J2950=""),"",IF(B2950="","⚠ Falta fecha",IF(G2950="","⚠ Falta monto",IF(Q2950="","⚠ Falta cuenta",IF(ISNA(MATCH(Q2950,ctaNombre,0)),"⚠ Cuenta no registrada",IF(AND(OR(P2950="Gasto",P2950="Reembolso"),D2950=""),"⚠ Falta categoría",IF(AND(D2950&lt;&gt;"",E2950&lt;&gt;"",ISNA(MATCH(D2950&amp;"|"&amp;E2950,catClave,0))),"⚠ Subcategoría no corresponde",IF(AND(OR(P2950="Transferencia",P2950="Pago tarjeta"),K2950=""),"⚠ Falta cuenta destino",IF(AND(K2950&lt;&gt;"",P2950&lt;&gt;"Transferencia",P2950&lt;&gt;"Pago tarjeta"),"⚠ Destino solo aplica a transferencias",IF(AND(K2950&lt;&gt;"",K2950=Q2950),"⚠ Origen igual a destino",IF(AND(K2950&lt;&gt;"",ISNA(MATCH(K2950,ctaNombre,0))),"⚠ Destino no registrado",IF(AND(P2950="Pago tarjeta",AE2950&lt;&gt;"Tarjeta de crédito"),"⚠ El destino debe ser tarjeta de crédito",IF(AND(P2950="Gasto",E2950="Depósitos y retiros"),"⚠ Usa tipo Transferencia",IF(AND(P2950="Resultado trading",AD2950&lt;&gt;"Cuenta de trading"),"⚠ Usa una cuenta de trading",IF(AND(G2950&lt;=0,P2950&lt;&gt;"Ajuste",P2950&lt;&gt;"Resultado trading"),"⚠ El monto debe ser positivo","✓")))))))))))))))</f>
        <v/>
      </c>
      <c r="P2950" s="52">
        <f>IF(OR(B2950="",G2950=""),"",IF(C2950="","Gasto",C2950))</f>
        <v/>
      </c>
      <c r="Q2950" s="52">
        <f>IF(P2950="","",IF(J2950&lt;&gt;"",J2950,CuentaPred&amp;""))</f>
        <v/>
      </c>
      <c r="R2950" s="52">
        <f>IF(P2950="","",IF(ISNUMBER(I2950),I2950,TasaUSD))</f>
        <v/>
      </c>
      <c r="S2950" s="53">
        <f>IF(P2950="","",IF(H2950="USD",G2950*R2950,G2950))</f>
        <v/>
      </c>
      <c r="T2950" s="53">
        <f>IF(P2950="","",IF(H2950="USD",G2950,IF(R2950&gt;0,G2950/R2950,0)))</f>
        <v/>
      </c>
      <c r="U2950" s="53">
        <f>IF(P2950="","",IF(P2950="Gasto",S2950,IF(P2950="Reembolso",-S2950,0)))</f>
        <v/>
      </c>
      <c r="V2950" s="53">
        <f>IF(P2950="","",IF(P2950="Ingreso",S2950,0))</f>
        <v/>
      </c>
      <c r="W2950" s="53">
        <f>IF(P2950="","",IF(P2950="Resultado trading",S2950,0))</f>
        <v/>
      </c>
      <c r="X2950" s="52">
        <f>IF(OR(P2950="Gasto",P2950="Reembolso"),IF(M2950&lt;&gt;"",M2950,IFERROR(INDEX(catClasif,MATCH(D2950&amp;"|"&amp;E2950,catClave,0))&amp;"","Variable")),"")</f>
        <v/>
      </c>
      <c r="Y2950" s="52">
        <f>IF(P2950="","",IFERROR(INDEX(catGrupo,MATCH(D2950&amp;"|"&amp;E2950,catClave,0))&amp;"",""))</f>
        <v/>
      </c>
      <c r="Z2950" s="52">
        <f>IF(P2950="","",WEEKDAY(B2950,2))</f>
        <v/>
      </c>
      <c r="AA2950" s="52">
        <f>IF(P2950="","",IF(AND(P2950="Gasto",X2950="Variable",D2950&lt;&gt;catTrading,S2950&gt;0,S2950&lt;=Umbral),1,0))</f>
        <v/>
      </c>
      <c r="AB2950" s="52">
        <f>IF(OR(P2950="",Q2950=""),"",IFERROR(IF(INDEX(ctaVinc,MATCH(Q2950,ctaNombre,0))&amp;""&lt;&gt;"",INDEX(ctaVinc,MATCH(Q2950,ctaNombre,0))&amp;"",Q2950),Q2950))</f>
        <v/>
      </c>
      <c r="AC2950" s="52">
        <f>IF(OR(K2950="",AND(P2950&lt;&gt;"Transferencia",P2950&lt;&gt;"Pago tarjeta")),"",IFERROR(IF(INDEX(ctaVinc,MATCH(K2950,ctaNombre,0))&amp;""&lt;&gt;"",INDEX(ctaVinc,MATCH(K2950,ctaNombre,0))&amp;"",K2950),K2950))</f>
        <v/>
      </c>
      <c r="AD2950" s="52">
        <f>IF(AB2950="","",IFERROR(INDEX(ctaTipo,MATCH(AB2950,ctaNombre,0))&amp;"",""))</f>
        <v/>
      </c>
      <c r="AE2950" s="52">
        <f>IF(AC2950="","",IFERROR(INDEX(ctaTipo,MATCH(AC2950,ctaNombre,0))&amp;"",""))</f>
        <v/>
      </c>
      <c r="AF2950" s="53">
        <f>IF(OR(P2950="",AB2950=""),"",IF(OR(P2950="Gasto",P2950="Transferencia",P2950="Pago tarjeta"),-1,1)*IF(IFERROR(INDEX(ctaMoneda,MATCH(AB2950,ctaNombre,0))&amp;"","DOP")="USD",T2950,S2950))</f>
        <v/>
      </c>
      <c r="AG2950" s="53">
        <f>IF(AC2950="","",IF(IFERROR(INDEX(ctaMoneda,MATCH(AC2950,ctaNombre,0))&amp;"","DOP")="USD",T2950,S2950))</f>
        <v/>
      </c>
      <c r="AH2950" s="53">
        <f>IF(P2950="","",IF(AND(AD2950&lt;&gt;"",COUNTIFS(tcTipo,AD2950,tcLiq,"Sí")&gt;0),IF(OR(P2950="Gasto",P2950="Transferencia",P2950="Pago tarjeta"),-1,1)*S2950,0)+IF(AND(AE2950&lt;&gt;"",COUNTIFS(tcTipo,AE2950,tcLiq,"Sí")&gt;0),S2950,0))</f>
        <v/>
      </c>
      <c r="AI2950" s="52">
        <f>IF(OR(L2950="",P2950=""),"",IF(COUNTIFS(L$6:L2950,L2950,P$6:P2950,"?*")=1,MAX(AI$5:AI2949)+1,""))</f>
        <v/>
      </c>
    </row>
    <row r="2951">
      <c r="B2951" s="47" t="n"/>
      <c r="C2951" s="48" t="n"/>
      <c r="D2951" s="48" t="n"/>
      <c r="E2951" s="48" t="n"/>
      <c r="F2951" s="48" t="n"/>
      <c r="G2951" s="49" t="n"/>
      <c r="H2951" s="48" t="n"/>
      <c r="I2951" s="50" t="n"/>
      <c r="J2951" s="48" t="n"/>
      <c r="K2951" s="48" t="n"/>
      <c r="L2951" s="48" t="n"/>
      <c r="M2951" s="48" t="n"/>
      <c r="N2951" s="48" t="n"/>
      <c r="O2951" s="51">
        <f>IF(AND(B2951="",G2951="",C2951="",D2951="",J2951=""),"",IF(B2951="","⚠ Falta fecha",IF(G2951="","⚠ Falta monto",IF(Q2951="","⚠ Falta cuenta",IF(ISNA(MATCH(Q2951,ctaNombre,0)),"⚠ Cuenta no registrada",IF(AND(OR(P2951="Gasto",P2951="Reembolso"),D2951=""),"⚠ Falta categoría",IF(AND(D2951&lt;&gt;"",E2951&lt;&gt;"",ISNA(MATCH(D2951&amp;"|"&amp;E2951,catClave,0))),"⚠ Subcategoría no corresponde",IF(AND(OR(P2951="Transferencia",P2951="Pago tarjeta"),K2951=""),"⚠ Falta cuenta destino",IF(AND(K2951&lt;&gt;"",P2951&lt;&gt;"Transferencia",P2951&lt;&gt;"Pago tarjeta"),"⚠ Destino solo aplica a transferencias",IF(AND(K2951&lt;&gt;"",K2951=Q2951),"⚠ Origen igual a destino",IF(AND(K2951&lt;&gt;"",ISNA(MATCH(K2951,ctaNombre,0))),"⚠ Destino no registrado",IF(AND(P2951="Pago tarjeta",AE2951&lt;&gt;"Tarjeta de crédito"),"⚠ El destino debe ser tarjeta de crédito",IF(AND(P2951="Gasto",E2951="Depósitos y retiros"),"⚠ Usa tipo Transferencia",IF(AND(P2951="Resultado trading",AD2951&lt;&gt;"Cuenta de trading"),"⚠ Usa una cuenta de trading",IF(AND(G2951&lt;=0,P2951&lt;&gt;"Ajuste",P2951&lt;&gt;"Resultado trading"),"⚠ El monto debe ser positivo","✓")))))))))))))))</f>
        <v/>
      </c>
      <c r="P2951" s="52">
        <f>IF(OR(B2951="",G2951=""),"",IF(C2951="","Gasto",C2951))</f>
        <v/>
      </c>
      <c r="Q2951" s="52">
        <f>IF(P2951="","",IF(J2951&lt;&gt;"",J2951,CuentaPred&amp;""))</f>
        <v/>
      </c>
      <c r="R2951" s="52">
        <f>IF(P2951="","",IF(ISNUMBER(I2951),I2951,TasaUSD))</f>
        <v/>
      </c>
      <c r="S2951" s="53">
        <f>IF(P2951="","",IF(H2951="USD",G2951*R2951,G2951))</f>
        <v/>
      </c>
      <c r="T2951" s="53">
        <f>IF(P2951="","",IF(H2951="USD",G2951,IF(R2951&gt;0,G2951/R2951,0)))</f>
        <v/>
      </c>
      <c r="U2951" s="53">
        <f>IF(P2951="","",IF(P2951="Gasto",S2951,IF(P2951="Reembolso",-S2951,0)))</f>
        <v/>
      </c>
      <c r="V2951" s="53">
        <f>IF(P2951="","",IF(P2951="Ingreso",S2951,0))</f>
        <v/>
      </c>
      <c r="W2951" s="53">
        <f>IF(P2951="","",IF(P2951="Resultado trading",S2951,0))</f>
        <v/>
      </c>
      <c r="X2951" s="52">
        <f>IF(OR(P2951="Gasto",P2951="Reembolso"),IF(M2951&lt;&gt;"",M2951,IFERROR(INDEX(catClasif,MATCH(D2951&amp;"|"&amp;E2951,catClave,0))&amp;"","Variable")),"")</f>
        <v/>
      </c>
      <c r="Y2951" s="52">
        <f>IF(P2951="","",IFERROR(INDEX(catGrupo,MATCH(D2951&amp;"|"&amp;E2951,catClave,0))&amp;"",""))</f>
        <v/>
      </c>
      <c r="Z2951" s="52">
        <f>IF(P2951="","",WEEKDAY(B2951,2))</f>
        <v/>
      </c>
      <c r="AA2951" s="52">
        <f>IF(P2951="","",IF(AND(P2951="Gasto",X2951="Variable",D2951&lt;&gt;catTrading,S2951&gt;0,S2951&lt;=Umbral),1,0))</f>
        <v/>
      </c>
      <c r="AB2951" s="52">
        <f>IF(OR(P2951="",Q2951=""),"",IFERROR(IF(INDEX(ctaVinc,MATCH(Q2951,ctaNombre,0))&amp;""&lt;&gt;"",INDEX(ctaVinc,MATCH(Q2951,ctaNombre,0))&amp;"",Q2951),Q2951))</f>
        <v/>
      </c>
      <c r="AC2951" s="52">
        <f>IF(OR(K2951="",AND(P2951&lt;&gt;"Transferencia",P2951&lt;&gt;"Pago tarjeta")),"",IFERROR(IF(INDEX(ctaVinc,MATCH(K2951,ctaNombre,0))&amp;""&lt;&gt;"",INDEX(ctaVinc,MATCH(K2951,ctaNombre,0))&amp;"",K2951),K2951))</f>
        <v/>
      </c>
      <c r="AD2951" s="52">
        <f>IF(AB2951="","",IFERROR(INDEX(ctaTipo,MATCH(AB2951,ctaNombre,0))&amp;"",""))</f>
        <v/>
      </c>
      <c r="AE2951" s="52">
        <f>IF(AC2951="","",IFERROR(INDEX(ctaTipo,MATCH(AC2951,ctaNombre,0))&amp;"",""))</f>
        <v/>
      </c>
      <c r="AF2951" s="53">
        <f>IF(OR(P2951="",AB2951=""),"",IF(OR(P2951="Gasto",P2951="Transferencia",P2951="Pago tarjeta"),-1,1)*IF(IFERROR(INDEX(ctaMoneda,MATCH(AB2951,ctaNombre,0))&amp;"","DOP")="USD",T2951,S2951))</f>
        <v/>
      </c>
      <c r="AG2951" s="53">
        <f>IF(AC2951="","",IF(IFERROR(INDEX(ctaMoneda,MATCH(AC2951,ctaNombre,0))&amp;"","DOP")="USD",T2951,S2951))</f>
        <v/>
      </c>
      <c r="AH2951" s="53">
        <f>IF(P2951="","",IF(AND(AD2951&lt;&gt;"",COUNTIFS(tcTipo,AD2951,tcLiq,"Sí")&gt;0),IF(OR(P2951="Gasto",P2951="Transferencia",P2951="Pago tarjeta"),-1,1)*S2951,0)+IF(AND(AE2951&lt;&gt;"",COUNTIFS(tcTipo,AE2951,tcLiq,"Sí")&gt;0),S2951,0))</f>
        <v/>
      </c>
      <c r="AI2951" s="52">
        <f>IF(OR(L2951="",P2951=""),"",IF(COUNTIFS(L$6:L2951,L2951,P$6:P2951,"?*")=1,MAX(AI$5:AI2950)+1,""))</f>
        <v/>
      </c>
    </row>
    <row r="2952">
      <c r="B2952" s="47" t="n"/>
      <c r="C2952" s="48" t="n"/>
      <c r="D2952" s="48" t="n"/>
      <c r="E2952" s="48" t="n"/>
      <c r="F2952" s="48" t="n"/>
      <c r="G2952" s="49" t="n"/>
      <c r="H2952" s="48" t="n"/>
      <c r="I2952" s="50" t="n"/>
      <c r="J2952" s="48" t="n"/>
      <c r="K2952" s="48" t="n"/>
      <c r="L2952" s="48" t="n"/>
      <c r="M2952" s="48" t="n"/>
      <c r="N2952" s="48" t="n"/>
      <c r="O2952" s="51">
        <f>IF(AND(B2952="",G2952="",C2952="",D2952="",J2952=""),"",IF(B2952="","⚠ Falta fecha",IF(G2952="","⚠ Falta monto",IF(Q2952="","⚠ Falta cuenta",IF(ISNA(MATCH(Q2952,ctaNombre,0)),"⚠ Cuenta no registrada",IF(AND(OR(P2952="Gasto",P2952="Reembolso"),D2952=""),"⚠ Falta categoría",IF(AND(D2952&lt;&gt;"",E2952&lt;&gt;"",ISNA(MATCH(D2952&amp;"|"&amp;E2952,catClave,0))),"⚠ Subcategoría no corresponde",IF(AND(OR(P2952="Transferencia",P2952="Pago tarjeta"),K2952=""),"⚠ Falta cuenta destino",IF(AND(K2952&lt;&gt;"",P2952&lt;&gt;"Transferencia",P2952&lt;&gt;"Pago tarjeta"),"⚠ Destino solo aplica a transferencias",IF(AND(K2952&lt;&gt;"",K2952=Q2952),"⚠ Origen igual a destino",IF(AND(K2952&lt;&gt;"",ISNA(MATCH(K2952,ctaNombre,0))),"⚠ Destino no registrado",IF(AND(P2952="Pago tarjeta",AE2952&lt;&gt;"Tarjeta de crédito"),"⚠ El destino debe ser tarjeta de crédito",IF(AND(P2952="Gasto",E2952="Depósitos y retiros"),"⚠ Usa tipo Transferencia",IF(AND(P2952="Resultado trading",AD2952&lt;&gt;"Cuenta de trading"),"⚠ Usa una cuenta de trading",IF(AND(G2952&lt;=0,P2952&lt;&gt;"Ajuste",P2952&lt;&gt;"Resultado trading"),"⚠ El monto debe ser positivo","✓")))))))))))))))</f>
        <v/>
      </c>
      <c r="P2952" s="52">
        <f>IF(OR(B2952="",G2952=""),"",IF(C2952="","Gasto",C2952))</f>
        <v/>
      </c>
      <c r="Q2952" s="52">
        <f>IF(P2952="","",IF(J2952&lt;&gt;"",J2952,CuentaPred&amp;""))</f>
        <v/>
      </c>
      <c r="R2952" s="52">
        <f>IF(P2952="","",IF(ISNUMBER(I2952),I2952,TasaUSD))</f>
        <v/>
      </c>
      <c r="S2952" s="53">
        <f>IF(P2952="","",IF(H2952="USD",G2952*R2952,G2952))</f>
        <v/>
      </c>
      <c r="T2952" s="53">
        <f>IF(P2952="","",IF(H2952="USD",G2952,IF(R2952&gt;0,G2952/R2952,0)))</f>
        <v/>
      </c>
      <c r="U2952" s="53">
        <f>IF(P2952="","",IF(P2952="Gasto",S2952,IF(P2952="Reembolso",-S2952,0)))</f>
        <v/>
      </c>
      <c r="V2952" s="53">
        <f>IF(P2952="","",IF(P2952="Ingreso",S2952,0))</f>
        <v/>
      </c>
      <c r="W2952" s="53">
        <f>IF(P2952="","",IF(P2952="Resultado trading",S2952,0))</f>
        <v/>
      </c>
      <c r="X2952" s="52">
        <f>IF(OR(P2952="Gasto",P2952="Reembolso"),IF(M2952&lt;&gt;"",M2952,IFERROR(INDEX(catClasif,MATCH(D2952&amp;"|"&amp;E2952,catClave,0))&amp;"","Variable")),"")</f>
        <v/>
      </c>
      <c r="Y2952" s="52">
        <f>IF(P2952="","",IFERROR(INDEX(catGrupo,MATCH(D2952&amp;"|"&amp;E2952,catClave,0))&amp;"",""))</f>
        <v/>
      </c>
      <c r="Z2952" s="52">
        <f>IF(P2952="","",WEEKDAY(B2952,2))</f>
        <v/>
      </c>
      <c r="AA2952" s="52">
        <f>IF(P2952="","",IF(AND(P2952="Gasto",X2952="Variable",D2952&lt;&gt;catTrading,S2952&gt;0,S2952&lt;=Umbral),1,0))</f>
        <v/>
      </c>
      <c r="AB2952" s="52">
        <f>IF(OR(P2952="",Q2952=""),"",IFERROR(IF(INDEX(ctaVinc,MATCH(Q2952,ctaNombre,0))&amp;""&lt;&gt;"",INDEX(ctaVinc,MATCH(Q2952,ctaNombre,0))&amp;"",Q2952),Q2952))</f>
        <v/>
      </c>
      <c r="AC2952" s="52">
        <f>IF(OR(K2952="",AND(P2952&lt;&gt;"Transferencia",P2952&lt;&gt;"Pago tarjeta")),"",IFERROR(IF(INDEX(ctaVinc,MATCH(K2952,ctaNombre,0))&amp;""&lt;&gt;"",INDEX(ctaVinc,MATCH(K2952,ctaNombre,0))&amp;"",K2952),K2952))</f>
        <v/>
      </c>
      <c r="AD2952" s="52">
        <f>IF(AB2952="","",IFERROR(INDEX(ctaTipo,MATCH(AB2952,ctaNombre,0))&amp;"",""))</f>
        <v/>
      </c>
      <c r="AE2952" s="52">
        <f>IF(AC2952="","",IFERROR(INDEX(ctaTipo,MATCH(AC2952,ctaNombre,0))&amp;"",""))</f>
        <v/>
      </c>
      <c r="AF2952" s="53">
        <f>IF(OR(P2952="",AB2952=""),"",IF(OR(P2952="Gasto",P2952="Transferencia",P2952="Pago tarjeta"),-1,1)*IF(IFERROR(INDEX(ctaMoneda,MATCH(AB2952,ctaNombre,0))&amp;"","DOP")="USD",T2952,S2952))</f>
        <v/>
      </c>
      <c r="AG2952" s="53">
        <f>IF(AC2952="","",IF(IFERROR(INDEX(ctaMoneda,MATCH(AC2952,ctaNombre,0))&amp;"","DOP")="USD",T2952,S2952))</f>
        <v/>
      </c>
      <c r="AH2952" s="53">
        <f>IF(P2952="","",IF(AND(AD2952&lt;&gt;"",COUNTIFS(tcTipo,AD2952,tcLiq,"Sí")&gt;0),IF(OR(P2952="Gasto",P2952="Transferencia",P2952="Pago tarjeta"),-1,1)*S2952,0)+IF(AND(AE2952&lt;&gt;"",COUNTIFS(tcTipo,AE2952,tcLiq,"Sí")&gt;0),S2952,0))</f>
        <v/>
      </c>
      <c r="AI2952" s="52">
        <f>IF(OR(L2952="",P2952=""),"",IF(COUNTIFS(L$6:L2952,L2952,P$6:P2952,"?*")=1,MAX(AI$5:AI2951)+1,""))</f>
        <v/>
      </c>
    </row>
    <row r="2953">
      <c r="B2953" s="47" t="n"/>
      <c r="C2953" s="48" t="n"/>
      <c r="D2953" s="48" t="n"/>
      <c r="E2953" s="48" t="n"/>
      <c r="F2953" s="48" t="n"/>
      <c r="G2953" s="49" t="n"/>
      <c r="H2953" s="48" t="n"/>
      <c r="I2953" s="50" t="n"/>
      <c r="J2953" s="48" t="n"/>
      <c r="K2953" s="48" t="n"/>
      <c r="L2953" s="48" t="n"/>
      <c r="M2953" s="48" t="n"/>
      <c r="N2953" s="48" t="n"/>
      <c r="O2953" s="51">
        <f>IF(AND(B2953="",G2953="",C2953="",D2953="",J2953=""),"",IF(B2953="","⚠ Falta fecha",IF(G2953="","⚠ Falta monto",IF(Q2953="","⚠ Falta cuenta",IF(ISNA(MATCH(Q2953,ctaNombre,0)),"⚠ Cuenta no registrada",IF(AND(OR(P2953="Gasto",P2953="Reembolso"),D2953=""),"⚠ Falta categoría",IF(AND(D2953&lt;&gt;"",E2953&lt;&gt;"",ISNA(MATCH(D2953&amp;"|"&amp;E2953,catClave,0))),"⚠ Subcategoría no corresponde",IF(AND(OR(P2953="Transferencia",P2953="Pago tarjeta"),K2953=""),"⚠ Falta cuenta destino",IF(AND(K2953&lt;&gt;"",P2953&lt;&gt;"Transferencia",P2953&lt;&gt;"Pago tarjeta"),"⚠ Destino solo aplica a transferencias",IF(AND(K2953&lt;&gt;"",K2953=Q2953),"⚠ Origen igual a destino",IF(AND(K2953&lt;&gt;"",ISNA(MATCH(K2953,ctaNombre,0))),"⚠ Destino no registrado",IF(AND(P2953="Pago tarjeta",AE2953&lt;&gt;"Tarjeta de crédito"),"⚠ El destino debe ser tarjeta de crédito",IF(AND(P2953="Gasto",E2953="Depósitos y retiros"),"⚠ Usa tipo Transferencia",IF(AND(P2953="Resultado trading",AD2953&lt;&gt;"Cuenta de trading"),"⚠ Usa una cuenta de trading",IF(AND(G2953&lt;=0,P2953&lt;&gt;"Ajuste",P2953&lt;&gt;"Resultado trading"),"⚠ El monto debe ser positivo","✓")))))))))))))))</f>
        <v/>
      </c>
      <c r="P2953" s="52">
        <f>IF(OR(B2953="",G2953=""),"",IF(C2953="","Gasto",C2953))</f>
        <v/>
      </c>
      <c r="Q2953" s="52">
        <f>IF(P2953="","",IF(J2953&lt;&gt;"",J2953,CuentaPred&amp;""))</f>
        <v/>
      </c>
      <c r="R2953" s="52">
        <f>IF(P2953="","",IF(ISNUMBER(I2953),I2953,TasaUSD))</f>
        <v/>
      </c>
      <c r="S2953" s="53">
        <f>IF(P2953="","",IF(H2953="USD",G2953*R2953,G2953))</f>
        <v/>
      </c>
      <c r="T2953" s="53">
        <f>IF(P2953="","",IF(H2953="USD",G2953,IF(R2953&gt;0,G2953/R2953,0)))</f>
        <v/>
      </c>
      <c r="U2953" s="53">
        <f>IF(P2953="","",IF(P2953="Gasto",S2953,IF(P2953="Reembolso",-S2953,0)))</f>
        <v/>
      </c>
      <c r="V2953" s="53">
        <f>IF(P2953="","",IF(P2953="Ingreso",S2953,0))</f>
        <v/>
      </c>
      <c r="W2953" s="53">
        <f>IF(P2953="","",IF(P2953="Resultado trading",S2953,0))</f>
        <v/>
      </c>
      <c r="X2953" s="52">
        <f>IF(OR(P2953="Gasto",P2953="Reembolso"),IF(M2953&lt;&gt;"",M2953,IFERROR(INDEX(catClasif,MATCH(D2953&amp;"|"&amp;E2953,catClave,0))&amp;"","Variable")),"")</f>
        <v/>
      </c>
      <c r="Y2953" s="52">
        <f>IF(P2953="","",IFERROR(INDEX(catGrupo,MATCH(D2953&amp;"|"&amp;E2953,catClave,0))&amp;"",""))</f>
        <v/>
      </c>
      <c r="Z2953" s="52">
        <f>IF(P2953="","",WEEKDAY(B2953,2))</f>
        <v/>
      </c>
      <c r="AA2953" s="52">
        <f>IF(P2953="","",IF(AND(P2953="Gasto",X2953="Variable",D2953&lt;&gt;catTrading,S2953&gt;0,S2953&lt;=Umbral),1,0))</f>
        <v/>
      </c>
      <c r="AB2953" s="52">
        <f>IF(OR(P2953="",Q2953=""),"",IFERROR(IF(INDEX(ctaVinc,MATCH(Q2953,ctaNombre,0))&amp;""&lt;&gt;"",INDEX(ctaVinc,MATCH(Q2953,ctaNombre,0))&amp;"",Q2953),Q2953))</f>
        <v/>
      </c>
      <c r="AC2953" s="52">
        <f>IF(OR(K2953="",AND(P2953&lt;&gt;"Transferencia",P2953&lt;&gt;"Pago tarjeta")),"",IFERROR(IF(INDEX(ctaVinc,MATCH(K2953,ctaNombre,0))&amp;""&lt;&gt;"",INDEX(ctaVinc,MATCH(K2953,ctaNombre,0))&amp;"",K2953),K2953))</f>
        <v/>
      </c>
      <c r="AD2953" s="52">
        <f>IF(AB2953="","",IFERROR(INDEX(ctaTipo,MATCH(AB2953,ctaNombre,0))&amp;"",""))</f>
        <v/>
      </c>
      <c r="AE2953" s="52">
        <f>IF(AC2953="","",IFERROR(INDEX(ctaTipo,MATCH(AC2953,ctaNombre,0))&amp;"",""))</f>
        <v/>
      </c>
      <c r="AF2953" s="53">
        <f>IF(OR(P2953="",AB2953=""),"",IF(OR(P2953="Gasto",P2953="Transferencia",P2953="Pago tarjeta"),-1,1)*IF(IFERROR(INDEX(ctaMoneda,MATCH(AB2953,ctaNombre,0))&amp;"","DOP")="USD",T2953,S2953))</f>
        <v/>
      </c>
      <c r="AG2953" s="53">
        <f>IF(AC2953="","",IF(IFERROR(INDEX(ctaMoneda,MATCH(AC2953,ctaNombre,0))&amp;"","DOP")="USD",T2953,S2953))</f>
        <v/>
      </c>
      <c r="AH2953" s="53">
        <f>IF(P2953="","",IF(AND(AD2953&lt;&gt;"",COUNTIFS(tcTipo,AD2953,tcLiq,"Sí")&gt;0),IF(OR(P2953="Gasto",P2953="Transferencia",P2953="Pago tarjeta"),-1,1)*S2953,0)+IF(AND(AE2953&lt;&gt;"",COUNTIFS(tcTipo,AE2953,tcLiq,"Sí")&gt;0),S2953,0))</f>
        <v/>
      </c>
      <c r="AI2953" s="52">
        <f>IF(OR(L2953="",P2953=""),"",IF(COUNTIFS(L$6:L2953,L2953,P$6:P2953,"?*")=1,MAX(AI$5:AI2952)+1,""))</f>
        <v/>
      </c>
    </row>
    <row r="2954">
      <c r="B2954" s="47" t="n"/>
      <c r="C2954" s="48" t="n"/>
      <c r="D2954" s="48" t="n"/>
      <c r="E2954" s="48" t="n"/>
      <c r="F2954" s="48" t="n"/>
      <c r="G2954" s="49" t="n"/>
      <c r="H2954" s="48" t="n"/>
      <c r="I2954" s="50" t="n"/>
      <c r="J2954" s="48" t="n"/>
      <c r="K2954" s="48" t="n"/>
      <c r="L2954" s="48" t="n"/>
      <c r="M2954" s="48" t="n"/>
      <c r="N2954" s="48" t="n"/>
      <c r="O2954" s="51">
        <f>IF(AND(B2954="",G2954="",C2954="",D2954="",J2954=""),"",IF(B2954="","⚠ Falta fecha",IF(G2954="","⚠ Falta monto",IF(Q2954="","⚠ Falta cuenta",IF(ISNA(MATCH(Q2954,ctaNombre,0)),"⚠ Cuenta no registrada",IF(AND(OR(P2954="Gasto",P2954="Reembolso"),D2954=""),"⚠ Falta categoría",IF(AND(D2954&lt;&gt;"",E2954&lt;&gt;"",ISNA(MATCH(D2954&amp;"|"&amp;E2954,catClave,0))),"⚠ Subcategoría no corresponde",IF(AND(OR(P2954="Transferencia",P2954="Pago tarjeta"),K2954=""),"⚠ Falta cuenta destino",IF(AND(K2954&lt;&gt;"",P2954&lt;&gt;"Transferencia",P2954&lt;&gt;"Pago tarjeta"),"⚠ Destino solo aplica a transferencias",IF(AND(K2954&lt;&gt;"",K2954=Q2954),"⚠ Origen igual a destino",IF(AND(K2954&lt;&gt;"",ISNA(MATCH(K2954,ctaNombre,0))),"⚠ Destino no registrado",IF(AND(P2954="Pago tarjeta",AE2954&lt;&gt;"Tarjeta de crédito"),"⚠ El destino debe ser tarjeta de crédito",IF(AND(P2954="Gasto",E2954="Depósitos y retiros"),"⚠ Usa tipo Transferencia",IF(AND(P2954="Resultado trading",AD2954&lt;&gt;"Cuenta de trading"),"⚠ Usa una cuenta de trading",IF(AND(G2954&lt;=0,P2954&lt;&gt;"Ajuste",P2954&lt;&gt;"Resultado trading"),"⚠ El monto debe ser positivo","✓")))))))))))))))</f>
        <v/>
      </c>
      <c r="P2954" s="52">
        <f>IF(OR(B2954="",G2954=""),"",IF(C2954="","Gasto",C2954))</f>
        <v/>
      </c>
      <c r="Q2954" s="52">
        <f>IF(P2954="","",IF(J2954&lt;&gt;"",J2954,CuentaPred&amp;""))</f>
        <v/>
      </c>
      <c r="R2954" s="52">
        <f>IF(P2954="","",IF(ISNUMBER(I2954),I2954,TasaUSD))</f>
        <v/>
      </c>
      <c r="S2954" s="53">
        <f>IF(P2954="","",IF(H2954="USD",G2954*R2954,G2954))</f>
        <v/>
      </c>
      <c r="T2954" s="53">
        <f>IF(P2954="","",IF(H2954="USD",G2954,IF(R2954&gt;0,G2954/R2954,0)))</f>
        <v/>
      </c>
      <c r="U2954" s="53">
        <f>IF(P2954="","",IF(P2954="Gasto",S2954,IF(P2954="Reembolso",-S2954,0)))</f>
        <v/>
      </c>
      <c r="V2954" s="53">
        <f>IF(P2954="","",IF(P2954="Ingreso",S2954,0))</f>
        <v/>
      </c>
      <c r="W2954" s="53">
        <f>IF(P2954="","",IF(P2954="Resultado trading",S2954,0))</f>
        <v/>
      </c>
      <c r="X2954" s="52">
        <f>IF(OR(P2954="Gasto",P2954="Reembolso"),IF(M2954&lt;&gt;"",M2954,IFERROR(INDEX(catClasif,MATCH(D2954&amp;"|"&amp;E2954,catClave,0))&amp;"","Variable")),"")</f>
        <v/>
      </c>
      <c r="Y2954" s="52">
        <f>IF(P2954="","",IFERROR(INDEX(catGrupo,MATCH(D2954&amp;"|"&amp;E2954,catClave,0))&amp;"",""))</f>
        <v/>
      </c>
      <c r="Z2954" s="52">
        <f>IF(P2954="","",WEEKDAY(B2954,2))</f>
        <v/>
      </c>
      <c r="AA2954" s="52">
        <f>IF(P2954="","",IF(AND(P2954="Gasto",X2954="Variable",D2954&lt;&gt;catTrading,S2954&gt;0,S2954&lt;=Umbral),1,0))</f>
        <v/>
      </c>
      <c r="AB2954" s="52">
        <f>IF(OR(P2954="",Q2954=""),"",IFERROR(IF(INDEX(ctaVinc,MATCH(Q2954,ctaNombre,0))&amp;""&lt;&gt;"",INDEX(ctaVinc,MATCH(Q2954,ctaNombre,0))&amp;"",Q2954),Q2954))</f>
        <v/>
      </c>
      <c r="AC2954" s="52">
        <f>IF(OR(K2954="",AND(P2954&lt;&gt;"Transferencia",P2954&lt;&gt;"Pago tarjeta")),"",IFERROR(IF(INDEX(ctaVinc,MATCH(K2954,ctaNombre,0))&amp;""&lt;&gt;"",INDEX(ctaVinc,MATCH(K2954,ctaNombre,0))&amp;"",K2954),K2954))</f>
        <v/>
      </c>
      <c r="AD2954" s="52">
        <f>IF(AB2954="","",IFERROR(INDEX(ctaTipo,MATCH(AB2954,ctaNombre,0))&amp;"",""))</f>
        <v/>
      </c>
      <c r="AE2954" s="52">
        <f>IF(AC2954="","",IFERROR(INDEX(ctaTipo,MATCH(AC2954,ctaNombre,0))&amp;"",""))</f>
        <v/>
      </c>
      <c r="AF2954" s="53">
        <f>IF(OR(P2954="",AB2954=""),"",IF(OR(P2954="Gasto",P2954="Transferencia",P2954="Pago tarjeta"),-1,1)*IF(IFERROR(INDEX(ctaMoneda,MATCH(AB2954,ctaNombre,0))&amp;"","DOP")="USD",T2954,S2954))</f>
        <v/>
      </c>
      <c r="AG2954" s="53">
        <f>IF(AC2954="","",IF(IFERROR(INDEX(ctaMoneda,MATCH(AC2954,ctaNombre,0))&amp;"","DOP")="USD",T2954,S2954))</f>
        <v/>
      </c>
      <c r="AH2954" s="53">
        <f>IF(P2954="","",IF(AND(AD2954&lt;&gt;"",COUNTIFS(tcTipo,AD2954,tcLiq,"Sí")&gt;0),IF(OR(P2954="Gasto",P2954="Transferencia",P2954="Pago tarjeta"),-1,1)*S2954,0)+IF(AND(AE2954&lt;&gt;"",COUNTIFS(tcTipo,AE2954,tcLiq,"Sí")&gt;0),S2954,0))</f>
        <v/>
      </c>
      <c r="AI2954" s="52">
        <f>IF(OR(L2954="",P2954=""),"",IF(COUNTIFS(L$6:L2954,L2954,P$6:P2954,"?*")=1,MAX(AI$5:AI2953)+1,""))</f>
        <v/>
      </c>
    </row>
    <row r="2955">
      <c r="B2955" s="47" t="n"/>
      <c r="C2955" s="48" t="n"/>
      <c r="D2955" s="48" t="n"/>
      <c r="E2955" s="48" t="n"/>
      <c r="F2955" s="48" t="n"/>
      <c r="G2955" s="49" t="n"/>
      <c r="H2955" s="48" t="n"/>
      <c r="I2955" s="50" t="n"/>
      <c r="J2955" s="48" t="n"/>
      <c r="K2955" s="48" t="n"/>
      <c r="L2955" s="48" t="n"/>
      <c r="M2955" s="48" t="n"/>
      <c r="N2955" s="48" t="n"/>
      <c r="O2955" s="51">
        <f>IF(AND(B2955="",G2955="",C2955="",D2955="",J2955=""),"",IF(B2955="","⚠ Falta fecha",IF(G2955="","⚠ Falta monto",IF(Q2955="","⚠ Falta cuenta",IF(ISNA(MATCH(Q2955,ctaNombre,0)),"⚠ Cuenta no registrada",IF(AND(OR(P2955="Gasto",P2955="Reembolso"),D2955=""),"⚠ Falta categoría",IF(AND(D2955&lt;&gt;"",E2955&lt;&gt;"",ISNA(MATCH(D2955&amp;"|"&amp;E2955,catClave,0))),"⚠ Subcategoría no corresponde",IF(AND(OR(P2955="Transferencia",P2955="Pago tarjeta"),K2955=""),"⚠ Falta cuenta destino",IF(AND(K2955&lt;&gt;"",P2955&lt;&gt;"Transferencia",P2955&lt;&gt;"Pago tarjeta"),"⚠ Destino solo aplica a transferencias",IF(AND(K2955&lt;&gt;"",K2955=Q2955),"⚠ Origen igual a destino",IF(AND(K2955&lt;&gt;"",ISNA(MATCH(K2955,ctaNombre,0))),"⚠ Destino no registrado",IF(AND(P2955="Pago tarjeta",AE2955&lt;&gt;"Tarjeta de crédito"),"⚠ El destino debe ser tarjeta de crédito",IF(AND(P2955="Gasto",E2955="Depósitos y retiros"),"⚠ Usa tipo Transferencia",IF(AND(P2955="Resultado trading",AD2955&lt;&gt;"Cuenta de trading"),"⚠ Usa una cuenta de trading",IF(AND(G2955&lt;=0,P2955&lt;&gt;"Ajuste",P2955&lt;&gt;"Resultado trading"),"⚠ El monto debe ser positivo","✓")))))))))))))))</f>
        <v/>
      </c>
      <c r="P2955" s="52">
        <f>IF(OR(B2955="",G2955=""),"",IF(C2955="","Gasto",C2955))</f>
        <v/>
      </c>
      <c r="Q2955" s="52">
        <f>IF(P2955="","",IF(J2955&lt;&gt;"",J2955,CuentaPred&amp;""))</f>
        <v/>
      </c>
      <c r="R2955" s="52">
        <f>IF(P2955="","",IF(ISNUMBER(I2955),I2955,TasaUSD))</f>
        <v/>
      </c>
      <c r="S2955" s="53">
        <f>IF(P2955="","",IF(H2955="USD",G2955*R2955,G2955))</f>
        <v/>
      </c>
      <c r="T2955" s="53">
        <f>IF(P2955="","",IF(H2955="USD",G2955,IF(R2955&gt;0,G2955/R2955,0)))</f>
        <v/>
      </c>
      <c r="U2955" s="53">
        <f>IF(P2955="","",IF(P2955="Gasto",S2955,IF(P2955="Reembolso",-S2955,0)))</f>
        <v/>
      </c>
      <c r="V2955" s="53">
        <f>IF(P2955="","",IF(P2955="Ingreso",S2955,0))</f>
        <v/>
      </c>
      <c r="W2955" s="53">
        <f>IF(P2955="","",IF(P2955="Resultado trading",S2955,0))</f>
        <v/>
      </c>
      <c r="X2955" s="52">
        <f>IF(OR(P2955="Gasto",P2955="Reembolso"),IF(M2955&lt;&gt;"",M2955,IFERROR(INDEX(catClasif,MATCH(D2955&amp;"|"&amp;E2955,catClave,0))&amp;"","Variable")),"")</f>
        <v/>
      </c>
      <c r="Y2955" s="52">
        <f>IF(P2955="","",IFERROR(INDEX(catGrupo,MATCH(D2955&amp;"|"&amp;E2955,catClave,0))&amp;"",""))</f>
        <v/>
      </c>
      <c r="Z2955" s="52">
        <f>IF(P2955="","",WEEKDAY(B2955,2))</f>
        <v/>
      </c>
      <c r="AA2955" s="52">
        <f>IF(P2955="","",IF(AND(P2955="Gasto",X2955="Variable",D2955&lt;&gt;catTrading,S2955&gt;0,S2955&lt;=Umbral),1,0))</f>
        <v/>
      </c>
      <c r="AB2955" s="52">
        <f>IF(OR(P2955="",Q2955=""),"",IFERROR(IF(INDEX(ctaVinc,MATCH(Q2955,ctaNombre,0))&amp;""&lt;&gt;"",INDEX(ctaVinc,MATCH(Q2955,ctaNombre,0))&amp;"",Q2955),Q2955))</f>
        <v/>
      </c>
      <c r="AC2955" s="52">
        <f>IF(OR(K2955="",AND(P2955&lt;&gt;"Transferencia",P2955&lt;&gt;"Pago tarjeta")),"",IFERROR(IF(INDEX(ctaVinc,MATCH(K2955,ctaNombre,0))&amp;""&lt;&gt;"",INDEX(ctaVinc,MATCH(K2955,ctaNombre,0))&amp;"",K2955),K2955))</f>
        <v/>
      </c>
      <c r="AD2955" s="52">
        <f>IF(AB2955="","",IFERROR(INDEX(ctaTipo,MATCH(AB2955,ctaNombre,0))&amp;"",""))</f>
        <v/>
      </c>
      <c r="AE2955" s="52">
        <f>IF(AC2955="","",IFERROR(INDEX(ctaTipo,MATCH(AC2955,ctaNombre,0))&amp;"",""))</f>
        <v/>
      </c>
      <c r="AF2955" s="53">
        <f>IF(OR(P2955="",AB2955=""),"",IF(OR(P2955="Gasto",P2955="Transferencia",P2955="Pago tarjeta"),-1,1)*IF(IFERROR(INDEX(ctaMoneda,MATCH(AB2955,ctaNombre,0))&amp;"","DOP")="USD",T2955,S2955))</f>
        <v/>
      </c>
      <c r="AG2955" s="53">
        <f>IF(AC2955="","",IF(IFERROR(INDEX(ctaMoneda,MATCH(AC2955,ctaNombre,0))&amp;"","DOP")="USD",T2955,S2955))</f>
        <v/>
      </c>
      <c r="AH2955" s="53">
        <f>IF(P2955="","",IF(AND(AD2955&lt;&gt;"",COUNTIFS(tcTipo,AD2955,tcLiq,"Sí")&gt;0),IF(OR(P2955="Gasto",P2955="Transferencia",P2955="Pago tarjeta"),-1,1)*S2955,0)+IF(AND(AE2955&lt;&gt;"",COUNTIFS(tcTipo,AE2955,tcLiq,"Sí")&gt;0),S2955,0))</f>
        <v/>
      </c>
      <c r="AI2955" s="52">
        <f>IF(OR(L2955="",P2955=""),"",IF(COUNTIFS(L$6:L2955,L2955,P$6:P2955,"?*")=1,MAX(AI$5:AI2954)+1,""))</f>
        <v/>
      </c>
    </row>
    <row r="2956">
      <c r="B2956" s="47" t="n"/>
      <c r="C2956" s="48" t="n"/>
      <c r="D2956" s="48" t="n"/>
      <c r="E2956" s="48" t="n"/>
      <c r="F2956" s="48" t="n"/>
      <c r="G2956" s="49" t="n"/>
      <c r="H2956" s="48" t="n"/>
      <c r="I2956" s="50" t="n"/>
      <c r="J2956" s="48" t="n"/>
      <c r="K2956" s="48" t="n"/>
      <c r="L2956" s="48" t="n"/>
      <c r="M2956" s="48" t="n"/>
      <c r="N2956" s="48" t="n"/>
      <c r="O2956" s="51">
        <f>IF(AND(B2956="",G2956="",C2956="",D2956="",J2956=""),"",IF(B2956="","⚠ Falta fecha",IF(G2956="","⚠ Falta monto",IF(Q2956="","⚠ Falta cuenta",IF(ISNA(MATCH(Q2956,ctaNombre,0)),"⚠ Cuenta no registrada",IF(AND(OR(P2956="Gasto",P2956="Reembolso"),D2956=""),"⚠ Falta categoría",IF(AND(D2956&lt;&gt;"",E2956&lt;&gt;"",ISNA(MATCH(D2956&amp;"|"&amp;E2956,catClave,0))),"⚠ Subcategoría no corresponde",IF(AND(OR(P2956="Transferencia",P2956="Pago tarjeta"),K2956=""),"⚠ Falta cuenta destino",IF(AND(K2956&lt;&gt;"",P2956&lt;&gt;"Transferencia",P2956&lt;&gt;"Pago tarjeta"),"⚠ Destino solo aplica a transferencias",IF(AND(K2956&lt;&gt;"",K2956=Q2956),"⚠ Origen igual a destino",IF(AND(K2956&lt;&gt;"",ISNA(MATCH(K2956,ctaNombre,0))),"⚠ Destino no registrado",IF(AND(P2956="Pago tarjeta",AE2956&lt;&gt;"Tarjeta de crédito"),"⚠ El destino debe ser tarjeta de crédito",IF(AND(P2956="Gasto",E2956="Depósitos y retiros"),"⚠ Usa tipo Transferencia",IF(AND(P2956="Resultado trading",AD2956&lt;&gt;"Cuenta de trading"),"⚠ Usa una cuenta de trading",IF(AND(G2956&lt;=0,P2956&lt;&gt;"Ajuste",P2956&lt;&gt;"Resultado trading"),"⚠ El monto debe ser positivo","✓")))))))))))))))</f>
        <v/>
      </c>
      <c r="P2956" s="52">
        <f>IF(OR(B2956="",G2956=""),"",IF(C2956="","Gasto",C2956))</f>
        <v/>
      </c>
      <c r="Q2956" s="52">
        <f>IF(P2956="","",IF(J2956&lt;&gt;"",J2956,CuentaPred&amp;""))</f>
        <v/>
      </c>
      <c r="R2956" s="52">
        <f>IF(P2956="","",IF(ISNUMBER(I2956),I2956,TasaUSD))</f>
        <v/>
      </c>
      <c r="S2956" s="53">
        <f>IF(P2956="","",IF(H2956="USD",G2956*R2956,G2956))</f>
        <v/>
      </c>
      <c r="T2956" s="53">
        <f>IF(P2956="","",IF(H2956="USD",G2956,IF(R2956&gt;0,G2956/R2956,0)))</f>
        <v/>
      </c>
      <c r="U2956" s="53">
        <f>IF(P2956="","",IF(P2956="Gasto",S2956,IF(P2956="Reembolso",-S2956,0)))</f>
        <v/>
      </c>
      <c r="V2956" s="53">
        <f>IF(P2956="","",IF(P2956="Ingreso",S2956,0))</f>
        <v/>
      </c>
      <c r="W2956" s="53">
        <f>IF(P2956="","",IF(P2956="Resultado trading",S2956,0))</f>
        <v/>
      </c>
      <c r="X2956" s="52">
        <f>IF(OR(P2956="Gasto",P2956="Reembolso"),IF(M2956&lt;&gt;"",M2956,IFERROR(INDEX(catClasif,MATCH(D2956&amp;"|"&amp;E2956,catClave,0))&amp;"","Variable")),"")</f>
        <v/>
      </c>
      <c r="Y2956" s="52">
        <f>IF(P2956="","",IFERROR(INDEX(catGrupo,MATCH(D2956&amp;"|"&amp;E2956,catClave,0))&amp;"",""))</f>
        <v/>
      </c>
      <c r="Z2956" s="52">
        <f>IF(P2956="","",WEEKDAY(B2956,2))</f>
        <v/>
      </c>
      <c r="AA2956" s="52">
        <f>IF(P2956="","",IF(AND(P2956="Gasto",X2956="Variable",D2956&lt;&gt;catTrading,S2956&gt;0,S2956&lt;=Umbral),1,0))</f>
        <v/>
      </c>
      <c r="AB2956" s="52">
        <f>IF(OR(P2956="",Q2956=""),"",IFERROR(IF(INDEX(ctaVinc,MATCH(Q2956,ctaNombre,0))&amp;""&lt;&gt;"",INDEX(ctaVinc,MATCH(Q2956,ctaNombre,0))&amp;"",Q2956),Q2956))</f>
        <v/>
      </c>
      <c r="AC2956" s="52">
        <f>IF(OR(K2956="",AND(P2956&lt;&gt;"Transferencia",P2956&lt;&gt;"Pago tarjeta")),"",IFERROR(IF(INDEX(ctaVinc,MATCH(K2956,ctaNombre,0))&amp;""&lt;&gt;"",INDEX(ctaVinc,MATCH(K2956,ctaNombre,0))&amp;"",K2956),K2956))</f>
        <v/>
      </c>
      <c r="AD2956" s="52">
        <f>IF(AB2956="","",IFERROR(INDEX(ctaTipo,MATCH(AB2956,ctaNombre,0))&amp;"",""))</f>
        <v/>
      </c>
      <c r="AE2956" s="52">
        <f>IF(AC2956="","",IFERROR(INDEX(ctaTipo,MATCH(AC2956,ctaNombre,0))&amp;"",""))</f>
        <v/>
      </c>
      <c r="AF2956" s="53">
        <f>IF(OR(P2956="",AB2956=""),"",IF(OR(P2956="Gasto",P2956="Transferencia",P2956="Pago tarjeta"),-1,1)*IF(IFERROR(INDEX(ctaMoneda,MATCH(AB2956,ctaNombre,0))&amp;"","DOP")="USD",T2956,S2956))</f>
        <v/>
      </c>
      <c r="AG2956" s="53">
        <f>IF(AC2956="","",IF(IFERROR(INDEX(ctaMoneda,MATCH(AC2956,ctaNombre,0))&amp;"","DOP")="USD",T2956,S2956))</f>
        <v/>
      </c>
      <c r="AH2956" s="53">
        <f>IF(P2956="","",IF(AND(AD2956&lt;&gt;"",COUNTIFS(tcTipo,AD2956,tcLiq,"Sí")&gt;0),IF(OR(P2956="Gasto",P2956="Transferencia",P2956="Pago tarjeta"),-1,1)*S2956,0)+IF(AND(AE2956&lt;&gt;"",COUNTIFS(tcTipo,AE2956,tcLiq,"Sí")&gt;0),S2956,0))</f>
        <v/>
      </c>
      <c r="AI2956" s="52">
        <f>IF(OR(L2956="",P2956=""),"",IF(COUNTIFS(L$6:L2956,L2956,P$6:P2956,"?*")=1,MAX(AI$5:AI2955)+1,""))</f>
        <v/>
      </c>
    </row>
    <row r="2957">
      <c r="B2957" s="47" t="n"/>
      <c r="C2957" s="48" t="n"/>
      <c r="D2957" s="48" t="n"/>
      <c r="E2957" s="48" t="n"/>
      <c r="F2957" s="48" t="n"/>
      <c r="G2957" s="49" t="n"/>
      <c r="H2957" s="48" t="n"/>
      <c r="I2957" s="50" t="n"/>
      <c r="J2957" s="48" t="n"/>
      <c r="K2957" s="48" t="n"/>
      <c r="L2957" s="48" t="n"/>
      <c r="M2957" s="48" t="n"/>
      <c r="N2957" s="48" t="n"/>
      <c r="O2957" s="51">
        <f>IF(AND(B2957="",G2957="",C2957="",D2957="",J2957=""),"",IF(B2957="","⚠ Falta fecha",IF(G2957="","⚠ Falta monto",IF(Q2957="","⚠ Falta cuenta",IF(ISNA(MATCH(Q2957,ctaNombre,0)),"⚠ Cuenta no registrada",IF(AND(OR(P2957="Gasto",P2957="Reembolso"),D2957=""),"⚠ Falta categoría",IF(AND(D2957&lt;&gt;"",E2957&lt;&gt;"",ISNA(MATCH(D2957&amp;"|"&amp;E2957,catClave,0))),"⚠ Subcategoría no corresponde",IF(AND(OR(P2957="Transferencia",P2957="Pago tarjeta"),K2957=""),"⚠ Falta cuenta destino",IF(AND(K2957&lt;&gt;"",P2957&lt;&gt;"Transferencia",P2957&lt;&gt;"Pago tarjeta"),"⚠ Destino solo aplica a transferencias",IF(AND(K2957&lt;&gt;"",K2957=Q2957),"⚠ Origen igual a destino",IF(AND(K2957&lt;&gt;"",ISNA(MATCH(K2957,ctaNombre,0))),"⚠ Destino no registrado",IF(AND(P2957="Pago tarjeta",AE2957&lt;&gt;"Tarjeta de crédito"),"⚠ El destino debe ser tarjeta de crédito",IF(AND(P2957="Gasto",E2957="Depósitos y retiros"),"⚠ Usa tipo Transferencia",IF(AND(P2957="Resultado trading",AD2957&lt;&gt;"Cuenta de trading"),"⚠ Usa una cuenta de trading",IF(AND(G2957&lt;=0,P2957&lt;&gt;"Ajuste",P2957&lt;&gt;"Resultado trading"),"⚠ El monto debe ser positivo","✓")))))))))))))))</f>
        <v/>
      </c>
      <c r="P2957" s="52">
        <f>IF(OR(B2957="",G2957=""),"",IF(C2957="","Gasto",C2957))</f>
        <v/>
      </c>
      <c r="Q2957" s="52">
        <f>IF(P2957="","",IF(J2957&lt;&gt;"",J2957,CuentaPred&amp;""))</f>
        <v/>
      </c>
      <c r="R2957" s="52">
        <f>IF(P2957="","",IF(ISNUMBER(I2957),I2957,TasaUSD))</f>
        <v/>
      </c>
      <c r="S2957" s="53">
        <f>IF(P2957="","",IF(H2957="USD",G2957*R2957,G2957))</f>
        <v/>
      </c>
      <c r="T2957" s="53">
        <f>IF(P2957="","",IF(H2957="USD",G2957,IF(R2957&gt;0,G2957/R2957,0)))</f>
        <v/>
      </c>
      <c r="U2957" s="53">
        <f>IF(P2957="","",IF(P2957="Gasto",S2957,IF(P2957="Reembolso",-S2957,0)))</f>
        <v/>
      </c>
      <c r="V2957" s="53">
        <f>IF(P2957="","",IF(P2957="Ingreso",S2957,0))</f>
        <v/>
      </c>
      <c r="W2957" s="53">
        <f>IF(P2957="","",IF(P2957="Resultado trading",S2957,0))</f>
        <v/>
      </c>
      <c r="X2957" s="52">
        <f>IF(OR(P2957="Gasto",P2957="Reembolso"),IF(M2957&lt;&gt;"",M2957,IFERROR(INDEX(catClasif,MATCH(D2957&amp;"|"&amp;E2957,catClave,0))&amp;"","Variable")),"")</f>
        <v/>
      </c>
      <c r="Y2957" s="52">
        <f>IF(P2957="","",IFERROR(INDEX(catGrupo,MATCH(D2957&amp;"|"&amp;E2957,catClave,0))&amp;"",""))</f>
        <v/>
      </c>
      <c r="Z2957" s="52">
        <f>IF(P2957="","",WEEKDAY(B2957,2))</f>
        <v/>
      </c>
      <c r="AA2957" s="52">
        <f>IF(P2957="","",IF(AND(P2957="Gasto",X2957="Variable",D2957&lt;&gt;catTrading,S2957&gt;0,S2957&lt;=Umbral),1,0))</f>
        <v/>
      </c>
      <c r="AB2957" s="52">
        <f>IF(OR(P2957="",Q2957=""),"",IFERROR(IF(INDEX(ctaVinc,MATCH(Q2957,ctaNombre,0))&amp;""&lt;&gt;"",INDEX(ctaVinc,MATCH(Q2957,ctaNombre,0))&amp;"",Q2957),Q2957))</f>
        <v/>
      </c>
      <c r="AC2957" s="52">
        <f>IF(OR(K2957="",AND(P2957&lt;&gt;"Transferencia",P2957&lt;&gt;"Pago tarjeta")),"",IFERROR(IF(INDEX(ctaVinc,MATCH(K2957,ctaNombre,0))&amp;""&lt;&gt;"",INDEX(ctaVinc,MATCH(K2957,ctaNombre,0))&amp;"",K2957),K2957))</f>
        <v/>
      </c>
      <c r="AD2957" s="52">
        <f>IF(AB2957="","",IFERROR(INDEX(ctaTipo,MATCH(AB2957,ctaNombre,0))&amp;"",""))</f>
        <v/>
      </c>
      <c r="AE2957" s="52">
        <f>IF(AC2957="","",IFERROR(INDEX(ctaTipo,MATCH(AC2957,ctaNombre,0))&amp;"",""))</f>
        <v/>
      </c>
      <c r="AF2957" s="53">
        <f>IF(OR(P2957="",AB2957=""),"",IF(OR(P2957="Gasto",P2957="Transferencia",P2957="Pago tarjeta"),-1,1)*IF(IFERROR(INDEX(ctaMoneda,MATCH(AB2957,ctaNombre,0))&amp;"","DOP")="USD",T2957,S2957))</f>
        <v/>
      </c>
      <c r="AG2957" s="53">
        <f>IF(AC2957="","",IF(IFERROR(INDEX(ctaMoneda,MATCH(AC2957,ctaNombre,0))&amp;"","DOP")="USD",T2957,S2957))</f>
        <v/>
      </c>
      <c r="AH2957" s="53">
        <f>IF(P2957="","",IF(AND(AD2957&lt;&gt;"",COUNTIFS(tcTipo,AD2957,tcLiq,"Sí")&gt;0),IF(OR(P2957="Gasto",P2957="Transferencia",P2957="Pago tarjeta"),-1,1)*S2957,0)+IF(AND(AE2957&lt;&gt;"",COUNTIFS(tcTipo,AE2957,tcLiq,"Sí")&gt;0),S2957,0))</f>
        <v/>
      </c>
      <c r="AI2957" s="52">
        <f>IF(OR(L2957="",P2957=""),"",IF(COUNTIFS(L$6:L2957,L2957,P$6:P2957,"?*")=1,MAX(AI$5:AI2956)+1,""))</f>
        <v/>
      </c>
    </row>
    <row r="2958">
      <c r="B2958" s="47" t="n"/>
      <c r="C2958" s="48" t="n"/>
      <c r="D2958" s="48" t="n"/>
      <c r="E2958" s="48" t="n"/>
      <c r="F2958" s="48" t="n"/>
      <c r="G2958" s="49" t="n"/>
      <c r="H2958" s="48" t="n"/>
      <c r="I2958" s="50" t="n"/>
      <c r="J2958" s="48" t="n"/>
      <c r="K2958" s="48" t="n"/>
      <c r="L2958" s="48" t="n"/>
      <c r="M2958" s="48" t="n"/>
      <c r="N2958" s="48" t="n"/>
      <c r="O2958" s="51">
        <f>IF(AND(B2958="",G2958="",C2958="",D2958="",J2958=""),"",IF(B2958="","⚠ Falta fecha",IF(G2958="","⚠ Falta monto",IF(Q2958="","⚠ Falta cuenta",IF(ISNA(MATCH(Q2958,ctaNombre,0)),"⚠ Cuenta no registrada",IF(AND(OR(P2958="Gasto",P2958="Reembolso"),D2958=""),"⚠ Falta categoría",IF(AND(D2958&lt;&gt;"",E2958&lt;&gt;"",ISNA(MATCH(D2958&amp;"|"&amp;E2958,catClave,0))),"⚠ Subcategoría no corresponde",IF(AND(OR(P2958="Transferencia",P2958="Pago tarjeta"),K2958=""),"⚠ Falta cuenta destino",IF(AND(K2958&lt;&gt;"",P2958&lt;&gt;"Transferencia",P2958&lt;&gt;"Pago tarjeta"),"⚠ Destino solo aplica a transferencias",IF(AND(K2958&lt;&gt;"",K2958=Q2958),"⚠ Origen igual a destino",IF(AND(K2958&lt;&gt;"",ISNA(MATCH(K2958,ctaNombre,0))),"⚠ Destino no registrado",IF(AND(P2958="Pago tarjeta",AE2958&lt;&gt;"Tarjeta de crédito"),"⚠ El destino debe ser tarjeta de crédito",IF(AND(P2958="Gasto",E2958="Depósitos y retiros"),"⚠ Usa tipo Transferencia",IF(AND(P2958="Resultado trading",AD2958&lt;&gt;"Cuenta de trading"),"⚠ Usa una cuenta de trading",IF(AND(G2958&lt;=0,P2958&lt;&gt;"Ajuste",P2958&lt;&gt;"Resultado trading"),"⚠ El monto debe ser positivo","✓")))))))))))))))</f>
        <v/>
      </c>
      <c r="P2958" s="52">
        <f>IF(OR(B2958="",G2958=""),"",IF(C2958="","Gasto",C2958))</f>
        <v/>
      </c>
      <c r="Q2958" s="52">
        <f>IF(P2958="","",IF(J2958&lt;&gt;"",J2958,CuentaPred&amp;""))</f>
        <v/>
      </c>
      <c r="R2958" s="52">
        <f>IF(P2958="","",IF(ISNUMBER(I2958),I2958,TasaUSD))</f>
        <v/>
      </c>
      <c r="S2958" s="53">
        <f>IF(P2958="","",IF(H2958="USD",G2958*R2958,G2958))</f>
        <v/>
      </c>
      <c r="T2958" s="53">
        <f>IF(P2958="","",IF(H2958="USD",G2958,IF(R2958&gt;0,G2958/R2958,0)))</f>
        <v/>
      </c>
      <c r="U2958" s="53">
        <f>IF(P2958="","",IF(P2958="Gasto",S2958,IF(P2958="Reembolso",-S2958,0)))</f>
        <v/>
      </c>
      <c r="V2958" s="53">
        <f>IF(P2958="","",IF(P2958="Ingreso",S2958,0))</f>
        <v/>
      </c>
      <c r="W2958" s="53">
        <f>IF(P2958="","",IF(P2958="Resultado trading",S2958,0))</f>
        <v/>
      </c>
      <c r="X2958" s="52">
        <f>IF(OR(P2958="Gasto",P2958="Reembolso"),IF(M2958&lt;&gt;"",M2958,IFERROR(INDEX(catClasif,MATCH(D2958&amp;"|"&amp;E2958,catClave,0))&amp;"","Variable")),"")</f>
        <v/>
      </c>
      <c r="Y2958" s="52">
        <f>IF(P2958="","",IFERROR(INDEX(catGrupo,MATCH(D2958&amp;"|"&amp;E2958,catClave,0))&amp;"",""))</f>
        <v/>
      </c>
      <c r="Z2958" s="52">
        <f>IF(P2958="","",WEEKDAY(B2958,2))</f>
        <v/>
      </c>
      <c r="AA2958" s="52">
        <f>IF(P2958="","",IF(AND(P2958="Gasto",X2958="Variable",D2958&lt;&gt;catTrading,S2958&gt;0,S2958&lt;=Umbral),1,0))</f>
        <v/>
      </c>
      <c r="AB2958" s="52">
        <f>IF(OR(P2958="",Q2958=""),"",IFERROR(IF(INDEX(ctaVinc,MATCH(Q2958,ctaNombre,0))&amp;""&lt;&gt;"",INDEX(ctaVinc,MATCH(Q2958,ctaNombre,0))&amp;"",Q2958),Q2958))</f>
        <v/>
      </c>
      <c r="AC2958" s="52">
        <f>IF(OR(K2958="",AND(P2958&lt;&gt;"Transferencia",P2958&lt;&gt;"Pago tarjeta")),"",IFERROR(IF(INDEX(ctaVinc,MATCH(K2958,ctaNombre,0))&amp;""&lt;&gt;"",INDEX(ctaVinc,MATCH(K2958,ctaNombre,0))&amp;"",K2958),K2958))</f>
        <v/>
      </c>
      <c r="AD2958" s="52">
        <f>IF(AB2958="","",IFERROR(INDEX(ctaTipo,MATCH(AB2958,ctaNombre,0))&amp;"",""))</f>
        <v/>
      </c>
      <c r="AE2958" s="52">
        <f>IF(AC2958="","",IFERROR(INDEX(ctaTipo,MATCH(AC2958,ctaNombre,0))&amp;"",""))</f>
        <v/>
      </c>
      <c r="AF2958" s="53">
        <f>IF(OR(P2958="",AB2958=""),"",IF(OR(P2958="Gasto",P2958="Transferencia",P2958="Pago tarjeta"),-1,1)*IF(IFERROR(INDEX(ctaMoneda,MATCH(AB2958,ctaNombre,0))&amp;"","DOP")="USD",T2958,S2958))</f>
        <v/>
      </c>
      <c r="AG2958" s="53">
        <f>IF(AC2958="","",IF(IFERROR(INDEX(ctaMoneda,MATCH(AC2958,ctaNombre,0))&amp;"","DOP")="USD",T2958,S2958))</f>
        <v/>
      </c>
      <c r="AH2958" s="53">
        <f>IF(P2958="","",IF(AND(AD2958&lt;&gt;"",COUNTIFS(tcTipo,AD2958,tcLiq,"Sí")&gt;0),IF(OR(P2958="Gasto",P2958="Transferencia",P2958="Pago tarjeta"),-1,1)*S2958,0)+IF(AND(AE2958&lt;&gt;"",COUNTIFS(tcTipo,AE2958,tcLiq,"Sí")&gt;0),S2958,0))</f>
        <v/>
      </c>
      <c r="AI2958" s="52">
        <f>IF(OR(L2958="",P2958=""),"",IF(COUNTIFS(L$6:L2958,L2958,P$6:P2958,"?*")=1,MAX(AI$5:AI2957)+1,""))</f>
        <v/>
      </c>
    </row>
    <row r="2959">
      <c r="B2959" s="47" t="n"/>
      <c r="C2959" s="48" t="n"/>
      <c r="D2959" s="48" t="n"/>
      <c r="E2959" s="48" t="n"/>
      <c r="F2959" s="48" t="n"/>
      <c r="G2959" s="49" t="n"/>
      <c r="H2959" s="48" t="n"/>
      <c r="I2959" s="50" t="n"/>
      <c r="J2959" s="48" t="n"/>
      <c r="K2959" s="48" t="n"/>
      <c r="L2959" s="48" t="n"/>
      <c r="M2959" s="48" t="n"/>
      <c r="N2959" s="48" t="n"/>
      <c r="O2959" s="51">
        <f>IF(AND(B2959="",G2959="",C2959="",D2959="",J2959=""),"",IF(B2959="","⚠ Falta fecha",IF(G2959="","⚠ Falta monto",IF(Q2959="","⚠ Falta cuenta",IF(ISNA(MATCH(Q2959,ctaNombre,0)),"⚠ Cuenta no registrada",IF(AND(OR(P2959="Gasto",P2959="Reembolso"),D2959=""),"⚠ Falta categoría",IF(AND(D2959&lt;&gt;"",E2959&lt;&gt;"",ISNA(MATCH(D2959&amp;"|"&amp;E2959,catClave,0))),"⚠ Subcategoría no corresponde",IF(AND(OR(P2959="Transferencia",P2959="Pago tarjeta"),K2959=""),"⚠ Falta cuenta destino",IF(AND(K2959&lt;&gt;"",P2959&lt;&gt;"Transferencia",P2959&lt;&gt;"Pago tarjeta"),"⚠ Destino solo aplica a transferencias",IF(AND(K2959&lt;&gt;"",K2959=Q2959),"⚠ Origen igual a destino",IF(AND(K2959&lt;&gt;"",ISNA(MATCH(K2959,ctaNombre,0))),"⚠ Destino no registrado",IF(AND(P2959="Pago tarjeta",AE2959&lt;&gt;"Tarjeta de crédito"),"⚠ El destino debe ser tarjeta de crédito",IF(AND(P2959="Gasto",E2959="Depósitos y retiros"),"⚠ Usa tipo Transferencia",IF(AND(P2959="Resultado trading",AD2959&lt;&gt;"Cuenta de trading"),"⚠ Usa una cuenta de trading",IF(AND(G2959&lt;=0,P2959&lt;&gt;"Ajuste",P2959&lt;&gt;"Resultado trading"),"⚠ El monto debe ser positivo","✓")))))))))))))))</f>
        <v/>
      </c>
      <c r="P2959" s="52">
        <f>IF(OR(B2959="",G2959=""),"",IF(C2959="","Gasto",C2959))</f>
        <v/>
      </c>
      <c r="Q2959" s="52">
        <f>IF(P2959="","",IF(J2959&lt;&gt;"",J2959,CuentaPred&amp;""))</f>
        <v/>
      </c>
      <c r="R2959" s="52">
        <f>IF(P2959="","",IF(ISNUMBER(I2959),I2959,TasaUSD))</f>
        <v/>
      </c>
      <c r="S2959" s="53">
        <f>IF(P2959="","",IF(H2959="USD",G2959*R2959,G2959))</f>
        <v/>
      </c>
      <c r="T2959" s="53">
        <f>IF(P2959="","",IF(H2959="USD",G2959,IF(R2959&gt;0,G2959/R2959,0)))</f>
        <v/>
      </c>
      <c r="U2959" s="53">
        <f>IF(P2959="","",IF(P2959="Gasto",S2959,IF(P2959="Reembolso",-S2959,0)))</f>
        <v/>
      </c>
      <c r="V2959" s="53">
        <f>IF(P2959="","",IF(P2959="Ingreso",S2959,0))</f>
        <v/>
      </c>
      <c r="W2959" s="53">
        <f>IF(P2959="","",IF(P2959="Resultado trading",S2959,0))</f>
        <v/>
      </c>
      <c r="X2959" s="52">
        <f>IF(OR(P2959="Gasto",P2959="Reembolso"),IF(M2959&lt;&gt;"",M2959,IFERROR(INDEX(catClasif,MATCH(D2959&amp;"|"&amp;E2959,catClave,0))&amp;"","Variable")),"")</f>
        <v/>
      </c>
      <c r="Y2959" s="52">
        <f>IF(P2959="","",IFERROR(INDEX(catGrupo,MATCH(D2959&amp;"|"&amp;E2959,catClave,0))&amp;"",""))</f>
        <v/>
      </c>
      <c r="Z2959" s="52">
        <f>IF(P2959="","",WEEKDAY(B2959,2))</f>
        <v/>
      </c>
      <c r="AA2959" s="52">
        <f>IF(P2959="","",IF(AND(P2959="Gasto",X2959="Variable",D2959&lt;&gt;catTrading,S2959&gt;0,S2959&lt;=Umbral),1,0))</f>
        <v/>
      </c>
      <c r="AB2959" s="52">
        <f>IF(OR(P2959="",Q2959=""),"",IFERROR(IF(INDEX(ctaVinc,MATCH(Q2959,ctaNombre,0))&amp;""&lt;&gt;"",INDEX(ctaVinc,MATCH(Q2959,ctaNombre,0))&amp;"",Q2959),Q2959))</f>
        <v/>
      </c>
      <c r="AC2959" s="52">
        <f>IF(OR(K2959="",AND(P2959&lt;&gt;"Transferencia",P2959&lt;&gt;"Pago tarjeta")),"",IFERROR(IF(INDEX(ctaVinc,MATCH(K2959,ctaNombre,0))&amp;""&lt;&gt;"",INDEX(ctaVinc,MATCH(K2959,ctaNombre,0))&amp;"",K2959),K2959))</f>
        <v/>
      </c>
      <c r="AD2959" s="52">
        <f>IF(AB2959="","",IFERROR(INDEX(ctaTipo,MATCH(AB2959,ctaNombre,0))&amp;"",""))</f>
        <v/>
      </c>
      <c r="AE2959" s="52">
        <f>IF(AC2959="","",IFERROR(INDEX(ctaTipo,MATCH(AC2959,ctaNombre,0))&amp;"",""))</f>
        <v/>
      </c>
      <c r="AF2959" s="53">
        <f>IF(OR(P2959="",AB2959=""),"",IF(OR(P2959="Gasto",P2959="Transferencia",P2959="Pago tarjeta"),-1,1)*IF(IFERROR(INDEX(ctaMoneda,MATCH(AB2959,ctaNombre,0))&amp;"","DOP")="USD",T2959,S2959))</f>
        <v/>
      </c>
      <c r="AG2959" s="53">
        <f>IF(AC2959="","",IF(IFERROR(INDEX(ctaMoneda,MATCH(AC2959,ctaNombre,0))&amp;"","DOP")="USD",T2959,S2959))</f>
        <v/>
      </c>
      <c r="AH2959" s="53">
        <f>IF(P2959="","",IF(AND(AD2959&lt;&gt;"",COUNTIFS(tcTipo,AD2959,tcLiq,"Sí")&gt;0),IF(OR(P2959="Gasto",P2959="Transferencia",P2959="Pago tarjeta"),-1,1)*S2959,0)+IF(AND(AE2959&lt;&gt;"",COUNTIFS(tcTipo,AE2959,tcLiq,"Sí")&gt;0),S2959,0))</f>
        <v/>
      </c>
      <c r="AI2959" s="52">
        <f>IF(OR(L2959="",P2959=""),"",IF(COUNTIFS(L$6:L2959,L2959,P$6:P2959,"?*")=1,MAX(AI$5:AI2958)+1,""))</f>
        <v/>
      </c>
    </row>
    <row r="2960">
      <c r="B2960" s="47" t="n"/>
      <c r="C2960" s="48" t="n"/>
      <c r="D2960" s="48" t="n"/>
      <c r="E2960" s="48" t="n"/>
      <c r="F2960" s="48" t="n"/>
      <c r="G2960" s="49" t="n"/>
      <c r="H2960" s="48" t="n"/>
      <c r="I2960" s="50" t="n"/>
      <c r="J2960" s="48" t="n"/>
      <c r="K2960" s="48" t="n"/>
      <c r="L2960" s="48" t="n"/>
      <c r="M2960" s="48" t="n"/>
      <c r="N2960" s="48" t="n"/>
      <c r="O2960" s="51">
        <f>IF(AND(B2960="",G2960="",C2960="",D2960="",J2960=""),"",IF(B2960="","⚠ Falta fecha",IF(G2960="","⚠ Falta monto",IF(Q2960="","⚠ Falta cuenta",IF(ISNA(MATCH(Q2960,ctaNombre,0)),"⚠ Cuenta no registrada",IF(AND(OR(P2960="Gasto",P2960="Reembolso"),D2960=""),"⚠ Falta categoría",IF(AND(D2960&lt;&gt;"",E2960&lt;&gt;"",ISNA(MATCH(D2960&amp;"|"&amp;E2960,catClave,0))),"⚠ Subcategoría no corresponde",IF(AND(OR(P2960="Transferencia",P2960="Pago tarjeta"),K2960=""),"⚠ Falta cuenta destino",IF(AND(K2960&lt;&gt;"",P2960&lt;&gt;"Transferencia",P2960&lt;&gt;"Pago tarjeta"),"⚠ Destino solo aplica a transferencias",IF(AND(K2960&lt;&gt;"",K2960=Q2960),"⚠ Origen igual a destino",IF(AND(K2960&lt;&gt;"",ISNA(MATCH(K2960,ctaNombre,0))),"⚠ Destino no registrado",IF(AND(P2960="Pago tarjeta",AE2960&lt;&gt;"Tarjeta de crédito"),"⚠ El destino debe ser tarjeta de crédito",IF(AND(P2960="Gasto",E2960="Depósitos y retiros"),"⚠ Usa tipo Transferencia",IF(AND(P2960="Resultado trading",AD2960&lt;&gt;"Cuenta de trading"),"⚠ Usa una cuenta de trading",IF(AND(G2960&lt;=0,P2960&lt;&gt;"Ajuste",P2960&lt;&gt;"Resultado trading"),"⚠ El monto debe ser positivo","✓")))))))))))))))</f>
        <v/>
      </c>
      <c r="P2960" s="52">
        <f>IF(OR(B2960="",G2960=""),"",IF(C2960="","Gasto",C2960))</f>
        <v/>
      </c>
      <c r="Q2960" s="52">
        <f>IF(P2960="","",IF(J2960&lt;&gt;"",J2960,CuentaPred&amp;""))</f>
        <v/>
      </c>
      <c r="R2960" s="52">
        <f>IF(P2960="","",IF(ISNUMBER(I2960),I2960,TasaUSD))</f>
        <v/>
      </c>
      <c r="S2960" s="53">
        <f>IF(P2960="","",IF(H2960="USD",G2960*R2960,G2960))</f>
        <v/>
      </c>
      <c r="T2960" s="53">
        <f>IF(P2960="","",IF(H2960="USD",G2960,IF(R2960&gt;0,G2960/R2960,0)))</f>
        <v/>
      </c>
      <c r="U2960" s="53">
        <f>IF(P2960="","",IF(P2960="Gasto",S2960,IF(P2960="Reembolso",-S2960,0)))</f>
        <v/>
      </c>
      <c r="V2960" s="53">
        <f>IF(P2960="","",IF(P2960="Ingreso",S2960,0))</f>
        <v/>
      </c>
      <c r="W2960" s="53">
        <f>IF(P2960="","",IF(P2960="Resultado trading",S2960,0))</f>
        <v/>
      </c>
      <c r="X2960" s="52">
        <f>IF(OR(P2960="Gasto",P2960="Reembolso"),IF(M2960&lt;&gt;"",M2960,IFERROR(INDEX(catClasif,MATCH(D2960&amp;"|"&amp;E2960,catClave,0))&amp;"","Variable")),"")</f>
        <v/>
      </c>
      <c r="Y2960" s="52">
        <f>IF(P2960="","",IFERROR(INDEX(catGrupo,MATCH(D2960&amp;"|"&amp;E2960,catClave,0))&amp;"",""))</f>
        <v/>
      </c>
      <c r="Z2960" s="52">
        <f>IF(P2960="","",WEEKDAY(B2960,2))</f>
        <v/>
      </c>
      <c r="AA2960" s="52">
        <f>IF(P2960="","",IF(AND(P2960="Gasto",X2960="Variable",D2960&lt;&gt;catTrading,S2960&gt;0,S2960&lt;=Umbral),1,0))</f>
        <v/>
      </c>
      <c r="AB2960" s="52">
        <f>IF(OR(P2960="",Q2960=""),"",IFERROR(IF(INDEX(ctaVinc,MATCH(Q2960,ctaNombre,0))&amp;""&lt;&gt;"",INDEX(ctaVinc,MATCH(Q2960,ctaNombre,0))&amp;"",Q2960),Q2960))</f>
        <v/>
      </c>
      <c r="AC2960" s="52">
        <f>IF(OR(K2960="",AND(P2960&lt;&gt;"Transferencia",P2960&lt;&gt;"Pago tarjeta")),"",IFERROR(IF(INDEX(ctaVinc,MATCH(K2960,ctaNombre,0))&amp;""&lt;&gt;"",INDEX(ctaVinc,MATCH(K2960,ctaNombre,0))&amp;"",K2960),K2960))</f>
        <v/>
      </c>
      <c r="AD2960" s="52">
        <f>IF(AB2960="","",IFERROR(INDEX(ctaTipo,MATCH(AB2960,ctaNombre,0))&amp;"",""))</f>
        <v/>
      </c>
      <c r="AE2960" s="52">
        <f>IF(AC2960="","",IFERROR(INDEX(ctaTipo,MATCH(AC2960,ctaNombre,0))&amp;"",""))</f>
        <v/>
      </c>
      <c r="AF2960" s="53">
        <f>IF(OR(P2960="",AB2960=""),"",IF(OR(P2960="Gasto",P2960="Transferencia",P2960="Pago tarjeta"),-1,1)*IF(IFERROR(INDEX(ctaMoneda,MATCH(AB2960,ctaNombre,0))&amp;"","DOP")="USD",T2960,S2960))</f>
        <v/>
      </c>
      <c r="AG2960" s="53">
        <f>IF(AC2960="","",IF(IFERROR(INDEX(ctaMoneda,MATCH(AC2960,ctaNombre,0))&amp;"","DOP")="USD",T2960,S2960))</f>
        <v/>
      </c>
      <c r="AH2960" s="53">
        <f>IF(P2960="","",IF(AND(AD2960&lt;&gt;"",COUNTIFS(tcTipo,AD2960,tcLiq,"Sí")&gt;0),IF(OR(P2960="Gasto",P2960="Transferencia",P2960="Pago tarjeta"),-1,1)*S2960,0)+IF(AND(AE2960&lt;&gt;"",COUNTIFS(tcTipo,AE2960,tcLiq,"Sí")&gt;0),S2960,0))</f>
        <v/>
      </c>
      <c r="AI2960" s="52">
        <f>IF(OR(L2960="",P2960=""),"",IF(COUNTIFS(L$6:L2960,L2960,P$6:P2960,"?*")=1,MAX(AI$5:AI2959)+1,""))</f>
        <v/>
      </c>
    </row>
    <row r="2961">
      <c r="B2961" s="47" t="n"/>
      <c r="C2961" s="48" t="n"/>
      <c r="D2961" s="48" t="n"/>
      <c r="E2961" s="48" t="n"/>
      <c r="F2961" s="48" t="n"/>
      <c r="G2961" s="49" t="n"/>
      <c r="H2961" s="48" t="n"/>
      <c r="I2961" s="50" t="n"/>
      <c r="J2961" s="48" t="n"/>
      <c r="K2961" s="48" t="n"/>
      <c r="L2961" s="48" t="n"/>
      <c r="M2961" s="48" t="n"/>
      <c r="N2961" s="48" t="n"/>
      <c r="O2961" s="51">
        <f>IF(AND(B2961="",G2961="",C2961="",D2961="",J2961=""),"",IF(B2961="","⚠ Falta fecha",IF(G2961="","⚠ Falta monto",IF(Q2961="","⚠ Falta cuenta",IF(ISNA(MATCH(Q2961,ctaNombre,0)),"⚠ Cuenta no registrada",IF(AND(OR(P2961="Gasto",P2961="Reembolso"),D2961=""),"⚠ Falta categoría",IF(AND(D2961&lt;&gt;"",E2961&lt;&gt;"",ISNA(MATCH(D2961&amp;"|"&amp;E2961,catClave,0))),"⚠ Subcategoría no corresponde",IF(AND(OR(P2961="Transferencia",P2961="Pago tarjeta"),K2961=""),"⚠ Falta cuenta destino",IF(AND(K2961&lt;&gt;"",P2961&lt;&gt;"Transferencia",P2961&lt;&gt;"Pago tarjeta"),"⚠ Destino solo aplica a transferencias",IF(AND(K2961&lt;&gt;"",K2961=Q2961),"⚠ Origen igual a destino",IF(AND(K2961&lt;&gt;"",ISNA(MATCH(K2961,ctaNombre,0))),"⚠ Destino no registrado",IF(AND(P2961="Pago tarjeta",AE2961&lt;&gt;"Tarjeta de crédito"),"⚠ El destino debe ser tarjeta de crédito",IF(AND(P2961="Gasto",E2961="Depósitos y retiros"),"⚠ Usa tipo Transferencia",IF(AND(P2961="Resultado trading",AD2961&lt;&gt;"Cuenta de trading"),"⚠ Usa una cuenta de trading",IF(AND(G2961&lt;=0,P2961&lt;&gt;"Ajuste",P2961&lt;&gt;"Resultado trading"),"⚠ El monto debe ser positivo","✓")))))))))))))))</f>
        <v/>
      </c>
      <c r="P2961" s="52">
        <f>IF(OR(B2961="",G2961=""),"",IF(C2961="","Gasto",C2961))</f>
        <v/>
      </c>
      <c r="Q2961" s="52">
        <f>IF(P2961="","",IF(J2961&lt;&gt;"",J2961,CuentaPred&amp;""))</f>
        <v/>
      </c>
      <c r="R2961" s="52">
        <f>IF(P2961="","",IF(ISNUMBER(I2961),I2961,TasaUSD))</f>
        <v/>
      </c>
      <c r="S2961" s="53">
        <f>IF(P2961="","",IF(H2961="USD",G2961*R2961,G2961))</f>
        <v/>
      </c>
      <c r="T2961" s="53">
        <f>IF(P2961="","",IF(H2961="USD",G2961,IF(R2961&gt;0,G2961/R2961,0)))</f>
        <v/>
      </c>
      <c r="U2961" s="53">
        <f>IF(P2961="","",IF(P2961="Gasto",S2961,IF(P2961="Reembolso",-S2961,0)))</f>
        <v/>
      </c>
      <c r="V2961" s="53">
        <f>IF(P2961="","",IF(P2961="Ingreso",S2961,0))</f>
        <v/>
      </c>
      <c r="W2961" s="53">
        <f>IF(P2961="","",IF(P2961="Resultado trading",S2961,0))</f>
        <v/>
      </c>
      <c r="X2961" s="52">
        <f>IF(OR(P2961="Gasto",P2961="Reembolso"),IF(M2961&lt;&gt;"",M2961,IFERROR(INDEX(catClasif,MATCH(D2961&amp;"|"&amp;E2961,catClave,0))&amp;"","Variable")),"")</f>
        <v/>
      </c>
      <c r="Y2961" s="52">
        <f>IF(P2961="","",IFERROR(INDEX(catGrupo,MATCH(D2961&amp;"|"&amp;E2961,catClave,0))&amp;"",""))</f>
        <v/>
      </c>
      <c r="Z2961" s="52">
        <f>IF(P2961="","",WEEKDAY(B2961,2))</f>
        <v/>
      </c>
      <c r="AA2961" s="52">
        <f>IF(P2961="","",IF(AND(P2961="Gasto",X2961="Variable",D2961&lt;&gt;catTrading,S2961&gt;0,S2961&lt;=Umbral),1,0))</f>
        <v/>
      </c>
      <c r="AB2961" s="52">
        <f>IF(OR(P2961="",Q2961=""),"",IFERROR(IF(INDEX(ctaVinc,MATCH(Q2961,ctaNombre,0))&amp;""&lt;&gt;"",INDEX(ctaVinc,MATCH(Q2961,ctaNombre,0))&amp;"",Q2961),Q2961))</f>
        <v/>
      </c>
      <c r="AC2961" s="52">
        <f>IF(OR(K2961="",AND(P2961&lt;&gt;"Transferencia",P2961&lt;&gt;"Pago tarjeta")),"",IFERROR(IF(INDEX(ctaVinc,MATCH(K2961,ctaNombre,0))&amp;""&lt;&gt;"",INDEX(ctaVinc,MATCH(K2961,ctaNombre,0))&amp;"",K2961),K2961))</f>
        <v/>
      </c>
      <c r="AD2961" s="52">
        <f>IF(AB2961="","",IFERROR(INDEX(ctaTipo,MATCH(AB2961,ctaNombre,0))&amp;"",""))</f>
        <v/>
      </c>
      <c r="AE2961" s="52">
        <f>IF(AC2961="","",IFERROR(INDEX(ctaTipo,MATCH(AC2961,ctaNombre,0))&amp;"",""))</f>
        <v/>
      </c>
      <c r="AF2961" s="53">
        <f>IF(OR(P2961="",AB2961=""),"",IF(OR(P2961="Gasto",P2961="Transferencia",P2961="Pago tarjeta"),-1,1)*IF(IFERROR(INDEX(ctaMoneda,MATCH(AB2961,ctaNombre,0))&amp;"","DOP")="USD",T2961,S2961))</f>
        <v/>
      </c>
      <c r="AG2961" s="53">
        <f>IF(AC2961="","",IF(IFERROR(INDEX(ctaMoneda,MATCH(AC2961,ctaNombre,0))&amp;"","DOP")="USD",T2961,S2961))</f>
        <v/>
      </c>
      <c r="AH2961" s="53">
        <f>IF(P2961="","",IF(AND(AD2961&lt;&gt;"",COUNTIFS(tcTipo,AD2961,tcLiq,"Sí")&gt;0),IF(OR(P2961="Gasto",P2961="Transferencia",P2961="Pago tarjeta"),-1,1)*S2961,0)+IF(AND(AE2961&lt;&gt;"",COUNTIFS(tcTipo,AE2961,tcLiq,"Sí")&gt;0),S2961,0))</f>
        <v/>
      </c>
      <c r="AI2961" s="52">
        <f>IF(OR(L2961="",P2961=""),"",IF(COUNTIFS(L$6:L2961,L2961,P$6:P2961,"?*")=1,MAX(AI$5:AI2960)+1,""))</f>
        <v/>
      </c>
    </row>
    <row r="2962">
      <c r="B2962" s="47" t="n"/>
      <c r="C2962" s="48" t="n"/>
      <c r="D2962" s="48" t="n"/>
      <c r="E2962" s="48" t="n"/>
      <c r="F2962" s="48" t="n"/>
      <c r="G2962" s="49" t="n"/>
      <c r="H2962" s="48" t="n"/>
      <c r="I2962" s="50" t="n"/>
      <c r="J2962" s="48" t="n"/>
      <c r="K2962" s="48" t="n"/>
      <c r="L2962" s="48" t="n"/>
      <c r="M2962" s="48" t="n"/>
      <c r="N2962" s="48" t="n"/>
      <c r="O2962" s="51">
        <f>IF(AND(B2962="",G2962="",C2962="",D2962="",J2962=""),"",IF(B2962="","⚠ Falta fecha",IF(G2962="","⚠ Falta monto",IF(Q2962="","⚠ Falta cuenta",IF(ISNA(MATCH(Q2962,ctaNombre,0)),"⚠ Cuenta no registrada",IF(AND(OR(P2962="Gasto",P2962="Reembolso"),D2962=""),"⚠ Falta categoría",IF(AND(D2962&lt;&gt;"",E2962&lt;&gt;"",ISNA(MATCH(D2962&amp;"|"&amp;E2962,catClave,0))),"⚠ Subcategoría no corresponde",IF(AND(OR(P2962="Transferencia",P2962="Pago tarjeta"),K2962=""),"⚠ Falta cuenta destino",IF(AND(K2962&lt;&gt;"",P2962&lt;&gt;"Transferencia",P2962&lt;&gt;"Pago tarjeta"),"⚠ Destino solo aplica a transferencias",IF(AND(K2962&lt;&gt;"",K2962=Q2962),"⚠ Origen igual a destino",IF(AND(K2962&lt;&gt;"",ISNA(MATCH(K2962,ctaNombre,0))),"⚠ Destino no registrado",IF(AND(P2962="Pago tarjeta",AE2962&lt;&gt;"Tarjeta de crédito"),"⚠ El destino debe ser tarjeta de crédito",IF(AND(P2962="Gasto",E2962="Depósitos y retiros"),"⚠ Usa tipo Transferencia",IF(AND(P2962="Resultado trading",AD2962&lt;&gt;"Cuenta de trading"),"⚠ Usa una cuenta de trading",IF(AND(G2962&lt;=0,P2962&lt;&gt;"Ajuste",P2962&lt;&gt;"Resultado trading"),"⚠ El monto debe ser positivo","✓")))))))))))))))</f>
        <v/>
      </c>
      <c r="P2962" s="52">
        <f>IF(OR(B2962="",G2962=""),"",IF(C2962="","Gasto",C2962))</f>
        <v/>
      </c>
      <c r="Q2962" s="52">
        <f>IF(P2962="","",IF(J2962&lt;&gt;"",J2962,CuentaPred&amp;""))</f>
        <v/>
      </c>
      <c r="R2962" s="52">
        <f>IF(P2962="","",IF(ISNUMBER(I2962),I2962,TasaUSD))</f>
        <v/>
      </c>
      <c r="S2962" s="53">
        <f>IF(P2962="","",IF(H2962="USD",G2962*R2962,G2962))</f>
        <v/>
      </c>
      <c r="T2962" s="53">
        <f>IF(P2962="","",IF(H2962="USD",G2962,IF(R2962&gt;0,G2962/R2962,0)))</f>
        <v/>
      </c>
      <c r="U2962" s="53">
        <f>IF(P2962="","",IF(P2962="Gasto",S2962,IF(P2962="Reembolso",-S2962,0)))</f>
        <v/>
      </c>
      <c r="V2962" s="53">
        <f>IF(P2962="","",IF(P2962="Ingreso",S2962,0))</f>
        <v/>
      </c>
      <c r="W2962" s="53">
        <f>IF(P2962="","",IF(P2962="Resultado trading",S2962,0))</f>
        <v/>
      </c>
      <c r="X2962" s="52">
        <f>IF(OR(P2962="Gasto",P2962="Reembolso"),IF(M2962&lt;&gt;"",M2962,IFERROR(INDEX(catClasif,MATCH(D2962&amp;"|"&amp;E2962,catClave,0))&amp;"","Variable")),"")</f>
        <v/>
      </c>
      <c r="Y2962" s="52">
        <f>IF(P2962="","",IFERROR(INDEX(catGrupo,MATCH(D2962&amp;"|"&amp;E2962,catClave,0))&amp;"",""))</f>
        <v/>
      </c>
      <c r="Z2962" s="52">
        <f>IF(P2962="","",WEEKDAY(B2962,2))</f>
        <v/>
      </c>
      <c r="AA2962" s="52">
        <f>IF(P2962="","",IF(AND(P2962="Gasto",X2962="Variable",D2962&lt;&gt;catTrading,S2962&gt;0,S2962&lt;=Umbral),1,0))</f>
        <v/>
      </c>
      <c r="AB2962" s="52">
        <f>IF(OR(P2962="",Q2962=""),"",IFERROR(IF(INDEX(ctaVinc,MATCH(Q2962,ctaNombre,0))&amp;""&lt;&gt;"",INDEX(ctaVinc,MATCH(Q2962,ctaNombre,0))&amp;"",Q2962),Q2962))</f>
        <v/>
      </c>
      <c r="AC2962" s="52">
        <f>IF(OR(K2962="",AND(P2962&lt;&gt;"Transferencia",P2962&lt;&gt;"Pago tarjeta")),"",IFERROR(IF(INDEX(ctaVinc,MATCH(K2962,ctaNombre,0))&amp;""&lt;&gt;"",INDEX(ctaVinc,MATCH(K2962,ctaNombre,0))&amp;"",K2962),K2962))</f>
        <v/>
      </c>
      <c r="AD2962" s="52">
        <f>IF(AB2962="","",IFERROR(INDEX(ctaTipo,MATCH(AB2962,ctaNombre,0))&amp;"",""))</f>
        <v/>
      </c>
      <c r="AE2962" s="52">
        <f>IF(AC2962="","",IFERROR(INDEX(ctaTipo,MATCH(AC2962,ctaNombre,0))&amp;"",""))</f>
        <v/>
      </c>
      <c r="AF2962" s="53">
        <f>IF(OR(P2962="",AB2962=""),"",IF(OR(P2962="Gasto",P2962="Transferencia",P2962="Pago tarjeta"),-1,1)*IF(IFERROR(INDEX(ctaMoneda,MATCH(AB2962,ctaNombre,0))&amp;"","DOP")="USD",T2962,S2962))</f>
        <v/>
      </c>
      <c r="AG2962" s="53">
        <f>IF(AC2962="","",IF(IFERROR(INDEX(ctaMoneda,MATCH(AC2962,ctaNombre,0))&amp;"","DOP")="USD",T2962,S2962))</f>
        <v/>
      </c>
      <c r="AH2962" s="53">
        <f>IF(P2962="","",IF(AND(AD2962&lt;&gt;"",COUNTIFS(tcTipo,AD2962,tcLiq,"Sí")&gt;0),IF(OR(P2962="Gasto",P2962="Transferencia",P2962="Pago tarjeta"),-1,1)*S2962,0)+IF(AND(AE2962&lt;&gt;"",COUNTIFS(tcTipo,AE2962,tcLiq,"Sí")&gt;0),S2962,0))</f>
        <v/>
      </c>
      <c r="AI2962" s="52">
        <f>IF(OR(L2962="",P2962=""),"",IF(COUNTIFS(L$6:L2962,L2962,P$6:P2962,"?*")=1,MAX(AI$5:AI2961)+1,""))</f>
        <v/>
      </c>
    </row>
    <row r="2963">
      <c r="B2963" s="47" t="n"/>
      <c r="C2963" s="48" t="n"/>
      <c r="D2963" s="48" t="n"/>
      <c r="E2963" s="48" t="n"/>
      <c r="F2963" s="48" t="n"/>
      <c r="G2963" s="49" t="n"/>
      <c r="H2963" s="48" t="n"/>
      <c r="I2963" s="50" t="n"/>
      <c r="J2963" s="48" t="n"/>
      <c r="K2963" s="48" t="n"/>
      <c r="L2963" s="48" t="n"/>
      <c r="M2963" s="48" t="n"/>
      <c r="N2963" s="48" t="n"/>
      <c r="O2963" s="51">
        <f>IF(AND(B2963="",G2963="",C2963="",D2963="",J2963=""),"",IF(B2963="","⚠ Falta fecha",IF(G2963="","⚠ Falta monto",IF(Q2963="","⚠ Falta cuenta",IF(ISNA(MATCH(Q2963,ctaNombre,0)),"⚠ Cuenta no registrada",IF(AND(OR(P2963="Gasto",P2963="Reembolso"),D2963=""),"⚠ Falta categoría",IF(AND(D2963&lt;&gt;"",E2963&lt;&gt;"",ISNA(MATCH(D2963&amp;"|"&amp;E2963,catClave,0))),"⚠ Subcategoría no corresponde",IF(AND(OR(P2963="Transferencia",P2963="Pago tarjeta"),K2963=""),"⚠ Falta cuenta destino",IF(AND(K2963&lt;&gt;"",P2963&lt;&gt;"Transferencia",P2963&lt;&gt;"Pago tarjeta"),"⚠ Destino solo aplica a transferencias",IF(AND(K2963&lt;&gt;"",K2963=Q2963),"⚠ Origen igual a destino",IF(AND(K2963&lt;&gt;"",ISNA(MATCH(K2963,ctaNombre,0))),"⚠ Destino no registrado",IF(AND(P2963="Pago tarjeta",AE2963&lt;&gt;"Tarjeta de crédito"),"⚠ El destino debe ser tarjeta de crédito",IF(AND(P2963="Gasto",E2963="Depósitos y retiros"),"⚠ Usa tipo Transferencia",IF(AND(P2963="Resultado trading",AD2963&lt;&gt;"Cuenta de trading"),"⚠ Usa una cuenta de trading",IF(AND(G2963&lt;=0,P2963&lt;&gt;"Ajuste",P2963&lt;&gt;"Resultado trading"),"⚠ El monto debe ser positivo","✓")))))))))))))))</f>
        <v/>
      </c>
      <c r="P2963" s="52">
        <f>IF(OR(B2963="",G2963=""),"",IF(C2963="","Gasto",C2963))</f>
        <v/>
      </c>
      <c r="Q2963" s="52">
        <f>IF(P2963="","",IF(J2963&lt;&gt;"",J2963,CuentaPred&amp;""))</f>
        <v/>
      </c>
      <c r="R2963" s="52">
        <f>IF(P2963="","",IF(ISNUMBER(I2963),I2963,TasaUSD))</f>
        <v/>
      </c>
      <c r="S2963" s="53">
        <f>IF(P2963="","",IF(H2963="USD",G2963*R2963,G2963))</f>
        <v/>
      </c>
      <c r="T2963" s="53">
        <f>IF(P2963="","",IF(H2963="USD",G2963,IF(R2963&gt;0,G2963/R2963,0)))</f>
        <v/>
      </c>
      <c r="U2963" s="53">
        <f>IF(P2963="","",IF(P2963="Gasto",S2963,IF(P2963="Reembolso",-S2963,0)))</f>
        <v/>
      </c>
      <c r="V2963" s="53">
        <f>IF(P2963="","",IF(P2963="Ingreso",S2963,0))</f>
        <v/>
      </c>
      <c r="W2963" s="53">
        <f>IF(P2963="","",IF(P2963="Resultado trading",S2963,0))</f>
        <v/>
      </c>
      <c r="X2963" s="52">
        <f>IF(OR(P2963="Gasto",P2963="Reembolso"),IF(M2963&lt;&gt;"",M2963,IFERROR(INDEX(catClasif,MATCH(D2963&amp;"|"&amp;E2963,catClave,0))&amp;"","Variable")),"")</f>
        <v/>
      </c>
      <c r="Y2963" s="52">
        <f>IF(P2963="","",IFERROR(INDEX(catGrupo,MATCH(D2963&amp;"|"&amp;E2963,catClave,0))&amp;"",""))</f>
        <v/>
      </c>
      <c r="Z2963" s="52">
        <f>IF(P2963="","",WEEKDAY(B2963,2))</f>
        <v/>
      </c>
      <c r="AA2963" s="52">
        <f>IF(P2963="","",IF(AND(P2963="Gasto",X2963="Variable",D2963&lt;&gt;catTrading,S2963&gt;0,S2963&lt;=Umbral),1,0))</f>
        <v/>
      </c>
      <c r="AB2963" s="52">
        <f>IF(OR(P2963="",Q2963=""),"",IFERROR(IF(INDEX(ctaVinc,MATCH(Q2963,ctaNombre,0))&amp;""&lt;&gt;"",INDEX(ctaVinc,MATCH(Q2963,ctaNombre,0))&amp;"",Q2963),Q2963))</f>
        <v/>
      </c>
      <c r="AC2963" s="52">
        <f>IF(OR(K2963="",AND(P2963&lt;&gt;"Transferencia",P2963&lt;&gt;"Pago tarjeta")),"",IFERROR(IF(INDEX(ctaVinc,MATCH(K2963,ctaNombre,0))&amp;""&lt;&gt;"",INDEX(ctaVinc,MATCH(K2963,ctaNombre,0))&amp;"",K2963),K2963))</f>
        <v/>
      </c>
      <c r="AD2963" s="52">
        <f>IF(AB2963="","",IFERROR(INDEX(ctaTipo,MATCH(AB2963,ctaNombre,0))&amp;"",""))</f>
        <v/>
      </c>
      <c r="AE2963" s="52">
        <f>IF(AC2963="","",IFERROR(INDEX(ctaTipo,MATCH(AC2963,ctaNombre,0))&amp;"",""))</f>
        <v/>
      </c>
      <c r="AF2963" s="53">
        <f>IF(OR(P2963="",AB2963=""),"",IF(OR(P2963="Gasto",P2963="Transferencia",P2963="Pago tarjeta"),-1,1)*IF(IFERROR(INDEX(ctaMoneda,MATCH(AB2963,ctaNombre,0))&amp;"","DOP")="USD",T2963,S2963))</f>
        <v/>
      </c>
      <c r="AG2963" s="53">
        <f>IF(AC2963="","",IF(IFERROR(INDEX(ctaMoneda,MATCH(AC2963,ctaNombre,0))&amp;"","DOP")="USD",T2963,S2963))</f>
        <v/>
      </c>
      <c r="AH2963" s="53">
        <f>IF(P2963="","",IF(AND(AD2963&lt;&gt;"",COUNTIFS(tcTipo,AD2963,tcLiq,"Sí")&gt;0),IF(OR(P2963="Gasto",P2963="Transferencia",P2963="Pago tarjeta"),-1,1)*S2963,0)+IF(AND(AE2963&lt;&gt;"",COUNTIFS(tcTipo,AE2963,tcLiq,"Sí")&gt;0),S2963,0))</f>
        <v/>
      </c>
      <c r="AI2963" s="52">
        <f>IF(OR(L2963="",P2963=""),"",IF(COUNTIFS(L$6:L2963,L2963,P$6:P2963,"?*")=1,MAX(AI$5:AI2962)+1,""))</f>
        <v/>
      </c>
    </row>
    <row r="2964">
      <c r="B2964" s="47" t="n"/>
      <c r="C2964" s="48" t="n"/>
      <c r="D2964" s="48" t="n"/>
      <c r="E2964" s="48" t="n"/>
      <c r="F2964" s="48" t="n"/>
      <c r="G2964" s="49" t="n"/>
      <c r="H2964" s="48" t="n"/>
      <c r="I2964" s="50" t="n"/>
      <c r="J2964" s="48" t="n"/>
      <c r="K2964" s="48" t="n"/>
      <c r="L2964" s="48" t="n"/>
      <c r="M2964" s="48" t="n"/>
      <c r="N2964" s="48" t="n"/>
      <c r="O2964" s="51">
        <f>IF(AND(B2964="",G2964="",C2964="",D2964="",J2964=""),"",IF(B2964="","⚠ Falta fecha",IF(G2964="","⚠ Falta monto",IF(Q2964="","⚠ Falta cuenta",IF(ISNA(MATCH(Q2964,ctaNombre,0)),"⚠ Cuenta no registrada",IF(AND(OR(P2964="Gasto",P2964="Reembolso"),D2964=""),"⚠ Falta categoría",IF(AND(D2964&lt;&gt;"",E2964&lt;&gt;"",ISNA(MATCH(D2964&amp;"|"&amp;E2964,catClave,0))),"⚠ Subcategoría no corresponde",IF(AND(OR(P2964="Transferencia",P2964="Pago tarjeta"),K2964=""),"⚠ Falta cuenta destino",IF(AND(K2964&lt;&gt;"",P2964&lt;&gt;"Transferencia",P2964&lt;&gt;"Pago tarjeta"),"⚠ Destino solo aplica a transferencias",IF(AND(K2964&lt;&gt;"",K2964=Q2964),"⚠ Origen igual a destino",IF(AND(K2964&lt;&gt;"",ISNA(MATCH(K2964,ctaNombre,0))),"⚠ Destino no registrado",IF(AND(P2964="Pago tarjeta",AE2964&lt;&gt;"Tarjeta de crédito"),"⚠ El destino debe ser tarjeta de crédito",IF(AND(P2964="Gasto",E2964="Depósitos y retiros"),"⚠ Usa tipo Transferencia",IF(AND(P2964="Resultado trading",AD2964&lt;&gt;"Cuenta de trading"),"⚠ Usa una cuenta de trading",IF(AND(G2964&lt;=0,P2964&lt;&gt;"Ajuste",P2964&lt;&gt;"Resultado trading"),"⚠ El monto debe ser positivo","✓")))))))))))))))</f>
        <v/>
      </c>
      <c r="P2964" s="52">
        <f>IF(OR(B2964="",G2964=""),"",IF(C2964="","Gasto",C2964))</f>
        <v/>
      </c>
      <c r="Q2964" s="52">
        <f>IF(P2964="","",IF(J2964&lt;&gt;"",J2964,CuentaPred&amp;""))</f>
        <v/>
      </c>
      <c r="R2964" s="52">
        <f>IF(P2964="","",IF(ISNUMBER(I2964),I2964,TasaUSD))</f>
        <v/>
      </c>
      <c r="S2964" s="53">
        <f>IF(P2964="","",IF(H2964="USD",G2964*R2964,G2964))</f>
        <v/>
      </c>
      <c r="T2964" s="53">
        <f>IF(P2964="","",IF(H2964="USD",G2964,IF(R2964&gt;0,G2964/R2964,0)))</f>
        <v/>
      </c>
      <c r="U2964" s="53">
        <f>IF(P2964="","",IF(P2964="Gasto",S2964,IF(P2964="Reembolso",-S2964,0)))</f>
        <v/>
      </c>
      <c r="V2964" s="53">
        <f>IF(P2964="","",IF(P2964="Ingreso",S2964,0))</f>
        <v/>
      </c>
      <c r="W2964" s="53">
        <f>IF(P2964="","",IF(P2964="Resultado trading",S2964,0))</f>
        <v/>
      </c>
      <c r="X2964" s="52">
        <f>IF(OR(P2964="Gasto",P2964="Reembolso"),IF(M2964&lt;&gt;"",M2964,IFERROR(INDEX(catClasif,MATCH(D2964&amp;"|"&amp;E2964,catClave,0))&amp;"","Variable")),"")</f>
        <v/>
      </c>
      <c r="Y2964" s="52">
        <f>IF(P2964="","",IFERROR(INDEX(catGrupo,MATCH(D2964&amp;"|"&amp;E2964,catClave,0))&amp;"",""))</f>
        <v/>
      </c>
      <c r="Z2964" s="52">
        <f>IF(P2964="","",WEEKDAY(B2964,2))</f>
        <v/>
      </c>
      <c r="AA2964" s="52">
        <f>IF(P2964="","",IF(AND(P2964="Gasto",X2964="Variable",D2964&lt;&gt;catTrading,S2964&gt;0,S2964&lt;=Umbral),1,0))</f>
        <v/>
      </c>
      <c r="AB2964" s="52">
        <f>IF(OR(P2964="",Q2964=""),"",IFERROR(IF(INDEX(ctaVinc,MATCH(Q2964,ctaNombre,0))&amp;""&lt;&gt;"",INDEX(ctaVinc,MATCH(Q2964,ctaNombre,0))&amp;"",Q2964),Q2964))</f>
        <v/>
      </c>
      <c r="AC2964" s="52">
        <f>IF(OR(K2964="",AND(P2964&lt;&gt;"Transferencia",P2964&lt;&gt;"Pago tarjeta")),"",IFERROR(IF(INDEX(ctaVinc,MATCH(K2964,ctaNombre,0))&amp;""&lt;&gt;"",INDEX(ctaVinc,MATCH(K2964,ctaNombre,0))&amp;"",K2964),K2964))</f>
        <v/>
      </c>
      <c r="AD2964" s="52">
        <f>IF(AB2964="","",IFERROR(INDEX(ctaTipo,MATCH(AB2964,ctaNombre,0))&amp;"",""))</f>
        <v/>
      </c>
      <c r="AE2964" s="52">
        <f>IF(AC2964="","",IFERROR(INDEX(ctaTipo,MATCH(AC2964,ctaNombre,0))&amp;"",""))</f>
        <v/>
      </c>
      <c r="AF2964" s="53">
        <f>IF(OR(P2964="",AB2964=""),"",IF(OR(P2964="Gasto",P2964="Transferencia",P2964="Pago tarjeta"),-1,1)*IF(IFERROR(INDEX(ctaMoneda,MATCH(AB2964,ctaNombre,0))&amp;"","DOP")="USD",T2964,S2964))</f>
        <v/>
      </c>
      <c r="AG2964" s="53">
        <f>IF(AC2964="","",IF(IFERROR(INDEX(ctaMoneda,MATCH(AC2964,ctaNombre,0))&amp;"","DOP")="USD",T2964,S2964))</f>
        <v/>
      </c>
      <c r="AH2964" s="53">
        <f>IF(P2964="","",IF(AND(AD2964&lt;&gt;"",COUNTIFS(tcTipo,AD2964,tcLiq,"Sí")&gt;0),IF(OR(P2964="Gasto",P2964="Transferencia",P2964="Pago tarjeta"),-1,1)*S2964,0)+IF(AND(AE2964&lt;&gt;"",COUNTIFS(tcTipo,AE2964,tcLiq,"Sí")&gt;0),S2964,0))</f>
        <v/>
      </c>
      <c r="AI2964" s="52">
        <f>IF(OR(L2964="",P2964=""),"",IF(COUNTIFS(L$6:L2964,L2964,P$6:P2964,"?*")=1,MAX(AI$5:AI2963)+1,""))</f>
        <v/>
      </c>
    </row>
    <row r="2965">
      <c r="B2965" s="47" t="n"/>
      <c r="C2965" s="48" t="n"/>
      <c r="D2965" s="48" t="n"/>
      <c r="E2965" s="48" t="n"/>
      <c r="F2965" s="48" t="n"/>
      <c r="G2965" s="49" t="n"/>
      <c r="H2965" s="48" t="n"/>
      <c r="I2965" s="50" t="n"/>
      <c r="J2965" s="48" t="n"/>
      <c r="K2965" s="48" t="n"/>
      <c r="L2965" s="48" t="n"/>
      <c r="M2965" s="48" t="n"/>
      <c r="N2965" s="48" t="n"/>
      <c r="O2965" s="51">
        <f>IF(AND(B2965="",G2965="",C2965="",D2965="",J2965=""),"",IF(B2965="","⚠ Falta fecha",IF(G2965="","⚠ Falta monto",IF(Q2965="","⚠ Falta cuenta",IF(ISNA(MATCH(Q2965,ctaNombre,0)),"⚠ Cuenta no registrada",IF(AND(OR(P2965="Gasto",P2965="Reembolso"),D2965=""),"⚠ Falta categoría",IF(AND(D2965&lt;&gt;"",E2965&lt;&gt;"",ISNA(MATCH(D2965&amp;"|"&amp;E2965,catClave,0))),"⚠ Subcategoría no corresponde",IF(AND(OR(P2965="Transferencia",P2965="Pago tarjeta"),K2965=""),"⚠ Falta cuenta destino",IF(AND(K2965&lt;&gt;"",P2965&lt;&gt;"Transferencia",P2965&lt;&gt;"Pago tarjeta"),"⚠ Destino solo aplica a transferencias",IF(AND(K2965&lt;&gt;"",K2965=Q2965),"⚠ Origen igual a destino",IF(AND(K2965&lt;&gt;"",ISNA(MATCH(K2965,ctaNombre,0))),"⚠ Destino no registrado",IF(AND(P2965="Pago tarjeta",AE2965&lt;&gt;"Tarjeta de crédito"),"⚠ El destino debe ser tarjeta de crédito",IF(AND(P2965="Gasto",E2965="Depósitos y retiros"),"⚠ Usa tipo Transferencia",IF(AND(P2965="Resultado trading",AD2965&lt;&gt;"Cuenta de trading"),"⚠ Usa una cuenta de trading",IF(AND(G2965&lt;=0,P2965&lt;&gt;"Ajuste",P2965&lt;&gt;"Resultado trading"),"⚠ El monto debe ser positivo","✓")))))))))))))))</f>
        <v/>
      </c>
      <c r="P2965" s="52">
        <f>IF(OR(B2965="",G2965=""),"",IF(C2965="","Gasto",C2965))</f>
        <v/>
      </c>
      <c r="Q2965" s="52">
        <f>IF(P2965="","",IF(J2965&lt;&gt;"",J2965,CuentaPred&amp;""))</f>
        <v/>
      </c>
      <c r="R2965" s="52">
        <f>IF(P2965="","",IF(ISNUMBER(I2965),I2965,TasaUSD))</f>
        <v/>
      </c>
      <c r="S2965" s="53">
        <f>IF(P2965="","",IF(H2965="USD",G2965*R2965,G2965))</f>
        <v/>
      </c>
      <c r="T2965" s="53">
        <f>IF(P2965="","",IF(H2965="USD",G2965,IF(R2965&gt;0,G2965/R2965,0)))</f>
        <v/>
      </c>
      <c r="U2965" s="53">
        <f>IF(P2965="","",IF(P2965="Gasto",S2965,IF(P2965="Reembolso",-S2965,0)))</f>
        <v/>
      </c>
      <c r="V2965" s="53">
        <f>IF(P2965="","",IF(P2965="Ingreso",S2965,0))</f>
        <v/>
      </c>
      <c r="W2965" s="53">
        <f>IF(P2965="","",IF(P2965="Resultado trading",S2965,0))</f>
        <v/>
      </c>
      <c r="X2965" s="52">
        <f>IF(OR(P2965="Gasto",P2965="Reembolso"),IF(M2965&lt;&gt;"",M2965,IFERROR(INDEX(catClasif,MATCH(D2965&amp;"|"&amp;E2965,catClave,0))&amp;"","Variable")),"")</f>
        <v/>
      </c>
      <c r="Y2965" s="52">
        <f>IF(P2965="","",IFERROR(INDEX(catGrupo,MATCH(D2965&amp;"|"&amp;E2965,catClave,0))&amp;"",""))</f>
        <v/>
      </c>
      <c r="Z2965" s="52">
        <f>IF(P2965="","",WEEKDAY(B2965,2))</f>
        <v/>
      </c>
      <c r="AA2965" s="52">
        <f>IF(P2965="","",IF(AND(P2965="Gasto",X2965="Variable",D2965&lt;&gt;catTrading,S2965&gt;0,S2965&lt;=Umbral),1,0))</f>
        <v/>
      </c>
      <c r="AB2965" s="52">
        <f>IF(OR(P2965="",Q2965=""),"",IFERROR(IF(INDEX(ctaVinc,MATCH(Q2965,ctaNombre,0))&amp;""&lt;&gt;"",INDEX(ctaVinc,MATCH(Q2965,ctaNombre,0))&amp;"",Q2965),Q2965))</f>
        <v/>
      </c>
      <c r="AC2965" s="52">
        <f>IF(OR(K2965="",AND(P2965&lt;&gt;"Transferencia",P2965&lt;&gt;"Pago tarjeta")),"",IFERROR(IF(INDEX(ctaVinc,MATCH(K2965,ctaNombre,0))&amp;""&lt;&gt;"",INDEX(ctaVinc,MATCH(K2965,ctaNombre,0))&amp;"",K2965),K2965))</f>
        <v/>
      </c>
      <c r="AD2965" s="52">
        <f>IF(AB2965="","",IFERROR(INDEX(ctaTipo,MATCH(AB2965,ctaNombre,0))&amp;"",""))</f>
        <v/>
      </c>
      <c r="AE2965" s="52">
        <f>IF(AC2965="","",IFERROR(INDEX(ctaTipo,MATCH(AC2965,ctaNombre,0))&amp;"",""))</f>
        <v/>
      </c>
      <c r="AF2965" s="53">
        <f>IF(OR(P2965="",AB2965=""),"",IF(OR(P2965="Gasto",P2965="Transferencia",P2965="Pago tarjeta"),-1,1)*IF(IFERROR(INDEX(ctaMoneda,MATCH(AB2965,ctaNombre,0))&amp;"","DOP")="USD",T2965,S2965))</f>
        <v/>
      </c>
      <c r="AG2965" s="53">
        <f>IF(AC2965="","",IF(IFERROR(INDEX(ctaMoneda,MATCH(AC2965,ctaNombre,0))&amp;"","DOP")="USD",T2965,S2965))</f>
        <v/>
      </c>
      <c r="AH2965" s="53">
        <f>IF(P2965="","",IF(AND(AD2965&lt;&gt;"",COUNTIFS(tcTipo,AD2965,tcLiq,"Sí")&gt;0),IF(OR(P2965="Gasto",P2965="Transferencia",P2965="Pago tarjeta"),-1,1)*S2965,0)+IF(AND(AE2965&lt;&gt;"",COUNTIFS(tcTipo,AE2965,tcLiq,"Sí")&gt;0),S2965,0))</f>
        <v/>
      </c>
      <c r="AI2965" s="52">
        <f>IF(OR(L2965="",P2965=""),"",IF(COUNTIFS(L$6:L2965,L2965,P$6:P2965,"?*")=1,MAX(AI$5:AI2964)+1,""))</f>
        <v/>
      </c>
    </row>
    <row r="2966">
      <c r="B2966" s="47" t="n"/>
      <c r="C2966" s="48" t="n"/>
      <c r="D2966" s="48" t="n"/>
      <c r="E2966" s="48" t="n"/>
      <c r="F2966" s="48" t="n"/>
      <c r="G2966" s="49" t="n"/>
      <c r="H2966" s="48" t="n"/>
      <c r="I2966" s="50" t="n"/>
      <c r="J2966" s="48" t="n"/>
      <c r="K2966" s="48" t="n"/>
      <c r="L2966" s="48" t="n"/>
      <c r="M2966" s="48" t="n"/>
      <c r="N2966" s="48" t="n"/>
      <c r="O2966" s="51">
        <f>IF(AND(B2966="",G2966="",C2966="",D2966="",J2966=""),"",IF(B2966="","⚠ Falta fecha",IF(G2966="","⚠ Falta monto",IF(Q2966="","⚠ Falta cuenta",IF(ISNA(MATCH(Q2966,ctaNombre,0)),"⚠ Cuenta no registrada",IF(AND(OR(P2966="Gasto",P2966="Reembolso"),D2966=""),"⚠ Falta categoría",IF(AND(D2966&lt;&gt;"",E2966&lt;&gt;"",ISNA(MATCH(D2966&amp;"|"&amp;E2966,catClave,0))),"⚠ Subcategoría no corresponde",IF(AND(OR(P2966="Transferencia",P2966="Pago tarjeta"),K2966=""),"⚠ Falta cuenta destino",IF(AND(K2966&lt;&gt;"",P2966&lt;&gt;"Transferencia",P2966&lt;&gt;"Pago tarjeta"),"⚠ Destino solo aplica a transferencias",IF(AND(K2966&lt;&gt;"",K2966=Q2966),"⚠ Origen igual a destino",IF(AND(K2966&lt;&gt;"",ISNA(MATCH(K2966,ctaNombre,0))),"⚠ Destino no registrado",IF(AND(P2966="Pago tarjeta",AE2966&lt;&gt;"Tarjeta de crédito"),"⚠ El destino debe ser tarjeta de crédito",IF(AND(P2966="Gasto",E2966="Depósitos y retiros"),"⚠ Usa tipo Transferencia",IF(AND(P2966="Resultado trading",AD2966&lt;&gt;"Cuenta de trading"),"⚠ Usa una cuenta de trading",IF(AND(G2966&lt;=0,P2966&lt;&gt;"Ajuste",P2966&lt;&gt;"Resultado trading"),"⚠ El monto debe ser positivo","✓")))))))))))))))</f>
        <v/>
      </c>
      <c r="P2966" s="52">
        <f>IF(OR(B2966="",G2966=""),"",IF(C2966="","Gasto",C2966))</f>
        <v/>
      </c>
      <c r="Q2966" s="52">
        <f>IF(P2966="","",IF(J2966&lt;&gt;"",J2966,CuentaPred&amp;""))</f>
        <v/>
      </c>
      <c r="R2966" s="52">
        <f>IF(P2966="","",IF(ISNUMBER(I2966),I2966,TasaUSD))</f>
        <v/>
      </c>
      <c r="S2966" s="53">
        <f>IF(P2966="","",IF(H2966="USD",G2966*R2966,G2966))</f>
        <v/>
      </c>
      <c r="T2966" s="53">
        <f>IF(P2966="","",IF(H2966="USD",G2966,IF(R2966&gt;0,G2966/R2966,0)))</f>
        <v/>
      </c>
      <c r="U2966" s="53">
        <f>IF(P2966="","",IF(P2966="Gasto",S2966,IF(P2966="Reembolso",-S2966,0)))</f>
        <v/>
      </c>
      <c r="V2966" s="53">
        <f>IF(P2966="","",IF(P2966="Ingreso",S2966,0))</f>
        <v/>
      </c>
      <c r="W2966" s="53">
        <f>IF(P2966="","",IF(P2966="Resultado trading",S2966,0))</f>
        <v/>
      </c>
      <c r="X2966" s="52">
        <f>IF(OR(P2966="Gasto",P2966="Reembolso"),IF(M2966&lt;&gt;"",M2966,IFERROR(INDEX(catClasif,MATCH(D2966&amp;"|"&amp;E2966,catClave,0))&amp;"","Variable")),"")</f>
        <v/>
      </c>
      <c r="Y2966" s="52">
        <f>IF(P2966="","",IFERROR(INDEX(catGrupo,MATCH(D2966&amp;"|"&amp;E2966,catClave,0))&amp;"",""))</f>
        <v/>
      </c>
      <c r="Z2966" s="52">
        <f>IF(P2966="","",WEEKDAY(B2966,2))</f>
        <v/>
      </c>
      <c r="AA2966" s="52">
        <f>IF(P2966="","",IF(AND(P2966="Gasto",X2966="Variable",D2966&lt;&gt;catTrading,S2966&gt;0,S2966&lt;=Umbral),1,0))</f>
        <v/>
      </c>
      <c r="AB2966" s="52">
        <f>IF(OR(P2966="",Q2966=""),"",IFERROR(IF(INDEX(ctaVinc,MATCH(Q2966,ctaNombre,0))&amp;""&lt;&gt;"",INDEX(ctaVinc,MATCH(Q2966,ctaNombre,0))&amp;"",Q2966),Q2966))</f>
        <v/>
      </c>
      <c r="AC2966" s="52">
        <f>IF(OR(K2966="",AND(P2966&lt;&gt;"Transferencia",P2966&lt;&gt;"Pago tarjeta")),"",IFERROR(IF(INDEX(ctaVinc,MATCH(K2966,ctaNombre,0))&amp;""&lt;&gt;"",INDEX(ctaVinc,MATCH(K2966,ctaNombre,0))&amp;"",K2966),K2966))</f>
        <v/>
      </c>
      <c r="AD2966" s="52">
        <f>IF(AB2966="","",IFERROR(INDEX(ctaTipo,MATCH(AB2966,ctaNombre,0))&amp;"",""))</f>
        <v/>
      </c>
      <c r="AE2966" s="52">
        <f>IF(AC2966="","",IFERROR(INDEX(ctaTipo,MATCH(AC2966,ctaNombre,0))&amp;"",""))</f>
        <v/>
      </c>
      <c r="AF2966" s="53">
        <f>IF(OR(P2966="",AB2966=""),"",IF(OR(P2966="Gasto",P2966="Transferencia",P2966="Pago tarjeta"),-1,1)*IF(IFERROR(INDEX(ctaMoneda,MATCH(AB2966,ctaNombre,0))&amp;"","DOP")="USD",T2966,S2966))</f>
        <v/>
      </c>
      <c r="AG2966" s="53">
        <f>IF(AC2966="","",IF(IFERROR(INDEX(ctaMoneda,MATCH(AC2966,ctaNombre,0))&amp;"","DOP")="USD",T2966,S2966))</f>
        <v/>
      </c>
      <c r="AH2966" s="53">
        <f>IF(P2966="","",IF(AND(AD2966&lt;&gt;"",COUNTIFS(tcTipo,AD2966,tcLiq,"Sí")&gt;0),IF(OR(P2966="Gasto",P2966="Transferencia",P2966="Pago tarjeta"),-1,1)*S2966,0)+IF(AND(AE2966&lt;&gt;"",COUNTIFS(tcTipo,AE2966,tcLiq,"Sí")&gt;0),S2966,0))</f>
        <v/>
      </c>
      <c r="AI2966" s="52">
        <f>IF(OR(L2966="",P2966=""),"",IF(COUNTIFS(L$6:L2966,L2966,P$6:P2966,"?*")=1,MAX(AI$5:AI2965)+1,""))</f>
        <v/>
      </c>
    </row>
    <row r="2967">
      <c r="B2967" s="47" t="n"/>
      <c r="C2967" s="48" t="n"/>
      <c r="D2967" s="48" t="n"/>
      <c r="E2967" s="48" t="n"/>
      <c r="F2967" s="48" t="n"/>
      <c r="G2967" s="49" t="n"/>
      <c r="H2967" s="48" t="n"/>
      <c r="I2967" s="50" t="n"/>
      <c r="J2967" s="48" t="n"/>
      <c r="K2967" s="48" t="n"/>
      <c r="L2967" s="48" t="n"/>
      <c r="M2967" s="48" t="n"/>
      <c r="N2967" s="48" t="n"/>
      <c r="O2967" s="51">
        <f>IF(AND(B2967="",G2967="",C2967="",D2967="",J2967=""),"",IF(B2967="","⚠ Falta fecha",IF(G2967="","⚠ Falta monto",IF(Q2967="","⚠ Falta cuenta",IF(ISNA(MATCH(Q2967,ctaNombre,0)),"⚠ Cuenta no registrada",IF(AND(OR(P2967="Gasto",P2967="Reembolso"),D2967=""),"⚠ Falta categoría",IF(AND(D2967&lt;&gt;"",E2967&lt;&gt;"",ISNA(MATCH(D2967&amp;"|"&amp;E2967,catClave,0))),"⚠ Subcategoría no corresponde",IF(AND(OR(P2967="Transferencia",P2967="Pago tarjeta"),K2967=""),"⚠ Falta cuenta destino",IF(AND(K2967&lt;&gt;"",P2967&lt;&gt;"Transferencia",P2967&lt;&gt;"Pago tarjeta"),"⚠ Destino solo aplica a transferencias",IF(AND(K2967&lt;&gt;"",K2967=Q2967),"⚠ Origen igual a destino",IF(AND(K2967&lt;&gt;"",ISNA(MATCH(K2967,ctaNombre,0))),"⚠ Destino no registrado",IF(AND(P2967="Pago tarjeta",AE2967&lt;&gt;"Tarjeta de crédito"),"⚠ El destino debe ser tarjeta de crédito",IF(AND(P2967="Gasto",E2967="Depósitos y retiros"),"⚠ Usa tipo Transferencia",IF(AND(P2967="Resultado trading",AD2967&lt;&gt;"Cuenta de trading"),"⚠ Usa una cuenta de trading",IF(AND(G2967&lt;=0,P2967&lt;&gt;"Ajuste",P2967&lt;&gt;"Resultado trading"),"⚠ El monto debe ser positivo","✓")))))))))))))))</f>
        <v/>
      </c>
      <c r="P2967" s="52">
        <f>IF(OR(B2967="",G2967=""),"",IF(C2967="","Gasto",C2967))</f>
        <v/>
      </c>
      <c r="Q2967" s="52">
        <f>IF(P2967="","",IF(J2967&lt;&gt;"",J2967,CuentaPred&amp;""))</f>
        <v/>
      </c>
      <c r="R2967" s="52">
        <f>IF(P2967="","",IF(ISNUMBER(I2967),I2967,TasaUSD))</f>
        <v/>
      </c>
      <c r="S2967" s="53">
        <f>IF(P2967="","",IF(H2967="USD",G2967*R2967,G2967))</f>
        <v/>
      </c>
      <c r="T2967" s="53">
        <f>IF(P2967="","",IF(H2967="USD",G2967,IF(R2967&gt;0,G2967/R2967,0)))</f>
        <v/>
      </c>
      <c r="U2967" s="53">
        <f>IF(P2967="","",IF(P2967="Gasto",S2967,IF(P2967="Reembolso",-S2967,0)))</f>
        <v/>
      </c>
      <c r="V2967" s="53">
        <f>IF(P2967="","",IF(P2967="Ingreso",S2967,0))</f>
        <v/>
      </c>
      <c r="W2967" s="53">
        <f>IF(P2967="","",IF(P2967="Resultado trading",S2967,0))</f>
        <v/>
      </c>
      <c r="X2967" s="52">
        <f>IF(OR(P2967="Gasto",P2967="Reembolso"),IF(M2967&lt;&gt;"",M2967,IFERROR(INDEX(catClasif,MATCH(D2967&amp;"|"&amp;E2967,catClave,0))&amp;"","Variable")),"")</f>
        <v/>
      </c>
      <c r="Y2967" s="52">
        <f>IF(P2967="","",IFERROR(INDEX(catGrupo,MATCH(D2967&amp;"|"&amp;E2967,catClave,0))&amp;"",""))</f>
        <v/>
      </c>
      <c r="Z2967" s="52">
        <f>IF(P2967="","",WEEKDAY(B2967,2))</f>
        <v/>
      </c>
      <c r="AA2967" s="52">
        <f>IF(P2967="","",IF(AND(P2967="Gasto",X2967="Variable",D2967&lt;&gt;catTrading,S2967&gt;0,S2967&lt;=Umbral),1,0))</f>
        <v/>
      </c>
      <c r="AB2967" s="52">
        <f>IF(OR(P2967="",Q2967=""),"",IFERROR(IF(INDEX(ctaVinc,MATCH(Q2967,ctaNombre,0))&amp;""&lt;&gt;"",INDEX(ctaVinc,MATCH(Q2967,ctaNombre,0))&amp;"",Q2967),Q2967))</f>
        <v/>
      </c>
      <c r="AC2967" s="52">
        <f>IF(OR(K2967="",AND(P2967&lt;&gt;"Transferencia",P2967&lt;&gt;"Pago tarjeta")),"",IFERROR(IF(INDEX(ctaVinc,MATCH(K2967,ctaNombre,0))&amp;""&lt;&gt;"",INDEX(ctaVinc,MATCH(K2967,ctaNombre,0))&amp;"",K2967),K2967))</f>
        <v/>
      </c>
      <c r="AD2967" s="52">
        <f>IF(AB2967="","",IFERROR(INDEX(ctaTipo,MATCH(AB2967,ctaNombre,0))&amp;"",""))</f>
        <v/>
      </c>
      <c r="AE2967" s="52">
        <f>IF(AC2967="","",IFERROR(INDEX(ctaTipo,MATCH(AC2967,ctaNombre,0))&amp;"",""))</f>
        <v/>
      </c>
      <c r="AF2967" s="53">
        <f>IF(OR(P2967="",AB2967=""),"",IF(OR(P2967="Gasto",P2967="Transferencia",P2967="Pago tarjeta"),-1,1)*IF(IFERROR(INDEX(ctaMoneda,MATCH(AB2967,ctaNombre,0))&amp;"","DOP")="USD",T2967,S2967))</f>
        <v/>
      </c>
      <c r="AG2967" s="53">
        <f>IF(AC2967="","",IF(IFERROR(INDEX(ctaMoneda,MATCH(AC2967,ctaNombre,0))&amp;"","DOP")="USD",T2967,S2967))</f>
        <v/>
      </c>
      <c r="AH2967" s="53">
        <f>IF(P2967="","",IF(AND(AD2967&lt;&gt;"",COUNTIFS(tcTipo,AD2967,tcLiq,"Sí")&gt;0),IF(OR(P2967="Gasto",P2967="Transferencia",P2967="Pago tarjeta"),-1,1)*S2967,0)+IF(AND(AE2967&lt;&gt;"",COUNTIFS(tcTipo,AE2967,tcLiq,"Sí")&gt;0),S2967,0))</f>
        <v/>
      </c>
      <c r="AI2967" s="52">
        <f>IF(OR(L2967="",P2967=""),"",IF(COUNTIFS(L$6:L2967,L2967,P$6:P2967,"?*")=1,MAX(AI$5:AI2966)+1,""))</f>
        <v/>
      </c>
    </row>
    <row r="2968">
      <c r="B2968" s="47" t="n"/>
      <c r="C2968" s="48" t="n"/>
      <c r="D2968" s="48" t="n"/>
      <c r="E2968" s="48" t="n"/>
      <c r="F2968" s="48" t="n"/>
      <c r="G2968" s="49" t="n"/>
      <c r="H2968" s="48" t="n"/>
      <c r="I2968" s="50" t="n"/>
      <c r="J2968" s="48" t="n"/>
      <c r="K2968" s="48" t="n"/>
      <c r="L2968" s="48" t="n"/>
      <c r="M2968" s="48" t="n"/>
      <c r="N2968" s="48" t="n"/>
      <c r="O2968" s="51">
        <f>IF(AND(B2968="",G2968="",C2968="",D2968="",J2968=""),"",IF(B2968="","⚠ Falta fecha",IF(G2968="","⚠ Falta monto",IF(Q2968="","⚠ Falta cuenta",IF(ISNA(MATCH(Q2968,ctaNombre,0)),"⚠ Cuenta no registrada",IF(AND(OR(P2968="Gasto",P2968="Reembolso"),D2968=""),"⚠ Falta categoría",IF(AND(D2968&lt;&gt;"",E2968&lt;&gt;"",ISNA(MATCH(D2968&amp;"|"&amp;E2968,catClave,0))),"⚠ Subcategoría no corresponde",IF(AND(OR(P2968="Transferencia",P2968="Pago tarjeta"),K2968=""),"⚠ Falta cuenta destino",IF(AND(K2968&lt;&gt;"",P2968&lt;&gt;"Transferencia",P2968&lt;&gt;"Pago tarjeta"),"⚠ Destino solo aplica a transferencias",IF(AND(K2968&lt;&gt;"",K2968=Q2968),"⚠ Origen igual a destino",IF(AND(K2968&lt;&gt;"",ISNA(MATCH(K2968,ctaNombre,0))),"⚠ Destino no registrado",IF(AND(P2968="Pago tarjeta",AE2968&lt;&gt;"Tarjeta de crédito"),"⚠ El destino debe ser tarjeta de crédito",IF(AND(P2968="Gasto",E2968="Depósitos y retiros"),"⚠ Usa tipo Transferencia",IF(AND(P2968="Resultado trading",AD2968&lt;&gt;"Cuenta de trading"),"⚠ Usa una cuenta de trading",IF(AND(G2968&lt;=0,P2968&lt;&gt;"Ajuste",P2968&lt;&gt;"Resultado trading"),"⚠ El monto debe ser positivo","✓")))))))))))))))</f>
        <v/>
      </c>
      <c r="P2968" s="52">
        <f>IF(OR(B2968="",G2968=""),"",IF(C2968="","Gasto",C2968))</f>
        <v/>
      </c>
      <c r="Q2968" s="52">
        <f>IF(P2968="","",IF(J2968&lt;&gt;"",J2968,CuentaPred&amp;""))</f>
        <v/>
      </c>
      <c r="R2968" s="52">
        <f>IF(P2968="","",IF(ISNUMBER(I2968),I2968,TasaUSD))</f>
        <v/>
      </c>
      <c r="S2968" s="53">
        <f>IF(P2968="","",IF(H2968="USD",G2968*R2968,G2968))</f>
        <v/>
      </c>
      <c r="T2968" s="53">
        <f>IF(P2968="","",IF(H2968="USD",G2968,IF(R2968&gt;0,G2968/R2968,0)))</f>
        <v/>
      </c>
      <c r="U2968" s="53">
        <f>IF(P2968="","",IF(P2968="Gasto",S2968,IF(P2968="Reembolso",-S2968,0)))</f>
        <v/>
      </c>
      <c r="V2968" s="53">
        <f>IF(P2968="","",IF(P2968="Ingreso",S2968,0))</f>
        <v/>
      </c>
      <c r="W2968" s="53">
        <f>IF(P2968="","",IF(P2968="Resultado trading",S2968,0))</f>
        <v/>
      </c>
      <c r="X2968" s="52">
        <f>IF(OR(P2968="Gasto",P2968="Reembolso"),IF(M2968&lt;&gt;"",M2968,IFERROR(INDEX(catClasif,MATCH(D2968&amp;"|"&amp;E2968,catClave,0))&amp;"","Variable")),"")</f>
        <v/>
      </c>
      <c r="Y2968" s="52">
        <f>IF(P2968="","",IFERROR(INDEX(catGrupo,MATCH(D2968&amp;"|"&amp;E2968,catClave,0))&amp;"",""))</f>
        <v/>
      </c>
      <c r="Z2968" s="52">
        <f>IF(P2968="","",WEEKDAY(B2968,2))</f>
        <v/>
      </c>
      <c r="AA2968" s="52">
        <f>IF(P2968="","",IF(AND(P2968="Gasto",X2968="Variable",D2968&lt;&gt;catTrading,S2968&gt;0,S2968&lt;=Umbral),1,0))</f>
        <v/>
      </c>
      <c r="AB2968" s="52">
        <f>IF(OR(P2968="",Q2968=""),"",IFERROR(IF(INDEX(ctaVinc,MATCH(Q2968,ctaNombre,0))&amp;""&lt;&gt;"",INDEX(ctaVinc,MATCH(Q2968,ctaNombre,0))&amp;"",Q2968),Q2968))</f>
        <v/>
      </c>
      <c r="AC2968" s="52">
        <f>IF(OR(K2968="",AND(P2968&lt;&gt;"Transferencia",P2968&lt;&gt;"Pago tarjeta")),"",IFERROR(IF(INDEX(ctaVinc,MATCH(K2968,ctaNombre,0))&amp;""&lt;&gt;"",INDEX(ctaVinc,MATCH(K2968,ctaNombre,0))&amp;"",K2968),K2968))</f>
        <v/>
      </c>
      <c r="AD2968" s="52">
        <f>IF(AB2968="","",IFERROR(INDEX(ctaTipo,MATCH(AB2968,ctaNombre,0))&amp;"",""))</f>
        <v/>
      </c>
      <c r="AE2968" s="52">
        <f>IF(AC2968="","",IFERROR(INDEX(ctaTipo,MATCH(AC2968,ctaNombre,0))&amp;"",""))</f>
        <v/>
      </c>
      <c r="AF2968" s="53">
        <f>IF(OR(P2968="",AB2968=""),"",IF(OR(P2968="Gasto",P2968="Transferencia",P2968="Pago tarjeta"),-1,1)*IF(IFERROR(INDEX(ctaMoneda,MATCH(AB2968,ctaNombre,0))&amp;"","DOP")="USD",T2968,S2968))</f>
        <v/>
      </c>
      <c r="AG2968" s="53">
        <f>IF(AC2968="","",IF(IFERROR(INDEX(ctaMoneda,MATCH(AC2968,ctaNombre,0))&amp;"","DOP")="USD",T2968,S2968))</f>
        <v/>
      </c>
      <c r="AH2968" s="53">
        <f>IF(P2968="","",IF(AND(AD2968&lt;&gt;"",COUNTIFS(tcTipo,AD2968,tcLiq,"Sí")&gt;0),IF(OR(P2968="Gasto",P2968="Transferencia",P2968="Pago tarjeta"),-1,1)*S2968,0)+IF(AND(AE2968&lt;&gt;"",COUNTIFS(tcTipo,AE2968,tcLiq,"Sí")&gt;0),S2968,0))</f>
        <v/>
      </c>
      <c r="AI2968" s="52">
        <f>IF(OR(L2968="",P2968=""),"",IF(COUNTIFS(L$6:L2968,L2968,P$6:P2968,"?*")=1,MAX(AI$5:AI2967)+1,""))</f>
        <v/>
      </c>
    </row>
    <row r="2969">
      <c r="B2969" s="47" t="n"/>
      <c r="C2969" s="48" t="n"/>
      <c r="D2969" s="48" t="n"/>
      <c r="E2969" s="48" t="n"/>
      <c r="F2969" s="48" t="n"/>
      <c r="G2969" s="49" t="n"/>
      <c r="H2969" s="48" t="n"/>
      <c r="I2969" s="50" t="n"/>
      <c r="J2969" s="48" t="n"/>
      <c r="K2969" s="48" t="n"/>
      <c r="L2969" s="48" t="n"/>
      <c r="M2969" s="48" t="n"/>
      <c r="N2969" s="48" t="n"/>
      <c r="O2969" s="51">
        <f>IF(AND(B2969="",G2969="",C2969="",D2969="",J2969=""),"",IF(B2969="","⚠ Falta fecha",IF(G2969="","⚠ Falta monto",IF(Q2969="","⚠ Falta cuenta",IF(ISNA(MATCH(Q2969,ctaNombre,0)),"⚠ Cuenta no registrada",IF(AND(OR(P2969="Gasto",P2969="Reembolso"),D2969=""),"⚠ Falta categoría",IF(AND(D2969&lt;&gt;"",E2969&lt;&gt;"",ISNA(MATCH(D2969&amp;"|"&amp;E2969,catClave,0))),"⚠ Subcategoría no corresponde",IF(AND(OR(P2969="Transferencia",P2969="Pago tarjeta"),K2969=""),"⚠ Falta cuenta destino",IF(AND(K2969&lt;&gt;"",P2969&lt;&gt;"Transferencia",P2969&lt;&gt;"Pago tarjeta"),"⚠ Destino solo aplica a transferencias",IF(AND(K2969&lt;&gt;"",K2969=Q2969),"⚠ Origen igual a destino",IF(AND(K2969&lt;&gt;"",ISNA(MATCH(K2969,ctaNombre,0))),"⚠ Destino no registrado",IF(AND(P2969="Pago tarjeta",AE2969&lt;&gt;"Tarjeta de crédito"),"⚠ El destino debe ser tarjeta de crédito",IF(AND(P2969="Gasto",E2969="Depósitos y retiros"),"⚠ Usa tipo Transferencia",IF(AND(P2969="Resultado trading",AD2969&lt;&gt;"Cuenta de trading"),"⚠ Usa una cuenta de trading",IF(AND(G2969&lt;=0,P2969&lt;&gt;"Ajuste",P2969&lt;&gt;"Resultado trading"),"⚠ El monto debe ser positivo","✓")))))))))))))))</f>
        <v/>
      </c>
      <c r="P2969" s="52">
        <f>IF(OR(B2969="",G2969=""),"",IF(C2969="","Gasto",C2969))</f>
        <v/>
      </c>
      <c r="Q2969" s="52">
        <f>IF(P2969="","",IF(J2969&lt;&gt;"",J2969,CuentaPred&amp;""))</f>
        <v/>
      </c>
      <c r="R2969" s="52">
        <f>IF(P2969="","",IF(ISNUMBER(I2969),I2969,TasaUSD))</f>
        <v/>
      </c>
      <c r="S2969" s="53">
        <f>IF(P2969="","",IF(H2969="USD",G2969*R2969,G2969))</f>
        <v/>
      </c>
      <c r="T2969" s="53">
        <f>IF(P2969="","",IF(H2969="USD",G2969,IF(R2969&gt;0,G2969/R2969,0)))</f>
        <v/>
      </c>
      <c r="U2969" s="53">
        <f>IF(P2969="","",IF(P2969="Gasto",S2969,IF(P2969="Reembolso",-S2969,0)))</f>
        <v/>
      </c>
      <c r="V2969" s="53">
        <f>IF(P2969="","",IF(P2969="Ingreso",S2969,0))</f>
        <v/>
      </c>
      <c r="W2969" s="53">
        <f>IF(P2969="","",IF(P2969="Resultado trading",S2969,0))</f>
        <v/>
      </c>
      <c r="X2969" s="52">
        <f>IF(OR(P2969="Gasto",P2969="Reembolso"),IF(M2969&lt;&gt;"",M2969,IFERROR(INDEX(catClasif,MATCH(D2969&amp;"|"&amp;E2969,catClave,0))&amp;"","Variable")),"")</f>
        <v/>
      </c>
      <c r="Y2969" s="52">
        <f>IF(P2969="","",IFERROR(INDEX(catGrupo,MATCH(D2969&amp;"|"&amp;E2969,catClave,0))&amp;"",""))</f>
        <v/>
      </c>
      <c r="Z2969" s="52">
        <f>IF(P2969="","",WEEKDAY(B2969,2))</f>
        <v/>
      </c>
      <c r="AA2969" s="52">
        <f>IF(P2969="","",IF(AND(P2969="Gasto",X2969="Variable",D2969&lt;&gt;catTrading,S2969&gt;0,S2969&lt;=Umbral),1,0))</f>
        <v/>
      </c>
      <c r="AB2969" s="52">
        <f>IF(OR(P2969="",Q2969=""),"",IFERROR(IF(INDEX(ctaVinc,MATCH(Q2969,ctaNombre,0))&amp;""&lt;&gt;"",INDEX(ctaVinc,MATCH(Q2969,ctaNombre,0))&amp;"",Q2969),Q2969))</f>
        <v/>
      </c>
      <c r="AC2969" s="52">
        <f>IF(OR(K2969="",AND(P2969&lt;&gt;"Transferencia",P2969&lt;&gt;"Pago tarjeta")),"",IFERROR(IF(INDEX(ctaVinc,MATCH(K2969,ctaNombre,0))&amp;""&lt;&gt;"",INDEX(ctaVinc,MATCH(K2969,ctaNombre,0))&amp;"",K2969),K2969))</f>
        <v/>
      </c>
      <c r="AD2969" s="52">
        <f>IF(AB2969="","",IFERROR(INDEX(ctaTipo,MATCH(AB2969,ctaNombre,0))&amp;"",""))</f>
        <v/>
      </c>
      <c r="AE2969" s="52">
        <f>IF(AC2969="","",IFERROR(INDEX(ctaTipo,MATCH(AC2969,ctaNombre,0))&amp;"",""))</f>
        <v/>
      </c>
      <c r="AF2969" s="53">
        <f>IF(OR(P2969="",AB2969=""),"",IF(OR(P2969="Gasto",P2969="Transferencia",P2969="Pago tarjeta"),-1,1)*IF(IFERROR(INDEX(ctaMoneda,MATCH(AB2969,ctaNombre,0))&amp;"","DOP")="USD",T2969,S2969))</f>
        <v/>
      </c>
      <c r="AG2969" s="53">
        <f>IF(AC2969="","",IF(IFERROR(INDEX(ctaMoneda,MATCH(AC2969,ctaNombre,0))&amp;"","DOP")="USD",T2969,S2969))</f>
        <v/>
      </c>
      <c r="AH2969" s="53">
        <f>IF(P2969="","",IF(AND(AD2969&lt;&gt;"",COUNTIFS(tcTipo,AD2969,tcLiq,"Sí")&gt;0),IF(OR(P2969="Gasto",P2969="Transferencia",P2969="Pago tarjeta"),-1,1)*S2969,0)+IF(AND(AE2969&lt;&gt;"",COUNTIFS(tcTipo,AE2969,tcLiq,"Sí")&gt;0),S2969,0))</f>
        <v/>
      </c>
      <c r="AI2969" s="52">
        <f>IF(OR(L2969="",P2969=""),"",IF(COUNTIFS(L$6:L2969,L2969,P$6:P2969,"?*")=1,MAX(AI$5:AI2968)+1,""))</f>
        <v/>
      </c>
    </row>
    <row r="2970">
      <c r="B2970" s="47" t="n"/>
      <c r="C2970" s="48" t="n"/>
      <c r="D2970" s="48" t="n"/>
      <c r="E2970" s="48" t="n"/>
      <c r="F2970" s="48" t="n"/>
      <c r="G2970" s="49" t="n"/>
      <c r="H2970" s="48" t="n"/>
      <c r="I2970" s="50" t="n"/>
      <c r="J2970" s="48" t="n"/>
      <c r="K2970" s="48" t="n"/>
      <c r="L2970" s="48" t="n"/>
      <c r="M2970" s="48" t="n"/>
      <c r="N2970" s="48" t="n"/>
      <c r="O2970" s="51">
        <f>IF(AND(B2970="",G2970="",C2970="",D2970="",J2970=""),"",IF(B2970="","⚠ Falta fecha",IF(G2970="","⚠ Falta monto",IF(Q2970="","⚠ Falta cuenta",IF(ISNA(MATCH(Q2970,ctaNombre,0)),"⚠ Cuenta no registrada",IF(AND(OR(P2970="Gasto",P2970="Reembolso"),D2970=""),"⚠ Falta categoría",IF(AND(D2970&lt;&gt;"",E2970&lt;&gt;"",ISNA(MATCH(D2970&amp;"|"&amp;E2970,catClave,0))),"⚠ Subcategoría no corresponde",IF(AND(OR(P2970="Transferencia",P2970="Pago tarjeta"),K2970=""),"⚠ Falta cuenta destino",IF(AND(K2970&lt;&gt;"",P2970&lt;&gt;"Transferencia",P2970&lt;&gt;"Pago tarjeta"),"⚠ Destino solo aplica a transferencias",IF(AND(K2970&lt;&gt;"",K2970=Q2970),"⚠ Origen igual a destino",IF(AND(K2970&lt;&gt;"",ISNA(MATCH(K2970,ctaNombre,0))),"⚠ Destino no registrado",IF(AND(P2970="Pago tarjeta",AE2970&lt;&gt;"Tarjeta de crédito"),"⚠ El destino debe ser tarjeta de crédito",IF(AND(P2970="Gasto",E2970="Depósitos y retiros"),"⚠ Usa tipo Transferencia",IF(AND(P2970="Resultado trading",AD2970&lt;&gt;"Cuenta de trading"),"⚠ Usa una cuenta de trading",IF(AND(G2970&lt;=0,P2970&lt;&gt;"Ajuste",P2970&lt;&gt;"Resultado trading"),"⚠ El monto debe ser positivo","✓")))))))))))))))</f>
        <v/>
      </c>
      <c r="P2970" s="52">
        <f>IF(OR(B2970="",G2970=""),"",IF(C2970="","Gasto",C2970))</f>
        <v/>
      </c>
      <c r="Q2970" s="52">
        <f>IF(P2970="","",IF(J2970&lt;&gt;"",J2970,CuentaPred&amp;""))</f>
        <v/>
      </c>
      <c r="R2970" s="52">
        <f>IF(P2970="","",IF(ISNUMBER(I2970),I2970,TasaUSD))</f>
        <v/>
      </c>
      <c r="S2970" s="53">
        <f>IF(P2970="","",IF(H2970="USD",G2970*R2970,G2970))</f>
        <v/>
      </c>
      <c r="T2970" s="53">
        <f>IF(P2970="","",IF(H2970="USD",G2970,IF(R2970&gt;0,G2970/R2970,0)))</f>
        <v/>
      </c>
      <c r="U2970" s="53">
        <f>IF(P2970="","",IF(P2970="Gasto",S2970,IF(P2970="Reembolso",-S2970,0)))</f>
        <v/>
      </c>
      <c r="V2970" s="53">
        <f>IF(P2970="","",IF(P2970="Ingreso",S2970,0))</f>
        <v/>
      </c>
      <c r="W2970" s="53">
        <f>IF(P2970="","",IF(P2970="Resultado trading",S2970,0))</f>
        <v/>
      </c>
      <c r="X2970" s="52">
        <f>IF(OR(P2970="Gasto",P2970="Reembolso"),IF(M2970&lt;&gt;"",M2970,IFERROR(INDEX(catClasif,MATCH(D2970&amp;"|"&amp;E2970,catClave,0))&amp;"","Variable")),"")</f>
        <v/>
      </c>
      <c r="Y2970" s="52">
        <f>IF(P2970="","",IFERROR(INDEX(catGrupo,MATCH(D2970&amp;"|"&amp;E2970,catClave,0))&amp;"",""))</f>
        <v/>
      </c>
      <c r="Z2970" s="52">
        <f>IF(P2970="","",WEEKDAY(B2970,2))</f>
        <v/>
      </c>
      <c r="AA2970" s="52">
        <f>IF(P2970="","",IF(AND(P2970="Gasto",X2970="Variable",D2970&lt;&gt;catTrading,S2970&gt;0,S2970&lt;=Umbral),1,0))</f>
        <v/>
      </c>
      <c r="AB2970" s="52">
        <f>IF(OR(P2970="",Q2970=""),"",IFERROR(IF(INDEX(ctaVinc,MATCH(Q2970,ctaNombre,0))&amp;""&lt;&gt;"",INDEX(ctaVinc,MATCH(Q2970,ctaNombre,0))&amp;"",Q2970),Q2970))</f>
        <v/>
      </c>
      <c r="AC2970" s="52">
        <f>IF(OR(K2970="",AND(P2970&lt;&gt;"Transferencia",P2970&lt;&gt;"Pago tarjeta")),"",IFERROR(IF(INDEX(ctaVinc,MATCH(K2970,ctaNombre,0))&amp;""&lt;&gt;"",INDEX(ctaVinc,MATCH(K2970,ctaNombre,0))&amp;"",K2970),K2970))</f>
        <v/>
      </c>
      <c r="AD2970" s="52">
        <f>IF(AB2970="","",IFERROR(INDEX(ctaTipo,MATCH(AB2970,ctaNombre,0))&amp;"",""))</f>
        <v/>
      </c>
      <c r="AE2970" s="52">
        <f>IF(AC2970="","",IFERROR(INDEX(ctaTipo,MATCH(AC2970,ctaNombre,0))&amp;"",""))</f>
        <v/>
      </c>
      <c r="AF2970" s="53">
        <f>IF(OR(P2970="",AB2970=""),"",IF(OR(P2970="Gasto",P2970="Transferencia",P2970="Pago tarjeta"),-1,1)*IF(IFERROR(INDEX(ctaMoneda,MATCH(AB2970,ctaNombre,0))&amp;"","DOP")="USD",T2970,S2970))</f>
        <v/>
      </c>
      <c r="AG2970" s="53">
        <f>IF(AC2970="","",IF(IFERROR(INDEX(ctaMoneda,MATCH(AC2970,ctaNombre,0))&amp;"","DOP")="USD",T2970,S2970))</f>
        <v/>
      </c>
      <c r="AH2970" s="53">
        <f>IF(P2970="","",IF(AND(AD2970&lt;&gt;"",COUNTIFS(tcTipo,AD2970,tcLiq,"Sí")&gt;0),IF(OR(P2970="Gasto",P2970="Transferencia",P2970="Pago tarjeta"),-1,1)*S2970,0)+IF(AND(AE2970&lt;&gt;"",COUNTIFS(tcTipo,AE2970,tcLiq,"Sí")&gt;0),S2970,0))</f>
        <v/>
      </c>
      <c r="AI2970" s="52">
        <f>IF(OR(L2970="",P2970=""),"",IF(COUNTIFS(L$6:L2970,L2970,P$6:P2970,"?*")=1,MAX(AI$5:AI2969)+1,""))</f>
        <v/>
      </c>
    </row>
    <row r="2971">
      <c r="B2971" s="47" t="n"/>
      <c r="C2971" s="48" t="n"/>
      <c r="D2971" s="48" t="n"/>
      <c r="E2971" s="48" t="n"/>
      <c r="F2971" s="48" t="n"/>
      <c r="G2971" s="49" t="n"/>
      <c r="H2971" s="48" t="n"/>
      <c r="I2971" s="50" t="n"/>
      <c r="J2971" s="48" t="n"/>
      <c r="K2971" s="48" t="n"/>
      <c r="L2971" s="48" t="n"/>
      <c r="M2971" s="48" t="n"/>
      <c r="N2971" s="48" t="n"/>
      <c r="O2971" s="51">
        <f>IF(AND(B2971="",G2971="",C2971="",D2971="",J2971=""),"",IF(B2971="","⚠ Falta fecha",IF(G2971="","⚠ Falta monto",IF(Q2971="","⚠ Falta cuenta",IF(ISNA(MATCH(Q2971,ctaNombre,0)),"⚠ Cuenta no registrada",IF(AND(OR(P2971="Gasto",P2971="Reembolso"),D2971=""),"⚠ Falta categoría",IF(AND(D2971&lt;&gt;"",E2971&lt;&gt;"",ISNA(MATCH(D2971&amp;"|"&amp;E2971,catClave,0))),"⚠ Subcategoría no corresponde",IF(AND(OR(P2971="Transferencia",P2971="Pago tarjeta"),K2971=""),"⚠ Falta cuenta destino",IF(AND(K2971&lt;&gt;"",P2971&lt;&gt;"Transferencia",P2971&lt;&gt;"Pago tarjeta"),"⚠ Destino solo aplica a transferencias",IF(AND(K2971&lt;&gt;"",K2971=Q2971),"⚠ Origen igual a destino",IF(AND(K2971&lt;&gt;"",ISNA(MATCH(K2971,ctaNombre,0))),"⚠ Destino no registrado",IF(AND(P2971="Pago tarjeta",AE2971&lt;&gt;"Tarjeta de crédito"),"⚠ El destino debe ser tarjeta de crédito",IF(AND(P2971="Gasto",E2971="Depósitos y retiros"),"⚠ Usa tipo Transferencia",IF(AND(P2971="Resultado trading",AD2971&lt;&gt;"Cuenta de trading"),"⚠ Usa una cuenta de trading",IF(AND(G2971&lt;=0,P2971&lt;&gt;"Ajuste",P2971&lt;&gt;"Resultado trading"),"⚠ El monto debe ser positivo","✓")))))))))))))))</f>
        <v/>
      </c>
      <c r="P2971" s="52">
        <f>IF(OR(B2971="",G2971=""),"",IF(C2971="","Gasto",C2971))</f>
        <v/>
      </c>
      <c r="Q2971" s="52">
        <f>IF(P2971="","",IF(J2971&lt;&gt;"",J2971,CuentaPred&amp;""))</f>
        <v/>
      </c>
      <c r="R2971" s="52">
        <f>IF(P2971="","",IF(ISNUMBER(I2971),I2971,TasaUSD))</f>
        <v/>
      </c>
      <c r="S2971" s="53">
        <f>IF(P2971="","",IF(H2971="USD",G2971*R2971,G2971))</f>
        <v/>
      </c>
      <c r="T2971" s="53">
        <f>IF(P2971="","",IF(H2971="USD",G2971,IF(R2971&gt;0,G2971/R2971,0)))</f>
        <v/>
      </c>
      <c r="U2971" s="53">
        <f>IF(P2971="","",IF(P2971="Gasto",S2971,IF(P2971="Reembolso",-S2971,0)))</f>
        <v/>
      </c>
      <c r="V2971" s="53">
        <f>IF(P2971="","",IF(P2971="Ingreso",S2971,0))</f>
        <v/>
      </c>
      <c r="W2971" s="53">
        <f>IF(P2971="","",IF(P2971="Resultado trading",S2971,0))</f>
        <v/>
      </c>
      <c r="X2971" s="52">
        <f>IF(OR(P2971="Gasto",P2971="Reembolso"),IF(M2971&lt;&gt;"",M2971,IFERROR(INDEX(catClasif,MATCH(D2971&amp;"|"&amp;E2971,catClave,0))&amp;"","Variable")),"")</f>
        <v/>
      </c>
      <c r="Y2971" s="52">
        <f>IF(P2971="","",IFERROR(INDEX(catGrupo,MATCH(D2971&amp;"|"&amp;E2971,catClave,0))&amp;"",""))</f>
        <v/>
      </c>
      <c r="Z2971" s="52">
        <f>IF(P2971="","",WEEKDAY(B2971,2))</f>
        <v/>
      </c>
      <c r="AA2971" s="52">
        <f>IF(P2971="","",IF(AND(P2971="Gasto",X2971="Variable",D2971&lt;&gt;catTrading,S2971&gt;0,S2971&lt;=Umbral),1,0))</f>
        <v/>
      </c>
      <c r="AB2971" s="52">
        <f>IF(OR(P2971="",Q2971=""),"",IFERROR(IF(INDEX(ctaVinc,MATCH(Q2971,ctaNombre,0))&amp;""&lt;&gt;"",INDEX(ctaVinc,MATCH(Q2971,ctaNombre,0))&amp;"",Q2971),Q2971))</f>
        <v/>
      </c>
      <c r="AC2971" s="52">
        <f>IF(OR(K2971="",AND(P2971&lt;&gt;"Transferencia",P2971&lt;&gt;"Pago tarjeta")),"",IFERROR(IF(INDEX(ctaVinc,MATCH(K2971,ctaNombre,0))&amp;""&lt;&gt;"",INDEX(ctaVinc,MATCH(K2971,ctaNombre,0))&amp;"",K2971),K2971))</f>
        <v/>
      </c>
      <c r="AD2971" s="52">
        <f>IF(AB2971="","",IFERROR(INDEX(ctaTipo,MATCH(AB2971,ctaNombre,0))&amp;"",""))</f>
        <v/>
      </c>
      <c r="AE2971" s="52">
        <f>IF(AC2971="","",IFERROR(INDEX(ctaTipo,MATCH(AC2971,ctaNombre,0))&amp;"",""))</f>
        <v/>
      </c>
      <c r="AF2971" s="53">
        <f>IF(OR(P2971="",AB2971=""),"",IF(OR(P2971="Gasto",P2971="Transferencia",P2971="Pago tarjeta"),-1,1)*IF(IFERROR(INDEX(ctaMoneda,MATCH(AB2971,ctaNombre,0))&amp;"","DOP")="USD",T2971,S2971))</f>
        <v/>
      </c>
      <c r="AG2971" s="53">
        <f>IF(AC2971="","",IF(IFERROR(INDEX(ctaMoneda,MATCH(AC2971,ctaNombre,0))&amp;"","DOP")="USD",T2971,S2971))</f>
        <v/>
      </c>
      <c r="AH2971" s="53">
        <f>IF(P2971="","",IF(AND(AD2971&lt;&gt;"",COUNTIFS(tcTipo,AD2971,tcLiq,"Sí")&gt;0),IF(OR(P2971="Gasto",P2971="Transferencia",P2971="Pago tarjeta"),-1,1)*S2971,0)+IF(AND(AE2971&lt;&gt;"",COUNTIFS(tcTipo,AE2971,tcLiq,"Sí")&gt;0),S2971,0))</f>
        <v/>
      </c>
      <c r="AI2971" s="52">
        <f>IF(OR(L2971="",P2971=""),"",IF(COUNTIFS(L$6:L2971,L2971,P$6:P2971,"?*")=1,MAX(AI$5:AI2970)+1,""))</f>
        <v/>
      </c>
    </row>
    <row r="2972">
      <c r="B2972" s="47" t="n"/>
      <c r="C2972" s="48" t="n"/>
      <c r="D2972" s="48" t="n"/>
      <c r="E2972" s="48" t="n"/>
      <c r="F2972" s="48" t="n"/>
      <c r="G2972" s="49" t="n"/>
      <c r="H2972" s="48" t="n"/>
      <c r="I2972" s="50" t="n"/>
      <c r="J2972" s="48" t="n"/>
      <c r="K2972" s="48" t="n"/>
      <c r="L2972" s="48" t="n"/>
      <c r="M2972" s="48" t="n"/>
      <c r="N2972" s="48" t="n"/>
      <c r="O2972" s="51">
        <f>IF(AND(B2972="",G2972="",C2972="",D2972="",J2972=""),"",IF(B2972="","⚠ Falta fecha",IF(G2972="","⚠ Falta monto",IF(Q2972="","⚠ Falta cuenta",IF(ISNA(MATCH(Q2972,ctaNombre,0)),"⚠ Cuenta no registrada",IF(AND(OR(P2972="Gasto",P2972="Reembolso"),D2972=""),"⚠ Falta categoría",IF(AND(D2972&lt;&gt;"",E2972&lt;&gt;"",ISNA(MATCH(D2972&amp;"|"&amp;E2972,catClave,0))),"⚠ Subcategoría no corresponde",IF(AND(OR(P2972="Transferencia",P2972="Pago tarjeta"),K2972=""),"⚠ Falta cuenta destino",IF(AND(K2972&lt;&gt;"",P2972&lt;&gt;"Transferencia",P2972&lt;&gt;"Pago tarjeta"),"⚠ Destino solo aplica a transferencias",IF(AND(K2972&lt;&gt;"",K2972=Q2972),"⚠ Origen igual a destino",IF(AND(K2972&lt;&gt;"",ISNA(MATCH(K2972,ctaNombre,0))),"⚠ Destino no registrado",IF(AND(P2972="Pago tarjeta",AE2972&lt;&gt;"Tarjeta de crédito"),"⚠ El destino debe ser tarjeta de crédito",IF(AND(P2972="Gasto",E2972="Depósitos y retiros"),"⚠ Usa tipo Transferencia",IF(AND(P2972="Resultado trading",AD2972&lt;&gt;"Cuenta de trading"),"⚠ Usa una cuenta de trading",IF(AND(G2972&lt;=0,P2972&lt;&gt;"Ajuste",P2972&lt;&gt;"Resultado trading"),"⚠ El monto debe ser positivo","✓")))))))))))))))</f>
        <v/>
      </c>
      <c r="P2972" s="52">
        <f>IF(OR(B2972="",G2972=""),"",IF(C2972="","Gasto",C2972))</f>
        <v/>
      </c>
      <c r="Q2972" s="52">
        <f>IF(P2972="","",IF(J2972&lt;&gt;"",J2972,CuentaPred&amp;""))</f>
        <v/>
      </c>
      <c r="R2972" s="52">
        <f>IF(P2972="","",IF(ISNUMBER(I2972),I2972,TasaUSD))</f>
        <v/>
      </c>
      <c r="S2972" s="53">
        <f>IF(P2972="","",IF(H2972="USD",G2972*R2972,G2972))</f>
        <v/>
      </c>
      <c r="T2972" s="53">
        <f>IF(P2972="","",IF(H2972="USD",G2972,IF(R2972&gt;0,G2972/R2972,0)))</f>
        <v/>
      </c>
      <c r="U2972" s="53">
        <f>IF(P2972="","",IF(P2972="Gasto",S2972,IF(P2972="Reembolso",-S2972,0)))</f>
        <v/>
      </c>
      <c r="V2972" s="53">
        <f>IF(P2972="","",IF(P2972="Ingreso",S2972,0))</f>
        <v/>
      </c>
      <c r="W2972" s="53">
        <f>IF(P2972="","",IF(P2972="Resultado trading",S2972,0))</f>
        <v/>
      </c>
      <c r="X2972" s="52">
        <f>IF(OR(P2972="Gasto",P2972="Reembolso"),IF(M2972&lt;&gt;"",M2972,IFERROR(INDEX(catClasif,MATCH(D2972&amp;"|"&amp;E2972,catClave,0))&amp;"","Variable")),"")</f>
        <v/>
      </c>
      <c r="Y2972" s="52">
        <f>IF(P2972="","",IFERROR(INDEX(catGrupo,MATCH(D2972&amp;"|"&amp;E2972,catClave,0))&amp;"",""))</f>
        <v/>
      </c>
      <c r="Z2972" s="52">
        <f>IF(P2972="","",WEEKDAY(B2972,2))</f>
        <v/>
      </c>
      <c r="AA2972" s="52">
        <f>IF(P2972="","",IF(AND(P2972="Gasto",X2972="Variable",D2972&lt;&gt;catTrading,S2972&gt;0,S2972&lt;=Umbral),1,0))</f>
        <v/>
      </c>
      <c r="AB2972" s="52">
        <f>IF(OR(P2972="",Q2972=""),"",IFERROR(IF(INDEX(ctaVinc,MATCH(Q2972,ctaNombre,0))&amp;""&lt;&gt;"",INDEX(ctaVinc,MATCH(Q2972,ctaNombre,0))&amp;"",Q2972),Q2972))</f>
        <v/>
      </c>
      <c r="AC2972" s="52">
        <f>IF(OR(K2972="",AND(P2972&lt;&gt;"Transferencia",P2972&lt;&gt;"Pago tarjeta")),"",IFERROR(IF(INDEX(ctaVinc,MATCH(K2972,ctaNombre,0))&amp;""&lt;&gt;"",INDEX(ctaVinc,MATCH(K2972,ctaNombre,0))&amp;"",K2972),K2972))</f>
        <v/>
      </c>
      <c r="AD2972" s="52">
        <f>IF(AB2972="","",IFERROR(INDEX(ctaTipo,MATCH(AB2972,ctaNombre,0))&amp;"",""))</f>
        <v/>
      </c>
      <c r="AE2972" s="52">
        <f>IF(AC2972="","",IFERROR(INDEX(ctaTipo,MATCH(AC2972,ctaNombre,0))&amp;"",""))</f>
        <v/>
      </c>
      <c r="AF2972" s="53">
        <f>IF(OR(P2972="",AB2972=""),"",IF(OR(P2972="Gasto",P2972="Transferencia",P2972="Pago tarjeta"),-1,1)*IF(IFERROR(INDEX(ctaMoneda,MATCH(AB2972,ctaNombre,0))&amp;"","DOP")="USD",T2972,S2972))</f>
        <v/>
      </c>
      <c r="AG2972" s="53">
        <f>IF(AC2972="","",IF(IFERROR(INDEX(ctaMoneda,MATCH(AC2972,ctaNombre,0))&amp;"","DOP")="USD",T2972,S2972))</f>
        <v/>
      </c>
      <c r="AH2972" s="53">
        <f>IF(P2972="","",IF(AND(AD2972&lt;&gt;"",COUNTIFS(tcTipo,AD2972,tcLiq,"Sí")&gt;0),IF(OR(P2972="Gasto",P2972="Transferencia",P2972="Pago tarjeta"),-1,1)*S2972,0)+IF(AND(AE2972&lt;&gt;"",COUNTIFS(tcTipo,AE2972,tcLiq,"Sí")&gt;0),S2972,0))</f>
        <v/>
      </c>
      <c r="AI2972" s="52">
        <f>IF(OR(L2972="",P2972=""),"",IF(COUNTIFS(L$6:L2972,L2972,P$6:P2972,"?*")=1,MAX(AI$5:AI2971)+1,""))</f>
        <v/>
      </c>
    </row>
    <row r="2973">
      <c r="B2973" s="47" t="n"/>
      <c r="C2973" s="48" t="n"/>
      <c r="D2973" s="48" t="n"/>
      <c r="E2973" s="48" t="n"/>
      <c r="F2973" s="48" t="n"/>
      <c r="G2973" s="49" t="n"/>
      <c r="H2973" s="48" t="n"/>
      <c r="I2973" s="50" t="n"/>
      <c r="J2973" s="48" t="n"/>
      <c r="K2973" s="48" t="n"/>
      <c r="L2973" s="48" t="n"/>
      <c r="M2973" s="48" t="n"/>
      <c r="N2973" s="48" t="n"/>
      <c r="O2973" s="51">
        <f>IF(AND(B2973="",G2973="",C2973="",D2973="",J2973=""),"",IF(B2973="","⚠ Falta fecha",IF(G2973="","⚠ Falta monto",IF(Q2973="","⚠ Falta cuenta",IF(ISNA(MATCH(Q2973,ctaNombre,0)),"⚠ Cuenta no registrada",IF(AND(OR(P2973="Gasto",P2973="Reembolso"),D2973=""),"⚠ Falta categoría",IF(AND(D2973&lt;&gt;"",E2973&lt;&gt;"",ISNA(MATCH(D2973&amp;"|"&amp;E2973,catClave,0))),"⚠ Subcategoría no corresponde",IF(AND(OR(P2973="Transferencia",P2973="Pago tarjeta"),K2973=""),"⚠ Falta cuenta destino",IF(AND(K2973&lt;&gt;"",P2973&lt;&gt;"Transferencia",P2973&lt;&gt;"Pago tarjeta"),"⚠ Destino solo aplica a transferencias",IF(AND(K2973&lt;&gt;"",K2973=Q2973),"⚠ Origen igual a destino",IF(AND(K2973&lt;&gt;"",ISNA(MATCH(K2973,ctaNombre,0))),"⚠ Destino no registrado",IF(AND(P2973="Pago tarjeta",AE2973&lt;&gt;"Tarjeta de crédito"),"⚠ El destino debe ser tarjeta de crédito",IF(AND(P2973="Gasto",E2973="Depósitos y retiros"),"⚠ Usa tipo Transferencia",IF(AND(P2973="Resultado trading",AD2973&lt;&gt;"Cuenta de trading"),"⚠ Usa una cuenta de trading",IF(AND(G2973&lt;=0,P2973&lt;&gt;"Ajuste",P2973&lt;&gt;"Resultado trading"),"⚠ El monto debe ser positivo","✓")))))))))))))))</f>
        <v/>
      </c>
      <c r="P2973" s="52">
        <f>IF(OR(B2973="",G2973=""),"",IF(C2973="","Gasto",C2973))</f>
        <v/>
      </c>
      <c r="Q2973" s="52">
        <f>IF(P2973="","",IF(J2973&lt;&gt;"",J2973,CuentaPred&amp;""))</f>
        <v/>
      </c>
      <c r="R2973" s="52">
        <f>IF(P2973="","",IF(ISNUMBER(I2973),I2973,TasaUSD))</f>
        <v/>
      </c>
      <c r="S2973" s="53">
        <f>IF(P2973="","",IF(H2973="USD",G2973*R2973,G2973))</f>
        <v/>
      </c>
      <c r="T2973" s="53">
        <f>IF(P2973="","",IF(H2973="USD",G2973,IF(R2973&gt;0,G2973/R2973,0)))</f>
        <v/>
      </c>
      <c r="U2973" s="53">
        <f>IF(P2973="","",IF(P2973="Gasto",S2973,IF(P2973="Reembolso",-S2973,0)))</f>
        <v/>
      </c>
      <c r="V2973" s="53">
        <f>IF(P2973="","",IF(P2973="Ingreso",S2973,0))</f>
        <v/>
      </c>
      <c r="W2973" s="53">
        <f>IF(P2973="","",IF(P2973="Resultado trading",S2973,0))</f>
        <v/>
      </c>
      <c r="X2973" s="52">
        <f>IF(OR(P2973="Gasto",P2973="Reembolso"),IF(M2973&lt;&gt;"",M2973,IFERROR(INDEX(catClasif,MATCH(D2973&amp;"|"&amp;E2973,catClave,0))&amp;"","Variable")),"")</f>
        <v/>
      </c>
      <c r="Y2973" s="52">
        <f>IF(P2973="","",IFERROR(INDEX(catGrupo,MATCH(D2973&amp;"|"&amp;E2973,catClave,0))&amp;"",""))</f>
        <v/>
      </c>
      <c r="Z2973" s="52">
        <f>IF(P2973="","",WEEKDAY(B2973,2))</f>
        <v/>
      </c>
      <c r="AA2973" s="52">
        <f>IF(P2973="","",IF(AND(P2973="Gasto",X2973="Variable",D2973&lt;&gt;catTrading,S2973&gt;0,S2973&lt;=Umbral),1,0))</f>
        <v/>
      </c>
      <c r="AB2973" s="52">
        <f>IF(OR(P2973="",Q2973=""),"",IFERROR(IF(INDEX(ctaVinc,MATCH(Q2973,ctaNombre,0))&amp;""&lt;&gt;"",INDEX(ctaVinc,MATCH(Q2973,ctaNombre,0))&amp;"",Q2973),Q2973))</f>
        <v/>
      </c>
      <c r="AC2973" s="52">
        <f>IF(OR(K2973="",AND(P2973&lt;&gt;"Transferencia",P2973&lt;&gt;"Pago tarjeta")),"",IFERROR(IF(INDEX(ctaVinc,MATCH(K2973,ctaNombre,0))&amp;""&lt;&gt;"",INDEX(ctaVinc,MATCH(K2973,ctaNombre,0))&amp;"",K2973),K2973))</f>
        <v/>
      </c>
      <c r="AD2973" s="52">
        <f>IF(AB2973="","",IFERROR(INDEX(ctaTipo,MATCH(AB2973,ctaNombre,0))&amp;"",""))</f>
        <v/>
      </c>
      <c r="AE2973" s="52">
        <f>IF(AC2973="","",IFERROR(INDEX(ctaTipo,MATCH(AC2973,ctaNombre,0))&amp;"",""))</f>
        <v/>
      </c>
      <c r="AF2973" s="53">
        <f>IF(OR(P2973="",AB2973=""),"",IF(OR(P2973="Gasto",P2973="Transferencia",P2973="Pago tarjeta"),-1,1)*IF(IFERROR(INDEX(ctaMoneda,MATCH(AB2973,ctaNombre,0))&amp;"","DOP")="USD",T2973,S2973))</f>
        <v/>
      </c>
      <c r="AG2973" s="53">
        <f>IF(AC2973="","",IF(IFERROR(INDEX(ctaMoneda,MATCH(AC2973,ctaNombre,0))&amp;"","DOP")="USD",T2973,S2973))</f>
        <v/>
      </c>
      <c r="AH2973" s="53">
        <f>IF(P2973="","",IF(AND(AD2973&lt;&gt;"",COUNTIFS(tcTipo,AD2973,tcLiq,"Sí")&gt;0),IF(OR(P2973="Gasto",P2973="Transferencia",P2973="Pago tarjeta"),-1,1)*S2973,0)+IF(AND(AE2973&lt;&gt;"",COUNTIFS(tcTipo,AE2973,tcLiq,"Sí")&gt;0),S2973,0))</f>
        <v/>
      </c>
      <c r="AI2973" s="52">
        <f>IF(OR(L2973="",P2973=""),"",IF(COUNTIFS(L$6:L2973,L2973,P$6:P2973,"?*")=1,MAX(AI$5:AI2972)+1,""))</f>
        <v/>
      </c>
    </row>
    <row r="2974">
      <c r="B2974" s="47" t="n"/>
      <c r="C2974" s="48" t="n"/>
      <c r="D2974" s="48" t="n"/>
      <c r="E2974" s="48" t="n"/>
      <c r="F2974" s="48" t="n"/>
      <c r="G2974" s="49" t="n"/>
      <c r="H2974" s="48" t="n"/>
      <c r="I2974" s="50" t="n"/>
      <c r="J2974" s="48" t="n"/>
      <c r="K2974" s="48" t="n"/>
      <c r="L2974" s="48" t="n"/>
      <c r="M2974" s="48" t="n"/>
      <c r="N2974" s="48" t="n"/>
      <c r="O2974" s="51">
        <f>IF(AND(B2974="",G2974="",C2974="",D2974="",J2974=""),"",IF(B2974="","⚠ Falta fecha",IF(G2974="","⚠ Falta monto",IF(Q2974="","⚠ Falta cuenta",IF(ISNA(MATCH(Q2974,ctaNombre,0)),"⚠ Cuenta no registrada",IF(AND(OR(P2974="Gasto",P2974="Reembolso"),D2974=""),"⚠ Falta categoría",IF(AND(D2974&lt;&gt;"",E2974&lt;&gt;"",ISNA(MATCH(D2974&amp;"|"&amp;E2974,catClave,0))),"⚠ Subcategoría no corresponde",IF(AND(OR(P2974="Transferencia",P2974="Pago tarjeta"),K2974=""),"⚠ Falta cuenta destino",IF(AND(K2974&lt;&gt;"",P2974&lt;&gt;"Transferencia",P2974&lt;&gt;"Pago tarjeta"),"⚠ Destino solo aplica a transferencias",IF(AND(K2974&lt;&gt;"",K2974=Q2974),"⚠ Origen igual a destino",IF(AND(K2974&lt;&gt;"",ISNA(MATCH(K2974,ctaNombre,0))),"⚠ Destino no registrado",IF(AND(P2974="Pago tarjeta",AE2974&lt;&gt;"Tarjeta de crédito"),"⚠ El destino debe ser tarjeta de crédito",IF(AND(P2974="Gasto",E2974="Depósitos y retiros"),"⚠ Usa tipo Transferencia",IF(AND(P2974="Resultado trading",AD2974&lt;&gt;"Cuenta de trading"),"⚠ Usa una cuenta de trading",IF(AND(G2974&lt;=0,P2974&lt;&gt;"Ajuste",P2974&lt;&gt;"Resultado trading"),"⚠ El monto debe ser positivo","✓")))))))))))))))</f>
        <v/>
      </c>
      <c r="P2974" s="52">
        <f>IF(OR(B2974="",G2974=""),"",IF(C2974="","Gasto",C2974))</f>
        <v/>
      </c>
      <c r="Q2974" s="52">
        <f>IF(P2974="","",IF(J2974&lt;&gt;"",J2974,CuentaPred&amp;""))</f>
        <v/>
      </c>
      <c r="R2974" s="52">
        <f>IF(P2974="","",IF(ISNUMBER(I2974),I2974,TasaUSD))</f>
        <v/>
      </c>
      <c r="S2974" s="53">
        <f>IF(P2974="","",IF(H2974="USD",G2974*R2974,G2974))</f>
        <v/>
      </c>
      <c r="T2974" s="53">
        <f>IF(P2974="","",IF(H2974="USD",G2974,IF(R2974&gt;0,G2974/R2974,0)))</f>
        <v/>
      </c>
      <c r="U2974" s="53">
        <f>IF(P2974="","",IF(P2974="Gasto",S2974,IF(P2974="Reembolso",-S2974,0)))</f>
        <v/>
      </c>
      <c r="V2974" s="53">
        <f>IF(P2974="","",IF(P2974="Ingreso",S2974,0))</f>
        <v/>
      </c>
      <c r="W2974" s="53">
        <f>IF(P2974="","",IF(P2974="Resultado trading",S2974,0))</f>
        <v/>
      </c>
      <c r="X2974" s="52">
        <f>IF(OR(P2974="Gasto",P2974="Reembolso"),IF(M2974&lt;&gt;"",M2974,IFERROR(INDEX(catClasif,MATCH(D2974&amp;"|"&amp;E2974,catClave,0))&amp;"","Variable")),"")</f>
        <v/>
      </c>
      <c r="Y2974" s="52">
        <f>IF(P2974="","",IFERROR(INDEX(catGrupo,MATCH(D2974&amp;"|"&amp;E2974,catClave,0))&amp;"",""))</f>
        <v/>
      </c>
      <c r="Z2974" s="52">
        <f>IF(P2974="","",WEEKDAY(B2974,2))</f>
        <v/>
      </c>
      <c r="AA2974" s="52">
        <f>IF(P2974="","",IF(AND(P2974="Gasto",X2974="Variable",D2974&lt;&gt;catTrading,S2974&gt;0,S2974&lt;=Umbral),1,0))</f>
        <v/>
      </c>
      <c r="AB2974" s="52">
        <f>IF(OR(P2974="",Q2974=""),"",IFERROR(IF(INDEX(ctaVinc,MATCH(Q2974,ctaNombre,0))&amp;""&lt;&gt;"",INDEX(ctaVinc,MATCH(Q2974,ctaNombre,0))&amp;"",Q2974),Q2974))</f>
        <v/>
      </c>
      <c r="AC2974" s="52">
        <f>IF(OR(K2974="",AND(P2974&lt;&gt;"Transferencia",P2974&lt;&gt;"Pago tarjeta")),"",IFERROR(IF(INDEX(ctaVinc,MATCH(K2974,ctaNombre,0))&amp;""&lt;&gt;"",INDEX(ctaVinc,MATCH(K2974,ctaNombre,0))&amp;"",K2974),K2974))</f>
        <v/>
      </c>
      <c r="AD2974" s="52">
        <f>IF(AB2974="","",IFERROR(INDEX(ctaTipo,MATCH(AB2974,ctaNombre,0))&amp;"",""))</f>
        <v/>
      </c>
      <c r="AE2974" s="52">
        <f>IF(AC2974="","",IFERROR(INDEX(ctaTipo,MATCH(AC2974,ctaNombre,0))&amp;"",""))</f>
        <v/>
      </c>
      <c r="AF2974" s="53">
        <f>IF(OR(P2974="",AB2974=""),"",IF(OR(P2974="Gasto",P2974="Transferencia",P2974="Pago tarjeta"),-1,1)*IF(IFERROR(INDEX(ctaMoneda,MATCH(AB2974,ctaNombre,0))&amp;"","DOP")="USD",T2974,S2974))</f>
        <v/>
      </c>
      <c r="AG2974" s="53">
        <f>IF(AC2974="","",IF(IFERROR(INDEX(ctaMoneda,MATCH(AC2974,ctaNombre,0))&amp;"","DOP")="USD",T2974,S2974))</f>
        <v/>
      </c>
      <c r="AH2974" s="53">
        <f>IF(P2974="","",IF(AND(AD2974&lt;&gt;"",COUNTIFS(tcTipo,AD2974,tcLiq,"Sí")&gt;0),IF(OR(P2974="Gasto",P2974="Transferencia",P2974="Pago tarjeta"),-1,1)*S2974,0)+IF(AND(AE2974&lt;&gt;"",COUNTIFS(tcTipo,AE2974,tcLiq,"Sí")&gt;0),S2974,0))</f>
        <v/>
      </c>
      <c r="AI2974" s="52">
        <f>IF(OR(L2974="",P2974=""),"",IF(COUNTIFS(L$6:L2974,L2974,P$6:P2974,"?*")=1,MAX(AI$5:AI2973)+1,""))</f>
        <v/>
      </c>
    </row>
    <row r="2975">
      <c r="B2975" s="47" t="n"/>
      <c r="C2975" s="48" t="n"/>
      <c r="D2975" s="48" t="n"/>
      <c r="E2975" s="48" t="n"/>
      <c r="F2975" s="48" t="n"/>
      <c r="G2975" s="49" t="n"/>
      <c r="H2975" s="48" t="n"/>
      <c r="I2975" s="50" t="n"/>
      <c r="J2975" s="48" t="n"/>
      <c r="K2975" s="48" t="n"/>
      <c r="L2975" s="48" t="n"/>
      <c r="M2975" s="48" t="n"/>
      <c r="N2975" s="48" t="n"/>
      <c r="O2975" s="51">
        <f>IF(AND(B2975="",G2975="",C2975="",D2975="",J2975=""),"",IF(B2975="","⚠ Falta fecha",IF(G2975="","⚠ Falta monto",IF(Q2975="","⚠ Falta cuenta",IF(ISNA(MATCH(Q2975,ctaNombre,0)),"⚠ Cuenta no registrada",IF(AND(OR(P2975="Gasto",P2975="Reembolso"),D2975=""),"⚠ Falta categoría",IF(AND(D2975&lt;&gt;"",E2975&lt;&gt;"",ISNA(MATCH(D2975&amp;"|"&amp;E2975,catClave,0))),"⚠ Subcategoría no corresponde",IF(AND(OR(P2975="Transferencia",P2975="Pago tarjeta"),K2975=""),"⚠ Falta cuenta destino",IF(AND(K2975&lt;&gt;"",P2975&lt;&gt;"Transferencia",P2975&lt;&gt;"Pago tarjeta"),"⚠ Destino solo aplica a transferencias",IF(AND(K2975&lt;&gt;"",K2975=Q2975),"⚠ Origen igual a destino",IF(AND(K2975&lt;&gt;"",ISNA(MATCH(K2975,ctaNombre,0))),"⚠ Destino no registrado",IF(AND(P2975="Pago tarjeta",AE2975&lt;&gt;"Tarjeta de crédito"),"⚠ El destino debe ser tarjeta de crédito",IF(AND(P2975="Gasto",E2975="Depósitos y retiros"),"⚠ Usa tipo Transferencia",IF(AND(P2975="Resultado trading",AD2975&lt;&gt;"Cuenta de trading"),"⚠ Usa una cuenta de trading",IF(AND(G2975&lt;=0,P2975&lt;&gt;"Ajuste",P2975&lt;&gt;"Resultado trading"),"⚠ El monto debe ser positivo","✓")))))))))))))))</f>
        <v/>
      </c>
      <c r="P2975" s="52">
        <f>IF(OR(B2975="",G2975=""),"",IF(C2975="","Gasto",C2975))</f>
        <v/>
      </c>
      <c r="Q2975" s="52">
        <f>IF(P2975="","",IF(J2975&lt;&gt;"",J2975,CuentaPred&amp;""))</f>
        <v/>
      </c>
      <c r="R2975" s="52">
        <f>IF(P2975="","",IF(ISNUMBER(I2975),I2975,TasaUSD))</f>
        <v/>
      </c>
      <c r="S2975" s="53">
        <f>IF(P2975="","",IF(H2975="USD",G2975*R2975,G2975))</f>
        <v/>
      </c>
      <c r="T2975" s="53">
        <f>IF(P2975="","",IF(H2975="USD",G2975,IF(R2975&gt;0,G2975/R2975,0)))</f>
        <v/>
      </c>
      <c r="U2975" s="53">
        <f>IF(P2975="","",IF(P2975="Gasto",S2975,IF(P2975="Reembolso",-S2975,0)))</f>
        <v/>
      </c>
      <c r="V2975" s="53">
        <f>IF(P2975="","",IF(P2975="Ingreso",S2975,0))</f>
        <v/>
      </c>
      <c r="W2975" s="53">
        <f>IF(P2975="","",IF(P2975="Resultado trading",S2975,0))</f>
        <v/>
      </c>
      <c r="X2975" s="52">
        <f>IF(OR(P2975="Gasto",P2975="Reembolso"),IF(M2975&lt;&gt;"",M2975,IFERROR(INDEX(catClasif,MATCH(D2975&amp;"|"&amp;E2975,catClave,0))&amp;"","Variable")),"")</f>
        <v/>
      </c>
      <c r="Y2975" s="52">
        <f>IF(P2975="","",IFERROR(INDEX(catGrupo,MATCH(D2975&amp;"|"&amp;E2975,catClave,0))&amp;"",""))</f>
        <v/>
      </c>
      <c r="Z2975" s="52">
        <f>IF(P2975="","",WEEKDAY(B2975,2))</f>
        <v/>
      </c>
      <c r="AA2975" s="52">
        <f>IF(P2975="","",IF(AND(P2975="Gasto",X2975="Variable",D2975&lt;&gt;catTrading,S2975&gt;0,S2975&lt;=Umbral),1,0))</f>
        <v/>
      </c>
      <c r="AB2975" s="52">
        <f>IF(OR(P2975="",Q2975=""),"",IFERROR(IF(INDEX(ctaVinc,MATCH(Q2975,ctaNombre,0))&amp;""&lt;&gt;"",INDEX(ctaVinc,MATCH(Q2975,ctaNombre,0))&amp;"",Q2975),Q2975))</f>
        <v/>
      </c>
      <c r="AC2975" s="52">
        <f>IF(OR(K2975="",AND(P2975&lt;&gt;"Transferencia",P2975&lt;&gt;"Pago tarjeta")),"",IFERROR(IF(INDEX(ctaVinc,MATCH(K2975,ctaNombre,0))&amp;""&lt;&gt;"",INDEX(ctaVinc,MATCH(K2975,ctaNombre,0))&amp;"",K2975),K2975))</f>
        <v/>
      </c>
      <c r="AD2975" s="52">
        <f>IF(AB2975="","",IFERROR(INDEX(ctaTipo,MATCH(AB2975,ctaNombre,0))&amp;"",""))</f>
        <v/>
      </c>
      <c r="AE2975" s="52">
        <f>IF(AC2975="","",IFERROR(INDEX(ctaTipo,MATCH(AC2975,ctaNombre,0))&amp;"",""))</f>
        <v/>
      </c>
      <c r="AF2975" s="53">
        <f>IF(OR(P2975="",AB2975=""),"",IF(OR(P2975="Gasto",P2975="Transferencia",P2975="Pago tarjeta"),-1,1)*IF(IFERROR(INDEX(ctaMoneda,MATCH(AB2975,ctaNombre,0))&amp;"","DOP")="USD",T2975,S2975))</f>
        <v/>
      </c>
      <c r="AG2975" s="53">
        <f>IF(AC2975="","",IF(IFERROR(INDEX(ctaMoneda,MATCH(AC2975,ctaNombre,0))&amp;"","DOP")="USD",T2975,S2975))</f>
        <v/>
      </c>
      <c r="AH2975" s="53">
        <f>IF(P2975="","",IF(AND(AD2975&lt;&gt;"",COUNTIFS(tcTipo,AD2975,tcLiq,"Sí")&gt;0),IF(OR(P2975="Gasto",P2975="Transferencia",P2975="Pago tarjeta"),-1,1)*S2975,0)+IF(AND(AE2975&lt;&gt;"",COUNTIFS(tcTipo,AE2975,tcLiq,"Sí")&gt;0),S2975,0))</f>
        <v/>
      </c>
      <c r="AI2975" s="52">
        <f>IF(OR(L2975="",P2975=""),"",IF(COUNTIFS(L$6:L2975,L2975,P$6:P2975,"?*")=1,MAX(AI$5:AI2974)+1,""))</f>
        <v/>
      </c>
    </row>
    <row r="2976">
      <c r="B2976" s="47" t="n"/>
      <c r="C2976" s="48" t="n"/>
      <c r="D2976" s="48" t="n"/>
      <c r="E2976" s="48" t="n"/>
      <c r="F2976" s="48" t="n"/>
      <c r="G2976" s="49" t="n"/>
      <c r="H2976" s="48" t="n"/>
      <c r="I2976" s="50" t="n"/>
      <c r="J2976" s="48" t="n"/>
      <c r="K2976" s="48" t="n"/>
      <c r="L2976" s="48" t="n"/>
      <c r="M2976" s="48" t="n"/>
      <c r="N2976" s="48" t="n"/>
      <c r="O2976" s="51">
        <f>IF(AND(B2976="",G2976="",C2976="",D2976="",J2976=""),"",IF(B2976="","⚠ Falta fecha",IF(G2976="","⚠ Falta monto",IF(Q2976="","⚠ Falta cuenta",IF(ISNA(MATCH(Q2976,ctaNombre,0)),"⚠ Cuenta no registrada",IF(AND(OR(P2976="Gasto",P2976="Reembolso"),D2976=""),"⚠ Falta categoría",IF(AND(D2976&lt;&gt;"",E2976&lt;&gt;"",ISNA(MATCH(D2976&amp;"|"&amp;E2976,catClave,0))),"⚠ Subcategoría no corresponde",IF(AND(OR(P2976="Transferencia",P2976="Pago tarjeta"),K2976=""),"⚠ Falta cuenta destino",IF(AND(K2976&lt;&gt;"",P2976&lt;&gt;"Transferencia",P2976&lt;&gt;"Pago tarjeta"),"⚠ Destino solo aplica a transferencias",IF(AND(K2976&lt;&gt;"",K2976=Q2976),"⚠ Origen igual a destino",IF(AND(K2976&lt;&gt;"",ISNA(MATCH(K2976,ctaNombre,0))),"⚠ Destino no registrado",IF(AND(P2976="Pago tarjeta",AE2976&lt;&gt;"Tarjeta de crédito"),"⚠ El destino debe ser tarjeta de crédito",IF(AND(P2976="Gasto",E2976="Depósitos y retiros"),"⚠ Usa tipo Transferencia",IF(AND(P2976="Resultado trading",AD2976&lt;&gt;"Cuenta de trading"),"⚠ Usa una cuenta de trading",IF(AND(G2976&lt;=0,P2976&lt;&gt;"Ajuste",P2976&lt;&gt;"Resultado trading"),"⚠ El monto debe ser positivo","✓")))))))))))))))</f>
        <v/>
      </c>
      <c r="P2976" s="52">
        <f>IF(OR(B2976="",G2976=""),"",IF(C2976="","Gasto",C2976))</f>
        <v/>
      </c>
      <c r="Q2976" s="52">
        <f>IF(P2976="","",IF(J2976&lt;&gt;"",J2976,CuentaPred&amp;""))</f>
        <v/>
      </c>
      <c r="R2976" s="52">
        <f>IF(P2976="","",IF(ISNUMBER(I2976),I2976,TasaUSD))</f>
        <v/>
      </c>
      <c r="S2976" s="53">
        <f>IF(P2976="","",IF(H2976="USD",G2976*R2976,G2976))</f>
        <v/>
      </c>
      <c r="T2976" s="53">
        <f>IF(P2976="","",IF(H2976="USD",G2976,IF(R2976&gt;0,G2976/R2976,0)))</f>
        <v/>
      </c>
      <c r="U2976" s="53">
        <f>IF(P2976="","",IF(P2976="Gasto",S2976,IF(P2976="Reembolso",-S2976,0)))</f>
        <v/>
      </c>
      <c r="V2976" s="53">
        <f>IF(P2976="","",IF(P2976="Ingreso",S2976,0))</f>
        <v/>
      </c>
      <c r="W2976" s="53">
        <f>IF(P2976="","",IF(P2976="Resultado trading",S2976,0))</f>
        <v/>
      </c>
      <c r="X2976" s="52">
        <f>IF(OR(P2976="Gasto",P2976="Reembolso"),IF(M2976&lt;&gt;"",M2976,IFERROR(INDEX(catClasif,MATCH(D2976&amp;"|"&amp;E2976,catClave,0))&amp;"","Variable")),"")</f>
        <v/>
      </c>
      <c r="Y2976" s="52">
        <f>IF(P2976="","",IFERROR(INDEX(catGrupo,MATCH(D2976&amp;"|"&amp;E2976,catClave,0))&amp;"",""))</f>
        <v/>
      </c>
      <c r="Z2976" s="52">
        <f>IF(P2976="","",WEEKDAY(B2976,2))</f>
        <v/>
      </c>
      <c r="AA2976" s="52">
        <f>IF(P2976="","",IF(AND(P2976="Gasto",X2976="Variable",D2976&lt;&gt;catTrading,S2976&gt;0,S2976&lt;=Umbral),1,0))</f>
        <v/>
      </c>
      <c r="AB2976" s="52">
        <f>IF(OR(P2976="",Q2976=""),"",IFERROR(IF(INDEX(ctaVinc,MATCH(Q2976,ctaNombre,0))&amp;""&lt;&gt;"",INDEX(ctaVinc,MATCH(Q2976,ctaNombre,0))&amp;"",Q2976),Q2976))</f>
        <v/>
      </c>
      <c r="AC2976" s="52">
        <f>IF(OR(K2976="",AND(P2976&lt;&gt;"Transferencia",P2976&lt;&gt;"Pago tarjeta")),"",IFERROR(IF(INDEX(ctaVinc,MATCH(K2976,ctaNombre,0))&amp;""&lt;&gt;"",INDEX(ctaVinc,MATCH(K2976,ctaNombre,0))&amp;"",K2976),K2976))</f>
        <v/>
      </c>
      <c r="AD2976" s="52">
        <f>IF(AB2976="","",IFERROR(INDEX(ctaTipo,MATCH(AB2976,ctaNombre,0))&amp;"",""))</f>
        <v/>
      </c>
      <c r="AE2976" s="52">
        <f>IF(AC2976="","",IFERROR(INDEX(ctaTipo,MATCH(AC2976,ctaNombre,0))&amp;"",""))</f>
        <v/>
      </c>
      <c r="AF2976" s="53">
        <f>IF(OR(P2976="",AB2976=""),"",IF(OR(P2976="Gasto",P2976="Transferencia",P2976="Pago tarjeta"),-1,1)*IF(IFERROR(INDEX(ctaMoneda,MATCH(AB2976,ctaNombre,0))&amp;"","DOP")="USD",T2976,S2976))</f>
        <v/>
      </c>
      <c r="AG2976" s="53">
        <f>IF(AC2976="","",IF(IFERROR(INDEX(ctaMoneda,MATCH(AC2976,ctaNombre,0))&amp;"","DOP")="USD",T2976,S2976))</f>
        <v/>
      </c>
      <c r="AH2976" s="53">
        <f>IF(P2976="","",IF(AND(AD2976&lt;&gt;"",COUNTIFS(tcTipo,AD2976,tcLiq,"Sí")&gt;0),IF(OR(P2976="Gasto",P2976="Transferencia",P2976="Pago tarjeta"),-1,1)*S2976,0)+IF(AND(AE2976&lt;&gt;"",COUNTIFS(tcTipo,AE2976,tcLiq,"Sí")&gt;0),S2976,0))</f>
        <v/>
      </c>
      <c r="AI2976" s="52">
        <f>IF(OR(L2976="",P2976=""),"",IF(COUNTIFS(L$6:L2976,L2976,P$6:P2976,"?*")=1,MAX(AI$5:AI2975)+1,""))</f>
        <v/>
      </c>
    </row>
    <row r="2977">
      <c r="B2977" s="47" t="n"/>
      <c r="C2977" s="48" t="n"/>
      <c r="D2977" s="48" t="n"/>
      <c r="E2977" s="48" t="n"/>
      <c r="F2977" s="48" t="n"/>
      <c r="G2977" s="49" t="n"/>
      <c r="H2977" s="48" t="n"/>
      <c r="I2977" s="50" t="n"/>
      <c r="J2977" s="48" t="n"/>
      <c r="K2977" s="48" t="n"/>
      <c r="L2977" s="48" t="n"/>
      <c r="M2977" s="48" t="n"/>
      <c r="N2977" s="48" t="n"/>
      <c r="O2977" s="51">
        <f>IF(AND(B2977="",G2977="",C2977="",D2977="",J2977=""),"",IF(B2977="","⚠ Falta fecha",IF(G2977="","⚠ Falta monto",IF(Q2977="","⚠ Falta cuenta",IF(ISNA(MATCH(Q2977,ctaNombre,0)),"⚠ Cuenta no registrada",IF(AND(OR(P2977="Gasto",P2977="Reembolso"),D2977=""),"⚠ Falta categoría",IF(AND(D2977&lt;&gt;"",E2977&lt;&gt;"",ISNA(MATCH(D2977&amp;"|"&amp;E2977,catClave,0))),"⚠ Subcategoría no corresponde",IF(AND(OR(P2977="Transferencia",P2977="Pago tarjeta"),K2977=""),"⚠ Falta cuenta destino",IF(AND(K2977&lt;&gt;"",P2977&lt;&gt;"Transferencia",P2977&lt;&gt;"Pago tarjeta"),"⚠ Destino solo aplica a transferencias",IF(AND(K2977&lt;&gt;"",K2977=Q2977),"⚠ Origen igual a destino",IF(AND(K2977&lt;&gt;"",ISNA(MATCH(K2977,ctaNombre,0))),"⚠ Destino no registrado",IF(AND(P2977="Pago tarjeta",AE2977&lt;&gt;"Tarjeta de crédito"),"⚠ El destino debe ser tarjeta de crédito",IF(AND(P2977="Gasto",E2977="Depósitos y retiros"),"⚠ Usa tipo Transferencia",IF(AND(P2977="Resultado trading",AD2977&lt;&gt;"Cuenta de trading"),"⚠ Usa una cuenta de trading",IF(AND(G2977&lt;=0,P2977&lt;&gt;"Ajuste",P2977&lt;&gt;"Resultado trading"),"⚠ El monto debe ser positivo","✓")))))))))))))))</f>
        <v/>
      </c>
      <c r="P2977" s="52">
        <f>IF(OR(B2977="",G2977=""),"",IF(C2977="","Gasto",C2977))</f>
        <v/>
      </c>
      <c r="Q2977" s="52">
        <f>IF(P2977="","",IF(J2977&lt;&gt;"",J2977,CuentaPred&amp;""))</f>
        <v/>
      </c>
      <c r="R2977" s="52">
        <f>IF(P2977="","",IF(ISNUMBER(I2977),I2977,TasaUSD))</f>
        <v/>
      </c>
      <c r="S2977" s="53">
        <f>IF(P2977="","",IF(H2977="USD",G2977*R2977,G2977))</f>
        <v/>
      </c>
      <c r="T2977" s="53">
        <f>IF(P2977="","",IF(H2977="USD",G2977,IF(R2977&gt;0,G2977/R2977,0)))</f>
        <v/>
      </c>
      <c r="U2977" s="53">
        <f>IF(P2977="","",IF(P2977="Gasto",S2977,IF(P2977="Reembolso",-S2977,0)))</f>
        <v/>
      </c>
      <c r="V2977" s="53">
        <f>IF(P2977="","",IF(P2977="Ingreso",S2977,0))</f>
        <v/>
      </c>
      <c r="W2977" s="53">
        <f>IF(P2977="","",IF(P2977="Resultado trading",S2977,0))</f>
        <v/>
      </c>
      <c r="X2977" s="52">
        <f>IF(OR(P2977="Gasto",P2977="Reembolso"),IF(M2977&lt;&gt;"",M2977,IFERROR(INDEX(catClasif,MATCH(D2977&amp;"|"&amp;E2977,catClave,0))&amp;"","Variable")),"")</f>
        <v/>
      </c>
      <c r="Y2977" s="52">
        <f>IF(P2977="","",IFERROR(INDEX(catGrupo,MATCH(D2977&amp;"|"&amp;E2977,catClave,0))&amp;"",""))</f>
        <v/>
      </c>
      <c r="Z2977" s="52">
        <f>IF(P2977="","",WEEKDAY(B2977,2))</f>
        <v/>
      </c>
      <c r="AA2977" s="52">
        <f>IF(P2977="","",IF(AND(P2977="Gasto",X2977="Variable",D2977&lt;&gt;catTrading,S2977&gt;0,S2977&lt;=Umbral),1,0))</f>
        <v/>
      </c>
      <c r="AB2977" s="52">
        <f>IF(OR(P2977="",Q2977=""),"",IFERROR(IF(INDEX(ctaVinc,MATCH(Q2977,ctaNombre,0))&amp;""&lt;&gt;"",INDEX(ctaVinc,MATCH(Q2977,ctaNombre,0))&amp;"",Q2977),Q2977))</f>
        <v/>
      </c>
      <c r="AC2977" s="52">
        <f>IF(OR(K2977="",AND(P2977&lt;&gt;"Transferencia",P2977&lt;&gt;"Pago tarjeta")),"",IFERROR(IF(INDEX(ctaVinc,MATCH(K2977,ctaNombre,0))&amp;""&lt;&gt;"",INDEX(ctaVinc,MATCH(K2977,ctaNombre,0))&amp;"",K2977),K2977))</f>
        <v/>
      </c>
      <c r="AD2977" s="52">
        <f>IF(AB2977="","",IFERROR(INDEX(ctaTipo,MATCH(AB2977,ctaNombre,0))&amp;"",""))</f>
        <v/>
      </c>
      <c r="AE2977" s="52">
        <f>IF(AC2977="","",IFERROR(INDEX(ctaTipo,MATCH(AC2977,ctaNombre,0))&amp;"",""))</f>
        <v/>
      </c>
      <c r="AF2977" s="53">
        <f>IF(OR(P2977="",AB2977=""),"",IF(OR(P2977="Gasto",P2977="Transferencia",P2977="Pago tarjeta"),-1,1)*IF(IFERROR(INDEX(ctaMoneda,MATCH(AB2977,ctaNombre,0))&amp;"","DOP")="USD",T2977,S2977))</f>
        <v/>
      </c>
      <c r="AG2977" s="53">
        <f>IF(AC2977="","",IF(IFERROR(INDEX(ctaMoneda,MATCH(AC2977,ctaNombre,0))&amp;"","DOP")="USD",T2977,S2977))</f>
        <v/>
      </c>
      <c r="AH2977" s="53">
        <f>IF(P2977="","",IF(AND(AD2977&lt;&gt;"",COUNTIFS(tcTipo,AD2977,tcLiq,"Sí")&gt;0),IF(OR(P2977="Gasto",P2977="Transferencia",P2977="Pago tarjeta"),-1,1)*S2977,0)+IF(AND(AE2977&lt;&gt;"",COUNTIFS(tcTipo,AE2977,tcLiq,"Sí")&gt;0),S2977,0))</f>
        <v/>
      </c>
      <c r="AI2977" s="52">
        <f>IF(OR(L2977="",P2977=""),"",IF(COUNTIFS(L$6:L2977,L2977,P$6:P2977,"?*")=1,MAX(AI$5:AI2976)+1,""))</f>
        <v/>
      </c>
    </row>
    <row r="2978">
      <c r="B2978" s="47" t="n"/>
      <c r="C2978" s="48" t="n"/>
      <c r="D2978" s="48" t="n"/>
      <c r="E2978" s="48" t="n"/>
      <c r="F2978" s="48" t="n"/>
      <c r="G2978" s="49" t="n"/>
      <c r="H2978" s="48" t="n"/>
      <c r="I2978" s="50" t="n"/>
      <c r="J2978" s="48" t="n"/>
      <c r="K2978" s="48" t="n"/>
      <c r="L2978" s="48" t="n"/>
      <c r="M2978" s="48" t="n"/>
      <c r="N2978" s="48" t="n"/>
      <c r="O2978" s="51">
        <f>IF(AND(B2978="",G2978="",C2978="",D2978="",J2978=""),"",IF(B2978="","⚠ Falta fecha",IF(G2978="","⚠ Falta monto",IF(Q2978="","⚠ Falta cuenta",IF(ISNA(MATCH(Q2978,ctaNombre,0)),"⚠ Cuenta no registrada",IF(AND(OR(P2978="Gasto",P2978="Reembolso"),D2978=""),"⚠ Falta categoría",IF(AND(D2978&lt;&gt;"",E2978&lt;&gt;"",ISNA(MATCH(D2978&amp;"|"&amp;E2978,catClave,0))),"⚠ Subcategoría no corresponde",IF(AND(OR(P2978="Transferencia",P2978="Pago tarjeta"),K2978=""),"⚠ Falta cuenta destino",IF(AND(K2978&lt;&gt;"",P2978&lt;&gt;"Transferencia",P2978&lt;&gt;"Pago tarjeta"),"⚠ Destino solo aplica a transferencias",IF(AND(K2978&lt;&gt;"",K2978=Q2978),"⚠ Origen igual a destino",IF(AND(K2978&lt;&gt;"",ISNA(MATCH(K2978,ctaNombre,0))),"⚠ Destino no registrado",IF(AND(P2978="Pago tarjeta",AE2978&lt;&gt;"Tarjeta de crédito"),"⚠ El destino debe ser tarjeta de crédito",IF(AND(P2978="Gasto",E2978="Depósitos y retiros"),"⚠ Usa tipo Transferencia",IF(AND(P2978="Resultado trading",AD2978&lt;&gt;"Cuenta de trading"),"⚠ Usa una cuenta de trading",IF(AND(G2978&lt;=0,P2978&lt;&gt;"Ajuste",P2978&lt;&gt;"Resultado trading"),"⚠ El monto debe ser positivo","✓")))))))))))))))</f>
        <v/>
      </c>
      <c r="P2978" s="52">
        <f>IF(OR(B2978="",G2978=""),"",IF(C2978="","Gasto",C2978))</f>
        <v/>
      </c>
      <c r="Q2978" s="52">
        <f>IF(P2978="","",IF(J2978&lt;&gt;"",J2978,CuentaPred&amp;""))</f>
        <v/>
      </c>
      <c r="R2978" s="52">
        <f>IF(P2978="","",IF(ISNUMBER(I2978),I2978,TasaUSD))</f>
        <v/>
      </c>
      <c r="S2978" s="53">
        <f>IF(P2978="","",IF(H2978="USD",G2978*R2978,G2978))</f>
        <v/>
      </c>
      <c r="T2978" s="53">
        <f>IF(P2978="","",IF(H2978="USD",G2978,IF(R2978&gt;0,G2978/R2978,0)))</f>
        <v/>
      </c>
      <c r="U2978" s="53">
        <f>IF(P2978="","",IF(P2978="Gasto",S2978,IF(P2978="Reembolso",-S2978,0)))</f>
        <v/>
      </c>
      <c r="V2978" s="53">
        <f>IF(P2978="","",IF(P2978="Ingreso",S2978,0))</f>
        <v/>
      </c>
      <c r="W2978" s="53">
        <f>IF(P2978="","",IF(P2978="Resultado trading",S2978,0))</f>
        <v/>
      </c>
      <c r="X2978" s="52">
        <f>IF(OR(P2978="Gasto",P2978="Reembolso"),IF(M2978&lt;&gt;"",M2978,IFERROR(INDEX(catClasif,MATCH(D2978&amp;"|"&amp;E2978,catClave,0))&amp;"","Variable")),"")</f>
        <v/>
      </c>
      <c r="Y2978" s="52">
        <f>IF(P2978="","",IFERROR(INDEX(catGrupo,MATCH(D2978&amp;"|"&amp;E2978,catClave,0))&amp;"",""))</f>
        <v/>
      </c>
      <c r="Z2978" s="52">
        <f>IF(P2978="","",WEEKDAY(B2978,2))</f>
        <v/>
      </c>
      <c r="AA2978" s="52">
        <f>IF(P2978="","",IF(AND(P2978="Gasto",X2978="Variable",D2978&lt;&gt;catTrading,S2978&gt;0,S2978&lt;=Umbral),1,0))</f>
        <v/>
      </c>
      <c r="AB2978" s="52">
        <f>IF(OR(P2978="",Q2978=""),"",IFERROR(IF(INDEX(ctaVinc,MATCH(Q2978,ctaNombre,0))&amp;""&lt;&gt;"",INDEX(ctaVinc,MATCH(Q2978,ctaNombre,0))&amp;"",Q2978),Q2978))</f>
        <v/>
      </c>
      <c r="AC2978" s="52">
        <f>IF(OR(K2978="",AND(P2978&lt;&gt;"Transferencia",P2978&lt;&gt;"Pago tarjeta")),"",IFERROR(IF(INDEX(ctaVinc,MATCH(K2978,ctaNombre,0))&amp;""&lt;&gt;"",INDEX(ctaVinc,MATCH(K2978,ctaNombre,0))&amp;"",K2978),K2978))</f>
        <v/>
      </c>
      <c r="AD2978" s="52">
        <f>IF(AB2978="","",IFERROR(INDEX(ctaTipo,MATCH(AB2978,ctaNombre,0))&amp;"",""))</f>
        <v/>
      </c>
      <c r="AE2978" s="52">
        <f>IF(AC2978="","",IFERROR(INDEX(ctaTipo,MATCH(AC2978,ctaNombre,0))&amp;"",""))</f>
        <v/>
      </c>
      <c r="AF2978" s="53">
        <f>IF(OR(P2978="",AB2978=""),"",IF(OR(P2978="Gasto",P2978="Transferencia",P2978="Pago tarjeta"),-1,1)*IF(IFERROR(INDEX(ctaMoneda,MATCH(AB2978,ctaNombre,0))&amp;"","DOP")="USD",T2978,S2978))</f>
        <v/>
      </c>
      <c r="AG2978" s="53">
        <f>IF(AC2978="","",IF(IFERROR(INDEX(ctaMoneda,MATCH(AC2978,ctaNombre,0))&amp;"","DOP")="USD",T2978,S2978))</f>
        <v/>
      </c>
      <c r="AH2978" s="53">
        <f>IF(P2978="","",IF(AND(AD2978&lt;&gt;"",COUNTIFS(tcTipo,AD2978,tcLiq,"Sí")&gt;0),IF(OR(P2978="Gasto",P2978="Transferencia",P2978="Pago tarjeta"),-1,1)*S2978,0)+IF(AND(AE2978&lt;&gt;"",COUNTIFS(tcTipo,AE2978,tcLiq,"Sí")&gt;0),S2978,0))</f>
        <v/>
      </c>
      <c r="AI2978" s="52">
        <f>IF(OR(L2978="",P2978=""),"",IF(COUNTIFS(L$6:L2978,L2978,P$6:P2978,"?*")=1,MAX(AI$5:AI2977)+1,""))</f>
        <v/>
      </c>
    </row>
    <row r="2979">
      <c r="B2979" s="47" t="n"/>
      <c r="C2979" s="48" t="n"/>
      <c r="D2979" s="48" t="n"/>
      <c r="E2979" s="48" t="n"/>
      <c r="F2979" s="48" t="n"/>
      <c r="G2979" s="49" t="n"/>
      <c r="H2979" s="48" t="n"/>
      <c r="I2979" s="50" t="n"/>
      <c r="J2979" s="48" t="n"/>
      <c r="K2979" s="48" t="n"/>
      <c r="L2979" s="48" t="n"/>
      <c r="M2979" s="48" t="n"/>
      <c r="N2979" s="48" t="n"/>
      <c r="O2979" s="51">
        <f>IF(AND(B2979="",G2979="",C2979="",D2979="",J2979=""),"",IF(B2979="","⚠ Falta fecha",IF(G2979="","⚠ Falta monto",IF(Q2979="","⚠ Falta cuenta",IF(ISNA(MATCH(Q2979,ctaNombre,0)),"⚠ Cuenta no registrada",IF(AND(OR(P2979="Gasto",P2979="Reembolso"),D2979=""),"⚠ Falta categoría",IF(AND(D2979&lt;&gt;"",E2979&lt;&gt;"",ISNA(MATCH(D2979&amp;"|"&amp;E2979,catClave,0))),"⚠ Subcategoría no corresponde",IF(AND(OR(P2979="Transferencia",P2979="Pago tarjeta"),K2979=""),"⚠ Falta cuenta destino",IF(AND(K2979&lt;&gt;"",P2979&lt;&gt;"Transferencia",P2979&lt;&gt;"Pago tarjeta"),"⚠ Destino solo aplica a transferencias",IF(AND(K2979&lt;&gt;"",K2979=Q2979),"⚠ Origen igual a destino",IF(AND(K2979&lt;&gt;"",ISNA(MATCH(K2979,ctaNombre,0))),"⚠ Destino no registrado",IF(AND(P2979="Pago tarjeta",AE2979&lt;&gt;"Tarjeta de crédito"),"⚠ El destino debe ser tarjeta de crédito",IF(AND(P2979="Gasto",E2979="Depósitos y retiros"),"⚠ Usa tipo Transferencia",IF(AND(P2979="Resultado trading",AD2979&lt;&gt;"Cuenta de trading"),"⚠ Usa una cuenta de trading",IF(AND(G2979&lt;=0,P2979&lt;&gt;"Ajuste",P2979&lt;&gt;"Resultado trading"),"⚠ El monto debe ser positivo","✓")))))))))))))))</f>
        <v/>
      </c>
      <c r="P2979" s="52">
        <f>IF(OR(B2979="",G2979=""),"",IF(C2979="","Gasto",C2979))</f>
        <v/>
      </c>
      <c r="Q2979" s="52">
        <f>IF(P2979="","",IF(J2979&lt;&gt;"",J2979,CuentaPred&amp;""))</f>
        <v/>
      </c>
      <c r="R2979" s="52">
        <f>IF(P2979="","",IF(ISNUMBER(I2979),I2979,TasaUSD))</f>
        <v/>
      </c>
      <c r="S2979" s="53">
        <f>IF(P2979="","",IF(H2979="USD",G2979*R2979,G2979))</f>
        <v/>
      </c>
      <c r="T2979" s="53">
        <f>IF(P2979="","",IF(H2979="USD",G2979,IF(R2979&gt;0,G2979/R2979,0)))</f>
        <v/>
      </c>
      <c r="U2979" s="53">
        <f>IF(P2979="","",IF(P2979="Gasto",S2979,IF(P2979="Reembolso",-S2979,0)))</f>
        <v/>
      </c>
      <c r="V2979" s="53">
        <f>IF(P2979="","",IF(P2979="Ingreso",S2979,0))</f>
        <v/>
      </c>
      <c r="W2979" s="53">
        <f>IF(P2979="","",IF(P2979="Resultado trading",S2979,0))</f>
        <v/>
      </c>
      <c r="X2979" s="52">
        <f>IF(OR(P2979="Gasto",P2979="Reembolso"),IF(M2979&lt;&gt;"",M2979,IFERROR(INDEX(catClasif,MATCH(D2979&amp;"|"&amp;E2979,catClave,0))&amp;"","Variable")),"")</f>
        <v/>
      </c>
      <c r="Y2979" s="52">
        <f>IF(P2979="","",IFERROR(INDEX(catGrupo,MATCH(D2979&amp;"|"&amp;E2979,catClave,0))&amp;"",""))</f>
        <v/>
      </c>
      <c r="Z2979" s="52">
        <f>IF(P2979="","",WEEKDAY(B2979,2))</f>
        <v/>
      </c>
      <c r="AA2979" s="52">
        <f>IF(P2979="","",IF(AND(P2979="Gasto",X2979="Variable",D2979&lt;&gt;catTrading,S2979&gt;0,S2979&lt;=Umbral),1,0))</f>
        <v/>
      </c>
      <c r="AB2979" s="52">
        <f>IF(OR(P2979="",Q2979=""),"",IFERROR(IF(INDEX(ctaVinc,MATCH(Q2979,ctaNombre,0))&amp;""&lt;&gt;"",INDEX(ctaVinc,MATCH(Q2979,ctaNombre,0))&amp;"",Q2979),Q2979))</f>
        <v/>
      </c>
      <c r="AC2979" s="52">
        <f>IF(OR(K2979="",AND(P2979&lt;&gt;"Transferencia",P2979&lt;&gt;"Pago tarjeta")),"",IFERROR(IF(INDEX(ctaVinc,MATCH(K2979,ctaNombre,0))&amp;""&lt;&gt;"",INDEX(ctaVinc,MATCH(K2979,ctaNombre,0))&amp;"",K2979),K2979))</f>
        <v/>
      </c>
      <c r="AD2979" s="52">
        <f>IF(AB2979="","",IFERROR(INDEX(ctaTipo,MATCH(AB2979,ctaNombre,0))&amp;"",""))</f>
        <v/>
      </c>
      <c r="AE2979" s="52">
        <f>IF(AC2979="","",IFERROR(INDEX(ctaTipo,MATCH(AC2979,ctaNombre,0))&amp;"",""))</f>
        <v/>
      </c>
      <c r="AF2979" s="53">
        <f>IF(OR(P2979="",AB2979=""),"",IF(OR(P2979="Gasto",P2979="Transferencia",P2979="Pago tarjeta"),-1,1)*IF(IFERROR(INDEX(ctaMoneda,MATCH(AB2979,ctaNombre,0))&amp;"","DOP")="USD",T2979,S2979))</f>
        <v/>
      </c>
      <c r="AG2979" s="53">
        <f>IF(AC2979="","",IF(IFERROR(INDEX(ctaMoneda,MATCH(AC2979,ctaNombre,0))&amp;"","DOP")="USD",T2979,S2979))</f>
        <v/>
      </c>
      <c r="AH2979" s="53">
        <f>IF(P2979="","",IF(AND(AD2979&lt;&gt;"",COUNTIFS(tcTipo,AD2979,tcLiq,"Sí")&gt;0),IF(OR(P2979="Gasto",P2979="Transferencia",P2979="Pago tarjeta"),-1,1)*S2979,0)+IF(AND(AE2979&lt;&gt;"",COUNTIFS(tcTipo,AE2979,tcLiq,"Sí")&gt;0),S2979,0))</f>
        <v/>
      </c>
      <c r="AI2979" s="52">
        <f>IF(OR(L2979="",P2979=""),"",IF(COUNTIFS(L$6:L2979,L2979,P$6:P2979,"?*")=1,MAX(AI$5:AI2978)+1,""))</f>
        <v/>
      </c>
    </row>
    <row r="2980">
      <c r="B2980" s="47" t="n"/>
      <c r="C2980" s="48" t="n"/>
      <c r="D2980" s="48" t="n"/>
      <c r="E2980" s="48" t="n"/>
      <c r="F2980" s="48" t="n"/>
      <c r="G2980" s="49" t="n"/>
      <c r="H2980" s="48" t="n"/>
      <c r="I2980" s="50" t="n"/>
      <c r="J2980" s="48" t="n"/>
      <c r="K2980" s="48" t="n"/>
      <c r="L2980" s="48" t="n"/>
      <c r="M2980" s="48" t="n"/>
      <c r="N2980" s="48" t="n"/>
      <c r="O2980" s="51">
        <f>IF(AND(B2980="",G2980="",C2980="",D2980="",J2980=""),"",IF(B2980="","⚠ Falta fecha",IF(G2980="","⚠ Falta monto",IF(Q2980="","⚠ Falta cuenta",IF(ISNA(MATCH(Q2980,ctaNombre,0)),"⚠ Cuenta no registrada",IF(AND(OR(P2980="Gasto",P2980="Reembolso"),D2980=""),"⚠ Falta categoría",IF(AND(D2980&lt;&gt;"",E2980&lt;&gt;"",ISNA(MATCH(D2980&amp;"|"&amp;E2980,catClave,0))),"⚠ Subcategoría no corresponde",IF(AND(OR(P2980="Transferencia",P2980="Pago tarjeta"),K2980=""),"⚠ Falta cuenta destino",IF(AND(K2980&lt;&gt;"",P2980&lt;&gt;"Transferencia",P2980&lt;&gt;"Pago tarjeta"),"⚠ Destino solo aplica a transferencias",IF(AND(K2980&lt;&gt;"",K2980=Q2980),"⚠ Origen igual a destino",IF(AND(K2980&lt;&gt;"",ISNA(MATCH(K2980,ctaNombre,0))),"⚠ Destino no registrado",IF(AND(P2980="Pago tarjeta",AE2980&lt;&gt;"Tarjeta de crédito"),"⚠ El destino debe ser tarjeta de crédito",IF(AND(P2980="Gasto",E2980="Depósitos y retiros"),"⚠ Usa tipo Transferencia",IF(AND(P2980="Resultado trading",AD2980&lt;&gt;"Cuenta de trading"),"⚠ Usa una cuenta de trading",IF(AND(G2980&lt;=0,P2980&lt;&gt;"Ajuste",P2980&lt;&gt;"Resultado trading"),"⚠ El monto debe ser positivo","✓")))))))))))))))</f>
        <v/>
      </c>
      <c r="P2980" s="52">
        <f>IF(OR(B2980="",G2980=""),"",IF(C2980="","Gasto",C2980))</f>
        <v/>
      </c>
      <c r="Q2980" s="52">
        <f>IF(P2980="","",IF(J2980&lt;&gt;"",J2980,CuentaPred&amp;""))</f>
        <v/>
      </c>
      <c r="R2980" s="52">
        <f>IF(P2980="","",IF(ISNUMBER(I2980),I2980,TasaUSD))</f>
        <v/>
      </c>
      <c r="S2980" s="53">
        <f>IF(P2980="","",IF(H2980="USD",G2980*R2980,G2980))</f>
        <v/>
      </c>
      <c r="T2980" s="53">
        <f>IF(P2980="","",IF(H2980="USD",G2980,IF(R2980&gt;0,G2980/R2980,0)))</f>
        <v/>
      </c>
      <c r="U2980" s="53">
        <f>IF(P2980="","",IF(P2980="Gasto",S2980,IF(P2980="Reembolso",-S2980,0)))</f>
        <v/>
      </c>
      <c r="V2980" s="53">
        <f>IF(P2980="","",IF(P2980="Ingreso",S2980,0))</f>
        <v/>
      </c>
      <c r="W2980" s="53">
        <f>IF(P2980="","",IF(P2980="Resultado trading",S2980,0))</f>
        <v/>
      </c>
      <c r="X2980" s="52">
        <f>IF(OR(P2980="Gasto",P2980="Reembolso"),IF(M2980&lt;&gt;"",M2980,IFERROR(INDEX(catClasif,MATCH(D2980&amp;"|"&amp;E2980,catClave,0))&amp;"","Variable")),"")</f>
        <v/>
      </c>
      <c r="Y2980" s="52">
        <f>IF(P2980="","",IFERROR(INDEX(catGrupo,MATCH(D2980&amp;"|"&amp;E2980,catClave,0))&amp;"",""))</f>
        <v/>
      </c>
      <c r="Z2980" s="52">
        <f>IF(P2980="","",WEEKDAY(B2980,2))</f>
        <v/>
      </c>
      <c r="AA2980" s="52">
        <f>IF(P2980="","",IF(AND(P2980="Gasto",X2980="Variable",D2980&lt;&gt;catTrading,S2980&gt;0,S2980&lt;=Umbral),1,0))</f>
        <v/>
      </c>
      <c r="AB2980" s="52">
        <f>IF(OR(P2980="",Q2980=""),"",IFERROR(IF(INDEX(ctaVinc,MATCH(Q2980,ctaNombre,0))&amp;""&lt;&gt;"",INDEX(ctaVinc,MATCH(Q2980,ctaNombre,0))&amp;"",Q2980),Q2980))</f>
        <v/>
      </c>
      <c r="AC2980" s="52">
        <f>IF(OR(K2980="",AND(P2980&lt;&gt;"Transferencia",P2980&lt;&gt;"Pago tarjeta")),"",IFERROR(IF(INDEX(ctaVinc,MATCH(K2980,ctaNombre,0))&amp;""&lt;&gt;"",INDEX(ctaVinc,MATCH(K2980,ctaNombre,0))&amp;"",K2980),K2980))</f>
        <v/>
      </c>
      <c r="AD2980" s="52">
        <f>IF(AB2980="","",IFERROR(INDEX(ctaTipo,MATCH(AB2980,ctaNombre,0))&amp;"",""))</f>
        <v/>
      </c>
      <c r="AE2980" s="52">
        <f>IF(AC2980="","",IFERROR(INDEX(ctaTipo,MATCH(AC2980,ctaNombre,0))&amp;"",""))</f>
        <v/>
      </c>
      <c r="AF2980" s="53">
        <f>IF(OR(P2980="",AB2980=""),"",IF(OR(P2980="Gasto",P2980="Transferencia",P2980="Pago tarjeta"),-1,1)*IF(IFERROR(INDEX(ctaMoneda,MATCH(AB2980,ctaNombre,0))&amp;"","DOP")="USD",T2980,S2980))</f>
        <v/>
      </c>
      <c r="AG2980" s="53">
        <f>IF(AC2980="","",IF(IFERROR(INDEX(ctaMoneda,MATCH(AC2980,ctaNombre,0))&amp;"","DOP")="USD",T2980,S2980))</f>
        <v/>
      </c>
      <c r="AH2980" s="53">
        <f>IF(P2980="","",IF(AND(AD2980&lt;&gt;"",COUNTIFS(tcTipo,AD2980,tcLiq,"Sí")&gt;0),IF(OR(P2980="Gasto",P2980="Transferencia",P2980="Pago tarjeta"),-1,1)*S2980,0)+IF(AND(AE2980&lt;&gt;"",COUNTIFS(tcTipo,AE2980,tcLiq,"Sí")&gt;0),S2980,0))</f>
        <v/>
      </c>
      <c r="AI2980" s="52">
        <f>IF(OR(L2980="",P2980=""),"",IF(COUNTIFS(L$6:L2980,L2980,P$6:P2980,"?*")=1,MAX(AI$5:AI2979)+1,""))</f>
        <v/>
      </c>
    </row>
    <row r="2981">
      <c r="B2981" s="47" t="n"/>
      <c r="C2981" s="48" t="n"/>
      <c r="D2981" s="48" t="n"/>
      <c r="E2981" s="48" t="n"/>
      <c r="F2981" s="48" t="n"/>
      <c r="G2981" s="49" t="n"/>
      <c r="H2981" s="48" t="n"/>
      <c r="I2981" s="50" t="n"/>
      <c r="J2981" s="48" t="n"/>
      <c r="K2981" s="48" t="n"/>
      <c r="L2981" s="48" t="n"/>
      <c r="M2981" s="48" t="n"/>
      <c r="N2981" s="48" t="n"/>
      <c r="O2981" s="51">
        <f>IF(AND(B2981="",G2981="",C2981="",D2981="",J2981=""),"",IF(B2981="","⚠ Falta fecha",IF(G2981="","⚠ Falta monto",IF(Q2981="","⚠ Falta cuenta",IF(ISNA(MATCH(Q2981,ctaNombre,0)),"⚠ Cuenta no registrada",IF(AND(OR(P2981="Gasto",P2981="Reembolso"),D2981=""),"⚠ Falta categoría",IF(AND(D2981&lt;&gt;"",E2981&lt;&gt;"",ISNA(MATCH(D2981&amp;"|"&amp;E2981,catClave,0))),"⚠ Subcategoría no corresponde",IF(AND(OR(P2981="Transferencia",P2981="Pago tarjeta"),K2981=""),"⚠ Falta cuenta destino",IF(AND(K2981&lt;&gt;"",P2981&lt;&gt;"Transferencia",P2981&lt;&gt;"Pago tarjeta"),"⚠ Destino solo aplica a transferencias",IF(AND(K2981&lt;&gt;"",K2981=Q2981),"⚠ Origen igual a destino",IF(AND(K2981&lt;&gt;"",ISNA(MATCH(K2981,ctaNombre,0))),"⚠ Destino no registrado",IF(AND(P2981="Pago tarjeta",AE2981&lt;&gt;"Tarjeta de crédito"),"⚠ El destino debe ser tarjeta de crédito",IF(AND(P2981="Gasto",E2981="Depósitos y retiros"),"⚠ Usa tipo Transferencia",IF(AND(P2981="Resultado trading",AD2981&lt;&gt;"Cuenta de trading"),"⚠ Usa una cuenta de trading",IF(AND(G2981&lt;=0,P2981&lt;&gt;"Ajuste",P2981&lt;&gt;"Resultado trading"),"⚠ El monto debe ser positivo","✓")))))))))))))))</f>
        <v/>
      </c>
      <c r="P2981" s="52">
        <f>IF(OR(B2981="",G2981=""),"",IF(C2981="","Gasto",C2981))</f>
        <v/>
      </c>
      <c r="Q2981" s="52">
        <f>IF(P2981="","",IF(J2981&lt;&gt;"",J2981,CuentaPred&amp;""))</f>
        <v/>
      </c>
      <c r="R2981" s="52">
        <f>IF(P2981="","",IF(ISNUMBER(I2981),I2981,TasaUSD))</f>
        <v/>
      </c>
      <c r="S2981" s="53">
        <f>IF(P2981="","",IF(H2981="USD",G2981*R2981,G2981))</f>
        <v/>
      </c>
      <c r="T2981" s="53">
        <f>IF(P2981="","",IF(H2981="USD",G2981,IF(R2981&gt;0,G2981/R2981,0)))</f>
        <v/>
      </c>
      <c r="U2981" s="53">
        <f>IF(P2981="","",IF(P2981="Gasto",S2981,IF(P2981="Reembolso",-S2981,0)))</f>
        <v/>
      </c>
      <c r="V2981" s="53">
        <f>IF(P2981="","",IF(P2981="Ingreso",S2981,0))</f>
        <v/>
      </c>
      <c r="W2981" s="53">
        <f>IF(P2981="","",IF(P2981="Resultado trading",S2981,0))</f>
        <v/>
      </c>
      <c r="X2981" s="52">
        <f>IF(OR(P2981="Gasto",P2981="Reembolso"),IF(M2981&lt;&gt;"",M2981,IFERROR(INDEX(catClasif,MATCH(D2981&amp;"|"&amp;E2981,catClave,0))&amp;"","Variable")),"")</f>
        <v/>
      </c>
      <c r="Y2981" s="52">
        <f>IF(P2981="","",IFERROR(INDEX(catGrupo,MATCH(D2981&amp;"|"&amp;E2981,catClave,0))&amp;"",""))</f>
        <v/>
      </c>
      <c r="Z2981" s="52">
        <f>IF(P2981="","",WEEKDAY(B2981,2))</f>
        <v/>
      </c>
      <c r="AA2981" s="52">
        <f>IF(P2981="","",IF(AND(P2981="Gasto",X2981="Variable",D2981&lt;&gt;catTrading,S2981&gt;0,S2981&lt;=Umbral),1,0))</f>
        <v/>
      </c>
      <c r="AB2981" s="52">
        <f>IF(OR(P2981="",Q2981=""),"",IFERROR(IF(INDEX(ctaVinc,MATCH(Q2981,ctaNombre,0))&amp;""&lt;&gt;"",INDEX(ctaVinc,MATCH(Q2981,ctaNombre,0))&amp;"",Q2981),Q2981))</f>
        <v/>
      </c>
      <c r="AC2981" s="52">
        <f>IF(OR(K2981="",AND(P2981&lt;&gt;"Transferencia",P2981&lt;&gt;"Pago tarjeta")),"",IFERROR(IF(INDEX(ctaVinc,MATCH(K2981,ctaNombre,0))&amp;""&lt;&gt;"",INDEX(ctaVinc,MATCH(K2981,ctaNombre,0))&amp;"",K2981),K2981))</f>
        <v/>
      </c>
      <c r="AD2981" s="52">
        <f>IF(AB2981="","",IFERROR(INDEX(ctaTipo,MATCH(AB2981,ctaNombre,0))&amp;"",""))</f>
        <v/>
      </c>
      <c r="AE2981" s="52">
        <f>IF(AC2981="","",IFERROR(INDEX(ctaTipo,MATCH(AC2981,ctaNombre,0))&amp;"",""))</f>
        <v/>
      </c>
      <c r="AF2981" s="53">
        <f>IF(OR(P2981="",AB2981=""),"",IF(OR(P2981="Gasto",P2981="Transferencia",P2981="Pago tarjeta"),-1,1)*IF(IFERROR(INDEX(ctaMoneda,MATCH(AB2981,ctaNombre,0))&amp;"","DOP")="USD",T2981,S2981))</f>
        <v/>
      </c>
      <c r="AG2981" s="53">
        <f>IF(AC2981="","",IF(IFERROR(INDEX(ctaMoneda,MATCH(AC2981,ctaNombre,0))&amp;"","DOP")="USD",T2981,S2981))</f>
        <v/>
      </c>
      <c r="AH2981" s="53">
        <f>IF(P2981="","",IF(AND(AD2981&lt;&gt;"",COUNTIFS(tcTipo,AD2981,tcLiq,"Sí")&gt;0),IF(OR(P2981="Gasto",P2981="Transferencia",P2981="Pago tarjeta"),-1,1)*S2981,0)+IF(AND(AE2981&lt;&gt;"",COUNTIFS(tcTipo,AE2981,tcLiq,"Sí")&gt;0),S2981,0))</f>
        <v/>
      </c>
      <c r="AI2981" s="52">
        <f>IF(OR(L2981="",P2981=""),"",IF(COUNTIFS(L$6:L2981,L2981,P$6:P2981,"?*")=1,MAX(AI$5:AI2980)+1,""))</f>
        <v/>
      </c>
    </row>
    <row r="2982">
      <c r="B2982" s="47" t="n"/>
      <c r="C2982" s="48" t="n"/>
      <c r="D2982" s="48" t="n"/>
      <c r="E2982" s="48" t="n"/>
      <c r="F2982" s="48" t="n"/>
      <c r="G2982" s="49" t="n"/>
      <c r="H2982" s="48" t="n"/>
      <c r="I2982" s="50" t="n"/>
      <c r="J2982" s="48" t="n"/>
      <c r="K2982" s="48" t="n"/>
      <c r="L2982" s="48" t="n"/>
      <c r="M2982" s="48" t="n"/>
      <c r="N2982" s="48" t="n"/>
      <c r="O2982" s="51">
        <f>IF(AND(B2982="",G2982="",C2982="",D2982="",J2982=""),"",IF(B2982="","⚠ Falta fecha",IF(G2982="","⚠ Falta monto",IF(Q2982="","⚠ Falta cuenta",IF(ISNA(MATCH(Q2982,ctaNombre,0)),"⚠ Cuenta no registrada",IF(AND(OR(P2982="Gasto",P2982="Reembolso"),D2982=""),"⚠ Falta categoría",IF(AND(D2982&lt;&gt;"",E2982&lt;&gt;"",ISNA(MATCH(D2982&amp;"|"&amp;E2982,catClave,0))),"⚠ Subcategoría no corresponde",IF(AND(OR(P2982="Transferencia",P2982="Pago tarjeta"),K2982=""),"⚠ Falta cuenta destino",IF(AND(K2982&lt;&gt;"",P2982&lt;&gt;"Transferencia",P2982&lt;&gt;"Pago tarjeta"),"⚠ Destino solo aplica a transferencias",IF(AND(K2982&lt;&gt;"",K2982=Q2982),"⚠ Origen igual a destino",IF(AND(K2982&lt;&gt;"",ISNA(MATCH(K2982,ctaNombre,0))),"⚠ Destino no registrado",IF(AND(P2982="Pago tarjeta",AE2982&lt;&gt;"Tarjeta de crédito"),"⚠ El destino debe ser tarjeta de crédito",IF(AND(P2982="Gasto",E2982="Depósitos y retiros"),"⚠ Usa tipo Transferencia",IF(AND(P2982="Resultado trading",AD2982&lt;&gt;"Cuenta de trading"),"⚠ Usa una cuenta de trading",IF(AND(G2982&lt;=0,P2982&lt;&gt;"Ajuste",P2982&lt;&gt;"Resultado trading"),"⚠ El monto debe ser positivo","✓")))))))))))))))</f>
        <v/>
      </c>
      <c r="P2982" s="52">
        <f>IF(OR(B2982="",G2982=""),"",IF(C2982="","Gasto",C2982))</f>
        <v/>
      </c>
      <c r="Q2982" s="52">
        <f>IF(P2982="","",IF(J2982&lt;&gt;"",J2982,CuentaPred&amp;""))</f>
        <v/>
      </c>
      <c r="R2982" s="52">
        <f>IF(P2982="","",IF(ISNUMBER(I2982),I2982,TasaUSD))</f>
        <v/>
      </c>
      <c r="S2982" s="53">
        <f>IF(P2982="","",IF(H2982="USD",G2982*R2982,G2982))</f>
        <v/>
      </c>
      <c r="T2982" s="53">
        <f>IF(P2982="","",IF(H2982="USD",G2982,IF(R2982&gt;0,G2982/R2982,0)))</f>
        <v/>
      </c>
      <c r="U2982" s="53">
        <f>IF(P2982="","",IF(P2982="Gasto",S2982,IF(P2982="Reembolso",-S2982,0)))</f>
        <v/>
      </c>
      <c r="V2982" s="53">
        <f>IF(P2982="","",IF(P2982="Ingreso",S2982,0))</f>
        <v/>
      </c>
      <c r="W2982" s="53">
        <f>IF(P2982="","",IF(P2982="Resultado trading",S2982,0))</f>
        <v/>
      </c>
      <c r="X2982" s="52">
        <f>IF(OR(P2982="Gasto",P2982="Reembolso"),IF(M2982&lt;&gt;"",M2982,IFERROR(INDEX(catClasif,MATCH(D2982&amp;"|"&amp;E2982,catClave,0))&amp;"","Variable")),"")</f>
        <v/>
      </c>
      <c r="Y2982" s="52">
        <f>IF(P2982="","",IFERROR(INDEX(catGrupo,MATCH(D2982&amp;"|"&amp;E2982,catClave,0))&amp;"",""))</f>
        <v/>
      </c>
      <c r="Z2982" s="52">
        <f>IF(P2982="","",WEEKDAY(B2982,2))</f>
        <v/>
      </c>
      <c r="AA2982" s="52">
        <f>IF(P2982="","",IF(AND(P2982="Gasto",X2982="Variable",D2982&lt;&gt;catTrading,S2982&gt;0,S2982&lt;=Umbral),1,0))</f>
        <v/>
      </c>
      <c r="AB2982" s="52">
        <f>IF(OR(P2982="",Q2982=""),"",IFERROR(IF(INDEX(ctaVinc,MATCH(Q2982,ctaNombre,0))&amp;""&lt;&gt;"",INDEX(ctaVinc,MATCH(Q2982,ctaNombre,0))&amp;"",Q2982),Q2982))</f>
        <v/>
      </c>
      <c r="AC2982" s="52">
        <f>IF(OR(K2982="",AND(P2982&lt;&gt;"Transferencia",P2982&lt;&gt;"Pago tarjeta")),"",IFERROR(IF(INDEX(ctaVinc,MATCH(K2982,ctaNombre,0))&amp;""&lt;&gt;"",INDEX(ctaVinc,MATCH(K2982,ctaNombre,0))&amp;"",K2982),K2982))</f>
        <v/>
      </c>
      <c r="AD2982" s="52">
        <f>IF(AB2982="","",IFERROR(INDEX(ctaTipo,MATCH(AB2982,ctaNombre,0))&amp;"",""))</f>
        <v/>
      </c>
      <c r="AE2982" s="52">
        <f>IF(AC2982="","",IFERROR(INDEX(ctaTipo,MATCH(AC2982,ctaNombre,0))&amp;"",""))</f>
        <v/>
      </c>
      <c r="AF2982" s="53">
        <f>IF(OR(P2982="",AB2982=""),"",IF(OR(P2982="Gasto",P2982="Transferencia",P2982="Pago tarjeta"),-1,1)*IF(IFERROR(INDEX(ctaMoneda,MATCH(AB2982,ctaNombre,0))&amp;"","DOP")="USD",T2982,S2982))</f>
        <v/>
      </c>
      <c r="AG2982" s="53">
        <f>IF(AC2982="","",IF(IFERROR(INDEX(ctaMoneda,MATCH(AC2982,ctaNombre,0))&amp;"","DOP")="USD",T2982,S2982))</f>
        <v/>
      </c>
      <c r="AH2982" s="53">
        <f>IF(P2982="","",IF(AND(AD2982&lt;&gt;"",COUNTIFS(tcTipo,AD2982,tcLiq,"Sí")&gt;0),IF(OR(P2982="Gasto",P2982="Transferencia",P2982="Pago tarjeta"),-1,1)*S2982,0)+IF(AND(AE2982&lt;&gt;"",COUNTIFS(tcTipo,AE2982,tcLiq,"Sí")&gt;0),S2982,0))</f>
        <v/>
      </c>
      <c r="AI2982" s="52">
        <f>IF(OR(L2982="",P2982=""),"",IF(COUNTIFS(L$6:L2982,L2982,P$6:P2982,"?*")=1,MAX(AI$5:AI2981)+1,""))</f>
        <v/>
      </c>
    </row>
    <row r="2983">
      <c r="B2983" s="47" t="n"/>
      <c r="C2983" s="48" t="n"/>
      <c r="D2983" s="48" t="n"/>
      <c r="E2983" s="48" t="n"/>
      <c r="F2983" s="48" t="n"/>
      <c r="G2983" s="49" t="n"/>
      <c r="H2983" s="48" t="n"/>
      <c r="I2983" s="50" t="n"/>
      <c r="J2983" s="48" t="n"/>
      <c r="K2983" s="48" t="n"/>
      <c r="L2983" s="48" t="n"/>
      <c r="M2983" s="48" t="n"/>
      <c r="N2983" s="48" t="n"/>
      <c r="O2983" s="51">
        <f>IF(AND(B2983="",G2983="",C2983="",D2983="",J2983=""),"",IF(B2983="","⚠ Falta fecha",IF(G2983="","⚠ Falta monto",IF(Q2983="","⚠ Falta cuenta",IF(ISNA(MATCH(Q2983,ctaNombre,0)),"⚠ Cuenta no registrada",IF(AND(OR(P2983="Gasto",P2983="Reembolso"),D2983=""),"⚠ Falta categoría",IF(AND(D2983&lt;&gt;"",E2983&lt;&gt;"",ISNA(MATCH(D2983&amp;"|"&amp;E2983,catClave,0))),"⚠ Subcategoría no corresponde",IF(AND(OR(P2983="Transferencia",P2983="Pago tarjeta"),K2983=""),"⚠ Falta cuenta destino",IF(AND(K2983&lt;&gt;"",P2983&lt;&gt;"Transferencia",P2983&lt;&gt;"Pago tarjeta"),"⚠ Destino solo aplica a transferencias",IF(AND(K2983&lt;&gt;"",K2983=Q2983),"⚠ Origen igual a destino",IF(AND(K2983&lt;&gt;"",ISNA(MATCH(K2983,ctaNombre,0))),"⚠ Destino no registrado",IF(AND(P2983="Pago tarjeta",AE2983&lt;&gt;"Tarjeta de crédito"),"⚠ El destino debe ser tarjeta de crédito",IF(AND(P2983="Gasto",E2983="Depósitos y retiros"),"⚠ Usa tipo Transferencia",IF(AND(P2983="Resultado trading",AD2983&lt;&gt;"Cuenta de trading"),"⚠ Usa una cuenta de trading",IF(AND(G2983&lt;=0,P2983&lt;&gt;"Ajuste",P2983&lt;&gt;"Resultado trading"),"⚠ El monto debe ser positivo","✓")))))))))))))))</f>
        <v/>
      </c>
      <c r="P2983" s="52">
        <f>IF(OR(B2983="",G2983=""),"",IF(C2983="","Gasto",C2983))</f>
        <v/>
      </c>
      <c r="Q2983" s="52">
        <f>IF(P2983="","",IF(J2983&lt;&gt;"",J2983,CuentaPred&amp;""))</f>
        <v/>
      </c>
      <c r="R2983" s="52">
        <f>IF(P2983="","",IF(ISNUMBER(I2983),I2983,TasaUSD))</f>
        <v/>
      </c>
      <c r="S2983" s="53">
        <f>IF(P2983="","",IF(H2983="USD",G2983*R2983,G2983))</f>
        <v/>
      </c>
      <c r="T2983" s="53">
        <f>IF(P2983="","",IF(H2983="USD",G2983,IF(R2983&gt;0,G2983/R2983,0)))</f>
        <v/>
      </c>
      <c r="U2983" s="53">
        <f>IF(P2983="","",IF(P2983="Gasto",S2983,IF(P2983="Reembolso",-S2983,0)))</f>
        <v/>
      </c>
      <c r="V2983" s="53">
        <f>IF(P2983="","",IF(P2983="Ingreso",S2983,0))</f>
        <v/>
      </c>
      <c r="W2983" s="53">
        <f>IF(P2983="","",IF(P2983="Resultado trading",S2983,0))</f>
        <v/>
      </c>
      <c r="X2983" s="52">
        <f>IF(OR(P2983="Gasto",P2983="Reembolso"),IF(M2983&lt;&gt;"",M2983,IFERROR(INDEX(catClasif,MATCH(D2983&amp;"|"&amp;E2983,catClave,0))&amp;"","Variable")),"")</f>
        <v/>
      </c>
      <c r="Y2983" s="52">
        <f>IF(P2983="","",IFERROR(INDEX(catGrupo,MATCH(D2983&amp;"|"&amp;E2983,catClave,0))&amp;"",""))</f>
        <v/>
      </c>
      <c r="Z2983" s="52">
        <f>IF(P2983="","",WEEKDAY(B2983,2))</f>
        <v/>
      </c>
      <c r="AA2983" s="52">
        <f>IF(P2983="","",IF(AND(P2983="Gasto",X2983="Variable",D2983&lt;&gt;catTrading,S2983&gt;0,S2983&lt;=Umbral),1,0))</f>
        <v/>
      </c>
      <c r="AB2983" s="52">
        <f>IF(OR(P2983="",Q2983=""),"",IFERROR(IF(INDEX(ctaVinc,MATCH(Q2983,ctaNombre,0))&amp;""&lt;&gt;"",INDEX(ctaVinc,MATCH(Q2983,ctaNombre,0))&amp;"",Q2983),Q2983))</f>
        <v/>
      </c>
      <c r="AC2983" s="52">
        <f>IF(OR(K2983="",AND(P2983&lt;&gt;"Transferencia",P2983&lt;&gt;"Pago tarjeta")),"",IFERROR(IF(INDEX(ctaVinc,MATCH(K2983,ctaNombre,0))&amp;""&lt;&gt;"",INDEX(ctaVinc,MATCH(K2983,ctaNombre,0))&amp;"",K2983),K2983))</f>
        <v/>
      </c>
      <c r="AD2983" s="52">
        <f>IF(AB2983="","",IFERROR(INDEX(ctaTipo,MATCH(AB2983,ctaNombre,0))&amp;"",""))</f>
        <v/>
      </c>
      <c r="AE2983" s="52">
        <f>IF(AC2983="","",IFERROR(INDEX(ctaTipo,MATCH(AC2983,ctaNombre,0))&amp;"",""))</f>
        <v/>
      </c>
      <c r="AF2983" s="53">
        <f>IF(OR(P2983="",AB2983=""),"",IF(OR(P2983="Gasto",P2983="Transferencia",P2983="Pago tarjeta"),-1,1)*IF(IFERROR(INDEX(ctaMoneda,MATCH(AB2983,ctaNombre,0))&amp;"","DOP")="USD",T2983,S2983))</f>
        <v/>
      </c>
      <c r="AG2983" s="53">
        <f>IF(AC2983="","",IF(IFERROR(INDEX(ctaMoneda,MATCH(AC2983,ctaNombre,0))&amp;"","DOP")="USD",T2983,S2983))</f>
        <v/>
      </c>
      <c r="AH2983" s="53">
        <f>IF(P2983="","",IF(AND(AD2983&lt;&gt;"",COUNTIFS(tcTipo,AD2983,tcLiq,"Sí")&gt;0),IF(OR(P2983="Gasto",P2983="Transferencia",P2983="Pago tarjeta"),-1,1)*S2983,0)+IF(AND(AE2983&lt;&gt;"",COUNTIFS(tcTipo,AE2983,tcLiq,"Sí")&gt;0),S2983,0))</f>
        <v/>
      </c>
      <c r="AI2983" s="52">
        <f>IF(OR(L2983="",P2983=""),"",IF(COUNTIFS(L$6:L2983,L2983,P$6:P2983,"?*")=1,MAX(AI$5:AI2982)+1,""))</f>
        <v/>
      </c>
    </row>
    <row r="2984">
      <c r="B2984" s="47" t="n"/>
      <c r="C2984" s="48" t="n"/>
      <c r="D2984" s="48" t="n"/>
      <c r="E2984" s="48" t="n"/>
      <c r="F2984" s="48" t="n"/>
      <c r="G2984" s="49" t="n"/>
      <c r="H2984" s="48" t="n"/>
      <c r="I2984" s="50" t="n"/>
      <c r="J2984" s="48" t="n"/>
      <c r="K2984" s="48" t="n"/>
      <c r="L2984" s="48" t="n"/>
      <c r="M2984" s="48" t="n"/>
      <c r="N2984" s="48" t="n"/>
      <c r="O2984" s="51">
        <f>IF(AND(B2984="",G2984="",C2984="",D2984="",J2984=""),"",IF(B2984="","⚠ Falta fecha",IF(G2984="","⚠ Falta monto",IF(Q2984="","⚠ Falta cuenta",IF(ISNA(MATCH(Q2984,ctaNombre,0)),"⚠ Cuenta no registrada",IF(AND(OR(P2984="Gasto",P2984="Reembolso"),D2984=""),"⚠ Falta categoría",IF(AND(D2984&lt;&gt;"",E2984&lt;&gt;"",ISNA(MATCH(D2984&amp;"|"&amp;E2984,catClave,0))),"⚠ Subcategoría no corresponde",IF(AND(OR(P2984="Transferencia",P2984="Pago tarjeta"),K2984=""),"⚠ Falta cuenta destino",IF(AND(K2984&lt;&gt;"",P2984&lt;&gt;"Transferencia",P2984&lt;&gt;"Pago tarjeta"),"⚠ Destino solo aplica a transferencias",IF(AND(K2984&lt;&gt;"",K2984=Q2984),"⚠ Origen igual a destino",IF(AND(K2984&lt;&gt;"",ISNA(MATCH(K2984,ctaNombre,0))),"⚠ Destino no registrado",IF(AND(P2984="Pago tarjeta",AE2984&lt;&gt;"Tarjeta de crédito"),"⚠ El destino debe ser tarjeta de crédito",IF(AND(P2984="Gasto",E2984="Depósitos y retiros"),"⚠ Usa tipo Transferencia",IF(AND(P2984="Resultado trading",AD2984&lt;&gt;"Cuenta de trading"),"⚠ Usa una cuenta de trading",IF(AND(G2984&lt;=0,P2984&lt;&gt;"Ajuste",P2984&lt;&gt;"Resultado trading"),"⚠ El monto debe ser positivo","✓")))))))))))))))</f>
        <v/>
      </c>
      <c r="P2984" s="52">
        <f>IF(OR(B2984="",G2984=""),"",IF(C2984="","Gasto",C2984))</f>
        <v/>
      </c>
      <c r="Q2984" s="52">
        <f>IF(P2984="","",IF(J2984&lt;&gt;"",J2984,CuentaPred&amp;""))</f>
        <v/>
      </c>
      <c r="R2984" s="52">
        <f>IF(P2984="","",IF(ISNUMBER(I2984),I2984,TasaUSD))</f>
        <v/>
      </c>
      <c r="S2984" s="53">
        <f>IF(P2984="","",IF(H2984="USD",G2984*R2984,G2984))</f>
        <v/>
      </c>
      <c r="T2984" s="53">
        <f>IF(P2984="","",IF(H2984="USD",G2984,IF(R2984&gt;0,G2984/R2984,0)))</f>
        <v/>
      </c>
      <c r="U2984" s="53">
        <f>IF(P2984="","",IF(P2984="Gasto",S2984,IF(P2984="Reembolso",-S2984,0)))</f>
        <v/>
      </c>
      <c r="V2984" s="53">
        <f>IF(P2984="","",IF(P2984="Ingreso",S2984,0))</f>
        <v/>
      </c>
      <c r="W2984" s="53">
        <f>IF(P2984="","",IF(P2984="Resultado trading",S2984,0))</f>
        <v/>
      </c>
      <c r="X2984" s="52">
        <f>IF(OR(P2984="Gasto",P2984="Reembolso"),IF(M2984&lt;&gt;"",M2984,IFERROR(INDEX(catClasif,MATCH(D2984&amp;"|"&amp;E2984,catClave,0))&amp;"","Variable")),"")</f>
        <v/>
      </c>
      <c r="Y2984" s="52">
        <f>IF(P2984="","",IFERROR(INDEX(catGrupo,MATCH(D2984&amp;"|"&amp;E2984,catClave,0))&amp;"",""))</f>
        <v/>
      </c>
      <c r="Z2984" s="52">
        <f>IF(P2984="","",WEEKDAY(B2984,2))</f>
        <v/>
      </c>
      <c r="AA2984" s="52">
        <f>IF(P2984="","",IF(AND(P2984="Gasto",X2984="Variable",D2984&lt;&gt;catTrading,S2984&gt;0,S2984&lt;=Umbral),1,0))</f>
        <v/>
      </c>
      <c r="AB2984" s="52">
        <f>IF(OR(P2984="",Q2984=""),"",IFERROR(IF(INDEX(ctaVinc,MATCH(Q2984,ctaNombre,0))&amp;""&lt;&gt;"",INDEX(ctaVinc,MATCH(Q2984,ctaNombre,0))&amp;"",Q2984),Q2984))</f>
        <v/>
      </c>
      <c r="AC2984" s="52">
        <f>IF(OR(K2984="",AND(P2984&lt;&gt;"Transferencia",P2984&lt;&gt;"Pago tarjeta")),"",IFERROR(IF(INDEX(ctaVinc,MATCH(K2984,ctaNombre,0))&amp;""&lt;&gt;"",INDEX(ctaVinc,MATCH(K2984,ctaNombre,0))&amp;"",K2984),K2984))</f>
        <v/>
      </c>
      <c r="AD2984" s="52">
        <f>IF(AB2984="","",IFERROR(INDEX(ctaTipo,MATCH(AB2984,ctaNombre,0))&amp;"",""))</f>
        <v/>
      </c>
      <c r="AE2984" s="52">
        <f>IF(AC2984="","",IFERROR(INDEX(ctaTipo,MATCH(AC2984,ctaNombre,0))&amp;"",""))</f>
        <v/>
      </c>
      <c r="AF2984" s="53">
        <f>IF(OR(P2984="",AB2984=""),"",IF(OR(P2984="Gasto",P2984="Transferencia",P2984="Pago tarjeta"),-1,1)*IF(IFERROR(INDEX(ctaMoneda,MATCH(AB2984,ctaNombre,0))&amp;"","DOP")="USD",T2984,S2984))</f>
        <v/>
      </c>
      <c r="AG2984" s="53">
        <f>IF(AC2984="","",IF(IFERROR(INDEX(ctaMoneda,MATCH(AC2984,ctaNombre,0))&amp;"","DOP")="USD",T2984,S2984))</f>
        <v/>
      </c>
      <c r="AH2984" s="53">
        <f>IF(P2984="","",IF(AND(AD2984&lt;&gt;"",COUNTIFS(tcTipo,AD2984,tcLiq,"Sí")&gt;0),IF(OR(P2984="Gasto",P2984="Transferencia",P2984="Pago tarjeta"),-1,1)*S2984,0)+IF(AND(AE2984&lt;&gt;"",COUNTIFS(tcTipo,AE2984,tcLiq,"Sí")&gt;0),S2984,0))</f>
        <v/>
      </c>
      <c r="AI2984" s="52">
        <f>IF(OR(L2984="",P2984=""),"",IF(COUNTIFS(L$6:L2984,L2984,P$6:P2984,"?*")=1,MAX(AI$5:AI2983)+1,""))</f>
        <v/>
      </c>
    </row>
    <row r="2985">
      <c r="B2985" s="47" t="n"/>
      <c r="C2985" s="48" t="n"/>
      <c r="D2985" s="48" t="n"/>
      <c r="E2985" s="48" t="n"/>
      <c r="F2985" s="48" t="n"/>
      <c r="G2985" s="49" t="n"/>
      <c r="H2985" s="48" t="n"/>
      <c r="I2985" s="50" t="n"/>
      <c r="J2985" s="48" t="n"/>
      <c r="K2985" s="48" t="n"/>
      <c r="L2985" s="48" t="n"/>
      <c r="M2985" s="48" t="n"/>
      <c r="N2985" s="48" t="n"/>
      <c r="O2985" s="51">
        <f>IF(AND(B2985="",G2985="",C2985="",D2985="",J2985=""),"",IF(B2985="","⚠ Falta fecha",IF(G2985="","⚠ Falta monto",IF(Q2985="","⚠ Falta cuenta",IF(ISNA(MATCH(Q2985,ctaNombre,0)),"⚠ Cuenta no registrada",IF(AND(OR(P2985="Gasto",P2985="Reembolso"),D2985=""),"⚠ Falta categoría",IF(AND(D2985&lt;&gt;"",E2985&lt;&gt;"",ISNA(MATCH(D2985&amp;"|"&amp;E2985,catClave,0))),"⚠ Subcategoría no corresponde",IF(AND(OR(P2985="Transferencia",P2985="Pago tarjeta"),K2985=""),"⚠ Falta cuenta destino",IF(AND(K2985&lt;&gt;"",P2985&lt;&gt;"Transferencia",P2985&lt;&gt;"Pago tarjeta"),"⚠ Destino solo aplica a transferencias",IF(AND(K2985&lt;&gt;"",K2985=Q2985),"⚠ Origen igual a destino",IF(AND(K2985&lt;&gt;"",ISNA(MATCH(K2985,ctaNombre,0))),"⚠ Destino no registrado",IF(AND(P2985="Pago tarjeta",AE2985&lt;&gt;"Tarjeta de crédito"),"⚠ El destino debe ser tarjeta de crédito",IF(AND(P2985="Gasto",E2985="Depósitos y retiros"),"⚠ Usa tipo Transferencia",IF(AND(P2985="Resultado trading",AD2985&lt;&gt;"Cuenta de trading"),"⚠ Usa una cuenta de trading",IF(AND(G2985&lt;=0,P2985&lt;&gt;"Ajuste",P2985&lt;&gt;"Resultado trading"),"⚠ El monto debe ser positivo","✓")))))))))))))))</f>
        <v/>
      </c>
      <c r="P2985" s="52">
        <f>IF(OR(B2985="",G2985=""),"",IF(C2985="","Gasto",C2985))</f>
        <v/>
      </c>
      <c r="Q2985" s="52">
        <f>IF(P2985="","",IF(J2985&lt;&gt;"",J2985,CuentaPred&amp;""))</f>
        <v/>
      </c>
      <c r="R2985" s="52">
        <f>IF(P2985="","",IF(ISNUMBER(I2985),I2985,TasaUSD))</f>
        <v/>
      </c>
      <c r="S2985" s="53">
        <f>IF(P2985="","",IF(H2985="USD",G2985*R2985,G2985))</f>
        <v/>
      </c>
      <c r="T2985" s="53">
        <f>IF(P2985="","",IF(H2985="USD",G2985,IF(R2985&gt;0,G2985/R2985,0)))</f>
        <v/>
      </c>
      <c r="U2985" s="53">
        <f>IF(P2985="","",IF(P2985="Gasto",S2985,IF(P2985="Reembolso",-S2985,0)))</f>
        <v/>
      </c>
      <c r="V2985" s="53">
        <f>IF(P2985="","",IF(P2985="Ingreso",S2985,0))</f>
        <v/>
      </c>
      <c r="W2985" s="53">
        <f>IF(P2985="","",IF(P2985="Resultado trading",S2985,0))</f>
        <v/>
      </c>
      <c r="X2985" s="52">
        <f>IF(OR(P2985="Gasto",P2985="Reembolso"),IF(M2985&lt;&gt;"",M2985,IFERROR(INDEX(catClasif,MATCH(D2985&amp;"|"&amp;E2985,catClave,0))&amp;"","Variable")),"")</f>
        <v/>
      </c>
      <c r="Y2985" s="52">
        <f>IF(P2985="","",IFERROR(INDEX(catGrupo,MATCH(D2985&amp;"|"&amp;E2985,catClave,0))&amp;"",""))</f>
        <v/>
      </c>
      <c r="Z2985" s="52">
        <f>IF(P2985="","",WEEKDAY(B2985,2))</f>
        <v/>
      </c>
      <c r="AA2985" s="52">
        <f>IF(P2985="","",IF(AND(P2985="Gasto",X2985="Variable",D2985&lt;&gt;catTrading,S2985&gt;0,S2985&lt;=Umbral),1,0))</f>
        <v/>
      </c>
      <c r="AB2985" s="52">
        <f>IF(OR(P2985="",Q2985=""),"",IFERROR(IF(INDEX(ctaVinc,MATCH(Q2985,ctaNombre,0))&amp;""&lt;&gt;"",INDEX(ctaVinc,MATCH(Q2985,ctaNombre,0))&amp;"",Q2985),Q2985))</f>
        <v/>
      </c>
      <c r="AC2985" s="52">
        <f>IF(OR(K2985="",AND(P2985&lt;&gt;"Transferencia",P2985&lt;&gt;"Pago tarjeta")),"",IFERROR(IF(INDEX(ctaVinc,MATCH(K2985,ctaNombre,0))&amp;""&lt;&gt;"",INDEX(ctaVinc,MATCH(K2985,ctaNombre,0))&amp;"",K2985),K2985))</f>
        <v/>
      </c>
      <c r="AD2985" s="52">
        <f>IF(AB2985="","",IFERROR(INDEX(ctaTipo,MATCH(AB2985,ctaNombre,0))&amp;"",""))</f>
        <v/>
      </c>
      <c r="AE2985" s="52">
        <f>IF(AC2985="","",IFERROR(INDEX(ctaTipo,MATCH(AC2985,ctaNombre,0))&amp;"",""))</f>
        <v/>
      </c>
      <c r="AF2985" s="53">
        <f>IF(OR(P2985="",AB2985=""),"",IF(OR(P2985="Gasto",P2985="Transferencia",P2985="Pago tarjeta"),-1,1)*IF(IFERROR(INDEX(ctaMoneda,MATCH(AB2985,ctaNombre,0))&amp;"","DOP")="USD",T2985,S2985))</f>
        <v/>
      </c>
      <c r="AG2985" s="53">
        <f>IF(AC2985="","",IF(IFERROR(INDEX(ctaMoneda,MATCH(AC2985,ctaNombre,0))&amp;"","DOP")="USD",T2985,S2985))</f>
        <v/>
      </c>
      <c r="AH2985" s="53">
        <f>IF(P2985="","",IF(AND(AD2985&lt;&gt;"",COUNTIFS(tcTipo,AD2985,tcLiq,"Sí")&gt;0),IF(OR(P2985="Gasto",P2985="Transferencia",P2985="Pago tarjeta"),-1,1)*S2985,0)+IF(AND(AE2985&lt;&gt;"",COUNTIFS(tcTipo,AE2985,tcLiq,"Sí")&gt;0),S2985,0))</f>
        <v/>
      </c>
      <c r="AI2985" s="52">
        <f>IF(OR(L2985="",P2985=""),"",IF(COUNTIFS(L$6:L2985,L2985,P$6:P2985,"?*")=1,MAX(AI$5:AI2984)+1,""))</f>
        <v/>
      </c>
    </row>
    <row r="2986">
      <c r="B2986" s="47" t="n"/>
      <c r="C2986" s="48" t="n"/>
      <c r="D2986" s="48" t="n"/>
      <c r="E2986" s="48" t="n"/>
      <c r="F2986" s="48" t="n"/>
      <c r="G2986" s="49" t="n"/>
      <c r="H2986" s="48" t="n"/>
      <c r="I2986" s="50" t="n"/>
      <c r="J2986" s="48" t="n"/>
      <c r="K2986" s="48" t="n"/>
      <c r="L2986" s="48" t="n"/>
      <c r="M2986" s="48" t="n"/>
      <c r="N2986" s="48" t="n"/>
      <c r="O2986" s="51">
        <f>IF(AND(B2986="",G2986="",C2986="",D2986="",J2986=""),"",IF(B2986="","⚠ Falta fecha",IF(G2986="","⚠ Falta monto",IF(Q2986="","⚠ Falta cuenta",IF(ISNA(MATCH(Q2986,ctaNombre,0)),"⚠ Cuenta no registrada",IF(AND(OR(P2986="Gasto",P2986="Reembolso"),D2986=""),"⚠ Falta categoría",IF(AND(D2986&lt;&gt;"",E2986&lt;&gt;"",ISNA(MATCH(D2986&amp;"|"&amp;E2986,catClave,0))),"⚠ Subcategoría no corresponde",IF(AND(OR(P2986="Transferencia",P2986="Pago tarjeta"),K2986=""),"⚠ Falta cuenta destino",IF(AND(K2986&lt;&gt;"",P2986&lt;&gt;"Transferencia",P2986&lt;&gt;"Pago tarjeta"),"⚠ Destino solo aplica a transferencias",IF(AND(K2986&lt;&gt;"",K2986=Q2986),"⚠ Origen igual a destino",IF(AND(K2986&lt;&gt;"",ISNA(MATCH(K2986,ctaNombre,0))),"⚠ Destino no registrado",IF(AND(P2986="Pago tarjeta",AE2986&lt;&gt;"Tarjeta de crédito"),"⚠ El destino debe ser tarjeta de crédito",IF(AND(P2986="Gasto",E2986="Depósitos y retiros"),"⚠ Usa tipo Transferencia",IF(AND(P2986="Resultado trading",AD2986&lt;&gt;"Cuenta de trading"),"⚠ Usa una cuenta de trading",IF(AND(G2986&lt;=0,P2986&lt;&gt;"Ajuste",P2986&lt;&gt;"Resultado trading"),"⚠ El monto debe ser positivo","✓")))))))))))))))</f>
        <v/>
      </c>
      <c r="P2986" s="52">
        <f>IF(OR(B2986="",G2986=""),"",IF(C2986="","Gasto",C2986))</f>
        <v/>
      </c>
      <c r="Q2986" s="52">
        <f>IF(P2986="","",IF(J2986&lt;&gt;"",J2986,CuentaPred&amp;""))</f>
        <v/>
      </c>
      <c r="R2986" s="52">
        <f>IF(P2986="","",IF(ISNUMBER(I2986),I2986,TasaUSD))</f>
        <v/>
      </c>
      <c r="S2986" s="53">
        <f>IF(P2986="","",IF(H2986="USD",G2986*R2986,G2986))</f>
        <v/>
      </c>
      <c r="T2986" s="53">
        <f>IF(P2986="","",IF(H2986="USD",G2986,IF(R2986&gt;0,G2986/R2986,0)))</f>
        <v/>
      </c>
      <c r="U2986" s="53">
        <f>IF(P2986="","",IF(P2986="Gasto",S2986,IF(P2986="Reembolso",-S2986,0)))</f>
        <v/>
      </c>
      <c r="V2986" s="53">
        <f>IF(P2986="","",IF(P2986="Ingreso",S2986,0))</f>
        <v/>
      </c>
      <c r="W2986" s="53">
        <f>IF(P2986="","",IF(P2986="Resultado trading",S2986,0))</f>
        <v/>
      </c>
      <c r="X2986" s="52">
        <f>IF(OR(P2986="Gasto",P2986="Reembolso"),IF(M2986&lt;&gt;"",M2986,IFERROR(INDEX(catClasif,MATCH(D2986&amp;"|"&amp;E2986,catClave,0))&amp;"","Variable")),"")</f>
        <v/>
      </c>
      <c r="Y2986" s="52">
        <f>IF(P2986="","",IFERROR(INDEX(catGrupo,MATCH(D2986&amp;"|"&amp;E2986,catClave,0))&amp;"",""))</f>
        <v/>
      </c>
      <c r="Z2986" s="52">
        <f>IF(P2986="","",WEEKDAY(B2986,2))</f>
        <v/>
      </c>
      <c r="AA2986" s="52">
        <f>IF(P2986="","",IF(AND(P2986="Gasto",X2986="Variable",D2986&lt;&gt;catTrading,S2986&gt;0,S2986&lt;=Umbral),1,0))</f>
        <v/>
      </c>
      <c r="AB2986" s="52">
        <f>IF(OR(P2986="",Q2986=""),"",IFERROR(IF(INDEX(ctaVinc,MATCH(Q2986,ctaNombre,0))&amp;""&lt;&gt;"",INDEX(ctaVinc,MATCH(Q2986,ctaNombre,0))&amp;"",Q2986),Q2986))</f>
        <v/>
      </c>
      <c r="AC2986" s="52">
        <f>IF(OR(K2986="",AND(P2986&lt;&gt;"Transferencia",P2986&lt;&gt;"Pago tarjeta")),"",IFERROR(IF(INDEX(ctaVinc,MATCH(K2986,ctaNombre,0))&amp;""&lt;&gt;"",INDEX(ctaVinc,MATCH(K2986,ctaNombre,0))&amp;"",K2986),K2986))</f>
        <v/>
      </c>
      <c r="AD2986" s="52">
        <f>IF(AB2986="","",IFERROR(INDEX(ctaTipo,MATCH(AB2986,ctaNombre,0))&amp;"",""))</f>
        <v/>
      </c>
      <c r="AE2986" s="52">
        <f>IF(AC2986="","",IFERROR(INDEX(ctaTipo,MATCH(AC2986,ctaNombre,0))&amp;"",""))</f>
        <v/>
      </c>
      <c r="AF2986" s="53">
        <f>IF(OR(P2986="",AB2986=""),"",IF(OR(P2986="Gasto",P2986="Transferencia",P2986="Pago tarjeta"),-1,1)*IF(IFERROR(INDEX(ctaMoneda,MATCH(AB2986,ctaNombre,0))&amp;"","DOP")="USD",T2986,S2986))</f>
        <v/>
      </c>
      <c r="AG2986" s="53">
        <f>IF(AC2986="","",IF(IFERROR(INDEX(ctaMoneda,MATCH(AC2986,ctaNombre,0))&amp;"","DOP")="USD",T2986,S2986))</f>
        <v/>
      </c>
      <c r="AH2986" s="53">
        <f>IF(P2986="","",IF(AND(AD2986&lt;&gt;"",COUNTIFS(tcTipo,AD2986,tcLiq,"Sí")&gt;0),IF(OR(P2986="Gasto",P2986="Transferencia",P2986="Pago tarjeta"),-1,1)*S2986,0)+IF(AND(AE2986&lt;&gt;"",COUNTIFS(tcTipo,AE2986,tcLiq,"Sí")&gt;0),S2986,0))</f>
        <v/>
      </c>
      <c r="AI2986" s="52">
        <f>IF(OR(L2986="",P2986=""),"",IF(COUNTIFS(L$6:L2986,L2986,P$6:P2986,"?*")=1,MAX(AI$5:AI2985)+1,""))</f>
        <v/>
      </c>
    </row>
    <row r="2987">
      <c r="B2987" s="47" t="n"/>
      <c r="C2987" s="48" t="n"/>
      <c r="D2987" s="48" t="n"/>
      <c r="E2987" s="48" t="n"/>
      <c r="F2987" s="48" t="n"/>
      <c r="G2987" s="49" t="n"/>
      <c r="H2987" s="48" t="n"/>
      <c r="I2987" s="50" t="n"/>
      <c r="J2987" s="48" t="n"/>
      <c r="K2987" s="48" t="n"/>
      <c r="L2987" s="48" t="n"/>
      <c r="M2987" s="48" t="n"/>
      <c r="N2987" s="48" t="n"/>
      <c r="O2987" s="51">
        <f>IF(AND(B2987="",G2987="",C2987="",D2987="",J2987=""),"",IF(B2987="","⚠ Falta fecha",IF(G2987="","⚠ Falta monto",IF(Q2987="","⚠ Falta cuenta",IF(ISNA(MATCH(Q2987,ctaNombre,0)),"⚠ Cuenta no registrada",IF(AND(OR(P2987="Gasto",P2987="Reembolso"),D2987=""),"⚠ Falta categoría",IF(AND(D2987&lt;&gt;"",E2987&lt;&gt;"",ISNA(MATCH(D2987&amp;"|"&amp;E2987,catClave,0))),"⚠ Subcategoría no corresponde",IF(AND(OR(P2987="Transferencia",P2987="Pago tarjeta"),K2987=""),"⚠ Falta cuenta destino",IF(AND(K2987&lt;&gt;"",P2987&lt;&gt;"Transferencia",P2987&lt;&gt;"Pago tarjeta"),"⚠ Destino solo aplica a transferencias",IF(AND(K2987&lt;&gt;"",K2987=Q2987),"⚠ Origen igual a destino",IF(AND(K2987&lt;&gt;"",ISNA(MATCH(K2987,ctaNombre,0))),"⚠ Destino no registrado",IF(AND(P2987="Pago tarjeta",AE2987&lt;&gt;"Tarjeta de crédito"),"⚠ El destino debe ser tarjeta de crédito",IF(AND(P2987="Gasto",E2987="Depósitos y retiros"),"⚠ Usa tipo Transferencia",IF(AND(P2987="Resultado trading",AD2987&lt;&gt;"Cuenta de trading"),"⚠ Usa una cuenta de trading",IF(AND(G2987&lt;=0,P2987&lt;&gt;"Ajuste",P2987&lt;&gt;"Resultado trading"),"⚠ El monto debe ser positivo","✓")))))))))))))))</f>
        <v/>
      </c>
      <c r="P2987" s="52">
        <f>IF(OR(B2987="",G2987=""),"",IF(C2987="","Gasto",C2987))</f>
        <v/>
      </c>
      <c r="Q2987" s="52">
        <f>IF(P2987="","",IF(J2987&lt;&gt;"",J2987,CuentaPred&amp;""))</f>
        <v/>
      </c>
      <c r="R2987" s="52">
        <f>IF(P2987="","",IF(ISNUMBER(I2987),I2987,TasaUSD))</f>
        <v/>
      </c>
      <c r="S2987" s="53">
        <f>IF(P2987="","",IF(H2987="USD",G2987*R2987,G2987))</f>
        <v/>
      </c>
      <c r="T2987" s="53">
        <f>IF(P2987="","",IF(H2987="USD",G2987,IF(R2987&gt;0,G2987/R2987,0)))</f>
        <v/>
      </c>
      <c r="U2987" s="53">
        <f>IF(P2987="","",IF(P2987="Gasto",S2987,IF(P2987="Reembolso",-S2987,0)))</f>
        <v/>
      </c>
      <c r="V2987" s="53">
        <f>IF(P2987="","",IF(P2987="Ingreso",S2987,0))</f>
        <v/>
      </c>
      <c r="W2987" s="53">
        <f>IF(P2987="","",IF(P2987="Resultado trading",S2987,0))</f>
        <v/>
      </c>
      <c r="X2987" s="52">
        <f>IF(OR(P2987="Gasto",P2987="Reembolso"),IF(M2987&lt;&gt;"",M2987,IFERROR(INDEX(catClasif,MATCH(D2987&amp;"|"&amp;E2987,catClave,0))&amp;"","Variable")),"")</f>
        <v/>
      </c>
      <c r="Y2987" s="52">
        <f>IF(P2987="","",IFERROR(INDEX(catGrupo,MATCH(D2987&amp;"|"&amp;E2987,catClave,0))&amp;"",""))</f>
        <v/>
      </c>
      <c r="Z2987" s="52">
        <f>IF(P2987="","",WEEKDAY(B2987,2))</f>
        <v/>
      </c>
      <c r="AA2987" s="52">
        <f>IF(P2987="","",IF(AND(P2987="Gasto",X2987="Variable",D2987&lt;&gt;catTrading,S2987&gt;0,S2987&lt;=Umbral),1,0))</f>
        <v/>
      </c>
      <c r="AB2987" s="52">
        <f>IF(OR(P2987="",Q2987=""),"",IFERROR(IF(INDEX(ctaVinc,MATCH(Q2987,ctaNombre,0))&amp;""&lt;&gt;"",INDEX(ctaVinc,MATCH(Q2987,ctaNombre,0))&amp;"",Q2987),Q2987))</f>
        <v/>
      </c>
      <c r="AC2987" s="52">
        <f>IF(OR(K2987="",AND(P2987&lt;&gt;"Transferencia",P2987&lt;&gt;"Pago tarjeta")),"",IFERROR(IF(INDEX(ctaVinc,MATCH(K2987,ctaNombre,0))&amp;""&lt;&gt;"",INDEX(ctaVinc,MATCH(K2987,ctaNombre,0))&amp;"",K2987),K2987))</f>
        <v/>
      </c>
      <c r="AD2987" s="52">
        <f>IF(AB2987="","",IFERROR(INDEX(ctaTipo,MATCH(AB2987,ctaNombre,0))&amp;"",""))</f>
        <v/>
      </c>
      <c r="AE2987" s="52">
        <f>IF(AC2987="","",IFERROR(INDEX(ctaTipo,MATCH(AC2987,ctaNombre,0))&amp;"",""))</f>
        <v/>
      </c>
      <c r="AF2987" s="53">
        <f>IF(OR(P2987="",AB2987=""),"",IF(OR(P2987="Gasto",P2987="Transferencia",P2987="Pago tarjeta"),-1,1)*IF(IFERROR(INDEX(ctaMoneda,MATCH(AB2987,ctaNombre,0))&amp;"","DOP")="USD",T2987,S2987))</f>
        <v/>
      </c>
      <c r="AG2987" s="53">
        <f>IF(AC2987="","",IF(IFERROR(INDEX(ctaMoneda,MATCH(AC2987,ctaNombre,0))&amp;"","DOP")="USD",T2987,S2987))</f>
        <v/>
      </c>
      <c r="AH2987" s="53">
        <f>IF(P2987="","",IF(AND(AD2987&lt;&gt;"",COUNTIFS(tcTipo,AD2987,tcLiq,"Sí")&gt;0),IF(OR(P2987="Gasto",P2987="Transferencia",P2987="Pago tarjeta"),-1,1)*S2987,0)+IF(AND(AE2987&lt;&gt;"",COUNTIFS(tcTipo,AE2987,tcLiq,"Sí")&gt;0),S2987,0))</f>
        <v/>
      </c>
      <c r="AI2987" s="52">
        <f>IF(OR(L2987="",P2987=""),"",IF(COUNTIFS(L$6:L2987,L2987,P$6:P2987,"?*")=1,MAX(AI$5:AI2986)+1,""))</f>
        <v/>
      </c>
    </row>
    <row r="2988">
      <c r="B2988" s="47" t="n"/>
      <c r="C2988" s="48" t="n"/>
      <c r="D2988" s="48" t="n"/>
      <c r="E2988" s="48" t="n"/>
      <c r="F2988" s="48" t="n"/>
      <c r="G2988" s="49" t="n"/>
      <c r="H2988" s="48" t="n"/>
      <c r="I2988" s="50" t="n"/>
      <c r="J2988" s="48" t="n"/>
      <c r="K2988" s="48" t="n"/>
      <c r="L2988" s="48" t="n"/>
      <c r="M2988" s="48" t="n"/>
      <c r="N2988" s="48" t="n"/>
      <c r="O2988" s="51">
        <f>IF(AND(B2988="",G2988="",C2988="",D2988="",J2988=""),"",IF(B2988="","⚠ Falta fecha",IF(G2988="","⚠ Falta monto",IF(Q2988="","⚠ Falta cuenta",IF(ISNA(MATCH(Q2988,ctaNombre,0)),"⚠ Cuenta no registrada",IF(AND(OR(P2988="Gasto",P2988="Reembolso"),D2988=""),"⚠ Falta categoría",IF(AND(D2988&lt;&gt;"",E2988&lt;&gt;"",ISNA(MATCH(D2988&amp;"|"&amp;E2988,catClave,0))),"⚠ Subcategoría no corresponde",IF(AND(OR(P2988="Transferencia",P2988="Pago tarjeta"),K2988=""),"⚠ Falta cuenta destino",IF(AND(K2988&lt;&gt;"",P2988&lt;&gt;"Transferencia",P2988&lt;&gt;"Pago tarjeta"),"⚠ Destino solo aplica a transferencias",IF(AND(K2988&lt;&gt;"",K2988=Q2988),"⚠ Origen igual a destino",IF(AND(K2988&lt;&gt;"",ISNA(MATCH(K2988,ctaNombre,0))),"⚠ Destino no registrado",IF(AND(P2988="Pago tarjeta",AE2988&lt;&gt;"Tarjeta de crédito"),"⚠ El destino debe ser tarjeta de crédito",IF(AND(P2988="Gasto",E2988="Depósitos y retiros"),"⚠ Usa tipo Transferencia",IF(AND(P2988="Resultado trading",AD2988&lt;&gt;"Cuenta de trading"),"⚠ Usa una cuenta de trading",IF(AND(G2988&lt;=0,P2988&lt;&gt;"Ajuste",P2988&lt;&gt;"Resultado trading"),"⚠ El monto debe ser positivo","✓")))))))))))))))</f>
        <v/>
      </c>
      <c r="P2988" s="52">
        <f>IF(OR(B2988="",G2988=""),"",IF(C2988="","Gasto",C2988))</f>
        <v/>
      </c>
      <c r="Q2988" s="52">
        <f>IF(P2988="","",IF(J2988&lt;&gt;"",J2988,CuentaPred&amp;""))</f>
        <v/>
      </c>
      <c r="R2988" s="52">
        <f>IF(P2988="","",IF(ISNUMBER(I2988),I2988,TasaUSD))</f>
        <v/>
      </c>
      <c r="S2988" s="53">
        <f>IF(P2988="","",IF(H2988="USD",G2988*R2988,G2988))</f>
        <v/>
      </c>
      <c r="T2988" s="53">
        <f>IF(P2988="","",IF(H2988="USD",G2988,IF(R2988&gt;0,G2988/R2988,0)))</f>
        <v/>
      </c>
      <c r="U2988" s="53">
        <f>IF(P2988="","",IF(P2988="Gasto",S2988,IF(P2988="Reembolso",-S2988,0)))</f>
        <v/>
      </c>
      <c r="V2988" s="53">
        <f>IF(P2988="","",IF(P2988="Ingreso",S2988,0))</f>
        <v/>
      </c>
      <c r="W2988" s="53">
        <f>IF(P2988="","",IF(P2988="Resultado trading",S2988,0))</f>
        <v/>
      </c>
      <c r="X2988" s="52">
        <f>IF(OR(P2988="Gasto",P2988="Reembolso"),IF(M2988&lt;&gt;"",M2988,IFERROR(INDEX(catClasif,MATCH(D2988&amp;"|"&amp;E2988,catClave,0))&amp;"","Variable")),"")</f>
        <v/>
      </c>
      <c r="Y2988" s="52">
        <f>IF(P2988="","",IFERROR(INDEX(catGrupo,MATCH(D2988&amp;"|"&amp;E2988,catClave,0))&amp;"",""))</f>
        <v/>
      </c>
      <c r="Z2988" s="52">
        <f>IF(P2988="","",WEEKDAY(B2988,2))</f>
        <v/>
      </c>
      <c r="AA2988" s="52">
        <f>IF(P2988="","",IF(AND(P2988="Gasto",X2988="Variable",D2988&lt;&gt;catTrading,S2988&gt;0,S2988&lt;=Umbral),1,0))</f>
        <v/>
      </c>
      <c r="AB2988" s="52">
        <f>IF(OR(P2988="",Q2988=""),"",IFERROR(IF(INDEX(ctaVinc,MATCH(Q2988,ctaNombre,0))&amp;""&lt;&gt;"",INDEX(ctaVinc,MATCH(Q2988,ctaNombre,0))&amp;"",Q2988),Q2988))</f>
        <v/>
      </c>
      <c r="AC2988" s="52">
        <f>IF(OR(K2988="",AND(P2988&lt;&gt;"Transferencia",P2988&lt;&gt;"Pago tarjeta")),"",IFERROR(IF(INDEX(ctaVinc,MATCH(K2988,ctaNombre,0))&amp;""&lt;&gt;"",INDEX(ctaVinc,MATCH(K2988,ctaNombre,0))&amp;"",K2988),K2988))</f>
        <v/>
      </c>
      <c r="AD2988" s="52">
        <f>IF(AB2988="","",IFERROR(INDEX(ctaTipo,MATCH(AB2988,ctaNombre,0))&amp;"",""))</f>
        <v/>
      </c>
      <c r="AE2988" s="52">
        <f>IF(AC2988="","",IFERROR(INDEX(ctaTipo,MATCH(AC2988,ctaNombre,0))&amp;"",""))</f>
        <v/>
      </c>
      <c r="AF2988" s="53">
        <f>IF(OR(P2988="",AB2988=""),"",IF(OR(P2988="Gasto",P2988="Transferencia",P2988="Pago tarjeta"),-1,1)*IF(IFERROR(INDEX(ctaMoneda,MATCH(AB2988,ctaNombre,0))&amp;"","DOP")="USD",T2988,S2988))</f>
        <v/>
      </c>
      <c r="AG2988" s="53">
        <f>IF(AC2988="","",IF(IFERROR(INDEX(ctaMoneda,MATCH(AC2988,ctaNombre,0))&amp;"","DOP")="USD",T2988,S2988))</f>
        <v/>
      </c>
      <c r="AH2988" s="53">
        <f>IF(P2988="","",IF(AND(AD2988&lt;&gt;"",COUNTIFS(tcTipo,AD2988,tcLiq,"Sí")&gt;0),IF(OR(P2988="Gasto",P2988="Transferencia",P2988="Pago tarjeta"),-1,1)*S2988,0)+IF(AND(AE2988&lt;&gt;"",COUNTIFS(tcTipo,AE2988,tcLiq,"Sí")&gt;0),S2988,0))</f>
        <v/>
      </c>
      <c r="AI2988" s="52">
        <f>IF(OR(L2988="",P2988=""),"",IF(COUNTIFS(L$6:L2988,L2988,P$6:P2988,"?*")=1,MAX(AI$5:AI2987)+1,""))</f>
        <v/>
      </c>
    </row>
    <row r="2989">
      <c r="B2989" s="47" t="n"/>
      <c r="C2989" s="48" t="n"/>
      <c r="D2989" s="48" t="n"/>
      <c r="E2989" s="48" t="n"/>
      <c r="F2989" s="48" t="n"/>
      <c r="G2989" s="49" t="n"/>
      <c r="H2989" s="48" t="n"/>
      <c r="I2989" s="50" t="n"/>
      <c r="J2989" s="48" t="n"/>
      <c r="K2989" s="48" t="n"/>
      <c r="L2989" s="48" t="n"/>
      <c r="M2989" s="48" t="n"/>
      <c r="N2989" s="48" t="n"/>
      <c r="O2989" s="51">
        <f>IF(AND(B2989="",G2989="",C2989="",D2989="",J2989=""),"",IF(B2989="","⚠ Falta fecha",IF(G2989="","⚠ Falta monto",IF(Q2989="","⚠ Falta cuenta",IF(ISNA(MATCH(Q2989,ctaNombre,0)),"⚠ Cuenta no registrada",IF(AND(OR(P2989="Gasto",P2989="Reembolso"),D2989=""),"⚠ Falta categoría",IF(AND(D2989&lt;&gt;"",E2989&lt;&gt;"",ISNA(MATCH(D2989&amp;"|"&amp;E2989,catClave,0))),"⚠ Subcategoría no corresponde",IF(AND(OR(P2989="Transferencia",P2989="Pago tarjeta"),K2989=""),"⚠ Falta cuenta destino",IF(AND(K2989&lt;&gt;"",P2989&lt;&gt;"Transferencia",P2989&lt;&gt;"Pago tarjeta"),"⚠ Destino solo aplica a transferencias",IF(AND(K2989&lt;&gt;"",K2989=Q2989),"⚠ Origen igual a destino",IF(AND(K2989&lt;&gt;"",ISNA(MATCH(K2989,ctaNombre,0))),"⚠ Destino no registrado",IF(AND(P2989="Pago tarjeta",AE2989&lt;&gt;"Tarjeta de crédito"),"⚠ El destino debe ser tarjeta de crédito",IF(AND(P2989="Gasto",E2989="Depósitos y retiros"),"⚠ Usa tipo Transferencia",IF(AND(P2989="Resultado trading",AD2989&lt;&gt;"Cuenta de trading"),"⚠ Usa una cuenta de trading",IF(AND(G2989&lt;=0,P2989&lt;&gt;"Ajuste",P2989&lt;&gt;"Resultado trading"),"⚠ El monto debe ser positivo","✓")))))))))))))))</f>
        <v/>
      </c>
      <c r="P2989" s="52">
        <f>IF(OR(B2989="",G2989=""),"",IF(C2989="","Gasto",C2989))</f>
        <v/>
      </c>
      <c r="Q2989" s="52">
        <f>IF(P2989="","",IF(J2989&lt;&gt;"",J2989,CuentaPred&amp;""))</f>
        <v/>
      </c>
      <c r="R2989" s="52">
        <f>IF(P2989="","",IF(ISNUMBER(I2989),I2989,TasaUSD))</f>
        <v/>
      </c>
      <c r="S2989" s="53">
        <f>IF(P2989="","",IF(H2989="USD",G2989*R2989,G2989))</f>
        <v/>
      </c>
      <c r="T2989" s="53">
        <f>IF(P2989="","",IF(H2989="USD",G2989,IF(R2989&gt;0,G2989/R2989,0)))</f>
        <v/>
      </c>
      <c r="U2989" s="53">
        <f>IF(P2989="","",IF(P2989="Gasto",S2989,IF(P2989="Reembolso",-S2989,0)))</f>
        <v/>
      </c>
      <c r="V2989" s="53">
        <f>IF(P2989="","",IF(P2989="Ingreso",S2989,0))</f>
        <v/>
      </c>
      <c r="W2989" s="53">
        <f>IF(P2989="","",IF(P2989="Resultado trading",S2989,0))</f>
        <v/>
      </c>
      <c r="X2989" s="52">
        <f>IF(OR(P2989="Gasto",P2989="Reembolso"),IF(M2989&lt;&gt;"",M2989,IFERROR(INDEX(catClasif,MATCH(D2989&amp;"|"&amp;E2989,catClave,0))&amp;"","Variable")),"")</f>
        <v/>
      </c>
      <c r="Y2989" s="52">
        <f>IF(P2989="","",IFERROR(INDEX(catGrupo,MATCH(D2989&amp;"|"&amp;E2989,catClave,0))&amp;"",""))</f>
        <v/>
      </c>
      <c r="Z2989" s="52">
        <f>IF(P2989="","",WEEKDAY(B2989,2))</f>
        <v/>
      </c>
      <c r="AA2989" s="52">
        <f>IF(P2989="","",IF(AND(P2989="Gasto",X2989="Variable",D2989&lt;&gt;catTrading,S2989&gt;0,S2989&lt;=Umbral),1,0))</f>
        <v/>
      </c>
      <c r="AB2989" s="52">
        <f>IF(OR(P2989="",Q2989=""),"",IFERROR(IF(INDEX(ctaVinc,MATCH(Q2989,ctaNombre,0))&amp;""&lt;&gt;"",INDEX(ctaVinc,MATCH(Q2989,ctaNombre,0))&amp;"",Q2989),Q2989))</f>
        <v/>
      </c>
      <c r="AC2989" s="52">
        <f>IF(OR(K2989="",AND(P2989&lt;&gt;"Transferencia",P2989&lt;&gt;"Pago tarjeta")),"",IFERROR(IF(INDEX(ctaVinc,MATCH(K2989,ctaNombre,0))&amp;""&lt;&gt;"",INDEX(ctaVinc,MATCH(K2989,ctaNombre,0))&amp;"",K2989),K2989))</f>
        <v/>
      </c>
      <c r="AD2989" s="52">
        <f>IF(AB2989="","",IFERROR(INDEX(ctaTipo,MATCH(AB2989,ctaNombre,0))&amp;"",""))</f>
        <v/>
      </c>
      <c r="AE2989" s="52">
        <f>IF(AC2989="","",IFERROR(INDEX(ctaTipo,MATCH(AC2989,ctaNombre,0))&amp;"",""))</f>
        <v/>
      </c>
      <c r="AF2989" s="53">
        <f>IF(OR(P2989="",AB2989=""),"",IF(OR(P2989="Gasto",P2989="Transferencia",P2989="Pago tarjeta"),-1,1)*IF(IFERROR(INDEX(ctaMoneda,MATCH(AB2989,ctaNombre,0))&amp;"","DOP")="USD",T2989,S2989))</f>
        <v/>
      </c>
      <c r="AG2989" s="53">
        <f>IF(AC2989="","",IF(IFERROR(INDEX(ctaMoneda,MATCH(AC2989,ctaNombre,0))&amp;"","DOP")="USD",T2989,S2989))</f>
        <v/>
      </c>
      <c r="AH2989" s="53">
        <f>IF(P2989="","",IF(AND(AD2989&lt;&gt;"",COUNTIFS(tcTipo,AD2989,tcLiq,"Sí")&gt;0),IF(OR(P2989="Gasto",P2989="Transferencia",P2989="Pago tarjeta"),-1,1)*S2989,0)+IF(AND(AE2989&lt;&gt;"",COUNTIFS(tcTipo,AE2989,tcLiq,"Sí")&gt;0),S2989,0))</f>
        <v/>
      </c>
      <c r="AI2989" s="52">
        <f>IF(OR(L2989="",P2989=""),"",IF(COUNTIFS(L$6:L2989,L2989,P$6:P2989,"?*")=1,MAX(AI$5:AI2988)+1,""))</f>
        <v/>
      </c>
    </row>
    <row r="2990">
      <c r="B2990" s="47" t="n"/>
      <c r="C2990" s="48" t="n"/>
      <c r="D2990" s="48" t="n"/>
      <c r="E2990" s="48" t="n"/>
      <c r="F2990" s="48" t="n"/>
      <c r="G2990" s="49" t="n"/>
      <c r="H2990" s="48" t="n"/>
      <c r="I2990" s="50" t="n"/>
      <c r="J2990" s="48" t="n"/>
      <c r="K2990" s="48" t="n"/>
      <c r="L2990" s="48" t="n"/>
      <c r="M2990" s="48" t="n"/>
      <c r="N2990" s="48" t="n"/>
      <c r="O2990" s="51">
        <f>IF(AND(B2990="",G2990="",C2990="",D2990="",J2990=""),"",IF(B2990="","⚠ Falta fecha",IF(G2990="","⚠ Falta monto",IF(Q2990="","⚠ Falta cuenta",IF(ISNA(MATCH(Q2990,ctaNombre,0)),"⚠ Cuenta no registrada",IF(AND(OR(P2990="Gasto",P2990="Reembolso"),D2990=""),"⚠ Falta categoría",IF(AND(D2990&lt;&gt;"",E2990&lt;&gt;"",ISNA(MATCH(D2990&amp;"|"&amp;E2990,catClave,0))),"⚠ Subcategoría no corresponde",IF(AND(OR(P2990="Transferencia",P2990="Pago tarjeta"),K2990=""),"⚠ Falta cuenta destino",IF(AND(K2990&lt;&gt;"",P2990&lt;&gt;"Transferencia",P2990&lt;&gt;"Pago tarjeta"),"⚠ Destino solo aplica a transferencias",IF(AND(K2990&lt;&gt;"",K2990=Q2990),"⚠ Origen igual a destino",IF(AND(K2990&lt;&gt;"",ISNA(MATCH(K2990,ctaNombre,0))),"⚠ Destino no registrado",IF(AND(P2990="Pago tarjeta",AE2990&lt;&gt;"Tarjeta de crédito"),"⚠ El destino debe ser tarjeta de crédito",IF(AND(P2990="Gasto",E2990="Depósitos y retiros"),"⚠ Usa tipo Transferencia",IF(AND(P2990="Resultado trading",AD2990&lt;&gt;"Cuenta de trading"),"⚠ Usa una cuenta de trading",IF(AND(G2990&lt;=0,P2990&lt;&gt;"Ajuste",P2990&lt;&gt;"Resultado trading"),"⚠ El monto debe ser positivo","✓")))))))))))))))</f>
        <v/>
      </c>
      <c r="P2990" s="52">
        <f>IF(OR(B2990="",G2990=""),"",IF(C2990="","Gasto",C2990))</f>
        <v/>
      </c>
      <c r="Q2990" s="52">
        <f>IF(P2990="","",IF(J2990&lt;&gt;"",J2990,CuentaPred&amp;""))</f>
        <v/>
      </c>
      <c r="R2990" s="52">
        <f>IF(P2990="","",IF(ISNUMBER(I2990),I2990,TasaUSD))</f>
        <v/>
      </c>
      <c r="S2990" s="53">
        <f>IF(P2990="","",IF(H2990="USD",G2990*R2990,G2990))</f>
        <v/>
      </c>
      <c r="T2990" s="53">
        <f>IF(P2990="","",IF(H2990="USD",G2990,IF(R2990&gt;0,G2990/R2990,0)))</f>
        <v/>
      </c>
      <c r="U2990" s="53">
        <f>IF(P2990="","",IF(P2990="Gasto",S2990,IF(P2990="Reembolso",-S2990,0)))</f>
        <v/>
      </c>
      <c r="V2990" s="53">
        <f>IF(P2990="","",IF(P2990="Ingreso",S2990,0))</f>
        <v/>
      </c>
      <c r="W2990" s="53">
        <f>IF(P2990="","",IF(P2990="Resultado trading",S2990,0))</f>
        <v/>
      </c>
      <c r="X2990" s="52">
        <f>IF(OR(P2990="Gasto",P2990="Reembolso"),IF(M2990&lt;&gt;"",M2990,IFERROR(INDEX(catClasif,MATCH(D2990&amp;"|"&amp;E2990,catClave,0))&amp;"","Variable")),"")</f>
        <v/>
      </c>
      <c r="Y2990" s="52">
        <f>IF(P2990="","",IFERROR(INDEX(catGrupo,MATCH(D2990&amp;"|"&amp;E2990,catClave,0))&amp;"",""))</f>
        <v/>
      </c>
      <c r="Z2990" s="52">
        <f>IF(P2990="","",WEEKDAY(B2990,2))</f>
        <v/>
      </c>
      <c r="AA2990" s="52">
        <f>IF(P2990="","",IF(AND(P2990="Gasto",X2990="Variable",D2990&lt;&gt;catTrading,S2990&gt;0,S2990&lt;=Umbral),1,0))</f>
        <v/>
      </c>
      <c r="AB2990" s="52">
        <f>IF(OR(P2990="",Q2990=""),"",IFERROR(IF(INDEX(ctaVinc,MATCH(Q2990,ctaNombre,0))&amp;""&lt;&gt;"",INDEX(ctaVinc,MATCH(Q2990,ctaNombre,0))&amp;"",Q2990),Q2990))</f>
        <v/>
      </c>
      <c r="AC2990" s="52">
        <f>IF(OR(K2990="",AND(P2990&lt;&gt;"Transferencia",P2990&lt;&gt;"Pago tarjeta")),"",IFERROR(IF(INDEX(ctaVinc,MATCH(K2990,ctaNombre,0))&amp;""&lt;&gt;"",INDEX(ctaVinc,MATCH(K2990,ctaNombre,0))&amp;"",K2990),K2990))</f>
        <v/>
      </c>
      <c r="AD2990" s="52">
        <f>IF(AB2990="","",IFERROR(INDEX(ctaTipo,MATCH(AB2990,ctaNombre,0))&amp;"",""))</f>
        <v/>
      </c>
      <c r="AE2990" s="52">
        <f>IF(AC2990="","",IFERROR(INDEX(ctaTipo,MATCH(AC2990,ctaNombre,0))&amp;"",""))</f>
        <v/>
      </c>
      <c r="AF2990" s="53">
        <f>IF(OR(P2990="",AB2990=""),"",IF(OR(P2990="Gasto",P2990="Transferencia",P2990="Pago tarjeta"),-1,1)*IF(IFERROR(INDEX(ctaMoneda,MATCH(AB2990,ctaNombre,0))&amp;"","DOP")="USD",T2990,S2990))</f>
        <v/>
      </c>
      <c r="AG2990" s="53">
        <f>IF(AC2990="","",IF(IFERROR(INDEX(ctaMoneda,MATCH(AC2990,ctaNombre,0))&amp;"","DOP")="USD",T2990,S2990))</f>
        <v/>
      </c>
      <c r="AH2990" s="53">
        <f>IF(P2990="","",IF(AND(AD2990&lt;&gt;"",COUNTIFS(tcTipo,AD2990,tcLiq,"Sí")&gt;0),IF(OR(P2990="Gasto",P2990="Transferencia",P2990="Pago tarjeta"),-1,1)*S2990,0)+IF(AND(AE2990&lt;&gt;"",COUNTIFS(tcTipo,AE2990,tcLiq,"Sí")&gt;0),S2990,0))</f>
        <v/>
      </c>
      <c r="AI2990" s="52">
        <f>IF(OR(L2990="",P2990=""),"",IF(COUNTIFS(L$6:L2990,L2990,P$6:P2990,"?*")=1,MAX(AI$5:AI2989)+1,""))</f>
        <v/>
      </c>
    </row>
    <row r="2991">
      <c r="B2991" s="47" t="n"/>
      <c r="C2991" s="48" t="n"/>
      <c r="D2991" s="48" t="n"/>
      <c r="E2991" s="48" t="n"/>
      <c r="F2991" s="48" t="n"/>
      <c r="G2991" s="49" t="n"/>
      <c r="H2991" s="48" t="n"/>
      <c r="I2991" s="50" t="n"/>
      <c r="J2991" s="48" t="n"/>
      <c r="K2991" s="48" t="n"/>
      <c r="L2991" s="48" t="n"/>
      <c r="M2991" s="48" t="n"/>
      <c r="N2991" s="48" t="n"/>
      <c r="O2991" s="51">
        <f>IF(AND(B2991="",G2991="",C2991="",D2991="",J2991=""),"",IF(B2991="","⚠ Falta fecha",IF(G2991="","⚠ Falta monto",IF(Q2991="","⚠ Falta cuenta",IF(ISNA(MATCH(Q2991,ctaNombre,0)),"⚠ Cuenta no registrada",IF(AND(OR(P2991="Gasto",P2991="Reembolso"),D2991=""),"⚠ Falta categoría",IF(AND(D2991&lt;&gt;"",E2991&lt;&gt;"",ISNA(MATCH(D2991&amp;"|"&amp;E2991,catClave,0))),"⚠ Subcategoría no corresponde",IF(AND(OR(P2991="Transferencia",P2991="Pago tarjeta"),K2991=""),"⚠ Falta cuenta destino",IF(AND(K2991&lt;&gt;"",P2991&lt;&gt;"Transferencia",P2991&lt;&gt;"Pago tarjeta"),"⚠ Destino solo aplica a transferencias",IF(AND(K2991&lt;&gt;"",K2991=Q2991),"⚠ Origen igual a destino",IF(AND(K2991&lt;&gt;"",ISNA(MATCH(K2991,ctaNombre,0))),"⚠ Destino no registrado",IF(AND(P2991="Pago tarjeta",AE2991&lt;&gt;"Tarjeta de crédito"),"⚠ El destino debe ser tarjeta de crédito",IF(AND(P2991="Gasto",E2991="Depósitos y retiros"),"⚠ Usa tipo Transferencia",IF(AND(P2991="Resultado trading",AD2991&lt;&gt;"Cuenta de trading"),"⚠ Usa una cuenta de trading",IF(AND(G2991&lt;=0,P2991&lt;&gt;"Ajuste",P2991&lt;&gt;"Resultado trading"),"⚠ El monto debe ser positivo","✓")))))))))))))))</f>
        <v/>
      </c>
      <c r="P2991" s="52">
        <f>IF(OR(B2991="",G2991=""),"",IF(C2991="","Gasto",C2991))</f>
        <v/>
      </c>
      <c r="Q2991" s="52">
        <f>IF(P2991="","",IF(J2991&lt;&gt;"",J2991,CuentaPred&amp;""))</f>
        <v/>
      </c>
      <c r="R2991" s="52">
        <f>IF(P2991="","",IF(ISNUMBER(I2991),I2991,TasaUSD))</f>
        <v/>
      </c>
      <c r="S2991" s="53">
        <f>IF(P2991="","",IF(H2991="USD",G2991*R2991,G2991))</f>
        <v/>
      </c>
      <c r="T2991" s="53">
        <f>IF(P2991="","",IF(H2991="USD",G2991,IF(R2991&gt;0,G2991/R2991,0)))</f>
        <v/>
      </c>
      <c r="U2991" s="53">
        <f>IF(P2991="","",IF(P2991="Gasto",S2991,IF(P2991="Reembolso",-S2991,0)))</f>
        <v/>
      </c>
      <c r="V2991" s="53">
        <f>IF(P2991="","",IF(P2991="Ingreso",S2991,0))</f>
        <v/>
      </c>
      <c r="W2991" s="53">
        <f>IF(P2991="","",IF(P2991="Resultado trading",S2991,0))</f>
        <v/>
      </c>
      <c r="X2991" s="52">
        <f>IF(OR(P2991="Gasto",P2991="Reembolso"),IF(M2991&lt;&gt;"",M2991,IFERROR(INDEX(catClasif,MATCH(D2991&amp;"|"&amp;E2991,catClave,0))&amp;"","Variable")),"")</f>
        <v/>
      </c>
      <c r="Y2991" s="52">
        <f>IF(P2991="","",IFERROR(INDEX(catGrupo,MATCH(D2991&amp;"|"&amp;E2991,catClave,0))&amp;"",""))</f>
        <v/>
      </c>
      <c r="Z2991" s="52">
        <f>IF(P2991="","",WEEKDAY(B2991,2))</f>
        <v/>
      </c>
      <c r="AA2991" s="52">
        <f>IF(P2991="","",IF(AND(P2991="Gasto",X2991="Variable",D2991&lt;&gt;catTrading,S2991&gt;0,S2991&lt;=Umbral),1,0))</f>
        <v/>
      </c>
      <c r="AB2991" s="52">
        <f>IF(OR(P2991="",Q2991=""),"",IFERROR(IF(INDEX(ctaVinc,MATCH(Q2991,ctaNombre,0))&amp;""&lt;&gt;"",INDEX(ctaVinc,MATCH(Q2991,ctaNombre,0))&amp;"",Q2991),Q2991))</f>
        <v/>
      </c>
      <c r="AC2991" s="52">
        <f>IF(OR(K2991="",AND(P2991&lt;&gt;"Transferencia",P2991&lt;&gt;"Pago tarjeta")),"",IFERROR(IF(INDEX(ctaVinc,MATCH(K2991,ctaNombre,0))&amp;""&lt;&gt;"",INDEX(ctaVinc,MATCH(K2991,ctaNombre,0))&amp;"",K2991),K2991))</f>
        <v/>
      </c>
      <c r="AD2991" s="52">
        <f>IF(AB2991="","",IFERROR(INDEX(ctaTipo,MATCH(AB2991,ctaNombre,0))&amp;"",""))</f>
        <v/>
      </c>
      <c r="AE2991" s="52">
        <f>IF(AC2991="","",IFERROR(INDEX(ctaTipo,MATCH(AC2991,ctaNombre,0))&amp;"",""))</f>
        <v/>
      </c>
      <c r="AF2991" s="53">
        <f>IF(OR(P2991="",AB2991=""),"",IF(OR(P2991="Gasto",P2991="Transferencia",P2991="Pago tarjeta"),-1,1)*IF(IFERROR(INDEX(ctaMoneda,MATCH(AB2991,ctaNombre,0))&amp;"","DOP")="USD",T2991,S2991))</f>
        <v/>
      </c>
      <c r="AG2991" s="53">
        <f>IF(AC2991="","",IF(IFERROR(INDEX(ctaMoneda,MATCH(AC2991,ctaNombre,0))&amp;"","DOP")="USD",T2991,S2991))</f>
        <v/>
      </c>
      <c r="AH2991" s="53">
        <f>IF(P2991="","",IF(AND(AD2991&lt;&gt;"",COUNTIFS(tcTipo,AD2991,tcLiq,"Sí")&gt;0),IF(OR(P2991="Gasto",P2991="Transferencia",P2991="Pago tarjeta"),-1,1)*S2991,0)+IF(AND(AE2991&lt;&gt;"",COUNTIFS(tcTipo,AE2991,tcLiq,"Sí")&gt;0),S2991,0))</f>
        <v/>
      </c>
      <c r="AI2991" s="52">
        <f>IF(OR(L2991="",P2991=""),"",IF(COUNTIFS(L$6:L2991,L2991,P$6:P2991,"?*")=1,MAX(AI$5:AI2990)+1,""))</f>
        <v/>
      </c>
    </row>
    <row r="2992">
      <c r="B2992" s="47" t="n"/>
      <c r="C2992" s="48" t="n"/>
      <c r="D2992" s="48" t="n"/>
      <c r="E2992" s="48" t="n"/>
      <c r="F2992" s="48" t="n"/>
      <c r="G2992" s="49" t="n"/>
      <c r="H2992" s="48" t="n"/>
      <c r="I2992" s="50" t="n"/>
      <c r="J2992" s="48" t="n"/>
      <c r="K2992" s="48" t="n"/>
      <c r="L2992" s="48" t="n"/>
      <c r="M2992" s="48" t="n"/>
      <c r="N2992" s="48" t="n"/>
      <c r="O2992" s="51">
        <f>IF(AND(B2992="",G2992="",C2992="",D2992="",J2992=""),"",IF(B2992="","⚠ Falta fecha",IF(G2992="","⚠ Falta monto",IF(Q2992="","⚠ Falta cuenta",IF(ISNA(MATCH(Q2992,ctaNombre,0)),"⚠ Cuenta no registrada",IF(AND(OR(P2992="Gasto",P2992="Reembolso"),D2992=""),"⚠ Falta categoría",IF(AND(D2992&lt;&gt;"",E2992&lt;&gt;"",ISNA(MATCH(D2992&amp;"|"&amp;E2992,catClave,0))),"⚠ Subcategoría no corresponde",IF(AND(OR(P2992="Transferencia",P2992="Pago tarjeta"),K2992=""),"⚠ Falta cuenta destino",IF(AND(K2992&lt;&gt;"",P2992&lt;&gt;"Transferencia",P2992&lt;&gt;"Pago tarjeta"),"⚠ Destino solo aplica a transferencias",IF(AND(K2992&lt;&gt;"",K2992=Q2992),"⚠ Origen igual a destino",IF(AND(K2992&lt;&gt;"",ISNA(MATCH(K2992,ctaNombre,0))),"⚠ Destino no registrado",IF(AND(P2992="Pago tarjeta",AE2992&lt;&gt;"Tarjeta de crédito"),"⚠ El destino debe ser tarjeta de crédito",IF(AND(P2992="Gasto",E2992="Depósitos y retiros"),"⚠ Usa tipo Transferencia",IF(AND(P2992="Resultado trading",AD2992&lt;&gt;"Cuenta de trading"),"⚠ Usa una cuenta de trading",IF(AND(G2992&lt;=0,P2992&lt;&gt;"Ajuste",P2992&lt;&gt;"Resultado trading"),"⚠ El monto debe ser positivo","✓")))))))))))))))</f>
        <v/>
      </c>
      <c r="P2992" s="52">
        <f>IF(OR(B2992="",G2992=""),"",IF(C2992="","Gasto",C2992))</f>
        <v/>
      </c>
      <c r="Q2992" s="52">
        <f>IF(P2992="","",IF(J2992&lt;&gt;"",J2992,CuentaPred&amp;""))</f>
        <v/>
      </c>
      <c r="R2992" s="52">
        <f>IF(P2992="","",IF(ISNUMBER(I2992),I2992,TasaUSD))</f>
        <v/>
      </c>
      <c r="S2992" s="53">
        <f>IF(P2992="","",IF(H2992="USD",G2992*R2992,G2992))</f>
        <v/>
      </c>
      <c r="T2992" s="53">
        <f>IF(P2992="","",IF(H2992="USD",G2992,IF(R2992&gt;0,G2992/R2992,0)))</f>
        <v/>
      </c>
      <c r="U2992" s="53">
        <f>IF(P2992="","",IF(P2992="Gasto",S2992,IF(P2992="Reembolso",-S2992,0)))</f>
        <v/>
      </c>
      <c r="V2992" s="53">
        <f>IF(P2992="","",IF(P2992="Ingreso",S2992,0))</f>
        <v/>
      </c>
      <c r="W2992" s="53">
        <f>IF(P2992="","",IF(P2992="Resultado trading",S2992,0))</f>
        <v/>
      </c>
      <c r="X2992" s="52">
        <f>IF(OR(P2992="Gasto",P2992="Reembolso"),IF(M2992&lt;&gt;"",M2992,IFERROR(INDEX(catClasif,MATCH(D2992&amp;"|"&amp;E2992,catClave,0))&amp;"","Variable")),"")</f>
        <v/>
      </c>
      <c r="Y2992" s="52">
        <f>IF(P2992="","",IFERROR(INDEX(catGrupo,MATCH(D2992&amp;"|"&amp;E2992,catClave,0))&amp;"",""))</f>
        <v/>
      </c>
      <c r="Z2992" s="52">
        <f>IF(P2992="","",WEEKDAY(B2992,2))</f>
        <v/>
      </c>
      <c r="AA2992" s="52">
        <f>IF(P2992="","",IF(AND(P2992="Gasto",X2992="Variable",D2992&lt;&gt;catTrading,S2992&gt;0,S2992&lt;=Umbral),1,0))</f>
        <v/>
      </c>
      <c r="AB2992" s="52">
        <f>IF(OR(P2992="",Q2992=""),"",IFERROR(IF(INDEX(ctaVinc,MATCH(Q2992,ctaNombre,0))&amp;""&lt;&gt;"",INDEX(ctaVinc,MATCH(Q2992,ctaNombre,0))&amp;"",Q2992),Q2992))</f>
        <v/>
      </c>
      <c r="AC2992" s="52">
        <f>IF(OR(K2992="",AND(P2992&lt;&gt;"Transferencia",P2992&lt;&gt;"Pago tarjeta")),"",IFERROR(IF(INDEX(ctaVinc,MATCH(K2992,ctaNombre,0))&amp;""&lt;&gt;"",INDEX(ctaVinc,MATCH(K2992,ctaNombre,0))&amp;"",K2992),K2992))</f>
        <v/>
      </c>
      <c r="AD2992" s="52">
        <f>IF(AB2992="","",IFERROR(INDEX(ctaTipo,MATCH(AB2992,ctaNombre,0))&amp;"",""))</f>
        <v/>
      </c>
      <c r="AE2992" s="52">
        <f>IF(AC2992="","",IFERROR(INDEX(ctaTipo,MATCH(AC2992,ctaNombre,0))&amp;"",""))</f>
        <v/>
      </c>
      <c r="AF2992" s="53">
        <f>IF(OR(P2992="",AB2992=""),"",IF(OR(P2992="Gasto",P2992="Transferencia",P2992="Pago tarjeta"),-1,1)*IF(IFERROR(INDEX(ctaMoneda,MATCH(AB2992,ctaNombre,0))&amp;"","DOP")="USD",T2992,S2992))</f>
        <v/>
      </c>
      <c r="AG2992" s="53">
        <f>IF(AC2992="","",IF(IFERROR(INDEX(ctaMoneda,MATCH(AC2992,ctaNombre,0))&amp;"","DOP")="USD",T2992,S2992))</f>
        <v/>
      </c>
      <c r="AH2992" s="53">
        <f>IF(P2992="","",IF(AND(AD2992&lt;&gt;"",COUNTIFS(tcTipo,AD2992,tcLiq,"Sí")&gt;0),IF(OR(P2992="Gasto",P2992="Transferencia",P2992="Pago tarjeta"),-1,1)*S2992,0)+IF(AND(AE2992&lt;&gt;"",COUNTIFS(tcTipo,AE2992,tcLiq,"Sí")&gt;0),S2992,0))</f>
        <v/>
      </c>
      <c r="AI2992" s="52">
        <f>IF(OR(L2992="",P2992=""),"",IF(COUNTIFS(L$6:L2992,L2992,P$6:P2992,"?*")=1,MAX(AI$5:AI2991)+1,""))</f>
        <v/>
      </c>
    </row>
    <row r="2993">
      <c r="B2993" s="47" t="n"/>
      <c r="C2993" s="48" t="n"/>
      <c r="D2993" s="48" t="n"/>
      <c r="E2993" s="48" t="n"/>
      <c r="F2993" s="48" t="n"/>
      <c r="G2993" s="49" t="n"/>
      <c r="H2993" s="48" t="n"/>
      <c r="I2993" s="50" t="n"/>
      <c r="J2993" s="48" t="n"/>
      <c r="K2993" s="48" t="n"/>
      <c r="L2993" s="48" t="n"/>
      <c r="M2993" s="48" t="n"/>
      <c r="N2993" s="48" t="n"/>
      <c r="O2993" s="51">
        <f>IF(AND(B2993="",G2993="",C2993="",D2993="",J2993=""),"",IF(B2993="","⚠ Falta fecha",IF(G2993="","⚠ Falta monto",IF(Q2993="","⚠ Falta cuenta",IF(ISNA(MATCH(Q2993,ctaNombre,0)),"⚠ Cuenta no registrada",IF(AND(OR(P2993="Gasto",P2993="Reembolso"),D2993=""),"⚠ Falta categoría",IF(AND(D2993&lt;&gt;"",E2993&lt;&gt;"",ISNA(MATCH(D2993&amp;"|"&amp;E2993,catClave,0))),"⚠ Subcategoría no corresponde",IF(AND(OR(P2993="Transferencia",P2993="Pago tarjeta"),K2993=""),"⚠ Falta cuenta destino",IF(AND(K2993&lt;&gt;"",P2993&lt;&gt;"Transferencia",P2993&lt;&gt;"Pago tarjeta"),"⚠ Destino solo aplica a transferencias",IF(AND(K2993&lt;&gt;"",K2993=Q2993),"⚠ Origen igual a destino",IF(AND(K2993&lt;&gt;"",ISNA(MATCH(K2993,ctaNombre,0))),"⚠ Destino no registrado",IF(AND(P2993="Pago tarjeta",AE2993&lt;&gt;"Tarjeta de crédito"),"⚠ El destino debe ser tarjeta de crédito",IF(AND(P2993="Gasto",E2993="Depósitos y retiros"),"⚠ Usa tipo Transferencia",IF(AND(P2993="Resultado trading",AD2993&lt;&gt;"Cuenta de trading"),"⚠ Usa una cuenta de trading",IF(AND(G2993&lt;=0,P2993&lt;&gt;"Ajuste",P2993&lt;&gt;"Resultado trading"),"⚠ El monto debe ser positivo","✓")))))))))))))))</f>
        <v/>
      </c>
      <c r="P2993" s="52">
        <f>IF(OR(B2993="",G2993=""),"",IF(C2993="","Gasto",C2993))</f>
        <v/>
      </c>
      <c r="Q2993" s="52">
        <f>IF(P2993="","",IF(J2993&lt;&gt;"",J2993,CuentaPred&amp;""))</f>
        <v/>
      </c>
      <c r="R2993" s="52">
        <f>IF(P2993="","",IF(ISNUMBER(I2993),I2993,TasaUSD))</f>
        <v/>
      </c>
      <c r="S2993" s="53">
        <f>IF(P2993="","",IF(H2993="USD",G2993*R2993,G2993))</f>
        <v/>
      </c>
      <c r="T2993" s="53">
        <f>IF(P2993="","",IF(H2993="USD",G2993,IF(R2993&gt;0,G2993/R2993,0)))</f>
        <v/>
      </c>
      <c r="U2993" s="53">
        <f>IF(P2993="","",IF(P2993="Gasto",S2993,IF(P2993="Reembolso",-S2993,0)))</f>
        <v/>
      </c>
      <c r="V2993" s="53">
        <f>IF(P2993="","",IF(P2993="Ingreso",S2993,0))</f>
        <v/>
      </c>
      <c r="W2993" s="53">
        <f>IF(P2993="","",IF(P2993="Resultado trading",S2993,0))</f>
        <v/>
      </c>
      <c r="X2993" s="52">
        <f>IF(OR(P2993="Gasto",P2993="Reembolso"),IF(M2993&lt;&gt;"",M2993,IFERROR(INDEX(catClasif,MATCH(D2993&amp;"|"&amp;E2993,catClave,0))&amp;"","Variable")),"")</f>
        <v/>
      </c>
      <c r="Y2993" s="52">
        <f>IF(P2993="","",IFERROR(INDEX(catGrupo,MATCH(D2993&amp;"|"&amp;E2993,catClave,0))&amp;"",""))</f>
        <v/>
      </c>
      <c r="Z2993" s="52">
        <f>IF(P2993="","",WEEKDAY(B2993,2))</f>
        <v/>
      </c>
      <c r="AA2993" s="52">
        <f>IF(P2993="","",IF(AND(P2993="Gasto",X2993="Variable",D2993&lt;&gt;catTrading,S2993&gt;0,S2993&lt;=Umbral),1,0))</f>
        <v/>
      </c>
      <c r="AB2993" s="52">
        <f>IF(OR(P2993="",Q2993=""),"",IFERROR(IF(INDEX(ctaVinc,MATCH(Q2993,ctaNombre,0))&amp;""&lt;&gt;"",INDEX(ctaVinc,MATCH(Q2993,ctaNombre,0))&amp;"",Q2993),Q2993))</f>
        <v/>
      </c>
      <c r="AC2993" s="52">
        <f>IF(OR(K2993="",AND(P2993&lt;&gt;"Transferencia",P2993&lt;&gt;"Pago tarjeta")),"",IFERROR(IF(INDEX(ctaVinc,MATCH(K2993,ctaNombre,0))&amp;""&lt;&gt;"",INDEX(ctaVinc,MATCH(K2993,ctaNombre,0))&amp;"",K2993),K2993))</f>
        <v/>
      </c>
      <c r="AD2993" s="52">
        <f>IF(AB2993="","",IFERROR(INDEX(ctaTipo,MATCH(AB2993,ctaNombre,0))&amp;"",""))</f>
        <v/>
      </c>
      <c r="AE2993" s="52">
        <f>IF(AC2993="","",IFERROR(INDEX(ctaTipo,MATCH(AC2993,ctaNombre,0))&amp;"",""))</f>
        <v/>
      </c>
      <c r="AF2993" s="53">
        <f>IF(OR(P2993="",AB2993=""),"",IF(OR(P2993="Gasto",P2993="Transferencia",P2993="Pago tarjeta"),-1,1)*IF(IFERROR(INDEX(ctaMoneda,MATCH(AB2993,ctaNombre,0))&amp;"","DOP")="USD",T2993,S2993))</f>
        <v/>
      </c>
      <c r="AG2993" s="53">
        <f>IF(AC2993="","",IF(IFERROR(INDEX(ctaMoneda,MATCH(AC2993,ctaNombre,0))&amp;"","DOP")="USD",T2993,S2993))</f>
        <v/>
      </c>
      <c r="AH2993" s="53">
        <f>IF(P2993="","",IF(AND(AD2993&lt;&gt;"",COUNTIFS(tcTipo,AD2993,tcLiq,"Sí")&gt;0),IF(OR(P2993="Gasto",P2993="Transferencia",P2993="Pago tarjeta"),-1,1)*S2993,0)+IF(AND(AE2993&lt;&gt;"",COUNTIFS(tcTipo,AE2993,tcLiq,"Sí")&gt;0),S2993,0))</f>
        <v/>
      </c>
      <c r="AI2993" s="52">
        <f>IF(OR(L2993="",P2993=""),"",IF(COUNTIFS(L$6:L2993,L2993,P$6:P2993,"?*")=1,MAX(AI$5:AI2992)+1,""))</f>
        <v/>
      </c>
    </row>
    <row r="2994">
      <c r="B2994" s="47" t="n"/>
      <c r="C2994" s="48" t="n"/>
      <c r="D2994" s="48" t="n"/>
      <c r="E2994" s="48" t="n"/>
      <c r="F2994" s="48" t="n"/>
      <c r="G2994" s="49" t="n"/>
      <c r="H2994" s="48" t="n"/>
      <c r="I2994" s="50" t="n"/>
      <c r="J2994" s="48" t="n"/>
      <c r="K2994" s="48" t="n"/>
      <c r="L2994" s="48" t="n"/>
      <c r="M2994" s="48" t="n"/>
      <c r="N2994" s="48" t="n"/>
      <c r="O2994" s="51">
        <f>IF(AND(B2994="",G2994="",C2994="",D2994="",J2994=""),"",IF(B2994="","⚠ Falta fecha",IF(G2994="","⚠ Falta monto",IF(Q2994="","⚠ Falta cuenta",IF(ISNA(MATCH(Q2994,ctaNombre,0)),"⚠ Cuenta no registrada",IF(AND(OR(P2994="Gasto",P2994="Reembolso"),D2994=""),"⚠ Falta categoría",IF(AND(D2994&lt;&gt;"",E2994&lt;&gt;"",ISNA(MATCH(D2994&amp;"|"&amp;E2994,catClave,0))),"⚠ Subcategoría no corresponde",IF(AND(OR(P2994="Transferencia",P2994="Pago tarjeta"),K2994=""),"⚠ Falta cuenta destino",IF(AND(K2994&lt;&gt;"",P2994&lt;&gt;"Transferencia",P2994&lt;&gt;"Pago tarjeta"),"⚠ Destino solo aplica a transferencias",IF(AND(K2994&lt;&gt;"",K2994=Q2994),"⚠ Origen igual a destino",IF(AND(K2994&lt;&gt;"",ISNA(MATCH(K2994,ctaNombre,0))),"⚠ Destino no registrado",IF(AND(P2994="Pago tarjeta",AE2994&lt;&gt;"Tarjeta de crédito"),"⚠ El destino debe ser tarjeta de crédito",IF(AND(P2994="Gasto",E2994="Depósitos y retiros"),"⚠ Usa tipo Transferencia",IF(AND(P2994="Resultado trading",AD2994&lt;&gt;"Cuenta de trading"),"⚠ Usa una cuenta de trading",IF(AND(G2994&lt;=0,P2994&lt;&gt;"Ajuste",P2994&lt;&gt;"Resultado trading"),"⚠ El monto debe ser positivo","✓")))))))))))))))</f>
        <v/>
      </c>
      <c r="P2994" s="52">
        <f>IF(OR(B2994="",G2994=""),"",IF(C2994="","Gasto",C2994))</f>
        <v/>
      </c>
      <c r="Q2994" s="52">
        <f>IF(P2994="","",IF(J2994&lt;&gt;"",J2994,CuentaPred&amp;""))</f>
        <v/>
      </c>
      <c r="R2994" s="52">
        <f>IF(P2994="","",IF(ISNUMBER(I2994),I2994,TasaUSD))</f>
        <v/>
      </c>
      <c r="S2994" s="53">
        <f>IF(P2994="","",IF(H2994="USD",G2994*R2994,G2994))</f>
        <v/>
      </c>
      <c r="T2994" s="53">
        <f>IF(P2994="","",IF(H2994="USD",G2994,IF(R2994&gt;0,G2994/R2994,0)))</f>
        <v/>
      </c>
      <c r="U2994" s="53">
        <f>IF(P2994="","",IF(P2994="Gasto",S2994,IF(P2994="Reembolso",-S2994,0)))</f>
        <v/>
      </c>
      <c r="V2994" s="53">
        <f>IF(P2994="","",IF(P2994="Ingreso",S2994,0))</f>
        <v/>
      </c>
      <c r="W2994" s="53">
        <f>IF(P2994="","",IF(P2994="Resultado trading",S2994,0))</f>
        <v/>
      </c>
      <c r="X2994" s="52">
        <f>IF(OR(P2994="Gasto",P2994="Reembolso"),IF(M2994&lt;&gt;"",M2994,IFERROR(INDEX(catClasif,MATCH(D2994&amp;"|"&amp;E2994,catClave,0))&amp;"","Variable")),"")</f>
        <v/>
      </c>
      <c r="Y2994" s="52">
        <f>IF(P2994="","",IFERROR(INDEX(catGrupo,MATCH(D2994&amp;"|"&amp;E2994,catClave,0))&amp;"",""))</f>
        <v/>
      </c>
      <c r="Z2994" s="52">
        <f>IF(P2994="","",WEEKDAY(B2994,2))</f>
        <v/>
      </c>
      <c r="AA2994" s="52">
        <f>IF(P2994="","",IF(AND(P2994="Gasto",X2994="Variable",D2994&lt;&gt;catTrading,S2994&gt;0,S2994&lt;=Umbral),1,0))</f>
        <v/>
      </c>
      <c r="AB2994" s="52">
        <f>IF(OR(P2994="",Q2994=""),"",IFERROR(IF(INDEX(ctaVinc,MATCH(Q2994,ctaNombre,0))&amp;""&lt;&gt;"",INDEX(ctaVinc,MATCH(Q2994,ctaNombre,0))&amp;"",Q2994),Q2994))</f>
        <v/>
      </c>
      <c r="AC2994" s="52">
        <f>IF(OR(K2994="",AND(P2994&lt;&gt;"Transferencia",P2994&lt;&gt;"Pago tarjeta")),"",IFERROR(IF(INDEX(ctaVinc,MATCH(K2994,ctaNombre,0))&amp;""&lt;&gt;"",INDEX(ctaVinc,MATCH(K2994,ctaNombre,0))&amp;"",K2994),K2994))</f>
        <v/>
      </c>
      <c r="AD2994" s="52">
        <f>IF(AB2994="","",IFERROR(INDEX(ctaTipo,MATCH(AB2994,ctaNombre,0))&amp;"",""))</f>
        <v/>
      </c>
      <c r="AE2994" s="52">
        <f>IF(AC2994="","",IFERROR(INDEX(ctaTipo,MATCH(AC2994,ctaNombre,0))&amp;"",""))</f>
        <v/>
      </c>
      <c r="AF2994" s="53">
        <f>IF(OR(P2994="",AB2994=""),"",IF(OR(P2994="Gasto",P2994="Transferencia",P2994="Pago tarjeta"),-1,1)*IF(IFERROR(INDEX(ctaMoneda,MATCH(AB2994,ctaNombre,0))&amp;"","DOP")="USD",T2994,S2994))</f>
        <v/>
      </c>
      <c r="AG2994" s="53">
        <f>IF(AC2994="","",IF(IFERROR(INDEX(ctaMoneda,MATCH(AC2994,ctaNombre,0))&amp;"","DOP")="USD",T2994,S2994))</f>
        <v/>
      </c>
      <c r="AH2994" s="53">
        <f>IF(P2994="","",IF(AND(AD2994&lt;&gt;"",COUNTIFS(tcTipo,AD2994,tcLiq,"Sí")&gt;0),IF(OR(P2994="Gasto",P2994="Transferencia",P2994="Pago tarjeta"),-1,1)*S2994,0)+IF(AND(AE2994&lt;&gt;"",COUNTIFS(tcTipo,AE2994,tcLiq,"Sí")&gt;0),S2994,0))</f>
        <v/>
      </c>
      <c r="AI2994" s="52">
        <f>IF(OR(L2994="",P2994=""),"",IF(COUNTIFS(L$6:L2994,L2994,P$6:P2994,"?*")=1,MAX(AI$5:AI2993)+1,""))</f>
        <v/>
      </c>
    </row>
    <row r="2995">
      <c r="B2995" s="47" t="n"/>
      <c r="C2995" s="48" t="n"/>
      <c r="D2995" s="48" t="n"/>
      <c r="E2995" s="48" t="n"/>
      <c r="F2995" s="48" t="n"/>
      <c r="G2995" s="49" t="n"/>
      <c r="H2995" s="48" t="n"/>
      <c r="I2995" s="50" t="n"/>
      <c r="J2995" s="48" t="n"/>
      <c r="K2995" s="48" t="n"/>
      <c r="L2995" s="48" t="n"/>
      <c r="M2995" s="48" t="n"/>
      <c r="N2995" s="48" t="n"/>
      <c r="O2995" s="51">
        <f>IF(AND(B2995="",G2995="",C2995="",D2995="",J2995=""),"",IF(B2995="","⚠ Falta fecha",IF(G2995="","⚠ Falta monto",IF(Q2995="","⚠ Falta cuenta",IF(ISNA(MATCH(Q2995,ctaNombre,0)),"⚠ Cuenta no registrada",IF(AND(OR(P2995="Gasto",P2995="Reembolso"),D2995=""),"⚠ Falta categoría",IF(AND(D2995&lt;&gt;"",E2995&lt;&gt;"",ISNA(MATCH(D2995&amp;"|"&amp;E2995,catClave,0))),"⚠ Subcategoría no corresponde",IF(AND(OR(P2995="Transferencia",P2995="Pago tarjeta"),K2995=""),"⚠ Falta cuenta destino",IF(AND(K2995&lt;&gt;"",P2995&lt;&gt;"Transferencia",P2995&lt;&gt;"Pago tarjeta"),"⚠ Destino solo aplica a transferencias",IF(AND(K2995&lt;&gt;"",K2995=Q2995),"⚠ Origen igual a destino",IF(AND(K2995&lt;&gt;"",ISNA(MATCH(K2995,ctaNombre,0))),"⚠ Destino no registrado",IF(AND(P2995="Pago tarjeta",AE2995&lt;&gt;"Tarjeta de crédito"),"⚠ El destino debe ser tarjeta de crédito",IF(AND(P2995="Gasto",E2995="Depósitos y retiros"),"⚠ Usa tipo Transferencia",IF(AND(P2995="Resultado trading",AD2995&lt;&gt;"Cuenta de trading"),"⚠ Usa una cuenta de trading",IF(AND(G2995&lt;=0,P2995&lt;&gt;"Ajuste",P2995&lt;&gt;"Resultado trading"),"⚠ El monto debe ser positivo","✓")))))))))))))))</f>
        <v/>
      </c>
      <c r="P2995" s="52">
        <f>IF(OR(B2995="",G2995=""),"",IF(C2995="","Gasto",C2995))</f>
        <v/>
      </c>
      <c r="Q2995" s="52">
        <f>IF(P2995="","",IF(J2995&lt;&gt;"",J2995,CuentaPred&amp;""))</f>
        <v/>
      </c>
      <c r="R2995" s="52">
        <f>IF(P2995="","",IF(ISNUMBER(I2995),I2995,TasaUSD))</f>
        <v/>
      </c>
      <c r="S2995" s="53">
        <f>IF(P2995="","",IF(H2995="USD",G2995*R2995,G2995))</f>
        <v/>
      </c>
      <c r="T2995" s="53">
        <f>IF(P2995="","",IF(H2995="USD",G2995,IF(R2995&gt;0,G2995/R2995,0)))</f>
        <v/>
      </c>
      <c r="U2995" s="53">
        <f>IF(P2995="","",IF(P2995="Gasto",S2995,IF(P2995="Reembolso",-S2995,0)))</f>
        <v/>
      </c>
      <c r="V2995" s="53">
        <f>IF(P2995="","",IF(P2995="Ingreso",S2995,0))</f>
        <v/>
      </c>
      <c r="W2995" s="53">
        <f>IF(P2995="","",IF(P2995="Resultado trading",S2995,0))</f>
        <v/>
      </c>
      <c r="X2995" s="52">
        <f>IF(OR(P2995="Gasto",P2995="Reembolso"),IF(M2995&lt;&gt;"",M2995,IFERROR(INDEX(catClasif,MATCH(D2995&amp;"|"&amp;E2995,catClave,0))&amp;"","Variable")),"")</f>
        <v/>
      </c>
      <c r="Y2995" s="52">
        <f>IF(P2995="","",IFERROR(INDEX(catGrupo,MATCH(D2995&amp;"|"&amp;E2995,catClave,0))&amp;"",""))</f>
        <v/>
      </c>
      <c r="Z2995" s="52">
        <f>IF(P2995="","",WEEKDAY(B2995,2))</f>
        <v/>
      </c>
      <c r="AA2995" s="52">
        <f>IF(P2995="","",IF(AND(P2995="Gasto",X2995="Variable",D2995&lt;&gt;catTrading,S2995&gt;0,S2995&lt;=Umbral),1,0))</f>
        <v/>
      </c>
      <c r="AB2995" s="52">
        <f>IF(OR(P2995="",Q2995=""),"",IFERROR(IF(INDEX(ctaVinc,MATCH(Q2995,ctaNombre,0))&amp;""&lt;&gt;"",INDEX(ctaVinc,MATCH(Q2995,ctaNombre,0))&amp;"",Q2995),Q2995))</f>
        <v/>
      </c>
      <c r="AC2995" s="52">
        <f>IF(OR(K2995="",AND(P2995&lt;&gt;"Transferencia",P2995&lt;&gt;"Pago tarjeta")),"",IFERROR(IF(INDEX(ctaVinc,MATCH(K2995,ctaNombre,0))&amp;""&lt;&gt;"",INDEX(ctaVinc,MATCH(K2995,ctaNombre,0))&amp;"",K2995),K2995))</f>
        <v/>
      </c>
      <c r="AD2995" s="52">
        <f>IF(AB2995="","",IFERROR(INDEX(ctaTipo,MATCH(AB2995,ctaNombre,0))&amp;"",""))</f>
        <v/>
      </c>
      <c r="AE2995" s="52">
        <f>IF(AC2995="","",IFERROR(INDEX(ctaTipo,MATCH(AC2995,ctaNombre,0))&amp;"",""))</f>
        <v/>
      </c>
      <c r="AF2995" s="53">
        <f>IF(OR(P2995="",AB2995=""),"",IF(OR(P2995="Gasto",P2995="Transferencia",P2995="Pago tarjeta"),-1,1)*IF(IFERROR(INDEX(ctaMoneda,MATCH(AB2995,ctaNombre,0))&amp;"","DOP")="USD",T2995,S2995))</f>
        <v/>
      </c>
      <c r="AG2995" s="53">
        <f>IF(AC2995="","",IF(IFERROR(INDEX(ctaMoneda,MATCH(AC2995,ctaNombre,0))&amp;"","DOP")="USD",T2995,S2995))</f>
        <v/>
      </c>
      <c r="AH2995" s="53">
        <f>IF(P2995="","",IF(AND(AD2995&lt;&gt;"",COUNTIFS(tcTipo,AD2995,tcLiq,"Sí")&gt;0),IF(OR(P2995="Gasto",P2995="Transferencia",P2995="Pago tarjeta"),-1,1)*S2995,0)+IF(AND(AE2995&lt;&gt;"",COUNTIFS(tcTipo,AE2995,tcLiq,"Sí")&gt;0),S2995,0))</f>
        <v/>
      </c>
      <c r="AI2995" s="52">
        <f>IF(OR(L2995="",P2995=""),"",IF(COUNTIFS(L$6:L2995,L2995,P$6:P2995,"?*")=1,MAX(AI$5:AI2994)+1,""))</f>
        <v/>
      </c>
    </row>
    <row r="2996">
      <c r="B2996" s="47" t="n"/>
      <c r="C2996" s="48" t="n"/>
      <c r="D2996" s="48" t="n"/>
      <c r="E2996" s="48" t="n"/>
      <c r="F2996" s="48" t="n"/>
      <c r="G2996" s="49" t="n"/>
      <c r="H2996" s="48" t="n"/>
      <c r="I2996" s="50" t="n"/>
      <c r="J2996" s="48" t="n"/>
      <c r="K2996" s="48" t="n"/>
      <c r="L2996" s="48" t="n"/>
      <c r="M2996" s="48" t="n"/>
      <c r="N2996" s="48" t="n"/>
      <c r="O2996" s="51">
        <f>IF(AND(B2996="",G2996="",C2996="",D2996="",J2996=""),"",IF(B2996="","⚠ Falta fecha",IF(G2996="","⚠ Falta monto",IF(Q2996="","⚠ Falta cuenta",IF(ISNA(MATCH(Q2996,ctaNombre,0)),"⚠ Cuenta no registrada",IF(AND(OR(P2996="Gasto",P2996="Reembolso"),D2996=""),"⚠ Falta categoría",IF(AND(D2996&lt;&gt;"",E2996&lt;&gt;"",ISNA(MATCH(D2996&amp;"|"&amp;E2996,catClave,0))),"⚠ Subcategoría no corresponde",IF(AND(OR(P2996="Transferencia",P2996="Pago tarjeta"),K2996=""),"⚠ Falta cuenta destino",IF(AND(K2996&lt;&gt;"",P2996&lt;&gt;"Transferencia",P2996&lt;&gt;"Pago tarjeta"),"⚠ Destino solo aplica a transferencias",IF(AND(K2996&lt;&gt;"",K2996=Q2996),"⚠ Origen igual a destino",IF(AND(K2996&lt;&gt;"",ISNA(MATCH(K2996,ctaNombre,0))),"⚠ Destino no registrado",IF(AND(P2996="Pago tarjeta",AE2996&lt;&gt;"Tarjeta de crédito"),"⚠ El destino debe ser tarjeta de crédito",IF(AND(P2996="Gasto",E2996="Depósitos y retiros"),"⚠ Usa tipo Transferencia",IF(AND(P2996="Resultado trading",AD2996&lt;&gt;"Cuenta de trading"),"⚠ Usa una cuenta de trading",IF(AND(G2996&lt;=0,P2996&lt;&gt;"Ajuste",P2996&lt;&gt;"Resultado trading"),"⚠ El monto debe ser positivo","✓")))))))))))))))</f>
        <v/>
      </c>
      <c r="P2996" s="52">
        <f>IF(OR(B2996="",G2996=""),"",IF(C2996="","Gasto",C2996))</f>
        <v/>
      </c>
      <c r="Q2996" s="52">
        <f>IF(P2996="","",IF(J2996&lt;&gt;"",J2996,CuentaPred&amp;""))</f>
        <v/>
      </c>
      <c r="R2996" s="52">
        <f>IF(P2996="","",IF(ISNUMBER(I2996),I2996,TasaUSD))</f>
        <v/>
      </c>
      <c r="S2996" s="53">
        <f>IF(P2996="","",IF(H2996="USD",G2996*R2996,G2996))</f>
        <v/>
      </c>
      <c r="T2996" s="53">
        <f>IF(P2996="","",IF(H2996="USD",G2996,IF(R2996&gt;0,G2996/R2996,0)))</f>
        <v/>
      </c>
      <c r="U2996" s="53">
        <f>IF(P2996="","",IF(P2996="Gasto",S2996,IF(P2996="Reembolso",-S2996,0)))</f>
        <v/>
      </c>
      <c r="V2996" s="53">
        <f>IF(P2996="","",IF(P2996="Ingreso",S2996,0))</f>
        <v/>
      </c>
      <c r="W2996" s="53">
        <f>IF(P2996="","",IF(P2996="Resultado trading",S2996,0))</f>
        <v/>
      </c>
      <c r="X2996" s="52">
        <f>IF(OR(P2996="Gasto",P2996="Reembolso"),IF(M2996&lt;&gt;"",M2996,IFERROR(INDEX(catClasif,MATCH(D2996&amp;"|"&amp;E2996,catClave,0))&amp;"","Variable")),"")</f>
        <v/>
      </c>
      <c r="Y2996" s="52">
        <f>IF(P2996="","",IFERROR(INDEX(catGrupo,MATCH(D2996&amp;"|"&amp;E2996,catClave,0))&amp;"",""))</f>
        <v/>
      </c>
      <c r="Z2996" s="52">
        <f>IF(P2996="","",WEEKDAY(B2996,2))</f>
        <v/>
      </c>
      <c r="AA2996" s="52">
        <f>IF(P2996="","",IF(AND(P2996="Gasto",X2996="Variable",D2996&lt;&gt;catTrading,S2996&gt;0,S2996&lt;=Umbral),1,0))</f>
        <v/>
      </c>
      <c r="AB2996" s="52">
        <f>IF(OR(P2996="",Q2996=""),"",IFERROR(IF(INDEX(ctaVinc,MATCH(Q2996,ctaNombre,0))&amp;""&lt;&gt;"",INDEX(ctaVinc,MATCH(Q2996,ctaNombre,0))&amp;"",Q2996),Q2996))</f>
        <v/>
      </c>
      <c r="AC2996" s="52">
        <f>IF(OR(K2996="",AND(P2996&lt;&gt;"Transferencia",P2996&lt;&gt;"Pago tarjeta")),"",IFERROR(IF(INDEX(ctaVinc,MATCH(K2996,ctaNombre,0))&amp;""&lt;&gt;"",INDEX(ctaVinc,MATCH(K2996,ctaNombre,0))&amp;"",K2996),K2996))</f>
        <v/>
      </c>
      <c r="AD2996" s="52">
        <f>IF(AB2996="","",IFERROR(INDEX(ctaTipo,MATCH(AB2996,ctaNombre,0))&amp;"",""))</f>
        <v/>
      </c>
      <c r="AE2996" s="52">
        <f>IF(AC2996="","",IFERROR(INDEX(ctaTipo,MATCH(AC2996,ctaNombre,0))&amp;"",""))</f>
        <v/>
      </c>
      <c r="AF2996" s="53">
        <f>IF(OR(P2996="",AB2996=""),"",IF(OR(P2996="Gasto",P2996="Transferencia",P2996="Pago tarjeta"),-1,1)*IF(IFERROR(INDEX(ctaMoneda,MATCH(AB2996,ctaNombre,0))&amp;"","DOP")="USD",T2996,S2996))</f>
        <v/>
      </c>
      <c r="AG2996" s="53">
        <f>IF(AC2996="","",IF(IFERROR(INDEX(ctaMoneda,MATCH(AC2996,ctaNombre,0))&amp;"","DOP")="USD",T2996,S2996))</f>
        <v/>
      </c>
      <c r="AH2996" s="53">
        <f>IF(P2996="","",IF(AND(AD2996&lt;&gt;"",COUNTIFS(tcTipo,AD2996,tcLiq,"Sí")&gt;0),IF(OR(P2996="Gasto",P2996="Transferencia",P2996="Pago tarjeta"),-1,1)*S2996,0)+IF(AND(AE2996&lt;&gt;"",COUNTIFS(tcTipo,AE2996,tcLiq,"Sí")&gt;0),S2996,0))</f>
        <v/>
      </c>
      <c r="AI2996" s="52">
        <f>IF(OR(L2996="",P2996=""),"",IF(COUNTIFS(L$6:L2996,L2996,P$6:P2996,"?*")=1,MAX(AI$5:AI2995)+1,""))</f>
        <v/>
      </c>
    </row>
    <row r="2997">
      <c r="B2997" s="47" t="n"/>
      <c r="C2997" s="48" t="n"/>
      <c r="D2997" s="48" t="n"/>
      <c r="E2997" s="48" t="n"/>
      <c r="F2997" s="48" t="n"/>
      <c r="G2997" s="49" t="n"/>
      <c r="H2997" s="48" t="n"/>
      <c r="I2997" s="50" t="n"/>
      <c r="J2997" s="48" t="n"/>
      <c r="K2997" s="48" t="n"/>
      <c r="L2997" s="48" t="n"/>
      <c r="M2997" s="48" t="n"/>
      <c r="N2997" s="48" t="n"/>
      <c r="O2997" s="51">
        <f>IF(AND(B2997="",G2997="",C2997="",D2997="",J2997=""),"",IF(B2997="","⚠ Falta fecha",IF(G2997="","⚠ Falta monto",IF(Q2997="","⚠ Falta cuenta",IF(ISNA(MATCH(Q2997,ctaNombre,0)),"⚠ Cuenta no registrada",IF(AND(OR(P2997="Gasto",P2997="Reembolso"),D2997=""),"⚠ Falta categoría",IF(AND(D2997&lt;&gt;"",E2997&lt;&gt;"",ISNA(MATCH(D2997&amp;"|"&amp;E2997,catClave,0))),"⚠ Subcategoría no corresponde",IF(AND(OR(P2997="Transferencia",P2997="Pago tarjeta"),K2997=""),"⚠ Falta cuenta destino",IF(AND(K2997&lt;&gt;"",P2997&lt;&gt;"Transferencia",P2997&lt;&gt;"Pago tarjeta"),"⚠ Destino solo aplica a transferencias",IF(AND(K2997&lt;&gt;"",K2997=Q2997),"⚠ Origen igual a destino",IF(AND(K2997&lt;&gt;"",ISNA(MATCH(K2997,ctaNombre,0))),"⚠ Destino no registrado",IF(AND(P2997="Pago tarjeta",AE2997&lt;&gt;"Tarjeta de crédito"),"⚠ El destino debe ser tarjeta de crédito",IF(AND(P2997="Gasto",E2997="Depósitos y retiros"),"⚠ Usa tipo Transferencia",IF(AND(P2997="Resultado trading",AD2997&lt;&gt;"Cuenta de trading"),"⚠ Usa una cuenta de trading",IF(AND(G2997&lt;=0,P2997&lt;&gt;"Ajuste",P2997&lt;&gt;"Resultado trading"),"⚠ El monto debe ser positivo","✓")))))))))))))))</f>
        <v/>
      </c>
      <c r="P2997" s="52">
        <f>IF(OR(B2997="",G2997=""),"",IF(C2997="","Gasto",C2997))</f>
        <v/>
      </c>
      <c r="Q2997" s="52">
        <f>IF(P2997="","",IF(J2997&lt;&gt;"",J2997,CuentaPred&amp;""))</f>
        <v/>
      </c>
      <c r="R2997" s="52">
        <f>IF(P2997="","",IF(ISNUMBER(I2997),I2997,TasaUSD))</f>
        <v/>
      </c>
      <c r="S2997" s="53">
        <f>IF(P2997="","",IF(H2997="USD",G2997*R2997,G2997))</f>
        <v/>
      </c>
      <c r="T2997" s="53">
        <f>IF(P2997="","",IF(H2997="USD",G2997,IF(R2997&gt;0,G2997/R2997,0)))</f>
        <v/>
      </c>
      <c r="U2997" s="53">
        <f>IF(P2997="","",IF(P2997="Gasto",S2997,IF(P2997="Reembolso",-S2997,0)))</f>
        <v/>
      </c>
      <c r="V2997" s="53">
        <f>IF(P2997="","",IF(P2997="Ingreso",S2997,0))</f>
        <v/>
      </c>
      <c r="W2997" s="53">
        <f>IF(P2997="","",IF(P2997="Resultado trading",S2997,0))</f>
        <v/>
      </c>
      <c r="X2997" s="52">
        <f>IF(OR(P2997="Gasto",P2997="Reembolso"),IF(M2997&lt;&gt;"",M2997,IFERROR(INDEX(catClasif,MATCH(D2997&amp;"|"&amp;E2997,catClave,0))&amp;"","Variable")),"")</f>
        <v/>
      </c>
      <c r="Y2997" s="52">
        <f>IF(P2997="","",IFERROR(INDEX(catGrupo,MATCH(D2997&amp;"|"&amp;E2997,catClave,0))&amp;"",""))</f>
        <v/>
      </c>
      <c r="Z2997" s="52">
        <f>IF(P2997="","",WEEKDAY(B2997,2))</f>
        <v/>
      </c>
      <c r="AA2997" s="52">
        <f>IF(P2997="","",IF(AND(P2997="Gasto",X2997="Variable",D2997&lt;&gt;catTrading,S2997&gt;0,S2997&lt;=Umbral),1,0))</f>
        <v/>
      </c>
      <c r="AB2997" s="52">
        <f>IF(OR(P2997="",Q2997=""),"",IFERROR(IF(INDEX(ctaVinc,MATCH(Q2997,ctaNombre,0))&amp;""&lt;&gt;"",INDEX(ctaVinc,MATCH(Q2997,ctaNombre,0))&amp;"",Q2997),Q2997))</f>
        <v/>
      </c>
      <c r="AC2997" s="52">
        <f>IF(OR(K2997="",AND(P2997&lt;&gt;"Transferencia",P2997&lt;&gt;"Pago tarjeta")),"",IFERROR(IF(INDEX(ctaVinc,MATCH(K2997,ctaNombre,0))&amp;""&lt;&gt;"",INDEX(ctaVinc,MATCH(K2997,ctaNombre,0))&amp;"",K2997),K2997))</f>
        <v/>
      </c>
      <c r="AD2997" s="52">
        <f>IF(AB2997="","",IFERROR(INDEX(ctaTipo,MATCH(AB2997,ctaNombre,0))&amp;"",""))</f>
        <v/>
      </c>
      <c r="AE2997" s="52">
        <f>IF(AC2997="","",IFERROR(INDEX(ctaTipo,MATCH(AC2997,ctaNombre,0))&amp;"",""))</f>
        <v/>
      </c>
      <c r="AF2997" s="53">
        <f>IF(OR(P2997="",AB2997=""),"",IF(OR(P2997="Gasto",P2997="Transferencia",P2997="Pago tarjeta"),-1,1)*IF(IFERROR(INDEX(ctaMoneda,MATCH(AB2997,ctaNombre,0))&amp;"","DOP")="USD",T2997,S2997))</f>
        <v/>
      </c>
      <c r="AG2997" s="53">
        <f>IF(AC2997="","",IF(IFERROR(INDEX(ctaMoneda,MATCH(AC2997,ctaNombre,0))&amp;"","DOP")="USD",T2997,S2997))</f>
        <v/>
      </c>
      <c r="AH2997" s="53">
        <f>IF(P2997="","",IF(AND(AD2997&lt;&gt;"",COUNTIFS(tcTipo,AD2997,tcLiq,"Sí")&gt;0),IF(OR(P2997="Gasto",P2997="Transferencia",P2997="Pago tarjeta"),-1,1)*S2997,0)+IF(AND(AE2997&lt;&gt;"",COUNTIFS(tcTipo,AE2997,tcLiq,"Sí")&gt;0),S2997,0))</f>
        <v/>
      </c>
      <c r="AI2997" s="52">
        <f>IF(OR(L2997="",P2997=""),"",IF(COUNTIFS(L$6:L2997,L2997,P$6:P2997,"?*")=1,MAX(AI$5:AI2996)+1,""))</f>
        <v/>
      </c>
    </row>
    <row r="2998">
      <c r="B2998" s="47" t="n"/>
      <c r="C2998" s="48" t="n"/>
      <c r="D2998" s="48" t="n"/>
      <c r="E2998" s="48" t="n"/>
      <c r="F2998" s="48" t="n"/>
      <c r="G2998" s="49" t="n"/>
      <c r="H2998" s="48" t="n"/>
      <c r="I2998" s="50" t="n"/>
      <c r="J2998" s="48" t="n"/>
      <c r="K2998" s="48" t="n"/>
      <c r="L2998" s="48" t="n"/>
      <c r="M2998" s="48" t="n"/>
      <c r="N2998" s="48" t="n"/>
      <c r="O2998" s="51">
        <f>IF(AND(B2998="",G2998="",C2998="",D2998="",J2998=""),"",IF(B2998="","⚠ Falta fecha",IF(G2998="","⚠ Falta monto",IF(Q2998="","⚠ Falta cuenta",IF(ISNA(MATCH(Q2998,ctaNombre,0)),"⚠ Cuenta no registrada",IF(AND(OR(P2998="Gasto",P2998="Reembolso"),D2998=""),"⚠ Falta categoría",IF(AND(D2998&lt;&gt;"",E2998&lt;&gt;"",ISNA(MATCH(D2998&amp;"|"&amp;E2998,catClave,0))),"⚠ Subcategoría no corresponde",IF(AND(OR(P2998="Transferencia",P2998="Pago tarjeta"),K2998=""),"⚠ Falta cuenta destino",IF(AND(K2998&lt;&gt;"",P2998&lt;&gt;"Transferencia",P2998&lt;&gt;"Pago tarjeta"),"⚠ Destino solo aplica a transferencias",IF(AND(K2998&lt;&gt;"",K2998=Q2998),"⚠ Origen igual a destino",IF(AND(K2998&lt;&gt;"",ISNA(MATCH(K2998,ctaNombre,0))),"⚠ Destino no registrado",IF(AND(P2998="Pago tarjeta",AE2998&lt;&gt;"Tarjeta de crédito"),"⚠ El destino debe ser tarjeta de crédito",IF(AND(P2998="Gasto",E2998="Depósitos y retiros"),"⚠ Usa tipo Transferencia",IF(AND(P2998="Resultado trading",AD2998&lt;&gt;"Cuenta de trading"),"⚠ Usa una cuenta de trading",IF(AND(G2998&lt;=0,P2998&lt;&gt;"Ajuste",P2998&lt;&gt;"Resultado trading"),"⚠ El monto debe ser positivo","✓")))))))))))))))</f>
        <v/>
      </c>
      <c r="P2998" s="52">
        <f>IF(OR(B2998="",G2998=""),"",IF(C2998="","Gasto",C2998))</f>
        <v/>
      </c>
      <c r="Q2998" s="52">
        <f>IF(P2998="","",IF(J2998&lt;&gt;"",J2998,CuentaPred&amp;""))</f>
        <v/>
      </c>
      <c r="R2998" s="52">
        <f>IF(P2998="","",IF(ISNUMBER(I2998),I2998,TasaUSD))</f>
        <v/>
      </c>
      <c r="S2998" s="53">
        <f>IF(P2998="","",IF(H2998="USD",G2998*R2998,G2998))</f>
        <v/>
      </c>
      <c r="T2998" s="53">
        <f>IF(P2998="","",IF(H2998="USD",G2998,IF(R2998&gt;0,G2998/R2998,0)))</f>
        <v/>
      </c>
      <c r="U2998" s="53">
        <f>IF(P2998="","",IF(P2998="Gasto",S2998,IF(P2998="Reembolso",-S2998,0)))</f>
        <v/>
      </c>
      <c r="V2998" s="53">
        <f>IF(P2998="","",IF(P2998="Ingreso",S2998,0))</f>
        <v/>
      </c>
      <c r="W2998" s="53">
        <f>IF(P2998="","",IF(P2998="Resultado trading",S2998,0))</f>
        <v/>
      </c>
      <c r="X2998" s="52">
        <f>IF(OR(P2998="Gasto",P2998="Reembolso"),IF(M2998&lt;&gt;"",M2998,IFERROR(INDEX(catClasif,MATCH(D2998&amp;"|"&amp;E2998,catClave,0))&amp;"","Variable")),"")</f>
        <v/>
      </c>
      <c r="Y2998" s="52">
        <f>IF(P2998="","",IFERROR(INDEX(catGrupo,MATCH(D2998&amp;"|"&amp;E2998,catClave,0))&amp;"",""))</f>
        <v/>
      </c>
      <c r="Z2998" s="52">
        <f>IF(P2998="","",WEEKDAY(B2998,2))</f>
        <v/>
      </c>
      <c r="AA2998" s="52">
        <f>IF(P2998="","",IF(AND(P2998="Gasto",X2998="Variable",D2998&lt;&gt;catTrading,S2998&gt;0,S2998&lt;=Umbral),1,0))</f>
        <v/>
      </c>
      <c r="AB2998" s="52">
        <f>IF(OR(P2998="",Q2998=""),"",IFERROR(IF(INDEX(ctaVinc,MATCH(Q2998,ctaNombre,0))&amp;""&lt;&gt;"",INDEX(ctaVinc,MATCH(Q2998,ctaNombre,0))&amp;"",Q2998),Q2998))</f>
        <v/>
      </c>
      <c r="AC2998" s="52">
        <f>IF(OR(K2998="",AND(P2998&lt;&gt;"Transferencia",P2998&lt;&gt;"Pago tarjeta")),"",IFERROR(IF(INDEX(ctaVinc,MATCH(K2998,ctaNombre,0))&amp;""&lt;&gt;"",INDEX(ctaVinc,MATCH(K2998,ctaNombre,0))&amp;"",K2998),K2998))</f>
        <v/>
      </c>
      <c r="AD2998" s="52">
        <f>IF(AB2998="","",IFERROR(INDEX(ctaTipo,MATCH(AB2998,ctaNombre,0))&amp;"",""))</f>
        <v/>
      </c>
      <c r="AE2998" s="52">
        <f>IF(AC2998="","",IFERROR(INDEX(ctaTipo,MATCH(AC2998,ctaNombre,0))&amp;"",""))</f>
        <v/>
      </c>
      <c r="AF2998" s="53">
        <f>IF(OR(P2998="",AB2998=""),"",IF(OR(P2998="Gasto",P2998="Transferencia",P2998="Pago tarjeta"),-1,1)*IF(IFERROR(INDEX(ctaMoneda,MATCH(AB2998,ctaNombre,0))&amp;"","DOP")="USD",T2998,S2998))</f>
        <v/>
      </c>
      <c r="AG2998" s="53">
        <f>IF(AC2998="","",IF(IFERROR(INDEX(ctaMoneda,MATCH(AC2998,ctaNombre,0))&amp;"","DOP")="USD",T2998,S2998))</f>
        <v/>
      </c>
      <c r="AH2998" s="53">
        <f>IF(P2998="","",IF(AND(AD2998&lt;&gt;"",COUNTIFS(tcTipo,AD2998,tcLiq,"Sí")&gt;0),IF(OR(P2998="Gasto",P2998="Transferencia",P2998="Pago tarjeta"),-1,1)*S2998,0)+IF(AND(AE2998&lt;&gt;"",COUNTIFS(tcTipo,AE2998,tcLiq,"Sí")&gt;0),S2998,0))</f>
        <v/>
      </c>
      <c r="AI2998" s="52">
        <f>IF(OR(L2998="",P2998=""),"",IF(COUNTIFS(L$6:L2998,L2998,P$6:P2998,"?*")=1,MAX(AI$5:AI2997)+1,""))</f>
        <v/>
      </c>
    </row>
    <row r="2999">
      <c r="B2999" s="47" t="n"/>
      <c r="C2999" s="48" t="n"/>
      <c r="D2999" s="48" t="n"/>
      <c r="E2999" s="48" t="n"/>
      <c r="F2999" s="48" t="n"/>
      <c r="G2999" s="49" t="n"/>
      <c r="H2999" s="48" t="n"/>
      <c r="I2999" s="50" t="n"/>
      <c r="J2999" s="48" t="n"/>
      <c r="K2999" s="48" t="n"/>
      <c r="L2999" s="48" t="n"/>
      <c r="M2999" s="48" t="n"/>
      <c r="N2999" s="48" t="n"/>
      <c r="O2999" s="51">
        <f>IF(AND(B2999="",G2999="",C2999="",D2999="",J2999=""),"",IF(B2999="","⚠ Falta fecha",IF(G2999="","⚠ Falta monto",IF(Q2999="","⚠ Falta cuenta",IF(ISNA(MATCH(Q2999,ctaNombre,0)),"⚠ Cuenta no registrada",IF(AND(OR(P2999="Gasto",P2999="Reembolso"),D2999=""),"⚠ Falta categoría",IF(AND(D2999&lt;&gt;"",E2999&lt;&gt;"",ISNA(MATCH(D2999&amp;"|"&amp;E2999,catClave,0))),"⚠ Subcategoría no corresponde",IF(AND(OR(P2999="Transferencia",P2999="Pago tarjeta"),K2999=""),"⚠ Falta cuenta destino",IF(AND(K2999&lt;&gt;"",P2999&lt;&gt;"Transferencia",P2999&lt;&gt;"Pago tarjeta"),"⚠ Destino solo aplica a transferencias",IF(AND(K2999&lt;&gt;"",K2999=Q2999),"⚠ Origen igual a destino",IF(AND(K2999&lt;&gt;"",ISNA(MATCH(K2999,ctaNombre,0))),"⚠ Destino no registrado",IF(AND(P2999="Pago tarjeta",AE2999&lt;&gt;"Tarjeta de crédito"),"⚠ El destino debe ser tarjeta de crédito",IF(AND(P2999="Gasto",E2999="Depósitos y retiros"),"⚠ Usa tipo Transferencia",IF(AND(P2999="Resultado trading",AD2999&lt;&gt;"Cuenta de trading"),"⚠ Usa una cuenta de trading",IF(AND(G2999&lt;=0,P2999&lt;&gt;"Ajuste",P2999&lt;&gt;"Resultado trading"),"⚠ El monto debe ser positivo","✓")))))))))))))))</f>
        <v/>
      </c>
      <c r="P2999" s="52">
        <f>IF(OR(B2999="",G2999=""),"",IF(C2999="","Gasto",C2999))</f>
        <v/>
      </c>
      <c r="Q2999" s="52">
        <f>IF(P2999="","",IF(J2999&lt;&gt;"",J2999,CuentaPred&amp;""))</f>
        <v/>
      </c>
      <c r="R2999" s="52">
        <f>IF(P2999="","",IF(ISNUMBER(I2999),I2999,TasaUSD))</f>
        <v/>
      </c>
      <c r="S2999" s="53">
        <f>IF(P2999="","",IF(H2999="USD",G2999*R2999,G2999))</f>
        <v/>
      </c>
      <c r="T2999" s="53">
        <f>IF(P2999="","",IF(H2999="USD",G2999,IF(R2999&gt;0,G2999/R2999,0)))</f>
        <v/>
      </c>
      <c r="U2999" s="53">
        <f>IF(P2999="","",IF(P2999="Gasto",S2999,IF(P2999="Reembolso",-S2999,0)))</f>
        <v/>
      </c>
      <c r="V2999" s="53">
        <f>IF(P2999="","",IF(P2999="Ingreso",S2999,0))</f>
        <v/>
      </c>
      <c r="W2999" s="53">
        <f>IF(P2999="","",IF(P2999="Resultado trading",S2999,0))</f>
        <v/>
      </c>
      <c r="X2999" s="52">
        <f>IF(OR(P2999="Gasto",P2999="Reembolso"),IF(M2999&lt;&gt;"",M2999,IFERROR(INDEX(catClasif,MATCH(D2999&amp;"|"&amp;E2999,catClave,0))&amp;"","Variable")),"")</f>
        <v/>
      </c>
      <c r="Y2999" s="52">
        <f>IF(P2999="","",IFERROR(INDEX(catGrupo,MATCH(D2999&amp;"|"&amp;E2999,catClave,0))&amp;"",""))</f>
        <v/>
      </c>
      <c r="Z2999" s="52">
        <f>IF(P2999="","",WEEKDAY(B2999,2))</f>
        <v/>
      </c>
      <c r="AA2999" s="52">
        <f>IF(P2999="","",IF(AND(P2999="Gasto",X2999="Variable",D2999&lt;&gt;catTrading,S2999&gt;0,S2999&lt;=Umbral),1,0))</f>
        <v/>
      </c>
      <c r="AB2999" s="52">
        <f>IF(OR(P2999="",Q2999=""),"",IFERROR(IF(INDEX(ctaVinc,MATCH(Q2999,ctaNombre,0))&amp;""&lt;&gt;"",INDEX(ctaVinc,MATCH(Q2999,ctaNombre,0))&amp;"",Q2999),Q2999))</f>
        <v/>
      </c>
      <c r="AC2999" s="52">
        <f>IF(OR(K2999="",AND(P2999&lt;&gt;"Transferencia",P2999&lt;&gt;"Pago tarjeta")),"",IFERROR(IF(INDEX(ctaVinc,MATCH(K2999,ctaNombre,0))&amp;""&lt;&gt;"",INDEX(ctaVinc,MATCH(K2999,ctaNombre,0))&amp;"",K2999),K2999))</f>
        <v/>
      </c>
      <c r="AD2999" s="52">
        <f>IF(AB2999="","",IFERROR(INDEX(ctaTipo,MATCH(AB2999,ctaNombre,0))&amp;"",""))</f>
        <v/>
      </c>
      <c r="AE2999" s="52">
        <f>IF(AC2999="","",IFERROR(INDEX(ctaTipo,MATCH(AC2999,ctaNombre,0))&amp;"",""))</f>
        <v/>
      </c>
      <c r="AF2999" s="53">
        <f>IF(OR(P2999="",AB2999=""),"",IF(OR(P2999="Gasto",P2999="Transferencia",P2999="Pago tarjeta"),-1,1)*IF(IFERROR(INDEX(ctaMoneda,MATCH(AB2999,ctaNombre,0))&amp;"","DOP")="USD",T2999,S2999))</f>
        <v/>
      </c>
      <c r="AG2999" s="53">
        <f>IF(AC2999="","",IF(IFERROR(INDEX(ctaMoneda,MATCH(AC2999,ctaNombre,0))&amp;"","DOP")="USD",T2999,S2999))</f>
        <v/>
      </c>
      <c r="AH2999" s="53">
        <f>IF(P2999="","",IF(AND(AD2999&lt;&gt;"",COUNTIFS(tcTipo,AD2999,tcLiq,"Sí")&gt;0),IF(OR(P2999="Gasto",P2999="Transferencia",P2999="Pago tarjeta"),-1,1)*S2999,0)+IF(AND(AE2999&lt;&gt;"",COUNTIFS(tcTipo,AE2999,tcLiq,"Sí")&gt;0),S2999,0))</f>
        <v/>
      </c>
      <c r="AI2999" s="52">
        <f>IF(OR(L2999="",P2999=""),"",IF(COUNTIFS(L$6:L2999,L2999,P$6:P2999,"?*")=1,MAX(AI$5:AI2998)+1,""))</f>
        <v/>
      </c>
    </row>
    <row r="3000">
      <c r="B3000" s="47" t="n"/>
      <c r="C3000" s="48" t="n"/>
      <c r="D3000" s="48" t="n"/>
      <c r="E3000" s="48" t="n"/>
      <c r="F3000" s="48" t="n"/>
      <c r="G3000" s="49" t="n"/>
      <c r="H3000" s="48" t="n"/>
      <c r="I3000" s="50" t="n"/>
      <c r="J3000" s="48" t="n"/>
      <c r="K3000" s="48" t="n"/>
      <c r="L3000" s="48" t="n"/>
      <c r="M3000" s="48" t="n"/>
      <c r="N3000" s="48" t="n"/>
      <c r="O3000" s="51">
        <f>IF(AND(B3000="",G3000="",C3000="",D3000="",J3000=""),"",IF(B3000="","⚠ Falta fecha",IF(G3000="","⚠ Falta monto",IF(Q3000="","⚠ Falta cuenta",IF(ISNA(MATCH(Q3000,ctaNombre,0)),"⚠ Cuenta no registrada",IF(AND(OR(P3000="Gasto",P3000="Reembolso"),D3000=""),"⚠ Falta categoría",IF(AND(D3000&lt;&gt;"",E3000&lt;&gt;"",ISNA(MATCH(D3000&amp;"|"&amp;E3000,catClave,0))),"⚠ Subcategoría no corresponde",IF(AND(OR(P3000="Transferencia",P3000="Pago tarjeta"),K3000=""),"⚠ Falta cuenta destino",IF(AND(K3000&lt;&gt;"",P3000&lt;&gt;"Transferencia",P3000&lt;&gt;"Pago tarjeta"),"⚠ Destino solo aplica a transferencias",IF(AND(K3000&lt;&gt;"",K3000=Q3000),"⚠ Origen igual a destino",IF(AND(K3000&lt;&gt;"",ISNA(MATCH(K3000,ctaNombre,0))),"⚠ Destino no registrado",IF(AND(P3000="Pago tarjeta",AE3000&lt;&gt;"Tarjeta de crédito"),"⚠ El destino debe ser tarjeta de crédito",IF(AND(P3000="Gasto",E3000="Depósitos y retiros"),"⚠ Usa tipo Transferencia",IF(AND(P3000="Resultado trading",AD3000&lt;&gt;"Cuenta de trading"),"⚠ Usa una cuenta de trading",IF(AND(G3000&lt;=0,P3000&lt;&gt;"Ajuste",P3000&lt;&gt;"Resultado trading"),"⚠ El monto debe ser positivo","✓")))))))))))))))</f>
        <v/>
      </c>
      <c r="P3000" s="52">
        <f>IF(OR(B3000="",G3000=""),"",IF(C3000="","Gasto",C3000))</f>
        <v/>
      </c>
      <c r="Q3000" s="52">
        <f>IF(P3000="","",IF(J3000&lt;&gt;"",J3000,CuentaPred&amp;""))</f>
        <v/>
      </c>
      <c r="R3000" s="52">
        <f>IF(P3000="","",IF(ISNUMBER(I3000),I3000,TasaUSD))</f>
        <v/>
      </c>
      <c r="S3000" s="53">
        <f>IF(P3000="","",IF(H3000="USD",G3000*R3000,G3000))</f>
        <v/>
      </c>
      <c r="T3000" s="53">
        <f>IF(P3000="","",IF(H3000="USD",G3000,IF(R3000&gt;0,G3000/R3000,0)))</f>
        <v/>
      </c>
      <c r="U3000" s="53">
        <f>IF(P3000="","",IF(P3000="Gasto",S3000,IF(P3000="Reembolso",-S3000,0)))</f>
        <v/>
      </c>
      <c r="V3000" s="53">
        <f>IF(P3000="","",IF(P3000="Ingreso",S3000,0))</f>
        <v/>
      </c>
      <c r="W3000" s="53">
        <f>IF(P3000="","",IF(P3000="Resultado trading",S3000,0))</f>
        <v/>
      </c>
      <c r="X3000" s="52">
        <f>IF(OR(P3000="Gasto",P3000="Reembolso"),IF(M3000&lt;&gt;"",M3000,IFERROR(INDEX(catClasif,MATCH(D3000&amp;"|"&amp;E3000,catClave,0))&amp;"","Variable")),"")</f>
        <v/>
      </c>
      <c r="Y3000" s="52">
        <f>IF(P3000="","",IFERROR(INDEX(catGrupo,MATCH(D3000&amp;"|"&amp;E3000,catClave,0))&amp;"",""))</f>
        <v/>
      </c>
      <c r="Z3000" s="52">
        <f>IF(P3000="","",WEEKDAY(B3000,2))</f>
        <v/>
      </c>
      <c r="AA3000" s="52">
        <f>IF(P3000="","",IF(AND(P3000="Gasto",X3000="Variable",D3000&lt;&gt;catTrading,S3000&gt;0,S3000&lt;=Umbral),1,0))</f>
        <v/>
      </c>
      <c r="AB3000" s="52">
        <f>IF(OR(P3000="",Q3000=""),"",IFERROR(IF(INDEX(ctaVinc,MATCH(Q3000,ctaNombre,0))&amp;""&lt;&gt;"",INDEX(ctaVinc,MATCH(Q3000,ctaNombre,0))&amp;"",Q3000),Q3000))</f>
        <v/>
      </c>
      <c r="AC3000" s="52">
        <f>IF(OR(K3000="",AND(P3000&lt;&gt;"Transferencia",P3000&lt;&gt;"Pago tarjeta")),"",IFERROR(IF(INDEX(ctaVinc,MATCH(K3000,ctaNombre,0))&amp;""&lt;&gt;"",INDEX(ctaVinc,MATCH(K3000,ctaNombre,0))&amp;"",K3000),K3000))</f>
        <v/>
      </c>
      <c r="AD3000" s="52">
        <f>IF(AB3000="","",IFERROR(INDEX(ctaTipo,MATCH(AB3000,ctaNombre,0))&amp;"",""))</f>
        <v/>
      </c>
      <c r="AE3000" s="52">
        <f>IF(AC3000="","",IFERROR(INDEX(ctaTipo,MATCH(AC3000,ctaNombre,0))&amp;"",""))</f>
        <v/>
      </c>
      <c r="AF3000" s="53">
        <f>IF(OR(P3000="",AB3000=""),"",IF(OR(P3000="Gasto",P3000="Transferencia",P3000="Pago tarjeta"),-1,1)*IF(IFERROR(INDEX(ctaMoneda,MATCH(AB3000,ctaNombre,0))&amp;"","DOP")="USD",T3000,S3000))</f>
        <v/>
      </c>
      <c r="AG3000" s="53">
        <f>IF(AC3000="","",IF(IFERROR(INDEX(ctaMoneda,MATCH(AC3000,ctaNombre,0))&amp;"","DOP")="USD",T3000,S3000))</f>
        <v/>
      </c>
      <c r="AH3000" s="53">
        <f>IF(P3000="","",IF(AND(AD3000&lt;&gt;"",COUNTIFS(tcTipo,AD3000,tcLiq,"Sí")&gt;0),IF(OR(P3000="Gasto",P3000="Transferencia",P3000="Pago tarjeta"),-1,1)*S3000,0)+IF(AND(AE3000&lt;&gt;"",COUNTIFS(tcTipo,AE3000,tcLiq,"Sí")&gt;0),S3000,0))</f>
        <v/>
      </c>
      <c r="AI3000" s="52">
        <f>IF(OR(L3000="",P3000=""),"",IF(COUNTIFS(L$6:L3000,L3000,P$6:P3000,"?*")=1,MAX(AI$5:AI2999)+1,""))</f>
        <v/>
      </c>
    </row>
    <row r="3001">
      <c r="B3001" s="47" t="n"/>
      <c r="C3001" s="48" t="n"/>
      <c r="D3001" s="48" t="n"/>
      <c r="E3001" s="48" t="n"/>
      <c r="F3001" s="48" t="n"/>
      <c r="G3001" s="49" t="n"/>
      <c r="H3001" s="48" t="n"/>
      <c r="I3001" s="50" t="n"/>
      <c r="J3001" s="48" t="n"/>
      <c r="K3001" s="48" t="n"/>
      <c r="L3001" s="48" t="n"/>
      <c r="M3001" s="48" t="n"/>
      <c r="N3001" s="48" t="n"/>
      <c r="O3001" s="51">
        <f>IF(AND(B3001="",G3001="",C3001="",D3001="",J3001=""),"",IF(B3001="","⚠ Falta fecha",IF(G3001="","⚠ Falta monto",IF(Q3001="","⚠ Falta cuenta",IF(ISNA(MATCH(Q3001,ctaNombre,0)),"⚠ Cuenta no registrada",IF(AND(OR(P3001="Gasto",P3001="Reembolso"),D3001=""),"⚠ Falta categoría",IF(AND(D3001&lt;&gt;"",E3001&lt;&gt;"",ISNA(MATCH(D3001&amp;"|"&amp;E3001,catClave,0))),"⚠ Subcategoría no corresponde",IF(AND(OR(P3001="Transferencia",P3001="Pago tarjeta"),K3001=""),"⚠ Falta cuenta destino",IF(AND(K3001&lt;&gt;"",P3001&lt;&gt;"Transferencia",P3001&lt;&gt;"Pago tarjeta"),"⚠ Destino solo aplica a transferencias",IF(AND(K3001&lt;&gt;"",K3001=Q3001),"⚠ Origen igual a destino",IF(AND(K3001&lt;&gt;"",ISNA(MATCH(K3001,ctaNombre,0))),"⚠ Destino no registrado",IF(AND(P3001="Pago tarjeta",AE3001&lt;&gt;"Tarjeta de crédito"),"⚠ El destino debe ser tarjeta de crédito",IF(AND(P3001="Gasto",E3001="Depósitos y retiros"),"⚠ Usa tipo Transferencia",IF(AND(P3001="Resultado trading",AD3001&lt;&gt;"Cuenta de trading"),"⚠ Usa una cuenta de trading",IF(AND(G3001&lt;=0,P3001&lt;&gt;"Ajuste",P3001&lt;&gt;"Resultado trading"),"⚠ El monto debe ser positivo","✓")))))))))))))))</f>
        <v/>
      </c>
      <c r="P3001" s="52">
        <f>IF(OR(B3001="",G3001=""),"",IF(C3001="","Gasto",C3001))</f>
        <v/>
      </c>
      <c r="Q3001" s="52">
        <f>IF(P3001="","",IF(J3001&lt;&gt;"",J3001,CuentaPred&amp;""))</f>
        <v/>
      </c>
      <c r="R3001" s="52">
        <f>IF(P3001="","",IF(ISNUMBER(I3001),I3001,TasaUSD))</f>
        <v/>
      </c>
      <c r="S3001" s="53">
        <f>IF(P3001="","",IF(H3001="USD",G3001*R3001,G3001))</f>
        <v/>
      </c>
      <c r="T3001" s="53">
        <f>IF(P3001="","",IF(H3001="USD",G3001,IF(R3001&gt;0,G3001/R3001,0)))</f>
        <v/>
      </c>
      <c r="U3001" s="53">
        <f>IF(P3001="","",IF(P3001="Gasto",S3001,IF(P3001="Reembolso",-S3001,0)))</f>
        <v/>
      </c>
      <c r="V3001" s="53">
        <f>IF(P3001="","",IF(P3001="Ingreso",S3001,0))</f>
        <v/>
      </c>
      <c r="W3001" s="53">
        <f>IF(P3001="","",IF(P3001="Resultado trading",S3001,0))</f>
        <v/>
      </c>
      <c r="X3001" s="52">
        <f>IF(OR(P3001="Gasto",P3001="Reembolso"),IF(M3001&lt;&gt;"",M3001,IFERROR(INDEX(catClasif,MATCH(D3001&amp;"|"&amp;E3001,catClave,0))&amp;"","Variable")),"")</f>
        <v/>
      </c>
      <c r="Y3001" s="52">
        <f>IF(P3001="","",IFERROR(INDEX(catGrupo,MATCH(D3001&amp;"|"&amp;E3001,catClave,0))&amp;"",""))</f>
        <v/>
      </c>
      <c r="Z3001" s="52">
        <f>IF(P3001="","",WEEKDAY(B3001,2))</f>
        <v/>
      </c>
      <c r="AA3001" s="52">
        <f>IF(P3001="","",IF(AND(P3001="Gasto",X3001="Variable",D3001&lt;&gt;catTrading,S3001&gt;0,S3001&lt;=Umbral),1,0))</f>
        <v/>
      </c>
      <c r="AB3001" s="52">
        <f>IF(OR(P3001="",Q3001=""),"",IFERROR(IF(INDEX(ctaVinc,MATCH(Q3001,ctaNombre,0))&amp;""&lt;&gt;"",INDEX(ctaVinc,MATCH(Q3001,ctaNombre,0))&amp;"",Q3001),Q3001))</f>
        <v/>
      </c>
      <c r="AC3001" s="52">
        <f>IF(OR(K3001="",AND(P3001&lt;&gt;"Transferencia",P3001&lt;&gt;"Pago tarjeta")),"",IFERROR(IF(INDEX(ctaVinc,MATCH(K3001,ctaNombre,0))&amp;""&lt;&gt;"",INDEX(ctaVinc,MATCH(K3001,ctaNombre,0))&amp;"",K3001),K3001))</f>
        <v/>
      </c>
      <c r="AD3001" s="52">
        <f>IF(AB3001="","",IFERROR(INDEX(ctaTipo,MATCH(AB3001,ctaNombre,0))&amp;"",""))</f>
        <v/>
      </c>
      <c r="AE3001" s="52">
        <f>IF(AC3001="","",IFERROR(INDEX(ctaTipo,MATCH(AC3001,ctaNombre,0))&amp;"",""))</f>
        <v/>
      </c>
      <c r="AF3001" s="53">
        <f>IF(OR(P3001="",AB3001=""),"",IF(OR(P3001="Gasto",P3001="Transferencia",P3001="Pago tarjeta"),-1,1)*IF(IFERROR(INDEX(ctaMoneda,MATCH(AB3001,ctaNombre,0))&amp;"","DOP")="USD",T3001,S3001))</f>
        <v/>
      </c>
      <c r="AG3001" s="53">
        <f>IF(AC3001="","",IF(IFERROR(INDEX(ctaMoneda,MATCH(AC3001,ctaNombre,0))&amp;"","DOP")="USD",T3001,S3001))</f>
        <v/>
      </c>
      <c r="AH3001" s="53">
        <f>IF(P3001="","",IF(AND(AD3001&lt;&gt;"",COUNTIFS(tcTipo,AD3001,tcLiq,"Sí")&gt;0),IF(OR(P3001="Gasto",P3001="Transferencia",P3001="Pago tarjeta"),-1,1)*S3001,0)+IF(AND(AE3001&lt;&gt;"",COUNTIFS(tcTipo,AE3001,tcLiq,"Sí")&gt;0),S3001,0))</f>
        <v/>
      </c>
      <c r="AI3001" s="52">
        <f>IF(OR(L3001="",P3001=""),"",IF(COUNTIFS(L$6:L3001,L3001,P$6:P3001,"?*")=1,MAX(AI$5:AI3000)+1,""))</f>
        <v/>
      </c>
    </row>
    <row r="3002">
      <c r="B3002" s="47" t="n"/>
      <c r="C3002" s="48" t="n"/>
      <c r="D3002" s="48" t="n"/>
      <c r="E3002" s="48" t="n"/>
      <c r="F3002" s="48" t="n"/>
      <c r="G3002" s="49" t="n"/>
      <c r="H3002" s="48" t="n"/>
      <c r="I3002" s="50" t="n"/>
      <c r="J3002" s="48" t="n"/>
      <c r="K3002" s="48" t="n"/>
      <c r="L3002" s="48" t="n"/>
      <c r="M3002" s="48" t="n"/>
      <c r="N3002" s="48" t="n"/>
      <c r="O3002" s="51">
        <f>IF(AND(B3002="",G3002="",C3002="",D3002="",J3002=""),"",IF(B3002="","⚠ Falta fecha",IF(G3002="","⚠ Falta monto",IF(Q3002="","⚠ Falta cuenta",IF(ISNA(MATCH(Q3002,ctaNombre,0)),"⚠ Cuenta no registrada",IF(AND(OR(P3002="Gasto",P3002="Reembolso"),D3002=""),"⚠ Falta categoría",IF(AND(D3002&lt;&gt;"",E3002&lt;&gt;"",ISNA(MATCH(D3002&amp;"|"&amp;E3002,catClave,0))),"⚠ Subcategoría no corresponde",IF(AND(OR(P3002="Transferencia",P3002="Pago tarjeta"),K3002=""),"⚠ Falta cuenta destino",IF(AND(K3002&lt;&gt;"",P3002&lt;&gt;"Transferencia",P3002&lt;&gt;"Pago tarjeta"),"⚠ Destino solo aplica a transferencias",IF(AND(K3002&lt;&gt;"",K3002=Q3002),"⚠ Origen igual a destino",IF(AND(K3002&lt;&gt;"",ISNA(MATCH(K3002,ctaNombre,0))),"⚠ Destino no registrado",IF(AND(P3002="Pago tarjeta",AE3002&lt;&gt;"Tarjeta de crédito"),"⚠ El destino debe ser tarjeta de crédito",IF(AND(P3002="Gasto",E3002="Depósitos y retiros"),"⚠ Usa tipo Transferencia",IF(AND(P3002="Resultado trading",AD3002&lt;&gt;"Cuenta de trading"),"⚠ Usa una cuenta de trading",IF(AND(G3002&lt;=0,P3002&lt;&gt;"Ajuste",P3002&lt;&gt;"Resultado trading"),"⚠ El monto debe ser positivo","✓")))))))))))))))</f>
        <v/>
      </c>
      <c r="P3002" s="52">
        <f>IF(OR(B3002="",G3002=""),"",IF(C3002="","Gasto",C3002))</f>
        <v/>
      </c>
      <c r="Q3002" s="52">
        <f>IF(P3002="","",IF(J3002&lt;&gt;"",J3002,CuentaPred&amp;""))</f>
        <v/>
      </c>
      <c r="R3002" s="52">
        <f>IF(P3002="","",IF(ISNUMBER(I3002),I3002,TasaUSD))</f>
        <v/>
      </c>
      <c r="S3002" s="53">
        <f>IF(P3002="","",IF(H3002="USD",G3002*R3002,G3002))</f>
        <v/>
      </c>
      <c r="T3002" s="53">
        <f>IF(P3002="","",IF(H3002="USD",G3002,IF(R3002&gt;0,G3002/R3002,0)))</f>
        <v/>
      </c>
      <c r="U3002" s="53">
        <f>IF(P3002="","",IF(P3002="Gasto",S3002,IF(P3002="Reembolso",-S3002,0)))</f>
        <v/>
      </c>
      <c r="V3002" s="53">
        <f>IF(P3002="","",IF(P3002="Ingreso",S3002,0))</f>
        <v/>
      </c>
      <c r="W3002" s="53">
        <f>IF(P3002="","",IF(P3002="Resultado trading",S3002,0))</f>
        <v/>
      </c>
      <c r="X3002" s="52">
        <f>IF(OR(P3002="Gasto",P3002="Reembolso"),IF(M3002&lt;&gt;"",M3002,IFERROR(INDEX(catClasif,MATCH(D3002&amp;"|"&amp;E3002,catClave,0))&amp;"","Variable")),"")</f>
        <v/>
      </c>
      <c r="Y3002" s="52">
        <f>IF(P3002="","",IFERROR(INDEX(catGrupo,MATCH(D3002&amp;"|"&amp;E3002,catClave,0))&amp;"",""))</f>
        <v/>
      </c>
      <c r="Z3002" s="52">
        <f>IF(P3002="","",WEEKDAY(B3002,2))</f>
        <v/>
      </c>
      <c r="AA3002" s="52">
        <f>IF(P3002="","",IF(AND(P3002="Gasto",X3002="Variable",D3002&lt;&gt;catTrading,S3002&gt;0,S3002&lt;=Umbral),1,0))</f>
        <v/>
      </c>
      <c r="AB3002" s="52">
        <f>IF(OR(P3002="",Q3002=""),"",IFERROR(IF(INDEX(ctaVinc,MATCH(Q3002,ctaNombre,0))&amp;""&lt;&gt;"",INDEX(ctaVinc,MATCH(Q3002,ctaNombre,0))&amp;"",Q3002),Q3002))</f>
        <v/>
      </c>
      <c r="AC3002" s="52">
        <f>IF(OR(K3002="",AND(P3002&lt;&gt;"Transferencia",P3002&lt;&gt;"Pago tarjeta")),"",IFERROR(IF(INDEX(ctaVinc,MATCH(K3002,ctaNombre,0))&amp;""&lt;&gt;"",INDEX(ctaVinc,MATCH(K3002,ctaNombre,0))&amp;"",K3002),K3002))</f>
        <v/>
      </c>
      <c r="AD3002" s="52">
        <f>IF(AB3002="","",IFERROR(INDEX(ctaTipo,MATCH(AB3002,ctaNombre,0))&amp;"",""))</f>
        <v/>
      </c>
      <c r="AE3002" s="52">
        <f>IF(AC3002="","",IFERROR(INDEX(ctaTipo,MATCH(AC3002,ctaNombre,0))&amp;"",""))</f>
        <v/>
      </c>
      <c r="AF3002" s="53">
        <f>IF(OR(P3002="",AB3002=""),"",IF(OR(P3002="Gasto",P3002="Transferencia",P3002="Pago tarjeta"),-1,1)*IF(IFERROR(INDEX(ctaMoneda,MATCH(AB3002,ctaNombre,0))&amp;"","DOP")="USD",T3002,S3002))</f>
        <v/>
      </c>
      <c r="AG3002" s="53">
        <f>IF(AC3002="","",IF(IFERROR(INDEX(ctaMoneda,MATCH(AC3002,ctaNombre,0))&amp;"","DOP")="USD",T3002,S3002))</f>
        <v/>
      </c>
      <c r="AH3002" s="53">
        <f>IF(P3002="","",IF(AND(AD3002&lt;&gt;"",COUNTIFS(tcTipo,AD3002,tcLiq,"Sí")&gt;0),IF(OR(P3002="Gasto",P3002="Transferencia",P3002="Pago tarjeta"),-1,1)*S3002,0)+IF(AND(AE3002&lt;&gt;"",COUNTIFS(tcTipo,AE3002,tcLiq,"Sí")&gt;0),S3002,0))</f>
        <v/>
      </c>
      <c r="AI3002" s="52">
        <f>IF(OR(L3002="",P3002=""),"",IF(COUNTIFS(L$6:L3002,L3002,P$6:P3002,"?*")=1,MAX(AI$5:AI3001)+1,""))</f>
        <v/>
      </c>
    </row>
    <row r="3003">
      <c r="B3003" s="47" t="n"/>
      <c r="C3003" s="48" t="n"/>
      <c r="D3003" s="48" t="n"/>
      <c r="E3003" s="48" t="n"/>
      <c r="F3003" s="48" t="n"/>
      <c r="G3003" s="49" t="n"/>
      <c r="H3003" s="48" t="n"/>
      <c r="I3003" s="50" t="n"/>
      <c r="J3003" s="48" t="n"/>
      <c r="K3003" s="48" t="n"/>
      <c r="L3003" s="48" t="n"/>
      <c r="M3003" s="48" t="n"/>
      <c r="N3003" s="48" t="n"/>
      <c r="O3003" s="51">
        <f>IF(AND(B3003="",G3003="",C3003="",D3003="",J3003=""),"",IF(B3003="","⚠ Falta fecha",IF(G3003="","⚠ Falta monto",IF(Q3003="","⚠ Falta cuenta",IF(ISNA(MATCH(Q3003,ctaNombre,0)),"⚠ Cuenta no registrada",IF(AND(OR(P3003="Gasto",P3003="Reembolso"),D3003=""),"⚠ Falta categoría",IF(AND(D3003&lt;&gt;"",E3003&lt;&gt;"",ISNA(MATCH(D3003&amp;"|"&amp;E3003,catClave,0))),"⚠ Subcategoría no corresponde",IF(AND(OR(P3003="Transferencia",P3003="Pago tarjeta"),K3003=""),"⚠ Falta cuenta destino",IF(AND(K3003&lt;&gt;"",P3003&lt;&gt;"Transferencia",P3003&lt;&gt;"Pago tarjeta"),"⚠ Destino solo aplica a transferencias",IF(AND(K3003&lt;&gt;"",K3003=Q3003),"⚠ Origen igual a destino",IF(AND(K3003&lt;&gt;"",ISNA(MATCH(K3003,ctaNombre,0))),"⚠ Destino no registrado",IF(AND(P3003="Pago tarjeta",AE3003&lt;&gt;"Tarjeta de crédito"),"⚠ El destino debe ser tarjeta de crédito",IF(AND(P3003="Gasto",E3003="Depósitos y retiros"),"⚠ Usa tipo Transferencia",IF(AND(P3003="Resultado trading",AD3003&lt;&gt;"Cuenta de trading"),"⚠ Usa una cuenta de trading",IF(AND(G3003&lt;=0,P3003&lt;&gt;"Ajuste",P3003&lt;&gt;"Resultado trading"),"⚠ El monto debe ser positivo","✓")))))))))))))))</f>
        <v/>
      </c>
      <c r="P3003" s="52">
        <f>IF(OR(B3003="",G3003=""),"",IF(C3003="","Gasto",C3003))</f>
        <v/>
      </c>
      <c r="Q3003" s="52">
        <f>IF(P3003="","",IF(J3003&lt;&gt;"",J3003,CuentaPred&amp;""))</f>
        <v/>
      </c>
      <c r="R3003" s="52">
        <f>IF(P3003="","",IF(ISNUMBER(I3003),I3003,TasaUSD))</f>
        <v/>
      </c>
      <c r="S3003" s="53">
        <f>IF(P3003="","",IF(H3003="USD",G3003*R3003,G3003))</f>
        <v/>
      </c>
      <c r="T3003" s="53">
        <f>IF(P3003="","",IF(H3003="USD",G3003,IF(R3003&gt;0,G3003/R3003,0)))</f>
        <v/>
      </c>
      <c r="U3003" s="53">
        <f>IF(P3003="","",IF(P3003="Gasto",S3003,IF(P3003="Reembolso",-S3003,0)))</f>
        <v/>
      </c>
      <c r="V3003" s="53">
        <f>IF(P3003="","",IF(P3003="Ingreso",S3003,0))</f>
        <v/>
      </c>
      <c r="W3003" s="53">
        <f>IF(P3003="","",IF(P3003="Resultado trading",S3003,0))</f>
        <v/>
      </c>
      <c r="X3003" s="52">
        <f>IF(OR(P3003="Gasto",P3003="Reembolso"),IF(M3003&lt;&gt;"",M3003,IFERROR(INDEX(catClasif,MATCH(D3003&amp;"|"&amp;E3003,catClave,0))&amp;"","Variable")),"")</f>
        <v/>
      </c>
      <c r="Y3003" s="52">
        <f>IF(P3003="","",IFERROR(INDEX(catGrupo,MATCH(D3003&amp;"|"&amp;E3003,catClave,0))&amp;"",""))</f>
        <v/>
      </c>
      <c r="Z3003" s="52">
        <f>IF(P3003="","",WEEKDAY(B3003,2))</f>
        <v/>
      </c>
      <c r="AA3003" s="52">
        <f>IF(P3003="","",IF(AND(P3003="Gasto",X3003="Variable",D3003&lt;&gt;catTrading,S3003&gt;0,S3003&lt;=Umbral),1,0))</f>
        <v/>
      </c>
      <c r="AB3003" s="52">
        <f>IF(OR(P3003="",Q3003=""),"",IFERROR(IF(INDEX(ctaVinc,MATCH(Q3003,ctaNombre,0))&amp;""&lt;&gt;"",INDEX(ctaVinc,MATCH(Q3003,ctaNombre,0))&amp;"",Q3003),Q3003))</f>
        <v/>
      </c>
      <c r="AC3003" s="52">
        <f>IF(OR(K3003="",AND(P3003&lt;&gt;"Transferencia",P3003&lt;&gt;"Pago tarjeta")),"",IFERROR(IF(INDEX(ctaVinc,MATCH(K3003,ctaNombre,0))&amp;""&lt;&gt;"",INDEX(ctaVinc,MATCH(K3003,ctaNombre,0))&amp;"",K3003),K3003))</f>
        <v/>
      </c>
      <c r="AD3003" s="52">
        <f>IF(AB3003="","",IFERROR(INDEX(ctaTipo,MATCH(AB3003,ctaNombre,0))&amp;"",""))</f>
        <v/>
      </c>
      <c r="AE3003" s="52">
        <f>IF(AC3003="","",IFERROR(INDEX(ctaTipo,MATCH(AC3003,ctaNombre,0))&amp;"",""))</f>
        <v/>
      </c>
      <c r="AF3003" s="53">
        <f>IF(OR(P3003="",AB3003=""),"",IF(OR(P3003="Gasto",P3003="Transferencia",P3003="Pago tarjeta"),-1,1)*IF(IFERROR(INDEX(ctaMoneda,MATCH(AB3003,ctaNombre,0))&amp;"","DOP")="USD",T3003,S3003))</f>
        <v/>
      </c>
      <c r="AG3003" s="53">
        <f>IF(AC3003="","",IF(IFERROR(INDEX(ctaMoneda,MATCH(AC3003,ctaNombre,0))&amp;"","DOP")="USD",T3003,S3003))</f>
        <v/>
      </c>
      <c r="AH3003" s="53">
        <f>IF(P3003="","",IF(AND(AD3003&lt;&gt;"",COUNTIFS(tcTipo,AD3003,tcLiq,"Sí")&gt;0),IF(OR(P3003="Gasto",P3003="Transferencia",P3003="Pago tarjeta"),-1,1)*S3003,0)+IF(AND(AE3003&lt;&gt;"",COUNTIFS(tcTipo,AE3003,tcLiq,"Sí")&gt;0),S3003,0))</f>
        <v/>
      </c>
      <c r="AI3003" s="52">
        <f>IF(OR(L3003="",P3003=""),"",IF(COUNTIFS(L$6:L3003,L3003,P$6:P3003,"?*")=1,MAX(AI$5:AI3002)+1,""))</f>
        <v/>
      </c>
    </row>
    <row r="3004">
      <c r="B3004" s="47" t="n"/>
      <c r="C3004" s="48" t="n"/>
      <c r="D3004" s="48" t="n"/>
      <c r="E3004" s="48" t="n"/>
      <c r="F3004" s="48" t="n"/>
      <c r="G3004" s="49" t="n"/>
      <c r="H3004" s="48" t="n"/>
      <c r="I3004" s="50" t="n"/>
      <c r="J3004" s="48" t="n"/>
      <c r="K3004" s="48" t="n"/>
      <c r="L3004" s="48" t="n"/>
      <c r="M3004" s="48" t="n"/>
      <c r="N3004" s="48" t="n"/>
      <c r="O3004" s="51">
        <f>IF(AND(B3004="",G3004="",C3004="",D3004="",J3004=""),"",IF(B3004="","⚠ Falta fecha",IF(G3004="","⚠ Falta monto",IF(Q3004="","⚠ Falta cuenta",IF(ISNA(MATCH(Q3004,ctaNombre,0)),"⚠ Cuenta no registrada",IF(AND(OR(P3004="Gasto",P3004="Reembolso"),D3004=""),"⚠ Falta categoría",IF(AND(D3004&lt;&gt;"",E3004&lt;&gt;"",ISNA(MATCH(D3004&amp;"|"&amp;E3004,catClave,0))),"⚠ Subcategoría no corresponde",IF(AND(OR(P3004="Transferencia",P3004="Pago tarjeta"),K3004=""),"⚠ Falta cuenta destino",IF(AND(K3004&lt;&gt;"",P3004&lt;&gt;"Transferencia",P3004&lt;&gt;"Pago tarjeta"),"⚠ Destino solo aplica a transferencias",IF(AND(K3004&lt;&gt;"",K3004=Q3004),"⚠ Origen igual a destino",IF(AND(K3004&lt;&gt;"",ISNA(MATCH(K3004,ctaNombre,0))),"⚠ Destino no registrado",IF(AND(P3004="Pago tarjeta",AE3004&lt;&gt;"Tarjeta de crédito"),"⚠ El destino debe ser tarjeta de crédito",IF(AND(P3004="Gasto",E3004="Depósitos y retiros"),"⚠ Usa tipo Transferencia",IF(AND(P3004="Resultado trading",AD3004&lt;&gt;"Cuenta de trading"),"⚠ Usa una cuenta de trading",IF(AND(G3004&lt;=0,P3004&lt;&gt;"Ajuste",P3004&lt;&gt;"Resultado trading"),"⚠ El monto debe ser positivo","✓")))))))))))))))</f>
        <v/>
      </c>
      <c r="P3004" s="52">
        <f>IF(OR(B3004="",G3004=""),"",IF(C3004="","Gasto",C3004))</f>
        <v/>
      </c>
      <c r="Q3004" s="52">
        <f>IF(P3004="","",IF(J3004&lt;&gt;"",J3004,CuentaPred&amp;""))</f>
        <v/>
      </c>
      <c r="R3004" s="52">
        <f>IF(P3004="","",IF(ISNUMBER(I3004),I3004,TasaUSD))</f>
        <v/>
      </c>
      <c r="S3004" s="53">
        <f>IF(P3004="","",IF(H3004="USD",G3004*R3004,G3004))</f>
        <v/>
      </c>
      <c r="T3004" s="53">
        <f>IF(P3004="","",IF(H3004="USD",G3004,IF(R3004&gt;0,G3004/R3004,0)))</f>
        <v/>
      </c>
      <c r="U3004" s="53">
        <f>IF(P3004="","",IF(P3004="Gasto",S3004,IF(P3004="Reembolso",-S3004,0)))</f>
        <v/>
      </c>
      <c r="V3004" s="53">
        <f>IF(P3004="","",IF(P3004="Ingreso",S3004,0))</f>
        <v/>
      </c>
      <c r="W3004" s="53">
        <f>IF(P3004="","",IF(P3004="Resultado trading",S3004,0))</f>
        <v/>
      </c>
      <c r="X3004" s="52">
        <f>IF(OR(P3004="Gasto",P3004="Reembolso"),IF(M3004&lt;&gt;"",M3004,IFERROR(INDEX(catClasif,MATCH(D3004&amp;"|"&amp;E3004,catClave,0))&amp;"","Variable")),"")</f>
        <v/>
      </c>
      <c r="Y3004" s="52">
        <f>IF(P3004="","",IFERROR(INDEX(catGrupo,MATCH(D3004&amp;"|"&amp;E3004,catClave,0))&amp;"",""))</f>
        <v/>
      </c>
      <c r="Z3004" s="52">
        <f>IF(P3004="","",WEEKDAY(B3004,2))</f>
        <v/>
      </c>
      <c r="AA3004" s="52">
        <f>IF(P3004="","",IF(AND(P3004="Gasto",X3004="Variable",D3004&lt;&gt;catTrading,S3004&gt;0,S3004&lt;=Umbral),1,0))</f>
        <v/>
      </c>
      <c r="AB3004" s="52">
        <f>IF(OR(P3004="",Q3004=""),"",IFERROR(IF(INDEX(ctaVinc,MATCH(Q3004,ctaNombre,0))&amp;""&lt;&gt;"",INDEX(ctaVinc,MATCH(Q3004,ctaNombre,0))&amp;"",Q3004),Q3004))</f>
        <v/>
      </c>
      <c r="AC3004" s="52">
        <f>IF(OR(K3004="",AND(P3004&lt;&gt;"Transferencia",P3004&lt;&gt;"Pago tarjeta")),"",IFERROR(IF(INDEX(ctaVinc,MATCH(K3004,ctaNombre,0))&amp;""&lt;&gt;"",INDEX(ctaVinc,MATCH(K3004,ctaNombre,0))&amp;"",K3004),K3004))</f>
        <v/>
      </c>
      <c r="AD3004" s="52">
        <f>IF(AB3004="","",IFERROR(INDEX(ctaTipo,MATCH(AB3004,ctaNombre,0))&amp;"",""))</f>
        <v/>
      </c>
      <c r="AE3004" s="52">
        <f>IF(AC3004="","",IFERROR(INDEX(ctaTipo,MATCH(AC3004,ctaNombre,0))&amp;"",""))</f>
        <v/>
      </c>
      <c r="AF3004" s="53">
        <f>IF(OR(P3004="",AB3004=""),"",IF(OR(P3004="Gasto",P3004="Transferencia",P3004="Pago tarjeta"),-1,1)*IF(IFERROR(INDEX(ctaMoneda,MATCH(AB3004,ctaNombre,0))&amp;"","DOP")="USD",T3004,S3004))</f>
        <v/>
      </c>
      <c r="AG3004" s="53">
        <f>IF(AC3004="","",IF(IFERROR(INDEX(ctaMoneda,MATCH(AC3004,ctaNombre,0))&amp;"","DOP")="USD",T3004,S3004))</f>
        <v/>
      </c>
      <c r="AH3004" s="53">
        <f>IF(P3004="","",IF(AND(AD3004&lt;&gt;"",COUNTIFS(tcTipo,AD3004,tcLiq,"Sí")&gt;0),IF(OR(P3004="Gasto",P3004="Transferencia",P3004="Pago tarjeta"),-1,1)*S3004,0)+IF(AND(AE3004&lt;&gt;"",COUNTIFS(tcTipo,AE3004,tcLiq,"Sí")&gt;0),S3004,0))</f>
        <v/>
      </c>
      <c r="AI3004" s="52">
        <f>IF(OR(L3004="",P3004=""),"",IF(COUNTIFS(L$6:L3004,L3004,P$6:P3004,"?*")=1,MAX(AI$5:AI3003)+1,""))</f>
        <v/>
      </c>
    </row>
    <row r="3005">
      <c r="B3005" s="47" t="n"/>
      <c r="C3005" s="48" t="n"/>
      <c r="D3005" s="48" t="n"/>
      <c r="E3005" s="48" t="n"/>
      <c r="F3005" s="48" t="n"/>
      <c r="G3005" s="49" t="n"/>
      <c r="H3005" s="48" t="n"/>
      <c r="I3005" s="50" t="n"/>
      <c r="J3005" s="48" t="n"/>
      <c r="K3005" s="48" t="n"/>
      <c r="L3005" s="48" t="n"/>
      <c r="M3005" s="48" t="n"/>
      <c r="N3005" s="48" t="n"/>
      <c r="O3005" s="51">
        <f>IF(AND(B3005="",G3005="",C3005="",D3005="",J3005=""),"",IF(B3005="","⚠ Falta fecha",IF(G3005="","⚠ Falta monto",IF(Q3005="","⚠ Falta cuenta",IF(ISNA(MATCH(Q3005,ctaNombre,0)),"⚠ Cuenta no registrada",IF(AND(OR(P3005="Gasto",P3005="Reembolso"),D3005=""),"⚠ Falta categoría",IF(AND(D3005&lt;&gt;"",E3005&lt;&gt;"",ISNA(MATCH(D3005&amp;"|"&amp;E3005,catClave,0))),"⚠ Subcategoría no corresponde",IF(AND(OR(P3005="Transferencia",P3005="Pago tarjeta"),K3005=""),"⚠ Falta cuenta destino",IF(AND(K3005&lt;&gt;"",P3005&lt;&gt;"Transferencia",P3005&lt;&gt;"Pago tarjeta"),"⚠ Destino solo aplica a transferencias",IF(AND(K3005&lt;&gt;"",K3005=Q3005),"⚠ Origen igual a destino",IF(AND(K3005&lt;&gt;"",ISNA(MATCH(K3005,ctaNombre,0))),"⚠ Destino no registrado",IF(AND(P3005="Pago tarjeta",AE3005&lt;&gt;"Tarjeta de crédito"),"⚠ El destino debe ser tarjeta de crédito",IF(AND(P3005="Gasto",E3005="Depósitos y retiros"),"⚠ Usa tipo Transferencia",IF(AND(P3005="Resultado trading",AD3005&lt;&gt;"Cuenta de trading"),"⚠ Usa una cuenta de trading",IF(AND(G3005&lt;=0,P3005&lt;&gt;"Ajuste",P3005&lt;&gt;"Resultado trading"),"⚠ El monto debe ser positivo","✓")))))))))))))))</f>
        <v/>
      </c>
      <c r="P3005" s="52">
        <f>IF(OR(B3005="",G3005=""),"",IF(C3005="","Gasto",C3005))</f>
        <v/>
      </c>
      <c r="Q3005" s="52">
        <f>IF(P3005="","",IF(J3005&lt;&gt;"",J3005,CuentaPred&amp;""))</f>
        <v/>
      </c>
      <c r="R3005" s="52">
        <f>IF(P3005="","",IF(ISNUMBER(I3005),I3005,TasaUSD))</f>
        <v/>
      </c>
      <c r="S3005" s="53">
        <f>IF(P3005="","",IF(H3005="USD",G3005*R3005,G3005))</f>
        <v/>
      </c>
      <c r="T3005" s="53">
        <f>IF(P3005="","",IF(H3005="USD",G3005,IF(R3005&gt;0,G3005/R3005,0)))</f>
        <v/>
      </c>
      <c r="U3005" s="53">
        <f>IF(P3005="","",IF(P3005="Gasto",S3005,IF(P3005="Reembolso",-S3005,0)))</f>
        <v/>
      </c>
      <c r="V3005" s="53">
        <f>IF(P3005="","",IF(P3005="Ingreso",S3005,0))</f>
        <v/>
      </c>
      <c r="W3005" s="53">
        <f>IF(P3005="","",IF(P3005="Resultado trading",S3005,0))</f>
        <v/>
      </c>
      <c r="X3005" s="52">
        <f>IF(OR(P3005="Gasto",P3005="Reembolso"),IF(M3005&lt;&gt;"",M3005,IFERROR(INDEX(catClasif,MATCH(D3005&amp;"|"&amp;E3005,catClave,0))&amp;"","Variable")),"")</f>
        <v/>
      </c>
      <c r="Y3005" s="52">
        <f>IF(P3005="","",IFERROR(INDEX(catGrupo,MATCH(D3005&amp;"|"&amp;E3005,catClave,0))&amp;"",""))</f>
        <v/>
      </c>
      <c r="Z3005" s="52">
        <f>IF(P3005="","",WEEKDAY(B3005,2))</f>
        <v/>
      </c>
      <c r="AA3005" s="52">
        <f>IF(P3005="","",IF(AND(P3005="Gasto",X3005="Variable",D3005&lt;&gt;catTrading,S3005&gt;0,S3005&lt;=Umbral),1,0))</f>
        <v/>
      </c>
      <c r="AB3005" s="52">
        <f>IF(OR(P3005="",Q3005=""),"",IFERROR(IF(INDEX(ctaVinc,MATCH(Q3005,ctaNombre,0))&amp;""&lt;&gt;"",INDEX(ctaVinc,MATCH(Q3005,ctaNombre,0))&amp;"",Q3005),Q3005))</f>
        <v/>
      </c>
      <c r="AC3005" s="52">
        <f>IF(OR(K3005="",AND(P3005&lt;&gt;"Transferencia",P3005&lt;&gt;"Pago tarjeta")),"",IFERROR(IF(INDEX(ctaVinc,MATCH(K3005,ctaNombre,0))&amp;""&lt;&gt;"",INDEX(ctaVinc,MATCH(K3005,ctaNombre,0))&amp;"",K3005),K3005))</f>
        <v/>
      </c>
      <c r="AD3005" s="52">
        <f>IF(AB3005="","",IFERROR(INDEX(ctaTipo,MATCH(AB3005,ctaNombre,0))&amp;"",""))</f>
        <v/>
      </c>
      <c r="AE3005" s="52">
        <f>IF(AC3005="","",IFERROR(INDEX(ctaTipo,MATCH(AC3005,ctaNombre,0))&amp;"",""))</f>
        <v/>
      </c>
      <c r="AF3005" s="53">
        <f>IF(OR(P3005="",AB3005=""),"",IF(OR(P3005="Gasto",P3005="Transferencia",P3005="Pago tarjeta"),-1,1)*IF(IFERROR(INDEX(ctaMoneda,MATCH(AB3005,ctaNombre,0))&amp;"","DOP")="USD",T3005,S3005))</f>
        <v/>
      </c>
      <c r="AG3005" s="53">
        <f>IF(AC3005="","",IF(IFERROR(INDEX(ctaMoneda,MATCH(AC3005,ctaNombre,0))&amp;"","DOP")="USD",T3005,S3005))</f>
        <v/>
      </c>
      <c r="AH3005" s="53">
        <f>IF(P3005="","",IF(AND(AD3005&lt;&gt;"",COUNTIFS(tcTipo,AD3005,tcLiq,"Sí")&gt;0),IF(OR(P3005="Gasto",P3005="Transferencia",P3005="Pago tarjeta"),-1,1)*S3005,0)+IF(AND(AE3005&lt;&gt;"",COUNTIFS(tcTipo,AE3005,tcLiq,"Sí")&gt;0),S3005,0))</f>
        <v/>
      </c>
      <c r="AI3005" s="52">
        <f>IF(OR(L3005="",P3005=""),"",IF(COUNTIFS(L$6:L3005,L3005,P$6:P3005,"?*")=1,MAX(AI$5:AI3004)+1,""))</f>
        <v/>
      </c>
    </row>
    <row r="3006">
      <c r="B3006" s="47" t="n"/>
      <c r="C3006" s="48" t="n"/>
      <c r="D3006" s="48" t="n"/>
      <c r="E3006" s="48" t="n"/>
      <c r="F3006" s="48" t="n"/>
      <c r="G3006" s="49" t="n"/>
      <c r="H3006" s="48" t="n"/>
      <c r="I3006" s="50" t="n"/>
      <c r="J3006" s="48" t="n"/>
      <c r="K3006" s="48" t="n"/>
      <c r="L3006" s="48" t="n"/>
      <c r="M3006" s="48" t="n"/>
      <c r="N3006" s="48" t="n"/>
      <c r="O3006" s="51">
        <f>IF(AND(B3006="",G3006="",C3006="",D3006="",J3006=""),"",IF(B3006="","⚠ Falta fecha",IF(G3006="","⚠ Falta monto",IF(Q3006="","⚠ Falta cuenta",IF(ISNA(MATCH(Q3006,ctaNombre,0)),"⚠ Cuenta no registrada",IF(AND(OR(P3006="Gasto",P3006="Reembolso"),D3006=""),"⚠ Falta categoría",IF(AND(D3006&lt;&gt;"",E3006&lt;&gt;"",ISNA(MATCH(D3006&amp;"|"&amp;E3006,catClave,0))),"⚠ Subcategoría no corresponde",IF(AND(OR(P3006="Transferencia",P3006="Pago tarjeta"),K3006=""),"⚠ Falta cuenta destino",IF(AND(K3006&lt;&gt;"",P3006&lt;&gt;"Transferencia",P3006&lt;&gt;"Pago tarjeta"),"⚠ Destino solo aplica a transferencias",IF(AND(K3006&lt;&gt;"",K3006=Q3006),"⚠ Origen igual a destino",IF(AND(K3006&lt;&gt;"",ISNA(MATCH(K3006,ctaNombre,0))),"⚠ Destino no registrado",IF(AND(P3006="Pago tarjeta",AE3006&lt;&gt;"Tarjeta de crédito"),"⚠ El destino debe ser tarjeta de crédito",IF(AND(P3006="Gasto",E3006="Depósitos y retiros"),"⚠ Usa tipo Transferencia",IF(AND(P3006="Resultado trading",AD3006&lt;&gt;"Cuenta de trading"),"⚠ Usa una cuenta de trading",IF(AND(G3006&lt;=0,P3006&lt;&gt;"Ajuste",P3006&lt;&gt;"Resultado trading"),"⚠ El monto debe ser positivo","✓")))))))))))))))</f>
        <v/>
      </c>
      <c r="P3006" s="52">
        <f>IF(OR(B3006="",G3006=""),"",IF(C3006="","Gasto",C3006))</f>
        <v/>
      </c>
      <c r="Q3006" s="52">
        <f>IF(P3006="","",IF(J3006&lt;&gt;"",J3006,CuentaPred&amp;""))</f>
        <v/>
      </c>
      <c r="R3006" s="52">
        <f>IF(P3006="","",IF(ISNUMBER(I3006),I3006,TasaUSD))</f>
        <v/>
      </c>
      <c r="S3006" s="53">
        <f>IF(P3006="","",IF(H3006="USD",G3006*R3006,G3006))</f>
        <v/>
      </c>
      <c r="T3006" s="53">
        <f>IF(P3006="","",IF(H3006="USD",G3006,IF(R3006&gt;0,G3006/R3006,0)))</f>
        <v/>
      </c>
      <c r="U3006" s="53">
        <f>IF(P3006="","",IF(P3006="Gasto",S3006,IF(P3006="Reembolso",-S3006,0)))</f>
        <v/>
      </c>
      <c r="V3006" s="53">
        <f>IF(P3006="","",IF(P3006="Ingreso",S3006,0))</f>
        <v/>
      </c>
      <c r="W3006" s="53">
        <f>IF(P3006="","",IF(P3006="Resultado trading",S3006,0))</f>
        <v/>
      </c>
      <c r="X3006" s="52">
        <f>IF(OR(P3006="Gasto",P3006="Reembolso"),IF(M3006&lt;&gt;"",M3006,IFERROR(INDEX(catClasif,MATCH(D3006&amp;"|"&amp;E3006,catClave,0))&amp;"","Variable")),"")</f>
        <v/>
      </c>
      <c r="Y3006" s="52">
        <f>IF(P3006="","",IFERROR(INDEX(catGrupo,MATCH(D3006&amp;"|"&amp;E3006,catClave,0))&amp;"",""))</f>
        <v/>
      </c>
      <c r="Z3006" s="52">
        <f>IF(P3006="","",WEEKDAY(B3006,2))</f>
        <v/>
      </c>
      <c r="AA3006" s="52">
        <f>IF(P3006="","",IF(AND(P3006="Gasto",X3006="Variable",D3006&lt;&gt;catTrading,S3006&gt;0,S3006&lt;=Umbral),1,0))</f>
        <v/>
      </c>
      <c r="AB3006" s="52">
        <f>IF(OR(P3006="",Q3006=""),"",IFERROR(IF(INDEX(ctaVinc,MATCH(Q3006,ctaNombre,0))&amp;""&lt;&gt;"",INDEX(ctaVinc,MATCH(Q3006,ctaNombre,0))&amp;"",Q3006),Q3006))</f>
        <v/>
      </c>
      <c r="AC3006" s="52">
        <f>IF(OR(K3006="",AND(P3006&lt;&gt;"Transferencia",P3006&lt;&gt;"Pago tarjeta")),"",IFERROR(IF(INDEX(ctaVinc,MATCH(K3006,ctaNombre,0))&amp;""&lt;&gt;"",INDEX(ctaVinc,MATCH(K3006,ctaNombre,0))&amp;"",K3006),K3006))</f>
        <v/>
      </c>
      <c r="AD3006" s="52">
        <f>IF(AB3006="","",IFERROR(INDEX(ctaTipo,MATCH(AB3006,ctaNombre,0))&amp;"",""))</f>
        <v/>
      </c>
      <c r="AE3006" s="52">
        <f>IF(AC3006="","",IFERROR(INDEX(ctaTipo,MATCH(AC3006,ctaNombre,0))&amp;"",""))</f>
        <v/>
      </c>
      <c r="AF3006" s="53">
        <f>IF(OR(P3006="",AB3006=""),"",IF(OR(P3006="Gasto",P3006="Transferencia",P3006="Pago tarjeta"),-1,1)*IF(IFERROR(INDEX(ctaMoneda,MATCH(AB3006,ctaNombre,0))&amp;"","DOP")="USD",T3006,S3006))</f>
        <v/>
      </c>
      <c r="AG3006" s="53">
        <f>IF(AC3006="","",IF(IFERROR(INDEX(ctaMoneda,MATCH(AC3006,ctaNombre,0))&amp;"","DOP")="USD",T3006,S3006))</f>
        <v/>
      </c>
      <c r="AH3006" s="53">
        <f>IF(P3006="","",IF(AND(AD3006&lt;&gt;"",COUNTIFS(tcTipo,AD3006,tcLiq,"Sí")&gt;0),IF(OR(P3006="Gasto",P3006="Transferencia",P3006="Pago tarjeta"),-1,1)*S3006,0)+IF(AND(AE3006&lt;&gt;"",COUNTIFS(tcTipo,AE3006,tcLiq,"Sí")&gt;0),S3006,0))</f>
        <v/>
      </c>
      <c r="AI3006" s="52">
        <f>IF(OR(L3006="",P3006=""),"",IF(COUNTIFS(L$6:L3006,L3006,P$6:P3006,"?*")=1,MAX(AI$5:AI3005)+1,""))</f>
        <v/>
      </c>
    </row>
    <row r="3007">
      <c r="B3007" s="47" t="n"/>
      <c r="C3007" s="48" t="n"/>
      <c r="D3007" s="48" t="n"/>
      <c r="E3007" s="48" t="n"/>
      <c r="F3007" s="48" t="n"/>
      <c r="G3007" s="49" t="n"/>
      <c r="H3007" s="48" t="n"/>
      <c r="I3007" s="50" t="n"/>
      <c r="J3007" s="48" t="n"/>
      <c r="K3007" s="48" t="n"/>
      <c r="L3007" s="48" t="n"/>
      <c r="M3007" s="48" t="n"/>
      <c r="N3007" s="48" t="n"/>
      <c r="O3007" s="51">
        <f>IF(AND(B3007="",G3007="",C3007="",D3007="",J3007=""),"",IF(B3007="","⚠ Falta fecha",IF(G3007="","⚠ Falta monto",IF(Q3007="","⚠ Falta cuenta",IF(ISNA(MATCH(Q3007,ctaNombre,0)),"⚠ Cuenta no registrada",IF(AND(OR(P3007="Gasto",P3007="Reembolso"),D3007=""),"⚠ Falta categoría",IF(AND(D3007&lt;&gt;"",E3007&lt;&gt;"",ISNA(MATCH(D3007&amp;"|"&amp;E3007,catClave,0))),"⚠ Subcategoría no corresponde",IF(AND(OR(P3007="Transferencia",P3007="Pago tarjeta"),K3007=""),"⚠ Falta cuenta destino",IF(AND(K3007&lt;&gt;"",P3007&lt;&gt;"Transferencia",P3007&lt;&gt;"Pago tarjeta"),"⚠ Destino solo aplica a transferencias",IF(AND(K3007&lt;&gt;"",K3007=Q3007),"⚠ Origen igual a destino",IF(AND(K3007&lt;&gt;"",ISNA(MATCH(K3007,ctaNombre,0))),"⚠ Destino no registrado",IF(AND(P3007="Pago tarjeta",AE3007&lt;&gt;"Tarjeta de crédito"),"⚠ El destino debe ser tarjeta de crédito",IF(AND(P3007="Gasto",E3007="Depósitos y retiros"),"⚠ Usa tipo Transferencia",IF(AND(P3007="Resultado trading",AD3007&lt;&gt;"Cuenta de trading"),"⚠ Usa una cuenta de trading",IF(AND(G3007&lt;=0,P3007&lt;&gt;"Ajuste",P3007&lt;&gt;"Resultado trading"),"⚠ El monto debe ser positivo","✓")))))))))))))))</f>
        <v/>
      </c>
      <c r="P3007" s="52">
        <f>IF(OR(B3007="",G3007=""),"",IF(C3007="","Gasto",C3007))</f>
        <v/>
      </c>
      <c r="Q3007" s="52">
        <f>IF(P3007="","",IF(J3007&lt;&gt;"",J3007,CuentaPred&amp;""))</f>
        <v/>
      </c>
      <c r="R3007" s="52">
        <f>IF(P3007="","",IF(ISNUMBER(I3007),I3007,TasaUSD))</f>
        <v/>
      </c>
      <c r="S3007" s="53">
        <f>IF(P3007="","",IF(H3007="USD",G3007*R3007,G3007))</f>
        <v/>
      </c>
      <c r="T3007" s="53">
        <f>IF(P3007="","",IF(H3007="USD",G3007,IF(R3007&gt;0,G3007/R3007,0)))</f>
        <v/>
      </c>
      <c r="U3007" s="53">
        <f>IF(P3007="","",IF(P3007="Gasto",S3007,IF(P3007="Reembolso",-S3007,0)))</f>
        <v/>
      </c>
      <c r="V3007" s="53">
        <f>IF(P3007="","",IF(P3007="Ingreso",S3007,0))</f>
        <v/>
      </c>
      <c r="W3007" s="53">
        <f>IF(P3007="","",IF(P3007="Resultado trading",S3007,0))</f>
        <v/>
      </c>
      <c r="X3007" s="52">
        <f>IF(OR(P3007="Gasto",P3007="Reembolso"),IF(M3007&lt;&gt;"",M3007,IFERROR(INDEX(catClasif,MATCH(D3007&amp;"|"&amp;E3007,catClave,0))&amp;"","Variable")),"")</f>
        <v/>
      </c>
      <c r="Y3007" s="52">
        <f>IF(P3007="","",IFERROR(INDEX(catGrupo,MATCH(D3007&amp;"|"&amp;E3007,catClave,0))&amp;"",""))</f>
        <v/>
      </c>
      <c r="Z3007" s="52">
        <f>IF(P3007="","",WEEKDAY(B3007,2))</f>
        <v/>
      </c>
      <c r="AA3007" s="52">
        <f>IF(P3007="","",IF(AND(P3007="Gasto",X3007="Variable",D3007&lt;&gt;catTrading,S3007&gt;0,S3007&lt;=Umbral),1,0))</f>
        <v/>
      </c>
      <c r="AB3007" s="52">
        <f>IF(OR(P3007="",Q3007=""),"",IFERROR(IF(INDEX(ctaVinc,MATCH(Q3007,ctaNombre,0))&amp;""&lt;&gt;"",INDEX(ctaVinc,MATCH(Q3007,ctaNombre,0))&amp;"",Q3007),Q3007))</f>
        <v/>
      </c>
      <c r="AC3007" s="52">
        <f>IF(OR(K3007="",AND(P3007&lt;&gt;"Transferencia",P3007&lt;&gt;"Pago tarjeta")),"",IFERROR(IF(INDEX(ctaVinc,MATCH(K3007,ctaNombre,0))&amp;""&lt;&gt;"",INDEX(ctaVinc,MATCH(K3007,ctaNombre,0))&amp;"",K3007),K3007))</f>
        <v/>
      </c>
      <c r="AD3007" s="52">
        <f>IF(AB3007="","",IFERROR(INDEX(ctaTipo,MATCH(AB3007,ctaNombre,0))&amp;"",""))</f>
        <v/>
      </c>
      <c r="AE3007" s="52">
        <f>IF(AC3007="","",IFERROR(INDEX(ctaTipo,MATCH(AC3007,ctaNombre,0))&amp;"",""))</f>
        <v/>
      </c>
      <c r="AF3007" s="53">
        <f>IF(OR(P3007="",AB3007=""),"",IF(OR(P3007="Gasto",P3007="Transferencia",P3007="Pago tarjeta"),-1,1)*IF(IFERROR(INDEX(ctaMoneda,MATCH(AB3007,ctaNombre,0))&amp;"","DOP")="USD",T3007,S3007))</f>
        <v/>
      </c>
      <c r="AG3007" s="53">
        <f>IF(AC3007="","",IF(IFERROR(INDEX(ctaMoneda,MATCH(AC3007,ctaNombre,0))&amp;"","DOP")="USD",T3007,S3007))</f>
        <v/>
      </c>
      <c r="AH3007" s="53">
        <f>IF(P3007="","",IF(AND(AD3007&lt;&gt;"",COUNTIFS(tcTipo,AD3007,tcLiq,"Sí")&gt;0),IF(OR(P3007="Gasto",P3007="Transferencia",P3007="Pago tarjeta"),-1,1)*S3007,0)+IF(AND(AE3007&lt;&gt;"",COUNTIFS(tcTipo,AE3007,tcLiq,"Sí")&gt;0),S3007,0))</f>
        <v/>
      </c>
      <c r="AI3007" s="52">
        <f>IF(OR(L3007="",P3007=""),"",IF(COUNTIFS(L$6:L3007,L3007,P$6:P3007,"?*")=1,MAX(AI$5:AI3006)+1,""))</f>
        <v/>
      </c>
    </row>
    <row r="3008">
      <c r="B3008" s="47" t="n"/>
      <c r="C3008" s="48" t="n"/>
      <c r="D3008" s="48" t="n"/>
      <c r="E3008" s="48" t="n"/>
      <c r="F3008" s="48" t="n"/>
      <c r="G3008" s="49" t="n"/>
      <c r="H3008" s="48" t="n"/>
      <c r="I3008" s="50" t="n"/>
      <c r="J3008" s="48" t="n"/>
      <c r="K3008" s="48" t="n"/>
      <c r="L3008" s="48" t="n"/>
      <c r="M3008" s="48" t="n"/>
      <c r="N3008" s="48" t="n"/>
      <c r="O3008" s="51">
        <f>IF(AND(B3008="",G3008="",C3008="",D3008="",J3008=""),"",IF(B3008="","⚠ Falta fecha",IF(G3008="","⚠ Falta monto",IF(Q3008="","⚠ Falta cuenta",IF(ISNA(MATCH(Q3008,ctaNombre,0)),"⚠ Cuenta no registrada",IF(AND(OR(P3008="Gasto",P3008="Reembolso"),D3008=""),"⚠ Falta categoría",IF(AND(D3008&lt;&gt;"",E3008&lt;&gt;"",ISNA(MATCH(D3008&amp;"|"&amp;E3008,catClave,0))),"⚠ Subcategoría no corresponde",IF(AND(OR(P3008="Transferencia",P3008="Pago tarjeta"),K3008=""),"⚠ Falta cuenta destino",IF(AND(K3008&lt;&gt;"",P3008&lt;&gt;"Transferencia",P3008&lt;&gt;"Pago tarjeta"),"⚠ Destino solo aplica a transferencias",IF(AND(K3008&lt;&gt;"",K3008=Q3008),"⚠ Origen igual a destino",IF(AND(K3008&lt;&gt;"",ISNA(MATCH(K3008,ctaNombre,0))),"⚠ Destino no registrado",IF(AND(P3008="Pago tarjeta",AE3008&lt;&gt;"Tarjeta de crédito"),"⚠ El destino debe ser tarjeta de crédito",IF(AND(P3008="Gasto",E3008="Depósitos y retiros"),"⚠ Usa tipo Transferencia",IF(AND(P3008="Resultado trading",AD3008&lt;&gt;"Cuenta de trading"),"⚠ Usa una cuenta de trading",IF(AND(G3008&lt;=0,P3008&lt;&gt;"Ajuste",P3008&lt;&gt;"Resultado trading"),"⚠ El monto debe ser positivo","✓")))))))))))))))</f>
        <v/>
      </c>
      <c r="P3008" s="52">
        <f>IF(OR(B3008="",G3008=""),"",IF(C3008="","Gasto",C3008))</f>
        <v/>
      </c>
      <c r="Q3008" s="52">
        <f>IF(P3008="","",IF(J3008&lt;&gt;"",J3008,CuentaPred&amp;""))</f>
        <v/>
      </c>
      <c r="R3008" s="52">
        <f>IF(P3008="","",IF(ISNUMBER(I3008),I3008,TasaUSD))</f>
        <v/>
      </c>
      <c r="S3008" s="53">
        <f>IF(P3008="","",IF(H3008="USD",G3008*R3008,G3008))</f>
        <v/>
      </c>
      <c r="T3008" s="53">
        <f>IF(P3008="","",IF(H3008="USD",G3008,IF(R3008&gt;0,G3008/R3008,0)))</f>
        <v/>
      </c>
      <c r="U3008" s="53">
        <f>IF(P3008="","",IF(P3008="Gasto",S3008,IF(P3008="Reembolso",-S3008,0)))</f>
        <v/>
      </c>
      <c r="V3008" s="53">
        <f>IF(P3008="","",IF(P3008="Ingreso",S3008,0))</f>
        <v/>
      </c>
      <c r="W3008" s="53">
        <f>IF(P3008="","",IF(P3008="Resultado trading",S3008,0))</f>
        <v/>
      </c>
      <c r="X3008" s="52">
        <f>IF(OR(P3008="Gasto",P3008="Reembolso"),IF(M3008&lt;&gt;"",M3008,IFERROR(INDEX(catClasif,MATCH(D3008&amp;"|"&amp;E3008,catClave,0))&amp;"","Variable")),"")</f>
        <v/>
      </c>
      <c r="Y3008" s="52">
        <f>IF(P3008="","",IFERROR(INDEX(catGrupo,MATCH(D3008&amp;"|"&amp;E3008,catClave,0))&amp;"",""))</f>
        <v/>
      </c>
      <c r="Z3008" s="52">
        <f>IF(P3008="","",WEEKDAY(B3008,2))</f>
        <v/>
      </c>
      <c r="AA3008" s="52">
        <f>IF(P3008="","",IF(AND(P3008="Gasto",X3008="Variable",D3008&lt;&gt;catTrading,S3008&gt;0,S3008&lt;=Umbral),1,0))</f>
        <v/>
      </c>
      <c r="AB3008" s="52">
        <f>IF(OR(P3008="",Q3008=""),"",IFERROR(IF(INDEX(ctaVinc,MATCH(Q3008,ctaNombre,0))&amp;""&lt;&gt;"",INDEX(ctaVinc,MATCH(Q3008,ctaNombre,0))&amp;"",Q3008),Q3008))</f>
        <v/>
      </c>
      <c r="AC3008" s="52">
        <f>IF(OR(K3008="",AND(P3008&lt;&gt;"Transferencia",P3008&lt;&gt;"Pago tarjeta")),"",IFERROR(IF(INDEX(ctaVinc,MATCH(K3008,ctaNombre,0))&amp;""&lt;&gt;"",INDEX(ctaVinc,MATCH(K3008,ctaNombre,0))&amp;"",K3008),K3008))</f>
        <v/>
      </c>
      <c r="AD3008" s="52">
        <f>IF(AB3008="","",IFERROR(INDEX(ctaTipo,MATCH(AB3008,ctaNombre,0))&amp;"",""))</f>
        <v/>
      </c>
      <c r="AE3008" s="52">
        <f>IF(AC3008="","",IFERROR(INDEX(ctaTipo,MATCH(AC3008,ctaNombre,0))&amp;"",""))</f>
        <v/>
      </c>
      <c r="AF3008" s="53">
        <f>IF(OR(P3008="",AB3008=""),"",IF(OR(P3008="Gasto",P3008="Transferencia",P3008="Pago tarjeta"),-1,1)*IF(IFERROR(INDEX(ctaMoneda,MATCH(AB3008,ctaNombre,0))&amp;"","DOP")="USD",T3008,S3008))</f>
        <v/>
      </c>
      <c r="AG3008" s="53">
        <f>IF(AC3008="","",IF(IFERROR(INDEX(ctaMoneda,MATCH(AC3008,ctaNombre,0))&amp;"","DOP")="USD",T3008,S3008))</f>
        <v/>
      </c>
      <c r="AH3008" s="53">
        <f>IF(P3008="","",IF(AND(AD3008&lt;&gt;"",COUNTIFS(tcTipo,AD3008,tcLiq,"Sí")&gt;0),IF(OR(P3008="Gasto",P3008="Transferencia",P3008="Pago tarjeta"),-1,1)*S3008,0)+IF(AND(AE3008&lt;&gt;"",COUNTIFS(tcTipo,AE3008,tcLiq,"Sí")&gt;0),S3008,0))</f>
        <v/>
      </c>
      <c r="AI3008" s="52">
        <f>IF(OR(L3008="",P3008=""),"",IF(COUNTIFS(L$6:L3008,L3008,P$6:P3008,"?*")=1,MAX(AI$5:AI3007)+1,""))</f>
        <v/>
      </c>
    </row>
    <row r="3009">
      <c r="B3009" s="47" t="n"/>
      <c r="C3009" s="48" t="n"/>
      <c r="D3009" s="48" t="n"/>
      <c r="E3009" s="48" t="n"/>
      <c r="F3009" s="48" t="n"/>
      <c r="G3009" s="49" t="n"/>
      <c r="H3009" s="48" t="n"/>
      <c r="I3009" s="50" t="n"/>
      <c r="J3009" s="48" t="n"/>
      <c r="K3009" s="48" t="n"/>
      <c r="L3009" s="48" t="n"/>
      <c r="M3009" s="48" t="n"/>
      <c r="N3009" s="48" t="n"/>
      <c r="O3009" s="51">
        <f>IF(AND(B3009="",G3009="",C3009="",D3009="",J3009=""),"",IF(B3009="","⚠ Falta fecha",IF(G3009="","⚠ Falta monto",IF(Q3009="","⚠ Falta cuenta",IF(ISNA(MATCH(Q3009,ctaNombre,0)),"⚠ Cuenta no registrada",IF(AND(OR(P3009="Gasto",P3009="Reembolso"),D3009=""),"⚠ Falta categoría",IF(AND(D3009&lt;&gt;"",E3009&lt;&gt;"",ISNA(MATCH(D3009&amp;"|"&amp;E3009,catClave,0))),"⚠ Subcategoría no corresponde",IF(AND(OR(P3009="Transferencia",P3009="Pago tarjeta"),K3009=""),"⚠ Falta cuenta destino",IF(AND(K3009&lt;&gt;"",P3009&lt;&gt;"Transferencia",P3009&lt;&gt;"Pago tarjeta"),"⚠ Destino solo aplica a transferencias",IF(AND(K3009&lt;&gt;"",K3009=Q3009),"⚠ Origen igual a destino",IF(AND(K3009&lt;&gt;"",ISNA(MATCH(K3009,ctaNombre,0))),"⚠ Destino no registrado",IF(AND(P3009="Pago tarjeta",AE3009&lt;&gt;"Tarjeta de crédito"),"⚠ El destino debe ser tarjeta de crédito",IF(AND(P3009="Gasto",E3009="Depósitos y retiros"),"⚠ Usa tipo Transferencia",IF(AND(P3009="Resultado trading",AD3009&lt;&gt;"Cuenta de trading"),"⚠ Usa una cuenta de trading",IF(AND(G3009&lt;=0,P3009&lt;&gt;"Ajuste",P3009&lt;&gt;"Resultado trading"),"⚠ El monto debe ser positivo","✓")))))))))))))))</f>
        <v/>
      </c>
      <c r="P3009" s="52">
        <f>IF(OR(B3009="",G3009=""),"",IF(C3009="","Gasto",C3009))</f>
        <v/>
      </c>
      <c r="Q3009" s="52">
        <f>IF(P3009="","",IF(J3009&lt;&gt;"",J3009,CuentaPred&amp;""))</f>
        <v/>
      </c>
      <c r="R3009" s="52">
        <f>IF(P3009="","",IF(ISNUMBER(I3009),I3009,TasaUSD))</f>
        <v/>
      </c>
      <c r="S3009" s="53">
        <f>IF(P3009="","",IF(H3009="USD",G3009*R3009,G3009))</f>
        <v/>
      </c>
      <c r="T3009" s="53">
        <f>IF(P3009="","",IF(H3009="USD",G3009,IF(R3009&gt;0,G3009/R3009,0)))</f>
        <v/>
      </c>
      <c r="U3009" s="53">
        <f>IF(P3009="","",IF(P3009="Gasto",S3009,IF(P3009="Reembolso",-S3009,0)))</f>
        <v/>
      </c>
      <c r="V3009" s="53">
        <f>IF(P3009="","",IF(P3009="Ingreso",S3009,0))</f>
        <v/>
      </c>
      <c r="W3009" s="53">
        <f>IF(P3009="","",IF(P3009="Resultado trading",S3009,0))</f>
        <v/>
      </c>
      <c r="X3009" s="52">
        <f>IF(OR(P3009="Gasto",P3009="Reembolso"),IF(M3009&lt;&gt;"",M3009,IFERROR(INDEX(catClasif,MATCH(D3009&amp;"|"&amp;E3009,catClave,0))&amp;"","Variable")),"")</f>
        <v/>
      </c>
      <c r="Y3009" s="52">
        <f>IF(P3009="","",IFERROR(INDEX(catGrupo,MATCH(D3009&amp;"|"&amp;E3009,catClave,0))&amp;"",""))</f>
        <v/>
      </c>
      <c r="Z3009" s="52">
        <f>IF(P3009="","",WEEKDAY(B3009,2))</f>
        <v/>
      </c>
      <c r="AA3009" s="52">
        <f>IF(P3009="","",IF(AND(P3009="Gasto",X3009="Variable",D3009&lt;&gt;catTrading,S3009&gt;0,S3009&lt;=Umbral),1,0))</f>
        <v/>
      </c>
      <c r="AB3009" s="52">
        <f>IF(OR(P3009="",Q3009=""),"",IFERROR(IF(INDEX(ctaVinc,MATCH(Q3009,ctaNombre,0))&amp;""&lt;&gt;"",INDEX(ctaVinc,MATCH(Q3009,ctaNombre,0))&amp;"",Q3009),Q3009))</f>
        <v/>
      </c>
      <c r="AC3009" s="52">
        <f>IF(OR(K3009="",AND(P3009&lt;&gt;"Transferencia",P3009&lt;&gt;"Pago tarjeta")),"",IFERROR(IF(INDEX(ctaVinc,MATCH(K3009,ctaNombre,0))&amp;""&lt;&gt;"",INDEX(ctaVinc,MATCH(K3009,ctaNombre,0))&amp;"",K3009),K3009))</f>
        <v/>
      </c>
      <c r="AD3009" s="52">
        <f>IF(AB3009="","",IFERROR(INDEX(ctaTipo,MATCH(AB3009,ctaNombre,0))&amp;"",""))</f>
        <v/>
      </c>
      <c r="AE3009" s="52">
        <f>IF(AC3009="","",IFERROR(INDEX(ctaTipo,MATCH(AC3009,ctaNombre,0))&amp;"",""))</f>
        <v/>
      </c>
      <c r="AF3009" s="53">
        <f>IF(OR(P3009="",AB3009=""),"",IF(OR(P3009="Gasto",P3009="Transferencia",P3009="Pago tarjeta"),-1,1)*IF(IFERROR(INDEX(ctaMoneda,MATCH(AB3009,ctaNombre,0))&amp;"","DOP")="USD",T3009,S3009))</f>
        <v/>
      </c>
      <c r="AG3009" s="53">
        <f>IF(AC3009="","",IF(IFERROR(INDEX(ctaMoneda,MATCH(AC3009,ctaNombre,0))&amp;"","DOP")="USD",T3009,S3009))</f>
        <v/>
      </c>
      <c r="AH3009" s="53">
        <f>IF(P3009="","",IF(AND(AD3009&lt;&gt;"",COUNTIFS(tcTipo,AD3009,tcLiq,"Sí")&gt;0),IF(OR(P3009="Gasto",P3009="Transferencia",P3009="Pago tarjeta"),-1,1)*S3009,0)+IF(AND(AE3009&lt;&gt;"",COUNTIFS(tcTipo,AE3009,tcLiq,"Sí")&gt;0),S3009,0))</f>
        <v/>
      </c>
      <c r="AI3009" s="52">
        <f>IF(OR(L3009="",P3009=""),"",IF(COUNTIFS(L$6:L3009,L3009,P$6:P3009,"?*")=1,MAX(AI$5:AI3008)+1,""))</f>
        <v/>
      </c>
    </row>
    <row r="3010">
      <c r="B3010" s="47" t="n"/>
      <c r="C3010" s="48" t="n"/>
      <c r="D3010" s="48" t="n"/>
      <c r="E3010" s="48" t="n"/>
      <c r="F3010" s="48" t="n"/>
      <c r="G3010" s="49" t="n"/>
      <c r="H3010" s="48" t="n"/>
      <c r="I3010" s="50" t="n"/>
      <c r="J3010" s="48" t="n"/>
      <c r="K3010" s="48" t="n"/>
      <c r="L3010" s="48" t="n"/>
      <c r="M3010" s="48" t="n"/>
      <c r="N3010" s="48" t="n"/>
      <c r="O3010" s="51">
        <f>IF(AND(B3010="",G3010="",C3010="",D3010="",J3010=""),"",IF(B3010="","⚠ Falta fecha",IF(G3010="","⚠ Falta monto",IF(Q3010="","⚠ Falta cuenta",IF(ISNA(MATCH(Q3010,ctaNombre,0)),"⚠ Cuenta no registrada",IF(AND(OR(P3010="Gasto",P3010="Reembolso"),D3010=""),"⚠ Falta categoría",IF(AND(D3010&lt;&gt;"",E3010&lt;&gt;"",ISNA(MATCH(D3010&amp;"|"&amp;E3010,catClave,0))),"⚠ Subcategoría no corresponde",IF(AND(OR(P3010="Transferencia",P3010="Pago tarjeta"),K3010=""),"⚠ Falta cuenta destino",IF(AND(K3010&lt;&gt;"",P3010&lt;&gt;"Transferencia",P3010&lt;&gt;"Pago tarjeta"),"⚠ Destino solo aplica a transferencias",IF(AND(K3010&lt;&gt;"",K3010=Q3010),"⚠ Origen igual a destino",IF(AND(K3010&lt;&gt;"",ISNA(MATCH(K3010,ctaNombre,0))),"⚠ Destino no registrado",IF(AND(P3010="Pago tarjeta",AE3010&lt;&gt;"Tarjeta de crédito"),"⚠ El destino debe ser tarjeta de crédito",IF(AND(P3010="Gasto",E3010="Depósitos y retiros"),"⚠ Usa tipo Transferencia",IF(AND(P3010="Resultado trading",AD3010&lt;&gt;"Cuenta de trading"),"⚠ Usa una cuenta de trading",IF(AND(G3010&lt;=0,P3010&lt;&gt;"Ajuste",P3010&lt;&gt;"Resultado trading"),"⚠ El monto debe ser positivo","✓")))))))))))))))</f>
        <v/>
      </c>
      <c r="P3010" s="52">
        <f>IF(OR(B3010="",G3010=""),"",IF(C3010="","Gasto",C3010))</f>
        <v/>
      </c>
      <c r="Q3010" s="52">
        <f>IF(P3010="","",IF(J3010&lt;&gt;"",J3010,CuentaPred&amp;""))</f>
        <v/>
      </c>
      <c r="R3010" s="52">
        <f>IF(P3010="","",IF(ISNUMBER(I3010),I3010,TasaUSD))</f>
        <v/>
      </c>
      <c r="S3010" s="53">
        <f>IF(P3010="","",IF(H3010="USD",G3010*R3010,G3010))</f>
        <v/>
      </c>
      <c r="T3010" s="53">
        <f>IF(P3010="","",IF(H3010="USD",G3010,IF(R3010&gt;0,G3010/R3010,0)))</f>
        <v/>
      </c>
      <c r="U3010" s="53">
        <f>IF(P3010="","",IF(P3010="Gasto",S3010,IF(P3010="Reembolso",-S3010,0)))</f>
        <v/>
      </c>
      <c r="V3010" s="53">
        <f>IF(P3010="","",IF(P3010="Ingreso",S3010,0))</f>
        <v/>
      </c>
      <c r="W3010" s="53">
        <f>IF(P3010="","",IF(P3010="Resultado trading",S3010,0))</f>
        <v/>
      </c>
      <c r="X3010" s="52">
        <f>IF(OR(P3010="Gasto",P3010="Reembolso"),IF(M3010&lt;&gt;"",M3010,IFERROR(INDEX(catClasif,MATCH(D3010&amp;"|"&amp;E3010,catClave,0))&amp;"","Variable")),"")</f>
        <v/>
      </c>
      <c r="Y3010" s="52">
        <f>IF(P3010="","",IFERROR(INDEX(catGrupo,MATCH(D3010&amp;"|"&amp;E3010,catClave,0))&amp;"",""))</f>
        <v/>
      </c>
      <c r="Z3010" s="52">
        <f>IF(P3010="","",WEEKDAY(B3010,2))</f>
        <v/>
      </c>
      <c r="AA3010" s="52">
        <f>IF(P3010="","",IF(AND(P3010="Gasto",X3010="Variable",D3010&lt;&gt;catTrading,S3010&gt;0,S3010&lt;=Umbral),1,0))</f>
        <v/>
      </c>
      <c r="AB3010" s="52">
        <f>IF(OR(P3010="",Q3010=""),"",IFERROR(IF(INDEX(ctaVinc,MATCH(Q3010,ctaNombre,0))&amp;""&lt;&gt;"",INDEX(ctaVinc,MATCH(Q3010,ctaNombre,0))&amp;"",Q3010),Q3010))</f>
        <v/>
      </c>
      <c r="AC3010" s="52">
        <f>IF(OR(K3010="",AND(P3010&lt;&gt;"Transferencia",P3010&lt;&gt;"Pago tarjeta")),"",IFERROR(IF(INDEX(ctaVinc,MATCH(K3010,ctaNombre,0))&amp;""&lt;&gt;"",INDEX(ctaVinc,MATCH(K3010,ctaNombre,0))&amp;"",K3010),K3010))</f>
        <v/>
      </c>
      <c r="AD3010" s="52">
        <f>IF(AB3010="","",IFERROR(INDEX(ctaTipo,MATCH(AB3010,ctaNombre,0))&amp;"",""))</f>
        <v/>
      </c>
      <c r="AE3010" s="52">
        <f>IF(AC3010="","",IFERROR(INDEX(ctaTipo,MATCH(AC3010,ctaNombre,0))&amp;"",""))</f>
        <v/>
      </c>
      <c r="AF3010" s="53">
        <f>IF(OR(P3010="",AB3010=""),"",IF(OR(P3010="Gasto",P3010="Transferencia",P3010="Pago tarjeta"),-1,1)*IF(IFERROR(INDEX(ctaMoneda,MATCH(AB3010,ctaNombre,0))&amp;"","DOP")="USD",T3010,S3010))</f>
        <v/>
      </c>
      <c r="AG3010" s="53">
        <f>IF(AC3010="","",IF(IFERROR(INDEX(ctaMoneda,MATCH(AC3010,ctaNombre,0))&amp;"","DOP")="USD",T3010,S3010))</f>
        <v/>
      </c>
      <c r="AH3010" s="53">
        <f>IF(P3010="","",IF(AND(AD3010&lt;&gt;"",COUNTIFS(tcTipo,AD3010,tcLiq,"Sí")&gt;0),IF(OR(P3010="Gasto",P3010="Transferencia",P3010="Pago tarjeta"),-1,1)*S3010,0)+IF(AND(AE3010&lt;&gt;"",COUNTIFS(tcTipo,AE3010,tcLiq,"Sí")&gt;0),S3010,0))</f>
        <v/>
      </c>
      <c r="AI3010" s="52">
        <f>IF(OR(L3010="",P3010=""),"",IF(COUNTIFS(L$6:L3010,L3010,P$6:P3010,"?*")=1,MAX(AI$5:AI3009)+1,""))</f>
        <v/>
      </c>
    </row>
    <row r="3011">
      <c r="B3011" s="47" t="n"/>
      <c r="C3011" s="48" t="n"/>
      <c r="D3011" s="48" t="n"/>
      <c r="E3011" s="48" t="n"/>
      <c r="F3011" s="48" t="n"/>
      <c r="G3011" s="49" t="n"/>
      <c r="H3011" s="48" t="n"/>
      <c r="I3011" s="50" t="n"/>
      <c r="J3011" s="48" t="n"/>
      <c r="K3011" s="48" t="n"/>
      <c r="L3011" s="48" t="n"/>
      <c r="M3011" s="48" t="n"/>
      <c r="N3011" s="48" t="n"/>
      <c r="O3011" s="51">
        <f>IF(AND(B3011="",G3011="",C3011="",D3011="",J3011=""),"",IF(B3011="","⚠ Falta fecha",IF(G3011="","⚠ Falta monto",IF(Q3011="","⚠ Falta cuenta",IF(ISNA(MATCH(Q3011,ctaNombre,0)),"⚠ Cuenta no registrada",IF(AND(OR(P3011="Gasto",P3011="Reembolso"),D3011=""),"⚠ Falta categoría",IF(AND(D3011&lt;&gt;"",E3011&lt;&gt;"",ISNA(MATCH(D3011&amp;"|"&amp;E3011,catClave,0))),"⚠ Subcategoría no corresponde",IF(AND(OR(P3011="Transferencia",P3011="Pago tarjeta"),K3011=""),"⚠ Falta cuenta destino",IF(AND(K3011&lt;&gt;"",P3011&lt;&gt;"Transferencia",P3011&lt;&gt;"Pago tarjeta"),"⚠ Destino solo aplica a transferencias",IF(AND(K3011&lt;&gt;"",K3011=Q3011),"⚠ Origen igual a destino",IF(AND(K3011&lt;&gt;"",ISNA(MATCH(K3011,ctaNombre,0))),"⚠ Destino no registrado",IF(AND(P3011="Pago tarjeta",AE3011&lt;&gt;"Tarjeta de crédito"),"⚠ El destino debe ser tarjeta de crédito",IF(AND(P3011="Gasto",E3011="Depósitos y retiros"),"⚠ Usa tipo Transferencia",IF(AND(P3011="Resultado trading",AD3011&lt;&gt;"Cuenta de trading"),"⚠ Usa una cuenta de trading",IF(AND(G3011&lt;=0,P3011&lt;&gt;"Ajuste",P3011&lt;&gt;"Resultado trading"),"⚠ El monto debe ser positivo","✓")))))))))))))))</f>
        <v/>
      </c>
      <c r="P3011" s="52">
        <f>IF(OR(B3011="",G3011=""),"",IF(C3011="","Gasto",C3011))</f>
        <v/>
      </c>
      <c r="Q3011" s="52">
        <f>IF(P3011="","",IF(J3011&lt;&gt;"",J3011,CuentaPred&amp;""))</f>
        <v/>
      </c>
      <c r="R3011" s="52">
        <f>IF(P3011="","",IF(ISNUMBER(I3011),I3011,TasaUSD))</f>
        <v/>
      </c>
      <c r="S3011" s="53">
        <f>IF(P3011="","",IF(H3011="USD",G3011*R3011,G3011))</f>
        <v/>
      </c>
      <c r="T3011" s="53">
        <f>IF(P3011="","",IF(H3011="USD",G3011,IF(R3011&gt;0,G3011/R3011,0)))</f>
        <v/>
      </c>
      <c r="U3011" s="53">
        <f>IF(P3011="","",IF(P3011="Gasto",S3011,IF(P3011="Reembolso",-S3011,0)))</f>
        <v/>
      </c>
      <c r="V3011" s="53">
        <f>IF(P3011="","",IF(P3011="Ingreso",S3011,0))</f>
        <v/>
      </c>
      <c r="W3011" s="53">
        <f>IF(P3011="","",IF(P3011="Resultado trading",S3011,0))</f>
        <v/>
      </c>
      <c r="X3011" s="52">
        <f>IF(OR(P3011="Gasto",P3011="Reembolso"),IF(M3011&lt;&gt;"",M3011,IFERROR(INDEX(catClasif,MATCH(D3011&amp;"|"&amp;E3011,catClave,0))&amp;"","Variable")),"")</f>
        <v/>
      </c>
      <c r="Y3011" s="52">
        <f>IF(P3011="","",IFERROR(INDEX(catGrupo,MATCH(D3011&amp;"|"&amp;E3011,catClave,0))&amp;"",""))</f>
        <v/>
      </c>
      <c r="Z3011" s="52">
        <f>IF(P3011="","",WEEKDAY(B3011,2))</f>
        <v/>
      </c>
      <c r="AA3011" s="52">
        <f>IF(P3011="","",IF(AND(P3011="Gasto",X3011="Variable",D3011&lt;&gt;catTrading,S3011&gt;0,S3011&lt;=Umbral),1,0))</f>
        <v/>
      </c>
      <c r="AB3011" s="52">
        <f>IF(OR(P3011="",Q3011=""),"",IFERROR(IF(INDEX(ctaVinc,MATCH(Q3011,ctaNombre,0))&amp;""&lt;&gt;"",INDEX(ctaVinc,MATCH(Q3011,ctaNombre,0))&amp;"",Q3011),Q3011))</f>
        <v/>
      </c>
      <c r="AC3011" s="52">
        <f>IF(OR(K3011="",AND(P3011&lt;&gt;"Transferencia",P3011&lt;&gt;"Pago tarjeta")),"",IFERROR(IF(INDEX(ctaVinc,MATCH(K3011,ctaNombre,0))&amp;""&lt;&gt;"",INDEX(ctaVinc,MATCH(K3011,ctaNombre,0))&amp;"",K3011),K3011))</f>
        <v/>
      </c>
      <c r="AD3011" s="52">
        <f>IF(AB3011="","",IFERROR(INDEX(ctaTipo,MATCH(AB3011,ctaNombre,0))&amp;"",""))</f>
        <v/>
      </c>
      <c r="AE3011" s="52">
        <f>IF(AC3011="","",IFERROR(INDEX(ctaTipo,MATCH(AC3011,ctaNombre,0))&amp;"",""))</f>
        <v/>
      </c>
      <c r="AF3011" s="53">
        <f>IF(OR(P3011="",AB3011=""),"",IF(OR(P3011="Gasto",P3011="Transferencia",P3011="Pago tarjeta"),-1,1)*IF(IFERROR(INDEX(ctaMoneda,MATCH(AB3011,ctaNombre,0))&amp;"","DOP")="USD",T3011,S3011))</f>
        <v/>
      </c>
      <c r="AG3011" s="53">
        <f>IF(AC3011="","",IF(IFERROR(INDEX(ctaMoneda,MATCH(AC3011,ctaNombre,0))&amp;"","DOP")="USD",T3011,S3011))</f>
        <v/>
      </c>
      <c r="AH3011" s="53">
        <f>IF(P3011="","",IF(AND(AD3011&lt;&gt;"",COUNTIFS(tcTipo,AD3011,tcLiq,"Sí")&gt;0),IF(OR(P3011="Gasto",P3011="Transferencia",P3011="Pago tarjeta"),-1,1)*S3011,0)+IF(AND(AE3011&lt;&gt;"",COUNTIFS(tcTipo,AE3011,tcLiq,"Sí")&gt;0),S3011,0))</f>
        <v/>
      </c>
      <c r="AI3011" s="52">
        <f>IF(OR(L3011="",P3011=""),"",IF(COUNTIFS(L$6:L3011,L3011,P$6:P3011,"?*")=1,MAX(AI$5:AI3010)+1,""))</f>
        <v/>
      </c>
    </row>
    <row r="3012">
      <c r="B3012" s="47" t="n"/>
      <c r="C3012" s="48" t="n"/>
      <c r="D3012" s="48" t="n"/>
      <c r="E3012" s="48" t="n"/>
      <c r="F3012" s="48" t="n"/>
      <c r="G3012" s="49" t="n"/>
      <c r="H3012" s="48" t="n"/>
      <c r="I3012" s="50" t="n"/>
      <c r="J3012" s="48" t="n"/>
      <c r="K3012" s="48" t="n"/>
      <c r="L3012" s="48" t="n"/>
      <c r="M3012" s="48" t="n"/>
      <c r="N3012" s="48" t="n"/>
      <c r="O3012" s="51">
        <f>IF(AND(B3012="",G3012="",C3012="",D3012="",J3012=""),"",IF(B3012="","⚠ Falta fecha",IF(G3012="","⚠ Falta monto",IF(Q3012="","⚠ Falta cuenta",IF(ISNA(MATCH(Q3012,ctaNombre,0)),"⚠ Cuenta no registrada",IF(AND(OR(P3012="Gasto",P3012="Reembolso"),D3012=""),"⚠ Falta categoría",IF(AND(D3012&lt;&gt;"",E3012&lt;&gt;"",ISNA(MATCH(D3012&amp;"|"&amp;E3012,catClave,0))),"⚠ Subcategoría no corresponde",IF(AND(OR(P3012="Transferencia",P3012="Pago tarjeta"),K3012=""),"⚠ Falta cuenta destino",IF(AND(K3012&lt;&gt;"",P3012&lt;&gt;"Transferencia",P3012&lt;&gt;"Pago tarjeta"),"⚠ Destino solo aplica a transferencias",IF(AND(K3012&lt;&gt;"",K3012=Q3012),"⚠ Origen igual a destino",IF(AND(K3012&lt;&gt;"",ISNA(MATCH(K3012,ctaNombre,0))),"⚠ Destino no registrado",IF(AND(P3012="Pago tarjeta",AE3012&lt;&gt;"Tarjeta de crédito"),"⚠ El destino debe ser tarjeta de crédito",IF(AND(P3012="Gasto",E3012="Depósitos y retiros"),"⚠ Usa tipo Transferencia",IF(AND(P3012="Resultado trading",AD3012&lt;&gt;"Cuenta de trading"),"⚠ Usa una cuenta de trading",IF(AND(G3012&lt;=0,P3012&lt;&gt;"Ajuste",P3012&lt;&gt;"Resultado trading"),"⚠ El monto debe ser positivo","✓")))))))))))))))</f>
        <v/>
      </c>
      <c r="P3012" s="52">
        <f>IF(OR(B3012="",G3012=""),"",IF(C3012="","Gasto",C3012))</f>
        <v/>
      </c>
      <c r="Q3012" s="52">
        <f>IF(P3012="","",IF(J3012&lt;&gt;"",J3012,CuentaPred&amp;""))</f>
        <v/>
      </c>
      <c r="R3012" s="52">
        <f>IF(P3012="","",IF(ISNUMBER(I3012),I3012,TasaUSD))</f>
        <v/>
      </c>
      <c r="S3012" s="53">
        <f>IF(P3012="","",IF(H3012="USD",G3012*R3012,G3012))</f>
        <v/>
      </c>
      <c r="T3012" s="53">
        <f>IF(P3012="","",IF(H3012="USD",G3012,IF(R3012&gt;0,G3012/R3012,0)))</f>
        <v/>
      </c>
      <c r="U3012" s="53">
        <f>IF(P3012="","",IF(P3012="Gasto",S3012,IF(P3012="Reembolso",-S3012,0)))</f>
        <v/>
      </c>
      <c r="V3012" s="53">
        <f>IF(P3012="","",IF(P3012="Ingreso",S3012,0))</f>
        <v/>
      </c>
      <c r="W3012" s="53">
        <f>IF(P3012="","",IF(P3012="Resultado trading",S3012,0))</f>
        <v/>
      </c>
      <c r="X3012" s="52">
        <f>IF(OR(P3012="Gasto",P3012="Reembolso"),IF(M3012&lt;&gt;"",M3012,IFERROR(INDEX(catClasif,MATCH(D3012&amp;"|"&amp;E3012,catClave,0))&amp;"","Variable")),"")</f>
        <v/>
      </c>
      <c r="Y3012" s="52">
        <f>IF(P3012="","",IFERROR(INDEX(catGrupo,MATCH(D3012&amp;"|"&amp;E3012,catClave,0))&amp;"",""))</f>
        <v/>
      </c>
      <c r="Z3012" s="52">
        <f>IF(P3012="","",WEEKDAY(B3012,2))</f>
        <v/>
      </c>
      <c r="AA3012" s="52">
        <f>IF(P3012="","",IF(AND(P3012="Gasto",X3012="Variable",D3012&lt;&gt;catTrading,S3012&gt;0,S3012&lt;=Umbral),1,0))</f>
        <v/>
      </c>
      <c r="AB3012" s="52">
        <f>IF(OR(P3012="",Q3012=""),"",IFERROR(IF(INDEX(ctaVinc,MATCH(Q3012,ctaNombre,0))&amp;""&lt;&gt;"",INDEX(ctaVinc,MATCH(Q3012,ctaNombre,0))&amp;"",Q3012),Q3012))</f>
        <v/>
      </c>
      <c r="AC3012" s="52">
        <f>IF(OR(K3012="",AND(P3012&lt;&gt;"Transferencia",P3012&lt;&gt;"Pago tarjeta")),"",IFERROR(IF(INDEX(ctaVinc,MATCH(K3012,ctaNombre,0))&amp;""&lt;&gt;"",INDEX(ctaVinc,MATCH(K3012,ctaNombre,0))&amp;"",K3012),K3012))</f>
        <v/>
      </c>
      <c r="AD3012" s="52">
        <f>IF(AB3012="","",IFERROR(INDEX(ctaTipo,MATCH(AB3012,ctaNombre,0))&amp;"",""))</f>
        <v/>
      </c>
      <c r="AE3012" s="52">
        <f>IF(AC3012="","",IFERROR(INDEX(ctaTipo,MATCH(AC3012,ctaNombre,0))&amp;"",""))</f>
        <v/>
      </c>
      <c r="AF3012" s="53">
        <f>IF(OR(P3012="",AB3012=""),"",IF(OR(P3012="Gasto",P3012="Transferencia",P3012="Pago tarjeta"),-1,1)*IF(IFERROR(INDEX(ctaMoneda,MATCH(AB3012,ctaNombre,0))&amp;"","DOP")="USD",T3012,S3012))</f>
        <v/>
      </c>
      <c r="AG3012" s="53">
        <f>IF(AC3012="","",IF(IFERROR(INDEX(ctaMoneda,MATCH(AC3012,ctaNombre,0))&amp;"","DOP")="USD",T3012,S3012))</f>
        <v/>
      </c>
      <c r="AH3012" s="53">
        <f>IF(P3012="","",IF(AND(AD3012&lt;&gt;"",COUNTIFS(tcTipo,AD3012,tcLiq,"Sí")&gt;0),IF(OR(P3012="Gasto",P3012="Transferencia",P3012="Pago tarjeta"),-1,1)*S3012,0)+IF(AND(AE3012&lt;&gt;"",COUNTIFS(tcTipo,AE3012,tcLiq,"Sí")&gt;0),S3012,0))</f>
        <v/>
      </c>
      <c r="AI3012" s="52">
        <f>IF(OR(L3012="",P3012=""),"",IF(COUNTIFS(L$6:L3012,L3012,P$6:P3012,"?*")=1,MAX(AI$5:AI3011)+1,""))</f>
        <v/>
      </c>
    </row>
    <row r="3013">
      <c r="B3013" s="47" t="n"/>
      <c r="C3013" s="48" t="n"/>
      <c r="D3013" s="48" t="n"/>
      <c r="E3013" s="48" t="n"/>
      <c r="F3013" s="48" t="n"/>
      <c r="G3013" s="49" t="n"/>
      <c r="H3013" s="48" t="n"/>
      <c r="I3013" s="50" t="n"/>
      <c r="J3013" s="48" t="n"/>
      <c r="K3013" s="48" t="n"/>
      <c r="L3013" s="48" t="n"/>
      <c r="M3013" s="48" t="n"/>
      <c r="N3013" s="48" t="n"/>
      <c r="O3013" s="51">
        <f>IF(AND(B3013="",G3013="",C3013="",D3013="",J3013=""),"",IF(B3013="","⚠ Falta fecha",IF(G3013="","⚠ Falta monto",IF(Q3013="","⚠ Falta cuenta",IF(ISNA(MATCH(Q3013,ctaNombre,0)),"⚠ Cuenta no registrada",IF(AND(OR(P3013="Gasto",P3013="Reembolso"),D3013=""),"⚠ Falta categoría",IF(AND(D3013&lt;&gt;"",E3013&lt;&gt;"",ISNA(MATCH(D3013&amp;"|"&amp;E3013,catClave,0))),"⚠ Subcategoría no corresponde",IF(AND(OR(P3013="Transferencia",P3013="Pago tarjeta"),K3013=""),"⚠ Falta cuenta destino",IF(AND(K3013&lt;&gt;"",P3013&lt;&gt;"Transferencia",P3013&lt;&gt;"Pago tarjeta"),"⚠ Destino solo aplica a transferencias",IF(AND(K3013&lt;&gt;"",K3013=Q3013),"⚠ Origen igual a destino",IF(AND(K3013&lt;&gt;"",ISNA(MATCH(K3013,ctaNombre,0))),"⚠ Destino no registrado",IF(AND(P3013="Pago tarjeta",AE3013&lt;&gt;"Tarjeta de crédito"),"⚠ El destino debe ser tarjeta de crédito",IF(AND(P3013="Gasto",E3013="Depósitos y retiros"),"⚠ Usa tipo Transferencia",IF(AND(P3013="Resultado trading",AD3013&lt;&gt;"Cuenta de trading"),"⚠ Usa una cuenta de trading",IF(AND(G3013&lt;=0,P3013&lt;&gt;"Ajuste",P3013&lt;&gt;"Resultado trading"),"⚠ El monto debe ser positivo","✓")))))))))))))))</f>
        <v/>
      </c>
      <c r="P3013" s="52">
        <f>IF(OR(B3013="",G3013=""),"",IF(C3013="","Gasto",C3013))</f>
        <v/>
      </c>
      <c r="Q3013" s="52">
        <f>IF(P3013="","",IF(J3013&lt;&gt;"",J3013,CuentaPred&amp;""))</f>
        <v/>
      </c>
      <c r="R3013" s="52">
        <f>IF(P3013="","",IF(ISNUMBER(I3013),I3013,TasaUSD))</f>
        <v/>
      </c>
      <c r="S3013" s="53">
        <f>IF(P3013="","",IF(H3013="USD",G3013*R3013,G3013))</f>
        <v/>
      </c>
      <c r="T3013" s="53">
        <f>IF(P3013="","",IF(H3013="USD",G3013,IF(R3013&gt;0,G3013/R3013,0)))</f>
        <v/>
      </c>
      <c r="U3013" s="53">
        <f>IF(P3013="","",IF(P3013="Gasto",S3013,IF(P3013="Reembolso",-S3013,0)))</f>
        <v/>
      </c>
      <c r="V3013" s="53">
        <f>IF(P3013="","",IF(P3013="Ingreso",S3013,0))</f>
        <v/>
      </c>
      <c r="W3013" s="53">
        <f>IF(P3013="","",IF(P3013="Resultado trading",S3013,0))</f>
        <v/>
      </c>
      <c r="X3013" s="52">
        <f>IF(OR(P3013="Gasto",P3013="Reembolso"),IF(M3013&lt;&gt;"",M3013,IFERROR(INDEX(catClasif,MATCH(D3013&amp;"|"&amp;E3013,catClave,0))&amp;"","Variable")),"")</f>
        <v/>
      </c>
      <c r="Y3013" s="52">
        <f>IF(P3013="","",IFERROR(INDEX(catGrupo,MATCH(D3013&amp;"|"&amp;E3013,catClave,0))&amp;"",""))</f>
        <v/>
      </c>
      <c r="Z3013" s="52">
        <f>IF(P3013="","",WEEKDAY(B3013,2))</f>
        <v/>
      </c>
      <c r="AA3013" s="52">
        <f>IF(P3013="","",IF(AND(P3013="Gasto",X3013="Variable",D3013&lt;&gt;catTrading,S3013&gt;0,S3013&lt;=Umbral),1,0))</f>
        <v/>
      </c>
      <c r="AB3013" s="52">
        <f>IF(OR(P3013="",Q3013=""),"",IFERROR(IF(INDEX(ctaVinc,MATCH(Q3013,ctaNombre,0))&amp;""&lt;&gt;"",INDEX(ctaVinc,MATCH(Q3013,ctaNombre,0))&amp;"",Q3013),Q3013))</f>
        <v/>
      </c>
      <c r="AC3013" s="52">
        <f>IF(OR(K3013="",AND(P3013&lt;&gt;"Transferencia",P3013&lt;&gt;"Pago tarjeta")),"",IFERROR(IF(INDEX(ctaVinc,MATCH(K3013,ctaNombre,0))&amp;""&lt;&gt;"",INDEX(ctaVinc,MATCH(K3013,ctaNombre,0))&amp;"",K3013),K3013))</f>
        <v/>
      </c>
      <c r="AD3013" s="52">
        <f>IF(AB3013="","",IFERROR(INDEX(ctaTipo,MATCH(AB3013,ctaNombre,0))&amp;"",""))</f>
        <v/>
      </c>
      <c r="AE3013" s="52">
        <f>IF(AC3013="","",IFERROR(INDEX(ctaTipo,MATCH(AC3013,ctaNombre,0))&amp;"",""))</f>
        <v/>
      </c>
      <c r="AF3013" s="53">
        <f>IF(OR(P3013="",AB3013=""),"",IF(OR(P3013="Gasto",P3013="Transferencia",P3013="Pago tarjeta"),-1,1)*IF(IFERROR(INDEX(ctaMoneda,MATCH(AB3013,ctaNombre,0))&amp;"","DOP")="USD",T3013,S3013))</f>
        <v/>
      </c>
      <c r="AG3013" s="53">
        <f>IF(AC3013="","",IF(IFERROR(INDEX(ctaMoneda,MATCH(AC3013,ctaNombre,0))&amp;"","DOP")="USD",T3013,S3013))</f>
        <v/>
      </c>
      <c r="AH3013" s="53">
        <f>IF(P3013="","",IF(AND(AD3013&lt;&gt;"",COUNTIFS(tcTipo,AD3013,tcLiq,"Sí")&gt;0),IF(OR(P3013="Gasto",P3013="Transferencia",P3013="Pago tarjeta"),-1,1)*S3013,0)+IF(AND(AE3013&lt;&gt;"",COUNTIFS(tcTipo,AE3013,tcLiq,"Sí")&gt;0),S3013,0))</f>
        <v/>
      </c>
      <c r="AI3013" s="52">
        <f>IF(OR(L3013="",P3013=""),"",IF(COUNTIFS(L$6:L3013,L3013,P$6:P3013,"?*")=1,MAX(AI$5:AI3012)+1,""))</f>
        <v/>
      </c>
    </row>
    <row r="3014">
      <c r="B3014" s="47" t="n"/>
      <c r="C3014" s="48" t="n"/>
      <c r="D3014" s="48" t="n"/>
      <c r="E3014" s="48" t="n"/>
      <c r="F3014" s="48" t="n"/>
      <c r="G3014" s="49" t="n"/>
      <c r="H3014" s="48" t="n"/>
      <c r="I3014" s="50" t="n"/>
      <c r="J3014" s="48" t="n"/>
      <c r="K3014" s="48" t="n"/>
      <c r="L3014" s="48" t="n"/>
      <c r="M3014" s="48" t="n"/>
      <c r="N3014" s="48" t="n"/>
      <c r="O3014" s="51">
        <f>IF(AND(B3014="",G3014="",C3014="",D3014="",J3014=""),"",IF(B3014="","⚠ Falta fecha",IF(G3014="","⚠ Falta monto",IF(Q3014="","⚠ Falta cuenta",IF(ISNA(MATCH(Q3014,ctaNombre,0)),"⚠ Cuenta no registrada",IF(AND(OR(P3014="Gasto",P3014="Reembolso"),D3014=""),"⚠ Falta categoría",IF(AND(D3014&lt;&gt;"",E3014&lt;&gt;"",ISNA(MATCH(D3014&amp;"|"&amp;E3014,catClave,0))),"⚠ Subcategoría no corresponde",IF(AND(OR(P3014="Transferencia",P3014="Pago tarjeta"),K3014=""),"⚠ Falta cuenta destino",IF(AND(K3014&lt;&gt;"",P3014&lt;&gt;"Transferencia",P3014&lt;&gt;"Pago tarjeta"),"⚠ Destino solo aplica a transferencias",IF(AND(K3014&lt;&gt;"",K3014=Q3014),"⚠ Origen igual a destino",IF(AND(K3014&lt;&gt;"",ISNA(MATCH(K3014,ctaNombre,0))),"⚠ Destino no registrado",IF(AND(P3014="Pago tarjeta",AE3014&lt;&gt;"Tarjeta de crédito"),"⚠ El destino debe ser tarjeta de crédito",IF(AND(P3014="Gasto",E3014="Depósitos y retiros"),"⚠ Usa tipo Transferencia",IF(AND(P3014="Resultado trading",AD3014&lt;&gt;"Cuenta de trading"),"⚠ Usa una cuenta de trading",IF(AND(G3014&lt;=0,P3014&lt;&gt;"Ajuste",P3014&lt;&gt;"Resultado trading"),"⚠ El monto debe ser positivo","✓")))))))))))))))</f>
        <v/>
      </c>
      <c r="P3014" s="52">
        <f>IF(OR(B3014="",G3014=""),"",IF(C3014="","Gasto",C3014))</f>
        <v/>
      </c>
      <c r="Q3014" s="52">
        <f>IF(P3014="","",IF(J3014&lt;&gt;"",J3014,CuentaPred&amp;""))</f>
        <v/>
      </c>
      <c r="R3014" s="52">
        <f>IF(P3014="","",IF(ISNUMBER(I3014),I3014,TasaUSD))</f>
        <v/>
      </c>
      <c r="S3014" s="53">
        <f>IF(P3014="","",IF(H3014="USD",G3014*R3014,G3014))</f>
        <v/>
      </c>
      <c r="T3014" s="53">
        <f>IF(P3014="","",IF(H3014="USD",G3014,IF(R3014&gt;0,G3014/R3014,0)))</f>
        <v/>
      </c>
      <c r="U3014" s="53">
        <f>IF(P3014="","",IF(P3014="Gasto",S3014,IF(P3014="Reembolso",-S3014,0)))</f>
        <v/>
      </c>
      <c r="V3014" s="53">
        <f>IF(P3014="","",IF(P3014="Ingreso",S3014,0))</f>
        <v/>
      </c>
      <c r="W3014" s="53">
        <f>IF(P3014="","",IF(P3014="Resultado trading",S3014,0))</f>
        <v/>
      </c>
      <c r="X3014" s="52">
        <f>IF(OR(P3014="Gasto",P3014="Reembolso"),IF(M3014&lt;&gt;"",M3014,IFERROR(INDEX(catClasif,MATCH(D3014&amp;"|"&amp;E3014,catClave,0))&amp;"","Variable")),"")</f>
        <v/>
      </c>
      <c r="Y3014" s="52">
        <f>IF(P3014="","",IFERROR(INDEX(catGrupo,MATCH(D3014&amp;"|"&amp;E3014,catClave,0))&amp;"",""))</f>
        <v/>
      </c>
      <c r="Z3014" s="52">
        <f>IF(P3014="","",WEEKDAY(B3014,2))</f>
        <v/>
      </c>
      <c r="AA3014" s="52">
        <f>IF(P3014="","",IF(AND(P3014="Gasto",X3014="Variable",D3014&lt;&gt;catTrading,S3014&gt;0,S3014&lt;=Umbral),1,0))</f>
        <v/>
      </c>
      <c r="AB3014" s="52">
        <f>IF(OR(P3014="",Q3014=""),"",IFERROR(IF(INDEX(ctaVinc,MATCH(Q3014,ctaNombre,0))&amp;""&lt;&gt;"",INDEX(ctaVinc,MATCH(Q3014,ctaNombre,0))&amp;"",Q3014),Q3014))</f>
        <v/>
      </c>
      <c r="AC3014" s="52">
        <f>IF(OR(K3014="",AND(P3014&lt;&gt;"Transferencia",P3014&lt;&gt;"Pago tarjeta")),"",IFERROR(IF(INDEX(ctaVinc,MATCH(K3014,ctaNombre,0))&amp;""&lt;&gt;"",INDEX(ctaVinc,MATCH(K3014,ctaNombre,0))&amp;"",K3014),K3014))</f>
        <v/>
      </c>
      <c r="AD3014" s="52">
        <f>IF(AB3014="","",IFERROR(INDEX(ctaTipo,MATCH(AB3014,ctaNombre,0))&amp;"",""))</f>
        <v/>
      </c>
      <c r="AE3014" s="52">
        <f>IF(AC3014="","",IFERROR(INDEX(ctaTipo,MATCH(AC3014,ctaNombre,0))&amp;"",""))</f>
        <v/>
      </c>
      <c r="AF3014" s="53">
        <f>IF(OR(P3014="",AB3014=""),"",IF(OR(P3014="Gasto",P3014="Transferencia",P3014="Pago tarjeta"),-1,1)*IF(IFERROR(INDEX(ctaMoneda,MATCH(AB3014,ctaNombre,0))&amp;"","DOP")="USD",T3014,S3014))</f>
        <v/>
      </c>
      <c r="AG3014" s="53">
        <f>IF(AC3014="","",IF(IFERROR(INDEX(ctaMoneda,MATCH(AC3014,ctaNombre,0))&amp;"","DOP")="USD",T3014,S3014))</f>
        <v/>
      </c>
      <c r="AH3014" s="53">
        <f>IF(P3014="","",IF(AND(AD3014&lt;&gt;"",COUNTIFS(tcTipo,AD3014,tcLiq,"Sí")&gt;0),IF(OR(P3014="Gasto",P3014="Transferencia",P3014="Pago tarjeta"),-1,1)*S3014,0)+IF(AND(AE3014&lt;&gt;"",COUNTIFS(tcTipo,AE3014,tcLiq,"Sí")&gt;0),S3014,0))</f>
        <v/>
      </c>
      <c r="AI3014" s="52">
        <f>IF(OR(L3014="",P3014=""),"",IF(COUNTIFS(L$6:L3014,L3014,P$6:P3014,"?*")=1,MAX(AI$5:AI3013)+1,""))</f>
        <v/>
      </c>
    </row>
    <row r="3015">
      <c r="B3015" s="47" t="n"/>
      <c r="C3015" s="48" t="n"/>
      <c r="D3015" s="48" t="n"/>
      <c r="E3015" s="48" t="n"/>
      <c r="F3015" s="48" t="n"/>
      <c r="G3015" s="49" t="n"/>
      <c r="H3015" s="48" t="n"/>
      <c r="I3015" s="50" t="n"/>
      <c r="J3015" s="48" t="n"/>
      <c r="K3015" s="48" t="n"/>
      <c r="L3015" s="48" t="n"/>
      <c r="M3015" s="48" t="n"/>
      <c r="N3015" s="48" t="n"/>
      <c r="O3015" s="51">
        <f>IF(AND(B3015="",G3015="",C3015="",D3015="",J3015=""),"",IF(B3015="","⚠ Falta fecha",IF(G3015="","⚠ Falta monto",IF(Q3015="","⚠ Falta cuenta",IF(ISNA(MATCH(Q3015,ctaNombre,0)),"⚠ Cuenta no registrada",IF(AND(OR(P3015="Gasto",P3015="Reembolso"),D3015=""),"⚠ Falta categoría",IF(AND(D3015&lt;&gt;"",E3015&lt;&gt;"",ISNA(MATCH(D3015&amp;"|"&amp;E3015,catClave,0))),"⚠ Subcategoría no corresponde",IF(AND(OR(P3015="Transferencia",P3015="Pago tarjeta"),K3015=""),"⚠ Falta cuenta destino",IF(AND(K3015&lt;&gt;"",P3015&lt;&gt;"Transferencia",P3015&lt;&gt;"Pago tarjeta"),"⚠ Destino solo aplica a transferencias",IF(AND(K3015&lt;&gt;"",K3015=Q3015),"⚠ Origen igual a destino",IF(AND(K3015&lt;&gt;"",ISNA(MATCH(K3015,ctaNombre,0))),"⚠ Destino no registrado",IF(AND(P3015="Pago tarjeta",AE3015&lt;&gt;"Tarjeta de crédito"),"⚠ El destino debe ser tarjeta de crédito",IF(AND(P3015="Gasto",E3015="Depósitos y retiros"),"⚠ Usa tipo Transferencia",IF(AND(P3015="Resultado trading",AD3015&lt;&gt;"Cuenta de trading"),"⚠ Usa una cuenta de trading",IF(AND(G3015&lt;=0,P3015&lt;&gt;"Ajuste",P3015&lt;&gt;"Resultado trading"),"⚠ El monto debe ser positivo","✓")))))))))))))))</f>
        <v/>
      </c>
      <c r="P3015" s="52">
        <f>IF(OR(B3015="",G3015=""),"",IF(C3015="","Gasto",C3015))</f>
        <v/>
      </c>
      <c r="Q3015" s="52">
        <f>IF(P3015="","",IF(J3015&lt;&gt;"",J3015,CuentaPred&amp;""))</f>
        <v/>
      </c>
      <c r="R3015" s="52">
        <f>IF(P3015="","",IF(ISNUMBER(I3015),I3015,TasaUSD))</f>
        <v/>
      </c>
      <c r="S3015" s="53">
        <f>IF(P3015="","",IF(H3015="USD",G3015*R3015,G3015))</f>
        <v/>
      </c>
      <c r="T3015" s="53">
        <f>IF(P3015="","",IF(H3015="USD",G3015,IF(R3015&gt;0,G3015/R3015,0)))</f>
        <v/>
      </c>
      <c r="U3015" s="53">
        <f>IF(P3015="","",IF(P3015="Gasto",S3015,IF(P3015="Reembolso",-S3015,0)))</f>
        <v/>
      </c>
      <c r="V3015" s="53">
        <f>IF(P3015="","",IF(P3015="Ingreso",S3015,0))</f>
        <v/>
      </c>
      <c r="W3015" s="53">
        <f>IF(P3015="","",IF(P3015="Resultado trading",S3015,0))</f>
        <v/>
      </c>
      <c r="X3015" s="52">
        <f>IF(OR(P3015="Gasto",P3015="Reembolso"),IF(M3015&lt;&gt;"",M3015,IFERROR(INDEX(catClasif,MATCH(D3015&amp;"|"&amp;E3015,catClave,0))&amp;"","Variable")),"")</f>
        <v/>
      </c>
      <c r="Y3015" s="52">
        <f>IF(P3015="","",IFERROR(INDEX(catGrupo,MATCH(D3015&amp;"|"&amp;E3015,catClave,0))&amp;"",""))</f>
        <v/>
      </c>
      <c r="Z3015" s="52">
        <f>IF(P3015="","",WEEKDAY(B3015,2))</f>
        <v/>
      </c>
      <c r="AA3015" s="52">
        <f>IF(P3015="","",IF(AND(P3015="Gasto",X3015="Variable",D3015&lt;&gt;catTrading,S3015&gt;0,S3015&lt;=Umbral),1,0))</f>
        <v/>
      </c>
      <c r="AB3015" s="52">
        <f>IF(OR(P3015="",Q3015=""),"",IFERROR(IF(INDEX(ctaVinc,MATCH(Q3015,ctaNombre,0))&amp;""&lt;&gt;"",INDEX(ctaVinc,MATCH(Q3015,ctaNombre,0))&amp;"",Q3015),Q3015))</f>
        <v/>
      </c>
      <c r="AC3015" s="52">
        <f>IF(OR(K3015="",AND(P3015&lt;&gt;"Transferencia",P3015&lt;&gt;"Pago tarjeta")),"",IFERROR(IF(INDEX(ctaVinc,MATCH(K3015,ctaNombre,0))&amp;""&lt;&gt;"",INDEX(ctaVinc,MATCH(K3015,ctaNombre,0))&amp;"",K3015),K3015))</f>
        <v/>
      </c>
      <c r="AD3015" s="52">
        <f>IF(AB3015="","",IFERROR(INDEX(ctaTipo,MATCH(AB3015,ctaNombre,0))&amp;"",""))</f>
        <v/>
      </c>
      <c r="AE3015" s="52">
        <f>IF(AC3015="","",IFERROR(INDEX(ctaTipo,MATCH(AC3015,ctaNombre,0))&amp;"",""))</f>
        <v/>
      </c>
      <c r="AF3015" s="53">
        <f>IF(OR(P3015="",AB3015=""),"",IF(OR(P3015="Gasto",P3015="Transferencia",P3015="Pago tarjeta"),-1,1)*IF(IFERROR(INDEX(ctaMoneda,MATCH(AB3015,ctaNombre,0))&amp;"","DOP")="USD",T3015,S3015))</f>
        <v/>
      </c>
      <c r="AG3015" s="53">
        <f>IF(AC3015="","",IF(IFERROR(INDEX(ctaMoneda,MATCH(AC3015,ctaNombre,0))&amp;"","DOP")="USD",T3015,S3015))</f>
        <v/>
      </c>
      <c r="AH3015" s="53">
        <f>IF(P3015="","",IF(AND(AD3015&lt;&gt;"",COUNTIFS(tcTipo,AD3015,tcLiq,"Sí")&gt;0),IF(OR(P3015="Gasto",P3015="Transferencia",P3015="Pago tarjeta"),-1,1)*S3015,0)+IF(AND(AE3015&lt;&gt;"",COUNTIFS(tcTipo,AE3015,tcLiq,"Sí")&gt;0),S3015,0))</f>
        <v/>
      </c>
      <c r="AI3015" s="52">
        <f>IF(OR(L3015="",P3015=""),"",IF(COUNTIFS(L$6:L3015,L3015,P$6:P3015,"?*")=1,MAX(AI$5:AI3014)+1,""))</f>
        <v/>
      </c>
    </row>
    <row r="3016">
      <c r="B3016" s="47" t="n"/>
      <c r="C3016" s="48" t="n"/>
      <c r="D3016" s="48" t="n"/>
      <c r="E3016" s="48" t="n"/>
      <c r="F3016" s="48" t="n"/>
      <c r="G3016" s="49" t="n"/>
      <c r="H3016" s="48" t="n"/>
      <c r="I3016" s="50" t="n"/>
      <c r="J3016" s="48" t="n"/>
      <c r="K3016" s="48" t="n"/>
      <c r="L3016" s="48" t="n"/>
      <c r="M3016" s="48" t="n"/>
      <c r="N3016" s="48" t="n"/>
      <c r="O3016" s="51">
        <f>IF(AND(B3016="",G3016="",C3016="",D3016="",J3016=""),"",IF(B3016="","⚠ Falta fecha",IF(G3016="","⚠ Falta monto",IF(Q3016="","⚠ Falta cuenta",IF(ISNA(MATCH(Q3016,ctaNombre,0)),"⚠ Cuenta no registrada",IF(AND(OR(P3016="Gasto",P3016="Reembolso"),D3016=""),"⚠ Falta categoría",IF(AND(D3016&lt;&gt;"",E3016&lt;&gt;"",ISNA(MATCH(D3016&amp;"|"&amp;E3016,catClave,0))),"⚠ Subcategoría no corresponde",IF(AND(OR(P3016="Transferencia",P3016="Pago tarjeta"),K3016=""),"⚠ Falta cuenta destino",IF(AND(K3016&lt;&gt;"",P3016&lt;&gt;"Transferencia",P3016&lt;&gt;"Pago tarjeta"),"⚠ Destino solo aplica a transferencias",IF(AND(K3016&lt;&gt;"",K3016=Q3016),"⚠ Origen igual a destino",IF(AND(K3016&lt;&gt;"",ISNA(MATCH(K3016,ctaNombre,0))),"⚠ Destino no registrado",IF(AND(P3016="Pago tarjeta",AE3016&lt;&gt;"Tarjeta de crédito"),"⚠ El destino debe ser tarjeta de crédito",IF(AND(P3016="Gasto",E3016="Depósitos y retiros"),"⚠ Usa tipo Transferencia",IF(AND(P3016="Resultado trading",AD3016&lt;&gt;"Cuenta de trading"),"⚠ Usa una cuenta de trading",IF(AND(G3016&lt;=0,P3016&lt;&gt;"Ajuste",P3016&lt;&gt;"Resultado trading"),"⚠ El monto debe ser positivo","✓")))))))))))))))</f>
        <v/>
      </c>
      <c r="P3016" s="52">
        <f>IF(OR(B3016="",G3016=""),"",IF(C3016="","Gasto",C3016))</f>
        <v/>
      </c>
      <c r="Q3016" s="52">
        <f>IF(P3016="","",IF(J3016&lt;&gt;"",J3016,CuentaPred&amp;""))</f>
        <v/>
      </c>
      <c r="R3016" s="52">
        <f>IF(P3016="","",IF(ISNUMBER(I3016),I3016,TasaUSD))</f>
        <v/>
      </c>
      <c r="S3016" s="53">
        <f>IF(P3016="","",IF(H3016="USD",G3016*R3016,G3016))</f>
        <v/>
      </c>
      <c r="T3016" s="53">
        <f>IF(P3016="","",IF(H3016="USD",G3016,IF(R3016&gt;0,G3016/R3016,0)))</f>
        <v/>
      </c>
      <c r="U3016" s="53">
        <f>IF(P3016="","",IF(P3016="Gasto",S3016,IF(P3016="Reembolso",-S3016,0)))</f>
        <v/>
      </c>
      <c r="V3016" s="53">
        <f>IF(P3016="","",IF(P3016="Ingreso",S3016,0))</f>
        <v/>
      </c>
      <c r="W3016" s="53">
        <f>IF(P3016="","",IF(P3016="Resultado trading",S3016,0))</f>
        <v/>
      </c>
      <c r="X3016" s="52">
        <f>IF(OR(P3016="Gasto",P3016="Reembolso"),IF(M3016&lt;&gt;"",M3016,IFERROR(INDEX(catClasif,MATCH(D3016&amp;"|"&amp;E3016,catClave,0))&amp;"","Variable")),"")</f>
        <v/>
      </c>
      <c r="Y3016" s="52">
        <f>IF(P3016="","",IFERROR(INDEX(catGrupo,MATCH(D3016&amp;"|"&amp;E3016,catClave,0))&amp;"",""))</f>
        <v/>
      </c>
      <c r="Z3016" s="52">
        <f>IF(P3016="","",WEEKDAY(B3016,2))</f>
        <v/>
      </c>
      <c r="AA3016" s="52">
        <f>IF(P3016="","",IF(AND(P3016="Gasto",X3016="Variable",D3016&lt;&gt;catTrading,S3016&gt;0,S3016&lt;=Umbral),1,0))</f>
        <v/>
      </c>
      <c r="AB3016" s="52">
        <f>IF(OR(P3016="",Q3016=""),"",IFERROR(IF(INDEX(ctaVinc,MATCH(Q3016,ctaNombre,0))&amp;""&lt;&gt;"",INDEX(ctaVinc,MATCH(Q3016,ctaNombre,0))&amp;"",Q3016),Q3016))</f>
        <v/>
      </c>
      <c r="AC3016" s="52">
        <f>IF(OR(K3016="",AND(P3016&lt;&gt;"Transferencia",P3016&lt;&gt;"Pago tarjeta")),"",IFERROR(IF(INDEX(ctaVinc,MATCH(K3016,ctaNombre,0))&amp;""&lt;&gt;"",INDEX(ctaVinc,MATCH(K3016,ctaNombre,0))&amp;"",K3016),K3016))</f>
        <v/>
      </c>
      <c r="AD3016" s="52">
        <f>IF(AB3016="","",IFERROR(INDEX(ctaTipo,MATCH(AB3016,ctaNombre,0))&amp;"",""))</f>
        <v/>
      </c>
      <c r="AE3016" s="52">
        <f>IF(AC3016="","",IFERROR(INDEX(ctaTipo,MATCH(AC3016,ctaNombre,0))&amp;"",""))</f>
        <v/>
      </c>
      <c r="AF3016" s="53">
        <f>IF(OR(P3016="",AB3016=""),"",IF(OR(P3016="Gasto",P3016="Transferencia",P3016="Pago tarjeta"),-1,1)*IF(IFERROR(INDEX(ctaMoneda,MATCH(AB3016,ctaNombre,0))&amp;"","DOP")="USD",T3016,S3016))</f>
        <v/>
      </c>
      <c r="AG3016" s="53">
        <f>IF(AC3016="","",IF(IFERROR(INDEX(ctaMoneda,MATCH(AC3016,ctaNombre,0))&amp;"","DOP")="USD",T3016,S3016))</f>
        <v/>
      </c>
      <c r="AH3016" s="53">
        <f>IF(P3016="","",IF(AND(AD3016&lt;&gt;"",COUNTIFS(tcTipo,AD3016,tcLiq,"Sí")&gt;0),IF(OR(P3016="Gasto",P3016="Transferencia",P3016="Pago tarjeta"),-1,1)*S3016,0)+IF(AND(AE3016&lt;&gt;"",COUNTIFS(tcTipo,AE3016,tcLiq,"Sí")&gt;0),S3016,0))</f>
        <v/>
      </c>
      <c r="AI3016" s="52">
        <f>IF(OR(L3016="",P3016=""),"",IF(COUNTIFS(L$6:L3016,L3016,P$6:P3016,"?*")=1,MAX(AI$5:AI3015)+1,""))</f>
        <v/>
      </c>
    </row>
    <row r="3017">
      <c r="B3017" s="47" t="n"/>
      <c r="C3017" s="48" t="n"/>
      <c r="D3017" s="48" t="n"/>
      <c r="E3017" s="48" t="n"/>
      <c r="F3017" s="48" t="n"/>
      <c r="G3017" s="49" t="n"/>
      <c r="H3017" s="48" t="n"/>
      <c r="I3017" s="50" t="n"/>
      <c r="J3017" s="48" t="n"/>
      <c r="K3017" s="48" t="n"/>
      <c r="L3017" s="48" t="n"/>
      <c r="M3017" s="48" t="n"/>
      <c r="N3017" s="48" t="n"/>
      <c r="O3017" s="51">
        <f>IF(AND(B3017="",G3017="",C3017="",D3017="",J3017=""),"",IF(B3017="","⚠ Falta fecha",IF(G3017="","⚠ Falta monto",IF(Q3017="","⚠ Falta cuenta",IF(ISNA(MATCH(Q3017,ctaNombre,0)),"⚠ Cuenta no registrada",IF(AND(OR(P3017="Gasto",P3017="Reembolso"),D3017=""),"⚠ Falta categoría",IF(AND(D3017&lt;&gt;"",E3017&lt;&gt;"",ISNA(MATCH(D3017&amp;"|"&amp;E3017,catClave,0))),"⚠ Subcategoría no corresponde",IF(AND(OR(P3017="Transferencia",P3017="Pago tarjeta"),K3017=""),"⚠ Falta cuenta destino",IF(AND(K3017&lt;&gt;"",P3017&lt;&gt;"Transferencia",P3017&lt;&gt;"Pago tarjeta"),"⚠ Destino solo aplica a transferencias",IF(AND(K3017&lt;&gt;"",K3017=Q3017),"⚠ Origen igual a destino",IF(AND(K3017&lt;&gt;"",ISNA(MATCH(K3017,ctaNombre,0))),"⚠ Destino no registrado",IF(AND(P3017="Pago tarjeta",AE3017&lt;&gt;"Tarjeta de crédito"),"⚠ El destino debe ser tarjeta de crédito",IF(AND(P3017="Gasto",E3017="Depósitos y retiros"),"⚠ Usa tipo Transferencia",IF(AND(P3017="Resultado trading",AD3017&lt;&gt;"Cuenta de trading"),"⚠ Usa una cuenta de trading",IF(AND(G3017&lt;=0,P3017&lt;&gt;"Ajuste",P3017&lt;&gt;"Resultado trading"),"⚠ El monto debe ser positivo","✓")))))))))))))))</f>
        <v/>
      </c>
      <c r="P3017" s="52">
        <f>IF(OR(B3017="",G3017=""),"",IF(C3017="","Gasto",C3017))</f>
        <v/>
      </c>
      <c r="Q3017" s="52">
        <f>IF(P3017="","",IF(J3017&lt;&gt;"",J3017,CuentaPred&amp;""))</f>
        <v/>
      </c>
      <c r="R3017" s="52">
        <f>IF(P3017="","",IF(ISNUMBER(I3017),I3017,TasaUSD))</f>
        <v/>
      </c>
      <c r="S3017" s="53">
        <f>IF(P3017="","",IF(H3017="USD",G3017*R3017,G3017))</f>
        <v/>
      </c>
      <c r="T3017" s="53">
        <f>IF(P3017="","",IF(H3017="USD",G3017,IF(R3017&gt;0,G3017/R3017,0)))</f>
        <v/>
      </c>
      <c r="U3017" s="53">
        <f>IF(P3017="","",IF(P3017="Gasto",S3017,IF(P3017="Reembolso",-S3017,0)))</f>
        <v/>
      </c>
      <c r="V3017" s="53">
        <f>IF(P3017="","",IF(P3017="Ingreso",S3017,0))</f>
        <v/>
      </c>
      <c r="W3017" s="53">
        <f>IF(P3017="","",IF(P3017="Resultado trading",S3017,0))</f>
        <v/>
      </c>
      <c r="X3017" s="52">
        <f>IF(OR(P3017="Gasto",P3017="Reembolso"),IF(M3017&lt;&gt;"",M3017,IFERROR(INDEX(catClasif,MATCH(D3017&amp;"|"&amp;E3017,catClave,0))&amp;"","Variable")),"")</f>
        <v/>
      </c>
      <c r="Y3017" s="52">
        <f>IF(P3017="","",IFERROR(INDEX(catGrupo,MATCH(D3017&amp;"|"&amp;E3017,catClave,0))&amp;"",""))</f>
        <v/>
      </c>
      <c r="Z3017" s="52">
        <f>IF(P3017="","",WEEKDAY(B3017,2))</f>
        <v/>
      </c>
      <c r="AA3017" s="52">
        <f>IF(P3017="","",IF(AND(P3017="Gasto",X3017="Variable",D3017&lt;&gt;catTrading,S3017&gt;0,S3017&lt;=Umbral),1,0))</f>
        <v/>
      </c>
      <c r="AB3017" s="52">
        <f>IF(OR(P3017="",Q3017=""),"",IFERROR(IF(INDEX(ctaVinc,MATCH(Q3017,ctaNombre,0))&amp;""&lt;&gt;"",INDEX(ctaVinc,MATCH(Q3017,ctaNombre,0))&amp;"",Q3017),Q3017))</f>
        <v/>
      </c>
      <c r="AC3017" s="52">
        <f>IF(OR(K3017="",AND(P3017&lt;&gt;"Transferencia",P3017&lt;&gt;"Pago tarjeta")),"",IFERROR(IF(INDEX(ctaVinc,MATCH(K3017,ctaNombre,0))&amp;""&lt;&gt;"",INDEX(ctaVinc,MATCH(K3017,ctaNombre,0))&amp;"",K3017),K3017))</f>
        <v/>
      </c>
      <c r="AD3017" s="52">
        <f>IF(AB3017="","",IFERROR(INDEX(ctaTipo,MATCH(AB3017,ctaNombre,0))&amp;"",""))</f>
        <v/>
      </c>
      <c r="AE3017" s="52">
        <f>IF(AC3017="","",IFERROR(INDEX(ctaTipo,MATCH(AC3017,ctaNombre,0))&amp;"",""))</f>
        <v/>
      </c>
      <c r="AF3017" s="53">
        <f>IF(OR(P3017="",AB3017=""),"",IF(OR(P3017="Gasto",P3017="Transferencia",P3017="Pago tarjeta"),-1,1)*IF(IFERROR(INDEX(ctaMoneda,MATCH(AB3017,ctaNombre,0))&amp;"","DOP")="USD",T3017,S3017))</f>
        <v/>
      </c>
      <c r="AG3017" s="53">
        <f>IF(AC3017="","",IF(IFERROR(INDEX(ctaMoneda,MATCH(AC3017,ctaNombre,0))&amp;"","DOP")="USD",T3017,S3017))</f>
        <v/>
      </c>
      <c r="AH3017" s="53">
        <f>IF(P3017="","",IF(AND(AD3017&lt;&gt;"",COUNTIFS(tcTipo,AD3017,tcLiq,"Sí")&gt;0),IF(OR(P3017="Gasto",P3017="Transferencia",P3017="Pago tarjeta"),-1,1)*S3017,0)+IF(AND(AE3017&lt;&gt;"",COUNTIFS(tcTipo,AE3017,tcLiq,"Sí")&gt;0),S3017,0))</f>
        <v/>
      </c>
      <c r="AI3017" s="52">
        <f>IF(OR(L3017="",P3017=""),"",IF(COUNTIFS(L$6:L3017,L3017,P$6:P3017,"?*")=1,MAX(AI$5:AI3016)+1,""))</f>
        <v/>
      </c>
    </row>
    <row r="3018">
      <c r="B3018" s="47" t="n"/>
      <c r="C3018" s="48" t="n"/>
      <c r="D3018" s="48" t="n"/>
      <c r="E3018" s="48" t="n"/>
      <c r="F3018" s="48" t="n"/>
      <c r="G3018" s="49" t="n"/>
      <c r="H3018" s="48" t="n"/>
      <c r="I3018" s="50" t="n"/>
      <c r="J3018" s="48" t="n"/>
      <c r="K3018" s="48" t="n"/>
      <c r="L3018" s="48" t="n"/>
      <c r="M3018" s="48" t="n"/>
      <c r="N3018" s="48" t="n"/>
      <c r="O3018" s="51">
        <f>IF(AND(B3018="",G3018="",C3018="",D3018="",J3018=""),"",IF(B3018="","⚠ Falta fecha",IF(G3018="","⚠ Falta monto",IF(Q3018="","⚠ Falta cuenta",IF(ISNA(MATCH(Q3018,ctaNombre,0)),"⚠ Cuenta no registrada",IF(AND(OR(P3018="Gasto",P3018="Reembolso"),D3018=""),"⚠ Falta categoría",IF(AND(D3018&lt;&gt;"",E3018&lt;&gt;"",ISNA(MATCH(D3018&amp;"|"&amp;E3018,catClave,0))),"⚠ Subcategoría no corresponde",IF(AND(OR(P3018="Transferencia",P3018="Pago tarjeta"),K3018=""),"⚠ Falta cuenta destino",IF(AND(K3018&lt;&gt;"",P3018&lt;&gt;"Transferencia",P3018&lt;&gt;"Pago tarjeta"),"⚠ Destino solo aplica a transferencias",IF(AND(K3018&lt;&gt;"",K3018=Q3018),"⚠ Origen igual a destino",IF(AND(K3018&lt;&gt;"",ISNA(MATCH(K3018,ctaNombre,0))),"⚠ Destino no registrado",IF(AND(P3018="Pago tarjeta",AE3018&lt;&gt;"Tarjeta de crédito"),"⚠ El destino debe ser tarjeta de crédito",IF(AND(P3018="Gasto",E3018="Depósitos y retiros"),"⚠ Usa tipo Transferencia",IF(AND(P3018="Resultado trading",AD3018&lt;&gt;"Cuenta de trading"),"⚠ Usa una cuenta de trading",IF(AND(G3018&lt;=0,P3018&lt;&gt;"Ajuste",P3018&lt;&gt;"Resultado trading"),"⚠ El monto debe ser positivo","✓")))))))))))))))</f>
        <v/>
      </c>
      <c r="P3018" s="52">
        <f>IF(OR(B3018="",G3018=""),"",IF(C3018="","Gasto",C3018))</f>
        <v/>
      </c>
      <c r="Q3018" s="52">
        <f>IF(P3018="","",IF(J3018&lt;&gt;"",J3018,CuentaPred&amp;""))</f>
        <v/>
      </c>
      <c r="R3018" s="52">
        <f>IF(P3018="","",IF(ISNUMBER(I3018),I3018,TasaUSD))</f>
        <v/>
      </c>
      <c r="S3018" s="53">
        <f>IF(P3018="","",IF(H3018="USD",G3018*R3018,G3018))</f>
        <v/>
      </c>
      <c r="T3018" s="53">
        <f>IF(P3018="","",IF(H3018="USD",G3018,IF(R3018&gt;0,G3018/R3018,0)))</f>
        <v/>
      </c>
      <c r="U3018" s="53">
        <f>IF(P3018="","",IF(P3018="Gasto",S3018,IF(P3018="Reembolso",-S3018,0)))</f>
        <v/>
      </c>
      <c r="V3018" s="53">
        <f>IF(P3018="","",IF(P3018="Ingreso",S3018,0))</f>
        <v/>
      </c>
      <c r="W3018" s="53">
        <f>IF(P3018="","",IF(P3018="Resultado trading",S3018,0))</f>
        <v/>
      </c>
      <c r="X3018" s="52">
        <f>IF(OR(P3018="Gasto",P3018="Reembolso"),IF(M3018&lt;&gt;"",M3018,IFERROR(INDEX(catClasif,MATCH(D3018&amp;"|"&amp;E3018,catClave,0))&amp;"","Variable")),"")</f>
        <v/>
      </c>
      <c r="Y3018" s="52">
        <f>IF(P3018="","",IFERROR(INDEX(catGrupo,MATCH(D3018&amp;"|"&amp;E3018,catClave,0))&amp;"",""))</f>
        <v/>
      </c>
      <c r="Z3018" s="52">
        <f>IF(P3018="","",WEEKDAY(B3018,2))</f>
        <v/>
      </c>
      <c r="AA3018" s="52">
        <f>IF(P3018="","",IF(AND(P3018="Gasto",X3018="Variable",D3018&lt;&gt;catTrading,S3018&gt;0,S3018&lt;=Umbral),1,0))</f>
        <v/>
      </c>
      <c r="AB3018" s="52">
        <f>IF(OR(P3018="",Q3018=""),"",IFERROR(IF(INDEX(ctaVinc,MATCH(Q3018,ctaNombre,0))&amp;""&lt;&gt;"",INDEX(ctaVinc,MATCH(Q3018,ctaNombre,0))&amp;"",Q3018),Q3018))</f>
        <v/>
      </c>
      <c r="AC3018" s="52">
        <f>IF(OR(K3018="",AND(P3018&lt;&gt;"Transferencia",P3018&lt;&gt;"Pago tarjeta")),"",IFERROR(IF(INDEX(ctaVinc,MATCH(K3018,ctaNombre,0))&amp;""&lt;&gt;"",INDEX(ctaVinc,MATCH(K3018,ctaNombre,0))&amp;"",K3018),K3018))</f>
        <v/>
      </c>
      <c r="AD3018" s="52">
        <f>IF(AB3018="","",IFERROR(INDEX(ctaTipo,MATCH(AB3018,ctaNombre,0))&amp;"",""))</f>
        <v/>
      </c>
      <c r="AE3018" s="52">
        <f>IF(AC3018="","",IFERROR(INDEX(ctaTipo,MATCH(AC3018,ctaNombre,0))&amp;"",""))</f>
        <v/>
      </c>
      <c r="AF3018" s="53">
        <f>IF(OR(P3018="",AB3018=""),"",IF(OR(P3018="Gasto",P3018="Transferencia",P3018="Pago tarjeta"),-1,1)*IF(IFERROR(INDEX(ctaMoneda,MATCH(AB3018,ctaNombre,0))&amp;"","DOP")="USD",T3018,S3018))</f>
        <v/>
      </c>
      <c r="AG3018" s="53">
        <f>IF(AC3018="","",IF(IFERROR(INDEX(ctaMoneda,MATCH(AC3018,ctaNombre,0))&amp;"","DOP")="USD",T3018,S3018))</f>
        <v/>
      </c>
      <c r="AH3018" s="53">
        <f>IF(P3018="","",IF(AND(AD3018&lt;&gt;"",COUNTIFS(tcTipo,AD3018,tcLiq,"Sí")&gt;0),IF(OR(P3018="Gasto",P3018="Transferencia",P3018="Pago tarjeta"),-1,1)*S3018,0)+IF(AND(AE3018&lt;&gt;"",COUNTIFS(tcTipo,AE3018,tcLiq,"Sí")&gt;0),S3018,0))</f>
        <v/>
      </c>
      <c r="AI3018" s="52">
        <f>IF(OR(L3018="",P3018=""),"",IF(COUNTIFS(L$6:L3018,L3018,P$6:P3018,"?*")=1,MAX(AI$5:AI3017)+1,""))</f>
        <v/>
      </c>
    </row>
    <row r="3019">
      <c r="B3019" s="47" t="n"/>
      <c r="C3019" s="48" t="n"/>
      <c r="D3019" s="48" t="n"/>
      <c r="E3019" s="48" t="n"/>
      <c r="F3019" s="48" t="n"/>
      <c r="G3019" s="49" t="n"/>
      <c r="H3019" s="48" t="n"/>
      <c r="I3019" s="50" t="n"/>
      <c r="J3019" s="48" t="n"/>
      <c r="K3019" s="48" t="n"/>
      <c r="L3019" s="48" t="n"/>
      <c r="M3019" s="48" t="n"/>
      <c r="N3019" s="48" t="n"/>
      <c r="O3019" s="51">
        <f>IF(AND(B3019="",G3019="",C3019="",D3019="",J3019=""),"",IF(B3019="","⚠ Falta fecha",IF(G3019="","⚠ Falta monto",IF(Q3019="","⚠ Falta cuenta",IF(ISNA(MATCH(Q3019,ctaNombre,0)),"⚠ Cuenta no registrada",IF(AND(OR(P3019="Gasto",P3019="Reembolso"),D3019=""),"⚠ Falta categoría",IF(AND(D3019&lt;&gt;"",E3019&lt;&gt;"",ISNA(MATCH(D3019&amp;"|"&amp;E3019,catClave,0))),"⚠ Subcategoría no corresponde",IF(AND(OR(P3019="Transferencia",P3019="Pago tarjeta"),K3019=""),"⚠ Falta cuenta destino",IF(AND(K3019&lt;&gt;"",P3019&lt;&gt;"Transferencia",P3019&lt;&gt;"Pago tarjeta"),"⚠ Destino solo aplica a transferencias",IF(AND(K3019&lt;&gt;"",K3019=Q3019),"⚠ Origen igual a destino",IF(AND(K3019&lt;&gt;"",ISNA(MATCH(K3019,ctaNombre,0))),"⚠ Destino no registrado",IF(AND(P3019="Pago tarjeta",AE3019&lt;&gt;"Tarjeta de crédito"),"⚠ El destino debe ser tarjeta de crédito",IF(AND(P3019="Gasto",E3019="Depósitos y retiros"),"⚠ Usa tipo Transferencia",IF(AND(P3019="Resultado trading",AD3019&lt;&gt;"Cuenta de trading"),"⚠ Usa una cuenta de trading",IF(AND(G3019&lt;=0,P3019&lt;&gt;"Ajuste",P3019&lt;&gt;"Resultado trading"),"⚠ El monto debe ser positivo","✓")))))))))))))))</f>
        <v/>
      </c>
      <c r="P3019" s="52">
        <f>IF(OR(B3019="",G3019=""),"",IF(C3019="","Gasto",C3019))</f>
        <v/>
      </c>
      <c r="Q3019" s="52">
        <f>IF(P3019="","",IF(J3019&lt;&gt;"",J3019,CuentaPred&amp;""))</f>
        <v/>
      </c>
      <c r="R3019" s="52">
        <f>IF(P3019="","",IF(ISNUMBER(I3019),I3019,TasaUSD))</f>
        <v/>
      </c>
      <c r="S3019" s="53">
        <f>IF(P3019="","",IF(H3019="USD",G3019*R3019,G3019))</f>
        <v/>
      </c>
      <c r="T3019" s="53">
        <f>IF(P3019="","",IF(H3019="USD",G3019,IF(R3019&gt;0,G3019/R3019,0)))</f>
        <v/>
      </c>
      <c r="U3019" s="53">
        <f>IF(P3019="","",IF(P3019="Gasto",S3019,IF(P3019="Reembolso",-S3019,0)))</f>
        <v/>
      </c>
      <c r="V3019" s="53">
        <f>IF(P3019="","",IF(P3019="Ingreso",S3019,0))</f>
        <v/>
      </c>
      <c r="W3019" s="53">
        <f>IF(P3019="","",IF(P3019="Resultado trading",S3019,0))</f>
        <v/>
      </c>
      <c r="X3019" s="52">
        <f>IF(OR(P3019="Gasto",P3019="Reembolso"),IF(M3019&lt;&gt;"",M3019,IFERROR(INDEX(catClasif,MATCH(D3019&amp;"|"&amp;E3019,catClave,0))&amp;"","Variable")),"")</f>
        <v/>
      </c>
      <c r="Y3019" s="52">
        <f>IF(P3019="","",IFERROR(INDEX(catGrupo,MATCH(D3019&amp;"|"&amp;E3019,catClave,0))&amp;"",""))</f>
        <v/>
      </c>
      <c r="Z3019" s="52">
        <f>IF(P3019="","",WEEKDAY(B3019,2))</f>
        <v/>
      </c>
      <c r="AA3019" s="52">
        <f>IF(P3019="","",IF(AND(P3019="Gasto",X3019="Variable",D3019&lt;&gt;catTrading,S3019&gt;0,S3019&lt;=Umbral),1,0))</f>
        <v/>
      </c>
      <c r="AB3019" s="52">
        <f>IF(OR(P3019="",Q3019=""),"",IFERROR(IF(INDEX(ctaVinc,MATCH(Q3019,ctaNombre,0))&amp;""&lt;&gt;"",INDEX(ctaVinc,MATCH(Q3019,ctaNombre,0))&amp;"",Q3019),Q3019))</f>
        <v/>
      </c>
      <c r="AC3019" s="52">
        <f>IF(OR(K3019="",AND(P3019&lt;&gt;"Transferencia",P3019&lt;&gt;"Pago tarjeta")),"",IFERROR(IF(INDEX(ctaVinc,MATCH(K3019,ctaNombre,0))&amp;""&lt;&gt;"",INDEX(ctaVinc,MATCH(K3019,ctaNombre,0))&amp;"",K3019),K3019))</f>
        <v/>
      </c>
      <c r="AD3019" s="52">
        <f>IF(AB3019="","",IFERROR(INDEX(ctaTipo,MATCH(AB3019,ctaNombre,0))&amp;"",""))</f>
        <v/>
      </c>
      <c r="AE3019" s="52">
        <f>IF(AC3019="","",IFERROR(INDEX(ctaTipo,MATCH(AC3019,ctaNombre,0))&amp;"",""))</f>
        <v/>
      </c>
      <c r="AF3019" s="53">
        <f>IF(OR(P3019="",AB3019=""),"",IF(OR(P3019="Gasto",P3019="Transferencia",P3019="Pago tarjeta"),-1,1)*IF(IFERROR(INDEX(ctaMoneda,MATCH(AB3019,ctaNombre,0))&amp;"","DOP")="USD",T3019,S3019))</f>
        <v/>
      </c>
      <c r="AG3019" s="53">
        <f>IF(AC3019="","",IF(IFERROR(INDEX(ctaMoneda,MATCH(AC3019,ctaNombre,0))&amp;"","DOP")="USD",T3019,S3019))</f>
        <v/>
      </c>
      <c r="AH3019" s="53">
        <f>IF(P3019="","",IF(AND(AD3019&lt;&gt;"",COUNTIFS(tcTipo,AD3019,tcLiq,"Sí")&gt;0),IF(OR(P3019="Gasto",P3019="Transferencia",P3019="Pago tarjeta"),-1,1)*S3019,0)+IF(AND(AE3019&lt;&gt;"",COUNTIFS(tcTipo,AE3019,tcLiq,"Sí")&gt;0),S3019,0))</f>
        <v/>
      </c>
      <c r="AI3019" s="52">
        <f>IF(OR(L3019="",P3019=""),"",IF(COUNTIFS(L$6:L3019,L3019,P$6:P3019,"?*")=1,MAX(AI$5:AI3018)+1,""))</f>
        <v/>
      </c>
    </row>
    <row r="3020">
      <c r="B3020" s="47" t="n"/>
      <c r="C3020" s="48" t="n"/>
      <c r="D3020" s="48" t="n"/>
      <c r="E3020" s="48" t="n"/>
      <c r="F3020" s="48" t="n"/>
      <c r="G3020" s="49" t="n"/>
      <c r="H3020" s="48" t="n"/>
      <c r="I3020" s="50" t="n"/>
      <c r="J3020" s="48" t="n"/>
      <c r="K3020" s="48" t="n"/>
      <c r="L3020" s="48" t="n"/>
      <c r="M3020" s="48" t="n"/>
      <c r="N3020" s="48" t="n"/>
      <c r="O3020" s="51">
        <f>IF(AND(B3020="",G3020="",C3020="",D3020="",J3020=""),"",IF(B3020="","⚠ Falta fecha",IF(G3020="","⚠ Falta monto",IF(Q3020="","⚠ Falta cuenta",IF(ISNA(MATCH(Q3020,ctaNombre,0)),"⚠ Cuenta no registrada",IF(AND(OR(P3020="Gasto",P3020="Reembolso"),D3020=""),"⚠ Falta categoría",IF(AND(D3020&lt;&gt;"",E3020&lt;&gt;"",ISNA(MATCH(D3020&amp;"|"&amp;E3020,catClave,0))),"⚠ Subcategoría no corresponde",IF(AND(OR(P3020="Transferencia",P3020="Pago tarjeta"),K3020=""),"⚠ Falta cuenta destino",IF(AND(K3020&lt;&gt;"",P3020&lt;&gt;"Transferencia",P3020&lt;&gt;"Pago tarjeta"),"⚠ Destino solo aplica a transferencias",IF(AND(K3020&lt;&gt;"",K3020=Q3020),"⚠ Origen igual a destino",IF(AND(K3020&lt;&gt;"",ISNA(MATCH(K3020,ctaNombre,0))),"⚠ Destino no registrado",IF(AND(P3020="Pago tarjeta",AE3020&lt;&gt;"Tarjeta de crédito"),"⚠ El destino debe ser tarjeta de crédito",IF(AND(P3020="Gasto",E3020="Depósitos y retiros"),"⚠ Usa tipo Transferencia",IF(AND(P3020="Resultado trading",AD3020&lt;&gt;"Cuenta de trading"),"⚠ Usa una cuenta de trading",IF(AND(G3020&lt;=0,P3020&lt;&gt;"Ajuste",P3020&lt;&gt;"Resultado trading"),"⚠ El monto debe ser positivo","✓")))))))))))))))</f>
        <v/>
      </c>
      <c r="P3020" s="52">
        <f>IF(OR(B3020="",G3020=""),"",IF(C3020="","Gasto",C3020))</f>
        <v/>
      </c>
      <c r="Q3020" s="52">
        <f>IF(P3020="","",IF(J3020&lt;&gt;"",J3020,CuentaPred&amp;""))</f>
        <v/>
      </c>
      <c r="R3020" s="52">
        <f>IF(P3020="","",IF(ISNUMBER(I3020),I3020,TasaUSD))</f>
        <v/>
      </c>
      <c r="S3020" s="53">
        <f>IF(P3020="","",IF(H3020="USD",G3020*R3020,G3020))</f>
        <v/>
      </c>
      <c r="T3020" s="53">
        <f>IF(P3020="","",IF(H3020="USD",G3020,IF(R3020&gt;0,G3020/R3020,0)))</f>
        <v/>
      </c>
      <c r="U3020" s="53">
        <f>IF(P3020="","",IF(P3020="Gasto",S3020,IF(P3020="Reembolso",-S3020,0)))</f>
        <v/>
      </c>
      <c r="V3020" s="53">
        <f>IF(P3020="","",IF(P3020="Ingreso",S3020,0))</f>
        <v/>
      </c>
      <c r="W3020" s="53">
        <f>IF(P3020="","",IF(P3020="Resultado trading",S3020,0))</f>
        <v/>
      </c>
      <c r="X3020" s="52">
        <f>IF(OR(P3020="Gasto",P3020="Reembolso"),IF(M3020&lt;&gt;"",M3020,IFERROR(INDEX(catClasif,MATCH(D3020&amp;"|"&amp;E3020,catClave,0))&amp;"","Variable")),"")</f>
        <v/>
      </c>
      <c r="Y3020" s="52">
        <f>IF(P3020="","",IFERROR(INDEX(catGrupo,MATCH(D3020&amp;"|"&amp;E3020,catClave,0))&amp;"",""))</f>
        <v/>
      </c>
      <c r="Z3020" s="52">
        <f>IF(P3020="","",WEEKDAY(B3020,2))</f>
        <v/>
      </c>
      <c r="AA3020" s="52">
        <f>IF(P3020="","",IF(AND(P3020="Gasto",X3020="Variable",D3020&lt;&gt;catTrading,S3020&gt;0,S3020&lt;=Umbral),1,0))</f>
        <v/>
      </c>
      <c r="AB3020" s="52">
        <f>IF(OR(P3020="",Q3020=""),"",IFERROR(IF(INDEX(ctaVinc,MATCH(Q3020,ctaNombre,0))&amp;""&lt;&gt;"",INDEX(ctaVinc,MATCH(Q3020,ctaNombre,0))&amp;"",Q3020),Q3020))</f>
        <v/>
      </c>
      <c r="AC3020" s="52">
        <f>IF(OR(K3020="",AND(P3020&lt;&gt;"Transferencia",P3020&lt;&gt;"Pago tarjeta")),"",IFERROR(IF(INDEX(ctaVinc,MATCH(K3020,ctaNombre,0))&amp;""&lt;&gt;"",INDEX(ctaVinc,MATCH(K3020,ctaNombre,0))&amp;"",K3020),K3020))</f>
        <v/>
      </c>
      <c r="AD3020" s="52">
        <f>IF(AB3020="","",IFERROR(INDEX(ctaTipo,MATCH(AB3020,ctaNombre,0))&amp;"",""))</f>
        <v/>
      </c>
      <c r="AE3020" s="52">
        <f>IF(AC3020="","",IFERROR(INDEX(ctaTipo,MATCH(AC3020,ctaNombre,0))&amp;"",""))</f>
        <v/>
      </c>
      <c r="AF3020" s="53">
        <f>IF(OR(P3020="",AB3020=""),"",IF(OR(P3020="Gasto",P3020="Transferencia",P3020="Pago tarjeta"),-1,1)*IF(IFERROR(INDEX(ctaMoneda,MATCH(AB3020,ctaNombre,0))&amp;"","DOP")="USD",T3020,S3020))</f>
        <v/>
      </c>
      <c r="AG3020" s="53">
        <f>IF(AC3020="","",IF(IFERROR(INDEX(ctaMoneda,MATCH(AC3020,ctaNombre,0))&amp;"","DOP")="USD",T3020,S3020))</f>
        <v/>
      </c>
      <c r="AH3020" s="53">
        <f>IF(P3020="","",IF(AND(AD3020&lt;&gt;"",COUNTIFS(tcTipo,AD3020,tcLiq,"Sí")&gt;0),IF(OR(P3020="Gasto",P3020="Transferencia",P3020="Pago tarjeta"),-1,1)*S3020,0)+IF(AND(AE3020&lt;&gt;"",COUNTIFS(tcTipo,AE3020,tcLiq,"Sí")&gt;0),S3020,0))</f>
        <v/>
      </c>
      <c r="AI3020" s="52">
        <f>IF(OR(L3020="",P3020=""),"",IF(COUNTIFS(L$6:L3020,L3020,P$6:P3020,"?*")=1,MAX(AI$5:AI3019)+1,""))</f>
        <v/>
      </c>
    </row>
    <row r="3021">
      <c r="B3021" s="47" t="n"/>
      <c r="C3021" s="48" t="n"/>
      <c r="D3021" s="48" t="n"/>
      <c r="E3021" s="48" t="n"/>
      <c r="F3021" s="48" t="n"/>
      <c r="G3021" s="49" t="n"/>
      <c r="H3021" s="48" t="n"/>
      <c r="I3021" s="50" t="n"/>
      <c r="J3021" s="48" t="n"/>
      <c r="K3021" s="48" t="n"/>
      <c r="L3021" s="48" t="n"/>
      <c r="M3021" s="48" t="n"/>
      <c r="N3021" s="48" t="n"/>
      <c r="O3021" s="51">
        <f>IF(AND(B3021="",G3021="",C3021="",D3021="",J3021=""),"",IF(B3021="","⚠ Falta fecha",IF(G3021="","⚠ Falta monto",IF(Q3021="","⚠ Falta cuenta",IF(ISNA(MATCH(Q3021,ctaNombre,0)),"⚠ Cuenta no registrada",IF(AND(OR(P3021="Gasto",P3021="Reembolso"),D3021=""),"⚠ Falta categoría",IF(AND(D3021&lt;&gt;"",E3021&lt;&gt;"",ISNA(MATCH(D3021&amp;"|"&amp;E3021,catClave,0))),"⚠ Subcategoría no corresponde",IF(AND(OR(P3021="Transferencia",P3021="Pago tarjeta"),K3021=""),"⚠ Falta cuenta destino",IF(AND(K3021&lt;&gt;"",P3021&lt;&gt;"Transferencia",P3021&lt;&gt;"Pago tarjeta"),"⚠ Destino solo aplica a transferencias",IF(AND(K3021&lt;&gt;"",K3021=Q3021),"⚠ Origen igual a destino",IF(AND(K3021&lt;&gt;"",ISNA(MATCH(K3021,ctaNombre,0))),"⚠ Destino no registrado",IF(AND(P3021="Pago tarjeta",AE3021&lt;&gt;"Tarjeta de crédito"),"⚠ El destino debe ser tarjeta de crédito",IF(AND(P3021="Gasto",E3021="Depósitos y retiros"),"⚠ Usa tipo Transferencia",IF(AND(P3021="Resultado trading",AD3021&lt;&gt;"Cuenta de trading"),"⚠ Usa una cuenta de trading",IF(AND(G3021&lt;=0,P3021&lt;&gt;"Ajuste",P3021&lt;&gt;"Resultado trading"),"⚠ El monto debe ser positivo","✓")))))))))))))))</f>
        <v/>
      </c>
      <c r="P3021" s="52">
        <f>IF(OR(B3021="",G3021=""),"",IF(C3021="","Gasto",C3021))</f>
        <v/>
      </c>
      <c r="Q3021" s="52">
        <f>IF(P3021="","",IF(J3021&lt;&gt;"",J3021,CuentaPred&amp;""))</f>
        <v/>
      </c>
      <c r="R3021" s="52">
        <f>IF(P3021="","",IF(ISNUMBER(I3021),I3021,TasaUSD))</f>
        <v/>
      </c>
      <c r="S3021" s="53">
        <f>IF(P3021="","",IF(H3021="USD",G3021*R3021,G3021))</f>
        <v/>
      </c>
      <c r="T3021" s="53">
        <f>IF(P3021="","",IF(H3021="USD",G3021,IF(R3021&gt;0,G3021/R3021,0)))</f>
        <v/>
      </c>
      <c r="U3021" s="53">
        <f>IF(P3021="","",IF(P3021="Gasto",S3021,IF(P3021="Reembolso",-S3021,0)))</f>
        <v/>
      </c>
      <c r="V3021" s="53">
        <f>IF(P3021="","",IF(P3021="Ingreso",S3021,0))</f>
        <v/>
      </c>
      <c r="W3021" s="53">
        <f>IF(P3021="","",IF(P3021="Resultado trading",S3021,0))</f>
        <v/>
      </c>
      <c r="X3021" s="52">
        <f>IF(OR(P3021="Gasto",P3021="Reembolso"),IF(M3021&lt;&gt;"",M3021,IFERROR(INDEX(catClasif,MATCH(D3021&amp;"|"&amp;E3021,catClave,0))&amp;"","Variable")),"")</f>
        <v/>
      </c>
      <c r="Y3021" s="52">
        <f>IF(P3021="","",IFERROR(INDEX(catGrupo,MATCH(D3021&amp;"|"&amp;E3021,catClave,0))&amp;"",""))</f>
        <v/>
      </c>
      <c r="Z3021" s="52">
        <f>IF(P3021="","",WEEKDAY(B3021,2))</f>
        <v/>
      </c>
      <c r="AA3021" s="52">
        <f>IF(P3021="","",IF(AND(P3021="Gasto",X3021="Variable",D3021&lt;&gt;catTrading,S3021&gt;0,S3021&lt;=Umbral),1,0))</f>
        <v/>
      </c>
      <c r="AB3021" s="52">
        <f>IF(OR(P3021="",Q3021=""),"",IFERROR(IF(INDEX(ctaVinc,MATCH(Q3021,ctaNombre,0))&amp;""&lt;&gt;"",INDEX(ctaVinc,MATCH(Q3021,ctaNombre,0))&amp;"",Q3021),Q3021))</f>
        <v/>
      </c>
      <c r="AC3021" s="52">
        <f>IF(OR(K3021="",AND(P3021&lt;&gt;"Transferencia",P3021&lt;&gt;"Pago tarjeta")),"",IFERROR(IF(INDEX(ctaVinc,MATCH(K3021,ctaNombre,0))&amp;""&lt;&gt;"",INDEX(ctaVinc,MATCH(K3021,ctaNombre,0))&amp;"",K3021),K3021))</f>
        <v/>
      </c>
      <c r="AD3021" s="52">
        <f>IF(AB3021="","",IFERROR(INDEX(ctaTipo,MATCH(AB3021,ctaNombre,0))&amp;"",""))</f>
        <v/>
      </c>
      <c r="AE3021" s="52">
        <f>IF(AC3021="","",IFERROR(INDEX(ctaTipo,MATCH(AC3021,ctaNombre,0))&amp;"",""))</f>
        <v/>
      </c>
      <c r="AF3021" s="53">
        <f>IF(OR(P3021="",AB3021=""),"",IF(OR(P3021="Gasto",P3021="Transferencia",P3021="Pago tarjeta"),-1,1)*IF(IFERROR(INDEX(ctaMoneda,MATCH(AB3021,ctaNombre,0))&amp;"","DOP")="USD",T3021,S3021))</f>
        <v/>
      </c>
      <c r="AG3021" s="53">
        <f>IF(AC3021="","",IF(IFERROR(INDEX(ctaMoneda,MATCH(AC3021,ctaNombre,0))&amp;"","DOP")="USD",T3021,S3021))</f>
        <v/>
      </c>
      <c r="AH3021" s="53">
        <f>IF(P3021="","",IF(AND(AD3021&lt;&gt;"",COUNTIFS(tcTipo,AD3021,tcLiq,"Sí")&gt;0),IF(OR(P3021="Gasto",P3021="Transferencia",P3021="Pago tarjeta"),-1,1)*S3021,0)+IF(AND(AE3021&lt;&gt;"",COUNTIFS(tcTipo,AE3021,tcLiq,"Sí")&gt;0),S3021,0))</f>
        <v/>
      </c>
      <c r="AI3021" s="52">
        <f>IF(OR(L3021="",P3021=""),"",IF(COUNTIFS(L$6:L3021,L3021,P$6:P3021,"?*")=1,MAX(AI$5:AI3020)+1,""))</f>
        <v/>
      </c>
    </row>
    <row r="3022">
      <c r="B3022" s="47" t="n"/>
      <c r="C3022" s="48" t="n"/>
      <c r="D3022" s="48" t="n"/>
      <c r="E3022" s="48" t="n"/>
      <c r="F3022" s="48" t="n"/>
      <c r="G3022" s="49" t="n"/>
      <c r="H3022" s="48" t="n"/>
      <c r="I3022" s="50" t="n"/>
      <c r="J3022" s="48" t="n"/>
      <c r="K3022" s="48" t="n"/>
      <c r="L3022" s="48" t="n"/>
      <c r="M3022" s="48" t="n"/>
      <c r="N3022" s="48" t="n"/>
      <c r="O3022" s="51">
        <f>IF(AND(B3022="",G3022="",C3022="",D3022="",J3022=""),"",IF(B3022="","⚠ Falta fecha",IF(G3022="","⚠ Falta monto",IF(Q3022="","⚠ Falta cuenta",IF(ISNA(MATCH(Q3022,ctaNombre,0)),"⚠ Cuenta no registrada",IF(AND(OR(P3022="Gasto",P3022="Reembolso"),D3022=""),"⚠ Falta categoría",IF(AND(D3022&lt;&gt;"",E3022&lt;&gt;"",ISNA(MATCH(D3022&amp;"|"&amp;E3022,catClave,0))),"⚠ Subcategoría no corresponde",IF(AND(OR(P3022="Transferencia",P3022="Pago tarjeta"),K3022=""),"⚠ Falta cuenta destino",IF(AND(K3022&lt;&gt;"",P3022&lt;&gt;"Transferencia",P3022&lt;&gt;"Pago tarjeta"),"⚠ Destino solo aplica a transferencias",IF(AND(K3022&lt;&gt;"",K3022=Q3022),"⚠ Origen igual a destino",IF(AND(K3022&lt;&gt;"",ISNA(MATCH(K3022,ctaNombre,0))),"⚠ Destino no registrado",IF(AND(P3022="Pago tarjeta",AE3022&lt;&gt;"Tarjeta de crédito"),"⚠ El destino debe ser tarjeta de crédito",IF(AND(P3022="Gasto",E3022="Depósitos y retiros"),"⚠ Usa tipo Transferencia",IF(AND(P3022="Resultado trading",AD3022&lt;&gt;"Cuenta de trading"),"⚠ Usa una cuenta de trading",IF(AND(G3022&lt;=0,P3022&lt;&gt;"Ajuste",P3022&lt;&gt;"Resultado trading"),"⚠ El monto debe ser positivo","✓")))))))))))))))</f>
        <v/>
      </c>
      <c r="P3022" s="52">
        <f>IF(OR(B3022="",G3022=""),"",IF(C3022="","Gasto",C3022))</f>
        <v/>
      </c>
      <c r="Q3022" s="52">
        <f>IF(P3022="","",IF(J3022&lt;&gt;"",J3022,CuentaPred&amp;""))</f>
        <v/>
      </c>
      <c r="R3022" s="52">
        <f>IF(P3022="","",IF(ISNUMBER(I3022),I3022,TasaUSD))</f>
        <v/>
      </c>
      <c r="S3022" s="53">
        <f>IF(P3022="","",IF(H3022="USD",G3022*R3022,G3022))</f>
        <v/>
      </c>
      <c r="T3022" s="53">
        <f>IF(P3022="","",IF(H3022="USD",G3022,IF(R3022&gt;0,G3022/R3022,0)))</f>
        <v/>
      </c>
      <c r="U3022" s="53">
        <f>IF(P3022="","",IF(P3022="Gasto",S3022,IF(P3022="Reembolso",-S3022,0)))</f>
        <v/>
      </c>
      <c r="V3022" s="53">
        <f>IF(P3022="","",IF(P3022="Ingreso",S3022,0))</f>
        <v/>
      </c>
      <c r="W3022" s="53">
        <f>IF(P3022="","",IF(P3022="Resultado trading",S3022,0))</f>
        <v/>
      </c>
      <c r="X3022" s="52">
        <f>IF(OR(P3022="Gasto",P3022="Reembolso"),IF(M3022&lt;&gt;"",M3022,IFERROR(INDEX(catClasif,MATCH(D3022&amp;"|"&amp;E3022,catClave,0))&amp;"","Variable")),"")</f>
        <v/>
      </c>
      <c r="Y3022" s="52">
        <f>IF(P3022="","",IFERROR(INDEX(catGrupo,MATCH(D3022&amp;"|"&amp;E3022,catClave,0))&amp;"",""))</f>
        <v/>
      </c>
      <c r="Z3022" s="52">
        <f>IF(P3022="","",WEEKDAY(B3022,2))</f>
        <v/>
      </c>
      <c r="AA3022" s="52">
        <f>IF(P3022="","",IF(AND(P3022="Gasto",X3022="Variable",D3022&lt;&gt;catTrading,S3022&gt;0,S3022&lt;=Umbral),1,0))</f>
        <v/>
      </c>
      <c r="AB3022" s="52">
        <f>IF(OR(P3022="",Q3022=""),"",IFERROR(IF(INDEX(ctaVinc,MATCH(Q3022,ctaNombre,0))&amp;""&lt;&gt;"",INDEX(ctaVinc,MATCH(Q3022,ctaNombre,0))&amp;"",Q3022),Q3022))</f>
        <v/>
      </c>
      <c r="AC3022" s="52">
        <f>IF(OR(K3022="",AND(P3022&lt;&gt;"Transferencia",P3022&lt;&gt;"Pago tarjeta")),"",IFERROR(IF(INDEX(ctaVinc,MATCH(K3022,ctaNombre,0))&amp;""&lt;&gt;"",INDEX(ctaVinc,MATCH(K3022,ctaNombre,0))&amp;"",K3022),K3022))</f>
        <v/>
      </c>
      <c r="AD3022" s="52">
        <f>IF(AB3022="","",IFERROR(INDEX(ctaTipo,MATCH(AB3022,ctaNombre,0))&amp;"",""))</f>
        <v/>
      </c>
      <c r="AE3022" s="52">
        <f>IF(AC3022="","",IFERROR(INDEX(ctaTipo,MATCH(AC3022,ctaNombre,0))&amp;"",""))</f>
        <v/>
      </c>
      <c r="AF3022" s="53">
        <f>IF(OR(P3022="",AB3022=""),"",IF(OR(P3022="Gasto",P3022="Transferencia",P3022="Pago tarjeta"),-1,1)*IF(IFERROR(INDEX(ctaMoneda,MATCH(AB3022,ctaNombre,0))&amp;"","DOP")="USD",T3022,S3022))</f>
        <v/>
      </c>
      <c r="AG3022" s="53">
        <f>IF(AC3022="","",IF(IFERROR(INDEX(ctaMoneda,MATCH(AC3022,ctaNombre,0))&amp;"","DOP")="USD",T3022,S3022))</f>
        <v/>
      </c>
      <c r="AH3022" s="53">
        <f>IF(P3022="","",IF(AND(AD3022&lt;&gt;"",COUNTIFS(tcTipo,AD3022,tcLiq,"Sí")&gt;0),IF(OR(P3022="Gasto",P3022="Transferencia",P3022="Pago tarjeta"),-1,1)*S3022,0)+IF(AND(AE3022&lt;&gt;"",COUNTIFS(tcTipo,AE3022,tcLiq,"Sí")&gt;0),S3022,0))</f>
        <v/>
      </c>
      <c r="AI3022" s="52">
        <f>IF(OR(L3022="",P3022=""),"",IF(COUNTIFS(L$6:L3022,L3022,P$6:P3022,"?*")=1,MAX(AI$5:AI3021)+1,""))</f>
        <v/>
      </c>
    </row>
    <row r="3023">
      <c r="B3023" s="47" t="n"/>
      <c r="C3023" s="48" t="n"/>
      <c r="D3023" s="48" t="n"/>
      <c r="E3023" s="48" t="n"/>
      <c r="F3023" s="48" t="n"/>
      <c r="G3023" s="49" t="n"/>
      <c r="H3023" s="48" t="n"/>
      <c r="I3023" s="50" t="n"/>
      <c r="J3023" s="48" t="n"/>
      <c r="K3023" s="48" t="n"/>
      <c r="L3023" s="48" t="n"/>
      <c r="M3023" s="48" t="n"/>
      <c r="N3023" s="48" t="n"/>
      <c r="O3023" s="51">
        <f>IF(AND(B3023="",G3023="",C3023="",D3023="",J3023=""),"",IF(B3023="","⚠ Falta fecha",IF(G3023="","⚠ Falta monto",IF(Q3023="","⚠ Falta cuenta",IF(ISNA(MATCH(Q3023,ctaNombre,0)),"⚠ Cuenta no registrada",IF(AND(OR(P3023="Gasto",P3023="Reembolso"),D3023=""),"⚠ Falta categoría",IF(AND(D3023&lt;&gt;"",E3023&lt;&gt;"",ISNA(MATCH(D3023&amp;"|"&amp;E3023,catClave,0))),"⚠ Subcategoría no corresponde",IF(AND(OR(P3023="Transferencia",P3023="Pago tarjeta"),K3023=""),"⚠ Falta cuenta destino",IF(AND(K3023&lt;&gt;"",P3023&lt;&gt;"Transferencia",P3023&lt;&gt;"Pago tarjeta"),"⚠ Destino solo aplica a transferencias",IF(AND(K3023&lt;&gt;"",K3023=Q3023),"⚠ Origen igual a destino",IF(AND(K3023&lt;&gt;"",ISNA(MATCH(K3023,ctaNombre,0))),"⚠ Destino no registrado",IF(AND(P3023="Pago tarjeta",AE3023&lt;&gt;"Tarjeta de crédito"),"⚠ El destino debe ser tarjeta de crédito",IF(AND(P3023="Gasto",E3023="Depósitos y retiros"),"⚠ Usa tipo Transferencia",IF(AND(P3023="Resultado trading",AD3023&lt;&gt;"Cuenta de trading"),"⚠ Usa una cuenta de trading",IF(AND(G3023&lt;=0,P3023&lt;&gt;"Ajuste",P3023&lt;&gt;"Resultado trading"),"⚠ El monto debe ser positivo","✓")))))))))))))))</f>
        <v/>
      </c>
      <c r="P3023" s="52">
        <f>IF(OR(B3023="",G3023=""),"",IF(C3023="","Gasto",C3023))</f>
        <v/>
      </c>
      <c r="Q3023" s="52">
        <f>IF(P3023="","",IF(J3023&lt;&gt;"",J3023,CuentaPred&amp;""))</f>
        <v/>
      </c>
      <c r="R3023" s="52">
        <f>IF(P3023="","",IF(ISNUMBER(I3023),I3023,TasaUSD))</f>
        <v/>
      </c>
      <c r="S3023" s="53">
        <f>IF(P3023="","",IF(H3023="USD",G3023*R3023,G3023))</f>
        <v/>
      </c>
      <c r="T3023" s="53">
        <f>IF(P3023="","",IF(H3023="USD",G3023,IF(R3023&gt;0,G3023/R3023,0)))</f>
        <v/>
      </c>
      <c r="U3023" s="53">
        <f>IF(P3023="","",IF(P3023="Gasto",S3023,IF(P3023="Reembolso",-S3023,0)))</f>
        <v/>
      </c>
      <c r="V3023" s="53">
        <f>IF(P3023="","",IF(P3023="Ingreso",S3023,0))</f>
        <v/>
      </c>
      <c r="W3023" s="53">
        <f>IF(P3023="","",IF(P3023="Resultado trading",S3023,0))</f>
        <v/>
      </c>
      <c r="X3023" s="52">
        <f>IF(OR(P3023="Gasto",P3023="Reembolso"),IF(M3023&lt;&gt;"",M3023,IFERROR(INDEX(catClasif,MATCH(D3023&amp;"|"&amp;E3023,catClave,0))&amp;"","Variable")),"")</f>
        <v/>
      </c>
      <c r="Y3023" s="52">
        <f>IF(P3023="","",IFERROR(INDEX(catGrupo,MATCH(D3023&amp;"|"&amp;E3023,catClave,0))&amp;"",""))</f>
        <v/>
      </c>
      <c r="Z3023" s="52">
        <f>IF(P3023="","",WEEKDAY(B3023,2))</f>
        <v/>
      </c>
      <c r="AA3023" s="52">
        <f>IF(P3023="","",IF(AND(P3023="Gasto",X3023="Variable",D3023&lt;&gt;catTrading,S3023&gt;0,S3023&lt;=Umbral),1,0))</f>
        <v/>
      </c>
      <c r="AB3023" s="52">
        <f>IF(OR(P3023="",Q3023=""),"",IFERROR(IF(INDEX(ctaVinc,MATCH(Q3023,ctaNombre,0))&amp;""&lt;&gt;"",INDEX(ctaVinc,MATCH(Q3023,ctaNombre,0))&amp;"",Q3023),Q3023))</f>
        <v/>
      </c>
      <c r="AC3023" s="52">
        <f>IF(OR(K3023="",AND(P3023&lt;&gt;"Transferencia",P3023&lt;&gt;"Pago tarjeta")),"",IFERROR(IF(INDEX(ctaVinc,MATCH(K3023,ctaNombre,0))&amp;""&lt;&gt;"",INDEX(ctaVinc,MATCH(K3023,ctaNombre,0))&amp;"",K3023),K3023))</f>
        <v/>
      </c>
      <c r="AD3023" s="52">
        <f>IF(AB3023="","",IFERROR(INDEX(ctaTipo,MATCH(AB3023,ctaNombre,0))&amp;"",""))</f>
        <v/>
      </c>
      <c r="AE3023" s="52">
        <f>IF(AC3023="","",IFERROR(INDEX(ctaTipo,MATCH(AC3023,ctaNombre,0))&amp;"",""))</f>
        <v/>
      </c>
      <c r="AF3023" s="53">
        <f>IF(OR(P3023="",AB3023=""),"",IF(OR(P3023="Gasto",P3023="Transferencia",P3023="Pago tarjeta"),-1,1)*IF(IFERROR(INDEX(ctaMoneda,MATCH(AB3023,ctaNombre,0))&amp;"","DOP")="USD",T3023,S3023))</f>
        <v/>
      </c>
      <c r="AG3023" s="53">
        <f>IF(AC3023="","",IF(IFERROR(INDEX(ctaMoneda,MATCH(AC3023,ctaNombre,0))&amp;"","DOP")="USD",T3023,S3023))</f>
        <v/>
      </c>
      <c r="AH3023" s="53">
        <f>IF(P3023="","",IF(AND(AD3023&lt;&gt;"",COUNTIFS(tcTipo,AD3023,tcLiq,"Sí")&gt;0),IF(OR(P3023="Gasto",P3023="Transferencia",P3023="Pago tarjeta"),-1,1)*S3023,0)+IF(AND(AE3023&lt;&gt;"",COUNTIFS(tcTipo,AE3023,tcLiq,"Sí")&gt;0),S3023,0))</f>
        <v/>
      </c>
      <c r="AI3023" s="52">
        <f>IF(OR(L3023="",P3023=""),"",IF(COUNTIFS(L$6:L3023,L3023,P$6:P3023,"?*")=1,MAX(AI$5:AI3022)+1,""))</f>
        <v/>
      </c>
    </row>
    <row r="3024">
      <c r="B3024" s="47" t="n"/>
      <c r="C3024" s="48" t="n"/>
      <c r="D3024" s="48" t="n"/>
      <c r="E3024" s="48" t="n"/>
      <c r="F3024" s="48" t="n"/>
      <c r="G3024" s="49" t="n"/>
      <c r="H3024" s="48" t="n"/>
      <c r="I3024" s="50" t="n"/>
      <c r="J3024" s="48" t="n"/>
      <c r="K3024" s="48" t="n"/>
      <c r="L3024" s="48" t="n"/>
      <c r="M3024" s="48" t="n"/>
      <c r="N3024" s="48" t="n"/>
      <c r="O3024" s="51">
        <f>IF(AND(B3024="",G3024="",C3024="",D3024="",J3024=""),"",IF(B3024="","⚠ Falta fecha",IF(G3024="","⚠ Falta monto",IF(Q3024="","⚠ Falta cuenta",IF(ISNA(MATCH(Q3024,ctaNombre,0)),"⚠ Cuenta no registrada",IF(AND(OR(P3024="Gasto",P3024="Reembolso"),D3024=""),"⚠ Falta categoría",IF(AND(D3024&lt;&gt;"",E3024&lt;&gt;"",ISNA(MATCH(D3024&amp;"|"&amp;E3024,catClave,0))),"⚠ Subcategoría no corresponde",IF(AND(OR(P3024="Transferencia",P3024="Pago tarjeta"),K3024=""),"⚠ Falta cuenta destino",IF(AND(K3024&lt;&gt;"",P3024&lt;&gt;"Transferencia",P3024&lt;&gt;"Pago tarjeta"),"⚠ Destino solo aplica a transferencias",IF(AND(K3024&lt;&gt;"",K3024=Q3024),"⚠ Origen igual a destino",IF(AND(K3024&lt;&gt;"",ISNA(MATCH(K3024,ctaNombre,0))),"⚠ Destino no registrado",IF(AND(P3024="Pago tarjeta",AE3024&lt;&gt;"Tarjeta de crédito"),"⚠ El destino debe ser tarjeta de crédito",IF(AND(P3024="Gasto",E3024="Depósitos y retiros"),"⚠ Usa tipo Transferencia",IF(AND(P3024="Resultado trading",AD3024&lt;&gt;"Cuenta de trading"),"⚠ Usa una cuenta de trading",IF(AND(G3024&lt;=0,P3024&lt;&gt;"Ajuste",P3024&lt;&gt;"Resultado trading"),"⚠ El monto debe ser positivo","✓")))))))))))))))</f>
        <v/>
      </c>
      <c r="P3024" s="52">
        <f>IF(OR(B3024="",G3024=""),"",IF(C3024="","Gasto",C3024))</f>
        <v/>
      </c>
      <c r="Q3024" s="52">
        <f>IF(P3024="","",IF(J3024&lt;&gt;"",J3024,CuentaPred&amp;""))</f>
        <v/>
      </c>
      <c r="R3024" s="52">
        <f>IF(P3024="","",IF(ISNUMBER(I3024),I3024,TasaUSD))</f>
        <v/>
      </c>
      <c r="S3024" s="53">
        <f>IF(P3024="","",IF(H3024="USD",G3024*R3024,G3024))</f>
        <v/>
      </c>
      <c r="T3024" s="53">
        <f>IF(P3024="","",IF(H3024="USD",G3024,IF(R3024&gt;0,G3024/R3024,0)))</f>
        <v/>
      </c>
      <c r="U3024" s="53">
        <f>IF(P3024="","",IF(P3024="Gasto",S3024,IF(P3024="Reembolso",-S3024,0)))</f>
        <v/>
      </c>
      <c r="V3024" s="53">
        <f>IF(P3024="","",IF(P3024="Ingreso",S3024,0))</f>
        <v/>
      </c>
      <c r="W3024" s="53">
        <f>IF(P3024="","",IF(P3024="Resultado trading",S3024,0))</f>
        <v/>
      </c>
      <c r="X3024" s="52">
        <f>IF(OR(P3024="Gasto",P3024="Reembolso"),IF(M3024&lt;&gt;"",M3024,IFERROR(INDEX(catClasif,MATCH(D3024&amp;"|"&amp;E3024,catClave,0))&amp;"","Variable")),"")</f>
        <v/>
      </c>
      <c r="Y3024" s="52">
        <f>IF(P3024="","",IFERROR(INDEX(catGrupo,MATCH(D3024&amp;"|"&amp;E3024,catClave,0))&amp;"",""))</f>
        <v/>
      </c>
      <c r="Z3024" s="52">
        <f>IF(P3024="","",WEEKDAY(B3024,2))</f>
        <v/>
      </c>
      <c r="AA3024" s="52">
        <f>IF(P3024="","",IF(AND(P3024="Gasto",X3024="Variable",D3024&lt;&gt;catTrading,S3024&gt;0,S3024&lt;=Umbral),1,0))</f>
        <v/>
      </c>
      <c r="AB3024" s="52">
        <f>IF(OR(P3024="",Q3024=""),"",IFERROR(IF(INDEX(ctaVinc,MATCH(Q3024,ctaNombre,0))&amp;""&lt;&gt;"",INDEX(ctaVinc,MATCH(Q3024,ctaNombre,0))&amp;"",Q3024),Q3024))</f>
        <v/>
      </c>
      <c r="AC3024" s="52">
        <f>IF(OR(K3024="",AND(P3024&lt;&gt;"Transferencia",P3024&lt;&gt;"Pago tarjeta")),"",IFERROR(IF(INDEX(ctaVinc,MATCH(K3024,ctaNombre,0))&amp;""&lt;&gt;"",INDEX(ctaVinc,MATCH(K3024,ctaNombre,0))&amp;"",K3024),K3024))</f>
        <v/>
      </c>
      <c r="AD3024" s="52">
        <f>IF(AB3024="","",IFERROR(INDEX(ctaTipo,MATCH(AB3024,ctaNombre,0))&amp;"",""))</f>
        <v/>
      </c>
      <c r="AE3024" s="52">
        <f>IF(AC3024="","",IFERROR(INDEX(ctaTipo,MATCH(AC3024,ctaNombre,0))&amp;"",""))</f>
        <v/>
      </c>
      <c r="AF3024" s="53">
        <f>IF(OR(P3024="",AB3024=""),"",IF(OR(P3024="Gasto",P3024="Transferencia",P3024="Pago tarjeta"),-1,1)*IF(IFERROR(INDEX(ctaMoneda,MATCH(AB3024,ctaNombre,0))&amp;"","DOP")="USD",T3024,S3024))</f>
        <v/>
      </c>
      <c r="AG3024" s="53">
        <f>IF(AC3024="","",IF(IFERROR(INDEX(ctaMoneda,MATCH(AC3024,ctaNombre,0))&amp;"","DOP")="USD",T3024,S3024))</f>
        <v/>
      </c>
      <c r="AH3024" s="53">
        <f>IF(P3024="","",IF(AND(AD3024&lt;&gt;"",COUNTIFS(tcTipo,AD3024,tcLiq,"Sí")&gt;0),IF(OR(P3024="Gasto",P3024="Transferencia",P3024="Pago tarjeta"),-1,1)*S3024,0)+IF(AND(AE3024&lt;&gt;"",COUNTIFS(tcTipo,AE3024,tcLiq,"Sí")&gt;0),S3024,0))</f>
        <v/>
      </c>
      <c r="AI3024" s="52">
        <f>IF(OR(L3024="",P3024=""),"",IF(COUNTIFS(L$6:L3024,L3024,P$6:P3024,"?*")=1,MAX(AI$5:AI3023)+1,""))</f>
        <v/>
      </c>
    </row>
    <row r="3025">
      <c r="B3025" s="47" t="n"/>
      <c r="C3025" s="48" t="n"/>
      <c r="D3025" s="48" t="n"/>
      <c r="E3025" s="48" t="n"/>
      <c r="F3025" s="48" t="n"/>
      <c r="G3025" s="49" t="n"/>
      <c r="H3025" s="48" t="n"/>
      <c r="I3025" s="50" t="n"/>
      <c r="J3025" s="48" t="n"/>
      <c r="K3025" s="48" t="n"/>
      <c r="L3025" s="48" t="n"/>
      <c r="M3025" s="48" t="n"/>
      <c r="N3025" s="48" t="n"/>
      <c r="O3025" s="51">
        <f>IF(AND(B3025="",G3025="",C3025="",D3025="",J3025=""),"",IF(B3025="","⚠ Falta fecha",IF(G3025="","⚠ Falta monto",IF(Q3025="","⚠ Falta cuenta",IF(ISNA(MATCH(Q3025,ctaNombre,0)),"⚠ Cuenta no registrada",IF(AND(OR(P3025="Gasto",P3025="Reembolso"),D3025=""),"⚠ Falta categoría",IF(AND(D3025&lt;&gt;"",E3025&lt;&gt;"",ISNA(MATCH(D3025&amp;"|"&amp;E3025,catClave,0))),"⚠ Subcategoría no corresponde",IF(AND(OR(P3025="Transferencia",P3025="Pago tarjeta"),K3025=""),"⚠ Falta cuenta destino",IF(AND(K3025&lt;&gt;"",P3025&lt;&gt;"Transferencia",P3025&lt;&gt;"Pago tarjeta"),"⚠ Destino solo aplica a transferencias",IF(AND(K3025&lt;&gt;"",K3025=Q3025),"⚠ Origen igual a destino",IF(AND(K3025&lt;&gt;"",ISNA(MATCH(K3025,ctaNombre,0))),"⚠ Destino no registrado",IF(AND(P3025="Pago tarjeta",AE3025&lt;&gt;"Tarjeta de crédito"),"⚠ El destino debe ser tarjeta de crédito",IF(AND(P3025="Gasto",E3025="Depósitos y retiros"),"⚠ Usa tipo Transferencia",IF(AND(P3025="Resultado trading",AD3025&lt;&gt;"Cuenta de trading"),"⚠ Usa una cuenta de trading",IF(AND(G3025&lt;=0,P3025&lt;&gt;"Ajuste",P3025&lt;&gt;"Resultado trading"),"⚠ El monto debe ser positivo","✓")))))))))))))))</f>
        <v/>
      </c>
      <c r="P3025" s="52">
        <f>IF(OR(B3025="",G3025=""),"",IF(C3025="","Gasto",C3025))</f>
        <v/>
      </c>
      <c r="Q3025" s="52">
        <f>IF(P3025="","",IF(J3025&lt;&gt;"",J3025,CuentaPred&amp;""))</f>
        <v/>
      </c>
      <c r="R3025" s="52">
        <f>IF(P3025="","",IF(ISNUMBER(I3025),I3025,TasaUSD))</f>
        <v/>
      </c>
      <c r="S3025" s="53">
        <f>IF(P3025="","",IF(H3025="USD",G3025*R3025,G3025))</f>
        <v/>
      </c>
      <c r="T3025" s="53">
        <f>IF(P3025="","",IF(H3025="USD",G3025,IF(R3025&gt;0,G3025/R3025,0)))</f>
        <v/>
      </c>
      <c r="U3025" s="53">
        <f>IF(P3025="","",IF(P3025="Gasto",S3025,IF(P3025="Reembolso",-S3025,0)))</f>
        <v/>
      </c>
      <c r="V3025" s="53">
        <f>IF(P3025="","",IF(P3025="Ingreso",S3025,0))</f>
        <v/>
      </c>
      <c r="W3025" s="53">
        <f>IF(P3025="","",IF(P3025="Resultado trading",S3025,0))</f>
        <v/>
      </c>
      <c r="X3025" s="52">
        <f>IF(OR(P3025="Gasto",P3025="Reembolso"),IF(M3025&lt;&gt;"",M3025,IFERROR(INDEX(catClasif,MATCH(D3025&amp;"|"&amp;E3025,catClave,0))&amp;"","Variable")),"")</f>
        <v/>
      </c>
      <c r="Y3025" s="52">
        <f>IF(P3025="","",IFERROR(INDEX(catGrupo,MATCH(D3025&amp;"|"&amp;E3025,catClave,0))&amp;"",""))</f>
        <v/>
      </c>
      <c r="Z3025" s="52">
        <f>IF(P3025="","",WEEKDAY(B3025,2))</f>
        <v/>
      </c>
      <c r="AA3025" s="52">
        <f>IF(P3025="","",IF(AND(P3025="Gasto",X3025="Variable",D3025&lt;&gt;catTrading,S3025&gt;0,S3025&lt;=Umbral),1,0))</f>
        <v/>
      </c>
      <c r="AB3025" s="52">
        <f>IF(OR(P3025="",Q3025=""),"",IFERROR(IF(INDEX(ctaVinc,MATCH(Q3025,ctaNombre,0))&amp;""&lt;&gt;"",INDEX(ctaVinc,MATCH(Q3025,ctaNombre,0))&amp;"",Q3025),Q3025))</f>
        <v/>
      </c>
      <c r="AC3025" s="52">
        <f>IF(OR(K3025="",AND(P3025&lt;&gt;"Transferencia",P3025&lt;&gt;"Pago tarjeta")),"",IFERROR(IF(INDEX(ctaVinc,MATCH(K3025,ctaNombre,0))&amp;""&lt;&gt;"",INDEX(ctaVinc,MATCH(K3025,ctaNombre,0))&amp;"",K3025),K3025))</f>
        <v/>
      </c>
      <c r="AD3025" s="52">
        <f>IF(AB3025="","",IFERROR(INDEX(ctaTipo,MATCH(AB3025,ctaNombre,0))&amp;"",""))</f>
        <v/>
      </c>
      <c r="AE3025" s="52">
        <f>IF(AC3025="","",IFERROR(INDEX(ctaTipo,MATCH(AC3025,ctaNombre,0))&amp;"",""))</f>
        <v/>
      </c>
      <c r="AF3025" s="53">
        <f>IF(OR(P3025="",AB3025=""),"",IF(OR(P3025="Gasto",P3025="Transferencia",P3025="Pago tarjeta"),-1,1)*IF(IFERROR(INDEX(ctaMoneda,MATCH(AB3025,ctaNombre,0))&amp;"","DOP")="USD",T3025,S3025))</f>
        <v/>
      </c>
      <c r="AG3025" s="53">
        <f>IF(AC3025="","",IF(IFERROR(INDEX(ctaMoneda,MATCH(AC3025,ctaNombre,0))&amp;"","DOP")="USD",T3025,S3025))</f>
        <v/>
      </c>
      <c r="AH3025" s="53">
        <f>IF(P3025="","",IF(AND(AD3025&lt;&gt;"",COUNTIFS(tcTipo,AD3025,tcLiq,"Sí")&gt;0),IF(OR(P3025="Gasto",P3025="Transferencia",P3025="Pago tarjeta"),-1,1)*S3025,0)+IF(AND(AE3025&lt;&gt;"",COUNTIFS(tcTipo,AE3025,tcLiq,"Sí")&gt;0),S3025,0))</f>
        <v/>
      </c>
      <c r="AI3025" s="52">
        <f>IF(OR(L3025="",P3025=""),"",IF(COUNTIFS(L$6:L3025,L3025,P$6:P3025,"?*")=1,MAX(AI$5:AI3024)+1,""))</f>
        <v/>
      </c>
    </row>
    <row r="3026">
      <c r="B3026" s="47" t="n"/>
      <c r="C3026" s="48" t="n"/>
      <c r="D3026" s="48" t="n"/>
      <c r="E3026" s="48" t="n"/>
      <c r="F3026" s="48" t="n"/>
      <c r="G3026" s="49" t="n"/>
      <c r="H3026" s="48" t="n"/>
      <c r="I3026" s="50" t="n"/>
      <c r="J3026" s="48" t="n"/>
      <c r="K3026" s="48" t="n"/>
      <c r="L3026" s="48" t="n"/>
      <c r="M3026" s="48" t="n"/>
      <c r="N3026" s="48" t="n"/>
      <c r="O3026" s="51">
        <f>IF(AND(B3026="",G3026="",C3026="",D3026="",J3026=""),"",IF(B3026="","⚠ Falta fecha",IF(G3026="","⚠ Falta monto",IF(Q3026="","⚠ Falta cuenta",IF(ISNA(MATCH(Q3026,ctaNombre,0)),"⚠ Cuenta no registrada",IF(AND(OR(P3026="Gasto",P3026="Reembolso"),D3026=""),"⚠ Falta categoría",IF(AND(D3026&lt;&gt;"",E3026&lt;&gt;"",ISNA(MATCH(D3026&amp;"|"&amp;E3026,catClave,0))),"⚠ Subcategoría no corresponde",IF(AND(OR(P3026="Transferencia",P3026="Pago tarjeta"),K3026=""),"⚠ Falta cuenta destino",IF(AND(K3026&lt;&gt;"",P3026&lt;&gt;"Transferencia",P3026&lt;&gt;"Pago tarjeta"),"⚠ Destino solo aplica a transferencias",IF(AND(K3026&lt;&gt;"",K3026=Q3026),"⚠ Origen igual a destino",IF(AND(K3026&lt;&gt;"",ISNA(MATCH(K3026,ctaNombre,0))),"⚠ Destino no registrado",IF(AND(P3026="Pago tarjeta",AE3026&lt;&gt;"Tarjeta de crédito"),"⚠ El destino debe ser tarjeta de crédito",IF(AND(P3026="Gasto",E3026="Depósitos y retiros"),"⚠ Usa tipo Transferencia",IF(AND(P3026="Resultado trading",AD3026&lt;&gt;"Cuenta de trading"),"⚠ Usa una cuenta de trading",IF(AND(G3026&lt;=0,P3026&lt;&gt;"Ajuste",P3026&lt;&gt;"Resultado trading"),"⚠ El monto debe ser positivo","✓")))))))))))))))</f>
        <v/>
      </c>
      <c r="P3026" s="52">
        <f>IF(OR(B3026="",G3026=""),"",IF(C3026="","Gasto",C3026))</f>
        <v/>
      </c>
      <c r="Q3026" s="52">
        <f>IF(P3026="","",IF(J3026&lt;&gt;"",J3026,CuentaPred&amp;""))</f>
        <v/>
      </c>
      <c r="R3026" s="52">
        <f>IF(P3026="","",IF(ISNUMBER(I3026),I3026,TasaUSD))</f>
        <v/>
      </c>
      <c r="S3026" s="53">
        <f>IF(P3026="","",IF(H3026="USD",G3026*R3026,G3026))</f>
        <v/>
      </c>
      <c r="T3026" s="53">
        <f>IF(P3026="","",IF(H3026="USD",G3026,IF(R3026&gt;0,G3026/R3026,0)))</f>
        <v/>
      </c>
      <c r="U3026" s="53">
        <f>IF(P3026="","",IF(P3026="Gasto",S3026,IF(P3026="Reembolso",-S3026,0)))</f>
        <v/>
      </c>
      <c r="V3026" s="53">
        <f>IF(P3026="","",IF(P3026="Ingreso",S3026,0))</f>
        <v/>
      </c>
      <c r="W3026" s="53">
        <f>IF(P3026="","",IF(P3026="Resultado trading",S3026,0))</f>
        <v/>
      </c>
      <c r="X3026" s="52">
        <f>IF(OR(P3026="Gasto",P3026="Reembolso"),IF(M3026&lt;&gt;"",M3026,IFERROR(INDEX(catClasif,MATCH(D3026&amp;"|"&amp;E3026,catClave,0))&amp;"","Variable")),"")</f>
        <v/>
      </c>
      <c r="Y3026" s="52">
        <f>IF(P3026="","",IFERROR(INDEX(catGrupo,MATCH(D3026&amp;"|"&amp;E3026,catClave,0))&amp;"",""))</f>
        <v/>
      </c>
      <c r="Z3026" s="52">
        <f>IF(P3026="","",WEEKDAY(B3026,2))</f>
        <v/>
      </c>
      <c r="AA3026" s="52">
        <f>IF(P3026="","",IF(AND(P3026="Gasto",X3026="Variable",D3026&lt;&gt;catTrading,S3026&gt;0,S3026&lt;=Umbral),1,0))</f>
        <v/>
      </c>
      <c r="AB3026" s="52">
        <f>IF(OR(P3026="",Q3026=""),"",IFERROR(IF(INDEX(ctaVinc,MATCH(Q3026,ctaNombre,0))&amp;""&lt;&gt;"",INDEX(ctaVinc,MATCH(Q3026,ctaNombre,0))&amp;"",Q3026),Q3026))</f>
        <v/>
      </c>
      <c r="AC3026" s="52">
        <f>IF(OR(K3026="",AND(P3026&lt;&gt;"Transferencia",P3026&lt;&gt;"Pago tarjeta")),"",IFERROR(IF(INDEX(ctaVinc,MATCH(K3026,ctaNombre,0))&amp;""&lt;&gt;"",INDEX(ctaVinc,MATCH(K3026,ctaNombre,0))&amp;"",K3026),K3026))</f>
        <v/>
      </c>
      <c r="AD3026" s="52">
        <f>IF(AB3026="","",IFERROR(INDEX(ctaTipo,MATCH(AB3026,ctaNombre,0))&amp;"",""))</f>
        <v/>
      </c>
      <c r="AE3026" s="52">
        <f>IF(AC3026="","",IFERROR(INDEX(ctaTipo,MATCH(AC3026,ctaNombre,0))&amp;"",""))</f>
        <v/>
      </c>
      <c r="AF3026" s="53">
        <f>IF(OR(P3026="",AB3026=""),"",IF(OR(P3026="Gasto",P3026="Transferencia",P3026="Pago tarjeta"),-1,1)*IF(IFERROR(INDEX(ctaMoneda,MATCH(AB3026,ctaNombre,0))&amp;"","DOP")="USD",T3026,S3026))</f>
        <v/>
      </c>
      <c r="AG3026" s="53">
        <f>IF(AC3026="","",IF(IFERROR(INDEX(ctaMoneda,MATCH(AC3026,ctaNombre,0))&amp;"","DOP")="USD",T3026,S3026))</f>
        <v/>
      </c>
      <c r="AH3026" s="53">
        <f>IF(P3026="","",IF(AND(AD3026&lt;&gt;"",COUNTIFS(tcTipo,AD3026,tcLiq,"Sí")&gt;0),IF(OR(P3026="Gasto",P3026="Transferencia",P3026="Pago tarjeta"),-1,1)*S3026,0)+IF(AND(AE3026&lt;&gt;"",COUNTIFS(tcTipo,AE3026,tcLiq,"Sí")&gt;0),S3026,0))</f>
        <v/>
      </c>
      <c r="AI3026" s="52">
        <f>IF(OR(L3026="",P3026=""),"",IF(COUNTIFS(L$6:L3026,L3026,P$6:P3026,"?*")=1,MAX(AI$5:AI3025)+1,""))</f>
        <v/>
      </c>
    </row>
    <row r="3027">
      <c r="B3027" s="47" t="n"/>
      <c r="C3027" s="48" t="n"/>
      <c r="D3027" s="48" t="n"/>
      <c r="E3027" s="48" t="n"/>
      <c r="F3027" s="48" t="n"/>
      <c r="G3027" s="49" t="n"/>
      <c r="H3027" s="48" t="n"/>
      <c r="I3027" s="50" t="n"/>
      <c r="J3027" s="48" t="n"/>
      <c r="K3027" s="48" t="n"/>
      <c r="L3027" s="48" t="n"/>
      <c r="M3027" s="48" t="n"/>
      <c r="N3027" s="48" t="n"/>
      <c r="O3027" s="51">
        <f>IF(AND(B3027="",G3027="",C3027="",D3027="",J3027=""),"",IF(B3027="","⚠ Falta fecha",IF(G3027="","⚠ Falta monto",IF(Q3027="","⚠ Falta cuenta",IF(ISNA(MATCH(Q3027,ctaNombre,0)),"⚠ Cuenta no registrada",IF(AND(OR(P3027="Gasto",P3027="Reembolso"),D3027=""),"⚠ Falta categoría",IF(AND(D3027&lt;&gt;"",E3027&lt;&gt;"",ISNA(MATCH(D3027&amp;"|"&amp;E3027,catClave,0))),"⚠ Subcategoría no corresponde",IF(AND(OR(P3027="Transferencia",P3027="Pago tarjeta"),K3027=""),"⚠ Falta cuenta destino",IF(AND(K3027&lt;&gt;"",P3027&lt;&gt;"Transferencia",P3027&lt;&gt;"Pago tarjeta"),"⚠ Destino solo aplica a transferencias",IF(AND(K3027&lt;&gt;"",K3027=Q3027),"⚠ Origen igual a destino",IF(AND(K3027&lt;&gt;"",ISNA(MATCH(K3027,ctaNombre,0))),"⚠ Destino no registrado",IF(AND(P3027="Pago tarjeta",AE3027&lt;&gt;"Tarjeta de crédito"),"⚠ El destino debe ser tarjeta de crédito",IF(AND(P3027="Gasto",E3027="Depósitos y retiros"),"⚠ Usa tipo Transferencia",IF(AND(P3027="Resultado trading",AD3027&lt;&gt;"Cuenta de trading"),"⚠ Usa una cuenta de trading",IF(AND(G3027&lt;=0,P3027&lt;&gt;"Ajuste",P3027&lt;&gt;"Resultado trading"),"⚠ El monto debe ser positivo","✓")))))))))))))))</f>
        <v/>
      </c>
      <c r="P3027" s="52">
        <f>IF(OR(B3027="",G3027=""),"",IF(C3027="","Gasto",C3027))</f>
        <v/>
      </c>
      <c r="Q3027" s="52">
        <f>IF(P3027="","",IF(J3027&lt;&gt;"",J3027,CuentaPred&amp;""))</f>
        <v/>
      </c>
      <c r="R3027" s="52">
        <f>IF(P3027="","",IF(ISNUMBER(I3027),I3027,TasaUSD))</f>
        <v/>
      </c>
      <c r="S3027" s="53">
        <f>IF(P3027="","",IF(H3027="USD",G3027*R3027,G3027))</f>
        <v/>
      </c>
      <c r="T3027" s="53">
        <f>IF(P3027="","",IF(H3027="USD",G3027,IF(R3027&gt;0,G3027/R3027,0)))</f>
        <v/>
      </c>
      <c r="U3027" s="53">
        <f>IF(P3027="","",IF(P3027="Gasto",S3027,IF(P3027="Reembolso",-S3027,0)))</f>
        <v/>
      </c>
      <c r="V3027" s="53">
        <f>IF(P3027="","",IF(P3027="Ingreso",S3027,0))</f>
        <v/>
      </c>
      <c r="W3027" s="53">
        <f>IF(P3027="","",IF(P3027="Resultado trading",S3027,0))</f>
        <v/>
      </c>
      <c r="X3027" s="52">
        <f>IF(OR(P3027="Gasto",P3027="Reembolso"),IF(M3027&lt;&gt;"",M3027,IFERROR(INDEX(catClasif,MATCH(D3027&amp;"|"&amp;E3027,catClave,0))&amp;"","Variable")),"")</f>
        <v/>
      </c>
      <c r="Y3027" s="52">
        <f>IF(P3027="","",IFERROR(INDEX(catGrupo,MATCH(D3027&amp;"|"&amp;E3027,catClave,0))&amp;"",""))</f>
        <v/>
      </c>
      <c r="Z3027" s="52">
        <f>IF(P3027="","",WEEKDAY(B3027,2))</f>
        <v/>
      </c>
      <c r="AA3027" s="52">
        <f>IF(P3027="","",IF(AND(P3027="Gasto",X3027="Variable",D3027&lt;&gt;catTrading,S3027&gt;0,S3027&lt;=Umbral),1,0))</f>
        <v/>
      </c>
      <c r="AB3027" s="52">
        <f>IF(OR(P3027="",Q3027=""),"",IFERROR(IF(INDEX(ctaVinc,MATCH(Q3027,ctaNombre,0))&amp;""&lt;&gt;"",INDEX(ctaVinc,MATCH(Q3027,ctaNombre,0))&amp;"",Q3027),Q3027))</f>
        <v/>
      </c>
      <c r="AC3027" s="52">
        <f>IF(OR(K3027="",AND(P3027&lt;&gt;"Transferencia",P3027&lt;&gt;"Pago tarjeta")),"",IFERROR(IF(INDEX(ctaVinc,MATCH(K3027,ctaNombre,0))&amp;""&lt;&gt;"",INDEX(ctaVinc,MATCH(K3027,ctaNombre,0))&amp;"",K3027),K3027))</f>
        <v/>
      </c>
      <c r="AD3027" s="52">
        <f>IF(AB3027="","",IFERROR(INDEX(ctaTipo,MATCH(AB3027,ctaNombre,0))&amp;"",""))</f>
        <v/>
      </c>
      <c r="AE3027" s="52">
        <f>IF(AC3027="","",IFERROR(INDEX(ctaTipo,MATCH(AC3027,ctaNombre,0))&amp;"",""))</f>
        <v/>
      </c>
      <c r="AF3027" s="53">
        <f>IF(OR(P3027="",AB3027=""),"",IF(OR(P3027="Gasto",P3027="Transferencia",P3027="Pago tarjeta"),-1,1)*IF(IFERROR(INDEX(ctaMoneda,MATCH(AB3027,ctaNombre,0))&amp;"","DOP")="USD",T3027,S3027))</f>
        <v/>
      </c>
      <c r="AG3027" s="53">
        <f>IF(AC3027="","",IF(IFERROR(INDEX(ctaMoneda,MATCH(AC3027,ctaNombre,0))&amp;"","DOP")="USD",T3027,S3027))</f>
        <v/>
      </c>
      <c r="AH3027" s="53">
        <f>IF(P3027="","",IF(AND(AD3027&lt;&gt;"",COUNTIFS(tcTipo,AD3027,tcLiq,"Sí")&gt;0),IF(OR(P3027="Gasto",P3027="Transferencia",P3027="Pago tarjeta"),-1,1)*S3027,0)+IF(AND(AE3027&lt;&gt;"",COUNTIFS(tcTipo,AE3027,tcLiq,"Sí")&gt;0),S3027,0))</f>
        <v/>
      </c>
      <c r="AI3027" s="52">
        <f>IF(OR(L3027="",P3027=""),"",IF(COUNTIFS(L$6:L3027,L3027,P$6:P3027,"?*")=1,MAX(AI$5:AI3026)+1,""))</f>
        <v/>
      </c>
    </row>
    <row r="3028">
      <c r="B3028" s="47" t="n"/>
      <c r="C3028" s="48" t="n"/>
      <c r="D3028" s="48" t="n"/>
      <c r="E3028" s="48" t="n"/>
      <c r="F3028" s="48" t="n"/>
      <c r="G3028" s="49" t="n"/>
      <c r="H3028" s="48" t="n"/>
      <c r="I3028" s="50" t="n"/>
      <c r="J3028" s="48" t="n"/>
      <c r="K3028" s="48" t="n"/>
      <c r="L3028" s="48" t="n"/>
      <c r="M3028" s="48" t="n"/>
      <c r="N3028" s="48" t="n"/>
      <c r="O3028" s="51">
        <f>IF(AND(B3028="",G3028="",C3028="",D3028="",J3028=""),"",IF(B3028="","⚠ Falta fecha",IF(G3028="","⚠ Falta monto",IF(Q3028="","⚠ Falta cuenta",IF(ISNA(MATCH(Q3028,ctaNombre,0)),"⚠ Cuenta no registrada",IF(AND(OR(P3028="Gasto",P3028="Reembolso"),D3028=""),"⚠ Falta categoría",IF(AND(D3028&lt;&gt;"",E3028&lt;&gt;"",ISNA(MATCH(D3028&amp;"|"&amp;E3028,catClave,0))),"⚠ Subcategoría no corresponde",IF(AND(OR(P3028="Transferencia",P3028="Pago tarjeta"),K3028=""),"⚠ Falta cuenta destino",IF(AND(K3028&lt;&gt;"",P3028&lt;&gt;"Transferencia",P3028&lt;&gt;"Pago tarjeta"),"⚠ Destino solo aplica a transferencias",IF(AND(K3028&lt;&gt;"",K3028=Q3028),"⚠ Origen igual a destino",IF(AND(K3028&lt;&gt;"",ISNA(MATCH(K3028,ctaNombre,0))),"⚠ Destino no registrado",IF(AND(P3028="Pago tarjeta",AE3028&lt;&gt;"Tarjeta de crédito"),"⚠ El destino debe ser tarjeta de crédito",IF(AND(P3028="Gasto",E3028="Depósitos y retiros"),"⚠ Usa tipo Transferencia",IF(AND(P3028="Resultado trading",AD3028&lt;&gt;"Cuenta de trading"),"⚠ Usa una cuenta de trading",IF(AND(G3028&lt;=0,P3028&lt;&gt;"Ajuste",P3028&lt;&gt;"Resultado trading"),"⚠ El monto debe ser positivo","✓")))))))))))))))</f>
        <v/>
      </c>
      <c r="P3028" s="52">
        <f>IF(OR(B3028="",G3028=""),"",IF(C3028="","Gasto",C3028))</f>
        <v/>
      </c>
      <c r="Q3028" s="52">
        <f>IF(P3028="","",IF(J3028&lt;&gt;"",J3028,CuentaPred&amp;""))</f>
        <v/>
      </c>
      <c r="R3028" s="52">
        <f>IF(P3028="","",IF(ISNUMBER(I3028),I3028,TasaUSD))</f>
        <v/>
      </c>
      <c r="S3028" s="53">
        <f>IF(P3028="","",IF(H3028="USD",G3028*R3028,G3028))</f>
        <v/>
      </c>
      <c r="T3028" s="53">
        <f>IF(P3028="","",IF(H3028="USD",G3028,IF(R3028&gt;0,G3028/R3028,0)))</f>
        <v/>
      </c>
      <c r="U3028" s="53">
        <f>IF(P3028="","",IF(P3028="Gasto",S3028,IF(P3028="Reembolso",-S3028,0)))</f>
        <v/>
      </c>
      <c r="V3028" s="53">
        <f>IF(P3028="","",IF(P3028="Ingreso",S3028,0))</f>
        <v/>
      </c>
      <c r="W3028" s="53">
        <f>IF(P3028="","",IF(P3028="Resultado trading",S3028,0))</f>
        <v/>
      </c>
      <c r="X3028" s="52">
        <f>IF(OR(P3028="Gasto",P3028="Reembolso"),IF(M3028&lt;&gt;"",M3028,IFERROR(INDEX(catClasif,MATCH(D3028&amp;"|"&amp;E3028,catClave,0))&amp;"","Variable")),"")</f>
        <v/>
      </c>
      <c r="Y3028" s="52">
        <f>IF(P3028="","",IFERROR(INDEX(catGrupo,MATCH(D3028&amp;"|"&amp;E3028,catClave,0))&amp;"",""))</f>
        <v/>
      </c>
      <c r="Z3028" s="52">
        <f>IF(P3028="","",WEEKDAY(B3028,2))</f>
        <v/>
      </c>
      <c r="AA3028" s="52">
        <f>IF(P3028="","",IF(AND(P3028="Gasto",X3028="Variable",D3028&lt;&gt;catTrading,S3028&gt;0,S3028&lt;=Umbral),1,0))</f>
        <v/>
      </c>
      <c r="AB3028" s="52">
        <f>IF(OR(P3028="",Q3028=""),"",IFERROR(IF(INDEX(ctaVinc,MATCH(Q3028,ctaNombre,0))&amp;""&lt;&gt;"",INDEX(ctaVinc,MATCH(Q3028,ctaNombre,0))&amp;"",Q3028),Q3028))</f>
        <v/>
      </c>
      <c r="AC3028" s="52">
        <f>IF(OR(K3028="",AND(P3028&lt;&gt;"Transferencia",P3028&lt;&gt;"Pago tarjeta")),"",IFERROR(IF(INDEX(ctaVinc,MATCH(K3028,ctaNombre,0))&amp;""&lt;&gt;"",INDEX(ctaVinc,MATCH(K3028,ctaNombre,0))&amp;"",K3028),K3028))</f>
        <v/>
      </c>
      <c r="AD3028" s="52">
        <f>IF(AB3028="","",IFERROR(INDEX(ctaTipo,MATCH(AB3028,ctaNombre,0))&amp;"",""))</f>
        <v/>
      </c>
      <c r="AE3028" s="52">
        <f>IF(AC3028="","",IFERROR(INDEX(ctaTipo,MATCH(AC3028,ctaNombre,0))&amp;"",""))</f>
        <v/>
      </c>
      <c r="AF3028" s="53">
        <f>IF(OR(P3028="",AB3028=""),"",IF(OR(P3028="Gasto",P3028="Transferencia",P3028="Pago tarjeta"),-1,1)*IF(IFERROR(INDEX(ctaMoneda,MATCH(AB3028,ctaNombre,0))&amp;"","DOP")="USD",T3028,S3028))</f>
        <v/>
      </c>
      <c r="AG3028" s="53">
        <f>IF(AC3028="","",IF(IFERROR(INDEX(ctaMoneda,MATCH(AC3028,ctaNombre,0))&amp;"","DOP")="USD",T3028,S3028))</f>
        <v/>
      </c>
      <c r="AH3028" s="53">
        <f>IF(P3028="","",IF(AND(AD3028&lt;&gt;"",COUNTIFS(tcTipo,AD3028,tcLiq,"Sí")&gt;0),IF(OR(P3028="Gasto",P3028="Transferencia",P3028="Pago tarjeta"),-1,1)*S3028,0)+IF(AND(AE3028&lt;&gt;"",COUNTIFS(tcTipo,AE3028,tcLiq,"Sí")&gt;0),S3028,0))</f>
        <v/>
      </c>
      <c r="AI3028" s="52">
        <f>IF(OR(L3028="",P3028=""),"",IF(COUNTIFS(L$6:L3028,L3028,P$6:P3028,"?*")=1,MAX(AI$5:AI3027)+1,""))</f>
        <v/>
      </c>
    </row>
    <row r="3029">
      <c r="B3029" s="47" t="n"/>
      <c r="C3029" s="48" t="n"/>
      <c r="D3029" s="48" t="n"/>
      <c r="E3029" s="48" t="n"/>
      <c r="F3029" s="48" t="n"/>
      <c r="G3029" s="49" t="n"/>
      <c r="H3029" s="48" t="n"/>
      <c r="I3029" s="50" t="n"/>
      <c r="J3029" s="48" t="n"/>
      <c r="K3029" s="48" t="n"/>
      <c r="L3029" s="48" t="n"/>
      <c r="M3029" s="48" t="n"/>
      <c r="N3029" s="48" t="n"/>
      <c r="O3029" s="51">
        <f>IF(AND(B3029="",G3029="",C3029="",D3029="",J3029=""),"",IF(B3029="","⚠ Falta fecha",IF(G3029="","⚠ Falta monto",IF(Q3029="","⚠ Falta cuenta",IF(ISNA(MATCH(Q3029,ctaNombre,0)),"⚠ Cuenta no registrada",IF(AND(OR(P3029="Gasto",P3029="Reembolso"),D3029=""),"⚠ Falta categoría",IF(AND(D3029&lt;&gt;"",E3029&lt;&gt;"",ISNA(MATCH(D3029&amp;"|"&amp;E3029,catClave,0))),"⚠ Subcategoría no corresponde",IF(AND(OR(P3029="Transferencia",P3029="Pago tarjeta"),K3029=""),"⚠ Falta cuenta destino",IF(AND(K3029&lt;&gt;"",P3029&lt;&gt;"Transferencia",P3029&lt;&gt;"Pago tarjeta"),"⚠ Destino solo aplica a transferencias",IF(AND(K3029&lt;&gt;"",K3029=Q3029),"⚠ Origen igual a destino",IF(AND(K3029&lt;&gt;"",ISNA(MATCH(K3029,ctaNombre,0))),"⚠ Destino no registrado",IF(AND(P3029="Pago tarjeta",AE3029&lt;&gt;"Tarjeta de crédito"),"⚠ El destino debe ser tarjeta de crédito",IF(AND(P3029="Gasto",E3029="Depósitos y retiros"),"⚠ Usa tipo Transferencia",IF(AND(P3029="Resultado trading",AD3029&lt;&gt;"Cuenta de trading"),"⚠ Usa una cuenta de trading",IF(AND(G3029&lt;=0,P3029&lt;&gt;"Ajuste",P3029&lt;&gt;"Resultado trading"),"⚠ El monto debe ser positivo","✓")))))))))))))))</f>
        <v/>
      </c>
      <c r="P3029" s="52">
        <f>IF(OR(B3029="",G3029=""),"",IF(C3029="","Gasto",C3029))</f>
        <v/>
      </c>
      <c r="Q3029" s="52">
        <f>IF(P3029="","",IF(J3029&lt;&gt;"",J3029,CuentaPred&amp;""))</f>
        <v/>
      </c>
      <c r="R3029" s="52">
        <f>IF(P3029="","",IF(ISNUMBER(I3029),I3029,TasaUSD))</f>
        <v/>
      </c>
      <c r="S3029" s="53">
        <f>IF(P3029="","",IF(H3029="USD",G3029*R3029,G3029))</f>
        <v/>
      </c>
      <c r="T3029" s="53">
        <f>IF(P3029="","",IF(H3029="USD",G3029,IF(R3029&gt;0,G3029/R3029,0)))</f>
        <v/>
      </c>
      <c r="U3029" s="53">
        <f>IF(P3029="","",IF(P3029="Gasto",S3029,IF(P3029="Reembolso",-S3029,0)))</f>
        <v/>
      </c>
      <c r="V3029" s="53">
        <f>IF(P3029="","",IF(P3029="Ingreso",S3029,0))</f>
        <v/>
      </c>
      <c r="W3029" s="53">
        <f>IF(P3029="","",IF(P3029="Resultado trading",S3029,0))</f>
        <v/>
      </c>
      <c r="X3029" s="52">
        <f>IF(OR(P3029="Gasto",P3029="Reembolso"),IF(M3029&lt;&gt;"",M3029,IFERROR(INDEX(catClasif,MATCH(D3029&amp;"|"&amp;E3029,catClave,0))&amp;"","Variable")),"")</f>
        <v/>
      </c>
      <c r="Y3029" s="52">
        <f>IF(P3029="","",IFERROR(INDEX(catGrupo,MATCH(D3029&amp;"|"&amp;E3029,catClave,0))&amp;"",""))</f>
        <v/>
      </c>
      <c r="Z3029" s="52">
        <f>IF(P3029="","",WEEKDAY(B3029,2))</f>
        <v/>
      </c>
      <c r="AA3029" s="52">
        <f>IF(P3029="","",IF(AND(P3029="Gasto",X3029="Variable",D3029&lt;&gt;catTrading,S3029&gt;0,S3029&lt;=Umbral),1,0))</f>
        <v/>
      </c>
      <c r="AB3029" s="52">
        <f>IF(OR(P3029="",Q3029=""),"",IFERROR(IF(INDEX(ctaVinc,MATCH(Q3029,ctaNombre,0))&amp;""&lt;&gt;"",INDEX(ctaVinc,MATCH(Q3029,ctaNombre,0))&amp;"",Q3029),Q3029))</f>
        <v/>
      </c>
      <c r="AC3029" s="52">
        <f>IF(OR(K3029="",AND(P3029&lt;&gt;"Transferencia",P3029&lt;&gt;"Pago tarjeta")),"",IFERROR(IF(INDEX(ctaVinc,MATCH(K3029,ctaNombre,0))&amp;""&lt;&gt;"",INDEX(ctaVinc,MATCH(K3029,ctaNombre,0))&amp;"",K3029),K3029))</f>
        <v/>
      </c>
      <c r="AD3029" s="52">
        <f>IF(AB3029="","",IFERROR(INDEX(ctaTipo,MATCH(AB3029,ctaNombre,0))&amp;"",""))</f>
        <v/>
      </c>
      <c r="AE3029" s="52">
        <f>IF(AC3029="","",IFERROR(INDEX(ctaTipo,MATCH(AC3029,ctaNombre,0))&amp;"",""))</f>
        <v/>
      </c>
      <c r="AF3029" s="53">
        <f>IF(OR(P3029="",AB3029=""),"",IF(OR(P3029="Gasto",P3029="Transferencia",P3029="Pago tarjeta"),-1,1)*IF(IFERROR(INDEX(ctaMoneda,MATCH(AB3029,ctaNombre,0))&amp;"","DOP")="USD",T3029,S3029))</f>
        <v/>
      </c>
      <c r="AG3029" s="53">
        <f>IF(AC3029="","",IF(IFERROR(INDEX(ctaMoneda,MATCH(AC3029,ctaNombre,0))&amp;"","DOP")="USD",T3029,S3029))</f>
        <v/>
      </c>
      <c r="AH3029" s="53">
        <f>IF(P3029="","",IF(AND(AD3029&lt;&gt;"",COUNTIFS(tcTipo,AD3029,tcLiq,"Sí")&gt;0),IF(OR(P3029="Gasto",P3029="Transferencia",P3029="Pago tarjeta"),-1,1)*S3029,0)+IF(AND(AE3029&lt;&gt;"",COUNTIFS(tcTipo,AE3029,tcLiq,"Sí")&gt;0),S3029,0))</f>
        <v/>
      </c>
      <c r="AI3029" s="52">
        <f>IF(OR(L3029="",P3029=""),"",IF(COUNTIFS(L$6:L3029,L3029,P$6:P3029,"?*")=1,MAX(AI$5:AI3028)+1,""))</f>
        <v/>
      </c>
    </row>
    <row r="3030">
      <c r="B3030" s="47" t="n"/>
      <c r="C3030" s="48" t="n"/>
      <c r="D3030" s="48" t="n"/>
      <c r="E3030" s="48" t="n"/>
      <c r="F3030" s="48" t="n"/>
      <c r="G3030" s="49" t="n"/>
      <c r="H3030" s="48" t="n"/>
      <c r="I3030" s="50" t="n"/>
      <c r="J3030" s="48" t="n"/>
      <c r="K3030" s="48" t="n"/>
      <c r="L3030" s="48" t="n"/>
      <c r="M3030" s="48" t="n"/>
      <c r="N3030" s="48" t="n"/>
      <c r="O3030" s="51">
        <f>IF(AND(B3030="",G3030="",C3030="",D3030="",J3030=""),"",IF(B3030="","⚠ Falta fecha",IF(G3030="","⚠ Falta monto",IF(Q3030="","⚠ Falta cuenta",IF(ISNA(MATCH(Q3030,ctaNombre,0)),"⚠ Cuenta no registrada",IF(AND(OR(P3030="Gasto",P3030="Reembolso"),D3030=""),"⚠ Falta categoría",IF(AND(D3030&lt;&gt;"",E3030&lt;&gt;"",ISNA(MATCH(D3030&amp;"|"&amp;E3030,catClave,0))),"⚠ Subcategoría no corresponde",IF(AND(OR(P3030="Transferencia",P3030="Pago tarjeta"),K3030=""),"⚠ Falta cuenta destino",IF(AND(K3030&lt;&gt;"",P3030&lt;&gt;"Transferencia",P3030&lt;&gt;"Pago tarjeta"),"⚠ Destino solo aplica a transferencias",IF(AND(K3030&lt;&gt;"",K3030=Q3030),"⚠ Origen igual a destino",IF(AND(K3030&lt;&gt;"",ISNA(MATCH(K3030,ctaNombre,0))),"⚠ Destino no registrado",IF(AND(P3030="Pago tarjeta",AE3030&lt;&gt;"Tarjeta de crédito"),"⚠ El destino debe ser tarjeta de crédito",IF(AND(P3030="Gasto",E3030="Depósitos y retiros"),"⚠ Usa tipo Transferencia",IF(AND(P3030="Resultado trading",AD3030&lt;&gt;"Cuenta de trading"),"⚠ Usa una cuenta de trading",IF(AND(G3030&lt;=0,P3030&lt;&gt;"Ajuste",P3030&lt;&gt;"Resultado trading"),"⚠ El monto debe ser positivo","✓")))))))))))))))</f>
        <v/>
      </c>
      <c r="P3030" s="52">
        <f>IF(OR(B3030="",G3030=""),"",IF(C3030="","Gasto",C3030))</f>
        <v/>
      </c>
      <c r="Q3030" s="52">
        <f>IF(P3030="","",IF(J3030&lt;&gt;"",J3030,CuentaPred&amp;""))</f>
        <v/>
      </c>
      <c r="R3030" s="52">
        <f>IF(P3030="","",IF(ISNUMBER(I3030),I3030,TasaUSD))</f>
        <v/>
      </c>
      <c r="S3030" s="53">
        <f>IF(P3030="","",IF(H3030="USD",G3030*R3030,G3030))</f>
        <v/>
      </c>
      <c r="T3030" s="53">
        <f>IF(P3030="","",IF(H3030="USD",G3030,IF(R3030&gt;0,G3030/R3030,0)))</f>
        <v/>
      </c>
      <c r="U3030" s="53">
        <f>IF(P3030="","",IF(P3030="Gasto",S3030,IF(P3030="Reembolso",-S3030,0)))</f>
        <v/>
      </c>
      <c r="V3030" s="53">
        <f>IF(P3030="","",IF(P3030="Ingreso",S3030,0))</f>
        <v/>
      </c>
      <c r="W3030" s="53">
        <f>IF(P3030="","",IF(P3030="Resultado trading",S3030,0))</f>
        <v/>
      </c>
      <c r="X3030" s="52">
        <f>IF(OR(P3030="Gasto",P3030="Reembolso"),IF(M3030&lt;&gt;"",M3030,IFERROR(INDEX(catClasif,MATCH(D3030&amp;"|"&amp;E3030,catClave,0))&amp;"","Variable")),"")</f>
        <v/>
      </c>
      <c r="Y3030" s="52">
        <f>IF(P3030="","",IFERROR(INDEX(catGrupo,MATCH(D3030&amp;"|"&amp;E3030,catClave,0))&amp;"",""))</f>
        <v/>
      </c>
      <c r="Z3030" s="52">
        <f>IF(P3030="","",WEEKDAY(B3030,2))</f>
        <v/>
      </c>
      <c r="AA3030" s="52">
        <f>IF(P3030="","",IF(AND(P3030="Gasto",X3030="Variable",D3030&lt;&gt;catTrading,S3030&gt;0,S3030&lt;=Umbral),1,0))</f>
        <v/>
      </c>
      <c r="AB3030" s="52">
        <f>IF(OR(P3030="",Q3030=""),"",IFERROR(IF(INDEX(ctaVinc,MATCH(Q3030,ctaNombre,0))&amp;""&lt;&gt;"",INDEX(ctaVinc,MATCH(Q3030,ctaNombre,0))&amp;"",Q3030),Q3030))</f>
        <v/>
      </c>
      <c r="AC3030" s="52">
        <f>IF(OR(K3030="",AND(P3030&lt;&gt;"Transferencia",P3030&lt;&gt;"Pago tarjeta")),"",IFERROR(IF(INDEX(ctaVinc,MATCH(K3030,ctaNombre,0))&amp;""&lt;&gt;"",INDEX(ctaVinc,MATCH(K3030,ctaNombre,0))&amp;"",K3030),K3030))</f>
        <v/>
      </c>
      <c r="AD3030" s="52">
        <f>IF(AB3030="","",IFERROR(INDEX(ctaTipo,MATCH(AB3030,ctaNombre,0))&amp;"",""))</f>
        <v/>
      </c>
      <c r="AE3030" s="52">
        <f>IF(AC3030="","",IFERROR(INDEX(ctaTipo,MATCH(AC3030,ctaNombre,0))&amp;"",""))</f>
        <v/>
      </c>
      <c r="AF3030" s="53">
        <f>IF(OR(P3030="",AB3030=""),"",IF(OR(P3030="Gasto",P3030="Transferencia",P3030="Pago tarjeta"),-1,1)*IF(IFERROR(INDEX(ctaMoneda,MATCH(AB3030,ctaNombre,0))&amp;"","DOP")="USD",T3030,S3030))</f>
        <v/>
      </c>
      <c r="AG3030" s="53">
        <f>IF(AC3030="","",IF(IFERROR(INDEX(ctaMoneda,MATCH(AC3030,ctaNombre,0))&amp;"","DOP")="USD",T3030,S3030))</f>
        <v/>
      </c>
      <c r="AH3030" s="53">
        <f>IF(P3030="","",IF(AND(AD3030&lt;&gt;"",COUNTIFS(tcTipo,AD3030,tcLiq,"Sí")&gt;0),IF(OR(P3030="Gasto",P3030="Transferencia",P3030="Pago tarjeta"),-1,1)*S3030,0)+IF(AND(AE3030&lt;&gt;"",COUNTIFS(tcTipo,AE3030,tcLiq,"Sí")&gt;0),S3030,0))</f>
        <v/>
      </c>
      <c r="AI3030" s="52">
        <f>IF(OR(L3030="",P3030=""),"",IF(COUNTIFS(L$6:L3030,L3030,P$6:P3030,"?*")=1,MAX(AI$5:AI3029)+1,""))</f>
        <v/>
      </c>
    </row>
    <row r="3031">
      <c r="B3031" s="47" t="n"/>
      <c r="C3031" s="48" t="n"/>
      <c r="D3031" s="48" t="n"/>
      <c r="E3031" s="48" t="n"/>
      <c r="F3031" s="48" t="n"/>
      <c r="G3031" s="49" t="n"/>
      <c r="H3031" s="48" t="n"/>
      <c r="I3031" s="50" t="n"/>
      <c r="J3031" s="48" t="n"/>
      <c r="K3031" s="48" t="n"/>
      <c r="L3031" s="48" t="n"/>
      <c r="M3031" s="48" t="n"/>
      <c r="N3031" s="48" t="n"/>
      <c r="O3031" s="51">
        <f>IF(AND(B3031="",G3031="",C3031="",D3031="",J3031=""),"",IF(B3031="","⚠ Falta fecha",IF(G3031="","⚠ Falta monto",IF(Q3031="","⚠ Falta cuenta",IF(ISNA(MATCH(Q3031,ctaNombre,0)),"⚠ Cuenta no registrada",IF(AND(OR(P3031="Gasto",P3031="Reembolso"),D3031=""),"⚠ Falta categoría",IF(AND(D3031&lt;&gt;"",E3031&lt;&gt;"",ISNA(MATCH(D3031&amp;"|"&amp;E3031,catClave,0))),"⚠ Subcategoría no corresponde",IF(AND(OR(P3031="Transferencia",P3031="Pago tarjeta"),K3031=""),"⚠ Falta cuenta destino",IF(AND(K3031&lt;&gt;"",P3031&lt;&gt;"Transferencia",P3031&lt;&gt;"Pago tarjeta"),"⚠ Destino solo aplica a transferencias",IF(AND(K3031&lt;&gt;"",K3031=Q3031),"⚠ Origen igual a destino",IF(AND(K3031&lt;&gt;"",ISNA(MATCH(K3031,ctaNombre,0))),"⚠ Destino no registrado",IF(AND(P3031="Pago tarjeta",AE3031&lt;&gt;"Tarjeta de crédito"),"⚠ El destino debe ser tarjeta de crédito",IF(AND(P3031="Gasto",E3031="Depósitos y retiros"),"⚠ Usa tipo Transferencia",IF(AND(P3031="Resultado trading",AD3031&lt;&gt;"Cuenta de trading"),"⚠ Usa una cuenta de trading",IF(AND(G3031&lt;=0,P3031&lt;&gt;"Ajuste",P3031&lt;&gt;"Resultado trading"),"⚠ El monto debe ser positivo","✓")))))))))))))))</f>
        <v/>
      </c>
      <c r="P3031" s="52">
        <f>IF(OR(B3031="",G3031=""),"",IF(C3031="","Gasto",C3031))</f>
        <v/>
      </c>
      <c r="Q3031" s="52">
        <f>IF(P3031="","",IF(J3031&lt;&gt;"",J3031,CuentaPred&amp;""))</f>
        <v/>
      </c>
      <c r="R3031" s="52">
        <f>IF(P3031="","",IF(ISNUMBER(I3031),I3031,TasaUSD))</f>
        <v/>
      </c>
      <c r="S3031" s="53">
        <f>IF(P3031="","",IF(H3031="USD",G3031*R3031,G3031))</f>
        <v/>
      </c>
      <c r="T3031" s="53">
        <f>IF(P3031="","",IF(H3031="USD",G3031,IF(R3031&gt;0,G3031/R3031,0)))</f>
        <v/>
      </c>
      <c r="U3031" s="53">
        <f>IF(P3031="","",IF(P3031="Gasto",S3031,IF(P3031="Reembolso",-S3031,0)))</f>
        <v/>
      </c>
      <c r="V3031" s="53">
        <f>IF(P3031="","",IF(P3031="Ingreso",S3031,0))</f>
        <v/>
      </c>
      <c r="W3031" s="53">
        <f>IF(P3031="","",IF(P3031="Resultado trading",S3031,0))</f>
        <v/>
      </c>
      <c r="X3031" s="52">
        <f>IF(OR(P3031="Gasto",P3031="Reembolso"),IF(M3031&lt;&gt;"",M3031,IFERROR(INDEX(catClasif,MATCH(D3031&amp;"|"&amp;E3031,catClave,0))&amp;"","Variable")),"")</f>
        <v/>
      </c>
      <c r="Y3031" s="52">
        <f>IF(P3031="","",IFERROR(INDEX(catGrupo,MATCH(D3031&amp;"|"&amp;E3031,catClave,0))&amp;"",""))</f>
        <v/>
      </c>
      <c r="Z3031" s="52">
        <f>IF(P3031="","",WEEKDAY(B3031,2))</f>
        <v/>
      </c>
      <c r="AA3031" s="52">
        <f>IF(P3031="","",IF(AND(P3031="Gasto",X3031="Variable",D3031&lt;&gt;catTrading,S3031&gt;0,S3031&lt;=Umbral),1,0))</f>
        <v/>
      </c>
      <c r="AB3031" s="52">
        <f>IF(OR(P3031="",Q3031=""),"",IFERROR(IF(INDEX(ctaVinc,MATCH(Q3031,ctaNombre,0))&amp;""&lt;&gt;"",INDEX(ctaVinc,MATCH(Q3031,ctaNombre,0))&amp;"",Q3031),Q3031))</f>
        <v/>
      </c>
      <c r="AC3031" s="52">
        <f>IF(OR(K3031="",AND(P3031&lt;&gt;"Transferencia",P3031&lt;&gt;"Pago tarjeta")),"",IFERROR(IF(INDEX(ctaVinc,MATCH(K3031,ctaNombre,0))&amp;""&lt;&gt;"",INDEX(ctaVinc,MATCH(K3031,ctaNombre,0))&amp;"",K3031),K3031))</f>
        <v/>
      </c>
      <c r="AD3031" s="52">
        <f>IF(AB3031="","",IFERROR(INDEX(ctaTipo,MATCH(AB3031,ctaNombre,0))&amp;"",""))</f>
        <v/>
      </c>
      <c r="AE3031" s="52">
        <f>IF(AC3031="","",IFERROR(INDEX(ctaTipo,MATCH(AC3031,ctaNombre,0))&amp;"",""))</f>
        <v/>
      </c>
      <c r="AF3031" s="53">
        <f>IF(OR(P3031="",AB3031=""),"",IF(OR(P3031="Gasto",P3031="Transferencia",P3031="Pago tarjeta"),-1,1)*IF(IFERROR(INDEX(ctaMoneda,MATCH(AB3031,ctaNombre,0))&amp;"","DOP")="USD",T3031,S3031))</f>
        <v/>
      </c>
      <c r="AG3031" s="53">
        <f>IF(AC3031="","",IF(IFERROR(INDEX(ctaMoneda,MATCH(AC3031,ctaNombre,0))&amp;"","DOP")="USD",T3031,S3031))</f>
        <v/>
      </c>
      <c r="AH3031" s="53">
        <f>IF(P3031="","",IF(AND(AD3031&lt;&gt;"",COUNTIFS(tcTipo,AD3031,tcLiq,"Sí")&gt;0),IF(OR(P3031="Gasto",P3031="Transferencia",P3031="Pago tarjeta"),-1,1)*S3031,0)+IF(AND(AE3031&lt;&gt;"",COUNTIFS(tcTipo,AE3031,tcLiq,"Sí")&gt;0),S3031,0))</f>
        <v/>
      </c>
      <c r="AI3031" s="52">
        <f>IF(OR(L3031="",P3031=""),"",IF(COUNTIFS(L$6:L3031,L3031,P$6:P3031,"?*")=1,MAX(AI$5:AI3030)+1,""))</f>
        <v/>
      </c>
    </row>
    <row r="3032">
      <c r="B3032" s="47" t="n"/>
      <c r="C3032" s="48" t="n"/>
      <c r="D3032" s="48" t="n"/>
      <c r="E3032" s="48" t="n"/>
      <c r="F3032" s="48" t="n"/>
      <c r="G3032" s="49" t="n"/>
      <c r="H3032" s="48" t="n"/>
      <c r="I3032" s="50" t="n"/>
      <c r="J3032" s="48" t="n"/>
      <c r="K3032" s="48" t="n"/>
      <c r="L3032" s="48" t="n"/>
      <c r="M3032" s="48" t="n"/>
      <c r="N3032" s="48" t="n"/>
      <c r="O3032" s="51">
        <f>IF(AND(B3032="",G3032="",C3032="",D3032="",J3032=""),"",IF(B3032="","⚠ Falta fecha",IF(G3032="","⚠ Falta monto",IF(Q3032="","⚠ Falta cuenta",IF(ISNA(MATCH(Q3032,ctaNombre,0)),"⚠ Cuenta no registrada",IF(AND(OR(P3032="Gasto",P3032="Reembolso"),D3032=""),"⚠ Falta categoría",IF(AND(D3032&lt;&gt;"",E3032&lt;&gt;"",ISNA(MATCH(D3032&amp;"|"&amp;E3032,catClave,0))),"⚠ Subcategoría no corresponde",IF(AND(OR(P3032="Transferencia",P3032="Pago tarjeta"),K3032=""),"⚠ Falta cuenta destino",IF(AND(K3032&lt;&gt;"",P3032&lt;&gt;"Transferencia",P3032&lt;&gt;"Pago tarjeta"),"⚠ Destino solo aplica a transferencias",IF(AND(K3032&lt;&gt;"",K3032=Q3032),"⚠ Origen igual a destino",IF(AND(K3032&lt;&gt;"",ISNA(MATCH(K3032,ctaNombre,0))),"⚠ Destino no registrado",IF(AND(P3032="Pago tarjeta",AE3032&lt;&gt;"Tarjeta de crédito"),"⚠ El destino debe ser tarjeta de crédito",IF(AND(P3032="Gasto",E3032="Depósitos y retiros"),"⚠ Usa tipo Transferencia",IF(AND(P3032="Resultado trading",AD3032&lt;&gt;"Cuenta de trading"),"⚠ Usa una cuenta de trading",IF(AND(G3032&lt;=0,P3032&lt;&gt;"Ajuste",P3032&lt;&gt;"Resultado trading"),"⚠ El monto debe ser positivo","✓")))))))))))))))</f>
        <v/>
      </c>
      <c r="P3032" s="52">
        <f>IF(OR(B3032="",G3032=""),"",IF(C3032="","Gasto",C3032))</f>
        <v/>
      </c>
      <c r="Q3032" s="52">
        <f>IF(P3032="","",IF(J3032&lt;&gt;"",J3032,CuentaPred&amp;""))</f>
        <v/>
      </c>
      <c r="R3032" s="52">
        <f>IF(P3032="","",IF(ISNUMBER(I3032),I3032,TasaUSD))</f>
        <v/>
      </c>
      <c r="S3032" s="53">
        <f>IF(P3032="","",IF(H3032="USD",G3032*R3032,G3032))</f>
        <v/>
      </c>
      <c r="T3032" s="53">
        <f>IF(P3032="","",IF(H3032="USD",G3032,IF(R3032&gt;0,G3032/R3032,0)))</f>
        <v/>
      </c>
      <c r="U3032" s="53">
        <f>IF(P3032="","",IF(P3032="Gasto",S3032,IF(P3032="Reembolso",-S3032,0)))</f>
        <v/>
      </c>
      <c r="V3032" s="53">
        <f>IF(P3032="","",IF(P3032="Ingreso",S3032,0))</f>
        <v/>
      </c>
      <c r="W3032" s="53">
        <f>IF(P3032="","",IF(P3032="Resultado trading",S3032,0))</f>
        <v/>
      </c>
      <c r="X3032" s="52">
        <f>IF(OR(P3032="Gasto",P3032="Reembolso"),IF(M3032&lt;&gt;"",M3032,IFERROR(INDEX(catClasif,MATCH(D3032&amp;"|"&amp;E3032,catClave,0))&amp;"","Variable")),"")</f>
        <v/>
      </c>
      <c r="Y3032" s="52">
        <f>IF(P3032="","",IFERROR(INDEX(catGrupo,MATCH(D3032&amp;"|"&amp;E3032,catClave,0))&amp;"",""))</f>
        <v/>
      </c>
      <c r="Z3032" s="52">
        <f>IF(P3032="","",WEEKDAY(B3032,2))</f>
        <v/>
      </c>
      <c r="AA3032" s="52">
        <f>IF(P3032="","",IF(AND(P3032="Gasto",X3032="Variable",D3032&lt;&gt;catTrading,S3032&gt;0,S3032&lt;=Umbral),1,0))</f>
        <v/>
      </c>
      <c r="AB3032" s="52">
        <f>IF(OR(P3032="",Q3032=""),"",IFERROR(IF(INDEX(ctaVinc,MATCH(Q3032,ctaNombre,0))&amp;""&lt;&gt;"",INDEX(ctaVinc,MATCH(Q3032,ctaNombre,0))&amp;"",Q3032),Q3032))</f>
        <v/>
      </c>
      <c r="AC3032" s="52">
        <f>IF(OR(K3032="",AND(P3032&lt;&gt;"Transferencia",P3032&lt;&gt;"Pago tarjeta")),"",IFERROR(IF(INDEX(ctaVinc,MATCH(K3032,ctaNombre,0))&amp;""&lt;&gt;"",INDEX(ctaVinc,MATCH(K3032,ctaNombre,0))&amp;"",K3032),K3032))</f>
        <v/>
      </c>
      <c r="AD3032" s="52">
        <f>IF(AB3032="","",IFERROR(INDEX(ctaTipo,MATCH(AB3032,ctaNombre,0))&amp;"",""))</f>
        <v/>
      </c>
      <c r="AE3032" s="52">
        <f>IF(AC3032="","",IFERROR(INDEX(ctaTipo,MATCH(AC3032,ctaNombre,0))&amp;"",""))</f>
        <v/>
      </c>
      <c r="AF3032" s="53">
        <f>IF(OR(P3032="",AB3032=""),"",IF(OR(P3032="Gasto",P3032="Transferencia",P3032="Pago tarjeta"),-1,1)*IF(IFERROR(INDEX(ctaMoneda,MATCH(AB3032,ctaNombre,0))&amp;"","DOP")="USD",T3032,S3032))</f>
        <v/>
      </c>
      <c r="AG3032" s="53">
        <f>IF(AC3032="","",IF(IFERROR(INDEX(ctaMoneda,MATCH(AC3032,ctaNombre,0))&amp;"","DOP")="USD",T3032,S3032))</f>
        <v/>
      </c>
      <c r="AH3032" s="53">
        <f>IF(P3032="","",IF(AND(AD3032&lt;&gt;"",COUNTIFS(tcTipo,AD3032,tcLiq,"Sí")&gt;0),IF(OR(P3032="Gasto",P3032="Transferencia",P3032="Pago tarjeta"),-1,1)*S3032,0)+IF(AND(AE3032&lt;&gt;"",COUNTIFS(tcTipo,AE3032,tcLiq,"Sí")&gt;0),S3032,0))</f>
        <v/>
      </c>
      <c r="AI3032" s="52">
        <f>IF(OR(L3032="",P3032=""),"",IF(COUNTIFS(L$6:L3032,L3032,P$6:P3032,"?*")=1,MAX(AI$5:AI3031)+1,""))</f>
        <v/>
      </c>
    </row>
    <row r="3033">
      <c r="B3033" s="47" t="n"/>
      <c r="C3033" s="48" t="n"/>
      <c r="D3033" s="48" t="n"/>
      <c r="E3033" s="48" t="n"/>
      <c r="F3033" s="48" t="n"/>
      <c r="G3033" s="49" t="n"/>
      <c r="H3033" s="48" t="n"/>
      <c r="I3033" s="50" t="n"/>
      <c r="J3033" s="48" t="n"/>
      <c r="K3033" s="48" t="n"/>
      <c r="L3033" s="48" t="n"/>
      <c r="M3033" s="48" t="n"/>
      <c r="N3033" s="48" t="n"/>
      <c r="O3033" s="51">
        <f>IF(AND(B3033="",G3033="",C3033="",D3033="",J3033=""),"",IF(B3033="","⚠ Falta fecha",IF(G3033="","⚠ Falta monto",IF(Q3033="","⚠ Falta cuenta",IF(ISNA(MATCH(Q3033,ctaNombre,0)),"⚠ Cuenta no registrada",IF(AND(OR(P3033="Gasto",P3033="Reembolso"),D3033=""),"⚠ Falta categoría",IF(AND(D3033&lt;&gt;"",E3033&lt;&gt;"",ISNA(MATCH(D3033&amp;"|"&amp;E3033,catClave,0))),"⚠ Subcategoría no corresponde",IF(AND(OR(P3033="Transferencia",P3033="Pago tarjeta"),K3033=""),"⚠ Falta cuenta destino",IF(AND(K3033&lt;&gt;"",P3033&lt;&gt;"Transferencia",P3033&lt;&gt;"Pago tarjeta"),"⚠ Destino solo aplica a transferencias",IF(AND(K3033&lt;&gt;"",K3033=Q3033),"⚠ Origen igual a destino",IF(AND(K3033&lt;&gt;"",ISNA(MATCH(K3033,ctaNombre,0))),"⚠ Destino no registrado",IF(AND(P3033="Pago tarjeta",AE3033&lt;&gt;"Tarjeta de crédito"),"⚠ El destino debe ser tarjeta de crédito",IF(AND(P3033="Gasto",E3033="Depósitos y retiros"),"⚠ Usa tipo Transferencia",IF(AND(P3033="Resultado trading",AD3033&lt;&gt;"Cuenta de trading"),"⚠ Usa una cuenta de trading",IF(AND(G3033&lt;=0,P3033&lt;&gt;"Ajuste",P3033&lt;&gt;"Resultado trading"),"⚠ El monto debe ser positivo","✓")))))))))))))))</f>
        <v/>
      </c>
      <c r="P3033" s="52">
        <f>IF(OR(B3033="",G3033=""),"",IF(C3033="","Gasto",C3033))</f>
        <v/>
      </c>
      <c r="Q3033" s="52">
        <f>IF(P3033="","",IF(J3033&lt;&gt;"",J3033,CuentaPred&amp;""))</f>
        <v/>
      </c>
      <c r="R3033" s="52">
        <f>IF(P3033="","",IF(ISNUMBER(I3033),I3033,TasaUSD))</f>
        <v/>
      </c>
      <c r="S3033" s="53">
        <f>IF(P3033="","",IF(H3033="USD",G3033*R3033,G3033))</f>
        <v/>
      </c>
      <c r="T3033" s="53">
        <f>IF(P3033="","",IF(H3033="USD",G3033,IF(R3033&gt;0,G3033/R3033,0)))</f>
        <v/>
      </c>
      <c r="U3033" s="53">
        <f>IF(P3033="","",IF(P3033="Gasto",S3033,IF(P3033="Reembolso",-S3033,0)))</f>
        <v/>
      </c>
      <c r="V3033" s="53">
        <f>IF(P3033="","",IF(P3033="Ingreso",S3033,0))</f>
        <v/>
      </c>
      <c r="W3033" s="53">
        <f>IF(P3033="","",IF(P3033="Resultado trading",S3033,0))</f>
        <v/>
      </c>
      <c r="X3033" s="52">
        <f>IF(OR(P3033="Gasto",P3033="Reembolso"),IF(M3033&lt;&gt;"",M3033,IFERROR(INDEX(catClasif,MATCH(D3033&amp;"|"&amp;E3033,catClave,0))&amp;"","Variable")),"")</f>
        <v/>
      </c>
      <c r="Y3033" s="52">
        <f>IF(P3033="","",IFERROR(INDEX(catGrupo,MATCH(D3033&amp;"|"&amp;E3033,catClave,0))&amp;"",""))</f>
        <v/>
      </c>
      <c r="Z3033" s="52">
        <f>IF(P3033="","",WEEKDAY(B3033,2))</f>
        <v/>
      </c>
      <c r="AA3033" s="52">
        <f>IF(P3033="","",IF(AND(P3033="Gasto",X3033="Variable",D3033&lt;&gt;catTrading,S3033&gt;0,S3033&lt;=Umbral),1,0))</f>
        <v/>
      </c>
      <c r="AB3033" s="52">
        <f>IF(OR(P3033="",Q3033=""),"",IFERROR(IF(INDEX(ctaVinc,MATCH(Q3033,ctaNombre,0))&amp;""&lt;&gt;"",INDEX(ctaVinc,MATCH(Q3033,ctaNombre,0))&amp;"",Q3033),Q3033))</f>
        <v/>
      </c>
      <c r="AC3033" s="52">
        <f>IF(OR(K3033="",AND(P3033&lt;&gt;"Transferencia",P3033&lt;&gt;"Pago tarjeta")),"",IFERROR(IF(INDEX(ctaVinc,MATCH(K3033,ctaNombre,0))&amp;""&lt;&gt;"",INDEX(ctaVinc,MATCH(K3033,ctaNombre,0))&amp;"",K3033),K3033))</f>
        <v/>
      </c>
      <c r="AD3033" s="52">
        <f>IF(AB3033="","",IFERROR(INDEX(ctaTipo,MATCH(AB3033,ctaNombre,0))&amp;"",""))</f>
        <v/>
      </c>
      <c r="AE3033" s="52">
        <f>IF(AC3033="","",IFERROR(INDEX(ctaTipo,MATCH(AC3033,ctaNombre,0))&amp;"",""))</f>
        <v/>
      </c>
      <c r="AF3033" s="53">
        <f>IF(OR(P3033="",AB3033=""),"",IF(OR(P3033="Gasto",P3033="Transferencia",P3033="Pago tarjeta"),-1,1)*IF(IFERROR(INDEX(ctaMoneda,MATCH(AB3033,ctaNombre,0))&amp;"","DOP")="USD",T3033,S3033))</f>
        <v/>
      </c>
      <c r="AG3033" s="53">
        <f>IF(AC3033="","",IF(IFERROR(INDEX(ctaMoneda,MATCH(AC3033,ctaNombre,0))&amp;"","DOP")="USD",T3033,S3033))</f>
        <v/>
      </c>
      <c r="AH3033" s="53">
        <f>IF(P3033="","",IF(AND(AD3033&lt;&gt;"",COUNTIFS(tcTipo,AD3033,tcLiq,"Sí")&gt;0),IF(OR(P3033="Gasto",P3033="Transferencia",P3033="Pago tarjeta"),-1,1)*S3033,0)+IF(AND(AE3033&lt;&gt;"",COUNTIFS(tcTipo,AE3033,tcLiq,"Sí")&gt;0),S3033,0))</f>
        <v/>
      </c>
      <c r="AI3033" s="52">
        <f>IF(OR(L3033="",P3033=""),"",IF(COUNTIFS(L$6:L3033,L3033,P$6:P3033,"?*")=1,MAX(AI$5:AI3032)+1,""))</f>
        <v/>
      </c>
    </row>
    <row r="3034">
      <c r="B3034" s="47" t="n"/>
      <c r="C3034" s="48" t="n"/>
      <c r="D3034" s="48" t="n"/>
      <c r="E3034" s="48" t="n"/>
      <c r="F3034" s="48" t="n"/>
      <c r="G3034" s="49" t="n"/>
      <c r="H3034" s="48" t="n"/>
      <c r="I3034" s="50" t="n"/>
      <c r="J3034" s="48" t="n"/>
      <c r="K3034" s="48" t="n"/>
      <c r="L3034" s="48" t="n"/>
      <c r="M3034" s="48" t="n"/>
      <c r="N3034" s="48" t="n"/>
      <c r="O3034" s="51">
        <f>IF(AND(B3034="",G3034="",C3034="",D3034="",J3034=""),"",IF(B3034="","⚠ Falta fecha",IF(G3034="","⚠ Falta monto",IF(Q3034="","⚠ Falta cuenta",IF(ISNA(MATCH(Q3034,ctaNombre,0)),"⚠ Cuenta no registrada",IF(AND(OR(P3034="Gasto",P3034="Reembolso"),D3034=""),"⚠ Falta categoría",IF(AND(D3034&lt;&gt;"",E3034&lt;&gt;"",ISNA(MATCH(D3034&amp;"|"&amp;E3034,catClave,0))),"⚠ Subcategoría no corresponde",IF(AND(OR(P3034="Transferencia",P3034="Pago tarjeta"),K3034=""),"⚠ Falta cuenta destino",IF(AND(K3034&lt;&gt;"",P3034&lt;&gt;"Transferencia",P3034&lt;&gt;"Pago tarjeta"),"⚠ Destino solo aplica a transferencias",IF(AND(K3034&lt;&gt;"",K3034=Q3034),"⚠ Origen igual a destino",IF(AND(K3034&lt;&gt;"",ISNA(MATCH(K3034,ctaNombre,0))),"⚠ Destino no registrado",IF(AND(P3034="Pago tarjeta",AE3034&lt;&gt;"Tarjeta de crédito"),"⚠ El destino debe ser tarjeta de crédito",IF(AND(P3034="Gasto",E3034="Depósitos y retiros"),"⚠ Usa tipo Transferencia",IF(AND(P3034="Resultado trading",AD3034&lt;&gt;"Cuenta de trading"),"⚠ Usa una cuenta de trading",IF(AND(G3034&lt;=0,P3034&lt;&gt;"Ajuste",P3034&lt;&gt;"Resultado trading"),"⚠ El monto debe ser positivo","✓")))))))))))))))</f>
        <v/>
      </c>
      <c r="P3034" s="52">
        <f>IF(OR(B3034="",G3034=""),"",IF(C3034="","Gasto",C3034))</f>
        <v/>
      </c>
      <c r="Q3034" s="52">
        <f>IF(P3034="","",IF(J3034&lt;&gt;"",J3034,CuentaPred&amp;""))</f>
        <v/>
      </c>
      <c r="R3034" s="52">
        <f>IF(P3034="","",IF(ISNUMBER(I3034),I3034,TasaUSD))</f>
        <v/>
      </c>
      <c r="S3034" s="53">
        <f>IF(P3034="","",IF(H3034="USD",G3034*R3034,G3034))</f>
        <v/>
      </c>
      <c r="T3034" s="53">
        <f>IF(P3034="","",IF(H3034="USD",G3034,IF(R3034&gt;0,G3034/R3034,0)))</f>
        <v/>
      </c>
      <c r="U3034" s="53">
        <f>IF(P3034="","",IF(P3034="Gasto",S3034,IF(P3034="Reembolso",-S3034,0)))</f>
        <v/>
      </c>
      <c r="V3034" s="53">
        <f>IF(P3034="","",IF(P3034="Ingreso",S3034,0))</f>
        <v/>
      </c>
      <c r="W3034" s="53">
        <f>IF(P3034="","",IF(P3034="Resultado trading",S3034,0))</f>
        <v/>
      </c>
      <c r="X3034" s="52">
        <f>IF(OR(P3034="Gasto",P3034="Reembolso"),IF(M3034&lt;&gt;"",M3034,IFERROR(INDEX(catClasif,MATCH(D3034&amp;"|"&amp;E3034,catClave,0))&amp;"","Variable")),"")</f>
        <v/>
      </c>
      <c r="Y3034" s="52">
        <f>IF(P3034="","",IFERROR(INDEX(catGrupo,MATCH(D3034&amp;"|"&amp;E3034,catClave,0))&amp;"",""))</f>
        <v/>
      </c>
      <c r="Z3034" s="52">
        <f>IF(P3034="","",WEEKDAY(B3034,2))</f>
        <v/>
      </c>
      <c r="AA3034" s="52">
        <f>IF(P3034="","",IF(AND(P3034="Gasto",X3034="Variable",D3034&lt;&gt;catTrading,S3034&gt;0,S3034&lt;=Umbral),1,0))</f>
        <v/>
      </c>
      <c r="AB3034" s="52">
        <f>IF(OR(P3034="",Q3034=""),"",IFERROR(IF(INDEX(ctaVinc,MATCH(Q3034,ctaNombre,0))&amp;""&lt;&gt;"",INDEX(ctaVinc,MATCH(Q3034,ctaNombre,0))&amp;"",Q3034),Q3034))</f>
        <v/>
      </c>
      <c r="AC3034" s="52">
        <f>IF(OR(K3034="",AND(P3034&lt;&gt;"Transferencia",P3034&lt;&gt;"Pago tarjeta")),"",IFERROR(IF(INDEX(ctaVinc,MATCH(K3034,ctaNombre,0))&amp;""&lt;&gt;"",INDEX(ctaVinc,MATCH(K3034,ctaNombre,0))&amp;"",K3034),K3034))</f>
        <v/>
      </c>
      <c r="AD3034" s="52">
        <f>IF(AB3034="","",IFERROR(INDEX(ctaTipo,MATCH(AB3034,ctaNombre,0))&amp;"",""))</f>
        <v/>
      </c>
      <c r="AE3034" s="52">
        <f>IF(AC3034="","",IFERROR(INDEX(ctaTipo,MATCH(AC3034,ctaNombre,0))&amp;"",""))</f>
        <v/>
      </c>
      <c r="AF3034" s="53">
        <f>IF(OR(P3034="",AB3034=""),"",IF(OR(P3034="Gasto",P3034="Transferencia",P3034="Pago tarjeta"),-1,1)*IF(IFERROR(INDEX(ctaMoneda,MATCH(AB3034,ctaNombre,0))&amp;"","DOP")="USD",T3034,S3034))</f>
        <v/>
      </c>
      <c r="AG3034" s="53">
        <f>IF(AC3034="","",IF(IFERROR(INDEX(ctaMoneda,MATCH(AC3034,ctaNombre,0))&amp;"","DOP")="USD",T3034,S3034))</f>
        <v/>
      </c>
      <c r="AH3034" s="53">
        <f>IF(P3034="","",IF(AND(AD3034&lt;&gt;"",COUNTIFS(tcTipo,AD3034,tcLiq,"Sí")&gt;0),IF(OR(P3034="Gasto",P3034="Transferencia",P3034="Pago tarjeta"),-1,1)*S3034,0)+IF(AND(AE3034&lt;&gt;"",COUNTIFS(tcTipo,AE3034,tcLiq,"Sí")&gt;0),S3034,0))</f>
        <v/>
      </c>
      <c r="AI3034" s="52">
        <f>IF(OR(L3034="",P3034=""),"",IF(COUNTIFS(L$6:L3034,L3034,P$6:P3034,"?*")=1,MAX(AI$5:AI3033)+1,""))</f>
        <v/>
      </c>
    </row>
    <row r="3035">
      <c r="B3035" s="47" t="n"/>
      <c r="C3035" s="48" t="n"/>
      <c r="D3035" s="48" t="n"/>
      <c r="E3035" s="48" t="n"/>
      <c r="F3035" s="48" t="n"/>
      <c r="G3035" s="49" t="n"/>
      <c r="H3035" s="48" t="n"/>
      <c r="I3035" s="50" t="n"/>
      <c r="J3035" s="48" t="n"/>
      <c r="K3035" s="48" t="n"/>
      <c r="L3035" s="48" t="n"/>
      <c r="M3035" s="48" t="n"/>
      <c r="N3035" s="48" t="n"/>
      <c r="O3035" s="51">
        <f>IF(AND(B3035="",G3035="",C3035="",D3035="",J3035=""),"",IF(B3035="","⚠ Falta fecha",IF(G3035="","⚠ Falta monto",IF(Q3035="","⚠ Falta cuenta",IF(ISNA(MATCH(Q3035,ctaNombre,0)),"⚠ Cuenta no registrada",IF(AND(OR(P3035="Gasto",P3035="Reembolso"),D3035=""),"⚠ Falta categoría",IF(AND(D3035&lt;&gt;"",E3035&lt;&gt;"",ISNA(MATCH(D3035&amp;"|"&amp;E3035,catClave,0))),"⚠ Subcategoría no corresponde",IF(AND(OR(P3035="Transferencia",P3035="Pago tarjeta"),K3035=""),"⚠ Falta cuenta destino",IF(AND(K3035&lt;&gt;"",P3035&lt;&gt;"Transferencia",P3035&lt;&gt;"Pago tarjeta"),"⚠ Destino solo aplica a transferencias",IF(AND(K3035&lt;&gt;"",K3035=Q3035),"⚠ Origen igual a destino",IF(AND(K3035&lt;&gt;"",ISNA(MATCH(K3035,ctaNombre,0))),"⚠ Destino no registrado",IF(AND(P3035="Pago tarjeta",AE3035&lt;&gt;"Tarjeta de crédito"),"⚠ El destino debe ser tarjeta de crédito",IF(AND(P3035="Gasto",E3035="Depósitos y retiros"),"⚠ Usa tipo Transferencia",IF(AND(P3035="Resultado trading",AD3035&lt;&gt;"Cuenta de trading"),"⚠ Usa una cuenta de trading",IF(AND(G3035&lt;=0,P3035&lt;&gt;"Ajuste",P3035&lt;&gt;"Resultado trading"),"⚠ El monto debe ser positivo","✓")))))))))))))))</f>
        <v/>
      </c>
      <c r="P3035" s="52">
        <f>IF(OR(B3035="",G3035=""),"",IF(C3035="","Gasto",C3035))</f>
        <v/>
      </c>
      <c r="Q3035" s="52">
        <f>IF(P3035="","",IF(J3035&lt;&gt;"",J3035,CuentaPred&amp;""))</f>
        <v/>
      </c>
      <c r="R3035" s="52">
        <f>IF(P3035="","",IF(ISNUMBER(I3035),I3035,TasaUSD))</f>
        <v/>
      </c>
      <c r="S3035" s="53">
        <f>IF(P3035="","",IF(H3035="USD",G3035*R3035,G3035))</f>
        <v/>
      </c>
      <c r="T3035" s="53">
        <f>IF(P3035="","",IF(H3035="USD",G3035,IF(R3035&gt;0,G3035/R3035,0)))</f>
        <v/>
      </c>
      <c r="U3035" s="53">
        <f>IF(P3035="","",IF(P3035="Gasto",S3035,IF(P3035="Reembolso",-S3035,0)))</f>
        <v/>
      </c>
      <c r="V3035" s="53">
        <f>IF(P3035="","",IF(P3035="Ingreso",S3035,0))</f>
        <v/>
      </c>
      <c r="W3035" s="53">
        <f>IF(P3035="","",IF(P3035="Resultado trading",S3035,0))</f>
        <v/>
      </c>
      <c r="X3035" s="52">
        <f>IF(OR(P3035="Gasto",P3035="Reembolso"),IF(M3035&lt;&gt;"",M3035,IFERROR(INDEX(catClasif,MATCH(D3035&amp;"|"&amp;E3035,catClave,0))&amp;"","Variable")),"")</f>
        <v/>
      </c>
      <c r="Y3035" s="52">
        <f>IF(P3035="","",IFERROR(INDEX(catGrupo,MATCH(D3035&amp;"|"&amp;E3035,catClave,0))&amp;"",""))</f>
        <v/>
      </c>
      <c r="Z3035" s="52">
        <f>IF(P3035="","",WEEKDAY(B3035,2))</f>
        <v/>
      </c>
      <c r="AA3035" s="52">
        <f>IF(P3035="","",IF(AND(P3035="Gasto",X3035="Variable",D3035&lt;&gt;catTrading,S3035&gt;0,S3035&lt;=Umbral),1,0))</f>
        <v/>
      </c>
      <c r="AB3035" s="52">
        <f>IF(OR(P3035="",Q3035=""),"",IFERROR(IF(INDEX(ctaVinc,MATCH(Q3035,ctaNombre,0))&amp;""&lt;&gt;"",INDEX(ctaVinc,MATCH(Q3035,ctaNombre,0))&amp;"",Q3035),Q3035))</f>
        <v/>
      </c>
      <c r="AC3035" s="52">
        <f>IF(OR(K3035="",AND(P3035&lt;&gt;"Transferencia",P3035&lt;&gt;"Pago tarjeta")),"",IFERROR(IF(INDEX(ctaVinc,MATCH(K3035,ctaNombre,0))&amp;""&lt;&gt;"",INDEX(ctaVinc,MATCH(K3035,ctaNombre,0))&amp;"",K3035),K3035))</f>
        <v/>
      </c>
      <c r="AD3035" s="52">
        <f>IF(AB3035="","",IFERROR(INDEX(ctaTipo,MATCH(AB3035,ctaNombre,0))&amp;"",""))</f>
        <v/>
      </c>
      <c r="AE3035" s="52">
        <f>IF(AC3035="","",IFERROR(INDEX(ctaTipo,MATCH(AC3035,ctaNombre,0))&amp;"",""))</f>
        <v/>
      </c>
      <c r="AF3035" s="53">
        <f>IF(OR(P3035="",AB3035=""),"",IF(OR(P3035="Gasto",P3035="Transferencia",P3035="Pago tarjeta"),-1,1)*IF(IFERROR(INDEX(ctaMoneda,MATCH(AB3035,ctaNombre,0))&amp;"","DOP")="USD",T3035,S3035))</f>
        <v/>
      </c>
      <c r="AG3035" s="53">
        <f>IF(AC3035="","",IF(IFERROR(INDEX(ctaMoneda,MATCH(AC3035,ctaNombre,0))&amp;"","DOP")="USD",T3035,S3035))</f>
        <v/>
      </c>
      <c r="AH3035" s="53">
        <f>IF(P3035="","",IF(AND(AD3035&lt;&gt;"",COUNTIFS(tcTipo,AD3035,tcLiq,"Sí")&gt;0),IF(OR(P3035="Gasto",P3035="Transferencia",P3035="Pago tarjeta"),-1,1)*S3035,0)+IF(AND(AE3035&lt;&gt;"",COUNTIFS(tcTipo,AE3035,tcLiq,"Sí")&gt;0),S3035,0))</f>
        <v/>
      </c>
      <c r="AI3035" s="52">
        <f>IF(OR(L3035="",P3035=""),"",IF(COUNTIFS(L$6:L3035,L3035,P$6:P3035,"?*")=1,MAX(AI$5:AI3034)+1,""))</f>
        <v/>
      </c>
    </row>
    <row r="3036">
      <c r="B3036" s="47" t="n"/>
      <c r="C3036" s="48" t="n"/>
      <c r="D3036" s="48" t="n"/>
      <c r="E3036" s="48" t="n"/>
      <c r="F3036" s="48" t="n"/>
      <c r="G3036" s="49" t="n"/>
      <c r="H3036" s="48" t="n"/>
      <c r="I3036" s="50" t="n"/>
      <c r="J3036" s="48" t="n"/>
      <c r="K3036" s="48" t="n"/>
      <c r="L3036" s="48" t="n"/>
      <c r="M3036" s="48" t="n"/>
      <c r="N3036" s="48" t="n"/>
      <c r="O3036" s="51">
        <f>IF(AND(B3036="",G3036="",C3036="",D3036="",J3036=""),"",IF(B3036="","⚠ Falta fecha",IF(G3036="","⚠ Falta monto",IF(Q3036="","⚠ Falta cuenta",IF(ISNA(MATCH(Q3036,ctaNombre,0)),"⚠ Cuenta no registrada",IF(AND(OR(P3036="Gasto",P3036="Reembolso"),D3036=""),"⚠ Falta categoría",IF(AND(D3036&lt;&gt;"",E3036&lt;&gt;"",ISNA(MATCH(D3036&amp;"|"&amp;E3036,catClave,0))),"⚠ Subcategoría no corresponde",IF(AND(OR(P3036="Transferencia",P3036="Pago tarjeta"),K3036=""),"⚠ Falta cuenta destino",IF(AND(K3036&lt;&gt;"",P3036&lt;&gt;"Transferencia",P3036&lt;&gt;"Pago tarjeta"),"⚠ Destino solo aplica a transferencias",IF(AND(K3036&lt;&gt;"",K3036=Q3036),"⚠ Origen igual a destino",IF(AND(K3036&lt;&gt;"",ISNA(MATCH(K3036,ctaNombre,0))),"⚠ Destino no registrado",IF(AND(P3036="Pago tarjeta",AE3036&lt;&gt;"Tarjeta de crédito"),"⚠ El destino debe ser tarjeta de crédito",IF(AND(P3036="Gasto",E3036="Depósitos y retiros"),"⚠ Usa tipo Transferencia",IF(AND(P3036="Resultado trading",AD3036&lt;&gt;"Cuenta de trading"),"⚠ Usa una cuenta de trading",IF(AND(G3036&lt;=0,P3036&lt;&gt;"Ajuste",P3036&lt;&gt;"Resultado trading"),"⚠ El monto debe ser positivo","✓")))))))))))))))</f>
        <v/>
      </c>
      <c r="P3036" s="52">
        <f>IF(OR(B3036="",G3036=""),"",IF(C3036="","Gasto",C3036))</f>
        <v/>
      </c>
      <c r="Q3036" s="52">
        <f>IF(P3036="","",IF(J3036&lt;&gt;"",J3036,CuentaPred&amp;""))</f>
        <v/>
      </c>
      <c r="R3036" s="52">
        <f>IF(P3036="","",IF(ISNUMBER(I3036),I3036,TasaUSD))</f>
        <v/>
      </c>
      <c r="S3036" s="53">
        <f>IF(P3036="","",IF(H3036="USD",G3036*R3036,G3036))</f>
        <v/>
      </c>
      <c r="T3036" s="53">
        <f>IF(P3036="","",IF(H3036="USD",G3036,IF(R3036&gt;0,G3036/R3036,0)))</f>
        <v/>
      </c>
      <c r="U3036" s="53">
        <f>IF(P3036="","",IF(P3036="Gasto",S3036,IF(P3036="Reembolso",-S3036,0)))</f>
        <v/>
      </c>
      <c r="V3036" s="53">
        <f>IF(P3036="","",IF(P3036="Ingreso",S3036,0))</f>
        <v/>
      </c>
      <c r="W3036" s="53">
        <f>IF(P3036="","",IF(P3036="Resultado trading",S3036,0))</f>
        <v/>
      </c>
      <c r="X3036" s="52">
        <f>IF(OR(P3036="Gasto",P3036="Reembolso"),IF(M3036&lt;&gt;"",M3036,IFERROR(INDEX(catClasif,MATCH(D3036&amp;"|"&amp;E3036,catClave,0))&amp;"","Variable")),"")</f>
        <v/>
      </c>
      <c r="Y3036" s="52">
        <f>IF(P3036="","",IFERROR(INDEX(catGrupo,MATCH(D3036&amp;"|"&amp;E3036,catClave,0))&amp;"",""))</f>
        <v/>
      </c>
      <c r="Z3036" s="52">
        <f>IF(P3036="","",WEEKDAY(B3036,2))</f>
        <v/>
      </c>
      <c r="AA3036" s="52">
        <f>IF(P3036="","",IF(AND(P3036="Gasto",X3036="Variable",D3036&lt;&gt;catTrading,S3036&gt;0,S3036&lt;=Umbral),1,0))</f>
        <v/>
      </c>
      <c r="AB3036" s="52">
        <f>IF(OR(P3036="",Q3036=""),"",IFERROR(IF(INDEX(ctaVinc,MATCH(Q3036,ctaNombre,0))&amp;""&lt;&gt;"",INDEX(ctaVinc,MATCH(Q3036,ctaNombre,0))&amp;"",Q3036),Q3036))</f>
        <v/>
      </c>
      <c r="AC3036" s="52">
        <f>IF(OR(K3036="",AND(P3036&lt;&gt;"Transferencia",P3036&lt;&gt;"Pago tarjeta")),"",IFERROR(IF(INDEX(ctaVinc,MATCH(K3036,ctaNombre,0))&amp;""&lt;&gt;"",INDEX(ctaVinc,MATCH(K3036,ctaNombre,0))&amp;"",K3036),K3036))</f>
        <v/>
      </c>
      <c r="AD3036" s="52">
        <f>IF(AB3036="","",IFERROR(INDEX(ctaTipo,MATCH(AB3036,ctaNombre,0))&amp;"",""))</f>
        <v/>
      </c>
      <c r="AE3036" s="52">
        <f>IF(AC3036="","",IFERROR(INDEX(ctaTipo,MATCH(AC3036,ctaNombre,0))&amp;"",""))</f>
        <v/>
      </c>
      <c r="AF3036" s="53">
        <f>IF(OR(P3036="",AB3036=""),"",IF(OR(P3036="Gasto",P3036="Transferencia",P3036="Pago tarjeta"),-1,1)*IF(IFERROR(INDEX(ctaMoneda,MATCH(AB3036,ctaNombre,0))&amp;"","DOP")="USD",T3036,S3036))</f>
        <v/>
      </c>
      <c r="AG3036" s="53">
        <f>IF(AC3036="","",IF(IFERROR(INDEX(ctaMoneda,MATCH(AC3036,ctaNombre,0))&amp;"","DOP")="USD",T3036,S3036))</f>
        <v/>
      </c>
      <c r="AH3036" s="53">
        <f>IF(P3036="","",IF(AND(AD3036&lt;&gt;"",COUNTIFS(tcTipo,AD3036,tcLiq,"Sí")&gt;0),IF(OR(P3036="Gasto",P3036="Transferencia",P3036="Pago tarjeta"),-1,1)*S3036,0)+IF(AND(AE3036&lt;&gt;"",COUNTIFS(tcTipo,AE3036,tcLiq,"Sí")&gt;0),S3036,0))</f>
        <v/>
      </c>
      <c r="AI3036" s="52">
        <f>IF(OR(L3036="",P3036=""),"",IF(COUNTIFS(L$6:L3036,L3036,P$6:P3036,"?*")=1,MAX(AI$5:AI3035)+1,""))</f>
        <v/>
      </c>
    </row>
    <row r="3037">
      <c r="B3037" s="47" t="n"/>
      <c r="C3037" s="48" t="n"/>
      <c r="D3037" s="48" t="n"/>
      <c r="E3037" s="48" t="n"/>
      <c r="F3037" s="48" t="n"/>
      <c r="G3037" s="49" t="n"/>
      <c r="H3037" s="48" t="n"/>
      <c r="I3037" s="50" t="n"/>
      <c r="J3037" s="48" t="n"/>
      <c r="K3037" s="48" t="n"/>
      <c r="L3037" s="48" t="n"/>
      <c r="M3037" s="48" t="n"/>
      <c r="N3037" s="48" t="n"/>
      <c r="O3037" s="51">
        <f>IF(AND(B3037="",G3037="",C3037="",D3037="",J3037=""),"",IF(B3037="","⚠ Falta fecha",IF(G3037="","⚠ Falta monto",IF(Q3037="","⚠ Falta cuenta",IF(ISNA(MATCH(Q3037,ctaNombre,0)),"⚠ Cuenta no registrada",IF(AND(OR(P3037="Gasto",P3037="Reembolso"),D3037=""),"⚠ Falta categoría",IF(AND(D3037&lt;&gt;"",E3037&lt;&gt;"",ISNA(MATCH(D3037&amp;"|"&amp;E3037,catClave,0))),"⚠ Subcategoría no corresponde",IF(AND(OR(P3037="Transferencia",P3037="Pago tarjeta"),K3037=""),"⚠ Falta cuenta destino",IF(AND(K3037&lt;&gt;"",P3037&lt;&gt;"Transferencia",P3037&lt;&gt;"Pago tarjeta"),"⚠ Destino solo aplica a transferencias",IF(AND(K3037&lt;&gt;"",K3037=Q3037),"⚠ Origen igual a destino",IF(AND(K3037&lt;&gt;"",ISNA(MATCH(K3037,ctaNombre,0))),"⚠ Destino no registrado",IF(AND(P3037="Pago tarjeta",AE3037&lt;&gt;"Tarjeta de crédito"),"⚠ El destino debe ser tarjeta de crédito",IF(AND(P3037="Gasto",E3037="Depósitos y retiros"),"⚠ Usa tipo Transferencia",IF(AND(P3037="Resultado trading",AD3037&lt;&gt;"Cuenta de trading"),"⚠ Usa una cuenta de trading",IF(AND(G3037&lt;=0,P3037&lt;&gt;"Ajuste",P3037&lt;&gt;"Resultado trading"),"⚠ El monto debe ser positivo","✓")))))))))))))))</f>
        <v/>
      </c>
      <c r="P3037" s="52">
        <f>IF(OR(B3037="",G3037=""),"",IF(C3037="","Gasto",C3037))</f>
        <v/>
      </c>
      <c r="Q3037" s="52">
        <f>IF(P3037="","",IF(J3037&lt;&gt;"",J3037,CuentaPred&amp;""))</f>
        <v/>
      </c>
      <c r="R3037" s="52">
        <f>IF(P3037="","",IF(ISNUMBER(I3037),I3037,TasaUSD))</f>
        <v/>
      </c>
      <c r="S3037" s="53">
        <f>IF(P3037="","",IF(H3037="USD",G3037*R3037,G3037))</f>
        <v/>
      </c>
      <c r="T3037" s="53">
        <f>IF(P3037="","",IF(H3037="USD",G3037,IF(R3037&gt;0,G3037/R3037,0)))</f>
        <v/>
      </c>
      <c r="U3037" s="53">
        <f>IF(P3037="","",IF(P3037="Gasto",S3037,IF(P3037="Reembolso",-S3037,0)))</f>
        <v/>
      </c>
      <c r="V3037" s="53">
        <f>IF(P3037="","",IF(P3037="Ingreso",S3037,0))</f>
        <v/>
      </c>
      <c r="W3037" s="53">
        <f>IF(P3037="","",IF(P3037="Resultado trading",S3037,0))</f>
        <v/>
      </c>
      <c r="X3037" s="52">
        <f>IF(OR(P3037="Gasto",P3037="Reembolso"),IF(M3037&lt;&gt;"",M3037,IFERROR(INDEX(catClasif,MATCH(D3037&amp;"|"&amp;E3037,catClave,0))&amp;"","Variable")),"")</f>
        <v/>
      </c>
      <c r="Y3037" s="52">
        <f>IF(P3037="","",IFERROR(INDEX(catGrupo,MATCH(D3037&amp;"|"&amp;E3037,catClave,0))&amp;"",""))</f>
        <v/>
      </c>
      <c r="Z3037" s="52">
        <f>IF(P3037="","",WEEKDAY(B3037,2))</f>
        <v/>
      </c>
      <c r="AA3037" s="52">
        <f>IF(P3037="","",IF(AND(P3037="Gasto",X3037="Variable",D3037&lt;&gt;catTrading,S3037&gt;0,S3037&lt;=Umbral),1,0))</f>
        <v/>
      </c>
      <c r="AB3037" s="52">
        <f>IF(OR(P3037="",Q3037=""),"",IFERROR(IF(INDEX(ctaVinc,MATCH(Q3037,ctaNombre,0))&amp;""&lt;&gt;"",INDEX(ctaVinc,MATCH(Q3037,ctaNombre,0))&amp;"",Q3037),Q3037))</f>
        <v/>
      </c>
      <c r="AC3037" s="52">
        <f>IF(OR(K3037="",AND(P3037&lt;&gt;"Transferencia",P3037&lt;&gt;"Pago tarjeta")),"",IFERROR(IF(INDEX(ctaVinc,MATCH(K3037,ctaNombre,0))&amp;""&lt;&gt;"",INDEX(ctaVinc,MATCH(K3037,ctaNombre,0))&amp;"",K3037),K3037))</f>
        <v/>
      </c>
      <c r="AD3037" s="52">
        <f>IF(AB3037="","",IFERROR(INDEX(ctaTipo,MATCH(AB3037,ctaNombre,0))&amp;"",""))</f>
        <v/>
      </c>
      <c r="AE3037" s="52">
        <f>IF(AC3037="","",IFERROR(INDEX(ctaTipo,MATCH(AC3037,ctaNombre,0))&amp;"",""))</f>
        <v/>
      </c>
      <c r="AF3037" s="53">
        <f>IF(OR(P3037="",AB3037=""),"",IF(OR(P3037="Gasto",P3037="Transferencia",P3037="Pago tarjeta"),-1,1)*IF(IFERROR(INDEX(ctaMoneda,MATCH(AB3037,ctaNombre,0))&amp;"","DOP")="USD",T3037,S3037))</f>
        <v/>
      </c>
      <c r="AG3037" s="53">
        <f>IF(AC3037="","",IF(IFERROR(INDEX(ctaMoneda,MATCH(AC3037,ctaNombre,0))&amp;"","DOP")="USD",T3037,S3037))</f>
        <v/>
      </c>
      <c r="AH3037" s="53">
        <f>IF(P3037="","",IF(AND(AD3037&lt;&gt;"",COUNTIFS(tcTipo,AD3037,tcLiq,"Sí")&gt;0),IF(OR(P3037="Gasto",P3037="Transferencia",P3037="Pago tarjeta"),-1,1)*S3037,0)+IF(AND(AE3037&lt;&gt;"",COUNTIFS(tcTipo,AE3037,tcLiq,"Sí")&gt;0),S3037,0))</f>
        <v/>
      </c>
      <c r="AI3037" s="52">
        <f>IF(OR(L3037="",P3037=""),"",IF(COUNTIFS(L$6:L3037,L3037,P$6:P3037,"?*")=1,MAX(AI$5:AI3036)+1,""))</f>
        <v/>
      </c>
    </row>
    <row r="3038">
      <c r="B3038" s="47" t="n"/>
      <c r="C3038" s="48" t="n"/>
      <c r="D3038" s="48" t="n"/>
      <c r="E3038" s="48" t="n"/>
      <c r="F3038" s="48" t="n"/>
      <c r="G3038" s="49" t="n"/>
      <c r="H3038" s="48" t="n"/>
      <c r="I3038" s="50" t="n"/>
      <c r="J3038" s="48" t="n"/>
      <c r="K3038" s="48" t="n"/>
      <c r="L3038" s="48" t="n"/>
      <c r="M3038" s="48" t="n"/>
      <c r="N3038" s="48" t="n"/>
      <c r="O3038" s="51">
        <f>IF(AND(B3038="",G3038="",C3038="",D3038="",J3038=""),"",IF(B3038="","⚠ Falta fecha",IF(G3038="","⚠ Falta monto",IF(Q3038="","⚠ Falta cuenta",IF(ISNA(MATCH(Q3038,ctaNombre,0)),"⚠ Cuenta no registrada",IF(AND(OR(P3038="Gasto",P3038="Reembolso"),D3038=""),"⚠ Falta categoría",IF(AND(D3038&lt;&gt;"",E3038&lt;&gt;"",ISNA(MATCH(D3038&amp;"|"&amp;E3038,catClave,0))),"⚠ Subcategoría no corresponde",IF(AND(OR(P3038="Transferencia",P3038="Pago tarjeta"),K3038=""),"⚠ Falta cuenta destino",IF(AND(K3038&lt;&gt;"",P3038&lt;&gt;"Transferencia",P3038&lt;&gt;"Pago tarjeta"),"⚠ Destino solo aplica a transferencias",IF(AND(K3038&lt;&gt;"",K3038=Q3038),"⚠ Origen igual a destino",IF(AND(K3038&lt;&gt;"",ISNA(MATCH(K3038,ctaNombre,0))),"⚠ Destino no registrado",IF(AND(P3038="Pago tarjeta",AE3038&lt;&gt;"Tarjeta de crédito"),"⚠ El destino debe ser tarjeta de crédito",IF(AND(P3038="Gasto",E3038="Depósitos y retiros"),"⚠ Usa tipo Transferencia",IF(AND(P3038="Resultado trading",AD3038&lt;&gt;"Cuenta de trading"),"⚠ Usa una cuenta de trading",IF(AND(G3038&lt;=0,P3038&lt;&gt;"Ajuste",P3038&lt;&gt;"Resultado trading"),"⚠ El monto debe ser positivo","✓")))))))))))))))</f>
        <v/>
      </c>
      <c r="P3038" s="52">
        <f>IF(OR(B3038="",G3038=""),"",IF(C3038="","Gasto",C3038))</f>
        <v/>
      </c>
      <c r="Q3038" s="52">
        <f>IF(P3038="","",IF(J3038&lt;&gt;"",J3038,CuentaPred&amp;""))</f>
        <v/>
      </c>
      <c r="R3038" s="52">
        <f>IF(P3038="","",IF(ISNUMBER(I3038),I3038,TasaUSD))</f>
        <v/>
      </c>
      <c r="S3038" s="53">
        <f>IF(P3038="","",IF(H3038="USD",G3038*R3038,G3038))</f>
        <v/>
      </c>
      <c r="T3038" s="53">
        <f>IF(P3038="","",IF(H3038="USD",G3038,IF(R3038&gt;0,G3038/R3038,0)))</f>
        <v/>
      </c>
      <c r="U3038" s="53">
        <f>IF(P3038="","",IF(P3038="Gasto",S3038,IF(P3038="Reembolso",-S3038,0)))</f>
        <v/>
      </c>
      <c r="V3038" s="53">
        <f>IF(P3038="","",IF(P3038="Ingreso",S3038,0))</f>
        <v/>
      </c>
      <c r="W3038" s="53">
        <f>IF(P3038="","",IF(P3038="Resultado trading",S3038,0))</f>
        <v/>
      </c>
      <c r="X3038" s="52">
        <f>IF(OR(P3038="Gasto",P3038="Reembolso"),IF(M3038&lt;&gt;"",M3038,IFERROR(INDEX(catClasif,MATCH(D3038&amp;"|"&amp;E3038,catClave,0))&amp;"","Variable")),"")</f>
        <v/>
      </c>
      <c r="Y3038" s="52">
        <f>IF(P3038="","",IFERROR(INDEX(catGrupo,MATCH(D3038&amp;"|"&amp;E3038,catClave,0))&amp;"",""))</f>
        <v/>
      </c>
      <c r="Z3038" s="52">
        <f>IF(P3038="","",WEEKDAY(B3038,2))</f>
        <v/>
      </c>
      <c r="AA3038" s="52">
        <f>IF(P3038="","",IF(AND(P3038="Gasto",X3038="Variable",D3038&lt;&gt;catTrading,S3038&gt;0,S3038&lt;=Umbral),1,0))</f>
        <v/>
      </c>
      <c r="AB3038" s="52">
        <f>IF(OR(P3038="",Q3038=""),"",IFERROR(IF(INDEX(ctaVinc,MATCH(Q3038,ctaNombre,0))&amp;""&lt;&gt;"",INDEX(ctaVinc,MATCH(Q3038,ctaNombre,0))&amp;"",Q3038),Q3038))</f>
        <v/>
      </c>
      <c r="AC3038" s="52">
        <f>IF(OR(K3038="",AND(P3038&lt;&gt;"Transferencia",P3038&lt;&gt;"Pago tarjeta")),"",IFERROR(IF(INDEX(ctaVinc,MATCH(K3038,ctaNombre,0))&amp;""&lt;&gt;"",INDEX(ctaVinc,MATCH(K3038,ctaNombre,0))&amp;"",K3038),K3038))</f>
        <v/>
      </c>
      <c r="AD3038" s="52">
        <f>IF(AB3038="","",IFERROR(INDEX(ctaTipo,MATCH(AB3038,ctaNombre,0))&amp;"",""))</f>
        <v/>
      </c>
      <c r="AE3038" s="52">
        <f>IF(AC3038="","",IFERROR(INDEX(ctaTipo,MATCH(AC3038,ctaNombre,0))&amp;"",""))</f>
        <v/>
      </c>
      <c r="AF3038" s="53">
        <f>IF(OR(P3038="",AB3038=""),"",IF(OR(P3038="Gasto",P3038="Transferencia",P3038="Pago tarjeta"),-1,1)*IF(IFERROR(INDEX(ctaMoneda,MATCH(AB3038,ctaNombre,0))&amp;"","DOP")="USD",T3038,S3038))</f>
        <v/>
      </c>
      <c r="AG3038" s="53">
        <f>IF(AC3038="","",IF(IFERROR(INDEX(ctaMoneda,MATCH(AC3038,ctaNombre,0))&amp;"","DOP")="USD",T3038,S3038))</f>
        <v/>
      </c>
      <c r="AH3038" s="53">
        <f>IF(P3038="","",IF(AND(AD3038&lt;&gt;"",COUNTIFS(tcTipo,AD3038,tcLiq,"Sí")&gt;0),IF(OR(P3038="Gasto",P3038="Transferencia",P3038="Pago tarjeta"),-1,1)*S3038,0)+IF(AND(AE3038&lt;&gt;"",COUNTIFS(tcTipo,AE3038,tcLiq,"Sí")&gt;0),S3038,0))</f>
        <v/>
      </c>
      <c r="AI3038" s="52">
        <f>IF(OR(L3038="",P3038=""),"",IF(COUNTIFS(L$6:L3038,L3038,P$6:P3038,"?*")=1,MAX(AI$5:AI3037)+1,""))</f>
        <v/>
      </c>
    </row>
    <row r="3039">
      <c r="B3039" s="47" t="n"/>
      <c r="C3039" s="48" t="n"/>
      <c r="D3039" s="48" t="n"/>
      <c r="E3039" s="48" t="n"/>
      <c r="F3039" s="48" t="n"/>
      <c r="G3039" s="49" t="n"/>
      <c r="H3039" s="48" t="n"/>
      <c r="I3039" s="50" t="n"/>
      <c r="J3039" s="48" t="n"/>
      <c r="K3039" s="48" t="n"/>
      <c r="L3039" s="48" t="n"/>
      <c r="M3039" s="48" t="n"/>
      <c r="N3039" s="48" t="n"/>
      <c r="O3039" s="51">
        <f>IF(AND(B3039="",G3039="",C3039="",D3039="",J3039=""),"",IF(B3039="","⚠ Falta fecha",IF(G3039="","⚠ Falta monto",IF(Q3039="","⚠ Falta cuenta",IF(ISNA(MATCH(Q3039,ctaNombre,0)),"⚠ Cuenta no registrada",IF(AND(OR(P3039="Gasto",P3039="Reembolso"),D3039=""),"⚠ Falta categoría",IF(AND(D3039&lt;&gt;"",E3039&lt;&gt;"",ISNA(MATCH(D3039&amp;"|"&amp;E3039,catClave,0))),"⚠ Subcategoría no corresponde",IF(AND(OR(P3039="Transferencia",P3039="Pago tarjeta"),K3039=""),"⚠ Falta cuenta destino",IF(AND(K3039&lt;&gt;"",P3039&lt;&gt;"Transferencia",P3039&lt;&gt;"Pago tarjeta"),"⚠ Destino solo aplica a transferencias",IF(AND(K3039&lt;&gt;"",K3039=Q3039),"⚠ Origen igual a destino",IF(AND(K3039&lt;&gt;"",ISNA(MATCH(K3039,ctaNombre,0))),"⚠ Destino no registrado",IF(AND(P3039="Pago tarjeta",AE3039&lt;&gt;"Tarjeta de crédito"),"⚠ El destino debe ser tarjeta de crédito",IF(AND(P3039="Gasto",E3039="Depósitos y retiros"),"⚠ Usa tipo Transferencia",IF(AND(P3039="Resultado trading",AD3039&lt;&gt;"Cuenta de trading"),"⚠ Usa una cuenta de trading",IF(AND(G3039&lt;=0,P3039&lt;&gt;"Ajuste",P3039&lt;&gt;"Resultado trading"),"⚠ El monto debe ser positivo","✓")))))))))))))))</f>
        <v/>
      </c>
      <c r="P3039" s="52">
        <f>IF(OR(B3039="",G3039=""),"",IF(C3039="","Gasto",C3039))</f>
        <v/>
      </c>
      <c r="Q3039" s="52">
        <f>IF(P3039="","",IF(J3039&lt;&gt;"",J3039,CuentaPred&amp;""))</f>
        <v/>
      </c>
      <c r="R3039" s="52">
        <f>IF(P3039="","",IF(ISNUMBER(I3039),I3039,TasaUSD))</f>
        <v/>
      </c>
      <c r="S3039" s="53">
        <f>IF(P3039="","",IF(H3039="USD",G3039*R3039,G3039))</f>
        <v/>
      </c>
      <c r="T3039" s="53">
        <f>IF(P3039="","",IF(H3039="USD",G3039,IF(R3039&gt;0,G3039/R3039,0)))</f>
        <v/>
      </c>
      <c r="U3039" s="53">
        <f>IF(P3039="","",IF(P3039="Gasto",S3039,IF(P3039="Reembolso",-S3039,0)))</f>
        <v/>
      </c>
      <c r="V3039" s="53">
        <f>IF(P3039="","",IF(P3039="Ingreso",S3039,0))</f>
        <v/>
      </c>
      <c r="W3039" s="53">
        <f>IF(P3039="","",IF(P3039="Resultado trading",S3039,0))</f>
        <v/>
      </c>
      <c r="X3039" s="52">
        <f>IF(OR(P3039="Gasto",P3039="Reembolso"),IF(M3039&lt;&gt;"",M3039,IFERROR(INDEX(catClasif,MATCH(D3039&amp;"|"&amp;E3039,catClave,0))&amp;"","Variable")),"")</f>
        <v/>
      </c>
      <c r="Y3039" s="52">
        <f>IF(P3039="","",IFERROR(INDEX(catGrupo,MATCH(D3039&amp;"|"&amp;E3039,catClave,0))&amp;"",""))</f>
        <v/>
      </c>
      <c r="Z3039" s="52">
        <f>IF(P3039="","",WEEKDAY(B3039,2))</f>
        <v/>
      </c>
      <c r="AA3039" s="52">
        <f>IF(P3039="","",IF(AND(P3039="Gasto",X3039="Variable",D3039&lt;&gt;catTrading,S3039&gt;0,S3039&lt;=Umbral),1,0))</f>
        <v/>
      </c>
      <c r="AB3039" s="52">
        <f>IF(OR(P3039="",Q3039=""),"",IFERROR(IF(INDEX(ctaVinc,MATCH(Q3039,ctaNombre,0))&amp;""&lt;&gt;"",INDEX(ctaVinc,MATCH(Q3039,ctaNombre,0))&amp;"",Q3039),Q3039))</f>
        <v/>
      </c>
      <c r="AC3039" s="52">
        <f>IF(OR(K3039="",AND(P3039&lt;&gt;"Transferencia",P3039&lt;&gt;"Pago tarjeta")),"",IFERROR(IF(INDEX(ctaVinc,MATCH(K3039,ctaNombre,0))&amp;""&lt;&gt;"",INDEX(ctaVinc,MATCH(K3039,ctaNombre,0))&amp;"",K3039),K3039))</f>
        <v/>
      </c>
      <c r="AD3039" s="52">
        <f>IF(AB3039="","",IFERROR(INDEX(ctaTipo,MATCH(AB3039,ctaNombre,0))&amp;"",""))</f>
        <v/>
      </c>
      <c r="AE3039" s="52">
        <f>IF(AC3039="","",IFERROR(INDEX(ctaTipo,MATCH(AC3039,ctaNombre,0))&amp;"",""))</f>
        <v/>
      </c>
      <c r="AF3039" s="53">
        <f>IF(OR(P3039="",AB3039=""),"",IF(OR(P3039="Gasto",P3039="Transferencia",P3039="Pago tarjeta"),-1,1)*IF(IFERROR(INDEX(ctaMoneda,MATCH(AB3039,ctaNombre,0))&amp;"","DOP")="USD",T3039,S3039))</f>
        <v/>
      </c>
      <c r="AG3039" s="53">
        <f>IF(AC3039="","",IF(IFERROR(INDEX(ctaMoneda,MATCH(AC3039,ctaNombre,0))&amp;"","DOP")="USD",T3039,S3039))</f>
        <v/>
      </c>
      <c r="AH3039" s="53">
        <f>IF(P3039="","",IF(AND(AD3039&lt;&gt;"",COUNTIFS(tcTipo,AD3039,tcLiq,"Sí")&gt;0),IF(OR(P3039="Gasto",P3039="Transferencia",P3039="Pago tarjeta"),-1,1)*S3039,0)+IF(AND(AE3039&lt;&gt;"",COUNTIFS(tcTipo,AE3039,tcLiq,"Sí")&gt;0),S3039,0))</f>
        <v/>
      </c>
      <c r="AI3039" s="52">
        <f>IF(OR(L3039="",P3039=""),"",IF(COUNTIFS(L$6:L3039,L3039,P$6:P3039,"?*")=1,MAX(AI$5:AI3038)+1,""))</f>
        <v/>
      </c>
    </row>
    <row r="3040">
      <c r="B3040" s="47" t="n"/>
      <c r="C3040" s="48" t="n"/>
      <c r="D3040" s="48" t="n"/>
      <c r="E3040" s="48" t="n"/>
      <c r="F3040" s="48" t="n"/>
      <c r="G3040" s="49" t="n"/>
      <c r="H3040" s="48" t="n"/>
      <c r="I3040" s="50" t="n"/>
      <c r="J3040" s="48" t="n"/>
      <c r="K3040" s="48" t="n"/>
      <c r="L3040" s="48" t="n"/>
      <c r="M3040" s="48" t="n"/>
      <c r="N3040" s="48" t="n"/>
      <c r="O3040" s="51">
        <f>IF(AND(B3040="",G3040="",C3040="",D3040="",J3040=""),"",IF(B3040="","⚠ Falta fecha",IF(G3040="","⚠ Falta monto",IF(Q3040="","⚠ Falta cuenta",IF(ISNA(MATCH(Q3040,ctaNombre,0)),"⚠ Cuenta no registrada",IF(AND(OR(P3040="Gasto",P3040="Reembolso"),D3040=""),"⚠ Falta categoría",IF(AND(D3040&lt;&gt;"",E3040&lt;&gt;"",ISNA(MATCH(D3040&amp;"|"&amp;E3040,catClave,0))),"⚠ Subcategoría no corresponde",IF(AND(OR(P3040="Transferencia",P3040="Pago tarjeta"),K3040=""),"⚠ Falta cuenta destino",IF(AND(K3040&lt;&gt;"",P3040&lt;&gt;"Transferencia",P3040&lt;&gt;"Pago tarjeta"),"⚠ Destino solo aplica a transferencias",IF(AND(K3040&lt;&gt;"",K3040=Q3040),"⚠ Origen igual a destino",IF(AND(K3040&lt;&gt;"",ISNA(MATCH(K3040,ctaNombre,0))),"⚠ Destino no registrado",IF(AND(P3040="Pago tarjeta",AE3040&lt;&gt;"Tarjeta de crédito"),"⚠ El destino debe ser tarjeta de crédito",IF(AND(P3040="Gasto",E3040="Depósitos y retiros"),"⚠ Usa tipo Transferencia",IF(AND(P3040="Resultado trading",AD3040&lt;&gt;"Cuenta de trading"),"⚠ Usa una cuenta de trading",IF(AND(G3040&lt;=0,P3040&lt;&gt;"Ajuste",P3040&lt;&gt;"Resultado trading"),"⚠ El monto debe ser positivo","✓")))))))))))))))</f>
        <v/>
      </c>
      <c r="P3040" s="52">
        <f>IF(OR(B3040="",G3040=""),"",IF(C3040="","Gasto",C3040))</f>
        <v/>
      </c>
      <c r="Q3040" s="52">
        <f>IF(P3040="","",IF(J3040&lt;&gt;"",J3040,CuentaPred&amp;""))</f>
        <v/>
      </c>
      <c r="R3040" s="52">
        <f>IF(P3040="","",IF(ISNUMBER(I3040),I3040,TasaUSD))</f>
        <v/>
      </c>
      <c r="S3040" s="53">
        <f>IF(P3040="","",IF(H3040="USD",G3040*R3040,G3040))</f>
        <v/>
      </c>
      <c r="T3040" s="53">
        <f>IF(P3040="","",IF(H3040="USD",G3040,IF(R3040&gt;0,G3040/R3040,0)))</f>
        <v/>
      </c>
      <c r="U3040" s="53">
        <f>IF(P3040="","",IF(P3040="Gasto",S3040,IF(P3040="Reembolso",-S3040,0)))</f>
        <v/>
      </c>
      <c r="V3040" s="53">
        <f>IF(P3040="","",IF(P3040="Ingreso",S3040,0))</f>
        <v/>
      </c>
      <c r="W3040" s="53">
        <f>IF(P3040="","",IF(P3040="Resultado trading",S3040,0))</f>
        <v/>
      </c>
      <c r="X3040" s="52">
        <f>IF(OR(P3040="Gasto",P3040="Reembolso"),IF(M3040&lt;&gt;"",M3040,IFERROR(INDEX(catClasif,MATCH(D3040&amp;"|"&amp;E3040,catClave,0))&amp;"","Variable")),"")</f>
        <v/>
      </c>
      <c r="Y3040" s="52">
        <f>IF(P3040="","",IFERROR(INDEX(catGrupo,MATCH(D3040&amp;"|"&amp;E3040,catClave,0))&amp;"",""))</f>
        <v/>
      </c>
      <c r="Z3040" s="52">
        <f>IF(P3040="","",WEEKDAY(B3040,2))</f>
        <v/>
      </c>
      <c r="AA3040" s="52">
        <f>IF(P3040="","",IF(AND(P3040="Gasto",X3040="Variable",D3040&lt;&gt;catTrading,S3040&gt;0,S3040&lt;=Umbral),1,0))</f>
        <v/>
      </c>
      <c r="AB3040" s="52">
        <f>IF(OR(P3040="",Q3040=""),"",IFERROR(IF(INDEX(ctaVinc,MATCH(Q3040,ctaNombre,0))&amp;""&lt;&gt;"",INDEX(ctaVinc,MATCH(Q3040,ctaNombre,0))&amp;"",Q3040),Q3040))</f>
        <v/>
      </c>
      <c r="AC3040" s="52">
        <f>IF(OR(K3040="",AND(P3040&lt;&gt;"Transferencia",P3040&lt;&gt;"Pago tarjeta")),"",IFERROR(IF(INDEX(ctaVinc,MATCH(K3040,ctaNombre,0))&amp;""&lt;&gt;"",INDEX(ctaVinc,MATCH(K3040,ctaNombre,0))&amp;"",K3040),K3040))</f>
        <v/>
      </c>
      <c r="AD3040" s="52">
        <f>IF(AB3040="","",IFERROR(INDEX(ctaTipo,MATCH(AB3040,ctaNombre,0))&amp;"",""))</f>
        <v/>
      </c>
      <c r="AE3040" s="52">
        <f>IF(AC3040="","",IFERROR(INDEX(ctaTipo,MATCH(AC3040,ctaNombre,0))&amp;"",""))</f>
        <v/>
      </c>
      <c r="AF3040" s="53">
        <f>IF(OR(P3040="",AB3040=""),"",IF(OR(P3040="Gasto",P3040="Transferencia",P3040="Pago tarjeta"),-1,1)*IF(IFERROR(INDEX(ctaMoneda,MATCH(AB3040,ctaNombre,0))&amp;"","DOP")="USD",T3040,S3040))</f>
        <v/>
      </c>
      <c r="AG3040" s="53">
        <f>IF(AC3040="","",IF(IFERROR(INDEX(ctaMoneda,MATCH(AC3040,ctaNombre,0))&amp;"","DOP")="USD",T3040,S3040))</f>
        <v/>
      </c>
      <c r="AH3040" s="53">
        <f>IF(P3040="","",IF(AND(AD3040&lt;&gt;"",COUNTIFS(tcTipo,AD3040,tcLiq,"Sí")&gt;0),IF(OR(P3040="Gasto",P3040="Transferencia",P3040="Pago tarjeta"),-1,1)*S3040,0)+IF(AND(AE3040&lt;&gt;"",COUNTIFS(tcTipo,AE3040,tcLiq,"Sí")&gt;0),S3040,0))</f>
        <v/>
      </c>
      <c r="AI3040" s="52">
        <f>IF(OR(L3040="",P3040=""),"",IF(COUNTIFS(L$6:L3040,L3040,P$6:P3040,"?*")=1,MAX(AI$5:AI3039)+1,""))</f>
        <v/>
      </c>
    </row>
    <row r="3041">
      <c r="B3041" s="47" t="n"/>
      <c r="C3041" s="48" t="n"/>
      <c r="D3041" s="48" t="n"/>
      <c r="E3041" s="48" t="n"/>
      <c r="F3041" s="48" t="n"/>
      <c r="G3041" s="49" t="n"/>
      <c r="H3041" s="48" t="n"/>
      <c r="I3041" s="50" t="n"/>
      <c r="J3041" s="48" t="n"/>
      <c r="K3041" s="48" t="n"/>
      <c r="L3041" s="48" t="n"/>
      <c r="M3041" s="48" t="n"/>
      <c r="N3041" s="48" t="n"/>
      <c r="O3041" s="51">
        <f>IF(AND(B3041="",G3041="",C3041="",D3041="",J3041=""),"",IF(B3041="","⚠ Falta fecha",IF(G3041="","⚠ Falta monto",IF(Q3041="","⚠ Falta cuenta",IF(ISNA(MATCH(Q3041,ctaNombre,0)),"⚠ Cuenta no registrada",IF(AND(OR(P3041="Gasto",P3041="Reembolso"),D3041=""),"⚠ Falta categoría",IF(AND(D3041&lt;&gt;"",E3041&lt;&gt;"",ISNA(MATCH(D3041&amp;"|"&amp;E3041,catClave,0))),"⚠ Subcategoría no corresponde",IF(AND(OR(P3041="Transferencia",P3041="Pago tarjeta"),K3041=""),"⚠ Falta cuenta destino",IF(AND(K3041&lt;&gt;"",P3041&lt;&gt;"Transferencia",P3041&lt;&gt;"Pago tarjeta"),"⚠ Destino solo aplica a transferencias",IF(AND(K3041&lt;&gt;"",K3041=Q3041),"⚠ Origen igual a destino",IF(AND(K3041&lt;&gt;"",ISNA(MATCH(K3041,ctaNombre,0))),"⚠ Destino no registrado",IF(AND(P3041="Pago tarjeta",AE3041&lt;&gt;"Tarjeta de crédito"),"⚠ El destino debe ser tarjeta de crédito",IF(AND(P3041="Gasto",E3041="Depósitos y retiros"),"⚠ Usa tipo Transferencia",IF(AND(P3041="Resultado trading",AD3041&lt;&gt;"Cuenta de trading"),"⚠ Usa una cuenta de trading",IF(AND(G3041&lt;=0,P3041&lt;&gt;"Ajuste",P3041&lt;&gt;"Resultado trading"),"⚠ El monto debe ser positivo","✓")))))))))))))))</f>
        <v/>
      </c>
      <c r="P3041" s="52">
        <f>IF(OR(B3041="",G3041=""),"",IF(C3041="","Gasto",C3041))</f>
        <v/>
      </c>
      <c r="Q3041" s="52">
        <f>IF(P3041="","",IF(J3041&lt;&gt;"",J3041,CuentaPred&amp;""))</f>
        <v/>
      </c>
      <c r="R3041" s="52">
        <f>IF(P3041="","",IF(ISNUMBER(I3041),I3041,TasaUSD))</f>
        <v/>
      </c>
      <c r="S3041" s="53">
        <f>IF(P3041="","",IF(H3041="USD",G3041*R3041,G3041))</f>
        <v/>
      </c>
      <c r="T3041" s="53">
        <f>IF(P3041="","",IF(H3041="USD",G3041,IF(R3041&gt;0,G3041/R3041,0)))</f>
        <v/>
      </c>
      <c r="U3041" s="53">
        <f>IF(P3041="","",IF(P3041="Gasto",S3041,IF(P3041="Reembolso",-S3041,0)))</f>
        <v/>
      </c>
      <c r="V3041" s="53">
        <f>IF(P3041="","",IF(P3041="Ingreso",S3041,0))</f>
        <v/>
      </c>
      <c r="W3041" s="53">
        <f>IF(P3041="","",IF(P3041="Resultado trading",S3041,0))</f>
        <v/>
      </c>
      <c r="X3041" s="52">
        <f>IF(OR(P3041="Gasto",P3041="Reembolso"),IF(M3041&lt;&gt;"",M3041,IFERROR(INDEX(catClasif,MATCH(D3041&amp;"|"&amp;E3041,catClave,0))&amp;"","Variable")),"")</f>
        <v/>
      </c>
      <c r="Y3041" s="52">
        <f>IF(P3041="","",IFERROR(INDEX(catGrupo,MATCH(D3041&amp;"|"&amp;E3041,catClave,0))&amp;"",""))</f>
        <v/>
      </c>
      <c r="Z3041" s="52">
        <f>IF(P3041="","",WEEKDAY(B3041,2))</f>
        <v/>
      </c>
      <c r="AA3041" s="52">
        <f>IF(P3041="","",IF(AND(P3041="Gasto",X3041="Variable",D3041&lt;&gt;catTrading,S3041&gt;0,S3041&lt;=Umbral),1,0))</f>
        <v/>
      </c>
      <c r="AB3041" s="52">
        <f>IF(OR(P3041="",Q3041=""),"",IFERROR(IF(INDEX(ctaVinc,MATCH(Q3041,ctaNombre,0))&amp;""&lt;&gt;"",INDEX(ctaVinc,MATCH(Q3041,ctaNombre,0))&amp;"",Q3041),Q3041))</f>
        <v/>
      </c>
      <c r="AC3041" s="52">
        <f>IF(OR(K3041="",AND(P3041&lt;&gt;"Transferencia",P3041&lt;&gt;"Pago tarjeta")),"",IFERROR(IF(INDEX(ctaVinc,MATCH(K3041,ctaNombre,0))&amp;""&lt;&gt;"",INDEX(ctaVinc,MATCH(K3041,ctaNombre,0))&amp;"",K3041),K3041))</f>
        <v/>
      </c>
      <c r="AD3041" s="52">
        <f>IF(AB3041="","",IFERROR(INDEX(ctaTipo,MATCH(AB3041,ctaNombre,0))&amp;"",""))</f>
        <v/>
      </c>
      <c r="AE3041" s="52">
        <f>IF(AC3041="","",IFERROR(INDEX(ctaTipo,MATCH(AC3041,ctaNombre,0))&amp;"",""))</f>
        <v/>
      </c>
      <c r="AF3041" s="53">
        <f>IF(OR(P3041="",AB3041=""),"",IF(OR(P3041="Gasto",P3041="Transferencia",P3041="Pago tarjeta"),-1,1)*IF(IFERROR(INDEX(ctaMoneda,MATCH(AB3041,ctaNombre,0))&amp;"","DOP")="USD",T3041,S3041))</f>
        <v/>
      </c>
      <c r="AG3041" s="53">
        <f>IF(AC3041="","",IF(IFERROR(INDEX(ctaMoneda,MATCH(AC3041,ctaNombre,0))&amp;"","DOP")="USD",T3041,S3041))</f>
        <v/>
      </c>
      <c r="AH3041" s="53">
        <f>IF(P3041="","",IF(AND(AD3041&lt;&gt;"",COUNTIFS(tcTipo,AD3041,tcLiq,"Sí")&gt;0),IF(OR(P3041="Gasto",P3041="Transferencia",P3041="Pago tarjeta"),-1,1)*S3041,0)+IF(AND(AE3041&lt;&gt;"",COUNTIFS(tcTipo,AE3041,tcLiq,"Sí")&gt;0),S3041,0))</f>
        <v/>
      </c>
      <c r="AI3041" s="52">
        <f>IF(OR(L3041="",P3041=""),"",IF(COUNTIFS(L$6:L3041,L3041,P$6:P3041,"?*")=1,MAX(AI$5:AI3040)+1,""))</f>
        <v/>
      </c>
    </row>
    <row r="3042">
      <c r="B3042" s="47" t="n"/>
      <c r="C3042" s="48" t="n"/>
      <c r="D3042" s="48" t="n"/>
      <c r="E3042" s="48" t="n"/>
      <c r="F3042" s="48" t="n"/>
      <c r="G3042" s="49" t="n"/>
      <c r="H3042" s="48" t="n"/>
      <c r="I3042" s="50" t="n"/>
      <c r="J3042" s="48" t="n"/>
      <c r="K3042" s="48" t="n"/>
      <c r="L3042" s="48" t="n"/>
      <c r="M3042" s="48" t="n"/>
      <c r="N3042" s="48" t="n"/>
      <c r="O3042" s="51">
        <f>IF(AND(B3042="",G3042="",C3042="",D3042="",J3042=""),"",IF(B3042="","⚠ Falta fecha",IF(G3042="","⚠ Falta monto",IF(Q3042="","⚠ Falta cuenta",IF(ISNA(MATCH(Q3042,ctaNombre,0)),"⚠ Cuenta no registrada",IF(AND(OR(P3042="Gasto",P3042="Reembolso"),D3042=""),"⚠ Falta categoría",IF(AND(D3042&lt;&gt;"",E3042&lt;&gt;"",ISNA(MATCH(D3042&amp;"|"&amp;E3042,catClave,0))),"⚠ Subcategoría no corresponde",IF(AND(OR(P3042="Transferencia",P3042="Pago tarjeta"),K3042=""),"⚠ Falta cuenta destino",IF(AND(K3042&lt;&gt;"",P3042&lt;&gt;"Transferencia",P3042&lt;&gt;"Pago tarjeta"),"⚠ Destino solo aplica a transferencias",IF(AND(K3042&lt;&gt;"",K3042=Q3042),"⚠ Origen igual a destino",IF(AND(K3042&lt;&gt;"",ISNA(MATCH(K3042,ctaNombre,0))),"⚠ Destino no registrado",IF(AND(P3042="Pago tarjeta",AE3042&lt;&gt;"Tarjeta de crédito"),"⚠ El destino debe ser tarjeta de crédito",IF(AND(P3042="Gasto",E3042="Depósitos y retiros"),"⚠ Usa tipo Transferencia",IF(AND(P3042="Resultado trading",AD3042&lt;&gt;"Cuenta de trading"),"⚠ Usa una cuenta de trading",IF(AND(G3042&lt;=0,P3042&lt;&gt;"Ajuste",P3042&lt;&gt;"Resultado trading"),"⚠ El monto debe ser positivo","✓")))))))))))))))</f>
        <v/>
      </c>
      <c r="P3042" s="52">
        <f>IF(OR(B3042="",G3042=""),"",IF(C3042="","Gasto",C3042))</f>
        <v/>
      </c>
      <c r="Q3042" s="52">
        <f>IF(P3042="","",IF(J3042&lt;&gt;"",J3042,CuentaPred&amp;""))</f>
        <v/>
      </c>
      <c r="R3042" s="52">
        <f>IF(P3042="","",IF(ISNUMBER(I3042),I3042,TasaUSD))</f>
        <v/>
      </c>
      <c r="S3042" s="53">
        <f>IF(P3042="","",IF(H3042="USD",G3042*R3042,G3042))</f>
        <v/>
      </c>
      <c r="T3042" s="53">
        <f>IF(P3042="","",IF(H3042="USD",G3042,IF(R3042&gt;0,G3042/R3042,0)))</f>
        <v/>
      </c>
      <c r="U3042" s="53">
        <f>IF(P3042="","",IF(P3042="Gasto",S3042,IF(P3042="Reembolso",-S3042,0)))</f>
        <v/>
      </c>
      <c r="V3042" s="53">
        <f>IF(P3042="","",IF(P3042="Ingreso",S3042,0))</f>
        <v/>
      </c>
      <c r="W3042" s="53">
        <f>IF(P3042="","",IF(P3042="Resultado trading",S3042,0))</f>
        <v/>
      </c>
      <c r="X3042" s="52">
        <f>IF(OR(P3042="Gasto",P3042="Reembolso"),IF(M3042&lt;&gt;"",M3042,IFERROR(INDEX(catClasif,MATCH(D3042&amp;"|"&amp;E3042,catClave,0))&amp;"","Variable")),"")</f>
        <v/>
      </c>
      <c r="Y3042" s="52">
        <f>IF(P3042="","",IFERROR(INDEX(catGrupo,MATCH(D3042&amp;"|"&amp;E3042,catClave,0))&amp;"",""))</f>
        <v/>
      </c>
      <c r="Z3042" s="52">
        <f>IF(P3042="","",WEEKDAY(B3042,2))</f>
        <v/>
      </c>
      <c r="AA3042" s="52">
        <f>IF(P3042="","",IF(AND(P3042="Gasto",X3042="Variable",D3042&lt;&gt;catTrading,S3042&gt;0,S3042&lt;=Umbral),1,0))</f>
        <v/>
      </c>
      <c r="AB3042" s="52">
        <f>IF(OR(P3042="",Q3042=""),"",IFERROR(IF(INDEX(ctaVinc,MATCH(Q3042,ctaNombre,0))&amp;""&lt;&gt;"",INDEX(ctaVinc,MATCH(Q3042,ctaNombre,0))&amp;"",Q3042),Q3042))</f>
        <v/>
      </c>
      <c r="AC3042" s="52">
        <f>IF(OR(K3042="",AND(P3042&lt;&gt;"Transferencia",P3042&lt;&gt;"Pago tarjeta")),"",IFERROR(IF(INDEX(ctaVinc,MATCH(K3042,ctaNombre,0))&amp;""&lt;&gt;"",INDEX(ctaVinc,MATCH(K3042,ctaNombre,0))&amp;"",K3042),K3042))</f>
        <v/>
      </c>
      <c r="AD3042" s="52">
        <f>IF(AB3042="","",IFERROR(INDEX(ctaTipo,MATCH(AB3042,ctaNombre,0))&amp;"",""))</f>
        <v/>
      </c>
      <c r="AE3042" s="52">
        <f>IF(AC3042="","",IFERROR(INDEX(ctaTipo,MATCH(AC3042,ctaNombre,0))&amp;"",""))</f>
        <v/>
      </c>
      <c r="AF3042" s="53">
        <f>IF(OR(P3042="",AB3042=""),"",IF(OR(P3042="Gasto",P3042="Transferencia",P3042="Pago tarjeta"),-1,1)*IF(IFERROR(INDEX(ctaMoneda,MATCH(AB3042,ctaNombre,0))&amp;"","DOP")="USD",T3042,S3042))</f>
        <v/>
      </c>
      <c r="AG3042" s="53">
        <f>IF(AC3042="","",IF(IFERROR(INDEX(ctaMoneda,MATCH(AC3042,ctaNombre,0))&amp;"","DOP")="USD",T3042,S3042))</f>
        <v/>
      </c>
      <c r="AH3042" s="53">
        <f>IF(P3042="","",IF(AND(AD3042&lt;&gt;"",COUNTIFS(tcTipo,AD3042,tcLiq,"Sí")&gt;0),IF(OR(P3042="Gasto",P3042="Transferencia",P3042="Pago tarjeta"),-1,1)*S3042,0)+IF(AND(AE3042&lt;&gt;"",COUNTIFS(tcTipo,AE3042,tcLiq,"Sí")&gt;0),S3042,0))</f>
        <v/>
      </c>
      <c r="AI3042" s="52">
        <f>IF(OR(L3042="",P3042=""),"",IF(COUNTIFS(L$6:L3042,L3042,P$6:P3042,"?*")=1,MAX(AI$5:AI3041)+1,""))</f>
        <v/>
      </c>
    </row>
    <row r="3043">
      <c r="B3043" s="47" t="n"/>
      <c r="C3043" s="48" t="n"/>
      <c r="D3043" s="48" t="n"/>
      <c r="E3043" s="48" t="n"/>
      <c r="F3043" s="48" t="n"/>
      <c r="G3043" s="49" t="n"/>
      <c r="H3043" s="48" t="n"/>
      <c r="I3043" s="50" t="n"/>
      <c r="J3043" s="48" t="n"/>
      <c r="K3043" s="48" t="n"/>
      <c r="L3043" s="48" t="n"/>
      <c r="M3043" s="48" t="n"/>
      <c r="N3043" s="48" t="n"/>
      <c r="O3043" s="51">
        <f>IF(AND(B3043="",G3043="",C3043="",D3043="",J3043=""),"",IF(B3043="","⚠ Falta fecha",IF(G3043="","⚠ Falta monto",IF(Q3043="","⚠ Falta cuenta",IF(ISNA(MATCH(Q3043,ctaNombre,0)),"⚠ Cuenta no registrada",IF(AND(OR(P3043="Gasto",P3043="Reembolso"),D3043=""),"⚠ Falta categoría",IF(AND(D3043&lt;&gt;"",E3043&lt;&gt;"",ISNA(MATCH(D3043&amp;"|"&amp;E3043,catClave,0))),"⚠ Subcategoría no corresponde",IF(AND(OR(P3043="Transferencia",P3043="Pago tarjeta"),K3043=""),"⚠ Falta cuenta destino",IF(AND(K3043&lt;&gt;"",P3043&lt;&gt;"Transferencia",P3043&lt;&gt;"Pago tarjeta"),"⚠ Destino solo aplica a transferencias",IF(AND(K3043&lt;&gt;"",K3043=Q3043),"⚠ Origen igual a destino",IF(AND(K3043&lt;&gt;"",ISNA(MATCH(K3043,ctaNombre,0))),"⚠ Destino no registrado",IF(AND(P3043="Pago tarjeta",AE3043&lt;&gt;"Tarjeta de crédito"),"⚠ El destino debe ser tarjeta de crédito",IF(AND(P3043="Gasto",E3043="Depósitos y retiros"),"⚠ Usa tipo Transferencia",IF(AND(P3043="Resultado trading",AD3043&lt;&gt;"Cuenta de trading"),"⚠ Usa una cuenta de trading",IF(AND(G3043&lt;=0,P3043&lt;&gt;"Ajuste",P3043&lt;&gt;"Resultado trading"),"⚠ El monto debe ser positivo","✓")))))))))))))))</f>
        <v/>
      </c>
      <c r="P3043" s="52">
        <f>IF(OR(B3043="",G3043=""),"",IF(C3043="","Gasto",C3043))</f>
        <v/>
      </c>
      <c r="Q3043" s="52">
        <f>IF(P3043="","",IF(J3043&lt;&gt;"",J3043,CuentaPred&amp;""))</f>
        <v/>
      </c>
      <c r="R3043" s="52">
        <f>IF(P3043="","",IF(ISNUMBER(I3043),I3043,TasaUSD))</f>
        <v/>
      </c>
      <c r="S3043" s="53">
        <f>IF(P3043="","",IF(H3043="USD",G3043*R3043,G3043))</f>
        <v/>
      </c>
      <c r="T3043" s="53">
        <f>IF(P3043="","",IF(H3043="USD",G3043,IF(R3043&gt;0,G3043/R3043,0)))</f>
        <v/>
      </c>
      <c r="U3043" s="53">
        <f>IF(P3043="","",IF(P3043="Gasto",S3043,IF(P3043="Reembolso",-S3043,0)))</f>
        <v/>
      </c>
      <c r="V3043" s="53">
        <f>IF(P3043="","",IF(P3043="Ingreso",S3043,0))</f>
        <v/>
      </c>
      <c r="W3043" s="53">
        <f>IF(P3043="","",IF(P3043="Resultado trading",S3043,0))</f>
        <v/>
      </c>
      <c r="X3043" s="52">
        <f>IF(OR(P3043="Gasto",P3043="Reembolso"),IF(M3043&lt;&gt;"",M3043,IFERROR(INDEX(catClasif,MATCH(D3043&amp;"|"&amp;E3043,catClave,0))&amp;"","Variable")),"")</f>
        <v/>
      </c>
      <c r="Y3043" s="52">
        <f>IF(P3043="","",IFERROR(INDEX(catGrupo,MATCH(D3043&amp;"|"&amp;E3043,catClave,0))&amp;"",""))</f>
        <v/>
      </c>
      <c r="Z3043" s="52">
        <f>IF(P3043="","",WEEKDAY(B3043,2))</f>
        <v/>
      </c>
      <c r="AA3043" s="52">
        <f>IF(P3043="","",IF(AND(P3043="Gasto",X3043="Variable",D3043&lt;&gt;catTrading,S3043&gt;0,S3043&lt;=Umbral),1,0))</f>
        <v/>
      </c>
      <c r="AB3043" s="52">
        <f>IF(OR(P3043="",Q3043=""),"",IFERROR(IF(INDEX(ctaVinc,MATCH(Q3043,ctaNombre,0))&amp;""&lt;&gt;"",INDEX(ctaVinc,MATCH(Q3043,ctaNombre,0))&amp;"",Q3043),Q3043))</f>
        <v/>
      </c>
      <c r="AC3043" s="52">
        <f>IF(OR(K3043="",AND(P3043&lt;&gt;"Transferencia",P3043&lt;&gt;"Pago tarjeta")),"",IFERROR(IF(INDEX(ctaVinc,MATCH(K3043,ctaNombre,0))&amp;""&lt;&gt;"",INDEX(ctaVinc,MATCH(K3043,ctaNombre,0))&amp;"",K3043),K3043))</f>
        <v/>
      </c>
      <c r="AD3043" s="52">
        <f>IF(AB3043="","",IFERROR(INDEX(ctaTipo,MATCH(AB3043,ctaNombre,0))&amp;"",""))</f>
        <v/>
      </c>
      <c r="AE3043" s="52">
        <f>IF(AC3043="","",IFERROR(INDEX(ctaTipo,MATCH(AC3043,ctaNombre,0))&amp;"",""))</f>
        <v/>
      </c>
      <c r="AF3043" s="53">
        <f>IF(OR(P3043="",AB3043=""),"",IF(OR(P3043="Gasto",P3043="Transferencia",P3043="Pago tarjeta"),-1,1)*IF(IFERROR(INDEX(ctaMoneda,MATCH(AB3043,ctaNombre,0))&amp;"","DOP")="USD",T3043,S3043))</f>
        <v/>
      </c>
      <c r="AG3043" s="53">
        <f>IF(AC3043="","",IF(IFERROR(INDEX(ctaMoneda,MATCH(AC3043,ctaNombre,0))&amp;"","DOP")="USD",T3043,S3043))</f>
        <v/>
      </c>
      <c r="AH3043" s="53">
        <f>IF(P3043="","",IF(AND(AD3043&lt;&gt;"",COUNTIFS(tcTipo,AD3043,tcLiq,"Sí")&gt;0),IF(OR(P3043="Gasto",P3043="Transferencia",P3043="Pago tarjeta"),-1,1)*S3043,0)+IF(AND(AE3043&lt;&gt;"",COUNTIFS(tcTipo,AE3043,tcLiq,"Sí")&gt;0),S3043,0))</f>
        <v/>
      </c>
      <c r="AI3043" s="52">
        <f>IF(OR(L3043="",P3043=""),"",IF(COUNTIFS(L$6:L3043,L3043,P$6:P3043,"?*")=1,MAX(AI$5:AI3042)+1,""))</f>
        <v/>
      </c>
    </row>
    <row r="3044">
      <c r="B3044" s="47" t="n"/>
      <c r="C3044" s="48" t="n"/>
      <c r="D3044" s="48" t="n"/>
      <c r="E3044" s="48" t="n"/>
      <c r="F3044" s="48" t="n"/>
      <c r="G3044" s="49" t="n"/>
      <c r="H3044" s="48" t="n"/>
      <c r="I3044" s="50" t="n"/>
      <c r="J3044" s="48" t="n"/>
      <c r="K3044" s="48" t="n"/>
      <c r="L3044" s="48" t="n"/>
      <c r="M3044" s="48" t="n"/>
      <c r="N3044" s="48" t="n"/>
      <c r="O3044" s="51">
        <f>IF(AND(B3044="",G3044="",C3044="",D3044="",J3044=""),"",IF(B3044="","⚠ Falta fecha",IF(G3044="","⚠ Falta monto",IF(Q3044="","⚠ Falta cuenta",IF(ISNA(MATCH(Q3044,ctaNombre,0)),"⚠ Cuenta no registrada",IF(AND(OR(P3044="Gasto",P3044="Reembolso"),D3044=""),"⚠ Falta categoría",IF(AND(D3044&lt;&gt;"",E3044&lt;&gt;"",ISNA(MATCH(D3044&amp;"|"&amp;E3044,catClave,0))),"⚠ Subcategoría no corresponde",IF(AND(OR(P3044="Transferencia",P3044="Pago tarjeta"),K3044=""),"⚠ Falta cuenta destino",IF(AND(K3044&lt;&gt;"",P3044&lt;&gt;"Transferencia",P3044&lt;&gt;"Pago tarjeta"),"⚠ Destino solo aplica a transferencias",IF(AND(K3044&lt;&gt;"",K3044=Q3044),"⚠ Origen igual a destino",IF(AND(K3044&lt;&gt;"",ISNA(MATCH(K3044,ctaNombre,0))),"⚠ Destino no registrado",IF(AND(P3044="Pago tarjeta",AE3044&lt;&gt;"Tarjeta de crédito"),"⚠ El destino debe ser tarjeta de crédito",IF(AND(P3044="Gasto",E3044="Depósitos y retiros"),"⚠ Usa tipo Transferencia",IF(AND(P3044="Resultado trading",AD3044&lt;&gt;"Cuenta de trading"),"⚠ Usa una cuenta de trading",IF(AND(G3044&lt;=0,P3044&lt;&gt;"Ajuste",P3044&lt;&gt;"Resultado trading"),"⚠ El monto debe ser positivo","✓")))))))))))))))</f>
        <v/>
      </c>
      <c r="P3044" s="52">
        <f>IF(OR(B3044="",G3044=""),"",IF(C3044="","Gasto",C3044))</f>
        <v/>
      </c>
      <c r="Q3044" s="52">
        <f>IF(P3044="","",IF(J3044&lt;&gt;"",J3044,CuentaPred&amp;""))</f>
        <v/>
      </c>
      <c r="R3044" s="52">
        <f>IF(P3044="","",IF(ISNUMBER(I3044),I3044,TasaUSD))</f>
        <v/>
      </c>
      <c r="S3044" s="53">
        <f>IF(P3044="","",IF(H3044="USD",G3044*R3044,G3044))</f>
        <v/>
      </c>
      <c r="T3044" s="53">
        <f>IF(P3044="","",IF(H3044="USD",G3044,IF(R3044&gt;0,G3044/R3044,0)))</f>
        <v/>
      </c>
      <c r="U3044" s="53">
        <f>IF(P3044="","",IF(P3044="Gasto",S3044,IF(P3044="Reembolso",-S3044,0)))</f>
        <v/>
      </c>
      <c r="V3044" s="53">
        <f>IF(P3044="","",IF(P3044="Ingreso",S3044,0))</f>
        <v/>
      </c>
      <c r="W3044" s="53">
        <f>IF(P3044="","",IF(P3044="Resultado trading",S3044,0))</f>
        <v/>
      </c>
      <c r="X3044" s="52">
        <f>IF(OR(P3044="Gasto",P3044="Reembolso"),IF(M3044&lt;&gt;"",M3044,IFERROR(INDEX(catClasif,MATCH(D3044&amp;"|"&amp;E3044,catClave,0))&amp;"","Variable")),"")</f>
        <v/>
      </c>
      <c r="Y3044" s="52">
        <f>IF(P3044="","",IFERROR(INDEX(catGrupo,MATCH(D3044&amp;"|"&amp;E3044,catClave,0))&amp;"",""))</f>
        <v/>
      </c>
      <c r="Z3044" s="52">
        <f>IF(P3044="","",WEEKDAY(B3044,2))</f>
        <v/>
      </c>
      <c r="AA3044" s="52">
        <f>IF(P3044="","",IF(AND(P3044="Gasto",X3044="Variable",D3044&lt;&gt;catTrading,S3044&gt;0,S3044&lt;=Umbral),1,0))</f>
        <v/>
      </c>
      <c r="AB3044" s="52">
        <f>IF(OR(P3044="",Q3044=""),"",IFERROR(IF(INDEX(ctaVinc,MATCH(Q3044,ctaNombre,0))&amp;""&lt;&gt;"",INDEX(ctaVinc,MATCH(Q3044,ctaNombre,0))&amp;"",Q3044),Q3044))</f>
        <v/>
      </c>
      <c r="AC3044" s="52">
        <f>IF(OR(K3044="",AND(P3044&lt;&gt;"Transferencia",P3044&lt;&gt;"Pago tarjeta")),"",IFERROR(IF(INDEX(ctaVinc,MATCH(K3044,ctaNombre,0))&amp;""&lt;&gt;"",INDEX(ctaVinc,MATCH(K3044,ctaNombre,0))&amp;"",K3044),K3044))</f>
        <v/>
      </c>
      <c r="AD3044" s="52">
        <f>IF(AB3044="","",IFERROR(INDEX(ctaTipo,MATCH(AB3044,ctaNombre,0))&amp;"",""))</f>
        <v/>
      </c>
      <c r="AE3044" s="52">
        <f>IF(AC3044="","",IFERROR(INDEX(ctaTipo,MATCH(AC3044,ctaNombre,0))&amp;"",""))</f>
        <v/>
      </c>
      <c r="AF3044" s="53">
        <f>IF(OR(P3044="",AB3044=""),"",IF(OR(P3044="Gasto",P3044="Transferencia",P3044="Pago tarjeta"),-1,1)*IF(IFERROR(INDEX(ctaMoneda,MATCH(AB3044,ctaNombre,0))&amp;"","DOP")="USD",T3044,S3044))</f>
        <v/>
      </c>
      <c r="AG3044" s="53">
        <f>IF(AC3044="","",IF(IFERROR(INDEX(ctaMoneda,MATCH(AC3044,ctaNombre,0))&amp;"","DOP")="USD",T3044,S3044))</f>
        <v/>
      </c>
      <c r="AH3044" s="53">
        <f>IF(P3044="","",IF(AND(AD3044&lt;&gt;"",COUNTIFS(tcTipo,AD3044,tcLiq,"Sí")&gt;0),IF(OR(P3044="Gasto",P3044="Transferencia",P3044="Pago tarjeta"),-1,1)*S3044,0)+IF(AND(AE3044&lt;&gt;"",COUNTIFS(tcTipo,AE3044,tcLiq,"Sí")&gt;0),S3044,0))</f>
        <v/>
      </c>
      <c r="AI3044" s="52">
        <f>IF(OR(L3044="",P3044=""),"",IF(COUNTIFS(L$6:L3044,L3044,P$6:P3044,"?*")=1,MAX(AI$5:AI3043)+1,""))</f>
        <v/>
      </c>
    </row>
    <row r="3045">
      <c r="B3045" s="47" t="n"/>
      <c r="C3045" s="48" t="n"/>
      <c r="D3045" s="48" t="n"/>
      <c r="E3045" s="48" t="n"/>
      <c r="F3045" s="48" t="n"/>
      <c r="G3045" s="49" t="n"/>
      <c r="H3045" s="48" t="n"/>
      <c r="I3045" s="50" t="n"/>
      <c r="J3045" s="48" t="n"/>
      <c r="K3045" s="48" t="n"/>
      <c r="L3045" s="48" t="n"/>
      <c r="M3045" s="48" t="n"/>
      <c r="N3045" s="48" t="n"/>
      <c r="O3045" s="51">
        <f>IF(AND(B3045="",G3045="",C3045="",D3045="",J3045=""),"",IF(B3045="","⚠ Falta fecha",IF(G3045="","⚠ Falta monto",IF(Q3045="","⚠ Falta cuenta",IF(ISNA(MATCH(Q3045,ctaNombre,0)),"⚠ Cuenta no registrada",IF(AND(OR(P3045="Gasto",P3045="Reembolso"),D3045=""),"⚠ Falta categoría",IF(AND(D3045&lt;&gt;"",E3045&lt;&gt;"",ISNA(MATCH(D3045&amp;"|"&amp;E3045,catClave,0))),"⚠ Subcategoría no corresponde",IF(AND(OR(P3045="Transferencia",P3045="Pago tarjeta"),K3045=""),"⚠ Falta cuenta destino",IF(AND(K3045&lt;&gt;"",P3045&lt;&gt;"Transferencia",P3045&lt;&gt;"Pago tarjeta"),"⚠ Destino solo aplica a transferencias",IF(AND(K3045&lt;&gt;"",K3045=Q3045),"⚠ Origen igual a destino",IF(AND(K3045&lt;&gt;"",ISNA(MATCH(K3045,ctaNombre,0))),"⚠ Destino no registrado",IF(AND(P3045="Pago tarjeta",AE3045&lt;&gt;"Tarjeta de crédito"),"⚠ El destino debe ser tarjeta de crédito",IF(AND(P3045="Gasto",E3045="Depósitos y retiros"),"⚠ Usa tipo Transferencia",IF(AND(P3045="Resultado trading",AD3045&lt;&gt;"Cuenta de trading"),"⚠ Usa una cuenta de trading",IF(AND(G3045&lt;=0,P3045&lt;&gt;"Ajuste",P3045&lt;&gt;"Resultado trading"),"⚠ El monto debe ser positivo","✓")))))))))))))))</f>
        <v/>
      </c>
      <c r="P3045" s="52">
        <f>IF(OR(B3045="",G3045=""),"",IF(C3045="","Gasto",C3045))</f>
        <v/>
      </c>
      <c r="Q3045" s="52">
        <f>IF(P3045="","",IF(J3045&lt;&gt;"",J3045,CuentaPred&amp;""))</f>
        <v/>
      </c>
      <c r="R3045" s="52">
        <f>IF(P3045="","",IF(ISNUMBER(I3045),I3045,TasaUSD))</f>
        <v/>
      </c>
      <c r="S3045" s="53">
        <f>IF(P3045="","",IF(H3045="USD",G3045*R3045,G3045))</f>
        <v/>
      </c>
      <c r="T3045" s="53">
        <f>IF(P3045="","",IF(H3045="USD",G3045,IF(R3045&gt;0,G3045/R3045,0)))</f>
        <v/>
      </c>
      <c r="U3045" s="53">
        <f>IF(P3045="","",IF(P3045="Gasto",S3045,IF(P3045="Reembolso",-S3045,0)))</f>
        <v/>
      </c>
      <c r="V3045" s="53">
        <f>IF(P3045="","",IF(P3045="Ingreso",S3045,0))</f>
        <v/>
      </c>
      <c r="W3045" s="53">
        <f>IF(P3045="","",IF(P3045="Resultado trading",S3045,0))</f>
        <v/>
      </c>
      <c r="X3045" s="52">
        <f>IF(OR(P3045="Gasto",P3045="Reembolso"),IF(M3045&lt;&gt;"",M3045,IFERROR(INDEX(catClasif,MATCH(D3045&amp;"|"&amp;E3045,catClave,0))&amp;"","Variable")),"")</f>
        <v/>
      </c>
      <c r="Y3045" s="52">
        <f>IF(P3045="","",IFERROR(INDEX(catGrupo,MATCH(D3045&amp;"|"&amp;E3045,catClave,0))&amp;"",""))</f>
        <v/>
      </c>
      <c r="Z3045" s="52">
        <f>IF(P3045="","",WEEKDAY(B3045,2))</f>
        <v/>
      </c>
      <c r="AA3045" s="52">
        <f>IF(P3045="","",IF(AND(P3045="Gasto",X3045="Variable",D3045&lt;&gt;catTrading,S3045&gt;0,S3045&lt;=Umbral),1,0))</f>
        <v/>
      </c>
      <c r="AB3045" s="52">
        <f>IF(OR(P3045="",Q3045=""),"",IFERROR(IF(INDEX(ctaVinc,MATCH(Q3045,ctaNombre,0))&amp;""&lt;&gt;"",INDEX(ctaVinc,MATCH(Q3045,ctaNombre,0))&amp;"",Q3045),Q3045))</f>
        <v/>
      </c>
      <c r="AC3045" s="52">
        <f>IF(OR(K3045="",AND(P3045&lt;&gt;"Transferencia",P3045&lt;&gt;"Pago tarjeta")),"",IFERROR(IF(INDEX(ctaVinc,MATCH(K3045,ctaNombre,0))&amp;""&lt;&gt;"",INDEX(ctaVinc,MATCH(K3045,ctaNombre,0))&amp;"",K3045),K3045))</f>
        <v/>
      </c>
      <c r="AD3045" s="52">
        <f>IF(AB3045="","",IFERROR(INDEX(ctaTipo,MATCH(AB3045,ctaNombre,0))&amp;"",""))</f>
        <v/>
      </c>
      <c r="AE3045" s="52">
        <f>IF(AC3045="","",IFERROR(INDEX(ctaTipo,MATCH(AC3045,ctaNombre,0))&amp;"",""))</f>
        <v/>
      </c>
      <c r="AF3045" s="53">
        <f>IF(OR(P3045="",AB3045=""),"",IF(OR(P3045="Gasto",P3045="Transferencia",P3045="Pago tarjeta"),-1,1)*IF(IFERROR(INDEX(ctaMoneda,MATCH(AB3045,ctaNombre,0))&amp;"","DOP")="USD",T3045,S3045))</f>
        <v/>
      </c>
      <c r="AG3045" s="53">
        <f>IF(AC3045="","",IF(IFERROR(INDEX(ctaMoneda,MATCH(AC3045,ctaNombre,0))&amp;"","DOP")="USD",T3045,S3045))</f>
        <v/>
      </c>
      <c r="AH3045" s="53">
        <f>IF(P3045="","",IF(AND(AD3045&lt;&gt;"",COUNTIFS(tcTipo,AD3045,tcLiq,"Sí")&gt;0),IF(OR(P3045="Gasto",P3045="Transferencia",P3045="Pago tarjeta"),-1,1)*S3045,0)+IF(AND(AE3045&lt;&gt;"",COUNTIFS(tcTipo,AE3045,tcLiq,"Sí")&gt;0),S3045,0))</f>
        <v/>
      </c>
      <c r="AI3045" s="52">
        <f>IF(OR(L3045="",P3045=""),"",IF(COUNTIFS(L$6:L3045,L3045,P$6:P3045,"?*")=1,MAX(AI$5:AI3044)+1,""))</f>
        <v/>
      </c>
    </row>
    <row r="3046">
      <c r="B3046" s="47" t="n"/>
      <c r="C3046" s="48" t="n"/>
      <c r="D3046" s="48" t="n"/>
      <c r="E3046" s="48" t="n"/>
      <c r="F3046" s="48" t="n"/>
      <c r="G3046" s="49" t="n"/>
      <c r="H3046" s="48" t="n"/>
      <c r="I3046" s="50" t="n"/>
      <c r="J3046" s="48" t="n"/>
      <c r="K3046" s="48" t="n"/>
      <c r="L3046" s="48" t="n"/>
      <c r="M3046" s="48" t="n"/>
      <c r="N3046" s="48" t="n"/>
      <c r="O3046" s="51">
        <f>IF(AND(B3046="",G3046="",C3046="",D3046="",J3046=""),"",IF(B3046="","⚠ Falta fecha",IF(G3046="","⚠ Falta monto",IF(Q3046="","⚠ Falta cuenta",IF(ISNA(MATCH(Q3046,ctaNombre,0)),"⚠ Cuenta no registrada",IF(AND(OR(P3046="Gasto",P3046="Reembolso"),D3046=""),"⚠ Falta categoría",IF(AND(D3046&lt;&gt;"",E3046&lt;&gt;"",ISNA(MATCH(D3046&amp;"|"&amp;E3046,catClave,0))),"⚠ Subcategoría no corresponde",IF(AND(OR(P3046="Transferencia",P3046="Pago tarjeta"),K3046=""),"⚠ Falta cuenta destino",IF(AND(K3046&lt;&gt;"",P3046&lt;&gt;"Transferencia",P3046&lt;&gt;"Pago tarjeta"),"⚠ Destino solo aplica a transferencias",IF(AND(K3046&lt;&gt;"",K3046=Q3046),"⚠ Origen igual a destino",IF(AND(K3046&lt;&gt;"",ISNA(MATCH(K3046,ctaNombre,0))),"⚠ Destino no registrado",IF(AND(P3046="Pago tarjeta",AE3046&lt;&gt;"Tarjeta de crédito"),"⚠ El destino debe ser tarjeta de crédito",IF(AND(P3046="Gasto",E3046="Depósitos y retiros"),"⚠ Usa tipo Transferencia",IF(AND(P3046="Resultado trading",AD3046&lt;&gt;"Cuenta de trading"),"⚠ Usa una cuenta de trading",IF(AND(G3046&lt;=0,P3046&lt;&gt;"Ajuste",P3046&lt;&gt;"Resultado trading"),"⚠ El monto debe ser positivo","✓")))))))))))))))</f>
        <v/>
      </c>
      <c r="P3046" s="52">
        <f>IF(OR(B3046="",G3046=""),"",IF(C3046="","Gasto",C3046))</f>
        <v/>
      </c>
      <c r="Q3046" s="52">
        <f>IF(P3046="","",IF(J3046&lt;&gt;"",J3046,CuentaPred&amp;""))</f>
        <v/>
      </c>
      <c r="R3046" s="52">
        <f>IF(P3046="","",IF(ISNUMBER(I3046),I3046,TasaUSD))</f>
        <v/>
      </c>
      <c r="S3046" s="53">
        <f>IF(P3046="","",IF(H3046="USD",G3046*R3046,G3046))</f>
        <v/>
      </c>
      <c r="T3046" s="53">
        <f>IF(P3046="","",IF(H3046="USD",G3046,IF(R3046&gt;0,G3046/R3046,0)))</f>
        <v/>
      </c>
      <c r="U3046" s="53">
        <f>IF(P3046="","",IF(P3046="Gasto",S3046,IF(P3046="Reembolso",-S3046,0)))</f>
        <v/>
      </c>
      <c r="V3046" s="53">
        <f>IF(P3046="","",IF(P3046="Ingreso",S3046,0))</f>
        <v/>
      </c>
      <c r="W3046" s="53">
        <f>IF(P3046="","",IF(P3046="Resultado trading",S3046,0))</f>
        <v/>
      </c>
      <c r="X3046" s="52">
        <f>IF(OR(P3046="Gasto",P3046="Reembolso"),IF(M3046&lt;&gt;"",M3046,IFERROR(INDEX(catClasif,MATCH(D3046&amp;"|"&amp;E3046,catClave,0))&amp;"","Variable")),"")</f>
        <v/>
      </c>
      <c r="Y3046" s="52">
        <f>IF(P3046="","",IFERROR(INDEX(catGrupo,MATCH(D3046&amp;"|"&amp;E3046,catClave,0))&amp;"",""))</f>
        <v/>
      </c>
      <c r="Z3046" s="52">
        <f>IF(P3046="","",WEEKDAY(B3046,2))</f>
        <v/>
      </c>
      <c r="AA3046" s="52">
        <f>IF(P3046="","",IF(AND(P3046="Gasto",X3046="Variable",D3046&lt;&gt;catTrading,S3046&gt;0,S3046&lt;=Umbral),1,0))</f>
        <v/>
      </c>
      <c r="AB3046" s="52">
        <f>IF(OR(P3046="",Q3046=""),"",IFERROR(IF(INDEX(ctaVinc,MATCH(Q3046,ctaNombre,0))&amp;""&lt;&gt;"",INDEX(ctaVinc,MATCH(Q3046,ctaNombre,0))&amp;"",Q3046),Q3046))</f>
        <v/>
      </c>
      <c r="AC3046" s="52">
        <f>IF(OR(K3046="",AND(P3046&lt;&gt;"Transferencia",P3046&lt;&gt;"Pago tarjeta")),"",IFERROR(IF(INDEX(ctaVinc,MATCH(K3046,ctaNombre,0))&amp;""&lt;&gt;"",INDEX(ctaVinc,MATCH(K3046,ctaNombre,0))&amp;"",K3046),K3046))</f>
        <v/>
      </c>
      <c r="AD3046" s="52">
        <f>IF(AB3046="","",IFERROR(INDEX(ctaTipo,MATCH(AB3046,ctaNombre,0))&amp;"",""))</f>
        <v/>
      </c>
      <c r="AE3046" s="52">
        <f>IF(AC3046="","",IFERROR(INDEX(ctaTipo,MATCH(AC3046,ctaNombre,0))&amp;"",""))</f>
        <v/>
      </c>
      <c r="AF3046" s="53">
        <f>IF(OR(P3046="",AB3046=""),"",IF(OR(P3046="Gasto",P3046="Transferencia",P3046="Pago tarjeta"),-1,1)*IF(IFERROR(INDEX(ctaMoneda,MATCH(AB3046,ctaNombre,0))&amp;"","DOP")="USD",T3046,S3046))</f>
        <v/>
      </c>
      <c r="AG3046" s="53">
        <f>IF(AC3046="","",IF(IFERROR(INDEX(ctaMoneda,MATCH(AC3046,ctaNombre,0))&amp;"","DOP")="USD",T3046,S3046))</f>
        <v/>
      </c>
      <c r="AH3046" s="53">
        <f>IF(P3046="","",IF(AND(AD3046&lt;&gt;"",COUNTIFS(tcTipo,AD3046,tcLiq,"Sí")&gt;0),IF(OR(P3046="Gasto",P3046="Transferencia",P3046="Pago tarjeta"),-1,1)*S3046,0)+IF(AND(AE3046&lt;&gt;"",COUNTIFS(tcTipo,AE3046,tcLiq,"Sí")&gt;0),S3046,0))</f>
        <v/>
      </c>
      <c r="AI3046" s="52">
        <f>IF(OR(L3046="",P3046=""),"",IF(COUNTIFS(L$6:L3046,L3046,P$6:P3046,"?*")=1,MAX(AI$5:AI3045)+1,""))</f>
        <v/>
      </c>
    </row>
    <row r="3047">
      <c r="B3047" s="47" t="n"/>
      <c r="C3047" s="48" t="n"/>
      <c r="D3047" s="48" t="n"/>
      <c r="E3047" s="48" t="n"/>
      <c r="F3047" s="48" t="n"/>
      <c r="G3047" s="49" t="n"/>
      <c r="H3047" s="48" t="n"/>
      <c r="I3047" s="50" t="n"/>
      <c r="J3047" s="48" t="n"/>
      <c r="K3047" s="48" t="n"/>
      <c r="L3047" s="48" t="n"/>
      <c r="M3047" s="48" t="n"/>
      <c r="N3047" s="48" t="n"/>
      <c r="O3047" s="51">
        <f>IF(AND(B3047="",G3047="",C3047="",D3047="",J3047=""),"",IF(B3047="","⚠ Falta fecha",IF(G3047="","⚠ Falta monto",IF(Q3047="","⚠ Falta cuenta",IF(ISNA(MATCH(Q3047,ctaNombre,0)),"⚠ Cuenta no registrada",IF(AND(OR(P3047="Gasto",P3047="Reembolso"),D3047=""),"⚠ Falta categoría",IF(AND(D3047&lt;&gt;"",E3047&lt;&gt;"",ISNA(MATCH(D3047&amp;"|"&amp;E3047,catClave,0))),"⚠ Subcategoría no corresponde",IF(AND(OR(P3047="Transferencia",P3047="Pago tarjeta"),K3047=""),"⚠ Falta cuenta destino",IF(AND(K3047&lt;&gt;"",P3047&lt;&gt;"Transferencia",P3047&lt;&gt;"Pago tarjeta"),"⚠ Destino solo aplica a transferencias",IF(AND(K3047&lt;&gt;"",K3047=Q3047),"⚠ Origen igual a destino",IF(AND(K3047&lt;&gt;"",ISNA(MATCH(K3047,ctaNombre,0))),"⚠ Destino no registrado",IF(AND(P3047="Pago tarjeta",AE3047&lt;&gt;"Tarjeta de crédito"),"⚠ El destino debe ser tarjeta de crédito",IF(AND(P3047="Gasto",E3047="Depósitos y retiros"),"⚠ Usa tipo Transferencia",IF(AND(P3047="Resultado trading",AD3047&lt;&gt;"Cuenta de trading"),"⚠ Usa una cuenta de trading",IF(AND(G3047&lt;=0,P3047&lt;&gt;"Ajuste",P3047&lt;&gt;"Resultado trading"),"⚠ El monto debe ser positivo","✓")))))))))))))))</f>
        <v/>
      </c>
      <c r="P3047" s="52">
        <f>IF(OR(B3047="",G3047=""),"",IF(C3047="","Gasto",C3047))</f>
        <v/>
      </c>
      <c r="Q3047" s="52">
        <f>IF(P3047="","",IF(J3047&lt;&gt;"",J3047,CuentaPred&amp;""))</f>
        <v/>
      </c>
      <c r="R3047" s="52">
        <f>IF(P3047="","",IF(ISNUMBER(I3047),I3047,TasaUSD))</f>
        <v/>
      </c>
      <c r="S3047" s="53">
        <f>IF(P3047="","",IF(H3047="USD",G3047*R3047,G3047))</f>
        <v/>
      </c>
      <c r="T3047" s="53">
        <f>IF(P3047="","",IF(H3047="USD",G3047,IF(R3047&gt;0,G3047/R3047,0)))</f>
        <v/>
      </c>
      <c r="U3047" s="53">
        <f>IF(P3047="","",IF(P3047="Gasto",S3047,IF(P3047="Reembolso",-S3047,0)))</f>
        <v/>
      </c>
      <c r="V3047" s="53">
        <f>IF(P3047="","",IF(P3047="Ingreso",S3047,0))</f>
        <v/>
      </c>
      <c r="W3047" s="53">
        <f>IF(P3047="","",IF(P3047="Resultado trading",S3047,0))</f>
        <v/>
      </c>
      <c r="X3047" s="52">
        <f>IF(OR(P3047="Gasto",P3047="Reembolso"),IF(M3047&lt;&gt;"",M3047,IFERROR(INDEX(catClasif,MATCH(D3047&amp;"|"&amp;E3047,catClave,0))&amp;"","Variable")),"")</f>
        <v/>
      </c>
      <c r="Y3047" s="52">
        <f>IF(P3047="","",IFERROR(INDEX(catGrupo,MATCH(D3047&amp;"|"&amp;E3047,catClave,0))&amp;"",""))</f>
        <v/>
      </c>
      <c r="Z3047" s="52">
        <f>IF(P3047="","",WEEKDAY(B3047,2))</f>
        <v/>
      </c>
      <c r="AA3047" s="52">
        <f>IF(P3047="","",IF(AND(P3047="Gasto",X3047="Variable",D3047&lt;&gt;catTrading,S3047&gt;0,S3047&lt;=Umbral),1,0))</f>
        <v/>
      </c>
      <c r="AB3047" s="52">
        <f>IF(OR(P3047="",Q3047=""),"",IFERROR(IF(INDEX(ctaVinc,MATCH(Q3047,ctaNombre,0))&amp;""&lt;&gt;"",INDEX(ctaVinc,MATCH(Q3047,ctaNombre,0))&amp;"",Q3047),Q3047))</f>
        <v/>
      </c>
      <c r="AC3047" s="52">
        <f>IF(OR(K3047="",AND(P3047&lt;&gt;"Transferencia",P3047&lt;&gt;"Pago tarjeta")),"",IFERROR(IF(INDEX(ctaVinc,MATCH(K3047,ctaNombre,0))&amp;""&lt;&gt;"",INDEX(ctaVinc,MATCH(K3047,ctaNombre,0))&amp;"",K3047),K3047))</f>
        <v/>
      </c>
      <c r="AD3047" s="52">
        <f>IF(AB3047="","",IFERROR(INDEX(ctaTipo,MATCH(AB3047,ctaNombre,0))&amp;"",""))</f>
        <v/>
      </c>
      <c r="AE3047" s="52">
        <f>IF(AC3047="","",IFERROR(INDEX(ctaTipo,MATCH(AC3047,ctaNombre,0))&amp;"",""))</f>
        <v/>
      </c>
      <c r="AF3047" s="53">
        <f>IF(OR(P3047="",AB3047=""),"",IF(OR(P3047="Gasto",P3047="Transferencia",P3047="Pago tarjeta"),-1,1)*IF(IFERROR(INDEX(ctaMoneda,MATCH(AB3047,ctaNombre,0))&amp;"","DOP")="USD",T3047,S3047))</f>
        <v/>
      </c>
      <c r="AG3047" s="53">
        <f>IF(AC3047="","",IF(IFERROR(INDEX(ctaMoneda,MATCH(AC3047,ctaNombre,0))&amp;"","DOP")="USD",T3047,S3047))</f>
        <v/>
      </c>
      <c r="AH3047" s="53">
        <f>IF(P3047="","",IF(AND(AD3047&lt;&gt;"",COUNTIFS(tcTipo,AD3047,tcLiq,"Sí")&gt;0),IF(OR(P3047="Gasto",P3047="Transferencia",P3047="Pago tarjeta"),-1,1)*S3047,0)+IF(AND(AE3047&lt;&gt;"",COUNTIFS(tcTipo,AE3047,tcLiq,"Sí")&gt;0),S3047,0))</f>
        <v/>
      </c>
      <c r="AI3047" s="52">
        <f>IF(OR(L3047="",P3047=""),"",IF(COUNTIFS(L$6:L3047,L3047,P$6:P3047,"?*")=1,MAX(AI$5:AI3046)+1,""))</f>
        <v/>
      </c>
    </row>
    <row r="3048">
      <c r="B3048" s="47" t="n"/>
      <c r="C3048" s="48" t="n"/>
      <c r="D3048" s="48" t="n"/>
      <c r="E3048" s="48" t="n"/>
      <c r="F3048" s="48" t="n"/>
      <c r="G3048" s="49" t="n"/>
      <c r="H3048" s="48" t="n"/>
      <c r="I3048" s="50" t="n"/>
      <c r="J3048" s="48" t="n"/>
      <c r="K3048" s="48" t="n"/>
      <c r="L3048" s="48" t="n"/>
      <c r="M3048" s="48" t="n"/>
      <c r="N3048" s="48" t="n"/>
      <c r="O3048" s="51">
        <f>IF(AND(B3048="",G3048="",C3048="",D3048="",J3048=""),"",IF(B3048="","⚠ Falta fecha",IF(G3048="","⚠ Falta monto",IF(Q3048="","⚠ Falta cuenta",IF(ISNA(MATCH(Q3048,ctaNombre,0)),"⚠ Cuenta no registrada",IF(AND(OR(P3048="Gasto",P3048="Reembolso"),D3048=""),"⚠ Falta categoría",IF(AND(D3048&lt;&gt;"",E3048&lt;&gt;"",ISNA(MATCH(D3048&amp;"|"&amp;E3048,catClave,0))),"⚠ Subcategoría no corresponde",IF(AND(OR(P3048="Transferencia",P3048="Pago tarjeta"),K3048=""),"⚠ Falta cuenta destino",IF(AND(K3048&lt;&gt;"",P3048&lt;&gt;"Transferencia",P3048&lt;&gt;"Pago tarjeta"),"⚠ Destino solo aplica a transferencias",IF(AND(K3048&lt;&gt;"",K3048=Q3048),"⚠ Origen igual a destino",IF(AND(K3048&lt;&gt;"",ISNA(MATCH(K3048,ctaNombre,0))),"⚠ Destino no registrado",IF(AND(P3048="Pago tarjeta",AE3048&lt;&gt;"Tarjeta de crédito"),"⚠ El destino debe ser tarjeta de crédito",IF(AND(P3048="Gasto",E3048="Depósitos y retiros"),"⚠ Usa tipo Transferencia",IF(AND(P3048="Resultado trading",AD3048&lt;&gt;"Cuenta de trading"),"⚠ Usa una cuenta de trading",IF(AND(G3048&lt;=0,P3048&lt;&gt;"Ajuste",P3048&lt;&gt;"Resultado trading"),"⚠ El monto debe ser positivo","✓")))))))))))))))</f>
        <v/>
      </c>
      <c r="P3048" s="52">
        <f>IF(OR(B3048="",G3048=""),"",IF(C3048="","Gasto",C3048))</f>
        <v/>
      </c>
      <c r="Q3048" s="52">
        <f>IF(P3048="","",IF(J3048&lt;&gt;"",J3048,CuentaPred&amp;""))</f>
        <v/>
      </c>
      <c r="R3048" s="52">
        <f>IF(P3048="","",IF(ISNUMBER(I3048),I3048,TasaUSD))</f>
        <v/>
      </c>
      <c r="S3048" s="53">
        <f>IF(P3048="","",IF(H3048="USD",G3048*R3048,G3048))</f>
        <v/>
      </c>
      <c r="T3048" s="53">
        <f>IF(P3048="","",IF(H3048="USD",G3048,IF(R3048&gt;0,G3048/R3048,0)))</f>
        <v/>
      </c>
      <c r="U3048" s="53">
        <f>IF(P3048="","",IF(P3048="Gasto",S3048,IF(P3048="Reembolso",-S3048,0)))</f>
        <v/>
      </c>
      <c r="V3048" s="53">
        <f>IF(P3048="","",IF(P3048="Ingreso",S3048,0))</f>
        <v/>
      </c>
      <c r="W3048" s="53">
        <f>IF(P3048="","",IF(P3048="Resultado trading",S3048,0))</f>
        <v/>
      </c>
      <c r="X3048" s="52">
        <f>IF(OR(P3048="Gasto",P3048="Reembolso"),IF(M3048&lt;&gt;"",M3048,IFERROR(INDEX(catClasif,MATCH(D3048&amp;"|"&amp;E3048,catClave,0))&amp;"","Variable")),"")</f>
        <v/>
      </c>
      <c r="Y3048" s="52">
        <f>IF(P3048="","",IFERROR(INDEX(catGrupo,MATCH(D3048&amp;"|"&amp;E3048,catClave,0))&amp;"",""))</f>
        <v/>
      </c>
      <c r="Z3048" s="52">
        <f>IF(P3048="","",WEEKDAY(B3048,2))</f>
        <v/>
      </c>
      <c r="AA3048" s="52">
        <f>IF(P3048="","",IF(AND(P3048="Gasto",X3048="Variable",D3048&lt;&gt;catTrading,S3048&gt;0,S3048&lt;=Umbral),1,0))</f>
        <v/>
      </c>
      <c r="AB3048" s="52">
        <f>IF(OR(P3048="",Q3048=""),"",IFERROR(IF(INDEX(ctaVinc,MATCH(Q3048,ctaNombre,0))&amp;""&lt;&gt;"",INDEX(ctaVinc,MATCH(Q3048,ctaNombre,0))&amp;"",Q3048),Q3048))</f>
        <v/>
      </c>
      <c r="AC3048" s="52">
        <f>IF(OR(K3048="",AND(P3048&lt;&gt;"Transferencia",P3048&lt;&gt;"Pago tarjeta")),"",IFERROR(IF(INDEX(ctaVinc,MATCH(K3048,ctaNombre,0))&amp;""&lt;&gt;"",INDEX(ctaVinc,MATCH(K3048,ctaNombre,0))&amp;"",K3048),K3048))</f>
        <v/>
      </c>
      <c r="AD3048" s="52">
        <f>IF(AB3048="","",IFERROR(INDEX(ctaTipo,MATCH(AB3048,ctaNombre,0))&amp;"",""))</f>
        <v/>
      </c>
      <c r="AE3048" s="52">
        <f>IF(AC3048="","",IFERROR(INDEX(ctaTipo,MATCH(AC3048,ctaNombre,0))&amp;"",""))</f>
        <v/>
      </c>
      <c r="AF3048" s="53">
        <f>IF(OR(P3048="",AB3048=""),"",IF(OR(P3048="Gasto",P3048="Transferencia",P3048="Pago tarjeta"),-1,1)*IF(IFERROR(INDEX(ctaMoneda,MATCH(AB3048,ctaNombre,0))&amp;"","DOP")="USD",T3048,S3048))</f>
        <v/>
      </c>
      <c r="AG3048" s="53">
        <f>IF(AC3048="","",IF(IFERROR(INDEX(ctaMoneda,MATCH(AC3048,ctaNombre,0))&amp;"","DOP")="USD",T3048,S3048))</f>
        <v/>
      </c>
      <c r="AH3048" s="53">
        <f>IF(P3048="","",IF(AND(AD3048&lt;&gt;"",COUNTIFS(tcTipo,AD3048,tcLiq,"Sí")&gt;0),IF(OR(P3048="Gasto",P3048="Transferencia",P3048="Pago tarjeta"),-1,1)*S3048,0)+IF(AND(AE3048&lt;&gt;"",COUNTIFS(tcTipo,AE3048,tcLiq,"Sí")&gt;0),S3048,0))</f>
        <v/>
      </c>
      <c r="AI3048" s="52">
        <f>IF(OR(L3048="",P3048=""),"",IF(COUNTIFS(L$6:L3048,L3048,P$6:P3048,"?*")=1,MAX(AI$5:AI3047)+1,""))</f>
        <v/>
      </c>
    </row>
    <row r="3049">
      <c r="B3049" s="47" t="n"/>
      <c r="C3049" s="48" t="n"/>
      <c r="D3049" s="48" t="n"/>
      <c r="E3049" s="48" t="n"/>
      <c r="F3049" s="48" t="n"/>
      <c r="G3049" s="49" t="n"/>
      <c r="H3049" s="48" t="n"/>
      <c r="I3049" s="50" t="n"/>
      <c r="J3049" s="48" t="n"/>
      <c r="K3049" s="48" t="n"/>
      <c r="L3049" s="48" t="n"/>
      <c r="M3049" s="48" t="n"/>
      <c r="N3049" s="48" t="n"/>
      <c r="O3049" s="51">
        <f>IF(AND(B3049="",G3049="",C3049="",D3049="",J3049=""),"",IF(B3049="","⚠ Falta fecha",IF(G3049="","⚠ Falta monto",IF(Q3049="","⚠ Falta cuenta",IF(ISNA(MATCH(Q3049,ctaNombre,0)),"⚠ Cuenta no registrada",IF(AND(OR(P3049="Gasto",P3049="Reembolso"),D3049=""),"⚠ Falta categoría",IF(AND(D3049&lt;&gt;"",E3049&lt;&gt;"",ISNA(MATCH(D3049&amp;"|"&amp;E3049,catClave,0))),"⚠ Subcategoría no corresponde",IF(AND(OR(P3049="Transferencia",P3049="Pago tarjeta"),K3049=""),"⚠ Falta cuenta destino",IF(AND(K3049&lt;&gt;"",P3049&lt;&gt;"Transferencia",P3049&lt;&gt;"Pago tarjeta"),"⚠ Destino solo aplica a transferencias",IF(AND(K3049&lt;&gt;"",K3049=Q3049),"⚠ Origen igual a destino",IF(AND(K3049&lt;&gt;"",ISNA(MATCH(K3049,ctaNombre,0))),"⚠ Destino no registrado",IF(AND(P3049="Pago tarjeta",AE3049&lt;&gt;"Tarjeta de crédito"),"⚠ El destino debe ser tarjeta de crédito",IF(AND(P3049="Gasto",E3049="Depósitos y retiros"),"⚠ Usa tipo Transferencia",IF(AND(P3049="Resultado trading",AD3049&lt;&gt;"Cuenta de trading"),"⚠ Usa una cuenta de trading",IF(AND(G3049&lt;=0,P3049&lt;&gt;"Ajuste",P3049&lt;&gt;"Resultado trading"),"⚠ El monto debe ser positivo","✓")))))))))))))))</f>
        <v/>
      </c>
      <c r="P3049" s="52">
        <f>IF(OR(B3049="",G3049=""),"",IF(C3049="","Gasto",C3049))</f>
        <v/>
      </c>
      <c r="Q3049" s="52">
        <f>IF(P3049="","",IF(J3049&lt;&gt;"",J3049,CuentaPred&amp;""))</f>
        <v/>
      </c>
      <c r="R3049" s="52">
        <f>IF(P3049="","",IF(ISNUMBER(I3049),I3049,TasaUSD))</f>
        <v/>
      </c>
      <c r="S3049" s="53">
        <f>IF(P3049="","",IF(H3049="USD",G3049*R3049,G3049))</f>
        <v/>
      </c>
      <c r="T3049" s="53">
        <f>IF(P3049="","",IF(H3049="USD",G3049,IF(R3049&gt;0,G3049/R3049,0)))</f>
        <v/>
      </c>
      <c r="U3049" s="53">
        <f>IF(P3049="","",IF(P3049="Gasto",S3049,IF(P3049="Reembolso",-S3049,0)))</f>
        <v/>
      </c>
      <c r="V3049" s="53">
        <f>IF(P3049="","",IF(P3049="Ingreso",S3049,0))</f>
        <v/>
      </c>
      <c r="W3049" s="53">
        <f>IF(P3049="","",IF(P3049="Resultado trading",S3049,0))</f>
        <v/>
      </c>
      <c r="X3049" s="52">
        <f>IF(OR(P3049="Gasto",P3049="Reembolso"),IF(M3049&lt;&gt;"",M3049,IFERROR(INDEX(catClasif,MATCH(D3049&amp;"|"&amp;E3049,catClave,0))&amp;"","Variable")),"")</f>
        <v/>
      </c>
      <c r="Y3049" s="52">
        <f>IF(P3049="","",IFERROR(INDEX(catGrupo,MATCH(D3049&amp;"|"&amp;E3049,catClave,0))&amp;"",""))</f>
        <v/>
      </c>
      <c r="Z3049" s="52">
        <f>IF(P3049="","",WEEKDAY(B3049,2))</f>
        <v/>
      </c>
      <c r="AA3049" s="52">
        <f>IF(P3049="","",IF(AND(P3049="Gasto",X3049="Variable",D3049&lt;&gt;catTrading,S3049&gt;0,S3049&lt;=Umbral),1,0))</f>
        <v/>
      </c>
      <c r="AB3049" s="52">
        <f>IF(OR(P3049="",Q3049=""),"",IFERROR(IF(INDEX(ctaVinc,MATCH(Q3049,ctaNombre,0))&amp;""&lt;&gt;"",INDEX(ctaVinc,MATCH(Q3049,ctaNombre,0))&amp;"",Q3049),Q3049))</f>
        <v/>
      </c>
      <c r="AC3049" s="52">
        <f>IF(OR(K3049="",AND(P3049&lt;&gt;"Transferencia",P3049&lt;&gt;"Pago tarjeta")),"",IFERROR(IF(INDEX(ctaVinc,MATCH(K3049,ctaNombre,0))&amp;""&lt;&gt;"",INDEX(ctaVinc,MATCH(K3049,ctaNombre,0))&amp;"",K3049),K3049))</f>
        <v/>
      </c>
      <c r="AD3049" s="52">
        <f>IF(AB3049="","",IFERROR(INDEX(ctaTipo,MATCH(AB3049,ctaNombre,0))&amp;"",""))</f>
        <v/>
      </c>
      <c r="AE3049" s="52">
        <f>IF(AC3049="","",IFERROR(INDEX(ctaTipo,MATCH(AC3049,ctaNombre,0))&amp;"",""))</f>
        <v/>
      </c>
      <c r="AF3049" s="53">
        <f>IF(OR(P3049="",AB3049=""),"",IF(OR(P3049="Gasto",P3049="Transferencia",P3049="Pago tarjeta"),-1,1)*IF(IFERROR(INDEX(ctaMoneda,MATCH(AB3049,ctaNombre,0))&amp;"","DOP")="USD",T3049,S3049))</f>
        <v/>
      </c>
      <c r="AG3049" s="53">
        <f>IF(AC3049="","",IF(IFERROR(INDEX(ctaMoneda,MATCH(AC3049,ctaNombre,0))&amp;"","DOP")="USD",T3049,S3049))</f>
        <v/>
      </c>
      <c r="AH3049" s="53">
        <f>IF(P3049="","",IF(AND(AD3049&lt;&gt;"",COUNTIFS(tcTipo,AD3049,tcLiq,"Sí")&gt;0),IF(OR(P3049="Gasto",P3049="Transferencia",P3049="Pago tarjeta"),-1,1)*S3049,0)+IF(AND(AE3049&lt;&gt;"",COUNTIFS(tcTipo,AE3049,tcLiq,"Sí")&gt;0),S3049,0))</f>
        <v/>
      </c>
      <c r="AI3049" s="52">
        <f>IF(OR(L3049="",P3049=""),"",IF(COUNTIFS(L$6:L3049,L3049,P$6:P3049,"?*")=1,MAX(AI$5:AI3048)+1,""))</f>
        <v/>
      </c>
    </row>
    <row r="3050">
      <c r="B3050" s="47" t="n"/>
      <c r="C3050" s="48" t="n"/>
      <c r="D3050" s="48" t="n"/>
      <c r="E3050" s="48" t="n"/>
      <c r="F3050" s="48" t="n"/>
      <c r="G3050" s="49" t="n"/>
      <c r="H3050" s="48" t="n"/>
      <c r="I3050" s="50" t="n"/>
      <c r="J3050" s="48" t="n"/>
      <c r="K3050" s="48" t="n"/>
      <c r="L3050" s="48" t="n"/>
      <c r="M3050" s="48" t="n"/>
      <c r="N3050" s="48" t="n"/>
      <c r="O3050" s="51">
        <f>IF(AND(B3050="",G3050="",C3050="",D3050="",J3050=""),"",IF(B3050="","⚠ Falta fecha",IF(G3050="","⚠ Falta monto",IF(Q3050="","⚠ Falta cuenta",IF(ISNA(MATCH(Q3050,ctaNombre,0)),"⚠ Cuenta no registrada",IF(AND(OR(P3050="Gasto",P3050="Reembolso"),D3050=""),"⚠ Falta categoría",IF(AND(D3050&lt;&gt;"",E3050&lt;&gt;"",ISNA(MATCH(D3050&amp;"|"&amp;E3050,catClave,0))),"⚠ Subcategoría no corresponde",IF(AND(OR(P3050="Transferencia",P3050="Pago tarjeta"),K3050=""),"⚠ Falta cuenta destino",IF(AND(K3050&lt;&gt;"",P3050&lt;&gt;"Transferencia",P3050&lt;&gt;"Pago tarjeta"),"⚠ Destino solo aplica a transferencias",IF(AND(K3050&lt;&gt;"",K3050=Q3050),"⚠ Origen igual a destino",IF(AND(K3050&lt;&gt;"",ISNA(MATCH(K3050,ctaNombre,0))),"⚠ Destino no registrado",IF(AND(P3050="Pago tarjeta",AE3050&lt;&gt;"Tarjeta de crédito"),"⚠ El destino debe ser tarjeta de crédito",IF(AND(P3050="Gasto",E3050="Depósitos y retiros"),"⚠ Usa tipo Transferencia",IF(AND(P3050="Resultado trading",AD3050&lt;&gt;"Cuenta de trading"),"⚠ Usa una cuenta de trading",IF(AND(G3050&lt;=0,P3050&lt;&gt;"Ajuste",P3050&lt;&gt;"Resultado trading"),"⚠ El monto debe ser positivo","✓")))))))))))))))</f>
        <v/>
      </c>
      <c r="P3050" s="52">
        <f>IF(OR(B3050="",G3050=""),"",IF(C3050="","Gasto",C3050))</f>
        <v/>
      </c>
      <c r="Q3050" s="52">
        <f>IF(P3050="","",IF(J3050&lt;&gt;"",J3050,CuentaPred&amp;""))</f>
        <v/>
      </c>
      <c r="R3050" s="52">
        <f>IF(P3050="","",IF(ISNUMBER(I3050),I3050,TasaUSD))</f>
        <v/>
      </c>
      <c r="S3050" s="53">
        <f>IF(P3050="","",IF(H3050="USD",G3050*R3050,G3050))</f>
        <v/>
      </c>
      <c r="T3050" s="53">
        <f>IF(P3050="","",IF(H3050="USD",G3050,IF(R3050&gt;0,G3050/R3050,0)))</f>
        <v/>
      </c>
      <c r="U3050" s="53">
        <f>IF(P3050="","",IF(P3050="Gasto",S3050,IF(P3050="Reembolso",-S3050,0)))</f>
        <v/>
      </c>
      <c r="V3050" s="53">
        <f>IF(P3050="","",IF(P3050="Ingreso",S3050,0))</f>
        <v/>
      </c>
      <c r="W3050" s="53">
        <f>IF(P3050="","",IF(P3050="Resultado trading",S3050,0))</f>
        <v/>
      </c>
      <c r="X3050" s="52">
        <f>IF(OR(P3050="Gasto",P3050="Reembolso"),IF(M3050&lt;&gt;"",M3050,IFERROR(INDEX(catClasif,MATCH(D3050&amp;"|"&amp;E3050,catClave,0))&amp;"","Variable")),"")</f>
        <v/>
      </c>
      <c r="Y3050" s="52">
        <f>IF(P3050="","",IFERROR(INDEX(catGrupo,MATCH(D3050&amp;"|"&amp;E3050,catClave,0))&amp;"",""))</f>
        <v/>
      </c>
      <c r="Z3050" s="52">
        <f>IF(P3050="","",WEEKDAY(B3050,2))</f>
        <v/>
      </c>
      <c r="AA3050" s="52">
        <f>IF(P3050="","",IF(AND(P3050="Gasto",X3050="Variable",D3050&lt;&gt;catTrading,S3050&gt;0,S3050&lt;=Umbral),1,0))</f>
        <v/>
      </c>
      <c r="AB3050" s="52">
        <f>IF(OR(P3050="",Q3050=""),"",IFERROR(IF(INDEX(ctaVinc,MATCH(Q3050,ctaNombre,0))&amp;""&lt;&gt;"",INDEX(ctaVinc,MATCH(Q3050,ctaNombre,0))&amp;"",Q3050),Q3050))</f>
        <v/>
      </c>
      <c r="AC3050" s="52">
        <f>IF(OR(K3050="",AND(P3050&lt;&gt;"Transferencia",P3050&lt;&gt;"Pago tarjeta")),"",IFERROR(IF(INDEX(ctaVinc,MATCH(K3050,ctaNombre,0))&amp;""&lt;&gt;"",INDEX(ctaVinc,MATCH(K3050,ctaNombre,0))&amp;"",K3050),K3050))</f>
        <v/>
      </c>
      <c r="AD3050" s="52">
        <f>IF(AB3050="","",IFERROR(INDEX(ctaTipo,MATCH(AB3050,ctaNombre,0))&amp;"",""))</f>
        <v/>
      </c>
      <c r="AE3050" s="52">
        <f>IF(AC3050="","",IFERROR(INDEX(ctaTipo,MATCH(AC3050,ctaNombre,0))&amp;"",""))</f>
        <v/>
      </c>
      <c r="AF3050" s="53">
        <f>IF(OR(P3050="",AB3050=""),"",IF(OR(P3050="Gasto",P3050="Transferencia",P3050="Pago tarjeta"),-1,1)*IF(IFERROR(INDEX(ctaMoneda,MATCH(AB3050,ctaNombre,0))&amp;"","DOP")="USD",T3050,S3050))</f>
        <v/>
      </c>
      <c r="AG3050" s="53">
        <f>IF(AC3050="","",IF(IFERROR(INDEX(ctaMoneda,MATCH(AC3050,ctaNombre,0))&amp;"","DOP")="USD",T3050,S3050))</f>
        <v/>
      </c>
      <c r="AH3050" s="53">
        <f>IF(P3050="","",IF(AND(AD3050&lt;&gt;"",COUNTIFS(tcTipo,AD3050,tcLiq,"Sí")&gt;0),IF(OR(P3050="Gasto",P3050="Transferencia",P3050="Pago tarjeta"),-1,1)*S3050,0)+IF(AND(AE3050&lt;&gt;"",COUNTIFS(tcTipo,AE3050,tcLiq,"Sí")&gt;0),S3050,0))</f>
        <v/>
      </c>
      <c r="AI3050" s="52">
        <f>IF(OR(L3050="",P3050=""),"",IF(COUNTIFS(L$6:L3050,L3050,P$6:P3050,"?*")=1,MAX(AI$5:AI3049)+1,""))</f>
        <v/>
      </c>
    </row>
    <row r="3051">
      <c r="B3051" s="47" t="n"/>
      <c r="C3051" s="48" t="n"/>
      <c r="D3051" s="48" t="n"/>
      <c r="E3051" s="48" t="n"/>
      <c r="F3051" s="48" t="n"/>
      <c r="G3051" s="49" t="n"/>
      <c r="H3051" s="48" t="n"/>
      <c r="I3051" s="50" t="n"/>
      <c r="J3051" s="48" t="n"/>
      <c r="K3051" s="48" t="n"/>
      <c r="L3051" s="48" t="n"/>
      <c r="M3051" s="48" t="n"/>
      <c r="N3051" s="48" t="n"/>
      <c r="O3051" s="51">
        <f>IF(AND(B3051="",G3051="",C3051="",D3051="",J3051=""),"",IF(B3051="","⚠ Falta fecha",IF(G3051="","⚠ Falta monto",IF(Q3051="","⚠ Falta cuenta",IF(ISNA(MATCH(Q3051,ctaNombre,0)),"⚠ Cuenta no registrada",IF(AND(OR(P3051="Gasto",P3051="Reembolso"),D3051=""),"⚠ Falta categoría",IF(AND(D3051&lt;&gt;"",E3051&lt;&gt;"",ISNA(MATCH(D3051&amp;"|"&amp;E3051,catClave,0))),"⚠ Subcategoría no corresponde",IF(AND(OR(P3051="Transferencia",P3051="Pago tarjeta"),K3051=""),"⚠ Falta cuenta destino",IF(AND(K3051&lt;&gt;"",P3051&lt;&gt;"Transferencia",P3051&lt;&gt;"Pago tarjeta"),"⚠ Destino solo aplica a transferencias",IF(AND(K3051&lt;&gt;"",K3051=Q3051),"⚠ Origen igual a destino",IF(AND(K3051&lt;&gt;"",ISNA(MATCH(K3051,ctaNombre,0))),"⚠ Destino no registrado",IF(AND(P3051="Pago tarjeta",AE3051&lt;&gt;"Tarjeta de crédito"),"⚠ El destino debe ser tarjeta de crédito",IF(AND(P3051="Gasto",E3051="Depósitos y retiros"),"⚠ Usa tipo Transferencia",IF(AND(P3051="Resultado trading",AD3051&lt;&gt;"Cuenta de trading"),"⚠ Usa una cuenta de trading",IF(AND(G3051&lt;=0,P3051&lt;&gt;"Ajuste",P3051&lt;&gt;"Resultado trading"),"⚠ El monto debe ser positivo","✓")))))))))))))))</f>
        <v/>
      </c>
      <c r="P3051" s="52">
        <f>IF(OR(B3051="",G3051=""),"",IF(C3051="","Gasto",C3051))</f>
        <v/>
      </c>
      <c r="Q3051" s="52">
        <f>IF(P3051="","",IF(J3051&lt;&gt;"",J3051,CuentaPred&amp;""))</f>
        <v/>
      </c>
      <c r="R3051" s="52">
        <f>IF(P3051="","",IF(ISNUMBER(I3051),I3051,TasaUSD))</f>
        <v/>
      </c>
      <c r="S3051" s="53">
        <f>IF(P3051="","",IF(H3051="USD",G3051*R3051,G3051))</f>
        <v/>
      </c>
      <c r="T3051" s="53">
        <f>IF(P3051="","",IF(H3051="USD",G3051,IF(R3051&gt;0,G3051/R3051,0)))</f>
        <v/>
      </c>
      <c r="U3051" s="53">
        <f>IF(P3051="","",IF(P3051="Gasto",S3051,IF(P3051="Reembolso",-S3051,0)))</f>
        <v/>
      </c>
      <c r="V3051" s="53">
        <f>IF(P3051="","",IF(P3051="Ingreso",S3051,0))</f>
        <v/>
      </c>
      <c r="W3051" s="53">
        <f>IF(P3051="","",IF(P3051="Resultado trading",S3051,0))</f>
        <v/>
      </c>
      <c r="X3051" s="52">
        <f>IF(OR(P3051="Gasto",P3051="Reembolso"),IF(M3051&lt;&gt;"",M3051,IFERROR(INDEX(catClasif,MATCH(D3051&amp;"|"&amp;E3051,catClave,0))&amp;"","Variable")),"")</f>
        <v/>
      </c>
      <c r="Y3051" s="52">
        <f>IF(P3051="","",IFERROR(INDEX(catGrupo,MATCH(D3051&amp;"|"&amp;E3051,catClave,0))&amp;"",""))</f>
        <v/>
      </c>
      <c r="Z3051" s="52">
        <f>IF(P3051="","",WEEKDAY(B3051,2))</f>
        <v/>
      </c>
      <c r="AA3051" s="52">
        <f>IF(P3051="","",IF(AND(P3051="Gasto",X3051="Variable",D3051&lt;&gt;catTrading,S3051&gt;0,S3051&lt;=Umbral),1,0))</f>
        <v/>
      </c>
      <c r="AB3051" s="52">
        <f>IF(OR(P3051="",Q3051=""),"",IFERROR(IF(INDEX(ctaVinc,MATCH(Q3051,ctaNombre,0))&amp;""&lt;&gt;"",INDEX(ctaVinc,MATCH(Q3051,ctaNombre,0))&amp;"",Q3051),Q3051))</f>
        <v/>
      </c>
      <c r="AC3051" s="52">
        <f>IF(OR(K3051="",AND(P3051&lt;&gt;"Transferencia",P3051&lt;&gt;"Pago tarjeta")),"",IFERROR(IF(INDEX(ctaVinc,MATCH(K3051,ctaNombre,0))&amp;""&lt;&gt;"",INDEX(ctaVinc,MATCH(K3051,ctaNombre,0))&amp;"",K3051),K3051))</f>
        <v/>
      </c>
      <c r="AD3051" s="52">
        <f>IF(AB3051="","",IFERROR(INDEX(ctaTipo,MATCH(AB3051,ctaNombre,0))&amp;"",""))</f>
        <v/>
      </c>
      <c r="AE3051" s="52">
        <f>IF(AC3051="","",IFERROR(INDEX(ctaTipo,MATCH(AC3051,ctaNombre,0))&amp;"",""))</f>
        <v/>
      </c>
      <c r="AF3051" s="53">
        <f>IF(OR(P3051="",AB3051=""),"",IF(OR(P3051="Gasto",P3051="Transferencia",P3051="Pago tarjeta"),-1,1)*IF(IFERROR(INDEX(ctaMoneda,MATCH(AB3051,ctaNombre,0))&amp;"","DOP")="USD",T3051,S3051))</f>
        <v/>
      </c>
      <c r="AG3051" s="53">
        <f>IF(AC3051="","",IF(IFERROR(INDEX(ctaMoneda,MATCH(AC3051,ctaNombre,0))&amp;"","DOP")="USD",T3051,S3051))</f>
        <v/>
      </c>
      <c r="AH3051" s="53">
        <f>IF(P3051="","",IF(AND(AD3051&lt;&gt;"",COUNTIFS(tcTipo,AD3051,tcLiq,"Sí")&gt;0),IF(OR(P3051="Gasto",P3051="Transferencia",P3051="Pago tarjeta"),-1,1)*S3051,0)+IF(AND(AE3051&lt;&gt;"",COUNTIFS(tcTipo,AE3051,tcLiq,"Sí")&gt;0),S3051,0))</f>
        <v/>
      </c>
      <c r="AI3051" s="52">
        <f>IF(OR(L3051="",P3051=""),"",IF(COUNTIFS(L$6:L3051,L3051,P$6:P3051,"?*")=1,MAX(AI$5:AI3050)+1,""))</f>
        <v/>
      </c>
    </row>
    <row r="3052">
      <c r="B3052" s="47" t="n"/>
      <c r="C3052" s="48" t="n"/>
      <c r="D3052" s="48" t="n"/>
      <c r="E3052" s="48" t="n"/>
      <c r="F3052" s="48" t="n"/>
      <c r="G3052" s="49" t="n"/>
      <c r="H3052" s="48" t="n"/>
      <c r="I3052" s="50" t="n"/>
      <c r="J3052" s="48" t="n"/>
      <c r="K3052" s="48" t="n"/>
      <c r="L3052" s="48" t="n"/>
      <c r="M3052" s="48" t="n"/>
      <c r="N3052" s="48" t="n"/>
      <c r="O3052" s="51">
        <f>IF(AND(B3052="",G3052="",C3052="",D3052="",J3052=""),"",IF(B3052="","⚠ Falta fecha",IF(G3052="","⚠ Falta monto",IF(Q3052="","⚠ Falta cuenta",IF(ISNA(MATCH(Q3052,ctaNombre,0)),"⚠ Cuenta no registrada",IF(AND(OR(P3052="Gasto",P3052="Reembolso"),D3052=""),"⚠ Falta categoría",IF(AND(D3052&lt;&gt;"",E3052&lt;&gt;"",ISNA(MATCH(D3052&amp;"|"&amp;E3052,catClave,0))),"⚠ Subcategoría no corresponde",IF(AND(OR(P3052="Transferencia",P3052="Pago tarjeta"),K3052=""),"⚠ Falta cuenta destino",IF(AND(K3052&lt;&gt;"",P3052&lt;&gt;"Transferencia",P3052&lt;&gt;"Pago tarjeta"),"⚠ Destino solo aplica a transferencias",IF(AND(K3052&lt;&gt;"",K3052=Q3052),"⚠ Origen igual a destino",IF(AND(K3052&lt;&gt;"",ISNA(MATCH(K3052,ctaNombre,0))),"⚠ Destino no registrado",IF(AND(P3052="Pago tarjeta",AE3052&lt;&gt;"Tarjeta de crédito"),"⚠ El destino debe ser tarjeta de crédito",IF(AND(P3052="Gasto",E3052="Depósitos y retiros"),"⚠ Usa tipo Transferencia",IF(AND(P3052="Resultado trading",AD3052&lt;&gt;"Cuenta de trading"),"⚠ Usa una cuenta de trading",IF(AND(G3052&lt;=0,P3052&lt;&gt;"Ajuste",P3052&lt;&gt;"Resultado trading"),"⚠ El monto debe ser positivo","✓")))))))))))))))</f>
        <v/>
      </c>
      <c r="P3052" s="52">
        <f>IF(OR(B3052="",G3052=""),"",IF(C3052="","Gasto",C3052))</f>
        <v/>
      </c>
      <c r="Q3052" s="52">
        <f>IF(P3052="","",IF(J3052&lt;&gt;"",J3052,CuentaPred&amp;""))</f>
        <v/>
      </c>
      <c r="R3052" s="52">
        <f>IF(P3052="","",IF(ISNUMBER(I3052),I3052,TasaUSD))</f>
        <v/>
      </c>
      <c r="S3052" s="53">
        <f>IF(P3052="","",IF(H3052="USD",G3052*R3052,G3052))</f>
        <v/>
      </c>
      <c r="T3052" s="53">
        <f>IF(P3052="","",IF(H3052="USD",G3052,IF(R3052&gt;0,G3052/R3052,0)))</f>
        <v/>
      </c>
      <c r="U3052" s="53">
        <f>IF(P3052="","",IF(P3052="Gasto",S3052,IF(P3052="Reembolso",-S3052,0)))</f>
        <v/>
      </c>
      <c r="V3052" s="53">
        <f>IF(P3052="","",IF(P3052="Ingreso",S3052,0))</f>
        <v/>
      </c>
      <c r="W3052" s="53">
        <f>IF(P3052="","",IF(P3052="Resultado trading",S3052,0))</f>
        <v/>
      </c>
      <c r="X3052" s="52">
        <f>IF(OR(P3052="Gasto",P3052="Reembolso"),IF(M3052&lt;&gt;"",M3052,IFERROR(INDEX(catClasif,MATCH(D3052&amp;"|"&amp;E3052,catClave,0))&amp;"","Variable")),"")</f>
        <v/>
      </c>
      <c r="Y3052" s="52">
        <f>IF(P3052="","",IFERROR(INDEX(catGrupo,MATCH(D3052&amp;"|"&amp;E3052,catClave,0))&amp;"",""))</f>
        <v/>
      </c>
      <c r="Z3052" s="52">
        <f>IF(P3052="","",WEEKDAY(B3052,2))</f>
        <v/>
      </c>
      <c r="AA3052" s="52">
        <f>IF(P3052="","",IF(AND(P3052="Gasto",X3052="Variable",D3052&lt;&gt;catTrading,S3052&gt;0,S3052&lt;=Umbral),1,0))</f>
        <v/>
      </c>
      <c r="AB3052" s="52">
        <f>IF(OR(P3052="",Q3052=""),"",IFERROR(IF(INDEX(ctaVinc,MATCH(Q3052,ctaNombre,0))&amp;""&lt;&gt;"",INDEX(ctaVinc,MATCH(Q3052,ctaNombre,0))&amp;"",Q3052),Q3052))</f>
        <v/>
      </c>
      <c r="AC3052" s="52">
        <f>IF(OR(K3052="",AND(P3052&lt;&gt;"Transferencia",P3052&lt;&gt;"Pago tarjeta")),"",IFERROR(IF(INDEX(ctaVinc,MATCH(K3052,ctaNombre,0))&amp;""&lt;&gt;"",INDEX(ctaVinc,MATCH(K3052,ctaNombre,0))&amp;"",K3052),K3052))</f>
        <v/>
      </c>
      <c r="AD3052" s="52">
        <f>IF(AB3052="","",IFERROR(INDEX(ctaTipo,MATCH(AB3052,ctaNombre,0))&amp;"",""))</f>
        <v/>
      </c>
      <c r="AE3052" s="52">
        <f>IF(AC3052="","",IFERROR(INDEX(ctaTipo,MATCH(AC3052,ctaNombre,0))&amp;"",""))</f>
        <v/>
      </c>
      <c r="AF3052" s="53">
        <f>IF(OR(P3052="",AB3052=""),"",IF(OR(P3052="Gasto",P3052="Transferencia",P3052="Pago tarjeta"),-1,1)*IF(IFERROR(INDEX(ctaMoneda,MATCH(AB3052,ctaNombre,0))&amp;"","DOP")="USD",T3052,S3052))</f>
        <v/>
      </c>
      <c r="AG3052" s="53">
        <f>IF(AC3052="","",IF(IFERROR(INDEX(ctaMoneda,MATCH(AC3052,ctaNombre,0))&amp;"","DOP")="USD",T3052,S3052))</f>
        <v/>
      </c>
      <c r="AH3052" s="53">
        <f>IF(P3052="","",IF(AND(AD3052&lt;&gt;"",COUNTIFS(tcTipo,AD3052,tcLiq,"Sí")&gt;0),IF(OR(P3052="Gasto",P3052="Transferencia",P3052="Pago tarjeta"),-1,1)*S3052,0)+IF(AND(AE3052&lt;&gt;"",COUNTIFS(tcTipo,AE3052,tcLiq,"Sí")&gt;0),S3052,0))</f>
        <v/>
      </c>
      <c r="AI3052" s="52">
        <f>IF(OR(L3052="",P3052=""),"",IF(COUNTIFS(L$6:L3052,L3052,P$6:P3052,"?*")=1,MAX(AI$5:AI3051)+1,""))</f>
        <v/>
      </c>
    </row>
    <row r="3053">
      <c r="B3053" s="47" t="n"/>
      <c r="C3053" s="48" t="n"/>
      <c r="D3053" s="48" t="n"/>
      <c r="E3053" s="48" t="n"/>
      <c r="F3053" s="48" t="n"/>
      <c r="G3053" s="49" t="n"/>
      <c r="H3053" s="48" t="n"/>
      <c r="I3053" s="50" t="n"/>
      <c r="J3053" s="48" t="n"/>
      <c r="K3053" s="48" t="n"/>
      <c r="L3053" s="48" t="n"/>
      <c r="M3053" s="48" t="n"/>
      <c r="N3053" s="48" t="n"/>
      <c r="O3053" s="51">
        <f>IF(AND(B3053="",G3053="",C3053="",D3053="",J3053=""),"",IF(B3053="","⚠ Falta fecha",IF(G3053="","⚠ Falta monto",IF(Q3053="","⚠ Falta cuenta",IF(ISNA(MATCH(Q3053,ctaNombre,0)),"⚠ Cuenta no registrada",IF(AND(OR(P3053="Gasto",P3053="Reembolso"),D3053=""),"⚠ Falta categoría",IF(AND(D3053&lt;&gt;"",E3053&lt;&gt;"",ISNA(MATCH(D3053&amp;"|"&amp;E3053,catClave,0))),"⚠ Subcategoría no corresponde",IF(AND(OR(P3053="Transferencia",P3053="Pago tarjeta"),K3053=""),"⚠ Falta cuenta destino",IF(AND(K3053&lt;&gt;"",P3053&lt;&gt;"Transferencia",P3053&lt;&gt;"Pago tarjeta"),"⚠ Destino solo aplica a transferencias",IF(AND(K3053&lt;&gt;"",K3053=Q3053),"⚠ Origen igual a destino",IF(AND(K3053&lt;&gt;"",ISNA(MATCH(K3053,ctaNombre,0))),"⚠ Destino no registrado",IF(AND(P3053="Pago tarjeta",AE3053&lt;&gt;"Tarjeta de crédito"),"⚠ El destino debe ser tarjeta de crédito",IF(AND(P3053="Gasto",E3053="Depósitos y retiros"),"⚠ Usa tipo Transferencia",IF(AND(P3053="Resultado trading",AD3053&lt;&gt;"Cuenta de trading"),"⚠ Usa una cuenta de trading",IF(AND(G3053&lt;=0,P3053&lt;&gt;"Ajuste",P3053&lt;&gt;"Resultado trading"),"⚠ El monto debe ser positivo","✓")))))))))))))))</f>
        <v/>
      </c>
      <c r="P3053" s="52">
        <f>IF(OR(B3053="",G3053=""),"",IF(C3053="","Gasto",C3053))</f>
        <v/>
      </c>
      <c r="Q3053" s="52">
        <f>IF(P3053="","",IF(J3053&lt;&gt;"",J3053,CuentaPred&amp;""))</f>
        <v/>
      </c>
      <c r="R3053" s="52">
        <f>IF(P3053="","",IF(ISNUMBER(I3053),I3053,TasaUSD))</f>
        <v/>
      </c>
      <c r="S3053" s="53">
        <f>IF(P3053="","",IF(H3053="USD",G3053*R3053,G3053))</f>
        <v/>
      </c>
      <c r="T3053" s="53">
        <f>IF(P3053="","",IF(H3053="USD",G3053,IF(R3053&gt;0,G3053/R3053,0)))</f>
        <v/>
      </c>
      <c r="U3053" s="53">
        <f>IF(P3053="","",IF(P3053="Gasto",S3053,IF(P3053="Reembolso",-S3053,0)))</f>
        <v/>
      </c>
      <c r="V3053" s="53">
        <f>IF(P3053="","",IF(P3053="Ingreso",S3053,0))</f>
        <v/>
      </c>
      <c r="W3053" s="53">
        <f>IF(P3053="","",IF(P3053="Resultado trading",S3053,0))</f>
        <v/>
      </c>
      <c r="X3053" s="52">
        <f>IF(OR(P3053="Gasto",P3053="Reembolso"),IF(M3053&lt;&gt;"",M3053,IFERROR(INDEX(catClasif,MATCH(D3053&amp;"|"&amp;E3053,catClave,0))&amp;"","Variable")),"")</f>
        <v/>
      </c>
      <c r="Y3053" s="52">
        <f>IF(P3053="","",IFERROR(INDEX(catGrupo,MATCH(D3053&amp;"|"&amp;E3053,catClave,0))&amp;"",""))</f>
        <v/>
      </c>
      <c r="Z3053" s="52">
        <f>IF(P3053="","",WEEKDAY(B3053,2))</f>
        <v/>
      </c>
      <c r="AA3053" s="52">
        <f>IF(P3053="","",IF(AND(P3053="Gasto",X3053="Variable",D3053&lt;&gt;catTrading,S3053&gt;0,S3053&lt;=Umbral),1,0))</f>
        <v/>
      </c>
      <c r="AB3053" s="52">
        <f>IF(OR(P3053="",Q3053=""),"",IFERROR(IF(INDEX(ctaVinc,MATCH(Q3053,ctaNombre,0))&amp;""&lt;&gt;"",INDEX(ctaVinc,MATCH(Q3053,ctaNombre,0))&amp;"",Q3053),Q3053))</f>
        <v/>
      </c>
      <c r="AC3053" s="52">
        <f>IF(OR(K3053="",AND(P3053&lt;&gt;"Transferencia",P3053&lt;&gt;"Pago tarjeta")),"",IFERROR(IF(INDEX(ctaVinc,MATCH(K3053,ctaNombre,0))&amp;""&lt;&gt;"",INDEX(ctaVinc,MATCH(K3053,ctaNombre,0))&amp;"",K3053),K3053))</f>
        <v/>
      </c>
      <c r="AD3053" s="52">
        <f>IF(AB3053="","",IFERROR(INDEX(ctaTipo,MATCH(AB3053,ctaNombre,0))&amp;"",""))</f>
        <v/>
      </c>
      <c r="AE3053" s="52">
        <f>IF(AC3053="","",IFERROR(INDEX(ctaTipo,MATCH(AC3053,ctaNombre,0))&amp;"",""))</f>
        <v/>
      </c>
      <c r="AF3053" s="53">
        <f>IF(OR(P3053="",AB3053=""),"",IF(OR(P3053="Gasto",P3053="Transferencia",P3053="Pago tarjeta"),-1,1)*IF(IFERROR(INDEX(ctaMoneda,MATCH(AB3053,ctaNombre,0))&amp;"","DOP")="USD",T3053,S3053))</f>
        <v/>
      </c>
      <c r="AG3053" s="53">
        <f>IF(AC3053="","",IF(IFERROR(INDEX(ctaMoneda,MATCH(AC3053,ctaNombre,0))&amp;"","DOP")="USD",T3053,S3053))</f>
        <v/>
      </c>
      <c r="AH3053" s="53">
        <f>IF(P3053="","",IF(AND(AD3053&lt;&gt;"",COUNTIFS(tcTipo,AD3053,tcLiq,"Sí")&gt;0),IF(OR(P3053="Gasto",P3053="Transferencia",P3053="Pago tarjeta"),-1,1)*S3053,0)+IF(AND(AE3053&lt;&gt;"",COUNTIFS(tcTipo,AE3053,tcLiq,"Sí")&gt;0),S3053,0))</f>
        <v/>
      </c>
      <c r="AI3053" s="52">
        <f>IF(OR(L3053="",P3053=""),"",IF(COUNTIFS(L$6:L3053,L3053,P$6:P3053,"?*")=1,MAX(AI$5:AI3052)+1,""))</f>
        <v/>
      </c>
    </row>
    <row r="3054">
      <c r="B3054" s="47" t="n"/>
      <c r="C3054" s="48" t="n"/>
      <c r="D3054" s="48" t="n"/>
      <c r="E3054" s="48" t="n"/>
      <c r="F3054" s="48" t="n"/>
      <c r="G3054" s="49" t="n"/>
      <c r="H3054" s="48" t="n"/>
      <c r="I3054" s="50" t="n"/>
      <c r="J3054" s="48" t="n"/>
      <c r="K3054" s="48" t="n"/>
      <c r="L3054" s="48" t="n"/>
      <c r="M3054" s="48" t="n"/>
      <c r="N3054" s="48" t="n"/>
      <c r="O3054" s="51">
        <f>IF(AND(B3054="",G3054="",C3054="",D3054="",J3054=""),"",IF(B3054="","⚠ Falta fecha",IF(G3054="","⚠ Falta monto",IF(Q3054="","⚠ Falta cuenta",IF(ISNA(MATCH(Q3054,ctaNombre,0)),"⚠ Cuenta no registrada",IF(AND(OR(P3054="Gasto",P3054="Reembolso"),D3054=""),"⚠ Falta categoría",IF(AND(D3054&lt;&gt;"",E3054&lt;&gt;"",ISNA(MATCH(D3054&amp;"|"&amp;E3054,catClave,0))),"⚠ Subcategoría no corresponde",IF(AND(OR(P3054="Transferencia",P3054="Pago tarjeta"),K3054=""),"⚠ Falta cuenta destino",IF(AND(K3054&lt;&gt;"",P3054&lt;&gt;"Transferencia",P3054&lt;&gt;"Pago tarjeta"),"⚠ Destino solo aplica a transferencias",IF(AND(K3054&lt;&gt;"",K3054=Q3054),"⚠ Origen igual a destino",IF(AND(K3054&lt;&gt;"",ISNA(MATCH(K3054,ctaNombre,0))),"⚠ Destino no registrado",IF(AND(P3054="Pago tarjeta",AE3054&lt;&gt;"Tarjeta de crédito"),"⚠ El destino debe ser tarjeta de crédito",IF(AND(P3054="Gasto",E3054="Depósitos y retiros"),"⚠ Usa tipo Transferencia",IF(AND(P3054="Resultado trading",AD3054&lt;&gt;"Cuenta de trading"),"⚠ Usa una cuenta de trading",IF(AND(G3054&lt;=0,P3054&lt;&gt;"Ajuste",P3054&lt;&gt;"Resultado trading"),"⚠ El monto debe ser positivo","✓")))))))))))))))</f>
        <v/>
      </c>
      <c r="P3054" s="52">
        <f>IF(OR(B3054="",G3054=""),"",IF(C3054="","Gasto",C3054))</f>
        <v/>
      </c>
      <c r="Q3054" s="52">
        <f>IF(P3054="","",IF(J3054&lt;&gt;"",J3054,CuentaPred&amp;""))</f>
        <v/>
      </c>
      <c r="R3054" s="52">
        <f>IF(P3054="","",IF(ISNUMBER(I3054),I3054,TasaUSD))</f>
        <v/>
      </c>
      <c r="S3054" s="53">
        <f>IF(P3054="","",IF(H3054="USD",G3054*R3054,G3054))</f>
        <v/>
      </c>
      <c r="T3054" s="53">
        <f>IF(P3054="","",IF(H3054="USD",G3054,IF(R3054&gt;0,G3054/R3054,0)))</f>
        <v/>
      </c>
      <c r="U3054" s="53">
        <f>IF(P3054="","",IF(P3054="Gasto",S3054,IF(P3054="Reembolso",-S3054,0)))</f>
        <v/>
      </c>
      <c r="V3054" s="53">
        <f>IF(P3054="","",IF(P3054="Ingreso",S3054,0))</f>
        <v/>
      </c>
      <c r="W3054" s="53">
        <f>IF(P3054="","",IF(P3054="Resultado trading",S3054,0))</f>
        <v/>
      </c>
      <c r="X3054" s="52">
        <f>IF(OR(P3054="Gasto",P3054="Reembolso"),IF(M3054&lt;&gt;"",M3054,IFERROR(INDEX(catClasif,MATCH(D3054&amp;"|"&amp;E3054,catClave,0))&amp;"","Variable")),"")</f>
        <v/>
      </c>
      <c r="Y3054" s="52">
        <f>IF(P3054="","",IFERROR(INDEX(catGrupo,MATCH(D3054&amp;"|"&amp;E3054,catClave,0))&amp;"",""))</f>
        <v/>
      </c>
      <c r="Z3054" s="52">
        <f>IF(P3054="","",WEEKDAY(B3054,2))</f>
        <v/>
      </c>
      <c r="AA3054" s="52">
        <f>IF(P3054="","",IF(AND(P3054="Gasto",X3054="Variable",D3054&lt;&gt;catTrading,S3054&gt;0,S3054&lt;=Umbral),1,0))</f>
        <v/>
      </c>
      <c r="AB3054" s="52">
        <f>IF(OR(P3054="",Q3054=""),"",IFERROR(IF(INDEX(ctaVinc,MATCH(Q3054,ctaNombre,0))&amp;""&lt;&gt;"",INDEX(ctaVinc,MATCH(Q3054,ctaNombre,0))&amp;"",Q3054),Q3054))</f>
        <v/>
      </c>
      <c r="AC3054" s="52">
        <f>IF(OR(K3054="",AND(P3054&lt;&gt;"Transferencia",P3054&lt;&gt;"Pago tarjeta")),"",IFERROR(IF(INDEX(ctaVinc,MATCH(K3054,ctaNombre,0))&amp;""&lt;&gt;"",INDEX(ctaVinc,MATCH(K3054,ctaNombre,0))&amp;"",K3054),K3054))</f>
        <v/>
      </c>
      <c r="AD3054" s="52">
        <f>IF(AB3054="","",IFERROR(INDEX(ctaTipo,MATCH(AB3054,ctaNombre,0))&amp;"",""))</f>
        <v/>
      </c>
      <c r="AE3054" s="52">
        <f>IF(AC3054="","",IFERROR(INDEX(ctaTipo,MATCH(AC3054,ctaNombre,0))&amp;"",""))</f>
        <v/>
      </c>
      <c r="AF3054" s="53">
        <f>IF(OR(P3054="",AB3054=""),"",IF(OR(P3054="Gasto",P3054="Transferencia",P3054="Pago tarjeta"),-1,1)*IF(IFERROR(INDEX(ctaMoneda,MATCH(AB3054,ctaNombre,0))&amp;"","DOP")="USD",T3054,S3054))</f>
        <v/>
      </c>
      <c r="AG3054" s="53">
        <f>IF(AC3054="","",IF(IFERROR(INDEX(ctaMoneda,MATCH(AC3054,ctaNombre,0))&amp;"","DOP")="USD",T3054,S3054))</f>
        <v/>
      </c>
      <c r="AH3054" s="53">
        <f>IF(P3054="","",IF(AND(AD3054&lt;&gt;"",COUNTIFS(tcTipo,AD3054,tcLiq,"Sí")&gt;0),IF(OR(P3054="Gasto",P3054="Transferencia",P3054="Pago tarjeta"),-1,1)*S3054,0)+IF(AND(AE3054&lt;&gt;"",COUNTIFS(tcTipo,AE3054,tcLiq,"Sí")&gt;0),S3054,0))</f>
        <v/>
      </c>
      <c r="AI3054" s="52">
        <f>IF(OR(L3054="",P3054=""),"",IF(COUNTIFS(L$6:L3054,L3054,P$6:P3054,"?*")=1,MAX(AI$5:AI3053)+1,""))</f>
        <v/>
      </c>
    </row>
    <row r="3055">
      <c r="B3055" s="47" t="n"/>
      <c r="C3055" s="48" t="n"/>
      <c r="D3055" s="48" t="n"/>
      <c r="E3055" s="48" t="n"/>
      <c r="F3055" s="48" t="n"/>
      <c r="G3055" s="49" t="n"/>
      <c r="H3055" s="48" t="n"/>
      <c r="I3055" s="50" t="n"/>
      <c r="J3055" s="48" t="n"/>
      <c r="K3055" s="48" t="n"/>
      <c r="L3055" s="48" t="n"/>
      <c r="M3055" s="48" t="n"/>
      <c r="N3055" s="48" t="n"/>
      <c r="O3055" s="51">
        <f>IF(AND(B3055="",G3055="",C3055="",D3055="",J3055=""),"",IF(B3055="","⚠ Falta fecha",IF(G3055="","⚠ Falta monto",IF(Q3055="","⚠ Falta cuenta",IF(ISNA(MATCH(Q3055,ctaNombre,0)),"⚠ Cuenta no registrada",IF(AND(OR(P3055="Gasto",P3055="Reembolso"),D3055=""),"⚠ Falta categoría",IF(AND(D3055&lt;&gt;"",E3055&lt;&gt;"",ISNA(MATCH(D3055&amp;"|"&amp;E3055,catClave,0))),"⚠ Subcategoría no corresponde",IF(AND(OR(P3055="Transferencia",P3055="Pago tarjeta"),K3055=""),"⚠ Falta cuenta destino",IF(AND(K3055&lt;&gt;"",P3055&lt;&gt;"Transferencia",P3055&lt;&gt;"Pago tarjeta"),"⚠ Destino solo aplica a transferencias",IF(AND(K3055&lt;&gt;"",K3055=Q3055),"⚠ Origen igual a destino",IF(AND(K3055&lt;&gt;"",ISNA(MATCH(K3055,ctaNombre,0))),"⚠ Destino no registrado",IF(AND(P3055="Pago tarjeta",AE3055&lt;&gt;"Tarjeta de crédito"),"⚠ El destino debe ser tarjeta de crédito",IF(AND(P3055="Gasto",E3055="Depósitos y retiros"),"⚠ Usa tipo Transferencia",IF(AND(P3055="Resultado trading",AD3055&lt;&gt;"Cuenta de trading"),"⚠ Usa una cuenta de trading",IF(AND(G3055&lt;=0,P3055&lt;&gt;"Ajuste",P3055&lt;&gt;"Resultado trading"),"⚠ El monto debe ser positivo","✓")))))))))))))))</f>
        <v/>
      </c>
      <c r="P3055" s="52">
        <f>IF(OR(B3055="",G3055=""),"",IF(C3055="","Gasto",C3055))</f>
        <v/>
      </c>
      <c r="Q3055" s="52">
        <f>IF(P3055="","",IF(J3055&lt;&gt;"",J3055,CuentaPred&amp;""))</f>
        <v/>
      </c>
      <c r="R3055" s="52">
        <f>IF(P3055="","",IF(ISNUMBER(I3055),I3055,TasaUSD))</f>
        <v/>
      </c>
      <c r="S3055" s="53">
        <f>IF(P3055="","",IF(H3055="USD",G3055*R3055,G3055))</f>
        <v/>
      </c>
      <c r="T3055" s="53">
        <f>IF(P3055="","",IF(H3055="USD",G3055,IF(R3055&gt;0,G3055/R3055,0)))</f>
        <v/>
      </c>
      <c r="U3055" s="53">
        <f>IF(P3055="","",IF(P3055="Gasto",S3055,IF(P3055="Reembolso",-S3055,0)))</f>
        <v/>
      </c>
      <c r="V3055" s="53">
        <f>IF(P3055="","",IF(P3055="Ingreso",S3055,0))</f>
        <v/>
      </c>
      <c r="W3055" s="53">
        <f>IF(P3055="","",IF(P3055="Resultado trading",S3055,0))</f>
        <v/>
      </c>
      <c r="X3055" s="52">
        <f>IF(OR(P3055="Gasto",P3055="Reembolso"),IF(M3055&lt;&gt;"",M3055,IFERROR(INDEX(catClasif,MATCH(D3055&amp;"|"&amp;E3055,catClave,0))&amp;"","Variable")),"")</f>
        <v/>
      </c>
      <c r="Y3055" s="52">
        <f>IF(P3055="","",IFERROR(INDEX(catGrupo,MATCH(D3055&amp;"|"&amp;E3055,catClave,0))&amp;"",""))</f>
        <v/>
      </c>
      <c r="Z3055" s="52">
        <f>IF(P3055="","",WEEKDAY(B3055,2))</f>
        <v/>
      </c>
      <c r="AA3055" s="52">
        <f>IF(P3055="","",IF(AND(P3055="Gasto",X3055="Variable",D3055&lt;&gt;catTrading,S3055&gt;0,S3055&lt;=Umbral),1,0))</f>
        <v/>
      </c>
      <c r="AB3055" s="52">
        <f>IF(OR(P3055="",Q3055=""),"",IFERROR(IF(INDEX(ctaVinc,MATCH(Q3055,ctaNombre,0))&amp;""&lt;&gt;"",INDEX(ctaVinc,MATCH(Q3055,ctaNombre,0))&amp;"",Q3055),Q3055))</f>
        <v/>
      </c>
      <c r="AC3055" s="52">
        <f>IF(OR(K3055="",AND(P3055&lt;&gt;"Transferencia",P3055&lt;&gt;"Pago tarjeta")),"",IFERROR(IF(INDEX(ctaVinc,MATCH(K3055,ctaNombre,0))&amp;""&lt;&gt;"",INDEX(ctaVinc,MATCH(K3055,ctaNombre,0))&amp;"",K3055),K3055))</f>
        <v/>
      </c>
      <c r="AD3055" s="52">
        <f>IF(AB3055="","",IFERROR(INDEX(ctaTipo,MATCH(AB3055,ctaNombre,0))&amp;"",""))</f>
        <v/>
      </c>
      <c r="AE3055" s="52">
        <f>IF(AC3055="","",IFERROR(INDEX(ctaTipo,MATCH(AC3055,ctaNombre,0))&amp;"",""))</f>
        <v/>
      </c>
      <c r="AF3055" s="53">
        <f>IF(OR(P3055="",AB3055=""),"",IF(OR(P3055="Gasto",P3055="Transferencia",P3055="Pago tarjeta"),-1,1)*IF(IFERROR(INDEX(ctaMoneda,MATCH(AB3055,ctaNombre,0))&amp;"","DOP")="USD",T3055,S3055))</f>
        <v/>
      </c>
      <c r="AG3055" s="53">
        <f>IF(AC3055="","",IF(IFERROR(INDEX(ctaMoneda,MATCH(AC3055,ctaNombre,0))&amp;"","DOP")="USD",T3055,S3055))</f>
        <v/>
      </c>
      <c r="AH3055" s="53">
        <f>IF(P3055="","",IF(AND(AD3055&lt;&gt;"",COUNTIFS(tcTipo,AD3055,tcLiq,"Sí")&gt;0),IF(OR(P3055="Gasto",P3055="Transferencia",P3055="Pago tarjeta"),-1,1)*S3055,0)+IF(AND(AE3055&lt;&gt;"",COUNTIFS(tcTipo,AE3055,tcLiq,"Sí")&gt;0),S3055,0))</f>
        <v/>
      </c>
      <c r="AI3055" s="52">
        <f>IF(OR(L3055="",P3055=""),"",IF(COUNTIFS(L$6:L3055,L3055,P$6:P3055,"?*")=1,MAX(AI$5:AI3054)+1,""))</f>
        <v/>
      </c>
    </row>
    <row r="3056">
      <c r="B3056" s="47" t="n"/>
      <c r="C3056" s="48" t="n"/>
      <c r="D3056" s="48" t="n"/>
      <c r="E3056" s="48" t="n"/>
      <c r="F3056" s="48" t="n"/>
      <c r="G3056" s="49" t="n"/>
      <c r="H3056" s="48" t="n"/>
      <c r="I3056" s="50" t="n"/>
      <c r="J3056" s="48" t="n"/>
      <c r="K3056" s="48" t="n"/>
      <c r="L3056" s="48" t="n"/>
      <c r="M3056" s="48" t="n"/>
      <c r="N3056" s="48" t="n"/>
      <c r="O3056" s="51">
        <f>IF(AND(B3056="",G3056="",C3056="",D3056="",J3056=""),"",IF(B3056="","⚠ Falta fecha",IF(G3056="","⚠ Falta monto",IF(Q3056="","⚠ Falta cuenta",IF(ISNA(MATCH(Q3056,ctaNombre,0)),"⚠ Cuenta no registrada",IF(AND(OR(P3056="Gasto",P3056="Reembolso"),D3056=""),"⚠ Falta categoría",IF(AND(D3056&lt;&gt;"",E3056&lt;&gt;"",ISNA(MATCH(D3056&amp;"|"&amp;E3056,catClave,0))),"⚠ Subcategoría no corresponde",IF(AND(OR(P3056="Transferencia",P3056="Pago tarjeta"),K3056=""),"⚠ Falta cuenta destino",IF(AND(K3056&lt;&gt;"",P3056&lt;&gt;"Transferencia",P3056&lt;&gt;"Pago tarjeta"),"⚠ Destino solo aplica a transferencias",IF(AND(K3056&lt;&gt;"",K3056=Q3056),"⚠ Origen igual a destino",IF(AND(K3056&lt;&gt;"",ISNA(MATCH(K3056,ctaNombre,0))),"⚠ Destino no registrado",IF(AND(P3056="Pago tarjeta",AE3056&lt;&gt;"Tarjeta de crédito"),"⚠ El destino debe ser tarjeta de crédito",IF(AND(P3056="Gasto",E3056="Depósitos y retiros"),"⚠ Usa tipo Transferencia",IF(AND(P3056="Resultado trading",AD3056&lt;&gt;"Cuenta de trading"),"⚠ Usa una cuenta de trading",IF(AND(G3056&lt;=0,P3056&lt;&gt;"Ajuste",P3056&lt;&gt;"Resultado trading"),"⚠ El monto debe ser positivo","✓")))))))))))))))</f>
        <v/>
      </c>
      <c r="P3056" s="52">
        <f>IF(OR(B3056="",G3056=""),"",IF(C3056="","Gasto",C3056))</f>
        <v/>
      </c>
      <c r="Q3056" s="52">
        <f>IF(P3056="","",IF(J3056&lt;&gt;"",J3056,CuentaPred&amp;""))</f>
        <v/>
      </c>
      <c r="R3056" s="52">
        <f>IF(P3056="","",IF(ISNUMBER(I3056),I3056,TasaUSD))</f>
        <v/>
      </c>
      <c r="S3056" s="53">
        <f>IF(P3056="","",IF(H3056="USD",G3056*R3056,G3056))</f>
        <v/>
      </c>
      <c r="T3056" s="53">
        <f>IF(P3056="","",IF(H3056="USD",G3056,IF(R3056&gt;0,G3056/R3056,0)))</f>
        <v/>
      </c>
      <c r="U3056" s="53">
        <f>IF(P3056="","",IF(P3056="Gasto",S3056,IF(P3056="Reembolso",-S3056,0)))</f>
        <v/>
      </c>
      <c r="V3056" s="53">
        <f>IF(P3056="","",IF(P3056="Ingreso",S3056,0))</f>
        <v/>
      </c>
      <c r="W3056" s="53">
        <f>IF(P3056="","",IF(P3056="Resultado trading",S3056,0))</f>
        <v/>
      </c>
      <c r="X3056" s="52">
        <f>IF(OR(P3056="Gasto",P3056="Reembolso"),IF(M3056&lt;&gt;"",M3056,IFERROR(INDEX(catClasif,MATCH(D3056&amp;"|"&amp;E3056,catClave,0))&amp;"","Variable")),"")</f>
        <v/>
      </c>
      <c r="Y3056" s="52">
        <f>IF(P3056="","",IFERROR(INDEX(catGrupo,MATCH(D3056&amp;"|"&amp;E3056,catClave,0))&amp;"",""))</f>
        <v/>
      </c>
      <c r="Z3056" s="52">
        <f>IF(P3056="","",WEEKDAY(B3056,2))</f>
        <v/>
      </c>
      <c r="AA3056" s="52">
        <f>IF(P3056="","",IF(AND(P3056="Gasto",X3056="Variable",D3056&lt;&gt;catTrading,S3056&gt;0,S3056&lt;=Umbral),1,0))</f>
        <v/>
      </c>
      <c r="AB3056" s="52">
        <f>IF(OR(P3056="",Q3056=""),"",IFERROR(IF(INDEX(ctaVinc,MATCH(Q3056,ctaNombre,0))&amp;""&lt;&gt;"",INDEX(ctaVinc,MATCH(Q3056,ctaNombre,0))&amp;"",Q3056),Q3056))</f>
        <v/>
      </c>
      <c r="AC3056" s="52">
        <f>IF(OR(K3056="",AND(P3056&lt;&gt;"Transferencia",P3056&lt;&gt;"Pago tarjeta")),"",IFERROR(IF(INDEX(ctaVinc,MATCH(K3056,ctaNombre,0))&amp;""&lt;&gt;"",INDEX(ctaVinc,MATCH(K3056,ctaNombre,0))&amp;"",K3056),K3056))</f>
        <v/>
      </c>
      <c r="AD3056" s="52">
        <f>IF(AB3056="","",IFERROR(INDEX(ctaTipo,MATCH(AB3056,ctaNombre,0))&amp;"",""))</f>
        <v/>
      </c>
      <c r="AE3056" s="52">
        <f>IF(AC3056="","",IFERROR(INDEX(ctaTipo,MATCH(AC3056,ctaNombre,0))&amp;"",""))</f>
        <v/>
      </c>
      <c r="AF3056" s="53">
        <f>IF(OR(P3056="",AB3056=""),"",IF(OR(P3056="Gasto",P3056="Transferencia",P3056="Pago tarjeta"),-1,1)*IF(IFERROR(INDEX(ctaMoneda,MATCH(AB3056,ctaNombre,0))&amp;"","DOP")="USD",T3056,S3056))</f>
        <v/>
      </c>
      <c r="AG3056" s="53">
        <f>IF(AC3056="","",IF(IFERROR(INDEX(ctaMoneda,MATCH(AC3056,ctaNombre,0))&amp;"","DOP")="USD",T3056,S3056))</f>
        <v/>
      </c>
      <c r="AH3056" s="53">
        <f>IF(P3056="","",IF(AND(AD3056&lt;&gt;"",COUNTIFS(tcTipo,AD3056,tcLiq,"Sí")&gt;0),IF(OR(P3056="Gasto",P3056="Transferencia",P3056="Pago tarjeta"),-1,1)*S3056,0)+IF(AND(AE3056&lt;&gt;"",COUNTIFS(tcTipo,AE3056,tcLiq,"Sí")&gt;0),S3056,0))</f>
        <v/>
      </c>
      <c r="AI3056" s="52">
        <f>IF(OR(L3056="",P3056=""),"",IF(COUNTIFS(L$6:L3056,L3056,P$6:P3056,"?*")=1,MAX(AI$5:AI3055)+1,""))</f>
        <v/>
      </c>
    </row>
    <row r="3057">
      <c r="B3057" s="47" t="n"/>
      <c r="C3057" s="48" t="n"/>
      <c r="D3057" s="48" t="n"/>
      <c r="E3057" s="48" t="n"/>
      <c r="F3057" s="48" t="n"/>
      <c r="G3057" s="49" t="n"/>
      <c r="H3057" s="48" t="n"/>
      <c r="I3057" s="50" t="n"/>
      <c r="J3057" s="48" t="n"/>
      <c r="K3057" s="48" t="n"/>
      <c r="L3057" s="48" t="n"/>
      <c r="M3057" s="48" t="n"/>
      <c r="N3057" s="48" t="n"/>
      <c r="O3057" s="51">
        <f>IF(AND(B3057="",G3057="",C3057="",D3057="",J3057=""),"",IF(B3057="","⚠ Falta fecha",IF(G3057="","⚠ Falta monto",IF(Q3057="","⚠ Falta cuenta",IF(ISNA(MATCH(Q3057,ctaNombre,0)),"⚠ Cuenta no registrada",IF(AND(OR(P3057="Gasto",P3057="Reembolso"),D3057=""),"⚠ Falta categoría",IF(AND(D3057&lt;&gt;"",E3057&lt;&gt;"",ISNA(MATCH(D3057&amp;"|"&amp;E3057,catClave,0))),"⚠ Subcategoría no corresponde",IF(AND(OR(P3057="Transferencia",P3057="Pago tarjeta"),K3057=""),"⚠ Falta cuenta destino",IF(AND(K3057&lt;&gt;"",P3057&lt;&gt;"Transferencia",P3057&lt;&gt;"Pago tarjeta"),"⚠ Destino solo aplica a transferencias",IF(AND(K3057&lt;&gt;"",K3057=Q3057),"⚠ Origen igual a destino",IF(AND(K3057&lt;&gt;"",ISNA(MATCH(K3057,ctaNombre,0))),"⚠ Destino no registrado",IF(AND(P3057="Pago tarjeta",AE3057&lt;&gt;"Tarjeta de crédito"),"⚠ El destino debe ser tarjeta de crédito",IF(AND(P3057="Gasto",E3057="Depósitos y retiros"),"⚠ Usa tipo Transferencia",IF(AND(P3057="Resultado trading",AD3057&lt;&gt;"Cuenta de trading"),"⚠ Usa una cuenta de trading",IF(AND(G3057&lt;=0,P3057&lt;&gt;"Ajuste",P3057&lt;&gt;"Resultado trading"),"⚠ El monto debe ser positivo","✓")))))))))))))))</f>
        <v/>
      </c>
      <c r="P3057" s="52">
        <f>IF(OR(B3057="",G3057=""),"",IF(C3057="","Gasto",C3057))</f>
        <v/>
      </c>
      <c r="Q3057" s="52">
        <f>IF(P3057="","",IF(J3057&lt;&gt;"",J3057,CuentaPred&amp;""))</f>
        <v/>
      </c>
      <c r="R3057" s="52">
        <f>IF(P3057="","",IF(ISNUMBER(I3057),I3057,TasaUSD))</f>
        <v/>
      </c>
      <c r="S3057" s="53">
        <f>IF(P3057="","",IF(H3057="USD",G3057*R3057,G3057))</f>
        <v/>
      </c>
      <c r="T3057" s="53">
        <f>IF(P3057="","",IF(H3057="USD",G3057,IF(R3057&gt;0,G3057/R3057,0)))</f>
        <v/>
      </c>
      <c r="U3057" s="53">
        <f>IF(P3057="","",IF(P3057="Gasto",S3057,IF(P3057="Reembolso",-S3057,0)))</f>
        <v/>
      </c>
      <c r="V3057" s="53">
        <f>IF(P3057="","",IF(P3057="Ingreso",S3057,0))</f>
        <v/>
      </c>
      <c r="W3057" s="53">
        <f>IF(P3057="","",IF(P3057="Resultado trading",S3057,0))</f>
        <v/>
      </c>
      <c r="X3057" s="52">
        <f>IF(OR(P3057="Gasto",P3057="Reembolso"),IF(M3057&lt;&gt;"",M3057,IFERROR(INDEX(catClasif,MATCH(D3057&amp;"|"&amp;E3057,catClave,0))&amp;"","Variable")),"")</f>
        <v/>
      </c>
      <c r="Y3057" s="52">
        <f>IF(P3057="","",IFERROR(INDEX(catGrupo,MATCH(D3057&amp;"|"&amp;E3057,catClave,0))&amp;"",""))</f>
        <v/>
      </c>
      <c r="Z3057" s="52">
        <f>IF(P3057="","",WEEKDAY(B3057,2))</f>
        <v/>
      </c>
      <c r="AA3057" s="52">
        <f>IF(P3057="","",IF(AND(P3057="Gasto",X3057="Variable",D3057&lt;&gt;catTrading,S3057&gt;0,S3057&lt;=Umbral),1,0))</f>
        <v/>
      </c>
      <c r="AB3057" s="52">
        <f>IF(OR(P3057="",Q3057=""),"",IFERROR(IF(INDEX(ctaVinc,MATCH(Q3057,ctaNombre,0))&amp;""&lt;&gt;"",INDEX(ctaVinc,MATCH(Q3057,ctaNombre,0))&amp;"",Q3057),Q3057))</f>
        <v/>
      </c>
      <c r="AC3057" s="52">
        <f>IF(OR(K3057="",AND(P3057&lt;&gt;"Transferencia",P3057&lt;&gt;"Pago tarjeta")),"",IFERROR(IF(INDEX(ctaVinc,MATCH(K3057,ctaNombre,0))&amp;""&lt;&gt;"",INDEX(ctaVinc,MATCH(K3057,ctaNombre,0))&amp;"",K3057),K3057))</f>
        <v/>
      </c>
      <c r="AD3057" s="52">
        <f>IF(AB3057="","",IFERROR(INDEX(ctaTipo,MATCH(AB3057,ctaNombre,0))&amp;"",""))</f>
        <v/>
      </c>
      <c r="AE3057" s="52">
        <f>IF(AC3057="","",IFERROR(INDEX(ctaTipo,MATCH(AC3057,ctaNombre,0))&amp;"",""))</f>
        <v/>
      </c>
      <c r="AF3057" s="53">
        <f>IF(OR(P3057="",AB3057=""),"",IF(OR(P3057="Gasto",P3057="Transferencia",P3057="Pago tarjeta"),-1,1)*IF(IFERROR(INDEX(ctaMoneda,MATCH(AB3057,ctaNombre,0))&amp;"","DOP")="USD",T3057,S3057))</f>
        <v/>
      </c>
      <c r="AG3057" s="53">
        <f>IF(AC3057="","",IF(IFERROR(INDEX(ctaMoneda,MATCH(AC3057,ctaNombre,0))&amp;"","DOP")="USD",T3057,S3057))</f>
        <v/>
      </c>
      <c r="AH3057" s="53">
        <f>IF(P3057="","",IF(AND(AD3057&lt;&gt;"",COUNTIFS(tcTipo,AD3057,tcLiq,"Sí")&gt;0),IF(OR(P3057="Gasto",P3057="Transferencia",P3057="Pago tarjeta"),-1,1)*S3057,0)+IF(AND(AE3057&lt;&gt;"",COUNTIFS(tcTipo,AE3057,tcLiq,"Sí")&gt;0),S3057,0))</f>
        <v/>
      </c>
      <c r="AI3057" s="52">
        <f>IF(OR(L3057="",P3057=""),"",IF(COUNTIFS(L$6:L3057,L3057,P$6:P3057,"?*")=1,MAX(AI$5:AI3056)+1,""))</f>
        <v/>
      </c>
    </row>
    <row r="3058">
      <c r="B3058" s="47" t="n"/>
      <c r="C3058" s="48" t="n"/>
      <c r="D3058" s="48" t="n"/>
      <c r="E3058" s="48" t="n"/>
      <c r="F3058" s="48" t="n"/>
      <c r="G3058" s="49" t="n"/>
      <c r="H3058" s="48" t="n"/>
      <c r="I3058" s="50" t="n"/>
      <c r="J3058" s="48" t="n"/>
      <c r="K3058" s="48" t="n"/>
      <c r="L3058" s="48" t="n"/>
      <c r="M3058" s="48" t="n"/>
      <c r="N3058" s="48" t="n"/>
      <c r="O3058" s="51">
        <f>IF(AND(B3058="",G3058="",C3058="",D3058="",J3058=""),"",IF(B3058="","⚠ Falta fecha",IF(G3058="","⚠ Falta monto",IF(Q3058="","⚠ Falta cuenta",IF(ISNA(MATCH(Q3058,ctaNombre,0)),"⚠ Cuenta no registrada",IF(AND(OR(P3058="Gasto",P3058="Reembolso"),D3058=""),"⚠ Falta categoría",IF(AND(D3058&lt;&gt;"",E3058&lt;&gt;"",ISNA(MATCH(D3058&amp;"|"&amp;E3058,catClave,0))),"⚠ Subcategoría no corresponde",IF(AND(OR(P3058="Transferencia",P3058="Pago tarjeta"),K3058=""),"⚠ Falta cuenta destino",IF(AND(K3058&lt;&gt;"",P3058&lt;&gt;"Transferencia",P3058&lt;&gt;"Pago tarjeta"),"⚠ Destino solo aplica a transferencias",IF(AND(K3058&lt;&gt;"",K3058=Q3058),"⚠ Origen igual a destino",IF(AND(K3058&lt;&gt;"",ISNA(MATCH(K3058,ctaNombre,0))),"⚠ Destino no registrado",IF(AND(P3058="Pago tarjeta",AE3058&lt;&gt;"Tarjeta de crédito"),"⚠ El destino debe ser tarjeta de crédito",IF(AND(P3058="Gasto",E3058="Depósitos y retiros"),"⚠ Usa tipo Transferencia",IF(AND(P3058="Resultado trading",AD3058&lt;&gt;"Cuenta de trading"),"⚠ Usa una cuenta de trading",IF(AND(G3058&lt;=0,P3058&lt;&gt;"Ajuste",P3058&lt;&gt;"Resultado trading"),"⚠ El monto debe ser positivo","✓")))))))))))))))</f>
        <v/>
      </c>
      <c r="P3058" s="52">
        <f>IF(OR(B3058="",G3058=""),"",IF(C3058="","Gasto",C3058))</f>
        <v/>
      </c>
      <c r="Q3058" s="52">
        <f>IF(P3058="","",IF(J3058&lt;&gt;"",J3058,CuentaPred&amp;""))</f>
        <v/>
      </c>
      <c r="R3058" s="52">
        <f>IF(P3058="","",IF(ISNUMBER(I3058),I3058,TasaUSD))</f>
        <v/>
      </c>
      <c r="S3058" s="53">
        <f>IF(P3058="","",IF(H3058="USD",G3058*R3058,G3058))</f>
        <v/>
      </c>
      <c r="T3058" s="53">
        <f>IF(P3058="","",IF(H3058="USD",G3058,IF(R3058&gt;0,G3058/R3058,0)))</f>
        <v/>
      </c>
      <c r="U3058" s="53">
        <f>IF(P3058="","",IF(P3058="Gasto",S3058,IF(P3058="Reembolso",-S3058,0)))</f>
        <v/>
      </c>
      <c r="V3058" s="53">
        <f>IF(P3058="","",IF(P3058="Ingreso",S3058,0))</f>
        <v/>
      </c>
      <c r="W3058" s="53">
        <f>IF(P3058="","",IF(P3058="Resultado trading",S3058,0))</f>
        <v/>
      </c>
      <c r="X3058" s="52">
        <f>IF(OR(P3058="Gasto",P3058="Reembolso"),IF(M3058&lt;&gt;"",M3058,IFERROR(INDEX(catClasif,MATCH(D3058&amp;"|"&amp;E3058,catClave,0))&amp;"","Variable")),"")</f>
        <v/>
      </c>
      <c r="Y3058" s="52">
        <f>IF(P3058="","",IFERROR(INDEX(catGrupo,MATCH(D3058&amp;"|"&amp;E3058,catClave,0))&amp;"",""))</f>
        <v/>
      </c>
      <c r="Z3058" s="52">
        <f>IF(P3058="","",WEEKDAY(B3058,2))</f>
        <v/>
      </c>
      <c r="AA3058" s="52">
        <f>IF(P3058="","",IF(AND(P3058="Gasto",X3058="Variable",D3058&lt;&gt;catTrading,S3058&gt;0,S3058&lt;=Umbral),1,0))</f>
        <v/>
      </c>
      <c r="AB3058" s="52">
        <f>IF(OR(P3058="",Q3058=""),"",IFERROR(IF(INDEX(ctaVinc,MATCH(Q3058,ctaNombre,0))&amp;""&lt;&gt;"",INDEX(ctaVinc,MATCH(Q3058,ctaNombre,0))&amp;"",Q3058),Q3058))</f>
        <v/>
      </c>
      <c r="AC3058" s="52">
        <f>IF(OR(K3058="",AND(P3058&lt;&gt;"Transferencia",P3058&lt;&gt;"Pago tarjeta")),"",IFERROR(IF(INDEX(ctaVinc,MATCH(K3058,ctaNombre,0))&amp;""&lt;&gt;"",INDEX(ctaVinc,MATCH(K3058,ctaNombre,0))&amp;"",K3058),K3058))</f>
        <v/>
      </c>
      <c r="AD3058" s="52">
        <f>IF(AB3058="","",IFERROR(INDEX(ctaTipo,MATCH(AB3058,ctaNombre,0))&amp;"",""))</f>
        <v/>
      </c>
      <c r="AE3058" s="52">
        <f>IF(AC3058="","",IFERROR(INDEX(ctaTipo,MATCH(AC3058,ctaNombre,0))&amp;"",""))</f>
        <v/>
      </c>
      <c r="AF3058" s="53">
        <f>IF(OR(P3058="",AB3058=""),"",IF(OR(P3058="Gasto",P3058="Transferencia",P3058="Pago tarjeta"),-1,1)*IF(IFERROR(INDEX(ctaMoneda,MATCH(AB3058,ctaNombre,0))&amp;"","DOP")="USD",T3058,S3058))</f>
        <v/>
      </c>
      <c r="AG3058" s="53">
        <f>IF(AC3058="","",IF(IFERROR(INDEX(ctaMoneda,MATCH(AC3058,ctaNombre,0))&amp;"","DOP")="USD",T3058,S3058))</f>
        <v/>
      </c>
      <c r="AH3058" s="53">
        <f>IF(P3058="","",IF(AND(AD3058&lt;&gt;"",COUNTIFS(tcTipo,AD3058,tcLiq,"Sí")&gt;0),IF(OR(P3058="Gasto",P3058="Transferencia",P3058="Pago tarjeta"),-1,1)*S3058,0)+IF(AND(AE3058&lt;&gt;"",COUNTIFS(tcTipo,AE3058,tcLiq,"Sí")&gt;0),S3058,0))</f>
        <v/>
      </c>
      <c r="AI3058" s="52">
        <f>IF(OR(L3058="",P3058=""),"",IF(COUNTIFS(L$6:L3058,L3058,P$6:P3058,"?*")=1,MAX(AI$5:AI3057)+1,""))</f>
        <v/>
      </c>
    </row>
    <row r="3059">
      <c r="B3059" s="47" t="n"/>
      <c r="C3059" s="48" t="n"/>
      <c r="D3059" s="48" t="n"/>
      <c r="E3059" s="48" t="n"/>
      <c r="F3059" s="48" t="n"/>
      <c r="G3059" s="49" t="n"/>
      <c r="H3059" s="48" t="n"/>
      <c r="I3059" s="50" t="n"/>
      <c r="J3059" s="48" t="n"/>
      <c r="K3059" s="48" t="n"/>
      <c r="L3059" s="48" t="n"/>
      <c r="M3059" s="48" t="n"/>
      <c r="N3059" s="48" t="n"/>
      <c r="O3059" s="51">
        <f>IF(AND(B3059="",G3059="",C3059="",D3059="",J3059=""),"",IF(B3059="","⚠ Falta fecha",IF(G3059="","⚠ Falta monto",IF(Q3059="","⚠ Falta cuenta",IF(ISNA(MATCH(Q3059,ctaNombre,0)),"⚠ Cuenta no registrada",IF(AND(OR(P3059="Gasto",P3059="Reembolso"),D3059=""),"⚠ Falta categoría",IF(AND(D3059&lt;&gt;"",E3059&lt;&gt;"",ISNA(MATCH(D3059&amp;"|"&amp;E3059,catClave,0))),"⚠ Subcategoría no corresponde",IF(AND(OR(P3059="Transferencia",P3059="Pago tarjeta"),K3059=""),"⚠ Falta cuenta destino",IF(AND(K3059&lt;&gt;"",P3059&lt;&gt;"Transferencia",P3059&lt;&gt;"Pago tarjeta"),"⚠ Destino solo aplica a transferencias",IF(AND(K3059&lt;&gt;"",K3059=Q3059),"⚠ Origen igual a destino",IF(AND(K3059&lt;&gt;"",ISNA(MATCH(K3059,ctaNombre,0))),"⚠ Destino no registrado",IF(AND(P3059="Pago tarjeta",AE3059&lt;&gt;"Tarjeta de crédito"),"⚠ El destino debe ser tarjeta de crédito",IF(AND(P3059="Gasto",E3059="Depósitos y retiros"),"⚠ Usa tipo Transferencia",IF(AND(P3059="Resultado trading",AD3059&lt;&gt;"Cuenta de trading"),"⚠ Usa una cuenta de trading",IF(AND(G3059&lt;=0,P3059&lt;&gt;"Ajuste",P3059&lt;&gt;"Resultado trading"),"⚠ El monto debe ser positivo","✓")))))))))))))))</f>
        <v/>
      </c>
      <c r="P3059" s="52">
        <f>IF(OR(B3059="",G3059=""),"",IF(C3059="","Gasto",C3059))</f>
        <v/>
      </c>
      <c r="Q3059" s="52">
        <f>IF(P3059="","",IF(J3059&lt;&gt;"",J3059,CuentaPred&amp;""))</f>
        <v/>
      </c>
      <c r="R3059" s="52">
        <f>IF(P3059="","",IF(ISNUMBER(I3059),I3059,TasaUSD))</f>
        <v/>
      </c>
      <c r="S3059" s="53">
        <f>IF(P3059="","",IF(H3059="USD",G3059*R3059,G3059))</f>
        <v/>
      </c>
      <c r="T3059" s="53">
        <f>IF(P3059="","",IF(H3059="USD",G3059,IF(R3059&gt;0,G3059/R3059,0)))</f>
        <v/>
      </c>
      <c r="U3059" s="53">
        <f>IF(P3059="","",IF(P3059="Gasto",S3059,IF(P3059="Reembolso",-S3059,0)))</f>
        <v/>
      </c>
      <c r="V3059" s="53">
        <f>IF(P3059="","",IF(P3059="Ingreso",S3059,0))</f>
        <v/>
      </c>
      <c r="W3059" s="53">
        <f>IF(P3059="","",IF(P3059="Resultado trading",S3059,0))</f>
        <v/>
      </c>
      <c r="X3059" s="52">
        <f>IF(OR(P3059="Gasto",P3059="Reembolso"),IF(M3059&lt;&gt;"",M3059,IFERROR(INDEX(catClasif,MATCH(D3059&amp;"|"&amp;E3059,catClave,0))&amp;"","Variable")),"")</f>
        <v/>
      </c>
      <c r="Y3059" s="52">
        <f>IF(P3059="","",IFERROR(INDEX(catGrupo,MATCH(D3059&amp;"|"&amp;E3059,catClave,0))&amp;"",""))</f>
        <v/>
      </c>
      <c r="Z3059" s="52">
        <f>IF(P3059="","",WEEKDAY(B3059,2))</f>
        <v/>
      </c>
      <c r="AA3059" s="52">
        <f>IF(P3059="","",IF(AND(P3059="Gasto",X3059="Variable",D3059&lt;&gt;catTrading,S3059&gt;0,S3059&lt;=Umbral),1,0))</f>
        <v/>
      </c>
      <c r="AB3059" s="52">
        <f>IF(OR(P3059="",Q3059=""),"",IFERROR(IF(INDEX(ctaVinc,MATCH(Q3059,ctaNombre,0))&amp;""&lt;&gt;"",INDEX(ctaVinc,MATCH(Q3059,ctaNombre,0))&amp;"",Q3059),Q3059))</f>
        <v/>
      </c>
      <c r="AC3059" s="52">
        <f>IF(OR(K3059="",AND(P3059&lt;&gt;"Transferencia",P3059&lt;&gt;"Pago tarjeta")),"",IFERROR(IF(INDEX(ctaVinc,MATCH(K3059,ctaNombre,0))&amp;""&lt;&gt;"",INDEX(ctaVinc,MATCH(K3059,ctaNombre,0))&amp;"",K3059),K3059))</f>
        <v/>
      </c>
      <c r="AD3059" s="52">
        <f>IF(AB3059="","",IFERROR(INDEX(ctaTipo,MATCH(AB3059,ctaNombre,0))&amp;"",""))</f>
        <v/>
      </c>
      <c r="AE3059" s="52">
        <f>IF(AC3059="","",IFERROR(INDEX(ctaTipo,MATCH(AC3059,ctaNombre,0))&amp;"",""))</f>
        <v/>
      </c>
      <c r="AF3059" s="53">
        <f>IF(OR(P3059="",AB3059=""),"",IF(OR(P3059="Gasto",P3059="Transferencia",P3059="Pago tarjeta"),-1,1)*IF(IFERROR(INDEX(ctaMoneda,MATCH(AB3059,ctaNombre,0))&amp;"","DOP")="USD",T3059,S3059))</f>
        <v/>
      </c>
      <c r="AG3059" s="53">
        <f>IF(AC3059="","",IF(IFERROR(INDEX(ctaMoneda,MATCH(AC3059,ctaNombre,0))&amp;"","DOP")="USD",T3059,S3059))</f>
        <v/>
      </c>
      <c r="AH3059" s="53">
        <f>IF(P3059="","",IF(AND(AD3059&lt;&gt;"",COUNTIFS(tcTipo,AD3059,tcLiq,"Sí")&gt;0),IF(OR(P3059="Gasto",P3059="Transferencia",P3059="Pago tarjeta"),-1,1)*S3059,0)+IF(AND(AE3059&lt;&gt;"",COUNTIFS(tcTipo,AE3059,tcLiq,"Sí")&gt;0),S3059,0))</f>
        <v/>
      </c>
      <c r="AI3059" s="52">
        <f>IF(OR(L3059="",P3059=""),"",IF(COUNTIFS(L$6:L3059,L3059,P$6:P3059,"?*")=1,MAX(AI$5:AI3058)+1,""))</f>
        <v/>
      </c>
    </row>
    <row r="3060">
      <c r="B3060" s="47" t="n"/>
      <c r="C3060" s="48" t="n"/>
      <c r="D3060" s="48" t="n"/>
      <c r="E3060" s="48" t="n"/>
      <c r="F3060" s="48" t="n"/>
      <c r="G3060" s="49" t="n"/>
      <c r="H3060" s="48" t="n"/>
      <c r="I3060" s="50" t="n"/>
      <c r="J3060" s="48" t="n"/>
      <c r="K3060" s="48" t="n"/>
      <c r="L3060" s="48" t="n"/>
      <c r="M3060" s="48" t="n"/>
      <c r="N3060" s="48" t="n"/>
      <c r="O3060" s="51">
        <f>IF(AND(B3060="",G3060="",C3060="",D3060="",J3060=""),"",IF(B3060="","⚠ Falta fecha",IF(G3060="","⚠ Falta monto",IF(Q3060="","⚠ Falta cuenta",IF(ISNA(MATCH(Q3060,ctaNombre,0)),"⚠ Cuenta no registrada",IF(AND(OR(P3060="Gasto",P3060="Reembolso"),D3060=""),"⚠ Falta categoría",IF(AND(D3060&lt;&gt;"",E3060&lt;&gt;"",ISNA(MATCH(D3060&amp;"|"&amp;E3060,catClave,0))),"⚠ Subcategoría no corresponde",IF(AND(OR(P3060="Transferencia",P3060="Pago tarjeta"),K3060=""),"⚠ Falta cuenta destino",IF(AND(K3060&lt;&gt;"",P3060&lt;&gt;"Transferencia",P3060&lt;&gt;"Pago tarjeta"),"⚠ Destino solo aplica a transferencias",IF(AND(K3060&lt;&gt;"",K3060=Q3060),"⚠ Origen igual a destino",IF(AND(K3060&lt;&gt;"",ISNA(MATCH(K3060,ctaNombre,0))),"⚠ Destino no registrado",IF(AND(P3060="Pago tarjeta",AE3060&lt;&gt;"Tarjeta de crédito"),"⚠ El destino debe ser tarjeta de crédito",IF(AND(P3060="Gasto",E3060="Depósitos y retiros"),"⚠ Usa tipo Transferencia",IF(AND(P3060="Resultado trading",AD3060&lt;&gt;"Cuenta de trading"),"⚠ Usa una cuenta de trading",IF(AND(G3060&lt;=0,P3060&lt;&gt;"Ajuste",P3060&lt;&gt;"Resultado trading"),"⚠ El monto debe ser positivo","✓")))))))))))))))</f>
        <v/>
      </c>
      <c r="P3060" s="52">
        <f>IF(OR(B3060="",G3060=""),"",IF(C3060="","Gasto",C3060))</f>
        <v/>
      </c>
      <c r="Q3060" s="52">
        <f>IF(P3060="","",IF(J3060&lt;&gt;"",J3060,CuentaPred&amp;""))</f>
        <v/>
      </c>
      <c r="R3060" s="52">
        <f>IF(P3060="","",IF(ISNUMBER(I3060),I3060,TasaUSD))</f>
        <v/>
      </c>
      <c r="S3060" s="53">
        <f>IF(P3060="","",IF(H3060="USD",G3060*R3060,G3060))</f>
        <v/>
      </c>
      <c r="T3060" s="53">
        <f>IF(P3060="","",IF(H3060="USD",G3060,IF(R3060&gt;0,G3060/R3060,0)))</f>
        <v/>
      </c>
      <c r="U3060" s="53">
        <f>IF(P3060="","",IF(P3060="Gasto",S3060,IF(P3060="Reembolso",-S3060,0)))</f>
        <v/>
      </c>
      <c r="V3060" s="53">
        <f>IF(P3060="","",IF(P3060="Ingreso",S3060,0))</f>
        <v/>
      </c>
      <c r="W3060" s="53">
        <f>IF(P3060="","",IF(P3060="Resultado trading",S3060,0))</f>
        <v/>
      </c>
      <c r="X3060" s="52">
        <f>IF(OR(P3060="Gasto",P3060="Reembolso"),IF(M3060&lt;&gt;"",M3060,IFERROR(INDEX(catClasif,MATCH(D3060&amp;"|"&amp;E3060,catClave,0))&amp;"","Variable")),"")</f>
        <v/>
      </c>
      <c r="Y3060" s="52">
        <f>IF(P3060="","",IFERROR(INDEX(catGrupo,MATCH(D3060&amp;"|"&amp;E3060,catClave,0))&amp;"",""))</f>
        <v/>
      </c>
      <c r="Z3060" s="52">
        <f>IF(P3060="","",WEEKDAY(B3060,2))</f>
        <v/>
      </c>
      <c r="AA3060" s="52">
        <f>IF(P3060="","",IF(AND(P3060="Gasto",X3060="Variable",D3060&lt;&gt;catTrading,S3060&gt;0,S3060&lt;=Umbral),1,0))</f>
        <v/>
      </c>
      <c r="AB3060" s="52">
        <f>IF(OR(P3060="",Q3060=""),"",IFERROR(IF(INDEX(ctaVinc,MATCH(Q3060,ctaNombre,0))&amp;""&lt;&gt;"",INDEX(ctaVinc,MATCH(Q3060,ctaNombre,0))&amp;"",Q3060),Q3060))</f>
        <v/>
      </c>
      <c r="AC3060" s="52">
        <f>IF(OR(K3060="",AND(P3060&lt;&gt;"Transferencia",P3060&lt;&gt;"Pago tarjeta")),"",IFERROR(IF(INDEX(ctaVinc,MATCH(K3060,ctaNombre,0))&amp;""&lt;&gt;"",INDEX(ctaVinc,MATCH(K3060,ctaNombre,0))&amp;"",K3060),K3060))</f>
        <v/>
      </c>
      <c r="AD3060" s="52">
        <f>IF(AB3060="","",IFERROR(INDEX(ctaTipo,MATCH(AB3060,ctaNombre,0))&amp;"",""))</f>
        <v/>
      </c>
      <c r="AE3060" s="52">
        <f>IF(AC3060="","",IFERROR(INDEX(ctaTipo,MATCH(AC3060,ctaNombre,0))&amp;"",""))</f>
        <v/>
      </c>
      <c r="AF3060" s="53">
        <f>IF(OR(P3060="",AB3060=""),"",IF(OR(P3060="Gasto",P3060="Transferencia",P3060="Pago tarjeta"),-1,1)*IF(IFERROR(INDEX(ctaMoneda,MATCH(AB3060,ctaNombre,0))&amp;"","DOP")="USD",T3060,S3060))</f>
        <v/>
      </c>
      <c r="AG3060" s="53">
        <f>IF(AC3060="","",IF(IFERROR(INDEX(ctaMoneda,MATCH(AC3060,ctaNombre,0))&amp;"","DOP")="USD",T3060,S3060))</f>
        <v/>
      </c>
      <c r="AH3060" s="53">
        <f>IF(P3060="","",IF(AND(AD3060&lt;&gt;"",COUNTIFS(tcTipo,AD3060,tcLiq,"Sí")&gt;0),IF(OR(P3060="Gasto",P3060="Transferencia",P3060="Pago tarjeta"),-1,1)*S3060,0)+IF(AND(AE3060&lt;&gt;"",COUNTIFS(tcTipo,AE3060,tcLiq,"Sí")&gt;0),S3060,0))</f>
        <v/>
      </c>
      <c r="AI3060" s="52">
        <f>IF(OR(L3060="",P3060=""),"",IF(COUNTIFS(L$6:L3060,L3060,P$6:P3060,"?*")=1,MAX(AI$5:AI3059)+1,""))</f>
        <v/>
      </c>
    </row>
    <row r="3061">
      <c r="B3061" s="47" t="n"/>
      <c r="C3061" s="48" t="n"/>
      <c r="D3061" s="48" t="n"/>
      <c r="E3061" s="48" t="n"/>
      <c r="F3061" s="48" t="n"/>
      <c r="G3061" s="49" t="n"/>
      <c r="H3061" s="48" t="n"/>
      <c r="I3061" s="50" t="n"/>
      <c r="J3061" s="48" t="n"/>
      <c r="K3061" s="48" t="n"/>
      <c r="L3061" s="48" t="n"/>
      <c r="M3061" s="48" t="n"/>
      <c r="N3061" s="48" t="n"/>
      <c r="O3061" s="51">
        <f>IF(AND(B3061="",G3061="",C3061="",D3061="",J3061=""),"",IF(B3061="","⚠ Falta fecha",IF(G3061="","⚠ Falta monto",IF(Q3061="","⚠ Falta cuenta",IF(ISNA(MATCH(Q3061,ctaNombre,0)),"⚠ Cuenta no registrada",IF(AND(OR(P3061="Gasto",P3061="Reembolso"),D3061=""),"⚠ Falta categoría",IF(AND(D3061&lt;&gt;"",E3061&lt;&gt;"",ISNA(MATCH(D3061&amp;"|"&amp;E3061,catClave,0))),"⚠ Subcategoría no corresponde",IF(AND(OR(P3061="Transferencia",P3061="Pago tarjeta"),K3061=""),"⚠ Falta cuenta destino",IF(AND(K3061&lt;&gt;"",P3061&lt;&gt;"Transferencia",P3061&lt;&gt;"Pago tarjeta"),"⚠ Destino solo aplica a transferencias",IF(AND(K3061&lt;&gt;"",K3061=Q3061),"⚠ Origen igual a destino",IF(AND(K3061&lt;&gt;"",ISNA(MATCH(K3061,ctaNombre,0))),"⚠ Destino no registrado",IF(AND(P3061="Pago tarjeta",AE3061&lt;&gt;"Tarjeta de crédito"),"⚠ El destino debe ser tarjeta de crédito",IF(AND(P3061="Gasto",E3061="Depósitos y retiros"),"⚠ Usa tipo Transferencia",IF(AND(P3061="Resultado trading",AD3061&lt;&gt;"Cuenta de trading"),"⚠ Usa una cuenta de trading",IF(AND(G3061&lt;=0,P3061&lt;&gt;"Ajuste",P3061&lt;&gt;"Resultado trading"),"⚠ El monto debe ser positivo","✓")))))))))))))))</f>
        <v/>
      </c>
      <c r="P3061" s="52">
        <f>IF(OR(B3061="",G3061=""),"",IF(C3061="","Gasto",C3061))</f>
        <v/>
      </c>
      <c r="Q3061" s="52">
        <f>IF(P3061="","",IF(J3061&lt;&gt;"",J3061,CuentaPred&amp;""))</f>
        <v/>
      </c>
      <c r="R3061" s="52">
        <f>IF(P3061="","",IF(ISNUMBER(I3061),I3061,TasaUSD))</f>
        <v/>
      </c>
      <c r="S3061" s="53">
        <f>IF(P3061="","",IF(H3061="USD",G3061*R3061,G3061))</f>
        <v/>
      </c>
      <c r="T3061" s="53">
        <f>IF(P3061="","",IF(H3061="USD",G3061,IF(R3061&gt;0,G3061/R3061,0)))</f>
        <v/>
      </c>
      <c r="U3061" s="53">
        <f>IF(P3061="","",IF(P3061="Gasto",S3061,IF(P3061="Reembolso",-S3061,0)))</f>
        <v/>
      </c>
      <c r="V3061" s="53">
        <f>IF(P3061="","",IF(P3061="Ingreso",S3061,0))</f>
        <v/>
      </c>
      <c r="W3061" s="53">
        <f>IF(P3061="","",IF(P3061="Resultado trading",S3061,0))</f>
        <v/>
      </c>
      <c r="X3061" s="52">
        <f>IF(OR(P3061="Gasto",P3061="Reembolso"),IF(M3061&lt;&gt;"",M3061,IFERROR(INDEX(catClasif,MATCH(D3061&amp;"|"&amp;E3061,catClave,0))&amp;"","Variable")),"")</f>
        <v/>
      </c>
      <c r="Y3061" s="52">
        <f>IF(P3061="","",IFERROR(INDEX(catGrupo,MATCH(D3061&amp;"|"&amp;E3061,catClave,0))&amp;"",""))</f>
        <v/>
      </c>
      <c r="Z3061" s="52">
        <f>IF(P3061="","",WEEKDAY(B3061,2))</f>
        <v/>
      </c>
      <c r="AA3061" s="52">
        <f>IF(P3061="","",IF(AND(P3061="Gasto",X3061="Variable",D3061&lt;&gt;catTrading,S3061&gt;0,S3061&lt;=Umbral),1,0))</f>
        <v/>
      </c>
      <c r="AB3061" s="52">
        <f>IF(OR(P3061="",Q3061=""),"",IFERROR(IF(INDEX(ctaVinc,MATCH(Q3061,ctaNombre,0))&amp;""&lt;&gt;"",INDEX(ctaVinc,MATCH(Q3061,ctaNombre,0))&amp;"",Q3061),Q3061))</f>
        <v/>
      </c>
      <c r="AC3061" s="52">
        <f>IF(OR(K3061="",AND(P3061&lt;&gt;"Transferencia",P3061&lt;&gt;"Pago tarjeta")),"",IFERROR(IF(INDEX(ctaVinc,MATCH(K3061,ctaNombre,0))&amp;""&lt;&gt;"",INDEX(ctaVinc,MATCH(K3061,ctaNombre,0))&amp;"",K3061),K3061))</f>
        <v/>
      </c>
      <c r="AD3061" s="52">
        <f>IF(AB3061="","",IFERROR(INDEX(ctaTipo,MATCH(AB3061,ctaNombre,0))&amp;"",""))</f>
        <v/>
      </c>
      <c r="AE3061" s="52">
        <f>IF(AC3061="","",IFERROR(INDEX(ctaTipo,MATCH(AC3061,ctaNombre,0))&amp;"",""))</f>
        <v/>
      </c>
      <c r="AF3061" s="53">
        <f>IF(OR(P3061="",AB3061=""),"",IF(OR(P3061="Gasto",P3061="Transferencia",P3061="Pago tarjeta"),-1,1)*IF(IFERROR(INDEX(ctaMoneda,MATCH(AB3061,ctaNombre,0))&amp;"","DOP")="USD",T3061,S3061))</f>
        <v/>
      </c>
      <c r="AG3061" s="53">
        <f>IF(AC3061="","",IF(IFERROR(INDEX(ctaMoneda,MATCH(AC3061,ctaNombre,0))&amp;"","DOP")="USD",T3061,S3061))</f>
        <v/>
      </c>
      <c r="AH3061" s="53">
        <f>IF(P3061="","",IF(AND(AD3061&lt;&gt;"",COUNTIFS(tcTipo,AD3061,tcLiq,"Sí")&gt;0),IF(OR(P3061="Gasto",P3061="Transferencia",P3061="Pago tarjeta"),-1,1)*S3061,0)+IF(AND(AE3061&lt;&gt;"",COUNTIFS(tcTipo,AE3061,tcLiq,"Sí")&gt;0),S3061,0))</f>
        <v/>
      </c>
      <c r="AI3061" s="52">
        <f>IF(OR(L3061="",P3061=""),"",IF(COUNTIFS(L$6:L3061,L3061,P$6:P3061,"?*")=1,MAX(AI$5:AI3060)+1,""))</f>
        <v/>
      </c>
    </row>
    <row r="3062">
      <c r="B3062" s="47" t="n"/>
      <c r="C3062" s="48" t="n"/>
      <c r="D3062" s="48" t="n"/>
      <c r="E3062" s="48" t="n"/>
      <c r="F3062" s="48" t="n"/>
      <c r="G3062" s="49" t="n"/>
      <c r="H3062" s="48" t="n"/>
      <c r="I3062" s="50" t="n"/>
      <c r="J3062" s="48" t="n"/>
      <c r="K3062" s="48" t="n"/>
      <c r="L3062" s="48" t="n"/>
      <c r="M3062" s="48" t="n"/>
      <c r="N3062" s="48" t="n"/>
      <c r="O3062" s="51">
        <f>IF(AND(B3062="",G3062="",C3062="",D3062="",J3062=""),"",IF(B3062="","⚠ Falta fecha",IF(G3062="","⚠ Falta monto",IF(Q3062="","⚠ Falta cuenta",IF(ISNA(MATCH(Q3062,ctaNombre,0)),"⚠ Cuenta no registrada",IF(AND(OR(P3062="Gasto",P3062="Reembolso"),D3062=""),"⚠ Falta categoría",IF(AND(D3062&lt;&gt;"",E3062&lt;&gt;"",ISNA(MATCH(D3062&amp;"|"&amp;E3062,catClave,0))),"⚠ Subcategoría no corresponde",IF(AND(OR(P3062="Transferencia",P3062="Pago tarjeta"),K3062=""),"⚠ Falta cuenta destino",IF(AND(K3062&lt;&gt;"",P3062&lt;&gt;"Transferencia",P3062&lt;&gt;"Pago tarjeta"),"⚠ Destino solo aplica a transferencias",IF(AND(K3062&lt;&gt;"",K3062=Q3062),"⚠ Origen igual a destino",IF(AND(K3062&lt;&gt;"",ISNA(MATCH(K3062,ctaNombre,0))),"⚠ Destino no registrado",IF(AND(P3062="Pago tarjeta",AE3062&lt;&gt;"Tarjeta de crédito"),"⚠ El destino debe ser tarjeta de crédito",IF(AND(P3062="Gasto",E3062="Depósitos y retiros"),"⚠ Usa tipo Transferencia",IF(AND(P3062="Resultado trading",AD3062&lt;&gt;"Cuenta de trading"),"⚠ Usa una cuenta de trading",IF(AND(G3062&lt;=0,P3062&lt;&gt;"Ajuste",P3062&lt;&gt;"Resultado trading"),"⚠ El monto debe ser positivo","✓")))))))))))))))</f>
        <v/>
      </c>
      <c r="P3062" s="52">
        <f>IF(OR(B3062="",G3062=""),"",IF(C3062="","Gasto",C3062))</f>
        <v/>
      </c>
      <c r="Q3062" s="52">
        <f>IF(P3062="","",IF(J3062&lt;&gt;"",J3062,CuentaPred&amp;""))</f>
        <v/>
      </c>
      <c r="R3062" s="52">
        <f>IF(P3062="","",IF(ISNUMBER(I3062),I3062,TasaUSD))</f>
        <v/>
      </c>
      <c r="S3062" s="53">
        <f>IF(P3062="","",IF(H3062="USD",G3062*R3062,G3062))</f>
        <v/>
      </c>
      <c r="T3062" s="53">
        <f>IF(P3062="","",IF(H3062="USD",G3062,IF(R3062&gt;0,G3062/R3062,0)))</f>
        <v/>
      </c>
      <c r="U3062" s="53">
        <f>IF(P3062="","",IF(P3062="Gasto",S3062,IF(P3062="Reembolso",-S3062,0)))</f>
        <v/>
      </c>
      <c r="V3062" s="53">
        <f>IF(P3062="","",IF(P3062="Ingreso",S3062,0))</f>
        <v/>
      </c>
      <c r="W3062" s="53">
        <f>IF(P3062="","",IF(P3062="Resultado trading",S3062,0))</f>
        <v/>
      </c>
      <c r="X3062" s="52">
        <f>IF(OR(P3062="Gasto",P3062="Reembolso"),IF(M3062&lt;&gt;"",M3062,IFERROR(INDEX(catClasif,MATCH(D3062&amp;"|"&amp;E3062,catClave,0))&amp;"","Variable")),"")</f>
        <v/>
      </c>
      <c r="Y3062" s="52">
        <f>IF(P3062="","",IFERROR(INDEX(catGrupo,MATCH(D3062&amp;"|"&amp;E3062,catClave,0))&amp;"",""))</f>
        <v/>
      </c>
      <c r="Z3062" s="52">
        <f>IF(P3062="","",WEEKDAY(B3062,2))</f>
        <v/>
      </c>
      <c r="AA3062" s="52">
        <f>IF(P3062="","",IF(AND(P3062="Gasto",X3062="Variable",D3062&lt;&gt;catTrading,S3062&gt;0,S3062&lt;=Umbral),1,0))</f>
        <v/>
      </c>
      <c r="AB3062" s="52">
        <f>IF(OR(P3062="",Q3062=""),"",IFERROR(IF(INDEX(ctaVinc,MATCH(Q3062,ctaNombre,0))&amp;""&lt;&gt;"",INDEX(ctaVinc,MATCH(Q3062,ctaNombre,0))&amp;"",Q3062),Q3062))</f>
        <v/>
      </c>
      <c r="AC3062" s="52">
        <f>IF(OR(K3062="",AND(P3062&lt;&gt;"Transferencia",P3062&lt;&gt;"Pago tarjeta")),"",IFERROR(IF(INDEX(ctaVinc,MATCH(K3062,ctaNombre,0))&amp;""&lt;&gt;"",INDEX(ctaVinc,MATCH(K3062,ctaNombre,0))&amp;"",K3062),K3062))</f>
        <v/>
      </c>
      <c r="AD3062" s="52">
        <f>IF(AB3062="","",IFERROR(INDEX(ctaTipo,MATCH(AB3062,ctaNombre,0))&amp;"",""))</f>
        <v/>
      </c>
      <c r="AE3062" s="52">
        <f>IF(AC3062="","",IFERROR(INDEX(ctaTipo,MATCH(AC3062,ctaNombre,0))&amp;"",""))</f>
        <v/>
      </c>
      <c r="AF3062" s="53">
        <f>IF(OR(P3062="",AB3062=""),"",IF(OR(P3062="Gasto",P3062="Transferencia",P3062="Pago tarjeta"),-1,1)*IF(IFERROR(INDEX(ctaMoneda,MATCH(AB3062,ctaNombre,0))&amp;"","DOP")="USD",T3062,S3062))</f>
        <v/>
      </c>
      <c r="AG3062" s="53">
        <f>IF(AC3062="","",IF(IFERROR(INDEX(ctaMoneda,MATCH(AC3062,ctaNombre,0))&amp;"","DOP")="USD",T3062,S3062))</f>
        <v/>
      </c>
      <c r="AH3062" s="53">
        <f>IF(P3062="","",IF(AND(AD3062&lt;&gt;"",COUNTIFS(tcTipo,AD3062,tcLiq,"Sí")&gt;0),IF(OR(P3062="Gasto",P3062="Transferencia",P3062="Pago tarjeta"),-1,1)*S3062,0)+IF(AND(AE3062&lt;&gt;"",COUNTIFS(tcTipo,AE3062,tcLiq,"Sí")&gt;0),S3062,0))</f>
        <v/>
      </c>
      <c r="AI3062" s="52">
        <f>IF(OR(L3062="",P3062=""),"",IF(COUNTIFS(L$6:L3062,L3062,P$6:P3062,"?*")=1,MAX(AI$5:AI3061)+1,""))</f>
        <v/>
      </c>
    </row>
    <row r="3063">
      <c r="B3063" s="47" t="n"/>
      <c r="C3063" s="48" t="n"/>
      <c r="D3063" s="48" t="n"/>
      <c r="E3063" s="48" t="n"/>
      <c r="F3063" s="48" t="n"/>
      <c r="G3063" s="49" t="n"/>
      <c r="H3063" s="48" t="n"/>
      <c r="I3063" s="50" t="n"/>
      <c r="J3063" s="48" t="n"/>
      <c r="K3063" s="48" t="n"/>
      <c r="L3063" s="48" t="n"/>
      <c r="M3063" s="48" t="n"/>
      <c r="N3063" s="48" t="n"/>
      <c r="O3063" s="51">
        <f>IF(AND(B3063="",G3063="",C3063="",D3063="",J3063=""),"",IF(B3063="","⚠ Falta fecha",IF(G3063="","⚠ Falta monto",IF(Q3063="","⚠ Falta cuenta",IF(ISNA(MATCH(Q3063,ctaNombre,0)),"⚠ Cuenta no registrada",IF(AND(OR(P3063="Gasto",P3063="Reembolso"),D3063=""),"⚠ Falta categoría",IF(AND(D3063&lt;&gt;"",E3063&lt;&gt;"",ISNA(MATCH(D3063&amp;"|"&amp;E3063,catClave,0))),"⚠ Subcategoría no corresponde",IF(AND(OR(P3063="Transferencia",P3063="Pago tarjeta"),K3063=""),"⚠ Falta cuenta destino",IF(AND(K3063&lt;&gt;"",P3063&lt;&gt;"Transferencia",P3063&lt;&gt;"Pago tarjeta"),"⚠ Destino solo aplica a transferencias",IF(AND(K3063&lt;&gt;"",K3063=Q3063),"⚠ Origen igual a destino",IF(AND(K3063&lt;&gt;"",ISNA(MATCH(K3063,ctaNombre,0))),"⚠ Destino no registrado",IF(AND(P3063="Pago tarjeta",AE3063&lt;&gt;"Tarjeta de crédito"),"⚠ El destino debe ser tarjeta de crédito",IF(AND(P3063="Gasto",E3063="Depósitos y retiros"),"⚠ Usa tipo Transferencia",IF(AND(P3063="Resultado trading",AD3063&lt;&gt;"Cuenta de trading"),"⚠ Usa una cuenta de trading",IF(AND(G3063&lt;=0,P3063&lt;&gt;"Ajuste",P3063&lt;&gt;"Resultado trading"),"⚠ El monto debe ser positivo","✓")))))))))))))))</f>
        <v/>
      </c>
      <c r="P3063" s="52">
        <f>IF(OR(B3063="",G3063=""),"",IF(C3063="","Gasto",C3063))</f>
        <v/>
      </c>
      <c r="Q3063" s="52">
        <f>IF(P3063="","",IF(J3063&lt;&gt;"",J3063,CuentaPred&amp;""))</f>
        <v/>
      </c>
      <c r="R3063" s="52">
        <f>IF(P3063="","",IF(ISNUMBER(I3063),I3063,TasaUSD))</f>
        <v/>
      </c>
      <c r="S3063" s="53">
        <f>IF(P3063="","",IF(H3063="USD",G3063*R3063,G3063))</f>
        <v/>
      </c>
      <c r="T3063" s="53">
        <f>IF(P3063="","",IF(H3063="USD",G3063,IF(R3063&gt;0,G3063/R3063,0)))</f>
        <v/>
      </c>
      <c r="U3063" s="53">
        <f>IF(P3063="","",IF(P3063="Gasto",S3063,IF(P3063="Reembolso",-S3063,0)))</f>
        <v/>
      </c>
      <c r="V3063" s="53">
        <f>IF(P3063="","",IF(P3063="Ingreso",S3063,0))</f>
        <v/>
      </c>
      <c r="W3063" s="53">
        <f>IF(P3063="","",IF(P3063="Resultado trading",S3063,0))</f>
        <v/>
      </c>
      <c r="X3063" s="52">
        <f>IF(OR(P3063="Gasto",P3063="Reembolso"),IF(M3063&lt;&gt;"",M3063,IFERROR(INDEX(catClasif,MATCH(D3063&amp;"|"&amp;E3063,catClave,0))&amp;"","Variable")),"")</f>
        <v/>
      </c>
      <c r="Y3063" s="52">
        <f>IF(P3063="","",IFERROR(INDEX(catGrupo,MATCH(D3063&amp;"|"&amp;E3063,catClave,0))&amp;"",""))</f>
        <v/>
      </c>
      <c r="Z3063" s="52">
        <f>IF(P3063="","",WEEKDAY(B3063,2))</f>
        <v/>
      </c>
      <c r="AA3063" s="52">
        <f>IF(P3063="","",IF(AND(P3063="Gasto",X3063="Variable",D3063&lt;&gt;catTrading,S3063&gt;0,S3063&lt;=Umbral),1,0))</f>
        <v/>
      </c>
      <c r="AB3063" s="52">
        <f>IF(OR(P3063="",Q3063=""),"",IFERROR(IF(INDEX(ctaVinc,MATCH(Q3063,ctaNombre,0))&amp;""&lt;&gt;"",INDEX(ctaVinc,MATCH(Q3063,ctaNombre,0))&amp;"",Q3063),Q3063))</f>
        <v/>
      </c>
      <c r="AC3063" s="52">
        <f>IF(OR(K3063="",AND(P3063&lt;&gt;"Transferencia",P3063&lt;&gt;"Pago tarjeta")),"",IFERROR(IF(INDEX(ctaVinc,MATCH(K3063,ctaNombre,0))&amp;""&lt;&gt;"",INDEX(ctaVinc,MATCH(K3063,ctaNombre,0))&amp;"",K3063),K3063))</f>
        <v/>
      </c>
      <c r="AD3063" s="52">
        <f>IF(AB3063="","",IFERROR(INDEX(ctaTipo,MATCH(AB3063,ctaNombre,0))&amp;"",""))</f>
        <v/>
      </c>
      <c r="AE3063" s="52">
        <f>IF(AC3063="","",IFERROR(INDEX(ctaTipo,MATCH(AC3063,ctaNombre,0))&amp;"",""))</f>
        <v/>
      </c>
      <c r="AF3063" s="53">
        <f>IF(OR(P3063="",AB3063=""),"",IF(OR(P3063="Gasto",P3063="Transferencia",P3063="Pago tarjeta"),-1,1)*IF(IFERROR(INDEX(ctaMoneda,MATCH(AB3063,ctaNombre,0))&amp;"","DOP")="USD",T3063,S3063))</f>
        <v/>
      </c>
      <c r="AG3063" s="53">
        <f>IF(AC3063="","",IF(IFERROR(INDEX(ctaMoneda,MATCH(AC3063,ctaNombre,0))&amp;"","DOP")="USD",T3063,S3063))</f>
        <v/>
      </c>
      <c r="AH3063" s="53">
        <f>IF(P3063="","",IF(AND(AD3063&lt;&gt;"",COUNTIFS(tcTipo,AD3063,tcLiq,"Sí")&gt;0),IF(OR(P3063="Gasto",P3063="Transferencia",P3063="Pago tarjeta"),-1,1)*S3063,0)+IF(AND(AE3063&lt;&gt;"",COUNTIFS(tcTipo,AE3063,tcLiq,"Sí")&gt;0),S3063,0))</f>
        <v/>
      </c>
      <c r="AI3063" s="52">
        <f>IF(OR(L3063="",P3063=""),"",IF(COUNTIFS(L$6:L3063,L3063,P$6:P3063,"?*")=1,MAX(AI$5:AI3062)+1,""))</f>
        <v/>
      </c>
    </row>
    <row r="3064">
      <c r="B3064" s="47" t="n"/>
      <c r="C3064" s="48" t="n"/>
      <c r="D3064" s="48" t="n"/>
      <c r="E3064" s="48" t="n"/>
      <c r="F3064" s="48" t="n"/>
      <c r="G3064" s="49" t="n"/>
      <c r="H3064" s="48" t="n"/>
      <c r="I3064" s="50" t="n"/>
      <c r="J3064" s="48" t="n"/>
      <c r="K3064" s="48" t="n"/>
      <c r="L3064" s="48" t="n"/>
      <c r="M3064" s="48" t="n"/>
      <c r="N3064" s="48" t="n"/>
      <c r="O3064" s="51">
        <f>IF(AND(B3064="",G3064="",C3064="",D3064="",J3064=""),"",IF(B3064="","⚠ Falta fecha",IF(G3064="","⚠ Falta monto",IF(Q3064="","⚠ Falta cuenta",IF(ISNA(MATCH(Q3064,ctaNombre,0)),"⚠ Cuenta no registrada",IF(AND(OR(P3064="Gasto",P3064="Reembolso"),D3064=""),"⚠ Falta categoría",IF(AND(D3064&lt;&gt;"",E3064&lt;&gt;"",ISNA(MATCH(D3064&amp;"|"&amp;E3064,catClave,0))),"⚠ Subcategoría no corresponde",IF(AND(OR(P3064="Transferencia",P3064="Pago tarjeta"),K3064=""),"⚠ Falta cuenta destino",IF(AND(K3064&lt;&gt;"",P3064&lt;&gt;"Transferencia",P3064&lt;&gt;"Pago tarjeta"),"⚠ Destino solo aplica a transferencias",IF(AND(K3064&lt;&gt;"",K3064=Q3064),"⚠ Origen igual a destino",IF(AND(K3064&lt;&gt;"",ISNA(MATCH(K3064,ctaNombre,0))),"⚠ Destino no registrado",IF(AND(P3064="Pago tarjeta",AE3064&lt;&gt;"Tarjeta de crédito"),"⚠ El destino debe ser tarjeta de crédito",IF(AND(P3064="Gasto",E3064="Depósitos y retiros"),"⚠ Usa tipo Transferencia",IF(AND(P3064="Resultado trading",AD3064&lt;&gt;"Cuenta de trading"),"⚠ Usa una cuenta de trading",IF(AND(G3064&lt;=0,P3064&lt;&gt;"Ajuste",P3064&lt;&gt;"Resultado trading"),"⚠ El monto debe ser positivo","✓")))))))))))))))</f>
        <v/>
      </c>
      <c r="P3064" s="52">
        <f>IF(OR(B3064="",G3064=""),"",IF(C3064="","Gasto",C3064))</f>
        <v/>
      </c>
      <c r="Q3064" s="52">
        <f>IF(P3064="","",IF(J3064&lt;&gt;"",J3064,CuentaPred&amp;""))</f>
        <v/>
      </c>
      <c r="R3064" s="52">
        <f>IF(P3064="","",IF(ISNUMBER(I3064),I3064,TasaUSD))</f>
        <v/>
      </c>
      <c r="S3064" s="53">
        <f>IF(P3064="","",IF(H3064="USD",G3064*R3064,G3064))</f>
        <v/>
      </c>
      <c r="T3064" s="53">
        <f>IF(P3064="","",IF(H3064="USD",G3064,IF(R3064&gt;0,G3064/R3064,0)))</f>
        <v/>
      </c>
      <c r="U3064" s="53">
        <f>IF(P3064="","",IF(P3064="Gasto",S3064,IF(P3064="Reembolso",-S3064,0)))</f>
        <v/>
      </c>
      <c r="V3064" s="53">
        <f>IF(P3064="","",IF(P3064="Ingreso",S3064,0))</f>
        <v/>
      </c>
      <c r="W3064" s="53">
        <f>IF(P3064="","",IF(P3064="Resultado trading",S3064,0))</f>
        <v/>
      </c>
      <c r="X3064" s="52">
        <f>IF(OR(P3064="Gasto",P3064="Reembolso"),IF(M3064&lt;&gt;"",M3064,IFERROR(INDEX(catClasif,MATCH(D3064&amp;"|"&amp;E3064,catClave,0))&amp;"","Variable")),"")</f>
        <v/>
      </c>
      <c r="Y3064" s="52">
        <f>IF(P3064="","",IFERROR(INDEX(catGrupo,MATCH(D3064&amp;"|"&amp;E3064,catClave,0))&amp;"",""))</f>
        <v/>
      </c>
      <c r="Z3064" s="52">
        <f>IF(P3064="","",WEEKDAY(B3064,2))</f>
        <v/>
      </c>
      <c r="AA3064" s="52">
        <f>IF(P3064="","",IF(AND(P3064="Gasto",X3064="Variable",D3064&lt;&gt;catTrading,S3064&gt;0,S3064&lt;=Umbral),1,0))</f>
        <v/>
      </c>
      <c r="AB3064" s="52">
        <f>IF(OR(P3064="",Q3064=""),"",IFERROR(IF(INDEX(ctaVinc,MATCH(Q3064,ctaNombre,0))&amp;""&lt;&gt;"",INDEX(ctaVinc,MATCH(Q3064,ctaNombre,0))&amp;"",Q3064),Q3064))</f>
        <v/>
      </c>
      <c r="AC3064" s="52">
        <f>IF(OR(K3064="",AND(P3064&lt;&gt;"Transferencia",P3064&lt;&gt;"Pago tarjeta")),"",IFERROR(IF(INDEX(ctaVinc,MATCH(K3064,ctaNombre,0))&amp;""&lt;&gt;"",INDEX(ctaVinc,MATCH(K3064,ctaNombre,0))&amp;"",K3064),K3064))</f>
        <v/>
      </c>
      <c r="AD3064" s="52">
        <f>IF(AB3064="","",IFERROR(INDEX(ctaTipo,MATCH(AB3064,ctaNombre,0))&amp;"",""))</f>
        <v/>
      </c>
      <c r="AE3064" s="52">
        <f>IF(AC3064="","",IFERROR(INDEX(ctaTipo,MATCH(AC3064,ctaNombre,0))&amp;"",""))</f>
        <v/>
      </c>
      <c r="AF3064" s="53">
        <f>IF(OR(P3064="",AB3064=""),"",IF(OR(P3064="Gasto",P3064="Transferencia",P3064="Pago tarjeta"),-1,1)*IF(IFERROR(INDEX(ctaMoneda,MATCH(AB3064,ctaNombre,0))&amp;"","DOP")="USD",T3064,S3064))</f>
        <v/>
      </c>
      <c r="AG3064" s="53">
        <f>IF(AC3064="","",IF(IFERROR(INDEX(ctaMoneda,MATCH(AC3064,ctaNombre,0))&amp;"","DOP")="USD",T3064,S3064))</f>
        <v/>
      </c>
      <c r="AH3064" s="53">
        <f>IF(P3064="","",IF(AND(AD3064&lt;&gt;"",COUNTIFS(tcTipo,AD3064,tcLiq,"Sí")&gt;0),IF(OR(P3064="Gasto",P3064="Transferencia",P3064="Pago tarjeta"),-1,1)*S3064,0)+IF(AND(AE3064&lt;&gt;"",COUNTIFS(tcTipo,AE3064,tcLiq,"Sí")&gt;0),S3064,0))</f>
        <v/>
      </c>
      <c r="AI3064" s="52">
        <f>IF(OR(L3064="",P3064=""),"",IF(COUNTIFS(L$6:L3064,L3064,P$6:P3064,"?*")=1,MAX(AI$5:AI3063)+1,""))</f>
        <v/>
      </c>
    </row>
    <row r="3065">
      <c r="B3065" s="47" t="n"/>
      <c r="C3065" s="48" t="n"/>
      <c r="D3065" s="48" t="n"/>
      <c r="E3065" s="48" t="n"/>
      <c r="F3065" s="48" t="n"/>
      <c r="G3065" s="49" t="n"/>
      <c r="H3065" s="48" t="n"/>
      <c r="I3065" s="50" t="n"/>
      <c r="J3065" s="48" t="n"/>
      <c r="K3065" s="48" t="n"/>
      <c r="L3065" s="48" t="n"/>
      <c r="M3065" s="48" t="n"/>
      <c r="N3065" s="48" t="n"/>
      <c r="O3065" s="51">
        <f>IF(AND(B3065="",G3065="",C3065="",D3065="",J3065=""),"",IF(B3065="","⚠ Falta fecha",IF(G3065="","⚠ Falta monto",IF(Q3065="","⚠ Falta cuenta",IF(ISNA(MATCH(Q3065,ctaNombre,0)),"⚠ Cuenta no registrada",IF(AND(OR(P3065="Gasto",P3065="Reembolso"),D3065=""),"⚠ Falta categoría",IF(AND(D3065&lt;&gt;"",E3065&lt;&gt;"",ISNA(MATCH(D3065&amp;"|"&amp;E3065,catClave,0))),"⚠ Subcategoría no corresponde",IF(AND(OR(P3065="Transferencia",P3065="Pago tarjeta"),K3065=""),"⚠ Falta cuenta destino",IF(AND(K3065&lt;&gt;"",P3065&lt;&gt;"Transferencia",P3065&lt;&gt;"Pago tarjeta"),"⚠ Destino solo aplica a transferencias",IF(AND(K3065&lt;&gt;"",K3065=Q3065),"⚠ Origen igual a destino",IF(AND(K3065&lt;&gt;"",ISNA(MATCH(K3065,ctaNombre,0))),"⚠ Destino no registrado",IF(AND(P3065="Pago tarjeta",AE3065&lt;&gt;"Tarjeta de crédito"),"⚠ El destino debe ser tarjeta de crédito",IF(AND(P3065="Gasto",E3065="Depósitos y retiros"),"⚠ Usa tipo Transferencia",IF(AND(P3065="Resultado trading",AD3065&lt;&gt;"Cuenta de trading"),"⚠ Usa una cuenta de trading",IF(AND(G3065&lt;=0,P3065&lt;&gt;"Ajuste",P3065&lt;&gt;"Resultado trading"),"⚠ El monto debe ser positivo","✓")))))))))))))))</f>
        <v/>
      </c>
      <c r="P3065" s="52">
        <f>IF(OR(B3065="",G3065=""),"",IF(C3065="","Gasto",C3065))</f>
        <v/>
      </c>
      <c r="Q3065" s="52">
        <f>IF(P3065="","",IF(J3065&lt;&gt;"",J3065,CuentaPred&amp;""))</f>
        <v/>
      </c>
      <c r="R3065" s="52">
        <f>IF(P3065="","",IF(ISNUMBER(I3065),I3065,TasaUSD))</f>
        <v/>
      </c>
      <c r="S3065" s="53">
        <f>IF(P3065="","",IF(H3065="USD",G3065*R3065,G3065))</f>
        <v/>
      </c>
      <c r="T3065" s="53">
        <f>IF(P3065="","",IF(H3065="USD",G3065,IF(R3065&gt;0,G3065/R3065,0)))</f>
        <v/>
      </c>
      <c r="U3065" s="53">
        <f>IF(P3065="","",IF(P3065="Gasto",S3065,IF(P3065="Reembolso",-S3065,0)))</f>
        <v/>
      </c>
      <c r="V3065" s="53">
        <f>IF(P3065="","",IF(P3065="Ingreso",S3065,0))</f>
        <v/>
      </c>
      <c r="W3065" s="53">
        <f>IF(P3065="","",IF(P3065="Resultado trading",S3065,0))</f>
        <v/>
      </c>
      <c r="X3065" s="52">
        <f>IF(OR(P3065="Gasto",P3065="Reembolso"),IF(M3065&lt;&gt;"",M3065,IFERROR(INDEX(catClasif,MATCH(D3065&amp;"|"&amp;E3065,catClave,0))&amp;"","Variable")),"")</f>
        <v/>
      </c>
      <c r="Y3065" s="52">
        <f>IF(P3065="","",IFERROR(INDEX(catGrupo,MATCH(D3065&amp;"|"&amp;E3065,catClave,0))&amp;"",""))</f>
        <v/>
      </c>
      <c r="Z3065" s="52">
        <f>IF(P3065="","",WEEKDAY(B3065,2))</f>
        <v/>
      </c>
      <c r="AA3065" s="52">
        <f>IF(P3065="","",IF(AND(P3065="Gasto",X3065="Variable",D3065&lt;&gt;catTrading,S3065&gt;0,S3065&lt;=Umbral),1,0))</f>
        <v/>
      </c>
      <c r="AB3065" s="52">
        <f>IF(OR(P3065="",Q3065=""),"",IFERROR(IF(INDEX(ctaVinc,MATCH(Q3065,ctaNombre,0))&amp;""&lt;&gt;"",INDEX(ctaVinc,MATCH(Q3065,ctaNombre,0))&amp;"",Q3065),Q3065))</f>
        <v/>
      </c>
      <c r="AC3065" s="52">
        <f>IF(OR(K3065="",AND(P3065&lt;&gt;"Transferencia",P3065&lt;&gt;"Pago tarjeta")),"",IFERROR(IF(INDEX(ctaVinc,MATCH(K3065,ctaNombre,0))&amp;""&lt;&gt;"",INDEX(ctaVinc,MATCH(K3065,ctaNombre,0))&amp;"",K3065),K3065))</f>
        <v/>
      </c>
      <c r="AD3065" s="52">
        <f>IF(AB3065="","",IFERROR(INDEX(ctaTipo,MATCH(AB3065,ctaNombre,0))&amp;"",""))</f>
        <v/>
      </c>
      <c r="AE3065" s="52">
        <f>IF(AC3065="","",IFERROR(INDEX(ctaTipo,MATCH(AC3065,ctaNombre,0))&amp;"",""))</f>
        <v/>
      </c>
      <c r="AF3065" s="53">
        <f>IF(OR(P3065="",AB3065=""),"",IF(OR(P3065="Gasto",P3065="Transferencia",P3065="Pago tarjeta"),-1,1)*IF(IFERROR(INDEX(ctaMoneda,MATCH(AB3065,ctaNombre,0))&amp;"","DOP")="USD",T3065,S3065))</f>
        <v/>
      </c>
      <c r="AG3065" s="53">
        <f>IF(AC3065="","",IF(IFERROR(INDEX(ctaMoneda,MATCH(AC3065,ctaNombre,0))&amp;"","DOP")="USD",T3065,S3065))</f>
        <v/>
      </c>
      <c r="AH3065" s="53">
        <f>IF(P3065="","",IF(AND(AD3065&lt;&gt;"",COUNTIFS(tcTipo,AD3065,tcLiq,"Sí")&gt;0),IF(OR(P3065="Gasto",P3065="Transferencia",P3065="Pago tarjeta"),-1,1)*S3065,0)+IF(AND(AE3065&lt;&gt;"",COUNTIFS(tcTipo,AE3065,tcLiq,"Sí")&gt;0),S3065,0))</f>
        <v/>
      </c>
      <c r="AI3065" s="52">
        <f>IF(OR(L3065="",P3065=""),"",IF(COUNTIFS(L$6:L3065,L3065,P$6:P3065,"?*")=1,MAX(AI$5:AI3064)+1,""))</f>
        <v/>
      </c>
    </row>
    <row r="3066">
      <c r="B3066" s="47" t="n"/>
      <c r="C3066" s="48" t="n"/>
      <c r="D3066" s="48" t="n"/>
      <c r="E3066" s="48" t="n"/>
      <c r="F3066" s="48" t="n"/>
      <c r="G3066" s="49" t="n"/>
      <c r="H3066" s="48" t="n"/>
      <c r="I3066" s="50" t="n"/>
      <c r="J3066" s="48" t="n"/>
      <c r="K3066" s="48" t="n"/>
      <c r="L3066" s="48" t="n"/>
      <c r="M3066" s="48" t="n"/>
      <c r="N3066" s="48" t="n"/>
      <c r="O3066" s="51">
        <f>IF(AND(B3066="",G3066="",C3066="",D3066="",J3066=""),"",IF(B3066="","⚠ Falta fecha",IF(G3066="","⚠ Falta monto",IF(Q3066="","⚠ Falta cuenta",IF(ISNA(MATCH(Q3066,ctaNombre,0)),"⚠ Cuenta no registrada",IF(AND(OR(P3066="Gasto",P3066="Reembolso"),D3066=""),"⚠ Falta categoría",IF(AND(D3066&lt;&gt;"",E3066&lt;&gt;"",ISNA(MATCH(D3066&amp;"|"&amp;E3066,catClave,0))),"⚠ Subcategoría no corresponde",IF(AND(OR(P3066="Transferencia",P3066="Pago tarjeta"),K3066=""),"⚠ Falta cuenta destino",IF(AND(K3066&lt;&gt;"",P3066&lt;&gt;"Transferencia",P3066&lt;&gt;"Pago tarjeta"),"⚠ Destino solo aplica a transferencias",IF(AND(K3066&lt;&gt;"",K3066=Q3066),"⚠ Origen igual a destino",IF(AND(K3066&lt;&gt;"",ISNA(MATCH(K3066,ctaNombre,0))),"⚠ Destino no registrado",IF(AND(P3066="Pago tarjeta",AE3066&lt;&gt;"Tarjeta de crédito"),"⚠ El destino debe ser tarjeta de crédito",IF(AND(P3066="Gasto",E3066="Depósitos y retiros"),"⚠ Usa tipo Transferencia",IF(AND(P3066="Resultado trading",AD3066&lt;&gt;"Cuenta de trading"),"⚠ Usa una cuenta de trading",IF(AND(G3066&lt;=0,P3066&lt;&gt;"Ajuste",P3066&lt;&gt;"Resultado trading"),"⚠ El monto debe ser positivo","✓")))))))))))))))</f>
        <v/>
      </c>
      <c r="P3066" s="52">
        <f>IF(OR(B3066="",G3066=""),"",IF(C3066="","Gasto",C3066))</f>
        <v/>
      </c>
      <c r="Q3066" s="52">
        <f>IF(P3066="","",IF(J3066&lt;&gt;"",J3066,CuentaPred&amp;""))</f>
        <v/>
      </c>
      <c r="R3066" s="52">
        <f>IF(P3066="","",IF(ISNUMBER(I3066),I3066,TasaUSD))</f>
        <v/>
      </c>
      <c r="S3066" s="53">
        <f>IF(P3066="","",IF(H3066="USD",G3066*R3066,G3066))</f>
        <v/>
      </c>
      <c r="T3066" s="53">
        <f>IF(P3066="","",IF(H3066="USD",G3066,IF(R3066&gt;0,G3066/R3066,0)))</f>
        <v/>
      </c>
      <c r="U3066" s="53">
        <f>IF(P3066="","",IF(P3066="Gasto",S3066,IF(P3066="Reembolso",-S3066,0)))</f>
        <v/>
      </c>
      <c r="V3066" s="53">
        <f>IF(P3066="","",IF(P3066="Ingreso",S3066,0))</f>
        <v/>
      </c>
      <c r="W3066" s="53">
        <f>IF(P3066="","",IF(P3066="Resultado trading",S3066,0))</f>
        <v/>
      </c>
      <c r="X3066" s="52">
        <f>IF(OR(P3066="Gasto",P3066="Reembolso"),IF(M3066&lt;&gt;"",M3066,IFERROR(INDEX(catClasif,MATCH(D3066&amp;"|"&amp;E3066,catClave,0))&amp;"","Variable")),"")</f>
        <v/>
      </c>
      <c r="Y3066" s="52">
        <f>IF(P3066="","",IFERROR(INDEX(catGrupo,MATCH(D3066&amp;"|"&amp;E3066,catClave,0))&amp;"",""))</f>
        <v/>
      </c>
      <c r="Z3066" s="52">
        <f>IF(P3066="","",WEEKDAY(B3066,2))</f>
        <v/>
      </c>
      <c r="AA3066" s="52">
        <f>IF(P3066="","",IF(AND(P3066="Gasto",X3066="Variable",D3066&lt;&gt;catTrading,S3066&gt;0,S3066&lt;=Umbral),1,0))</f>
        <v/>
      </c>
      <c r="AB3066" s="52">
        <f>IF(OR(P3066="",Q3066=""),"",IFERROR(IF(INDEX(ctaVinc,MATCH(Q3066,ctaNombre,0))&amp;""&lt;&gt;"",INDEX(ctaVinc,MATCH(Q3066,ctaNombre,0))&amp;"",Q3066),Q3066))</f>
        <v/>
      </c>
      <c r="AC3066" s="52">
        <f>IF(OR(K3066="",AND(P3066&lt;&gt;"Transferencia",P3066&lt;&gt;"Pago tarjeta")),"",IFERROR(IF(INDEX(ctaVinc,MATCH(K3066,ctaNombre,0))&amp;""&lt;&gt;"",INDEX(ctaVinc,MATCH(K3066,ctaNombre,0))&amp;"",K3066),K3066))</f>
        <v/>
      </c>
      <c r="AD3066" s="52">
        <f>IF(AB3066="","",IFERROR(INDEX(ctaTipo,MATCH(AB3066,ctaNombre,0))&amp;"",""))</f>
        <v/>
      </c>
      <c r="AE3066" s="52">
        <f>IF(AC3066="","",IFERROR(INDEX(ctaTipo,MATCH(AC3066,ctaNombre,0))&amp;"",""))</f>
        <v/>
      </c>
      <c r="AF3066" s="53">
        <f>IF(OR(P3066="",AB3066=""),"",IF(OR(P3066="Gasto",P3066="Transferencia",P3066="Pago tarjeta"),-1,1)*IF(IFERROR(INDEX(ctaMoneda,MATCH(AB3066,ctaNombre,0))&amp;"","DOP")="USD",T3066,S3066))</f>
        <v/>
      </c>
      <c r="AG3066" s="53">
        <f>IF(AC3066="","",IF(IFERROR(INDEX(ctaMoneda,MATCH(AC3066,ctaNombre,0))&amp;"","DOP")="USD",T3066,S3066))</f>
        <v/>
      </c>
      <c r="AH3066" s="53">
        <f>IF(P3066="","",IF(AND(AD3066&lt;&gt;"",COUNTIFS(tcTipo,AD3066,tcLiq,"Sí")&gt;0),IF(OR(P3066="Gasto",P3066="Transferencia",P3066="Pago tarjeta"),-1,1)*S3066,0)+IF(AND(AE3066&lt;&gt;"",COUNTIFS(tcTipo,AE3066,tcLiq,"Sí")&gt;0),S3066,0))</f>
        <v/>
      </c>
      <c r="AI3066" s="52">
        <f>IF(OR(L3066="",P3066=""),"",IF(COUNTIFS(L$6:L3066,L3066,P$6:P3066,"?*")=1,MAX(AI$5:AI3065)+1,""))</f>
        <v/>
      </c>
    </row>
    <row r="3067">
      <c r="B3067" s="47" t="n"/>
      <c r="C3067" s="48" t="n"/>
      <c r="D3067" s="48" t="n"/>
      <c r="E3067" s="48" t="n"/>
      <c r="F3067" s="48" t="n"/>
      <c r="G3067" s="49" t="n"/>
      <c r="H3067" s="48" t="n"/>
      <c r="I3067" s="50" t="n"/>
      <c r="J3067" s="48" t="n"/>
      <c r="K3067" s="48" t="n"/>
      <c r="L3067" s="48" t="n"/>
      <c r="M3067" s="48" t="n"/>
      <c r="N3067" s="48" t="n"/>
      <c r="O3067" s="51">
        <f>IF(AND(B3067="",G3067="",C3067="",D3067="",J3067=""),"",IF(B3067="","⚠ Falta fecha",IF(G3067="","⚠ Falta monto",IF(Q3067="","⚠ Falta cuenta",IF(ISNA(MATCH(Q3067,ctaNombre,0)),"⚠ Cuenta no registrada",IF(AND(OR(P3067="Gasto",P3067="Reembolso"),D3067=""),"⚠ Falta categoría",IF(AND(D3067&lt;&gt;"",E3067&lt;&gt;"",ISNA(MATCH(D3067&amp;"|"&amp;E3067,catClave,0))),"⚠ Subcategoría no corresponde",IF(AND(OR(P3067="Transferencia",P3067="Pago tarjeta"),K3067=""),"⚠ Falta cuenta destino",IF(AND(K3067&lt;&gt;"",P3067&lt;&gt;"Transferencia",P3067&lt;&gt;"Pago tarjeta"),"⚠ Destino solo aplica a transferencias",IF(AND(K3067&lt;&gt;"",K3067=Q3067),"⚠ Origen igual a destino",IF(AND(K3067&lt;&gt;"",ISNA(MATCH(K3067,ctaNombre,0))),"⚠ Destino no registrado",IF(AND(P3067="Pago tarjeta",AE3067&lt;&gt;"Tarjeta de crédito"),"⚠ El destino debe ser tarjeta de crédito",IF(AND(P3067="Gasto",E3067="Depósitos y retiros"),"⚠ Usa tipo Transferencia",IF(AND(P3067="Resultado trading",AD3067&lt;&gt;"Cuenta de trading"),"⚠ Usa una cuenta de trading",IF(AND(G3067&lt;=0,P3067&lt;&gt;"Ajuste",P3067&lt;&gt;"Resultado trading"),"⚠ El monto debe ser positivo","✓")))))))))))))))</f>
        <v/>
      </c>
      <c r="P3067" s="52">
        <f>IF(OR(B3067="",G3067=""),"",IF(C3067="","Gasto",C3067))</f>
        <v/>
      </c>
      <c r="Q3067" s="52">
        <f>IF(P3067="","",IF(J3067&lt;&gt;"",J3067,CuentaPred&amp;""))</f>
        <v/>
      </c>
      <c r="R3067" s="52">
        <f>IF(P3067="","",IF(ISNUMBER(I3067),I3067,TasaUSD))</f>
        <v/>
      </c>
      <c r="S3067" s="53">
        <f>IF(P3067="","",IF(H3067="USD",G3067*R3067,G3067))</f>
        <v/>
      </c>
      <c r="T3067" s="53">
        <f>IF(P3067="","",IF(H3067="USD",G3067,IF(R3067&gt;0,G3067/R3067,0)))</f>
        <v/>
      </c>
      <c r="U3067" s="53">
        <f>IF(P3067="","",IF(P3067="Gasto",S3067,IF(P3067="Reembolso",-S3067,0)))</f>
        <v/>
      </c>
      <c r="V3067" s="53">
        <f>IF(P3067="","",IF(P3067="Ingreso",S3067,0))</f>
        <v/>
      </c>
      <c r="W3067" s="53">
        <f>IF(P3067="","",IF(P3067="Resultado trading",S3067,0))</f>
        <v/>
      </c>
      <c r="X3067" s="52">
        <f>IF(OR(P3067="Gasto",P3067="Reembolso"),IF(M3067&lt;&gt;"",M3067,IFERROR(INDEX(catClasif,MATCH(D3067&amp;"|"&amp;E3067,catClave,0))&amp;"","Variable")),"")</f>
        <v/>
      </c>
      <c r="Y3067" s="52">
        <f>IF(P3067="","",IFERROR(INDEX(catGrupo,MATCH(D3067&amp;"|"&amp;E3067,catClave,0))&amp;"",""))</f>
        <v/>
      </c>
      <c r="Z3067" s="52">
        <f>IF(P3067="","",WEEKDAY(B3067,2))</f>
        <v/>
      </c>
      <c r="AA3067" s="52">
        <f>IF(P3067="","",IF(AND(P3067="Gasto",X3067="Variable",D3067&lt;&gt;catTrading,S3067&gt;0,S3067&lt;=Umbral),1,0))</f>
        <v/>
      </c>
      <c r="AB3067" s="52">
        <f>IF(OR(P3067="",Q3067=""),"",IFERROR(IF(INDEX(ctaVinc,MATCH(Q3067,ctaNombre,0))&amp;""&lt;&gt;"",INDEX(ctaVinc,MATCH(Q3067,ctaNombre,0))&amp;"",Q3067),Q3067))</f>
        <v/>
      </c>
      <c r="AC3067" s="52">
        <f>IF(OR(K3067="",AND(P3067&lt;&gt;"Transferencia",P3067&lt;&gt;"Pago tarjeta")),"",IFERROR(IF(INDEX(ctaVinc,MATCH(K3067,ctaNombre,0))&amp;""&lt;&gt;"",INDEX(ctaVinc,MATCH(K3067,ctaNombre,0))&amp;"",K3067),K3067))</f>
        <v/>
      </c>
      <c r="AD3067" s="52">
        <f>IF(AB3067="","",IFERROR(INDEX(ctaTipo,MATCH(AB3067,ctaNombre,0))&amp;"",""))</f>
        <v/>
      </c>
      <c r="AE3067" s="52">
        <f>IF(AC3067="","",IFERROR(INDEX(ctaTipo,MATCH(AC3067,ctaNombre,0))&amp;"",""))</f>
        <v/>
      </c>
      <c r="AF3067" s="53">
        <f>IF(OR(P3067="",AB3067=""),"",IF(OR(P3067="Gasto",P3067="Transferencia",P3067="Pago tarjeta"),-1,1)*IF(IFERROR(INDEX(ctaMoneda,MATCH(AB3067,ctaNombre,0))&amp;"","DOP")="USD",T3067,S3067))</f>
        <v/>
      </c>
      <c r="AG3067" s="53">
        <f>IF(AC3067="","",IF(IFERROR(INDEX(ctaMoneda,MATCH(AC3067,ctaNombre,0))&amp;"","DOP")="USD",T3067,S3067))</f>
        <v/>
      </c>
      <c r="AH3067" s="53">
        <f>IF(P3067="","",IF(AND(AD3067&lt;&gt;"",COUNTIFS(tcTipo,AD3067,tcLiq,"Sí")&gt;0),IF(OR(P3067="Gasto",P3067="Transferencia",P3067="Pago tarjeta"),-1,1)*S3067,0)+IF(AND(AE3067&lt;&gt;"",COUNTIFS(tcTipo,AE3067,tcLiq,"Sí")&gt;0),S3067,0))</f>
        <v/>
      </c>
      <c r="AI3067" s="52">
        <f>IF(OR(L3067="",P3067=""),"",IF(COUNTIFS(L$6:L3067,L3067,P$6:P3067,"?*")=1,MAX(AI$5:AI3066)+1,""))</f>
        <v/>
      </c>
    </row>
    <row r="3068">
      <c r="B3068" s="47" t="n"/>
      <c r="C3068" s="48" t="n"/>
      <c r="D3068" s="48" t="n"/>
      <c r="E3068" s="48" t="n"/>
      <c r="F3068" s="48" t="n"/>
      <c r="G3068" s="49" t="n"/>
      <c r="H3068" s="48" t="n"/>
      <c r="I3068" s="50" t="n"/>
      <c r="J3068" s="48" t="n"/>
      <c r="K3068" s="48" t="n"/>
      <c r="L3068" s="48" t="n"/>
      <c r="M3068" s="48" t="n"/>
      <c r="N3068" s="48" t="n"/>
      <c r="O3068" s="51">
        <f>IF(AND(B3068="",G3068="",C3068="",D3068="",J3068=""),"",IF(B3068="","⚠ Falta fecha",IF(G3068="","⚠ Falta monto",IF(Q3068="","⚠ Falta cuenta",IF(ISNA(MATCH(Q3068,ctaNombre,0)),"⚠ Cuenta no registrada",IF(AND(OR(P3068="Gasto",P3068="Reembolso"),D3068=""),"⚠ Falta categoría",IF(AND(D3068&lt;&gt;"",E3068&lt;&gt;"",ISNA(MATCH(D3068&amp;"|"&amp;E3068,catClave,0))),"⚠ Subcategoría no corresponde",IF(AND(OR(P3068="Transferencia",P3068="Pago tarjeta"),K3068=""),"⚠ Falta cuenta destino",IF(AND(K3068&lt;&gt;"",P3068&lt;&gt;"Transferencia",P3068&lt;&gt;"Pago tarjeta"),"⚠ Destino solo aplica a transferencias",IF(AND(K3068&lt;&gt;"",K3068=Q3068),"⚠ Origen igual a destino",IF(AND(K3068&lt;&gt;"",ISNA(MATCH(K3068,ctaNombre,0))),"⚠ Destino no registrado",IF(AND(P3068="Pago tarjeta",AE3068&lt;&gt;"Tarjeta de crédito"),"⚠ El destino debe ser tarjeta de crédito",IF(AND(P3068="Gasto",E3068="Depósitos y retiros"),"⚠ Usa tipo Transferencia",IF(AND(P3068="Resultado trading",AD3068&lt;&gt;"Cuenta de trading"),"⚠ Usa una cuenta de trading",IF(AND(G3068&lt;=0,P3068&lt;&gt;"Ajuste",P3068&lt;&gt;"Resultado trading"),"⚠ El monto debe ser positivo","✓")))))))))))))))</f>
        <v/>
      </c>
      <c r="P3068" s="52">
        <f>IF(OR(B3068="",G3068=""),"",IF(C3068="","Gasto",C3068))</f>
        <v/>
      </c>
      <c r="Q3068" s="52">
        <f>IF(P3068="","",IF(J3068&lt;&gt;"",J3068,CuentaPred&amp;""))</f>
        <v/>
      </c>
      <c r="R3068" s="52">
        <f>IF(P3068="","",IF(ISNUMBER(I3068),I3068,TasaUSD))</f>
        <v/>
      </c>
      <c r="S3068" s="53">
        <f>IF(P3068="","",IF(H3068="USD",G3068*R3068,G3068))</f>
        <v/>
      </c>
      <c r="T3068" s="53">
        <f>IF(P3068="","",IF(H3068="USD",G3068,IF(R3068&gt;0,G3068/R3068,0)))</f>
        <v/>
      </c>
      <c r="U3068" s="53">
        <f>IF(P3068="","",IF(P3068="Gasto",S3068,IF(P3068="Reembolso",-S3068,0)))</f>
        <v/>
      </c>
      <c r="V3068" s="53">
        <f>IF(P3068="","",IF(P3068="Ingreso",S3068,0))</f>
        <v/>
      </c>
      <c r="W3068" s="53">
        <f>IF(P3068="","",IF(P3068="Resultado trading",S3068,0))</f>
        <v/>
      </c>
      <c r="X3068" s="52">
        <f>IF(OR(P3068="Gasto",P3068="Reembolso"),IF(M3068&lt;&gt;"",M3068,IFERROR(INDEX(catClasif,MATCH(D3068&amp;"|"&amp;E3068,catClave,0))&amp;"","Variable")),"")</f>
        <v/>
      </c>
      <c r="Y3068" s="52">
        <f>IF(P3068="","",IFERROR(INDEX(catGrupo,MATCH(D3068&amp;"|"&amp;E3068,catClave,0))&amp;"",""))</f>
        <v/>
      </c>
      <c r="Z3068" s="52">
        <f>IF(P3068="","",WEEKDAY(B3068,2))</f>
        <v/>
      </c>
      <c r="AA3068" s="52">
        <f>IF(P3068="","",IF(AND(P3068="Gasto",X3068="Variable",D3068&lt;&gt;catTrading,S3068&gt;0,S3068&lt;=Umbral),1,0))</f>
        <v/>
      </c>
      <c r="AB3068" s="52">
        <f>IF(OR(P3068="",Q3068=""),"",IFERROR(IF(INDEX(ctaVinc,MATCH(Q3068,ctaNombre,0))&amp;""&lt;&gt;"",INDEX(ctaVinc,MATCH(Q3068,ctaNombre,0))&amp;"",Q3068),Q3068))</f>
        <v/>
      </c>
      <c r="AC3068" s="52">
        <f>IF(OR(K3068="",AND(P3068&lt;&gt;"Transferencia",P3068&lt;&gt;"Pago tarjeta")),"",IFERROR(IF(INDEX(ctaVinc,MATCH(K3068,ctaNombre,0))&amp;""&lt;&gt;"",INDEX(ctaVinc,MATCH(K3068,ctaNombre,0))&amp;"",K3068),K3068))</f>
        <v/>
      </c>
      <c r="AD3068" s="52">
        <f>IF(AB3068="","",IFERROR(INDEX(ctaTipo,MATCH(AB3068,ctaNombre,0))&amp;"",""))</f>
        <v/>
      </c>
      <c r="AE3068" s="52">
        <f>IF(AC3068="","",IFERROR(INDEX(ctaTipo,MATCH(AC3068,ctaNombre,0))&amp;"",""))</f>
        <v/>
      </c>
      <c r="AF3068" s="53">
        <f>IF(OR(P3068="",AB3068=""),"",IF(OR(P3068="Gasto",P3068="Transferencia",P3068="Pago tarjeta"),-1,1)*IF(IFERROR(INDEX(ctaMoneda,MATCH(AB3068,ctaNombre,0))&amp;"","DOP")="USD",T3068,S3068))</f>
        <v/>
      </c>
      <c r="AG3068" s="53">
        <f>IF(AC3068="","",IF(IFERROR(INDEX(ctaMoneda,MATCH(AC3068,ctaNombre,0))&amp;"","DOP")="USD",T3068,S3068))</f>
        <v/>
      </c>
      <c r="AH3068" s="53">
        <f>IF(P3068="","",IF(AND(AD3068&lt;&gt;"",COUNTIFS(tcTipo,AD3068,tcLiq,"Sí")&gt;0),IF(OR(P3068="Gasto",P3068="Transferencia",P3068="Pago tarjeta"),-1,1)*S3068,0)+IF(AND(AE3068&lt;&gt;"",COUNTIFS(tcTipo,AE3068,tcLiq,"Sí")&gt;0),S3068,0))</f>
        <v/>
      </c>
      <c r="AI3068" s="52">
        <f>IF(OR(L3068="",P3068=""),"",IF(COUNTIFS(L$6:L3068,L3068,P$6:P3068,"?*")=1,MAX(AI$5:AI3067)+1,""))</f>
        <v/>
      </c>
    </row>
    <row r="3069">
      <c r="B3069" s="47" t="n"/>
      <c r="C3069" s="48" t="n"/>
      <c r="D3069" s="48" t="n"/>
      <c r="E3069" s="48" t="n"/>
      <c r="F3069" s="48" t="n"/>
      <c r="G3069" s="49" t="n"/>
      <c r="H3069" s="48" t="n"/>
      <c r="I3069" s="50" t="n"/>
      <c r="J3069" s="48" t="n"/>
      <c r="K3069" s="48" t="n"/>
      <c r="L3069" s="48" t="n"/>
      <c r="M3069" s="48" t="n"/>
      <c r="N3069" s="48" t="n"/>
      <c r="O3069" s="51">
        <f>IF(AND(B3069="",G3069="",C3069="",D3069="",J3069=""),"",IF(B3069="","⚠ Falta fecha",IF(G3069="","⚠ Falta monto",IF(Q3069="","⚠ Falta cuenta",IF(ISNA(MATCH(Q3069,ctaNombre,0)),"⚠ Cuenta no registrada",IF(AND(OR(P3069="Gasto",P3069="Reembolso"),D3069=""),"⚠ Falta categoría",IF(AND(D3069&lt;&gt;"",E3069&lt;&gt;"",ISNA(MATCH(D3069&amp;"|"&amp;E3069,catClave,0))),"⚠ Subcategoría no corresponde",IF(AND(OR(P3069="Transferencia",P3069="Pago tarjeta"),K3069=""),"⚠ Falta cuenta destino",IF(AND(K3069&lt;&gt;"",P3069&lt;&gt;"Transferencia",P3069&lt;&gt;"Pago tarjeta"),"⚠ Destino solo aplica a transferencias",IF(AND(K3069&lt;&gt;"",K3069=Q3069),"⚠ Origen igual a destino",IF(AND(K3069&lt;&gt;"",ISNA(MATCH(K3069,ctaNombre,0))),"⚠ Destino no registrado",IF(AND(P3069="Pago tarjeta",AE3069&lt;&gt;"Tarjeta de crédito"),"⚠ El destino debe ser tarjeta de crédito",IF(AND(P3069="Gasto",E3069="Depósitos y retiros"),"⚠ Usa tipo Transferencia",IF(AND(P3069="Resultado trading",AD3069&lt;&gt;"Cuenta de trading"),"⚠ Usa una cuenta de trading",IF(AND(G3069&lt;=0,P3069&lt;&gt;"Ajuste",P3069&lt;&gt;"Resultado trading"),"⚠ El monto debe ser positivo","✓")))))))))))))))</f>
        <v/>
      </c>
      <c r="P3069" s="52">
        <f>IF(OR(B3069="",G3069=""),"",IF(C3069="","Gasto",C3069))</f>
        <v/>
      </c>
      <c r="Q3069" s="52">
        <f>IF(P3069="","",IF(J3069&lt;&gt;"",J3069,CuentaPred&amp;""))</f>
        <v/>
      </c>
      <c r="R3069" s="52">
        <f>IF(P3069="","",IF(ISNUMBER(I3069),I3069,TasaUSD))</f>
        <v/>
      </c>
      <c r="S3069" s="53">
        <f>IF(P3069="","",IF(H3069="USD",G3069*R3069,G3069))</f>
        <v/>
      </c>
      <c r="T3069" s="53">
        <f>IF(P3069="","",IF(H3069="USD",G3069,IF(R3069&gt;0,G3069/R3069,0)))</f>
        <v/>
      </c>
      <c r="U3069" s="53">
        <f>IF(P3069="","",IF(P3069="Gasto",S3069,IF(P3069="Reembolso",-S3069,0)))</f>
        <v/>
      </c>
      <c r="V3069" s="53">
        <f>IF(P3069="","",IF(P3069="Ingreso",S3069,0))</f>
        <v/>
      </c>
      <c r="W3069" s="53">
        <f>IF(P3069="","",IF(P3069="Resultado trading",S3069,0))</f>
        <v/>
      </c>
      <c r="X3069" s="52">
        <f>IF(OR(P3069="Gasto",P3069="Reembolso"),IF(M3069&lt;&gt;"",M3069,IFERROR(INDEX(catClasif,MATCH(D3069&amp;"|"&amp;E3069,catClave,0))&amp;"","Variable")),"")</f>
        <v/>
      </c>
      <c r="Y3069" s="52">
        <f>IF(P3069="","",IFERROR(INDEX(catGrupo,MATCH(D3069&amp;"|"&amp;E3069,catClave,0))&amp;"",""))</f>
        <v/>
      </c>
      <c r="Z3069" s="52">
        <f>IF(P3069="","",WEEKDAY(B3069,2))</f>
        <v/>
      </c>
      <c r="AA3069" s="52">
        <f>IF(P3069="","",IF(AND(P3069="Gasto",X3069="Variable",D3069&lt;&gt;catTrading,S3069&gt;0,S3069&lt;=Umbral),1,0))</f>
        <v/>
      </c>
      <c r="AB3069" s="52">
        <f>IF(OR(P3069="",Q3069=""),"",IFERROR(IF(INDEX(ctaVinc,MATCH(Q3069,ctaNombre,0))&amp;""&lt;&gt;"",INDEX(ctaVinc,MATCH(Q3069,ctaNombre,0))&amp;"",Q3069),Q3069))</f>
        <v/>
      </c>
      <c r="AC3069" s="52">
        <f>IF(OR(K3069="",AND(P3069&lt;&gt;"Transferencia",P3069&lt;&gt;"Pago tarjeta")),"",IFERROR(IF(INDEX(ctaVinc,MATCH(K3069,ctaNombre,0))&amp;""&lt;&gt;"",INDEX(ctaVinc,MATCH(K3069,ctaNombre,0))&amp;"",K3069),K3069))</f>
        <v/>
      </c>
      <c r="AD3069" s="52">
        <f>IF(AB3069="","",IFERROR(INDEX(ctaTipo,MATCH(AB3069,ctaNombre,0))&amp;"",""))</f>
        <v/>
      </c>
      <c r="AE3069" s="52">
        <f>IF(AC3069="","",IFERROR(INDEX(ctaTipo,MATCH(AC3069,ctaNombre,0))&amp;"",""))</f>
        <v/>
      </c>
      <c r="AF3069" s="53">
        <f>IF(OR(P3069="",AB3069=""),"",IF(OR(P3069="Gasto",P3069="Transferencia",P3069="Pago tarjeta"),-1,1)*IF(IFERROR(INDEX(ctaMoneda,MATCH(AB3069,ctaNombre,0))&amp;"","DOP")="USD",T3069,S3069))</f>
        <v/>
      </c>
      <c r="AG3069" s="53">
        <f>IF(AC3069="","",IF(IFERROR(INDEX(ctaMoneda,MATCH(AC3069,ctaNombre,0))&amp;"","DOP")="USD",T3069,S3069))</f>
        <v/>
      </c>
      <c r="AH3069" s="53">
        <f>IF(P3069="","",IF(AND(AD3069&lt;&gt;"",COUNTIFS(tcTipo,AD3069,tcLiq,"Sí")&gt;0),IF(OR(P3069="Gasto",P3069="Transferencia",P3069="Pago tarjeta"),-1,1)*S3069,0)+IF(AND(AE3069&lt;&gt;"",COUNTIFS(tcTipo,AE3069,tcLiq,"Sí")&gt;0),S3069,0))</f>
        <v/>
      </c>
      <c r="AI3069" s="52">
        <f>IF(OR(L3069="",P3069=""),"",IF(COUNTIFS(L$6:L3069,L3069,P$6:P3069,"?*")=1,MAX(AI$5:AI3068)+1,""))</f>
        <v/>
      </c>
    </row>
    <row r="3070">
      <c r="B3070" s="47" t="n"/>
      <c r="C3070" s="48" t="n"/>
      <c r="D3070" s="48" t="n"/>
      <c r="E3070" s="48" t="n"/>
      <c r="F3070" s="48" t="n"/>
      <c r="G3070" s="49" t="n"/>
      <c r="H3070" s="48" t="n"/>
      <c r="I3070" s="50" t="n"/>
      <c r="J3070" s="48" t="n"/>
      <c r="K3070" s="48" t="n"/>
      <c r="L3070" s="48" t="n"/>
      <c r="M3070" s="48" t="n"/>
      <c r="N3070" s="48" t="n"/>
      <c r="O3070" s="51">
        <f>IF(AND(B3070="",G3070="",C3070="",D3070="",J3070=""),"",IF(B3070="","⚠ Falta fecha",IF(G3070="","⚠ Falta monto",IF(Q3070="","⚠ Falta cuenta",IF(ISNA(MATCH(Q3070,ctaNombre,0)),"⚠ Cuenta no registrada",IF(AND(OR(P3070="Gasto",P3070="Reembolso"),D3070=""),"⚠ Falta categoría",IF(AND(D3070&lt;&gt;"",E3070&lt;&gt;"",ISNA(MATCH(D3070&amp;"|"&amp;E3070,catClave,0))),"⚠ Subcategoría no corresponde",IF(AND(OR(P3070="Transferencia",P3070="Pago tarjeta"),K3070=""),"⚠ Falta cuenta destino",IF(AND(K3070&lt;&gt;"",P3070&lt;&gt;"Transferencia",P3070&lt;&gt;"Pago tarjeta"),"⚠ Destino solo aplica a transferencias",IF(AND(K3070&lt;&gt;"",K3070=Q3070),"⚠ Origen igual a destino",IF(AND(K3070&lt;&gt;"",ISNA(MATCH(K3070,ctaNombre,0))),"⚠ Destino no registrado",IF(AND(P3070="Pago tarjeta",AE3070&lt;&gt;"Tarjeta de crédito"),"⚠ El destino debe ser tarjeta de crédito",IF(AND(P3070="Gasto",E3070="Depósitos y retiros"),"⚠ Usa tipo Transferencia",IF(AND(P3070="Resultado trading",AD3070&lt;&gt;"Cuenta de trading"),"⚠ Usa una cuenta de trading",IF(AND(G3070&lt;=0,P3070&lt;&gt;"Ajuste",P3070&lt;&gt;"Resultado trading"),"⚠ El monto debe ser positivo","✓")))))))))))))))</f>
        <v/>
      </c>
      <c r="P3070" s="52">
        <f>IF(OR(B3070="",G3070=""),"",IF(C3070="","Gasto",C3070))</f>
        <v/>
      </c>
      <c r="Q3070" s="52">
        <f>IF(P3070="","",IF(J3070&lt;&gt;"",J3070,CuentaPred&amp;""))</f>
        <v/>
      </c>
      <c r="R3070" s="52">
        <f>IF(P3070="","",IF(ISNUMBER(I3070),I3070,TasaUSD))</f>
        <v/>
      </c>
      <c r="S3070" s="53">
        <f>IF(P3070="","",IF(H3070="USD",G3070*R3070,G3070))</f>
        <v/>
      </c>
      <c r="T3070" s="53">
        <f>IF(P3070="","",IF(H3070="USD",G3070,IF(R3070&gt;0,G3070/R3070,0)))</f>
        <v/>
      </c>
      <c r="U3070" s="53">
        <f>IF(P3070="","",IF(P3070="Gasto",S3070,IF(P3070="Reembolso",-S3070,0)))</f>
        <v/>
      </c>
      <c r="V3070" s="53">
        <f>IF(P3070="","",IF(P3070="Ingreso",S3070,0))</f>
        <v/>
      </c>
      <c r="W3070" s="53">
        <f>IF(P3070="","",IF(P3070="Resultado trading",S3070,0))</f>
        <v/>
      </c>
      <c r="X3070" s="52">
        <f>IF(OR(P3070="Gasto",P3070="Reembolso"),IF(M3070&lt;&gt;"",M3070,IFERROR(INDEX(catClasif,MATCH(D3070&amp;"|"&amp;E3070,catClave,0))&amp;"","Variable")),"")</f>
        <v/>
      </c>
      <c r="Y3070" s="52">
        <f>IF(P3070="","",IFERROR(INDEX(catGrupo,MATCH(D3070&amp;"|"&amp;E3070,catClave,0))&amp;"",""))</f>
        <v/>
      </c>
      <c r="Z3070" s="52">
        <f>IF(P3070="","",WEEKDAY(B3070,2))</f>
        <v/>
      </c>
      <c r="AA3070" s="52">
        <f>IF(P3070="","",IF(AND(P3070="Gasto",X3070="Variable",D3070&lt;&gt;catTrading,S3070&gt;0,S3070&lt;=Umbral),1,0))</f>
        <v/>
      </c>
      <c r="AB3070" s="52">
        <f>IF(OR(P3070="",Q3070=""),"",IFERROR(IF(INDEX(ctaVinc,MATCH(Q3070,ctaNombre,0))&amp;""&lt;&gt;"",INDEX(ctaVinc,MATCH(Q3070,ctaNombre,0))&amp;"",Q3070),Q3070))</f>
        <v/>
      </c>
      <c r="AC3070" s="52">
        <f>IF(OR(K3070="",AND(P3070&lt;&gt;"Transferencia",P3070&lt;&gt;"Pago tarjeta")),"",IFERROR(IF(INDEX(ctaVinc,MATCH(K3070,ctaNombre,0))&amp;""&lt;&gt;"",INDEX(ctaVinc,MATCH(K3070,ctaNombre,0))&amp;"",K3070),K3070))</f>
        <v/>
      </c>
      <c r="AD3070" s="52">
        <f>IF(AB3070="","",IFERROR(INDEX(ctaTipo,MATCH(AB3070,ctaNombre,0))&amp;"",""))</f>
        <v/>
      </c>
      <c r="AE3070" s="52">
        <f>IF(AC3070="","",IFERROR(INDEX(ctaTipo,MATCH(AC3070,ctaNombre,0))&amp;"",""))</f>
        <v/>
      </c>
      <c r="AF3070" s="53">
        <f>IF(OR(P3070="",AB3070=""),"",IF(OR(P3070="Gasto",P3070="Transferencia",P3070="Pago tarjeta"),-1,1)*IF(IFERROR(INDEX(ctaMoneda,MATCH(AB3070,ctaNombre,0))&amp;"","DOP")="USD",T3070,S3070))</f>
        <v/>
      </c>
      <c r="AG3070" s="53">
        <f>IF(AC3070="","",IF(IFERROR(INDEX(ctaMoneda,MATCH(AC3070,ctaNombre,0))&amp;"","DOP")="USD",T3070,S3070))</f>
        <v/>
      </c>
      <c r="AH3070" s="53">
        <f>IF(P3070="","",IF(AND(AD3070&lt;&gt;"",COUNTIFS(tcTipo,AD3070,tcLiq,"Sí")&gt;0),IF(OR(P3070="Gasto",P3070="Transferencia",P3070="Pago tarjeta"),-1,1)*S3070,0)+IF(AND(AE3070&lt;&gt;"",COUNTIFS(tcTipo,AE3070,tcLiq,"Sí")&gt;0),S3070,0))</f>
        <v/>
      </c>
      <c r="AI3070" s="52">
        <f>IF(OR(L3070="",P3070=""),"",IF(COUNTIFS(L$6:L3070,L3070,P$6:P3070,"?*")=1,MAX(AI$5:AI3069)+1,""))</f>
        <v/>
      </c>
    </row>
    <row r="3071">
      <c r="B3071" s="47" t="n"/>
      <c r="C3071" s="48" t="n"/>
      <c r="D3071" s="48" t="n"/>
      <c r="E3071" s="48" t="n"/>
      <c r="F3071" s="48" t="n"/>
      <c r="G3071" s="49" t="n"/>
      <c r="H3071" s="48" t="n"/>
      <c r="I3071" s="50" t="n"/>
      <c r="J3071" s="48" t="n"/>
      <c r="K3071" s="48" t="n"/>
      <c r="L3071" s="48" t="n"/>
      <c r="M3071" s="48" t="n"/>
      <c r="N3071" s="48" t="n"/>
      <c r="O3071" s="51">
        <f>IF(AND(B3071="",G3071="",C3071="",D3071="",J3071=""),"",IF(B3071="","⚠ Falta fecha",IF(G3071="","⚠ Falta monto",IF(Q3071="","⚠ Falta cuenta",IF(ISNA(MATCH(Q3071,ctaNombre,0)),"⚠ Cuenta no registrada",IF(AND(OR(P3071="Gasto",P3071="Reembolso"),D3071=""),"⚠ Falta categoría",IF(AND(D3071&lt;&gt;"",E3071&lt;&gt;"",ISNA(MATCH(D3071&amp;"|"&amp;E3071,catClave,0))),"⚠ Subcategoría no corresponde",IF(AND(OR(P3071="Transferencia",P3071="Pago tarjeta"),K3071=""),"⚠ Falta cuenta destino",IF(AND(K3071&lt;&gt;"",P3071&lt;&gt;"Transferencia",P3071&lt;&gt;"Pago tarjeta"),"⚠ Destino solo aplica a transferencias",IF(AND(K3071&lt;&gt;"",K3071=Q3071),"⚠ Origen igual a destino",IF(AND(K3071&lt;&gt;"",ISNA(MATCH(K3071,ctaNombre,0))),"⚠ Destino no registrado",IF(AND(P3071="Pago tarjeta",AE3071&lt;&gt;"Tarjeta de crédito"),"⚠ El destino debe ser tarjeta de crédito",IF(AND(P3071="Gasto",E3071="Depósitos y retiros"),"⚠ Usa tipo Transferencia",IF(AND(P3071="Resultado trading",AD3071&lt;&gt;"Cuenta de trading"),"⚠ Usa una cuenta de trading",IF(AND(G3071&lt;=0,P3071&lt;&gt;"Ajuste",P3071&lt;&gt;"Resultado trading"),"⚠ El monto debe ser positivo","✓")))))))))))))))</f>
        <v/>
      </c>
      <c r="P3071" s="52">
        <f>IF(OR(B3071="",G3071=""),"",IF(C3071="","Gasto",C3071))</f>
        <v/>
      </c>
      <c r="Q3071" s="52">
        <f>IF(P3071="","",IF(J3071&lt;&gt;"",J3071,CuentaPred&amp;""))</f>
        <v/>
      </c>
      <c r="R3071" s="52">
        <f>IF(P3071="","",IF(ISNUMBER(I3071),I3071,TasaUSD))</f>
        <v/>
      </c>
      <c r="S3071" s="53">
        <f>IF(P3071="","",IF(H3071="USD",G3071*R3071,G3071))</f>
        <v/>
      </c>
      <c r="T3071" s="53">
        <f>IF(P3071="","",IF(H3071="USD",G3071,IF(R3071&gt;0,G3071/R3071,0)))</f>
        <v/>
      </c>
      <c r="U3071" s="53">
        <f>IF(P3071="","",IF(P3071="Gasto",S3071,IF(P3071="Reembolso",-S3071,0)))</f>
        <v/>
      </c>
      <c r="V3071" s="53">
        <f>IF(P3071="","",IF(P3071="Ingreso",S3071,0))</f>
        <v/>
      </c>
      <c r="W3071" s="53">
        <f>IF(P3071="","",IF(P3071="Resultado trading",S3071,0))</f>
        <v/>
      </c>
      <c r="X3071" s="52">
        <f>IF(OR(P3071="Gasto",P3071="Reembolso"),IF(M3071&lt;&gt;"",M3071,IFERROR(INDEX(catClasif,MATCH(D3071&amp;"|"&amp;E3071,catClave,0))&amp;"","Variable")),"")</f>
        <v/>
      </c>
      <c r="Y3071" s="52">
        <f>IF(P3071="","",IFERROR(INDEX(catGrupo,MATCH(D3071&amp;"|"&amp;E3071,catClave,0))&amp;"",""))</f>
        <v/>
      </c>
      <c r="Z3071" s="52">
        <f>IF(P3071="","",WEEKDAY(B3071,2))</f>
        <v/>
      </c>
      <c r="AA3071" s="52">
        <f>IF(P3071="","",IF(AND(P3071="Gasto",X3071="Variable",D3071&lt;&gt;catTrading,S3071&gt;0,S3071&lt;=Umbral),1,0))</f>
        <v/>
      </c>
      <c r="AB3071" s="52">
        <f>IF(OR(P3071="",Q3071=""),"",IFERROR(IF(INDEX(ctaVinc,MATCH(Q3071,ctaNombre,0))&amp;""&lt;&gt;"",INDEX(ctaVinc,MATCH(Q3071,ctaNombre,0))&amp;"",Q3071),Q3071))</f>
        <v/>
      </c>
      <c r="AC3071" s="52">
        <f>IF(OR(K3071="",AND(P3071&lt;&gt;"Transferencia",P3071&lt;&gt;"Pago tarjeta")),"",IFERROR(IF(INDEX(ctaVinc,MATCH(K3071,ctaNombre,0))&amp;""&lt;&gt;"",INDEX(ctaVinc,MATCH(K3071,ctaNombre,0))&amp;"",K3071),K3071))</f>
        <v/>
      </c>
      <c r="AD3071" s="52">
        <f>IF(AB3071="","",IFERROR(INDEX(ctaTipo,MATCH(AB3071,ctaNombre,0))&amp;"",""))</f>
        <v/>
      </c>
      <c r="AE3071" s="52">
        <f>IF(AC3071="","",IFERROR(INDEX(ctaTipo,MATCH(AC3071,ctaNombre,0))&amp;"",""))</f>
        <v/>
      </c>
      <c r="AF3071" s="53">
        <f>IF(OR(P3071="",AB3071=""),"",IF(OR(P3071="Gasto",P3071="Transferencia",P3071="Pago tarjeta"),-1,1)*IF(IFERROR(INDEX(ctaMoneda,MATCH(AB3071,ctaNombre,0))&amp;"","DOP")="USD",T3071,S3071))</f>
        <v/>
      </c>
      <c r="AG3071" s="53">
        <f>IF(AC3071="","",IF(IFERROR(INDEX(ctaMoneda,MATCH(AC3071,ctaNombre,0))&amp;"","DOP")="USD",T3071,S3071))</f>
        <v/>
      </c>
      <c r="AH3071" s="53">
        <f>IF(P3071="","",IF(AND(AD3071&lt;&gt;"",COUNTIFS(tcTipo,AD3071,tcLiq,"Sí")&gt;0),IF(OR(P3071="Gasto",P3071="Transferencia",P3071="Pago tarjeta"),-1,1)*S3071,0)+IF(AND(AE3071&lt;&gt;"",COUNTIFS(tcTipo,AE3071,tcLiq,"Sí")&gt;0),S3071,0))</f>
        <v/>
      </c>
      <c r="AI3071" s="52">
        <f>IF(OR(L3071="",P3071=""),"",IF(COUNTIFS(L$6:L3071,L3071,P$6:P3071,"?*")=1,MAX(AI$5:AI3070)+1,""))</f>
        <v/>
      </c>
    </row>
    <row r="3072">
      <c r="B3072" s="47" t="n"/>
      <c r="C3072" s="48" t="n"/>
      <c r="D3072" s="48" t="n"/>
      <c r="E3072" s="48" t="n"/>
      <c r="F3072" s="48" t="n"/>
      <c r="G3072" s="49" t="n"/>
      <c r="H3072" s="48" t="n"/>
      <c r="I3072" s="50" t="n"/>
      <c r="J3072" s="48" t="n"/>
      <c r="K3072" s="48" t="n"/>
      <c r="L3072" s="48" t="n"/>
      <c r="M3072" s="48" t="n"/>
      <c r="N3072" s="48" t="n"/>
      <c r="O3072" s="51">
        <f>IF(AND(B3072="",G3072="",C3072="",D3072="",J3072=""),"",IF(B3072="","⚠ Falta fecha",IF(G3072="","⚠ Falta monto",IF(Q3072="","⚠ Falta cuenta",IF(ISNA(MATCH(Q3072,ctaNombre,0)),"⚠ Cuenta no registrada",IF(AND(OR(P3072="Gasto",P3072="Reembolso"),D3072=""),"⚠ Falta categoría",IF(AND(D3072&lt;&gt;"",E3072&lt;&gt;"",ISNA(MATCH(D3072&amp;"|"&amp;E3072,catClave,0))),"⚠ Subcategoría no corresponde",IF(AND(OR(P3072="Transferencia",P3072="Pago tarjeta"),K3072=""),"⚠ Falta cuenta destino",IF(AND(K3072&lt;&gt;"",P3072&lt;&gt;"Transferencia",P3072&lt;&gt;"Pago tarjeta"),"⚠ Destino solo aplica a transferencias",IF(AND(K3072&lt;&gt;"",K3072=Q3072),"⚠ Origen igual a destino",IF(AND(K3072&lt;&gt;"",ISNA(MATCH(K3072,ctaNombre,0))),"⚠ Destino no registrado",IF(AND(P3072="Pago tarjeta",AE3072&lt;&gt;"Tarjeta de crédito"),"⚠ El destino debe ser tarjeta de crédito",IF(AND(P3072="Gasto",E3072="Depósitos y retiros"),"⚠ Usa tipo Transferencia",IF(AND(P3072="Resultado trading",AD3072&lt;&gt;"Cuenta de trading"),"⚠ Usa una cuenta de trading",IF(AND(G3072&lt;=0,P3072&lt;&gt;"Ajuste",P3072&lt;&gt;"Resultado trading"),"⚠ El monto debe ser positivo","✓")))))))))))))))</f>
        <v/>
      </c>
      <c r="P3072" s="52">
        <f>IF(OR(B3072="",G3072=""),"",IF(C3072="","Gasto",C3072))</f>
        <v/>
      </c>
      <c r="Q3072" s="52">
        <f>IF(P3072="","",IF(J3072&lt;&gt;"",J3072,CuentaPred&amp;""))</f>
        <v/>
      </c>
      <c r="R3072" s="52">
        <f>IF(P3072="","",IF(ISNUMBER(I3072),I3072,TasaUSD))</f>
        <v/>
      </c>
      <c r="S3072" s="53">
        <f>IF(P3072="","",IF(H3072="USD",G3072*R3072,G3072))</f>
        <v/>
      </c>
      <c r="T3072" s="53">
        <f>IF(P3072="","",IF(H3072="USD",G3072,IF(R3072&gt;0,G3072/R3072,0)))</f>
        <v/>
      </c>
      <c r="U3072" s="53">
        <f>IF(P3072="","",IF(P3072="Gasto",S3072,IF(P3072="Reembolso",-S3072,0)))</f>
        <v/>
      </c>
      <c r="V3072" s="53">
        <f>IF(P3072="","",IF(P3072="Ingreso",S3072,0))</f>
        <v/>
      </c>
      <c r="W3072" s="53">
        <f>IF(P3072="","",IF(P3072="Resultado trading",S3072,0))</f>
        <v/>
      </c>
      <c r="X3072" s="52">
        <f>IF(OR(P3072="Gasto",P3072="Reembolso"),IF(M3072&lt;&gt;"",M3072,IFERROR(INDEX(catClasif,MATCH(D3072&amp;"|"&amp;E3072,catClave,0))&amp;"","Variable")),"")</f>
        <v/>
      </c>
      <c r="Y3072" s="52">
        <f>IF(P3072="","",IFERROR(INDEX(catGrupo,MATCH(D3072&amp;"|"&amp;E3072,catClave,0))&amp;"",""))</f>
        <v/>
      </c>
      <c r="Z3072" s="52">
        <f>IF(P3072="","",WEEKDAY(B3072,2))</f>
        <v/>
      </c>
      <c r="AA3072" s="52">
        <f>IF(P3072="","",IF(AND(P3072="Gasto",X3072="Variable",D3072&lt;&gt;catTrading,S3072&gt;0,S3072&lt;=Umbral),1,0))</f>
        <v/>
      </c>
      <c r="AB3072" s="52">
        <f>IF(OR(P3072="",Q3072=""),"",IFERROR(IF(INDEX(ctaVinc,MATCH(Q3072,ctaNombre,0))&amp;""&lt;&gt;"",INDEX(ctaVinc,MATCH(Q3072,ctaNombre,0))&amp;"",Q3072),Q3072))</f>
        <v/>
      </c>
      <c r="AC3072" s="52">
        <f>IF(OR(K3072="",AND(P3072&lt;&gt;"Transferencia",P3072&lt;&gt;"Pago tarjeta")),"",IFERROR(IF(INDEX(ctaVinc,MATCH(K3072,ctaNombre,0))&amp;""&lt;&gt;"",INDEX(ctaVinc,MATCH(K3072,ctaNombre,0))&amp;"",K3072),K3072))</f>
        <v/>
      </c>
      <c r="AD3072" s="52">
        <f>IF(AB3072="","",IFERROR(INDEX(ctaTipo,MATCH(AB3072,ctaNombre,0))&amp;"",""))</f>
        <v/>
      </c>
      <c r="AE3072" s="52">
        <f>IF(AC3072="","",IFERROR(INDEX(ctaTipo,MATCH(AC3072,ctaNombre,0))&amp;"",""))</f>
        <v/>
      </c>
      <c r="AF3072" s="53">
        <f>IF(OR(P3072="",AB3072=""),"",IF(OR(P3072="Gasto",P3072="Transferencia",P3072="Pago tarjeta"),-1,1)*IF(IFERROR(INDEX(ctaMoneda,MATCH(AB3072,ctaNombre,0))&amp;"","DOP")="USD",T3072,S3072))</f>
        <v/>
      </c>
      <c r="AG3072" s="53">
        <f>IF(AC3072="","",IF(IFERROR(INDEX(ctaMoneda,MATCH(AC3072,ctaNombre,0))&amp;"","DOP")="USD",T3072,S3072))</f>
        <v/>
      </c>
      <c r="AH3072" s="53">
        <f>IF(P3072="","",IF(AND(AD3072&lt;&gt;"",COUNTIFS(tcTipo,AD3072,tcLiq,"Sí")&gt;0),IF(OR(P3072="Gasto",P3072="Transferencia",P3072="Pago tarjeta"),-1,1)*S3072,0)+IF(AND(AE3072&lt;&gt;"",COUNTIFS(tcTipo,AE3072,tcLiq,"Sí")&gt;0),S3072,0))</f>
        <v/>
      </c>
      <c r="AI3072" s="52">
        <f>IF(OR(L3072="",P3072=""),"",IF(COUNTIFS(L$6:L3072,L3072,P$6:P3072,"?*")=1,MAX(AI$5:AI3071)+1,""))</f>
        <v/>
      </c>
    </row>
    <row r="3073">
      <c r="B3073" s="47" t="n"/>
      <c r="C3073" s="48" t="n"/>
      <c r="D3073" s="48" t="n"/>
      <c r="E3073" s="48" t="n"/>
      <c r="F3073" s="48" t="n"/>
      <c r="G3073" s="49" t="n"/>
      <c r="H3073" s="48" t="n"/>
      <c r="I3073" s="50" t="n"/>
      <c r="J3073" s="48" t="n"/>
      <c r="K3073" s="48" t="n"/>
      <c r="L3073" s="48" t="n"/>
      <c r="M3073" s="48" t="n"/>
      <c r="N3073" s="48" t="n"/>
      <c r="O3073" s="51">
        <f>IF(AND(B3073="",G3073="",C3073="",D3073="",J3073=""),"",IF(B3073="","⚠ Falta fecha",IF(G3073="","⚠ Falta monto",IF(Q3073="","⚠ Falta cuenta",IF(ISNA(MATCH(Q3073,ctaNombre,0)),"⚠ Cuenta no registrada",IF(AND(OR(P3073="Gasto",P3073="Reembolso"),D3073=""),"⚠ Falta categoría",IF(AND(D3073&lt;&gt;"",E3073&lt;&gt;"",ISNA(MATCH(D3073&amp;"|"&amp;E3073,catClave,0))),"⚠ Subcategoría no corresponde",IF(AND(OR(P3073="Transferencia",P3073="Pago tarjeta"),K3073=""),"⚠ Falta cuenta destino",IF(AND(K3073&lt;&gt;"",P3073&lt;&gt;"Transferencia",P3073&lt;&gt;"Pago tarjeta"),"⚠ Destino solo aplica a transferencias",IF(AND(K3073&lt;&gt;"",K3073=Q3073),"⚠ Origen igual a destino",IF(AND(K3073&lt;&gt;"",ISNA(MATCH(K3073,ctaNombre,0))),"⚠ Destino no registrado",IF(AND(P3073="Pago tarjeta",AE3073&lt;&gt;"Tarjeta de crédito"),"⚠ El destino debe ser tarjeta de crédito",IF(AND(P3073="Gasto",E3073="Depósitos y retiros"),"⚠ Usa tipo Transferencia",IF(AND(P3073="Resultado trading",AD3073&lt;&gt;"Cuenta de trading"),"⚠ Usa una cuenta de trading",IF(AND(G3073&lt;=0,P3073&lt;&gt;"Ajuste",P3073&lt;&gt;"Resultado trading"),"⚠ El monto debe ser positivo","✓")))))))))))))))</f>
        <v/>
      </c>
      <c r="P3073" s="52">
        <f>IF(OR(B3073="",G3073=""),"",IF(C3073="","Gasto",C3073))</f>
        <v/>
      </c>
      <c r="Q3073" s="52">
        <f>IF(P3073="","",IF(J3073&lt;&gt;"",J3073,CuentaPred&amp;""))</f>
        <v/>
      </c>
      <c r="R3073" s="52">
        <f>IF(P3073="","",IF(ISNUMBER(I3073),I3073,TasaUSD))</f>
        <v/>
      </c>
      <c r="S3073" s="53">
        <f>IF(P3073="","",IF(H3073="USD",G3073*R3073,G3073))</f>
        <v/>
      </c>
      <c r="T3073" s="53">
        <f>IF(P3073="","",IF(H3073="USD",G3073,IF(R3073&gt;0,G3073/R3073,0)))</f>
        <v/>
      </c>
      <c r="U3073" s="53">
        <f>IF(P3073="","",IF(P3073="Gasto",S3073,IF(P3073="Reembolso",-S3073,0)))</f>
        <v/>
      </c>
      <c r="V3073" s="53">
        <f>IF(P3073="","",IF(P3073="Ingreso",S3073,0))</f>
        <v/>
      </c>
      <c r="W3073" s="53">
        <f>IF(P3073="","",IF(P3073="Resultado trading",S3073,0))</f>
        <v/>
      </c>
      <c r="X3073" s="52">
        <f>IF(OR(P3073="Gasto",P3073="Reembolso"),IF(M3073&lt;&gt;"",M3073,IFERROR(INDEX(catClasif,MATCH(D3073&amp;"|"&amp;E3073,catClave,0))&amp;"","Variable")),"")</f>
        <v/>
      </c>
      <c r="Y3073" s="52">
        <f>IF(P3073="","",IFERROR(INDEX(catGrupo,MATCH(D3073&amp;"|"&amp;E3073,catClave,0))&amp;"",""))</f>
        <v/>
      </c>
      <c r="Z3073" s="52">
        <f>IF(P3073="","",WEEKDAY(B3073,2))</f>
        <v/>
      </c>
      <c r="AA3073" s="52">
        <f>IF(P3073="","",IF(AND(P3073="Gasto",X3073="Variable",D3073&lt;&gt;catTrading,S3073&gt;0,S3073&lt;=Umbral),1,0))</f>
        <v/>
      </c>
      <c r="AB3073" s="52">
        <f>IF(OR(P3073="",Q3073=""),"",IFERROR(IF(INDEX(ctaVinc,MATCH(Q3073,ctaNombre,0))&amp;""&lt;&gt;"",INDEX(ctaVinc,MATCH(Q3073,ctaNombre,0))&amp;"",Q3073),Q3073))</f>
        <v/>
      </c>
      <c r="AC3073" s="52">
        <f>IF(OR(K3073="",AND(P3073&lt;&gt;"Transferencia",P3073&lt;&gt;"Pago tarjeta")),"",IFERROR(IF(INDEX(ctaVinc,MATCH(K3073,ctaNombre,0))&amp;""&lt;&gt;"",INDEX(ctaVinc,MATCH(K3073,ctaNombre,0))&amp;"",K3073),K3073))</f>
        <v/>
      </c>
      <c r="AD3073" s="52">
        <f>IF(AB3073="","",IFERROR(INDEX(ctaTipo,MATCH(AB3073,ctaNombre,0))&amp;"",""))</f>
        <v/>
      </c>
      <c r="AE3073" s="52">
        <f>IF(AC3073="","",IFERROR(INDEX(ctaTipo,MATCH(AC3073,ctaNombre,0))&amp;"",""))</f>
        <v/>
      </c>
      <c r="AF3073" s="53">
        <f>IF(OR(P3073="",AB3073=""),"",IF(OR(P3073="Gasto",P3073="Transferencia",P3073="Pago tarjeta"),-1,1)*IF(IFERROR(INDEX(ctaMoneda,MATCH(AB3073,ctaNombre,0))&amp;"","DOP")="USD",T3073,S3073))</f>
        <v/>
      </c>
      <c r="AG3073" s="53">
        <f>IF(AC3073="","",IF(IFERROR(INDEX(ctaMoneda,MATCH(AC3073,ctaNombre,0))&amp;"","DOP")="USD",T3073,S3073))</f>
        <v/>
      </c>
      <c r="AH3073" s="53">
        <f>IF(P3073="","",IF(AND(AD3073&lt;&gt;"",COUNTIFS(tcTipo,AD3073,tcLiq,"Sí")&gt;0),IF(OR(P3073="Gasto",P3073="Transferencia",P3073="Pago tarjeta"),-1,1)*S3073,0)+IF(AND(AE3073&lt;&gt;"",COUNTIFS(tcTipo,AE3073,tcLiq,"Sí")&gt;0),S3073,0))</f>
        <v/>
      </c>
      <c r="AI3073" s="52">
        <f>IF(OR(L3073="",P3073=""),"",IF(COUNTIFS(L$6:L3073,L3073,P$6:P3073,"?*")=1,MAX(AI$5:AI3072)+1,""))</f>
        <v/>
      </c>
    </row>
    <row r="3074">
      <c r="B3074" s="47" t="n"/>
      <c r="C3074" s="48" t="n"/>
      <c r="D3074" s="48" t="n"/>
      <c r="E3074" s="48" t="n"/>
      <c r="F3074" s="48" t="n"/>
      <c r="G3074" s="49" t="n"/>
      <c r="H3074" s="48" t="n"/>
      <c r="I3074" s="50" t="n"/>
      <c r="J3074" s="48" t="n"/>
      <c r="K3074" s="48" t="n"/>
      <c r="L3074" s="48" t="n"/>
      <c r="M3074" s="48" t="n"/>
      <c r="N3074" s="48" t="n"/>
      <c r="O3074" s="51">
        <f>IF(AND(B3074="",G3074="",C3074="",D3074="",J3074=""),"",IF(B3074="","⚠ Falta fecha",IF(G3074="","⚠ Falta monto",IF(Q3074="","⚠ Falta cuenta",IF(ISNA(MATCH(Q3074,ctaNombre,0)),"⚠ Cuenta no registrada",IF(AND(OR(P3074="Gasto",P3074="Reembolso"),D3074=""),"⚠ Falta categoría",IF(AND(D3074&lt;&gt;"",E3074&lt;&gt;"",ISNA(MATCH(D3074&amp;"|"&amp;E3074,catClave,0))),"⚠ Subcategoría no corresponde",IF(AND(OR(P3074="Transferencia",P3074="Pago tarjeta"),K3074=""),"⚠ Falta cuenta destino",IF(AND(K3074&lt;&gt;"",P3074&lt;&gt;"Transferencia",P3074&lt;&gt;"Pago tarjeta"),"⚠ Destino solo aplica a transferencias",IF(AND(K3074&lt;&gt;"",K3074=Q3074),"⚠ Origen igual a destino",IF(AND(K3074&lt;&gt;"",ISNA(MATCH(K3074,ctaNombre,0))),"⚠ Destino no registrado",IF(AND(P3074="Pago tarjeta",AE3074&lt;&gt;"Tarjeta de crédito"),"⚠ El destino debe ser tarjeta de crédito",IF(AND(P3074="Gasto",E3074="Depósitos y retiros"),"⚠ Usa tipo Transferencia",IF(AND(P3074="Resultado trading",AD3074&lt;&gt;"Cuenta de trading"),"⚠ Usa una cuenta de trading",IF(AND(G3074&lt;=0,P3074&lt;&gt;"Ajuste",P3074&lt;&gt;"Resultado trading"),"⚠ El monto debe ser positivo","✓")))))))))))))))</f>
        <v/>
      </c>
      <c r="P3074" s="52">
        <f>IF(OR(B3074="",G3074=""),"",IF(C3074="","Gasto",C3074))</f>
        <v/>
      </c>
      <c r="Q3074" s="52">
        <f>IF(P3074="","",IF(J3074&lt;&gt;"",J3074,CuentaPred&amp;""))</f>
        <v/>
      </c>
      <c r="R3074" s="52">
        <f>IF(P3074="","",IF(ISNUMBER(I3074),I3074,TasaUSD))</f>
        <v/>
      </c>
      <c r="S3074" s="53">
        <f>IF(P3074="","",IF(H3074="USD",G3074*R3074,G3074))</f>
        <v/>
      </c>
      <c r="T3074" s="53">
        <f>IF(P3074="","",IF(H3074="USD",G3074,IF(R3074&gt;0,G3074/R3074,0)))</f>
        <v/>
      </c>
      <c r="U3074" s="53">
        <f>IF(P3074="","",IF(P3074="Gasto",S3074,IF(P3074="Reembolso",-S3074,0)))</f>
        <v/>
      </c>
      <c r="V3074" s="53">
        <f>IF(P3074="","",IF(P3074="Ingreso",S3074,0))</f>
        <v/>
      </c>
      <c r="W3074" s="53">
        <f>IF(P3074="","",IF(P3074="Resultado trading",S3074,0))</f>
        <v/>
      </c>
      <c r="X3074" s="52">
        <f>IF(OR(P3074="Gasto",P3074="Reembolso"),IF(M3074&lt;&gt;"",M3074,IFERROR(INDEX(catClasif,MATCH(D3074&amp;"|"&amp;E3074,catClave,0))&amp;"","Variable")),"")</f>
        <v/>
      </c>
      <c r="Y3074" s="52">
        <f>IF(P3074="","",IFERROR(INDEX(catGrupo,MATCH(D3074&amp;"|"&amp;E3074,catClave,0))&amp;"",""))</f>
        <v/>
      </c>
      <c r="Z3074" s="52">
        <f>IF(P3074="","",WEEKDAY(B3074,2))</f>
        <v/>
      </c>
      <c r="AA3074" s="52">
        <f>IF(P3074="","",IF(AND(P3074="Gasto",X3074="Variable",D3074&lt;&gt;catTrading,S3074&gt;0,S3074&lt;=Umbral),1,0))</f>
        <v/>
      </c>
      <c r="AB3074" s="52">
        <f>IF(OR(P3074="",Q3074=""),"",IFERROR(IF(INDEX(ctaVinc,MATCH(Q3074,ctaNombre,0))&amp;""&lt;&gt;"",INDEX(ctaVinc,MATCH(Q3074,ctaNombre,0))&amp;"",Q3074),Q3074))</f>
        <v/>
      </c>
      <c r="AC3074" s="52">
        <f>IF(OR(K3074="",AND(P3074&lt;&gt;"Transferencia",P3074&lt;&gt;"Pago tarjeta")),"",IFERROR(IF(INDEX(ctaVinc,MATCH(K3074,ctaNombre,0))&amp;""&lt;&gt;"",INDEX(ctaVinc,MATCH(K3074,ctaNombre,0))&amp;"",K3074),K3074))</f>
        <v/>
      </c>
      <c r="AD3074" s="52">
        <f>IF(AB3074="","",IFERROR(INDEX(ctaTipo,MATCH(AB3074,ctaNombre,0))&amp;"",""))</f>
        <v/>
      </c>
      <c r="AE3074" s="52">
        <f>IF(AC3074="","",IFERROR(INDEX(ctaTipo,MATCH(AC3074,ctaNombre,0))&amp;"",""))</f>
        <v/>
      </c>
      <c r="AF3074" s="53">
        <f>IF(OR(P3074="",AB3074=""),"",IF(OR(P3074="Gasto",P3074="Transferencia",P3074="Pago tarjeta"),-1,1)*IF(IFERROR(INDEX(ctaMoneda,MATCH(AB3074,ctaNombre,0))&amp;"","DOP")="USD",T3074,S3074))</f>
        <v/>
      </c>
      <c r="AG3074" s="53">
        <f>IF(AC3074="","",IF(IFERROR(INDEX(ctaMoneda,MATCH(AC3074,ctaNombre,0))&amp;"","DOP")="USD",T3074,S3074))</f>
        <v/>
      </c>
      <c r="AH3074" s="53">
        <f>IF(P3074="","",IF(AND(AD3074&lt;&gt;"",COUNTIFS(tcTipo,AD3074,tcLiq,"Sí")&gt;0),IF(OR(P3074="Gasto",P3074="Transferencia",P3074="Pago tarjeta"),-1,1)*S3074,0)+IF(AND(AE3074&lt;&gt;"",COUNTIFS(tcTipo,AE3074,tcLiq,"Sí")&gt;0),S3074,0))</f>
        <v/>
      </c>
      <c r="AI3074" s="52">
        <f>IF(OR(L3074="",P3074=""),"",IF(COUNTIFS(L$6:L3074,L3074,P$6:P3074,"?*")=1,MAX(AI$5:AI3073)+1,""))</f>
        <v/>
      </c>
    </row>
    <row r="3075">
      <c r="B3075" s="47" t="n"/>
      <c r="C3075" s="48" t="n"/>
      <c r="D3075" s="48" t="n"/>
      <c r="E3075" s="48" t="n"/>
      <c r="F3075" s="48" t="n"/>
      <c r="G3075" s="49" t="n"/>
      <c r="H3075" s="48" t="n"/>
      <c r="I3075" s="50" t="n"/>
      <c r="J3075" s="48" t="n"/>
      <c r="K3075" s="48" t="n"/>
      <c r="L3075" s="48" t="n"/>
      <c r="M3075" s="48" t="n"/>
      <c r="N3075" s="48" t="n"/>
      <c r="O3075" s="51">
        <f>IF(AND(B3075="",G3075="",C3075="",D3075="",J3075=""),"",IF(B3075="","⚠ Falta fecha",IF(G3075="","⚠ Falta monto",IF(Q3075="","⚠ Falta cuenta",IF(ISNA(MATCH(Q3075,ctaNombre,0)),"⚠ Cuenta no registrada",IF(AND(OR(P3075="Gasto",P3075="Reembolso"),D3075=""),"⚠ Falta categoría",IF(AND(D3075&lt;&gt;"",E3075&lt;&gt;"",ISNA(MATCH(D3075&amp;"|"&amp;E3075,catClave,0))),"⚠ Subcategoría no corresponde",IF(AND(OR(P3075="Transferencia",P3075="Pago tarjeta"),K3075=""),"⚠ Falta cuenta destino",IF(AND(K3075&lt;&gt;"",P3075&lt;&gt;"Transferencia",P3075&lt;&gt;"Pago tarjeta"),"⚠ Destino solo aplica a transferencias",IF(AND(K3075&lt;&gt;"",K3075=Q3075),"⚠ Origen igual a destino",IF(AND(K3075&lt;&gt;"",ISNA(MATCH(K3075,ctaNombre,0))),"⚠ Destino no registrado",IF(AND(P3075="Pago tarjeta",AE3075&lt;&gt;"Tarjeta de crédito"),"⚠ El destino debe ser tarjeta de crédito",IF(AND(P3075="Gasto",E3075="Depósitos y retiros"),"⚠ Usa tipo Transferencia",IF(AND(P3075="Resultado trading",AD3075&lt;&gt;"Cuenta de trading"),"⚠ Usa una cuenta de trading",IF(AND(G3075&lt;=0,P3075&lt;&gt;"Ajuste",P3075&lt;&gt;"Resultado trading"),"⚠ El monto debe ser positivo","✓")))))))))))))))</f>
        <v/>
      </c>
      <c r="P3075" s="52">
        <f>IF(OR(B3075="",G3075=""),"",IF(C3075="","Gasto",C3075))</f>
        <v/>
      </c>
      <c r="Q3075" s="52">
        <f>IF(P3075="","",IF(J3075&lt;&gt;"",J3075,CuentaPred&amp;""))</f>
        <v/>
      </c>
      <c r="R3075" s="52">
        <f>IF(P3075="","",IF(ISNUMBER(I3075),I3075,TasaUSD))</f>
        <v/>
      </c>
      <c r="S3075" s="53">
        <f>IF(P3075="","",IF(H3075="USD",G3075*R3075,G3075))</f>
        <v/>
      </c>
      <c r="T3075" s="53">
        <f>IF(P3075="","",IF(H3075="USD",G3075,IF(R3075&gt;0,G3075/R3075,0)))</f>
        <v/>
      </c>
      <c r="U3075" s="53">
        <f>IF(P3075="","",IF(P3075="Gasto",S3075,IF(P3075="Reembolso",-S3075,0)))</f>
        <v/>
      </c>
      <c r="V3075" s="53">
        <f>IF(P3075="","",IF(P3075="Ingreso",S3075,0))</f>
        <v/>
      </c>
      <c r="W3075" s="53">
        <f>IF(P3075="","",IF(P3075="Resultado trading",S3075,0))</f>
        <v/>
      </c>
      <c r="X3075" s="52">
        <f>IF(OR(P3075="Gasto",P3075="Reembolso"),IF(M3075&lt;&gt;"",M3075,IFERROR(INDEX(catClasif,MATCH(D3075&amp;"|"&amp;E3075,catClave,0))&amp;"","Variable")),"")</f>
        <v/>
      </c>
      <c r="Y3075" s="52">
        <f>IF(P3075="","",IFERROR(INDEX(catGrupo,MATCH(D3075&amp;"|"&amp;E3075,catClave,0))&amp;"",""))</f>
        <v/>
      </c>
      <c r="Z3075" s="52">
        <f>IF(P3075="","",WEEKDAY(B3075,2))</f>
        <v/>
      </c>
      <c r="AA3075" s="52">
        <f>IF(P3075="","",IF(AND(P3075="Gasto",X3075="Variable",D3075&lt;&gt;catTrading,S3075&gt;0,S3075&lt;=Umbral),1,0))</f>
        <v/>
      </c>
      <c r="AB3075" s="52">
        <f>IF(OR(P3075="",Q3075=""),"",IFERROR(IF(INDEX(ctaVinc,MATCH(Q3075,ctaNombre,0))&amp;""&lt;&gt;"",INDEX(ctaVinc,MATCH(Q3075,ctaNombre,0))&amp;"",Q3075),Q3075))</f>
        <v/>
      </c>
      <c r="AC3075" s="52">
        <f>IF(OR(K3075="",AND(P3075&lt;&gt;"Transferencia",P3075&lt;&gt;"Pago tarjeta")),"",IFERROR(IF(INDEX(ctaVinc,MATCH(K3075,ctaNombre,0))&amp;""&lt;&gt;"",INDEX(ctaVinc,MATCH(K3075,ctaNombre,0))&amp;"",K3075),K3075))</f>
        <v/>
      </c>
      <c r="AD3075" s="52">
        <f>IF(AB3075="","",IFERROR(INDEX(ctaTipo,MATCH(AB3075,ctaNombre,0))&amp;"",""))</f>
        <v/>
      </c>
      <c r="AE3075" s="52">
        <f>IF(AC3075="","",IFERROR(INDEX(ctaTipo,MATCH(AC3075,ctaNombre,0))&amp;"",""))</f>
        <v/>
      </c>
      <c r="AF3075" s="53">
        <f>IF(OR(P3075="",AB3075=""),"",IF(OR(P3075="Gasto",P3075="Transferencia",P3075="Pago tarjeta"),-1,1)*IF(IFERROR(INDEX(ctaMoneda,MATCH(AB3075,ctaNombre,0))&amp;"","DOP")="USD",T3075,S3075))</f>
        <v/>
      </c>
      <c r="AG3075" s="53">
        <f>IF(AC3075="","",IF(IFERROR(INDEX(ctaMoneda,MATCH(AC3075,ctaNombre,0))&amp;"","DOP")="USD",T3075,S3075))</f>
        <v/>
      </c>
      <c r="AH3075" s="53">
        <f>IF(P3075="","",IF(AND(AD3075&lt;&gt;"",COUNTIFS(tcTipo,AD3075,tcLiq,"Sí")&gt;0),IF(OR(P3075="Gasto",P3075="Transferencia",P3075="Pago tarjeta"),-1,1)*S3075,0)+IF(AND(AE3075&lt;&gt;"",COUNTIFS(tcTipo,AE3075,tcLiq,"Sí")&gt;0),S3075,0))</f>
        <v/>
      </c>
      <c r="AI3075" s="52">
        <f>IF(OR(L3075="",P3075=""),"",IF(COUNTIFS(L$6:L3075,L3075,P$6:P3075,"?*")=1,MAX(AI$5:AI3074)+1,""))</f>
        <v/>
      </c>
    </row>
    <row r="3076">
      <c r="B3076" s="47" t="n"/>
      <c r="C3076" s="48" t="n"/>
      <c r="D3076" s="48" t="n"/>
      <c r="E3076" s="48" t="n"/>
      <c r="F3076" s="48" t="n"/>
      <c r="G3076" s="49" t="n"/>
      <c r="H3076" s="48" t="n"/>
      <c r="I3076" s="50" t="n"/>
      <c r="J3076" s="48" t="n"/>
      <c r="K3076" s="48" t="n"/>
      <c r="L3076" s="48" t="n"/>
      <c r="M3076" s="48" t="n"/>
      <c r="N3076" s="48" t="n"/>
      <c r="O3076" s="51">
        <f>IF(AND(B3076="",G3076="",C3076="",D3076="",J3076=""),"",IF(B3076="","⚠ Falta fecha",IF(G3076="","⚠ Falta monto",IF(Q3076="","⚠ Falta cuenta",IF(ISNA(MATCH(Q3076,ctaNombre,0)),"⚠ Cuenta no registrada",IF(AND(OR(P3076="Gasto",P3076="Reembolso"),D3076=""),"⚠ Falta categoría",IF(AND(D3076&lt;&gt;"",E3076&lt;&gt;"",ISNA(MATCH(D3076&amp;"|"&amp;E3076,catClave,0))),"⚠ Subcategoría no corresponde",IF(AND(OR(P3076="Transferencia",P3076="Pago tarjeta"),K3076=""),"⚠ Falta cuenta destino",IF(AND(K3076&lt;&gt;"",P3076&lt;&gt;"Transferencia",P3076&lt;&gt;"Pago tarjeta"),"⚠ Destino solo aplica a transferencias",IF(AND(K3076&lt;&gt;"",K3076=Q3076),"⚠ Origen igual a destino",IF(AND(K3076&lt;&gt;"",ISNA(MATCH(K3076,ctaNombre,0))),"⚠ Destino no registrado",IF(AND(P3076="Pago tarjeta",AE3076&lt;&gt;"Tarjeta de crédito"),"⚠ El destino debe ser tarjeta de crédito",IF(AND(P3076="Gasto",E3076="Depósitos y retiros"),"⚠ Usa tipo Transferencia",IF(AND(P3076="Resultado trading",AD3076&lt;&gt;"Cuenta de trading"),"⚠ Usa una cuenta de trading",IF(AND(G3076&lt;=0,P3076&lt;&gt;"Ajuste",P3076&lt;&gt;"Resultado trading"),"⚠ El monto debe ser positivo","✓")))))))))))))))</f>
        <v/>
      </c>
      <c r="P3076" s="52">
        <f>IF(OR(B3076="",G3076=""),"",IF(C3076="","Gasto",C3076))</f>
        <v/>
      </c>
      <c r="Q3076" s="52">
        <f>IF(P3076="","",IF(J3076&lt;&gt;"",J3076,CuentaPred&amp;""))</f>
        <v/>
      </c>
      <c r="R3076" s="52">
        <f>IF(P3076="","",IF(ISNUMBER(I3076),I3076,TasaUSD))</f>
        <v/>
      </c>
      <c r="S3076" s="53">
        <f>IF(P3076="","",IF(H3076="USD",G3076*R3076,G3076))</f>
        <v/>
      </c>
      <c r="T3076" s="53">
        <f>IF(P3076="","",IF(H3076="USD",G3076,IF(R3076&gt;0,G3076/R3076,0)))</f>
        <v/>
      </c>
      <c r="U3076" s="53">
        <f>IF(P3076="","",IF(P3076="Gasto",S3076,IF(P3076="Reembolso",-S3076,0)))</f>
        <v/>
      </c>
      <c r="V3076" s="53">
        <f>IF(P3076="","",IF(P3076="Ingreso",S3076,0))</f>
        <v/>
      </c>
      <c r="W3076" s="53">
        <f>IF(P3076="","",IF(P3076="Resultado trading",S3076,0))</f>
        <v/>
      </c>
      <c r="X3076" s="52">
        <f>IF(OR(P3076="Gasto",P3076="Reembolso"),IF(M3076&lt;&gt;"",M3076,IFERROR(INDEX(catClasif,MATCH(D3076&amp;"|"&amp;E3076,catClave,0))&amp;"","Variable")),"")</f>
        <v/>
      </c>
      <c r="Y3076" s="52">
        <f>IF(P3076="","",IFERROR(INDEX(catGrupo,MATCH(D3076&amp;"|"&amp;E3076,catClave,0))&amp;"",""))</f>
        <v/>
      </c>
      <c r="Z3076" s="52">
        <f>IF(P3076="","",WEEKDAY(B3076,2))</f>
        <v/>
      </c>
      <c r="AA3076" s="52">
        <f>IF(P3076="","",IF(AND(P3076="Gasto",X3076="Variable",D3076&lt;&gt;catTrading,S3076&gt;0,S3076&lt;=Umbral),1,0))</f>
        <v/>
      </c>
      <c r="AB3076" s="52">
        <f>IF(OR(P3076="",Q3076=""),"",IFERROR(IF(INDEX(ctaVinc,MATCH(Q3076,ctaNombre,0))&amp;""&lt;&gt;"",INDEX(ctaVinc,MATCH(Q3076,ctaNombre,0))&amp;"",Q3076),Q3076))</f>
        <v/>
      </c>
      <c r="AC3076" s="52">
        <f>IF(OR(K3076="",AND(P3076&lt;&gt;"Transferencia",P3076&lt;&gt;"Pago tarjeta")),"",IFERROR(IF(INDEX(ctaVinc,MATCH(K3076,ctaNombre,0))&amp;""&lt;&gt;"",INDEX(ctaVinc,MATCH(K3076,ctaNombre,0))&amp;"",K3076),K3076))</f>
        <v/>
      </c>
      <c r="AD3076" s="52">
        <f>IF(AB3076="","",IFERROR(INDEX(ctaTipo,MATCH(AB3076,ctaNombre,0))&amp;"",""))</f>
        <v/>
      </c>
      <c r="AE3076" s="52">
        <f>IF(AC3076="","",IFERROR(INDEX(ctaTipo,MATCH(AC3076,ctaNombre,0))&amp;"",""))</f>
        <v/>
      </c>
      <c r="AF3076" s="53">
        <f>IF(OR(P3076="",AB3076=""),"",IF(OR(P3076="Gasto",P3076="Transferencia",P3076="Pago tarjeta"),-1,1)*IF(IFERROR(INDEX(ctaMoneda,MATCH(AB3076,ctaNombre,0))&amp;"","DOP")="USD",T3076,S3076))</f>
        <v/>
      </c>
      <c r="AG3076" s="53">
        <f>IF(AC3076="","",IF(IFERROR(INDEX(ctaMoneda,MATCH(AC3076,ctaNombre,0))&amp;"","DOP")="USD",T3076,S3076))</f>
        <v/>
      </c>
      <c r="AH3076" s="53">
        <f>IF(P3076="","",IF(AND(AD3076&lt;&gt;"",COUNTIFS(tcTipo,AD3076,tcLiq,"Sí")&gt;0),IF(OR(P3076="Gasto",P3076="Transferencia",P3076="Pago tarjeta"),-1,1)*S3076,0)+IF(AND(AE3076&lt;&gt;"",COUNTIFS(tcTipo,AE3076,tcLiq,"Sí")&gt;0),S3076,0))</f>
        <v/>
      </c>
      <c r="AI3076" s="52">
        <f>IF(OR(L3076="",P3076=""),"",IF(COUNTIFS(L$6:L3076,L3076,P$6:P3076,"?*")=1,MAX(AI$5:AI3075)+1,""))</f>
        <v/>
      </c>
    </row>
    <row r="3077">
      <c r="B3077" s="47" t="n"/>
      <c r="C3077" s="48" t="n"/>
      <c r="D3077" s="48" t="n"/>
      <c r="E3077" s="48" t="n"/>
      <c r="F3077" s="48" t="n"/>
      <c r="G3077" s="49" t="n"/>
      <c r="H3077" s="48" t="n"/>
      <c r="I3077" s="50" t="n"/>
      <c r="J3077" s="48" t="n"/>
      <c r="K3077" s="48" t="n"/>
      <c r="L3077" s="48" t="n"/>
      <c r="M3077" s="48" t="n"/>
      <c r="N3077" s="48" t="n"/>
      <c r="O3077" s="51">
        <f>IF(AND(B3077="",G3077="",C3077="",D3077="",J3077=""),"",IF(B3077="","⚠ Falta fecha",IF(G3077="","⚠ Falta monto",IF(Q3077="","⚠ Falta cuenta",IF(ISNA(MATCH(Q3077,ctaNombre,0)),"⚠ Cuenta no registrada",IF(AND(OR(P3077="Gasto",P3077="Reembolso"),D3077=""),"⚠ Falta categoría",IF(AND(D3077&lt;&gt;"",E3077&lt;&gt;"",ISNA(MATCH(D3077&amp;"|"&amp;E3077,catClave,0))),"⚠ Subcategoría no corresponde",IF(AND(OR(P3077="Transferencia",P3077="Pago tarjeta"),K3077=""),"⚠ Falta cuenta destino",IF(AND(K3077&lt;&gt;"",P3077&lt;&gt;"Transferencia",P3077&lt;&gt;"Pago tarjeta"),"⚠ Destino solo aplica a transferencias",IF(AND(K3077&lt;&gt;"",K3077=Q3077),"⚠ Origen igual a destino",IF(AND(K3077&lt;&gt;"",ISNA(MATCH(K3077,ctaNombre,0))),"⚠ Destino no registrado",IF(AND(P3077="Pago tarjeta",AE3077&lt;&gt;"Tarjeta de crédito"),"⚠ El destino debe ser tarjeta de crédito",IF(AND(P3077="Gasto",E3077="Depósitos y retiros"),"⚠ Usa tipo Transferencia",IF(AND(P3077="Resultado trading",AD3077&lt;&gt;"Cuenta de trading"),"⚠ Usa una cuenta de trading",IF(AND(G3077&lt;=0,P3077&lt;&gt;"Ajuste",P3077&lt;&gt;"Resultado trading"),"⚠ El monto debe ser positivo","✓")))))))))))))))</f>
        <v/>
      </c>
      <c r="P3077" s="52">
        <f>IF(OR(B3077="",G3077=""),"",IF(C3077="","Gasto",C3077))</f>
        <v/>
      </c>
      <c r="Q3077" s="52">
        <f>IF(P3077="","",IF(J3077&lt;&gt;"",J3077,CuentaPred&amp;""))</f>
        <v/>
      </c>
      <c r="R3077" s="52">
        <f>IF(P3077="","",IF(ISNUMBER(I3077),I3077,TasaUSD))</f>
        <v/>
      </c>
      <c r="S3077" s="53">
        <f>IF(P3077="","",IF(H3077="USD",G3077*R3077,G3077))</f>
        <v/>
      </c>
      <c r="T3077" s="53">
        <f>IF(P3077="","",IF(H3077="USD",G3077,IF(R3077&gt;0,G3077/R3077,0)))</f>
        <v/>
      </c>
      <c r="U3077" s="53">
        <f>IF(P3077="","",IF(P3077="Gasto",S3077,IF(P3077="Reembolso",-S3077,0)))</f>
        <v/>
      </c>
      <c r="V3077" s="53">
        <f>IF(P3077="","",IF(P3077="Ingreso",S3077,0))</f>
        <v/>
      </c>
      <c r="W3077" s="53">
        <f>IF(P3077="","",IF(P3077="Resultado trading",S3077,0))</f>
        <v/>
      </c>
      <c r="X3077" s="52">
        <f>IF(OR(P3077="Gasto",P3077="Reembolso"),IF(M3077&lt;&gt;"",M3077,IFERROR(INDEX(catClasif,MATCH(D3077&amp;"|"&amp;E3077,catClave,0))&amp;"","Variable")),"")</f>
        <v/>
      </c>
      <c r="Y3077" s="52">
        <f>IF(P3077="","",IFERROR(INDEX(catGrupo,MATCH(D3077&amp;"|"&amp;E3077,catClave,0))&amp;"",""))</f>
        <v/>
      </c>
      <c r="Z3077" s="52">
        <f>IF(P3077="","",WEEKDAY(B3077,2))</f>
        <v/>
      </c>
      <c r="AA3077" s="52">
        <f>IF(P3077="","",IF(AND(P3077="Gasto",X3077="Variable",D3077&lt;&gt;catTrading,S3077&gt;0,S3077&lt;=Umbral),1,0))</f>
        <v/>
      </c>
      <c r="AB3077" s="52">
        <f>IF(OR(P3077="",Q3077=""),"",IFERROR(IF(INDEX(ctaVinc,MATCH(Q3077,ctaNombre,0))&amp;""&lt;&gt;"",INDEX(ctaVinc,MATCH(Q3077,ctaNombre,0))&amp;"",Q3077),Q3077))</f>
        <v/>
      </c>
      <c r="AC3077" s="52">
        <f>IF(OR(K3077="",AND(P3077&lt;&gt;"Transferencia",P3077&lt;&gt;"Pago tarjeta")),"",IFERROR(IF(INDEX(ctaVinc,MATCH(K3077,ctaNombre,0))&amp;""&lt;&gt;"",INDEX(ctaVinc,MATCH(K3077,ctaNombre,0))&amp;"",K3077),K3077))</f>
        <v/>
      </c>
      <c r="AD3077" s="52">
        <f>IF(AB3077="","",IFERROR(INDEX(ctaTipo,MATCH(AB3077,ctaNombre,0))&amp;"",""))</f>
        <v/>
      </c>
      <c r="AE3077" s="52">
        <f>IF(AC3077="","",IFERROR(INDEX(ctaTipo,MATCH(AC3077,ctaNombre,0))&amp;"",""))</f>
        <v/>
      </c>
      <c r="AF3077" s="53">
        <f>IF(OR(P3077="",AB3077=""),"",IF(OR(P3077="Gasto",P3077="Transferencia",P3077="Pago tarjeta"),-1,1)*IF(IFERROR(INDEX(ctaMoneda,MATCH(AB3077,ctaNombre,0))&amp;"","DOP")="USD",T3077,S3077))</f>
        <v/>
      </c>
      <c r="AG3077" s="53">
        <f>IF(AC3077="","",IF(IFERROR(INDEX(ctaMoneda,MATCH(AC3077,ctaNombre,0))&amp;"","DOP")="USD",T3077,S3077))</f>
        <v/>
      </c>
      <c r="AH3077" s="53">
        <f>IF(P3077="","",IF(AND(AD3077&lt;&gt;"",COUNTIFS(tcTipo,AD3077,tcLiq,"Sí")&gt;0),IF(OR(P3077="Gasto",P3077="Transferencia",P3077="Pago tarjeta"),-1,1)*S3077,0)+IF(AND(AE3077&lt;&gt;"",COUNTIFS(tcTipo,AE3077,tcLiq,"Sí")&gt;0),S3077,0))</f>
        <v/>
      </c>
      <c r="AI3077" s="52">
        <f>IF(OR(L3077="",P3077=""),"",IF(COUNTIFS(L$6:L3077,L3077,P$6:P3077,"?*")=1,MAX(AI$5:AI3076)+1,""))</f>
        <v/>
      </c>
    </row>
    <row r="3078">
      <c r="B3078" s="47" t="n"/>
      <c r="C3078" s="48" t="n"/>
      <c r="D3078" s="48" t="n"/>
      <c r="E3078" s="48" t="n"/>
      <c r="F3078" s="48" t="n"/>
      <c r="G3078" s="49" t="n"/>
      <c r="H3078" s="48" t="n"/>
      <c r="I3078" s="50" t="n"/>
      <c r="J3078" s="48" t="n"/>
      <c r="K3078" s="48" t="n"/>
      <c r="L3078" s="48" t="n"/>
      <c r="M3078" s="48" t="n"/>
      <c r="N3078" s="48" t="n"/>
      <c r="O3078" s="51">
        <f>IF(AND(B3078="",G3078="",C3078="",D3078="",J3078=""),"",IF(B3078="","⚠ Falta fecha",IF(G3078="","⚠ Falta monto",IF(Q3078="","⚠ Falta cuenta",IF(ISNA(MATCH(Q3078,ctaNombre,0)),"⚠ Cuenta no registrada",IF(AND(OR(P3078="Gasto",P3078="Reembolso"),D3078=""),"⚠ Falta categoría",IF(AND(D3078&lt;&gt;"",E3078&lt;&gt;"",ISNA(MATCH(D3078&amp;"|"&amp;E3078,catClave,0))),"⚠ Subcategoría no corresponde",IF(AND(OR(P3078="Transferencia",P3078="Pago tarjeta"),K3078=""),"⚠ Falta cuenta destino",IF(AND(K3078&lt;&gt;"",P3078&lt;&gt;"Transferencia",P3078&lt;&gt;"Pago tarjeta"),"⚠ Destino solo aplica a transferencias",IF(AND(K3078&lt;&gt;"",K3078=Q3078),"⚠ Origen igual a destino",IF(AND(K3078&lt;&gt;"",ISNA(MATCH(K3078,ctaNombre,0))),"⚠ Destino no registrado",IF(AND(P3078="Pago tarjeta",AE3078&lt;&gt;"Tarjeta de crédito"),"⚠ El destino debe ser tarjeta de crédito",IF(AND(P3078="Gasto",E3078="Depósitos y retiros"),"⚠ Usa tipo Transferencia",IF(AND(P3078="Resultado trading",AD3078&lt;&gt;"Cuenta de trading"),"⚠ Usa una cuenta de trading",IF(AND(G3078&lt;=0,P3078&lt;&gt;"Ajuste",P3078&lt;&gt;"Resultado trading"),"⚠ El monto debe ser positivo","✓")))))))))))))))</f>
        <v/>
      </c>
      <c r="P3078" s="52">
        <f>IF(OR(B3078="",G3078=""),"",IF(C3078="","Gasto",C3078))</f>
        <v/>
      </c>
      <c r="Q3078" s="52">
        <f>IF(P3078="","",IF(J3078&lt;&gt;"",J3078,CuentaPred&amp;""))</f>
        <v/>
      </c>
      <c r="R3078" s="52">
        <f>IF(P3078="","",IF(ISNUMBER(I3078),I3078,TasaUSD))</f>
        <v/>
      </c>
      <c r="S3078" s="53">
        <f>IF(P3078="","",IF(H3078="USD",G3078*R3078,G3078))</f>
        <v/>
      </c>
      <c r="T3078" s="53">
        <f>IF(P3078="","",IF(H3078="USD",G3078,IF(R3078&gt;0,G3078/R3078,0)))</f>
        <v/>
      </c>
      <c r="U3078" s="53">
        <f>IF(P3078="","",IF(P3078="Gasto",S3078,IF(P3078="Reembolso",-S3078,0)))</f>
        <v/>
      </c>
      <c r="V3078" s="53">
        <f>IF(P3078="","",IF(P3078="Ingreso",S3078,0))</f>
        <v/>
      </c>
      <c r="W3078" s="53">
        <f>IF(P3078="","",IF(P3078="Resultado trading",S3078,0))</f>
        <v/>
      </c>
      <c r="X3078" s="52">
        <f>IF(OR(P3078="Gasto",P3078="Reembolso"),IF(M3078&lt;&gt;"",M3078,IFERROR(INDEX(catClasif,MATCH(D3078&amp;"|"&amp;E3078,catClave,0))&amp;"","Variable")),"")</f>
        <v/>
      </c>
      <c r="Y3078" s="52">
        <f>IF(P3078="","",IFERROR(INDEX(catGrupo,MATCH(D3078&amp;"|"&amp;E3078,catClave,0))&amp;"",""))</f>
        <v/>
      </c>
      <c r="Z3078" s="52">
        <f>IF(P3078="","",WEEKDAY(B3078,2))</f>
        <v/>
      </c>
      <c r="AA3078" s="52">
        <f>IF(P3078="","",IF(AND(P3078="Gasto",X3078="Variable",D3078&lt;&gt;catTrading,S3078&gt;0,S3078&lt;=Umbral),1,0))</f>
        <v/>
      </c>
      <c r="AB3078" s="52">
        <f>IF(OR(P3078="",Q3078=""),"",IFERROR(IF(INDEX(ctaVinc,MATCH(Q3078,ctaNombre,0))&amp;""&lt;&gt;"",INDEX(ctaVinc,MATCH(Q3078,ctaNombre,0))&amp;"",Q3078),Q3078))</f>
        <v/>
      </c>
      <c r="AC3078" s="52">
        <f>IF(OR(K3078="",AND(P3078&lt;&gt;"Transferencia",P3078&lt;&gt;"Pago tarjeta")),"",IFERROR(IF(INDEX(ctaVinc,MATCH(K3078,ctaNombre,0))&amp;""&lt;&gt;"",INDEX(ctaVinc,MATCH(K3078,ctaNombre,0))&amp;"",K3078),K3078))</f>
        <v/>
      </c>
      <c r="AD3078" s="52">
        <f>IF(AB3078="","",IFERROR(INDEX(ctaTipo,MATCH(AB3078,ctaNombre,0))&amp;"",""))</f>
        <v/>
      </c>
      <c r="AE3078" s="52">
        <f>IF(AC3078="","",IFERROR(INDEX(ctaTipo,MATCH(AC3078,ctaNombre,0))&amp;"",""))</f>
        <v/>
      </c>
      <c r="AF3078" s="53">
        <f>IF(OR(P3078="",AB3078=""),"",IF(OR(P3078="Gasto",P3078="Transferencia",P3078="Pago tarjeta"),-1,1)*IF(IFERROR(INDEX(ctaMoneda,MATCH(AB3078,ctaNombre,0))&amp;"","DOP")="USD",T3078,S3078))</f>
        <v/>
      </c>
      <c r="AG3078" s="53">
        <f>IF(AC3078="","",IF(IFERROR(INDEX(ctaMoneda,MATCH(AC3078,ctaNombre,0))&amp;"","DOP")="USD",T3078,S3078))</f>
        <v/>
      </c>
      <c r="AH3078" s="53">
        <f>IF(P3078="","",IF(AND(AD3078&lt;&gt;"",COUNTIFS(tcTipo,AD3078,tcLiq,"Sí")&gt;0),IF(OR(P3078="Gasto",P3078="Transferencia",P3078="Pago tarjeta"),-1,1)*S3078,0)+IF(AND(AE3078&lt;&gt;"",COUNTIFS(tcTipo,AE3078,tcLiq,"Sí")&gt;0),S3078,0))</f>
        <v/>
      </c>
      <c r="AI3078" s="52">
        <f>IF(OR(L3078="",P3078=""),"",IF(COUNTIFS(L$6:L3078,L3078,P$6:P3078,"?*")=1,MAX(AI$5:AI3077)+1,""))</f>
        <v/>
      </c>
    </row>
    <row r="3079">
      <c r="B3079" s="47" t="n"/>
      <c r="C3079" s="48" t="n"/>
      <c r="D3079" s="48" t="n"/>
      <c r="E3079" s="48" t="n"/>
      <c r="F3079" s="48" t="n"/>
      <c r="G3079" s="49" t="n"/>
      <c r="H3079" s="48" t="n"/>
      <c r="I3079" s="50" t="n"/>
      <c r="J3079" s="48" t="n"/>
      <c r="K3079" s="48" t="n"/>
      <c r="L3079" s="48" t="n"/>
      <c r="M3079" s="48" t="n"/>
      <c r="N3079" s="48" t="n"/>
      <c r="O3079" s="51">
        <f>IF(AND(B3079="",G3079="",C3079="",D3079="",J3079=""),"",IF(B3079="","⚠ Falta fecha",IF(G3079="","⚠ Falta monto",IF(Q3079="","⚠ Falta cuenta",IF(ISNA(MATCH(Q3079,ctaNombre,0)),"⚠ Cuenta no registrada",IF(AND(OR(P3079="Gasto",P3079="Reembolso"),D3079=""),"⚠ Falta categoría",IF(AND(D3079&lt;&gt;"",E3079&lt;&gt;"",ISNA(MATCH(D3079&amp;"|"&amp;E3079,catClave,0))),"⚠ Subcategoría no corresponde",IF(AND(OR(P3079="Transferencia",P3079="Pago tarjeta"),K3079=""),"⚠ Falta cuenta destino",IF(AND(K3079&lt;&gt;"",P3079&lt;&gt;"Transferencia",P3079&lt;&gt;"Pago tarjeta"),"⚠ Destino solo aplica a transferencias",IF(AND(K3079&lt;&gt;"",K3079=Q3079),"⚠ Origen igual a destino",IF(AND(K3079&lt;&gt;"",ISNA(MATCH(K3079,ctaNombre,0))),"⚠ Destino no registrado",IF(AND(P3079="Pago tarjeta",AE3079&lt;&gt;"Tarjeta de crédito"),"⚠ El destino debe ser tarjeta de crédito",IF(AND(P3079="Gasto",E3079="Depósitos y retiros"),"⚠ Usa tipo Transferencia",IF(AND(P3079="Resultado trading",AD3079&lt;&gt;"Cuenta de trading"),"⚠ Usa una cuenta de trading",IF(AND(G3079&lt;=0,P3079&lt;&gt;"Ajuste",P3079&lt;&gt;"Resultado trading"),"⚠ El monto debe ser positivo","✓")))))))))))))))</f>
        <v/>
      </c>
      <c r="P3079" s="52">
        <f>IF(OR(B3079="",G3079=""),"",IF(C3079="","Gasto",C3079))</f>
        <v/>
      </c>
      <c r="Q3079" s="52">
        <f>IF(P3079="","",IF(J3079&lt;&gt;"",J3079,CuentaPred&amp;""))</f>
        <v/>
      </c>
      <c r="R3079" s="52">
        <f>IF(P3079="","",IF(ISNUMBER(I3079),I3079,TasaUSD))</f>
        <v/>
      </c>
      <c r="S3079" s="53">
        <f>IF(P3079="","",IF(H3079="USD",G3079*R3079,G3079))</f>
        <v/>
      </c>
      <c r="T3079" s="53">
        <f>IF(P3079="","",IF(H3079="USD",G3079,IF(R3079&gt;0,G3079/R3079,0)))</f>
        <v/>
      </c>
      <c r="U3079" s="53">
        <f>IF(P3079="","",IF(P3079="Gasto",S3079,IF(P3079="Reembolso",-S3079,0)))</f>
        <v/>
      </c>
      <c r="V3079" s="53">
        <f>IF(P3079="","",IF(P3079="Ingreso",S3079,0))</f>
        <v/>
      </c>
      <c r="W3079" s="53">
        <f>IF(P3079="","",IF(P3079="Resultado trading",S3079,0))</f>
        <v/>
      </c>
      <c r="X3079" s="52">
        <f>IF(OR(P3079="Gasto",P3079="Reembolso"),IF(M3079&lt;&gt;"",M3079,IFERROR(INDEX(catClasif,MATCH(D3079&amp;"|"&amp;E3079,catClave,0))&amp;"","Variable")),"")</f>
        <v/>
      </c>
      <c r="Y3079" s="52">
        <f>IF(P3079="","",IFERROR(INDEX(catGrupo,MATCH(D3079&amp;"|"&amp;E3079,catClave,0))&amp;"",""))</f>
        <v/>
      </c>
      <c r="Z3079" s="52">
        <f>IF(P3079="","",WEEKDAY(B3079,2))</f>
        <v/>
      </c>
      <c r="AA3079" s="52">
        <f>IF(P3079="","",IF(AND(P3079="Gasto",X3079="Variable",D3079&lt;&gt;catTrading,S3079&gt;0,S3079&lt;=Umbral),1,0))</f>
        <v/>
      </c>
      <c r="AB3079" s="52">
        <f>IF(OR(P3079="",Q3079=""),"",IFERROR(IF(INDEX(ctaVinc,MATCH(Q3079,ctaNombre,0))&amp;""&lt;&gt;"",INDEX(ctaVinc,MATCH(Q3079,ctaNombre,0))&amp;"",Q3079),Q3079))</f>
        <v/>
      </c>
      <c r="AC3079" s="52">
        <f>IF(OR(K3079="",AND(P3079&lt;&gt;"Transferencia",P3079&lt;&gt;"Pago tarjeta")),"",IFERROR(IF(INDEX(ctaVinc,MATCH(K3079,ctaNombre,0))&amp;""&lt;&gt;"",INDEX(ctaVinc,MATCH(K3079,ctaNombre,0))&amp;"",K3079),K3079))</f>
        <v/>
      </c>
      <c r="AD3079" s="52">
        <f>IF(AB3079="","",IFERROR(INDEX(ctaTipo,MATCH(AB3079,ctaNombre,0))&amp;"",""))</f>
        <v/>
      </c>
      <c r="AE3079" s="52">
        <f>IF(AC3079="","",IFERROR(INDEX(ctaTipo,MATCH(AC3079,ctaNombre,0))&amp;"",""))</f>
        <v/>
      </c>
      <c r="AF3079" s="53">
        <f>IF(OR(P3079="",AB3079=""),"",IF(OR(P3079="Gasto",P3079="Transferencia",P3079="Pago tarjeta"),-1,1)*IF(IFERROR(INDEX(ctaMoneda,MATCH(AB3079,ctaNombre,0))&amp;"","DOP")="USD",T3079,S3079))</f>
        <v/>
      </c>
      <c r="AG3079" s="53">
        <f>IF(AC3079="","",IF(IFERROR(INDEX(ctaMoneda,MATCH(AC3079,ctaNombre,0))&amp;"","DOP")="USD",T3079,S3079))</f>
        <v/>
      </c>
      <c r="AH3079" s="53">
        <f>IF(P3079="","",IF(AND(AD3079&lt;&gt;"",COUNTIFS(tcTipo,AD3079,tcLiq,"Sí")&gt;0),IF(OR(P3079="Gasto",P3079="Transferencia",P3079="Pago tarjeta"),-1,1)*S3079,0)+IF(AND(AE3079&lt;&gt;"",COUNTIFS(tcTipo,AE3079,tcLiq,"Sí")&gt;0),S3079,0))</f>
        <v/>
      </c>
      <c r="AI3079" s="52">
        <f>IF(OR(L3079="",P3079=""),"",IF(COUNTIFS(L$6:L3079,L3079,P$6:P3079,"?*")=1,MAX(AI$5:AI3078)+1,""))</f>
        <v/>
      </c>
    </row>
    <row r="3080">
      <c r="B3080" s="47" t="n"/>
      <c r="C3080" s="48" t="n"/>
      <c r="D3080" s="48" t="n"/>
      <c r="E3080" s="48" t="n"/>
      <c r="F3080" s="48" t="n"/>
      <c r="G3080" s="49" t="n"/>
      <c r="H3080" s="48" t="n"/>
      <c r="I3080" s="50" t="n"/>
      <c r="J3080" s="48" t="n"/>
      <c r="K3080" s="48" t="n"/>
      <c r="L3080" s="48" t="n"/>
      <c r="M3080" s="48" t="n"/>
      <c r="N3080" s="48" t="n"/>
      <c r="O3080" s="51">
        <f>IF(AND(B3080="",G3080="",C3080="",D3080="",J3080=""),"",IF(B3080="","⚠ Falta fecha",IF(G3080="","⚠ Falta monto",IF(Q3080="","⚠ Falta cuenta",IF(ISNA(MATCH(Q3080,ctaNombre,0)),"⚠ Cuenta no registrada",IF(AND(OR(P3080="Gasto",P3080="Reembolso"),D3080=""),"⚠ Falta categoría",IF(AND(D3080&lt;&gt;"",E3080&lt;&gt;"",ISNA(MATCH(D3080&amp;"|"&amp;E3080,catClave,0))),"⚠ Subcategoría no corresponde",IF(AND(OR(P3080="Transferencia",P3080="Pago tarjeta"),K3080=""),"⚠ Falta cuenta destino",IF(AND(K3080&lt;&gt;"",P3080&lt;&gt;"Transferencia",P3080&lt;&gt;"Pago tarjeta"),"⚠ Destino solo aplica a transferencias",IF(AND(K3080&lt;&gt;"",K3080=Q3080),"⚠ Origen igual a destino",IF(AND(K3080&lt;&gt;"",ISNA(MATCH(K3080,ctaNombre,0))),"⚠ Destino no registrado",IF(AND(P3080="Pago tarjeta",AE3080&lt;&gt;"Tarjeta de crédito"),"⚠ El destino debe ser tarjeta de crédito",IF(AND(P3080="Gasto",E3080="Depósitos y retiros"),"⚠ Usa tipo Transferencia",IF(AND(P3080="Resultado trading",AD3080&lt;&gt;"Cuenta de trading"),"⚠ Usa una cuenta de trading",IF(AND(G3080&lt;=0,P3080&lt;&gt;"Ajuste",P3080&lt;&gt;"Resultado trading"),"⚠ El monto debe ser positivo","✓")))))))))))))))</f>
        <v/>
      </c>
      <c r="P3080" s="52">
        <f>IF(OR(B3080="",G3080=""),"",IF(C3080="","Gasto",C3080))</f>
        <v/>
      </c>
      <c r="Q3080" s="52">
        <f>IF(P3080="","",IF(J3080&lt;&gt;"",J3080,CuentaPred&amp;""))</f>
        <v/>
      </c>
      <c r="R3080" s="52">
        <f>IF(P3080="","",IF(ISNUMBER(I3080),I3080,TasaUSD))</f>
        <v/>
      </c>
      <c r="S3080" s="53">
        <f>IF(P3080="","",IF(H3080="USD",G3080*R3080,G3080))</f>
        <v/>
      </c>
      <c r="T3080" s="53">
        <f>IF(P3080="","",IF(H3080="USD",G3080,IF(R3080&gt;0,G3080/R3080,0)))</f>
        <v/>
      </c>
      <c r="U3080" s="53">
        <f>IF(P3080="","",IF(P3080="Gasto",S3080,IF(P3080="Reembolso",-S3080,0)))</f>
        <v/>
      </c>
      <c r="V3080" s="53">
        <f>IF(P3080="","",IF(P3080="Ingreso",S3080,0))</f>
        <v/>
      </c>
      <c r="W3080" s="53">
        <f>IF(P3080="","",IF(P3080="Resultado trading",S3080,0))</f>
        <v/>
      </c>
      <c r="X3080" s="52">
        <f>IF(OR(P3080="Gasto",P3080="Reembolso"),IF(M3080&lt;&gt;"",M3080,IFERROR(INDEX(catClasif,MATCH(D3080&amp;"|"&amp;E3080,catClave,0))&amp;"","Variable")),"")</f>
        <v/>
      </c>
      <c r="Y3080" s="52">
        <f>IF(P3080="","",IFERROR(INDEX(catGrupo,MATCH(D3080&amp;"|"&amp;E3080,catClave,0))&amp;"",""))</f>
        <v/>
      </c>
      <c r="Z3080" s="52">
        <f>IF(P3080="","",WEEKDAY(B3080,2))</f>
        <v/>
      </c>
      <c r="AA3080" s="52">
        <f>IF(P3080="","",IF(AND(P3080="Gasto",X3080="Variable",D3080&lt;&gt;catTrading,S3080&gt;0,S3080&lt;=Umbral),1,0))</f>
        <v/>
      </c>
      <c r="AB3080" s="52">
        <f>IF(OR(P3080="",Q3080=""),"",IFERROR(IF(INDEX(ctaVinc,MATCH(Q3080,ctaNombre,0))&amp;""&lt;&gt;"",INDEX(ctaVinc,MATCH(Q3080,ctaNombre,0))&amp;"",Q3080),Q3080))</f>
        <v/>
      </c>
      <c r="AC3080" s="52">
        <f>IF(OR(K3080="",AND(P3080&lt;&gt;"Transferencia",P3080&lt;&gt;"Pago tarjeta")),"",IFERROR(IF(INDEX(ctaVinc,MATCH(K3080,ctaNombre,0))&amp;""&lt;&gt;"",INDEX(ctaVinc,MATCH(K3080,ctaNombre,0))&amp;"",K3080),K3080))</f>
        <v/>
      </c>
      <c r="AD3080" s="52">
        <f>IF(AB3080="","",IFERROR(INDEX(ctaTipo,MATCH(AB3080,ctaNombre,0))&amp;"",""))</f>
        <v/>
      </c>
      <c r="AE3080" s="52">
        <f>IF(AC3080="","",IFERROR(INDEX(ctaTipo,MATCH(AC3080,ctaNombre,0))&amp;"",""))</f>
        <v/>
      </c>
      <c r="AF3080" s="53">
        <f>IF(OR(P3080="",AB3080=""),"",IF(OR(P3080="Gasto",P3080="Transferencia",P3080="Pago tarjeta"),-1,1)*IF(IFERROR(INDEX(ctaMoneda,MATCH(AB3080,ctaNombre,0))&amp;"","DOP")="USD",T3080,S3080))</f>
        <v/>
      </c>
      <c r="AG3080" s="53">
        <f>IF(AC3080="","",IF(IFERROR(INDEX(ctaMoneda,MATCH(AC3080,ctaNombre,0))&amp;"","DOP")="USD",T3080,S3080))</f>
        <v/>
      </c>
      <c r="AH3080" s="53">
        <f>IF(P3080="","",IF(AND(AD3080&lt;&gt;"",COUNTIFS(tcTipo,AD3080,tcLiq,"Sí")&gt;0),IF(OR(P3080="Gasto",P3080="Transferencia",P3080="Pago tarjeta"),-1,1)*S3080,0)+IF(AND(AE3080&lt;&gt;"",COUNTIFS(tcTipo,AE3080,tcLiq,"Sí")&gt;0),S3080,0))</f>
        <v/>
      </c>
      <c r="AI3080" s="52">
        <f>IF(OR(L3080="",P3080=""),"",IF(COUNTIFS(L$6:L3080,L3080,P$6:P3080,"?*")=1,MAX(AI$5:AI3079)+1,""))</f>
        <v/>
      </c>
    </row>
    <row r="3081">
      <c r="B3081" s="47" t="n"/>
      <c r="C3081" s="48" t="n"/>
      <c r="D3081" s="48" t="n"/>
      <c r="E3081" s="48" t="n"/>
      <c r="F3081" s="48" t="n"/>
      <c r="G3081" s="49" t="n"/>
      <c r="H3081" s="48" t="n"/>
      <c r="I3081" s="50" t="n"/>
      <c r="J3081" s="48" t="n"/>
      <c r="K3081" s="48" t="n"/>
      <c r="L3081" s="48" t="n"/>
      <c r="M3081" s="48" t="n"/>
      <c r="N3081" s="48" t="n"/>
      <c r="O3081" s="51">
        <f>IF(AND(B3081="",G3081="",C3081="",D3081="",J3081=""),"",IF(B3081="","⚠ Falta fecha",IF(G3081="","⚠ Falta monto",IF(Q3081="","⚠ Falta cuenta",IF(ISNA(MATCH(Q3081,ctaNombre,0)),"⚠ Cuenta no registrada",IF(AND(OR(P3081="Gasto",P3081="Reembolso"),D3081=""),"⚠ Falta categoría",IF(AND(D3081&lt;&gt;"",E3081&lt;&gt;"",ISNA(MATCH(D3081&amp;"|"&amp;E3081,catClave,0))),"⚠ Subcategoría no corresponde",IF(AND(OR(P3081="Transferencia",P3081="Pago tarjeta"),K3081=""),"⚠ Falta cuenta destino",IF(AND(K3081&lt;&gt;"",P3081&lt;&gt;"Transferencia",P3081&lt;&gt;"Pago tarjeta"),"⚠ Destino solo aplica a transferencias",IF(AND(K3081&lt;&gt;"",K3081=Q3081),"⚠ Origen igual a destino",IF(AND(K3081&lt;&gt;"",ISNA(MATCH(K3081,ctaNombre,0))),"⚠ Destino no registrado",IF(AND(P3081="Pago tarjeta",AE3081&lt;&gt;"Tarjeta de crédito"),"⚠ El destino debe ser tarjeta de crédito",IF(AND(P3081="Gasto",E3081="Depósitos y retiros"),"⚠ Usa tipo Transferencia",IF(AND(P3081="Resultado trading",AD3081&lt;&gt;"Cuenta de trading"),"⚠ Usa una cuenta de trading",IF(AND(G3081&lt;=0,P3081&lt;&gt;"Ajuste",P3081&lt;&gt;"Resultado trading"),"⚠ El monto debe ser positivo","✓")))))))))))))))</f>
        <v/>
      </c>
      <c r="P3081" s="52">
        <f>IF(OR(B3081="",G3081=""),"",IF(C3081="","Gasto",C3081))</f>
        <v/>
      </c>
      <c r="Q3081" s="52">
        <f>IF(P3081="","",IF(J3081&lt;&gt;"",J3081,CuentaPred&amp;""))</f>
        <v/>
      </c>
      <c r="R3081" s="52">
        <f>IF(P3081="","",IF(ISNUMBER(I3081),I3081,TasaUSD))</f>
        <v/>
      </c>
      <c r="S3081" s="53">
        <f>IF(P3081="","",IF(H3081="USD",G3081*R3081,G3081))</f>
        <v/>
      </c>
      <c r="T3081" s="53">
        <f>IF(P3081="","",IF(H3081="USD",G3081,IF(R3081&gt;0,G3081/R3081,0)))</f>
        <v/>
      </c>
      <c r="U3081" s="53">
        <f>IF(P3081="","",IF(P3081="Gasto",S3081,IF(P3081="Reembolso",-S3081,0)))</f>
        <v/>
      </c>
      <c r="V3081" s="53">
        <f>IF(P3081="","",IF(P3081="Ingreso",S3081,0))</f>
        <v/>
      </c>
      <c r="W3081" s="53">
        <f>IF(P3081="","",IF(P3081="Resultado trading",S3081,0))</f>
        <v/>
      </c>
      <c r="X3081" s="52">
        <f>IF(OR(P3081="Gasto",P3081="Reembolso"),IF(M3081&lt;&gt;"",M3081,IFERROR(INDEX(catClasif,MATCH(D3081&amp;"|"&amp;E3081,catClave,0))&amp;"","Variable")),"")</f>
        <v/>
      </c>
      <c r="Y3081" s="52">
        <f>IF(P3081="","",IFERROR(INDEX(catGrupo,MATCH(D3081&amp;"|"&amp;E3081,catClave,0))&amp;"",""))</f>
        <v/>
      </c>
      <c r="Z3081" s="52">
        <f>IF(P3081="","",WEEKDAY(B3081,2))</f>
        <v/>
      </c>
      <c r="AA3081" s="52">
        <f>IF(P3081="","",IF(AND(P3081="Gasto",X3081="Variable",D3081&lt;&gt;catTrading,S3081&gt;0,S3081&lt;=Umbral),1,0))</f>
        <v/>
      </c>
      <c r="AB3081" s="52">
        <f>IF(OR(P3081="",Q3081=""),"",IFERROR(IF(INDEX(ctaVinc,MATCH(Q3081,ctaNombre,0))&amp;""&lt;&gt;"",INDEX(ctaVinc,MATCH(Q3081,ctaNombre,0))&amp;"",Q3081),Q3081))</f>
        <v/>
      </c>
      <c r="AC3081" s="52">
        <f>IF(OR(K3081="",AND(P3081&lt;&gt;"Transferencia",P3081&lt;&gt;"Pago tarjeta")),"",IFERROR(IF(INDEX(ctaVinc,MATCH(K3081,ctaNombre,0))&amp;""&lt;&gt;"",INDEX(ctaVinc,MATCH(K3081,ctaNombre,0))&amp;"",K3081),K3081))</f>
        <v/>
      </c>
      <c r="AD3081" s="52">
        <f>IF(AB3081="","",IFERROR(INDEX(ctaTipo,MATCH(AB3081,ctaNombre,0))&amp;"",""))</f>
        <v/>
      </c>
      <c r="AE3081" s="52">
        <f>IF(AC3081="","",IFERROR(INDEX(ctaTipo,MATCH(AC3081,ctaNombre,0))&amp;"",""))</f>
        <v/>
      </c>
      <c r="AF3081" s="53">
        <f>IF(OR(P3081="",AB3081=""),"",IF(OR(P3081="Gasto",P3081="Transferencia",P3081="Pago tarjeta"),-1,1)*IF(IFERROR(INDEX(ctaMoneda,MATCH(AB3081,ctaNombre,0))&amp;"","DOP")="USD",T3081,S3081))</f>
        <v/>
      </c>
      <c r="AG3081" s="53">
        <f>IF(AC3081="","",IF(IFERROR(INDEX(ctaMoneda,MATCH(AC3081,ctaNombre,0))&amp;"","DOP")="USD",T3081,S3081))</f>
        <v/>
      </c>
      <c r="AH3081" s="53">
        <f>IF(P3081="","",IF(AND(AD3081&lt;&gt;"",COUNTIFS(tcTipo,AD3081,tcLiq,"Sí")&gt;0),IF(OR(P3081="Gasto",P3081="Transferencia",P3081="Pago tarjeta"),-1,1)*S3081,0)+IF(AND(AE3081&lt;&gt;"",COUNTIFS(tcTipo,AE3081,tcLiq,"Sí")&gt;0),S3081,0))</f>
        <v/>
      </c>
      <c r="AI3081" s="52">
        <f>IF(OR(L3081="",P3081=""),"",IF(COUNTIFS(L$6:L3081,L3081,P$6:P3081,"?*")=1,MAX(AI$5:AI3080)+1,""))</f>
        <v/>
      </c>
    </row>
    <row r="3082">
      <c r="B3082" s="47" t="n"/>
      <c r="C3082" s="48" t="n"/>
      <c r="D3082" s="48" t="n"/>
      <c r="E3082" s="48" t="n"/>
      <c r="F3082" s="48" t="n"/>
      <c r="G3082" s="49" t="n"/>
      <c r="H3082" s="48" t="n"/>
      <c r="I3082" s="50" t="n"/>
      <c r="J3082" s="48" t="n"/>
      <c r="K3082" s="48" t="n"/>
      <c r="L3082" s="48" t="n"/>
      <c r="M3082" s="48" t="n"/>
      <c r="N3082" s="48" t="n"/>
      <c r="O3082" s="51">
        <f>IF(AND(B3082="",G3082="",C3082="",D3082="",J3082=""),"",IF(B3082="","⚠ Falta fecha",IF(G3082="","⚠ Falta monto",IF(Q3082="","⚠ Falta cuenta",IF(ISNA(MATCH(Q3082,ctaNombre,0)),"⚠ Cuenta no registrada",IF(AND(OR(P3082="Gasto",P3082="Reembolso"),D3082=""),"⚠ Falta categoría",IF(AND(D3082&lt;&gt;"",E3082&lt;&gt;"",ISNA(MATCH(D3082&amp;"|"&amp;E3082,catClave,0))),"⚠ Subcategoría no corresponde",IF(AND(OR(P3082="Transferencia",P3082="Pago tarjeta"),K3082=""),"⚠ Falta cuenta destino",IF(AND(K3082&lt;&gt;"",P3082&lt;&gt;"Transferencia",P3082&lt;&gt;"Pago tarjeta"),"⚠ Destino solo aplica a transferencias",IF(AND(K3082&lt;&gt;"",K3082=Q3082),"⚠ Origen igual a destino",IF(AND(K3082&lt;&gt;"",ISNA(MATCH(K3082,ctaNombre,0))),"⚠ Destino no registrado",IF(AND(P3082="Pago tarjeta",AE3082&lt;&gt;"Tarjeta de crédito"),"⚠ El destino debe ser tarjeta de crédito",IF(AND(P3082="Gasto",E3082="Depósitos y retiros"),"⚠ Usa tipo Transferencia",IF(AND(P3082="Resultado trading",AD3082&lt;&gt;"Cuenta de trading"),"⚠ Usa una cuenta de trading",IF(AND(G3082&lt;=0,P3082&lt;&gt;"Ajuste",P3082&lt;&gt;"Resultado trading"),"⚠ El monto debe ser positivo","✓")))))))))))))))</f>
        <v/>
      </c>
      <c r="P3082" s="52">
        <f>IF(OR(B3082="",G3082=""),"",IF(C3082="","Gasto",C3082))</f>
        <v/>
      </c>
      <c r="Q3082" s="52">
        <f>IF(P3082="","",IF(J3082&lt;&gt;"",J3082,CuentaPred&amp;""))</f>
        <v/>
      </c>
      <c r="R3082" s="52">
        <f>IF(P3082="","",IF(ISNUMBER(I3082),I3082,TasaUSD))</f>
        <v/>
      </c>
      <c r="S3082" s="53">
        <f>IF(P3082="","",IF(H3082="USD",G3082*R3082,G3082))</f>
        <v/>
      </c>
      <c r="T3082" s="53">
        <f>IF(P3082="","",IF(H3082="USD",G3082,IF(R3082&gt;0,G3082/R3082,0)))</f>
        <v/>
      </c>
      <c r="U3082" s="53">
        <f>IF(P3082="","",IF(P3082="Gasto",S3082,IF(P3082="Reembolso",-S3082,0)))</f>
        <v/>
      </c>
      <c r="V3082" s="53">
        <f>IF(P3082="","",IF(P3082="Ingreso",S3082,0))</f>
        <v/>
      </c>
      <c r="W3082" s="53">
        <f>IF(P3082="","",IF(P3082="Resultado trading",S3082,0))</f>
        <v/>
      </c>
      <c r="X3082" s="52">
        <f>IF(OR(P3082="Gasto",P3082="Reembolso"),IF(M3082&lt;&gt;"",M3082,IFERROR(INDEX(catClasif,MATCH(D3082&amp;"|"&amp;E3082,catClave,0))&amp;"","Variable")),"")</f>
        <v/>
      </c>
      <c r="Y3082" s="52">
        <f>IF(P3082="","",IFERROR(INDEX(catGrupo,MATCH(D3082&amp;"|"&amp;E3082,catClave,0))&amp;"",""))</f>
        <v/>
      </c>
      <c r="Z3082" s="52">
        <f>IF(P3082="","",WEEKDAY(B3082,2))</f>
        <v/>
      </c>
      <c r="AA3082" s="52">
        <f>IF(P3082="","",IF(AND(P3082="Gasto",X3082="Variable",D3082&lt;&gt;catTrading,S3082&gt;0,S3082&lt;=Umbral),1,0))</f>
        <v/>
      </c>
      <c r="AB3082" s="52">
        <f>IF(OR(P3082="",Q3082=""),"",IFERROR(IF(INDEX(ctaVinc,MATCH(Q3082,ctaNombre,0))&amp;""&lt;&gt;"",INDEX(ctaVinc,MATCH(Q3082,ctaNombre,0))&amp;"",Q3082),Q3082))</f>
        <v/>
      </c>
      <c r="AC3082" s="52">
        <f>IF(OR(K3082="",AND(P3082&lt;&gt;"Transferencia",P3082&lt;&gt;"Pago tarjeta")),"",IFERROR(IF(INDEX(ctaVinc,MATCH(K3082,ctaNombre,0))&amp;""&lt;&gt;"",INDEX(ctaVinc,MATCH(K3082,ctaNombre,0))&amp;"",K3082),K3082))</f>
        <v/>
      </c>
      <c r="AD3082" s="52">
        <f>IF(AB3082="","",IFERROR(INDEX(ctaTipo,MATCH(AB3082,ctaNombre,0))&amp;"",""))</f>
        <v/>
      </c>
      <c r="AE3082" s="52">
        <f>IF(AC3082="","",IFERROR(INDEX(ctaTipo,MATCH(AC3082,ctaNombre,0))&amp;"",""))</f>
        <v/>
      </c>
      <c r="AF3082" s="53">
        <f>IF(OR(P3082="",AB3082=""),"",IF(OR(P3082="Gasto",P3082="Transferencia",P3082="Pago tarjeta"),-1,1)*IF(IFERROR(INDEX(ctaMoneda,MATCH(AB3082,ctaNombre,0))&amp;"","DOP")="USD",T3082,S3082))</f>
        <v/>
      </c>
      <c r="AG3082" s="53">
        <f>IF(AC3082="","",IF(IFERROR(INDEX(ctaMoneda,MATCH(AC3082,ctaNombre,0))&amp;"","DOP")="USD",T3082,S3082))</f>
        <v/>
      </c>
      <c r="AH3082" s="53">
        <f>IF(P3082="","",IF(AND(AD3082&lt;&gt;"",COUNTIFS(tcTipo,AD3082,tcLiq,"Sí")&gt;0),IF(OR(P3082="Gasto",P3082="Transferencia",P3082="Pago tarjeta"),-1,1)*S3082,0)+IF(AND(AE3082&lt;&gt;"",COUNTIFS(tcTipo,AE3082,tcLiq,"Sí")&gt;0),S3082,0))</f>
        <v/>
      </c>
      <c r="AI3082" s="52">
        <f>IF(OR(L3082="",P3082=""),"",IF(COUNTIFS(L$6:L3082,L3082,P$6:P3082,"?*")=1,MAX(AI$5:AI3081)+1,""))</f>
        <v/>
      </c>
    </row>
    <row r="3083">
      <c r="B3083" s="47" t="n"/>
      <c r="C3083" s="48" t="n"/>
      <c r="D3083" s="48" t="n"/>
      <c r="E3083" s="48" t="n"/>
      <c r="F3083" s="48" t="n"/>
      <c r="G3083" s="49" t="n"/>
      <c r="H3083" s="48" t="n"/>
      <c r="I3083" s="50" t="n"/>
      <c r="J3083" s="48" t="n"/>
      <c r="K3083" s="48" t="n"/>
      <c r="L3083" s="48" t="n"/>
      <c r="M3083" s="48" t="n"/>
      <c r="N3083" s="48" t="n"/>
      <c r="O3083" s="51">
        <f>IF(AND(B3083="",G3083="",C3083="",D3083="",J3083=""),"",IF(B3083="","⚠ Falta fecha",IF(G3083="","⚠ Falta monto",IF(Q3083="","⚠ Falta cuenta",IF(ISNA(MATCH(Q3083,ctaNombre,0)),"⚠ Cuenta no registrada",IF(AND(OR(P3083="Gasto",P3083="Reembolso"),D3083=""),"⚠ Falta categoría",IF(AND(D3083&lt;&gt;"",E3083&lt;&gt;"",ISNA(MATCH(D3083&amp;"|"&amp;E3083,catClave,0))),"⚠ Subcategoría no corresponde",IF(AND(OR(P3083="Transferencia",P3083="Pago tarjeta"),K3083=""),"⚠ Falta cuenta destino",IF(AND(K3083&lt;&gt;"",P3083&lt;&gt;"Transferencia",P3083&lt;&gt;"Pago tarjeta"),"⚠ Destino solo aplica a transferencias",IF(AND(K3083&lt;&gt;"",K3083=Q3083),"⚠ Origen igual a destino",IF(AND(K3083&lt;&gt;"",ISNA(MATCH(K3083,ctaNombre,0))),"⚠ Destino no registrado",IF(AND(P3083="Pago tarjeta",AE3083&lt;&gt;"Tarjeta de crédito"),"⚠ El destino debe ser tarjeta de crédito",IF(AND(P3083="Gasto",E3083="Depósitos y retiros"),"⚠ Usa tipo Transferencia",IF(AND(P3083="Resultado trading",AD3083&lt;&gt;"Cuenta de trading"),"⚠ Usa una cuenta de trading",IF(AND(G3083&lt;=0,P3083&lt;&gt;"Ajuste",P3083&lt;&gt;"Resultado trading"),"⚠ El monto debe ser positivo","✓")))))))))))))))</f>
        <v/>
      </c>
      <c r="P3083" s="52">
        <f>IF(OR(B3083="",G3083=""),"",IF(C3083="","Gasto",C3083))</f>
        <v/>
      </c>
      <c r="Q3083" s="52">
        <f>IF(P3083="","",IF(J3083&lt;&gt;"",J3083,CuentaPred&amp;""))</f>
        <v/>
      </c>
      <c r="R3083" s="52">
        <f>IF(P3083="","",IF(ISNUMBER(I3083),I3083,TasaUSD))</f>
        <v/>
      </c>
      <c r="S3083" s="53">
        <f>IF(P3083="","",IF(H3083="USD",G3083*R3083,G3083))</f>
        <v/>
      </c>
      <c r="T3083" s="53">
        <f>IF(P3083="","",IF(H3083="USD",G3083,IF(R3083&gt;0,G3083/R3083,0)))</f>
        <v/>
      </c>
      <c r="U3083" s="53">
        <f>IF(P3083="","",IF(P3083="Gasto",S3083,IF(P3083="Reembolso",-S3083,0)))</f>
        <v/>
      </c>
      <c r="V3083" s="53">
        <f>IF(P3083="","",IF(P3083="Ingreso",S3083,0))</f>
        <v/>
      </c>
      <c r="W3083" s="53">
        <f>IF(P3083="","",IF(P3083="Resultado trading",S3083,0))</f>
        <v/>
      </c>
      <c r="X3083" s="52">
        <f>IF(OR(P3083="Gasto",P3083="Reembolso"),IF(M3083&lt;&gt;"",M3083,IFERROR(INDEX(catClasif,MATCH(D3083&amp;"|"&amp;E3083,catClave,0))&amp;"","Variable")),"")</f>
        <v/>
      </c>
      <c r="Y3083" s="52">
        <f>IF(P3083="","",IFERROR(INDEX(catGrupo,MATCH(D3083&amp;"|"&amp;E3083,catClave,0))&amp;"",""))</f>
        <v/>
      </c>
      <c r="Z3083" s="52">
        <f>IF(P3083="","",WEEKDAY(B3083,2))</f>
        <v/>
      </c>
      <c r="AA3083" s="52">
        <f>IF(P3083="","",IF(AND(P3083="Gasto",X3083="Variable",D3083&lt;&gt;catTrading,S3083&gt;0,S3083&lt;=Umbral),1,0))</f>
        <v/>
      </c>
      <c r="AB3083" s="52">
        <f>IF(OR(P3083="",Q3083=""),"",IFERROR(IF(INDEX(ctaVinc,MATCH(Q3083,ctaNombre,0))&amp;""&lt;&gt;"",INDEX(ctaVinc,MATCH(Q3083,ctaNombre,0))&amp;"",Q3083),Q3083))</f>
        <v/>
      </c>
      <c r="AC3083" s="52">
        <f>IF(OR(K3083="",AND(P3083&lt;&gt;"Transferencia",P3083&lt;&gt;"Pago tarjeta")),"",IFERROR(IF(INDEX(ctaVinc,MATCH(K3083,ctaNombre,0))&amp;""&lt;&gt;"",INDEX(ctaVinc,MATCH(K3083,ctaNombre,0))&amp;"",K3083),K3083))</f>
        <v/>
      </c>
      <c r="AD3083" s="52">
        <f>IF(AB3083="","",IFERROR(INDEX(ctaTipo,MATCH(AB3083,ctaNombre,0))&amp;"",""))</f>
        <v/>
      </c>
      <c r="AE3083" s="52">
        <f>IF(AC3083="","",IFERROR(INDEX(ctaTipo,MATCH(AC3083,ctaNombre,0))&amp;"",""))</f>
        <v/>
      </c>
      <c r="AF3083" s="53">
        <f>IF(OR(P3083="",AB3083=""),"",IF(OR(P3083="Gasto",P3083="Transferencia",P3083="Pago tarjeta"),-1,1)*IF(IFERROR(INDEX(ctaMoneda,MATCH(AB3083,ctaNombre,0))&amp;"","DOP")="USD",T3083,S3083))</f>
        <v/>
      </c>
      <c r="AG3083" s="53">
        <f>IF(AC3083="","",IF(IFERROR(INDEX(ctaMoneda,MATCH(AC3083,ctaNombre,0))&amp;"","DOP")="USD",T3083,S3083))</f>
        <v/>
      </c>
      <c r="AH3083" s="53">
        <f>IF(P3083="","",IF(AND(AD3083&lt;&gt;"",COUNTIFS(tcTipo,AD3083,tcLiq,"Sí")&gt;0),IF(OR(P3083="Gasto",P3083="Transferencia",P3083="Pago tarjeta"),-1,1)*S3083,0)+IF(AND(AE3083&lt;&gt;"",COUNTIFS(tcTipo,AE3083,tcLiq,"Sí")&gt;0),S3083,0))</f>
        <v/>
      </c>
      <c r="AI3083" s="52">
        <f>IF(OR(L3083="",P3083=""),"",IF(COUNTIFS(L$6:L3083,L3083,P$6:P3083,"?*")=1,MAX(AI$5:AI3082)+1,""))</f>
        <v/>
      </c>
    </row>
    <row r="3084">
      <c r="B3084" s="47" t="n"/>
      <c r="C3084" s="48" t="n"/>
      <c r="D3084" s="48" t="n"/>
      <c r="E3084" s="48" t="n"/>
      <c r="F3084" s="48" t="n"/>
      <c r="G3084" s="49" t="n"/>
      <c r="H3084" s="48" t="n"/>
      <c r="I3084" s="50" t="n"/>
      <c r="J3084" s="48" t="n"/>
      <c r="K3084" s="48" t="n"/>
      <c r="L3084" s="48" t="n"/>
      <c r="M3084" s="48" t="n"/>
      <c r="N3084" s="48" t="n"/>
      <c r="O3084" s="51">
        <f>IF(AND(B3084="",G3084="",C3084="",D3084="",J3084=""),"",IF(B3084="","⚠ Falta fecha",IF(G3084="","⚠ Falta monto",IF(Q3084="","⚠ Falta cuenta",IF(ISNA(MATCH(Q3084,ctaNombre,0)),"⚠ Cuenta no registrada",IF(AND(OR(P3084="Gasto",P3084="Reembolso"),D3084=""),"⚠ Falta categoría",IF(AND(D3084&lt;&gt;"",E3084&lt;&gt;"",ISNA(MATCH(D3084&amp;"|"&amp;E3084,catClave,0))),"⚠ Subcategoría no corresponde",IF(AND(OR(P3084="Transferencia",P3084="Pago tarjeta"),K3084=""),"⚠ Falta cuenta destino",IF(AND(K3084&lt;&gt;"",P3084&lt;&gt;"Transferencia",P3084&lt;&gt;"Pago tarjeta"),"⚠ Destino solo aplica a transferencias",IF(AND(K3084&lt;&gt;"",K3084=Q3084),"⚠ Origen igual a destino",IF(AND(K3084&lt;&gt;"",ISNA(MATCH(K3084,ctaNombre,0))),"⚠ Destino no registrado",IF(AND(P3084="Pago tarjeta",AE3084&lt;&gt;"Tarjeta de crédito"),"⚠ El destino debe ser tarjeta de crédito",IF(AND(P3084="Gasto",E3084="Depósitos y retiros"),"⚠ Usa tipo Transferencia",IF(AND(P3084="Resultado trading",AD3084&lt;&gt;"Cuenta de trading"),"⚠ Usa una cuenta de trading",IF(AND(G3084&lt;=0,P3084&lt;&gt;"Ajuste",P3084&lt;&gt;"Resultado trading"),"⚠ El monto debe ser positivo","✓")))))))))))))))</f>
        <v/>
      </c>
      <c r="P3084" s="52">
        <f>IF(OR(B3084="",G3084=""),"",IF(C3084="","Gasto",C3084))</f>
        <v/>
      </c>
      <c r="Q3084" s="52">
        <f>IF(P3084="","",IF(J3084&lt;&gt;"",J3084,CuentaPred&amp;""))</f>
        <v/>
      </c>
      <c r="R3084" s="52">
        <f>IF(P3084="","",IF(ISNUMBER(I3084),I3084,TasaUSD))</f>
        <v/>
      </c>
      <c r="S3084" s="53">
        <f>IF(P3084="","",IF(H3084="USD",G3084*R3084,G3084))</f>
        <v/>
      </c>
      <c r="T3084" s="53">
        <f>IF(P3084="","",IF(H3084="USD",G3084,IF(R3084&gt;0,G3084/R3084,0)))</f>
        <v/>
      </c>
      <c r="U3084" s="53">
        <f>IF(P3084="","",IF(P3084="Gasto",S3084,IF(P3084="Reembolso",-S3084,0)))</f>
        <v/>
      </c>
      <c r="V3084" s="53">
        <f>IF(P3084="","",IF(P3084="Ingreso",S3084,0))</f>
        <v/>
      </c>
      <c r="W3084" s="53">
        <f>IF(P3084="","",IF(P3084="Resultado trading",S3084,0))</f>
        <v/>
      </c>
      <c r="X3084" s="52">
        <f>IF(OR(P3084="Gasto",P3084="Reembolso"),IF(M3084&lt;&gt;"",M3084,IFERROR(INDEX(catClasif,MATCH(D3084&amp;"|"&amp;E3084,catClave,0))&amp;"","Variable")),"")</f>
        <v/>
      </c>
      <c r="Y3084" s="52">
        <f>IF(P3084="","",IFERROR(INDEX(catGrupo,MATCH(D3084&amp;"|"&amp;E3084,catClave,0))&amp;"",""))</f>
        <v/>
      </c>
      <c r="Z3084" s="52">
        <f>IF(P3084="","",WEEKDAY(B3084,2))</f>
        <v/>
      </c>
      <c r="AA3084" s="52">
        <f>IF(P3084="","",IF(AND(P3084="Gasto",X3084="Variable",D3084&lt;&gt;catTrading,S3084&gt;0,S3084&lt;=Umbral),1,0))</f>
        <v/>
      </c>
      <c r="AB3084" s="52">
        <f>IF(OR(P3084="",Q3084=""),"",IFERROR(IF(INDEX(ctaVinc,MATCH(Q3084,ctaNombre,0))&amp;""&lt;&gt;"",INDEX(ctaVinc,MATCH(Q3084,ctaNombre,0))&amp;"",Q3084),Q3084))</f>
        <v/>
      </c>
      <c r="AC3084" s="52">
        <f>IF(OR(K3084="",AND(P3084&lt;&gt;"Transferencia",P3084&lt;&gt;"Pago tarjeta")),"",IFERROR(IF(INDEX(ctaVinc,MATCH(K3084,ctaNombre,0))&amp;""&lt;&gt;"",INDEX(ctaVinc,MATCH(K3084,ctaNombre,0))&amp;"",K3084),K3084))</f>
        <v/>
      </c>
      <c r="AD3084" s="52">
        <f>IF(AB3084="","",IFERROR(INDEX(ctaTipo,MATCH(AB3084,ctaNombre,0))&amp;"",""))</f>
        <v/>
      </c>
      <c r="AE3084" s="52">
        <f>IF(AC3084="","",IFERROR(INDEX(ctaTipo,MATCH(AC3084,ctaNombre,0))&amp;"",""))</f>
        <v/>
      </c>
      <c r="AF3084" s="53">
        <f>IF(OR(P3084="",AB3084=""),"",IF(OR(P3084="Gasto",P3084="Transferencia",P3084="Pago tarjeta"),-1,1)*IF(IFERROR(INDEX(ctaMoneda,MATCH(AB3084,ctaNombre,0))&amp;"","DOP")="USD",T3084,S3084))</f>
        <v/>
      </c>
      <c r="AG3084" s="53">
        <f>IF(AC3084="","",IF(IFERROR(INDEX(ctaMoneda,MATCH(AC3084,ctaNombre,0))&amp;"","DOP")="USD",T3084,S3084))</f>
        <v/>
      </c>
      <c r="AH3084" s="53">
        <f>IF(P3084="","",IF(AND(AD3084&lt;&gt;"",COUNTIFS(tcTipo,AD3084,tcLiq,"Sí")&gt;0),IF(OR(P3084="Gasto",P3084="Transferencia",P3084="Pago tarjeta"),-1,1)*S3084,0)+IF(AND(AE3084&lt;&gt;"",COUNTIFS(tcTipo,AE3084,tcLiq,"Sí")&gt;0),S3084,0))</f>
        <v/>
      </c>
      <c r="AI3084" s="52">
        <f>IF(OR(L3084="",P3084=""),"",IF(COUNTIFS(L$6:L3084,L3084,P$6:P3084,"?*")=1,MAX(AI$5:AI3083)+1,""))</f>
        <v/>
      </c>
    </row>
    <row r="3085">
      <c r="B3085" s="47" t="n"/>
      <c r="C3085" s="48" t="n"/>
      <c r="D3085" s="48" t="n"/>
      <c r="E3085" s="48" t="n"/>
      <c r="F3085" s="48" t="n"/>
      <c r="G3085" s="49" t="n"/>
      <c r="H3085" s="48" t="n"/>
      <c r="I3085" s="50" t="n"/>
      <c r="J3085" s="48" t="n"/>
      <c r="K3085" s="48" t="n"/>
      <c r="L3085" s="48" t="n"/>
      <c r="M3085" s="48" t="n"/>
      <c r="N3085" s="48" t="n"/>
      <c r="O3085" s="51">
        <f>IF(AND(B3085="",G3085="",C3085="",D3085="",J3085=""),"",IF(B3085="","⚠ Falta fecha",IF(G3085="","⚠ Falta monto",IF(Q3085="","⚠ Falta cuenta",IF(ISNA(MATCH(Q3085,ctaNombre,0)),"⚠ Cuenta no registrada",IF(AND(OR(P3085="Gasto",P3085="Reembolso"),D3085=""),"⚠ Falta categoría",IF(AND(D3085&lt;&gt;"",E3085&lt;&gt;"",ISNA(MATCH(D3085&amp;"|"&amp;E3085,catClave,0))),"⚠ Subcategoría no corresponde",IF(AND(OR(P3085="Transferencia",P3085="Pago tarjeta"),K3085=""),"⚠ Falta cuenta destino",IF(AND(K3085&lt;&gt;"",P3085&lt;&gt;"Transferencia",P3085&lt;&gt;"Pago tarjeta"),"⚠ Destino solo aplica a transferencias",IF(AND(K3085&lt;&gt;"",K3085=Q3085),"⚠ Origen igual a destino",IF(AND(K3085&lt;&gt;"",ISNA(MATCH(K3085,ctaNombre,0))),"⚠ Destino no registrado",IF(AND(P3085="Pago tarjeta",AE3085&lt;&gt;"Tarjeta de crédito"),"⚠ El destino debe ser tarjeta de crédito",IF(AND(P3085="Gasto",E3085="Depósitos y retiros"),"⚠ Usa tipo Transferencia",IF(AND(P3085="Resultado trading",AD3085&lt;&gt;"Cuenta de trading"),"⚠ Usa una cuenta de trading",IF(AND(G3085&lt;=0,P3085&lt;&gt;"Ajuste",P3085&lt;&gt;"Resultado trading"),"⚠ El monto debe ser positivo","✓")))))))))))))))</f>
        <v/>
      </c>
      <c r="P3085" s="52">
        <f>IF(OR(B3085="",G3085=""),"",IF(C3085="","Gasto",C3085))</f>
        <v/>
      </c>
      <c r="Q3085" s="52">
        <f>IF(P3085="","",IF(J3085&lt;&gt;"",J3085,CuentaPred&amp;""))</f>
        <v/>
      </c>
      <c r="R3085" s="52">
        <f>IF(P3085="","",IF(ISNUMBER(I3085),I3085,TasaUSD))</f>
        <v/>
      </c>
      <c r="S3085" s="53">
        <f>IF(P3085="","",IF(H3085="USD",G3085*R3085,G3085))</f>
        <v/>
      </c>
      <c r="T3085" s="53">
        <f>IF(P3085="","",IF(H3085="USD",G3085,IF(R3085&gt;0,G3085/R3085,0)))</f>
        <v/>
      </c>
      <c r="U3085" s="53">
        <f>IF(P3085="","",IF(P3085="Gasto",S3085,IF(P3085="Reembolso",-S3085,0)))</f>
        <v/>
      </c>
      <c r="V3085" s="53">
        <f>IF(P3085="","",IF(P3085="Ingreso",S3085,0))</f>
        <v/>
      </c>
      <c r="W3085" s="53">
        <f>IF(P3085="","",IF(P3085="Resultado trading",S3085,0))</f>
        <v/>
      </c>
      <c r="X3085" s="52">
        <f>IF(OR(P3085="Gasto",P3085="Reembolso"),IF(M3085&lt;&gt;"",M3085,IFERROR(INDEX(catClasif,MATCH(D3085&amp;"|"&amp;E3085,catClave,0))&amp;"","Variable")),"")</f>
        <v/>
      </c>
      <c r="Y3085" s="52">
        <f>IF(P3085="","",IFERROR(INDEX(catGrupo,MATCH(D3085&amp;"|"&amp;E3085,catClave,0))&amp;"",""))</f>
        <v/>
      </c>
      <c r="Z3085" s="52">
        <f>IF(P3085="","",WEEKDAY(B3085,2))</f>
        <v/>
      </c>
      <c r="AA3085" s="52">
        <f>IF(P3085="","",IF(AND(P3085="Gasto",X3085="Variable",D3085&lt;&gt;catTrading,S3085&gt;0,S3085&lt;=Umbral),1,0))</f>
        <v/>
      </c>
      <c r="AB3085" s="52">
        <f>IF(OR(P3085="",Q3085=""),"",IFERROR(IF(INDEX(ctaVinc,MATCH(Q3085,ctaNombre,0))&amp;""&lt;&gt;"",INDEX(ctaVinc,MATCH(Q3085,ctaNombre,0))&amp;"",Q3085),Q3085))</f>
        <v/>
      </c>
      <c r="AC3085" s="52">
        <f>IF(OR(K3085="",AND(P3085&lt;&gt;"Transferencia",P3085&lt;&gt;"Pago tarjeta")),"",IFERROR(IF(INDEX(ctaVinc,MATCH(K3085,ctaNombre,0))&amp;""&lt;&gt;"",INDEX(ctaVinc,MATCH(K3085,ctaNombre,0))&amp;"",K3085),K3085))</f>
        <v/>
      </c>
      <c r="AD3085" s="52">
        <f>IF(AB3085="","",IFERROR(INDEX(ctaTipo,MATCH(AB3085,ctaNombre,0))&amp;"",""))</f>
        <v/>
      </c>
      <c r="AE3085" s="52">
        <f>IF(AC3085="","",IFERROR(INDEX(ctaTipo,MATCH(AC3085,ctaNombre,0))&amp;"",""))</f>
        <v/>
      </c>
      <c r="AF3085" s="53">
        <f>IF(OR(P3085="",AB3085=""),"",IF(OR(P3085="Gasto",P3085="Transferencia",P3085="Pago tarjeta"),-1,1)*IF(IFERROR(INDEX(ctaMoneda,MATCH(AB3085,ctaNombre,0))&amp;"","DOP")="USD",T3085,S3085))</f>
        <v/>
      </c>
      <c r="AG3085" s="53">
        <f>IF(AC3085="","",IF(IFERROR(INDEX(ctaMoneda,MATCH(AC3085,ctaNombre,0))&amp;"","DOP")="USD",T3085,S3085))</f>
        <v/>
      </c>
      <c r="AH3085" s="53">
        <f>IF(P3085="","",IF(AND(AD3085&lt;&gt;"",COUNTIFS(tcTipo,AD3085,tcLiq,"Sí")&gt;0),IF(OR(P3085="Gasto",P3085="Transferencia",P3085="Pago tarjeta"),-1,1)*S3085,0)+IF(AND(AE3085&lt;&gt;"",COUNTIFS(tcTipo,AE3085,tcLiq,"Sí")&gt;0),S3085,0))</f>
        <v/>
      </c>
      <c r="AI3085" s="52">
        <f>IF(OR(L3085="",P3085=""),"",IF(COUNTIFS(L$6:L3085,L3085,P$6:P3085,"?*")=1,MAX(AI$5:AI3084)+1,""))</f>
        <v/>
      </c>
    </row>
    <row r="3086">
      <c r="B3086" s="47" t="n"/>
      <c r="C3086" s="48" t="n"/>
      <c r="D3086" s="48" t="n"/>
      <c r="E3086" s="48" t="n"/>
      <c r="F3086" s="48" t="n"/>
      <c r="G3086" s="49" t="n"/>
      <c r="H3086" s="48" t="n"/>
      <c r="I3086" s="50" t="n"/>
      <c r="J3086" s="48" t="n"/>
      <c r="K3086" s="48" t="n"/>
      <c r="L3086" s="48" t="n"/>
      <c r="M3086" s="48" t="n"/>
      <c r="N3086" s="48" t="n"/>
      <c r="O3086" s="51">
        <f>IF(AND(B3086="",G3086="",C3086="",D3086="",J3086=""),"",IF(B3086="","⚠ Falta fecha",IF(G3086="","⚠ Falta monto",IF(Q3086="","⚠ Falta cuenta",IF(ISNA(MATCH(Q3086,ctaNombre,0)),"⚠ Cuenta no registrada",IF(AND(OR(P3086="Gasto",P3086="Reembolso"),D3086=""),"⚠ Falta categoría",IF(AND(D3086&lt;&gt;"",E3086&lt;&gt;"",ISNA(MATCH(D3086&amp;"|"&amp;E3086,catClave,0))),"⚠ Subcategoría no corresponde",IF(AND(OR(P3086="Transferencia",P3086="Pago tarjeta"),K3086=""),"⚠ Falta cuenta destino",IF(AND(K3086&lt;&gt;"",P3086&lt;&gt;"Transferencia",P3086&lt;&gt;"Pago tarjeta"),"⚠ Destino solo aplica a transferencias",IF(AND(K3086&lt;&gt;"",K3086=Q3086),"⚠ Origen igual a destino",IF(AND(K3086&lt;&gt;"",ISNA(MATCH(K3086,ctaNombre,0))),"⚠ Destino no registrado",IF(AND(P3086="Pago tarjeta",AE3086&lt;&gt;"Tarjeta de crédito"),"⚠ El destino debe ser tarjeta de crédito",IF(AND(P3086="Gasto",E3086="Depósitos y retiros"),"⚠ Usa tipo Transferencia",IF(AND(P3086="Resultado trading",AD3086&lt;&gt;"Cuenta de trading"),"⚠ Usa una cuenta de trading",IF(AND(G3086&lt;=0,P3086&lt;&gt;"Ajuste",P3086&lt;&gt;"Resultado trading"),"⚠ El monto debe ser positivo","✓")))))))))))))))</f>
        <v/>
      </c>
      <c r="P3086" s="52">
        <f>IF(OR(B3086="",G3086=""),"",IF(C3086="","Gasto",C3086))</f>
        <v/>
      </c>
      <c r="Q3086" s="52">
        <f>IF(P3086="","",IF(J3086&lt;&gt;"",J3086,CuentaPred&amp;""))</f>
        <v/>
      </c>
      <c r="R3086" s="52">
        <f>IF(P3086="","",IF(ISNUMBER(I3086),I3086,TasaUSD))</f>
        <v/>
      </c>
      <c r="S3086" s="53">
        <f>IF(P3086="","",IF(H3086="USD",G3086*R3086,G3086))</f>
        <v/>
      </c>
      <c r="T3086" s="53">
        <f>IF(P3086="","",IF(H3086="USD",G3086,IF(R3086&gt;0,G3086/R3086,0)))</f>
        <v/>
      </c>
      <c r="U3086" s="53">
        <f>IF(P3086="","",IF(P3086="Gasto",S3086,IF(P3086="Reembolso",-S3086,0)))</f>
        <v/>
      </c>
      <c r="V3086" s="53">
        <f>IF(P3086="","",IF(P3086="Ingreso",S3086,0))</f>
        <v/>
      </c>
      <c r="W3086" s="53">
        <f>IF(P3086="","",IF(P3086="Resultado trading",S3086,0))</f>
        <v/>
      </c>
      <c r="X3086" s="52">
        <f>IF(OR(P3086="Gasto",P3086="Reembolso"),IF(M3086&lt;&gt;"",M3086,IFERROR(INDEX(catClasif,MATCH(D3086&amp;"|"&amp;E3086,catClave,0))&amp;"","Variable")),"")</f>
        <v/>
      </c>
      <c r="Y3086" s="52">
        <f>IF(P3086="","",IFERROR(INDEX(catGrupo,MATCH(D3086&amp;"|"&amp;E3086,catClave,0))&amp;"",""))</f>
        <v/>
      </c>
      <c r="Z3086" s="52">
        <f>IF(P3086="","",WEEKDAY(B3086,2))</f>
        <v/>
      </c>
      <c r="AA3086" s="52">
        <f>IF(P3086="","",IF(AND(P3086="Gasto",X3086="Variable",D3086&lt;&gt;catTrading,S3086&gt;0,S3086&lt;=Umbral),1,0))</f>
        <v/>
      </c>
      <c r="AB3086" s="52">
        <f>IF(OR(P3086="",Q3086=""),"",IFERROR(IF(INDEX(ctaVinc,MATCH(Q3086,ctaNombre,0))&amp;""&lt;&gt;"",INDEX(ctaVinc,MATCH(Q3086,ctaNombre,0))&amp;"",Q3086),Q3086))</f>
        <v/>
      </c>
      <c r="AC3086" s="52">
        <f>IF(OR(K3086="",AND(P3086&lt;&gt;"Transferencia",P3086&lt;&gt;"Pago tarjeta")),"",IFERROR(IF(INDEX(ctaVinc,MATCH(K3086,ctaNombre,0))&amp;""&lt;&gt;"",INDEX(ctaVinc,MATCH(K3086,ctaNombre,0))&amp;"",K3086),K3086))</f>
        <v/>
      </c>
      <c r="AD3086" s="52">
        <f>IF(AB3086="","",IFERROR(INDEX(ctaTipo,MATCH(AB3086,ctaNombre,0))&amp;"",""))</f>
        <v/>
      </c>
      <c r="AE3086" s="52">
        <f>IF(AC3086="","",IFERROR(INDEX(ctaTipo,MATCH(AC3086,ctaNombre,0))&amp;"",""))</f>
        <v/>
      </c>
      <c r="AF3086" s="53">
        <f>IF(OR(P3086="",AB3086=""),"",IF(OR(P3086="Gasto",P3086="Transferencia",P3086="Pago tarjeta"),-1,1)*IF(IFERROR(INDEX(ctaMoneda,MATCH(AB3086,ctaNombre,0))&amp;"","DOP")="USD",T3086,S3086))</f>
        <v/>
      </c>
      <c r="AG3086" s="53">
        <f>IF(AC3086="","",IF(IFERROR(INDEX(ctaMoneda,MATCH(AC3086,ctaNombre,0))&amp;"","DOP")="USD",T3086,S3086))</f>
        <v/>
      </c>
      <c r="AH3086" s="53">
        <f>IF(P3086="","",IF(AND(AD3086&lt;&gt;"",COUNTIFS(tcTipo,AD3086,tcLiq,"Sí")&gt;0),IF(OR(P3086="Gasto",P3086="Transferencia",P3086="Pago tarjeta"),-1,1)*S3086,0)+IF(AND(AE3086&lt;&gt;"",COUNTIFS(tcTipo,AE3086,tcLiq,"Sí")&gt;0),S3086,0))</f>
        <v/>
      </c>
      <c r="AI3086" s="52">
        <f>IF(OR(L3086="",P3086=""),"",IF(COUNTIFS(L$6:L3086,L3086,P$6:P3086,"?*")=1,MAX(AI$5:AI3085)+1,""))</f>
        <v/>
      </c>
    </row>
    <row r="3087">
      <c r="B3087" s="47" t="n"/>
      <c r="C3087" s="48" t="n"/>
      <c r="D3087" s="48" t="n"/>
      <c r="E3087" s="48" t="n"/>
      <c r="F3087" s="48" t="n"/>
      <c r="G3087" s="49" t="n"/>
      <c r="H3087" s="48" t="n"/>
      <c r="I3087" s="50" t="n"/>
      <c r="J3087" s="48" t="n"/>
      <c r="K3087" s="48" t="n"/>
      <c r="L3087" s="48" t="n"/>
      <c r="M3087" s="48" t="n"/>
      <c r="N3087" s="48" t="n"/>
      <c r="O3087" s="51">
        <f>IF(AND(B3087="",G3087="",C3087="",D3087="",J3087=""),"",IF(B3087="","⚠ Falta fecha",IF(G3087="","⚠ Falta monto",IF(Q3087="","⚠ Falta cuenta",IF(ISNA(MATCH(Q3087,ctaNombre,0)),"⚠ Cuenta no registrada",IF(AND(OR(P3087="Gasto",P3087="Reembolso"),D3087=""),"⚠ Falta categoría",IF(AND(D3087&lt;&gt;"",E3087&lt;&gt;"",ISNA(MATCH(D3087&amp;"|"&amp;E3087,catClave,0))),"⚠ Subcategoría no corresponde",IF(AND(OR(P3087="Transferencia",P3087="Pago tarjeta"),K3087=""),"⚠ Falta cuenta destino",IF(AND(K3087&lt;&gt;"",P3087&lt;&gt;"Transferencia",P3087&lt;&gt;"Pago tarjeta"),"⚠ Destino solo aplica a transferencias",IF(AND(K3087&lt;&gt;"",K3087=Q3087),"⚠ Origen igual a destino",IF(AND(K3087&lt;&gt;"",ISNA(MATCH(K3087,ctaNombre,0))),"⚠ Destino no registrado",IF(AND(P3087="Pago tarjeta",AE3087&lt;&gt;"Tarjeta de crédito"),"⚠ El destino debe ser tarjeta de crédito",IF(AND(P3087="Gasto",E3087="Depósitos y retiros"),"⚠ Usa tipo Transferencia",IF(AND(P3087="Resultado trading",AD3087&lt;&gt;"Cuenta de trading"),"⚠ Usa una cuenta de trading",IF(AND(G3087&lt;=0,P3087&lt;&gt;"Ajuste",P3087&lt;&gt;"Resultado trading"),"⚠ El monto debe ser positivo","✓")))))))))))))))</f>
        <v/>
      </c>
      <c r="P3087" s="52">
        <f>IF(OR(B3087="",G3087=""),"",IF(C3087="","Gasto",C3087))</f>
        <v/>
      </c>
      <c r="Q3087" s="52">
        <f>IF(P3087="","",IF(J3087&lt;&gt;"",J3087,CuentaPred&amp;""))</f>
        <v/>
      </c>
      <c r="R3087" s="52">
        <f>IF(P3087="","",IF(ISNUMBER(I3087),I3087,TasaUSD))</f>
        <v/>
      </c>
      <c r="S3087" s="53">
        <f>IF(P3087="","",IF(H3087="USD",G3087*R3087,G3087))</f>
        <v/>
      </c>
      <c r="T3087" s="53">
        <f>IF(P3087="","",IF(H3087="USD",G3087,IF(R3087&gt;0,G3087/R3087,0)))</f>
        <v/>
      </c>
      <c r="U3087" s="53">
        <f>IF(P3087="","",IF(P3087="Gasto",S3087,IF(P3087="Reembolso",-S3087,0)))</f>
        <v/>
      </c>
      <c r="V3087" s="53">
        <f>IF(P3087="","",IF(P3087="Ingreso",S3087,0))</f>
        <v/>
      </c>
      <c r="W3087" s="53">
        <f>IF(P3087="","",IF(P3087="Resultado trading",S3087,0))</f>
        <v/>
      </c>
      <c r="X3087" s="52">
        <f>IF(OR(P3087="Gasto",P3087="Reembolso"),IF(M3087&lt;&gt;"",M3087,IFERROR(INDEX(catClasif,MATCH(D3087&amp;"|"&amp;E3087,catClave,0))&amp;"","Variable")),"")</f>
        <v/>
      </c>
      <c r="Y3087" s="52">
        <f>IF(P3087="","",IFERROR(INDEX(catGrupo,MATCH(D3087&amp;"|"&amp;E3087,catClave,0))&amp;"",""))</f>
        <v/>
      </c>
      <c r="Z3087" s="52">
        <f>IF(P3087="","",WEEKDAY(B3087,2))</f>
        <v/>
      </c>
      <c r="AA3087" s="52">
        <f>IF(P3087="","",IF(AND(P3087="Gasto",X3087="Variable",D3087&lt;&gt;catTrading,S3087&gt;0,S3087&lt;=Umbral),1,0))</f>
        <v/>
      </c>
      <c r="AB3087" s="52">
        <f>IF(OR(P3087="",Q3087=""),"",IFERROR(IF(INDEX(ctaVinc,MATCH(Q3087,ctaNombre,0))&amp;""&lt;&gt;"",INDEX(ctaVinc,MATCH(Q3087,ctaNombre,0))&amp;"",Q3087),Q3087))</f>
        <v/>
      </c>
      <c r="AC3087" s="52">
        <f>IF(OR(K3087="",AND(P3087&lt;&gt;"Transferencia",P3087&lt;&gt;"Pago tarjeta")),"",IFERROR(IF(INDEX(ctaVinc,MATCH(K3087,ctaNombre,0))&amp;""&lt;&gt;"",INDEX(ctaVinc,MATCH(K3087,ctaNombre,0))&amp;"",K3087),K3087))</f>
        <v/>
      </c>
      <c r="AD3087" s="52">
        <f>IF(AB3087="","",IFERROR(INDEX(ctaTipo,MATCH(AB3087,ctaNombre,0))&amp;"",""))</f>
        <v/>
      </c>
      <c r="AE3087" s="52">
        <f>IF(AC3087="","",IFERROR(INDEX(ctaTipo,MATCH(AC3087,ctaNombre,0))&amp;"",""))</f>
        <v/>
      </c>
      <c r="AF3087" s="53">
        <f>IF(OR(P3087="",AB3087=""),"",IF(OR(P3087="Gasto",P3087="Transferencia",P3087="Pago tarjeta"),-1,1)*IF(IFERROR(INDEX(ctaMoneda,MATCH(AB3087,ctaNombre,0))&amp;"","DOP")="USD",T3087,S3087))</f>
        <v/>
      </c>
      <c r="AG3087" s="53">
        <f>IF(AC3087="","",IF(IFERROR(INDEX(ctaMoneda,MATCH(AC3087,ctaNombre,0))&amp;"","DOP")="USD",T3087,S3087))</f>
        <v/>
      </c>
      <c r="AH3087" s="53">
        <f>IF(P3087="","",IF(AND(AD3087&lt;&gt;"",COUNTIFS(tcTipo,AD3087,tcLiq,"Sí")&gt;0),IF(OR(P3087="Gasto",P3087="Transferencia",P3087="Pago tarjeta"),-1,1)*S3087,0)+IF(AND(AE3087&lt;&gt;"",COUNTIFS(tcTipo,AE3087,tcLiq,"Sí")&gt;0),S3087,0))</f>
        <v/>
      </c>
      <c r="AI3087" s="52">
        <f>IF(OR(L3087="",P3087=""),"",IF(COUNTIFS(L$6:L3087,L3087,P$6:P3087,"?*")=1,MAX(AI$5:AI3086)+1,""))</f>
        <v/>
      </c>
    </row>
    <row r="3088">
      <c r="B3088" s="47" t="n"/>
      <c r="C3088" s="48" t="n"/>
      <c r="D3088" s="48" t="n"/>
      <c r="E3088" s="48" t="n"/>
      <c r="F3088" s="48" t="n"/>
      <c r="G3088" s="49" t="n"/>
      <c r="H3088" s="48" t="n"/>
      <c r="I3088" s="50" t="n"/>
      <c r="J3088" s="48" t="n"/>
      <c r="K3088" s="48" t="n"/>
      <c r="L3088" s="48" t="n"/>
      <c r="M3088" s="48" t="n"/>
      <c r="N3088" s="48" t="n"/>
      <c r="O3088" s="51">
        <f>IF(AND(B3088="",G3088="",C3088="",D3088="",J3088=""),"",IF(B3088="","⚠ Falta fecha",IF(G3088="","⚠ Falta monto",IF(Q3088="","⚠ Falta cuenta",IF(ISNA(MATCH(Q3088,ctaNombre,0)),"⚠ Cuenta no registrada",IF(AND(OR(P3088="Gasto",P3088="Reembolso"),D3088=""),"⚠ Falta categoría",IF(AND(D3088&lt;&gt;"",E3088&lt;&gt;"",ISNA(MATCH(D3088&amp;"|"&amp;E3088,catClave,0))),"⚠ Subcategoría no corresponde",IF(AND(OR(P3088="Transferencia",P3088="Pago tarjeta"),K3088=""),"⚠ Falta cuenta destino",IF(AND(K3088&lt;&gt;"",P3088&lt;&gt;"Transferencia",P3088&lt;&gt;"Pago tarjeta"),"⚠ Destino solo aplica a transferencias",IF(AND(K3088&lt;&gt;"",K3088=Q3088),"⚠ Origen igual a destino",IF(AND(K3088&lt;&gt;"",ISNA(MATCH(K3088,ctaNombre,0))),"⚠ Destino no registrado",IF(AND(P3088="Pago tarjeta",AE3088&lt;&gt;"Tarjeta de crédito"),"⚠ El destino debe ser tarjeta de crédito",IF(AND(P3088="Gasto",E3088="Depósitos y retiros"),"⚠ Usa tipo Transferencia",IF(AND(P3088="Resultado trading",AD3088&lt;&gt;"Cuenta de trading"),"⚠ Usa una cuenta de trading",IF(AND(G3088&lt;=0,P3088&lt;&gt;"Ajuste",P3088&lt;&gt;"Resultado trading"),"⚠ El monto debe ser positivo","✓")))))))))))))))</f>
        <v/>
      </c>
      <c r="P3088" s="52">
        <f>IF(OR(B3088="",G3088=""),"",IF(C3088="","Gasto",C3088))</f>
        <v/>
      </c>
      <c r="Q3088" s="52">
        <f>IF(P3088="","",IF(J3088&lt;&gt;"",J3088,CuentaPred&amp;""))</f>
        <v/>
      </c>
      <c r="R3088" s="52">
        <f>IF(P3088="","",IF(ISNUMBER(I3088),I3088,TasaUSD))</f>
        <v/>
      </c>
      <c r="S3088" s="53">
        <f>IF(P3088="","",IF(H3088="USD",G3088*R3088,G3088))</f>
        <v/>
      </c>
      <c r="T3088" s="53">
        <f>IF(P3088="","",IF(H3088="USD",G3088,IF(R3088&gt;0,G3088/R3088,0)))</f>
        <v/>
      </c>
      <c r="U3088" s="53">
        <f>IF(P3088="","",IF(P3088="Gasto",S3088,IF(P3088="Reembolso",-S3088,0)))</f>
        <v/>
      </c>
      <c r="V3088" s="53">
        <f>IF(P3088="","",IF(P3088="Ingreso",S3088,0))</f>
        <v/>
      </c>
      <c r="W3088" s="53">
        <f>IF(P3088="","",IF(P3088="Resultado trading",S3088,0))</f>
        <v/>
      </c>
      <c r="X3088" s="52">
        <f>IF(OR(P3088="Gasto",P3088="Reembolso"),IF(M3088&lt;&gt;"",M3088,IFERROR(INDEX(catClasif,MATCH(D3088&amp;"|"&amp;E3088,catClave,0))&amp;"","Variable")),"")</f>
        <v/>
      </c>
      <c r="Y3088" s="52">
        <f>IF(P3088="","",IFERROR(INDEX(catGrupo,MATCH(D3088&amp;"|"&amp;E3088,catClave,0))&amp;"",""))</f>
        <v/>
      </c>
      <c r="Z3088" s="52">
        <f>IF(P3088="","",WEEKDAY(B3088,2))</f>
        <v/>
      </c>
      <c r="AA3088" s="52">
        <f>IF(P3088="","",IF(AND(P3088="Gasto",X3088="Variable",D3088&lt;&gt;catTrading,S3088&gt;0,S3088&lt;=Umbral),1,0))</f>
        <v/>
      </c>
      <c r="AB3088" s="52">
        <f>IF(OR(P3088="",Q3088=""),"",IFERROR(IF(INDEX(ctaVinc,MATCH(Q3088,ctaNombre,0))&amp;""&lt;&gt;"",INDEX(ctaVinc,MATCH(Q3088,ctaNombre,0))&amp;"",Q3088),Q3088))</f>
        <v/>
      </c>
      <c r="AC3088" s="52">
        <f>IF(OR(K3088="",AND(P3088&lt;&gt;"Transferencia",P3088&lt;&gt;"Pago tarjeta")),"",IFERROR(IF(INDEX(ctaVinc,MATCH(K3088,ctaNombre,0))&amp;""&lt;&gt;"",INDEX(ctaVinc,MATCH(K3088,ctaNombre,0))&amp;"",K3088),K3088))</f>
        <v/>
      </c>
      <c r="AD3088" s="52">
        <f>IF(AB3088="","",IFERROR(INDEX(ctaTipo,MATCH(AB3088,ctaNombre,0))&amp;"",""))</f>
        <v/>
      </c>
      <c r="AE3088" s="52">
        <f>IF(AC3088="","",IFERROR(INDEX(ctaTipo,MATCH(AC3088,ctaNombre,0))&amp;"",""))</f>
        <v/>
      </c>
      <c r="AF3088" s="53">
        <f>IF(OR(P3088="",AB3088=""),"",IF(OR(P3088="Gasto",P3088="Transferencia",P3088="Pago tarjeta"),-1,1)*IF(IFERROR(INDEX(ctaMoneda,MATCH(AB3088,ctaNombre,0))&amp;"","DOP")="USD",T3088,S3088))</f>
        <v/>
      </c>
      <c r="AG3088" s="53">
        <f>IF(AC3088="","",IF(IFERROR(INDEX(ctaMoneda,MATCH(AC3088,ctaNombre,0))&amp;"","DOP")="USD",T3088,S3088))</f>
        <v/>
      </c>
      <c r="AH3088" s="53">
        <f>IF(P3088="","",IF(AND(AD3088&lt;&gt;"",COUNTIFS(tcTipo,AD3088,tcLiq,"Sí")&gt;0),IF(OR(P3088="Gasto",P3088="Transferencia",P3088="Pago tarjeta"),-1,1)*S3088,0)+IF(AND(AE3088&lt;&gt;"",COUNTIFS(tcTipo,AE3088,tcLiq,"Sí")&gt;0),S3088,0))</f>
        <v/>
      </c>
      <c r="AI3088" s="52">
        <f>IF(OR(L3088="",P3088=""),"",IF(COUNTIFS(L$6:L3088,L3088,P$6:P3088,"?*")=1,MAX(AI$5:AI3087)+1,""))</f>
        <v/>
      </c>
    </row>
    <row r="3089">
      <c r="B3089" s="47" t="n"/>
      <c r="C3089" s="48" t="n"/>
      <c r="D3089" s="48" t="n"/>
      <c r="E3089" s="48" t="n"/>
      <c r="F3089" s="48" t="n"/>
      <c r="G3089" s="49" t="n"/>
      <c r="H3089" s="48" t="n"/>
      <c r="I3089" s="50" t="n"/>
      <c r="J3089" s="48" t="n"/>
      <c r="K3089" s="48" t="n"/>
      <c r="L3089" s="48" t="n"/>
      <c r="M3089" s="48" t="n"/>
      <c r="N3089" s="48" t="n"/>
      <c r="O3089" s="51">
        <f>IF(AND(B3089="",G3089="",C3089="",D3089="",J3089=""),"",IF(B3089="","⚠ Falta fecha",IF(G3089="","⚠ Falta monto",IF(Q3089="","⚠ Falta cuenta",IF(ISNA(MATCH(Q3089,ctaNombre,0)),"⚠ Cuenta no registrada",IF(AND(OR(P3089="Gasto",P3089="Reembolso"),D3089=""),"⚠ Falta categoría",IF(AND(D3089&lt;&gt;"",E3089&lt;&gt;"",ISNA(MATCH(D3089&amp;"|"&amp;E3089,catClave,0))),"⚠ Subcategoría no corresponde",IF(AND(OR(P3089="Transferencia",P3089="Pago tarjeta"),K3089=""),"⚠ Falta cuenta destino",IF(AND(K3089&lt;&gt;"",P3089&lt;&gt;"Transferencia",P3089&lt;&gt;"Pago tarjeta"),"⚠ Destino solo aplica a transferencias",IF(AND(K3089&lt;&gt;"",K3089=Q3089),"⚠ Origen igual a destino",IF(AND(K3089&lt;&gt;"",ISNA(MATCH(K3089,ctaNombre,0))),"⚠ Destino no registrado",IF(AND(P3089="Pago tarjeta",AE3089&lt;&gt;"Tarjeta de crédito"),"⚠ El destino debe ser tarjeta de crédito",IF(AND(P3089="Gasto",E3089="Depósitos y retiros"),"⚠ Usa tipo Transferencia",IF(AND(P3089="Resultado trading",AD3089&lt;&gt;"Cuenta de trading"),"⚠ Usa una cuenta de trading",IF(AND(G3089&lt;=0,P3089&lt;&gt;"Ajuste",P3089&lt;&gt;"Resultado trading"),"⚠ El monto debe ser positivo","✓")))))))))))))))</f>
        <v/>
      </c>
      <c r="P3089" s="52">
        <f>IF(OR(B3089="",G3089=""),"",IF(C3089="","Gasto",C3089))</f>
        <v/>
      </c>
      <c r="Q3089" s="52">
        <f>IF(P3089="","",IF(J3089&lt;&gt;"",J3089,CuentaPred&amp;""))</f>
        <v/>
      </c>
      <c r="R3089" s="52">
        <f>IF(P3089="","",IF(ISNUMBER(I3089),I3089,TasaUSD))</f>
        <v/>
      </c>
      <c r="S3089" s="53">
        <f>IF(P3089="","",IF(H3089="USD",G3089*R3089,G3089))</f>
        <v/>
      </c>
      <c r="T3089" s="53">
        <f>IF(P3089="","",IF(H3089="USD",G3089,IF(R3089&gt;0,G3089/R3089,0)))</f>
        <v/>
      </c>
      <c r="U3089" s="53">
        <f>IF(P3089="","",IF(P3089="Gasto",S3089,IF(P3089="Reembolso",-S3089,0)))</f>
        <v/>
      </c>
      <c r="V3089" s="53">
        <f>IF(P3089="","",IF(P3089="Ingreso",S3089,0))</f>
        <v/>
      </c>
      <c r="W3089" s="53">
        <f>IF(P3089="","",IF(P3089="Resultado trading",S3089,0))</f>
        <v/>
      </c>
      <c r="X3089" s="52">
        <f>IF(OR(P3089="Gasto",P3089="Reembolso"),IF(M3089&lt;&gt;"",M3089,IFERROR(INDEX(catClasif,MATCH(D3089&amp;"|"&amp;E3089,catClave,0))&amp;"","Variable")),"")</f>
        <v/>
      </c>
      <c r="Y3089" s="52">
        <f>IF(P3089="","",IFERROR(INDEX(catGrupo,MATCH(D3089&amp;"|"&amp;E3089,catClave,0))&amp;"",""))</f>
        <v/>
      </c>
      <c r="Z3089" s="52">
        <f>IF(P3089="","",WEEKDAY(B3089,2))</f>
        <v/>
      </c>
      <c r="AA3089" s="52">
        <f>IF(P3089="","",IF(AND(P3089="Gasto",X3089="Variable",D3089&lt;&gt;catTrading,S3089&gt;0,S3089&lt;=Umbral),1,0))</f>
        <v/>
      </c>
      <c r="AB3089" s="52">
        <f>IF(OR(P3089="",Q3089=""),"",IFERROR(IF(INDEX(ctaVinc,MATCH(Q3089,ctaNombre,0))&amp;""&lt;&gt;"",INDEX(ctaVinc,MATCH(Q3089,ctaNombre,0))&amp;"",Q3089),Q3089))</f>
        <v/>
      </c>
      <c r="AC3089" s="52">
        <f>IF(OR(K3089="",AND(P3089&lt;&gt;"Transferencia",P3089&lt;&gt;"Pago tarjeta")),"",IFERROR(IF(INDEX(ctaVinc,MATCH(K3089,ctaNombre,0))&amp;""&lt;&gt;"",INDEX(ctaVinc,MATCH(K3089,ctaNombre,0))&amp;"",K3089),K3089))</f>
        <v/>
      </c>
      <c r="AD3089" s="52">
        <f>IF(AB3089="","",IFERROR(INDEX(ctaTipo,MATCH(AB3089,ctaNombre,0))&amp;"",""))</f>
        <v/>
      </c>
      <c r="AE3089" s="52">
        <f>IF(AC3089="","",IFERROR(INDEX(ctaTipo,MATCH(AC3089,ctaNombre,0))&amp;"",""))</f>
        <v/>
      </c>
      <c r="AF3089" s="53">
        <f>IF(OR(P3089="",AB3089=""),"",IF(OR(P3089="Gasto",P3089="Transferencia",P3089="Pago tarjeta"),-1,1)*IF(IFERROR(INDEX(ctaMoneda,MATCH(AB3089,ctaNombre,0))&amp;"","DOP")="USD",T3089,S3089))</f>
        <v/>
      </c>
      <c r="AG3089" s="53">
        <f>IF(AC3089="","",IF(IFERROR(INDEX(ctaMoneda,MATCH(AC3089,ctaNombre,0))&amp;"","DOP")="USD",T3089,S3089))</f>
        <v/>
      </c>
      <c r="AH3089" s="53">
        <f>IF(P3089="","",IF(AND(AD3089&lt;&gt;"",COUNTIFS(tcTipo,AD3089,tcLiq,"Sí")&gt;0),IF(OR(P3089="Gasto",P3089="Transferencia",P3089="Pago tarjeta"),-1,1)*S3089,0)+IF(AND(AE3089&lt;&gt;"",COUNTIFS(tcTipo,AE3089,tcLiq,"Sí")&gt;0),S3089,0))</f>
        <v/>
      </c>
      <c r="AI3089" s="52">
        <f>IF(OR(L3089="",P3089=""),"",IF(COUNTIFS(L$6:L3089,L3089,P$6:P3089,"?*")=1,MAX(AI$5:AI3088)+1,""))</f>
        <v/>
      </c>
    </row>
    <row r="3090">
      <c r="B3090" s="47" t="n"/>
      <c r="C3090" s="48" t="n"/>
      <c r="D3090" s="48" t="n"/>
      <c r="E3090" s="48" t="n"/>
      <c r="F3090" s="48" t="n"/>
      <c r="G3090" s="49" t="n"/>
      <c r="H3090" s="48" t="n"/>
      <c r="I3090" s="50" t="n"/>
      <c r="J3090" s="48" t="n"/>
      <c r="K3090" s="48" t="n"/>
      <c r="L3090" s="48" t="n"/>
      <c r="M3090" s="48" t="n"/>
      <c r="N3090" s="48" t="n"/>
      <c r="O3090" s="51">
        <f>IF(AND(B3090="",G3090="",C3090="",D3090="",J3090=""),"",IF(B3090="","⚠ Falta fecha",IF(G3090="","⚠ Falta monto",IF(Q3090="","⚠ Falta cuenta",IF(ISNA(MATCH(Q3090,ctaNombre,0)),"⚠ Cuenta no registrada",IF(AND(OR(P3090="Gasto",P3090="Reembolso"),D3090=""),"⚠ Falta categoría",IF(AND(D3090&lt;&gt;"",E3090&lt;&gt;"",ISNA(MATCH(D3090&amp;"|"&amp;E3090,catClave,0))),"⚠ Subcategoría no corresponde",IF(AND(OR(P3090="Transferencia",P3090="Pago tarjeta"),K3090=""),"⚠ Falta cuenta destino",IF(AND(K3090&lt;&gt;"",P3090&lt;&gt;"Transferencia",P3090&lt;&gt;"Pago tarjeta"),"⚠ Destino solo aplica a transferencias",IF(AND(K3090&lt;&gt;"",K3090=Q3090),"⚠ Origen igual a destino",IF(AND(K3090&lt;&gt;"",ISNA(MATCH(K3090,ctaNombre,0))),"⚠ Destino no registrado",IF(AND(P3090="Pago tarjeta",AE3090&lt;&gt;"Tarjeta de crédito"),"⚠ El destino debe ser tarjeta de crédito",IF(AND(P3090="Gasto",E3090="Depósitos y retiros"),"⚠ Usa tipo Transferencia",IF(AND(P3090="Resultado trading",AD3090&lt;&gt;"Cuenta de trading"),"⚠ Usa una cuenta de trading",IF(AND(G3090&lt;=0,P3090&lt;&gt;"Ajuste",P3090&lt;&gt;"Resultado trading"),"⚠ El monto debe ser positivo","✓")))))))))))))))</f>
        <v/>
      </c>
      <c r="P3090" s="52">
        <f>IF(OR(B3090="",G3090=""),"",IF(C3090="","Gasto",C3090))</f>
        <v/>
      </c>
      <c r="Q3090" s="52">
        <f>IF(P3090="","",IF(J3090&lt;&gt;"",J3090,CuentaPred&amp;""))</f>
        <v/>
      </c>
      <c r="R3090" s="52">
        <f>IF(P3090="","",IF(ISNUMBER(I3090),I3090,TasaUSD))</f>
        <v/>
      </c>
      <c r="S3090" s="53">
        <f>IF(P3090="","",IF(H3090="USD",G3090*R3090,G3090))</f>
        <v/>
      </c>
      <c r="T3090" s="53">
        <f>IF(P3090="","",IF(H3090="USD",G3090,IF(R3090&gt;0,G3090/R3090,0)))</f>
        <v/>
      </c>
      <c r="U3090" s="53">
        <f>IF(P3090="","",IF(P3090="Gasto",S3090,IF(P3090="Reembolso",-S3090,0)))</f>
        <v/>
      </c>
      <c r="V3090" s="53">
        <f>IF(P3090="","",IF(P3090="Ingreso",S3090,0))</f>
        <v/>
      </c>
      <c r="W3090" s="53">
        <f>IF(P3090="","",IF(P3090="Resultado trading",S3090,0))</f>
        <v/>
      </c>
      <c r="X3090" s="52">
        <f>IF(OR(P3090="Gasto",P3090="Reembolso"),IF(M3090&lt;&gt;"",M3090,IFERROR(INDEX(catClasif,MATCH(D3090&amp;"|"&amp;E3090,catClave,0))&amp;"","Variable")),"")</f>
        <v/>
      </c>
      <c r="Y3090" s="52">
        <f>IF(P3090="","",IFERROR(INDEX(catGrupo,MATCH(D3090&amp;"|"&amp;E3090,catClave,0))&amp;"",""))</f>
        <v/>
      </c>
      <c r="Z3090" s="52">
        <f>IF(P3090="","",WEEKDAY(B3090,2))</f>
        <v/>
      </c>
      <c r="AA3090" s="52">
        <f>IF(P3090="","",IF(AND(P3090="Gasto",X3090="Variable",D3090&lt;&gt;catTrading,S3090&gt;0,S3090&lt;=Umbral),1,0))</f>
        <v/>
      </c>
      <c r="AB3090" s="52">
        <f>IF(OR(P3090="",Q3090=""),"",IFERROR(IF(INDEX(ctaVinc,MATCH(Q3090,ctaNombre,0))&amp;""&lt;&gt;"",INDEX(ctaVinc,MATCH(Q3090,ctaNombre,0))&amp;"",Q3090),Q3090))</f>
        <v/>
      </c>
      <c r="AC3090" s="52">
        <f>IF(OR(K3090="",AND(P3090&lt;&gt;"Transferencia",P3090&lt;&gt;"Pago tarjeta")),"",IFERROR(IF(INDEX(ctaVinc,MATCH(K3090,ctaNombre,0))&amp;""&lt;&gt;"",INDEX(ctaVinc,MATCH(K3090,ctaNombre,0))&amp;"",K3090),K3090))</f>
        <v/>
      </c>
      <c r="AD3090" s="52">
        <f>IF(AB3090="","",IFERROR(INDEX(ctaTipo,MATCH(AB3090,ctaNombre,0))&amp;"",""))</f>
        <v/>
      </c>
      <c r="AE3090" s="52">
        <f>IF(AC3090="","",IFERROR(INDEX(ctaTipo,MATCH(AC3090,ctaNombre,0))&amp;"",""))</f>
        <v/>
      </c>
      <c r="AF3090" s="53">
        <f>IF(OR(P3090="",AB3090=""),"",IF(OR(P3090="Gasto",P3090="Transferencia",P3090="Pago tarjeta"),-1,1)*IF(IFERROR(INDEX(ctaMoneda,MATCH(AB3090,ctaNombre,0))&amp;"","DOP")="USD",T3090,S3090))</f>
        <v/>
      </c>
      <c r="AG3090" s="53">
        <f>IF(AC3090="","",IF(IFERROR(INDEX(ctaMoneda,MATCH(AC3090,ctaNombre,0))&amp;"","DOP")="USD",T3090,S3090))</f>
        <v/>
      </c>
      <c r="AH3090" s="53">
        <f>IF(P3090="","",IF(AND(AD3090&lt;&gt;"",COUNTIFS(tcTipo,AD3090,tcLiq,"Sí")&gt;0),IF(OR(P3090="Gasto",P3090="Transferencia",P3090="Pago tarjeta"),-1,1)*S3090,0)+IF(AND(AE3090&lt;&gt;"",COUNTIFS(tcTipo,AE3090,tcLiq,"Sí")&gt;0),S3090,0))</f>
        <v/>
      </c>
      <c r="AI3090" s="52">
        <f>IF(OR(L3090="",P3090=""),"",IF(COUNTIFS(L$6:L3090,L3090,P$6:P3090,"?*")=1,MAX(AI$5:AI3089)+1,""))</f>
        <v/>
      </c>
    </row>
    <row r="3091">
      <c r="B3091" s="47" t="n"/>
      <c r="C3091" s="48" t="n"/>
      <c r="D3091" s="48" t="n"/>
      <c r="E3091" s="48" t="n"/>
      <c r="F3091" s="48" t="n"/>
      <c r="G3091" s="49" t="n"/>
      <c r="H3091" s="48" t="n"/>
      <c r="I3091" s="50" t="n"/>
      <c r="J3091" s="48" t="n"/>
      <c r="K3091" s="48" t="n"/>
      <c r="L3091" s="48" t="n"/>
      <c r="M3091" s="48" t="n"/>
      <c r="N3091" s="48" t="n"/>
      <c r="O3091" s="51">
        <f>IF(AND(B3091="",G3091="",C3091="",D3091="",J3091=""),"",IF(B3091="","⚠ Falta fecha",IF(G3091="","⚠ Falta monto",IF(Q3091="","⚠ Falta cuenta",IF(ISNA(MATCH(Q3091,ctaNombre,0)),"⚠ Cuenta no registrada",IF(AND(OR(P3091="Gasto",P3091="Reembolso"),D3091=""),"⚠ Falta categoría",IF(AND(D3091&lt;&gt;"",E3091&lt;&gt;"",ISNA(MATCH(D3091&amp;"|"&amp;E3091,catClave,0))),"⚠ Subcategoría no corresponde",IF(AND(OR(P3091="Transferencia",P3091="Pago tarjeta"),K3091=""),"⚠ Falta cuenta destino",IF(AND(K3091&lt;&gt;"",P3091&lt;&gt;"Transferencia",P3091&lt;&gt;"Pago tarjeta"),"⚠ Destino solo aplica a transferencias",IF(AND(K3091&lt;&gt;"",K3091=Q3091),"⚠ Origen igual a destino",IF(AND(K3091&lt;&gt;"",ISNA(MATCH(K3091,ctaNombre,0))),"⚠ Destino no registrado",IF(AND(P3091="Pago tarjeta",AE3091&lt;&gt;"Tarjeta de crédito"),"⚠ El destino debe ser tarjeta de crédito",IF(AND(P3091="Gasto",E3091="Depósitos y retiros"),"⚠ Usa tipo Transferencia",IF(AND(P3091="Resultado trading",AD3091&lt;&gt;"Cuenta de trading"),"⚠ Usa una cuenta de trading",IF(AND(G3091&lt;=0,P3091&lt;&gt;"Ajuste",P3091&lt;&gt;"Resultado trading"),"⚠ El monto debe ser positivo","✓")))))))))))))))</f>
        <v/>
      </c>
      <c r="P3091" s="52">
        <f>IF(OR(B3091="",G3091=""),"",IF(C3091="","Gasto",C3091))</f>
        <v/>
      </c>
      <c r="Q3091" s="52">
        <f>IF(P3091="","",IF(J3091&lt;&gt;"",J3091,CuentaPred&amp;""))</f>
        <v/>
      </c>
      <c r="R3091" s="52">
        <f>IF(P3091="","",IF(ISNUMBER(I3091),I3091,TasaUSD))</f>
        <v/>
      </c>
      <c r="S3091" s="53">
        <f>IF(P3091="","",IF(H3091="USD",G3091*R3091,G3091))</f>
        <v/>
      </c>
      <c r="T3091" s="53">
        <f>IF(P3091="","",IF(H3091="USD",G3091,IF(R3091&gt;0,G3091/R3091,0)))</f>
        <v/>
      </c>
      <c r="U3091" s="53">
        <f>IF(P3091="","",IF(P3091="Gasto",S3091,IF(P3091="Reembolso",-S3091,0)))</f>
        <v/>
      </c>
      <c r="V3091" s="53">
        <f>IF(P3091="","",IF(P3091="Ingreso",S3091,0))</f>
        <v/>
      </c>
      <c r="W3091" s="53">
        <f>IF(P3091="","",IF(P3091="Resultado trading",S3091,0))</f>
        <v/>
      </c>
      <c r="X3091" s="52">
        <f>IF(OR(P3091="Gasto",P3091="Reembolso"),IF(M3091&lt;&gt;"",M3091,IFERROR(INDEX(catClasif,MATCH(D3091&amp;"|"&amp;E3091,catClave,0))&amp;"","Variable")),"")</f>
        <v/>
      </c>
      <c r="Y3091" s="52">
        <f>IF(P3091="","",IFERROR(INDEX(catGrupo,MATCH(D3091&amp;"|"&amp;E3091,catClave,0))&amp;"",""))</f>
        <v/>
      </c>
      <c r="Z3091" s="52">
        <f>IF(P3091="","",WEEKDAY(B3091,2))</f>
        <v/>
      </c>
      <c r="AA3091" s="52">
        <f>IF(P3091="","",IF(AND(P3091="Gasto",X3091="Variable",D3091&lt;&gt;catTrading,S3091&gt;0,S3091&lt;=Umbral),1,0))</f>
        <v/>
      </c>
      <c r="AB3091" s="52">
        <f>IF(OR(P3091="",Q3091=""),"",IFERROR(IF(INDEX(ctaVinc,MATCH(Q3091,ctaNombre,0))&amp;""&lt;&gt;"",INDEX(ctaVinc,MATCH(Q3091,ctaNombre,0))&amp;"",Q3091),Q3091))</f>
        <v/>
      </c>
      <c r="AC3091" s="52">
        <f>IF(OR(K3091="",AND(P3091&lt;&gt;"Transferencia",P3091&lt;&gt;"Pago tarjeta")),"",IFERROR(IF(INDEX(ctaVinc,MATCH(K3091,ctaNombre,0))&amp;""&lt;&gt;"",INDEX(ctaVinc,MATCH(K3091,ctaNombre,0))&amp;"",K3091),K3091))</f>
        <v/>
      </c>
      <c r="AD3091" s="52">
        <f>IF(AB3091="","",IFERROR(INDEX(ctaTipo,MATCH(AB3091,ctaNombre,0))&amp;"",""))</f>
        <v/>
      </c>
      <c r="AE3091" s="52">
        <f>IF(AC3091="","",IFERROR(INDEX(ctaTipo,MATCH(AC3091,ctaNombre,0))&amp;"",""))</f>
        <v/>
      </c>
      <c r="AF3091" s="53">
        <f>IF(OR(P3091="",AB3091=""),"",IF(OR(P3091="Gasto",P3091="Transferencia",P3091="Pago tarjeta"),-1,1)*IF(IFERROR(INDEX(ctaMoneda,MATCH(AB3091,ctaNombre,0))&amp;"","DOP")="USD",T3091,S3091))</f>
        <v/>
      </c>
      <c r="AG3091" s="53">
        <f>IF(AC3091="","",IF(IFERROR(INDEX(ctaMoneda,MATCH(AC3091,ctaNombre,0))&amp;"","DOP")="USD",T3091,S3091))</f>
        <v/>
      </c>
      <c r="AH3091" s="53">
        <f>IF(P3091="","",IF(AND(AD3091&lt;&gt;"",COUNTIFS(tcTipo,AD3091,tcLiq,"Sí")&gt;0),IF(OR(P3091="Gasto",P3091="Transferencia",P3091="Pago tarjeta"),-1,1)*S3091,0)+IF(AND(AE3091&lt;&gt;"",COUNTIFS(tcTipo,AE3091,tcLiq,"Sí")&gt;0),S3091,0))</f>
        <v/>
      </c>
      <c r="AI3091" s="52">
        <f>IF(OR(L3091="",P3091=""),"",IF(COUNTIFS(L$6:L3091,L3091,P$6:P3091,"?*")=1,MAX(AI$5:AI3090)+1,""))</f>
        <v/>
      </c>
    </row>
    <row r="3092">
      <c r="B3092" s="47" t="n"/>
      <c r="C3092" s="48" t="n"/>
      <c r="D3092" s="48" t="n"/>
      <c r="E3092" s="48" t="n"/>
      <c r="F3092" s="48" t="n"/>
      <c r="G3092" s="49" t="n"/>
      <c r="H3092" s="48" t="n"/>
      <c r="I3092" s="50" t="n"/>
      <c r="J3092" s="48" t="n"/>
      <c r="K3092" s="48" t="n"/>
      <c r="L3092" s="48" t="n"/>
      <c r="M3092" s="48" t="n"/>
      <c r="N3092" s="48" t="n"/>
      <c r="O3092" s="51">
        <f>IF(AND(B3092="",G3092="",C3092="",D3092="",J3092=""),"",IF(B3092="","⚠ Falta fecha",IF(G3092="","⚠ Falta monto",IF(Q3092="","⚠ Falta cuenta",IF(ISNA(MATCH(Q3092,ctaNombre,0)),"⚠ Cuenta no registrada",IF(AND(OR(P3092="Gasto",P3092="Reembolso"),D3092=""),"⚠ Falta categoría",IF(AND(D3092&lt;&gt;"",E3092&lt;&gt;"",ISNA(MATCH(D3092&amp;"|"&amp;E3092,catClave,0))),"⚠ Subcategoría no corresponde",IF(AND(OR(P3092="Transferencia",P3092="Pago tarjeta"),K3092=""),"⚠ Falta cuenta destino",IF(AND(K3092&lt;&gt;"",P3092&lt;&gt;"Transferencia",P3092&lt;&gt;"Pago tarjeta"),"⚠ Destino solo aplica a transferencias",IF(AND(K3092&lt;&gt;"",K3092=Q3092),"⚠ Origen igual a destino",IF(AND(K3092&lt;&gt;"",ISNA(MATCH(K3092,ctaNombre,0))),"⚠ Destino no registrado",IF(AND(P3092="Pago tarjeta",AE3092&lt;&gt;"Tarjeta de crédito"),"⚠ El destino debe ser tarjeta de crédito",IF(AND(P3092="Gasto",E3092="Depósitos y retiros"),"⚠ Usa tipo Transferencia",IF(AND(P3092="Resultado trading",AD3092&lt;&gt;"Cuenta de trading"),"⚠ Usa una cuenta de trading",IF(AND(G3092&lt;=0,P3092&lt;&gt;"Ajuste",P3092&lt;&gt;"Resultado trading"),"⚠ El monto debe ser positivo","✓")))))))))))))))</f>
        <v/>
      </c>
      <c r="P3092" s="52">
        <f>IF(OR(B3092="",G3092=""),"",IF(C3092="","Gasto",C3092))</f>
        <v/>
      </c>
      <c r="Q3092" s="52">
        <f>IF(P3092="","",IF(J3092&lt;&gt;"",J3092,CuentaPred&amp;""))</f>
        <v/>
      </c>
      <c r="R3092" s="52">
        <f>IF(P3092="","",IF(ISNUMBER(I3092),I3092,TasaUSD))</f>
        <v/>
      </c>
      <c r="S3092" s="53">
        <f>IF(P3092="","",IF(H3092="USD",G3092*R3092,G3092))</f>
        <v/>
      </c>
      <c r="T3092" s="53">
        <f>IF(P3092="","",IF(H3092="USD",G3092,IF(R3092&gt;0,G3092/R3092,0)))</f>
        <v/>
      </c>
      <c r="U3092" s="53">
        <f>IF(P3092="","",IF(P3092="Gasto",S3092,IF(P3092="Reembolso",-S3092,0)))</f>
        <v/>
      </c>
      <c r="V3092" s="53">
        <f>IF(P3092="","",IF(P3092="Ingreso",S3092,0))</f>
        <v/>
      </c>
      <c r="W3092" s="53">
        <f>IF(P3092="","",IF(P3092="Resultado trading",S3092,0))</f>
        <v/>
      </c>
      <c r="X3092" s="52">
        <f>IF(OR(P3092="Gasto",P3092="Reembolso"),IF(M3092&lt;&gt;"",M3092,IFERROR(INDEX(catClasif,MATCH(D3092&amp;"|"&amp;E3092,catClave,0))&amp;"","Variable")),"")</f>
        <v/>
      </c>
      <c r="Y3092" s="52">
        <f>IF(P3092="","",IFERROR(INDEX(catGrupo,MATCH(D3092&amp;"|"&amp;E3092,catClave,0))&amp;"",""))</f>
        <v/>
      </c>
      <c r="Z3092" s="52">
        <f>IF(P3092="","",WEEKDAY(B3092,2))</f>
        <v/>
      </c>
      <c r="AA3092" s="52">
        <f>IF(P3092="","",IF(AND(P3092="Gasto",X3092="Variable",D3092&lt;&gt;catTrading,S3092&gt;0,S3092&lt;=Umbral),1,0))</f>
        <v/>
      </c>
      <c r="AB3092" s="52">
        <f>IF(OR(P3092="",Q3092=""),"",IFERROR(IF(INDEX(ctaVinc,MATCH(Q3092,ctaNombre,0))&amp;""&lt;&gt;"",INDEX(ctaVinc,MATCH(Q3092,ctaNombre,0))&amp;"",Q3092),Q3092))</f>
        <v/>
      </c>
      <c r="AC3092" s="52">
        <f>IF(OR(K3092="",AND(P3092&lt;&gt;"Transferencia",P3092&lt;&gt;"Pago tarjeta")),"",IFERROR(IF(INDEX(ctaVinc,MATCH(K3092,ctaNombre,0))&amp;""&lt;&gt;"",INDEX(ctaVinc,MATCH(K3092,ctaNombre,0))&amp;"",K3092),K3092))</f>
        <v/>
      </c>
      <c r="AD3092" s="52">
        <f>IF(AB3092="","",IFERROR(INDEX(ctaTipo,MATCH(AB3092,ctaNombre,0))&amp;"",""))</f>
        <v/>
      </c>
      <c r="AE3092" s="52">
        <f>IF(AC3092="","",IFERROR(INDEX(ctaTipo,MATCH(AC3092,ctaNombre,0))&amp;"",""))</f>
        <v/>
      </c>
      <c r="AF3092" s="53">
        <f>IF(OR(P3092="",AB3092=""),"",IF(OR(P3092="Gasto",P3092="Transferencia",P3092="Pago tarjeta"),-1,1)*IF(IFERROR(INDEX(ctaMoneda,MATCH(AB3092,ctaNombre,0))&amp;"","DOP")="USD",T3092,S3092))</f>
        <v/>
      </c>
      <c r="AG3092" s="53">
        <f>IF(AC3092="","",IF(IFERROR(INDEX(ctaMoneda,MATCH(AC3092,ctaNombre,0))&amp;"","DOP")="USD",T3092,S3092))</f>
        <v/>
      </c>
      <c r="AH3092" s="53">
        <f>IF(P3092="","",IF(AND(AD3092&lt;&gt;"",COUNTIFS(tcTipo,AD3092,tcLiq,"Sí")&gt;0),IF(OR(P3092="Gasto",P3092="Transferencia",P3092="Pago tarjeta"),-1,1)*S3092,0)+IF(AND(AE3092&lt;&gt;"",COUNTIFS(tcTipo,AE3092,tcLiq,"Sí")&gt;0),S3092,0))</f>
        <v/>
      </c>
      <c r="AI3092" s="52">
        <f>IF(OR(L3092="",P3092=""),"",IF(COUNTIFS(L$6:L3092,L3092,P$6:P3092,"?*")=1,MAX(AI$5:AI3091)+1,""))</f>
        <v/>
      </c>
    </row>
    <row r="3093">
      <c r="B3093" s="47" t="n"/>
      <c r="C3093" s="48" t="n"/>
      <c r="D3093" s="48" t="n"/>
      <c r="E3093" s="48" t="n"/>
      <c r="F3093" s="48" t="n"/>
      <c r="G3093" s="49" t="n"/>
      <c r="H3093" s="48" t="n"/>
      <c r="I3093" s="50" t="n"/>
      <c r="J3093" s="48" t="n"/>
      <c r="K3093" s="48" t="n"/>
      <c r="L3093" s="48" t="n"/>
      <c r="M3093" s="48" t="n"/>
      <c r="N3093" s="48" t="n"/>
      <c r="O3093" s="51">
        <f>IF(AND(B3093="",G3093="",C3093="",D3093="",J3093=""),"",IF(B3093="","⚠ Falta fecha",IF(G3093="","⚠ Falta monto",IF(Q3093="","⚠ Falta cuenta",IF(ISNA(MATCH(Q3093,ctaNombre,0)),"⚠ Cuenta no registrada",IF(AND(OR(P3093="Gasto",P3093="Reembolso"),D3093=""),"⚠ Falta categoría",IF(AND(D3093&lt;&gt;"",E3093&lt;&gt;"",ISNA(MATCH(D3093&amp;"|"&amp;E3093,catClave,0))),"⚠ Subcategoría no corresponde",IF(AND(OR(P3093="Transferencia",P3093="Pago tarjeta"),K3093=""),"⚠ Falta cuenta destino",IF(AND(K3093&lt;&gt;"",P3093&lt;&gt;"Transferencia",P3093&lt;&gt;"Pago tarjeta"),"⚠ Destino solo aplica a transferencias",IF(AND(K3093&lt;&gt;"",K3093=Q3093),"⚠ Origen igual a destino",IF(AND(K3093&lt;&gt;"",ISNA(MATCH(K3093,ctaNombre,0))),"⚠ Destino no registrado",IF(AND(P3093="Pago tarjeta",AE3093&lt;&gt;"Tarjeta de crédito"),"⚠ El destino debe ser tarjeta de crédito",IF(AND(P3093="Gasto",E3093="Depósitos y retiros"),"⚠ Usa tipo Transferencia",IF(AND(P3093="Resultado trading",AD3093&lt;&gt;"Cuenta de trading"),"⚠ Usa una cuenta de trading",IF(AND(G3093&lt;=0,P3093&lt;&gt;"Ajuste",P3093&lt;&gt;"Resultado trading"),"⚠ El monto debe ser positivo","✓")))))))))))))))</f>
        <v/>
      </c>
      <c r="P3093" s="52">
        <f>IF(OR(B3093="",G3093=""),"",IF(C3093="","Gasto",C3093))</f>
        <v/>
      </c>
      <c r="Q3093" s="52">
        <f>IF(P3093="","",IF(J3093&lt;&gt;"",J3093,CuentaPred&amp;""))</f>
        <v/>
      </c>
      <c r="R3093" s="52">
        <f>IF(P3093="","",IF(ISNUMBER(I3093),I3093,TasaUSD))</f>
        <v/>
      </c>
      <c r="S3093" s="53">
        <f>IF(P3093="","",IF(H3093="USD",G3093*R3093,G3093))</f>
        <v/>
      </c>
      <c r="T3093" s="53">
        <f>IF(P3093="","",IF(H3093="USD",G3093,IF(R3093&gt;0,G3093/R3093,0)))</f>
        <v/>
      </c>
      <c r="U3093" s="53">
        <f>IF(P3093="","",IF(P3093="Gasto",S3093,IF(P3093="Reembolso",-S3093,0)))</f>
        <v/>
      </c>
      <c r="V3093" s="53">
        <f>IF(P3093="","",IF(P3093="Ingreso",S3093,0))</f>
        <v/>
      </c>
      <c r="W3093" s="53">
        <f>IF(P3093="","",IF(P3093="Resultado trading",S3093,0))</f>
        <v/>
      </c>
      <c r="X3093" s="52">
        <f>IF(OR(P3093="Gasto",P3093="Reembolso"),IF(M3093&lt;&gt;"",M3093,IFERROR(INDEX(catClasif,MATCH(D3093&amp;"|"&amp;E3093,catClave,0))&amp;"","Variable")),"")</f>
        <v/>
      </c>
      <c r="Y3093" s="52">
        <f>IF(P3093="","",IFERROR(INDEX(catGrupo,MATCH(D3093&amp;"|"&amp;E3093,catClave,0))&amp;"",""))</f>
        <v/>
      </c>
      <c r="Z3093" s="52">
        <f>IF(P3093="","",WEEKDAY(B3093,2))</f>
        <v/>
      </c>
      <c r="AA3093" s="52">
        <f>IF(P3093="","",IF(AND(P3093="Gasto",X3093="Variable",D3093&lt;&gt;catTrading,S3093&gt;0,S3093&lt;=Umbral),1,0))</f>
        <v/>
      </c>
      <c r="AB3093" s="52">
        <f>IF(OR(P3093="",Q3093=""),"",IFERROR(IF(INDEX(ctaVinc,MATCH(Q3093,ctaNombre,0))&amp;""&lt;&gt;"",INDEX(ctaVinc,MATCH(Q3093,ctaNombre,0))&amp;"",Q3093),Q3093))</f>
        <v/>
      </c>
      <c r="AC3093" s="52">
        <f>IF(OR(K3093="",AND(P3093&lt;&gt;"Transferencia",P3093&lt;&gt;"Pago tarjeta")),"",IFERROR(IF(INDEX(ctaVinc,MATCH(K3093,ctaNombre,0))&amp;""&lt;&gt;"",INDEX(ctaVinc,MATCH(K3093,ctaNombre,0))&amp;"",K3093),K3093))</f>
        <v/>
      </c>
      <c r="AD3093" s="52">
        <f>IF(AB3093="","",IFERROR(INDEX(ctaTipo,MATCH(AB3093,ctaNombre,0))&amp;"",""))</f>
        <v/>
      </c>
      <c r="AE3093" s="52">
        <f>IF(AC3093="","",IFERROR(INDEX(ctaTipo,MATCH(AC3093,ctaNombre,0))&amp;"",""))</f>
        <v/>
      </c>
      <c r="AF3093" s="53">
        <f>IF(OR(P3093="",AB3093=""),"",IF(OR(P3093="Gasto",P3093="Transferencia",P3093="Pago tarjeta"),-1,1)*IF(IFERROR(INDEX(ctaMoneda,MATCH(AB3093,ctaNombre,0))&amp;"","DOP")="USD",T3093,S3093))</f>
        <v/>
      </c>
      <c r="AG3093" s="53">
        <f>IF(AC3093="","",IF(IFERROR(INDEX(ctaMoneda,MATCH(AC3093,ctaNombre,0))&amp;"","DOP")="USD",T3093,S3093))</f>
        <v/>
      </c>
      <c r="AH3093" s="53">
        <f>IF(P3093="","",IF(AND(AD3093&lt;&gt;"",COUNTIFS(tcTipo,AD3093,tcLiq,"Sí")&gt;0),IF(OR(P3093="Gasto",P3093="Transferencia",P3093="Pago tarjeta"),-1,1)*S3093,0)+IF(AND(AE3093&lt;&gt;"",COUNTIFS(tcTipo,AE3093,tcLiq,"Sí")&gt;0),S3093,0))</f>
        <v/>
      </c>
      <c r="AI3093" s="52">
        <f>IF(OR(L3093="",P3093=""),"",IF(COUNTIFS(L$6:L3093,L3093,P$6:P3093,"?*")=1,MAX(AI$5:AI3092)+1,""))</f>
        <v/>
      </c>
    </row>
    <row r="3094">
      <c r="B3094" s="47" t="n"/>
      <c r="C3094" s="48" t="n"/>
      <c r="D3094" s="48" t="n"/>
      <c r="E3094" s="48" t="n"/>
      <c r="F3094" s="48" t="n"/>
      <c r="G3094" s="49" t="n"/>
      <c r="H3094" s="48" t="n"/>
      <c r="I3094" s="50" t="n"/>
      <c r="J3094" s="48" t="n"/>
      <c r="K3094" s="48" t="n"/>
      <c r="L3094" s="48" t="n"/>
      <c r="M3094" s="48" t="n"/>
      <c r="N3094" s="48" t="n"/>
      <c r="O3094" s="51">
        <f>IF(AND(B3094="",G3094="",C3094="",D3094="",J3094=""),"",IF(B3094="","⚠ Falta fecha",IF(G3094="","⚠ Falta monto",IF(Q3094="","⚠ Falta cuenta",IF(ISNA(MATCH(Q3094,ctaNombre,0)),"⚠ Cuenta no registrada",IF(AND(OR(P3094="Gasto",P3094="Reembolso"),D3094=""),"⚠ Falta categoría",IF(AND(D3094&lt;&gt;"",E3094&lt;&gt;"",ISNA(MATCH(D3094&amp;"|"&amp;E3094,catClave,0))),"⚠ Subcategoría no corresponde",IF(AND(OR(P3094="Transferencia",P3094="Pago tarjeta"),K3094=""),"⚠ Falta cuenta destino",IF(AND(K3094&lt;&gt;"",P3094&lt;&gt;"Transferencia",P3094&lt;&gt;"Pago tarjeta"),"⚠ Destino solo aplica a transferencias",IF(AND(K3094&lt;&gt;"",K3094=Q3094),"⚠ Origen igual a destino",IF(AND(K3094&lt;&gt;"",ISNA(MATCH(K3094,ctaNombre,0))),"⚠ Destino no registrado",IF(AND(P3094="Pago tarjeta",AE3094&lt;&gt;"Tarjeta de crédito"),"⚠ El destino debe ser tarjeta de crédito",IF(AND(P3094="Gasto",E3094="Depósitos y retiros"),"⚠ Usa tipo Transferencia",IF(AND(P3094="Resultado trading",AD3094&lt;&gt;"Cuenta de trading"),"⚠ Usa una cuenta de trading",IF(AND(G3094&lt;=0,P3094&lt;&gt;"Ajuste",P3094&lt;&gt;"Resultado trading"),"⚠ El monto debe ser positivo","✓")))))))))))))))</f>
        <v/>
      </c>
      <c r="P3094" s="52">
        <f>IF(OR(B3094="",G3094=""),"",IF(C3094="","Gasto",C3094))</f>
        <v/>
      </c>
      <c r="Q3094" s="52">
        <f>IF(P3094="","",IF(J3094&lt;&gt;"",J3094,CuentaPred&amp;""))</f>
        <v/>
      </c>
      <c r="R3094" s="52">
        <f>IF(P3094="","",IF(ISNUMBER(I3094),I3094,TasaUSD))</f>
        <v/>
      </c>
      <c r="S3094" s="53">
        <f>IF(P3094="","",IF(H3094="USD",G3094*R3094,G3094))</f>
        <v/>
      </c>
      <c r="T3094" s="53">
        <f>IF(P3094="","",IF(H3094="USD",G3094,IF(R3094&gt;0,G3094/R3094,0)))</f>
        <v/>
      </c>
      <c r="U3094" s="53">
        <f>IF(P3094="","",IF(P3094="Gasto",S3094,IF(P3094="Reembolso",-S3094,0)))</f>
        <v/>
      </c>
      <c r="V3094" s="53">
        <f>IF(P3094="","",IF(P3094="Ingreso",S3094,0))</f>
        <v/>
      </c>
      <c r="W3094" s="53">
        <f>IF(P3094="","",IF(P3094="Resultado trading",S3094,0))</f>
        <v/>
      </c>
      <c r="X3094" s="52">
        <f>IF(OR(P3094="Gasto",P3094="Reembolso"),IF(M3094&lt;&gt;"",M3094,IFERROR(INDEX(catClasif,MATCH(D3094&amp;"|"&amp;E3094,catClave,0))&amp;"","Variable")),"")</f>
        <v/>
      </c>
      <c r="Y3094" s="52">
        <f>IF(P3094="","",IFERROR(INDEX(catGrupo,MATCH(D3094&amp;"|"&amp;E3094,catClave,0))&amp;"",""))</f>
        <v/>
      </c>
      <c r="Z3094" s="52">
        <f>IF(P3094="","",WEEKDAY(B3094,2))</f>
        <v/>
      </c>
      <c r="AA3094" s="52">
        <f>IF(P3094="","",IF(AND(P3094="Gasto",X3094="Variable",D3094&lt;&gt;catTrading,S3094&gt;0,S3094&lt;=Umbral),1,0))</f>
        <v/>
      </c>
      <c r="AB3094" s="52">
        <f>IF(OR(P3094="",Q3094=""),"",IFERROR(IF(INDEX(ctaVinc,MATCH(Q3094,ctaNombre,0))&amp;""&lt;&gt;"",INDEX(ctaVinc,MATCH(Q3094,ctaNombre,0))&amp;"",Q3094),Q3094))</f>
        <v/>
      </c>
      <c r="AC3094" s="52">
        <f>IF(OR(K3094="",AND(P3094&lt;&gt;"Transferencia",P3094&lt;&gt;"Pago tarjeta")),"",IFERROR(IF(INDEX(ctaVinc,MATCH(K3094,ctaNombre,0))&amp;""&lt;&gt;"",INDEX(ctaVinc,MATCH(K3094,ctaNombre,0))&amp;"",K3094),K3094))</f>
        <v/>
      </c>
      <c r="AD3094" s="52">
        <f>IF(AB3094="","",IFERROR(INDEX(ctaTipo,MATCH(AB3094,ctaNombre,0))&amp;"",""))</f>
        <v/>
      </c>
      <c r="AE3094" s="52">
        <f>IF(AC3094="","",IFERROR(INDEX(ctaTipo,MATCH(AC3094,ctaNombre,0))&amp;"",""))</f>
        <v/>
      </c>
      <c r="AF3094" s="53">
        <f>IF(OR(P3094="",AB3094=""),"",IF(OR(P3094="Gasto",P3094="Transferencia",P3094="Pago tarjeta"),-1,1)*IF(IFERROR(INDEX(ctaMoneda,MATCH(AB3094,ctaNombre,0))&amp;"","DOP")="USD",T3094,S3094))</f>
        <v/>
      </c>
      <c r="AG3094" s="53">
        <f>IF(AC3094="","",IF(IFERROR(INDEX(ctaMoneda,MATCH(AC3094,ctaNombre,0))&amp;"","DOP")="USD",T3094,S3094))</f>
        <v/>
      </c>
      <c r="AH3094" s="53">
        <f>IF(P3094="","",IF(AND(AD3094&lt;&gt;"",COUNTIFS(tcTipo,AD3094,tcLiq,"Sí")&gt;0),IF(OR(P3094="Gasto",P3094="Transferencia",P3094="Pago tarjeta"),-1,1)*S3094,0)+IF(AND(AE3094&lt;&gt;"",COUNTIFS(tcTipo,AE3094,tcLiq,"Sí")&gt;0),S3094,0))</f>
        <v/>
      </c>
      <c r="AI3094" s="52">
        <f>IF(OR(L3094="",P3094=""),"",IF(COUNTIFS(L$6:L3094,L3094,P$6:P3094,"?*")=1,MAX(AI$5:AI3093)+1,""))</f>
        <v/>
      </c>
    </row>
    <row r="3095">
      <c r="B3095" s="47" t="n"/>
      <c r="C3095" s="48" t="n"/>
      <c r="D3095" s="48" t="n"/>
      <c r="E3095" s="48" t="n"/>
      <c r="F3095" s="48" t="n"/>
      <c r="G3095" s="49" t="n"/>
      <c r="H3095" s="48" t="n"/>
      <c r="I3095" s="50" t="n"/>
      <c r="J3095" s="48" t="n"/>
      <c r="K3095" s="48" t="n"/>
      <c r="L3095" s="48" t="n"/>
      <c r="M3095" s="48" t="n"/>
      <c r="N3095" s="48" t="n"/>
      <c r="O3095" s="51">
        <f>IF(AND(B3095="",G3095="",C3095="",D3095="",J3095=""),"",IF(B3095="","⚠ Falta fecha",IF(G3095="","⚠ Falta monto",IF(Q3095="","⚠ Falta cuenta",IF(ISNA(MATCH(Q3095,ctaNombre,0)),"⚠ Cuenta no registrada",IF(AND(OR(P3095="Gasto",P3095="Reembolso"),D3095=""),"⚠ Falta categoría",IF(AND(D3095&lt;&gt;"",E3095&lt;&gt;"",ISNA(MATCH(D3095&amp;"|"&amp;E3095,catClave,0))),"⚠ Subcategoría no corresponde",IF(AND(OR(P3095="Transferencia",P3095="Pago tarjeta"),K3095=""),"⚠ Falta cuenta destino",IF(AND(K3095&lt;&gt;"",P3095&lt;&gt;"Transferencia",P3095&lt;&gt;"Pago tarjeta"),"⚠ Destino solo aplica a transferencias",IF(AND(K3095&lt;&gt;"",K3095=Q3095),"⚠ Origen igual a destino",IF(AND(K3095&lt;&gt;"",ISNA(MATCH(K3095,ctaNombre,0))),"⚠ Destino no registrado",IF(AND(P3095="Pago tarjeta",AE3095&lt;&gt;"Tarjeta de crédito"),"⚠ El destino debe ser tarjeta de crédito",IF(AND(P3095="Gasto",E3095="Depósitos y retiros"),"⚠ Usa tipo Transferencia",IF(AND(P3095="Resultado trading",AD3095&lt;&gt;"Cuenta de trading"),"⚠ Usa una cuenta de trading",IF(AND(G3095&lt;=0,P3095&lt;&gt;"Ajuste",P3095&lt;&gt;"Resultado trading"),"⚠ El monto debe ser positivo","✓")))))))))))))))</f>
        <v/>
      </c>
      <c r="P3095" s="52">
        <f>IF(OR(B3095="",G3095=""),"",IF(C3095="","Gasto",C3095))</f>
        <v/>
      </c>
      <c r="Q3095" s="52">
        <f>IF(P3095="","",IF(J3095&lt;&gt;"",J3095,CuentaPred&amp;""))</f>
        <v/>
      </c>
      <c r="R3095" s="52">
        <f>IF(P3095="","",IF(ISNUMBER(I3095),I3095,TasaUSD))</f>
        <v/>
      </c>
      <c r="S3095" s="53">
        <f>IF(P3095="","",IF(H3095="USD",G3095*R3095,G3095))</f>
        <v/>
      </c>
      <c r="T3095" s="53">
        <f>IF(P3095="","",IF(H3095="USD",G3095,IF(R3095&gt;0,G3095/R3095,0)))</f>
        <v/>
      </c>
      <c r="U3095" s="53">
        <f>IF(P3095="","",IF(P3095="Gasto",S3095,IF(P3095="Reembolso",-S3095,0)))</f>
        <v/>
      </c>
      <c r="V3095" s="53">
        <f>IF(P3095="","",IF(P3095="Ingreso",S3095,0))</f>
        <v/>
      </c>
      <c r="W3095" s="53">
        <f>IF(P3095="","",IF(P3095="Resultado trading",S3095,0))</f>
        <v/>
      </c>
      <c r="X3095" s="52">
        <f>IF(OR(P3095="Gasto",P3095="Reembolso"),IF(M3095&lt;&gt;"",M3095,IFERROR(INDEX(catClasif,MATCH(D3095&amp;"|"&amp;E3095,catClave,0))&amp;"","Variable")),"")</f>
        <v/>
      </c>
      <c r="Y3095" s="52">
        <f>IF(P3095="","",IFERROR(INDEX(catGrupo,MATCH(D3095&amp;"|"&amp;E3095,catClave,0))&amp;"",""))</f>
        <v/>
      </c>
      <c r="Z3095" s="52">
        <f>IF(P3095="","",WEEKDAY(B3095,2))</f>
        <v/>
      </c>
      <c r="AA3095" s="52">
        <f>IF(P3095="","",IF(AND(P3095="Gasto",X3095="Variable",D3095&lt;&gt;catTrading,S3095&gt;0,S3095&lt;=Umbral),1,0))</f>
        <v/>
      </c>
      <c r="AB3095" s="52">
        <f>IF(OR(P3095="",Q3095=""),"",IFERROR(IF(INDEX(ctaVinc,MATCH(Q3095,ctaNombre,0))&amp;""&lt;&gt;"",INDEX(ctaVinc,MATCH(Q3095,ctaNombre,0))&amp;"",Q3095),Q3095))</f>
        <v/>
      </c>
      <c r="AC3095" s="52">
        <f>IF(OR(K3095="",AND(P3095&lt;&gt;"Transferencia",P3095&lt;&gt;"Pago tarjeta")),"",IFERROR(IF(INDEX(ctaVinc,MATCH(K3095,ctaNombre,0))&amp;""&lt;&gt;"",INDEX(ctaVinc,MATCH(K3095,ctaNombre,0))&amp;"",K3095),K3095))</f>
        <v/>
      </c>
      <c r="AD3095" s="52">
        <f>IF(AB3095="","",IFERROR(INDEX(ctaTipo,MATCH(AB3095,ctaNombre,0))&amp;"",""))</f>
        <v/>
      </c>
      <c r="AE3095" s="52">
        <f>IF(AC3095="","",IFERROR(INDEX(ctaTipo,MATCH(AC3095,ctaNombre,0))&amp;"",""))</f>
        <v/>
      </c>
      <c r="AF3095" s="53">
        <f>IF(OR(P3095="",AB3095=""),"",IF(OR(P3095="Gasto",P3095="Transferencia",P3095="Pago tarjeta"),-1,1)*IF(IFERROR(INDEX(ctaMoneda,MATCH(AB3095,ctaNombre,0))&amp;"","DOP")="USD",T3095,S3095))</f>
        <v/>
      </c>
      <c r="AG3095" s="53">
        <f>IF(AC3095="","",IF(IFERROR(INDEX(ctaMoneda,MATCH(AC3095,ctaNombre,0))&amp;"","DOP")="USD",T3095,S3095))</f>
        <v/>
      </c>
      <c r="AH3095" s="53">
        <f>IF(P3095="","",IF(AND(AD3095&lt;&gt;"",COUNTIFS(tcTipo,AD3095,tcLiq,"Sí")&gt;0),IF(OR(P3095="Gasto",P3095="Transferencia",P3095="Pago tarjeta"),-1,1)*S3095,0)+IF(AND(AE3095&lt;&gt;"",COUNTIFS(tcTipo,AE3095,tcLiq,"Sí")&gt;0),S3095,0))</f>
        <v/>
      </c>
      <c r="AI3095" s="52">
        <f>IF(OR(L3095="",P3095=""),"",IF(COUNTIFS(L$6:L3095,L3095,P$6:P3095,"?*")=1,MAX(AI$5:AI3094)+1,""))</f>
        <v/>
      </c>
    </row>
    <row r="3096">
      <c r="B3096" s="47" t="n"/>
      <c r="C3096" s="48" t="n"/>
      <c r="D3096" s="48" t="n"/>
      <c r="E3096" s="48" t="n"/>
      <c r="F3096" s="48" t="n"/>
      <c r="G3096" s="49" t="n"/>
      <c r="H3096" s="48" t="n"/>
      <c r="I3096" s="50" t="n"/>
      <c r="J3096" s="48" t="n"/>
      <c r="K3096" s="48" t="n"/>
      <c r="L3096" s="48" t="n"/>
      <c r="M3096" s="48" t="n"/>
      <c r="N3096" s="48" t="n"/>
      <c r="O3096" s="51">
        <f>IF(AND(B3096="",G3096="",C3096="",D3096="",J3096=""),"",IF(B3096="","⚠ Falta fecha",IF(G3096="","⚠ Falta monto",IF(Q3096="","⚠ Falta cuenta",IF(ISNA(MATCH(Q3096,ctaNombre,0)),"⚠ Cuenta no registrada",IF(AND(OR(P3096="Gasto",P3096="Reembolso"),D3096=""),"⚠ Falta categoría",IF(AND(D3096&lt;&gt;"",E3096&lt;&gt;"",ISNA(MATCH(D3096&amp;"|"&amp;E3096,catClave,0))),"⚠ Subcategoría no corresponde",IF(AND(OR(P3096="Transferencia",P3096="Pago tarjeta"),K3096=""),"⚠ Falta cuenta destino",IF(AND(K3096&lt;&gt;"",P3096&lt;&gt;"Transferencia",P3096&lt;&gt;"Pago tarjeta"),"⚠ Destino solo aplica a transferencias",IF(AND(K3096&lt;&gt;"",K3096=Q3096),"⚠ Origen igual a destino",IF(AND(K3096&lt;&gt;"",ISNA(MATCH(K3096,ctaNombre,0))),"⚠ Destino no registrado",IF(AND(P3096="Pago tarjeta",AE3096&lt;&gt;"Tarjeta de crédito"),"⚠ El destino debe ser tarjeta de crédito",IF(AND(P3096="Gasto",E3096="Depósitos y retiros"),"⚠ Usa tipo Transferencia",IF(AND(P3096="Resultado trading",AD3096&lt;&gt;"Cuenta de trading"),"⚠ Usa una cuenta de trading",IF(AND(G3096&lt;=0,P3096&lt;&gt;"Ajuste",P3096&lt;&gt;"Resultado trading"),"⚠ El monto debe ser positivo","✓")))))))))))))))</f>
        <v/>
      </c>
      <c r="P3096" s="52">
        <f>IF(OR(B3096="",G3096=""),"",IF(C3096="","Gasto",C3096))</f>
        <v/>
      </c>
      <c r="Q3096" s="52">
        <f>IF(P3096="","",IF(J3096&lt;&gt;"",J3096,CuentaPred&amp;""))</f>
        <v/>
      </c>
      <c r="R3096" s="52">
        <f>IF(P3096="","",IF(ISNUMBER(I3096),I3096,TasaUSD))</f>
        <v/>
      </c>
      <c r="S3096" s="53">
        <f>IF(P3096="","",IF(H3096="USD",G3096*R3096,G3096))</f>
        <v/>
      </c>
      <c r="T3096" s="53">
        <f>IF(P3096="","",IF(H3096="USD",G3096,IF(R3096&gt;0,G3096/R3096,0)))</f>
        <v/>
      </c>
      <c r="U3096" s="53">
        <f>IF(P3096="","",IF(P3096="Gasto",S3096,IF(P3096="Reembolso",-S3096,0)))</f>
        <v/>
      </c>
      <c r="V3096" s="53">
        <f>IF(P3096="","",IF(P3096="Ingreso",S3096,0))</f>
        <v/>
      </c>
      <c r="W3096" s="53">
        <f>IF(P3096="","",IF(P3096="Resultado trading",S3096,0))</f>
        <v/>
      </c>
      <c r="X3096" s="52">
        <f>IF(OR(P3096="Gasto",P3096="Reembolso"),IF(M3096&lt;&gt;"",M3096,IFERROR(INDEX(catClasif,MATCH(D3096&amp;"|"&amp;E3096,catClave,0))&amp;"","Variable")),"")</f>
        <v/>
      </c>
      <c r="Y3096" s="52">
        <f>IF(P3096="","",IFERROR(INDEX(catGrupo,MATCH(D3096&amp;"|"&amp;E3096,catClave,0))&amp;"",""))</f>
        <v/>
      </c>
      <c r="Z3096" s="52">
        <f>IF(P3096="","",WEEKDAY(B3096,2))</f>
        <v/>
      </c>
      <c r="AA3096" s="52">
        <f>IF(P3096="","",IF(AND(P3096="Gasto",X3096="Variable",D3096&lt;&gt;catTrading,S3096&gt;0,S3096&lt;=Umbral),1,0))</f>
        <v/>
      </c>
      <c r="AB3096" s="52">
        <f>IF(OR(P3096="",Q3096=""),"",IFERROR(IF(INDEX(ctaVinc,MATCH(Q3096,ctaNombre,0))&amp;""&lt;&gt;"",INDEX(ctaVinc,MATCH(Q3096,ctaNombre,0))&amp;"",Q3096),Q3096))</f>
        <v/>
      </c>
      <c r="AC3096" s="52">
        <f>IF(OR(K3096="",AND(P3096&lt;&gt;"Transferencia",P3096&lt;&gt;"Pago tarjeta")),"",IFERROR(IF(INDEX(ctaVinc,MATCH(K3096,ctaNombre,0))&amp;""&lt;&gt;"",INDEX(ctaVinc,MATCH(K3096,ctaNombre,0))&amp;"",K3096),K3096))</f>
        <v/>
      </c>
      <c r="AD3096" s="52">
        <f>IF(AB3096="","",IFERROR(INDEX(ctaTipo,MATCH(AB3096,ctaNombre,0))&amp;"",""))</f>
        <v/>
      </c>
      <c r="AE3096" s="52">
        <f>IF(AC3096="","",IFERROR(INDEX(ctaTipo,MATCH(AC3096,ctaNombre,0))&amp;"",""))</f>
        <v/>
      </c>
      <c r="AF3096" s="53">
        <f>IF(OR(P3096="",AB3096=""),"",IF(OR(P3096="Gasto",P3096="Transferencia",P3096="Pago tarjeta"),-1,1)*IF(IFERROR(INDEX(ctaMoneda,MATCH(AB3096,ctaNombre,0))&amp;"","DOP")="USD",T3096,S3096))</f>
        <v/>
      </c>
      <c r="AG3096" s="53">
        <f>IF(AC3096="","",IF(IFERROR(INDEX(ctaMoneda,MATCH(AC3096,ctaNombre,0))&amp;"","DOP")="USD",T3096,S3096))</f>
        <v/>
      </c>
      <c r="AH3096" s="53">
        <f>IF(P3096="","",IF(AND(AD3096&lt;&gt;"",COUNTIFS(tcTipo,AD3096,tcLiq,"Sí")&gt;0),IF(OR(P3096="Gasto",P3096="Transferencia",P3096="Pago tarjeta"),-1,1)*S3096,0)+IF(AND(AE3096&lt;&gt;"",COUNTIFS(tcTipo,AE3096,tcLiq,"Sí")&gt;0),S3096,0))</f>
        <v/>
      </c>
      <c r="AI3096" s="52">
        <f>IF(OR(L3096="",P3096=""),"",IF(COUNTIFS(L$6:L3096,L3096,P$6:P3096,"?*")=1,MAX(AI$5:AI3095)+1,""))</f>
        <v/>
      </c>
    </row>
    <row r="3097">
      <c r="B3097" s="47" t="n"/>
      <c r="C3097" s="48" t="n"/>
      <c r="D3097" s="48" t="n"/>
      <c r="E3097" s="48" t="n"/>
      <c r="F3097" s="48" t="n"/>
      <c r="G3097" s="49" t="n"/>
      <c r="H3097" s="48" t="n"/>
      <c r="I3097" s="50" t="n"/>
      <c r="J3097" s="48" t="n"/>
      <c r="K3097" s="48" t="n"/>
      <c r="L3097" s="48" t="n"/>
      <c r="M3097" s="48" t="n"/>
      <c r="N3097" s="48" t="n"/>
      <c r="O3097" s="51">
        <f>IF(AND(B3097="",G3097="",C3097="",D3097="",J3097=""),"",IF(B3097="","⚠ Falta fecha",IF(G3097="","⚠ Falta monto",IF(Q3097="","⚠ Falta cuenta",IF(ISNA(MATCH(Q3097,ctaNombre,0)),"⚠ Cuenta no registrada",IF(AND(OR(P3097="Gasto",P3097="Reembolso"),D3097=""),"⚠ Falta categoría",IF(AND(D3097&lt;&gt;"",E3097&lt;&gt;"",ISNA(MATCH(D3097&amp;"|"&amp;E3097,catClave,0))),"⚠ Subcategoría no corresponde",IF(AND(OR(P3097="Transferencia",P3097="Pago tarjeta"),K3097=""),"⚠ Falta cuenta destino",IF(AND(K3097&lt;&gt;"",P3097&lt;&gt;"Transferencia",P3097&lt;&gt;"Pago tarjeta"),"⚠ Destino solo aplica a transferencias",IF(AND(K3097&lt;&gt;"",K3097=Q3097),"⚠ Origen igual a destino",IF(AND(K3097&lt;&gt;"",ISNA(MATCH(K3097,ctaNombre,0))),"⚠ Destino no registrado",IF(AND(P3097="Pago tarjeta",AE3097&lt;&gt;"Tarjeta de crédito"),"⚠ El destino debe ser tarjeta de crédito",IF(AND(P3097="Gasto",E3097="Depósitos y retiros"),"⚠ Usa tipo Transferencia",IF(AND(P3097="Resultado trading",AD3097&lt;&gt;"Cuenta de trading"),"⚠ Usa una cuenta de trading",IF(AND(G3097&lt;=0,P3097&lt;&gt;"Ajuste",P3097&lt;&gt;"Resultado trading"),"⚠ El monto debe ser positivo","✓")))))))))))))))</f>
        <v/>
      </c>
      <c r="P3097" s="52">
        <f>IF(OR(B3097="",G3097=""),"",IF(C3097="","Gasto",C3097))</f>
        <v/>
      </c>
      <c r="Q3097" s="52">
        <f>IF(P3097="","",IF(J3097&lt;&gt;"",J3097,CuentaPred&amp;""))</f>
        <v/>
      </c>
      <c r="R3097" s="52">
        <f>IF(P3097="","",IF(ISNUMBER(I3097),I3097,TasaUSD))</f>
        <v/>
      </c>
      <c r="S3097" s="53">
        <f>IF(P3097="","",IF(H3097="USD",G3097*R3097,G3097))</f>
        <v/>
      </c>
      <c r="T3097" s="53">
        <f>IF(P3097="","",IF(H3097="USD",G3097,IF(R3097&gt;0,G3097/R3097,0)))</f>
        <v/>
      </c>
      <c r="U3097" s="53">
        <f>IF(P3097="","",IF(P3097="Gasto",S3097,IF(P3097="Reembolso",-S3097,0)))</f>
        <v/>
      </c>
      <c r="V3097" s="53">
        <f>IF(P3097="","",IF(P3097="Ingreso",S3097,0))</f>
        <v/>
      </c>
      <c r="W3097" s="53">
        <f>IF(P3097="","",IF(P3097="Resultado trading",S3097,0))</f>
        <v/>
      </c>
      <c r="X3097" s="52">
        <f>IF(OR(P3097="Gasto",P3097="Reembolso"),IF(M3097&lt;&gt;"",M3097,IFERROR(INDEX(catClasif,MATCH(D3097&amp;"|"&amp;E3097,catClave,0))&amp;"","Variable")),"")</f>
        <v/>
      </c>
      <c r="Y3097" s="52">
        <f>IF(P3097="","",IFERROR(INDEX(catGrupo,MATCH(D3097&amp;"|"&amp;E3097,catClave,0))&amp;"",""))</f>
        <v/>
      </c>
      <c r="Z3097" s="52">
        <f>IF(P3097="","",WEEKDAY(B3097,2))</f>
        <v/>
      </c>
      <c r="AA3097" s="52">
        <f>IF(P3097="","",IF(AND(P3097="Gasto",X3097="Variable",D3097&lt;&gt;catTrading,S3097&gt;0,S3097&lt;=Umbral),1,0))</f>
        <v/>
      </c>
      <c r="AB3097" s="52">
        <f>IF(OR(P3097="",Q3097=""),"",IFERROR(IF(INDEX(ctaVinc,MATCH(Q3097,ctaNombre,0))&amp;""&lt;&gt;"",INDEX(ctaVinc,MATCH(Q3097,ctaNombre,0))&amp;"",Q3097),Q3097))</f>
        <v/>
      </c>
      <c r="AC3097" s="52">
        <f>IF(OR(K3097="",AND(P3097&lt;&gt;"Transferencia",P3097&lt;&gt;"Pago tarjeta")),"",IFERROR(IF(INDEX(ctaVinc,MATCH(K3097,ctaNombre,0))&amp;""&lt;&gt;"",INDEX(ctaVinc,MATCH(K3097,ctaNombre,0))&amp;"",K3097),K3097))</f>
        <v/>
      </c>
      <c r="AD3097" s="52">
        <f>IF(AB3097="","",IFERROR(INDEX(ctaTipo,MATCH(AB3097,ctaNombre,0))&amp;"",""))</f>
        <v/>
      </c>
      <c r="AE3097" s="52">
        <f>IF(AC3097="","",IFERROR(INDEX(ctaTipo,MATCH(AC3097,ctaNombre,0))&amp;"",""))</f>
        <v/>
      </c>
      <c r="AF3097" s="53">
        <f>IF(OR(P3097="",AB3097=""),"",IF(OR(P3097="Gasto",P3097="Transferencia",P3097="Pago tarjeta"),-1,1)*IF(IFERROR(INDEX(ctaMoneda,MATCH(AB3097,ctaNombre,0))&amp;"","DOP")="USD",T3097,S3097))</f>
        <v/>
      </c>
      <c r="AG3097" s="53">
        <f>IF(AC3097="","",IF(IFERROR(INDEX(ctaMoneda,MATCH(AC3097,ctaNombre,0))&amp;"","DOP")="USD",T3097,S3097))</f>
        <v/>
      </c>
      <c r="AH3097" s="53">
        <f>IF(P3097="","",IF(AND(AD3097&lt;&gt;"",COUNTIFS(tcTipo,AD3097,tcLiq,"Sí")&gt;0),IF(OR(P3097="Gasto",P3097="Transferencia",P3097="Pago tarjeta"),-1,1)*S3097,0)+IF(AND(AE3097&lt;&gt;"",COUNTIFS(tcTipo,AE3097,tcLiq,"Sí")&gt;0),S3097,0))</f>
        <v/>
      </c>
      <c r="AI3097" s="52">
        <f>IF(OR(L3097="",P3097=""),"",IF(COUNTIFS(L$6:L3097,L3097,P$6:P3097,"?*")=1,MAX(AI$5:AI3096)+1,""))</f>
        <v/>
      </c>
    </row>
    <row r="3098">
      <c r="B3098" s="47" t="n"/>
      <c r="C3098" s="48" t="n"/>
      <c r="D3098" s="48" t="n"/>
      <c r="E3098" s="48" t="n"/>
      <c r="F3098" s="48" t="n"/>
      <c r="G3098" s="49" t="n"/>
      <c r="H3098" s="48" t="n"/>
      <c r="I3098" s="50" t="n"/>
      <c r="J3098" s="48" t="n"/>
      <c r="K3098" s="48" t="n"/>
      <c r="L3098" s="48" t="n"/>
      <c r="M3098" s="48" t="n"/>
      <c r="N3098" s="48" t="n"/>
      <c r="O3098" s="51">
        <f>IF(AND(B3098="",G3098="",C3098="",D3098="",J3098=""),"",IF(B3098="","⚠ Falta fecha",IF(G3098="","⚠ Falta monto",IF(Q3098="","⚠ Falta cuenta",IF(ISNA(MATCH(Q3098,ctaNombre,0)),"⚠ Cuenta no registrada",IF(AND(OR(P3098="Gasto",P3098="Reembolso"),D3098=""),"⚠ Falta categoría",IF(AND(D3098&lt;&gt;"",E3098&lt;&gt;"",ISNA(MATCH(D3098&amp;"|"&amp;E3098,catClave,0))),"⚠ Subcategoría no corresponde",IF(AND(OR(P3098="Transferencia",P3098="Pago tarjeta"),K3098=""),"⚠ Falta cuenta destino",IF(AND(K3098&lt;&gt;"",P3098&lt;&gt;"Transferencia",P3098&lt;&gt;"Pago tarjeta"),"⚠ Destino solo aplica a transferencias",IF(AND(K3098&lt;&gt;"",K3098=Q3098),"⚠ Origen igual a destino",IF(AND(K3098&lt;&gt;"",ISNA(MATCH(K3098,ctaNombre,0))),"⚠ Destino no registrado",IF(AND(P3098="Pago tarjeta",AE3098&lt;&gt;"Tarjeta de crédito"),"⚠ El destino debe ser tarjeta de crédito",IF(AND(P3098="Gasto",E3098="Depósitos y retiros"),"⚠ Usa tipo Transferencia",IF(AND(P3098="Resultado trading",AD3098&lt;&gt;"Cuenta de trading"),"⚠ Usa una cuenta de trading",IF(AND(G3098&lt;=0,P3098&lt;&gt;"Ajuste",P3098&lt;&gt;"Resultado trading"),"⚠ El monto debe ser positivo","✓")))))))))))))))</f>
        <v/>
      </c>
      <c r="P3098" s="52">
        <f>IF(OR(B3098="",G3098=""),"",IF(C3098="","Gasto",C3098))</f>
        <v/>
      </c>
      <c r="Q3098" s="52">
        <f>IF(P3098="","",IF(J3098&lt;&gt;"",J3098,CuentaPred&amp;""))</f>
        <v/>
      </c>
      <c r="R3098" s="52">
        <f>IF(P3098="","",IF(ISNUMBER(I3098),I3098,TasaUSD))</f>
        <v/>
      </c>
      <c r="S3098" s="53">
        <f>IF(P3098="","",IF(H3098="USD",G3098*R3098,G3098))</f>
        <v/>
      </c>
      <c r="T3098" s="53">
        <f>IF(P3098="","",IF(H3098="USD",G3098,IF(R3098&gt;0,G3098/R3098,0)))</f>
        <v/>
      </c>
      <c r="U3098" s="53">
        <f>IF(P3098="","",IF(P3098="Gasto",S3098,IF(P3098="Reembolso",-S3098,0)))</f>
        <v/>
      </c>
      <c r="V3098" s="53">
        <f>IF(P3098="","",IF(P3098="Ingreso",S3098,0))</f>
        <v/>
      </c>
      <c r="W3098" s="53">
        <f>IF(P3098="","",IF(P3098="Resultado trading",S3098,0))</f>
        <v/>
      </c>
      <c r="X3098" s="52">
        <f>IF(OR(P3098="Gasto",P3098="Reembolso"),IF(M3098&lt;&gt;"",M3098,IFERROR(INDEX(catClasif,MATCH(D3098&amp;"|"&amp;E3098,catClave,0))&amp;"","Variable")),"")</f>
        <v/>
      </c>
      <c r="Y3098" s="52">
        <f>IF(P3098="","",IFERROR(INDEX(catGrupo,MATCH(D3098&amp;"|"&amp;E3098,catClave,0))&amp;"",""))</f>
        <v/>
      </c>
      <c r="Z3098" s="52">
        <f>IF(P3098="","",WEEKDAY(B3098,2))</f>
        <v/>
      </c>
      <c r="AA3098" s="52">
        <f>IF(P3098="","",IF(AND(P3098="Gasto",X3098="Variable",D3098&lt;&gt;catTrading,S3098&gt;0,S3098&lt;=Umbral),1,0))</f>
        <v/>
      </c>
      <c r="AB3098" s="52">
        <f>IF(OR(P3098="",Q3098=""),"",IFERROR(IF(INDEX(ctaVinc,MATCH(Q3098,ctaNombre,0))&amp;""&lt;&gt;"",INDEX(ctaVinc,MATCH(Q3098,ctaNombre,0))&amp;"",Q3098),Q3098))</f>
        <v/>
      </c>
      <c r="AC3098" s="52">
        <f>IF(OR(K3098="",AND(P3098&lt;&gt;"Transferencia",P3098&lt;&gt;"Pago tarjeta")),"",IFERROR(IF(INDEX(ctaVinc,MATCH(K3098,ctaNombre,0))&amp;""&lt;&gt;"",INDEX(ctaVinc,MATCH(K3098,ctaNombre,0))&amp;"",K3098),K3098))</f>
        <v/>
      </c>
      <c r="AD3098" s="52">
        <f>IF(AB3098="","",IFERROR(INDEX(ctaTipo,MATCH(AB3098,ctaNombre,0))&amp;"",""))</f>
        <v/>
      </c>
      <c r="AE3098" s="52">
        <f>IF(AC3098="","",IFERROR(INDEX(ctaTipo,MATCH(AC3098,ctaNombre,0))&amp;"",""))</f>
        <v/>
      </c>
      <c r="AF3098" s="53">
        <f>IF(OR(P3098="",AB3098=""),"",IF(OR(P3098="Gasto",P3098="Transferencia",P3098="Pago tarjeta"),-1,1)*IF(IFERROR(INDEX(ctaMoneda,MATCH(AB3098,ctaNombre,0))&amp;"","DOP")="USD",T3098,S3098))</f>
        <v/>
      </c>
      <c r="AG3098" s="53">
        <f>IF(AC3098="","",IF(IFERROR(INDEX(ctaMoneda,MATCH(AC3098,ctaNombre,0))&amp;"","DOP")="USD",T3098,S3098))</f>
        <v/>
      </c>
      <c r="AH3098" s="53">
        <f>IF(P3098="","",IF(AND(AD3098&lt;&gt;"",COUNTIFS(tcTipo,AD3098,tcLiq,"Sí")&gt;0),IF(OR(P3098="Gasto",P3098="Transferencia",P3098="Pago tarjeta"),-1,1)*S3098,0)+IF(AND(AE3098&lt;&gt;"",COUNTIFS(tcTipo,AE3098,tcLiq,"Sí")&gt;0),S3098,0))</f>
        <v/>
      </c>
      <c r="AI3098" s="52">
        <f>IF(OR(L3098="",P3098=""),"",IF(COUNTIFS(L$6:L3098,L3098,P$6:P3098,"?*")=1,MAX(AI$5:AI3097)+1,""))</f>
        <v/>
      </c>
    </row>
    <row r="3099">
      <c r="B3099" s="47" t="n"/>
      <c r="C3099" s="48" t="n"/>
      <c r="D3099" s="48" t="n"/>
      <c r="E3099" s="48" t="n"/>
      <c r="F3099" s="48" t="n"/>
      <c r="G3099" s="49" t="n"/>
      <c r="H3099" s="48" t="n"/>
      <c r="I3099" s="50" t="n"/>
      <c r="J3099" s="48" t="n"/>
      <c r="K3099" s="48" t="n"/>
      <c r="L3099" s="48" t="n"/>
      <c r="M3099" s="48" t="n"/>
      <c r="N3099" s="48" t="n"/>
      <c r="O3099" s="51">
        <f>IF(AND(B3099="",G3099="",C3099="",D3099="",J3099=""),"",IF(B3099="","⚠ Falta fecha",IF(G3099="","⚠ Falta monto",IF(Q3099="","⚠ Falta cuenta",IF(ISNA(MATCH(Q3099,ctaNombre,0)),"⚠ Cuenta no registrada",IF(AND(OR(P3099="Gasto",P3099="Reembolso"),D3099=""),"⚠ Falta categoría",IF(AND(D3099&lt;&gt;"",E3099&lt;&gt;"",ISNA(MATCH(D3099&amp;"|"&amp;E3099,catClave,0))),"⚠ Subcategoría no corresponde",IF(AND(OR(P3099="Transferencia",P3099="Pago tarjeta"),K3099=""),"⚠ Falta cuenta destino",IF(AND(K3099&lt;&gt;"",P3099&lt;&gt;"Transferencia",P3099&lt;&gt;"Pago tarjeta"),"⚠ Destino solo aplica a transferencias",IF(AND(K3099&lt;&gt;"",K3099=Q3099),"⚠ Origen igual a destino",IF(AND(K3099&lt;&gt;"",ISNA(MATCH(K3099,ctaNombre,0))),"⚠ Destino no registrado",IF(AND(P3099="Pago tarjeta",AE3099&lt;&gt;"Tarjeta de crédito"),"⚠ El destino debe ser tarjeta de crédito",IF(AND(P3099="Gasto",E3099="Depósitos y retiros"),"⚠ Usa tipo Transferencia",IF(AND(P3099="Resultado trading",AD3099&lt;&gt;"Cuenta de trading"),"⚠ Usa una cuenta de trading",IF(AND(G3099&lt;=0,P3099&lt;&gt;"Ajuste",P3099&lt;&gt;"Resultado trading"),"⚠ El monto debe ser positivo","✓")))))))))))))))</f>
        <v/>
      </c>
      <c r="P3099" s="52">
        <f>IF(OR(B3099="",G3099=""),"",IF(C3099="","Gasto",C3099))</f>
        <v/>
      </c>
      <c r="Q3099" s="52">
        <f>IF(P3099="","",IF(J3099&lt;&gt;"",J3099,CuentaPred&amp;""))</f>
        <v/>
      </c>
      <c r="R3099" s="52">
        <f>IF(P3099="","",IF(ISNUMBER(I3099),I3099,TasaUSD))</f>
        <v/>
      </c>
      <c r="S3099" s="53">
        <f>IF(P3099="","",IF(H3099="USD",G3099*R3099,G3099))</f>
        <v/>
      </c>
      <c r="T3099" s="53">
        <f>IF(P3099="","",IF(H3099="USD",G3099,IF(R3099&gt;0,G3099/R3099,0)))</f>
        <v/>
      </c>
      <c r="U3099" s="53">
        <f>IF(P3099="","",IF(P3099="Gasto",S3099,IF(P3099="Reembolso",-S3099,0)))</f>
        <v/>
      </c>
      <c r="V3099" s="53">
        <f>IF(P3099="","",IF(P3099="Ingreso",S3099,0))</f>
        <v/>
      </c>
      <c r="W3099" s="53">
        <f>IF(P3099="","",IF(P3099="Resultado trading",S3099,0))</f>
        <v/>
      </c>
      <c r="X3099" s="52">
        <f>IF(OR(P3099="Gasto",P3099="Reembolso"),IF(M3099&lt;&gt;"",M3099,IFERROR(INDEX(catClasif,MATCH(D3099&amp;"|"&amp;E3099,catClave,0))&amp;"","Variable")),"")</f>
        <v/>
      </c>
      <c r="Y3099" s="52">
        <f>IF(P3099="","",IFERROR(INDEX(catGrupo,MATCH(D3099&amp;"|"&amp;E3099,catClave,0))&amp;"",""))</f>
        <v/>
      </c>
      <c r="Z3099" s="52">
        <f>IF(P3099="","",WEEKDAY(B3099,2))</f>
        <v/>
      </c>
      <c r="AA3099" s="52">
        <f>IF(P3099="","",IF(AND(P3099="Gasto",X3099="Variable",D3099&lt;&gt;catTrading,S3099&gt;0,S3099&lt;=Umbral),1,0))</f>
        <v/>
      </c>
      <c r="AB3099" s="52">
        <f>IF(OR(P3099="",Q3099=""),"",IFERROR(IF(INDEX(ctaVinc,MATCH(Q3099,ctaNombre,0))&amp;""&lt;&gt;"",INDEX(ctaVinc,MATCH(Q3099,ctaNombre,0))&amp;"",Q3099),Q3099))</f>
        <v/>
      </c>
      <c r="AC3099" s="52">
        <f>IF(OR(K3099="",AND(P3099&lt;&gt;"Transferencia",P3099&lt;&gt;"Pago tarjeta")),"",IFERROR(IF(INDEX(ctaVinc,MATCH(K3099,ctaNombre,0))&amp;""&lt;&gt;"",INDEX(ctaVinc,MATCH(K3099,ctaNombre,0))&amp;"",K3099),K3099))</f>
        <v/>
      </c>
      <c r="AD3099" s="52">
        <f>IF(AB3099="","",IFERROR(INDEX(ctaTipo,MATCH(AB3099,ctaNombre,0))&amp;"",""))</f>
        <v/>
      </c>
      <c r="AE3099" s="52">
        <f>IF(AC3099="","",IFERROR(INDEX(ctaTipo,MATCH(AC3099,ctaNombre,0))&amp;"",""))</f>
        <v/>
      </c>
      <c r="AF3099" s="53">
        <f>IF(OR(P3099="",AB3099=""),"",IF(OR(P3099="Gasto",P3099="Transferencia",P3099="Pago tarjeta"),-1,1)*IF(IFERROR(INDEX(ctaMoneda,MATCH(AB3099,ctaNombre,0))&amp;"","DOP")="USD",T3099,S3099))</f>
        <v/>
      </c>
      <c r="AG3099" s="53">
        <f>IF(AC3099="","",IF(IFERROR(INDEX(ctaMoneda,MATCH(AC3099,ctaNombre,0))&amp;"","DOP")="USD",T3099,S3099))</f>
        <v/>
      </c>
      <c r="AH3099" s="53">
        <f>IF(P3099="","",IF(AND(AD3099&lt;&gt;"",COUNTIFS(tcTipo,AD3099,tcLiq,"Sí")&gt;0),IF(OR(P3099="Gasto",P3099="Transferencia",P3099="Pago tarjeta"),-1,1)*S3099,0)+IF(AND(AE3099&lt;&gt;"",COUNTIFS(tcTipo,AE3099,tcLiq,"Sí")&gt;0),S3099,0))</f>
        <v/>
      </c>
      <c r="AI3099" s="52">
        <f>IF(OR(L3099="",P3099=""),"",IF(COUNTIFS(L$6:L3099,L3099,P$6:P3099,"?*")=1,MAX(AI$5:AI3098)+1,""))</f>
        <v/>
      </c>
    </row>
    <row r="3100">
      <c r="B3100" s="47" t="n"/>
      <c r="C3100" s="48" t="n"/>
      <c r="D3100" s="48" t="n"/>
      <c r="E3100" s="48" t="n"/>
      <c r="F3100" s="48" t="n"/>
      <c r="G3100" s="49" t="n"/>
      <c r="H3100" s="48" t="n"/>
      <c r="I3100" s="50" t="n"/>
      <c r="J3100" s="48" t="n"/>
      <c r="K3100" s="48" t="n"/>
      <c r="L3100" s="48" t="n"/>
      <c r="M3100" s="48" t="n"/>
      <c r="N3100" s="48" t="n"/>
      <c r="O3100" s="51">
        <f>IF(AND(B3100="",G3100="",C3100="",D3100="",J3100=""),"",IF(B3100="","⚠ Falta fecha",IF(G3100="","⚠ Falta monto",IF(Q3100="","⚠ Falta cuenta",IF(ISNA(MATCH(Q3100,ctaNombre,0)),"⚠ Cuenta no registrada",IF(AND(OR(P3100="Gasto",P3100="Reembolso"),D3100=""),"⚠ Falta categoría",IF(AND(D3100&lt;&gt;"",E3100&lt;&gt;"",ISNA(MATCH(D3100&amp;"|"&amp;E3100,catClave,0))),"⚠ Subcategoría no corresponde",IF(AND(OR(P3100="Transferencia",P3100="Pago tarjeta"),K3100=""),"⚠ Falta cuenta destino",IF(AND(K3100&lt;&gt;"",P3100&lt;&gt;"Transferencia",P3100&lt;&gt;"Pago tarjeta"),"⚠ Destino solo aplica a transferencias",IF(AND(K3100&lt;&gt;"",K3100=Q3100),"⚠ Origen igual a destino",IF(AND(K3100&lt;&gt;"",ISNA(MATCH(K3100,ctaNombre,0))),"⚠ Destino no registrado",IF(AND(P3100="Pago tarjeta",AE3100&lt;&gt;"Tarjeta de crédito"),"⚠ El destino debe ser tarjeta de crédito",IF(AND(P3100="Gasto",E3100="Depósitos y retiros"),"⚠ Usa tipo Transferencia",IF(AND(P3100="Resultado trading",AD3100&lt;&gt;"Cuenta de trading"),"⚠ Usa una cuenta de trading",IF(AND(G3100&lt;=0,P3100&lt;&gt;"Ajuste",P3100&lt;&gt;"Resultado trading"),"⚠ El monto debe ser positivo","✓")))))))))))))))</f>
        <v/>
      </c>
      <c r="P3100" s="52">
        <f>IF(OR(B3100="",G3100=""),"",IF(C3100="","Gasto",C3100))</f>
        <v/>
      </c>
      <c r="Q3100" s="52">
        <f>IF(P3100="","",IF(J3100&lt;&gt;"",J3100,CuentaPred&amp;""))</f>
        <v/>
      </c>
      <c r="R3100" s="52">
        <f>IF(P3100="","",IF(ISNUMBER(I3100),I3100,TasaUSD))</f>
        <v/>
      </c>
      <c r="S3100" s="53">
        <f>IF(P3100="","",IF(H3100="USD",G3100*R3100,G3100))</f>
        <v/>
      </c>
      <c r="T3100" s="53">
        <f>IF(P3100="","",IF(H3100="USD",G3100,IF(R3100&gt;0,G3100/R3100,0)))</f>
        <v/>
      </c>
      <c r="U3100" s="53">
        <f>IF(P3100="","",IF(P3100="Gasto",S3100,IF(P3100="Reembolso",-S3100,0)))</f>
        <v/>
      </c>
      <c r="V3100" s="53">
        <f>IF(P3100="","",IF(P3100="Ingreso",S3100,0))</f>
        <v/>
      </c>
      <c r="W3100" s="53">
        <f>IF(P3100="","",IF(P3100="Resultado trading",S3100,0))</f>
        <v/>
      </c>
      <c r="X3100" s="52">
        <f>IF(OR(P3100="Gasto",P3100="Reembolso"),IF(M3100&lt;&gt;"",M3100,IFERROR(INDEX(catClasif,MATCH(D3100&amp;"|"&amp;E3100,catClave,0))&amp;"","Variable")),"")</f>
        <v/>
      </c>
      <c r="Y3100" s="52">
        <f>IF(P3100="","",IFERROR(INDEX(catGrupo,MATCH(D3100&amp;"|"&amp;E3100,catClave,0))&amp;"",""))</f>
        <v/>
      </c>
      <c r="Z3100" s="52">
        <f>IF(P3100="","",WEEKDAY(B3100,2))</f>
        <v/>
      </c>
      <c r="AA3100" s="52">
        <f>IF(P3100="","",IF(AND(P3100="Gasto",X3100="Variable",D3100&lt;&gt;catTrading,S3100&gt;0,S3100&lt;=Umbral),1,0))</f>
        <v/>
      </c>
      <c r="AB3100" s="52">
        <f>IF(OR(P3100="",Q3100=""),"",IFERROR(IF(INDEX(ctaVinc,MATCH(Q3100,ctaNombre,0))&amp;""&lt;&gt;"",INDEX(ctaVinc,MATCH(Q3100,ctaNombre,0))&amp;"",Q3100),Q3100))</f>
        <v/>
      </c>
      <c r="AC3100" s="52">
        <f>IF(OR(K3100="",AND(P3100&lt;&gt;"Transferencia",P3100&lt;&gt;"Pago tarjeta")),"",IFERROR(IF(INDEX(ctaVinc,MATCH(K3100,ctaNombre,0))&amp;""&lt;&gt;"",INDEX(ctaVinc,MATCH(K3100,ctaNombre,0))&amp;"",K3100),K3100))</f>
        <v/>
      </c>
      <c r="AD3100" s="52">
        <f>IF(AB3100="","",IFERROR(INDEX(ctaTipo,MATCH(AB3100,ctaNombre,0))&amp;"",""))</f>
        <v/>
      </c>
      <c r="AE3100" s="52">
        <f>IF(AC3100="","",IFERROR(INDEX(ctaTipo,MATCH(AC3100,ctaNombre,0))&amp;"",""))</f>
        <v/>
      </c>
      <c r="AF3100" s="53">
        <f>IF(OR(P3100="",AB3100=""),"",IF(OR(P3100="Gasto",P3100="Transferencia",P3100="Pago tarjeta"),-1,1)*IF(IFERROR(INDEX(ctaMoneda,MATCH(AB3100,ctaNombre,0))&amp;"","DOP")="USD",T3100,S3100))</f>
        <v/>
      </c>
      <c r="AG3100" s="53">
        <f>IF(AC3100="","",IF(IFERROR(INDEX(ctaMoneda,MATCH(AC3100,ctaNombre,0))&amp;"","DOP")="USD",T3100,S3100))</f>
        <v/>
      </c>
      <c r="AH3100" s="53">
        <f>IF(P3100="","",IF(AND(AD3100&lt;&gt;"",COUNTIFS(tcTipo,AD3100,tcLiq,"Sí")&gt;0),IF(OR(P3100="Gasto",P3100="Transferencia",P3100="Pago tarjeta"),-1,1)*S3100,0)+IF(AND(AE3100&lt;&gt;"",COUNTIFS(tcTipo,AE3100,tcLiq,"Sí")&gt;0),S3100,0))</f>
        <v/>
      </c>
      <c r="AI3100" s="52">
        <f>IF(OR(L3100="",P3100=""),"",IF(COUNTIFS(L$6:L3100,L3100,P$6:P3100,"?*")=1,MAX(AI$5:AI3099)+1,""))</f>
        <v/>
      </c>
    </row>
    <row r="3101">
      <c r="B3101" s="47" t="n"/>
      <c r="C3101" s="48" t="n"/>
      <c r="D3101" s="48" t="n"/>
      <c r="E3101" s="48" t="n"/>
      <c r="F3101" s="48" t="n"/>
      <c r="G3101" s="49" t="n"/>
      <c r="H3101" s="48" t="n"/>
      <c r="I3101" s="50" t="n"/>
      <c r="J3101" s="48" t="n"/>
      <c r="K3101" s="48" t="n"/>
      <c r="L3101" s="48" t="n"/>
      <c r="M3101" s="48" t="n"/>
      <c r="N3101" s="48" t="n"/>
      <c r="O3101" s="51">
        <f>IF(AND(B3101="",G3101="",C3101="",D3101="",J3101=""),"",IF(B3101="","⚠ Falta fecha",IF(G3101="","⚠ Falta monto",IF(Q3101="","⚠ Falta cuenta",IF(ISNA(MATCH(Q3101,ctaNombre,0)),"⚠ Cuenta no registrada",IF(AND(OR(P3101="Gasto",P3101="Reembolso"),D3101=""),"⚠ Falta categoría",IF(AND(D3101&lt;&gt;"",E3101&lt;&gt;"",ISNA(MATCH(D3101&amp;"|"&amp;E3101,catClave,0))),"⚠ Subcategoría no corresponde",IF(AND(OR(P3101="Transferencia",P3101="Pago tarjeta"),K3101=""),"⚠ Falta cuenta destino",IF(AND(K3101&lt;&gt;"",P3101&lt;&gt;"Transferencia",P3101&lt;&gt;"Pago tarjeta"),"⚠ Destino solo aplica a transferencias",IF(AND(K3101&lt;&gt;"",K3101=Q3101),"⚠ Origen igual a destino",IF(AND(K3101&lt;&gt;"",ISNA(MATCH(K3101,ctaNombre,0))),"⚠ Destino no registrado",IF(AND(P3101="Pago tarjeta",AE3101&lt;&gt;"Tarjeta de crédito"),"⚠ El destino debe ser tarjeta de crédito",IF(AND(P3101="Gasto",E3101="Depósitos y retiros"),"⚠ Usa tipo Transferencia",IF(AND(P3101="Resultado trading",AD3101&lt;&gt;"Cuenta de trading"),"⚠ Usa una cuenta de trading",IF(AND(G3101&lt;=0,P3101&lt;&gt;"Ajuste",P3101&lt;&gt;"Resultado trading"),"⚠ El monto debe ser positivo","✓")))))))))))))))</f>
        <v/>
      </c>
      <c r="P3101" s="52">
        <f>IF(OR(B3101="",G3101=""),"",IF(C3101="","Gasto",C3101))</f>
        <v/>
      </c>
      <c r="Q3101" s="52">
        <f>IF(P3101="","",IF(J3101&lt;&gt;"",J3101,CuentaPred&amp;""))</f>
        <v/>
      </c>
      <c r="R3101" s="52">
        <f>IF(P3101="","",IF(ISNUMBER(I3101),I3101,TasaUSD))</f>
        <v/>
      </c>
      <c r="S3101" s="53">
        <f>IF(P3101="","",IF(H3101="USD",G3101*R3101,G3101))</f>
        <v/>
      </c>
      <c r="T3101" s="53">
        <f>IF(P3101="","",IF(H3101="USD",G3101,IF(R3101&gt;0,G3101/R3101,0)))</f>
        <v/>
      </c>
      <c r="U3101" s="53">
        <f>IF(P3101="","",IF(P3101="Gasto",S3101,IF(P3101="Reembolso",-S3101,0)))</f>
        <v/>
      </c>
      <c r="V3101" s="53">
        <f>IF(P3101="","",IF(P3101="Ingreso",S3101,0))</f>
        <v/>
      </c>
      <c r="W3101" s="53">
        <f>IF(P3101="","",IF(P3101="Resultado trading",S3101,0))</f>
        <v/>
      </c>
      <c r="X3101" s="52">
        <f>IF(OR(P3101="Gasto",P3101="Reembolso"),IF(M3101&lt;&gt;"",M3101,IFERROR(INDEX(catClasif,MATCH(D3101&amp;"|"&amp;E3101,catClave,0))&amp;"","Variable")),"")</f>
        <v/>
      </c>
      <c r="Y3101" s="52">
        <f>IF(P3101="","",IFERROR(INDEX(catGrupo,MATCH(D3101&amp;"|"&amp;E3101,catClave,0))&amp;"",""))</f>
        <v/>
      </c>
      <c r="Z3101" s="52">
        <f>IF(P3101="","",WEEKDAY(B3101,2))</f>
        <v/>
      </c>
      <c r="AA3101" s="52">
        <f>IF(P3101="","",IF(AND(P3101="Gasto",X3101="Variable",D3101&lt;&gt;catTrading,S3101&gt;0,S3101&lt;=Umbral),1,0))</f>
        <v/>
      </c>
      <c r="AB3101" s="52">
        <f>IF(OR(P3101="",Q3101=""),"",IFERROR(IF(INDEX(ctaVinc,MATCH(Q3101,ctaNombre,0))&amp;""&lt;&gt;"",INDEX(ctaVinc,MATCH(Q3101,ctaNombre,0))&amp;"",Q3101),Q3101))</f>
        <v/>
      </c>
      <c r="AC3101" s="52">
        <f>IF(OR(K3101="",AND(P3101&lt;&gt;"Transferencia",P3101&lt;&gt;"Pago tarjeta")),"",IFERROR(IF(INDEX(ctaVinc,MATCH(K3101,ctaNombre,0))&amp;""&lt;&gt;"",INDEX(ctaVinc,MATCH(K3101,ctaNombre,0))&amp;"",K3101),K3101))</f>
        <v/>
      </c>
      <c r="AD3101" s="52">
        <f>IF(AB3101="","",IFERROR(INDEX(ctaTipo,MATCH(AB3101,ctaNombre,0))&amp;"",""))</f>
        <v/>
      </c>
      <c r="AE3101" s="52">
        <f>IF(AC3101="","",IFERROR(INDEX(ctaTipo,MATCH(AC3101,ctaNombre,0))&amp;"",""))</f>
        <v/>
      </c>
      <c r="AF3101" s="53">
        <f>IF(OR(P3101="",AB3101=""),"",IF(OR(P3101="Gasto",P3101="Transferencia",P3101="Pago tarjeta"),-1,1)*IF(IFERROR(INDEX(ctaMoneda,MATCH(AB3101,ctaNombre,0))&amp;"","DOP")="USD",T3101,S3101))</f>
        <v/>
      </c>
      <c r="AG3101" s="53">
        <f>IF(AC3101="","",IF(IFERROR(INDEX(ctaMoneda,MATCH(AC3101,ctaNombre,0))&amp;"","DOP")="USD",T3101,S3101))</f>
        <v/>
      </c>
      <c r="AH3101" s="53">
        <f>IF(P3101="","",IF(AND(AD3101&lt;&gt;"",COUNTIFS(tcTipo,AD3101,tcLiq,"Sí")&gt;0),IF(OR(P3101="Gasto",P3101="Transferencia",P3101="Pago tarjeta"),-1,1)*S3101,0)+IF(AND(AE3101&lt;&gt;"",COUNTIFS(tcTipo,AE3101,tcLiq,"Sí")&gt;0),S3101,0))</f>
        <v/>
      </c>
      <c r="AI3101" s="52">
        <f>IF(OR(L3101="",P3101=""),"",IF(COUNTIFS(L$6:L3101,L3101,P$6:P3101,"?*")=1,MAX(AI$5:AI3100)+1,""))</f>
        <v/>
      </c>
    </row>
    <row r="3102">
      <c r="B3102" s="47" t="n"/>
      <c r="C3102" s="48" t="n"/>
      <c r="D3102" s="48" t="n"/>
      <c r="E3102" s="48" t="n"/>
      <c r="F3102" s="48" t="n"/>
      <c r="G3102" s="49" t="n"/>
      <c r="H3102" s="48" t="n"/>
      <c r="I3102" s="50" t="n"/>
      <c r="J3102" s="48" t="n"/>
      <c r="K3102" s="48" t="n"/>
      <c r="L3102" s="48" t="n"/>
      <c r="M3102" s="48" t="n"/>
      <c r="N3102" s="48" t="n"/>
      <c r="O3102" s="51">
        <f>IF(AND(B3102="",G3102="",C3102="",D3102="",J3102=""),"",IF(B3102="","⚠ Falta fecha",IF(G3102="","⚠ Falta monto",IF(Q3102="","⚠ Falta cuenta",IF(ISNA(MATCH(Q3102,ctaNombre,0)),"⚠ Cuenta no registrada",IF(AND(OR(P3102="Gasto",P3102="Reembolso"),D3102=""),"⚠ Falta categoría",IF(AND(D3102&lt;&gt;"",E3102&lt;&gt;"",ISNA(MATCH(D3102&amp;"|"&amp;E3102,catClave,0))),"⚠ Subcategoría no corresponde",IF(AND(OR(P3102="Transferencia",P3102="Pago tarjeta"),K3102=""),"⚠ Falta cuenta destino",IF(AND(K3102&lt;&gt;"",P3102&lt;&gt;"Transferencia",P3102&lt;&gt;"Pago tarjeta"),"⚠ Destino solo aplica a transferencias",IF(AND(K3102&lt;&gt;"",K3102=Q3102),"⚠ Origen igual a destino",IF(AND(K3102&lt;&gt;"",ISNA(MATCH(K3102,ctaNombre,0))),"⚠ Destino no registrado",IF(AND(P3102="Pago tarjeta",AE3102&lt;&gt;"Tarjeta de crédito"),"⚠ El destino debe ser tarjeta de crédito",IF(AND(P3102="Gasto",E3102="Depósitos y retiros"),"⚠ Usa tipo Transferencia",IF(AND(P3102="Resultado trading",AD3102&lt;&gt;"Cuenta de trading"),"⚠ Usa una cuenta de trading",IF(AND(G3102&lt;=0,P3102&lt;&gt;"Ajuste",P3102&lt;&gt;"Resultado trading"),"⚠ El monto debe ser positivo","✓")))))))))))))))</f>
        <v/>
      </c>
      <c r="P3102" s="52">
        <f>IF(OR(B3102="",G3102=""),"",IF(C3102="","Gasto",C3102))</f>
        <v/>
      </c>
      <c r="Q3102" s="52">
        <f>IF(P3102="","",IF(J3102&lt;&gt;"",J3102,CuentaPred&amp;""))</f>
        <v/>
      </c>
      <c r="R3102" s="52">
        <f>IF(P3102="","",IF(ISNUMBER(I3102),I3102,TasaUSD))</f>
        <v/>
      </c>
      <c r="S3102" s="53">
        <f>IF(P3102="","",IF(H3102="USD",G3102*R3102,G3102))</f>
        <v/>
      </c>
      <c r="T3102" s="53">
        <f>IF(P3102="","",IF(H3102="USD",G3102,IF(R3102&gt;0,G3102/R3102,0)))</f>
        <v/>
      </c>
      <c r="U3102" s="53">
        <f>IF(P3102="","",IF(P3102="Gasto",S3102,IF(P3102="Reembolso",-S3102,0)))</f>
        <v/>
      </c>
      <c r="V3102" s="53">
        <f>IF(P3102="","",IF(P3102="Ingreso",S3102,0))</f>
        <v/>
      </c>
      <c r="W3102" s="53">
        <f>IF(P3102="","",IF(P3102="Resultado trading",S3102,0))</f>
        <v/>
      </c>
      <c r="X3102" s="52">
        <f>IF(OR(P3102="Gasto",P3102="Reembolso"),IF(M3102&lt;&gt;"",M3102,IFERROR(INDEX(catClasif,MATCH(D3102&amp;"|"&amp;E3102,catClave,0))&amp;"","Variable")),"")</f>
        <v/>
      </c>
      <c r="Y3102" s="52">
        <f>IF(P3102="","",IFERROR(INDEX(catGrupo,MATCH(D3102&amp;"|"&amp;E3102,catClave,0))&amp;"",""))</f>
        <v/>
      </c>
      <c r="Z3102" s="52">
        <f>IF(P3102="","",WEEKDAY(B3102,2))</f>
        <v/>
      </c>
      <c r="AA3102" s="52">
        <f>IF(P3102="","",IF(AND(P3102="Gasto",X3102="Variable",D3102&lt;&gt;catTrading,S3102&gt;0,S3102&lt;=Umbral),1,0))</f>
        <v/>
      </c>
      <c r="AB3102" s="52">
        <f>IF(OR(P3102="",Q3102=""),"",IFERROR(IF(INDEX(ctaVinc,MATCH(Q3102,ctaNombre,0))&amp;""&lt;&gt;"",INDEX(ctaVinc,MATCH(Q3102,ctaNombre,0))&amp;"",Q3102),Q3102))</f>
        <v/>
      </c>
      <c r="AC3102" s="52">
        <f>IF(OR(K3102="",AND(P3102&lt;&gt;"Transferencia",P3102&lt;&gt;"Pago tarjeta")),"",IFERROR(IF(INDEX(ctaVinc,MATCH(K3102,ctaNombre,0))&amp;""&lt;&gt;"",INDEX(ctaVinc,MATCH(K3102,ctaNombre,0))&amp;"",K3102),K3102))</f>
        <v/>
      </c>
      <c r="AD3102" s="52">
        <f>IF(AB3102="","",IFERROR(INDEX(ctaTipo,MATCH(AB3102,ctaNombre,0))&amp;"",""))</f>
        <v/>
      </c>
      <c r="AE3102" s="52">
        <f>IF(AC3102="","",IFERROR(INDEX(ctaTipo,MATCH(AC3102,ctaNombre,0))&amp;"",""))</f>
        <v/>
      </c>
      <c r="AF3102" s="53">
        <f>IF(OR(P3102="",AB3102=""),"",IF(OR(P3102="Gasto",P3102="Transferencia",P3102="Pago tarjeta"),-1,1)*IF(IFERROR(INDEX(ctaMoneda,MATCH(AB3102,ctaNombre,0))&amp;"","DOP")="USD",T3102,S3102))</f>
        <v/>
      </c>
      <c r="AG3102" s="53">
        <f>IF(AC3102="","",IF(IFERROR(INDEX(ctaMoneda,MATCH(AC3102,ctaNombre,0))&amp;"","DOP")="USD",T3102,S3102))</f>
        <v/>
      </c>
      <c r="AH3102" s="53">
        <f>IF(P3102="","",IF(AND(AD3102&lt;&gt;"",COUNTIFS(tcTipo,AD3102,tcLiq,"Sí")&gt;0),IF(OR(P3102="Gasto",P3102="Transferencia",P3102="Pago tarjeta"),-1,1)*S3102,0)+IF(AND(AE3102&lt;&gt;"",COUNTIFS(tcTipo,AE3102,tcLiq,"Sí")&gt;0),S3102,0))</f>
        <v/>
      </c>
      <c r="AI3102" s="52">
        <f>IF(OR(L3102="",P3102=""),"",IF(COUNTIFS(L$6:L3102,L3102,P$6:P3102,"?*")=1,MAX(AI$5:AI3101)+1,""))</f>
        <v/>
      </c>
    </row>
    <row r="3103">
      <c r="B3103" s="47" t="n"/>
      <c r="C3103" s="48" t="n"/>
      <c r="D3103" s="48" t="n"/>
      <c r="E3103" s="48" t="n"/>
      <c r="F3103" s="48" t="n"/>
      <c r="G3103" s="49" t="n"/>
      <c r="H3103" s="48" t="n"/>
      <c r="I3103" s="50" t="n"/>
      <c r="J3103" s="48" t="n"/>
      <c r="K3103" s="48" t="n"/>
      <c r="L3103" s="48" t="n"/>
      <c r="M3103" s="48" t="n"/>
      <c r="N3103" s="48" t="n"/>
      <c r="O3103" s="51">
        <f>IF(AND(B3103="",G3103="",C3103="",D3103="",J3103=""),"",IF(B3103="","⚠ Falta fecha",IF(G3103="","⚠ Falta monto",IF(Q3103="","⚠ Falta cuenta",IF(ISNA(MATCH(Q3103,ctaNombre,0)),"⚠ Cuenta no registrada",IF(AND(OR(P3103="Gasto",P3103="Reembolso"),D3103=""),"⚠ Falta categoría",IF(AND(D3103&lt;&gt;"",E3103&lt;&gt;"",ISNA(MATCH(D3103&amp;"|"&amp;E3103,catClave,0))),"⚠ Subcategoría no corresponde",IF(AND(OR(P3103="Transferencia",P3103="Pago tarjeta"),K3103=""),"⚠ Falta cuenta destino",IF(AND(K3103&lt;&gt;"",P3103&lt;&gt;"Transferencia",P3103&lt;&gt;"Pago tarjeta"),"⚠ Destino solo aplica a transferencias",IF(AND(K3103&lt;&gt;"",K3103=Q3103),"⚠ Origen igual a destino",IF(AND(K3103&lt;&gt;"",ISNA(MATCH(K3103,ctaNombre,0))),"⚠ Destino no registrado",IF(AND(P3103="Pago tarjeta",AE3103&lt;&gt;"Tarjeta de crédito"),"⚠ El destino debe ser tarjeta de crédito",IF(AND(P3103="Gasto",E3103="Depósitos y retiros"),"⚠ Usa tipo Transferencia",IF(AND(P3103="Resultado trading",AD3103&lt;&gt;"Cuenta de trading"),"⚠ Usa una cuenta de trading",IF(AND(G3103&lt;=0,P3103&lt;&gt;"Ajuste",P3103&lt;&gt;"Resultado trading"),"⚠ El monto debe ser positivo","✓")))))))))))))))</f>
        <v/>
      </c>
      <c r="P3103" s="52">
        <f>IF(OR(B3103="",G3103=""),"",IF(C3103="","Gasto",C3103))</f>
        <v/>
      </c>
      <c r="Q3103" s="52">
        <f>IF(P3103="","",IF(J3103&lt;&gt;"",J3103,CuentaPred&amp;""))</f>
        <v/>
      </c>
      <c r="R3103" s="52">
        <f>IF(P3103="","",IF(ISNUMBER(I3103),I3103,TasaUSD))</f>
        <v/>
      </c>
      <c r="S3103" s="53">
        <f>IF(P3103="","",IF(H3103="USD",G3103*R3103,G3103))</f>
        <v/>
      </c>
      <c r="T3103" s="53">
        <f>IF(P3103="","",IF(H3103="USD",G3103,IF(R3103&gt;0,G3103/R3103,0)))</f>
        <v/>
      </c>
      <c r="U3103" s="53">
        <f>IF(P3103="","",IF(P3103="Gasto",S3103,IF(P3103="Reembolso",-S3103,0)))</f>
        <v/>
      </c>
      <c r="V3103" s="53">
        <f>IF(P3103="","",IF(P3103="Ingreso",S3103,0))</f>
        <v/>
      </c>
      <c r="W3103" s="53">
        <f>IF(P3103="","",IF(P3103="Resultado trading",S3103,0))</f>
        <v/>
      </c>
      <c r="X3103" s="52">
        <f>IF(OR(P3103="Gasto",P3103="Reembolso"),IF(M3103&lt;&gt;"",M3103,IFERROR(INDEX(catClasif,MATCH(D3103&amp;"|"&amp;E3103,catClave,0))&amp;"","Variable")),"")</f>
        <v/>
      </c>
      <c r="Y3103" s="52">
        <f>IF(P3103="","",IFERROR(INDEX(catGrupo,MATCH(D3103&amp;"|"&amp;E3103,catClave,0))&amp;"",""))</f>
        <v/>
      </c>
      <c r="Z3103" s="52">
        <f>IF(P3103="","",WEEKDAY(B3103,2))</f>
        <v/>
      </c>
      <c r="AA3103" s="52">
        <f>IF(P3103="","",IF(AND(P3103="Gasto",X3103="Variable",D3103&lt;&gt;catTrading,S3103&gt;0,S3103&lt;=Umbral),1,0))</f>
        <v/>
      </c>
      <c r="AB3103" s="52">
        <f>IF(OR(P3103="",Q3103=""),"",IFERROR(IF(INDEX(ctaVinc,MATCH(Q3103,ctaNombre,0))&amp;""&lt;&gt;"",INDEX(ctaVinc,MATCH(Q3103,ctaNombre,0))&amp;"",Q3103),Q3103))</f>
        <v/>
      </c>
      <c r="AC3103" s="52">
        <f>IF(OR(K3103="",AND(P3103&lt;&gt;"Transferencia",P3103&lt;&gt;"Pago tarjeta")),"",IFERROR(IF(INDEX(ctaVinc,MATCH(K3103,ctaNombre,0))&amp;""&lt;&gt;"",INDEX(ctaVinc,MATCH(K3103,ctaNombre,0))&amp;"",K3103),K3103))</f>
        <v/>
      </c>
      <c r="AD3103" s="52">
        <f>IF(AB3103="","",IFERROR(INDEX(ctaTipo,MATCH(AB3103,ctaNombre,0))&amp;"",""))</f>
        <v/>
      </c>
      <c r="AE3103" s="52">
        <f>IF(AC3103="","",IFERROR(INDEX(ctaTipo,MATCH(AC3103,ctaNombre,0))&amp;"",""))</f>
        <v/>
      </c>
      <c r="AF3103" s="53">
        <f>IF(OR(P3103="",AB3103=""),"",IF(OR(P3103="Gasto",P3103="Transferencia",P3103="Pago tarjeta"),-1,1)*IF(IFERROR(INDEX(ctaMoneda,MATCH(AB3103,ctaNombre,0))&amp;"","DOP")="USD",T3103,S3103))</f>
        <v/>
      </c>
      <c r="AG3103" s="53">
        <f>IF(AC3103="","",IF(IFERROR(INDEX(ctaMoneda,MATCH(AC3103,ctaNombre,0))&amp;"","DOP")="USD",T3103,S3103))</f>
        <v/>
      </c>
      <c r="AH3103" s="53">
        <f>IF(P3103="","",IF(AND(AD3103&lt;&gt;"",COUNTIFS(tcTipo,AD3103,tcLiq,"Sí")&gt;0),IF(OR(P3103="Gasto",P3103="Transferencia",P3103="Pago tarjeta"),-1,1)*S3103,0)+IF(AND(AE3103&lt;&gt;"",COUNTIFS(tcTipo,AE3103,tcLiq,"Sí")&gt;0),S3103,0))</f>
        <v/>
      </c>
      <c r="AI3103" s="52">
        <f>IF(OR(L3103="",P3103=""),"",IF(COUNTIFS(L$6:L3103,L3103,P$6:P3103,"?*")=1,MAX(AI$5:AI3102)+1,""))</f>
        <v/>
      </c>
    </row>
    <row r="3104">
      <c r="B3104" s="47" t="n"/>
      <c r="C3104" s="48" t="n"/>
      <c r="D3104" s="48" t="n"/>
      <c r="E3104" s="48" t="n"/>
      <c r="F3104" s="48" t="n"/>
      <c r="G3104" s="49" t="n"/>
      <c r="H3104" s="48" t="n"/>
      <c r="I3104" s="50" t="n"/>
      <c r="J3104" s="48" t="n"/>
      <c r="K3104" s="48" t="n"/>
      <c r="L3104" s="48" t="n"/>
      <c r="M3104" s="48" t="n"/>
      <c r="N3104" s="48" t="n"/>
      <c r="O3104" s="51">
        <f>IF(AND(B3104="",G3104="",C3104="",D3104="",J3104=""),"",IF(B3104="","⚠ Falta fecha",IF(G3104="","⚠ Falta monto",IF(Q3104="","⚠ Falta cuenta",IF(ISNA(MATCH(Q3104,ctaNombre,0)),"⚠ Cuenta no registrada",IF(AND(OR(P3104="Gasto",P3104="Reembolso"),D3104=""),"⚠ Falta categoría",IF(AND(D3104&lt;&gt;"",E3104&lt;&gt;"",ISNA(MATCH(D3104&amp;"|"&amp;E3104,catClave,0))),"⚠ Subcategoría no corresponde",IF(AND(OR(P3104="Transferencia",P3104="Pago tarjeta"),K3104=""),"⚠ Falta cuenta destino",IF(AND(K3104&lt;&gt;"",P3104&lt;&gt;"Transferencia",P3104&lt;&gt;"Pago tarjeta"),"⚠ Destino solo aplica a transferencias",IF(AND(K3104&lt;&gt;"",K3104=Q3104),"⚠ Origen igual a destino",IF(AND(K3104&lt;&gt;"",ISNA(MATCH(K3104,ctaNombre,0))),"⚠ Destino no registrado",IF(AND(P3104="Pago tarjeta",AE3104&lt;&gt;"Tarjeta de crédito"),"⚠ El destino debe ser tarjeta de crédito",IF(AND(P3104="Gasto",E3104="Depósitos y retiros"),"⚠ Usa tipo Transferencia",IF(AND(P3104="Resultado trading",AD3104&lt;&gt;"Cuenta de trading"),"⚠ Usa una cuenta de trading",IF(AND(G3104&lt;=0,P3104&lt;&gt;"Ajuste",P3104&lt;&gt;"Resultado trading"),"⚠ El monto debe ser positivo","✓")))))))))))))))</f>
        <v/>
      </c>
      <c r="P3104" s="52">
        <f>IF(OR(B3104="",G3104=""),"",IF(C3104="","Gasto",C3104))</f>
        <v/>
      </c>
      <c r="Q3104" s="52">
        <f>IF(P3104="","",IF(J3104&lt;&gt;"",J3104,CuentaPred&amp;""))</f>
        <v/>
      </c>
      <c r="R3104" s="52">
        <f>IF(P3104="","",IF(ISNUMBER(I3104),I3104,TasaUSD))</f>
        <v/>
      </c>
      <c r="S3104" s="53">
        <f>IF(P3104="","",IF(H3104="USD",G3104*R3104,G3104))</f>
        <v/>
      </c>
      <c r="T3104" s="53">
        <f>IF(P3104="","",IF(H3104="USD",G3104,IF(R3104&gt;0,G3104/R3104,0)))</f>
        <v/>
      </c>
      <c r="U3104" s="53">
        <f>IF(P3104="","",IF(P3104="Gasto",S3104,IF(P3104="Reembolso",-S3104,0)))</f>
        <v/>
      </c>
      <c r="V3104" s="53">
        <f>IF(P3104="","",IF(P3104="Ingreso",S3104,0))</f>
        <v/>
      </c>
      <c r="W3104" s="53">
        <f>IF(P3104="","",IF(P3104="Resultado trading",S3104,0))</f>
        <v/>
      </c>
      <c r="X3104" s="52">
        <f>IF(OR(P3104="Gasto",P3104="Reembolso"),IF(M3104&lt;&gt;"",M3104,IFERROR(INDEX(catClasif,MATCH(D3104&amp;"|"&amp;E3104,catClave,0))&amp;"","Variable")),"")</f>
        <v/>
      </c>
      <c r="Y3104" s="52">
        <f>IF(P3104="","",IFERROR(INDEX(catGrupo,MATCH(D3104&amp;"|"&amp;E3104,catClave,0))&amp;"",""))</f>
        <v/>
      </c>
      <c r="Z3104" s="52">
        <f>IF(P3104="","",WEEKDAY(B3104,2))</f>
        <v/>
      </c>
      <c r="AA3104" s="52">
        <f>IF(P3104="","",IF(AND(P3104="Gasto",X3104="Variable",D3104&lt;&gt;catTrading,S3104&gt;0,S3104&lt;=Umbral),1,0))</f>
        <v/>
      </c>
      <c r="AB3104" s="52">
        <f>IF(OR(P3104="",Q3104=""),"",IFERROR(IF(INDEX(ctaVinc,MATCH(Q3104,ctaNombre,0))&amp;""&lt;&gt;"",INDEX(ctaVinc,MATCH(Q3104,ctaNombre,0))&amp;"",Q3104),Q3104))</f>
        <v/>
      </c>
      <c r="AC3104" s="52">
        <f>IF(OR(K3104="",AND(P3104&lt;&gt;"Transferencia",P3104&lt;&gt;"Pago tarjeta")),"",IFERROR(IF(INDEX(ctaVinc,MATCH(K3104,ctaNombre,0))&amp;""&lt;&gt;"",INDEX(ctaVinc,MATCH(K3104,ctaNombre,0))&amp;"",K3104),K3104))</f>
        <v/>
      </c>
      <c r="AD3104" s="52">
        <f>IF(AB3104="","",IFERROR(INDEX(ctaTipo,MATCH(AB3104,ctaNombre,0))&amp;"",""))</f>
        <v/>
      </c>
      <c r="AE3104" s="52">
        <f>IF(AC3104="","",IFERROR(INDEX(ctaTipo,MATCH(AC3104,ctaNombre,0))&amp;"",""))</f>
        <v/>
      </c>
      <c r="AF3104" s="53">
        <f>IF(OR(P3104="",AB3104=""),"",IF(OR(P3104="Gasto",P3104="Transferencia",P3104="Pago tarjeta"),-1,1)*IF(IFERROR(INDEX(ctaMoneda,MATCH(AB3104,ctaNombre,0))&amp;"","DOP")="USD",T3104,S3104))</f>
        <v/>
      </c>
      <c r="AG3104" s="53">
        <f>IF(AC3104="","",IF(IFERROR(INDEX(ctaMoneda,MATCH(AC3104,ctaNombre,0))&amp;"","DOP")="USD",T3104,S3104))</f>
        <v/>
      </c>
      <c r="AH3104" s="53">
        <f>IF(P3104="","",IF(AND(AD3104&lt;&gt;"",COUNTIFS(tcTipo,AD3104,tcLiq,"Sí")&gt;0),IF(OR(P3104="Gasto",P3104="Transferencia",P3104="Pago tarjeta"),-1,1)*S3104,0)+IF(AND(AE3104&lt;&gt;"",COUNTIFS(tcTipo,AE3104,tcLiq,"Sí")&gt;0),S3104,0))</f>
        <v/>
      </c>
      <c r="AI3104" s="52">
        <f>IF(OR(L3104="",P3104=""),"",IF(COUNTIFS(L$6:L3104,L3104,P$6:P3104,"?*")=1,MAX(AI$5:AI3103)+1,""))</f>
        <v/>
      </c>
    </row>
    <row r="3105">
      <c r="B3105" s="47" t="n"/>
      <c r="C3105" s="48" t="n"/>
      <c r="D3105" s="48" t="n"/>
      <c r="E3105" s="48" t="n"/>
      <c r="F3105" s="48" t="n"/>
      <c r="G3105" s="49" t="n"/>
      <c r="H3105" s="48" t="n"/>
      <c r="I3105" s="50" t="n"/>
      <c r="J3105" s="48" t="n"/>
      <c r="K3105" s="48" t="n"/>
      <c r="L3105" s="48" t="n"/>
      <c r="M3105" s="48" t="n"/>
      <c r="N3105" s="48" t="n"/>
      <c r="O3105" s="51">
        <f>IF(AND(B3105="",G3105="",C3105="",D3105="",J3105=""),"",IF(B3105="","⚠ Falta fecha",IF(G3105="","⚠ Falta monto",IF(Q3105="","⚠ Falta cuenta",IF(ISNA(MATCH(Q3105,ctaNombre,0)),"⚠ Cuenta no registrada",IF(AND(OR(P3105="Gasto",P3105="Reembolso"),D3105=""),"⚠ Falta categoría",IF(AND(D3105&lt;&gt;"",E3105&lt;&gt;"",ISNA(MATCH(D3105&amp;"|"&amp;E3105,catClave,0))),"⚠ Subcategoría no corresponde",IF(AND(OR(P3105="Transferencia",P3105="Pago tarjeta"),K3105=""),"⚠ Falta cuenta destino",IF(AND(K3105&lt;&gt;"",P3105&lt;&gt;"Transferencia",P3105&lt;&gt;"Pago tarjeta"),"⚠ Destino solo aplica a transferencias",IF(AND(K3105&lt;&gt;"",K3105=Q3105),"⚠ Origen igual a destino",IF(AND(K3105&lt;&gt;"",ISNA(MATCH(K3105,ctaNombre,0))),"⚠ Destino no registrado",IF(AND(P3105="Pago tarjeta",AE3105&lt;&gt;"Tarjeta de crédito"),"⚠ El destino debe ser tarjeta de crédito",IF(AND(P3105="Gasto",E3105="Depósitos y retiros"),"⚠ Usa tipo Transferencia",IF(AND(P3105="Resultado trading",AD3105&lt;&gt;"Cuenta de trading"),"⚠ Usa una cuenta de trading",IF(AND(G3105&lt;=0,P3105&lt;&gt;"Ajuste",P3105&lt;&gt;"Resultado trading"),"⚠ El monto debe ser positivo","✓")))))))))))))))</f>
        <v/>
      </c>
      <c r="P3105" s="52">
        <f>IF(OR(B3105="",G3105=""),"",IF(C3105="","Gasto",C3105))</f>
        <v/>
      </c>
      <c r="Q3105" s="52">
        <f>IF(P3105="","",IF(J3105&lt;&gt;"",J3105,CuentaPred&amp;""))</f>
        <v/>
      </c>
      <c r="R3105" s="52">
        <f>IF(P3105="","",IF(ISNUMBER(I3105),I3105,TasaUSD))</f>
        <v/>
      </c>
      <c r="S3105" s="53">
        <f>IF(P3105="","",IF(H3105="USD",G3105*R3105,G3105))</f>
        <v/>
      </c>
      <c r="T3105" s="53">
        <f>IF(P3105="","",IF(H3105="USD",G3105,IF(R3105&gt;0,G3105/R3105,0)))</f>
        <v/>
      </c>
      <c r="U3105" s="53">
        <f>IF(P3105="","",IF(P3105="Gasto",S3105,IF(P3105="Reembolso",-S3105,0)))</f>
        <v/>
      </c>
      <c r="V3105" s="53">
        <f>IF(P3105="","",IF(P3105="Ingreso",S3105,0))</f>
        <v/>
      </c>
      <c r="W3105" s="53">
        <f>IF(P3105="","",IF(P3105="Resultado trading",S3105,0))</f>
        <v/>
      </c>
      <c r="X3105" s="52">
        <f>IF(OR(P3105="Gasto",P3105="Reembolso"),IF(M3105&lt;&gt;"",M3105,IFERROR(INDEX(catClasif,MATCH(D3105&amp;"|"&amp;E3105,catClave,0))&amp;"","Variable")),"")</f>
        <v/>
      </c>
      <c r="Y3105" s="52">
        <f>IF(P3105="","",IFERROR(INDEX(catGrupo,MATCH(D3105&amp;"|"&amp;E3105,catClave,0))&amp;"",""))</f>
        <v/>
      </c>
      <c r="Z3105" s="52">
        <f>IF(P3105="","",WEEKDAY(B3105,2))</f>
        <v/>
      </c>
      <c r="AA3105" s="52">
        <f>IF(P3105="","",IF(AND(P3105="Gasto",X3105="Variable",D3105&lt;&gt;catTrading,S3105&gt;0,S3105&lt;=Umbral),1,0))</f>
        <v/>
      </c>
      <c r="AB3105" s="52">
        <f>IF(OR(P3105="",Q3105=""),"",IFERROR(IF(INDEX(ctaVinc,MATCH(Q3105,ctaNombre,0))&amp;""&lt;&gt;"",INDEX(ctaVinc,MATCH(Q3105,ctaNombre,0))&amp;"",Q3105),Q3105))</f>
        <v/>
      </c>
      <c r="AC3105" s="52">
        <f>IF(OR(K3105="",AND(P3105&lt;&gt;"Transferencia",P3105&lt;&gt;"Pago tarjeta")),"",IFERROR(IF(INDEX(ctaVinc,MATCH(K3105,ctaNombre,0))&amp;""&lt;&gt;"",INDEX(ctaVinc,MATCH(K3105,ctaNombre,0))&amp;"",K3105),K3105))</f>
        <v/>
      </c>
      <c r="AD3105" s="52">
        <f>IF(AB3105="","",IFERROR(INDEX(ctaTipo,MATCH(AB3105,ctaNombre,0))&amp;"",""))</f>
        <v/>
      </c>
      <c r="AE3105" s="52">
        <f>IF(AC3105="","",IFERROR(INDEX(ctaTipo,MATCH(AC3105,ctaNombre,0))&amp;"",""))</f>
        <v/>
      </c>
      <c r="AF3105" s="53">
        <f>IF(OR(P3105="",AB3105=""),"",IF(OR(P3105="Gasto",P3105="Transferencia",P3105="Pago tarjeta"),-1,1)*IF(IFERROR(INDEX(ctaMoneda,MATCH(AB3105,ctaNombre,0))&amp;"","DOP")="USD",T3105,S3105))</f>
        <v/>
      </c>
      <c r="AG3105" s="53">
        <f>IF(AC3105="","",IF(IFERROR(INDEX(ctaMoneda,MATCH(AC3105,ctaNombre,0))&amp;"","DOP")="USD",T3105,S3105))</f>
        <v/>
      </c>
      <c r="AH3105" s="53">
        <f>IF(P3105="","",IF(AND(AD3105&lt;&gt;"",COUNTIFS(tcTipo,AD3105,tcLiq,"Sí")&gt;0),IF(OR(P3105="Gasto",P3105="Transferencia",P3105="Pago tarjeta"),-1,1)*S3105,0)+IF(AND(AE3105&lt;&gt;"",COUNTIFS(tcTipo,AE3105,tcLiq,"Sí")&gt;0),S3105,0))</f>
        <v/>
      </c>
      <c r="AI3105" s="52">
        <f>IF(OR(L3105="",P3105=""),"",IF(COUNTIFS(L$6:L3105,L3105,P$6:P3105,"?*")=1,MAX(AI$5:AI3104)+1,""))</f>
        <v/>
      </c>
    </row>
    <row r="3106">
      <c r="B3106" s="47" t="n"/>
      <c r="C3106" s="48" t="n"/>
      <c r="D3106" s="48" t="n"/>
      <c r="E3106" s="48" t="n"/>
      <c r="F3106" s="48" t="n"/>
      <c r="G3106" s="49" t="n"/>
      <c r="H3106" s="48" t="n"/>
      <c r="I3106" s="50" t="n"/>
      <c r="J3106" s="48" t="n"/>
      <c r="K3106" s="48" t="n"/>
      <c r="L3106" s="48" t="n"/>
      <c r="M3106" s="48" t="n"/>
      <c r="N3106" s="48" t="n"/>
      <c r="O3106" s="51">
        <f>IF(AND(B3106="",G3106="",C3106="",D3106="",J3106=""),"",IF(B3106="","⚠ Falta fecha",IF(G3106="","⚠ Falta monto",IF(Q3106="","⚠ Falta cuenta",IF(ISNA(MATCH(Q3106,ctaNombre,0)),"⚠ Cuenta no registrada",IF(AND(OR(P3106="Gasto",P3106="Reembolso"),D3106=""),"⚠ Falta categoría",IF(AND(D3106&lt;&gt;"",E3106&lt;&gt;"",ISNA(MATCH(D3106&amp;"|"&amp;E3106,catClave,0))),"⚠ Subcategoría no corresponde",IF(AND(OR(P3106="Transferencia",P3106="Pago tarjeta"),K3106=""),"⚠ Falta cuenta destino",IF(AND(K3106&lt;&gt;"",P3106&lt;&gt;"Transferencia",P3106&lt;&gt;"Pago tarjeta"),"⚠ Destino solo aplica a transferencias",IF(AND(K3106&lt;&gt;"",K3106=Q3106),"⚠ Origen igual a destino",IF(AND(K3106&lt;&gt;"",ISNA(MATCH(K3106,ctaNombre,0))),"⚠ Destino no registrado",IF(AND(P3106="Pago tarjeta",AE3106&lt;&gt;"Tarjeta de crédito"),"⚠ El destino debe ser tarjeta de crédito",IF(AND(P3106="Gasto",E3106="Depósitos y retiros"),"⚠ Usa tipo Transferencia",IF(AND(P3106="Resultado trading",AD3106&lt;&gt;"Cuenta de trading"),"⚠ Usa una cuenta de trading",IF(AND(G3106&lt;=0,P3106&lt;&gt;"Ajuste",P3106&lt;&gt;"Resultado trading"),"⚠ El monto debe ser positivo","✓")))))))))))))))</f>
        <v/>
      </c>
      <c r="P3106" s="52">
        <f>IF(OR(B3106="",G3106=""),"",IF(C3106="","Gasto",C3106))</f>
        <v/>
      </c>
      <c r="Q3106" s="52">
        <f>IF(P3106="","",IF(J3106&lt;&gt;"",J3106,CuentaPred&amp;""))</f>
        <v/>
      </c>
      <c r="R3106" s="52">
        <f>IF(P3106="","",IF(ISNUMBER(I3106),I3106,TasaUSD))</f>
        <v/>
      </c>
      <c r="S3106" s="53">
        <f>IF(P3106="","",IF(H3106="USD",G3106*R3106,G3106))</f>
        <v/>
      </c>
      <c r="T3106" s="53">
        <f>IF(P3106="","",IF(H3106="USD",G3106,IF(R3106&gt;0,G3106/R3106,0)))</f>
        <v/>
      </c>
      <c r="U3106" s="53">
        <f>IF(P3106="","",IF(P3106="Gasto",S3106,IF(P3106="Reembolso",-S3106,0)))</f>
        <v/>
      </c>
      <c r="V3106" s="53">
        <f>IF(P3106="","",IF(P3106="Ingreso",S3106,0))</f>
        <v/>
      </c>
      <c r="W3106" s="53">
        <f>IF(P3106="","",IF(P3106="Resultado trading",S3106,0))</f>
        <v/>
      </c>
      <c r="X3106" s="52">
        <f>IF(OR(P3106="Gasto",P3106="Reembolso"),IF(M3106&lt;&gt;"",M3106,IFERROR(INDEX(catClasif,MATCH(D3106&amp;"|"&amp;E3106,catClave,0))&amp;"","Variable")),"")</f>
        <v/>
      </c>
      <c r="Y3106" s="52">
        <f>IF(P3106="","",IFERROR(INDEX(catGrupo,MATCH(D3106&amp;"|"&amp;E3106,catClave,0))&amp;"",""))</f>
        <v/>
      </c>
      <c r="Z3106" s="52">
        <f>IF(P3106="","",WEEKDAY(B3106,2))</f>
        <v/>
      </c>
      <c r="AA3106" s="52">
        <f>IF(P3106="","",IF(AND(P3106="Gasto",X3106="Variable",D3106&lt;&gt;catTrading,S3106&gt;0,S3106&lt;=Umbral),1,0))</f>
        <v/>
      </c>
      <c r="AB3106" s="52">
        <f>IF(OR(P3106="",Q3106=""),"",IFERROR(IF(INDEX(ctaVinc,MATCH(Q3106,ctaNombre,0))&amp;""&lt;&gt;"",INDEX(ctaVinc,MATCH(Q3106,ctaNombre,0))&amp;"",Q3106),Q3106))</f>
        <v/>
      </c>
      <c r="AC3106" s="52">
        <f>IF(OR(K3106="",AND(P3106&lt;&gt;"Transferencia",P3106&lt;&gt;"Pago tarjeta")),"",IFERROR(IF(INDEX(ctaVinc,MATCH(K3106,ctaNombre,0))&amp;""&lt;&gt;"",INDEX(ctaVinc,MATCH(K3106,ctaNombre,0))&amp;"",K3106),K3106))</f>
        <v/>
      </c>
      <c r="AD3106" s="52">
        <f>IF(AB3106="","",IFERROR(INDEX(ctaTipo,MATCH(AB3106,ctaNombre,0))&amp;"",""))</f>
        <v/>
      </c>
      <c r="AE3106" s="52">
        <f>IF(AC3106="","",IFERROR(INDEX(ctaTipo,MATCH(AC3106,ctaNombre,0))&amp;"",""))</f>
        <v/>
      </c>
      <c r="AF3106" s="53">
        <f>IF(OR(P3106="",AB3106=""),"",IF(OR(P3106="Gasto",P3106="Transferencia",P3106="Pago tarjeta"),-1,1)*IF(IFERROR(INDEX(ctaMoneda,MATCH(AB3106,ctaNombre,0))&amp;"","DOP")="USD",T3106,S3106))</f>
        <v/>
      </c>
      <c r="AG3106" s="53">
        <f>IF(AC3106="","",IF(IFERROR(INDEX(ctaMoneda,MATCH(AC3106,ctaNombre,0))&amp;"","DOP")="USD",T3106,S3106))</f>
        <v/>
      </c>
      <c r="AH3106" s="53">
        <f>IF(P3106="","",IF(AND(AD3106&lt;&gt;"",COUNTIFS(tcTipo,AD3106,tcLiq,"Sí")&gt;0),IF(OR(P3106="Gasto",P3106="Transferencia",P3106="Pago tarjeta"),-1,1)*S3106,0)+IF(AND(AE3106&lt;&gt;"",COUNTIFS(tcTipo,AE3106,tcLiq,"Sí")&gt;0),S3106,0))</f>
        <v/>
      </c>
      <c r="AI3106" s="52">
        <f>IF(OR(L3106="",P3106=""),"",IF(COUNTIFS(L$6:L3106,L3106,P$6:P3106,"?*")=1,MAX(AI$5:AI3105)+1,""))</f>
        <v/>
      </c>
    </row>
    <row r="3107">
      <c r="B3107" s="47" t="n"/>
      <c r="C3107" s="48" t="n"/>
      <c r="D3107" s="48" t="n"/>
      <c r="E3107" s="48" t="n"/>
      <c r="F3107" s="48" t="n"/>
      <c r="G3107" s="49" t="n"/>
      <c r="H3107" s="48" t="n"/>
      <c r="I3107" s="50" t="n"/>
      <c r="J3107" s="48" t="n"/>
      <c r="K3107" s="48" t="n"/>
      <c r="L3107" s="48" t="n"/>
      <c r="M3107" s="48" t="n"/>
      <c r="N3107" s="48" t="n"/>
      <c r="O3107" s="51">
        <f>IF(AND(B3107="",G3107="",C3107="",D3107="",J3107=""),"",IF(B3107="","⚠ Falta fecha",IF(G3107="","⚠ Falta monto",IF(Q3107="","⚠ Falta cuenta",IF(ISNA(MATCH(Q3107,ctaNombre,0)),"⚠ Cuenta no registrada",IF(AND(OR(P3107="Gasto",P3107="Reembolso"),D3107=""),"⚠ Falta categoría",IF(AND(D3107&lt;&gt;"",E3107&lt;&gt;"",ISNA(MATCH(D3107&amp;"|"&amp;E3107,catClave,0))),"⚠ Subcategoría no corresponde",IF(AND(OR(P3107="Transferencia",P3107="Pago tarjeta"),K3107=""),"⚠ Falta cuenta destino",IF(AND(K3107&lt;&gt;"",P3107&lt;&gt;"Transferencia",P3107&lt;&gt;"Pago tarjeta"),"⚠ Destino solo aplica a transferencias",IF(AND(K3107&lt;&gt;"",K3107=Q3107),"⚠ Origen igual a destino",IF(AND(K3107&lt;&gt;"",ISNA(MATCH(K3107,ctaNombre,0))),"⚠ Destino no registrado",IF(AND(P3107="Pago tarjeta",AE3107&lt;&gt;"Tarjeta de crédito"),"⚠ El destino debe ser tarjeta de crédito",IF(AND(P3107="Gasto",E3107="Depósitos y retiros"),"⚠ Usa tipo Transferencia",IF(AND(P3107="Resultado trading",AD3107&lt;&gt;"Cuenta de trading"),"⚠ Usa una cuenta de trading",IF(AND(G3107&lt;=0,P3107&lt;&gt;"Ajuste",P3107&lt;&gt;"Resultado trading"),"⚠ El monto debe ser positivo","✓")))))))))))))))</f>
        <v/>
      </c>
      <c r="P3107" s="52">
        <f>IF(OR(B3107="",G3107=""),"",IF(C3107="","Gasto",C3107))</f>
        <v/>
      </c>
      <c r="Q3107" s="52">
        <f>IF(P3107="","",IF(J3107&lt;&gt;"",J3107,CuentaPred&amp;""))</f>
        <v/>
      </c>
      <c r="R3107" s="52">
        <f>IF(P3107="","",IF(ISNUMBER(I3107),I3107,TasaUSD))</f>
        <v/>
      </c>
      <c r="S3107" s="53">
        <f>IF(P3107="","",IF(H3107="USD",G3107*R3107,G3107))</f>
        <v/>
      </c>
      <c r="T3107" s="53">
        <f>IF(P3107="","",IF(H3107="USD",G3107,IF(R3107&gt;0,G3107/R3107,0)))</f>
        <v/>
      </c>
      <c r="U3107" s="53">
        <f>IF(P3107="","",IF(P3107="Gasto",S3107,IF(P3107="Reembolso",-S3107,0)))</f>
        <v/>
      </c>
      <c r="V3107" s="53">
        <f>IF(P3107="","",IF(P3107="Ingreso",S3107,0))</f>
        <v/>
      </c>
      <c r="W3107" s="53">
        <f>IF(P3107="","",IF(P3107="Resultado trading",S3107,0))</f>
        <v/>
      </c>
      <c r="X3107" s="52">
        <f>IF(OR(P3107="Gasto",P3107="Reembolso"),IF(M3107&lt;&gt;"",M3107,IFERROR(INDEX(catClasif,MATCH(D3107&amp;"|"&amp;E3107,catClave,0))&amp;"","Variable")),"")</f>
        <v/>
      </c>
      <c r="Y3107" s="52">
        <f>IF(P3107="","",IFERROR(INDEX(catGrupo,MATCH(D3107&amp;"|"&amp;E3107,catClave,0))&amp;"",""))</f>
        <v/>
      </c>
      <c r="Z3107" s="52">
        <f>IF(P3107="","",WEEKDAY(B3107,2))</f>
        <v/>
      </c>
      <c r="AA3107" s="52">
        <f>IF(P3107="","",IF(AND(P3107="Gasto",X3107="Variable",D3107&lt;&gt;catTrading,S3107&gt;0,S3107&lt;=Umbral),1,0))</f>
        <v/>
      </c>
      <c r="AB3107" s="52">
        <f>IF(OR(P3107="",Q3107=""),"",IFERROR(IF(INDEX(ctaVinc,MATCH(Q3107,ctaNombre,0))&amp;""&lt;&gt;"",INDEX(ctaVinc,MATCH(Q3107,ctaNombre,0))&amp;"",Q3107),Q3107))</f>
        <v/>
      </c>
      <c r="AC3107" s="52">
        <f>IF(OR(K3107="",AND(P3107&lt;&gt;"Transferencia",P3107&lt;&gt;"Pago tarjeta")),"",IFERROR(IF(INDEX(ctaVinc,MATCH(K3107,ctaNombre,0))&amp;""&lt;&gt;"",INDEX(ctaVinc,MATCH(K3107,ctaNombre,0))&amp;"",K3107),K3107))</f>
        <v/>
      </c>
      <c r="AD3107" s="52">
        <f>IF(AB3107="","",IFERROR(INDEX(ctaTipo,MATCH(AB3107,ctaNombre,0))&amp;"",""))</f>
        <v/>
      </c>
      <c r="AE3107" s="52">
        <f>IF(AC3107="","",IFERROR(INDEX(ctaTipo,MATCH(AC3107,ctaNombre,0))&amp;"",""))</f>
        <v/>
      </c>
      <c r="AF3107" s="53">
        <f>IF(OR(P3107="",AB3107=""),"",IF(OR(P3107="Gasto",P3107="Transferencia",P3107="Pago tarjeta"),-1,1)*IF(IFERROR(INDEX(ctaMoneda,MATCH(AB3107,ctaNombre,0))&amp;"","DOP")="USD",T3107,S3107))</f>
        <v/>
      </c>
      <c r="AG3107" s="53">
        <f>IF(AC3107="","",IF(IFERROR(INDEX(ctaMoneda,MATCH(AC3107,ctaNombre,0))&amp;"","DOP")="USD",T3107,S3107))</f>
        <v/>
      </c>
      <c r="AH3107" s="53">
        <f>IF(P3107="","",IF(AND(AD3107&lt;&gt;"",COUNTIFS(tcTipo,AD3107,tcLiq,"Sí")&gt;0),IF(OR(P3107="Gasto",P3107="Transferencia",P3107="Pago tarjeta"),-1,1)*S3107,0)+IF(AND(AE3107&lt;&gt;"",COUNTIFS(tcTipo,AE3107,tcLiq,"Sí")&gt;0),S3107,0))</f>
        <v/>
      </c>
      <c r="AI3107" s="52">
        <f>IF(OR(L3107="",P3107=""),"",IF(COUNTIFS(L$6:L3107,L3107,P$6:P3107,"?*")=1,MAX(AI$5:AI3106)+1,""))</f>
        <v/>
      </c>
    </row>
    <row r="3108">
      <c r="B3108" s="47" t="n"/>
      <c r="C3108" s="48" t="n"/>
      <c r="D3108" s="48" t="n"/>
      <c r="E3108" s="48" t="n"/>
      <c r="F3108" s="48" t="n"/>
      <c r="G3108" s="49" t="n"/>
      <c r="H3108" s="48" t="n"/>
      <c r="I3108" s="50" t="n"/>
      <c r="J3108" s="48" t="n"/>
      <c r="K3108" s="48" t="n"/>
      <c r="L3108" s="48" t="n"/>
      <c r="M3108" s="48" t="n"/>
      <c r="N3108" s="48" t="n"/>
      <c r="O3108" s="51">
        <f>IF(AND(B3108="",G3108="",C3108="",D3108="",J3108=""),"",IF(B3108="","⚠ Falta fecha",IF(G3108="","⚠ Falta monto",IF(Q3108="","⚠ Falta cuenta",IF(ISNA(MATCH(Q3108,ctaNombre,0)),"⚠ Cuenta no registrada",IF(AND(OR(P3108="Gasto",P3108="Reembolso"),D3108=""),"⚠ Falta categoría",IF(AND(D3108&lt;&gt;"",E3108&lt;&gt;"",ISNA(MATCH(D3108&amp;"|"&amp;E3108,catClave,0))),"⚠ Subcategoría no corresponde",IF(AND(OR(P3108="Transferencia",P3108="Pago tarjeta"),K3108=""),"⚠ Falta cuenta destino",IF(AND(K3108&lt;&gt;"",P3108&lt;&gt;"Transferencia",P3108&lt;&gt;"Pago tarjeta"),"⚠ Destino solo aplica a transferencias",IF(AND(K3108&lt;&gt;"",K3108=Q3108),"⚠ Origen igual a destino",IF(AND(K3108&lt;&gt;"",ISNA(MATCH(K3108,ctaNombre,0))),"⚠ Destino no registrado",IF(AND(P3108="Pago tarjeta",AE3108&lt;&gt;"Tarjeta de crédito"),"⚠ El destino debe ser tarjeta de crédito",IF(AND(P3108="Gasto",E3108="Depósitos y retiros"),"⚠ Usa tipo Transferencia",IF(AND(P3108="Resultado trading",AD3108&lt;&gt;"Cuenta de trading"),"⚠ Usa una cuenta de trading",IF(AND(G3108&lt;=0,P3108&lt;&gt;"Ajuste",P3108&lt;&gt;"Resultado trading"),"⚠ El monto debe ser positivo","✓")))))))))))))))</f>
        <v/>
      </c>
      <c r="P3108" s="52">
        <f>IF(OR(B3108="",G3108=""),"",IF(C3108="","Gasto",C3108))</f>
        <v/>
      </c>
      <c r="Q3108" s="52">
        <f>IF(P3108="","",IF(J3108&lt;&gt;"",J3108,CuentaPred&amp;""))</f>
        <v/>
      </c>
      <c r="R3108" s="52">
        <f>IF(P3108="","",IF(ISNUMBER(I3108),I3108,TasaUSD))</f>
        <v/>
      </c>
      <c r="S3108" s="53">
        <f>IF(P3108="","",IF(H3108="USD",G3108*R3108,G3108))</f>
        <v/>
      </c>
      <c r="T3108" s="53">
        <f>IF(P3108="","",IF(H3108="USD",G3108,IF(R3108&gt;0,G3108/R3108,0)))</f>
        <v/>
      </c>
      <c r="U3108" s="53">
        <f>IF(P3108="","",IF(P3108="Gasto",S3108,IF(P3108="Reembolso",-S3108,0)))</f>
        <v/>
      </c>
      <c r="V3108" s="53">
        <f>IF(P3108="","",IF(P3108="Ingreso",S3108,0))</f>
        <v/>
      </c>
      <c r="W3108" s="53">
        <f>IF(P3108="","",IF(P3108="Resultado trading",S3108,0))</f>
        <v/>
      </c>
      <c r="X3108" s="52">
        <f>IF(OR(P3108="Gasto",P3108="Reembolso"),IF(M3108&lt;&gt;"",M3108,IFERROR(INDEX(catClasif,MATCH(D3108&amp;"|"&amp;E3108,catClave,0))&amp;"","Variable")),"")</f>
        <v/>
      </c>
      <c r="Y3108" s="52">
        <f>IF(P3108="","",IFERROR(INDEX(catGrupo,MATCH(D3108&amp;"|"&amp;E3108,catClave,0))&amp;"",""))</f>
        <v/>
      </c>
      <c r="Z3108" s="52">
        <f>IF(P3108="","",WEEKDAY(B3108,2))</f>
        <v/>
      </c>
      <c r="AA3108" s="52">
        <f>IF(P3108="","",IF(AND(P3108="Gasto",X3108="Variable",D3108&lt;&gt;catTrading,S3108&gt;0,S3108&lt;=Umbral),1,0))</f>
        <v/>
      </c>
      <c r="AB3108" s="52">
        <f>IF(OR(P3108="",Q3108=""),"",IFERROR(IF(INDEX(ctaVinc,MATCH(Q3108,ctaNombre,0))&amp;""&lt;&gt;"",INDEX(ctaVinc,MATCH(Q3108,ctaNombre,0))&amp;"",Q3108),Q3108))</f>
        <v/>
      </c>
      <c r="AC3108" s="52">
        <f>IF(OR(K3108="",AND(P3108&lt;&gt;"Transferencia",P3108&lt;&gt;"Pago tarjeta")),"",IFERROR(IF(INDEX(ctaVinc,MATCH(K3108,ctaNombre,0))&amp;""&lt;&gt;"",INDEX(ctaVinc,MATCH(K3108,ctaNombre,0))&amp;"",K3108),K3108))</f>
        <v/>
      </c>
      <c r="AD3108" s="52">
        <f>IF(AB3108="","",IFERROR(INDEX(ctaTipo,MATCH(AB3108,ctaNombre,0))&amp;"",""))</f>
        <v/>
      </c>
      <c r="AE3108" s="52">
        <f>IF(AC3108="","",IFERROR(INDEX(ctaTipo,MATCH(AC3108,ctaNombre,0))&amp;"",""))</f>
        <v/>
      </c>
      <c r="AF3108" s="53">
        <f>IF(OR(P3108="",AB3108=""),"",IF(OR(P3108="Gasto",P3108="Transferencia",P3108="Pago tarjeta"),-1,1)*IF(IFERROR(INDEX(ctaMoneda,MATCH(AB3108,ctaNombre,0))&amp;"","DOP")="USD",T3108,S3108))</f>
        <v/>
      </c>
      <c r="AG3108" s="53">
        <f>IF(AC3108="","",IF(IFERROR(INDEX(ctaMoneda,MATCH(AC3108,ctaNombre,0))&amp;"","DOP")="USD",T3108,S3108))</f>
        <v/>
      </c>
      <c r="AH3108" s="53">
        <f>IF(P3108="","",IF(AND(AD3108&lt;&gt;"",COUNTIFS(tcTipo,AD3108,tcLiq,"Sí")&gt;0),IF(OR(P3108="Gasto",P3108="Transferencia",P3108="Pago tarjeta"),-1,1)*S3108,0)+IF(AND(AE3108&lt;&gt;"",COUNTIFS(tcTipo,AE3108,tcLiq,"Sí")&gt;0),S3108,0))</f>
        <v/>
      </c>
      <c r="AI3108" s="52">
        <f>IF(OR(L3108="",P3108=""),"",IF(COUNTIFS(L$6:L3108,L3108,P$6:P3108,"?*")=1,MAX(AI$5:AI3107)+1,""))</f>
        <v/>
      </c>
    </row>
    <row r="3109">
      <c r="B3109" s="47" t="n"/>
      <c r="C3109" s="48" t="n"/>
      <c r="D3109" s="48" t="n"/>
      <c r="E3109" s="48" t="n"/>
      <c r="F3109" s="48" t="n"/>
      <c r="G3109" s="49" t="n"/>
      <c r="H3109" s="48" t="n"/>
      <c r="I3109" s="50" t="n"/>
      <c r="J3109" s="48" t="n"/>
      <c r="K3109" s="48" t="n"/>
      <c r="L3109" s="48" t="n"/>
      <c r="M3109" s="48" t="n"/>
      <c r="N3109" s="48" t="n"/>
      <c r="O3109" s="51">
        <f>IF(AND(B3109="",G3109="",C3109="",D3109="",J3109=""),"",IF(B3109="","⚠ Falta fecha",IF(G3109="","⚠ Falta monto",IF(Q3109="","⚠ Falta cuenta",IF(ISNA(MATCH(Q3109,ctaNombre,0)),"⚠ Cuenta no registrada",IF(AND(OR(P3109="Gasto",P3109="Reembolso"),D3109=""),"⚠ Falta categoría",IF(AND(D3109&lt;&gt;"",E3109&lt;&gt;"",ISNA(MATCH(D3109&amp;"|"&amp;E3109,catClave,0))),"⚠ Subcategoría no corresponde",IF(AND(OR(P3109="Transferencia",P3109="Pago tarjeta"),K3109=""),"⚠ Falta cuenta destino",IF(AND(K3109&lt;&gt;"",P3109&lt;&gt;"Transferencia",P3109&lt;&gt;"Pago tarjeta"),"⚠ Destino solo aplica a transferencias",IF(AND(K3109&lt;&gt;"",K3109=Q3109),"⚠ Origen igual a destino",IF(AND(K3109&lt;&gt;"",ISNA(MATCH(K3109,ctaNombre,0))),"⚠ Destino no registrado",IF(AND(P3109="Pago tarjeta",AE3109&lt;&gt;"Tarjeta de crédito"),"⚠ El destino debe ser tarjeta de crédito",IF(AND(P3109="Gasto",E3109="Depósitos y retiros"),"⚠ Usa tipo Transferencia",IF(AND(P3109="Resultado trading",AD3109&lt;&gt;"Cuenta de trading"),"⚠ Usa una cuenta de trading",IF(AND(G3109&lt;=0,P3109&lt;&gt;"Ajuste",P3109&lt;&gt;"Resultado trading"),"⚠ El monto debe ser positivo","✓")))))))))))))))</f>
        <v/>
      </c>
      <c r="P3109" s="52">
        <f>IF(OR(B3109="",G3109=""),"",IF(C3109="","Gasto",C3109))</f>
        <v/>
      </c>
      <c r="Q3109" s="52">
        <f>IF(P3109="","",IF(J3109&lt;&gt;"",J3109,CuentaPred&amp;""))</f>
        <v/>
      </c>
      <c r="R3109" s="52">
        <f>IF(P3109="","",IF(ISNUMBER(I3109),I3109,TasaUSD))</f>
        <v/>
      </c>
      <c r="S3109" s="53">
        <f>IF(P3109="","",IF(H3109="USD",G3109*R3109,G3109))</f>
        <v/>
      </c>
      <c r="T3109" s="53">
        <f>IF(P3109="","",IF(H3109="USD",G3109,IF(R3109&gt;0,G3109/R3109,0)))</f>
        <v/>
      </c>
      <c r="U3109" s="53">
        <f>IF(P3109="","",IF(P3109="Gasto",S3109,IF(P3109="Reembolso",-S3109,0)))</f>
        <v/>
      </c>
      <c r="V3109" s="53">
        <f>IF(P3109="","",IF(P3109="Ingreso",S3109,0))</f>
        <v/>
      </c>
      <c r="W3109" s="53">
        <f>IF(P3109="","",IF(P3109="Resultado trading",S3109,0))</f>
        <v/>
      </c>
      <c r="X3109" s="52">
        <f>IF(OR(P3109="Gasto",P3109="Reembolso"),IF(M3109&lt;&gt;"",M3109,IFERROR(INDEX(catClasif,MATCH(D3109&amp;"|"&amp;E3109,catClave,0))&amp;"","Variable")),"")</f>
        <v/>
      </c>
      <c r="Y3109" s="52">
        <f>IF(P3109="","",IFERROR(INDEX(catGrupo,MATCH(D3109&amp;"|"&amp;E3109,catClave,0))&amp;"",""))</f>
        <v/>
      </c>
      <c r="Z3109" s="52">
        <f>IF(P3109="","",WEEKDAY(B3109,2))</f>
        <v/>
      </c>
      <c r="AA3109" s="52">
        <f>IF(P3109="","",IF(AND(P3109="Gasto",X3109="Variable",D3109&lt;&gt;catTrading,S3109&gt;0,S3109&lt;=Umbral),1,0))</f>
        <v/>
      </c>
      <c r="AB3109" s="52">
        <f>IF(OR(P3109="",Q3109=""),"",IFERROR(IF(INDEX(ctaVinc,MATCH(Q3109,ctaNombre,0))&amp;""&lt;&gt;"",INDEX(ctaVinc,MATCH(Q3109,ctaNombre,0))&amp;"",Q3109),Q3109))</f>
        <v/>
      </c>
      <c r="AC3109" s="52">
        <f>IF(OR(K3109="",AND(P3109&lt;&gt;"Transferencia",P3109&lt;&gt;"Pago tarjeta")),"",IFERROR(IF(INDEX(ctaVinc,MATCH(K3109,ctaNombre,0))&amp;""&lt;&gt;"",INDEX(ctaVinc,MATCH(K3109,ctaNombre,0))&amp;"",K3109),K3109))</f>
        <v/>
      </c>
      <c r="AD3109" s="52">
        <f>IF(AB3109="","",IFERROR(INDEX(ctaTipo,MATCH(AB3109,ctaNombre,0))&amp;"",""))</f>
        <v/>
      </c>
      <c r="AE3109" s="52">
        <f>IF(AC3109="","",IFERROR(INDEX(ctaTipo,MATCH(AC3109,ctaNombre,0))&amp;"",""))</f>
        <v/>
      </c>
      <c r="AF3109" s="53">
        <f>IF(OR(P3109="",AB3109=""),"",IF(OR(P3109="Gasto",P3109="Transferencia",P3109="Pago tarjeta"),-1,1)*IF(IFERROR(INDEX(ctaMoneda,MATCH(AB3109,ctaNombre,0))&amp;"","DOP")="USD",T3109,S3109))</f>
        <v/>
      </c>
      <c r="AG3109" s="53">
        <f>IF(AC3109="","",IF(IFERROR(INDEX(ctaMoneda,MATCH(AC3109,ctaNombre,0))&amp;"","DOP")="USD",T3109,S3109))</f>
        <v/>
      </c>
      <c r="AH3109" s="53">
        <f>IF(P3109="","",IF(AND(AD3109&lt;&gt;"",COUNTIFS(tcTipo,AD3109,tcLiq,"Sí")&gt;0),IF(OR(P3109="Gasto",P3109="Transferencia",P3109="Pago tarjeta"),-1,1)*S3109,0)+IF(AND(AE3109&lt;&gt;"",COUNTIFS(tcTipo,AE3109,tcLiq,"Sí")&gt;0),S3109,0))</f>
        <v/>
      </c>
      <c r="AI3109" s="52">
        <f>IF(OR(L3109="",P3109=""),"",IF(COUNTIFS(L$6:L3109,L3109,P$6:P3109,"?*")=1,MAX(AI$5:AI3108)+1,""))</f>
        <v/>
      </c>
    </row>
    <row r="3110">
      <c r="B3110" s="47" t="n"/>
      <c r="C3110" s="48" t="n"/>
      <c r="D3110" s="48" t="n"/>
      <c r="E3110" s="48" t="n"/>
      <c r="F3110" s="48" t="n"/>
      <c r="G3110" s="49" t="n"/>
      <c r="H3110" s="48" t="n"/>
      <c r="I3110" s="50" t="n"/>
      <c r="J3110" s="48" t="n"/>
      <c r="K3110" s="48" t="n"/>
      <c r="L3110" s="48" t="n"/>
      <c r="M3110" s="48" t="n"/>
      <c r="N3110" s="48" t="n"/>
      <c r="O3110" s="51">
        <f>IF(AND(B3110="",G3110="",C3110="",D3110="",J3110=""),"",IF(B3110="","⚠ Falta fecha",IF(G3110="","⚠ Falta monto",IF(Q3110="","⚠ Falta cuenta",IF(ISNA(MATCH(Q3110,ctaNombre,0)),"⚠ Cuenta no registrada",IF(AND(OR(P3110="Gasto",P3110="Reembolso"),D3110=""),"⚠ Falta categoría",IF(AND(D3110&lt;&gt;"",E3110&lt;&gt;"",ISNA(MATCH(D3110&amp;"|"&amp;E3110,catClave,0))),"⚠ Subcategoría no corresponde",IF(AND(OR(P3110="Transferencia",P3110="Pago tarjeta"),K3110=""),"⚠ Falta cuenta destino",IF(AND(K3110&lt;&gt;"",P3110&lt;&gt;"Transferencia",P3110&lt;&gt;"Pago tarjeta"),"⚠ Destino solo aplica a transferencias",IF(AND(K3110&lt;&gt;"",K3110=Q3110),"⚠ Origen igual a destino",IF(AND(K3110&lt;&gt;"",ISNA(MATCH(K3110,ctaNombre,0))),"⚠ Destino no registrado",IF(AND(P3110="Pago tarjeta",AE3110&lt;&gt;"Tarjeta de crédito"),"⚠ El destino debe ser tarjeta de crédito",IF(AND(P3110="Gasto",E3110="Depósitos y retiros"),"⚠ Usa tipo Transferencia",IF(AND(P3110="Resultado trading",AD3110&lt;&gt;"Cuenta de trading"),"⚠ Usa una cuenta de trading",IF(AND(G3110&lt;=0,P3110&lt;&gt;"Ajuste",P3110&lt;&gt;"Resultado trading"),"⚠ El monto debe ser positivo","✓")))))))))))))))</f>
        <v/>
      </c>
      <c r="P3110" s="52">
        <f>IF(OR(B3110="",G3110=""),"",IF(C3110="","Gasto",C3110))</f>
        <v/>
      </c>
      <c r="Q3110" s="52">
        <f>IF(P3110="","",IF(J3110&lt;&gt;"",J3110,CuentaPred&amp;""))</f>
        <v/>
      </c>
      <c r="R3110" s="52">
        <f>IF(P3110="","",IF(ISNUMBER(I3110),I3110,TasaUSD))</f>
        <v/>
      </c>
      <c r="S3110" s="53">
        <f>IF(P3110="","",IF(H3110="USD",G3110*R3110,G3110))</f>
        <v/>
      </c>
      <c r="T3110" s="53">
        <f>IF(P3110="","",IF(H3110="USD",G3110,IF(R3110&gt;0,G3110/R3110,0)))</f>
        <v/>
      </c>
      <c r="U3110" s="53">
        <f>IF(P3110="","",IF(P3110="Gasto",S3110,IF(P3110="Reembolso",-S3110,0)))</f>
        <v/>
      </c>
      <c r="V3110" s="53">
        <f>IF(P3110="","",IF(P3110="Ingreso",S3110,0))</f>
        <v/>
      </c>
      <c r="W3110" s="53">
        <f>IF(P3110="","",IF(P3110="Resultado trading",S3110,0))</f>
        <v/>
      </c>
      <c r="X3110" s="52">
        <f>IF(OR(P3110="Gasto",P3110="Reembolso"),IF(M3110&lt;&gt;"",M3110,IFERROR(INDEX(catClasif,MATCH(D3110&amp;"|"&amp;E3110,catClave,0))&amp;"","Variable")),"")</f>
        <v/>
      </c>
      <c r="Y3110" s="52">
        <f>IF(P3110="","",IFERROR(INDEX(catGrupo,MATCH(D3110&amp;"|"&amp;E3110,catClave,0))&amp;"",""))</f>
        <v/>
      </c>
      <c r="Z3110" s="52">
        <f>IF(P3110="","",WEEKDAY(B3110,2))</f>
        <v/>
      </c>
      <c r="AA3110" s="52">
        <f>IF(P3110="","",IF(AND(P3110="Gasto",X3110="Variable",D3110&lt;&gt;catTrading,S3110&gt;0,S3110&lt;=Umbral),1,0))</f>
        <v/>
      </c>
      <c r="AB3110" s="52">
        <f>IF(OR(P3110="",Q3110=""),"",IFERROR(IF(INDEX(ctaVinc,MATCH(Q3110,ctaNombre,0))&amp;""&lt;&gt;"",INDEX(ctaVinc,MATCH(Q3110,ctaNombre,0))&amp;"",Q3110),Q3110))</f>
        <v/>
      </c>
      <c r="AC3110" s="52">
        <f>IF(OR(K3110="",AND(P3110&lt;&gt;"Transferencia",P3110&lt;&gt;"Pago tarjeta")),"",IFERROR(IF(INDEX(ctaVinc,MATCH(K3110,ctaNombre,0))&amp;""&lt;&gt;"",INDEX(ctaVinc,MATCH(K3110,ctaNombre,0))&amp;"",K3110),K3110))</f>
        <v/>
      </c>
      <c r="AD3110" s="52">
        <f>IF(AB3110="","",IFERROR(INDEX(ctaTipo,MATCH(AB3110,ctaNombre,0))&amp;"",""))</f>
        <v/>
      </c>
      <c r="AE3110" s="52">
        <f>IF(AC3110="","",IFERROR(INDEX(ctaTipo,MATCH(AC3110,ctaNombre,0))&amp;"",""))</f>
        <v/>
      </c>
      <c r="AF3110" s="53">
        <f>IF(OR(P3110="",AB3110=""),"",IF(OR(P3110="Gasto",P3110="Transferencia",P3110="Pago tarjeta"),-1,1)*IF(IFERROR(INDEX(ctaMoneda,MATCH(AB3110,ctaNombre,0))&amp;"","DOP")="USD",T3110,S3110))</f>
        <v/>
      </c>
      <c r="AG3110" s="53">
        <f>IF(AC3110="","",IF(IFERROR(INDEX(ctaMoneda,MATCH(AC3110,ctaNombre,0))&amp;"","DOP")="USD",T3110,S3110))</f>
        <v/>
      </c>
      <c r="AH3110" s="53">
        <f>IF(P3110="","",IF(AND(AD3110&lt;&gt;"",COUNTIFS(tcTipo,AD3110,tcLiq,"Sí")&gt;0),IF(OR(P3110="Gasto",P3110="Transferencia",P3110="Pago tarjeta"),-1,1)*S3110,0)+IF(AND(AE3110&lt;&gt;"",COUNTIFS(tcTipo,AE3110,tcLiq,"Sí")&gt;0),S3110,0))</f>
        <v/>
      </c>
      <c r="AI3110" s="52">
        <f>IF(OR(L3110="",P3110=""),"",IF(COUNTIFS(L$6:L3110,L3110,P$6:P3110,"?*")=1,MAX(AI$5:AI3109)+1,""))</f>
        <v/>
      </c>
    </row>
    <row r="3111">
      <c r="B3111" s="47" t="n"/>
      <c r="C3111" s="48" t="n"/>
      <c r="D3111" s="48" t="n"/>
      <c r="E3111" s="48" t="n"/>
      <c r="F3111" s="48" t="n"/>
      <c r="G3111" s="49" t="n"/>
      <c r="H3111" s="48" t="n"/>
      <c r="I3111" s="50" t="n"/>
      <c r="J3111" s="48" t="n"/>
      <c r="K3111" s="48" t="n"/>
      <c r="L3111" s="48" t="n"/>
      <c r="M3111" s="48" t="n"/>
      <c r="N3111" s="48" t="n"/>
      <c r="O3111" s="51">
        <f>IF(AND(B3111="",G3111="",C3111="",D3111="",J3111=""),"",IF(B3111="","⚠ Falta fecha",IF(G3111="","⚠ Falta monto",IF(Q3111="","⚠ Falta cuenta",IF(ISNA(MATCH(Q3111,ctaNombre,0)),"⚠ Cuenta no registrada",IF(AND(OR(P3111="Gasto",P3111="Reembolso"),D3111=""),"⚠ Falta categoría",IF(AND(D3111&lt;&gt;"",E3111&lt;&gt;"",ISNA(MATCH(D3111&amp;"|"&amp;E3111,catClave,0))),"⚠ Subcategoría no corresponde",IF(AND(OR(P3111="Transferencia",P3111="Pago tarjeta"),K3111=""),"⚠ Falta cuenta destino",IF(AND(K3111&lt;&gt;"",P3111&lt;&gt;"Transferencia",P3111&lt;&gt;"Pago tarjeta"),"⚠ Destino solo aplica a transferencias",IF(AND(K3111&lt;&gt;"",K3111=Q3111),"⚠ Origen igual a destino",IF(AND(K3111&lt;&gt;"",ISNA(MATCH(K3111,ctaNombre,0))),"⚠ Destino no registrado",IF(AND(P3111="Pago tarjeta",AE3111&lt;&gt;"Tarjeta de crédito"),"⚠ El destino debe ser tarjeta de crédito",IF(AND(P3111="Gasto",E3111="Depósitos y retiros"),"⚠ Usa tipo Transferencia",IF(AND(P3111="Resultado trading",AD3111&lt;&gt;"Cuenta de trading"),"⚠ Usa una cuenta de trading",IF(AND(G3111&lt;=0,P3111&lt;&gt;"Ajuste",P3111&lt;&gt;"Resultado trading"),"⚠ El monto debe ser positivo","✓")))))))))))))))</f>
        <v/>
      </c>
      <c r="P3111" s="52">
        <f>IF(OR(B3111="",G3111=""),"",IF(C3111="","Gasto",C3111))</f>
        <v/>
      </c>
      <c r="Q3111" s="52">
        <f>IF(P3111="","",IF(J3111&lt;&gt;"",J3111,CuentaPred&amp;""))</f>
        <v/>
      </c>
      <c r="R3111" s="52">
        <f>IF(P3111="","",IF(ISNUMBER(I3111),I3111,TasaUSD))</f>
        <v/>
      </c>
      <c r="S3111" s="53">
        <f>IF(P3111="","",IF(H3111="USD",G3111*R3111,G3111))</f>
        <v/>
      </c>
      <c r="T3111" s="53">
        <f>IF(P3111="","",IF(H3111="USD",G3111,IF(R3111&gt;0,G3111/R3111,0)))</f>
        <v/>
      </c>
      <c r="U3111" s="53">
        <f>IF(P3111="","",IF(P3111="Gasto",S3111,IF(P3111="Reembolso",-S3111,0)))</f>
        <v/>
      </c>
      <c r="V3111" s="53">
        <f>IF(P3111="","",IF(P3111="Ingreso",S3111,0))</f>
        <v/>
      </c>
      <c r="W3111" s="53">
        <f>IF(P3111="","",IF(P3111="Resultado trading",S3111,0))</f>
        <v/>
      </c>
      <c r="X3111" s="52">
        <f>IF(OR(P3111="Gasto",P3111="Reembolso"),IF(M3111&lt;&gt;"",M3111,IFERROR(INDEX(catClasif,MATCH(D3111&amp;"|"&amp;E3111,catClave,0))&amp;"","Variable")),"")</f>
        <v/>
      </c>
      <c r="Y3111" s="52">
        <f>IF(P3111="","",IFERROR(INDEX(catGrupo,MATCH(D3111&amp;"|"&amp;E3111,catClave,0))&amp;"",""))</f>
        <v/>
      </c>
      <c r="Z3111" s="52">
        <f>IF(P3111="","",WEEKDAY(B3111,2))</f>
        <v/>
      </c>
      <c r="AA3111" s="52">
        <f>IF(P3111="","",IF(AND(P3111="Gasto",X3111="Variable",D3111&lt;&gt;catTrading,S3111&gt;0,S3111&lt;=Umbral),1,0))</f>
        <v/>
      </c>
      <c r="AB3111" s="52">
        <f>IF(OR(P3111="",Q3111=""),"",IFERROR(IF(INDEX(ctaVinc,MATCH(Q3111,ctaNombre,0))&amp;""&lt;&gt;"",INDEX(ctaVinc,MATCH(Q3111,ctaNombre,0))&amp;"",Q3111),Q3111))</f>
        <v/>
      </c>
      <c r="AC3111" s="52">
        <f>IF(OR(K3111="",AND(P3111&lt;&gt;"Transferencia",P3111&lt;&gt;"Pago tarjeta")),"",IFERROR(IF(INDEX(ctaVinc,MATCH(K3111,ctaNombre,0))&amp;""&lt;&gt;"",INDEX(ctaVinc,MATCH(K3111,ctaNombre,0))&amp;"",K3111),K3111))</f>
        <v/>
      </c>
      <c r="AD3111" s="52">
        <f>IF(AB3111="","",IFERROR(INDEX(ctaTipo,MATCH(AB3111,ctaNombre,0))&amp;"",""))</f>
        <v/>
      </c>
      <c r="AE3111" s="52">
        <f>IF(AC3111="","",IFERROR(INDEX(ctaTipo,MATCH(AC3111,ctaNombre,0))&amp;"",""))</f>
        <v/>
      </c>
      <c r="AF3111" s="53">
        <f>IF(OR(P3111="",AB3111=""),"",IF(OR(P3111="Gasto",P3111="Transferencia",P3111="Pago tarjeta"),-1,1)*IF(IFERROR(INDEX(ctaMoneda,MATCH(AB3111,ctaNombre,0))&amp;"","DOP")="USD",T3111,S3111))</f>
        <v/>
      </c>
      <c r="AG3111" s="53">
        <f>IF(AC3111="","",IF(IFERROR(INDEX(ctaMoneda,MATCH(AC3111,ctaNombre,0))&amp;"","DOP")="USD",T3111,S3111))</f>
        <v/>
      </c>
      <c r="AH3111" s="53">
        <f>IF(P3111="","",IF(AND(AD3111&lt;&gt;"",COUNTIFS(tcTipo,AD3111,tcLiq,"Sí")&gt;0),IF(OR(P3111="Gasto",P3111="Transferencia",P3111="Pago tarjeta"),-1,1)*S3111,0)+IF(AND(AE3111&lt;&gt;"",COUNTIFS(tcTipo,AE3111,tcLiq,"Sí")&gt;0),S3111,0))</f>
        <v/>
      </c>
      <c r="AI3111" s="52">
        <f>IF(OR(L3111="",P3111=""),"",IF(COUNTIFS(L$6:L3111,L3111,P$6:P3111,"?*")=1,MAX(AI$5:AI3110)+1,""))</f>
        <v/>
      </c>
    </row>
    <row r="3112">
      <c r="B3112" s="47" t="n"/>
      <c r="C3112" s="48" t="n"/>
      <c r="D3112" s="48" t="n"/>
      <c r="E3112" s="48" t="n"/>
      <c r="F3112" s="48" t="n"/>
      <c r="G3112" s="49" t="n"/>
      <c r="H3112" s="48" t="n"/>
      <c r="I3112" s="50" t="n"/>
      <c r="J3112" s="48" t="n"/>
      <c r="K3112" s="48" t="n"/>
      <c r="L3112" s="48" t="n"/>
      <c r="M3112" s="48" t="n"/>
      <c r="N3112" s="48" t="n"/>
      <c r="O3112" s="51">
        <f>IF(AND(B3112="",G3112="",C3112="",D3112="",J3112=""),"",IF(B3112="","⚠ Falta fecha",IF(G3112="","⚠ Falta monto",IF(Q3112="","⚠ Falta cuenta",IF(ISNA(MATCH(Q3112,ctaNombre,0)),"⚠ Cuenta no registrada",IF(AND(OR(P3112="Gasto",P3112="Reembolso"),D3112=""),"⚠ Falta categoría",IF(AND(D3112&lt;&gt;"",E3112&lt;&gt;"",ISNA(MATCH(D3112&amp;"|"&amp;E3112,catClave,0))),"⚠ Subcategoría no corresponde",IF(AND(OR(P3112="Transferencia",P3112="Pago tarjeta"),K3112=""),"⚠ Falta cuenta destino",IF(AND(K3112&lt;&gt;"",P3112&lt;&gt;"Transferencia",P3112&lt;&gt;"Pago tarjeta"),"⚠ Destino solo aplica a transferencias",IF(AND(K3112&lt;&gt;"",K3112=Q3112),"⚠ Origen igual a destino",IF(AND(K3112&lt;&gt;"",ISNA(MATCH(K3112,ctaNombre,0))),"⚠ Destino no registrado",IF(AND(P3112="Pago tarjeta",AE3112&lt;&gt;"Tarjeta de crédito"),"⚠ El destino debe ser tarjeta de crédito",IF(AND(P3112="Gasto",E3112="Depósitos y retiros"),"⚠ Usa tipo Transferencia",IF(AND(P3112="Resultado trading",AD3112&lt;&gt;"Cuenta de trading"),"⚠ Usa una cuenta de trading",IF(AND(G3112&lt;=0,P3112&lt;&gt;"Ajuste",P3112&lt;&gt;"Resultado trading"),"⚠ El monto debe ser positivo","✓")))))))))))))))</f>
        <v/>
      </c>
      <c r="P3112" s="52">
        <f>IF(OR(B3112="",G3112=""),"",IF(C3112="","Gasto",C3112))</f>
        <v/>
      </c>
      <c r="Q3112" s="52">
        <f>IF(P3112="","",IF(J3112&lt;&gt;"",J3112,CuentaPred&amp;""))</f>
        <v/>
      </c>
      <c r="R3112" s="52">
        <f>IF(P3112="","",IF(ISNUMBER(I3112),I3112,TasaUSD))</f>
        <v/>
      </c>
      <c r="S3112" s="53">
        <f>IF(P3112="","",IF(H3112="USD",G3112*R3112,G3112))</f>
        <v/>
      </c>
      <c r="T3112" s="53">
        <f>IF(P3112="","",IF(H3112="USD",G3112,IF(R3112&gt;0,G3112/R3112,0)))</f>
        <v/>
      </c>
      <c r="U3112" s="53">
        <f>IF(P3112="","",IF(P3112="Gasto",S3112,IF(P3112="Reembolso",-S3112,0)))</f>
        <v/>
      </c>
      <c r="V3112" s="53">
        <f>IF(P3112="","",IF(P3112="Ingreso",S3112,0))</f>
        <v/>
      </c>
      <c r="W3112" s="53">
        <f>IF(P3112="","",IF(P3112="Resultado trading",S3112,0))</f>
        <v/>
      </c>
      <c r="X3112" s="52">
        <f>IF(OR(P3112="Gasto",P3112="Reembolso"),IF(M3112&lt;&gt;"",M3112,IFERROR(INDEX(catClasif,MATCH(D3112&amp;"|"&amp;E3112,catClave,0))&amp;"","Variable")),"")</f>
        <v/>
      </c>
      <c r="Y3112" s="52">
        <f>IF(P3112="","",IFERROR(INDEX(catGrupo,MATCH(D3112&amp;"|"&amp;E3112,catClave,0))&amp;"",""))</f>
        <v/>
      </c>
      <c r="Z3112" s="52">
        <f>IF(P3112="","",WEEKDAY(B3112,2))</f>
        <v/>
      </c>
      <c r="AA3112" s="52">
        <f>IF(P3112="","",IF(AND(P3112="Gasto",X3112="Variable",D3112&lt;&gt;catTrading,S3112&gt;0,S3112&lt;=Umbral),1,0))</f>
        <v/>
      </c>
      <c r="AB3112" s="52">
        <f>IF(OR(P3112="",Q3112=""),"",IFERROR(IF(INDEX(ctaVinc,MATCH(Q3112,ctaNombre,0))&amp;""&lt;&gt;"",INDEX(ctaVinc,MATCH(Q3112,ctaNombre,0))&amp;"",Q3112),Q3112))</f>
        <v/>
      </c>
      <c r="AC3112" s="52">
        <f>IF(OR(K3112="",AND(P3112&lt;&gt;"Transferencia",P3112&lt;&gt;"Pago tarjeta")),"",IFERROR(IF(INDEX(ctaVinc,MATCH(K3112,ctaNombre,0))&amp;""&lt;&gt;"",INDEX(ctaVinc,MATCH(K3112,ctaNombre,0))&amp;"",K3112),K3112))</f>
        <v/>
      </c>
      <c r="AD3112" s="52">
        <f>IF(AB3112="","",IFERROR(INDEX(ctaTipo,MATCH(AB3112,ctaNombre,0))&amp;"",""))</f>
        <v/>
      </c>
      <c r="AE3112" s="52">
        <f>IF(AC3112="","",IFERROR(INDEX(ctaTipo,MATCH(AC3112,ctaNombre,0))&amp;"",""))</f>
        <v/>
      </c>
      <c r="AF3112" s="53">
        <f>IF(OR(P3112="",AB3112=""),"",IF(OR(P3112="Gasto",P3112="Transferencia",P3112="Pago tarjeta"),-1,1)*IF(IFERROR(INDEX(ctaMoneda,MATCH(AB3112,ctaNombre,0))&amp;"","DOP")="USD",T3112,S3112))</f>
        <v/>
      </c>
      <c r="AG3112" s="53">
        <f>IF(AC3112="","",IF(IFERROR(INDEX(ctaMoneda,MATCH(AC3112,ctaNombre,0))&amp;"","DOP")="USD",T3112,S3112))</f>
        <v/>
      </c>
      <c r="AH3112" s="53">
        <f>IF(P3112="","",IF(AND(AD3112&lt;&gt;"",COUNTIFS(tcTipo,AD3112,tcLiq,"Sí")&gt;0),IF(OR(P3112="Gasto",P3112="Transferencia",P3112="Pago tarjeta"),-1,1)*S3112,0)+IF(AND(AE3112&lt;&gt;"",COUNTIFS(tcTipo,AE3112,tcLiq,"Sí")&gt;0),S3112,0))</f>
        <v/>
      </c>
      <c r="AI3112" s="52">
        <f>IF(OR(L3112="",P3112=""),"",IF(COUNTIFS(L$6:L3112,L3112,P$6:P3112,"?*")=1,MAX(AI$5:AI3111)+1,""))</f>
        <v/>
      </c>
    </row>
    <row r="3113">
      <c r="B3113" s="47" t="n"/>
      <c r="C3113" s="48" t="n"/>
      <c r="D3113" s="48" t="n"/>
      <c r="E3113" s="48" t="n"/>
      <c r="F3113" s="48" t="n"/>
      <c r="G3113" s="49" t="n"/>
      <c r="H3113" s="48" t="n"/>
      <c r="I3113" s="50" t="n"/>
      <c r="J3113" s="48" t="n"/>
      <c r="K3113" s="48" t="n"/>
      <c r="L3113" s="48" t="n"/>
      <c r="M3113" s="48" t="n"/>
      <c r="N3113" s="48" t="n"/>
      <c r="O3113" s="51">
        <f>IF(AND(B3113="",G3113="",C3113="",D3113="",J3113=""),"",IF(B3113="","⚠ Falta fecha",IF(G3113="","⚠ Falta monto",IF(Q3113="","⚠ Falta cuenta",IF(ISNA(MATCH(Q3113,ctaNombre,0)),"⚠ Cuenta no registrada",IF(AND(OR(P3113="Gasto",P3113="Reembolso"),D3113=""),"⚠ Falta categoría",IF(AND(D3113&lt;&gt;"",E3113&lt;&gt;"",ISNA(MATCH(D3113&amp;"|"&amp;E3113,catClave,0))),"⚠ Subcategoría no corresponde",IF(AND(OR(P3113="Transferencia",P3113="Pago tarjeta"),K3113=""),"⚠ Falta cuenta destino",IF(AND(K3113&lt;&gt;"",P3113&lt;&gt;"Transferencia",P3113&lt;&gt;"Pago tarjeta"),"⚠ Destino solo aplica a transferencias",IF(AND(K3113&lt;&gt;"",K3113=Q3113),"⚠ Origen igual a destino",IF(AND(K3113&lt;&gt;"",ISNA(MATCH(K3113,ctaNombre,0))),"⚠ Destino no registrado",IF(AND(P3113="Pago tarjeta",AE3113&lt;&gt;"Tarjeta de crédito"),"⚠ El destino debe ser tarjeta de crédito",IF(AND(P3113="Gasto",E3113="Depósitos y retiros"),"⚠ Usa tipo Transferencia",IF(AND(P3113="Resultado trading",AD3113&lt;&gt;"Cuenta de trading"),"⚠ Usa una cuenta de trading",IF(AND(G3113&lt;=0,P3113&lt;&gt;"Ajuste",P3113&lt;&gt;"Resultado trading"),"⚠ El monto debe ser positivo","✓")))))))))))))))</f>
        <v/>
      </c>
      <c r="P3113" s="52">
        <f>IF(OR(B3113="",G3113=""),"",IF(C3113="","Gasto",C3113))</f>
        <v/>
      </c>
      <c r="Q3113" s="52">
        <f>IF(P3113="","",IF(J3113&lt;&gt;"",J3113,CuentaPred&amp;""))</f>
        <v/>
      </c>
      <c r="R3113" s="52">
        <f>IF(P3113="","",IF(ISNUMBER(I3113),I3113,TasaUSD))</f>
        <v/>
      </c>
      <c r="S3113" s="53">
        <f>IF(P3113="","",IF(H3113="USD",G3113*R3113,G3113))</f>
        <v/>
      </c>
      <c r="T3113" s="53">
        <f>IF(P3113="","",IF(H3113="USD",G3113,IF(R3113&gt;0,G3113/R3113,0)))</f>
        <v/>
      </c>
      <c r="U3113" s="53">
        <f>IF(P3113="","",IF(P3113="Gasto",S3113,IF(P3113="Reembolso",-S3113,0)))</f>
        <v/>
      </c>
      <c r="V3113" s="53">
        <f>IF(P3113="","",IF(P3113="Ingreso",S3113,0))</f>
        <v/>
      </c>
      <c r="W3113" s="53">
        <f>IF(P3113="","",IF(P3113="Resultado trading",S3113,0))</f>
        <v/>
      </c>
      <c r="X3113" s="52">
        <f>IF(OR(P3113="Gasto",P3113="Reembolso"),IF(M3113&lt;&gt;"",M3113,IFERROR(INDEX(catClasif,MATCH(D3113&amp;"|"&amp;E3113,catClave,0))&amp;"","Variable")),"")</f>
        <v/>
      </c>
      <c r="Y3113" s="52">
        <f>IF(P3113="","",IFERROR(INDEX(catGrupo,MATCH(D3113&amp;"|"&amp;E3113,catClave,0))&amp;"",""))</f>
        <v/>
      </c>
      <c r="Z3113" s="52">
        <f>IF(P3113="","",WEEKDAY(B3113,2))</f>
        <v/>
      </c>
      <c r="AA3113" s="52">
        <f>IF(P3113="","",IF(AND(P3113="Gasto",X3113="Variable",D3113&lt;&gt;catTrading,S3113&gt;0,S3113&lt;=Umbral),1,0))</f>
        <v/>
      </c>
      <c r="AB3113" s="52">
        <f>IF(OR(P3113="",Q3113=""),"",IFERROR(IF(INDEX(ctaVinc,MATCH(Q3113,ctaNombre,0))&amp;""&lt;&gt;"",INDEX(ctaVinc,MATCH(Q3113,ctaNombre,0))&amp;"",Q3113),Q3113))</f>
        <v/>
      </c>
      <c r="AC3113" s="52">
        <f>IF(OR(K3113="",AND(P3113&lt;&gt;"Transferencia",P3113&lt;&gt;"Pago tarjeta")),"",IFERROR(IF(INDEX(ctaVinc,MATCH(K3113,ctaNombre,0))&amp;""&lt;&gt;"",INDEX(ctaVinc,MATCH(K3113,ctaNombre,0))&amp;"",K3113),K3113))</f>
        <v/>
      </c>
      <c r="AD3113" s="52">
        <f>IF(AB3113="","",IFERROR(INDEX(ctaTipo,MATCH(AB3113,ctaNombre,0))&amp;"",""))</f>
        <v/>
      </c>
      <c r="AE3113" s="52">
        <f>IF(AC3113="","",IFERROR(INDEX(ctaTipo,MATCH(AC3113,ctaNombre,0))&amp;"",""))</f>
        <v/>
      </c>
      <c r="AF3113" s="53">
        <f>IF(OR(P3113="",AB3113=""),"",IF(OR(P3113="Gasto",P3113="Transferencia",P3113="Pago tarjeta"),-1,1)*IF(IFERROR(INDEX(ctaMoneda,MATCH(AB3113,ctaNombre,0))&amp;"","DOP")="USD",T3113,S3113))</f>
        <v/>
      </c>
      <c r="AG3113" s="53">
        <f>IF(AC3113="","",IF(IFERROR(INDEX(ctaMoneda,MATCH(AC3113,ctaNombre,0))&amp;"","DOP")="USD",T3113,S3113))</f>
        <v/>
      </c>
      <c r="AH3113" s="53">
        <f>IF(P3113="","",IF(AND(AD3113&lt;&gt;"",COUNTIFS(tcTipo,AD3113,tcLiq,"Sí")&gt;0),IF(OR(P3113="Gasto",P3113="Transferencia",P3113="Pago tarjeta"),-1,1)*S3113,0)+IF(AND(AE3113&lt;&gt;"",COUNTIFS(tcTipo,AE3113,tcLiq,"Sí")&gt;0),S3113,0))</f>
        <v/>
      </c>
      <c r="AI3113" s="52">
        <f>IF(OR(L3113="",P3113=""),"",IF(COUNTIFS(L$6:L3113,L3113,P$6:P3113,"?*")=1,MAX(AI$5:AI3112)+1,""))</f>
        <v/>
      </c>
    </row>
    <row r="3114">
      <c r="B3114" s="47" t="n"/>
      <c r="C3114" s="48" t="n"/>
      <c r="D3114" s="48" t="n"/>
      <c r="E3114" s="48" t="n"/>
      <c r="F3114" s="48" t="n"/>
      <c r="G3114" s="49" t="n"/>
      <c r="H3114" s="48" t="n"/>
      <c r="I3114" s="50" t="n"/>
      <c r="J3114" s="48" t="n"/>
      <c r="K3114" s="48" t="n"/>
      <c r="L3114" s="48" t="n"/>
      <c r="M3114" s="48" t="n"/>
      <c r="N3114" s="48" t="n"/>
      <c r="O3114" s="51">
        <f>IF(AND(B3114="",G3114="",C3114="",D3114="",J3114=""),"",IF(B3114="","⚠ Falta fecha",IF(G3114="","⚠ Falta monto",IF(Q3114="","⚠ Falta cuenta",IF(ISNA(MATCH(Q3114,ctaNombre,0)),"⚠ Cuenta no registrada",IF(AND(OR(P3114="Gasto",P3114="Reembolso"),D3114=""),"⚠ Falta categoría",IF(AND(D3114&lt;&gt;"",E3114&lt;&gt;"",ISNA(MATCH(D3114&amp;"|"&amp;E3114,catClave,0))),"⚠ Subcategoría no corresponde",IF(AND(OR(P3114="Transferencia",P3114="Pago tarjeta"),K3114=""),"⚠ Falta cuenta destino",IF(AND(K3114&lt;&gt;"",P3114&lt;&gt;"Transferencia",P3114&lt;&gt;"Pago tarjeta"),"⚠ Destino solo aplica a transferencias",IF(AND(K3114&lt;&gt;"",K3114=Q3114),"⚠ Origen igual a destino",IF(AND(K3114&lt;&gt;"",ISNA(MATCH(K3114,ctaNombre,0))),"⚠ Destino no registrado",IF(AND(P3114="Pago tarjeta",AE3114&lt;&gt;"Tarjeta de crédito"),"⚠ El destino debe ser tarjeta de crédito",IF(AND(P3114="Gasto",E3114="Depósitos y retiros"),"⚠ Usa tipo Transferencia",IF(AND(P3114="Resultado trading",AD3114&lt;&gt;"Cuenta de trading"),"⚠ Usa una cuenta de trading",IF(AND(G3114&lt;=0,P3114&lt;&gt;"Ajuste",P3114&lt;&gt;"Resultado trading"),"⚠ El monto debe ser positivo","✓")))))))))))))))</f>
        <v/>
      </c>
      <c r="P3114" s="52">
        <f>IF(OR(B3114="",G3114=""),"",IF(C3114="","Gasto",C3114))</f>
        <v/>
      </c>
      <c r="Q3114" s="52">
        <f>IF(P3114="","",IF(J3114&lt;&gt;"",J3114,CuentaPred&amp;""))</f>
        <v/>
      </c>
      <c r="R3114" s="52">
        <f>IF(P3114="","",IF(ISNUMBER(I3114),I3114,TasaUSD))</f>
        <v/>
      </c>
      <c r="S3114" s="53">
        <f>IF(P3114="","",IF(H3114="USD",G3114*R3114,G3114))</f>
        <v/>
      </c>
      <c r="T3114" s="53">
        <f>IF(P3114="","",IF(H3114="USD",G3114,IF(R3114&gt;0,G3114/R3114,0)))</f>
        <v/>
      </c>
      <c r="U3114" s="53">
        <f>IF(P3114="","",IF(P3114="Gasto",S3114,IF(P3114="Reembolso",-S3114,0)))</f>
        <v/>
      </c>
      <c r="V3114" s="53">
        <f>IF(P3114="","",IF(P3114="Ingreso",S3114,0))</f>
        <v/>
      </c>
      <c r="W3114" s="53">
        <f>IF(P3114="","",IF(P3114="Resultado trading",S3114,0))</f>
        <v/>
      </c>
      <c r="X3114" s="52">
        <f>IF(OR(P3114="Gasto",P3114="Reembolso"),IF(M3114&lt;&gt;"",M3114,IFERROR(INDEX(catClasif,MATCH(D3114&amp;"|"&amp;E3114,catClave,0))&amp;"","Variable")),"")</f>
        <v/>
      </c>
      <c r="Y3114" s="52">
        <f>IF(P3114="","",IFERROR(INDEX(catGrupo,MATCH(D3114&amp;"|"&amp;E3114,catClave,0))&amp;"",""))</f>
        <v/>
      </c>
      <c r="Z3114" s="52">
        <f>IF(P3114="","",WEEKDAY(B3114,2))</f>
        <v/>
      </c>
      <c r="AA3114" s="52">
        <f>IF(P3114="","",IF(AND(P3114="Gasto",X3114="Variable",D3114&lt;&gt;catTrading,S3114&gt;0,S3114&lt;=Umbral),1,0))</f>
        <v/>
      </c>
      <c r="AB3114" s="52">
        <f>IF(OR(P3114="",Q3114=""),"",IFERROR(IF(INDEX(ctaVinc,MATCH(Q3114,ctaNombre,0))&amp;""&lt;&gt;"",INDEX(ctaVinc,MATCH(Q3114,ctaNombre,0))&amp;"",Q3114),Q3114))</f>
        <v/>
      </c>
      <c r="AC3114" s="52">
        <f>IF(OR(K3114="",AND(P3114&lt;&gt;"Transferencia",P3114&lt;&gt;"Pago tarjeta")),"",IFERROR(IF(INDEX(ctaVinc,MATCH(K3114,ctaNombre,0))&amp;""&lt;&gt;"",INDEX(ctaVinc,MATCH(K3114,ctaNombre,0))&amp;"",K3114),K3114))</f>
        <v/>
      </c>
      <c r="AD3114" s="52">
        <f>IF(AB3114="","",IFERROR(INDEX(ctaTipo,MATCH(AB3114,ctaNombre,0))&amp;"",""))</f>
        <v/>
      </c>
      <c r="AE3114" s="52">
        <f>IF(AC3114="","",IFERROR(INDEX(ctaTipo,MATCH(AC3114,ctaNombre,0))&amp;"",""))</f>
        <v/>
      </c>
      <c r="AF3114" s="53">
        <f>IF(OR(P3114="",AB3114=""),"",IF(OR(P3114="Gasto",P3114="Transferencia",P3114="Pago tarjeta"),-1,1)*IF(IFERROR(INDEX(ctaMoneda,MATCH(AB3114,ctaNombre,0))&amp;"","DOP")="USD",T3114,S3114))</f>
        <v/>
      </c>
      <c r="AG3114" s="53">
        <f>IF(AC3114="","",IF(IFERROR(INDEX(ctaMoneda,MATCH(AC3114,ctaNombre,0))&amp;"","DOP")="USD",T3114,S3114))</f>
        <v/>
      </c>
      <c r="AH3114" s="53">
        <f>IF(P3114="","",IF(AND(AD3114&lt;&gt;"",COUNTIFS(tcTipo,AD3114,tcLiq,"Sí")&gt;0),IF(OR(P3114="Gasto",P3114="Transferencia",P3114="Pago tarjeta"),-1,1)*S3114,0)+IF(AND(AE3114&lt;&gt;"",COUNTIFS(tcTipo,AE3114,tcLiq,"Sí")&gt;0),S3114,0))</f>
        <v/>
      </c>
      <c r="AI3114" s="52">
        <f>IF(OR(L3114="",P3114=""),"",IF(COUNTIFS(L$6:L3114,L3114,P$6:P3114,"?*")=1,MAX(AI$5:AI3113)+1,""))</f>
        <v/>
      </c>
    </row>
    <row r="3115">
      <c r="B3115" s="47" t="n"/>
      <c r="C3115" s="48" t="n"/>
      <c r="D3115" s="48" t="n"/>
      <c r="E3115" s="48" t="n"/>
      <c r="F3115" s="48" t="n"/>
      <c r="G3115" s="49" t="n"/>
      <c r="H3115" s="48" t="n"/>
      <c r="I3115" s="50" t="n"/>
      <c r="J3115" s="48" t="n"/>
      <c r="K3115" s="48" t="n"/>
      <c r="L3115" s="48" t="n"/>
      <c r="M3115" s="48" t="n"/>
      <c r="N3115" s="48" t="n"/>
      <c r="O3115" s="51">
        <f>IF(AND(B3115="",G3115="",C3115="",D3115="",J3115=""),"",IF(B3115="","⚠ Falta fecha",IF(G3115="","⚠ Falta monto",IF(Q3115="","⚠ Falta cuenta",IF(ISNA(MATCH(Q3115,ctaNombre,0)),"⚠ Cuenta no registrada",IF(AND(OR(P3115="Gasto",P3115="Reembolso"),D3115=""),"⚠ Falta categoría",IF(AND(D3115&lt;&gt;"",E3115&lt;&gt;"",ISNA(MATCH(D3115&amp;"|"&amp;E3115,catClave,0))),"⚠ Subcategoría no corresponde",IF(AND(OR(P3115="Transferencia",P3115="Pago tarjeta"),K3115=""),"⚠ Falta cuenta destino",IF(AND(K3115&lt;&gt;"",P3115&lt;&gt;"Transferencia",P3115&lt;&gt;"Pago tarjeta"),"⚠ Destino solo aplica a transferencias",IF(AND(K3115&lt;&gt;"",K3115=Q3115),"⚠ Origen igual a destino",IF(AND(K3115&lt;&gt;"",ISNA(MATCH(K3115,ctaNombre,0))),"⚠ Destino no registrado",IF(AND(P3115="Pago tarjeta",AE3115&lt;&gt;"Tarjeta de crédito"),"⚠ El destino debe ser tarjeta de crédito",IF(AND(P3115="Gasto",E3115="Depósitos y retiros"),"⚠ Usa tipo Transferencia",IF(AND(P3115="Resultado trading",AD3115&lt;&gt;"Cuenta de trading"),"⚠ Usa una cuenta de trading",IF(AND(G3115&lt;=0,P3115&lt;&gt;"Ajuste",P3115&lt;&gt;"Resultado trading"),"⚠ El monto debe ser positivo","✓")))))))))))))))</f>
        <v/>
      </c>
      <c r="P3115" s="52">
        <f>IF(OR(B3115="",G3115=""),"",IF(C3115="","Gasto",C3115))</f>
        <v/>
      </c>
      <c r="Q3115" s="52">
        <f>IF(P3115="","",IF(J3115&lt;&gt;"",J3115,CuentaPred&amp;""))</f>
        <v/>
      </c>
      <c r="R3115" s="52">
        <f>IF(P3115="","",IF(ISNUMBER(I3115),I3115,TasaUSD))</f>
        <v/>
      </c>
      <c r="S3115" s="53">
        <f>IF(P3115="","",IF(H3115="USD",G3115*R3115,G3115))</f>
        <v/>
      </c>
      <c r="T3115" s="53">
        <f>IF(P3115="","",IF(H3115="USD",G3115,IF(R3115&gt;0,G3115/R3115,0)))</f>
        <v/>
      </c>
      <c r="U3115" s="53">
        <f>IF(P3115="","",IF(P3115="Gasto",S3115,IF(P3115="Reembolso",-S3115,0)))</f>
        <v/>
      </c>
      <c r="V3115" s="53">
        <f>IF(P3115="","",IF(P3115="Ingreso",S3115,0))</f>
        <v/>
      </c>
      <c r="W3115" s="53">
        <f>IF(P3115="","",IF(P3115="Resultado trading",S3115,0))</f>
        <v/>
      </c>
      <c r="X3115" s="52">
        <f>IF(OR(P3115="Gasto",P3115="Reembolso"),IF(M3115&lt;&gt;"",M3115,IFERROR(INDEX(catClasif,MATCH(D3115&amp;"|"&amp;E3115,catClave,0))&amp;"","Variable")),"")</f>
        <v/>
      </c>
      <c r="Y3115" s="52">
        <f>IF(P3115="","",IFERROR(INDEX(catGrupo,MATCH(D3115&amp;"|"&amp;E3115,catClave,0))&amp;"",""))</f>
        <v/>
      </c>
      <c r="Z3115" s="52">
        <f>IF(P3115="","",WEEKDAY(B3115,2))</f>
        <v/>
      </c>
      <c r="AA3115" s="52">
        <f>IF(P3115="","",IF(AND(P3115="Gasto",X3115="Variable",D3115&lt;&gt;catTrading,S3115&gt;0,S3115&lt;=Umbral),1,0))</f>
        <v/>
      </c>
      <c r="AB3115" s="52">
        <f>IF(OR(P3115="",Q3115=""),"",IFERROR(IF(INDEX(ctaVinc,MATCH(Q3115,ctaNombre,0))&amp;""&lt;&gt;"",INDEX(ctaVinc,MATCH(Q3115,ctaNombre,0))&amp;"",Q3115),Q3115))</f>
        <v/>
      </c>
      <c r="AC3115" s="52">
        <f>IF(OR(K3115="",AND(P3115&lt;&gt;"Transferencia",P3115&lt;&gt;"Pago tarjeta")),"",IFERROR(IF(INDEX(ctaVinc,MATCH(K3115,ctaNombre,0))&amp;""&lt;&gt;"",INDEX(ctaVinc,MATCH(K3115,ctaNombre,0))&amp;"",K3115),K3115))</f>
        <v/>
      </c>
      <c r="AD3115" s="52">
        <f>IF(AB3115="","",IFERROR(INDEX(ctaTipo,MATCH(AB3115,ctaNombre,0))&amp;"",""))</f>
        <v/>
      </c>
      <c r="AE3115" s="52">
        <f>IF(AC3115="","",IFERROR(INDEX(ctaTipo,MATCH(AC3115,ctaNombre,0))&amp;"",""))</f>
        <v/>
      </c>
      <c r="AF3115" s="53">
        <f>IF(OR(P3115="",AB3115=""),"",IF(OR(P3115="Gasto",P3115="Transferencia",P3115="Pago tarjeta"),-1,1)*IF(IFERROR(INDEX(ctaMoneda,MATCH(AB3115,ctaNombre,0))&amp;"","DOP")="USD",T3115,S3115))</f>
        <v/>
      </c>
      <c r="AG3115" s="53">
        <f>IF(AC3115="","",IF(IFERROR(INDEX(ctaMoneda,MATCH(AC3115,ctaNombre,0))&amp;"","DOP")="USD",T3115,S3115))</f>
        <v/>
      </c>
      <c r="AH3115" s="53">
        <f>IF(P3115="","",IF(AND(AD3115&lt;&gt;"",COUNTIFS(tcTipo,AD3115,tcLiq,"Sí")&gt;0),IF(OR(P3115="Gasto",P3115="Transferencia",P3115="Pago tarjeta"),-1,1)*S3115,0)+IF(AND(AE3115&lt;&gt;"",COUNTIFS(tcTipo,AE3115,tcLiq,"Sí")&gt;0),S3115,0))</f>
        <v/>
      </c>
      <c r="AI3115" s="52">
        <f>IF(OR(L3115="",P3115=""),"",IF(COUNTIFS(L$6:L3115,L3115,P$6:P3115,"?*")=1,MAX(AI$5:AI3114)+1,""))</f>
        <v/>
      </c>
    </row>
    <row r="3116">
      <c r="B3116" s="47" t="n"/>
      <c r="C3116" s="48" t="n"/>
      <c r="D3116" s="48" t="n"/>
      <c r="E3116" s="48" t="n"/>
      <c r="F3116" s="48" t="n"/>
      <c r="G3116" s="49" t="n"/>
      <c r="H3116" s="48" t="n"/>
      <c r="I3116" s="50" t="n"/>
      <c r="J3116" s="48" t="n"/>
      <c r="K3116" s="48" t="n"/>
      <c r="L3116" s="48" t="n"/>
      <c r="M3116" s="48" t="n"/>
      <c r="N3116" s="48" t="n"/>
      <c r="O3116" s="51">
        <f>IF(AND(B3116="",G3116="",C3116="",D3116="",J3116=""),"",IF(B3116="","⚠ Falta fecha",IF(G3116="","⚠ Falta monto",IF(Q3116="","⚠ Falta cuenta",IF(ISNA(MATCH(Q3116,ctaNombre,0)),"⚠ Cuenta no registrada",IF(AND(OR(P3116="Gasto",P3116="Reembolso"),D3116=""),"⚠ Falta categoría",IF(AND(D3116&lt;&gt;"",E3116&lt;&gt;"",ISNA(MATCH(D3116&amp;"|"&amp;E3116,catClave,0))),"⚠ Subcategoría no corresponde",IF(AND(OR(P3116="Transferencia",P3116="Pago tarjeta"),K3116=""),"⚠ Falta cuenta destino",IF(AND(K3116&lt;&gt;"",P3116&lt;&gt;"Transferencia",P3116&lt;&gt;"Pago tarjeta"),"⚠ Destino solo aplica a transferencias",IF(AND(K3116&lt;&gt;"",K3116=Q3116),"⚠ Origen igual a destino",IF(AND(K3116&lt;&gt;"",ISNA(MATCH(K3116,ctaNombre,0))),"⚠ Destino no registrado",IF(AND(P3116="Pago tarjeta",AE3116&lt;&gt;"Tarjeta de crédito"),"⚠ El destino debe ser tarjeta de crédito",IF(AND(P3116="Gasto",E3116="Depósitos y retiros"),"⚠ Usa tipo Transferencia",IF(AND(P3116="Resultado trading",AD3116&lt;&gt;"Cuenta de trading"),"⚠ Usa una cuenta de trading",IF(AND(G3116&lt;=0,P3116&lt;&gt;"Ajuste",P3116&lt;&gt;"Resultado trading"),"⚠ El monto debe ser positivo","✓")))))))))))))))</f>
        <v/>
      </c>
      <c r="P3116" s="52">
        <f>IF(OR(B3116="",G3116=""),"",IF(C3116="","Gasto",C3116))</f>
        <v/>
      </c>
      <c r="Q3116" s="52">
        <f>IF(P3116="","",IF(J3116&lt;&gt;"",J3116,CuentaPred&amp;""))</f>
        <v/>
      </c>
      <c r="R3116" s="52">
        <f>IF(P3116="","",IF(ISNUMBER(I3116),I3116,TasaUSD))</f>
        <v/>
      </c>
      <c r="S3116" s="53">
        <f>IF(P3116="","",IF(H3116="USD",G3116*R3116,G3116))</f>
        <v/>
      </c>
      <c r="T3116" s="53">
        <f>IF(P3116="","",IF(H3116="USD",G3116,IF(R3116&gt;0,G3116/R3116,0)))</f>
        <v/>
      </c>
      <c r="U3116" s="53">
        <f>IF(P3116="","",IF(P3116="Gasto",S3116,IF(P3116="Reembolso",-S3116,0)))</f>
        <v/>
      </c>
      <c r="V3116" s="53">
        <f>IF(P3116="","",IF(P3116="Ingreso",S3116,0))</f>
        <v/>
      </c>
      <c r="W3116" s="53">
        <f>IF(P3116="","",IF(P3116="Resultado trading",S3116,0))</f>
        <v/>
      </c>
      <c r="X3116" s="52">
        <f>IF(OR(P3116="Gasto",P3116="Reembolso"),IF(M3116&lt;&gt;"",M3116,IFERROR(INDEX(catClasif,MATCH(D3116&amp;"|"&amp;E3116,catClave,0))&amp;"","Variable")),"")</f>
        <v/>
      </c>
      <c r="Y3116" s="52">
        <f>IF(P3116="","",IFERROR(INDEX(catGrupo,MATCH(D3116&amp;"|"&amp;E3116,catClave,0))&amp;"",""))</f>
        <v/>
      </c>
      <c r="Z3116" s="52">
        <f>IF(P3116="","",WEEKDAY(B3116,2))</f>
        <v/>
      </c>
      <c r="AA3116" s="52">
        <f>IF(P3116="","",IF(AND(P3116="Gasto",X3116="Variable",D3116&lt;&gt;catTrading,S3116&gt;0,S3116&lt;=Umbral),1,0))</f>
        <v/>
      </c>
      <c r="AB3116" s="52">
        <f>IF(OR(P3116="",Q3116=""),"",IFERROR(IF(INDEX(ctaVinc,MATCH(Q3116,ctaNombre,0))&amp;""&lt;&gt;"",INDEX(ctaVinc,MATCH(Q3116,ctaNombre,0))&amp;"",Q3116),Q3116))</f>
        <v/>
      </c>
      <c r="AC3116" s="52">
        <f>IF(OR(K3116="",AND(P3116&lt;&gt;"Transferencia",P3116&lt;&gt;"Pago tarjeta")),"",IFERROR(IF(INDEX(ctaVinc,MATCH(K3116,ctaNombre,0))&amp;""&lt;&gt;"",INDEX(ctaVinc,MATCH(K3116,ctaNombre,0))&amp;"",K3116),K3116))</f>
        <v/>
      </c>
      <c r="AD3116" s="52">
        <f>IF(AB3116="","",IFERROR(INDEX(ctaTipo,MATCH(AB3116,ctaNombre,0))&amp;"",""))</f>
        <v/>
      </c>
      <c r="AE3116" s="52">
        <f>IF(AC3116="","",IFERROR(INDEX(ctaTipo,MATCH(AC3116,ctaNombre,0))&amp;"",""))</f>
        <v/>
      </c>
      <c r="AF3116" s="53">
        <f>IF(OR(P3116="",AB3116=""),"",IF(OR(P3116="Gasto",P3116="Transferencia",P3116="Pago tarjeta"),-1,1)*IF(IFERROR(INDEX(ctaMoneda,MATCH(AB3116,ctaNombre,0))&amp;"","DOP")="USD",T3116,S3116))</f>
        <v/>
      </c>
      <c r="AG3116" s="53">
        <f>IF(AC3116="","",IF(IFERROR(INDEX(ctaMoneda,MATCH(AC3116,ctaNombre,0))&amp;"","DOP")="USD",T3116,S3116))</f>
        <v/>
      </c>
      <c r="AH3116" s="53">
        <f>IF(P3116="","",IF(AND(AD3116&lt;&gt;"",COUNTIFS(tcTipo,AD3116,tcLiq,"Sí")&gt;0),IF(OR(P3116="Gasto",P3116="Transferencia",P3116="Pago tarjeta"),-1,1)*S3116,0)+IF(AND(AE3116&lt;&gt;"",COUNTIFS(tcTipo,AE3116,tcLiq,"Sí")&gt;0),S3116,0))</f>
        <v/>
      </c>
      <c r="AI3116" s="52">
        <f>IF(OR(L3116="",P3116=""),"",IF(COUNTIFS(L$6:L3116,L3116,P$6:P3116,"?*")=1,MAX(AI$5:AI3115)+1,""))</f>
        <v/>
      </c>
    </row>
    <row r="3117">
      <c r="B3117" s="47" t="n"/>
      <c r="C3117" s="48" t="n"/>
      <c r="D3117" s="48" t="n"/>
      <c r="E3117" s="48" t="n"/>
      <c r="F3117" s="48" t="n"/>
      <c r="G3117" s="49" t="n"/>
      <c r="H3117" s="48" t="n"/>
      <c r="I3117" s="50" t="n"/>
      <c r="J3117" s="48" t="n"/>
      <c r="K3117" s="48" t="n"/>
      <c r="L3117" s="48" t="n"/>
      <c r="M3117" s="48" t="n"/>
      <c r="N3117" s="48" t="n"/>
      <c r="O3117" s="51">
        <f>IF(AND(B3117="",G3117="",C3117="",D3117="",J3117=""),"",IF(B3117="","⚠ Falta fecha",IF(G3117="","⚠ Falta monto",IF(Q3117="","⚠ Falta cuenta",IF(ISNA(MATCH(Q3117,ctaNombre,0)),"⚠ Cuenta no registrada",IF(AND(OR(P3117="Gasto",P3117="Reembolso"),D3117=""),"⚠ Falta categoría",IF(AND(D3117&lt;&gt;"",E3117&lt;&gt;"",ISNA(MATCH(D3117&amp;"|"&amp;E3117,catClave,0))),"⚠ Subcategoría no corresponde",IF(AND(OR(P3117="Transferencia",P3117="Pago tarjeta"),K3117=""),"⚠ Falta cuenta destino",IF(AND(K3117&lt;&gt;"",P3117&lt;&gt;"Transferencia",P3117&lt;&gt;"Pago tarjeta"),"⚠ Destino solo aplica a transferencias",IF(AND(K3117&lt;&gt;"",K3117=Q3117),"⚠ Origen igual a destino",IF(AND(K3117&lt;&gt;"",ISNA(MATCH(K3117,ctaNombre,0))),"⚠ Destino no registrado",IF(AND(P3117="Pago tarjeta",AE3117&lt;&gt;"Tarjeta de crédito"),"⚠ El destino debe ser tarjeta de crédito",IF(AND(P3117="Gasto",E3117="Depósitos y retiros"),"⚠ Usa tipo Transferencia",IF(AND(P3117="Resultado trading",AD3117&lt;&gt;"Cuenta de trading"),"⚠ Usa una cuenta de trading",IF(AND(G3117&lt;=0,P3117&lt;&gt;"Ajuste",P3117&lt;&gt;"Resultado trading"),"⚠ El monto debe ser positivo","✓")))))))))))))))</f>
        <v/>
      </c>
      <c r="P3117" s="52">
        <f>IF(OR(B3117="",G3117=""),"",IF(C3117="","Gasto",C3117))</f>
        <v/>
      </c>
      <c r="Q3117" s="52">
        <f>IF(P3117="","",IF(J3117&lt;&gt;"",J3117,CuentaPred&amp;""))</f>
        <v/>
      </c>
      <c r="R3117" s="52">
        <f>IF(P3117="","",IF(ISNUMBER(I3117),I3117,TasaUSD))</f>
        <v/>
      </c>
      <c r="S3117" s="53">
        <f>IF(P3117="","",IF(H3117="USD",G3117*R3117,G3117))</f>
        <v/>
      </c>
      <c r="T3117" s="53">
        <f>IF(P3117="","",IF(H3117="USD",G3117,IF(R3117&gt;0,G3117/R3117,0)))</f>
        <v/>
      </c>
      <c r="U3117" s="53">
        <f>IF(P3117="","",IF(P3117="Gasto",S3117,IF(P3117="Reembolso",-S3117,0)))</f>
        <v/>
      </c>
      <c r="V3117" s="53">
        <f>IF(P3117="","",IF(P3117="Ingreso",S3117,0))</f>
        <v/>
      </c>
      <c r="W3117" s="53">
        <f>IF(P3117="","",IF(P3117="Resultado trading",S3117,0))</f>
        <v/>
      </c>
      <c r="X3117" s="52">
        <f>IF(OR(P3117="Gasto",P3117="Reembolso"),IF(M3117&lt;&gt;"",M3117,IFERROR(INDEX(catClasif,MATCH(D3117&amp;"|"&amp;E3117,catClave,0))&amp;"","Variable")),"")</f>
        <v/>
      </c>
      <c r="Y3117" s="52">
        <f>IF(P3117="","",IFERROR(INDEX(catGrupo,MATCH(D3117&amp;"|"&amp;E3117,catClave,0))&amp;"",""))</f>
        <v/>
      </c>
      <c r="Z3117" s="52">
        <f>IF(P3117="","",WEEKDAY(B3117,2))</f>
        <v/>
      </c>
      <c r="AA3117" s="52">
        <f>IF(P3117="","",IF(AND(P3117="Gasto",X3117="Variable",D3117&lt;&gt;catTrading,S3117&gt;0,S3117&lt;=Umbral),1,0))</f>
        <v/>
      </c>
      <c r="AB3117" s="52">
        <f>IF(OR(P3117="",Q3117=""),"",IFERROR(IF(INDEX(ctaVinc,MATCH(Q3117,ctaNombre,0))&amp;""&lt;&gt;"",INDEX(ctaVinc,MATCH(Q3117,ctaNombre,0))&amp;"",Q3117),Q3117))</f>
        <v/>
      </c>
      <c r="AC3117" s="52">
        <f>IF(OR(K3117="",AND(P3117&lt;&gt;"Transferencia",P3117&lt;&gt;"Pago tarjeta")),"",IFERROR(IF(INDEX(ctaVinc,MATCH(K3117,ctaNombre,0))&amp;""&lt;&gt;"",INDEX(ctaVinc,MATCH(K3117,ctaNombre,0))&amp;"",K3117),K3117))</f>
        <v/>
      </c>
      <c r="AD3117" s="52">
        <f>IF(AB3117="","",IFERROR(INDEX(ctaTipo,MATCH(AB3117,ctaNombre,0))&amp;"",""))</f>
        <v/>
      </c>
      <c r="AE3117" s="52">
        <f>IF(AC3117="","",IFERROR(INDEX(ctaTipo,MATCH(AC3117,ctaNombre,0))&amp;"",""))</f>
        <v/>
      </c>
      <c r="AF3117" s="53">
        <f>IF(OR(P3117="",AB3117=""),"",IF(OR(P3117="Gasto",P3117="Transferencia",P3117="Pago tarjeta"),-1,1)*IF(IFERROR(INDEX(ctaMoneda,MATCH(AB3117,ctaNombre,0))&amp;"","DOP")="USD",T3117,S3117))</f>
        <v/>
      </c>
      <c r="AG3117" s="53">
        <f>IF(AC3117="","",IF(IFERROR(INDEX(ctaMoneda,MATCH(AC3117,ctaNombre,0))&amp;"","DOP")="USD",T3117,S3117))</f>
        <v/>
      </c>
      <c r="AH3117" s="53">
        <f>IF(P3117="","",IF(AND(AD3117&lt;&gt;"",COUNTIFS(tcTipo,AD3117,tcLiq,"Sí")&gt;0),IF(OR(P3117="Gasto",P3117="Transferencia",P3117="Pago tarjeta"),-1,1)*S3117,0)+IF(AND(AE3117&lt;&gt;"",COUNTIFS(tcTipo,AE3117,tcLiq,"Sí")&gt;0),S3117,0))</f>
        <v/>
      </c>
      <c r="AI3117" s="52">
        <f>IF(OR(L3117="",P3117=""),"",IF(COUNTIFS(L$6:L3117,L3117,P$6:P3117,"?*")=1,MAX(AI$5:AI3116)+1,""))</f>
        <v/>
      </c>
    </row>
    <row r="3118">
      <c r="B3118" s="47" t="n"/>
      <c r="C3118" s="48" t="n"/>
      <c r="D3118" s="48" t="n"/>
      <c r="E3118" s="48" t="n"/>
      <c r="F3118" s="48" t="n"/>
      <c r="G3118" s="49" t="n"/>
      <c r="H3118" s="48" t="n"/>
      <c r="I3118" s="50" t="n"/>
      <c r="J3118" s="48" t="n"/>
      <c r="K3118" s="48" t="n"/>
      <c r="L3118" s="48" t="n"/>
      <c r="M3118" s="48" t="n"/>
      <c r="N3118" s="48" t="n"/>
      <c r="O3118" s="51">
        <f>IF(AND(B3118="",G3118="",C3118="",D3118="",J3118=""),"",IF(B3118="","⚠ Falta fecha",IF(G3118="","⚠ Falta monto",IF(Q3118="","⚠ Falta cuenta",IF(ISNA(MATCH(Q3118,ctaNombre,0)),"⚠ Cuenta no registrada",IF(AND(OR(P3118="Gasto",P3118="Reembolso"),D3118=""),"⚠ Falta categoría",IF(AND(D3118&lt;&gt;"",E3118&lt;&gt;"",ISNA(MATCH(D3118&amp;"|"&amp;E3118,catClave,0))),"⚠ Subcategoría no corresponde",IF(AND(OR(P3118="Transferencia",P3118="Pago tarjeta"),K3118=""),"⚠ Falta cuenta destino",IF(AND(K3118&lt;&gt;"",P3118&lt;&gt;"Transferencia",P3118&lt;&gt;"Pago tarjeta"),"⚠ Destino solo aplica a transferencias",IF(AND(K3118&lt;&gt;"",K3118=Q3118),"⚠ Origen igual a destino",IF(AND(K3118&lt;&gt;"",ISNA(MATCH(K3118,ctaNombre,0))),"⚠ Destino no registrado",IF(AND(P3118="Pago tarjeta",AE3118&lt;&gt;"Tarjeta de crédito"),"⚠ El destino debe ser tarjeta de crédito",IF(AND(P3118="Gasto",E3118="Depósitos y retiros"),"⚠ Usa tipo Transferencia",IF(AND(P3118="Resultado trading",AD3118&lt;&gt;"Cuenta de trading"),"⚠ Usa una cuenta de trading",IF(AND(G3118&lt;=0,P3118&lt;&gt;"Ajuste",P3118&lt;&gt;"Resultado trading"),"⚠ El monto debe ser positivo","✓")))))))))))))))</f>
        <v/>
      </c>
      <c r="P3118" s="52">
        <f>IF(OR(B3118="",G3118=""),"",IF(C3118="","Gasto",C3118))</f>
        <v/>
      </c>
      <c r="Q3118" s="52">
        <f>IF(P3118="","",IF(J3118&lt;&gt;"",J3118,CuentaPred&amp;""))</f>
        <v/>
      </c>
      <c r="R3118" s="52">
        <f>IF(P3118="","",IF(ISNUMBER(I3118),I3118,TasaUSD))</f>
        <v/>
      </c>
      <c r="S3118" s="53">
        <f>IF(P3118="","",IF(H3118="USD",G3118*R3118,G3118))</f>
        <v/>
      </c>
      <c r="T3118" s="53">
        <f>IF(P3118="","",IF(H3118="USD",G3118,IF(R3118&gt;0,G3118/R3118,0)))</f>
        <v/>
      </c>
      <c r="U3118" s="53">
        <f>IF(P3118="","",IF(P3118="Gasto",S3118,IF(P3118="Reembolso",-S3118,0)))</f>
        <v/>
      </c>
      <c r="V3118" s="53">
        <f>IF(P3118="","",IF(P3118="Ingreso",S3118,0))</f>
        <v/>
      </c>
      <c r="W3118" s="53">
        <f>IF(P3118="","",IF(P3118="Resultado trading",S3118,0))</f>
        <v/>
      </c>
      <c r="X3118" s="52">
        <f>IF(OR(P3118="Gasto",P3118="Reembolso"),IF(M3118&lt;&gt;"",M3118,IFERROR(INDEX(catClasif,MATCH(D3118&amp;"|"&amp;E3118,catClave,0))&amp;"","Variable")),"")</f>
        <v/>
      </c>
      <c r="Y3118" s="52">
        <f>IF(P3118="","",IFERROR(INDEX(catGrupo,MATCH(D3118&amp;"|"&amp;E3118,catClave,0))&amp;"",""))</f>
        <v/>
      </c>
      <c r="Z3118" s="52">
        <f>IF(P3118="","",WEEKDAY(B3118,2))</f>
        <v/>
      </c>
      <c r="AA3118" s="52">
        <f>IF(P3118="","",IF(AND(P3118="Gasto",X3118="Variable",D3118&lt;&gt;catTrading,S3118&gt;0,S3118&lt;=Umbral),1,0))</f>
        <v/>
      </c>
      <c r="AB3118" s="52">
        <f>IF(OR(P3118="",Q3118=""),"",IFERROR(IF(INDEX(ctaVinc,MATCH(Q3118,ctaNombre,0))&amp;""&lt;&gt;"",INDEX(ctaVinc,MATCH(Q3118,ctaNombre,0))&amp;"",Q3118),Q3118))</f>
        <v/>
      </c>
      <c r="AC3118" s="52">
        <f>IF(OR(K3118="",AND(P3118&lt;&gt;"Transferencia",P3118&lt;&gt;"Pago tarjeta")),"",IFERROR(IF(INDEX(ctaVinc,MATCH(K3118,ctaNombre,0))&amp;""&lt;&gt;"",INDEX(ctaVinc,MATCH(K3118,ctaNombre,0))&amp;"",K3118),K3118))</f>
        <v/>
      </c>
      <c r="AD3118" s="52">
        <f>IF(AB3118="","",IFERROR(INDEX(ctaTipo,MATCH(AB3118,ctaNombre,0))&amp;"",""))</f>
        <v/>
      </c>
      <c r="AE3118" s="52">
        <f>IF(AC3118="","",IFERROR(INDEX(ctaTipo,MATCH(AC3118,ctaNombre,0))&amp;"",""))</f>
        <v/>
      </c>
      <c r="AF3118" s="53">
        <f>IF(OR(P3118="",AB3118=""),"",IF(OR(P3118="Gasto",P3118="Transferencia",P3118="Pago tarjeta"),-1,1)*IF(IFERROR(INDEX(ctaMoneda,MATCH(AB3118,ctaNombre,0))&amp;"","DOP")="USD",T3118,S3118))</f>
        <v/>
      </c>
      <c r="AG3118" s="53">
        <f>IF(AC3118="","",IF(IFERROR(INDEX(ctaMoneda,MATCH(AC3118,ctaNombre,0))&amp;"","DOP")="USD",T3118,S3118))</f>
        <v/>
      </c>
      <c r="AH3118" s="53">
        <f>IF(P3118="","",IF(AND(AD3118&lt;&gt;"",COUNTIFS(tcTipo,AD3118,tcLiq,"Sí")&gt;0),IF(OR(P3118="Gasto",P3118="Transferencia",P3118="Pago tarjeta"),-1,1)*S3118,0)+IF(AND(AE3118&lt;&gt;"",COUNTIFS(tcTipo,AE3118,tcLiq,"Sí")&gt;0),S3118,0))</f>
        <v/>
      </c>
      <c r="AI3118" s="52">
        <f>IF(OR(L3118="",P3118=""),"",IF(COUNTIFS(L$6:L3118,L3118,P$6:P3118,"?*")=1,MAX(AI$5:AI3117)+1,""))</f>
        <v/>
      </c>
    </row>
    <row r="3119">
      <c r="B3119" s="47" t="n"/>
      <c r="C3119" s="48" t="n"/>
      <c r="D3119" s="48" t="n"/>
      <c r="E3119" s="48" t="n"/>
      <c r="F3119" s="48" t="n"/>
      <c r="G3119" s="49" t="n"/>
      <c r="H3119" s="48" t="n"/>
      <c r="I3119" s="50" t="n"/>
      <c r="J3119" s="48" t="n"/>
      <c r="K3119" s="48" t="n"/>
      <c r="L3119" s="48" t="n"/>
      <c r="M3119" s="48" t="n"/>
      <c r="N3119" s="48" t="n"/>
      <c r="O3119" s="51">
        <f>IF(AND(B3119="",G3119="",C3119="",D3119="",J3119=""),"",IF(B3119="","⚠ Falta fecha",IF(G3119="","⚠ Falta monto",IF(Q3119="","⚠ Falta cuenta",IF(ISNA(MATCH(Q3119,ctaNombre,0)),"⚠ Cuenta no registrada",IF(AND(OR(P3119="Gasto",P3119="Reembolso"),D3119=""),"⚠ Falta categoría",IF(AND(D3119&lt;&gt;"",E3119&lt;&gt;"",ISNA(MATCH(D3119&amp;"|"&amp;E3119,catClave,0))),"⚠ Subcategoría no corresponde",IF(AND(OR(P3119="Transferencia",P3119="Pago tarjeta"),K3119=""),"⚠ Falta cuenta destino",IF(AND(K3119&lt;&gt;"",P3119&lt;&gt;"Transferencia",P3119&lt;&gt;"Pago tarjeta"),"⚠ Destino solo aplica a transferencias",IF(AND(K3119&lt;&gt;"",K3119=Q3119),"⚠ Origen igual a destino",IF(AND(K3119&lt;&gt;"",ISNA(MATCH(K3119,ctaNombre,0))),"⚠ Destino no registrado",IF(AND(P3119="Pago tarjeta",AE3119&lt;&gt;"Tarjeta de crédito"),"⚠ El destino debe ser tarjeta de crédito",IF(AND(P3119="Gasto",E3119="Depósitos y retiros"),"⚠ Usa tipo Transferencia",IF(AND(P3119="Resultado trading",AD3119&lt;&gt;"Cuenta de trading"),"⚠ Usa una cuenta de trading",IF(AND(G3119&lt;=0,P3119&lt;&gt;"Ajuste",P3119&lt;&gt;"Resultado trading"),"⚠ El monto debe ser positivo","✓")))))))))))))))</f>
        <v/>
      </c>
      <c r="P3119" s="52">
        <f>IF(OR(B3119="",G3119=""),"",IF(C3119="","Gasto",C3119))</f>
        <v/>
      </c>
      <c r="Q3119" s="52">
        <f>IF(P3119="","",IF(J3119&lt;&gt;"",J3119,CuentaPred&amp;""))</f>
        <v/>
      </c>
      <c r="R3119" s="52">
        <f>IF(P3119="","",IF(ISNUMBER(I3119),I3119,TasaUSD))</f>
        <v/>
      </c>
      <c r="S3119" s="53">
        <f>IF(P3119="","",IF(H3119="USD",G3119*R3119,G3119))</f>
        <v/>
      </c>
      <c r="T3119" s="53">
        <f>IF(P3119="","",IF(H3119="USD",G3119,IF(R3119&gt;0,G3119/R3119,0)))</f>
        <v/>
      </c>
      <c r="U3119" s="53">
        <f>IF(P3119="","",IF(P3119="Gasto",S3119,IF(P3119="Reembolso",-S3119,0)))</f>
        <v/>
      </c>
      <c r="V3119" s="53">
        <f>IF(P3119="","",IF(P3119="Ingreso",S3119,0))</f>
        <v/>
      </c>
      <c r="W3119" s="53">
        <f>IF(P3119="","",IF(P3119="Resultado trading",S3119,0))</f>
        <v/>
      </c>
      <c r="X3119" s="52">
        <f>IF(OR(P3119="Gasto",P3119="Reembolso"),IF(M3119&lt;&gt;"",M3119,IFERROR(INDEX(catClasif,MATCH(D3119&amp;"|"&amp;E3119,catClave,0))&amp;"","Variable")),"")</f>
        <v/>
      </c>
      <c r="Y3119" s="52">
        <f>IF(P3119="","",IFERROR(INDEX(catGrupo,MATCH(D3119&amp;"|"&amp;E3119,catClave,0))&amp;"",""))</f>
        <v/>
      </c>
      <c r="Z3119" s="52">
        <f>IF(P3119="","",WEEKDAY(B3119,2))</f>
        <v/>
      </c>
      <c r="AA3119" s="52">
        <f>IF(P3119="","",IF(AND(P3119="Gasto",X3119="Variable",D3119&lt;&gt;catTrading,S3119&gt;0,S3119&lt;=Umbral),1,0))</f>
        <v/>
      </c>
      <c r="AB3119" s="52">
        <f>IF(OR(P3119="",Q3119=""),"",IFERROR(IF(INDEX(ctaVinc,MATCH(Q3119,ctaNombre,0))&amp;""&lt;&gt;"",INDEX(ctaVinc,MATCH(Q3119,ctaNombre,0))&amp;"",Q3119),Q3119))</f>
        <v/>
      </c>
      <c r="AC3119" s="52">
        <f>IF(OR(K3119="",AND(P3119&lt;&gt;"Transferencia",P3119&lt;&gt;"Pago tarjeta")),"",IFERROR(IF(INDEX(ctaVinc,MATCH(K3119,ctaNombre,0))&amp;""&lt;&gt;"",INDEX(ctaVinc,MATCH(K3119,ctaNombre,0))&amp;"",K3119),K3119))</f>
        <v/>
      </c>
      <c r="AD3119" s="52">
        <f>IF(AB3119="","",IFERROR(INDEX(ctaTipo,MATCH(AB3119,ctaNombre,0))&amp;"",""))</f>
        <v/>
      </c>
      <c r="AE3119" s="52">
        <f>IF(AC3119="","",IFERROR(INDEX(ctaTipo,MATCH(AC3119,ctaNombre,0))&amp;"",""))</f>
        <v/>
      </c>
      <c r="AF3119" s="53">
        <f>IF(OR(P3119="",AB3119=""),"",IF(OR(P3119="Gasto",P3119="Transferencia",P3119="Pago tarjeta"),-1,1)*IF(IFERROR(INDEX(ctaMoneda,MATCH(AB3119,ctaNombre,0))&amp;"","DOP")="USD",T3119,S3119))</f>
        <v/>
      </c>
      <c r="AG3119" s="53">
        <f>IF(AC3119="","",IF(IFERROR(INDEX(ctaMoneda,MATCH(AC3119,ctaNombre,0))&amp;"","DOP")="USD",T3119,S3119))</f>
        <v/>
      </c>
      <c r="AH3119" s="53">
        <f>IF(P3119="","",IF(AND(AD3119&lt;&gt;"",COUNTIFS(tcTipo,AD3119,tcLiq,"Sí")&gt;0),IF(OR(P3119="Gasto",P3119="Transferencia",P3119="Pago tarjeta"),-1,1)*S3119,0)+IF(AND(AE3119&lt;&gt;"",COUNTIFS(tcTipo,AE3119,tcLiq,"Sí")&gt;0),S3119,0))</f>
        <v/>
      </c>
      <c r="AI3119" s="52">
        <f>IF(OR(L3119="",P3119=""),"",IF(COUNTIFS(L$6:L3119,L3119,P$6:P3119,"?*")=1,MAX(AI$5:AI3118)+1,""))</f>
        <v/>
      </c>
    </row>
    <row r="3120">
      <c r="B3120" s="47" t="n"/>
      <c r="C3120" s="48" t="n"/>
      <c r="D3120" s="48" t="n"/>
      <c r="E3120" s="48" t="n"/>
      <c r="F3120" s="48" t="n"/>
      <c r="G3120" s="49" t="n"/>
      <c r="H3120" s="48" t="n"/>
      <c r="I3120" s="50" t="n"/>
      <c r="J3120" s="48" t="n"/>
      <c r="K3120" s="48" t="n"/>
      <c r="L3120" s="48" t="n"/>
      <c r="M3120" s="48" t="n"/>
      <c r="N3120" s="48" t="n"/>
      <c r="O3120" s="51">
        <f>IF(AND(B3120="",G3120="",C3120="",D3120="",J3120=""),"",IF(B3120="","⚠ Falta fecha",IF(G3120="","⚠ Falta monto",IF(Q3120="","⚠ Falta cuenta",IF(ISNA(MATCH(Q3120,ctaNombre,0)),"⚠ Cuenta no registrada",IF(AND(OR(P3120="Gasto",P3120="Reembolso"),D3120=""),"⚠ Falta categoría",IF(AND(D3120&lt;&gt;"",E3120&lt;&gt;"",ISNA(MATCH(D3120&amp;"|"&amp;E3120,catClave,0))),"⚠ Subcategoría no corresponde",IF(AND(OR(P3120="Transferencia",P3120="Pago tarjeta"),K3120=""),"⚠ Falta cuenta destino",IF(AND(K3120&lt;&gt;"",P3120&lt;&gt;"Transferencia",P3120&lt;&gt;"Pago tarjeta"),"⚠ Destino solo aplica a transferencias",IF(AND(K3120&lt;&gt;"",K3120=Q3120),"⚠ Origen igual a destino",IF(AND(K3120&lt;&gt;"",ISNA(MATCH(K3120,ctaNombre,0))),"⚠ Destino no registrado",IF(AND(P3120="Pago tarjeta",AE3120&lt;&gt;"Tarjeta de crédito"),"⚠ El destino debe ser tarjeta de crédito",IF(AND(P3120="Gasto",E3120="Depósitos y retiros"),"⚠ Usa tipo Transferencia",IF(AND(P3120="Resultado trading",AD3120&lt;&gt;"Cuenta de trading"),"⚠ Usa una cuenta de trading",IF(AND(G3120&lt;=0,P3120&lt;&gt;"Ajuste",P3120&lt;&gt;"Resultado trading"),"⚠ El monto debe ser positivo","✓")))))))))))))))</f>
        <v/>
      </c>
      <c r="P3120" s="52">
        <f>IF(OR(B3120="",G3120=""),"",IF(C3120="","Gasto",C3120))</f>
        <v/>
      </c>
      <c r="Q3120" s="52">
        <f>IF(P3120="","",IF(J3120&lt;&gt;"",J3120,CuentaPred&amp;""))</f>
        <v/>
      </c>
      <c r="R3120" s="52">
        <f>IF(P3120="","",IF(ISNUMBER(I3120),I3120,TasaUSD))</f>
        <v/>
      </c>
      <c r="S3120" s="53">
        <f>IF(P3120="","",IF(H3120="USD",G3120*R3120,G3120))</f>
        <v/>
      </c>
      <c r="T3120" s="53">
        <f>IF(P3120="","",IF(H3120="USD",G3120,IF(R3120&gt;0,G3120/R3120,0)))</f>
        <v/>
      </c>
      <c r="U3120" s="53">
        <f>IF(P3120="","",IF(P3120="Gasto",S3120,IF(P3120="Reembolso",-S3120,0)))</f>
        <v/>
      </c>
      <c r="V3120" s="53">
        <f>IF(P3120="","",IF(P3120="Ingreso",S3120,0))</f>
        <v/>
      </c>
      <c r="W3120" s="53">
        <f>IF(P3120="","",IF(P3120="Resultado trading",S3120,0))</f>
        <v/>
      </c>
      <c r="X3120" s="52">
        <f>IF(OR(P3120="Gasto",P3120="Reembolso"),IF(M3120&lt;&gt;"",M3120,IFERROR(INDEX(catClasif,MATCH(D3120&amp;"|"&amp;E3120,catClave,0))&amp;"","Variable")),"")</f>
        <v/>
      </c>
      <c r="Y3120" s="52">
        <f>IF(P3120="","",IFERROR(INDEX(catGrupo,MATCH(D3120&amp;"|"&amp;E3120,catClave,0))&amp;"",""))</f>
        <v/>
      </c>
      <c r="Z3120" s="52">
        <f>IF(P3120="","",WEEKDAY(B3120,2))</f>
        <v/>
      </c>
      <c r="AA3120" s="52">
        <f>IF(P3120="","",IF(AND(P3120="Gasto",X3120="Variable",D3120&lt;&gt;catTrading,S3120&gt;0,S3120&lt;=Umbral),1,0))</f>
        <v/>
      </c>
      <c r="AB3120" s="52">
        <f>IF(OR(P3120="",Q3120=""),"",IFERROR(IF(INDEX(ctaVinc,MATCH(Q3120,ctaNombre,0))&amp;""&lt;&gt;"",INDEX(ctaVinc,MATCH(Q3120,ctaNombre,0))&amp;"",Q3120),Q3120))</f>
        <v/>
      </c>
      <c r="AC3120" s="52">
        <f>IF(OR(K3120="",AND(P3120&lt;&gt;"Transferencia",P3120&lt;&gt;"Pago tarjeta")),"",IFERROR(IF(INDEX(ctaVinc,MATCH(K3120,ctaNombre,0))&amp;""&lt;&gt;"",INDEX(ctaVinc,MATCH(K3120,ctaNombre,0))&amp;"",K3120),K3120))</f>
        <v/>
      </c>
      <c r="AD3120" s="52">
        <f>IF(AB3120="","",IFERROR(INDEX(ctaTipo,MATCH(AB3120,ctaNombre,0))&amp;"",""))</f>
        <v/>
      </c>
      <c r="AE3120" s="52">
        <f>IF(AC3120="","",IFERROR(INDEX(ctaTipo,MATCH(AC3120,ctaNombre,0))&amp;"",""))</f>
        <v/>
      </c>
      <c r="AF3120" s="53">
        <f>IF(OR(P3120="",AB3120=""),"",IF(OR(P3120="Gasto",P3120="Transferencia",P3120="Pago tarjeta"),-1,1)*IF(IFERROR(INDEX(ctaMoneda,MATCH(AB3120,ctaNombre,0))&amp;"","DOP")="USD",T3120,S3120))</f>
        <v/>
      </c>
      <c r="AG3120" s="53">
        <f>IF(AC3120="","",IF(IFERROR(INDEX(ctaMoneda,MATCH(AC3120,ctaNombre,0))&amp;"","DOP")="USD",T3120,S3120))</f>
        <v/>
      </c>
      <c r="AH3120" s="53">
        <f>IF(P3120="","",IF(AND(AD3120&lt;&gt;"",COUNTIFS(tcTipo,AD3120,tcLiq,"Sí")&gt;0),IF(OR(P3120="Gasto",P3120="Transferencia",P3120="Pago tarjeta"),-1,1)*S3120,0)+IF(AND(AE3120&lt;&gt;"",COUNTIFS(tcTipo,AE3120,tcLiq,"Sí")&gt;0),S3120,0))</f>
        <v/>
      </c>
      <c r="AI3120" s="52">
        <f>IF(OR(L3120="",P3120=""),"",IF(COUNTIFS(L$6:L3120,L3120,P$6:P3120,"?*")=1,MAX(AI$5:AI3119)+1,""))</f>
        <v/>
      </c>
    </row>
    <row r="3121">
      <c r="B3121" s="47" t="n"/>
      <c r="C3121" s="48" t="n"/>
      <c r="D3121" s="48" t="n"/>
      <c r="E3121" s="48" t="n"/>
      <c r="F3121" s="48" t="n"/>
      <c r="G3121" s="49" t="n"/>
      <c r="H3121" s="48" t="n"/>
      <c r="I3121" s="50" t="n"/>
      <c r="J3121" s="48" t="n"/>
      <c r="K3121" s="48" t="n"/>
      <c r="L3121" s="48" t="n"/>
      <c r="M3121" s="48" t="n"/>
      <c r="N3121" s="48" t="n"/>
      <c r="O3121" s="51">
        <f>IF(AND(B3121="",G3121="",C3121="",D3121="",J3121=""),"",IF(B3121="","⚠ Falta fecha",IF(G3121="","⚠ Falta monto",IF(Q3121="","⚠ Falta cuenta",IF(ISNA(MATCH(Q3121,ctaNombre,0)),"⚠ Cuenta no registrada",IF(AND(OR(P3121="Gasto",P3121="Reembolso"),D3121=""),"⚠ Falta categoría",IF(AND(D3121&lt;&gt;"",E3121&lt;&gt;"",ISNA(MATCH(D3121&amp;"|"&amp;E3121,catClave,0))),"⚠ Subcategoría no corresponde",IF(AND(OR(P3121="Transferencia",P3121="Pago tarjeta"),K3121=""),"⚠ Falta cuenta destino",IF(AND(K3121&lt;&gt;"",P3121&lt;&gt;"Transferencia",P3121&lt;&gt;"Pago tarjeta"),"⚠ Destino solo aplica a transferencias",IF(AND(K3121&lt;&gt;"",K3121=Q3121),"⚠ Origen igual a destino",IF(AND(K3121&lt;&gt;"",ISNA(MATCH(K3121,ctaNombre,0))),"⚠ Destino no registrado",IF(AND(P3121="Pago tarjeta",AE3121&lt;&gt;"Tarjeta de crédito"),"⚠ El destino debe ser tarjeta de crédito",IF(AND(P3121="Gasto",E3121="Depósitos y retiros"),"⚠ Usa tipo Transferencia",IF(AND(P3121="Resultado trading",AD3121&lt;&gt;"Cuenta de trading"),"⚠ Usa una cuenta de trading",IF(AND(G3121&lt;=0,P3121&lt;&gt;"Ajuste",P3121&lt;&gt;"Resultado trading"),"⚠ El monto debe ser positivo","✓")))))))))))))))</f>
        <v/>
      </c>
      <c r="P3121" s="52">
        <f>IF(OR(B3121="",G3121=""),"",IF(C3121="","Gasto",C3121))</f>
        <v/>
      </c>
      <c r="Q3121" s="52">
        <f>IF(P3121="","",IF(J3121&lt;&gt;"",J3121,CuentaPred&amp;""))</f>
        <v/>
      </c>
      <c r="R3121" s="52">
        <f>IF(P3121="","",IF(ISNUMBER(I3121),I3121,TasaUSD))</f>
        <v/>
      </c>
      <c r="S3121" s="53">
        <f>IF(P3121="","",IF(H3121="USD",G3121*R3121,G3121))</f>
        <v/>
      </c>
      <c r="T3121" s="53">
        <f>IF(P3121="","",IF(H3121="USD",G3121,IF(R3121&gt;0,G3121/R3121,0)))</f>
        <v/>
      </c>
      <c r="U3121" s="53">
        <f>IF(P3121="","",IF(P3121="Gasto",S3121,IF(P3121="Reembolso",-S3121,0)))</f>
        <v/>
      </c>
      <c r="V3121" s="53">
        <f>IF(P3121="","",IF(P3121="Ingreso",S3121,0))</f>
        <v/>
      </c>
      <c r="W3121" s="53">
        <f>IF(P3121="","",IF(P3121="Resultado trading",S3121,0))</f>
        <v/>
      </c>
      <c r="X3121" s="52">
        <f>IF(OR(P3121="Gasto",P3121="Reembolso"),IF(M3121&lt;&gt;"",M3121,IFERROR(INDEX(catClasif,MATCH(D3121&amp;"|"&amp;E3121,catClave,0))&amp;"","Variable")),"")</f>
        <v/>
      </c>
      <c r="Y3121" s="52">
        <f>IF(P3121="","",IFERROR(INDEX(catGrupo,MATCH(D3121&amp;"|"&amp;E3121,catClave,0))&amp;"",""))</f>
        <v/>
      </c>
      <c r="Z3121" s="52">
        <f>IF(P3121="","",WEEKDAY(B3121,2))</f>
        <v/>
      </c>
      <c r="AA3121" s="52">
        <f>IF(P3121="","",IF(AND(P3121="Gasto",X3121="Variable",D3121&lt;&gt;catTrading,S3121&gt;0,S3121&lt;=Umbral),1,0))</f>
        <v/>
      </c>
      <c r="AB3121" s="52">
        <f>IF(OR(P3121="",Q3121=""),"",IFERROR(IF(INDEX(ctaVinc,MATCH(Q3121,ctaNombre,0))&amp;""&lt;&gt;"",INDEX(ctaVinc,MATCH(Q3121,ctaNombre,0))&amp;"",Q3121),Q3121))</f>
        <v/>
      </c>
      <c r="AC3121" s="52">
        <f>IF(OR(K3121="",AND(P3121&lt;&gt;"Transferencia",P3121&lt;&gt;"Pago tarjeta")),"",IFERROR(IF(INDEX(ctaVinc,MATCH(K3121,ctaNombre,0))&amp;""&lt;&gt;"",INDEX(ctaVinc,MATCH(K3121,ctaNombre,0))&amp;"",K3121),K3121))</f>
        <v/>
      </c>
      <c r="AD3121" s="52">
        <f>IF(AB3121="","",IFERROR(INDEX(ctaTipo,MATCH(AB3121,ctaNombre,0))&amp;"",""))</f>
        <v/>
      </c>
      <c r="AE3121" s="52">
        <f>IF(AC3121="","",IFERROR(INDEX(ctaTipo,MATCH(AC3121,ctaNombre,0))&amp;"",""))</f>
        <v/>
      </c>
      <c r="AF3121" s="53">
        <f>IF(OR(P3121="",AB3121=""),"",IF(OR(P3121="Gasto",P3121="Transferencia",P3121="Pago tarjeta"),-1,1)*IF(IFERROR(INDEX(ctaMoneda,MATCH(AB3121,ctaNombre,0))&amp;"","DOP")="USD",T3121,S3121))</f>
        <v/>
      </c>
      <c r="AG3121" s="53">
        <f>IF(AC3121="","",IF(IFERROR(INDEX(ctaMoneda,MATCH(AC3121,ctaNombre,0))&amp;"","DOP")="USD",T3121,S3121))</f>
        <v/>
      </c>
      <c r="AH3121" s="53">
        <f>IF(P3121="","",IF(AND(AD3121&lt;&gt;"",COUNTIFS(tcTipo,AD3121,tcLiq,"Sí")&gt;0),IF(OR(P3121="Gasto",P3121="Transferencia",P3121="Pago tarjeta"),-1,1)*S3121,0)+IF(AND(AE3121&lt;&gt;"",COUNTIFS(tcTipo,AE3121,tcLiq,"Sí")&gt;0),S3121,0))</f>
        <v/>
      </c>
      <c r="AI3121" s="52">
        <f>IF(OR(L3121="",P3121=""),"",IF(COUNTIFS(L$6:L3121,L3121,P$6:P3121,"?*")=1,MAX(AI$5:AI3120)+1,""))</f>
        <v/>
      </c>
    </row>
    <row r="3122">
      <c r="B3122" s="47" t="n"/>
      <c r="C3122" s="48" t="n"/>
      <c r="D3122" s="48" t="n"/>
      <c r="E3122" s="48" t="n"/>
      <c r="F3122" s="48" t="n"/>
      <c r="G3122" s="49" t="n"/>
      <c r="H3122" s="48" t="n"/>
      <c r="I3122" s="50" t="n"/>
      <c r="J3122" s="48" t="n"/>
      <c r="K3122" s="48" t="n"/>
      <c r="L3122" s="48" t="n"/>
      <c r="M3122" s="48" t="n"/>
      <c r="N3122" s="48" t="n"/>
      <c r="O3122" s="51">
        <f>IF(AND(B3122="",G3122="",C3122="",D3122="",J3122=""),"",IF(B3122="","⚠ Falta fecha",IF(G3122="","⚠ Falta monto",IF(Q3122="","⚠ Falta cuenta",IF(ISNA(MATCH(Q3122,ctaNombre,0)),"⚠ Cuenta no registrada",IF(AND(OR(P3122="Gasto",P3122="Reembolso"),D3122=""),"⚠ Falta categoría",IF(AND(D3122&lt;&gt;"",E3122&lt;&gt;"",ISNA(MATCH(D3122&amp;"|"&amp;E3122,catClave,0))),"⚠ Subcategoría no corresponde",IF(AND(OR(P3122="Transferencia",P3122="Pago tarjeta"),K3122=""),"⚠ Falta cuenta destino",IF(AND(K3122&lt;&gt;"",P3122&lt;&gt;"Transferencia",P3122&lt;&gt;"Pago tarjeta"),"⚠ Destino solo aplica a transferencias",IF(AND(K3122&lt;&gt;"",K3122=Q3122),"⚠ Origen igual a destino",IF(AND(K3122&lt;&gt;"",ISNA(MATCH(K3122,ctaNombre,0))),"⚠ Destino no registrado",IF(AND(P3122="Pago tarjeta",AE3122&lt;&gt;"Tarjeta de crédito"),"⚠ El destino debe ser tarjeta de crédito",IF(AND(P3122="Gasto",E3122="Depósitos y retiros"),"⚠ Usa tipo Transferencia",IF(AND(P3122="Resultado trading",AD3122&lt;&gt;"Cuenta de trading"),"⚠ Usa una cuenta de trading",IF(AND(G3122&lt;=0,P3122&lt;&gt;"Ajuste",P3122&lt;&gt;"Resultado trading"),"⚠ El monto debe ser positivo","✓")))))))))))))))</f>
        <v/>
      </c>
      <c r="P3122" s="52">
        <f>IF(OR(B3122="",G3122=""),"",IF(C3122="","Gasto",C3122))</f>
        <v/>
      </c>
      <c r="Q3122" s="52">
        <f>IF(P3122="","",IF(J3122&lt;&gt;"",J3122,CuentaPred&amp;""))</f>
        <v/>
      </c>
      <c r="R3122" s="52">
        <f>IF(P3122="","",IF(ISNUMBER(I3122),I3122,TasaUSD))</f>
        <v/>
      </c>
      <c r="S3122" s="53">
        <f>IF(P3122="","",IF(H3122="USD",G3122*R3122,G3122))</f>
        <v/>
      </c>
      <c r="T3122" s="53">
        <f>IF(P3122="","",IF(H3122="USD",G3122,IF(R3122&gt;0,G3122/R3122,0)))</f>
        <v/>
      </c>
      <c r="U3122" s="53">
        <f>IF(P3122="","",IF(P3122="Gasto",S3122,IF(P3122="Reembolso",-S3122,0)))</f>
        <v/>
      </c>
      <c r="V3122" s="53">
        <f>IF(P3122="","",IF(P3122="Ingreso",S3122,0))</f>
        <v/>
      </c>
      <c r="W3122" s="53">
        <f>IF(P3122="","",IF(P3122="Resultado trading",S3122,0))</f>
        <v/>
      </c>
      <c r="X3122" s="52">
        <f>IF(OR(P3122="Gasto",P3122="Reembolso"),IF(M3122&lt;&gt;"",M3122,IFERROR(INDEX(catClasif,MATCH(D3122&amp;"|"&amp;E3122,catClave,0))&amp;"","Variable")),"")</f>
        <v/>
      </c>
      <c r="Y3122" s="52">
        <f>IF(P3122="","",IFERROR(INDEX(catGrupo,MATCH(D3122&amp;"|"&amp;E3122,catClave,0))&amp;"",""))</f>
        <v/>
      </c>
      <c r="Z3122" s="52">
        <f>IF(P3122="","",WEEKDAY(B3122,2))</f>
        <v/>
      </c>
      <c r="AA3122" s="52">
        <f>IF(P3122="","",IF(AND(P3122="Gasto",X3122="Variable",D3122&lt;&gt;catTrading,S3122&gt;0,S3122&lt;=Umbral),1,0))</f>
        <v/>
      </c>
      <c r="AB3122" s="52">
        <f>IF(OR(P3122="",Q3122=""),"",IFERROR(IF(INDEX(ctaVinc,MATCH(Q3122,ctaNombre,0))&amp;""&lt;&gt;"",INDEX(ctaVinc,MATCH(Q3122,ctaNombre,0))&amp;"",Q3122),Q3122))</f>
        <v/>
      </c>
      <c r="AC3122" s="52">
        <f>IF(OR(K3122="",AND(P3122&lt;&gt;"Transferencia",P3122&lt;&gt;"Pago tarjeta")),"",IFERROR(IF(INDEX(ctaVinc,MATCH(K3122,ctaNombre,0))&amp;""&lt;&gt;"",INDEX(ctaVinc,MATCH(K3122,ctaNombre,0))&amp;"",K3122),K3122))</f>
        <v/>
      </c>
      <c r="AD3122" s="52">
        <f>IF(AB3122="","",IFERROR(INDEX(ctaTipo,MATCH(AB3122,ctaNombre,0))&amp;"",""))</f>
        <v/>
      </c>
      <c r="AE3122" s="52">
        <f>IF(AC3122="","",IFERROR(INDEX(ctaTipo,MATCH(AC3122,ctaNombre,0))&amp;"",""))</f>
        <v/>
      </c>
      <c r="AF3122" s="53">
        <f>IF(OR(P3122="",AB3122=""),"",IF(OR(P3122="Gasto",P3122="Transferencia",P3122="Pago tarjeta"),-1,1)*IF(IFERROR(INDEX(ctaMoneda,MATCH(AB3122,ctaNombre,0))&amp;"","DOP")="USD",T3122,S3122))</f>
        <v/>
      </c>
      <c r="AG3122" s="53">
        <f>IF(AC3122="","",IF(IFERROR(INDEX(ctaMoneda,MATCH(AC3122,ctaNombre,0))&amp;"","DOP")="USD",T3122,S3122))</f>
        <v/>
      </c>
      <c r="AH3122" s="53">
        <f>IF(P3122="","",IF(AND(AD3122&lt;&gt;"",COUNTIFS(tcTipo,AD3122,tcLiq,"Sí")&gt;0),IF(OR(P3122="Gasto",P3122="Transferencia",P3122="Pago tarjeta"),-1,1)*S3122,0)+IF(AND(AE3122&lt;&gt;"",COUNTIFS(tcTipo,AE3122,tcLiq,"Sí")&gt;0),S3122,0))</f>
        <v/>
      </c>
      <c r="AI3122" s="52">
        <f>IF(OR(L3122="",P3122=""),"",IF(COUNTIFS(L$6:L3122,L3122,P$6:P3122,"?*")=1,MAX(AI$5:AI3121)+1,""))</f>
        <v/>
      </c>
    </row>
    <row r="3123">
      <c r="B3123" s="47" t="n"/>
      <c r="C3123" s="48" t="n"/>
      <c r="D3123" s="48" t="n"/>
      <c r="E3123" s="48" t="n"/>
      <c r="F3123" s="48" t="n"/>
      <c r="G3123" s="49" t="n"/>
      <c r="H3123" s="48" t="n"/>
      <c r="I3123" s="50" t="n"/>
      <c r="J3123" s="48" t="n"/>
      <c r="K3123" s="48" t="n"/>
      <c r="L3123" s="48" t="n"/>
      <c r="M3123" s="48" t="n"/>
      <c r="N3123" s="48" t="n"/>
      <c r="O3123" s="51">
        <f>IF(AND(B3123="",G3123="",C3123="",D3123="",J3123=""),"",IF(B3123="","⚠ Falta fecha",IF(G3123="","⚠ Falta monto",IF(Q3123="","⚠ Falta cuenta",IF(ISNA(MATCH(Q3123,ctaNombre,0)),"⚠ Cuenta no registrada",IF(AND(OR(P3123="Gasto",P3123="Reembolso"),D3123=""),"⚠ Falta categoría",IF(AND(D3123&lt;&gt;"",E3123&lt;&gt;"",ISNA(MATCH(D3123&amp;"|"&amp;E3123,catClave,0))),"⚠ Subcategoría no corresponde",IF(AND(OR(P3123="Transferencia",P3123="Pago tarjeta"),K3123=""),"⚠ Falta cuenta destino",IF(AND(K3123&lt;&gt;"",P3123&lt;&gt;"Transferencia",P3123&lt;&gt;"Pago tarjeta"),"⚠ Destino solo aplica a transferencias",IF(AND(K3123&lt;&gt;"",K3123=Q3123),"⚠ Origen igual a destino",IF(AND(K3123&lt;&gt;"",ISNA(MATCH(K3123,ctaNombre,0))),"⚠ Destino no registrado",IF(AND(P3123="Pago tarjeta",AE3123&lt;&gt;"Tarjeta de crédito"),"⚠ El destino debe ser tarjeta de crédito",IF(AND(P3123="Gasto",E3123="Depósitos y retiros"),"⚠ Usa tipo Transferencia",IF(AND(P3123="Resultado trading",AD3123&lt;&gt;"Cuenta de trading"),"⚠ Usa una cuenta de trading",IF(AND(G3123&lt;=0,P3123&lt;&gt;"Ajuste",P3123&lt;&gt;"Resultado trading"),"⚠ El monto debe ser positivo","✓")))))))))))))))</f>
        <v/>
      </c>
      <c r="P3123" s="52">
        <f>IF(OR(B3123="",G3123=""),"",IF(C3123="","Gasto",C3123))</f>
        <v/>
      </c>
      <c r="Q3123" s="52">
        <f>IF(P3123="","",IF(J3123&lt;&gt;"",J3123,CuentaPred&amp;""))</f>
        <v/>
      </c>
      <c r="R3123" s="52">
        <f>IF(P3123="","",IF(ISNUMBER(I3123),I3123,TasaUSD))</f>
        <v/>
      </c>
      <c r="S3123" s="53">
        <f>IF(P3123="","",IF(H3123="USD",G3123*R3123,G3123))</f>
        <v/>
      </c>
      <c r="T3123" s="53">
        <f>IF(P3123="","",IF(H3123="USD",G3123,IF(R3123&gt;0,G3123/R3123,0)))</f>
        <v/>
      </c>
      <c r="U3123" s="53">
        <f>IF(P3123="","",IF(P3123="Gasto",S3123,IF(P3123="Reembolso",-S3123,0)))</f>
        <v/>
      </c>
      <c r="V3123" s="53">
        <f>IF(P3123="","",IF(P3123="Ingreso",S3123,0))</f>
        <v/>
      </c>
      <c r="W3123" s="53">
        <f>IF(P3123="","",IF(P3123="Resultado trading",S3123,0))</f>
        <v/>
      </c>
      <c r="X3123" s="52">
        <f>IF(OR(P3123="Gasto",P3123="Reembolso"),IF(M3123&lt;&gt;"",M3123,IFERROR(INDEX(catClasif,MATCH(D3123&amp;"|"&amp;E3123,catClave,0))&amp;"","Variable")),"")</f>
        <v/>
      </c>
      <c r="Y3123" s="52">
        <f>IF(P3123="","",IFERROR(INDEX(catGrupo,MATCH(D3123&amp;"|"&amp;E3123,catClave,0))&amp;"",""))</f>
        <v/>
      </c>
      <c r="Z3123" s="52">
        <f>IF(P3123="","",WEEKDAY(B3123,2))</f>
        <v/>
      </c>
      <c r="AA3123" s="52">
        <f>IF(P3123="","",IF(AND(P3123="Gasto",X3123="Variable",D3123&lt;&gt;catTrading,S3123&gt;0,S3123&lt;=Umbral),1,0))</f>
        <v/>
      </c>
      <c r="AB3123" s="52">
        <f>IF(OR(P3123="",Q3123=""),"",IFERROR(IF(INDEX(ctaVinc,MATCH(Q3123,ctaNombre,0))&amp;""&lt;&gt;"",INDEX(ctaVinc,MATCH(Q3123,ctaNombre,0))&amp;"",Q3123),Q3123))</f>
        <v/>
      </c>
      <c r="AC3123" s="52">
        <f>IF(OR(K3123="",AND(P3123&lt;&gt;"Transferencia",P3123&lt;&gt;"Pago tarjeta")),"",IFERROR(IF(INDEX(ctaVinc,MATCH(K3123,ctaNombre,0))&amp;""&lt;&gt;"",INDEX(ctaVinc,MATCH(K3123,ctaNombre,0))&amp;"",K3123),K3123))</f>
        <v/>
      </c>
      <c r="AD3123" s="52">
        <f>IF(AB3123="","",IFERROR(INDEX(ctaTipo,MATCH(AB3123,ctaNombre,0))&amp;"",""))</f>
        <v/>
      </c>
      <c r="AE3123" s="52">
        <f>IF(AC3123="","",IFERROR(INDEX(ctaTipo,MATCH(AC3123,ctaNombre,0))&amp;"",""))</f>
        <v/>
      </c>
      <c r="AF3123" s="53">
        <f>IF(OR(P3123="",AB3123=""),"",IF(OR(P3123="Gasto",P3123="Transferencia",P3123="Pago tarjeta"),-1,1)*IF(IFERROR(INDEX(ctaMoneda,MATCH(AB3123,ctaNombre,0))&amp;"","DOP")="USD",T3123,S3123))</f>
        <v/>
      </c>
      <c r="AG3123" s="53">
        <f>IF(AC3123="","",IF(IFERROR(INDEX(ctaMoneda,MATCH(AC3123,ctaNombre,0))&amp;"","DOP")="USD",T3123,S3123))</f>
        <v/>
      </c>
      <c r="AH3123" s="53">
        <f>IF(P3123="","",IF(AND(AD3123&lt;&gt;"",COUNTIFS(tcTipo,AD3123,tcLiq,"Sí")&gt;0),IF(OR(P3123="Gasto",P3123="Transferencia",P3123="Pago tarjeta"),-1,1)*S3123,0)+IF(AND(AE3123&lt;&gt;"",COUNTIFS(tcTipo,AE3123,tcLiq,"Sí")&gt;0),S3123,0))</f>
        <v/>
      </c>
      <c r="AI3123" s="52">
        <f>IF(OR(L3123="",P3123=""),"",IF(COUNTIFS(L$6:L3123,L3123,P$6:P3123,"?*")=1,MAX(AI$5:AI3122)+1,""))</f>
        <v/>
      </c>
    </row>
    <row r="3124">
      <c r="B3124" s="47" t="n"/>
      <c r="C3124" s="48" t="n"/>
      <c r="D3124" s="48" t="n"/>
      <c r="E3124" s="48" t="n"/>
      <c r="F3124" s="48" t="n"/>
      <c r="G3124" s="49" t="n"/>
      <c r="H3124" s="48" t="n"/>
      <c r="I3124" s="50" t="n"/>
      <c r="J3124" s="48" t="n"/>
      <c r="K3124" s="48" t="n"/>
      <c r="L3124" s="48" t="n"/>
      <c r="M3124" s="48" t="n"/>
      <c r="N3124" s="48" t="n"/>
      <c r="O3124" s="51">
        <f>IF(AND(B3124="",G3124="",C3124="",D3124="",J3124=""),"",IF(B3124="","⚠ Falta fecha",IF(G3124="","⚠ Falta monto",IF(Q3124="","⚠ Falta cuenta",IF(ISNA(MATCH(Q3124,ctaNombre,0)),"⚠ Cuenta no registrada",IF(AND(OR(P3124="Gasto",P3124="Reembolso"),D3124=""),"⚠ Falta categoría",IF(AND(D3124&lt;&gt;"",E3124&lt;&gt;"",ISNA(MATCH(D3124&amp;"|"&amp;E3124,catClave,0))),"⚠ Subcategoría no corresponde",IF(AND(OR(P3124="Transferencia",P3124="Pago tarjeta"),K3124=""),"⚠ Falta cuenta destino",IF(AND(K3124&lt;&gt;"",P3124&lt;&gt;"Transferencia",P3124&lt;&gt;"Pago tarjeta"),"⚠ Destino solo aplica a transferencias",IF(AND(K3124&lt;&gt;"",K3124=Q3124),"⚠ Origen igual a destino",IF(AND(K3124&lt;&gt;"",ISNA(MATCH(K3124,ctaNombre,0))),"⚠ Destino no registrado",IF(AND(P3124="Pago tarjeta",AE3124&lt;&gt;"Tarjeta de crédito"),"⚠ El destino debe ser tarjeta de crédito",IF(AND(P3124="Gasto",E3124="Depósitos y retiros"),"⚠ Usa tipo Transferencia",IF(AND(P3124="Resultado trading",AD3124&lt;&gt;"Cuenta de trading"),"⚠ Usa una cuenta de trading",IF(AND(G3124&lt;=0,P3124&lt;&gt;"Ajuste",P3124&lt;&gt;"Resultado trading"),"⚠ El monto debe ser positivo","✓")))))))))))))))</f>
        <v/>
      </c>
      <c r="P3124" s="52">
        <f>IF(OR(B3124="",G3124=""),"",IF(C3124="","Gasto",C3124))</f>
        <v/>
      </c>
      <c r="Q3124" s="52">
        <f>IF(P3124="","",IF(J3124&lt;&gt;"",J3124,CuentaPred&amp;""))</f>
        <v/>
      </c>
      <c r="R3124" s="52">
        <f>IF(P3124="","",IF(ISNUMBER(I3124),I3124,TasaUSD))</f>
        <v/>
      </c>
      <c r="S3124" s="53">
        <f>IF(P3124="","",IF(H3124="USD",G3124*R3124,G3124))</f>
        <v/>
      </c>
      <c r="T3124" s="53">
        <f>IF(P3124="","",IF(H3124="USD",G3124,IF(R3124&gt;0,G3124/R3124,0)))</f>
        <v/>
      </c>
      <c r="U3124" s="53">
        <f>IF(P3124="","",IF(P3124="Gasto",S3124,IF(P3124="Reembolso",-S3124,0)))</f>
        <v/>
      </c>
      <c r="V3124" s="53">
        <f>IF(P3124="","",IF(P3124="Ingreso",S3124,0))</f>
        <v/>
      </c>
      <c r="W3124" s="53">
        <f>IF(P3124="","",IF(P3124="Resultado trading",S3124,0))</f>
        <v/>
      </c>
      <c r="X3124" s="52">
        <f>IF(OR(P3124="Gasto",P3124="Reembolso"),IF(M3124&lt;&gt;"",M3124,IFERROR(INDEX(catClasif,MATCH(D3124&amp;"|"&amp;E3124,catClave,0))&amp;"","Variable")),"")</f>
        <v/>
      </c>
      <c r="Y3124" s="52">
        <f>IF(P3124="","",IFERROR(INDEX(catGrupo,MATCH(D3124&amp;"|"&amp;E3124,catClave,0))&amp;"",""))</f>
        <v/>
      </c>
      <c r="Z3124" s="52">
        <f>IF(P3124="","",WEEKDAY(B3124,2))</f>
        <v/>
      </c>
      <c r="AA3124" s="52">
        <f>IF(P3124="","",IF(AND(P3124="Gasto",X3124="Variable",D3124&lt;&gt;catTrading,S3124&gt;0,S3124&lt;=Umbral),1,0))</f>
        <v/>
      </c>
      <c r="AB3124" s="52">
        <f>IF(OR(P3124="",Q3124=""),"",IFERROR(IF(INDEX(ctaVinc,MATCH(Q3124,ctaNombre,0))&amp;""&lt;&gt;"",INDEX(ctaVinc,MATCH(Q3124,ctaNombre,0))&amp;"",Q3124),Q3124))</f>
        <v/>
      </c>
      <c r="AC3124" s="52">
        <f>IF(OR(K3124="",AND(P3124&lt;&gt;"Transferencia",P3124&lt;&gt;"Pago tarjeta")),"",IFERROR(IF(INDEX(ctaVinc,MATCH(K3124,ctaNombre,0))&amp;""&lt;&gt;"",INDEX(ctaVinc,MATCH(K3124,ctaNombre,0))&amp;"",K3124),K3124))</f>
        <v/>
      </c>
      <c r="AD3124" s="52">
        <f>IF(AB3124="","",IFERROR(INDEX(ctaTipo,MATCH(AB3124,ctaNombre,0))&amp;"",""))</f>
        <v/>
      </c>
      <c r="AE3124" s="52">
        <f>IF(AC3124="","",IFERROR(INDEX(ctaTipo,MATCH(AC3124,ctaNombre,0))&amp;"",""))</f>
        <v/>
      </c>
      <c r="AF3124" s="53">
        <f>IF(OR(P3124="",AB3124=""),"",IF(OR(P3124="Gasto",P3124="Transferencia",P3124="Pago tarjeta"),-1,1)*IF(IFERROR(INDEX(ctaMoneda,MATCH(AB3124,ctaNombre,0))&amp;"","DOP")="USD",T3124,S3124))</f>
        <v/>
      </c>
      <c r="AG3124" s="53">
        <f>IF(AC3124="","",IF(IFERROR(INDEX(ctaMoneda,MATCH(AC3124,ctaNombre,0))&amp;"","DOP")="USD",T3124,S3124))</f>
        <v/>
      </c>
      <c r="AH3124" s="53">
        <f>IF(P3124="","",IF(AND(AD3124&lt;&gt;"",COUNTIFS(tcTipo,AD3124,tcLiq,"Sí")&gt;0),IF(OR(P3124="Gasto",P3124="Transferencia",P3124="Pago tarjeta"),-1,1)*S3124,0)+IF(AND(AE3124&lt;&gt;"",COUNTIFS(tcTipo,AE3124,tcLiq,"Sí")&gt;0),S3124,0))</f>
        <v/>
      </c>
      <c r="AI3124" s="52">
        <f>IF(OR(L3124="",P3124=""),"",IF(COUNTIFS(L$6:L3124,L3124,P$6:P3124,"?*")=1,MAX(AI$5:AI3123)+1,""))</f>
        <v/>
      </c>
    </row>
    <row r="3125">
      <c r="B3125" s="47" t="n"/>
      <c r="C3125" s="48" t="n"/>
      <c r="D3125" s="48" t="n"/>
      <c r="E3125" s="48" t="n"/>
      <c r="F3125" s="48" t="n"/>
      <c r="G3125" s="49" t="n"/>
      <c r="H3125" s="48" t="n"/>
      <c r="I3125" s="50" t="n"/>
      <c r="J3125" s="48" t="n"/>
      <c r="K3125" s="48" t="n"/>
      <c r="L3125" s="48" t="n"/>
      <c r="M3125" s="48" t="n"/>
      <c r="N3125" s="48" t="n"/>
      <c r="O3125" s="51">
        <f>IF(AND(B3125="",G3125="",C3125="",D3125="",J3125=""),"",IF(B3125="","⚠ Falta fecha",IF(G3125="","⚠ Falta monto",IF(Q3125="","⚠ Falta cuenta",IF(ISNA(MATCH(Q3125,ctaNombre,0)),"⚠ Cuenta no registrada",IF(AND(OR(P3125="Gasto",P3125="Reembolso"),D3125=""),"⚠ Falta categoría",IF(AND(D3125&lt;&gt;"",E3125&lt;&gt;"",ISNA(MATCH(D3125&amp;"|"&amp;E3125,catClave,0))),"⚠ Subcategoría no corresponde",IF(AND(OR(P3125="Transferencia",P3125="Pago tarjeta"),K3125=""),"⚠ Falta cuenta destino",IF(AND(K3125&lt;&gt;"",P3125&lt;&gt;"Transferencia",P3125&lt;&gt;"Pago tarjeta"),"⚠ Destino solo aplica a transferencias",IF(AND(K3125&lt;&gt;"",K3125=Q3125),"⚠ Origen igual a destino",IF(AND(K3125&lt;&gt;"",ISNA(MATCH(K3125,ctaNombre,0))),"⚠ Destino no registrado",IF(AND(P3125="Pago tarjeta",AE3125&lt;&gt;"Tarjeta de crédito"),"⚠ El destino debe ser tarjeta de crédito",IF(AND(P3125="Gasto",E3125="Depósitos y retiros"),"⚠ Usa tipo Transferencia",IF(AND(P3125="Resultado trading",AD3125&lt;&gt;"Cuenta de trading"),"⚠ Usa una cuenta de trading",IF(AND(G3125&lt;=0,P3125&lt;&gt;"Ajuste",P3125&lt;&gt;"Resultado trading"),"⚠ El monto debe ser positivo","✓")))))))))))))))</f>
        <v/>
      </c>
      <c r="P3125" s="52">
        <f>IF(OR(B3125="",G3125=""),"",IF(C3125="","Gasto",C3125))</f>
        <v/>
      </c>
      <c r="Q3125" s="52">
        <f>IF(P3125="","",IF(J3125&lt;&gt;"",J3125,CuentaPred&amp;""))</f>
        <v/>
      </c>
      <c r="R3125" s="52">
        <f>IF(P3125="","",IF(ISNUMBER(I3125),I3125,TasaUSD))</f>
        <v/>
      </c>
      <c r="S3125" s="53">
        <f>IF(P3125="","",IF(H3125="USD",G3125*R3125,G3125))</f>
        <v/>
      </c>
      <c r="T3125" s="53">
        <f>IF(P3125="","",IF(H3125="USD",G3125,IF(R3125&gt;0,G3125/R3125,0)))</f>
        <v/>
      </c>
      <c r="U3125" s="53">
        <f>IF(P3125="","",IF(P3125="Gasto",S3125,IF(P3125="Reembolso",-S3125,0)))</f>
        <v/>
      </c>
      <c r="V3125" s="53">
        <f>IF(P3125="","",IF(P3125="Ingreso",S3125,0))</f>
        <v/>
      </c>
      <c r="W3125" s="53">
        <f>IF(P3125="","",IF(P3125="Resultado trading",S3125,0))</f>
        <v/>
      </c>
      <c r="X3125" s="52">
        <f>IF(OR(P3125="Gasto",P3125="Reembolso"),IF(M3125&lt;&gt;"",M3125,IFERROR(INDEX(catClasif,MATCH(D3125&amp;"|"&amp;E3125,catClave,0))&amp;"","Variable")),"")</f>
        <v/>
      </c>
      <c r="Y3125" s="52">
        <f>IF(P3125="","",IFERROR(INDEX(catGrupo,MATCH(D3125&amp;"|"&amp;E3125,catClave,0))&amp;"",""))</f>
        <v/>
      </c>
      <c r="Z3125" s="52">
        <f>IF(P3125="","",WEEKDAY(B3125,2))</f>
        <v/>
      </c>
      <c r="AA3125" s="52">
        <f>IF(P3125="","",IF(AND(P3125="Gasto",X3125="Variable",D3125&lt;&gt;catTrading,S3125&gt;0,S3125&lt;=Umbral),1,0))</f>
        <v/>
      </c>
      <c r="AB3125" s="52">
        <f>IF(OR(P3125="",Q3125=""),"",IFERROR(IF(INDEX(ctaVinc,MATCH(Q3125,ctaNombre,0))&amp;""&lt;&gt;"",INDEX(ctaVinc,MATCH(Q3125,ctaNombre,0))&amp;"",Q3125),Q3125))</f>
        <v/>
      </c>
      <c r="AC3125" s="52">
        <f>IF(OR(K3125="",AND(P3125&lt;&gt;"Transferencia",P3125&lt;&gt;"Pago tarjeta")),"",IFERROR(IF(INDEX(ctaVinc,MATCH(K3125,ctaNombre,0))&amp;""&lt;&gt;"",INDEX(ctaVinc,MATCH(K3125,ctaNombre,0))&amp;"",K3125),K3125))</f>
        <v/>
      </c>
      <c r="AD3125" s="52">
        <f>IF(AB3125="","",IFERROR(INDEX(ctaTipo,MATCH(AB3125,ctaNombre,0))&amp;"",""))</f>
        <v/>
      </c>
      <c r="AE3125" s="52">
        <f>IF(AC3125="","",IFERROR(INDEX(ctaTipo,MATCH(AC3125,ctaNombre,0))&amp;"",""))</f>
        <v/>
      </c>
      <c r="AF3125" s="53">
        <f>IF(OR(P3125="",AB3125=""),"",IF(OR(P3125="Gasto",P3125="Transferencia",P3125="Pago tarjeta"),-1,1)*IF(IFERROR(INDEX(ctaMoneda,MATCH(AB3125,ctaNombre,0))&amp;"","DOP")="USD",T3125,S3125))</f>
        <v/>
      </c>
      <c r="AG3125" s="53">
        <f>IF(AC3125="","",IF(IFERROR(INDEX(ctaMoneda,MATCH(AC3125,ctaNombre,0))&amp;"","DOP")="USD",T3125,S3125))</f>
        <v/>
      </c>
      <c r="AH3125" s="53">
        <f>IF(P3125="","",IF(AND(AD3125&lt;&gt;"",COUNTIFS(tcTipo,AD3125,tcLiq,"Sí")&gt;0),IF(OR(P3125="Gasto",P3125="Transferencia",P3125="Pago tarjeta"),-1,1)*S3125,0)+IF(AND(AE3125&lt;&gt;"",COUNTIFS(tcTipo,AE3125,tcLiq,"Sí")&gt;0),S3125,0))</f>
        <v/>
      </c>
      <c r="AI3125" s="52">
        <f>IF(OR(L3125="",P3125=""),"",IF(COUNTIFS(L$6:L3125,L3125,P$6:P3125,"?*")=1,MAX(AI$5:AI3124)+1,""))</f>
        <v/>
      </c>
    </row>
    <row r="3126">
      <c r="B3126" s="47" t="n"/>
      <c r="C3126" s="48" t="n"/>
      <c r="D3126" s="48" t="n"/>
      <c r="E3126" s="48" t="n"/>
      <c r="F3126" s="48" t="n"/>
      <c r="G3126" s="49" t="n"/>
      <c r="H3126" s="48" t="n"/>
      <c r="I3126" s="50" t="n"/>
      <c r="J3126" s="48" t="n"/>
      <c r="K3126" s="48" t="n"/>
      <c r="L3126" s="48" t="n"/>
      <c r="M3126" s="48" t="n"/>
      <c r="N3126" s="48" t="n"/>
      <c r="O3126" s="51">
        <f>IF(AND(B3126="",G3126="",C3126="",D3126="",J3126=""),"",IF(B3126="","⚠ Falta fecha",IF(G3126="","⚠ Falta monto",IF(Q3126="","⚠ Falta cuenta",IF(ISNA(MATCH(Q3126,ctaNombre,0)),"⚠ Cuenta no registrada",IF(AND(OR(P3126="Gasto",P3126="Reembolso"),D3126=""),"⚠ Falta categoría",IF(AND(D3126&lt;&gt;"",E3126&lt;&gt;"",ISNA(MATCH(D3126&amp;"|"&amp;E3126,catClave,0))),"⚠ Subcategoría no corresponde",IF(AND(OR(P3126="Transferencia",P3126="Pago tarjeta"),K3126=""),"⚠ Falta cuenta destino",IF(AND(K3126&lt;&gt;"",P3126&lt;&gt;"Transferencia",P3126&lt;&gt;"Pago tarjeta"),"⚠ Destino solo aplica a transferencias",IF(AND(K3126&lt;&gt;"",K3126=Q3126),"⚠ Origen igual a destino",IF(AND(K3126&lt;&gt;"",ISNA(MATCH(K3126,ctaNombre,0))),"⚠ Destino no registrado",IF(AND(P3126="Pago tarjeta",AE3126&lt;&gt;"Tarjeta de crédito"),"⚠ El destino debe ser tarjeta de crédito",IF(AND(P3126="Gasto",E3126="Depósitos y retiros"),"⚠ Usa tipo Transferencia",IF(AND(P3126="Resultado trading",AD3126&lt;&gt;"Cuenta de trading"),"⚠ Usa una cuenta de trading",IF(AND(G3126&lt;=0,P3126&lt;&gt;"Ajuste",P3126&lt;&gt;"Resultado trading"),"⚠ El monto debe ser positivo","✓")))))))))))))))</f>
        <v/>
      </c>
      <c r="P3126" s="52">
        <f>IF(OR(B3126="",G3126=""),"",IF(C3126="","Gasto",C3126))</f>
        <v/>
      </c>
      <c r="Q3126" s="52">
        <f>IF(P3126="","",IF(J3126&lt;&gt;"",J3126,CuentaPred&amp;""))</f>
        <v/>
      </c>
      <c r="R3126" s="52">
        <f>IF(P3126="","",IF(ISNUMBER(I3126),I3126,TasaUSD))</f>
        <v/>
      </c>
      <c r="S3126" s="53">
        <f>IF(P3126="","",IF(H3126="USD",G3126*R3126,G3126))</f>
        <v/>
      </c>
      <c r="T3126" s="53">
        <f>IF(P3126="","",IF(H3126="USD",G3126,IF(R3126&gt;0,G3126/R3126,0)))</f>
        <v/>
      </c>
      <c r="U3126" s="53">
        <f>IF(P3126="","",IF(P3126="Gasto",S3126,IF(P3126="Reembolso",-S3126,0)))</f>
        <v/>
      </c>
      <c r="V3126" s="53">
        <f>IF(P3126="","",IF(P3126="Ingreso",S3126,0))</f>
        <v/>
      </c>
      <c r="W3126" s="53">
        <f>IF(P3126="","",IF(P3126="Resultado trading",S3126,0))</f>
        <v/>
      </c>
      <c r="X3126" s="52">
        <f>IF(OR(P3126="Gasto",P3126="Reembolso"),IF(M3126&lt;&gt;"",M3126,IFERROR(INDEX(catClasif,MATCH(D3126&amp;"|"&amp;E3126,catClave,0))&amp;"","Variable")),"")</f>
        <v/>
      </c>
      <c r="Y3126" s="52">
        <f>IF(P3126="","",IFERROR(INDEX(catGrupo,MATCH(D3126&amp;"|"&amp;E3126,catClave,0))&amp;"",""))</f>
        <v/>
      </c>
      <c r="Z3126" s="52">
        <f>IF(P3126="","",WEEKDAY(B3126,2))</f>
        <v/>
      </c>
      <c r="AA3126" s="52">
        <f>IF(P3126="","",IF(AND(P3126="Gasto",X3126="Variable",D3126&lt;&gt;catTrading,S3126&gt;0,S3126&lt;=Umbral),1,0))</f>
        <v/>
      </c>
      <c r="AB3126" s="52">
        <f>IF(OR(P3126="",Q3126=""),"",IFERROR(IF(INDEX(ctaVinc,MATCH(Q3126,ctaNombre,0))&amp;""&lt;&gt;"",INDEX(ctaVinc,MATCH(Q3126,ctaNombre,0))&amp;"",Q3126),Q3126))</f>
        <v/>
      </c>
      <c r="AC3126" s="52">
        <f>IF(OR(K3126="",AND(P3126&lt;&gt;"Transferencia",P3126&lt;&gt;"Pago tarjeta")),"",IFERROR(IF(INDEX(ctaVinc,MATCH(K3126,ctaNombre,0))&amp;""&lt;&gt;"",INDEX(ctaVinc,MATCH(K3126,ctaNombre,0))&amp;"",K3126),K3126))</f>
        <v/>
      </c>
      <c r="AD3126" s="52">
        <f>IF(AB3126="","",IFERROR(INDEX(ctaTipo,MATCH(AB3126,ctaNombre,0))&amp;"",""))</f>
        <v/>
      </c>
      <c r="AE3126" s="52">
        <f>IF(AC3126="","",IFERROR(INDEX(ctaTipo,MATCH(AC3126,ctaNombre,0))&amp;"",""))</f>
        <v/>
      </c>
      <c r="AF3126" s="53">
        <f>IF(OR(P3126="",AB3126=""),"",IF(OR(P3126="Gasto",P3126="Transferencia",P3126="Pago tarjeta"),-1,1)*IF(IFERROR(INDEX(ctaMoneda,MATCH(AB3126,ctaNombre,0))&amp;"","DOP")="USD",T3126,S3126))</f>
        <v/>
      </c>
      <c r="AG3126" s="53">
        <f>IF(AC3126="","",IF(IFERROR(INDEX(ctaMoneda,MATCH(AC3126,ctaNombre,0))&amp;"","DOP")="USD",T3126,S3126))</f>
        <v/>
      </c>
      <c r="AH3126" s="53">
        <f>IF(P3126="","",IF(AND(AD3126&lt;&gt;"",COUNTIFS(tcTipo,AD3126,tcLiq,"Sí")&gt;0),IF(OR(P3126="Gasto",P3126="Transferencia",P3126="Pago tarjeta"),-1,1)*S3126,0)+IF(AND(AE3126&lt;&gt;"",COUNTIFS(tcTipo,AE3126,tcLiq,"Sí")&gt;0),S3126,0))</f>
        <v/>
      </c>
      <c r="AI3126" s="52">
        <f>IF(OR(L3126="",P3126=""),"",IF(COUNTIFS(L$6:L3126,L3126,P$6:P3126,"?*")=1,MAX(AI$5:AI3125)+1,""))</f>
        <v/>
      </c>
    </row>
    <row r="3127">
      <c r="B3127" s="47" t="n"/>
      <c r="C3127" s="48" t="n"/>
      <c r="D3127" s="48" t="n"/>
      <c r="E3127" s="48" t="n"/>
      <c r="F3127" s="48" t="n"/>
      <c r="G3127" s="49" t="n"/>
      <c r="H3127" s="48" t="n"/>
      <c r="I3127" s="50" t="n"/>
      <c r="J3127" s="48" t="n"/>
      <c r="K3127" s="48" t="n"/>
      <c r="L3127" s="48" t="n"/>
      <c r="M3127" s="48" t="n"/>
      <c r="N3127" s="48" t="n"/>
      <c r="O3127" s="51">
        <f>IF(AND(B3127="",G3127="",C3127="",D3127="",J3127=""),"",IF(B3127="","⚠ Falta fecha",IF(G3127="","⚠ Falta monto",IF(Q3127="","⚠ Falta cuenta",IF(ISNA(MATCH(Q3127,ctaNombre,0)),"⚠ Cuenta no registrada",IF(AND(OR(P3127="Gasto",P3127="Reembolso"),D3127=""),"⚠ Falta categoría",IF(AND(D3127&lt;&gt;"",E3127&lt;&gt;"",ISNA(MATCH(D3127&amp;"|"&amp;E3127,catClave,0))),"⚠ Subcategoría no corresponde",IF(AND(OR(P3127="Transferencia",P3127="Pago tarjeta"),K3127=""),"⚠ Falta cuenta destino",IF(AND(K3127&lt;&gt;"",P3127&lt;&gt;"Transferencia",P3127&lt;&gt;"Pago tarjeta"),"⚠ Destino solo aplica a transferencias",IF(AND(K3127&lt;&gt;"",K3127=Q3127),"⚠ Origen igual a destino",IF(AND(K3127&lt;&gt;"",ISNA(MATCH(K3127,ctaNombre,0))),"⚠ Destino no registrado",IF(AND(P3127="Pago tarjeta",AE3127&lt;&gt;"Tarjeta de crédito"),"⚠ El destino debe ser tarjeta de crédito",IF(AND(P3127="Gasto",E3127="Depósitos y retiros"),"⚠ Usa tipo Transferencia",IF(AND(P3127="Resultado trading",AD3127&lt;&gt;"Cuenta de trading"),"⚠ Usa una cuenta de trading",IF(AND(G3127&lt;=0,P3127&lt;&gt;"Ajuste",P3127&lt;&gt;"Resultado trading"),"⚠ El monto debe ser positivo","✓")))))))))))))))</f>
        <v/>
      </c>
      <c r="P3127" s="52">
        <f>IF(OR(B3127="",G3127=""),"",IF(C3127="","Gasto",C3127))</f>
        <v/>
      </c>
      <c r="Q3127" s="52">
        <f>IF(P3127="","",IF(J3127&lt;&gt;"",J3127,CuentaPred&amp;""))</f>
        <v/>
      </c>
      <c r="R3127" s="52">
        <f>IF(P3127="","",IF(ISNUMBER(I3127),I3127,TasaUSD))</f>
        <v/>
      </c>
      <c r="S3127" s="53">
        <f>IF(P3127="","",IF(H3127="USD",G3127*R3127,G3127))</f>
        <v/>
      </c>
      <c r="T3127" s="53">
        <f>IF(P3127="","",IF(H3127="USD",G3127,IF(R3127&gt;0,G3127/R3127,0)))</f>
        <v/>
      </c>
      <c r="U3127" s="53">
        <f>IF(P3127="","",IF(P3127="Gasto",S3127,IF(P3127="Reembolso",-S3127,0)))</f>
        <v/>
      </c>
      <c r="V3127" s="53">
        <f>IF(P3127="","",IF(P3127="Ingreso",S3127,0))</f>
        <v/>
      </c>
      <c r="W3127" s="53">
        <f>IF(P3127="","",IF(P3127="Resultado trading",S3127,0))</f>
        <v/>
      </c>
      <c r="X3127" s="52">
        <f>IF(OR(P3127="Gasto",P3127="Reembolso"),IF(M3127&lt;&gt;"",M3127,IFERROR(INDEX(catClasif,MATCH(D3127&amp;"|"&amp;E3127,catClave,0))&amp;"","Variable")),"")</f>
        <v/>
      </c>
      <c r="Y3127" s="52">
        <f>IF(P3127="","",IFERROR(INDEX(catGrupo,MATCH(D3127&amp;"|"&amp;E3127,catClave,0))&amp;"",""))</f>
        <v/>
      </c>
      <c r="Z3127" s="52">
        <f>IF(P3127="","",WEEKDAY(B3127,2))</f>
        <v/>
      </c>
      <c r="AA3127" s="52">
        <f>IF(P3127="","",IF(AND(P3127="Gasto",X3127="Variable",D3127&lt;&gt;catTrading,S3127&gt;0,S3127&lt;=Umbral),1,0))</f>
        <v/>
      </c>
      <c r="AB3127" s="52">
        <f>IF(OR(P3127="",Q3127=""),"",IFERROR(IF(INDEX(ctaVinc,MATCH(Q3127,ctaNombre,0))&amp;""&lt;&gt;"",INDEX(ctaVinc,MATCH(Q3127,ctaNombre,0))&amp;"",Q3127),Q3127))</f>
        <v/>
      </c>
      <c r="AC3127" s="52">
        <f>IF(OR(K3127="",AND(P3127&lt;&gt;"Transferencia",P3127&lt;&gt;"Pago tarjeta")),"",IFERROR(IF(INDEX(ctaVinc,MATCH(K3127,ctaNombre,0))&amp;""&lt;&gt;"",INDEX(ctaVinc,MATCH(K3127,ctaNombre,0))&amp;"",K3127),K3127))</f>
        <v/>
      </c>
      <c r="AD3127" s="52">
        <f>IF(AB3127="","",IFERROR(INDEX(ctaTipo,MATCH(AB3127,ctaNombre,0))&amp;"",""))</f>
        <v/>
      </c>
      <c r="AE3127" s="52">
        <f>IF(AC3127="","",IFERROR(INDEX(ctaTipo,MATCH(AC3127,ctaNombre,0))&amp;"",""))</f>
        <v/>
      </c>
      <c r="AF3127" s="53">
        <f>IF(OR(P3127="",AB3127=""),"",IF(OR(P3127="Gasto",P3127="Transferencia",P3127="Pago tarjeta"),-1,1)*IF(IFERROR(INDEX(ctaMoneda,MATCH(AB3127,ctaNombre,0))&amp;"","DOP")="USD",T3127,S3127))</f>
        <v/>
      </c>
      <c r="AG3127" s="53">
        <f>IF(AC3127="","",IF(IFERROR(INDEX(ctaMoneda,MATCH(AC3127,ctaNombre,0))&amp;"","DOP")="USD",T3127,S3127))</f>
        <v/>
      </c>
      <c r="AH3127" s="53">
        <f>IF(P3127="","",IF(AND(AD3127&lt;&gt;"",COUNTIFS(tcTipo,AD3127,tcLiq,"Sí")&gt;0),IF(OR(P3127="Gasto",P3127="Transferencia",P3127="Pago tarjeta"),-1,1)*S3127,0)+IF(AND(AE3127&lt;&gt;"",COUNTIFS(tcTipo,AE3127,tcLiq,"Sí")&gt;0),S3127,0))</f>
        <v/>
      </c>
      <c r="AI3127" s="52">
        <f>IF(OR(L3127="",P3127=""),"",IF(COUNTIFS(L$6:L3127,L3127,P$6:P3127,"?*")=1,MAX(AI$5:AI3126)+1,""))</f>
        <v/>
      </c>
    </row>
    <row r="3128">
      <c r="B3128" s="47" t="n"/>
      <c r="C3128" s="48" t="n"/>
      <c r="D3128" s="48" t="n"/>
      <c r="E3128" s="48" t="n"/>
      <c r="F3128" s="48" t="n"/>
      <c r="G3128" s="49" t="n"/>
      <c r="H3128" s="48" t="n"/>
      <c r="I3128" s="50" t="n"/>
      <c r="J3128" s="48" t="n"/>
      <c r="K3128" s="48" t="n"/>
      <c r="L3128" s="48" t="n"/>
      <c r="M3128" s="48" t="n"/>
      <c r="N3128" s="48" t="n"/>
      <c r="O3128" s="51">
        <f>IF(AND(B3128="",G3128="",C3128="",D3128="",J3128=""),"",IF(B3128="","⚠ Falta fecha",IF(G3128="","⚠ Falta monto",IF(Q3128="","⚠ Falta cuenta",IF(ISNA(MATCH(Q3128,ctaNombre,0)),"⚠ Cuenta no registrada",IF(AND(OR(P3128="Gasto",P3128="Reembolso"),D3128=""),"⚠ Falta categoría",IF(AND(D3128&lt;&gt;"",E3128&lt;&gt;"",ISNA(MATCH(D3128&amp;"|"&amp;E3128,catClave,0))),"⚠ Subcategoría no corresponde",IF(AND(OR(P3128="Transferencia",P3128="Pago tarjeta"),K3128=""),"⚠ Falta cuenta destino",IF(AND(K3128&lt;&gt;"",P3128&lt;&gt;"Transferencia",P3128&lt;&gt;"Pago tarjeta"),"⚠ Destino solo aplica a transferencias",IF(AND(K3128&lt;&gt;"",K3128=Q3128),"⚠ Origen igual a destino",IF(AND(K3128&lt;&gt;"",ISNA(MATCH(K3128,ctaNombre,0))),"⚠ Destino no registrado",IF(AND(P3128="Pago tarjeta",AE3128&lt;&gt;"Tarjeta de crédito"),"⚠ El destino debe ser tarjeta de crédito",IF(AND(P3128="Gasto",E3128="Depósitos y retiros"),"⚠ Usa tipo Transferencia",IF(AND(P3128="Resultado trading",AD3128&lt;&gt;"Cuenta de trading"),"⚠ Usa una cuenta de trading",IF(AND(G3128&lt;=0,P3128&lt;&gt;"Ajuste",P3128&lt;&gt;"Resultado trading"),"⚠ El monto debe ser positivo","✓")))))))))))))))</f>
        <v/>
      </c>
      <c r="P3128" s="52">
        <f>IF(OR(B3128="",G3128=""),"",IF(C3128="","Gasto",C3128))</f>
        <v/>
      </c>
      <c r="Q3128" s="52">
        <f>IF(P3128="","",IF(J3128&lt;&gt;"",J3128,CuentaPred&amp;""))</f>
        <v/>
      </c>
      <c r="R3128" s="52">
        <f>IF(P3128="","",IF(ISNUMBER(I3128),I3128,TasaUSD))</f>
        <v/>
      </c>
      <c r="S3128" s="53">
        <f>IF(P3128="","",IF(H3128="USD",G3128*R3128,G3128))</f>
        <v/>
      </c>
      <c r="T3128" s="53">
        <f>IF(P3128="","",IF(H3128="USD",G3128,IF(R3128&gt;0,G3128/R3128,0)))</f>
        <v/>
      </c>
      <c r="U3128" s="53">
        <f>IF(P3128="","",IF(P3128="Gasto",S3128,IF(P3128="Reembolso",-S3128,0)))</f>
        <v/>
      </c>
      <c r="V3128" s="53">
        <f>IF(P3128="","",IF(P3128="Ingreso",S3128,0))</f>
        <v/>
      </c>
      <c r="W3128" s="53">
        <f>IF(P3128="","",IF(P3128="Resultado trading",S3128,0))</f>
        <v/>
      </c>
      <c r="X3128" s="52">
        <f>IF(OR(P3128="Gasto",P3128="Reembolso"),IF(M3128&lt;&gt;"",M3128,IFERROR(INDEX(catClasif,MATCH(D3128&amp;"|"&amp;E3128,catClave,0))&amp;"","Variable")),"")</f>
        <v/>
      </c>
      <c r="Y3128" s="52">
        <f>IF(P3128="","",IFERROR(INDEX(catGrupo,MATCH(D3128&amp;"|"&amp;E3128,catClave,0))&amp;"",""))</f>
        <v/>
      </c>
      <c r="Z3128" s="52">
        <f>IF(P3128="","",WEEKDAY(B3128,2))</f>
        <v/>
      </c>
      <c r="AA3128" s="52">
        <f>IF(P3128="","",IF(AND(P3128="Gasto",X3128="Variable",D3128&lt;&gt;catTrading,S3128&gt;0,S3128&lt;=Umbral),1,0))</f>
        <v/>
      </c>
      <c r="AB3128" s="52">
        <f>IF(OR(P3128="",Q3128=""),"",IFERROR(IF(INDEX(ctaVinc,MATCH(Q3128,ctaNombre,0))&amp;""&lt;&gt;"",INDEX(ctaVinc,MATCH(Q3128,ctaNombre,0))&amp;"",Q3128),Q3128))</f>
        <v/>
      </c>
      <c r="AC3128" s="52">
        <f>IF(OR(K3128="",AND(P3128&lt;&gt;"Transferencia",P3128&lt;&gt;"Pago tarjeta")),"",IFERROR(IF(INDEX(ctaVinc,MATCH(K3128,ctaNombre,0))&amp;""&lt;&gt;"",INDEX(ctaVinc,MATCH(K3128,ctaNombre,0))&amp;"",K3128),K3128))</f>
        <v/>
      </c>
      <c r="AD3128" s="52">
        <f>IF(AB3128="","",IFERROR(INDEX(ctaTipo,MATCH(AB3128,ctaNombre,0))&amp;"",""))</f>
        <v/>
      </c>
      <c r="AE3128" s="52">
        <f>IF(AC3128="","",IFERROR(INDEX(ctaTipo,MATCH(AC3128,ctaNombre,0))&amp;"",""))</f>
        <v/>
      </c>
      <c r="AF3128" s="53">
        <f>IF(OR(P3128="",AB3128=""),"",IF(OR(P3128="Gasto",P3128="Transferencia",P3128="Pago tarjeta"),-1,1)*IF(IFERROR(INDEX(ctaMoneda,MATCH(AB3128,ctaNombre,0))&amp;"","DOP")="USD",T3128,S3128))</f>
        <v/>
      </c>
      <c r="AG3128" s="53">
        <f>IF(AC3128="","",IF(IFERROR(INDEX(ctaMoneda,MATCH(AC3128,ctaNombre,0))&amp;"","DOP")="USD",T3128,S3128))</f>
        <v/>
      </c>
      <c r="AH3128" s="53">
        <f>IF(P3128="","",IF(AND(AD3128&lt;&gt;"",COUNTIFS(tcTipo,AD3128,tcLiq,"Sí")&gt;0),IF(OR(P3128="Gasto",P3128="Transferencia",P3128="Pago tarjeta"),-1,1)*S3128,0)+IF(AND(AE3128&lt;&gt;"",COUNTIFS(tcTipo,AE3128,tcLiq,"Sí")&gt;0),S3128,0))</f>
        <v/>
      </c>
      <c r="AI3128" s="52">
        <f>IF(OR(L3128="",P3128=""),"",IF(COUNTIFS(L$6:L3128,L3128,P$6:P3128,"?*")=1,MAX(AI$5:AI3127)+1,""))</f>
        <v/>
      </c>
    </row>
    <row r="3129">
      <c r="B3129" s="47" t="n"/>
      <c r="C3129" s="48" t="n"/>
      <c r="D3129" s="48" t="n"/>
      <c r="E3129" s="48" t="n"/>
      <c r="F3129" s="48" t="n"/>
      <c r="G3129" s="49" t="n"/>
      <c r="H3129" s="48" t="n"/>
      <c r="I3129" s="50" t="n"/>
      <c r="J3129" s="48" t="n"/>
      <c r="K3129" s="48" t="n"/>
      <c r="L3129" s="48" t="n"/>
      <c r="M3129" s="48" t="n"/>
      <c r="N3129" s="48" t="n"/>
      <c r="O3129" s="51">
        <f>IF(AND(B3129="",G3129="",C3129="",D3129="",J3129=""),"",IF(B3129="","⚠ Falta fecha",IF(G3129="","⚠ Falta monto",IF(Q3129="","⚠ Falta cuenta",IF(ISNA(MATCH(Q3129,ctaNombre,0)),"⚠ Cuenta no registrada",IF(AND(OR(P3129="Gasto",P3129="Reembolso"),D3129=""),"⚠ Falta categoría",IF(AND(D3129&lt;&gt;"",E3129&lt;&gt;"",ISNA(MATCH(D3129&amp;"|"&amp;E3129,catClave,0))),"⚠ Subcategoría no corresponde",IF(AND(OR(P3129="Transferencia",P3129="Pago tarjeta"),K3129=""),"⚠ Falta cuenta destino",IF(AND(K3129&lt;&gt;"",P3129&lt;&gt;"Transferencia",P3129&lt;&gt;"Pago tarjeta"),"⚠ Destino solo aplica a transferencias",IF(AND(K3129&lt;&gt;"",K3129=Q3129),"⚠ Origen igual a destino",IF(AND(K3129&lt;&gt;"",ISNA(MATCH(K3129,ctaNombre,0))),"⚠ Destino no registrado",IF(AND(P3129="Pago tarjeta",AE3129&lt;&gt;"Tarjeta de crédito"),"⚠ El destino debe ser tarjeta de crédito",IF(AND(P3129="Gasto",E3129="Depósitos y retiros"),"⚠ Usa tipo Transferencia",IF(AND(P3129="Resultado trading",AD3129&lt;&gt;"Cuenta de trading"),"⚠ Usa una cuenta de trading",IF(AND(G3129&lt;=0,P3129&lt;&gt;"Ajuste",P3129&lt;&gt;"Resultado trading"),"⚠ El monto debe ser positivo","✓")))))))))))))))</f>
        <v/>
      </c>
      <c r="P3129" s="52">
        <f>IF(OR(B3129="",G3129=""),"",IF(C3129="","Gasto",C3129))</f>
        <v/>
      </c>
      <c r="Q3129" s="52">
        <f>IF(P3129="","",IF(J3129&lt;&gt;"",J3129,CuentaPred&amp;""))</f>
        <v/>
      </c>
      <c r="R3129" s="52">
        <f>IF(P3129="","",IF(ISNUMBER(I3129),I3129,TasaUSD))</f>
        <v/>
      </c>
      <c r="S3129" s="53">
        <f>IF(P3129="","",IF(H3129="USD",G3129*R3129,G3129))</f>
        <v/>
      </c>
      <c r="T3129" s="53">
        <f>IF(P3129="","",IF(H3129="USD",G3129,IF(R3129&gt;0,G3129/R3129,0)))</f>
        <v/>
      </c>
      <c r="U3129" s="53">
        <f>IF(P3129="","",IF(P3129="Gasto",S3129,IF(P3129="Reembolso",-S3129,0)))</f>
        <v/>
      </c>
      <c r="V3129" s="53">
        <f>IF(P3129="","",IF(P3129="Ingreso",S3129,0))</f>
        <v/>
      </c>
      <c r="W3129" s="53">
        <f>IF(P3129="","",IF(P3129="Resultado trading",S3129,0))</f>
        <v/>
      </c>
      <c r="X3129" s="52">
        <f>IF(OR(P3129="Gasto",P3129="Reembolso"),IF(M3129&lt;&gt;"",M3129,IFERROR(INDEX(catClasif,MATCH(D3129&amp;"|"&amp;E3129,catClave,0))&amp;"","Variable")),"")</f>
        <v/>
      </c>
      <c r="Y3129" s="52">
        <f>IF(P3129="","",IFERROR(INDEX(catGrupo,MATCH(D3129&amp;"|"&amp;E3129,catClave,0))&amp;"",""))</f>
        <v/>
      </c>
      <c r="Z3129" s="52">
        <f>IF(P3129="","",WEEKDAY(B3129,2))</f>
        <v/>
      </c>
      <c r="AA3129" s="52">
        <f>IF(P3129="","",IF(AND(P3129="Gasto",X3129="Variable",D3129&lt;&gt;catTrading,S3129&gt;0,S3129&lt;=Umbral),1,0))</f>
        <v/>
      </c>
      <c r="AB3129" s="52">
        <f>IF(OR(P3129="",Q3129=""),"",IFERROR(IF(INDEX(ctaVinc,MATCH(Q3129,ctaNombre,0))&amp;""&lt;&gt;"",INDEX(ctaVinc,MATCH(Q3129,ctaNombre,0))&amp;"",Q3129),Q3129))</f>
        <v/>
      </c>
      <c r="AC3129" s="52">
        <f>IF(OR(K3129="",AND(P3129&lt;&gt;"Transferencia",P3129&lt;&gt;"Pago tarjeta")),"",IFERROR(IF(INDEX(ctaVinc,MATCH(K3129,ctaNombre,0))&amp;""&lt;&gt;"",INDEX(ctaVinc,MATCH(K3129,ctaNombre,0))&amp;"",K3129),K3129))</f>
        <v/>
      </c>
      <c r="AD3129" s="52">
        <f>IF(AB3129="","",IFERROR(INDEX(ctaTipo,MATCH(AB3129,ctaNombre,0))&amp;"",""))</f>
        <v/>
      </c>
      <c r="AE3129" s="52">
        <f>IF(AC3129="","",IFERROR(INDEX(ctaTipo,MATCH(AC3129,ctaNombre,0))&amp;"",""))</f>
        <v/>
      </c>
      <c r="AF3129" s="53">
        <f>IF(OR(P3129="",AB3129=""),"",IF(OR(P3129="Gasto",P3129="Transferencia",P3129="Pago tarjeta"),-1,1)*IF(IFERROR(INDEX(ctaMoneda,MATCH(AB3129,ctaNombre,0))&amp;"","DOP")="USD",T3129,S3129))</f>
        <v/>
      </c>
      <c r="AG3129" s="53">
        <f>IF(AC3129="","",IF(IFERROR(INDEX(ctaMoneda,MATCH(AC3129,ctaNombre,0))&amp;"","DOP")="USD",T3129,S3129))</f>
        <v/>
      </c>
      <c r="AH3129" s="53">
        <f>IF(P3129="","",IF(AND(AD3129&lt;&gt;"",COUNTIFS(tcTipo,AD3129,tcLiq,"Sí")&gt;0),IF(OR(P3129="Gasto",P3129="Transferencia",P3129="Pago tarjeta"),-1,1)*S3129,0)+IF(AND(AE3129&lt;&gt;"",COUNTIFS(tcTipo,AE3129,tcLiq,"Sí")&gt;0),S3129,0))</f>
        <v/>
      </c>
      <c r="AI3129" s="52">
        <f>IF(OR(L3129="",P3129=""),"",IF(COUNTIFS(L$6:L3129,L3129,P$6:P3129,"?*")=1,MAX(AI$5:AI3128)+1,""))</f>
        <v/>
      </c>
    </row>
    <row r="3130">
      <c r="B3130" s="47" t="n"/>
      <c r="C3130" s="48" t="n"/>
      <c r="D3130" s="48" t="n"/>
      <c r="E3130" s="48" t="n"/>
      <c r="F3130" s="48" t="n"/>
      <c r="G3130" s="49" t="n"/>
      <c r="H3130" s="48" t="n"/>
      <c r="I3130" s="50" t="n"/>
      <c r="J3130" s="48" t="n"/>
      <c r="K3130" s="48" t="n"/>
      <c r="L3130" s="48" t="n"/>
      <c r="M3130" s="48" t="n"/>
      <c r="N3130" s="48" t="n"/>
      <c r="O3130" s="51">
        <f>IF(AND(B3130="",G3130="",C3130="",D3130="",J3130=""),"",IF(B3130="","⚠ Falta fecha",IF(G3130="","⚠ Falta monto",IF(Q3130="","⚠ Falta cuenta",IF(ISNA(MATCH(Q3130,ctaNombre,0)),"⚠ Cuenta no registrada",IF(AND(OR(P3130="Gasto",P3130="Reembolso"),D3130=""),"⚠ Falta categoría",IF(AND(D3130&lt;&gt;"",E3130&lt;&gt;"",ISNA(MATCH(D3130&amp;"|"&amp;E3130,catClave,0))),"⚠ Subcategoría no corresponde",IF(AND(OR(P3130="Transferencia",P3130="Pago tarjeta"),K3130=""),"⚠ Falta cuenta destino",IF(AND(K3130&lt;&gt;"",P3130&lt;&gt;"Transferencia",P3130&lt;&gt;"Pago tarjeta"),"⚠ Destino solo aplica a transferencias",IF(AND(K3130&lt;&gt;"",K3130=Q3130),"⚠ Origen igual a destino",IF(AND(K3130&lt;&gt;"",ISNA(MATCH(K3130,ctaNombre,0))),"⚠ Destino no registrado",IF(AND(P3130="Pago tarjeta",AE3130&lt;&gt;"Tarjeta de crédito"),"⚠ El destino debe ser tarjeta de crédito",IF(AND(P3130="Gasto",E3130="Depósitos y retiros"),"⚠ Usa tipo Transferencia",IF(AND(P3130="Resultado trading",AD3130&lt;&gt;"Cuenta de trading"),"⚠ Usa una cuenta de trading",IF(AND(G3130&lt;=0,P3130&lt;&gt;"Ajuste",P3130&lt;&gt;"Resultado trading"),"⚠ El monto debe ser positivo","✓")))))))))))))))</f>
        <v/>
      </c>
      <c r="P3130" s="52">
        <f>IF(OR(B3130="",G3130=""),"",IF(C3130="","Gasto",C3130))</f>
        <v/>
      </c>
      <c r="Q3130" s="52">
        <f>IF(P3130="","",IF(J3130&lt;&gt;"",J3130,CuentaPred&amp;""))</f>
        <v/>
      </c>
      <c r="R3130" s="52">
        <f>IF(P3130="","",IF(ISNUMBER(I3130),I3130,TasaUSD))</f>
        <v/>
      </c>
      <c r="S3130" s="53">
        <f>IF(P3130="","",IF(H3130="USD",G3130*R3130,G3130))</f>
        <v/>
      </c>
      <c r="T3130" s="53">
        <f>IF(P3130="","",IF(H3130="USD",G3130,IF(R3130&gt;0,G3130/R3130,0)))</f>
        <v/>
      </c>
      <c r="U3130" s="53">
        <f>IF(P3130="","",IF(P3130="Gasto",S3130,IF(P3130="Reembolso",-S3130,0)))</f>
        <v/>
      </c>
      <c r="V3130" s="53">
        <f>IF(P3130="","",IF(P3130="Ingreso",S3130,0))</f>
        <v/>
      </c>
      <c r="W3130" s="53">
        <f>IF(P3130="","",IF(P3130="Resultado trading",S3130,0))</f>
        <v/>
      </c>
      <c r="X3130" s="52">
        <f>IF(OR(P3130="Gasto",P3130="Reembolso"),IF(M3130&lt;&gt;"",M3130,IFERROR(INDEX(catClasif,MATCH(D3130&amp;"|"&amp;E3130,catClave,0))&amp;"","Variable")),"")</f>
        <v/>
      </c>
      <c r="Y3130" s="52">
        <f>IF(P3130="","",IFERROR(INDEX(catGrupo,MATCH(D3130&amp;"|"&amp;E3130,catClave,0))&amp;"",""))</f>
        <v/>
      </c>
      <c r="Z3130" s="52">
        <f>IF(P3130="","",WEEKDAY(B3130,2))</f>
        <v/>
      </c>
      <c r="AA3130" s="52">
        <f>IF(P3130="","",IF(AND(P3130="Gasto",X3130="Variable",D3130&lt;&gt;catTrading,S3130&gt;0,S3130&lt;=Umbral),1,0))</f>
        <v/>
      </c>
      <c r="AB3130" s="52">
        <f>IF(OR(P3130="",Q3130=""),"",IFERROR(IF(INDEX(ctaVinc,MATCH(Q3130,ctaNombre,0))&amp;""&lt;&gt;"",INDEX(ctaVinc,MATCH(Q3130,ctaNombre,0))&amp;"",Q3130),Q3130))</f>
        <v/>
      </c>
      <c r="AC3130" s="52">
        <f>IF(OR(K3130="",AND(P3130&lt;&gt;"Transferencia",P3130&lt;&gt;"Pago tarjeta")),"",IFERROR(IF(INDEX(ctaVinc,MATCH(K3130,ctaNombre,0))&amp;""&lt;&gt;"",INDEX(ctaVinc,MATCH(K3130,ctaNombre,0))&amp;"",K3130),K3130))</f>
        <v/>
      </c>
      <c r="AD3130" s="52">
        <f>IF(AB3130="","",IFERROR(INDEX(ctaTipo,MATCH(AB3130,ctaNombre,0))&amp;"",""))</f>
        <v/>
      </c>
      <c r="AE3130" s="52">
        <f>IF(AC3130="","",IFERROR(INDEX(ctaTipo,MATCH(AC3130,ctaNombre,0))&amp;"",""))</f>
        <v/>
      </c>
      <c r="AF3130" s="53">
        <f>IF(OR(P3130="",AB3130=""),"",IF(OR(P3130="Gasto",P3130="Transferencia",P3130="Pago tarjeta"),-1,1)*IF(IFERROR(INDEX(ctaMoneda,MATCH(AB3130,ctaNombre,0))&amp;"","DOP")="USD",T3130,S3130))</f>
        <v/>
      </c>
      <c r="AG3130" s="53">
        <f>IF(AC3130="","",IF(IFERROR(INDEX(ctaMoneda,MATCH(AC3130,ctaNombre,0))&amp;"","DOP")="USD",T3130,S3130))</f>
        <v/>
      </c>
      <c r="AH3130" s="53">
        <f>IF(P3130="","",IF(AND(AD3130&lt;&gt;"",COUNTIFS(tcTipo,AD3130,tcLiq,"Sí")&gt;0),IF(OR(P3130="Gasto",P3130="Transferencia",P3130="Pago tarjeta"),-1,1)*S3130,0)+IF(AND(AE3130&lt;&gt;"",COUNTIFS(tcTipo,AE3130,tcLiq,"Sí")&gt;0),S3130,0))</f>
        <v/>
      </c>
      <c r="AI3130" s="52">
        <f>IF(OR(L3130="",P3130=""),"",IF(COUNTIFS(L$6:L3130,L3130,P$6:P3130,"?*")=1,MAX(AI$5:AI3129)+1,""))</f>
        <v/>
      </c>
    </row>
    <row r="3131">
      <c r="B3131" s="47" t="n"/>
      <c r="C3131" s="48" t="n"/>
      <c r="D3131" s="48" t="n"/>
      <c r="E3131" s="48" t="n"/>
      <c r="F3131" s="48" t="n"/>
      <c r="G3131" s="49" t="n"/>
      <c r="H3131" s="48" t="n"/>
      <c r="I3131" s="50" t="n"/>
      <c r="J3131" s="48" t="n"/>
      <c r="K3131" s="48" t="n"/>
      <c r="L3131" s="48" t="n"/>
      <c r="M3131" s="48" t="n"/>
      <c r="N3131" s="48" t="n"/>
      <c r="O3131" s="51">
        <f>IF(AND(B3131="",G3131="",C3131="",D3131="",J3131=""),"",IF(B3131="","⚠ Falta fecha",IF(G3131="","⚠ Falta monto",IF(Q3131="","⚠ Falta cuenta",IF(ISNA(MATCH(Q3131,ctaNombre,0)),"⚠ Cuenta no registrada",IF(AND(OR(P3131="Gasto",P3131="Reembolso"),D3131=""),"⚠ Falta categoría",IF(AND(D3131&lt;&gt;"",E3131&lt;&gt;"",ISNA(MATCH(D3131&amp;"|"&amp;E3131,catClave,0))),"⚠ Subcategoría no corresponde",IF(AND(OR(P3131="Transferencia",P3131="Pago tarjeta"),K3131=""),"⚠ Falta cuenta destino",IF(AND(K3131&lt;&gt;"",P3131&lt;&gt;"Transferencia",P3131&lt;&gt;"Pago tarjeta"),"⚠ Destino solo aplica a transferencias",IF(AND(K3131&lt;&gt;"",K3131=Q3131),"⚠ Origen igual a destino",IF(AND(K3131&lt;&gt;"",ISNA(MATCH(K3131,ctaNombre,0))),"⚠ Destino no registrado",IF(AND(P3131="Pago tarjeta",AE3131&lt;&gt;"Tarjeta de crédito"),"⚠ El destino debe ser tarjeta de crédito",IF(AND(P3131="Gasto",E3131="Depósitos y retiros"),"⚠ Usa tipo Transferencia",IF(AND(P3131="Resultado trading",AD3131&lt;&gt;"Cuenta de trading"),"⚠ Usa una cuenta de trading",IF(AND(G3131&lt;=0,P3131&lt;&gt;"Ajuste",P3131&lt;&gt;"Resultado trading"),"⚠ El monto debe ser positivo","✓")))))))))))))))</f>
        <v/>
      </c>
      <c r="P3131" s="52">
        <f>IF(OR(B3131="",G3131=""),"",IF(C3131="","Gasto",C3131))</f>
        <v/>
      </c>
      <c r="Q3131" s="52">
        <f>IF(P3131="","",IF(J3131&lt;&gt;"",J3131,CuentaPred&amp;""))</f>
        <v/>
      </c>
      <c r="R3131" s="52">
        <f>IF(P3131="","",IF(ISNUMBER(I3131),I3131,TasaUSD))</f>
        <v/>
      </c>
      <c r="S3131" s="53">
        <f>IF(P3131="","",IF(H3131="USD",G3131*R3131,G3131))</f>
        <v/>
      </c>
      <c r="T3131" s="53">
        <f>IF(P3131="","",IF(H3131="USD",G3131,IF(R3131&gt;0,G3131/R3131,0)))</f>
        <v/>
      </c>
      <c r="U3131" s="53">
        <f>IF(P3131="","",IF(P3131="Gasto",S3131,IF(P3131="Reembolso",-S3131,0)))</f>
        <v/>
      </c>
      <c r="V3131" s="53">
        <f>IF(P3131="","",IF(P3131="Ingreso",S3131,0))</f>
        <v/>
      </c>
      <c r="W3131" s="53">
        <f>IF(P3131="","",IF(P3131="Resultado trading",S3131,0))</f>
        <v/>
      </c>
      <c r="X3131" s="52">
        <f>IF(OR(P3131="Gasto",P3131="Reembolso"),IF(M3131&lt;&gt;"",M3131,IFERROR(INDEX(catClasif,MATCH(D3131&amp;"|"&amp;E3131,catClave,0))&amp;"","Variable")),"")</f>
        <v/>
      </c>
      <c r="Y3131" s="52">
        <f>IF(P3131="","",IFERROR(INDEX(catGrupo,MATCH(D3131&amp;"|"&amp;E3131,catClave,0))&amp;"",""))</f>
        <v/>
      </c>
      <c r="Z3131" s="52">
        <f>IF(P3131="","",WEEKDAY(B3131,2))</f>
        <v/>
      </c>
      <c r="AA3131" s="52">
        <f>IF(P3131="","",IF(AND(P3131="Gasto",X3131="Variable",D3131&lt;&gt;catTrading,S3131&gt;0,S3131&lt;=Umbral),1,0))</f>
        <v/>
      </c>
      <c r="AB3131" s="52">
        <f>IF(OR(P3131="",Q3131=""),"",IFERROR(IF(INDEX(ctaVinc,MATCH(Q3131,ctaNombre,0))&amp;""&lt;&gt;"",INDEX(ctaVinc,MATCH(Q3131,ctaNombre,0))&amp;"",Q3131),Q3131))</f>
        <v/>
      </c>
      <c r="AC3131" s="52">
        <f>IF(OR(K3131="",AND(P3131&lt;&gt;"Transferencia",P3131&lt;&gt;"Pago tarjeta")),"",IFERROR(IF(INDEX(ctaVinc,MATCH(K3131,ctaNombre,0))&amp;""&lt;&gt;"",INDEX(ctaVinc,MATCH(K3131,ctaNombre,0))&amp;"",K3131),K3131))</f>
        <v/>
      </c>
      <c r="AD3131" s="52">
        <f>IF(AB3131="","",IFERROR(INDEX(ctaTipo,MATCH(AB3131,ctaNombre,0))&amp;"",""))</f>
        <v/>
      </c>
      <c r="AE3131" s="52">
        <f>IF(AC3131="","",IFERROR(INDEX(ctaTipo,MATCH(AC3131,ctaNombre,0))&amp;"",""))</f>
        <v/>
      </c>
      <c r="AF3131" s="53">
        <f>IF(OR(P3131="",AB3131=""),"",IF(OR(P3131="Gasto",P3131="Transferencia",P3131="Pago tarjeta"),-1,1)*IF(IFERROR(INDEX(ctaMoneda,MATCH(AB3131,ctaNombre,0))&amp;"","DOP")="USD",T3131,S3131))</f>
        <v/>
      </c>
      <c r="AG3131" s="53">
        <f>IF(AC3131="","",IF(IFERROR(INDEX(ctaMoneda,MATCH(AC3131,ctaNombre,0))&amp;"","DOP")="USD",T3131,S3131))</f>
        <v/>
      </c>
      <c r="AH3131" s="53">
        <f>IF(P3131="","",IF(AND(AD3131&lt;&gt;"",COUNTIFS(tcTipo,AD3131,tcLiq,"Sí")&gt;0),IF(OR(P3131="Gasto",P3131="Transferencia",P3131="Pago tarjeta"),-1,1)*S3131,0)+IF(AND(AE3131&lt;&gt;"",COUNTIFS(tcTipo,AE3131,tcLiq,"Sí")&gt;0),S3131,0))</f>
        <v/>
      </c>
      <c r="AI3131" s="52">
        <f>IF(OR(L3131="",P3131=""),"",IF(COUNTIFS(L$6:L3131,L3131,P$6:P3131,"?*")=1,MAX(AI$5:AI3130)+1,""))</f>
        <v/>
      </c>
    </row>
    <row r="3132">
      <c r="B3132" s="47" t="n"/>
      <c r="C3132" s="48" t="n"/>
      <c r="D3132" s="48" t="n"/>
      <c r="E3132" s="48" t="n"/>
      <c r="F3132" s="48" t="n"/>
      <c r="G3132" s="49" t="n"/>
      <c r="H3132" s="48" t="n"/>
      <c r="I3132" s="50" t="n"/>
      <c r="J3132" s="48" t="n"/>
      <c r="K3132" s="48" t="n"/>
      <c r="L3132" s="48" t="n"/>
      <c r="M3132" s="48" t="n"/>
      <c r="N3132" s="48" t="n"/>
      <c r="O3132" s="51">
        <f>IF(AND(B3132="",G3132="",C3132="",D3132="",J3132=""),"",IF(B3132="","⚠ Falta fecha",IF(G3132="","⚠ Falta monto",IF(Q3132="","⚠ Falta cuenta",IF(ISNA(MATCH(Q3132,ctaNombre,0)),"⚠ Cuenta no registrada",IF(AND(OR(P3132="Gasto",P3132="Reembolso"),D3132=""),"⚠ Falta categoría",IF(AND(D3132&lt;&gt;"",E3132&lt;&gt;"",ISNA(MATCH(D3132&amp;"|"&amp;E3132,catClave,0))),"⚠ Subcategoría no corresponde",IF(AND(OR(P3132="Transferencia",P3132="Pago tarjeta"),K3132=""),"⚠ Falta cuenta destino",IF(AND(K3132&lt;&gt;"",P3132&lt;&gt;"Transferencia",P3132&lt;&gt;"Pago tarjeta"),"⚠ Destino solo aplica a transferencias",IF(AND(K3132&lt;&gt;"",K3132=Q3132),"⚠ Origen igual a destino",IF(AND(K3132&lt;&gt;"",ISNA(MATCH(K3132,ctaNombre,0))),"⚠ Destino no registrado",IF(AND(P3132="Pago tarjeta",AE3132&lt;&gt;"Tarjeta de crédito"),"⚠ El destino debe ser tarjeta de crédito",IF(AND(P3132="Gasto",E3132="Depósitos y retiros"),"⚠ Usa tipo Transferencia",IF(AND(P3132="Resultado trading",AD3132&lt;&gt;"Cuenta de trading"),"⚠ Usa una cuenta de trading",IF(AND(G3132&lt;=0,P3132&lt;&gt;"Ajuste",P3132&lt;&gt;"Resultado trading"),"⚠ El monto debe ser positivo","✓")))))))))))))))</f>
        <v/>
      </c>
      <c r="P3132" s="52">
        <f>IF(OR(B3132="",G3132=""),"",IF(C3132="","Gasto",C3132))</f>
        <v/>
      </c>
      <c r="Q3132" s="52">
        <f>IF(P3132="","",IF(J3132&lt;&gt;"",J3132,CuentaPred&amp;""))</f>
        <v/>
      </c>
      <c r="R3132" s="52">
        <f>IF(P3132="","",IF(ISNUMBER(I3132),I3132,TasaUSD))</f>
        <v/>
      </c>
      <c r="S3132" s="53">
        <f>IF(P3132="","",IF(H3132="USD",G3132*R3132,G3132))</f>
        <v/>
      </c>
      <c r="T3132" s="53">
        <f>IF(P3132="","",IF(H3132="USD",G3132,IF(R3132&gt;0,G3132/R3132,0)))</f>
        <v/>
      </c>
      <c r="U3132" s="53">
        <f>IF(P3132="","",IF(P3132="Gasto",S3132,IF(P3132="Reembolso",-S3132,0)))</f>
        <v/>
      </c>
      <c r="V3132" s="53">
        <f>IF(P3132="","",IF(P3132="Ingreso",S3132,0))</f>
        <v/>
      </c>
      <c r="W3132" s="53">
        <f>IF(P3132="","",IF(P3132="Resultado trading",S3132,0))</f>
        <v/>
      </c>
      <c r="X3132" s="52">
        <f>IF(OR(P3132="Gasto",P3132="Reembolso"),IF(M3132&lt;&gt;"",M3132,IFERROR(INDEX(catClasif,MATCH(D3132&amp;"|"&amp;E3132,catClave,0))&amp;"","Variable")),"")</f>
        <v/>
      </c>
      <c r="Y3132" s="52">
        <f>IF(P3132="","",IFERROR(INDEX(catGrupo,MATCH(D3132&amp;"|"&amp;E3132,catClave,0))&amp;"",""))</f>
        <v/>
      </c>
      <c r="Z3132" s="52">
        <f>IF(P3132="","",WEEKDAY(B3132,2))</f>
        <v/>
      </c>
      <c r="AA3132" s="52">
        <f>IF(P3132="","",IF(AND(P3132="Gasto",X3132="Variable",D3132&lt;&gt;catTrading,S3132&gt;0,S3132&lt;=Umbral),1,0))</f>
        <v/>
      </c>
      <c r="AB3132" s="52">
        <f>IF(OR(P3132="",Q3132=""),"",IFERROR(IF(INDEX(ctaVinc,MATCH(Q3132,ctaNombre,0))&amp;""&lt;&gt;"",INDEX(ctaVinc,MATCH(Q3132,ctaNombre,0))&amp;"",Q3132),Q3132))</f>
        <v/>
      </c>
      <c r="AC3132" s="52">
        <f>IF(OR(K3132="",AND(P3132&lt;&gt;"Transferencia",P3132&lt;&gt;"Pago tarjeta")),"",IFERROR(IF(INDEX(ctaVinc,MATCH(K3132,ctaNombre,0))&amp;""&lt;&gt;"",INDEX(ctaVinc,MATCH(K3132,ctaNombre,0))&amp;"",K3132),K3132))</f>
        <v/>
      </c>
      <c r="AD3132" s="52">
        <f>IF(AB3132="","",IFERROR(INDEX(ctaTipo,MATCH(AB3132,ctaNombre,0))&amp;"",""))</f>
        <v/>
      </c>
      <c r="AE3132" s="52">
        <f>IF(AC3132="","",IFERROR(INDEX(ctaTipo,MATCH(AC3132,ctaNombre,0))&amp;"",""))</f>
        <v/>
      </c>
      <c r="AF3132" s="53">
        <f>IF(OR(P3132="",AB3132=""),"",IF(OR(P3132="Gasto",P3132="Transferencia",P3132="Pago tarjeta"),-1,1)*IF(IFERROR(INDEX(ctaMoneda,MATCH(AB3132,ctaNombre,0))&amp;"","DOP")="USD",T3132,S3132))</f>
        <v/>
      </c>
      <c r="AG3132" s="53">
        <f>IF(AC3132="","",IF(IFERROR(INDEX(ctaMoneda,MATCH(AC3132,ctaNombre,0))&amp;"","DOP")="USD",T3132,S3132))</f>
        <v/>
      </c>
      <c r="AH3132" s="53">
        <f>IF(P3132="","",IF(AND(AD3132&lt;&gt;"",COUNTIFS(tcTipo,AD3132,tcLiq,"Sí")&gt;0),IF(OR(P3132="Gasto",P3132="Transferencia",P3132="Pago tarjeta"),-1,1)*S3132,0)+IF(AND(AE3132&lt;&gt;"",COUNTIFS(tcTipo,AE3132,tcLiq,"Sí")&gt;0),S3132,0))</f>
        <v/>
      </c>
      <c r="AI3132" s="52">
        <f>IF(OR(L3132="",P3132=""),"",IF(COUNTIFS(L$6:L3132,L3132,P$6:P3132,"?*")=1,MAX(AI$5:AI3131)+1,""))</f>
        <v/>
      </c>
    </row>
    <row r="3133">
      <c r="B3133" s="47" t="n"/>
      <c r="C3133" s="48" t="n"/>
      <c r="D3133" s="48" t="n"/>
      <c r="E3133" s="48" t="n"/>
      <c r="F3133" s="48" t="n"/>
      <c r="G3133" s="49" t="n"/>
      <c r="H3133" s="48" t="n"/>
      <c r="I3133" s="50" t="n"/>
      <c r="J3133" s="48" t="n"/>
      <c r="K3133" s="48" t="n"/>
      <c r="L3133" s="48" t="n"/>
      <c r="M3133" s="48" t="n"/>
      <c r="N3133" s="48" t="n"/>
      <c r="O3133" s="51">
        <f>IF(AND(B3133="",G3133="",C3133="",D3133="",J3133=""),"",IF(B3133="","⚠ Falta fecha",IF(G3133="","⚠ Falta monto",IF(Q3133="","⚠ Falta cuenta",IF(ISNA(MATCH(Q3133,ctaNombre,0)),"⚠ Cuenta no registrada",IF(AND(OR(P3133="Gasto",P3133="Reembolso"),D3133=""),"⚠ Falta categoría",IF(AND(D3133&lt;&gt;"",E3133&lt;&gt;"",ISNA(MATCH(D3133&amp;"|"&amp;E3133,catClave,0))),"⚠ Subcategoría no corresponde",IF(AND(OR(P3133="Transferencia",P3133="Pago tarjeta"),K3133=""),"⚠ Falta cuenta destino",IF(AND(K3133&lt;&gt;"",P3133&lt;&gt;"Transferencia",P3133&lt;&gt;"Pago tarjeta"),"⚠ Destino solo aplica a transferencias",IF(AND(K3133&lt;&gt;"",K3133=Q3133),"⚠ Origen igual a destino",IF(AND(K3133&lt;&gt;"",ISNA(MATCH(K3133,ctaNombre,0))),"⚠ Destino no registrado",IF(AND(P3133="Pago tarjeta",AE3133&lt;&gt;"Tarjeta de crédito"),"⚠ El destino debe ser tarjeta de crédito",IF(AND(P3133="Gasto",E3133="Depósitos y retiros"),"⚠ Usa tipo Transferencia",IF(AND(P3133="Resultado trading",AD3133&lt;&gt;"Cuenta de trading"),"⚠ Usa una cuenta de trading",IF(AND(G3133&lt;=0,P3133&lt;&gt;"Ajuste",P3133&lt;&gt;"Resultado trading"),"⚠ El monto debe ser positivo","✓")))))))))))))))</f>
        <v/>
      </c>
      <c r="P3133" s="52">
        <f>IF(OR(B3133="",G3133=""),"",IF(C3133="","Gasto",C3133))</f>
        <v/>
      </c>
      <c r="Q3133" s="52">
        <f>IF(P3133="","",IF(J3133&lt;&gt;"",J3133,CuentaPred&amp;""))</f>
        <v/>
      </c>
      <c r="R3133" s="52">
        <f>IF(P3133="","",IF(ISNUMBER(I3133),I3133,TasaUSD))</f>
        <v/>
      </c>
      <c r="S3133" s="53">
        <f>IF(P3133="","",IF(H3133="USD",G3133*R3133,G3133))</f>
        <v/>
      </c>
      <c r="T3133" s="53">
        <f>IF(P3133="","",IF(H3133="USD",G3133,IF(R3133&gt;0,G3133/R3133,0)))</f>
        <v/>
      </c>
      <c r="U3133" s="53">
        <f>IF(P3133="","",IF(P3133="Gasto",S3133,IF(P3133="Reembolso",-S3133,0)))</f>
        <v/>
      </c>
      <c r="V3133" s="53">
        <f>IF(P3133="","",IF(P3133="Ingreso",S3133,0))</f>
        <v/>
      </c>
      <c r="W3133" s="53">
        <f>IF(P3133="","",IF(P3133="Resultado trading",S3133,0))</f>
        <v/>
      </c>
      <c r="X3133" s="52">
        <f>IF(OR(P3133="Gasto",P3133="Reembolso"),IF(M3133&lt;&gt;"",M3133,IFERROR(INDEX(catClasif,MATCH(D3133&amp;"|"&amp;E3133,catClave,0))&amp;"","Variable")),"")</f>
        <v/>
      </c>
      <c r="Y3133" s="52">
        <f>IF(P3133="","",IFERROR(INDEX(catGrupo,MATCH(D3133&amp;"|"&amp;E3133,catClave,0))&amp;"",""))</f>
        <v/>
      </c>
      <c r="Z3133" s="52">
        <f>IF(P3133="","",WEEKDAY(B3133,2))</f>
        <v/>
      </c>
      <c r="AA3133" s="52">
        <f>IF(P3133="","",IF(AND(P3133="Gasto",X3133="Variable",D3133&lt;&gt;catTrading,S3133&gt;0,S3133&lt;=Umbral),1,0))</f>
        <v/>
      </c>
      <c r="AB3133" s="52">
        <f>IF(OR(P3133="",Q3133=""),"",IFERROR(IF(INDEX(ctaVinc,MATCH(Q3133,ctaNombre,0))&amp;""&lt;&gt;"",INDEX(ctaVinc,MATCH(Q3133,ctaNombre,0))&amp;"",Q3133),Q3133))</f>
        <v/>
      </c>
      <c r="AC3133" s="52">
        <f>IF(OR(K3133="",AND(P3133&lt;&gt;"Transferencia",P3133&lt;&gt;"Pago tarjeta")),"",IFERROR(IF(INDEX(ctaVinc,MATCH(K3133,ctaNombre,0))&amp;""&lt;&gt;"",INDEX(ctaVinc,MATCH(K3133,ctaNombre,0))&amp;"",K3133),K3133))</f>
        <v/>
      </c>
      <c r="AD3133" s="52">
        <f>IF(AB3133="","",IFERROR(INDEX(ctaTipo,MATCH(AB3133,ctaNombre,0))&amp;"",""))</f>
        <v/>
      </c>
      <c r="AE3133" s="52">
        <f>IF(AC3133="","",IFERROR(INDEX(ctaTipo,MATCH(AC3133,ctaNombre,0))&amp;"",""))</f>
        <v/>
      </c>
      <c r="AF3133" s="53">
        <f>IF(OR(P3133="",AB3133=""),"",IF(OR(P3133="Gasto",P3133="Transferencia",P3133="Pago tarjeta"),-1,1)*IF(IFERROR(INDEX(ctaMoneda,MATCH(AB3133,ctaNombre,0))&amp;"","DOP")="USD",T3133,S3133))</f>
        <v/>
      </c>
      <c r="AG3133" s="53">
        <f>IF(AC3133="","",IF(IFERROR(INDEX(ctaMoneda,MATCH(AC3133,ctaNombre,0))&amp;"","DOP")="USD",T3133,S3133))</f>
        <v/>
      </c>
      <c r="AH3133" s="53">
        <f>IF(P3133="","",IF(AND(AD3133&lt;&gt;"",COUNTIFS(tcTipo,AD3133,tcLiq,"Sí")&gt;0),IF(OR(P3133="Gasto",P3133="Transferencia",P3133="Pago tarjeta"),-1,1)*S3133,0)+IF(AND(AE3133&lt;&gt;"",COUNTIFS(tcTipo,AE3133,tcLiq,"Sí")&gt;0),S3133,0))</f>
        <v/>
      </c>
      <c r="AI3133" s="52">
        <f>IF(OR(L3133="",P3133=""),"",IF(COUNTIFS(L$6:L3133,L3133,P$6:P3133,"?*")=1,MAX(AI$5:AI3132)+1,""))</f>
        <v/>
      </c>
    </row>
    <row r="3134">
      <c r="B3134" s="47" t="n"/>
      <c r="C3134" s="48" t="n"/>
      <c r="D3134" s="48" t="n"/>
      <c r="E3134" s="48" t="n"/>
      <c r="F3134" s="48" t="n"/>
      <c r="G3134" s="49" t="n"/>
      <c r="H3134" s="48" t="n"/>
      <c r="I3134" s="50" t="n"/>
      <c r="J3134" s="48" t="n"/>
      <c r="K3134" s="48" t="n"/>
      <c r="L3134" s="48" t="n"/>
      <c r="M3134" s="48" t="n"/>
      <c r="N3134" s="48" t="n"/>
      <c r="O3134" s="51">
        <f>IF(AND(B3134="",G3134="",C3134="",D3134="",J3134=""),"",IF(B3134="","⚠ Falta fecha",IF(G3134="","⚠ Falta monto",IF(Q3134="","⚠ Falta cuenta",IF(ISNA(MATCH(Q3134,ctaNombre,0)),"⚠ Cuenta no registrada",IF(AND(OR(P3134="Gasto",P3134="Reembolso"),D3134=""),"⚠ Falta categoría",IF(AND(D3134&lt;&gt;"",E3134&lt;&gt;"",ISNA(MATCH(D3134&amp;"|"&amp;E3134,catClave,0))),"⚠ Subcategoría no corresponde",IF(AND(OR(P3134="Transferencia",P3134="Pago tarjeta"),K3134=""),"⚠ Falta cuenta destino",IF(AND(K3134&lt;&gt;"",P3134&lt;&gt;"Transferencia",P3134&lt;&gt;"Pago tarjeta"),"⚠ Destino solo aplica a transferencias",IF(AND(K3134&lt;&gt;"",K3134=Q3134),"⚠ Origen igual a destino",IF(AND(K3134&lt;&gt;"",ISNA(MATCH(K3134,ctaNombre,0))),"⚠ Destino no registrado",IF(AND(P3134="Pago tarjeta",AE3134&lt;&gt;"Tarjeta de crédito"),"⚠ El destino debe ser tarjeta de crédito",IF(AND(P3134="Gasto",E3134="Depósitos y retiros"),"⚠ Usa tipo Transferencia",IF(AND(P3134="Resultado trading",AD3134&lt;&gt;"Cuenta de trading"),"⚠ Usa una cuenta de trading",IF(AND(G3134&lt;=0,P3134&lt;&gt;"Ajuste",P3134&lt;&gt;"Resultado trading"),"⚠ El monto debe ser positivo","✓")))))))))))))))</f>
        <v/>
      </c>
      <c r="P3134" s="52">
        <f>IF(OR(B3134="",G3134=""),"",IF(C3134="","Gasto",C3134))</f>
        <v/>
      </c>
      <c r="Q3134" s="52">
        <f>IF(P3134="","",IF(J3134&lt;&gt;"",J3134,CuentaPred&amp;""))</f>
        <v/>
      </c>
      <c r="R3134" s="52">
        <f>IF(P3134="","",IF(ISNUMBER(I3134),I3134,TasaUSD))</f>
        <v/>
      </c>
      <c r="S3134" s="53">
        <f>IF(P3134="","",IF(H3134="USD",G3134*R3134,G3134))</f>
        <v/>
      </c>
      <c r="T3134" s="53">
        <f>IF(P3134="","",IF(H3134="USD",G3134,IF(R3134&gt;0,G3134/R3134,0)))</f>
        <v/>
      </c>
      <c r="U3134" s="53">
        <f>IF(P3134="","",IF(P3134="Gasto",S3134,IF(P3134="Reembolso",-S3134,0)))</f>
        <v/>
      </c>
      <c r="V3134" s="53">
        <f>IF(P3134="","",IF(P3134="Ingreso",S3134,0))</f>
        <v/>
      </c>
      <c r="W3134" s="53">
        <f>IF(P3134="","",IF(P3134="Resultado trading",S3134,0))</f>
        <v/>
      </c>
      <c r="X3134" s="52">
        <f>IF(OR(P3134="Gasto",P3134="Reembolso"),IF(M3134&lt;&gt;"",M3134,IFERROR(INDEX(catClasif,MATCH(D3134&amp;"|"&amp;E3134,catClave,0))&amp;"","Variable")),"")</f>
        <v/>
      </c>
      <c r="Y3134" s="52">
        <f>IF(P3134="","",IFERROR(INDEX(catGrupo,MATCH(D3134&amp;"|"&amp;E3134,catClave,0))&amp;"",""))</f>
        <v/>
      </c>
      <c r="Z3134" s="52">
        <f>IF(P3134="","",WEEKDAY(B3134,2))</f>
        <v/>
      </c>
      <c r="AA3134" s="52">
        <f>IF(P3134="","",IF(AND(P3134="Gasto",X3134="Variable",D3134&lt;&gt;catTrading,S3134&gt;0,S3134&lt;=Umbral),1,0))</f>
        <v/>
      </c>
      <c r="AB3134" s="52">
        <f>IF(OR(P3134="",Q3134=""),"",IFERROR(IF(INDEX(ctaVinc,MATCH(Q3134,ctaNombre,0))&amp;""&lt;&gt;"",INDEX(ctaVinc,MATCH(Q3134,ctaNombre,0))&amp;"",Q3134),Q3134))</f>
        <v/>
      </c>
      <c r="AC3134" s="52">
        <f>IF(OR(K3134="",AND(P3134&lt;&gt;"Transferencia",P3134&lt;&gt;"Pago tarjeta")),"",IFERROR(IF(INDEX(ctaVinc,MATCH(K3134,ctaNombre,0))&amp;""&lt;&gt;"",INDEX(ctaVinc,MATCH(K3134,ctaNombre,0))&amp;"",K3134),K3134))</f>
        <v/>
      </c>
      <c r="AD3134" s="52">
        <f>IF(AB3134="","",IFERROR(INDEX(ctaTipo,MATCH(AB3134,ctaNombre,0))&amp;"",""))</f>
        <v/>
      </c>
      <c r="AE3134" s="52">
        <f>IF(AC3134="","",IFERROR(INDEX(ctaTipo,MATCH(AC3134,ctaNombre,0))&amp;"",""))</f>
        <v/>
      </c>
      <c r="AF3134" s="53">
        <f>IF(OR(P3134="",AB3134=""),"",IF(OR(P3134="Gasto",P3134="Transferencia",P3134="Pago tarjeta"),-1,1)*IF(IFERROR(INDEX(ctaMoneda,MATCH(AB3134,ctaNombre,0))&amp;"","DOP")="USD",T3134,S3134))</f>
        <v/>
      </c>
      <c r="AG3134" s="53">
        <f>IF(AC3134="","",IF(IFERROR(INDEX(ctaMoneda,MATCH(AC3134,ctaNombre,0))&amp;"","DOP")="USD",T3134,S3134))</f>
        <v/>
      </c>
      <c r="AH3134" s="53">
        <f>IF(P3134="","",IF(AND(AD3134&lt;&gt;"",COUNTIFS(tcTipo,AD3134,tcLiq,"Sí")&gt;0),IF(OR(P3134="Gasto",P3134="Transferencia",P3134="Pago tarjeta"),-1,1)*S3134,0)+IF(AND(AE3134&lt;&gt;"",COUNTIFS(tcTipo,AE3134,tcLiq,"Sí")&gt;0),S3134,0))</f>
        <v/>
      </c>
      <c r="AI3134" s="52">
        <f>IF(OR(L3134="",P3134=""),"",IF(COUNTIFS(L$6:L3134,L3134,P$6:P3134,"?*")=1,MAX(AI$5:AI3133)+1,""))</f>
        <v/>
      </c>
    </row>
    <row r="3135">
      <c r="B3135" s="47" t="n"/>
      <c r="C3135" s="48" t="n"/>
      <c r="D3135" s="48" t="n"/>
      <c r="E3135" s="48" t="n"/>
      <c r="F3135" s="48" t="n"/>
      <c r="G3135" s="49" t="n"/>
      <c r="H3135" s="48" t="n"/>
      <c r="I3135" s="50" t="n"/>
      <c r="J3135" s="48" t="n"/>
      <c r="K3135" s="48" t="n"/>
      <c r="L3135" s="48" t="n"/>
      <c r="M3135" s="48" t="n"/>
      <c r="N3135" s="48" t="n"/>
      <c r="O3135" s="51">
        <f>IF(AND(B3135="",G3135="",C3135="",D3135="",J3135=""),"",IF(B3135="","⚠ Falta fecha",IF(G3135="","⚠ Falta monto",IF(Q3135="","⚠ Falta cuenta",IF(ISNA(MATCH(Q3135,ctaNombre,0)),"⚠ Cuenta no registrada",IF(AND(OR(P3135="Gasto",P3135="Reembolso"),D3135=""),"⚠ Falta categoría",IF(AND(D3135&lt;&gt;"",E3135&lt;&gt;"",ISNA(MATCH(D3135&amp;"|"&amp;E3135,catClave,0))),"⚠ Subcategoría no corresponde",IF(AND(OR(P3135="Transferencia",P3135="Pago tarjeta"),K3135=""),"⚠ Falta cuenta destino",IF(AND(K3135&lt;&gt;"",P3135&lt;&gt;"Transferencia",P3135&lt;&gt;"Pago tarjeta"),"⚠ Destino solo aplica a transferencias",IF(AND(K3135&lt;&gt;"",K3135=Q3135),"⚠ Origen igual a destino",IF(AND(K3135&lt;&gt;"",ISNA(MATCH(K3135,ctaNombre,0))),"⚠ Destino no registrado",IF(AND(P3135="Pago tarjeta",AE3135&lt;&gt;"Tarjeta de crédito"),"⚠ El destino debe ser tarjeta de crédito",IF(AND(P3135="Gasto",E3135="Depósitos y retiros"),"⚠ Usa tipo Transferencia",IF(AND(P3135="Resultado trading",AD3135&lt;&gt;"Cuenta de trading"),"⚠ Usa una cuenta de trading",IF(AND(G3135&lt;=0,P3135&lt;&gt;"Ajuste",P3135&lt;&gt;"Resultado trading"),"⚠ El monto debe ser positivo","✓")))))))))))))))</f>
        <v/>
      </c>
      <c r="P3135" s="52">
        <f>IF(OR(B3135="",G3135=""),"",IF(C3135="","Gasto",C3135))</f>
        <v/>
      </c>
      <c r="Q3135" s="52">
        <f>IF(P3135="","",IF(J3135&lt;&gt;"",J3135,CuentaPred&amp;""))</f>
        <v/>
      </c>
      <c r="R3135" s="52">
        <f>IF(P3135="","",IF(ISNUMBER(I3135),I3135,TasaUSD))</f>
        <v/>
      </c>
      <c r="S3135" s="53">
        <f>IF(P3135="","",IF(H3135="USD",G3135*R3135,G3135))</f>
        <v/>
      </c>
      <c r="T3135" s="53">
        <f>IF(P3135="","",IF(H3135="USD",G3135,IF(R3135&gt;0,G3135/R3135,0)))</f>
        <v/>
      </c>
      <c r="U3135" s="53">
        <f>IF(P3135="","",IF(P3135="Gasto",S3135,IF(P3135="Reembolso",-S3135,0)))</f>
        <v/>
      </c>
      <c r="V3135" s="53">
        <f>IF(P3135="","",IF(P3135="Ingreso",S3135,0))</f>
        <v/>
      </c>
      <c r="W3135" s="53">
        <f>IF(P3135="","",IF(P3135="Resultado trading",S3135,0))</f>
        <v/>
      </c>
      <c r="X3135" s="52">
        <f>IF(OR(P3135="Gasto",P3135="Reembolso"),IF(M3135&lt;&gt;"",M3135,IFERROR(INDEX(catClasif,MATCH(D3135&amp;"|"&amp;E3135,catClave,0))&amp;"","Variable")),"")</f>
        <v/>
      </c>
      <c r="Y3135" s="52">
        <f>IF(P3135="","",IFERROR(INDEX(catGrupo,MATCH(D3135&amp;"|"&amp;E3135,catClave,0))&amp;"",""))</f>
        <v/>
      </c>
      <c r="Z3135" s="52">
        <f>IF(P3135="","",WEEKDAY(B3135,2))</f>
        <v/>
      </c>
      <c r="AA3135" s="52">
        <f>IF(P3135="","",IF(AND(P3135="Gasto",X3135="Variable",D3135&lt;&gt;catTrading,S3135&gt;0,S3135&lt;=Umbral),1,0))</f>
        <v/>
      </c>
      <c r="AB3135" s="52">
        <f>IF(OR(P3135="",Q3135=""),"",IFERROR(IF(INDEX(ctaVinc,MATCH(Q3135,ctaNombre,0))&amp;""&lt;&gt;"",INDEX(ctaVinc,MATCH(Q3135,ctaNombre,0))&amp;"",Q3135),Q3135))</f>
        <v/>
      </c>
      <c r="AC3135" s="52">
        <f>IF(OR(K3135="",AND(P3135&lt;&gt;"Transferencia",P3135&lt;&gt;"Pago tarjeta")),"",IFERROR(IF(INDEX(ctaVinc,MATCH(K3135,ctaNombre,0))&amp;""&lt;&gt;"",INDEX(ctaVinc,MATCH(K3135,ctaNombre,0))&amp;"",K3135),K3135))</f>
        <v/>
      </c>
      <c r="AD3135" s="52">
        <f>IF(AB3135="","",IFERROR(INDEX(ctaTipo,MATCH(AB3135,ctaNombre,0))&amp;"",""))</f>
        <v/>
      </c>
      <c r="AE3135" s="52">
        <f>IF(AC3135="","",IFERROR(INDEX(ctaTipo,MATCH(AC3135,ctaNombre,0))&amp;"",""))</f>
        <v/>
      </c>
      <c r="AF3135" s="53">
        <f>IF(OR(P3135="",AB3135=""),"",IF(OR(P3135="Gasto",P3135="Transferencia",P3135="Pago tarjeta"),-1,1)*IF(IFERROR(INDEX(ctaMoneda,MATCH(AB3135,ctaNombre,0))&amp;"","DOP")="USD",T3135,S3135))</f>
        <v/>
      </c>
      <c r="AG3135" s="53">
        <f>IF(AC3135="","",IF(IFERROR(INDEX(ctaMoneda,MATCH(AC3135,ctaNombre,0))&amp;"","DOP")="USD",T3135,S3135))</f>
        <v/>
      </c>
      <c r="AH3135" s="53">
        <f>IF(P3135="","",IF(AND(AD3135&lt;&gt;"",COUNTIFS(tcTipo,AD3135,tcLiq,"Sí")&gt;0),IF(OR(P3135="Gasto",P3135="Transferencia",P3135="Pago tarjeta"),-1,1)*S3135,0)+IF(AND(AE3135&lt;&gt;"",COUNTIFS(tcTipo,AE3135,tcLiq,"Sí")&gt;0),S3135,0))</f>
        <v/>
      </c>
      <c r="AI3135" s="52">
        <f>IF(OR(L3135="",P3135=""),"",IF(COUNTIFS(L$6:L3135,L3135,P$6:P3135,"?*")=1,MAX(AI$5:AI3134)+1,""))</f>
        <v/>
      </c>
    </row>
    <row r="3136">
      <c r="B3136" s="47" t="n"/>
      <c r="C3136" s="48" t="n"/>
      <c r="D3136" s="48" t="n"/>
      <c r="E3136" s="48" t="n"/>
      <c r="F3136" s="48" t="n"/>
      <c r="G3136" s="49" t="n"/>
      <c r="H3136" s="48" t="n"/>
      <c r="I3136" s="50" t="n"/>
      <c r="J3136" s="48" t="n"/>
      <c r="K3136" s="48" t="n"/>
      <c r="L3136" s="48" t="n"/>
      <c r="M3136" s="48" t="n"/>
      <c r="N3136" s="48" t="n"/>
      <c r="O3136" s="51">
        <f>IF(AND(B3136="",G3136="",C3136="",D3136="",J3136=""),"",IF(B3136="","⚠ Falta fecha",IF(G3136="","⚠ Falta monto",IF(Q3136="","⚠ Falta cuenta",IF(ISNA(MATCH(Q3136,ctaNombre,0)),"⚠ Cuenta no registrada",IF(AND(OR(P3136="Gasto",P3136="Reembolso"),D3136=""),"⚠ Falta categoría",IF(AND(D3136&lt;&gt;"",E3136&lt;&gt;"",ISNA(MATCH(D3136&amp;"|"&amp;E3136,catClave,0))),"⚠ Subcategoría no corresponde",IF(AND(OR(P3136="Transferencia",P3136="Pago tarjeta"),K3136=""),"⚠ Falta cuenta destino",IF(AND(K3136&lt;&gt;"",P3136&lt;&gt;"Transferencia",P3136&lt;&gt;"Pago tarjeta"),"⚠ Destino solo aplica a transferencias",IF(AND(K3136&lt;&gt;"",K3136=Q3136),"⚠ Origen igual a destino",IF(AND(K3136&lt;&gt;"",ISNA(MATCH(K3136,ctaNombre,0))),"⚠ Destino no registrado",IF(AND(P3136="Pago tarjeta",AE3136&lt;&gt;"Tarjeta de crédito"),"⚠ El destino debe ser tarjeta de crédito",IF(AND(P3136="Gasto",E3136="Depósitos y retiros"),"⚠ Usa tipo Transferencia",IF(AND(P3136="Resultado trading",AD3136&lt;&gt;"Cuenta de trading"),"⚠ Usa una cuenta de trading",IF(AND(G3136&lt;=0,P3136&lt;&gt;"Ajuste",P3136&lt;&gt;"Resultado trading"),"⚠ El monto debe ser positivo","✓")))))))))))))))</f>
        <v/>
      </c>
      <c r="P3136" s="52">
        <f>IF(OR(B3136="",G3136=""),"",IF(C3136="","Gasto",C3136))</f>
        <v/>
      </c>
      <c r="Q3136" s="52">
        <f>IF(P3136="","",IF(J3136&lt;&gt;"",J3136,CuentaPred&amp;""))</f>
        <v/>
      </c>
      <c r="R3136" s="52">
        <f>IF(P3136="","",IF(ISNUMBER(I3136),I3136,TasaUSD))</f>
        <v/>
      </c>
      <c r="S3136" s="53">
        <f>IF(P3136="","",IF(H3136="USD",G3136*R3136,G3136))</f>
        <v/>
      </c>
      <c r="T3136" s="53">
        <f>IF(P3136="","",IF(H3136="USD",G3136,IF(R3136&gt;0,G3136/R3136,0)))</f>
        <v/>
      </c>
      <c r="U3136" s="53">
        <f>IF(P3136="","",IF(P3136="Gasto",S3136,IF(P3136="Reembolso",-S3136,0)))</f>
        <v/>
      </c>
      <c r="V3136" s="53">
        <f>IF(P3136="","",IF(P3136="Ingreso",S3136,0))</f>
        <v/>
      </c>
      <c r="W3136" s="53">
        <f>IF(P3136="","",IF(P3136="Resultado trading",S3136,0))</f>
        <v/>
      </c>
      <c r="X3136" s="52">
        <f>IF(OR(P3136="Gasto",P3136="Reembolso"),IF(M3136&lt;&gt;"",M3136,IFERROR(INDEX(catClasif,MATCH(D3136&amp;"|"&amp;E3136,catClave,0))&amp;"","Variable")),"")</f>
        <v/>
      </c>
      <c r="Y3136" s="52">
        <f>IF(P3136="","",IFERROR(INDEX(catGrupo,MATCH(D3136&amp;"|"&amp;E3136,catClave,0))&amp;"",""))</f>
        <v/>
      </c>
      <c r="Z3136" s="52">
        <f>IF(P3136="","",WEEKDAY(B3136,2))</f>
        <v/>
      </c>
      <c r="AA3136" s="52">
        <f>IF(P3136="","",IF(AND(P3136="Gasto",X3136="Variable",D3136&lt;&gt;catTrading,S3136&gt;0,S3136&lt;=Umbral),1,0))</f>
        <v/>
      </c>
      <c r="AB3136" s="52">
        <f>IF(OR(P3136="",Q3136=""),"",IFERROR(IF(INDEX(ctaVinc,MATCH(Q3136,ctaNombre,0))&amp;""&lt;&gt;"",INDEX(ctaVinc,MATCH(Q3136,ctaNombre,0))&amp;"",Q3136),Q3136))</f>
        <v/>
      </c>
      <c r="AC3136" s="52">
        <f>IF(OR(K3136="",AND(P3136&lt;&gt;"Transferencia",P3136&lt;&gt;"Pago tarjeta")),"",IFERROR(IF(INDEX(ctaVinc,MATCH(K3136,ctaNombre,0))&amp;""&lt;&gt;"",INDEX(ctaVinc,MATCH(K3136,ctaNombre,0))&amp;"",K3136),K3136))</f>
        <v/>
      </c>
      <c r="AD3136" s="52">
        <f>IF(AB3136="","",IFERROR(INDEX(ctaTipo,MATCH(AB3136,ctaNombre,0))&amp;"",""))</f>
        <v/>
      </c>
      <c r="AE3136" s="52">
        <f>IF(AC3136="","",IFERROR(INDEX(ctaTipo,MATCH(AC3136,ctaNombre,0))&amp;"",""))</f>
        <v/>
      </c>
      <c r="AF3136" s="53">
        <f>IF(OR(P3136="",AB3136=""),"",IF(OR(P3136="Gasto",P3136="Transferencia",P3136="Pago tarjeta"),-1,1)*IF(IFERROR(INDEX(ctaMoneda,MATCH(AB3136,ctaNombre,0))&amp;"","DOP")="USD",T3136,S3136))</f>
        <v/>
      </c>
      <c r="AG3136" s="53">
        <f>IF(AC3136="","",IF(IFERROR(INDEX(ctaMoneda,MATCH(AC3136,ctaNombre,0))&amp;"","DOP")="USD",T3136,S3136))</f>
        <v/>
      </c>
      <c r="AH3136" s="53">
        <f>IF(P3136="","",IF(AND(AD3136&lt;&gt;"",COUNTIFS(tcTipo,AD3136,tcLiq,"Sí")&gt;0),IF(OR(P3136="Gasto",P3136="Transferencia",P3136="Pago tarjeta"),-1,1)*S3136,0)+IF(AND(AE3136&lt;&gt;"",COUNTIFS(tcTipo,AE3136,tcLiq,"Sí")&gt;0),S3136,0))</f>
        <v/>
      </c>
      <c r="AI3136" s="52">
        <f>IF(OR(L3136="",P3136=""),"",IF(COUNTIFS(L$6:L3136,L3136,P$6:P3136,"?*")=1,MAX(AI$5:AI3135)+1,""))</f>
        <v/>
      </c>
    </row>
    <row r="3137">
      <c r="B3137" s="47" t="n"/>
      <c r="C3137" s="48" t="n"/>
      <c r="D3137" s="48" t="n"/>
      <c r="E3137" s="48" t="n"/>
      <c r="F3137" s="48" t="n"/>
      <c r="G3137" s="49" t="n"/>
      <c r="H3137" s="48" t="n"/>
      <c r="I3137" s="50" t="n"/>
      <c r="J3137" s="48" t="n"/>
      <c r="K3137" s="48" t="n"/>
      <c r="L3137" s="48" t="n"/>
      <c r="M3137" s="48" t="n"/>
      <c r="N3137" s="48" t="n"/>
      <c r="O3137" s="51">
        <f>IF(AND(B3137="",G3137="",C3137="",D3137="",J3137=""),"",IF(B3137="","⚠ Falta fecha",IF(G3137="","⚠ Falta monto",IF(Q3137="","⚠ Falta cuenta",IF(ISNA(MATCH(Q3137,ctaNombre,0)),"⚠ Cuenta no registrada",IF(AND(OR(P3137="Gasto",P3137="Reembolso"),D3137=""),"⚠ Falta categoría",IF(AND(D3137&lt;&gt;"",E3137&lt;&gt;"",ISNA(MATCH(D3137&amp;"|"&amp;E3137,catClave,0))),"⚠ Subcategoría no corresponde",IF(AND(OR(P3137="Transferencia",P3137="Pago tarjeta"),K3137=""),"⚠ Falta cuenta destino",IF(AND(K3137&lt;&gt;"",P3137&lt;&gt;"Transferencia",P3137&lt;&gt;"Pago tarjeta"),"⚠ Destino solo aplica a transferencias",IF(AND(K3137&lt;&gt;"",K3137=Q3137),"⚠ Origen igual a destino",IF(AND(K3137&lt;&gt;"",ISNA(MATCH(K3137,ctaNombre,0))),"⚠ Destino no registrado",IF(AND(P3137="Pago tarjeta",AE3137&lt;&gt;"Tarjeta de crédito"),"⚠ El destino debe ser tarjeta de crédito",IF(AND(P3137="Gasto",E3137="Depósitos y retiros"),"⚠ Usa tipo Transferencia",IF(AND(P3137="Resultado trading",AD3137&lt;&gt;"Cuenta de trading"),"⚠ Usa una cuenta de trading",IF(AND(G3137&lt;=0,P3137&lt;&gt;"Ajuste",P3137&lt;&gt;"Resultado trading"),"⚠ El monto debe ser positivo","✓")))))))))))))))</f>
        <v/>
      </c>
      <c r="P3137" s="52">
        <f>IF(OR(B3137="",G3137=""),"",IF(C3137="","Gasto",C3137))</f>
        <v/>
      </c>
      <c r="Q3137" s="52">
        <f>IF(P3137="","",IF(J3137&lt;&gt;"",J3137,CuentaPred&amp;""))</f>
        <v/>
      </c>
      <c r="R3137" s="52">
        <f>IF(P3137="","",IF(ISNUMBER(I3137),I3137,TasaUSD))</f>
        <v/>
      </c>
      <c r="S3137" s="53">
        <f>IF(P3137="","",IF(H3137="USD",G3137*R3137,G3137))</f>
        <v/>
      </c>
      <c r="T3137" s="53">
        <f>IF(P3137="","",IF(H3137="USD",G3137,IF(R3137&gt;0,G3137/R3137,0)))</f>
        <v/>
      </c>
      <c r="U3137" s="53">
        <f>IF(P3137="","",IF(P3137="Gasto",S3137,IF(P3137="Reembolso",-S3137,0)))</f>
        <v/>
      </c>
      <c r="V3137" s="53">
        <f>IF(P3137="","",IF(P3137="Ingreso",S3137,0))</f>
        <v/>
      </c>
      <c r="W3137" s="53">
        <f>IF(P3137="","",IF(P3137="Resultado trading",S3137,0))</f>
        <v/>
      </c>
      <c r="X3137" s="52">
        <f>IF(OR(P3137="Gasto",P3137="Reembolso"),IF(M3137&lt;&gt;"",M3137,IFERROR(INDEX(catClasif,MATCH(D3137&amp;"|"&amp;E3137,catClave,0))&amp;"","Variable")),"")</f>
        <v/>
      </c>
      <c r="Y3137" s="52">
        <f>IF(P3137="","",IFERROR(INDEX(catGrupo,MATCH(D3137&amp;"|"&amp;E3137,catClave,0))&amp;"",""))</f>
        <v/>
      </c>
      <c r="Z3137" s="52">
        <f>IF(P3137="","",WEEKDAY(B3137,2))</f>
        <v/>
      </c>
      <c r="AA3137" s="52">
        <f>IF(P3137="","",IF(AND(P3137="Gasto",X3137="Variable",D3137&lt;&gt;catTrading,S3137&gt;0,S3137&lt;=Umbral),1,0))</f>
        <v/>
      </c>
      <c r="AB3137" s="52">
        <f>IF(OR(P3137="",Q3137=""),"",IFERROR(IF(INDEX(ctaVinc,MATCH(Q3137,ctaNombre,0))&amp;""&lt;&gt;"",INDEX(ctaVinc,MATCH(Q3137,ctaNombre,0))&amp;"",Q3137),Q3137))</f>
        <v/>
      </c>
      <c r="AC3137" s="52">
        <f>IF(OR(K3137="",AND(P3137&lt;&gt;"Transferencia",P3137&lt;&gt;"Pago tarjeta")),"",IFERROR(IF(INDEX(ctaVinc,MATCH(K3137,ctaNombre,0))&amp;""&lt;&gt;"",INDEX(ctaVinc,MATCH(K3137,ctaNombre,0))&amp;"",K3137),K3137))</f>
        <v/>
      </c>
      <c r="AD3137" s="52">
        <f>IF(AB3137="","",IFERROR(INDEX(ctaTipo,MATCH(AB3137,ctaNombre,0))&amp;"",""))</f>
        <v/>
      </c>
      <c r="AE3137" s="52">
        <f>IF(AC3137="","",IFERROR(INDEX(ctaTipo,MATCH(AC3137,ctaNombre,0))&amp;"",""))</f>
        <v/>
      </c>
      <c r="AF3137" s="53">
        <f>IF(OR(P3137="",AB3137=""),"",IF(OR(P3137="Gasto",P3137="Transferencia",P3137="Pago tarjeta"),-1,1)*IF(IFERROR(INDEX(ctaMoneda,MATCH(AB3137,ctaNombre,0))&amp;"","DOP")="USD",T3137,S3137))</f>
        <v/>
      </c>
      <c r="AG3137" s="53">
        <f>IF(AC3137="","",IF(IFERROR(INDEX(ctaMoneda,MATCH(AC3137,ctaNombre,0))&amp;"","DOP")="USD",T3137,S3137))</f>
        <v/>
      </c>
      <c r="AH3137" s="53">
        <f>IF(P3137="","",IF(AND(AD3137&lt;&gt;"",COUNTIFS(tcTipo,AD3137,tcLiq,"Sí")&gt;0),IF(OR(P3137="Gasto",P3137="Transferencia",P3137="Pago tarjeta"),-1,1)*S3137,0)+IF(AND(AE3137&lt;&gt;"",COUNTIFS(tcTipo,AE3137,tcLiq,"Sí")&gt;0),S3137,0))</f>
        <v/>
      </c>
      <c r="AI3137" s="52">
        <f>IF(OR(L3137="",P3137=""),"",IF(COUNTIFS(L$6:L3137,L3137,P$6:P3137,"?*")=1,MAX(AI$5:AI3136)+1,""))</f>
        <v/>
      </c>
    </row>
    <row r="3138">
      <c r="B3138" s="47" t="n"/>
      <c r="C3138" s="48" t="n"/>
      <c r="D3138" s="48" t="n"/>
      <c r="E3138" s="48" t="n"/>
      <c r="F3138" s="48" t="n"/>
      <c r="G3138" s="49" t="n"/>
      <c r="H3138" s="48" t="n"/>
      <c r="I3138" s="50" t="n"/>
      <c r="J3138" s="48" t="n"/>
      <c r="K3138" s="48" t="n"/>
      <c r="L3138" s="48" t="n"/>
      <c r="M3138" s="48" t="n"/>
      <c r="N3138" s="48" t="n"/>
      <c r="O3138" s="51">
        <f>IF(AND(B3138="",G3138="",C3138="",D3138="",J3138=""),"",IF(B3138="","⚠ Falta fecha",IF(G3138="","⚠ Falta monto",IF(Q3138="","⚠ Falta cuenta",IF(ISNA(MATCH(Q3138,ctaNombre,0)),"⚠ Cuenta no registrada",IF(AND(OR(P3138="Gasto",P3138="Reembolso"),D3138=""),"⚠ Falta categoría",IF(AND(D3138&lt;&gt;"",E3138&lt;&gt;"",ISNA(MATCH(D3138&amp;"|"&amp;E3138,catClave,0))),"⚠ Subcategoría no corresponde",IF(AND(OR(P3138="Transferencia",P3138="Pago tarjeta"),K3138=""),"⚠ Falta cuenta destino",IF(AND(K3138&lt;&gt;"",P3138&lt;&gt;"Transferencia",P3138&lt;&gt;"Pago tarjeta"),"⚠ Destino solo aplica a transferencias",IF(AND(K3138&lt;&gt;"",K3138=Q3138),"⚠ Origen igual a destino",IF(AND(K3138&lt;&gt;"",ISNA(MATCH(K3138,ctaNombre,0))),"⚠ Destino no registrado",IF(AND(P3138="Pago tarjeta",AE3138&lt;&gt;"Tarjeta de crédito"),"⚠ El destino debe ser tarjeta de crédito",IF(AND(P3138="Gasto",E3138="Depósitos y retiros"),"⚠ Usa tipo Transferencia",IF(AND(P3138="Resultado trading",AD3138&lt;&gt;"Cuenta de trading"),"⚠ Usa una cuenta de trading",IF(AND(G3138&lt;=0,P3138&lt;&gt;"Ajuste",P3138&lt;&gt;"Resultado trading"),"⚠ El monto debe ser positivo","✓")))))))))))))))</f>
        <v/>
      </c>
      <c r="P3138" s="52">
        <f>IF(OR(B3138="",G3138=""),"",IF(C3138="","Gasto",C3138))</f>
        <v/>
      </c>
      <c r="Q3138" s="52">
        <f>IF(P3138="","",IF(J3138&lt;&gt;"",J3138,CuentaPred&amp;""))</f>
        <v/>
      </c>
      <c r="R3138" s="52">
        <f>IF(P3138="","",IF(ISNUMBER(I3138),I3138,TasaUSD))</f>
        <v/>
      </c>
      <c r="S3138" s="53">
        <f>IF(P3138="","",IF(H3138="USD",G3138*R3138,G3138))</f>
        <v/>
      </c>
      <c r="T3138" s="53">
        <f>IF(P3138="","",IF(H3138="USD",G3138,IF(R3138&gt;0,G3138/R3138,0)))</f>
        <v/>
      </c>
      <c r="U3138" s="53">
        <f>IF(P3138="","",IF(P3138="Gasto",S3138,IF(P3138="Reembolso",-S3138,0)))</f>
        <v/>
      </c>
      <c r="V3138" s="53">
        <f>IF(P3138="","",IF(P3138="Ingreso",S3138,0))</f>
        <v/>
      </c>
      <c r="W3138" s="53">
        <f>IF(P3138="","",IF(P3138="Resultado trading",S3138,0))</f>
        <v/>
      </c>
      <c r="X3138" s="52">
        <f>IF(OR(P3138="Gasto",P3138="Reembolso"),IF(M3138&lt;&gt;"",M3138,IFERROR(INDEX(catClasif,MATCH(D3138&amp;"|"&amp;E3138,catClave,0))&amp;"","Variable")),"")</f>
        <v/>
      </c>
      <c r="Y3138" s="52">
        <f>IF(P3138="","",IFERROR(INDEX(catGrupo,MATCH(D3138&amp;"|"&amp;E3138,catClave,0))&amp;"",""))</f>
        <v/>
      </c>
      <c r="Z3138" s="52">
        <f>IF(P3138="","",WEEKDAY(B3138,2))</f>
        <v/>
      </c>
      <c r="AA3138" s="52">
        <f>IF(P3138="","",IF(AND(P3138="Gasto",X3138="Variable",D3138&lt;&gt;catTrading,S3138&gt;0,S3138&lt;=Umbral),1,0))</f>
        <v/>
      </c>
      <c r="AB3138" s="52">
        <f>IF(OR(P3138="",Q3138=""),"",IFERROR(IF(INDEX(ctaVinc,MATCH(Q3138,ctaNombre,0))&amp;""&lt;&gt;"",INDEX(ctaVinc,MATCH(Q3138,ctaNombre,0))&amp;"",Q3138),Q3138))</f>
        <v/>
      </c>
      <c r="AC3138" s="52">
        <f>IF(OR(K3138="",AND(P3138&lt;&gt;"Transferencia",P3138&lt;&gt;"Pago tarjeta")),"",IFERROR(IF(INDEX(ctaVinc,MATCH(K3138,ctaNombre,0))&amp;""&lt;&gt;"",INDEX(ctaVinc,MATCH(K3138,ctaNombre,0))&amp;"",K3138),K3138))</f>
        <v/>
      </c>
      <c r="AD3138" s="52">
        <f>IF(AB3138="","",IFERROR(INDEX(ctaTipo,MATCH(AB3138,ctaNombre,0))&amp;"",""))</f>
        <v/>
      </c>
      <c r="AE3138" s="52">
        <f>IF(AC3138="","",IFERROR(INDEX(ctaTipo,MATCH(AC3138,ctaNombre,0))&amp;"",""))</f>
        <v/>
      </c>
      <c r="AF3138" s="53">
        <f>IF(OR(P3138="",AB3138=""),"",IF(OR(P3138="Gasto",P3138="Transferencia",P3138="Pago tarjeta"),-1,1)*IF(IFERROR(INDEX(ctaMoneda,MATCH(AB3138,ctaNombre,0))&amp;"","DOP")="USD",T3138,S3138))</f>
        <v/>
      </c>
      <c r="AG3138" s="53">
        <f>IF(AC3138="","",IF(IFERROR(INDEX(ctaMoneda,MATCH(AC3138,ctaNombre,0))&amp;"","DOP")="USD",T3138,S3138))</f>
        <v/>
      </c>
      <c r="AH3138" s="53">
        <f>IF(P3138="","",IF(AND(AD3138&lt;&gt;"",COUNTIFS(tcTipo,AD3138,tcLiq,"Sí")&gt;0),IF(OR(P3138="Gasto",P3138="Transferencia",P3138="Pago tarjeta"),-1,1)*S3138,0)+IF(AND(AE3138&lt;&gt;"",COUNTIFS(tcTipo,AE3138,tcLiq,"Sí")&gt;0),S3138,0))</f>
        <v/>
      </c>
      <c r="AI3138" s="52">
        <f>IF(OR(L3138="",P3138=""),"",IF(COUNTIFS(L$6:L3138,L3138,P$6:P3138,"?*")=1,MAX(AI$5:AI3137)+1,""))</f>
        <v/>
      </c>
    </row>
    <row r="3139">
      <c r="B3139" s="47" t="n"/>
      <c r="C3139" s="48" t="n"/>
      <c r="D3139" s="48" t="n"/>
      <c r="E3139" s="48" t="n"/>
      <c r="F3139" s="48" t="n"/>
      <c r="G3139" s="49" t="n"/>
      <c r="H3139" s="48" t="n"/>
      <c r="I3139" s="50" t="n"/>
      <c r="J3139" s="48" t="n"/>
      <c r="K3139" s="48" t="n"/>
      <c r="L3139" s="48" t="n"/>
      <c r="M3139" s="48" t="n"/>
      <c r="N3139" s="48" t="n"/>
      <c r="O3139" s="51">
        <f>IF(AND(B3139="",G3139="",C3139="",D3139="",J3139=""),"",IF(B3139="","⚠ Falta fecha",IF(G3139="","⚠ Falta monto",IF(Q3139="","⚠ Falta cuenta",IF(ISNA(MATCH(Q3139,ctaNombre,0)),"⚠ Cuenta no registrada",IF(AND(OR(P3139="Gasto",P3139="Reembolso"),D3139=""),"⚠ Falta categoría",IF(AND(D3139&lt;&gt;"",E3139&lt;&gt;"",ISNA(MATCH(D3139&amp;"|"&amp;E3139,catClave,0))),"⚠ Subcategoría no corresponde",IF(AND(OR(P3139="Transferencia",P3139="Pago tarjeta"),K3139=""),"⚠ Falta cuenta destino",IF(AND(K3139&lt;&gt;"",P3139&lt;&gt;"Transferencia",P3139&lt;&gt;"Pago tarjeta"),"⚠ Destino solo aplica a transferencias",IF(AND(K3139&lt;&gt;"",K3139=Q3139),"⚠ Origen igual a destino",IF(AND(K3139&lt;&gt;"",ISNA(MATCH(K3139,ctaNombre,0))),"⚠ Destino no registrado",IF(AND(P3139="Pago tarjeta",AE3139&lt;&gt;"Tarjeta de crédito"),"⚠ El destino debe ser tarjeta de crédito",IF(AND(P3139="Gasto",E3139="Depósitos y retiros"),"⚠ Usa tipo Transferencia",IF(AND(P3139="Resultado trading",AD3139&lt;&gt;"Cuenta de trading"),"⚠ Usa una cuenta de trading",IF(AND(G3139&lt;=0,P3139&lt;&gt;"Ajuste",P3139&lt;&gt;"Resultado trading"),"⚠ El monto debe ser positivo","✓")))))))))))))))</f>
        <v/>
      </c>
      <c r="P3139" s="52">
        <f>IF(OR(B3139="",G3139=""),"",IF(C3139="","Gasto",C3139))</f>
        <v/>
      </c>
      <c r="Q3139" s="52">
        <f>IF(P3139="","",IF(J3139&lt;&gt;"",J3139,CuentaPred&amp;""))</f>
        <v/>
      </c>
      <c r="R3139" s="52">
        <f>IF(P3139="","",IF(ISNUMBER(I3139),I3139,TasaUSD))</f>
        <v/>
      </c>
      <c r="S3139" s="53">
        <f>IF(P3139="","",IF(H3139="USD",G3139*R3139,G3139))</f>
        <v/>
      </c>
      <c r="T3139" s="53">
        <f>IF(P3139="","",IF(H3139="USD",G3139,IF(R3139&gt;0,G3139/R3139,0)))</f>
        <v/>
      </c>
      <c r="U3139" s="53">
        <f>IF(P3139="","",IF(P3139="Gasto",S3139,IF(P3139="Reembolso",-S3139,0)))</f>
        <v/>
      </c>
      <c r="V3139" s="53">
        <f>IF(P3139="","",IF(P3139="Ingreso",S3139,0))</f>
        <v/>
      </c>
      <c r="W3139" s="53">
        <f>IF(P3139="","",IF(P3139="Resultado trading",S3139,0))</f>
        <v/>
      </c>
      <c r="X3139" s="52">
        <f>IF(OR(P3139="Gasto",P3139="Reembolso"),IF(M3139&lt;&gt;"",M3139,IFERROR(INDEX(catClasif,MATCH(D3139&amp;"|"&amp;E3139,catClave,0))&amp;"","Variable")),"")</f>
        <v/>
      </c>
      <c r="Y3139" s="52">
        <f>IF(P3139="","",IFERROR(INDEX(catGrupo,MATCH(D3139&amp;"|"&amp;E3139,catClave,0))&amp;"",""))</f>
        <v/>
      </c>
      <c r="Z3139" s="52">
        <f>IF(P3139="","",WEEKDAY(B3139,2))</f>
        <v/>
      </c>
      <c r="AA3139" s="52">
        <f>IF(P3139="","",IF(AND(P3139="Gasto",X3139="Variable",D3139&lt;&gt;catTrading,S3139&gt;0,S3139&lt;=Umbral),1,0))</f>
        <v/>
      </c>
      <c r="AB3139" s="52">
        <f>IF(OR(P3139="",Q3139=""),"",IFERROR(IF(INDEX(ctaVinc,MATCH(Q3139,ctaNombre,0))&amp;""&lt;&gt;"",INDEX(ctaVinc,MATCH(Q3139,ctaNombre,0))&amp;"",Q3139),Q3139))</f>
        <v/>
      </c>
      <c r="AC3139" s="52">
        <f>IF(OR(K3139="",AND(P3139&lt;&gt;"Transferencia",P3139&lt;&gt;"Pago tarjeta")),"",IFERROR(IF(INDEX(ctaVinc,MATCH(K3139,ctaNombre,0))&amp;""&lt;&gt;"",INDEX(ctaVinc,MATCH(K3139,ctaNombre,0))&amp;"",K3139),K3139))</f>
        <v/>
      </c>
      <c r="AD3139" s="52">
        <f>IF(AB3139="","",IFERROR(INDEX(ctaTipo,MATCH(AB3139,ctaNombre,0))&amp;"",""))</f>
        <v/>
      </c>
      <c r="AE3139" s="52">
        <f>IF(AC3139="","",IFERROR(INDEX(ctaTipo,MATCH(AC3139,ctaNombre,0))&amp;"",""))</f>
        <v/>
      </c>
      <c r="AF3139" s="53">
        <f>IF(OR(P3139="",AB3139=""),"",IF(OR(P3139="Gasto",P3139="Transferencia",P3139="Pago tarjeta"),-1,1)*IF(IFERROR(INDEX(ctaMoneda,MATCH(AB3139,ctaNombre,0))&amp;"","DOP")="USD",T3139,S3139))</f>
        <v/>
      </c>
      <c r="AG3139" s="53">
        <f>IF(AC3139="","",IF(IFERROR(INDEX(ctaMoneda,MATCH(AC3139,ctaNombre,0))&amp;"","DOP")="USD",T3139,S3139))</f>
        <v/>
      </c>
      <c r="AH3139" s="53">
        <f>IF(P3139="","",IF(AND(AD3139&lt;&gt;"",COUNTIFS(tcTipo,AD3139,tcLiq,"Sí")&gt;0),IF(OR(P3139="Gasto",P3139="Transferencia",P3139="Pago tarjeta"),-1,1)*S3139,0)+IF(AND(AE3139&lt;&gt;"",COUNTIFS(tcTipo,AE3139,tcLiq,"Sí")&gt;0),S3139,0))</f>
        <v/>
      </c>
      <c r="AI3139" s="52">
        <f>IF(OR(L3139="",P3139=""),"",IF(COUNTIFS(L$6:L3139,L3139,P$6:P3139,"?*")=1,MAX(AI$5:AI3138)+1,""))</f>
        <v/>
      </c>
    </row>
    <row r="3140">
      <c r="B3140" s="47" t="n"/>
      <c r="C3140" s="48" t="n"/>
      <c r="D3140" s="48" t="n"/>
      <c r="E3140" s="48" t="n"/>
      <c r="F3140" s="48" t="n"/>
      <c r="G3140" s="49" t="n"/>
      <c r="H3140" s="48" t="n"/>
      <c r="I3140" s="50" t="n"/>
      <c r="J3140" s="48" t="n"/>
      <c r="K3140" s="48" t="n"/>
      <c r="L3140" s="48" t="n"/>
      <c r="M3140" s="48" t="n"/>
      <c r="N3140" s="48" t="n"/>
      <c r="O3140" s="51">
        <f>IF(AND(B3140="",G3140="",C3140="",D3140="",J3140=""),"",IF(B3140="","⚠ Falta fecha",IF(G3140="","⚠ Falta monto",IF(Q3140="","⚠ Falta cuenta",IF(ISNA(MATCH(Q3140,ctaNombre,0)),"⚠ Cuenta no registrada",IF(AND(OR(P3140="Gasto",P3140="Reembolso"),D3140=""),"⚠ Falta categoría",IF(AND(D3140&lt;&gt;"",E3140&lt;&gt;"",ISNA(MATCH(D3140&amp;"|"&amp;E3140,catClave,0))),"⚠ Subcategoría no corresponde",IF(AND(OR(P3140="Transferencia",P3140="Pago tarjeta"),K3140=""),"⚠ Falta cuenta destino",IF(AND(K3140&lt;&gt;"",P3140&lt;&gt;"Transferencia",P3140&lt;&gt;"Pago tarjeta"),"⚠ Destino solo aplica a transferencias",IF(AND(K3140&lt;&gt;"",K3140=Q3140),"⚠ Origen igual a destino",IF(AND(K3140&lt;&gt;"",ISNA(MATCH(K3140,ctaNombre,0))),"⚠ Destino no registrado",IF(AND(P3140="Pago tarjeta",AE3140&lt;&gt;"Tarjeta de crédito"),"⚠ El destino debe ser tarjeta de crédito",IF(AND(P3140="Gasto",E3140="Depósitos y retiros"),"⚠ Usa tipo Transferencia",IF(AND(P3140="Resultado trading",AD3140&lt;&gt;"Cuenta de trading"),"⚠ Usa una cuenta de trading",IF(AND(G3140&lt;=0,P3140&lt;&gt;"Ajuste",P3140&lt;&gt;"Resultado trading"),"⚠ El monto debe ser positivo","✓")))))))))))))))</f>
        <v/>
      </c>
      <c r="P3140" s="52">
        <f>IF(OR(B3140="",G3140=""),"",IF(C3140="","Gasto",C3140))</f>
        <v/>
      </c>
      <c r="Q3140" s="52">
        <f>IF(P3140="","",IF(J3140&lt;&gt;"",J3140,CuentaPred&amp;""))</f>
        <v/>
      </c>
      <c r="R3140" s="52">
        <f>IF(P3140="","",IF(ISNUMBER(I3140),I3140,TasaUSD))</f>
        <v/>
      </c>
      <c r="S3140" s="53">
        <f>IF(P3140="","",IF(H3140="USD",G3140*R3140,G3140))</f>
        <v/>
      </c>
      <c r="T3140" s="53">
        <f>IF(P3140="","",IF(H3140="USD",G3140,IF(R3140&gt;0,G3140/R3140,0)))</f>
        <v/>
      </c>
      <c r="U3140" s="53">
        <f>IF(P3140="","",IF(P3140="Gasto",S3140,IF(P3140="Reembolso",-S3140,0)))</f>
        <v/>
      </c>
      <c r="V3140" s="53">
        <f>IF(P3140="","",IF(P3140="Ingreso",S3140,0))</f>
        <v/>
      </c>
      <c r="W3140" s="53">
        <f>IF(P3140="","",IF(P3140="Resultado trading",S3140,0))</f>
        <v/>
      </c>
      <c r="X3140" s="52">
        <f>IF(OR(P3140="Gasto",P3140="Reembolso"),IF(M3140&lt;&gt;"",M3140,IFERROR(INDEX(catClasif,MATCH(D3140&amp;"|"&amp;E3140,catClave,0))&amp;"","Variable")),"")</f>
        <v/>
      </c>
      <c r="Y3140" s="52">
        <f>IF(P3140="","",IFERROR(INDEX(catGrupo,MATCH(D3140&amp;"|"&amp;E3140,catClave,0))&amp;"",""))</f>
        <v/>
      </c>
      <c r="Z3140" s="52">
        <f>IF(P3140="","",WEEKDAY(B3140,2))</f>
        <v/>
      </c>
      <c r="AA3140" s="52">
        <f>IF(P3140="","",IF(AND(P3140="Gasto",X3140="Variable",D3140&lt;&gt;catTrading,S3140&gt;0,S3140&lt;=Umbral),1,0))</f>
        <v/>
      </c>
      <c r="AB3140" s="52">
        <f>IF(OR(P3140="",Q3140=""),"",IFERROR(IF(INDEX(ctaVinc,MATCH(Q3140,ctaNombre,0))&amp;""&lt;&gt;"",INDEX(ctaVinc,MATCH(Q3140,ctaNombre,0))&amp;"",Q3140),Q3140))</f>
        <v/>
      </c>
      <c r="AC3140" s="52">
        <f>IF(OR(K3140="",AND(P3140&lt;&gt;"Transferencia",P3140&lt;&gt;"Pago tarjeta")),"",IFERROR(IF(INDEX(ctaVinc,MATCH(K3140,ctaNombre,0))&amp;""&lt;&gt;"",INDEX(ctaVinc,MATCH(K3140,ctaNombre,0))&amp;"",K3140),K3140))</f>
        <v/>
      </c>
      <c r="AD3140" s="52">
        <f>IF(AB3140="","",IFERROR(INDEX(ctaTipo,MATCH(AB3140,ctaNombre,0))&amp;"",""))</f>
        <v/>
      </c>
      <c r="AE3140" s="52">
        <f>IF(AC3140="","",IFERROR(INDEX(ctaTipo,MATCH(AC3140,ctaNombre,0))&amp;"",""))</f>
        <v/>
      </c>
      <c r="AF3140" s="53">
        <f>IF(OR(P3140="",AB3140=""),"",IF(OR(P3140="Gasto",P3140="Transferencia",P3140="Pago tarjeta"),-1,1)*IF(IFERROR(INDEX(ctaMoneda,MATCH(AB3140,ctaNombre,0))&amp;"","DOP")="USD",T3140,S3140))</f>
        <v/>
      </c>
      <c r="AG3140" s="53">
        <f>IF(AC3140="","",IF(IFERROR(INDEX(ctaMoneda,MATCH(AC3140,ctaNombre,0))&amp;"","DOP")="USD",T3140,S3140))</f>
        <v/>
      </c>
      <c r="AH3140" s="53">
        <f>IF(P3140="","",IF(AND(AD3140&lt;&gt;"",COUNTIFS(tcTipo,AD3140,tcLiq,"Sí")&gt;0),IF(OR(P3140="Gasto",P3140="Transferencia",P3140="Pago tarjeta"),-1,1)*S3140,0)+IF(AND(AE3140&lt;&gt;"",COUNTIFS(tcTipo,AE3140,tcLiq,"Sí")&gt;0),S3140,0))</f>
        <v/>
      </c>
      <c r="AI3140" s="52">
        <f>IF(OR(L3140="",P3140=""),"",IF(COUNTIFS(L$6:L3140,L3140,P$6:P3140,"?*")=1,MAX(AI$5:AI3139)+1,""))</f>
        <v/>
      </c>
    </row>
    <row r="3141">
      <c r="B3141" s="47" t="n"/>
      <c r="C3141" s="48" t="n"/>
      <c r="D3141" s="48" t="n"/>
      <c r="E3141" s="48" t="n"/>
      <c r="F3141" s="48" t="n"/>
      <c r="G3141" s="49" t="n"/>
      <c r="H3141" s="48" t="n"/>
      <c r="I3141" s="50" t="n"/>
      <c r="J3141" s="48" t="n"/>
      <c r="K3141" s="48" t="n"/>
      <c r="L3141" s="48" t="n"/>
      <c r="M3141" s="48" t="n"/>
      <c r="N3141" s="48" t="n"/>
      <c r="O3141" s="51">
        <f>IF(AND(B3141="",G3141="",C3141="",D3141="",J3141=""),"",IF(B3141="","⚠ Falta fecha",IF(G3141="","⚠ Falta monto",IF(Q3141="","⚠ Falta cuenta",IF(ISNA(MATCH(Q3141,ctaNombre,0)),"⚠ Cuenta no registrada",IF(AND(OR(P3141="Gasto",P3141="Reembolso"),D3141=""),"⚠ Falta categoría",IF(AND(D3141&lt;&gt;"",E3141&lt;&gt;"",ISNA(MATCH(D3141&amp;"|"&amp;E3141,catClave,0))),"⚠ Subcategoría no corresponde",IF(AND(OR(P3141="Transferencia",P3141="Pago tarjeta"),K3141=""),"⚠ Falta cuenta destino",IF(AND(K3141&lt;&gt;"",P3141&lt;&gt;"Transferencia",P3141&lt;&gt;"Pago tarjeta"),"⚠ Destino solo aplica a transferencias",IF(AND(K3141&lt;&gt;"",K3141=Q3141),"⚠ Origen igual a destino",IF(AND(K3141&lt;&gt;"",ISNA(MATCH(K3141,ctaNombre,0))),"⚠ Destino no registrado",IF(AND(P3141="Pago tarjeta",AE3141&lt;&gt;"Tarjeta de crédito"),"⚠ El destino debe ser tarjeta de crédito",IF(AND(P3141="Gasto",E3141="Depósitos y retiros"),"⚠ Usa tipo Transferencia",IF(AND(P3141="Resultado trading",AD3141&lt;&gt;"Cuenta de trading"),"⚠ Usa una cuenta de trading",IF(AND(G3141&lt;=0,P3141&lt;&gt;"Ajuste",P3141&lt;&gt;"Resultado trading"),"⚠ El monto debe ser positivo","✓")))))))))))))))</f>
        <v/>
      </c>
      <c r="P3141" s="52">
        <f>IF(OR(B3141="",G3141=""),"",IF(C3141="","Gasto",C3141))</f>
        <v/>
      </c>
      <c r="Q3141" s="52">
        <f>IF(P3141="","",IF(J3141&lt;&gt;"",J3141,CuentaPred&amp;""))</f>
        <v/>
      </c>
      <c r="R3141" s="52">
        <f>IF(P3141="","",IF(ISNUMBER(I3141),I3141,TasaUSD))</f>
        <v/>
      </c>
      <c r="S3141" s="53">
        <f>IF(P3141="","",IF(H3141="USD",G3141*R3141,G3141))</f>
        <v/>
      </c>
      <c r="T3141" s="53">
        <f>IF(P3141="","",IF(H3141="USD",G3141,IF(R3141&gt;0,G3141/R3141,0)))</f>
        <v/>
      </c>
      <c r="U3141" s="53">
        <f>IF(P3141="","",IF(P3141="Gasto",S3141,IF(P3141="Reembolso",-S3141,0)))</f>
        <v/>
      </c>
      <c r="V3141" s="53">
        <f>IF(P3141="","",IF(P3141="Ingreso",S3141,0))</f>
        <v/>
      </c>
      <c r="W3141" s="53">
        <f>IF(P3141="","",IF(P3141="Resultado trading",S3141,0))</f>
        <v/>
      </c>
      <c r="X3141" s="52">
        <f>IF(OR(P3141="Gasto",P3141="Reembolso"),IF(M3141&lt;&gt;"",M3141,IFERROR(INDEX(catClasif,MATCH(D3141&amp;"|"&amp;E3141,catClave,0))&amp;"","Variable")),"")</f>
        <v/>
      </c>
      <c r="Y3141" s="52">
        <f>IF(P3141="","",IFERROR(INDEX(catGrupo,MATCH(D3141&amp;"|"&amp;E3141,catClave,0))&amp;"",""))</f>
        <v/>
      </c>
      <c r="Z3141" s="52">
        <f>IF(P3141="","",WEEKDAY(B3141,2))</f>
        <v/>
      </c>
      <c r="AA3141" s="52">
        <f>IF(P3141="","",IF(AND(P3141="Gasto",X3141="Variable",D3141&lt;&gt;catTrading,S3141&gt;0,S3141&lt;=Umbral),1,0))</f>
        <v/>
      </c>
      <c r="AB3141" s="52">
        <f>IF(OR(P3141="",Q3141=""),"",IFERROR(IF(INDEX(ctaVinc,MATCH(Q3141,ctaNombre,0))&amp;""&lt;&gt;"",INDEX(ctaVinc,MATCH(Q3141,ctaNombre,0))&amp;"",Q3141),Q3141))</f>
        <v/>
      </c>
      <c r="AC3141" s="52">
        <f>IF(OR(K3141="",AND(P3141&lt;&gt;"Transferencia",P3141&lt;&gt;"Pago tarjeta")),"",IFERROR(IF(INDEX(ctaVinc,MATCH(K3141,ctaNombre,0))&amp;""&lt;&gt;"",INDEX(ctaVinc,MATCH(K3141,ctaNombre,0))&amp;"",K3141),K3141))</f>
        <v/>
      </c>
      <c r="AD3141" s="52">
        <f>IF(AB3141="","",IFERROR(INDEX(ctaTipo,MATCH(AB3141,ctaNombre,0))&amp;"",""))</f>
        <v/>
      </c>
      <c r="AE3141" s="52">
        <f>IF(AC3141="","",IFERROR(INDEX(ctaTipo,MATCH(AC3141,ctaNombre,0))&amp;"",""))</f>
        <v/>
      </c>
      <c r="AF3141" s="53">
        <f>IF(OR(P3141="",AB3141=""),"",IF(OR(P3141="Gasto",P3141="Transferencia",P3141="Pago tarjeta"),-1,1)*IF(IFERROR(INDEX(ctaMoneda,MATCH(AB3141,ctaNombre,0))&amp;"","DOP")="USD",T3141,S3141))</f>
        <v/>
      </c>
      <c r="AG3141" s="53">
        <f>IF(AC3141="","",IF(IFERROR(INDEX(ctaMoneda,MATCH(AC3141,ctaNombre,0))&amp;"","DOP")="USD",T3141,S3141))</f>
        <v/>
      </c>
      <c r="AH3141" s="53">
        <f>IF(P3141="","",IF(AND(AD3141&lt;&gt;"",COUNTIFS(tcTipo,AD3141,tcLiq,"Sí")&gt;0),IF(OR(P3141="Gasto",P3141="Transferencia",P3141="Pago tarjeta"),-1,1)*S3141,0)+IF(AND(AE3141&lt;&gt;"",COUNTIFS(tcTipo,AE3141,tcLiq,"Sí")&gt;0),S3141,0))</f>
        <v/>
      </c>
      <c r="AI3141" s="52">
        <f>IF(OR(L3141="",P3141=""),"",IF(COUNTIFS(L$6:L3141,L3141,P$6:P3141,"?*")=1,MAX(AI$5:AI3140)+1,""))</f>
        <v/>
      </c>
    </row>
    <row r="3142">
      <c r="B3142" s="47" t="n"/>
      <c r="C3142" s="48" t="n"/>
      <c r="D3142" s="48" t="n"/>
      <c r="E3142" s="48" t="n"/>
      <c r="F3142" s="48" t="n"/>
      <c r="G3142" s="49" t="n"/>
      <c r="H3142" s="48" t="n"/>
      <c r="I3142" s="50" t="n"/>
      <c r="J3142" s="48" t="n"/>
      <c r="K3142" s="48" t="n"/>
      <c r="L3142" s="48" t="n"/>
      <c r="M3142" s="48" t="n"/>
      <c r="N3142" s="48" t="n"/>
      <c r="O3142" s="51">
        <f>IF(AND(B3142="",G3142="",C3142="",D3142="",J3142=""),"",IF(B3142="","⚠ Falta fecha",IF(G3142="","⚠ Falta monto",IF(Q3142="","⚠ Falta cuenta",IF(ISNA(MATCH(Q3142,ctaNombre,0)),"⚠ Cuenta no registrada",IF(AND(OR(P3142="Gasto",P3142="Reembolso"),D3142=""),"⚠ Falta categoría",IF(AND(D3142&lt;&gt;"",E3142&lt;&gt;"",ISNA(MATCH(D3142&amp;"|"&amp;E3142,catClave,0))),"⚠ Subcategoría no corresponde",IF(AND(OR(P3142="Transferencia",P3142="Pago tarjeta"),K3142=""),"⚠ Falta cuenta destino",IF(AND(K3142&lt;&gt;"",P3142&lt;&gt;"Transferencia",P3142&lt;&gt;"Pago tarjeta"),"⚠ Destino solo aplica a transferencias",IF(AND(K3142&lt;&gt;"",K3142=Q3142),"⚠ Origen igual a destino",IF(AND(K3142&lt;&gt;"",ISNA(MATCH(K3142,ctaNombre,0))),"⚠ Destino no registrado",IF(AND(P3142="Pago tarjeta",AE3142&lt;&gt;"Tarjeta de crédito"),"⚠ El destino debe ser tarjeta de crédito",IF(AND(P3142="Gasto",E3142="Depósitos y retiros"),"⚠ Usa tipo Transferencia",IF(AND(P3142="Resultado trading",AD3142&lt;&gt;"Cuenta de trading"),"⚠ Usa una cuenta de trading",IF(AND(G3142&lt;=0,P3142&lt;&gt;"Ajuste",P3142&lt;&gt;"Resultado trading"),"⚠ El monto debe ser positivo","✓")))))))))))))))</f>
        <v/>
      </c>
      <c r="P3142" s="52">
        <f>IF(OR(B3142="",G3142=""),"",IF(C3142="","Gasto",C3142))</f>
        <v/>
      </c>
      <c r="Q3142" s="52">
        <f>IF(P3142="","",IF(J3142&lt;&gt;"",J3142,CuentaPred&amp;""))</f>
        <v/>
      </c>
      <c r="R3142" s="52">
        <f>IF(P3142="","",IF(ISNUMBER(I3142),I3142,TasaUSD))</f>
        <v/>
      </c>
      <c r="S3142" s="53">
        <f>IF(P3142="","",IF(H3142="USD",G3142*R3142,G3142))</f>
        <v/>
      </c>
      <c r="T3142" s="53">
        <f>IF(P3142="","",IF(H3142="USD",G3142,IF(R3142&gt;0,G3142/R3142,0)))</f>
        <v/>
      </c>
      <c r="U3142" s="53">
        <f>IF(P3142="","",IF(P3142="Gasto",S3142,IF(P3142="Reembolso",-S3142,0)))</f>
        <v/>
      </c>
      <c r="V3142" s="53">
        <f>IF(P3142="","",IF(P3142="Ingreso",S3142,0))</f>
        <v/>
      </c>
      <c r="W3142" s="53">
        <f>IF(P3142="","",IF(P3142="Resultado trading",S3142,0))</f>
        <v/>
      </c>
      <c r="X3142" s="52">
        <f>IF(OR(P3142="Gasto",P3142="Reembolso"),IF(M3142&lt;&gt;"",M3142,IFERROR(INDEX(catClasif,MATCH(D3142&amp;"|"&amp;E3142,catClave,0))&amp;"","Variable")),"")</f>
        <v/>
      </c>
      <c r="Y3142" s="52">
        <f>IF(P3142="","",IFERROR(INDEX(catGrupo,MATCH(D3142&amp;"|"&amp;E3142,catClave,0))&amp;"",""))</f>
        <v/>
      </c>
      <c r="Z3142" s="52">
        <f>IF(P3142="","",WEEKDAY(B3142,2))</f>
        <v/>
      </c>
      <c r="AA3142" s="52">
        <f>IF(P3142="","",IF(AND(P3142="Gasto",X3142="Variable",D3142&lt;&gt;catTrading,S3142&gt;0,S3142&lt;=Umbral),1,0))</f>
        <v/>
      </c>
      <c r="AB3142" s="52">
        <f>IF(OR(P3142="",Q3142=""),"",IFERROR(IF(INDEX(ctaVinc,MATCH(Q3142,ctaNombre,0))&amp;""&lt;&gt;"",INDEX(ctaVinc,MATCH(Q3142,ctaNombre,0))&amp;"",Q3142),Q3142))</f>
        <v/>
      </c>
      <c r="AC3142" s="52">
        <f>IF(OR(K3142="",AND(P3142&lt;&gt;"Transferencia",P3142&lt;&gt;"Pago tarjeta")),"",IFERROR(IF(INDEX(ctaVinc,MATCH(K3142,ctaNombre,0))&amp;""&lt;&gt;"",INDEX(ctaVinc,MATCH(K3142,ctaNombre,0))&amp;"",K3142),K3142))</f>
        <v/>
      </c>
      <c r="AD3142" s="52">
        <f>IF(AB3142="","",IFERROR(INDEX(ctaTipo,MATCH(AB3142,ctaNombre,0))&amp;"",""))</f>
        <v/>
      </c>
      <c r="AE3142" s="52">
        <f>IF(AC3142="","",IFERROR(INDEX(ctaTipo,MATCH(AC3142,ctaNombre,0))&amp;"",""))</f>
        <v/>
      </c>
      <c r="AF3142" s="53">
        <f>IF(OR(P3142="",AB3142=""),"",IF(OR(P3142="Gasto",P3142="Transferencia",P3142="Pago tarjeta"),-1,1)*IF(IFERROR(INDEX(ctaMoneda,MATCH(AB3142,ctaNombre,0))&amp;"","DOP")="USD",T3142,S3142))</f>
        <v/>
      </c>
      <c r="AG3142" s="53">
        <f>IF(AC3142="","",IF(IFERROR(INDEX(ctaMoneda,MATCH(AC3142,ctaNombre,0))&amp;"","DOP")="USD",T3142,S3142))</f>
        <v/>
      </c>
      <c r="AH3142" s="53">
        <f>IF(P3142="","",IF(AND(AD3142&lt;&gt;"",COUNTIFS(tcTipo,AD3142,tcLiq,"Sí")&gt;0),IF(OR(P3142="Gasto",P3142="Transferencia",P3142="Pago tarjeta"),-1,1)*S3142,0)+IF(AND(AE3142&lt;&gt;"",COUNTIFS(tcTipo,AE3142,tcLiq,"Sí")&gt;0),S3142,0))</f>
        <v/>
      </c>
      <c r="AI3142" s="52">
        <f>IF(OR(L3142="",P3142=""),"",IF(COUNTIFS(L$6:L3142,L3142,P$6:P3142,"?*")=1,MAX(AI$5:AI3141)+1,""))</f>
        <v/>
      </c>
    </row>
    <row r="3143">
      <c r="B3143" s="47" t="n"/>
      <c r="C3143" s="48" t="n"/>
      <c r="D3143" s="48" t="n"/>
      <c r="E3143" s="48" t="n"/>
      <c r="F3143" s="48" t="n"/>
      <c r="G3143" s="49" t="n"/>
      <c r="H3143" s="48" t="n"/>
      <c r="I3143" s="50" t="n"/>
      <c r="J3143" s="48" t="n"/>
      <c r="K3143" s="48" t="n"/>
      <c r="L3143" s="48" t="n"/>
      <c r="M3143" s="48" t="n"/>
      <c r="N3143" s="48" t="n"/>
      <c r="O3143" s="51">
        <f>IF(AND(B3143="",G3143="",C3143="",D3143="",J3143=""),"",IF(B3143="","⚠ Falta fecha",IF(G3143="","⚠ Falta monto",IF(Q3143="","⚠ Falta cuenta",IF(ISNA(MATCH(Q3143,ctaNombre,0)),"⚠ Cuenta no registrada",IF(AND(OR(P3143="Gasto",P3143="Reembolso"),D3143=""),"⚠ Falta categoría",IF(AND(D3143&lt;&gt;"",E3143&lt;&gt;"",ISNA(MATCH(D3143&amp;"|"&amp;E3143,catClave,0))),"⚠ Subcategoría no corresponde",IF(AND(OR(P3143="Transferencia",P3143="Pago tarjeta"),K3143=""),"⚠ Falta cuenta destino",IF(AND(K3143&lt;&gt;"",P3143&lt;&gt;"Transferencia",P3143&lt;&gt;"Pago tarjeta"),"⚠ Destino solo aplica a transferencias",IF(AND(K3143&lt;&gt;"",K3143=Q3143),"⚠ Origen igual a destino",IF(AND(K3143&lt;&gt;"",ISNA(MATCH(K3143,ctaNombre,0))),"⚠ Destino no registrado",IF(AND(P3143="Pago tarjeta",AE3143&lt;&gt;"Tarjeta de crédito"),"⚠ El destino debe ser tarjeta de crédito",IF(AND(P3143="Gasto",E3143="Depósitos y retiros"),"⚠ Usa tipo Transferencia",IF(AND(P3143="Resultado trading",AD3143&lt;&gt;"Cuenta de trading"),"⚠ Usa una cuenta de trading",IF(AND(G3143&lt;=0,P3143&lt;&gt;"Ajuste",P3143&lt;&gt;"Resultado trading"),"⚠ El monto debe ser positivo","✓")))))))))))))))</f>
        <v/>
      </c>
      <c r="P3143" s="52">
        <f>IF(OR(B3143="",G3143=""),"",IF(C3143="","Gasto",C3143))</f>
        <v/>
      </c>
      <c r="Q3143" s="52">
        <f>IF(P3143="","",IF(J3143&lt;&gt;"",J3143,CuentaPred&amp;""))</f>
        <v/>
      </c>
      <c r="R3143" s="52">
        <f>IF(P3143="","",IF(ISNUMBER(I3143),I3143,TasaUSD))</f>
        <v/>
      </c>
      <c r="S3143" s="53">
        <f>IF(P3143="","",IF(H3143="USD",G3143*R3143,G3143))</f>
        <v/>
      </c>
      <c r="T3143" s="53">
        <f>IF(P3143="","",IF(H3143="USD",G3143,IF(R3143&gt;0,G3143/R3143,0)))</f>
        <v/>
      </c>
      <c r="U3143" s="53">
        <f>IF(P3143="","",IF(P3143="Gasto",S3143,IF(P3143="Reembolso",-S3143,0)))</f>
        <v/>
      </c>
      <c r="V3143" s="53">
        <f>IF(P3143="","",IF(P3143="Ingreso",S3143,0))</f>
        <v/>
      </c>
      <c r="W3143" s="53">
        <f>IF(P3143="","",IF(P3143="Resultado trading",S3143,0))</f>
        <v/>
      </c>
      <c r="X3143" s="52">
        <f>IF(OR(P3143="Gasto",P3143="Reembolso"),IF(M3143&lt;&gt;"",M3143,IFERROR(INDEX(catClasif,MATCH(D3143&amp;"|"&amp;E3143,catClave,0))&amp;"","Variable")),"")</f>
        <v/>
      </c>
      <c r="Y3143" s="52">
        <f>IF(P3143="","",IFERROR(INDEX(catGrupo,MATCH(D3143&amp;"|"&amp;E3143,catClave,0))&amp;"",""))</f>
        <v/>
      </c>
      <c r="Z3143" s="52">
        <f>IF(P3143="","",WEEKDAY(B3143,2))</f>
        <v/>
      </c>
      <c r="AA3143" s="52">
        <f>IF(P3143="","",IF(AND(P3143="Gasto",X3143="Variable",D3143&lt;&gt;catTrading,S3143&gt;0,S3143&lt;=Umbral),1,0))</f>
        <v/>
      </c>
      <c r="AB3143" s="52">
        <f>IF(OR(P3143="",Q3143=""),"",IFERROR(IF(INDEX(ctaVinc,MATCH(Q3143,ctaNombre,0))&amp;""&lt;&gt;"",INDEX(ctaVinc,MATCH(Q3143,ctaNombre,0))&amp;"",Q3143),Q3143))</f>
        <v/>
      </c>
      <c r="AC3143" s="52">
        <f>IF(OR(K3143="",AND(P3143&lt;&gt;"Transferencia",P3143&lt;&gt;"Pago tarjeta")),"",IFERROR(IF(INDEX(ctaVinc,MATCH(K3143,ctaNombre,0))&amp;""&lt;&gt;"",INDEX(ctaVinc,MATCH(K3143,ctaNombre,0))&amp;"",K3143),K3143))</f>
        <v/>
      </c>
      <c r="AD3143" s="52">
        <f>IF(AB3143="","",IFERROR(INDEX(ctaTipo,MATCH(AB3143,ctaNombre,0))&amp;"",""))</f>
        <v/>
      </c>
      <c r="AE3143" s="52">
        <f>IF(AC3143="","",IFERROR(INDEX(ctaTipo,MATCH(AC3143,ctaNombre,0))&amp;"",""))</f>
        <v/>
      </c>
      <c r="AF3143" s="53">
        <f>IF(OR(P3143="",AB3143=""),"",IF(OR(P3143="Gasto",P3143="Transferencia",P3143="Pago tarjeta"),-1,1)*IF(IFERROR(INDEX(ctaMoneda,MATCH(AB3143,ctaNombre,0))&amp;"","DOP")="USD",T3143,S3143))</f>
        <v/>
      </c>
      <c r="AG3143" s="53">
        <f>IF(AC3143="","",IF(IFERROR(INDEX(ctaMoneda,MATCH(AC3143,ctaNombre,0))&amp;"","DOP")="USD",T3143,S3143))</f>
        <v/>
      </c>
      <c r="AH3143" s="53">
        <f>IF(P3143="","",IF(AND(AD3143&lt;&gt;"",COUNTIFS(tcTipo,AD3143,tcLiq,"Sí")&gt;0),IF(OR(P3143="Gasto",P3143="Transferencia",P3143="Pago tarjeta"),-1,1)*S3143,0)+IF(AND(AE3143&lt;&gt;"",COUNTIFS(tcTipo,AE3143,tcLiq,"Sí")&gt;0),S3143,0))</f>
        <v/>
      </c>
      <c r="AI3143" s="52">
        <f>IF(OR(L3143="",P3143=""),"",IF(COUNTIFS(L$6:L3143,L3143,P$6:P3143,"?*")=1,MAX(AI$5:AI3142)+1,""))</f>
        <v/>
      </c>
    </row>
    <row r="3144">
      <c r="B3144" s="47" t="n"/>
      <c r="C3144" s="48" t="n"/>
      <c r="D3144" s="48" t="n"/>
      <c r="E3144" s="48" t="n"/>
      <c r="F3144" s="48" t="n"/>
      <c r="G3144" s="49" t="n"/>
      <c r="H3144" s="48" t="n"/>
      <c r="I3144" s="50" t="n"/>
      <c r="J3144" s="48" t="n"/>
      <c r="K3144" s="48" t="n"/>
      <c r="L3144" s="48" t="n"/>
      <c r="M3144" s="48" t="n"/>
      <c r="N3144" s="48" t="n"/>
      <c r="O3144" s="51">
        <f>IF(AND(B3144="",G3144="",C3144="",D3144="",J3144=""),"",IF(B3144="","⚠ Falta fecha",IF(G3144="","⚠ Falta monto",IF(Q3144="","⚠ Falta cuenta",IF(ISNA(MATCH(Q3144,ctaNombre,0)),"⚠ Cuenta no registrada",IF(AND(OR(P3144="Gasto",P3144="Reembolso"),D3144=""),"⚠ Falta categoría",IF(AND(D3144&lt;&gt;"",E3144&lt;&gt;"",ISNA(MATCH(D3144&amp;"|"&amp;E3144,catClave,0))),"⚠ Subcategoría no corresponde",IF(AND(OR(P3144="Transferencia",P3144="Pago tarjeta"),K3144=""),"⚠ Falta cuenta destino",IF(AND(K3144&lt;&gt;"",P3144&lt;&gt;"Transferencia",P3144&lt;&gt;"Pago tarjeta"),"⚠ Destino solo aplica a transferencias",IF(AND(K3144&lt;&gt;"",K3144=Q3144),"⚠ Origen igual a destino",IF(AND(K3144&lt;&gt;"",ISNA(MATCH(K3144,ctaNombre,0))),"⚠ Destino no registrado",IF(AND(P3144="Pago tarjeta",AE3144&lt;&gt;"Tarjeta de crédito"),"⚠ El destino debe ser tarjeta de crédito",IF(AND(P3144="Gasto",E3144="Depósitos y retiros"),"⚠ Usa tipo Transferencia",IF(AND(P3144="Resultado trading",AD3144&lt;&gt;"Cuenta de trading"),"⚠ Usa una cuenta de trading",IF(AND(G3144&lt;=0,P3144&lt;&gt;"Ajuste",P3144&lt;&gt;"Resultado trading"),"⚠ El monto debe ser positivo","✓")))))))))))))))</f>
        <v/>
      </c>
      <c r="P3144" s="52">
        <f>IF(OR(B3144="",G3144=""),"",IF(C3144="","Gasto",C3144))</f>
        <v/>
      </c>
      <c r="Q3144" s="52">
        <f>IF(P3144="","",IF(J3144&lt;&gt;"",J3144,CuentaPred&amp;""))</f>
        <v/>
      </c>
      <c r="R3144" s="52">
        <f>IF(P3144="","",IF(ISNUMBER(I3144),I3144,TasaUSD))</f>
        <v/>
      </c>
      <c r="S3144" s="53">
        <f>IF(P3144="","",IF(H3144="USD",G3144*R3144,G3144))</f>
        <v/>
      </c>
      <c r="T3144" s="53">
        <f>IF(P3144="","",IF(H3144="USD",G3144,IF(R3144&gt;0,G3144/R3144,0)))</f>
        <v/>
      </c>
      <c r="U3144" s="53">
        <f>IF(P3144="","",IF(P3144="Gasto",S3144,IF(P3144="Reembolso",-S3144,0)))</f>
        <v/>
      </c>
      <c r="V3144" s="53">
        <f>IF(P3144="","",IF(P3144="Ingreso",S3144,0))</f>
        <v/>
      </c>
      <c r="W3144" s="53">
        <f>IF(P3144="","",IF(P3144="Resultado trading",S3144,0))</f>
        <v/>
      </c>
      <c r="X3144" s="52">
        <f>IF(OR(P3144="Gasto",P3144="Reembolso"),IF(M3144&lt;&gt;"",M3144,IFERROR(INDEX(catClasif,MATCH(D3144&amp;"|"&amp;E3144,catClave,0))&amp;"","Variable")),"")</f>
        <v/>
      </c>
      <c r="Y3144" s="52">
        <f>IF(P3144="","",IFERROR(INDEX(catGrupo,MATCH(D3144&amp;"|"&amp;E3144,catClave,0))&amp;"",""))</f>
        <v/>
      </c>
      <c r="Z3144" s="52">
        <f>IF(P3144="","",WEEKDAY(B3144,2))</f>
        <v/>
      </c>
      <c r="AA3144" s="52">
        <f>IF(P3144="","",IF(AND(P3144="Gasto",X3144="Variable",D3144&lt;&gt;catTrading,S3144&gt;0,S3144&lt;=Umbral),1,0))</f>
        <v/>
      </c>
      <c r="AB3144" s="52">
        <f>IF(OR(P3144="",Q3144=""),"",IFERROR(IF(INDEX(ctaVinc,MATCH(Q3144,ctaNombre,0))&amp;""&lt;&gt;"",INDEX(ctaVinc,MATCH(Q3144,ctaNombre,0))&amp;"",Q3144),Q3144))</f>
        <v/>
      </c>
      <c r="AC3144" s="52">
        <f>IF(OR(K3144="",AND(P3144&lt;&gt;"Transferencia",P3144&lt;&gt;"Pago tarjeta")),"",IFERROR(IF(INDEX(ctaVinc,MATCH(K3144,ctaNombre,0))&amp;""&lt;&gt;"",INDEX(ctaVinc,MATCH(K3144,ctaNombre,0))&amp;"",K3144),K3144))</f>
        <v/>
      </c>
      <c r="AD3144" s="52">
        <f>IF(AB3144="","",IFERROR(INDEX(ctaTipo,MATCH(AB3144,ctaNombre,0))&amp;"",""))</f>
        <v/>
      </c>
      <c r="AE3144" s="52">
        <f>IF(AC3144="","",IFERROR(INDEX(ctaTipo,MATCH(AC3144,ctaNombre,0))&amp;"",""))</f>
        <v/>
      </c>
      <c r="AF3144" s="53">
        <f>IF(OR(P3144="",AB3144=""),"",IF(OR(P3144="Gasto",P3144="Transferencia",P3144="Pago tarjeta"),-1,1)*IF(IFERROR(INDEX(ctaMoneda,MATCH(AB3144,ctaNombre,0))&amp;"","DOP")="USD",T3144,S3144))</f>
        <v/>
      </c>
      <c r="AG3144" s="53">
        <f>IF(AC3144="","",IF(IFERROR(INDEX(ctaMoneda,MATCH(AC3144,ctaNombre,0))&amp;"","DOP")="USD",T3144,S3144))</f>
        <v/>
      </c>
      <c r="AH3144" s="53">
        <f>IF(P3144="","",IF(AND(AD3144&lt;&gt;"",COUNTIFS(tcTipo,AD3144,tcLiq,"Sí")&gt;0),IF(OR(P3144="Gasto",P3144="Transferencia",P3144="Pago tarjeta"),-1,1)*S3144,0)+IF(AND(AE3144&lt;&gt;"",COUNTIFS(tcTipo,AE3144,tcLiq,"Sí")&gt;0),S3144,0))</f>
        <v/>
      </c>
      <c r="AI3144" s="52">
        <f>IF(OR(L3144="",P3144=""),"",IF(COUNTIFS(L$6:L3144,L3144,P$6:P3144,"?*")=1,MAX(AI$5:AI3143)+1,""))</f>
        <v/>
      </c>
    </row>
    <row r="3145">
      <c r="B3145" s="47" t="n"/>
      <c r="C3145" s="48" t="n"/>
      <c r="D3145" s="48" t="n"/>
      <c r="E3145" s="48" t="n"/>
      <c r="F3145" s="48" t="n"/>
      <c r="G3145" s="49" t="n"/>
      <c r="H3145" s="48" t="n"/>
      <c r="I3145" s="50" t="n"/>
      <c r="J3145" s="48" t="n"/>
      <c r="K3145" s="48" t="n"/>
      <c r="L3145" s="48" t="n"/>
      <c r="M3145" s="48" t="n"/>
      <c r="N3145" s="48" t="n"/>
      <c r="O3145" s="51">
        <f>IF(AND(B3145="",G3145="",C3145="",D3145="",J3145=""),"",IF(B3145="","⚠ Falta fecha",IF(G3145="","⚠ Falta monto",IF(Q3145="","⚠ Falta cuenta",IF(ISNA(MATCH(Q3145,ctaNombre,0)),"⚠ Cuenta no registrada",IF(AND(OR(P3145="Gasto",P3145="Reembolso"),D3145=""),"⚠ Falta categoría",IF(AND(D3145&lt;&gt;"",E3145&lt;&gt;"",ISNA(MATCH(D3145&amp;"|"&amp;E3145,catClave,0))),"⚠ Subcategoría no corresponde",IF(AND(OR(P3145="Transferencia",P3145="Pago tarjeta"),K3145=""),"⚠ Falta cuenta destino",IF(AND(K3145&lt;&gt;"",P3145&lt;&gt;"Transferencia",P3145&lt;&gt;"Pago tarjeta"),"⚠ Destino solo aplica a transferencias",IF(AND(K3145&lt;&gt;"",K3145=Q3145),"⚠ Origen igual a destino",IF(AND(K3145&lt;&gt;"",ISNA(MATCH(K3145,ctaNombre,0))),"⚠ Destino no registrado",IF(AND(P3145="Pago tarjeta",AE3145&lt;&gt;"Tarjeta de crédito"),"⚠ El destino debe ser tarjeta de crédito",IF(AND(P3145="Gasto",E3145="Depósitos y retiros"),"⚠ Usa tipo Transferencia",IF(AND(P3145="Resultado trading",AD3145&lt;&gt;"Cuenta de trading"),"⚠ Usa una cuenta de trading",IF(AND(G3145&lt;=0,P3145&lt;&gt;"Ajuste",P3145&lt;&gt;"Resultado trading"),"⚠ El monto debe ser positivo","✓")))))))))))))))</f>
        <v/>
      </c>
      <c r="P3145" s="52">
        <f>IF(OR(B3145="",G3145=""),"",IF(C3145="","Gasto",C3145))</f>
        <v/>
      </c>
      <c r="Q3145" s="52">
        <f>IF(P3145="","",IF(J3145&lt;&gt;"",J3145,CuentaPred&amp;""))</f>
        <v/>
      </c>
      <c r="R3145" s="52">
        <f>IF(P3145="","",IF(ISNUMBER(I3145),I3145,TasaUSD))</f>
        <v/>
      </c>
      <c r="S3145" s="53">
        <f>IF(P3145="","",IF(H3145="USD",G3145*R3145,G3145))</f>
        <v/>
      </c>
      <c r="T3145" s="53">
        <f>IF(P3145="","",IF(H3145="USD",G3145,IF(R3145&gt;0,G3145/R3145,0)))</f>
        <v/>
      </c>
      <c r="U3145" s="53">
        <f>IF(P3145="","",IF(P3145="Gasto",S3145,IF(P3145="Reembolso",-S3145,0)))</f>
        <v/>
      </c>
      <c r="V3145" s="53">
        <f>IF(P3145="","",IF(P3145="Ingreso",S3145,0))</f>
        <v/>
      </c>
      <c r="W3145" s="53">
        <f>IF(P3145="","",IF(P3145="Resultado trading",S3145,0))</f>
        <v/>
      </c>
      <c r="X3145" s="52">
        <f>IF(OR(P3145="Gasto",P3145="Reembolso"),IF(M3145&lt;&gt;"",M3145,IFERROR(INDEX(catClasif,MATCH(D3145&amp;"|"&amp;E3145,catClave,0))&amp;"","Variable")),"")</f>
        <v/>
      </c>
      <c r="Y3145" s="52">
        <f>IF(P3145="","",IFERROR(INDEX(catGrupo,MATCH(D3145&amp;"|"&amp;E3145,catClave,0))&amp;"",""))</f>
        <v/>
      </c>
      <c r="Z3145" s="52">
        <f>IF(P3145="","",WEEKDAY(B3145,2))</f>
        <v/>
      </c>
      <c r="AA3145" s="52">
        <f>IF(P3145="","",IF(AND(P3145="Gasto",X3145="Variable",D3145&lt;&gt;catTrading,S3145&gt;0,S3145&lt;=Umbral),1,0))</f>
        <v/>
      </c>
      <c r="AB3145" s="52">
        <f>IF(OR(P3145="",Q3145=""),"",IFERROR(IF(INDEX(ctaVinc,MATCH(Q3145,ctaNombre,0))&amp;""&lt;&gt;"",INDEX(ctaVinc,MATCH(Q3145,ctaNombre,0))&amp;"",Q3145),Q3145))</f>
        <v/>
      </c>
      <c r="AC3145" s="52">
        <f>IF(OR(K3145="",AND(P3145&lt;&gt;"Transferencia",P3145&lt;&gt;"Pago tarjeta")),"",IFERROR(IF(INDEX(ctaVinc,MATCH(K3145,ctaNombre,0))&amp;""&lt;&gt;"",INDEX(ctaVinc,MATCH(K3145,ctaNombre,0))&amp;"",K3145),K3145))</f>
        <v/>
      </c>
      <c r="AD3145" s="52">
        <f>IF(AB3145="","",IFERROR(INDEX(ctaTipo,MATCH(AB3145,ctaNombre,0))&amp;"",""))</f>
        <v/>
      </c>
      <c r="AE3145" s="52">
        <f>IF(AC3145="","",IFERROR(INDEX(ctaTipo,MATCH(AC3145,ctaNombre,0))&amp;"",""))</f>
        <v/>
      </c>
      <c r="AF3145" s="53">
        <f>IF(OR(P3145="",AB3145=""),"",IF(OR(P3145="Gasto",P3145="Transferencia",P3145="Pago tarjeta"),-1,1)*IF(IFERROR(INDEX(ctaMoneda,MATCH(AB3145,ctaNombre,0))&amp;"","DOP")="USD",T3145,S3145))</f>
        <v/>
      </c>
      <c r="AG3145" s="53">
        <f>IF(AC3145="","",IF(IFERROR(INDEX(ctaMoneda,MATCH(AC3145,ctaNombre,0))&amp;"","DOP")="USD",T3145,S3145))</f>
        <v/>
      </c>
      <c r="AH3145" s="53">
        <f>IF(P3145="","",IF(AND(AD3145&lt;&gt;"",COUNTIFS(tcTipo,AD3145,tcLiq,"Sí")&gt;0),IF(OR(P3145="Gasto",P3145="Transferencia",P3145="Pago tarjeta"),-1,1)*S3145,0)+IF(AND(AE3145&lt;&gt;"",COUNTIFS(tcTipo,AE3145,tcLiq,"Sí")&gt;0),S3145,0))</f>
        <v/>
      </c>
      <c r="AI3145" s="52">
        <f>IF(OR(L3145="",P3145=""),"",IF(COUNTIFS(L$6:L3145,L3145,P$6:P3145,"?*")=1,MAX(AI$5:AI3144)+1,""))</f>
        <v/>
      </c>
    </row>
    <row r="3146">
      <c r="B3146" s="47" t="n"/>
      <c r="C3146" s="48" t="n"/>
      <c r="D3146" s="48" t="n"/>
      <c r="E3146" s="48" t="n"/>
      <c r="F3146" s="48" t="n"/>
      <c r="G3146" s="49" t="n"/>
      <c r="H3146" s="48" t="n"/>
      <c r="I3146" s="50" t="n"/>
      <c r="J3146" s="48" t="n"/>
      <c r="K3146" s="48" t="n"/>
      <c r="L3146" s="48" t="n"/>
      <c r="M3146" s="48" t="n"/>
      <c r="N3146" s="48" t="n"/>
      <c r="O3146" s="51">
        <f>IF(AND(B3146="",G3146="",C3146="",D3146="",J3146=""),"",IF(B3146="","⚠ Falta fecha",IF(G3146="","⚠ Falta monto",IF(Q3146="","⚠ Falta cuenta",IF(ISNA(MATCH(Q3146,ctaNombre,0)),"⚠ Cuenta no registrada",IF(AND(OR(P3146="Gasto",P3146="Reembolso"),D3146=""),"⚠ Falta categoría",IF(AND(D3146&lt;&gt;"",E3146&lt;&gt;"",ISNA(MATCH(D3146&amp;"|"&amp;E3146,catClave,0))),"⚠ Subcategoría no corresponde",IF(AND(OR(P3146="Transferencia",P3146="Pago tarjeta"),K3146=""),"⚠ Falta cuenta destino",IF(AND(K3146&lt;&gt;"",P3146&lt;&gt;"Transferencia",P3146&lt;&gt;"Pago tarjeta"),"⚠ Destino solo aplica a transferencias",IF(AND(K3146&lt;&gt;"",K3146=Q3146),"⚠ Origen igual a destino",IF(AND(K3146&lt;&gt;"",ISNA(MATCH(K3146,ctaNombre,0))),"⚠ Destino no registrado",IF(AND(P3146="Pago tarjeta",AE3146&lt;&gt;"Tarjeta de crédito"),"⚠ El destino debe ser tarjeta de crédito",IF(AND(P3146="Gasto",E3146="Depósitos y retiros"),"⚠ Usa tipo Transferencia",IF(AND(P3146="Resultado trading",AD3146&lt;&gt;"Cuenta de trading"),"⚠ Usa una cuenta de trading",IF(AND(G3146&lt;=0,P3146&lt;&gt;"Ajuste",P3146&lt;&gt;"Resultado trading"),"⚠ El monto debe ser positivo","✓")))))))))))))))</f>
        <v/>
      </c>
      <c r="P3146" s="52">
        <f>IF(OR(B3146="",G3146=""),"",IF(C3146="","Gasto",C3146))</f>
        <v/>
      </c>
      <c r="Q3146" s="52">
        <f>IF(P3146="","",IF(J3146&lt;&gt;"",J3146,CuentaPred&amp;""))</f>
        <v/>
      </c>
      <c r="R3146" s="52">
        <f>IF(P3146="","",IF(ISNUMBER(I3146),I3146,TasaUSD))</f>
        <v/>
      </c>
      <c r="S3146" s="53">
        <f>IF(P3146="","",IF(H3146="USD",G3146*R3146,G3146))</f>
        <v/>
      </c>
      <c r="T3146" s="53">
        <f>IF(P3146="","",IF(H3146="USD",G3146,IF(R3146&gt;0,G3146/R3146,0)))</f>
        <v/>
      </c>
      <c r="U3146" s="53">
        <f>IF(P3146="","",IF(P3146="Gasto",S3146,IF(P3146="Reembolso",-S3146,0)))</f>
        <v/>
      </c>
      <c r="V3146" s="53">
        <f>IF(P3146="","",IF(P3146="Ingreso",S3146,0))</f>
        <v/>
      </c>
      <c r="W3146" s="53">
        <f>IF(P3146="","",IF(P3146="Resultado trading",S3146,0))</f>
        <v/>
      </c>
      <c r="X3146" s="52">
        <f>IF(OR(P3146="Gasto",P3146="Reembolso"),IF(M3146&lt;&gt;"",M3146,IFERROR(INDEX(catClasif,MATCH(D3146&amp;"|"&amp;E3146,catClave,0))&amp;"","Variable")),"")</f>
        <v/>
      </c>
      <c r="Y3146" s="52">
        <f>IF(P3146="","",IFERROR(INDEX(catGrupo,MATCH(D3146&amp;"|"&amp;E3146,catClave,0))&amp;"",""))</f>
        <v/>
      </c>
      <c r="Z3146" s="52">
        <f>IF(P3146="","",WEEKDAY(B3146,2))</f>
        <v/>
      </c>
      <c r="AA3146" s="52">
        <f>IF(P3146="","",IF(AND(P3146="Gasto",X3146="Variable",D3146&lt;&gt;catTrading,S3146&gt;0,S3146&lt;=Umbral),1,0))</f>
        <v/>
      </c>
      <c r="AB3146" s="52">
        <f>IF(OR(P3146="",Q3146=""),"",IFERROR(IF(INDEX(ctaVinc,MATCH(Q3146,ctaNombre,0))&amp;""&lt;&gt;"",INDEX(ctaVinc,MATCH(Q3146,ctaNombre,0))&amp;"",Q3146),Q3146))</f>
        <v/>
      </c>
      <c r="AC3146" s="52">
        <f>IF(OR(K3146="",AND(P3146&lt;&gt;"Transferencia",P3146&lt;&gt;"Pago tarjeta")),"",IFERROR(IF(INDEX(ctaVinc,MATCH(K3146,ctaNombre,0))&amp;""&lt;&gt;"",INDEX(ctaVinc,MATCH(K3146,ctaNombre,0))&amp;"",K3146),K3146))</f>
        <v/>
      </c>
      <c r="AD3146" s="52">
        <f>IF(AB3146="","",IFERROR(INDEX(ctaTipo,MATCH(AB3146,ctaNombre,0))&amp;"",""))</f>
        <v/>
      </c>
      <c r="AE3146" s="52">
        <f>IF(AC3146="","",IFERROR(INDEX(ctaTipo,MATCH(AC3146,ctaNombre,0))&amp;"",""))</f>
        <v/>
      </c>
      <c r="AF3146" s="53">
        <f>IF(OR(P3146="",AB3146=""),"",IF(OR(P3146="Gasto",P3146="Transferencia",P3146="Pago tarjeta"),-1,1)*IF(IFERROR(INDEX(ctaMoneda,MATCH(AB3146,ctaNombre,0))&amp;"","DOP")="USD",T3146,S3146))</f>
        <v/>
      </c>
      <c r="AG3146" s="53">
        <f>IF(AC3146="","",IF(IFERROR(INDEX(ctaMoneda,MATCH(AC3146,ctaNombre,0))&amp;"","DOP")="USD",T3146,S3146))</f>
        <v/>
      </c>
      <c r="AH3146" s="53">
        <f>IF(P3146="","",IF(AND(AD3146&lt;&gt;"",COUNTIFS(tcTipo,AD3146,tcLiq,"Sí")&gt;0),IF(OR(P3146="Gasto",P3146="Transferencia",P3146="Pago tarjeta"),-1,1)*S3146,0)+IF(AND(AE3146&lt;&gt;"",COUNTIFS(tcTipo,AE3146,tcLiq,"Sí")&gt;0),S3146,0))</f>
        <v/>
      </c>
      <c r="AI3146" s="52">
        <f>IF(OR(L3146="",P3146=""),"",IF(COUNTIFS(L$6:L3146,L3146,P$6:P3146,"?*")=1,MAX(AI$5:AI3145)+1,""))</f>
        <v/>
      </c>
    </row>
    <row r="3147">
      <c r="B3147" s="47" t="n"/>
      <c r="C3147" s="48" t="n"/>
      <c r="D3147" s="48" t="n"/>
      <c r="E3147" s="48" t="n"/>
      <c r="F3147" s="48" t="n"/>
      <c r="G3147" s="49" t="n"/>
      <c r="H3147" s="48" t="n"/>
      <c r="I3147" s="50" t="n"/>
      <c r="J3147" s="48" t="n"/>
      <c r="K3147" s="48" t="n"/>
      <c r="L3147" s="48" t="n"/>
      <c r="M3147" s="48" t="n"/>
      <c r="N3147" s="48" t="n"/>
      <c r="O3147" s="51">
        <f>IF(AND(B3147="",G3147="",C3147="",D3147="",J3147=""),"",IF(B3147="","⚠ Falta fecha",IF(G3147="","⚠ Falta monto",IF(Q3147="","⚠ Falta cuenta",IF(ISNA(MATCH(Q3147,ctaNombre,0)),"⚠ Cuenta no registrada",IF(AND(OR(P3147="Gasto",P3147="Reembolso"),D3147=""),"⚠ Falta categoría",IF(AND(D3147&lt;&gt;"",E3147&lt;&gt;"",ISNA(MATCH(D3147&amp;"|"&amp;E3147,catClave,0))),"⚠ Subcategoría no corresponde",IF(AND(OR(P3147="Transferencia",P3147="Pago tarjeta"),K3147=""),"⚠ Falta cuenta destino",IF(AND(K3147&lt;&gt;"",P3147&lt;&gt;"Transferencia",P3147&lt;&gt;"Pago tarjeta"),"⚠ Destino solo aplica a transferencias",IF(AND(K3147&lt;&gt;"",K3147=Q3147),"⚠ Origen igual a destino",IF(AND(K3147&lt;&gt;"",ISNA(MATCH(K3147,ctaNombre,0))),"⚠ Destino no registrado",IF(AND(P3147="Pago tarjeta",AE3147&lt;&gt;"Tarjeta de crédito"),"⚠ El destino debe ser tarjeta de crédito",IF(AND(P3147="Gasto",E3147="Depósitos y retiros"),"⚠ Usa tipo Transferencia",IF(AND(P3147="Resultado trading",AD3147&lt;&gt;"Cuenta de trading"),"⚠ Usa una cuenta de trading",IF(AND(G3147&lt;=0,P3147&lt;&gt;"Ajuste",P3147&lt;&gt;"Resultado trading"),"⚠ El monto debe ser positivo","✓")))))))))))))))</f>
        <v/>
      </c>
      <c r="P3147" s="52">
        <f>IF(OR(B3147="",G3147=""),"",IF(C3147="","Gasto",C3147))</f>
        <v/>
      </c>
      <c r="Q3147" s="52">
        <f>IF(P3147="","",IF(J3147&lt;&gt;"",J3147,CuentaPred&amp;""))</f>
        <v/>
      </c>
      <c r="R3147" s="52">
        <f>IF(P3147="","",IF(ISNUMBER(I3147),I3147,TasaUSD))</f>
        <v/>
      </c>
      <c r="S3147" s="53">
        <f>IF(P3147="","",IF(H3147="USD",G3147*R3147,G3147))</f>
        <v/>
      </c>
      <c r="T3147" s="53">
        <f>IF(P3147="","",IF(H3147="USD",G3147,IF(R3147&gt;0,G3147/R3147,0)))</f>
        <v/>
      </c>
      <c r="U3147" s="53">
        <f>IF(P3147="","",IF(P3147="Gasto",S3147,IF(P3147="Reembolso",-S3147,0)))</f>
        <v/>
      </c>
      <c r="V3147" s="53">
        <f>IF(P3147="","",IF(P3147="Ingreso",S3147,0))</f>
        <v/>
      </c>
      <c r="W3147" s="53">
        <f>IF(P3147="","",IF(P3147="Resultado trading",S3147,0))</f>
        <v/>
      </c>
      <c r="X3147" s="52">
        <f>IF(OR(P3147="Gasto",P3147="Reembolso"),IF(M3147&lt;&gt;"",M3147,IFERROR(INDEX(catClasif,MATCH(D3147&amp;"|"&amp;E3147,catClave,0))&amp;"","Variable")),"")</f>
        <v/>
      </c>
      <c r="Y3147" s="52">
        <f>IF(P3147="","",IFERROR(INDEX(catGrupo,MATCH(D3147&amp;"|"&amp;E3147,catClave,0))&amp;"",""))</f>
        <v/>
      </c>
      <c r="Z3147" s="52">
        <f>IF(P3147="","",WEEKDAY(B3147,2))</f>
        <v/>
      </c>
      <c r="AA3147" s="52">
        <f>IF(P3147="","",IF(AND(P3147="Gasto",X3147="Variable",D3147&lt;&gt;catTrading,S3147&gt;0,S3147&lt;=Umbral),1,0))</f>
        <v/>
      </c>
      <c r="AB3147" s="52">
        <f>IF(OR(P3147="",Q3147=""),"",IFERROR(IF(INDEX(ctaVinc,MATCH(Q3147,ctaNombre,0))&amp;""&lt;&gt;"",INDEX(ctaVinc,MATCH(Q3147,ctaNombre,0))&amp;"",Q3147),Q3147))</f>
        <v/>
      </c>
      <c r="AC3147" s="52">
        <f>IF(OR(K3147="",AND(P3147&lt;&gt;"Transferencia",P3147&lt;&gt;"Pago tarjeta")),"",IFERROR(IF(INDEX(ctaVinc,MATCH(K3147,ctaNombre,0))&amp;""&lt;&gt;"",INDEX(ctaVinc,MATCH(K3147,ctaNombre,0))&amp;"",K3147),K3147))</f>
        <v/>
      </c>
      <c r="AD3147" s="52">
        <f>IF(AB3147="","",IFERROR(INDEX(ctaTipo,MATCH(AB3147,ctaNombre,0))&amp;"",""))</f>
        <v/>
      </c>
      <c r="AE3147" s="52">
        <f>IF(AC3147="","",IFERROR(INDEX(ctaTipo,MATCH(AC3147,ctaNombre,0))&amp;"",""))</f>
        <v/>
      </c>
      <c r="AF3147" s="53">
        <f>IF(OR(P3147="",AB3147=""),"",IF(OR(P3147="Gasto",P3147="Transferencia",P3147="Pago tarjeta"),-1,1)*IF(IFERROR(INDEX(ctaMoneda,MATCH(AB3147,ctaNombre,0))&amp;"","DOP")="USD",T3147,S3147))</f>
        <v/>
      </c>
      <c r="AG3147" s="53">
        <f>IF(AC3147="","",IF(IFERROR(INDEX(ctaMoneda,MATCH(AC3147,ctaNombre,0))&amp;"","DOP")="USD",T3147,S3147))</f>
        <v/>
      </c>
      <c r="AH3147" s="53">
        <f>IF(P3147="","",IF(AND(AD3147&lt;&gt;"",COUNTIFS(tcTipo,AD3147,tcLiq,"Sí")&gt;0),IF(OR(P3147="Gasto",P3147="Transferencia",P3147="Pago tarjeta"),-1,1)*S3147,0)+IF(AND(AE3147&lt;&gt;"",COUNTIFS(tcTipo,AE3147,tcLiq,"Sí")&gt;0),S3147,0))</f>
        <v/>
      </c>
      <c r="AI3147" s="52">
        <f>IF(OR(L3147="",P3147=""),"",IF(COUNTIFS(L$6:L3147,L3147,P$6:P3147,"?*")=1,MAX(AI$5:AI3146)+1,""))</f>
        <v/>
      </c>
    </row>
    <row r="3148">
      <c r="B3148" s="47" t="n"/>
      <c r="C3148" s="48" t="n"/>
      <c r="D3148" s="48" t="n"/>
      <c r="E3148" s="48" t="n"/>
      <c r="F3148" s="48" t="n"/>
      <c r="G3148" s="49" t="n"/>
      <c r="H3148" s="48" t="n"/>
      <c r="I3148" s="50" t="n"/>
      <c r="J3148" s="48" t="n"/>
      <c r="K3148" s="48" t="n"/>
      <c r="L3148" s="48" t="n"/>
      <c r="M3148" s="48" t="n"/>
      <c r="N3148" s="48" t="n"/>
      <c r="O3148" s="51">
        <f>IF(AND(B3148="",G3148="",C3148="",D3148="",J3148=""),"",IF(B3148="","⚠ Falta fecha",IF(G3148="","⚠ Falta monto",IF(Q3148="","⚠ Falta cuenta",IF(ISNA(MATCH(Q3148,ctaNombre,0)),"⚠ Cuenta no registrada",IF(AND(OR(P3148="Gasto",P3148="Reembolso"),D3148=""),"⚠ Falta categoría",IF(AND(D3148&lt;&gt;"",E3148&lt;&gt;"",ISNA(MATCH(D3148&amp;"|"&amp;E3148,catClave,0))),"⚠ Subcategoría no corresponde",IF(AND(OR(P3148="Transferencia",P3148="Pago tarjeta"),K3148=""),"⚠ Falta cuenta destino",IF(AND(K3148&lt;&gt;"",P3148&lt;&gt;"Transferencia",P3148&lt;&gt;"Pago tarjeta"),"⚠ Destino solo aplica a transferencias",IF(AND(K3148&lt;&gt;"",K3148=Q3148),"⚠ Origen igual a destino",IF(AND(K3148&lt;&gt;"",ISNA(MATCH(K3148,ctaNombre,0))),"⚠ Destino no registrado",IF(AND(P3148="Pago tarjeta",AE3148&lt;&gt;"Tarjeta de crédito"),"⚠ El destino debe ser tarjeta de crédito",IF(AND(P3148="Gasto",E3148="Depósitos y retiros"),"⚠ Usa tipo Transferencia",IF(AND(P3148="Resultado trading",AD3148&lt;&gt;"Cuenta de trading"),"⚠ Usa una cuenta de trading",IF(AND(G3148&lt;=0,P3148&lt;&gt;"Ajuste",P3148&lt;&gt;"Resultado trading"),"⚠ El monto debe ser positivo","✓")))))))))))))))</f>
        <v/>
      </c>
      <c r="P3148" s="52">
        <f>IF(OR(B3148="",G3148=""),"",IF(C3148="","Gasto",C3148))</f>
        <v/>
      </c>
      <c r="Q3148" s="52">
        <f>IF(P3148="","",IF(J3148&lt;&gt;"",J3148,CuentaPred&amp;""))</f>
        <v/>
      </c>
      <c r="R3148" s="52">
        <f>IF(P3148="","",IF(ISNUMBER(I3148),I3148,TasaUSD))</f>
        <v/>
      </c>
      <c r="S3148" s="53">
        <f>IF(P3148="","",IF(H3148="USD",G3148*R3148,G3148))</f>
        <v/>
      </c>
      <c r="T3148" s="53">
        <f>IF(P3148="","",IF(H3148="USD",G3148,IF(R3148&gt;0,G3148/R3148,0)))</f>
        <v/>
      </c>
      <c r="U3148" s="53">
        <f>IF(P3148="","",IF(P3148="Gasto",S3148,IF(P3148="Reembolso",-S3148,0)))</f>
        <v/>
      </c>
      <c r="V3148" s="53">
        <f>IF(P3148="","",IF(P3148="Ingreso",S3148,0))</f>
        <v/>
      </c>
      <c r="W3148" s="53">
        <f>IF(P3148="","",IF(P3148="Resultado trading",S3148,0))</f>
        <v/>
      </c>
      <c r="X3148" s="52">
        <f>IF(OR(P3148="Gasto",P3148="Reembolso"),IF(M3148&lt;&gt;"",M3148,IFERROR(INDEX(catClasif,MATCH(D3148&amp;"|"&amp;E3148,catClave,0))&amp;"","Variable")),"")</f>
        <v/>
      </c>
      <c r="Y3148" s="52">
        <f>IF(P3148="","",IFERROR(INDEX(catGrupo,MATCH(D3148&amp;"|"&amp;E3148,catClave,0))&amp;"",""))</f>
        <v/>
      </c>
      <c r="Z3148" s="52">
        <f>IF(P3148="","",WEEKDAY(B3148,2))</f>
        <v/>
      </c>
      <c r="AA3148" s="52">
        <f>IF(P3148="","",IF(AND(P3148="Gasto",X3148="Variable",D3148&lt;&gt;catTrading,S3148&gt;0,S3148&lt;=Umbral),1,0))</f>
        <v/>
      </c>
      <c r="AB3148" s="52">
        <f>IF(OR(P3148="",Q3148=""),"",IFERROR(IF(INDEX(ctaVinc,MATCH(Q3148,ctaNombre,0))&amp;""&lt;&gt;"",INDEX(ctaVinc,MATCH(Q3148,ctaNombre,0))&amp;"",Q3148),Q3148))</f>
        <v/>
      </c>
      <c r="AC3148" s="52">
        <f>IF(OR(K3148="",AND(P3148&lt;&gt;"Transferencia",P3148&lt;&gt;"Pago tarjeta")),"",IFERROR(IF(INDEX(ctaVinc,MATCH(K3148,ctaNombre,0))&amp;""&lt;&gt;"",INDEX(ctaVinc,MATCH(K3148,ctaNombre,0))&amp;"",K3148),K3148))</f>
        <v/>
      </c>
      <c r="AD3148" s="52">
        <f>IF(AB3148="","",IFERROR(INDEX(ctaTipo,MATCH(AB3148,ctaNombre,0))&amp;"",""))</f>
        <v/>
      </c>
      <c r="AE3148" s="52">
        <f>IF(AC3148="","",IFERROR(INDEX(ctaTipo,MATCH(AC3148,ctaNombre,0))&amp;"",""))</f>
        <v/>
      </c>
      <c r="AF3148" s="53">
        <f>IF(OR(P3148="",AB3148=""),"",IF(OR(P3148="Gasto",P3148="Transferencia",P3148="Pago tarjeta"),-1,1)*IF(IFERROR(INDEX(ctaMoneda,MATCH(AB3148,ctaNombre,0))&amp;"","DOP")="USD",T3148,S3148))</f>
        <v/>
      </c>
      <c r="AG3148" s="53">
        <f>IF(AC3148="","",IF(IFERROR(INDEX(ctaMoneda,MATCH(AC3148,ctaNombre,0))&amp;"","DOP")="USD",T3148,S3148))</f>
        <v/>
      </c>
      <c r="AH3148" s="53">
        <f>IF(P3148="","",IF(AND(AD3148&lt;&gt;"",COUNTIFS(tcTipo,AD3148,tcLiq,"Sí")&gt;0),IF(OR(P3148="Gasto",P3148="Transferencia",P3148="Pago tarjeta"),-1,1)*S3148,0)+IF(AND(AE3148&lt;&gt;"",COUNTIFS(tcTipo,AE3148,tcLiq,"Sí")&gt;0),S3148,0))</f>
        <v/>
      </c>
      <c r="AI3148" s="52">
        <f>IF(OR(L3148="",P3148=""),"",IF(COUNTIFS(L$6:L3148,L3148,P$6:P3148,"?*")=1,MAX(AI$5:AI3147)+1,""))</f>
        <v/>
      </c>
    </row>
    <row r="3149">
      <c r="B3149" s="47" t="n"/>
      <c r="C3149" s="48" t="n"/>
      <c r="D3149" s="48" t="n"/>
      <c r="E3149" s="48" t="n"/>
      <c r="F3149" s="48" t="n"/>
      <c r="G3149" s="49" t="n"/>
      <c r="H3149" s="48" t="n"/>
      <c r="I3149" s="50" t="n"/>
      <c r="J3149" s="48" t="n"/>
      <c r="K3149" s="48" t="n"/>
      <c r="L3149" s="48" t="n"/>
      <c r="M3149" s="48" t="n"/>
      <c r="N3149" s="48" t="n"/>
      <c r="O3149" s="51">
        <f>IF(AND(B3149="",G3149="",C3149="",D3149="",J3149=""),"",IF(B3149="","⚠ Falta fecha",IF(G3149="","⚠ Falta monto",IF(Q3149="","⚠ Falta cuenta",IF(ISNA(MATCH(Q3149,ctaNombre,0)),"⚠ Cuenta no registrada",IF(AND(OR(P3149="Gasto",P3149="Reembolso"),D3149=""),"⚠ Falta categoría",IF(AND(D3149&lt;&gt;"",E3149&lt;&gt;"",ISNA(MATCH(D3149&amp;"|"&amp;E3149,catClave,0))),"⚠ Subcategoría no corresponde",IF(AND(OR(P3149="Transferencia",P3149="Pago tarjeta"),K3149=""),"⚠ Falta cuenta destino",IF(AND(K3149&lt;&gt;"",P3149&lt;&gt;"Transferencia",P3149&lt;&gt;"Pago tarjeta"),"⚠ Destino solo aplica a transferencias",IF(AND(K3149&lt;&gt;"",K3149=Q3149),"⚠ Origen igual a destino",IF(AND(K3149&lt;&gt;"",ISNA(MATCH(K3149,ctaNombre,0))),"⚠ Destino no registrado",IF(AND(P3149="Pago tarjeta",AE3149&lt;&gt;"Tarjeta de crédito"),"⚠ El destino debe ser tarjeta de crédito",IF(AND(P3149="Gasto",E3149="Depósitos y retiros"),"⚠ Usa tipo Transferencia",IF(AND(P3149="Resultado trading",AD3149&lt;&gt;"Cuenta de trading"),"⚠ Usa una cuenta de trading",IF(AND(G3149&lt;=0,P3149&lt;&gt;"Ajuste",P3149&lt;&gt;"Resultado trading"),"⚠ El monto debe ser positivo","✓")))))))))))))))</f>
        <v/>
      </c>
      <c r="P3149" s="52">
        <f>IF(OR(B3149="",G3149=""),"",IF(C3149="","Gasto",C3149))</f>
        <v/>
      </c>
      <c r="Q3149" s="52">
        <f>IF(P3149="","",IF(J3149&lt;&gt;"",J3149,CuentaPred&amp;""))</f>
        <v/>
      </c>
      <c r="R3149" s="52">
        <f>IF(P3149="","",IF(ISNUMBER(I3149),I3149,TasaUSD))</f>
        <v/>
      </c>
      <c r="S3149" s="53">
        <f>IF(P3149="","",IF(H3149="USD",G3149*R3149,G3149))</f>
        <v/>
      </c>
      <c r="T3149" s="53">
        <f>IF(P3149="","",IF(H3149="USD",G3149,IF(R3149&gt;0,G3149/R3149,0)))</f>
        <v/>
      </c>
      <c r="U3149" s="53">
        <f>IF(P3149="","",IF(P3149="Gasto",S3149,IF(P3149="Reembolso",-S3149,0)))</f>
        <v/>
      </c>
      <c r="V3149" s="53">
        <f>IF(P3149="","",IF(P3149="Ingreso",S3149,0))</f>
        <v/>
      </c>
      <c r="W3149" s="53">
        <f>IF(P3149="","",IF(P3149="Resultado trading",S3149,0))</f>
        <v/>
      </c>
      <c r="X3149" s="52">
        <f>IF(OR(P3149="Gasto",P3149="Reembolso"),IF(M3149&lt;&gt;"",M3149,IFERROR(INDEX(catClasif,MATCH(D3149&amp;"|"&amp;E3149,catClave,0))&amp;"","Variable")),"")</f>
        <v/>
      </c>
      <c r="Y3149" s="52">
        <f>IF(P3149="","",IFERROR(INDEX(catGrupo,MATCH(D3149&amp;"|"&amp;E3149,catClave,0))&amp;"",""))</f>
        <v/>
      </c>
      <c r="Z3149" s="52">
        <f>IF(P3149="","",WEEKDAY(B3149,2))</f>
        <v/>
      </c>
      <c r="AA3149" s="52">
        <f>IF(P3149="","",IF(AND(P3149="Gasto",X3149="Variable",D3149&lt;&gt;catTrading,S3149&gt;0,S3149&lt;=Umbral),1,0))</f>
        <v/>
      </c>
      <c r="AB3149" s="52">
        <f>IF(OR(P3149="",Q3149=""),"",IFERROR(IF(INDEX(ctaVinc,MATCH(Q3149,ctaNombre,0))&amp;""&lt;&gt;"",INDEX(ctaVinc,MATCH(Q3149,ctaNombre,0))&amp;"",Q3149),Q3149))</f>
        <v/>
      </c>
      <c r="AC3149" s="52">
        <f>IF(OR(K3149="",AND(P3149&lt;&gt;"Transferencia",P3149&lt;&gt;"Pago tarjeta")),"",IFERROR(IF(INDEX(ctaVinc,MATCH(K3149,ctaNombre,0))&amp;""&lt;&gt;"",INDEX(ctaVinc,MATCH(K3149,ctaNombre,0))&amp;"",K3149),K3149))</f>
        <v/>
      </c>
      <c r="AD3149" s="52">
        <f>IF(AB3149="","",IFERROR(INDEX(ctaTipo,MATCH(AB3149,ctaNombre,0))&amp;"",""))</f>
        <v/>
      </c>
      <c r="AE3149" s="52">
        <f>IF(AC3149="","",IFERROR(INDEX(ctaTipo,MATCH(AC3149,ctaNombre,0))&amp;"",""))</f>
        <v/>
      </c>
      <c r="AF3149" s="53">
        <f>IF(OR(P3149="",AB3149=""),"",IF(OR(P3149="Gasto",P3149="Transferencia",P3149="Pago tarjeta"),-1,1)*IF(IFERROR(INDEX(ctaMoneda,MATCH(AB3149,ctaNombre,0))&amp;"","DOP")="USD",T3149,S3149))</f>
        <v/>
      </c>
      <c r="AG3149" s="53">
        <f>IF(AC3149="","",IF(IFERROR(INDEX(ctaMoneda,MATCH(AC3149,ctaNombre,0))&amp;"","DOP")="USD",T3149,S3149))</f>
        <v/>
      </c>
      <c r="AH3149" s="53">
        <f>IF(P3149="","",IF(AND(AD3149&lt;&gt;"",COUNTIFS(tcTipo,AD3149,tcLiq,"Sí")&gt;0),IF(OR(P3149="Gasto",P3149="Transferencia",P3149="Pago tarjeta"),-1,1)*S3149,0)+IF(AND(AE3149&lt;&gt;"",COUNTIFS(tcTipo,AE3149,tcLiq,"Sí")&gt;0),S3149,0))</f>
        <v/>
      </c>
      <c r="AI3149" s="52">
        <f>IF(OR(L3149="",P3149=""),"",IF(COUNTIFS(L$6:L3149,L3149,P$6:P3149,"?*")=1,MAX(AI$5:AI3148)+1,""))</f>
        <v/>
      </c>
    </row>
    <row r="3150">
      <c r="B3150" s="47" t="n"/>
      <c r="C3150" s="48" t="n"/>
      <c r="D3150" s="48" t="n"/>
      <c r="E3150" s="48" t="n"/>
      <c r="F3150" s="48" t="n"/>
      <c r="G3150" s="49" t="n"/>
      <c r="H3150" s="48" t="n"/>
      <c r="I3150" s="50" t="n"/>
      <c r="J3150" s="48" t="n"/>
      <c r="K3150" s="48" t="n"/>
      <c r="L3150" s="48" t="n"/>
      <c r="M3150" s="48" t="n"/>
      <c r="N3150" s="48" t="n"/>
      <c r="O3150" s="51">
        <f>IF(AND(B3150="",G3150="",C3150="",D3150="",J3150=""),"",IF(B3150="","⚠ Falta fecha",IF(G3150="","⚠ Falta monto",IF(Q3150="","⚠ Falta cuenta",IF(ISNA(MATCH(Q3150,ctaNombre,0)),"⚠ Cuenta no registrada",IF(AND(OR(P3150="Gasto",P3150="Reembolso"),D3150=""),"⚠ Falta categoría",IF(AND(D3150&lt;&gt;"",E3150&lt;&gt;"",ISNA(MATCH(D3150&amp;"|"&amp;E3150,catClave,0))),"⚠ Subcategoría no corresponde",IF(AND(OR(P3150="Transferencia",P3150="Pago tarjeta"),K3150=""),"⚠ Falta cuenta destino",IF(AND(K3150&lt;&gt;"",P3150&lt;&gt;"Transferencia",P3150&lt;&gt;"Pago tarjeta"),"⚠ Destino solo aplica a transferencias",IF(AND(K3150&lt;&gt;"",K3150=Q3150),"⚠ Origen igual a destino",IF(AND(K3150&lt;&gt;"",ISNA(MATCH(K3150,ctaNombre,0))),"⚠ Destino no registrado",IF(AND(P3150="Pago tarjeta",AE3150&lt;&gt;"Tarjeta de crédito"),"⚠ El destino debe ser tarjeta de crédito",IF(AND(P3150="Gasto",E3150="Depósitos y retiros"),"⚠ Usa tipo Transferencia",IF(AND(P3150="Resultado trading",AD3150&lt;&gt;"Cuenta de trading"),"⚠ Usa una cuenta de trading",IF(AND(G3150&lt;=0,P3150&lt;&gt;"Ajuste",P3150&lt;&gt;"Resultado trading"),"⚠ El monto debe ser positivo","✓")))))))))))))))</f>
        <v/>
      </c>
      <c r="P3150" s="52">
        <f>IF(OR(B3150="",G3150=""),"",IF(C3150="","Gasto",C3150))</f>
        <v/>
      </c>
      <c r="Q3150" s="52">
        <f>IF(P3150="","",IF(J3150&lt;&gt;"",J3150,CuentaPred&amp;""))</f>
        <v/>
      </c>
      <c r="R3150" s="52">
        <f>IF(P3150="","",IF(ISNUMBER(I3150),I3150,TasaUSD))</f>
        <v/>
      </c>
      <c r="S3150" s="53">
        <f>IF(P3150="","",IF(H3150="USD",G3150*R3150,G3150))</f>
        <v/>
      </c>
      <c r="T3150" s="53">
        <f>IF(P3150="","",IF(H3150="USD",G3150,IF(R3150&gt;0,G3150/R3150,0)))</f>
        <v/>
      </c>
      <c r="U3150" s="53">
        <f>IF(P3150="","",IF(P3150="Gasto",S3150,IF(P3150="Reembolso",-S3150,0)))</f>
        <v/>
      </c>
      <c r="V3150" s="53">
        <f>IF(P3150="","",IF(P3150="Ingreso",S3150,0))</f>
        <v/>
      </c>
      <c r="W3150" s="53">
        <f>IF(P3150="","",IF(P3150="Resultado trading",S3150,0))</f>
        <v/>
      </c>
      <c r="X3150" s="52">
        <f>IF(OR(P3150="Gasto",P3150="Reembolso"),IF(M3150&lt;&gt;"",M3150,IFERROR(INDEX(catClasif,MATCH(D3150&amp;"|"&amp;E3150,catClave,0))&amp;"","Variable")),"")</f>
        <v/>
      </c>
      <c r="Y3150" s="52">
        <f>IF(P3150="","",IFERROR(INDEX(catGrupo,MATCH(D3150&amp;"|"&amp;E3150,catClave,0))&amp;"",""))</f>
        <v/>
      </c>
      <c r="Z3150" s="52">
        <f>IF(P3150="","",WEEKDAY(B3150,2))</f>
        <v/>
      </c>
      <c r="AA3150" s="52">
        <f>IF(P3150="","",IF(AND(P3150="Gasto",X3150="Variable",D3150&lt;&gt;catTrading,S3150&gt;0,S3150&lt;=Umbral),1,0))</f>
        <v/>
      </c>
      <c r="AB3150" s="52">
        <f>IF(OR(P3150="",Q3150=""),"",IFERROR(IF(INDEX(ctaVinc,MATCH(Q3150,ctaNombre,0))&amp;""&lt;&gt;"",INDEX(ctaVinc,MATCH(Q3150,ctaNombre,0))&amp;"",Q3150),Q3150))</f>
        <v/>
      </c>
      <c r="AC3150" s="52">
        <f>IF(OR(K3150="",AND(P3150&lt;&gt;"Transferencia",P3150&lt;&gt;"Pago tarjeta")),"",IFERROR(IF(INDEX(ctaVinc,MATCH(K3150,ctaNombre,0))&amp;""&lt;&gt;"",INDEX(ctaVinc,MATCH(K3150,ctaNombre,0))&amp;"",K3150),K3150))</f>
        <v/>
      </c>
      <c r="AD3150" s="52">
        <f>IF(AB3150="","",IFERROR(INDEX(ctaTipo,MATCH(AB3150,ctaNombre,0))&amp;"",""))</f>
        <v/>
      </c>
      <c r="AE3150" s="52">
        <f>IF(AC3150="","",IFERROR(INDEX(ctaTipo,MATCH(AC3150,ctaNombre,0))&amp;"",""))</f>
        <v/>
      </c>
      <c r="AF3150" s="53">
        <f>IF(OR(P3150="",AB3150=""),"",IF(OR(P3150="Gasto",P3150="Transferencia",P3150="Pago tarjeta"),-1,1)*IF(IFERROR(INDEX(ctaMoneda,MATCH(AB3150,ctaNombre,0))&amp;"","DOP")="USD",T3150,S3150))</f>
        <v/>
      </c>
      <c r="AG3150" s="53">
        <f>IF(AC3150="","",IF(IFERROR(INDEX(ctaMoneda,MATCH(AC3150,ctaNombre,0))&amp;"","DOP")="USD",T3150,S3150))</f>
        <v/>
      </c>
      <c r="AH3150" s="53">
        <f>IF(P3150="","",IF(AND(AD3150&lt;&gt;"",COUNTIFS(tcTipo,AD3150,tcLiq,"Sí")&gt;0),IF(OR(P3150="Gasto",P3150="Transferencia",P3150="Pago tarjeta"),-1,1)*S3150,0)+IF(AND(AE3150&lt;&gt;"",COUNTIFS(tcTipo,AE3150,tcLiq,"Sí")&gt;0),S3150,0))</f>
        <v/>
      </c>
      <c r="AI3150" s="52">
        <f>IF(OR(L3150="",P3150=""),"",IF(COUNTIFS(L$6:L3150,L3150,P$6:P3150,"?*")=1,MAX(AI$5:AI3149)+1,""))</f>
        <v/>
      </c>
    </row>
    <row r="3151">
      <c r="B3151" s="47" t="n"/>
      <c r="C3151" s="48" t="n"/>
      <c r="D3151" s="48" t="n"/>
      <c r="E3151" s="48" t="n"/>
      <c r="F3151" s="48" t="n"/>
      <c r="G3151" s="49" t="n"/>
      <c r="H3151" s="48" t="n"/>
      <c r="I3151" s="50" t="n"/>
      <c r="J3151" s="48" t="n"/>
      <c r="K3151" s="48" t="n"/>
      <c r="L3151" s="48" t="n"/>
      <c r="M3151" s="48" t="n"/>
      <c r="N3151" s="48" t="n"/>
      <c r="O3151" s="51">
        <f>IF(AND(B3151="",G3151="",C3151="",D3151="",J3151=""),"",IF(B3151="","⚠ Falta fecha",IF(G3151="","⚠ Falta monto",IF(Q3151="","⚠ Falta cuenta",IF(ISNA(MATCH(Q3151,ctaNombre,0)),"⚠ Cuenta no registrada",IF(AND(OR(P3151="Gasto",P3151="Reembolso"),D3151=""),"⚠ Falta categoría",IF(AND(D3151&lt;&gt;"",E3151&lt;&gt;"",ISNA(MATCH(D3151&amp;"|"&amp;E3151,catClave,0))),"⚠ Subcategoría no corresponde",IF(AND(OR(P3151="Transferencia",P3151="Pago tarjeta"),K3151=""),"⚠ Falta cuenta destino",IF(AND(K3151&lt;&gt;"",P3151&lt;&gt;"Transferencia",P3151&lt;&gt;"Pago tarjeta"),"⚠ Destino solo aplica a transferencias",IF(AND(K3151&lt;&gt;"",K3151=Q3151),"⚠ Origen igual a destino",IF(AND(K3151&lt;&gt;"",ISNA(MATCH(K3151,ctaNombre,0))),"⚠ Destino no registrado",IF(AND(P3151="Pago tarjeta",AE3151&lt;&gt;"Tarjeta de crédito"),"⚠ El destino debe ser tarjeta de crédito",IF(AND(P3151="Gasto",E3151="Depósitos y retiros"),"⚠ Usa tipo Transferencia",IF(AND(P3151="Resultado trading",AD3151&lt;&gt;"Cuenta de trading"),"⚠ Usa una cuenta de trading",IF(AND(G3151&lt;=0,P3151&lt;&gt;"Ajuste",P3151&lt;&gt;"Resultado trading"),"⚠ El monto debe ser positivo","✓")))))))))))))))</f>
        <v/>
      </c>
      <c r="P3151" s="52">
        <f>IF(OR(B3151="",G3151=""),"",IF(C3151="","Gasto",C3151))</f>
        <v/>
      </c>
      <c r="Q3151" s="52">
        <f>IF(P3151="","",IF(J3151&lt;&gt;"",J3151,CuentaPred&amp;""))</f>
        <v/>
      </c>
      <c r="R3151" s="52">
        <f>IF(P3151="","",IF(ISNUMBER(I3151),I3151,TasaUSD))</f>
        <v/>
      </c>
      <c r="S3151" s="53">
        <f>IF(P3151="","",IF(H3151="USD",G3151*R3151,G3151))</f>
        <v/>
      </c>
      <c r="T3151" s="53">
        <f>IF(P3151="","",IF(H3151="USD",G3151,IF(R3151&gt;0,G3151/R3151,0)))</f>
        <v/>
      </c>
      <c r="U3151" s="53">
        <f>IF(P3151="","",IF(P3151="Gasto",S3151,IF(P3151="Reembolso",-S3151,0)))</f>
        <v/>
      </c>
      <c r="V3151" s="53">
        <f>IF(P3151="","",IF(P3151="Ingreso",S3151,0))</f>
        <v/>
      </c>
      <c r="W3151" s="53">
        <f>IF(P3151="","",IF(P3151="Resultado trading",S3151,0))</f>
        <v/>
      </c>
      <c r="X3151" s="52">
        <f>IF(OR(P3151="Gasto",P3151="Reembolso"),IF(M3151&lt;&gt;"",M3151,IFERROR(INDEX(catClasif,MATCH(D3151&amp;"|"&amp;E3151,catClave,0))&amp;"","Variable")),"")</f>
        <v/>
      </c>
      <c r="Y3151" s="52">
        <f>IF(P3151="","",IFERROR(INDEX(catGrupo,MATCH(D3151&amp;"|"&amp;E3151,catClave,0))&amp;"",""))</f>
        <v/>
      </c>
      <c r="Z3151" s="52">
        <f>IF(P3151="","",WEEKDAY(B3151,2))</f>
        <v/>
      </c>
      <c r="AA3151" s="52">
        <f>IF(P3151="","",IF(AND(P3151="Gasto",X3151="Variable",D3151&lt;&gt;catTrading,S3151&gt;0,S3151&lt;=Umbral),1,0))</f>
        <v/>
      </c>
      <c r="AB3151" s="52">
        <f>IF(OR(P3151="",Q3151=""),"",IFERROR(IF(INDEX(ctaVinc,MATCH(Q3151,ctaNombre,0))&amp;""&lt;&gt;"",INDEX(ctaVinc,MATCH(Q3151,ctaNombre,0))&amp;"",Q3151),Q3151))</f>
        <v/>
      </c>
      <c r="AC3151" s="52">
        <f>IF(OR(K3151="",AND(P3151&lt;&gt;"Transferencia",P3151&lt;&gt;"Pago tarjeta")),"",IFERROR(IF(INDEX(ctaVinc,MATCH(K3151,ctaNombre,0))&amp;""&lt;&gt;"",INDEX(ctaVinc,MATCH(K3151,ctaNombre,0))&amp;"",K3151),K3151))</f>
        <v/>
      </c>
      <c r="AD3151" s="52">
        <f>IF(AB3151="","",IFERROR(INDEX(ctaTipo,MATCH(AB3151,ctaNombre,0))&amp;"",""))</f>
        <v/>
      </c>
      <c r="AE3151" s="52">
        <f>IF(AC3151="","",IFERROR(INDEX(ctaTipo,MATCH(AC3151,ctaNombre,0))&amp;"",""))</f>
        <v/>
      </c>
      <c r="AF3151" s="53">
        <f>IF(OR(P3151="",AB3151=""),"",IF(OR(P3151="Gasto",P3151="Transferencia",P3151="Pago tarjeta"),-1,1)*IF(IFERROR(INDEX(ctaMoneda,MATCH(AB3151,ctaNombre,0))&amp;"","DOP")="USD",T3151,S3151))</f>
        <v/>
      </c>
      <c r="AG3151" s="53">
        <f>IF(AC3151="","",IF(IFERROR(INDEX(ctaMoneda,MATCH(AC3151,ctaNombre,0))&amp;"","DOP")="USD",T3151,S3151))</f>
        <v/>
      </c>
      <c r="AH3151" s="53">
        <f>IF(P3151="","",IF(AND(AD3151&lt;&gt;"",COUNTIFS(tcTipo,AD3151,tcLiq,"Sí")&gt;0),IF(OR(P3151="Gasto",P3151="Transferencia",P3151="Pago tarjeta"),-1,1)*S3151,0)+IF(AND(AE3151&lt;&gt;"",COUNTIFS(tcTipo,AE3151,tcLiq,"Sí")&gt;0),S3151,0))</f>
        <v/>
      </c>
      <c r="AI3151" s="52">
        <f>IF(OR(L3151="",P3151=""),"",IF(COUNTIFS(L$6:L3151,L3151,P$6:P3151,"?*")=1,MAX(AI$5:AI3150)+1,""))</f>
        <v/>
      </c>
    </row>
    <row r="3152">
      <c r="B3152" s="47" t="n"/>
      <c r="C3152" s="48" t="n"/>
      <c r="D3152" s="48" t="n"/>
      <c r="E3152" s="48" t="n"/>
      <c r="F3152" s="48" t="n"/>
      <c r="G3152" s="49" t="n"/>
      <c r="H3152" s="48" t="n"/>
      <c r="I3152" s="50" t="n"/>
      <c r="J3152" s="48" t="n"/>
      <c r="K3152" s="48" t="n"/>
      <c r="L3152" s="48" t="n"/>
      <c r="M3152" s="48" t="n"/>
      <c r="N3152" s="48" t="n"/>
      <c r="O3152" s="51">
        <f>IF(AND(B3152="",G3152="",C3152="",D3152="",J3152=""),"",IF(B3152="","⚠ Falta fecha",IF(G3152="","⚠ Falta monto",IF(Q3152="","⚠ Falta cuenta",IF(ISNA(MATCH(Q3152,ctaNombre,0)),"⚠ Cuenta no registrada",IF(AND(OR(P3152="Gasto",P3152="Reembolso"),D3152=""),"⚠ Falta categoría",IF(AND(D3152&lt;&gt;"",E3152&lt;&gt;"",ISNA(MATCH(D3152&amp;"|"&amp;E3152,catClave,0))),"⚠ Subcategoría no corresponde",IF(AND(OR(P3152="Transferencia",P3152="Pago tarjeta"),K3152=""),"⚠ Falta cuenta destino",IF(AND(K3152&lt;&gt;"",P3152&lt;&gt;"Transferencia",P3152&lt;&gt;"Pago tarjeta"),"⚠ Destino solo aplica a transferencias",IF(AND(K3152&lt;&gt;"",K3152=Q3152),"⚠ Origen igual a destino",IF(AND(K3152&lt;&gt;"",ISNA(MATCH(K3152,ctaNombre,0))),"⚠ Destino no registrado",IF(AND(P3152="Pago tarjeta",AE3152&lt;&gt;"Tarjeta de crédito"),"⚠ El destino debe ser tarjeta de crédito",IF(AND(P3152="Gasto",E3152="Depósitos y retiros"),"⚠ Usa tipo Transferencia",IF(AND(P3152="Resultado trading",AD3152&lt;&gt;"Cuenta de trading"),"⚠ Usa una cuenta de trading",IF(AND(G3152&lt;=0,P3152&lt;&gt;"Ajuste",P3152&lt;&gt;"Resultado trading"),"⚠ El monto debe ser positivo","✓")))))))))))))))</f>
        <v/>
      </c>
      <c r="P3152" s="52">
        <f>IF(OR(B3152="",G3152=""),"",IF(C3152="","Gasto",C3152))</f>
        <v/>
      </c>
      <c r="Q3152" s="52">
        <f>IF(P3152="","",IF(J3152&lt;&gt;"",J3152,CuentaPred&amp;""))</f>
        <v/>
      </c>
      <c r="R3152" s="52">
        <f>IF(P3152="","",IF(ISNUMBER(I3152),I3152,TasaUSD))</f>
        <v/>
      </c>
      <c r="S3152" s="53">
        <f>IF(P3152="","",IF(H3152="USD",G3152*R3152,G3152))</f>
        <v/>
      </c>
      <c r="T3152" s="53">
        <f>IF(P3152="","",IF(H3152="USD",G3152,IF(R3152&gt;0,G3152/R3152,0)))</f>
        <v/>
      </c>
      <c r="U3152" s="53">
        <f>IF(P3152="","",IF(P3152="Gasto",S3152,IF(P3152="Reembolso",-S3152,0)))</f>
        <v/>
      </c>
      <c r="V3152" s="53">
        <f>IF(P3152="","",IF(P3152="Ingreso",S3152,0))</f>
        <v/>
      </c>
      <c r="W3152" s="53">
        <f>IF(P3152="","",IF(P3152="Resultado trading",S3152,0))</f>
        <v/>
      </c>
      <c r="X3152" s="52">
        <f>IF(OR(P3152="Gasto",P3152="Reembolso"),IF(M3152&lt;&gt;"",M3152,IFERROR(INDEX(catClasif,MATCH(D3152&amp;"|"&amp;E3152,catClave,0))&amp;"","Variable")),"")</f>
        <v/>
      </c>
      <c r="Y3152" s="52">
        <f>IF(P3152="","",IFERROR(INDEX(catGrupo,MATCH(D3152&amp;"|"&amp;E3152,catClave,0))&amp;"",""))</f>
        <v/>
      </c>
      <c r="Z3152" s="52">
        <f>IF(P3152="","",WEEKDAY(B3152,2))</f>
        <v/>
      </c>
      <c r="AA3152" s="52">
        <f>IF(P3152="","",IF(AND(P3152="Gasto",X3152="Variable",D3152&lt;&gt;catTrading,S3152&gt;0,S3152&lt;=Umbral),1,0))</f>
        <v/>
      </c>
      <c r="AB3152" s="52">
        <f>IF(OR(P3152="",Q3152=""),"",IFERROR(IF(INDEX(ctaVinc,MATCH(Q3152,ctaNombre,0))&amp;""&lt;&gt;"",INDEX(ctaVinc,MATCH(Q3152,ctaNombre,0))&amp;"",Q3152),Q3152))</f>
        <v/>
      </c>
      <c r="AC3152" s="52">
        <f>IF(OR(K3152="",AND(P3152&lt;&gt;"Transferencia",P3152&lt;&gt;"Pago tarjeta")),"",IFERROR(IF(INDEX(ctaVinc,MATCH(K3152,ctaNombre,0))&amp;""&lt;&gt;"",INDEX(ctaVinc,MATCH(K3152,ctaNombre,0))&amp;"",K3152),K3152))</f>
        <v/>
      </c>
      <c r="AD3152" s="52">
        <f>IF(AB3152="","",IFERROR(INDEX(ctaTipo,MATCH(AB3152,ctaNombre,0))&amp;"",""))</f>
        <v/>
      </c>
      <c r="AE3152" s="52">
        <f>IF(AC3152="","",IFERROR(INDEX(ctaTipo,MATCH(AC3152,ctaNombre,0))&amp;"",""))</f>
        <v/>
      </c>
      <c r="AF3152" s="53">
        <f>IF(OR(P3152="",AB3152=""),"",IF(OR(P3152="Gasto",P3152="Transferencia",P3152="Pago tarjeta"),-1,1)*IF(IFERROR(INDEX(ctaMoneda,MATCH(AB3152,ctaNombre,0))&amp;"","DOP")="USD",T3152,S3152))</f>
        <v/>
      </c>
      <c r="AG3152" s="53">
        <f>IF(AC3152="","",IF(IFERROR(INDEX(ctaMoneda,MATCH(AC3152,ctaNombre,0))&amp;"","DOP")="USD",T3152,S3152))</f>
        <v/>
      </c>
      <c r="AH3152" s="53">
        <f>IF(P3152="","",IF(AND(AD3152&lt;&gt;"",COUNTIFS(tcTipo,AD3152,tcLiq,"Sí")&gt;0),IF(OR(P3152="Gasto",P3152="Transferencia",P3152="Pago tarjeta"),-1,1)*S3152,0)+IF(AND(AE3152&lt;&gt;"",COUNTIFS(tcTipo,AE3152,tcLiq,"Sí")&gt;0),S3152,0))</f>
        <v/>
      </c>
      <c r="AI3152" s="52">
        <f>IF(OR(L3152="",P3152=""),"",IF(COUNTIFS(L$6:L3152,L3152,P$6:P3152,"?*")=1,MAX(AI$5:AI3151)+1,""))</f>
        <v/>
      </c>
    </row>
    <row r="3153">
      <c r="B3153" s="47" t="n"/>
      <c r="C3153" s="48" t="n"/>
      <c r="D3153" s="48" t="n"/>
      <c r="E3153" s="48" t="n"/>
      <c r="F3153" s="48" t="n"/>
      <c r="G3153" s="49" t="n"/>
      <c r="H3153" s="48" t="n"/>
      <c r="I3153" s="50" t="n"/>
      <c r="J3153" s="48" t="n"/>
      <c r="K3153" s="48" t="n"/>
      <c r="L3153" s="48" t="n"/>
      <c r="M3153" s="48" t="n"/>
      <c r="N3153" s="48" t="n"/>
      <c r="O3153" s="51">
        <f>IF(AND(B3153="",G3153="",C3153="",D3153="",J3153=""),"",IF(B3153="","⚠ Falta fecha",IF(G3153="","⚠ Falta monto",IF(Q3153="","⚠ Falta cuenta",IF(ISNA(MATCH(Q3153,ctaNombre,0)),"⚠ Cuenta no registrada",IF(AND(OR(P3153="Gasto",P3153="Reembolso"),D3153=""),"⚠ Falta categoría",IF(AND(D3153&lt;&gt;"",E3153&lt;&gt;"",ISNA(MATCH(D3153&amp;"|"&amp;E3153,catClave,0))),"⚠ Subcategoría no corresponde",IF(AND(OR(P3153="Transferencia",P3153="Pago tarjeta"),K3153=""),"⚠ Falta cuenta destino",IF(AND(K3153&lt;&gt;"",P3153&lt;&gt;"Transferencia",P3153&lt;&gt;"Pago tarjeta"),"⚠ Destino solo aplica a transferencias",IF(AND(K3153&lt;&gt;"",K3153=Q3153),"⚠ Origen igual a destino",IF(AND(K3153&lt;&gt;"",ISNA(MATCH(K3153,ctaNombre,0))),"⚠ Destino no registrado",IF(AND(P3153="Pago tarjeta",AE3153&lt;&gt;"Tarjeta de crédito"),"⚠ El destino debe ser tarjeta de crédito",IF(AND(P3153="Gasto",E3153="Depósitos y retiros"),"⚠ Usa tipo Transferencia",IF(AND(P3153="Resultado trading",AD3153&lt;&gt;"Cuenta de trading"),"⚠ Usa una cuenta de trading",IF(AND(G3153&lt;=0,P3153&lt;&gt;"Ajuste",P3153&lt;&gt;"Resultado trading"),"⚠ El monto debe ser positivo","✓")))))))))))))))</f>
        <v/>
      </c>
      <c r="P3153" s="52">
        <f>IF(OR(B3153="",G3153=""),"",IF(C3153="","Gasto",C3153))</f>
        <v/>
      </c>
      <c r="Q3153" s="52">
        <f>IF(P3153="","",IF(J3153&lt;&gt;"",J3153,CuentaPred&amp;""))</f>
        <v/>
      </c>
      <c r="R3153" s="52">
        <f>IF(P3153="","",IF(ISNUMBER(I3153),I3153,TasaUSD))</f>
        <v/>
      </c>
      <c r="S3153" s="53">
        <f>IF(P3153="","",IF(H3153="USD",G3153*R3153,G3153))</f>
        <v/>
      </c>
      <c r="T3153" s="53">
        <f>IF(P3153="","",IF(H3153="USD",G3153,IF(R3153&gt;0,G3153/R3153,0)))</f>
        <v/>
      </c>
      <c r="U3153" s="53">
        <f>IF(P3153="","",IF(P3153="Gasto",S3153,IF(P3153="Reembolso",-S3153,0)))</f>
        <v/>
      </c>
      <c r="V3153" s="53">
        <f>IF(P3153="","",IF(P3153="Ingreso",S3153,0))</f>
        <v/>
      </c>
      <c r="W3153" s="53">
        <f>IF(P3153="","",IF(P3153="Resultado trading",S3153,0))</f>
        <v/>
      </c>
      <c r="X3153" s="52">
        <f>IF(OR(P3153="Gasto",P3153="Reembolso"),IF(M3153&lt;&gt;"",M3153,IFERROR(INDEX(catClasif,MATCH(D3153&amp;"|"&amp;E3153,catClave,0))&amp;"","Variable")),"")</f>
        <v/>
      </c>
      <c r="Y3153" s="52">
        <f>IF(P3153="","",IFERROR(INDEX(catGrupo,MATCH(D3153&amp;"|"&amp;E3153,catClave,0))&amp;"",""))</f>
        <v/>
      </c>
      <c r="Z3153" s="52">
        <f>IF(P3153="","",WEEKDAY(B3153,2))</f>
        <v/>
      </c>
      <c r="AA3153" s="52">
        <f>IF(P3153="","",IF(AND(P3153="Gasto",X3153="Variable",D3153&lt;&gt;catTrading,S3153&gt;0,S3153&lt;=Umbral),1,0))</f>
        <v/>
      </c>
      <c r="AB3153" s="52">
        <f>IF(OR(P3153="",Q3153=""),"",IFERROR(IF(INDEX(ctaVinc,MATCH(Q3153,ctaNombre,0))&amp;""&lt;&gt;"",INDEX(ctaVinc,MATCH(Q3153,ctaNombre,0))&amp;"",Q3153),Q3153))</f>
        <v/>
      </c>
      <c r="AC3153" s="52">
        <f>IF(OR(K3153="",AND(P3153&lt;&gt;"Transferencia",P3153&lt;&gt;"Pago tarjeta")),"",IFERROR(IF(INDEX(ctaVinc,MATCH(K3153,ctaNombre,0))&amp;""&lt;&gt;"",INDEX(ctaVinc,MATCH(K3153,ctaNombre,0))&amp;"",K3153),K3153))</f>
        <v/>
      </c>
      <c r="AD3153" s="52">
        <f>IF(AB3153="","",IFERROR(INDEX(ctaTipo,MATCH(AB3153,ctaNombre,0))&amp;"",""))</f>
        <v/>
      </c>
      <c r="AE3153" s="52">
        <f>IF(AC3153="","",IFERROR(INDEX(ctaTipo,MATCH(AC3153,ctaNombre,0))&amp;"",""))</f>
        <v/>
      </c>
      <c r="AF3153" s="53">
        <f>IF(OR(P3153="",AB3153=""),"",IF(OR(P3153="Gasto",P3153="Transferencia",P3153="Pago tarjeta"),-1,1)*IF(IFERROR(INDEX(ctaMoneda,MATCH(AB3153,ctaNombre,0))&amp;"","DOP")="USD",T3153,S3153))</f>
        <v/>
      </c>
      <c r="AG3153" s="53">
        <f>IF(AC3153="","",IF(IFERROR(INDEX(ctaMoneda,MATCH(AC3153,ctaNombre,0))&amp;"","DOP")="USD",T3153,S3153))</f>
        <v/>
      </c>
      <c r="AH3153" s="53">
        <f>IF(P3153="","",IF(AND(AD3153&lt;&gt;"",COUNTIFS(tcTipo,AD3153,tcLiq,"Sí")&gt;0),IF(OR(P3153="Gasto",P3153="Transferencia",P3153="Pago tarjeta"),-1,1)*S3153,0)+IF(AND(AE3153&lt;&gt;"",COUNTIFS(tcTipo,AE3153,tcLiq,"Sí")&gt;0),S3153,0))</f>
        <v/>
      </c>
      <c r="AI3153" s="52">
        <f>IF(OR(L3153="",P3153=""),"",IF(COUNTIFS(L$6:L3153,L3153,P$6:P3153,"?*")=1,MAX(AI$5:AI3152)+1,""))</f>
        <v/>
      </c>
    </row>
    <row r="3154">
      <c r="B3154" s="47" t="n"/>
      <c r="C3154" s="48" t="n"/>
      <c r="D3154" s="48" t="n"/>
      <c r="E3154" s="48" t="n"/>
      <c r="F3154" s="48" t="n"/>
      <c r="G3154" s="49" t="n"/>
      <c r="H3154" s="48" t="n"/>
      <c r="I3154" s="50" t="n"/>
      <c r="J3154" s="48" t="n"/>
      <c r="K3154" s="48" t="n"/>
      <c r="L3154" s="48" t="n"/>
      <c r="M3154" s="48" t="n"/>
      <c r="N3154" s="48" t="n"/>
      <c r="O3154" s="51">
        <f>IF(AND(B3154="",G3154="",C3154="",D3154="",J3154=""),"",IF(B3154="","⚠ Falta fecha",IF(G3154="","⚠ Falta monto",IF(Q3154="","⚠ Falta cuenta",IF(ISNA(MATCH(Q3154,ctaNombre,0)),"⚠ Cuenta no registrada",IF(AND(OR(P3154="Gasto",P3154="Reembolso"),D3154=""),"⚠ Falta categoría",IF(AND(D3154&lt;&gt;"",E3154&lt;&gt;"",ISNA(MATCH(D3154&amp;"|"&amp;E3154,catClave,0))),"⚠ Subcategoría no corresponde",IF(AND(OR(P3154="Transferencia",P3154="Pago tarjeta"),K3154=""),"⚠ Falta cuenta destino",IF(AND(K3154&lt;&gt;"",P3154&lt;&gt;"Transferencia",P3154&lt;&gt;"Pago tarjeta"),"⚠ Destino solo aplica a transferencias",IF(AND(K3154&lt;&gt;"",K3154=Q3154),"⚠ Origen igual a destino",IF(AND(K3154&lt;&gt;"",ISNA(MATCH(K3154,ctaNombre,0))),"⚠ Destino no registrado",IF(AND(P3154="Pago tarjeta",AE3154&lt;&gt;"Tarjeta de crédito"),"⚠ El destino debe ser tarjeta de crédito",IF(AND(P3154="Gasto",E3154="Depósitos y retiros"),"⚠ Usa tipo Transferencia",IF(AND(P3154="Resultado trading",AD3154&lt;&gt;"Cuenta de trading"),"⚠ Usa una cuenta de trading",IF(AND(G3154&lt;=0,P3154&lt;&gt;"Ajuste",P3154&lt;&gt;"Resultado trading"),"⚠ El monto debe ser positivo","✓")))))))))))))))</f>
        <v/>
      </c>
      <c r="P3154" s="52">
        <f>IF(OR(B3154="",G3154=""),"",IF(C3154="","Gasto",C3154))</f>
        <v/>
      </c>
      <c r="Q3154" s="52">
        <f>IF(P3154="","",IF(J3154&lt;&gt;"",J3154,CuentaPred&amp;""))</f>
        <v/>
      </c>
      <c r="R3154" s="52">
        <f>IF(P3154="","",IF(ISNUMBER(I3154),I3154,TasaUSD))</f>
        <v/>
      </c>
      <c r="S3154" s="53">
        <f>IF(P3154="","",IF(H3154="USD",G3154*R3154,G3154))</f>
        <v/>
      </c>
      <c r="T3154" s="53">
        <f>IF(P3154="","",IF(H3154="USD",G3154,IF(R3154&gt;0,G3154/R3154,0)))</f>
        <v/>
      </c>
      <c r="U3154" s="53">
        <f>IF(P3154="","",IF(P3154="Gasto",S3154,IF(P3154="Reembolso",-S3154,0)))</f>
        <v/>
      </c>
      <c r="V3154" s="53">
        <f>IF(P3154="","",IF(P3154="Ingreso",S3154,0))</f>
        <v/>
      </c>
      <c r="W3154" s="53">
        <f>IF(P3154="","",IF(P3154="Resultado trading",S3154,0))</f>
        <v/>
      </c>
      <c r="X3154" s="52">
        <f>IF(OR(P3154="Gasto",P3154="Reembolso"),IF(M3154&lt;&gt;"",M3154,IFERROR(INDEX(catClasif,MATCH(D3154&amp;"|"&amp;E3154,catClave,0))&amp;"","Variable")),"")</f>
        <v/>
      </c>
      <c r="Y3154" s="52">
        <f>IF(P3154="","",IFERROR(INDEX(catGrupo,MATCH(D3154&amp;"|"&amp;E3154,catClave,0))&amp;"",""))</f>
        <v/>
      </c>
      <c r="Z3154" s="52">
        <f>IF(P3154="","",WEEKDAY(B3154,2))</f>
        <v/>
      </c>
      <c r="AA3154" s="52">
        <f>IF(P3154="","",IF(AND(P3154="Gasto",X3154="Variable",D3154&lt;&gt;catTrading,S3154&gt;0,S3154&lt;=Umbral),1,0))</f>
        <v/>
      </c>
      <c r="AB3154" s="52">
        <f>IF(OR(P3154="",Q3154=""),"",IFERROR(IF(INDEX(ctaVinc,MATCH(Q3154,ctaNombre,0))&amp;""&lt;&gt;"",INDEX(ctaVinc,MATCH(Q3154,ctaNombre,0))&amp;"",Q3154),Q3154))</f>
        <v/>
      </c>
      <c r="AC3154" s="52">
        <f>IF(OR(K3154="",AND(P3154&lt;&gt;"Transferencia",P3154&lt;&gt;"Pago tarjeta")),"",IFERROR(IF(INDEX(ctaVinc,MATCH(K3154,ctaNombre,0))&amp;""&lt;&gt;"",INDEX(ctaVinc,MATCH(K3154,ctaNombre,0))&amp;"",K3154),K3154))</f>
        <v/>
      </c>
      <c r="AD3154" s="52">
        <f>IF(AB3154="","",IFERROR(INDEX(ctaTipo,MATCH(AB3154,ctaNombre,0))&amp;"",""))</f>
        <v/>
      </c>
      <c r="AE3154" s="52">
        <f>IF(AC3154="","",IFERROR(INDEX(ctaTipo,MATCH(AC3154,ctaNombre,0))&amp;"",""))</f>
        <v/>
      </c>
      <c r="AF3154" s="53">
        <f>IF(OR(P3154="",AB3154=""),"",IF(OR(P3154="Gasto",P3154="Transferencia",P3154="Pago tarjeta"),-1,1)*IF(IFERROR(INDEX(ctaMoneda,MATCH(AB3154,ctaNombre,0))&amp;"","DOP")="USD",T3154,S3154))</f>
        <v/>
      </c>
      <c r="AG3154" s="53">
        <f>IF(AC3154="","",IF(IFERROR(INDEX(ctaMoneda,MATCH(AC3154,ctaNombre,0))&amp;"","DOP")="USD",T3154,S3154))</f>
        <v/>
      </c>
      <c r="AH3154" s="53">
        <f>IF(P3154="","",IF(AND(AD3154&lt;&gt;"",COUNTIFS(tcTipo,AD3154,tcLiq,"Sí")&gt;0),IF(OR(P3154="Gasto",P3154="Transferencia",P3154="Pago tarjeta"),-1,1)*S3154,0)+IF(AND(AE3154&lt;&gt;"",COUNTIFS(tcTipo,AE3154,tcLiq,"Sí")&gt;0),S3154,0))</f>
        <v/>
      </c>
      <c r="AI3154" s="52">
        <f>IF(OR(L3154="",P3154=""),"",IF(COUNTIFS(L$6:L3154,L3154,P$6:P3154,"?*")=1,MAX(AI$5:AI3153)+1,""))</f>
        <v/>
      </c>
    </row>
    <row r="3155">
      <c r="B3155" s="47" t="n"/>
      <c r="C3155" s="48" t="n"/>
      <c r="D3155" s="48" t="n"/>
      <c r="E3155" s="48" t="n"/>
      <c r="F3155" s="48" t="n"/>
      <c r="G3155" s="49" t="n"/>
      <c r="H3155" s="48" t="n"/>
      <c r="I3155" s="50" t="n"/>
      <c r="J3155" s="48" t="n"/>
      <c r="K3155" s="48" t="n"/>
      <c r="L3155" s="48" t="n"/>
      <c r="M3155" s="48" t="n"/>
      <c r="N3155" s="48" t="n"/>
      <c r="O3155" s="51">
        <f>IF(AND(B3155="",G3155="",C3155="",D3155="",J3155=""),"",IF(B3155="","⚠ Falta fecha",IF(G3155="","⚠ Falta monto",IF(Q3155="","⚠ Falta cuenta",IF(ISNA(MATCH(Q3155,ctaNombre,0)),"⚠ Cuenta no registrada",IF(AND(OR(P3155="Gasto",P3155="Reembolso"),D3155=""),"⚠ Falta categoría",IF(AND(D3155&lt;&gt;"",E3155&lt;&gt;"",ISNA(MATCH(D3155&amp;"|"&amp;E3155,catClave,0))),"⚠ Subcategoría no corresponde",IF(AND(OR(P3155="Transferencia",P3155="Pago tarjeta"),K3155=""),"⚠ Falta cuenta destino",IF(AND(K3155&lt;&gt;"",P3155&lt;&gt;"Transferencia",P3155&lt;&gt;"Pago tarjeta"),"⚠ Destino solo aplica a transferencias",IF(AND(K3155&lt;&gt;"",K3155=Q3155),"⚠ Origen igual a destino",IF(AND(K3155&lt;&gt;"",ISNA(MATCH(K3155,ctaNombre,0))),"⚠ Destino no registrado",IF(AND(P3155="Pago tarjeta",AE3155&lt;&gt;"Tarjeta de crédito"),"⚠ El destino debe ser tarjeta de crédito",IF(AND(P3155="Gasto",E3155="Depósitos y retiros"),"⚠ Usa tipo Transferencia",IF(AND(P3155="Resultado trading",AD3155&lt;&gt;"Cuenta de trading"),"⚠ Usa una cuenta de trading",IF(AND(G3155&lt;=0,P3155&lt;&gt;"Ajuste",P3155&lt;&gt;"Resultado trading"),"⚠ El monto debe ser positivo","✓")))))))))))))))</f>
        <v/>
      </c>
      <c r="P3155" s="52">
        <f>IF(OR(B3155="",G3155=""),"",IF(C3155="","Gasto",C3155))</f>
        <v/>
      </c>
      <c r="Q3155" s="52">
        <f>IF(P3155="","",IF(J3155&lt;&gt;"",J3155,CuentaPred&amp;""))</f>
        <v/>
      </c>
      <c r="R3155" s="52">
        <f>IF(P3155="","",IF(ISNUMBER(I3155),I3155,TasaUSD))</f>
        <v/>
      </c>
      <c r="S3155" s="53">
        <f>IF(P3155="","",IF(H3155="USD",G3155*R3155,G3155))</f>
        <v/>
      </c>
      <c r="T3155" s="53">
        <f>IF(P3155="","",IF(H3155="USD",G3155,IF(R3155&gt;0,G3155/R3155,0)))</f>
        <v/>
      </c>
      <c r="U3155" s="53">
        <f>IF(P3155="","",IF(P3155="Gasto",S3155,IF(P3155="Reembolso",-S3155,0)))</f>
        <v/>
      </c>
      <c r="V3155" s="53">
        <f>IF(P3155="","",IF(P3155="Ingreso",S3155,0))</f>
        <v/>
      </c>
      <c r="W3155" s="53">
        <f>IF(P3155="","",IF(P3155="Resultado trading",S3155,0))</f>
        <v/>
      </c>
      <c r="X3155" s="52">
        <f>IF(OR(P3155="Gasto",P3155="Reembolso"),IF(M3155&lt;&gt;"",M3155,IFERROR(INDEX(catClasif,MATCH(D3155&amp;"|"&amp;E3155,catClave,0))&amp;"","Variable")),"")</f>
        <v/>
      </c>
      <c r="Y3155" s="52">
        <f>IF(P3155="","",IFERROR(INDEX(catGrupo,MATCH(D3155&amp;"|"&amp;E3155,catClave,0))&amp;"",""))</f>
        <v/>
      </c>
      <c r="Z3155" s="52">
        <f>IF(P3155="","",WEEKDAY(B3155,2))</f>
        <v/>
      </c>
      <c r="AA3155" s="52">
        <f>IF(P3155="","",IF(AND(P3155="Gasto",X3155="Variable",D3155&lt;&gt;catTrading,S3155&gt;0,S3155&lt;=Umbral),1,0))</f>
        <v/>
      </c>
      <c r="AB3155" s="52">
        <f>IF(OR(P3155="",Q3155=""),"",IFERROR(IF(INDEX(ctaVinc,MATCH(Q3155,ctaNombre,0))&amp;""&lt;&gt;"",INDEX(ctaVinc,MATCH(Q3155,ctaNombre,0))&amp;"",Q3155),Q3155))</f>
        <v/>
      </c>
      <c r="AC3155" s="52">
        <f>IF(OR(K3155="",AND(P3155&lt;&gt;"Transferencia",P3155&lt;&gt;"Pago tarjeta")),"",IFERROR(IF(INDEX(ctaVinc,MATCH(K3155,ctaNombre,0))&amp;""&lt;&gt;"",INDEX(ctaVinc,MATCH(K3155,ctaNombre,0))&amp;"",K3155),K3155))</f>
        <v/>
      </c>
      <c r="AD3155" s="52">
        <f>IF(AB3155="","",IFERROR(INDEX(ctaTipo,MATCH(AB3155,ctaNombre,0))&amp;"",""))</f>
        <v/>
      </c>
      <c r="AE3155" s="52">
        <f>IF(AC3155="","",IFERROR(INDEX(ctaTipo,MATCH(AC3155,ctaNombre,0))&amp;"",""))</f>
        <v/>
      </c>
      <c r="AF3155" s="53">
        <f>IF(OR(P3155="",AB3155=""),"",IF(OR(P3155="Gasto",P3155="Transferencia",P3155="Pago tarjeta"),-1,1)*IF(IFERROR(INDEX(ctaMoneda,MATCH(AB3155,ctaNombre,0))&amp;"","DOP")="USD",T3155,S3155))</f>
        <v/>
      </c>
      <c r="AG3155" s="53">
        <f>IF(AC3155="","",IF(IFERROR(INDEX(ctaMoneda,MATCH(AC3155,ctaNombre,0))&amp;"","DOP")="USD",T3155,S3155))</f>
        <v/>
      </c>
      <c r="AH3155" s="53">
        <f>IF(P3155="","",IF(AND(AD3155&lt;&gt;"",COUNTIFS(tcTipo,AD3155,tcLiq,"Sí")&gt;0),IF(OR(P3155="Gasto",P3155="Transferencia",P3155="Pago tarjeta"),-1,1)*S3155,0)+IF(AND(AE3155&lt;&gt;"",COUNTIFS(tcTipo,AE3155,tcLiq,"Sí")&gt;0),S3155,0))</f>
        <v/>
      </c>
      <c r="AI3155" s="52">
        <f>IF(OR(L3155="",P3155=""),"",IF(COUNTIFS(L$6:L3155,L3155,P$6:P3155,"?*")=1,MAX(AI$5:AI3154)+1,""))</f>
        <v/>
      </c>
    </row>
    <row r="3156">
      <c r="B3156" s="47" t="n"/>
      <c r="C3156" s="48" t="n"/>
      <c r="D3156" s="48" t="n"/>
      <c r="E3156" s="48" t="n"/>
      <c r="F3156" s="48" t="n"/>
      <c r="G3156" s="49" t="n"/>
      <c r="H3156" s="48" t="n"/>
      <c r="I3156" s="50" t="n"/>
      <c r="J3156" s="48" t="n"/>
      <c r="K3156" s="48" t="n"/>
      <c r="L3156" s="48" t="n"/>
      <c r="M3156" s="48" t="n"/>
      <c r="N3156" s="48" t="n"/>
      <c r="O3156" s="51">
        <f>IF(AND(B3156="",G3156="",C3156="",D3156="",J3156=""),"",IF(B3156="","⚠ Falta fecha",IF(G3156="","⚠ Falta monto",IF(Q3156="","⚠ Falta cuenta",IF(ISNA(MATCH(Q3156,ctaNombre,0)),"⚠ Cuenta no registrada",IF(AND(OR(P3156="Gasto",P3156="Reembolso"),D3156=""),"⚠ Falta categoría",IF(AND(D3156&lt;&gt;"",E3156&lt;&gt;"",ISNA(MATCH(D3156&amp;"|"&amp;E3156,catClave,0))),"⚠ Subcategoría no corresponde",IF(AND(OR(P3156="Transferencia",P3156="Pago tarjeta"),K3156=""),"⚠ Falta cuenta destino",IF(AND(K3156&lt;&gt;"",P3156&lt;&gt;"Transferencia",P3156&lt;&gt;"Pago tarjeta"),"⚠ Destino solo aplica a transferencias",IF(AND(K3156&lt;&gt;"",K3156=Q3156),"⚠ Origen igual a destino",IF(AND(K3156&lt;&gt;"",ISNA(MATCH(K3156,ctaNombre,0))),"⚠ Destino no registrado",IF(AND(P3156="Pago tarjeta",AE3156&lt;&gt;"Tarjeta de crédito"),"⚠ El destino debe ser tarjeta de crédito",IF(AND(P3156="Gasto",E3156="Depósitos y retiros"),"⚠ Usa tipo Transferencia",IF(AND(P3156="Resultado trading",AD3156&lt;&gt;"Cuenta de trading"),"⚠ Usa una cuenta de trading",IF(AND(G3156&lt;=0,P3156&lt;&gt;"Ajuste",P3156&lt;&gt;"Resultado trading"),"⚠ El monto debe ser positivo","✓")))))))))))))))</f>
        <v/>
      </c>
      <c r="P3156" s="52">
        <f>IF(OR(B3156="",G3156=""),"",IF(C3156="","Gasto",C3156))</f>
        <v/>
      </c>
      <c r="Q3156" s="52">
        <f>IF(P3156="","",IF(J3156&lt;&gt;"",J3156,CuentaPred&amp;""))</f>
        <v/>
      </c>
      <c r="R3156" s="52">
        <f>IF(P3156="","",IF(ISNUMBER(I3156),I3156,TasaUSD))</f>
        <v/>
      </c>
      <c r="S3156" s="53">
        <f>IF(P3156="","",IF(H3156="USD",G3156*R3156,G3156))</f>
        <v/>
      </c>
      <c r="T3156" s="53">
        <f>IF(P3156="","",IF(H3156="USD",G3156,IF(R3156&gt;0,G3156/R3156,0)))</f>
        <v/>
      </c>
      <c r="U3156" s="53">
        <f>IF(P3156="","",IF(P3156="Gasto",S3156,IF(P3156="Reembolso",-S3156,0)))</f>
        <v/>
      </c>
      <c r="V3156" s="53">
        <f>IF(P3156="","",IF(P3156="Ingreso",S3156,0))</f>
        <v/>
      </c>
      <c r="W3156" s="53">
        <f>IF(P3156="","",IF(P3156="Resultado trading",S3156,0))</f>
        <v/>
      </c>
      <c r="X3156" s="52">
        <f>IF(OR(P3156="Gasto",P3156="Reembolso"),IF(M3156&lt;&gt;"",M3156,IFERROR(INDEX(catClasif,MATCH(D3156&amp;"|"&amp;E3156,catClave,0))&amp;"","Variable")),"")</f>
        <v/>
      </c>
      <c r="Y3156" s="52">
        <f>IF(P3156="","",IFERROR(INDEX(catGrupo,MATCH(D3156&amp;"|"&amp;E3156,catClave,0))&amp;"",""))</f>
        <v/>
      </c>
      <c r="Z3156" s="52">
        <f>IF(P3156="","",WEEKDAY(B3156,2))</f>
        <v/>
      </c>
      <c r="AA3156" s="52">
        <f>IF(P3156="","",IF(AND(P3156="Gasto",X3156="Variable",D3156&lt;&gt;catTrading,S3156&gt;0,S3156&lt;=Umbral),1,0))</f>
        <v/>
      </c>
      <c r="AB3156" s="52">
        <f>IF(OR(P3156="",Q3156=""),"",IFERROR(IF(INDEX(ctaVinc,MATCH(Q3156,ctaNombre,0))&amp;""&lt;&gt;"",INDEX(ctaVinc,MATCH(Q3156,ctaNombre,0))&amp;"",Q3156),Q3156))</f>
        <v/>
      </c>
      <c r="AC3156" s="52">
        <f>IF(OR(K3156="",AND(P3156&lt;&gt;"Transferencia",P3156&lt;&gt;"Pago tarjeta")),"",IFERROR(IF(INDEX(ctaVinc,MATCH(K3156,ctaNombre,0))&amp;""&lt;&gt;"",INDEX(ctaVinc,MATCH(K3156,ctaNombre,0))&amp;"",K3156),K3156))</f>
        <v/>
      </c>
      <c r="AD3156" s="52">
        <f>IF(AB3156="","",IFERROR(INDEX(ctaTipo,MATCH(AB3156,ctaNombre,0))&amp;"",""))</f>
        <v/>
      </c>
      <c r="AE3156" s="52">
        <f>IF(AC3156="","",IFERROR(INDEX(ctaTipo,MATCH(AC3156,ctaNombre,0))&amp;"",""))</f>
        <v/>
      </c>
      <c r="AF3156" s="53">
        <f>IF(OR(P3156="",AB3156=""),"",IF(OR(P3156="Gasto",P3156="Transferencia",P3156="Pago tarjeta"),-1,1)*IF(IFERROR(INDEX(ctaMoneda,MATCH(AB3156,ctaNombre,0))&amp;"","DOP")="USD",T3156,S3156))</f>
        <v/>
      </c>
      <c r="AG3156" s="53">
        <f>IF(AC3156="","",IF(IFERROR(INDEX(ctaMoneda,MATCH(AC3156,ctaNombre,0))&amp;"","DOP")="USD",T3156,S3156))</f>
        <v/>
      </c>
      <c r="AH3156" s="53">
        <f>IF(P3156="","",IF(AND(AD3156&lt;&gt;"",COUNTIFS(tcTipo,AD3156,tcLiq,"Sí")&gt;0),IF(OR(P3156="Gasto",P3156="Transferencia",P3156="Pago tarjeta"),-1,1)*S3156,0)+IF(AND(AE3156&lt;&gt;"",COUNTIFS(tcTipo,AE3156,tcLiq,"Sí")&gt;0),S3156,0))</f>
        <v/>
      </c>
      <c r="AI3156" s="52">
        <f>IF(OR(L3156="",P3156=""),"",IF(COUNTIFS(L$6:L3156,L3156,P$6:P3156,"?*")=1,MAX(AI$5:AI3155)+1,""))</f>
        <v/>
      </c>
    </row>
    <row r="3157">
      <c r="B3157" s="47" t="n"/>
      <c r="C3157" s="48" t="n"/>
      <c r="D3157" s="48" t="n"/>
      <c r="E3157" s="48" t="n"/>
      <c r="F3157" s="48" t="n"/>
      <c r="G3157" s="49" t="n"/>
      <c r="H3157" s="48" t="n"/>
      <c r="I3157" s="50" t="n"/>
      <c r="J3157" s="48" t="n"/>
      <c r="K3157" s="48" t="n"/>
      <c r="L3157" s="48" t="n"/>
      <c r="M3157" s="48" t="n"/>
      <c r="N3157" s="48" t="n"/>
      <c r="O3157" s="51">
        <f>IF(AND(B3157="",G3157="",C3157="",D3157="",J3157=""),"",IF(B3157="","⚠ Falta fecha",IF(G3157="","⚠ Falta monto",IF(Q3157="","⚠ Falta cuenta",IF(ISNA(MATCH(Q3157,ctaNombre,0)),"⚠ Cuenta no registrada",IF(AND(OR(P3157="Gasto",P3157="Reembolso"),D3157=""),"⚠ Falta categoría",IF(AND(D3157&lt;&gt;"",E3157&lt;&gt;"",ISNA(MATCH(D3157&amp;"|"&amp;E3157,catClave,0))),"⚠ Subcategoría no corresponde",IF(AND(OR(P3157="Transferencia",P3157="Pago tarjeta"),K3157=""),"⚠ Falta cuenta destino",IF(AND(K3157&lt;&gt;"",P3157&lt;&gt;"Transferencia",P3157&lt;&gt;"Pago tarjeta"),"⚠ Destino solo aplica a transferencias",IF(AND(K3157&lt;&gt;"",K3157=Q3157),"⚠ Origen igual a destino",IF(AND(K3157&lt;&gt;"",ISNA(MATCH(K3157,ctaNombre,0))),"⚠ Destino no registrado",IF(AND(P3157="Pago tarjeta",AE3157&lt;&gt;"Tarjeta de crédito"),"⚠ El destino debe ser tarjeta de crédito",IF(AND(P3157="Gasto",E3157="Depósitos y retiros"),"⚠ Usa tipo Transferencia",IF(AND(P3157="Resultado trading",AD3157&lt;&gt;"Cuenta de trading"),"⚠ Usa una cuenta de trading",IF(AND(G3157&lt;=0,P3157&lt;&gt;"Ajuste",P3157&lt;&gt;"Resultado trading"),"⚠ El monto debe ser positivo","✓")))))))))))))))</f>
        <v/>
      </c>
      <c r="P3157" s="52">
        <f>IF(OR(B3157="",G3157=""),"",IF(C3157="","Gasto",C3157))</f>
        <v/>
      </c>
      <c r="Q3157" s="52">
        <f>IF(P3157="","",IF(J3157&lt;&gt;"",J3157,CuentaPred&amp;""))</f>
        <v/>
      </c>
      <c r="R3157" s="52">
        <f>IF(P3157="","",IF(ISNUMBER(I3157),I3157,TasaUSD))</f>
        <v/>
      </c>
      <c r="S3157" s="53">
        <f>IF(P3157="","",IF(H3157="USD",G3157*R3157,G3157))</f>
        <v/>
      </c>
      <c r="T3157" s="53">
        <f>IF(P3157="","",IF(H3157="USD",G3157,IF(R3157&gt;0,G3157/R3157,0)))</f>
        <v/>
      </c>
      <c r="U3157" s="53">
        <f>IF(P3157="","",IF(P3157="Gasto",S3157,IF(P3157="Reembolso",-S3157,0)))</f>
        <v/>
      </c>
      <c r="V3157" s="53">
        <f>IF(P3157="","",IF(P3157="Ingreso",S3157,0))</f>
        <v/>
      </c>
      <c r="W3157" s="53">
        <f>IF(P3157="","",IF(P3157="Resultado trading",S3157,0))</f>
        <v/>
      </c>
      <c r="X3157" s="52">
        <f>IF(OR(P3157="Gasto",P3157="Reembolso"),IF(M3157&lt;&gt;"",M3157,IFERROR(INDEX(catClasif,MATCH(D3157&amp;"|"&amp;E3157,catClave,0))&amp;"","Variable")),"")</f>
        <v/>
      </c>
      <c r="Y3157" s="52">
        <f>IF(P3157="","",IFERROR(INDEX(catGrupo,MATCH(D3157&amp;"|"&amp;E3157,catClave,0))&amp;"",""))</f>
        <v/>
      </c>
      <c r="Z3157" s="52">
        <f>IF(P3157="","",WEEKDAY(B3157,2))</f>
        <v/>
      </c>
      <c r="AA3157" s="52">
        <f>IF(P3157="","",IF(AND(P3157="Gasto",X3157="Variable",D3157&lt;&gt;catTrading,S3157&gt;0,S3157&lt;=Umbral),1,0))</f>
        <v/>
      </c>
      <c r="AB3157" s="52">
        <f>IF(OR(P3157="",Q3157=""),"",IFERROR(IF(INDEX(ctaVinc,MATCH(Q3157,ctaNombre,0))&amp;""&lt;&gt;"",INDEX(ctaVinc,MATCH(Q3157,ctaNombre,0))&amp;"",Q3157),Q3157))</f>
        <v/>
      </c>
      <c r="AC3157" s="52">
        <f>IF(OR(K3157="",AND(P3157&lt;&gt;"Transferencia",P3157&lt;&gt;"Pago tarjeta")),"",IFERROR(IF(INDEX(ctaVinc,MATCH(K3157,ctaNombre,0))&amp;""&lt;&gt;"",INDEX(ctaVinc,MATCH(K3157,ctaNombre,0))&amp;"",K3157),K3157))</f>
        <v/>
      </c>
      <c r="AD3157" s="52">
        <f>IF(AB3157="","",IFERROR(INDEX(ctaTipo,MATCH(AB3157,ctaNombre,0))&amp;"",""))</f>
        <v/>
      </c>
      <c r="AE3157" s="52">
        <f>IF(AC3157="","",IFERROR(INDEX(ctaTipo,MATCH(AC3157,ctaNombre,0))&amp;"",""))</f>
        <v/>
      </c>
      <c r="AF3157" s="53">
        <f>IF(OR(P3157="",AB3157=""),"",IF(OR(P3157="Gasto",P3157="Transferencia",P3157="Pago tarjeta"),-1,1)*IF(IFERROR(INDEX(ctaMoneda,MATCH(AB3157,ctaNombre,0))&amp;"","DOP")="USD",T3157,S3157))</f>
        <v/>
      </c>
      <c r="AG3157" s="53">
        <f>IF(AC3157="","",IF(IFERROR(INDEX(ctaMoneda,MATCH(AC3157,ctaNombre,0))&amp;"","DOP")="USD",T3157,S3157))</f>
        <v/>
      </c>
      <c r="AH3157" s="53">
        <f>IF(P3157="","",IF(AND(AD3157&lt;&gt;"",COUNTIFS(tcTipo,AD3157,tcLiq,"Sí")&gt;0),IF(OR(P3157="Gasto",P3157="Transferencia",P3157="Pago tarjeta"),-1,1)*S3157,0)+IF(AND(AE3157&lt;&gt;"",COUNTIFS(tcTipo,AE3157,tcLiq,"Sí")&gt;0),S3157,0))</f>
        <v/>
      </c>
      <c r="AI3157" s="52">
        <f>IF(OR(L3157="",P3157=""),"",IF(COUNTIFS(L$6:L3157,L3157,P$6:P3157,"?*")=1,MAX(AI$5:AI3156)+1,""))</f>
        <v/>
      </c>
    </row>
    <row r="3158">
      <c r="B3158" s="47" t="n"/>
      <c r="C3158" s="48" t="n"/>
      <c r="D3158" s="48" t="n"/>
      <c r="E3158" s="48" t="n"/>
      <c r="F3158" s="48" t="n"/>
      <c r="G3158" s="49" t="n"/>
      <c r="H3158" s="48" t="n"/>
      <c r="I3158" s="50" t="n"/>
      <c r="J3158" s="48" t="n"/>
      <c r="K3158" s="48" t="n"/>
      <c r="L3158" s="48" t="n"/>
      <c r="M3158" s="48" t="n"/>
      <c r="N3158" s="48" t="n"/>
      <c r="O3158" s="51">
        <f>IF(AND(B3158="",G3158="",C3158="",D3158="",J3158=""),"",IF(B3158="","⚠ Falta fecha",IF(G3158="","⚠ Falta monto",IF(Q3158="","⚠ Falta cuenta",IF(ISNA(MATCH(Q3158,ctaNombre,0)),"⚠ Cuenta no registrada",IF(AND(OR(P3158="Gasto",P3158="Reembolso"),D3158=""),"⚠ Falta categoría",IF(AND(D3158&lt;&gt;"",E3158&lt;&gt;"",ISNA(MATCH(D3158&amp;"|"&amp;E3158,catClave,0))),"⚠ Subcategoría no corresponde",IF(AND(OR(P3158="Transferencia",P3158="Pago tarjeta"),K3158=""),"⚠ Falta cuenta destino",IF(AND(K3158&lt;&gt;"",P3158&lt;&gt;"Transferencia",P3158&lt;&gt;"Pago tarjeta"),"⚠ Destino solo aplica a transferencias",IF(AND(K3158&lt;&gt;"",K3158=Q3158),"⚠ Origen igual a destino",IF(AND(K3158&lt;&gt;"",ISNA(MATCH(K3158,ctaNombre,0))),"⚠ Destino no registrado",IF(AND(P3158="Pago tarjeta",AE3158&lt;&gt;"Tarjeta de crédito"),"⚠ El destino debe ser tarjeta de crédito",IF(AND(P3158="Gasto",E3158="Depósitos y retiros"),"⚠ Usa tipo Transferencia",IF(AND(P3158="Resultado trading",AD3158&lt;&gt;"Cuenta de trading"),"⚠ Usa una cuenta de trading",IF(AND(G3158&lt;=0,P3158&lt;&gt;"Ajuste",P3158&lt;&gt;"Resultado trading"),"⚠ El monto debe ser positivo","✓")))))))))))))))</f>
        <v/>
      </c>
      <c r="P3158" s="52">
        <f>IF(OR(B3158="",G3158=""),"",IF(C3158="","Gasto",C3158))</f>
        <v/>
      </c>
      <c r="Q3158" s="52">
        <f>IF(P3158="","",IF(J3158&lt;&gt;"",J3158,CuentaPred&amp;""))</f>
        <v/>
      </c>
      <c r="R3158" s="52">
        <f>IF(P3158="","",IF(ISNUMBER(I3158),I3158,TasaUSD))</f>
        <v/>
      </c>
      <c r="S3158" s="53">
        <f>IF(P3158="","",IF(H3158="USD",G3158*R3158,G3158))</f>
        <v/>
      </c>
      <c r="T3158" s="53">
        <f>IF(P3158="","",IF(H3158="USD",G3158,IF(R3158&gt;0,G3158/R3158,0)))</f>
        <v/>
      </c>
      <c r="U3158" s="53">
        <f>IF(P3158="","",IF(P3158="Gasto",S3158,IF(P3158="Reembolso",-S3158,0)))</f>
        <v/>
      </c>
      <c r="V3158" s="53">
        <f>IF(P3158="","",IF(P3158="Ingreso",S3158,0))</f>
        <v/>
      </c>
      <c r="W3158" s="53">
        <f>IF(P3158="","",IF(P3158="Resultado trading",S3158,0))</f>
        <v/>
      </c>
      <c r="X3158" s="52">
        <f>IF(OR(P3158="Gasto",P3158="Reembolso"),IF(M3158&lt;&gt;"",M3158,IFERROR(INDEX(catClasif,MATCH(D3158&amp;"|"&amp;E3158,catClave,0))&amp;"","Variable")),"")</f>
        <v/>
      </c>
      <c r="Y3158" s="52">
        <f>IF(P3158="","",IFERROR(INDEX(catGrupo,MATCH(D3158&amp;"|"&amp;E3158,catClave,0))&amp;"",""))</f>
        <v/>
      </c>
      <c r="Z3158" s="52">
        <f>IF(P3158="","",WEEKDAY(B3158,2))</f>
        <v/>
      </c>
      <c r="AA3158" s="52">
        <f>IF(P3158="","",IF(AND(P3158="Gasto",X3158="Variable",D3158&lt;&gt;catTrading,S3158&gt;0,S3158&lt;=Umbral),1,0))</f>
        <v/>
      </c>
      <c r="AB3158" s="52">
        <f>IF(OR(P3158="",Q3158=""),"",IFERROR(IF(INDEX(ctaVinc,MATCH(Q3158,ctaNombre,0))&amp;""&lt;&gt;"",INDEX(ctaVinc,MATCH(Q3158,ctaNombre,0))&amp;"",Q3158),Q3158))</f>
        <v/>
      </c>
      <c r="AC3158" s="52">
        <f>IF(OR(K3158="",AND(P3158&lt;&gt;"Transferencia",P3158&lt;&gt;"Pago tarjeta")),"",IFERROR(IF(INDEX(ctaVinc,MATCH(K3158,ctaNombre,0))&amp;""&lt;&gt;"",INDEX(ctaVinc,MATCH(K3158,ctaNombre,0))&amp;"",K3158),K3158))</f>
        <v/>
      </c>
      <c r="AD3158" s="52">
        <f>IF(AB3158="","",IFERROR(INDEX(ctaTipo,MATCH(AB3158,ctaNombre,0))&amp;"",""))</f>
        <v/>
      </c>
      <c r="AE3158" s="52">
        <f>IF(AC3158="","",IFERROR(INDEX(ctaTipo,MATCH(AC3158,ctaNombre,0))&amp;"",""))</f>
        <v/>
      </c>
      <c r="AF3158" s="53">
        <f>IF(OR(P3158="",AB3158=""),"",IF(OR(P3158="Gasto",P3158="Transferencia",P3158="Pago tarjeta"),-1,1)*IF(IFERROR(INDEX(ctaMoneda,MATCH(AB3158,ctaNombre,0))&amp;"","DOP")="USD",T3158,S3158))</f>
        <v/>
      </c>
      <c r="AG3158" s="53">
        <f>IF(AC3158="","",IF(IFERROR(INDEX(ctaMoneda,MATCH(AC3158,ctaNombre,0))&amp;"","DOP")="USD",T3158,S3158))</f>
        <v/>
      </c>
      <c r="AH3158" s="53">
        <f>IF(P3158="","",IF(AND(AD3158&lt;&gt;"",COUNTIFS(tcTipo,AD3158,tcLiq,"Sí")&gt;0),IF(OR(P3158="Gasto",P3158="Transferencia",P3158="Pago tarjeta"),-1,1)*S3158,0)+IF(AND(AE3158&lt;&gt;"",COUNTIFS(tcTipo,AE3158,tcLiq,"Sí")&gt;0),S3158,0))</f>
        <v/>
      </c>
      <c r="AI3158" s="52">
        <f>IF(OR(L3158="",P3158=""),"",IF(COUNTIFS(L$6:L3158,L3158,P$6:P3158,"?*")=1,MAX(AI$5:AI3157)+1,""))</f>
        <v/>
      </c>
    </row>
    <row r="3159">
      <c r="B3159" s="47" t="n"/>
      <c r="C3159" s="48" t="n"/>
      <c r="D3159" s="48" t="n"/>
      <c r="E3159" s="48" t="n"/>
      <c r="F3159" s="48" t="n"/>
      <c r="G3159" s="49" t="n"/>
      <c r="H3159" s="48" t="n"/>
      <c r="I3159" s="50" t="n"/>
      <c r="J3159" s="48" t="n"/>
      <c r="K3159" s="48" t="n"/>
      <c r="L3159" s="48" t="n"/>
      <c r="M3159" s="48" t="n"/>
      <c r="N3159" s="48" t="n"/>
      <c r="O3159" s="51">
        <f>IF(AND(B3159="",G3159="",C3159="",D3159="",J3159=""),"",IF(B3159="","⚠ Falta fecha",IF(G3159="","⚠ Falta monto",IF(Q3159="","⚠ Falta cuenta",IF(ISNA(MATCH(Q3159,ctaNombre,0)),"⚠ Cuenta no registrada",IF(AND(OR(P3159="Gasto",P3159="Reembolso"),D3159=""),"⚠ Falta categoría",IF(AND(D3159&lt;&gt;"",E3159&lt;&gt;"",ISNA(MATCH(D3159&amp;"|"&amp;E3159,catClave,0))),"⚠ Subcategoría no corresponde",IF(AND(OR(P3159="Transferencia",P3159="Pago tarjeta"),K3159=""),"⚠ Falta cuenta destino",IF(AND(K3159&lt;&gt;"",P3159&lt;&gt;"Transferencia",P3159&lt;&gt;"Pago tarjeta"),"⚠ Destino solo aplica a transferencias",IF(AND(K3159&lt;&gt;"",K3159=Q3159),"⚠ Origen igual a destino",IF(AND(K3159&lt;&gt;"",ISNA(MATCH(K3159,ctaNombre,0))),"⚠ Destino no registrado",IF(AND(P3159="Pago tarjeta",AE3159&lt;&gt;"Tarjeta de crédito"),"⚠ El destino debe ser tarjeta de crédito",IF(AND(P3159="Gasto",E3159="Depósitos y retiros"),"⚠ Usa tipo Transferencia",IF(AND(P3159="Resultado trading",AD3159&lt;&gt;"Cuenta de trading"),"⚠ Usa una cuenta de trading",IF(AND(G3159&lt;=0,P3159&lt;&gt;"Ajuste",P3159&lt;&gt;"Resultado trading"),"⚠ El monto debe ser positivo","✓")))))))))))))))</f>
        <v/>
      </c>
      <c r="P3159" s="52">
        <f>IF(OR(B3159="",G3159=""),"",IF(C3159="","Gasto",C3159))</f>
        <v/>
      </c>
      <c r="Q3159" s="52">
        <f>IF(P3159="","",IF(J3159&lt;&gt;"",J3159,CuentaPred&amp;""))</f>
        <v/>
      </c>
      <c r="R3159" s="52">
        <f>IF(P3159="","",IF(ISNUMBER(I3159),I3159,TasaUSD))</f>
        <v/>
      </c>
      <c r="S3159" s="53">
        <f>IF(P3159="","",IF(H3159="USD",G3159*R3159,G3159))</f>
        <v/>
      </c>
      <c r="T3159" s="53">
        <f>IF(P3159="","",IF(H3159="USD",G3159,IF(R3159&gt;0,G3159/R3159,0)))</f>
        <v/>
      </c>
      <c r="U3159" s="53">
        <f>IF(P3159="","",IF(P3159="Gasto",S3159,IF(P3159="Reembolso",-S3159,0)))</f>
        <v/>
      </c>
      <c r="V3159" s="53">
        <f>IF(P3159="","",IF(P3159="Ingreso",S3159,0))</f>
        <v/>
      </c>
      <c r="W3159" s="53">
        <f>IF(P3159="","",IF(P3159="Resultado trading",S3159,0))</f>
        <v/>
      </c>
      <c r="X3159" s="52">
        <f>IF(OR(P3159="Gasto",P3159="Reembolso"),IF(M3159&lt;&gt;"",M3159,IFERROR(INDEX(catClasif,MATCH(D3159&amp;"|"&amp;E3159,catClave,0))&amp;"","Variable")),"")</f>
        <v/>
      </c>
      <c r="Y3159" s="52">
        <f>IF(P3159="","",IFERROR(INDEX(catGrupo,MATCH(D3159&amp;"|"&amp;E3159,catClave,0))&amp;"",""))</f>
        <v/>
      </c>
      <c r="Z3159" s="52">
        <f>IF(P3159="","",WEEKDAY(B3159,2))</f>
        <v/>
      </c>
      <c r="AA3159" s="52">
        <f>IF(P3159="","",IF(AND(P3159="Gasto",X3159="Variable",D3159&lt;&gt;catTrading,S3159&gt;0,S3159&lt;=Umbral),1,0))</f>
        <v/>
      </c>
      <c r="AB3159" s="52">
        <f>IF(OR(P3159="",Q3159=""),"",IFERROR(IF(INDEX(ctaVinc,MATCH(Q3159,ctaNombre,0))&amp;""&lt;&gt;"",INDEX(ctaVinc,MATCH(Q3159,ctaNombre,0))&amp;"",Q3159),Q3159))</f>
        <v/>
      </c>
      <c r="AC3159" s="52">
        <f>IF(OR(K3159="",AND(P3159&lt;&gt;"Transferencia",P3159&lt;&gt;"Pago tarjeta")),"",IFERROR(IF(INDEX(ctaVinc,MATCH(K3159,ctaNombre,0))&amp;""&lt;&gt;"",INDEX(ctaVinc,MATCH(K3159,ctaNombre,0))&amp;"",K3159),K3159))</f>
        <v/>
      </c>
      <c r="AD3159" s="52">
        <f>IF(AB3159="","",IFERROR(INDEX(ctaTipo,MATCH(AB3159,ctaNombre,0))&amp;"",""))</f>
        <v/>
      </c>
      <c r="AE3159" s="52">
        <f>IF(AC3159="","",IFERROR(INDEX(ctaTipo,MATCH(AC3159,ctaNombre,0))&amp;"",""))</f>
        <v/>
      </c>
      <c r="AF3159" s="53">
        <f>IF(OR(P3159="",AB3159=""),"",IF(OR(P3159="Gasto",P3159="Transferencia",P3159="Pago tarjeta"),-1,1)*IF(IFERROR(INDEX(ctaMoneda,MATCH(AB3159,ctaNombre,0))&amp;"","DOP")="USD",T3159,S3159))</f>
        <v/>
      </c>
      <c r="AG3159" s="53">
        <f>IF(AC3159="","",IF(IFERROR(INDEX(ctaMoneda,MATCH(AC3159,ctaNombre,0))&amp;"","DOP")="USD",T3159,S3159))</f>
        <v/>
      </c>
      <c r="AH3159" s="53">
        <f>IF(P3159="","",IF(AND(AD3159&lt;&gt;"",COUNTIFS(tcTipo,AD3159,tcLiq,"Sí")&gt;0),IF(OR(P3159="Gasto",P3159="Transferencia",P3159="Pago tarjeta"),-1,1)*S3159,0)+IF(AND(AE3159&lt;&gt;"",COUNTIFS(tcTipo,AE3159,tcLiq,"Sí")&gt;0),S3159,0))</f>
        <v/>
      </c>
      <c r="AI3159" s="52">
        <f>IF(OR(L3159="",P3159=""),"",IF(COUNTIFS(L$6:L3159,L3159,P$6:P3159,"?*")=1,MAX(AI$5:AI3158)+1,""))</f>
        <v/>
      </c>
    </row>
    <row r="3160">
      <c r="B3160" s="47" t="n"/>
      <c r="C3160" s="48" t="n"/>
      <c r="D3160" s="48" t="n"/>
      <c r="E3160" s="48" t="n"/>
      <c r="F3160" s="48" t="n"/>
      <c r="G3160" s="49" t="n"/>
      <c r="H3160" s="48" t="n"/>
      <c r="I3160" s="50" t="n"/>
      <c r="J3160" s="48" t="n"/>
      <c r="K3160" s="48" t="n"/>
      <c r="L3160" s="48" t="n"/>
      <c r="M3160" s="48" t="n"/>
      <c r="N3160" s="48" t="n"/>
      <c r="O3160" s="51">
        <f>IF(AND(B3160="",G3160="",C3160="",D3160="",J3160=""),"",IF(B3160="","⚠ Falta fecha",IF(G3160="","⚠ Falta monto",IF(Q3160="","⚠ Falta cuenta",IF(ISNA(MATCH(Q3160,ctaNombre,0)),"⚠ Cuenta no registrada",IF(AND(OR(P3160="Gasto",P3160="Reembolso"),D3160=""),"⚠ Falta categoría",IF(AND(D3160&lt;&gt;"",E3160&lt;&gt;"",ISNA(MATCH(D3160&amp;"|"&amp;E3160,catClave,0))),"⚠ Subcategoría no corresponde",IF(AND(OR(P3160="Transferencia",P3160="Pago tarjeta"),K3160=""),"⚠ Falta cuenta destino",IF(AND(K3160&lt;&gt;"",P3160&lt;&gt;"Transferencia",P3160&lt;&gt;"Pago tarjeta"),"⚠ Destino solo aplica a transferencias",IF(AND(K3160&lt;&gt;"",K3160=Q3160),"⚠ Origen igual a destino",IF(AND(K3160&lt;&gt;"",ISNA(MATCH(K3160,ctaNombre,0))),"⚠ Destino no registrado",IF(AND(P3160="Pago tarjeta",AE3160&lt;&gt;"Tarjeta de crédito"),"⚠ El destino debe ser tarjeta de crédito",IF(AND(P3160="Gasto",E3160="Depósitos y retiros"),"⚠ Usa tipo Transferencia",IF(AND(P3160="Resultado trading",AD3160&lt;&gt;"Cuenta de trading"),"⚠ Usa una cuenta de trading",IF(AND(G3160&lt;=0,P3160&lt;&gt;"Ajuste",P3160&lt;&gt;"Resultado trading"),"⚠ El monto debe ser positivo","✓")))))))))))))))</f>
        <v/>
      </c>
      <c r="P3160" s="52">
        <f>IF(OR(B3160="",G3160=""),"",IF(C3160="","Gasto",C3160))</f>
        <v/>
      </c>
      <c r="Q3160" s="52">
        <f>IF(P3160="","",IF(J3160&lt;&gt;"",J3160,CuentaPred&amp;""))</f>
        <v/>
      </c>
      <c r="R3160" s="52">
        <f>IF(P3160="","",IF(ISNUMBER(I3160),I3160,TasaUSD))</f>
        <v/>
      </c>
      <c r="S3160" s="53">
        <f>IF(P3160="","",IF(H3160="USD",G3160*R3160,G3160))</f>
        <v/>
      </c>
      <c r="T3160" s="53">
        <f>IF(P3160="","",IF(H3160="USD",G3160,IF(R3160&gt;0,G3160/R3160,0)))</f>
        <v/>
      </c>
      <c r="U3160" s="53">
        <f>IF(P3160="","",IF(P3160="Gasto",S3160,IF(P3160="Reembolso",-S3160,0)))</f>
        <v/>
      </c>
      <c r="V3160" s="53">
        <f>IF(P3160="","",IF(P3160="Ingreso",S3160,0))</f>
        <v/>
      </c>
      <c r="W3160" s="53">
        <f>IF(P3160="","",IF(P3160="Resultado trading",S3160,0))</f>
        <v/>
      </c>
      <c r="X3160" s="52">
        <f>IF(OR(P3160="Gasto",P3160="Reembolso"),IF(M3160&lt;&gt;"",M3160,IFERROR(INDEX(catClasif,MATCH(D3160&amp;"|"&amp;E3160,catClave,0))&amp;"","Variable")),"")</f>
        <v/>
      </c>
      <c r="Y3160" s="52">
        <f>IF(P3160="","",IFERROR(INDEX(catGrupo,MATCH(D3160&amp;"|"&amp;E3160,catClave,0))&amp;"",""))</f>
        <v/>
      </c>
      <c r="Z3160" s="52">
        <f>IF(P3160="","",WEEKDAY(B3160,2))</f>
        <v/>
      </c>
      <c r="AA3160" s="52">
        <f>IF(P3160="","",IF(AND(P3160="Gasto",X3160="Variable",D3160&lt;&gt;catTrading,S3160&gt;0,S3160&lt;=Umbral),1,0))</f>
        <v/>
      </c>
      <c r="AB3160" s="52">
        <f>IF(OR(P3160="",Q3160=""),"",IFERROR(IF(INDEX(ctaVinc,MATCH(Q3160,ctaNombre,0))&amp;""&lt;&gt;"",INDEX(ctaVinc,MATCH(Q3160,ctaNombre,0))&amp;"",Q3160),Q3160))</f>
        <v/>
      </c>
      <c r="AC3160" s="52">
        <f>IF(OR(K3160="",AND(P3160&lt;&gt;"Transferencia",P3160&lt;&gt;"Pago tarjeta")),"",IFERROR(IF(INDEX(ctaVinc,MATCH(K3160,ctaNombre,0))&amp;""&lt;&gt;"",INDEX(ctaVinc,MATCH(K3160,ctaNombre,0))&amp;"",K3160),K3160))</f>
        <v/>
      </c>
      <c r="AD3160" s="52">
        <f>IF(AB3160="","",IFERROR(INDEX(ctaTipo,MATCH(AB3160,ctaNombre,0))&amp;"",""))</f>
        <v/>
      </c>
      <c r="AE3160" s="52">
        <f>IF(AC3160="","",IFERROR(INDEX(ctaTipo,MATCH(AC3160,ctaNombre,0))&amp;"",""))</f>
        <v/>
      </c>
      <c r="AF3160" s="53">
        <f>IF(OR(P3160="",AB3160=""),"",IF(OR(P3160="Gasto",P3160="Transferencia",P3160="Pago tarjeta"),-1,1)*IF(IFERROR(INDEX(ctaMoneda,MATCH(AB3160,ctaNombre,0))&amp;"","DOP")="USD",T3160,S3160))</f>
        <v/>
      </c>
      <c r="AG3160" s="53">
        <f>IF(AC3160="","",IF(IFERROR(INDEX(ctaMoneda,MATCH(AC3160,ctaNombre,0))&amp;"","DOP")="USD",T3160,S3160))</f>
        <v/>
      </c>
      <c r="AH3160" s="53">
        <f>IF(P3160="","",IF(AND(AD3160&lt;&gt;"",COUNTIFS(tcTipo,AD3160,tcLiq,"Sí")&gt;0),IF(OR(P3160="Gasto",P3160="Transferencia",P3160="Pago tarjeta"),-1,1)*S3160,0)+IF(AND(AE3160&lt;&gt;"",COUNTIFS(tcTipo,AE3160,tcLiq,"Sí")&gt;0),S3160,0))</f>
        <v/>
      </c>
      <c r="AI3160" s="52">
        <f>IF(OR(L3160="",P3160=""),"",IF(COUNTIFS(L$6:L3160,L3160,P$6:P3160,"?*")=1,MAX(AI$5:AI3159)+1,""))</f>
        <v/>
      </c>
    </row>
    <row r="3161">
      <c r="B3161" s="47" t="n"/>
      <c r="C3161" s="48" t="n"/>
      <c r="D3161" s="48" t="n"/>
      <c r="E3161" s="48" t="n"/>
      <c r="F3161" s="48" t="n"/>
      <c r="G3161" s="49" t="n"/>
      <c r="H3161" s="48" t="n"/>
      <c r="I3161" s="50" t="n"/>
      <c r="J3161" s="48" t="n"/>
      <c r="K3161" s="48" t="n"/>
      <c r="L3161" s="48" t="n"/>
      <c r="M3161" s="48" t="n"/>
      <c r="N3161" s="48" t="n"/>
      <c r="O3161" s="51">
        <f>IF(AND(B3161="",G3161="",C3161="",D3161="",J3161=""),"",IF(B3161="","⚠ Falta fecha",IF(G3161="","⚠ Falta monto",IF(Q3161="","⚠ Falta cuenta",IF(ISNA(MATCH(Q3161,ctaNombre,0)),"⚠ Cuenta no registrada",IF(AND(OR(P3161="Gasto",P3161="Reembolso"),D3161=""),"⚠ Falta categoría",IF(AND(D3161&lt;&gt;"",E3161&lt;&gt;"",ISNA(MATCH(D3161&amp;"|"&amp;E3161,catClave,0))),"⚠ Subcategoría no corresponde",IF(AND(OR(P3161="Transferencia",P3161="Pago tarjeta"),K3161=""),"⚠ Falta cuenta destino",IF(AND(K3161&lt;&gt;"",P3161&lt;&gt;"Transferencia",P3161&lt;&gt;"Pago tarjeta"),"⚠ Destino solo aplica a transferencias",IF(AND(K3161&lt;&gt;"",K3161=Q3161),"⚠ Origen igual a destino",IF(AND(K3161&lt;&gt;"",ISNA(MATCH(K3161,ctaNombre,0))),"⚠ Destino no registrado",IF(AND(P3161="Pago tarjeta",AE3161&lt;&gt;"Tarjeta de crédito"),"⚠ El destino debe ser tarjeta de crédito",IF(AND(P3161="Gasto",E3161="Depósitos y retiros"),"⚠ Usa tipo Transferencia",IF(AND(P3161="Resultado trading",AD3161&lt;&gt;"Cuenta de trading"),"⚠ Usa una cuenta de trading",IF(AND(G3161&lt;=0,P3161&lt;&gt;"Ajuste",P3161&lt;&gt;"Resultado trading"),"⚠ El monto debe ser positivo","✓")))))))))))))))</f>
        <v/>
      </c>
      <c r="P3161" s="52">
        <f>IF(OR(B3161="",G3161=""),"",IF(C3161="","Gasto",C3161))</f>
        <v/>
      </c>
      <c r="Q3161" s="52">
        <f>IF(P3161="","",IF(J3161&lt;&gt;"",J3161,CuentaPred&amp;""))</f>
        <v/>
      </c>
      <c r="R3161" s="52">
        <f>IF(P3161="","",IF(ISNUMBER(I3161),I3161,TasaUSD))</f>
        <v/>
      </c>
      <c r="S3161" s="53">
        <f>IF(P3161="","",IF(H3161="USD",G3161*R3161,G3161))</f>
        <v/>
      </c>
      <c r="T3161" s="53">
        <f>IF(P3161="","",IF(H3161="USD",G3161,IF(R3161&gt;0,G3161/R3161,0)))</f>
        <v/>
      </c>
      <c r="U3161" s="53">
        <f>IF(P3161="","",IF(P3161="Gasto",S3161,IF(P3161="Reembolso",-S3161,0)))</f>
        <v/>
      </c>
      <c r="V3161" s="53">
        <f>IF(P3161="","",IF(P3161="Ingreso",S3161,0))</f>
        <v/>
      </c>
      <c r="W3161" s="53">
        <f>IF(P3161="","",IF(P3161="Resultado trading",S3161,0))</f>
        <v/>
      </c>
      <c r="X3161" s="52">
        <f>IF(OR(P3161="Gasto",P3161="Reembolso"),IF(M3161&lt;&gt;"",M3161,IFERROR(INDEX(catClasif,MATCH(D3161&amp;"|"&amp;E3161,catClave,0))&amp;"","Variable")),"")</f>
        <v/>
      </c>
      <c r="Y3161" s="52">
        <f>IF(P3161="","",IFERROR(INDEX(catGrupo,MATCH(D3161&amp;"|"&amp;E3161,catClave,0))&amp;"",""))</f>
        <v/>
      </c>
      <c r="Z3161" s="52">
        <f>IF(P3161="","",WEEKDAY(B3161,2))</f>
        <v/>
      </c>
      <c r="AA3161" s="52">
        <f>IF(P3161="","",IF(AND(P3161="Gasto",X3161="Variable",D3161&lt;&gt;catTrading,S3161&gt;0,S3161&lt;=Umbral),1,0))</f>
        <v/>
      </c>
      <c r="AB3161" s="52">
        <f>IF(OR(P3161="",Q3161=""),"",IFERROR(IF(INDEX(ctaVinc,MATCH(Q3161,ctaNombre,0))&amp;""&lt;&gt;"",INDEX(ctaVinc,MATCH(Q3161,ctaNombre,0))&amp;"",Q3161),Q3161))</f>
        <v/>
      </c>
      <c r="AC3161" s="52">
        <f>IF(OR(K3161="",AND(P3161&lt;&gt;"Transferencia",P3161&lt;&gt;"Pago tarjeta")),"",IFERROR(IF(INDEX(ctaVinc,MATCH(K3161,ctaNombre,0))&amp;""&lt;&gt;"",INDEX(ctaVinc,MATCH(K3161,ctaNombre,0))&amp;"",K3161),K3161))</f>
        <v/>
      </c>
      <c r="AD3161" s="52">
        <f>IF(AB3161="","",IFERROR(INDEX(ctaTipo,MATCH(AB3161,ctaNombre,0))&amp;"",""))</f>
        <v/>
      </c>
      <c r="AE3161" s="52">
        <f>IF(AC3161="","",IFERROR(INDEX(ctaTipo,MATCH(AC3161,ctaNombre,0))&amp;"",""))</f>
        <v/>
      </c>
      <c r="AF3161" s="53">
        <f>IF(OR(P3161="",AB3161=""),"",IF(OR(P3161="Gasto",P3161="Transferencia",P3161="Pago tarjeta"),-1,1)*IF(IFERROR(INDEX(ctaMoneda,MATCH(AB3161,ctaNombre,0))&amp;"","DOP")="USD",T3161,S3161))</f>
        <v/>
      </c>
      <c r="AG3161" s="53">
        <f>IF(AC3161="","",IF(IFERROR(INDEX(ctaMoneda,MATCH(AC3161,ctaNombre,0))&amp;"","DOP")="USD",T3161,S3161))</f>
        <v/>
      </c>
      <c r="AH3161" s="53">
        <f>IF(P3161="","",IF(AND(AD3161&lt;&gt;"",COUNTIFS(tcTipo,AD3161,tcLiq,"Sí")&gt;0),IF(OR(P3161="Gasto",P3161="Transferencia",P3161="Pago tarjeta"),-1,1)*S3161,0)+IF(AND(AE3161&lt;&gt;"",COUNTIFS(tcTipo,AE3161,tcLiq,"Sí")&gt;0),S3161,0))</f>
        <v/>
      </c>
      <c r="AI3161" s="52">
        <f>IF(OR(L3161="",P3161=""),"",IF(COUNTIFS(L$6:L3161,L3161,P$6:P3161,"?*")=1,MAX(AI$5:AI3160)+1,""))</f>
        <v/>
      </c>
    </row>
    <row r="3162">
      <c r="B3162" s="47" t="n"/>
      <c r="C3162" s="48" t="n"/>
      <c r="D3162" s="48" t="n"/>
      <c r="E3162" s="48" t="n"/>
      <c r="F3162" s="48" t="n"/>
      <c r="G3162" s="49" t="n"/>
      <c r="H3162" s="48" t="n"/>
      <c r="I3162" s="50" t="n"/>
      <c r="J3162" s="48" t="n"/>
      <c r="K3162" s="48" t="n"/>
      <c r="L3162" s="48" t="n"/>
      <c r="M3162" s="48" t="n"/>
      <c r="N3162" s="48" t="n"/>
      <c r="O3162" s="51">
        <f>IF(AND(B3162="",G3162="",C3162="",D3162="",J3162=""),"",IF(B3162="","⚠ Falta fecha",IF(G3162="","⚠ Falta monto",IF(Q3162="","⚠ Falta cuenta",IF(ISNA(MATCH(Q3162,ctaNombre,0)),"⚠ Cuenta no registrada",IF(AND(OR(P3162="Gasto",P3162="Reembolso"),D3162=""),"⚠ Falta categoría",IF(AND(D3162&lt;&gt;"",E3162&lt;&gt;"",ISNA(MATCH(D3162&amp;"|"&amp;E3162,catClave,0))),"⚠ Subcategoría no corresponde",IF(AND(OR(P3162="Transferencia",P3162="Pago tarjeta"),K3162=""),"⚠ Falta cuenta destino",IF(AND(K3162&lt;&gt;"",P3162&lt;&gt;"Transferencia",P3162&lt;&gt;"Pago tarjeta"),"⚠ Destino solo aplica a transferencias",IF(AND(K3162&lt;&gt;"",K3162=Q3162),"⚠ Origen igual a destino",IF(AND(K3162&lt;&gt;"",ISNA(MATCH(K3162,ctaNombre,0))),"⚠ Destino no registrado",IF(AND(P3162="Pago tarjeta",AE3162&lt;&gt;"Tarjeta de crédito"),"⚠ El destino debe ser tarjeta de crédito",IF(AND(P3162="Gasto",E3162="Depósitos y retiros"),"⚠ Usa tipo Transferencia",IF(AND(P3162="Resultado trading",AD3162&lt;&gt;"Cuenta de trading"),"⚠ Usa una cuenta de trading",IF(AND(G3162&lt;=0,P3162&lt;&gt;"Ajuste",P3162&lt;&gt;"Resultado trading"),"⚠ El monto debe ser positivo","✓")))))))))))))))</f>
        <v/>
      </c>
      <c r="P3162" s="52">
        <f>IF(OR(B3162="",G3162=""),"",IF(C3162="","Gasto",C3162))</f>
        <v/>
      </c>
      <c r="Q3162" s="52">
        <f>IF(P3162="","",IF(J3162&lt;&gt;"",J3162,CuentaPred&amp;""))</f>
        <v/>
      </c>
      <c r="R3162" s="52">
        <f>IF(P3162="","",IF(ISNUMBER(I3162),I3162,TasaUSD))</f>
        <v/>
      </c>
      <c r="S3162" s="53">
        <f>IF(P3162="","",IF(H3162="USD",G3162*R3162,G3162))</f>
        <v/>
      </c>
      <c r="T3162" s="53">
        <f>IF(P3162="","",IF(H3162="USD",G3162,IF(R3162&gt;0,G3162/R3162,0)))</f>
        <v/>
      </c>
      <c r="U3162" s="53">
        <f>IF(P3162="","",IF(P3162="Gasto",S3162,IF(P3162="Reembolso",-S3162,0)))</f>
        <v/>
      </c>
      <c r="V3162" s="53">
        <f>IF(P3162="","",IF(P3162="Ingreso",S3162,0))</f>
        <v/>
      </c>
      <c r="W3162" s="53">
        <f>IF(P3162="","",IF(P3162="Resultado trading",S3162,0))</f>
        <v/>
      </c>
      <c r="X3162" s="52">
        <f>IF(OR(P3162="Gasto",P3162="Reembolso"),IF(M3162&lt;&gt;"",M3162,IFERROR(INDEX(catClasif,MATCH(D3162&amp;"|"&amp;E3162,catClave,0))&amp;"","Variable")),"")</f>
        <v/>
      </c>
      <c r="Y3162" s="52">
        <f>IF(P3162="","",IFERROR(INDEX(catGrupo,MATCH(D3162&amp;"|"&amp;E3162,catClave,0))&amp;"",""))</f>
        <v/>
      </c>
      <c r="Z3162" s="52">
        <f>IF(P3162="","",WEEKDAY(B3162,2))</f>
        <v/>
      </c>
      <c r="AA3162" s="52">
        <f>IF(P3162="","",IF(AND(P3162="Gasto",X3162="Variable",D3162&lt;&gt;catTrading,S3162&gt;0,S3162&lt;=Umbral),1,0))</f>
        <v/>
      </c>
      <c r="AB3162" s="52">
        <f>IF(OR(P3162="",Q3162=""),"",IFERROR(IF(INDEX(ctaVinc,MATCH(Q3162,ctaNombre,0))&amp;""&lt;&gt;"",INDEX(ctaVinc,MATCH(Q3162,ctaNombre,0))&amp;"",Q3162),Q3162))</f>
        <v/>
      </c>
      <c r="AC3162" s="52">
        <f>IF(OR(K3162="",AND(P3162&lt;&gt;"Transferencia",P3162&lt;&gt;"Pago tarjeta")),"",IFERROR(IF(INDEX(ctaVinc,MATCH(K3162,ctaNombre,0))&amp;""&lt;&gt;"",INDEX(ctaVinc,MATCH(K3162,ctaNombre,0))&amp;"",K3162),K3162))</f>
        <v/>
      </c>
      <c r="AD3162" s="52">
        <f>IF(AB3162="","",IFERROR(INDEX(ctaTipo,MATCH(AB3162,ctaNombre,0))&amp;"",""))</f>
        <v/>
      </c>
      <c r="AE3162" s="52">
        <f>IF(AC3162="","",IFERROR(INDEX(ctaTipo,MATCH(AC3162,ctaNombre,0))&amp;"",""))</f>
        <v/>
      </c>
      <c r="AF3162" s="53">
        <f>IF(OR(P3162="",AB3162=""),"",IF(OR(P3162="Gasto",P3162="Transferencia",P3162="Pago tarjeta"),-1,1)*IF(IFERROR(INDEX(ctaMoneda,MATCH(AB3162,ctaNombre,0))&amp;"","DOP")="USD",T3162,S3162))</f>
        <v/>
      </c>
      <c r="AG3162" s="53">
        <f>IF(AC3162="","",IF(IFERROR(INDEX(ctaMoneda,MATCH(AC3162,ctaNombre,0))&amp;"","DOP")="USD",T3162,S3162))</f>
        <v/>
      </c>
      <c r="AH3162" s="53">
        <f>IF(P3162="","",IF(AND(AD3162&lt;&gt;"",COUNTIFS(tcTipo,AD3162,tcLiq,"Sí")&gt;0),IF(OR(P3162="Gasto",P3162="Transferencia",P3162="Pago tarjeta"),-1,1)*S3162,0)+IF(AND(AE3162&lt;&gt;"",COUNTIFS(tcTipo,AE3162,tcLiq,"Sí")&gt;0),S3162,0))</f>
        <v/>
      </c>
      <c r="AI3162" s="52">
        <f>IF(OR(L3162="",P3162=""),"",IF(COUNTIFS(L$6:L3162,L3162,P$6:P3162,"?*")=1,MAX(AI$5:AI3161)+1,""))</f>
        <v/>
      </c>
    </row>
    <row r="3163">
      <c r="B3163" s="47" t="n"/>
      <c r="C3163" s="48" t="n"/>
      <c r="D3163" s="48" t="n"/>
      <c r="E3163" s="48" t="n"/>
      <c r="F3163" s="48" t="n"/>
      <c r="G3163" s="49" t="n"/>
      <c r="H3163" s="48" t="n"/>
      <c r="I3163" s="50" t="n"/>
      <c r="J3163" s="48" t="n"/>
      <c r="K3163" s="48" t="n"/>
      <c r="L3163" s="48" t="n"/>
      <c r="M3163" s="48" t="n"/>
      <c r="N3163" s="48" t="n"/>
      <c r="O3163" s="51">
        <f>IF(AND(B3163="",G3163="",C3163="",D3163="",J3163=""),"",IF(B3163="","⚠ Falta fecha",IF(G3163="","⚠ Falta monto",IF(Q3163="","⚠ Falta cuenta",IF(ISNA(MATCH(Q3163,ctaNombre,0)),"⚠ Cuenta no registrada",IF(AND(OR(P3163="Gasto",P3163="Reembolso"),D3163=""),"⚠ Falta categoría",IF(AND(D3163&lt;&gt;"",E3163&lt;&gt;"",ISNA(MATCH(D3163&amp;"|"&amp;E3163,catClave,0))),"⚠ Subcategoría no corresponde",IF(AND(OR(P3163="Transferencia",P3163="Pago tarjeta"),K3163=""),"⚠ Falta cuenta destino",IF(AND(K3163&lt;&gt;"",P3163&lt;&gt;"Transferencia",P3163&lt;&gt;"Pago tarjeta"),"⚠ Destino solo aplica a transferencias",IF(AND(K3163&lt;&gt;"",K3163=Q3163),"⚠ Origen igual a destino",IF(AND(K3163&lt;&gt;"",ISNA(MATCH(K3163,ctaNombre,0))),"⚠ Destino no registrado",IF(AND(P3163="Pago tarjeta",AE3163&lt;&gt;"Tarjeta de crédito"),"⚠ El destino debe ser tarjeta de crédito",IF(AND(P3163="Gasto",E3163="Depósitos y retiros"),"⚠ Usa tipo Transferencia",IF(AND(P3163="Resultado trading",AD3163&lt;&gt;"Cuenta de trading"),"⚠ Usa una cuenta de trading",IF(AND(G3163&lt;=0,P3163&lt;&gt;"Ajuste",P3163&lt;&gt;"Resultado trading"),"⚠ El monto debe ser positivo","✓")))))))))))))))</f>
        <v/>
      </c>
      <c r="P3163" s="52">
        <f>IF(OR(B3163="",G3163=""),"",IF(C3163="","Gasto",C3163))</f>
        <v/>
      </c>
      <c r="Q3163" s="52">
        <f>IF(P3163="","",IF(J3163&lt;&gt;"",J3163,CuentaPred&amp;""))</f>
        <v/>
      </c>
      <c r="R3163" s="52">
        <f>IF(P3163="","",IF(ISNUMBER(I3163),I3163,TasaUSD))</f>
        <v/>
      </c>
      <c r="S3163" s="53">
        <f>IF(P3163="","",IF(H3163="USD",G3163*R3163,G3163))</f>
        <v/>
      </c>
      <c r="T3163" s="53">
        <f>IF(P3163="","",IF(H3163="USD",G3163,IF(R3163&gt;0,G3163/R3163,0)))</f>
        <v/>
      </c>
      <c r="U3163" s="53">
        <f>IF(P3163="","",IF(P3163="Gasto",S3163,IF(P3163="Reembolso",-S3163,0)))</f>
        <v/>
      </c>
      <c r="V3163" s="53">
        <f>IF(P3163="","",IF(P3163="Ingreso",S3163,0))</f>
        <v/>
      </c>
      <c r="W3163" s="53">
        <f>IF(P3163="","",IF(P3163="Resultado trading",S3163,0))</f>
        <v/>
      </c>
      <c r="X3163" s="52">
        <f>IF(OR(P3163="Gasto",P3163="Reembolso"),IF(M3163&lt;&gt;"",M3163,IFERROR(INDEX(catClasif,MATCH(D3163&amp;"|"&amp;E3163,catClave,0))&amp;"","Variable")),"")</f>
        <v/>
      </c>
      <c r="Y3163" s="52">
        <f>IF(P3163="","",IFERROR(INDEX(catGrupo,MATCH(D3163&amp;"|"&amp;E3163,catClave,0))&amp;"",""))</f>
        <v/>
      </c>
      <c r="Z3163" s="52">
        <f>IF(P3163="","",WEEKDAY(B3163,2))</f>
        <v/>
      </c>
      <c r="AA3163" s="52">
        <f>IF(P3163="","",IF(AND(P3163="Gasto",X3163="Variable",D3163&lt;&gt;catTrading,S3163&gt;0,S3163&lt;=Umbral),1,0))</f>
        <v/>
      </c>
      <c r="AB3163" s="52">
        <f>IF(OR(P3163="",Q3163=""),"",IFERROR(IF(INDEX(ctaVinc,MATCH(Q3163,ctaNombre,0))&amp;""&lt;&gt;"",INDEX(ctaVinc,MATCH(Q3163,ctaNombre,0))&amp;"",Q3163),Q3163))</f>
        <v/>
      </c>
      <c r="AC3163" s="52">
        <f>IF(OR(K3163="",AND(P3163&lt;&gt;"Transferencia",P3163&lt;&gt;"Pago tarjeta")),"",IFERROR(IF(INDEX(ctaVinc,MATCH(K3163,ctaNombre,0))&amp;""&lt;&gt;"",INDEX(ctaVinc,MATCH(K3163,ctaNombre,0))&amp;"",K3163),K3163))</f>
        <v/>
      </c>
      <c r="AD3163" s="52">
        <f>IF(AB3163="","",IFERROR(INDEX(ctaTipo,MATCH(AB3163,ctaNombre,0))&amp;"",""))</f>
        <v/>
      </c>
      <c r="AE3163" s="52">
        <f>IF(AC3163="","",IFERROR(INDEX(ctaTipo,MATCH(AC3163,ctaNombre,0))&amp;"",""))</f>
        <v/>
      </c>
      <c r="AF3163" s="53">
        <f>IF(OR(P3163="",AB3163=""),"",IF(OR(P3163="Gasto",P3163="Transferencia",P3163="Pago tarjeta"),-1,1)*IF(IFERROR(INDEX(ctaMoneda,MATCH(AB3163,ctaNombre,0))&amp;"","DOP")="USD",T3163,S3163))</f>
        <v/>
      </c>
      <c r="AG3163" s="53">
        <f>IF(AC3163="","",IF(IFERROR(INDEX(ctaMoneda,MATCH(AC3163,ctaNombre,0))&amp;"","DOP")="USD",T3163,S3163))</f>
        <v/>
      </c>
      <c r="AH3163" s="53">
        <f>IF(P3163="","",IF(AND(AD3163&lt;&gt;"",COUNTIFS(tcTipo,AD3163,tcLiq,"Sí")&gt;0),IF(OR(P3163="Gasto",P3163="Transferencia",P3163="Pago tarjeta"),-1,1)*S3163,0)+IF(AND(AE3163&lt;&gt;"",COUNTIFS(tcTipo,AE3163,tcLiq,"Sí")&gt;0),S3163,0))</f>
        <v/>
      </c>
      <c r="AI3163" s="52">
        <f>IF(OR(L3163="",P3163=""),"",IF(COUNTIFS(L$6:L3163,L3163,P$6:P3163,"?*")=1,MAX(AI$5:AI3162)+1,""))</f>
        <v/>
      </c>
    </row>
    <row r="3164">
      <c r="B3164" s="47" t="n"/>
      <c r="C3164" s="48" t="n"/>
      <c r="D3164" s="48" t="n"/>
      <c r="E3164" s="48" t="n"/>
      <c r="F3164" s="48" t="n"/>
      <c r="G3164" s="49" t="n"/>
      <c r="H3164" s="48" t="n"/>
      <c r="I3164" s="50" t="n"/>
      <c r="J3164" s="48" t="n"/>
      <c r="K3164" s="48" t="n"/>
      <c r="L3164" s="48" t="n"/>
      <c r="M3164" s="48" t="n"/>
      <c r="N3164" s="48" t="n"/>
      <c r="O3164" s="51">
        <f>IF(AND(B3164="",G3164="",C3164="",D3164="",J3164=""),"",IF(B3164="","⚠ Falta fecha",IF(G3164="","⚠ Falta monto",IF(Q3164="","⚠ Falta cuenta",IF(ISNA(MATCH(Q3164,ctaNombre,0)),"⚠ Cuenta no registrada",IF(AND(OR(P3164="Gasto",P3164="Reembolso"),D3164=""),"⚠ Falta categoría",IF(AND(D3164&lt;&gt;"",E3164&lt;&gt;"",ISNA(MATCH(D3164&amp;"|"&amp;E3164,catClave,0))),"⚠ Subcategoría no corresponde",IF(AND(OR(P3164="Transferencia",P3164="Pago tarjeta"),K3164=""),"⚠ Falta cuenta destino",IF(AND(K3164&lt;&gt;"",P3164&lt;&gt;"Transferencia",P3164&lt;&gt;"Pago tarjeta"),"⚠ Destino solo aplica a transferencias",IF(AND(K3164&lt;&gt;"",K3164=Q3164),"⚠ Origen igual a destino",IF(AND(K3164&lt;&gt;"",ISNA(MATCH(K3164,ctaNombre,0))),"⚠ Destino no registrado",IF(AND(P3164="Pago tarjeta",AE3164&lt;&gt;"Tarjeta de crédito"),"⚠ El destino debe ser tarjeta de crédito",IF(AND(P3164="Gasto",E3164="Depósitos y retiros"),"⚠ Usa tipo Transferencia",IF(AND(P3164="Resultado trading",AD3164&lt;&gt;"Cuenta de trading"),"⚠ Usa una cuenta de trading",IF(AND(G3164&lt;=0,P3164&lt;&gt;"Ajuste",P3164&lt;&gt;"Resultado trading"),"⚠ El monto debe ser positivo","✓")))))))))))))))</f>
        <v/>
      </c>
      <c r="P3164" s="52">
        <f>IF(OR(B3164="",G3164=""),"",IF(C3164="","Gasto",C3164))</f>
        <v/>
      </c>
      <c r="Q3164" s="52">
        <f>IF(P3164="","",IF(J3164&lt;&gt;"",J3164,CuentaPred&amp;""))</f>
        <v/>
      </c>
      <c r="R3164" s="52">
        <f>IF(P3164="","",IF(ISNUMBER(I3164),I3164,TasaUSD))</f>
        <v/>
      </c>
      <c r="S3164" s="53">
        <f>IF(P3164="","",IF(H3164="USD",G3164*R3164,G3164))</f>
        <v/>
      </c>
      <c r="T3164" s="53">
        <f>IF(P3164="","",IF(H3164="USD",G3164,IF(R3164&gt;0,G3164/R3164,0)))</f>
        <v/>
      </c>
      <c r="U3164" s="53">
        <f>IF(P3164="","",IF(P3164="Gasto",S3164,IF(P3164="Reembolso",-S3164,0)))</f>
        <v/>
      </c>
      <c r="V3164" s="53">
        <f>IF(P3164="","",IF(P3164="Ingreso",S3164,0))</f>
        <v/>
      </c>
      <c r="W3164" s="53">
        <f>IF(P3164="","",IF(P3164="Resultado trading",S3164,0))</f>
        <v/>
      </c>
      <c r="X3164" s="52">
        <f>IF(OR(P3164="Gasto",P3164="Reembolso"),IF(M3164&lt;&gt;"",M3164,IFERROR(INDEX(catClasif,MATCH(D3164&amp;"|"&amp;E3164,catClave,0))&amp;"","Variable")),"")</f>
        <v/>
      </c>
      <c r="Y3164" s="52">
        <f>IF(P3164="","",IFERROR(INDEX(catGrupo,MATCH(D3164&amp;"|"&amp;E3164,catClave,0))&amp;"",""))</f>
        <v/>
      </c>
      <c r="Z3164" s="52">
        <f>IF(P3164="","",WEEKDAY(B3164,2))</f>
        <v/>
      </c>
      <c r="AA3164" s="52">
        <f>IF(P3164="","",IF(AND(P3164="Gasto",X3164="Variable",D3164&lt;&gt;catTrading,S3164&gt;0,S3164&lt;=Umbral),1,0))</f>
        <v/>
      </c>
      <c r="AB3164" s="52">
        <f>IF(OR(P3164="",Q3164=""),"",IFERROR(IF(INDEX(ctaVinc,MATCH(Q3164,ctaNombre,0))&amp;""&lt;&gt;"",INDEX(ctaVinc,MATCH(Q3164,ctaNombre,0))&amp;"",Q3164),Q3164))</f>
        <v/>
      </c>
      <c r="AC3164" s="52">
        <f>IF(OR(K3164="",AND(P3164&lt;&gt;"Transferencia",P3164&lt;&gt;"Pago tarjeta")),"",IFERROR(IF(INDEX(ctaVinc,MATCH(K3164,ctaNombre,0))&amp;""&lt;&gt;"",INDEX(ctaVinc,MATCH(K3164,ctaNombre,0))&amp;"",K3164),K3164))</f>
        <v/>
      </c>
      <c r="AD3164" s="52">
        <f>IF(AB3164="","",IFERROR(INDEX(ctaTipo,MATCH(AB3164,ctaNombre,0))&amp;"",""))</f>
        <v/>
      </c>
      <c r="AE3164" s="52">
        <f>IF(AC3164="","",IFERROR(INDEX(ctaTipo,MATCH(AC3164,ctaNombre,0))&amp;"",""))</f>
        <v/>
      </c>
      <c r="AF3164" s="53">
        <f>IF(OR(P3164="",AB3164=""),"",IF(OR(P3164="Gasto",P3164="Transferencia",P3164="Pago tarjeta"),-1,1)*IF(IFERROR(INDEX(ctaMoneda,MATCH(AB3164,ctaNombre,0))&amp;"","DOP")="USD",T3164,S3164))</f>
        <v/>
      </c>
      <c r="AG3164" s="53">
        <f>IF(AC3164="","",IF(IFERROR(INDEX(ctaMoneda,MATCH(AC3164,ctaNombre,0))&amp;"","DOP")="USD",T3164,S3164))</f>
        <v/>
      </c>
      <c r="AH3164" s="53">
        <f>IF(P3164="","",IF(AND(AD3164&lt;&gt;"",COUNTIFS(tcTipo,AD3164,tcLiq,"Sí")&gt;0),IF(OR(P3164="Gasto",P3164="Transferencia",P3164="Pago tarjeta"),-1,1)*S3164,0)+IF(AND(AE3164&lt;&gt;"",COUNTIFS(tcTipo,AE3164,tcLiq,"Sí")&gt;0),S3164,0))</f>
        <v/>
      </c>
      <c r="AI3164" s="52">
        <f>IF(OR(L3164="",P3164=""),"",IF(COUNTIFS(L$6:L3164,L3164,P$6:P3164,"?*")=1,MAX(AI$5:AI3163)+1,""))</f>
        <v/>
      </c>
    </row>
    <row r="3165">
      <c r="B3165" s="47" t="n"/>
      <c r="C3165" s="48" t="n"/>
      <c r="D3165" s="48" t="n"/>
      <c r="E3165" s="48" t="n"/>
      <c r="F3165" s="48" t="n"/>
      <c r="G3165" s="49" t="n"/>
      <c r="H3165" s="48" t="n"/>
      <c r="I3165" s="50" t="n"/>
      <c r="J3165" s="48" t="n"/>
      <c r="K3165" s="48" t="n"/>
      <c r="L3165" s="48" t="n"/>
      <c r="M3165" s="48" t="n"/>
      <c r="N3165" s="48" t="n"/>
      <c r="O3165" s="51">
        <f>IF(AND(B3165="",G3165="",C3165="",D3165="",J3165=""),"",IF(B3165="","⚠ Falta fecha",IF(G3165="","⚠ Falta monto",IF(Q3165="","⚠ Falta cuenta",IF(ISNA(MATCH(Q3165,ctaNombre,0)),"⚠ Cuenta no registrada",IF(AND(OR(P3165="Gasto",P3165="Reembolso"),D3165=""),"⚠ Falta categoría",IF(AND(D3165&lt;&gt;"",E3165&lt;&gt;"",ISNA(MATCH(D3165&amp;"|"&amp;E3165,catClave,0))),"⚠ Subcategoría no corresponde",IF(AND(OR(P3165="Transferencia",P3165="Pago tarjeta"),K3165=""),"⚠ Falta cuenta destino",IF(AND(K3165&lt;&gt;"",P3165&lt;&gt;"Transferencia",P3165&lt;&gt;"Pago tarjeta"),"⚠ Destino solo aplica a transferencias",IF(AND(K3165&lt;&gt;"",K3165=Q3165),"⚠ Origen igual a destino",IF(AND(K3165&lt;&gt;"",ISNA(MATCH(K3165,ctaNombre,0))),"⚠ Destino no registrado",IF(AND(P3165="Pago tarjeta",AE3165&lt;&gt;"Tarjeta de crédito"),"⚠ El destino debe ser tarjeta de crédito",IF(AND(P3165="Gasto",E3165="Depósitos y retiros"),"⚠ Usa tipo Transferencia",IF(AND(P3165="Resultado trading",AD3165&lt;&gt;"Cuenta de trading"),"⚠ Usa una cuenta de trading",IF(AND(G3165&lt;=0,P3165&lt;&gt;"Ajuste",P3165&lt;&gt;"Resultado trading"),"⚠ El monto debe ser positivo","✓")))))))))))))))</f>
        <v/>
      </c>
      <c r="P3165" s="52">
        <f>IF(OR(B3165="",G3165=""),"",IF(C3165="","Gasto",C3165))</f>
        <v/>
      </c>
      <c r="Q3165" s="52">
        <f>IF(P3165="","",IF(J3165&lt;&gt;"",J3165,CuentaPred&amp;""))</f>
        <v/>
      </c>
      <c r="R3165" s="52">
        <f>IF(P3165="","",IF(ISNUMBER(I3165),I3165,TasaUSD))</f>
        <v/>
      </c>
      <c r="S3165" s="53">
        <f>IF(P3165="","",IF(H3165="USD",G3165*R3165,G3165))</f>
        <v/>
      </c>
      <c r="T3165" s="53">
        <f>IF(P3165="","",IF(H3165="USD",G3165,IF(R3165&gt;0,G3165/R3165,0)))</f>
        <v/>
      </c>
      <c r="U3165" s="53">
        <f>IF(P3165="","",IF(P3165="Gasto",S3165,IF(P3165="Reembolso",-S3165,0)))</f>
        <v/>
      </c>
      <c r="V3165" s="53">
        <f>IF(P3165="","",IF(P3165="Ingreso",S3165,0))</f>
        <v/>
      </c>
      <c r="W3165" s="53">
        <f>IF(P3165="","",IF(P3165="Resultado trading",S3165,0))</f>
        <v/>
      </c>
      <c r="X3165" s="52">
        <f>IF(OR(P3165="Gasto",P3165="Reembolso"),IF(M3165&lt;&gt;"",M3165,IFERROR(INDEX(catClasif,MATCH(D3165&amp;"|"&amp;E3165,catClave,0))&amp;"","Variable")),"")</f>
        <v/>
      </c>
      <c r="Y3165" s="52">
        <f>IF(P3165="","",IFERROR(INDEX(catGrupo,MATCH(D3165&amp;"|"&amp;E3165,catClave,0))&amp;"",""))</f>
        <v/>
      </c>
      <c r="Z3165" s="52">
        <f>IF(P3165="","",WEEKDAY(B3165,2))</f>
        <v/>
      </c>
      <c r="AA3165" s="52">
        <f>IF(P3165="","",IF(AND(P3165="Gasto",X3165="Variable",D3165&lt;&gt;catTrading,S3165&gt;0,S3165&lt;=Umbral),1,0))</f>
        <v/>
      </c>
      <c r="AB3165" s="52">
        <f>IF(OR(P3165="",Q3165=""),"",IFERROR(IF(INDEX(ctaVinc,MATCH(Q3165,ctaNombre,0))&amp;""&lt;&gt;"",INDEX(ctaVinc,MATCH(Q3165,ctaNombre,0))&amp;"",Q3165),Q3165))</f>
        <v/>
      </c>
      <c r="AC3165" s="52">
        <f>IF(OR(K3165="",AND(P3165&lt;&gt;"Transferencia",P3165&lt;&gt;"Pago tarjeta")),"",IFERROR(IF(INDEX(ctaVinc,MATCH(K3165,ctaNombre,0))&amp;""&lt;&gt;"",INDEX(ctaVinc,MATCH(K3165,ctaNombre,0))&amp;"",K3165),K3165))</f>
        <v/>
      </c>
      <c r="AD3165" s="52">
        <f>IF(AB3165="","",IFERROR(INDEX(ctaTipo,MATCH(AB3165,ctaNombre,0))&amp;"",""))</f>
        <v/>
      </c>
      <c r="AE3165" s="52">
        <f>IF(AC3165="","",IFERROR(INDEX(ctaTipo,MATCH(AC3165,ctaNombre,0))&amp;"",""))</f>
        <v/>
      </c>
      <c r="AF3165" s="53">
        <f>IF(OR(P3165="",AB3165=""),"",IF(OR(P3165="Gasto",P3165="Transferencia",P3165="Pago tarjeta"),-1,1)*IF(IFERROR(INDEX(ctaMoneda,MATCH(AB3165,ctaNombre,0))&amp;"","DOP")="USD",T3165,S3165))</f>
        <v/>
      </c>
      <c r="AG3165" s="53">
        <f>IF(AC3165="","",IF(IFERROR(INDEX(ctaMoneda,MATCH(AC3165,ctaNombre,0))&amp;"","DOP")="USD",T3165,S3165))</f>
        <v/>
      </c>
      <c r="AH3165" s="53">
        <f>IF(P3165="","",IF(AND(AD3165&lt;&gt;"",COUNTIFS(tcTipo,AD3165,tcLiq,"Sí")&gt;0),IF(OR(P3165="Gasto",P3165="Transferencia",P3165="Pago tarjeta"),-1,1)*S3165,0)+IF(AND(AE3165&lt;&gt;"",COUNTIFS(tcTipo,AE3165,tcLiq,"Sí")&gt;0),S3165,0))</f>
        <v/>
      </c>
      <c r="AI3165" s="52">
        <f>IF(OR(L3165="",P3165=""),"",IF(COUNTIFS(L$6:L3165,L3165,P$6:P3165,"?*")=1,MAX(AI$5:AI3164)+1,""))</f>
        <v/>
      </c>
    </row>
    <row r="3166">
      <c r="B3166" s="47" t="n"/>
      <c r="C3166" s="48" t="n"/>
      <c r="D3166" s="48" t="n"/>
      <c r="E3166" s="48" t="n"/>
      <c r="F3166" s="48" t="n"/>
      <c r="G3166" s="49" t="n"/>
      <c r="H3166" s="48" t="n"/>
      <c r="I3166" s="50" t="n"/>
      <c r="J3166" s="48" t="n"/>
      <c r="K3166" s="48" t="n"/>
      <c r="L3166" s="48" t="n"/>
      <c r="M3166" s="48" t="n"/>
      <c r="N3166" s="48" t="n"/>
      <c r="O3166" s="51">
        <f>IF(AND(B3166="",G3166="",C3166="",D3166="",J3166=""),"",IF(B3166="","⚠ Falta fecha",IF(G3166="","⚠ Falta monto",IF(Q3166="","⚠ Falta cuenta",IF(ISNA(MATCH(Q3166,ctaNombre,0)),"⚠ Cuenta no registrada",IF(AND(OR(P3166="Gasto",P3166="Reembolso"),D3166=""),"⚠ Falta categoría",IF(AND(D3166&lt;&gt;"",E3166&lt;&gt;"",ISNA(MATCH(D3166&amp;"|"&amp;E3166,catClave,0))),"⚠ Subcategoría no corresponde",IF(AND(OR(P3166="Transferencia",P3166="Pago tarjeta"),K3166=""),"⚠ Falta cuenta destino",IF(AND(K3166&lt;&gt;"",P3166&lt;&gt;"Transferencia",P3166&lt;&gt;"Pago tarjeta"),"⚠ Destino solo aplica a transferencias",IF(AND(K3166&lt;&gt;"",K3166=Q3166),"⚠ Origen igual a destino",IF(AND(K3166&lt;&gt;"",ISNA(MATCH(K3166,ctaNombre,0))),"⚠ Destino no registrado",IF(AND(P3166="Pago tarjeta",AE3166&lt;&gt;"Tarjeta de crédito"),"⚠ El destino debe ser tarjeta de crédito",IF(AND(P3166="Gasto",E3166="Depósitos y retiros"),"⚠ Usa tipo Transferencia",IF(AND(P3166="Resultado trading",AD3166&lt;&gt;"Cuenta de trading"),"⚠ Usa una cuenta de trading",IF(AND(G3166&lt;=0,P3166&lt;&gt;"Ajuste",P3166&lt;&gt;"Resultado trading"),"⚠ El monto debe ser positivo","✓")))))))))))))))</f>
        <v/>
      </c>
      <c r="P3166" s="52">
        <f>IF(OR(B3166="",G3166=""),"",IF(C3166="","Gasto",C3166))</f>
        <v/>
      </c>
      <c r="Q3166" s="52">
        <f>IF(P3166="","",IF(J3166&lt;&gt;"",J3166,CuentaPred&amp;""))</f>
        <v/>
      </c>
      <c r="R3166" s="52">
        <f>IF(P3166="","",IF(ISNUMBER(I3166),I3166,TasaUSD))</f>
        <v/>
      </c>
      <c r="S3166" s="53">
        <f>IF(P3166="","",IF(H3166="USD",G3166*R3166,G3166))</f>
        <v/>
      </c>
      <c r="T3166" s="53">
        <f>IF(P3166="","",IF(H3166="USD",G3166,IF(R3166&gt;0,G3166/R3166,0)))</f>
        <v/>
      </c>
      <c r="U3166" s="53">
        <f>IF(P3166="","",IF(P3166="Gasto",S3166,IF(P3166="Reembolso",-S3166,0)))</f>
        <v/>
      </c>
      <c r="V3166" s="53">
        <f>IF(P3166="","",IF(P3166="Ingreso",S3166,0))</f>
        <v/>
      </c>
      <c r="W3166" s="53">
        <f>IF(P3166="","",IF(P3166="Resultado trading",S3166,0))</f>
        <v/>
      </c>
      <c r="X3166" s="52">
        <f>IF(OR(P3166="Gasto",P3166="Reembolso"),IF(M3166&lt;&gt;"",M3166,IFERROR(INDEX(catClasif,MATCH(D3166&amp;"|"&amp;E3166,catClave,0))&amp;"","Variable")),"")</f>
        <v/>
      </c>
      <c r="Y3166" s="52">
        <f>IF(P3166="","",IFERROR(INDEX(catGrupo,MATCH(D3166&amp;"|"&amp;E3166,catClave,0))&amp;"",""))</f>
        <v/>
      </c>
      <c r="Z3166" s="52">
        <f>IF(P3166="","",WEEKDAY(B3166,2))</f>
        <v/>
      </c>
      <c r="AA3166" s="52">
        <f>IF(P3166="","",IF(AND(P3166="Gasto",X3166="Variable",D3166&lt;&gt;catTrading,S3166&gt;0,S3166&lt;=Umbral),1,0))</f>
        <v/>
      </c>
      <c r="AB3166" s="52">
        <f>IF(OR(P3166="",Q3166=""),"",IFERROR(IF(INDEX(ctaVinc,MATCH(Q3166,ctaNombre,0))&amp;""&lt;&gt;"",INDEX(ctaVinc,MATCH(Q3166,ctaNombre,0))&amp;"",Q3166),Q3166))</f>
        <v/>
      </c>
      <c r="AC3166" s="52">
        <f>IF(OR(K3166="",AND(P3166&lt;&gt;"Transferencia",P3166&lt;&gt;"Pago tarjeta")),"",IFERROR(IF(INDEX(ctaVinc,MATCH(K3166,ctaNombre,0))&amp;""&lt;&gt;"",INDEX(ctaVinc,MATCH(K3166,ctaNombre,0))&amp;"",K3166),K3166))</f>
        <v/>
      </c>
      <c r="AD3166" s="52">
        <f>IF(AB3166="","",IFERROR(INDEX(ctaTipo,MATCH(AB3166,ctaNombre,0))&amp;"",""))</f>
        <v/>
      </c>
      <c r="AE3166" s="52">
        <f>IF(AC3166="","",IFERROR(INDEX(ctaTipo,MATCH(AC3166,ctaNombre,0))&amp;"",""))</f>
        <v/>
      </c>
      <c r="AF3166" s="53">
        <f>IF(OR(P3166="",AB3166=""),"",IF(OR(P3166="Gasto",P3166="Transferencia",P3166="Pago tarjeta"),-1,1)*IF(IFERROR(INDEX(ctaMoneda,MATCH(AB3166,ctaNombre,0))&amp;"","DOP")="USD",T3166,S3166))</f>
        <v/>
      </c>
      <c r="AG3166" s="53">
        <f>IF(AC3166="","",IF(IFERROR(INDEX(ctaMoneda,MATCH(AC3166,ctaNombre,0))&amp;"","DOP")="USD",T3166,S3166))</f>
        <v/>
      </c>
      <c r="AH3166" s="53">
        <f>IF(P3166="","",IF(AND(AD3166&lt;&gt;"",COUNTIFS(tcTipo,AD3166,tcLiq,"Sí")&gt;0),IF(OR(P3166="Gasto",P3166="Transferencia",P3166="Pago tarjeta"),-1,1)*S3166,0)+IF(AND(AE3166&lt;&gt;"",COUNTIFS(tcTipo,AE3166,tcLiq,"Sí")&gt;0),S3166,0))</f>
        <v/>
      </c>
      <c r="AI3166" s="52">
        <f>IF(OR(L3166="",P3166=""),"",IF(COUNTIFS(L$6:L3166,L3166,P$6:P3166,"?*")=1,MAX(AI$5:AI3165)+1,""))</f>
        <v/>
      </c>
    </row>
    <row r="3167">
      <c r="B3167" s="47" t="n"/>
      <c r="C3167" s="48" t="n"/>
      <c r="D3167" s="48" t="n"/>
      <c r="E3167" s="48" t="n"/>
      <c r="F3167" s="48" t="n"/>
      <c r="G3167" s="49" t="n"/>
      <c r="H3167" s="48" t="n"/>
      <c r="I3167" s="50" t="n"/>
      <c r="J3167" s="48" t="n"/>
      <c r="K3167" s="48" t="n"/>
      <c r="L3167" s="48" t="n"/>
      <c r="M3167" s="48" t="n"/>
      <c r="N3167" s="48" t="n"/>
      <c r="O3167" s="51">
        <f>IF(AND(B3167="",G3167="",C3167="",D3167="",J3167=""),"",IF(B3167="","⚠ Falta fecha",IF(G3167="","⚠ Falta monto",IF(Q3167="","⚠ Falta cuenta",IF(ISNA(MATCH(Q3167,ctaNombre,0)),"⚠ Cuenta no registrada",IF(AND(OR(P3167="Gasto",P3167="Reembolso"),D3167=""),"⚠ Falta categoría",IF(AND(D3167&lt;&gt;"",E3167&lt;&gt;"",ISNA(MATCH(D3167&amp;"|"&amp;E3167,catClave,0))),"⚠ Subcategoría no corresponde",IF(AND(OR(P3167="Transferencia",P3167="Pago tarjeta"),K3167=""),"⚠ Falta cuenta destino",IF(AND(K3167&lt;&gt;"",P3167&lt;&gt;"Transferencia",P3167&lt;&gt;"Pago tarjeta"),"⚠ Destino solo aplica a transferencias",IF(AND(K3167&lt;&gt;"",K3167=Q3167),"⚠ Origen igual a destino",IF(AND(K3167&lt;&gt;"",ISNA(MATCH(K3167,ctaNombre,0))),"⚠ Destino no registrado",IF(AND(P3167="Pago tarjeta",AE3167&lt;&gt;"Tarjeta de crédito"),"⚠ El destino debe ser tarjeta de crédito",IF(AND(P3167="Gasto",E3167="Depósitos y retiros"),"⚠ Usa tipo Transferencia",IF(AND(P3167="Resultado trading",AD3167&lt;&gt;"Cuenta de trading"),"⚠ Usa una cuenta de trading",IF(AND(G3167&lt;=0,P3167&lt;&gt;"Ajuste",P3167&lt;&gt;"Resultado trading"),"⚠ El monto debe ser positivo","✓")))))))))))))))</f>
        <v/>
      </c>
      <c r="P3167" s="52">
        <f>IF(OR(B3167="",G3167=""),"",IF(C3167="","Gasto",C3167))</f>
        <v/>
      </c>
      <c r="Q3167" s="52">
        <f>IF(P3167="","",IF(J3167&lt;&gt;"",J3167,CuentaPred&amp;""))</f>
        <v/>
      </c>
      <c r="R3167" s="52">
        <f>IF(P3167="","",IF(ISNUMBER(I3167),I3167,TasaUSD))</f>
        <v/>
      </c>
      <c r="S3167" s="53">
        <f>IF(P3167="","",IF(H3167="USD",G3167*R3167,G3167))</f>
        <v/>
      </c>
      <c r="T3167" s="53">
        <f>IF(P3167="","",IF(H3167="USD",G3167,IF(R3167&gt;0,G3167/R3167,0)))</f>
        <v/>
      </c>
      <c r="U3167" s="53">
        <f>IF(P3167="","",IF(P3167="Gasto",S3167,IF(P3167="Reembolso",-S3167,0)))</f>
        <v/>
      </c>
      <c r="V3167" s="53">
        <f>IF(P3167="","",IF(P3167="Ingreso",S3167,0))</f>
        <v/>
      </c>
      <c r="W3167" s="53">
        <f>IF(P3167="","",IF(P3167="Resultado trading",S3167,0))</f>
        <v/>
      </c>
      <c r="X3167" s="52">
        <f>IF(OR(P3167="Gasto",P3167="Reembolso"),IF(M3167&lt;&gt;"",M3167,IFERROR(INDEX(catClasif,MATCH(D3167&amp;"|"&amp;E3167,catClave,0))&amp;"","Variable")),"")</f>
        <v/>
      </c>
      <c r="Y3167" s="52">
        <f>IF(P3167="","",IFERROR(INDEX(catGrupo,MATCH(D3167&amp;"|"&amp;E3167,catClave,0))&amp;"",""))</f>
        <v/>
      </c>
      <c r="Z3167" s="52">
        <f>IF(P3167="","",WEEKDAY(B3167,2))</f>
        <v/>
      </c>
      <c r="AA3167" s="52">
        <f>IF(P3167="","",IF(AND(P3167="Gasto",X3167="Variable",D3167&lt;&gt;catTrading,S3167&gt;0,S3167&lt;=Umbral),1,0))</f>
        <v/>
      </c>
      <c r="AB3167" s="52">
        <f>IF(OR(P3167="",Q3167=""),"",IFERROR(IF(INDEX(ctaVinc,MATCH(Q3167,ctaNombre,0))&amp;""&lt;&gt;"",INDEX(ctaVinc,MATCH(Q3167,ctaNombre,0))&amp;"",Q3167),Q3167))</f>
        <v/>
      </c>
      <c r="AC3167" s="52">
        <f>IF(OR(K3167="",AND(P3167&lt;&gt;"Transferencia",P3167&lt;&gt;"Pago tarjeta")),"",IFERROR(IF(INDEX(ctaVinc,MATCH(K3167,ctaNombre,0))&amp;""&lt;&gt;"",INDEX(ctaVinc,MATCH(K3167,ctaNombre,0))&amp;"",K3167),K3167))</f>
        <v/>
      </c>
      <c r="AD3167" s="52">
        <f>IF(AB3167="","",IFERROR(INDEX(ctaTipo,MATCH(AB3167,ctaNombre,0))&amp;"",""))</f>
        <v/>
      </c>
      <c r="AE3167" s="52">
        <f>IF(AC3167="","",IFERROR(INDEX(ctaTipo,MATCH(AC3167,ctaNombre,0))&amp;"",""))</f>
        <v/>
      </c>
      <c r="AF3167" s="53">
        <f>IF(OR(P3167="",AB3167=""),"",IF(OR(P3167="Gasto",P3167="Transferencia",P3167="Pago tarjeta"),-1,1)*IF(IFERROR(INDEX(ctaMoneda,MATCH(AB3167,ctaNombre,0))&amp;"","DOP")="USD",T3167,S3167))</f>
        <v/>
      </c>
      <c r="AG3167" s="53">
        <f>IF(AC3167="","",IF(IFERROR(INDEX(ctaMoneda,MATCH(AC3167,ctaNombre,0))&amp;"","DOP")="USD",T3167,S3167))</f>
        <v/>
      </c>
      <c r="AH3167" s="53">
        <f>IF(P3167="","",IF(AND(AD3167&lt;&gt;"",COUNTIFS(tcTipo,AD3167,tcLiq,"Sí")&gt;0),IF(OR(P3167="Gasto",P3167="Transferencia",P3167="Pago tarjeta"),-1,1)*S3167,0)+IF(AND(AE3167&lt;&gt;"",COUNTIFS(tcTipo,AE3167,tcLiq,"Sí")&gt;0),S3167,0))</f>
        <v/>
      </c>
      <c r="AI3167" s="52">
        <f>IF(OR(L3167="",P3167=""),"",IF(COUNTIFS(L$6:L3167,L3167,P$6:P3167,"?*")=1,MAX(AI$5:AI3166)+1,""))</f>
        <v/>
      </c>
    </row>
    <row r="3168">
      <c r="B3168" s="47" t="n"/>
      <c r="C3168" s="48" t="n"/>
      <c r="D3168" s="48" t="n"/>
      <c r="E3168" s="48" t="n"/>
      <c r="F3168" s="48" t="n"/>
      <c r="G3168" s="49" t="n"/>
      <c r="H3168" s="48" t="n"/>
      <c r="I3168" s="50" t="n"/>
      <c r="J3168" s="48" t="n"/>
      <c r="K3168" s="48" t="n"/>
      <c r="L3168" s="48" t="n"/>
      <c r="M3168" s="48" t="n"/>
      <c r="N3168" s="48" t="n"/>
      <c r="O3168" s="51">
        <f>IF(AND(B3168="",G3168="",C3168="",D3168="",J3168=""),"",IF(B3168="","⚠ Falta fecha",IF(G3168="","⚠ Falta monto",IF(Q3168="","⚠ Falta cuenta",IF(ISNA(MATCH(Q3168,ctaNombre,0)),"⚠ Cuenta no registrada",IF(AND(OR(P3168="Gasto",P3168="Reembolso"),D3168=""),"⚠ Falta categoría",IF(AND(D3168&lt;&gt;"",E3168&lt;&gt;"",ISNA(MATCH(D3168&amp;"|"&amp;E3168,catClave,0))),"⚠ Subcategoría no corresponde",IF(AND(OR(P3168="Transferencia",P3168="Pago tarjeta"),K3168=""),"⚠ Falta cuenta destino",IF(AND(K3168&lt;&gt;"",P3168&lt;&gt;"Transferencia",P3168&lt;&gt;"Pago tarjeta"),"⚠ Destino solo aplica a transferencias",IF(AND(K3168&lt;&gt;"",K3168=Q3168),"⚠ Origen igual a destino",IF(AND(K3168&lt;&gt;"",ISNA(MATCH(K3168,ctaNombre,0))),"⚠ Destino no registrado",IF(AND(P3168="Pago tarjeta",AE3168&lt;&gt;"Tarjeta de crédito"),"⚠ El destino debe ser tarjeta de crédito",IF(AND(P3168="Gasto",E3168="Depósitos y retiros"),"⚠ Usa tipo Transferencia",IF(AND(P3168="Resultado trading",AD3168&lt;&gt;"Cuenta de trading"),"⚠ Usa una cuenta de trading",IF(AND(G3168&lt;=0,P3168&lt;&gt;"Ajuste",P3168&lt;&gt;"Resultado trading"),"⚠ El monto debe ser positivo","✓")))))))))))))))</f>
        <v/>
      </c>
      <c r="P3168" s="52">
        <f>IF(OR(B3168="",G3168=""),"",IF(C3168="","Gasto",C3168))</f>
        <v/>
      </c>
      <c r="Q3168" s="52">
        <f>IF(P3168="","",IF(J3168&lt;&gt;"",J3168,CuentaPred&amp;""))</f>
        <v/>
      </c>
      <c r="R3168" s="52">
        <f>IF(P3168="","",IF(ISNUMBER(I3168),I3168,TasaUSD))</f>
        <v/>
      </c>
      <c r="S3168" s="53">
        <f>IF(P3168="","",IF(H3168="USD",G3168*R3168,G3168))</f>
        <v/>
      </c>
      <c r="T3168" s="53">
        <f>IF(P3168="","",IF(H3168="USD",G3168,IF(R3168&gt;0,G3168/R3168,0)))</f>
        <v/>
      </c>
      <c r="U3168" s="53">
        <f>IF(P3168="","",IF(P3168="Gasto",S3168,IF(P3168="Reembolso",-S3168,0)))</f>
        <v/>
      </c>
      <c r="V3168" s="53">
        <f>IF(P3168="","",IF(P3168="Ingreso",S3168,0))</f>
        <v/>
      </c>
      <c r="W3168" s="53">
        <f>IF(P3168="","",IF(P3168="Resultado trading",S3168,0))</f>
        <v/>
      </c>
      <c r="X3168" s="52">
        <f>IF(OR(P3168="Gasto",P3168="Reembolso"),IF(M3168&lt;&gt;"",M3168,IFERROR(INDEX(catClasif,MATCH(D3168&amp;"|"&amp;E3168,catClave,0))&amp;"","Variable")),"")</f>
        <v/>
      </c>
      <c r="Y3168" s="52">
        <f>IF(P3168="","",IFERROR(INDEX(catGrupo,MATCH(D3168&amp;"|"&amp;E3168,catClave,0))&amp;"",""))</f>
        <v/>
      </c>
      <c r="Z3168" s="52">
        <f>IF(P3168="","",WEEKDAY(B3168,2))</f>
        <v/>
      </c>
      <c r="AA3168" s="52">
        <f>IF(P3168="","",IF(AND(P3168="Gasto",X3168="Variable",D3168&lt;&gt;catTrading,S3168&gt;0,S3168&lt;=Umbral),1,0))</f>
        <v/>
      </c>
      <c r="AB3168" s="52">
        <f>IF(OR(P3168="",Q3168=""),"",IFERROR(IF(INDEX(ctaVinc,MATCH(Q3168,ctaNombre,0))&amp;""&lt;&gt;"",INDEX(ctaVinc,MATCH(Q3168,ctaNombre,0))&amp;"",Q3168),Q3168))</f>
        <v/>
      </c>
      <c r="AC3168" s="52">
        <f>IF(OR(K3168="",AND(P3168&lt;&gt;"Transferencia",P3168&lt;&gt;"Pago tarjeta")),"",IFERROR(IF(INDEX(ctaVinc,MATCH(K3168,ctaNombre,0))&amp;""&lt;&gt;"",INDEX(ctaVinc,MATCH(K3168,ctaNombre,0))&amp;"",K3168),K3168))</f>
        <v/>
      </c>
      <c r="AD3168" s="52">
        <f>IF(AB3168="","",IFERROR(INDEX(ctaTipo,MATCH(AB3168,ctaNombre,0))&amp;"",""))</f>
        <v/>
      </c>
      <c r="AE3168" s="52">
        <f>IF(AC3168="","",IFERROR(INDEX(ctaTipo,MATCH(AC3168,ctaNombre,0))&amp;"",""))</f>
        <v/>
      </c>
      <c r="AF3168" s="53">
        <f>IF(OR(P3168="",AB3168=""),"",IF(OR(P3168="Gasto",P3168="Transferencia",P3168="Pago tarjeta"),-1,1)*IF(IFERROR(INDEX(ctaMoneda,MATCH(AB3168,ctaNombre,0))&amp;"","DOP")="USD",T3168,S3168))</f>
        <v/>
      </c>
      <c r="AG3168" s="53">
        <f>IF(AC3168="","",IF(IFERROR(INDEX(ctaMoneda,MATCH(AC3168,ctaNombre,0))&amp;"","DOP")="USD",T3168,S3168))</f>
        <v/>
      </c>
      <c r="AH3168" s="53">
        <f>IF(P3168="","",IF(AND(AD3168&lt;&gt;"",COUNTIFS(tcTipo,AD3168,tcLiq,"Sí")&gt;0),IF(OR(P3168="Gasto",P3168="Transferencia",P3168="Pago tarjeta"),-1,1)*S3168,0)+IF(AND(AE3168&lt;&gt;"",COUNTIFS(tcTipo,AE3168,tcLiq,"Sí")&gt;0),S3168,0))</f>
        <v/>
      </c>
      <c r="AI3168" s="52">
        <f>IF(OR(L3168="",P3168=""),"",IF(COUNTIFS(L$6:L3168,L3168,P$6:P3168,"?*")=1,MAX(AI$5:AI3167)+1,""))</f>
        <v/>
      </c>
    </row>
    <row r="3169">
      <c r="B3169" s="47" t="n"/>
      <c r="C3169" s="48" t="n"/>
      <c r="D3169" s="48" t="n"/>
      <c r="E3169" s="48" t="n"/>
      <c r="F3169" s="48" t="n"/>
      <c r="G3169" s="49" t="n"/>
      <c r="H3169" s="48" t="n"/>
      <c r="I3169" s="50" t="n"/>
      <c r="J3169" s="48" t="n"/>
      <c r="K3169" s="48" t="n"/>
      <c r="L3169" s="48" t="n"/>
      <c r="M3169" s="48" t="n"/>
      <c r="N3169" s="48" t="n"/>
      <c r="O3169" s="51">
        <f>IF(AND(B3169="",G3169="",C3169="",D3169="",J3169=""),"",IF(B3169="","⚠ Falta fecha",IF(G3169="","⚠ Falta monto",IF(Q3169="","⚠ Falta cuenta",IF(ISNA(MATCH(Q3169,ctaNombre,0)),"⚠ Cuenta no registrada",IF(AND(OR(P3169="Gasto",P3169="Reembolso"),D3169=""),"⚠ Falta categoría",IF(AND(D3169&lt;&gt;"",E3169&lt;&gt;"",ISNA(MATCH(D3169&amp;"|"&amp;E3169,catClave,0))),"⚠ Subcategoría no corresponde",IF(AND(OR(P3169="Transferencia",P3169="Pago tarjeta"),K3169=""),"⚠ Falta cuenta destino",IF(AND(K3169&lt;&gt;"",P3169&lt;&gt;"Transferencia",P3169&lt;&gt;"Pago tarjeta"),"⚠ Destino solo aplica a transferencias",IF(AND(K3169&lt;&gt;"",K3169=Q3169),"⚠ Origen igual a destino",IF(AND(K3169&lt;&gt;"",ISNA(MATCH(K3169,ctaNombre,0))),"⚠ Destino no registrado",IF(AND(P3169="Pago tarjeta",AE3169&lt;&gt;"Tarjeta de crédito"),"⚠ El destino debe ser tarjeta de crédito",IF(AND(P3169="Gasto",E3169="Depósitos y retiros"),"⚠ Usa tipo Transferencia",IF(AND(P3169="Resultado trading",AD3169&lt;&gt;"Cuenta de trading"),"⚠ Usa una cuenta de trading",IF(AND(G3169&lt;=0,P3169&lt;&gt;"Ajuste",P3169&lt;&gt;"Resultado trading"),"⚠ El monto debe ser positivo","✓")))))))))))))))</f>
        <v/>
      </c>
      <c r="P3169" s="52">
        <f>IF(OR(B3169="",G3169=""),"",IF(C3169="","Gasto",C3169))</f>
        <v/>
      </c>
      <c r="Q3169" s="52">
        <f>IF(P3169="","",IF(J3169&lt;&gt;"",J3169,CuentaPred&amp;""))</f>
        <v/>
      </c>
      <c r="R3169" s="52">
        <f>IF(P3169="","",IF(ISNUMBER(I3169),I3169,TasaUSD))</f>
        <v/>
      </c>
      <c r="S3169" s="53">
        <f>IF(P3169="","",IF(H3169="USD",G3169*R3169,G3169))</f>
        <v/>
      </c>
      <c r="T3169" s="53">
        <f>IF(P3169="","",IF(H3169="USD",G3169,IF(R3169&gt;0,G3169/R3169,0)))</f>
        <v/>
      </c>
      <c r="U3169" s="53">
        <f>IF(P3169="","",IF(P3169="Gasto",S3169,IF(P3169="Reembolso",-S3169,0)))</f>
        <v/>
      </c>
      <c r="V3169" s="53">
        <f>IF(P3169="","",IF(P3169="Ingreso",S3169,0))</f>
        <v/>
      </c>
      <c r="W3169" s="53">
        <f>IF(P3169="","",IF(P3169="Resultado trading",S3169,0))</f>
        <v/>
      </c>
      <c r="X3169" s="52">
        <f>IF(OR(P3169="Gasto",P3169="Reembolso"),IF(M3169&lt;&gt;"",M3169,IFERROR(INDEX(catClasif,MATCH(D3169&amp;"|"&amp;E3169,catClave,0))&amp;"","Variable")),"")</f>
        <v/>
      </c>
      <c r="Y3169" s="52">
        <f>IF(P3169="","",IFERROR(INDEX(catGrupo,MATCH(D3169&amp;"|"&amp;E3169,catClave,0))&amp;"",""))</f>
        <v/>
      </c>
      <c r="Z3169" s="52">
        <f>IF(P3169="","",WEEKDAY(B3169,2))</f>
        <v/>
      </c>
      <c r="AA3169" s="52">
        <f>IF(P3169="","",IF(AND(P3169="Gasto",X3169="Variable",D3169&lt;&gt;catTrading,S3169&gt;0,S3169&lt;=Umbral),1,0))</f>
        <v/>
      </c>
      <c r="AB3169" s="52">
        <f>IF(OR(P3169="",Q3169=""),"",IFERROR(IF(INDEX(ctaVinc,MATCH(Q3169,ctaNombre,0))&amp;""&lt;&gt;"",INDEX(ctaVinc,MATCH(Q3169,ctaNombre,0))&amp;"",Q3169),Q3169))</f>
        <v/>
      </c>
      <c r="AC3169" s="52">
        <f>IF(OR(K3169="",AND(P3169&lt;&gt;"Transferencia",P3169&lt;&gt;"Pago tarjeta")),"",IFERROR(IF(INDEX(ctaVinc,MATCH(K3169,ctaNombre,0))&amp;""&lt;&gt;"",INDEX(ctaVinc,MATCH(K3169,ctaNombre,0))&amp;"",K3169),K3169))</f>
        <v/>
      </c>
      <c r="AD3169" s="52">
        <f>IF(AB3169="","",IFERROR(INDEX(ctaTipo,MATCH(AB3169,ctaNombre,0))&amp;"",""))</f>
        <v/>
      </c>
      <c r="AE3169" s="52">
        <f>IF(AC3169="","",IFERROR(INDEX(ctaTipo,MATCH(AC3169,ctaNombre,0))&amp;"",""))</f>
        <v/>
      </c>
      <c r="AF3169" s="53">
        <f>IF(OR(P3169="",AB3169=""),"",IF(OR(P3169="Gasto",P3169="Transferencia",P3169="Pago tarjeta"),-1,1)*IF(IFERROR(INDEX(ctaMoneda,MATCH(AB3169,ctaNombre,0))&amp;"","DOP")="USD",T3169,S3169))</f>
        <v/>
      </c>
      <c r="AG3169" s="53">
        <f>IF(AC3169="","",IF(IFERROR(INDEX(ctaMoneda,MATCH(AC3169,ctaNombre,0))&amp;"","DOP")="USD",T3169,S3169))</f>
        <v/>
      </c>
      <c r="AH3169" s="53">
        <f>IF(P3169="","",IF(AND(AD3169&lt;&gt;"",COUNTIFS(tcTipo,AD3169,tcLiq,"Sí")&gt;0),IF(OR(P3169="Gasto",P3169="Transferencia",P3169="Pago tarjeta"),-1,1)*S3169,0)+IF(AND(AE3169&lt;&gt;"",COUNTIFS(tcTipo,AE3169,tcLiq,"Sí")&gt;0),S3169,0))</f>
        <v/>
      </c>
      <c r="AI3169" s="52">
        <f>IF(OR(L3169="",P3169=""),"",IF(COUNTIFS(L$6:L3169,L3169,P$6:P3169,"?*")=1,MAX(AI$5:AI3168)+1,""))</f>
        <v/>
      </c>
    </row>
    <row r="3170">
      <c r="B3170" s="47" t="n"/>
      <c r="C3170" s="48" t="n"/>
      <c r="D3170" s="48" t="n"/>
      <c r="E3170" s="48" t="n"/>
      <c r="F3170" s="48" t="n"/>
      <c r="G3170" s="49" t="n"/>
      <c r="H3170" s="48" t="n"/>
      <c r="I3170" s="50" t="n"/>
      <c r="J3170" s="48" t="n"/>
      <c r="K3170" s="48" t="n"/>
      <c r="L3170" s="48" t="n"/>
      <c r="M3170" s="48" t="n"/>
      <c r="N3170" s="48" t="n"/>
      <c r="O3170" s="51">
        <f>IF(AND(B3170="",G3170="",C3170="",D3170="",J3170=""),"",IF(B3170="","⚠ Falta fecha",IF(G3170="","⚠ Falta monto",IF(Q3170="","⚠ Falta cuenta",IF(ISNA(MATCH(Q3170,ctaNombre,0)),"⚠ Cuenta no registrada",IF(AND(OR(P3170="Gasto",P3170="Reembolso"),D3170=""),"⚠ Falta categoría",IF(AND(D3170&lt;&gt;"",E3170&lt;&gt;"",ISNA(MATCH(D3170&amp;"|"&amp;E3170,catClave,0))),"⚠ Subcategoría no corresponde",IF(AND(OR(P3170="Transferencia",P3170="Pago tarjeta"),K3170=""),"⚠ Falta cuenta destino",IF(AND(K3170&lt;&gt;"",P3170&lt;&gt;"Transferencia",P3170&lt;&gt;"Pago tarjeta"),"⚠ Destino solo aplica a transferencias",IF(AND(K3170&lt;&gt;"",K3170=Q3170),"⚠ Origen igual a destino",IF(AND(K3170&lt;&gt;"",ISNA(MATCH(K3170,ctaNombre,0))),"⚠ Destino no registrado",IF(AND(P3170="Pago tarjeta",AE3170&lt;&gt;"Tarjeta de crédito"),"⚠ El destino debe ser tarjeta de crédito",IF(AND(P3170="Gasto",E3170="Depósitos y retiros"),"⚠ Usa tipo Transferencia",IF(AND(P3170="Resultado trading",AD3170&lt;&gt;"Cuenta de trading"),"⚠ Usa una cuenta de trading",IF(AND(G3170&lt;=0,P3170&lt;&gt;"Ajuste",P3170&lt;&gt;"Resultado trading"),"⚠ El monto debe ser positivo","✓")))))))))))))))</f>
        <v/>
      </c>
      <c r="P3170" s="52">
        <f>IF(OR(B3170="",G3170=""),"",IF(C3170="","Gasto",C3170))</f>
        <v/>
      </c>
      <c r="Q3170" s="52">
        <f>IF(P3170="","",IF(J3170&lt;&gt;"",J3170,CuentaPred&amp;""))</f>
        <v/>
      </c>
      <c r="R3170" s="52">
        <f>IF(P3170="","",IF(ISNUMBER(I3170),I3170,TasaUSD))</f>
        <v/>
      </c>
      <c r="S3170" s="53">
        <f>IF(P3170="","",IF(H3170="USD",G3170*R3170,G3170))</f>
        <v/>
      </c>
      <c r="T3170" s="53">
        <f>IF(P3170="","",IF(H3170="USD",G3170,IF(R3170&gt;0,G3170/R3170,0)))</f>
        <v/>
      </c>
      <c r="U3170" s="53">
        <f>IF(P3170="","",IF(P3170="Gasto",S3170,IF(P3170="Reembolso",-S3170,0)))</f>
        <v/>
      </c>
      <c r="V3170" s="53">
        <f>IF(P3170="","",IF(P3170="Ingreso",S3170,0))</f>
        <v/>
      </c>
      <c r="W3170" s="53">
        <f>IF(P3170="","",IF(P3170="Resultado trading",S3170,0))</f>
        <v/>
      </c>
      <c r="X3170" s="52">
        <f>IF(OR(P3170="Gasto",P3170="Reembolso"),IF(M3170&lt;&gt;"",M3170,IFERROR(INDEX(catClasif,MATCH(D3170&amp;"|"&amp;E3170,catClave,0))&amp;"","Variable")),"")</f>
        <v/>
      </c>
      <c r="Y3170" s="52">
        <f>IF(P3170="","",IFERROR(INDEX(catGrupo,MATCH(D3170&amp;"|"&amp;E3170,catClave,0))&amp;"",""))</f>
        <v/>
      </c>
      <c r="Z3170" s="52">
        <f>IF(P3170="","",WEEKDAY(B3170,2))</f>
        <v/>
      </c>
      <c r="AA3170" s="52">
        <f>IF(P3170="","",IF(AND(P3170="Gasto",X3170="Variable",D3170&lt;&gt;catTrading,S3170&gt;0,S3170&lt;=Umbral),1,0))</f>
        <v/>
      </c>
      <c r="AB3170" s="52">
        <f>IF(OR(P3170="",Q3170=""),"",IFERROR(IF(INDEX(ctaVinc,MATCH(Q3170,ctaNombre,0))&amp;""&lt;&gt;"",INDEX(ctaVinc,MATCH(Q3170,ctaNombre,0))&amp;"",Q3170),Q3170))</f>
        <v/>
      </c>
      <c r="AC3170" s="52">
        <f>IF(OR(K3170="",AND(P3170&lt;&gt;"Transferencia",P3170&lt;&gt;"Pago tarjeta")),"",IFERROR(IF(INDEX(ctaVinc,MATCH(K3170,ctaNombre,0))&amp;""&lt;&gt;"",INDEX(ctaVinc,MATCH(K3170,ctaNombre,0))&amp;"",K3170),K3170))</f>
        <v/>
      </c>
      <c r="AD3170" s="52">
        <f>IF(AB3170="","",IFERROR(INDEX(ctaTipo,MATCH(AB3170,ctaNombre,0))&amp;"",""))</f>
        <v/>
      </c>
      <c r="AE3170" s="52">
        <f>IF(AC3170="","",IFERROR(INDEX(ctaTipo,MATCH(AC3170,ctaNombre,0))&amp;"",""))</f>
        <v/>
      </c>
      <c r="AF3170" s="53">
        <f>IF(OR(P3170="",AB3170=""),"",IF(OR(P3170="Gasto",P3170="Transferencia",P3170="Pago tarjeta"),-1,1)*IF(IFERROR(INDEX(ctaMoneda,MATCH(AB3170,ctaNombre,0))&amp;"","DOP")="USD",T3170,S3170))</f>
        <v/>
      </c>
      <c r="AG3170" s="53">
        <f>IF(AC3170="","",IF(IFERROR(INDEX(ctaMoneda,MATCH(AC3170,ctaNombre,0))&amp;"","DOP")="USD",T3170,S3170))</f>
        <v/>
      </c>
      <c r="AH3170" s="53">
        <f>IF(P3170="","",IF(AND(AD3170&lt;&gt;"",COUNTIFS(tcTipo,AD3170,tcLiq,"Sí")&gt;0),IF(OR(P3170="Gasto",P3170="Transferencia",P3170="Pago tarjeta"),-1,1)*S3170,0)+IF(AND(AE3170&lt;&gt;"",COUNTIFS(tcTipo,AE3170,tcLiq,"Sí")&gt;0),S3170,0))</f>
        <v/>
      </c>
      <c r="AI3170" s="52">
        <f>IF(OR(L3170="",P3170=""),"",IF(COUNTIFS(L$6:L3170,L3170,P$6:P3170,"?*")=1,MAX(AI$5:AI3169)+1,""))</f>
        <v/>
      </c>
    </row>
    <row r="3171">
      <c r="B3171" s="47" t="n"/>
      <c r="C3171" s="48" t="n"/>
      <c r="D3171" s="48" t="n"/>
      <c r="E3171" s="48" t="n"/>
      <c r="F3171" s="48" t="n"/>
      <c r="G3171" s="49" t="n"/>
      <c r="H3171" s="48" t="n"/>
      <c r="I3171" s="50" t="n"/>
      <c r="J3171" s="48" t="n"/>
      <c r="K3171" s="48" t="n"/>
      <c r="L3171" s="48" t="n"/>
      <c r="M3171" s="48" t="n"/>
      <c r="N3171" s="48" t="n"/>
      <c r="O3171" s="51">
        <f>IF(AND(B3171="",G3171="",C3171="",D3171="",J3171=""),"",IF(B3171="","⚠ Falta fecha",IF(G3171="","⚠ Falta monto",IF(Q3171="","⚠ Falta cuenta",IF(ISNA(MATCH(Q3171,ctaNombre,0)),"⚠ Cuenta no registrada",IF(AND(OR(P3171="Gasto",P3171="Reembolso"),D3171=""),"⚠ Falta categoría",IF(AND(D3171&lt;&gt;"",E3171&lt;&gt;"",ISNA(MATCH(D3171&amp;"|"&amp;E3171,catClave,0))),"⚠ Subcategoría no corresponde",IF(AND(OR(P3171="Transferencia",P3171="Pago tarjeta"),K3171=""),"⚠ Falta cuenta destino",IF(AND(K3171&lt;&gt;"",P3171&lt;&gt;"Transferencia",P3171&lt;&gt;"Pago tarjeta"),"⚠ Destino solo aplica a transferencias",IF(AND(K3171&lt;&gt;"",K3171=Q3171),"⚠ Origen igual a destino",IF(AND(K3171&lt;&gt;"",ISNA(MATCH(K3171,ctaNombre,0))),"⚠ Destino no registrado",IF(AND(P3171="Pago tarjeta",AE3171&lt;&gt;"Tarjeta de crédito"),"⚠ El destino debe ser tarjeta de crédito",IF(AND(P3171="Gasto",E3171="Depósitos y retiros"),"⚠ Usa tipo Transferencia",IF(AND(P3171="Resultado trading",AD3171&lt;&gt;"Cuenta de trading"),"⚠ Usa una cuenta de trading",IF(AND(G3171&lt;=0,P3171&lt;&gt;"Ajuste",P3171&lt;&gt;"Resultado trading"),"⚠ El monto debe ser positivo","✓")))))))))))))))</f>
        <v/>
      </c>
      <c r="P3171" s="52">
        <f>IF(OR(B3171="",G3171=""),"",IF(C3171="","Gasto",C3171))</f>
        <v/>
      </c>
      <c r="Q3171" s="52">
        <f>IF(P3171="","",IF(J3171&lt;&gt;"",J3171,CuentaPred&amp;""))</f>
        <v/>
      </c>
      <c r="R3171" s="52">
        <f>IF(P3171="","",IF(ISNUMBER(I3171),I3171,TasaUSD))</f>
        <v/>
      </c>
      <c r="S3171" s="53">
        <f>IF(P3171="","",IF(H3171="USD",G3171*R3171,G3171))</f>
        <v/>
      </c>
      <c r="T3171" s="53">
        <f>IF(P3171="","",IF(H3171="USD",G3171,IF(R3171&gt;0,G3171/R3171,0)))</f>
        <v/>
      </c>
      <c r="U3171" s="53">
        <f>IF(P3171="","",IF(P3171="Gasto",S3171,IF(P3171="Reembolso",-S3171,0)))</f>
        <v/>
      </c>
      <c r="V3171" s="53">
        <f>IF(P3171="","",IF(P3171="Ingreso",S3171,0))</f>
        <v/>
      </c>
      <c r="W3171" s="53">
        <f>IF(P3171="","",IF(P3171="Resultado trading",S3171,0))</f>
        <v/>
      </c>
      <c r="X3171" s="52">
        <f>IF(OR(P3171="Gasto",P3171="Reembolso"),IF(M3171&lt;&gt;"",M3171,IFERROR(INDEX(catClasif,MATCH(D3171&amp;"|"&amp;E3171,catClave,0))&amp;"","Variable")),"")</f>
        <v/>
      </c>
      <c r="Y3171" s="52">
        <f>IF(P3171="","",IFERROR(INDEX(catGrupo,MATCH(D3171&amp;"|"&amp;E3171,catClave,0))&amp;"",""))</f>
        <v/>
      </c>
      <c r="Z3171" s="52">
        <f>IF(P3171="","",WEEKDAY(B3171,2))</f>
        <v/>
      </c>
      <c r="AA3171" s="52">
        <f>IF(P3171="","",IF(AND(P3171="Gasto",X3171="Variable",D3171&lt;&gt;catTrading,S3171&gt;0,S3171&lt;=Umbral),1,0))</f>
        <v/>
      </c>
      <c r="AB3171" s="52">
        <f>IF(OR(P3171="",Q3171=""),"",IFERROR(IF(INDEX(ctaVinc,MATCH(Q3171,ctaNombre,0))&amp;""&lt;&gt;"",INDEX(ctaVinc,MATCH(Q3171,ctaNombre,0))&amp;"",Q3171),Q3171))</f>
        <v/>
      </c>
      <c r="AC3171" s="52">
        <f>IF(OR(K3171="",AND(P3171&lt;&gt;"Transferencia",P3171&lt;&gt;"Pago tarjeta")),"",IFERROR(IF(INDEX(ctaVinc,MATCH(K3171,ctaNombre,0))&amp;""&lt;&gt;"",INDEX(ctaVinc,MATCH(K3171,ctaNombre,0))&amp;"",K3171),K3171))</f>
        <v/>
      </c>
      <c r="AD3171" s="52">
        <f>IF(AB3171="","",IFERROR(INDEX(ctaTipo,MATCH(AB3171,ctaNombre,0))&amp;"",""))</f>
        <v/>
      </c>
      <c r="AE3171" s="52">
        <f>IF(AC3171="","",IFERROR(INDEX(ctaTipo,MATCH(AC3171,ctaNombre,0))&amp;"",""))</f>
        <v/>
      </c>
      <c r="AF3171" s="53">
        <f>IF(OR(P3171="",AB3171=""),"",IF(OR(P3171="Gasto",P3171="Transferencia",P3171="Pago tarjeta"),-1,1)*IF(IFERROR(INDEX(ctaMoneda,MATCH(AB3171,ctaNombre,0))&amp;"","DOP")="USD",T3171,S3171))</f>
        <v/>
      </c>
      <c r="AG3171" s="53">
        <f>IF(AC3171="","",IF(IFERROR(INDEX(ctaMoneda,MATCH(AC3171,ctaNombre,0))&amp;"","DOP")="USD",T3171,S3171))</f>
        <v/>
      </c>
      <c r="AH3171" s="53">
        <f>IF(P3171="","",IF(AND(AD3171&lt;&gt;"",COUNTIFS(tcTipo,AD3171,tcLiq,"Sí")&gt;0),IF(OR(P3171="Gasto",P3171="Transferencia",P3171="Pago tarjeta"),-1,1)*S3171,0)+IF(AND(AE3171&lt;&gt;"",COUNTIFS(tcTipo,AE3171,tcLiq,"Sí")&gt;0),S3171,0))</f>
        <v/>
      </c>
      <c r="AI3171" s="52">
        <f>IF(OR(L3171="",P3171=""),"",IF(COUNTIFS(L$6:L3171,L3171,P$6:P3171,"?*")=1,MAX(AI$5:AI3170)+1,""))</f>
        <v/>
      </c>
    </row>
    <row r="3172">
      <c r="B3172" s="47" t="n"/>
      <c r="C3172" s="48" t="n"/>
      <c r="D3172" s="48" t="n"/>
      <c r="E3172" s="48" t="n"/>
      <c r="F3172" s="48" t="n"/>
      <c r="G3172" s="49" t="n"/>
      <c r="H3172" s="48" t="n"/>
      <c r="I3172" s="50" t="n"/>
      <c r="J3172" s="48" t="n"/>
      <c r="K3172" s="48" t="n"/>
      <c r="L3172" s="48" t="n"/>
      <c r="M3172" s="48" t="n"/>
      <c r="N3172" s="48" t="n"/>
      <c r="O3172" s="51">
        <f>IF(AND(B3172="",G3172="",C3172="",D3172="",J3172=""),"",IF(B3172="","⚠ Falta fecha",IF(G3172="","⚠ Falta monto",IF(Q3172="","⚠ Falta cuenta",IF(ISNA(MATCH(Q3172,ctaNombre,0)),"⚠ Cuenta no registrada",IF(AND(OR(P3172="Gasto",P3172="Reembolso"),D3172=""),"⚠ Falta categoría",IF(AND(D3172&lt;&gt;"",E3172&lt;&gt;"",ISNA(MATCH(D3172&amp;"|"&amp;E3172,catClave,0))),"⚠ Subcategoría no corresponde",IF(AND(OR(P3172="Transferencia",P3172="Pago tarjeta"),K3172=""),"⚠ Falta cuenta destino",IF(AND(K3172&lt;&gt;"",P3172&lt;&gt;"Transferencia",P3172&lt;&gt;"Pago tarjeta"),"⚠ Destino solo aplica a transferencias",IF(AND(K3172&lt;&gt;"",K3172=Q3172),"⚠ Origen igual a destino",IF(AND(K3172&lt;&gt;"",ISNA(MATCH(K3172,ctaNombre,0))),"⚠ Destino no registrado",IF(AND(P3172="Pago tarjeta",AE3172&lt;&gt;"Tarjeta de crédito"),"⚠ El destino debe ser tarjeta de crédito",IF(AND(P3172="Gasto",E3172="Depósitos y retiros"),"⚠ Usa tipo Transferencia",IF(AND(P3172="Resultado trading",AD3172&lt;&gt;"Cuenta de trading"),"⚠ Usa una cuenta de trading",IF(AND(G3172&lt;=0,P3172&lt;&gt;"Ajuste",P3172&lt;&gt;"Resultado trading"),"⚠ El monto debe ser positivo","✓")))))))))))))))</f>
        <v/>
      </c>
      <c r="P3172" s="52">
        <f>IF(OR(B3172="",G3172=""),"",IF(C3172="","Gasto",C3172))</f>
        <v/>
      </c>
      <c r="Q3172" s="52">
        <f>IF(P3172="","",IF(J3172&lt;&gt;"",J3172,CuentaPred&amp;""))</f>
        <v/>
      </c>
      <c r="R3172" s="52">
        <f>IF(P3172="","",IF(ISNUMBER(I3172),I3172,TasaUSD))</f>
        <v/>
      </c>
      <c r="S3172" s="53">
        <f>IF(P3172="","",IF(H3172="USD",G3172*R3172,G3172))</f>
        <v/>
      </c>
      <c r="T3172" s="53">
        <f>IF(P3172="","",IF(H3172="USD",G3172,IF(R3172&gt;0,G3172/R3172,0)))</f>
        <v/>
      </c>
      <c r="U3172" s="53">
        <f>IF(P3172="","",IF(P3172="Gasto",S3172,IF(P3172="Reembolso",-S3172,0)))</f>
        <v/>
      </c>
      <c r="V3172" s="53">
        <f>IF(P3172="","",IF(P3172="Ingreso",S3172,0))</f>
        <v/>
      </c>
      <c r="W3172" s="53">
        <f>IF(P3172="","",IF(P3172="Resultado trading",S3172,0))</f>
        <v/>
      </c>
      <c r="X3172" s="52">
        <f>IF(OR(P3172="Gasto",P3172="Reembolso"),IF(M3172&lt;&gt;"",M3172,IFERROR(INDEX(catClasif,MATCH(D3172&amp;"|"&amp;E3172,catClave,0))&amp;"","Variable")),"")</f>
        <v/>
      </c>
      <c r="Y3172" s="52">
        <f>IF(P3172="","",IFERROR(INDEX(catGrupo,MATCH(D3172&amp;"|"&amp;E3172,catClave,0))&amp;"",""))</f>
        <v/>
      </c>
      <c r="Z3172" s="52">
        <f>IF(P3172="","",WEEKDAY(B3172,2))</f>
        <v/>
      </c>
      <c r="AA3172" s="52">
        <f>IF(P3172="","",IF(AND(P3172="Gasto",X3172="Variable",D3172&lt;&gt;catTrading,S3172&gt;0,S3172&lt;=Umbral),1,0))</f>
        <v/>
      </c>
      <c r="AB3172" s="52">
        <f>IF(OR(P3172="",Q3172=""),"",IFERROR(IF(INDEX(ctaVinc,MATCH(Q3172,ctaNombre,0))&amp;""&lt;&gt;"",INDEX(ctaVinc,MATCH(Q3172,ctaNombre,0))&amp;"",Q3172),Q3172))</f>
        <v/>
      </c>
      <c r="AC3172" s="52">
        <f>IF(OR(K3172="",AND(P3172&lt;&gt;"Transferencia",P3172&lt;&gt;"Pago tarjeta")),"",IFERROR(IF(INDEX(ctaVinc,MATCH(K3172,ctaNombre,0))&amp;""&lt;&gt;"",INDEX(ctaVinc,MATCH(K3172,ctaNombre,0))&amp;"",K3172),K3172))</f>
        <v/>
      </c>
      <c r="AD3172" s="52">
        <f>IF(AB3172="","",IFERROR(INDEX(ctaTipo,MATCH(AB3172,ctaNombre,0))&amp;"",""))</f>
        <v/>
      </c>
      <c r="AE3172" s="52">
        <f>IF(AC3172="","",IFERROR(INDEX(ctaTipo,MATCH(AC3172,ctaNombre,0))&amp;"",""))</f>
        <v/>
      </c>
      <c r="AF3172" s="53">
        <f>IF(OR(P3172="",AB3172=""),"",IF(OR(P3172="Gasto",P3172="Transferencia",P3172="Pago tarjeta"),-1,1)*IF(IFERROR(INDEX(ctaMoneda,MATCH(AB3172,ctaNombre,0))&amp;"","DOP")="USD",T3172,S3172))</f>
        <v/>
      </c>
      <c r="AG3172" s="53">
        <f>IF(AC3172="","",IF(IFERROR(INDEX(ctaMoneda,MATCH(AC3172,ctaNombre,0))&amp;"","DOP")="USD",T3172,S3172))</f>
        <v/>
      </c>
      <c r="AH3172" s="53">
        <f>IF(P3172="","",IF(AND(AD3172&lt;&gt;"",COUNTIFS(tcTipo,AD3172,tcLiq,"Sí")&gt;0),IF(OR(P3172="Gasto",P3172="Transferencia",P3172="Pago tarjeta"),-1,1)*S3172,0)+IF(AND(AE3172&lt;&gt;"",COUNTIFS(tcTipo,AE3172,tcLiq,"Sí")&gt;0),S3172,0))</f>
        <v/>
      </c>
      <c r="AI3172" s="52">
        <f>IF(OR(L3172="",P3172=""),"",IF(COUNTIFS(L$6:L3172,L3172,P$6:P3172,"?*")=1,MAX(AI$5:AI3171)+1,""))</f>
        <v/>
      </c>
    </row>
    <row r="3173">
      <c r="B3173" s="47" t="n"/>
      <c r="C3173" s="48" t="n"/>
      <c r="D3173" s="48" t="n"/>
      <c r="E3173" s="48" t="n"/>
      <c r="F3173" s="48" t="n"/>
      <c r="G3173" s="49" t="n"/>
      <c r="H3173" s="48" t="n"/>
      <c r="I3173" s="50" t="n"/>
      <c r="J3173" s="48" t="n"/>
      <c r="K3173" s="48" t="n"/>
      <c r="L3173" s="48" t="n"/>
      <c r="M3173" s="48" t="n"/>
      <c r="N3173" s="48" t="n"/>
      <c r="O3173" s="51">
        <f>IF(AND(B3173="",G3173="",C3173="",D3173="",J3173=""),"",IF(B3173="","⚠ Falta fecha",IF(G3173="","⚠ Falta monto",IF(Q3173="","⚠ Falta cuenta",IF(ISNA(MATCH(Q3173,ctaNombre,0)),"⚠ Cuenta no registrada",IF(AND(OR(P3173="Gasto",P3173="Reembolso"),D3173=""),"⚠ Falta categoría",IF(AND(D3173&lt;&gt;"",E3173&lt;&gt;"",ISNA(MATCH(D3173&amp;"|"&amp;E3173,catClave,0))),"⚠ Subcategoría no corresponde",IF(AND(OR(P3173="Transferencia",P3173="Pago tarjeta"),K3173=""),"⚠ Falta cuenta destino",IF(AND(K3173&lt;&gt;"",P3173&lt;&gt;"Transferencia",P3173&lt;&gt;"Pago tarjeta"),"⚠ Destino solo aplica a transferencias",IF(AND(K3173&lt;&gt;"",K3173=Q3173),"⚠ Origen igual a destino",IF(AND(K3173&lt;&gt;"",ISNA(MATCH(K3173,ctaNombre,0))),"⚠ Destino no registrado",IF(AND(P3173="Pago tarjeta",AE3173&lt;&gt;"Tarjeta de crédito"),"⚠ El destino debe ser tarjeta de crédito",IF(AND(P3173="Gasto",E3173="Depósitos y retiros"),"⚠ Usa tipo Transferencia",IF(AND(P3173="Resultado trading",AD3173&lt;&gt;"Cuenta de trading"),"⚠ Usa una cuenta de trading",IF(AND(G3173&lt;=0,P3173&lt;&gt;"Ajuste",P3173&lt;&gt;"Resultado trading"),"⚠ El monto debe ser positivo","✓")))))))))))))))</f>
        <v/>
      </c>
      <c r="P3173" s="52">
        <f>IF(OR(B3173="",G3173=""),"",IF(C3173="","Gasto",C3173))</f>
        <v/>
      </c>
      <c r="Q3173" s="52">
        <f>IF(P3173="","",IF(J3173&lt;&gt;"",J3173,CuentaPred&amp;""))</f>
        <v/>
      </c>
      <c r="R3173" s="52">
        <f>IF(P3173="","",IF(ISNUMBER(I3173),I3173,TasaUSD))</f>
        <v/>
      </c>
      <c r="S3173" s="53">
        <f>IF(P3173="","",IF(H3173="USD",G3173*R3173,G3173))</f>
        <v/>
      </c>
      <c r="T3173" s="53">
        <f>IF(P3173="","",IF(H3173="USD",G3173,IF(R3173&gt;0,G3173/R3173,0)))</f>
        <v/>
      </c>
      <c r="U3173" s="53">
        <f>IF(P3173="","",IF(P3173="Gasto",S3173,IF(P3173="Reembolso",-S3173,0)))</f>
        <v/>
      </c>
      <c r="V3173" s="53">
        <f>IF(P3173="","",IF(P3173="Ingreso",S3173,0))</f>
        <v/>
      </c>
      <c r="W3173" s="53">
        <f>IF(P3173="","",IF(P3173="Resultado trading",S3173,0))</f>
        <v/>
      </c>
      <c r="X3173" s="52">
        <f>IF(OR(P3173="Gasto",P3173="Reembolso"),IF(M3173&lt;&gt;"",M3173,IFERROR(INDEX(catClasif,MATCH(D3173&amp;"|"&amp;E3173,catClave,0))&amp;"","Variable")),"")</f>
        <v/>
      </c>
      <c r="Y3173" s="52">
        <f>IF(P3173="","",IFERROR(INDEX(catGrupo,MATCH(D3173&amp;"|"&amp;E3173,catClave,0))&amp;"",""))</f>
        <v/>
      </c>
      <c r="Z3173" s="52">
        <f>IF(P3173="","",WEEKDAY(B3173,2))</f>
        <v/>
      </c>
      <c r="AA3173" s="52">
        <f>IF(P3173="","",IF(AND(P3173="Gasto",X3173="Variable",D3173&lt;&gt;catTrading,S3173&gt;0,S3173&lt;=Umbral),1,0))</f>
        <v/>
      </c>
      <c r="AB3173" s="52">
        <f>IF(OR(P3173="",Q3173=""),"",IFERROR(IF(INDEX(ctaVinc,MATCH(Q3173,ctaNombre,0))&amp;""&lt;&gt;"",INDEX(ctaVinc,MATCH(Q3173,ctaNombre,0))&amp;"",Q3173),Q3173))</f>
        <v/>
      </c>
      <c r="AC3173" s="52">
        <f>IF(OR(K3173="",AND(P3173&lt;&gt;"Transferencia",P3173&lt;&gt;"Pago tarjeta")),"",IFERROR(IF(INDEX(ctaVinc,MATCH(K3173,ctaNombre,0))&amp;""&lt;&gt;"",INDEX(ctaVinc,MATCH(K3173,ctaNombre,0))&amp;"",K3173),K3173))</f>
        <v/>
      </c>
      <c r="AD3173" s="52">
        <f>IF(AB3173="","",IFERROR(INDEX(ctaTipo,MATCH(AB3173,ctaNombre,0))&amp;"",""))</f>
        <v/>
      </c>
      <c r="AE3173" s="52">
        <f>IF(AC3173="","",IFERROR(INDEX(ctaTipo,MATCH(AC3173,ctaNombre,0))&amp;"",""))</f>
        <v/>
      </c>
      <c r="AF3173" s="53">
        <f>IF(OR(P3173="",AB3173=""),"",IF(OR(P3173="Gasto",P3173="Transferencia",P3173="Pago tarjeta"),-1,1)*IF(IFERROR(INDEX(ctaMoneda,MATCH(AB3173,ctaNombre,0))&amp;"","DOP")="USD",T3173,S3173))</f>
        <v/>
      </c>
      <c r="AG3173" s="53">
        <f>IF(AC3173="","",IF(IFERROR(INDEX(ctaMoneda,MATCH(AC3173,ctaNombre,0))&amp;"","DOP")="USD",T3173,S3173))</f>
        <v/>
      </c>
      <c r="AH3173" s="53">
        <f>IF(P3173="","",IF(AND(AD3173&lt;&gt;"",COUNTIFS(tcTipo,AD3173,tcLiq,"Sí")&gt;0),IF(OR(P3173="Gasto",P3173="Transferencia",P3173="Pago tarjeta"),-1,1)*S3173,0)+IF(AND(AE3173&lt;&gt;"",COUNTIFS(tcTipo,AE3173,tcLiq,"Sí")&gt;0),S3173,0))</f>
        <v/>
      </c>
      <c r="AI3173" s="52">
        <f>IF(OR(L3173="",P3173=""),"",IF(COUNTIFS(L$6:L3173,L3173,P$6:P3173,"?*")=1,MAX(AI$5:AI3172)+1,""))</f>
        <v/>
      </c>
    </row>
    <row r="3174">
      <c r="B3174" s="47" t="n"/>
      <c r="C3174" s="48" t="n"/>
      <c r="D3174" s="48" t="n"/>
      <c r="E3174" s="48" t="n"/>
      <c r="F3174" s="48" t="n"/>
      <c r="G3174" s="49" t="n"/>
      <c r="H3174" s="48" t="n"/>
      <c r="I3174" s="50" t="n"/>
      <c r="J3174" s="48" t="n"/>
      <c r="K3174" s="48" t="n"/>
      <c r="L3174" s="48" t="n"/>
      <c r="M3174" s="48" t="n"/>
      <c r="N3174" s="48" t="n"/>
      <c r="O3174" s="51">
        <f>IF(AND(B3174="",G3174="",C3174="",D3174="",J3174=""),"",IF(B3174="","⚠ Falta fecha",IF(G3174="","⚠ Falta monto",IF(Q3174="","⚠ Falta cuenta",IF(ISNA(MATCH(Q3174,ctaNombre,0)),"⚠ Cuenta no registrada",IF(AND(OR(P3174="Gasto",P3174="Reembolso"),D3174=""),"⚠ Falta categoría",IF(AND(D3174&lt;&gt;"",E3174&lt;&gt;"",ISNA(MATCH(D3174&amp;"|"&amp;E3174,catClave,0))),"⚠ Subcategoría no corresponde",IF(AND(OR(P3174="Transferencia",P3174="Pago tarjeta"),K3174=""),"⚠ Falta cuenta destino",IF(AND(K3174&lt;&gt;"",P3174&lt;&gt;"Transferencia",P3174&lt;&gt;"Pago tarjeta"),"⚠ Destino solo aplica a transferencias",IF(AND(K3174&lt;&gt;"",K3174=Q3174),"⚠ Origen igual a destino",IF(AND(K3174&lt;&gt;"",ISNA(MATCH(K3174,ctaNombre,0))),"⚠ Destino no registrado",IF(AND(P3174="Pago tarjeta",AE3174&lt;&gt;"Tarjeta de crédito"),"⚠ El destino debe ser tarjeta de crédito",IF(AND(P3174="Gasto",E3174="Depósitos y retiros"),"⚠ Usa tipo Transferencia",IF(AND(P3174="Resultado trading",AD3174&lt;&gt;"Cuenta de trading"),"⚠ Usa una cuenta de trading",IF(AND(G3174&lt;=0,P3174&lt;&gt;"Ajuste",P3174&lt;&gt;"Resultado trading"),"⚠ El monto debe ser positivo","✓")))))))))))))))</f>
        <v/>
      </c>
      <c r="P3174" s="52">
        <f>IF(OR(B3174="",G3174=""),"",IF(C3174="","Gasto",C3174))</f>
        <v/>
      </c>
      <c r="Q3174" s="52">
        <f>IF(P3174="","",IF(J3174&lt;&gt;"",J3174,CuentaPred&amp;""))</f>
        <v/>
      </c>
      <c r="R3174" s="52">
        <f>IF(P3174="","",IF(ISNUMBER(I3174),I3174,TasaUSD))</f>
        <v/>
      </c>
      <c r="S3174" s="53">
        <f>IF(P3174="","",IF(H3174="USD",G3174*R3174,G3174))</f>
        <v/>
      </c>
      <c r="T3174" s="53">
        <f>IF(P3174="","",IF(H3174="USD",G3174,IF(R3174&gt;0,G3174/R3174,0)))</f>
        <v/>
      </c>
      <c r="U3174" s="53">
        <f>IF(P3174="","",IF(P3174="Gasto",S3174,IF(P3174="Reembolso",-S3174,0)))</f>
        <v/>
      </c>
      <c r="V3174" s="53">
        <f>IF(P3174="","",IF(P3174="Ingreso",S3174,0))</f>
        <v/>
      </c>
      <c r="W3174" s="53">
        <f>IF(P3174="","",IF(P3174="Resultado trading",S3174,0))</f>
        <v/>
      </c>
      <c r="X3174" s="52">
        <f>IF(OR(P3174="Gasto",P3174="Reembolso"),IF(M3174&lt;&gt;"",M3174,IFERROR(INDEX(catClasif,MATCH(D3174&amp;"|"&amp;E3174,catClave,0))&amp;"","Variable")),"")</f>
        <v/>
      </c>
      <c r="Y3174" s="52">
        <f>IF(P3174="","",IFERROR(INDEX(catGrupo,MATCH(D3174&amp;"|"&amp;E3174,catClave,0))&amp;"",""))</f>
        <v/>
      </c>
      <c r="Z3174" s="52">
        <f>IF(P3174="","",WEEKDAY(B3174,2))</f>
        <v/>
      </c>
      <c r="AA3174" s="52">
        <f>IF(P3174="","",IF(AND(P3174="Gasto",X3174="Variable",D3174&lt;&gt;catTrading,S3174&gt;0,S3174&lt;=Umbral),1,0))</f>
        <v/>
      </c>
      <c r="AB3174" s="52">
        <f>IF(OR(P3174="",Q3174=""),"",IFERROR(IF(INDEX(ctaVinc,MATCH(Q3174,ctaNombre,0))&amp;""&lt;&gt;"",INDEX(ctaVinc,MATCH(Q3174,ctaNombre,0))&amp;"",Q3174),Q3174))</f>
        <v/>
      </c>
      <c r="AC3174" s="52">
        <f>IF(OR(K3174="",AND(P3174&lt;&gt;"Transferencia",P3174&lt;&gt;"Pago tarjeta")),"",IFERROR(IF(INDEX(ctaVinc,MATCH(K3174,ctaNombre,0))&amp;""&lt;&gt;"",INDEX(ctaVinc,MATCH(K3174,ctaNombre,0))&amp;"",K3174),K3174))</f>
        <v/>
      </c>
      <c r="AD3174" s="52">
        <f>IF(AB3174="","",IFERROR(INDEX(ctaTipo,MATCH(AB3174,ctaNombre,0))&amp;"",""))</f>
        <v/>
      </c>
      <c r="AE3174" s="52">
        <f>IF(AC3174="","",IFERROR(INDEX(ctaTipo,MATCH(AC3174,ctaNombre,0))&amp;"",""))</f>
        <v/>
      </c>
      <c r="AF3174" s="53">
        <f>IF(OR(P3174="",AB3174=""),"",IF(OR(P3174="Gasto",P3174="Transferencia",P3174="Pago tarjeta"),-1,1)*IF(IFERROR(INDEX(ctaMoneda,MATCH(AB3174,ctaNombre,0))&amp;"","DOP")="USD",T3174,S3174))</f>
        <v/>
      </c>
      <c r="AG3174" s="53">
        <f>IF(AC3174="","",IF(IFERROR(INDEX(ctaMoneda,MATCH(AC3174,ctaNombre,0))&amp;"","DOP")="USD",T3174,S3174))</f>
        <v/>
      </c>
      <c r="AH3174" s="53">
        <f>IF(P3174="","",IF(AND(AD3174&lt;&gt;"",COUNTIFS(tcTipo,AD3174,tcLiq,"Sí")&gt;0),IF(OR(P3174="Gasto",P3174="Transferencia",P3174="Pago tarjeta"),-1,1)*S3174,0)+IF(AND(AE3174&lt;&gt;"",COUNTIFS(tcTipo,AE3174,tcLiq,"Sí")&gt;0),S3174,0))</f>
        <v/>
      </c>
      <c r="AI3174" s="52">
        <f>IF(OR(L3174="",P3174=""),"",IF(COUNTIFS(L$6:L3174,L3174,P$6:P3174,"?*")=1,MAX(AI$5:AI3173)+1,""))</f>
        <v/>
      </c>
    </row>
    <row r="3175">
      <c r="B3175" s="47" t="n"/>
      <c r="C3175" s="48" t="n"/>
      <c r="D3175" s="48" t="n"/>
      <c r="E3175" s="48" t="n"/>
      <c r="F3175" s="48" t="n"/>
      <c r="G3175" s="49" t="n"/>
      <c r="H3175" s="48" t="n"/>
      <c r="I3175" s="50" t="n"/>
      <c r="J3175" s="48" t="n"/>
      <c r="K3175" s="48" t="n"/>
      <c r="L3175" s="48" t="n"/>
      <c r="M3175" s="48" t="n"/>
      <c r="N3175" s="48" t="n"/>
      <c r="O3175" s="51">
        <f>IF(AND(B3175="",G3175="",C3175="",D3175="",J3175=""),"",IF(B3175="","⚠ Falta fecha",IF(G3175="","⚠ Falta monto",IF(Q3175="","⚠ Falta cuenta",IF(ISNA(MATCH(Q3175,ctaNombre,0)),"⚠ Cuenta no registrada",IF(AND(OR(P3175="Gasto",P3175="Reembolso"),D3175=""),"⚠ Falta categoría",IF(AND(D3175&lt;&gt;"",E3175&lt;&gt;"",ISNA(MATCH(D3175&amp;"|"&amp;E3175,catClave,0))),"⚠ Subcategoría no corresponde",IF(AND(OR(P3175="Transferencia",P3175="Pago tarjeta"),K3175=""),"⚠ Falta cuenta destino",IF(AND(K3175&lt;&gt;"",P3175&lt;&gt;"Transferencia",P3175&lt;&gt;"Pago tarjeta"),"⚠ Destino solo aplica a transferencias",IF(AND(K3175&lt;&gt;"",K3175=Q3175),"⚠ Origen igual a destino",IF(AND(K3175&lt;&gt;"",ISNA(MATCH(K3175,ctaNombre,0))),"⚠ Destino no registrado",IF(AND(P3175="Pago tarjeta",AE3175&lt;&gt;"Tarjeta de crédito"),"⚠ El destino debe ser tarjeta de crédito",IF(AND(P3175="Gasto",E3175="Depósitos y retiros"),"⚠ Usa tipo Transferencia",IF(AND(P3175="Resultado trading",AD3175&lt;&gt;"Cuenta de trading"),"⚠ Usa una cuenta de trading",IF(AND(G3175&lt;=0,P3175&lt;&gt;"Ajuste",P3175&lt;&gt;"Resultado trading"),"⚠ El monto debe ser positivo","✓")))))))))))))))</f>
        <v/>
      </c>
      <c r="P3175" s="52">
        <f>IF(OR(B3175="",G3175=""),"",IF(C3175="","Gasto",C3175))</f>
        <v/>
      </c>
      <c r="Q3175" s="52">
        <f>IF(P3175="","",IF(J3175&lt;&gt;"",J3175,CuentaPred&amp;""))</f>
        <v/>
      </c>
      <c r="R3175" s="52">
        <f>IF(P3175="","",IF(ISNUMBER(I3175),I3175,TasaUSD))</f>
        <v/>
      </c>
      <c r="S3175" s="53">
        <f>IF(P3175="","",IF(H3175="USD",G3175*R3175,G3175))</f>
        <v/>
      </c>
      <c r="T3175" s="53">
        <f>IF(P3175="","",IF(H3175="USD",G3175,IF(R3175&gt;0,G3175/R3175,0)))</f>
        <v/>
      </c>
      <c r="U3175" s="53">
        <f>IF(P3175="","",IF(P3175="Gasto",S3175,IF(P3175="Reembolso",-S3175,0)))</f>
        <v/>
      </c>
      <c r="V3175" s="53">
        <f>IF(P3175="","",IF(P3175="Ingreso",S3175,0))</f>
        <v/>
      </c>
      <c r="W3175" s="53">
        <f>IF(P3175="","",IF(P3175="Resultado trading",S3175,0))</f>
        <v/>
      </c>
      <c r="X3175" s="52">
        <f>IF(OR(P3175="Gasto",P3175="Reembolso"),IF(M3175&lt;&gt;"",M3175,IFERROR(INDEX(catClasif,MATCH(D3175&amp;"|"&amp;E3175,catClave,0))&amp;"","Variable")),"")</f>
        <v/>
      </c>
      <c r="Y3175" s="52">
        <f>IF(P3175="","",IFERROR(INDEX(catGrupo,MATCH(D3175&amp;"|"&amp;E3175,catClave,0))&amp;"",""))</f>
        <v/>
      </c>
      <c r="Z3175" s="52">
        <f>IF(P3175="","",WEEKDAY(B3175,2))</f>
        <v/>
      </c>
      <c r="AA3175" s="52">
        <f>IF(P3175="","",IF(AND(P3175="Gasto",X3175="Variable",D3175&lt;&gt;catTrading,S3175&gt;0,S3175&lt;=Umbral),1,0))</f>
        <v/>
      </c>
      <c r="AB3175" s="52">
        <f>IF(OR(P3175="",Q3175=""),"",IFERROR(IF(INDEX(ctaVinc,MATCH(Q3175,ctaNombre,0))&amp;""&lt;&gt;"",INDEX(ctaVinc,MATCH(Q3175,ctaNombre,0))&amp;"",Q3175),Q3175))</f>
        <v/>
      </c>
      <c r="AC3175" s="52">
        <f>IF(OR(K3175="",AND(P3175&lt;&gt;"Transferencia",P3175&lt;&gt;"Pago tarjeta")),"",IFERROR(IF(INDEX(ctaVinc,MATCH(K3175,ctaNombre,0))&amp;""&lt;&gt;"",INDEX(ctaVinc,MATCH(K3175,ctaNombre,0))&amp;"",K3175),K3175))</f>
        <v/>
      </c>
      <c r="AD3175" s="52">
        <f>IF(AB3175="","",IFERROR(INDEX(ctaTipo,MATCH(AB3175,ctaNombre,0))&amp;"",""))</f>
        <v/>
      </c>
      <c r="AE3175" s="52">
        <f>IF(AC3175="","",IFERROR(INDEX(ctaTipo,MATCH(AC3175,ctaNombre,0))&amp;"",""))</f>
        <v/>
      </c>
      <c r="AF3175" s="53">
        <f>IF(OR(P3175="",AB3175=""),"",IF(OR(P3175="Gasto",P3175="Transferencia",P3175="Pago tarjeta"),-1,1)*IF(IFERROR(INDEX(ctaMoneda,MATCH(AB3175,ctaNombre,0))&amp;"","DOP")="USD",T3175,S3175))</f>
        <v/>
      </c>
      <c r="AG3175" s="53">
        <f>IF(AC3175="","",IF(IFERROR(INDEX(ctaMoneda,MATCH(AC3175,ctaNombre,0))&amp;"","DOP")="USD",T3175,S3175))</f>
        <v/>
      </c>
      <c r="AH3175" s="53">
        <f>IF(P3175="","",IF(AND(AD3175&lt;&gt;"",COUNTIFS(tcTipo,AD3175,tcLiq,"Sí")&gt;0),IF(OR(P3175="Gasto",P3175="Transferencia",P3175="Pago tarjeta"),-1,1)*S3175,0)+IF(AND(AE3175&lt;&gt;"",COUNTIFS(tcTipo,AE3175,tcLiq,"Sí")&gt;0),S3175,0))</f>
        <v/>
      </c>
      <c r="AI3175" s="52">
        <f>IF(OR(L3175="",P3175=""),"",IF(COUNTIFS(L$6:L3175,L3175,P$6:P3175,"?*")=1,MAX(AI$5:AI3174)+1,""))</f>
        <v/>
      </c>
    </row>
    <row r="3176">
      <c r="B3176" s="47" t="n"/>
      <c r="C3176" s="48" t="n"/>
      <c r="D3176" s="48" t="n"/>
      <c r="E3176" s="48" t="n"/>
      <c r="F3176" s="48" t="n"/>
      <c r="G3176" s="49" t="n"/>
      <c r="H3176" s="48" t="n"/>
      <c r="I3176" s="50" t="n"/>
      <c r="J3176" s="48" t="n"/>
      <c r="K3176" s="48" t="n"/>
      <c r="L3176" s="48" t="n"/>
      <c r="M3176" s="48" t="n"/>
      <c r="N3176" s="48" t="n"/>
      <c r="O3176" s="51">
        <f>IF(AND(B3176="",G3176="",C3176="",D3176="",J3176=""),"",IF(B3176="","⚠ Falta fecha",IF(G3176="","⚠ Falta monto",IF(Q3176="","⚠ Falta cuenta",IF(ISNA(MATCH(Q3176,ctaNombre,0)),"⚠ Cuenta no registrada",IF(AND(OR(P3176="Gasto",P3176="Reembolso"),D3176=""),"⚠ Falta categoría",IF(AND(D3176&lt;&gt;"",E3176&lt;&gt;"",ISNA(MATCH(D3176&amp;"|"&amp;E3176,catClave,0))),"⚠ Subcategoría no corresponde",IF(AND(OR(P3176="Transferencia",P3176="Pago tarjeta"),K3176=""),"⚠ Falta cuenta destino",IF(AND(K3176&lt;&gt;"",P3176&lt;&gt;"Transferencia",P3176&lt;&gt;"Pago tarjeta"),"⚠ Destino solo aplica a transferencias",IF(AND(K3176&lt;&gt;"",K3176=Q3176),"⚠ Origen igual a destino",IF(AND(K3176&lt;&gt;"",ISNA(MATCH(K3176,ctaNombre,0))),"⚠ Destino no registrado",IF(AND(P3176="Pago tarjeta",AE3176&lt;&gt;"Tarjeta de crédito"),"⚠ El destino debe ser tarjeta de crédito",IF(AND(P3176="Gasto",E3176="Depósitos y retiros"),"⚠ Usa tipo Transferencia",IF(AND(P3176="Resultado trading",AD3176&lt;&gt;"Cuenta de trading"),"⚠ Usa una cuenta de trading",IF(AND(G3176&lt;=0,P3176&lt;&gt;"Ajuste",P3176&lt;&gt;"Resultado trading"),"⚠ El monto debe ser positivo","✓")))))))))))))))</f>
        <v/>
      </c>
      <c r="P3176" s="52">
        <f>IF(OR(B3176="",G3176=""),"",IF(C3176="","Gasto",C3176))</f>
        <v/>
      </c>
      <c r="Q3176" s="52">
        <f>IF(P3176="","",IF(J3176&lt;&gt;"",J3176,CuentaPred&amp;""))</f>
        <v/>
      </c>
      <c r="R3176" s="52">
        <f>IF(P3176="","",IF(ISNUMBER(I3176),I3176,TasaUSD))</f>
        <v/>
      </c>
      <c r="S3176" s="53">
        <f>IF(P3176="","",IF(H3176="USD",G3176*R3176,G3176))</f>
        <v/>
      </c>
      <c r="T3176" s="53">
        <f>IF(P3176="","",IF(H3176="USD",G3176,IF(R3176&gt;0,G3176/R3176,0)))</f>
        <v/>
      </c>
      <c r="U3176" s="53">
        <f>IF(P3176="","",IF(P3176="Gasto",S3176,IF(P3176="Reembolso",-S3176,0)))</f>
        <v/>
      </c>
      <c r="V3176" s="53">
        <f>IF(P3176="","",IF(P3176="Ingreso",S3176,0))</f>
        <v/>
      </c>
      <c r="W3176" s="53">
        <f>IF(P3176="","",IF(P3176="Resultado trading",S3176,0))</f>
        <v/>
      </c>
      <c r="X3176" s="52">
        <f>IF(OR(P3176="Gasto",P3176="Reembolso"),IF(M3176&lt;&gt;"",M3176,IFERROR(INDEX(catClasif,MATCH(D3176&amp;"|"&amp;E3176,catClave,0))&amp;"","Variable")),"")</f>
        <v/>
      </c>
      <c r="Y3176" s="52">
        <f>IF(P3176="","",IFERROR(INDEX(catGrupo,MATCH(D3176&amp;"|"&amp;E3176,catClave,0))&amp;"",""))</f>
        <v/>
      </c>
      <c r="Z3176" s="52">
        <f>IF(P3176="","",WEEKDAY(B3176,2))</f>
        <v/>
      </c>
      <c r="AA3176" s="52">
        <f>IF(P3176="","",IF(AND(P3176="Gasto",X3176="Variable",D3176&lt;&gt;catTrading,S3176&gt;0,S3176&lt;=Umbral),1,0))</f>
        <v/>
      </c>
      <c r="AB3176" s="52">
        <f>IF(OR(P3176="",Q3176=""),"",IFERROR(IF(INDEX(ctaVinc,MATCH(Q3176,ctaNombre,0))&amp;""&lt;&gt;"",INDEX(ctaVinc,MATCH(Q3176,ctaNombre,0))&amp;"",Q3176),Q3176))</f>
        <v/>
      </c>
      <c r="AC3176" s="52">
        <f>IF(OR(K3176="",AND(P3176&lt;&gt;"Transferencia",P3176&lt;&gt;"Pago tarjeta")),"",IFERROR(IF(INDEX(ctaVinc,MATCH(K3176,ctaNombre,0))&amp;""&lt;&gt;"",INDEX(ctaVinc,MATCH(K3176,ctaNombre,0))&amp;"",K3176),K3176))</f>
        <v/>
      </c>
      <c r="AD3176" s="52">
        <f>IF(AB3176="","",IFERROR(INDEX(ctaTipo,MATCH(AB3176,ctaNombre,0))&amp;"",""))</f>
        <v/>
      </c>
      <c r="AE3176" s="52">
        <f>IF(AC3176="","",IFERROR(INDEX(ctaTipo,MATCH(AC3176,ctaNombre,0))&amp;"",""))</f>
        <v/>
      </c>
      <c r="AF3176" s="53">
        <f>IF(OR(P3176="",AB3176=""),"",IF(OR(P3176="Gasto",P3176="Transferencia",P3176="Pago tarjeta"),-1,1)*IF(IFERROR(INDEX(ctaMoneda,MATCH(AB3176,ctaNombre,0))&amp;"","DOP")="USD",T3176,S3176))</f>
        <v/>
      </c>
      <c r="AG3176" s="53">
        <f>IF(AC3176="","",IF(IFERROR(INDEX(ctaMoneda,MATCH(AC3176,ctaNombre,0))&amp;"","DOP")="USD",T3176,S3176))</f>
        <v/>
      </c>
      <c r="AH3176" s="53">
        <f>IF(P3176="","",IF(AND(AD3176&lt;&gt;"",COUNTIFS(tcTipo,AD3176,tcLiq,"Sí")&gt;0),IF(OR(P3176="Gasto",P3176="Transferencia",P3176="Pago tarjeta"),-1,1)*S3176,0)+IF(AND(AE3176&lt;&gt;"",COUNTIFS(tcTipo,AE3176,tcLiq,"Sí")&gt;0),S3176,0))</f>
        <v/>
      </c>
      <c r="AI3176" s="52">
        <f>IF(OR(L3176="",P3176=""),"",IF(COUNTIFS(L$6:L3176,L3176,P$6:P3176,"?*")=1,MAX(AI$5:AI3175)+1,""))</f>
        <v/>
      </c>
    </row>
    <row r="3177">
      <c r="B3177" s="47" t="n"/>
      <c r="C3177" s="48" t="n"/>
      <c r="D3177" s="48" t="n"/>
      <c r="E3177" s="48" t="n"/>
      <c r="F3177" s="48" t="n"/>
      <c r="G3177" s="49" t="n"/>
      <c r="H3177" s="48" t="n"/>
      <c r="I3177" s="50" t="n"/>
      <c r="J3177" s="48" t="n"/>
      <c r="K3177" s="48" t="n"/>
      <c r="L3177" s="48" t="n"/>
      <c r="M3177" s="48" t="n"/>
      <c r="N3177" s="48" t="n"/>
      <c r="O3177" s="51">
        <f>IF(AND(B3177="",G3177="",C3177="",D3177="",J3177=""),"",IF(B3177="","⚠ Falta fecha",IF(G3177="","⚠ Falta monto",IF(Q3177="","⚠ Falta cuenta",IF(ISNA(MATCH(Q3177,ctaNombre,0)),"⚠ Cuenta no registrada",IF(AND(OR(P3177="Gasto",P3177="Reembolso"),D3177=""),"⚠ Falta categoría",IF(AND(D3177&lt;&gt;"",E3177&lt;&gt;"",ISNA(MATCH(D3177&amp;"|"&amp;E3177,catClave,0))),"⚠ Subcategoría no corresponde",IF(AND(OR(P3177="Transferencia",P3177="Pago tarjeta"),K3177=""),"⚠ Falta cuenta destino",IF(AND(K3177&lt;&gt;"",P3177&lt;&gt;"Transferencia",P3177&lt;&gt;"Pago tarjeta"),"⚠ Destino solo aplica a transferencias",IF(AND(K3177&lt;&gt;"",K3177=Q3177),"⚠ Origen igual a destino",IF(AND(K3177&lt;&gt;"",ISNA(MATCH(K3177,ctaNombre,0))),"⚠ Destino no registrado",IF(AND(P3177="Pago tarjeta",AE3177&lt;&gt;"Tarjeta de crédito"),"⚠ El destino debe ser tarjeta de crédito",IF(AND(P3177="Gasto",E3177="Depósitos y retiros"),"⚠ Usa tipo Transferencia",IF(AND(P3177="Resultado trading",AD3177&lt;&gt;"Cuenta de trading"),"⚠ Usa una cuenta de trading",IF(AND(G3177&lt;=0,P3177&lt;&gt;"Ajuste",P3177&lt;&gt;"Resultado trading"),"⚠ El monto debe ser positivo","✓")))))))))))))))</f>
        <v/>
      </c>
      <c r="P3177" s="52">
        <f>IF(OR(B3177="",G3177=""),"",IF(C3177="","Gasto",C3177))</f>
        <v/>
      </c>
      <c r="Q3177" s="52">
        <f>IF(P3177="","",IF(J3177&lt;&gt;"",J3177,CuentaPred&amp;""))</f>
        <v/>
      </c>
      <c r="R3177" s="52">
        <f>IF(P3177="","",IF(ISNUMBER(I3177),I3177,TasaUSD))</f>
        <v/>
      </c>
      <c r="S3177" s="53">
        <f>IF(P3177="","",IF(H3177="USD",G3177*R3177,G3177))</f>
        <v/>
      </c>
      <c r="T3177" s="53">
        <f>IF(P3177="","",IF(H3177="USD",G3177,IF(R3177&gt;0,G3177/R3177,0)))</f>
        <v/>
      </c>
      <c r="U3177" s="53">
        <f>IF(P3177="","",IF(P3177="Gasto",S3177,IF(P3177="Reembolso",-S3177,0)))</f>
        <v/>
      </c>
      <c r="V3177" s="53">
        <f>IF(P3177="","",IF(P3177="Ingreso",S3177,0))</f>
        <v/>
      </c>
      <c r="W3177" s="53">
        <f>IF(P3177="","",IF(P3177="Resultado trading",S3177,0))</f>
        <v/>
      </c>
      <c r="X3177" s="52">
        <f>IF(OR(P3177="Gasto",P3177="Reembolso"),IF(M3177&lt;&gt;"",M3177,IFERROR(INDEX(catClasif,MATCH(D3177&amp;"|"&amp;E3177,catClave,0))&amp;"","Variable")),"")</f>
        <v/>
      </c>
      <c r="Y3177" s="52">
        <f>IF(P3177="","",IFERROR(INDEX(catGrupo,MATCH(D3177&amp;"|"&amp;E3177,catClave,0))&amp;"",""))</f>
        <v/>
      </c>
      <c r="Z3177" s="52">
        <f>IF(P3177="","",WEEKDAY(B3177,2))</f>
        <v/>
      </c>
      <c r="AA3177" s="52">
        <f>IF(P3177="","",IF(AND(P3177="Gasto",X3177="Variable",D3177&lt;&gt;catTrading,S3177&gt;0,S3177&lt;=Umbral),1,0))</f>
        <v/>
      </c>
      <c r="AB3177" s="52">
        <f>IF(OR(P3177="",Q3177=""),"",IFERROR(IF(INDEX(ctaVinc,MATCH(Q3177,ctaNombre,0))&amp;""&lt;&gt;"",INDEX(ctaVinc,MATCH(Q3177,ctaNombre,0))&amp;"",Q3177),Q3177))</f>
        <v/>
      </c>
      <c r="AC3177" s="52">
        <f>IF(OR(K3177="",AND(P3177&lt;&gt;"Transferencia",P3177&lt;&gt;"Pago tarjeta")),"",IFERROR(IF(INDEX(ctaVinc,MATCH(K3177,ctaNombre,0))&amp;""&lt;&gt;"",INDEX(ctaVinc,MATCH(K3177,ctaNombre,0))&amp;"",K3177),K3177))</f>
        <v/>
      </c>
      <c r="AD3177" s="52">
        <f>IF(AB3177="","",IFERROR(INDEX(ctaTipo,MATCH(AB3177,ctaNombre,0))&amp;"",""))</f>
        <v/>
      </c>
      <c r="AE3177" s="52">
        <f>IF(AC3177="","",IFERROR(INDEX(ctaTipo,MATCH(AC3177,ctaNombre,0))&amp;"",""))</f>
        <v/>
      </c>
      <c r="AF3177" s="53">
        <f>IF(OR(P3177="",AB3177=""),"",IF(OR(P3177="Gasto",P3177="Transferencia",P3177="Pago tarjeta"),-1,1)*IF(IFERROR(INDEX(ctaMoneda,MATCH(AB3177,ctaNombre,0))&amp;"","DOP")="USD",T3177,S3177))</f>
        <v/>
      </c>
      <c r="AG3177" s="53">
        <f>IF(AC3177="","",IF(IFERROR(INDEX(ctaMoneda,MATCH(AC3177,ctaNombre,0))&amp;"","DOP")="USD",T3177,S3177))</f>
        <v/>
      </c>
      <c r="AH3177" s="53">
        <f>IF(P3177="","",IF(AND(AD3177&lt;&gt;"",COUNTIFS(tcTipo,AD3177,tcLiq,"Sí")&gt;0),IF(OR(P3177="Gasto",P3177="Transferencia",P3177="Pago tarjeta"),-1,1)*S3177,0)+IF(AND(AE3177&lt;&gt;"",COUNTIFS(tcTipo,AE3177,tcLiq,"Sí")&gt;0),S3177,0))</f>
        <v/>
      </c>
      <c r="AI3177" s="52">
        <f>IF(OR(L3177="",P3177=""),"",IF(COUNTIFS(L$6:L3177,L3177,P$6:P3177,"?*")=1,MAX(AI$5:AI3176)+1,""))</f>
        <v/>
      </c>
    </row>
    <row r="3178">
      <c r="B3178" s="47" t="n"/>
      <c r="C3178" s="48" t="n"/>
      <c r="D3178" s="48" t="n"/>
      <c r="E3178" s="48" t="n"/>
      <c r="F3178" s="48" t="n"/>
      <c r="G3178" s="49" t="n"/>
      <c r="H3178" s="48" t="n"/>
      <c r="I3178" s="50" t="n"/>
      <c r="J3178" s="48" t="n"/>
      <c r="K3178" s="48" t="n"/>
      <c r="L3178" s="48" t="n"/>
      <c r="M3178" s="48" t="n"/>
      <c r="N3178" s="48" t="n"/>
      <c r="O3178" s="51">
        <f>IF(AND(B3178="",G3178="",C3178="",D3178="",J3178=""),"",IF(B3178="","⚠ Falta fecha",IF(G3178="","⚠ Falta monto",IF(Q3178="","⚠ Falta cuenta",IF(ISNA(MATCH(Q3178,ctaNombre,0)),"⚠ Cuenta no registrada",IF(AND(OR(P3178="Gasto",P3178="Reembolso"),D3178=""),"⚠ Falta categoría",IF(AND(D3178&lt;&gt;"",E3178&lt;&gt;"",ISNA(MATCH(D3178&amp;"|"&amp;E3178,catClave,0))),"⚠ Subcategoría no corresponde",IF(AND(OR(P3178="Transferencia",P3178="Pago tarjeta"),K3178=""),"⚠ Falta cuenta destino",IF(AND(K3178&lt;&gt;"",P3178&lt;&gt;"Transferencia",P3178&lt;&gt;"Pago tarjeta"),"⚠ Destino solo aplica a transferencias",IF(AND(K3178&lt;&gt;"",K3178=Q3178),"⚠ Origen igual a destino",IF(AND(K3178&lt;&gt;"",ISNA(MATCH(K3178,ctaNombre,0))),"⚠ Destino no registrado",IF(AND(P3178="Pago tarjeta",AE3178&lt;&gt;"Tarjeta de crédito"),"⚠ El destino debe ser tarjeta de crédito",IF(AND(P3178="Gasto",E3178="Depósitos y retiros"),"⚠ Usa tipo Transferencia",IF(AND(P3178="Resultado trading",AD3178&lt;&gt;"Cuenta de trading"),"⚠ Usa una cuenta de trading",IF(AND(G3178&lt;=0,P3178&lt;&gt;"Ajuste",P3178&lt;&gt;"Resultado trading"),"⚠ El monto debe ser positivo","✓")))))))))))))))</f>
        <v/>
      </c>
      <c r="P3178" s="52">
        <f>IF(OR(B3178="",G3178=""),"",IF(C3178="","Gasto",C3178))</f>
        <v/>
      </c>
      <c r="Q3178" s="52">
        <f>IF(P3178="","",IF(J3178&lt;&gt;"",J3178,CuentaPred&amp;""))</f>
        <v/>
      </c>
      <c r="R3178" s="52">
        <f>IF(P3178="","",IF(ISNUMBER(I3178),I3178,TasaUSD))</f>
        <v/>
      </c>
      <c r="S3178" s="53">
        <f>IF(P3178="","",IF(H3178="USD",G3178*R3178,G3178))</f>
        <v/>
      </c>
      <c r="T3178" s="53">
        <f>IF(P3178="","",IF(H3178="USD",G3178,IF(R3178&gt;0,G3178/R3178,0)))</f>
        <v/>
      </c>
      <c r="U3178" s="53">
        <f>IF(P3178="","",IF(P3178="Gasto",S3178,IF(P3178="Reembolso",-S3178,0)))</f>
        <v/>
      </c>
      <c r="V3178" s="53">
        <f>IF(P3178="","",IF(P3178="Ingreso",S3178,0))</f>
        <v/>
      </c>
      <c r="W3178" s="53">
        <f>IF(P3178="","",IF(P3178="Resultado trading",S3178,0))</f>
        <v/>
      </c>
      <c r="X3178" s="52">
        <f>IF(OR(P3178="Gasto",P3178="Reembolso"),IF(M3178&lt;&gt;"",M3178,IFERROR(INDEX(catClasif,MATCH(D3178&amp;"|"&amp;E3178,catClave,0))&amp;"","Variable")),"")</f>
        <v/>
      </c>
      <c r="Y3178" s="52">
        <f>IF(P3178="","",IFERROR(INDEX(catGrupo,MATCH(D3178&amp;"|"&amp;E3178,catClave,0))&amp;"",""))</f>
        <v/>
      </c>
      <c r="Z3178" s="52">
        <f>IF(P3178="","",WEEKDAY(B3178,2))</f>
        <v/>
      </c>
      <c r="AA3178" s="52">
        <f>IF(P3178="","",IF(AND(P3178="Gasto",X3178="Variable",D3178&lt;&gt;catTrading,S3178&gt;0,S3178&lt;=Umbral),1,0))</f>
        <v/>
      </c>
      <c r="AB3178" s="52">
        <f>IF(OR(P3178="",Q3178=""),"",IFERROR(IF(INDEX(ctaVinc,MATCH(Q3178,ctaNombre,0))&amp;""&lt;&gt;"",INDEX(ctaVinc,MATCH(Q3178,ctaNombre,0))&amp;"",Q3178),Q3178))</f>
        <v/>
      </c>
      <c r="AC3178" s="52">
        <f>IF(OR(K3178="",AND(P3178&lt;&gt;"Transferencia",P3178&lt;&gt;"Pago tarjeta")),"",IFERROR(IF(INDEX(ctaVinc,MATCH(K3178,ctaNombre,0))&amp;""&lt;&gt;"",INDEX(ctaVinc,MATCH(K3178,ctaNombre,0))&amp;"",K3178),K3178))</f>
        <v/>
      </c>
      <c r="AD3178" s="52">
        <f>IF(AB3178="","",IFERROR(INDEX(ctaTipo,MATCH(AB3178,ctaNombre,0))&amp;"",""))</f>
        <v/>
      </c>
      <c r="AE3178" s="52">
        <f>IF(AC3178="","",IFERROR(INDEX(ctaTipo,MATCH(AC3178,ctaNombre,0))&amp;"",""))</f>
        <v/>
      </c>
      <c r="AF3178" s="53">
        <f>IF(OR(P3178="",AB3178=""),"",IF(OR(P3178="Gasto",P3178="Transferencia",P3178="Pago tarjeta"),-1,1)*IF(IFERROR(INDEX(ctaMoneda,MATCH(AB3178,ctaNombre,0))&amp;"","DOP")="USD",T3178,S3178))</f>
        <v/>
      </c>
      <c r="AG3178" s="53">
        <f>IF(AC3178="","",IF(IFERROR(INDEX(ctaMoneda,MATCH(AC3178,ctaNombre,0))&amp;"","DOP")="USD",T3178,S3178))</f>
        <v/>
      </c>
      <c r="AH3178" s="53">
        <f>IF(P3178="","",IF(AND(AD3178&lt;&gt;"",COUNTIFS(tcTipo,AD3178,tcLiq,"Sí")&gt;0),IF(OR(P3178="Gasto",P3178="Transferencia",P3178="Pago tarjeta"),-1,1)*S3178,0)+IF(AND(AE3178&lt;&gt;"",COUNTIFS(tcTipo,AE3178,tcLiq,"Sí")&gt;0),S3178,0))</f>
        <v/>
      </c>
      <c r="AI3178" s="52">
        <f>IF(OR(L3178="",P3178=""),"",IF(COUNTIFS(L$6:L3178,L3178,P$6:P3178,"?*")=1,MAX(AI$5:AI3177)+1,""))</f>
        <v/>
      </c>
    </row>
    <row r="3179">
      <c r="B3179" s="47" t="n"/>
      <c r="C3179" s="48" t="n"/>
      <c r="D3179" s="48" t="n"/>
      <c r="E3179" s="48" t="n"/>
      <c r="F3179" s="48" t="n"/>
      <c r="G3179" s="49" t="n"/>
      <c r="H3179" s="48" t="n"/>
      <c r="I3179" s="50" t="n"/>
      <c r="J3179" s="48" t="n"/>
      <c r="K3179" s="48" t="n"/>
      <c r="L3179" s="48" t="n"/>
      <c r="M3179" s="48" t="n"/>
      <c r="N3179" s="48" t="n"/>
      <c r="O3179" s="51">
        <f>IF(AND(B3179="",G3179="",C3179="",D3179="",J3179=""),"",IF(B3179="","⚠ Falta fecha",IF(G3179="","⚠ Falta monto",IF(Q3179="","⚠ Falta cuenta",IF(ISNA(MATCH(Q3179,ctaNombre,0)),"⚠ Cuenta no registrada",IF(AND(OR(P3179="Gasto",P3179="Reembolso"),D3179=""),"⚠ Falta categoría",IF(AND(D3179&lt;&gt;"",E3179&lt;&gt;"",ISNA(MATCH(D3179&amp;"|"&amp;E3179,catClave,0))),"⚠ Subcategoría no corresponde",IF(AND(OR(P3179="Transferencia",P3179="Pago tarjeta"),K3179=""),"⚠ Falta cuenta destino",IF(AND(K3179&lt;&gt;"",P3179&lt;&gt;"Transferencia",P3179&lt;&gt;"Pago tarjeta"),"⚠ Destino solo aplica a transferencias",IF(AND(K3179&lt;&gt;"",K3179=Q3179),"⚠ Origen igual a destino",IF(AND(K3179&lt;&gt;"",ISNA(MATCH(K3179,ctaNombre,0))),"⚠ Destino no registrado",IF(AND(P3179="Pago tarjeta",AE3179&lt;&gt;"Tarjeta de crédito"),"⚠ El destino debe ser tarjeta de crédito",IF(AND(P3179="Gasto",E3179="Depósitos y retiros"),"⚠ Usa tipo Transferencia",IF(AND(P3179="Resultado trading",AD3179&lt;&gt;"Cuenta de trading"),"⚠ Usa una cuenta de trading",IF(AND(G3179&lt;=0,P3179&lt;&gt;"Ajuste",P3179&lt;&gt;"Resultado trading"),"⚠ El monto debe ser positivo","✓")))))))))))))))</f>
        <v/>
      </c>
      <c r="P3179" s="52">
        <f>IF(OR(B3179="",G3179=""),"",IF(C3179="","Gasto",C3179))</f>
        <v/>
      </c>
      <c r="Q3179" s="52">
        <f>IF(P3179="","",IF(J3179&lt;&gt;"",J3179,CuentaPred&amp;""))</f>
        <v/>
      </c>
      <c r="R3179" s="52">
        <f>IF(P3179="","",IF(ISNUMBER(I3179),I3179,TasaUSD))</f>
        <v/>
      </c>
      <c r="S3179" s="53">
        <f>IF(P3179="","",IF(H3179="USD",G3179*R3179,G3179))</f>
        <v/>
      </c>
      <c r="T3179" s="53">
        <f>IF(P3179="","",IF(H3179="USD",G3179,IF(R3179&gt;0,G3179/R3179,0)))</f>
        <v/>
      </c>
      <c r="U3179" s="53">
        <f>IF(P3179="","",IF(P3179="Gasto",S3179,IF(P3179="Reembolso",-S3179,0)))</f>
        <v/>
      </c>
      <c r="V3179" s="53">
        <f>IF(P3179="","",IF(P3179="Ingreso",S3179,0))</f>
        <v/>
      </c>
      <c r="W3179" s="53">
        <f>IF(P3179="","",IF(P3179="Resultado trading",S3179,0))</f>
        <v/>
      </c>
      <c r="X3179" s="52">
        <f>IF(OR(P3179="Gasto",P3179="Reembolso"),IF(M3179&lt;&gt;"",M3179,IFERROR(INDEX(catClasif,MATCH(D3179&amp;"|"&amp;E3179,catClave,0))&amp;"","Variable")),"")</f>
        <v/>
      </c>
      <c r="Y3179" s="52">
        <f>IF(P3179="","",IFERROR(INDEX(catGrupo,MATCH(D3179&amp;"|"&amp;E3179,catClave,0))&amp;"",""))</f>
        <v/>
      </c>
      <c r="Z3179" s="52">
        <f>IF(P3179="","",WEEKDAY(B3179,2))</f>
        <v/>
      </c>
      <c r="AA3179" s="52">
        <f>IF(P3179="","",IF(AND(P3179="Gasto",X3179="Variable",D3179&lt;&gt;catTrading,S3179&gt;0,S3179&lt;=Umbral),1,0))</f>
        <v/>
      </c>
      <c r="AB3179" s="52">
        <f>IF(OR(P3179="",Q3179=""),"",IFERROR(IF(INDEX(ctaVinc,MATCH(Q3179,ctaNombre,0))&amp;""&lt;&gt;"",INDEX(ctaVinc,MATCH(Q3179,ctaNombre,0))&amp;"",Q3179),Q3179))</f>
        <v/>
      </c>
      <c r="AC3179" s="52">
        <f>IF(OR(K3179="",AND(P3179&lt;&gt;"Transferencia",P3179&lt;&gt;"Pago tarjeta")),"",IFERROR(IF(INDEX(ctaVinc,MATCH(K3179,ctaNombre,0))&amp;""&lt;&gt;"",INDEX(ctaVinc,MATCH(K3179,ctaNombre,0))&amp;"",K3179),K3179))</f>
        <v/>
      </c>
      <c r="AD3179" s="52">
        <f>IF(AB3179="","",IFERROR(INDEX(ctaTipo,MATCH(AB3179,ctaNombre,0))&amp;"",""))</f>
        <v/>
      </c>
      <c r="AE3179" s="52">
        <f>IF(AC3179="","",IFERROR(INDEX(ctaTipo,MATCH(AC3179,ctaNombre,0))&amp;"",""))</f>
        <v/>
      </c>
      <c r="AF3179" s="53">
        <f>IF(OR(P3179="",AB3179=""),"",IF(OR(P3179="Gasto",P3179="Transferencia",P3179="Pago tarjeta"),-1,1)*IF(IFERROR(INDEX(ctaMoneda,MATCH(AB3179,ctaNombre,0))&amp;"","DOP")="USD",T3179,S3179))</f>
        <v/>
      </c>
      <c r="AG3179" s="53">
        <f>IF(AC3179="","",IF(IFERROR(INDEX(ctaMoneda,MATCH(AC3179,ctaNombre,0))&amp;"","DOP")="USD",T3179,S3179))</f>
        <v/>
      </c>
      <c r="AH3179" s="53">
        <f>IF(P3179="","",IF(AND(AD3179&lt;&gt;"",COUNTIFS(tcTipo,AD3179,tcLiq,"Sí")&gt;0),IF(OR(P3179="Gasto",P3179="Transferencia",P3179="Pago tarjeta"),-1,1)*S3179,0)+IF(AND(AE3179&lt;&gt;"",COUNTIFS(tcTipo,AE3179,tcLiq,"Sí")&gt;0),S3179,0))</f>
        <v/>
      </c>
      <c r="AI3179" s="52">
        <f>IF(OR(L3179="",P3179=""),"",IF(COUNTIFS(L$6:L3179,L3179,P$6:P3179,"?*")=1,MAX(AI$5:AI3178)+1,""))</f>
        <v/>
      </c>
    </row>
    <row r="3180">
      <c r="B3180" s="47" t="n"/>
      <c r="C3180" s="48" t="n"/>
      <c r="D3180" s="48" t="n"/>
      <c r="E3180" s="48" t="n"/>
      <c r="F3180" s="48" t="n"/>
      <c r="G3180" s="49" t="n"/>
      <c r="H3180" s="48" t="n"/>
      <c r="I3180" s="50" t="n"/>
      <c r="J3180" s="48" t="n"/>
      <c r="K3180" s="48" t="n"/>
      <c r="L3180" s="48" t="n"/>
      <c r="M3180" s="48" t="n"/>
      <c r="N3180" s="48" t="n"/>
      <c r="O3180" s="51">
        <f>IF(AND(B3180="",G3180="",C3180="",D3180="",J3180=""),"",IF(B3180="","⚠ Falta fecha",IF(G3180="","⚠ Falta monto",IF(Q3180="","⚠ Falta cuenta",IF(ISNA(MATCH(Q3180,ctaNombre,0)),"⚠ Cuenta no registrada",IF(AND(OR(P3180="Gasto",P3180="Reembolso"),D3180=""),"⚠ Falta categoría",IF(AND(D3180&lt;&gt;"",E3180&lt;&gt;"",ISNA(MATCH(D3180&amp;"|"&amp;E3180,catClave,0))),"⚠ Subcategoría no corresponde",IF(AND(OR(P3180="Transferencia",P3180="Pago tarjeta"),K3180=""),"⚠ Falta cuenta destino",IF(AND(K3180&lt;&gt;"",P3180&lt;&gt;"Transferencia",P3180&lt;&gt;"Pago tarjeta"),"⚠ Destino solo aplica a transferencias",IF(AND(K3180&lt;&gt;"",K3180=Q3180),"⚠ Origen igual a destino",IF(AND(K3180&lt;&gt;"",ISNA(MATCH(K3180,ctaNombre,0))),"⚠ Destino no registrado",IF(AND(P3180="Pago tarjeta",AE3180&lt;&gt;"Tarjeta de crédito"),"⚠ El destino debe ser tarjeta de crédito",IF(AND(P3180="Gasto",E3180="Depósitos y retiros"),"⚠ Usa tipo Transferencia",IF(AND(P3180="Resultado trading",AD3180&lt;&gt;"Cuenta de trading"),"⚠ Usa una cuenta de trading",IF(AND(G3180&lt;=0,P3180&lt;&gt;"Ajuste",P3180&lt;&gt;"Resultado trading"),"⚠ El monto debe ser positivo","✓")))))))))))))))</f>
        <v/>
      </c>
      <c r="P3180" s="52">
        <f>IF(OR(B3180="",G3180=""),"",IF(C3180="","Gasto",C3180))</f>
        <v/>
      </c>
      <c r="Q3180" s="52">
        <f>IF(P3180="","",IF(J3180&lt;&gt;"",J3180,CuentaPred&amp;""))</f>
        <v/>
      </c>
      <c r="R3180" s="52">
        <f>IF(P3180="","",IF(ISNUMBER(I3180),I3180,TasaUSD))</f>
        <v/>
      </c>
      <c r="S3180" s="53">
        <f>IF(P3180="","",IF(H3180="USD",G3180*R3180,G3180))</f>
        <v/>
      </c>
      <c r="T3180" s="53">
        <f>IF(P3180="","",IF(H3180="USD",G3180,IF(R3180&gt;0,G3180/R3180,0)))</f>
        <v/>
      </c>
      <c r="U3180" s="53">
        <f>IF(P3180="","",IF(P3180="Gasto",S3180,IF(P3180="Reembolso",-S3180,0)))</f>
        <v/>
      </c>
      <c r="V3180" s="53">
        <f>IF(P3180="","",IF(P3180="Ingreso",S3180,0))</f>
        <v/>
      </c>
      <c r="W3180" s="53">
        <f>IF(P3180="","",IF(P3180="Resultado trading",S3180,0))</f>
        <v/>
      </c>
      <c r="X3180" s="52">
        <f>IF(OR(P3180="Gasto",P3180="Reembolso"),IF(M3180&lt;&gt;"",M3180,IFERROR(INDEX(catClasif,MATCH(D3180&amp;"|"&amp;E3180,catClave,0))&amp;"","Variable")),"")</f>
        <v/>
      </c>
      <c r="Y3180" s="52">
        <f>IF(P3180="","",IFERROR(INDEX(catGrupo,MATCH(D3180&amp;"|"&amp;E3180,catClave,0))&amp;"",""))</f>
        <v/>
      </c>
      <c r="Z3180" s="52">
        <f>IF(P3180="","",WEEKDAY(B3180,2))</f>
        <v/>
      </c>
      <c r="AA3180" s="52">
        <f>IF(P3180="","",IF(AND(P3180="Gasto",X3180="Variable",D3180&lt;&gt;catTrading,S3180&gt;0,S3180&lt;=Umbral),1,0))</f>
        <v/>
      </c>
      <c r="AB3180" s="52">
        <f>IF(OR(P3180="",Q3180=""),"",IFERROR(IF(INDEX(ctaVinc,MATCH(Q3180,ctaNombre,0))&amp;""&lt;&gt;"",INDEX(ctaVinc,MATCH(Q3180,ctaNombre,0))&amp;"",Q3180),Q3180))</f>
        <v/>
      </c>
      <c r="AC3180" s="52">
        <f>IF(OR(K3180="",AND(P3180&lt;&gt;"Transferencia",P3180&lt;&gt;"Pago tarjeta")),"",IFERROR(IF(INDEX(ctaVinc,MATCH(K3180,ctaNombre,0))&amp;""&lt;&gt;"",INDEX(ctaVinc,MATCH(K3180,ctaNombre,0))&amp;"",K3180),K3180))</f>
        <v/>
      </c>
      <c r="AD3180" s="52">
        <f>IF(AB3180="","",IFERROR(INDEX(ctaTipo,MATCH(AB3180,ctaNombre,0))&amp;"",""))</f>
        <v/>
      </c>
      <c r="AE3180" s="52">
        <f>IF(AC3180="","",IFERROR(INDEX(ctaTipo,MATCH(AC3180,ctaNombre,0))&amp;"",""))</f>
        <v/>
      </c>
      <c r="AF3180" s="53">
        <f>IF(OR(P3180="",AB3180=""),"",IF(OR(P3180="Gasto",P3180="Transferencia",P3180="Pago tarjeta"),-1,1)*IF(IFERROR(INDEX(ctaMoneda,MATCH(AB3180,ctaNombre,0))&amp;"","DOP")="USD",T3180,S3180))</f>
        <v/>
      </c>
      <c r="AG3180" s="53">
        <f>IF(AC3180="","",IF(IFERROR(INDEX(ctaMoneda,MATCH(AC3180,ctaNombre,0))&amp;"","DOP")="USD",T3180,S3180))</f>
        <v/>
      </c>
      <c r="AH3180" s="53">
        <f>IF(P3180="","",IF(AND(AD3180&lt;&gt;"",COUNTIFS(tcTipo,AD3180,tcLiq,"Sí")&gt;0),IF(OR(P3180="Gasto",P3180="Transferencia",P3180="Pago tarjeta"),-1,1)*S3180,0)+IF(AND(AE3180&lt;&gt;"",COUNTIFS(tcTipo,AE3180,tcLiq,"Sí")&gt;0),S3180,0))</f>
        <v/>
      </c>
      <c r="AI3180" s="52">
        <f>IF(OR(L3180="",P3180=""),"",IF(COUNTIFS(L$6:L3180,L3180,P$6:P3180,"?*")=1,MAX(AI$5:AI3179)+1,""))</f>
        <v/>
      </c>
    </row>
    <row r="3181">
      <c r="B3181" s="47" t="n"/>
      <c r="C3181" s="48" t="n"/>
      <c r="D3181" s="48" t="n"/>
      <c r="E3181" s="48" t="n"/>
      <c r="F3181" s="48" t="n"/>
      <c r="G3181" s="49" t="n"/>
      <c r="H3181" s="48" t="n"/>
      <c r="I3181" s="50" t="n"/>
      <c r="J3181" s="48" t="n"/>
      <c r="K3181" s="48" t="n"/>
      <c r="L3181" s="48" t="n"/>
      <c r="M3181" s="48" t="n"/>
      <c r="N3181" s="48" t="n"/>
      <c r="O3181" s="51">
        <f>IF(AND(B3181="",G3181="",C3181="",D3181="",J3181=""),"",IF(B3181="","⚠ Falta fecha",IF(G3181="","⚠ Falta monto",IF(Q3181="","⚠ Falta cuenta",IF(ISNA(MATCH(Q3181,ctaNombre,0)),"⚠ Cuenta no registrada",IF(AND(OR(P3181="Gasto",P3181="Reembolso"),D3181=""),"⚠ Falta categoría",IF(AND(D3181&lt;&gt;"",E3181&lt;&gt;"",ISNA(MATCH(D3181&amp;"|"&amp;E3181,catClave,0))),"⚠ Subcategoría no corresponde",IF(AND(OR(P3181="Transferencia",P3181="Pago tarjeta"),K3181=""),"⚠ Falta cuenta destino",IF(AND(K3181&lt;&gt;"",P3181&lt;&gt;"Transferencia",P3181&lt;&gt;"Pago tarjeta"),"⚠ Destino solo aplica a transferencias",IF(AND(K3181&lt;&gt;"",K3181=Q3181),"⚠ Origen igual a destino",IF(AND(K3181&lt;&gt;"",ISNA(MATCH(K3181,ctaNombre,0))),"⚠ Destino no registrado",IF(AND(P3181="Pago tarjeta",AE3181&lt;&gt;"Tarjeta de crédito"),"⚠ El destino debe ser tarjeta de crédito",IF(AND(P3181="Gasto",E3181="Depósitos y retiros"),"⚠ Usa tipo Transferencia",IF(AND(P3181="Resultado trading",AD3181&lt;&gt;"Cuenta de trading"),"⚠ Usa una cuenta de trading",IF(AND(G3181&lt;=0,P3181&lt;&gt;"Ajuste",P3181&lt;&gt;"Resultado trading"),"⚠ El monto debe ser positivo","✓")))))))))))))))</f>
        <v/>
      </c>
      <c r="P3181" s="52">
        <f>IF(OR(B3181="",G3181=""),"",IF(C3181="","Gasto",C3181))</f>
        <v/>
      </c>
      <c r="Q3181" s="52">
        <f>IF(P3181="","",IF(J3181&lt;&gt;"",J3181,CuentaPred&amp;""))</f>
        <v/>
      </c>
      <c r="R3181" s="52">
        <f>IF(P3181="","",IF(ISNUMBER(I3181),I3181,TasaUSD))</f>
        <v/>
      </c>
      <c r="S3181" s="53">
        <f>IF(P3181="","",IF(H3181="USD",G3181*R3181,G3181))</f>
        <v/>
      </c>
      <c r="T3181" s="53">
        <f>IF(P3181="","",IF(H3181="USD",G3181,IF(R3181&gt;0,G3181/R3181,0)))</f>
        <v/>
      </c>
      <c r="U3181" s="53">
        <f>IF(P3181="","",IF(P3181="Gasto",S3181,IF(P3181="Reembolso",-S3181,0)))</f>
        <v/>
      </c>
      <c r="V3181" s="53">
        <f>IF(P3181="","",IF(P3181="Ingreso",S3181,0))</f>
        <v/>
      </c>
      <c r="W3181" s="53">
        <f>IF(P3181="","",IF(P3181="Resultado trading",S3181,0))</f>
        <v/>
      </c>
      <c r="X3181" s="52">
        <f>IF(OR(P3181="Gasto",P3181="Reembolso"),IF(M3181&lt;&gt;"",M3181,IFERROR(INDEX(catClasif,MATCH(D3181&amp;"|"&amp;E3181,catClave,0))&amp;"","Variable")),"")</f>
        <v/>
      </c>
      <c r="Y3181" s="52">
        <f>IF(P3181="","",IFERROR(INDEX(catGrupo,MATCH(D3181&amp;"|"&amp;E3181,catClave,0))&amp;"",""))</f>
        <v/>
      </c>
      <c r="Z3181" s="52">
        <f>IF(P3181="","",WEEKDAY(B3181,2))</f>
        <v/>
      </c>
      <c r="AA3181" s="52">
        <f>IF(P3181="","",IF(AND(P3181="Gasto",X3181="Variable",D3181&lt;&gt;catTrading,S3181&gt;0,S3181&lt;=Umbral),1,0))</f>
        <v/>
      </c>
      <c r="AB3181" s="52">
        <f>IF(OR(P3181="",Q3181=""),"",IFERROR(IF(INDEX(ctaVinc,MATCH(Q3181,ctaNombre,0))&amp;""&lt;&gt;"",INDEX(ctaVinc,MATCH(Q3181,ctaNombre,0))&amp;"",Q3181),Q3181))</f>
        <v/>
      </c>
      <c r="AC3181" s="52">
        <f>IF(OR(K3181="",AND(P3181&lt;&gt;"Transferencia",P3181&lt;&gt;"Pago tarjeta")),"",IFERROR(IF(INDEX(ctaVinc,MATCH(K3181,ctaNombre,0))&amp;""&lt;&gt;"",INDEX(ctaVinc,MATCH(K3181,ctaNombre,0))&amp;"",K3181),K3181))</f>
        <v/>
      </c>
      <c r="AD3181" s="52">
        <f>IF(AB3181="","",IFERROR(INDEX(ctaTipo,MATCH(AB3181,ctaNombre,0))&amp;"",""))</f>
        <v/>
      </c>
      <c r="AE3181" s="52">
        <f>IF(AC3181="","",IFERROR(INDEX(ctaTipo,MATCH(AC3181,ctaNombre,0))&amp;"",""))</f>
        <v/>
      </c>
      <c r="AF3181" s="53">
        <f>IF(OR(P3181="",AB3181=""),"",IF(OR(P3181="Gasto",P3181="Transferencia",P3181="Pago tarjeta"),-1,1)*IF(IFERROR(INDEX(ctaMoneda,MATCH(AB3181,ctaNombre,0))&amp;"","DOP")="USD",T3181,S3181))</f>
        <v/>
      </c>
      <c r="AG3181" s="53">
        <f>IF(AC3181="","",IF(IFERROR(INDEX(ctaMoneda,MATCH(AC3181,ctaNombre,0))&amp;"","DOP")="USD",T3181,S3181))</f>
        <v/>
      </c>
      <c r="AH3181" s="53">
        <f>IF(P3181="","",IF(AND(AD3181&lt;&gt;"",COUNTIFS(tcTipo,AD3181,tcLiq,"Sí")&gt;0),IF(OR(P3181="Gasto",P3181="Transferencia",P3181="Pago tarjeta"),-1,1)*S3181,0)+IF(AND(AE3181&lt;&gt;"",COUNTIFS(tcTipo,AE3181,tcLiq,"Sí")&gt;0),S3181,0))</f>
        <v/>
      </c>
      <c r="AI3181" s="52">
        <f>IF(OR(L3181="",P3181=""),"",IF(COUNTIFS(L$6:L3181,L3181,P$6:P3181,"?*")=1,MAX(AI$5:AI3180)+1,""))</f>
        <v/>
      </c>
    </row>
    <row r="3182">
      <c r="B3182" s="47" t="n"/>
      <c r="C3182" s="48" t="n"/>
      <c r="D3182" s="48" t="n"/>
      <c r="E3182" s="48" t="n"/>
      <c r="F3182" s="48" t="n"/>
      <c r="G3182" s="49" t="n"/>
      <c r="H3182" s="48" t="n"/>
      <c r="I3182" s="50" t="n"/>
      <c r="J3182" s="48" t="n"/>
      <c r="K3182" s="48" t="n"/>
      <c r="L3182" s="48" t="n"/>
      <c r="M3182" s="48" t="n"/>
      <c r="N3182" s="48" t="n"/>
      <c r="O3182" s="51">
        <f>IF(AND(B3182="",G3182="",C3182="",D3182="",J3182=""),"",IF(B3182="","⚠ Falta fecha",IF(G3182="","⚠ Falta monto",IF(Q3182="","⚠ Falta cuenta",IF(ISNA(MATCH(Q3182,ctaNombre,0)),"⚠ Cuenta no registrada",IF(AND(OR(P3182="Gasto",P3182="Reembolso"),D3182=""),"⚠ Falta categoría",IF(AND(D3182&lt;&gt;"",E3182&lt;&gt;"",ISNA(MATCH(D3182&amp;"|"&amp;E3182,catClave,0))),"⚠ Subcategoría no corresponde",IF(AND(OR(P3182="Transferencia",P3182="Pago tarjeta"),K3182=""),"⚠ Falta cuenta destino",IF(AND(K3182&lt;&gt;"",P3182&lt;&gt;"Transferencia",P3182&lt;&gt;"Pago tarjeta"),"⚠ Destino solo aplica a transferencias",IF(AND(K3182&lt;&gt;"",K3182=Q3182),"⚠ Origen igual a destino",IF(AND(K3182&lt;&gt;"",ISNA(MATCH(K3182,ctaNombre,0))),"⚠ Destino no registrado",IF(AND(P3182="Pago tarjeta",AE3182&lt;&gt;"Tarjeta de crédito"),"⚠ El destino debe ser tarjeta de crédito",IF(AND(P3182="Gasto",E3182="Depósitos y retiros"),"⚠ Usa tipo Transferencia",IF(AND(P3182="Resultado trading",AD3182&lt;&gt;"Cuenta de trading"),"⚠ Usa una cuenta de trading",IF(AND(G3182&lt;=0,P3182&lt;&gt;"Ajuste",P3182&lt;&gt;"Resultado trading"),"⚠ El monto debe ser positivo","✓")))))))))))))))</f>
        <v/>
      </c>
      <c r="P3182" s="52">
        <f>IF(OR(B3182="",G3182=""),"",IF(C3182="","Gasto",C3182))</f>
        <v/>
      </c>
      <c r="Q3182" s="52">
        <f>IF(P3182="","",IF(J3182&lt;&gt;"",J3182,CuentaPred&amp;""))</f>
        <v/>
      </c>
      <c r="R3182" s="52">
        <f>IF(P3182="","",IF(ISNUMBER(I3182),I3182,TasaUSD))</f>
        <v/>
      </c>
      <c r="S3182" s="53">
        <f>IF(P3182="","",IF(H3182="USD",G3182*R3182,G3182))</f>
        <v/>
      </c>
      <c r="T3182" s="53">
        <f>IF(P3182="","",IF(H3182="USD",G3182,IF(R3182&gt;0,G3182/R3182,0)))</f>
        <v/>
      </c>
      <c r="U3182" s="53">
        <f>IF(P3182="","",IF(P3182="Gasto",S3182,IF(P3182="Reembolso",-S3182,0)))</f>
        <v/>
      </c>
      <c r="V3182" s="53">
        <f>IF(P3182="","",IF(P3182="Ingreso",S3182,0))</f>
        <v/>
      </c>
      <c r="W3182" s="53">
        <f>IF(P3182="","",IF(P3182="Resultado trading",S3182,0))</f>
        <v/>
      </c>
      <c r="X3182" s="52">
        <f>IF(OR(P3182="Gasto",P3182="Reembolso"),IF(M3182&lt;&gt;"",M3182,IFERROR(INDEX(catClasif,MATCH(D3182&amp;"|"&amp;E3182,catClave,0))&amp;"","Variable")),"")</f>
        <v/>
      </c>
      <c r="Y3182" s="52">
        <f>IF(P3182="","",IFERROR(INDEX(catGrupo,MATCH(D3182&amp;"|"&amp;E3182,catClave,0))&amp;"",""))</f>
        <v/>
      </c>
      <c r="Z3182" s="52">
        <f>IF(P3182="","",WEEKDAY(B3182,2))</f>
        <v/>
      </c>
      <c r="AA3182" s="52">
        <f>IF(P3182="","",IF(AND(P3182="Gasto",X3182="Variable",D3182&lt;&gt;catTrading,S3182&gt;0,S3182&lt;=Umbral),1,0))</f>
        <v/>
      </c>
      <c r="AB3182" s="52">
        <f>IF(OR(P3182="",Q3182=""),"",IFERROR(IF(INDEX(ctaVinc,MATCH(Q3182,ctaNombre,0))&amp;""&lt;&gt;"",INDEX(ctaVinc,MATCH(Q3182,ctaNombre,0))&amp;"",Q3182),Q3182))</f>
        <v/>
      </c>
      <c r="AC3182" s="52">
        <f>IF(OR(K3182="",AND(P3182&lt;&gt;"Transferencia",P3182&lt;&gt;"Pago tarjeta")),"",IFERROR(IF(INDEX(ctaVinc,MATCH(K3182,ctaNombre,0))&amp;""&lt;&gt;"",INDEX(ctaVinc,MATCH(K3182,ctaNombre,0))&amp;"",K3182),K3182))</f>
        <v/>
      </c>
      <c r="AD3182" s="52">
        <f>IF(AB3182="","",IFERROR(INDEX(ctaTipo,MATCH(AB3182,ctaNombre,0))&amp;"",""))</f>
        <v/>
      </c>
      <c r="AE3182" s="52">
        <f>IF(AC3182="","",IFERROR(INDEX(ctaTipo,MATCH(AC3182,ctaNombre,0))&amp;"",""))</f>
        <v/>
      </c>
      <c r="AF3182" s="53">
        <f>IF(OR(P3182="",AB3182=""),"",IF(OR(P3182="Gasto",P3182="Transferencia",P3182="Pago tarjeta"),-1,1)*IF(IFERROR(INDEX(ctaMoneda,MATCH(AB3182,ctaNombre,0))&amp;"","DOP")="USD",T3182,S3182))</f>
        <v/>
      </c>
      <c r="AG3182" s="53">
        <f>IF(AC3182="","",IF(IFERROR(INDEX(ctaMoneda,MATCH(AC3182,ctaNombre,0))&amp;"","DOP")="USD",T3182,S3182))</f>
        <v/>
      </c>
      <c r="AH3182" s="53">
        <f>IF(P3182="","",IF(AND(AD3182&lt;&gt;"",COUNTIFS(tcTipo,AD3182,tcLiq,"Sí")&gt;0),IF(OR(P3182="Gasto",P3182="Transferencia",P3182="Pago tarjeta"),-1,1)*S3182,0)+IF(AND(AE3182&lt;&gt;"",COUNTIFS(tcTipo,AE3182,tcLiq,"Sí")&gt;0),S3182,0))</f>
        <v/>
      </c>
      <c r="AI3182" s="52">
        <f>IF(OR(L3182="",P3182=""),"",IF(COUNTIFS(L$6:L3182,L3182,P$6:P3182,"?*")=1,MAX(AI$5:AI3181)+1,""))</f>
        <v/>
      </c>
    </row>
    <row r="3183">
      <c r="B3183" s="47" t="n"/>
      <c r="C3183" s="48" t="n"/>
      <c r="D3183" s="48" t="n"/>
      <c r="E3183" s="48" t="n"/>
      <c r="F3183" s="48" t="n"/>
      <c r="G3183" s="49" t="n"/>
      <c r="H3183" s="48" t="n"/>
      <c r="I3183" s="50" t="n"/>
      <c r="J3183" s="48" t="n"/>
      <c r="K3183" s="48" t="n"/>
      <c r="L3183" s="48" t="n"/>
      <c r="M3183" s="48" t="n"/>
      <c r="N3183" s="48" t="n"/>
      <c r="O3183" s="51">
        <f>IF(AND(B3183="",G3183="",C3183="",D3183="",J3183=""),"",IF(B3183="","⚠ Falta fecha",IF(G3183="","⚠ Falta monto",IF(Q3183="","⚠ Falta cuenta",IF(ISNA(MATCH(Q3183,ctaNombre,0)),"⚠ Cuenta no registrada",IF(AND(OR(P3183="Gasto",P3183="Reembolso"),D3183=""),"⚠ Falta categoría",IF(AND(D3183&lt;&gt;"",E3183&lt;&gt;"",ISNA(MATCH(D3183&amp;"|"&amp;E3183,catClave,0))),"⚠ Subcategoría no corresponde",IF(AND(OR(P3183="Transferencia",P3183="Pago tarjeta"),K3183=""),"⚠ Falta cuenta destino",IF(AND(K3183&lt;&gt;"",P3183&lt;&gt;"Transferencia",P3183&lt;&gt;"Pago tarjeta"),"⚠ Destino solo aplica a transferencias",IF(AND(K3183&lt;&gt;"",K3183=Q3183),"⚠ Origen igual a destino",IF(AND(K3183&lt;&gt;"",ISNA(MATCH(K3183,ctaNombre,0))),"⚠ Destino no registrado",IF(AND(P3183="Pago tarjeta",AE3183&lt;&gt;"Tarjeta de crédito"),"⚠ El destino debe ser tarjeta de crédito",IF(AND(P3183="Gasto",E3183="Depósitos y retiros"),"⚠ Usa tipo Transferencia",IF(AND(P3183="Resultado trading",AD3183&lt;&gt;"Cuenta de trading"),"⚠ Usa una cuenta de trading",IF(AND(G3183&lt;=0,P3183&lt;&gt;"Ajuste",P3183&lt;&gt;"Resultado trading"),"⚠ El monto debe ser positivo","✓")))))))))))))))</f>
        <v/>
      </c>
      <c r="P3183" s="52">
        <f>IF(OR(B3183="",G3183=""),"",IF(C3183="","Gasto",C3183))</f>
        <v/>
      </c>
      <c r="Q3183" s="52">
        <f>IF(P3183="","",IF(J3183&lt;&gt;"",J3183,CuentaPred&amp;""))</f>
        <v/>
      </c>
      <c r="R3183" s="52">
        <f>IF(P3183="","",IF(ISNUMBER(I3183),I3183,TasaUSD))</f>
        <v/>
      </c>
      <c r="S3183" s="53">
        <f>IF(P3183="","",IF(H3183="USD",G3183*R3183,G3183))</f>
        <v/>
      </c>
      <c r="T3183" s="53">
        <f>IF(P3183="","",IF(H3183="USD",G3183,IF(R3183&gt;0,G3183/R3183,0)))</f>
        <v/>
      </c>
      <c r="U3183" s="53">
        <f>IF(P3183="","",IF(P3183="Gasto",S3183,IF(P3183="Reembolso",-S3183,0)))</f>
        <v/>
      </c>
      <c r="V3183" s="53">
        <f>IF(P3183="","",IF(P3183="Ingreso",S3183,0))</f>
        <v/>
      </c>
      <c r="W3183" s="53">
        <f>IF(P3183="","",IF(P3183="Resultado trading",S3183,0))</f>
        <v/>
      </c>
      <c r="X3183" s="52">
        <f>IF(OR(P3183="Gasto",P3183="Reembolso"),IF(M3183&lt;&gt;"",M3183,IFERROR(INDEX(catClasif,MATCH(D3183&amp;"|"&amp;E3183,catClave,0))&amp;"","Variable")),"")</f>
        <v/>
      </c>
      <c r="Y3183" s="52">
        <f>IF(P3183="","",IFERROR(INDEX(catGrupo,MATCH(D3183&amp;"|"&amp;E3183,catClave,0))&amp;"",""))</f>
        <v/>
      </c>
      <c r="Z3183" s="52">
        <f>IF(P3183="","",WEEKDAY(B3183,2))</f>
        <v/>
      </c>
      <c r="AA3183" s="52">
        <f>IF(P3183="","",IF(AND(P3183="Gasto",X3183="Variable",D3183&lt;&gt;catTrading,S3183&gt;0,S3183&lt;=Umbral),1,0))</f>
        <v/>
      </c>
      <c r="AB3183" s="52">
        <f>IF(OR(P3183="",Q3183=""),"",IFERROR(IF(INDEX(ctaVinc,MATCH(Q3183,ctaNombre,0))&amp;""&lt;&gt;"",INDEX(ctaVinc,MATCH(Q3183,ctaNombre,0))&amp;"",Q3183),Q3183))</f>
        <v/>
      </c>
      <c r="AC3183" s="52">
        <f>IF(OR(K3183="",AND(P3183&lt;&gt;"Transferencia",P3183&lt;&gt;"Pago tarjeta")),"",IFERROR(IF(INDEX(ctaVinc,MATCH(K3183,ctaNombre,0))&amp;""&lt;&gt;"",INDEX(ctaVinc,MATCH(K3183,ctaNombre,0))&amp;"",K3183),K3183))</f>
        <v/>
      </c>
      <c r="AD3183" s="52">
        <f>IF(AB3183="","",IFERROR(INDEX(ctaTipo,MATCH(AB3183,ctaNombre,0))&amp;"",""))</f>
        <v/>
      </c>
      <c r="AE3183" s="52">
        <f>IF(AC3183="","",IFERROR(INDEX(ctaTipo,MATCH(AC3183,ctaNombre,0))&amp;"",""))</f>
        <v/>
      </c>
      <c r="AF3183" s="53">
        <f>IF(OR(P3183="",AB3183=""),"",IF(OR(P3183="Gasto",P3183="Transferencia",P3183="Pago tarjeta"),-1,1)*IF(IFERROR(INDEX(ctaMoneda,MATCH(AB3183,ctaNombre,0))&amp;"","DOP")="USD",T3183,S3183))</f>
        <v/>
      </c>
      <c r="AG3183" s="53">
        <f>IF(AC3183="","",IF(IFERROR(INDEX(ctaMoneda,MATCH(AC3183,ctaNombre,0))&amp;"","DOP")="USD",T3183,S3183))</f>
        <v/>
      </c>
      <c r="AH3183" s="53">
        <f>IF(P3183="","",IF(AND(AD3183&lt;&gt;"",COUNTIFS(tcTipo,AD3183,tcLiq,"Sí")&gt;0),IF(OR(P3183="Gasto",P3183="Transferencia",P3183="Pago tarjeta"),-1,1)*S3183,0)+IF(AND(AE3183&lt;&gt;"",COUNTIFS(tcTipo,AE3183,tcLiq,"Sí")&gt;0),S3183,0))</f>
        <v/>
      </c>
      <c r="AI3183" s="52">
        <f>IF(OR(L3183="",P3183=""),"",IF(COUNTIFS(L$6:L3183,L3183,P$6:P3183,"?*")=1,MAX(AI$5:AI3182)+1,""))</f>
        <v/>
      </c>
    </row>
    <row r="3184">
      <c r="B3184" s="47" t="n"/>
      <c r="C3184" s="48" t="n"/>
      <c r="D3184" s="48" t="n"/>
      <c r="E3184" s="48" t="n"/>
      <c r="F3184" s="48" t="n"/>
      <c r="G3184" s="49" t="n"/>
      <c r="H3184" s="48" t="n"/>
      <c r="I3184" s="50" t="n"/>
      <c r="J3184" s="48" t="n"/>
      <c r="K3184" s="48" t="n"/>
      <c r="L3184" s="48" t="n"/>
      <c r="M3184" s="48" t="n"/>
      <c r="N3184" s="48" t="n"/>
      <c r="O3184" s="51">
        <f>IF(AND(B3184="",G3184="",C3184="",D3184="",J3184=""),"",IF(B3184="","⚠ Falta fecha",IF(G3184="","⚠ Falta monto",IF(Q3184="","⚠ Falta cuenta",IF(ISNA(MATCH(Q3184,ctaNombre,0)),"⚠ Cuenta no registrada",IF(AND(OR(P3184="Gasto",P3184="Reembolso"),D3184=""),"⚠ Falta categoría",IF(AND(D3184&lt;&gt;"",E3184&lt;&gt;"",ISNA(MATCH(D3184&amp;"|"&amp;E3184,catClave,0))),"⚠ Subcategoría no corresponde",IF(AND(OR(P3184="Transferencia",P3184="Pago tarjeta"),K3184=""),"⚠ Falta cuenta destino",IF(AND(K3184&lt;&gt;"",P3184&lt;&gt;"Transferencia",P3184&lt;&gt;"Pago tarjeta"),"⚠ Destino solo aplica a transferencias",IF(AND(K3184&lt;&gt;"",K3184=Q3184),"⚠ Origen igual a destino",IF(AND(K3184&lt;&gt;"",ISNA(MATCH(K3184,ctaNombre,0))),"⚠ Destino no registrado",IF(AND(P3184="Pago tarjeta",AE3184&lt;&gt;"Tarjeta de crédito"),"⚠ El destino debe ser tarjeta de crédito",IF(AND(P3184="Gasto",E3184="Depósitos y retiros"),"⚠ Usa tipo Transferencia",IF(AND(P3184="Resultado trading",AD3184&lt;&gt;"Cuenta de trading"),"⚠ Usa una cuenta de trading",IF(AND(G3184&lt;=0,P3184&lt;&gt;"Ajuste",P3184&lt;&gt;"Resultado trading"),"⚠ El monto debe ser positivo","✓")))))))))))))))</f>
        <v/>
      </c>
      <c r="P3184" s="52">
        <f>IF(OR(B3184="",G3184=""),"",IF(C3184="","Gasto",C3184))</f>
        <v/>
      </c>
      <c r="Q3184" s="52">
        <f>IF(P3184="","",IF(J3184&lt;&gt;"",J3184,CuentaPred&amp;""))</f>
        <v/>
      </c>
      <c r="R3184" s="52">
        <f>IF(P3184="","",IF(ISNUMBER(I3184),I3184,TasaUSD))</f>
        <v/>
      </c>
      <c r="S3184" s="53">
        <f>IF(P3184="","",IF(H3184="USD",G3184*R3184,G3184))</f>
        <v/>
      </c>
      <c r="T3184" s="53">
        <f>IF(P3184="","",IF(H3184="USD",G3184,IF(R3184&gt;0,G3184/R3184,0)))</f>
        <v/>
      </c>
      <c r="U3184" s="53">
        <f>IF(P3184="","",IF(P3184="Gasto",S3184,IF(P3184="Reembolso",-S3184,0)))</f>
        <v/>
      </c>
      <c r="V3184" s="53">
        <f>IF(P3184="","",IF(P3184="Ingreso",S3184,0))</f>
        <v/>
      </c>
      <c r="W3184" s="53">
        <f>IF(P3184="","",IF(P3184="Resultado trading",S3184,0))</f>
        <v/>
      </c>
      <c r="X3184" s="52">
        <f>IF(OR(P3184="Gasto",P3184="Reembolso"),IF(M3184&lt;&gt;"",M3184,IFERROR(INDEX(catClasif,MATCH(D3184&amp;"|"&amp;E3184,catClave,0))&amp;"","Variable")),"")</f>
        <v/>
      </c>
      <c r="Y3184" s="52">
        <f>IF(P3184="","",IFERROR(INDEX(catGrupo,MATCH(D3184&amp;"|"&amp;E3184,catClave,0))&amp;"",""))</f>
        <v/>
      </c>
      <c r="Z3184" s="52">
        <f>IF(P3184="","",WEEKDAY(B3184,2))</f>
        <v/>
      </c>
      <c r="AA3184" s="52">
        <f>IF(P3184="","",IF(AND(P3184="Gasto",X3184="Variable",D3184&lt;&gt;catTrading,S3184&gt;0,S3184&lt;=Umbral),1,0))</f>
        <v/>
      </c>
      <c r="AB3184" s="52">
        <f>IF(OR(P3184="",Q3184=""),"",IFERROR(IF(INDEX(ctaVinc,MATCH(Q3184,ctaNombre,0))&amp;""&lt;&gt;"",INDEX(ctaVinc,MATCH(Q3184,ctaNombre,0))&amp;"",Q3184),Q3184))</f>
        <v/>
      </c>
      <c r="AC3184" s="52">
        <f>IF(OR(K3184="",AND(P3184&lt;&gt;"Transferencia",P3184&lt;&gt;"Pago tarjeta")),"",IFERROR(IF(INDEX(ctaVinc,MATCH(K3184,ctaNombre,0))&amp;""&lt;&gt;"",INDEX(ctaVinc,MATCH(K3184,ctaNombre,0))&amp;"",K3184),K3184))</f>
        <v/>
      </c>
      <c r="AD3184" s="52">
        <f>IF(AB3184="","",IFERROR(INDEX(ctaTipo,MATCH(AB3184,ctaNombre,0))&amp;"",""))</f>
        <v/>
      </c>
      <c r="AE3184" s="52">
        <f>IF(AC3184="","",IFERROR(INDEX(ctaTipo,MATCH(AC3184,ctaNombre,0))&amp;"",""))</f>
        <v/>
      </c>
      <c r="AF3184" s="53">
        <f>IF(OR(P3184="",AB3184=""),"",IF(OR(P3184="Gasto",P3184="Transferencia",P3184="Pago tarjeta"),-1,1)*IF(IFERROR(INDEX(ctaMoneda,MATCH(AB3184,ctaNombre,0))&amp;"","DOP")="USD",T3184,S3184))</f>
        <v/>
      </c>
      <c r="AG3184" s="53">
        <f>IF(AC3184="","",IF(IFERROR(INDEX(ctaMoneda,MATCH(AC3184,ctaNombre,0))&amp;"","DOP")="USD",T3184,S3184))</f>
        <v/>
      </c>
      <c r="AH3184" s="53">
        <f>IF(P3184="","",IF(AND(AD3184&lt;&gt;"",COUNTIFS(tcTipo,AD3184,tcLiq,"Sí")&gt;0),IF(OR(P3184="Gasto",P3184="Transferencia",P3184="Pago tarjeta"),-1,1)*S3184,0)+IF(AND(AE3184&lt;&gt;"",COUNTIFS(tcTipo,AE3184,tcLiq,"Sí")&gt;0),S3184,0))</f>
        <v/>
      </c>
      <c r="AI3184" s="52">
        <f>IF(OR(L3184="",P3184=""),"",IF(COUNTIFS(L$6:L3184,L3184,P$6:P3184,"?*")=1,MAX(AI$5:AI3183)+1,""))</f>
        <v/>
      </c>
    </row>
    <row r="3185">
      <c r="B3185" s="47" t="n"/>
      <c r="C3185" s="48" t="n"/>
      <c r="D3185" s="48" t="n"/>
      <c r="E3185" s="48" t="n"/>
      <c r="F3185" s="48" t="n"/>
      <c r="G3185" s="49" t="n"/>
      <c r="H3185" s="48" t="n"/>
      <c r="I3185" s="50" t="n"/>
      <c r="J3185" s="48" t="n"/>
      <c r="K3185" s="48" t="n"/>
      <c r="L3185" s="48" t="n"/>
      <c r="M3185" s="48" t="n"/>
      <c r="N3185" s="48" t="n"/>
      <c r="O3185" s="51">
        <f>IF(AND(B3185="",G3185="",C3185="",D3185="",J3185=""),"",IF(B3185="","⚠ Falta fecha",IF(G3185="","⚠ Falta monto",IF(Q3185="","⚠ Falta cuenta",IF(ISNA(MATCH(Q3185,ctaNombre,0)),"⚠ Cuenta no registrada",IF(AND(OR(P3185="Gasto",P3185="Reembolso"),D3185=""),"⚠ Falta categoría",IF(AND(D3185&lt;&gt;"",E3185&lt;&gt;"",ISNA(MATCH(D3185&amp;"|"&amp;E3185,catClave,0))),"⚠ Subcategoría no corresponde",IF(AND(OR(P3185="Transferencia",P3185="Pago tarjeta"),K3185=""),"⚠ Falta cuenta destino",IF(AND(K3185&lt;&gt;"",P3185&lt;&gt;"Transferencia",P3185&lt;&gt;"Pago tarjeta"),"⚠ Destino solo aplica a transferencias",IF(AND(K3185&lt;&gt;"",K3185=Q3185),"⚠ Origen igual a destino",IF(AND(K3185&lt;&gt;"",ISNA(MATCH(K3185,ctaNombre,0))),"⚠ Destino no registrado",IF(AND(P3185="Pago tarjeta",AE3185&lt;&gt;"Tarjeta de crédito"),"⚠ El destino debe ser tarjeta de crédito",IF(AND(P3185="Gasto",E3185="Depósitos y retiros"),"⚠ Usa tipo Transferencia",IF(AND(P3185="Resultado trading",AD3185&lt;&gt;"Cuenta de trading"),"⚠ Usa una cuenta de trading",IF(AND(G3185&lt;=0,P3185&lt;&gt;"Ajuste",P3185&lt;&gt;"Resultado trading"),"⚠ El monto debe ser positivo","✓")))))))))))))))</f>
        <v/>
      </c>
      <c r="P3185" s="52">
        <f>IF(OR(B3185="",G3185=""),"",IF(C3185="","Gasto",C3185))</f>
        <v/>
      </c>
      <c r="Q3185" s="52">
        <f>IF(P3185="","",IF(J3185&lt;&gt;"",J3185,CuentaPred&amp;""))</f>
        <v/>
      </c>
      <c r="R3185" s="52">
        <f>IF(P3185="","",IF(ISNUMBER(I3185),I3185,TasaUSD))</f>
        <v/>
      </c>
      <c r="S3185" s="53">
        <f>IF(P3185="","",IF(H3185="USD",G3185*R3185,G3185))</f>
        <v/>
      </c>
      <c r="T3185" s="53">
        <f>IF(P3185="","",IF(H3185="USD",G3185,IF(R3185&gt;0,G3185/R3185,0)))</f>
        <v/>
      </c>
      <c r="U3185" s="53">
        <f>IF(P3185="","",IF(P3185="Gasto",S3185,IF(P3185="Reembolso",-S3185,0)))</f>
        <v/>
      </c>
      <c r="V3185" s="53">
        <f>IF(P3185="","",IF(P3185="Ingreso",S3185,0))</f>
        <v/>
      </c>
      <c r="W3185" s="53">
        <f>IF(P3185="","",IF(P3185="Resultado trading",S3185,0))</f>
        <v/>
      </c>
      <c r="X3185" s="52">
        <f>IF(OR(P3185="Gasto",P3185="Reembolso"),IF(M3185&lt;&gt;"",M3185,IFERROR(INDEX(catClasif,MATCH(D3185&amp;"|"&amp;E3185,catClave,0))&amp;"","Variable")),"")</f>
        <v/>
      </c>
      <c r="Y3185" s="52">
        <f>IF(P3185="","",IFERROR(INDEX(catGrupo,MATCH(D3185&amp;"|"&amp;E3185,catClave,0))&amp;"",""))</f>
        <v/>
      </c>
      <c r="Z3185" s="52">
        <f>IF(P3185="","",WEEKDAY(B3185,2))</f>
        <v/>
      </c>
      <c r="AA3185" s="52">
        <f>IF(P3185="","",IF(AND(P3185="Gasto",X3185="Variable",D3185&lt;&gt;catTrading,S3185&gt;0,S3185&lt;=Umbral),1,0))</f>
        <v/>
      </c>
      <c r="AB3185" s="52">
        <f>IF(OR(P3185="",Q3185=""),"",IFERROR(IF(INDEX(ctaVinc,MATCH(Q3185,ctaNombre,0))&amp;""&lt;&gt;"",INDEX(ctaVinc,MATCH(Q3185,ctaNombre,0))&amp;"",Q3185),Q3185))</f>
        <v/>
      </c>
      <c r="AC3185" s="52">
        <f>IF(OR(K3185="",AND(P3185&lt;&gt;"Transferencia",P3185&lt;&gt;"Pago tarjeta")),"",IFERROR(IF(INDEX(ctaVinc,MATCH(K3185,ctaNombre,0))&amp;""&lt;&gt;"",INDEX(ctaVinc,MATCH(K3185,ctaNombre,0))&amp;"",K3185),K3185))</f>
        <v/>
      </c>
      <c r="AD3185" s="52">
        <f>IF(AB3185="","",IFERROR(INDEX(ctaTipo,MATCH(AB3185,ctaNombre,0))&amp;"",""))</f>
        <v/>
      </c>
      <c r="AE3185" s="52">
        <f>IF(AC3185="","",IFERROR(INDEX(ctaTipo,MATCH(AC3185,ctaNombre,0))&amp;"",""))</f>
        <v/>
      </c>
      <c r="AF3185" s="53">
        <f>IF(OR(P3185="",AB3185=""),"",IF(OR(P3185="Gasto",P3185="Transferencia",P3185="Pago tarjeta"),-1,1)*IF(IFERROR(INDEX(ctaMoneda,MATCH(AB3185,ctaNombre,0))&amp;"","DOP")="USD",T3185,S3185))</f>
        <v/>
      </c>
      <c r="AG3185" s="53">
        <f>IF(AC3185="","",IF(IFERROR(INDEX(ctaMoneda,MATCH(AC3185,ctaNombre,0))&amp;"","DOP")="USD",T3185,S3185))</f>
        <v/>
      </c>
      <c r="AH3185" s="53">
        <f>IF(P3185="","",IF(AND(AD3185&lt;&gt;"",COUNTIFS(tcTipo,AD3185,tcLiq,"Sí")&gt;0),IF(OR(P3185="Gasto",P3185="Transferencia",P3185="Pago tarjeta"),-1,1)*S3185,0)+IF(AND(AE3185&lt;&gt;"",COUNTIFS(tcTipo,AE3185,tcLiq,"Sí")&gt;0),S3185,0))</f>
        <v/>
      </c>
      <c r="AI3185" s="52">
        <f>IF(OR(L3185="",P3185=""),"",IF(COUNTIFS(L$6:L3185,L3185,P$6:P3185,"?*")=1,MAX(AI$5:AI3184)+1,""))</f>
        <v/>
      </c>
    </row>
    <row r="3186">
      <c r="B3186" s="47" t="n"/>
      <c r="C3186" s="48" t="n"/>
      <c r="D3186" s="48" t="n"/>
      <c r="E3186" s="48" t="n"/>
      <c r="F3186" s="48" t="n"/>
      <c r="G3186" s="49" t="n"/>
      <c r="H3186" s="48" t="n"/>
      <c r="I3186" s="50" t="n"/>
      <c r="J3186" s="48" t="n"/>
      <c r="K3186" s="48" t="n"/>
      <c r="L3186" s="48" t="n"/>
      <c r="M3186" s="48" t="n"/>
      <c r="N3186" s="48" t="n"/>
      <c r="O3186" s="51">
        <f>IF(AND(B3186="",G3186="",C3186="",D3186="",J3186=""),"",IF(B3186="","⚠ Falta fecha",IF(G3186="","⚠ Falta monto",IF(Q3186="","⚠ Falta cuenta",IF(ISNA(MATCH(Q3186,ctaNombre,0)),"⚠ Cuenta no registrada",IF(AND(OR(P3186="Gasto",P3186="Reembolso"),D3186=""),"⚠ Falta categoría",IF(AND(D3186&lt;&gt;"",E3186&lt;&gt;"",ISNA(MATCH(D3186&amp;"|"&amp;E3186,catClave,0))),"⚠ Subcategoría no corresponde",IF(AND(OR(P3186="Transferencia",P3186="Pago tarjeta"),K3186=""),"⚠ Falta cuenta destino",IF(AND(K3186&lt;&gt;"",P3186&lt;&gt;"Transferencia",P3186&lt;&gt;"Pago tarjeta"),"⚠ Destino solo aplica a transferencias",IF(AND(K3186&lt;&gt;"",K3186=Q3186),"⚠ Origen igual a destino",IF(AND(K3186&lt;&gt;"",ISNA(MATCH(K3186,ctaNombre,0))),"⚠ Destino no registrado",IF(AND(P3186="Pago tarjeta",AE3186&lt;&gt;"Tarjeta de crédito"),"⚠ El destino debe ser tarjeta de crédito",IF(AND(P3186="Gasto",E3186="Depósitos y retiros"),"⚠ Usa tipo Transferencia",IF(AND(P3186="Resultado trading",AD3186&lt;&gt;"Cuenta de trading"),"⚠ Usa una cuenta de trading",IF(AND(G3186&lt;=0,P3186&lt;&gt;"Ajuste",P3186&lt;&gt;"Resultado trading"),"⚠ El monto debe ser positivo","✓")))))))))))))))</f>
        <v/>
      </c>
      <c r="P3186" s="52">
        <f>IF(OR(B3186="",G3186=""),"",IF(C3186="","Gasto",C3186))</f>
        <v/>
      </c>
      <c r="Q3186" s="52">
        <f>IF(P3186="","",IF(J3186&lt;&gt;"",J3186,CuentaPred&amp;""))</f>
        <v/>
      </c>
      <c r="R3186" s="52">
        <f>IF(P3186="","",IF(ISNUMBER(I3186),I3186,TasaUSD))</f>
        <v/>
      </c>
      <c r="S3186" s="53">
        <f>IF(P3186="","",IF(H3186="USD",G3186*R3186,G3186))</f>
        <v/>
      </c>
      <c r="T3186" s="53">
        <f>IF(P3186="","",IF(H3186="USD",G3186,IF(R3186&gt;0,G3186/R3186,0)))</f>
        <v/>
      </c>
      <c r="U3186" s="53">
        <f>IF(P3186="","",IF(P3186="Gasto",S3186,IF(P3186="Reembolso",-S3186,0)))</f>
        <v/>
      </c>
      <c r="V3186" s="53">
        <f>IF(P3186="","",IF(P3186="Ingreso",S3186,0))</f>
        <v/>
      </c>
      <c r="W3186" s="53">
        <f>IF(P3186="","",IF(P3186="Resultado trading",S3186,0))</f>
        <v/>
      </c>
      <c r="X3186" s="52">
        <f>IF(OR(P3186="Gasto",P3186="Reembolso"),IF(M3186&lt;&gt;"",M3186,IFERROR(INDEX(catClasif,MATCH(D3186&amp;"|"&amp;E3186,catClave,0))&amp;"","Variable")),"")</f>
        <v/>
      </c>
      <c r="Y3186" s="52">
        <f>IF(P3186="","",IFERROR(INDEX(catGrupo,MATCH(D3186&amp;"|"&amp;E3186,catClave,0))&amp;"",""))</f>
        <v/>
      </c>
      <c r="Z3186" s="52">
        <f>IF(P3186="","",WEEKDAY(B3186,2))</f>
        <v/>
      </c>
      <c r="AA3186" s="52">
        <f>IF(P3186="","",IF(AND(P3186="Gasto",X3186="Variable",D3186&lt;&gt;catTrading,S3186&gt;0,S3186&lt;=Umbral),1,0))</f>
        <v/>
      </c>
      <c r="AB3186" s="52">
        <f>IF(OR(P3186="",Q3186=""),"",IFERROR(IF(INDEX(ctaVinc,MATCH(Q3186,ctaNombre,0))&amp;""&lt;&gt;"",INDEX(ctaVinc,MATCH(Q3186,ctaNombre,0))&amp;"",Q3186),Q3186))</f>
        <v/>
      </c>
      <c r="AC3186" s="52">
        <f>IF(OR(K3186="",AND(P3186&lt;&gt;"Transferencia",P3186&lt;&gt;"Pago tarjeta")),"",IFERROR(IF(INDEX(ctaVinc,MATCH(K3186,ctaNombre,0))&amp;""&lt;&gt;"",INDEX(ctaVinc,MATCH(K3186,ctaNombre,0))&amp;"",K3186),K3186))</f>
        <v/>
      </c>
      <c r="AD3186" s="52">
        <f>IF(AB3186="","",IFERROR(INDEX(ctaTipo,MATCH(AB3186,ctaNombre,0))&amp;"",""))</f>
        <v/>
      </c>
      <c r="AE3186" s="52">
        <f>IF(AC3186="","",IFERROR(INDEX(ctaTipo,MATCH(AC3186,ctaNombre,0))&amp;"",""))</f>
        <v/>
      </c>
      <c r="AF3186" s="53">
        <f>IF(OR(P3186="",AB3186=""),"",IF(OR(P3186="Gasto",P3186="Transferencia",P3186="Pago tarjeta"),-1,1)*IF(IFERROR(INDEX(ctaMoneda,MATCH(AB3186,ctaNombre,0))&amp;"","DOP")="USD",T3186,S3186))</f>
        <v/>
      </c>
      <c r="AG3186" s="53">
        <f>IF(AC3186="","",IF(IFERROR(INDEX(ctaMoneda,MATCH(AC3186,ctaNombre,0))&amp;"","DOP")="USD",T3186,S3186))</f>
        <v/>
      </c>
      <c r="AH3186" s="53">
        <f>IF(P3186="","",IF(AND(AD3186&lt;&gt;"",COUNTIFS(tcTipo,AD3186,tcLiq,"Sí")&gt;0),IF(OR(P3186="Gasto",P3186="Transferencia",P3186="Pago tarjeta"),-1,1)*S3186,0)+IF(AND(AE3186&lt;&gt;"",COUNTIFS(tcTipo,AE3186,tcLiq,"Sí")&gt;0),S3186,0))</f>
        <v/>
      </c>
      <c r="AI3186" s="52">
        <f>IF(OR(L3186="",P3186=""),"",IF(COUNTIFS(L$6:L3186,L3186,P$6:P3186,"?*")=1,MAX(AI$5:AI3185)+1,""))</f>
        <v/>
      </c>
    </row>
    <row r="3187">
      <c r="B3187" s="47" t="n"/>
      <c r="C3187" s="48" t="n"/>
      <c r="D3187" s="48" t="n"/>
      <c r="E3187" s="48" t="n"/>
      <c r="F3187" s="48" t="n"/>
      <c r="G3187" s="49" t="n"/>
      <c r="H3187" s="48" t="n"/>
      <c r="I3187" s="50" t="n"/>
      <c r="J3187" s="48" t="n"/>
      <c r="K3187" s="48" t="n"/>
      <c r="L3187" s="48" t="n"/>
      <c r="M3187" s="48" t="n"/>
      <c r="N3187" s="48" t="n"/>
      <c r="O3187" s="51">
        <f>IF(AND(B3187="",G3187="",C3187="",D3187="",J3187=""),"",IF(B3187="","⚠ Falta fecha",IF(G3187="","⚠ Falta monto",IF(Q3187="","⚠ Falta cuenta",IF(ISNA(MATCH(Q3187,ctaNombre,0)),"⚠ Cuenta no registrada",IF(AND(OR(P3187="Gasto",P3187="Reembolso"),D3187=""),"⚠ Falta categoría",IF(AND(D3187&lt;&gt;"",E3187&lt;&gt;"",ISNA(MATCH(D3187&amp;"|"&amp;E3187,catClave,0))),"⚠ Subcategoría no corresponde",IF(AND(OR(P3187="Transferencia",P3187="Pago tarjeta"),K3187=""),"⚠ Falta cuenta destino",IF(AND(K3187&lt;&gt;"",P3187&lt;&gt;"Transferencia",P3187&lt;&gt;"Pago tarjeta"),"⚠ Destino solo aplica a transferencias",IF(AND(K3187&lt;&gt;"",K3187=Q3187),"⚠ Origen igual a destino",IF(AND(K3187&lt;&gt;"",ISNA(MATCH(K3187,ctaNombre,0))),"⚠ Destino no registrado",IF(AND(P3187="Pago tarjeta",AE3187&lt;&gt;"Tarjeta de crédito"),"⚠ El destino debe ser tarjeta de crédito",IF(AND(P3187="Gasto",E3187="Depósitos y retiros"),"⚠ Usa tipo Transferencia",IF(AND(P3187="Resultado trading",AD3187&lt;&gt;"Cuenta de trading"),"⚠ Usa una cuenta de trading",IF(AND(G3187&lt;=0,P3187&lt;&gt;"Ajuste",P3187&lt;&gt;"Resultado trading"),"⚠ El monto debe ser positivo","✓")))))))))))))))</f>
        <v/>
      </c>
      <c r="P3187" s="52">
        <f>IF(OR(B3187="",G3187=""),"",IF(C3187="","Gasto",C3187))</f>
        <v/>
      </c>
      <c r="Q3187" s="52">
        <f>IF(P3187="","",IF(J3187&lt;&gt;"",J3187,CuentaPred&amp;""))</f>
        <v/>
      </c>
      <c r="R3187" s="52">
        <f>IF(P3187="","",IF(ISNUMBER(I3187),I3187,TasaUSD))</f>
        <v/>
      </c>
      <c r="S3187" s="53">
        <f>IF(P3187="","",IF(H3187="USD",G3187*R3187,G3187))</f>
        <v/>
      </c>
      <c r="T3187" s="53">
        <f>IF(P3187="","",IF(H3187="USD",G3187,IF(R3187&gt;0,G3187/R3187,0)))</f>
        <v/>
      </c>
      <c r="U3187" s="53">
        <f>IF(P3187="","",IF(P3187="Gasto",S3187,IF(P3187="Reembolso",-S3187,0)))</f>
        <v/>
      </c>
      <c r="V3187" s="53">
        <f>IF(P3187="","",IF(P3187="Ingreso",S3187,0))</f>
        <v/>
      </c>
      <c r="W3187" s="53">
        <f>IF(P3187="","",IF(P3187="Resultado trading",S3187,0))</f>
        <v/>
      </c>
      <c r="X3187" s="52">
        <f>IF(OR(P3187="Gasto",P3187="Reembolso"),IF(M3187&lt;&gt;"",M3187,IFERROR(INDEX(catClasif,MATCH(D3187&amp;"|"&amp;E3187,catClave,0))&amp;"","Variable")),"")</f>
        <v/>
      </c>
      <c r="Y3187" s="52">
        <f>IF(P3187="","",IFERROR(INDEX(catGrupo,MATCH(D3187&amp;"|"&amp;E3187,catClave,0))&amp;"",""))</f>
        <v/>
      </c>
      <c r="Z3187" s="52">
        <f>IF(P3187="","",WEEKDAY(B3187,2))</f>
        <v/>
      </c>
      <c r="AA3187" s="52">
        <f>IF(P3187="","",IF(AND(P3187="Gasto",X3187="Variable",D3187&lt;&gt;catTrading,S3187&gt;0,S3187&lt;=Umbral),1,0))</f>
        <v/>
      </c>
      <c r="AB3187" s="52">
        <f>IF(OR(P3187="",Q3187=""),"",IFERROR(IF(INDEX(ctaVinc,MATCH(Q3187,ctaNombre,0))&amp;""&lt;&gt;"",INDEX(ctaVinc,MATCH(Q3187,ctaNombre,0))&amp;"",Q3187),Q3187))</f>
        <v/>
      </c>
      <c r="AC3187" s="52">
        <f>IF(OR(K3187="",AND(P3187&lt;&gt;"Transferencia",P3187&lt;&gt;"Pago tarjeta")),"",IFERROR(IF(INDEX(ctaVinc,MATCH(K3187,ctaNombre,0))&amp;""&lt;&gt;"",INDEX(ctaVinc,MATCH(K3187,ctaNombre,0))&amp;"",K3187),K3187))</f>
        <v/>
      </c>
      <c r="AD3187" s="52">
        <f>IF(AB3187="","",IFERROR(INDEX(ctaTipo,MATCH(AB3187,ctaNombre,0))&amp;"",""))</f>
        <v/>
      </c>
      <c r="AE3187" s="52">
        <f>IF(AC3187="","",IFERROR(INDEX(ctaTipo,MATCH(AC3187,ctaNombre,0))&amp;"",""))</f>
        <v/>
      </c>
      <c r="AF3187" s="53">
        <f>IF(OR(P3187="",AB3187=""),"",IF(OR(P3187="Gasto",P3187="Transferencia",P3187="Pago tarjeta"),-1,1)*IF(IFERROR(INDEX(ctaMoneda,MATCH(AB3187,ctaNombre,0))&amp;"","DOP")="USD",T3187,S3187))</f>
        <v/>
      </c>
      <c r="AG3187" s="53">
        <f>IF(AC3187="","",IF(IFERROR(INDEX(ctaMoneda,MATCH(AC3187,ctaNombre,0))&amp;"","DOP")="USD",T3187,S3187))</f>
        <v/>
      </c>
      <c r="AH3187" s="53">
        <f>IF(P3187="","",IF(AND(AD3187&lt;&gt;"",COUNTIFS(tcTipo,AD3187,tcLiq,"Sí")&gt;0),IF(OR(P3187="Gasto",P3187="Transferencia",P3187="Pago tarjeta"),-1,1)*S3187,0)+IF(AND(AE3187&lt;&gt;"",COUNTIFS(tcTipo,AE3187,tcLiq,"Sí")&gt;0),S3187,0))</f>
        <v/>
      </c>
      <c r="AI3187" s="52">
        <f>IF(OR(L3187="",P3187=""),"",IF(COUNTIFS(L$6:L3187,L3187,P$6:P3187,"?*")=1,MAX(AI$5:AI3186)+1,""))</f>
        <v/>
      </c>
    </row>
    <row r="3188">
      <c r="B3188" s="47" t="n"/>
      <c r="C3188" s="48" t="n"/>
      <c r="D3188" s="48" t="n"/>
      <c r="E3188" s="48" t="n"/>
      <c r="F3188" s="48" t="n"/>
      <c r="G3188" s="49" t="n"/>
      <c r="H3188" s="48" t="n"/>
      <c r="I3188" s="50" t="n"/>
      <c r="J3188" s="48" t="n"/>
      <c r="K3188" s="48" t="n"/>
      <c r="L3188" s="48" t="n"/>
      <c r="M3188" s="48" t="n"/>
      <c r="N3188" s="48" t="n"/>
      <c r="O3188" s="51">
        <f>IF(AND(B3188="",G3188="",C3188="",D3188="",J3188=""),"",IF(B3188="","⚠ Falta fecha",IF(G3188="","⚠ Falta monto",IF(Q3188="","⚠ Falta cuenta",IF(ISNA(MATCH(Q3188,ctaNombre,0)),"⚠ Cuenta no registrada",IF(AND(OR(P3188="Gasto",P3188="Reembolso"),D3188=""),"⚠ Falta categoría",IF(AND(D3188&lt;&gt;"",E3188&lt;&gt;"",ISNA(MATCH(D3188&amp;"|"&amp;E3188,catClave,0))),"⚠ Subcategoría no corresponde",IF(AND(OR(P3188="Transferencia",P3188="Pago tarjeta"),K3188=""),"⚠ Falta cuenta destino",IF(AND(K3188&lt;&gt;"",P3188&lt;&gt;"Transferencia",P3188&lt;&gt;"Pago tarjeta"),"⚠ Destino solo aplica a transferencias",IF(AND(K3188&lt;&gt;"",K3188=Q3188),"⚠ Origen igual a destino",IF(AND(K3188&lt;&gt;"",ISNA(MATCH(K3188,ctaNombre,0))),"⚠ Destino no registrado",IF(AND(P3188="Pago tarjeta",AE3188&lt;&gt;"Tarjeta de crédito"),"⚠ El destino debe ser tarjeta de crédito",IF(AND(P3188="Gasto",E3188="Depósitos y retiros"),"⚠ Usa tipo Transferencia",IF(AND(P3188="Resultado trading",AD3188&lt;&gt;"Cuenta de trading"),"⚠ Usa una cuenta de trading",IF(AND(G3188&lt;=0,P3188&lt;&gt;"Ajuste",P3188&lt;&gt;"Resultado trading"),"⚠ El monto debe ser positivo","✓")))))))))))))))</f>
        <v/>
      </c>
      <c r="P3188" s="52">
        <f>IF(OR(B3188="",G3188=""),"",IF(C3188="","Gasto",C3188))</f>
        <v/>
      </c>
      <c r="Q3188" s="52">
        <f>IF(P3188="","",IF(J3188&lt;&gt;"",J3188,CuentaPred&amp;""))</f>
        <v/>
      </c>
      <c r="R3188" s="52">
        <f>IF(P3188="","",IF(ISNUMBER(I3188),I3188,TasaUSD))</f>
        <v/>
      </c>
      <c r="S3188" s="53">
        <f>IF(P3188="","",IF(H3188="USD",G3188*R3188,G3188))</f>
        <v/>
      </c>
      <c r="T3188" s="53">
        <f>IF(P3188="","",IF(H3188="USD",G3188,IF(R3188&gt;0,G3188/R3188,0)))</f>
        <v/>
      </c>
      <c r="U3188" s="53">
        <f>IF(P3188="","",IF(P3188="Gasto",S3188,IF(P3188="Reembolso",-S3188,0)))</f>
        <v/>
      </c>
      <c r="V3188" s="53">
        <f>IF(P3188="","",IF(P3188="Ingreso",S3188,0))</f>
        <v/>
      </c>
      <c r="W3188" s="53">
        <f>IF(P3188="","",IF(P3188="Resultado trading",S3188,0))</f>
        <v/>
      </c>
      <c r="X3188" s="52">
        <f>IF(OR(P3188="Gasto",P3188="Reembolso"),IF(M3188&lt;&gt;"",M3188,IFERROR(INDEX(catClasif,MATCH(D3188&amp;"|"&amp;E3188,catClave,0))&amp;"","Variable")),"")</f>
        <v/>
      </c>
      <c r="Y3188" s="52">
        <f>IF(P3188="","",IFERROR(INDEX(catGrupo,MATCH(D3188&amp;"|"&amp;E3188,catClave,0))&amp;"",""))</f>
        <v/>
      </c>
      <c r="Z3188" s="52">
        <f>IF(P3188="","",WEEKDAY(B3188,2))</f>
        <v/>
      </c>
      <c r="AA3188" s="52">
        <f>IF(P3188="","",IF(AND(P3188="Gasto",X3188="Variable",D3188&lt;&gt;catTrading,S3188&gt;0,S3188&lt;=Umbral),1,0))</f>
        <v/>
      </c>
      <c r="AB3188" s="52">
        <f>IF(OR(P3188="",Q3188=""),"",IFERROR(IF(INDEX(ctaVinc,MATCH(Q3188,ctaNombre,0))&amp;""&lt;&gt;"",INDEX(ctaVinc,MATCH(Q3188,ctaNombre,0))&amp;"",Q3188),Q3188))</f>
        <v/>
      </c>
      <c r="AC3188" s="52">
        <f>IF(OR(K3188="",AND(P3188&lt;&gt;"Transferencia",P3188&lt;&gt;"Pago tarjeta")),"",IFERROR(IF(INDEX(ctaVinc,MATCH(K3188,ctaNombre,0))&amp;""&lt;&gt;"",INDEX(ctaVinc,MATCH(K3188,ctaNombre,0))&amp;"",K3188),K3188))</f>
        <v/>
      </c>
      <c r="AD3188" s="52">
        <f>IF(AB3188="","",IFERROR(INDEX(ctaTipo,MATCH(AB3188,ctaNombre,0))&amp;"",""))</f>
        <v/>
      </c>
      <c r="AE3188" s="52">
        <f>IF(AC3188="","",IFERROR(INDEX(ctaTipo,MATCH(AC3188,ctaNombre,0))&amp;"",""))</f>
        <v/>
      </c>
      <c r="AF3188" s="53">
        <f>IF(OR(P3188="",AB3188=""),"",IF(OR(P3188="Gasto",P3188="Transferencia",P3188="Pago tarjeta"),-1,1)*IF(IFERROR(INDEX(ctaMoneda,MATCH(AB3188,ctaNombre,0))&amp;"","DOP")="USD",T3188,S3188))</f>
        <v/>
      </c>
      <c r="AG3188" s="53">
        <f>IF(AC3188="","",IF(IFERROR(INDEX(ctaMoneda,MATCH(AC3188,ctaNombre,0))&amp;"","DOP")="USD",T3188,S3188))</f>
        <v/>
      </c>
      <c r="AH3188" s="53">
        <f>IF(P3188="","",IF(AND(AD3188&lt;&gt;"",COUNTIFS(tcTipo,AD3188,tcLiq,"Sí")&gt;0),IF(OR(P3188="Gasto",P3188="Transferencia",P3188="Pago tarjeta"),-1,1)*S3188,0)+IF(AND(AE3188&lt;&gt;"",COUNTIFS(tcTipo,AE3188,tcLiq,"Sí")&gt;0),S3188,0))</f>
        <v/>
      </c>
      <c r="AI3188" s="52">
        <f>IF(OR(L3188="",P3188=""),"",IF(COUNTIFS(L$6:L3188,L3188,P$6:P3188,"?*")=1,MAX(AI$5:AI3187)+1,""))</f>
        <v/>
      </c>
    </row>
    <row r="3189">
      <c r="B3189" s="47" t="n"/>
      <c r="C3189" s="48" t="n"/>
      <c r="D3189" s="48" t="n"/>
      <c r="E3189" s="48" t="n"/>
      <c r="F3189" s="48" t="n"/>
      <c r="G3189" s="49" t="n"/>
      <c r="H3189" s="48" t="n"/>
      <c r="I3189" s="50" t="n"/>
      <c r="J3189" s="48" t="n"/>
      <c r="K3189" s="48" t="n"/>
      <c r="L3189" s="48" t="n"/>
      <c r="M3189" s="48" t="n"/>
      <c r="N3189" s="48" t="n"/>
      <c r="O3189" s="51">
        <f>IF(AND(B3189="",G3189="",C3189="",D3189="",J3189=""),"",IF(B3189="","⚠ Falta fecha",IF(G3189="","⚠ Falta monto",IF(Q3189="","⚠ Falta cuenta",IF(ISNA(MATCH(Q3189,ctaNombre,0)),"⚠ Cuenta no registrada",IF(AND(OR(P3189="Gasto",P3189="Reembolso"),D3189=""),"⚠ Falta categoría",IF(AND(D3189&lt;&gt;"",E3189&lt;&gt;"",ISNA(MATCH(D3189&amp;"|"&amp;E3189,catClave,0))),"⚠ Subcategoría no corresponde",IF(AND(OR(P3189="Transferencia",P3189="Pago tarjeta"),K3189=""),"⚠ Falta cuenta destino",IF(AND(K3189&lt;&gt;"",P3189&lt;&gt;"Transferencia",P3189&lt;&gt;"Pago tarjeta"),"⚠ Destino solo aplica a transferencias",IF(AND(K3189&lt;&gt;"",K3189=Q3189),"⚠ Origen igual a destino",IF(AND(K3189&lt;&gt;"",ISNA(MATCH(K3189,ctaNombre,0))),"⚠ Destino no registrado",IF(AND(P3189="Pago tarjeta",AE3189&lt;&gt;"Tarjeta de crédito"),"⚠ El destino debe ser tarjeta de crédito",IF(AND(P3189="Gasto",E3189="Depósitos y retiros"),"⚠ Usa tipo Transferencia",IF(AND(P3189="Resultado trading",AD3189&lt;&gt;"Cuenta de trading"),"⚠ Usa una cuenta de trading",IF(AND(G3189&lt;=0,P3189&lt;&gt;"Ajuste",P3189&lt;&gt;"Resultado trading"),"⚠ El monto debe ser positivo","✓")))))))))))))))</f>
        <v/>
      </c>
      <c r="P3189" s="52">
        <f>IF(OR(B3189="",G3189=""),"",IF(C3189="","Gasto",C3189))</f>
        <v/>
      </c>
      <c r="Q3189" s="52">
        <f>IF(P3189="","",IF(J3189&lt;&gt;"",J3189,CuentaPred&amp;""))</f>
        <v/>
      </c>
      <c r="R3189" s="52">
        <f>IF(P3189="","",IF(ISNUMBER(I3189),I3189,TasaUSD))</f>
        <v/>
      </c>
      <c r="S3189" s="53">
        <f>IF(P3189="","",IF(H3189="USD",G3189*R3189,G3189))</f>
        <v/>
      </c>
      <c r="T3189" s="53">
        <f>IF(P3189="","",IF(H3189="USD",G3189,IF(R3189&gt;0,G3189/R3189,0)))</f>
        <v/>
      </c>
      <c r="U3189" s="53">
        <f>IF(P3189="","",IF(P3189="Gasto",S3189,IF(P3189="Reembolso",-S3189,0)))</f>
        <v/>
      </c>
      <c r="V3189" s="53">
        <f>IF(P3189="","",IF(P3189="Ingreso",S3189,0))</f>
        <v/>
      </c>
      <c r="W3189" s="53">
        <f>IF(P3189="","",IF(P3189="Resultado trading",S3189,0))</f>
        <v/>
      </c>
      <c r="X3189" s="52">
        <f>IF(OR(P3189="Gasto",P3189="Reembolso"),IF(M3189&lt;&gt;"",M3189,IFERROR(INDEX(catClasif,MATCH(D3189&amp;"|"&amp;E3189,catClave,0))&amp;"","Variable")),"")</f>
        <v/>
      </c>
      <c r="Y3189" s="52">
        <f>IF(P3189="","",IFERROR(INDEX(catGrupo,MATCH(D3189&amp;"|"&amp;E3189,catClave,0))&amp;"",""))</f>
        <v/>
      </c>
      <c r="Z3189" s="52">
        <f>IF(P3189="","",WEEKDAY(B3189,2))</f>
        <v/>
      </c>
      <c r="AA3189" s="52">
        <f>IF(P3189="","",IF(AND(P3189="Gasto",X3189="Variable",D3189&lt;&gt;catTrading,S3189&gt;0,S3189&lt;=Umbral),1,0))</f>
        <v/>
      </c>
      <c r="AB3189" s="52">
        <f>IF(OR(P3189="",Q3189=""),"",IFERROR(IF(INDEX(ctaVinc,MATCH(Q3189,ctaNombre,0))&amp;""&lt;&gt;"",INDEX(ctaVinc,MATCH(Q3189,ctaNombre,0))&amp;"",Q3189),Q3189))</f>
        <v/>
      </c>
      <c r="AC3189" s="52">
        <f>IF(OR(K3189="",AND(P3189&lt;&gt;"Transferencia",P3189&lt;&gt;"Pago tarjeta")),"",IFERROR(IF(INDEX(ctaVinc,MATCH(K3189,ctaNombre,0))&amp;""&lt;&gt;"",INDEX(ctaVinc,MATCH(K3189,ctaNombre,0))&amp;"",K3189),K3189))</f>
        <v/>
      </c>
      <c r="AD3189" s="52">
        <f>IF(AB3189="","",IFERROR(INDEX(ctaTipo,MATCH(AB3189,ctaNombre,0))&amp;"",""))</f>
        <v/>
      </c>
      <c r="AE3189" s="52">
        <f>IF(AC3189="","",IFERROR(INDEX(ctaTipo,MATCH(AC3189,ctaNombre,0))&amp;"",""))</f>
        <v/>
      </c>
      <c r="AF3189" s="53">
        <f>IF(OR(P3189="",AB3189=""),"",IF(OR(P3189="Gasto",P3189="Transferencia",P3189="Pago tarjeta"),-1,1)*IF(IFERROR(INDEX(ctaMoneda,MATCH(AB3189,ctaNombre,0))&amp;"","DOP")="USD",T3189,S3189))</f>
        <v/>
      </c>
      <c r="AG3189" s="53">
        <f>IF(AC3189="","",IF(IFERROR(INDEX(ctaMoneda,MATCH(AC3189,ctaNombre,0))&amp;"","DOP")="USD",T3189,S3189))</f>
        <v/>
      </c>
      <c r="AH3189" s="53">
        <f>IF(P3189="","",IF(AND(AD3189&lt;&gt;"",COUNTIFS(tcTipo,AD3189,tcLiq,"Sí")&gt;0),IF(OR(P3189="Gasto",P3189="Transferencia",P3189="Pago tarjeta"),-1,1)*S3189,0)+IF(AND(AE3189&lt;&gt;"",COUNTIFS(tcTipo,AE3189,tcLiq,"Sí")&gt;0),S3189,0))</f>
        <v/>
      </c>
      <c r="AI3189" s="52">
        <f>IF(OR(L3189="",P3189=""),"",IF(COUNTIFS(L$6:L3189,L3189,P$6:P3189,"?*")=1,MAX(AI$5:AI3188)+1,""))</f>
        <v/>
      </c>
    </row>
    <row r="3190">
      <c r="B3190" s="47" t="n"/>
      <c r="C3190" s="48" t="n"/>
      <c r="D3190" s="48" t="n"/>
      <c r="E3190" s="48" t="n"/>
      <c r="F3190" s="48" t="n"/>
      <c r="G3190" s="49" t="n"/>
      <c r="H3190" s="48" t="n"/>
      <c r="I3190" s="50" t="n"/>
      <c r="J3190" s="48" t="n"/>
      <c r="K3190" s="48" t="n"/>
      <c r="L3190" s="48" t="n"/>
      <c r="M3190" s="48" t="n"/>
      <c r="N3190" s="48" t="n"/>
      <c r="O3190" s="51">
        <f>IF(AND(B3190="",G3190="",C3190="",D3190="",J3190=""),"",IF(B3190="","⚠ Falta fecha",IF(G3190="","⚠ Falta monto",IF(Q3190="","⚠ Falta cuenta",IF(ISNA(MATCH(Q3190,ctaNombre,0)),"⚠ Cuenta no registrada",IF(AND(OR(P3190="Gasto",P3190="Reembolso"),D3190=""),"⚠ Falta categoría",IF(AND(D3190&lt;&gt;"",E3190&lt;&gt;"",ISNA(MATCH(D3190&amp;"|"&amp;E3190,catClave,0))),"⚠ Subcategoría no corresponde",IF(AND(OR(P3190="Transferencia",P3190="Pago tarjeta"),K3190=""),"⚠ Falta cuenta destino",IF(AND(K3190&lt;&gt;"",P3190&lt;&gt;"Transferencia",P3190&lt;&gt;"Pago tarjeta"),"⚠ Destino solo aplica a transferencias",IF(AND(K3190&lt;&gt;"",K3190=Q3190),"⚠ Origen igual a destino",IF(AND(K3190&lt;&gt;"",ISNA(MATCH(K3190,ctaNombre,0))),"⚠ Destino no registrado",IF(AND(P3190="Pago tarjeta",AE3190&lt;&gt;"Tarjeta de crédito"),"⚠ El destino debe ser tarjeta de crédito",IF(AND(P3190="Gasto",E3190="Depósitos y retiros"),"⚠ Usa tipo Transferencia",IF(AND(P3190="Resultado trading",AD3190&lt;&gt;"Cuenta de trading"),"⚠ Usa una cuenta de trading",IF(AND(G3190&lt;=0,P3190&lt;&gt;"Ajuste",P3190&lt;&gt;"Resultado trading"),"⚠ El monto debe ser positivo","✓")))))))))))))))</f>
        <v/>
      </c>
      <c r="P3190" s="52">
        <f>IF(OR(B3190="",G3190=""),"",IF(C3190="","Gasto",C3190))</f>
        <v/>
      </c>
      <c r="Q3190" s="52">
        <f>IF(P3190="","",IF(J3190&lt;&gt;"",J3190,CuentaPred&amp;""))</f>
        <v/>
      </c>
      <c r="R3190" s="52">
        <f>IF(P3190="","",IF(ISNUMBER(I3190),I3190,TasaUSD))</f>
        <v/>
      </c>
      <c r="S3190" s="53">
        <f>IF(P3190="","",IF(H3190="USD",G3190*R3190,G3190))</f>
        <v/>
      </c>
      <c r="T3190" s="53">
        <f>IF(P3190="","",IF(H3190="USD",G3190,IF(R3190&gt;0,G3190/R3190,0)))</f>
        <v/>
      </c>
      <c r="U3190" s="53">
        <f>IF(P3190="","",IF(P3190="Gasto",S3190,IF(P3190="Reembolso",-S3190,0)))</f>
        <v/>
      </c>
      <c r="V3190" s="53">
        <f>IF(P3190="","",IF(P3190="Ingreso",S3190,0))</f>
        <v/>
      </c>
      <c r="W3190" s="53">
        <f>IF(P3190="","",IF(P3190="Resultado trading",S3190,0))</f>
        <v/>
      </c>
      <c r="X3190" s="52">
        <f>IF(OR(P3190="Gasto",P3190="Reembolso"),IF(M3190&lt;&gt;"",M3190,IFERROR(INDEX(catClasif,MATCH(D3190&amp;"|"&amp;E3190,catClave,0))&amp;"","Variable")),"")</f>
        <v/>
      </c>
      <c r="Y3190" s="52">
        <f>IF(P3190="","",IFERROR(INDEX(catGrupo,MATCH(D3190&amp;"|"&amp;E3190,catClave,0))&amp;"",""))</f>
        <v/>
      </c>
      <c r="Z3190" s="52">
        <f>IF(P3190="","",WEEKDAY(B3190,2))</f>
        <v/>
      </c>
      <c r="AA3190" s="52">
        <f>IF(P3190="","",IF(AND(P3190="Gasto",X3190="Variable",D3190&lt;&gt;catTrading,S3190&gt;0,S3190&lt;=Umbral),1,0))</f>
        <v/>
      </c>
      <c r="AB3190" s="52">
        <f>IF(OR(P3190="",Q3190=""),"",IFERROR(IF(INDEX(ctaVinc,MATCH(Q3190,ctaNombre,0))&amp;""&lt;&gt;"",INDEX(ctaVinc,MATCH(Q3190,ctaNombre,0))&amp;"",Q3190),Q3190))</f>
        <v/>
      </c>
      <c r="AC3190" s="52">
        <f>IF(OR(K3190="",AND(P3190&lt;&gt;"Transferencia",P3190&lt;&gt;"Pago tarjeta")),"",IFERROR(IF(INDEX(ctaVinc,MATCH(K3190,ctaNombre,0))&amp;""&lt;&gt;"",INDEX(ctaVinc,MATCH(K3190,ctaNombre,0))&amp;"",K3190),K3190))</f>
        <v/>
      </c>
      <c r="AD3190" s="52">
        <f>IF(AB3190="","",IFERROR(INDEX(ctaTipo,MATCH(AB3190,ctaNombre,0))&amp;"",""))</f>
        <v/>
      </c>
      <c r="AE3190" s="52">
        <f>IF(AC3190="","",IFERROR(INDEX(ctaTipo,MATCH(AC3190,ctaNombre,0))&amp;"",""))</f>
        <v/>
      </c>
      <c r="AF3190" s="53">
        <f>IF(OR(P3190="",AB3190=""),"",IF(OR(P3190="Gasto",P3190="Transferencia",P3190="Pago tarjeta"),-1,1)*IF(IFERROR(INDEX(ctaMoneda,MATCH(AB3190,ctaNombre,0))&amp;"","DOP")="USD",T3190,S3190))</f>
        <v/>
      </c>
      <c r="AG3190" s="53">
        <f>IF(AC3190="","",IF(IFERROR(INDEX(ctaMoneda,MATCH(AC3190,ctaNombre,0))&amp;"","DOP")="USD",T3190,S3190))</f>
        <v/>
      </c>
      <c r="AH3190" s="53">
        <f>IF(P3190="","",IF(AND(AD3190&lt;&gt;"",COUNTIFS(tcTipo,AD3190,tcLiq,"Sí")&gt;0),IF(OR(P3190="Gasto",P3190="Transferencia",P3190="Pago tarjeta"),-1,1)*S3190,0)+IF(AND(AE3190&lt;&gt;"",COUNTIFS(tcTipo,AE3190,tcLiq,"Sí")&gt;0),S3190,0))</f>
        <v/>
      </c>
      <c r="AI3190" s="52">
        <f>IF(OR(L3190="",P3190=""),"",IF(COUNTIFS(L$6:L3190,L3190,P$6:P3190,"?*")=1,MAX(AI$5:AI3189)+1,""))</f>
        <v/>
      </c>
    </row>
    <row r="3191">
      <c r="B3191" s="47" t="n"/>
      <c r="C3191" s="48" t="n"/>
      <c r="D3191" s="48" t="n"/>
      <c r="E3191" s="48" t="n"/>
      <c r="F3191" s="48" t="n"/>
      <c r="G3191" s="49" t="n"/>
      <c r="H3191" s="48" t="n"/>
      <c r="I3191" s="50" t="n"/>
      <c r="J3191" s="48" t="n"/>
      <c r="K3191" s="48" t="n"/>
      <c r="L3191" s="48" t="n"/>
      <c r="M3191" s="48" t="n"/>
      <c r="N3191" s="48" t="n"/>
      <c r="O3191" s="51">
        <f>IF(AND(B3191="",G3191="",C3191="",D3191="",J3191=""),"",IF(B3191="","⚠ Falta fecha",IF(G3191="","⚠ Falta monto",IF(Q3191="","⚠ Falta cuenta",IF(ISNA(MATCH(Q3191,ctaNombre,0)),"⚠ Cuenta no registrada",IF(AND(OR(P3191="Gasto",P3191="Reembolso"),D3191=""),"⚠ Falta categoría",IF(AND(D3191&lt;&gt;"",E3191&lt;&gt;"",ISNA(MATCH(D3191&amp;"|"&amp;E3191,catClave,0))),"⚠ Subcategoría no corresponde",IF(AND(OR(P3191="Transferencia",P3191="Pago tarjeta"),K3191=""),"⚠ Falta cuenta destino",IF(AND(K3191&lt;&gt;"",P3191&lt;&gt;"Transferencia",P3191&lt;&gt;"Pago tarjeta"),"⚠ Destino solo aplica a transferencias",IF(AND(K3191&lt;&gt;"",K3191=Q3191),"⚠ Origen igual a destino",IF(AND(K3191&lt;&gt;"",ISNA(MATCH(K3191,ctaNombre,0))),"⚠ Destino no registrado",IF(AND(P3191="Pago tarjeta",AE3191&lt;&gt;"Tarjeta de crédito"),"⚠ El destino debe ser tarjeta de crédito",IF(AND(P3191="Gasto",E3191="Depósitos y retiros"),"⚠ Usa tipo Transferencia",IF(AND(P3191="Resultado trading",AD3191&lt;&gt;"Cuenta de trading"),"⚠ Usa una cuenta de trading",IF(AND(G3191&lt;=0,P3191&lt;&gt;"Ajuste",P3191&lt;&gt;"Resultado trading"),"⚠ El monto debe ser positivo","✓")))))))))))))))</f>
        <v/>
      </c>
      <c r="P3191" s="52">
        <f>IF(OR(B3191="",G3191=""),"",IF(C3191="","Gasto",C3191))</f>
        <v/>
      </c>
      <c r="Q3191" s="52">
        <f>IF(P3191="","",IF(J3191&lt;&gt;"",J3191,CuentaPred&amp;""))</f>
        <v/>
      </c>
      <c r="R3191" s="52">
        <f>IF(P3191="","",IF(ISNUMBER(I3191),I3191,TasaUSD))</f>
        <v/>
      </c>
      <c r="S3191" s="53">
        <f>IF(P3191="","",IF(H3191="USD",G3191*R3191,G3191))</f>
        <v/>
      </c>
      <c r="T3191" s="53">
        <f>IF(P3191="","",IF(H3191="USD",G3191,IF(R3191&gt;0,G3191/R3191,0)))</f>
        <v/>
      </c>
      <c r="U3191" s="53">
        <f>IF(P3191="","",IF(P3191="Gasto",S3191,IF(P3191="Reembolso",-S3191,0)))</f>
        <v/>
      </c>
      <c r="V3191" s="53">
        <f>IF(P3191="","",IF(P3191="Ingreso",S3191,0))</f>
        <v/>
      </c>
      <c r="W3191" s="53">
        <f>IF(P3191="","",IF(P3191="Resultado trading",S3191,0))</f>
        <v/>
      </c>
      <c r="X3191" s="52">
        <f>IF(OR(P3191="Gasto",P3191="Reembolso"),IF(M3191&lt;&gt;"",M3191,IFERROR(INDEX(catClasif,MATCH(D3191&amp;"|"&amp;E3191,catClave,0))&amp;"","Variable")),"")</f>
        <v/>
      </c>
      <c r="Y3191" s="52">
        <f>IF(P3191="","",IFERROR(INDEX(catGrupo,MATCH(D3191&amp;"|"&amp;E3191,catClave,0))&amp;"",""))</f>
        <v/>
      </c>
      <c r="Z3191" s="52">
        <f>IF(P3191="","",WEEKDAY(B3191,2))</f>
        <v/>
      </c>
      <c r="AA3191" s="52">
        <f>IF(P3191="","",IF(AND(P3191="Gasto",X3191="Variable",D3191&lt;&gt;catTrading,S3191&gt;0,S3191&lt;=Umbral),1,0))</f>
        <v/>
      </c>
      <c r="AB3191" s="52">
        <f>IF(OR(P3191="",Q3191=""),"",IFERROR(IF(INDEX(ctaVinc,MATCH(Q3191,ctaNombre,0))&amp;""&lt;&gt;"",INDEX(ctaVinc,MATCH(Q3191,ctaNombre,0))&amp;"",Q3191),Q3191))</f>
        <v/>
      </c>
      <c r="AC3191" s="52">
        <f>IF(OR(K3191="",AND(P3191&lt;&gt;"Transferencia",P3191&lt;&gt;"Pago tarjeta")),"",IFERROR(IF(INDEX(ctaVinc,MATCH(K3191,ctaNombre,0))&amp;""&lt;&gt;"",INDEX(ctaVinc,MATCH(K3191,ctaNombre,0))&amp;"",K3191),K3191))</f>
        <v/>
      </c>
      <c r="AD3191" s="52">
        <f>IF(AB3191="","",IFERROR(INDEX(ctaTipo,MATCH(AB3191,ctaNombre,0))&amp;"",""))</f>
        <v/>
      </c>
      <c r="AE3191" s="52">
        <f>IF(AC3191="","",IFERROR(INDEX(ctaTipo,MATCH(AC3191,ctaNombre,0))&amp;"",""))</f>
        <v/>
      </c>
      <c r="AF3191" s="53">
        <f>IF(OR(P3191="",AB3191=""),"",IF(OR(P3191="Gasto",P3191="Transferencia",P3191="Pago tarjeta"),-1,1)*IF(IFERROR(INDEX(ctaMoneda,MATCH(AB3191,ctaNombre,0))&amp;"","DOP")="USD",T3191,S3191))</f>
        <v/>
      </c>
      <c r="AG3191" s="53">
        <f>IF(AC3191="","",IF(IFERROR(INDEX(ctaMoneda,MATCH(AC3191,ctaNombre,0))&amp;"","DOP")="USD",T3191,S3191))</f>
        <v/>
      </c>
      <c r="AH3191" s="53">
        <f>IF(P3191="","",IF(AND(AD3191&lt;&gt;"",COUNTIFS(tcTipo,AD3191,tcLiq,"Sí")&gt;0),IF(OR(P3191="Gasto",P3191="Transferencia",P3191="Pago tarjeta"),-1,1)*S3191,0)+IF(AND(AE3191&lt;&gt;"",COUNTIFS(tcTipo,AE3191,tcLiq,"Sí")&gt;0),S3191,0))</f>
        <v/>
      </c>
      <c r="AI3191" s="52">
        <f>IF(OR(L3191="",P3191=""),"",IF(COUNTIFS(L$6:L3191,L3191,P$6:P3191,"?*")=1,MAX(AI$5:AI3190)+1,""))</f>
        <v/>
      </c>
    </row>
    <row r="3192">
      <c r="B3192" s="47" t="n"/>
      <c r="C3192" s="48" t="n"/>
      <c r="D3192" s="48" t="n"/>
      <c r="E3192" s="48" t="n"/>
      <c r="F3192" s="48" t="n"/>
      <c r="G3192" s="49" t="n"/>
      <c r="H3192" s="48" t="n"/>
      <c r="I3192" s="50" t="n"/>
      <c r="J3192" s="48" t="n"/>
      <c r="K3192" s="48" t="n"/>
      <c r="L3192" s="48" t="n"/>
      <c r="M3192" s="48" t="n"/>
      <c r="N3192" s="48" t="n"/>
      <c r="O3192" s="51">
        <f>IF(AND(B3192="",G3192="",C3192="",D3192="",J3192=""),"",IF(B3192="","⚠ Falta fecha",IF(G3192="","⚠ Falta monto",IF(Q3192="","⚠ Falta cuenta",IF(ISNA(MATCH(Q3192,ctaNombre,0)),"⚠ Cuenta no registrada",IF(AND(OR(P3192="Gasto",P3192="Reembolso"),D3192=""),"⚠ Falta categoría",IF(AND(D3192&lt;&gt;"",E3192&lt;&gt;"",ISNA(MATCH(D3192&amp;"|"&amp;E3192,catClave,0))),"⚠ Subcategoría no corresponde",IF(AND(OR(P3192="Transferencia",P3192="Pago tarjeta"),K3192=""),"⚠ Falta cuenta destino",IF(AND(K3192&lt;&gt;"",P3192&lt;&gt;"Transferencia",P3192&lt;&gt;"Pago tarjeta"),"⚠ Destino solo aplica a transferencias",IF(AND(K3192&lt;&gt;"",K3192=Q3192),"⚠ Origen igual a destino",IF(AND(K3192&lt;&gt;"",ISNA(MATCH(K3192,ctaNombre,0))),"⚠ Destino no registrado",IF(AND(P3192="Pago tarjeta",AE3192&lt;&gt;"Tarjeta de crédito"),"⚠ El destino debe ser tarjeta de crédito",IF(AND(P3192="Gasto",E3192="Depósitos y retiros"),"⚠ Usa tipo Transferencia",IF(AND(P3192="Resultado trading",AD3192&lt;&gt;"Cuenta de trading"),"⚠ Usa una cuenta de trading",IF(AND(G3192&lt;=0,P3192&lt;&gt;"Ajuste",P3192&lt;&gt;"Resultado trading"),"⚠ El monto debe ser positivo","✓")))))))))))))))</f>
        <v/>
      </c>
      <c r="P3192" s="52">
        <f>IF(OR(B3192="",G3192=""),"",IF(C3192="","Gasto",C3192))</f>
        <v/>
      </c>
      <c r="Q3192" s="52">
        <f>IF(P3192="","",IF(J3192&lt;&gt;"",J3192,CuentaPred&amp;""))</f>
        <v/>
      </c>
      <c r="R3192" s="52">
        <f>IF(P3192="","",IF(ISNUMBER(I3192),I3192,TasaUSD))</f>
        <v/>
      </c>
      <c r="S3192" s="53">
        <f>IF(P3192="","",IF(H3192="USD",G3192*R3192,G3192))</f>
        <v/>
      </c>
      <c r="T3192" s="53">
        <f>IF(P3192="","",IF(H3192="USD",G3192,IF(R3192&gt;0,G3192/R3192,0)))</f>
        <v/>
      </c>
      <c r="U3192" s="53">
        <f>IF(P3192="","",IF(P3192="Gasto",S3192,IF(P3192="Reembolso",-S3192,0)))</f>
        <v/>
      </c>
      <c r="V3192" s="53">
        <f>IF(P3192="","",IF(P3192="Ingreso",S3192,0))</f>
        <v/>
      </c>
      <c r="W3192" s="53">
        <f>IF(P3192="","",IF(P3192="Resultado trading",S3192,0))</f>
        <v/>
      </c>
      <c r="X3192" s="52">
        <f>IF(OR(P3192="Gasto",P3192="Reembolso"),IF(M3192&lt;&gt;"",M3192,IFERROR(INDEX(catClasif,MATCH(D3192&amp;"|"&amp;E3192,catClave,0))&amp;"","Variable")),"")</f>
        <v/>
      </c>
      <c r="Y3192" s="52">
        <f>IF(P3192="","",IFERROR(INDEX(catGrupo,MATCH(D3192&amp;"|"&amp;E3192,catClave,0))&amp;"",""))</f>
        <v/>
      </c>
      <c r="Z3192" s="52">
        <f>IF(P3192="","",WEEKDAY(B3192,2))</f>
        <v/>
      </c>
      <c r="AA3192" s="52">
        <f>IF(P3192="","",IF(AND(P3192="Gasto",X3192="Variable",D3192&lt;&gt;catTrading,S3192&gt;0,S3192&lt;=Umbral),1,0))</f>
        <v/>
      </c>
      <c r="AB3192" s="52">
        <f>IF(OR(P3192="",Q3192=""),"",IFERROR(IF(INDEX(ctaVinc,MATCH(Q3192,ctaNombre,0))&amp;""&lt;&gt;"",INDEX(ctaVinc,MATCH(Q3192,ctaNombre,0))&amp;"",Q3192),Q3192))</f>
        <v/>
      </c>
      <c r="AC3192" s="52">
        <f>IF(OR(K3192="",AND(P3192&lt;&gt;"Transferencia",P3192&lt;&gt;"Pago tarjeta")),"",IFERROR(IF(INDEX(ctaVinc,MATCH(K3192,ctaNombre,0))&amp;""&lt;&gt;"",INDEX(ctaVinc,MATCH(K3192,ctaNombre,0))&amp;"",K3192),K3192))</f>
        <v/>
      </c>
      <c r="AD3192" s="52">
        <f>IF(AB3192="","",IFERROR(INDEX(ctaTipo,MATCH(AB3192,ctaNombre,0))&amp;"",""))</f>
        <v/>
      </c>
      <c r="AE3192" s="52">
        <f>IF(AC3192="","",IFERROR(INDEX(ctaTipo,MATCH(AC3192,ctaNombre,0))&amp;"",""))</f>
        <v/>
      </c>
      <c r="AF3192" s="53">
        <f>IF(OR(P3192="",AB3192=""),"",IF(OR(P3192="Gasto",P3192="Transferencia",P3192="Pago tarjeta"),-1,1)*IF(IFERROR(INDEX(ctaMoneda,MATCH(AB3192,ctaNombre,0))&amp;"","DOP")="USD",T3192,S3192))</f>
        <v/>
      </c>
      <c r="AG3192" s="53">
        <f>IF(AC3192="","",IF(IFERROR(INDEX(ctaMoneda,MATCH(AC3192,ctaNombre,0))&amp;"","DOP")="USD",T3192,S3192))</f>
        <v/>
      </c>
      <c r="AH3192" s="53">
        <f>IF(P3192="","",IF(AND(AD3192&lt;&gt;"",COUNTIFS(tcTipo,AD3192,tcLiq,"Sí")&gt;0),IF(OR(P3192="Gasto",P3192="Transferencia",P3192="Pago tarjeta"),-1,1)*S3192,0)+IF(AND(AE3192&lt;&gt;"",COUNTIFS(tcTipo,AE3192,tcLiq,"Sí")&gt;0),S3192,0))</f>
        <v/>
      </c>
      <c r="AI3192" s="52">
        <f>IF(OR(L3192="",P3192=""),"",IF(COUNTIFS(L$6:L3192,L3192,P$6:P3192,"?*")=1,MAX(AI$5:AI3191)+1,""))</f>
        <v/>
      </c>
    </row>
    <row r="3193">
      <c r="B3193" s="47" t="n"/>
      <c r="C3193" s="48" t="n"/>
      <c r="D3193" s="48" t="n"/>
      <c r="E3193" s="48" t="n"/>
      <c r="F3193" s="48" t="n"/>
      <c r="G3193" s="49" t="n"/>
      <c r="H3193" s="48" t="n"/>
      <c r="I3193" s="50" t="n"/>
      <c r="J3193" s="48" t="n"/>
      <c r="K3193" s="48" t="n"/>
      <c r="L3193" s="48" t="n"/>
      <c r="M3193" s="48" t="n"/>
      <c r="N3193" s="48" t="n"/>
      <c r="O3193" s="51">
        <f>IF(AND(B3193="",G3193="",C3193="",D3193="",J3193=""),"",IF(B3193="","⚠ Falta fecha",IF(G3193="","⚠ Falta monto",IF(Q3193="","⚠ Falta cuenta",IF(ISNA(MATCH(Q3193,ctaNombre,0)),"⚠ Cuenta no registrada",IF(AND(OR(P3193="Gasto",P3193="Reembolso"),D3193=""),"⚠ Falta categoría",IF(AND(D3193&lt;&gt;"",E3193&lt;&gt;"",ISNA(MATCH(D3193&amp;"|"&amp;E3193,catClave,0))),"⚠ Subcategoría no corresponde",IF(AND(OR(P3193="Transferencia",P3193="Pago tarjeta"),K3193=""),"⚠ Falta cuenta destino",IF(AND(K3193&lt;&gt;"",P3193&lt;&gt;"Transferencia",P3193&lt;&gt;"Pago tarjeta"),"⚠ Destino solo aplica a transferencias",IF(AND(K3193&lt;&gt;"",K3193=Q3193),"⚠ Origen igual a destino",IF(AND(K3193&lt;&gt;"",ISNA(MATCH(K3193,ctaNombre,0))),"⚠ Destino no registrado",IF(AND(P3193="Pago tarjeta",AE3193&lt;&gt;"Tarjeta de crédito"),"⚠ El destino debe ser tarjeta de crédito",IF(AND(P3193="Gasto",E3193="Depósitos y retiros"),"⚠ Usa tipo Transferencia",IF(AND(P3193="Resultado trading",AD3193&lt;&gt;"Cuenta de trading"),"⚠ Usa una cuenta de trading",IF(AND(G3193&lt;=0,P3193&lt;&gt;"Ajuste",P3193&lt;&gt;"Resultado trading"),"⚠ El monto debe ser positivo","✓")))))))))))))))</f>
        <v/>
      </c>
      <c r="P3193" s="52">
        <f>IF(OR(B3193="",G3193=""),"",IF(C3193="","Gasto",C3193))</f>
        <v/>
      </c>
      <c r="Q3193" s="52">
        <f>IF(P3193="","",IF(J3193&lt;&gt;"",J3193,CuentaPred&amp;""))</f>
        <v/>
      </c>
      <c r="R3193" s="52">
        <f>IF(P3193="","",IF(ISNUMBER(I3193),I3193,TasaUSD))</f>
        <v/>
      </c>
      <c r="S3193" s="53">
        <f>IF(P3193="","",IF(H3193="USD",G3193*R3193,G3193))</f>
        <v/>
      </c>
      <c r="T3193" s="53">
        <f>IF(P3193="","",IF(H3193="USD",G3193,IF(R3193&gt;0,G3193/R3193,0)))</f>
        <v/>
      </c>
      <c r="U3193" s="53">
        <f>IF(P3193="","",IF(P3193="Gasto",S3193,IF(P3193="Reembolso",-S3193,0)))</f>
        <v/>
      </c>
      <c r="V3193" s="53">
        <f>IF(P3193="","",IF(P3193="Ingreso",S3193,0))</f>
        <v/>
      </c>
      <c r="W3193" s="53">
        <f>IF(P3193="","",IF(P3193="Resultado trading",S3193,0))</f>
        <v/>
      </c>
      <c r="X3193" s="52">
        <f>IF(OR(P3193="Gasto",P3193="Reembolso"),IF(M3193&lt;&gt;"",M3193,IFERROR(INDEX(catClasif,MATCH(D3193&amp;"|"&amp;E3193,catClave,0))&amp;"","Variable")),"")</f>
        <v/>
      </c>
      <c r="Y3193" s="52">
        <f>IF(P3193="","",IFERROR(INDEX(catGrupo,MATCH(D3193&amp;"|"&amp;E3193,catClave,0))&amp;"",""))</f>
        <v/>
      </c>
      <c r="Z3193" s="52">
        <f>IF(P3193="","",WEEKDAY(B3193,2))</f>
        <v/>
      </c>
      <c r="AA3193" s="52">
        <f>IF(P3193="","",IF(AND(P3193="Gasto",X3193="Variable",D3193&lt;&gt;catTrading,S3193&gt;0,S3193&lt;=Umbral),1,0))</f>
        <v/>
      </c>
      <c r="AB3193" s="52">
        <f>IF(OR(P3193="",Q3193=""),"",IFERROR(IF(INDEX(ctaVinc,MATCH(Q3193,ctaNombre,0))&amp;""&lt;&gt;"",INDEX(ctaVinc,MATCH(Q3193,ctaNombre,0))&amp;"",Q3193),Q3193))</f>
        <v/>
      </c>
      <c r="AC3193" s="52">
        <f>IF(OR(K3193="",AND(P3193&lt;&gt;"Transferencia",P3193&lt;&gt;"Pago tarjeta")),"",IFERROR(IF(INDEX(ctaVinc,MATCH(K3193,ctaNombre,0))&amp;""&lt;&gt;"",INDEX(ctaVinc,MATCH(K3193,ctaNombre,0))&amp;"",K3193),K3193))</f>
        <v/>
      </c>
      <c r="AD3193" s="52">
        <f>IF(AB3193="","",IFERROR(INDEX(ctaTipo,MATCH(AB3193,ctaNombre,0))&amp;"",""))</f>
        <v/>
      </c>
      <c r="AE3193" s="52">
        <f>IF(AC3193="","",IFERROR(INDEX(ctaTipo,MATCH(AC3193,ctaNombre,0))&amp;"",""))</f>
        <v/>
      </c>
      <c r="AF3193" s="53">
        <f>IF(OR(P3193="",AB3193=""),"",IF(OR(P3193="Gasto",P3193="Transferencia",P3193="Pago tarjeta"),-1,1)*IF(IFERROR(INDEX(ctaMoneda,MATCH(AB3193,ctaNombre,0))&amp;"","DOP")="USD",T3193,S3193))</f>
        <v/>
      </c>
      <c r="AG3193" s="53">
        <f>IF(AC3193="","",IF(IFERROR(INDEX(ctaMoneda,MATCH(AC3193,ctaNombre,0))&amp;"","DOP")="USD",T3193,S3193))</f>
        <v/>
      </c>
      <c r="AH3193" s="53">
        <f>IF(P3193="","",IF(AND(AD3193&lt;&gt;"",COUNTIFS(tcTipo,AD3193,tcLiq,"Sí")&gt;0),IF(OR(P3193="Gasto",P3193="Transferencia",P3193="Pago tarjeta"),-1,1)*S3193,0)+IF(AND(AE3193&lt;&gt;"",COUNTIFS(tcTipo,AE3193,tcLiq,"Sí")&gt;0),S3193,0))</f>
        <v/>
      </c>
      <c r="AI3193" s="52">
        <f>IF(OR(L3193="",P3193=""),"",IF(COUNTIFS(L$6:L3193,L3193,P$6:P3193,"?*")=1,MAX(AI$5:AI3192)+1,""))</f>
        <v/>
      </c>
    </row>
    <row r="3194">
      <c r="B3194" s="47" t="n"/>
      <c r="C3194" s="48" t="n"/>
      <c r="D3194" s="48" t="n"/>
      <c r="E3194" s="48" t="n"/>
      <c r="F3194" s="48" t="n"/>
      <c r="G3194" s="49" t="n"/>
      <c r="H3194" s="48" t="n"/>
      <c r="I3194" s="50" t="n"/>
      <c r="J3194" s="48" t="n"/>
      <c r="K3194" s="48" t="n"/>
      <c r="L3194" s="48" t="n"/>
      <c r="M3194" s="48" t="n"/>
      <c r="N3194" s="48" t="n"/>
      <c r="O3194" s="51">
        <f>IF(AND(B3194="",G3194="",C3194="",D3194="",J3194=""),"",IF(B3194="","⚠ Falta fecha",IF(G3194="","⚠ Falta monto",IF(Q3194="","⚠ Falta cuenta",IF(ISNA(MATCH(Q3194,ctaNombre,0)),"⚠ Cuenta no registrada",IF(AND(OR(P3194="Gasto",P3194="Reembolso"),D3194=""),"⚠ Falta categoría",IF(AND(D3194&lt;&gt;"",E3194&lt;&gt;"",ISNA(MATCH(D3194&amp;"|"&amp;E3194,catClave,0))),"⚠ Subcategoría no corresponde",IF(AND(OR(P3194="Transferencia",P3194="Pago tarjeta"),K3194=""),"⚠ Falta cuenta destino",IF(AND(K3194&lt;&gt;"",P3194&lt;&gt;"Transferencia",P3194&lt;&gt;"Pago tarjeta"),"⚠ Destino solo aplica a transferencias",IF(AND(K3194&lt;&gt;"",K3194=Q3194),"⚠ Origen igual a destino",IF(AND(K3194&lt;&gt;"",ISNA(MATCH(K3194,ctaNombre,0))),"⚠ Destino no registrado",IF(AND(P3194="Pago tarjeta",AE3194&lt;&gt;"Tarjeta de crédito"),"⚠ El destino debe ser tarjeta de crédito",IF(AND(P3194="Gasto",E3194="Depósitos y retiros"),"⚠ Usa tipo Transferencia",IF(AND(P3194="Resultado trading",AD3194&lt;&gt;"Cuenta de trading"),"⚠ Usa una cuenta de trading",IF(AND(G3194&lt;=0,P3194&lt;&gt;"Ajuste",P3194&lt;&gt;"Resultado trading"),"⚠ El monto debe ser positivo","✓")))))))))))))))</f>
        <v/>
      </c>
      <c r="P3194" s="52">
        <f>IF(OR(B3194="",G3194=""),"",IF(C3194="","Gasto",C3194))</f>
        <v/>
      </c>
      <c r="Q3194" s="52">
        <f>IF(P3194="","",IF(J3194&lt;&gt;"",J3194,CuentaPred&amp;""))</f>
        <v/>
      </c>
      <c r="R3194" s="52">
        <f>IF(P3194="","",IF(ISNUMBER(I3194),I3194,TasaUSD))</f>
        <v/>
      </c>
      <c r="S3194" s="53">
        <f>IF(P3194="","",IF(H3194="USD",G3194*R3194,G3194))</f>
        <v/>
      </c>
      <c r="T3194" s="53">
        <f>IF(P3194="","",IF(H3194="USD",G3194,IF(R3194&gt;0,G3194/R3194,0)))</f>
        <v/>
      </c>
      <c r="U3194" s="53">
        <f>IF(P3194="","",IF(P3194="Gasto",S3194,IF(P3194="Reembolso",-S3194,0)))</f>
        <v/>
      </c>
      <c r="V3194" s="53">
        <f>IF(P3194="","",IF(P3194="Ingreso",S3194,0))</f>
        <v/>
      </c>
      <c r="W3194" s="53">
        <f>IF(P3194="","",IF(P3194="Resultado trading",S3194,0))</f>
        <v/>
      </c>
      <c r="X3194" s="52">
        <f>IF(OR(P3194="Gasto",P3194="Reembolso"),IF(M3194&lt;&gt;"",M3194,IFERROR(INDEX(catClasif,MATCH(D3194&amp;"|"&amp;E3194,catClave,0))&amp;"","Variable")),"")</f>
        <v/>
      </c>
      <c r="Y3194" s="52">
        <f>IF(P3194="","",IFERROR(INDEX(catGrupo,MATCH(D3194&amp;"|"&amp;E3194,catClave,0))&amp;"",""))</f>
        <v/>
      </c>
      <c r="Z3194" s="52">
        <f>IF(P3194="","",WEEKDAY(B3194,2))</f>
        <v/>
      </c>
      <c r="AA3194" s="52">
        <f>IF(P3194="","",IF(AND(P3194="Gasto",X3194="Variable",D3194&lt;&gt;catTrading,S3194&gt;0,S3194&lt;=Umbral),1,0))</f>
        <v/>
      </c>
      <c r="AB3194" s="52">
        <f>IF(OR(P3194="",Q3194=""),"",IFERROR(IF(INDEX(ctaVinc,MATCH(Q3194,ctaNombre,0))&amp;""&lt;&gt;"",INDEX(ctaVinc,MATCH(Q3194,ctaNombre,0))&amp;"",Q3194),Q3194))</f>
        <v/>
      </c>
      <c r="AC3194" s="52">
        <f>IF(OR(K3194="",AND(P3194&lt;&gt;"Transferencia",P3194&lt;&gt;"Pago tarjeta")),"",IFERROR(IF(INDEX(ctaVinc,MATCH(K3194,ctaNombre,0))&amp;""&lt;&gt;"",INDEX(ctaVinc,MATCH(K3194,ctaNombre,0))&amp;"",K3194),K3194))</f>
        <v/>
      </c>
      <c r="AD3194" s="52">
        <f>IF(AB3194="","",IFERROR(INDEX(ctaTipo,MATCH(AB3194,ctaNombre,0))&amp;"",""))</f>
        <v/>
      </c>
      <c r="AE3194" s="52">
        <f>IF(AC3194="","",IFERROR(INDEX(ctaTipo,MATCH(AC3194,ctaNombre,0))&amp;"",""))</f>
        <v/>
      </c>
      <c r="AF3194" s="53">
        <f>IF(OR(P3194="",AB3194=""),"",IF(OR(P3194="Gasto",P3194="Transferencia",P3194="Pago tarjeta"),-1,1)*IF(IFERROR(INDEX(ctaMoneda,MATCH(AB3194,ctaNombre,0))&amp;"","DOP")="USD",T3194,S3194))</f>
        <v/>
      </c>
      <c r="AG3194" s="53">
        <f>IF(AC3194="","",IF(IFERROR(INDEX(ctaMoneda,MATCH(AC3194,ctaNombre,0))&amp;"","DOP")="USD",T3194,S3194))</f>
        <v/>
      </c>
      <c r="AH3194" s="53">
        <f>IF(P3194="","",IF(AND(AD3194&lt;&gt;"",COUNTIFS(tcTipo,AD3194,tcLiq,"Sí")&gt;0),IF(OR(P3194="Gasto",P3194="Transferencia",P3194="Pago tarjeta"),-1,1)*S3194,0)+IF(AND(AE3194&lt;&gt;"",COUNTIFS(tcTipo,AE3194,tcLiq,"Sí")&gt;0),S3194,0))</f>
        <v/>
      </c>
      <c r="AI3194" s="52">
        <f>IF(OR(L3194="",P3194=""),"",IF(COUNTIFS(L$6:L3194,L3194,P$6:P3194,"?*")=1,MAX(AI$5:AI3193)+1,""))</f>
        <v/>
      </c>
    </row>
    <row r="3195">
      <c r="B3195" s="47" t="n"/>
      <c r="C3195" s="48" t="n"/>
      <c r="D3195" s="48" t="n"/>
      <c r="E3195" s="48" t="n"/>
      <c r="F3195" s="48" t="n"/>
      <c r="G3195" s="49" t="n"/>
      <c r="H3195" s="48" t="n"/>
      <c r="I3195" s="50" t="n"/>
      <c r="J3195" s="48" t="n"/>
      <c r="K3195" s="48" t="n"/>
      <c r="L3195" s="48" t="n"/>
      <c r="M3195" s="48" t="n"/>
      <c r="N3195" s="48" t="n"/>
      <c r="O3195" s="51">
        <f>IF(AND(B3195="",G3195="",C3195="",D3195="",J3195=""),"",IF(B3195="","⚠ Falta fecha",IF(G3195="","⚠ Falta monto",IF(Q3195="","⚠ Falta cuenta",IF(ISNA(MATCH(Q3195,ctaNombre,0)),"⚠ Cuenta no registrada",IF(AND(OR(P3195="Gasto",P3195="Reembolso"),D3195=""),"⚠ Falta categoría",IF(AND(D3195&lt;&gt;"",E3195&lt;&gt;"",ISNA(MATCH(D3195&amp;"|"&amp;E3195,catClave,0))),"⚠ Subcategoría no corresponde",IF(AND(OR(P3195="Transferencia",P3195="Pago tarjeta"),K3195=""),"⚠ Falta cuenta destino",IF(AND(K3195&lt;&gt;"",P3195&lt;&gt;"Transferencia",P3195&lt;&gt;"Pago tarjeta"),"⚠ Destino solo aplica a transferencias",IF(AND(K3195&lt;&gt;"",K3195=Q3195),"⚠ Origen igual a destino",IF(AND(K3195&lt;&gt;"",ISNA(MATCH(K3195,ctaNombre,0))),"⚠ Destino no registrado",IF(AND(P3195="Pago tarjeta",AE3195&lt;&gt;"Tarjeta de crédito"),"⚠ El destino debe ser tarjeta de crédito",IF(AND(P3195="Gasto",E3195="Depósitos y retiros"),"⚠ Usa tipo Transferencia",IF(AND(P3195="Resultado trading",AD3195&lt;&gt;"Cuenta de trading"),"⚠ Usa una cuenta de trading",IF(AND(G3195&lt;=0,P3195&lt;&gt;"Ajuste",P3195&lt;&gt;"Resultado trading"),"⚠ El monto debe ser positivo","✓")))))))))))))))</f>
        <v/>
      </c>
      <c r="P3195" s="52">
        <f>IF(OR(B3195="",G3195=""),"",IF(C3195="","Gasto",C3195))</f>
        <v/>
      </c>
      <c r="Q3195" s="52">
        <f>IF(P3195="","",IF(J3195&lt;&gt;"",J3195,CuentaPred&amp;""))</f>
        <v/>
      </c>
      <c r="R3195" s="52">
        <f>IF(P3195="","",IF(ISNUMBER(I3195),I3195,TasaUSD))</f>
        <v/>
      </c>
      <c r="S3195" s="53">
        <f>IF(P3195="","",IF(H3195="USD",G3195*R3195,G3195))</f>
        <v/>
      </c>
      <c r="T3195" s="53">
        <f>IF(P3195="","",IF(H3195="USD",G3195,IF(R3195&gt;0,G3195/R3195,0)))</f>
        <v/>
      </c>
      <c r="U3195" s="53">
        <f>IF(P3195="","",IF(P3195="Gasto",S3195,IF(P3195="Reembolso",-S3195,0)))</f>
        <v/>
      </c>
      <c r="V3195" s="53">
        <f>IF(P3195="","",IF(P3195="Ingreso",S3195,0))</f>
        <v/>
      </c>
      <c r="W3195" s="53">
        <f>IF(P3195="","",IF(P3195="Resultado trading",S3195,0))</f>
        <v/>
      </c>
      <c r="X3195" s="52">
        <f>IF(OR(P3195="Gasto",P3195="Reembolso"),IF(M3195&lt;&gt;"",M3195,IFERROR(INDEX(catClasif,MATCH(D3195&amp;"|"&amp;E3195,catClave,0))&amp;"","Variable")),"")</f>
        <v/>
      </c>
      <c r="Y3195" s="52">
        <f>IF(P3195="","",IFERROR(INDEX(catGrupo,MATCH(D3195&amp;"|"&amp;E3195,catClave,0))&amp;"",""))</f>
        <v/>
      </c>
      <c r="Z3195" s="52">
        <f>IF(P3195="","",WEEKDAY(B3195,2))</f>
        <v/>
      </c>
      <c r="AA3195" s="52">
        <f>IF(P3195="","",IF(AND(P3195="Gasto",X3195="Variable",D3195&lt;&gt;catTrading,S3195&gt;0,S3195&lt;=Umbral),1,0))</f>
        <v/>
      </c>
      <c r="AB3195" s="52">
        <f>IF(OR(P3195="",Q3195=""),"",IFERROR(IF(INDEX(ctaVinc,MATCH(Q3195,ctaNombre,0))&amp;""&lt;&gt;"",INDEX(ctaVinc,MATCH(Q3195,ctaNombre,0))&amp;"",Q3195),Q3195))</f>
        <v/>
      </c>
      <c r="AC3195" s="52">
        <f>IF(OR(K3195="",AND(P3195&lt;&gt;"Transferencia",P3195&lt;&gt;"Pago tarjeta")),"",IFERROR(IF(INDEX(ctaVinc,MATCH(K3195,ctaNombre,0))&amp;""&lt;&gt;"",INDEX(ctaVinc,MATCH(K3195,ctaNombre,0))&amp;"",K3195),K3195))</f>
        <v/>
      </c>
      <c r="AD3195" s="52">
        <f>IF(AB3195="","",IFERROR(INDEX(ctaTipo,MATCH(AB3195,ctaNombre,0))&amp;"",""))</f>
        <v/>
      </c>
      <c r="AE3195" s="52">
        <f>IF(AC3195="","",IFERROR(INDEX(ctaTipo,MATCH(AC3195,ctaNombre,0))&amp;"",""))</f>
        <v/>
      </c>
      <c r="AF3195" s="53">
        <f>IF(OR(P3195="",AB3195=""),"",IF(OR(P3195="Gasto",P3195="Transferencia",P3195="Pago tarjeta"),-1,1)*IF(IFERROR(INDEX(ctaMoneda,MATCH(AB3195,ctaNombre,0))&amp;"","DOP")="USD",T3195,S3195))</f>
        <v/>
      </c>
      <c r="AG3195" s="53">
        <f>IF(AC3195="","",IF(IFERROR(INDEX(ctaMoneda,MATCH(AC3195,ctaNombre,0))&amp;"","DOP")="USD",T3195,S3195))</f>
        <v/>
      </c>
      <c r="AH3195" s="53">
        <f>IF(P3195="","",IF(AND(AD3195&lt;&gt;"",COUNTIFS(tcTipo,AD3195,tcLiq,"Sí")&gt;0),IF(OR(P3195="Gasto",P3195="Transferencia",P3195="Pago tarjeta"),-1,1)*S3195,0)+IF(AND(AE3195&lt;&gt;"",COUNTIFS(tcTipo,AE3195,tcLiq,"Sí")&gt;0),S3195,0))</f>
        <v/>
      </c>
      <c r="AI3195" s="52">
        <f>IF(OR(L3195="",P3195=""),"",IF(COUNTIFS(L$6:L3195,L3195,P$6:P3195,"?*")=1,MAX(AI$5:AI3194)+1,""))</f>
        <v/>
      </c>
    </row>
    <row r="3196">
      <c r="B3196" s="47" t="n"/>
      <c r="C3196" s="48" t="n"/>
      <c r="D3196" s="48" t="n"/>
      <c r="E3196" s="48" t="n"/>
      <c r="F3196" s="48" t="n"/>
      <c r="G3196" s="49" t="n"/>
      <c r="H3196" s="48" t="n"/>
      <c r="I3196" s="50" t="n"/>
      <c r="J3196" s="48" t="n"/>
      <c r="K3196" s="48" t="n"/>
      <c r="L3196" s="48" t="n"/>
      <c r="M3196" s="48" t="n"/>
      <c r="N3196" s="48" t="n"/>
      <c r="O3196" s="51">
        <f>IF(AND(B3196="",G3196="",C3196="",D3196="",J3196=""),"",IF(B3196="","⚠ Falta fecha",IF(G3196="","⚠ Falta monto",IF(Q3196="","⚠ Falta cuenta",IF(ISNA(MATCH(Q3196,ctaNombre,0)),"⚠ Cuenta no registrada",IF(AND(OR(P3196="Gasto",P3196="Reembolso"),D3196=""),"⚠ Falta categoría",IF(AND(D3196&lt;&gt;"",E3196&lt;&gt;"",ISNA(MATCH(D3196&amp;"|"&amp;E3196,catClave,0))),"⚠ Subcategoría no corresponde",IF(AND(OR(P3196="Transferencia",P3196="Pago tarjeta"),K3196=""),"⚠ Falta cuenta destino",IF(AND(K3196&lt;&gt;"",P3196&lt;&gt;"Transferencia",P3196&lt;&gt;"Pago tarjeta"),"⚠ Destino solo aplica a transferencias",IF(AND(K3196&lt;&gt;"",K3196=Q3196),"⚠ Origen igual a destino",IF(AND(K3196&lt;&gt;"",ISNA(MATCH(K3196,ctaNombre,0))),"⚠ Destino no registrado",IF(AND(P3196="Pago tarjeta",AE3196&lt;&gt;"Tarjeta de crédito"),"⚠ El destino debe ser tarjeta de crédito",IF(AND(P3196="Gasto",E3196="Depósitos y retiros"),"⚠ Usa tipo Transferencia",IF(AND(P3196="Resultado trading",AD3196&lt;&gt;"Cuenta de trading"),"⚠ Usa una cuenta de trading",IF(AND(G3196&lt;=0,P3196&lt;&gt;"Ajuste",P3196&lt;&gt;"Resultado trading"),"⚠ El monto debe ser positivo","✓")))))))))))))))</f>
        <v/>
      </c>
      <c r="P3196" s="52">
        <f>IF(OR(B3196="",G3196=""),"",IF(C3196="","Gasto",C3196))</f>
        <v/>
      </c>
      <c r="Q3196" s="52">
        <f>IF(P3196="","",IF(J3196&lt;&gt;"",J3196,CuentaPred&amp;""))</f>
        <v/>
      </c>
      <c r="R3196" s="52">
        <f>IF(P3196="","",IF(ISNUMBER(I3196),I3196,TasaUSD))</f>
        <v/>
      </c>
      <c r="S3196" s="53">
        <f>IF(P3196="","",IF(H3196="USD",G3196*R3196,G3196))</f>
        <v/>
      </c>
      <c r="T3196" s="53">
        <f>IF(P3196="","",IF(H3196="USD",G3196,IF(R3196&gt;0,G3196/R3196,0)))</f>
        <v/>
      </c>
      <c r="U3196" s="53">
        <f>IF(P3196="","",IF(P3196="Gasto",S3196,IF(P3196="Reembolso",-S3196,0)))</f>
        <v/>
      </c>
      <c r="V3196" s="53">
        <f>IF(P3196="","",IF(P3196="Ingreso",S3196,0))</f>
        <v/>
      </c>
      <c r="W3196" s="53">
        <f>IF(P3196="","",IF(P3196="Resultado trading",S3196,0))</f>
        <v/>
      </c>
      <c r="X3196" s="52">
        <f>IF(OR(P3196="Gasto",P3196="Reembolso"),IF(M3196&lt;&gt;"",M3196,IFERROR(INDEX(catClasif,MATCH(D3196&amp;"|"&amp;E3196,catClave,0))&amp;"","Variable")),"")</f>
        <v/>
      </c>
      <c r="Y3196" s="52">
        <f>IF(P3196="","",IFERROR(INDEX(catGrupo,MATCH(D3196&amp;"|"&amp;E3196,catClave,0))&amp;"",""))</f>
        <v/>
      </c>
      <c r="Z3196" s="52">
        <f>IF(P3196="","",WEEKDAY(B3196,2))</f>
        <v/>
      </c>
      <c r="AA3196" s="52">
        <f>IF(P3196="","",IF(AND(P3196="Gasto",X3196="Variable",D3196&lt;&gt;catTrading,S3196&gt;0,S3196&lt;=Umbral),1,0))</f>
        <v/>
      </c>
      <c r="AB3196" s="52">
        <f>IF(OR(P3196="",Q3196=""),"",IFERROR(IF(INDEX(ctaVinc,MATCH(Q3196,ctaNombre,0))&amp;""&lt;&gt;"",INDEX(ctaVinc,MATCH(Q3196,ctaNombre,0))&amp;"",Q3196),Q3196))</f>
        <v/>
      </c>
      <c r="AC3196" s="52">
        <f>IF(OR(K3196="",AND(P3196&lt;&gt;"Transferencia",P3196&lt;&gt;"Pago tarjeta")),"",IFERROR(IF(INDEX(ctaVinc,MATCH(K3196,ctaNombre,0))&amp;""&lt;&gt;"",INDEX(ctaVinc,MATCH(K3196,ctaNombre,0))&amp;"",K3196),K3196))</f>
        <v/>
      </c>
      <c r="AD3196" s="52">
        <f>IF(AB3196="","",IFERROR(INDEX(ctaTipo,MATCH(AB3196,ctaNombre,0))&amp;"",""))</f>
        <v/>
      </c>
      <c r="AE3196" s="52">
        <f>IF(AC3196="","",IFERROR(INDEX(ctaTipo,MATCH(AC3196,ctaNombre,0))&amp;"",""))</f>
        <v/>
      </c>
      <c r="AF3196" s="53">
        <f>IF(OR(P3196="",AB3196=""),"",IF(OR(P3196="Gasto",P3196="Transferencia",P3196="Pago tarjeta"),-1,1)*IF(IFERROR(INDEX(ctaMoneda,MATCH(AB3196,ctaNombre,0))&amp;"","DOP")="USD",T3196,S3196))</f>
        <v/>
      </c>
      <c r="AG3196" s="53">
        <f>IF(AC3196="","",IF(IFERROR(INDEX(ctaMoneda,MATCH(AC3196,ctaNombre,0))&amp;"","DOP")="USD",T3196,S3196))</f>
        <v/>
      </c>
      <c r="AH3196" s="53">
        <f>IF(P3196="","",IF(AND(AD3196&lt;&gt;"",COUNTIFS(tcTipo,AD3196,tcLiq,"Sí")&gt;0),IF(OR(P3196="Gasto",P3196="Transferencia",P3196="Pago tarjeta"),-1,1)*S3196,0)+IF(AND(AE3196&lt;&gt;"",COUNTIFS(tcTipo,AE3196,tcLiq,"Sí")&gt;0),S3196,0))</f>
        <v/>
      </c>
      <c r="AI3196" s="52">
        <f>IF(OR(L3196="",P3196=""),"",IF(COUNTIFS(L$6:L3196,L3196,P$6:P3196,"?*")=1,MAX(AI$5:AI3195)+1,""))</f>
        <v/>
      </c>
    </row>
    <row r="3197">
      <c r="B3197" s="47" t="n"/>
      <c r="C3197" s="48" t="n"/>
      <c r="D3197" s="48" t="n"/>
      <c r="E3197" s="48" t="n"/>
      <c r="F3197" s="48" t="n"/>
      <c r="G3197" s="49" t="n"/>
      <c r="H3197" s="48" t="n"/>
      <c r="I3197" s="50" t="n"/>
      <c r="J3197" s="48" t="n"/>
      <c r="K3197" s="48" t="n"/>
      <c r="L3197" s="48" t="n"/>
      <c r="M3197" s="48" t="n"/>
      <c r="N3197" s="48" t="n"/>
      <c r="O3197" s="51">
        <f>IF(AND(B3197="",G3197="",C3197="",D3197="",J3197=""),"",IF(B3197="","⚠ Falta fecha",IF(G3197="","⚠ Falta monto",IF(Q3197="","⚠ Falta cuenta",IF(ISNA(MATCH(Q3197,ctaNombre,0)),"⚠ Cuenta no registrada",IF(AND(OR(P3197="Gasto",P3197="Reembolso"),D3197=""),"⚠ Falta categoría",IF(AND(D3197&lt;&gt;"",E3197&lt;&gt;"",ISNA(MATCH(D3197&amp;"|"&amp;E3197,catClave,0))),"⚠ Subcategoría no corresponde",IF(AND(OR(P3197="Transferencia",P3197="Pago tarjeta"),K3197=""),"⚠ Falta cuenta destino",IF(AND(K3197&lt;&gt;"",P3197&lt;&gt;"Transferencia",P3197&lt;&gt;"Pago tarjeta"),"⚠ Destino solo aplica a transferencias",IF(AND(K3197&lt;&gt;"",K3197=Q3197),"⚠ Origen igual a destino",IF(AND(K3197&lt;&gt;"",ISNA(MATCH(K3197,ctaNombre,0))),"⚠ Destino no registrado",IF(AND(P3197="Pago tarjeta",AE3197&lt;&gt;"Tarjeta de crédito"),"⚠ El destino debe ser tarjeta de crédito",IF(AND(P3197="Gasto",E3197="Depósitos y retiros"),"⚠ Usa tipo Transferencia",IF(AND(P3197="Resultado trading",AD3197&lt;&gt;"Cuenta de trading"),"⚠ Usa una cuenta de trading",IF(AND(G3197&lt;=0,P3197&lt;&gt;"Ajuste",P3197&lt;&gt;"Resultado trading"),"⚠ El monto debe ser positivo","✓")))))))))))))))</f>
        <v/>
      </c>
      <c r="P3197" s="52">
        <f>IF(OR(B3197="",G3197=""),"",IF(C3197="","Gasto",C3197))</f>
        <v/>
      </c>
      <c r="Q3197" s="52">
        <f>IF(P3197="","",IF(J3197&lt;&gt;"",J3197,CuentaPred&amp;""))</f>
        <v/>
      </c>
      <c r="R3197" s="52">
        <f>IF(P3197="","",IF(ISNUMBER(I3197),I3197,TasaUSD))</f>
        <v/>
      </c>
      <c r="S3197" s="53">
        <f>IF(P3197="","",IF(H3197="USD",G3197*R3197,G3197))</f>
        <v/>
      </c>
      <c r="T3197" s="53">
        <f>IF(P3197="","",IF(H3197="USD",G3197,IF(R3197&gt;0,G3197/R3197,0)))</f>
        <v/>
      </c>
      <c r="U3197" s="53">
        <f>IF(P3197="","",IF(P3197="Gasto",S3197,IF(P3197="Reembolso",-S3197,0)))</f>
        <v/>
      </c>
      <c r="V3197" s="53">
        <f>IF(P3197="","",IF(P3197="Ingreso",S3197,0))</f>
        <v/>
      </c>
      <c r="W3197" s="53">
        <f>IF(P3197="","",IF(P3197="Resultado trading",S3197,0))</f>
        <v/>
      </c>
      <c r="X3197" s="52">
        <f>IF(OR(P3197="Gasto",P3197="Reembolso"),IF(M3197&lt;&gt;"",M3197,IFERROR(INDEX(catClasif,MATCH(D3197&amp;"|"&amp;E3197,catClave,0))&amp;"","Variable")),"")</f>
        <v/>
      </c>
      <c r="Y3197" s="52">
        <f>IF(P3197="","",IFERROR(INDEX(catGrupo,MATCH(D3197&amp;"|"&amp;E3197,catClave,0))&amp;"",""))</f>
        <v/>
      </c>
      <c r="Z3197" s="52">
        <f>IF(P3197="","",WEEKDAY(B3197,2))</f>
        <v/>
      </c>
      <c r="AA3197" s="52">
        <f>IF(P3197="","",IF(AND(P3197="Gasto",X3197="Variable",D3197&lt;&gt;catTrading,S3197&gt;0,S3197&lt;=Umbral),1,0))</f>
        <v/>
      </c>
      <c r="AB3197" s="52">
        <f>IF(OR(P3197="",Q3197=""),"",IFERROR(IF(INDEX(ctaVinc,MATCH(Q3197,ctaNombre,0))&amp;""&lt;&gt;"",INDEX(ctaVinc,MATCH(Q3197,ctaNombre,0))&amp;"",Q3197),Q3197))</f>
        <v/>
      </c>
      <c r="AC3197" s="52">
        <f>IF(OR(K3197="",AND(P3197&lt;&gt;"Transferencia",P3197&lt;&gt;"Pago tarjeta")),"",IFERROR(IF(INDEX(ctaVinc,MATCH(K3197,ctaNombre,0))&amp;""&lt;&gt;"",INDEX(ctaVinc,MATCH(K3197,ctaNombre,0))&amp;"",K3197),K3197))</f>
        <v/>
      </c>
      <c r="AD3197" s="52">
        <f>IF(AB3197="","",IFERROR(INDEX(ctaTipo,MATCH(AB3197,ctaNombre,0))&amp;"",""))</f>
        <v/>
      </c>
      <c r="AE3197" s="52">
        <f>IF(AC3197="","",IFERROR(INDEX(ctaTipo,MATCH(AC3197,ctaNombre,0))&amp;"",""))</f>
        <v/>
      </c>
      <c r="AF3197" s="53">
        <f>IF(OR(P3197="",AB3197=""),"",IF(OR(P3197="Gasto",P3197="Transferencia",P3197="Pago tarjeta"),-1,1)*IF(IFERROR(INDEX(ctaMoneda,MATCH(AB3197,ctaNombre,0))&amp;"","DOP")="USD",T3197,S3197))</f>
        <v/>
      </c>
      <c r="AG3197" s="53">
        <f>IF(AC3197="","",IF(IFERROR(INDEX(ctaMoneda,MATCH(AC3197,ctaNombre,0))&amp;"","DOP")="USD",T3197,S3197))</f>
        <v/>
      </c>
      <c r="AH3197" s="53">
        <f>IF(P3197="","",IF(AND(AD3197&lt;&gt;"",COUNTIFS(tcTipo,AD3197,tcLiq,"Sí")&gt;0),IF(OR(P3197="Gasto",P3197="Transferencia",P3197="Pago tarjeta"),-1,1)*S3197,0)+IF(AND(AE3197&lt;&gt;"",COUNTIFS(tcTipo,AE3197,tcLiq,"Sí")&gt;0),S3197,0))</f>
        <v/>
      </c>
      <c r="AI3197" s="52">
        <f>IF(OR(L3197="",P3197=""),"",IF(COUNTIFS(L$6:L3197,L3197,P$6:P3197,"?*")=1,MAX(AI$5:AI3196)+1,""))</f>
        <v/>
      </c>
    </row>
    <row r="3198">
      <c r="B3198" s="47" t="n"/>
      <c r="C3198" s="48" t="n"/>
      <c r="D3198" s="48" t="n"/>
      <c r="E3198" s="48" t="n"/>
      <c r="F3198" s="48" t="n"/>
      <c r="G3198" s="49" t="n"/>
      <c r="H3198" s="48" t="n"/>
      <c r="I3198" s="50" t="n"/>
      <c r="J3198" s="48" t="n"/>
      <c r="K3198" s="48" t="n"/>
      <c r="L3198" s="48" t="n"/>
      <c r="M3198" s="48" t="n"/>
      <c r="N3198" s="48" t="n"/>
      <c r="O3198" s="51">
        <f>IF(AND(B3198="",G3198="",C3198="",D3198="",J3198=""),"",IF(B3198="","⚠ Falta fecha",IF(G3198="","⚠ Falta monto",IF(Q3198="","⚠ Falta cuenta",IF(ISNA(MATCH(Q3198,ctaNombre,0)),"⚠ Cuenta no registrada",IF(AND(OR(P3198="Gasto",P3198="Reembolso"),D3198=""),"⚠ Falta categoría",IF(AND(D3198&lt;&gt;"",E3198&lt;&gt;"",ISNA(MATCH(D3198&amp;"|"&amp;E3198,catClave,0))),"⚠ Subcategoría no corresponde",IF(AND(OR(P3198="Transferencia",P3198="Pago tarjeta"),K3198=""),"⚠ Falta cuenta destino",IF(AND(K3198&lt;&gt;"",P3198&lt;&gt;"Transferencia",P3198&lt;&gt;"Pago tarjeta"),"⚠ Destino solo aplica a transferencias",IF(AND(K3198&lt;&gt;"",K3198=Q3198),"⚠ Origen igual a destino",IF(AND(K3198&lt;&gt;"",ISNA(MATCH(K3198,ctaNombre,0))),"⚠ Destino no registrado",IF(AND(P3198="Pago tarjeta",AE3198&lt;&gt;"Tarjeta de crédito"),"⚠ El destino debe ser tarjeta de crédito",IF(AND(P3198="Gasto",E3198="Depósitos y retiros"),"⚠ Usa tipo Transferencia",IF(AND(P3198="Resultado trading",AD3198&lt;&gt;"Cuenta de trading"),"⚠ Usa una cuenta de trading",IF(AND(G3198&lt;=0,P3198&lt;&gt;"Ajuste",P3198&lt;&gt;"Resultado trading"),"⚠ El monto debe ser positivo","✓")))))))))))))))</f>
        <v/>
      </c>
      <c r="P3198" s="52">
        <f>IF(OR(B3198="",G3198=""),"",IF(C3198="","Gasto",C3198))</f>
        <v/>
      </c>
      <c r="Q3198" s="52">
        <f>IF(P3198="","",IF(J3198&lt;&gt;"",J3198,CuentaPred&amp;""))</f>
        <v/>
      </c>
      <c r="R3198" s="52">
        <f>IF(P3198="","",IF(ISNUMBER(I3198),I3198,TasaUSD))</f>
        <v/>
      </c>
      <c r="S3198" s="53">
        <f>IF(P3198="","",IF(H3198="USD",G3198*R3198,G3198))</f>
        <v/>
      </c>
      <c r="T3198" s="53">
        <f>IF(P3198="","",IF(H3198="USD",G3198,IF(R3198&gt;0,G3198/R3198,0)))</f>
        <v/>
      </c>
      <c r="U3198" s="53">
        <f>IF(P3198="","",IF(P3198="Gasto",S3198,IF(P3198="Reembolso",-S3198,0)))</f>
        <v/>
      </c>
      <c r="V3198" s="53">
        <f>IF(P3198="","",IF(P3198="Ingreso",S3198,0))</f>
        <v/>
      </c>
      <c r="W3198" s="53">
        <f>IF(P3198="","",IF(P3198="Resultado trading",S3198,0))</f>
        <v/>
      </c>
      <c r="X3198" s="52">
        <f>IF(OR(P3198="Gasto",P3198="Reembolso"),IF(M3198&lt;&gt;"",M3198,IFERROR(INDEX(catClasif,MATCH(D3198&amp;"|"&amp;E3198,catClave,0))&amp;"","Variable")),"")</f>
        <v/>
      </c>
      <c r="Y3198" s="52">
        <f>IF(P3198="","",IFERROR(INDEX(catGrupo,MATCH(D3198&amp;"|"&amp;E3198,catClave,0))&amp;"",""))</f>
        <v/>
      </c>
      <c r="Z3198" s="52">
        <f>IF(P3198="","",WEEKDAY(B3198,2))</f>
        <v/>
      </c>
      <c r="AA3198" s="52">
        <f>IF(P3198="","",IF(AND(P3198="Gasto",X3198="Variable",D3198&lt;&gt;catTrading,S3198&gt;0,S3198&lt;=Umbral),1,0))</f>
        <v/>
      </c>
      <c r="AB3198" s="52">
        <f>IF(OR(P3198="",Q3198=""),"",IFERROR(IF(INDEX(ctaVinc,MATCH(Q3198,ctaNombre,0))&amp;""&lt;&gt;"",INDEX(ctaVinc,MATCH(Q3198,ctaNombre,0))&amp;"",Q3198),Q3198))</f>
        <v/>
      </c>
      <c r="AC3198" s="52">
        <f>IF(OR(K3198="",AND(P3198&lt;&gt;"Transferencia",P3198&lt;&gt;"Pago tarjeta")),"",IFERROR(IF(INDEX(ctaVinc,MATCH(K3198,ctaNombre,0))&amp;""&lt;&gt;"",INDEX(ctaVinc,MATCH(K3198,ctaNombre,0))&amp;"",K3198),K3198))</f>
        <v/>
      </c>
      <c r="AD3198" s="52">
        <f>IF(AB3198="","",IFERROR(INDEX(ctaTipo,MATCH(AB3198,ctaNombre,0))&amp;"",""))</f>
        <v/>
      </c>
      <c r="AE3198" s="52">
        <f>IF(AC3198="","",IFERROR(INDEX(ctaTipo,MATCH(AC3198,ctaNombre,0))&amp;"",""))</f>
        <v/>
      </c>
      <c r="AF3198" s="53">
        <f>IF(OR(P3198="",AB3198=""),"",IF(OR(P3198="Gasto",P3198="Transferencia",P3198="Pago tarjeta"),-1,1)*IF(IFERROR(INDEX(ctaMoneda,MATCH(AB3198,ctaNombre,0))&amp;"","DOP")="USD",T3198,S3198))</f>
        <v/>
      </c>
      <c r="AG3198" s="53">
        <f>IF(AC3198="","",IF(IFERROR(INDEX(ctaMoneda,MATCH(AC3198,ctaNombre,0))&amp;"","DOP")="USD",T3198,S3198))</f>
        <v/>
      </c>
      <c r="AH3198" s="53">
        <f>IF(P3198="","",IF(AND(AD3198&lt;&gt;"",COUNTIFS(tcTipo,AD3198,tcLiq,"Sí")&gt;0),IF(OR(P3198="Gasto",P3198="Transferencia",P3198="Pago tarjeta"),-1,1)*S3198,0)+IF(AND(AE3198&lt;&gt;"",COUNTIFS(tcTipo,AE3198,tcLiq,"Sí")&gt;0),S3198,0))</f>
        <v/>
      </c>
      <c r="AI3198" s="52">
        <f>IF(OR(L3198="",P3198=""),"",IF(COUNTIFS(L$6:L3198,L3198,P$6:P3198,"?*")=1,MAX(AI$5:AI3197)+1,""))</f>
        <v/>
      </c>
    </row>
    <row r="3199">
      <c r="B3199" s="47" t="n"/>
      <c r="C3199" s="48" t="n"/>
      <c r="D3199" s="48" t="n"/>
      <c r="E3199" s="48" t="n"/>
      <c r="F3199" s="48" t="n"/>
      <c r="G3199" s="49" t="n"/>
      <c r="H3199" s="48" t="n"/>
      <c r="I3199" s="50" t="n"/>
      <c r="J3199" s="48" t="n"/>
      <c r="K3199" s="48" t="n"/>
      <c r="L3199" s="48" t="n"/>
      <c r="M3199" s="48" t="n"/>
      <c r="N3199" s="48" t="n"/>
      <c r="O3199" s="51">
        <f>IF(AND(B3199="",G3199="",C3199="",D3199="",J3199=""),"",IF(B3199="","⚠ Falta fecha",IF(G3199="","⚠ Falta monto",IF(Q3199="","⚠ Falta cuenta",IF(ISNA(MATCH(Q3199,ctaNombre,0)),"⚠ Cuenta no registrada",IF(AND(OR(P3199="Gasto",P3199="Reembolso"),D3199=""),"⚠ Falta categoría",IF(AND(D3199&lt;&gt;"",E3199&lt;&gt;"",ISNA(MATCH(D3199&amp;"|"&amp;E3199,catClave,0))),"⚠ Subcategoría no corresponde",IF(AND(OR(P3199="Transferencia",P3199="Pago tarjeta"),K3199=""),"⚠ Falta cuenta destino",IF(AND(K3199&lt;&gt;"",P3199&lt;&gt;"Transferencia",P3199&lt;&gt;"Pago tarjeta"),"⚠ Destino solo aplica a transferencias",IF(AND(K3199&lt;&gt;"",K3199=Q3199),"⚠ Origen igual a destino",IF(AND(K3199&lt;&gt;"",ISNA(MATCH(K3199,ctaNombre,0))),"⚠ Destino no registrado",IF(AND(P3199="Pago tarjeta",AE3199&lt;&gt;"Tarjeta de crédito"),"⚠ El destino debe ser tarjeta de crédito",IF(AND(P3199="Gasto",E3199="Depósitos y retiros"),"⚠ Usa tipo Transferencia",IF(AND(P3199="Resultado trading",AD3199&lt;&gt;"Cuenta de trading"),"⚠ Usa una cuenta de trading",IF(AND(G3199&lt;=0,P3199&lt;&gt;"Ajuste",P3199&lt;&gt;"Resultado trading"),"⚠ El monto debe ser positivo","✓")))))))))))))))</f>
        <v/>
      </c>
      <c r="P3199" s="52">
        <f>IF(OR(B3199="",G3199=""),"",IF(C3199="","Gasto",C3199))</f>
        <v/>
      </c>
      <c r="Q3199" s="52">
        <f>IF(P3199="","",IF(J3199&lt;&gt;"",J3199,CuentaPred&amp;""))</f>
        <v/>
      </c>
      <c r="R3199" s="52">
        <f>IF(P3199="","",IF(ISNUMBER(I3199),I3199,TasaUSD))</f>
        <v/>
      </c>
      <c r="S3199" s="53">
        <f>IF(P3199="","",IF(H3199="USD",G3199*R3199,G3199))</f>
        <v/>
      </c>
      <c r="T3199" s="53">
        <f>IF(P3199="","",IF(H3199="USD",G3199,IF(R3199&gt;0,G3199/R3199,0)))</f>
        <v/>
      </c>
      <c r="U3199" s="53">
        <f>IF(P3199="","",IF(P3199="Gasto",S3199,IF(P3199="Reembolso",-S3199,0)))</f>
        <v/>
      </c>
      <c r="V3199" s="53">
        <f>IF(P3199="","",IF(P3199="Ingreso",S3199,0))</f>
        <v/>
      </c>
      <c r="W3199" s="53">
        <f>IF(P3199="","",IF(P3199="Resultado trading",S3199,0))</f>
        <v/>
      </c>
      <c r="X3199" s="52">
        <f>IF(OR(P3199="Gasto",P3199="Reembolso"),IF(M3199&lt;&gt;"",M3199,IFERROR(INDEX(catClasif,MATCH(D3199&amp;"|"&amp;E3199,catClave,0))&amp;"","Variable")),"")</f>
        <v/>
      </c>
      <c r="Y3199" s="52">
        <f>IF(P3199="","",IFERROR(INDEX(catGrupo,MATCH(D3199&amp;"|"&amp;E3199,catClave,0))&amp;"",""))</f>
        <v/>
      </c>
      <c r="Z3199" s="52">
        <f>IF(P3199="","",WEEKDAY(B3199,2))</f>
        <v/>
      </c>
      <c r="AA3199" s="52">
        <f>IF(P3199="","",IF(AND(P3199="Gasto",X3199="Variable",D3199&lt;&gt;catTrading,S3199&gt;0,S3199&lt;=Umbral),1,0))</f>
        <v/>
      </c>
      <c r="AB3199" s="52">
        <f>IF(OR(P3199="",Q3199=""),"",IFERROR(IF(INDEX(ctaVinc,MATCH(Q3199,ctaNombre,0))&amp;""&lt;&gt;"",INDEX(ctaVinc,MATCH(Q3199,ctaNombre,0))&amp;"",Q3199),Q3199))</f>
        <v/>
      </c>
      <c r="AC3199" s="52">
        <f>IF(OR(K3199="",AND(P3199&lt;&gt;"Transferencia",P3199&lt;&gt;"Pago tarjeta")),"",IFERROR(IF(INDEX(ctaVinc,MATCH(K3199,ctaNombre,0))&amp;""&lt;&gt;"",INDEX(ctaVinc,MATCH(K3199,ctaNombre,0))&amp;"",K3199),K3199))</f>
        <v/>
      </c>
      <c r="AD3199" s="52">
        <f>IF(AB3199="","",IFERROR(INDEX(ctaTipo,MATCH(AB3199,ctaNombre,0))&amp;"",""))</f>
        <v/>
      </c>
      <c r="AE3199" s="52">
        <f>IF(AC3199="","",IFERROR(INDEX(ctaTipo,MATCH(AC3199,ctaNombre,0))&amp;"",""))</f>
        <v/>
      </c>
      <c r="AF3199" s="53">
        <f>IF(OR(P3199="",AB3199=""),"",IF(OR(P3199="Gasto",P3199="Transferencia",P3199="Pago tarjeta"),-1,1)*IF(IFERROR(INDEX(ctaMoneda,MATCH(AB3199,ctaNombre,0))&amp;"","DOP")="USD",T3199,S3199))</f>
        <v/>
      </c>
      <c r="AG3199" s="53">
        <f>IF(AC3199="","",IF(IFERROR(INDEX(ctaMoneda,MATCH(AC3199,ctaNombre,0))&amp;"","DOP")="USD",T3199,S3199))</f>
        <v/>
      </c>
      <c r="AH3199" s="53">
        <f>IF(P3199="","",IF(AND(AD3199&lt;&gt;"",COUNTIFS(tcTipo,AD3199,tcLiq,"Sí")&gt;0),IF(OR(P3199="Gasto",P3199="Transferencia",P3199="Pago tarjeta"),-1,1)*S3199,0)+IF(AND(AE3199&lt;&gt;"",COUNTIFS(tcTipo,AE3199,tcLiq,"Sí")&gt;0),S3199,0))</f>
        <v/>
      </c>
      <c r="AI3199" s="52">
        <f>IF(OR(L3199="",P3199=""),"",IF(COUNTIFS(L$6:L3199,L3199,P$6:P3199,"?*")=1,MAX(AI$5:AI3198)+1,""))</f>
        <v/>
      </c>
    </row>
    <row r="3200">
      <c r="B3200" s="47" t="n"/>
      <c r="C3200" s="48" t="n"/>
      <c r="D3200" s="48" t="n"/>
      <c r="E3200" s="48" t="n"/>
      <c r="F3200" s="48" t="n"/>
      <c r="G3200" s="49" t="n"/>
      <c r="H3200" s="48" t="n"/>
      <c r="I3200" s="50" t="n"/>
      <c r="J3200" s="48" t="n"/>
      <c r="K3200" s="48" t="n"/>
      <c r="L3200" s="48" t="n"/>
      <c r="M3200" s="48" t="n"/>
      <c r="N3200" s="48" t="n"/>
      <c r="O3200" s="51">
        <f>IF(AND(B3200="",G3200="",C3200="",D3200="",J3200=""),"",IF(B3200="","⚠ Falta fecha",IF(G3200="","⚠ Falta monto",IF(Q3200="","⚠ Falta cuenta",IF(ISNA(MATCH(Q3200,ctaNombre,0)),"⚠ Cuenta no registrada",IF(AND(OR(P3200="Gasto",P3200="Reembolso"),D3200=""),"⚠ Falta categoría",IF(AND(D3200&lt;&gt;"",E3200&lt;&gt;"",ISNA(MATCH(D3200&amp;"|"&amp;E3200,catClave,0))),"⚠ Subcategoría no corresponde",IF(AND(OR(P3200="Transferencia",P3200="Pago tarjeta"),K3200=""),"⚠ Falta cuenta destino",IF(AND(K3200&lt;&gt;"",P3200&lt;&gt;"Transferencia",P3200&lt;&gt;"Pago tarjeta"),"⚠ Destino solo aplica a transferencias",IF(AND(K3200&lt;&gt;"",K3200=Q3200),"⚠ Origen igual a destino",IF(AND(K3200&lt;&gt;"",ISNA(MATCH(K3200,ctaNombre,0))),"⚠ Destino no registrado",IF(AND(P3200="Pago tarjeta",AE3200&lt;&gt;"Tarjeta de crédito"),"⚠ El destino debe ser tarjeta de crédito",IF(AND(P3200="Gasto",E3200="Depósitos y retiros"),"⚠ Usa tipo Transferencia",IF(AND(P3200="Resultado trading",AD3200&lt;&gt;"Cuenta de trading"),"⚠ Usa una cuenta de trading",IF(AND(G3200&lt;=0,P3200&lt;&gt;"Ajuste",P3200&lt;&gt;"Resultado trading"),"⚠ El monto debe ser positivo","✓")))))))))))))))</f>
        <v/>
      </c>
      <c r="P3200" s="52">
        <f>IF(OR(B3200="",G3200=""),"",IF(C3200="","Gasto",C3200))</f>
        <v/>
      </c>
      <c r="Q3200" s="52">
        <f>IF(P3200="","",IF(J3200&lt;&gt;"",J3200,CuentaPred&amp;""))</f>
        <v/>
      </c>
      <c r="R3200" s="52">
        <f>IF(P3200="","",IF(ISNUMBER(I3200),I3200,TasaUSD))</f>
        <v/>
      </c>
      <c r="S3200" s="53">
        <f>IF(P3200="","",IF(H3200="USD",G3200*R3200,G3200))</f>
        <v/>
      </c>
      <c r="T3200" s="53">
        <f>IF(P3200="","",IF(H3200="USD",G3200,IF(R3200&gt;0,G3200/R3200,0)))</f>
        <v/>
      </c>
      <c r="U3200" s="53">
        <f>IF(P3200="","",IF(P3200="Gasto",S3200,IF(P3200="Reembolso",-S3200,0)))</f>
        <v/>
      </c>
      <c r="V3200" s="53">
        <f>IF(P3200="","",IF(P3200="Ingreso",S3200,0))</f>
        <v/>
      </c>
      <c r="W3200" s="53">
        <f>IF(P3200="","",IF(P3200="Resultado trading",S3200,0))</f>
        <v/>
      </c>
      <c r="X3200" s="52">
        <f>IF(OR(P3200="Gasto",P3200="Reembolso"),IF(M3200&lt;&gt;"",M3200,IFERROR(INDEX(catClasif,MATCH(D3200&amp;"|"&amp;E3200,catClave,0))&amp;"","Variable")),"")</f>
        <v/>
      </c>
      <c r="Y3200" s="52">
        <f>IF(P3200="","",IFERROR(INDEX(catGrupo,MATCH(D3200&amp;"|"&amp;E3200,catClave,0))&amp;"",""))</f>
        <v/>
      </c>
      <c r="Z3200" s="52">
        <f>IF(P3200="","",WEEKDAY(B3200,2))</f>
        <v/>
      </c>
      <c r="AA3200" s="52">
        <f>IF(P3200="","",IF(AND(P3200="Gasto",X3200="Variable",D3200&lt;&gt;catTrading,S3200&gt;0,S3200&lt;=Umbral),1,0))</f>
        <v/>
      </c>
      <c r="AB3200" s="52">
        <f>IF(OR(P3200="",Q3200=""),"",IFERROR(IF(INDEX(ctaVinc,MATCH(Q3200,ctaNombre,0))&amp;""&lt;&gt;"",INDEX(ctaVinc,MATCH(Q3200,ctaNombre,0))&amp;"",Q3200),Q3200))</f>
        <v/>
      </c>
      <c r="AC3200" s="52">
        <f>IF(OR(K3200="",AND(P3200&lt;&gt;"Transferencia",P3200&lt;&gt;"Pago tarjeta")),"",IFERROR(IF(INDEX(ctaVinc,MATCH(K3200,ctaNombre,0))&amp;""&lt;&gt;"",INDEX(ctaVinc,MATCH(K3200,ctaNombre,0))&amp;"",K3200),K3200))</f>
        <v/>
      </c>
      <c r="AD3200" s="52">
        <f>IF(AB3200="","",IFERROR(INDEX(ctaTipo,MATCH(AB3200,ctaNombre,0))&amp;"",""))</f>
        <v/>
      </c>
      <c r="AE3200" s="52">
        <f>IF(AC3200="","",IFERROR(INDEX(ctaTipo,MATCH(AC3200,ctaNombre,0))&amp;"",""))</f>
        <v/>
      </c>
      <c r="AF3200" s="53">
        <f>IF(OR(P3200="",AB3200=""),"",IF(OR(P3200="Gasto",P3200="Transferencia",P3200="Pago tarjeta"),-1,1)*IF(IFERROR(INDEX(ctaMoneda,MATCH(AB3200,ctaNombre,0))&amp;"","DOP")="USD",T3200,S3200))</f>
        <v/>
      </c>
      <c r="AG3200" s="53">
        <f>IF(AC3200="","",IF(IFERROR(INDEX(ctaMoneda,MATCH(AC3200,ctaNombre,0))&amp;"","DOP")="USD",T3200,S3200))</f>
        <v/>
      </c>
      <c r="AH3200" s="53">
        <f>IF(P3200="","",IF(AND(AD3200&lt;&gt;"",COUNTIFS(tcTipo,AD3200,tcLiq,"Sí")&gt;0),IF(OR(P3200="Gasto",P3200="Transferencia",P3200="Pago tarjeta"),-1,1)*S3200,0)+IF(AND(AE3200&lt;&gt;"",COUNTIFS(tcTipo,AE3200,tcLiq,"Sí")&gt;0),S3200,0))</f>
        <v/>
      </c>
      <c r="AI3200" s="52">
        <f>IF(OR(L3200="",P3200=""),"",IF(COUNTIFS(L$6:L3200,L3200,P$6:P3200,"?*")=1,MAX(AI$5:AI3199)+1,""))</f>
        <v/>
      </c>
    </row>
    <row r="3201">
      <c r="B3201" s="47" t="n"/>
      <c r="C3201" s="48" t="n"/>
      <c r="D3201" s="48" t="n"/>
      <c r="E3201" s="48" t="n"/>
      <c r="F3201" s="48" t="n"/>
      <c r="G3201" s="49" t="n"/>
      <c r="H3201" s="48" t="n"/>
      <c r="I3201" s="50" t="n"/>
      <c r="J3201" s="48" t="n"/>
      <c r="K3201" s="48" t="n"/>
      <c r="L3201" s="48" t="n"/>
      <c r="M3201" s="48" t="n"/>
      <c r="N3201" s="48" t="n"/>
      <c r="O3201" s="51">
        <f>IF(AND(B3201="",G3201="",C3201="",D3201="",J3201=""),"",IF(B3201="","⚠ Falta fecha",IF(G3201="","⚠ Falta monto",IF(Q3201="","⚠ Falta cuenta",IF(ISNA(MATCH(Q3201,ctaNombre,0)),"⚠ Cuenta no registrada",IF(AND(OR(P3201="Gasto",P3201="Reembolso"),D3201=""),"⚠ Falta categoría",IF(AND(D3201&lt;&gt;"",E3201&lt;&gt;"",ISNA(MATCH(D3201&amp;"|"&amp;E3201,catClave,0))),"⚠ Subcategoría no corresponde",IF(AND(OR(P3201="Transferencia",P3201="Pago tarjeta"),K3201=""),"⚠ Falta cuenta destino",IF(AND(K3201&lt;&gt;"",P3201&lt;&gt;"Transferencia",P3201&lt;&gt;"Pago tarjeta"),"⚠ Destino solo aplica a transferencias",IF(AND(K3201&lt;&gt;"",K3201=Q3201),"⚠ Origen igual a destino",IF(AND(K3201&lt;&gt;"",ISNA(MATCH(K3201,ctaNombre,0))),"⚠ Destino no registrado",IF(AND(P3201="Pago tarjeta",AE3201&lt;&gt;"Tarjeta de crédito"),"⚠ El destino debe ser tarjeta de crédito",IF(AND(P3201="Gasto",E3201="Depósitos y retiros"),"⚠ Usa tipo Transferencia",IF(AND(P3201="Resultado trading",AD3201&lt;&gt;"Cuenta de trading"),"⚠ Usa una cuenta de trading",IF(AND(G3201&lt;=0,P3201&lt;&gt;"Ajuste",P3201&lt;&gt;"Resultado trading"),"⚠ El monto debe ser positivo","✓")))))))))))))))</f>
        <v/>
      </c>
      <c r="P3201" s="52">
        <f>IF(OR(B3201="",G3201=""),"",IF(C3201="","Gasto",C3201))</f>
        <v/>
      </c>
      <c r="Q3201" s="52">
        <f>IF(P3201="","",IF(J3201&lt;&gt;"",J3201,CuentaPred&amp;""))</f>
        <v/>
      </c>
      <c r="R3201" s="52">
        <f>IF(P3201="","",IF(ISNUMBER(I3201),I3201,TasaUSD))</f>
        <v/>
      </c>
      <c r="S3201" s="53">
        <f>IF(P3201="","",IF(H3201="USD",G3201*R3201,G3201))</f>
        <v/>
      </c>
      <c r="T3201" s="53">
        <f>IF(P3201="","",IF(H3201="USD",G3201,IF(R3201&gt;0,G3201/R3201,0)))</f>
        <v/>
      </c>
      <c r="U3201" s="53">
        <f>IF(P3201="","",IF(P3201="Gasto",S3201,IF(P3201="Reembolso",-S3201,0)))</f>
        <v/>
      </c>
      <c r="V3201" s="53">
        <f>IF(P3201="","",IF(P3201="Ingreso",S3201,0))</f>
        <v/>
      </c>
      <c r="W3201" s="53">
        <f>IF(P3201="","",IF(P3201="Resultado trading",S3201,0))</f>
        <v/>
      </c>
      <c r="X3201" s="52">
        <f>IF(OR(P3201="Gasto",P3201="Reembolso"),IF(M3201&lt;&gt;"",M3201,IFERROR(INDEX(catClasif,MATCH(D3201&amp;"|"&amp;E3201,catClave,0))&amp;"","Variable")),"")</f>
        <v/>
      </c>
      <c r="Y3201" s="52">
        <f>IF(P3201="","",IFERROR(INDEX(catGrupo,MATCH(D3201&amp;"|"&amp;E3201,catClave,0))&amp;"",""))</f>
        <v/>
      </c>
      <c r="Z3201" s="52">
        <f>IF(P3201="","",WEEKDAY(B3201,2))</f>
        <v/>
      </c>
      <c r="AA3201" s="52">
        <f>IF(P3201="","",IF(AND(P3201="Gasto",X3201="Variable",D3201&lt;&gt;catTrading,S3201&gt;0,S3201&lt;=Umbral),1,0))</f>
        <v/>
      </c>
      <c r="AB3201" s="52">
        <f>IF(OR(P3201="",Q3201=""),"",IFERROR(IF(INDEX(ctaVinc,MATCH(Q3201,ctaNombre,0))&amp;""&lt;&gt;"",INDEX(ctaVinc,MATCH(Q3201,ctaNombre,0))&amp;"",Q3201),Q3201))</f>
        <v/>
      </c>
      <c r="AC3201" s="52">
        <f>IF(OR(K3201="",AND(P3201&lt;&gt;"Transferencia",P3201&lt;&gt;"Pago tarjeta")),"",IFERROR(IF(INDEX(ctaVinc,MATCH(K3201,ctaNombre,0))&amp;""&lt;&gt;"",INDEX(ctaVinc,MATCH(K3201,ctaNombre,0))&amp;"",K3201),K3201))</f>
        <v/>
      </c>
      <c r="AD3201" s="52">
        <f>IF(AB3201="","",IFERROR(INDEX(ctaTipo,MATCH(AB3201,ctaNombre,0))&amp;"",""))</f>
        <v/>
      </c>
      <c r="AE3201" s="52">
        <f>IF(AC3201="","",IFERROR(INDEX(ctaTipo,MATCH(AC3201,ctaNombre,0))&amp;"",""))</f>
        <v/>
      </c>
      <c r="AF3201" s="53">
        <f>IF(OR(P3201="",AB3201=""),"",IF(OR(P3201="Gasto",P3201="Transferencia",P3201="Pago tarjeta"),-1,1)*IF(IFERROR(INDEX(ctaMoneda,MATCH(AB3201,ctaNombre,0))&amp;"","DOP")="USD",T3201,S3201))</f>
        <v/>
      </c>
      <c r="AG3201" s="53">
        <f>IF(AC3201="","",IF(IFERROR(INDEX(ctaMoneda,MATCH(AC3201,ctaNombre,0))&amp;"","DOP")="USD",T3201,S3201))</f>
        <v/>
      </c>
      <c r="AH3201" s="53">
        <f>IF(P3201="","",IF(AND(AD3201&lt;&gt;"",COUNTIFS(tcTipo,AD3201,tcLiq,"Sí")&gt;0),IF(OR(P3201="Gasto",P3201="Transferencia",P3201="Pago tarjeta"),-1,1)*S3201,0)+IF(AND(AE3201&lt;&gt;"",COUNTIFS(tcTipo,AE3201,tcLiq,"Sí")&gt;0),S3201,0))</f>
        <v/>
      </c>
      <c r="AI3201" s="52">
        <f>IF(OR(L3201="",P3201=""),"",IF(COUNTIFS(L$6:L3201,L3201,P$6:P3201,"?*")=1,MAX(AI$5:AI3200)+1,""))</f>
        <v/>
      </c>
    </row>
    <row r="3202">
      <c r="B3202" s="47" t="n"/>
      <c r="C3202" s="48" t="n"/>
      <c r="D3202" s="48" t="n"/>
      <c r="E3202" s="48" t="n"/>
      <c r="F3202" s="48" t="n"/>
      <c r="G3202" s="49" t="n"/>
      <c r="H3202" s="48" t="n"/>
      <c r="I3202" s="50" t="n"/>
      <c r="J3202" s="48" t="n"/>
      <c r="K3202" s="48" t="n"/>
      <c r="L3202" s="48" t="n"/>
      <c r="M3202" s="48" t="n"/>
      <c r="N3202" s="48" t="n"/>
      <c r="O3202" s="51">
        <f>IF(AND(B3202="",G3202="",C3202="",D3202="",J3202=""),"",IF(B3202="","⚠ Falta fecha",IF(G3202="","⚠ Falta monto",IF(Q3202="","⚠ Falta cuenta",IF(ISNA(MATCH(Q3202,ctaNombre,0)),"⚠ Cuenta no registrada",IF(AND(OR(P3202="Gasto",P3202="Reembolso"),D3202=""),"⚠ Falta categoría",IF(AND(D3202&lt;&gt;"",E3202&lt;&gt;"",ISNA(MATCH(D3202&amp;"|"&amp;E3202,catClave,0))),"⚠ Subcategoría no corresponde",IF(AND(OR(P3202="Transferencia",P3202="Pago tarjeta"),K3202=""),"⚠ Falta cuenta destino",IF(AND(K3202&lt;&gt;"",P3202&lt;&gt;"Transferencia",P3202&lt;&gt;"Pago tarjeta"),"⚠ Destino solo aplica a transferencias",IF(AND(K3202&lt;&gt;"",K3202=Q3202),"⚠ Origen igual a destino",IF(AND(K3202&lt;&gt;"",ISNA(MATCH(K3202,ctaNombre,0))),"⚠ Destino no registrado",IF(AND(P3202="Pago tarjeta",AE3202&lt;&gt;"Tarjeta de crédito"),"⚠ El destino debe ser tarjeta de crédito",IF(AND(P3202="Gasto",E3202="Depósitos y retiros"),"⚠ Usa tipo Transferencia",IF(AND(P3202="Resultado trading",AD3202&lt;&gt;"Cuenta de trading"),"⚠ Usa una cuenta de trading",IF(AND(G3202&lt;=0,P3202&lt;&gt;"Ajuste",P3202&lt;&gt;"Resultado trading"),"⚠ El monto debe ser positivo","✓")))))))))))))))</f>
        <v/>
      </c>
      <c r="P3202" s="52">
        <f>IF(OR(B3202="",G3202=""),"",IF(C3202="","Gasto",C3202))</f>
        <v/>
      </c>
      <c r="Q3202" s="52">
        <f>IF(P3202="","",IF(J3202&lt;&gt;"",J3202,CuentaPred&amp;""))</f>
        <v/>
      </c>
      <c r="R3202" s="52">
        <f>IF(P3202="","",IF(ISNUMBER(I3202),I3202,TasaUSD))</f>
        <v/>
      </c>
      <c r="S3202" s="53">
        <f>IF(P3202="","",IF(H3202="USD",G3202*R3202,G3202))</f>
        <v/>
      </c>
      <c r="T3202" s="53">
        <f>IF(P3202="","",IF(H3202="USD",G3202,IF(R3202&gt;0,G3202/R3202,0)))</f>
        <v/>
      </c>
      <c r="U3202" s="53">
        <f>IF(P3202="","",IF(P3202="Gasto",S3202,IF(P3202="Reembolso",-S3202,0)))</f>
        <v/>
      </c>
      <c r="V3202" s="53">
        <f>IF(P3202="","",IF(P3202="Ingreso",S3202,0))</f>
        <v/>
      </c>
      <c r="W3202" s="53">
        <f>IF(P3202="","",IF(P3202="Resultado trading",S3202,0))</f>
        <v/>
      </c>
      <c r="X3202" s="52">
        <f>IF(OR(P3202="Gasto",P3202="Reembolso"),IF(M3202&lt;&gt;"",M3202,IFERROR(INDEX(catClasif,MATCH(D3202&amp;"|"&amp;E3202,catClave,0))&amp;"","Variable")),"")</f>
        <v/>
      </c>
      <c r="Y3202" s="52">
        <f>IF(P3202="","",IFERROR(INDEX(catGrupo,MATCH(D3202&amp;"|"&amp;E3202,catClave,0))&amp;"",""))</f>
        <v/>
      </c>
      <c r="Z3202" s="52">
        <f>IF(P3202="","",WEEKDAY(B3202,2))</f>
        <v/>
      </c>
      <c r="AA3202" s="52">
        <f>IF(P3202="","",IF(AND(P3202="Gasto",X3202="Variable",D3202&lt;&gt;catTrading,S3202&gt;0,S3202&lt;=Umbral),1,0))</f>
        <v/>
      </c>
      <c r="AB3202" s="52">
        <f>IF(OR(P3202="",Q3202=""),"",IFERROR(IF(INDEX(ctaVinc,MATCH(Q3202,ctaNombre,0))&amp;""&lt;&gt;"",INDEX(ctaVinc,MATCH(Q3202,ctaNombre,0))&amp;"",Q3202),Q3202))</f>
        <v/>
      </c>
      <c r="AC3202" s="52">
        <f>IF(OR(K3202="",AND(P3202&lt;&gt;"Transferencia",P3202&lt;&gt;"Pago tarjeta")),"",IFERROR(IF(INDEX(ctaVinc,MATCH(K3202,ctaNombre,0))&amp;""&lt;&gt;"",INDEX(ctaVinc,MATCH(K3202,ctaNombre,0))&amp;"",K3202),K3202))</f>
        <v/>
      </c>
      <c r="AD3202" s="52">
        <f>IF(AB3202="","",IFERROR(INDEX(ctaTipo,MATCH(AB3202,ctaNombre,0))&amp;"",""))</f>
        <v/>
      </c>
      <c r="AE3202" s="52">
        <f>IF(AC3202="","",IFERROR(INDEX(ctaTipo,MATCH(AC3202,ctaNombre,0))&amp;"",""))</f>
        <v/>
      </c>
      <c r="AF3202" s="53">
        <f>IF(OR(P3202="",AB3202=""),"",IF(OR(P3202="Gasto",P3202="Transferencia",P3202="Pago tarjeta"),-1,1)*IF(IFERROR(INDEX(ctaMoneda,MATCH(AB3202,ctaNombre,0))&amp;"","DOP")="USD",T3202,S3202))</f>
        <v/>
      </c>
      <c r="AG3202" s="53">
        <f>IF(AC3202="","",IF(IFERROR(INDEX(ctaMoneda,MATCH(AC3202,ctaNombre,0))&amp;"","DOP")="USD",T3202,S3202))</f>
        <v/>
      </c>
      <c r="AH3202" s="53">
        <f>IF(P3202="","",IF(AND(AD3202&lt;&gt;"",COUNTIFS(tcTipo,AD3202,tcLiq,"Sí")&gt;0),IF(OR(P3202="Gasto",P3202="Transferencia",P3202="Pago tarjeta"),-1,1)*S3202,0)+IF(AND(AE3202&lt;&gt;"",COUNTIFS(tcTipo,AE3202,tcLiq,"Sí")&gt;0),S3202,0))</f>
        <v/>
      </c>
      <c r="AI3202" s="52">
        <f>IF(OR(L3202="",P3202=""),"",IF(COUNTIFS(L$6:L3202,L3202,P$6:P3202,"?*")=1,MAX(AI$5:AI3201)+1,""))</f>
        <v/>
      </c>
    </row>
    <row r="3203">
      <c r="B3203" s="47" t="n"/>
      <c r="C3203" s="48" t="n"/>
      <c r="D3203" s="48" t="n"/>
      <c r="E3203" s="48" t="n"/>
      <c r="F3203" s="48" t="n"/>
      <c r="G3203" s="49" t="n"/>
      <c r="H3203" s="48" t="n"/>
      <c r="I3203" s="50" t="n"/>
      <c r="J3203" s="48" t="n"/>
      <c r="K3203" s="48" t="n"/>
      <c r="L3203" s="48" t="n"/>
      <c r="M3203" s="48" t="n"/>
      <c r="N3203" s="48" t="n"/>
      <c r="O3203" s="51">
        <f>IF(AND(B3203="",G3203="",C3203="",D3203="",J3203=""),"",IF(B3203="","⚠ Falta fecha",IF(G3203="","⚠ Falta monto",IF(Q3203="","⚠ Falta cuenta",IF(ISNA(MATCH(Q3203,ctaNombre,0)),"⚠ Cuenta no registrada",IF(AND(OR(P3203="Gasto",P3203="Reembolso"),D3203=""),"⚠ Falta categoría",IF(AND(D3203&lt;&gt;"",E3203&lt;&gt;"",ISNA(MATCH(D3203&amp;"|"&amp;E3203,catClave,0))),"⚠ Subcategoría no corresponde",IF(AND(OR(P3203="Transferencia",P3203="Pago tarjeta"),K3203=""),"⚠ Falta cuenta destino",IF(AND(K3203&lt;&gt;"",P3203&lt;&gt;"Transferencia",P3203&lt;&gt;"Pago tarjeta"),"⚠ Destino solo aplica a transferencias",IF(AND(K3203&lt;&gt;"",K3203=Q3203),"⚠ Origen igual a destino",IF(AND(K3203&lt;&gt;"",ISNA(MATCH(K3203,ctaNombre,0))),"⚠ Destino no registrado",IF(AND(P3203="Pago tarjeta",AE3203&lt;&gt;"Tarjeta de crédito"),"⚠ El destino debe ser tarjeta de crédito",IF(AND(P3203="Gasto",E3203="Depósitos y retiros"),"⚠ Usa tipo Transferencia",IF(AND(P3203="Resultado trading",AD3203&lt;&gt;"Cuenta de trading"),"⚠ Usa una cuenta de trading",IF(AND(G3203&lt;=0,P3203&lt;&gt;"Ajuste",P3203&lt;&gt;"Resultado trading"),"⚠ El monto debe ser positivo","✓")))))))))))))))</f>
        <v/>
      </c>
      <c r="P3203" s="52">
        <f>IF(OR(B3203="",G3203=""),"",IF(C3203="","Gasto",C3203))</f>
        <v/>
      </c>
      <c r="Q3203" s="52">
        <f>IF(P3203="","",IF(J3203&lt;&gt;"",J3203,CuentaPred&amp;""))</f>
        <v/>
      </c>
      <c r="R3203" s="52">
        <f>IF(P3203="","",IF(ISNUMBER(I3203),I3203,TasaUSD))</f>
        <v/>
      </c>
      <c r="S3203" s="53">
        <f>IF(P3203="","",IF(H3203="USD",G3203*R3203,G3203))</f>
        <v/>
      </c>
      <c r="T3203" s="53">
        <f>IF(P3203="","",IF(H3203="USD",G3203,IF(R3203&gt;0,G3203/R3203,0)))</f>
        <v/>
      </c>
      <c r="U3203" s="53">
        <f>IF(P3203="","",IF(P3203="Gasto",S3203,IF(P3203="Reembolso",-S3203,0)))</f>
        <v/>
      </c>
      <c r="V3203" s="53">
        <f>IF(P3203="","",IF(P3203="Ingreso",S3203,0))</f>
        <v/>
      </c>
      <c r="W3203" s="53">
        <f>IF(P3203="","",IF(P3203="Resultado trading",S3203,0))</f>
        <v/>
      </c>
      <c r="X3203" s="52">
        <f>IF(OR(P3203="Gasto",P3203="Reembolso"),IF(M3203&lt;&gt;"",M3203,IFERROR(INDEX(catClasif,MATCH(D3203&amp;"|"&amp;E3203,catClave,0))&amp;"","Variable")),"")</f>
        <v/>
      </c>
      <c r="Y3203" s="52">
        <f>IF(P3203="","",IFERROR(INDEX(catGrupo,MATCH(D3203&amp;"|"&amp;E3203,catClave,0))&amp;"",""))</f>
        <v/>
      </c>
      <c r="Z3203" s="52">
        <f>IF(P3203="","",WEEKDAY(B3203,2))</f>
        <v/>
      </c>
      <c r="AA3203" s="52">
        <f>IF(P3203="","",IF(AND(P3203="Gasto",X3203="Variable",D3203&lt;&gt;catTrading,S3203&gt;0,S3203&lt;=Umbral),1,0))</f>
        <v/>
      </c>
      <c r="AB3203" s="52">
        <f>IF(OR(P3203="",Q3203=""),"",IFERROR(IF(INDEX(ctaVinc,MATCH(Q3203,ctaNombre,0))&amp;""&lt;&gt;"",INDEX(ctaVinc,MATCH(Q3203,ctaNombre,0))&amp;"",Q3203),Q3203))</f>
        <v/>
      </c>
      <c r="AC3203" s="52">
        <f>IF(OR(K3203="",AND(P3203&lt;&gt;"Transferencia",P3203&lt;&gt;"Pago tarjeta")),"",IFERROR(IF(INDEX(ctaVinc,MATCH(K3203,ctaNombre,0))&amp;""&lt;&gt;"",INDEX(ctaVinc,MATCH(K3203,ctaNombre,0))&amp;"",K3203),K3203))</f>
        <v/>
      </c>
      <c r="AD3203" s="52">
        <f>IF(AB3203="","",IFERROR(INDEX(ctaTipo,MATCH(AB3203,ctaNombre,0))&amp;"",""))</f>
        <v/>
      </c>
      <c r="AE3203" s="52">
        <f>IF(AC3203="","",IFERROR(INDEX(ctaTipo,MATCH(AC3203,ctaNombre,0))&amp;"",""))</f>
        <v/>
      </c>
      <c r="AF3203" s="53">
        <f>IF(OR(P3203="",AB3203=""),"",IF(OR(P3203="Gasto",P3203="Transferencia",P3203="Pago tarjeta"),-1,1)*IF(IFERROR(INDEX(ctaMoneda,MATCH(AB3203,ctaNombre,0))&amp;"","DOP")="USD",T3203,S3203))</f>
        <v/>
      </c>
      <c r="AG3203" s="53">
        <f>IF(AC3203="","",IF(IFERROR(INDEX(ctaMoneda,MATCH(AC3203,ctaNombre,0))&amp;"","DOP")="USD",T3203,S3203))</f>
        <v/>
      </c>
      <c r="AH3203" s="53">
        <f>IF(P3203="","",IF(AND(AD3203&lt;&gt;"",COUNTIFS(tcTipo,AD3203,tcLiq,"Sí")&gt;0),IF(OR(P3203="Gasto",P3203="Transferencia",P3203="Pago tarjeta"),-1,1)*S3203,0)+IF(AND(AE3203&lt;&gt;"",COUNTIFS(tcTipo,AE3203,tcLiq,"Sí")&gt;0),S3203,0))</f>
        <v/>
      </c>
      <c r="AI3203" s="52">
        <f>IF(OR(L3203="",P3203=""),"",IF(COUNTIFS(L$6:L3203,L3203,P$6:P3203,"?*")=1,MAX(AI$5:AI3202)+1,""))</f>
        <v/>
      </c>
    </row>
    <row r="3204">
      <c r="B3204" s="47" t="n"/>
      <c r="C3204" s="48" t="n"/>
      <c r="D3204" s="48" t="n"/>
      <c r="E3204" s="48" t="n"/>
      <c r="F3204" s="48" t="n"/>
      <c r="G3204" s="49" t="n"/>
      <c r="H3204" s="48" t="n"/>
      <c r="I3204" s="50" t="n"/>
      <c r="J3204" s="48" t="n"/>
      <c r="K3204" s="48" t="n"/>
      <c r="L3204" s="48" t="n"/>
      <c r="M3204" s="48" t="n"/>
      <c r="N3204" s="48" t="n"/>
      <c r="O3204" s="51">
        <f>IF(AND(B3204="",G3204="",C3204="",D3204="",J3204=""),"",IF(B3204="","⚠ Falta fecha",IF(G3204="","⚠ Falta monto",IF(Q3204="","⚠ Falta cuenta",IF(ISNA(MATCH(Q3204,ctaNombre,0)),"⚠ Cuenta no registrada",IF(AND(OR(P3204="Gasto",P3204="Reembolso"),D3204=""),"⚠ Falta categoría",IF(AND(D3204&lt;&gt;"",E3204&lt;&gt;"",ISNA(MATCH(D3204&amp;"|"&amp;E3204,catClave,0))),"⚠ Subcategoría no corresponde",IF(AND(OR(P3204="Transferencia",P3204="Pago tarjeta"),K3204=""),"⚠ Falta cuenta destino",IF(AND(K3204&lt;&gt;"",P3204&lt;&gt;"Transferencia",P3204&lt;&gt;"Pago tarjeta"),"⚠ Destino solo aplica a transferencias",IF(AND(K3204&lt;&gt;"",K3204=Q3204),"⚠ Origen igual a destino",IF(AND(K3204&lt;&gt;"",ISNA(MATCH(K3204,ctaNombre,0))),"⚠ Destino no registrado",IF(AND(P3204="Pago tarjeta",AE3204&lt;&gt;"Tarjeta de crédito"),"⚠ El destino debe ser tarjeta de crédito",IF(AND(P3204="Gasto",E3204="Depósitos y retiros"),"⚠ Usa tipo Transferencia",IF(AND(P3204="Resultado trading",AD3204&lt;&gt;"Cuenta de trading"),"⚠ Usa una cuenta de trading",IF(AND(G3204&lt;=0,P3204&lt;&gt;"Ajuste",P3204&lt;&gt;"Resultado trading"),"⚠ El monto debe ser positivo","✓")))))))))))))))</f>
        <v/>
      </c>
      <c r="P3204" s="52">
        <f>IF(OR(B3204="",G3204=""),"",IF(C3204="","Gasto",C3204))</f>
        <v/>
      </c>
      <c r="Q3204" s="52">
        <f>IF(P3204="","",IF(J3204&lt;&gt;"",J3204,CuentaPred&amp;""))</f>
        <v/>
      </c>
      <c r="R3204" s="52">
        <f>IF(P3204="","",IF(ISNUMBER(I3204),I3204,TasaUSD))</f>
        <v/>
      </c>
      <c r="S3204" s="53">
        <f>IF(P3204="","",IF(H3204="USD",G3204*R3204,G3204))</f>
        <v/>
      </c>
      <c r="T3204" s="53">
        <f>IF(P3204="","",IF(H3204="USD",G3204,IF(R3204&gt;0,G3204/R3204,0)))</f>
        <v/>
      </c>
      <c r="U3204" s="53">
        <f>IF(P3204="","",IF(P3204="Gasto",S3204,IF(P3204="Reembolso",-S3204,0)))</f>
        <v/>
      </c>
      <c r="V3204" s="53">
        <f>IF(P3204="","",IF(P3204="Ingreso",S3204,0))</f>
        <v/>
      </c>
      <c r="W3204" s="53">
        <f>IF(P3204="","",IF(P3204="Resultado trading",S3204,0))</f>
        <v/>
      </c>
      <c r="X3204" s="52">
        <f>IF(OR(P3204="Gasto",P3204="Reembolso"),IF(M3204&lt;&gt;"",M3204,IFERROR(INDEX(catClasif,MATCH(D3204&amp;"|"&amp;E3204,catClave,0))&amp;"","Variable")),"")</f>
        <v/>
      </c>
      <c r="Y3204" s="52">
        <f>IF(P3204="","",IFERROR(INDEX(catGrupo,MATCH(D3204&amp;"|"&amp;E3204,catClave,0))&amp;"",""))</f>
        <v/>
      </c>
      <c r="Z3204" s="52">
        <f>IF(P3204="","",WEEKDAY(B3204,2))</f>
        <v/>
      </c>
      <c r="AA3204" s="52">
        <f>IF(P3204="","",IF(AND(P3204="Gasto",X3204="Variable",D3204&lt;&gt;catTrading,S3204&gt;0,S3204&lt;=Umbral),1,0))</f>
        <v/>
      </c>
      <c r="AB3204" s="52">
        <f>IF(OR(P3204="",Q3204=""),"",IFERROR(IF(INDEX(ctaVinc,MATCH(Q3204,ctaNombre,0))&amp;""&lt;&gt;"",INDEX(ctaVinc,MATCH(Q3204,ctaNombre,0))&amp;"",Q3204),Q3204))</f>
        <v/>
      </c>
      <c r="AC3204" s="52">
        <f>IF(OR(K3204="",AND(P3204&lt;&gt;"Transferencia",P3204&lt;&gt;"Pago tarjeta")),"",IFERROR(IF(INDEX(ctaVinc,MATCH(K3204,ctaNombre,0))&amp;""&lt;&gt;"",INDEX(ctaVinc,MATCH(K3204,ctaNombre,0))&amp;"",K3204),K3204))</f>
        <v/>
      </c>
      <c r="AD3204" s="52">
        <f>IF(AB3204="","",IFERROR(INDEX(ctaTipo,MATCH(AB3204,ctaNombre,0))&amp;"",""))</f>
        <v/>
      </c>
      <c r="AE3204" s="52">
        <f>IF(AC3204="","",IFERROR(INDEX(ctaTipo,MATCH(AC3204,ctaNombre,0))&amp;"",""))</f>
        <v/>
      </c>
      <c r="AF3204" s="53">
        <f>IF(OR(P3204="",AB3204=""),"",IF(OR(P3204="Gasto",P3204="Transferencia",P3204="Pago tarjeta"),-1,1)*IF(IFERROR(INDEX(ctaMoneda,MATCH(AB3204,ctaNombre,0))&amp;"","DOP")="USD",T3204,S3204))</f>
        <v/>
      </c>
      <c r="AG3204" s="53">
        <f>IF(AC3204="","",IF(IFERROR(INDEX(ctaMoneda,MATCH(AC3204,ctaNombre,0))&amp;"","DOP")="USD",T3204,S3204))</f>
        <v/>
      </c>
      <c r="AH3204" s="53">
        <f>IF(P3204="","",IF(AND(AD3204&lt;&gt;"",COUNTIFS(tcTipo,AD3204,tcLiq,"Sí")&gt;0),IF(OR(P3204="Gasto",P3204="Transferencia",P3204="Pago tarjeta"),-1,1)*S3204,0)+IF(AND(AE3204&lt;&gt;"",COUNTIFS(tcTipo,AE3204,tcLiq,"Sí")&gt;0),S3204,0))</f>
        <v/>
      </c>
      <c r="AI3204" s="52">
        <f>IF(OR(L3204="",P3204=""),"",IF(COUNTIFS(L$6:L3204,L3204,P$6:P3204,"?*")=1,MAX(AI$5:AI3203)+1,""))</f>
        <v/>
      </c>
    </row>
    <row r="3205">
      <c r="B3205" s="47" t="n"/>
      <c r="C3205" s="48" t="n"/>
      <c r="D3205" s="48" t="n"/>
      <c r="E3205" s="48" t="n"/>
      <c r="F3205" s="48" t="n"/>
      <c r="G3205" s="49" t="n"/>
      <c r="H3205" s="48" t="n"/>
      <c r="I3205" s="50" t="n"/>
      <c r="J3205" s="48" t="n"/>
      <c r="K3205" s="48" t="n"/>
      <c r="L3205" s="48" t="n"/>
      <c r="M3205" s="48" t="n"/>
      <c r="N3205" s="48" t="n"/>
      <c r="O3205" s="51">
        <f>IF(AND(B3205="",G3205="",C3205="",D3205="",J3205=""),"",IF(B3205="","⚠ Falta fecha",IF(G3205="","⚠ Falta monto",IF(Q3205="","⚠ Falta cuenta",IF(ISNA(MATCH(Q3205,ctaNombre,0)),"⚠ Cuenta no registrada",IF(AND(OR(P3205="Gasto",P3205="Reembolso"),D3205=""),"⚠ Falta categoría",IF(AND(D3205&lt;&gt;"",E3205&lt;&gt;"",ISNA(MATCH(D3205&amp;"|"&amp;E3205,catClave,0))),"⚠ Subcategoría no corresponde",IF(AND(OR(P3205="Transferencia",P3205="Pago tarjeta"),K3205=""),"⚠ Falta cuenta destino",IF(AND(K3205&lt;&gt;"",P3205&lt;&gt;"Transferencia",P3205&lt;&gt;"Pago tarjeta"),"⚠ Destino solo aplica a transferencias",IF(AND(K3205&lt;&gt;"",K3205=Q3205),"⚠ Origen igual a destino",IF(AND(K3205&lt;&gt;"",ISNA(MATCH(K3205,ctaNombre,0))),"⚠ Destino no registrado",IF(AND(P3205="Pago tarjeta",AE3205&lt;&gt;"Tarjeta de crédito"),"⚠ El destino debe ser tarjeta de crédito",IF(AND(P3205="Gasto",E3205="Depósitos y retiros"),"⚠ Usa tipo Transferencia",IF(AND(P3205="Resultado trading",AD3205&lt;&gt;"Cuenta de trading"),"⚠ Usa una cuenta de trading",IF(AND(G3205&lt;=0,P3205&lt;&gt;"Ajuste",P3205&lt;&gt;"Resultado trading"),"⚠ El monto debe ser positivo","✓")))))))))))))))</f>
        <v/>
      </c>
      <c r="P3205" s="52">
        <f>IF(OR(B3205="",G3205=""),"",IF(C3205="","Gasto",C3205))</f>
        <v/>
      </c>
      <c r="Q3205" s="52">
        <f>IF(P3205="","",IF(J3205&lt;&gt;"",J3205,CuentaPred&amp;""))</f>
        <v/>
      </c>
      <c r="R3205" s="52">
        <f>IF(P3205="","",IF(ISNUMBER(I3205),I3205,TasaUSD))</f>
        <v/>
      </c>
      <c r="S3205" s="53">
        <f>IF(P3205="","",IF(H3205="USD",G3205*R3205,G3205))</f>
        <v/>
      </c>
      <c r="T3205" s="53">
        <f>IF(P3205="","",IF(H3205="USD",G3205,IF(R3205&gt;0,G3205/R3205,0)))</f>
        <v/>
      </c>
      <c r="U3205" s="53">
        <f>IF(P3205="","",IF(P3205="Gasto",S3205,IF(P3205="Reembolso",-S3205,0)))</f>
        <v/>
      </c>
      <c r="V3205" s="53">
        <f>IF(P3205="","",IF(P3205="Ingreso",S3205,0))</f>
        <v/>
      </c>
      <c r="W3205" s="53">
        <f>IF(P3205="","",IF(P3205="Resultado trading",S3205,0))</f>
        <v/>
      </c>
      <c r="X3205" s="52">
        <f>IF(OR(P3205="Gasto",P3205="Reembolso"),IF(M3205&lt;&gt;"",M3205,IFERROR(INDEX(catClasif,MATCH(D3205&amp;"|"&amp;E3205,catClave,0))&amp;"","Variable")),"")</f>
        <v/>
      </c>
      <c r="Y3205" s="52">
        <f>IF(P3205="","",IFERROR(INDEX(catGrupo,MATCH(D3205&amp;"|"&amp;E3205,catClave,0))&amp;"",""))</f>
        <v/>
      </c>
      <c r="Z3205" s="52">
        <f>IF(P3205="","",WEEKDAY(B3205,2))</f>
        <v/>
      </c>
      <c r="AA3205" s="52">
        <f>IF(P3205="","",IF(AND(P3205="Gasto",X3205="Variable",D3205&lt;&gt;catTrading,S3205&gt;0,S3205&lt;=Umbral),1,0))</f>
        <v/>
      </c>
      <c r="AB3205" s="52">
        <f>IF(OR(P3205="",Q3205=""),"",IFERROR(IF(INDEX(ctaVinc,MATCH(Q3205,ctaNombre,0))&amp;""&lt;&gt;"",INDEX(ctaVinc,MATCH(Q3205,ctaNombre,0))&amp;"",Q3205),Q3205))</f>
        <v/>
      </c>
      <c r="AC3205" s="52">
        <f>IF(OR(K3205="",AND(P3205&lt;&gt;"Transferencia",P3205&lt;&gt;"Pago tarjeta")),"",IFERROR(IF(INDEX(ctaVinc,MATCH(K3205,ctaNombre,0))&amp;""&lt;&gt;"",INDEX(ctaVinc,MATCH(K3205,ctaNombre,0))&amp;"",K3205),K3205))</f>
        <v/>
      </c>
      <c r="AD3205" s="52">
        <f>IF(AB3205="","",IFERROR(INDEX(ctaTipo,MATCH(AB3205,ctaNombre,0))&amp;"",""))</f>
        <v/>
      </c>
      <c r="AE3205" s="52">
        <f>IF(AC3205="","",IFERROR(INDEX(ctaTipo,MATCH(AC3205,ctaNombre,0))&amp;"",""))</f>
        <v/>
      </c>
      <c r="AF3205" s="53">
        <f>IF(OR(P3205="",AB3205=""),"",IF(OR(P3205="Gasto",P3205="Transferencia",P3205="Pago tarjeta"),-1,1)*IF(IFERROR(INDEX(ctaMoneda,MATCH(AB3205,ctaNombre,0))&amp;"","DOP")="USD",T3205,S3205))</f>
        <v/>
      </c>
      <c r="AG3205" s="53">
        <f>IF(AC3205="","",IF(IFERROR(INDEX(ctaMoneda,MATCH(AC3205,ctaNombre,0))&amp;"","DOP")="USD",T3205,S3205))</f>
        <v/>
      </c>
      <c r="AH3205" s="53">
        <f>IF(P3205="","",IF(AND(AD3205&lt;&gt;"",COUNTIFS(tcTipo,AD3205,tcLiq,"Sí")&gt;0),IF(OR(P3205="Gasto",P3205="Transferencia",P3205="Pago tarjeta"),-1,1)*S3205,0)+IF(AND(AE3205&lt;&gt;"",COUNTIFS(tcTipo,AE3205,tcLiq,"Sí")&gt;0),S3205,0))</f>
        <v/>
      </c>
      <c r="AI3205" s="52">
        <f>IF(OR(L3205="",P3205=""),"",IF(COUNTIFS(L$6:L3205,L3205,P$6:P3205,"?*")=1,MAX(AI$5:AI3204)+1,""))</f>
        <v/>
      </c>
    </row>
    <row r="3206">
      <c r="B3206" s="47" t="n"/>
      <c r="C3206" s="48" t="n"/>
      <c r="D3206" s="48" t="n"/>
      <c r="E3206" s="48" t="n"/>
      <c r="F3206" s="48" t="n"/>
      <c r="G3206" s="49" t="n"/>
      <c r="H3206" s="48" t="n"/>
      <c r="I3206" s="50" t="n"/>
      <c r="J3206" s="48" t="n"/>
      <c r="K3206" s="48" t="n"/>
      <c r="L3206" s="48" t="n"/>
      <c r="M3206" s="48" t="n"/>
      <c r="N3206" s="48" t="n"/>
      <c r="O3206" s="51">
        <f>IF(AND(B3206="",G3206="",C3206="",D3206="",J3206=""),"",IF(B3206="","⚠ Falta fecha",IF(G3206="","⚠ Falta monto",IF(Q3206="","⚠ Falta cuenta",IF(ISNA(MATCH(Q3206,ctaNombre,0)),"⚠ Cuenta no registrada",IF(AND(OR(P3206="Gasto",P3206="Reembolso"),D3206=""),"⚠ Falta categoría",IF(AND(D3206&lt;&gt;"",E3206&lt;&gt;"",ISNA(MATCH(D3206&amp;"|"&amp;E3206,catClave,0))),"⚠ Subcategoría no corresponde",IF(AND(OR(P3206="Transferencia",P3206="Pago tarjeta"),K3206=""),"⚠ Falta cuenta destino",IF(AND(K3206&lt;&gt;"",P3206&lt;&gt;"Transferencia",P3206&lt;&gt;"Pago tarjeta"),"⚠ Destino solo aplica a transferencias",IF(AND(K3206&lt;&gt;"",K3206=Q3206),"⚠ Origen igual a destino",IF(AND(K3206&lt;&gt;"",ISNA(MATCH(K3206,ctaNombre,0))),"⚠ Destino no registrado",IF(AND(P3206="Pago tarjeta",AE3206&lt;&gt;"Tarjeta de crédito"),"⚠ El destino debe ser tarjeta de crédito",IF(AND(P3206="Gasto",E3206="Depósitos y retiros"),"⚠ Usa tipo Transferencia",IF(AND(P3206="Resultado trading",AD3206&lt;&gt;"Cuenta de trading"),"⚠ Usa una cuenta de trading",IF(AND(G3206&lt;=0,P3206&lt;&gt;"Ajuste",P3206&lt;&gt;"Resultado trading"),"⚠ El monto debe ser positivo","✓")))))))))))))))</f>
        <v/>
      </c>
      <c r="P3206" s="52">
        <f>IF(OR(B3206="",G3206=""),"",IF(C3206="","Gasto",C3206))</f>
        <v/>
      </c>
      <c r="Q3206" s="52">
        <f>IF(P3206="","",IF(J3206&lt;&gt;"",J3206,CuentaPred&amp;""))</f>
        <v/>
      </c>
      <c r="R3206" s="52">
        <f>IF(P3206="","",IF(ISNUMBER(I3206),I3206,TasaUSD))</f>
        <v/>
      </c>
      <c r="S3206" s="53">
        <f>IF(P3206="","",IF(H3206="USD",G3206*R3206,G3206))</f>
        <v/>
      </c>
      <c r="T3206" s="53">
        <f>IF(P3206="","",IF(H3206="USD",G3206,IF(R3206&gt;0,G3206/R3206,0)))</f>
        <v/>
      </c>
      <c r="U3206" s="53">
        <f>IF(P3206="","",IF(P3206="Gasto",S3206,IF(P3206="Reembolso",-S3206,0)))</f>
        <v/>
      </c>
      <c r="V3206" s="53">
        <f>IF(P3206="","",IF(P3206="Ingreso",S3206,0))</f>
        <v/>
      </c>
      <c r="W3206" s="53">
        <f>IF(P3206="","",IF(P3206="Resultado trading",S3206,0))</f>
        <v/>
      </c>
      <c r="X3206" s="52">
        <f>IF(OR(P3206="Gasto",P3206="Reembolso"),IF(M3206&lt;&gt;"",M3206,IFERROR(INDEX(catClasif,MATCH(D3206&amp;"|"&amp;E3206,catClave,0))&amp;"","Variable")),"")</f>
        <v/>
      </c>
      <c r="Y3206" s="52">
        <f>IF(P3206="","",IFERROR(INDEX(catGrupo,MATCH(D3206&amp;"|"&amp;E3206,catClave,0))&amp;"",""))</f>
        <v/>
      </c>
      <c r="Z3206" s="52">
        <f>IF(P3206="","",WEEKDAY(B3206,2))</f>
        <v/>
      </c>
      <c r="AA3206" s="52">
        <f>IF(P3206="","",IF(AND(P3206="Gasto",X3206="Variable",D3206&lt;&gt;catTrading,S3206&gt;0,S3206&lt;=Umbral),1,0))</f>
        <v/>
      </c>
      <c r="AB3206" s="52">
        <f>IF(OR(P3206="",Q3206=""),"",IFERROR(IF(INDEX(ctaVinc,MATCH(Q3206,ctaNombre,0))&amp;""&lt;&gt;"",INDEX(ctaVinc,MATCH(Q3206,ctaNombre,0))&amp;"",Q3206),Q3206))</f>
        <v/>
      </c>
      <c r="AC3206" s="52">
        <f>IF(OR(K3206="",AND(P3206&lt;&gt;"Transferencia",P3206&lt;&gt;"Pago tarjeta")),"",IFERROR(IF(INDEX(ctaVinc,MATCH(K3206,ctaNombre,0))&amp;""&lt;&gt;"",INDEX(ctaVinc,MATCH(K3206,ctaNombre,0))&amp;"",K3206),K3206))</f>
        <v/>
      </c>
      <c r="AD3206" s="52">
        <f>IF(AB3206="","",IFERROR(INDEX(ctaTipo,MATCH(AB3206,ctaNombre,0))&amp;"",""))</f>
        <v/>
      </c>
      <c r="AE3206" s="52">
        <f>IF(AC3206="","",IFERROR(INDEX(ctaTipo,MATCH(AC3206,ctaNombre,0))&amp;"",""))</f>
        <v/>
      </c>
      <c r="AF3206" s="53">
        <f>IF(OR(P3206="",AB3206=""),"",IF(OR(P3206="Gasto",P3206="Transferencia",P3206="Pago tarjeta"),-1,1)*IF(IFERROR(INDEX(ctaMoneda,MATCH(AB3206,ctaNombre,0))&amp;"","DOP")="USD",T3206,S3206))</f>
        <v/>
      </c>
      <c r="AG3206" s="53">
        <f>IF(AC3206="","",IF(IFERROR(INDEX(ctaMoneda,MATCH(AC3206,ctaNombre,0))&amp;"","DOP")="USD",T3206,S3206))</f>
        <v/>
      </c>
      <c r="AH3206" s="53">
        <f>IF(P3206="","",IF(AND(AD3206&lt;&gt;"",COUNTIFS(tcTipo,AD3206,tcLiq,"Sí")&gt;0),IF(OR(P3206="Gasto",P3206="Transferencia",P3206="Pago tarjeta"),-1,1)*S3206,0)+IF(AND(AE3206&lt;&gt;"",COUNTIFS(tcTipo,AE3206,tcLiq,"Sí")&gt;0),S3206,0))</f>
        <v/>
      </c>
      <c r="AI3206" s="52">
        <f>IF(OR(L3206="",P3206=""),"",IF(COUNTIFS(L$6:L3206,L3206,P$6:P3206,"?*")=1,MAX(AI$5:AI3205)+1,""))</f>
        <v/>
      </c>
    </row>
    <row r="3207">
      <c r="B3207" s="47" t="n"/>
      <c r="C3207" s="48" t="n"/>
      <c r="D3207" s="48" t="n"/>
      <c r="E3207" s="48" t="n"/>
      <c r="F3207" s="48" t="n"/>
      <c r="G3207" s="49" t="n"/>
      <c r="H3207" s="48" t="n"/>
      <c r="I3207" s="50" t="n"/>
      <c r="J3207" s="48" t="n"/>
      <c r="K3207" s="48" t="n"/>
      <c r="L3207" s="48" t="n"/>
      <c r="M3207" s="48" t="n"/>
      <c r="N3207" s="48" t="n"/>
      <c r="O3207" s="51">
        <f>IF(AND(B3207="",G3207="",C3207="",D3207="",J3207=""),"",IF(B3207="","⚠ Falta fecha",IF(G3207="","⚠ Falta monto",IF(Q3207="","⚠ Falta cuenta",IF(ISNA(MATCH(Q3207,ctaNombre,0)),"⚠ Cuenta no registrada",IF(AND(OR(P3207="Gasto",P3207="Reembolso"),D3207=""),"⚠ Falta categoría",IF(AND(D3207&lt;&gt;"",E3207&lt;&gt;"",ISNA(MATCH(D3207&amp;"|"&amp;E3207,catClave,0))),"⚠ Subcategoría no corresponde",IF(AND(OR(P3207="Transferencia",P3207="Pago tarjeta"),K3207=""),"⚠ Falta cuenta destino",IF(AND(K3207&lt;&gt;"",P3207&lt;&gt;"Transferencia",P3207&lt;&gt;"Pago tarjeta"),"⚠ Destino solo aplica a transferencias",IF(AND(K3207&lt;&gt;"",K3207=Q3207),"⚠ Origen igual a destino",IF(AND(K3207&lt;&gt;"",ISNA(MATCH(K3207,ctaNombre,0))),"⚠ Destino no registrado",IF(AND(P3207="Pago tarjeta",AE3207&lt;&gt;"Tarjeta de crédito"),"⚠ El destino debe ser tarjeta de crédito",IF(AND(P3207="Gasto",E3207="Depósitos y retiros"),"⚠ Usa tipo Transferencia",IF(AND(P3207="Resultado trading",AD3207&lt;&gt;"Cuenta de trading"),"⚠ Usa una cuenta de trading",IF(AND(G3207&lt;=0,P3207&lt;&gt;"Ajuste",P3207&lt;&gt;"Resultado trading"),"⚠ El monto debe ser positivo","✓")))))))))))))))</f>
        <v/>
      </c>
      <c r="P3207" s="52">
        <f>IF(OR(B3207="",G3207=""),"",IF(C3207="","Gasto",C3207))</f>
        <v/>
      </c>
      <c r="Q3207" s="52">
        <f>IF(P3207="","",IF(J3207&lt;&gt;"",J3207,CuentaPred&amp;""))</f>
        <v/>
      </c>
      <c r="R3207" s="52">
        <f>IF(P3207="","",IF(ISNUMBER(I3207),I3207,TasaUSD))</f>
        <v/>
      </c>
      <c r="S3207" s="53">
        <f>IF(P3207="","",IF(H3207="USD",G3207*R3207,G3207))</f>
        <v/>
      </c>
      <c r="T3207" s="53">
        <f>IF(P3207="","",IF(H3207="USD",G3207,IF(R3207&gt;0,G3207/R3207,0)))</f>
        <v/>
      </c>
      <c r="U3207" s="53">
        <f>IF(P3207="","",IF(P3207="Gasto",S3207,IF(P3207="Reembolso",-S3207,0)))</f>
        <v/>
      </c>
      <c r="V3207" s="53">
        <f>IF(P3207="","",IF(P3207="Ingreso",S3207,0))</f>
        <v/>
      </c>
      <c r="W3207" s="53">
        <f>IF(P3207="","",IF(P3207="Resultado trading",S3207,0))</f>
        <v/>
      </c>
      <c r="X3207" s="52">
        <f>IF(OR(P3207="Gasto",P3207="Reembolso"),IF(M3207&lt;&gt;"",M3207,IFERROR(INDEX(catClasif,MATCH(D3207&amp;"|"&amp;E3207,catClave,0))&amp;"","Variable")),"")</f>
        <v/>
      </c>
      <c r="Y3207" s="52">
        <f>IF(P3207="","",IFERROR(INDEX(catGrupo,MATCH(D3207&amp;"|"&amp;E3207,catClave,0))&amp;"",""))</f>
        <v/>
      </c>
      <c r="Z3207" s="52">
        <f>IF(P3207="","",WEEKDAY(B3207,2))</f>
        <v/>
      </c>
      <c r="AA3207" s="52">
        <f>IF(P3207="","",IF(AND(P3207="Gasto",X3207="Variable",D3207&lt;&gt;catTrading,S3207&gt;0,S3207&lt;=Umbral),1,0))</f>
        <v/>
      </c>
      <c r="AB3207" s="52">
        <f>IF(OR(P3207="",Q3207=""),"",IFERROR(IF(INDEX(ctaVinc,MATCH(Q3207,ctaNombre,0))&amp;""&lt;&gt;"",INDEX(ctaVinc,MATCH(Q3207,ctaNombre,0))&amp;"",Q3207),Q3207))</f>
        <v/>
      </c>
      <c r="AC3207" s="52">
        <f>IF(OR(K3207="",AND(P3207&lt;&gt;"Transferencia",P3207&lt;&gt;"Pago tarjeta")),"",IFERROR(IF(INDEX(ctaVinc,MATCH(K3207,ctaNombre,0))&amp;""&lt;&gt;"",INDEX(ctaVinc,MATCH(K3207,ctaNombre,0))&amp;"",K3207),K3207))</f>
        <v/>
      </c>
      <c r="AD3207" s="52">
        <f>IF(AB3207="","",IFERROR(INDEX(ctaTipo,MATCH(AB3207,ctaNombre,0))&amp;"",""))</f>
        <v/>
      </c>
      <c r="AE3207" s="52">
        <f>IF(AC3207="","",IFERROR(INDEX(ctaTipo,MATCH(AC3207,ctaNombre,0))&amp;"",""))</f>
        <v/>
      </c>
      <c r="AF3207" s="53">
        <f>IF(OR(P3207="",AB3207=""),"",IF(OR(P3207="Gasto",P3207="Transferencia",P3207="Pago tarjeta"),-1,1)*IF(IFERROR(INDEX(ctaMoneda,MATCH(AB3207,ctaNombre,0))&amp;"","DOP")="USD",T3207,S3207))</f>
        <v/>
      </c>
      <c r="AG3207" s="53">
        <f>IF(AC3207="","",IF(IFERROR(INDEX(ctaMoneda,MATCH(AC3207,ctaNombre,0))&amp;"","DOP")="USD",T3207,S3207))</f>
        <v/>
      </c>
      <c r="AH3207" s="53">
        <f>IF(P3207="","",IF(AND(AD3207&lt;&gt;"",COUNTIFS(tcTipo,AD3207,tcLiq,"Sí")&gt;0),IF(OR(P3207="Gasto",P3207="Transferencia",P3207="Pago tarjeta"),-1,1)*S3207,0)+IF(AND(AE3207&lt;&gt;"",COUNTIFS(tcTipo,AE3207,tcLiq,"Sí")&gt;0),S3207,0))</f>
        <v/>
      </c>
      <c r="AI3207" s="52">
        <f>IF(OR(L3207="",P3207=""),"",IF(COUNTIFS(L$6:L3207,L3207,P$6:P3207,"?*")=1,MAX(AI$5:AI3206)+1,""))</f>
        <v/>
      </c>
    </row>
    <row r="3208">
      <c r="B3208" s="47" t="n"/>
      <c r="C3208" s="48" t="n"/>
      <c r="D3208" s="48" t="n"/>
      <c r="E3208" s="48" t="n"/>
      <c r="F3208" s="48" t="n"/>
      <c r="G3208" s="49" t="n"/>
      <c r="H3208" s="48" t="n"/>
      <c r="I3208" s="50" t="n"/>
      <c r="J3208" s="48" t="n"/>
      <c r="K3208" s="48" t="n"/>
      <c r="L3208" s="48" t="n"/>
      <c r="M3208" s="48" t="n"/>
      <c r="N3208" s="48" t="n"/>
      <c r="O3208" s="51">
        <f>IF(AND(B3208="",G3208="",C3208="",D3208="",J3208=""),"",IF(B3208="","⚠ Falta fecha",IF(G3208="","⚠ Falta monto",IF(Q3208="","⚠ Falta cuenta",IF(ISNA(MATCH(Q3208,ctaNombre,0)),"⚠ Cuenta no registrada",IF(AND(OR(P3208="Gasto",P3208="Reembolso"),D3208=""),"⚠ Falta categoría",IF(AND(D3208&lt;&gt;"",E3208&lt;&gt;"",ISNA(MATCH(D3208&amp;"|"&amp;E3208,catClave,0))),"⚠ Subcategoría no corresponde",IF(AND(OR(P3208="Transferencia",P3208="Pago tarjeta"),K3208=""),"⚠ Falta cuenta destino",IF(AND(K3208&lt;&gt;"",P3208&lt;&gt;"Transferencia",P3208&lt;&gt;"Pago tarjeta"),"⚠ Destino solo aplica a transferencias",IF(AND(K3208&lt;&gt;"",K3208=Q3208),"⚠ Origen igual a destino",IF(AND(K3208&lt;&gt;"",ISNA(MATCH(K3208,ctaNombre,0))),"⚠ Destino no registrado",IF(AND(P3208="Pago tarjeta",AE3208&lt;&gt;"Tarjeta de crédito"),"⚠ El destino debe ser tarjeta de crédito",IF(AND(P3208="Gasto",E3208="Depósitos y retiros"),"⚠ Usa tipo Transferencia",IF(AND(P3208="Resultado trading",AD3208&lt;&gt;"Cuenta de trading"),"⚠ Usa una cuenta de trading",IF(AND(G3208&lt;=0,P3208&lt;&gt;"Ajuste",P3208&lt;&gt;"Resultado trading"),"⚠ El monto debe ser positivo","✓")))))))))))))))</f>
        <v/>
      </c>
      <c r="P3208" s="52">
        <f>IF(OR(B3208="",G3208=""),"",IF(C3208="","Gasto",C3208))</f>
        <v/>
      </c>
      <c r="Q3208" s="52">
        <f>IF(P3208="","",IF(J3208&lt;&gt;"",J3208,CuentaPred&amp;""))</f>
        <v/>
      </c>
      <c r="R3208" s="52">
        <f>IF(P3208="","",IF(ISNUMBER(I3208),I3208,TasaUSD))</f>
        <v/>
      </c>
      <c r="S3208" s="53">
        <f>IF(P3208="","",IF(H3208="USD",G3208*R3208,G3208))</f>
        <v/>
      </c>
      <c r="T3208" s="53">
        <f>IF(P3208="","",IF(H3208="USD",G3208,IF(R3208&gt;0,G3208/R3208,0)))</f>
        <v/>
      </c>
      <c r="U3208" s="53">
        <f>IF(P3208="","",IF(P3208="Gasto",S3208,IF(P3208="Reembolso",-S3208,0)))</f>
        <v/>
      </c>
      <c r="V3208" s="53">
        <f>IF(P3208="","",IF(P3208="Ingreso",S3208,0))</f>
        <v/>
      </c>
      <c r="W3208" s="53">
        <f>IF(P3208="","",IF(P3208="Resultado trading",S3208,0))</f>
        <v/>
      </c>
      <c r="X3208" s="52">
        <f>IF(OR(P3208="Gasto",P3208="Reembolso"),IF(M3208&lt;&gt;"",M3208,IFERROR(INDEX(catClasif,MATCH(D3208&amp;"|"&amp;E3208,catClave,0))&amp;"","Variable")),"")</f>
        <v/>
      </c>
      <c r="Y3208" s="52">
        <f>IF(P3208="","",IFERROR(INDEX(catGrupo,MATCH(D3208&amp;"|"&amp;E3208,catClave,0))&amp;"",""))</f>
        <v/>
      </c>
      <c r="Z3208" s="52">
        <f>IF(P3208="","",WEEKDAY(B3208,2))</f>
        <v/>
      </c>
      <c r="AA3208" s="52">
        <f>IF(P3208="","",IF(AND(P3208="Gasto",X3208="Variable",D3208&lt;&gt;catTrading,S3208&gt;0,S3208&lt;=Umbral),1,0))</f>
        <v/>
      </c>
      <c r="AB3208" s="52">
        <f>IF(OR(P3208="",Q3208=""),"",IFERROR(IF(INDEX(ctaVinc,MATCH(Q3208,ctaNombre,0))&amp;""&lt;&gt;"",INDEX(ctaVinc,MATCH(Q3208,ctaNombre,0))&amp;"",Q3208),Q3208))</f>
        <v/>
      </c>
      <c r="AC3208" s="52">
        <f>IF(OR(K3208="",AND(P3208&lt;&gt;"Transferencia",P3208&lt;&gt;"Pago tarjeta")),"",IFERROR(IF(INDEX(ctaVinc,MATCH(K3208,ctaNombre,0))&amp;""&lt;&gt;"",INDEX(ctaVinc,MATCH(K3208,ctaNombre,0))&amp;"",K3208),K3208))</f>
        <v/>
      </c>
      <c r="AD3208" s="52">
        <f>IF(AB3208="","",IFERROR(INDEX(ctaTipo,MATCH(AB3208,ctaNombre,0))&amp;"",""))</f>
        <v/>
      </c>
      <c r="AE3208" s="52">
        <f>IF(AC3208="","",IFERROR(INDEX(ctaTipo,MATCH(AC3208,ctaNombre,0))&amp;"",""))</f>
        <v/>
      </c>
      <c r="AF3208" s="53">
        <f>IF(OR(P3208="",AB3208=""),"",IF(OR(P3208="Gasto",P3208="Transferencia",P3208="Pago tarjeta"),-1,1)*IF(IFERROR(INDEX(ctaMoneda,MATCH(AB3208,ctaNombre,0))&amp;"","DOP")="USD",T3208,S3208))</f>
        <v/>
      </c>
      <c r="AG3208" s="53">
        <f>IF(AC3208="","",IF(IFERROR(INDEX(ctaMoneda,MATCH(AC3208,ctaNombre,0))&amp;"","DOP")="USD",T3208,S3208))</f>
        <v/>
      </c>
      <c r="AH3208" s="53">
        <f>IF(P3208="","",IF(AND(AD3208&lt;&gt;"",COUNTIFS(tcTipo,AD3208,tcLiq,"Sí")&gt;0),IF(OR(P3208="Gasto",P3208="Transferencia",P3208="Pago tarjeta"),-1,1)*S3208,0)+IF(AND(AE3208&lt;&gt;"",COUNTIFS(tcTipo,AE3208,tcLiq,"Sí")&gt;0),S3208,0))</f>
        <v/>
      </c>
      <c r="AI3208" s="52">
        <f>IF(OR(L3208="",P3208=""),"",IF(COUNTIFS(L$6:L3208,L3208,P$6:P3208,"?*")=1,MAX(AI$5:AI3207)+1,""))</f>
        <v/>
      </c>
    </row>
    <row r="3209">
      <c r="B3209" s="47" t="n"/>
      <c r="C3209" s="48" t="n"/>
      <c r="D3209" s="48" t="n"/>
      <c r="E3209" s="48" t="n"/>
      <c r="F3209" s="48" t="n"/>
      <c r="G3209" s="49" t="n"/>
      <c r="H3209" s="48" t="n"/>
      <c r="I3209" s="50" t="n"/>
      <c r="J3209" s="48" t="n"/>
      <c r="K3209" s="48" t="n"/>
      <c r="L3209" s="48" t="n"/>
      <c r="M3209" s="48" t="n"/>
      <c r="N3209" s="48" t="n"/>
      <c r="O3209" s="51">
        <f>IF(AND(B3209="",G3209="",C3209="",D3209="",J3209=""),"",IF(B3209="","⚠ Falta fecha",IF(G3209="","⚠ Falta monto",IF(Q3209="","⚠ Falta cuenta",IF(ISNA(MATCH(Q3209,ctaNombre,0)),"⚠ Cuenta no registrada",IF(AND(OR(P3209="Gasto",P3209="Reembolso"),D3209=""),"⚠ Falta categoría",IF(AND(D3209&lt;&gt;"",E3209&lt;&gt;"",ISNA(MATCH(D3209&amp;"|"&amp;E3209,catClave,0))),"⚠ Subcategoría no corresponde",IF(AND(OR(P3209="Transferencia",P3209="Pago tarjeta"),K3209=""),"⚠ Falta cuenta destino",IF(AND(K3209&lt;&gt;"",P3209&lt;&gt;"Transferencia",P3209&lt;&gt;"Pago tarjeta"),"⚠ Destino solo aplica a transferencias",IF(AND(K3209&lt;&gt;"",K3209=Q3209),"⚠ Origen igual a destino",IF(AND(K3209&lt;&gt;"",ISNA(MATCH(K3209,ctaNombre,0))),"⚠ Destino no registrado",IF(AND(P3209="Pago tarjeta",AE3209&lt;&gt;"Tarjeta de crédito"),"⚠ El destino debe ser tarjeta de crédito",IF(AND(P3209="Gasto",E3209="Depósitos y retiros"),"⚠ Usa tipo Transferencia",IF(AND(P3209="Resultado trading",AD3209&lt;&gt;"Cuenta de trading"),"⚠ Usa una cuenta de trading",IF(AND(G3209&lt;=0,P3209&lt;&gt;"Ajuste",P3209&lt;&gt;"Resultado trading"),"⚠ El monto debe ser positivo","✓")))))))))))))))</f>
        <v/>
      </c>
      <c r="P3209" s="52">
        <f>IF(OR(B3209="",G3209=""),"",IF(C3209="","Gasto",C3209))</f>
        <v/>
      </c>
      <c r="Q3209" s="52">
        <f>IF(P3209="","",IF(J3209&lt;&gt;"",J3209,CuentaPred&amp;""))</f>
        <v/>
      </c>
      <c r="R3209" s="52">
        <f>IF(P3209="","",IF(ISNUMBER(I3209),I3209,TasaUSD))</f>
        <v/>
      </c>
      <c r="S3209" s="53">
        <f>IF(P3209="","",IF(H3209="USD",G3209*R3209,G3209))</f>
        <v/>
      </c>
      <c r="T3209" s="53">
        <f>IF(P3209="","",IF(H3209="USD",G3209,IF(R3209&gt;0,G3209/R3209,0)))</f>
        <v/>
      </c>
      <c r="U3209" s="53">
        <f>IF(P3209="","",IF(P3209="Gasto",S3209,IF(P3209="Reembolso",-S3209,0)))</f>
        <v/>
      </c>
      <c r="V3209" s="53">
        <f>IF(P3209="","",IF(P3209="Ingreso",S3209,0))</f>
        <v/>
      </c>
      <c r="W3209" s="53">
        <f>IF(P3209="","",IF(P3209="Resultado trading",S3209,0))</f>
        <v/>
      </c>
      <c r="X3209" s="52">
        <f>IF(OR(P3209="Gasto",P3209="Reembolso"),IF(M3209&lt;&gt;"",M3209,IFERROR(INDEX(catClasif,MATCH(D3209&amp;"|"&amp;E3209,catClave,0))&amp;"","Variable")),"")</f>
        <v/>
      </c>
      <c r="Y3209" s="52">
        <f>IF(P3209="","",IFERROR(INDEX(catGrupo,MATCH(D3209&amp;"|"&amp;E3209,catClave,0))&amp;"",""))</f>
        <v/>
      </c>
      <c r="Z3209" s="52">
        <f>IF(P3209="","",WEEKDAY(B3209,2))</f>
        <v/>
      </c>
      <c r="AA3209" s="52">
        <f>IF(P3209="","",IF(AND(P3209="Gasto",X3209="Variable",D3209&lt;&gt;catTrading,S3209&gt;0,S3209&lt;=Umbral),1,0))</f>
        <v/>
      </c>
      <c r="AB3209" s="52">
        <f>IF(OR(P3209="",Q3209=""),"",IFERROR(IF(INDEX(ctaVinc,MATCH(Q3209,ctaNombre,0))&amp;""&lt;&gt;"",INDEX(ctaVinc,MATCH(Q3209,ctaNombre,0))&amp;"",Q3209),Q3209))</f>
        <v/>
      </c>
      <c r="AC3209" s="52">
        <f>IF(OR(K3209="",AND(P3209&lt;&gt;"Transferencia",P3209&lt;&gt;"Pago tarjeta")),"",IFERROR(IF(INDEX(ctaVinc,MATCH(K3209,ctaNombre,0))&amp;""&lt;&gt;"",INDEX(ctaVinc,MATCH(K3209,ctaNombre,0))&amp;"",K3209),K3209))</f>
        <v/>
      </c>
      <c r="AD3209" s="52">
        <f>IF(AB3209="","",IFERROR(INDEX(ctaTipo,MATCH(AB3209,ctaNombre,0))&amp;"",""))</f>
        <v/>
      </c>
      <c r="AE3209" s="52">
        <f>IF(AC3209="","",IFERROR(INDEX(ctaTipo,MATCH(AC3209,ctaNombre,0))&amp;"",""))</f>
        <v/>
      </c>
      <c r="AF3209" s="53">
        <f>IF(OR(P3209="",AB3209=""),"",IF(OR(P3209="Gasto",P3209="Transferencia",P3209="Pago tarjeta"),-1,1)*IF(IFERROR(INDEX(ctaMoneda,MATCH(AB3209,ctaNombre,0))&amp;"","DOP")="USD",T3209,S3209))</f>
        <v/>
      </c>
      <c r="AG3209" s="53">
        <f>IF(AC3209="","",IF(IFERROR(INDEX(ctaMoneda,MATCH(AC3209,ctaNombre,0))&amp;"","DOP")="USD",T3209,S3209))</f>
        <v/>
      </c>
      <c r="AH3209" s="53">
        <f>IF(P3209="","",IF(AND(AD3209&lt;&gt;"",COUNTIFS(tcTipo,AD3209,tcLiq,"Sí")&gt;0),IF(OR(P3209="Gasto",P3209="Transferencia",P3209="Pago tarjeta"),-1,1)*S3209,0)+IF(AND(AE3209&lt;&gt;"",COUNTIFS(tcTipo,AE3209,tcLiq,"Sí")&gt;0),S3209,0))</f>
        <v/>
      </c>
      <c r="AI3209" s="52">
        <f>IF(OR(L3209="",P3209=""),"",IF(COUNTIFS(L$6:L3209,L3209,P$6:P3209,"?*")=1,MAX(AI$5:AI3208)+1,""))</f>
        <v/>
      </c>
    </row>
    <row r="3210">
      <c r="B3210" s="47" t="n"/>
      <c r="C3210" s="48" t="n"/>
      <c r="D3210" s="48" t="n"/>
      <c r="E3210" s="48" t="n"/>
      <c r="F3210" s="48" t="n"/>
      <c r="G3210" s="49" t="n"/>
      <c r="H3210" s="48" t="n"/>
      <c r="I3210" s="50" t="n"/>
      <c r="J3210" s="48" t="n"/>
      <c r="K3210" s="48" t="n"/>
      <c r="L3210" s="48" t="n"/>
      <c r="M3210" s="48" t="n"/>
      <c r="N3210" s="48" t="n"/>
      <c r="O3210" s="51">
        <f>IF(AND(B3210="",G3210="",C3210="",D3210="",J3210=""),"",IF(B3210="","⚠ Falta fecha",IF(G3210="","⚠ Falta monto",IF(Q3210="","⚠ Falta cuenta",IF(ISNA(MATCH(Q3210,ctaNombre,0)),"⚠ Cuenta no registrada",IF(AND(OR(P3210="Gasto",P3210="Reembolso"),D3210=""),"⚠ Falta categoría",IF(AND(D3210&lt;&gt;"",E3210&lt;&gt;"",ISNA(MATCH(D3210&amp;"|"&amp;E3210,catClave,0))),"⚠ Subcategoría no corresponde",IF(AND(OR(P3210="Transferencia",P3210="Pago tarjeta"),K3210=""),"⚠ Falta cuenta destino",IF(AND(K3210&lt;&gt;"",P3210&lt;&gt;"Transferencia",P3210&lt;&gt;"Pago tarjeta"),"⚠ Destino solo aplica a transferencias",IF(AND(K3210&lt;&gt;"",K3210=Q3210),"⚠ Origen igual a destino",IF(AND(K3210&lt;&gt;"",ISNA(MATCH(K3210,ctaNombre,0))),"⚠ Destino no registrado",IF(AND(P3210="Pago tarjeta",AE3210&lt;&gt;"Tarjeta de crédito"),"⚠ El destino debe ser tarjeta de crédito",IF(AND(P3210="Gasto",E3210="Depósitos y retiros"),"⚠ Usa tipo Transferencia",IF(AND(P3210="Resultado trading",AD3210&lt;&gt;"Cuenta de trading"),"⚠ Usa una cuenta de trading",IF(AND(G3210&lt;=0,P3210&lt;&gt;"Ajuste",P3210&lt;&gt;"Resultado trading"),"⚠ El monto debe ser positivo","✓")))))))))))))))</f>
        <v/>
      </c>
      <c r="P3210" s="52">
        <f>IF(OR(B3210="",G3210=""),"",IF(C3210="","Gasto",C3210))</f>
        <v/>
      </c>
      <c r="Q3210" s="52">
        <f>IF(P3210="","",IF(J3210&lt;&gt;"",J3210,CuentaPred&amp;""))</f>
        <v/>
      </c>
      <c r="R3210" s="52">
        <f>IF(P3210="","",IF(ISNUMBER(I3210),I3210,TasaUSD))</f>
        <v/>
      </c>
      <c r="S3210" s="53">
        <f>IF(P3210="","",IF(H3210="USD",G3210*R3210,G3210))</f>
        <v/>
      </c>
      <c r="T3210" s="53">
        <f>IF(P3210="","",IF(H3210="USD",G3210,IF(R3210&gt;0,G3210/R3210,0)))</f>
        <v/>
      </c>
      <c r="U3210" s="53">
        <f>IF(P3210="","",IF(P3210="Gasto",S3210,IF(P3210="Reembolso",-S3210,0)))</f>
        <v/>
      </c>
      <c r="V3210" s="53">
        <f>IF(P3210="","",IF(P3210="Ingreso",S3210,0))</f>
        <v/>
      </c>
      <c r="W3210" s="53">
        <f>IF(P3210="","",IF(P3210="Resultado trading",S3210,0))</f>
        <v/>
      </c>
      <c r="X3210" s="52">
        <f>IF(OR(P3210="Gasto",P3210="Reembolso"),IF(M3210&lt;&gt;"",M3210,IFERROR(INDEX(catClasif,MATCH(D3210&amp;"|"&amp;E3210,catClave,0))&amp;"","Variable")),"")</f>
        <v/>
      </c>
      <c r="Y3210" s="52">
        <f>IF(P3210="","",IFERROR(INDEX(catGrupo,MATCH(D3210&amp;"|"&amp;E3210,catClave,0))&amp;"",""))</f>
        <v/>
      </c>
      <c r="Z3210" s="52">
        <f>IF(P3210="","",WEEKDAY(B3210,2))</f>
        <v/>
      </c>
      <c r="AA3210" s="52">
        <f>IF(P3210="","",IF(AND(P3210="Gasto",X3210="Variable",D3210&lt;&gt;catTrading,S3210&gt;0,S3210&lt;=Umbral),1,0))</f>
        <v/>
      </c>
      <c r="AB3210" s="52">
        <f>IF(OR(P3210="",Q3210=""),"",IFERROR(IF(INDEX(ctaVinc,MATCH(Q3210,ctaNombre,0))&amp;""&lt;&gt;"",INDEX(ctaVinc,MATCH(Q3210,ctaNombre,0))&amp;"",Q3210),Q3210))</f>
        <v/>
      </c>
      <c r="AC3210" s="52">
        <f>IF(OR(K3210="",AND(P3210&lt;&gt;"Transferencia",P3210&lt;&gt;"Pago tarjeta")),"",IFERROR(IF(INDEX(ctaVinc,MATCH(K3210,ctaNombre,0))&amp;""&lt;&gt;"",INDEX(ctaVinc,MATCH(K3210,ctaNombre,0))&amp;"",K3210),K3210))</f>
        <v/>
      </c>
      <c r="AD3210" s="52">
        <f>IF(AB3210="","",IFERROR(INDEX(ctaTipo,MATCH(AB3210,ctaNombre,0))&amp;"",""))</f>
        <v/>
      </c>
      <c r="AE3210" s="52">
        <f>IF(AC3210="","",IFERROR(INDEX(ctaTipo,MATCH(AC3210,ctaNombre,0))&amp;"",""))</f>
        <v/>
      </c>
      <c r="AF3210" s="53">
        <f>IF(OR(P3210="",AB3210=""),"",IF(OR(P3210="Gasto",P3210="Transferencia",P3210="Pago tarjeta"),-1,1)*IF(IFERROR(INDEX(ctaMoneda,MATCH(AB3210,ctaNombre,0))&amp;"","DOP")="USD",T3210,S3210))</f>
        <v/>
      </c>
      <c r="AG3210" s="53">
        <f>IF(AC3210="","",IF(IFERROR(INDEX(ctaMoneda,MATCH(AC3210,ctaNombre,0))&amp;"","DOP")="USD",T3210,S3210))</f>
        <v/>
      </c>
      <c r="AH3210" s="53">
        <f>IF(P3210="","",IF(AND(AD3210&lt;&gt;"",COUNTIFS(tcTipo,AD3210,tcLiq,"Sí")&gt;0),IF(OR(P3210="Gasto",P3210="Transferencia",P3210="Pago tarjeta"),-1,1)*S3210,0)+IF(AND(AE3210&lt;&gt;"",COUNTIFS(tcTipo,AE3210,tcLiq,"Sí")&gt;0),S3210,0))</f>
        <v/>
      </c>
      <c r="AI3210" s="52">
        <f>IF(OR(L3210="",P3210=""),"",IF(COUNTIFS(L$6:L3210,L3210,P$6:P3210,"?*")=1,MAX(AI$5:AI3209)+1,""))</f>
        <v/>
      </c>
    </row>
    <row r="3211">
      <c r="B3211" s="47" t="n"/>
      <c r="C3211" s="48" t="n"/>
      <c r="D3211" s="48" t="n"/>
      <c r="E3211" s="48" t="n"/>
      <c r="F3211" s="48" t="n"/>
      <c r="G3211" s="49" t="n"/>
      <c r="H3211" s="48" t="n"/>
      <c r="I3211" s="50" t="n"/>
      <c r="J3211" s="48" t="n"/>
      <c r="K3211" s="48" t="n"/>
      <c r="L3211" s="48" t="n"/>
      <c r="M3211" s="48" t="n"/>
      <c r="N3211" s="48" t="n"/>
      <c r="O3211" s="51">
        <f>IF(AND(B3211="",G3211="",C3211="",D3211="",J3211=""),"",IF(B3211="","⚠ Falta fecha",IF(G3211="","⚠ Falta monto",IF(Q3211="","⚠ Falta cuenta",IF(ISNA(MATCH(Q3211,ctaNombre,0)),"⚠ Cuenta no registrada",IF(AND(OR(P3211="Gasto",P3211="Reembolso"),D3211=""),"⚠ Falta categoría",IF(AND(D3211&lt;&gt;"",E3211&lt;&gt;"",ISNA(MATCH(D3211&amp;"|"&amp;E3211,catClave,0))),"⚠ Subcategoría no corresponde",IF(AND(OR(P3211="Transferencia",P3211="Pago tarjeta"),K3211=""),"⚠ Falta cuenta destino",IF(AND(K3211&lt;&gt;"",P3211&lt;&gt;"Transferencia",P3211&lt;&gt;"Pago tarjeta"),"⚠ Destino solo aplica a transferencias",IF(AND(K3211&lt;&gt;"",K3211=Q3211),"⚠ Origen igual a destino",IF(AND(K3211&lt;&gt;"",ISNA(MATCH(K3211,ctaNombre,0))),"⚠ Destino no registrado",IF(AND(P3211="Pago tarjeta",AE3211&lt;&gt;"Tarjeta de crédito"),"⚠ El destino debe ser tarjeta de crédito",IF(AND(P3211="Gasto",E3211="Depósitos y retiros"),"⚠ Usa tipo Transferencia",IF(AND(P3211="Resultado trading",AD3211&lt;&gt;"Cuenta de trading"),"⚠ Usa una cuenta de trading",IF(AND(G3211&lt;=0,P3211&lt;&gt;"Ajuste",P3211&lt;&gt;"Resultado trading"),"⚠ El monto debe ser positivo","✓")))))))))))))))</f>
        <v/>
      </c>
      <c r="P3211" s="52">
        <f>IF(OR(B3211="",G3211=""),"",IF(C3211="","Gasto",C3211))</f>
        <v/>
      </c>
      <c r="Q3211" s="52">
        <f>IF(P3211="","",IF(J3211&lt;&gt;"",J3211,CuentaPred&amp;""))</f>
        <v/>
      </c>
      <c r="R3211" s="52">
        <f>IF(P3211="","",IF(ISNUMBER(I3211),I3211,TasaUSD))</f>
        <v/>
      </c>
      <c r="S3211" s="53">
        <f>IF(P3211="","",IF(H3211="USD",G3211*R3211,G3211))</f>
        <v/>
      </c>
      <c r="T3211" s="53">
        <f>IF(P3211="","",IF(H3211="USD",G3211,IF(R3211&gt;0,G3211/R3211,0)))</f>
        <v/>
      </c>
      <c r="U3211" s="53">
        <f>IF(P3211="","",IF(P3211="Gasto",S3211,IF(P3211="Reembolso",-S3211,0)))</f>
        <v/>
      </c>
      <c r="V3211" s="53">
        <f>IF(P3211="","",IF(P3211="Ingreso",S3211,0))</f>
        <v/>
      </c>
      <c r="W3211" s="53">
        <f>IF(P3211="","",IF(P3211="Resultado trading",S3211,0))</f>
        <v/>
      </c>
      <c r="X3211" s="52">
        <f>IF(OR(P3211="Gasto",P3211="Reembolso"),IF(M3211&lt;&gt;"",M3211,IFERROR(INDEX(catClasif,MATCH(D3211&amp;"|"&amp;E3211,catClave,0))&amp;"","Variable")),"")</f>
        <v/>
      </c>
      <c r="Y3211" s="52">
        <f>IF(P3211="","",IFERROR(INDEX(catGrupo,MATCH(D3211&amp;"|"&amp;E3211,catClave,0))&amp;"",""))</f>
        <v/>
      </c>
      <c r="Z3211" s="52">
        <f>IF(P3211="","",WEEKDAY(B3211,2))</f>
        <v/>
      </c>
      <c r="AA3211" s="52">
        <f>IF(P3211="","",IF(AND(P3211="Gasto",X3211="Variable",D3211&lt;&gt;catTrading,S3211&gt;0,S3211&lt;=Umbral),1,0))</f>
        <v/>
      </c>
      <c r="AB3211" s="52">
        <f>IF(OR(P3211="",Q3211=""),"",IFERROR(IF(INDEX(ctaVinc,MATCH(Q3211,ctaNombre,0))&amp;""&lt;&gt;"",INDEX(ctaVinc,MATCH(Q3211,ctaNombre,0))&amp;"",Q3211),Q3211))</f>
        <v/>
      </c>
      <c r="AC3211" s="52">
        <f>IF(OR(K3211="",AND(P3211&lt;&gt;"Transferencia",P3211&lt;&gt;"Pago tarjeta")),"",IFERROR(IF(INDEX(ctaVinc,MATCH(K3211,ctaNombre,0))&amp;""&lt;&gt;"",INDEX(ctaVinc,MATCH(K3211,ctaNombre,0))&amp;"",K3211),K3211))</f>
        <v/>
      </c>
      <c r="AD3211" s="52">
        <f>IF(AB3211="","",IFERROR(INDEX(ctaTipo,MATCH(AB3211,ctaNombre,0))&amp;"",""))</f>
        <v/>
      </c>
      <c r="AE3211" s="52">
        <f>IF(AC3211="","",IFERROR(INDEX(ctaTipo,MATCH(AC3211,ctaNombre,0))&amp;"",""))</f>
        <v/>
      </c>
      <c r="AF3211" s="53">
        <f>IF(OR(P3211="",AB3211=""),"",IF(OR(P3211="Gasto",P3211="Transferencia",P3211="Pago tarjeta"),-1,1)*IF(IFERROR(INDEX(ctaMoneda,MATCH(AB3211,ctaNombre,0))&amp;"","DOP")="USD",T3211,S3211))</f>
        <v/>
      </c>
      <c r="AG3211" s="53">
        <f>IF(AC3211="","",IF(IFERROR(INDEX(ctaMoneda,MATCH(AC3211,ctaNombre,0))&amp;"","DOP")="USD",T3211,S3211))</f>
        <v/>
      </c>
      <c r="AH3211" s="53">
        <f>IF(P3211="","",IF(AND(AD3211&lt;&gt;"",COUNTIFS(tcTipo,AD3211,tcLiq,"Sí")&gt;0),IF(OR(P3211="Gasto",P3211="Transferencia",P3211="Pago tarjeta"),-1,1)*S3211,0)+IF(AND(AE3211&lt;&gt;"",COUNTIFS(tcTipo,AE3211,tcLiq,"Sí")&gt;0),S3211,0))</f>
        <v/>
      </c>
      <c r="AI3211" s="52">
        <f>IF(OR(L3211="",P3211=""),"",IF(COUNTIFS(L$6:L3211,L3211,P$6:P3211,"?*")=1,MAX(AI$5:AI3210)+1,""))</f>
        <v/>
      </c>
    </row>
    <row r="3212">
      <c r="B3212" s="47" t="n"/>
      <c r="C3212" s="48" t="n"/>
      <c r="D3212" s="48" t="n"/>
      <c r="E3212" s="48" t="n"/>
      <c r="F3212" s="48" t="n"/>
      <c r="G3212" s="49" t="n"/>
      <c r="H3212" s="48" t="n"/>
      <c r="I3212" s="50" t="n"/>
      <c r="J3212" s="48" t="n"/>
      <c r="K3212" s="48" t="n"/>
      <c r="L3212" s="48" t="n"/>
      <c r="M3212" s="48" t="n"/>
      <c r="N3212" s="48" t="n"/>
      <c r="O3212" s="51">
        <f>IF(AND(B3212="",G3212="",C3212="",D3212="",J3212=""),"",IF(B3212="","⚠ Falta fecha",IF(G3212="","⚠ Falta monto",IF(Q3212="","⚠ Falta cuenta",IF(ISNA(MATCH(Q3212,ctaNombre,0)),"⚠ Cuenta no registrada",IF(AND(OR(P3212="Gasto",P3212="Reembolso"),D3212=""),"⚠ Falta categoría",IF(AND(D3212&lt;&gt;"",E3212&lt;&gt;"",ISNA(MATCH(D3212&amp;"|"&amp;E3212,catClave,0))),"⚠ Subcategoría no corresponde",IF(AND(OR(P3212="Transferencia",P3212="Pago tarjeta"),K3212=""),"⚠ Falta cuenta destino",IF(AND(K3212&lt;&gt;"",P3212&lt;&gt;"Transferencia",P3212&lt;&gt;"Pago tarjeta"),"⚠ Destino solo aplica a transferencias",IF(AND(K3212&lt;&gt;"",K3212=Q3212),"⚠ Origen igual a destino",IF(AND(K3212&lt;&gt;"",ISNA(MATCH(K3212,ctaNombre,0))),"⚠ Destino no registrado",IF(AND(P3212="Pago tarjeta",AE3212&lt;&gt;"Tarjeta de crédito"),"⚠ El destino debe ser tarjeta de crédito",IF(AND(P3212="Gasto",E3212="Depósitos y retiros"),"⚠ Usa tipo Transferencia",IF(AND(P3212="Resultado trading",AD3212&lt;&gt;"Cuenta de trading"),"⚠ Usa una cuenta de trading",IF(AND(G3212&lt;=0,P3212&lt;&gt;"Ajuste",P3212&lt;&gt;"Resultado trading"),"⚠ El monto debe ser positivo","✓")))))))))))))))</f>
        <v/>
      </c>
      <c r="P3212" s="52">
        <f>IF(OR(B3212="",G3212=""),"",IF(C3212="","Gasto",C3212))</f>
        <v/>
      </c>
      <c r="Q3212" s="52">
        <f>IF(P3212="","",IF(J3212&lt;&gt;"",J3212,CuentaPred&amp;""))</f>
        <v/>
      </c>
      <c r="R3212" s="52">
        <f>IF(P3212="","",IF(ISNUMBER(I3212),I3212,TasaUSD))</f>
        <v/>
      </c>
      <c r="S3212" s="53">
        <f>IF(P3212="","",IF(H3212="USD",G3212*R3212,G3212))</f>
        <v/>
      </c>
      <c r="T3212" s="53">
        <f>IF(P3212="","",IF(H3212="USD",G3212,IF(R3212&gt;0,G3212/R3212,0)))</f>
        <v/>
      </c>
      <c r="U3212" s="53">
        <f>IF(P3212="","",IF(P3212="Gasto",S3212,IF(P3212="Reembolso",-S3212,0)))</f>
        <v/>
      </c>
      <c r="V3212" s="53">
        <f>IF(P3212="","",IF(P3212="Ingreso",S3212,0))</f>
        <v/>
      </c>
      <c r="W3212" s="53">
        <f>IF(P3212="","",IF(P3212="Resultado trading",S3212,0))</f>
        <v/>
      </c>
      <c r="X3212" s="52">
        <f>IF(OR(P3212="Gasto",P3212="Reembolso"),IF(M3212&lt;&gt;"",M3212,IFERROR(INDEX(catClasif,MATCH(D3212&amp;"|"&amp;E3212,catClave,0))&amp;"","Variable")),"")</f>
        <v/>
      </c>
      <c r="Y3212" s="52">
        <f>IF(P3212="","",IFERROR(INDEX(catGrupo,MATCH(D3212&amp;"|"&amp;E3212,catClave,0))&amp;"",""))</f>
        <v/>
      </c>
      <c r="Z3212" s="52">
        <f>IF(P3212="","",WEEKDAY(B3212,2))</f>
        <v/>
      </c>
      <c r="AA3212" s="52">
        <f>IF(P3212="","",IF(AND(P3212="Gasto",X3212="Variable",D3212&lt;&gt;catTrading,S3212&gt;0,S3212&lt;=Umbral),1,0))</f>
        <v/>
      </c>
      <c r="AB3212" s="52">
        <f>IF(OR(P3212="",Q3212=""),"",IFERROR(IF(INDEX(ctaVinc,MATCH(Q3212,ctaNombre,0))&amp;""&lt;&gt;"",INDEX(ctaVinc,MATCH(Q3212,ctaNombre,0))&amp;"",Q3212),Q3212))</f>
        <v/>
      </c>
      <c r="AC3212" s="52">
        <f>IF(OR(K3212="",AND(P3212&lt;&gt;"Transferencia",P3212&lt;&gt;"Pago tarjeta")),"",IFERROR(IF(INDEX(ctaVinc,MATCH(K3212,ctaNombre,0))&amp;""&lt;&gt;"",INDEX(ctaVinc,MATCH(K3212,ctaNombre,0))&amp;"",K3212),K3212))</f>
        <v/>
      </c>
      <c r="AD3212" s="52">
        <f>IF(AB3212="","",IFERROR(INDEX(ctaTipo,MATCH(AB3212,ctaNombre,0))&amp;"",""))</f>
        <v/>
      </c>
      <c r="AE3212" s="52">
        <f>IF(AC3212="","",IFERROR(INDEX(ctaTipo,MATCH(AC3212,ctaNombre,0))&amp;"",""))</f>
        <v/>
      </c>
      <c r="AF3212" s="53">
        <f>IF(OR(P3212="",AB3212=""),"",IF(OR(P3212="Gasto",P3212="Transferencia",P3212="Pago tarjeta"),-1,1)*IF(IFERROR(INDEX(ctaMoneda,MATCH(AB3212,ctaNombre,0))&amp;"","DOP")="USD",T3212,S3212))</f>
        <v/>
      </c>
      <c r="AG3212" s="53">
        <f>IF(AC3212="","",IF(IFERROR(INDEX(ctaMoneda,MATCH(AC3212,ctaNombre,0))&amp;"","DOP")="USD",T3212,S3212))</f>
        <v/>
      </c>
      <c r="AH3212" s="53">
        <f>IF(P3212="","",IF(AND(AD3212&lt;&gt;"",COUNTIFS(tcTipo,AD3212,tcLiq,"Sí")&gt;0),IF(OR(P3212="Gasto",P3212="Transferencia",P3212="Pago tarjeta"),-1,1)*S3212,0)+IF(AND(AE3212&lt;&gt;"",COUNTIFS(tcTipo,AE3212,tcLiq,"Sí")&gt;0),S3212,0))</f>
        <v/>
      </c>
      <c r="AI3212" s="52">
        <f>IF(OR(L3212="",P3212=""),"",IF(COUNTIFS(L$6:L3212,L3212,P$6:P3212,"?*")=1,MAX(AI$5:AI3211)+1,""))</f>
        <v/>
      </c>
    </row>
    <row r="3213">
      <c r="B3213" s="47" t="n"/>
      <c r="C3213" s="48" t="n"/>
      <c r="D3213" s="48" t="n"/>
      <c r="E3213" s="48" t="n"/>
      <c r="F3213" s="48" t="n"/>
      <c r="G3213" s="49" t="n"/>
      <c r="H3213" s="48" t="n"/>
      <c r="I3213" s="50" t="n"/>
      <c r="J3213" s="48" t="n"/>
      <c r="K3213" s="48" t="n"/>
      <c r="L3213" s="48" t="n"/>
      <c r="M3213" s="48" t="n"/>
      <c r="N3213" s="48" t="n"/>
      <c r="O3213" s="51">
        <f>IF(AND(B3213="",G3213="",C3213="",D3213="",J3213=""),"",IF(B3213="","⚠ Falta fecha",IF(G3213="","⚠ Falta monto",IF(Q3213="","⚠ Falta cuenta",IF(ISNA(MATCH(Q3213,ctaNombre,0)),"⚠ Cuenta no registrada",IF(AND(OR(P3213="Gasto",P3213="Reembolso"),D3213=""),"⚠ Falta categoría",IF(AND(D3213&lt;&gt;"",E3213&lt;&gt;"",ISNA(MATCH(D3213&amp;"|"&amp;E3213,catClave,0))),"⚠ Subcategoría no corresponde",IF(AND(OR(P3213="Transferencia",P3213="Pago tarjeta"),K3213=""),"⚠ Falta cuenta destino",IF(AND(K3213&lt;&gt;"",P3213&lt;&gt;"Transferencia",P3213&lt;&gt;"Pago tarjeta"),"⚠ Destino solo aplica a transferencias",IF(AND(K3213&lt;&gt;"",K3213=Q3213),"⚠ Origen igual a destino",IF(AND(K3213&lt;&gt;"",ISNA(MATCH(K3213,ctaNombre,0))),"⚠ Destino no registrado",IF(AND(P3213="Pago tarjeta",AE3213&lt;&gt;"Tarjeta de crédito"),"⚠ El destino debe ser tarjeta de crédito",IF(AND(P3213="Gasto",E3213="Depósitos y retiros"),"⚠ Usa tipo Transferencia",IF(AND(P3213="Resultado trading",AD3213&lt;&gt;"Cuenta de trading"),"⚠ Usa una cuenta de trading",IF(AND(G3213&lt;=0,P3213&lt;&gt;"Ajuste",P3213&lt;&gt;"Resultado trading"),"⚠ El monto debe ser positivo","✓")))))))))))))))</f>
        <v/>
      </c>
      <c r="P3213" s="52">
        <f>IF(OR(B3213="",G3213=""),"",IF(C3213="","Gasto",C3213))</f>
        <v/>
      </c>
      <c r="Q3213" s="52">
        <f>IF(P3213="","",IF(J3213&lt;&gt;"",J3213,CuentaPred&amp;""))</f>
        <v/>
      </c>
      <c r="R3213" s="52">
        <f>IF(P3213="","",IF(ISNUMBER(I3213),I3213,TasaUSD))</f>
        <v/>
      </c>
      <c r="S3213" s="53">
        <f>IF(P3213="","",IF(H3213="USD",G3213*R3213,G3213))</f>
        <v/>
      </c>
      <c r="T3213" s="53">
        <f>IF(P3213="","",IF(H3213="USD",G3213,IF(R3213&gt;0,G3213/R3213,0)))</f>
        <v/>
      </c>
      <c r="U3213" s="53">
        <f>IF(P3213="","",IF(P3213="Gasto",S3213,IF(P3213="Reembolso",-S3213,0)))</f>
        <v/>
      </c>
      <c r="V3213" s="53">
        <f>IF(P3213="","",IF(P3213="Ingreso",S3213,0))</f>
        <v/>
      </c>
      <c r="W3213" s="53">
        <f>IF(P3213="","",IF(P3213="Resultado trading",S3213,0))</f>
        <v/>
      </c>
      <c r="X3213" s="52">
        <f>IF(OR(P3213="Gasto",P3213="Reembolso"),IF(M3213&lt;&gt;"",M3213,IFERROR(INDEX(catClasif,MATCH(D3213&amp;"|"&amp;E3213,catClave,0))&amp;"","Variable")),"")</f>
        <v/>
      </c>
      <c r="Y3213" s="52">
        <f>IF(P3213="","",IFERROR(INDEX(catGrupo,MATCH(D3213&amp;"|"&amp;E3213,catClave,0))&amp;"",""))</f>
        <v/>
      </c>
      <c r="Z3213" s="52">
        <f>IF(P3213="","",WEEKDAY(B3213,2))</f>
        <v/>
      </c>
      <c r="AA3213" s="52">
        <f>IF(P3213="","",IF(AND(P3213="Gasto",X3213="Variable",D3213&lt;&gt;catTrading,S3213&gt;0,S3213&lt;=Umbral),1,0))</f>
        <v/>
      </c>
      <c r="AB3213" s="52">
        <f>IF(OR(P3213="",Q3213=""),"",IFERROR(IF(INDEX(ctaVinc,MATCH(Q3213,ctaNombre,0))&amp;""&lt;&gt;"",INDEX(ctaVinc,MATCH(Q3213,ctaNombre,0))&amp;"",Q3213),Q3213))</f>
        <v/>
      </c>
      <c r="AC3213" s="52">
        <f>IF(OR(K3213="",AND(P3213&lt;&gt;"Transferencia",P3213&lt;&gt;"Pago tarjeta")),"",IFERROR(IF(INDEX(ctaVinc,MATCH(K3213,ctaNombre,0))&amp;""&lt;&gt;"",INDEX(ctaVinc,MATCH(K3213,ctaNombre,0))&amp;"",K3213),K3213))</f>
        <v/>
      </c>
      <c r="AD3213" s="52">
        <f>IF(AB3213="","",IFERROR(INDEX(ctaTipo,MATCH(AB3213,ctaNombre,0))&amp;"",""))</f>
        <v/>
      </c>
      <c r="AE3213" s="52">
        <f>IF(AC3213="","",IFERROR(INDEX(ctaTipo,MATCH(AC3213,ctaNombre,0))&amp;"",""))</f>
        <v/>
      </c>
      <c r="AF3213" s="53">
        <f>IF(OR(P3213="",AB3213=""),"",IF(OR(P3213="Gasto",P3213="Transferencia",P3213="Pago tarjeta"),-1,1)*IF(IFERROR(INDEX(ctaMoneda,MATCH(AB3213,ctaNombre,0))&amp;"","DOP")="USD",T3213,S3213))</f>
        <v/>
      </c>
      <c r="AG3213" s="53">
        <f>IF(AC3213="","",IF(IFERROR(INDEX(ctaMoneda,MATCH(AC3213,ctaNombre,0))&amp;"","DOP")="USD",T3213,S3213))</f>
        <v/>
      </c>
      <c r="AH3213" s="53">
        <f>IF(P3213="","",IF(AND(AD3213&lt;&gt;"",COUNTIFS(tcTipo,AD3213,tcLiq,"Sí")&gt;0),IF(OR(P3213="Gasto",P3213="Transferencia",P3213="Pago tarjeta"),-1,1)*S3213,0)+IF(AND(AE3213&lt;&gt;"",COUNTIFS(tcTipo,AE3213,tcLiq,"Sí")&gt;0),S3213,0))</f>
        <v/>
      </c>
      <c r="AI3213" s="52">
        <f>IF(OR(L3213="",P3213=""),"",IF(COUNTIFS(L$6:L3213,L3213,P$6:P3213,"?*")=1,MAX(AI$5:AI3212)+1,""))</f>
        <v/>
      </c>
    </row>
    <row r="3214">
      <c r="B3214" s="47" t="n"/>
      <c r="C3214" s="48" t="n"/>
      <c r="D3214" s="48" t="n"/>
      <c r="E3214" s="48" t="n"/>
      <c r="F3214" s="48" t="n"/>
      <c r="G3214" s="49" t="n"/>
      <c r="H3214" s="48" t="n"/>
      <c r="I3214" s="50" t="n"/>
      <c r="J3214" s="48" t="n"/>
      <c r="K3214" s="48" t="n"/>
      <c r="L3214" s="48" t="n"/>
      <c r="M3214" s="48" t="n"/>
      <c r="N3214" s="48" t="n"/>
      <c r="O3214" s="51">
        <f>IF(AND(B3214="",G3214="",C3214="",D3214="",J3214=""),"",IF(B3214="","⚠ Falta fecha",IF(G3214="","⚠ Falta monto",IF(Q3214="","⚠ Falta cuenta",IF(ISNA(MATCH(Q3214,ctaNombre,0)),"⚠ Cuenta no registrada",IF(AND(OR(P3214="Gasto",P3214="Reembolso"),D3214=""),"⚠ Falta categoría",IF(AND(D3214&lt;&gt;"",E3214&lt;&gt;"",ISNA(MATCH(D3214&amp;"|"&amp;E3214,catClave,0))),"⚠ Subcategoría no corresponde",IF(AND(OR(P3214="Transferencia",P3214="Pago tarjeta"),K3214=""),"⚠ Falta cuenta destino",IF(AND(K3214&lt;&gt;"",P3214&lt;&gt;"Transferencia",P3214&lt;&gt;"Pago tarjeta"),"⚠ Destino solo aplica a transferencias",IF(AND(K3214&lt;&gt;"",K3214=Q3214),"⚠ Origen igual a destino",IF(AND(K3214&lt;&gt;"",ISNA(MATCH(K3214,ctaNombre,0))),"⚠ Destino no registrado",IF(AND(P3214="Pago tarjeta",AE3214&lt;&gt;"Tarjeta de crédito"),"⚠ El destino debe ser tarjeta de crédito",IF(AND(P3214="Gasto",E3214="Depósitos y retiros"),"⚠ Usa tipo Transferencia",IF(AND(P3214="Resultado trading",AD3214&lt;&gt;"Cuenta de trading"),"⚠ Usa una cuenta de trading",IF(AND(G3214&lt;=0,P3214&lt;&gt;"Ajuste",P3214&lt;&gt;"Resultado trading"),"⚠ El monto debe ser positivo","✓")))))))))))))))</f>
        <v/>
      </c>
      <c r="P3214" s="52">
        <f>IF(OR(B3214="",G3214=""),"",IF(C3214="","Gasto",C3214))</f>
        <v/>
      </c>
      <c r="Q3214" s="52">
        <f>IF(P3214="","",IF(J3214&lt;&gt;"",J3214,CuentaPred&amp;""))</f>
        <v/>
      </c>
      <c r="R3214" s="52">
        <f>IF(P3214="","",IF(ISNUMBER(I3214),I3214,TasaUSD))</f>
        <v/>
      </c>
      <c r="S3214" s="53">
        <f>IF(P3214="","",IF(H3214="USD",G3214*R3214,G3214))</f>
        <v/>
      </c>
      <c r="T3214" s="53">
        <f>IF(P3214="","",IF(H3214="USD",G3214,IF(R3214&gt;0,G3214/R3214,0)))</f>
        <v/>
      </c>
      <c r="U3214" s="53">
        <f>IF(P3214="","",IF(P3214="Gasto",S3214,IF(P3214="Reembolso",-S3214,0)))</f>
        <v/>
      </c>
      <c r="V3214" s="53">
        <f>IF(P3214="","",IF(P3214="Ingreso",S3214,0))</f>
        <v/>
      </c>
      <c r="W3214" s="53">
        <f>IF(P3214="","",IF(P3214="Resultado trading",S3214,0))</f>
        <v/>
      </c>
      <c r="X3214" s="52">
        <f>IF(OR(P3214="Gasto",P3214="Reembolso"),IF(M3214&lt;&gt;"",M3214,IFERROR(INDEX(catClasif,MATCH(D3214&amp;"|"&amp;E3214,catClave,0))&amp;"","Variable")),"")</f>
        <v/>
      </c>
      <c r="Y3214" s="52">
        <f>IF(P3214="","",IFERROR(INDEX(catGrupo,MATCH(D3214&amp;"|"&amp;E3214,catClave,0))&amp;"",""))</f>
        <v/>
      </c>
      <c r="Z3214" s="52">
        <f>IF(P3214="","",WEEKDAY(B3214,2))</f>
        <v/>
      </c>
      <c r="AA3214" s="52">
        <f>IF(P3214="","",IF(AND(P3214="Gasto",X3214="Variable",D3214&lt;&gt;catTrading,S3214&gt;0,S3214&lt;=Umbral),1,0))</f>
        <v/>
      </c>
      <c r="AB3214" s="52">
        <f>IF(OR(P3214="",Q3214=""),"",IFERROR(IF(INDEX(ctaVinc,MATCH(Q3214,ctaNombre,0))&amp;""&lt;&gt;"",INDEX(ctaVinc,MATCH(Q3214,ctaNombre,0))&amp;"",Q3214),Q3214))</f>
        <v/>
      </c>
      <c r="AC3214" s="52">
        <f>IF(OR(K3214="",AND(P3214&lt;&gt;"Transferencia",P3214&lt;&gt;"Pago tarjeta")),"",IFERROR(IF(INDEX(ctaVinc,MATCH(K3214,ctaNombre,0))&amp;""&lt;&gt;"",INDEX(ctaVinc,MATCH(K3214,ctaNombre,0))&amp;"",K3214),K3214))</f>
        <v/>
      </c>
      <c r="AD3214" s="52">
        <f>IF(AB3214="","",IFERROR(INDEX(ctaTipo,MATCH(AB3214,ctaNombre,0))&amp;"",""))</f>
        <v/>
      </c>
      <c r="AE3214" s="52">
        <f>IF(AC3214="","",IFERROR(INDEX(ctaTipo,MATCH(AC3214,ctaNombre,0))&amp;"",""))</f>
        <v/>
      </c>
      <c r="AF3214" s="53">
        <f>IF(OR(P3214="",AB3214=""),"",IF(OR(P3214="Gasto",P3214="Transferencia",P3214="Pago tarjeta"),-1,1)*IF(IFERROR(INDEX(ctaMoneda,MATCH(AB3214,ctaNombre,0))&amp;"","DOP")="USD",T3214,S3214))</f>
        <v/>
      </c>
      <c r="AG3214" s="53">
        <f>IF(AC3214="","",IF(IFERROR(INDEX(ctaMoneda,MATCH(AC3214,ctaNombre,0))&amp;"","DOP")="USD",T3214,S3214))</f>
        <v/>
      </c>
      <c r="AH3214" s="53">
        <f>IF(P3214="","",IF(AND(AD3214&lt;&gt;"",COUNTIFS(tcTipo,AD3214,tcLiq,"Sí")&gt;0),IF(OR(P3214="Gasto",P3214="Transferencia",P3214="Pago tarjeta"),-1,1)*S3214,0)+IF(AND(AE3214&lt;&gt;"",COUNTIFS(tcTipo,AE3214,tcLiq,"Sí")&gt;0),S3214,0))</f>
        <v/>
      </c>
      <c r="AI3214" s="52">
        <f>IF(OR(L3214="",P3214=""),"",IF(COUNTIFS(L$6:L3214,L3214,P$6:P3214,"?*")=1,MAX(AI$5:AI3213)+1,""))</f>
        <v/>
      </c>
    </row>
    <row r="3215">
      <c r="B3215" s="47" t="n"/>
      <c r="C3215" s="48" t="n"/>
      <c r="D3215" s="48" t="n"/>
      <c r="E3215" s="48" t="n"/>
      <c r="F3215" s="48" t="n"/>
      <c r="G3215" s="49" t="n"/>
      <c r="H3215" s="48" t="n"/>
      <c r="I3215" s="50" t="n"/>
      <c r="J3215" s="48" t="n"/>
      <c r="K3215" s="48" t="n"/>
      <c r="L3215" s="48" t="n"/>
      <c r="M3215" s="48" t="n"/>
      <c r="N3215" s="48" t="n"/>
      <c r="O3215" s="51">
        <f>IF(AND(B3215="",G3215="",C3215="",D3215="",J3215=""),"",IF(B3215="","⚠ Falta fecha",IF(G3215="","⚠ Falta monto",IF(Q3215="","⚠ Falta cuenta",IF(ISNA(MATCH(Q3215,ctaNombre,0)),"⚠ Cuenta no registrada",IF(AND(OR(P3215="Gasto",P3215="Reembolso"),D3215=""),"⚠ Falta categoría",IF(AND(D3215&lt;&gt;"",E3215&lt;&gt;"",ISNA(MATCH(D3215&amp;"|"&amp;E3215,catClave,0))),"⚠ Subcategoría no corresponde",IF(AND(OR(P3215="Transferencia",P3215="Pago tarjeta"),K3215=""),"⚠ Falta cuenta destino",IF(AND(K3215&lt;&gt;"",P3215&lt;&gt;"Transferencia",P3215&lt;&gt;"Pago tarjeta"),"⚠ Destino solo aplica a transferencias",IF(AND(K3215&lt;&gt;"",K3215=Q3215),"⚠ Origen igual a destino",IF(AND(K3215&lt;&gt;"",ISNA(MATCH(K3215,ctaNombre,0))),"⚠ Destino no registrado",IF(AND(P3215="Pago tarjeta",AE3215&lt;&gt;"Tarjeta de crédito"),"⚠ El destino debe ser tarjeta de crédito",IF(AND(P3215="Gasto",E3215="Depósitos y retiros"),"⚠ Usa tipo Transferencia",IF(AND(P3215="Resultado trading",AD3215&lt;&gt;"Cuenta de trading"),"⚠ Usa una cuenta de trading",IF(AND(G3215&lt;=0,P3215&lt;&gt;"Ajuste",P3215&lt;&gt;"Resultado trading"),"⚠ El monto debe ser positivo","✓")))))))))))))))</f>
        <v/>
      </c>
      <c r="P3215" s="52">
        <f>IF(OR(B3215="",G3215=""),"",IF(C3215="","Gasto",C3215))</f>
        <v/>
      </c>
      <c r="Q3215" s="52">
        <f>IF(P3215="","",IF(J3215&lt;&gt;"",J3215,CuentaPred&amp;""))</f>
        <v/>
      </c>
      <c r="R3215" s="52">
        <f>IF(P3215="","",IF(ISNUMBER(I3215),I3215,TasaUSD))</f>
        <v/>
      </c>
      <c r="S3215" s="53">
        <f>IF(P3215="","",IF(H3215="USD",G3215*R3215,G3215))</f>
        <v/>
      </c>
      <c r="T3215" s="53">
        <f>IF(P3215="","",IF(H3215="USD",G3215,IF(R3215&gt;0,G3215/R3215,0)))</f>
        <v/>
      </c>
      <c r="U3215" s="53">
        <f>IF(P3215="","",IF(P3215="Gasto",S3215,IF(P3215="Reembolso",-S3215,0)))</f>
        <v/>
      </c>
      <c r="V3215" s="53">
        <f>IF(P3215="","",IF(P3215="Ingreso",S3215,0))</f>
        <v/>
      </c>
      <c r="W3215" s="53">
        <f>IF(P3215="","",IF(P3215="Resultado trading",S3215,0))</f>
        <v/>
      </c>
      <c r="X3215" s="52">
        <f>IF(OR(P3215="Gasto",P3215="Reembolso"),IF(M3215&lt;&gt;"",M3215,IFERROR(INDEX(catClasif,MATCH(D3215&amp;"|"&amp;E3215,catClave,0))&amp;"","Variable")),"")</f>
        <v/>
      </c>
      <c r="Y3215" s="52">
        <f>IF(P3215="","",IFERROR(INDEX(catGrupo,MATCH(D3215&amp;"|"&amp;E3215,catClave,0))&amp;"",""))</f>
        <v/>
      </c>
      <c r="Z3215" s="52">
        <f>IF(P3215="","",WEEKDAY(B3215,2))</f>
        <v/>
      </c>
      <c r="AA3215" s="52">
        <f>IF(P3215="","",IF(AND(P3215="Gasto",X3215="Variable",D3215&lt;&gt;catTrading,S3215&gt;0,S3215&lt;=Umbral),1,0))</f>
        <v/>
      </c>
      <c r="AB3215" s="52">
        <f>IF(OR(P3215="",Q3215=""),"",IFERROR(IF(INDEX(ctaVinc,MATCH(Q3215,ctaNombre,0))&amp;""&lt;&gt;"",INDEX(ctaVinc,MATCH(Q3215,ctaNombre,0))&amp;"",Q3215),Q3215))</f>
        <v/>
      </c>
      <c r="AC3215" s="52">
        <f>IF(OR(K3215="",AND(P3215&lt;&gt;"Transferencia",P3215&lt;&gt;"Pago tarjeta")),"",IFERROR(IF(INDEX(ctaVinc,MATCH(K3215,ctaNombre,0))&amp;""&lt;&gt;"",INDEX(ctaVinc,MATCH(K3215,ctaNombre,0))&amp;"",K3215),K3215))</f>
        <v/>
      </c>
      <c r="AD3215" s="52">
        <f>IF(AB3215="","",IFERROR(INDEX(ctaTipo,MATCH(AB3215,ctaNombre,0))&amp;"",""))</f>
        <v/>
      </c>
      <c r="AE3215" s="52">
        <f>IF(AC3215="","",IFERROR(INDEX(ctaTipo,MATCH(AC3215,ctaNombre,0))&amp;"",""))</f>
        <v/>
      </c>
      <c r="AF3215" s="53">
        <f>IF(OR(P3215="",AB3215=""),"",IF(OR(P3215="Gasto",P3215="Transferencia",P3215="Pago tarjeta"),-1,1)*IF(IFERROR(INDEX(ctaMoneda,MATCH(AB3215,ctaNombre,0))&amp;"","DOP")="USD",T3215,S3215))</f>
        <v/>
      </c>
      <c r="AG3215" s="53">
        <f>IF(AC3215="","",IF(IFERROR(INDEX(ctaMoneda,MATCH(AC3215,ctaNombre,0))&amp;"","DOP")="USD",T3215,S3215))</f>
        <v/>
      </c>
      <c r="AH3215" s="53">
        <f>IF(P3215="","",IF(AND(AD3215&lt;&gt;"",COUNTIFS(tcTipo,AD3215,tcLiq,"Sí")&gt;0),IF(OR(P3215="Gasto",P3215="Transferencia",P3215="Pago tarjeta"),-1,1)*S3215,0)+IF(AND(AE3215&lt;&gt;"",COUNTIFS(tcTipo,AE3215,tcLiq,"Sí")&gt;0),S3215,0))</f>
        <v/>
      </c>
      <c r="AI3215" s="52">
        <f>IF(OR(L3215="",P3215=""),"",IF(COUNTIFS(L$6:L3215,L3215,P$6:P3215,"?*")=1,MAX(AI$5:AI3214)+1,""))</f>
        <v/>
      </c>
    </row>
    <row r="3216">
      <c r="B3216" s="47" t="n"/>
      <c r="C3216" s="48" t="n"/>
      <c r="D3216" s="48" t="n"/>
      <c r="E3216" s="48" t="n"/>
      <c r="F3216" s="48" t="n"/>
      <c r="G3216" s="49" t="n"/>
      <c r="H3216" s="48" t="n"/>
      <c r="I3216" s="50" t="n"/>
      <c r="J3216" s="48" t="n"/>
      <c r="K3216" s="48" t="n"/>
      <c r="L3216" s="48" t="n"/>
      <c r="M3216" s="48" t="n"/>
      <c r="N3216" s="48" t="n"/>
      <c r="O3216" s="51">
        <f>IF(AND(B3216="",G3216="",C3216="",D3216="",J3216=""),"",IF(B3216="","⚠ Falta fecha",IF(G3216="","⚠ Falta monto",IF(Q3216="","⚠ Falta cuenta",IF(ISNA(MATCH(Q3216,ctaNombre,0)),"⚠ Cuenta no registrada",IF(AND(OR(P3216="Gasto",P3216="Reembolso"),D3216=""),"⚠ Falta categoría",IF(AND(D3216&lt;&gt;"",E3216&lt;&gt;"",ISNA(MATCH(D3216&amp;"|"&amp;E3216,catClave,0))),"⚠ Subcategoría no corresponde",IF(AND(OR(P3216="Transferencia",P3216="Pago tarjeta"),K3216=""),"⚠ Falta cuenta destino",IF(AND(K3216&lt;&gt;"",P3216&lt;&gt;"Transferencia",P3216&lt;&gt;"Pago tarjeta"),"⚠ Destino solo aplica a transferencias",IF(AND(K3216&lt;&gt;"",K3216=Q3216),"⚠ Origen igual a destino",IF(AND(K3216&lt;&gt;"",ISNA(MATCH(K3216,ctaNombre,0))),"⚠ Destino no registrado",IF(AND(P3216="Pago tarjeta",AE3216&lt;&gt;"Tarjeta de crédito"),"⚠ El destino debe ser tarjeta de crédito",IF(AND(P3216="Gasto",E3216="Depósitos y retiros"),"⚠ Usa tipo Transferencia",IF(AND(P3216="Resultado trading",AD3216&lt;&gt;"Cuenta de trading"),"⚠ Usa una cuenta de trading",IF(AND(G3216&lt;=0,P3216&lt;&gt;"Ajuste",P3216&lt;&gt;"Resultado trading"),"⚠ El monto debe ser positivo","✓")))))))))))))))</f>
        <v/>
      </c>
      <c r="P3216" s="52">
        <f>IF(OR(B3216="",G3216=""),"",IF(C3216="","Gasto",C3216))</f>
        <v/>
      </c>
      <c r="Q3216" s="52">
        <f>IF(P3216="","",IF(J3216&lt;&gt;"",J3216,CuentaPred&amp;""))</f>
        <v/>
      </c>
      <c r="R3216" s="52">
        <f>IF(P3216="","",IF(ISNUMBER(I3216),I3216,TasaUSD))</f>
        <v/>
      </c>
      <c r="S3216" s="53">
        <f>IF(P3216="","",IF(H3216="USD",G3216*R3216,G3216))</f>
        <v/>
      </c>
      <c r="T3216" s="53">
        <f>IF(P3216="","",IF(H3216="USD",G3216,IF(R3216&gt;0,G3216/R3216,0)))</f>
        <v/>
      </c>
      <c r="U3216" s="53">
        <f>IF(P3216="","",IF(P3216="Gasto",S3216,IF(P3216="Reembolso",-S3216,0)))</f>
        <v/>
      </c>
      <c r="V3216" s="53">
        <f>IF(P3216="","",IF(P3216="Ingreso",S3216,0))</f>
        <v/>
      </c>
      <c r="W3216" s="53">
        <f>IF(P3216="","",IF(P3216="Resultado trading",S3216,0))</f>
        <v/>
      </c>
      <c r="X3216" s="52">
        <f>IF(OR(P3216="Gasto",P3216="Reembolso"),IF(M3216&lt;&gt;"",M3216,IFERROR(INDEX(catClasif,MATCH(D3216&amp;"|"&amp;E3216,catClave,0))&amp;"","Variable")),"")</f>
        <v/>
      </c>
      <c r="Y3216" s="52">
        <f>IF(P3216="","",IFERROR(INDEX(catGrupo,MATCH(D3216&amp;"|"&amp;E3216,catClave,0))&amp;"",""))</f>
        <v/>
      </c>
      <c r="Z3216" s="52">
        <f>IF(P3216="","",WEEKDAY(B3216,2))</f>
        <v/>
      </c>
      <c r="AA3216" s="52">
        <f>IF(P3216="","",IF(AND(P3216="Gasto",X3216="Variable",D3216&lt;&gt;catTrading,S3216&gt;0,S3216&lt;=Umbral),1,0))</f>
        <v/>
      </c>
      <c r="AB3216" s="52">
        <f>IF(OR(P3216="",Q3216=""),"",IFERROR(IF(INDEX(ctaVinc,MATCH(Q3216,ctaNombre,0))&amp;""&lt;&gt;"",INDEX(ctaVinc,MATCH(Q3216,ctaNombre,0))&amp;"",Q3216),Q3216))</f>
        <v/>
      </c>
      <c r="AC3216" s="52">
        <f>IF(OR(K3216="",AND(P3216&lt;&gt;"Transferencia",P3216&lt;&gt;"Pago tarjeta")),"",IFERROR(IF(INDEX(ctaVinc,MATCH(K3216,ctaNombre,0))&amp;""&lt;&gt;"",INDEX(ctaVinc,MATCH(K3216,ctaNombre,0))&amp;"",K3216),K3216))</f>
        <v/>
      </c>
      <c r="AD3216" s="52">
        <f>IF(AB3216="","",IFERROR(INDEX(ctaTipo,MATCH(AB3216,ctaNombre,0))&amp;"",""))</f>
        <v/>
      </c>
      <c r="AE3216" s="52">
        <f>IF(AC3216="","",IFERROR(INDEX(ctaTipo,MATCH(AC3216,ctaNombre,0))&amp;"",""))</f>
        <v/>
      </c>
      <c r="AF3216" s="53">
        <f>IF(OR(P3216="",AB3216=""),"",IF(OR(P3216="Gasto",P3216="Transferencia",P3216="Pago tarjeta"),-1,1)*IF(IFERROR(INDEX(ctaMoneda,MATCH(AB3216,ctaNombre,0))&amp;"","DOP")="USD",T3216,S3216))</f>
        <v/>
      </c>
      <c r="AG3216" s="53">
        <f>IF(AC3216="","",IF(IFERROR(INDEX(ctaMoneda,MATCH(AC3216,ctaNombre,0))&amp;"","DOP")="USD",T3216,S3216))</f>
        <v/>
      </c>
      <c r="AH3216" s="53">
        <f>IF(P3216="","",IF(AND(AD3216&lt;&gt;"",COUNTIFS(tcTipo,AD3216,tcLiq,"Sí")&gt;0),IF(OR(P3216="Gasto",P3216="Transferencia",P3216="Pago tarjeta"),-1,1)*S3216,0)+IF(AND(AE3216&lt;&gt;"",COUNTIFS(tcTipo,AE3216,tcLiq,"Sí")&gt;0),S3216,0))</f>
        <v/>
      </c>
      <c r="AI3216" s="52">
        <f>IF(OR(L3216="",P3216=""),"",IF(COUNTIFS(L$6:L3216,L3216,P$6:P3216,"?*")=1,MAX(AI$5:AI3215)+1,""))</f>
        <v/>
      </c>
    </row>
    <row r="3217">
      <c r="B3217" s="47" t="n"/>
      <c r="C3217" s="48" t="n"/>
      <c r="D3217" s="48" t="n"/>
      <c r="E3217" s="48" t="n"/>
      <c r="F3217" s="48" t="n"/>
      <c r="G3217" s="49" t="n"/>
      <c r="H3217" s="48" t="n"/>
      <c r="I3217" s="50" t="n"/>
      <c r="J3217" s="48" t="n"/>
      <c r="K3217" s="48" t="n"/>
      <c r="L3217" s="48" t="n"/>
      <c r="M3217" s="48" t="n"/>
      <c r="N3217" s="48" t="n"/>
      <c r="O3217" s="51">
        <f>IF(AND(B3217="",G3217="",C3217="",D3217="",J3217=""),"",IF(B3217="","⚠ Falta fecha",IF(G3217="","⚠ Falta monto",IF(Q3217="","⚠ Falta cuenta",IF(ISNA(MATCH(Q3217,ctaNombre,0)),"⚠ Cuenta no registrada",IF(AND(OR(P3217="Gasto",P3217="Reembolso"),D3217=""),"⚠ Falta categoría",IF(AND(D3217&lt;&gt;"",E3217&lt;&gt;"",ISNA(MATCH(D3217&amp;"|"&amp;E3217,catClave,0))),"⚠ Subcategoría no corresponde",IF(AND(OR(P3217="Transferencia",P3217="Pago tarjeta"),K3217=""),"⚠ Falta cuenta destino",IF(AND(K3217&lt;&gt;"",P3217&lt;&gt;"Transferencia",P3217&lt;&gt;"Pago tarjeta"),"⚠ Destino solo aplica a transferencias",IF(AND(K3217&lt;&gt;"",K3217=Q3217),"⚠ Origen igual a destino",IF(AND(K3217&lt;&gt;"",ISNA(MATCH(K3217,ctaNombre,0))),"⚠ Destino no registrado",IF(AND(P3217="Pago tarjeta",AE3217&lt;&gt;"Tarjeta de crédito"),"⚠ El destino debe ser tarjeta de crédito",IF(AND(P3217="Gasto",E3217="Depósitos y retiros"),"⚠ Usa tipo Transferencia",IF(AND(P3217="Resultado trading",AD3217&lt;&gt;"Cuenta de trading"),"⚠ Usa una cuenta de trading",IF(AND(G3217&lt;=0,P3217&lt;&gt;"Ajuste",P3217&lt;&gt;"Resultado trading"),"⚠ El monto debe ser positivo","✓")))))))))))))))</f>
        <v/>
      </c>
      <c r="P3217" s="52">
        <f>IF(OR(B3217="",G3217=""),"",IF(C3217="","Gasto",C3217))</f>
        <v/>
      </c>
      <c r="Q3217" s="52">
        <f>IF(P3217="","",IF(J3217&lt;&gt;"",J3217,CuentaPred&amp;""))</f>
        <v/>
      </c>
      <c r="R3217" s="52">
        <f>IF(P3217="","",IF(ISNUMBER(I3217),I3217,TasaUSD))</f>
        <v/>
      </c>
      <c r="S3217" s="53">
        <f>IF(P3217="","",IF(H3217="USD",G3217*R3217,G3217))</f>
        <v/>
      </c>
      <c r="T3217" s="53">
        <f>IF(P3217="","",IF(H3217="USD",G3217,IF(R3217&gt;0,G3217/R3217,0)))</f>
        <v/>
      </c>
      <c r="U3217" s="53">
        <f>IF(P3217="","",IF(P3217="Gasto",S3217,IF(P3217="Reembolso",-S3217,0)))</f>
        <v/>
      </c>
      <c r="V3217" s="53">
        <f>IF(P3217="","",IF(P3217="Ingreso",S3217,0))</f>
        <v/>
      </c>
      <c r="W3217" s="53">
        <f>IF(P3217="","",IF(P3217="Resultado trading",S3217,0))</f>
        <v/>
      </c>
      <c r="X3217" s="52">
        <f>IF(OR(P3217="Gasto",P3217="Reembolso"),IF(M3217&lt;&gt;"",M3217,IFERROR(INDEX(catClasif,MATCH(D3217&amp;"|"&amp;E3217,catClave,0))&amp;"","Variable")),"")</f>
        <v/>
      </c>
      <c r="Y3217" s="52">
        <f>IF(P3217="","",IFERROR(INDEX(catGrupo,MATCH(D3217&amp;"|"&amp;E3217,catClave,0))&amp;"",""))</f>
        <v/>
      </c>
      <c r="Z3217" s="52">
        <f>IF(P3217="","",WEEKDAY(B3217,2))</f>
        <v/>
      </c>
      <c r="AA3217" s="52">
        <f>IF(P3217="","",IF(AND(P3217="Gasto",X3217="Variable",D3217&lt;&gt;catTrading,S3217&gt;0,S3217&lt;=Umbral),1,0))</f>
        <v/>
      </c>
      <c r="AB3217" s="52">
        <f>IF(OR(P3217="",Q3217=""),"",IFERROR(IF(INDEX(ctaVinc,MATCH(Q3217,ctaNombre,0))&amp;""&lt;&gt;"",INDEX(ctaVinc,MATCH(Q3217,ctaNombre,0))&amp;"",Q3217),Q3217))</f>
        <v/>
      </c>
      <c r="AC3217" s="52">
        <f>IF(OR(K3217="",AND(P3217&lt;&gt;"Transferencia",P3217&lt;&gt;"Pago tarjeta")),"",IFERROR(IF(INDEX(ctaVinc,MATCH(K3217,ctaNombre,0))&amp;""&lt;&gt;"",INDEX(ctaVinc,MATCH(K3217,ctaNombre,0))&amp;"",K3217),K3217))</f>
        <v/>
      </c>
      <c r="AD3217" s="52">
        <f>IF(AB3217="","",IFERROR(INDEX(ctaTipo,MATCH(AB3217,ctaNombre,0))&amp;"",""))</f>
        <v/>
      </c>
      <c r="AE3217" s="52">
        <f>IF(AC3217="","",IFERROR(INDEX(ctaTipo,MATCH(AC3217,ctaNombre,0))&amp;"",""))</f>
        <v/>
      </c>
      <c r="AF3217" s="53">
        <f>IF(OR(P3217="",AB3217=""),"",IF(OR(P3217="Gasto",P3217="Transferencia",P3217="Pago tarjeta"),-1,1)*IF(IFERROR(INDEX(ctaMoneda,MATCH(AB3217,ctaNombre,0))&amp;"","DOP")="USD",T3217,S3217))</f>
        <v/>
      </c>
      <c r="AG3217" s="53">
        <f>IF(AC3217="","",IF(IFERROR(INDEX(ctaMoneda,MATCH(AC3217,ctaNombre,0))&amp;"","DOP")="USD",T3217,S3217))</f>
        <v/>
      </c>
      <c r="AH3217" s="53">
        <f>IF(P3217="","",IF(AND(AD3217&lt;&gt;"",COUNTIFS(tcTipo,AD3217,tcLiq,"Sí")&gt;0),IF(OR(P3217="Gasto",P3217="Transferencia",P3217="Pago tarjeta"),-1,1)*S3217,0)+IF(AND(AE3217&lt;&gt;"",COUNTIFS(tcTipo,AE3217,tcLiq,"Sí")&gt;0),S3217,0))</f>
        <v/>
      </c>
      <c r="AI3217" s="52">
        <f>IF(OR(L3217="",P3217=""),"",IF(COUNTIFS(L$6:L3217,L3217,P$6:P3217,"?*")=1,MAX(AI$5:AI3216)+1,""))</f>
        <v/>
      </c>
    </row>
    <row r="3218">
      <c r="B3218" s="47" t="n"/>
      <c r="C3218" s="48" t="n"/>
      <c r="D3218" s="48" t="n"/>
      <c r="E3218" s="48" t="n"/>
      <c r="F3218" s="48" t="n"/>
      <c r="G3218" s="49" t="n"/>
      <c r="H3218" s="48" t="n"/>
      <c r="I3218" s="50" t="n"/>
      <c r="J3218" s="48" t="n"/>
      <c r="K3218" s="48" t="n"/>
      <c r="L3218" s="48" t="n"/>
      <c r="M3218" s="48" t="n"/>
      <c r="N3218" s="48" t="n"/>
      <c r="O3218" s="51">
        <f>IF(AND(B3218="",G3218="",C3218="",D3218="",J3218=""),"",IF(B3218="","⚠ Falta fecha",IF(G3218="","⚠ Falta monto",IF(Q3218="","⚠ Falta cuenta",IF(ISNA(MATCH(Q3218,ctaNombre,0)),"⚠ Cuenta no registrada",IF(AND(OR(P3218="Gasto",P3218="Reembolso"),D3218=""),"⚠ Falta categoría",IF(AND(D3218&lt;&gt;"",E3218&lt;&gt;"",ISNA(MATCH(D3218&amp;"|"&amp;E3218,catClave,0))),"⚠ Subcategoría no corresponde",IF(AND(OR(P3218="Transferencia",P3218="Pago tarjeta"),K3218=""),"⚠ Falta cuenta destino",IF(AND(K3218&lt;&gt;"",P3218&lt;&gt;"Transferencia",P3218&lt;&gt;"Pago tarjeta"),"⚠ Destino solo aplica a transferencias",IF(AND(K3218&lt;&gt;"",K3218=Q3218),"⚠ Origen igual a destino",IF(AND(K3218&lt;&gt;"",ISNA(MATCH(K3218,ctaNombre,0))),"⚠ Destino no registrado",IF(AND(P3218="Pago tarjeta",AE3218&lt;&gt;"Tarjeta de crédito"),"⚠ El destino debe ser tarjeta de crédito",IF(AND(P3218="Gasto",E3218="Depósitos y retiros"),"⚠ Usa tipo Transferencia",IF(AND(P3218="Resultado trading",AD3218&lt;&gt;"Cuenta de trading"),"⚠ Usa una cuenta de trading",IF(AND(G3218&lt;=0,P3218&lt;&gt;"Ajuste",P3218&lt;&gt;"Resultado trading"),"⚠ El monto debe ser positivo","✓")))))))))))))))</f>
        <v/>
      </c>
      <c r="P3218" s="52">
        <f>IF(OR(B3218="",G3218=""),"",IF(C3218="","Gasto",C3218))</f>
        <v/>
      </c>
      <c r="Q3218" s="52">
        <f>IF(P3218="","",IF(J3218&lt;&gt;"",J3218,CuentaPred&amp;""))</f>
        <v/>
      </c>
      <c r="R3218" s="52">
        <f>IF(P3218="","",IF(ISNUMBER(I3218),I3218,TasaUSD))</f>
        <v/>
      </c>
      <c r="S3218" s="53">
        <f>IF(P3218="","",IF(H3218="USD",G3218*R3218,G3218))</f>
        <v/>
      </c>
      <c r="T3218" s="53">
        <f>IF(P3218="","",IF(H3218="USD",G3218,IF(R3218&gt;0,G3218/R3218,0)))</f>
        <v/>
      </c>
      <c r="U3218" s="53">
        <f>IF(P3218="","",IF(P3218="Gasto",S3218,IF(P3218="Reembolso",-S3218,0)))</f>
        <v/>
      </c>
      <c r="V3218" s="53">
        <f>IF(P3218="","",IF(P3218="Ingreso",S3218,0))</f>
        <v/>
      </c>
      <c r="W3218" s="53">
        <f>IF(P3218="","",IF(P3218="Resultado trading",S3218,0))</f>
        <v/>
      </c>
      <c r="X3218" s="52">
        <f>IF(OR(P3218="Gasto",P3218="Reembolso"),IF(M3218&lt;&gt;"",M3218,IFERROR(INDEX(catClasif,MATCH(D3218&amp;"|"&amp;E3218,catClave,0))&amp;"","Variable")),"")</f>
        <v/>
      </c>
      <c r="Y3218" s="52">
        <f>IF(P3218="","",IFERROR(INDEX(catGrupo,MATCH(D3218&amp;"|"&amp;E3218,catClave,0))&amp;"",""))</f>
        <v/>
      </c>
      <c r="Z3218" s="52">
        <f>IF(P3218="","",WEEKDAY(B3218,2))</f>
        <v/>
      </c>
      <c r="AA3218" s="52">
        <f>IF(P3218="","",IF(AND(P3218="Gasto",X3218="Variable",D3218&lt;&gt;catTrading,S3218&gt;0,S3218&lt;=Umbral),1,0))</f>
        <v/>
      </c>
      <c r="AB3218" s="52">
        <f>IF(OR(P3218="",Q3218=""),"",IFERROR(IF(INDEX(ctaVinc,MATCH(Q3218,ctaNombre,0))&amp;""&lt;&gt;"",INDEX(ctaVinc,MATCH(Q3218,ctaNombre,0))&amp;"",Q3218),Q3218))</f>
        <v/>
      </c>
      <c r="AC3218" s="52">
        <f>IF(OR(K3218="",AND(P3218&lt;&gt;"Transferencia",P3218&lt;&gt;"Pago tarjeta")),"",IFERROR(IF(INDEX(ctaVinc,MATCH(K3218,ctaNombre,0))&amp;""&lt;&gt;"",INDEX(ctaVinc,MATCH(K3218,ctaNombre,0))&amp;"",K3218),K3218))</f>
        <v/>
      </c>
      <c r="AD3218" s="52">
        <f>IF(AB3218="","",IFERROR(INDEX(ctaTipo,MATCH(AB3218,ctaNombre,0))&amp;"",""))</f>
        <v/>
      </c>
      <c r="AE3218" s="52">
        <f>IF(AC3218="","",IFERROR(INDEX(ctaTipo,MATCH(AC3218,ctaNombre,0))&amp;"",""))</f>
        <v/>
      </c>
      <c r="AF3218" s="53">
        <f>IF(OR(P3218="",AB3218=""),"",IF(OR(P3218="Gasto",P3218="Transferencia",P3218="Pago tarjeta"),-1,1)*IF(IFERROR(INDEX(ctaMoneda,MATCH(AB3218,ctaNombre,0))&amp;"","DOP")="USD",T3218,S3218))</f>
        <v/>
      </c>
      <c r="AG3218" s="53">
        <f>IF(AC3218="","",IF(IFERROR(INDEX(ctaMoneda,MATCH(AC3218,ctaNombre,0))&amp;"","DOP")="USD",T3218,S3218))</f>
        <v/>
      </c>
      <c r="AH3218" s="53">
        <f>IF(P3218="","",IF(AND(AD3218&lt;&gt;"",COUNTIFS(tcTipo,AD3218,tcLiq,"Sí")&gt;0),IF(OR(P3218="Gasto",P3218="Transferencia",P3218="Pago tarjeta"),-1,1)*S3218,0)+IF(AND(AE3218&lt;&gt;"",COUNTIFS(tcTipo,AE3218,tcLiq,"Sí")&gt;0),S3218,0))</f>
        <v/>
      </c>
      <c r="AI3218" s="52">
        <f>IF(OR(L3218="",P3218=""),"",IF(COUNTIFS(L$6:L3218,L3218,P$6:P3218,"?*")=1,MAX(AI$5:AI3217)+1,""))</f>
        <v/>
      </c>
    </row>
    <row r="3219">
      <c r="B3219" s="47" t="n"/>
      <c r="C3219" s="48" t="n"/>
      <c r="D3219" s="48" t="n"/>
      <c r="E3219" s="48" t="n"/>
      <c r="F3219" s="48" t="n"/>
      <c r="G3219" s="49" t="n"/>
      <c r="H3219" s="48" t="n"/>
      <c r="I3219" s="50" t="n"/>
      <c r="J3219" s="48" t="n"/>
      <c r="K3219" s="48" t="n"/>
      <c r="L3219" s="48" t="n"/>
      <c r="M3219" s="48" t="n"/>
      <c r="N3219" s="48" t="n"/>
      <c r="O3219" s="51">
        <f>IF(AND(B3219="",G3219="",C3219="",D3219="",J3219=""),"",IF(B3219="","⚠ Falta fecha",IF(G3219="","⚠ Falta monto",IF(Q3219="","⚠ Falta cuenta",IF(ISNA(MATCH(Q3219,ctaNombre,0)),"⚠ Cuenta no registrada",IF(AND(OR(P3219="Gasto",P3219="Reembolso"),D3219=""),"⚠ Falta categoría",IF(AND(D3219&lt;&gt;"",E3219&lt;&gt;"",ISNA(MATCH(D3219&amp;"|"&amp;E3219,catClave,0))),"⚠ Subcategoría no corresponde",IF(AND(OR(P3219="Transferencia",P3219="Pago tarjeta"),K3219=""),"⚠ Falta cuenta destino",IF(AND(K3219&lt;&gt;"",P3219&lt;&gt;"Transferencia",P3219&lt;&gt;"Pago tarjeta"),"⚠ Destino solo aplica a transferencias",IF(AND(K3219&lt;&gt;"",K3219=Q3219),"⚠ Origen igual a destino",IF(AND(K3219&lt;&gt;"",ISNA(MATCH(K3219,ctaNombre,0))),"⚠ Destino no registrado",IF(AND(P3219="Pago tarjeta",AE3219&lt;&gt;"Tarjeta de crédito"),"⚠ El destino debe ser tarjeta de crédito",IF(AND(P3219="Gasto",E3219="Depósitos y retiros"),"⚠ Usa tipo Transferencia",IF(AND(P3219="Resultado trading",AD3219&lt;&gt;"Cuenta de trading"),"⚠ Usa una cuenta de trading",IF(AND(G3219&lt;=0,P3219&lt;&gt;"Ajuste",P3219&lt;&gt;"Resultado trading"),"⚠ El monto debe ser positivo","✓")))))))))))))))</f>
        <v/>
      </c>
      <c r="P3219" s="52">
        <f>IF(OR(B3219="",G3219=""),"",IF(C3219="","Gasto",C3219))</f>
        <v/>
      </c>
      <c r="Q3219" s="52">
        <f>IF(P3219="","",IF(J3219&lt;&gt;"",J3219,CuentaPred&amp;""))</f>
        <v/>
      </c>
      <c r="R3219" s="52">
        <f>IF(P3219="","",IF(ISNUMBER(I3219),I3219,TasaUSD))</f>
        <v/>
      </c>
      <c r="S3219" s="53">
        <f>IF(P3219="","",IF(H3219="USD",G3219*R3219,G3219))</f>
        <v/>
      </c>
      <c r="T3219" s="53">
        <f>IF(P3219="","",IF(H3219="USD",G3219,IF(R3219&gt;0,G3219/R3219,0)))</f>
        <v/>
      </c>
      <c r="U3219" s="53">
        <f>IF(P3219="","",IF(P3219="Gasto",S3219,IF(P3219="Reembolso",-S3219,0)))</f>
        <v/>
      </c>
      <c r="V3219" s="53">
        <f>IF(P3219="","",IF(P3219="Ingreso",S3219,0))</f>
        <v/>
      </c>
      <c r="W3219" s="53">
        <f>IF(P3219="","",IF(P3219="Resultado trading",S3219,0))</f>
        <v/>
      </c>
      <c r="X3219" s="52">
        <f>IF(OR(P3219="Gasto",P3219="Reembolso"),IF(M3219&lt;&gt;"",M3219,IFERROR(INDEX(catClasif,MATCH(D3219&amp;"|"&amp;E3219,catClave,0))&amp;"","Variable")),"")</f>
        <v/>
      </c>
      <c r="Y3219" s="52">
        <f>IF(P3219="","",IFERROR(INDEX(catGrupo,MATCH(D3219&amp;"|"&amp;E3219,catClave,0))&amp;"",""))</f>
        <v/>
      </c>
      <c r="Z3219" s="52">
        <f>IF(P3219="","",WEEKDAY(B3219,2))</f>
        <v/>
      </c>
      <c r="AA3219" s="52">
        <f>IF(P3219="","",IF(AND(P3219="Gasto",X3219="Variable",D3219&lt;&gt;catTrading,S3219&gt;0,S3219&lt;=Umbral),1,0))</f>
        <v/>
      </c>
      <c r="AB3219" s="52">
        <f>IF(OR(P3219="",Q3219=""),"",IFERROR(IF(INDEX(ctaVinc,MATCH(Q3219,ctaNombre,0))&amp;""&lt;&gt;"",INDEX(ctaVinc,MATCH(Q3219,ctaNombre,0))&amp;"",Q3219),Q3219))</f>
        <v/>
      </c>
      <c r="AC3219" s="52">
        <f>IF(OR(K3219="",AND(P3219&lt;&gt;"Transferencia",P3219&lt;&gt;"Pago tarjeta")),"",IFERROR(IF(INDEX(ctaVinc,MATCH(K3219,ctaNombre,0))&amp;""&lt;&gt;"",INDEX(ctaVinc,MATCH(K3219,ctaNombre,0))&amp;"",K3219),K3219))</f>
        <v/>
      </c>
      <c r="AD3219" s="52">
        <f>IF(AB3219="","",IFERROR(INDEX(ctaTipo,MATCH(AB3219,ctaNombre,0))&amp;"",""))</f>
        <v/>
      </c>
      <c r="AE3219" s="52">
        <f>IF(AC3219="","",IFERROR(INDEX(ctaTipo,MATCH(AC3219,ctaNombre,0))&amp;"",""))</f>
        <v/>
      </c>
      <c r="AF3219" s="53">
        <f>IF(OR(P3219="",AB3219=""),"",IF(OR(P3219="Gasto",P3219="Transferencia",P3219="Pago tarjeta"),-1,1)*IF(IFERROR(INDEX(ctaMoneda,MATCH(AB3219,ctaNombre,0))&amp;"","DOP")="USD",T3219,S3219))</f>
        <v/>
      </c>
      <c r="AG3219" s="53">
        <f>IF(AC3219="","",IF(IFERROR(INDEX(ctaMoneda,MATCH(AC3219,ctaNombre,0))&amp;"","DOP")="USD",T3219,S3219))</f>
        <v/>
      </c>
      <c r="AH3219" s="53">
        <f>IF(P3219="","",IF(AND(AD3219&lt;&gt;"",COUNTIFS(tcTipo,AD3219,tcLiq,"Sí")&gt;0),IF(OR(P3219="Gasto",P3219="Transferencia",P3219="Pago tarjeta"),-1,1)*S3219,0)+IF(AND(AE3219&lt;&gt;"",COUNTIFS(tcTipo,AE3219,tcLiq,"Sí")&gt;0),S3219,0))</f>
        <v/>
      </c>
      <c r="AI3219" s="52">
        <f>IF(OR(L3219="",P3219=""),"",IF(COUNTIFS(L$6:L3219,L3219,P$6:P3219,"?*")=1,MAX(AI$5:AI3218)+1,""))</f>
        <v/>
      </c>
    </row>
    <row r="3220">
      <c r="B3220" s="47" t="n"/>
      <c r="C3220" s="48" t="n"/>
      <c r="D3220" s="48" t="n"/>
      <c r="E3220" s="48" t="n"/>
      <c r="F3220" s="48" t="n"/>
      <c r="G3220" s="49" t="n"/>
      <c r="H3220" s="48" t="n"/>
      <c r="I3220" s="50" t="n"/>
      <c r="J3220" s="48" t="n"/>
      <c r="K3220" s="48" t="n"/>
      <c r="L3220" s="48" t="n"/>
      <c r="M3220" s="48" t="n"/>
      <c r="N3220" s="48" t="n"/>
      <c r="O3220" s="51">
        <f>IF(AND(B3220="",G3220="",C3220="",D3220="",J3220=""),"",IF(B3220="","⚠ Falta fecha",IF(G3220="","⚠ Falta monto",IF(Q3220="","⚠ Falta cuenta",IF(ISNA(MATCH(Q3220,ctaNombre,0)),"⚠ Cuenta no registrada",IF(AND(OR(P3220="Gasto",P3220="Reembolso"),D3220=""),"⚠ Falta categoría",IF(AND(D3220&lt;&gt;"",E3220&lt;&gt;"",ISNA(MATCH(D3220&amp;"|"&amp;E3220,catClave,0))),"⚠ Subcategoría no corresponde",IF(AND(OR(P3220="Transferencia",P3220="Pago tarjeta"),K3220=""),"⚠ Falta cuenta destino",IF(AND(K3220&lt;&gt;"",P3220&lt;&gt;"Transferencia",P3220&lt;&gt;"Pago tarjeta"),"⚠ Destino solo aplica a transferencias",IF(AND(K3220&lt;&gt;"",K3220=Q3220),"⚠ Origen igual a destino",IF(AND(K3220&lt;&gt;"",ISNA(MATCH(K3220,ctaNombre,0))),"⚠ Destino no registrado",IF(AND(P3220="Pago tarjeta",AE3220&lt;&gt;"Tarjeta de crédito"),"⚠ El destino debe ser tarjeta de crédito",IF(AND(P3220="Gasto",E3220="Depósitos y retiros"),"⚠ Usa tipo Transferencia",IF(AND(P3220="Resultado trading",AD3220&lt;&gt;"Cuenta de trading"),"⚠ Usa una cuenta de trading",IF(AND(G3220&lt;=0,P3220&lt;&gt;"Ajuste",P3220&lt;&gt;"Resultado trading"),"⚠ El monto debe ser positivo","✓")))))))))))))))</f>
        <v/>
      </c>
      <c r="P3220" s="52">
        <f>IF(OR(B3220="",G3220=""),"",IF(C3220="","Gasto",C3220))</f>
        <v/>
      </c>
      <c r="Q3220" s="52">
        <f>IF(P3220="","",IF(J3220&lt;&gt;"",J3220,CuentaPred&amp;""))</f>
        <v/>
      </c>
      <c r="R3220" s="52">
        <f>IF(P3220="","",IF(ISNUMBER(I3220),I3220,TasaUSD))</f>
        <v/>
      </c>
      <c r="S3220" s="53">
        <f>IF(P3220="","",IF(H3220="USD",G3220*R3220,G3220))</f>
        <v/>
      </c>
      <c r="T3220" s="53">
        <f>IF(P3220="","",IF(H3220="USD",G3220,IF(R3220&gt;0,G3220/R3220,0)))</f>
        <v/>
      </c>
      <c r="U3220" s="53">
        <f>IF(P3220="","",IF(P3220="Gasto",S3220,IF(P3220="Reembolso",-S3220,0)))</f>
        <v/>
      </c>
      <c r="V3220" s="53">
        <f>IF(P3220="","",IF(P3220="Ingreso",S3220,0))</f>
        <v/>
      </c>
      <c r="W3220" s="53">
        <f>IF(P3220="","",IF(P3220="Resultado trading",S3220,0))</f>
        <v/>
      </c>
      <c r="X3220" s="52">
        <f>IF(OR(P3220="Gasto",P3220="Reembolso"),IF(M3220&lt;&gt;"",M3220,IFERROR(INDEX(catClasif,MATCH(D3220&amp;"|"&amp;E3220,catClave,0))&amp;"","Variable")),"")</f>
        <v/>
      </c>
      <c r="Y3220" s="52">
        <f>IF(P3220="","",IFERROR(INDEX(catGrupo,MATCH(D3220&amp;"|"&amp;E3220,catClave,0))&amp;"",""))</f>
        <v/>
      </c>
      <c r="Z3220" s="52">
        <f>IF(P3220="","",WEEKDAY(B3220,2))</f>
        <v/>
      </c>
      <c r="AA3220" s="52">
        <f>IF(P3220="","",IF(AND(P3220="Gasto",X3220="Variable",D3220&lt;&gt;catTrading,S3220&gt;0,S3220&lt;=Umbral),1,0))</f>
        <v/>
      </c>
      <c r="AB3220" s="52">
        <f>IF(OR(P3220="",Q3220=""),"",IFERROR(IF(INDEX(ctaVinc,MATCH(Q3220,ctaNombre,0))&amp;""&lt;&gt;"",INDEX(ctaVinc,MATCH(Q3220,ctaNombre,0))&amp;"",Q3220),Q3220))</f>
        <v/>
      </c>
      <c r="AC3220" s="52">
        <f>IF(OR(K3220="",AND(P3220&lt;&gt;"Transferencia",P3220&lt;&gt;"Pago tarjeta")),"",IFERROR(IF(INDEX(ctaVinc,MATCH(K3220,ctaNombre,0))&amp;""&lt;&gt;"",INDEX(ctaVinc,MATCH(K3220,ctaNombre,0))&amp;"",K3220),K3220))</f>
        <v/>
      </c>
      <c r="AD3220" s="52">
        <f>IF(AB3220="","",IFERROR(INDEX(ctaTipo,MATCH(AB3220,ctaNombre,0))&amp;"",""))</f>
        <v/>
      </c>
      <c r="AE3220" s="52">
        <f>IF(AC3220="","",IFERROR(INDEX(ctaTipo,MATCH(AC3220,ctaNombre,0))&amp;"",""))</f>
        <v/>
      </c>
      <c r="AF3220" s="53">
        <f>IF(OR(P3220="",AB3220=""),"",IF(OR(P3220="Gasto",P3220="Transferencia",P3220="Pago tarjeta"),-1,1)*IF(IFERROR(INDEX(ctaMoneda,MATCH(AB3220,ctaNombre,0))&amp;"","DOP")="USD",T3220,S3220))</f>
        <v/>
      </c>
      <c r="AG3220" s="53">
        <f>IF(AC3220="","",IF(IFERROR(INDEX(ctaMoneda,MATCH(AC3220,ctaNombre,0))&amp;"","DOP")="USD",T3220,S3220))</f>
        <v/>
      </c>
      <c r="AH3220" s="53">
        <f>IF(P3220="","",IF(AND(AD3220&lt;&gt;"",COUNTIFS(tcTipo,AD3220,tcLiq,"Sí")&gt;0),IF(OR(P3220="Gasto",P3220="Transferencia",P3220="Pago tarjeta"),-1,1)*S3220,0)+IF(AND(AE3220&lt;&gt;"",COUNTIFS(tcTipo,AE3220,tcLiq,"Sí")&gt;0),S3220,0))</f>
        <v/>
      </c>
      <c r="AI3220" s="52">
        <f>IF(OR(L3220="",P3220=""),"",IF(COUNTIFS(L$6:L3220,L3220,P$6:P3220,"?*")=1,MAX(AI$5:AI3219)+1,""))</f>
        <v/>
      </c>
    </row>
    <row r="3221">
      <c r="B3221" s="47" t="n"/>
      <c r="C3221" s="48" t="n"/>
      <c r="D3221" s="48" t="n"/>
      <c r="E3221" s="48" t="n"/>
      <c r="F3221" s="48" t="n"/>
      <c r="G3221" s="49" t="n"/>
      <c r="H3221" s="48" t="n"/>
      <c r="I3221" s="50" t="n"/>
      <c r="J3221" s="48" t="n"/>
      <c r="K3221" s="48" t="n"/>
      <c r="L3221" s="48" t="n"/>
      <c r="M3221" s="48" t="n"/>
      <c r="N3221" s="48" t="n"/>
      <c r="O3221" s="51">
        <f>IF(AND(B3221="",G3221="",C3221="",D3221="",J3221=""),"",IF(B3221="","⚠ Falta fecha",IF(G3221="","⚠ Falta monto",IF(Q3221="","⚠ Falta cuenta",IF(ISNA(MATCH(Q3221,ctaNombre,0)),"⚠ Cuenta no registrada",IF(AND(OR(P3221="Gasto",P3221="Reembolso"),D3221=""),"⚠ Falta categoría",IF(AND(D3221&lt;&gt;"",E3221&lt;&gt;"",ISNA(MATCH(D3221&amp;"|"&amp;E3221,catClave,0))),"⚠ Subcategoría no corresponde",IF(AND(OR(P3221="Transferencia",P3221="Pago tarjeta"),K3221=""),"⚠ Falta cuenta destino",IF(AND(K3221&lt;&gt;"",P3221&lt;&gt;"Transferencia",P3221&lt;&gt;"Pago tarjeta"),"⚠ Destino solo aplica a transferencias",IF(AND(K3221&lt;&gt;"",K3221=Q3221),"⚠ Origen igual a destino",IF(AND(K3221&lt;&gt;"",ISNA(MATCH(K3221,ctaNombre,0))),"⚠ Destino no registrado",IF(AND(P3221="Pago tarjeta",AE3221&lt;&gt;"Tarjeta de crédito"),"⚠ El destino debe ser tarjeta de crédito",IF(AND(P3221="Gasto",E3221="Depósitos y retiros"),"⚠ Usa tipo Transferencia",IF(AND(P3221="Resultado trading",AD3221&lt;&gt;"Cuenta de trading"),"⚠ Usa una cuenta de trading",IF(AND(G3221&lt;=0,P3221&lt;&gt;"Ajuste",P3221&lt;&gt;"Resultado trading"),"⚠ El monto debe ser positivo","✓")))))))))))))))</f>
        <v/>
      </c>
      <c r="P3221" s="52">
        <f>IF(OR(B3221="",G3221=""),"",IF(C3221="","Gasto",C3221))</f>
        <v/>
      </c>
      <c r="Q3221" s="52">
        <f>IF(P3221="","",IF(J3221&lt;&gt;"",J3221,CuentaPred&amp;""))</f>
        <v/>
      </c>
      <c r="R3221" s="52">
        <f>IF(P3221="","",IF(ISNUMBER(I3221),I3221,TasaUSD))</f>
        <v/>
      </c>
      <c r="S3221" s="53">
        <f>IF(P3221="","",IF(H3221="USD",G3221*R3221,G3221))</f>
        <v/>
      </c>
      <c r="T3221" s="53">
        <f>IF(P3221="","",IF(H3221="USD",G3221,IF(R3221&gt;0,G3221/R3221,0)))</f>
        <v/>
      </c>
      <c r="U3221" s="53">
        <f>IF(P3221="","",IF(P3221="Gasto",S3221,IF(P3221="Reembolso",-S3221,0)))</f>
        <v/>
      </c>
      <c r="V3221" s="53">
        <f>IF(P3221="","",IF(P3221="Ingreso",S3221,0))</f>
        <v/>
      </c>
      <c r="W3221" s="53">
        <f>IF(P3221="","",IF(P3221="Resultado trading",S3221,0))</f>
        <v/>
      </c>
      <c r="X3221" s="52">
        <f>IF(OR(P3221="Gasto",P3221="Reembolso"),IF(M3221&lt;&gt;"",M3221,IFERROR(INDEX(catClasif,MATCH(D3221&amp;"|"&amp;E3221,catClave,0))&amp;"","Variable")),"")</f>
        <v/>
      </c>
      <c r="Y3221" s="52">
        <f>IF(P3221="","",IFERROR(INDEX(catGrupo,MATCH(D3221&amp;"|"&amp;E3221,catClave,0))&amp;"",""))</f>
        <v/>
      </c>
      <c r="Z3221" s="52">
        <f>IF(P3221="","",WEEKDAY(B3221,2))</f>
        <v/>
      </c>
      <c r="AA3221" s="52">
        <f>IF(P3221="","",IF(AND(P3221="Gasto",X3221="Variable",D3221&lt;&gt;catTrading,S3221&gt;0,S3221&lt;=Umbral),1,0))</f>
        <v/>
      </c>
      <c r="AB3221" s="52">
        <f>IF(OR(P3221="",Q3221=""),"",IFERROR(IF(INDEX(ctaVinc,MATCH(Q3221,ctaNombre,0))&amp;""&lt;&gt;"",INDEX(ctaVinc,MATCH(Q3221,ctaNombre,0))&amp;"",Q3221),Q3221))</f>
        <v/>
      </c>
      <c r="AC3221" s="52">
        <f>IF(OR(K3221="",AND(P3221&lt;&gt;"Transferencia",P3221&lt;&gt;"Pago tarjeta")),"",IFERROR(IF(INDEX(ctaVinc,MATCH(K3221,ctaNombre,0))&amp;""&lt;&gt;"",INDEX(ctaVinc,MATCH(K3221,ctaNombre,0))&amp;"",K3221),K3221))</f>
        <v/>
      </c>
      <c r="AD3221" s="52">
        <f>IF(AB3221="","",IFERROR(INDEX(ctaTipo,MATCH(AB3221,ctaNombre,0))&amp;"",""))</f>
        <v/>
      </c>
      <c r="AE3221" s="52">
        <f>IF(AC3221="","",IFERROR(INDEX(ctaTipo,MATCH(AC3221,ctaNombre,0))&amp;"",""))</f>
        <v/>
      </c>
      <c r="AF3221" s="53">
        <f>IF(OR(P3221="",AB3221=""),"",IF(OR(P3221="Gasto",P3221="Transferencia",P3221="Pago tarjeta"),-1,1)*IF(IFERROR(INDEX(ctaMoneda,MATCH(AB3221,ctaNombre,0))&amp;"","DOP")="USD",T3221,S3221))</f>
        <v/>
      </c>
      <c r="AG3221" s="53">
        <f>IF(AC3221="","",IF(IFERROR(INDEX(ctaMoneda,MATCH(AC3221,ctaNombre,0))&amp;"","DOP")="USD",T3221,S3221))</f>
        <v/>
      </c>
      <c r="AH3221" s="53">
        <f>IF(P3221="","",IF(AND(AD3221&lt;&gt;"",COUNTIFS(tcTipo,AD3221,tcLiq,"Sí")&gt;0),IF(OR(P3221="Gasto",P3221="Transferencia",P3221="Pago tarjeta"),-1,1)*S3221,0)+IF(AND(AE3221&lt;&gt;"",COUNTIFS(tcTipo,AE3221,tcLiq,"Sí")&gt;0),S3221,0))</f>
        <v/>
      </c>
      <c r="AI3221" s="52">
        <f>IF(OR(L3221="",P3221=""),"",IF(COUNTIFS(L$6:L3221,L3221,P$6:P3221,"?*")=1,MAX(AI$5:AI3220)+1,""))</f>
        <v/>
      </c>
    </row>
    <row r="3222">
      <c r="B3222" s="47" t="n"/>
      <c r="C3222" s="48" t="n"/>
      <c r="D3222" s="48" t="n"/>
      <c r="E3222" s="48" t="n"/>
      <c r="F3222" s="48" t="n"/>
      <c r="G3222" s="49" t="n"/>
      <c r="H3222" s="48" t="n"/>
      <c r="I3222" s="50" t="n"/>
      <c r="J3222" s="48" t="n"/>
      <c r="K3222" s="48" t="n"/>
      <c r="L3222" s="48" t="n"/>
      <c r="M3222" s="48" t="n"/>
      <c r="N3222" s="48" t="n"/>
      <c r="O3222" s="51">
        <f>IF(AND(B3222="",G3222="",C3222="",D3222="",J3222=""),"",IF(B3222="","⚠ Falta fecha",IF(G3222="","⚠ Falta monto",IF(Q3222="","⚠ Falta cuenta",IF(ISNA(MATCH(Q3222,ctaNombre,0)),"⚠ Cuenta no registrada",IF(AND(OR(P3222="Gasto",P3222="Reembolso"),D3222=""),"⚠ Falta categoría",IF(AND(D3222&lt;&gt;"",E3222&lt;&gt;"",ISNA(MATCH(D3222&amp;"|"&amp;E3222,catClave,0))),"⚠ Subcategoría no corresponde",IF(AND(OR(P3222="Transferencia",P3222="Pago tarjeta"),K3222=""),"⚠ Falta cuenta destino",IF(AND(K3222&lt;&gt;"",P3222&lt;&gt;"Transferencia",P3222&lt;&gt;"Pago tarjeta"),"⚠ Destino solo aplica a transferencias",IF(AND(K3222&lt;&gt;"",K3222=Q3222),"⚠ Origen igual a destino",IF(AND(K3222&lt;&gt;"",ISNA(MATCH(K3222,ctaNombre,0))),"⚠ Destino no registrado",IF(AND(P3222="Pago tarjeta",AE3222&lt;&gt;"Tarjeta de crédito"),"⚠ El destino debe ser tarjeta de crédito",IF(AND(P3222="Gasto",E3222="Depósitos y retiros"),"⚠ Usa tipo Transferencia",IF(AND(P3222="Resultado trading",AD3222&lt;&gt;"Cuenta de trading"),"⚠ Usa una cuenta de trading",IF(AND(G3222&lt;=0,P3222&lt;&gt;"Ajuste",P3222&lt;&gt;"Resultado trading"),"⚠ El monto debe ser positivo","✓")))))))))))))))</f>
        <v/>
      </c>
      <c r="P3222" s="52">
        <f>IF(OR(B3222="",G3222=""),"",IF(C3222="","Gasto",C3222))</f>
        <v/>
      </c>
      <c r="Q3222" s="52">
        <f>IF(P3222="","",IF(J3222&lt;&gt;"",J3222,CuentaPred&amp;""))</f>
        <v/>
      </c>
      <c r="R3222" s="52">
        <f>IF(P3222="","",IF(ISNUMBER(I3222),I3222,TasaUSD))</f>
        <v/>
      </c>
      <c r="S3222" s="53">
        <f>IF(P3222="","",IF(H3222="USD",G3222*R3222,G3222))</f>
        <v/>
      </c>
      <c r="T3222" s="53">
        <f>IF(P3222="","",IF(H3222="USD",G3222,IF(R3222&gt;0,G3222/R3222,0)))</f>
        <v/>
      </c>
      <c r="U3222" s="53">
        <f>IF(P3222="","",IF(P3222="Gasto",S3222,IF(P3222="Reembolso",-S3222,0)))</f>
        <v/>
      </c>
      <c r="V3222" s="53">
        <f>IF(P3222="","",IF(P3222="Ingreso",S3222,0))</f>
        <v/>
      </c>
      <c r="W3222" s="53">
        <f>IF(P3222="","",IF(P3222="Resultado trading",S3222,0))</f>
        <v/>
      </c>
      <c r="X3222" s="52">
        <f>IF(OR(P3222="Gasto",P3222="Reembolso"),IF(M3222&lt;&gt;"",M3222,IFERROR(INDEX(catClasif,MATCH(D3222&amp;"|"&amp;E3222,catClave,0))&amp;"","Variable")),"")</f>
        <v/>
      </c>
      <c r="Y3222" s="52">
        <f>IF(P3222="","",IFERROR(INDEX(catGrupo,MATCH(D3222&amp;"|"&amp;E3222,catClave,0))&amp;"",""))</f>
        <v/>
      </c>
      <c r="Z3222" s="52">
        <f>IF(P3222="","",WEEKDAY(B3222,2))</f>
        <v/>
      </c>
      <c r="AA3222" s="52">
        <f>IF(P3222="","",IF(AND(P3222="Gasto",X3222="Variable",D3222&lt;&gt;catTrading,S3222&gt;0,S3222&lt;=Umbral),1,0))</f>
        <v/>
      </c>
      <c r="AB3222" s="52">
        <f>IF(OR(P3222="",Q3222=""),"",IFERROR(IF(INDEX(ctaVinc,MATCH(Q3222,ctaNombre,0))&amp;""&lt;&gt;"",INDEX(ctaVinc,MATCH(Q3222,ctaNombre,0))&amp;"",Q3222),Q3222))</f>
        <v/>
      </c>
      <c r="AC3222" s="52">
        <f>IF(OR(K3222="",AND(P3222&lt;&gt;"Transferencia",P3222&lt;&gt;"Pago tarjeta")),"",IFERROR(IF(INDEX(ctaVinc,MATCH(K3222,ctaNombre,0))&amp;""&lt;&gt;"",INDEX(ctaVinc,MATCH(K3222,ctaNombre,0))&amp;"",K3222),K3222))</f>
        <v/>
      </c>
      <c r="AD3222" s="52">
        <f>IF(AB3222="","",IFERROR(INDEX(ctaTipo,MATCH(AB3222,ctaNombre,0))&amp;"",""))</f>
        <v/>
      </c>
      <c r="AE3222" s="52">
        <f>IF(AC3222="","",IFERROR(INDEX(ctaTipo,MATCH(AC3222,ctaNombre,0))&amp;"",""))</f>
        <v/>
      </c>
      <c r="AF3222" s="53">
        <f>IF(OR(P3222="",AB3222=""),"",IF(OR(P3222="Gasto",P3222="Transferencia",P3222="Pago tarjeta"),-1,1)*IF(IFERROR(INDEX(ctaMoneda,MATCH(AB3222,ctaNombre,0))&amp;"","DOP")="USD",T3222,S3222))</f>
        <v/>
      </c>
      <c r="AG3222" s="53">
        <f>IF(AC3222="","",IF(IFERROR(INDEX(ctaMoneda,MATCH(AC3222,ctaNombre,0))&amp;"","DOP")="USD",T3222,S3222))</f>
        <v/>
      </c>
      <c r="AH3222" s="53">
        <f>IF(P3222="","",IF(AND(AD3222&lt;&gt;"",COUNTIFS(tcTipo,AD3222,tcLiq,"Sí")&gt;0),IF(OR(P3222="Gasto",P3222="Transferencia",P3222="Pago tarjeta"),-1,1)*S3222,0)+IF(AND(AE3222&lt;&gt;"",COUNTIFS(tcTipo,AE3222,tcLiq,"Sí")&gt;0),S3222,0))</f>
        <v/>
      </c>
      <c r="AI3222" s="52">
        <f>IF(OR(L3222="",P3222=""),"",IF(COUNTIFS(L$6:L3222,L3222,P$6:P3222,"?*")=1,MAX(AI$5:AI3221)+1,""))</f>
        <v/>
      </c>
    </row>
    <row r="3223">
      <c r="B3223" s="47" t="n"/>
      <c r="C3223" s="48" t="n"/>
      <c r="D3223" s="48" t="n"/>
      <c r="E3223" s="48" t="n"/>
      <c r="F3223" s="48" t="n"/>
      <c r="G3223" s="49" t="n"/>
      <c r="H3223" s="48" t="n"/>
      <c r="I3223" s="50" t="n"/>
      <c r="J3223" s="48" t="n"/>
      <c r="K3223" s="48" t="n"/>
      <c r="L3223" s="48" t="n"/>
      <c r="M3223" s="48" t="n"/>
      <c r="N3223" s="48" t="n"/>
      <c r="O3223" s="51">
        <f>IF(AND(B3223="",G3223="",C3223="",D3223="",J3223=""),"",IF(B3223="","⚠ Falta fecha",IF(G3223="","⚠ Falta monto",IF(Q3223="","⚠ Falta cuenta",IF(ISNA(MATCH(Q3223,ctaNombre,0)),"⚠ Cuenta no registrada",IF(AND(OR(P3223="Gasto",P3223="Reembolso"),D3223=""),"⚠ Falta categoría",IF(AND(D3223&lt;&gt;"",E3223&lt;&gt;"",ISNA(MATCH(D3223&amp;"|"&amp;E3223,catClave,0))),"⚠ Subcategoría no corresponde",IF(AND(OR(P3223="Transferencia",P3223="Pago tarjeta"),K3223=""),"⚠ Falta cuenta destino",IF(AND(K3223&lt;&gt;"",P3223&lt;&gt;"Transferencia",P3223&lt;&gt;"Pago tarjeta"),"⚠ Destino solo aplica a transferencias",IF(AND(K3223&lt;&gt;"",K3223=Q3223),"⚠ Origen igual a destino",IF(AND(K3223&lt;&gt;"",ISNA(MATCH(K3223,ctaNombre,0))),"⚠ Destino no registrado",IF(AND(P3223="Pago tarjeta",AE3223&lt;&gt;"Tarjeta de crédito"),"⚠ El destino debe ser tarjeta de crédito",IF(AND(P3223="Gasto",E3223="Depósitos y retiros"),"⚠ Usa tipo Transferencia",IF(AND(P3223="Resultado trading",AD3223&lt;&gt;"Cuenta de trading"),"⚠ Usa una cuenta de trading",IF(AND(G3223&lt;=0,P3223&lt;&gt;"Ajuste",P3223&lt;&gt;"Resultado trading"),"⚠ El monto debe ser positivo","✓")))))))))))))))</f>
        <v/>
      </c>
      <c r="P3223" s="52">
        <f>IF(OR(B3223="",G3223=""),"",IF(C3223="","Gasto",C3223))</f>
        <v/>
      </c>
      <c r="Q3223" s="52">
        <f>IF(P3223="","",IF(J3223&lt;&gt;"",J3223,CuentaPred&amp;""))</f>
        <v/>
      </c>
      <c r="R3223" s="52">
        <f>IF(P3223="","",IF(ISNUMBER(I3223),I3223,TasaUSD))</f>
        <v/>
      </c>
      <c r="S3223" s="53">
        <f>IF(P3223="","",IF(H3223="USD",G3223*R3223,G3223))</f>
        <v/>
      </c>
      <c r="T3223" s="53">
        <f>IF(P3223="","",IF(H3223="USD",G3223,IF(R3223&gt;0,G3223/R3223,0)))</f>
        <v/>
      </c>
      <c r="U3223" s="53">
        <f>IF(P3223="","",IF(P3223="Gasto",S3223,IF(P3223="Reembolso",-S3223,0)))</f>
        <v/>
      </c>
      <c r="V3223" s="53">
        <f>IF(P3223="","",IF(P3223="Ingreso",S3223,0))</f>
        <v/>
      </c>
      <c r="W3223" s="53">
        <f>IF(P3223="","",IF(P3223="Resultado trading",S3223,0))</f>
        <v/>
      </c>
      <c r="X3223" s="52">
        <f>IF(OR(P3223="Gasto",P3223="Reembolso"),IF(M3223&lt;&gt;"",M3223,IFERROR(INDEX(catClasif,MATCH(D3223&amp;"|"&amp;E3223,catClave,0))&amp;"","Variable")),"")</f>
        <v/>
      </c>
      <c r="Y3223" s="52">
        <f>IF(P3223="","",IFERROR(INDEX(catGrupo,MATCH(D3223&amp;"|"&amp;E3223,catClave,0))&amp;"",""))</f>
        <v/>
      </c>
      <c r="Z3223" s="52">
        <f>IF(P3223="","",WEEKDAY(B3223,2))</f>
        <v/>
      </c>
      <c r="AA3223" s="52">
        <f>IF(P3223="","",IF(AND(P3223="Gasto",X3223="Variable",D3223&lt;&gt;catTrading,S3223&gt;0,S3223&lt;=Umbral),1,0))</f>
        <v/>
      </c>
      <c r="AB3223" s="52">
        <f>IF(OR(P3223="",Q3223=""),"",IFERROR(IF(INDEX(ctaVinc,MATCH(Q3223,ctaNombre,0))&amp;""&lt;&gt;"",INDEX(ctaVinc,MATCH(Q3223,ctaNombre,0))&amp;"",Q3223),Q3223))</f>
        <v/>
      </c>
      <c r="AC3223" s="52">
        <f>IF(OR(K3223="",AND(P3223&lt;&gt;"Transferencia",P3223&lt;&gt;"Pago tarjeta")),"",IFERROR(IF(INDEX(ctaVinc,MATCH(K3223,ctaNombre,0))&amp;""&lt;&gt;"",INDEX(ctaVinc,MATCH(K3223,ctaNombre,0))&amp;"",K3223),K3223))</f>
        <v/>
      </c>
      <c r="AD3223" s="52">
        <f>IF(AB3223="","",IFERROR(INDEX(ctaTipo,MATCH(AB3223,ctaNombre,0))&amp;"",""))</f>
        <v/>
      </c>
      <c r="AE3223" s="52">
        <f>IF(AC3223="","",IFERROR(INDEX(ctaTipo,MATCH(AC3223,ctaNombre,0))&amp;"",""))</f>
        <v/>
      </c>
      <c r="AF3223" s="53">
        <f>IF(OR(P3223="",AB3223=""),"",IF(OR(P3223="Gasto",P3223="Transferencia",P3223="Pago tarjeta"),-1,1)*IF(IFERROR(INDEX(ctaMoneda,MATCH(AB3223,ctaNombre,0))&amp;"","DOP")="USD",T3223,S3223))</f>
        <v/>
      </c>
      <c r="AG3223" s="53">
        <f>IF(AC3223="","",IF(IFERROR(INDEX(ctaMoneda,MATCH(AC3223,ctaNombre,0))&amp;"","DOP")="USD",T3223,S3223))</f>
        <v/>
      </c>
      <c r="AH3223" s="53">
        <f>IF(P3223="","",IF(AND(AD3223&lt;&gt;"",COUNTIFS(tcTipo,AD3223,tcLiq,"Sí")&gt;0),IF(OR(P3223="Gasto",P3223="Transferencia",P3223="Pago tarjeta"),-1,1)*S3223,0)+IF(AND(AE3223&lt;&gt;"",COUNTIFS(tcTipo,AE3223,tcLiq,"Sí")&gt;0),S3223,0))</f>
        <v/>
      </c>
      <c r="AI3223" s="52">
        <f>IF(OR(L3223="",P3223=""),"",IF(COUNTIFS(L$6:L3223,L3223,P$6:P3223,"?*")=1,MAX(AI$5:AI3222)+1,""))</f>
        <v/>
      </c>
    </row>
    <row r="3224">
      <c r="B3224" s="47" t="n"/>
      <c r="C3224" s="48" t="n"/>
      <c r="D3224" s="48" t="n"/>
      <c r="E3224" s="48" t="n"/>
      <c r="F3224" s="48" t="n"/>
      <c r="G3224" s="49" t="n"/>
      <c r="H3224" s="48" t="n"/>
      <c r="I3224" s="50" t="n"/>
      <c r="J3224" s="48" t="n"/>
      <c r="K3224" s="48" t="n"/>
      <c r="L3224" s="48" t="n"/>
      <c r="M3224" s="48" t="n"/>
      <c r="N3224" s="48" t="n"/>
      <c r="O3224" s="51">
        <f>IF(AND(B3224="",G3224="",C3224="",D3224="",J3224=""),"",IF(B3224="","⚠ Falta fecha",IF(G3224="","⚠ Falta monto",IF(Q3224="","⚠ Falta cuenta",IF(ISNA(MATCH(Q3224,ctaNombre,0)),"⚠ Cuenta no registrada",IF(AND(OR(P3224="Gasto",P3224="Reembolso"),D3224=""),"⚠ Falta categoría",IF(AND(D3224&lt;&gt;"",E3224&lt;&gt;"",ISNA(MATCH(D3224&amp;"|"&amp;E3224,catClave,0))),"⚠ Subcategoría no corresponde",IF(AND(OR(P3224="Transferencia",P3224="Pago tarjeta"),K3224=""),"⚠ Falta cuenta destino",IF(AND(K3224&lt;&gt;"",P3224&lt;&gt;"Transferencia",P3224&lt;&gt;"Pago tarjeta"),"⚠ Destino solo aplica a transferencias",IF(AND(K3224&lt;&gt;"",K3224=Q3224),"⚠ Origen igual a destino",IF(AND(K3224&lt;&gt;"",ISNA(MATCH(K3224,ctaNombre,0))),"⚠ Destino no registrado",IF(AND(P3224="Pago tarjeta",AE3224&lt;&gt;"Tarjeta de crédito"),"⚠ El destino debe ser tarjeta de crédito",IF(AND(P3224="Gasto",E3224="Depósitos y retiros"),"⚠ Usa tipo Transferencia",IF(AND(P3224="Resultado trading",AD3224&lt;&gt;"Cuenta de trading"),"⚠ Usa una cuenta de trading",IF(AND(G3224&lt;=0,P3224&lt;&gt;"Ajuste",P3224&lt;&gt;"Resultado trading"),"⚠ El monto debe ser positivo","✓")))))))))))))))</f>
        <v/>
      </c>
      <c r="P3224" s="52">
        <f>IF(OR(B3224="",G3224=""),"",IF(C3224="","Gasto",C3224))</f>
        <v/>
      </c>
      <c r="Q3224" s="52">
        <f>IF(P3224="","",IF(J3224&lt;&gt;"",J3224,CuentaPred&amp;""))</f>
        <v/>
      </c>
      <c r="R3224" s="52">
        <f>IF(P3224="","",IF(ISNUMBER(I3224),I3224,TasaUSD))</f>
        <v/>
      </c>
      <c r="S3224" s="53">
        <f>IF(P3224="","",IF(H3224="USD",G3224*R3224,G3224))</f>
        <v/>
      </c>
      <c r="T3224" s="53">
        <f>IF(P3224="","",IF(H3224="USD",G3224,IF(R3224&gt;0,G3224/R3224,0)))</f>
        <v/>
      </c>
      <c r="U3224" s="53">
        <f>IF(P3224="","",IF(P3224="Gasto",S3224,IF(P3224="Reembolso",-S3224,0)))</f>
        <v/>
      </c>
      <c r="V3224" s="53">
        <f>IF(P3224="","",IF(P3224="Ingreso",S3224,0))</f>
        <v/>
      </c>
      <c r="W3224" s="53">
        <f>IF(P3224="","",IF(P3224="Resultado trading",S3224,0))</f>
        <v/>
      </c>
      <c r="X3224" s="52">
        <f>IF(OR(P3224="Gasto",P3224="Reembolso"),IF(M3224&lt;&gt;"",M3224,IFERROR(INDEX(catClasif,MATCH(D3224&amp;"|"&amp;E3224,catClave,0))&amp;"","Variable")),"")</f>
        <v/>
      </c>
      <c r="Y3224" s="52">
        <f>IF(P3224="","",IFERROR(INDEX(catGrupo,MATCH(D3224&amp;"|"&amp;E3224,catClave,0))&amp;"",""))</f>
        <v/>
      </c>
      <c r="Z3224" s="52">
        <f>IF(P3224="","",WEEKDAY(B3224,2))</f>
        <v/>
      </c>
      <c r="AA3224" s="52">
        <f>IF(P3224="","",IF(AND(P3224="Gasto",X3224="Variable",D3224&lt;&gt;catTrading,S3224&gt;0,S3224&lt;=Umbral),1,0))</f>
        <v/>
      </c>
      <c r="AB3224" s="52">
        <f>IF(OR(P3224="",Q3224=""),"",IFERROR(IF(INDEX(ctaVinc,MATCH(Q3224,ctaNombre,0))&amp;""&lt;&gt;"",INDEX(ctaVinc,MATCH(Q3224,ctaNombre,0))&amp;"",Q3224),Q3224))</f>
        <v/>
      </c>
      <c r="AC3224" s="52">
        <f>IF(OR(K3224="",AND(P3224&lt;&gt;"Transferencia",P3224&lt;&gt;"Pago tarjeta")),"",IFERROR(IF(INDEX(ctaVinc,MATCH(K3224,ctaNombre,0))&amp;""&lt;&gt;"",INDEX(ctaVinc,MATCH(K3224,ctaNombre,0))&amp;"",K3224),K3224))</f>
        <v/>
      </c>
      <c r="AD3224" s="52">
        <f>IF(AB3224="","",IFERROR(INDEX(ctaTipo,MATCH(AB3224,ctaNombre,0))&amp;"",""))</f>
        <v/>
      </c>
      <c r="AE3224" s="52">
        <f>IF(AC3224="","",IFERROR(INDEX(ctaTipo,MATCH(AC3224,ctaNombre,0))&amp;"",""))</f>
        <v/>
      </c>
      <c r="AF3224" s="53">
        <f>IF(OR(P3224="",AB3224=""),"",IF(OR(P3224="Gasto",P3224="Transferencia",P3224="Pago tarjeta"),-1,1)*IF(IFERROR(INDEX(ctaMoneda,MATCH(AB3224,ctaNombre,0))&amp;"","DOP")="USD",T3224,S3224))</f>
        <v/>
      </c>
      <c r="AG3224" s="53">
        <f>IF(AC3224="","",IF(IFERROR(INDEX(ctaMoneda,MATCH(AC3224,ctaNombre,0))&amp;"","DOP")="USD",T3224,S3224))</f>
        <v/>
      </c>
      <c r="AH3224" s="53">
        <f>IF(P3224="","",IF(AND(AD3224&lt;&gt;"",COUNTIFS(tcTipo,AD3224,tcLiq,"Sí")&gt;0),IF(OR(P3224="Gasto",P3224="Transferencia",P3224="Pago tarjeta"),-1,1)*S3224,0)+IF(AND(AE3224&lt;&gt;"",COUNTIFS(tcTipo,AE3224,tcLiq,"Sí")&gt;0),S3224,0))</f>
        <v/>
      </c>
      <c r="AI3224" s="52">
        <f>IF(OR(L3224="",P3224=""),"",IF(COUNTIFS(L$6:L3224,L3224,P$6:P3224,"?*")=1,MAX(AI$5:AI3223)+1,""))</f>
        <v/>
      </c>
    </row>
    <row r="3225">
      <c r="B3225" s="47" t="n"/>
      <c r="C3225" s="48" t="n"/>
      <c r="D3225" s="48" t="n"/>
      <c r="E3225" s="48" t="n"/>
      <c r="F3225" s="48" t="n"/>
      <c r="G3225" s="49" t="n"/>
      <c r="H3225" s="48" t="n"/>
      <c r="I3225" s="50" t="n"/>
      <c r="J3225" s="48" t="n"/>
      <c r="K3225" s="48" t="n"/>
      <c r="L3225" s="48" t="n"/>
      <c r="M3225" s="48" t="n"/>
      <c r="N3225" s="48" t="n"/>
      <c r="O3225" s="51">
        <f>IF(AND(B3225="",G3225="",C3225="",D3225="",J3225=""),"",IF(B3225="","⚠ Falta fecha",IF(G3225="","⚠ Falta monto",IF(Q3225="","⚠ Falta cuenta",IF(ISNA(MATCH(Q3225,ctaNombre,0)),"⚠ Cuenta no registrada",IF(AND(OR(P3225="Gasto",P3225="Reembolso"),D3225=""),"⚠ Falta categoría",IF(AND(D3225&lt;&gt;"",E3225&lt;&gt;"",ISNA(MATCH(D3225&amp;"|"&amp;E3225,catClave,0))),"⚠ Subcategoría no corresponde",IF(AND(OR(P3225="Transferencia",P3225="Pago tarjeta"),K3225=""),"⚠ Falta cuenta destino",IF(AND(K3225&lt;&gt;"",P3225&lt;&gt;"Transferencia",P3225&lt;&gt;"Pago tarjeta"),"⚠ Destino solo aplica a transferencias",IF(AND(K3225&lt;&gt;"",K3225=Q3225),"⚠ Origen igual a destino",IF(AND(K3225&lt;&gt;"",ISNA(MATCH(K3225,ctaNombre,0))),"⚠ Destino no registrado",IF(AND(P3225="Pago tarjeta",AE3225&lt;&gt;"Tarjeta de crédito"),"⚠ El destino debe ser tarjeta de crédito",IF(AND(P3225="Gasto",E3225="Depósitos y retiros"),"⚠ Usa tipo Transferencia",IF(AND(P3225="Resultado trading",AD3225&lt;&gt;"Cuenta de trading"),"⚠ Usa una cuenta de trading",IF(AND(G3225&lt;=0,P3225&lt;&gt;"Ajuste",P3225&lt;&gt;"Resultado trading"),"⚠ El monto debe ser positivo","✓")))))))))))))))</f>
        <v/>
      </c>
      <c r="P3225" s="52">
        <f>IF(OR(B3225="",G3225=""),"",IF(C3225="","Gasto",C3225))</f>
        <v/>
      </c>
      <c r="Q3225" s="52">
        <f>IF(P3225="","",IF(J3225&lt;&gt;"",J3225,CuentaPred&amp;""))</f>
        <v/>
      </c>
      <c r="R3225" s="52">
        <f>IF(P3225="","",IF(ISNUMBER(I3225),I3225,TasaUSD))</f>
        <v/>
      </c>
      <c r="S3225" s="53">
        <f>IF(P3225="","",IF(H3225="USD",G3225*R3225,G3225))</f>
        <v/>
      </c>
      <c r="T3225" s="53">
        <f>IF(P3225="","",IF(H3225="USD",G3225,IF(R3225&gt;0,G3225/R3225,0)))</f>
        <v/>
      </c>
      <c r="U3225" s="53">
        <f>IF(P3225="","",IF(P3225="Gasto",S3225,IF(P3225="Reembolso",-S3225,0)))</f>
        <v/>
      </c>
      <c r="V3225" s="53">
        <f>IF(P3225="","",IF(P3225="Ingreso",S3225,0))</f>
        <v/>
      </c>
      <c r="W3225" s="53">
        <f>IF(P3225="","",IF(P3225="Resultado trading",S3225,0))</f>
        <v/>
      </c>
      <c r="X3225" s="52">
        <f>IF(OR(P3225="Gasto",P3225="Reembolso"),IF(M3225&lt;&gt;"",M3225,IFERROR(INDEX(catClasif,MATCH(D3225&amp;"|"&amp;E3225,catClave,0))&amp;"","Variable")),"")</f>
        <v/>
      </c>
      <c r="Y3225" s="52">
        <f>IF(P3225="","",IFERROR(INDEX(catGrupo,MATCH(D3225&amp;"|"&amp;E3225,catClave,0))&amp;"",""))</f>
        <v/>
      </c>
      <c r="Z3225" s="52">
        <f>IF(P3225="","",WEEKDAY(B3225,2))</f>
        <v/>
      </c>
      <c r="AA3225" s="52">
        <f>IF(P3225="","",IF(AND(P3225="Gasto",X3225="Variable",D3225&lt;&gt;catTrading,S3225&gt;0,S3225&lt;=Umbral),1,0))</f>
        <v/>
      </c>
      <c r="AB3225" s="52">
        <f>IF(OR(P3225="",Q3225=""),"",IFERROR(IF(INDEX(ctaVinc,MATCH(Q3225,ctaNombre,0))&amp;""&lt;&gt;"",INDEX(ctaVinc,MATCH(Q3225,ctaNombre,0))&amp;"",Q3225),Q3225))</f>
        <v/>
      </c>
      <c r="AC3225" s="52">
        <f>IF(OR(K3225="",AND(P3225&lt;&gt;"Transferencia",P3225&lt;&gt;"Pago tarjeta")),"",IFERROR(IF(INDEX(ctaVinc,MATCH(K3225,ctaNombre,0))&amp;""&lt;&gt;"",INDEX(ctaVinc,MATCH(K3225,ctaNombre,0))&amp;"",K3225),K3225))</f>
        <v/>
      </c>
      <c r="AD3225" s="52">
        <f>IF(AB3225="","",IFERROR(INDEX(ctaTipo,MATCH(AB3225,ctaNombre,0))&amp;"",""))</f>
        <v/>
      </c>
      <c r="AE3225" s="52">
        <f>IF(AC3225="","",IFERROR(INDEX(ctaTipo,MATCH(AC3225,ctaNombre,0))&amp;"",""))</f>
        <v/>
      </c>
      <c r="AF3225" s="53">
        <f>IF(OR(P3225="",AB3225=""),"",IF(OR(P3225="Gasto",P3225="Transferencia",P3225="Pago tarjeta"),-1,1)*IF(IFERROR(INDEX(ctaMoneda,MATCH(AB3225,ctaNombre,0))&amp;"","DOP")="USD",T3225,S3225))</f>
        <v/>
      </c>
      <c r="AG3225" s="53">
        <f>IF(AC3225="","",IF(IFERROR(INDEX(ctaMoneda,MATCH(AC3225,ctaNombre,0))&amp;"","DOP")="USD",T3225,S3225))</f>
        <v/>
      </c>
      <c r="AH3225" s="53">
        <f>IF(P3225="","",IF(AND(AD3225&lt;&gt;"",COUNTIFS(tcTipo,AD3225,tcLiq,"Sí")&gt;0),IF(OR(P3225="Gasto",P3225="Transferencia",P3225="Pago tarjeta"),-1,1)*S3225,0)+IF(AND(AE3225&lt;&gt;"",COUNTIFS(tcTipo,AE3225,tcLiq,"Sí")&gt;0),S3225,0))</f>
        <v/>
      </c>
      <c r="AI3225" s="52">
        <f>IF(OR(L3225="",P3225=""),"",IF(COUNTIFS(L$6:L3225,L3225,P$6:P3225,"?*")=1,MAX(AI$5:AI3224)+1,""))</f>
        <v/>
      </c>
    </row>
    <row r="3226">
      <c r="B3226" s="47" t="n"/>
      <c r="C3226" s="48" t="n"/>
      <c r="D3226" s="48" t="n"/>
      <c r="E3226" s="48" t="n"/>
      <c r="F3226" s="48" t="n"/>
      <c r="G3226" s="49" t="n"/>
      <c r="H3226" s="48" t="n"/>
      <c r="I3226" s="50" t="n"/>
      <c r="J3226" s="48" t="n"/>
      <c r="K3226" s="48" t="n"/>
      <c r="L3226" s="48" t="n"/>
      <c r="M3226" s="48" t="n"/>
      <c r="N3226" s="48" t="n"/>
      <c r="O3226" s="51">
        <f>IF(AND(B3226="",G3226="",C3226="",D3226="",J3226=""),"",IF(B3226="","⚠ Falta fecha",IF(G3226="","⚠ Falta monto",IF(Q3226="","⚠ Falta cuenta",IF(ISNA(MATCH(Q3226,ctaNombre,0)),"⚠ Cuenta no registrada",IF(AND(OR(P3226="Gasto",P3226="Reembolso"),D3226=""),"⚠ Falta categoría",IF(AND(D3226&lt;&gt;"",E3226&lt;&gt;"",ISNA(MATCH(D3226&amp;"|"&amp;E3226,catClave,0))),"⚠ Subcategoría no corresponde",IF(AND(OR(P3226="Transferencia",P3226="Pago tarjeta"),K3226=""),"⚠ Falta cuenta destino",IF(AND(K3226&lt;&gt;"",P3226&lt;&gt;"Transferencia",P3226&lt;&gt;"Pago tarjeta"),"⚠ Destino solo aplica a transferencias",IF(AND(K3226&lt;&gt;"",K3226=Q3226),"⚠ Origen igual a destino",IF(AND(K3226&lt;&gt;"",ISNA(MATCH(K3226,ctaNombre,0))),"⚠ Destino no registrado",IF(AND(P3226="Pago tarjeta",AE3226&lt;&gt;"Tarjeta de crédito"),"⚠ El destino debe ser tarjeta de crédito",IF(AND(P3226="Gasto",E3226="Depósitos y retiros"),"⚠ Usa tipo Transferencia",IF(AND(P3226="Resultado trading",AD3226&lt;&gt;"Cuenta de trading"),"⚠ Usa una cuenta de trading",IF(AND(G3226&lt;=0,P3226&lt;&gt;"Ajuste",P3226&lt;&gt;"Resultado trading"),"⚠ El monto debe ser positivo","✓")))))))))))))))</f>
        <v/>
      </c>
      <c r="P3226" s="52">
        <f>IF(OR(B3226="",G3226=""),"",IF(C3226="","Gasto",C3226))</f>
        <v/>
      </c>
      <c r="Q3226" s="52">
        <f>IF(P3226="","",IF(J3226&lt;&gt;"",J3226,CuentaPred&amp;""))</f>
        <v/>
      </c>
      <c r="R3226" s="52">
        <f>IF(P3226="","",IF(ISNUMBER(I3226),I3226,TasaUSD))</f>
        <v/>
      </c>
      <c r="S3226" s="53">
        <f>IF(P3226="","",IF(H3226="USD",G3226*R3226,G3226))</f>
        <v/>
      </c>
      <c r="T3226" s="53">
        <f>IF(P3226="","",IF(H3226="USD",G3226,IF(R3226&gt;0,G3226/R3226,0)))</f>
        <v/>
      </c>
      <c r="U3226" s="53">
        <f>IF(P3226="","",IF(P3226="Gasto",S3226,IF(P3226="Reembolso",-S3226,0)))</f>
        <v/>
      </c>
      <c r="V3226" s="53">
        <f>IF(P3226="","",IF(P3226="Ingreso",S3226,0))</f>
        <v/>
      </c>
      <c r="W3226" s="53">
        <f>IF(P3226="","",IF(P3226="Resultado trading",S3226,0))</f>
        <v/>
      </c>
      <c r="X3226" s="52">
        <f>IF(OR(P3226="Gasto",P3226="Reembolso"),IF(M3226&lt;&gt;"",M3226,IFERROR(INDEX(catClasif,MATCH(D3226&amp;"|"&amp;E3226,catClave,0))&amp;"","Variable")),"")</f>
        <v/>
      </c>
      <c r="Y3226" s="52">
        <f>IF(P3226="","",IFERROR(INDEX(catGrupo,MATCH(D3226&amp;"|"&amp;E3226,catClave,0))&amp;"",""))</f>
        <v/>
      </c>
      <c r="Z3226" s="52">
        <f>IF(P3226="","",WEEKDAY(B3226,2))</f>
        <v/>
      </c>
      <c r="AA3226" s="52">
        <f>IF(P3226="","",IF(AND(P3226="Gasto",X3226="Variable",D3226&lt;&gt;catTrading,S3226&gt;0,S3226&lt;=Umbral),1,0))</f>
        <v/>
      </c>
      <c r="AB3226" s="52">
        <f>IF(OR(P3226="",Q3226=""),"",IFERROR(IF(INDEX(ctaVinc,MATCH(Q3226,ctaNombre,0))&amp;""&lt;&gt;"",INDEX(ctaVinc,MATCH(Q3226,ctaNombre,0))&amp;"",Q3226),Q3226))</f>
        <v/>
      </c>
      <c r="AC3226" s="52">
        <f>IF(OR(K3226="",AND(P3226&lt;&gt;"Transferencia",P3226&lt;&gt;"Pago tarjeta")),"",IFERROR(IF(INDEX(ctaVinc,MATCH(K3226,ctaNombre,0))&amp;""&lt;&gt;"",INDEX(ctaVinc,MATCH(K3226,ctaNombre,0))&amp;"",K3226),K3226))</f>
        <v/>
      </c>
      <c r="AD3226" s="52">
        <f>IF(AB3226="","",IFERROR(INDEX(ctaTipo,MATCH(AB3226,ctaNombre,0))&amp;"",""))</f>
        <v/>
      </c>
      <c r="AE3226" s="52">
        <f>IF(AC3226="","",IFERROR(INDEX(ctaTipo,MATCH(AC3226,ctaNombre,0))&amp;"",""))</f>
        <v/>
      </c>
      <c r="AF3226" s="53">
        <f>IF(OR(P3226="",AB3226=""),"",IF(OR(P3226="Gasto",P3226="Transferencia",P3226="Pago tarjeta"),-1,1)*IF(IFERROR(INDEX(ctaMoneda,MATCH(AB3226,ctaNombre,0))&amp;"","DOP")="USD",T3226,S3226))</f>
        <v/>
      </c>
      <c r="AG3226" s="53">
        <f>IF(AC3226="","",IF(IFERROR(INDEX(ctaMoneda,MATCH(AC3226,ctaNombre,0))&amp;"","DOP")="USD",T3226,S3226))</f>
        <v/>
      </c>
      <c r="AH3226" s="53">
        <f>IF(P3226="","",IF(AND(AD3226&lt;&gt;"",COUNTIFS(tcTipo,AD3226,tcLiq,"Sí")&gt;0),IF(OR(P3226="Gasto",P3226="Transferencia",P3226="Pago tarjeta"),-1,1)*S3226,0)+IF(AND(AE3226&lt;&gt;"",COUNTIFS(tcTipo,AE3226,tcLiq,"Sí")&gt;0),S3226,0))</f>
        <v/>
      </c>
      <c r="AI3226" s="52">
        <f>IF(OR(L3226="",P3226=""),"",IF(COUNTIFS(L$6:L3226,L3226,P$6:P3226,"?*")=1,MAX(AI$5:AI3225)+1,""))</f>
        <v/>
      </c>
    </row>
    <row r="3227">
      <c r="B3227" s="47" t="n"/>
      <c r="C3227" s="48" t="n"/>
      <c r="D3227" s="48" t="n"/>
      <c r="E3227" s="48" t="n"/>
      <c r="F3227" s="48" t="n"/>
      <c r="G3227" s="49" t="n"/>
      <c r="H3227" s="48" t="n"/>
      <c r="I3227" s="50" t="n"/>
      <c r="J3227" s="48" t="n"/>
      <c r="K3227" s="48" t="n"/>
      <c r="L3227" s="48" t="n"/>
      <c r="M3227" s="48" t="n"/>
      <c r="N3227" s="48" t="n"/>
      <c r="O3227" s="51">
        <f>IF(AND(B3227="",G3227="",C3227="",D3227="",J3227=""),"",IF(B3227="","⚠ Falta fecha",IF(G3227="","⚠ Falta monto",IF(Q3227="","⚠ Falta cuenta",IF(ISNA(MATCH(Q3227,ctaNombre,0)),"⚠ Cuenta no registrada",IF(AND(OR(P3227="Gasto",P3227="Reembolso"),D3227=""),"⚠ Falta categoría",IF(AND(D3227&lt;&gt;"",E3227&lt;&gt;"",ISNA(MATCH(D3227&amp;"|"&amp;E3227,catClave,0))),"⚠ Subcategoría no corresponde",IF(AND(OR(P3227="Transferencia",P3227="Pago tarjeta"),K3227=""),"⚠ Falta cuenta destino",IF(AND(K3227&lt;&gt;"",P3227&lt;&gt;"Transferencia",P3227&lt;&gt;"Pago tarjeta"),"⚠ Destino solo aplica a transferencias",IF(AND(K3227&lt;&gt;"",K3227=Q3227),"⚠ Origen igual a destino",IF(AND(K3227&lt;&gt;"",ISNA(MATCH(K3227,ctaNombre,0))),"⚠ Destino no registrado",IF(AND(P3227="Pago tarjeta",AE3227&lt;&gt;"Tarjeta de crédito"),"⚠ El destino debe ser tarjeta de crédito",IF(AND(P3227="Gasto",E3227="Depósitos y retiros"),"⚠ Usa tipo Transferencia",IF(AND(P3227="Resultado trading",AD3227&lt;&gt;"Cuenta de trading"),"⚠ Usa una cuenta de trading",IF(AND(G3227&lt;=0,P3227&lt;&gt;"Ajuste",P3227&lt;&gt;"Resultado trading"),"⚠ El monto debe ser positivo","✓")))))))))))))))</f>
        <v/>
      </c>
      <c r="P3227" s="52">
        <f>IF(OR(B3227="",G3227=""),"",IF(C3227="","Gasto",C3227))</f>
        <v/>
      </c>
      <c r="Q3227" s="52">
        <f>IF(P3227="","",IF(J3227&lt;&gt;"",J3227,CuentaPred&amp;""))</f>
        <v/>
      </c>
      <c r="R3227" s="52">
        <f>IF(P3227="","",IF(ISNUMBER(I3227),I3227,TasaUSD))</f>
        <v/>
      </c>
      <c r="S3227" s="53">
        <f>IF(P3227="","",IF(H3227="USD",G3227*R3227,G3227))</f>
        <v/>
      </c>
      <c r="T3227" s="53">
        <f>IF(P3227="","",IF(H3227="USD",G3227,IF(R3227&gt;0,G3227/R3227,0)))</f>
        <v/>
      </c>
      <c r="U3227" s="53">
        <f>IF(P3227="","",IF(P3227="Gasto",S3227,IF(P3227="Reembolso",-S3227,0)))</f>
        <v/>
      </c>
      <c r="V3227" s="53">
        <f>IF(P3227="","",IF(P3227="Ingreso",S3227,0))</f>
        <v/>
      </c>
      <c r="W3227" s="53">
        <f>IF(P3227="","",IF(P3227="Resultado trading",S3227,0))</f>
        <v/>
      </c>
      <c r="X3227" s="52">
        <f>IF(OR(P3227="Gasto",P3227="Reembolso"),IF(M3227&lt;&gt;"",M3227,IFERROR(INDEX(catClasif,MATCH(D3227&amp;"|"&amp;E3227,catClave,0))&amp;"","Variable")),"")</f>
        <v/>
      </c>
      <c r="Y3227" s="52">
        <f>IF(P3227="","",IFERROR(INDEX(catGrupo,MATCH(D3227&amp;"|"&amp;E3227,catClave,0))&amp;"",""))</f>
        <v/>
      </c>
      <c r="Z3227" s="52">
        <f>IF(P3227="","",WEEKDAY(B3227,2))</f>
        <v/>
      </c>
      <c r="AA3227" s="52">
        <f>IF(P3227="","",IF(AND(P3227="Gasto",X3227="Variable",D3227&lt;&gt;catTrading,S3227&gt;0,S3227&lt;=Umbral),1,0))</f>
        <v/>
      </c>
      <c r="AB3227" s="52">
        <f>IF(OR(P3227="",Q3227=""),"",IFERROR(IF(INDEX(ctaVinc,MATCH(Q3227,ctaNombre,0))&amp;""&lt;&gt;"",INDEX(ctaVinc,MATCH(Q3227,ctaNombre,0))&amp;"",Q3227),Q3227))</f>
        <v/>
      </c>
      <c r="AC3227" s="52">
        <f>IF(OR(K3227="",AND(P3227&lt;&gt;"Transferencia",P3227&lt;&gt;"Pago tarjeta")),"",IFERROR(IF(INDEX(ctaVinc,MATCH(K3227,ctaNombre,0))&amp;""&lt;&gt;"",INDEX(ctaVinc,MATCH(K3227,ctaNombre,0))&amp;"",K3227),K3227))</f>
        <v/>
      </c>
      <c r="AD3227" s="52">
        <f>IF(AB3227="","",IFERROR(INDEX(ctaTipo,MATCH(AB3227,ctaNombre,0))&amp;"",""))</f>
        <v/>
      </c>
      <c r="AE3227" s="52">
        <f>IF(AC3227="","",IFERROR(INDEX(ctaTipo,MATCH(AC3227,ctaNombre,0))&amp;"",""))</f>
        <v/>
      </c>
      <c r="AF3227" s="53">
        <f>IF(OR(P3227="",AB3227=""),"",IF(OR(P3227="Gasto",P3227="Transferencia",P3227="Pago tarjeta"),-1,1)*IF(IFERROR(INDEX(ctaMoneda,MATCH(AB3227,ctaNombre,0))&amp;"","DOP")="USD",T3227,S3227))</f>
        <v/>
      </c>
      <c r="AG3227" s="53">
        <f>IF(AC3227="","",IF(IFERROR(INDEX(ctaMoneda,MATCH(AC3227,ctaNombre,0))&amp;"","DOP")="USD",T3227,S3227))</f>
        <v/>
      </c>
      <c r="AH3227" s="53">
        <f>IF(P3227="","",IF(AND(AD3227&lt;&gt;"",COUNTIFS(tcTipo,AD3227,tcLiq,"Sí")&gt;0),IF(OR(P3227="Gasto",P3227="Transferencia",P3227="Pago tarjeta"),-1,1)*S3227,0)+IF(AND(AE3227&lt;&gt;"",COUNTIFS(tcTipo,AE3227,tcLiq,"Sí")&gt;0),S3227,0))</f>
        <v/>
      </c>
      <c r="AI3227" s="52">
        <f>IF(OR(L3227="",P3227=""),"",IF(COUNTIFS(L$6:L3227,L3227,P$6:P3227,"?*")=1,MAX(AI$5:AI3226)+1,""))</f>
        <v/>
      </c>
    </row>
    <row r="3228">
      <c r="B3228" s="47" t="n"/>
      <c r="C3228" s="48" t="n"/>
      <c r="D3228" s="48" t="n"/>
      <c r="E3228" s="48" t="n"/>
      <c r="F3228" s="48" t="n"/>
      <c r="G3228" s="49" t="n"/>
      <c r="H3228" s="48" t="n"/>
      <c r="I3228" s="50" t="n"/>
      <c r="J3228" s="48" t="n"/>
      <c r="K3228" s="48" t="n"/>
      <c r="L3228" s="48" t="n"/>
      <c r="M3228" s="48" t="n"/>
      <c r="N3228" s="48" t="n"/>
      <c r="O3228" s="51">
        <f>IF(AND(B3228="",G3228="",C3228="",D3228="",J3228=""),"",IF(B3228="","⚠ Falta fecha",IF(G3228="","⚠ Falta monto",IF(Q3228="","⚠ Falta cuenta",IF(ISNA(MATCH(Q3228,ctaNombre,0)),"⚠ Cuenta no registrada",IF(AND(OR(P3228="Gasto",P3228="Reembolso"),D3228=""),"⚠ Falta categoría",IF(AND(D3228&lt;&gt;"",E3228&lt;&gt;"",ISNA(MATCH(D3228&amp;"|"&amp;E3228,catClave,0))),"⚠ Subcategoría no corresponde",IF(AND(OR(P3228="Transferencia",P3228="Pago tarjeta"),K3228=""),"⚠ Falta cuenta destino",IF(AND(K3228&lt;&gt;"",P3228&lt;&gt;"Transferencia",P3228&lt;&gt;"Pago tarjeta"),"⚠ Destino solo aplica a transferencias",IF(AND(K3228&lt;&gt;"",K3228=Q3228),"⚠ Origen igual a destino",IF(AND(K3228&lt;&gt;"",ISNA(MATCH(K3228,ctaNombre,0))),"⚠ Destino no registrado",IF(AND(P3228="Pago tarjeta",AE3228&lt;&gt;"Tarjeta de crédito"),"⚠ El destino debe ser tarjeta de crédito",IF(AND(P3228="Gasto",E3228="Depósitos y retiros"),"⚠ Usa tipo Transferencia",IF(AND(P3228="Resultado trading",AD3228&lt;&gt;"Cuenta de trading"),"⚠ Usa una cuenta de trading",IF(AND(G3228&lt;=0,P3228&lt;&gt;"Ajuste",P3228&lt;&gt;"Resultado trading"),"⚠ El monto debe ser positivo","✓")))))))))))))))</f>
        <v/>
      </c>
      <c r="P3228" s="52">
        <f>IF(OR(B3228="",G3228=""),"",IF(C3228="","Gasto",C3228))</f>
        <v/>
      </c>
      <c r="Q3228" s="52">
        <f>IF(P3228="","",IF(J3228&lt;&gt;"",J3228,CuentaPred&amp;""))</f>
        <v/>
      </c>
      <c r="R3228" s="52">
        <f>IF(P3228="","",IF(ISNUMBER(I3228),I3228,TasaUSD))</f>
        <v/>
      </c>
      <c r="S3228" s="53">
        <f>IF(P3228="","",IF(H3228="USD",G3228*R3228,G3228))</f>
        <v/>
      </c>
      <c r="T3228" s="53">
        <f>IF(P3228="","",IF(H3228="USD",G3228,IF(R3228&gt;0,G3228/R3228,0)))</f>
        <v/>
      </c>
      <c r="U3228" s="53">
        <f>IF(P3228="","",IF(P3228="Gasto",S3228,IF(P3228="Reembolso",-S3228,0)))</f>
        <v/>
      </c>
      <c r="V3228" s="53">
        <f>IF(P3228="","",IF(P3228="Ingreso",S3228,0))</f>
        <v/>
      </c>
      <c r="W3228" s="53">
        <f>IF(P3228="","",IF(P3228="Resultado trading",S3228,0))</f>
        <v/>
      </c>
      <c r="X3228" s="52">
        <f>IF(OR(P3228="Gasto",P3228="Reembolso"),IF(M3228&lt;&gt;"",M3228,IFERROR(INDEX(catClasif,MATCH(D3228&amp;"|"&amp;E3228,catClave,0))&amp;"","Variable")),"")</f>
        <v/>
      </c>
      <c r="Y3228" s="52">
        <f>IF(P3228="","",IFERROR(INDEX(catGrupo,MATCH(D3228&amp;"|"&amp;E3228,catClave,0))&amp;"",""))</f>
        <v/>
      </c>
      <c r="Z3228" s="52">
        <f>IF(P3228="","",WEEKDAY(B3228,2))</f>
        <v/>
      </c>
      <c r="AA3228" s="52">
        <f>IF(P3228="","",IF(AND(P3228="Gasto",X3228="Variable",D3228&lt;&gt;catTrading,S3228&gt;0,S3228&lt;=Umbral),1,0))</f>
        <v/>
      </c>
      <c r="AB3228" s="52">
        <f>IF(OR(P3228="",Q3228=""),"",IFERROR(IF(INDEX(ctaVinc,MATCH(Q3228,ctaNombre,0))&amp;""&lt;&gt;"",INDEX(ctaVinc,MATCH(Q3228,ctaNombre,0))&amp;"",Q3228),Q3228))</f>
        <v/>
      </c>
      <c r="AC3228" s="52">
        <f>IF(OR(K3228="",AND(P3228&lt;&gt;"Transferencia",P3228&lt;&gt;"Pago tarjeta")),"",IFERROR(IF(INDEX(ctaVinc,MATCH(K3228,ctaNombre,0))&amp;""&lt;&gt;"",INDEX(ctaVinc,MATCH(K3228,ctaNombre,0))&amp;"",K3228),K3228))</f>
        <v/>
      </c>
      <c r="AD3228" s="52">
        <f>IF(AB3228="","",IFERROR(INDEX(ctaTipo,MATCH(AB3228,ctaNombre,0))&amp;"",""))</f>
        <v/>
      </c>
      <c r="AE3228" s="52">
        <f>IF(AC3228="","",IFERROR(INDEX(ctaTipo,MATCH(AC3228,ctaNombre,0))&amp;"",""))</f>
        <v/>
      </c>
      <c r="AF3228" s="53">
        <f>IF(OR(P3228="",AB3228=""),"",IF(OR(P3228="Gasto",P3228="Transferencia",P3228="Pago tarjeta"),-1,1)*IF(IFERROR(INDEX(ctaMoneda,MATCH(AB3228,ctaNombre,0))&amp;"","DOP")="USD",T3228,S3228))</f>
        <v/>
      </c>
      <c r="AG3228" s="53">
        <f>IF(AC3228="","",IF(IFERROR(INDEX(ctaMoneda,MATCH(AC3228,ctaNombre,0))&amp;"","DOP")="USD",T3228,S3228))</f>
        <v/>
      </c>
      <c r="AH3228" s="53">
        <f>IF(P3228="","",IF(AND(AD3228&lt;&gt;"",COUNTIFS(tcTipo,AD3228,tcLiq,"Sí")&gt;0),IF(OR(P3228="Gasto",P3228="Transferencia",P3228="Pago tarjeta"),-1,1)*S3228,0)+IF(AND(AE3228&lt;&gt;"",COUNTIFS(tcTipo,AE3228,tcLiq,"Sí")&gt;0),S3228,0))</f>
        <v/>
      </c>
      <c r="AI3228" s="52">
        <f>IF(OR(L3228="",P3228=""),"",IF(COUNTIFS(L$6:L3228,L3228,P$6:P3228,"?*")=1,MAX(AI$5:AI3227)+1,""))</f>
        <v/>
      </c>
    </row>
    <row r="3229">
      <c r="B3229" s="47" t="n"/>
      <c r="C3229" s="48" t="n"/>
      <c r="D3229" s="48" t="n"/>
      <c r="E3229" s="48" t="n"/>
      <c r="F3229" s="48" t="n"/>
      <c r="G3229" s="49" t="n"/>
      <c r="H3229" s="48" t="n"/>
      <c r="I3229" s="50" t="n"/>
      <c r="J3229" s="48" t="n"/>
      <c r="K3229" s="48" t="n"/>
      <c r="L3229" s="48" t="n"/>
      <c r="M3229" s="48" t="n"/>
      <c r="N3229" s="48" t="n"/>
      <c r="O3229" s="51">
        <f>IF(AND(B3229="",G3229="",C3229="",D3229="",J3229=""),"",IF(B3229="","⚠ Falta fecha",IF(G3229="","⚠ Falta monto",IF(Q3229="","⚠ Falta cuenta",IF(ISNA(MATCH(Q3229,ctaNombre,0)),"⚠ Cuenta no registrada",IF(AND(OR(P3229="Gasto",P3229="Reembolso"),D3229=""),"⚠ Falta categoría",IF(AND(D3229&lt;&gt;"",E3229&lt;&gt;"",ISNA(MATCH(D3229&amp;"|"&amp;E3229,catClave,0))),"⚠ Subcategoría no corresponde",IF(AND(OR(P3229="Transferencia",P3229="Pago tarjeta"),K3229=""),"⚠ Falta cuenta destino",IF(AND(K3229&lt;&gt;"",P3229&lt;&gt;"Transferencia",P3229&lt;&gt;"Pago tarjeta"),"⚠ Destino solo aplica a transferencias",IF(AND(K3229&lt;&gt;"",K3229=Q3229),"⚠ Origen igual a destino",IF(AND(K3229&lt;&gt;"",ISNA(MATCH(K3229,ctaNombre,0))),"⚠ Destino no registrado",IF(AND(P3229="Pago tarjeta",AE3229&lt;&gt;"Tarjeta de crédito"),"⚠ El destino debe ser tarjeta de crédito",IF(AND(P3229="Gasto",E3229="Depósitos y retiros"),"⚠ Usa tipo Transferencia",IF(AND(P3229="Resultado trading",AD3229&lt;&gt;"Cuenta de trading"),"⚠ Usa una cuenta de trading",IF(AND(G3229&lt;=0,P3229&lt;&gt;"Ajuste",P3229&lt;&gt;"Resultado trading"),"⚠ El monto debe ser positivo","✓")))))))))))))))</f>
        <v/>
      </c>
      <c r="P3229" s="52">
        <f>IF(OR(B3229="",G3229=""),"",IF(C3229="","Gasto",C3229))</f>
        <v/>
      </c>
      <c r="Q3229" s="52">
        <f>IF(P3229="","",IF(J3229&lt;&gt;"",J3229,CuentaPred&amp;""))</f>
        <v/>
      </c>
      <c r="R3229" s="52">
        <f>IF(P3229="","",IF(ISNUMBER(I3229),I3229,TasaUSD))</f>
        <v/>
      </c>
      <c r="S3229" s="53">
        <f>IF(P3229="","",IF(H3229="USD",G3229*R3229,G3229))</f>
        <v/>
      </c>
      <c r="T3229" s="53">
        <f>IF(P3229="","",IF(H3229="USD",G3229,IF(R3229&gt;0,G3229/R3229,0)))</f>
        <v/>
      </c>
      <c r="U3229" s="53">
        <f>IF(P3229="","",IF(P3229="Gasto",S3229,IF(P3229="Reembolso",-S3229,0)))</f>
        <v/>
      </c>
      <c r="V3229" s="53">
        <f>IF(P3229="","",IF(P3229="Ingreso",S3229,0))</f>
        <v/>
      </c>
      <c r="W3229" s="53">
        <f>IF(P3229="","",IF(P3229="Resultado trading",S3229,0))</f>
        <v/>
      </c>
      <c r="X3229" s="52">
        <f>IF(OR(P3229="Gasto",P3229="Reembolso"),IF(M3229&lt;&gt;"",M3229,IFERROR(INDEX(catClasif,MATCH(D3229&amp;"|"&amp;E3229,catClave,0))&amp;"","Variable")),"")</f>
        <v/>
      </c>
      <c r="Y3229" s="52">
        <f>IF(P3229="","",IFERROR(INDEX(catGrupo,MATCH(D3229&amp;"|"&amp;E3229,catClave,0))&amp;"",""))</f>
        <v/>
      </c>
      <c r="Z3229" s="52">
        <f>IF(P3229="","",WEEKDAY(B3229,2))</f>
        <v/>
      </c>
      <c r="AA3229" s="52">
        <f>IF(P3229="","",IF(AND(P3229="Gasto",X3229="Variable",D3229&lt;&gt;catTrading,S3229&gt;0,S3229&lt;=Umbral),1,0))</f>
        <v/>
      </c>
      <c r="AB3229" s="52">
        <f>IF(OR(P3229="",Q3229=""),"",IFERROR(IF(INDEX(ctaVinc,MATCH(Q3229,ctaNombre,0))&amp;""&lt;&gt;"",INDEX(ctaVinc,MATCH(Q3229,ctaNombre,0))&amp;"",Q3229),Q3229))</f>
        <v/>
      </c>
      <c r="AC3229" s="52">
        <f>IF(OR(K3229="",AND(P3229&lt;&gt;"Transferencia",P3229&lt;&gt;"Pago tarjeta")),"",IFERROR(IF(INDEX(ctaVinc,MATCH(K3229,ctaNombre,0))&amp;""&lt;&gt;"",INDEX(ctaVinc,MATCH(K3229,ctaNombre,0))&amp;"",K3229),K3229))</f>
        <v/>
      </c>
      <c r="AD3229" s="52">
        <f>IF(AB3229="","",IFERROR(INDEX(ctaTipo,MATCH(AB3229,ctaNombre,0))&amp;"",""))</f>
        <v/>
      </c>
      <c r="AE3229" s="52">
        <f>IF(AC3229="","",IFERROR(INDEX(ctaTipo,MATCH(AC3229,ctaNombre,0))&amp;"",""))</f>
        <v/>
      </c>
      <c r="AF3229" s="53">
        <f>IF(OR(P3229="",AB3229=""),"",IF(OR(P3229="Gasto",P3229="Transferencia",P3229="Pago tarjeta"),-1,1)*IF(IFERROR(INDEX(ctaMoneda,MATCH(AB3229,ctaNombre,0))&amp;"","DOP")="USD",T3229,S3229))</f>
        <v/>
      </c>
      <c r="AG3229" s="53">
        <f>IF(AC3229="","",IF(IFERROR(INDEX(ctaMoneda,MATCH(AC3229,ctaNombre,0))&amp;"","DOP")="USD",T3229,S3229))</f>
        <v/>
      </c>
      <c r="AH3229" s="53">
        <f>IF(P3229="","",IF(AND(AD3229&lt;&gt;"",COUNTIFS(tcTipo,AD3229,tcLiq,"Sí")&gt;0),IF(OR(P3229="Gasto",P3229="Transferencia",P3229="Pago tarjeta"),-1,1)*S3229,0)+IF(AND(AE3229&lt;&gt;"",COUNTIFS(tcTipo,AE3229,tcLiq,"Sí")&gt;0),S3229,0))</f>
        <v/>
      </c>
      <c r="AI3229" s="52">
        <f>IF(OR(L3229="",P3229=""),"",IF(COUNTIFS(L$6:L3229,L3229,P$6:P3229,"?*")=1,MAX(AI$5:AI3228)+1,""))</f>
        <v/>
      </c>
    </row>
    <row r="3230">
      <c r="B3230" s="47" t="n"/>
      <c r="C3230" s="48" t="n"/>
      <c r="D3230" s="48" t="n"/>
      <c r="E3230" s="48" t="n"/>
      <c r="F3230" s="48" t="n"/>
      <c r="G3230" s="49" t="n"/>
      <c r="H3230" s="48" t="n"/>
      <c r="I3230" s="50" t="n"/>
      <c r="J3230" s="48" t="n"/>
      <c r="K3230" s="48" t="n"/>
      <c r="L3230" s="48" t="n"/>
      <c r="M3230" s="48" t="n"/>
      <c r="N3230" s="48" t="n"/>
      <c r="O3230" s="51">
        <f>IF(AND(B3230="",G3230="",C3230="",D3230="",J3230=""),"",IF(B3230="","⚠ Falta fecha",IF(G3230="","⚠ Falta monto",IF(Q3230="","⚠ Falta cuenta",IF(ISNA(MATCH(Q3230,ctaNombre,0)),"⚠ Cuenta no registrada",IF(AND(OR(P3230="Gasto",P3230="Reembolso"),D3230=""),"⚠ Falta categoría",IF(AND(D3230&lt;&gt;"",E3230&lt;&gt;"",ISNA(MATCH(D3230&amp;"|"&amp;E3230,catClave,0))),"⚠ Subcategoría no corresponde",IF(AND(OR(P3230="Transferencia",P3230="Pago tarjeta"),K3230=""),"⚠ Falta cuenta destino",IF(AND(K3230&lt;&gt;"",P3230&lt;&gt;"Transferencia",P3230&lt;&gt;"Pago tarjeta"),"⚠ Destino solo aplica a transferencias",IF(AND(K3230&lt;&gt;"",K3230=Q3230),"⚠ Origen igual a destino",IF(AND(K3230&lt;&gt;"",ISNA(MATCH(K3230,ctaNombre,0))),"⚠ Destino no registrado",IF(AND(P3230="Pago tarjeta",AE3230&lt;&gt;"Tarjeta de crédito"),"⚠ El destino debe ser tarjeta de crédito",IF(AND(P3230="Gasto",E3230="Depósitos y retiros"),"⚠ Usa tipo Transferencia",IF(AND(P3230="Resultado trading",AD3230&lt;&gt;"Cuenta de trading"),"⚠ Usa una cuenta de trading",IF(AND(G3230&lt;=0,P3230&lt;&gt;"Ajuste",P3230&lt;&gt;"Resultado trading"),"⚠ El monto debe ser positivo","✓")))))))))))))))</f>
        <v/>
      </c>
      <c r="P3230" s="52">
        <f>IF(OR(B3230="",G3230=""),"",IF(C3230="","Gasto",C3230))</f>
        <v/>
      </c>
      <c r="Q3230" s="52">
        <f>IF(P3230="","",IF(J3230&lt;&gt;"",J3230,CuentaPred&amp;""))</f>
        <v/>
      </c>
      <c r="R3230" s="52">
        <f>IF(P3230="","",IF(ISNUMBER(I3230),I3230,TasaUSD))</f>
        <v/>
      </c>
      <c r="S3230" s="53">
        <f>IF(P3230="","",IF(H3230="USD",G3230*R3230,G3230))</f>
        <v/>
      </c>
      <c r="T3230" s="53">
        <f>IF(P3230="","",IF(H3230="USD",G3230,IF(R3230&gt;0,G3230/R3230,0)))</f>
        <v/>
      </c>
      <c r="U3230" s="53">
        <f>IF(P3230="","",IF(P3230="Gasto",S3230,IF(P3230="Reembolso",-S3230,0)))</f>
        <v/>
      </c>
      <c r="V3230" s="53">
        <f>IF(P3230="","",IF(P3230="Ingreso",S3230,0))</f>
        <v/>
      </c>
      <c r="W3230" s="53">
        <f>IF(P3230="","",IF(P3230="Resultado trading",S3230,0))</f>
        <v/>
      </c>
      <c r="X3230" s="52">
        <f>IF(OR(P3230="Gasto",P3230="Reembolso"),IF(M3230&lt;&gt;"",M3230,IFERROR(INDEX(catClasif,MATCH(D3230&amp;"|"&amp;E3230,catClave,0))&amp;"","Variable")),"")</f>
        <v/>
      </c>
      <c r="Y3230" s="52">
        <f>IF(P3230="","",IFERROR(INDEX(catGrupo,MATCH(D3230&amp;"|"&amp;E3230,catClave,0))&amp;"",""))</f>
        <v/>
      </c>
      <c r="Z3230" s="52">
        <f>IF(P3230="","",WEEKDAY(B3230,2))</f>
        <v/>
      </c>
      <c r="AA3230" s="52">
        <f>IF(P3230="","",IF(AND(P3230="Gasto",X3230="Variable",D3230&lt;&gt;catTrading,S3230&gt;0,S3230&lt;=Umbral),1,0))</f>
        <v/>
      </c>
      <c r="AB3230" s="52">
        <f>IF(OR(P3230="",Q3230=""),"",IFERROR(IF(INDEX(ctaVinc,MATCH(Q3230,ctaNombre,0))&amp;""&lt;&gt;"",INDEX(ctaVinc,MATCH(Q3230,ctaNombre,0))&amp;"",Q3230),Q3230))</f>
        <v/>
      </c>
      <c r="AC3230" s="52">
        <f>IF(OR(K3230="",AND(P3230&lt;&gt;"Transferencia",P3230&lt;&gt;"Pago tarjeta")),"",IFERROR(IF(INDEX(ctaVinc,MATCH(K3230,ctaNombre,0))&amp;""&lt;&gt;"",INDEX(ctaVinc,MATCH(K3230,ctaNombre,0))&amp;"",K3230),K3230))</f>
        <v/>
      </c>
      <c r="AD3230" s="52">
        <f>IF(AB3230="","",IFERROR(INDEX(ctaTipo,MATCH(AB3230,ctaNombre,0))&amp;"",""))</f>
        <v/>
      </c>
      <c r="AE3230" s="52">
        <f>IF(AC3230="","",IFERROR(INDEX(ctaTipo,MATCH(AC3230,ctaNombre,0))&amp;"",""))</f>
        <v/>
      </c>
      <c r="AF3230" s="53">
        <f>IF(OR(P3230="",AB3230=""),"",IF(OR(P3230="Gasto",P3230="Transferencia",P3230="Pago tarjeta"),-1,1)*IF(IFERROR(INDEX(ctaMoneda,MATCH(AB3230,ctaNombre,0))&amp;"","DOP")="USD",T3230,S3230))</f>
        <v/>
      </c>
      <c r="AG3230" s="53">
        <f>IF(AC3230="","",IF(IFERROR(INDEX(ctaMoneda,MATCH(AC3230,ctaNombre,0))&amp;"","DOP")="USD",T3230,S3230))</f>
        <v/>
      </c>
      <c r="AH3230" s="53">
        <f>IF(P3230="","",IF(AND(AD3230&lt;&gt;"",COUNTIFS(tcTipo,AD3230,tcLiq,"Sí")&gt;0),IF(OR(P3230="Gasto",P3230="Transferencia",P3230="Pago tarjeta"),-1,1)*S3230,0)+IF(AND(AE3230&lt;&gt;"",COUNTIFS(tcTipo,AE3230,tcLiq,"Sí")&gt;0),S3230,0))</f>
        <v/>
      </c>
      <c r="AI3230" s="52">
        <f>IF(OR(L3230="",P3230=""),"",IF(COUNTIFS(L$6:L3230,L3230,P$6:P3230,"?*")=1,MAX(AI$5:AI3229)+1,""))</f>
        <v/>
      </c>
    </row>
    <row r="3231">
      <c r="B3231" s="47" t="n"/>
      <c r="C3231" s="48" t="n"/>
      <c r="D3231" s="48" t="n"/>
      <c r="E3231" s="48" t="n"/>
      <c r="F3231" s="48" t="n"/>
      <c r="G3231" s="49" t="n"/>
      <c r="H3231" s="48" t="n"/>
      <c r="I3231" s="50" t="n"/>
      <c r="J3231" s="48" t="n"/>
      <c r="K3231" s="48" t="n"/>
      <c r="L3231" s="48" t="n"/>
      <c r="M3231" s="48" t="n"/>
      <c r="N3231" s="48" t="n"/>
      <c r="O3231" s="51">
        <f>IF(AND(B3231="",G3231="",C3231="",D3231="",J3231=""),"",IF(B3231="","⚠ Falta fecha",IF(G3231="","⚠ Falta monto",IF(Q3231="","⚠ Falta cuenta",IF(ISNA(MATCH(Q3231,ctaNombre,0)),"⚠ Cuenta no registrada",IF(AND(OR(P3231="Gasto",P3231="Reembolso"),D3231=""),"⚠ Falta categoría",IF(AND(D3231&lt;&gt;"",E3231&lt;&gt;"",ISNA(MATCH(D3231&amp;"|"&amp;E3231,catClave,0))),"⚠ Subcategoría no corresponde",IF(AND(OR(P3231="Transferencia",P3231="Pago tarjeta"),K3231=""),"⚠ Falta cuenta destino",IF(AND(K3231&lt;&gt;"",P3231&lt;&gt;"Transferencia",P3231&lt;&gt;"Pago tarjeta"),"⚠ Destino solo aplica a transferencias",IF(AND(K3231&lt;&gt;"",K3231=Q3231),"⚠ Origen igual a destino",IF(AND(K3231&lt;&gt;"",ISNA(MATCH(K3231,ctaNombre,0))),"⚠ Destino no registrado",IF(AND(P3231="Pago tarjeta",AE3231&lt;&gt;"Tarjeta de crédito"),"⚠ El destino debe ser tarjeta de crédito",IF(AND(P3231="Gasto",E3231="Depósitos y retiros"),"⚠ Usa tipo Transferencia",IF(AND(P3231="Resultado trading",AD3231&lt;&gt;"Cuenta de trading"),"⚠ Usa una cuenta de trading",IF(AND(G3231&lt;=0,P3231&lt;&gt;"Ajuste",P3231&lt;&gt;"Resultado trading"),"⚠ El monto debe ser positivo","✓")))))))))))))))</f>
        <v/>
      </c>
      <c r="P3231" s="52">
        <f>IF(OR(B3231="",G3231=""),"",IF(C3231="","Gasto",C3231))</f>
        <v/>
      </c>
      <c r="Q3231" s="52">
        <f>IF(P3231="","",IF(J3231&lt;&gt;"",J3231,CuentaPred&amp;""))</f>
        <v/>
      </c>
      <c r="R3231" s="52">
        <f>IF(P3231="","",IF(ISNUMBER(I3231),I3231,TasaUSD))</f>
        <v/>
      </c>
      <c r="S3231" s="53">
        <f>IF(P3231="","",IF(H3231="USD",G3231*R3231,G3231))</f>
        <v/>
      </c>
      <c r="T3231" s="53">
        <f>IF(P3231="","",IF(H3231="USD",G3231,IF(R3231&gt;0,G3231/R3231,0)))</f>
        <v/>
      </c>
      <c r="U3231" s="53">
        <f>IF(P3231="","",IF(P3231="Gasto",S3231,IF(P3231="Reembolso",-S3231,0)))</f>
        <v/>
      </c>
      <c r="V3231" s="53">
        <f>IF(P3231="","",IF(P3231="Ingreso",S3231,0))</f>
        <v/>
      </c>
      <c r="W3231" s="53">
        <f>IF(P3231="","",IF(P3231="Resultado trading",S3231,0))</f>
        <v/>
      </c>
      <c r="X3231" s="52">
        <f>IF(OR(P3231="Gasto",P3231="Reembolso"),IF(M3231&lt;&gt;"",M3231,IFERROR(INDEX(catClasif,MATCH(D3231&amp;"|"&amp;E3231,catClave,0))&amp;"","Variable")),"")</f>
        <v/>
      </c>
      <c r="Y3231" s="52">
        <f>IF(P3231="","",IFERROR(INDEX(catGrupo,MATCH(D3231&amp;"|"&amp;E3231,catClave,0))&amp;"",""))</f>
        <v/>
      </c>
      <c r="Z3231" s="52">
        <f>IF(P3231="","",WEEKDAY(B3231,2))</f>
        <v/>
      </c>
      <c r="AA3231" s="52">
        <f>IF(P3231="","",IF(AND(P3231="Gasto",X3231="Variable",D3231&lt;&gt;catTrading,S3231&gt;0,S3231&lt;=Umbral),1,0))</f>
        <v/>
      </c>
      <c r="AB3231" s="52">
        <f>IF(OR(P3231="",Q3231=""),"",IFERROR(IF(INDEX(ctaVinc,MATCH(Q3231,ctaNombre,0))&amp;""&lt;&gt;"",INDEX(ctaVinc,MATCH(Q3231,ctaNombre,0))&amp;"",Q3231),Q3231))</f>
        <v/>
      </c>
      <c r="AC3231" s="52">
        <f>IF(OR(K3231="",AND(P3231&lt;&gt;"Transferencia",P3231&lt;&gt;"Pago tarjeta")),"",IFERROR(IF(INDEX(ctaVinc,MATCH(K3231,ctaNombre,0))&amp;""&lt;&gt;"",INDEX(ctaVinc,MATCH(K3231,ctaNombre,0))&amp;"",K3231),K3231))</f>
        <v/>
      </c>
      <c r="AD3231" s="52">
        <f>IF(AB3231="","",IFERROR(INDEX(ctaTipo,MATCH(AB3231,ctaNombre,0))&amp;"",""))</f>
        <v/>
      </c>
      <c r="AE3231" s="52">
        <f>IF(AC3231="","",IFERROR(INDEX(ctaTipo,MATCH(AC3231,ctaNombre,0))&amp;"",""))</f>
        <v/>
      </c>
      <c r="AF3231" s="53">
        <f>IF(OR(P3231="",AB3231=""),"",IF(OR(P3231="Gasto",P3231="Transferencia",P3231="Pago tarjeta"),-1,1)*IF(IFERROR(INDEX(ctaMoneda,MATCH(AB3231,ctaNombre,0))&amp;"","DOP")="USD",T3231,S3231))</f>
        <v/>
      </c>
      <c r="AG3231" s="53">
        <f>IF(AC3231="","",IF(IFERROR(INDEX(ctaMoneda,MATCH(AC3231,ctaNombre,0))&amp;"","DOP")="USD",T3231,S3231))</f>
        <v/>
      </c>
      <c r="AH3231" s="53">
        <f>IF(P3231="","",IF(AND(AD3231&lt;&gt;"",COUNTIFS(tcTipo,AD3231,tcLiq,"Sí")&gt;0),IF(OR(P3231="Gasto",P3231="Transferencia",P3231="Pago tarjeta"),-1,1)*S3231,0)+IF(AND(AE3231&lt;&gt;"",COUNTIFS(tcTipo,AE3231,tcLiq,"Sí")&gt;0),S3231,0))</f>
        <v/>
      </c>
      <c r="AI3231" s="52">
        <f>IF(OR(L3231="",P3231=""),"",IF(COUNTIFS(L$6:L3231,L3231,P$6:P3231,"?*")=1,MAX(AI$5:AI3230)+1,""))</f>
        <v/>
      </c>
    </row>
    <row r="3232">
      <c r="B3232" s="47" t="n"/>
      <c r="C3232" s="48" t="n"/>
      <c r="D3232" s="48" t="n"/>
      <c r="E3232" s="48" t="n"/>
      <c r="F3232" s="48" t="n"/>
      <c r="G3232" s="49" t="n"/>
      <c r="H3232" s="48" t="n"/>
      <c r="I3232" s="50" t="n"/>
      <c r="J3232" s="48" t="n"/>
      <c r="K3232" s="48" t="n"/>
      <c r="L3232" s="48" t="n"/>
      <c r="M3232" s="48" t="n"/>
      <c r="N3232" s="48" t="n"/>
      <c r="O3232" s="51">
        <f>IF(AND(B3232="",G3232="",C3232="",D3232="",J3232=""),"",IF(B3232="","⚠ Falta fecha",IF(G3232="","⚠ Falta monto",IF(Q3232="","⚠ Falta cuenta",IF(ISNA(MATCH(Q3232,ctaNombre,0)),"⚠ Cuenta no registrada",IF(AND(OR(P3232="Gasto",P3232="Reembolso"),D3232=""),"⚠ Falta categoría",IF(AND(D3232&lt;&gt;"",E3232&lt;&gt;"",ISNA(MATCH(D3232&amp;"|"&amp;E3232,catClave,0))),"⚠ Subcategoría no corresponde",IF(AND(OR(P3232="Transferencia",P3232="Pago tarjeta"),K3232=""),"⚠ Falta cuenta destino",IF(AND(K3232&lt;&gt;"",P3232&lt;&gt;"Transferencia",P3232&lt;&gt;"Pago tarjeta"),"⚠ Destino solo aplica a transferencias",IF(AND(K3232&lt;&gt;"",K3232=Q3232),"⚠ Origen igual a destino",IF(AND(K3232&lt;&gt;"",ISNA(MATCH(K3232,ctaNombre,0))),"⚠ Destino no registrado",IF(AND(P3232="Pago tarjeta",AE3232&lt;&gt;"Tarjeta de crédito"),"⚠ El destino debe ser tarjeta de crédito",IF(AND(P3232="Gasto",E3232="Depósitos y retiros"),"⚠ Usa tipo Transferencia",IF(AND(P3232="Resultado trading",AD3232&lt;&gt;"Cuenta de trading"),"⚠ Usa una cuenta de trading",IF(AND(G3232&lt;=0,P3232&lt;&gt;"Ajuste",P3232&lt;&gt;"Resultado trading"),"⚠ El monto debe ser positivo","✓")))))))))))))))</f>
        <v/>
      </c>
      <c r="P3232" s="52">
        <f>IF(OR(B3232="",G3232=""),"",IF(C3232="","Gasto",C3232))</f>
        <v/>
      </c>
      <c r="Q3232" s="52">
        <f>IF(P3232="","",IF(J3232&lt;&gt;"",J3232,CuentaPred&amp;""))</f>
        <v/>
      </c>
      <c r="R3232" s="52">
        <f>IF(P3232="","",IF(ISNUMBER(I3232),I3232,TasaUSD))</f>
        <v/>
      </c>
      <c r="S3232" s="53">
        <f>IF(P3232="","",IF(H3232="USD",G3232*R3232,G3232))</f>
        <v/>
      </c>
      <c r="T3232" s="53">
        <f>IF(P3232="","",IF(H3232="USD",G3232,IF(R3232&gt;0,G3232/R3232,0)))</f>
        <v/>
      </c>
      <c r="U3232" s="53">
        <f>IF(P3232="","",IF(P3232="Gasto",S3232,IF(P3232="Reembolso",-S3232,0)))</f>
        <v/>
      </c>
      <c r="V3232" s="53">
        <f>IF(P3232="","",IF(P3232="Ingreso",S3232,0))</f>
        <v/>
      </c>
      <c r="W3232" s="53">
        <f>IF(P3232="","",IF(P3232="Resultado trading",S3232,0))</f>
        <v/>
      </c>
      <c r="X3232" s="52">
        <f>IF(OR(P3232="Gasto",P3232="Reembolso"),IF(M3232&lt;&gt;"",M3232,IFERROR(INDEX(catClasif,MATCH(D3232&amp;"|"&amp;E3232,catClave,0))&amp;"","Variable")),"")</f>
        <v/>
      </c>
      <c r="Y3232" s="52">
        <f>IF(P3232="","",IFERROR(INDEX(catGrupo,MATCH(D3232&amp;"|"&amp;E3232,catClave,0))&amp;"",""))</f>
        <v/>
      </c>
      <c r="Z3232" s="52">
        <f>IF(P3232="","",WEEKDAY(B3232,2))</f>
        <v/>
      </c>
      <c r="AA3232" s="52">
        <f>IF(P3232="","",IF(AND(P3232="Gasto",X3232="Variable",D3232&lt;&gt;catTrading,S3232&gt;0,S3232&lt;=Umbral),1,0))</f>
        <v/>
      </c>
      <c r="AB3232" s="52">
        <f>IF(OR(P3232="",Q3232=""),"",IFERROR(IF(INDEX(ctaVinc,MATCH(Q3232,ctaNombre,0))&amp;""&lt;&gt;"",INDEX(ctaVinc,MATCH(Q3232,ctaNombre,0))&amp;"",Q3232),Q3232))</f>
        <v/>
      </c>
      <c r="AC3232" s="52">
        <f>IF(OR(K3232="",AND(P3232&lt;&gt;"Transferencia",P3232&lt;&gt;"Pago tarjeta")),"",IFERROR(IF(INDEX(ctaVinc,MATCH(K3232,ctaNombre,0))&amp;""&lt;&gt;"",INDEX(ctaVinc,MATCH(K3232,ctaNombre,0))&amp;"",K3232),K3232))</f>
        <v/>
      </c>
      <c r="AD3232" s="52">
        <f>IF(AB3232="","",IFERROR(INDEX(ctaTipo,MATCH(AB3232,ctaNombre,0))&amp;"",""))</f>
        <v/>
      </c>
      <c r="AE3232" s="52">
        <f>IF(AC3232="","",IFERROR(INDEX(ctaTipo,MATCH(AC3232,ctaNombre,0))&amp;"",""))</f>
        <v/>
      </c>
      <c r="AF3232" s="53">
        <f>IF(OR(P3232="",AB3232=""),"",IF(OR(P3232="Gasto",P3232="Transferencia",P3232="Pago tarjeta"),-1,1)*IF(IFERROR(INDEX(ctaMoneda,MATCH(AB3232,ctaNombre,0))&amp;"","DOP")="USD",T3232,S3232))</f>
        <v/>
      </c>
      <c r="AG3232" s="53">
        <f>IF(AC3232="","",IF(IFERROR(INDEX(ctaMoneda,MATCH(AC3232,ctaNombre,0))&amp;"","DOP")="USD",T3232,S3232))</f>
        <v/>
      </c>
      <c r="AH3232" s="53">
        <f>IF(P3232="","",IF(AND(AD3232&lt;&gt;"",COUNTIFS(tcTipo,AD3232,tcLiq,"Sí")&gt;0),IF(OR(P3232="Gasto",P3232="Transferencia",P3232="Pago tarjeta"),-1,1)*S3232,0)+IF(AND(AE3232&lt;&gt;"",COUNTIFS(tcTipo,AE3232,tcLiq,"Sí")&gt;0),S3232,0))</f>
        <v/>
      </c>
      <c r="AI3232" s="52">
        <f>IF(OR(L3232="",P3232=""),"",IF(COUNTIFS(L$6:L3232,L3232,P$6:P3232,"?*")=1,MAX(AI$5:AI3231)+1,""))</f>
        <v/>
      </c>
    </row>
    <row r="3233">
      <c r="B3233" s="47" t="n"/>
      <c r="C3233" s="48" t="n"/>
      <c r="D3233" s="48" t="n"/>
      <c r="E3233" s="48" t="n"/>
      <c r="F3233" s="48" t="n"/>
      <c r="G3233" s="49" t="n"/>
      <c r="H3233" s="48" t="n"/>
      <c r="I3233" s="50" t="n"/>
      <c r="J3233" s="48" t="n"/>
      <c r="K3233" s="48" t="n"/>
      <c r="L3233" s="48" t="n"/>
      <c r="M3233" s="48" t="n"/>
      <c r="N3233" s="48" t="n"/>
      <c r="O3233" s="51">
        <f>IF(AND(B3233="",G3233="",C3233="",D3233="",J3233=""),"",IF(B3233="","⚠ Falta fecha",IF(G3233="","⚠ Falta monto",IF(Q3233="","⚠ Falta cuenta",IF(ISNA(MATCH(Q3233,ctaNombre,0)),"⚠ Cuenta no registrada",IF(AND(OR(P3233="Gasto",P3233="Reembolso"),D3233=""),"⚠ Falta categoría",IF(AND(D3233&lt;&gt;"",E3233&lt;&gt;"",ISNA(MATCH(D3233&amp;"|"&amp;E3233,catClave,0))),"⚠ Subcategoría no corresponde",IF(AND(OR(P3233="Transferencia",P3233="Pago tarjeta"),K3233=""),"⚠ Falta cuenta destino",IF(AND(K3233&lt;&gt;"",P3233&lt;&gt;"Transferencia",P3233&lt;&gt;"Pago tarjeta"),"⚠ Destino solo aplica a transferencias",IF(AND(K3233&lt;&gt;"",K3233=Q3233),"⚠ Origen igual a destino",IF(AND(K3233&lt;&gt;"",ISNA(MATCH(K3233,ctaNombre,0))),"⚠ Destino no registrado",IF(AND(P3233="Pago tarjeta",AE3233&lt;&gt;"Tarjeta de crédito"),"⚠ El destino debe ser tarjeta de crédito",IF(AND(P3233="Gasto",E3233="Depósitos y retiros"),"⚠ Usa tipo Transferencia",IF(AND(P3233="Resultado trading",AD3233&lt;&gt;"Cuenta de trading"),"⚠ Usa una cuenta de trading",IF(AND(G3233&lt;=0,P3233&lt;&gt;"Ajuste",P3233&lt;&gt;"Resultado trading"),"⚠ El monto debe ser positivo","✓")))))))))))))))</f>
        <v/>
      </c>
      <c r="P3233" s="52">
        <f>IF(OR(B3233="",G3233=""),"",IF(C3233="","Gasto",C3233))</f>
        <v/>
      </c>
      <c r="Q3233" s="52">
        <f>IF(P3233="","",IF(J3233&lt;&gt;"",J3233,CuentaPred&amp;""))</f>
        <v/>
      </c>
      <c r="R3233" s="52">
        <f>IF(P3233="","",IF(ISNUMBER(I3233),I3233,TasaUSD))</f>
        <v/>
      </c>
      <c r="S3233" s="53">
        <f>IF(P3233="","",IF(H3233="USD",G3233*R3233,G3233))</f>
        <v/>
      </c>
      <c r="T3233" s="53">
        <f>IF(P3233="","",IF(H3233="USD",G3233,IF(R3233&gt;0,G3233/R3233,0)))</f>
        <v/>
      </c>
      <c r="U3233" s="53">
        <f>IF(P3233="","",IF(P3233="Gasto",S3233,IF(P3233="Reembolso",-S3233,0)))</f>
        <v/>
      </c>
      <c r="V3233" s="53">
        <f>IF(P3233="","",IF(P3233="Ingreso",S3233,0))</f>
        <v/>
      </c>
      <c r="W3233" s="53">
        <f>IF(P3233="","",IF(P3233="Resultado trading",S3233,0))</f>
        <v/>
      </c>
      <c r="X3233" s="52">
        <f>IF(OR(P3233="Gasto",P3233="Reembolso"),IF(M3233&lt;&gt;"",M3233,IFERROR(INDEX(catClasif,MATCH(D3233&amp;"|"&amp;E3233,catClave,0))&amp;"","Variable")),"")</f>
        <v/>
      </c>
      <c r="Y3233" s="52">
        <f>IF(P3233="","",IFERROR(INDEX(catGrupo,MATCH(D3233&amp;"|"&amp;E3233,catClave,0))&amp;"",""))</f>
        <v/>
      </c>
      <c r="Z3233" s="52">
        <f>IF(P3233="","",WEEKDAY(B3233,2))</f>
        <v/>
      </c>
      <c r="AA3233" s="52">
        <f>IF(P3233="","",IF(AND(P3233="Gasto",X3233="Variable",D3233&lt;&gt;catTrading,S3233&gt;0,S3233&lt;=Umbral),1,0))</f>
        <v/>
      </c>
      <c r="AB3233" s="52">
        <f>IF(OR(P3233="",Q3233=""),"",IFERROR(IF(INDEX(ctaVinc,MATCH(Q3233,ctaNombre,0))&amp;""&lt;&gt;"",INDEX(ctaVinc,MATCH(Q3233,ctaNombre,0))&amp;"",Q3233),Q3233))</f>
        <v/>
      </c>
      <c r="AC3233" s="52">
        <f>IF(OR(K3233="",AND(P3233&lt;&gt;"Transferencia",P3233&lt;&gt;"Pago tarjeta")),"",IFERROR(IF(INDEX(ctaVinc,MATCH(K3233,ctaNombre,0))&amp;""&lt;&gt;"",INDEX(ctaVinc,MATCH(K3233,ctaNombre,0))&amp;"",K3233),K3233))</f>
        <v/>
      </c>
      <c r="AD3233" s="52">
        <f>IF(AB3233="","",IFERROR(INDEX(ctaTipo,MATCH(AB3233,ctaNombre,0))&amp;"",""))</f>
        <v/>
      </c>
      <c r="AE3233" s="52">
        <f>IF(AC3233="","",IFERROR(INDEX(ctaTipo,MATCH(AC3233,ctaNombre,0))&amp;"",""))</f>
        <v/>
      </c>
      <c r="AF3233" s="53">
        <f>IF(OR(P3233="",AB3233=""),"",IF(OR(P3233="Gasto",P3233="Transferencia",P3233="Pago tarjeta"),-1,1)*IF(IFERROR(INDEX(ctaMoneda,MATCH(AB3233,ctaNombre,0))&amp;"","DOP")="USD",T3233,S3233))</f>
        <v/>
      </c>
      <c r="AG3233" s="53">
        <f>IF(AC3233="","",IF(IFERROR(INDEX(ctaMoneda,MATCH(AC3233,ctaNombre,0))&amp;"","DOP")="USD",T3233,S3233))</f>
        <v/>
      </c>
      <c r="AH3233" s="53">
        <f>IF(P3233="","",IF(AND(AD3233&lt;&gt;"",COUNTIFS(tcTipo,AD3233,tcLiq,"Sí")&gt;0),IF(OR(P3233="Gasto",P3233="Transferencia",P3233="Pago tarjeta"),-1,1)*S3233,0)+IF(AND(AE3233&lt;&gt;"",COUNTIFS(tcTipo,AE3233,tcLiq,"Sí")&gt;0),S3233,0))</f>
        <v/>
      </c>
      <c r="AI3233" s="52">
        <f>IF(OR(L3233="",P3233=""),"",IF(COUNTIFS(L$6:L3233,L3233,P$6:P3233,"?*")=1,MAX(AI$5:AI3232)+1,""))</f>
        <v/>
      </c>
    </row>
    <row r="3234">
      <c r="B3234" s="47" t="n"/>
      <c r="C3234" s="48" t="n"/>
      <c r="D3234" s="48" t="n"/>
      <c r="E3234" s="48" t="n"/>
      <c r="F3234" s="48" t="n"/>
      <c r="G3234" s="49" t="n"/>
      <c r="H3234" s="48" t="n"/>
      <c r="I3234" s="50" t="n"/>
      <c r="J3234" s="48" t="n"/>
      <c r="K3234" s="48" t="n"/>
      <c r="L3234" s="48" t="n"/>
      <c r="M3234" s="48" t="n"/>
      <c r="N3234" s="48" t="n"/>
      <c r="O3234" s="51">
        <f>IF(AND(B3234="",G3234="",C3234="",D3234="",J3234=""),"",IF(B3234="","⚠ Falta fecha",IF(G3234="","⚠ Falta monto",IF(Q3234="","⚠ Falta cuenta",IF(ISNA(MATCH(Q3234,ctaNombre,0)),"⚠ Cuenta no registrada",IF(AND(OR(P3234="Gasto",P3234="Reembolso"),D3234=""),"⚠ Falta categoría",IF(AND(D3234&lt;&gt;"",E3234&lt;&gt;"",ISNA(MATCH(D3234&amp;"|"&amp;E3234,catClave,0))),"⚠ Subcategoría no corresponde",IF(AND(OR(P3234="Transferencia",P3234="Pago tarjeta"),K3234=""),"⚠ Falta cuenta destino",IF(AND(K3234&lt;&gt;"",P3234&lt;&gt;"Transferencia",P3234&lt;&gt;"Pago tarjeta"),"⚠ Destino solo aplica a transferencias",IF(AND(K3234&lt;&gt;"",K3234=Q3234),"⚠ Origen igual a destino",IF(AND(K3234&lt;&gt;"",ISNA(MATCH(K3234,ctaNombre,0))),"⚠ Destino no registrado",IF(AND(P3234="Pago tarjeta",AE3234&lt;&gt;"Tarjeta de crédito"),"⚠ El destino debe ser tarjeta de crédito",IF(AND(P3234="Gasto",E3234="Depósitos y retiros"),"⚠ Usa tipo Transferencia",IF(AND(P3234="Resultado trading",AD3234&lt;&gt;"Cuenta de trading"),"⚠ Usa una cuenta de trading",IF(AND(G3234&lt;=0,P3234&lt;&gt;"Ajuste",P3234&lt;&gt;"Resultado trading"),"⚠ El monto debe ser positivo","✓")))))))))))))))</f>
        <v/>
      </c>
      <c r="P3234" s="52">
        <f>IF(OR(B3234="",G3234=""),"",IF(C3234="","Gasto",C3234))</f>
        <v/>
      </c>
      <c r="Q3234" s="52">
        <f>IF(P3234="","",IF(J3234&lt;&gt;"",J3234,CuentaPred&amp;""))</f>
        <v/>
      </c>
      <c r="R3234" s="52">
        <f>IF(P3234="","",IF(ISNUMBER(I3234),I3234,TasaUSD))</f>
        <v/>
      </c>
      <c r="S3234" s="53">
        <f>IF(P3234="","",IF(H3234="USD",G3234*R3234,G3234))</f>
        <v/>
      </c>
      <c r="T3234" s="53">
        <f>IF(P3234="","",IF(H3234="USD",G3234,IF(R3234&gt;0,G3234/R3234,0)))</f>
        <v/>
      </c>
      <c r="U3234" s="53">
        <f>IF(P3234="","",IF(P3234="Gasto",S3234,IF(P3234="Reembolso",-S3234,0)))</f>
        <v/>
      </c>
      <c r="V3234" s="53">
        <f>IF(P3234="","",IF(P3234="Ingreso",S3234,0))</f>
        <v/>
      </c>
      <c r="W3234" s="53">
        <f>IF(P3234="","",IF(P3234="Resultado trading",S3234,0))</f>
        <v/>
      </c>
      <c r="X3234" s="52">
        <f>IF(OR(P3234="Gasto",P3234="Reembolso"),IF(M3234&lt;&gt;"",M3234,IFERROR(INDEX(catClasif,MATCH(D3234&amp;"|"&amp;E3234,catClave,0))&amp;"","Variable")),"")</f>
        <v/>
      </c>
      <c r="Y3234" s="52">
        <f>IF(P3234="","",IFERROR(INDEX(catGrupo,MATCH(D3234&amp;"|"&amp;E3234,catClave,0))&amp;"",""))</f>
        <v/>
      </c>
      <c r="Z3234" s="52">
        <f>IF(P3234="","",WEEKDAY(B3234,2))</f>
        <v/>
      </c>
      <c r="AA3234" s="52">
        <f>IF(P3234="","",IF(AND(P3234="Gasto",X3234="Variable",D3234&lt;&gt;catTrading,S3234&gt;0,S3234&lt;=Umbral),1,0))</f>
        <v/>
      </c>
      <c r="AB3234" s="52">
        <f>IF(OR(P3234="",Q3234=""),"",IFERROR(IF(INDEX(ctaVinc,MATCH(Q3234,ctaNombre,0))&amp;""&lt;&gt;"",INDEX(ctaVinc,MATCH(Q3234,ctaNombre,0))&amp;"",Q3234),Q3234))</f>
        <v/>
      </c>
      <c r="AC3234" s="52">
        <f>IF(OR(K3234="",AND(P3234&lt;&gt;"Transferencia",P3234&lt;&gt;"Pago tarjeta")),"",IFERROR(IF(INDEX(ctaVinc,MATCH(K3234,ctaNombre,0))&amp;""&lt;&gt;"",INDEX(ctaVinc,MATCH(K3234,ctaNombre,0))&amp;"",K3234),K3234))</f>
        <v/>
      </c>
      <c r="AD3234" s="52">
        <f>IF(AB3234="","",IFERROR(INDEX(ctaTipo,MATCH(AB3234,ctaNombre,0))&amp;"",""))</f>
        <v/>
      </c>
      <c r="AE3234" s="52">
        <f>IF(AC3234="","",IFERROR(INDEX(ctaTipo,MATCH(AC3234,ctaNombre,0))&amp;"",""))</f>
        <v/>
      </c>
      <c r="AF3234" s="53">
        <f>IF(OR(P3234="",AB3234=""),"",IF(OR(P3234="Gasto",P3234="Transferencia",P3234="Pago tarjeta"),-1,1)*IF(IFERROR(INDEX(ctaMoneda,MATCH(AB3234,ctaNombre,0))&amp;"","DOP")="USD",T3234,S3234))</f>
        <v/>
      </c>
      <c r="AG3234" s="53">
        <f>IF(AC3234="","",IF(IFERROR(INDEX(ctaMoneda,MATCH(AC3234,ctaNombre,0))&amp;"","DOP")="USD",T3234,S3234))</f>
        <v/>
      </c>
      <c r="AH3234" s="53">
        <f>IF(P3234="","",IF(AND(AD3234&lt;&gt;"",COUNTIFS(tcTipo,AD3234,tcLiq,"Sí")&gt;0),IF(OR(P3234="Gasto",P3234="Transferencia",P3234="Pago tarjeta"),-1,1)*S3234,0)+IF(AND(AE3234&lt;&gt;"",COUNTIFS(tcTipo,AE3234,tcLiq,"Sí")&gt;0),S3234,0))</f>
        <v/>
      </c>
      <c r="AI3234" s="52">
        <f>IF(OR(L3234="",P3234=""),"",IF(COUNTIFS(L$6:L3234,L3234,P$6:P3234,"?*")=1,MAX(AI$5:AI3233)+1,""))</f>
        <v/>
      </c>
    </row>
    <row r="3235">
      <c r="B3235" s="47" t="n"/>
      <c r="C3235" s="48" t="n"/>
      <c r="D3235" s="48" t="n"/>
      <c r="E3235" s="48" t="n"/>
      <c r="F3235" s="48" t="n"/>
      <c r="G3235" s="49" t="n"/>
      <c r="H3235" s="48" t="n"/>
      <c r="I3235" s="50" t="n"/>
      <c r="J3235" s="48" t="n"/>
      <c r="K3235" s="48" t="n"/>
      <c r="L3235" s="48" t="n"/>
      <c r="M3235" s="48" t="n"/>
      <c r="N3235" s="48" t="n"/>
      <c r="O3235" s="51">
        <f>IF(AND(B3235="",G3235="",C3235="",D3235="",J3235=""),"",IF(B3235="","⚠ Falta fecha",IF(G3235="","⚠ Falta monto",IF(Q3235="","⚠ Falta cuenta",IF(ISNA(MATCH(Q3235,ctaNombre,0)),"⚠ Cuenta no registrada",IF(AND(OR(P3235="Gasto",P3235="Reembolso"),D3235=""),"⚠ Falta categoría",IF(AND(D3235&lt;&gt;"",E3235&lt;&gt;"",ISNA(MATCH(D3235&amp;"|"&amp;E3235,catClave,0))),"⚠ Subcategoría no corresponde",IF(AND(OR(P3235="Transferencia",P3235="Pago tarjeta"),K3235=""),"⚠ Falta cuenta destino",IF(AND(K3235&lt;&gt;"",P3235&lt;&gt;"Transferencia",P3235&lt;&gt;"Pago tarjeta"),"⚠ Destino solo aplica a transferencias",IF(AND(K3235&lt;&gt;"",K3235=Q3235),"⚠ Origen igual a destino",IF(AND(K3235&lt;&gt;"",ISNA(MATCH(K3235,ctaNombre,0))),"⚠ Destino no registrado",IF(AND(P3235="Pago tarjeta",AE3235&lt;&gt;"Tarjeta de crédito"),"⚠ El destino debe ser tarjeta de crédito",IF(AND(P3235="Gasto",E3235="Depósitos y retiros"),"⚠ Usa tipo Transferencia",IF(AND(P3235="Resultado trading",AD3235&lt;&gt;"Cuenta de trading"),"⚠ Usa una cuenta de trading",IF(AND(G3235&lt;=0,P3235&lt;&gt;"Ajuste",P3235&lt;&gt;"Resultado trading"),"⚠ El monto debe ser positivo","✓")))))))))))))))</f>
        <v/>
      </c>
      <c r="P3235" s="52">
        <f>IF(OR(B3235="",G3235=""),"",IF(C3235="","Gasto",C3235))</f>
        <v/>
      </c>
      <c r="Q3235" s="52">
        <f>IF(P3235="","",IF(J3235&lt;&gt;"",J3235,CuentaPred&amp;""))</f>
        <v/>
      </c>
      <c r="R3235" s="52">
        <f>IF(P3235="","",IF(ISNUMBER(I3235),I3235,TasaUSD))</f>
        <v/>
      </c>
      <c r="S3235" s="53">
        <f>IF(P3235="","",IF(H3235="USD",G3235*R3235,G3235))</f>
        <v/>
      </c>
      <c r="T3235" s="53">
        <f>IF(P3235="","",IF(H3235="USD",G3235,IF(R3235&gt;0,G3235/R3235,0)))</f>
        <v/>
      </c>
      <c r="U3235" s="53">
        <f>IF(P3235="","",IF(P3235="Gasto",S3235,IF(P3235="Reembolso",-S3235,0)))</f>
        <v/>
      </c>
      <c r="V3235" s="53">
        <f>IF(P3235="","",IF(P3235="Ingreso",S3235,0))</f>
        <v/>
      </c>
      <c r="W3235" s="53">
        <f>IF(P3235="","",IF(P3235="Resultado trading",S3235,0))</f>
        <v/>
      </c>
      <c r="X3235" s="52">
        <f>IF(OR(P3235="Gasto",P3235="Reembolso"),IF(M3235&lt;&gt;"",M3235,IFERROR(INDEX(catClasif,MATCH(D3235&amp;"|"&amp;E3235,catClave,0))&amp;"","Variable")),"")</f>
        <v/>
      </c>
      <c r="Y3235" s="52">
        <f>IF(P3235="","",IFERROR(INDEX(catGrupo,MATCH(D3235&amp;"|"&amp;E3235,catClave,0))&amp;"",""))</f>
        <v/>
      </c>
      <c r="Z3235" s="52">
        <f>IF(P3235="","",WEEKDAY(B3235,2))</f>
        <v/>
      </c>
      <c r="AA3235" s="52">
        <f>IF(P3235="","",IF(AND(P3235="Gasto",X3235="Variable",D3235&lt;&gt;catTrading,S3235&gt;0,S3235&lt;=Umbral),1,0))</f>
        <v/>
      </c>
      <c r="AB3235" s="52">
        <f>IF(OR(P3235="",Q3235=""),"",IFERROR(IF(INDEX(ctaVinc,MATCH(Q3235,ctaNombre,0))&amp;""&lt;&gt;"",INDEX(ctaVinc,MATCH(Q3235,ctaNombre,0))&amp;"",Q3235),Q3235))</f>
        <v/>
      </c>
      <c r="AC3235" s="52">
        <f>IF(OR(K3235="",AND(P3235&lt;&gt;"Transferencia",P3235&lt;&gt;"Pago tarjeta")),"",IFERROR(IF(INDEX(ctaVinc,MATCH(K3235,ctaNombre,0))&amp;""&lt;&gt;"",INDEX(ctaVinc,MATCH(K3235,ctaNombre,0))&amp;"",K3235),K3235))</f>
        <v/>
      </c>
      <c r="AD3235" s="52">
        <f>IF(AB3235="","",IFERROR(INDEX(ctaTipo,MATCH(AB3235,ctaNombre,0))&amp;"",""))</f>
        <v/>
      </c>
      <c r="AE3235" s="52">
        <f>IF(AC3235="","",IFERROR(INDEX(ctaTipo,MATCH(AC3235,ctaNombre,0))&amp;"",""))</f>
        <v/>
      </c>
      <c r="AF3235" s="53">
        <f>IF(OR(P3235="",AB3235=""),"",IF(OR(P3235="Gasto",P3235="Transferencia",P3235="Pago tarjeta"),-1,1)*IF(IFERROR(INDEX(ctaMoneda,MATCH(AB3235,ctaNombre,0))&amp;"","DOP")="USD",T3235,S3235))</f>
        <v/>
      </c>
      <c r="AG3235" s="53">
        <f>IF(AC3235="","",IF(IFERROR(INDEX(ctaMoneda,MATCH(AC3235,ctaNombre,0))&amp;"","DOP")="USD",T3235,S3235))</f>
        <v/>
      </c>
      <c r="AH3235" s="53">
        <f>IF(P3235="","",IF(AND(AD3235&lt;&gt;"",COUNTIFS(tcTipo,AD3235,tcLiq,"Sí")&gt;0),IF(OR(P3235="Gasto",P3235="Transferencia",P3235="Pago tarjeta"),-1,1)*S3235,0)+IF(AND(AE3235&lt;&gt;"",COUNTIFS(tcTipo,AE3235,tcLiq,"Sí")&gt;0),S3235,0))</f>
        <v/>
      </c>
      <c r="AI3235" s="52">
        <f>IF(OR(L3235="",P3235=""),"",IF(COUNTIFS(L$6:L3235,L3235,P$6:P3235,"?*")=1,MAX(AI$5:AI3234)+1,""))</f>
        <v/>
      </c>
    </row>
    <row r="3236">
      <c r="B3236" s="47" t="n"/>
      <c r="C3236" s="48" t="n"/>
      <c r="D3236" s="48" t="n"/>
      <c r="E3236" s="48" t="n"/>
      <c r="F3236" s="48" t="n"/>
      <c r="G3236" s="49" t="n"/>
      <c r="H3236" s="48" t="n"/>
      <c r="I3236" s="50" t="n"/>
      <c r="J3236" s="48" t="n"/>
      <c r="K3236" s="48" t="n"/>
      <c r="L3236" s="48" t="n"/>
      <c r="M3236" s="48" t="n"/>
      <c r="N3236" s="48" t="n"/>
      <c r="O3236" s="51">
        <f>IF(AND(B3236="",G3236="",C3236="",D3236="",J3236=""),"",IF(B3236="","⚠ Falta fecha",IF(G3236="","⚠ Falta monto",IF(Q3236="","⚠ Falta cuenta",IF(ISNA(MATCH(Q3236,ctaNombre,0)),"⚠ Cuenta no registrada",IF(AND(OR(P3236="Gasto",P3236="Reembolso"),D3236=""),"⚠ Falta categoría",IF(AND(D3236&lt;&gt;"",E3236&lt;&gt;"",ISNA(MATCH(D3236&amp;"|"&amp;E3236,catClave,0))),"⚠ Subcategoría no corresponde",IF(AND(OR(P3236="Transferencia",P3236="Pago tarjeta"),K3236=""),"⚠ Falta cuenta destino",IF(AND(K3236&lt;&gt;"",P3236&lt;&gt;"Transferencia",P3236&lt;&gt;"Pago tarjeta"),"⚠ Destino solo aplica a transferencias",IF(AND(K3236&lt;&gt;"",K3236=Q3236),"⚠ Origen igual a destino",IF(AND(K3236&lt;&gt;"",ISNA(MATCH(K3236,ctaNombre,0))),"⚠ Destino no registrado",IF(AND(P3236="Pago tarjeta",AE3236&lt;&gt;"Tarjeta de crédito"),"⚠ El destino debe ser tarjeta de crédito",IF(AND(P3236="Gasto",E3236="Depósitos y retiros"),"⚠ Usa tipo Transferencia",IF(AND(P3236="Resultado trading",AD3236&lt;&gt;"Cuenta de trading"),"⚠ Usa una cuenta de trading",IF(AND(G3236&lt;=0,P3236&lt;&gt;"Ajuste",P3236&lt;&gt;"Resultado trading"),"⚠ El monto debe ser positivo","✓")))))))))))))))</f>
        <v/>
      </c>
      <c r="P3236" s="52">
        <f>IF(OR(B3236="",G3236=""),"",IF(C3236="","Gasto",C3236))</f>
        <v/>
      </c>
      <c r="Q3236" s="52">
        <f>IF(P3236="","",IF(J3236&lt;&gt;"",J3236,CuentaPred&amp;""))</f>
        <v/>
      </c>
      <c r="R3236" s="52">
        <f>IF(P3236="","",IF(ISNUMBER(I3236),I3236,TasaUSD))</f>
        <v/>
      </c>
      <c r="S3236" s="53">
        <f>IF(P3236="","",IF(H3236="USD",G3236*R3236,G3236))</f>
        <v/>
      </c>
      <c r="T3236" s="53">
        <f>IF(P3236="","",IF(H3236="USD",G3236,IF(R3236&gt;0,G3236/R3236,0)))</f>
        <v/>
      </c>
      <c r="U3236" s="53">
        <f>IF(P3236="","",IF(P3236="Gasto",S3236,IF(P3236="Reembolso",-S3236,0)))</f>
        <v/>
      </c>
      <c r="V3236" s="53">
        <f>IF(P3236="","",IF(P3236="Ingreso",S3236,0))</f>
        <v/>
      </c>
      <c r="W3236" s="53">
        <f>IF(P3236="","",IF(P3236="Resultado trading",S3236,0))</f>
        <v/>
      </c>
      <c r="X3236" s="52">
        <f>IF(OR(P3236="Gasto",P3236="Reembolso"),IF(M3236&lt;&gt;"",M3236,IFERROR(INDEX(catClasif,MATCH(D3236&amp;"|"&amp;E3236,catClave,0))&amp;"","Variable")),"")</f>
        <v/>
      </c>
      <c r="Y3236" s="52">
        <f>IF(P3236="","",IFERROR(INDEX(catGrupo,MATCH(D3236&amp;"|"&amp;E3236,catClave,0))&amp;"",""))</f>
        <v/>
      </c>
      <c r="Z3236" s="52">
        <f>IF(P3236="","",WEEKDAY(B3236,2))</f>
        <v/>
      </c>
      <c r="AA3236" s="52">
        <f>IF(P3236="","",IF(AND(P3236="Gasto",X3236="Variable",D3236&lt;&gt;catTrading,S3236&gt;0,S3236&lt;=Umbral),1,0))</f>
        <v/>
      </c>
      <c r="AB3236" s="52">
        <f>IF(OR(P3236="",Q3236=""),"",IFERROR(IF(INDEX(ctaVinc,MATCH(Q3236,ctaNombre,0))&amp;""&lt;&gt;"",INDEX(ctaVinc,MATCH(Q3236,ctaNombre,0))&amp;"",Q3236),Q3236))</f>
        <v/>
      </c>
      <c r="AC3236" s="52">
        <f>IF(OR(K3236="",AND(P3236&lt;&gt;"Transferencia",P3236&lt;&gt;"Pago tarjeta")),"",IFERROR(IF(INDEX(ctaVinc,MATCH(K3236,ctaNombre,0))&amp;""&lt;&gt;"",INDEX(ctaVinc,MATCH(K3236,ctaNombre,0))&amp;"",K3236),K3236))</f>
        <v/>
      </c>
      <c r="AD3236" s="52">
        <f>IF(AB3236="","",IFERROR(INDEX(ctaTipo,MATCH(AB3236,ctaNombre,0))&amp;"",""))</f>
        <v/>
      </c>
      <c r="AE3236" s="52">
        <f>IF(AC3236="","",IFERROR(INDEX(ctaTipo,MATCH(AC3236,ctaNombre,0))&amp;"",""))</f>
        <v/>
      </c>
      <c r="AF3236" s="53">
        <f>IF(OR(P3236="",AB3236=""),"",IF(OR(P3236="Gasto",P3236="Transferencia",P3236="Pago tarjeta"),-1,1)*IF(IFERROR(INDEX(ctaMoneda,MATCH(AB3236,ctaNombre,0))&amp;"","DOP")="USD",T3236,S3236))</f>
        <v/>
      </c>
      <c r="AG3236" s="53">
        <f>IF(AC3236="","",IF(IFERROR(INDEX(ctaMoneda,MATCH(AC3236,ctaNombre,0))&amp;"","DOP")="USD",T3236,S3236))</f>
        <v/>
      </c>
      <c r="AH3236" s="53">
        <f>IF(P3236="","",IF(AND(AD3236&lt;&gt;"",COUNTIFS(tcTipo,AD3236,tcLiq,"Sí")&gt;0),IF(OR(P3236="Gasto",P3236="Transferencia",P3236="Pago tarjeta"),-1,1)*S3236,0)+IF(AND(AE3236&lt;&gt;"",COUNTIFS(tcTipo,AE3236,tcLiq,"Sí")&gt;0),S3236,0))</f>
        <v/>
      </c>
      <c r="AI3236" s="52">
        <f>IF(OR(L3236="",P3236=""),"",IF(COUNTIFS(L$6:L3236,L3236,P$6:P3236,"?*")=1,MAX(AI$5:AI3235)+1,""))</f>
        <v/>
      </c>
    </row>
    <row r="3237">
      <c r="B3237" s="47" t="n"/>
      <c r="C3237" s="48" t="n"/>
      <c r="D3237" s="48" t="n"/>
      <c r="E3237" s="48" t="n"/>
      <c r="F3237" s="48" t="n"/>
      <c r="G3237" s="49" t="n"/>
      <c r="H3237" s="48" t="n"/>
      <c r="I3237" s="50" t="n"/>
      <c r="J3237" s="48" t="n"/>
      <c r="K3237" s="48" t="n"/>
      <c r="L3237" s="48" t="n"/>
      <c r="M3237" s="48" t="n"/>
      <c r="N3237" s="48" t="n"/>
      <c r="O3237" s="51">
        <f>IF(AND(B3237="",G3237="",C3237="",D3237="",J3237=""),"",IF(B3237="","⚠ Falta fecha",IF(G3237="","⚠ Falta monto",IF(Q3237="","⚠ Falta cuenta",IF(ISNA(MATCH(Q3237,ctaNombre,0)),"⚠ Cuenta no registrada",IF(AND(OR(P3237="Gasto",P3237="Reembolso"),D3237=""),"⚠ Falta categoría",IF(AND(D3237&lt;&gt;"",E3237&lt;&gt;"",ISNA(MATCH(D3237&amp;"|"&amp;E3237,catClave,0))),"⚠ Subcategoría no corresponde",IF(AND(OR(P3237="Transferencia",P3237="Pago tarjeta"),K3237=""),"⚠ Falta cuenta destino",IF(AND(K3237&lt;&gt;"",P3237&lt;&gt;"Transferencia",P3237&lt;&gt;"Pago tarjeta"),"⚠ Destino solo aplica a transferencias",IF(AND(K3237&lt;&gt;"",K3237=Q3237),"⚠ Origen igual a destino",IF(AND(K3237&lt;&gt;"",ISNA(MATCH(K3237,ctaNombre,0))),"⚠ Destino no registrado",IF(AND(P3237="Pago tarjeta",AE3237&lt;&gt;"Tarjeta de crédito"),"⚠ El destino debe ser tarjeta de crédito",IF(AND(P3237="Gasto",E3237="Depósitos y retiros"),"⚠ Usa tipo Transferencia",IF(AND(P3237="Resultado trading",AD3237&lt;&gt;"Cuenta de trading"),"⚠ Usa una cuenta de trading",IF(AND(G3237&lt;=0,P3237&lt;&gt;"Ajuste",P3237&lt;&gt;"Resultado trading"),"⚠ El monto debe ser positivo","✓")))))))))))))))</f>
        <v/>
      </c>
      <c r="P3237" s="52">
        <f>IF(OR(B3237="",G3237=""),"",IF(C3237="","Gasto",C3237))</f>
        <v/>
      </c>
      <c r="Q3237" s="52">
        <f>IF(P3237="","",IF(J3237&lt;&gt;"",J3237,CuentaPred&amp;""))</f>
        <v/>
      </c>
      <c r="R3237" s="52">
        <f>IF(P3237="","",IF(ISNUMBER(I3237),I3237,TasaUSD))</f>
        <v/>
      </c>
      <c r="S3237" s="53">
        <f>IF(P3237="","",IF(H3237="USD",G3237*R3237,G3237))</f>
        <v/>
      </c>
      <c r="T3237" s="53">
        <f>IF(P3237="","",IF(H3237="USD",G3237,IF(R3237&gt;0,G3237/R3237,0)))</f>
        <v/>
      </c>
      <c r="U3237" s="53">
        <f>IF(P3237="","",IF(P3237="Gasto",S3237,IF(P3237="Reembolso",-S3237,0)))</f>
        <v/>
      </c>
      <c r="V3237" s="53">
        <f>IF(P3237="","",IF(P3237="Ingreso",S3237,0))</f>
        <v/>
      </c>
      <c r="W3237" s="53">
        <f>IF(P3237="","",IF(P3237="Resultado trading",S3237,0))</f>
        <v/>
      </c>
      <c r="X3237" s="52">
        <f>IF(OR(P3237="Gasto",P3237="Reembolso"),IF(M3237&lt;&gt;"",M3237,IFERROR(INDEX(catClasif,MATCH(D3237&amp;"|"&amp;E3237,catClave,0))&amp;"","Variable")),"")</f>
        <v/>
      </c>
      <c r="Y3237" s="52">
        <f>IF(P3237="","",IFERROR(INDEX(catGrupo,MATCH(D3237&amp;"|"&amp;E3237,catClave,0))&amp;"",""))</f>
        <v/>
      </c>
      <c r="Z3237" s="52">
        <f>IF(P3237="","",WEEKDAY(B3237,2))</f>
        <v/>
      </c>
      <c r="AA3237" s="52">
        <f>IF(P3237="","",IF(AND(P3237="Gasto",X3237="Variable",D3237&lt;&gt;catTrading,S3237&gt;0,S3237&lt;=Umbral),1,0))</f>
        <v/>
      </c>
      <c r="AB3237" s="52">
        <f>IF(OR(P3237="",Q3237=""),"",IFERROR(IF(INDEX(ctaVinc,MATCH(Q3237,ctaNombre,0))&amp;""&lt;&gt;"",INDEX(ctaVinc,MATCH(Q3237,ctaNombre,0))&amp;"",Q3237),Q3237))</f>
        <v/>
      </c>
      <c r="AC3237" s="52">
        <f>IF(OR(K3237="",AND(P3237&lt;&gt;"Transferencia",P3237&lt;&gt;"Pago tarjeta")),"",IFERROR(IF(INDEX(ctaVinc,MATCH(K3237,ctaNombre,0))&amp;""&lt;&gt;"",INDEX(ctaVinc,MATCH(K3237,ctaNombre,0))&amp;"",K3237),K3237))</f>
        <v/>
      </c>
      <c r="AD3237" s="52">
        <f>IF(AB3237="","",IFERROR(INDEX(ctaTipo,MATCH(AB3237,ctaNombre,0))&amp;"",""))</f>
        <v/>
      </c>
      <c r="AE3237" s="52">
        <f>IF(AC3237="","",IFERROR(INDEX(ctaTipo,MATCH(AC3237,ctaNombre,0))&amp;"",""))</f>
        <v/>
      </c>
      <c r="AF3237" s="53">
        <f>IF(OR(P3237="",AB3237=""),"",IF(OR(P3237="Gasto",P3237="Transferencia",P3237="Pago tarjeta"),-1,1)*IF(IFERROR(INDEX(ctaMoneda,MATCH(AB3237,ctaNombre,0))&amp;"","DOP")="USD",T3237,S3237))</f>
        <v/>
      </c>
      <c r="AG3237" s="53">
        <f>IF(AC3237="","",IF(IFERROR(INDEX(ctaMoneda,MATCH(AC3237,ctaNombre,0))&amp;"","DOP")="USD",T3237,S3237))</f>
        <v/>
      </c>
      <c r="AH3237" s="53">
        <f>IF(P3237="","",IF(AND(AD3237&lt;&gt;"",COUNTIFS(tcTipo,AD3237,tcLiq,"Sí")&gt;0),IF(OR(P3237="Gasto",P3237="Transferencia",P3237="Pago tarjeta"),-1,1)*S3237,0)+IF(AND(AE3237&lt;&gt;"",COUNTIFS(tcTipo,AE3237,tcLiq,"Sí")&gt;0),S3237,0))</f>
        <v/>
      </c>
      <c r="AI3237" s="52">
        <f>IF(OR(L3237="",P3237=""),"",IF(COUNTIFS(L$6:L3237,L3237,P$6:P3237,"?*")=1,MAX(AI$5:AI3236)+1,""))</f>
        <v/>
      </c>
    </row>
    <row r="3238">
      <c r="B3238" s="47" t="n"/>
      <c r="C3238" s="48" t="n"/>
      <c r="D3238" s="48" t="n"/>
      <c r="E3238" s="48" t="n"/>
      <c r="F3238" s="48" t="n"/>
      <c r="G3238" s="49" t="n"/>
      <c r="H3238" s="48" t="n"/>
      <c r="I3238" s="50" t="n"/>
      <c r="J3238" s="48" t="n"/>
      <c r="K3238" s="48" t="n"/>
      <c r="L3238" s="48" t="n"/>
      <c r="M3238" s="48" t="n"/>
      <c r="N3238" s="48" t="n"/>
      <c r="O3238" s="51">
        <f>IF(AND(B3238="",G3238="",C3238="",D3238="",J3238=""),"",IF(B3238="","⚠ Falta fecha",IF(G3238="","⚠ Falta monto",IF(Q3238="","⚠ Falta cuenta",IF(ISNA(MATCH(Q3238,ctaNombre,0)),"⚠ Cuenta no registrada",IF(AND(OR(P3238="Gasto",P3238="Reembolso"),D3238=""),"⚠ Falta categoría",IF(AND(D3238&lt;&gt;"",E3238&lt;&gt;"",ISNA(MATCH(D3238&amp;"|"&amp;E3238,catClave,0))),"⚠ Subcategoría no corresponde",IF(AND(OR(P3238="Transferencia",P3238="Pago tarjeta"),K3238=""),"⚠ Falta cuenta destino",IF(AND(K3238&lt;&gt;"",P3238&lt;&gt;"Transferencia",P3238&lt;&gt;"Pago tarjeta"),"⚠ Destino solo aplica a transferencias",IF(AND(K3238&lt;&gt;"",K3238=Q3238),"⚠ Origen igual a destino",IF(AND(K3238&lt;&gt;"",ISNA(MATCH(K3238,ctaNombre,0))),"⚠ Destino no registrado",IF(AND(P3238="Pago tarjeta",AE3238&lt;&gt;"Tarjeta de crédito"),"⚠ El destino debe ser tarjeta de crédito",IF(AND(P3238="Gasto",E3238="Depósitos y retiros"),"⚠ Usa tipo Transferencia",IF(AND(P3238="Resultado trading",AD3238&lt;&gt;"Cuenta de trading"),"⚠ Usa una cuenta de trading",IF(AND(G3238&lt;=0,P3238&lt;&gt;"Ajuste",P3238&lt;&gt;"Resultado trading"),"⚠ El monto debe ser positivo","✓")))))))))))))))</f>
        <v/>
      </c>
      <c r="P3238" s="52">
        <f>IF(OR(B3238="",G3238=""),"",IF(C3238="","Gasto",C3238))</f>
        <v/>
      </c>
      <c r="Q3238" s="52">
        <f>IF(P3238="","",IF(J3238&lt;&gt;"",J3238,CuentaPred&amp;""))</f>
        <v/>
      </c>
      <c r="R3238" s="52">
        <f>IF(P3238="","",IF(ISNUMBER(I3238),I3238,TasaUSD))</f>
        <v/>
      </c>
      <c r="S3238" s="53">
        <f>IF(P3238="","",IF(H3238="USD",G3238*R3238,G3238))</f>
        <v/>
      </c>
      <c r="T3238" s="53">
        <f>IF(P3238="","",IF(H3238="USD",G3238,IF(R3238&gt;0,G3238/R3238,0)))</f>
        <v/>
      </c>
      <c r="U3238" s="53">
        <f>IF(P3238="","",IF(P3238="Gasto",S3238,IF(P3238="Reembolso",-S3238,0)))</f>
        <v/>
      </c>
      <c r="V3238" s="53">
        <f>IF(P3238="","",IF(P3238="Ingreso",S3238,0))</f>
        <v/>
      </c>
      <c r="W3238" s="53">
        <f>IF(P3238="","",IF(P3238="Resultado trading",S3238,0))</f>
        <v/>
      </c>
      <c r="X3238" s="52">
        <f>IF(OR(P3238="Gasto",P3238="Reembolso"),IF(M3238&lt;&gt;"",M3238,IFERROR(INDEX(catClasif,MATCH(D3238&amp;"|"&amp;E3238,catClave,0))&amp;"","Variable")),"")</f>
        <v/>
      </c>
      <c r="Y3238" s="52">
        <f>IF(P3238="","",IFERROR(INDEX(catGrupo,MATCH(D3238&amp;"|"&amp;E3238,catClave,0))&amp;"",""))</f>
        <v/>
      </c>
      <c r="Z3238" s="52">
        <f>IF(P3238="","",WEEKDAY(B3238,2))</f>
        <v/>
      </c>
      <c r="AA3238" s="52">
        <f>IF(P3238="","",IF(AND(P3238="Gasto",X3238="Variable",D3238&lt;&gt;catTrading,S3238&gt;0,S3238&lt;=Umbral),1,0))</f>
        <v/>
      </c>
      <c r="AB3238" s="52">
        <f>IF(OR(P3238="",Q3238=""),"",IFERROR(IF(INDEX(ctaVinc,MATCH(Q3238,ctaNombre,0))&amp;""&lt;&gt;"",INDEX(ctaVinc,MATCH(Q3238,ctaNombre,0))&amp;"",Q3238),Q3238))</f>
        <v/>
      </c>
      <c r="AC3238" s="52">
        <f>IF(OR(K3238="",AND(P3238&lt;&gt;"Transferencia",P3238&lt;&gt;"Pago tarjeta")),"",IFERROR(IF(INDEX(ctaVinc,MATCH(K3238,ctaNombre,0))&amp;""&lt;&gt;"",INDEX(ctaVinc,MATCH(K3238,ctaNombre,0))&amp;"",K3238),K3238))</f>
        <v/>
      </c>
      <c r="AD3238" s="52">
        <f>IF(AB3238="","",IFERROR(INDEX(ctaTipo,MATCH(AB3238,ctaNombre,0))&amp;"",""))</f>
        <v/>
      </c>
      <c r="AE3238" s="52">
        <f>IF(AC3238="","",IFERROR(INDEX(ctaTipo,MATCH(AC3238,ctaNombre,0))&amp;"",""))</f>
        <v/>
      </c>
      <c r="AF3238" s="53">
        <f>IF(OR(P3238="",AB3238=""),"",IF(OR(P3238="Gasto",P3238="Transferencia",P3238="Pago tarjeta"),-1,1)*IF(IFERROR(INDEX(ctaMoneda,MATCH(AB3238,ctaNombre,0))&amp;"","DOP")="USD",T3238,S3238))</f>
        <v/>
      </c>
      <c r="AG3238" s="53">
        <f>IF(AC3238="","",IF(IFERROR(INDEX(ctaMoneda,MATCH(AC3238,ctaNombre,0))&amp;"","DOP")="USD",T3238,S3238))</f>
        <v/>
      </c>
      <c r="AH3238" s="53">
        <f>IF(P3238="","",IF(AND(AD3238&lt;&gt;"",COUNTIFS(tcTipo,AD3238,tcLiq,"Sí")&gt;0),IF(OR(P3238="Gasto",P3238="Transferencia",P3238="Pago tarjeta"),-1,1)*S3238,0)+IF(AND(AE3238&lt;&gt;"",COUNTIFS(tcTipo,AE3238,tcLiq,"Sí")&gt;0),S3238,0))</f>
        <v/>
      </c>
      <c r="AI3238" s="52">
        <f>IF(OR(L3238="",P3238=""),"",IF(COUNTIFS(L$6:L3238,L3238,P$6:P3238,"?*")=1,MAX(AI$5:AI3237)+1,""))</f>
        <v/>
      </c>
    </row>
    <row r="3239">
      <c r="B3239" s="47" t="n"/>
      <c r="C3239" s="48" t="n"/>
      <c r="D3239" s="48" t="n"/>
      <c r="E3239" s="48" t="n"/>
      <c r="F3239" s="48" t="n"/>
      <c r="G3239" s="49" t="n"/>
      <c r="H3239" s="48" t="n"/>
      <c r="I3239" s="50" t="n"/>
      <c r="J3239" s="48" t="n"/>
      <c r="K3239" s="48" t="n"/>
      <c r="L3239" s="48" t="n"/>
      <c r="M3239" s="48" t="n"/>
      <c r="N3239" s="48" t="n"/>
      <c r="O3239" s="51">
        <f>IF(AND(B3239="",G3239="",C3239="",D3239="",J3239=""),"",IF(B3239="","⚠ Falta fecha",IF(G3239="","⚠ Falta monto",IF(Q3239="","⚠ Falta cuenta",IF(ISNA(MATCH(Q3239,ctaNombre,0)),"⚠ Cuenta no registrada",IF(AND(OR(P3239="Gasto",P3239="Reembolso"),D3239=""),"⚠ Falta categoría",IF(AND(D3239&lt;&gt;"",E3239&lt;&gt;"",ISNA(MATCH(D3239&amp;"|"&amp;E3239,catClave,0))),"⚠ Subcategoría no corresponde",IF(AND(OR(P3239="Transferencia",P3239="Pago tarjeta"),K3239=""),"⚠ Falta cuenta destino",IF(AND(K3239&lt;&gt;"",P3239&lt;&gt;"Transferencia",P3239&lt;&gt;"Pago tarjeta"),"⚠ Destino solo aplica a transferencias",IF(AND(K3239&lt;&gt;"",K3239=Q3239),"⚠ Origen igual a destino",IF(AND(K3239&lt;&gt;"",ISNA(MATCH(K3239,ctaNombre,0))),"⚠ Destino no registrado",IF(AND(P3239="Pago tarjeta",AE3239&lt;&gt;"Tarjeta de crédito"),"⚠ El destino debe ser tarjeta de crédito",IF(AND(P3239="Gasto",E3239="Depósitos y retiros"),"⚠ Usa tipo Transferencia",IF(AND(P3239="Resultado trading",AD3239&lt;&gt;"Cuenta de trading"),"⚠ Usa una cuenta de trading",IF(AND(G3239&lt;=0,P3239&lt;&gt;"Ajuste",P3239&lt;&gt;"Resultado trading"),"⚠ El monto debe ser positivo","✓")))))))))))))))</f>
        <v/>
      </c>
      <c r="P3239" s="52">
        <f>IF(OR(B3239="",G3239=""),"",IF(C3239="","Gasto",C3239))</f>
        <v/>
      </c>
      <c r="Q3239" s="52">
        <f>IF(P3239="","",IF(J3239&lt;&gt;"",J3239,CuentaPred&amp;""))</f>
        <v/>
      </c>
      <c r="R3239" s="52">
        <f>IF(P3239="","",IF(ISNUMBER(I3239),I3239,TasaUSD))</f>
        <v/>
      </c>
      <c r="S3239" s="53">
        <f>IF(P3239="","",IF(H3239="USD",G3239*R3239,G3239))</f>
        <v/>
      </c>
      <c r="T3239" s="53">
        <f>IF(P3239="","",IF(H3239="USD",G3239,IF(R3239&gt;0,G3239/R3239,0)))</f>
        <v/>
      </c>
      <c r="U3239" s="53">
        <f>IF(P3239="","",IF(P3239="Gasto",S3239,IF(P3239="Reembolso",-S3239,0)))</f>
        <v/>
      </c>
      <c r="V3239" s="53">
        <f>IF(P3239="","",IF(P3239="Ingreso",S3239,0))</f>
        <v/>
      </c>
      <c r="W3239" s="53">
        <f>IF(P3239="","",IF(P3239="Resultado trading",S3239,0))</f>
        <v/>
      </c>
      <c r="X3239" s="52">
        <f>IF(OR(P3239="Gasto",P3239="Reembolso"),IF(M3239&lt;&gt;"",M3239,IFERROR(INDEX(catClasif,MATCH(D3239&amp;"|"&amp;E3239,catClave,0))&amp;"","Variable")),"")</f>
        <v/>
      </c>
      <c r="Y3239" s="52">
        <f>IF(P3239="","",IFERROR(INDEX(catGrupo,MATCH(D3239&amp;"|"&amp;E3239,catClave,0))&amp;"",""))</f>
        <v/>
      </c>
      <c r="Z3239" s="52">
        <f>IF(P3239="","",WEEKDAY(B3239,2))</f>
        <v/>
      </c>
      <c r="AA3239" s="52">
        <f>IF(P3239="","",IF(AND(P3239="Gasto",X3239="Variable",D3239&lt;&gt;catTrading,S3239&gt;0,S3239&lt;=Umbral),1,0))</f>
        <v/>
      </c>
      <c r="AB3239" s="52">
        <f>IF(OR(P3239="",Q3239=""),"",IFERROR(IF(INDEX(ctaVinc,MATCH(Q3239,ctaNombre,0))&amp;""&lt;&gt;"",INDEX(ctaVinc,MATCH(Q3239,ctaNombre,0))&amp;"",Q3239),Q3239))</f>
        <v/>
      </c>
      <c r="AC3239" s="52">
        <f>IF(OR(K3239="",AND(P3239&lt;&gt;"Transferencia",P3239&lt;&gt;"Pago tarjeta")),"",IFERROR(IF(INDEX(ctaVinc,MATCH(K3239,ctaNombre,0))&amp;""&lt;&gt;"",INDEX(ctaVinc,MATCH(K3239,ctaNombre,0))&amp;"",K3239),K3239))</f>
        <v/>
      </c>
      <c r="AD3239" s="52">
        <f>IF(AB3239="","",IFERROR(INDEX(ctaTipo,MATCH(AB3239,ctaNombre,0))&amp;"",""))</f>
        <v/>
      </c>
      <c r="AE3239" s="52">
        <f>IF(AC3239="","",IFERROR(INDEX(ctaTipo,MATCH(AC3239,ctaNombre,0))&amp;"",""))</f>
        <v/>
      </c>
      <c r="AF3239" s="53">
        <f>IF(OR(P3239="",AB3239=""),"",IF(OR(P3239="Gasto",P3239="Transferencia",P3239="Pago tarjeta"),-1,1)*IF(IFERROR(INDEX(ctaMoneda,MATCH(AB3239,ctaNombre,0))&amp;"","DOP")="USD",T3239,S3239))</f>
        <v/>
      </c>
      <c r="AG3239" s="53">
        <f>IF(AC3239="","",IF(IFERROR(INDEX(ctaMoneda,MATCH(AC3239,ctaNombre,0))&amp;"","DOP")="USD",T3239,S3239))</f>
        <v/>
      </c>
      <c r="AH3239" s="53">
        <f>IF(P3239="","",IF(AND(AD3239&lt;&gt;"",COUNTIFS(tcTipo,AD3239,tcLiq,"Sí")&gt;0),IF(OR(P3239="Gasto",P3239="Transferencia",P3239="Pago tarjeta"),-1,1)*S3239,0)+IF(AND(AE3239&lt;&gt;"",COUNTIFS(tcTipo,AE3239,tcLiq,"Sí")&gt;0),S3239,0))</f>
        <v/>
      </c>
      <c r="AI3239" s="52">
        <f>IF(OR(L3239="",P3239=""),"",IF(COUNTIFS(L$6:L3239,L3239,P$6:P3239,"?*")=1,MAX(AI$5:AI3238)+1,""))</f>
        <v/>
      </c>
    </row>
    <row r="3240">
      <c r="B3240" s="47" t="n"/>
      <c r="C3240" s="48" t="n"/>
      <c r="D3240" s="48" t="n"/>
      <c r="E3240" s="48" t="n"/>
      <c r="F3240" s="48" t="n"/>
      <c r="G3240" s="49" t="n"/>
      <c r="H3240" s="48" t="n"/>
      <c r="I3240" s="50" t="n"/>
      <c r="J3240" s="48" t="n"/>
      <c r="K3240" s="48" t="n"/>
      <c r="L3240" s="48" t="n"/>
      <c r="M3240" s="48" t="n"/>
      <c r="N3240" s="48" t="n"/>
      <c r="O3240" s="51">
        <f>IF(AND(B3240="",G3240="",C3240="",D3240="",J3240=""),"",IF(B3240="","⚠ Falta fecha",IF(G3240="","⚠ Falta monto",IF(Q3240="","⚠ Falta cuenta",IF(ISNA(MATCH(Q3240,ctaNombre,0)),"⚠ Cuenta no registrada",IF(AND(OR(P3240="Gasto",P3240="Reembolso"),D3240=""),"⚠ Falta categoría",IF(AND(D3240&lt;&gt;"",E3240&lt;&gt;"",ISNA(MATCH(D3240&amp;"|"&amp;E3240,catClave,0))),"⚠ Subcategoría no corresponde",IF(AND(OR(P3240="Transferencia",P3240="Pago tarjeta"),K3240=""),"⚠ Falta cuenta destino",IF(AND(K3240&lt;&gt;"",P3240&lt;&gt;"Transferencia",P3240&lt;&gt;"Pago tarjeta"),"⚠ Destino solo aplica a transferencias",IF(AND(K3240&lt;&gt;"",K3240=Q3240),"⚠ Origen igual a destino",IF(AND(K3240&lt;&gt;"",ISNA(MATCH(K3240,ctaNombre,0))),"⚠ Destino no registrado",IF(AND(P3240="Pago tarjeta",AE3240&lt;&gt;"Tarjeta de crédito"),"⚠ El destino debe ser tarjeta de crédito",IF(AND(P3240="Gasto",E3240="Depósitos y retiros"),"⚠ Usa tipo Transferencia",IF(AND(P3240="Resultado trading",AD3240&lt;&gt;"Cuenta de trading"),"⚠ Usa una cuenta de trading",IF(AND(G3240&lt;=0,P3240&lt;&gt;"Ajuste",P3240&lt;&gt;"Resultado trading"),"⚠ El monto debe ser positivo","✓")))))))))))))))</f>
        <v/>
      </c>
      <c r="P3240" s="52">
        <f>IF(OR(B3240="",G3240=""),"",IF(C3240="","Gasto",C3240))</f>
        <v/>
      </c>
      <c r="Q3240" s="52">
        <f>IF(P3240="","",IF(J3240&lt;&gt;"",J3240,CuentaPred&amp;""))</f>
        <v/>
      </c>
      <c r="R3240" s="52">
        <f>IF(P3240="","",IF(ISNUMBER(I3240),I3240,TasaUSD))</f>
        <v/>
      </c>
      <c r="S3240" s="53">
        <f>IF(P3240="","",IF(H3240="USD",G3240*R3240,G3240))</f>
        <v/>
      </c>
      <c r="T3240" s="53">
        <f>IF(P3240="","",IF(H3240="USD",G3240,IF(R3240&gt;0,G3240/R3240,0)))</f>
        <v/>
      </c>
      <c r="U3240" s="53">
        <f>IF(P3240="","",IF(P3240="Gasto",S3240,IF(P3240="Reembolso",-S3240,0)))</f>
        <v/>
      </c>
      <c r="V3240" s="53">
        <f>IF(P3240="","",IF(P3240="Ingreso",S3240,0))</f>
        <v/>
      </c>
      <c r="W3240" s="53">
        <f>IF(P3240="","",IF(P3240="Resultado trading",S3240,0))</f>
        <v/>
      </c>
      <c r="X3240" s="52">
        <f>IF(OR(P3240="Gasto",P3240="Reembolso"),IF(M3240&lt;&gt;"",M3240,IFERROR(INDEX(catClasif,MATCH(D3240&amp;"|"&amp;E3240,catClave,0))&amp;"","Variable")),"")</f>
        <v/>
      </c>
      <c r="Y3240" s="52">
        <f>IF(P3240="","",IFERROR(INDEX(catGrupo,MATCH(D3240&amp;"|"&amp;E3240,catClave,0))&amp;"",""))</f>
        <v/>
      </c>
      <c r="Z3240" s="52">
        <f>IF(P3240="","",WEEKDAY(B3240,2))</f>
        <v/>
      </c>
      <c r="AA3240" s="52">
        <f>IF(P3240="","",IF(AND(P3240="Gasto",X3240="Variable",D3240&lt;&gt;catTrading,S3240&gt;0,S3240&lt;=Umbral),1,0))</f>
        <v/>
      </c>
      <c r="AB3240" s="52">
        <f>IF(OR(P3240="",Q3240=""),"",IFERROR(IF(INDEX(ctaVinc,MATCH(Q3240,ctaNombre,0))&amp;""&lt;&gt;"",INDEX(ctaVinc,MATCH(Q3240,ctaNombre,0))&amp;"",Q3240),Q3240))</f>
        <v/>
      </c>
      <c r="AC3240" s="52">
        <f>IF(OR(K3240="",AND(P3240&lt;&gt;"Transferencia",P3240&lt;&gt;"Pago tarjeta")),"",IFERROR(IF(INDEX(ctaVinc,MATCH(K3240,ctaNombre,0))&amp;""&lt;&gt;"",INDEX(ctaVinc,MATCH(K3240,ctaNombre,0))&amp;"",K3240),K3240))</f>
        <v/>
      </c>
      <c r="AD3240" s="52">
        <f>IF(AB3240="","",IFERROR(INDEX(ctaTipo,MATCH(AB3240,ctaNombre,0))&amp;"",""))</f>
        <v/>
      </c>
      <c r="AE3240" s="52">
        <f>IF(AC3240="","",IFERROR(INDEX(ctaTipo,MATCH(AC3240,ctaNombre,0))&amp;"",""))</f>
        <v/>
      </c>
      <c r="AF3240" s="53">
        <f>IF(OR(P3240="",AB3240=""),"",IF(OR(P3240="Gasto",P3240="Transferencia",P3240="Pago tarjeta"),-1,1)*IF(IFERROR(INDEX(ctaMoneda,MATCH(AB3240,ctaNombre,0))&amp;"","DOP")="USD",T3240,S3240))</f>
        <v/>
      </c>
      <c r="AG3240" s="53">
        <f>IF(AC3240="","",IF(IFERROR(INDEX(ctaMoneda,MATCH(AC3240,ctaNombre,0))&amp;"","DOP")="USD",T3240,S3240))</f>
        <v/>
      </c>
      <c r="AH3240" s="53">
        <f>IF(P3240="","",IF(AND(AD3240&lt;&gt;"",COUNTIFS(tcTipo,AD3240,tcLiq,"Sí")&gt;0),IF(OR(P3240="Gasto",P3240="Transferencia",P3240="Pago tarjeta"),-1,1)*S3240,0)+IF(AND(AE3240&lt;&gt;"",COUNTIFS(tcTipo,AE3240,tcLiq,"Sí")&gt;0),S3240,0))</f>
        <v/>
      </c>
      <c r="AI3240" s="52">
        <f>IF(OR(L3240="",P3240=""),"",IF(COUNTIFS(L$6:L3240,L3240,P$6:P3240,"?*")=1,MAX(AI$5:AI3239)+1,""))</f>
        <v/>
      </c>
    </row>
    <row r="3241">
      <c r="B3241" s="47" t="n"/>
      <c r="C3241" s="48" t="n"/>
      <c r="D3241" s="48" t="n"/>
      <c r="E3241" s="48" t="n"/>
      <c r="F3241" s="48" t="n"/>
      <c r="G3241" s="49" t="n"/>
      <c r="H3241" s="48" t="n"/>
      <c r="I3241" s="50" t="n"/>
      <c r="J3241" s="48" t="n"/>
      <c r="K3241" s="48" t="n"/>
      <c r="L3241" s="48" t="n"/>
      <c r="M3241" s="48" t="n"/>
      <c r="N3241" s="48" t="n"/>
      <c r="O3241" s="51">
        <f>IF(AND(B3241="",G3241="",C3241="",D3241="",J3241=""),"",IF(B3241="","⚠ Falta fecha",IF(G3241="","⚠ Falta monto",IF(Q3241="","⚠ Falta cuenta",IF(ISNA(MATCH(Q3241,ctaNombre,0)),"⚠ Cuenta no registrada",IF(AND(OR(P3241="Gasto",P3241="Reembolso"),D3241=""),"⚠ Falta categoría",IF(AND(D3241&lt;&gt;"",E3241&lt;&gt;"",ISNA(MATCH(D3241&amp;"|"&amp;E3241,catClave,0))),"⚠ Subcategoría no corresponde",IF(AND(OR(P3241="Transferencia",P3241="Pago tarjeta"),K3241=""),"⚠ Falta cuenta destino",IF(AND(K3241&lt;&gt;"",P3241&lt;&gt;"Transferencia",P3241&lt;&gt;"Pago tarjeta"),"⚠ Destino solo aplica a transferencias",IF(AND(K3241&lt;&gt;"",K3241=Q3241),"⚠ Origen igual a destino",IF(AND(K3241&lt;&gt;"",ISNA(MATCH(K3241,ctaNombre,0))),"⚠ Destino no registrado",IF(AND(P3241="Pago tarjeta",AE3241&lt;&gt;"Tarjeta de crédito"),"⚠ El destino debe ser tarjeta de crédito",IF(AND(P3241="Gasto",E3241="Depósitos y retiros"),"⚠ Usa tipo Transferencia",IF(AND(P3241="Resultado trading",AD3241&lt;&gt;"Cuenta de trading"),"⚠ Usa una cuenta de trading",IF(AND(G3241&lt;=0,P3241&lt;&gt;"Ajuste",P3241&lt;&gt;"Resultado trading"),"⚠ El monto debe ser positivo","✓")))))))))))))))</f>
        <v/>
      </c>
      <c r="P3241" s="52">
        <f>IF(OR(B3241="",G3241=""),"",IF(C3241="","Gasto",C3241))</f>
        <v/>
      </c>
      <c r="Q3241" s="52">
        <f>IF(P3241="","",IF(J3241&lt;&gt;"",J3241,CuentaPred&amp;""))</f>
        <v/>
      </c>
      <c r="R3241" s="52">
        <f>IF(P3241="","",IF(ISNUMBER(I3241),I3241,TasaUSD))</f>
        <v/>
      </c>
      <c r="S3241" s="53">
        <f>IF(P3241="","",IF(H3241="USD",G3241*R3241,G3241))</f>
        <v/>
      </c>
      <c r="T3241" s="53">
        <f>IF(P3241="","",IF(H3241="USD",G3241,IF(R3241&gt;0,G3241/R3241,0)))</f>
        <v/>
      </c>
      <c r="U3241" s="53">
        <f>IF(P3241="","",IF(P3241="Gasto",S3241,IF(P3241="Reembolso",-S3241,0)))</f>
        <v/>
      </c>
      <c r="V3241" s="53">
        <f>IF(P3241="","",IF(P3241="Ingreso",S3241,0))</f>
        <v/>
      </c>
      <c r="W3241" s="53">
        <f>IF(P3241="","",IF(P3241="Resultado trading",S3241,0))</f>
        <v/>
      </c>
      <c r="X3241" s="52">
        <f>IF(OR(P3241="Gasto",P3241="Reembolso"),IF(M3241&lt;&gt;"",M3241,IFERROR(INDEX(catClasif,MATCH(D3241&amp;"|"&amp;E3241,catClave,0))&amp;"","Variable")),"")</f>
        <v/>
      </c>
      <c r="Y3241" s="52">
        <f>IF(P3241="","",IFERROR(INDEX(catGrupo,MATCH(D3241&amp;"|"&amp;E3241,catClave,0))&amp;"",""))</f>
        <v/>
      </c>
      <c r="Z3241" s="52">
        <f>IF(P3241="","",WEEKDAY(B3241,2))</f>
        <v/>
      </c>
      <c r="AA3241" s="52">
        <f>IF(P3241="","",IF(AND(P3241="Gasto",X3241="Variable",D3241&lt;&gt;catTrading,S3241&gt;0,S3241&lt;=Umbral),1,0))</f>
        <v/>
      </c>
      <c r="AB3241" s="52">
        <f>IF(OR(P3241="",Q3241=""),"",IFERROR(IF(INDEX(ctaVinc,MATCH(Q3241,ctaNombre,0))&amp;""&lt;&gt;"",INDEX(ctaVinc,MATCH(Q3241,ctaNombre,0))&amp;"",Q3241),Q3241))</f>
        <v/>
      </c>
      <c r="AC3241" s="52">
        <f>IF(OR(K3241="",AND(P3241&lt;&gt;"Transferencia",P3241&lt;&gt;"Pago tarjeta")),"",IFERROR(IF(INDEX(ctaVinc,MATCH(K3241,ctaNombre,0))&amp;""&lt;&gt;"",INDEX(ctaVinc,MATCH(K3241,ctaNombre,0))&amp;"",K3241),K3241))</f>
        <v/>
      </c>
      <c r="AD3241" s="52">
        <f>IF(AB3241="","",IFERROR(INDEX(ctaTipo,MATCH(AB3241,ctaNombre,0))&amp;"",""))</f>
        <v/>
      </c>
      <c r="AE3241" s="52">
        <f>IF(AC3241="","",IFERROR(INDEX(ctaTipo,MATCH(AC3241,ctaNombre,0))&amp;"",""))</f>
        <v/>
      </c>
      <c r="AF3241" s="53">
        <f>IF(OR(P3241="",AB3241=""),"",IF(OR(P3241="Gasto",P3241="Transferencia",P3241="Pago tarjeta"),-1,1)*IF(IFERROR(INDEX(ctaMoneda,MATCH(AB3241,ctaNombre,0))&amp;"","DOP")="USD",T3241,S3241))</f>
        <v/>
      </c>
      <c r="AG3241" s="53">
        <f>IF(AC3241="","",IF(IFERROR(INDEX(ctaMoneda,MATCH(AC3241,ctaNombre,0))&amp;"","DOP")="USD",T3241,S3241))</f>
        <v/>
      </c>
      <c r="AH3241" s="53">
        <f>IF(P3241="","",IF(AND(AD3241&lt;&gt;"",COUNTIFS(tcTipo,AD3241,tcLiq,"Sí")&gt;0),IF(OR(P3241="Gasto",P3241="Transferencia",P3241="Pago tarjeta"),-1,1)*S3241,0)+IF(AND(AE3241&lt;&gt;"",COUNTIFS(tcTipo,AE3241,tcLiq,"Sí")&gt;0),S3241,0))</f>
        <v/>
      </c>
      <c r="AI3241" s="52">
        <f>IF(OR(L3241="",P3241=""),"",IF(COUNTIFS(L$6:L3241,L3241,P$6:P3241,"?*")=1,MAX(AI$5:AI3240)+1,""))</f>
        <v/>
      </c>
    </row>
    <row r="3242">
      <c r="B3242" s="47" t="n"/>
      <c r="C3242" s="48" t="n"/>
      <c r="D3242" s="48" t="n"/>
      <c r="E3242" s="48" t="n"/>
      <c r="F3242" s="48" t="n"/>
      <c r="G3242" s="49" t="n"/>
      <c r="H3242" s="48" t="n"/>
      <c r="I3242" s="50" t="n"/>
      <c r="J3242" s="48" t="n"/>
      <c r="K3242" s="48" t="n"/>
      <c r="L3242" s="48" t="n"/>
      <c r="M3242" s="48" t="n"/>
      <c r="N3242" s="48" t="n"/>
      <c r="O3242" s="51">
        <f>IF(AND(B3242="",G3242="",C3242="",D3242="",J3242=""),"",IF(B3242="","⚠ Falta fecha",IF(G3242="","⚠ Falta monto",IF(Q3242="","⚠ Falta cuenta",IF(ISNA(MATCH(Q3242,ctaNombre,0)),"⚠ Cuenta no registrada",IF(AND(OR(P3242="Gasto",P3242="Reembolso"),D3242=""),"⚠ Falta categoría",IF(AND(D3242&lt;&gt;"",E3242&lt;&gt;"",ISNA(MATCH(D3242&amp;"|"&amp;E3242,catClave,0))),"⚠ Subcategoría no corresponde",IF(AND(OR(P3242="Transferencia",P3242="Pago tarjeta"),K3242=""),"⚠ Falta cuenta destino",IF(AND(K3242&lt;&gt;"",P3242&lt;&gt;"Transferencia",P3242&lt;&gt;"Pago tarjeta"),"⚠ Destino solo aplica a transferencias",IF(AND(K3242&lt;&gt;"",K3242=Q3242),"⚠ Origen igual a destino",IF(AND(K3242&lt;&gt;"",ISNA(MATCH(K3242,ctaNombre,0))),"⚠ Destino no registrado",IF(AND(P3242="Pago tarjeta",AE3242&lt;&gt;"Tarjeta de crédito"),"⚠ El destino debe ser tarjeta de crédito",IF(AND(P3242="Gasto",E3242="Depósitos y retiros"),"⚠ Usa tipo Transferencia",IF(AND(P3242="Resultado trading",AD3242&lt;&gt;"Cuenta de trading"),"⚠ Usa una cuenta de trading",IF(AND(G3242&lt;=0,P3242&lt;&gt;"Ajuste",P3242&lt;&gt;"Resultado trading"),"⚠ El monto debe ser positivo","✓")))))))))))))))</f>
        <v/>
      </c>
      <c r="P3242" s="52">
        <f>IF(OR(B3242="",G3242=""),"",IF(C3242="","Gasto",C3242))</f>
        <v/>
      </c>
      <c r="Q3242" s="52">
        <f>IF(P3242="","",IF(J3242&lt;&gt;"",J3242,CuentaPred&amp;""))</f>
        <v/>
      </c>
      <c r="R3242" s="52">
        <f>IF(P3242="","",IF(ISNUMBER(I3242),I3242,TasaUSD))</f>
        <v/>
      </c>
      <c r="S3242" s="53">
        <f>IF(P3242="","",IF(H3242="USD",G3242*R3242,G3242))</f>
        <v/>
      </c>
      <c r="T3242" s="53">
        <f>IF(P3242="","",IF(H3242="USD",G3242,IF(R3242&gt;0,G3242/R3242,0)))</f>
        <v/>
      </c>
      <c r="U3242" s="53">
        <f>IF(P3242="","",IF(P3242="Gasto",S3242,IF(P3242="Reembolso",-S3242,0)))</f>
        <v/>
      </c>
      <c r="V3242" s="53">
        <f>IF(P3242="","",IF(P3242="Ingreso",S3242,0))</f>
        <v/>
      </c>
      <c r="W3242" s="53">
        <f>IF(P3242="","",IF(P3242="Resultado trading",S3242,0))</f>
        <v/>
      </c>
      <c r="X3242" s="52">
        <f>IF(OR(P3242="Gasto",P3242="Reembolso"),IF(M3242&lt;&gt;"",M3242,IFERROR(INDEX(catClasif,MATCH(D3242&amp;"|"&amp;E3242,catClave,0))&amp;"","Variable")),"")</f>
        <v/>
      </c>
      <c r="Y3242" s="52">
        <f>IF(P3242="","",IFERROR(INDEX(catGrupo,MATCH(D3242&amp;"|"&amp;E3242,catClave,0))&amp;"",""))</f>
        <v/>
      </c>
      <c r="Z3242" s="52">
        <f>IF(P3242="","",WEEKDAY(B3242,2))</f>
        <v/>
      </c>
      <c r="AA3242" s="52">
        <f>IF(P3242="","",IF(AND(P3242="Gasto",X3242="Variable",D3242&lt;&gt;catTrading,S3242&gt;0,S3242&lt;=Umbral),1,0))</f>
        <v/>
      </c>
      <c r="AB3242" s="52">
        <f>IF(OR(P3242="",Q3242=""),"",IFERROR(IF(INDEX(ctaVinc,MATCH(Q3242,ctaNombre,0))&amp;""&lt;&gt;"",INDEX(ctaVinc,MATCH(Q3242,ctaNombre,0))&amp;"",Q3242),Q3242))</f>
        <v/>
      </c>
      <c r="AC3242" s="52">
        <f>IF(OR(K3242="",AND(P3242&lt;&gt;"Transferencia",P3242&lt;&gt;"Pago tarjeta")),"",IFERROR(IF(INDEX(ctaVinc,MATCH(K3242,ctaNombre,0))&amp;""&lt;&gt;"",INDEX(ctaVinc,MATCH(K3242,ctaNombre,0))&amp;"",K3242),K3242))</f>
        <v/>
      </c>
      <c r="AD3242" s="52">
        <f>IF(AB3242="","",IFERROR(INDEX(ctaTipo,MATCH(AB3242,ctaNombre,0))&amp;"",""))</f>
        <v/>
      </c>
      <c r="AE3242" s="52">
        <f>IF(AC3242="","",IFERROR(INDEX(ctaTipo,MATCH(AC3242,ctaNombre,0))&amp;"",""))</f>
        <v/>
      </c>
      <c r="AF3242" s="53">
        <f>IF(OR(P3242="",AB3242=""),"",IF(OR(P3242="Gasto",P3242="Transferencia",P3242="Pago tarjeta"),-1,1)*IF(IFERROR(INDEX(ctaMoneda,MATCH(AB3242,ctaNombre,0))&amp;"","DOP")="USD",T3242,S3242))</f>
        <v/>
      </c>
      <c r="AG3242" s="53">
        <f>IF(AC3242="","",IF(IFERROR(INDEX(ctaMoneda,MATCH(AC3242,ctaNombre,0))&amp;"","DOP")="USD",T3242,S3242))</f>
        <v/>
      </c>
      <c r="AH3242" s="53">
        <f>IF(P3242="","",IF(AND(AD3242&lt;&gt;"",COUNTIFS(tcTipo,AD3242,tcLiq,"Sí")&gt;0),IF(OR(P3242="Gasto",P3242="Transferencia",P3242="Pago tarjeta"),-1,1)*S3242,0)+IF(AND(AE3242&lt;&gt;"",COUNTIFS(tcTipo,AE3242,tcLiq,"Sí")&gt;0),S3242,0))</f>
        <v/>
      </c>
      <c r="AI3242" s="52">
        <f>IF(OR(L3242="",P3242=""),"",IF(COUNTIFS(L$6:L3242,L3242,P$6:P3242,"?*")=1,MAX(AI$5:AI3241)+1,""))</f>
        <v/>
      </c>
    </row>
    <row r="3243">
      <c r="B3243" s="47" t="n"/>
      <c r="C3243" s="48" t="n"/>
      <c r="D3243" s="48" t="n"/>
      <c r="E3243" s="48" t="n"/>
      <c r="F3243" s="48" t="n"/>
      <c r="G3243" s="49" t="n"/>
      <c r="H3243" s="48" t="n"/>
      <c r="I3243" s="50" t="n"/>
      <c r="J3243" s="48" t="n"/>
      <c r="K3243" s="48" t="n"/>
      <c r="L3243" s="48" t="n"/>
      <c r="M3243" s="48" t="n"/>
      <c r="N3243" s="48" t="n"/>
      <c r="O3243" s="51">
        <f>IF(AND(B3243="",G3243="",C3243="",D3243="",J3243=""),"",IF(B3243="","⚠ Falta fecha",IF(G3243="","⚠ Falta monto",IF(Q3243="","⚠ Falta cuenta",IF(ISNA(MATCH(Q3243,ctaNombre,0)),"⚠ Cuenta no registrada",IF(AND(OR(P3243="Gasto",P3243="Reembolso"),D3243=""),"⚠ Falta categoría",IF(AND(D3243&lt;&gt;"",E3243&lt;&gt;"",ISNA(MATCH(D3243&amp;"|"&amp;E3243,catClave,0))),"⚠ Subcategoría no corresponde",IF(AND(OR(P3243="Transferencia",P3243="Pago tarjeta"),K3243=""),"⚠ Falta cuenta destino",IF(AND(K3243&lt;&gt;"",P3243&lt;&gt;"Transferencia",P3243&lt;&gt;"Pago tarjeta"),"⚠ Destino solo aplica a transferencias",IF(AND(K3243&lt;&gt;"",K3243=Q3243),"⚠ Origen igual a destino",IF(AND(K3243&lt;&gt;"",ISNA(MATCH(K3243,ctaNombre,0))),"⚠ Destino no registrado",IF(AND(P3243="Pago tarjeta",AE3243&lt;&gt;"Tarjeta de crédito"),"⚠ El destino debe ser tarjeta de crédito",IF(AND(P3243="Gasto",E3243="Depósitos y retiros"),"⚠ Usa tipo Transferencia",IF(AND(P3243="Resultado trading",AD3243&lt;&gt;"Cuenta de trading"),"⚠ Usa una cuenta de trading",IF(AND(G3243&lt;=0,P3243&lt;&gt;"Ajuste",P3243&lt;&gt;"Resultado trading"),"⚠ El monto debe ser positivo","✓")))))))))))))))</f>
        <v/>
      </c>
      <c r="P3243" s="52">
        <f>IF(OR(B3243="",G3243=""),"",IF(C3243="","Gasto",C3243))</f>
        <v/>
      </c>
      <c r="Q3243" s="52">
        <f>IF(P3243="","",IF(J3243&lt;&gt;"",J3243,CuentaPred&amp;""))</f>
        <v/>
      </c>
      <c r="R3243" s="52">
        <f>IF(P3243="","",IF(ISNUMBER(I3243),I3243,TasaUSD))</f>
        <v/>
      </c>
      <c r="S3243" s="53">
        <f>IF(P3243="","",IF(H3243="USD",G3243*R3243,G3243))</f>
        <v/>
      </c>
      <c r="T3243" s="53">
        <f>IF(P3243="","",IF(H3243="USD",G3243,IF(R3243&gt;0,G3243/R3243,0)))</f>
        <v/>
      </c>
      <c r="U3243" s="53">
        <f>IF(P3243="","",IF(P3243="Gasto",S3243,IF(P3243="Reembolso",-S3243,0)))</f>
        <v/>
      </c>
      <c r="V3243" s="53">
        <f>IF(P3243="","",IF(P3243="Ingreso",S3243,0))</f>
        <v/>
      </c>
      <c r="W3243" s="53">
        <f>IF(P3243="","",IF(P3243="Resultado trading",S3243,0))</f>
        <v/>
      </c>
      <c r="X3243" s="52">
        <f>IF(OR(P3243="Gasto",P3243="Reembolso"),IF(M3243&lt;&gt;"",M3243,IFERROR(INDEX(catClasif,MATCH(D3243&amp;"|"&amp;E3243,catClave,0))&amp;"","Variable")),"")</f>
        <v/>
      </c>
      <c r="Y3243" s="52">
        <f>IF(P3243="","",IFERROR(INDEX(catGrupo,MATCH(D3243&amp;"|"&amp;E3243,catClave,0))&amp;"",""))</f>
        <v/>
      </c>
      <c r="Z3243" s="52">
        <f>IF(P3243="","",WEEKDAY(B3243,2))</f>
        <v/>
      </c>
      <c r="AA3243" s="52">
        <f>IF(P3243="","",IF(AND(P3243="Gasto",X3243="Variable",D3243&lt;&gt;catTrading,S3243&gt;0,S3243&lt;=Umbral),1,0))</f>
        <v/>
      </c>
      <c r="AB3243" s="52">
        <f>IF(OR(P3243="",Q3243=""),"",IFERROR(IF(INDEX(ctaVinc,MATCH(Q3243,ctaNombre,0))&amp;""&lt;&gt;"",INDEX(ctaVinc,MATCH(Q3243,ctaNombre,0))&amp;"",Q3243),Q3243))</f>
        <v/>
      </c>
      <c r="AC3243" s="52">
        <f>IF(OR(K3243="",AND(P3243&lt;&gt;"Transferencia",P3243&lt;&gt;"Pago tarjeta")),"",IFERROR(IF(INDEX(ctaVinc,MATCH(K3243,ctaNombre,0))&amp;""&lt;&gt;"",INDEX(ctaVinc,MATCH(K3243,ctaNombre,0))&amp;"",K3243),K3243))</f>
        <v/>
      </c>
      <c r="AD3243" s="52">
        <f>IF(AB3243="","",IFERROR(INDEX(ctaTipo,MATCH(AB3243,ctaNombre,0))&amp;"",""))</f>
        <v/>
      </c>
      <c r="AE3243" s="52">
        <f>IF(AC3243="","",IFERROR(INDEX(ctaTipo,MATCH(AC3243,ctaNombre,0))&amp;"",""))</f>
        <v/>
      </c>
      <c r="AF3243" s="53">
        <f>IF(OR(P3243="",AB3243=""),"",IF(OR(P3243="Gasto",P3243="Transferencia",P3243="Pago tarjeta"),-1,1)*IF(IFERROR(INDEX(ctaMoneda,MATCH(AB3243,ctaNombre,0))&amp;"","DOP")="USD",T3243,S3243))</f>
        <v/>
      </c>
      <c r="AG3243" s="53">
        <f>IF(AC3243="","",IF(IFERROR(INDEX(ctaMoneda,MATCH(AC3243,ctaNombre,0))&amp;"","DOP")="USD",T3243,S3243))</f>
        <v/>
      </c>
      <c r="AH3243" s="53">
        <f>IF(P3243="","",IF(AND(AD3243&lt;&gt;"",COUNTIFS(tcTipo,AD3243,tcLiq,"Sí")&gt;0),IF(OR(P3243="Gasto",P3243="Transferencia",P3243="Pago tarjeta"),-1,1)*S3243,0)+IF(AND(AE3243&lt;&gt;"",COUNTIFS(tcTipo,AE3243,tcLiq,"Sí")&gt;0),S3243,0))</f>
        <v/>
      </c>
      <c r="AI3243" s="52">
        <f>IF(OR(L3243="",P3243=""),"",IF(COUNTIFS(L$6:L3243,L3243,P$6:P3243,"?*")=1,MAX(AI$5:AI3242)+1,""))</f>
        <v/>
      </c>
    </row>
    <row r="3244">
      <c r="B3244" s="47" t="n"/>
      <c r="C3244" s="48" t="n"/>
      <c r="D3244" s="48" t="n"/>
      <c r="E3244" s="48" t="n"/>
      <c r="F3244" s="48" t="n"/>
      <c r="G3244" s="49" t="n"/>
      <c r="H3244" s="48" t="n"/>
      <c r="I3244" s="50" t="n"/>
      <c r="J3244" s="48" t="n"/>
      <c r="K3244" s="48" t="n"/>
      <c r="L3244" s="48" t="n"/>
      <c r="M3244" s="48" t="n"/>
      <c r="N3244" s="48" t="n"/>
      <c r="O3244" s="51">
        <f>IF(AND(B3244="",G3244="",C3244="",D3244="",J3244=""),"",IF(B3244="","⚠ Falta fecha",IF(G3244="","⚠ Falta monto",IF(Q3244="","⚠ Falta cuenta",IF(ISNA(MATCH(Q3244,ctaNombre,0)),"⚠ Cuenta no registrada",IF(AND(OR(P3244="Gasto",P3244="Reembolso"),D3244=""),"⚠ Falta categoría",IF(AND(D3244&lt;&gt;"",E3244&lt;&gt;"",ISNA(MATCH(D3244&amp;"|"&amp;E3244,catClave,0))),"⚠ Subcategoría no corresponde",IF(AND(OR(P3244="Transferencia",P3244="Pago tarjeta"),K3244=""),"⚠ Falta cuenta destino",IF(AND(K3244&lt;&gt;"",P3244&lt;&gt;"Transferencia",P3244&lt;&gt;"Pago tarjeta"),"⚠ Destino solo aplica a transferencias",IF(AND(K3244&lt;&gt;"",K3244=Q3244),"⚠ Origen igual a destino",IF(AND(K3244&lt;&gt;"",ISNA(MATCH(K3244,ctaNombre,0))),"⚠ Destino no registrado",IF(AND(P3244="Pago tarjeta",AE3244&lt;&gt;"Tarjeta de crédito"),"⚠ El destino debe ser tarjeta de crédito",IF(AND(P3244="Gasto",E3244="Depósitos y retiros"),"⚠ Usa tipo Transferencia",IF(AND(P3244="Resultado trading",AD3244&lt;&gt;"Cuenta de trading"),"⚠ Usa una cuenta de trading",IF(AND(G3244&lt;=0,P3244&lt;&gt;"Ajuste",P3244&lt;&gt;"Resultado trading"),"⚠ El monto debe ser positivo","✓")))))))))))))))</f>
        <v/>
      </c>
      <c r="P3244" s="52">
        <f>IF(OR(B3244="",G3244=""),"",IF(C3244="","Gasto",C3244))</f>
        <v/>
      </c>
      <c r="Q3244" s="52">
        <f>IF(P3244="","",IF(J3244&lt;&gt;"",J3244,CuentaPred&amp;""))</f>
        <v/>
      </c>
      <c r="R3244" s="52">
        <f>IF(P3244="","",IF(ISNUMBER(I3244),I3244,TasaUSD))</f>
        <v/>
      </c>
      <c r="S3244" s="53">
        <f>IF(P3244="","",IF(H3244="USD",G3244*R3244,G3244))</f>
        <v/>
      </c>
      <c r="T3244" s="53">
        <f>IF(P3244="","",IF(H3244="USD",G3244,IF(R3244&gt;0,G3244/R3244,0)))</f>
        <v/>
      </c>
      <c r="U3244" s="53">
        <f>IF(P3244="","",IF(P3244="Gasto",S3244,IF(P3244="Reembolso",-S3244,0)))</f>
        <v/>
      </c>
      <c r="V3244" s="53">
        <f>IF(P3244="","",IF(P3244="Ingreso",S3244,0))</f>
        <v/>
      </c>
      <c r="W3244" s="53">
        <f>IF(P3244="","",IF(P3244="Resultado trading",S3244,0))</f>
        <v/>
      </c>
      <c r="X3244" s="52">
        <f>IF(OR(P3244="Gasto",P3244="Reembolso"),IF(M3244&lt;&gt;"",M3244,IFERROR(INDEX(catClasif,MATCH(D3244&amp;"|"&amp;E3244,catClave,0))&amp;"","Variable")),"")</f>
        <v/>
      </c>
      <c r="Y3244" s="52">
        <f>IF(P3244="","",IFERROR(INDEX(catGrupo,MATCH(D3244&amp;"|"&amp;E3244,catClave,0))&amp;"",""))</f>
        <v/>
      </c>
      <c r="Z3244" s="52">
        <f>IF(P3244="","",WEEKDAY(B3244,2))</f>
        <v/>
      </c>
      <c r="AA3244" s="52">
        <f>IF(P3244="","",IF(AND(P3244="Gasto",X3244="Variable",D3244&lt;&gt;catTrading,S3244&gt;0,S3244&lt;=Umbral),1,0))</f>
        <v/>
      </c>
      <c r="AB3244" s="52">
        <f>IF(OR(P3244="",Q3244=""),"",IFERROR(IF(INDEX(ctaVinc,MATCH(Q3244,ctaNombre,0))&amp;""&lt;&gt;"",INDEX(ctaVinc,MATCH(Q3244,ctaNombre,0))&amp;"",Q3244),Q3244))</f>
        <v/>
      </c>
      <c r="AC3244" s="52">
        <f>IF(OR(K3244="",AND(P3244&lt;&gt;"Transferencia",P3244&lt;&gt;"Pago tarjeta")),"",IFERROR(IF(INDEX(ctaVinc,MATCH(K3244,ctaNombre,0))&amp;""&lt;&gt;"",INDEX(ctaVinc,MATCH(K3244,ctaNombre,0))&amp;"",K3244),K3244))</f>
        <v/>
      </c>
      <c r="AD3244" s="52">
        <f>IF(AB3244="","",IFERROR(INDEX(ctaTipo,MATCH(AB3244,ctaNombre,0))&amp;"",""))</f>
        <v/>
      </c>
      <c r="AE3244" s="52">
        <f>IF(AC3244="","",IFERROR(INDEX(ctaTipo,MATCH(AC3244,ctaNombre,0))&amp;"",""))</f>
        <v/>
      </c>
      <c r="AF3244" s="53">
        <f>IF(OR(P3244="",AB3244=""),"",IF(OR(P3244="Gasto",P3244="Transferencia",P3244="Pago tarjeta"),-1,1)*IF(IFERROR(INDEX(ctaMoneda,MATCH(AB3244,ctaNombre,0))&amp;"","DOP")="USD",T3244,S3244))</f>
        <v/>
      </c>
      <c r="AG3244" s="53">
        <f>IF(AC3244="","",IF(IFERROR(INDEX(ctaMoneda,MATCH(AC3244,ctaNombre,0))&amp;"","DOP")="USD",T3244,S3244))</f>
        <v/>
      </c>
      <c r="AH3244" s="53">
        <f>IF(P3244="","",IF(AND(AD3244&lt;&gt;"",COUNTIFS(tcTipo,AD3244,tcLiq,"Sí")&gt;0),IF(OR(P3244="Gasto",P3244="Transferencia",P3244="Pago tarjeta"),-1,1)*S3244,0)+IF(AND(AE3244&lt;&gt;"",COUNTIFS(tcTipo,AE3244,tcLiq,"Sí")&gt;0),S3244,0))</f>
        <v/>
      </c>
      <c r="AI3244" s="52">
        <f>IF(OR(L3244="",P3244=""),"",IF(COUNTIFS(L$6:L3244,L3244,P$6:P3244,"?*")=1,MAX(AI$5:AI3243)+1,""))</f>
        <v/>
      </c>
    </row>
    <row r="3245">
      <c r="B3245" s="47" t="n"/>
      <c r="C3245" s="48" t="n"/>
      <c r="D3245" s="48" t="n"/>
      <c r="E3245" s="48" t="n"/>
      <c r="F3245" s="48" t="n"/>
      <c r="G3245" s="49" t="n"/>
      <c r="H3245" s="48" t="n"/>
      <c r="I3245" s="50" t="n"/>
      <c r="J3245" s="48" t="n"/>
      <c r="K3245" s="48" t="n"/>
      <c r="L3245" s="48" t="n"/>
      <c r="M3245" s="48" t="n"/>
      <c r="N3245" s="48" t="n"/>
      <c r="O3245" s="51">
        <f>IF(AND(B3245="",G3245="",C3245="",D3245="",J3245=""),"",IF(B3245="","⚠ Falta fecha",IF(G3245="","⚠ Falta monto",IF(Q3245="","⚠ Falta cuenta",IF(ISNA(MATCH(Q3245,ctaNombre,0)),"⚠ Cuenta no registrada",IF(AND(OR(P3245="Gasto",P3245="Reembolso"),D3245=""),"⚠ Falta categoría",IF(AND(D3245&lt;&gt;"",E3245&lt;&gt;"",ISNA(MATCH(D3245&amp;"|"&amp;E3245,catClave,0))),"⚠ Subcategoría no corresponde",IF(AND(OR(P3245="Transferencia",P3245="Pago tarjeta"),K3245=""),"⚠ Falta cuenta destino",IF(AND(K3245&lt;&gt;"",P3245&lt;&gt;"Transferencia",P3245&lt;&gt;"Pago tarjeta"),"⚠ Destino solo aplica a transferencias",IF(AND(K3245&lt;&gt;"",K3245=Q3245),"⚠ Origen igual a destino",IF(AND(K3245&lt;&gt;"",ISNA(MATCH(K3245,ctaNombre,0))),"⚠ Destino no registrado",IF(AND(P3245="Pago tarjeta",AE3245&lt;&gt;"Tarjeta de crédito"),"⚠ El destino debe ser tarjeta de crédito",IF(AND(P3245="Gasto",E3245="Depósitos y retiros"),"⚠ Usa tipo Transferencia",IF(AND(P3245="Resultado trading",AD3245&lt;&gt;"Cuenta de trading"),"⚠ Usa una cuenta de trading",IF(AND(G3245&lt;=0,P3245&lt;&gt;"Ajuste",P3245&lt;&gt;"Resultado trading"),"⚠ El monto debe ser positivo","✓")))))))))))))))</f>
        <v/>
      </c>
      <c r="P3245" s="52">
        <f>IF(OR(B3245="",G3245=""),"",IF(C3245="","Gasto",C3245))</f>
        <v/>
      </c>
      <c r="Q3245" s="52">
        <f>IF(P3245="","",IF(J3245&lt;&gt;"",J3245,CuentaPred&amp;""))</f>
        <v/>
      </c>
      <c r="R3245" s="52">
        <f>IF(P3245="","",IF(ISNUMBER(I3245),I3245,TasaUSD))</f>
        <v/>
      </c>
      <c r="S3245" s="53">
        <f>IF(P3245="","",IF(H3245="USD",G3245*R3245,G3245))</f>
        <v/>
      </c>
      <c r="T3245" s="53">
        <f>IF(P3245="","",IF(H3245="USD",G3245,IF(R3245&gt;0,G3245/R3245,0)))</f>
        <v/>
      </c>
      <c r="U3245" s="53">
        <f>IF(P3245="","",IF(P3245="Gasto",S3245,IF(P3245="Reembolso",-S3245,0)))</f>
        <v/>
      </c>
      <c r="V3245" s="53">
        <f>IF(P3245="","",IF(P3245="Ingreso",S3245,0))</f>
        <v/>
      </c>
      <c r="W3245" s="53">
        <f>IF(P3245="","",IF(P3245="Resultado trading",S3245,0))</f>
        <v/>
      </c>
      <c r="X3245" s="52">
        <f>IF(OR(P3245="Gasto",P3245="Reembolso"),IF(M3245&lt;&gt;"",M3245,IFERROR(INDEX(catClasif,MATCH(D3245&amp;"|"&amp;E3245,catClave,0))&amp;"","Variable")),"")</f>
        <v/>
      </c>
      <c r="Y3245" s="52">
        <f>IF(P3245="","",IFERROR(INDEX(catGrupo,MATCH(D3245&amp;"|"&amp;E3245,catClave,0))&amp;"",""))</f>
        <v/>
      </c>
      <c r="Z3245" s="52">
        <f>IF(P3245="","",WEEKDAY(B3245,2))</f>
        <v/>
      </c>
      <c r="AA3245" s="52">
        <f>IF(P3245="","",IF(AND(P3245="Gasto",X3245="Variable",D3245&lt;&gt;catTrading,S3245&gt;0,S3245&lt;=Umbral),1,0))</f>
        <v/>
      </c>
      <c r="AB3245" s="52">
        <f>IF(OR(P3245="",Q3245=""),"",IFERROR(IF(INDEX(ctaVinc,MATCH(Q3245,ctaNombre,0))&amp;""&lt;&gt;"",INDEX(ctaVinc,MATCH(Q3245,ctaNombre,0))&amp;"",Q3245),Q3245))</f>
        <v/>
      </c>
      <c r="AC3245" s="52">
        <f>IF(OR(K3245="",AND(P3245&lt;&gt;"Transferencia",P3245&lt;&gt;"Pago tarjeta")),"",IFERROR(IF(INDEX(ctaVinc,MATCH(K3245,ctaNombre,0))&amp;""&lt;&gt;"",INDEX(ctaVinc,MATCH(K3245,ctaNombre,0))&amp;"",K3245),K3245))</f>
        <v/>
      </c>
      <c r="AD3245" s="52">
        <f>IF(AB3245="","",IFERROR(INDEX(ctaTipo,MATCH(AB3245,ctaNombre,0))&amp;"",""))</f>
        <v/>
      </c>
      <c r="AE3245" s="52">
        <f>IF(AC3245="","",IFERROR(INDEX(ctaTipo,MATCH(AC3245,ctaNombre,0))&amp;"",""))</f>
        <v/>
      </c>
      <c r="AF3245" s="53">
        <f>IF(OR(P3245="",AB3245=""),"",IF(OR(P3245="Gasto",P3245="Transferencia",P3245="Pago tarjeta"),-1,1)*IF(IFERROR(INDEX(ctaMoneda,MATCH(AB3245,ctaNombre,0))&amp;"","DOP")="USD",T3245,S3245))</f>
        <v/>
      </c>
      <c r="AG3245" s="53">
        <f>IF(AC3245="","",IF(IFERROR(INDEX(ctaMoneda,MATCH(AC3245,ctaNombre,0))&amp;"","DOP")="USD",T3245,S3245))</f>
        <v/>
      </c>
      <c r="AH3245" s="53">
        <f>IF(P3245="","",IF(AND(AD3245&lt;&gt;"",COUNTIFS(tcTipo,AD3245,tcLiq,"Sí")&gt;0),IF(OR(P3245="Gasto",P3245="Transferencia",P3245="Pago tarjeta"),-1,1)*S3245,0)+IF(AND(AE3245&lt;&gt;"",COUNTIFS(tcTipo,AE3245,tcLiq,"Sí")&gt;0),S3245,0))</f>
        <v/>
      </c>
      <c r="AI3245" s="52">
        <f>IF(OR(L3245="",P3245=""),"",IF(COUNTIFS(L$6:L3245,L3245,P$6:P3245,"?*")=1,MAX(AI$5:AI3244)+1,""))</f>
        <v/>
      </c>
    </row>
    <row r="3246">
      <c r="B3246" s="47" t="n"/>
      <c r="C3246" s="48" t="n"/>
      <c r="D3246" s="48" t="n"/>
      <c r="E3246" s="48" t="n"/>
      <c r="F3246" s="48" t="n"/>
      <c r="G3246" s="49" t="n"/>
      <c r="H3246" s="48" t="n"/>
      <c r="I3246" s="50" t="n"/>
      <c r="J3246" s="48" t="n"/>
      <c r="K3246" s="48" t="n"/>
      <c r="L3246" s="48" t="n"/>
      <c r="M3246" s="48" t="n"/>
      <c r="N3246" s="48" t="n"/>
      <c r="O3246" s="51">
        <f>IF(AND(B3246="",G3246="",C3246="",D3246="",J3246=""),"",IF(B3246="","⚠ Falta fecha",IF(G3246="","⚠ Falta monto",IF(Q3246="","⚠ Falta cuenta",IF(ISNA(MATCH(Q3246,ctaNombre,0)),"⚠ Cuenta no registrada",IF(AND(OR(P3246="Gasto",P3246="Reembolso"),D3246=""),"⚠ Falta categoría",IF(AND(D3246&lt;&gt;"",E3246&lt;&gt;"",ISNA(MATCH(D3246&amp;"|"&amp;E3246,catClave,0))),"⚠ Subcategoría no corresponde",IF(AND(OR(P3246="Transferencia",P3246="Pago tarjeta"),K3246=""),"⚠ Falta cuenta destino",IF(AND(K3246&lt;&gt;"",P3246&lt;&gt;"Transferencia",P3246&lt;&gt;"Pago tarjeta"),"⚠ Destino solo aplica a transferencias",IF(AND(K3246&lt;&gt;"",K3246=Q3246),"⚠ Origen igual a destino",IF(AND(K3246&lt;&gt;"",ISNA(MATCH(K3246,ctaNombre,0))),"⚠ Destino no registrado",IF(AND(P3246="Pago tarjeta",AE3246&lt;&gt;"Tarjeta de crédito"),"⚠ El destino debe ser tarjeta de crédito",IF(AND(P3246="Gasto",E3246="Depósitos y retiros"),"⚠ Usa tipo Transferencia",IF(AND(P3246="Resultado trading",AD3246&lt;&gt;"Cuenta de trading"),"⚠ Usa una cuenta de trading",IF(AND(G3246&lt;=0,P3246&lt;&gt;"Ajuste",P3246&lt;&gt;"Resultado trading"),"⚠ El monto debe ser positivo","✓")))))))))))))))</f>
        <v/>
      </c>
      <c r="P3246" s="52">
        <f>IF(OR(B3246="",G3246=""),"",IF(C3246="","Gasto",C3246))</f>
        <v/>
      </c>
      <c r="Q3246" s="52">
        <f>IF(P3246="","",IF(J3246&lt;&gt;"",J3246,CuentaPred&amp;""))</f>
        <v/>
      </c>
      <c r="R3246" s="52">
        <f>IF(P3246="","",IF(ISNUMBER(I3246),I3246,TasaUSD))</f>
        <v/>
      </c>
      <c r="S3246" s="53">
        <f>IF(P3246="","",IF(H3246="USD",G3246*R3246,G3246))</f>
        <v/>
      </c>
      <c r="T3246" s="53">
        <f>IF(P3246="","",IF(H3246="USD",G3246,IF(R3246&gt;0,G3246/R3246,0)))</f>
        <v/>
      </c>
      <c r="U3246" s="53">
        <f>IF(P3246="","",IF(P3246="Gasto",S3246,IF(P3246="Reembolso",-S3246,0)))</f>
        <v/>
      </c>
      <c r="V3246" s="53">
        <f>IF(P3246="","",IF(P3246="Ingreso",S3246,0))</f>
        <v/>
      </c>
      <c r="W3246" s="53">
        <f>IF(P3246="","",IF(P3246="Resultado trading",S3246,0))</f>
        <v/>
      </c>
      <c r="X3246" s="52">
        <f>IF(OR(P3246="Gasto",P3246="Reembolso"),IF(M3246&lt;&gt;"",M3246,IFERROR(INDEX(catClasif,MATCH(D3246&amp;"|"&amp;E3246,catClave,0))&amp;"","Variable")),"")</f>
        <v/>
      </c>
      <c r="Y3246" s="52">
        <f>IF(P3246="","",IFERROR(INDEX(catGrupo,MATCH(D3246&amp;"|"&amp;E3246,catClave,0))&amp;"",""))</f>
        <v/>
      </c>
      <c r="Z3246" s="52">
        <f>IF(P3246="","",WEEKDAY(B3246,2))</f>
        <v/>
      </c>
      <c r="AA3246" s="52">
        <f>IF(P3246="","",IF(AND(P3246="Gasto",X3246="Variable",D3246&lt;&gt;catTrading,S3246&gt;0,S3246&lt;=Umbral),1,0))</f>
        <v/>
      </c>
      <c r="AB3246" s="52">
        <f>IF(OR(P3246="",Q3246=""),"",IFERROR(IF(INDEX(ctaVinc,MATCH(Q3246,ctaNombre,0))&amp;""&lt;&gt;"",INDEX(ctaVinc,MATCH(Q3246,ctaNombre,0))&amp;"",Q3246),Q3246))</f>
        <v/>
      </c>
      <c r="AC3246" s="52">
        <f>IF(OR(K3246="",AND(P3246&lt;&gt;"Transferencia",P3246&lt;&gt;"Pago tarjeta")),"",IFERROR(IF(INDEX(ctaVinc,MATCH(K3246,ctaNombre,0))&amp;""&lt;&gt;"",INDEX(ctaVinc,MATCH(K3246,ctaNombre,0))&amp;"",K3246),K3246))</f>
        <v/>
      </c>
      <c r="AD3246" s="52">
        <f>IF(AB3246="","",IFERROR(INDEX(ctaTipo,MATCH(AB3246,ctaNombre,0))&amp;"",""))</f>
        <v/>
      </c>
      <c r="AE3246" s="52">
        <f>IF(AC3246="","",IFERROR(INDEX(ctaTipo,MATCH(AC3246,ctaNombre,0))&amp;"",""))</f>
        <v/>
      </c>
      <c r="AF3246" s="53">
        <f>IF(OR(P3246="",AB3246=""),"",IF(OR(P3246="Gasto",P3246="Transferencia",P3246="Pago tarjeta"),-1,1)*IF(IFERROR(INDEX(ctaMoneda,MATCH(AB3246,ctaNombre,0))&amp;"","DOP")="USD",T3246,S3246))</f>
        <v/>
      </c>
      <c r="AG3246" s="53">
        <f>IF(AC3246="","",IF(IFERROR(INDEX(ctaMoneda,MATCH(AC3246,ctaNombre,0))&amp;"","DOP")="USD",T3246,S3246))</f>
        <v/>
      </c>
      <c r="AH3246" s="53">
        <f>IF(P3246="","",IF(AND(AD3246&lt;&gt;"",COUNTIFS(tcTipo,AD3246,tcLiq,"Sí")&gt;0),IF(OR(P3246="Gasto",P3246="Transferencia",P3246="Pago tarjeta"),-1,1)*S3246,0)+IF(AND(AE3246&lt;&gt;"",COUNTIFS(tcTipo,AE3246,tcLiq,"Sí")&gt;0),S3246,0))</f>
        <v/>
      </c>
      <c r="AI3246" s="52">
        <f>IF(OR(L3246="",P3246=""),"",IF(COUNTIFS(L$6:L3246,L3246,P$6:P3246,"?*")=1,MAX(AI$5:AI3245)+1,""))</f>
        <v/>
      </c>
    </row>
    <row r="3247">
      <c r="B3247" s="47" t="n"/>
      <c r="C3247" s="48" t="n"/>
      <c r="D3247" s="48" t="n"/>
      <c r="E3247" s="48" t="n"/>
      <c r="F3247" s="48" t="n"/>
      <c r="G3247" s="49" t="n"/>
      <c r="H3247" s="48" t="n"/>
      <c r="I3247" s="50" t="n"/>
      <c r="J3247" s="48" t="n"/>
      <c r="K3247" s="48" t="n"/>
      <c r="L3247" s="48" t="n"/>
      <c r="M3247" s="48" t="n"/>
      <c r="N3247" s="48" t="n"/>
      <c r="O3247" s="51">
        <f>IF(AND(B3247="",G3247="",C3247="",D3247="",J3247=""),"",IF(B3247="","⚠ Falta fecha",IF(G3247="","⚠ Falta monto",IF(Q3247="","⚠ Falta cuenta",IF(ISNA(MATCH(Q3247,ctaNombre,0)),"⚠ Cuenta no registrada",IF(AND(OR(P3247="Gasto",P3247="Reembolso"),D3247=""),"⚠ Falta categoría",IF(AND(D3247&lt;&gt;"",E3247&lt;&gt;"",ISNA(MATCH(D3247&amp;"|"&amp;E3247,catClave,0))),"⚠ Subcategoría no corresponde",IF(AND(OR(P3247="Transferencia",P3247="Pago tarjeta"),K3247=""),"⚠ Falta cuenta destino",IF(AND(K3247&lt;&gt;"",P3247&lt;&gt;"Transferencia",P3247&lt;&gt;"Pago tarjeta"),"⚠ Destino solo aplica a transferencias",IF(AND(K3247&lt;&gt;"",K3247=Q3247),"⚠ Origen igual a destino",IF(AND(K3247&lt;&gt;"",ISNA(MATCH(K3247,ctaNombre,0))),"⚠ Destino no registrado",IF(AND(P3247="Pago tarjeta",AE3247&lt;&gt;"Tarjeta de crédito"),"⚠ El destino debe ser tarjeta de crédito",IF(AND(P3247="Gasto",E3247="Depósitos y retiros"),"⚠ Usa tipo Transferencia",IF(AND(P3247="Resultado trading",AD3247&lt;&gt;"Cuenta de trading"),"⚠ Usa una cuenta de trading",IF(AND(G3247&lt;=0,P3247&lt;&gt;"Ajuste",P3247&lt;&gt;"Resultado trading"),"⚠ El monto debe ser positivo","✓")))))))))))))))</f>
        <v/>
      </c>
      <c r="P3247" s="52">
        <f>IF(OR(B3247="",G3247=""),"",IF(C3247="","Gasto",C3247))</f>
        <v/>
      </c>
      <c r="Q3247" s="52">
        <f>IF(P3247="","",IF(J3247&lt;&gt;"",J3247,CuentaPred&amp;""))</f>
        <v/>
      </c>
      <c r="R3247" s="52">
        <f>IF(P3247="","",IF(ISNUMBER(I3247),I3247,TasaUSD))</f>
        <v/>
      </c>
      <c r="S3247" s="53">
        <f>IF(P3247="","",IF(H3247="USD",G3247*R3247,G3247))</f>
        <v/>
      </c>
      <c r="T3247" s="53">
        <f>IF(P3247="","",IF(H3247="USD",G3247,IF(R3247&gt;0,G3247/R3247,0)))</f>
        <v/>
      </c>
      <c r="U3247" s="53">
        <f>IF(P3247="","",IF(P3247="Gasto",S3247,IF(P3247="Reembolso",-S3247,0)))</f>
        <v/>
      </c>
      <c r="V3247" s="53">
        <f>IF(P3247="","",IF(P3247="Ingreso",S3247,0))</f>
        <v/>
      </c>
      <c r="W3247" s="53">
        <f>IF(P3247="","",IF(P3247="Resultado trading",S3247,0))</f>
        <v/>
      </c>
      <c r="X3247" s="52">
        <f>IF(OR(P3247="Gasto",P3247="Reembolso"),IF(M3247&lt;&gt;"",M3247,IFERROR(INDEX(catClasif,MATCH(D3247&amp;"|"&amp;E3247,catClave,0))&amp;"","Variable")),"")</f>
        <v/>
      </c>
      <c r="Y3247" s="52">
        <f>IF(P3247="","",IFERROR(INDEX(catGrupo,MATCH(D3247&amp;"|"&amp;E3247,catClave,0))&amp;"",""))</f>
        <v/>
      </c>
      <c r="Z3247" s="52">
        <f>IF(P3247="","",WEEKDAY(B3247,2))</f>
        <v/>
      </c>
      <c r="AA3247" s="52">
        <f>IF(P3247="","",IF(AND(P3247="Gasto",X3247="Variable",D3247&lt;&gt;catTrading,S3247&gt;0,S3247&lt;=Umbral),1,0))</f>
        <v/>
      </c>
      <c r="AB3247" s="52">
        <f>IF(OR(P3247="",Q3247=""),"",IFERROR(IF(INDEX(ctaVinc,MATCH(Q3247,ctaNombre,0))&amp;""&lt;&gt;"",INDEX(ctaVinc,MATCH(Q3247,ctaNombre,0))&amp;"",Q3247),Q3247))</f>
        <v/>
      </c>
      <c r="AC3247" s="52">
        <f>IF(OR(K3247="",AND(P3247&lt;&gt;"Transferencia",P3247&lt;&gt;"Pago tarjeta")),"",IFERROR(IF(INDEX(ctaVinc,MATCH(K3247,ctaNombre,0))&amp;""&lt;&gt;"",INDEX(ctaVinc,MATCH(K3247,ctaNombre,0))&amp;"",K3247),K3247))</f>
        <v/>
      </c>
      <c r="AD3247" s="52">
        <f>IF(AB3247="","",IFERROR(INDEX(ctaTipo,MATCH(AB3247,ctaNombre,0))&amp;"",""))</f>
        <v/>
      </c>
      <c r="AE3247" s="52">
        <f>IF(AC3247="","",IFERROR(INDEX(ctaTipo,MATCH(AC3247,ctaNombre,0))&amp;"",""))</f>
        <v/>
      </c>
      <c r="AF3247" s="53">
        <f>IF(OR(P3247="",AB3247=""),"",IF(OR(P3247="Gasto",P3247="Transferencia",P3247="Pago tarjeta"),-1,1)*IF(IFERROR(INDEX(ctaMoneda,MATCH(AB3247,ctaNombre,0))&amp;"","DOP")="USD",T3247,S3247))</f>
        <v/>
      </c>
      <c r="AG3247" s="53">
        <f>IF(AC3247="","",IF(IFERROR(INDEX(ctaMoneda,MATCH(AC3247,ctaNombre,0))&amp;"","DOP")="USD",T3247,S3247))</f>
        <v/>
      </c>
      <c r="AH3247" s="53">
        <f>IF(P3247="","",IF(AND(AD3247&lt;&gt;"",COUNTIFS(tcTipo,AD3247,tcLiq,"Sí")&gt;0),IF(OR(P3247="Gasto",P3247="Transferencia",P3247="Pago tarjeta"),-1,1)*S3247,0)+IF(AND(AE3247&lt;&gt;"",COUNTIFS(tcTipo,AE3247,tcLiq,"Sí")&gt;0),S3247,0))</f>
        <v/>
      </c>
      <c r="AI3247" s="52">
        <f>IF(OR(L3247="",P3247=""),"",IF(COUNTIFS(L$6:L3247,L3247,P$6:P3247,"?*")=1,MAX(AI$5:AI3246)+1,""))</f>
        <v/>
      </c>
    </row>
    <row r="3248">
      <c r="B3248" s="47" t="n"/>
      <c r="C3248" s="48" t="n"/>
      <c r="D3248" s="48" t="n"/>
      <c r="E3248" s="48" t="n"/>
      <c r="F3248" s="48" t="n"/>
      <c r="G3248" s="49" t="n"/>
      <c r="H3248" s="48" t="n"/>
      <c r="I3248" s="50" t="n"/>
      <c r="J3248" s="48" t="n"/>
      <c r="K3248" s="48" t="n"/>
      <c r="L3248" s="48" t="n"/>
      <c r="M3248" s="48" t="n"/>
      <c r="N3248" s="48" t="n"/>
      <c r="O3248" s="51">
        <f>IF(AND(B3248="",G3248="",C3248="",D3248="",J3248=""),"",IF(B3248="","⚠ Falta fecha",IF(G3248="","⚠ Falta monto",IF(Q3248="","⚠ Falta cuenta",IF(ISNA(MATCH(Q3248,ctaNombre,0)),"⚠ Cuenta no registrada",IF(AND(OR(P3248="Gasto",P3248="Reembolso"),D3248=""),"⚠ Falta categoría",IF(AND(D3248&lt;&gt;"",E3248&lt;&gt;"",ISNA(MATCH(D3248&amp;"|"&amp;E3248,catClave,0))),"⚠ Subcategoría no corresponde",IF(AND(OR(P3248="Transferencia",P3248="Pago tarjeta"),K3248=""),"⚠ Falta cuenta destino",IF(AND(K3248&lt;&gt;"",P3248&lt;&gt;"Transferencia",P3248&lt;&gt;"Pago tarjeta"),"⚠ Destino solo aplica a transferencias",IF(AND(K3248&lt;&gt;"",K3248=Q3248),"⚠ Origen igual a destino",IF(AND(K3248&lt;&gt;"",ISNA(MATCH(K3248,ctaNombre,0))),"⚠ Destino no registrado",IF(AND(P3248="Pago tarjeta",AE3248&lt;&gt;"Tarjeta de crédito"),"⚠ El destino debe ser tarjeta de crédito",IF(AND(P3248="Gasto",E3248="Depósitos y retiros"),"⚠ Usa tipo Transferencia",IF(AND(P3248="Resultado trading",AD3248&lt;&gt;"Cuenta de trading"),"⚠ Usa una cuenta de trading",IF(AND(G3248&lt;=0,P3248&lt;&gt;"Ajuste",P3248&lt;&gt;"Resultado trading"),"⚠ El monto debe ser positivo","✓")))))))))))))))</f>
        <v/>
      </c>
      <c r="P3248" s="52">
        <f>IF(OR(B3248="",G3248=""),"",IF(C3248="","Gasto",C3248))</f>
        <v/>
      </c>
      <c r="Q3248" s="52">
        <f>IF(P3248="","",IF(J3248&lt;&gt;"",J3248,CuentaPred&amp;""))</f>
        <v/>
      </c>
      <c r="R3248" s="52">
        <f>IF(P3248="","",IF(ISNUMBER(I3248),I3248,TasaUSD))</f>
        <v/>
      </c>
      <c r="S3248" s="53">
        <f>IF(P3248="","",IF(H3248="USD",G3248*R3248,G3248))</f>
        <v/>
      </c>
      <c r="T3248" s="53">
        <f>IF(P3248="","",IF(H3248="USD",G3248,IF(R3248&gt;0,G3248/R3248,0)))</f>
        <v/>
      </c>
      <c r="U3248" s="53">
        <f>IF(P3248="","",IF(P3248="Gasto",S3248,IF(P3248="Reembolso",-S3248,0)))</f>
        <v/>
      </c>
      <c r="V3248" s="53">
        <f>IF(P3248="","",IF(P3248="Ingreso",S3248,0))</f>
        <v/>
      </c>
      <c r="W3248" s="53">
        <f>IF(P3248="","",IF(P3248="Resultado trading",S3248,0))</f>
        <v/>
      </c>
      <c r="X3248" s="52">
        <f>IF(OR(P3248="Gasto",P3248="Reembolso"),IF(M3248&lt;&gt;"",M3248,IFERROR(INDEX(catClasif,MATCH(D3248&amp;"|"&amp;E3248,catClave,0))&amp;"","Variable")),"")</f>
        <v/>
      </c>
      <c r="Y3248" s="52">
        <f>IF(P3248="","",IFERROR(INDEX(catGrupo,MATCH(D3248&amp;"|"&amp;E3248,catClave,0))&amp;"",""))</f>
        <v/>
      </c>
      <c r="Z3248" s="52">
        <f>IF(P3248="","",WEEKDAY(B3248,2))</f>
        <v/>
      </c>
      <c r="AA3248" s="52">
        <f>IF(P3248="","",IF(AND(P3248="Gasto",X3248="Variable",D3248&lt;&gt;catTrading,S3248&gt;0,S3248&lt;=Umbral),1,0))</f>
        <v/>
      </c>
      <c r="AB3248" s="52">
        <f>IF(OR(P3248="",Q3248=""),"",IFERROR(IF(INDEX(ctaVinc,MATCH(Q3248,ctaNombre,0))&amp;""&lt;&gt;"",INDEX(ctaVinc,MATCH(Q3248,ctaNombre,0))&amp;"",Q3248),Q3248))</f>
        <v/>
      </c>
      <c r="AC3248" s="52">
        <f>IF(OR(K3248="",AND(P3248&lt;&gt;"Transferencia",P3248&lt;&gt;"Pago tarjeta")),"",IFERROR(IF(INDEX(ctaVinc,MATCH(K3248,ctaNombre,0))&amp;""&lt;&gt;"",INDEX(ctaVinc,MATCH(K3248,ctaNombre,0))&amp;"",K3248),K3248))</f>
        <v/>
      </c>
      <c r="AD3248" s="52">
        <f>IF(AB3248="","",IFERROR(INDEX(ctaTipo,MATCH(AB3248,ctaNombre,0))&amp;"",""))</f>
        <v/>
      </c>
      <c r="AE3248" s="52">
        <f>IF(AC3248="","",IFERROR(INDEX(ctaTipo,MATCH(AC3248,ctaNombre,0))&amp;"",""))</f>
        <v/>
      </c>
      <c r="AF3248" s="53">
        <f>IF(OR(P3248="",AB3248=""),"",IF(OR(P3248="Gasto",P3248="Transferencia",P3248="Pago tarjeta"),-1,1)*IF(IFERROR(INDEX(ctaMoneda,MATCH(AB3248,ctaNombre,0))&amp;"","DOP")="USD",T3248,S3248))</f>
        <v/>
      </c>
      <c r="AG3248" s="53">
        <f>IF(AC3248="","",IF(IFERROR(INDEX(ctaMoneda,MATCH(AC3248,ctaNombre,0))&amp;"","DOP")="USD",T3248,S3248))</f>
        <v/>
      </c>
      <c r="AH3248" s="53">
        <f>IF(P3248="","",IF(AND(AD3248&lt;&gt;"",COUNTIFS(tcTipo,AD3248,tcLiq,"Sí")&gt;0),IF(OR(P3248="Gasto",P3248="Transferencia",P3248="Pago tarjeta"),-1,1)*S3248,0)+IF(AND(AE3248&lt;&gt;"",COUNTIFS(tcTipo,AE3248,tcLiq,"Sí")&gt;0),S3248,0))</f>
        <v/>
      </c>
      <c r="AI3248" s="52">
        <f>IF(OR(L3248="",P3248=""),"",IF(COUNTIFS(L$6:L3248,L3248,P$6:P3248,"?*")=1,MAX(AI$5:AI3247)+1,""))</f>
        <v/>
      </c>
    </row>
    <row r="3249">
      <c r="B3249" s="47" t="n"/>
      <c r="C3249" s="48" t="n"/>
      <c r="D3249" s="48" t="n"/>
      <c r="E3249" s="48" t="n"/>
      <c r="F3249" s="48" t="n"/>
      <c r="G3249" s="49" t="n"/>
      <c r="H3249" s="48" t="n"/>
      <c r="I3249" s="50" t="n"/>
      <c r="J3249" s="48" t="n"/>
      <c r="K3249" s="48" t="n"/>
      <c r="L3249" s="48" t="n"/>
      <c r="M3249" s="48" t="n"/>
      <c r="N3249" s="48" t="n"/>
      <c r="O3249" s="51">
        <f>IF(AND(B3249="",G3249="",C3249="",D3249="",J3249=""),"",IF(B3249="","⚠ Falta fecha",IF(G3249="","⚠ Falta monto",IF(Q3249="","⚠ Falta cuenta",IF(ISNA(MATCH(Q3249,ctaNombre,0)),"⚠ Cuenta no registrada",IF(AND(OR(P3249="Gasto",P3249="Reembolso"),D3249=""),"⚠ Falta categoría",IF(AND(D3249&lt;&gt;"",E3249&lt;&gt;"",ISNA(MATCH(D3249&amp;"|"&amp;E3249,catClave,0))),"⚠ Subcategoría no corresponde",IF(AND(OR(P3249="Transferencia",P3249="Pago tarjeta"),K3249=""),"⚠ Falta cuenta destino",IF(AND(K3249&lt;&gt;"",P3249&lt;&gt;"Transferencia",P3249&lt;&gt;"Pago tarjeta"),"⚠ Destino solo aplica a transferencias",IF(AND(K3249&lt;&gt;"",K3249=Q3249),"⚠ Origen igual a destino",IF(AND(K3249&lt;&gt;"",ISNA(MATCH(K3249,ctaNombre,0))),"⚠ Destino no registrado",IF(AND(P3249="Pago tarjeta",AE3249&lt;&gt;"Tarjeta de crédito"),"⚠ El destino debe ser tarjeta de crédito",IF(AND(P3249="Gasto",E3249="Depósitos y retiros"),"⚠ Usa tipo Transferencia",IF(AND(P3249="Resultado trading",AD3249&lt;&gt;"Cuenta de trading"),"⚠ Usa una cuenta de trading",IF(AND(G3249&lt;=0,P3249&lt;&gt;"Ajuste",P3249&lt;&gt;"Resultado trading"),"⚠ El monto debe ser positivo","✓")))))))))))))))</f>
        <v/>
      </c>
      <c r="P3249" s="52">
        <f>IF(OR(B3249="",G3249=""),"",IF(C3249="","Gasto",C3249))</f>
        <v/>
      </c>
      <c r="Q3249" s="52">
        <f>IF(P3249="","",IF(J3249&lt;&gt;"",J3249,CuentaPred&amp;""))</f>
        <v/>
      </c>
      <c r="R3249" s="52">
        <f>IF(P3249="","",IF(ISNUMBER(I3249),I3249,TasaUSD))</f>
        <v/>
      </c>
      <c r="S3249" s="53">
        <f>IF(P3249="","",IF(H3249="USD",G3249*R3249,G3249))</f>
        <v/>
      </c>
      <c r="T3249" s="53">
        <f>IF(P3249="","",IF(H3249="USD",G3249,IF(R3249&gt;0,G3249/R3249,0)))</f>
        <v/>
      </c>
      <c r="U3249" s="53">
        <f>IF(P3249="","",IF(P3249="Gasto",S3249,IF(P3249="Reembolso",-S3249,0)))</f>
        <v/>
      </c>
      <c r="V3249" s="53">
        <f>IF(P3249="","",IF(P3249="Ingreso",S3249,0))</f>
        <v/>
      </c>
      <c r="W3249" s="53">
        <f>IF(P3249="","",IF(P3249="Resultado trading",S3249,0))</f>
        <v/>
      </c>
      <c r="X3249" s="52">
        <f>IF(OR(P3249="Gasto",P3249="Reembolso"),IF(M3249&lt;&gt;"",M3249,IFERROR(INDEX(catClasif,MATCH(D3249&amp;"|"&amp;E3249,catClave,0))&amp;"","Variable")),"")</f>
        <v/>
      </c>
      <c r="Y3249" s="52">
        <f>IF(P3249="","",IFERROR(INDEX(catGrupo,MATCH(D3249&amp;"|"&amp;E3249,catClave,0))&amp;"",""))</f>
        <v/>
      </c>
      <c r="Z3249" s="52">
        <f>IF(P3249="","",WEEKDAY(B3249,2))</f>
        <v/>
      </c>
      <c r="AA3249" s="52">
        <f>IF(P3249="","",IF(AND(P3249="Gasto",X3249="Variable",D3249&lt;&gt;catTrading,S3249&gt;0,S3249&lt;=Umbral),1,0))</f>
        <v/>
      </c>
      <c r="AB3249" s="52">
        <f>IF(OR(P3249="",Q3249=""),"",IFERROR(IF(INDEX(ctaVinc,MATCH(Q3249,ctaNombre,0))&amp;""&lt;&gt;"",INDEX(ctaVinc,MATCH(Q3249,ctaNombre,0))&amp;"",Q3249),Q3249))</f>
        <v/>
      </c>
      <c r="AC3249" s="52">
        <f>IF(OR(K3249="",AND(P3249&lt;&gt;"Transferencia",P3249&lt;&gt;"Pago tarjeta")),"",IFERROR(IF(INDEX(ctaVinc,MATCH(K3249,ctaNombre,0))&amp;""&lt;&gt;"",INDEX(ctaVinc,MATCH(K3249,ctaNombre,0))&amp;"",K3249),K3249))</f>
        <v/>
      </c>
      <c r="AD3249" s="52">
        <f>IF(AB3249="","",IFERROR(INDEX(ctaTipo,MATCH(AB3249,ctaNombre,0))&amp;"",""))</f>
        <v/>
      </c>
      <c r="AE3249" s="52">
        <f>IF(AC3249="","",IFERROR(INDEX(ctaTipo,MATCH(AC3249,ctaNombre,0))&amp;"",""))</f>
        <v/>
      </c>
      <c r="AF3249" s="53">
        <f>IF(OR(P3249="",AB3249=""),"",IF(OR(P3249="Gasto",P3249="Transferencia",P3249="Pago tarjeta"),-1,1)*IF(IFERROR(INDEX(ctaMoneda,MATCH(AB3249,ctaNombre,0))&amp;"","DOP")="USD",T3249,S3249))</f>
        <v/>
      </c>
      <c r="AG3249" s="53">
        <f>IF(AC3249="","",IF(IFERROR(INDEX(ctaMoneda,MATCH(AC3249,ctaNombre,0))&amp;"","DOP")="USD",T3249,S3249))</f>
        <v/>
      </c>
      <c r="AH3249" s="53">
        <f>IF(P3249="","",IF(AND(AD3249&lt;&gt;"",COUNTIFS(tcTipo,AD3249,tcLiq,"Sí")&gt;0),IF(OR(P3249="Gasto",P3249="Transferencia",P3249="Pago tarjeta"),-1,1)*S3249,0)+IF(AND(AE3249&lt;&gt;"",COUNTIFS(tcTipo,AE3249,tcLiq,"Sí")&gt;0),S3249,0))</f>
        <v/>
      </c>
      <c r="AI3249" s="52">
        <f>IF(OR(L3249="",P3249=""),"",IF(COUNTIFS(L$6:L3249,L3249,P$6:P3249,"?*")=1,MAX(AI$5:AI3248)+1,""))</f>
        <v/>
      </c>
    </row>
    <row r="3250">
      <c r="B3250" s="47" t="n"/>
      <c r="C3250" s="48" t="n"/>
      <c r="D3250" s="48" t="n"/>
      <c r="E3250" s="48" t="n"/>
      <c r="F3250" s="48" t="n"/>
      <c r="G3250" s="49" t="n"/>
      <c r="H3250" s="48" t="n"/>
      <c r="I3250" s="50" t="n"/>
      <c r="J3250" s="48" t="n"/>
      <c r="K3250" s="48" t="n"/>
      <c r="L3250" s="48" t="n"/>
      <c r="M3250" s="48" t="n"/>
      <c r="N3250" s="48" t="n"/>
      <c r="O3250" s="51">
        <f>IF(AND(B3250="",G3250="",C3250="",D3250="",J3250=""),"",IF(B3250="","⚠ Falta fecha",IF(G3250="","⚠ Falta monto",IF(Q3250="","⚠ Falta cuenta",IF(ISNA(MATCH(Q3250,ctaNombre,0)),"⚠ Cuenta no registrada",IF(AND(OR(P3250="Gasto",P3250="Reembolso"),D3250=""),"⚠ Falta categoría",IF(AND(D3250&lt;&gt;"",E3250&lt;&gt;"",ISNA(MATCH(D3250&amp;"|"&amp;E3250,catClave,0))),"⚠ Subcategoría no corresponde",IF(AND(OR(P3250="Transferencia",P3250="Pago tarjeta"),K3250=""),"⚠ Falta cuenta destino",IF(AND(K3250&lt;&gt;"",P3250&lt;&gt;"Transferencia",P3250&lt;&gt;"Pago tarjeta"),"⚠ Destino solo aplica a transferencias",IF(AND(K3250&lt;&gt;"",K3250=Q3250),"⚠ Origen igual a destino",IF(AND(K3250&lt;&gt;"",ISNA(MATCH(K3250,ctaNombre,0))),"⚠ Destino no registrado",IF(AND(P3250="Pago tarjeta",AE3250&lt;&gt;"Tarjeta de crédito"),"⚠ El destino debe ser tarjeta de crédito",IF(AND(P3250="Gasto",E3250="Depósitos y retiros"),"⚠ Usa tipo Transferencia",IF(AND(P3250="Resultado trading",AD3250&lt;&gt;"Cuenta de trading"),"⚠ Usa una cuenta de trading",IF(AND(G3250&lt;=0,P3250&lt;&gt;"Ajuste",P3250&lt;&gt;"Resultado trading"),"⚠ El monto debe ser positivo","✓")))))))))))))))</f>
        <v/>
      </c>
      <c r="P3250" s="52">
        <f>IF(OR(B3250="",G3250=""),"",IF(C3250="","Gasto",C3250))</f>
        <v/>
      </c>
      <c r="Q3250" s="52">
        <f>IF(P3250="","",IF(J3250&lt;&gt;"",J3250,CuentaPred&amp;""))</f>
        <v/>
      </c>
      <c r="R3250" s="52">
        <f>IF(P3250="","",IF(ISNUMBER(I3250),I3250,TasaUSD))</f>
        <v/>
      </c>
      <c r="S3250" s="53">
        <f>IF(P3250="","",IF(H3250="USD",G3250*R3250,G3250))</f>
        <v/>
      </c>
      <c r="T3250" s="53">
        <f>IF(P3250="","",IF(H3250="USD",G3250,IF(R3250&gt;0,G3250/R3250,0)))</f>
        <v/>
      </c>
      <c r="U3250" s="53">
        <f>IF(P3250="","",IF(P3250="Gasto",S3250,IF(P3250="Reembolso",-S3250,0)))</f>
        <v/>
      </c>
      <c r="V3250" s="53">
        <f>IF(P3250="","",IF(P3250="Ingreso",S3250,0))</f>
        <v/>
      </c>
      <c r="W3250" s="53">
        <f>IF(P3250="","",IF(P3250="Resultado trading",S3250,0))</f>
        <v/>
      </c>
      <c r="X3250" s="52">
        <f>IF(OR(P3250="Gasto",P3250="Reembolso"),IF(M3250&lt;&gt;"",M3250,IFERROR(INDEX(catClasif,MATCH(D3250&amp;"|"&amp;E3250,catClave,0))&amp;"","Variable")),"")</f>
        <v/>
      </c>
      <c r="Y3250" s="52">
        <f>IF(P3250="","",IFERROR(INDEX(catGrupo,MATCH(D3250&amp;"|"&amp;E3250,catClave,0))&amp;"",""))</f>
        <v/>
      </c>
      <c r="Z3250" s="52">
        <f>IF(P3250="","",WEEKDAY(B3250,2))</f>
        <v/>
      </c>
      <c r="AA3250" s="52">
        <f>IF(P3250="","",IF(AND(P3250="Gasto",X3250="Variable",D3250&lt;&gt;catTrading,S3250&gt;0,S3250&lt;=Umbral),1,0))</f>
        <v/>
      </c>
      <c r="AB3250" s="52">
        <f>IF(OR(P3250="",Q3250=""),"",IFERROR(IF(INDEX(ctaVinc,MATCH(Q3250,ctaNombre,0))&amp;""&lt;&gt;"",INDEX(ctaVinc,MATCH(Q3250,ctaNombre,0))&amp;"",Q3250),Q3250))</f>
        <v/>
      </c>
      <c r="AC3250" s="52">
        <f>IF(OR(K3250="",AND(P3250&lt;&gt;"Transferencia",P3250&lt;&gt;"Pago tarjeta")),"",IFERROR(IF(INDEX(ctaVinc,MATCH(K3250,ctaNombre,0))&amp;""&lt;&gt;"",INDEX(ctaVinc,MATCH(K3250,ctaNombre,0))&amp;"",K3250),K3250))</f>
        <v/>
      </c>
      <c r="AD3250" s="52">
        <f>IF(AB3250="","",IFERROR(INDEX(ctaTipo,MATCH(AB3250,ctaNombre,0))&amp;"",""))</f>
        <v/>
      </c>
      <c r="AE3250" s="52">
        <f>IF(AC3250="","",IFERROR(INDEX(ctaTipo,MATCH(AC3250,ctaNombre,0))&amp;"",""))</f>
        <v/>
      </c>
      <c r="AF3250" s="53">
        <f>IF(OR(P3250="",AB3250=""),"",IF(OR(P3250="Gasto",P3250="Transferencia",P3250="Pago tarjeta"),-1,1)*IF(IFERROR(INDEX(ctaMoneda,MATCH(AB3250,ctaNombre,0))&amp;"","DOP")="USD",T3250,S3250))</f>
        <v/>
      </c>
      <c r="AG3250" s="53">
        <f>IF(AC3250="","",IF(IFERROR(INDEX(ctaMoneda,MATCH(AC3250,ctaNombre,0))&amp;"","DOP")="USD",T3250,S3250))</f>
        <v/>
      </c>
      <c r="AH3250" s="53">
        <f>IF(P3250="","",IF(AND(AD3250&lt;&gt;"",COUNTIFS(tcTipo,AD3250,tcLiq,"Sí")&gt;0),IF(OR(P3250="Gasto",P3250="Transferencia",P3250="Pago tarjeta"),-1,1)*S3250,0)+IF(AND(AE3250&lt;&gt;"",COUNTIFS(tcTipo,AE3250,tcLiq,"Sí")&gt;0),S3250,0))</f>
        <v/>
      </c>
      <c r="AI3250" s="52">
        <f>IF(OR(L3250="",P3250=""),"",IF(COUNTIFS(L$6:L3250,L3250,P$6:P3250,"?*")=1,MAX(AI$5:AI3249)+1,""))</f>
        <v/>
      </c>
    </row>
    <row r="3251">
      <c r="B3251" s="47" t="n"/>
      <c r="C3251" s="48" t="n"/>
      <c r="D3251" s="48" t="n"/>
      <c r="E3251" s="48" t="n"/>
      <c r="F3251" s="48" t="n"/>
      <c r="G3251" s="49" t="n"/>
      <c r="H3251" s="48" t="n"/>
      <c r="I3251" s="50" t="n"/>
      <c r="J3251" s="48" t="n"/>
      <c r="K3251" s="48" t="n"/>
      <c r="L3251" s="48" t="n"/>
      <c r="M3251" s="48" t="n"/>
      <c r="N3251" s="48" t="n"/>
      <c r="O3251" s="51">
        <f>IF(AND(B3251="",G3251="",C3251="",D3251="",J3251=""),"",IF(B3251="","⚠ Falta fecha",IF(G3251="","⚠ Falta monto",IF(Q3251="","⚠ Falta cuenta",IF(ISNA(MATCH(Q3251,ctaNombre,0)),"⚠ Cuenta no registrada",IF(AND(OR(P3251="Gasto",P3251="Reembolso"),D3251=""),"⚠ Falta categoría",IF(AND(D3251&lt;&gt;"",E3251&lt;&gt;"",ISNA(MATCH(D3251&amp;"|"&amp;E3251,catClave,0))),"⚠ Subcategoría no corresponde",IF(AND(OR(P3251="Transferencia",P3251="Pago tarjeta"),K3251=""),"⚠ Falta cuenta destino",IF(AND(K3251&lt;&gt;"",P3251&lt;&gt;"Transferencia",P3251&lt;&gt;"Pago tarjeta"),"⚠ Destino solo aplica a transferencias",IF(AND(K3251&lt;&gt;"",K3251=Q3251),"⚠ Origen igual a destino",IF(AND(K3251&lt;&gt;"",ISNA(MATCH(K3251,ctaNombre,0))),"⚠ Destino no registrado",IF(AND(P3251="Pago tarjeta",AE3251&lt;&gt;"Tarjeta de crédito"),"⚠ El destino debe ser tarjeta de crédito",IF(AND(P3251="Gasto",E3251="Depósitos y retiros"),"⚠ Usa tipo Transferencia",IF(AND(P3251="Resultado trading",AD3251&lt;&gt;"Cuenta de trading"),"⚠ Usa una cuenta de trading",IF(AND(G3251&lt;=0,P3251&lt;&gt;"Ajuste",P3251&lt;&gt;"Resultado trading"),"⚠ El monto debe ser positivo","✓")))))))))))))))</f>
        <v/>
      </c>
      <c r="P3251" s="52">
        <f>IF(OR(B3251="",G3251=""),"",IF(C3251="","Gasto",C3251))</f>
        <v/>
      </c>
      <c r="Q3251" s="52">
        <f>IF(P3251="","",IF(J3251&lt;&gt;"",J3251,CuentaPred&amp;""))</f>
        <v/>
      </c>
      <c r="R3251" s="52">
        <f>IF(P3251="","",IF(ISNUMBER(I3251),I3251,TasaUSD))</f>
        <v/>
      </c>
      <c r="S3251" s="53">
        <f>IF(P3251="","",IF(H3251="USD",G3251*R3251,G3251))</f>
        <v/>
      </c>
      <c r="T3251" s="53">
        <f>IF(P3251="","",IF(H3251="USD",G3251,IF(R3251&gt;0,G3251/R3251,0)))</f>
        <v/>
      </c>
      <c r="U3251" s="53">
        <f>IF(P3251="","",IF(P3251="Gasto",S3251,IF(P3251="Reembolso",-S3251,0)))</f>
        <v/>
      </c>
      <c r="V3251" s="53">
        <f>IF(P3251="","",IF(P3251="Ingreso",S3251,0))</f>
        <v/>
      </c>
      <c r="W3251" s="53">
        <f>IF(P3251="","",IF(P3251="Resultado trading",S3251,0))</f>
        <v/>
      </c>
      <c r="X3251" s="52">
        <f>IF(OR(P3251="Gasto",P3251="Reembolso"),IF(M3251&lt;&gt;"",M3251,IFERROR(INDEX(catClasif,MATCH(D3251&amp;"|"&amp;E3251,catClave,0))&amp;"","Variable")),"")</f>
        <v/>
      </c>
      <c r="Y3251" s="52">
        <f>IF(P3251="","",IFERROR(INDEX(catGrupo,MATCH(D3251&amp;"|"&amp;E3251,catClave,0))&amp;"",""))</f>
        <v/>
      </c>
      <c r="Z3251" s="52">
        <f>IF(P3251="","",WEEKDAY(B3251,2))</f>
        <v/>
      </c>
      <c r="AA3251" s="52">
        <f>IF(P3251="","",IF(AND(P3251="Gasto",X3251="Variable",D3251&lt;&gt;catTrading,S3251&gt;0,S3251&lt;=Umbral),1,0))</f>
        <v/>
      </c>
      <c r="AB3251" s="52">
        <f>IF(OR(P3251="",Q3251=""),"",IFERROR(IF(INDEX(ctaVinc,MATCH(Q3251,ctaNombre,0))&amp;""&lt;&gt;"",INDEX(ctaVinc,MATCH(Q3251,ctaNombre,0))&amp;"",Q3251),Q3251))</f>
        <v/>
      </c>
      <c r="AC3251" s="52">
        <f>IF(OR(K3251="",AND(P3251&lt;&gt;"Transferencia",P3251&lt;&gt;"Pago tarjeta")),"",IFERROR(IF(INDEX(ctaVinc,MATCH(K3251,ctaNombre,0))&amp;""&lt;&gt;"",INDEX(ctaVinc,MATCH(K3251,ctaNombre,0))&amp;"",K3251),K3251))</f>
        <v/>
      </c>
      <c r="AD3251" s="52">
        <f>IF(AB3251="","",IFERROR(INDEX(ctaTipo,MATCH(AB3251,ctaNombre,0))&amp;"",""))</f>
        <v/>
      </c>
      <c r="AE3251" s="52">
        <f>IF(AC3251="","",IFERROR(INDEX(ctaTipo,MATCH(AC3251,ctaNombre,0))&amp;"",""))</f>
        <v/>
      </c>
      <c r="AF3251" s="53">
        <f>IF(OR(P3251="",AB3251=""),"",IF(OR(P3251="Gasto",P3251="Transferencia",P3251="Pago tarjeta"),-1,1)*IF(IFERROR(INDEX(ctaMoneda,MATCH(AB3251,ctaNombre,0))&amp;"","DOP")="USD",T3251,S3251))</f>
        <v/>
      </c>
      <c r="AG3251" s="53">
        <f>IF(AC3251="","",IF(IFERROR(INDEX(ctaMoneda,MATCH(AC3251,ctaNombre,0))&amp;"","DOP")="USD",T3251,S3251))</f>
        <v/>
      </c>
      <c r="AH3251" s="53">
        <f>IF(P3251="","",IF(AND(AD3251&lt;&gt;"",COUNTIFS(tcTipo,AD3251,tcLiq,"Sí")&gt;0),IF(OR(P3251="Gasto",P3251="Transferencia",P3251="Pago tarjeta"),-1,1)*S3251,0)+IF(AND(AE3251&lt;&gt;"",COUNTIFS(tcTipo,AE3251,tcLiq,"Sí")&gt;0),S3251,0))</f>
        <v/>
      </c>
      <c r="AI3251" s="52">
        <f>IF(OR(L3251="",P3251=""),"",IF(COUNTIFS(L$6:L3251,L3251,P$6:P3251,"?*")=1,MAX(AI$5:AI3250)+1,""))</f>
        <v/>
      </c>
    </row>
    <row r="3252">
      <c r="B3252" s="47" t="n"/>
      <c r="C3252" s="48" t="n"/>
      <c r="D3252" s="48" t="n"/>
      <c r="E3252" s="48" t="n"/>
      <c r="F3252" s="48" t="n"/>
      <c r="G3252" s="49" t="n"/>
      <c r="H3252" s="48" t="n"/>
      <c r="I3252" s="50" t="n"/>
      <c r="J3252" s="48" t="n"/>
      <c r="K3252" s="48" t="n"/>
      <c r="L3252" s="48" t="n"/>
      <c r="M3252" s="48" t="n"/>
      <c r="N3252" s="48" t="n"/>
      <c r="O3252" s="51">
        <f>IF(AND(B3252="",G3252="",C3252="",D3252="",J3252=""),"",IF(B3252="","⚠ Falta fecha",IF(G3252="","⚠ Falta monto",IF(Q3252="","⚠ Falta cuenta",IF(ISNA(MATCH(Q3252,ctaNombre,0)),"⚠ Cuenta no registrada",IF(AND(OR(P3252="Gasto",P3252="Reembolso"),D3252=""),"⚠ Falta categoría",IF(AND(D3252&lt;&gt;"",E3252&lt;&gt;"",ISNA(MATCH(D3252&amp;"|"&amp;E3252,catClave,0))),"⚠ Subcategoría no corresponde",IF(AND(OR(P3252="Transferencia",P3252="Pago tarjeta"),K3252=""),"⚠ Falta cuenta destino",IF(AND(K3252&lt;&gt;"",P3252&lt;&gt;"Transferencia",P3252&lt;&gt;"Pago tarjeta"),"⚠ Destino solo aplica a transferencias",IF(AND(K3252&lt;&gt;"",K3252=Q3252),"⚠ Origen igual a destino",IF(AND(K3252&lt;&gt;"",ISNA(MATCH(K3252,ctaNombre,0))),"⚠ Destino no registrado",IF(AND(P3252="Pago tarjeta",AE3252&lt;&gt;"Tarjeta de crédito"),"⚠ El destino debe ser tarjeta de crédito",IF(AND(P3252="Gasto",E3252="Depósitos y retiros"),"⚠ Usa tipo Transferencia",IF(AND(P3252="Resultado trading",AD3252&lt;&gt;"Cuenta de trading"),"⚠ Usa una cuenta de trading",IF(AND(G3252&lt;=0,P3252&lt;&gt;"Ajuste",P3252&lt;&gt;"Resultado trading"),"⚠ El monto debe ser positivo","✓")))))))))))))))</f>
        <v/>
      </c>
      <c r="P3252" s="52">
        <f>IF(OR(B3252="",G3252=""),"",IF(C3252="","Gasto",C3252))</f>
        <v/>
      </c>
      <c r="Q3252" s="52">
        <f>IF(P3252="","",IF(J3252&lt;&gt;"",J3252,CuentaPred&amp;""))</f>
        <v/>
      </c>
      <c r="R3252" s="52">
        <f>IF(P3252="","",IF(ISNUMBER(I3252),I3252,TasaUSD))</f>
        <v/>
      </c>
      <c r="S3252" s="53">
        <f>IF(P3252="","",IF(H3252="USD",G3252*R3252,G3252))</f>
        <v/>
      </c>
      <c r="T3252" s="53">
        <f>IF(P3252="","",IF(H3252="USD",G3252,IF(R3252&gt;0,G3252/R3252,0)))</f>
        <v/>
      </c>
      <c r="U3252" s="53">
        <f>IF(P3252="","",IF(P3252="Gasto",S3252,IF(P3252="Reembolso",-S3252,0)))</f>
        <v/>
      </c>
      <c r="V3252" s="53">
        <f>IF(P3252="","",IF(P3252="Ingreso",S3252,0))</f>
        <v/>
      </c>
      <c r="W3252" s="53">
        <f>IF(P3252="","",IF(P3252="Resultado trading",S3252,0))</f>
        <v/>
      </c>
      <c r="X3252" s="52">
        <f>IF(OR(P3252="Gasto",P3252="Reembolso"),IF(M3252&lt;&gt;"",M3252,IFERROR(INDEX(catClasif,MATCH(D3252&amp;"|"&amp;E3252,catClave,0))&amp;"","Variable")),"")</f>
        <v/>
      </c>
      <c r="Y3252" s="52">
        <f>IF(P3252="","",IFERROR(INDEX(catGrupo,MATCH(D3252&amp;"|"&amp;E3252,catClave,0))&amp;"",""))</f>
        <v/>
      </c>
      <c r="Z3252" s="52">
        <f>IF(P3252="","",WEEKDAY(B3252,2))</f>
        <v/>
      </c>
      <c r="AA3252" s="52">
        <f>IF(P3252="","",IF(AND(P3252="Gasto",X3252="Variable",D3252&lt;&gt;catTrading,S3252&gt;0,S3252&lt;=Umbral),1,0))</f>
        <v/>
      </c>
      <c r="AB3252" s="52">
        <f>IF(OR(P3252="",Q3252=""),"",IFERROR(IF(INDEX(ctaVinc,MATCH(Q3252,ctaNombre,0))&amp;""&lt;&gt;"",INDEX(ctaVinc,MATCH(Q3252,ctaNombre,0))&amp;"",Q3252),Q3252))</f>
        <v/>
      </c>
      <c r="AC3252" s="52">
        <f>IF(OR(K3252="",AND(P3252&lt;&gt;"Transferencia",P3252&lt;&gt;"Pago tarjeta")),"",IFERROR(IF(INDEX(ctaVinc,MATCH(K3252,ctaNombre,0))&amp;""&lt;&gt;"",INDEX(ctaVinc,MATCH(K3252,ctaNombre,0))&amp;"",K3252),K3252))</f>
        <v/>
      </c>
      <c r="AD3252" s="52">
        <f>IF(AB3252="","",IFERROR(INDEX(ctaTipo,MATCH(AB3252,ctaNombre,0))&amp;"",""))</f>
        <v/>
      </c>
      <c r="AE3252" s="52">
        <f>IF(AC3252="","",IFERROR(INDEX(ctaTipo,MATCH(AC3252,ctaNombre,0))&amp;"",""))</f>
        <v/>
      </c>
      <c r="AF3252" s="53">
        <f>IF(OR(P3252="",AB3252=""),"",IF(OR(P3252="Gasto",P3252="Transferencia",P3252="Pago tarjeta"),-1,1)*IF(IFERROR(INDEX(ctaMoneda,MATCH(AB3252,ctaNombre,0))&amp;"","DOP")="USD",T3252,S3252))</f>
        <v/>
      </c>
      <c r="AG3252" s="53">
        <f>IF(AC3252="","",IF(IFERROR(INDEX(ctaMoneda,MATCH(AC3252,ctaNombre,0))&amp;"","DOP")="USD",T3252,S3252))</f>
        <v/>
      </c>
      <c r="AH3252" s="53">
        <f>IF(P3252="","",IF(AND(AD3252&lt;&gt;"",COUNTIFS(tcTipo,AD3252,tcLiq,"Sí")&gt;0),IF(OR(P3252="Gasto",P3252="Transferencia",P3252="Pago tarjeta"),-1,1)*S3252,0)+IF(AND(AE3252&lt;&gt;"",COUNTIFS(tcTipo,AE3252,tcLiq,"Sí")&gt;0),S3252,0))</f>
        <v/>
      </c>
      <c r="AI3252" s="52">
        <f>IF(OR(L3252="",P3252=""),"",IF(COUNTIFS(L$6:L3252,L3252,P$6:P3252,"?*")=1,MAX(AI$5:AI3251)+1,""))</f>
        <v/>
      </c>
    </row>
    <row r="3253">
      <c r="B3253" s="47" t="n"/>
      <c r="C3253" s="48" t="n"/>
      <c r="D3253" s="48" t="n"/>
      <c r="E3253" s="48" t="n"/>
      <c r="F3253" s="48" t="n"/>
      <c r="G3253" s="49" t="n"/>
      <c r="H3253" s="48" t="n"/>
      <c r="I3253" s="50" t="n"/>
      <c r="J3253" s="48" t="n"/>
      <c r="K3253" s="48" t="n"/>
      <c r="L3253" s="48" t="n"/>
      <c r="M3253" s="48" t="n"/>
      <c r="N3253" s="48" t="n"/>
      <c r="O3253" s="51">
        <f>IF(AND(B3253="",G3253="",C3253="",D3253="",J3253=""),"",IF(B3253="","⚠ Falta fecha",IF(G3253="","⚠ Falta monto",IF(Q3253="","⚠ Falta cuenta",IF(ISNA(MATCH(Q3253,ctaNombre,0)),"⚠ Cuenta no registrada",IF(AND(OR(P3253="Gasto",P3253="Reembolso"),D3253=""),"⚠ Falta categoría",IF(AND(D3253&lt;&gt;"",E3253&lt;&gt;"",ISNA(MATCH(D3253&amp;"|"&amp;E3253,catClave,0))),"⚠ Subcategoría no corresponde",IF(AND(OR(P3253="Transferencia",P3253="Pago tarjeta"),K3253=""),"⚠ Falta cuenta destino",IF(AND(K3253&lt;&gt;"",P3253&lt;&gt;"Transferencia",P3253&lt;&gt;"Pago tarjeta"),"⚠ Destino solo aplica a transferencias",IF(AND(K3253&lt;&gt;"",K3253=Q3253),"⚠ Origen igual a destino",IF(AND(K3253&lt;&gt;"",ISNA(MATCH(K3253,ctaNombre,0))),"⚠ Destino no registrado",IF(AND(P3253="Pago tarjeta",AE3253&lt;&gt;"Tarjeta de crédito"),"⚠ El destino debe ser tarjeta de crédito",IF(AND(P3253="Gasto",E3253="Depósitos y retiros"),"⚠ Usa tipo Transferencia",IF(AND(P3253="Resultado trading",AD3253&lt;&gt;"Cuenta de trading"),"⚠ Usa una cuenta de trading",IF(AND(G3253&lt;=0,P3253&lt;&gt;"Ajuste",P3253&lt;&gt;"Resultado trading"),"⚠ El monto debe ser positivo","✓")))))))))))))))</f>
        <v/>
      </c>
      <c r="P3253" s="52">
        <f>IF(OR(B3253="",G3253=""),"",IF(C3253="","Gasto",C3253))</f>
        <v/>
      </c>
      <c r="Q3253" s="52">
        <f>IF(P3253="","",IF(J3253&lt;&gt;"",J3253,CuentaPred&amp;""))</f>
        <v/>
      </c>
      <c r="R3253" s="52">
        <f>IF(P3253="","",IF(ISNUMBER(I3253),I3253,TasaUSD))</f>
        <v/>
      </c>
      <c r="S3253" s="53">
        <f>IF(P3253="","",IF(H3253="USD",G3253*R3253,G3253))</f>
        <v/>
      </c>
      <c r="T3253" s="53">
        <f>IF(P3253="","",IF(H3253="USD",G3253,IF(R3253&gt;0,G3253/R3253,0)))</f>
        <v/>
      </c>
      <c r="U3253" s="53">
        <f>IF(P3253="","",IF(P3253="Gasto",S3253,IF(P3253="Reembolso",-S3253,0)))</f>
        <v/>
      </c>
      <c r="V3253" s="53">
        <f>IF(P3253="","",IF(P3253="Ingreso",S3253,0))</f>
        <v/>
      </c>
      <c r="W3253" s="53">
        <f>IF(P3253="","",IF(P3253="Resultado trading",S3253,0))</f>
        <v/>
      </c>
      <c r="X3253" s="52">
        <f>IF(OR(P3253="Gasto",P3253="Reembolso"),IF(M3253&lt;&gt;"",M3253,IFERROR(INDEX(catClasif,MATCH(D3253&amp;"|"&amp;E3253,catClave,0))&amp;"","Variable")),"")</f>
        <v/>
      </c>
      <c r="Y3253" s="52">
        <f>IF(P3253="","",IFERROR(INDEX(catGrupo,MATCH(D3253&amp;"|"&amp;E3253,catClave,0))&amp;"",""))</f>
        <v/>
      </c>
      <c r="Z3253" s="52">
        <f>IF(P3253="","",WEEKDAY(B3253,2))</f>
        <v/>
      </c>
      <c r="AA3253" s="52">
        <f>IF(P3253="","",IF(AND(P3253="Gasto",X3253="Variable",D3253&lt;&gt;catTrading,S3253&gt;0,S3253&lt;=Umbral),1,0))</f>
        <v/>
      </c>
      <c r="AB3253" s="52">
        <f>IF(OR(P3253="",Q3253=""),"",IFERROR(IF(INDEX(ctaVinc,MATCH(Q3253,ctaNombre,0))&amp;""&lt;&gt;"",INDEX(ctaVinc,MATCH(Q3253,ctaNombre,0))&amp;"",Q3253),Q3253))</f>
        <v/>
      </c>
      <c r="AC3253" s="52">
        <f>IF(OR(K3253="",AND(P3253&lt;&gt;"Transferencia",P3253&lt;&gt;"Pago tarjeta")),"",IFERROR(IF(INDEX(ctaVinc,MATCH(K3253,ctaNombre,0))&amp;""&lt;&gt;"",INDEX(ctaVinc,MATCH(K3253,ctaNombre,0))&amp;"",K3253),K3253))</f>
        <v/>
      </c>
      <c r="AD3253" s="52">
        <f>IF(AB3253="","",IFERROR(INDEX(ctaTipo,MATCH(AB3253,ctaNombre,0))&amp;"",""))</f>
        <v/>
      </c>
      <c r="AE3253" s="52">
        <f>IF(AC3253="","",IFERROR(INDEX(ctaTipo,MATCH(AC3253,ctaNombre,0))&amp;"",""))</f>
        <v/>
      </c>
      <c r="AF3253" s="53">
        <f>IF(OR(P3253="",AB3253=""),"",IF(OR(P3253="Gasto",P3253="Transferencia",P3253="Pago tarjeta"),-1,1)*IF(IFERROR(INDEX(ctaMoneda,MATCH(AB3253,ctaNombre,0))&amp;"","DOP")="USD",T3253,S3253))</f>
        <v/>
      </c>
      <c r="AG3253" s="53">
        <f>IF(AC3253="","",IF(IFERROR(INDEX(ctaMoneda,MATCH(AC3253,ctaNombre,0))&amp;"","DOP")="USD",T3253,S3253))</f>
        <v/>
      </c>
      <c r="AH3253" s="53">
        <f>IF(P3253="","",IF(AND(AD3253&lt;&gt;"",COUNTIFS(tcTipo,AD3253,tcLiq,"Sí")&gt;0),IF(OR(P3253="Gasto",P3253="Transferencia",P3253="Pago tarjeta"),-1,1)*S3253,0)+IF(AND(AE3253&lt;&gt;"",COUNTIFS(tcTipo,AE3253,tcLiq,"Sí")&gt;0),S3253,0))</f>
        <v/>
      </c>
      <c r="AI3253" s="52">
        <f>IF(OR(L3253="",P3253=""),"",IF(COUNTIFS(L$6:L3253,L3253,P$6:P3253,"?*")=1,MAX(AI$5:AI3252)+1,""))</f>
        <v/>
      </c>
    </row>
    <row r="3254">
      <c r="B3254" s="47" t="n"/>
      <c r="C3254" s="48" t="n"/>
      <c r="D3254" s="48" t="n"/>
      <c r="E3254" s="48" t="n"/>
      <c r="F3254" s="48" t="n"/>
      <c r="G3254" s="49" t="n"/>
      <c r="H3254" s="48" t="n"/>
      <c r="I3254" s="50" t="n"/>
      <c r="J3254" s="48" t="n"/>
      <c r="K3254" s="48" t="n"/>
      <c r="L3254" s="48" t="n"/>
      <c r="M3254" s="48" t="n"/>
      <c r="N3254" s="48" t="n"/>
      <c r="O3254" s="51">
        <f>IF(AND(B3254="",G3254="",C3254="",D3254="",J3254=""),"",IF(B3254="","⚠ Falta fecha",IF(G3254="","⚠ Falta monto",IF(Q3254="","⚠ Falta cuenta",IF(ISNA(MATCH(Q3254,ctaNombre,0)),"⚠ Cuenta no registrada",IF(AND(OR(P3254="Gasto",P3254="Reembolso"),D3254=""),"⚠ Falta categoría",IF(AND(D3254&lt;&gt;"",E3254&lt;&gt;"",ISNA(MATCH(D3254&amp;"|"&amp;E3254,catClave,0))),"⚠ Subcategoría no corresponde",IF(AND(OR(P3254="Transferencia",P3254="Pago tarjeta"),K3254=""),"⚠ Falta cuenta destino",IF(AND(K3254&lt;&gt;"",P3254&lt;&gt;"Transferencia",P3254&lt;&gt;"Pago tarjeta"),"⚠ Destino solo aplica a transferencias",IF(AND(K3254&lt;&gt;"",K3254=Q3254),"⚠ Origen igual a destino",IF(AND(K3254&lt;&gt;"",ISNA(MATCH(K3254,ctaNombre,0))),"⚠ Destino no registrado",IF(AND(P3254="Pago tarjeta",AE3254&lt;&gt;"Tarjeta de crédito"),"⚠ El destino debe ser tarjeta de crédito",IF(AND(P3254="Gasto",E3254="Depósitos y retiros"),"⚠ Usa tipo Transferencia",IF(AND(P3254="Resultado trading",AD3254&lt;&gt;"Cuenta de trading"),"⚠ Usa una cuenta de trading",IF(AND(G3254&lt;=0,P3254&lt;&gt;"Ajuste",P3254&lt;&gt;"Resultado trading"),"⚠ El monto debe ser positivo","✓")))))))))))))))</f>
        <v/>
      </c>
      <c r="P3254" s="52">
        <f>IF(OR(B3254="",G3254=""),"",IF(C3254="","Gasto",C3254))</f>
        <v/>
      </c>
      <c r="Q3254" s="52">
        <f>IF(P3254="","",IF(J3254&lt;&gt;"",J3254,CuentaPred&amp;""))</f>
        <v/>
      </c>
      <c r="R3254" s="52">
        <f>IF(P3254="","",IF(ISNUMBER(I3254),I3254,TasaUSD))</f>
        <v/>
      </c>
      <c r="S3254" s="53">
        <f>IF(P3254="","",IF(H3254="USD",G3254*R3254,G3254))</f>
        <v/>
      </c>
      <c r="T3254" s="53">
        <f>IF(P3254="","",IF(H3254="USD",G3254,IF(R3254&gt;0,G3254/R3254,0)))</f>
        <v/>
      </c>
      <c r="U3254" s="53">
        <f>IF(P3254="","",IF(P3254="Gasto",S3254,IF(P3254="Reembolso",-S3254,0)))</f>
        <v/>
      </c>
      <c r="V3254" s="53">
        <f>IF(P3254="","",IF(P3254="Ingreso",S3254,0))</f>
        <v/>
      </c>
      <c r="W3254" s="53">
        <f>IF(P3254="","",IF(P3254="Resultado trading",S3254,0))</f>
        <v/>
      </c>
      <c r="X3254" s="52">
        <f>IF(OR(P3254="Gasto",P3254="Reembolso"),IF(M3254&lt;&gt;"",M3254,IFERROR(INDEX(catClasif,MATCH(D3254&amp;"|"&amp;E3254,catClave,0))&amp;"","Variable")),"")</f>
        <v/>
      </c>
      <c r="Y3254" s="52">
        <f>IF(P3254="","",IFERROR(INDEX(catGrupo,MATCH(D3254&amp;"|"&amp;E3254,catClave,0))&amp;"",""))</f>
        <v/>
      </c>
      <c r="Z3254" s="52">
        <f>IF(P3254="","",WEEKDAY(B3254,2))</f>
        <v/>
      </c>
      <c r="AA3254" s="52">
        <f>IF(P3254="","",IF(AND(P3254="Gasto",X3254="Variable",D3254&lt;&gt;catTrading,S3254&gt;0,S3254&lt;=Umbral),1,0))</f>
        <v/>
      </c>
      <c r="AB3254" s="52">
        <f>IF(OR(P3254="",Q3254=""),"",IFERROR(IF(INDEX(ctaVinc,MATCH(Q3254,ctaNombre,0))&amp;""&lt;&gt;"",INDEX(ctaVinc,MATCH(Q3254,ctaNombre,0))&amp;"",Q3254),Q3254))</f>
        <v/>
      </c>
      <c r="AC3254" s="52">
        <f>IF(OR(K3254="",AND(P3254&lt;&gt;"Transferencia",P3254&lt;&gt;"Pago tarjeta")),"",IFERROR(IF(INDEX(ctaVinc,MATCH(K3254,ctaNombre,0))&amp;""&lt;&gt;"",INDEX(ctaVinc,MATCH(K3254,ctaNombre,0))&amp;"",K3254),K3254))</f>
        <v/>
      </c>
      <c r="AD3254" s="52">
        <f>IF(AB3254="","",IFERROR(INDEX(ctaTipo,MATCH(AB3254,ctaNombre,0))&amp;"",""))</f>
        <v/>
      </c>
      <c r="AE3254" s="52">
        <f>IF(AC3254="","",IFERROR(INDEX(ctaTipo,MATCH(AC3254,ctaNombre,0))&amp;"",""))</f>
        <v/>
      </c>
      <c r="AF3254" s="53">
        <f>IF(OR(P3254="",AB3254=""),"",IF(OR(P3254="Gasto",P3254="Transferencia",P3254="Pago tarjeta"),-1,1)*IF(IFERROR(INDEX(ctaMoneda,MATCH(AB3254,ctaNombre,0))&amp;"","DOP")="USD",T3254,S3254))</f>
        <v/>
      </c>
      <c r="AG3254" s="53">
        <f>IF(AC3254="","",IF(IFERROR(INDEX(ctaMoneda,MATCH(AC3254,ctaNombre,0))&amp;"","DOP")="USD",T3254,S3254))</f>
        <v/>
      </c>
      <c r="AH3254" s="53">
        <f>IF(P3254="","",IF(AND(AD3254&lt;&gt;"",COUNTIFS(tcTipo,AD3254,tcLiq,"Sí")&gt;0),IF(OR(P3254="Gasto",P3254="Transferencia",P3254="Pago tarjeta"),-1,1)*S3254,0)+IF(AND(AE3254&lt;&gt;"",COUNTIFS(tcTipo,AE3254,tcLiq,"Sí")&gt;0),S3254,0))</f>
        <v/>
      </c>
      <c r="AI3254" s="52">
        <f>IF(OR(L3254="",P3254=""),"",IF(COUNTIFS(L$6:L3254,L3254,P$6:P3254,"?*")=1,MAX(AI$5:AI3253)+1,""))</f>
        <v/>
      </c>
    </row>
    <row r="3255">
      <c r="B3255" s="47" t="n"/>
      <c r="C3255" s="48" t="n"/>
      <c r="D3255" s="48" t="n"/>
      <c r="E3255" s="48" t="n"/>
      <c r="F3255" s="48" t="n"/>
      <c r="G3255" s="49" t="n"/>
      <c r="H3255" s="48" t="n"/>
      <c r="I3255" s="50" t="n"/>
      <c r="J3255" s="48" t="n"/>
      <c r="K3255" s="48" t="n"/>
      <c r="L3255" s="48" t="n"/>
      <c r="M3255" s="48" t="n"/>
      <c r="N3255" s="48" t="n"/>
      <c r="O3255" s="51">
        <f>IF(AND(B3255="",G3255="",C3255="",D3255="",J3255=""),"",IF(B3255="","⚠ Falta fecha",IF(G3255="","⚠ Falta monto",IF(Q3255="","⚠ Falta cuenta",IF(ISNA(MATCH(Q3255,ctaNombre,0)),"⚠ Cuenta no registrada",IF(AND(OR(P3255="Gasto",P3255="Reembolso"),D3255=""),"⚠ Falta categoría",IF(AND(D3255&lt;&gt;"",E3255&lt;&gt;"",ISNA(MATCH(D3255&amp;"|"&amp;E3255,catClave,0))),"⚠ Subcategoría no corresponde",IF(AND(OR(P3255="Transferencia",P3255="Pago tarjeta"),K3255=""),"⚠ Falta cuenta destino",IF(AND(K3255&lt;&gt;"",P3255&lt;&gt;"Transferencia",P3255&lt;&gt;"Pago tarjeta"),"⚠ Destino solo aplica a transferencias",IF(AND(K3255&lt;&gt;"",K3255=Q3255),"⚠ Origen igual a destino",IF(AND(K3255&lt;&gt;"",ISNA(MATCH(K3255,ctaNombre,0))),"⚠ Destino no registrado",IF(AND(P3255="Pago tarjeta",AE3255&lt;&gt;"Tarjeta de crédito"),"⚠ El destino debe ser tarjeta de crédito",IF(AND(P3255="Gasto",E3255="Depósitos y retiros"),"⚠ Usa tipo Transferencia",IF(AND(P3255="Resultado trading",AD3255&lt;&gt;"Cuenta de trading"),"⚠ Usa una cuenta de trading",IF(AND(G3255&lt;=0,P3255&lt;&gt;"Ajuste",P3255&lt;&gt;"Resultado trading"),"⚠ El monto debe ser positivo","✓")))))))))))))))</f>
        <v/>
      </c>
      <c r="P3255" s="52">
        <f>IF(OR(B3255="",G3255=""),"",IF(C3255="","Gasto",C3255))</f>
        <v/>
      </c>
      <c r="Q3255" s="52">
        <f>IF(P3255="","",IF(J3255&lt;&gt;"",J3255,CuentaPred&amp;""))</f>
        <v/>
      </c>
      <c r="R3255" s="52">
        <f>IF(P3255="","",IF(ISNUMBER(I3255),I3255,TasaUSD))</f>
        <v/>
      </c>
      <c r="S3255" s="53">
        <f>IF(P3255="","",IF(H3255="USD",G3255*R3255,G3255))</f>
        <v/>
      </c>
      <c r="T3255" s="53">
        <f>IF(P3255="","",IF(H3255="USD",G3255,IF(R3255&gt;0,G3255/R3255,0)))</f>
        <v/>
      </c>
      <c r="U3255" s="53">
        <f>IF(P3255="","",IF(P3255="Gasto",S3255,IF(P3255="Reembolso",-S3255,0)))</f>
        <v/>
      </c>
      <c r="V3255" s="53">
        <f>IF(P3255="","",IF(P3255="Ingreso",S3255,0))</f>
        <v/>
      </c>
      <c r="W3255" s="53">
        <f>IF(P3255="","",IF(P3255="Resultado trading",S3255,0))</f>
        <v/>
      </c>
      <c r="X3255" s="52">
        <f>IF(OR(P3255="Gasto",P3255="Reembolso"),IF(M3255&lt;&gt;"",M3255,IFERROR(INDEX(catClasif,MATCH(D3255&amp;"|"&amp;E3255,catClave,0))&amp;"","Variable")),"")</f>
        <v/>
      </c>
      <c r="Y3255" s="52">
        <f>IF(P3255="","",IFERROR(INDEX(catGrupo,MATCH(D3255&amp;"|"&amp;E3255,catClave,0))&amp;"",""))</f>
        <v/>
      </c>
      <c r="Z3255" s="52">
        <f>IF(P3255="","",WEEKDAY(B3255,2))</f>
        <v/>
      </c>
      <c r="AA3255" s="52">
        <f>IF(P3255="","",IF(AND(P3255="Gasto",X3255="Variable",D3255&lt;&gt;catTrading,S3255&gt;0,S3255&lt;=Umbral),1,0))</f>
        <v/>
      </c>
      <c r="AB3255" s="52">
        <f>IF(OR(P3255="",Q3255=""),"",IFERROR(IF(INDEX(ctaVinc,MATCH(Q3255,ctaNombre,0))&amp;""&lt;&gt;"",INDEX(ctaVinc,MATCH(Q3255,ctaNombre,0))&amp;"",Q3255),Q3255))</f>
        <v/>
      </c>
      <c r="AC3255" s="52">
        <f>IF(OR(K3255="",AND(P3255&lt;&gt;"Transferencia",P3255&lt;&gt;"Pago tarjeta")),"",IFERROR(IF(INDEX(ctaVinc,MATCH(K3255,ctaNombre,0))&amp;""&lt;&gt;"",INDEX(ctaVinc,MATCH(K3255,ctaNombre,0))&amp;"",K3255),K3255))</f>
        <v/>
      </c>
      <c r="AD3255" s="52">
        <f>IF(AB3255="","",IFERROR(INDEX(ctaTipo,MATCH(AB3255,ctaNombre,0))&amp;"",""))</f>
        <v/>
      </c>
      <c r="AE3255" s="52">
        <f>IF(AC3255="","",IFERROR(INDEX(ctaTipo,MATCH(AC3255,ctaNombre,0))&amp;"",""))</f>
        <v/>
      </c>
      <c r="AF3255" s="53">
        <f>IF(OR(P3255="",AB3255=""),"",IF(OR(P3255="Gasto",P3255="Transferencia",P3255="Pago tarjeta"),-1,1)*IF(IFERROR(INDEX(ctaMoneda,MATCH(AB3255,ctaNombre,0))&amp;"","DOP")="USD",T3255,S3255))</f>
        <v/>
      </c>
      <c r="AG3255" s="53">
        <f>IF(AC3255="","",IF(IFERROR(INDEX(ctaMoneda,MATCH(AC3255,ctaNombre,0))&amp;"","DOP")="USD",T3255,S3255))</f>
        <v/>
      </c>
      <c r="AH3255" s="53">
        <f>IF(P3255="","",IF(AND(AD3255&lt;&gt;"",COUNTIFS(tcTipo,AD3255,tcLiq,"Sí")&gt;0),IF(OR(P3255="Gasto",P3255="Transferencia",P3255="Pago tarjeta"),-1,1)*S3255,0)+IF(AND(AE3255&lt;&gt;"",COUNTIFS(tcTipo,AE3255,tcLiq,"Sí")&gt;0),S3255,0))</f>
        <v/>
      </c>
      <c r="AI3255" s="52">
        <f>IF(OR(L3255="",P3255=""),"",IF(COUNTIFS(L$6:L3255,L3255,P$6:P3255,"?*")=1,MAX(AI$5:AI3254)+1,""))</f>
        <v/>
      </c>
    </row>
    <row r="3256">
      <c r="B3256" s="47" t="n"/>
      <c r="C3256" s="48" t="n"/>
      <c r="D3256" s="48" t="n"/>
      <c r="E3256" s="48" t="n"/>
      <c r="F3256" s="48" t="n"/>
      <c r="G3256" s="49" t="n"/>
      <c r="H3256" s="48" t="n"/>
      <c r="I3256" s="50" t="n"/>
      <c r="J3256" s="48" t="n"/>
      <c r="K3256" s="48" t="n"/>
      <c r="L3256" s="48" t="n"/>
      <c r="M3256" s="48" t="n"/>
      <c r="N3256" s="48" t="n"/>
      <c r="O3256" s="51">
        <f>IF(AND(B3256="",G3256="",C3256="",D3256="",J3256=""),"",IF(B3256="","⚠ Falta fecha",IF(G3256="","⚠ Falta monto",IF(Q3256="","⚠ Falta cuenta",IF(ISNA(MATCH(Q3256,ctaNombre,0)),"⚠ Cuenta no registrada",IF(AND(OR(P3256="Gasto",P3256="Reembolso"),D3256=""),"⚠ Falta categoría",IF(AND(D3256&lt;&gt;"",E3256&lt;&gt;"",ISNA(MATCH(D3256&amp;"|"&amp;E3256,catClave,0))),"⚠ Subcategoría no corresponde",IF(AND(OR(P3256="Transferencia",P3256="Pago tarjeta"),K3256=""),"⚠ Falta cuenta destino",IF(AND(K3256&lt;&gt;"",P3256&lt;&gt;"Transferencia",P3256&lt;&gt;"Pago tarjeta"),"⚠ Destino solo aplica a transferencias",IF(AND(K3256&lt;&gt;"",K3256=Q3256),"⚠ Origen igual a destino",IF(AND(K3256&lt;&gt;"",ISNA(MATCH(K3256,ctaNombre,0))),"⚠ Destino no registrado",IF(AND(P3256="Pago tarjeta",AE3256&lt;&gt;"Tarjeta de crédito"),"⚠ El destino debe ser tarjeta de crédito",IF(AND(P3256="Gasto",E3256="Depósitos y retiros"),"⚠ Usa tipo Transferencia",IF(AND(P3256="Resultado trading",AD3256&lt;&gt;"Cuenta de trading"),"⚠ Usa una cuenta de trading",IF(AND(G3256&lt;=0,P3256&lt;&gt;"Ajuste",P3256&lt;&gt;"Resultado trading"),"⚠ El monto debe ser positivo","✓")))))))))))))))</f>
        <v/>
      </c>
      <c r="P3256" s="52">
        <f>IF(OR(B3256="",G3256=""),"",IF(C3256="","Gasto",C3256))</f>
        <v/>
      </c>
      <c r="Q3256" s="52">
        <f>IF(P3256="","",IF(J3256&lt;&gt;"",J3256,CuentaPred&amp;""))</f>
        <v/>
      </c>
      <c r="R3256" s="52">
        <f>IF(P3256="","",IF(ISNUMBER(I3256),I3256,TasaUSD))</f>
        <v/>
      </c>
      <c r="S3256" s="53">
        <f>IF(P3256="","",IF(H3256="USD",G3256*R3256,G3256))</f>
        <v/>
      </c>
      <c r="T3256" s="53">
        <f>IF(P3256="","",IF(H3256="USD",G3256,IF(R3256&gt;0,G3256/R3256,0)))</f>
        <v/>
      </c>
      <c r="U3256" s="53">
        <f>IF(P3256="","",IF(P3256="Gasto",S3256,IF(P3256="Reembolso",-S3256,0)))</f>
        <v/>
      </c>
      <c r="V3256" s="53">
        <f>IF(P3256="","",IF(P3256="Ingreso",S3256,0))</f>
        <v/>
      </c>
      <c r="W3256" s="53">
        <f>IF(P3256="","",IF(P3256="Resultado trading",S3256,0))</f>
        <v/>
      </c>
      <c r="X3256" s="52">
        <f>IF(OR(P3256="Gasto",P3256="Reembolso"),IF(M3256&lt;&gt;"",M3256,IFERROR(INDEX(catClasif,MATCH(D3256&amp;"|"&amp;E3256,catClave,0))&amp;"","Variable")),"")</f>
        <v/>
      </c>
      <c r="Y3256" s="52">
        <f>IF(P3256="","",IFERROR(INDEX(catGrupo,MATCH(D3256&amp;"|"&amp;E3256,catClave,0))&amp;"",""))</f>
        <v/>
      </c>
      <c r="Z3256" s="52">
        <f>IF(P3256="","",WEEKDAY(B3256,2))</f>
        <v/>
      </c>
      <c r="AA3256" s="52">
        <f>IF(P3256="","",IF(AND(P3256="Gasto",X3256="Variable",D3256&lt;&gt;catTrading,S3256&gt;0,S3256&lt;=Umbral),1,0))</f>
        <v/>
      </c>
      <c r="AB3256" s="52">
        <f>IF(OR(P3256="",Q3256=""),"",IFERROR(IF(INDEX(ctaVinc,MATCH(Q3256,ctaNombre,0))&amp;""&lt;&gt;"",INDEX(ctaVinc,MATCH(Q3256,ctaNombre,0))&amp;"",Q3256),Q3256))</f>
        <v/>
      </c>
      <c r="AC3256" s="52">
        <f>IF(OR(K3256="",AND(P3256&lt;&gt;"Transferencia",P3256&lt;&gt;"Pago tarjeta")),"",IFERROR(IF(INDEX(ctaVinc,MATCH(K3256,ctaNombre,0))&amp;""&lt;&gt;"",INDEX(ctaVinc,MATCH(K3256,ctaNombre,0))&amp;"",K3256),K3256))</f>
        <v/>
      </c>
      <c r="AD3256" s="52">
        <f>IF(AB3256="","",IFERROR(INDEX(ctaTipo,MATCH(AB3256,ctaNombre,0))&amp;"",""))</f>
        <v/>
      </c>
      <c r="AE3256" s="52">
        <f>IF(AC3256="","",IFERROR(INDEX(ctaTipo,MATCH(AC3256,ctaNombre,0))&amp;"",""))</f>
        <v/>
      </c>
      <c r="AF3256" s="53">
        <f>IF(OR(P3256="",AB3256=""),"",IF(OR(P3256="Gasto",P3256="Transferencia",P3256="Pago tarjeta"),-1,1)*IF(IFERROR(INDEX(ctaMoneda,MATCH(AB3256,ctaNombre,0))&amp;"","DOP")="USD",T3256,S3256))</f>
        <v/>
      </c>
      <c r="AG3256" s="53">
        <f>IF(AC3256="","",IF(IFERROR(INDEX(ctaMoneda,MATCH(AC3256,ctaNombre,0))&amp;"","DOP")="USD",T3256,S3256))</f>
        <v/>
      </c>
      <c r="AH3256" s="53">
        <f>IF(P3256="","",IF(AND(AD3256&lt;&gt;"",COUNTIFS(tcTipo,AD3256,tcLiq,"Sí")&gt;0),IF(OR(P3256="Gasto",P3256="Transferencia",P3256="Pago tarjeta"),-1,1)*S3256,0)+IF(AND(AE3256&lt;&gt;"",COUNTIFS(tcTipo,AE3256,tcLiq,"Sí")&gt;0),S3256,0))</f>
        <v/>
      </c>
      <c r="AI3256" s="52">
        <f>IF(OR(L3256="",P3256=""),"",IF(COUNTIFS(L$6:L3256,L3256,P$6:P3256,"?*")=1,MAX(AI$5:AI3255)+1,""))</f>
        <v/>
      </c>
    </row>
    <row r="3257">
      <c r="B3257" s="47" t="n"/>
      <c r="C3257" s="48" t="n"/>
      <c r="D3257" s="48" t="n"/>
      <c r="E3257" s="48" t="n"/>
      <c r="F3257" s="48" t="n"/>
      <c r="G3257" s="49" t="n"/>
      <c r="H3257" s="48" t="n"/>
      <c r="I3257" s="50" t="n"/>
      <c r="J3257" s="48" t="n"/>
      <c r="K3257" s="48" t="n"/>
      <c r="L3257" s="48" t="n"/>
      <c r="M3257" s="48" t="n"/>
      <c r="N3257" s="48" t="n"/>
      <c r="O3257" s="51">
        <f>IF(AND(B3257="",G3257="",C3257="",D3257="",J3257=""),"",IF(B3257="","⚠ Falta fecha",IF(G3257="","⚠ Falta monto",IF(Q3257="","⚠ Falta cuenta",IF(ISNA(MATCH(Q3257,ctaNombre,0)),"⚠ Cuenta no registrada",IF(AND(OR(P3257="Gasto",P3257="Reembolso"),D3257=""),"⚠ Falta categoría",IF(AND(D3257&lt;&gt;"",E3257&lt;&gt;"",ISNA(MATCH(D3257&amp;"|"&amp;E3257,catClave,0))),"⚠ Subcategoría no corresponde",IF(AND(OR(P3257="Transferencia",P3257="Pago tarjeta"),K3257=""),"⚠ Falta cuenta destino",IF(AND(K3257&lt;&gt;"",P3257&lt;&gt;"Transferencia",P3257&lt;&gt;"Pago tarjeta"),"⚠ Destino solo aplica a transferencias",IF(AND(K3257&lt;&gt;"",K3257=Q3257),"⚠ Origen igual a destino",IF(AND(K3257&lt;&gt;"",ISNA(MATCH(K3257,ctaNombre,0))),"⚠ Destino no registrado",IF(AND(P3257="Pago tarjeta",AE3257&lt;&gt;"Tarjeta de crédito"),"⚠ El destino debe ser tarjeta de crédito",IF(AND(P3257="Gasto",E3257="Depósitos y retiros"),"⚠ Usa tipo Transferencia",IF(AND(P3257="Resultado trading",AD3257&lt;&gt;"Cuenta de trading"),"⚠ Usa una cuenta de trading",IF(AND(G3257&lt;=0,P3257&lt;&gt;"Ajuste",P3257&lt;&gt;"Resultado trading"),"⚠ El monto debe ser positivo","✓")))))))))))))))</f>
        <v/>
      </c>
      <c r="P3257" s="52">
        <f>IF(OR(B3257="",G3257=""),"",IF(C3257="","Gasto",C3257))</f>
        <v/>
      </c>
      <c r="Q3257" s="52">
        <f>IF(P3257="","",IF(J3257&lt;&gt;"",J3257,CuentaPred&amp;""))</f>
        <v/>
      </c>
      <c r="R3257" s="52">
        <f>IF(P3257="","",IF(ISNUMBER(I3257),I3257,TasaUSD))</f>
        <v/>
      </c>
      <c r="S3257" s="53">
        <f>IF(P3257="","",IF(H3257="USD",G3257*R3257,G3257))</f>
        <v/>
      </c>
      <c r="T3257" s="53">
        <f>IF(P3257="","",IF(H3257="USD",G3257,IF(R3257&gt;0,G3257/R3257,0)))</f>
        <v/>
      </c>
      <c r="U3257" s="53">
        <f>IF(P3257="","",IF(P3257="Gasto",S3257,IF(P3257="Reembolso",-S3257,0)))</f>
        <v/>
      </c>
      <c r="V3257" s="53">
        <f>IF(P3257="","",IF(P3257="Ingreso",S3257,0))</f>
        <v/>
      </c>
      <c r="W3257" s="53">
        <f>IF(P3257="","",IF(P3257="Resultado trading",S3257,0))</f>
        <v/>
      </c>
      <c r="X3257" s="52">
        <f>IF(OR(P3257="Gasto",P3257="Reembolso"),IF(M3257&lt;&gt;"",M3257,IFERROR(INDEX(catClasif,MATCH(D3257&amp;"|"&amp;E3257,catClave,0))&amp;"","Variable")),"")</f>
        <v/>
      </c>
      <c r="Y3257" s="52">
        <f>IF(P3257="","",IFERROR(INDEX(catGrupo,MATCH(D3257&amp;"|"&amp;E3257,catClave,0))&amp;"",""))</f>
        <v/>
      </c>
      <c r="Z3257" s="52">
        <f>IF(P3257="","",WEEKDAY(B3257,2))</f>
        <v/>
      </c>
      <c r="AA3257" s="52">
        <f>IF(P3257="","",IF(AND(P3257="Gasto",X3257="Variable",D3257&lt;&gt;catTrading,S3257&gt;0,S3257&lt;=Umbral),1,0))</f>
        <v/>
      </c>
      <c r="AB3257" s="52">
        <f>IF(OR(P3257="",Q3257=""),"",IFERROR(IF(INDEX(ctaVinc,MATCH(Q3257,ctaNombre,0))&amp;""&lt;&gt;"",INDEX(ctaVinc,MATCH(Q3257,ctaNombre,0))&amp;"",Q3257),Q3257))</f>
        <v/>
      </c>
      <c r="AC3257" s="52">
        <f>IF(OR(K3257="",AND(P3257&lt;&gt;"Transferencia",P3257&lt;&gt;"Pago tarjeta")),"",IFERROR(IF(INDEX(ctaVinc,MATCH(K3257,ctaNombre,0))&amp;""&lt;&gt;"",INDEX(ctaVinc,MATCH(K3257,ctaNombre,0))&amp;"",K3257),K3257))</f>
        <v/>
      </c>
      <c r="AD3257" s="52">
        <f>IF(AB3257="","",IFERROR(INDEX(ctaTipo,MATCH(AB3257,ctaNombre,0))&amp;"",""))</f>
        <v/>
      </c>
      <c r="AE3257" s="52">
        <f>IF(AC3257="","",IFERROR(INDEX(ctaTipo,MATCH(AC3257,ctaNombre,0))&amp;"",""))</f>
        <v/>
      </c>
      <c r="AF3257" s="53">
        <f>IF(OR(P3257="",AB3257=""),"",IF(OR(P3257="Gasto",P3257="Transferencia",P3257="Pago tarjeta"),-1,1)*IF(IFERROR(INDEX(ctaMoneda,MATCH(AB3257,ctaNombre,0))&amp;"","DOP")="USD",T3257,S3257))</f>
        <v/>
      </c>
      <c r="AG3257" s="53">
        <f>IF(AC3257="","",IF(IFERROR(INDEX(ctaMoneda,MATCH(AC3257,ctaNombre,0))&amp;"","DOP")="USD",T3257,S3257))</f>
        <v/>
      </c>
      <c r="AH3257" s="53">
        <f>IF(P3257="","",IF(AND(AD3257&lt;&gt;"",COUNTIFS(tcTipo,AD3257,tcLiq,"Sí")&gt;0),IF(OR(P3257="Gasto",P3257="Transferencia",P3257="Pago tarjeta"),-1,1)*S3257,0)+IF(AND(AE3257&lt;&gt;"",COUNTIFS(tcTipo,AE3257,tcLiq,"Sí")&gt;0),S3257,0))</f>
        <v/>
      </c>
      <c r="AI3257" s="52">
        <f>IF(OR(L3257="",P3257=""),"",IF(COUNTIFS(L$6:L3257,L3257,P$6:P3257,"?*")=1,MAX(AI$5:AI3256)+1,""))</f>
        <v/>
      </c>
    </row>
    <row r="3258">
      <c r="B3258" s="47" t="n"/>
      <c r="C3258" s="48" t="n"/>
      <c r="D3258" s="48" t="n"/>
      <c r="E3258" s="48" t="n"/>
      <c r="F3258" s="48" t="n"/>
      <c r="G3258" s="49" t="n"/>
      <c r="H3258" s="48" t="n"/>
      <c r="I3258" s="50" t="n"/>
      <c r="J3258" s="48" t="n"/>
      <c r="K3258" s="48" t="n"/>
      <c r="L3258" s="48" t="n"/>
      <c r="M3258" s="48" t="n"/>
      <c r="N3258" s="48" t="n"/>
      <c r="O3258" s="51">
        <f>IF(AND(B3258="",G3258="",C3258="",D3258="",J3258=""),"",IF(B3258="","⚠ Falta fecha",IF(G3258="","⚠ Falta monto",IF(Q3258="","⚠ Falta cuenta",IF(ISNA(MATCH(Q3258,ctaNombre,0)),"⚠ Cuenta no registrada",IF(AND(OR(P3258="Gasto",P3258="Reembolso"),D3258=""),"⚠ Falta categoría",IF(AND(D3258&lt;&gt;"",E3258&lt;&gt;"",ISNA(MATCH(D3258&amp;"|"&amp;E3258,catClave,0))),"⚠ Subcategoría no corresponde",IF(AND(OR(P3258="Transferencia",P3258="Pago tarjeta"),K3258=""),"⚠ Falta cuenta destino",IF(AND(K3258&lt;&gt;"",P3258&lt;&gt;"Transferencia",P3258&lt;&gt;"Pago tarjeta"),"⚠ Destino solo aplica a transferencias",IF(AND(K3258&lt;&gt;"",K3258=Q3258),"⚠ Origen igual a destino",IF(AND(K3258&lt;&gt;"",ISNA(MATCH(K3258,ctaNombre,0))),"⚠ Destino no registrado",IF(AND(P3258="Pago tarjeta",AE3258&lt;&gt;"Tarjeta de crédito"),"⚠ El destino debe ser tarjeta de crédito",IF(AND(P3258="Gasto",E3258="Depósitos y retiros"),"⚠ Usa tipo Transferencia",IF(AND(P3258="Resultado trading",AD3258&lt;&gt;"Cuenta de trading"),"⚠ Usa una cuenta de trading",IF(AND(G3258&lt;=0,P3258&lt;&gt;"Ajuste",P3258&lt;&gt;"Resultado trading"),"⚠ El monto debe ser positivo","✓")))))))))))))))</f>
        <v/>
      </c>
      <c r="P3258" s="52">
        <f>IF(OR(B3258="",G3258=""),"",IF(C3258="","Gasto",C3258))</f>
        <v/>
      </c>
      <c r="Q3258" s="52">
        <f>IF(P3258="","",IF(J3258&lt;&gt;"",J3258,CuentaPred&amp;""))</f>
        <v/>
      </c>
      <c r="R3258" s="52">
        <f>IF(P3258="","",IF(ISNUMBER(I3258),I3258,TasaUSD))</f>
        <v/>
      </c>
      <c r="S3258" s="53">
        <f>IF(P3258="","",IF(H3258="USD",G3258*R3258,G3258))</f>
        <v/>
      </c>
      <c r="T3258" s="53">
        <f>IF(P3258="","",IF(H3258="USD",G3258,IF(R3258&gt;0,G3258/R3258,0)))</f>
        <v/>
      </c>
      <c r="U3258" s="53">
        <f>IF(P3258="","",IF(P3258="Gasto",S3258,IF(P3258="Reembolso",-S3258,0)))</f>
        <v/>
      </c>
      <c r="V3258" s="53">
        <f>IF(P3258="","",IF(P3258="Ingreso",S3258,0))</f>
        <v/>
      </c>
      <c r="W3258" s="53">
        <f>IF(P3258="","",IF(P3258="Resultado trading",S3258,0))</f>
        <v/>
      </c>
      <c r="X3258" s="52">
        <f>IF(OR(P3258="Gasto",P3258="Reembolso"),IF(M3258&lt;&gt;"",M3258,IFERROR(INDEX(catClasif,MATCH(D3258&amp;"|"&amp;E3258,catClave,0))&amp;"","Variable")),"")</f>
        <v/>
      </c>
      <c r="Y3258" s="52">
        <f>IF(P3258="","",IFERROR(INDEX(catGrupo,MATCH(D3258&amp;"|"&amp;E3258,catClave,0))&amp;"",""))</f>
        <v/>
      </c>
      <c r="Z3258" s="52">
        <f>IF(P3258="","",WEEKDAY(B3258,2))</f>
        <v/>
      </c>
      <c r="AA3258" s="52">
        <f>IF(P3258="","",IF(AND(P3258="Gasto",X3258="Variable",D3258&lt;&gt;catTrading,S3258&gt;0,S3258&lt;=Umbral),1,0))</f>
        <v/>
      </c>
      <c r="AB3258" s="52">
        <f>IF(OR(P3258="",Q3258=""),"",IFERROR(IF(INDEX(ctaVinc,MATCH(Q3258,ctaNombre,0))&amp;""&lt;&gt;"",INDEX(ctaVinc,MATCH(Q3258,ctaNombre,0))&amp;"",Q3258),Q3258))</f>
        <v/>
      </c>
      <c r="AC3258" s="52">
        <f>IF(OR(K3258="",AND(P3258&lt;&gt;"Transferencia",P3258&lt;&gt;"Pago tarjeta")),"",IFERROR(IF(INDEX(ctaVinc,MATCH(K3258,ctaNombre,0))&amp;""&lt;&gt;"",INDEX(ctaVinc,MATCH(K3258,ctaNombre,0))&amp;"",K3258),K3258))</f>
        <v/>
      </c>
      <c r="AD3258" s="52">
        <f>IF(AB3258="","",IFERROR(INDEX(ctaTipo,MATCH(AB3258,ctaNombre,0))&amp;"",""))</f>
        <v/>
      </c>
      <c r="AE3258" s="52">
        <f>IF(AC3258="","",IFERROR(INDEX(ctaTipo,MATCH(AC3258,ctaNombre,0))&amp;"",""))</f>
        <v/>
      </c>
      <c r="AF3258" s="53">
        <f>IF(OR(P3258="",AB3258=""),"",IF(OR(P3258="Gasto",P3258="Transferencia",P3258="Pago tarjeta"),-1,1)*IF(IFERROR(INDEX(ctaMoneda,MATCH(AB3258,ctaNombre,0))&amp;"","DOP")="USD",T3258,S3258))</f>
        <v/>
      </c>
      <c r="AG3258" s="53">
        <f>IF(AC3258="","",IF(IFERROR(INDEX(ctaMoneda,MATCH(AC3258,ctaNombre,0))&amp;"","DOP")="USD",T3258,S3258))</f>
        <v/>
      </c>
      <c r="AH3258" s="53">
        <f>IF(P3258="","",IF(AND(AD3258&lt;&gt;"",COUNTIFS(tcTipo,AD3258,tcLiq,"Sí")&gt;0),IF(OR(P3258="Gasto",P3258="Transferencia",P3258="Pago tarjeta"),-1,1)*S3258,0)+IF(AND(AE3258&lt;&gt;"",COUNTIFS(tcTipo,AE3258,tcLiq,"Sí")&gt;0),S3258,0))</f>
        <v/>
      </c>
      <c r="AI3258" s="52">
        <f>IF(OR(L3258="",P3258=""),"",IF(COUNTIFS(L$6:L3258,L3258,P$6:P3258,"?*")=1,MAX(AI$5:AI3257)+1,""))</f>
        <v/>
      </c>
    </row>
    <row r="3259">
      <c r="B3259" s="47" t="n"/>
      <c r="C3259" s="48" t="n"/>
      <c r="D3259" s="48" t="n"/>
      <c r="E3259" s="48" t="n"/>
      <c r="F3259" s="48" t="n"/>
      <c r="G3259" s="49" t="n"/>
      <c r="H3259" s="48" t="n"/>
      <c r="I3259" s="50" t="n"/>
      <c r="J3259" s="48" t="n"/>
      <c r="K3259" s="48" t="n"/>
      <c r="L3259" s="48" t="n"/>
      <c r="M3259" s="48" t="n"/>
      <c r="N3259" s="48" t="n"/>
      <c r="O3259" s="51">
        <f>IF(AND(B3259="",G3259="",C3259="",D3259="",J3259=""),"",IF(B3259="","⚠ Falta fecha",IF(G3259="","⚠ Falta monto",IF(Q3259="","⚠ Falta cuenta",IF(ISNA(MATCH(Q3259,ctaNombre,0)),"⚠ Cuenta no registrada",IF(AND(OR(P3259="Gasto",P3259="Reembolso"),D3259=""),"⚠ Falta categoría",IF(AND(D3259&lt;&gt;"",E3259&lt;&gt;"",ISNA(MATCH(D3259&amp;"|"&amp;E3259,catClave,0))),"⚠ Subcategoría no corresponde",IF(AND(OR(P3259="Transferencia",P3259="Pago tarjeta"),K3259=""),"⚠ Falta cuenta destino",IF(AND(K3259&lt;&gt;"",P3259&lt;&gt;"Transferencia",P3259&lt;&gt;"Pago tarjeta"),"⚠ Destino solo aplica a transferencias",IF(AND(K3259&lt;&gt;"",K3259=Q3259),"⚠ Origen igual a destino",IF(AND(K3259&lt;&gt;"",ISNA(MATCH(K3259,ctaNombre,0))),"⚠ Destino no registrado",IF(AND(P3259="Pago tarjeta",AE3259&lt;&gt;"Tarjeta de crédito"),"⚠ El destino debe ser tarjeta de crédito",IF(AND(P3259="Gasto",E3259="Depósitos y retiros"),"⚠ Usa tipo Transferencia",IF(AND(P3259="Resultado trading",AD3259&lt;&gt;"Cuenta de trading"),"⚠ Usa una cuenta de trading",IF(AND(G3259&lt;=0,P3259&lt;&gt;"Ajuste",P3259&lt;&gt;"Resultado trading"),"⚠ El monto debe ser positivo","✓")))))))))))))))</f>
        <v/>
      </c>
      <c r="P3259" s="52">
        <f>IF(OR(B3259="",G3259=""),"",IF(C3259="","Gasto",C3259))</f>
        <v/>
      </c>
      <c r="Q3259" s="52">
        <f>IF(P3259="","",IF(J3259&lt;&gt;"",J3259,CuentaPred&amp;""))</f>
        <v/>
      </c>
      <c r="R3259" s="52">
        <f>IF(P3259="","",IF(ISNUMBER(I3259),I3259,TasaUSD))</f>
        <v/>
      </c>
      <c r="S3259" s="53">
        <f>IF(P3259="","",IF(H3259="USD",G3259*R3259,G3259))</f>
        <v/>
      </c>
      <c r="T3259" s="53">
        <f>IF(P3259="","",IF(H3259="USD",G3259,IF(R3259&gt;0,G3259/R3259,0)))</f>
        <v/>
      </c>
      <c r="U3259" s="53">
        <f>IF(P3259="","",IF(P3259="Gasto",S3259,IF(P3259="Reembolso",-S3259,0)))</f>
        <v/>
      </c>
      <c r="V3259" s="53">
        <f>IF(P3259="","",IF(P3259="Ingreso",S3259,0))</f>
        <v/>
      </c>
      <c r="W3259" s="53">
        <f>IF(P3259="","",IF(P3259="Resultado trading",S3259,0))</f>
        <v/>
      </c>
      <c r="X3259" s="52">
        <f>IF(OR(P3259="Gasto",P3259="Reembolso"),IF(M3259&lt;&gt;"",M3259,IFERROR(INDEX(catClasif,MATCH(D3259&amp;"|"&amp;E3259,catClave,0))&amp;"","Variable")),"")</f>
        <v/>
      </c>
      <c r="Y3259" s="52">
        <f>IF(P3259="","",IFERROR(INDEX(catGrupo,MATCH(D3259&amp;"|"&amp;E3259,catClave,0))&amp;"",""))</f>
        <v/>
      </c>
      <c r="Z3259" s="52">
        <f>IF(P3259="","",WEEKDAY(B3259,2))</f>
        <v/>
      </c>
      <c r="AA3259" s="52">
        <f>IF(P3259="","",IF(AND(P3259="Gasto",X3259="Variable",D3259&lt;&gt;catTrading,S3259&gt;0,S3259&lt;=Umbral),1,0))</f>
        <v/>
      </c>
      <c r="AB3259" s="52">
        <f>IF(OR(P3259="",Q3259=""),"",IFERROR(IF(INDEX(ctaVinc,MATCH(Q3259,ctaNombre,0))&amp;""&lt;&gt;"",INDEX(ctaVinc,MATCH(Q3259,ctaNombre,0))&amp;"",Q3259),Q3259))</f>
        <v/>
      </c>
      <c r="AC3259" s="52">
        <f>IF(OR(K3259="",AND(P3259&lt;&gt;"Transferencia",P3259&lt;&gt;"Pago tarjeta")),"",IFERROR(IF(INDEX(ctaVinc,MATCH(K3259,ctaNombre,0))&amp;""&lt;&gt;"",INDEX(ctaVinc,MATCH(K3259,ctaNombre,0))&amp;"",K3259),K3259))</f>
        <v/>
      </c>
      <c r="AD3259" s="52">
        <f>IF(AB3259="","",IFERROR(INDEX(ctaTipo,MATCH(AB3259,ctaNombre,0))&amp;"",""))</f>
        <v/>
      </c>
      <c r="AE3259" s="52">
        <f>IF(AC3259="","",IFERROR(INDEX(ctaTipo,MATCH(AC3259,ctaNombre,0))&amp;"",""))</f>
        <v/>
      </c>
      <c r="AF3259" s="53">
        <f>IF(OR(P3259="",AB3259=""),"",IF(OR(P3259="Gasto",P3259="Transferencia",P3259="Pago tarjeta"),-1,1)*IF(IFERROR(INDEX(ctaMoneda,MATCH(AB3259,ctaNombre,0))&amp;"","DOP")="USD",T3259,S3259))</f>
        <v/>
      </c>
      <c r="AG3259" s="53">
        <f>IF(AC3259="","",IF(IFERROR(INDEX(ctaMoneda,MATCH(AC3259,ctaNombre,0))&amp;"","DOP")="USD",T3259,S3259))</f>
        <v/>
      </c>
      <c r="AH3259" s="53">
        <f>IF(P3259="","",IF(AND(AD3259&lt;&gt;"",COUNTIFS(tcTipo,AD3259,tcLiq,"Sí")&gt;0),IF(OR(P3259="Gasto",P3259="Transferencia",P3259="Pago tarjeta"),-1,1)*S3259,0)+IF(AND(AE3259&lt;&gt;"",COUNTIFS(tcTipo,AE3259,tcLiq,"Sí")&gt;0),S3259,0))</f>
        <v/>
      </c>
      <c r="AI3259" s="52">
        <f>IF(OR(L3259="",P3259=""),"",IF(COUNTIFS(L$6:L3259,L3259,P$6:P3259,"?*")=1,MAX(AI$5:AI3258)+1,""))</f>
        <v/>
      </c>
    </row>
    <row r="3260">
      <c r="B3260" s="47" t="n"/>
      <c r="C3260" s="48" t="n"/>
      <c r="D3260" s="48" t="n"/>
      <c r="E3260" s="48" t="n"/>
      <c r="F3260" s="48" t="n"/>
      <c r="G3260" s="49" t="n"/>
      <c r="H3260" s="48" t="n"/>
      <c r="I3260" s="50" t="n"/>
      <c r="J3260" s="48" t="n"/>
      <c r="K3260" s="48" t="n"/>
      <c r="L3260" s="48" t="n"/>
      <c r="M3260" s="48" t="n"/>
      <c r="N3260" s="48" t="n"/>
      <c r="O3260" s="51">
        <f>IF(AND(B3260="",G3260="",C3260="",D3260="",J3260=""),"",IF(B3260="","⚠ Falta fecha",IF(G3260="","⚠ Falta monto",IF(Q3260="","⚠ Falta cuenta",IF(ISNA(MATCH(Q3260,ctaNombre,0)),"⚠ Cuenta no registrada",IF(AND(OR(P3260="Gasto",P3260="Reembolso"),D3260=""),"⚠ Falta categoría",IF(AND(D3260&lt;&gt;"",E3260&lt;&gt;"",ISNA(MATCH(D3260&amp;"|"&amp;E3260,catClave,0))),"⚠ Subcategoría no corresponde",IF(AND(OR(P3260="Transferencia",P3260="Pago tarjeta"),K3260=""),"⚠ Falta cuenta destino",IF(AND(K3260&lt;&gt;"",P3260&lt;&gt;"Transferencia",P3260&lt;&gt;"Pago tarjeta"),"⚠ Destino solo aplica a transferencias",IF(AND(K3260&lt;&gt;"",K3260=Q3260),"⚠ Origen igual a destino",IF(AND(K3260&lt;&gt;"",ISNA(MATCH(K3260,ctaNombre,0))),"⚠ Destino no registrado",IF(AND(P3260="Pago tarjeta",AE3260&lt;&gt;"Tarjeta de crédito"),"⚠ El destino debe ser tarjeta de crédito",IF(AND(P3260="Gasto",E3260="Depósitos y retiros"),"⚠ Usa tipo Transferencia",IF(AND(P3260="Resultado trading",AD3260&lt;&gt;"Cuenta de trading"),"⚠ Usa una cuenta de trading",IF(AND(G3260&lt;=0,P3260&lt;&gt;"Ajuste",P3260&lt;&gt;"Resultado trading"),"⚠ El monto debe ser positivo","✓")))))))))))))))</f>
        <v/>
      </c>
      <c r="P3260" s="52">
        <f>IF(OR(B3260="",G3260=""),"",IF(C3260="","Gasto",C3260))</f>
        <v/>
      </c>
      <c r="Q3260" s="52">
        <f>IF(P3260="","",IF(J3260&lt;&gt;"",J3260,CuentaPred&amp;""))</f>
        <v/>
      </c>
      <c r="R3260" s="52">
        <f>IF(P3260="","",IF(ISNUMBER(I3260),I3260,TasaUSD))</f>
        <v/>
      </c>
      <c r="S3260" s="53">
        <f>IF(P3260="","",IF(H3260="USD",G3260*R3260,G3260))</f>
        <v/>
      </c>
      <c r="T3260" s="53">
        <f>IF(P3260="","",IF(H3260="USD",G3260,IF(R3260&gt;0,G3260/R3260,0)))</f>
        <v/>
      </c>
      <c r="U3260" s="53">
        <f>IF(P3260="","",IF(P3260="Gasto",S3260,IF(P3260="Reembolso",-S3260,0)))</f>
        <v/>
      </c>
      <c r="V3260" s="53">
        <f>IF(P3260="","",IF(P3260="Ingreso",S3260,0))</f>
        <v/>
      </c>
      <c r="W3260" s="53">
        <f>IF(P3260="","",IF(P3260="Resultado trading",S3260,0))</f>
        <v/>
      </c>
      <c r="X3260" s="52">
        <f>IF(OR(P3260="Gasto",P3260="Reembolso"),IF(M3260&lt;&gt;"",M3260,IFERROR(INDEX(catClasif,MATCH(D3260&amp;"|"&amp;E3260,catClave,0))&amp;"","Variable")),"")</f>
        <v/>
      </c>
      <c r="Y3260" s="52">
        <f>IF(P3260="","",IFERROR(INDEX(catGrupo,MATCH(D3260&amp;"|"&amp;E3260,catClave,0))&amp;"",""))</f>
        <v/>
      </c>
      <c r="Z3260" s="52">
        <f>IF(P3260="","",WEEKDAY(B3260,2))</f>
        <v/>
      </c>
      <c r="AA3260" s="52">
        <f>IF(P3260="","",IF(AND(P3260="Gasto",X3260="Variable",D3260&lt;&gt;catTrading,S3260&gt;0,S3260&lt;=Umbral),1,0))</f>
        <v/>
      </c>
      <c r="AB3260" s="52">
        <f>IF(OR(P3260="",Q3260=""),"",IFERROR(IF(INDEX(ctaVinc,MATCH(Q3260,ctaNombre,0))&amp;""&lt;&gt;"",INDEX(ctaVinc,MATCH(Q3260,ctaNombre,0))&amp;"",Q3260),Q3260))</f>
        <v/>
      </c>
      <c r="AC3260" s="52">
        <f>IF(OR(K3260="",AND(P3260&lt;&gt;"Transferencia",P3260&lt;&gt;"Pago tarjeta")),"",IFERROR(IF(INDEX(ctaVinc,MATCH(K3260,ctaNombre,0))&amp;""&lt;&gt;"",INDEX(ctaVinc,MATCH(K3260,ctaNombre,0))&amp;"",K3260),K3260))</f>
        <v/>
      </c>
      <c r="AD3260" s="52">
        <f>IF(AB3260="","",IFERROR(INDEX(ctaTipo,MATCH(AB3260,ctaNombre,0))&amp;"",""))</f>
        <v/>
      </c>
      <c r="AE3260" s="52">
        <f>IF(AC3260="","",IFERROR(INDEX(ctaTipo,MATCH(AC3260,ctaNombre,0))&amp;"",""))</f>
        <v/>
      </c>
      <c r="AF3260" s="53">
        <f>IF(OR(P3260="",AB3260=""),"",IF(OR(P3260="Gasto",P3260="Transferencia",P3260="Pago tarjeta"),-1,1)*IF(IFERROR(INDEX(ctaMoneda,MATCH(AB3260,ctaNombre,0))&amp;"","DOP")="USD",T3260,S3260))</f>
        <v/>
      </c>
      <c r="AG3260" s="53">
        <f>IF(AC3260="","",IF(IFERROR(INDEX(ctaMoneda,MATCH(AC3260,ctaNombre,0))&amp;"","DOP")="USD",T3260,S3260))</f>
        <v/>
      </c>
      <c r="AH3260" s="53">
        <f>IF(P3260="","",IF(AND(AD3260&lt;&gt;"",COUNTIFS(tcTipo,AD3260,tcLiq,"Sí")&gt;0),IF(OR(P3260="Gasto",P3260="Transferencia",P3260="Pago tarjeta"),-1,1)*S3260,0)+IF(AND(AE3260&lt;&gt;"",COUNTIFS(tcTipo,AE3260,tcLiq,"Sí")&gt;0),S3260,0))</f>
        <v/>
      </c>
      <c r="AI3260" s="52">
        <f>IF(OR(L3260="",P3260=""),"",IF(COUNTIFS(L$6:L3260,L3260,P$6:P3260,"?*")=1,MAX(AI$5:AI3259)+1,""))</f>
        <v/>
      </c>
    </row>
    <row r="3261">
      <c r="B3261" s="47" t="n"/>
      <c r="C3261" s="48" t="n"/>
      <c r="D3261" s="48" t="n"/>
      <c r="E3261" s="48" t="n"/>
      <c r="F3261" s="48" t="n"/>
      <c r="G3261" s="49" t="n"/>
      <c r="H3261" s="48" t="n"/>
      <c r="I3261" s="50" t="n"/>
      <c r="J3261" s="48" t="n"/>
      <c r="K3261" s="48" t="n"/>
      <c r="L3261" s="48" t="n"/>
      <c r="M3261" s="48" t="n"/>
      <c r="N3261" s="48" t="n"/>
      <c r="O3261" s="51">
        <f>IF(AND(B3261="",G3261="",C3261="",D3261="",J3261=""),"",IF(B3261="","⚠ Falta fecha",IF(G3261="","⚠ Falta monto",IF(Q3261="","⚠ Falta cuenta",IF(ISNA(MATCH(Q3261,ctaNombre,0)),"⚠ Cuenta no registrada",IF(AND(OR(P3261="Gasto",P3261="Reembolso"),D3261=""),"⚠ Falta categoría",IF(AND(D3261&lt;&gt;"",E3261&lt;&gt;"",ISNA(MATCH(D3261&amp;"|"&amp;E3261,catClave,0))),"⚠ Subcategoría no corresponde",IF(AND(OR(P3261="Transferencia",P3261="Pago tarjeta"),K3261=""),"⚠ Falta cuenta destino",IF(AND(K3261&lt;&gt;"",P3261&lt;&gt;"Transferencia",P3261&lt;&gt;"Pago tarjeta"),"⚠ Destino solo aplica a transferencias",IF(AND(K3261&lt;&gt;"",K3261=Q3261),"⚠ Origen igual a destino",IF(AND(K3261&lt;&gt;"",ISNA(MATCH(K3261,ctaNombre,0))),"⚠ Destino no registrado",IF(AND(P3261="Pago tarjeta",AE3261&lt;&gt;"Tarjeta de crédito"),"⚠ El destino debe ser tarjeta de crédito",IF(AND(P3261="Gasto",E3261="Depósitos y retiros"),"⚠ Usa tipo Transferencia",IF(AND(P3261="Resultado trading",AD3261&lt;&gt;"Cuenta de trading"),"⚠ Usa una cuenta de trading",IF(AND(G3261&lt;=0,P3261&lt;&gt;"Ajuste",P3261&lt;&gt;"Resultado trading"),"⚠ El monto debe ser positivo","✓")))))))))))))))</f>
        <v/>
      </c>
      <c r="P3261" s="52">
        <f>IF(OR(B3261="",G3261=""),"",IF(C3261="","Gasto",C3261))</f>
        <v/>
      </c>
      <c r="Q3261" s="52">
        <f>IF(P3261="","",IF(J3261&lt;&gt;"",J3261,CuentaPred&amp;""))</f>
        <v/>
      </c>
      <c r="R3261" s="52">
        <f>IF(P3261="","",IF(ISNUMBER(I3261),I3261,TasaUSD))</f>
        <v/>
      </c>
      <c r="S3261" s="53">
        <f>IF(P3261="","",IF(H3261="USD",G3261*R3261,G3261))</f>
        <v/>
      </c>
      <c r="T3261" s="53">
        <f>IF(P3261="","",IF(H3261="USD",G3261,IF(R3261&gt;0,G3261/R3261,0)))</f>
        <v/>
      </c>
      <c r="U3261" s="53">
        <f>IF(P3261="","",IF(P3261="Gasto",S3261,IF(P3261="Reembolso",-S3261,0)))</f>
        <v/>
      </c>
      <c r="V3261" s="53">
        <f>IF(P3261="","",IF(P3261="Ingreso",S3261,0))</f>
        <v/>
      </c>
      <c r="W3261" s="53">
        <f>IF(P3261="","",IF(P3261="Resultado trading",S3261,0))</f>
        <v/>
      </c>
      <c r="X3261" s="52">
        <f>IF(OR(P3261="Gasto",P3261="Reembolso"),IF(M3261&lt;&gt;"",M3261,IFERROR(INDEX(catClasif,MATCH(D3261&amp;"|"&amp;E3261,catClave,0))&amp;"","Variable")),"")</f>
        <v/>
      </c>
      <c r="Y3261" s="52">
        <f>IF(P3261="","",IFERROR(INDEX(catGrupo,MATCH(D3261&amp;"|"&amp;E3261,catClave,0))&amp;"",""))</f>
        <v/>
      </c>
      <c r="Z3261" s="52">
        <f>IF(P3261="","",WEEKDAY(B3261,2))</f>
        <v/>
      </c>
      <c r="AA3261" s="52">
        <f>IF(P3261="","",IF(AND(P3261="Gasto",X3261="Variable",D3261&lt;&gt;catTrading,S3261&gt;0,S3261&lt;=Umbral),1,0))</f>
        <v/>
      </c>
      <c r="AB3261" s="52">
        <f>IF(OR(P3261="",Q3261=""),"",IFERROR(IF(INDEX(ctaVinc,MATCH(Q3261,ctaNombre,0))&amp;""&lt;&gt;"",INDEX(ctaVinc,MATCH(Q3261,ctaNombre,0))&amp;"",Q3261),Q3261))</f>
        <v/>
      </c>
      <c r="AC3261" s="52">
        <f>IF(OR(K3261="",AND(P3261&lt;&gt;"Transferencia",P3261&lt;&gt;"Pago tarjeta")),"",IFERROR(IF(INDEX(ctaVinc,MATCH(K3261,ctaNombre,0))&amp;""&lt;&gt;"",INDEX(ctaVinc,MATCH(K3261,ctaNombre,0))&amp;"",K3261),K3261))</f>
        <v/>
      </c>
      <c r="AD3261" s="52">
        <f>IF(AB3261="","",IFERROR(INDEX(ctaTipo,MATCH(AB3261,ctaNombre,0))&amp;"",""))</f>
        <v/>
      </c>
      <c r="AE3261" s="52">
        <f>IF(AC3261="","",IFERROR(INDEX(ctaTipo,MATCH(AC3261,ctaNombre,0))&amp;"",""))</f>
        <v/>
      </c>
      <c r="AF3261" s="53">
        <f>IF(OR(P3261="",AB3261=""),"",IF(OR(P3261="Gasto",P3261="Transferencia",P3261="Pago tarjeta"),-1,1)*IF(IFERROR(INDEX(ctaMoneda,MATCH(AB3261,ctaNombre,0))&amp;"","DOP")="USD",T3261,S3261))</f>
        <v/>
      </c>
      <c r="AG3261" s="53">
        <f>IF(AC3261="","",IF(IFERROR(INDEX(ctaMoneda,MATCH(AC3261,ctaNombre,0))&amp;"","DOP")="USD",T3261,S3261))</f>
        <v/>
      </c>
      <c r="AH3261" s="53">
        <f>IF(P3261="","",IF(AND(AD3261&lt;&gt;"",COUNTIFS(tcTipo,AD3261,tcLiq,"Sí")&gt;0),IF(OR(P3261="Gasto",P3261="Transferencia",P3261="Pago tarjeta"),-1,1)*S3261,0)+IF(AND(AE3261&lt;&gt;"",COUNTIFS(tcTipo,AE3261,tcLiq,"Sí")&gt;0),S3261,0))</f>
        <v/>
      </c>
      <c r="AI3261" s="52">
        <f>IF(OR(L3261="",P3261=""),"",IF(COUNTIFS(L$6:L3261,L3261,P$6:P3261,"?*")=1,MAX(AI$5:AI3260)+1,""))</f>
        <v/>
      </c>
    </row>
    <row r="3262">
      <c r="B3262" s="47" t="n"/>
      <c r="C3262" s="48" t="n"/>
      <c r="D3262" s="48" t="n"/>
      <c r="E3262" s="48" t="n"/>
      <c r="F3262" s="48" t="n"/>
      <c r="G3262" s="49" t="n"/>
      <c r="H3262" s="48" t="n"/>
      <c r="I3262" s="50" t="n"/>
      <c r="J3262" s="48" t="n"/>
      <c r="K3262" s="48" t="n"/>
      <c r="L3262" s="48" t="n"/>
      <c r="M3262" s="48" t="n"/>
      <c r="N3262" s="48" t="n"/>
      <c r="O3262" s="51">
        <f>IF(AND(B3262="",G3262="",C3262="",D3262="",J3262=""),"",IF(B3262="","⚠ Falta fecha",IF(G3262="","⚠ Falta monto",IF(Q3262="","⚠ Falta cuenta",IF(ISNA(MATCH(Q3262,ctaNombre,0)),"⚠ Cuenta no registrada",IF(AND(OR(P3262="Gasto",P3262="Reembolso"),D3262=""),"⚠ Falta categoría",IF(AND(D3262&lt;&gt;"",E3262&lt;&gt;"",ISNA(MATCH(D3262&amp;"|"&amp;E3262,catClave,0))),"⚠ Subcategoría no corresponde",IF(AND(OR(P3262="Transferencia",P3262="Pago tarjeta"),K3262=""),"⚠ Falta cuenta destino",IF(AND(K3262&lt;&gt;"",P3262&lt;&gt;"Transferencia",P3262&lt;&gt;"Pago tarjeta"),"⚠ Destino solo aplica a transferencias",IF(AND(K3262&lt;&gt;"",K3262=Q3262),"⚠ Origen igual a destino",IF(AND(K3262&lt;&gt;"",ISNA(MATCH(K3262,ctaNombre,0))),"⚠ Destino no registrado",IF(AND(P3262="Pago tarjeta",AE3262&lt;&gt;"Tarjeta de crédito"),"⚠ El destino debe ser tarjeta de crédito",IF(AND(P3262="Gasto",E3262="Depósitos y retiros"),"⚠ Usa tipo Transferencia",IF(AND(P3262="Resultado trading",AD3262&lt;&gt;"Cuenta de trading"),"⚠ Usa una cuenta de trading",IF(AND(G3262&lt;=0,P3262&lt;&gt;"Ajuste",P3262&lt;&gt;"Resultado trading"),"⚠ El monto debe ser positivo","✓")))))))))))))))</f>
        <v/>
      </c>
      <c r="P3262" s="52">
        <f>IF(OR(B3262="",G3262=""),"",IF(C3262="","Gasto",C3262))</f>
        <v/>
      </c>
      <c r="Q3262" s="52">
        <f>IF(P3262="","",IF(J3262&lt;&gt;"",J3262,CuentaPred&amp;""))</f>
        <v/>
      </c>
      <c r="R3262" s="52">
        <f>IF(P3262="","",IF(ISNUMBER(I3262),I3262,TasaUSD))</f>
        <v/>
      </c>
      <c r="S3262" s="53">
        <f>IF(P3262="","",IF(H3262="USD",G3262*R3262,G3262))</f>
        <v/>
      </c>
      <c r="T3262" s="53">
        <f>IF(P3262="","",IF(H3262="USD",G3262,IF(R3262&gt;0,G3262/R3262,0)))</f>
        <v/>
      </c>
      <c r="U3262" s="53">
        <f>IF(P3262="","",IF(P3262="Gasto",S3262,IF(P3262="Reembolso",-S3262,0)))</f>
        <v/>
      </c>
      <c r="V3262" s="53">
        <f>IF(P3262="","",IF(P3262="Ingreso",S3262,0))</f>
        <v/>
      </c>
      <c r="W3262" s="53">
        <f>IF(P3262="","",IF(P3262="Resultado trading",S3262,0))</f>
        <v/>
      </c>
      <c r="X3262" s="52">
        <f>IF(OR(P3262="Gasto",P3262="Reembolso"),IF(M3262&lt;&gt;"",M3262,IFERROR(INDEX(catClasif,MATCH(D3262&amp;"|"&amp;E3262,catClave,0))&amp;"","Variable")),"")</f>
        <v/>
      </c>
      <c r="Y3262" s="52">
        <f>IF(P3262="","",IFERROR(INDEX(catGrupo,MATCH(D3262&amp;"|"&amp;E3262,catClave,0))&amp;"",""))</f>
        <v/>
      </c>
      <c r="Z3262" s="52">
        <f>IF(P3262="","",WEEKDAY(B3262,2))</f>
        <v/>
      </c>
      <c r="AA3262" s="52">
        <f>IF(P3262="","",IF(AND(P3262="Gasto",X3262="Variable",D3262&lt;&gt;catTrading,S3262&gt;0,S3262&lt;=Umbral),1,0))</f>
        <v/>
      </c>
      <c r="AB3262" s="52">
        <f>IF(OR(P3262="",Q3262=""),"",IFERROR(IF(INDEX(ctaVinc,MATCH(Q3262,ctaNombre,0))&amp;""&lt;&gt;"",INDEX(ctaVinc,MATCH(Q3262,ctaNombre,0))&amp;"",Q3262),Q3262))</f>
        <v/>
      </c>
      <c r="AC3262" s="52">
        <f>IF(OR(K3262="",AND(P3262&lt;&gt;"Transferencia",P3262&lt;&gt;"Pago tarjeta")),"",IFERROR(IF(INDEX(ctaVinc,MATCH(K3262,ctaNombre,0))&amp;""&lt;&gt;"",INDEX(ctaVinc,MATCH(K3262,ctaNombre,0))&amp;"",K3262),K3262))</f>
        <v/>
      </c>
      <c r="AD3262" s="52">
        <f>IF(AB3262="","",IFERROR(INDEX(ctaTipo,MATCH(AB3262,ctaNombre,0))&amp;"",""))</f>
        <v/>
      </c>
      <c r="AE3262" s="52">
        <f>IF(AC3262="","",IFERROR(INDEX(ctaTipo,MATCH(AC3262,ctaNombre,0))&amp;"",""))</f>
        <v/>
      </c>
      <c r="AF3262" s="53">
        <f>IF(OR(P3262="",AB3262=""),"",IF(OR(P3262="Gasto",P3262="Transferencia",P3262="Pago tarjeta"),-1,1)*IF(IFERROR(INDEX(ctaMoneda,MATCH(AB3262,ctaNombre,0))&amp;"","DOP")="USD",T3262,S3262))</f>
        <v/>
      </c>
      <c r="AG3262" s="53">
        <f>IF(AC3262="","",IF(IFERROR(INDEX(ctaMoneda,MATCH(AC3262,ctaNombre,0))&amp;"","DOP")="USD",T3262,S3262))</f>
        <v/>
      </c>
      <c r="AH3262" s="53">
        <f>IF(P3262="","",IF(AND(AD3262&lt;&gt;"",COUNTIFS(tcTipo,AD3262,tcLiq,"Sí")&gt;0),IF(OR(P3262="Gasto",P3262="Transferencia",P3262="Pago tarjeta"),-1,1)*S3262,0)+IF(AND(AE3262&lt;&gt;"",COUNTIFS(tcTipo,AE3262,tcLiq,"Sí")&gt;0),S3262,0))</f>
        <v/>
      </c>
      <c r="AI3262" s="52">
        <f>IF(OR(L3262="",P3262=""),"",IF(COUNTIFS(L$6:L3262,L3262,P$6:P3262,"?*")=1,MAX(AI$5:AI3261)+1,""))</f>
        <v/>
      </c>
    </row>
    <row r="3263">
      <c r="B3263" s="47" t="n"/>
      <c r="C3263" s="48" t="n"/>
      <c r="D3263" s="48" t="n"/>
      <c r="E3263" s="48" t="n"/>
      <c r="F3263" s="48" t="n"/>
      <c r="G3263" s="49" t="n"/>
      <c r="H3263" s="48" t="n"/>
      <c r="I3263" s="50" t="n"/>
      <c r="J3263" s="48" t="n"/>
      <c r="K3263" s="48" t="n"/>
      <c r="L3263" s="48" t="n"/>
      <c r="M3263" s="48" t="n"/>
      <c r="N3263" s="48" t="n"/>
      <c r="O3263" s="51">
        <f>IF(AND(B3263="",G3263="",C3263="",D3263="",J3263=""),"",IF(B3263="","⚠ Falta fecha",IF(G3263="","⚠ Falta monto",IF(Q3263="","⚠ Falta cuenta",IF(ISNA(MATCH(Q3263,ctaNombre,0)),"⚠ Cuenta no registrada",IF(AND(OR(P3263="Gasto",P3263="Reembolso"),D3263=""),"⚠ Falta categoría",IF(AND(D3263&lt;&gt;"",E3263&lt;&gt;"",ISNA(MATCH(D3263&amp;"|"&amp;E3263,catClave,0))),"⚠ Subcategoría no corresponde",IF(AND(OR(P3263="Transferencia",P3263="Pago tarjeta"),K3263=""),"⚠ Falta cuenta destino",IF(AND(K3263&lt;&gt;"",P3263&lt;&gt;"Transferencia",P3263&lt;&gt;"Pago tarjeta"),"⚠ Destino solo aplica a transferencias",IF(AND(K3263&lt;&gt;"",K3263=Q3263),"⚠ Origen igual a destino",IF(AND(K3263&lt;&gt;"",ISNA(MATCH(K3263,ctaNombre,0))),"⚠ Destino no registrado",IF(AND(P3263="Pago tarjeta",AE3263&lt;&gt;"Tarjeta de crédito"),"⚠ El destino debe ser tarjeta de crédito",IF(AND(P3263="Gasto",E3263="Depósitos y retiros"),"⚠ Usa tipo Transferencia",IF(AND(P3263="Resultado trading",AD3263&lt;&gt;"Cuenta de trading"),"⚠ Usa una cuenta de trading",IF(AND(G3263&lt;=0,P3263&lt;&gt;"Ajuste",P3263&lt;&gt;"Resultado trading"),"⚠ El monto debe ser positivo","✓")))))))))))))))</f>
        <v/>
      </c>
      <c r="P3263" s="52">
        <f>IF(OR(B3263="",G3263=""),"",IF(C3263="","Gasto",C3263))</f>
        <v/>
      </c>
      <c r="Q3263" s="52">
        <f>IF(P3263="","",IF(J3263&lt;&gt;"",J3263,CuentaPred&amp;""))</f>
        <v/>
      </c>
      <c r="R3263" s="52">
        <f>IF(P3263="","",IF(ISNUMBER(I3263),I3263,TasaUSD))</f>
        <v/>
      </c>
      <c r="S3263" s="53">
        <f>IF(P3263="","",IF(H3263="USD",G3263*R3263,G3263))</f>
        <v/>
      </c>
      <c r="T3263" s="53">
        <f>IF(P3263="","",IF(H3263="USD",G3263,IF(R3263&gt;0,G3263/R3263,0)))</f>
        <v/>
      </c>
      <c r="U3263" s="53">
        <f>IF(P3263="","",IF(P3263="Gasto",S3263,IF(P3263="Reembolso",-S3263,0)))</f>
        <v/>
      </c>
      <c r="V3263" s="53">
        <f>IF(P3263="","",IF(P3263="Ingreso",S3263,0))</f>
        <v/>
      </c>
      <c r="W3263" s="53">
        <f>IF(P3263="","",IF(P3263="Resultado trading",S3263,0))</f>
        <v/>
      </c>
      <c r="X3263" s="52">
        <f>IF(OR(P3263="Gasto",P3263="Reembolso"),IF(M3263&lt;&gt;"",M3263,IFERROR(INDEX(catClasif,MATCH(D3263&amp;"|"&amp;E3263,catClave,0))&amp;"","Variable")),"")</f>
        <v/>
      </c>
      <c r="Y3263" s="52">
        <f>IF(P3263="","",IFERROR(INDEX(catGrupo,MATCH(D3263&amp;"|"&amp;E3263,catClave,0))&amp;"",""))</f>
        <v/>
      </c>
      <c r="Z3263" s="52">
        <f>IF(P3263="","",WEEKDAY(B3263,2))</f>
        <v/>
      </c>
      <c r="AA3263" s="52">
        <f>IF(P3263="","",IF(AND(P3263="Gasto",X3263="Variable",D3263&lt;&gt;catTrading,S3263&gt;0,S3263&lt;=Umbral),1,0))</f>
        <v/>
      </c>
      <c r="AB3263" s="52">
        <f>IF(OR(P3263="",Q3263=""),"",IFERROR(IF(INDEX(ctaVinc,MATCH(Q3263,ctaNombre,0))&amp;""&lt;&gt;"",INDEX(ctaVinc,MATCH(Q3263,ctaNombre,0))&amp;"",Q3263),Q3263))</f>
        <v/>
      </c>
      <c r="AC3263" s="52">
        <f>IF(OR(K3263="",AND(P3263&lt;&gt;"Transferencia",P3263&lt;&gt;"Pago tarjeta")),"",IFERROR(IF(INDEX(ctaVinc,MATCH(K3263,ctaNombre,0))&amp;""&lt;&gt;"",INDEX(ctaVinc,MATCH(K3263,ctaNombre,0))&amp;"",K3263),K3263))</f>
        <v/>
      </c>
      <c r="AD3263" s="52">
        <f>IF(AB3263="","",IFERROR(INDEX(ctaTipo,MATCH(AB3263,ctaNombre,0))&amp;"",""))</f>
        <v/>
      </c>
      <c r="AE3263" s="52">
        <f>IF(AC3263="","",IFERROR(INDEX(ctaTipo,MATCH(AC3263,ctaNombre,0))&amp;"",""))</f>
        <v/>
      </c>
      <c r="AF3263" s="53">
        <f>IF(OR(P3263="",AB3263=""),"",IF(OR(P3263="Gasto",P3263="Transferencia",P3263="Pago tarjeta"),-1,1)*IF(IFERROR(INDEX(ctaMoneda,MATCH(AB3263,ctaNombre,0))&amp;"","DOP")="USD",T3263,S3263))</f>
        <v/>
      </c>
      <c r="AG3263" s="53">
        <f>IF(AC3263="","",IF(IFERROR(INDEX(ctaMoneda,MATCH(AC3263,ctaNombre,0))&amp;"","DOP")="USD",T3263,S3263))</f>
        <v/>
      </c>
      <c r="AH3263" s="53">
        <f>IF(P3263="","",IF(AND(AD3263&lt;&gt;"",COUNTIFS(tcTipo,AD3263,tcLiq,"Sí")&gt;0),IF(OR(P3263="Gasto",P3263="Transferencia",P3263="Pago tarjeta"),-1,1)*S3263,0)+IF(AND(AE3263&lt;&gt;"",COUNTIFS(tcTipo,AE3263,tcLiq,"Sí")&gt;0),S3263,0))</f>
        <v/>
      </c>
      <c r="AI3263" s="52">
        <f>IF(OR(L3263="",P3263=""),"",IF(COUNTIFS(L$6:L3263,L3263,P$6:P3263,"?*")=1,MAX(AI$5:AI3262)+1,""))</f>
        <v/>
      </c>
    </row>
    <row r="3264">
      <c r="B3264" s="47" t="n"/>
      <c r="C3264" s="48" t="n"/>
      <c r="D3264" s="48" t="n"/>
      <c r="E3264" s="48" t="n"/>
      <c r="F3264" s="48" t="n"/>
      <c r="G3264" s="49" t="n"/>
      <c r="H3264" s="48" t="n"/>
      <c r="I3264" s="50" t="n"/>
      <c r="J3264" s="48" t="n"/>
      <c r="K3264" s="48" t="n"/>
      <c r="L3264" s="48" t="n"/>
      <c r="M3264" s="48" t="n"/>
      <c r="N3264" s="48" t="n"/>
      <c r="O3264" s="51">
        <f>IF(AND(B3264="",G3264="",C3264="",D3264="",J3264=""),"",IF(B3264="","⚠ Falta fecha",IF(G3264="","⚠ Falta monto",IF(Q3264="","⚠ Falta cuenta",IF(ISNA(MATCH(Q3264,ctaNombre,0)),"⚠ Cuenta no registrada",IF(AND(OR(P3264="Gasto",P3264="Reembolso"),D3264=""),"⚠ Falta categoría",IF(AND(D3264&lt;&gt;"",E3264&lt;&gt;"",ISNA(MATCH(D3264&amp;"|"&amp;E3264,catClave,0))),"⚠ Subcategoría no corresponde",IF(AND(OR(P3264="Transferencia",P3264="Pago tarjeta"),K3264=""),"⚠ Falta cuenta destino",IF(AND(K3264&lt;&gt;"",P3264&lt;&gt;"Transferencia",P3264&lt;&gt;"Pago tarjeta"),"⚠ Destino solo aplica a transferencias",IF(AND(K3264&lt;&gt;"",K3264=Q3264),"⚠ Origen igual a destino",IF(AND(K3264&lt;&gt;"",ISNA(MATCH(K3264,ctaNombre,0))),"⚠ Destino no registrado",IF(AND(P3264="Pago tarjeta",AE3264&lt;&gt;"Tarjeta de crédito"),"⚠ El destino debe ser tarjeta de crédito",IF(AND(P3264="Gasto",E3264="Depósitos y retiros"),"⚠ Usa tipo Transferencia",IF(AND(P3264="Resultado trading",AD3264&lt;&gt;"Cuenta de trading"),"⚠ Usa una cuenta de trading",IF(AND(G3264&lt;=0,P3264&lt;&gt;"Ajuste",P3264&lt;&gt;"Resultado trading"),"⚠ El monto debe ser positivo","✓")))))))))))))))</f>
        <v/>
      </c>
      <c r="P3264" s="52">
        <f>IF(OR(B3264="",G3264=""),"",IF(C3264="","Gasto",C3264))</f>
        <v/>
      </c>
      <c r="Q3264" s="52">
        <f>IF(P3264="","",IF(J3264&lt;&gt;"",J3264,CuentaPred&amp;""))</f>
        <v/>
      </c>
      <c r="R3264" s="52">
        <f>IF(P3264="","",IF(ISNUMBER(I3264),I3264,TasaUSD))</f>
        <v/>
      </c>
      <c r="S3264" s="53">
        <f>IF(P3264="","",IF(H3264="USD",G3264*R3264,G3264))</f>
        <v/>
      </c>
      <c r="T3264" s="53">
        <f>IF(P3264="","",IF(H3264="USD",G3264,IF(R3264&gt;0,G3264/R3264,0)))</f>
        <v/>
      </c>
      <c r="U3264" s="53">
        <f>IF(P3264="","",IF(P3264="Gasto",S3264,IF(P3264="Reembolso",-S3264,0)))</f>
        <v/>
      </c>
      <c r="V3264" s="53">
        <f>IF(P3264="","",IF(P3264="Ingreso",S3264,0))</f>
        <v/>
      </c>
      <c r="W3264" s="53">
        <f>IF(P3264="","",IF(P3264="Resultado trading",S3264,0))</f>
        <v/>
      </c>
      <c r="X3264" s="52">
        <f>IF(OR(P3264="Gasto",P3264="Reembolso"),IF(M3264&lt;&gt;"",M3264,IFERROR(INDEX(catClasif,MATCH(D3264&amp;"|"&amp;E3264,catClave,0))&amp;"","Variable")),"")</f>
        <v/>
      </c>
      <c r="Y3264" s="52">
        <f>IF(P3264="","",IFERROR(INDEX(catGrupo,MATCH(D3264&amp;"|"&amp;E3264,catClave,0))&amp;"",""))</f>
        <v/>
      </c>
      <c r="Z3264" s="52">
        <f>IF(P3264="","",WEEKDAY(B3264,2))</f>
        <v/>
      </c>
      <c r="AA3264" s="52">
        <f>IF(P3264="","",IF(AND(P3264="Gasto",X3264="Variable",D3264&lt;&gt;catTrading,S3264&gt;0,S3264&lt;=Umbral),1,0))</f>
        <v/>
      </c>
      <c r="AB3264" s="52">
        <f>IF(OR(P3264="",Q3264=""),"",IFERROR(IF(INDEX(ctaVinc,MATCH(Q3264,ctaNombre,0))&amp;""&lt;&gt;"",INDEX(ctaVinc,MATCH(Q3264,ctaNombre,0))&amp;"",Q3264),Q3264))</f>
        <v/>
      </c>
      <c r="AC3264" s="52">
        <f>IF(OR(K3264="",AND(P3264&lt;&gt;"Transferencia",P3264&lt;&gt;"Pago tarjeta")),"",IFERROR(IF(INDEX(ctaVinc,MATCH(K3264,ctaNombre,0))&amp;""&lt;&gt;"",INDEX(ctaVinc,MATCH(K3264,ctaNombre,0))&amp;"",K3264),K3264))</f>
        <v/>
      </c>
      <c r="AD3264" s="52">
        <f>IF(AB3264="","",IFERROR(INDEX(ctaTipo,MATCH(AB3264,ctaNombre,0))&amp;"",""))</f>
        <v/>
      </c>
      <c r="AE3264" s="52">
        <f>IF(AC3264="","",IFERROR(INDEX(ctaTipo,MATCH(AC3264,ctaNombre,0))&amp;"",""))</f>
        <v/>
      </c>
      <c r="AF3264" s="53">
        <f>IF(OR(P3264="",AB3264=""),"",IF(OR(P3264="Gasto",P3264="Transferencia",P3264="Pago tarjeta"),-1,1)*IF(IFERROR(INDEX(ctaMoneda,MATCH(AB3264,ctaNombre,0))&amp;"","DOP")="USD",T3264,S3264))</f>
        <v/>
      </c>
      <c r="AG3264" s="53">
        <f>IF(AC3264="","",IF(IFERROR(INDEX(ctaMoneda,MATCH(AC3264,ctaNombre,0))&amp;"","DOP")="USD",T3264,S3264))</f>
        <v/>
      </c>
      <c r="AH3264" s="53">
        <f>IF(P3264="","",IF(AND(AD3264&lt;&gt;"",COUNTIFS(tcTipo,AD3264,tcLiq,"Sí")&gt;0),IF(OR(P3264="Gasto",P3264="Transferencia",P3264="Pago tarjeta"),-1,1)*S3264,0)+IF(AND(AE3264&lt;&gt;"",COUNTIFS(tcTipo,AE3264,tcLiq,"Sí")&gt;0),S3264,0))</f>
        <v/>
      </c>
      <c r="AI3264" s="52">
        <f>IF(OR(L3264="",P3264=""),"",IF(COUNTIFS(L$6:L3264,L3264,P$6:P3264,"?*")=1,MAX(AI$5:AI3263)+1,""))</f>
        <v/>
      </c>
    </row>
    <row r="3265">
      <c r="B3265" s="47" t="n"/>
      <c r="C3265" s="48" t="n"/>
      <c r="D3265" s="48" t="n"/>
      <c r="E3265" s="48" t="n"/>
      <c r="F3265" s="48" t="n"/>
      <c r="G3265" s="49" t="n"/>
      <c r="H3265" s="48" t="n"/>
      <c r="I3265" s="50" t="n"/>
      <c r="J3265" s="48" t="n"/>
      <c r="K3265" s="48" t="n"/>
      <c r="L3265" s="48" t="n"/>
      <c r="M3265" s="48" t="n"/>
      <c r="N3265" s="48" t="n"/>
      <c r="O3265" s="51">
        <f>IF(AND(B3265="",G3265="",C3265="",D3265="",J3265=""),"",IF(B3265="","⚠ Falta fecha",IF(G3265="","⚠ Falta monto",IF(Q3265="","⚠ Falta cuenta",IF(ISNA(MATCH(Q3265,ctaNombre,0)),"⚠ Cuenta no registrada",IF(AND(OR(P3265="Gasto",P3265="Reembolso"),D3265=""),"⚠ Falta categoría",IF(AND(D3265&lt;&gt;"",E3265&lt;&gt;"",ISNA(MATCH(D3265&amp;"|"&amp;E3265,catClave,0))),"⚠ Subcategoría no corresponde",IF(AND(OR(P3265="Transferencia",P3265="Pago tarjeta"),K3265=""),"⚠ Falta cuenta destino",IF(AND(K3265&lt;&gt;"",P3265&lt;&gt;"Transferencia",P3265&lt;&gt;"Pago tarjeta"),"⚠ Destino solo aplica a transferencias",IF(AND(K3265&lt;&gt;"",K3265=Q3265),"⚠ Origen igual a destino",IF(AND(K3265&lt;&gt;"",ISNA(MATCH(K3265,ctaNombre,0))),"⚠ Destino no registrado",IF(AND(P3265="Pago tarjeta",AE3265&lt;&gt;"Tarjeta de crédito"),"⚠ El destino debe ser tarjeta de crédito",IF(AND(P3265="Gasto",E3265="Depósitos y retiros"),"⚠ Usa tipo Transferencia",IF(AND(P3265="Resultado trading",AD3265&lt;&gt;"Cuenta de trading"),"⚠ Usa una cuenta de trading",IF(AND(G3265&lt;=0,P3265&lt;&gt;"Ajuste",P3265&lt;&gt;"Resultado trading"),"⚠ El monto debe ser positivo","✓")))))))))))))))</f>
        <v/>
      </c>
      <c r="P3265" s="52">
        <f>IF(OR(B3265="",G3265=""),"",IF(C3265="","Gasto",C3265))</f>
        <v/>
      </c>
      <c r="Q3265" s="52">
        <f>IF(P3265="","",IF(J3265&lt;&gt;"",J3265,CuentaPred&amp;""))</f>
        <v/>
      </c>
      <c r="R3265" s="52">
        <f>IF(P3265="","",IF(ISNUMBER(I3265),I3265,TasaUSD))</f>
        <v/>
      </c>
      <c r="S3265" s="53">
        <f>IF(P3265="","",IF(H3265="USD",G3265*R3265,G3265))</f>
        <v/>
      </c>
      <c r="T3265" s="53">
        <f>IF(P3265="","",IF(H3265="USD",G3265,IF(R3265&gt;0,G3265/R3265,0)))</f>
        <v/>
      </c>
      <c r="U3265" s="53">
        <f>IF(P3265="","",IF(P3265="Gasto",S3265,IF(P3265="Reembolso",-S3265,0)))</f>
        <v/>
      </c>
      <c r="V3265" s="53">
        <f>IF(P3265="","",IF(P3265="Ingreso",S3265,0))</f>
        <v/>
      </c>
      <c r="W3265" s="53">
        <f>IF(P3265="","",IF(P3265="Resultado trading",S3265,0))</f>
        <v/>
      </c>
      <c r="X3265" s="52">
        <f>IF(OR(P3265="Gasto",P3265="Reembolso"),IF(M3265&lt;&gt;"",M3265,IFERROR(INDEX(catClasif,MATCH(D3265&amp;"|"&amp;E3265,catClave,0))&amp;"","Variable")),"")</f>
        <v/>
      </c>
      <c r="Y3265" s="52">
        <f>IF(P3265="","",IFERROR(INDEX(catGrupo,MATCH(D3265&amp;"|"&amp;E3265,catClave,0))&amp;"",""))</f>
        <v/>
      </c>
      <c r="Z3265" s="52">
        <f>IF(P3265="","",WEEKDAY(B3265,2))</f>
        <v/>
      </c>
      <c r="AA3265" s="52">
        <f>IF(P3265="","",IF(AND(P3265="Gasto",X3265="Variable",D3265&lt;&gt;catTrading,S3265&gt;0,S3265&lt;=Umbral),1,0))</f>
        <v/>
      </c>
      <c r="AB3265" s="52">
        <f>IF(OR(P3265="",Q3265=""),"",IFERROR(IF(INDEX(ctaVinc,MATCH(Q3265,ctaNombre,0))&amp;""&lt;&gt;"",INDEX(ctaVinc,MATCH(Q3265,ctaNombre,0))&amp;"",Q3265),Q3265))</f>
        <v/>
      </c>
      <c r="AC3265" s="52">
        <f>IF(OR(K3265="",AND(P3265&lt;&gt;"Transferencia",P3265&lt;&gt;"Pago tarjeta")),"",IFERROR(IF(INDEX(ctaVinc,MATCH(K3265,ctaNombre,0))&amp;""&lt;&gt;"",INDEX(ctaVinc,MATCH(K3265,ctaNombre,0))&amp;"",K3265),K3265))</f>
        <v/>
      </c>
      <c r="AD3265" s="52">
        <f>IF(AB3265="","",IFERROR(INDEX(ctaTipo,MATCH(AB3265,ctaNombre,0))&amp;"",""))</f>
        <v/>
      </c>
      <c r="AE3265" s="52">
        <f>IF(AC3265="","",IFERROR(INDEX(ctaTipo,MATCH(AC3265,ctaNombre,0))&amp;"",""))</f>
        <v/>
      </c>
      <c r="AF3265" s="53">
        <f>IF(OR(P3265="",AB3265=""),"",IF(OR(P3265="Gasto",P3265="Transferencia",P3265="Pago tarjeta"),-1,1)*IF(IFERROR(INDEX(ctaMoneda,MATCH(AB3265,ctaNombre,0))&amp;"","DOP")="USD",T3265,S3265))</f>
        <v/>
      </c>
      <c r="AG3265" s="53">
        <f>IF(AC3265="","",IF(IFERROR(INDEX(ctaMoneda,MATCH(AC3265,ctaNombre,0))&amp;"","DOP")="USD",T3265,S3265))</f>
        <v/>
      </c>
      <c r="AH3265" s="53">
        <f>IF(P3265="","",IF(AND(AD3265&lt;&gt;"",COUNTIFS(tcTipo,AD3265,tcLiq,"Sí")&gt;0),IF(OR(P3265="Gasto",P3265="Transferencia",P3265="Pago tarjeta"),-1,1)*S3265,0)+IF(AND(AE3265&lt;&gt;"",COUNTIFS(tcTipo,AE3265,tcLiq,"Sí")&gt;0),S3265,0))</f>
        <v/>
      </c>
      <c r="AI3265" s="52">
        <f>IF(OR(L3265="",P3265=""),"",IF(COUNTIFS(L$6:L3265,L3265,P$6:P3265,"?*")=1,MAX(AI$5:AI3264)+1,""))</f>
        <v/>
      </c>
    </row>
    <row r="3266">
      <c r="B3266" s="47" t="n"/>
      <c r="C3266" s="48" t="n"/>
      <c r="D3266" s="48" t="n"/>
      <c r="E3266" s="48" t="n"/>
      <c r="F3266" s="48" t="n"/>
      <c r="G3266" s="49" t="n"/>
      <c r="H3266" s="48" t="n"/>
      <c r="I3266" s="50" t="n"/>
      <c r="J3266" s="48" t="n"/>
      <c r="K3266" s="48" t="n"/>
      <c r="L3266" s="48" t="n"/>
      <c r="M3266" s="48" t="n"/>
      <c r="N3266" s="48" t="n"/>
      <c r="O3266" s="51">
        <f>IF(AND(B3266="",G3266="",C3266="",D3266="",J3266=""),"",IF(B3266="","⚠ Falta fecha",IF(G3266="","⚠ Falta monto",IF(Q3266="","⚠ Falta cuenta",IF(ISNA(MATCH(Q3266,ctaNombre,0)),"⚠ Cuenta no registrada",IF(AND(OR(P3266="Gasto",P3266="Reembolso"),D3266=""),"⚠ Falta categoría",IF(AND(D3266&lt;&gt;"",E3266&lt;&gt;"",ISNA(MATCH(D3266&amp;"|"&amp;E3266,catClave,0))),"⚠ Subcategoría no corresponde",IF(AND(OR(P3266="Transferencia",P3266="Pago tarjeta"),K3266=""),"⚠ Falta cuenta destino",IF(AND(K3266&lt;&gt;"",P3266&lt;&gt;"Transferencia",P3266&lt;&gt;"Pago tarjeta"),"⚠ Destino solo aplica a transferencias",IF(AND(K3266&lt;&gt;"",K3266=Q3266),"⚠ Origen igual a destino",IF(AND(K3266&lt;&gt;"",ISNA(MATCH(K3266,ctaNombre,0))),"⚠ Destino no registrado",IF(AND(P3266="Pago tarjeta",AE3266&lt;&gt;"Tarjeta de crédito"),"⚠ El destino debe ser tarjeta de crédito",IF(AND(P3266="Gasto",E3266="Depósitos y retiros"),"⚠ Usa tipo Transferencia",IF(AND(P3266="Resultado trading",AD3266&lt;&gt;"Cuenta de trading"),"⚠ Usa una cuenta de trading",IF(AND(G3266&lt;=0,P3266&lt;&gt;"Ajuste",P3266&lt;&gt;"Resultado trading"),"⚠ El monto debe ser positivo","✓")))))))))))))))</f>
        <v/>
      </c>
      <c r="P3266" s="52">
        <f>IF(OR(B3266="",G3266=""),"",IF(C3266="","Gasto",C3266))</f>
        <v/>
      </c>
      <c r="Q3266" s="52">
        <f>IF(P3266="","",IF(J3266&lt;&gt;"",J3266,CuentaPred&amp;""))</f>
        <v/>
      </c>
      <c r="R3266" s="52">
        <f>IF(P3266="","",IF(ISNUMBER(I3266),I3266,TasaUSD))</f>
        <v/>
      </c>
      <c r="S3266" s="53">
        <f>IF(P3266="","",IF(H3266="USD",G3266*R3266,G3266))</f>
        <v/>
      </c>
      <c r="T3266" s="53">
        <f>IF(P3266="","",IF(H3266="USD",G3266,IF(R3266&gt;0,G3266/R3266,0)))</f>
        <v/>
      </c>
      <c r="U3266" s="53">
        <f>IF(P3266="","",IF(P3266="Gasto",S3266,IF(P3266="Reembolso",-S3266,0)))</f>
        <v/>
      </c>
      <c r="V3266" s="53">
        <f>IF(P3266="","",IF(P3266="Ingreso",S3266,0))</f>
        <v/>
      </c>
      <c r="W3266" s="53">
        <f>IF(P3266="","",IF(P3266="Resultado trading",S3266,0))</f>
        <v/>
      </c>
      <c r="X3266" s="52">
        <f>IF(OR(P3266="Gasto",P3266="Reembolso"),IF(M3266&lt;&gt;"",M3266,IFERROR(INDEX(catClasif,MATCH(D3266&amp;"|"&amp;E3266,catClave,0))&amp;"","Variable")),"")</f>
        <v/>
      </c>
      <c r="Y3266" s="52">
        <f>IF(P3266="","",IFERROR(INDEX(catGrupo,MATCH(D3266&amp;"|"&amp;E3266,catClave,0))&amp;"",""))</f>
        <v/>
      </c>
      <c r="Z3266" s="52">
        <f>IF(P3266="","",WEEKDAY(B3266,2))</f>
        <v/>
      </c>
      <c r="AA3266" s="52">
        <f>IF(P3266="","",IF(AND(P3266="Gasto",X3266="Variable",D3266&lt;&gt;catTrading,S3266&gt;0,S3266&lt;=Umbral),1,0))</f>
        <v/>
      </c>
      <c r="AB3266" s="52">
        <f>IF(OR(P3266="",Q3266=""),"",IFERROR(IF(INDEX(ctaVinc,MATCH(Q3266,ctaNombre,0))&amp;""&lt;&gt;"",INDEX(ctaVinc,MATCH(Q3266,ctaNombre,0))&amp;"",Q3266),Q3266))</f>
        <v/>
      </c>
      <c r="AC3266" s="52">
        <f>IF(OR(K3266="",AND(P3266&lt;&gt;"Transferencia",P3266&lt;&gt;"Pago tarjeta")),"",IFERROR(IF(INDEX(ctaVinc,MATCH(K3266,ctaNombre,0))&amp;""&lt;&gt;"",INDEX(ctaVinc,MATCH(K3266,ctaNombre,0))&amp;"",K3266),K3266))</f>
        <v/>
      </c>
      <c r="AD3266" s="52">
        <f>IF(AB3266="","",IFERROR(INDEX(ctaTipo,MATCH(AB3266,ctaNombre,0))&amp;"",""))</f>
        <v/>
      </c>
      <c r="AE3266" s="52">
        <f>IF(AC3266="","",IFERROR(INDEX(ctaTipo,MATCH(AC3266,ctaNombre,0))&amp;"",""))</f>
        <v/>
      </c>
      <c r="AF3266" s="53">
        <f>IF(OR(P3266="",AB3266=""),"",IF(OR(P3266="Gasto",P3266="Transferencia",P3266="Pago tarjeta"),-1,1)*IF(IFERROR(INDEX(ctaMoneda,MATCH(AB3266,ctaNombre,0))&amp;"","DOP")="USD",T3266,S3266))</f>
        <v/>
      </c>
      <c r="AG3266" s="53">
        <f>IF(AC3266="","",IF(IFERROR(INDEX(ctaMoneda,MATCH(AC3266,ctaNombre,0))&amp;"","DOP")="USD",T3266,S3266))</f>
        <v/>
      </c>
      <c r="AH3266" s="53">
        <f>IF(P3266="","",IF(AND(AD3266&lt;&gt;"",COUNTIFS(tcTipo,AD3266,tcLiq,"Sí")&gt;0),IF(OR(P3266="Gasto",P3266="Transferencia",P3266="Pago tarjeta"),-1,1)*S3266,0)+IF(AND(AE3266&lt;&gt;"",COUNTIFS(tcTipo,AE3266,tcLiq,"Sí")&gt;0),S3266,0))</f>
        <v/>
      </c>
      <c r="AI3266" s="52">
        <f>IF(OR(L3266="",P3266=""),"",IF(COUNTIFS(L$6:L3266,L3266,P$6:P3266,"?*")=1,MAX(AI$5:AI3265)+1,""))</f>
        <v/>
      </c>
    </row>
    <row r="3267">
      <c r="B3267" s="47" t="n"/>
      <c r="C3267" s="48" t="n"/>
      <c r="D3267" s="48" t="n"/>
      <c r="E3267" s="48" t="n"/>
      <c r="F3267" s="48" t="n"/>
      <c r="G3267" s="49" t="n"/>
      <c r="H3267" s="48" t="n"/>
      <c r="I3267" s="50" t="n"/>
      <c r="J3267" s="48" t="n"/>
      <c r="K3267" s="48" t="n"/>
      <c r="L3267" s="48" t="n"/>
      <c r="M3267" s="48" t="n"/>
      <c r="N3267" s="48" t="n"/>
      <c r="O3267" s="51">
        <f>IF(AND(B3267="",G3267="",C3267="",D3267="",J3267=""),"",IF(B3267="","⚠ Falta fecha",IF(G3267="","⚠ Falta monto",IF(Q3267="","⚠ Falta cuenta",IF(ISNA(MATCH(Q3267,ctaNombre,0)),"⚠ Cuenta no registrada",IF(AND(OR(P3267="Gasto",P3267="Reembolso"),D3267=""),"⚠ Falta categoría",IF(AND(D3267&lt;&gt;"",E3267&lt;&gt;"",ISNA(MATCH(D3267&amp;"|"&amp;E3267,catClave,0))),"⚠ Subcategoría no corresponde",IF(AND(OR(P3267="Transferencia",P3267="Pago tarjeta"),K3267=""),"⚠ Falta cuenta destino",IF(AND(K3267&lt;&gt;"",P3267&lt;&gt;"Transferencia",P3267&lt;&gt;"Pago tarjeta"),"⚠ Destino solo aplica a transferencias",IF(AND(K3267&lt;&gt;"",K3267=Q3267),"⚠ Origen igual a destino",IF(AND(K3267&lt;&gt;"",ISNA(MATCH(K3267,ctaNombre,0))),"⚠ Destino no registrado",IF(AND(P3267="Pago tarjeta",AE3267&lt;&gt;"Tarjeta de crédito"),"⚠ El destino debe ser tarjeta de crédito",IF(AND(P3267="Gasto",E3267="Depósitos y retiros"),"⚠ Usa tipo Transferencia",IF(AND(P3267="Resultado trading",AD3267&lt;&gt;"Cuenta de trading"),"⚠ Usa una cuenta de trading",IF(AND(G3267&lt;=0,P3267&lt;&gt;"Ajuste",P3267&lt;&gt;"Resultado trading"),"⚠ El monto debe ser positivo","✓")))))))))))))))</f>
        <v/>
      </c>
      <c r="P3267" s="52">
        <f>IF(OR(B3267="",G3267=""),"",IF(C3267="","Gasto",C3267))</f>
        <v/>
      </c>
      <c r="Q3267" s="52">
        <f>IF(P3267="","",IF(J3267&lt;&gt;"",J3267,CuentaPred&amp;""))</f>
        <v/>
      </c>
      <c r="R3267" s="52">
        <f>IF(P3267="","",IF(ISNUMBER(I3267),I3267,TasaUSD))</f>
        <v/>
      </c>
      <c r="S3267" s="53">
        <f>IF(P3267="","",IF(H3267="USD",G3267*R3267,G3267))</f>
        <v/>
      </c>
      <c r="T3267" s="53">
        <f>IF(P3267="","",IF(H3267="USD",G3267,IF(R3267&gt;0,G3267/R3267,0)))</f>
        <v/>
      </c>
      <c r="U3267" s="53">
        <f>IF(P3267="","",IF(P3267="Gasto",S3267,IF(P3267="Reembolso",-S3267,0)))</f>
        <v/>
      </c>
      <c r="V3267" s="53">
        <f>IF(P3267="","",IF(P3267="Ingreso",S3267,0))</f>
        <v/>
      </c>
      <c r="W3267" s="53">
        <f>IF(P3267="","",IF(P3267="Resultado trading",S3267,0))</f>
        <v/>
      </c>
      <c r="X3267" s="52">
        <f>IF(OR(P3267="Gasto",P3267="Reembolso"),IF(M3267&lt;&gt;"",M3267,IFERROR(INDEX(catClasif,MATCH(D3267&amp;"|"&amp;E3267,catClave,0))&amp;"","Variable")),"")</f>
        <v/>
      </c>
      <c r="Y3267" s="52">
        <f>IF(P3267="","",IFERROR(INDEX(catGrupo,MATCH(D3267&amp;"|"&amp;E3267,catClave,0))&amp;"",""))</f>
        <v/>
      </c>
      <c r="Z3267" s="52">
        <f>IF(P3267="","",WEEKDAY(B3267,2))</f>
        <v/>
      </c>
      <c r="AA3267" s="52">
        <f>IF(P3267="","",IF(AND(P3267="Gasto",X3267="Variable",D3267&lt;&gt;catTrading,S3267&gt;0,S3267&lt;=Umbral),1,0))</f>
        <v/>
      </c>
      <c r="AB3267" s="52">
        <f>IF(OR(P3267="",Q3267=""),"",IFERROR(IF(INDEX(ctaVinc,MATCH(Q3267,ctaNombre,0))&amp;""&lt;&gt;"",INDEX(ctaVinc,MATCH(Q3267,ctaNombre,0))&amp;"",Q3267),Q3267))</f>
        <v/>
      </c>
      <c r="AC3267" s="52">
        <f>IF(OR(K3267="",AND(P3267&lt;&gt;"Transferencia",P3267&lt;&gt;"Pago tarjeta")),"",IFERROR(IF(INDEX(ctaVinc,MATCH(K3267,ctaNombre,0))&amp;""&lt;&gt;"",INDEX(ctaVinc,MATCH(K3267,ctaNombre,0))&amp;"",K3267),K3267))</f>
        <v/>
      </c>
      <c r="AD3267" s="52">
        <f>IF(AB3267="","",IFERROR(INDEX(ctaTipo,MATCH(AB3267,ctaNombre,0))&amp;"",""))</f>
        <v/>
      </c>
      <c r="AE3267" s="52">
        <f>IF(AC3267="","",IFERROR(INDEX(ctaTipo,MATCH(AC3267,ctaNombre,0))&amp;"",""))</f>
        <v/>
      </c>
      <c r="AF3267" s="53">
        <f>IF(OR(P3267="",AB3267=""),"",IF(OR(P3267="Gasto",P3267="Transferencia",P3267="Pago tarjeta"),-1,1)*IF(IFERROR(INDEX(ctaMoneda,MATCH(AB3267,ctaNombre,0))&amp;"","DOP")="USD",T3267,S3267))</f>
        <v/>
      </c>
      <c r="AG3267" s="53">
        <f>IF(AC3267="","",IF(IFERROR(INDEX(ctaMoneda,MATCH(AC3267,ctaNombre,0))&amp;"","DOP")="USD",T3267,S3267))</f>
        <v/>
      </c>
      <c r="AH3267" s="53">
        <f>IF(P3267="","",IF(AND(AD3267&lt;&gt;"",COUNTIFS(tcTipo,AD3267,tcLiq,"Sí")&gt;0),IF(OR(P3267="Gasto",P3267="Transferencia",P3267="Pago tarjeta"),-1,1)*S3267,0)+IF(AND(AE3267&lt;&gt;"",COUNTIFS(tcTipo,AE3267,tcLiq,"Sí")&gt;0),S3267,0))</f>
        <v/>
      </c>
      <c r="AI3267" s="52">
        <f>IF(OR(L3267="",P3267=""),"",IF(COUNTIFS(L$6:L3267,L3267,P$6:P3267,"?*")=1,MAX(AI$5:AI3266)+1,""))</f>
        <v/>
      </c>
    </row>
    <row r="3268">
      <c r="B3268" s="47" t="n"/>
      <c r="C3268" s="48" t="n"/>
      <c r="D3268" s="48" t="n"/>
      <c r="E3268" s="48" t="n"/>
      <c r="F3268" s="48" t="n"/>
      <c r="G3268" s="49" t="n"/>
      <c r="H3268" s="48" t="n"/>
      <c r="I3268" s="50" t="n"/>
      <c r="J3268" s="48" t="n"/>
      <c r="K3268" s="48" t="n"/>
      <c r="L3268" s="48" t="n"/>
      <c r="M3268" s="48" t="n"/>
      <c r="N3268" s="48" t="n"/>
      <c r="O3268" s="51">
        <f>IF(AND(B3268="",G3268="",C3268="",D3268="",J3268=""),"",IF(B3268="","⚠ Falta fecha",IF(G3268="","⚠ Falta monto",IF(Q3268="","⚠ Falta cuenta",IF(ISNA(MATCH(Q3268,ctaNombre,0)),"⚠ Cuenta no registrada",IF(AND(OR(P3268="Gasto",P3268="Reembolso"),D3268=""),"⚠ Falta categoría",IF(AND(D3268&lt;&gt;"",E3268&lt;&gt;"",ISNA(MATCH(D3268&amp;"|"&amp;E3268,catClave,0))),"⚠ Subcategoría no corresponde",IF(AND(OR(P3268="Transferencia",P3268="Pago tarjeta"),K3268=""),"⚠ Falta cuenta destino",IF(AND(K3268&lt;&gt;"",P3268&lt;&gt;"Transferencia",P3268&lt;&gt;"Pago tarjeta"),"⚠ Destino solo aplica a transferencias",IF(AND(K3268&lt;&gt;"",K3268=Q3268),"⚠ Origen igual a destino",IF(AND(K3268&lt;&gt;"",ISNA(MATCH(K3268,ctaNombre,0))),"⚠ Destino no registrado",IF(AND(P3268="Pago tarjeta",AE3268&lt;&gt;"Tarjeta de crédito"),"⚠ El destino debe ser tarjeta de crédito",IF(AND(P3268="Gasto",E3268="Depósitos y retiros"),"⚠ Usa tipo Transferencia",IF(AND(P3268="Resultado trading",AD3268&lt;&gt;"Cuenta de trading"),"⚠ Usa una cuenta de trading",IF(AND(G3268&lt;=0,P3268&lt;&gt;"Ajuste",P3268&lt;&gt;"Resultado trading"),"⚠ El monto debe ser positivo","✓")))))))))))))))</f>
        <v/>
      </c>
      <c r="P3268" s="52">
        <f>IF(OR(B3268="",G3268=""),"",IF(C3268="","Gasto",C3268))</f>
        <v/>
      </c>
      <c r="Q3268" s="52">
        <f>IF(P3268="","",IF(J3268&lt;&gt;"",J3268,CuentaPred&amp;""))</f>
        <v/>
      </c>
      <c r="R3268" s="52">
        <f>IF(P3268="","",IF(ISNUMBER(I3268),I3268,TasaUSD))</f>
        <v/>
      </c>
      <c r="S3268" s="53">
        <f>IF(P3268="","",IF(H3268="USD",G3268*R3268,G3268))</f>
        <v/>
      </c>
      <c r="T3268" s="53">
        <f>IF(P3268="","",IF(H3268="USD",G3268,IF(R3268&gt;0,G3268/R3268,0)))</f>
        <v/>
      </c>
      <c r="U3268" s="53">
        <f>IF(P3268="","",IF(P3268="Gasto",S3268,IF(P3268="Reembolso",-S3268,0)))</f>
        <v/>
      </c>
      <c r="V3268" s="53">
        <f>IF(P3268="","",IF(P3268="Ingreso",S3268,0))</f>
        <v/>
      </c>
      <c r="W3268" s="53">
        <f>IF(P3268="","",IF(P3268="Resultado trading",S3268,0))</f>
        <v/>
      </c>
      <c r="X3268" s="52">
        <f>IF(OR(P3268="Gasto",P3268="Reembolso"),IF(M3268&lt;&gt;"",M3268,IFERROR(INDEX(catClasif,MATCH(D3268&amp;"|"&amp;E3268,catClave,0))&amp;"","Variable")),"")</f>
        <v/>
      </c>
      <c r="Y3268" s="52">
        <f>IF(P3268="","",IFERROR(INDEX(catGrupo,MATCH(D3268&amp;"|"&amp;E3268,catClave,0))&amp;"",""))</f>
        <v/>
      </c>
      <c r="Z3268" s="52">
        <f>IF(P3268="","",WEEKDAY(B3268,2))</f>
        <v/>
      </c>
      <c r="AA3268" s="52">
        <f>IF(P3268="","",IF(AND(P3268="Gasto",X3268="Variable",D3268&lt;&gt;catTrading,S3268&gt;0,S3268&lt;=Umbral),1,0))</f>
        <v/>
      </c>
      <c r="AB3268" s="52">
        <f>IF(OR(P3268="",Q3268=""),"",IFERROR(IF(INDEX(ctaVinc,MATCH(Q3268,ctaNombre,0))&amp;""&lt;&gt;"",INDEX(ctaVinc,MATCH(Q3268,ctaNombre,0))&amp;"",Q3268),Q3268))</f>
        <v/>
      </c>
      <c r="AC3268" s="52">
        <f>IF(OR(K3268="",AND(P3268&lt;&gt;"Transferencia",P3268&lt;&gt;"Pago tarjeta")),"",IFERROR(IF(INDEX(ctaVinc,MATCH(K3268,ctaNombre,0))&amp;""&lt;&gt;"",INDEX(ctaVinc,MATCH(K3268,ctaNombre,0))&amp;"",K3268),K3268))</f>
        <v/>
      </c>
      <c r="AD3268" s="52">
        <f>IF(AB3268="","",IFERROR(INDEX(ctaTipo,MATCH(AB3268,ctaNombre,0))&amp;"",""))</f>
        <v/>
      </c>
      <c r="AE3268" s="52">
        <f>IF(AC3268="","",IFERROR(INDEX(ctaTipo,MATCH(AC3268,ctaNombre,0))&amp;"",""))</f>
        <v/>
      </c>
      <c r="AF3268" s="53">
        <f>IF(OR(P3268="",AB3268=""),"",IF(OR(P3268="Gasto",P3268="Transferencia",P3268="Pago tarjeta"),-1,1)*IF(IFERROR(INDEX(ctaMoneda,MATCH(AB3268,ctaNombre,0))&amp;"","DOP")="USD",T3268,S3268))</f>
        <v/>
      </c>
      <c r="AG3268" s="53">
        <f>IF(AC3268="","",IF(IFERROR(INDEX(ctaMoneda,MATCH(AC3268,ctaNombre,0))&amp;"","DOP")="USD",T3268,S3268))</f>
        <v/>
      </c>
      <c r="AH3268" s="53">
        <f>IF(P3268="","",IF(AND(AD3268&lt;&gt;"",COUNTIFS(tcTipo,AD3268,tcLiq,"Sí")&gt;0),IF(OR(P3268="Gasto",P3268="Transferencia",P3268="Pago tarjeta"),-1,1)*S3268,0)+IF(AND(AE3268&lt;&gt;"",COUNTIFS(tcTipo,AE3268,tcLiq,"Sí")&gt;0),S3268,0))</f>
        <v/>
      </c>
      <c r="AI3268" s="52">
        <f>IF(OR(L3268="",P3268=""),"",IF(COUNTIFS(L$6:L3268,L3268,P$6:P3268,"?*")=1,MAX(AI$5:AI3267)+1,""))</f>
        <v/>
      </c>
    </row>
    <row r="3269">
      <c r="B3269" s="47" t="n"/>
      <c r="C3269" s="48" t="n"/>
      <c r="D3269" s="48" t="n"/>
      <c r="E3269" s="48" t="n"/>
      <c r="F3269" s="48" t="n"/>
      <c r="G3269" s="49" t="n"/>
      <c r="H3269" s="48" t="n"/>
      <c r="I3269" s="50" t="n"/>
      <c r="J3269" s="48" t="n"/>
      <c r="K3269" s="48" t="n"/>
      <c r="L3269" s="48" t="n"/>
      <c r="M3269" s="48" t="n"/>
      <c r="N3269" s="48" t="n"/>
      <c r="O3269" s="51">
        <f>IF(AND(B3269="",G3269="",C3269="",D3269="",J3269=""),"",IF(B3269="","⚠ Falta fecha",IF(G3269="","⚠ Falta monto",IF(Q3269="","⚠ Falta cuenta",IF(ISNA(MATCH(Q3269,ctaNombre,0)),"⚠ Cuenta no registrada",IF(AND(OR(P3269="Gasto",P3269="Reembolso"),D3269=""),"⚠ Falta categoría",IF(AND(D3269&lt;&gt;"",E3269&lt;&gt;"",ISNA(MATCH(D3269&amp;"|"&amp;E3269,catClave,0))),"⚠ Subcategoría no corresponde",IF(AND(OR(P3269="Transferencia",P3269="Pago tarjeta"),K3269=""),"⚠ Falta cuenta destino",IF(AND(K3269&lt;&gt;"",P3269&lt;&gt;"Transferencia",P3269&lt;&gt;"Pago tarjeta"),"⚠ Destino solo aplica a transferencias",IF(AND(K3269&lt;&gt;"",K3269=Q3269),"⚠ Origen igual a destino",IF(AND(K3269&lt;&gt;"",ISNA(MATCH(K3269,ctaNombre,0))),"⚠ Destino no registrado",IF(AND(P3269="Pago tarjeta",AE3269&lt;&gt;"Tarjeta de crédito"),"⚠ El destino debe ser tarjeta de crédito",IF(AND(P3269="Gasto",E3269="Depósitos y retiros"),"⚠ Usa tipo Transferencia",IF(AND(P3269="Resultado trading",AD3269&lt;&gt;"Cuenta de trading"),"⚠ Usa una cuenta de trading",IF(AND(G3269&lt;=0,P3269&lt;&gt;"Ajuste",P3269&lt;&gt;"Resultado trading"),"⚠ El monto debe ser positivo","✓")))))))))))))))</f>
        <v/>
      </c>
      <c r="P3269" s="52">
        <f>IF(OR(B3269="",G3269=""),"",IF(C3269="","Gasto",C3269))</f>
        <v/>
      </c>
      <c r="Q3269" s="52">
        <f>IF(P3269="","",IF(J3269&lt;&gt;"",J3269,CuentaPred&amp;""))</f>
        <v/>
      </c>
      <c r="R3269" s="52">
        <f>IF(P3269="","",IF(ISNUMBER(I3269),I3269,TasaUSD))</f>
        <v/>
      </c>
      <c r="S3269" s="53">
        <f>IF(P3269="","",IF(H3269="USD",G3269*R3269,G3269))</f>
        <v/>
      </c>
      <c r="T3269" s="53">
        <f>IF(P3269="","",IF(H3269="USD",G3269,IF(R3269&gt;0,G3269/R3269,0)))</f>
        <v/>
      </c>
      <c r="U3269" s="53">
        <f>IF(P3269="","",IF(P3269="Gasto",S3269,IF(P3269="Reembolso",-S3269,0)))</f>
        <v/>
      </c>
      <c r="V3269" s="53">
        <f>IF(P3269="","",IF(P3269="Ingreso",S3269,0))</f>
        <v/>
      </c>
      <c r="W3269" s="53">
        <f>IF(P3269="","",IF(P3269="Resultado trading",S3269,0))</f>
        <v/>
      </c>
      <c r="X3269" s="52">
        <f>IF(OR(P3269="Gasto",P3269="Reembolso"),IF(M3269&lt;&gt;"",M3269,IFERROR(INDEX(catClasif,MATCH(D3269&amp;"|"&amp;E3269,catClave,0))&amp;"","Variable")),"")</f>
        <v/>
      </c>
      <c r="Y3269" s="52">
        <f>IF(P3269="","",IFERROR(INDEX(catGrupo,MATCH(D3269&amp;"|"&amp;E3269,catClave,0))&amp;"",""))</f>
        <v/>
      </c>
      <c r="Z3269" s="52">
        <f>IF(P3269="","",WEEKDAY(B3269,2))</f>
        <v/>
      </c>
      <c r="AA3269" s="52">
        <f>IF(P3269="","",IF(AND(P3269="Gasto",X3269="Variable",D3269&lt;&gt;catTrading,S3269&gt;0,S3269&lt;=Umbral),1,0))</f>
        <v/>
      </c>
      <c r="AB3269" s="52">
        <f>IF(OR(P3269="",Q3269=""),"",IFERROR(IF(INDEX(ctaVinc,MATCH(Q3269,ctaNombre,0))&amp;""&lt;&gt;"",INDEX(ctaVinc,MATCH(Q3269,ctaNombre,0))&amp;"",Q3269),Q3269))</f>
        <v/>
      </c>
      <c r="AC3269" s="52">
        <f>IF(OR(K3269="",AND(P3269&lt;&gt;"Transferencia",P3269&lt;&gt;"Pago tarjeta")),"",IFERROR(IF(INDEX(ctaVinc,MATCH(K3269,ctaNombre,0))&amp;""&lt;&gt;"",INDEX(ctaVinc,MATCH(K3269,ctaNombre,0))&amp;"",K3269),K3269))</f>
        <v/>
      </c>
      <c r="AD3269" s="52">
        <f>IF(AB3269="","",IFERROR(INDEX(ctaTipo,MATCH(AB3269,ctaNombre,0))&amp;"",""))</f>
        <v/>
      </c>
      <c r="AE3269" s="52">
        <f>IF(AC3269="","",IFERROR(INDEX(ctaTipo,MATCH(AC3269,ctaNombre,0))&amp;"",""))</f>
        <v/>
      </c>
      <c r="AF3269" s="53">
        <f>IF(OR(P3269="",AB3269=""),"",IF(OR(P3269="Gasto",P3269="Transferencia",P3269="Pago tarjeta"),-1,1)*IF(IFERROR(INDEX(ctaMoneda,MATCH(AB3269,ctaNombre,0))&amp;"","DOP")="USD",T3269,S3269))</f>
        <v/>
      </c>
      <c r="AG3269" s="53">
        <f>IF(AC3269="","",IF(IFERROR(INDEX(ctaMoneda,MATCH(AC3269,ctaNombre,0))&amp;"","DOP")="USD",T3269,S3269))</f>
        <v/>
      </c>
      <c r="AH3269" s="53">
        <f>IF(P3269="","",IF(AND(AD3269&lt;&gt;"",COUNTIFS(tcTipo,AD3269,tcLiq,"Sí")&gt;0),IF(OR(P3269="Gasto",P3269="Transferencia",P3269="Pago tarjeta"),-1,1)*S3269,0)+IF(AND(AE3269&lt;&gt;"",COUNTIFS(tcTipo,AE3269,tcLiq,"Sí")&gt;0),S3269,0))</f>
        <v/>
      </c>
      <c r="AI3269" s="52">
        <f>IF(OR(L3269="",P3269=""),"",IF(COUNTIFS(L$6:L3269,L3269,P$6:P3269,"?*")=1,MAX(AI$5:AI3268)+1,""))</f>
        <v/>
      </c>
    </row>
    <row r="3270">
      <c r="B3270" s="47" t="n"/>
      <c r="C3270" s="48" t="n"/>
      <c r="D3270" s="48" t="n"/>
      <c r="E3270" s="48" t="n"/>
      <c r="F3270" s="48" t="n"/>
      <c r="G3270" s="49" t="n"/>
      <c r="H3270" s="48" t="n"/>
      <c r="I3270" s="50" t="n"/>
      <c r="J3270" s="48" t="n"/>
      <c r="K3270" s="48" t="n"/>
      <c r="L3270" s="48" t="n"/>
      <c r="M3270" s="48" t="n"/>
      <c r="N3270" s="48" t="n"/>
      <c r="O3270" s="51">
        <f>IF(AND(B3270="",G3270="",C3270="",D3270="",J3270=""),"",IF(B3270="","⚠ Falta fecha",IF(G3270="","⚠ Falta monto",IF(Q3270="","⚠ Falta cuenta",IF(ISNA(MATCH(Q3270,ctaNombre,0)),"⚠ Cuenta no registrada",IF(AND(OR(P3270="Gasto",P3270="Reembolso"),D3270=""),"⚠ Falta categoría",IF(AND(D3270&lt;&gt;"",E3270&lt;&gt;"",ISNA(MATCH(D3270&amp;"|"&amp;E3270,catClave,0))),"⚠ Subcategoría no corresponde",IF(AND(OR(P3270="Transferencia",P3270="Pago tarjeta"),K3270=""),"⚠ Falta cuenta destino",IF(AND(K3270&lt;&gt;"",P3270&lt;&gt;"Transferencia",P3270&lt;&gt;"Pago tarjeta"),"⚠ Destino solo aplica a transferencias",IF(AND(K3270&lt;&gt;"",K3270=Q3270),"⚠ Origen igual a destino",IF(AND(K3270&lt;&gt;"",ISNA(MATCH(K3270,ctaNombre,0))),"⚠ Destino no registrado",IF(AND(P3270="Pago tarjeta",AE3270&lt;&gt;"Tarjeta de crédito"),"⚠ El destino debe ser tarjeta de crédito",IF(AND(P3270="Gasto",E3270="Depósitos y retiros"),"⚠ Usa tipo Transferencia",IF(AND(P3270="Resultado trading",AD3270&lt;&gt;"Cuenta de trading"),"⚠ Usa una cuenta de trading",IF(AND(G3270&lt;=0,P3270&lt;&gt;"Ajuste",P3270&lt;&gt;"Resultado trading"),"⚠ El monto debe ser positivo","✓")))))))))))))))</f>
        <v/>
      </c>
      <c r="P3270" s="52">
        <f>IF(OR(B3270="",G3270=""),"",IF(C3270="","Gasto",C3270))</f>
        <v/>
      </c>
      <c r="Q3270" s="52">
        <f>IF(P3270="","",IF(J3270&lt;&gt;"",J3270,CuentaPred&amp;""))</f>
        <v/>
      </c>
      <c r="R3270" s="52">
        <f>IF(P3270="","",IF(ISNUMBER(I3270),I3270,TasaUSD))</f>
        <v/>
      </c>
      <c r="S3270" s="53">
        <f>IF(P3270="","",IF(H3270="USD",G3270*R3270,G3270))</f>
        <v/>
      </c>
      <c r="T3270" s="53">
        <f>IF(P3270="","",IF(H3270="USD",G3270,IF(R3270&gt;0,G3270/R3270,0)))</f>
        <v/>
      </c>
      <c r="U3270" s="53">
        <f>IF(P3270="","",IF(P3270="Gasto",S3270,IF(P3270="Reembolso",-S3270,0)))</f>
        <v/>
      </c>
      <c r="V3270" s="53">
        <f>IF(P3270="","",IF(P3270="Ingreso",S3270,0))</f>
        <v/>
      </c>
      <c r="W3270" s="53">
        <f>IF(P3270="","",IF(P3270="Resultado trading",S3270,0))</f>
        <v/>
      </c>
      <c r="X3270" s="52">
        <f>IF(OR(P3270="Gasto",P3270="Reembolso"),IF(M3270&lt;&gt;"",M3270,IFERROR(INDEX(catClasif,MATCH(D3270&amp;"|"&amp;E3270,catClave,0))&amp;"","Variable")),"")</f>
        <v/>
      </c>
      <c r="Y3270" s="52">
        <f>IF(P3270="","",IFERROR(INDEX(catGrupo,MATCH(D3270&amp;"|"&amp;E3270,catClave,0))&amp;"",""))</f>
        <v/>
      </c>
      <c r="Z3270" s="52">
        <f>IF(P3270="","",WEEKDAY(B3270,2))</f>
        <v/>
      </c>
      <c r="AA3270" s="52">
        <f>IF(P3270="","",IF(AND(P3270="Gasto",X3270="Variable",D3270&lt;&gt;catTrading,S3270&gt;0,S3270&lt;=Umbral),1,0))</f>
        <v/>
      </c>
      <c r="AB3270" s="52">
        <f>IF(OR(P3270="",Q3270=""),"",IFERROR(IF(INDEX(ctaVinc,MATCH(Q3270,ctaNombre,0))&amp;""&lt;&gt;"",INDEX(ctaVinc,MATCH(Q3270,ctaNombre,0))&amp;"",Q3270),Q3270))</f>
        <v/>
      </c>
      <c r="AC3270" s="52">
        <f>IF(OR(K3270="",AND(P3270&lt;&gt;"Transferencia",P3270&lt;&gt;"Pago tarjeta")),"",IFERROR(IF(INDEX(ctaVinc,MATCH(K3270,ctaNombre,0))&amp;""&lt;&gt;"",INDEX(ctaVinc,MATCH(K3270,ctaNombre,0))&amp;"",K3270),K3270))</f>
        <v/>
      </c>
      <c r="AD3270" s="52">
        <f>IF(AB3270="","",IFERROR(INDEX(ctaTipo,MATCH(AB3270,ctaNombre,0))&amp;"",""))</f>
        <v/>
      </c>
      <c r="AE3270" s="52">
        <f>IF(AC3270="","",IFERROR(INDEX(ctaTipo,MATCH(AC3270,ctaNombre,0))&amp;"",""))</f>
        <v/>
      </c>
      <c r="AF3270" s="53">
        <f>IF(OR(P3270="",AB3270=""),"",IF(OR(P3270="Gasto",P3270="Transferencia",P3270="Pago tarjeta"),-1,1)*IF(IFERROR(INDEX(ctaMoneda,MATCH(AB3270,ctaNombre,0))&amp;"","DOP")="USD",T3270,S3270))</f>
        <v/>
      </c>
      <c r="AG3270" s="53">
        <f>IF(AC3270="","",IF(IFERROR(INDEX(ctaMoneda,MATCH(AC3270,ctaNombre,0))&amp;"","DOP")="USD",T3270,S3270))</f>
        <v/>
      </c>
      <c r="AH3270" s="53">
        <f>IF(P3270="","",IF(AND(AD3270&lt;&gt;"",COUNTIFS(tcTipo,AD3270,tcLiq,"Sí")&gt;0),IF(OR(P3270="Gasto",P3270="Transferencia",P3270="Pago tarjeta"),-1,1)*S3270,0)+IF(AND(AE3270&lt;&gt;"",COUNTIFS(tcTipo,AE3270,tcLiq,"Sí")&gt;0),S3270,0))</f>
        <v/>
      </c>
      <c r="AI3270" s="52">
        <f>IF(OR(L3270="",P3270=""),"",IF(COUNTIFS(L$6:L3270,L3270,P$6:P3270,"?*")=1,MAX(AI$5:AI3269)+1,""))</f>
        <v/>
      </c>
    </row>
    <row r="3271">
      <c r="B3271" s="47" t="n"/>
      <c r="C3271" s="48" t="n"/>
      <c r="D3271" s="48" t="n"/>
      <c r="E3271" s="48" t="n"/>
      <c r="F3271" s="48" t="n"/>
      <c r="G3271" s="49" t="n"/>
      <c r="H3271" s="48" t="n"/>
      <c r="I3271" s="50" t="n"/>
      <c r="J3271" s="48" t="n"/>
      <c r="K3271" s="48" t="n"/>
      <c r="L3271" s="48" t="n"/>
      <c r="M3271" s="48" t="n"/>
      <c r="N3271" s="48" t="n"/>
      <c r="O3271" s="51">
        <f>IF(AND(B3271="",G3271="",C3271="",D3271="",J3271=""),"",IF(B3271="","⚠ Falta fecha",IF(G3271="","⚠ Falta monto",IF(Q3271="","⚠ Falta cuenta",IF(ISNA(MATCH(Q3271,ctaNombre,0)),"⚠ Cuenta no registrada",IF(AND(OR(P3271="Gasto",P3271="Reembolso"),D3271=""),"⚠ Falta categoría",IF(AND(D3271&lt;&gt;"",E3271&lt;&gt;"",ISNA(MATCH(D3271&amp;"|"&amp;E3271,catClave,0))),"⚠ Subcategoría no corresponde",IF(AND(OR(P3271="Transferencia",P3271="Pago tarjeta"),K3271=""),"⚠ Falta cuenta destino",IF(AND(K3271&lt;&gt;"",P3271&lt;&gt;"Transferencia",P3271&lt;&gt;"Pago tarjeta"),"⚠ Destino solo aplica a transferencias",IF(AND(K3271&lt;&gt;"",K3271=Q3271),"⚠ Origen igual a destino",IF(AND(K3271&lt;&gt;"",ISNA(MATCH(K3271,ctaNombre,0))),"⚠ Destino no registrado",IF(AND(P3271="Pago tarjeta",AE3271&lt;&gt;"Tarjeta de crédito"),"⚠ El destino debe ser tarjeta de crédito",IF(AND(P3271="Gasto",E3271="Depósitos y retiros"),"⚠ Usa tipo Transferencia",IF(AND(P3271="Resultado trading",AD3271&lt;&gt;"Cuenta de trading"),"⚠ Usa una cuenta de trading",IF(AND(G3271&lt;=0,P3271&lt;&gt;"Ajuste",P3271&lt;&gt;"Resultado trading"),"⚠ El monto debe ser positivo","✓")))))))))))))))</f>
        <v/>
      </c>
      <c r="P3271" s="52">
        <f>IF(OR(B3271="",G3271=""),"",IF(C3271="","Gasto",C3271))</f>
        <v/>
      </c>
      <c r="Q3271" s="52">
        <f>IF(P3271="","",IF(J3271&lt;&gt;"",J3271,CuentaPred&amp;""))</f>
        <v/>
      </c>
      <c r="R3271" s="52">
        <f>IF(P3271="","",IF(ISNUMBER(I3271),I3271,TasaUSD))</f>
        <v/>
      </c>
      <c r="S3271" s="53">
        <f>IF(P3271="","",IF(H3271="USD",G3271*R3271,G3271))</f>
        <v/>
      </c>
      <c r="T3271" s="53">
        <f>IF(P3271="","",IF(H3271="USD",G3271,IF(R3271&gt;0,G3271/R3271,0)))</f>
        <v/>
      </c>
      <c r="U3271" s="53">
        <f>IF(P3271="","",IF(P3271="Gasto",S3271,IF(P3271="Reembolso",-S3271,0)))</f>
        <v/>
      </c>
      <c r="V3271" s="53">
        <f>IF(P3271="","",IF(P3271="Ingreso",S3271,0))</f>
        <v/>
      </c>
      <c r="W3271" s="53">
        <f>IF(P3271="","",IF(P3271="Resultado trading",S3271,0))</f>
        <v/>
      </c>
      <c r="X3271" s="52">
        <f>IF(OR(P3271="Gasto",P3271="Reembolso"),IF(M3271&lt;&gt;"",M3271,IFERROR(INDEX(catClasif,MATCH(D3271&amp;"|"&amp;E3271,catClave,0))&amp;"","Variable")),"")</f>
        <v/>
      </c>
      <c r="Y3271" s="52">
        <f>IF(P3271="","",IFERROR(INDEX(catGrupo,MATCH(D3271&amp;"|"&amp;E3271,catClave,0))&amp;"",""))</f>
        <v/>
      </c>
      <c r="Z3271" s="52">
        <f>IF(P3271="","",WEEKDAY(B3271,2))</f>
        <v/>
      </c>
      <c r="AA3271" s="52">
        <f>IF(P3271="","",IF(AND(P3271="Gasto",X3271="Variable",D3271&lt;&gt;catTrading,S3271&gt;0,S3271&lt;=Umbral),1,0))</f>
        <v/>
      </c>
      <c r="AB3271" s="52">
        <f>IF(OR(P3271="",Q3271=""),"",IFERROR(IF(INDEX(ctaVinc,MATCH(Q3271,ctaNombre,0))&amp;""&lt;&gt;"",INDEX(ctaVinc,MATCH(Q3271,ctaNombre,0))&amp;"",Q3271),Q3271))</f>
        <v/>
      </c>
      <c r="AC3271" s="52">
        <f>IF(OR(K3271="",AND(P3271&lt;&gt;"Transferencia",P3271&lt;&gt;"Pago tarjeta")),"",IFERROR(IF(INDEX(ctaVinc,MATCH(K3271,ctaNombre,0))&amp;""&lt;&gt;"",INDEX(ctaVinc,MATCH(K3271,ctaNombre,0))&amp;"",K3271),K3271))</f>
        <v/>
      </c>
      <c r="AD3271" s="52">
        <f>IF(AB3271="","",IFERROR(INDEX(ctaTipo,MATCH(AB3271,ctaNombre,0))&amp;"",""))</f>
        <v/>
      </c>
      <c r="AE3271" s="52">
        <f>IF(AC3271="","",IFERROR(INDEX(ctaTipo,MATCH(AC3271,ctaNombre,0))&amp;"",""))</f>
        <v/>
      </c>
      <c r="AF3271" s="53">
        <f>IF(OR(P3271="",AB3271=""),"",IF(OR(P3271="Gasto",P3271="Transferencia",P3271="Pago tarjeta"),-1,1)*IF(IFERROR(INDEX(ctaMoneda,MATCH(AB3271,ctaNombre,0))&amp;"","DOP")="USD",T3271,S3271))</f>
        <v/>
      </c>
      <c r="AG3271" s="53">
        <f>IF(AC3271="","",IF(IFERROR(INDEX(ctaMoneda,MATCH(AC3271,ctaNombre,0))&amp;"","DOP")="USD",T3271,S3271))</f>
        <v/>
      </c>
      <c r="AH3271" s="53">
        <f>IF(P3271="","",IF(AND(AD3271&lt;&gt;"",COUNTIFS(tcTipo,AD3271,tcLiq,"Sí")&gt;0),IF(OR(P3271="Gasto",P3271="Transferencia",P3271="Pago tarjeta"),-1,1)*S3271,0)+IF(AND(AE3271&lt;&gt;"",COUNTIFS(tcTipo,AE3271,tcLiq,"Sí")&gt;0),S3271,0))</f>
        <v/>
      </c>
      <c r="AI3271" s="52">
        <f>IF(OR(L3271="",P3271=""),"",IF(COUNTIFS(L$6:L3271,L3271,P$6:P3271,"?*")=1,MAX(AI$5:AI3270)+1,""))</f>
        <v/>
      </c>
    </row>
    <row r="3272">
      <c r="B3272" s="47" t="n"/>
      <c r="C3272" s="48" t="n"/>
      <c r="D3272" s="48" t="n"/>
      <c r="E3272" s="48" t="n"/>
      <c r="F3272" s="48" t="n"/>
      <c r="G3272" s="49" t="n"/>
      <c r="H3272" s="48" t="n"/>
      <c r="I3272" s="50" t="n"/>
      <c r="J3272" s="48" t="n"/>
      <c r="K3272" s="48" t="n"/>
      <c r="L3272" s="48" t="n"/>
      <c r="M3272" s="48" t="n"/>
      <c r="N3272" s="48" t="n"/>
      <c r="O3272" s="51">
        <f>IF(AND(B3272="",G3272="",C3272="",D3272="",J3272=""),"",IF(B3272="","⚠ Falta fecha",IF(G3272="","⚠ Falta monto",IF(Q3272="","⚠ Falta cuenta",IF(ISNA(MATCH(Q3272,ctaNombre,0)),"⚠ Cuenta no registrada",IF(AND(OR(P3272="Gasto",P3272="Reembolso"),D3272=""),"⚠ Falta categoría",IF(AND(D3272&lt;&gt;"",E3272&lt;&gt;"",ISNA(MATCH(D3272&amp;"|"&amp;E3272,catClave,0))),"⚠ Subcategoría no corresponde",IF(AND(OR(P3272="Transferencia",P3272="Pago tarjeta"),K3272=""),"⚠ Falta cuenta destino",IF(AND(K3272&lt;&gt;"",P3272&lt;&gt;"Transferencia",P3272&lt;&gt;"Pago tarjeta"),"⚠ Destino solo aplica a transferencias",IF(AND(K3272&lt;&gt;"",K3272=Q3272),"⚠ Origen igual a destino",IF(AND(K3272&lt;&gt;"",ISNA(MATCH(K3272,ctaNombre,0))),"⚠ Destino no registrado",IF(AND(P3272="Pago tarjeta",AE3272&lt;&gt;"Tarjeta de crédito"),"⚠ El destino debe ser tarjeta de crédito",IF(AND(P3272="Gasto",E3272="Depósitos y retiros"),"⚠ Usa tipo Transferencia",IF(AND(P3272="Resultado trading",AD3272&lt;&gt;"Cuenta de trading"),"⚠ Usa una cuenta de trading",IF(AND(G3272&lt;=0,P3272&lt;&gt;"Ajuste",P3272&lt;&gt;"Resultado trading"),"⚠ El monto debe ser positivo","✓")))))))))))))))</f>
        <v/>
      </c>
      <c r="P3272" s="52">
        <f>IF(OR(B3272="",G3272=""),"",IF(C3272="","Gasto",C3272))</f>
        <v/>
      </c>
      <c r="Q3272" s="52">
        <f>IF(P3272="","",IF(J3272&lt;&gt;"",J3272,CuentaPred&amp;""))</f>
        <v/>
      </c>
      <c r="R3272" s="52">
        <f>IF(P3272="","",IF(ISNUMBER(I3272),I3272,TasaUSD))</f>
        <v/>
      </c>
      <c r="S3272" s="53">
        <f>IF(P3272="","",IF(H3272="USD",G3272*R3272,G3272))</f>
        <v/>
      </c>
      <c r="T3272" s="53">
        <f>IF(P3272="","",IF(H3272="USD",G3272,IF(R3272&gt;0,G3272/R3272,0)))</f>
        <v/>
      </c>
      <c r="U3272" s="53">
        <f>IF(P3272="","",IF(P3272="Gasto",S3272,IF(P3272="Reembolso",-S3272,0)))</f>
        <v/>
      </c>
      <c r="V3272" s="53">
        <f>IF(P3272="","",IF(P3272="Ingreso",S3272,0))</f>
        <v/>
      </c>
      <c r="W3272" s="53">
        <f>IF(P3272="","",IF(P3272="Resultado trading",S3272,0))</f>
        <v/>
      </c>
      <c r="X3272" s="52">
        <f>IF(OR(P3272="Gasto",P3272="Reembolso"),IF(M3272&lt;&gt;"",M3272,IFERROR(INDEX(catClasif,MATCH(D3272&amp;"|"&amp;E3272,catClave,0))&amp;"","Variable")),"")</f>
        <v/>
      </c>
      <c r="Y3272" s="52">
        <f>IF(P3272="","",IFERROR(INDEX(catGrupo,MATCH(D3272&amp;"|"&amp;E3272,catClave,0))&amp;"",""))</f>
        <v/>
      </c>
      <c r="Z3272" s="52">
        <f>IF(P3272="","",WEEKDAY(B3272,2))</f>
        <v/>
      </c>
      <c r="AA3272" s="52">
        <f>IF(P3272="","",IF(AND(P3272="Gasto",X3272="Variable",D3272&lt;&gt;catTrading,S3272&gt;0,S3272&lt;=Umbral),1,0))</f>
        <v/>
      </c>
      <c r="AB3272" s="52">
        <f>IF(OR(P3272="",Q3272=""),"",IFERROR(IF(INDEX(ctaVinc,MATCH(Q3272,ctaNombre,0))&amp;""&lt;&gt;"",INDEX(ctaVinc,MATCH(Q3272,ctaNombre,0))&amp;"",Q3272),Q3272))</f>
        <v/>
      </c>
      <c r="AC3272" s="52">
        <f>IF(OR(K3272="",AND(P3272&lt;&gt;"Transferencia",P3272&lt;&gt;"Pago tarjeta")),"",IFERROR(IF(INDEX(ctaVinc,MATCH(K3272,ctaNombre,0))&amp;""&lt;&gt;"",INDEX(ctaVinc,MATCH(K3272,ctaNombre,0))&amp;"",K3272),K3272))</f>
        <v/>
      </c>
      <c r="AD3272" s="52">
        <f>IF(AB3272="","",IFERROR(INDEX(ctaTipo,MATCH(AB3272,ctaNombre,0))&amp;"",""))</f>
        <v/>
      </c>
      <c r="AE3272" s="52">
        <f>IF(AC3272="","",IFERROR(INDEX(ctaTipo,MATCH(AC3272,ctaNombre,0))&amp;"",""))</f>
        <v/>
      </c>
      <c r="AF3272" s="53">
        <f>IF(OR(P3272="",AB3272=""),"",IF(OR(P3272="Gasto",P3272="Transferencia",P3272="Pago tarjeta"),-1,1)*IF(IFERROR(INDEX(ctaMoneda,MATCH(AB3272,ctaNombre,0))&amp;"","DOP")="USD",T3272,S3272))</f>
        <v/>
      </c>
      <c r="AG3272" s="53">
        <f>IF(AC3272="","",IF(IFERROR(INDEX(ctaMoneda,MATCH(AC3272,ctaNombre,0))&amp;"","DOP")="USD",T3272,S3272))</f>
        <v/>
      </c>
      <c r="AH3272" s="53">
        <f>IF(P3272="","",IF(AND(AD3272&lt;&gt;"",COUNTIFS(tcTipo,AD3272,tcLiq,"Sí")&gt;0),IF(OR(P3272="Gasto",P3272="Transferencia",P3272="Pago tarjeta"),-1,1)*S3272,0)+IF(AND(AE3272&lt;&gt;"",COUNTIFS(tcTipo,AE3272,tcLiq,"Sí")&gt;0),S3272,0))</f>
        <v/>
      </c>
      <c r="AI3272" s="52">
        <f>IF(OR(L3272="",P3272=""),"",IF(COUNTIFS(L$6:L3272,L3272,P$6:P3272,"?*")=1,MAX(AI$5:AI3271)+1,""))</f>
        <v/>
      </c>
    </row>
    <row r="3273">
      <c r="B3273" s="47" t="n"/>
      <c r="C3273" s="48" t="n"/>
      <c r="D3273" s="48" t="n"/>
      <c r="E3273" s="48" t="n"/>
      <c r="F3273" s="48" t="n"/>
      <c r="G3273" s="49" t="n"/>
      <c r="H3273" s="48" t="n"/>
      <c r="I3273" s="50" t="n"/>
      <c r="J3273" s="48" t="n"/>
      <c r="K3273" s="48" t="n"/>
      <c r="L3273" s="48" t="n"/>
      <c r="M3273" s="48" t="n"/>
      <c r="N3273" s="48" t="n"/>
      <c r="O3273" s="51">
        <f>IF(AND(B3273="",G3273="",C3273="",D3273="",J3273=""),"",IF(B3273="","⚠ Falta fecha",IF(G3273="","⚠ Falta monto",IF(Q3273="","⚠ Falta cuenta",IF(ISNA(MATCH(Q3273,ctaNombre,0)),"⚠ Cuenta no registrada",IF(AND(OR(P3273="Gasto",P3273="Reembolso"),D3273=""),"⚠ Falta categoría",IF(AND(D3273&lt;&gt;"",E3273&lt;&gt;"",ISNA(MATCH(D3273&amp;"|"&amp;E3273,catClave,0))),"⚠ Subcategoría no corresponde",IF(AND(OR(P3273="Transferencia",P3273="Pago tarjeta"),K3273=""),"⚠ Falta cuenta destino",IF(AND(K3273&lt;&gt;"",P3273&lt;&gt;"Transferencia",P3273&lt;&gt;"Pago tarjeta"),"⚠ Destino solo aplica a transferencias",IF(AND(K3273&lt;&gt;"",K3273=Q3273),"⚠ Origen igual a destino",IF(AND(K3273&lt;&gt;"",ISNA(MATCH(K3273,ctaNombre,0))),"⚠ Destino no registrado",IF(AND(P3273="Pago tarjeta",AE3273&lt;&gt;"Tarjeta de crédito"),"⚠ El destino debe ser tarjeta de crédito",IF(AND(P3273="Gasto",E3273="Depósitos y retiros"),"⚠ Usa tipo Transferencia",IF(AND(P3273="Resultado trading",AD3273&lt;&gt;"Cuenta de trading"),"⚠ Usa una cuenta de trading",IF(AND(G3273&lt;=0,P3273&lt;&gt;"Ajuste",P3273&lt;&gt;"Resultado trading"),"⚠ El monto debe ser positivo","✓")))))))))))))))</f>
        <v/>
      </c>
      <c r="P3273" s="52">
        <f>IF(OR(B3273="",G3273=""),"",IF(C3273="","Gasto",C3273))</f>
        <v/>
      </c>
      <c r="Q3273" s="52">
        <f>IF(P3273="","",IF(J3273&lt;&gt;"",J3273,CuentaPred&amp;""))</f>
        <v/>
      </c>
      <c r="R3273" s="52">
        <f>IF(P3273="","",IF(ISNUMBER(I3273),I3273,TasaUSD))</f>
        <v/>
      </c>
      <c r="S3273" s="53">
        <f>IF(P3273="","",IF(H3273="USD",G3273*R3273,G3273))</f>
        <v/>
      </c>
      <c r="T3273" s="53">
        <f>IF(P3273="","",IF(H3273="USD",G3273,IF(R3273&gt;0,G3273/R3273,0)))</f>
        <v/>
      </c>
      <c r="U3273" s="53">
        <f>IF(P3273="","",IF(P3273="Gasto",S3273,IF(P3273="Reembolso",-S3273,0)))</f>
        <v/>
      </c>
      <c r="V3273" s="53">
        <f>IF(P3273="","",IF(P3273="Ingreso",S3273,0))</f>
        <v/>
      </c>
      <c r="W3273" s="53">
        <f>IF(P3273="","",IF(P3273="Resultado trading",S3273,0))</f>
        <v/>
      </c>
      <c r="X3273" s="52">
        <f>IF(OR(P3273="Gasto",P3273="Reembolso"),IF(M3273&lt;&gt;"",M3273,IFERROR(INDEX(catClasif,MATCH(D3273&amp;"|"&amp;E3273,catClave,0))&amp;"","Variable")),"")</f>
        <v/>
      </c>
      <c r="Y3273" s="52">
        <f>IF(P3273="","",IFERROR(INDEX(catGrupo,MATCH(D3273&amp;"|"&amp;E3273,catClave,0))&amp;"",""))</f>
        <v/>
      </c>
      <c r="Z3273" s="52">
        <f>IF(P3273="","",WEEKDAY(B3273,2))</f>
        <v/>
      </c>
      <c r="AA3273" s="52">
        <f>IF(P3273="","",IF(AND(P3273="Gasto",X3273="Variable",D3273&lt;&gt;catTrading,S3273&gt;0,S3273&lt;=Umbral),1,0))</f>
        <v/>
      </c>
      <c r="AB3273" s="52">
        <f>IF(OR(P3273="",Q3273=""),"",IFERROR(IF(INDEX(ctaVinc,MATCH(Q3273,ctaNombre,0))&amp;""&lt;&gt;"",INDEX(ctaVinc,MATCH(Q3273,ctaNombre,0))&amp;"",Q3273),Q3273))</f>
        <v/>
      </c>
      <c r="AC3273" s="52">
        <f>IF(OR(K3273="",AND(P3273&lt;&gt;"Transferencia",P3273&lt;&gt;"Pago tarjeta")),"",IFERROR(IF(INDEX(ctaVinc,MATCH(K3273,ctaNombre,0))&amp;""&lt;&gt;"",INDEX(ctaVinc,MATCH(K3273,ctaNombre,0))&amp;"",K3273),K3273))</f>
        <v/>
      </c>
      <c r="AD3273" s="52">
        <f>IF(AB3273="","",IFERROR(INDEX(ctaTipo,MATCH(AB3273,ctaNombre,0))&amp;"",""))</f>
        <v/>
      </c>
      <c r="AE3273" s="52">
        <f>IF(AC3273="","",IFERROR(INDEX(ctaTipo,MATCH(AC3273,ctaNombre,0))&amp;"",""))</f>
        <v/>
      </c>
      <c r="AF3273" s="53">
        <f>IF(OR(P3273="",AB3273=""),"",IF(OR(P3273="Gasto",P3273="Transferencia",P3273="Pago tarjeta"),-1,1)*IF(IFERROR(INDEX(ctaMoneda,MATCH(AB3273,ctaNombre,0))&amp;"","DOP")="USD",T3273,S3273))</f>
        <v/>
      </c>
      <c r="AG3273" s="53">
        <f>IF(AC3273="","",IF(IFERROR(INDEX(ctaMoneda,MATCH(AC3273,ctaNombre,0))&amp;"","DOP")="USD",T3273,S3273))</f>
        <v/>
      </c>
      <c r="AH3273" s="53">
        <f>IF(P3273="","",IF(AND(AD3273&lt;&gt;"",COUNTIFS(tcTipo,AD3273,tcLiq,"Sí")&gt;0),IF(OR(P3273="Gasto",P3273="Transferencia",P3273="Pago tarjeta"),-1,1)*S3273,0)+IF(AND(AE3273&lt;&gt;"",COUNTIFS(tcTipo,AE3273,tcLiq,"Sí")&gt;0),S3273,0))</f>
        <v/>
      </c>
      <c r="AI3273" s="52">
        <f>IF(OR(L3273="",P3273=""),"",IF(COUNTIFS(L$6:L3273,L3273,P$6:P3273,"?*")=1,MAX(AI$5:AI3272)+1,""))</f>
        <v/>
      </c>
    </row>
    <row r="3274">
      <c r="B3274" s="47" t="n"/>
      <c r="C3274" s="48" t="n"/>
      <c r="D3274" s="48" t="n"/>
      <c r="E3274" s="48" t="n"/>
      <c r="F3274" s="48" t="n"/>
      <c r="G3274" s="49" t="n"/>
      <c r="H3274" s="48" t="n"/>
      <c r="I3274" s="50" t="n"/>
      <c r="J3274" s="48" t="n"/>
      <c r="K3274" s="48" t="n"/>
      <c r="L3274" s="48" t="n"/>
      <c r="M3274" s="48" t="n"/>
      <c r="N3274" s="48" t="n"/>
      <c r="O3274" s="51">
        <f>IF(AND(B3274="",G3274="",C3274="",D3274="",J3274=""),"",IF(B3274="","⚠ Falta fecha",IF(G3274="","⚠ Falta monto",IF(Q3274="","⚠ Falta cuenta",IF(ISNA(MATCH(Q3274,ctaNombre,0)),"⚠ Cuenta no registrada",IF(AND(OR(P3274="Gasto",P3274="Reembolso"),D3274=""),"⚠ Falta categoría",IF(AND(D3274&lt;&gt;"",E3274&lt;&gt;"",ISNA(MATCH(D3274&amp;"|"&amp;E3274,catClave,0))),"⚠ Subcategoría no corresponde",IF(AND(OR(P3274="Transferencia",P3274="Pago tarjeta"),K3274=""),"⚠ Falta cuenta destino",IF(AND(K3274&lt;&gt;"",P3274&lt;&gt;"Transferencia",P3274&lt;&gt;"Pago tarjeta"),"⚠ Destino solo aplica a transferencias",IF(AND(K3274&lt;&gt;"",K3274=Q3274),"⚠ Origen igual a destino",IF(AND(K3274&lt;&gt;"",ISNA(MATCH(K3274,ctaNombre,0))),"⚠ Destino no registrado",IF(AND(P3274="Pago tarjeta",AE3274&lt;&gt;"Tarjeta de crédito"),"⚠ El destino debe ser tarjeta de crédito",IF(AND(P3274="Gasto",E3274="Depósitos y retiros"),"⚠ Usa tipo Transferencia",IF(AND(P3274="Resultado trading",AD3274&lt;&gt;"Cuenta de trading"),"⚠ Usa una cuenta de trading",IF(AND(G3274&lt;=0,P3274&lt;&gt;"Ajuste",P3274&lt;&gt;"Resultado trading"),"⚠ El monto debe ser positivo","✓")))))))))))))))</f>
        <v/>
      </c>
      <c r="P3274" s="52">
        <f>IF(OR(B3274="",G3274=""),"",IF(C3274="","Gasto",C3274))</f>
        <v/>
      </c>
      <c r="Q3274" s="52">
        <f>IF(P3274="","",IF(J3274&lt;&gt;"",J3274,CuentaPred&amp;""))</f>
        <v/>
      </c>
      <c r="R3274" s="52">
        <f>IF(P3274="","",IF(ISNUMBER(I3274),I3274,TasaUSD))</f>
        <v/>
      </c>
      <c r="S3274" s="53">
        <f>IF(P3274="","",IF(H3274="USD",G3274*R3274,G3274))</f>
        <v/>
      </c>
      <c r="T3274" s="53">
        <f>IF(P3274="","",IF(H3274="USD",G3274,IF(R3274&gt;0,G3274/R3274,0)))</f>
        <v/>
      </c>
      <c r="U3274" s="53">
        <f>IF(P3274="","",IF(P3274="Gasto",S3274,IF(P3274="Reembolso",-S3274,0)))</f>
        <v/>
      </c>
      <c r="V3274" s="53">
        <f>IF(P3274="","",IF(P3274="Ingreso",S3274,0))</f>
        <v/>
      </c>
      <c r="W3274" s="53">
        <f>IF(P3274="","",IF(P3274="Resultado trading",S3274,0))</f>
        <v/>
      </c>
      <c r="X3274" s="52">
        <f>IF(OR(P3274="Gasto",P3274="Reembolso"),IF(M3274&lt;&gt;"",M3274,IFERROR(INDEX(catClasif,MATCH(D3274&amp;"|"&amp;E3274,catClave,0))&amp;"","Variable")),"")</f>
        <v/>
      </c>
      <c r="Y3274" s="52">
        <f>IF(P3274="","",IFERROR(INDEX(catGrupo,MATCH(D3274&amp;"|"&amp;E3274,catClave,0))&amp;"",""))</f>
        <v/>
      </c>
      <c r="Z3274" s="52">
        <f>IF(P3274="","",WEEKDAY(B3274,2))</f>
        <v/>
      </c>
      <c r="AA3274" s="52">
        <f>IF(P3274="","",IF(AND(P3274="Gasto",X3274="Variable",D3274&lt;&gt;catTrading,S3274&gt;0,S3274&lt;=Umbral),1,0))</f>
        <v/>
      </c>
      <c r="AB3274" s="52">
        <f>IF(OR(P3274="",Q3274=""),"",IFERROR(IF(INDEX(ctaVinc,MATCH(Q3274,ctaNombre,0))&amp;""&lt;&gt;"",INDEX(ctaVinc,MATCH(Q3274,ctaNombre,0))&amp;"",Q3274),Q3274))</f>
        <v/>
      </c>
      <c r="AC3274" s="52">
        <f>IF(OR(K3274="",AND(P3274&lt;&gt;"Transferencia",P3274&lt;&gt;"Pago tarjeta")),"",IFERROR(IF(INDEX(ctaVinc,MATCH(K3274,ctaNombre,0))&amp;""&lt;&gt;"",INDEX(ctaVinc,MATCH(K3274,ctaNombre,0))&amp;"",K3274),K3274))</f>
        <v/>
      </c>
      <c r="AD3274" s="52">
        <f>IF(AB3274="","",IFERROR(INDEX(ctaTipo,MATCH(AB3274,ctaNombre,0))&amp;"",""))</f>
        <v/>
      </c>
      <c r="AE3274" s="52">
        <f>IF(AC3274="","",IFERROR(INDEX(ctaTipo,MATCH(AC3274,ctaNombre,0))&amp;"",""))</f>
        <v/>
      </c>
      <c r="AF3274" s="53">
        <f>IF(OR(P3274="",AB3274=""),"",IF(OR(P3274="Gasto",P3274="Transferencia",P3274="Pago tarjeta"),-1,1)*IF(IFERROR(INDEX(ctaMoneda,MATCH(AB3274,ctaNombre,0))&amp;"","DOP")="USD",T3274,S3274))</f>
        <v/>
      </c>
      <c r="AG3274" s="53">
        <f>IF(AC3274="","",IF(IFERROR(INDEX(ctaMoneda,MATCH(AC3274,ctaNombre,0))&amp;"","DOP")="USD",T3274,S3274))</f>
        <v/>
      </c>
      <c r="AH3274" s="53">
        <f>IF(P3274="","",IF(AND(AD3274&lt;&gt;"",COUNTIFS(tcTipo,AD3274,tcLiq,"Sí")&gt;0),IF(OR(P3274="Gasto",P3274="Transferencia",P3274="Pago tarjeta"),-1,1)*S3274,0)+IF(AND(AE3274&lt;&gt;"",COUNTIFS(tcTipo,AE3274,tcLiq,"Sí")&gt;0),S3274,0))</f>
        <v/>
      </c>
      <c r="AI3274" s="52">
        <f>IF(OR(L3274="",P3274=""),"",IF(COUNTIFS(L$6:L3274,L3274,P$6:P3274,"?*")=1,MAX(AI$5:AI3273)+1,""))</f>
        <v/>
      </c>
    </row>
    <row r="3275">
      <c r="B3275" s="47" t="n"/>
      <c r="C3275" s="48" t="n"/>
      <c r="D3275" s="48" t="n"/>
      <c r="E3275" s="48" t="n"/>
      <c r="F3275" s="48" t="n"/>
      <c r="G3275" s="49" t="n"/>
      <c r="H3275" s="48" t="n"/>
      <c r="I3275" s="50" t="n"/>
      <c r="J3275" s="48" t="n"/>
      <c r="K3275" s="48" t="n"/>
      <c r="L3275" s="48" t="n"/>
      <c r="M3275" s="48" t="n"/>
      <c r="N3275" s="48" t="n"/>
      <c r="O3275" s="51">
        <f>IF(AND(B3275="",G3275="",C3275="",D3275="",J3275=""),"",IF(B3275="","⚠ Falta fecha",IF(G3275="","⚠ Falta monto",IF(Q3275="","⚠ Falta cuenta",IF(ISNA(MATCH(Q3275,ctaNombre,0)),"⚠ Cuenta no registrada",IF(AND(OR(P3275="Gasto",P3275="Reembolso"),D3275=""),"⚠ Falta categoría",IF(AND(D3275&lt;&gt;"",E3275&lt;&gt;"",ISNA(MATCH(D3275&amp;"|"&amp;E3275,catClave,0))),"⚠ Subcategoría no corresponde",IF(AND(OR(P3275="Transferencia",P3275="Pago tarjeta"),K3275=""),"⚠ Falta cuenta destino",IF(AND(K3275&lt;&gt;"",P3275&lt;&gt;"Transferencia",P3275&lt;&gt;"Pago tarjeta"),"⚠ Destino solo aplica a transferencias",IF(AND(K3275&lt;&gt;"",K3275=Q3275),"⚠ Origen igual a destino",IF(AND(K3275&lt;&gt;"",ISNA(MATCH(K3275,ctaNombre,0))),"⚠ Destino no registrado",IF(AND(P3275="Pago tarjeta",AE3275&lt;&gt;"Tarjeta de crédito"),"⚠ El destino debe ser tarjeta de crédito",IF(AND(P3275="Gasto",E3275="Depósitos y retiros"),"⚠ Usa tipo Transferencia",IF(AND(P3275="Resultado trading",AD3275&lt;&gt;"Cuenta de trading"),"⚠ Usa una cuenta de trading",IF(AND(G3275&lt;=0,P3275&lt;&gt;"Ajuste",P3275&lt;&gt;"Resultado trading"),"⚠ El monto debe ser positivo","✓")))))))))))))))</f>
        <v/>
      </c>
      <c r="P3275" s="52">
        <f>IF(OR(B3275="",G3275=""),"",IF(C3275="","Gasto",C3275))</f>
        <v/>
      </c>
      <c r="Q3275" s="52">
        <f>IF(P3275="","",IF(J3275&lt;&gt;"",J3275,CuentaPred&amp;""))</f>
        <v/>
      </c>
      <c r="R3275" s="52">
        <f>IF(P3275="","",IF(ISNUMBER(I3275),I3275,TasaUSD))</f>
        <v/>
      </c>
      <c r="S3275" s="53">
        <f>IF(P3275="","",IF(H3275="USD",G3275*R3275,G3275))</f>
        <v/>
      </c>
      <c r="T3275" s="53">
        <f>IF(P3275="","",IF(H3275="USD",G3275,IF(R3275&gt;0,G3275/R3275,0)))</f>
        <v/>
      </c>
      <c r="U3275" s="53">
        <f>IF(P3275="","",IF(P3275="Gasto",S3275,IF(P3275="Reembolso",-S3275,0)))</f>
        <v/>
      </c>
      <c r="V3275" s="53">
        <f>IF(P3275="","",IF(P3275="Ingreso",S3275,0))</f>
        <v/>
      </c>
      <c r="W3275" s="53">
        <f>IF(P3275="","",IF(P3275="Resultado trading",S3275,0))</f>
        <v/>
      </c>
      <c r="X3275" s="52">
        <f>IF(OR(P3275="Gasto",P3275="Reembolso"),IF(M3275&lt;&gt;"",M3275,IFERROR(INDEX(catClasif,MATCH(D3275&amp;"|"&amp;E3275,catClave,0))&amp;"","Variable")),"")</f>
        <v/>
      </c>
      <c r="Y3275" s="52">
        <f>IF(P3275="","",IFERROR(INDEX(catGrupo,MATCH(D3275&amp;"|"&amp;E3275,catClave,0))&amp;"",""))</f>
        <v/>
      </c>
      <c r="Z3275" s="52">
        <f>IF(P3275="","",WEEKDAY(B3275,2))</f>
        <v/>
      </c>
      <c r="AA3275" s="52">
        <f>IF(P3275="","",IF(AND(P3275="Gasto",X3275="Variable",D3275&lt;&gt;catTrading,S3275&gt;0,S3275&lt;=Umbral),1,0))</f>
        <v/>
      </c>
      <c r="AB3275" s="52">
        <f>IF(OR(P3275="",Q3275=""),"",IFERROR(IF(INDEX(ctaVinc,MATCH(Q3275,ctaNombre,0))&amp;""&lt;&gt;"",INDEX(ctaVinc,MATCH(Q3275,ctaNombre,0))&amp;"",Q3275),Q3275))</f>
        <v/>
      </c>
      <c r="AC3275" s="52">
        <f>IF(OR(K3275="",AND(P3275&lt;&gt;"Transferencia",P3275&lt;&gt;"Pago tarjeta")),"",IFERROR(IF(INDEX(ctaVinc,MATCH(K3275,ctaNombre,0))&amp;""&lt;&gt;"",INDEX(ctaVinc,MATCH(K3275,ctaNombre,0))&amp;"",K3275),K3275))</f>
        <v/>
      </c>
      <c r="AD3275" s="52">
        <f>IF(AB3275="","",IFERROR(INDEX(ctaTipo,MATCH(AB3275,ctaNombre,0))&amp;"",""))</f>
        <v/>
      </c>
      <c r="AE3275" s="52">
        <f>IF(AC3275="","",IFERROR(INDEX(ctaTipo,MATCH(AC3275,ctaNombre,0))&amp;"",""))</f>
        <v/>
      </c>
      <c r="AF3275" s="53">
        <f>IF(OR(P3275="",AB3275=""),"",IF(OR(P3275="Gasto",P3275="Transferencia",P3275="Pago tarjeta"),-1,1)*IF(IFERROR(INDEX(ctaMoneda,MATCH(AB3275,ctaNombre,0))&amp;"","DOP")="USD",T3275,S3275))</f>
        <v/>
      </c>
      <c r="AG3275" s="53">
        <f>IF(AC3275="","",IF(IFERROR(INDEX(ctaMoneda,MATCH(AC3275,ctaNombre,0))&amp;"","DOP")="USD",T3275,S3275))</f>
        <v/>
      </c>
      <c r="AH3275" s="53">
        <f>IF(P3275="","",IF(AND(AD3275&lt;&gt;"",COUNTIFS(tcTipo,AD3275,tcLiq,"Sí")&gt;0),IF(OR(P3275="Gasto",P3275="Transferencia",P3275="Pago tarjeta"),-1,1)*S3275,0)+IF(AND(AE3275&lt;&gt;"",COUNTIFS(tcTipo,AE3275,tcLiq,"Sí")&gt;0),S3275,0))</f>
        <v/>
      </c>
      <c r="AI3275" s="52">
        <f>IF(OR(L3275="",P3275=""),"",IF(COUNTIFS(L$6:L3275,L3275,P$6:P3275,"?*")=1,MAX(AI$5:AI3274)+1,""))</f>
        <v/>
      </c>
    </row>
    <row r="3276">
      <c r="B3276" s="47" t="n"/>
      <c r="C3276" s="48" t="n"/>
      <c r="D3276" s="48" t="n"/>
      <c r="E3276" s="48" t="n"/>
      <c r="F3276" s="48" t="n"/>
      <c r="G3276" s="49" t="n"/>
      <c r="H3276" s="48" t="n"/>
      <c r="I3276" s="50" t="n"/>
      <c r="J3276" s="48" t="n"/>
      <c r="K3276" s="48" t="n"/>
      <c r="L3276" s="48" t="n"/>
      <c r="M3276" s="48" t="n"/>
      <c r="N3276" s="48" t="n"/>
      <c r="O3276" s="51">
        <f>IF(AND(B3276="",G3276="",C3276="",D3276="",J3276=""),"",IF(B3276="","⚠ Falta fecha",IF(G3276="","⚠ Falta monto",IF(Q3276="","⚠ Falta cuenta",IF(ISNA(MATCH(Q3276,ctaNombre,0)),"⚠ Cuenta no registrada",IF(AND(OR(P3276="Gasto",P3276="Reembolso"),D3276=""),"⚠ Falta categoría",IF(AND(D3276&lt;&gt;"",E3276&lt;&gt;"",ISNA(MATCH(D3276&amp;"|"&amp;E3276,catClave,0))),"⚠ Subcategoría no corresponde",IF(AND(OR(P3276="Transferencia",P3276="Pago tarjeta"),K3276=""),"⚠ Falta cuenta destino",IF(AND(K3276&lt;&gt;"",P3276&lt;&gt;"Transferencia",P3276&lt;&gt;"Pago tarjeta"),"⚠ Destino solo aplica a transferencias",IF(AND(K3276&lt;&gt;"",K3276=Q3276),"⚠ Origen igual a destino",IF(AND(K3276&lt;&gt;"",ISNA(MATCH(K3276,ctaNombre,0))),"⚠ Destino no registrado",IF(AND(P3276="Pago tarjeta",AE3276&lt;&gt;"Tarjeta de crédito"),"⚠ El destino debe ser tarjeta de crédito",IF(AND(P3276="Gasto",E3276="Depósitos y retiros"),"⚠ Usa tipo Transferencia",IF(AND(P3276="Resultado trading",AD3276&lt;&gt;"Cuenta de trading"),"⚠ Usa una cuenta de trading",IF(AND(G3276&lt;=0,P3276&lt;&gt;"Ajuste",P3276&lt;&gt;"Resultado trading"),"⚠ El monto debe ser positivo","✓")))))))))))))))</f>
        <v/>
      </c>
      <c r="P3276" s="52">
        <f>IF(OR(B3276="",G3276=""),"",IF(C3276="","Gasto",C3276))</f>
        <v/>
      </c>
      <c r="Q3276" s="52">
        <f>IF(P3276="","",IF(J3276&lt;&gt;"",J3276,CuentaPred&amp;""))</f>
        <v/>
      </c>
      <c r="R3276" s="52">
        <f>IF(P3276="","",IF(ISNUMBER(I3276),I3276,TasaUSD))</f>
        <v/>
      </c>
      <c r="S3276" s="53">
        <f>IF(P3276="","",IF(H3276="USD",G3276*R3276,G3276))</f>
        <v/>
      </c>
      <c r="T3276" s="53">
        <f>IF(P3276="","",IF(H3276="USD",G3276,IF(R3276&gt;0,G3276/R3276,0)))</f>
        <v/>
      </c>
      <c r="U3276" s="53">
        <f>IF(P3276="","",IF(P3276="Gasto",S3276,IF(P3276="Reembolso",-S3276,0)))</f>
        <v/>
      </c>
      <c r="V3276" s="53">
        <f>IF(P3276="","",IF(P3276="Ingreso",S3276,0))</f>
        <v/>
      </c>
      <c r="W3276" s="53">
        <f>IF(P3276="","",IF(P3276="Resultado trading",S3276,0))</f>
        <v/>
      </c>
      <c r="X3276" s="52">
        <f>IF(OR(P3276="Gasto",P3276="Reembolso"),IF(M3276&lt;&gt;"",M3276,IFERROR(INDEX(catClasif,MATCH(D3276&amp;"|"&amp;E3276,catClave,0))&amp;"","Variable")),"")</f>
        <v/>
      </c>
      <c r="Y3276" s="52">
        <f>IF(P3276="","",IFERROR(INDEX(catGrupo,MATCH(D3276&amp;"|"&amp;E3276,catClave,0))&amp;"",""))</f>
        <v/>
      </c>
      <c r="Z3276" s="52">
        <f>IF(P3276="","",WEEKDAY(B3276,2))</f>
        <v/>
      </c>
      <c r="AA3276" s="52">
        <f>IF(P3276="","",IF(AND(P3276="Gasto",X3276="Variable",D3276&lt;&gt;catTrading,S3276&gt;0,S3276&lt;=Umbral),1,0))</f>
        <v/>
      </c>
      <c r="AB3276" s="52">
        <f>IF(OR(P3276="",Q3276=""),"",IFERROR(IF(INDEX(ctaVinc,MATCH(Q3276,ctaNombre,0))&amp;""&lt;&gt;"",INDEX(ctaVinc,MATCH(Q3276,ctaNombre,0))&amp;"",Q3276),Q3276))</f>
        <v/>
      </c>
      <c r="AC3276" s="52">
        <f>IF(OR(K3276="",AND(P3276&lt;&gt;"Transferencia",P3276&lt;&gt;"Pago tarjeta")),"",IFERROR(IF(INDEX(ctaVinc,MATCH(K3276,ctaNombre,0))&amp;""&lt;&gt;"",INDEX(ctaVinc,MATCH(K3276,ctaNombre,0))&amp;"",K3276),K3276))</f>
        <v/>
      </c>
      <c r="AD3276" s="52">
        <f>IF(AB3276="","",IFERROR(INDEX(ctaTipo,MATCH(AB3276,ctaNombre,0))&amp;"",""))</f>
        <v/>
      </c>
      <c r="AE3276" s="52">
        <f>IF(AC3276="","",IFERROR(INDEX(ctaTipo,MATCH(AC3276,ctaNombre,0))&amp;"",""))</f>
        <v/>
      </c>
      <c r="AF3276" s="53">
        <f>IF(OR(P3276="",AB3276=""),"",IF(OR(P3276="Gasto",P3276="Transferencia",P3276="Pago tarjeta"),-1,1)*IF(IFERROR(INDEX(ctaMoneda,MATCH(AB3276,ctaNombre,0))&amp;"","DOP")="USD",T3276,S3276))</f>
        <v/>
      </c>
      <c r="AG3276" s="53">
        <f>IF(AC3276="","",IF(IFERROR(INDEX(ctaMoneda,MATCH(AC3276,ctaNombre,0))&amp;"","DOP")="USD",T3276,S3276))</f>
        <v/>
      </c>
      <c r="AH3276" s="53">
        <f>IF(P3276="","",IF(AND(AD3276&lt;&gt;"",COUNTIFS(tcTipo,AD3276,tcLiq,"Sí")&gt;0),IF(OR(P3276="Gasto",P3276="Transferencia",P3276="Pago tarjeta"),-1,1)*S3276,0)+IF(AND(AE3276&lt;&gt;"",COUNTIFS(tcTipo,AE3276,tcLiq,"Sí")&gt;0),S3276,0))</f>
        <v/>
      </c>
      <c r="AI3276" s="52">
        <f>IF(OR(L3276="",P3276=""),"",IF(COUNTIFS(L$6:L3276,L3276,P$6:P3276,"?*")=1,MAX(AI$5:AI3275)+1,""))</f>
        <v/>
      </c>
    </row>
    <row r="3277">
      <c r="B3277" s="47" t="n"/>
      <c r="C3277" s="48" t="n"/>
      <c r="D3277" s="48" t="n"/>
      <c r="E3277" s="48" t="n"/>
      <c r="F3277" s="48" t="n"/>
      <c r="G3277" s="49" t="n"/>
      <c r="H3277" s="48" t="n"/>
      <c r="I3277" s="50" t="n"/>
      <c r="J3277" s="48" t="n"/>
      <c r="K3277" s="48" t="n"/>
      <c r="L3277" s="48" t="n"/>
      <c r="M3277" s="48" t="n"/>
      <c r="N3277" s="48" t="n"/>
      <c r="O3277" s="51">
        <f>IF(AND(B3277="",G3277="",C3277="",D3277="",J3277=""),"",IF(B3277="","⚠ Falta fecha",IF(G3277="","⚠ Falta monto",IF(Q3277="","⚠ Falta cuenta",IF(ISNA(MATCH(Q3277,ctaNombre,0)),"⚠ Cuenta no registrada",IF(AND(OR(P3277="Gasto",P3277="Reembolso"),D3277=""),"⚠ Falta categoría",IF(AND(D3277&lt;&gt;"",E3277&lt;&gt;"",ISNA(MATCH(D3277&amp;"|"&amp;E3277,catClave,0))),"⚠ Subcategoría no corresponde",IF(AND(OR(P3277="Transferencia",P3277="Pago tarjeta"),K3277=""),"⚠ Falta cuenta destino",IF(AND(K3277&lt;&gt;"",P3277&lt;&gt;"Transferencia",P3277&lt;&gt;"Pago tarjeta"),"⚠ Destino solo aplica a transferencias",IF(AND(K3277&lt;&gt;"",K3277=Q3277),"⚠ Origen igual a destino",IF(AND(K3277&lt;&gt;"",ISNA(MATCH(K3277,ctaNombre,0))),"⚠ Destino no registrado",IF(AND(P3277="Pago tarjeta",AE3277&lt;&gt;"Tarjeta de crédito"),"⚠ El destino debe ser tarjeta de crédito",IF(AND(P3277="Gasto",E3277="Depósitos y retiros"),"⚠ Usa tipo Transferencia",IF(AND(P3277="Resultado trading",AD3277&lt;&gt;"Cuenta de trading"),"⚠ Usa una cuenta de trading",IF(AND(G3277&lt;=0,P3277&lt;&gt;"Ajuste",P3277&lt;&gt;"Resultado trading"),"⚠ El monto debe ser positivo","✓")))))))))))))))</f>
        <v/>
      </c>
      <c r="P3277" s="52">
        <f>IF(OR(B3277="",G3277=""),"",IF(C3277="","Gasto",C3277))</f>
        <v/>
      </c>
      <c r="Q3277" s="52">
        <f>IF(P3277="","",IF(J3277&lt;&gt;"",J3277,CuentaPred&amp;""))</f>
        <v/>
      </c>
      <c r="R3277" s="52">
        <f>IF(P3277="","",IF(ISNUMBER(I3277),I3277,TasaUSD))</f>
        <v/>
      </c>
      <c r="S3277" s="53">
        <f>IF(P3277="","",IF(H3277="USD",G3277*R3277,G3277))</f>
        <v/>
      </c>
      <c r="T3277" s="53">
        <f>IF(P3277="","",IF(H3277="USD",G3277,IF(R3277&gt;0,G3277/R3277,0)))</f>
        <v/>
      </c>
      <c r="U3277" s="53">
        <f>IF(P3277="","",IF(P3277="Gasto",S3277,IF(P3277="Reembolso",-S3277,0)))</f>
        <v/>
      </c>
      <c r="V3277" s="53">
        <f>IF(P3277="","",IF(P3277="Ingreso",S3277,0))</f>
        <v/>
      </c>
      <c r="W3277" s="53">
        <f>IF(P3277="","",IF(P3277="Resultado trading",S3277,0))</f>
        <v/>
      </c>
      <c r="X3277" s="52">
        <f>IF(OR(P3277="Gasto",P3277="Reembolso"),IF(M3277&lt;&gt;"",M3277,IFERROR(INDEX(catClasif,MATCH(D3277&amp;"|"&amp;E3277,catClave,0))&amp;"","Variable")),"")</f>
        <v/>
      </c>
      <c r="Y3277" s="52">
        <f>IF(P3277="","",IFERROR(INDEX(catGrupo,MATCH(D3277&amp;"|"&amp;E3277,catClave,0))&amp;"",""))</f>
        <v/>
      </c>
      <c r="Z3277" s="52">
        <f>IF(P3277="","",WEEKDAY(B3277,2))</f>
        <v/>
      </c>
      <c r="AA3277" s="52">
        <f>IF(P3277="","",IF(AND(P3277="Gasto",X3277="Variable",D3277&lt;&gt;catTrading,S3277&gt;0,S3277&lt;=Umbral),1,0))</f>
        <v/>
      </c>
      <c r="AB3277" s="52">
        <f>IF(OR(P3277="",Q3277=""),"",IFERROR(IF(INDEX(ctaVinc,MATCH(Q3277,ctaNombre,0))&amp;""&lt;&gt;"",INDEX(ctaVinc,MATCH(Q3277,ctaNombre,0))&amp;"",Q3277),Q3277))</f>
        <v/>
      </c>
      <c r="AC3277" s="52">
        <f>IF(OR(K3277="",AND(P3277&lt;&gt;"Transferencia",P3277&lt;&gt;"Pago tarjeta")),"",IFERROR(IF(INDEX(ctaVinc,MATCH(K3277,ctaNombre,0))&amp;""&lt;&gt;"",INDEX(ctaVinc,MATCH(K3277,ctaNombre,0))&amp;"",K3277),K3277))</f>
        <v/>
      </c>
      <c r="AD3277" s="52">
        <f>IF(AB3277="","",IFERROR(INDEX(ctaTipo,MATCH(AB3277,ctaNombre,0))&amp;"",""))</f>
        <v/>
      </c>
      <c r="AE3277" s="52">
        <f>IF(AC3277="","",IFERROR(INDEX(ctaTipo,MATCH(AC3277,ctaNombre,0))&amp;"",""))</f>
        <v/>
      </c>
      <c r="AF3277" s="53">
        <f>IF(OR(P3277="",AB3277=""),"",IF(OR(P3277="Gasto",P3277="Transferencia",P3277="Pago tarjeta"),-1,1)*IF(IFERROR(INDEX(ctaMoneda,MATCH(AB3277,ctaNombre,0))&amp;"","DOP")="USD",T3277,S3277))</f>
        <v/>
      </c>
      <c r="AG3277" s="53">
        <f>IF(AC3277="","",IF(IFERROR(INDEX(ctaMoneda,MATCH(AC3277,ctaNombre,0))&amp;"","DOP")="USD",T3277,S3277))</f>
        <v/>
      </c>
      <c r="AH3277" s="53">
        <f>IF(P3277="","",IF(AND(AD3277&lt;&gt;"",COUNTIFS(tcTipo,AD3277,tcLiq,"Sí")&gt;0),IF(OR(P3277="Gasto",P3277="Transferencia",P3277="Pago tarjeta"),-1,1)*S3277,0)+IF(AND(AE3277&lt;&gt;"",COUNTIFS(tcTipo,AE3277,tcLiq,"Sí")&gt;0),S3277,0))</f>
        <v/>
      </c>
      <c r="AI3277" s="52">
        <f>IF(OR(L3277="",P3277=""),"",IF(COUNTIFS(L$6:L3277,L3277,P$6:P3277,"?*")=1,MAX(AI$5:AI3276)+1,""))</f>
        <v/>
      </c>
    </row>
    <row r="3278">
      <c r="B3278" s="47" t="n"/>
      <c r="C3278" s="48" t="n"/>
      <c r="D3278" s="48" t="n"/>
      <c r="E3278" s="48" t="n"/>
      <c r="F3278" s="48" t="n"/>
      <c r="G3278" s="49" t="n"/>
      <c r="H3278" s="48" t="n"/>
      <c r="I3278" s="50" t="n"/>
      <c r="J3278" s="48" t="n"/>
      <c r="K3278" s="48" t="n"/>
      <c r="L3278" s="48" t="n"/>
      <c r="M3278" s="48" t="n"/>
      <c r="N3278" s="48" t="n"/>
      <c r="O3278" s="51">
        <f>IF(AND(B3278="",G3278="",C3278="",D3278="",J3278=""),"",IF(B3278="","⚠ Falta fecha",IF(G3278="","⚠ Falta monto",IF(Q3278="","⚠ Falta cuenta",IF(ISNA(MATCH(Q3278,ctaNombre,0)),"⚠ Cuenta no registrada",IF(AND(OR(P3278="Gasto",P3278="Reembolso"),D3278=""),"⚠ Falta categoría",IF(AND(D3278&lt;&gt;"",E3278&lt;&gt;"",ISNA(MATCH(D3278&amp;"|"&amp;E3278,catClave,0))),"⚠ Subcategoría no corresponde",IF(AND(OR(P3278="Transferencia",P3278="Pago tarjeta"),K3278=""),"⚠ Falta cuenta destino",IF(AND(K3278&lt;&gt;"",P3278&lt;&gt;"Transferencia",P3278&lt;&gt;"Pago tarjeta"),"⚠ Destino solo aplica a transferencias",IF(AND(K3278&lt;&gt;"",K3278=Q3278),"⚠ Origen igual a destino",IF(AND(K3278&lt;&gt;"",ISNA(MATCH(K3278,ctaNombre,0))),"⚠ Destino no registrado",IF(AND(P3278="Pago tarjeta",AE3278&lt;&gt;"Tarjeta de crédito"),"⚠ El destino debe ser tarjeta de crédito",IF(AND(P3278="Gasto",E3278="Depósitos y retiros"),"⚠ Usa tipo Transferencia",IF(AND(P3278="Resultado trading",AD3278&lt;&gt;"Cuenta de trading"),"⚠ Usa una cuenta de trading",IF(AND(G3278&lt;=0,P3278&lt;&gt;"Ajuste",P3278&lt;&gt;"Resultado trading"),"⚠ El monto debe ser positivo","✓")))))))))))))))</f>
        <v/>
      </c>
      <c r="P3278" s="52">
        <f>IF(OR(B3278="",G3278=""),"",IF(C3278="","Gasto",C3278))</f>
        <v/>
      </c>
      <c r="Q3278" s="52">
        <f>IF(P3278="","",IF(J3278&lt;&gt;"",J3278,CuentaPred&amp;""))</f>
        <v/>
      </c>
      <c r="R3278" s="52">
        <f>IF(P3278="","",IF(ISNUMBER(I3278),I3278,TasaUSD))</f>
        <v/>
      </c>
      <c r="S3278" s="53">
        <f>IF(P3278="","",IF(H3278="USD",G3278*R3278,G3278))</f>
        <v/>
      </c>
      <c r="T3278" s="53">
        <f>IF(P3278="","",IF(H3278="USD",G3278,IF(R3278&gt;0,G3278/R3278,0)))</f>
        <v/>
      </c>
      <c r="U3278" s="53">
        <f>IF(P3278="","",IF(P3278="Gasto",S3278,IF(P3278="Reembolso",-S3278,0)))</f>
        <v/>
      </c>
      <c r="V3278" s="53">
        <f>IF(P3278="","",IF(P3278="Ingreso",S3278,0))</f>
        <v/>
      </c>
      <c r="W3278" s="53">
        <f>IF(P3278="","",IF(P3278="Resultado trading",S3278,0))</f>
        <v/>
      </c>
      <c r="X3278" s="52">
        <f>IF(OR(P3278="Gasto",P3278="Reembolso"),IF(M3278&lt;&gt;"",M3278,IFERROR(INDEX(catClasif,MATCH(D3278&amp;"|"&amp;E3278,catClave,0))&amp;"","Variable")),"")</f>
        <v/>
      </c>
      <c r="Y3278" s="52">
        <f>IF(P3278="","",IFERROR(INDEX(catGrupo,MATCH(D3278&amp;"|"&amp;E3278,catClave,0))&amp;"",""))</f>
        <v/>
      </c>
      <c r="Z3278" s="52">
        <f>IF(P3278="","",WEEKDAY(B3278,2))</f>
        <v/>
      </c>
      <c r="AA3278" s="52">
        <f>IF(P3278="","",IF(AND(P3278="Gasto",X3278="Variable",D3278&lt;&gt;catTrading,S3278&gt;0,S3278&lt;=Umbral),1,0))</f>
        <v/>
      </c>
      <c r="AB3278" s="52">
        <f>IF(OR(P3278="",Q3278=""),"",IFERROR(IF(INDEX(ctaVinc,MATCH(Q3278,ctaNombre,0))&amp;""&lt;&gt;"",INDEX(ctaVinc,MATCH(Q3278,ctaNombre,0))&amp;"",Q3278),Q3278))</f>
        <v/>
      </c>
      <c r="AC3278" s="52">
        <f>IF(OR(K3278="",AND(P3278&lt;&gt;"Transferencia",P3278&lt;&gt;"Pago tarjeta")),"",IFERROR(IF(INDEX(ctaVinc,MATCH(K3278,ctaNombre,0))&amp;""&lt;&gt;"",INDEX(ctaVinc,MATCH(K3278,ctaNombre,0))&amp;"",K3278),K3278))</f>
        <v/>
      </c>
      <c r="AD3278" s="52">
        <f>IF(AB3278="","",IFERROR(INDEX(ctaTipo,MATCH(AB3278,ctaNombre,0))&amp;"",""))</f>
        <v/>
      </c>
      <c r="AE3278" s="52">
        <f>IF(AC3278="","",IFERROR(INDEX(ctaTipo,MATCH(AC3278,ctaNombre,0))&amp;"",""))</f>
        <v/>
      </c>
      <c r="AF3278" s="53">
        <f>IF(OR(P3278="",AB3278=""),"",IF(OR(P3278="Gasto",P3278="Transferencia",P3278="Pago tarjeta"),-1,1)*IF(IFERROR(INDEX(ctaMoneda,MATCH(AB3278,ctaNombre,0))&amp;"","DOP")="USD",T3278,S3278))</f>
        <v/>
      </c>
      <c r="AG3278" s="53">
        <f>IF(AC3278="","",IF(IFERROR(INDEX(ctaMoneda,MATCH(AC3278,ctaNombre,0))&amp;"","DOP")="USD",T3278,S3278))</f>
        <v/>
      </c>
      <c r="AH3278" s="53">
        <f>IF(P3278="","",IF(AND(AD3278&lt;&gt;"",COUNTIFS(tcTipo,AD3278,tcLiq,"Sí")&gt;0),IF(OR(P3278="Gasto",P3278="Transferencia",P3278="Pago tarjeta"),-1,1)*S3278,0)+IF(AND(AE3278&lt;&gt;"",COUNTIFS(tcTipo,AE3278,tcLiq,"Sí")&gt;0),S3278,0))</f>
        <v/>
      </c>
      <c r="AI3278" s="52">
        <f>IF(OR(L3278="",P3278=""),"",IF(COUNTIFS(L$6:L3278,L3278,P$6:P3278,"?*")=1,MAX(AI$5:AI3277)+1,""))</f>
        <v/>
      </c>
    </row>
    <row r="3279">
      <c r="B3279" s="47" t="n"/>
      <c r="C3279" s="48" t="n"/>
      <c r="D3279" s="48" t="n"/>
      <c r="E3279" s="48" t="n"/>
      <c r="F3279" s="48" t="n"/>
      <c r="G3279" s="49" t="n"/>
      <c r="H3279" s="48" t="n"/>
      <c r="I3279" s="50" t="n"/>
      <c r="J3279" s="48" t="n"/>
      <c r="K3279" s="48" t="n"/>
      <c r="L3279" s="48" t="n"/>
      <c r="M3279" s="48" t="n"/>
      <c r="N3279" s="48" t="n"/>
      <c r="O3279" s="51">
        <f>IF(AND(B3279="",G3279="",C3279="",D3279="",J3279=""),"",IF(B3279="","⚠ Falta fecha",IF(G3279="","⚠ Falta monto",IF(Q3279="","⚠ Falta cuenta",IF(ISNA(MATCH(Q3279,ctaNombre,0)),"⚠ Cuenta no registrada",IF(AND(OR(P3279="Gasto",P3279="Reembolso"),D3279=""),"⚠ Falta categoría",IF(AND(D3279&lt;&gt;"",E3279&lt;&gt;"",ISNA(MATCH(D3279&amp;"|"&amp;E3279,catClave,0))),"⚠ Subcategoría no corresponde",IF(AND(OR(P3279="Transferencia",P3279="Pago tarjeta"),K3279=""),"⚠ Falta cuenta destino",IF(AND(K3279&lt;&gt;"",P3279&lt;&gt;"Transferencia",P3279&lt;&gt;"Pago tarjeta"),"⚠ Destino solo aplica a transferencias",IF(AND(K3279&lt;&gt;"",K3279=Q3279),"⚠ Origen igual a destino",IF(AND(K3279&lt;&gt;"",ISNA(MATCH(K3279,ctaNombre,0))),"⚠ Destino no registrado",IF(AND(P3279="Pago tarjeta",AE3279&lt;&gt;"Tarjeta de crédito"),"⚠ El destino debe ser tarjeta de crédito",IF(AND(P3279="Gasto",E3279="Depósitos y retiros"),"⚠ Usa tipo Transferencia",IF(AND(P3279="Resultado trading",AD3279&lt;&gt;"Cuenta de trading"),"⚠ Usa una cuenta de trading",IF(AND(G3279&lt;=0,P3279&lt;&gt;"Ajuste",P3279&lt;&gt;"Resultado trading"),"⚠ El monto debe ser positivo","✓")))))))))))))))</f>
        <v/>
      </c>
      <c r="P3279" s="52">
        <f>IF(OR(B3279="",G3279=""),"",IF(C3279="","Gasto",C3279))</f>
        <v/>
      </c>
      <c r="Q3279" s="52">
        <f>IF(P3279="","",IF(J3279&lt;&gt;"",J3279,CuentaPred&amp;""))</f>
        <v/>
      </c>
      <c r="R3279" s="52">
        <f>IF(P3279="","",IF(ISNUMBER(I3279),I3279,TasaUSD))</f>
        <v/>
      </c>
      <c r="S3279" s="53">
        <f>IF(P3279="","",IF(H3279="USD",G3279*R3279,G3279))</f>
        <v/>
      </c>
      <c r="T3279" s="53">
        <f>IF(P3279="","",IF(H3279="USD",G3279,IF(R3279&gt;0,G3279/R3279,0)))</f>
        <v/>
      </c>
      <c r="U3279" s="53">
        <f>IF(P3279="","",IF(P3279="Gasto",S3279,IF(P3279="Reembolso",-S3279,0)))</f>
        <v/>
      </c>
      <c r="V3279" s="53">
        <f>IF(P3279="","",IF(P3279="Ingreso",S3279,0))</f>
        <v/>
      </c>
      <c r="W3279" s="53">
        <f>IF(P3279="","",IF(P3279="Resultado trading",S3279,0))</f>
        <v/>
      </c>
      <c r="X3279" s="52">
        <f>IF(OR(P3279="Gasto",P3279="Reembolso"),IF(M3279&lt;&gt;"",M3279,IFERROR(INDEX(catClasif,MATCH(D3279&amp;"|"&amp;E3279,catClave,0))&amp;"","Variable")),"")</f>
        <v/>
      </c>
      <c r="Y3279" s="52">
        <f>IF(P3279="","",IFERROR(INDEX(catGrupo,MATCH(D3279&amp;"|"&amp;E3279,catClave,0))&amp;"",""))</f>
        <v/>
      </c>
      <c r="Z3279" s="52">
        <f>IF(P3279="","",WEEKDAY(B3279,2))</f>
        <v/>
      </c>
      <c r="AA3279" s="52">
        <f>IF(P3279="","",IF(AND(P3279="Gasto",X3279="Variable",D3279&lt;&gt;catTrading,S3279&gt;0,S3279&lt;=Umbral),1,0))</f>
        <v/>
      </c>
      <c r="AB3279" s="52">
        <f>IF(OR(P3279="",Q3279=""),"",IFERROR(IF(INDEX(ctaVinc,MATCH(Q3279,ctaNombre,0))&amp;""&lt;&gt;"",INDEX(ctaVinc,MATCH(Q3279,ctaNombre,0))&amp;"",Q3279),Q3279))</f>
        <v/>
      </c>
      <c r="AC3279" s="52">
        <f>IF(OR(K3279="",AND(P3279&lt;&gt;"Transferencia",P3279&lt;&gt;"Pago tarjeta")),"",IFERROR(IF(INDEX(ctaVinc,MATCH(K3279,ctaNombre,0))&amp;""&lt;&gt;"",INDEX(ctaVinc,MATCH(K3279,ctaNombre,0))&amp;"",K3279),K3279))</f>
        <v/>
      </c>
      <c r="AD3279" s="52">
        <f>IF(AB3279="","",IFERROR(INDEX(ctaTipo,MATCH(AB3279,ctaNombre,0))&amp;"",""))</f>
        <v/>
      </c>
      <c r="AE3279" s="52">
        <f>IF(AC3279="","",IFERROR(INDEX(ctaTipo,MATCH(AC3279,ctaNombre,0))&amp;"",""))</f>
        <v/>
      </c>
      <c r="AF3279" s="53">
        <f>IF(OR(P3279="",AB3279=""),"",IF(OR(P3279="Gasto",P3279="Transferencia",P3279="Pago tarjeta"),-1,1)*IF(IFERROR(INDEX(ctaMoneda,MATCH(AB3279,ctaNombre,0))&amp;"","DOP")="USD",T3279,S3279))</f>
        <v/>
      </c>
      <c r="AG3279" s="53">
        <f>IF(AC3279="","",IF(IFERROR(INDEX(ctaMoneda,MATCH(AC3279,ctaNombre,0))&amp;"","DOP")="USD",T3279,S3279))</f>
        <v/>
      </c>
      <c r="AH3279" s="53">
        <f>IF(P3279="","",IF(AND(AD3279&lt;&gt;"",COUNTIFS(tcTipo,AD3279,tcLiq,"Sí")&gt;0),IF(OR(P3279="Gasto",P3279="Transferencia",P3279="Pago tarjeta"),-1,1)*S3279,0)+IF(AND(AE3279&lt;&gt;"",COUNTIFS(tcTipo,AE3279,tcLiq,"Sí")&gt;0),S3279,0))</f>
        <v/>
      </c>
      <c r="AI3279" s="52">
        <f>IF(OR(L3279="",P3279=""),"",IF(COUNTIFS(L$6:L3279,L3279,P$6:P3279,"?*")=1,MAX(AI$5:AI3278)+1,""))</f>
        <v/>
      </c>
    </row>
    <row r="3280">
      <c r="B3280" s="47" t="n"/>
      <c r="C3280" s="48" t="n"/>
      <c r="D3280" s="48" t="n"/>
      <c r="E3280" s="48" t="n"/>
      <c r="F3280" s="48" t="n"/>
      <c r="G3280" s="49" t="n"/>
      <c r="H3280" s="48" t="n"/>
      <c r="I3280" s="50" t="n"/>
      <c r="J3280" s="48" t="n"/>
      <c r="K3280" s="48" t="n"/>
      <c r="L3280" s="48" t="n"/>
      <c r="M3280" s="48" t="n"/>
      <c r="N3280" s="48" t="n"/>
      <c r="O3280" s="51">
        <f>IF(AND(B3280="",G3280="",C3280="",D3280="",J3280=""),"",IF(B3280="","⚠ Falta fecha",IF(G3280="","⚠ Falta monto",IF(Q3280="","⚠ Falta cuenta",IF(ISNA(MATCH(Q3280,ctaNombre,0)),"⚠ Cuenta no registrada",IF(AND(OR(P3280="Gasto",P3280="Reembolso"),D3280=""),"⚠ Falta categoría",IF(AND(D3280&lt;&gt;"",E3280&lt;&gt;"",ISNA(MATCH(D3280&amp;"|"&amp;E3280,catClave,0))),"⚠ Subcategoría no corresponde",IF(AND(OR(P3280="Transferencia",P3280="Pago tarjeta"),K3280=""),"⚠ Falta cuenta destino",IF(AND(K3280&lt;&gt;"",P3280&lt;&gt;"Transferencia",P3280&lt;&gt;"Pago tarjeta"),"⚠ Destino solo aplica a transferencias",IF(AND(K3280&lt;&gt;"",K3280=Q3280),"⚠ Origen igual a destino",IF(AND(K3280&lt;&gt;"",ISNA(MATCH(K3280,ctaNombre,0))),"⚠ Destino no registrado",IF(AND(P3280="Pago tarjeta",AE3280&lt;&gt;"Tarjeta de crédito"),"⚠ El destino debe ser tarjeta de crédito",IF(AND(P3280="Gasto",E3280="Depósitos y retiros"),"⚠ Usa tipo Transferencia",IF(AND(P3280="Resultado trading",AD3280&lt;&gt;"Cuenta de trading"),"⚠ Usa una cuenta de trading",IF(AND(G3280&lt;=0,P3280&lt;&gt;"Ajuste",P3280&lt;&gt;"Resultado trading"),"⚠ El monto debe ser positivo","✓")))))))))))))))</f>
        <v/>
      </c>
      <c r="P3280" s="52">
        <f>IF(OR(B3280="",G3280=""),"",IF(C3280="","Gasto",C3280))</f>
        <v/>
      </c>
      <c r="Q3280" s="52">
        <f>IF(P3280="","",IF(J3280&lt;&gt;"",J3280,CuentaPred&amp;""))</f>
        <v/>
      </c>
      <c r="R3280" s="52">
        <f>IF(P3280="","",IF(ISNUMBER(I3280),I3280,TasaUSD))</f>
        <v/>
      </c>
      <c r="S3280" s="53">
        <f>IF(P3280="","",IF(H3280="USD",G3280*R3280,G3280))</f>
        <v/>
      </c>
      <c r="T3280" s="53">
        <f>IF(P3280="","",IF(H3280="USD",G3280,IF(R3280&gt;0,G3280/R3280,0)))</f>
        <v/>
      </c>
      <c r="U3280" s="53">
        <f>IF(P3280="","",IF(P3280="Gasto",S3280,IF(P3280="Reembolso",-S3280,0)))</f>
        <v/>
      </c>
      <c r="V3280" s="53">
        <f>IF(P3280="","",IF(P3280="Ingreso",S3280,0))</f>
        <v/>
      </c>
      <c r="W3280" s="53">
        <f>IF(P3280="","",IF(P3280="Resultado trading",S3280,0))</f>
        <v/>
      </c>
      <c r="X3280" s="52">
        <f>IF(OR(P3280="Gasto",P3280="Reembolso"),IF(M3280&lt;&gt;"",M3280,IFERROR(INDEX(catClasif,MATCH(D3280&amp;"|"&amp;E3280,catClave,0))&amp;"","Variable")),"")</f>
        <v/>
      </c>
      <c r="Y3280" s="52">
        <f>IF(P3280="","",IFERROR(INDEX(catGrupo,MATCH(D3280&amp;"|"&amp;E3280,catClave,0))&amp;"",""))</f>
        <v/>
      </c>
      <c r="Z3280" s="52">
        <f>IF(P3280="","",WEEKDAY(B3280,2))</f>
        <v/>
      </c>
      <c r="AA3280" s="52">
        <f>IF(P3280="","",IF(AND(P3280="Gasto",X3280="Variable",D3280&lt;&gt;catTrading,S3280&gt;0,S3280&lt;=Umbral),1,0))</f>
        <v/>
      </c>
      <c r="AB3280" s="52">
        <f>IF(OR(P3280="",Q3280=""),"",IFERROR(IF(INDEX(ctaVinc,MATCH(Q3280,ctaNombre,0))&amp;""&lt;&gt;"",INDEX(ctaVinc,MATCH(Q3280,ctaNombre,0))&amp;"",Q3280),Q3280))</f>
        <v/>
      </c>
      <c r="AC3280" s="52">
        <f>IF(OR(K3280="",AND(P3280&lt;&gt;"Transferencia",P3280&lt;&gt;"Pago tarjeta")),"",IFERROR(IF(INDEX(ctaVinc,MATCH(K3280,ctaNombre,0))&amp;""&lt;&gt;"",INDEX(ctaVinc,MATCH(K3280,ctaNombre,0))&amp;"",K3280),K3280))</f>
        <v/>
      </c>
      <c r="AD3280" s="52">
        <f>IF(AB3280="","",IFERROR(INDEX(ctaTipo,MATCH(AB3280,ctaNombre,0))&amp;"",""))</f>
        <v/>
      </c>
      <c r="AE3280" s="52">
        <f>IF(AC3280="","",IFERROR(INDEX(ctaTipo,MATCH(AC3280,ctaNombre,0))&amp;"",""))</f>
        <v/>
      </c>
      <c r="AF3280" s="53">
        <f>IF(OR(P3280="",AB3280=""),"",IF(OR(P3280="Gasto",P3280="Transferencia",P3280="Pago tarjeta"),-1,1)*IF(IFERROR(INDEX(ctaMoneda,MATCH(AB3280,ctaNombre,0))&amp;"","DOP")="USD",T3280,S3280))</f>
        <v/>
      </c>
      <c r="AG3280" s="53">
        <f>IF(AC3280="","",IF(IFERROR(INDEX(ctaMoneda,MATCH(AC3280,ctaNombre,0))&amp;"","DOP")="USD",T3280,S3280))</f>
        <v/>
      </c>
      <c r="AH3280" s="53">
        <f>IF(P3280="","",IF(AND(AD3280&lt;&gt;"",COUNTIFS(tcTipo,AD3280,tcLiq,"Sí")&gt;0),IF(OR(P3280="Gasto",P3280="Transferencia",P3280="Pago tarjeta"),-1,1)*S3280,0)+IF(AND(AE3280&lt;&gt;"",COUNTIFS(tcTipo,AE3280,tcLiq,"Sí")&gt;0),S3280,0))</f>
        <v/>
      </c>
      <c r="AI3280" s="52">
        <f>IF(OR(L3280="",P3280=""),"",IF(COUNTIFS(L$6:L3280,L3280,P$6:P3280,"?*")=1,MAX(AI$5:AI3279)+1,""))</f>
        <v/>
      </c>
    </row>
    <row r="3281">
      <c r="B3281" s="47" t="n"/>
      <c r="C3281" s="48" t="n"/>
      <c r="D3281" s="48" t="n"/>
      <c r="E3281" s="48" t="n"/>
      <c r="F3281" s="48" t="n"/>
      <c r="G3281" s="49" t="n"/>
      <c r="H3281" s="48" t="n"/>
      <c r="I3281" s="50" t="n"/>
      <c r="J3281" s="48" t="n"/>
      <c r="K3281" s="48" t="n"/>
      <c r="L3281" s="48" t="n"/>
      <c r="M3281" s="48" t="n"/>
      <c r="N3281" s="48" t="n"/>
      <c r="O3281" s="51">
        <f>IF(AND(B3281="",G3281="",C3281="",D3281="",J3281=""),"",IF(B3281="","⚠ Falta fecha",IF(G3281="","⚠ Falta monto",IF(Q3281="","⚠ Falta cuenta",IF(ISNA(MATCH(Q3281,ctaNombre,0)),"⚠ Cuenta no registrada",IF(AND(OR(P3281="Gasto",P3281="Reembolso"),D3281=""),"⚠ Falta categoría",IF(AND(D3281&lt;&gt;"",E3281&lt;&gt;"",ISNA(MATCH(D3281&amp;"|"&amp;E3281,catClave,0))),"⚠ Subcategoría no corresponde",IF(AND(OR(P3281="Transferencia",P3281="Pago tarjeta"),K3281=""),"⚠ Falta cuenta destino",IF(AND(K3281&lt;&gt;"",P3281&lt;&gt;"Transferencia",P3281&lt;&gt;"Pago tarjeta"),"⚠ Destino solo aplica a transferencias",IF(AND(K3281&lt;&gt;"",K3281=Q3281),"⚠ Origen igual a destino",IF(AND(K3281&lt;&gt;"",ISNA(MATCH(K3281,ctaNombre,0))),"⚠ Destino no registrado",IF(AND(P3281="Pago tarjeta",AE3281&lt;&gt;"Tarjeta de crédito"),"⚠ El destino debe ser tarjeta de crédito",IF(AND(P3281="Gasto",E3281="Depósitos y retiros"),"⚠ Usa tipo Transferencia",IF(AND(P3281="Resultado trading",AD3281&lt;&gt;"Cuenta de trading"),"⚠ Usa una cuenta de trading",IF(AND(G3281&lt;=0,P3281&lt;&gt;"Ajuste",P3281&lt;&gt;"Resultado trading"),"⚠ El monto debe ser positivo","✓")))))))))))))))</f>
        <v/>
      </c>
      <c r="P3281" s="52">
        <f>IF(OR(B3281="",G3281=""),"",IF(C3281="","Gasto",C3281))</f>
        <v/>
      </c>
      <c r="Q3281" s="52">
        <f>IF(P3281="","",IF(J3281&lt;&gt;"",J3281,CuentaPred&amp;""))</f>
        <v/>
      </c>
      <c r="R3281" s="52">
        <f>IF(P3281="","",IF(ISNUMBER(I3281),I3281,TasaUSD))</f>
        <v/>
      </c>
      <c r="S3281" s="53">
        <f>IF(P3281="","",IF(H3281="USD",G3281*R3281,G3281))</f>
        <v/>
      </c>
      <c r="T3281" s="53">
        <f>IF(P3281="","",IF(H3281="USD",G3281,IF(R3281&gt;0,G3281/R3281,0)))</f>
        <v/>
      </c>
      <c r="U3281" s="53">
        <f>IF(P3281="","",IF(P3281="Gasto",S3281,IF(P3281="Reembolso",-S3281,0)))</f>
        <v/>
      </c>
      <c r="V3281" s="53">
        <f>IF(P3281="","",IF(P3281="Ingreso",S3281,0))</f>
        <v/>
      </c>
      <c r="W3281" s="53">
        <f>IF(P3281="","",IF(P3281="Resultado trading",S3281,0))</f>
        <v/>
      </c>
      <c r="X3281" s="52">
        <f>IF(OR(P3281="Gasto",P3281="Reembolso"),IF(M3281&lt;&gt;"",M3281,IFERROR(INDEX(catClasif,MATCH(D3281&amp;"|"&amp;E3281,catClave,0))&amp;"","Variable")),"")</f>
        <v/>
      </c>
      <c r="Y3281" s="52">
        <f>IF(P3281="","",IFERROR(INDEX(catGrupo,MATCH(D3281&amp;"|"&amp;E3281,catClave,0))&amp;"",""))</f>
        <v/>
      </c>
      <c r="Z3281" s="52">
        <f>IF(P3281="","",WEEKDAY(B3281,2))</f>
        <v/>
      </c>
      <c r="AA3281" s="52">
        <f>IF(P3281="","",IF(AND(P3281="Gasto",X3281="Variable",D3281&lt;&gt;catTrading,S3281&gt;0,S3281&lt;=Umbral),1,0))</f>
        <v/>
      </c>
      <c r="AB3281" s="52">
        <f>IF(OR(P3281="",Q3281=""),"",IFERROR(IF(INDEX(ctaVinc,MATCH(Q3281,ctaNombre,0))&amp;""&lt;&gt;"",INDEX(ctaVinc,MATCH(Q3281,ctaNombre,0))&amp;"",Q3281),Q3281))</f>
        <v/>
      </c>
      <c r="AC3281" s="52">
        <f>IF(OR(K3281="",AND(P3281&lt;&gt;"Transferencia",P3281&lt;&gt;"Pago tarjeta")),"",IFERROR(IF(INDEX(ctaVinc,MATCH(K3281,ctaNombre,0))&amp;""&lt;&gt;"",INDEX(ctaVinc,MATCH(K3281,ctaNombre,0))&amp;"",K3281),K3281))</f>
        <v/>
      </c>
      <c r="AD3281" s="52">
        <f>IF(AB3281="","",IFERROR(INDEX(ctaTipo,MATCH(AB3281,ctaNombre,0))&amp;"",""))</f>
        <v/>
      </c>
      <c r="AE3281" s="52">
        <f>IF(AC3281="","",IFERROR(INDEX(ctaTipo,MATCH(AC3281,ctaNombre,0))&amp;"",""))</f>
        <v/>
      </c>
      <c r="AF3281" s="53">
        <f>IF(OR(P3281="",AB3281=""),"",IF(OR(P3281="Gasto",P3281="Transferencia",P3281="Pago tarjeta"),-1,1)*IF(IFERROR(INDEX(ctaMoneda,MATCH(AB3281,ctaNombre,0))&amp;"","DOP")="USD",T3281,S3281))</f>
        <v/>
      </c>
      <c r="AG3281" s="53">
        <f>IF(AC3281="","",IF(IFERROR(INDEX(ctaMoneda,MATCH(AC3281,ctaNombre,0))&amp;"","DOP")="USD",T3281,S3281))</f>
        <v/>
      </c>
      <c r="AH3281" s="53">
        <f>IF(P3281="","",IF(AND(AD3281&lt;&gt;"",COUNTIFS(tcTipo,AD3281,tcLiq,"Sí")&gt;0),IF(OR(P3281="Gasto",P3281="Transferencia",P3281="Pago tarjeta"),-1,1)*S3281,0)+IF(AND(AE3281&lt;&gt;"",COUNTIFS(tcTipo,AE3281,tcLiq,"Sí")&gt;0),S3281,0))</f>
        <v/>
      </c>
      <c r="AI3281" s="52">
        <f>IF(OR(L3281="",P3281=""),"",IF(COUNTIFS(L$6:L3281,L3281,P$6:P3281,"?*")=1,MAX(AI$5:AI3280)+1,""))</f>
        <v/>
      </c>
    </row>
    <row r="3282">
      <c r="B3282" s="47" t="n"/>
      <c r="C3282" s="48" t="n"/>
      <c r="D3282" s="48" t="n"/>
      <c r="E3282" s="48" t="n"/>
      <c r="F3282" s="48" t="n"/>
      <c r="G3282" s="49" t="n"/>
      <c r="H3282" s="48" t="n"/>
      <c r="I3282" s="50" t="n"/>
      <c r="J3282" s="48" t="n"/>
      <c r="K3282" s="48" t="n"/>
      <c r="L3282" s="48" t="n"/>
      <c r="M3282" s="48" t="n"/>
      <c r="N3282" s="48" t="n"/>
      <c r="O3282" s="51">
        <f>IF(AND(B3282="",G3282="",C3282="",D3282="",J3282=""),"",IF(B3282="","⚠ Falta fecha",IF(G3282="","⚠ Falta monto",IF(Q3282="","⚠ Falta cuenta",IF(ISNA(MATCH(Q3282,ctaNombre,0)),"⚠ Cuenta no registrada",IF(AND(OR(P3282="Gasto",P3282="Reembolso"),D3282=""),"⚠ Falta categoría",IF(AND(D3282&lt;&gt;"",E3282&lt;&gt;"",ISNA(MATCH(D3282&amp;"|"&amp;E3282,catClave,0))),"⚠ Subcategoría no corresponde",IF(AND(OR(P3282="Transferencia",P3282="Pago tarjeta"),K3282=""),"⚠ Falta cuenta destino",IF(AND(K3282&lt;&gt;"",P3282&lt;&gt;"Transferencia",P3282&lt;&gt;"Pago tarjeta"),"⚠ Destino solo aplica a transferencias",IF(AND(K3282&lt;&gt;"",K3282=Q3282),"⚠ Origen igual a destino",IF(AND(K3282&lt;&gt;"",ISNA(MATCH(K3282,ctaNombre,0))),"⚠ Destino no registrado",IF(AND(P3282="Pago tarjeta",AE3282&lt;&gt;"Tarjeta de crédito"),"⚠ El destino debe ser tarjeta de crédito",IF(AND(P3282="Gasto",E3282="Depósitos y retiros"),"⚠ Usa tipo Transferencia",IF(AND(P3282="Resultado trading",AD3282&lt;&gt;"Cuenta de trading"),"⚠ Usa una cuenta de trading",IF(AND(G3282&lt;=0,P3282&lt;&gt;"Ajuste",P3282&lt;&gt;"Resultado trading"),"⚠ El monto debe ser positivo","✓")))))))))))))))</f>
        <v/>
      </c>
      <c r="P3282" s="52">
        <f>IF(OR(B3282="",G3282=""),"",IF(C3282="","Gasto",C3282))</f>
        <v/>
      </c>
      <c r="Q3282" s="52">
        <f>IF(P3282="","",IF(J3282&lt;&gt;"",J3282,CuentaPred&amp;""))</f>
        <v/>
      </c>
      <c r="R3282" s="52">
        <f>IF(P3282="","",IF(ISNUMBER(I3282),I3282,TasaUSD))</f>
        <v/>
      </c>
      <c r="S3282" s="53">
        <f>IF(P3282="","",IF(H3282="USD",G3282*R3282,G3282))</f>
        <v/>
      </c>
      <c r="T3282" s="53">
        <f>IF(P3282="","",IF(H3282="USD",G3282,IF(R3282&gt;0,G3282/R3282,0)))</f>
        <v/>
      </c>
      <c r="U3282" s="53">
        <f>IF(P3282="","",IF(P3282="Gasto",S3282,IF(P3282="Reembolso",-S3282,0)))</f>
        <v/>
      </c>
      <c r="V3282" s="53">
        <f>IF(P3282="","",IF(P3282="Ingreso",S3282,0))</f>
        <v/>
      </c>
      <c r="W3282" s="53">
        <f>IF(P3282="","",IF(P3282="Resultado trading",S3282,0))</f>
        <v/>
      </c>
      <c r="X3282" s="52">
        <f>IF(OR(P3282="Gasto",P3282="Reembolso"),IF(M3282&lt;&gt;"",M3282,IFERROR(INDEX(catClasif,MATCH(D3282&amp;"|"&amp;E3282,catClave,0))&amp;"","Variable")),"")</f>
        <v/>
      </c>
      <c r="Y3282" s="52">
        <f>IF(P3282="","",IFERROR(INDEX(catGrupo,MATCH(D3282&amp;"|"&amp;E3282,catClave,0))&amp;"",""))</f>
        <v/>
      </c>
      <c r="Z3282" s="52">
        <f>IF(P3282="","",WEEKDAY(B3282,2))</f>
        <v/>
      </c>
      <c r="AA3282" s="52">
        <f>IF(P3282="","",IF(AND(P3282="Gasto",X3282="Variable",D3282&lt;&gt;catTrading,S3282&gt;0,S3282&lt;=Umbral),1,0))</f>
        <v/>
      </c>
      <c r="AB3282" s="52">
        <f>IF(OR(P3282="",Q3282=""),"",IFERROR(IF(INDEX(ctaVinc,MATCH(Q3282,ctaNombre,0))&amp;""&lt;&gt;"",INDEX(ctaVinc,MATCH(Q3282,ctaNombre,0))&amp;"",Q3282),Q3282))</f>
        <v/>
      </c>
      <c r="AC3282" s="52">
        <f>IF(OR(K3282="",AND(P3282&lt;&gt;"Transferencia",P3282&lt;&gt;"Pago tarjeta")),"",IFERROR(IF(INDEX(ctaVinc,MATCH(K3282,ctaNombre,0))&amp;""&lt;&gt;"",INDEX(ctaVinc,MATCH(K3282,ctaNombre,0))&amp;"",K3282),K3282))</f>
        <v/>
      </c>
      <c r="AD3282" s="52">
        <f>IF(AB3282="","",IFERROR(INDEX(ctaTipo,MATCH(AB3282,ctaNombre,0))&amp;"",""))</f>
        <v/>
      </c>
      <c r="AE3282" s="52">
        <f>IF(AC3282="","",IFERROR(INDEX(ctaTipo,MATCH(AC3282,ctaNombre,0))&amp;"",""))</f>
        <v/>
      </c>
      <c r="AF3282" s="53">
        <f>IF(OR(P3282="",AB3282=""),"",IF(OR(P3282="Gasto",P3282="Transferencia",P3282="Pago tarjeta"),-1,1)*IF(IFERROR(INDEX(ctaMoneda,MATCH(AB3282,ctaNombre,0))&amp;"","DOP")="USD",T3282,S3282))</f>
        <v/>
      </c>
      <c r="AG3282" s="53">
        <f>IF(AC3282="","",IF(IFERROR(INDEX(ctaMoneda,MATCH(AC3282,ctaNombre,0))&amp;"","DOP")="USD",T3282,S3282))</f>
        <v/>
      </c>
      <c r="AH3282" s="53">
        <f>IF(P3282="","",IF(AND(AD3282&lt;&gt;"",COUNTIFS(tcTipo,AD3282,tcLiq,"Sí")&gt;0),IF(OR(P3282="Gasto",P3282="Transferencia",P3282="Pago tarjeta"),-1,1)*S3282,0)+IF(AND(AE3282&lt;&gt;"",COUNTIFS(tcTipo,AE3282,tcLiq,"Sí")&gt;0),S3282,0))</f>
        <v/>
      </c>
      <c r="AI3282" s="52">
        <f>IF(OR(L3282="",P3282=""),"",IF(COUNTIFS(L$6:L3282,L3282,P$6:P3282,"?*")=1,MAX(AI$5:AI3281)+1,""))</f>
        <v/>
      </c>
    </row>
    <row r="3283">
      <c r="B3283" s="47" t="n"/>
      <c r="C3283" s="48" t="n"/>
      <c r="D3283" s="48" t="n"/>
      <c r="E3283" s="48" t="n"/>
      <c r="F3283" s="48" t="n"/>
      <c r="G3283" s="49" t="n"/>
      <c r="H3283" s="48" t="n"/>
      <c r="I3283" s="50" t="n"/>
      <c r="J3283" s="48" t="n"/>
      <c r="K3283" s="48" t="n"/>
      <c r="L3283" s="48" t="n"/>
      <c r="M3283" s="48" t="n"/>
      <c r="N3283" s="48" t="n"/>
      <c r="O3283" s="51">
        <f>IF(AND(B3283="",G3283="",C3283="",D3283="",J3283=""),"",IF(B3283="","⚠ Falta fecha",IF(G3283="","⚠ Falta monto",IF(Q3283="","⚠ Falta cuenta",IF(ISNA(MATCH(Q3283,ctaNombre,0)),"⚠ Cuenta no registrada",IF(AND(OR(P3283="Gasto",P3283="Reembolso"),D3283=""),"⚠ Falta categoría",IF(AND(D3283&lt;&gt;"",E3283&lt;&gt;"",ISNA(MATCH(D3283&amp;"|"&amp;E3283,catClave,0))),"⚠ Subcategoría no corresponde",IF(AND(OR(P3283="Transferencia",P3283="Pago tarjeta"),K3283=""),"⚠ Falta cuenta destino",IF(AND(K3283&lt;&gt;"",P3283&lt;&gt;"Transferencia",P3283&lt;&gt;"Pago tarjeta"),"⚠ Destino solo aplica a transferencias",IF(AND(K3283&lt;&gt;"",K3283=Q3283),"⚠ Origen igual a destino",IF(AND(K3283&lt;&gt;"",ISNA(MATCH(K3283,ctaNombre,0))),"⚠ Destino no registrado",IF(AND(P3283="Pago tarjeta",AE3283&lt;&gt;"Tarjeta de crédito"),"⚠ El destino debe ser tarjeta de crédito",IF(AND(P3283="Gasto",E3283="Depósitos y retiros"),"⚠ Usa tipo Transferencia",IF(AND(P3283="Resultado trading",AD3283&lt;&gt;"Cuenta de trading"),"⚠ Usa una cuenta de trading",IF(AND(G3283&lt;=0,P3283&lt;&gt;"Ajuste",P3283&lt;&gt;"Resultado trading"),"⚠ El monto debe ser positivo","✓")))))))))))))))</f>
        <v/>
      </c>
      <c r="P3283" s="52">
        <f>IF(OR(B3283="",G3283=""),"",IF(C3283="","Gasto",C3283))</f>
        <v/>
      </c>
      <c r="Q3283" s="52">
        <f>IF(P3283="","",IF(J3283&lt;&gt;"",J3283,CuentaPred&amp;""))</f>
        <v/>
      </c>
      <c r="R3283" s="52">
        <f>IF(P3283="","",IF(ISNUMBER(I3283),I3283,TasaUSD))</f>
        <v/>
      </c>
      <c r="S3283" s="53">
        <f>IF(P3283="","",IF(H3283="USD",G3283*R3283,G3283))</f>
        <v/>
      </c>
      <c r="T3283" s="53">
        <f>IF(P3283="","",IF(H3283="USD",G3283,IF(R3283&gt;0,G3283/R3283,0)))</f>
        <v/>
      </c>
      <c r="U3283" s="53">
        <f>IF(P3283="","",IF(P3283="Gasto",S3283,IF(P3283="Reembolso",-S3283,0)))</f>
        <v/>
      </c>
      <c r="V3283" s="53">
        <f>IF(P3283="","",IF(P3283="Ingreso",S3283,0))</f>
        <v/>
      </c>
      <c r="W3283" s="53">
        <f>IF(P3283="","",IF(P3283="Resultado trading",S3283,0))</f>
        <v/>
      </c>
      <c r="X3283" s="52">
        <f>IF(OR(P3283="Gasto",P3283="Reembolso"),IF(M3283&lt;&gt;"",M3283,IFERROR(INDEX(catClasif,MATCH(D3283&amp;"|"&amp;E3283,catClave,0))&amp;"","Variable")),"")</f>
        <v/>
      </c>
      <c r="Y3283" s="52">
        <f>IF(P3283="","",IFERROR(INDEX(catGrupo,MATCH(D3283&amp;"|"&amp;E3283,catClave,0))&amp;"",""))</f>
        <v/>
      </c>
      <c r="Z3283" s="52">
        <f>IF(P3283="","",WEEKDAY(B3283,2))</f>
        <v/>
      </c>
      <c r="AA3283" s="52">
        <f>IF(P3283="","",IF(AND(P3283="Gasto",X3283="Variable",D3283&lt;&gt;catTrading,S3283&gt;0,S3283&lt;=Umbral),1,0))</f>
        <v/>
      </c>
      <c r="AB3283" s="52">
        <f>IF(OR(P3283="",Q3283=""),"",IFERROR(IF(INDEX(ctaVinc,MATCH(Q3283,ctaNombre,0))&amp;""&lt;&gt;"",INDEX(ctaVinc,MATCH(Q3283,ctaNombre,0))&amp;"",Q3283),Q3283))</f>
        <v/>
      </c>
      <c r="AC3283" s="52">
        <f>IF(OR(K3283="",AND(P3283&lt;&gt;"Transferencia",P3283&lt;&gt;"Pago tarjeta")),"",IFERROR(IF(INDEX(ctaVinc,MATCH(K3283,ctaNombre,0))&amp;""&lt;&gt;"",INDEX(ctaVinc,MATCH(K3283,ctaNombre,0))&amp;"",K3283),K3283))</f>
        <v/>
      </c>
      <c r="AD3283" s="52">
        <f>IF(AB3283="","",IFERROR(INDEX(ctaTipo,MATCH(AB3283,ctaNombre,0))&amp;"",""))</f>
        <v/>
      </c>
      <c r="AE3283" s="52">
        <f>IF(AC3283="","",IFERROR(INDEX(ctaTipo,MATCH(AC3283,ctaNombre,0))&amp;"",""))</f>
        <v/>
      </c>
      <c r="AF3283" s="53">
        <f>IF(OR(P3283="",AB3283=""),"",IF(OR(P3283="Gasto",P3283="Transferencia",P3283="Pago tarjeta"),-1,1)*IF(IFERROR(INDEX(ctaMoneda,MATCH(AB3283,ctaNombre,0))&amp;"","DOP")="USD",T3283,S3283))</f>
        <v/>
      </c>
      <c r="AG3283" s="53">
        <f>IF(AC3283="","",IF(IFERROR(INDEX(ctaMoneda,MATCH(AC3283,ctaNombre,0))&amp;"","DOP")="USD",T3283,S3283))</f>
        <v/>
      </c>
      <c r="AH3283" s="53">
        <f>IF(P3283="","",IF(AND(AD3283&lt;&gt;"",COUNTIFS(tcTipo,AD3283,tcLiq,"Sí")&gt;0),IF(OR(P3283="Gasto",P3283="Transferencia",P3283="Pago tarjeta"),-1,1)*S3283,0)+IF(AND(AE3283&lt;&gt;"",COUNTIFS(tcTipo,AE3283,tcLiq,"Sí")&gt;0),S3283,0))</f>
        <v/>
      </c>
      <c r="AI3283" s="52">
        <f>IF(OR(L3283="",P3283=""),"",IF(COUNTIFS(L$6:L3283,L3283,P$6:P3283,"?*")=1,MAX(AI$5:AI3282)+1,""))</f>
        <v/>
      </c>
    </row>
    <row r="3284">
      <c r="B3284" s="47" t="n"/>
      <c r="C3284" s="48" t="n"/>
      <c r="D3284" s="48" t="n"/>
      <c r="E3284" s="48" t="n"/>
      <c r="F3284" s="48" t="n"/>
      <c r="G3284" s="49" t="n"/>
      <c r="H3284" s="48" t="n"/>
      <c r="I3284" s="50" t="n"/>
      <c r="J3284" s="48" t="n"/>
      <c r="K3284" s="48" t="n"/>
      <c r="L3284" s="48" t="n"/>
      <c r="M3284" s="48" t="n"/>
      <c r="N3284" s="48" t="n"/>
      <c r="O3284" s="51">
        <f>IF(AND(B3284="",G3284="",C3284="",D3284="",J3284=""),"",IF(B3284="","⚠ Falta fecha",IF(G3284="","⚠ Falta monto",IF(Q3284="","⚠ Falta cuenta",IF(ISNA(MATCH(Q3284,ctaNombre,0)),"⚠ Cuenta no registrada",IF(AND(OR(P3284="Gasto",P3284="Reembolso"),D3284=""),"⚠ Falta categoría",IF(AND(D3284&lt;&gt;"",E3284&lt;&gt;"",ISNA(MATCH(D3284&amp;"|"&amp;E3284,catClave,0))),"⚠ Subcategoría no corresponde",IF(AND(OR(P3284="Transferencia",P3284="Pago tarjeta"),K3284=""),"⚠ Falta cuenta destino",IF(AND(K3284&lt;&gt;"",P3284&lt;&gt;"Transferencia",P3284&lt;&gt;"Pago tarjeta"),"⚠ Destino solo aplica a transferencias",IF(AND(K3284&lt;&gt;"",K3284=Q3284),"⚠ Origen igual a destino",IF(AND(K3284&lt;&gt;"",ISNA(MATCH(K3284,ctaNombre,0))),"⚠ Destino no registrado",IF(AND(P3284="Pago tarjeta",AE3284&lt;&gt;"Tarjeta de crédito"),"⚠ El destino debe ser tarjeta de crédito",IF(AND(P3284="Gasto",E3284="Depósitos y retiros"),"⚠ Usa tipo Transferencia",IF(AND(P3284="Resultado trading",AD3284&lt;&gt;"Cuenta de trading"),"⚠ Usa una cuenta de trading",IF(AND(G3284&lt;=0,P3284&lt;&gt;"Ajuste",P3284&lt;&gt;"Resultado trading"),"⚠ El monto debe ser positivo","✓")))))))))))))))</f>
        <v/>
      </c>
      <c r="P3284" s="52">
        <f>IF(OR(B3284="",G3284=""),"",IF(C3284="","Gasto",C3284))</f>
        <v/>
      </c>
      <c r="Q3284" s="52">
        <f>IF(P3284="","",IF(J3284&lt;&gt;"",J3284,CuentaPred&amp;""))</f>
        <v/>
      </c>
      <c r="R3284" s="52">
        <f>IF(P3284="","",IF(ISNUMBER(I3284),I3284,TasaUSD))</f>
        <v/>
      </c>
      <c r="S3284" s="53">
        <f>IF(P3284="","",IF(H3284="USD",G3284*R3284,G3284))</f>
        <v/>
      </c>
      <c r="T3284" s="53">
        <f>IF(P3284="","",IF(H3284="USD",G3284,IF(R3284&gt;0,G3284/R3284,0)))</f>
        <v/>
      </c>
      <c r="U3284" s="53">
        <f>IF(P3284="","",IF(P3284="Gasto",S3284,IF(P3284="Reembolso",-S3284,0)))</f>
        <v/>
      </c>
      <c r="V3284" s="53">
        <f>IF(P3284="","",IF(P3284="Ingreso",S3284,0))</f>
        <v/>
      </c>
      <c r="W3284" s="53">
        <f>IF(P3284="","",IF(P3284="Resultado trading",S3284,0))</f>
        <v/>
      </c>
      <c r="X3284" s="52">
        <f>IF(OR(P3284="Gasto",P3284="Reembolso"),IF(M3284&lt;&gt;"",M3284,IFERROR(INDEX(catClasif,MATCH(D3284&amp;"|"&amp;E3284,catClave,0))&amp;"","Variable")),"")</f>
        <v/>
      </c>
      <c r="Y3284" s="52">
        <f>IF(P3284="","",IFERROR(INDEX(catGrupo,MATCH(D3284&amp;"|"&amp;E3284,catClave,0))&amp;"",""))</f>
        <v/>
      </c>
      <c r="Z3284" s="52">
        <f>IF(P3284="","",WEEKDAY(B3284,2))</f>
        <v/>
      </c>
      <c r="AA3284" s="52">
        <f>IF(P3284="","",IF(AND(P3284="Gasto",X3284="Variable",D3284&lt;&gt;catTrading,S3284&gt;0,S3284&lt;=Umbral),1,0))</f>
        <v/>
      </c>
      <c r="AB3284" s="52">
        <f>IF(OR(P3284="",Q3284=""),"",IFERROR(IF(INDEX(ctaVinc,MATCH(Q3284,ctaNombre,0))&amp;""&lt;&gt;"",INDEX(ctaVinc,MATCH(Q3284,ctaNombre,0))&amp;"",Q3284),Q3284))</f>
        <v/>
      </c>
      <c r="AC3284" s="52">
        <f>IF(OR(K3284="",AND(P3284&lt;&gt;"Transferencia",P3284&lt;&gt;"Pago tarjeta")),"",IFERROR(IF(INDEX(ctaVinc,MATCH(K3284,ctaNombre,0))&amp;""&lt;&gt;"",INDEX(ctaVinc,MATCH(K3284,ctaNombre,0))&amp;"",K3284),K3284))</f>
        <v/>
      </c>
      <c r="AD3284" s="52">
        <f>IF(AB3284="","",IFERROR(INDEX(ctaTipo,MATCH(AB3284,ctaNombre,0))&amp;"",""))</f>
        <v/>
      </c>
      <c r="AE3284" s="52">
        <f>IF(AC3284="","",IFERROR(INDEX(ctaTipo,MATCH(AC3284,ctaNombre,0))&amp;"",""))</f>
        <v/>
      </c>
      <c r="AF3284" s="53">
        <f>IF(OR(P3284="",AB3284=""),"",IF(OR(P3284="Gasto",P3284="Transferencia",P3284="Pago tarjeta"),-1,1)*IF(IFERROR(INDEX(ctaMoneda,MATCH(AB3284,ctaNombre,0))&amp;"","DOP")="USD",T3284,S3284))</f>
        <v/>
      </c>
      <c r="AG3284" s="53">
        <f>IF(AC3284="","",IF(IFERROR(INDEX(ctaMoneda,MATCH(AC3284,ctaNombre,0))&amp;"","DOP")="USD",T3284,S3284))</f>
        <v/>
      </c>
      <c r="AH3284" s="53">
        <f>IF(P3284="","",IF(AND(AD3284&lt;&gt;"",COUNTIFS(tcTipo,AD3284,tcLiq,"Sí")&gt;0),IF(OR(P3284="Gasto",P3284="Transferencia",P3284="Pago tarjeta"),-1,1)*S3284,0)+IF(AND(AE3284&lt;&gt;"",COUNTIFS(tcTipo,AE3284,tcLiq,"Sí")&gt;0),S3284,0))</f>
        <v/>
      </c>
      <c r="AI3284" s="52">
        <f>IF(OR(L3284="",P3284=""),"",IF(COUNTIFS(L$6:L3284,L3284,P$6:P3284,"?*")=1,MAX(AI$5:AI3283)+1,""))</f>
        <v/>
      </c>
    </row>
    <row r="3285">
      <c r="B3285" s="47" t="n"/>
      <c r="C3285" s="48" t="n"/>
      <c r="D3285" s="48" t="n"/>
      <c r="E3285" s="48" t="n"/>
      <c r="F3285" s="48" t="n"/>
      <c r="G3285" s="49" t="n"/>
      <c r="H3285" s="48" t="n"/>
      <c r="I3285" s="50" t="n"/>
      <c r="J3285" s="48" t="n"/>
      <c r="K3285" s="48" t="n"/>
      <c r="L3285" s="48" t="n"/>
      <c r="M3285" s="48" t="n"/>
      <c r="N3285" s="48" t="n"/>
      <c r="O3285" s="51">
        <f>IF(AND(B3285="",G3285="",C3285="",D3285="",J3285=""),"",IF(B3285="","⚠ Falta fecha",IF(G3285="","⚠ Falta monto",IF(Q3285="","⚠ Falta cuenta",IF(ISNA(MATCH(Q3285,ctaNombre,0)),"⚠ Cuenta no registrada",IF(AND(OR(P3285="Gasto",P3285="Reembolso"),D3285=""),"⚠ Falta categoría",IF(AND(D3285&lt;&gt;"",E3285&lt;&gt;"",ISNA(MATCH(D3285&amp;"|"&amp;E3285,catClave,0))),"⚠ Subcategoría no corresponde",IF(AND(OR(P3285="Transferencia",P3285="Pago tarjeta"),K3285=""),"⚠ Falta cuenta destino",IF(AND(K3285&lt;&gt;"",P3285&lt;&gt;"Transferencia",P3285&lt;&gt;"Pago tarjeta"),"⚠ Destino solo aplica a transferencias",IF(AND(K3285&lt;&gt;"",K3285=Q3285),"⚠ Origen igual a destino",IF(AND(K3285&lt;&gt;"",ISNA(MATCH(K3285,ctaNombre,0))),"⚠ Destino no registrado",IF(AND(P3285="Pago tarjeta",AE3285&lt;&gt;"Tarjeta de crédito"),"⚠ El destino debe ser tarjeta de crédito",IF(AND(P3285="Gasto",E3285="Depósitos y retiros"),"⚠ Usa tipo Transferencia",IF(AND(P3285="Resultado trading",AD3285&lt;&gt;"Cuenta de trading"),"⚠ Usa una cuenta de trading",IF(AND(G3285&lt;=0,P3285&lt;&gt;"Ajuste",P3285&lt;&gt;"Resultado trading"),"⚠ El monto debe ser positivo","✓")))))))))))))))</f>
        <v/>
      </c>
      <c r="P3285" s="52">
        <f>IF(OR(B3285="",G3285=""),"",IF(C3285="","Gasto",C3285))</f>
        <v/>
      </c>
      <c r="Q3285" s="52">
        <f>IF(P3285="","",IF(J3285&lt;&gt;"",J3285,CuentaPred&amp;""))</f>
        <v/>
      </c>
      <c r="R3285" s="52">
        <f>IF(P3285="","",IF(ISNUMBER(I3285),I3285,TasaUSD))</f>
        <v/>
      </c>
      <c r="S3285" s="53">
        <f>IF(P3285="","",IF(H3285="USD",G3285*R3285,G3285))</f>
        <v/>
      </c>
      <c r="T3285" s="53">
        <f>IF(P3285="","",IF(H3285="USD",G3285,IF(R3285&gt;0,G3285/R3285,0)))</f>
        <v/>
      </c>
      <c r="U3285" s="53">
        <f>IF(P3285="","",IF(P3285="Gasto",S3285,IF(P3285="Reembolso",-S3285,0)))</f>
        <v/>
      </c>
      <c r="V3285" s="53">
        <f>IF(P3285="","",IF(P3285="Ingreso",S3285,0))</f>
        <v/>
      </c>
      <c r="W3285" s="53">
        <f>IF(P3285="","",IF(P3285="Resultado trading",S3285,0))</f>
        <v/>
      </c>
      <c r="X3285" s="52">
        <f>IF(OR(P3285="Gasto",P3285="Reembolso"),IF(M3285&lt;&gt;"",M3285,IFERROR(INDEX(catClasif,MATCH(D3285&amp;"|"&amp;E3285,catClave,0))&amp;"","Variable")),"")</f>
        <v/>
      </c>
      <c r="Y3285" s="52">
        <f>IF(P3285="","",IFERROR(INDEX(catGrupo,MATCH(D3285&amp;"|"&amp;E3285,catClave,0))&amp;"",""))</f>
        <v/>
      </c>
      <c r="Z3285" s="52">
        <f>IF(P3285="","",WEEKDAY(B3285,2))</f>
        <v/>
      </c>
      <c r="AA3285" s="52">
        <f>IF(P3285="","",IF(AND(P3285="Gasto",X3285="Variable",D3285&lt;&gt;catTrading,S3285&gt;0,S3285&lt;=Umbral),1,0))</f>
        <v/>
      </c>
      <c r="AB3285" s="52">
        <f>IF(OR(P3285="",Q3285=""),"",IFERROR(IF(INDEX(ctaVinc,MATCH(Q3285,ctaNombre,0))&amp;""&lt;&gt;"",INDEX(ctaVinc,MATCH(Q3285,ctaNombre,0))&amp;"",Q3285),Q3285))</f>
        <v/>
      </c>
      <c r="AC3285" s="52">
        <f>IF(OR(K3285="",AND(P3285&lt;&gt;"Transferencia",P3285&lt;&gt;"Pago tarjeta")),"",IFERROR(IF(INDEX(ctaVinc,MATCH(K3285,ctaNombre,0))&amp;""&lt;&gt;"",INDEX(ctaVinc,MATCH(K3285,ctaNombre,0))&amp;"",K3285),K3285))</f>
        <v/>
      </c>
      <c r="AD3285" s="52">
        <f>IF(AB3285="","",IFERROR(INDEX(ctaTipo,MATCH(AB3285,ctaNombre,0))&amp;"",""))</f>
        <v/>
      </c>
      <c r="AE3285" s="52">
        <f>IF(AC3285="","",IFERROR(INDEX(ctaTipo,MATCH(AC3285,ctaNombre,0))&amp;"",""))</f>
        <v/>
      </c>
      <c r="AF3285" s="53">
        <f>IF(OR(P3285="",AB3285=""),"",IF(OR(P3285="Gasto",P3285="Transferencia",P3285="Pago tarjeta"),-1,1)*IF(IFERROR(INDEX(ctaMoneda,MATCH(AB3285,ctaNombre,0))&amp;"","DOP")="USD",T3285,S3285))</f>
        <v/>
      </c>
      <c r="AG3285" s="53">
        <f>IF(AC3285="","",IF(IFERROR(INDEX(ctaMoneda,MATCH(AC3285,ctaNombre,0))&amp;"","DOP")="USD",T3285,S3285))</f>
        <v/>
      </c>
      <c r="AH3285" s="53">
        <f>IF(P3285="","",IF(AND(AD3285&lt;&gt;"",COUNTIFS(tcTipo,AD3285,tcLiq,"Sí")&gt;0),IF(OR(P3285="Gasto",P3285="Transferencia",P3285="Pago tarjeta"),-1,1)*S3285,0)+IF(AND(AE3285&lt;&gt;"",COUNTIFS(tcTipo,AE3285,tcLiq,"Sí")&gt;0),S3285,0))</f>
        <v/>
      </c>
      <c r="AI3285" s="52">
        <f>IF(OR(L3285="",P3285=""),"",IF(COUNTIFS(L$6:L3285,L3285,P$6:P3285,"?*")=1,MAX(AI$5:AI3284)+1,""))</f>
        <v/>
      </c>
    </row>
    <row r="3286">
      <c r="B3286" s="47" t="n"/>
      <c r="C3286" s="48" t="n"/>
      <c r="D3286" s="48" t="n"/>
      <c r="E3286" s="48" t="n"/>
      <c r="F3286" s="48" t="n"/>
      <c r="G3286" s="49" t="n"/>
      <c r="H3286" s="48" t="n"/>
      <c r="I3286" s="50" t="n"/>
      <c r="J3286" s="48" t="n"/>
      <c r="K3286" s="48" t="n"/>
      <c r="L3286" s="48" t="n"/>
      <c r="M3286" s="48" t="n"/>
      <c r="N3286" s="48" t="n"/>
      <c r="O3286" s="51">
        <f>IF(AND(B3286="",G3286="",C3286="",D3286="",J3286=""),"",IF(B3286="","⚠ Falta fecha",IF(G3286="","⚠ Falta monto",IF(Q3286="","⚠ Falta cuenta",IF(ISNA(MATCH(Q3286,ctaNombre,0)),"⚠ Cuenta no registrada",IF(AND(OR(P3286="Gasto",P3286="Reembolso"),D3286=""),"⚠ Falta categoría",IF(AND(D3286&lt;&gt;"",E3286&lt;&gt;"",ISNA(MATCH(D3286&amp;"|"&amp;E3286,catClave,0))),"⚠ Subcategoría no corresponde",IF(AND(OR(P3286="Transferencia",P3286="Pago tarjeta"),K3286=""),"⚠ Falta cuenta destino",IF(AND(K3286&lt;&gt;"",P3286&lt;&gt;"Transferencia",P3286&lt;&gt;"Pago tarjeta"),"⚠ Destino solo aplica a transferencias",IF(AND(K3286&lt;&gt;"",K3286=Q3286),"⚠ Origen igual a destino",IF(AND(K3286&lt;&gt;"",ISNA(MATCH(K3286,ctaNombre,0))),"⚠ Destino no registrado",IF(AND(P3286="Pago tarjeta",AE3286&lt;&gt;"Tarjeta de crédito"),"⚠ El destino debe ser tarjeta de crédito",IF(AND(P3286="Gasto",E3286="Depósitos y retiros"),"⚠ Usa tipo Transferencia",IF(AND(P3286="Resultado trading",AD3286&lt;&gt;"Cuenta de trading"),"⚠ Usa una cuenta de trading",IF(AND(G3286&lt;=0,P3286&lt;&gt;"Ajuste",P3286&lt;&gt;"Resultado trading"),"⚠ El monto debe ser positivo","✓")))))))))))))))</f>
        <v/>
      </c>
      <c r="P3286" s="52">
        <f>IF(OR(B3286="",G3286=""),"",IF(C3286="","Gasto",C3286))</f>
        <v/>
      </c>
      <c r="Q3286" s="52">
        <f>IF(P3286="","",IF(J3286&lt;&gt;"",J3286,CuentaPred&amp;""))</f>
        <v/>
      </c>
      <c r="R3286" s="52">
        <f>IF(P3286="","",IF(ISNUMBER(I3286),I3286,TasaUSD))</f>
        <v/>
      </c>
      <c r="S3286" s="53">
        <f>IF(P3286="","",IF(H3286="USD",G3286*R3286,G3286))</f>
        <v/>
      </c>
      <c r="T3286" s="53">
        <f>IF(P3286="","",IF(H3286="USD",G3286,IF(R3286&gt;0,G3286/R3286,0)))</f>
        <v/>
      </c>
      <c r="U3286" s="53">
        <f>IF(P3286="","",IF(P3286="Gasto",S3286,IF(P3286="Reembolso",-S3286,0)))</f>
        <v/>
      </c>
      <c r="V3286" s="53">
        <f>IF(P3286="","",IF(P3286="Ingreso",S3286,0))</f>
        <v/>
      </c>
      <c r="W3286" s="53">
        <f>IF(P3286="","",IF(P3286="Resultado trading",S3286,0))</f>
        <v/>
      </c>
      <c r="X3286" s="52">
        <f>IF(OR(P3286="Gasto",P3286="Reembolso"),IF(M3286&lt;&gt;"",M3286,IFERROR(INDEX(catClasif,MATCH(D3286&amp;"|"&amp;E3286,catClave,0))&amp;"","Variable")),"")</f>
        <v/>
      </c>
      <c r="Y3286" s="52">
        <f>IF(P3286="","",IFERROR(INDEX(catGrupo,MATCH(D3286&amp;"|"&amp;E3286,catClave,0))&amp;"",""))</f>
        <v/>
      </c>
      <c r="Z3286" s="52">
        <f>IF(P3286="","",WEEKDAY(B3286,2))</f>
        <v/>
      </c>
      <c r="AA3286" s="52">
        <f>IF(P3286="","",IF(AND(P3286="Gasto",X3286="Variable",D3286&lt;&gt;catTrading,S3286&gt;0,S3286&lt;=Umbral),1,0))</f>
        <v/>
      </c>
      <c r="AB3286" s="52">
        <f>IF(OR(P3286="",Q3286=""),"",IFERROR(IF(INDEX(ctaVinc,MATCH(Q3286,ctaNombre,0))&amp;""&lt;&gt;"",INDEX(ctaVinc,MATCH(Q3286,ctaNombre,0))&amp;"",Q3286),Q3286))</f>
        <v/>
      </c>
      <c r="AC3286" s="52">
        <f>IF(OR(K3286="",AND(P3286&lt;&gt;"Transferencia",P3286&lt;&gt;"Pago tarjeta")),"",IFERROR(IF(INDEX(ctaVinc,MATCH(K3286,ctaNombre,0))&amp;""&lt;&gt;"",INDEX(ctaVinc,MATCH(K3286,ctaNombre,0))&amp;"",K3286),K3286))</f>
        <v/>
      </c>
      <c r="AD3286" s="52">
        <f>IF(AB3286="","",IFERROR(INDEX(ctaTipo,MATCH(AB3286,ctaNombre,0))&amp;"",""))</f>
        <v/>
      </c>
      <c r="AE3286" s="52">
        <f>IF(AC3286="","",IFERROR(INDEX(ctaTipo,MATCH(AC3286,ctaNombre,0))&amp;"",""))</f>
        <v/>
      </c>
      <c r="AF3286" s="53">
        <f>IF(OR(P3286="",AB3286=""),"",IF(OR(P3286="Gasto",P3286="Transferencia",P3286="Pago tarjeta"),-1,1)*IF(IFERROR(INDEX(ctaMoneda,MATCH(AB3286,ctaNombre,0))&amp;"","DOP")="USD",T3286,S3286))</f>
        <v/>
      </c>
      <c r="AG3286" s="53">
        <f>IF(AC3286="","",IF(IFERROR(INDEX(ctaMoneda,MATCH(AC3286,ctaNombre,0))&amp;"","DOP")="USD",T3286,S3286))</f>
        <v/>
      </c>
      <c r="AH3286" s="53">
        <f>IF(P3286="","",IF(AND(AD3286&lt;&gt;"",COUNTIFS(tcTipo,AD3286,tcLiq,"Sí")&gt;0),IF(OR(P3286="Gasto",P3286="Transferencia",P3286="Pago tarjeta"),-1,1)*S3286,0)+IF(AND(AE3286&lt;&gt;"",COUNTIFS(tcTipo,AE3286,tcLiq,"Sí")&gt;0),S3286,0))</f>
        <v/>
      </c>
      <c r="AI3286" s="52">
        <f>IF(OR(L3286="",P3286=""),"",IF(COUNTIFS(L$6:L3286,L3286,P$6:P3286,"?*")=1,MAX(AI$5:AI3285)+1,""))</f>
        <v/>
      </c>
    </row>
    <row r="3287">
      <c r="B3287" s="47" t="n"/>
      <c r="C3287" s="48" t="n"/>
      <c r="D3287" s="48" t="n"/>
      <c r="E3287" s="48" t="n"/>
      <c r="F3287" s="48" t="n"/>
      <c r="G3287" s="49" t="n"/>
      <c r="H3287" s="48" t="n"/>
      <c r="I3287" s="50" t="n"/>
      <c r="J3287" s="48" t="n"/>
      <c r="K3287" s="48" t="n"/>
      <c r="L3287" s="48" t="n"/>
      <c r="M3287" s="48" t="n"/>
      <c r="N3287" s="48" t="n"/>
      <c r="O3287" s="51">
        <f>IF(AND(B3287="",G3287="",C3287="",D3287="",J3287=""),"",IF(B3287="","⚠ Falta fecha",IF(G3287="","⚠ Falta monto",IF(Q3287="","⚠ Falta cuenta",IF(ISNA(MATCH(Q3287,ctaNombre,0)),"⚠ Cuenta no registrada",IF(AND(OR(P3287="Gasto",P3287="Reembolso"),D3287=""),"⚠ Falta categoría",IF(AND(D3287&lt;&gt;"",E3287&lt;&gt;"",ISNA(MATCH(D3287&amp;"|"&amp;E3287,catClave,0))),"⚠ Subcategoría no corresponde",IF(AND(OR(P3287="Transferencia",P3287="Pago tarjeta"),K3287=""),"⚠ Falta cuenta destino",IF(AND(K3287&lt;&gt;"",P3287&lt;&gt;"Transferencia",P3287&lt;&gt;"Pago tarjeta"),"⚠ Destino solo aplica a transferencias",IF(AND(K3287&lt;&gt;"",K3287=Q3287),"⚠ Origen igual a destino",IF(AND(K3287&lt;&gt;"",ISNA(MATCH(K3287,ctaNombre,0))),"⚠ Destino no registrado",IF(AND(P3287="Pago tarjeta",AE3287&lt;&gt;"Tarjeta de crédito"),"⚠ El destino debe ser tarjeta de crédito",IF(AND(P3287="Gasto",E3287="Depósitos y retiros"),"⚠ Usa tipo Transferencia",IF(AND(P3287="Resultado trading",AD3287&lt;&gt;"Cuenta de trading"),"⚠ Usa una cuenta de trading",IF(AND(G3287&lt;=0,P3287&lt;&gt;"Ajuste",P3287&lt;&gt;"Resultado trading"),"⚠ El monto debe ser positivo","✓")))))))))))))))</f>
        <v/>
      </c>
      <c r="P3287" s="52">
        <f>IF(OR(B3287="",G3287=""),"",IF(C3287="","Gasto",C3287))</f>
        <v/>
      </c>
      <c r="Q3287" s="52">
        <f>IF(P3287="","",IF(J3287&lt;&gt;"",J3287,CuentaPred&amp;""))</f>
        <v/>
      </c>
      <c r="R3287" s="52">
        <f>IF(P3287="","",IF(ISNUMBER(I3287),I3287,TasaUSD))</f>
        <v/>
      </c>
      <c r="S3287" s="53">
        <f>IF(P3287="","",IF(H3287="USD",G3287*R3287,G3287))</f>
        <v/>
      </c>
      <c r="T3287" s="53">
        <f>IF(P3287="","",IF(H3287="USD",G3287,IF(R3287&gt;0,G3287/R3287,0)))</f>
        <v/>
      </c>
      <c r="U3287" s="53">
        <f>IF(P3287="","",IF(P3287="Gasto",S3287,IF(P3287="Reembolso",-S3287,0)))</f>
        <v/>
      </c>
      <c r="V3287" s="53">
        <f>IF(P3287="","",IF(P3287="Ingreso",S3287,0))</f>
        <v/>
      </c>
      <c r="W3287" s="53">
        <f>IF(P3287="","",IF(P3287="Resultado trading",S3287,0))</f>
        <v/>
      </c>
      <c r="X3287" s="52">
        <f>IF(OR(P3287="Gasto",P3287="Reembolso"),IF(M3287&lt;&gt;"",M3287,IFERROR(INDEX(catClasif,MATCH(D3287&amp;"|"&amp;E3287,catClave,0))&amp;"","Variable")),"")</f>
        <v/>
      </c>
      <c r="Y3287" s="52">
        <f>IF(P3287="","",IFERROR(INDEX(catGrupo,MATCH(D3287&amp;"|"&amp;E3287,catClave,0))&amp;"",""))</f>
        <v/>
      </c>
      <c r="Z3287" s="52">
        <f>IF(P3287="","",WEEKDAY(B3287,2))</f>
        <v/>
      </c>
      <c r="AA3287" s="52">
        <f>IF(P3287="","",IF(AND(P3287="Gasto",X3287="Variable",D3287&lt;&gt;catTrading,S3287&gt;0,S3287&lt;=Umbral),1,0))</f>
        <v/>
      </c>
      <c r="AB3287" s="52">
        <f>IF(OR(P3287="",Q3287=""),"",IFERROR(IF(INDEX(ctaVinc,MATCH(Q3287,ctaNombre,0))&amp;""&lt;&gt;"",INDEX(ctaVinc,MATCH(Q3287,ctaNombre,0))&amp;"",Q3287),Q3287))</f>
        <v/>
      </c>
      <c r="AC3287" s="52">
        <f>IF(OR(K3287="",AND(P3287&lt;&gt;"Transferencia",P3287&lt;&gt;"Pago tarjeta")),"",IFERROR(IF(INDEX(ctaVinc,MATCH(K3287,ctaNombre,0))&amp;""&lt;&gt;"",INDEX(ctaVinc,MATCH(K3287,ctaNombre,0))&amp;"",K3287),K3287))</f>
        <v/>
      </c>
      <c r="AD3287" s="52">
        <f>IF(AB3287="","",IFERROR(INDEX(ctaTipo,MATCH(AB3287,ctaNombre,0))&amp;"",""))</f>
        <v/>
      </c>
      <c r="AE3287" s="52">
        <f>IF(AC3287="","",IFERROR(INDEX(ctaTipo,MATCH(AC3287,ctaNombre,0))&amp;"",""))</f>
        <v/>
      </c>
      <c r="AF3287" s="53">
        <f>IF(OR(P3287="",AB3287=""),"",IF(OR(P3287="Gasto",P3287="Transferencia",P3287="Pago tarjeta"),-1,1)*IF(IFERROR(INDEX(ctaMoneda,MATCH(AB3287,ctaNombre,0))&amp;"","DOP")="USD",T3287,S3287))</f>
        <v/>
      </c>
      <c r="AG3287" s="53">
        <f>IF(AC3287="","",IF(IFERROR(INDEX(ctaMoneda,MATCH(AC3287,ctaNombre,0))&amp;"","DOP")="USD",T3287,S3287))</f>
        <v/>
      </c>
      <c r="AH3287" s="53">
        <f>IF(P3287="","",IF(AND(AD3287&lt;&gt;"",COUNTIFS(tcTipo,AD3287,tcLiq,"Sí")&gt;0),IF(OR(P3287="Gasto",P3287="Transferencia",P3287="Pago tarjeta"),-1,1)*S3287,0)+IF(AND(AE3287&lt;&gt;"",COUNTIFS(tcTipo,AE3287,tcLiq,"Sí")&gt;0),S3287,0))</f>
        <v/>
      </c>
      <c r="AI3287" s="52">
        <f>IF(OR(L3287="",P3287=""),"",IF(COUNTIFS(L$6:L3287,L3287,P$6:P3287,"?*")=1,MAX(AI$5:AI3286)+1,""))</f>
        <v/>
      </c>
    </row>
    <row r="3288">
      <c r="B3288" s="47" t="n"/>
      <c r="C3288" s="48" t="n"/>
      <c r="D3288" s="48" t="n"/>
      <c r="E3288" s="48" t="n"/>
      <c r="F3288" s="48" t="n"/>
      <c r="G3288" s="49" t="n"/>
      <c r="H3288" s="48" t="n"/>
      <c r="I3288" s="50" t="n"/>
      <c r="J3288" s="48" t="n"/>
      <c r="K3288" s="48" t="n"/>
      <c r="L3288" s="48" t="n"/>
      <c r="M3288" s="48" t="n"/>
      <c r="N3288" s="48" t="n"/>
      <c r="O3288" s="51">
        <f>IF(AND(B3288="",G3288="",C3288="",D3288="",J3288=""),"",IF(B3288="","⚠ Falta fecha",IF(G3288="","⚠ Falta monto",IF(Q3288="","⚠ Falta cuenta",IF(ISNA(MATCH(Q3288,ctaNombre,0)),"⚠ Cuenta no registrada",IF(AND(OR(P3288="Gasto",P3288="Reembolso"),D3288=""),"⚠ Falta categoría",IF(AND(D3288&lt;&gt;"",E3288&lt;&gt;"",ISNA(MATCH(D3288&amp;"|"&amp;E3288,catClave,0))),"⚠ Subcategoría no corresponde",IF(AND(OR(P3288="Transferencia",P3288="Pago tarjeta"),K3288=""),"⚠ Falta cuenta destino",IF(AND(K3288&lt;&gt;"",P3288&lt;&gt;"Transferencia",P3288&lt;&gt;"Pago tarjeta"),"⚠ Destino solo aplica a transferencias",IF(AND(K3288&lt;&gt;"",K3288=Q3288),"⚠ Origen igual a destino",IF(AND(K3288&lt;&gt;"",ISNA(MATCH(K3288,ctaNombre,0))),"⚠ Destino no registrado",IF(AND(P3288="Pago tarjeta",AE3288&lt;&gt;"Tarjeta de crédito"),"⚠ El destino debe ser tarjeta de crédito",IF(AND(P3288="Gasto",E3288="Depósitos y retiros"),"⚠ Usa tipo Transferencia",IF(AND(P3288="Resultado trading",AD3288&lt;&gt;"Cuenta de trading"),"⚠ Usa una cuenta de trading",IF(AND(G3288&lt;=0,P3288&lt;&gt;"Ajuste",P3288&lt;&gt;"Resultado trading"),"⚠ El monto debe ser positivo","✓")))))))))))))))</f>
        <v/>
      </c>
      <c r="P3288" s="52">
        <f>IF(OR(B3288="",G3288=""),"",IF(C3288="","Gasto",C3288))</f>
        <v/>
      </c>
      <c r="Q3288" s="52">
        <f>IF(P3288="","",IF(J3288&lt;&gt;"",J3288,CuentaPred&amp;""))</f>
        <v/>
      </c>
      <c r="R3288" s="52">
        <f>IF(P3288="","",IF(ISNUMBER(I3288),I3288,TasaUSD))</f>
        <v/>
      </c>
      <c r="S3288" s="53">
        <f>IF(P3288="","",IF(H3288="USD",G3288*R3288,G3288))</f>
        <v/>
      </c>
      <c r="T3288" s="53">
        <f>IF(P3288="","",IF(H3288="USD",G3288,IF(R3288&gt;0,G3288/R3288,0)))</f>
        <v/>
      </c>
      <c r="U3288" s="53">
        <f>IF(P3288="","",IF(P3288="Gasto",S3288,IF(P3288="Reembolso",-S3288,0)))</f>
        <v/>
      </c>
      <c r="V3288" s="53">
        <f>IF(P3288="","",IF(P3288="Ingreso",S3288,0))</f>
        <v/>
      </c>
      <c r="W3288" s="53">
        <f>IF(P3288="","",IF(P3288="Resultado trading",S3288,0))</f>
        <v/>
      </c>
      <c r="X3288" s="52">
        <f>IF(OR(P3288="Gasto",P3288="Reembolso"),IF(M3288&lt;&gt;"",M3288,IFERROR(INDEX(catClasif,MATCH(D3288&amp;"|"&amp;E3288,catClave,0))&amp;"","Variable")),"")</f>
        <v/>
      </c>
      <c r="Y3288" s="52">
        <f>IF(P3288="","",IFERROR(INDEX(catGrupo,MATCH(D3288&amp;"|"&amp;E3288,catClave,0))&amp;"",""))</f>
        <v/>
      </c>
      <c r="Z3288" s="52">
        <f>IF(P3288="","",WEEKDAY(B3288,2))</f>
        <v/>
      </c>
      <c r="AA3288" s="52">
        <f>IF(P3288="","",IF(AND(P3288="Gasto",X3288="Variable",D3288&lt;&gt;catTrading,S3288&gt;0,S3288&lt;=Umbral),1,0))</f>
        <v/>
      </c>
      <c r="AB3288" s="52">
        <f>IF(OR(P3288="",Q3288=""),"",IFERROR(IF(INDEX(ctaVinc,MATCH(Q3288,ctaNombre,0))&amp;""&lt;&gt;"",INDEX(ctaVinc,MATCH(Q3288,ctaNombre,0))&amp;"",Q3288),Q3288))</f>
        <v/>
      </c>
      <c r="AC3288" s="52">
        <f>IF(OR(K3288="",AND(P3288&lt;&gt;"Transferencia",P3288&lt;&gt;"Pago tarjeta")),"",IFERROR(IF(INDEX(ctaVinc,MATCH(K3288,ctaNombre,0))&amp;""&lt;&gt;"",INDEX(ctaVinc,MATCH(K3288,ctaNombre,0))&amp;"",K3288),K3288))</f>
        <v/>
      </c>
      <c r="AD3288" s="52">
        <f>IF(AB3288="","",IFERROR(INDEX(ctaTipo,MATCH(AB3288,ctaNombre,0))&amp;"",""))</f>
        <v/>
      </c>
      <c r="AE3288" s="52">
        <f>IF(AC3288="","",IFERROR(INDEX(ctaTipo,MATCH(AC3288,ctaNombre,0))&amp;"",""))</f>
        <v/>
      </c>
      <c r="AF3288" s="53">
        <f>IF(OR(P3288="",AB3288=""),"",IF(OR(P3288="Gasto",P3288="Transferencia",P3288="Pago tarjeta"),-1,1)*IF(IFERROR(INDEX(ctaMoneda,MATCH(AB3288,ctaNombre,0))&amp;"","DOP")="USD",T3288,S3288))</f>
        <v/>
      </c>
      <c r="AG3288" s="53">
        <f>IF(AC3288="","",IF(IFERROR(INDEX(ctaMoneda,MATCH(AC3288,ctaNombre,0))&amp;"","DOP")="USD",T3288,S3288))</f>
        <v/>
      </c>
      <c r="AH3288" s="53">
        <f>IF(P3288="","",IF(AND(AD3288&lt;&gt;"",COUNTIFS(tcTipo,AD3288,tcLiq,"Sí")&gt;0),IF(OR(P3288="Gasto",P3288="Transferencia",P3288="Pago tarjeta"),-1,1)*S3288,0)+IF(AND(AE3288&lt;&gt;"",COUNTIFS(tcTipo,AE3288,tcLiq,"Sí")&gt;0),S3288,0))</f>
        <v/>
      </c>
      <c r="AI3288" s="52">
        <f>IF(OR(L3288="",P3288=""),"",IF(COUNTIFS(L$6:L3288,L3288,P$6:P3288,"?*")=1,MAX(AI$5:AI3287)+1,""))</f>
        <v/>
      </c>
    </row>
    <row r="3289">
      <c r="B3289" s="47" t="n"/>
      <c r="C3289" s="48" t="n"/>
      <c r="D3289" s="48" t="n"/>
      <c r="E3289" s="48" t="n"/>
      <c r="F3289" s="48" t="n"/>
      <c r="G3289" s="49" t="n"/>
      <c r="H3289" s="48" t="n"/>
      <c r="I3289" s="50" t="n"/>
      <c r="J3289" s="48" t="n"/>
      <c r="K3289" s="48" t="n"/>
      <c r="L3289" s="48" t="n"/>
      <c r="M3289" s="48" t="n"/>
      <c r="N3289" s="48" t="n"/>
      <c r="O3289" s="51">
        <f>IF(AND(B3289="",G3289="",C3289="",D3289="",J3289=""),"",IF(B3289="","⚠ Falta fecha",IF(G3289="","⚠ Falta monto",IF(Q3289="","⚠ Falta cuenta",IF(ISNA(MATCH(Q3289,ctaNombre,0)),"⚠ Cuenta no registrada",IF(AND(OR(P3289="Gasto",P3289="Reembolso"),D3289=""),"⚠ Falta categoría",IF(AND(D3289&lt;&gt;"",E3289&lt;&gt;"",ISNA(MATCH(D3289&amp;"|"&amp;E3289,catClave,0))),"⚠ Subcategoría no corresponde",IF(AND(OR(P3289="Transferencia",P3289="Pago tarjeta"),K3289=""),"⚠ Falta cuenta destino",IF(AND(K3289&lt;&gt;"",P3289&lt;&gt;"Transferencia",P3289&lt;&gt;"Pago tarjeta"),"⚠ Destino solo aplica a transferencias",IF(AND(K3289&lt;&gt;"",K3289=Q3289),"⚠ Origen igual a destino",IF(AND(K3289&lt;&gt;"",ISNA(MATCH(K3289,ctaNombre,0))),"⚠ Destino no registrado",IF(AND(P3289="Pago tarjeta",AE3289&lt;&gt;"Tarjeta de crédito"),"⚠ El destino debe ser tarjeta de crédito",IF(AND(P3289="Gasto",E3289="Depósitos y retiros"),"⚠ Usa tipo Transferencia",IF(AND(P3289="Resultado trading",AD3289&lt;&gt;"Cuenta de trading"),"⚠ Usa una cuenta de trading",IF(AND(G3289&lt;=0,P3289&lt;&gt;"Ajuste",P3289&lt;&gt;"Resultado trading"),"⚠ El monto debe ser positivo","✓")))))))))))))))</f>
        <v/>
      </c>
      <c r="P3289" s="52">
        <f>IF(OR(B3289="",G3289=""),"",IF(C3289="","Gasto",C3289))</f>
        <v/>
      </c>
      <c r="Q3289" s="52">
        <f>IF(P3289="","",IF(J3289&lt;&gt;"",J3289,CuentaPred&amp;""))</f>
        <v/>
      </c>
      <c r="R3289" s="52">
        <f>IF(P3289="","",IF(ISNUMBER(I3289),I3289,TasaUSD))</f>
        <v/>
      </c>
      <c r="S3289" s="53">
        <f>IF(P3289="","",IF(H3289="USD",G3289*R3289,G3289))</f>
        <v/>
      </c>
      <c r="T3289" s="53">
        <f>IF(P3289="","",IF(H3289="USD",G3289,IF(R3289&gt;0,G3289/R3289,0)))</f>
        <v/>
      </c>
      <c r="U3289" s="53">
        <f>IF(P3289="","",IF(P3289="Gasto",S3289,IF(P3289="Reembolso",-S3289,0)))</f>
        <v/>
      </c>
      <c r="V3289" s="53">
        <f>IF(P3289="","",IF(P3289="Ingreso",S3289,0))</f>
        <v/>
      </c>
      <c r="W3289" s="53">
        <f>IF(P3289="","",IF(P3289="Resultado trading",S3289,0))</f>
        <v/>
      </c>
      <c r="X3289" s="52">
        <f>IF(OR(P3289="Gasto",P3289="Reembolso"),IF(M3289&lt;&gt;"",M3289,IFERROR(INDEX(catClasif,MATCH(D3289&amp;"|"&amp;E3289,catClave,0))&amp;"","Variable")),"")</f>
        <v/>
      </c>
      <c r="Y3289" s="52">
        <f>IF(P3289="","",IFERROR(INDEX(catGrupo,MATCH(D3289&amp;"|"&amp;E3289,catClave,0))&amp;"",""))</f>
        <v/>
      </c>
      <c r="Z3289" s="52">
        <f>IF(P3289="","",WEEKDAY(B3289,2))</f>
        <v/>
      </c>
      <c r="AA3289" s="52">
        <f>IF(P3289="","",IF(AND(P3289="Gasto",X3289="Variable",D3289&lt;&gt;catTrading,S3289&gt;0,S3289&lt;=Umbral),1,0))</f>
        <v/>
      </c>
      <c r="AB3289" s="52">
        <f>IF(OR(P3289="",Q3289=""),"",IFERROR(IF(INDEX(ctaVinc,MATCH(Q3289,ctaNombre,0))&amp;""&lt;&gt;"",INDEX(ctaVinc,MATCH(Q3289,ctaNombre,0))&amp;"",Q3289),Q3289))</f>
        <v/>
      </c>
      <c r="AC3289" s="52">
        <f>IF(OR(K3289="",AND(P3289&lt;&gt;"Transferencia",P3289&lt;&gt;"Pago tarjeta")),"",IFERROR(IF(INDEX(ctaVinc,MATCH(K3289,ctaNombre,0))&amp;""&lt;&gt;"",INDEX(ctaVinc,MATCH(K3289,ctaNombre,0))&amp;"",K3289),K3289))</f>
        <v/>
      </c>
      <c r="AD3289" s="52">
        <f>IF(AB3289="","",IFERROR(INDEX(ctaTipo,MATCH(AB3289,ctaNombre,0))&amp;"",""))</f>
        <v/>
      </c>
      <c r="AE3289" s="52">
        <f>IF(AC3289="","",IFERROR(INDEX(ctaTipo,MATCH(AC3289,ctaNombre,0))&amp;"",""))</f>
        <v/>
      </c>
      <c r="AF3289" s="53">
        <f>IF(OR(P3289="",AB3289=""),"",IF(OR(P3289="Gasto",P3289="Transferencia",P3289="Pago tarjeta"),-1,1)*IF(IFERROR(INDEX(ctaMoneda,MATCH(AB3289,ctaNombre,0))&amp;"","DOP")="USD",T3289,S3289))</f>
        <v/>
      </c>
      <c r="AG3289" s="53">
        <f>IF(AC3289="","",IF(IFERROR(INDEX(ctaMoneda,MATCH(AC3289,ctaNombre,0))&amp;"","DOP")="USD",T3289,S3289))</f>
        <v/>
      </c>
      <c r="AH3289" s="53">
        <f>IF(P3289="","",IF(AND(AD3289&lt;&gt;"",COUNTIFS(tcTipo,AD3289,tcLiq,"Sí")&gt;0),IF(OR(P3289="Gasto",P3289="Transferencia",P3289="Pago tarjeta"),-1,1)*S3289,0)+IF(AND(AE3289&lt;&gt;"",COUNTIFS(tcTipo,AE3289,tcLiq,"Sí")&gt;0),S3289,0))</f>
        <v/>
      </c>
      <c r="AI3289" s="52">
        <f>IF(OR(L3289="",P3289=""),"",IF(COUNTIFS(L$6:L3289,L3289,P$6:P3289,"?*")=1,MAX(AI$5:AI3288)+1,""))</f>
        <v/>
      </c>
    </row>
    <row r="3290">
      <c r="B3290" s="47" t="n"/>
      <c r="C3290" s="48" t="n"/>
      <c r="D3290" s="48" t="n"/>
      <c r="E3290" s="48" t="n"/>
      <c r="F3290" s="48" t="n"/>
      <c r="G3290" s="49" t="n"/>
      <c r="H3290" s="48" t="n"/>
      <c r="I3290" s="50" t="n"/>
      <c r="J3290" s="48" t="n"/>
      <c r="K3290" s="48" t="n"/>
      <c r="L3290" s="48" t="n"/>
      <c r="M3290" s="48" t="n"/>
      <c r="N3290" s="48" t="n"/>
      <c r="O3290" s="51">
        <f>IF(AND(B3290="",G3290="",C3290="",D3290="",J3290=""),"",IF(B3290="","⚠ Falta fecha",IF(G3290="","⚠ Falta monto",IF(Q3290="","⚠ Falta cuenta",IF(ISNA(MATCH(Q3290,ctaNombre,0)),"⚠ Cuenta no registrada",IF(AND(OR(P3290="Gasto",P3290="Reembolso"),D3290=""),"⚠ Falta categoría",IF(AND(D3290&lt;&gt;"",E3290&lt;&gt;"",ISNA(MATCH(D3290&amp;"|"&amp;E3290,catClave,0))),"⚠ Subcategoría no corresponde",IF(AND(OR(P3290="Transferencia",P3290="Pago tarjeta"),K3290=""),"⚠ Falta cuenta destino",IF(AND(K3290&lt;&gt;"",P3290&lt;&gt;"Transferencia",P3290&lt;&gt;"Pago tarjeta"),"⚠ Destino solo aplica a transferencias",IF(AND(K3290&lt;&gt;"",K3290=Q3290),"⚠ Origen igual a destino",IF(AND(K3290&lt;&gt;"",ISNA(MATCH(K3290,ctaNombre,0))),"⚠ Destino no registrado",IF(AND(P3290="Pago tarjeta",AE3290&lt;&gt;"Tarjeta de crédito"),"⚠ El destino debe ser tarjeta de crédito",IF(AND(P3290="Gasto",E3290="Depósitos y retiros"),"⚠ Usa tipo Transferencia",IF(AND(P3290="Resultado trading",AD3290&lt;&gt;"Cuenta de trading"),"⚠ Usa una cuenta de trading",IF(AND(G3290&lt;=0,P3290&lt;&gt;"Ajuste",P3290&lt;&gt;"Resultado trading"),"⚠ El monto debe ser positivo","✓")))))))))))))))</f>
        <v/>
      </c>
      <c r="P3290" s="52">
        <f>IF(OR(B3290="",G3290=""),"",IF(C3290="","Gasto",C3290))</f>
        <v/>
      </c>
      <c r="Q3290" s="52">
        <f>IF(P3290="","",IF(J3290&lt;&gt;"",J3290,CuentaPred&amp;""))</f>
        <v/>
      </c>
      <c r="R3290" s="52">
        <f>IF(P3290="","",IF(ISNUMBER(I3290),I3290,TasaUSD))</f>
        <v/>
      </c>
      <c r="S3290" s="53">
        <f>IF(P3290="","",IF(H3290="USD",G3290*R3290,G3290))</f>
        <v/>
      </c>
      <c r="T3290" s="53">
        <f>IF(P3290="","",IF(H3290="USD",G3290,IF(R3290&gt;0,G3290/R3290,0)))</f>
        <v/>
      </c>
      <c r="U3290" s="53">
        <f>IF(P3290="","",IF(P3290="Gasto",S3290,IF(P3290="Reembolso",-S3290,0)))</f>
        <v/>
      </c>
      <c r="V3290" s="53">
        <f>IF(P3290="","",IF(P3290="Ingreso",S3290,0))</f>
        <v/>
      </c>
      <c r="W3290" s="53">
        <f>IF(P3290="","",IF(P3290="Resultado trading",S3290,0))</f>
        <v/>
      </c>
      <c r="X3290" s="52">
        <f>IF(OR(P3290="Gasto",P3290="Reembolso"),IF(M3290&lt;&gt;"",M3290,IFERROR(INDEX(catClasif,MATCH(D3290&amp;"|"&amp;E3290,catClave,0))&amp;"","Variable")),"")</f>
        <v/>
      </c>
      <c r="Y3290" s="52">
        <f>IF(P3290="","",IFERROR(INDEX(catGrupo,MATCH(D3290&amp;"|"&amp;E3290,catClave,0))&amp;"",""))</f>
        <v/>
      </c>
      <c r="Z3290" s="52">
        <f>IF(P3290="","",WEEKDAY(B3290,2))</f>
        <v/>
      </c>
      <c r="AA3290" s="52">
        <f>IF(P3290="","",IF(AND(P3290="Gasto",X3290="Variable",D3290&lt;&gt;catTrading,S3290&gt;0,S3290&lt;=Umbral),1,0))</f>
        <v/>
      </c>
      <c r="AB3290" s="52">
        <f>IF(OR(P3290="",Q3290=""),"",IFERROR(IF(INDEX(ctaVinc,MATCH(Q3290,ctaNombre,0))&amp;""&lt;&gt;"",INDEX(ctaVinc,MATCH(Q3290,ctaNombre,0))&amp;"",Q3290),Q3290))</f>
        <v/>
      </c>
      <c r="AC3290" s="52">
        <f>IF(OR(K3290="",AND(P3290&lt;&gt;"Transferencia",P3290&lt;&gt;"Pago tarjeta")),"",IFERROR(IF(INDEX(ctaVinc,MATCH(K3290,ctaNombre,0))&amp;""&lt;&gt;"",INDEX(ctaVinc,MATCH(K3290,ctaNombre,0))&amp;"",K3290),K3290))</f>
        <v/>
      </c>
      <c r="AD3290" s="52">
        <f>IF(AB3290="","",IFERROR(INDEX(ctaTipo,MATCH(AB3290,ctaNombre,0))&amp;"",""))</f>
        <v/>
      </c>
      <c r="AE3290" s="52">
        <f>IF(AC3290="","",IFERROR(INDEX(ctaTipo,MATCH(AC3290,ctaNombre,0))&amp;"",""))</f>
        <v/>
      </c>
      <c r="AF3290" s="53">
        <f>IF(OR(P3290="",AB3290=""),"",IF(OR(P3290="Gasto",P3290="Transferencia",P3290="Pago tarjeta"),-1,1)*IF(IFERROR(INDEX(ctaMoneda,MATCH(AB3290,ctaNombre,0))&amp;"","DOP")="USD",T3290,S3290))</f>
        <v/>
      </c>
      <c r="AG3290" s="53">
        <f>IF(AC3290="","",IF(IFERROR(INDEX(ctaMoneda,MATCH(AC3290,ctaNombre,0))&amp;"","DOP")="USD",T3290,S3290))</f>
        <v/>
      </c>
      <c r="AH3290" s="53">
        <f>IF(P3290="","",IF(AND(AD3290&lt;&gt;"",COUNTIFS(tcTipo,AD3290,tcLiq,"Sí")&gt;0),IF(OR(P3290="Gasto",P3290="Transferencia",P3290="Pago tarjeta"),-1,1)*S3290,0)+IF(AND(AE3290&lt;&gt;"",COUNTIFS(tcTipo,AE3290,tcLiq,"Sí")&gt;0),S3290,0))</f>
        <v/>
      </c>
      <c r="AI3290" s="52">
        <f>IF(OR(L3290="",P3290=""),"",IF(COUNTIFS(L$6:L3290,L3290,P$6:P3290,"?*")=1,MAX(AI$5:AI3289)+1,""))</f>
        <v/>
      </c>
    </row>
    <row r="3291">
      <c r="B3291" s="47" t="n"/>
      <c r="C3291" s="48" t="n"/>
      <c r="D3291" s="48" t="n"/>
      <c r="E3291" s="48" t="n"/>
      <c r="F3291" s="48" t="n"/>
      <c r="G3291" s="49" t="n"/>
      <c r="H3291" s="48" t="n"/>
      <c r="I3291" s="50" t="n"/>
      <c r="J3291" s="48" t="n"/>
      <c r="K3291" s="48" t="n"/>
      <c r="L3291" s="48" t="n"/>
      <c r="M3291" s="48" t="n"/>
      <c r="N3291" s="48" t="n"/>
      <c r="O3291" s="51">
        <f>IF(AND(B3291="",G3291="",C3291="",D3291="",J3291=""),"",IF(B3291="","⚠ Falta fecha",IF(G3291="","⚠ Falta monto",IF(Q3291="","⚠ Falta cuenta",IF(ISNA(MATCH(Q3291,ctaNombre,0)),"⚠ Cuenta no registrada",IF(AND(OR(P3291="Gasto",P3291="Reembolso"),D3291=""),"⚠ Falta categoría",IF(AND(D3291&lt;&gt;"",E3291&lt;&gt;"",ISNA(MATCH(D3291&amp;"|"&amp;E3291,catClave,0))),"⚠ Subcategoría no corresponde",IF(AND(OR(P3291="Transferencia",P3291="Pago tarjeta"),K3291=""),"⚠ Falta cuenta destino",IF(AND(K3291&lt;&gt;"",P3291&lt;&gt;"Transferencia",P3291&lt;&gt;"Pago tarjeta"),"⚠ Destino solo aplica a transferencias",IF(AND(K3291&lt;&gt;"",K3291=Q3291),"⚠ Origen igual a destino",IF(AND(K3291&lt;&gt;"",ISNA(MATCH(K3291,ctaNombre,0))),"⚠ Destino no registrado",IF(AND(P3291="Pago tarjeta",AE3291&lt;&gt;"Tarjeta de crédito"),"⚠ El destino debe ser tarjeta de crédito",IF(AND(P3291="Gasto",E3291="Depósitos y retiros"),"⚠ Usa tipo Transferencia",IF(AND(P3291="Resultado trading",AD3291&lt;&gt;"Cuenta de trading"),"⚠ Usa una cuenta de trading",IF(AND(G3291&lt;=0,P3291&lt;&gt;"Ajuste",P3291&lt;&gt;"Resultado trading"),"⚠ El monto debe ser positivo","✓")))))))))))))))</f>
        <v/>
      </c>
      <c r="P3291" s="52">
        <f>IF(OR(B3291="",G3291=""),"",IF(C3291="","Gasto",C3291))</f>
        <v/>
      </c>
      <c r="Q3291" s="52">
        <f>IF(P3291="","",IF(J3291&lt;&gt;"",J3291,CuentaPred&amp;""))</f>
        <v/>
      </c>
      <c r="R3291" s="52">
        <f>IF(P3291="","",IF(ISNUMBER(I3291),I3291,TasaUSD))</f>
        <v/>
      </c>
      <c r="S3291" s="53">
        <f>IF(P3291="","",IF(H3291="USD",G3291*R3291,G3291))</f>
        <v/>
      </c>
      <c r="T3291" s="53">
        <f>IF(P3291="","",IF(H3291="USD",G3291,IF(R3291&gt;0,G3291/R3291,0)))</f>
        <v/>
      </c>
      <c r="U3291" s="53">
        <f>IF(P3291="","",IF(P3291="Gasto",S3291,IF(P3291="Reembolso",-S3291,0)))</f>
        <v/>
      </c>
      <c r="V3291" s="53">
        <f>IF(P3291="","",IF(P3291="Ingreso",S3291,0))</f>
        <v/>
      </c>
      <c r="W3291" s="53">
        <f>IF(P3291="","",IF(P3291="Resultado trading",S3291,0))</f>
        <v/>
      </c>
      <c r="X3291" s="52">
        <f>IF(OR(P3291="Gasto",P3291="Reembolso"),IF(M3291&lt;&gt;"",M3291,IFERROR(INDEX(catClasif,MATCH(D3291&amp;"|"&amp;E3291,catClave,0))&amp;"","Variable")),"")</f>
        <v/>
      </c>
      <c r="Y3291" s="52">
        <f>IF(P3291="","",IFERROR(INDEX(catGrupo,MATCH(D3291&amp;"|"&amp;E3291,catClave,0))&amp;"",""))</f>
        <v/>
      </c>
      <c r="Z3291" s="52">
        <f>IF(P3291="","",WEEKDAY(B3291,2))</f>
        <v/>
      </c>
      <c r="AA3291" s="52">
        <f>IF(P3291="","",IF(AND(P3291="Gasto",X3291="Variable",D3291&lt;&gt;catTrading,S3291&gt;0,S3291&lt;=Umbral),1,0))</f>
        <v/>
      </c>
      <c r="AB3291" s="52">
        <f>IF(OR(P3291="",Q3291=""),"",IFERROR(IF(INDEX(ctaVinc,MATCH(Q3291,ctaNombre,0))&amp;""&lt;&gt;"",INDEX(ctaVinc,MATCH(Q3291,ctaNombre,0))&amp;"",Q3291),Q3291))</f>
        <v/>
      </c>
      <c r="AC3291" s="52">
        <f>IF(OR(K3291="",AND(P3291&lt;&gt;"Transferencia",P3291&lt;&gt;"Pago tarjeta")),"",IFERROR(IF(INDEX(ctaVinc,MATCH(K3291,ctaNombre,0))&amp;""&lt;&gt;"",INDEX(ctaVinc,MATCH(K3291,ctaNombre,0))&amp;"",K3291),K3291))</f>
        <v/>
      </c>
      <c r="AD3291" s="52">
        <f>IF(AB3291="","",IFERROR(INDEX(ctaTipo,MATCH(AB3291,ctaNombre,0))&amp;"",""))</f>
        <v/>
      </c>
      <c r="AE3291" s="52">
        <f>IF(AC3291="","",IFERROR(INDEX(ctaTipo,MATCH(AC3291,ctaNombre,0))&amp;"",""))</f>
        <v/>
      </c>
      <c r="AF3291" s="53">
        <f>IF(OR(P3291="",AB3291=""),"",IF(OR(P3291="Gasto",P3291="Transferencia",P3291="Pago tarjeta"),-1,1)*IF(IFERROR(INDEX(ctaMoneda,MATCH(AB3291,ctaNombre,0))&amp;"","DOP")="USD",T3291,S3291))</f>
        <v/>
      </c>
      <c r="AG3291" s="53">
        <f>IF(AC3291="","",IF(IFERROR(INDEX(ctaMoneda,MATCH(AC3291,ctaNombre,0))&amp;"","DOP")="USD",T3291,S3291))</f>
        <v/>
      </c>
      <c r="AH3291" s="53">
        <f>IF(P3291="","",IF(AND(AD3291&lt;&gt;"",COUNTIFS(tcTipo,AD3291,tcLiq,"Sí")&gt;0),IF(OR(P3291="Gasto",P3291="Transferencia",P3291="Pago tarjeta"),-1,1)*S3291,0)+IF(AND(AE3291&lt;&gt;"",COUNTIFS(tcTipo,AE3291,tcLiq,"Sí")&gt;0),S3291,0))</f>
        <v/>
      </c>
      <c r="AI3291" s="52">
        <f>IF(OR(L3291="",P3291=""),"",IF(COUNTIFS(L$6:L3291,L3291,P$6:P3291,"?*")=1,MAX(AI$5:AI3290)+1,""))</f>
        <v/>
      </c>
    </row>
    <row r="3292">
      <c r="B3292" s="47" t="n"/>
      <c r="C3292" s="48" t="n"/>
      <c r="D3292" s="48" t="n"/>
      <c r="E3292" s="48" t="n"/>
      <c r="F3292" s="48" t="n"/>
      <c r="G3292" s="49" t="n"/>
      <c r="H3292" s="48" t="n"/>
      <c r="I3292" s="50" t="n"/>
      <c r="J3292" s="48" t="n"/>
      <c r="K3292" s="48" t="n"/>
      <c r="L3292" s="48" t="n"/>
      <c r="M3292" s="48" t="n"/>
      <c r="N3292" s="48" t="n"/>
      <c r="O3292" s="51">
        <f>IF(AND(B3292="",G3292="",C3292="",D3292="",J3292=""),"",IF(B3292="","⚠ Falta fecha",IF(G3292="","⚠ Falta monto",IF(Q3292="","⚠ Falta cuenta",IF(ISNA(MATCH(Q3292,ctaNombre,0)),"⚠ Cuenta no registrada",IF(AND(OR(P3292="Gasto",P3292="Reembolso"),D3292=""),"⚠ Falta categoría",IF(AND(D3292&lt;&gt;"",E3292&lt;&gt;"",ISNA(MATCH(D3292&amp;"|"&amp;E3292,catClave,0))),"⚠ Subcategoría no corresponde",IF(AND(OR(P3292="Transferencia",P3292="Pago tarjeta"),K3292=""),"⚠ Falta cuenta destino",IF(AND(K3292&lt;&gt;"",P3292&lt;&gt;"Transferencia",P3292&lt;&gt;"Pago tarjeta"),"⚠ Destino solo aplica a transferencias",IF(AND(K3292&lt;&gt;"",K3292=Q3292),"⚠ Origen igual a destino",IF(AND(K3292&lt;&gt;"",ISNA(MATCH(K3292,ctaNombre,0))),"⚠ Destino no registrado",IF(AND(P3292="Pago tarjeta",AE3292&lt;&gt;"Tarjeta de crédito"),"⚠ El destino debe ser tarjeta de crédito",IF(AND(P3292="Gasto",E3292="Depósitos y retiros"),"⚠ Usa tipo Transferencia",IF(AND(P3292="Resultado trading",AD3292&lt;&gt;"Cuenta de trading"),"⚠ Usa una cuenta de trading",IF(AND(G3292&lt;=0,P3292&lt;&gt;"Ajuste",P3292&lt;&gt;"Resultado trading"),"⚠ El monto debe ser positivo","✓")))))))))))))))</f>
        <v/>
      </c>
      <c r="P3292" s="52">
        <f>IF(OR(B3292="",G3292=""),"",IF(C3292="","Gasto",C3292))</f>
        <v/>
      </c>
      <c r="Q3292" s="52">
        <f>IF(P3292="","",IF(J3292&lt;&gt;"",J3292,CuentaPred&amp;""))</f>
        <v/>
      </c>
      <c r="R3292" s="52">
        <f>IF(P3292="","",IF(ISNUMBER(I3292),I3292,TasaUSD))</f>
        <v/>
      </c>
      <c r="S3292" s="53">
        <f>IF(P3292="","",IF(H3292="USD",G3292*R3292,G3292))</f>
        <v/>
      </c>
      <c r="T3292" s="53">
        <f>IF(P3292="","",IF(H3292="USD",G3292,IF(R3292&gt;0,G3292/R3292,0)))</f>
        <v/>
      </c>
      <c r="U3292" s="53">
        <f>IF(P3292="","",IF(P3292="Gasto",S3292,IF(P3292="Reembolso",-S3292,0)))</f>
        <v/>
      </c>
      <c r="V3292" s="53">
        <f>IF(P3292="","",IF(P3292="Ingreso",S3292,0))</f>
        <v/>
      </c>
      <c r="W3292" s="53">
        <f>IF(P3292="","",IF(P3292="Resultado trading",S3292,0))</f>
        <v/>
      </c>
      <c r="X3292" s="52">
        <f>IF(OR(P3292="Gasto",P3292="Reembolso"),IF(M3292&lt;&gt;"",M3292,IFERROR(INDEX(catClasif,MATCH(D3292&amp;"|"&amp;E3292,catClave,0))&amp;"","Variable")),"")</f>
        <v/>
      </c>
      <c r="Y3292" s="52">
        <f>IF(P3292="","",IFERROR(INDEX(catGrupo,MATCH(D3292&amp;"|"&amp;E3292,catClave,0))&amp;"",""))</f>
        <v/>
      </c>
      <c r="Z3292" s="52">
        <f>IF(P3292="","",WEEKDAY(B3292,2))</f>
        <v/>
      </c>
      <c r="AA3292" s="52">
        <f>IF(P3292="","",IF(AND(P3292="Gasto",X3292="Variable",D3292&lt;&gt;catTrading,S3292&gt;0,S3292&lt;=Umbral),1,0))</f>
        <v/>
      </c>
      <c r="AB3292" s="52">
        <f>IF(OR(P3292="",Q3292=""),"",IFERROR(IF(INDEX(ctaVinc,MATCH(Q3292,ctaNombre,0))&amp;""&lt;&gt;"",INDEX(ctaVinc,MATCH(Q3292,ctaNombre,0))&amp;"",Q3292),Q3292))</f>
        <v/>
      </c>
      <c r="AC3292" s="52">
        <f>IF(OR(K3292="",AND(P3292&lt;&gt;"Transferencia",P3292&lt;&gt;"Pago tarjeta")),"",IFERROR(IF(INDEX(ctaVinc,MATCH(K3292,ctaNombre,0))&amp;""&lt;&gt;"",INDEX(ctaVinc,MATCH(K3292,ctaNombre,0))&amp;"",K3292),K3292))</f>
        <v/>
      </c>
      <c r="AD3292" s="52">
        <f>IF(AB3292="","",IFERROR(INDEX(ctaTipo,MATCH(AB3292,ctaNombre,0))&amp;"",""))</f>
        <v/>
      </c>
      <c r="AE3292" s="52">
        <f>IF(AC3292="","",IFERROR(INDEX(ctaTipo,MATCH(AC3292,ctaNombre,0))&amp;"",""))</f>
        <v/>
      </c>
      <c r="AF3292" s="53">
        <f>IF(OR(P3292="",AB3292=""),"",IF(OR(P3292="Gasto",P3292="Transferencia",P3292="Pago tarjeta"),-1,1)*IF(IFERROR(INDEX(ctaMoneda,MATCH(AB3292,ctaNombre,0))&amp;"","DOP")="USD",T3292,S3292))</f>
        <v/>
      </c>
      <c r="AG3292" s="53">
        <f>IF(AC3292="","",IF(IFERROR(INDEX(ctaMoneda,MATCH(AC3292,ctaNombre,0))&amp;"","DOP")="USD",T3292,S3292))</f>
        <v/>
      </c>
      <c r="AH3292" s="53">
        <f>IF(P3292="","",IF(AND(AD3292&lt;&gt;"",COUNTIFS(tcTipo,AD3292,tcLiq,"Sí")&gt;0),IF(OR(P3292="Gasto",P3292="Transferencia",P3292="Pago tarjeta"),-1,1)*S3292,0)+IF(AND(AE3292&lt;&gt;"",COUNTIFS(tcTipo,AE3292,tcLiq,"Sí")&gt;0),S3292,0))</f>
        <v/>
      </c>
      <c r="AI3292" s="52">
        <f>IF(OR(L3292="",P3292=""),"",IF(COUNTIFS(L$6:L3292,L3292,P$6:P3292,"?*")=1,MAX(AI$5:AI3291)+1,""))</f>
        <v/>
      </c>
    </row>
    <row r="3293">
      <c r="B3293" s="47" t="n"/>
      <c r="C3293" s="48" t="n"/>
      <c r="D3293" s="48" t="n"/>
      <c r="E3293" s="48" t="n"/>
      <c r="F3293" s="48" t="n"/>
      <c r="G3293" s="49" t="n"/>
      <c r="H3293" s="48" t="n"/>
      <c r="I3293" s="50" t="n"/>
      <c r="J3293" s="48" t="n"/>
      <c r="K3293" s="48" t="n"/>
      <c r="L3293" s="48" t="n"/>
      <c r="M3293" s="48" t="n"/>
      <c r="N3293" s="48" t="n"/>
      <c r="O3293" s="51">
        <f>IF(AND(B3293="",G3293="",C3293="",D3293="",J3293=""),"",IF(B3293="","⚠ Falta fecha",IF(G3293="","⚠ Falta monto",IF(Q3293="","⚠ Falta cuenta",IF(ISNA(MATCH(Q3293,ctaNombre,0)),"⚠ Cuenta no registrada",IF(AND(OR(P3293="Gasto",P3293="Reembolso"),D3293=""),"⚠ Falta categoría",IF(AND(D3293&lt;&gt;"",E3293&lt;&gt;"",ISNA(MATCH(D3293&amp;"|"&amp;E3293,catClave,0))),"⚠ Subcategoría no corresponde",IF(AND(OR(P3293="Transferencia",P3293="Pago tarjeta"),K3293=""),"⚠ Falta cuenta destino",IF(AND(K3293&lt;&gt;"",P3293&lt;&gt;"Transferencia",P3293&lt;&gt;"Pago tarjeta"),"⚠ Destino solo aplica a transferencias",IF(AND(K3293&lt;&gt;"",K3293=Q3293),"⚠ Origen igual a destino",IF(AND(K3293&lt;&gt;"",ISNA(MATCH(K3293,ctaNombre,0))),"⚠ Destino no registrado",IF(AND(P3293="Pago tarjeta",AE3293&lt;&gt;"Tarjeta de crédito"),"⚠ El destino debe ser tarjeta de crédito",IF(AND(P3293="Gasto",E3293="Depósitos y retiros"),"⚠ Usa tipo Transferencia",IF(AND(P3293="Resultado trading",AD3293&lt;&gt;"Cuenta de trading"),"⚠ Usa una cuenta de trading",IF(AND(G3293&lt;=0,P3293&lt;&gt;"Ajuste",P3293&lt;&gt;"Resultado trading"),"⚠ El monto debe ser positivo","✓")))))))))))))))</f>
        <v/>
      </c>
      <c r="P3293" s="52">
        <f>IF(OR(B3293="",G3293=""),"",IF(C3293="","Gasto",C3293))</f>
        <v/>
      </c>
      <c r="Q3293" s="52">
        <f>IF(P3293="","",IF(J3293&lt;&gt;"",J3293,CuentaPred&amp;""))</f>
        <v/>
      </c>
      <c r="R3293" s="52">
        <f>IF(P3293="","",IF(ISNUMBER(I3293),I3293,TasaUSD))</f>
        <v/>
      </c>
      <c r="S3293" s="53">
        <f>IF(P3293="","",IF(H3293="USD",G3293*R3293,G3293))</f>
        <v/>
      </c>
      <c r="T3293" s="53">
        <f>IF(P3293="","",IF(H3293="USD",G3293,IF(R3293&gt;0,G3293/R3293,0)))</f>
        <v/>
      </c>
      <c r="U3293" s="53">
        <f>IF(P3293="","",IF(P3293="Gasto",S3293,IF(P3293="Reembolso",-S3293,0)))</f>
        <v/>
      </c>
      <c r="V3293" s="53">
        <f>IF(P3293="","",IF(P3293="Ingreso",S3293,0))</f>
        <v/>
      </c>
      <c r="W3293" s="53">
        <f>IF(P3293="","",IF(P3293="Resultado trading",S3293,0))</f>
        <v/>
      </c>
      <c r="X3293" s="52">
        <f>IF(OR(P3293="Gasto",P3293="Reembolso"),IF(M3293&lt;&gt;"",M3293,IFERROR(INDEX(catClasif,MATCH(D3293&amp;"|"&amp;E3293,catClave,0))&amp;"","Variable")),"")</f>
        <v/>
      </c>
      <c r="Y3293" s="52">
        <f>IF(P3293="","",IFERROR(INDEX(catGrupo,MATCH(D3293&amp;"|"&amp;E3293,catClave,0))&amp;"",""))</f>
        <v/>
      </c>
      <c r="Z3293" s="52">
        <f>IF(P3293="","",WEEKDAY(B3293,2))</f>
        <v/>
      </c>
      <c r="AA3293" s="52">
        <f>IF(P3293="","",IF(AND(P3293="Gasto",X3293="Variable",D3293&lt;&gt;catTrading,S3293&gt;0,S3293&lt;=Umbral),1,0))</f>
        <v/>
      </c>
      <c r="AB3293" s="52">
        <f>IF(OR(P3293="",Q3293=""),"",IFERROR(IF(INDEX(ctaVinc,MATCH(Q3293,ctaNombre,0))&amp;""&lt;&gt;"",INDEX(ctaVinc,MATCH(Q3293,ctaNombre,0))&amp;"",Q3293),Q3293))</f>
        <v/>
      </c>
      <c r="AC3293" s="52">
        <f>IF(OR(K3293="",AND(P3293&lt;&gt;"Transferencia",P3293&lt;&gt;"Pago tarjeta")),"",IFERROR(IF(INDEX(ctaVinc,MATCH(K3293,ctaNombre,0))&amp;""&lt;&gt;"",INDEX(ctaVinc,MATCH(K3293,ctaNombre,0))&amp;"",K3293),K3293))</f>
        <v/>
      </c>
      <c r="AD3293" s="52">
        <f>IF(AB3293="","",IFERROR(INDEX(ctaTipo,MATCH(AB3293,ctaNombre,0))&amp;"",""))</f>
        <v/>
      </c>
      <c r="AE3293" s="52">
        <f>IF(AC3293="","",IFERROR(INDEX(ctaTipo,MATCH(AC3293,ctaNombre,0))&amp;"",""))</f>
        <v/>
      </c>
      <c r="AF3293" s="53">
        <f>IF(OR(P3293="",AB3293=""),"",IF(OR(P3293="Gasto",P3293="Transferencia",P3293="Pago tarjeta"),-1,1)*IF(IFERROR(INDEX(ctaMoneda,MATCH(AB3293,ctaNombre,0))&amp;"","DOP")="USD",T3293,S3293))</f>
        <v/>
      </c>
      <c r="AG3293" s="53">
        <f>IF(AC3293="","",IF(IFERROR(INDEX(ctaMoneda,MATCH(AC3293,ctaNombre,0))&amp;"","DOP")="USD",T3293,S3293))</f>
        <v/>
      </c>
      <c r="AH3293" s="53">
        <f>IF(P3293="","",IF(AND(AD3293&lt;&gt;"",COUNTIFS(tcTipo,AD3293,tcLiq,"Sí")&gt;0),IF(OR(P3293="Gasto",P3293="Transferencia",P3293="Pago tarjeta"),-1,1)*S3293,0)+IF(AND(AE3293&lt;&gt;"",COUNTIFS(tcTipo,AE3293,tcLiq,"Sí")&gt;0),S3293,0))</f>
        <v/>
      </c>
      <c r="AI3293" s="52">
        <f>IF(OR(L3293="",P3293=""),"",IF(COUNTIFS(L$6:L3293,L3293,P$6:P3293,"?*")=1,MAX(AI$5:AI3292)+1,""))</f>
        <v/>
      </c>
    </row>
    <row r="3294">
      <c r="B3294" s="47" t="n"/>
      <c r="C3294" s="48" t="n"/>
      <c r="D3294" s="48" t="n"/>
      <c r="E3294" s="48" t="n"/>
      <c r="F3294" s="48" t="n"/>
      <c r="G3294" s="49" t="n"/>
      <c r="H3294" s="48" t="n"/>
      <c r="I3294" s="50" t="n"/>
      <c r="J3294" s="48" t="n"/>
      <c r="K3294" s="48" t="n"/>
      <c r="L3294" s="48" t="n"/>
      <c r="M3294" s="48" t="n"/>
      <c r="N3294" s="48" t="n"/>
      <c r="O3294" s="51">
        <f>IF(AND(B3294="",G3294="",C3294="",D3294="",J3294=""),"",IF(B3294="","⚠ Falta fecha",IF(G3294="","⚠ Falta monto",IF(Q3294="","⚠ Falta cuenta",IF(ISNA(MATCH(Q3294,ctaNombre,0)),"⚠ Cuenta no registrada",IF(AND(OR(P3294="Gasto",P3294="Reembolso"),D3294=""),"⚠ Falta categoría",IF(AND(D3294&lt;&gt;"",E3294&lt;&gt;"",ISNA(MATCH(D3294&amp;"|"&amp;E3294,catClave,0))),"⚠ Subcategoría no corresponde",IF(AND(OR(P3294="Transferencia",P3294="Pago tarjeta"),K3294=""),"⚠ Falta cuenta destino",IF(AND(K3294&lt;&gt;"",P3294&lt;&gt;"Transferencia",P3294&lt;&gt;"Pago tarjeta"),"⚠ Destino solo aplica a transferencias",IF(AND(K3294&lt;&gt;"",K3294=Q3294),"⚠ Origen igual a destino",IF(AND(K3294&lt;&gt;"",ISNA(MATCH(K3294,ctaNombre,0))),"⚠ Destino no registrado",IF(AND(P3294="Pago tarjeta",AE3294&lt;&gt;"Tarjeta de crédito"),"⚠ El destino debe ser tarjeta de crédito",IF(AND(P3294="Gasto",E3294="Depósitos y retiros"),"⚠ Usa tipo Transferencia",IF(AND(P3294="Resultado trading",AD3294&lt;&gt;"Cuenta de trading"),"⚠ Usa una cuenta de trading",IF(AND(G3294&lt;=0,P3294&lt;&gt;"Ajuste",P3294&lt;&gt;"Resultado trading"),"⚠ El monto debe ser positivo","✓")))))))))))))))</f>
        <v/>
      </c>
      <c r="P3294" s="52">
        <f>IF(OR(B3294="",G3294=""),"",IF(C3294="","Gasto",C3294))</f>
        <v/>
      </c>
      <c r="Q3294" s="52">
        <f>IF(P3294="","",IF(J3294&lt;&gt;"",J3294,CuentaPred&amp;""))</f>
        <v/>
      </c>
      <c r="R3294" s="52">
        <f>IF(P3294="","",IF(ISNUMBER(I3294),I3294,TasaUSD))</f>
        <v/>
      </c>
      <c r="S3294" s="53">
        <f>IF(P3294="","",IF(H3294="USD",G3294*R3294,G3294))</f>
        <v/>
      </c>
      <c r="T3294" s="53">
        <f>IF(P3294="","",IF(H3294="USD",G3294,IF(R3294&gt;0,G3294/R3294,0)))</f>
        <v/>
      </c>
      <c r="U3294" s="53">
        <f>IF(P3294="","",IF(P3294="Gasto",S3294,IF(P3294="Reembolso",-S3294,0)))</f>
        <v/>
      </c>
      <c r="V3294" s="53">
        <f>IF(P3294="","",IF(P3294="Ingreso",S3294,0))</f>
        <v/>
      </c>
      <c r="W3294" s="53">
        <f>IF(P3294="","",IF(P3294="Resultado trading",S3294,0))</f>
        <v/>
      </c>
      <c r="X3294" s="52">
        <f>IF(OR(P3294="Gasto",P3294="Reembolso"),IF(M3294&lt;&gt;"",M3294,IFERROR(INDEX(catClasif,MATCH(D3294&amp;"|"&amp;E3294,catClave,0))&amp;"","Variable")),"")</f>
        <v/>
      </c>
      <c r="Y3294" s="52">
        <f>IF(P3294="","",IFERROR(INDEX(catGrupo,MATCH(D3294&amp;"|"&amp;E3294,catClave,0))&amp;"",""))</f>
        <v/>
      </c>
      <c r="Z3294" s="52">
        <f>IF(P3294="","",WEEKDAY(B3294,2))</f>
        <v/>
      </c>
      <c r="AA3294" s="52">
        <f>IF(P3294="","",IF(AND(P3294="Gasto",X3294="Variable",D3294&lt;&gt;catTrading,S3294&gt;0,S3294&lt;=Umbral),1,0))</f>
        <v/>
      </c>
      <c r="AB3294" s="52">
        <f>IF(OR(P3294="",Q3294=""),"",IFERROR(IF(INDEX(ctaVinc,MATCH(Q3294,ctaNombre,0))&amp;""&lt;&gt;"",INDEX(ctaVinc,MATCH(Q3294,ctaNombre,0))&amp;"",Q3294),Q3294))</f>
        <v/>
      </c>
      <c r="AC3294" s="52">
        <f>IF(OR(K3294="",AND(P3294&lt;&gt;"Transferencia",P3294&lt;&gt;"Pago tarjeta")),"",IFERROR(IF(INDEX(ctaVinc,MATCH(K3294,ctaNombre,0))&amp;""&lt;&gt;"",INDEX(ctaVinc,MATCH(K3294,ctaNombre,0))&amp;"",K3294),K3294))</f>
        <v/>
      </c>
      <c r="AD3294" s="52">
        <f>IF(AB3294="","",IFERROR(INDEX(ctaTipo,MATCH(AB3294,ctaNombre,0))&amp;"",""))</f>
        <v/>
      </c>
      <c r="AE3294" s="52">
        <f>IF(AC3294="","",IFERROR(INDEX(ctaTipo,MATCH(AC3294,ctaNombre,0))&amp;"",""))</f>
        <v/>
      </c>
      <c r="AF3294" s="53">
        <f>IF(OR(P3294="",AB3294=""),"",IF(OR(P3294="Gasto",P3294="Transferencia",P3294="Pago tarjeta"),-1,1)*IF(IFERROR(INDEX(ctaMoneda,MATCH(AB3294,ctaNombre,0))&amp;"","DOP")="USD",T3294,S3294))</f>
        <v/>
      </c>
      <c r="AG3294" s="53">
        <f>IF(AC3294="","",IF(IFERROR(INDEX(ctaMoneda,MATCH(AC3294,ctaNombre,0))&amp;"","DOP")="USD",T3294,S3294))</f>
        <v/>
      </c>
      <c r="AH3294" s="53">
        <f>IF(P3294="","",IF(AND(AD3294&lt;&gt;"",COUNTIFS(tcTipo,AD3294,tcLiq,"Sí")&gt;0),IF(OR(P3294="Gasto",P3294="Transferencia",P3294="Pago tarjeta"),-1,1)*S3294,0)+IF(AND(AE3294&lt;&gt;"",COUNTIFS(tcTipo,AE3294,tcLiq,"Sí")&gt;0),S3294,0))</f>
        <v/>
      </c>
      <c r="AI3294" s="52">
        <f>IF(OR(L3294="",P3294=""),"",IF(COUNTIFS(L$6:L3294,L3294,P$6:P3294,"?*")=1,MAX(AI$5:AI3293)+1,""))</f>
        <v/>
      </c>
    </row>
    <row r="3295">
      <c r="B3295" s="47" t="n"/>
      <c r="C3295" s="48" t="n"/>
      <c r="D3295" s="48" t="n"/>
      <c r="E3295" s="48" t="n"/>
      <c r="F3295" s="48" t="n"/>
      <c r="G3295" s="49" t="n"/>
      <c r="H3295" s="48" t="n"/>
      <c r="I3295" s="50" t="n"/>
      <c r="J3295" s="48" t="n"/>
      <c r="K3295" s="48" t="n"/>
      <c r="L3295" s="48" t="n"/>
      <c r="M3295" s="48" t="n"/>
      <c r="N3295" s="48" t="n"/>
      <c r="O3295" s="51">
        <f>IF(AND(B3295="",G3295="",C3295="",D3295="",J3295=""),"",IF(B3295="","⚠ Falta fecha",IF(G3295="","⚠ Falta monto",IF(Q3295="","⚠ Falta cuenta",IF(ISNA(MATCH(Q3295,ctaNombre,0)),"⚠ Cuenta no registrada",IF(AND(OR(P3295="Gasto",P3295="Reembolso"),D3295=""),"⚠ Falta categoría",IF(AND(D3295&lt;&gt;"",E3295&lt;&gt;"",ISNA(MATCH(D3295&amp;"|"&amp;E3295,catClave,0))),"⚠ Subcategoría no corresponde",IF(AND(OR(P3295="Transferencia",P3295="Pago tarjeta"),K3295=""),"⚠ Falta cuenta destino",IF(AND(K3295&lt;&gt;"",P3295&lt;&gt;"Transferencia",P3295&lt;&gt;"Pago tarjeta"),"⚠ Destino solo aplica a transferencias",IF(AND(K3295&lt;&gt;"",K3295=Q3295),"⚠ Origen igual a destino",IF(AND(K3295&lt;&gt;"",ISNA(MATCH(K3295,ctaNombre,0))),"⚠ Destino no registrado",IF(AND(P3295="Pago tarjeta",AE3295&lt;&gt;"Tarjeta de crédito"),"⚠ El destino debe ser tarjeta de crédito",IF(AND(P3295="Gasto",E3295="Depósitos y retiros"),"⚠ Usa tipo Transferencia",IF(AND(P3295="Resultado trading",AD3295&lt;&gt;"Cuenta de trading"),"⚠ Usa una cuenta de trading",IF(AND(G3295&lt;=0,P3295&lt;&gt;"Ajuste",P3295&lt;&gt;"Resultado trading"),"⚠ El monto debe ser positivo","✓")))))))))))))))</f>
        <v/>
      </c>
      <c r="P3295" s="52">
        <f>IF(OR(B3295="",G3295=""),"",IF(C3295="","Gasto",C3295))</f>
        <v/>
      </c>
      <c r="Q3295" s="52">
        <f>IF(P3295="","",IF(J3295&lt;&gt;"",J3295,CuentaPred&amp;""))</f>
        <v/>
      </c>
      <c r="R3295" s="52">
        <f>IF(P3295="","",IF(ISNUMBER(I3295),I3295,TasaUSD))</f>
        <v/>
      </c>
      <c r="S3295" s="53">
        <f>IF(P3295="","",IF(H3295="USD",G3295*R3295,G3295))</f>
        <v/>
      </c>
      <c r="T3295" s="53">
        <f>IF(P3295="","",IF(H3295="USD",G3295,IF(R3295&gt;0,G3295/R3295,0)))</f>
        <v/>
      </c>
      <c r="U3295" s="53">
        <f>IF(P3295="","",IF(P3295="Gasto",S3295,IF(P3295="Reembolso",-S3295,0)))</f>
        <v/>
      </c>
      <c r="V3295" s="53">
        <f>IF(P3295="","",IF(P3295="Ingreso",S3295,0))</f>
        <v/>
      </c>
      <c r="W3295" s="53">
        <f>IF(P3295="","",IF(P3295="Resultado trading",S3295,0))</f>
        <v/>
      </c>
      <c r="X3295" s="52">
        <f>IF(OR(P3295="Gasto",P3295="Reembolso"),IF(M3295&lt;&gt;"",M3295,IFERROR(INDEX(catClasif,MATCH(D3295&amp;"|"&amp;E3295,catClave,0))&amp;"","Variable")),"")</f>
        <v/>
      </c>
      <c r="Y3295" s="52">
        <f>IF(P3295="","",IFERROR(INDEX(catGrupo,MATCH(D3295&amp;"|"&amp;E3295,catClave,0))&amp;"",""))</f>
        <v/>
      </c>
      <c r="Z3295" s="52">
        <f>IF(P3295="","",WEEKDAY(B3295,2))</f>
        <v/>
      </c>
      <c r="AA3295" s="52">
        <f>IF(P3295="","",IF(AND(P3295="Gasto",X3295="Variable",D3295&lt;&gt;catTrading,S3295&gt;0,S3295&lt;=Umbral),1,0))</f>
        <v/>
      </c>
      <c r="AB3295" s="52">
        <f>IF(OR(P3295="",Q3295=""),"",IFERROR(IF(INDEX(ctaVinc,MATCH(Q3295,ctaNombre,0))&amp;""&lt;&gt;"",INDEX(ctaVinc,MATCH(Q3295,ctaNombre,0))&amp;"",Q3295),Q3295))</f>
        <v/>
      </c>
      <c r="AC3295" s="52">
        <f>IF(OR(K3295="",AND(P3295&lt;&gt;"Transferencia",P3295&lt;&gt;"Pago tarjeta")),"",IFERROR(IF(INDEX(ctaVinc,MATCH(K3295,ctaNombre,0))&amp;""&lt;&gt;"",INDEX(ctaVinc,MATCH(K3295,ctaNombre,0))&amp;"",K3295),K3295))</f>
        <v/>
      </c>
      <c r="AD3295" s="52">
        <f>IF(AB3295="","",IFERROR(INDEX(ctaTipo,MATCH(AB3295,ctaNombre,0))&amp;"",""))</f>
        <v/>
      </c>
      <c r="AE3295" s="52">
        <f>IF(AC3295="","",IFERROR(INDEX(ctaTipo,MATCH(AC3295,ctaNombre,0))&amp;"",""))</f>
        <v/>
      </c>
      <c r="AF3295" s="53">
        <f>IF(OR(P3295="",AB3295=""),"",IF(OR(P3295="Gasto",P3295="Transferencia",P3295="Pago tarjeta"),-1,1)*IF(IFERROR(INDEX(ctaMoneda,MATCH(AB3295,ctaNombre,0))&amp;"","DOP")="USD",T3295,S3295))</f>
        <v/>
      </c>
      <c r="AG3295" s="53">
        <f>IF(AC3295="","",IF(IFERROR(INDEX(ctaMoneda,MATCH(AC3295,ctaNombre,0))&amp;"","DOP")="USD",T3295,S3295))</f>
        <v/>
      </c>
      <c r="AH3295" s="53">
        <f>IF(P3295="","",IF(AND(AD3295&lt;&gt;"",COUNTIFS(tcTipo,AD3295,tcLiq,"Sí")&gt;0),IF(OR(P3295="Gasto",P3295="Transferencia",P3295="Pago tarjeta"),-1,1)*S3295,0)+IF(AND(AE3295&lt;&gt;"",COUNTIFS(tcTipo,AE3295,tcLiq,"Sí")&gt;0),S3295,0))</f>
        <v/>
      </c>
      <c r="AI3295" s="52">
        <f>IF(OR(L3295="",P3295=""),"",IF(COUNTIFS(L$6:L3295,L3295,P$6:P3295,"?*")=1,MAX(AI$5:AI3294)+1,""))</f>
        <v/>
      </c>
    </row>
    <row r="3296">
      <c r="B3296" s="47" t="n"/>
      <c r="C3296" s="48" t="n"/>
      <c r="D3296" s="48" t="n"/>
      <c r="E3296" s="48" t="n"/>
      <c r="F3296" s="48" t="n"/>
      <c r="G3296" s="49" t="n"/>
      <c r="H3296" s="48" t="n"/>
      <c r="I3296" s="50" t="n"/>
      <c r="J3296" s="48" t="n"/>
      <c r="K3296" s="48" t="n"/>
      <c r="L3296" s="48" t="n"/>
      <c r="M3296" s="48" t="n"/>
      <c r="N3296" s="48" t="n"/>
      <c r="O3296" s="51">
        <f>IF(AND(B3296="",G3296="",C3296="",D3296="",J3296=""),"",IF(B3296="","⚠ Falta fecha",IF(G3296="","⚠ Falta monto",IF(Q3296="","⚠ Falta cuenta",IF(ISNA(MATCH(Q3296,ctaNombre,0)),"⚠ Cuenta no registrada",IF(AND(OR(P3296="Gasto",P3296="Reembolso"),D3296=""),"⚠ Falta categoría",IF(AND(D3296&lt;&gt;"",E3296&lt;&gt;"",ISNA(MATCH(D3296&amp;"|"&amp;E3296,catClave,0))),"⚠ Subcategoría no corresponde",IF(AND(OR(P3296="Transferencia",P3296="Pago tarjeta"),K3296=""),"⚠ Falta cuenta destino",IF(AND(K3296&lt;&gt;"",P3296&lt;&gt;"Transferencia",P3296&lt;&gt;"Pago tarjeta"),"⚠ Destino solo aplica a transferencias",IF(AND(K3296&lt;&gt;"",K3296=Q3296),"⚠ Origen igual a destino",IF(AND(K3296&lt;&gt;"",ISNA(MATCH(K3296,ctaNombre,0))),"⚠ Destino no registrado",IF(AND(P3296="Pago tarjeta",AE3296&lt;&gt;"Tarjeta de crédito"),"⚠ El destino debe ser tarjeta de crédito",IF(AND(P3296="Gasto",E3296="Depósitos y retiros"),"⚠ Usa tipo Transferencia",IF(AND(P3296="Resultado trading",AD3296&lt;&gt;"Cuenta de trading"),"⚠ Usa una cuenta de trading",IF(AND(G3296&lt;=0,P3296&lt;&gt;"Ajuste",P3296&lt;&gt;"Resultado trading"),"⚠ El monto debe ser positivo","✓")))))))))))))))</f>
        <v/>
      </c>
      <c r="P3296" s="52">
        <f>IF(OR(B3296="",G3296=""),"",IF(C3296="","Gasto",C3296))</f>
        <v/>
      </c>
      <c r="Q3296" s="52">
        <f>IF(P3296="","",IF(J3296&lt;&gt;"",J3296,CuentaPred&amp;""))</f>
        <v/>
      </c>
      <c r="R3296" s="52">
        <f>IF(P3296="","",IF(ISNUMBER(I3296),I3296,TasaUSD))</f>
        <v/>
      </c>
      <c r="S3296" s="53">
        <f>IF(P3296="","",IF(H3296="USD",G3296*R3296,G3296))</f>
        <v/>
      </c>
      <c r="T3296" s="53">
        <f>IF(P3296="","",IF(H3296="USD",G3296,IF(R3296&gt;0,G3296/R3296,0)))</f>
        <v/>
      </c>
      <c r="U3296" s="53">
        <f>IF(P3296="","",IF(P3296="Gasto",S3296,IF(P3296="Reembolso",-S3296,0)))</f>
        <v/>
      </c>
      <c r="V3296" s="53">
        <f>IF(P3296="","",IF(P3296="Ingreso",S3296,0))</f>
        <v/>
      </c>
      <c r="W3296" s="53">
        <f>IF(P3296="","",IF(P3296="Resultado trading",S3296,0))</f>
        <v/>
      </c>
      <c r="X3296" s="52">
        <f>IF(OR(P3296="Gasto",P3296="Reembolso"),IF(M3296&lt;&gt;"",M3296,IFERROR(INDEX(catClasif,MATCH(D3296&amp;"|"&amp;E3296,catClave,0))&amp;"","Variable")),"")</f>
        <v/>
      </c>
      <c r="Y3296" s="52">
        <f>IF(P3296="","",IFERROR(INDEX(catGrupo,MATCH(D3296&amp;"|"&amp;E3296,catClave,0))&amp;"",""))</f>
        <v/>
      </c>
      <c r="Z3296" s="52">
        <f>IF(P3296="","",WEEKDAY(B3296,2))</f>
        <v/>
      </c>
      <c r="AA3296" s="52">
        <f>IF(P3296="","",IF(AND(P3296="Gasto",X3296="Variable",D3296&lt;&gt;catTrading,S3296&gt;0,S3296&lt;=Umbral),1,0))</f>
        <v/>
      </c>
      <c r="AB3296" s="52">
        <f>IF(OR(P3296="",Q3296=""),"",IFERROR(IF(INDEX(ctaVinc,MATCH(Q3296,ctaNombre,0))&amp;""&lt;&gt;"",INDEX(ctaVinc,MATCH(Q3296,ctaNombre,0))&amp;"",Q3296),Q3296))</f>
        <v/>
      </c>
      <c r="AC3296" s="52">
        <f>IF(OR(K3296="",AND(P3296&lt;&gt;"Transferencia",P3296&lt;&gt;"Pago tarjeta")),"",IFERROR(IF(INDEX(ctaVinc,MATCH(K3296,ctaNombre,0))&amp;""&lt;&gt;"",INDEX(ctaVinc,MATCH(K3296,ctaNombre,0))&amp;"",K3296),K3296))</f>
        <v/>
      </c>
      <c r="AD3296" s="52">
        <f>IF(AB3296="","",IFERROR(INDEX(ctaTipo,MATCH(AB3296,ctaNombre,0))&amp;"",""))</f>
        <v/>
      </c>
      <c r="AE3296" s="52">
        <f>IF(AC3296="","",IFERROR(INDEX(ctaTipo,MATCH(AC3296,ctaNombre,0))&amp;"",""))</f>
        <v/>
      </c>
      <c r="AF3296" s="53">
        <f>IF(OR(P3296="",AB3296=""),"",IF(OR(P3296="Gasto",P3296="Transferencia",P3296="Pago tarjeta"),-1,1)*IF(IFERROR(INDEX(ctaMoneda,MATCH(AB3296,ctaNombre,0))&amp;"","DOP")="USD",T3296,S3296))</f>
        <v/>
      </c>
      <c r="AG3296" s="53">
        <f>IF(AC3296="","",IF(IFERROR(INDEX(ctaMoneda,MATCH(AC3296,ctaNombre,0))&amp;"","DOP")="USD",T3296,S3296))</f>
        <v/>
      </c>
      <c r="AH3296" s="53">
        <f>IF(P3296="","",IF(AND(AD3296&lt;&gt;"",COUNTIFS(tcTipo,AD3296,tcLiq,"Sí")&gt;0),IF(OR(P3296="Gasto",P3296="Transferencia",P3296="Pago tarjeta"),-1,1)*S3296,0)+IF(AND(AE3296&lt;&gt;"",COUNTIFS(tcTipo,AE3296,tcLiq,"Sí")&gt;0),S3296,0))</f>
        <v/>
      </c>
      <c r="AI3296" s="52">
        <f>IF(OR(L3296="",P3296=""),"",IF(COUNTIFS(L$6:L3296,L3296,P$6:P3296,"?*")=1,MAX(AI$5:AI3295)+1,""))</f>
        <v/>
      </c>
    </row>
    <row r="3297">
      <c r="B3297" s="47" t="n"/>
      <c r="C3297" s="48" t="n"/>
      <c r="D3297" s="48" t="n"/>
      <c r="E3297" s="48" t="n"/>
      <c r="F3297" s="48" t="n"/>
      <c r="G3297" s="49" t="n"/>
      <c r="H3297" s="48" t="n"/>
      <c r="I3297" s="50" t="n"/>
      <c r="J3297" s="48" t="n"/>
      <c r="K3297" s="48" t="n"/>
      <c r="L3297" s="48" t="n"/>
      <c r="M3297" s="48" t="n"/>
      <c r="N3297" s="48" t="n"/>
      <c r="O3297" s="51">
        <f>IF(AND(B3297="",G3297="",C3297="",D3297="",J3297=""),"",IF(B3297="","⚠ Falta fecha",IF(G3297="","⚠ Falta monto",IF(Q3297="","⚠ Falta cuenta",IF(ISNA(MATCH(Q3297,ctaNombre,0)),"⚠ Cuenta no registrada",IF(AND(OR(P3297="Gasto",P3297="Reembolso"),D3297=""),"⚠ Falta categoría",IF(AND(D3297&lt;&gt;"",E3297&lt;&gt;"",ISNA(MATCH(D3297&amp;"|"&amp;E3297,catClave,0))),"⚠ Subcategoría no corresponde",IF(AND(OR(P3297="Transferencia",P3297="Pago tarjeta"),K3297=""),"⚠ Falta cuenta destino",IF(AND(K3297&lt;&gt;"",P3297&lt;&gt;"Transferencia",P3297&lt;&gt;"Pago tarjeta"),"⚠ Destino solo aplica a transferencias",IF(AND(K3297&lt;&gt;"",K3297=Q3297),"⚠ Origen igual a destino",IF(AND(K3297&lt;&gt;"",ISNA(MATCH(K3297,ctaNombre,0))),"⚠ Destino no registrado",IF(AND(P3297="Pago tarjeta",AE3297&lt;&gt;"Tarjeta de crédito"),"⚠ El destino debe ser tarjeta de crédito",IF(AND(P3297="Gasto",E3297="Depósitos y retiros"),"⚠ Usa tipo Transferencia",IF(AND(P3297="Resultado trading",AD3297&lt;&gt;"Cuenta de trading"),"⚠ Usa una cuenta de trading",IF(AND(G3297&lt;=0,P3297&lt;&gt;"Ajuste",P3297&lt;&gt;"Resultado trading"),"⚠ El monto debe ser positivo","✓")))))))))))))))</f>
        <v/>
      </c>
      <c r="P3297" s="52">
        <f>IF(OR(B3297="",G3297=""),"",IF(C3297="","Gasto",C3297))</f>
        <v/>
      </c>
      <c r="Q3297" s="52">
        <f>IF(P3297="","",IF(J3297&lt;&gt;"",J3297,CuentaPred&amp;""))</f>
        <v/>
      </c>
      <c r="R3297" s="52">
        <f>IF(P3297="","",IF(ISNUMBER(I3297),I3297,TasaUSD))</f>
        <v/>
      </c>
      <c r="S3297" s="53">
        <f>IF(P3297="","",IF(H3297="USD",G3297*R3297,G3297))</f>
        <v/>
      </c>
      <c r="T3297" s="53">
        <f>IF(P3297="","",IF(H3297="USD",G3297,IF(R3297&gt;0,G3297/R3297,0)))</f>
        <v/>
      </c>
      <c r="U3297" s="53">
        <f>IF(P3297="","",IF(P3297="Gasto",S3297,IF(P3297="Reembolso",-S3297,0)))</f>
        <v/>
      </c>
      <c r="V3297" s="53">
        <f>IF(P3297="","",IF(P3297="Ingreso",S3297,0))</f>
        <v/>
      </c>
      <c r="W3297" s="53">
        <f>IF(P3297="","",IF(P3297="Resultado trading",S3297,0))</f>
        <v/>
      </c>
      <c r="X3297" s="52">
        <f>IF(OR(P3297="Gasto",P3297="Reembolso"),IF(M3297&lt;&gt;"",M3297,IFERROR(INDEX(catClasif,MATCH(D3297&amp;"|"&amp;E3297,catClave,0))&amp;"","Variable")),"")</f>
        <v/>
      </c>
      <c r="Y3297" s="52">
        <f>IF(P3297="","",IFERROR(INDEX(catGrupo,MATCH(D3297&amp;"|"&amp;E3297,catClave,0))&amp;"",""))</f>
        <v/>
      </c>
      <c r="Z3297" s="52">
        <f>IF(P3297="","",WEEKDAY(B3297,2))</f>
        <v/>
      </c>
      <c r="AA3297" s="52">
        <f>IF(P3297="","",IF(AND(P3297="Gasto",X3297="Variable",D3297&lt;&gt;catTrading,S3297&gt;0,S3297&lt;=Umbral),1,0))</f>
        <v/>
      </c>
      <c r="AB3297" s="52">
        <f>IF(OR(P3297="",Q3297=""),"",IFERROR(IF(INDEX(ctaVinc,MATCH(Q3297,ctaNombre,0))&amp;""&lt;&gt;"",INDEX(ctaVinc,MATCH(Q3297,ctaNombre,0))&amp;"",Q3297),Q3297))</f>
        <v/>
      </c>
      <c r="AC3297" s="52">
        <f>IF(OR(K3297="",AND(P3297&lt;&gt;"Transferencia",P3297&lt;&gt;"Pago tarjeta")),"",IFERROR(IF(INDEX(ctaVinc,MATCH(K3297,ctaNombre,0))&amp;""&lt;&gt;"",INDEX(ctaVinc,MATCH(K3297,ctaNombre,0))&amp;"",K3297),K3297))</f>
        <v/>
      </c>
      <c r="AD3297" s="52">
        <f>IF(AB3297="","",IFERROR(INDEX(ctaTipo,MATCH(AB3297,ctaNombre,0))&amp;"",""))</f>
        <v/>
      </c>
      <c r="AE3297" s="52">
        <f>IF(AC3297="","",IFERROR(INDEX(ctaTipo,MATCH(AC3297,ctaNombre,0))&amp;"",""))</f>
        <v/>
      </c>
      <c r="AF3297" s="53">
        <f>IF(OR(P3297="",AB3297=""),"",IF(OR(P3297="Gasto",P3297="Transferencia",P3297="Pago tarjeta"),-1,1)*IF(IFERROR(INDEX(ctaMoneda,MATCH(AB3297,ctaNombre,0))&amp;"","DOP")="USD",T3297,S3297))</f>
        <v/>
      </c>
      <c r="AG3297" s="53">
        <f>IF(AC3297="","",IF(IFERROR(INDEX(ctaMoneda,MATCH(AC3297,ctaNombre,0))&amp;"","DOP")="USD",T3297,S3297))</f>
        <v/>
      </c>
      <c r="AH3297" s="53">
        <f>IF(P3297="","",IF(AND(AD3297&lt;&gt;"",COUNTIFS(tcTipo,AD3297,tcLiq,"Sí")&gt;0),IF(OR(P3297="Gasto",P3297="Transferencia",P3297="Pago tarjeta"),-1,1)*S3297,0)+IF(AND(AE3297&lt;&gt;"",COUNTIFS(tcTipo,AE3297,tcLiq,"Sí")&gt;0),S3297,0))</f>
        <v/>
      </c>
      <c r="AI3297" s="52">
        <f>IF(OR(L3297="",P3297=""),"",IF(COUNTIFS(L$6:L3297,L3297,P$6:P3297,"?*")=1,MAX(AI$5:AI3296)+1,""))</f>
        <v/>
      </c>
    </row>
    <row r="3298">
      <c r="B3298" s="47" t="n"/>
      <c r="C3298" s="48" t="n"/>
      <c r="D3298" s="48" t="n"/>
      <c r="E3298" s="48" t="n"/>
      <c r="F3298" s="48" t="n"/>
      <c r="G3298" s="49" t="n"/>
      <c r="H3298" s="48" t="n"/>
      <c r="I3298" s="50" t="n"/>
      <c r="J3298" s="48" t="n"/>
      <c r="K3298" s="48" t="n"/>
      <c r="L3298" s="48" t="n"/>
      <c r="M3298" s="48" t="n"/>
      <c r="N3298" s="48" t="n"/>
      <c r="O3298" s="51">
        <f>IF(AND(B3298="",G3298="",C3298="",D3298="",J3298=""),"",IF(B3298="","⚠ Falta fecha",IF(G3298="","⚠ Falta monto",IF(Q3298="","⚠ Falta cuenta",IF(ISNA(MATCH(Q3298,ctaNombre,0)),"⚠ Cuenta no registrada",IF(AND(OR(P3298="Gasto",P3298="Reembolso"),D3298=""),"⚠ Falta categoría",IF(AND(D3298&lt;&gt;"",E3298&lt;&gt;"",ISNA(MATCH(D3298&amp;"|"&amp;E3298,catClave,0))),"⚠ Subcategoría no corresponde",IF(AND(OR(P3298="Transferencia",P3298="Pago tarjeta"),K3298=""),"⚠ Falta cuenta destino",IF(AND(K3298&lt;&gt;"",P3298&lt;&gt;"Transferencia",P3298&lt;&gt;"Pago tarjeta"),"⚠ Destino solo aplica a transferencias",IF(AND(K3298&lt;&gt;"",K3298=Q3298),"⚠ Origen igual a destino",IF(AND(K3298&lt;&gt;"",ISNA(MATCH(K3298,ctaNombre,0))),"⚠ Destino no registrado",IF(AND(P3298="Pago tarjeta",AE3298&lt;&gt;"Tarjeta de crédito"),"⚠ El destino debe ser tarjeta de crédito",IF(AND(P3298="Gasto",E3298="Depósitos y retiros"),"⚠ Usa tipo Transferencia",IF(AND(P3298="Resultado trading",AD3298&lt;&gt;"Cuenta de trading"),"⚠ Usa una cuenta de trading",IF(AND(G3298&lt;=0,P3298&lt;&gt;"Ajuste",P3298&lt;&gt;"Resultado trading"),"⚠ El monto debe ser positivo","✓")))))))))))))))</f>
        <v/>
      </c>
      <c r="P3298" s="52">
        <f>IF(OR(B3298="",G3298=""),"",IF(C3298="","Gasto",C3298))</f>
        <v/>
      </c>
      <c r="Q3298" s="52">
        <f>IF(P3298="","",IF(J3298&lt;&gt;"",J3298,CuentaPred&amp;""))</f>
        <v/>
      </c>
      <c r="R3298" s="52">
        <f>IF(P3298="","",IF(ISNUMBER(I3298),I3298,TasaUSD))</f>
        <v/>
      </c>
      <c r="S3298" s="53">
        <f>IF(P3298="","",IF(H3298="USD",G3298*R3298,G3298))</f>
        <v/>
      </c>
      <c r="T3298" s="53">
        <f>IF(P3298="","",IF(H3298="USD",G3298,IF(R3298&gt;0,G3298/R3298,0)))</f>
        <v/>
      </c>
      <c r="U3298" s="53">
        <f>IF(P3298="","",IF(P3298="Gasto",S3298,IF(P3298="Reembolso",-S3298,0)))</f>
        <v/>
      </c>
      <c r="V3298" s="53">
        <f>IF(P3298="","",IF(P3298="Ingreso",S3298,0))</f>
        <v/>
      </c>
      <c r="W3298" s="53">
        <f>IF(P3298="","",IF(P3298="Resultado trading",S3298,0))</f>
        <v/>
      </c>
      <c r="X3298" s="52">
        <f>IF(OR(P3298="Gasto",P3298="Reembolso"),IF(M3298&lt;&gt;"",M3298,IFERROR(INDEX(catClasif,MATCH(D3298&amp;"|"&amp;E3298,catClave,0))&amp;"","Variable")),"")</f>
        <v/>
      </c>
      <c r="Y3298" s="52">
        <f>IF(P3298="","",IFERROR(INDEX(catGrupo,MATCH(D3298&amp;"|"&amp;E3298,catClave,0))&amp;"",""))</f>
        <v/>
      </c>
      <c r="Z3298" s="52">
        <f>IF(P3298="","",WEEKDAY(B3298,2))</f>
        <v/>
      </c>
      <c r="AA3298" s="52">
        <f>IF(P3298="","",IF(AND(P3298="Gasto",X3298="Variable",D3298&lt;&gt;catTrading,S3298&gt;0,S3298&lt;=Umbral),1,0))</f>
        <v/>
      </c>
      <c r="AB3298" s="52">
        <f>IF(OR(P3298="",Q3298=""),"",IFERROR(IF(INDEX(ctaVinc,MATCH(Q3298,ctaNombre,0))&amp;""&lt;&gt;"",INDEX(ctaVinc,MATCH(Q3298,ctaNombre,0))&amp;"",Q3298),Q3298))</f>
        <v/>
      </c>
      <c r="AC3298" s="52">
        <f>IF(OR(K3298="",AND(P3298&lt;&gt;"Transferencia",P3298&lt;&gt;"Pago tarjeta")),"",IFERROR(IF(INDEX(ctaVinc,MATCH(K3298,ctaNombre,0))&amp;""&lt;&gt;"",INDEX(ctaVinc,MATCH(K3298,ctaNombre,0))&amp;"",K3298),K3298))</f>
        <v/>
      </c>
      <c r="AD3298" s="52">
        <f>IF(AB3298="","",IFERROR(INDEX(ctaTipo,MATCH(AB3298,ctaNombre,0))&amp;"",""))</f>
        <v/>
      </c>
      <c r="AE3298" s="52">
        <f>IF(AC3298="","",IFERROR(INDEX(ctaTipo,MATCH(AC3298,ctaNombre,0))&amp;"",""))</f>
        <v/>
      </c>
      <c r="AF3298" s="53">
        <f>IF(OR(P3298="",AB3298=""),"",IF(OR(P3298="Gasto",P3298="Transferencia",P3298="Pago tarjeta"),-1,1)*IF(IFERROR(INDEX(ctaMoneda,MATCH(AB3298,ctaNombre,0))&amp;"","DOP")="USD",T3298,S3298))</f>
        <v/>
      </c>
      <c r="AG3298" s="53">
        <f>IF(AC3298="","",IF(IFERROR(INDEX(ctaMoneda,MATCH(AC3298,ctaNombre,0))&amp;"","DOP")="USD",T3298,S3298))</f>
        <v/>
      </c>
      <c r="AH3298" s="53">
        <f>IF(P3298="","",IF(AND(AD3298&lt;&gt;"",COUNTIFS(tcTipo,AD3298,tcLiq,"Sí")&gt;0),IF(OR(P3298="Gasto",P3298="Transferencia",P3298="Pago tarjeta"),-1,1)*S3298,0)+IF(AND(AE3298&lt;&gt;"",COUNTIFS(tcTipo,AE3298,tcLiq,"Sí")&gt;0),S3298,0))</f>
        <v/>
      </c>
      <c r="AI3298" s="52">
        <f>IF(OR(L3298="",P3298=""),"",IF(COUNTIFS(L$6:L3298,L3298,P$6:P3298,"?*")=1,MAX(AI$5:AI3297)+1,""))</f>
        <v/>
      </c>
    </row>
    <row r="3299">
      <c r="B3299" s="47" t="n"/>
      <c r="C3299" s="48" t="n"/>
      <c r="D3299" s="48" t="n"/>
      <c r="E3299" s="48" t="n"/>
      <c r="F3299" s="48" t="n"/>
      <c r="G3299" s="49" t="n"/>
      <c r="H3299" s="48" t="n"/>
      <c r="I3299" s="50" t="n"/>
      <c r="J3299" s="48" t="n"/>
      <c r="K3299" s="48" t="n"/>
      <c r="L3299" s="48" t="n"/>
      <c r="M3299" s="48" t="n"/>
      <c r="N3299" s="48" t="n"/>
      <c r="O3299" s="51">
        <f>IF(AND(B3299="",G3299="",C3299="",D3299="",J3299=""),"",IF(B3299="","⚠ Falta fecha",IF(G3299="","⚠ Falta monto",IF(Q3299="","⚠ Falta cuenta",IF(ISNA(MATCH(Q3299,ctaNombre,0)),"⚠ Cuenta no registrada",IF(AND(OR(P3299="Gasto",P3299="Reembolso"),D3299=""),"⚠ Falta categoría",IF(AND(D3299&lt;&gt;"",E3299&lt;&gt;"",ISNA(MATCH(D3299&amp;"|"&amp;E3299,catClave,0))),"⚠ Subcategoría no corresponde",IF(AND(OR(P3299="Transferencia",P3299="Pago tarjeta"),K3299=""),"⚠ Falta cuenta destino",IF(AND(K3299&lt;&gt;"",P3299&lt;&gt;"Transferencia",P3299&lt;&gt;"Pago tarjeta"),"⚠ Destino solo aplica a transferencias",IF(AND(K3299&lt;&gt;"",K3299=Q3299),"⚠ Origen igual a destino",IF(AND(K3299&lt;&gt;"",ISNA(MATCH(K3299,ctaNombre,0))),"⚠ Destino no registrado",IF(AND(P3299="Pago tarjeta",AE3299&lt;&gt;"Tarjeta de crédito"),"⚠ El destino debe ser tarjeta de crédito",IF(AND(P3299="Gasto",E3299="Depósitos y retiros"),"⚠ Usa tipo Transferencia",IF(AND(P3299="Resultado trading",AD3299&lt;&gt;"Cuenta de trading"),"⚠ Usa una cuenta de trading",IF(AND(G3299&lt;=0,P3299&lt;&gt;"Ajuste",P3299&lt;&gt;"Resultado trading"),"⚠ El monto debe ser positivo","✓")))))))))))))))</f>
        <v/>
      </c>
      <c r="P3299" s="52">
        <f>IF(OR(B3299="",G3299=""),"",IF(C3299="","Gasto",C3299))</f>
        <v/>
      </c>
      <c r="Q3299" s="52">
        <f>IF(P3299="","",IF(J3299&lt;&gt;"",J3299,CuentaPred&amp;""))</f>
        <v/>
      </c>
      <c r="R3299" s="52">
        <f>IF(P3299="","",IF(ISNUMBER(I3299),I3299,TasaUSD))</f>
        <v/>
      </c>
      <c r="S3299" s="53">
        <f>IF(P3299="","",IF(H3299="USD",G3299*R3299,G3299))</f>
        <v/>
      </c>
      <c r="T3299" s="53">
        <f>IF(P3299="","",IF(H3299="USD",G3299,IF(R3299&gt;0,G3299/R3299,0)))</f>
        <v/>
      </c>
      <c r="U3299" s="53">
        <f>IF(P3299="","",IF(P3299="Gasto",S3299,IF(P3299="Reembolso",-S3299,0)))</f>
        <v/>
      </c>
      <c r="V3299" s="53">
        <f>IF(P3299="","",IF(P3299="Ingreso",S3299,0))</f>
        <v/>
      </c>
      <c r="W3299" s="53">
        <f>IF(P3299="","",IF(P3299="Resultado trading",S3299,0))</f>
        <v/>
      </c>
      <c r="X3299" s="52">
        <f>IF(OR(P3299="Gasto",P3299="Reembolso"),IF(M3299&lt;&gt;"",M3299,IFERROR(INDEX(catClasif,MATCH(D3299&amp;"|"&amp;E3299,catClave,0))&amp;"","Variable")),"")</f>
        <v/>
      </c>
      <c r="Y3299" s="52">
        <f>IF(P3299="","",IFERROR(INDEX(catGrupo,MATCH(D3299&amp;"|"&amp;E3299,catClave,0))&amp;"",""))</f>
        <v/>
      </c>
      <c r="Z3299" s="52">
        <f>IF(P3299="","",WEEKDAY(B3299,2))</f>
        <v/>
      </c>
      <c r="AA3299" s="52">
        <f>IF(P3299="","",IF(AND(P3299="Gasto",X3299="Variable",D3299&lt;&gt;catTrading,S3299&gt;0,S3299&lt;=Umbral),1,0))</f>
        <v/>
      </c>
      <c r="AB3299" s="52">
        <f>IF(OR(P3299="",Q3299=""),"",IFERROR(IF(INDEX(ctaVinc,MATCH(Q3299,ctaNombre,0))&amp;""&lt;&gt;"",INDEX(ctaVinc,MATCH(Q3299,ctaNombre,0))&amp;"",Q3299),Q3299))</f>
        <v/>
      </c>
      <c r="AC3299" s="52">
        <f>IF(OR(K3299="",AND(P3299&lt;&gt;"Transferencia",P3299&lt;&gt;"Pago tarjeta")),"",IFERROR(IF(INDEX(ctaVinc,MATCH(K3299,ctaNombre,0))&amp;""&lt;&gt;"",INDEX(ctaVinc,MATCH(K3299,ctaNombre,0))&amp;"",K3299),K3299))</f>
        <v/>
      </c>
      <c r="AD3299" s="52">
        <f>IF(AB3299="","",IFERROR(INDEX(ctaTipo,MATCH(AB3299,ctaNombre,0))&amp;"",""))</f>
        <v/>
      </c>
      <c r="AE3299" s="52">
        <f>IF(AC3299="","",IFERROR(INDEX(ctaTipo,MATCH(AC3299,ctaNombre,0))&amp;"",""))</f>
        <v/>
      </c>
      <c r="AF3299" s="53">
        <f>IF(OR(P3299="",AB3299=""),"",IF(OR(P3299="Gasto",P3299="Transferencia",P3299="Pago tarjeta"),-1,1)*IF(IFERROR(INDEX(ctaMoneda,MATCH(AB3299,ctaNombre,0))&amp;"","DOP")="USD",T3299,S3299))</f>
        <v/>
      </c>
      <c r="AG3299" s="53">
        <f>IF(AC3299="","",IF(IFERROR(INDEX(ctaMoneda,MATCH(AC3299,ctaNombre,0))&amp;"","DOP")="USD",T3299,S3299))</f>
        <v/>
      </c>
      <c r="AH3299" s="53">
        <f>IF(P3299="","",IF(AND(AD3299&lt;&gt;"",COUNTIFS(tcTipo,AD3299,tcLiq,"Sí")&gt;0),IF(OR(P3299="Gasto",P3299="Transferencia",P3299="Pago tarjeta"),-1,1)*S3299,0)+IF(AND(AE3299&lt;&gt;"",COUNTIFS(tcTipo,AE3299,tcLiq,"Sí")&gt;0),S3299,0))</f>
        <v/>
      </c>
      <c r="AI3299" s="52">
        <f>IF(OR(L3299="",P3299=""),"",IF(COUNTIFS(L$6:L3299,L3299,P$6:P3299,"?*")=1,MAX(AI$5:AI3298)+1,""))</f>
        <v/>
      </c>
    </row>
    <row r="3300">
      <c r="B3300" s="47" t="n"/>
      <c r="C3300" s="48" t="n"/>
      <c r="D3300" s="48" t="n"/>
      <c r="E3300" s="48" t="n"/>
      <c r="F3300" s="48" t="n"/>
      <c r="G3300" s="49" t="n"/>
      <c r="H3300" s="48" t="n"/>
      <c r="I3300" s="50" t="n"/>
      <c r="J3300" s="48" t="n"/>
      <c r="K3300" s="48" t="n"/>
      <c r="L3300" s="48" t="n"/>
      <c r="M3300" s="48" t="n"/>
      <c r="N3300" s="48" t="n"/>
      <c r="O3300" s="51">
        <f>IF(AND(B3300="",G3300="",C3300="",D3300="",J3300=""),"",IF(B3300="","⚠ Falta fecha",IF(G3300="","⚠ Falta monto",IF(Q3300="","⚠ Falta cuenta",IF(ISNA(MATCH(Q3300,ctaNombre,0)),"⚠ Cuenta no registrada",IF(AND(OR(P3300="Gasto",P3300="Reembolso"),D3300=""),"⚠ Falta categoría",IF(AND(D3300&lt;&gt;"",E3300&lt;&gt;"",ISNA(MATCH(D3300&amp;"|"&amp;E3300,catClave,0))),"⚠ Subcategoría no corresponde",IF(AND(OR(P3300="Transferencia",P3300="Pago tarjeta"),K3300=""),"⚠ Falta cuenta destino",IF(AND(K3300&lt;&gt;"",P3300&lt;&gt;"Transferencia",P3300&lt;&gt;"Pago tarjeta"),"⚠ Destino solo aplica a transferencias",IF(AND(K3300&lt;&gt;"",K3300=Q3300),"⚠ Origen igual a destino",IF(AND(K3300&lt;&gt;"",ISNA(MATCH(K3300,ctaNombre,0))),"⚠ Destino no registrado",IF(AND(P3300="Pago tarjeta",AE3300&lt;&gt;"Tarjeta de crédito"),"⚠ El destino debe ser tarjeta de crédito",IF(AND(P3300="Gasto",E3300="Depósitos y retiros"),"⚠ Usa tipo Transferencia",IF(AND(P3300="Resultado trading",AD3300&lt;&gt;"Cuenta de trading"),"⚠ Usa una cuenta de trading",IF(AND(G3300&lt;=0,P3300&lt;&gt;"Ajuste",P3300&lt;&gt;"Resultado trading"),"⚠ El monto debe ser positivo","✓")))))))))))))))</f>
        <v/>
      </c>
      <c r="P3300" s="52">
        <f>IF(OR(B3300="",G3300=""),"",IF(C3300="","Gasto",C3300))</f>
        <v/>
      </c>
      <c r="Q3300" s="52">
        <f>IF(P3300="","",IF(J3300&lt;&gt;"",J3300,CuentaPred&amp;""))</f>
        <v/>
      </c>
      <c r="R3300" s="52">
        <f>IF(P3300="","",IF(ISNUMBER(I3300),I3300,TasaUSD))</f>
        <v/>
      </c>
      <c r="S3300" s="53">
        <f>IF(P3300="","",IF(H3300="USD",G3300*R3300,G3300))</f>
        <v/>
      </c>
      <c r="T3300" s="53">
        <f>IF(P3300="","",IF(H3300="USD",G3300,IF(R3300&gt;0,G3300/R3300,0)))</f>
        <v/>
      </c>
      <c r="U3300" s="53">
        <f>IF(P3300="","",IF(P3300="Gasto",S3300,IF(P3300="Reembolso",-S3300,0)))</f>
        <v/>
      </c>
      <c r="V3300" s="53">
        <f>IF(P3300="","",IF(P3300="Ingreso",S3300,0))</f>
        <v/>
      </c>
      <c r="W3300" s="53">
        <f>IF(P3300="","",IF(P3300="Resultado trading",S3300,0))</f>
        <v/>
      </c>
      <c r="X3300" s="52">
        <f>IF(OR(P3300="Gasto",P3300="Reembolso"),IF(M3300&lt;&gt;"",M3300,IFERROR(INDEX(catClasif,MATCH(D3300&amp;"|"&amp;E3300,catClave,0))&amp;"","Variable")),"")</f>
        <v/>
      </c>
      <c r="Y3300" s="52">
        <f>IF(P3300="","",IFERROR(INDEX(catGrupo,MATCH(D3300&amp;"|"&amp;E3300,catClave,0))&amp;"",""))</f>
        <v/>
      </c>
      <c r="Z3300" s="52">
        <f>IF(P3300="","",WEEKDAY(B3300,2))</f>
        <v/>
      </c>
      <c r="AA3300" s="52">
        <f>IF(P3300="","",IF(AND(P3300="Gasto",X3300="Variable",D3300&lt;&gt;catTrading,S3300&gt;0,S3300&lt;=Umbral),1,0))</f>
        <v/>
      </c>
      <c r="AB3300" s="52">
        <f>IF(OR(P3300="",Q3300=""),"",IFERROR(IF(INDEX(ctaVinc,MATCH(Q3300,ctaNombre,0))&amp;""&lt;&gt;"",INDEX(ctaVinc,MATCH(Q3300,ctaNombre,0))&amp;"",Q3300),Q3300))</f>
        <v/>
      </c>
      <c r="AC3300" s="52">
        <f>IF(OR(K3300="",AND(P3300&lt;&gt;"Transferencia",P3300&lt;&gt;"Pago tarjeta")),"",IFERROR(IF(INDEX(ctaVinc,MATCH(K3300,ctaNombre,0))&amp;""&lt;&gt;"",INDEX(ctaVinc,MATCH(K3300,ctaNombre,0))&amp;"",K3300),K3300))</f>
        <v/>
      </c>
      <c r="AD3300" s="52">
        <f>IF(AB3300="","",IFERROR(INDEX(ctaTipo,MATCH(AB3300,ctaNombre,0))&amp;"",""))</f>
        <v/>
      </c>
      <c r="AE3300" s="52">
        <f>IF(AC3300="","",IFERROR(INDEX(ctaTipo,MATCH(AC3300,ctaNombre,0))&amp;"",""))</f>
        <v/>
      </c>
      <c r="AF3300" s="53">
        <f>IF(OR(P3300="",AB3300=""),"",IF(OR(P3300="Gasto",P3300="Transferencia",P3300="Pago tarjeta"),-1,1)*IF(IFERROR(INDEX(ctaMoneda,MATCH(AB3300,ctaNombre,0))&amp;"","DOP")="USD",T3300,S3300))</f>
        <v/>
      </c>
      <c r="AG3300" s="53">
        <f>IF(AC3300="","",IF(IFERROR(INDEX(ctaMoneda,MATCH(AC3300,ctaNombre,0))&amp;"","DOP")="USD",T3300,S3300))</f>
        <v/>
      </c>
      <c r="AH3300" s="53">
        <f>IF(P3300="","",IF(AND(AD3300&lt;&gt;"",COUNTIFS(tcTipo,AD3300,tcLiq,"Sí")&gt;0),IF(OR(P3300="Gasto",P3300="Transferencia",P3300="Pago tarjeta"),-1,1)*S3300,0)+IF(AND(AE3300&lt;&gt;"",COUNTIFS(tcTipo,AE3300,tcLiq,"Sí")&gt;0),S3300,0))</f>
        <v/>
      </c>
      <c r="AI3300" s="52">
        <f>IF(OR(L3300="",P3300=""),"",IF(COUNTIFS(L$6:L3300,L3300,P$6:P3300,"?*")=1,MAX(AI$5:AI3299)+1,""))</f>
        <v/>
      </c>
    </row>
    <row r="3301">
      <c r="B3301" s="47" t="n"/>
      <c r="C3301" s="48" t="n"/>
      <c r="D3301" s="48" t="n"/>
      <c r="E3301" s="48" t="n"/>
      <c r="F3301" s="48" t="n"/>
      <c r="G3301" s="49" t="n"/>
      <c r="H3301" s="48" t="n"/>
      <c r="I3301" s="50" t="n"/>
      <c r="J3301" s="48" t="n"/>
      <c r="K3301" s="48" t="n"/>
      <c r="L3301" s="48" t="n"/>
      <c r="M3301" s="48" t="n"/>
      <c r="N3301" s="48" t="n"/>
      <c r="O3301" s="51">
        <f>IF(AND(B3301="",G3301="",C3301="",D3301="",J3301=""),"",IF(B3301="","⚠ Falta fecha",IF(G3301="","⚠ Falta monto",IF(Q3301="","⚠ Falta cuenta",IF(ISNA(MATCH(Q3301,ctaNombre,0)),"⚠ Cuenta no registrada",IF(AND(OR(P3301="Gasto",P3301="Reembolso"),D3301=""),"⚠ Falta categoría",IF(AND(D3301&lt;&gt;"",E3301&lt;&gt;"",ISNA(MATCH(D3301&amp;"|"&amp;E3301,catClave,0))),"⚠ Subcategoría no corresponde",IF(AND(OR(P3301="Transferencia",P3301="Pago tarjeta"),K3301=""),"⚠ Falta cuenta destino",IF(AND(K3301&lt;&gt;"",P3301&lt;&gt;"Transferencia",P3301&lt;&gt;"Pago tarjeta"),"⚠ Destino solo aplica a transferencias",IF(AND(K3301&lt;&gt;"",K3301=Q3301),"⚠ Origen igual a destino",IF(AND(K3301&lt;&gt;"",ISNA(MATCH(K3301,ctaNombre,0))),"⚠ Destino no registrado",IF(AND(P3301="Pago tarjeta",AE3301&lt;&gt;"Tarjeta de crédito"),"⚠ El destino debe ser tarjeta de crédito",IF(AND(P3301="Gasto",E3301="Depósitos y retiros"),"⚠ Usa tipo Transferencia",IF(AND(P3301="Resultado trading",AD3301&lt;&gt;"Cuenta de trading"),"⚠ Usa una cuenta de trading",IF(AND(G3301&lt;=0,P3301&lt;&gt;"Ajuste",P3301&lt;&gt;"Resultado trading"),"⚠ El monto debe ser positivo","✓")))))))))))))))</f>
        <v/>
      </c>
      <c r="P3301" s="52">
        <f>IF(OR(B3301="",G3301=""),"",IF(C3301="","Gasto",C3301))</f>
        <v/>
      </c>
      <c r="Q3301" s="52">
        <f>IF(P3301="","",IF(J3301&lt;&gt;"",J3301,CuentaPred&amp;""))</f>
        <v/>
      </c>
      <c r="R3301" s="52">
        <f>IF(P3301="","",IF(ISNUMBER(I3301),I3301,TasaUSD))</f>
        <v/>
      </c>
      <c r="S3301" s="53">
        <f>IF(P3301="","",IF(H3301="USD",G3301*R3301,G3301))</f>
        <v/>
      </c>
      <c r="T3301" s="53">
        <f>IF(P3301="","",IF(H3301="USD",G3301,IF(R3301&gt;0,G3301/R3301,0)))</f>
        <v/>
      </c>
      <c r="U3301" s="53">
        <f>IF(P3301="","",IF(P3301="Gasto",S3301,IF(P3301="Reembolso",-S3301,0)))</f>
        <v/>
      </c>
      <c r="V3301" s="53">
        <f>IF(P3301="","",IF(P3301="Ingreso",S3301,0))</f>
        <v/>
      </c>
      <c r="W3301" s="53">
        <f>IF(P3301="","",IF(P3301="Resultado trading",S3301,0))</f>
        <v/>
      </c>
      <c r="X3301" s="52">
        <f>IF(OR(P3301="Gasto",P3301="Reembolso"),IF(M3301&lt;&gt;"",M3301,IFERROR(INDEX(catClasif,MATCH(D3301&amp;"|"&amp;E3301,catClave,0))&amp;"","Variable")),"")</f>
        <v/>
      </c>
      <c r="Y3301" s="52">
        <f>IF(P3301="","",IFERROR(INDEX(catGrupo,MATCH(D3301&amp;"|"&amp;E3301,catClave,0))&amp;"",""))</f>
        <v/>
      </c>
      <c r="Z3301" s="52">
        <f>IF(P3301="","",WEEKDAY(B3301,2))</f>
        <v/>
      </c>
      <c r="AA3301" s="52">
        <f>IF(P3301="","",IF(AND(P3301="Gasto",X3301="Variable",D3301&lt;&gt;catTrading,S3301&gt;0,S3301&lt;=Umbral),1,0))</f>
        <v/>
      </c>
      <c r="AB3301" s="52">
        <f>IF(OR(P3301="",Q3301=""),"",IFERROR(IF(INDEX(ctaVinc,MATCH(Q3301,ctaNombre,0))&amp;""&lt;&gt;"",INDEX(ctaVinc,MATCH(Q3301,ctaNombre,0))&amp;"",Q3301),Q3301))</f>
        <v/>
      </c>
      <c r="AC3301" s="52">
        <f>IF(OR(K3301="",AND(P3301&lt;&gt;"Transferencia",P3301&lt;&gt;"Pago tarjeta")),"",IFERROR(IF(INDEX(ctaVinc,MATCH(K3301,ctaNombre,0))&amp;""&lt;&gt;"",INDEX(ctaVinc,MATCH(K3301,ctaNombre,0))&amp;"",K3301),K3301))</f>
        <v/>
      </c>
      <c r="AD3301" s="52">
        <f>IF(AB3301="","",IFERROR(INDEX(ctaTipo,MATCH(AB3301,ctaNombre,0))&amp;"",""))</f>
        <v/>
      </c>
      <c r="AE3301" s="52">
        <f>IF(AC3301="","",IFERROR(INDEX(ctaTipo,MATCH(AC3301,ctaNombre,0))&amp;"",""))</f>
        <v/>
      </c>
      <c r="AF3301" s="53">
        <f>IF(OR(P3301="",AB3301=""),"",IF(OR(P3301="Gasto",P3301="Transferencia",P3301="Pago tarjeta"),-1,1)*IF(IFERROR(INDEX(ctaMoneda,MATCH(AB3301,ctaNombre,0))&amp;"","DOP")="USD",T3301,S3301))</f>
        <v/>
      </c>
      <c r="AG3301" s="53">
        <f>IF(AC3301="","",IF(IFERROR(INDEX(ctaMoneda,MATCH(AC3301,ctaNombre,0))&amp;"","DOP")="USD",T3301,S3301))</f>
        <v/>
      </c>
      <c r="AH3301" s="53">
        <f>IF(P3301="","",IF(AND(AD3301&lt;&gt;"",COUNTIFS(tcTipo,AD3301,tcLiq,"Sí")&gt;0),IF(OR(P3301="Gasto",P3301="Transferencia",P3301="Pago tarjeta"),-1,1)*S3301,0)+IF(AND(AE3301&lt;&gt;"",COUNTIFS(tcTipo,AE3301,tcLiq,"Sí")&gt;0),S3301,0))</f>
        <v/>
      </c>
      <c r="AI3301" s="52">
        <f>IF(OR(L3301="",P3301=""),"",IF(COUNTIFS(L$6:L3301,L3301,P$6:P3301,"?*")=1,MAX(AI$5:AI3300)+1,""))</f>
        <v/>
      </c>
    </row>
    <row r="3302">
      <c r="B3302" s="47" t="n"/>
      <c r="C3302" s="48" t="n"/>
      <c r="D3302" s="48" t="n"/>
      <c r="E3302" s="48" t="n"/>
      <c r="F3302" s="48" t="n"/>
      <c r="G3302" s="49" t="n"/>
      <c r="H3302" s="48" t="n"/>
      <c r="I3302" s="50" t="n"/>
      <c r="J3302" s="48" t="n"/>
      <c r="K3302" s="48" t="n"/>
      <c r="L3302" s="48" t="n"/>
      <c r="M3302" s="48" t="n"/>
      <c r="N3302" s="48" t="n"/>
      <c r="O3302" s="51">
        <f>IF(AND(B3302="",G3302="",C3302="",D3302="",J3302=""),"",IF(B3302="","⚠ Falta fecha",IF(G3302="","⚠ Falta monto",IF(Q3302="","⚠ Falta cuenta",IF(ISNA(MATCH(Q3302,ctaNombre,0)),"⚠ Cuenta no registrada",IF(AND(OR(P3302="Gasto",P3302="Reembolso"),D3302=""),"⚠ Falta categoría",IF(AND(D3302&lt;&gt;"",E3302&lt;&gt;"",ISNA(MATCH(D3302&amp;"|"&amp;E3302,catClave,0))),"⚠ Subcategoría no corresponde",IF(AND(OR(P3302="Transferencia",P3302="Pago tarjeta"),K3302=""),"⚠ Falta cuenta destino",IF(AND(K3302&lt;&gt;"",P3302&lt;&gt;"Transferencia",P3302&lt;&gt;"Pago tarjeta"),"⚠ Destino solo aplica a transferencias",IF(AND(K3302&lt;&gt;"",K3302=Q3302),"⚠ Origen igual a destino",IF(AND(K3302&lt;&gt;"",ISNA(MATCH(K3302,ctaNombre,0))),"⚠ Destino no registrado",IF(AND(P3302="Pago tarjeta",AE3302&lt;&gt;"Tarjeta de crédito"),"⚠ El destino debe ser tarjeta de crédito",IF(AND(P3302="Gasto",E3302="Depósitos y retiros"),"⚠ Usa tipo Transferencia",IF(AND(P3302="Resultado trading",AD3302&lt;&gt;"Cuenta de trading"),"⚠ Usa una cuenta de trading",IF(AND(G3302&lt;=0,P3302&lt;&gt;"Ajuste",P3302&lt;&gt;"Resultado trading"),"⚠ El monto debe ser positivo","✓")))))))))))))))</f>
        <v/>
      </c>
      <c r="P3302" s="52">
        <f>IF(OR(B3302="",G3302=""),"",IF(C3302="","Gasto",C3302))</f>
        <v/>
      </c>
      <c r="Q3302" s="52">
        <f>IF(P3302="","",IF(J3302&lt;&gt;"",J3302,CuentaPred&amp;""))</f>
        <v/>
      </c>
      <c r="R3302" s="52">
        <f>IF(P3302="","",IF(ISNUMBER(I3302),I3302,TasaUSD))</f>
        <v/>
      </c>
      <c r="S3302" s="53">
        <f>IF(P3302="","",IF(H3302="USD",G3302*R3302,G3302))</f>
        <v/>
      </c>
      <c r="T3302" s="53">
        <f>IF(P3302="","",IF(H3302="USD",G3302,IF(R3302&gt;0,G3302/R3302,0)))</f>
        <v/>
      </c>
      <c r="U3302" s="53">
        <f>IF(P3302="","",IF(P3302="Gasto",S3302,IF(P3302="Reembolso",-S3302,0)))</f>
        <v/>
      </c>
      <c r="V3302" s="53">
        <f>IF(P3302="","",IF(P3302="Ingreso",S3302,0))</f>
        <v/>
      </c>
      <c r="W3302" s="53">
        <f>IF(P3302="","",IF(P3302="Resultado trading",S3302,0))</f>
        <v/>
      </c>
      <c r="X3302" s="52">
        <f>IF(OR(P3302="Gasto",P3302="Reembolso"),IF(M3302&lt;&gt;"",M3302,IFERROR(INDEX(catClasif,MATCH(D3302&amp;"|"&amp;E3302,catClave,0))&amp;"","Variable")),"")</f>
        <v/>
      </c>
      <c r="Y3302" s="52">
        <f>IF(P3302="","",IFERROR(INDEX(catGrupo,MATCH(D3302&amp;"|"&amp;E3302,catClave,0))&amp;"",""))</f>
        <v/>
      </c>
      <c r="Z3302" s="52">
        <f>IF(P3302="","",WEEKDAY(B3302,2))</f>
        <v/>
      </c>
      <c r="AA3302" s="52">
        <f>IF(P3302="","",IF(AND(P3302="Gasto",X3302="Variable",D3302&lt;&gt;catTrading,S3302&gt;0,S3302&lt;=Umbral),1,0))</f>
        <v/>
      </c>
      <c r="AB3302" s="52">
        <f>IF(OR(P3302="",Q3302=""),"",IFERROR(IF(INDEX(ctaVinc,MATCH(Q3302,ctaNombre,0))&amp;""&lt;&gt;"",INDEX(ctaVinc,MATCH(Q3302,ctaNombre,0))&amp;"",Q3302),Q3302))</f>
        <v/>
      </c>
      <c r="AC3302" s="52">
        <f>IF(OR(K3302="",AND(P3302&lt;&gt;"Transferencia",P3302&lt;&gt;"Pago tarjeta")),"",IFERROR(IF(INDEX(ctaVinc,MATCH(K3302,ctaNombre,0))&amp;""&lt;&gt;"",INDEX(ctaVinc,MATCH(K3302,ctaNombre,0))&amp;"",K3302),K3302))</f>
        <v/>
      </c>
      <c r="AD3302" s="52">
        <f>IF(AB3302="","",IFERROR(INDEX(ctaTipo,MATCH(AB3302,ctaNombre,0))&amp;"",""))</f>
        <v/>
      </c>
      <c r="AE3302" s="52">
        <f>IF(AC3302="","",IFERROR(INDEX(ctaTipo,MATCH(AC3302,ctaNombre,0))&amp;"",""))</f>
        <v/>
      </c>
      <c r="AF3302" s="53">
        <f>IF(OR(P3302="",AB3302=""),"",IF(OR(P3302="Gasto",P3302="Transferencia",P3302="Pago tarjeta"),-1,1)*IF(IFERROR(INDEX(ctaMoneda,MATCH(AB3302,ctaNombre,0))&amp;"","DOP")="USD",T3302,S3302))</f>
        <v/>
      </c>
      <c r="AG3302" s="53">
        <f>IF(AC3302="","",IF(IFERROR(INDEX(ctaMoneda,MATCH(AC3302,ctaNombre,0))&amp;"","DOP")="USD",T3302,S3302))</f>
        <v/>
      </c>
      <c r="AH3302" s="53">
        <f>IF(P3302="","",IF(AND(AD3302&lt;&gt;"",COUNTIFS(tcTipo,AD3302,tcLiq,"Sí")&gt;0),IF(OR(P3302="Gasto",P3302="Transferencia",P3302="Pago tarjeta"),-1,1)*S3302,0)+IF(AND(AE3302&lt;&gt;"",COUNTIFS(tcTipo,AE3302,tcLiq,"Sí")&gt;0),S3302,0))</f>
        <v/>
      </c>
      <c r="AI3302" s="52">
        <f>IF(OR(L3302="",P3302=""),"",IF(COUNTIFS(L$6:L3302,L3302,P$6:P3302,"?*")=1,MAX(AI$5:AI3301)+1,""))</f>
        <v/>
      </c>
    </row>
    <row r="3303">
      <c r="B3303" s="47" t="n"/>
      <c r="C3303" s="48" t="n"/>
      <c r="D3303" s="48" t="n"/>
      <c r="E3303" s="48" t="n"/>
      <c r="F3303" s="48" t="n"/>
      <c r="G3303" s="49" t="n"/>
      <c r="H3303" s="48" t="n"/>
      <c r="I3303" s="50" t="n"/>
      <c r="J3303" s="48" t="n"/>
      <c r="K3303" s="48" t="n"/>
      <c r="L3303" s="48" t="n"/>
      <c r="M3303" s="48" t="n"/>
      <c r="N3303" s="48" t="n"/>
      <c r="O3303" s="51">
        <f>IF(AND(B3303="",G3303="",C3303="",D3303="",J3303=""),"",IF(B3303="","⚠ Falta fecha",IF(G3303="","⚠ Falta monto",IF(Q3303="","⚠ Falta cuenta",IF(ISNA(MATCH(Q3303,ctaNombre,0)),"⚠ Cuenta no registrada",IF(AND(OR(P3303="Gasto",P3303="Reembolso"),D3303=""),"⚠ Falta categoría",IF(AND(D3303&lt;&gt;"",E3303&lt;&gt;"",ISNA(MATCH(D3303&amp;"|"&amp;E3303,catClave,0))),"⚠ Subcategoría no corresponde",IF(AND(OR(P3303="Transferencia",P3303="Pago tarjeta"),K3303=""),"⚠ Falta cuenta destino",IF(AND(K3303&lt;&gt;"",P3303&lt;&gt;"Transferencia",P3303&lt;&gt;"Pago tarjeta"),"⚠ Destino solo aplica a transferencias",IF(AND(K3303&lt;&gt;"",K3303=Q3303),"⚠ Origen igual a destino",IF(AND(K3303&lt;&gt;"",ISNA(MATCH(K3303,ctaNombre,0))),"⚠ Destino no registrado",IF(AND(P3303="Pago tarjeta",AE3303&lt;&gt;"Tarjeta de crédito"),"⚠ El destino debe ser tarjeta de crédito",IF(AND(P3303="Gasto",E3303="Depósitos y retiros"),"⚠ Usa tipo Transferencia",IF(AND(P3303="Resultado trading",AD3303&lt;&gt;"Cuenta de trading"),"⚠ Usa una cuenta de trading",IF(AND(G3303&lt;=0,P3303&lt;&gt;"Ajuste",P3303&lt;&gt;"Resultado trading"),"⚠ El monto debe ser positivo","✓")))))))))))))))</f>
        <v/>
      </c>
      <c r="P3303" s="52">
        <f>IF(OR(B3303="",G3303=""),"",IF(C3303="","Gasto",C3303))</f>
        <v/>
      </c>
      <c r="Q3303" s="52">
        <f>IF(P3303="","",IF(J3303&lt;&gt;"",J3303,CuentaPred&amp;""))</f>
        <v/>
      </c>
      <c r="R3303" s="52">
        <f>IF(P3303="","",IF(ISNUMBER(I3303),I3303,TasaUSD))</f>
        <v/>
      </c>
      <c r="S3303" s="53">
        <f>IF(P3303="","",IF(H3303="USD",G3303*R3303,G3303))</f>
        <v/>
      </c>
      <c r="T3303" s="53">
        <f>IF(P3303="","",IF(H3303="USD",G3303,IF(R3303&gt;0,G3303/R3303,0)))</f>
        <v/>
      </c>
      <c r="U3303" s="53">
        <f>IF(P3303="","",IF(P3303="Gasto",S3303,IF(P3303="Reembolso",-S3303,0)))</f>
        <v/>
      </c>
      <c r="V3303" s="53">
        <f>IF(P3303="","",IF(P3303="Ingreso",S3303,0))</f>
        <v/>
      </c>
      <c r="W3303" s="53">
        <f>IF(P3303="","",IF(P3303="Resultado trading",S3303,0))</f>
        <v/>
      </c>
      <c r="X3303" s="52">
        <f>IF(OR(P3303="Gasto",P3303="Reembolso"),IF(M3303&lt;&gt;"",M3303,IFERROR(INDEX(catClasif,MATCH(D3303&amp;"|"&amp;E3303,catClave,0))&amp;"","Variable")),"")</f>
        <v/>
      </c>
      <c r="Y3303" s="52">
        <f>IF(P3303="","",IFERROR(INDEX(catGrupo,MATCH(D3303&amp;"|"&amp;E3303,catClave,0))&amp;"",""))</f>
        <v/>
      </c>
      <c r="Z3303" s="52">
        <f>IF(P3303="","",WEEKDAY(B3303,2))</f>
        <v/>
      </c>
      <c r="AA3303" s="52">
        <f>IF(P3303="","",IF(AND(P3303="Gasto",X3303="Variable",D3303&lt;&gt;catTrading,S3303&gt;0,S3303&lt;=Umbral),1,0))</f>
        <v/>
      </c>
      <c r="AB3303" s="52">
        <f>IF(OR(P3303="",Q3303=""),"",IFERROR(IF(INDEX(ctaVinc,MATCH(Q3303,ctaNombre,0))&amp;""&lt;&gt;"",INDEX(ctaVinc,MATCH(Q3303,ctaNombre,0))&amp;"",Q3303),Q3303))</f>
        <v/>
      </c>
      <c r="AC3303" s="52">
        <f>IF(OR(K3303="",AND(P3303&lt;&gt;"Transferencia",P3303&lt;&gt;"Pago tarjeta")),"",IFERROR(IF(INDEX(ctaVinc,MATCH(K3303,ctaNombre,0))&amp;""&lt;&gt;"",INDEX(ctaVinc,MATCH(K3303,ctaNombre,0))&amp;"",K3303),K3303))</f>
        <v/>
      </c>
      <c r="AD3303" s="52">
        <f>IF(AB3303="","",IFERROR(INDEX(ctaTipo,MATCH(AB3303,ctaNombre,0))&amp;"",""))</f>
        <v/>
      </c>
      <c r="AE3303" s="52">
        <f>IF(AC3303="","",IFERROR(INDEX(ctaTipo,MATCH(AC3303,ctaNombre,0))&amp;"",""))</f>
        <v/>
      </c>
      <c r="AF3303" s="53">
        <f>IF(OR(P3303="",AB3303=""),"",IF(OR(P3303="Gasto",P3303="Transferencia",P3303="Pago tarjeta"),-1,1)*IF(IFERROR(INDEX(ctaMoneda,MATCH(AB3303,ctaNombre,0))&amp;"","DOP")="USD",T3303,S3303))</f>
        <v/>
      </c>
      <c r="AG3303" s="53">
        <f>IF(AC3303="","",IF(IFERROR(INDEX(ctaMoneda,MATCH(AC3303,ctaNombre,0))&amp;"","DOP")="USD",T3303,S3303))</f>
        <v/>
      </c>
      <c r="AH3303" s="53">
        <f>IF(P3303="","",IF(AND(AD3303&lt;&gt;"",COUNTIFS(tcTipo,AD3303,tcLiq,"Sí")&gt;0),IF(OR(P3303="Gasto",P3303="Transferencia",P3303="Pago tarjeta"),-1,1)*S3303,0)+IF(AND(AE3303&lt;&gt;"",COUNTIFS(tcTipo,AE3303,tcLiq,"Sí")&gt;0),S3303,0))</f>
        <v/>
      </c>
      <c r="AI3303" s="52">
        <f>IF(OR(L3303="",P3303=""),"",IF(COUNTIFS(L$6:L3303,L3303,P$6:P3303,"?*")=1,MAX(AI$5:AI3302)+1,""))</f>
        <v/>
      </c>
    </row>
    <row r="3304">
      <c r="B3304" s="47" t="n"/>
      <c r="C3304" s="48" t="n"/>
      <c r="D3304" s="48" t="n"/>
      <c r="E3304" s="48" t="n"/>
      <c r="F3304" s="48" t="n"/>
      <c r="G3304" s="49" t="n"/>
      <c r="H3304" s="48" t="n"/>
      <c r="I3304" s="50" t="n"/>
      <c r="J3304" s="48" t="n"/>
      <c r="K3304" s="48" t="n"/>
      <c r="L3304" s="48" t="n"/>
      <c r="M3304" s="48" t="n"/>
      <c r="N3304" s="48" t="n"/>
      <c r="O3304" s="51">
        <f>IF(AND(B3304="",G3304="",C3304="",D3304="",J3304=""),"",IF(B3304="","⚠ Falta fecha",IF(G3304="","⚠ Falta monto",IF(Q3304="","⚠ Falta cuenta",IF(ISNA(MATCH(Q3304,ctaNombre,0)),"⚠ Cuenta no registrada",IF(AND(OR(P3304="Gasto",P3304="Reembolso"),D3304=""),"⚠ Falta categoría",IF(AND(D3304&lt;&gt;"",E3304&lt;&gt;"",ISNA(MATCH(D3304&amp;"|"&amp;E3304,catClave,0))),"⚠ Subcategoría no corresponde",IF(AND(OR(P3304="Transferencia",P3304="Pago tarjeta"),K3304=""),"⚠ Falta cuenta destino",IF(AND(K3304&lt;&gt;"",P3304&lt;&gt;"Transferencia",P3304&lt;&gt;"Pago tarjeta"),"⚠ Destino solo aplica a transferencias",IF(AND(K3304&lt;&gt;"",K3304=Q3304),"⚠ Origen igual a destino",IF(AND(K3304&lt;&gt;"",ISNA(MATCH(K3304,ctaNombre,0))),"⚠ Destino no registrado",IF(AND(P3304="Pago tarjeta",AE3304&lt;&gt;"Tarjeta de crédito"),"⚠ El destino debe ser tarjeta de crédito",IF(AND(P3304="Gasto",E3304="Depósitos y retiros"),"⚠ Usa tipo Transferencia",IF(AND(P3304="Resultado trading",AD3304&lt;&gt;"Cuenta de trading"),"⚠ Usa una cuenta de trading",IF(AND(G3304&lt;=0,P3304&lt;&gt;"Ajuste",P3304&lt;&gt;"Resultado trading"),"⚠ El monto debe ser positivo","✓")))))))))))))))</f>
        <v/>
      </c>
      <c r="P3304" s="52">
        <f>IF(OR(B3304="",G3304=""),"",IF(C3304="","Gasto",C3304))</f>
        <v/>
      </c>
      <c r="Q3304" s="52">
        <f>IF(P3304="","",IF(J3304&lt;&gt;"",J3304,CuentaPred&amp;""))</f>
        <v/>
      </c>
      <c r="R3304" s="52">
        <f>IF(P3304="","",IF(ISNUMBER(I3304),I3304,TasaUSD))</f>
        <v/>
      </c>
      <c r="S3304" s="53">
        <f>IF(P3304="","",IF(H3304="USD",G3304*R3304,G3304))</f>
        <v/>
      </c>
      <c r="T3304" s="53">
        <f>IF(P3304="","",IF(H3304="USD",G3304,IF(R3304&gt;0,G3304/R3304,0)))</f>
        <v/>
      </c>
      <c r="U3304" s="53">
        <f>IF(P3304="","",IF(P3304="Gasto",S3304,IF(P3304="Reembolso",-S3304,0)))</f>
        <v/>
      </c>
      <c r="V3304" s="53">
        <f>IF(P3304="","",IF(P3304="Ingreso",S3304,0))</f>
        <v/>
      </c>
      <c r="W3304" s="53">
        <f>IF(P3304="","",IF(P3304="Resultado trading",S3304,0))</f>
        <v/>
      </c>
      <c r="X3304" s="52">
        <f>IF(OR(P3304="Gasto",P3304="Reembolso"),IF(M3304&lt;&gt;"",M3304,IFERROR(INDEX(catClasif,MATCH(D3304&amp;"|"&amp;E3304,catClave,0))&amp;"","Variable")),"")</f>
        <v/>
      </c>
      <c r="Y3304" s="52">
        <f>IF(P3304="","",IFERROR(INDEX(catGrupo,MATCH(D3304&amp;"|"&amp;E3304,catClave,0))&amp;"",""))</f>
        <v/>
      </c>
      <c r="Z3304" s="52">
        <f>IF(P3304="","",WEEKDAY(B3304,2))</f>
        <v/>
      </c>
      <c r="AA3304" s="52">
        <f>IF(P3304="","",IF(AND(P3304="Gasto",X3304="Variable",D3304&lt;&gt;catTrading,S3304&gt;0,S3304&lt;=Umbral),1,0))</f>
        <v/>
      </c>
      <c r="AB3304" s="52">
        <f>IF(OR(P3304="",Q3304=""),"",IFERROR(IF(INDEX(ctaVinc,MATCH(Q3304,ctaNombre,0))&amp;""&lt;&gt;"",INDEX(ctaVinc,MATCH(Q3304,ctaNombre,0))&amp;"",Q3304),Q3304))</f>
        <v/>
      </c>
      <c r="AC3304" s="52">
        <f>IF(OR(K3304="",AND(P3304&lt;&gt;"Transferencia",P3304&lt;&gt;"Pago tarjeta")),"",IFERROR(IF(INDEX(ctaVinc,MATCH(K3304,ctaNombre,0))&amp;""&lt;&gt;"",INDEX(ctaVinc,MATCH(K3304,ctaNombre,0))&amp;"",K3304),K3304))</f>
        <v/>
      </c>
      <c r="AD3304" s="52">
        <f>IF(AB3304="","",IFERROR(INDEX(ctaTipo,MATCH(AB3304,ctaNombre,0))&amp;"",""))</f>
        <v/>
      </c>
      <c r="AE3304" s="52">
        <f>IF(AC3304="","",IFERROR(INDEX(ctaTipo,MATCH(AC3304,ctaNombre,0))&amp;"",""))</f>
        <v/>
      </c>
      <c r="AF3304" s="53">
        <f>IF(OR(P3304="",AB3304=""),"",IF(OR(P3304="Gasto",P3304="Transferencia",P3304="Pago tarjeta"),-1,1)*IF(IFERROR(INDEX(ctaMoneda,MATCH(AB3304,ctaNombre,0))&amp;"","DOP")="USD",T3304,S3304))</f>
        <v/>
      </c>
      <c r="AG3304" s="53">
        <f>IF(AC3304="","",IF(IFERROR(INDEX(ctaMoneda,MATCH(AC3304,ctaNombre,0))&amp;"","DOP")="USD",T3304,S3304))</f>
        <v/>
      </c>
      <c r="AH3304" s="53">
        <f>IF(P3304="","",IF(AND(AD3304&lt;&gt;"",COUNTIFS(tcTipo,AD3304,tcLiq,"Sí")&gt;0),IF(OR(P3304="Gasto",P3304="Transferencia",P3304="Pago tarjeta"),-1,1)*S3304,0)+IF(AND(AE3304&lt;&gt;"",COUNTIFS(tcTipo,AE3304,tcLiq,"Sí")&gt;0),S3304,0))</f>
        <v/>
      </c>
      <c r="AI3304" s="52">
        <f>IF(OR(L3304="",P3304=""),"",IF(COUNTIFS(L$6:L3304,L3304,P$6:P3304,"?*")=1,MAX(AI$5:AI3303)+1,""))</f>
        <v/>
      </c>
    </row>
    <row r="3305">
      <c r="B3305" s="47" t="n"/>
      <c r="C3305" s="48" t="n"/>
      <c r="D3305" s="48" t="n"/>
      <c r="E3305" s="48" t="n"/>
      <c r="F3305" s="48" t="n"/>
      <c r="G3305" s="49" t="n"/>
      <c r="H3305" s="48" t="n"/>
      <c r="I3305" s="50" t="n"/>
      <c r="J3305" s="48" t="n"/>
      <c r="K3305" s="48" t="n"/>
      <c r="L3305" s="48" t="n"/>
      <c r="M3305" s="48" t="n"/>
      <c r="N3305" s="48" t="n"/>
      <c r="O3305" s="51">
        <f>IF(AND(B3305="",G3305="",C3305="",D3305="",J3305=""),"",IF(B3305="","⚠ Falta fecha",IF(G3305="","⚠ Falta monto",IF(Q3305="","⚠ Falta cuenta",IF(ISNA(MATCH(Q3305,ctaNombre,0)),"⚠ Cuenta no registrada",IF(AND(OR(P3305="Gasto",P3305="Reembolso"),D3305=""),"⚠ Falta categoría",IF(AND(D3305&lt;&gt;"",E3305&lt;&gt;"",ISNA(MATCH(D3305&amp;"|"&amp;E3305,catClave,0))),"⚠ Subcategoría no corresponde",IF(AND(OR(P3305="Transferencia",P3305="Pago tarjeta"),K3305=""),"⚠ Falta cuenta destino",IF(AND(K3305&lt;&gt;"",P3305&lt;&gt;"Transferencia",P3305&lt;&gt;"Pago tarjeta"),"⚠ Destino solo aplica a transferencias",IF(AND(K3305&lt;&gt;"",K3305=Q3305),"⚠ Origen igual a destino",IF(AND(K3305&lt;&gt;"",ISNA(MATCH(K3305,ctaNombre,0))),"⚠ Destino no registrado",IF(AND(P3305="Pago tarjeta",AE3305&lt;&gt;"Tarjeta de crédito"),"⚠ El destino debe ser tarjeta de crédito",IF(AND(P3305="Gasto",E3305="Depósitos y retiros"),"⚠ Usa tipo Transferencia",IF(AND(P3305="Resultado trading",AD3305&lt;&gt;"Cuenta de trading"),"⚠ Usa una cuenta de trading",IF(AND(G3305&lt;=0,P3305&lt;&gt;"Ajuste",P3305&lt;&gt;"Resultado trading"),"⚠ El monto debe ser positivo","✓")))))))))))))))</f>
        <v/>
      </c>
      <c r="P3305" s="52">
        <f>IF(OR(B3305="",G3305=""),"",IF(C3305="","Gasto",C3305))</f>
        <v/>
      </c>
      <c r="Q3305" s="52">
        <f>IF(P3305="","",IF(J3305&lt;&gt;"",J3305,CuentaPred&amp;""))</f>
        <v/>
      </c>
      <c r="R3305" s="52">
        <f>IF(P3305="","",IF(ISNUMBER(I3305),I3305,TasaUSD))</f>
        <v/>
      </c>
      <c r="S3305" s="53">
        <f>IF(P3305="","",IF(H3305="USD",G3305*R3305,G3305))</f>
        <v/>
      </c>
      <c r="T3305" s="53">
        <f>IF(P3305="","",IF(H3305="USD",G3305,IF(R3305&gt;0,G3305/R3305,0)))</f>
        <v/>
      </c>
      <c r="U3305" s="53">
        <f>IF(P3305="","",IF(P3305="Gasto",S3305,IF(P3305="Reembolso",-S3305,0)))</f>
        <v/>
      </c>
      <c r="V3305" s="53">
        <f>IF(P3305="","",IF(P3305="Ingreso",S3305,0))</f>
        <v/>
      </c>
      <c r="W3305" s="53">
        <f>IF(P3305="","",IF(P3305="Resultado trading",S3305,0))</f>
        <v/>
      </c>
      <c r="X3305" s="52">
        <f>IF(OR(P3305="Gasto",P3305="Reembolso"),IF(M3305&lt;&gt;"",M3305,IFERROR(INDEX(catClasif,MATCH(D3305&amp;"|"&amp;E3305,catClave,0))&amp;"","Variable")),"")</f>
        <v/>
      </c>
      <c r="Y3305" s="52">
        <f>IF(P3305="","",IFERROR(INDEX(catGrupo,MATCH(D3305&amp;"|"&amp;E3305,catClave,0))&amp;"",""))</f>
        <v/>
      </c>
      <c r="Z3305" s="52">
        <f>IF(P3305="","",WEEKDAY(B3305,2))</f>
        <v/>
      </c>
      <c r="AA3305" s="52">
        <f>IF(P3305="","",IF(AND(P3305="Gasto",X3305="Variable",D3305&lt;&gt;catTrading,S3305&gt;0,S3305&lt;=Umbral),1,0))</f>
        <v/>
      </c>
      <c r="AB3305" s="52">
        <f>IF(OR(P3305="",Q3305=""),"",IFERROR(IF(INDEX(ctaVinc,MATCH(Q3305,ctaNombre,0))&amp;""&lt;&gt;"",INDEX(ctaVinc,MATCH(Q3305,ctaNombre,0))&amp;"",Q3305),Q3305))</f>
        <v/>
      </c>
      <c r="AC3305" s="52">
        <f>IF(OR(K3305="",AND(P3305&lt;&gt;"Transferencia",P3305&lt;&gt;"Pago tarjeta")),"",IFERROR(IF(INDEX(ctaVinc,MATCH(K3305,ctaNombre,0))&amp;""&lt;&gt;"",INDEX(ctaVinc,MATCH(K3305,ctaNombre,0))&amp;"",K3305),K3305))</f>
        <v/>
      </c>
      <c r="AD3305" s="52">
        <f>IF(AB3305="","",IFERROR(INDEX(ctaTipo,MATCH(AB3305,ctaNombre,0))&amp;"",""))</f>
        <v/>
      </c>
      <c r="AE3305" s="52">
        <f>IF(AC3305="","",IFERROR(INDEX(ctaTipo,MATCH(AC3305,ctaNombre,0))&amp;"",""))</f>
        <v/>
      </c>
      <c r="AF3305" s="53">
        <f>IF(OR(P3305="",AB3305=""),"",IF(OR(P3305="Gasto",P3305="Transferencia",P3305="Pago tarjeta"),-1,1)*IF(IFERROR(INDEX(ctaMoneda,MATCH(AB3305,ctaNombre,0))&amp;"","DOP")="USD",T3305,S3305))</f>
        <v/>
      </c>
      <c r="AG3305" s="53">
        <f>IF(AC3305="","",IF(IFERROR(INDEX(ctaMoneda,MATCH(AC3305,ctaNombre,0))&amp;"","DOP")="USD",T3305,S3305))</f>
        <v/>
      </c>
      <c r="AH3305" s="53">
        <f>IF(P3305="","",IF(AND(AD3305&lt;&gt;"",COUNTIFS(tcTipo,AD3305,tcLiq,"Sí")&gt;0),IF(OR(P3305="Gasto",P3305="Transferencia",P3305="Pago tarjeta"),-1,1)*S3305,0)+IF(AND(AE3305&lt;&gt;"",COUNTIFS(tcTipo,AE3305,tcLiq,"Sí")&gt;0),S3305,0))</f>
        <v/>
      </c>
      <c r="AI3305" s="52">
        <f>IF(OR(L3305="",P3305=""),"",IF(COUNTIFS(L$6:L3305,L3305,P$6:P3305,"?*")=1,MAX(AI$5:AI3304)+1,""))</f>
        <v/>
      </c>
    </row>
    <row r="3306">
      <c r="B3306" s="47" t="n"/>
      <c r="C3306" s="48" t="n"/>
      <c r="D3306" s="48" t="n"/>
      <c r="E3306" s="48" t="n"/>
      <c r="F3306" s="48" t="n"/>
      <c r="G3306" s="49" t="n"/>
      <c r="H3306" s="48" t="n"/>
      <c r="I3306" s="50" t="n"/>
      <c r="J3306" s="48" t="n"/>
      <c r="K3306" s="48" t="n"/>
      <c r="L3306" s="48" t="n"/>
      <c r="M3306" s="48" t="n"/>
      <c r="N3306" s="48" t="n"/>
      <c r="O3306" s="51">
        <f>IF(AND(B3306="",G3306="",C3306="",D3306="",J3306=""),"",IF(B3306="","⚠ Falta fecha",IF(G3306="","⚠ Falta monto",IF(Q3306="","⚠ Falta cuenta",IF(ISNA(MATCH(Q3306,ctaNombre,0)),"⚠ Cuenta no registrada",IF(AND(OR(P3306="Gasto",P3306="Reembolso"),D3306=""),"⚠ Falta categoría",IF(AND(D3306&lt;&gt;"",E3306&lt;&gt;"",ISNA(MATCH(D3306&amp;"|"&amp;E3306,catClave,0))),"⚠ Subcategoría no corresponde",IF(AND(OR(P3306="Transferencia",P3306="Pago tarjeta"),K3306=""),"⚠ Falta cuenta destino",IF(AND(K3306&lt;&gt;"",P3306&lt;&gt;"Transferencia",P3306&lt;&gt;"Pago tarjeta"),"⚠ Destino solo aplica a transferencias",IF(AND(K3306&lt;&gt;"",K3306=Q3306),"⚠ Origen igual a destino",IF(AND(K3306&lt;&gt;"",ISNA(MATCH(K3306,ctaNombre,0))),"⚠ Destino no registrado",IF(AND(P3306="Pago tarjeta",AE3306&lt;&gt;"Tarjeta de crédito"),"⚠ El destino debe ser tarjeta de crédito",IF(AND(P3306="Gasto",E3306="Depósitos y retiros"),"⚠ Usa tipo Transferencia",IF(AND(P3306="Resultado trading",AD3306&lt;&gt;"Cuenta de trading"),"⚠ Usa una cuenta de trading",IF(AND(G3306&lt;=0,P3306&lt;&gt;"Ajuste",P3306&lt;&gt;"Resultado trading"),"⚠ El monto debe ser positivo","✓")))))))))))))))</f>
        <v/>
      </c>
      <c r="P3306" s="52">
        <f>IF(OR(B3306="",G3306=""),"",IF(C3306="","Gasto",C3306))</f>
        <v/>
      </c>
      <c r="Q3306" s="52">
        <f>IF(P3306="","",IF(J3306&lt;&gt;"",J3306,CuentaPred&amp;""))</f>
        <v/>
      </c>
      <c r="R3306" s="52">
        <f>IF(P3306="","",IF(ISNUMBER(I3306),I3306,TasaUSD))</f>
        <v/>
      </c>
      <c r="S3306" s="53">
        <f>IF(P3306="","",IF(H3306="USD",G3306*R3306,G3306))</f>
        <v/>
      </c>
      <c r="T3306" s="53">
        <f>IF(P3306="","",IF(H3306="USD",G3306,IF(R3306&gt;0,G3306/R3306,0)))</f>
        <v/>
      </c>
      <c r="U3306" s="53">
        <f>IF(P3306="","",IF(P3306="Gasto",S3306,IF(P3306="Reembolso",-S3306,0)))</f>
        <v/>
      </c>
      <c r="V3306" s="53">
        <f>IF(P3306="","",IF(P3306="Ingreso",S3306,0))</f>
        <v/>
      </c>
      <c r="W3306" s="53">
        <f>IF(P3306="","",IF(P3306="Resultado trading",S3306,0))</f>
        <v/>
      </c>
      <c r="X3306" s="52">
        <f>IF(OR(P3306="Gasto",P3306="Reembolso"),IF(M3306&lt;&gt;"",M3306,IFERROR(INDEX(catClasif,MATCH(D3306&amp;"|"&amp;E3306,catClave,0))&amp;"","Variable")),"")</f>
        <v/>
      </c>
      <c r="Y3306" s="52">
        <f>IF(P3306="","",IFERROR(INDEX(catGrupo,MATCH(D3306&amp;"|"&amp;E3306,catClave,0))&amp;"",""))</f>
        <v/>
      </c>
      <c r="Z3306" s="52">
        <f>IF(P3306="","",WEEKDAY(B3306,2))</f>
        <v/>
      </c>
      <c r="AA3306" s="52">
        <f>IF(P3306="","",IF(AND(P3306="Gasto",X3306="Variable",D3306&lt;&gt;catTrading,S3306&gt;0,S3306&lt;=Umbral),1,0))</f>
        <v/>
      </c>
      <c r="AB3306" s="52">
        <f>IF(OR(P3306="",Q3306=""),"",IFERROR(IF(INDEX(ctaVinc,MATCH(Q3306,ctaNombre,0))&amp;""&lt;&gt;"",INDEX(ctaVinc,MATCH(Q3306,ctaNombre,0))&amp;"",Q3306),Q3306))</f>
        <v/>
      </c>
      <c r="AC3306" s="52">
        <f>IF(OR(K3306="",AND(P3306&lt;&gt;"Transferencia",P3306&lt;&gt;"Pago tarjeta")),"",IFERROR(IF(INDEX(ctaVinc,MATCH(K3306,ctaNombre,0))&amp;""&lt;&gt;"",INDEX(ctaVinc,MATCH(K3306,ctaNombre,0))&amp;"",K3306),K3306))</f>
        <v/>
      </c>
      <c r="AD3306" s="52">
        <f>IF(AB3306="","",IFERROR(INDEX(ctaTipo,MATCH(AB3306,ctaNombre,0))&amp;"",""))</f>
        <v/>
      </c>
      <c r="AE3306" s="52">
        <f>IF(AC3306="","",IFERROR(INDEX(ctaTipo,MATCH(AC3306,ctaNombre,0))&amp;"",""))</f>
        <v/>
      </c>
      <c r="AF3306" s="53">
        <f>IF(OR(P3306="",AB3306=""),"",IF(OR(P3306="Gasto",P3306="Transferencia",P3306="Pago tarjeta"),-1,1)*IF(IFERROR(INDEX(ctaMoneda,MATCH(AB3306,ctaNombre,0))&amp;"","DOP")="USD",T3306,S3306))</f>
        <v/>
      </c>
      <c r="AG3306" s="53">
        <f>IF(AC3306="","",IF(IFERROR(INDEX(ctaMoneda,MATCH(AC3306,ctaNombre,0))&amp;"","DOP")="USD",T3306,S3306))</f>
        <v/>
      </c>
      <c r="AH3306" s="53">
        <f>IF(P3306="","",IF(AND(AD3306&lt;&gt;"",COUNTIFS(tcTipo,AD3306,tcLiq,"Sí")&gt;0),IF(OR(P3306="Gasto",P3306="Transferencia",P3306="Pago tarjeta"),-1,1)*S3306,0)+IF(AND(AE3306&lt;&gt;"",COUNTIFS(tcTipo,AE3306,tcLiq,"Sí")&gt;0),S3306,0))</f>
        <v/>
      </c>
      <c r="AI3306" s="52">
        <f>IF(OR(L3306="",P3306=""),"",IF(COUNTIFS(L$6:L3306,L3306,P$6:P3306,"?*")=1,MAX(AI$5:AI3305)+1,""))</f>
        <v/>
      </c>
    </row>
    <row r="3307">
      <c r="B3307" s="47" t="n"/>
      <c r="C3307" s="48" t="n"/>
      <c r="D3307" s="48" t="n"/>
      <c r="E3307" s="48" t="n"/>
      <c r="F3307" s="48" t="n"/>
      <c r="G3307" s="49" t="n"/>
      <c r="H3307" s="48" t="n"/>
      <c r="I3307" s="50" t="n"/>
      <c r="J3307" s="48" t="n"/>
      <c r="K3307" s="48" t="n"/>
      <c r="L3307" s="48" t="n"/>
      <c r="M3307" s="48" t="n"/>
      <c r="N3307" s="48" t="n"/>
      <c r="O3307" s="51">
        <f>IF(AND(B3307="",G3307="",C3307="",D3307="",J3307=""),"",IF(B3307="","⚠ Falta fecha",IF(G3307="","⚠ Falta monto",IF(Q3307="","⚠ Falta cuenta",IF(ISNA(MATCH(Q3307,ctaNombre,0)),"⚠ Cuenta no registrada",IF(AND(OR(P3307="Gasto",P3307="Reembolso"),D3307=""),"⚠ Falta categoría",IF(AND(D3307&lt;&gt;"",E3307&lt;&gt;"",ISNA(MATCH(D3307&amp;"|"&amp;E3307,catClave,0))),"⚠ Subcategoría no corresponde",IF(AND(OR(P3307="Transferencia",P3307="Pago tarjeta"),K3307=""),"⚠ Falta cuenta destino",IF(AND(K3307&lt;&gt;"",P3307&lt;&gt;"Transferencia",P3307&lt;&gt;"Pago tarjeta"),"⚠ Destino solo aplica a transferencias",IF(AND(K3307&lt;&gt;"",K3307=Q3307),"⚠ Origen igual a destino",IF(AND(K3307&lt;&gt;"",ISNA(MATCH(K3307,ctaNombre,0))),"⚠ Destino no registrado",IF(AND(P3307="Pago tarjeta",AE3307&lt;&gt;"Tarjeta de crédito"),"⚠ El destino debe ser tarjeta de crédito",IF(AND(P3307="Gasto",E3307="Depósitos y retiros"),"⚠ Usa tipo Transferencia",IF(AND(P3307="Resultado trading",AD3307&lt;&gt;"Cuenta de trading"),"⚠ Usa una cuenta de trading",IF(AND(G3307&lt;=0,P3307&lt;&gt;"Ajuste",P3307&lt;&gt;"Resultado trading"),"⚠ El monto debe ser positivo","✓")))))))))))))))</f>
        <v/>
      </c>
      <c r="P3307" s="52">
        <f>IF(OR(B3307="",G3307=""),"",IF(C3307="","Gasto",C3307))</f>
        <v/>
      </c>
      <c r="Q3307" s="52">
        <f>IF(P3307="","",IF(J3307&lt;&gt;"",J3307,CuentaPred&amp;""))</f>
        <v/>
      </c>
      <c r="R3307" s="52">
        <f>IF(P3307="","",IF(ISNUMBER(I3307),I3307,TasaUSD))</f>
        <v/>
      </c>
      <c r="S3307" s="53">
        <f>IF(P3307="","",IF(H3307="USD",G3307*R3307,G3307))</f>
        <v/>
      </c>
      <c r="T3307" s="53">
        <f>IF(P3307="","",IF(H3307="USD",G3307,IF(R3307&gt;0,G3307/R3307,0)))</f>
        <v/>
      </c>
      <c r="U3307" s="53">
        <f>IF(P3307="","",IF(P3307="Gasto",S3307,IF(P3307="Reembolso",-S3307,0)))</f>
        <v/>
      </c>
      <c r="V3307" s="53">
        <f>IF(P3307="","",IF(P3307="Ingreso",S3307,0))</f>
        <v/>
      </c>
      <c r="W3307" s="53">
        <f>IF(P3307="","",IF(P3307="Resultado trading",S3307,0))</f>
        <v/>
      </c>
      <c r="X3307" s="52">
        <f>IF(OR(P3307="Gasto",P3307="Reembolso"),IF(M3307&lt;&gt;"",M3307,IFERROR(INDEX(catClasif,MATCH(D3307&amp;"|"&amp;E3307,catClave,0))&amp;"","Variable")),"")</f>
        <v/>
      </c>
      <c r="Y3307" s="52">
        <f>IF(P3307="","",IFERROR(INDEX(catGrupo,MATCH(D3307&amp;"|"&amp;E3307,catClave,0))&amp;"",""))</f>
        <v/>
      </c>
      <c r="Z3307" s="52">
        <f>IF(P3307="","",WEEKDAY(B3307,2))</f>
        <v/>
      </c>
      <c r="AA3307" s="52">
        <f>IF(P3307="","",IF(AND(P3307="Gasto",X3307="Variable",D3307&lt;&gt;catTrading,S3307&gt;0,S3307&lt;=Umbral),1,0))</f>
        <v/>
      </c>
      <c r="AB3307" s="52">
        <f>IF(OR(P3307="",Q3307=""),"",IFERROR(IF(INDEX(ctaVinc,MATCH(Q3307,ctaNombre,0))&amp;""&lt;&gt;"",INDEX(ctaVinc,MATCH(Q3307,ctaNombre,0))&amp;"",Q3307),Q3307))</f>
        <v/>
      </c>
      <c r="AC3307" s="52">
        <f>IF(OR(K3307="",AND(P3307&lt;&gt;"Transferencia",P3307&lt;&gt;"Pago tarjeta")),"",IFERROR(IF(INDEX(ctaVinc,MATCH(K3307,ctaNombre,0))&amp;""&lt;&gt;"",INDEX(ctaVinc,MATCH(K3307,ctaNombre,0))&amp;"",K3307),K3307))</f>
        <v/>
      </c>
      <c r="AD3307" s="52">
        <f>IF(AB3307="","",IFERROR(INDEX(ctaTipo,MATCH(AB3307,ctaNombre,0))&amp;"",""))</f>
        <v/>
      </c>
      <c r="AE3307" s="52">
        <f>IF(AC3307="","",IFERROR(INDEX(ctaTipo,MATCH(AC3307,ctaNombre,0))&amp;"",""))</f>
        <v/>
      </c>
      <c r="AF3307" s="53">
        <f>IF(OR(P3307="",AB3307=""),"",IF(OR(P3307="Gasto",P3307="Transferencia",P3307="Pago tarjeta"),-1,1)*IF(IFERROR(INDEX(ctaMoneda,MATCH(AB3307,ctaNombre,0))&amp;"","DOP")="USD",T3307,S3307))</f>
        <v/>
      </c>
      <c r="AG3307" s="53">
        <f>IF(AC3307="","",IF(IFERROR(INDEX(ctaMoneda,MATCH(AC3307,ctaNombre,0))&amp;"","DOP")="USD",T3307,S3307))</f>
        <v/>
      </c>
      <c r="AH3307" s="53">
        <f>IF(P3307="","",IF(AND(AD3307&lt;&gt;"",COUNTIFS(tcTipo,AD3307,tcLiq,"Sí")&gt;0),IF(OR(P3307="Gasto",P3307="Transferencia",P3307="Pago tarjeta"),-1,1)*S3307,0)+IF(AND(AE3307&lt;&gt;"",COUNTIFS(tcTipo,AE3307,tcLiq,"Sí")&gt;0),S3307,0))</f>
        <v/>
      </c>
      <c r="AI3307" s="52">
        <f>IF(OR(L3307="",P3307=""),"",IF(COUNTIFS(L$6:L3307,L3307,P$6:P3307,"?*")=1,MAX(AI$5:AI3306)+1,""))</f>
        <v/>
      </c>
    </row>
    <row r="3308">
      <c r="B3308" s="47" t="n"/>
      <c r="C3308" s="48" t="n"/>
      <c r="D3308" s="48" t="n"/>
      <c r="E3308" s="48" t="n"/>
      <c r="F3308" s="48" t="n"/>
      <c r="G3308" s="49" t="n"/>
      <c r="H3308" s="48" t="n"/>
      <c r="I3308" s="50" t="n"/>
      <c r="J3308" s="48" t="n"/>
      <c r="K3308" s="48" t="n"/>
      <c r="L3308" s="48" t="n"/>
      <c r="M3308" s="48" t="n"/>
      <c r="N3308" s="48" t="n"/>
      <c r="O3308" s="51">
        <f>IF(AND(B3308="",G3308="",C3308="",D3308="",J3308=""),"",IF(B3308="","⚠ Falta fecha",IF(G3308="","⚠ Falta monto",IF(Q3308="","⚠ Falta cuenta",IF(ISNA(MATCH(Q3308,ctaNombre,0)),"⚠ Cuenta no registrada",IF(AND(OR(P3308="Gasto",P3308="Reembolso"),D3308=""),"⚠ Falta categoría",IF(AND(D3308&lt;&gt;"",E3308&lt;&gt;"",ISNA(MATCH(D3308&amp;"|"&amp;E3308,catClave,0))),"⚠ Subcategoría no corresponde",IF(AND(OR(P3308="Transferencia",P3308="Pago tarjeta"),K3308=""),"⚠ Falta cuenta destino",IF(AND(K3308&lt;&gt;"",P3308&lt;&gt;"Transferencia",P3308&lt;&gt;"Pago tarjeta"),"⚠ Destino solo aplica a transferencias",IF(AND(K3308&lt;&gt;"",K3308=Q3308),"⚠ Origen igual a destino",IF(AND(K3308&lt;&gt;"",ISNA(MATCH(K3308,ctaNombre,0))),"⚠ Destino no registrado",IF(AND(P3308="Pago tarjeta",AE3308&lt;&gt;"Tarjeta de crédito"),"⚠ El destino debe ser tarjeta de crédito",IF(AND(P3308="Gasto",E3308="Depósitos y retiros"),"⚠ Usa tipo Transferencia",IF(AND(P3308="Resultado trading",AD3308&lt;&gt;"Cuenta de trading"),"⚠ Usa una cuenta de trading",IF(AND(G3308&lt;=0,P3308&lt;&gt;"Ajuste",P3308&lt;&gt;"Resultado trading"),"⚠ El monto debe ser positivo","✓")))))))))))))))</f>
        <v/>
      </c>
      <c r="P3308" s="52">
        <f>IF(OR(B3308="",G3308=""),"",IF(C3308="","Gasto",C3308))</f>
        <v/>
      </c>
      <c r="Q3308" s="52">
        <f>IF(P3308="","",IF(J3308&lt;&gt;"",J3308,CuentaPred&amp;""))</f>
        <v/>
      </c>
      <c r="R3308" s="52">
        <f>IF(P3308="","",IF(ISNUMBER(I3308),I3308,TasaUSD))</f>
        <v/>
      </c>
      <c r="S3308" s="53">
        <f>IF(P3308="","",IF(H3308="USD",G3308*R3308,G3308))</f>
        <v/>
      </c>
      <c r="T3308" s="53">
        <f>IF(P3308="","",IF(H3308="USD",G3308,IF(R3308&gt;0,G3308/R3308,0)))</f>
        <v/>
      </c>
      <c r="U3308" s="53">
        <f>IF(P3308="","",IF(P3308="Gasto",S3308,IF(P3308="Reembolso",-S3308,0)))</f>
        <v/>
      </c>
      <c r="V3308" s="53">
        <f>IF(P3308="","",IF(P3308="Ingreso",S3308,0))</f>
        <v/>
      </c>
      <c r="W3308" s="53">
        <f>IF(P3308="","",IF(P3308="Resultado trading",S3308,0))</f>
        <v/>
      </c>
      <c r="X3308" s="52">
        <f>IF(OR(P3308="Gasto",P3308="Reembolso"),IF(M3308&lt;&gt;"",M3308,IFERROR(INDEX(catClasif,MATCH(D3308&amp;"|"&amp;E3308,catClave,0))&amp;"","Variable")),"")</f>
        <v/>
      </c>
      <c r="Y3308" s="52">
        <f>IF(P3308="","",IFERROR(INDEX(catGrupo,MATCH(D3308&amp;"|"&amp;E3308,catClave,0))&amp;"",""))</f>
        <v/>
      </c>
      <c r="Z3308" s="52">
        <f>IF(P3308="","",WEEKDAY(B3308,2))</f>
        <v/>
      </c>
      <c r="AA3308" s="52">
        <f>IF(P3308="","",IF(AND(P3308="Gasto",X3308="Variable",D3308&lt;&gt;catTrading,S3308&gt;0,S3308&lt;=Umbral),1,0))</f>
        <v/>
      </c>
      <c r="AB3308" s="52">
        <f>IF(OR(P3308="",Q3308=""),"",IFERROR(IF(INDEX(ctaVinc,MATCH(Q3308,ctaNombre,0))&amp;""&lt;&gt;"",INDEX(ctaVinc,MATCH(Q3308,ctaNombre,0))&amp;"",Q3308),Q3308))</f>
        <v/>
      </c>
      <c r="AC3308" s="52">
        <f>IF(OR(K3308="",AND(P3308&lt;&gt;"Transferencia",P3308&lt;&gt;"Pago tarjeta")),"",IFERROR(IF(INDEX(ctaVinc,MATCH(K3308,ctaNombre,0))&amp;""&lt;&gt;"",INDEX(ctaVinc,MATCH(K3308,ctaNombre,0))&amp;"",K3308),K3308))</f>
        <v/>
      </c>
      <c r="AD3308" s="52">
        <f>IF(AB3308="","",IFERROR(INDEX(ctaTipo,MATCH(AB3308,ctaNombre,0))&amp;"",""))</f>
        <v/>
      </c>
      <c r="AE3308" s="52">
        <f>IF(AC3308="","",IFERROR(INDEX(ctaTipo,MATCH(AC3308,ctaNombre,0))&amp;"",""))</f>
        <v/>
      </c>
      <c r="AF3308" s="53">
        <f>IF(OR(P3308="",AB3308=""),"",IF(OR(P3308="Gasto",P3308="Transferencia",P3308="Pago tarjeta"),-1,1)*IF(IFERROR(INDEX(ctaMoneda,MATCH(AB3308,ctaNombre,0))&amp;"","DOP")="USD",T3308,S3308))</f>
        <v/>
      </c>
      <c r="AG3308" s="53">
        <f>IF(AC3308="","",IF(IFERROR(INDEX(ctaMoneda,MATCH(AC3308,ctaNombre,0))&amp;"","DOP")="USD",T3308,S3308))</f>
        <v/>
      </c>
      <c r="AH3308" s="53">
        <f>IF(P3308="","",IF(AND(AD3308&lt;&gt;"",COUNTIFS(tcTipo,AD3308,tcLiq,"Sí")&gt;0),IF(OR(P3308="Gasto",P3308="Transferencia",P3308="Pago tarjeta"),-1,1)*S3308,0)+IF(AND(AE3308&lt;&gt;"",COUNTIFS(tcTipo,AE3308,tcLiq,"Sí")&gt;0),S3308,0))</f>
        <v/>
      </c>
      <c r="AI3308" s="52">
        <f>IF(OR(L3308="",P3308=""),"",IF(COUNTIFS(L$6:L3308,L3308,P$6:P3308,"?*")=1,MAX(AI$5:AI3307)+1,""))</f>
        <v/>
      </c>
    </row>
    <row r="3309">
      <c r="B3309" s="47" t="n"/>
      <c r="C3309" s="48" t="n"/>
      <c r="D3309" s="48" t="n"/>
      <c r="E3309" s="48" t="n"/>
      <c r="F3309" s="48" t="n"/>
      <c r="G3309" s="49" t="n"/>
      <c r="H3309" s="48" t="n"/>
      <c r="I3309" s="50" t="n"/>
      <c r="J3309" s="48" t="n"/>
      <c r="K3309" s="48" t="n"/>
      <c r="L3309" s="48" t="n"/>
      <c r="M3309" s="48" t="n"/>
      <c r="N3309" s="48" t="n"/>
      <c r="O3309" s="51">
        <f>IF(AND(B3309="",G3309="",C3309="",D3309="",J3309=""),"",IF(B3309="","⚠ Falta fecha",IF(G3309="","⚠ Falta monto",IF(Q3309="","⚠ Falta cuenta",IF(ISNA(MATCH(Q3309,ctaNombre,0)),"⚠ Cuenta no registrada",IF(AND(OR(P3309="Gasto",P3309="Reembolso"),D3309=""),"⚠ Falta categoría",IF(AND(D3309&lt;&gt;"",E3309&lt;&gt;"",ISNA(MATCH(D3309&amp;"|"&amp;E3309,catClave,0))),"⚠ Subcategoría no corresponde",IF(AND(OR(P3309="Transferencia",P3309="Pago tarjeta"),K3309=""),"⚠ Falta cuenta destino",IF(AND(K3309&lt;&gt;"",P3309&lt;&gt;"Transferencia",P3309&lt;&gt;"Pago tarjeta"),"⚠ Destino solo aplica a transferencias",IF(AND(K3309&lt;&gt;"",K3309=Q3309),"⚠ Origen igual a destino",IF(AND(K3309&lt;&gt;"",ISNA(MATCH(K3309,ctaNombre,0))),"⚠ Destino no registrado",IF(AND(P3309="Pago tarjeta",AE3309&lt;&gt;"Tarjeta de crédito"),"⚠ El destino debe ser tarjeta de crédito",IF(AND(P3309="Gasto",E3309="Depósitos y retiros"),"⚠ Usa tipo Transferencia",IF(AND(P3309="Resultado trading",AD3309&lt;&gt;"Cuenta de trading"),"⚠ Usa una cuenta de trading",IF(AND(G3309&lt;=0,P3309&lt;&gt;"Ajuste",P3309&lt;&gt;"Resultado trading"),"⚠ El monto debe ser positivo","✓")))))))))))))))</f>
        <v/>
      </c>
      <c r="P3309" s="52">
        <f>IF(OR(B3309="",G3309=""),"",IF(C3309="","Gasto",C3309))</f>
        <v/>
      </c>
      <c r="Q3309" s="52">
        <f>IF(P3309="","",IF(J3309&lt;&gt;"",J3309,CuentaPred&amp;""))</f>
        <v/>
      </c>
      <c r="R3309" s="52">
        <f>IF(P3309="","",IF(ISNUMBER(I3309),I3309,TasaUSD))</f>
        <v/>
      </c>
      <c r="S3309" s="53">
        <f>IF(P3309="","",IF(H3309="USD",G3309*R3309,G3309))</f>
        <v/>
      </c>
      <c r="T3309" s="53">
        <f>IF(P3309="","",IF(H3309="USD",G3309,IF(R3309&gt;0,G3309/R3309,0)))</f>
        <v/>
      </c>
      <c r="U3309" s="53">
        <f>IF(P3309="","",IF(P3309="Gasto",S3309,IF(P3309="Reembolso",-S3309,0)))</f>
        <v/>
      </c>
      <c r="V3309" s="53">
        <f>IF(P3309="","",IF(P3309="Ingreso",S3309,0))</f>
        <v/>
      </c>
      <c r="W3309" s="53">
        <f>IF(P3309="","",IF(P3309="Resultado trading",S3309,0))</f>
        <v/>
      </c>
      <c r="X3309" s="52">
        <f>IF(OR(P3309="Gasto",P3309="Reembolso"),IF(M3309&lt;&gt;"",M3309,IFERROR(INDEX(catClasif,MATCH(D3309&amp;"|"&amp;E3309,catClave,0))&amp;"","Variable")),"")</f>
        <v/>
      </c>
      <c r="Y3309" s="52">
        <f>IF(P3309="","",IFERROR(INDEX(catGrupo,MATCH(D3309&amp;"|"&amp;E3309,catClave,0))&amp;"",""))</f>
        <v/>
      </c>
      <c r="Z3309" s="52">
        <f>IF(P3309="","",WEEKDAY(B3309,2))</f>
        <v/>
      </c>
      <c r="AA3309" s="52">
        <f>IF(P3309="","",IF(AND(P3309="Gasto",X3309="Variable",D3309&lt;&gt;catTrading,S3309&gt;0,S3309&lt;=Umbral),1,0))</f>
        <v/>
      </c>
      <c r="AB3309" s="52">
        <f>IF(OR(P3309="",Q3309=""),"",IFERROR(IF(INDEX(ctaVinc,MATCH(Q3309,ctaNombre,0))&amp;""&lt;&gt;"",INDEX(ctaVinc,MATCH(Q3309,ctaNombre,0))&amp;"",Q3309),Q3309))</f>
        <v/>
      </c>
      <c r="AC3309" s="52">
        <f>IF(OR(K3309="",AND(P3309&lt;&gt;"Transferencia",P3309&lt;&gt;"Pago tarjeta")),"",IFERROR(IF(INDEX(ctaVinc,MATCH(K3309,ctaNombre,0))&amp;""&lt;&gt;"",INDEX(ctaVinc,MATCH(K3309,ctaNombre,0))&amp;"",K3309),K3309))</f>
        <v/>
      </c>
      <c r="AD3309" s="52">
        <f>IF(AB3309="","",IFERROR(INDEX(ctaTipo,MATCH(AB3309,ctaNombre,0))&amp;"",""))</f>
        <v/>
      </c>
      <c r="AE3309" s="52">
        <f>IF(AC3309="","",IFERROR(INDEX(ctaTipo,MATCH(AC3309,ctaNombre,0))&amp;"",""))</f>
        <v/>
      </c>
      <c r="AF3309" s="53">
        <f>IF(OR(P3309="",AB3309=""),"",IF(OR(P3309="Gasto",P3309="Transferencia",P3309="Pago tarjeta"),-1,1)*IF(IFERROR(INDEX(ctaMoneda,MATCH(AB3309,ctaNombre,0))&amp;"","DOP")="USD",T3309,S3309))</f>
        <v/>
      </c>
      <c r="AG3309" s="53">
        <f>IF(AC3309="","",IF(IFERROR(INDEX(ctaMoneda,MATCH(AC3309,ctaNombre,0))&amp;"","DOP")="USD",T3309,S3309))</f>
        <v/>
      </c>
      <c r="AH3309" s="53">
        <f>IF(P3309="","",IF(AND(AD3309&lt;&gt;"",COUNTIFS(tcTipo,AD3309,tcLiq,"Sí")&gt;0),IF(OR(P3309="Gasto",P3309="Transferencia",P3309="Pago tarjeta"),-1,1)*S3309,0)+IF(AND(AE3309&lt;&gt;"",COUNTIFS(tcTipo,AE3309,tcLiq,"Sí")&gt;0),S3309,0))</f>
        <v/>
      </c>
      <c r="AI3309" s="52">
        <f>IF(OR(L3309="",P3309=""),"",IF(COUNTIFS(L$6:L3309,L3309,P$6:P3309,"?*")=1,MAX(AI$5:AI3308)+1,""))</f>
        <v/>
      </c>
    </row>
    <row r="3310">
      <c r="B3310" s="47" t="n"/>
      <c r="C3310" s="48" t="n"/>
      <c r="D3310" s="48" t="n"/>
      <c r="E3310" s="48" t="n"/>
      <c r="F3310" s="48" t="n"/>
      <c r="G3310" s="49" t="n"/>
      <c r="H3310" s="48" t="n"/>
      <c r="I3310" s="50" t="n"/>
      <c r="J3310" s="48" t="n"/>
      <c r="K3310" s="48" t="n"/>
      <c r="L3310" s="48" t="n"/>
      <c r="M3310" s="48" t="n"/>
      <c r="N3310" s="48" t="n"/>
      <c r="O3310" s="51">
        <f>IF(AND(B3310="",G3310="",C3310="",D3310="",J3310=""),"",IF(B3310="","⚠ Falta fecha",IF(G3310="","⚠ Falta monto",IF(Q3310="","⚠ Falta cuenta",IF(ISNA(MATCH(Q3310,ctaNombre,0)),"⚠ Cuenta no registrada",IF(AND(OR(P3310="Gasto",P3310="Reembolso"),D3310=""),"⚠ Falta categoría",IF(AND(D3310&lt;&gt;"",E3310&lt;&gt;"",ISNA(MATCH(D3310&amp;"|"&amp;E3310,catClave,0))),"⚠ Subcategoría no corresponde",IF(AND(OR(P3310="Transferencia",P3310="Pago tarjeta"),K3310=""),"⚠ Falta cuenta destino",IF(AND(K3310&lt;&gt;"",P3310&lt;&gt;"Transferencia",P3310&lt;&gt;"Pago tarjeta"),"⚠ Destino solo aplica a transferencias",IF(AND(K3310&lt;&gt;"",K3310=Q3310),"⚠ Origen igual a destino",IF(AND(K3310&lt;&gt;"",ISNA(MATCH(K3310,ctaNombre,0))),"⚠ Destino no registrado",IF(AND(P3310="Pago tarjeta",AE3310&lt;&gt;"Tarjeta de crédito"),"⚠ El destino debe ser tarjeta de crédito",IF(AND(P3310="Gasto",E3310="Depósitos y retiros"),"⚠ Usa tipo Transferencia",IF(AND(P3310="Resultado trading",AD3310&lt;&gt;"Cuenta de trading"),"⚠ Usa una cuenta de trading",IF(AND(G3310&lt;=0,P3310&lt;&gt;"Ajuste",P3310&lt;&gt;"Resultado trading"),"⚠ El monto debe ser positivo","✓")))))))))))))))</f>
        <v/>
      </c>
      <c r="P3310" s="52">
        <f>IF(OR(B3310="",G3310=""),"",IF(C3310="","Gasto",C3310))</f>
        <v/>
      </c>
      <c r="Q3310" s="52">
        <f>IF(P3310="","",IF(J3310&lt;&gt;"",J3310,CuentaPred&amp;""))</f>
        <v/>
      </c>
      <c r="R3310" s="52">
        <f>IF(P3310="","",IF(ISNUMBER(I3310),I3310,TasaUSD))</f>
        <v/>
      </c>
      <c r="S3310" s="53">
        <f>IF(P3310="","",IF(H3310="USD",G3310*R3310,G3310))</f>
        <v/>
      </c>
      <c r="T3310" s="53">
        <f>IF(P3310="","",IF(H3310="USD",G3310,IF(R3310&gt;0,G3310/R3310,0)))</f>
        <v/>
      </c>
      <c r="U3310" s="53">
        <f>IF(P3310="","",IF(P3310="Gasto",S3310,IF(P3310="Reembolso",-S3310,0)))</f>
        <v/>
      </c>
      <c r="V3310" s="53">
        <f>IF(P3310="","",IF(P3310="Ingreso",S3310,0))</f>
        <v/>
      </c>
      <c r="W3310" s="53">
        <f>IF(P3310="","",IF(P3310="Resultado trading",S3310,0))</f>
        <v/>
      </c>
      <c r="X3310" s="52">
        <f>IF(OR(P3310="Gasto",P3310="Reembolso"),IF(M3310&lt;&gt;"",M3310,IFERROR(INDEX(catClasif,MATCH(D3310&amp;"|"&amp;E3310,catClave,0))&amp;"","Variable")),"")</f>
        <v/>
      </c>
      <c r="Y3310" s="52">
        <f>IF(P3310="","",IFERROR(INDEX(catGrupo,MATCH(D3310&amp;"|"&amp;E3310,catClave,0))&amp;"",""))</f>
        <v/>
      </c>
      <c r="Z3310" s="52">
        <f>IF(P3310="","",WEEKDAY(B3310,2))</f>
        <v/>
      </c>
      <c r="AA3310" s="52">
        <f>IF(P3310="","",IF(AND(P3310="Gasto",X3310="Variable",D3310&lt;&gt;catTrading,S3310&gt;0,S3310&lt;=Umbral),1,0))</f>
        <v/>
      </c>
      <c r="AB3310" s="52">
        <f>IF(OR(P3310="",Q3310=""),"",IFERROR(IF(INDEX(ctaVinc,MATCH(Q3310,ctaNombre,0))&amp;""&lt;&gt;"",INDEX(ctaVinc,MATCH(Q3310,ctaNombre,0))&amp;"",Q3310),Q3310))</f>
        <v/>
      </c>
      <c r="AC3310" s="52">
        <f>IF(OR(K3310="",AND(P3310&lt;&gt;"Transferencia",P3310&lt;&gt;"Pago tarjeta")),"",IFERROR(IF(INDEX(ctaVinc,MATCH(K3310,ctaNombre,0))&amp;""&lt;&gt;"",INDEX(ctaVinc,MATCH(K3310,ctaNombre,0))&amp;"",K3310),K3310))</f>
        <v/>
      </c>
      <c r="AD3310" s="52">
        <f>IF(AB3310="","",IFERROR(INDEX(ctaTipo,MATCH(AB3310,ctaNombre,0))&amp;"",""))</f>
        <v/>
      </c>
      <c r="AE3310" s="52">
        <f>IF(AC3310="","",IFERROR(INDEX(ctaTipo,MATCH(AC3310,ctaNombre,0))&amp;"",""))</f>
        <v/>
      </c>
      <c r="AF3310" s="53">
        <f>IF(OR(P3310="",AB3310=""),"",IF(OR(P3310="Gasto",P3310="Transferencia",P3310="Pago tarjeta"),-1,1)*IF(IFERROR(INDEX(ctaMoneda,MATCH(AB3310,ctaNombre,0))&amp;"","DOP")="USD",T3310,S3310))</f>
        <v/>
      </c>
      <c r="AG3310" s="53">
        <f>IF(AC3310="","",IF(IFERROR(INDEX(ctaMoneda,MATCH(AC3310,ctaNombre,0))&amp;"","DOP")="USD",T3310,S3310))</f>
        <v/>
      </c>
      <c r="AH3310" s="53">
        <f>IF(P3310="","",IF(AND(AD3310&lt;&gt;"",COUNTIFS(tcTipo,AD3310,tcLiq,"Sí")&gt;0),IF(OR(P3310="Gasto",P3310="Transferencia",P3310="Pago tarjeta"),-1,1)*S3310,0)+IF(AND(AE3310&lt;&gt;"",COUNTIFS(tcTipo,AE3310,tcLiq,"Sí")&gt;0),S3310,0))</f>
        <v/>
      </c>
      <c r="AI3310" s="52">
        <f>IF(OR(L3310="",P3310=""),"",IF(COUNTIFS(L$6:L3310,L3310,P$6:P3310,"?*")=1,MAX(AI$5:AI3309)+1,""))</f>
        <v/>
      </c>
    </row>
    <row r="3311">
      <c r="B3311" s="47" t="n"/>
      <c r="C3311" s="48" t="n"/>
      <c r="D3311" s="48" t="n"/>
      <c r="E3311" s="48" t="n"/>
      <c r="F3311" s="48" t="n"/>
      <c r="G3311" s="49" t="n"/>
      <c r="H3311" s="48" t="n"/>
      <c r="I3311" s="50" t="n"/>
      <c r="J3311" s="48" t="n"/>
      <c r="K3311" s="48" t="n"/>
      <c r="L3311" s="48" t="n"/>
      <c r="M3311" s="48" t="n"/>
      <c r="N3311" s="48" t="n"/>
      <c r="O3311" s="51">
        <f>IF(AND(B3311="",G3311="",C3311="",D3311="",J3311=""),"",IF(B3311="","⚠ Falta fecha",IF(G3311="","⚠ Falta monto",IF(Q3311="","⚠ Falta cuenta",IF(ISNA(MATCH(Q3311,ctaNombre,0)),"⚠ Cuenta no registrada",IF(AND(OR(P3311="Gasto",P3311="Reembolso"),D3311=""),"⚠ Falta categoría",IF(AND(D3311&lt;&gt;"",E3311&lt;&gt;"",ISNA(MATCH(D3311&amp;"|"&amp;E3311,catClave,0))),"⚠ Subcategoría no corresponde",IF(AND(OR(P3311="Transferencia",P3311="Pago tarjeta"),K3311=""),"⚠ Falta cuenta destino",IF(AND(K3311&lt;&gt;"",P3311&lt;&gt;"Transferencia",P3311&lt;&gt;"Pago tarjeta"),"⚠ Destino solo aplica a transferencias",IF(AND(K3311&lt;&gt;"",K3311=Q3311),"⚠ Origen igual a destino",IF(AND(K3311&lt;&gt;"",ISNA(MATCH(K3311,ctaNombre,0))),"⚠ Destino no registrado",IF(AND(P3311="Pago tarjeta",AE3311&lt;&gt;"Tarjeta de crédito"),"⚠ El destino debe ser tarjeta de crédito",IF(AND(P3311="Gasto",E3311="Depósitos y retiros"),"⚠ Usa tipo Transferencia",IF(AND(P3311="Resultado trading",AD3311&lt;&gt;"Cuenta de trading"),"⚠ Usa una cuenta de trading",IF(AND(G3311&lt;=0,P3311&lt;&gt;"Ajuste",P3311&lt;&gt;"Resultado trading"),"⚠ El monto debe ser positivo","✓")))))))))))))))</f>
        <v/>
      </c>
      <c r="P3311" s="52">
        <f>IF(OR(B3311="",G3311=""),"",IF(C3311="","Gasto",C3311))</f>
        <v/>
      </c>
      <c r="Q3311" s="52">
        <f>IF(P3311="","",IF(J3311&lt;&gt;"",J3311,CuentaPred&amp;""))</f>
        <v/>
      </c>
      <c r="R3311" s="52">
        <f>IF(P3311="","",IF(ISNUMBER(I3311),I3311,TasaUSD))</f>
        <v/>
      </c>
      <c r="S3311" s="53">
        <f>IF(P3311="","",IF(H3311="USD",G3311*R3311,G3311))</f>
        <v/>
      </c>
      <c r="T3311" s="53">
        <f>IF(P3311="","",IF(H3311="USD",G3311,IF(R3311&gt;0,G3311/R3311,0)))</f>
        <v/>
      </c>
      <c r="U3311" s="53">
        <f>IF(P3311="","",IF(P3311="Gasto",S3311,IF(P3311="Reembolso",-S3311,0)))</f>
        <v/>
      </c>
      <c r="V3311" s="53">
        <f>IF(P3311="","",IF(P3311="Ingreso",S3311,0))</f>
        <v/>
      </c>
      <c r="W3311" s="53">
        <f>IF(P3311="","",IF(P3311="Resultado trading",S3311,0))</f>
        <v/>
      </c>
      <c r="X3311" s="52">
        <f>IF(OR(P3311="Gasto",P3311="Reembolso"),IF(M3311&lt;&gt;"",M3311,IFERROR(INDEX(catClasif,MATCH(D3311&amp;"|"&amp;E3311,catClave,0))&amp;"","Variable")),"")</f>
        <v/>
      </c>
      <c r="Y3311" s="52">
        <f>IF(P3311="","",IFERROR(INDEX(catGrupo,MATCH(D3311&amp;"|"&amp;E3311,catClave,0))&amp;"",""))</f>
        <v/>
      </c>
      <c r="Z3311" s="52">
        <f>IF(P3311="","",WEEKDAY(B3311,2))</f>
        <v/>
      </c>
      <c r="AA3311" s="52">
        <f>IF(P3311="","",IF(AND(P3311="Gasto",X3311="Variable",D3311&lt;&gt;catTrading,S3311&gt;0,S3311&lt;=Umbral),1,0))</f>
        <v/>
      </c>
      <c r="AB3311" s="52">
        <f>IF(OR(P3311="",Q3311=""),"",IFERROR(IF(INDEX(ctaVinc,MATCH(Q3311,ctaNombre,0))&amp;""&lt;&gt;"",INDEX(ctaVinc,MATCH(Q3311,ctaNombre,0))&amp;"",Q3311),Q3311))</f>
        <v/>
      </c>
      <c r="AC3311" s="52">
        <f>IF(OR(K3311="",AND(P3311&lt;&gt;"Transferencia",P3311&lt;&gt;"Pago tarjeta")),"",IFERROR(IF(INDEX(ctaVinc,MATCH(K3311,ctaNombre,0))&amp;""&lt;&gt;"",INDEX(ctaVinc,MATCH(K3311,ctaNombre,0))&amp;"",K3311),K3311))</f>
        <v/>
      </c>
      <c r="AD3311" s="52">
        <f>IF(AB3311="","",IFERROR(INDEX(ctaTipo,MATCH(AB3311,ctaNombre,0))&amp;"",""))</f>
        <v/>
      </c>
      <c r="AE3311" s="52">
        <f>IF(AC3311="","",IFERROR(INDEX(ctaTipo,MATCH(AC3311,ctaNombre,0))&amp;"",""))</f>
        <v/>
      </c>
      <c r="AF3311" s="53">
        <f>IF(OR(P3311="",AB3311=""),"",IF(OR(P3311="Gasto",P3311="Transferencia",P3311="Pago tarjeta"),-1,1)*IF(IFERROR(INDEX(ctaMoneda,MATCH(AB3311,ctaNombre,0))&amp;"","DOP")="USD",T3311,S3311))</f>
        <v/>
      </c>
      <c r="AG3311" s="53">
        <f>IF(AC3311="","",IF(IFERROR(INDEX(ctaMoneda,MATCH(AC3311,ctaNombre,0))&amp;"","DOP")="USD",T3311,S3311))</f>
        <v/>
      </c>
      <c r="AH3311" s="53">
        <f>IF(P3311="","",IF(AND(AD3311&lt;&gt;"",COUNTIFS(tcTipo,AD3311,tcLiq,"Sí")&gt;0),IF(OR(P3311="Gasto",P3311="Transferencia",P3311="Pago tarjeta"),-1,1)*S3311,0)+IF(AND(AE3311&lt;&gt;"",COUNTIFS(tcTipo,AE3311,tcLiq,"Sí")&gt;0),S3311,0))</f>
        <v/>
      </c>
      <c r="AI3311" s="52">
        <f>IF(OR(L3311="",P3311=""),"",IF(COUNTIFS(L$6:L3311,L3311,P$6:P3311,"?*")=1,MAX(AI$5:AI3310)+1,""))</f>
        <v/>
      </c>
    </row>
    <row r="3312">
      <c r="B3312" s="47" t="n"/>
      <c r="C3312" s="48" t="n"/>
      <c r="D3312" s="48" t="n"/>
      <c r="E3312" s="48" t="n"/>
      <c r="F3312" s="48" t="n"/>
      <c r="G3312" s="49" t="n"/>
      <c r="H3312" s="48" t="n"/>
      <c r="I3312" s="50" t="n"/>
      <c r="J3312" s="48" t="n"/>
      <c r="K3312" s="48" t="n"/>
      <c r="L3312" s="48" t="n"/>
      <c r="M3312" s="48" t="n"/>
      <c r="N3312" s="48" t="n"/>
      <c r="O3312" s="51">
        <f>IF(AND(B3312="",G3312="",C3312="",D3312="",J3312=""),"",IF(B3312="","⚠ Falta fecha",IF(G3312="","⚠ Falta monto",IF(Q3312="","⚠ Falta cuenta",IF(ISNA(MATCH(Q3312,ctaNombre,0)),"⚠ Cuenta no registrada",IF(AND(OR(P3312="Gasto",P3312="Reembolso"),D3312=""),"⚠ Falta categoría",IF(AND(D3312&lt;&gt;"",E3312&lt;&gt;"",ISNA(MATCH(D3312&amp;"|"&amp;E3312,catClave,0))),"⚠ Subcategoría no corresponde",IF(AND(OR(P3312="Transferencia",P3312="Pago tarjeta"),K3312=""),"⚠ Falta cuenta destino",IF(AND(K3312&lt;&gt;"",P3312&lt;&gt;"Transferencia",P3312&lt;&gt;"Pago tarjeta"),"⚠ Destino solo aplica a transferencias",IF(AND(K3312&lt;&gt;"",K3312=Q3312),"⚠ Origen igual a destino",IF(AND(K3312&lt;&gt;"",ISNA(MATCH(K3312,ctaNombre,0))),"⚠ Destino no registrado",IF(AND(P3312="Pago tarjeta",AE3312&lt;&gt;"Tarjeta de crédito"),"⚠ El destino debe ser tarjeta de crédito",IF(AND(P3312="Gasto",E3312="Depósitos y retiros"),"⚠ Usa tipo Transferencia",IF(AND(P3312="Resultado trading",AD3312&lt;&gt;"Cuenta de trading"),"⚠ Usa una cuenta de trading",IF(AND(G3312&lt;=0,P3312&lt;&gt;"Ajuste",P3312&lt;&gt;"Resultado trading"),"⚠ El monto debe ser positivo","✓")))))))))))))))</f>
        <v/>
      </c>
      <c r="P3312" s="52">
        <f>IF(OR(B3312="",G3312=""),"",IF(C3312="","Gasto",C3312))</f>
        <v/>
      </c>
      <c r="Q3312" s="52">
        <f>IF(P3312="","",IF(J3312&lt;&gt;"",J3312,CuentaPred&amp;""))</f>
        <v/>
      </c>
      <c r="R3312" s="52">
        <f>IF(P3312="","",IF(ISNUMBER(I3312),I3312,TasaUSD))</f>
        <v/>
      </c>
      <c r="S3312" s="53">
        <f>IF(P3312="","",IF(H3312="USD",G3312*R3312,G3312))</f>
        <v/>
      </c>
      <c r="T3312" s="53">
        <f>IF(P3312="","",IF(H3312="USD",G3312,IF(R3312&gt;0,G3312/R3312,0)))</f>
        <v/>
      </c>
      <c r="U3312" s="53">
        <f>IF(P3312="","",IF(P3312="Gasto",S3312,IF(P3312="Reembolso",-S3312,0)))</f>
        <v/>
      </c>
      <c r="V3312" s="53">
        <f>IF(P3312="","",IF(P3312="Ingreso",S3312,0))</f>
        <v/>
      </c>
      <c r="W3312" s="53">
        <f>IF(P3312="","",IF(P3312="Resultado trading",S3312,0))</f>
        <v/>
      </c>
      <c r="X3312" s="52">
        <f>IF(OR(P3312="Gasto",P3312="Reembolso"),IF(M3312&lt;&gt;"",M3312,IFERROR(INDEX(catClasif,MATCH(D3312&amp;"|"&amp;E3312,catClave,0))&amp;"","Variable")),"")</f>
        <v/>
      </c>
      <c r="Y3312" s="52">
        <f>IF(P3312="","",IFERROR(INDEX(catGrupo,MATCH(D3312&amp;"|"&amp;E3312,catClave,0))&amp;"",""))</f>
        <v/>
      </c>
      <c r="Z3312" s="52">
        <f>IF(P3312="","",WEEKDAY(B3312,2))</f>
        <v/>
      </c>
      <c r="AA3312" s="52">
        <f>IF(P3312="","",IF(AND(P3312="Gasto",X3312="Variable",D3312&lt;&gt;catTrading,S3312&gt;0,S3312&lt;=Umbral),1,0))</f>
        <v/>
      </c>
      <c r="AB3312" s="52">
        <f>IF(OR(P3312="",Q3312=""),"",IFERROR(IF(INDEX(ctaVinc,MATCH(Q3312,ctaNombre,0))&amp;""&lt;&gt;"",INDEX(ctaVinc,MATCH(Q3312,ctaNombre,0))&amp;"",Q3312),Q3312))</f>
        <v/>
      </c>
      <c r="AC3312" s="52">
        <f>IF(OR(K3312="",AND(P3312&lt;&gt;"Transferencia",P3312&lt;&gt;"Pago tarjeta")),"",IFERROR(IF(INDEX(ctaVinc,MATCH(K3312,ctaNombre,0))&amp;""&lt;&gt;"",INDEX(ctaVinc,MATCH(K3312,ctaNombre,0))&amp;"",K3312),K3312))</f>
        <v/>
      </c>
      <c r="AD3312" s="52">
        <f>IF(AB3312="","",IFERROR(INDEX(ctaTipo,MATCH(AB3312,ctaNombre,0))&amp;"",""))</f>
        <v/>
      </c>
      <c r="AE3312" s="52">
        <f>IF(AC3312="","",IFERROR(INDEX(ctaTipo,MATCH(AC3312,ctaNombre,0))&amp;"",""))</f>
        <v/>
      </c>
      <c r="AF3312" s="53">
        <f>IF(OR(P3312="",AB3312=""),"",IF(OR(P3312="Gasto",P3312="Transferencia",P3312="Pago tarjeta"),-1,1)*IF(IFERROR(INDEX(ctaMoneda,MATCH(AB3312,ctaNombre,0))&amp;"","DOP")="USD",T3312,S3312))</f>
        <v/>
      </c>
      <c r="AG3312" s="53">
        <f>IF(AC3312="","",IF(IFERROR(INDEX(ctaMoneda,MATCH(AC3312,ctaNombre,0))&amp;"","DOP")="USD",T3312,S3312))</f>
        <v/>
      </c>
      <c r="AH3312" s="53">
        <f>IF(P3312="","",IF(AND(AD3312&lt;&gt;"",COUNTIFS(tcTipo,AD3312,tcLiq,"Sí")&gt;0),IF(OR(P3312="Gasto",P3312="Transferencia",P3312="Pago tarjeta"),-1,1)*S3312,0)+IF(AND(AE3312&lt;&gt;"",COUNTIFS(tcTipo,AE3312,tcLiq,"Sí")&gt;0),S3312,0))</f>
        <v/>
      </c>
      <c r="AI3312" s="52">
        <f>IF(OR(L3312="",P3312=""),"",IF(COUNTIFS(L$6:L3312,L3312,P$6:P3312,"?*")=1,MAX(AI$5:AI3311)+1,""))</f>
        <v/>
      </c>
    </row>
    <row r="3313">
      <c r="B3313" s="47" t="n"/>
      <c r="C3313" s="48" t="n"/>
      <c r="D3313" s="48" t="n"/>
      <c r="E3313" s="48" t="n"/>
      <c r="F3313" s="48" t="n"/>
      <c r="G3313" s="49" t="n"/>
      <c r="H3313" s="48" t="n"/>
      <c r="I3313" s="50" t="n"/>
      <c r="J3313" s="48" t="n"/>
      <c r="K3313" s="48" t="n"/>
      <c r="L3313" s="48" t="n"/>
      <c r="M3313" s="48" t="n"/>
      <c r="N3313" s="48" t="n"/>
      <c r="O3313" s="51">
        <f>IF(AND(B3313="",G3313="",C3313="",D3313="",J3313=""),"",IF(B3313="","⚠ Falta fecha",IF(G3313="","⚠ Falta monto",IF(Q3313="","⚠ Falta cuenta",IF(ISNA(MATCH(Q3313,ctaNombre,0)),"⚠ Cuenta no registrada",IF(AND(OR(P3313="Gasto",P3313="Reembolso"),D3313=""),"⚠ Falta categoría",IF(AND(D3313&lt;&gt;"",E3313&lt;&gt;"",ISNA(MATCH(D3313&amp;"|"&amp;E3313,catClave,0))),"⚠ Subcategoría no corresponde",IF(AND(OR(P3313="Transferencia",P3313="Pago tarjeta"),K3313=""),"⚠ Falta cuenta destino",IF(AND(K3313&lt;&gt;"",P3313&lt;&gt;"Transferencia",P3313&lt;&gt;"Pago tarjeta"),"⚠ Destino solo aplica a transferencias",IF(AND(K3313&lt;&gt;"",K3313=Q3313),"⚠ Origen igual a destino",IF(AND(K3313&lt;&gt;"",ISNA(MATCH(K3313,ctaNombre,0))),"⚠ Destino no registrado",IF(AND(P3313="Pago tarjeta",AE3313&lt;&gt;"Tarjeta de crédito"),"⚠ El destino debe ser tarjeta de crédito",IF(AND(P3313="Gasto",E3313="Depósitos y retiros"),"⚠ Usa tipo Transferencia",IF(AND(P3313="Resultado trading",AD3313&lt;&gt;"Cuenta de trading"),"⚠ Usa una cuenta de trading",IF(AND(G3313&lt;=0,P3313&lt;&gt;"Ajuste",P3313&lt;&gt;"Resultado trading"),"⚠ El monto debe ser positivo","✓")))))))))))))))</f>
        <v/>
      </c>
      <c r="P3313" s="52">
        <f>IF(OR(B3313="",G3313=""),"",IF(C3313="","Gasto",C3313))</f>
        <v/>
      </c>
      <c r="Q3313" s="52">
        <f>IF(P3313="","",IF(J3313&lt;&gt;"",J3313,CuentaPred&amp;""))</f>
        <v/>
      </c>
      <c r="R3313" s="52">
        <f>IF(P3313="","",IF(ISNUMBER(I3313),I3313,TasaUSD))</f>
        <v/>
      </c>
      <c r="S3313" s="53">
        <f>IF(P3313="","",IF(H3313="USD",G3313*R3313,G3313))</f>
        <v/>
      </c>
      <c r="T3313" s="53">
        <f>IF(P3313="","",IF(H3313="USD",G3313,IF(R3313&gt;0,G3313/R3313,0)))</f>
        <v/>
      </c>
      <c r="U3313" s="53">
        <f>IF(P3313="","",IF(P3313="Gasto",S3313,IF(P3313="Reembolso",-S3313,0)))</f>
        <v/>
      </c>
      <c r="V3313" s="53">
        <f>IF(P3313="","",IF(P3313="Ingreso",S3313,0))</f>
        <v/>
      </c>
      <c r="W3313" s="53">
        <f>IF(P3313="","",IF(P3313="Resultado trading",S3313,0))</f>
        <v/>
      </c>
      <c r="X3313" s="52">
        <f>IF(OR(P3313="Gasto",P3313="Reembolso"),IF(M3313&lt;&gt;"",M3313,IFERROR(INDEX(catClasif,MATCH(D3313&amp;"|"&amp;E3313,catClave,0))&amp;"","Variable")),"")</f>
        <v/>
      </c>
      <c r="Y3313" s="52">
        <f>IF(P3313="","",IFERROR(INDEX(catGrupo,MATCH(D3313&amp;"|"&amp;E3313,catClave,0))&amp;"",""))</f>
        <v/>
      </c>
      <c r="Z3313" s="52">
        <f>IF(P3313="","",WEEKDAY(B3313,2))</f>
        <v/>
      </c>
      <c r="AA3313" s="52">
        <f>IF(P3313="","",IF(AND(P3313="Gasto",X3313="Variable",D3313&lt;&gt;catTrading,S3313&gt;0,S3313&lt;=Umbral),1,0))</f>
        <v/>
      </c>
      <c r="AB3313" s="52">
        <f>IF(OR(P3313="",Q3313=""),"",IFERROR(IF(INDEX(ctaVinc,MATCH(Q3313,ctaNombre,0))&amp;""&lt;&gt;"",INDEX(ctaVinc,MATCH(Q3313,ctaNombre,0))&amp;"",Q3313),Q3313))</f>
        <v/>
      </c>
      <c r="AC3313" s="52">
        <f>IF(OR(K3313="",AND(P3313&lt;&gt;"Transferencia",P3313&lt;&gt;"Pago tarjeta")),"",IFERROR(IF(INDEX(ctaVinc,MATCH(K3313,ctaNombre,0))&amp;""&lt;&gt;"",INDEX(ctaVinc,MATCH(K3313,ctaNombre,0))&amp;"",K3313),K3313))</f>
        <v/>
      </c>
      <c r="AD3313" s="52">
        <f>IF(AB3313="","",IFERROR(INDEX(ctaTipo,MATCH(AB3313,ctaNombre,0))&amp;"",""))</f>
        <v/>
      </c>
      <c r="AE3313" s="52">
        <f>IF(AC3313="","",IFERROR(INDEX(ctaTipo,MATCH(AC3313,ctaNombre,0))&amp;"",""))</f>
        <v/>
      </c>
      <c r="AF3313" s="53">
        <f>IF(OR(P3313="",AB3313=""),"",IF(OR(P3313="Gasto",P3313="Transferencia",P3313="Pago tarjeta"),-1,1)*IF(IFERROR(INDEX(ctaMoneda,MATCH(AB3313,ctaNombre,0))&amp;"","DOP")="USD",T3313,S3313))</f>
        <v/>
      </c>
      <c r="AG3313" s="53">
        <f>IF(AC3313="","",IF(IFERROR(INDEX(ctaMoneda,MATCH(AC3313,ctaNombre,0))&amp;"","DOP")="USD",T3313,S3313))</f>
        <v/>
      </c>
      <c r="AH3313" s="53">
        <f>IF(P3313="","",IF(AND(AD3313&lt;&gt;"",COUNTIFS(tcTipo,AD3313,tcLiq,"Sí")&gt;0),IF(OR(P3313="Gasto",P3313="Transferencia",P3313="Pago tarjeta"),-1,1)*S3313,0)+IF(AND(AE3313&lt;&gt;"",COUNTIFS(tcTipo,AE3313,tcLiq,"Sí")&gt;0),S3313,0))</f>
        <v/>
      </c>
      <c r="AI3313" s="52">
        <f>IF(OR(L3313="",P3313=""),"",IF(COUNTIFS(L$6:L3313,L3313,P$6:P3313,"?*")=1,MAX(AI$5:AI3312)+1,""))</f>
        <v/>
      </c>
    </row>
    <row r="3314">
      <c r="B3314" s="47" t="n"/>
      <c r="C3314" s="48" t="n"/>
      <c r="D3314" s="48" t="n"/>
      <c r="E3314" s="48" t="n"/>
      <c r="F3314" s="48" t="n"/>
      <c r="G3314" s="49" t="n"/>
      <c r="H3314" s="48" t="n"/>
      <c r="I3314" s="50" t="n"/>
      <c r="J3314" s="48" t="n"/>
      <c r="K3314" s="48" t="n"/>
      <c r="L3314" s="48" t="n"/>
      <c r="M3314" s="48" t="n"/>
      <c r="N3314" s="48" t="n"/>
      <c r="O3314" s="51">
        <f>IF(AND(B3314="",G3314="",C3314="",D3314="",J3314=""),"",IF(B3314="","⚠ Falta fecha",IF(G3314="","⚠ Falta monto",IF(Q3314="","⚠ Falta cuenta",IF(ISNA(MATCH(Q3314,ctaNombre,0)),"⚠ Cuenta no registrada",IF(AND(OR(P3314="Gasto",P3314="Reembolso"),D3314=""),"⚠ Falta categoría",IF(AND(D3314&lt;&gt;"",E3314&lt;&gt;"",ISNA(MATCH(D3314&amp;"|"&amp;E3314,catClave,0))),"⚠ Subcategoría no corresponde",IF(AND(OR(P3314="Transferencia",P3314="Pago tarjeta"),K3314=""),"⚠ Falta cuenta destino",IF(AND(K3314&lt;&gt;"",P3314&lt;&gt;"Transferencia",P3314&lt;&gt;"Pago tarjeta"),"⚠ Destino solo aplica a transferencias",IF(AND(K3314&lt;&gt;"",K3314=Q3314),"⚠ Origen igual a destino",IF(AND(K3314&lt;&gt;"",ISNA(MATCH(K3314,ctaNombre,0))),"⚠ Destino no registrado",IF(AND(P3314="Pago tarjeta",AE3314&lt;&gt;"Tarjeta de crédito"),"⚠ El destino debe ser tarjeta de crédito",IF(AND(P3314="Gasto",E3314="Depósitos y retiros"),"⚠ Usa tipo Transferencia",IF(AND(P3314="Resultado trading",AD3314&lt;&gt;"Cuenta de trading"),"⚠ Usa una cuenta de trading",IF(AND(G3314&lt;=0,P3314&lt;&gt;"Ajuste",P3314&lt;&gt;"Resultado trading"),"⚠ El monto debe ser positivo","✓")))))))))))))))</f>
        <v/>
      </c>
      <c r="P3314" s="52">
        <f>IF(OR(B3314="",G3314=""),"",IF(C3314="","Gasto",C3314))</f>
        <v/>
      </c>
      <c r="Q3314" s="52">
        <f>IF(P3314="","",IF(J3314&lt;&gt;"",J3314,CuentaPred&amp;""))</f>
        <v/>
      </c>
      <c r="R3314" s="52">
        <f>IF(P3314="","",IF(ISNUMBER(I3314),I3314,TasaUSD))</f>
        <v/>
      </c>
      <c r="S3314" s="53">
        <f>IF(P3314="","",IF(H3314="USD",G3314*R3314,G3314))</f>
        <v/>
      </c>
      <c r="T3314" s="53">
        <f>IF(P3314="","",IF(H3314="USD",G3314,IF(R3314&gt;0,G3314/R3314,0)))</f>
        <v/>
      </c>
      <c r="U3314" s="53">
        <f>IF(P3314="","",IF(P3314="Gasto",S3314,IF(P3314="Reembolso",-S3314,0)))</f>
        <v/>
      </c>
      <c r="V3314" s="53">
        <f>IF(P3314="","",IF(P3314="Ingreso",S3314,0))</f>
        <v/>
      </c>
      <c r="W3314" s="53">
        <f>IF(P3314="","",IF(P3314="Resultado trading",S3314,0))</f>
        <v/>
      </c>
      <c r="X3314" s="52">
        <f>IF(OR(P3314="Gasto",P3314="Reembolso"),IF(M3314&lt;&gt;"",M3314,IFERROR(INDEX(catClasif,MATCH(D3314&amp;"|"&amp;E3314,catClave,0))&amp;"","Variable")),"")</f>
        <v/>
      </c>
      <c r="Y3314" s="52">
        <f>IF(P3314="","",IFERROR(INDEX(catGrupo,MATCH(D3314&amp;"|"&amp;E3314,catClave,0))&amp;"",""))</f>
        <v/>
      </c>
      <c r="Z3314" s="52">
        <f>IF(P3314="","",WEEKDAY(B3314,2))</f>
        <v/>
      </c>
      <c r="AA3314" s="52">
        <f>IF(P3314="","",IF(AND(P3314="Gasto",X3314="Variable",D3314&lt;&gt;catTrading,S3314&gt;0,S3314&lt;=Umbral),1,0))</f>
        <v/>
      </c>
      <c r="AB3314" s="52">
        <f>IF(OR(P3314="",Q3314=""),"",IFERROR(IF(INDEX(ctaVinc,MATCH(Q3314,ctaNombre,0))&amp;""&lt;&gt;"",INDEX(ctaVinc,MATCH(Q3314,ctaNombre,0))&amp;"",Q3314),Q3314))</f>
        <v/>
      </c>
      <c r="AC3314" s="52">
        <f>IF(OR(K3314="",AND(P3314&lt;&gt;"Transferencia",P3314&lt;&gt;"Pago tarjeta")),"",IFERROR(IF(INDEX(ctaVinc,MATCH(K3314,ctaNombre,0))&amp;""&lt;&gt;"",INDEX(ctaVinc,MATCH(K3314,ctaNombre,0))&amp;"",K3314),K3314))</f>
        <v/>
      </c>
      <c r="AD3314" s="52">
        <f>IF(AB3314="","",IFERROR(INDEX(ctaTipo,MATCH(AB3314,ctaNombre,0))&amp;"",""))</f>
        <v/>
      </c>
      <c r="AE3314" s="52">
        <f>IF(AC3314="","",IFERROR(INDEX(ctaTipo,MATCH(AC3314,ctaNombre,0))&amp;"",""))</f>
        <v/>
      </c>
      <c r="AF3314" s="53">
        <f>IF(OR(P3314="",AB3314=""),"",IF(OR(P3314="Gasto",P3314="Transferencia",P3314="Pago tarjeta"),-1,1)*IF(IFERROR(INDEX(ctaMoneda,MATCH(AB3314,ctaNombre,0))&amp;"","DOP")="USD",T3314,S3314))</f>
        <v/>
      </c>
      <c r="AG3314" s="53">
        <f>IF(AC3314="","",IF(IFERROR(INDEX(ctaMoneda,MATCH(AC3314,ctaNombre,0))&amp;"","DOP")="USD",T3314,S3314))</f>
        <v/>
      </c>
      <c r="AH3314" s="53">
        <f>IF(P3314="","",IF(AND(AD3314&lt;&gt;"",COUNTIFS(tcTipo,AD3314,tcLiq,"Sí")&gt;0),IF(OR(P3314="Gasto",P3314="Transferencia",P3314="Pago tarjeta"),-1,1)*S3314,0)+IF(AND(AE3314&lt;&gt;"",COUNTIFS(tcTipo,AE3314,tcLiq,"Sí")&gt;0),S3314,0))</f>
        <v/>
      </c>
      <c r="AI3314" s="52">
        <f>IF(OR(L3314="",P3314=""),"",IF(COUNTIFS(L$6:L3314,L3314,P$6:P3314,"?*")=1,MAX(AI$5:AI3313)+1,""))</f>
        <v/>
      </c>
    </row>
    <row r="3315">
      <c r="B3315" s="47" t="n"/>
      <c r="C3315" s="48" t="n"/>
      <c r="D3315" s="48" t="n"/>
      <c r="E3315" s="48" t="n"/>
      <c r="F3315" s="48" t="n"/>
      <c r="G3315" s="49" t="n"/>
      <c r="H3315" s="48" t="n"/>
      <c r="I3315" s="50" t="n"/>
      <c r="J3315" s="48" t="n"/>
      <c r="K3315" s="48" t="n"/>
      <c r="L3315" s="48" t="n"/>
      <c r="M3315" s="48" t="n"/>
      <c r="N3315" s="48" t="n"/>
      <c r="O3315" s="51">
        <f>IF(AND(B3315="",G3315="",C3315="",D3315="",J3315=""),"",IF(B3315="","⚠ Falta fecha",IF(G3315="","⚠ Falta monto",IF(Q3315="","⚠ Falta cuenta",IF(ISNA(MATCH(Q3315,ctaNombre,0)),"⚠ Cuenta no registrada",IF(AND(OR(P3315="Gasto",P3315="Reembolso"),D3315=""),"⚠ Falta categoría",IF(AND(D3315&lt;&gt;"",E3315&lt;&gt;"",ISNA(MATCH(D3315&amp;"|"&amp;E3315,catClave,0))),"⚠ Subcategoría no corresponde",IF(AND(OR(P3315="Transferencia",P3315="Pago tarjeta"),K3315=""),"⚠ Falta cuenta destino",IF(AND(K3315&lt;&gt;"",P3315&lt;&gt;"Transferencia",P3315&lt;&gt;"Pago tarjeta"),"⚠ Destino solo aplica a transferencias",IF(AND(K3315&lt;&gt;"",K3315=Q3315),"⚠ Origen igual a destino",IF(AND(K3315&lt;&gt;"",ISNA(MATCH(K3315,ctaNombre,0))),"⚠ Destino no registrado",IF(AND(P3315="Pago tarjeta",AE3315&lt;&gt;"Tarjeta de crédito"),"⚠ El destino debe ser tarjeta de crédito",IF(AND(P3315="Gasto",E3315="Depósitos y retiros"),"⚠ Usa tipo Transferencia",IF(AND(P3315="Resultado trading",AD3315&lt;&gt;"Cuenta de trading"),"⚠ Usa una cuenta de trading",IF(AND(G3315&lt;=0,P3315&lt;&gt;"Ajuste",P3315&lt;&gt;"Resultado trading"),"⚠ El monto debe ser positivo","✓")))))))))))))))</f>
        <v/>
      </c>
      <c r="P3315" s="52">
        <f>IF(OR(B3315="",G3315=""),"",IF(C3315="","Gasto",C3315))</f>
        <v/>
      </c>
      <c r="Q3315" s="52">
        <f>IF(P3315="","",IF(J3315&lt;&gt;"",J3315,CuentaPred&amp;""))</f>
        <v/>
      </c>
      <c r="R3315" s="52">
        <f>IF(P3315="","",IF(ISNUMBER(I3315),I3315,TasaUSD))</f>
        <v/>
      </c>
      <c r="S3315" s="53">
        <f>IF(P3315="","",IF(H3315="USD",G3315*R3315,G3315))</f>
        <v/>
      </c>
      <c r="T3315" s="53">
        <f>IF(P3315="","",IF(H3315="USD",G3315,IF(R3315&gt;0,G3315/R3315,0)))</f>
        <v/>
      </c>
      <c r="U3315" s="53">
        <f>IF(P3315="","",IF(P3315="Gasto",S3315,IF(P3315="Reembolso",-S3315,0)))</f>
        <v/>
      </c>
      <c r="V3315" s="53">
        <f>IF(P3315="","",IF(P3315="Ingreso",S3315,0))</f>
        <v/>
      </c>
      <c r="W3315" s="53">
        <f>IF(P3315="","",IF(P3315="Resultado trading",S3315,0))</f>
        <v/>
      </c>
      <c r="X3315" s="52">
        <f>IF(OR(P3315="Gasto",P3315="Reembolso"),IF(M3315&lt;&gt;"",M3315,IFERROR(INDEX(catClasif,MATCH(D3315&amp;"|"&amp;E3315,catClave,0))&amp;"","Variable")),"")</f>
        <v/>
      </c>
      <c r="Y3315" s="52">
        <f>IF(P3315="","",IFERROR(INDEX(catGrupo,MATCH(D3315&amp;"|"&amp;E3315,catClave,0))&amp;"",""))</f>
        <v/>
      </c>
      <c r="Z3315" s="52">
        <f>IF(P3315="","",WEEKDAY(B3315,2))</f>
        <v/>
      </c>
      <c r="AA3315" s="52">
        <f>IF(P3315="","",IF(AND(P3315="Gasto",X3315="Variable",D3315&lt;&gt;catTrading,S3315&gt;0,S3315&lt;=Umbral),1,0))</f>
        <v/>
      </c>
      <c r="AB3315" s="52">
        <f>IF(OR(P3315="",Q3315=""),"",IFERROR(IF(INDEX(ctaVinc,MATCH(Q3315,ctaNombre,0))&amp;""&lt;&gt;"",INDEX(ctaVinc,MATCH(Q3315,ctaNombre,0))&amp;"",Q3315),Q3315))</f>
        <v/>
      </c>
      <c r="AC3315" s="52">
        <f>IF(OR(K3315="",AND(P3315&lt;&gt;"Transferencia",P3315&lt;&gt;"Pago tarjeta")),"",IFERROR(IF(INDEX(ctaVinc,MATCH(K3315,ctaNombre,0))&amp;""&lt;&gt;"",INDEX(ctaVinc,MATCH(K3315,ctaNombre,0))&amp;"",K3315),K3315))</f>
        <v/>
      </c>
      <c r="AD3315" s="52">
        <f>IF(AB3315="","",IFERROR(INDEX(ctaTipo,MATCH(AB3315,ctaNombre,0))&amp;"",""))</f>
        <v/>
      </c>
      <c r="AE3315" s="52">
        <f>IF(AC3315="","",IFERROR(INDEX(ctaTipo,MATCH(AC3315,ctaNombre,0))&amp;"",""))</f>
        <v/>
      </c>
      <c r="AF3315" s="53">
        <f>IF(OR(P3315="",AB3315=""),"",IF(OR(P3315="Gasto",P3315="Transferencia",P3315="Pago tarjeta"),-1,1)*IF(IFERROR(INDEX(ctaMoneda,MATCH(AB3315,ctaNombre,0))&amp;"","DOP")="USD",T3315,S3315))</f>
        <v/>
      </c>
      <c r="AG3315" s="53">
        <f>IF(AC3315="","",IF(IFERROR(INDEX(ctaMoneda,MATCH(AC3315,ctaNombre,0))&amp;"","DOP")="USD",T3315,S3315))</f>
        <v/>
      </c>
      <c r="AH3315" s="53">
        <f>IF(P3315="","",IF(AND(AD3315&lt;&gt;"",COUNTIFS(tcTipo,AD3315,tcLiq,"Sí")&gt;0),IF(OR(P3315="Gasto",P3315="Transferencia",P3315="Pago tarjeta"),-1,1)*S3315,0)+IF(AND(AE3315&lt;&gt;"",COUNTIFS(tcTipo,AE3315,tcLiq,"Sí")&gt;0),S3315,0))</f>
        <v/>
      </c>
      <c r="AI3315" s="52">
        <f>IF(OR(L3315="",P3315=""),"",IF(COUNTIFS(L$6:L3315,L3315,P$6:P3315,"?*")=1,MAX(AI$5:AI3314)+1,""))</f>
        <v/>
      </c>
    </row>
    <row r="3316">
      <c r="B3316" s="47" t="n"/>
      <c r="C3316" s="48" t="n"/>
      <c r="D3316" s="48" t="n"/>
      <c r="E3316" s="48" t="n"/>
      <c r="F3316" s="48" t="n"/>
      <c r="G3316" s="49" t="n"/>
      <c r="H3316" s="48" t="n"/>
      <c r="I3316" s="50" t="n"/>
      <c r="J3316" s="48" t="n"/>
      <c r="K3316" s="48" t="n"/>
      <c r="L3316" s="48" t="n"/>
      <c r="M3316" s="48" t="n"/>
      <c r="N3316" s="48" t="n"/>
      <c r="O3316" s="51">
        <f>IF(AND(B3316="",G3316="",C3316="",D3316="",J3316=""),"",IF(B3316="","⚠ Falta fecha",IF(G3316="","⚠ Falta monto",IF(Q3316="","⚠ Falta cuenta",IF(ISNA(MATCH(Q3316,ctaNombre,0)),"⚠ Cuenta no registrada",IF(AND(OR(P3316="Gasto",P3316="Reembolso"),D3316=""),"⚠ Falta categoría",IF(AND(D3316&lt;&gt;"",E3316&lt;&gt;"",ISNA(MATCH(D3316&amp;"|"&amp;E3316,catClave,0))),"⚠ Subcategoría no corresponde",IF(AND(OR(P3316="Transferencia",P3316="Pago tarjeta"),K3316=""),"⚠ Falta cuenta destino",IF(AND(K3316&lt;&gt;"",P3316&lt;&gt;"Transferencia",P3316&lt;&gt;"Pago tarjeta"),"⚠ Destino solo aplica a transferencias",IF(AND(K3316&lt;&gt;"",K3316=Q3316),"⚠ Origen igual a destino",IF(AND(K3316&lt;&gt;"",ISNA(MATCH(K3316,ctaNombre,0))),"⚠ Destino no registrado",IF(AND(P3316="Pago tarjeta",AE3316&lt;&gt;"Tarjeta de crédito"),"⚠ El destino debe ser tarjeta de crédito",IF(AND(P3316="Gasto",E3316="Depósitos y retiros"),"⚠ Usa tipo Transferencia",IF(AND(P3316="Resultado trading",AD3316&lt;&gt;"Cuenta de trading"),"⚠ Usa una cuenta de trading",IF(AND(G3316&lt;=0,P3316&lt;&gt;"Ajuste",P3316&lt;&gt;"Resultado trading"),"⚠ El monto debe ser positivo","✓")))))))))))))))</f>
        <v/>
      </c>
      <c r="P3316" s="52">
        <f>IF(OR(B3316="",G3316=""),"",IF(C3316="","Gasto",C3316))</f>
        <v/>
      </c>
      <c r="Q3316" s="52">
        <f>IF(P3316="","",IF(J3316&lt;&gt;"",J3316,CuentaPred&amp;""))</f>
        <v/>
      </c>
      <c r="R3316" s="52">
        <f>IF(P3316="","",IF(ISNUMBER(I3316),I3316,TasaUSD))</f>
        <v/>
      </c>
      <c r="S3316" s="53">
        <f>IF(P3316="","",IF(H3316="USD",G3316*R3316,G3316))</f>
        <v/>
      </c>
      <c r="T3316" s="53">
        <f>IF(P3316="","",IF(H3316="USD",G3316,IF(R3316&gt;0,G3316/R3316,0)))</f>
        <v/>
      </c>
      <c r="U3316" s="53">
        <f>IF(P3316="","",IF(P3316="Gasto",S3316,IF(P3316="Reembolso",-S3316,0)))</f>
        <v/>
      </c>
      <c r="V3316" s="53">
        <f>IF(P3316="","",IF(P3316="Ingreso",S3316,0))</f>
        <v/>
      </c>
      <c r="W3316" s="53">
        <f>IF(P3316="","",IF(P3316="Resultado trading",S3316,0))</f>
        <v/>
      </c>
      <c r="X3316" s="52">
        <f>IF(OR(P3316="Gasto",P3316="Reembolso"),IF(M3316&lt;&gt;"",M3316,IFERROR(INDEX(catClasif,MATCH(D3316&amp;"|"&amp;E3316,catClave,0))&amp;"","Variable")),"")</f>
        <v/>
      </c>
      <c r="Y3316" s="52">
        <f>IF(P3316="","",IFERROR(INDEX(catGrupo,MATCH(D3316&amp;"|"&amp;E3316,catClave,0))&amp;"",""))</f>
        <v/>
      </c>
      <c r="Z3316" s="52">
        <f>IF(P3316="","",WEEKDAY(B3316,2))</f>
        <v/>
      </c>
      <c r="AA3316" s="52">
        <f>IF(P3316="","",IF(AND(P3316="Gasto",X3316="Variable",D3316&lt;&gt;catTrading,S3316&gt;0,S3316&lt;=Umbral),1,0))</f>
        <v/>
      </c>
      <c r="AB3316" s="52">
        <f>IF(OR(P3316="",Q3316=""),"",IFERROR(IF(INDEX(ctaVinc,MATCH(Q3316,ctaNombre,0))&amp;""&lt;&gt;"",INDEX(ctaVinc,MATCH(Q3316,ctaNombre,0))&amp;"",Q3316),Q3316))</f>
        <v/>
      </c>
      <c r="AC3316" s="52">
        <f>IF(OR(K3316="",AND(P3316&lt;&gt;"Transferencia",P3316&lt;&gt;"Pago tarjeta")),"",IFERROR(IF(INDEX(ctaVinc,MATCH(K3316,ctaNombre,0))&amp;""&lt;&gt;"",INDEX(ctaVinc,MATCH(K3316,ctaNombre,0))&amp;"",K3316),K3316))</f>
        <v/>
      </c>
      <c r="AD3316" s="52">
        <f>IF(AB3316="","",IFERROR(INDEX(ctaTipo,MATCH(AB3316,ctaNombre,0))&amp;"",""))</f>
        <v/>
      </c>
      <c r="AE3316" s="52">
        <f>IF(AC3316="","",IFERROR(INDEX(ctaTipo,MATCH(AC3316,ctaNombre,0))&amp;"",""))</f>
        <v/>
      </c>
      <c r="AF3316" s="53">
        <f>IF(OR(P3316="",AB3316=""),"",IF(OR(P3316="Gasto",P3316="Transferencia",P3316="Pago tarjeta"),-1,1)*IF(IFERROR(INDEX(ctaMoneda,MATCH(AB3316,ctaNombre,0))&amp;"","DOP")="USD",T3316,S3316))</f>
        <v/>
      </c>
      <c r="AG3316" s="53">
        <f>IF(AC3316="","",IF(IFERROR(INDEX(ctaMoneda,MATCH(AC3316,ctaNombre,0))&amp;"","DOP")="USD",T3316,S3316))</f>
        <v/>
      </c>
      <c r="AH3316" s="53">
        <f>IF(P3316="","",IF(AND(AD3316&lt;&gt;"",COUNTIFS(tcTipo,AD3316,tcLiq,"Sí")&gt;0),IF(OR(P3316="Gasto",P3316="Transferencia",P3316="Pago tarjeta"),-1,1)*S3316,0)+IF(AND(AE3316&lt;&gt;"",COUNTIFS(tcTipo,AE3316,tcLiq,"Sí")&gt;0),S3316,0))</f>
        <v/>
      </c>
      <c r="AI3316" s="52">
        <f>IF(OR(L3316="",P3316=""),"",IF(COUNTIFS(L$6:L3316,L3316,P$6:P3316,"?*")=1,MAX(AI$5:AI3315)+1,""))</f>
        <v/>
      </c>
    </row>
    <row r="3317">
      <c r="B3317" s="47" t="n"/>
      <c r="C3317" s="48" t="n"/>
      <c r="D3317" s="48" t="n"/>
      <c r="E3317" s="48" t="n"/>
      <c r="F3317" s="48" t="n"/>
      <c r="G3317" s="49" t="n"/>
      <c r="H3317" s="48" t="n"/>
      <c r="I3317" s="50" t="n"/>
      <c r="J3317" s="48" t="n"/>
      <c r="K3317" s="48" t="n"/>
      <c r="L3317" s="48" t="n"/>
      <c r="M3317" s="48" t="n"/>
      <c r="N3317" s="48" t="n"/>
      <c r="O3317" s="51">
        <f>IF(AND(B3317="",G3317="",C3317="",D3317="",J3317=""),"",IF(B3317="","⚠ Falta fecha",IF(G3317="","⚠ Falta monto",IF(Q3317="","⚠ Falta cuenta",IF(ISNA(MATCH(Q3317,ctaNombre,0)),"⚠ Cuenta no registrada",IF(AND(OR(P3317="Gasto",P3317="Reembolso"),D3317=""),"⚠ Falta categoría",IF(AND(D3317&lt;&gt;"",E3317&lt;&gt;"",ISNA(MATCH(D3317&amp;"|"&amp;E3317,catClave,0))),"⚠ Subcategoría no corresponde",IF(AND(OR(P3317="Transferencia",P3317="Pago tarjeta"),K3317=""),"⚠ Falta cuenta destino",IF(AND(K3317&lt;&gt;"",P3317&lt;&gt;"Transferencia",P3317&lt;&gt;"Pago tarjeta"),"⚠ Destino solo aplica a transferencias",IF(AND(K3317&lt;&gt;"",K3317=Q3317),"⚠ Origen igual a destino",IF(AND(K3317&lt;&gt;"",ISNA(MATCH(K3317,ctaNombre,0))),"⚠ Destino no registrado",IF(AND(P3317="Pago tarjeta",AE3317&lt;&gt;"Tarjeta de crédito"),"⚠ El destino debe ser tarjeta de crédito",IF(AND(P3317="Gasto",E3317="Depósitos y retiros"),"⚠ Usa tipo Transferencia",IF(AND(P3317="Resultado trading",AD3317&lt;&gt;"Cuenta de trading"),"⚠ Usa una cuenta de trading",IF(AND(G3317&lt;=0,P3317&lt;&gt;"Ajuste",P3317&lt;&gt;"Resultado trading"),"⚠ El monto debe ser positivo","✓")))))))))))))))</f>
        <v/>
      </c>
      <c r="P3317" s="52">
        <f>IF(OR(B3317="",G3317=""),"",IF(C3317="","Gasto",C3317))</f>
        <v/>
      </c>
      <c r="Q3317" s="52">
        <f>IF(P3317="","",IF(J3317&lt;&gt;"",J3317,CuentaPred&amp;""))</f>
        <v/>
      </c>
      <c r="R3317" s="52">
        <f>IF(P3317="","",IF(ISNUMBER(I3317),I3317,TasaUSD))</f>
        <v/>
      </c>
      <c r="S3317" s="53">
        <f>IF(P3317="","",IF(H3317="USD",G3317*R3317,G3317))</f>
        <v/>
      </c>
      <c r="T3317" s="53">
        <f>IF(P3317="","",IF(H3317="USD",G3317,IF(R3317&gt;0,G3317/R3317,0)))</f>
        <v/>
      </c>
      <c r="U3317" s="53">
        <f>IF(P3317="","",IF(P3317="Gasto",S3317,IF(P3317="Reembolso",-S3317,0)))</f>
        <v/>
      </c>
      <c r="V3317" s="53">
        <f>IF(P3317="","",IF(P3317="Ingreso",S3317,0))</f>
        <v/>
      </c>
      <c r="W3317" s="53">
        <f>IF(P3317="","",IF(P3317="Resultado trading",S3317,0))</f>
        <v/>
      </c>
      <c r="X3317" s="52">
        <f>IF(OR(P3317="Gasto",P3317="Reembolso"),IF(M3317&lt;&gt;"",M3317,IFERROR(INDEX(catClasif,MATCH(D3317&amp;"|"&amp;E3317,catClave,0))&amp;"","Variable")),"")</f>
        <v/>
      </c>
      <c r="Y3317" s="52">
        <f>IF(P3317="","",IFERROR(INDEX(catGrupo,MATCH(D3317&amp;"|"&amp;E3317,catClave,0))&amp;"",""))</f>
        <v/>
      </c>
      <c r="Z3317" s="52">
        <f>IF(P3317="","",WEEKDAY(B3317,2))</f>
        <v/>
      </c>
      <c r="AA3317" s="52">
        <f>IF(P3317="","",IF(AND(P3317="Gasto",X3317="Variable",D3317&lt;&gt;catTrading,S3317&gt;0,S3317&lt;=Umbral),1,0))</f>
        <v/>
      </c>
      <c r="AB3317" s="52">
        <f>IF(OR(P3317="",Q3317=""),"",IFERROR(IF(INDEX(ctaVinc,MATCH(Q3317,ctaNombre,0))&amp;""&lt;&gt;"",INDEX(ctaVinc,MATCH(Q3317,ctaNombre,0))&amp;"",Q3317),Q3317))</f>
        <v/>
      </c>
      <c r="AC3317" s="52">
        <f>IF(OR(K3317="",AND(P3317&lt;&gt;"Transferencia",P3317&lt;&gt;"Pago tarjeta")),"",IFERROR(IF(INDEX(ctaVinc,MATCH(K3317,ctaNombre,0))&amp;""&lt;&gt;"",INDEX(ctaVinc,MATCH(K3317,ctaNombre,0))&amp;"",K3317),K3317))</f>
        <v/>
      </c>
      <c r="AD3317" s="52">
        <f>IF(AB3317="","",IFERROR(INDEX(ctaTipo,MATCH(AB3317,ctaNombre,0))&amp;"",""))</f>
        <v/>
      </c>
      <c r="AE3317" s="52">
        <f>IF(AC3317="","",IFERROR(INDEX(ctaTipo,MATCH(AC3317,ctaNombre,0))&amp;"",""))</f>
        <v/>
      </c>
      <c r="AF3317" s="53">
        <f>IF(OR(P3317="",AB3317=""),"",IF(OR(P3317="Gasto",P3317="Transferencia",P3317="Pago tarjeta"),-1,1)*IF(IFERROR(INDEX(ctaMoneda,MATCH(AB3317,ctaNombre,0))&amp;"","DOP")="USD",T3317,S3317))</f>
        <v/>
      </c>
      <c r="AG3317" s="53">
        <f>IF(AC3317="","",IF(IFERROR(INDEX(ctaMoneda,MATCH(AC3317,ctaNombre,0))&amp;"","DOP")="USD",T3317,S3317))</f>
        <v/>
      </c>
      <c r="AH3317" s="53">
        <f>IF(P3317="","",IF(AND(AD3317&lt;&gt;"",COUNTIFS(tcTipo,AD3317,tcLiq,"Sí")&gt;0),IF(OR(P3317="Gasto",P3317="Transferencia",P3317="Pago tarjeta"),-1,1)*S3317,0)+IF(AND(AE3317&lt;&gt;"",COUNTIFS(tcTipo,AE3317,tcLiq,"Sí")&gt;0),S3317,0))</f>
        <v/>
      </c>
      <c r="AI3317" s="52">
        <f>IF(OR(L3317="",P3317=""),"",IF(COUNTIFS(L$6:L3317,L3317,P$6:P3317,"?*")=1,MAX(AI$5:AI3316)+1,""))</f>
        <v/>
      </c>
    </row>
    <row r="3318">
      <c r="B3318" s="47" t="n"/>
      <c r="C3318" s="48" t="n"/>
      <c r="D3318" s="48" t="n"/>
      <c r="E3318" s="48" t="n"/>
      <c r="F3318" s="48" t="n"/>
      <c r="G3318" s="49" t="n"/>
      <c r="H3318" s="48" t="n"/>
      <c r="I3318" s="50" t="n"/>
      <c r="J3318" s="48" t="n"/>
      <c r="K3318" s="48" t="n"/>
      <c r="L3318" s="48" t="n"/>
      <c r="M3318" s="48" t="n"/>
      <c r="N3318" s="48" t="n"/>
      <c r="O3318" s="51">
        <f>IF(AND(B3318="",G3318="",C3318="",D3318="",J3318=""),"",IF(B3318="","⚠ Falta fecha",IF(G3318="","⚠ Falta monto",IF(Q3318="","⚠ Falta cuenta",IF(ISNA(MATCH(Q3318,ctaNombre,0)),"⚠ Cuenta no registrada",IF(AND(OR(P3318="Gasto",P3318="Reembolso"),D3318=""),"⚠ Falta categoría",IF(AND(D3318&lt;&gt;"",E3318&lt;&gt;"",ISNA(MATCH(D3318&amp;"|"&amp;E3318,catClave,0))),"⚠ Subcategoría no corresponde",IF(AND(OR(P3318="Transferencia",P3318="Pago tarjeta"),K3318=""),"⚠ Falta cuenta destino",IF(AND(K3318&lt;&gt;"",P3318&lt;&gt;"Transferencia",P3318&lt;&gt;"Pago tarjeta"),"⚠ Destino solo aplica a transferencias",IF(AND(K3318&lt;&gt;"",K3318=Q3318),"⚠ Origen igual a destino",IF(AND(K3318&lt;&gt;"",ISNA(MATCH(K3318,ctaNombre,0))),"⚠ Destino no registrado",IF(AND(P3318="Pago tarjeta",AE3318&lt;&gt;"Tarjeta de crédito"),"⚠ El destino debe ser tarjeta de crédito",IF(AND(P3318="Gasto",E3318="Depósitos y retiros"),"⚠ Usa tipo Transferencia",IF(AND(P3318="Resultado trading",AD3318&lt;&gt;"Cuenta de trading"),"⚠ Usa una cuenta de trading",IF(AND(G3318&lt;=0,P3318&lt;&gt;"Ajuste",P3318&lt;&gt;"Resultado trading"),"⚠ El monto debe ser positivo","✓")))))))))))))))</f>
        <v/>
      </c>
      <c r="P3318" s="52">
        <f>IF(OR(B3318="",G3318=""),"",IF(C3318="","Gasto",C3318))</f>
        <v/>
      </c>
      <c r="Q3318" s="52">
        <f>IF(P3318="","",IF(J3318&lt;&gt;"",J3318,CuentaPred&amp;""))</f>
        <v/>
      </c>
      <c r="R3318" s="52">
        <f>IF(P3318="","",IF(ISNUMBER(I3318),I3318,TasaUSD))</f>
        <v/>
      </c>
      <c r="S3318" s="53">
        <f>IF(P3318="","",IF(H3318="USD",G3318*R3318,G3318))</f>
        <v/>
      </c>
      <c r="T3318" s="53">
        <f>IF(P3318="","",IF(H3318="USD",G3318,IF(R3318&gt;0,G3318/R3318,0)))</f>
        <v/>
      </c>
      <c r="U3318" s="53">
        <f>IF(P3318="","",IF(P3318="Gasto",S3318,IF(P3318="Reembolso",-S3318,0)))</f>
        <v/>
      </c>
      <c r="V3318" s="53">
        <f>IF(P3318="","",IF(P3318="Ingreso",S3318,0))</f>
        <v/>
      </c>
      <c r="W3318" s="53">
        <f>IF(P3318="","",IF(P3318="Resultado trading",S3318,0))</f>
        <v/>
      </c>
      <c r="X3318" s="52">
        <f>IF(OR(P3318="Gasto",P3318="Reembolso"),IF(M3318&lt;&gt;"",M3318,IFERROR(INDEX(catClasif,MATCH(D3318&amp;"|"&amp;E3318,catClave,0))&amp;"","Variable")),"")</f>
        <v/>
      </c>
      <c r="Y3318" s="52">
        <f>IF(P3318="","",IFERROR(INDEX(catGrupo,MATCH(D3318&amp;"|"&amp;E3318,catClave,0))&amp;"",""))</f>
        <v/>
      </c>
      <c r="Z3318" s="52">
        <f>IF(P3318="","",WEEKDAY(B3318,2))</f>
        <v/>
      </c>
      <c r="AA3318" s="52">
        <f>IF(P3318="","",IF(AND(P3318="Gasto",X3318="Variable",D3318&lt;&gt;catTrading,S3318&gt;0,S3318&lt;=Umbral),1,0))</f>
        <v/>
      </c>
      <c r="AB3318" s="52">
        <f>IF(OR(P3318="",Q3318=""),"",IFERROR(IF(INDEX(ctaVinc,MATCH(Q3318,ctaNombre,0))&amp;""&lt;&gt;"",INDEX(ctaVinc,MATCH(Q3318,ctaNombre,0))&amp;"",Q3318),Q3318))</f>
        <v/>
      </c>
      <c r="AC3318" s="52">
        <f>IF(OR(K3318="",AND(P3318&lt;&gt;"Transferencia",P3318&lt;&gt;"Pago tarjeta")),"",IFERROR(IF(INDEX(ctaVinc,MATCH(K3318,ctaNombre,0))&amp;""&lt;&gt;"",INDEX(ctaVinc,MATCH(K3318,ctaNombre,0))&amp;"",K3318),K3318))</f>
        <v/>
      </c>
      <c r="AD3318" s="52">
        <f>IF(AB3318="","",IFERROR(INDEX(ctaTipo,MATCH(AB3318,ctaNombre,0))&amp;"",""))</f>
        <v/>
      </c>
      <c r="AE3318" s="52">
        <f>IF(AC3318="","",IFERROR(INDEX(ctaTipo,MATCH(AC3318,ctaNombre,0))&amp;"",""))</f>
        <v/>
      </c>
      <c r="AF3318" s="53">
        <f>IF(OR(P3318="",AB3318=""),"",IF(OR(P3318="Gasto",P3318="Transferencia",P3318="Pago tarjeta"),-1,1)*IF(IFERROR(INDEX(ctaMoneda,MATCH(AB3318,ctaNombre,0))&amp;"","DOP")="USD",T3318,S3318))</f>
        <v/>
      </c>
      <c r="AG3318" s="53">
        <f>IF(AC3318="","",IF(IFERROR(INDEX(ctaMoneda,MATCH(AC3318,ctaNombre,0))&amp;"","DOP")="USD",T3318,S3318))</f>
        <v/>
      </c>
      <c r="AH3318" s="53">
        <f>IF(P3318="","",IF(AND(AD3318&lt;&gt;"",COUNTIFS(tcTipo,AD3318,tcLiq,"Sí")&gt;0),IF(OR(P3318="Gasto",P3318="Transferencia",P3318="Pago tarjeta"),-1,1)*S3318,0)+IF(AND(AE3318&lt;&gt;"",COUNTIFS(tcTipo,AE3318,tcLiq,"Sí")&gt;0),S3318,0))</f>
        <v/>
      </c>
      <c r="AI3318" s="52">
        <f>IF(OR(L3318="",P3318=""),"",IF(COUNTIFS(L$6:L3318,L3318,P$6:P3318,"?*")=1,MAX(AI$5:AI3317)+1,""))</f>
        <v/>
      </c>
    </row>
    <row r="3319">
      <c r="B3319" s="47" t="n"/>
      <c r="C3319" s="48" t="n"/>
      <c r="D3319" s="48" t="n"/>
      <c r="E3319" s="48" t="n"/>
      <c r="F3319" s="48" t="n"/>
      <c r="G3319" s="49" t="n"/>
      <c r="H3319" s="48" t="n"/>
      <c r="I3319" s="50" t="n"/>
      <c r="J3319" s="48" t="n"/>
      <c r="K3319" s="48" t="n"/>
      <c r="L3319" s="48" t="n"/>
      <c r="M3319" s="48" t="n"/>
      <c r="N3319" s="48" t="n"/>
      <c r="O3319" s="51">
        <f>IF(AND(B3319="",G3319="",C3319="",D3319="",J3319=""),"",IF(B3319="","⚠ Falta fecha",IF(G3319="","⚠ Falta monto",IF(Q3319="","⚠ Falta cuenta",IF(ISNA(MATCH(Q3319,ctaNombre,0)),"⚠ Cuenta no registrada",IF(AND(OR(P3319="Gasto",P3319="Reembolso"),D3319=""),"⚠ Falta categoría",IF(AND(D3319&lt;&gt;"",E3319&lt;&gt;"",ISNA(MATCH(D3319&amp;"|"&amp;E3319,catClave,0))),"⚠ Subcategoría no corresponde",IF(AND(OR(P3319="Transferencia",P3319="Pago tarjeta"),K3319=""),"⚠ Falta cuenta destino",IF(AND(K3319&lt;&gt;"",P3319&lt;&gt;"Transferencia",P3319&lt;&gt;"Pago tarjeta"),"⚠ Destino solo aplica a transferencias",IF(AND(K3319&lt;&gt;"",K3319=Q3319),"⚠ Origen igual a destino",IF(AND(K3319&lt;&gt;"",ISNA(MATCH(K3319,ctaNombre,0))),"⚠ Destino no registrado",IF(AND(P3319="Pago tarjeta",AE3319&lt;&gt;"Tarjeta de crédito"),"⚠ El destino debe ser tarjeta de crédito",IF(AND(P3319="Gasto",E3319="Depósitos y retiros"),"⚠ Usa tipo Transferencia",IF(AND(P3319="Resultado trading",AD3319&lt;&gt;"Cuenta de trading"),"⚠ Usa una cuenta de trading",IF(AND(G3319&lt;=0,P3319&lt;&gt;"Ajuste",P3319&lt;&gt;"Resultado trading"),"⚠ El monto debe ser positivo","✓")))))))))))))))</f>
        <v/>
      </c>
      <c r="P3319" s="52">
        <f>IF(OR(B3319="",G3319=""),"",IF(C3319="","Gasto",C3319))</f>
        <v/>
      </c>
      <c r="Q3319" s="52">
        <f>IF(P3319="","",IF(J3319&lt;&gt;"",J3319,CuentaPred&amp;""))</f>
        <v/>
      </c>
      <c r="R3319" s="52">
        <f>IF(P3319="","",IF(ISNUMBER(I3319),I3319,TasaUSD))</f>
        <v/>
      </c>
      <c r="S3319" s="53">
        <f>IF(P3319="","",IF(H3319="USD",G3319*R3319,G3319))</f>
        <v/>
      </c>
      <c r="T3319" s="53">
        <f>IF(P3319="","",IF(H3319="USD",G3319,IF(R3319&gt;0,G3319/R3319,0)))</f>
        <v/>
      </c>
      <c r="U3319" s="53">
        <f>IF(P3319="","",IF(P3319="Gasto",S3319,IF(P3319="Reembolso",-S3319,0)))</f>
        <v/>
      </c>
      <c r="V3319" s="53">
        <f>IF(P3319="","",IF(P3319="Ingreso",S3319,0))</f>
        <v/>
      </c>
      <c r="W3319" s="53">
        <f>IF(P3319="","",IF(P3319="Resultado trading",S3319,0))</f>
        <v/>
      </c>
      <c r="X3319" s="52">
        <f>IF(OR(P3319="Gasto",P3319="Reembolso"),IF(M3319&lt;&gt;"",M3319,IFERROR(INDEX(catClasif,MATCH(D3319&amp;"|"&amp;E3319,catClave,0))&amp;"","Variable")),"")</f>
        <v/>
      </c>
      <c r="Y3319" s="52">
        <f>IF(P3319="","",IFERROR(INDEX(catGrupo,MATCH(D3319&amp;"|"&amp;E3319,catClave,0))&amp;"",""))</f>
        <v/>
      </c>
      <c r="Z3319" s="52">
        <f>IF(P3319="","",WEEKDAY(B3319,2))</f>
        <v/>
      </c>
      <c r="AA3319" s="52">
        <f>IF(P3319="","",IF(AND(P3319="Gasto",X3319="Variable",D3319&lt;&gt;catTrading,S3319&gt;0,S3319&lt;=Umbral),1,0))</f>
        <v/>
      </c>
      <c r="AB3319" s="52">
        <f>IF(OR(P3319="",Q3319=""),"",IFERROR(IF(INDEX(ctaVinc,MATCH(Q3319,ctaNombre,0))&amp;""&lt;&gt;"",INDEX(ctaVinc,MATCH(Q3319,ctaNombre,0))&amp;"",Q3319),Q3319))</f>
        <v/>
      </c>
      <c r="AC3319" s="52">
        <f>IF(OR(K3319="",AND(P3319&lt;&gt;"Transferencia",P3319&lt;&gt;"Pago tarjeta")),"",IFERROR(IF(INDEX(ctaVinc,MATCH(K3319,ctaNombre,0))&amp;""&lt;&gt;"",INDEX(ctaVinc,MATCH(K3319,ctaNombre,0))&amp;"",K3319),K3319))</f>
        <v/>
      </c>
      <c r="AD3319" s="52">
        <f>IF(AB3319="","",IFERROR(INDEX(ctaTipo,MATCH(AB3319,ctaNombre,0))&amp;"",""))</f>
        <v/>
      </c>
      <c r="AE3319" s="52">
        <f>IF(AC3319="","",IFERROR(INDEX(ctaTipo,MATCH(AC3319,ctaNombre,0))&amp;"",""))</f>
        <v/>
      </c>
      <c r="AF3319" s="53">
        <f>IF(OR(P3319="",AB3319=""),"",IF(OR(P3319="Gasto",P3319="Transferencia",P3319="Pago tarjeta"),-1,1)*IF(IFERROR(INDEX(ctaMoneda,MATCH(AB3319,ctaNombre,0))&amp;"","DOP")="USD",T3319,S3319))</f>
        <v/>
      </c>
      <c r="AG3319" s="53">
        <f>IF(AC3319="","",IF(IFERROR(INDEX(ctaMoneda,MATCH(AC3319,ctaNombre,0))&amp;"","DOP")="USD",T3319,S3319))</f>
        <v/>
      </c>
      <c r="AH3319" s="53">
        <f>IF(P3319="","",IF(AND(AD3319&lt;&gt;"",COUNTIFS(tcTipo,AD3319,tcLiq,"Sí")&gt;0),IF(OR(P3319="Gasto",P3319="Transferencia",P3319="Pago tarjeta"),-1,1)*S3319,0)+IF(AND(AE3319&lt;&gt;"",COUNTIFS(tcTipo,AE3319,tcLiq,"Sí")&gt;0),S3319,0))</f>
        <v/>
      </c>
      <c r="AI3319" s="52">
        <f>IF(OR(L3319="",P3319=""),"",IF(COUNTIFS(L$6:L3319,L3319,P$6:P3319,"?*")=1,MAX(AI$5:AI3318)+1,""))</f>
        <v/>
      </c>
    </row>
    <row r="3320">
      <c r="B3320" s="47" t="n"/>
      <c r="C3320" s="48" t="n"/>
      <c r="D3320" s="48" t="n"/>
      <c r="E3320" s="48" t="n"/>
      <c r="F3320" s="48" t="n"/>
      <c r="G3320" s="49" t="n"/>
      <c r="H3320" s="48" t="n"/>
      <c r="I3320" s="50" t="n"/>
      <c r="J3320" s="48" t="n"/>
      <c r="K3320" s="48" t="n"/>
      <c r="L3320" s="48" t="n"/>
      <c r="M3320" s="48" t="n"/>
      <c r="N3320" s="48" t="n"/>
      <c r="O3320" s="51">
        <f>IF(AND(B3320="",G3320="",C3320="",D3320="",J3320=""),"",IF(B3320="","⚠ Falta fecha",IF(G3320="","⚠ Falta monto",IF(Q3320="","⚠ Falta cuenta",IF(ISNA(MATCH(Q3320,ctaNombre,0)),"⚠ Cuenta no registrada",IF(AND(OR(P3320="Gasto",P3320="Reembolso"),D3320=""),"⚠ Falta categoría",IF(AND(D3320&lt;&gt;"",E3320&lt;&gt;"",ISNA(MATCH(D3320&amp;"|"&amp;E3320,catClave,0))),"⚠ Subcategoría no corresponde",IF(AND(OR(P3320="Transferencia",P3320="Pago tarjeta"),K3320=""),"⚠ Falta cuenta destino",IF(AND(K3320&lt;&gt;"",P3320&lt;&gt;"Transferencia",P3320&lt;&gt;"Pago tarjeta"),"⚠ Destino solo aplica a transferencias",IF(AND(K3320&lt;&gt;"",K3320=Q3320),"⚠ Origen igual a destino",IF(AND(K3320&lt;&gt;"",ISNA(MATCH(K3320,ctaNombre,0))),"⚠ Destino no registrado",IF(AND(P3320="Pago tarjeta",AE3320&lt;&gt;"Tarjeta de crédito"),"⚠ El destino debe ser tarjeta de crédito",IF(AND(P3320="Gasto",E3320="Depósitos y retiros"),"⚠ Usa tipo Transferencia",IF(AND(P3320="Resultado trading",AD3320&lt;&gt;"Cuenta de trading"),"⚠ Usa una cuenta de trading",IF(AND(G3320&lt;=0,P3320&lt;&gt;"Ajuste",P3320&lt;&gt;"Resultado trading"),"⚠ El monto debe ser positivo","✓")))))))))))))))</f>
        <v/>
      </c>
      <c r="P3320" s="52">
        <f>IF(OR(B3320="",G3320=""),"",IF(C3320="","Gasto",C3320))</f>
        <v/>
      </c>
      <c r="Q3320" s="52">
        <f>IF(P3320="","",IF(J3320&lt;&gt;"",J3320,CuentaPred&amp;""))</f>
        <v/>
      </c>
      <c r="R3320" s="52">
        <f>IF(P3320="","",IF(ISNUMBER(I3320),I3320,TasaUSD))</f>
        <v/>
      </c>
      <c r="S3320" s="53">
        <f>IF(P3320="","",IF(H3320="USD",G3320*R3320,G3320))</f>
        <v/>
      </c>
      <c r="T3320" s="53">
        <f>IF(P3320="","",IF(H3320="USD",G3320,IF(R3320&gt;0,G3320/R3320,0)))</f>
        <v/>
      </c>
      <c r="U3320" s="53">
        <f>IF(P3320="","",IF(P3320="Gasto",S3320,IF(P3320="Reembolso",-S3320,0)))</f>
        <v/>
      </c>
      <c r="V3320" s="53">
        <f>IF(P3320="","",IF(P3320="Ingreso",S3320,0))</f>
        <v/>
      </c>
      <c r="W3320" s="53">
        <f>IF(P3320="","",IF(P3320="Resultado trading",S3320,0))</f>
        <v/>
      </c>
      <c r="X3320" s="52">
        <f>IF(OR(P3320="Gasto",P3320="Reembolso"),IF(M3320&lt;&gt;"",M3320,IFERROR(INDEX(catClasif,MATCH(D3320&amp;"|"&amp;E3320,catClave,0))&amp;"","Variable")),"")</f>
        <v/>
      </c>
      <c r="Y3320" s="52">
        <f>IF(P3320="","",IFERROR(INDEX(catGrupo,MATCH(D3320&amp;"|"&amp;E3320,catClave,0))&amp;"",""))</f>
        <v/>
      </c>
      <c r="Z3320" s="52">
        <f>IF(P3320="","",WEEKDAY(B3320,2))</f>
        <v/>
      </c>
      <c r="AA3320" s="52">
        <f>IF(P3320="","",IF(AND(P3320="Gasto",X3320="Variable",D3320&lt;&gt;catTrading,S3320&gt;0,S3320&lt;=Umbral),1,0))</f>
        <v/>
      </c>
      <c r="AB3320" s="52">
        <f>IF(OR(P3320="",Q3320=""),"",IFERROR(IF(INDEX(ctaVinc,MATCH(Q3320,ctaNombre,0))&amp;""&lt;&gt;"",INDEX(ctaVinc,MATCH(Q3320,ctaNombre,0))&amp;"",Q3320),Q3320))</f>
        <v/>
      </c>
      <c r="AC3320" s="52">
        <f>IF(OR(K3320="",AND(P3320&lt;&gt;"Transferencia",P3320&lt;&gt;"Pago tarjeta")),"",IFERROR(IF(INDEX(ctaVinc,MATCH(K3320,ctaNombre,0))&amp;""&lt;&gt;"",INDEX(ctaVinc,MATCH(K3320,ctaNombre,0))&amp;"",K3320),K3320))</f>
        <v/>
      </c>
      <c r="AD3320" s="52">
        <f>IF(AB3320="","",IFERROR(INDEX(ctaTipo,MATCH(AB3320,ctaNombre,0))&amp;"",""))</f>
        <v/>
      </c>
      <c r="AE3320" s="52">
        <f>IF(AC3320="","",IFERROR(INDEX(ctaTipo,MATCH(AC3320,ctaNombre,0))&amp;"",""))</f>
        <v/>
      </c>
      <c r="AF3320" s="53">
        <f>IF(OR(P3320="",AB3320=""),"",IF(OR(P3320="Gasto",P3320="Transferencia",P3320="Pago tarjeta"),-1,1)*IF(IFERROR(INDEX(ctaMoneda,MATCH(AB3320,ctaNombre,0))&amp;"","DOP")="USD",T3320,S3320))</f>
        <v/>
      </c>
      <c r="AG3320" s="53">
        <f>IF(AC3320="","",IF(IFERROR(INDEX(ctaMoneda,MATCH(AC3320,ctaNombre,0))&amp;"","DOP")="USD",T3320,S3320))</f>
        <v/>
      </c>
      <c r="AH3320" s="53">
        <f>IF(P3320="","",IF(AND(AD3320&lt;&gt;"",COUNTIFS(tcTipo,AD3320,tcLiq,"Sí")&gt;0),IF(OR(P3320="Gasto",P3320="Transferencia",P3320="Pago tarjeta"),-1,1)*S3320,0)+IF(AND(AE3320&lt;&gt;"",COUNTIFS(tcTipo,AE3320,tcLiq,"Sí")&gt;0),S3320,0))</f>
        <v/>
      </c>
      <c r="AI3320" s="52">
        <f>IF(OR(L3320="",P3320=""),"",IF(COUNTIFS(L$6:L3320,L3320,P$6:P3320,"?*")=1,MAX(AI$5:AI3319)+1,""))</f>
        <v/>
      </c>
    </row>
    <row r="3321">
      <c r="B3321" s="47" t="n"/>
      <c r="C3321" s="48" t="n"/>
      <c r="D3321" s="48" t="n"/>
      <c r="E3321" s="48" t="n"/>
      <c r="F3321" s="48" t="n"/>
      <c r="G3321" s="49" t="n"/>
      <c r="H3321" s="48" t="n"/>
      <c r="I3321" s="50" t="n"/>
      <c r="J3321" s="48" t="n"/>
      <c r="K3321" s="48" t="n"/>
      <c r="L3321" s="48" t="n"/>
      <c r="M3321" s="48" t="n"/>
      <c r="N3321" s="48" t="n"/>
      <c r="O3321" s="51">
        <f>IF(AND(B3321="",G3321="",C3321="",D3321="",J3321=""),"",IF(B3321="","⚠ Falta fecha",IF(G3321="","⚠ Falta monto",IF(Q3321="","⚠ Falta cuenta",IF(ISNA(MATCH(Q3321,ctaNombre,0)),"⚠ Cuenta no registrada",IF(AND(OR(P3321="Gasto",P3321="Reembolso"),D3321=""),"⚠ Falta categoría",IF(AND(D3321&lt;&gt;"",E3321&lt;&gt;"",ISNA(MATCH(D3321&amp;"|"&amp;E3321,catClave,0))),"⚠ Subcategoría no corresponde",IF(AND(OR(P3321="Transferencia",P3321="Pago tarjeta"),K3321=""),"⚠ Falta cuenta destino",IF(AND(K3321&lt;&gt;"",P3321&lt;&gt;"Transferencia",P3321&lt;&gt;"Pago tarjeta"),"⚠ Destino solo aplica a transferencias",IF(AND(K3321&lt;&gt;"",K3321=Q3321),"⚠ Origen igual a destino",IF(AND(K3321&lt;&gt;"",ISNA(MATCH(K3321,ctaNombre,0))),"⚠ Destino no registrado",IF(AND(P3321="Pago tarjeta",AE3321&lt;&gt;"Tarjeta de crédito"),"⚠ El destino debe ser tarjeta de crédito",IF(AND(P3321="Gasto",E3321="Depósitos y retiros"),"⚠ Usa tipo Transferencia",IF(AND(P3321="Resultado trading",AD3321&lt;&gt;"Cuenta de trading"),"⚠ Usa una cuenta de trading",IF(AND(G3321&lt;=0,P3321&lt;&gt;"Ajuste",P3321&lt;&gt;"Resultado trading"),"⚠ El monto debe ser positivo","✓")))))))))))))))</f>
        <v/>
      </c>
      <c r="P3321" s="52">
        <f>IF(OR(B3321="",G3321=""),"",IF(C3321="","Gasto",C3321))</f>
        <v/>
      </c>
      <c r="Q3321" s="52">
        <f>IF(P3321="","",IF(J3321&lt;&gt;"",J3321,CuentaPred&amp;""))</f>
        <v/>
      </c>
      <c r="R3321" s="52">
        <f>IF(P3321="","",IF(ISNUMBER(I3321),I3321,TasaUSD))</f>
        <v/>
      </c>
      <c r="S3321" s="53">
        <f>IF(P3321="","",IF(H3321="USD",G3321*R3321,G3321))</f>
        <v/>
      </c>
      <c r="T3321" s="53">
        <f>IF(P3321="","",IF(H3321="USD",G3321,IF(R3321&gt;0,G3321/R3321,0)))</f>
        <v/>
      </c>
      <c r="U3321" s="53">
        <f>IF(P3321="","",IF(P3321="Gasto",S3321,IF(P3321="Reembolso",-S3321,0)))</f>
        <v/>
      </c>
      <c r="V3321" s="53">
        <f>IF(P3321="","",IF(P3321="Ingreso",S3321,0))</f>
        <v/>
      </c>
      <c r="W3321" s="53">
        <f>IF(P3321="","",IF(P3321="Resultado trading",S3321,0))</f>
        <v/>
      </c>
      <c r="X3321" s="52">
        <f>IF(OR(P3321="Gasto",P3321="Reembolso"),IF(M3321&lt;&gt;"",M3321,IFERROR(INDEX(catClasif,MATCH(D3321&amp;"|"&amp;E3321,catClave,0))&amp;"","Variable")),"")</f>
        <v/>
      </c>
      <c r="Y3321" s="52">
        <f>IF(P3321="","",IFERROR(INDEX(catGrupo,MATCH(D3321&amp;"|"&amp;E3321,catClave,0))&amp;"",""))</f>
        <v/>
      </c>
      <c r="Z3321" s="52">
        <f>IF(P3321="","",WEEKDAY(B3321,2))</f>
        <v/>
      </c>
      <c r="AA3321" s="52">
        <f>IF(P3321="","",IF(AND(P3321="Gasto",X3321="Variable",D3321&lt;&gt;catTrading,S3321&gt;0,S3321&lt;=Umbral),1,0))</f>
        <v/>
      </c>
      <c r="AB3321" s="52">
        <f>IF(OR(P3321="",Q3321=""),"",IFERROR(IF(INDEX(ctaVinc,MATCH(Q3321,ctaNombre,0))&amp;""&lt;&gt;"",INDEX(ctaVinc,MATCH(Q3321,ctaNombre,0))&amp;"",Q3321),Q3321))</f>
        <v/>
      </c>
      <c r="AC3321" s="52">
        <f>IF(OR(K3321="",AND(P3321&lt;&gt;"Transferencia",P3321&lt;&gt;"Pago tarjeta")),"",IFERROR(IF(INDEX(ctaVinc,MATCH(K3321,ctaNombre,0))&amp;""&lt;&gt;"",INDEX(ctaVinc,MATCH(K3321,ctaNombre,0))&amp;"",K3321),K3321))</f>
        <v/>
      </c>
      <c r="AD3321" s="52">
        <f>IF(AB3321="","",IFERROR(INDEX(ctaTipo,MATCH(AB3321,ctaNombre,0))&amp;"",""))</f>
        <v/>
      </c>
      <c r="AE3321" s="52">
        <f>IF(AC3321="","",IFERROR(INDEX(ctaTipo,MATCH(AC3321,ctaNombre,0))&amp;"",""))</f>
        <v/>
      </c>
      <c r="AF3321" s="53">
        <f>IF(OR(P3321="",AB3321=""),"",IF(OR(P3321="Gasto",P3321="Transferencia",P3321="Pago tarjeta"),-1,1)*IF(IFERROR(INDEX(ctaMoneda,MATCH(AB3321,ctaNombre,0))&amp;"","DOP")="USD",T3321,S3321))</f>
        <v/>
      </c>
      <c r="AG3321" s="53">
        <f>IF(AC3321="","",IF(IFERROR(INDEX(ctaMoneda,MATCH(AC3321,ctaNombre,0))&amp;"","DOP")="USD",T3321,S3321))</f>
        <v/>
      </c>
      <c r="AH3321" s="53">
        <f>IF(P3321="","",IF(AND(AD3321&lt;&gt;"",COUNTIFS(tcTipo,AD3321,tcLiq,"Sí")&gt;0),IF(OR(P3321="Gasto",P3321="Transferencia",P3321="Pago tarjeta"),-1,1)*S3321,0)+IF(AND(AE3321&lt;&gt;"",COUNTIFS(tcTipo,AE3321,tcLiq,"Sí")&gt;0),S3321,0))</f>
        <v/>
      </c>
      <c r="AI3321" s="52">
        <f>IF(OR(L3321="",P3321=""),"",IF(COUNTIFS(L$6:L3321,L3321,P$6:P3321,"?*")=1,MAX(AI$5:AI3320)+1,""))</f>
        <v/>
      </c>
    </row>
    <row r="3322">
      <c r="B3322" s="47" t="n"/>
      <c r="C3322" s="48" t="n"/>
      <c r="D3322" s="48" t="n"/>
      <c r="E3322" s="48" t="n"/>
      <c r="F3322" s="48" t="n"/>
      <c r="G3322" s="49" t="n"/>
      <c r="H3322" s="48" t="n"/>
      <c r="I3322" s="50" t="n"/>
      <c r="J3322" s="48" t="n"/>
      <c r="K3322" s="48" t="n"/>
      <c r="L3322" s="48" t="n"/>
      <c r="M3322" s="48" t="n"/>
      <c r="N3322" s="48" t="n"/>
      <c r="O3322" s="51">
        <f>IF(AND(B3322="",G3322="",C3322="",D3322="",J3322=""),"",IF(B3322="","⚠ Falta fecha",IF(G3322="","⚠ Falta monto",IF(Q3322="","⚠ Falta cuenta",IF(ISNA(MATCH(Q3322,ctaNombre,0)),"⚠ Cuenta no registrada",IF(AND(OR(P3322="Gasto",P3322="Reembolso"),D3322=""),"⚠ Falta categoría",IF(AND(D3322&lt;&gt;"",E3322&lt;&gt;"",ISNA(MATCH(D3322&amp;"|"&amp;E3322,catClave,0))),"⚠ Subcategoría no corresponde",IF(AND(OR(P3322="Transferencia",P3322="Pago tarjeta"),K3322=""),"⚠ Falta cuenta destino",IF(AND(K3322&lt;&gt;"",P3322&lt;&gt;"Transferencia",P3322&lt;&gt;"Pago tarjeta"),"⚠ Destino solo aplica a transferencias",IF(AND(K3322&lt;&gt;"",K3322=Q3322),"⚠ Origen igual a destino",IF(AND(K3322&lt;&gt;"",ISNA(MATCH(K3322,ctaNombre,0))),"⚠ Destino no registrado",IF(AND(P3322="Pago tarjeta",AE3322&lt;&gt;"Tarjeta de crédito"),"⚠ El destino debe ser tarjeta de crédito",IF(AND(P3322="Gasto",E3322="Depósitos y retiros"),"⚠ Usa tipo Transferencia",IF(AND(P3322="Resultado trading",AD3322&lt;&gt;"Cuenta de trading"),"⚠ Usa una cuenta de trading",IF(AND(G3322&lt;=0,P3322&lt;&gt;"Ajuste",P3322&lt;&gt;"Resultado trading"),"⚠ El monto debe ser positivo","✓")))))))))))))))</f>
        <v/>
      </c>
      <c r="P3322" s="52">
        <f>IF(OR(B3322="",G3322=""),"",IF(C3322="","Gasto",C3322))</f>
        <v/>
      </c>
      <c r="Q3322" s="52">
        <f>IF(P3322="","",IF(J3322&lt;&gt;"",J3322,CuentaPred&amp;""))</f>
        <v/>
      </c>
      <c r="R3322" s="52">
        <f>IF(P3322="","",IF(ISNUMBER(I3322),I3322,TasaUSD))</f>
        <v/>
      </c>
      <c r="S3322" s="53">
        <f>IF(P3322="","",IF(H3322="USD",G3322*R3322,G3322))</f>
        <v/>
      </c>
      <c r="T3322" s="53">
        <f>IF(P3322="","",IF(H3322="USD",G3322,IF(R3322&gt;0,G3322/R3322,0)))</f>
        <v/>
      </c>
      <c r="U3322" s="53">
        <f>IF(P3322="","",IF(P3322="Gasto",S3322,IF(P3322="Reembolso",-S3322,0)))</f>
        <v/>
      </c>
      <c r="V3322" s="53">
        <f>IF(P3322="","",IF(P3322="Ingreso",S3322,0))</f>
        <v/>
      </c>
      <c r="W3322" s="53">
        <f>IF(P3322="","",IF(P3322="Resultado trading",S3322,0))</f>
        <v/>
      </c>
      <c r="X3322" s="52">
        <f>IF(OR(P3322="Gasto",P3322="Reembolso"),IF(M3322&lt;&gt;"",M3322,IFERROR(INDEX(catClasif,MATCH(D3322&amp;"|"&amp;E3322,catClave,0))&amp;"","Variable")),"")</f>
        <v/>
      </c>
      <c r="Y3322" s="52">
        <f>IF(P3322="","",IFERROR(INDEX(catGrupo,MATCH(D3322&amp;"|"&amp;E3322,catClave,0))&amp;"",""))</f>
        <v/>
      </c>
      <c r="Z3322" s="52">
        <f>IF(P3322="","",WEEKDAY(B3322,2))</f>
        <v/>
      </c>
      <c r="AA3322" s="52">
        <f>IF(P3322="","",IF(AND(P3322="Gasto",X3322="Variable",D3322&lt;&gt;catTrading,S3322&gt;0,S3322&lt;=Umbral),1,0))</f>
        <v/>
      </c>
      <c r="AB3322" s="52">
        <f>IF(OR(P3322="",Q3322=""),"",IFERROR(IF(INDEX(ctaVinc,MATCH(Q3322,ctaNombre,0))&amp;""&lt;&gt;"",INDEX(ctaVinc,MATCH(Q3322,ctaNombre,0))&amp;"",Q3322),Q3322))</f>
        <v/>
      </c>
      <c r="AC3322" s="52">
        <f>IF(OR(K3322="",AND(P3322&lt;&gt;"Transferencia",P3322&lt;&gt;"Pago tarjeta")),"",IFERROR(IF(INDEX(ctaVinc,MATCH(K3322,ctaNombre,0))&amp;""&lt;&gt;"",INDEX(ctaVinc,MATCH(K3322,ctaNombre,0))&amp;"",K3322),K3322))</f>
        <v/>
      </c>
      <c r="AD3322" s="52">
        <f>IF(AB3322="","",IFERROR(INDEX(ctaTipo,MATCH(AB3322,ctaNombre,0))&amp;"",""))</f>
        <v/>
      </c>
      <c r="AE3322" s="52">
        <f>IF(AC3322="","",IFERROR(INDEX(ctaTipo,MATCH(AC3322,ctaNombre,0))&amp;"",""))</f>
        <v/>
      </c>
      <c r="AF3322" s="53">
        <f>IF(OR(P3322="",AB3322=""),"",IF(OR(P3322="Gasto",P3322="Transferencia",P3322="Pago tarjeta"),-1,1)*IF(IFERROR(INDEX(ctaMoneda,MATCH(AB3322,ctaNombre,0))&amp;"","DOP")="USD",T3322,S3322))</f>
        <v/>
      </c>
      <c r="AG3322" s="53">
        <f>IF(AC3322="","",IF(IFERROR(INDEX(ctaMoneda,MATCH(AC3322,ctaNombre,0))&amp;"","DOP")="USD",T3322,S3322))</f>
        <v/>
      </c>
      <c r="AH3322" s="53">
        <f>IF(P3322="","",IF(AND(AD3322&lt;&gt;"",COUNTIFS(tcTipo,AD3322,tcLiq,"Sí")&gt;0),IF(OR(P3322="Gasto",P3322="Transferencia",P3322="Pago tarjeta"),-1,1)*S3322,0)+IF(AND(AE3322&lt;&gt;"",COUNTIFS(tcTipo,AE3322,tcLiq,"Sí")&gt;0),S3322,0))</f>
        <v/>
      </c>
      <c r="AI3322" s="52">
        <f>IF(OR(L3322="",P3322=""),"",IF(COUNTIFS(L$6:L3322,L3322,P$6:P3322,"?*")=1,MAX(AI$5:AI3321)+1,""))</f>
        <v/>
      </c>
    </row>
    <row r="3323">
      <c r="B3323" s="47" t="n"/>
      <c r="C3323" s="48" t="n"/>
      <c r="D3323" s="48" t="n"/>
      <c r="E3323" s="48" t="n"/>
      <c r="F3323" s="48" t="n"/>
      <c r="G3323" s="49" t="n"/>
      <c r="H3323" s="48" t="n"/>
      <c r="I3323" s="50" t="n"/>
      <c r="J3323" s="48" t="n"/>
      <c r="K3323" s="48" t="n"/>
      <c r="L3323" s="48" t="n"/>
      <c r="M3323" s="48" t="n"/>
      <c r="N3323" s="48" t="n"/>
      <c r="O3323" s="51">
        <f>IF(AND(B3323="",G3323="",C3323="",D3323="",J3323=""),"",IF(B3323="","⚠ Falta fecha",IF(G3323="","⚠ Falta monto",IF(Q3323="","⚠ Falta cuenta",IF(ISNA(MATCH(Q3323,ctaNombre,0)),"⚠ Cuenta no registrada",IF(AND(OR(P3323="Gasto",P3323="Reembolso"),D3323=""),"⚠ Falta categoría",IF(AND(D3323&lt;&gt;"",E3323&lt;&gt;"",ISNA(MATCH(D3323&amp;"|"&amp;E3323,catClave,0))),"⚠ Subcategoría no corresponde",IF(AND(OR(P3323="Transferencia",P3323="Pago tarjeta"),K3323=""),"⚠ Falta cuenta destino",IF(AND(K3323&lt;&gt;"",P3323&lt;&gt;"Transferencia",P3323&lt;&gt;"Pago tarjeta"),"⚠ Destino solo aplica a transferencias",IF(AND(K3323&lt;&gt;"",K3323=Q3323),"⚠ Origen igual a destino",IF(AND(K3323&lt;&gt;"",ISNA(MATCH(K3323,ctaNombre,0))),"⚠ Destino no registrado",IF(AND(P3323="Pago tarjeta",AE3323&lt;&gt;"Tarjeta de crédito"),"⚠ El destino debe ser tarjeta de crédito",IF(AND(P3323="Gasto",E3323="Depósitos y retiros"),"⚠ Usa tipo Transferencia",IF(AND(P3323="Resultado trading",AD3323&lt;&gt;"Cuenta de trading"),"⚠ Usa una cuenta de trading",IF(AND(G3323&lt;=0,P3323&lt;&gt;"Ajuste",P3323&lt;&gt;"Resultado trading"),"⚠ El monto debe ser positivo","✓")))))))))))))))</f>
        <v/>
      </c>
      <c r="P3323" s="52">
        <f>IF(OR(B3323="",G3323=""),"",IF(C3323="","Gasto",C3323))</f>
        <v/>
      </c>
      <c r="Q3323" s="52">
        <f>IF(P3323="","",IF(J3323&lt;&gt;"",J3323,CuentaPred&amp;""))</f>
        <v/>
      </c>
      <c r="R3323" s="52">
        <f>IF(P3323="","",IF(ISNUMBER(I3323),I3323,TasaUSD))</f>
        <v/>
      </c>
      <c r="S3323" s="53">
        <f>IF(P3323="","",IF(H3323="USD",G3323*R3323,G3323))</f>
        <v/>
      </c>
      <c r="T3323" s="53">
        <f>IF(P3323="","",IF(H3323="USD",G3323,IF(R3323&gt;0,G3323/R3323,0)))</f>
        <v/>
      </c>
      <c r="U3323" s="53">
        <f>IF(P3323="","",IF(P3323="Gasto",S3323,IF(P3323="Reembolso",-S3323,0)))</f>
        <v/>
      </c>
      <c r="V3323" s="53">
        <f>IF(P3323="","",IF(P3323="Ingreso",S3323,0))</f>
        <v/>
      </c>
      <c r="W3323" s="53">
        <f>IF(P3323="","",IF(P3323="Resultado trading",S3323,0))</f>
        <v/>
      </c>
      <c r="X3323" s="52">
        <f>IF(OR(P3323="Gasto",P3323="Reembolso"),IF(M3323&lt;&gt;"",M3323,IFERROR(INDEX(catClasif,MATCH(D3323&amp;"|"&amp;E3323,catClave,0))&amp;"","Variable")),"")</f>
        <v/>
      </c>
      <c r="Y3323" s="52">
        <f>IF(P3323="","",IFERROR(INDEX(catGrupo,MATCH(D3323&amp;"|"&amp;E3323,catClave,0))&amp;"",""))</f>
        <v/>
      </c>
      <c r="Z3323" s="52">
        <f>IF(P3323="","",WEEKDAY(B3323,2))</f>
        <v/>
      </c>
      <c r="AA3323" s="52">
        <f>IF(P3323="","",IF(AND(P3323="Gasto",X3323="Variable",D3323&lt;&gt;catTrading,S3323&gt;0,S3323&lt;=Umbral),1,0))</f>
        <v/>
      </c>
      <c r="AB3323" s="52">
        <f>IF(OR(P3323="",Q3323=""),"",IFERROR(IF(INDEX(ctaVinc,MATCH(Q3323,ctaNombre,0))&amp;""&lt;&gt;"",INDEX(ctaVinc,MATCH(Q3323,ctaNombre,0))&amp;"",Q3323),Q3323))</f>
        <v/>
      </c>
      <c r="AC3323" s="52">
        <f>IF(OR(K3323="",AND(P3323&lt;&gt;"Transferencia",P3323&lt;&gt;"Pago tarjeta")),"",IFERROR(IF(INDEX(ctaVinc,MATCH(K3323,ctaNombre,0))&amp;""&lt;&gt;"",INDEX(ctaVinc,MATCH(K3323,ctaNombre,0))&amp;"",K3323),K3323))</f>
        <v/>
      </c>
      <c r="AD3323" s="52">
        <f>IF(AB3323="","",IFERROR(INDEX(ctaTipo,MATCH(AB3323,ctaNombre,0))&amp;"",""))</f>
        <v/>
      </c>
      <c r="AE3323" s="52">
        <f>IF(AC3323="","",IFERROR(INDEX(ctaTipo,MATCH(AC3323,ctaNombre,0))&amp;"",""))</f>
        <v/>
      </c>
      <c r="AF3323" s="53">
        <f>IF(OR(P3323="",AB3323=""),"",IF(OR(P3323="Gasto",P3323="Transferencia",P3323="Pago tarjeta"),-1,1)*IF(IFERROR(INDEX(ctaMoneda,MATCH(AB3323,ctaNombre,0))&amp;"","DOP")="USD",T3323,S3323))</f>
        <v/>
      </c>
      <c r="AG3323" s="53">
        <f>IF(AC3323="","",IF(IFERROR(INDEX(ctaMoneda,MATCH(AC3323,ctaNombre,0))&amp;"","DOP")="USD",T3323,S3323))</f>
        <v/>
      </c>
      <c r="AH3323" s="53">
        <f>IF(P3323="","",IF(AND(AD3323&lt;&gt;"",COUNTIFS(tcTipo,AD3323,tcLiq,"Sí")&gt;0),IF(OR(P3323="Gasto",P3323="Transferencia",P3323="Pago tarjeta"),-1,1)*S3323,0)+IF(AND(AE3323&lt;&gt;"",COUNTIFS(tcTipo,AE3323,tcLiq,"Sí")&gt;0),S3323,0))</f>
        <v/>
      </c>
      <c r="AI3323" s="52">
        <f>IF(OR(L3323="",P3323=""),"",IF(COUNTIFS(L$6:L3323,L3323,P$6:P3323,"?*")=1,MAX(AI$5:AI3322)+1,""))</f>
        <v/>
      </c>
    </row>
    <row r="3324">
      <c r="B3324" s="47" t="n"/>
      <c r="C3324" s="48" t="n"/>
      <c r="D3324" s="48" t="n"/>
      <c r="E3324" s="48" t="n"/>
      <c r="F3324" s="48" t="n"/>
      <c r="G3324" s="49" t="n"/>
      <c r="H3324" s="48" t="n"/>
      <c r="I3324" s="50" t="n"/>
      <c r="J3324" s="48" t="n"/>
      <c r="K3324" s="48" t="n"/>
      <c r="L3324" s="48" t="n"/>
      <c r="M3324" s="48" t="n"/>
      <c r="N3324" s="48" t="n"/>
      <c r="O3324" s="51">
        <f>IF(AND(B3324="",G3324="",C3324="",D3324="",J3324=""),"",IF(B3324="","⚠ Falta fecha",IF(G3324="","⚠ Falta monto",IF(Q3324="","⚠ Falta cuenta",IF(ISNA(MATCH(Q3324,ctaNombre,0)),"⚠ Cuenta no registrada",IF(AND(OR(P3324="Gasto",P3324="Reembolso"),D3324=""),"⚠ Falta categoría",IF(AND(D3324&lt;&gt;"",E3324&lt;&gt;"",ISNA(MATCH(D3324&amp;"|"&amp;E3324,catClave,0))),"⚠ Subcategoría no corresponde",IF(AND(OR(P3324="Transferencia",P3324="Pago tarjeta"),K3324=""),"⚠ Falta cuenta destino",IF(AND(K3324&lt;&gt;"",P3324&lt;&gt;"Transferencia",P3324&lt;&gt;"Pago tarjeta"),"⚠ Destino solo aplica a transferencias",IF(AND(K3324&lt;&gt;"",K3324=Q3324),"⚠ Origen igual a destino",IF(AND(K3324&lt;&gt;"",ISNA(MATCH(K3324,ctaNombre,0))),"⚠ Destino no registrado",IF(AND(P3324="Pago tarjeta",AE3324&lt;&gt;"Tarjeta de crédito"),"⚠ El destino debe ser tarjeta de crédito",IF(AND(P3324="Gasto",E3324="Depósitos y retiros"),"⚠ Usa tipo Transferencia",IF(AND(P3324="Resultado trading",AD3324&lt;&gt;"Cuenta de trading"),"⚠ Usa una cuenta de trading",IF(AND(G3324&lt;=0,P3324&lt;&gt;"Ajuste",P3324&lt;&gt;"Resultado trading"),"⚠ El monto debe ser positivo","✓")))))))))))))))</f>
        <v/>
      </c>
      <c r="P3324" s="52">
        <f>IF(OR(B3324="",G3324=""),"",IF(C3324="","Gasto",C3324))</f>
        <v/>
      </c>
      <c r="Q3324" s="52">
        <f>IF(P3324="","",IF(J3324&lt;&gt;"",J3324,CuentaPred&amp;""))</f>
        <v/>
      </c>
      <c r="R3324" s="52">
        <f>IF(P3324="","",IF(ISNUMBER(I3324),I3324,TasaUSD))</f>
        <v/>
      </c>
      <c r="S3324" s="53">
        <f>IF(P3324="","",IF(H3324="USD",G3324*R3324,G3324))</f>
        <v/>
      </c>
      <c r="T3324" s="53">
        <f>IF(P3324="","",IF(H3324="USD",G3324,IF(R3324&gt;0,G3324/R3324,0)))</f>
        <v/>
      </c>
      <c r="U3324" s="53">
        <f>IF(P3324="","",IF(P3324="Gasto",S3324,IF(P3324="Reembolso",-S3324,0)))</f>
        <v/>
      </c>
      <c r="V3324" s="53">
        <f>IF(P3324="","",IF(P3324="Ingreso",S3324,0))</f>
        <v/>
      </c>
      <c r="W3324" s="53">
        <f>IF(P3324="","",IF(P3324="Resultado trading",S3324,0))</f>
        <v/>
      </c>
      <c r="X3324" s="52">
        <f>IF(OR(P3324="Gasto",P3324="Reembolso"),IF(M3324&lt;&gt;"",M3324,IFERROR(INDEX(catClasif,MATCH(D3324&amp;"|"&amp;E3324,catClave,0))&amp;"","Variable")),"")</f>
        <v/>
      </c>
      <c r="Y3324" s="52">
        <f>IF(P3324="","",IFERROR(INDEX(catGrupo,MATCH(D3324&amp;"|"&amp;E3324,catClave,0))&amp;"",""))</f>
        <v/>
      </c>
      <c r="Z3324" s="52">
        <f>IF(P3324="","",WEEKDAY(B3324,2))</f>
        <v/>
      </c>
      <c r="AA3324" s="52">
        <f>IF(P3324="","",IF(AND(P3324="Gasto",X3324="Variable",D3324&lt;&gt;catTrading,S3324&gt;0,S3324&lt;=Umbral),1,0))</f>
        <v/>
      </c>
      <c r="AB3324" s="52">
        <f>IF(OR(P3324="",Q3324=""),"",IFERROR(IF(INDEX(ctaVinc,MATCH(Q3324,ctaNombre,0))&amp;""&lt;&gt;"",INDEX(ctaVinc,MATCH(Q3324,ctaNombre,0))&amp;"",Q3324),Q3324))</f>
        <v/>
      </c>
      <c r="AC3324" s="52">
        <f>IF(OR(K3324="",AND(P3324&lt;&gt;"Transferencia",P3324&lt;&gt;"Pago tarjeta")),"",IFERROR(IF(INDEX(ctaVinc,MATCH(K3324,ctaNombre,0))&amp;""&lt;&gt;"",INDEX(ctaVinc,MATCH(K3324,ctaNombre,0))&amp;"",K3324),K3324))</f>
        <v/>
      </c>
      <c r="AD3324" s="52">
        <f>IF(AB3324="","",IFERROR(INDEX(ctaTipo,MATCH(AB3324,ctaNombre,0))&amp;"",""))</f>
        <v/>
      </c>
      <c r="AE3324" s="52">
        <f>IF(AC3324="","",IFERROR(INDEX(ctaTipo,MATCH(AC3324,ctaNombre,0))&amp;"",""))</f>
        <v/>
      </c>
      <c r="AF3324" s="53">
        <f>IF(OR(P3324="",AB3324=""),"",IF(OR(P3324="Gasto",P3324="Transferencia",P3324="Pago tarjeta"),-1,1)*IF(IFERROR(INDEX(ctaMoneda,MATCH(AB3324,ctaNombre,0))&amp;"","DOP")="USD",T3324,S3324))</f>
        <v/>
      </c>
      <c r="AG3324" s="53">
        <f>IF(AC3324="","",IF(IFERROR(INDEX(ctaMoneda,MATCH(AC3324,ctaNombre,0))&amp;"","DOP")="USD",T3324,S3324))</f>
        <v/>
      </c>
      <c r="AH3324" s="53">
        <f>IF(P3324="","",IF(AND(AD3324&lt;&gt;"",COUNTIFS(tcTipo,AD3324,tcLiq,"Sí")&gt;0),IF(OR(P3324="Gasto",P3324="Transferencia",P3324="Pago tarjeta"),-1,1)*S3324,0)+IF(AND(AE3324&lt;&gt;"",COUNTIFS(tcTipo,AE3324,tcLiq,"Sí")&gt;0),S3324,0))</f>
        <v/>
      </c>
      <c r="AI3324" s="52">
        <f>IF(OR(L3324="",P3324=""),"",IF(COUNTIFS(L$6:L3324,L3324,P$6:P3324,"?*")=1,MAX(AI$5:AI3323)+1,""))</f>
        <v/>
      </c>
    </row>
    <row r="3325">
      <c r="B3325" s="47" t="n"/>
      <c r="C3325" s="48" t="n"/>
      <c r="D3325" s="48" t="n"/>
      <c r="E3325" s="48" t="n"/>
      <c r="F3325" s="48" t="n"/>
      <c r="G3325" s="49" t="n"/>
      <c r="H3325" s="48" t="n"/>
      <c r="I3325" s="50" t="n"/>
      <c r="J3325" s="48" t="n"/>
      <c r="K3325" s="48" t="n"/>
      <c r="L3325" s="48" t="n"/>
      <c r="M3325" s="48" t="n"/>
      <c r="N3325" s="48" t="n"/>
      <c r="O3325" s="51">
        <f>IF(AND(B3325="",G3325="",C3325="",D3325="",J3325=""),"",IF(B3325="","⚠ Falta fecha",IF(G3325="","⚠ Falta monto",IF(Q3325="","⚠ Falta cuenta",IF(ISNA(MATCH(Q3325,ctaNombre,0)),"⚠ Cuenta no registrada",IF(AND(OR(P3325="Gasto",P3325="Reembolso"),D3325=""),"⚠ Falta categoría",IF(AND(D3325&lt;&gt;"",E3325&lt;&gt;"",ISNA(MATCH(D3325&amp;"|"&amp;E3325,catClave,0))),"⚠ Subcategoría no corresponde",IF(AND(OR(P3325="Transferencia",P3325="Pago tarjeta"),K3325=""),"⚠ Falta cuenta destino",IF(AND(K3325&lt;&gt;"",P3325&lt;&gt;"Transferencia",P3325&lt;&gt;"Pago tarjeta"),"⚠ Destino solo aplica a transferencias",IF(AND(K3325&lt;&gt;"",K3325=Q3325),"⚠ Origen igual a destino",IF(AND(K3325&lt;&gt;"",ISNA(MATCH(K3325,ctaNombre,0))),"⚠ Destino no registrado",IF(AND(P3325="Pago tarjeta",AE3325&lt;&gt;"Tarjeta de crédito"),"⚠ El destino debe ser tarjeta de crédito",IF(AND(P3325="Gasto",E3325="Depósitos y retiros"),"⚠ Usa tipo Transferencia",IF(AND(P3325="Resultado trading",AD3325&lt;&gt;"Cuenta de trading"),"⚠ Usa una cuenta de trading",IF(AND(G3325&lt;=0,P3325&lt;&gt;"Ajuste",P3325&lt;&gt;"Resultado trading"),"⚠ El monto debe ser positivo","✓")))))))))))))))</f>
        <v/>
      </c>
      <c r="P3325" s="52">
        <f>IF(OR(B3325="",G3325=""),"",IF(C3325="","Gasto",C3325))</f>
        <v/>
      </c>
      <c r="Q3325" s="52">
        <f>IF(P3325="","",IF(J3325&lt;&gt;"",J3325,CuentaPred&amp;""))</f>
        <v/>
      </c>
      <c r="R3325" s="52">
        <f>IF(P3325="","",IF(ISNUMBER(I3325),I3325,TasaUSD))</f>
        <v/>
      </c>
      <c r="S3325" s="53">
        <f>IF(P3325="","",IF(H3325="USD",G3325*R3325,G3325))</f>
        <v/>
      </c>
      <c r="T3325" s="53">
        <f>IF(P3325="","",IF(H3325="USD",G3325,IF(R3325&gt;0,G3325/R3325,0)))</f>
        <v/>
      </c>
      <c r="U3325" s="53">
        <f>IF(P3325="","",IF(P3325="Gasto",S3325,IF(P3325="Reembolso",-S3325,0)))</f>
        <v/>
      </c>
      <c r="V3325" s="53">
        <f>IF(P3325="","",IF(P3325="Ingreso",S3325,0))</f>
        <v/>
      </c>
      <c r="W3325" s="53">
        <f>IF(P3325="","",IF(P3325="Resultado trading",S3325,0))</f>
        <v/>
      </c>
      <c r="X3325" s="52">
        <f>IF(OR(P3325="Gasto",P3325="Reembolso"),IF(M3325&lt;&gt;"",M3325,IFERROR(INDEX(catClasif,MATCH(D3325&amp;"|"&amp;E3325,catClave,0))&amp;"","Variable")),"")</f>
        <v/>
      </c>
      <c r="Y3325" s="52">
        <f>IF(P3325="","",IFERROR(INDEX(catGrupo,MATCH(D3325&amp;"|"&amp;E3325,catClave,0))&amp;"",""))</f>
        <v/>
      </c>
      <c r="Z3325" s="52">
        <f>IF(P3325="","",WEEKDAY(B3325,2))</f>
        <v/>
      </c>
      <c r="AA3325" s="52">
        <f>IF(P3325="","",IF(AND(P3325="Gasto",X3325="Variable",D3325&lt;&gt;catTrading,S3325&gt;0,S3325&lt;=Umbral),1,0))</f>
        <v/>
      </c>
      <c r="AB3325" s="52">
        <f>IF(OR(P3325="",Q3325=""),"",IFERROR(IF(INDEX(ctaVinc,MATCH(Q3325,ctaNombre,0))&amp;""&lt;&gt;"",INDEX(ctaVinc,MATCH(Q3325,ctaNombre,0))&amp;"",Q3325),Q3325))</f>
        <v/>
      </c>
      <c r="AC3325" s="52">
        <f>IF(OR(K3325="",AND(P3325&lt;&gt;"Transferencia",P3325&lt;&gt;"Pago tarjeta")),"",IFERROR(IF(INDEX(ctaVinc,MATCH(K3325,ctaNombre,0))&amp;""&lt;&gt;"",INDEX(ctaVinc,MATCH(K3325,ctaNombre,0))&amp;"",K3325),K3325))</f>
        <v/>
      </c>
      <c r="AD3325" s="52">
        <f>IF(AB3325="","",IFERROR(INDEX(ctaTipo,MATCH(AB3325,ctaNombre,0))&amp;"",""))</f>
        <v/>
      </c>
      <c r="AE3325" s="52">
        <f>IF(AC3325="","",IFERROR(INDEX(ctaTipo,MATCH(AC3325,ctaNombre,0))&amp;"",""))</f>
        <v/>
      </c>
      <c r="AF3325" s="53">
        <f>IF(OR(P3325="",AB3325=""),"",IF(OR(P3325="Gasto",P3325="Transferencia",P3325="Pago tarjeta"),-1,1)*IF(IFERROR(INDEX(ctaMoneda,MATCH(AB3325,ctaNombre,0))&amp;"","DOP")="USD",T3325,S3325))</f>
        <v/>
      </c>
      <c r="AG3325" s="53">
        <f>IF(AC3325="","",IF(IFERROR(INDEX(ctaMoneda,MATCH(AC3325,ctaNombre,0))&amp;"","DOP")="USD",T3325,S3325))</f>
        <v/>
      </c>
      <c r="AH3325" s="53">
        <f>IF(P3325="","",IF(AND(AD3325&lt;&gt;"",COUNTIFS(tcTipo,AD3325,tcLiq,"Sí")&gt;0),IF(OR(P3325="Gasto",P3325="Transferencia",P3325="Pago tarjeta"),-1,1)*S3325,0)+IF(AND(AE3325&lt;&gt;"",COUNTIFS(tcTipo,AE3325,tcLiq,"Sí")&gt;0),S3325,0))</f>
        <v/>
      </c>
      <c r="AI3325" s="52">
        <f>IF(OR(L3325="",P3325=""),"",IF(COUNTIFS(L$6:L3325,L3325,P$6:P3325,"?*")=1,MAX(AI$5:AI3324)+1,""))</f>
        <v/>
      </c>
    </row>
    <row r="3326">
      <c r="B3326" s="47" t="n"/>
      <c r="C3326" s="48" t="n"/>
      <c r="D3326" s="48" t="n"/>
      <c r="E3326" s="48" t="n"/>
      <c r="F3326" s="48" t="n"/>
      <c r="G3326" s="49" t="n"/>
      <c r="H3326" s="48" t="n"/>
      <c r="I3326" s="50" t="n"/>
      <c r="J3326" s="48" t="n"/>
      <c r="K3326" s="48" t="n"/>
      <c r="L3326" s="48" t="n"/>
      <c r="M3326" s="48" t="n"/>
      <c r="N3326" s="48" t="n"/>
      <c r="O3326" s="51">
        <f>IF(AND(B3326="",G3326="",C3326="",D3326="",J3326=""),"",IF(B3326="","⚠ Falta fecha",IF(G3326="","⚠ Falta monto",IF(Q3326="","⚠ Falta cuenta",IF(ISNA(MATCH(Q3326,ctaNombre,0)),"⚠ Cuenta no registrada",IF(AND(OR(P3326="Gasto",P3326="Reembolso"),D3326=""),"⚠ Falta categoría",IF(AND(D3326&lt;&gt;"",E3326&lt;&gt;"",ISNA(MATCH(D3326&amp;"|"&amp;E3326,catClave,0))),"⚠ Subcategoría no corresponde",IF(AND(OR(P3326="Transferencia",P3326="Pago tarjeta"),K3326=""),"⚠ Falta cuenta destino",IF(AND(K3326&lt;&gt;"",P3326&lt;&gt;"Transferencia",P3326&lt;&gt;"Pago tarjeta"),"⚠ Destino solo aplica a transferencias",IF(AND(K3326&lt;&gt;"",K3326=Q3326),"⚠ Origen igual a destino",IF(AND(K3326&lt;&gt;"",ISNA(MATCH(K3326,ctaNombre,0))),"⚠ Destino no registrado",IF(AND(P3326="Pago tarjeta",AE3326&lt;&gt;"Tarjeta de crédito"),"⚠ El destino debe ser tarjeta de crédito",IF(AND(P3326="Gasto",E3326="Depósitos y retiros"),"⚠ Usa tipo Transferencia",IF(AND(P3326="Resultado trading",AD3326&lt;&gt;"Cuenta de trading"),"⚠ Usa una cuenta de trading",IF(AND(G3326&lt;=0,P3326&lt;&gt;"Ajuste",P3326&lt;&gt;"Resultado trading"),"⚠ El monto debe ser positivo","✓")))))))))))))))</f>
        <v/>
      </c>
      <c r="P3326" s="52">
        <f>IF(OR(B3326="",G3326=""),"",IF(C3326="","Gasto",C3326))</f>
        <v/>
      </c>
      <c r="Q3326" s="52">
        <f>IF(P3326="","",IF(J3326&lt;&gt;"",J3326,CuentaPred&amp;""))</f>
        <v/>
      </c>
      <c r="R3326" s="52">
        <f>IF(P3326="","",IF(ISNUMBER(I3326),I3326,TasaUSD))</f>
        <v/>
      </c>
      <c r="S3326" s="53">
        <f>IF(P3326="","",IF(H3326="USD",G3326*R3326,G3326))</f>
        <v/>
      </c>
      <c r="T3326" s="53">
        <f>IF(P3326="","",IF(H3326="USD",G3326,IF(R3326&gt;0,G3326/R3326,0)))</f>
        <v/>
      </c>
      <c r="U3326" s="53">
        <f>IF(P3326="","",IF(P3326="Gasto",S3326,IF(P3326="Reembolso",-S3326,0)))</f>
        <v/>
      </c>
      <c r="V3326" s="53">
        <f>IF(P3326="","",IF(P3326="Ingreso",S3326,0))</f>
        <v/>
      </c>
      <c r="W3326" s="53">
        <f>IF(P3326="","",IF(P3326="Resultado trading",S3326,0))</f>
        <v/>
      </c>
      <c r="X3326" s="52">
        <f>IF(OR(P3326="Gasto",P3326="Reembolso"),IF(M3326&lt;&gt;"",M3326,IFERROR(INDEX(catClasif,MATCH(D3326&amp;"|"&amp;E3326,catClave,0))&amp;"","Variable")),"")</f>
        <v/>
      </c>
      <c r="Y3326" s="52">
        <f>IF(P3326="","",IFERROR(INDEX(catGrupo,MATCH(D3326&amp;"|"&amp;E3326,catClave,0))&amp;"",""))</f>
        <v/>
      </c>
      <c r="Z3326" s="52">
        <f>IF(P3326="","",WEEKDAY(B3326,2))</f>
        <v/>
      </c>
      <c r="AA3326" s="52">
        <f>IF(P3326="","",IF(AND(P3326="Gasto",X3326="Variable",D3326&lt;&gt;catTrading,S3326&gt;0,S3326&lt;=Umbral),1,0))</f>
        <v/>
      </c>
      <c r="AB3326" s="52">
        <f>IF(OR(P3326="",Q3326=""),"",IFERROR(IF(INDEX(ctaVinc,MATCH(Q3326,ctaNombre,0))&amp;""&lt;&gt;"",INDEX(ctaVinc,MATCH(Q3326,ctaNombre,0))&amp;"",Q3326),Q3326))</f>
        <v/>
      </c>
      <c r="AC3326" s="52">
        <f>IF(OR(K3326="",AND(P3326&lt;&gt;"Transferencia",P3326&lt;&gt;"Pago tarjeta")),"",IFERROR(IF(INDEX(ctaVinc,MATCH(K3326,ctaNombre,0))&amp;""&lt;&gt;"",INDEX(ctaVinc,MATCH(K3326,ctaNombre,0))&amp;"",K3326),K3326))</f>
        <v/>
      </c>
      <c r="AD3326" s="52">
        <f>IF(AB3326="","",IFERROR(INDEX(ctaTipo,MATCH(AB3326,ctaNombre,0))&amp;"",""))</f>
        <v/>
      </c>
      <c r="AE3326" s="52">
        <f>IF(AC3326="","",IFERROR(INDEX(ctaTipo,MATCH(AC3326,ctaNombre,0))&amp;"",""))</f>
        <v/>
      </c>
      <c r="AF3326" s="53">
        <f>IF(OR(P3326="",AB3326=""),"",IF(OR(P3326="Gasto",P3326="Transferencia",P3326="Pago tarjeta"),-1,1)*IF(IFERROR(INDEX(ctaMoneda,MATCH(AB3326,ctaNombre,0))&amp;"","DOP")="USD",T3326,S3326))</f>
        <v/>
      </c>
      <c r="AG3326" s="53">
        <f>IF(AC3326="","",IF(IFERROR(INDEX(ctaMoneda,MATCH(AC3326,ctaNombre,0))&amp;"","DOP")="USD",T3326,S3326))</f>
        <v/>
      </c>
      <c r="AH3326" s="53">
        <f>IF(P3326="","",IF(AND(AD3326&lt;&gt;"",COUNTIFS(tcTipo,AD3326,tcLiq,"Sí")&gt;0),IF(OR(P3326="Gasto",P3326="Transferencia",P3326="Pago tarjeta"),-1,1)*S3326,0)+IF(AND(AE3326&lt;&gt;"",COUNTIFS(tcTipo,AE3326,tcLiq,"Sí")&gt;0),S3326,0))</f>
        <v/>
      </c>
      <c r="AI3326" s="52">
        <f>IF(OR(L3326="",P3326=""),"",IF(COUNTIFS(L$6:L3326,L3326,P$6:P3326,"?*")=1,MAX(AI$5:AI3325)+1,""))</f>
        <v/>
      </c>
    </row>
    <row r="3327">
      <c r="B3327" s="47" t="n"/>
      <c r="C3327" s="48" t="n"/>
      <c r="D3327" s="48" t="n"/>
      <c r="E3327" s="48" t="n"/>
      <c r="F3327" s="48" t="n"/>
      <c r="G3327" s="49" t="n"/>
      <c r="H3327" s="48" t="n"/>
      <c r="I3327" s="50" t="n"/>
      <c r="J3327" s="48" t="n"/>
      <c r="K3327" s="48" t="n"/>
      <c r="L3327" s="48" t="n"/>
      <c r="M3327" s="48" t="n"/>
      <c r="N3327" s="48" t="n"/>
      <c r="O3327" s="51">
        <f>IF(AND(B3327="",G3327="",C3327="",D3327="",J3327=""),"",IF(B3327="","⚠ Falta fecha",IF(G3327="","⚠ Falta monto",IF(Q3327="","⚠ Falta cuenta",IF(ISNA(MATCH(Q3327,ctaNombre,0)),"⚠ Cuenta no registrada",IF(AND(OR(P3327="Gasto",P3327="Reembolso"),D3327=""),"⚠ Falta categoría",IF(AND(D3327&lt;&gt;"",E3327&lt;&gt;"",ISNA(MATCH(D3327&amp;"|"&amp;E3327,catClave,0))),"⚠ Subcategoría no corresponde",IF(AND(OR(P3327="Transferencia",P3327="Pago tarjeta"),K3327=""),"⚠ Falta cuenta destino",IF(AND(K3327&lt;&gt;"",P3327&lt;&gt;"Transferencia",P3327&lt;&gt;"Pago tarjeta"),"⚠ Destino solo aplica a transferencias",IF(AND(K3327&lt;&gt;"",K3327=Q3327),"⚠ Origen igual a destino",IF(AND(K3327&lt;&gt;"",ISNA(MATCH(K3327,ctaNombre,0))),"⚠ Destino no registrado",IF(AND(P3327="Pago tarjeta",AE3327&lt;&gt;"Tarjeta de crédito"),"⚠ El destino debe ser tarjeta de crédito",IF(AND(P3327="Gasto",E3327="Depósitos y retiros"),"⚠ Usa tipo Transferencia",IF(AND(P3327="Resultado trading",AD3327&lt;&gt;"Cuenta de trading"),"⚠ Usa una cuenta de trading",IF(AND(G3327&lt;=0,P3327&lt;&gt;"Ajuste",P3327&lt;&gt;"Resultado trading"),"⚠ El monto debe ser positivo","✓")))))))))))))))</f>
        <v/>
      </c>
      <c r="P3327" s="52">
        <f>IF(OR(B3327="",G3327=""),"",IF(C3327="","Gasto",C3327))</f>
        <v/>
      </c>
      <c r="Q3327" s="52">
        <f>IF(P3327="","",IF(J3327&lt;&gt;"",J3327,CuentaPred&amp;""))</f>
        <v/>
      </c>
      <c r="R3327" s="52">
        <f>IF(P3327="","",IF(ISNUMBER(I3327),I3327,TasaUSD))</f>
        <v/>
      </c>
      <c r="S3327" s="53">
        <f>IF(P3327="","",IF(H3327="USD",G3327*R3327,G3327))</f>
        <v/>
      </c>
      <c r="T3327" s="53">
        <f>IF(P3327="","",IF(H3327="USD",G3327,IF(R3327&gt;0,G3327/R3327,0)))</f>
        <v/>
      </c>
      <c r="U3327" s="53">
        <f>IF(P3327="","",IF(P3327="Gasto",S3327,IF(P3327="Reembolso",-S3327,0)))</f>
        <v/>
      </c>
      <c r="V3327" s="53">
        <f>IF(P3327="","",IF(P3327="Ingreso",S3327,0))</f>
        <v/>
      </c>
      <c r="W3327" s="53">
        <f>IF(P3327="","",IF(P3327="Resultado trading",S3327,0))</f>
        <v/>
      </c>
      <c r="X3327" s="52">
        <f>IF(OR(P3327="Gasto",P3327="Reembolso"),IF(M3327&lt;&gt;"",M3327,IFERROR(INDEX(catClasif,MATCH(D3327&amp;"|"&amp;E3327,catClave,0))&amp;"","Variable")),"")</f>
        <v/>
      </c>
      <c r="Y3327" s="52">
        <f>IF(P3327="","",IFERROR(INDEX(catGrupo,MATCH(D3327&amp;"|"&amp;E3327,catClave,0))&amp;"",""))</f>
        <v/>
      </c>
      <c r="Z3327" s="52">
        <f>IF(P3327="","",WEEKDAY(B3327,2))</f>
        <v/>
      </c>
      <c r="AA3327" s="52">
        <f>IF(P3327="","",IF(AND(P3327="Gasto",X3327="Variable",D3327&lt;&gt;catTrading,S3327&gt;0,S3327&lt;=Umbral),1,0))</f>
        <v/>
      </c>
      <c r="AB3327" s="52">
        <f>IF(OR(P3327="",Q3327=""),"",IFERROR(IF(INDEX(ctaVinc,MATCH(Q3327,ctaNombre,0))&amp;""&lt;&gt;"",INDEX(ctaVinc,MATCH(Q3327,ctaNombre,0))&amp;"",Q3327),Q3327))</f>
        <v/>
      </c>
      <c r="AC3327" s="52">
        <f>IF(OR(K3327="",AND(P3327&lt;&gt;"Transferencia",P3327&lt;&gt;"Pago tarjeta")),"",IFERROR(IF(INDEX(ctaVinc,MATCH(K3327,ctaNombre,0))&amp;""&lt;&gt;"",INDEX(ctaVinc,MATCH(K3327,ctaNombre,0))&amp;"",K3327),K3327))</f>
        <v/>
      </c>
      <c r="AD3327" s="52">
        <f>IF(AB3327="","",IFERROR(INDEX(ctaTipo,MATCH(AB3327,ctaNombre,0))&amp;"",""))</f>
        <v/>
      </c>
      <c r="AE3327" s="52">
        <f>IF(AC3327="","",IFERROR(INDEX(ctaTipo,MATCH(AC3327,ctaNombre,0))&amp;"",""))</f>
        <v/>
      </c>
      <c r="AF3327" s="53">
        <f>IF(OR(P3327="",AB3327=""),"",IF(OR(P3327="Gasto",P3327="Transferencia",P3327="Pago tarjeta"),-1,1)*IF(IFERROR(INDEX(ctaMoneda,MATCH(AB3327,ctaNombre,0))&amp;"","DOP")="USD",T3327,S3327))</f>
        <v/>
      </c>
      <c r="AG3327" s="53">
        <f>IF(AC3327="","",IF(IFERROR(INDEX(ctaMoneda,MATCH(AC3327,ctaNombre,0))&amp;"","DOP")="USD",T3327,S3327))</f>
        <v/>
      </c>
      <c r="AH3327" s="53">
        <f>IF(P3327="","",IF(AND(AD3327&lt;&gt;"",COUNTIFS(tcTipo,AD3327,tcLiq,"Sí")&gt;0),IF(OR(P3327="Gasto",P3327="Transferencia",P3327="Pago tarjeta"),-1,1)*S3327,0)+IF(AND(AE3327&lt;&gt;"",COUNTIFS(tcTipo,AE3327,tcLiq,"Sí")&gt;0),S3327,0))</f>
        <v/>
      </c>
      <c r="AI3327" s="52">
        <f>IF(OR(L3327="",P3327=""),"",IF(COUNTIFS(L$6:L3327,L3327,P$6:P3327,"?*")=1,MAX(AI$5:AI3326)+1,""))</f>
        <v/>
      </c>
    </row>
    <row r="3328">
      <c r="B3328" s="47" t="n"/>
      <c r="C3328" s="48" t="n"/>
      <c r="D3328" s="48" t="n"/>
      <c r="E3328" s="48" t="n"/>
      <c r="F3328" s="48" t="n"/>
      <c r="G3328" s="49" t="n"/>
      <c r="H3328" s="48" t="n"/>
      <c r="I3328" s="50" t="n"/>
      <c r="J3328" s="48" t="n"/>
      <c r="K3328" s="48" t="n"/>
      <c r="L3328" s="48" t="n"/>
      <c r="M3328" s="48" t="n"/>
      <c r="N3328" s="48" t="n"/>
      <c r="O3328" s="51">
        <f>IF(AND(B3328="",G3328="",C3328="",D3328="",J3328=""),"",IF(B3328="","⚠ Falta fecha",IF(G3328="","⚠ Falta monto",IF(Q3328="","⚠ Falta cuenta",IF(ISNA(MATCH(Q3328,ctaNombre,0)),"⚠ Cuenta no registrada",IF(AND(OR(P3328="Gasto",P3328="Reembolso"),D3328=""),"⚠ Falta categoría",IF(AND(D3328&lt;&gt;"",E3328&lt;&gt;"",ISNA(MATCH(D3328&amp;"|"&amp;E3328,catClave,0))),"⚠ Subcategoría no corresponde",IF(AND(OR(P3328="Transferencia",P3328="Pago tarjeta"),K3328=""),"⚠ Falta cuenta destino",IF(AND(K3328&lt;&gt;"",P3328&lt;&gt;"Transferencia",P3328&lt;&gt;"Pago tarjeta"),"⚠ Destino solo aplica a transferencias",IF(AND(K3328&lt;&gt;"",K3328=Q3328),"⚠ Origen igual a destino",IF(AND(K3328&lt;&gt;"",ISNA(MATCH(K3328,ctaNombre,0))),"⚠ Destino no registrado",IF(AND(P3328="Pago tarjeta",AE3328&lt;&gt;"Tarjeta de crédito"),"⚠ El destino debe ser tarjeta de crédito",IF(AND(P3328="Gasto",E3328="Depósitos y retiros"),"⚠ Usa tipo Transferencia",IF(AND(P3328="Resultado trading",AD3328&lt;&gt;"Cuenta de trading"),"⚠ Usa una cuenta de trading",IF(AND(G3328&lt;=0,P3328&lt;&gt;"Ajuste",P3328&lt;&gt;"Resultado trading"),"⚠ El monto debe ser positivo","✓")))))))))))))))</f>
        <v/>
      </c>
      <c r="P3328" s="52">
        <f>IF(OR(B3328="",G3328=""),"",IF(C3328="","Gasto",C3328))</f>
        <v/>
      </c>
      <c r="Q3328" s="52">
        <f>IF(P3328="","",IF(J3328&lt;&gt;"",J3328,CuentaPred&amp;""))</f>
        <v/>
      </c>
      <c r="R3328" s="52">
        <f>IF(P3328="","",IF(ISNUMBER(I3328),I3328,TasaUSD))</f>
        <v/>
      </c>
      <c r="S3328" s="53">
        <f>IF(P3328="","",IF(H3328="USD",G3328*R3328,G3328))</f>
        <v/>
      </c>
      <c r="T3328" s="53">
        <f>IF(P3328="","",IF(H3328="USD",G3328,IF(R3328&gt;0,G3328/R3328,0)))</f>
        <v/>
      </c>
      <c r="U3328" s="53">
        <f>IF(P3328="","",IF(P3328="Gasto",S3328,IF(P3328="Reembolso",-S3328,0)))</f>
        <v/>
      </c>
      <c r="V3328" s="53">
        <f>IF(P3328="","",IF(P3328="Ingreso",S3328,0))</f>
        <v/>
      </c>
      <c r="W3328" s="53">
        <f>IF(P3328="","",IF(P3328="Resultado trading",S3328,0))</f>
        <v/>
      </c>
      <c r="X3328" s="52">
        <f>IF(OR(P3328="Gasto",P3328="Reembolso"),IF(M3328&lt;&gt;"",M3328,IFERROR(INDEX(catClasif,MATCH(D3328&amp;"|"&amp;E3328,catClave,0))&amp;"","Variable")),"")</f>
        <v/>
      </c>
      <c r="Y3328" s="52">
        <f>IF(P3328="","",IFERROR(INDEX(catGrupo,MATCH(D3328&amp;"|"&amp;E3328,catClave,0))&amp;"",""))</f>
        <v/>
      </c>
      <c r="Z3328" s="52">
        <f>IF(P3328="","",WEEKDAY(B3328,2))</f>
        <v/>
      </c>
      <c r="AA3328" s="52">
        <f>IF(P3328="","",IF(AND(P3328="Gasto",X3328="Variable",D3328&lt;&gt;catTrading,S3328&gt;0,S3328&lt;=Umbral),1,0))</f>
        <v/>
      </c>
      <c r="AB3328" s="52">
        <f>IF(OR(P3328="",Q3328=""),"",IFERROR(IF(INDEX(ctaVinc,MATCH(Q3328,ctaNombre,0))&amp;""&lt;&gt;"",INDEX(ctaVinc,MATCH(Q3328,ctaNombre,0))&amp;"",Q3328),Q3328))</f>
        <v/>
      </c>
      <c r="AC3328" s="52">
        <f>IF(OR(K3328="",AND(P3328&lt;&gt;"Transferencia",P3328&lt;&gt;"Pago tarjeta")),"",IFERROR(IF(INDEX(ctaVinc,MATCH(K3328,ctaNombre,0))&amp;""&lt;&gt;"",INDEX(ctaVinc,MATCH(K3328,ctaNombre,0))&amp;"",K3328),K3328))</f>
        <v/>
      </c>
      <c r="AD3328" s="52">
        <f>IF(AB3328="","",IFERROR(INDEX(ctaTipo,MATCH(AB3328,ctaNombre,0))&amp;"",""))</f>
        <v/>
      </c>
      <c r="AE3328" s="52">
        <f>IF(AC3328="","",IFERROR(INDEX(ctaTipo,MATCH(AC3328,ctaNombre,0))&amp;"",""))</f>
        <v/>
      </c>
      <c r="AF3328" s="53">
        <f>IF(OR(P3328="",AB3328=""),"",IF(OR(P3328="Gasto",P3328="Transferencia",P3328="Pago tarjeta"),-1,1)*IF(IFERROR(INDEX(ctaMoneda,MATCH(AB3328,ctaNombre,0))&amp;"","DOP")="USD",T3328,S3328))</f>
        <v/>
      </c>
      <c r="AG3328" s="53">
        <f>IF(AC3328="","",IF(IFERROR(INDEX(ctaMoneda,MATCH(AC3328,ctaNombre,0))&amp;"","DOP")="USD",T3328,S3328))</f>
        <v/>
      </c>
      <c r="AH3328" s="53">
        <f>IF(P3328="","",IF(AND(AD3328&lt;&gt;"",COUNTIFS(tcTipo,AD3328,tcLiq,"Sí")&gt;0),IF(OR(P3328="Gasto",P3328="Transferencia",P3328="Pago tarjeta"),-1,1)*S3328,0)+IF(AND(AE3328&lt;&gt;"",COUNTIFS(tcTipo,AE3328,tcLiq,"Sí")&gt;0),S3328,0))</f>
        <v/>
      </c>
      <c r="AI3328" s="52">
        <f>IF(OR(L3328="",P3328=""),"",IF(COUNTIFS(L$6:L3328,L3328,P$6:P3328,"?*")=1,MAX(AI$5:AI3327)+1,""))</f>
        <v/>
      </c>
    </row>
    <row r="3329">
      <c r="B3329" s="47" t="n"/>
      <c r="C3329" s="48" t="n"/>
      <c r="D3329" s="48" t="n"/>
      <c r="E3329" s="48" t="n"/>
      <c r="F3329" s="48" t="n"/>
      <c r="G3329" s="49" t="n"/>
      <c r="H3329" s="48" t="n"/>
      <c r="I3329" s="50" t="n"/>
      <c r="J3329" s="48" t="n"/>
      <c r="K3329" s="48" t="n"/>
      <c r="L3329" s="48" t="n"/>
      <c r="M3329" s="48" t="n"/>
      <c r="N3329" s="48" t="n"/>
      <c r="O3329" s="51">
        <f>IF(AND(B3329="",G3329="",C3329="",D3329="",J3329=""),"",IF(B3329="","⚠ Falta fecha",IF(G3329="","⚠ Falta monto",IF(Q3329="","⚠ Falta cuenta",IF(ISNA(MATCH(Q3329,ctaNombre,0)),"⚠ Cuenta no registrada",IF(AND(OR(P3329="Gasto",P3329="Reembolso"),D3329=""),"⚠ Falta categoría",IF(AND(D3329&lt;&gt;"",E3329&lt;&gt;"",ISNA(MATCH(D3329&amp;"|"&amp;E3329,catClave,0))),"⚠ Subcategoría no corresponde",IF(AND(OR(P3329="Transferencia",P3329="Pago tarjeta"),K3329=""),"⚠ Falta cuenta destino",IF(AND(K3329&lt;&gt;"",P3329&lt;&gt;"Transferencia",P3329&lt;&gt;"Pago tarjeta"),"⚠ Destino solo aplica a transferencias",IF(AND(K3329&lt;&gt;"",K3329=Q3329),"⚠ Origen igual a destino",IF(AND(K3329&lt;&gt;"",ISNA(MATCH(K3329,ctaNombre,0))),"⚠ Destino no registrado",IF(AND(P3329="Pago tarjeta",AE3329&lt;&gt;"Tarjeta de crédito"),"⚠ El destino debe ser tarjeta de crédito",IF(AND(P3329="Gasto",E3329="Depósitos y retiros"),"⚠ Usa tipo Transferencia",IF(AND(P3329="Resultado trading",AD3329&lt;&gt;"Cuenta de trading"),"⚠ Usa una cuenta de trading",IF(AND(G3329&lt;=0,P3329&lt;&gt;"Ajuste",P3329&lt;&gt;"Resultado trading"),"⚠ El monto debe ser positivo","✓")))))))))))))))</f>
        <v/>
      </c>
      <c r="P3329" s="52">
        <f>IF(OR(B3329="",G3329=""),"",IF(C3329="","Gasto",C3329))</f>
        <v/>
      </c>
      <c r="Q3329" s="52">
        <f>IF(P3329="","",IF(J3329&lt;&gt;"",J3329,CuentaPred&amp;""))</f>
        <v/>
      </c>
      <c r="R3329" s="52">
        <f>IF(P3329="","",IF(ISNUMBER(I3329),I3329,TasaUSD))</f>
        <v/>
      </c>
      <c r="S3329" s="53">
        <f>IF(P3329="","",IF(H3329="USD",G3329*R3329,G3329))</f>
        <v/>
      </c>
      <c r="T3329" s="53">
        <f>IF(P3329="","",IF(H3329="USD",G3329,IF(R3329&gt;0,G3329/R3329,0)))</f>
        <v/>
      </c>
      <c r="U3329" s="53">
        <f>IF(P3329="","",IF(P3329="Gasto",S3329,IF(P3329="Reembolso",-S3329,0)))</f>
        <v/>
      </c>
      <c r="V3329" s="53">
        <f>IF(P3329="","",IF(P3329="Ingreso",S3329,0))</f>
        <v/>
      </c>
      <c r="W3329" s="53">
        <f>IF(P3329="","",IF(P3329="Resultado trading",S3329,0))</f>
        <v/>
      </c>
      <c r="X3329" s="52">
        <f>IF(OR(P3329="Gasto",P3329="Reembolso"),IF(M3329&lt;&gt;"",M3329,IFERROR(INDEX(catClasif,MATCH(D3329&amp;"|"&amp;E3329,catClave,0))&amp;"","Variable")),"")</f>
        <v/>
      </c>
      <c r="Y3329" s="52">
        <f>IF(P3329="","",IFERROR(INDEX(catGrupo,MATCH(D3329&amp;"|"&amp;E3329,catClave,0))&amp;"",""))</f>
        <v/>
      </c>
      <c r="Z3329" s="52">
        <f>IF(P3329="","",WEEKDAY(B3329,2))</f>
        <v/>
      </c>
      <c r="AA3329" s="52">
        <f>IF(P3329="","",IF(AND(P3329="Gasto",X3329="Variable",D3329&lt;&gt;catTrading,S3329&gt;0,S3329&lt;=Umbral),1,0))</f>
        <v/>
      </c>
      <c r="AB3329" s="52">
        <f>IF(OR(P3329="",Q3329=""),"",IFERROR(IF(INDEX(ctaVinc,MATCH(Q3329,ctaNombre,0))&amp;""&lt;&gt;"",INDEX(ctaVinc,MATCH(Q3329,ctaNombre,0))&amp;"",Q3329),Q3329))</f>
        <v/>
      </c>
      <c r="AC3329" s="52">
        <f>IF(OR(K3329="",AND(P3329&lt;&gt;"Transferencia",P3329&lt;&gt;"Pago tarjeta")),"",IFERROR(IF(INDEX(ctaVinc,MATCH(K3329,ctaNombre,0))&amp;""&lt;&gt;"",INDEX(ctaVinc,MATCH(K3329,ctaNombre,0))&amp;"",K3329),K3329))</f>
        <v/>
      </c>
      <c r="AD3329" s="52">
        <f>IF(AB3329="","",IFERROR(INDEX(ctaTipo,MATCH(AB3329,ctaNombre,0))&amp;"",""))</f>
        <v/>
      </c>
      <c r="AE3329" s="52">
        <f>IF(AC3329="","",IFERROR(INDEX(ctaTipo,MATCH(AC3329,ctaNombre,0))&amp;"",""))</f>
        <v/>
      </c>
      <c r="AF3329" s="53">
        <f>IF(OR(P3329="",AB3329=""),"",IF(OR(P3329="Gasto",P3329="Transferencia",P3329="Pago tarjeta"),-1,1)*IF(IFERROR(INDEX(ctaMoneda,MATCH(AB3329,ctaNombre,0))&amp;"","DOP")="USD",T3329,S3329))</f>
        <v/>
      </c>
      <c r="AG3329" s="53">
        <f>IF(AC3329="","",IF(IFERROR(INDEX(ctaMoneda,MATCH(AC3329,ctaNombre,0))&amp;"","DOP")="USD",T3329,S3329))</f>
        <v/>
      </c>
      <c r="AH3329" s="53">
        <f>IF(P3329="","",IF(AND(AD3329&lt;&gt;"",COUNTIFS(tcTipo,AD3329,tcLiq,"Sí")&gt;0),IF(OR(P3329="Gasto",P3329="Transferencia",P3329="Pago tarjeta"),-1,1)*S3329,0)+IF(AND(AE3329&lt;&gt;"",COUNTIFS(tcTipo,AE3329,tcLiq,"Sí")&gt;0),S3329,0))</f>
        <v/>
      </c>
      <c r="AI3329" s="52">
        <f>IF(OR(L3329="",P3329=""),"",IF(COUNTIFS(L$6:L3329,L3329,P$6:P3329,"?*")=1,MAX(AI$5:AI3328)+1,""))</f>
        <v/>
      </c>
    </row>
    <row r="3330">
      <c r="B3330" s="47" t="n"/>
      <c r="C3330" s="48" t="n"/>
      <c r="D3330" s="48" t="n"/>
      <c r="E3330" s="48" t="n"/>
      <c r="F3330" s="48" t="n"/>
      <c r="G3330" s="49" t="n"/>
      <c r="H3330" s="48" t="n"/>
      <c r="I3330" s="50" t="n"/>
      <c r="J3330" s="48" t="n"/>
      <c r="K3330" s="48" t="n"/>
      <c r="L3330" s="48" t="n"/>
      <c r="M3330" s="48" t="n"/>
      <c r="N3330" s="48" t="n"/>
      <c r="O3330" s="51">
        <f>IF(AND(B3330="",G3330="",C3330="",D3330="",J3330=""),"",IF(B3330="","⚠ Falta fecha",IF(G3330="","⚠ Falta monto",IF(Q3330="","⚠ Falta cuenta",IF(ISNA(MATCH(Q3330,ctaNombre,0)),"⚠ Cuenta no registrada",IF(AND(OR(P3330="Gasto",P3330="Reembolso"),D3330=""),"⚠ Falta categoría",IF(AND(D3330&lt;&gt;"",E3330&lt;&gt;"",ISNA(MATCH(D3330&amp;"|"&amp;E3330,catClave,0))),"⚠ Subcategoría no corresponde",IF(AND(OR(P3330="Transferencia",P3330="Pago tarjeta"),K3330=""),"⚠ Falta cuenta destino",IF(AND(K3330&lt;&gt;"",P3330&lt;&gt;"Transferencia",P3330&lt;&gt;"Pago tarjeta"),"⚠ Destino solo aplica a transferencias",IF(AND(K3330&lt;&gt;"",K3330=Q3330),"⚠ Origen igual a destino",IF(AND(K3330&lt;&gt;"",ISNA(MATCH(K3330,ctaNombre,0))),"⚠ Destino no registrado",IF(AND(P3330="Pago tarjeta",AE3330&lt;&gt;"Tarjeta de crédito"),"⚠ El destino debe ser tarjeta de crédito",IF(AND(P3330="Gasto",E3330="Depósitos y retiros"),"⚠ Usa tipo Transferencia",IF(AND(P3330="Resultado trading",AD3330&lt;&gt;"Cuenta de trading"),"⚠ Usa una cuenta de trading",IF(AND(G3330&lt;=0,P3330&lt;&gt;"Ajuste",P3330&lt;&gt;"Resultado trading"),"⚠ El monto debe ser positivo","✓")))))))))))))))</f>
        <v/>
      </c>
      <c r="P3330" s="52">
        <f>IF(OR(B3330="",G3330=""),"",IF(C3330="","Gasto",C3330))</f>
        <v/>
      </c>
      <c r="Q3330" s="52">
        <f>IF(P3330="","",IF(J3330&lt;&gt;"",J3330,CuentaPred&amp;""))</f>
        <v/>
      </c>
      <c r="R3330" s="52">
        <f>IF(P3330="","",IF(ISNUMBER(I3330),I3330,TasaUSD))</f>
        <v/>
      </c>
      <c r="S3330" s="53">
        <f>IF(P3330="","",IF(H3330="USD",G3330*R3330,G3330))</f>
        <v/>
      </c>
      <c r="T3330" s="53">
        <f>IF(P3330="","",IF(H3330="USD",G3330,IF(R3330&gt;0,G3330/R3330,0)))</f>
        <v/>
      </c>
      <c r="U3330" s="53">
        <f>IF(P3330="","",IF(P3330="Gasto",S3330,IF(P3330="Reembolso",-S3330,0)))</f>
        <v/>
      </c>
      <c r="V3330" s="53">
        <f>IF(P3330="","",IF(P3330="Ingreso",S3330,0))</f>
        <v/>
      </c>
      <c r="W3330" s="53">
        <f>IF(P3330="","",IF(P3330="Resultado trading",S3330,0))</f>
        <v/>
      </c>
      <c r="X3330" s="52">
        <f>IF(OR(P3330="Gasto",P3330="Reembolso"),IF(M3330&lt;&gt;"",M3330,IFERROR(INDEX(catClasif,MATCH(D3330&amp;"|"&amp;E3330,catClave,0))&amp;"","Variable")),"")</f>
        <v/>
      </c>
      <c r="Y3330" s="52">
        <f>IF(P3330="","",IFERROR(INDEX(catGrupo,MATCH(D3330&amp;"|"&amp;E3330,catClave,0))&amp;"",""))</f>
        <v/>
      </c>
      <c r="Z3330" s="52">
        <f>IF(P3330="","",WEEKDAY(B3330,2))</f>
        <v/>
      </c>
      <c r="AA3330" s="52">
        <f>IF(P3330="","",IF(AND(P3330="Gasto",X3330="Variable",D3330&lt;&gt;catTrading,S3330&gt;0,S3330&lt;=Umbral),1,0))</f>
        <v/>
      </c>
      <c r="AB3330" s="52">
        <f>IF(OR(P3330="",Q3330=""),"",IFERROR(IF(INDEX(ctaVinc,MATCH(Q3330,ctaNombre,0))&amp;""&lt;&gt;"",INDEX(ctaVinc,MATCH(Q3330,ctaNombre,0))&amp;"",Q3330),Q3330))</f>
        <v/>
      </c>
      <c r="AC3330" s="52">
        <f>IF(OR(K3330="",AND(P3330&lt;&gt;"Transferencia",P3330&lt;&gt;"Pago tarjeta")),"",IFERROR(IF(INDEX(ctaVinc,MATCH(K3330,ctaNombre,0))&amp;""&lt;&gt;"",INDEX(ctaVinc,MATCH(K3330,ctaNombre,0))&amp;"",K3330),K3330))</f>
        <v/>
      </c>
      <c r="AD3330" s="52">
        <f>IF(AB3330="","",IFERROR(INDEX(ctaTipo,MATCH(AB3330,ctaNombre,0))&amp;"",""))</f>
        <v/>
      </c>
      <c r="AE3330" s="52">
        <f>IF(AC3330="","",IFERROR(INDEX(ctaTipo,MATCH(AC3330,ctaNombre,0))&amp;"",""))</f>
        <v/>
      </c>
      <c r="AF3330" s="53">
        <f>IF(OR(P3330="",AB3330=""),"",IF(OR(P3330="Gasto",P3330="Transferencia",P3330="Pago tarjeta"),-1,1)*IF(IFERROR(INDEX(ctaMoneda,MATCH(AB3330,ctaNombre,0))&amp;"","DOP")="USD",T3330,S3330))</f>
        <v/>
      </c>
      <c r="AG3330" s="53">
        <f>IF(AC3330="","",IF(IFERROR(INDEX(ctaMoneda,MATCH(AC3330,ctaNombre,0))&amp;"","DOP")="USD",T3330,S3330))</f>
        <v/>
      </c>
      <c r="AH3330" s="53">
        <f>IF(P3330="","",IF(AND(AD3330&lt;&gt;"",COUNTIFS(tcTipo,AD3330,tcLiq,"Sí")&gt;0),IF(OR(P3330="Gasto",P3330="Transferencia",P3330="Pago tarjeta"),-1,1)*S3330,0)+IF(AND(AE3330&lt;&gt;"",COUNTIFS(tcTipo,AE3330,tcLiq,"Sí")&gt;0),S3330,0))</f>
        <v/>
      </c>
      <c r="AI3330" s="52">
        <f>IF(OR(L3330="",P3330=""),"",IF(COUNTIFS(L$6:L3330,L3330,P$6:P3330,"?*")=1,MAX(AI$5:AI3329)+1,""))</f>
        <v/>
      </c>
    </row>
    <row r="3331">
      <c r="B3331" s="47" t="n"/>
      <c r="C3331" s="48" t="n"/>
      <c r="D3331" s="48" t="n"/>
      <c r="E3331" s="48" t="n"/>
      <c r="F3331" s="48" t="n"/>
      <c r="G3331" s="49" t="n"/>
      <c r="H3331" s="48" t="n"/>
      <c r="I3331" s="50" t="n"/>
      <c r="J3331" s="48" t="n"/>
      <c r="K3331" s="48" t="n"/>
      <c r="L3331" s="48" t="n"/>
      <c r="M3331" s="48" t="n"/>
      <c r="N3331" s="48" t="n"/>
      <c r="O3331" s="51">
        <f>IF(AND(B3331="",G3331="",C3331="",D3331="",J3331=""),"",IF(B3331="","⚠ Falta fecha",IF(G3331="","⚠ Falta monto",IF(Q3331="","⚠ Falta cuenta",IF(ISNA(MATCH(Q3331,ctaNombre,0)),"⚠ Cuenta no registrada",IF(AND(OR(P3331="Gasto",P3331="Reembolso"),D3331=""),"⚠ Falta categoría",IF(AND(D3331&lt;&gt;"",E3331&lt;&gt;"",ISNA(MATCH(D3331&amp;"|"&amp;E3331,catClave,0))),"⚠ Subcategoría no corresponde",IF(AND(OR(P3331="Transferencia",P3331="Pago tarjeta"),K3331=""),"⚠ Falta cuenta destino",IF(AND(K3331&lt;&gt;"",P3331&lt;&gt;"Transferencia",P3331&lt;&gt;"Pago tarjeta"),"⚠ Destino solo aplica a transferencias",IF(AND(K3331&lt;&gt;"",K3331=Q3331),"⚠ Origen igual a destino",IF(AND(K3331&lt;&gt;"",ISNA(MATCH(K3331,ctaNombre,0))),"⚠ Destino no registrado",IF(AND(P3331="Pago tarjeta",AE3331&lt;&gt;"Tarjeta de crédito"),"⚠ El destino debe ser tarjeta de crédito",IF(AND(P3331="Gasto",E3331="Depósitos y retiros"),"⚠ Usa tipo Transferencia",IF(AND(P3331="Resultado trading",AD3331&lt;&gt;"Cuenta de trading"),"⚠ Usa una cuenta de trading",IF(AND(G3331&lt;=0,P3331&lt;&gt;"Ajuste",P3331&lt;&gt;"Resultado trading"),"⚠ El monto debe ser positivo","✓")))))))))))))))</f>
        <v/>
      </c>
      <c r="P3331" s="52">
        <f>IF(OR(B3331="",G3331=""),"",IF(C3331="","Gasto",C3331))</f>
        <v/>
      </c>
      <c r="Q3331" s="52">
        <f>IF(P3331="","",IF(J3331&lt;&gt;"",J3331,CuentaPred&amp;""))</f>
        <v/>
      </c>
      <c r="R3331" s="52">
        <f>IF(P3331="","",IF(ISNUMBER(I3331),I3331,TasaUSD))</f>
        <v/>
      </c>
      <c r="S3331" s="53">
        <f>IF(P3331="","",IF(H3331="USD",G3331*R3331,G3331))</f>
        <v/>
      </c>
      <c r="T3331" s="53">
        <f>IF(P3331="","",IF(H3331="USD",G3331,IF(R3331&gt;0,G3331/R3331,0)))</f>
        <v/>
      </c>
      <c r="U3331" s="53">
        <f>IF(P3331="","",IF(P3331="Gasto",S3331,IF(P3331="Reembolso",-S3331,0)))</f>
        <v/>
      </c>
      <c r="V3331" s="53">
        <f>IF(P3331="","",IF(P3331="Ingreso",S3331,0))</f>
        <v/>
      </c>
      <c r="W3331" s="53">
        <f>IF(P3331="","",IF(P3331="Resultado trading",S3331,0))</f>
        <v/>
      </c>
      <c r="X3331" s="52">
        <f>IF(OR(P3331="Gasto",P3331="Reembolso"),IF(M3331&lt;&gt;"",M3331,IFERROR(INDEX(catClasif,MATCH(D3331&amp;"|"&amp;E3331,catClave,0))&amp;"","Variable")),"")</f>
        <v/>
      </c>
      <c r="Y3331" s="52">
        <f>IF(P3331="","",IFERROR(INDEX(catGrupo,MATCH(D3331&amp;"|"&amp;E3331,catClave,0))&amp;"",""))</f>
        <v/>
      </c>
      <c r="Z3331" s="52">
        <f>IF(P3331="","",WEEKDAY(B3331,2))</f>
        <v/>
      </c>
      <c r="AA3331" s="52">
        <f>IF(P3331="","",IF(AND(P3331="Gasto",X3331="Variable",D3331&lt;&gt;catTrading,S3331&gt;0,S3331&lt;=Umbral),1,0))</f>
        <v/>
      </c>
      <c r="AB3331" s="52">
        <f>IF(OR(P3331="",Q3331=""),"",IFERROR(IF(INDEX(ctaVinc,MATCH(Q3331,ctaNombre,0))&amp;""&lt;&gt;"",INDEX(ctaVinc,MATCH(Q3331,ctaNombre,0))&amp;"",Q3331),Q3331))</f>
        <v/>
      </c>
      <c r="AC3331" s="52">
        <f>IF(OR(K3331="",AND(P3331&lt;&gt;"Transferencia",P3331&lt;&gt;"Pago tarjeta")),"",IFERROR(IF(INDEX(ctaVinc,MATCH(K3331,ctaNombre,0))&amp;""&lt;&gt;"",INDEX(ctaVinc,MATCH(K3331,ctaNombre,0))&amp;"",K3331),K3331))</f>
        <v/>
      </c>
      <c r="AD3331" s="52">
        <f>IF(AB3331="","",IFERROR(INDEX(ctaTipo,MATCH(AB3331,ctaNombre,0))&amp;"",""))</f>
        <v/>
      </c>
      <c r="AE3331" s="52">
        <f>IF(AC3331="","",IFERROR(INDEX(ctaTipo,MATCH(AC3331,ctaNombre,0))&amp;"",""))</f>
        <v/>
      </c>
      <c r="AF3331" s="53">
        <f>IF(OR(P3331="",AB3331=""),"",IF(OR(P3331="Gasto",P3331="Transferencia",P3331="Pago tarjeta"),-1,1)*IF(IFERROR(INDEX(ctaMoneda,MATCH(AB3331,ctaNombre,0))&amp;"","DOP")="USD",T3331,S3331))</f>
        <v/>
      </c>
      <c r="AG3331" s="53">
        <f>IF(AC3331="","",IF(IFERROR(INDEX(ctaMoneda,MATCH(AC3331,ctaNombre,0))&amp;"","DOP")="USD",T3331,S3331))</f>
        <v/>
      </c>
      <c r="AH3331" s="53">
        <f>IF(P3331="","",IF(AND(AD3331&lt;&gt;"",COUNTIFS(tcTipo,AD3331,tcLiq,"Sí")&gt;0),IF(OR(P3331="Gasto",P3331="Transferencia",P3331="Pago tarjeta"),-1,1)*S3331,0)+IF(AND(AE3331&lt;&gt;"",COUNTIFS(tcTipo,AE3331,tcLiq,"Sí")&gt;0),S3331,0))</f>
        <v/>
      </c>
      <c r="AI3331" s="52">
        <f>IF(OR(L3331="",P3331=""),"",IF(COUNTIFS(L$6:L3331,L3331,P$6:P3331,"?*")=1,MAX(AI$5:AI3330)+1,""))</f>
        <v/>
      </c>
    </row>
    <row r="3332">
      <c r="B3332" s="47" t="n"/>
      <c r="C3332" s="48" t="n"/>
      <c r="D3332" s="48" t="n"/>
      <c r="E3332" s="48" t="n"/>
      <c r="F3332" s="48" t="n"/>
      <c r="G3332" s="49" t="n"/>
      <c r="H3332" s="48" t="n"/>
      <c r="I3332" s="50" t="n"/>
      <c r="J3332" s="48" t="n"/>
      <c r="K3332" s="48" t="n"/>
      <c r="L3332" s="48" t="n"/>
      <c r="M3332" s="48" t="n"/>
      <c r="N3332" s="48" t="n"/>
      <c r="O3332" s="51">
        <f>IF(AND(B3332="",G3332="",C3332="",D3332="",J3332=""),"",IF(B3332="","⚠ Falta fecha",IF(G3332="","⚠ Falta monto",IF(Q3332="","⚠ Falta cuenta",IF(ISNA(MATCH(Q3332,ctaNombre,0)),"⚠ Cuenta no registrada",IF(AND(OR(P3332="Gasto",P3332="Reembolso"),D3332=""),"⚠ Falta categoría",IF(AND(D3332&lt;&gt;"",E3332&lt;&gt;"",ISNA(MATCH(D3332&amp;"|"&amp;E3332,catClave,0))),"⚠ Subcategoría no corresponde",IF(AND(OR(P3332="Transferencia",P3332="Pago tarjeta"),K3332=""),"⚠ Falta cuenta destino",IF(AND(K3332&lt;&gt;"",P3332&lt;&gt;"Transferencia",P3332&lt;&gt;"Pago tarjeta"),"⚠ Destino solo aplica a transferencias",IF(AND(K3332&lt;&gt;"",K3332=Q3332),"⚠ Origen igual a destino",IF(AND(K3332&lt;&gt;"",ISNA(MATCH(K3332,ctaNombre,0))),"⚠ Destino no registrado",IF(AND(P3332="Pago tarjeta",AE3332&lt;&gt;"Tarjeta de crédito"),"⚠ El destino debe ser tarjeta de crédito",IF(AND(P3332="Gasto",E3332="Depósitos y retiros"),"⚠ Usa tipo Transferencia",IF(AND(P3332="Resultado trading",AD3332&lt;&gt;"Cuenta de trading"),"⚠ Usa una cuenta de trading",IF(AND(G3332&lt;=0,P3332&lt;&gt;"Ajuste",P3332&lt;&gt;"Resultado trading"),"⚠ El monto debe ser positivo","✓")))))))))))))))</f>
        <v/>
      </c>
      <c r="P3332" s="52">
        <f>IF(OR(B3332="",G3332=""),"",IF(C3332="","Gasto",C3332))</f>
        <v/>
      </c>
      <c r="Q3332" s="52">
        <f>IF(P3332="","",IF(J3332&lt;&gt;"",J3332,CuentaPred&amp;""))</f>
        <v/>
      </c>
      <c r="R3332" s="52">
        <f>IF(P3332="","",IF(ISNUMBER(I3332),I3332,TasaUSD))</f>
        <v/>
      </c>
      <c r="S3332" s="53">
        <f>IF(P3332="","",IF(H3332="USD",G3332*R3332,G3332))</f>
        <v/>
      </c>
      <c r="T3332" s="53">
        <f>IF(P3332="","",IF(H3332="USD",G3332,IF(R3332&gt;0,G3332/R3332,0)))</f>
        <v/>
      </c>
      <c r="U3332" s="53">
        <f>IF(P3332="","",IF(P3332="Gasto",S3332,IF(P3332="Reembolso",-S3332,0)))</f>
        <v/>
      </c>
      <c r="V3332" s="53">
        <f>IF(P3332="","",IF(P3332="Ingreso",S3332,0))</f>
        <v/>
      </c>
      <c r="W3332" s="53">
        <f>IF(P3332="","",IF(P3332="Resultado trading",S3332,0))</f>
        <v/>
      </c>
      <c r="X3332" s="52">
        <f>IF(OR(P3332="Gasto",P3332="Reembolso"),IF(M3332&lt;&gt;"",M3332,IFERROR(INDEX(catClasif,MATCH(D3332&amp;"|"&amp;E3332,catClave,0))&amp;"","Variable")),"")</f>
        <v/>
      </c>
      <c r="Y3332" s="52">
        <f>IF(P3332="","",IFERROR(INDEX(catGrupo,MATCH(D3332&amp;"|"&amp;E3332,catClave,0))&amp;"",""))</f>
        <v/>
      </c>
      <c r="Z3332" s="52">
        <f>IF(P3332="","",WEEKDAY(B3332,2))</f>
        <v/>
      </c>
      <c r="AA3332" s="52">
        <f>IF(P3332="","",IF(AND(P3332="Gasto",X3332="Variable",D3332&lt;&gt;catTrading,S3332&gt;0,S3332&lt;=Umbral),1,0))</f>
        <v/>
      </c>
      <c r="AB3332" s="52">
        <f>IF(OR(P3332="",Q3332=""),"",IFERROR(IF(INDEX(ctaVinc,MATCH(Q3332,ctaNombre,0))&amp;""&lt;&gt;"",INDEX(ctaVinc,MATCH(Q3332,ctaNombre,0))&amp;"",Q3332),Q3332))</f>
        <v/>
      </c>
      <c r="AC3332" s="52">
        <f>IF(OR(K3332="",AND(P3332&lt;&gt;"Transferencia",P3332&lt;&gt;"Pago tarjeta")),"",IFERROR(IF(INDEX(ctaVinc,MATCH(K3332,ctaNombre,0))&amp;""&lt;&gt;"",INDEX(ctaVinc,MATCH(K3332,ctaNombre,0))&amp;"",K3332),K3332))</f>
        <v/>
      </c>
      <c r="AD3332" s="52">
        <f>IF(AB3332="","",IFERROR(INDEX(ctaTipo,MATCH(AB3332,ctaNombre,0))&amp;"",""))</f>
        <v/>
      </c>
      <c r="AE3332" s="52">
        <f>IF(AC3332="","",IFERROR(INDEX(ctaTipo,MATCH(AC3332,ctaNombre,0))&amp;"",""))</f>
        <v/>
      </c>
      <c r="AF3332" s="53">
        <f>IF(OR(P3332="",AB3332=""),"",IF(OR(P3332="Gasto",P3332="Transferencia",P3332="Pago tarjeta"),-1,1)*IF(IFERROR(INDEX(ctaMoneda,MATCH(AB3332,ctaNombre,0))&amp;"","DOP")="USD",T3332,S3332))</f>
        <v/>
      </c>
      <c r="AG3332" s="53">
        <f>IF(AC3332="","",IF(IFERROR(INDEX(ctaMoneda,MATCH(AC3332,ctaNombre,0))&amp;"","DOP")="USD",T3332,S3332))</f>
        <v/>
      </c>
      <c r="AH3332" s="53">
        <f>IF(P3332="","",IF(AND(AD3332&lt;&gt;"",COUNTIFS(tcTipo,AD3332,tcLiq,"Sí")&gt;0),IF(OR(P3332="Gasto",P3332="Transferencia",P3332="Pago tarjeta"),-1,1)*S3332,0)+IF(AND(AE3332&lt;&gt;"",COUNTIFS(tcTipo,AE3332,tcLiq,"Sí")&gt;0),S3332,0))</f>
        <v/>
      </c>
      <c r="AI3332" s="52">
        <f>IF(OR(L3332="",P3332=""),"",IF(COUNTIFS(L$6:L3332,L3332,P$6:P3332,"?*")=1,MAX(AI$5:AI3331)+1,""))</f>
        <v/>
      </c>
    </row>
    <row r="3333">
      <c r="B3333" s="47" t="n"/>
      <c r="C3333" s="48" t="n"/>
      <c r="D3333" s="48" t="n"/>
      <c r="E3333" s="48" t="n"/>
      <c r="F3333" s="48" t="n"/>
      <c r="G3333" s="49" t="n"/>
      <c r="H3333" s="48" t="n"/>
      <c r="I3333" s="50" t="n"/>
      <c r="J3333" s="48" t="n"/>
      <c r="K3333" s="48" t="n"/>
      <c r="L3333" s="48" t="n"/>
      <c r="M3333" s="48" t="n"/>
      <c r="N3333" s="48" t="n"/>
      <c r="O3333" s="51">
        <f>IF(AND(B3333="",G3333="",C3333="",D3333="",J3333=""),"",IF(B3333="","⚠ Falta fecha",IF(G3333="","⚠ Falta monto",IF(Q3333="","⚠ Falta cuenta",IF(ISNA(MATCH(Q3333,ctaNombre,0)),"⚠ Cuenta no registrada",IF(AND(OR(P3333="Gasto",P3333="Reembolso"),D3333=""),"⚠ Falta categoría",IF(AND(D3333&lt;&gt;"",E3333&lt;&gt;"",ISNA(MATCH(D3333&amp;"|"&amp;E3333,catClave,0))),"⚠ Subcategoría no corresponde",IF(AND(OR(P3333="Transferencia",P3333="Pago tarjeta"),K3333=""),"⚠ Falta cuenta destino",IF(AND(K3333&lt;&gt;"",P3333&lt;&gt;"Transferencia",P3333&lt;&gt;"Pago tarjeta"),"⚠ Destino solo aplica a transferencias",IF(AND(K3333&lt;&gt;"",K3333=Q3333),"⚠ Origen igual a destino",IF(AND(K3333&lt;&gt;"",ISNA(MATCH(K3333,ctaNombre,0))),"⚠ Destino no registrado",IF(AND(P3333="Pago tarjeta",AE3333&lt;&gt;"Tarjeta de crédito"),"⚠ El destino debe ser tarjeta de crédito",IF(AND(P3333="Gasto",E3333="Depósitos y retiros"),"⚠ Usa tipo Transferencia",IF(AND(P3333="Resultado trading",AD3333&lt;&gt;"Cuenta de trading"),"⚠ Usa una cuenta de trading",IF(AND(G3333&lt;=0,P3333&lt;&gt;"Ajuste",P3333&lt;&gt;"Resultado trading"),"⚠ El monto debe ser positivo","✓")))))))))))))))</f>
        <v/>
      </c>
      <c r="P3333" s="52">
        <f>IF(OR(B3333="",G3333=""),"",IF(C3333="","Gasto",C3333))</f>
        <v/>
      </c>
      <c r="Q3333" s="52">
        <f>IF(P3333="","",IF(J3333&lt;&gt;"",J3333,CuentaPred&amp;""))</f>
        <v/>
      </c>
      <c r="R3333" s="52">
        <f>IF(P3333="","",IF(ISNUMBER(I3333),I3333,TasaUSD))</f>
        <v/>
      </c>
      <c r="S3333" s="53">
        <f>IF(P3333="","",IF(H3333="USD",G3333*R3333,G3333))</f>
        <v/>
      </c>
      <c r="T3333" s="53">
        <f>IF(P3333="","",IF(H3333="USD",G3333,IF(R3333&gt;0,G3333/R3333,0)))</f>
        <v/>
      </c>
      <c r="U3333" s="53">
        <f>IF(P3333="","",IF(P3333="Gasto",S3333,IF(P3333="Reembolso",-S3333,0)))</f>
        <v/>
      </c>
      <c r="V3333" s="53">
        <f>IF(P3333="","",IF(P3333="Ingreso",S3333,0))</f>
        <v/>
      </c>
      <c r="W3333" s="53">
        <f>IF(P3333="","",IF(P3333="Resultado trading",S3333,0))</f>
        <v/>
      </c>
      <c r="X3333" s="52">
        <f>IF(OR(P3333="Gasto",P3333="Reembolso"),IF(M3333&lt;&gt;"",M3333,IFERROR(INDEX(catClasif,MATCH(D3333&amp;"|"&amp;E3333,catClave,0))&amp;"","Variable")),"")</f>
        <v/>
      </c>
      <c r="Y3333" s="52">
        <f>IF(P3333="","",IFERROR(INDEX(catGrupo,MATCH(D3333&amp;"|"&amp;E3333,catClave,0))&amp;"",""))</f>
        <v/>
      </c>
      <c r="Z3333" s="52">
        <f>IF(P3333="","",WEEKDAY(B3333,2))</f>
        <v/>
      </c>
      <c r="AA3333" s="52">
        <f>IF(P3333="","",IF(AND(P3333="Gasto",X3333="Variable",D3333&lt;&gt;catTrading,S3333&gt;0,S3333&lt;=Umbral),1,0))</f>
        <v/>
      </c>
      <c r="AB3333" s="52">
        <f>IF(OR(P3333="",Q3333=""),"",IFERROR(IF(INDEX(ctaVinc,MATCH(Q3333,ctaNombre,0))&amp;""&lt;&gt;"",INDEX(ctaVinc,MATCH(Q3333,ctaNombre,0))&amp;"",Q3333),Q3333))</f>
        <v/>
      </c>
      <c r="AC3333" s="52">
        <f>IF(OR(K3333="",AND(P3333&lt;&gt;"Transferencia",P3333&lt;&gt;"Pago tarjeta")),"",IFERROR(IF(INDEX(ctaVinc,MATCH(K3333,ctaNombre,0))&amp;""&lt;&gt;"",INDEX(ctaVinc,MATCH(K3333,ctaNombre,0))&amp;"",K3333),K3333))</f>
        <v/>
      </c>
      <c r="AD3333" s="52">
        <f>IF(AB3333="","",IFERROR(INDEX(ctaTipo,MATCH(AB3333,ctaNombre,0))&amp;"",""))</f>
        <v/>
      </c>
      <c r="AE3333" s="52">
        <f>IF(AC3333="","",IFERROR(INDEX(ctaTipo,MATCH(AC3333,ctaNombre,0))&amp;"",""))</f>
        <v/>
      </c>
      <c r="AF3333" s="53">
        <f>IF(OR(P3333="",AB3333=""),"",IF(OR(P3333="Gasto",P3333="Transferencia",P3333="Pago tarjeta"),-1,1)*IF(IFERROR(INDEX(ctaMoneda,MATCH(AB3333,ctaNombre,0))&amp;"","DOP")="USD",T3333,S3333))</f>
        <v/>
      </c>
      <c r="AG3333" s="53">
        <f>IF(AC3333="","",IF(IFERROR(INDEX(ctaMoneda,MATCH(AC3333,ctaNombre,0))&amp;"","DOP")="USD",T3333,S3333))</f>
        <v/>
      </c>
      <c r="AH3333" s="53">
        <f>IF(P3333="","",IF(AND(AD3333&lt;&gt;"",COUNTIFS(tcTipo,AD3333,tcLiq,"Sí")&gt;0),IF(OR(P3333="Gasto",P3333="Transferencia",P3333="Pago tarjeta"),-1,1)*S3333,0)+IF(AND(AE3333&lt;&gt;"",COUNTIFS(tcTipo,AE3333,tcLiq,"Sí")&gt;0),S3333,0))</f>
        <v/>
      </c>
      <c r="AI3333" s="52">
        <f>IF(OR(L3333="",P3333=""),"",IF(COUNTIFS(L$6:L3333,L3333,P$6:P3333,"?*")=1,MAX(AI$5:AI3332)+1,""))</f>
        <v/>
      </c>
    </row>
    <row r="3334">
      <c r="B3334" s="47" t="n"/>
      <c r="C3334" s="48" t="n"/>
      <c r="D3334" s="48" t="n"/>
      <c r="E3334" s="48" t="n"/>
      <c r="F3334" s="48" t="n"/>
      <c r="G3334" s="49" t="n"/>
      <c r="H3334" s="48" t="n"/>
      <c r="I3334" s="50" t="n"/>
      <c r="J3334" s="48" t="n"/>
      <c r="K3334" s="48" t="n"/>
      <c r="L3334" s="48" t="n"/>
      <c r="M3334" s="48" t="n"/>
      <c r="N3334" s="48" t="n"/>
      <c r="O3334" s="51">
        <f>IF(AND(B3334="",G3334="",C3334="",D3334="",J3334=""),"",IF(B3334="","⚠ Falta fecha",IF(G3334="","⚠ Falta monto",IF(Q3334="","⚠ Falta cuenta",IF(ISNA(MATCH(Q3334,ctaNombre,0)),"⚠ Cuenta no registrada",IF(AND(OR(P3334="Gasto",P3334="Reembolso"),D3334=""),"⚠ Falta categoría",IF(AND(D3334&lt;&gt;"",E3334&lt;&gt;"",ISNA(MATCH(D3334&amp;"|"&amp;E3334,catClave,0))),"⚠ Subcategoría no corresponde",IF(AND(OR(P3334="Transferencia",P3334="Pago tarjeta"),K3334=""),"⚠ Falta cuenta destino",IF(AND(K3334&lt;&gt;"",P3334&lt;&gt;"Transferencia",P3334&lt;&gt;"Pago tarjeta"),"⚠ Destino solo aplica a transferencias",IF(AND(K3334&lt;&gt;"",K3334=Q3334),"⚠ Origen igual a destino",IF(AND(K3334&lt;&gt;"",ISNA(MATCH(K3334,ctaNombre,0))),"⚠ Destino no registrado",IF(AND(P3334="Pago tarjeta",AE3334&lt;&gt;"Tarjeta de crédito"),"⚠ El destino debe ser tarjeta de crédito",IF(AND(P3334="Gasto",E3334="Depósitos y retiros"),"⚠ Usa tipo Transferencia",IF(AND(P3334="Resultado trading",AD3334&lt;&gt;"Cuenta de trading"),"⚠ Usa una cuenta de trading",IF(AND(G3334&lt;=0,P3334&lt;&gt;"Ajuste",P3334&lt;&gt;"Resultado trading"),"⚠ El monto debe ser positivo","✓")))))))))))))))</f>
        <v/>
      </c>
      <c r="P3334" s="52">
        <f>IF(OR(B3334="",G3334=""),"",IF(C3334="","Gasto",C3334))</f>
        <v/>
      </c>
      <c r="Q3334" s="52">
        <f>IF(P3334="","",IF(J3334&lt;&gt;"",J3334,CuentaPred&amp;""))</f>
        <v/>
      </c>
      <c r="R3334" s="52">
        <f>IF(P3334="","",IF(ISNUMBER(I3334),I3334,TasaUSD))</f>
        <v/>
      </c>
      <c r="S3334" s="53">
        <f>IF(P3334="","",IF(H3334="USD",G3334*R3334,G3334))</f>
        <v/>
      </c>
      <c r="T3334" s="53">
        <f>IF(P3334="","",IF(H3334="USD",G3334,IF(R3334&gt;0,G3334/R3334,0)))</f>
        <v/>
      </c>
      <c r="U3334" s="53">
        <f>IF(P3334="","",IF(P3334="Gasto",S3334,IF(P3334="Reembolso",-S3334,0)))</f>
        <v/>
      </c>
      <c r="V3334" s="53">
        <f>IF(P3334="","",IF(P3334="Ingreso",S3334,0))</f>
        <v/>
      </c>
      <c r="W3334" s="53">
        <f>IF(P3334="","",IF(P3334="Resultado trading",S3334,0))</f>
        <v/>
      </c>
      <c r="X3334" s="52">
        <f>IF(OR(P3334="Gasto",P3334="Reembolso"),IF(M3334&lt;&gt;"",M3334,IFERROR(INDEX(catClasif,MATCH(D3334&amp;"|"&amp;E3334,catClave,0))&amp;"","Variable")),"")</f>
        <v/>
      </c>
      <c r="Y3334" s="52">
        <f>IF(P3334="","",IFERROR(INDEX(catGrupo,MATCH(D3334&amp;"|"&amp;E3334,catClave,0))&amp;"",""))</f>
        <v/>
      </c>
      <c r="Z3334" s="52">
        <f>IF(P3334="","",WEEKDAY(B3334,2))</f>
        <v/>
      </c>
      <c r="AA3334" s="52">
        <f>IF(P3334="","",IF(AND(P3334="Gasto",X3334="Variable",D3334&lt;&gt;catTrading,S3334&gt;0,S3334&lt;=Umbral),1,0))</f>
        <v/>
      </c>
      <c r="AB3334" s="52">
        <f>IF(OR(P3334="",Q3334=""),"",IFERROR(IF(INDEX(ctaVinc,MATCH(Q3334,ctaNombre,0))&amp;""&lt;&gt;"",INDEX(ctaVinc,MATCH(Q3334,ctaNombre,0))&amp;"",Q3334),Q3334))</f>
        <v/>
      </c>
      <c r="AC3334" s="52">
        <f>IF(OR(K3334="",AND(P3334&lt;&gt;"Transferencia",P3334&lt;&gt;"Pago tarjeta")),"",IFERROR(IF(INDEX(ctaVinc,MATCH(K3334,ctaNombre,0))&amp;""&lt;&gt;"",INDEX(ctaVinc,MATCH(K3334,ctaNombre,0))&amp;"",K3334),K3334))</f>
        <v/>
      </c>
      <c r="AD3334" s="52">
        <f>IF(AB3334="","",IFERROR(INDEX(ctaTipo,MATCH(AB3334,ctaNombre,0))&amp;"",""))</f>
        <v/>
      </c>
      <c r="AE3334" s="52">
        <f>IF(AC3334="","",IFERROR(INDEX(ctaTipo,MATCH(AC3334,ctaNombre,0))&amp;"",""))</f>
        <v/>
      </c>
      <c r="AF3334" s="53">
        <f>IF(OR(P3334="",AB3334=""),"",IF(OR(P3334="Gasto",P3334="Transferencia",P3334="Pago tarjeta"),-1,1)*IF(IFERROR(INDEX(ctaMoneda,MATCH(AB3334,ctaNombre,0))&amp;"","DOP")="USD",T3334,S3334))</f>
        <v/>
      </c>
      <c r="AG3334" s="53">
        <f>IF(AC3334="","",IF(IFERROR(INDEX(ctaMoneda,MATCH(AC3334,ctaNombre,0))&amp;"","DOP")="USD",T3334,S3334))</f>
        <v/>
      </c>
      <c r="AH3334" s="53">
        <f>IF(P3334="","",IF(AND(AD3334&lt;&gt;"",COUNTIFS(tcTipo,AD3334,tcLiq,"Sí")&gt;0),IF(OR(P3334="Gasto",P3334="Transferencia",P3334="Pago tarjeta"),-1,1)*S3334,0)+IF(AND(AE3334&lt;&gt;"",COUNTIFS(tcTipo,AE3334,tcLiq,"Sí")&gt;0),S3334,0))</f>
        <v/>
      </c>
      <c r="AI3334" s="52">
        <f>IF(OR(L3334="",P3334=""),"",IF(COUNTIFS(L$6:L3334,L3334,P$6:P3334,"?*")=1,MAX(AI$5:AI3333)+1,""))</f>
        <v/>
      </c>
    </row>
    <row r="3335">
      <c r="B3335" s="47" t="n"/>
      <c r="C3335" s="48" t="n"/>
      <c r="D3335" s="48" t="n"/>
      <c r="E3335" s="48" t="n"/>
      <c r="F3335" s="48" t="n"/>
      <c r="G3335" s="49" t="n"/>
      <c r="H3335" s="48" t="n"/>
      <c r="I3335" s="50" t="n"/>
      <c r="J3335" s="48" t="n"/>
      <c r="K3335" s="48" t="n"/>
      <c r="L3335" s="48" t="n"/>
      <c r="M3335" s="48" t="n"/>
      <c r="N3335" s="48" t="n"/>
      <c r="O3335" s="51">
        <f>IF(AND(B3335="",G3335="",C3335="",D3335="",J3335=""),"",IF(B3335="","⚠ Falta fecha",IF(G3335="","⚠ Falta monto",IF(Q3335="","⚠ Falta cuenta",IF(ISNA(MATCH(Q3335,ctaNombre,0)),"⚠ Cuenta no registrada",IF(AND(OR(P3335="Gasto",P3335="Reembolso"),D3335=""),"⚠ Falta categoría",IF(AND(D3335&lt;&gt;"",E3335&lt;&gt;"",ISNA(MATCH(D3335&amp;"|"&amp;E3335,catClave,0))),"⚠ Subcategoría no corresponde",IF(AND(OR(P3335="Transferencia",P3335="Pago tarjeta"),K3335=""),"⚠ Falta cuenta destino",IF(AND(K3335&lt;&gt;"",P3335&lt;&gt;"Transferencia",P3335&lt;&gt;"Pago tarjeta"),"⚠ Destino solo aplica a transferencias",IF(AND(K3335&lt;&gt;"",K3335=Q3335),"⚠ Origen igual a destino",IF(AND(K3335&lt;&gt;"",ISNA(MATCH(K3335,ctaNombre,0))),"⚠ Destino no registrado",IF(AND(P3335="Pago tarjeta",AE3335&lt;&gt;"Tarjeta de crédito"),"⚠ El destino debe ser tarjeta de crédito",IF(AND(P3335="Gasto",E3335="Depósitos y retiros"),"⚠ Usa tipo Transferencia",IF(AND(P3335="Resultado trading",AD3335&lt;&gt;"Cuenta de trading"),"⚠ Usa una cuenta de trading",IF(AND(G3335&lt;=0,P3335&lt;&gt;"Ajuste",P3335&lt;&gt;"Resultado trading"),"⚠ El monto debe ser positivo","✓")))))))))))))))</f>
        <v/>
      </c>
      <c r="P3335" s="52">
        <f>IF(OR(B3335="",G3335=""),"",IF(C3335="","Gasto",C3335))</f>
        <v/>
      </c>
      <c r="Q3335" s="52">
        <f>IF(P3335="","",IF(J3335&lt;&gt;"",J3335,CuentaPred&amp;""))</f>
        <v/>
      </c>
      <c r="R3335" s="52">
        <f>IF(P3335="","",IF(ISNUMBER(I3335),I3335,TasaUSD))</f>
        <v/>
      </c>
      <c r="S3335" s="53">
        <f>IF(P3335="","",IF(H3335="USD",G3335*R3335,G3335))</f>
        <v/>
      </c>
      <c r="T3335" s="53">
        <f>IF(P3335="","",IF(H3335="USD",G3335,IF(R3335&gt;0,G3335/R3335,0)))</f>
        <v/>
      </c>
      <c r="U3335" s="53">
        <f>IF(P3335="","",IF(P3335="Gasto",S3335,IF(P3335="Reembolso",-S3335,0)))</f>
        <v/>
      </c>
      <c r="V3335" s="53">
        <f>IF(P3335="","",IF(P3335="Ingreso",S3335,0))</f>
        <v/>
      </c>
      <c r="W3335" s="53">
        <f>IF(P3335="","",IF(P3335="Resultado trading",S3335,0))</f>
        <v/>
      </c>
      <c r="X3335" s="52">
        <f>IF(OR(P3335="Gasto",P3335="Reembolso"),IF(M3335&lt;&gt;"",M3335,IFERROR(INDEX(catClasif,MATCH(D3335&amp;"|"&amp;E3335,catClave,0))&amp;"","Variable")),"")</f>
        <v/>
      </c>
      <c r="Y3335" s="52">
        <f>IF(P3335="","",IFERROR(INDEX(catGrupo,MATCH(D3335&amp;"|"&amp;E3335,catClave,0))&amp;"",""))</f>
        <v/>
      </c>
      <c r="Z3335" s="52">
        <f>IF(P3335="","",WEEKDAY(B3335,2))</f>
        <v/>
      </c>
      <c r="AA3335" s="52">
        <f>IF(P3335="","",IF(AND(P3335="Gasto",X3335="Variable",D3335&lt;&gt;catTrading,S3335&gt;0,S3335&lt;=Umbral),1,0))</f>
        <v/>
      </c>
      <c r="AB3335" s="52">
        <f>IF(OR(P3335="",Q3335=""),"",IFERROR(IF(INDEX(ctaVinc,MATCH(Q3335,ctaNombre,0))&amp;""&lt;&gt;"",INDEX(ctaVinc,MATCH(Q3335,ctaNombre,0))&amp;"",Q3335),Q3335))</f>
        <v/>
      </c>
      <c r="AC3335" s="52">
        <f>IF(OR(K3335="",AND(P3335&lt;&gt;"Transferencia",P3335&lt;&gt;"Pago tarjeta")),"",IFERROR(IF(INDEX(ctaVinc,MATCH(K3335,ctaNombre,0))&amp;""&lt;&gt;"",INDEX(ctaVinc,MATCH(K3335,ctaNombre,0))&amp;"",K3335),K3335))</f>
        <v/>
      </c>
      <c r="AD3335" s="52">
        <f>IF(AB3335="","",IFERROR(INDEX(ctaTipo,MATCH(AB3335,ctaNombre,0))&amp;"",""))</f>
        <v/>
      </c>
      <c r="AE3335" s="52">
        <f>IF(AC3335="","",IFERROR(INDEX(ctaTipo,MATCH(AC3335,ctaNombre,0))&amp;"",""))</f>
        <v/>
      </c>
      <c r="AF3335" s="53">
        <f>IF(OR(P3335="",AB3335=""),"",IF(OR(P3335="Gasto",P3335="Transferencia",P3335="Pago tarjeta"),-1,1)*IF(IFERROR(INDEX(ctaMoneda,MATCH(AB3335,ctaNombre,0))&amp;"","DOP")="USD",T3335,S3335))</f>
        <v/>
      </c>
      <c r="AG3335" s="53">
        <f>IF(AC3335="","",IF(IFERROR(INDEX(ctaMoneda,MATCH(AC3335,ctaNombre,0))&amp;"","DOP")="USD",T3335,S3335))</f>
        <v/>
      </c>
      <c r="AH3335" s="53">
        <f>IF(P3335="","",IF(AND(AD3335&lt;&gt;"",COUNTIFS(tcTipo,AD3335,tcLiq,"Sí")&gt;0),IF(OR(P3335="Gasto",P3335="Transferencia",P3335="Pago tarjeta"),-1,1)*S3335,0)+IF(AND(AE3335&lt;&gt;"",COUNTIFS(tcTipo,AE3335,tcLiq,"Sí")&gt;0),S3335,0))</f>
        <v/>
      </c>
      <c r="AI3335" s="52">
        <f>IF(OR(L3335="",P3335=""),"",IF(COUNTIFS(L$6:L3335,L3335,P$6:P3335,"?*")=1,MAX(AI$5:AI3334)+1,""))</f>
        <v/>
      </c>
    </row>
    <row r="3336">
      <c r="B3336" s="47" t="n"/>
      <c r="C3336" s="48" t="n"/>
      <c r="D3336" s="48" t="n"/>
      <c r="E3336" s="48" t="n"/>
      <c r="F3336" s="48" t="n"/>
      <c r="G3336" s="49" t="n"/>
      <c r="H3336" s="48" t="n"/>
      <c r="I3336" s="50" t="n"/>
      <c r="J3336" s="48" t="n"/>
      <c r="K3336" s="48" t="n"/>
      <c r="L3336" s="48" t="n"/>
      <c r="M3336" s="48" t="n"/>
      <c r="N3336" s="48" t="n"/>
      <c r="O3336" s="51">
        <f>IF(AND(B3336="",G3336="",C3336="",D3336="",J3336=""),"",IF(B3336="","⚠ Falta fecha",IF(G3336="","⚠ Falta monto",IF(Q3336="","⚠ Falta cuenta",IF(ISNA(MATCH(Q3336,ctaNombre,0)),"⚠ Cuenta no registrada",IF(AND(OR(P3336="Gasto",P3336="Reembolso"),D3336=""),"⚠ Falta categoría",IF(AND(D3336&lt;&gt;"",E3336&lt;&gt;"",ISNA(MATCH(D3336&amp;"|"&amp;E3336,catClave,0))),"⚠ Subcategoría no corresponde",IF(AND(OR(P3336="Transferencia",P3336="Pago tarjeta"),K3336=""),"⚠ Falta cuenta destino",IF(AND(K3336&lt;&gt;"",P3336&lt;&gt;"Transferencia",P3336&lt;&gt;"Pago tarjeta"),"⚠ Destino solo aplica a transferencias",IF(AND(K3336&lt;&gt;"",K3336=Q3336),"⚠ Origen igual a destino",IF(AND(K3336&lt;&gt;"",ISNA(MATCH(K3336,ctaNombre,0))),"⚠ Destino no registrado",IF(AND(P3336="Pago tarjeta",AE3336&lt;&gt;"Tarjeta de crédito"),"⚠ El destino debe ser tarjeta de crédito",IF(AND(P3336="Gasto",E3336="Depósitos y retiros"),"⚠ Usa tipo Transferencia",IF(AND(P3336="Resultado trading",AD3336&lt;&gt;"Cuenta de trading"),"⚠ Usa una cuenta de trading",IF(AND(G3336&lt;=0,P3336&lt;&gt;"Ajuste",P3336&lt;&gt;"Resultado trading"),"⚠ El monto debe ser positivo","✓")))))))))))))))</f>
        <v/>
      </c>
      <c r="P3336" s="52">
        <f>IF(OR(B3336="",G3336=""),"",IF(C3336="","Gasto",C3336))</f>
        <v/>
      </c>
      <c r="Q3336" s="52">
        <f>IF(P3336="","",IF(J3336&lt;&gt;"",J3336,CuentaPred&amp;""))</f>
        <v/>
      </c>
      <c r="R3336" s="52">
        <f>IF(P3336="","",IF(ISNUMBER(I3336),I3336,TasaUSD))</f>
        <v/>
      </c>
      <c r="S3336" s="53">
        <f>IF(P3336="","",IF(H3336="USD",G3336*R3336,G3336))</f>
        <v/>
      </c>
      <c r="T3336" s="53">
        <f>IF(P3336="","",IF(H3336="USD",G3336,IF(R3336&gt;0,G3336/R3336,0)))</f>
        <v/>
      </c>
      <c r="U3336" s="53">
        <f>IF(P3336="","",IF(P3336="Gasto",S3336,IF(P3336="Reembolso",-S3336,0)))</f>
        <v/>
      </c>
      <c r="V3336" s="53">
        <f>IF(P3336="","",IF(P3336="Ingreso",S3336,0))</f>
        <v/>
      </c>
      <c r="W3336" s="53">
        <f>IF(P3336="","",IF(P3336="Resultado trading",S3336,0))</f>
        <v/>
      </c>
      <c r="X3336" s="52">
        <f>IF(OR(P3336="Gasto",P3336="Reembolso"),IF(M3336&lt;&gt;"",M3336,IFERROR(INDEX(catClasif,MATCH(D3336&amp;"|"&amp;E3336,catClave,0))&amp;"","Variable")),"")</f>
        <v/>
      </c>
      <c r="Y3336" s="52">
        <f>IF(P3336="","",IFERROR(INDEX(catGrupo,MATCH(D3336&amp;"|"&amp;E3336,catClave,0))&amp;"",""))</f>
        <v/>
      </c>
      <c r="Z3336" s="52">
        <f>IF(P3336="","",WEEKDAY(B3336,2))</f>
        <v/>
      </c>
      <c r="AA3336" s="52">
        <f>IF(P3336="","",IF(AND(P3336="Gasto",X3336="Variable",D3336&lt;&gt;catTrading,S3336&gt;0,S3336&lt;=Umbral),1,0))</f>
        <v/>
      </c>
      <c r="AB3336" s="52">
        <f>IF(OR(P3336="",Q3336=""),"",IFERROR(IF(INDEX(ctaVinc,MATCH(Q3336,ctaNombre,0))&amp;""&lt;&gt;"",INDEX(ctaVinc,MATCH(Q3336,ctaNombre,0))&amp;"",Q3336),Q3336))</f>
        <v/>
      </c>
      <c r="AC3336" s="52">
        <f>IF(OR(K3336="",AND(P3336&lt;&gt;"Transferencia",P3336&lt;&gt;"Pago tarjeta")),"",IFERROR(IF(INDEX(ctaVinc,MATCH(K3336,ctaNombre,0))&amp;""&lt;&gt;"",INDEX(ctaVinc,MATCH(K3336,ctaNombre,0))&amp;"",K3336),K3336))</f>
        <v/>
      </c>
      <c r="AD3336" s="52">
        <f>IF(AB3336="","",IFERROR(INDEX(ctaTipo,MATCH(AB3336,ctaNombre,0))&amp;"",""))</f>
        <v/>
      </c>
      <c r="AE3336" s="52">
        <f>IF(AC3336="","",IFERROR(INDEX(ctaTipo,MATCH(AC3336,ctaNombre,0))&amp;"",""))</f>
        <v/>
      </c>
      <c r="AF3336" s="53">
        <f>IF(OR(P3336="",AB3336=""),"",IF(OR(P3336="Gasto",P3336="Transferencia",P3336="Pago tarjeta"),-1,1)*IF(IFERROR(INDEX(ctaMoneda,MATCH(AB3336,ctaNombre,0))&amp;"","DOP")="USD",T3336,S3336))</f>
        <v/>
      </c>
      <c r="AG3336" s="53">
        <f>IF(AC3336="","",IF(IFERROR(INDEX(ctaMoneda,MATCH(AC3336,ctaNombre,0))&amp;"","DOP")="USD",T3336,S3336))</f>
        <v/>
      </c>
      <c r="AH3336" s="53">
        <f>IF(P3336="","",IF(AND(AD3336&lt;&gt;"",COUNTIFS(tcTipo,AD3336,tcLiq,"Sí")&gt;0),IF(OR(P3336="Gasto",P3336="Transferencia",P3336="Pago tarjeta"),-1,1)*S3336,0)+IF(AND(AE3336&lt;&gt;"",COUNTIFS(tcTipo,AE3336,tcLiq,"Sí")&gt;0),S3336,0))</f>
        <v/>
      </c>
      <c r="AI3336" s="52">
        <f>IF(OR(L3336="",P3336=""),"",IF(COUNTIFS(L$6:L3336,L3336,P$6:P3336,"?*")=1,MAX(AI$5:AI3335)+1,""))</f>
        <v/>
      </c>
    </row>
    <row r="3337">
      <c r="B3337" s="47" t="n"/>
      <c r="C3337" s="48" t="n"/>
      <c r="D3337" s="48" t="n"/>
      <c r="E3337" s="48" t="n"/>
      <c r="F3337" s="48" t="n"/>
      <c r="G3337" s="49" t="n"/>
      <c r="H3337" s="48" t="n"/>
      <c r="I3337" s="50" t="n"/>
      <c r="J3337" s="48" t="n"/>
      <c r="K3337" s="48" t="n"/>
      <c r="L3337" s="48" t="n"/>
      <c r="M3337" s="48" t="n"/>
      <c r="N3337" s="48" t="n"/>
      <c r="O3337" s="51">
        <f>IF(AND(B3337="",G3337="",C3337="",D3337="",J3337=""),"",IF(B3337="","⚠ Falta fecha",IF(G3337="","⚠ Falta monto",IF(Q3337="","⚠ Falta cuenta",IF(ISNA(MATCH(Q3337,ctaNombre,0)),"⚠ Cuenta no registrada",IF(AND(OR(P3337="Gasto",P3337="Reembolso"),D3337=""),"⚠ Falta categoría",IF(AND(D3337&lt;&gt;"",E3337&lt;&gt;"",ISNA(MATCH(D3337&amp;"|"&amp;E3337,catClave,0))),"⚠ Subcategoría no corresponde",IF(AND(OR(P3337="Transferencia",P3337="Pago tarjeta"),K3337=""),"⚠ Falta cuenta destino",IF(AND(K3337&lt;&gt;"",P3337&lt;&gt;"Transferencia",P3337&lt;&gt;"Pago tarjeta"),"⚠ Destino solo aplica a transferencias",IF(AND(K3337&lt;&gt;"",K3337=Q3337),"⚠ Origen igual a destino",IF(AND(K3337&lt;&gt;"",ISNA(MATCH(K3337,ctaNombre,0))),"⚠ Destino no registrado",IF(AND(P3337="Pago tarjeta",AE3337&lt;&gt;"Tarjeta de crédito"),"⚠ El destino debe ser tarjeta de crédito",IF(AND(P3337="Gasto",E3337="Depósitos y retiros"),"⚠ Usa tipo Transferencia",IF(AND(P3337="Resultado trading",AD3337&lt;&gt;"Cuenta de trading"),"⚠ Usa una cuenta de trading",IF(AND(G3337&lt;=0,P3337&lt;&gt;"Ajuste",P3337&lt;&gt;"Resultado trading"),"⚠ El monto debe ser positivo","✓")))))))))))))))</f>
        <v/>
      </c>
      <c r="P3337" s="52">
        <f>IF(OR(B3337="",G3337=""),"",IF(C3337="","Gasto",C3337))</f>
        <v/>
      </c>
      <c r="Q3337" s="52">
        <f>IF(P3337="","",IF(J3337&lt;&gt;"",J3337,CuentaPred&amp;""))</f>
        <v/>
      </c>
      <c r="R3337" s="52">
        <f>IF(P3337="","",IF(ISNUMBER(I3337),I3337,TasaUSD))</f>
        <v/>
      </c>
      <c r="S3337" s="53">
        <f>IF(P3337="","",IF(H3337="USD",G3337*R3337,G3337))</f>
        <v/>
      </c>
      <c r="T3337" s="53">
        <f>IF(P3337="","",IF(H3337="USD",G3337,IF(R3337&gt;0,G3337/R3337,0)))</f>
        <v/>
      </c>
      <c r="U3337" s="53">
        <f>IF(P3337="","",IF(P3337="Gasto",S3337,IF(P3337="Reembolso",-S3337,0)))</f>
        <v/>
      </c>
      <c r="V3337" s="53">
        <f>IF(P3337="","",IF(P3337="Ingreso",S3337,0))</f>
        <v/>
      </c>
      <c r="W3337" s="53">
        <f>IF(P3337="","",IF(P3337="Resultado trading",S3337,0))</f>
        <v/>
      </c>
      <c r="X3337" s="52">
        <f>IF(OR(P3337="Gasto",P3337="Reembolso"),IF(M3337&lt;&gt;"",M3337,IFERROR(INDEX(catClasif,MATCH(D3337&amp;"|"&amp;E3337,catClave,0))&amp;"","Variable")),"")</f>
        <v/>
      </c>
      <c r="Y3337" s="52">
        <f>IF(P3337="","",IFERROR(INDEX(catGrupo,MATCH(D3337&amp;"|"&amp;E3337,catClave,0))&amp;"",""))</f>
        <v/>
      </c>
      <c r="Z3337" s="52">
        <f>IF(P3337="","",WEEKDAY(B3337,2))</f>
        <v/>
      </c>
      <c r="AA3337" s="52">
        <f>IF(P3337="","",IF(AND(P3337="Gasto",X3337="Variable",D3337&lt;&gt;catTrading,S3337&gt;0,S3337&lt;=Umbral),1,0))</f>
        <v/>
      </c>
      <c r="AB3337" s="52">
        <f>IF(OR(P3337="",Q3337=""),"",IFERROR(IF(INDEX(ctaVinc,MATCH(Q3337,ctaNombre,0))&amp;""&lt;&gt;"",INDEX(ctaVinc,MATCH(Q3337,ctaNombre,0))&amp;"",Q3337),Q3337))</f>
        <v/>
      </c>
      <c r="AC3337" s="52">
        <f>IF(OR(K3337="",AND(P3337&lt;&gt;"Transferencia",P3337&lt;&gt;"Pago tarjeta")),"",IFERROR(IF(INDEX(ctaVinc,MATCH(K3337,ctaNombre,0))&amp;""&lt;&gt;"",INDEX(ctaVinc,MATCH(K3337,ctaNombre,0))&amp;"",K3337),K3337))</f>
        <v/>
      </c>
      <c r="AD3337" s="52">
        <f>IF(AB3337="","",IFERROR(INDEX(ctaTipo,MATCH(AB3337,ctaNombre,0))&amp;"",""))</f>
        <v/>
      </c>
      <c r="AE3337" s="52">
        <f>IF(AC3337="","",IFERROR(INDEX(ctaTipo,MATCH(AC3337,ctaNombre,0))&amp;"",""))</f>
        <v/>
      </c>
      <c r="AF3337" s="53">
        <f>IF(OR(P3337="",AB3337=""),"",IF(OR(P3337="Gasto",P3337="Transferencia",P3337="Pago tarjeta"),-1,1)*IF(IFERROR(INDEX(ctaMoneda,MATCH(AB3337,ctaNombre,0))&amp;"","DOP")="USD",T3337,S3337))</f>
        <v/>
      </c>
      <c r="AG3337" s="53">
        <f>IF(AC3337="","",IF(IFERROR(INDEX(ctaMoneda,MATCH(AC3337,ctaNombre,0))&amp;"","DOP")="USD",T3337,S3337))</f>
        <v/>
      </c>
      <c r="AH3337" s="53">
        <f>IF(P3337="","",IF(AND(AD3337&lt;&gt;"",COUNTIFS(tcTipo,AD3337,tcLiq,"Sí")&gt;0),IF(OR(P3337="Gasto",P3337="Transferencia",P3337="Pago tarjeta"),-1,1)*S3337,0)+IF(AND(AE3337&lt;&gt;"",COUNTIFS(tcTipo,AE3337,tcLiq,"Sí")&gt;0),S3337,0))</f>
        <v/>
      </c>
      <c r="AI3337" s="52">
        <f>IF(OR(L3337="",P3337=""),"",IF(COUNTIFS(L$6:L3337,L3337,P$6:P3337,"?*")=1,MAX(AI$5:AI3336)+1,""))</f>
        <v/>
      </c>
    </row>
    <row r="3338">
      <c r="B3338" s="47" t="n"/>
      <c r="C3338" s="48" t="n"/>
      <c r="D3338" s="48" t="n"/>
      <c r="E3338" s="48" t="n"/>
      <c r="F3338" s="48" t="n"/>
      <c r="G3338" s="49" t="n"/>
      <c r="H3338" s="48" t="n"/>
      <c r="I3338" s="50" t="n"/>
      <c r="J3338" s="48" t="n"/>
      <c r="K3338" s="48" t="n"/>
      <c r="L3338" s="48" t="n"/>
      <c r="M3338" s="48" t="n"/>
      <c r="N3338" s="48" t="n"/>
      <c r="O3338" s="51">
        <f>IF(AND(B3338="",G3338="",C3338="",D3338="",J3338=""),"",IF(B3338="","⚠ Falta fecha",IF(G3338="","⚠ Falta monto",IF(Q3338="","⚠ Falta cuenta",IF(ISNA(MATCH(Q3338,ctaNombre,0)),"⚠ Cuenta no registrada",IF(AND(OR(P3338="Gasto",P3338="Reembolso"),D3338=""),"⚠ Falta categoría",IF(AND(D3338&lt;&gt;"",E3338&lt;&gt;"",ISNA(MATCH(D3338&amp;"|"&amp;E3338,catClave,0))),"⚠ Subcategoría no corresponde",IF(AND(OR(P3338="Transferencia",P3338="Pago tarjeta"),K3338=""),"⚠ Falta cuenta destino",IF(AND(K3338&lt;&gt;"",P3338&lt;&gt;"Transferencia",P3338&lt;&gt;"Pago tarjeta"),"⚠ Destino solo aplica a transferencias",IF(AND(K3338&lt;&gt;"",K3338=Q3338),"⚠ Origen igual a destino",IF(AND(K3338&lt;&gt;"",ISNA(MATCH(K3338,ctaNombre,0))),"⚠ Destino no registrado",IF(AND(P3338="Pago tarjeta",AE3338&lt;&gt;"Tarjeta de crédito"),"⚠ El destino debe ser tarjeta de crédito",IF(AND(P3338="Gasto",E3338="Depósitos y retiros"),"⚠ Usa tipo Transferencia",IF(AND(P3338="Resultado trading",AD3338&lt;&gt;"Cuenta de trading"),"⚠ Usa una cuenta de trading",IF(AND(G3338&lt;=0,P3338&lt;&gt;"Ajuste",P3338&lt;&gt;"Resultado trading"),"⚠ El monto debe ser positivo","✓")))))))))))))))</f>
        <v/>
      </c>
      <c r="P3338" s="52">
        <f>IF(OR(B3338="",G3338=""),"",IF(C3338="","Gasto",C3338))</f>
        <v/>
      </c>
      <c r="Q3338" s="52">
        <f>IF(P3338="","",IF(J3338&lt;&gt;"",J3338,CuentaPred&amp;""))</f>
        <v/>
      </c>
      <c r="R3338" s="52">
        <f>IF(P3338="","",IF(ISNUMBER(I3338),I3338,TasaUSD))</f>
        <v/>
      </c>
      <c r="S3338" s="53">
        <f>IF(P3338="","",IF(H3338="USD",G3338*R3338,G3338))</f>
        <v/>
      </c>
      <c r="T3338" s="53">
        <f>IF(P3338="","",IF(H3338="USD",G3338,IF(R3338&gt;0,G3338/R3338,0)))</f>
        <v/>
      </c>
      <c r="U3338" s="53">
        <f>IF(P3338="","",IF(P3338="Gasto",S3338,IF(P3338="Reembolso",-S3338,0)))</f>
        <v/>
      </c>
      <c r="V3338" s="53">
        <f>IF(P3338="","",IF(P3338="Ingreso",S3338,0))</f>
        <v/>
      </c>
      <c r="W3338" s="53">
        <f>IF(P3338="","",IF(P3338="Resultado trading",S3338,0))</f>
        <v/>
      </c>
      <c r="X3338" s="52">
        <f>IF(OR(P3338="Gasto",P3338="Reembolso"),IF(M3338&lt;&gt;"",M3338,IFERROR(INDEX(catClasif,MATCH(D3338&amp;"|"&amp;E3338,catClave,0))&amp;"","Variable")),"")</f>
        <v/>
      </c>
      <c r="Y3338" s="52">
        <f>IF(P3338="","",IFERROR(INDEX(catGrupo,MATCH(D3338&amp;"|"&amp;E3338,catClave,0))&amp;"",""))</f>
        <v/>
      </c>
      <c r="Z3338" s="52">
        <f>IF(P3338="","",WEEKDAY(B3338,2))</f>
        <v/>
      </c>
      <c r="AA3338" s="52">
        <f>IF(P3338="","",IF(AND(P3338="Gasto",X3338="Variable",D3338&lt;&gt;catTrading,S3338&gt;0,S3338&lt;=Umbral),1,0))</f>
        <v/>
      </c>
      <c r="AB3338" s="52">
        <f>IF(OR(P3338="",Q3338=""),"",IFERROR(IF(INDEX(ctaVinc,MATCH(Q3338,ctaNombre,0))&amp;""&lt;&gt;"",INDEX(ctaVinc,MATCH(Q3338,ctaNombre,0))&amp;"",Q3338),Q3338))</f>
        <v/>
      </c>
      <c r="AC3338" s="52">
        <f>IF(OR(K3338="",AND(P3338&lt;&gt;"Transferencia",P3338&lt;&gt;"Pago tarjeta")),"",IFERROR(IF(INDEX(ctaVinc,MATCH(K3338,ctaNombre,0))&amp;""&lt;&gt;"",INDEX(ctaVinc,MATCH(K3338,ctaNombre,0))&amp;"",K3338),K3338))</f>
        <v/>
      </c>
      <c r="AD3338" s="52">
        <f>IF(AB3338="","",IFERROR(INDEX(ctaTipo,MATCH(AB3338,ctaNombre,0))&amp;"",""))</f>
        <v/>
      </c>
      <c r="AE3338" s="52">
        <f>IF(AC3338="","",IFERROR(INDEX(ctaTipo,MATCH(AC3338,ctaNombre,0))&amp;"",""))</f>
        <v/>
      </c>
      <c r="AF3338" s="53">
        <f>IF(OR(P3338="",AB3338=""),"",IF(OR(P3338="Gasto",P3338="Transferencia",P3338="Pago tarjeta"),-1,1)*IF(IFERROR(INDEX(ctaMoneda,MATCH(AB3338,ctaNombre,0))&amp;"","DOP")="USD",T3338,S3338))</f>
        <v/>
      </c>
      <c r="AG3338" s="53">
        <f>IF(AC3338="","",IF(IFERROR(INDEX(ctaMoneda,MATCH(AC3338,ctaNombre,0))&amp;"","DOP")="USD",T3338,S3338))</f>
        <v/>
      </c>
      <c r="AH3338" s="53">
        <f>IF(P3338="","",IF(AND(AD3338&lt;&gt;"",COUNTIFS(tcTipo,AD3338,tcLiq,"Sí")&gt;0),IF(OR(P3338="Gasto",P3338="Transferencia",P3338="Pago tarjeta"),-1,1)*S3338,0)+IF(AND(AE3338&lt;&gt;"",COUNTIFS(tcTipo,AE3338,tcLiq,"Sí")&gt;0),S3338,0))</f>
        <v/>
      </c>
      <c r="AI3338" s="52">
        <f>IF(OR(L3338="",P3338=""),"",IF(COUNTIFS(L$6:L3338,L3338,P$6:P3338,"?*")=1,MAX(AI$5:AI3337)+1,""))</f>
        <v/>
      </c>
    </row>
    <row r="3339">
      <c r="B3339" s="47" t="n"/>
      <c r="C3339" s="48" t="n"/>
      <c r="D3339" s="48" t="n"/>
      <c r="E3339" s="48" t="n"/>
      <c r="F3339" s="48" t="n"/>
      <c r="G3339" s="49" t="n"/>
      <c r="H3339" s="48" t="n"/>
      <c r="I3339" s="50" t="n"/>
      <c r="J3339" s="48" t="n"/>
      <c r="K3339" s="48" t="n"/>
      <c r="L3339" s="48" t="n"/>
      <c r="M3339" s="48" t="n"/>
      <c r="N3339" s="48" t="n"/>
      <c r="O3339" s="51">
        <f>IF(AND(B3339="",G3339="",C3339="",D3339="",J3339=""),"",IF(B3339="","⚠ Falta fecha",IF(G3339="","⚠ Falta monto",IF(Q3339="","⚠ Falta cuenta",IF(ISNA(MATCH(Q3339,ctaNombre,0)),"⚠ Cuenta no registrada",IF(AND(OR(P3339="Gasto",P3339="Reembolso"),D3339=""),"⚠ Falta categoría",IF(AND(D3339&lt;&gt;"",E3339&lt;&gt;"",ISNA(MATCH(D3339&amp;"|"&amp;E3339,catClave,0))),"⚠ Subcategoría no corresponde",IF(AND(OR(P3339="Transferencia",P3339="Pago tarjeta"),K3339=""),"⚠ Falta cuenta destino",IF(AND(K3339&lt;&gt;"",P3339&lt;&gt;"Transferencia",P3339&lt;&gt;"Pago tarjeta"),"⚠ Destino solo aplica a transferencias",IF(AND(K3339&lt;&gt;"",K3339=Q3339),"⚠ Origen igual a destino",IF(AND(K3339&lt;&gt;"",ISNA(MATCH(K3339,ctaNombre,0))),"⚠ Destino no registrado",IF(AND(P3339="Pago tarjeta",AE3339&lt;&gt;"Tarjeta de crédito"),"⚠ El destino debe ser tarjeta de crédito",IF(AND(P3339="Gasto",E3339="Depósitos y retiros"),"⚠ Usa tipo Transferencia",IF(AND(P3339="Resultado trading",AD3339&lt;&gt;"Cuenta de trading"),"⚠ Usa una cuenta de trading",IF(AND(G3339&lt;=0,P3339&lt;&gt;"Ajuste",P3339&lt;&gt;"Resultado trading"),"⚠ El monto debe ser positivo","✓")))))))))))))))</f>
        <v/>
      </c>
      <c r="P3339" s="52">
        <f>IF(OR(B3339="",G3339=""),"",IF(C3339="","Gasto",C3339))</f>
        <v/>
      </c>
      <c r="Q3339" s="52">
        <f>IF(P3339="","",IF(J3339&lt;&gt;"",J3339,CuentaPred&amp;""))</f>
        <v/>
      </c>
      <c r="R3339" s="52">
        <f>IF(P3339="","",IF(ISNUMBER(I3339),I3339,TasaUSD))</f>
        <v/>
      </c>
      <c r="S3339" s="53">
        <f>IF(P3339="","",IF(H3339="USD",G3339*R3339,G3339))</f>
        <v/>
      </c>
      <c r="T3339" s="53">
        <f>IF(P3339="","",IF(H3339="USD",G3339,IF(R3339&gt;0,G3339/R3339,0)))</f>
        <v/>
      </c>
      <c r="U3339" s="53">
        <f>IF(P3339="","",IF(P3339="Gasto",S3339,IF(P3339="Reembolso",-S3339,0)))</f>
        <v/>
      </c>
      <c r="V3339" s="53">
        <f>IF(P3339="","",IF(P3339="Ingreso",S3339,0))</f>
        <v/>
      </c>
      <c r="W3339" s="53">
        <f>IF(P3339="","",IF(P3339="Resultado trading",S3339,0))</f>
        <v/>
      </c>
      <c r="X3339" s="52">
        <f>IF(OR(P3339="Gasto",P3339="Reembolso"),IF(M3339&lt;&gt;"",M3339,IFERROR(INDEX(catClasif,MATCH(D3339&amp;"|"&amp;E3339,catClave,0))&amp;"","Variable")),"")</f>
        <v/>
      </c>
      <c r="Y3339" s="52">
        <f>IF(P3339="","",IFERROR(INDEX(catGrupo,MATCH(D3339&amp;"|"&amp;E3339,catClave,0))&amp;"",""))</f>
        <v/>
      </c>
      <c r="Z3339" s="52">
        <f>IF(P3339="","",WEEKDAY(B3339,2))</f>
        <v/>
      </c>
      <c r="AA3339" s="52">
        <f>IF(P3339="","",IF(AND(P3339="Gasto",X3339="Variable",D3339&lt;&gt;catTrading,S3339&gt;0,S3339&lt;=Umbral),1,0))</f>
        <v/>
      </c>
      <c r="AB3339" s="52">
        <f>IF(OR(P3339="",Q3339=""),"",IFERROR(IF(INDEX(ctaVinc,MATCH(Q3339,ctaNombre,0))&amp;""&lt;&gt;"",INDEX(ctaVinc,MATCH(Q3339,ctaNombre,0))&amp;"",Q3339),Q3339))</f>
        <v/>
      </c>
      <c r="AC3339" s="52">
        <f>IF(OR(K3339="",AND(P3339&lt;&gt;"Transferencia",P3339&lt;&gt;"Pago tarjeta")),"",IFERROR(IF(INDEX(ctaVinc,MATCH(K3339,ctaNombre,0))&amp;""&lt;&gt;"",INDEX(ctaVinc,MATCH(K3339,ctaNombre,0))&amp;"",K3339),K3339))</f>
        <v/>
      </c>
      <c r="AD3339" s="52">
        <f>IF(AB3339="","",IFERROR(INDEX(ctaTipo,MATCH(AB3339,ctaNombre,0))&amp;"",""))</f>
        <v/>
      </c>
      <c r="AE3339" s="52">
        <f>IF(AC3339="","",IFERROR(INDEX(ctaTipo,MATCH(AC3339,ctaNombre,0))&amp;"",""))</f>
        <v/>
      </c>
      <c r="AF3339" s="53">
        <f>IF(OR(P3339="",AB3339=""),"",IF(OR(P3339="Gasto",P3339="Transferencia",P3339="Pago tarjeta"),-1,1)*IF(IFERROR(INDEX(ctaMoneda,MATCH(AB3339,ctaNombre,0))&amp;"","DOP")="USD",T3339,S3339))</f>
        <v/>
      </c>
      <c r="AG3339" s="53">
        <f>IF(AC3339="","",IF(IFERROR(INDEX(ctaMoneda,MATCH(AC3339,ctaNombre,0))&amp;"","DOP")="USD",T3339,S3339))</f>
        <v/>
      </c>
      <c r="AH3339" s="53">
        <f>IF(P3339="","",IF(AND(AD3339&lt;&gt;"",COUNTIFS(tcTipo,AD3339,tcLiq,"Sí")&gt;0),IF(OR(P3339="Gasto",P3339="Transferencia",P3339="Pago tarjeta"),-1,1)*S3339,0)+IF(AND(AE3339&lt;&gt;"",COUNTIFS(tcTipo,AE3339,tcLiq,"Sí")&gt;0),S3339,0))</f>
        <v/>
      </c>
      <c r="AI3339" s="52">
        <f>IF(OR(L3339="",P3339=""),"",IF(COUNTIFS(L$6:L3339,L3339,P$6:P3339,"?*")=1,MAX(AI$5:AI3338)+1,""))</f>
        <v/>
      </c>
    </row>
    <row r="3340">
      <c r="B3340" s="47" t="n"/>
      <c r="C3340" s="48" t="n"/>
      <c r="D3340" s="48" t="n"/>
      <c r="E3340" s="48" t="n"/>
      <c r="F3340" s="48" t="n"/>
      <c r="G3340" s="49" t="n"/>
      <c r="H3340" s="48" t="n"/>
      <c r="I3340" s="50" t="n"/>
      <c r="J3340" s="48" t="n"/>
      <c r="K3340" s="48" t="n"/>
      <c r="L3340" s="48" t="n"/>
      <c r="M3340" s="48" t="n"/>
      <c r="N3340" s="48" t="n"/>
      <c r="O3340" s="51">
        <f>IF(AND(B3340="",G3340="",C3340="",D3340="",J3340=""),"",IF(B3340="","⚠ Falta fecha",IF(G3340="","⚠ Falta monto",IF(Q3340="","⚠ Falta cuenta",IF(ISNA(MATCH(Q3340,ctaNombre,0)),"⚠ Cuenta no registrada",IF(AND(OR(P3340="Gasto",P3340="Reembolso"),D3340=""),"⚠ Falta categoría",IF(AND(D3340&lt;&gt;"",E3340&lt;&gt;"",ISNA(MATCH(D3340&amp;"|"&amp;E3340,catClave,0))),"⚠ Subcategoría no corresponde",IF(AND(OR(P3340="Transferencia",P3340="Pago tarjeta"),K3340=""),"⚠ Falta cuenta destino",IF(AND(K3340&lt;&gt;"",P3340&lt;&gt;"Transferencia",P3340&lt;&gt;"Pago tarjeta"),"⚠ Destino solo aplica a transferencias",IF(AND(K3340&lt;&gt;"",K3340=Q3340),"⚠ Origen igual a destino",IF(AND(K3340&lt;&gt;"",ISNA(MATCH(K3340,ctaNombre,0))),"⚠ Destino no registrado",IF(AND(P3340="Pago tarjeta",AE3340&lt;&gt;"Tarjeta de crédito"),"⚠ El destino debe ser tarjeta de crédito",IF(AND(P3340="Gasto",E3340="Depósitos y retiros"),"⚠ Usa tipo Transferencia",IF(AND(P3340="Resultado trading",AD3340&lt;&gt;"Cuenta de trading"),"⚠ Usa una cuenta de trading",IF(AND(G3340&lt;=0,P3340&lt;&gt;"Ajuste",P3340&lt;&gt;"Resultado trading"),"⚠ El monto debe ser positivo","✓")))))))))))))))</f>
        <v/>
      </c>
      <c r="P3340" s="52">
        <f>IF(OR(B3340="",G3340=""),"",IF(C3340="","Gasto",C3340))</f>
        <v/>
      </c>
      <c r="Q3340" s="52">
        <f>IF(P3340="","",IF(J3340&lt;&gt;"",J3340,CuentaPred&amp;""))</f>
        <v/>
      </c>
      <c r="R3340" s="52">
        <f>IF(P3340="","",IF(ISNUMBER(I3340),I3340,TasaUSD))</f>
        <v/>
      </c>
      <c r="S3340" s="53">
        <f>IF(P3340="","",IF(H3340="USD",G3340*R3340,G3340))</f>
        <v/>
      </c>
      <c r="T3340" s="53">
        <f>IF(P3340="","",IF(H3340="USD",G3340,IF(R3340&gt;0,G3340/R3340,0)))</f>
        <v/>
      </c>
      <c r="U3340" s="53">
        <f>IF(P3340="","",IF(P3340="Gasto",S3340,IF(P3340="Reembolso",-S3340,0)))</f>
        <v/>
      </c>
      <c r="V3340" s="53">
        <f>IF(P3340="","",IF(P3340="Ingreso",S3340,0))</f>
        <v/>
      </c>
      <c r="W3340" s="53">
        <f>IF(P3340="","",IF(P3340="Resultado trading",S3340,0))</f>
        <v/>
      </c>
      <c r="X3340" s="52">
        <f>IF(OR(P3340="Gasto",P3340="Reembolso"),IF(M3340&lt;&gt;"",M3340,IFERROR(INDEX(catClasif,MATCH(D3340&amp;"|"&amp;E3340,catClave,0))&amp;"","Variable")),"")</f>
        <v/>
      </c>
      <c r="Y3340" s="52">
        <f>IF(P3340="","",IFERROR(INDEX(catGrupo,MATCH(D3340&amp;"|"&amp;E3340,catClave,0))&amp;"",""))</f>
        <v/>
      </c>
      <c r="Z3340" s="52">
        <f>IF(P3340="","",WEEKDAY(B3340,2))</f>
        <v/>
      </c>
      <c r="AA3340" s="52">
        <f>IF(P3340="","",IF(AND(P3340="Gasto",X3340="Variable",D3340&lt;&gt;catTrading,S3340&gt;0,S3340&lt;=Umbral),1,0))</f>
        <v/>
      </c>
      <c r="AB3340" s="52">
        <f>IF(OR(P3340="",Q3340=""),"",IFERROR(IF(INDEX(ctaVinc,MATCH(Q3340,ctaNombre,0))&amp;""&lt;&gt;"",INDEX(ctaVinc,MATCH(Q3340,ctaNombre,0))&amp;"",Q3340),Q3340))</f>
        <v/>
      </c>
      <c r="AC3340" s="52">
        <f>IF(OR(K3340="",AND(P3340&lt;&gt;"Transferencia",P3340&lt;&gt;"Pago tarjeta")),"",IFERROR(IF(INDEX(ctaVinc,MATCH(K3340,ctaNombre,0))&amp;""&lt;&gt;"",INDEX(ctaVinc,MATCH(K3340,ctaNombre,0))&amp;"",K3340),K3340))</f>
        <v/>
      </c>
      <c r="AD3340" s="52">
        <f>IF(AB3340="","",IFERROR(INDEX(ctaTipo,MATCH(AB3340,ctaNombre,0))&amp;"",""))</f>
        <v/>
      </c>
      <c r="AE3340" s="52">
        <f>IF(AC3340="","",IFERROR(INDEX(ctaTipo,MATCH(AC3340,ctaNombre,0))&amp;"",""))</f>
        <v/>
      </c>
      <c r="AF3340" s="53">
        <f>IF(OR(P3340="",AB3340=""),"",IF(OR(P3340="Gasto",P3340="Transferencia",P3340="Pago tarjeta"),-1,1)*IF(IFERROR(INDEX(ctaMoneda,MATCH(AB3340,ctaNombre,0))&amp;"","DOP")="USD",T3340,S3340))</f>
        <v/>
      </c>
      <c r="AG3340" s="53">
        <f>IF(AC3340="","",IF(IFERROR(INDEX(ctaMoneda,MATCH(AC3340,ctaNombre,0))&amp;"","DOP")="USD",T3340,S3340))</f>
        <v/>
      </c>
      <c r="AH3340" s="53">
        <f>IF(P3340="","",IF(AND(AD3340&lt;&gt;"",COUNTIFS(tcTipo,AD3340,tcLiq,"Sí")&gt;0),IF(OR(P3340="Gasto",P3340="Transferencia",P3340="Pago tarjeta"),-1,1)*S3340,0)+IF(AND(AE3340&lt;&gt;"",COUNTIFS(tcTipo,AE3340,tcLiq,"Sí")&gt;0),S3340,0))</f>
        <v/>
      </c>
      <c r="AI3340" s="52">
        <f>IF(OR(L3340="",P3340=""),"",IF(COUNTIFS(L$6:L3340,L3340,P$6:P3340,"?*")=1,MAX(AI$5:AI3339)+1,""))</f>
        <v/>
      </c>
    </row>
    <row r="3341">
      <c r="B3341" s="47" t="n"/>
      <c r="C3341" s="48" t="n"/>
      <c r="D3341" s="48" t="n"/>
      <c r="E3341" s="48" t="n"/>
      <c r="F3341" s="48" t="n"/>
      <c r="G3341" s="49" t="n"/>
      <c r="H3341" s="48" t="n"/>
      <c r="I3341" s="50" t="n"/>
      <c r="J3341" s="48" t="n"/>
      <c r="K3341" s="48" t="n"/>
      <c r="L3341" s="48" t="n"/>
      <c r="M3341" s="48" t="n"/>
      <c r="N3341" s="48" t="n"/>
      <c r="O3341" s="51">
        <f>IF(AND(B3341="",G3341="",C3341="",D3341="",J3341=""),"",IF(B3341="","⚠ Falta fecha",IF(G3341="","⚠ Falta monto",IF(Q3341="","⚠ Falta cuenta",IF(ISNA(MATCH(Q3341,ctaNombre,0)),"⚠ Cuenta no registrada",IF(AND(OR(P3341="Gasto",P3341="Reembolso"),D3341=""),"⚠ Falta categoría",IF(AND(D3341&lt;&gt;"",E3341&lt;&gt;"",ISNA(MATCH(D3341&amp;"|"&amp;E3341,catClave,0))),"⚠ Subcategoría no corresponde",IF(AND(OR(P3341="Transferencia",P3341="Pago tarjeta"),K3341=""),"⚠ Falta cuenta destino",IF(AND(K3341&lt;&gt;"",P3341&lt;&gt;"Transferencia",P3341&lt;&gt;"Pago tarjeta"),"⚠ Destino solo aplica a transferencias",IF(AND(K3341&lt;&gt;"",K3341=Q3341),"⚠ Origen igual a destino",IF(AND(K3341&lt;&gt;"",ISNA(MATCH(K3341,ctaNombre,0))),"⚠ Destino no registrado",IF(AND(P3341="Pago tarjeta",AE3341&lt;&gt;"Tarjeta de crédito"),"⚠ El destino debe ser tarjeta de crédito",IF(AND(P3341="Gasto",E3341="Depósitos y retiros"),"⚠ Usa tipo Transferencia",IF(AND(P3341="Resultado trading",AD3341&lt;&gt;"Cuenta de trading"),"⚠ Usa una cuenta de trading",IF(AND(G3341&lt;=0,P3341&lt;&gt;"Ajuste",P3341&lt;&gt;"Resultado trading"),"⚠ El monto debe ser positivo","✓")))))))))))))))</f>
        <v/>
      </c>
      <c r="P3341" s="52">
        <f>IF(OR(B3341="",G3341=""),"",IF(C3341="","Gasto",C3341))</f>
        <v/>
      </c>
      <c r="Q3341" s="52">
        <f>IF(P3341="","",IF(J3341&lt;&gt;"",J3341,CuentaPred&amp;""))</f>
        <v/>
      </c>
      <c r="R3341" s="52">
        <f>IF(P3341="","",IF(ISNUMBER(I3341),I3341,TasaUSD))</f>
        <v/>
      </c>
      <c r="S3341" s="53">
        <f>IF(P3341="","",IF(H3341="USD",G3341*R3341,G3341))</f>
        <v/>
      </c>
      <c r="T3341" s="53">
        <f>IF(P3341="","",IF(H3341="USD",G3341,IF(R3341&gt;0,G3341/R3341,0)))</f>
        <v/>
      </c>
      <c r="U3341" s="53">
        <f>IF(P3341="","",IF(P3341="Gasto",S3341,IF(P3341="Reembolso",-S3341,0)))</f>
        <v/>
      </c>
      <c r="V3341" s="53">
        <f>IF(P3341="","",IF(P3341="Ingreso",S3341,0))</f>
        <v/>
      </c>
      <c r="W3341" s="53">
        <f>IF(P3341="","",IF(P3341="Resultado trading",S3341,0))</f>
        <v/>
      </c>
      <c r="X3341" s="52">
        <f>IF(OR(P3341="Gasto",P3341="Reembolso"),IF(M3341&lt;&gt;"",M3341,IFERROR(INDEX(catClasif,MATCH(D3341&amp;"|"&amp;E3341,catClave,0))&amp;"","Variable")),"")</f>
        <v/>
      </c>
      <c r="Y3341" s="52">
        <f>IF(P3341="","",IFERROR(INDEX(catGrupo,MATCH(D3341&amp;"|"&amp;E3341,catClave,0))&amp;"",""))</f>
        <v/>
      </c>
      <c r="Z3341" s="52">
        <f>IF(P3341="","",WEEKDAY(B3341,2))</f>
        <v/>
      </c>
      <c r="AA3341" s="52">
        <f>IF(P3341="","",IF(AND(P3341="Gasto",X3341="Variable",D3341&lt;&gt;catTrading,S3341&gt;0,S3341&lt;=Umbral),1,0))</f>
        <v/>
      </c>
      <c r="AB3341" s="52">
        <f>IF(OR(P3341="",Q3341=""),"",IFERROR(IF(INDEX(ctaVinc,MATCH(Q3341,ctaNombre,0))&amp;""&lt;&gt;"",INDEX(ctaVinc,MATCH(Q3341,ctaNombre,0))&amp;"",Q3341),Q3341))</f>
        <v/>
      </c>
      <c r="AC3341" s="52">
        <f>IF(OR(K3341="",AND(P3341&lt;&gt;"Transferencia",P3341&lt;&gt;"Pago tarjeta")),"",IFERROR(IF(INDEX(ctaVinc,MATCH(K3341,ctaNombre,0))&amp;""&lt;&gt;"",INDEX(ctaVinc,MATCH(K3341,ctaNombre,0))&amp;"",K3341),K3341))</f>
        <v/>
      </c>
      <c r="AD3341" s="52">
        <f>IF(AB3341="","",IFERROR(INDEX(ctaTipo,MATCH(AB3341,ctaNombre,0))&amp;"",""))</f>
        <v/>
      </c>
      <c r="AE3341" s="52">
        <f>IF(AC3341="","",IFERROR(INDEX(ctaTipo,MATCH(AC3341,ctaNombre,0))&amp;"",""))</f>
        <v/>
      </c>
      <c r="AF3341" s="53">
        <f>IF(OR(P3341="",AB3341=""),"",IF(OR(P3341="Gasto",P3341="Transferencia",P3341="Pago tarjeta"),-1,1)*IF(IFERROR(INDEX(ctaMoneda,MATCH(AB3341,ctaNombre,0))&amp;"","DOP")="USD",T3341,S3341))</f>
        <v/>
      </c>
      <c r="AG3341" s="53">
        <f>IF(AC3341="","",IF(IFERROR(INDEX(ctaMoneda,MATCH(AC3341,ctaNombre,0))&amp;"","DOP")="USD",T3341,S3341))</f>
        <v/>
      </c>
      <c r="AH3341" s="53">
        <f>IF(P3341="","",IF(AND(AD3341&lt;&gt;"",COUNTIFS(tcTipo,AD3341,tcLiq,"Sí")&gt;0),IF(OR(P3341="Gasto",P3341="Transferencia",P3341="Pago tarjeta"),-1,1)*S3341,0)+IF(AND(AE3341&lt;&gt;"",COUNTIFS(tcTipo,AE3341,tcLiq,"Sí")&gt;0),S3341,0))</f>
        <v/>
      </c>
      <c r="AI3341" s="52">
        <f>IF(OR(L3341="",P3341=""),"",IF(COUNTIFS(L$6:L3341,L3341,P$6:P3341,"?*")=1,MAX(AI$5:AI3340)+1,""))</f>
        <v/>
      </c>
    </row>
    <row r="3342">
      <c r="B3342" s="47" t="n"/>
      <c r="C3342" s="48" t="n"/>
      <c r="D3342" s="48" t="n"/>
      <c r="E3342" s="48" t="n"/>
      <c r="F3342" s="48" t="n"/>
      <c r="G3342" s="49" t="n"/>
      <c r="H3342" s="48" t="n"/>
      <c r="I3342" s="50" t="n"/>
      <c r="J3342" s="48" t="n"/>
      <c r="K3342" s="48" t="n"/>
      <c r="L3342" s="48" t="n"/>
      <c r="M3342" s="48" t="n"/>
      <c r="N3342" s="48" t="n"/>
      <c r="O3342" s="51">
        <f>IF(AND(B3342="",G3342="",C3342="",D3342="",J3342=""),"",IF(B3342="","⚠ Falta fecha",IF(G3342="","⚠ Falta monto",IF(Q3342="","⚠ Falta cuenta",IF(ISNA(MATCH(Q3342,ctaNombre,0)),"⚠ Cuenta no registrada",IF(AND(OR(P3342="Gasto",P3342="Reembolso"),D3342=""),"⚠ Falta categoría",IF(AND(D3342&lt;&gt;"",E3342&lt;&gt;"",ISNA(MATCH(D3342&amp;"|"&amp;E3342,catClave,0))),"⚠ Subcategoría no corresponde",IF(AND(OR(P3342="Transferencia",P3342="Pago tarjeta"),K3342=""),"⚠ Falta cuenta destino",IF(AND(K3342&lt;&gt;"",P3342&lt;&gt;"Transferencia",P3342&lt;&gt;"Pago tarjeta"),"⚠ Destino solo aplica a transferencias",IF(AND(K3342&lt;&gt;"",K3342=Q3342),"⚠ Origen igual a destino",IF(AND(K3342&lt;&gt;"",ISNA(MATCH(K3342,ctaNombre,0))),"⚠ Destino no registrado",IF(AND(P3342="Pago tarjeta",AE3342&lt;&gt;"Tarjeta de crédito"),"⚠ El destino debe ser tarjeta de crédito",IF(AND(P3342="Gasto",E3342="Depósitos y retiros"),"⚠ Usa tipo Transferencia",IF(AND(P3342="Resultado trading",AD3342&lt;&gt;"Cuenta de trading"),"⚠ Usa una cuenta de trading",IF(AND(G3342&lt;=0,P3342&lt;&gt;"Ajuste",P3342&lt;&gt;"Resultado trading"),"⚠ El monto debe ser positivo","✓")))))))))))))))</f>
        <v/>
      </c>
      <c r="P3342" s="52">
        <f>IF(OR(B3342="",G3342=""),"",IF(C3342="","Gasto",C3342))</f>
        <v/>
      </c>
      <c r="Q3342" s="52">
        <f>IF(P3342="","",IF(J3342&lt;&gt;"",J3342,CuentaPred&amp;""))</f>
        <v/>
      </c>
      <c r="R3342" s="52">
        <f>IF(P3342="","",IF(ISNUMBER(I3342),I3342,TasaUSD))</f>
        <v/>
      </c>
      <c r="S3342" s="53">
        <f>IF(P3342="","",IF(H3342="USD",G3342*R3342,G3342))</f>
        <v/>
      </c>
      <c r="T3342" s="53">
        <f>IF(P3342="","",IF(H3342="USD",G3342,IF(R3342&gt;0,G3342/R3342,0)))</f>
        <v/>
      </c>
      <c r="U3342" s="53">
        <f>IF(P3342="","",IF(P3342="Gasto",S3342,IF(P3342="Reembolso",-S3342,0)))</f>
        <v/>
      </c>
      <c r="V3342" s="53">
        <f>IF(P3342="","",IF(P3342="Ingreso",S3342,0))</f>
        <v/>
      </c>
      <c r="W3342" s="53">
        <f>IF(P3342="","",IF(P3342="Resultado trading",S3342,0))</f>
        <v/>
      </c>
      <c r="X3342" s="52">
        <f>IF(OR(P3342="Gasto",P3342="Reembolso"),IF(M3342&lt;&gt;"",M3342,IFERROR(INDEX(catClasif,MATCH(D3342&amp;"|"&amp;E3342,catClave,0))&amp;"","Variable")),"")</f>
        <v/>
      </c>
      <c r="Y3342" s="52">
        <f>IF(P3342="","",IFERROR(INDEX(catGrupo,MATCH(D3342&amp;"|"&amp;E3342,catClave,0))&amp;"",""))</f>
        <v/>
      </c>
      <c r="Z3342" s="52">
        <f>IF(P3342="","",WEEKDAY(B3342,2))</f>
        <v/>
      </c>
      <c r="AA3342" s="52">
        <f>IF(P3342="","",IF(AND(P3342="Gasto",X3342="Variable",D3342&lt;&gt;catTrading,S3342&gt;0,S3342&lt;=Umbral),1,0))</f>
        <v/>
      </c>
      <c r="AB3342" s="52">
        <f>IF(OR(P3342="",Q3342=""),"",IFERROR(IF(INDEX(ctaVinc,MATCH(Q3342,ctaNombre,0))&amp;""&lt;&gt;"",INDEX(ctaVinc,MATCH(Q3342,ctaNombre,0))&amp;"",Q3342),Q3342))</f>
        <v/>
      </c>
      <c r="AC3342" s="52">
        <f>IF(OR(K3342="",AND(P3342&lt;&gt;"Transferencia",P3342&lt;&gt;"Pago tarjeta")),"",IFERROR(IF(INDEX(ctaVinc,MATCH(K3342,ctaNombre,0))&amp;""&lt;&gt;"",INDEX(ctaVinc,MATCH(K3342,ctaNombre,0))&amp;"",K3342),K3342))</f>
        <v/>
      </c>
      <c r="AD3342" s="52">
        <f>IF(AB3342="","",IFERROR(INDEX(ctaTipo,MATCH(AB3342,ctaNombre,0))&amp;"",""))</f>
        <v/>
      </c>
      <c r="AE3342" s="52">
        <f>IF(AC3342="","",IFERROR(INDEX(ctaTipo,MATCH(AC3342,ctaNombre,0))&amp;"",""))</f>
        <v/>
      </c>
      <c r="AF3342" s="53">
        <f>IF(OR(P3342="",AB3342=""),"",IF(OR(P3342="Gasto",P3342="Transferencia",P3342="Pago tarjeta"),-1,1)*IF(IFERROR(INDEX(ctaMoneda,MATCH(AB3342,ctaNombre,0))&amp;"","DOP")="USD",T3342,S3342))</f>
        <v/>
      </c>
      <c r="AG3342" s="53">
        <f>IF(AC3342="","",IF(IFERROR(INDEX(ctaMoneda,MATCH(AC3342,ctaNombre,0))&amp;"","DOP")="USD",T3342,S3342))</f>
        <v/>
      </c>
      <c r="AH3342" s="53">
        <f>IF(P3342="","",IF(AND(AD3342&lt;&gt;"",COUNTIFS(tcTipo,AD3342,tcLiq,"Sí")&gt;0),IF(OR(P3342="Gasto",P3342="Transferencia",P3342="Pago tarjeta"),-1,1)*S3342,0)+IF(AND(AE3342&lt;&gt;"",COUNTIFS(tcTipo,AE3342,tcLiq,"Sí")&gt;0),S3342,0))</f>
        <v/>
      </c>
      <c r="AI3342" s="52">
        <f>IF(OR(L3342="",P3342=""),"",IF(COUNTIFS(L$6:L3342,L3342,P$6:P3342,"?*")=1,MAX(AI$5:AI3341)+1,""))</f>
        <v/>
      </c>
    </row>
    <row r="3343">
      <c r="B3343" s="47" t="n"/>
      <c r="C3343" s="48" t="n"/>
      <c r="D3343" s="48" t="n"/>
      <c r="E3343" s="48" t="n"/>
      <c r="F3343" s="48" t="n"/>
      <c r="G3343" s="49" t="n"/>
      <c r="H3343" s="48" t="n"/>
      <c r="I3343" s="50" t="n"/>
      <c r="J3343" s="48" t="n"/>
      <c r="K3343" s="48" t="n"/>
      <c r="L3343" s="48" t="n"/>
      <c r="M3343" s="48" t="n"/>
      <c r="N3343" s="48" t="n"/>
      <c r="O3343" s="51">
        <f>IF(AND(B3343="",G3343="",C3343="",D3343="",J3343=""),"",IF(B3343="","⚠ Falta fecha",IF(G3343="","⚠ Falta monto",IF(Q3343="","⚠ Falta cuenta",IF(ISNA(MATCH(Q3343,ctaNombre,0)),"⚠ Cuenta no registrada",IF(AND(OR(P3343="Gasto",P3343="Reembolso"),D3343=""),"⚠ Falta categoría",IF(AND(D3343&lt;&gt;"",E3343&lt;&gt;"",ISNA(MATCH(D3343&amp;"|"&amp;E3343,catClave,0))),"⚠ Subcategoría no corresponde",IF(AND(OR(P3343="Transferencia",P3343="Pago tarjeta"),K3343=""),"⚠ Falta cuenta destino",IF(AND(K3343&lt;&gt;"",P3343&lt;&gt;"Transferencia",P3343&lt;&gt;"Pago tarjeta"),"⚠ Destino solo aplica a transferencias",IF(AND(K3343&lt;&gt;"",K3343=Q3343),"⚠ Origen igual a destino",IF(AND(K3343&lt;&gt;"",ISNA(MATCH(K3343,ctaNombre,0))),"⚠ Destino no registrado",IF(AND(P3343="Pago tarjeta",AE3343&lt;&gt;"Tarjeta de crédito"),"⚠ El destino debe ser tarjeta de crédito",IF(AND(P3343="Gasto",E3343="Depósitos y retiros"),"⚠ Usa tipo Transferencia",IF(AND(P3343="Resultado trading",AD3343&lt;&gt;"Cuenta de trading"),"⚠ Usa una cuenta de trading",IF(AND(G3343&lt;=0,P3343&lt;&gt;"Ajuste",P3343&lt;&gt;"Resultado trading"),"⚠ El monto debe ser positivo","✓")))))))))))))))</f>
        <v/>
      </c>
      <c r="P3343" s="52">
        <f>IF(OR(B3343="",G3343=""),"",IF(C3343="","Gasto",C3343))</f>
        <v/>
      </c>
      <c r="Q3343" s="52">
        <f>IF(P3343="","",IF(J3343&lt;&gt;"",J3343,CuentaPred&amp;""))</f>
        <v/>
      </c>
      <c r="R3343" s="52">
        <f>IF(P3343="","",IF(ISNUMBER(I3343),I3343,TasaUSD))</f>
        <v/>
      </c>
      <c r="S3343" s="53">
        <f>IF(P3343="","",IF(H3343="USD",G3343*R3343,G3343))</f>
        <v/>
      </c>
      <c r="T3343" s="53">
        <f>IF(P3343="","",IF(H3343="USD",G3343,IF(R3343&gt;0,G3343/R3343,0)))</f>
        <v/>
      </c>
      <c r="U3343" s="53">
        <f>IF(P3343="","",IF(P3343="Gasto",S3343,IF(P3343="Reembolso",-S3343,0)))</f>
        <v/>
      </c>
      <c r="V3343" s="53">
        <f>IF(P3343="","",IF(P3343="Ingreso",S3343,0))</f>
        <v/>
      </c>
      <c r="W3343" s="53">
        <f>IF(P3343="","",IF(P3343="Resultado trading",S3343,0))</f>
        <v/>
      </c>
      <c r="X3343" s="52">
        <f>IF(OR(P3343="Gasto",P3343="Reembolso"),IF(M3343&lt;&gt;"",M3343,IFERROR(INDEX(catClasif,MATCH(D3343&amp;"|"&amp;E3343,catClave,0))&amp;"","Variable")),"")</f>
        <v/>
      </c>
      <c r="Y3343" s="52">
        <f>IF(P3343="","",IFERROR(INDEX(catGrupo,MATCH(D3343&amp;"|"&amp;E3343,catClave,0))&amp;"",""))</f>
        <v/>
      </c>
      <c r="Z3343" s="52">
        <f>IF(P3343="","",WEEKDAY(B3343,2))</f>
        <v/>
      </c>
      <c r="AA3343" s="52">
        <f>IF(P3343="","",IF(AND(P3343="Gasto",X3343="Variable",D3343&lt;&gt;catTrading,S3343&gt;0,S3343&lt;=Umbral),1,0))</f>
        <v/>
      </c>
      <c r="AB3343" s="52">
        <f>IF(OR(P3343="",Q3343=""),"",IFERROR(IF(INDEX(ctaVinc,MATCH(Q3343,ctaNombre,0))&amp;""&lt;&gt;"",INDEX(ctaVinc,MATCH(Q3343,ctaNombre,0))&amp;"",Q3343),Q3343))</f>
        <v/>
      </c>
      <c r="AC3343" s="52">
        <f>IF(OR(K3343="",AND(P3343&lt;&gt;"Transferencia",P3343&lt;&gt;"Pago tarjeta")),"",IFERROR(IF(INDEX(ctaVinc,MATCH(K3343,ctaNombre,0))&amp;""&lt;&gt;"",INDEX(ctaVinc,MATCH(K3343,ctaNombre,0))&amp;"",K3343),K3343))</f>
        <v/>
      </c>
      <c r="AD3343" s="52">
        <f>IF(AB3343="","",IFERROR(INDEX(ctaTipo,MATCH(AB3343,ctaNombre,0))&amp;"",""))</f>
        <v/>
      </c>
      <c r="AE3343" s="52">
        <f>IF(AC3343="","",IFERROR(INDEX(ctaTipo,MATCH(AC3343,ctaNombre,0))&amp;"",""))</f>
        <v/>
      </c>
      <c r="AF3343" s="53">
        <f>IF(OR(P3343="",AB3343=""),"",IF(OR(P3343="Gasto",P3343="Transferencia",P3343="Pago tarjeta"),-1,1)*IF(IFERROR(INDEX(ctaMoneda,MATCH(AB3343,ctaNombre,0))&amp;"","DOP")="USD",T3343,S3343))</f>
        <v/>
      </c>
      <c r="AG3343" s="53">
        <f>IF(AC3343="","",IF(IFERROR(INDEX(ctaMoneda,MATCH(AC3343,ctaNombre,0))&amp;"","DOP")="USD",T3343,S3343))</f>
        <v/>
      </c>
      <c r="AH3343" s="53">
        <f>IF(P3343="","",IF(AND(AD3343&lt;&gt;"",COUNTIFS(tcTipo,AD3343,tcLiq,"Sí")&gt;0),IF(OR(P3343="Gasto",P3343="Transferencia",P3343="Pago tarjeta"),-1,1)*S3343,0)+IF(AND(AE3343&lt;&gt;"",COUNTIFS(tcTipo,AE3343,tcLiq,"Sí")&gt;0),S3343,0))</f>
        <v/>
      </c>
      <c r="AI3343" s="52">
        <f>IF(OR(L3343="",P3343=""),"",IF(COUNTIFS(L$6:L3343,L3343,P$6:P3343,"?*")=1,MAX(AI$5:AI3342)+1,""))</f>
        <v/>
      </c>
    </row>
    <row r="3344">
      <c r="B3344" s="47" t="n"/>
      <c r="C3344" s="48" t="n"/>
      <c r="D3344" s="48" t="n"/>
      <c r="E3344" s="48" t="n"/>
      <c r="F3344" s="48" t="n"/>
      <c r="G3344" s="49" t="n"/>
      <c r="H3344" s="48" t="n"/>
      <c r="I3344" s="50" t="n"/>
      <c r="J3344" s="48" t="n"/>
      <c r="K3344" s="48" t="n"/>
      <c r="L3344" s="48" t="n"/>
      <c r="M3344" s="48" t="n"/>
      <c r="N3344" s="48" t="n"/>
      <c r="O3344" s="51">
        <f>IF(AND(B3344="",G3344="",C3344="",D3344="",J3344=""),"",IF(B3344="","⚠ Falta fecha",IF(G3344="","⚠ Falta monto",IF(Q3344="","⚠ Falta cuenta",IF(ISNA(MATCH(Q3344,ctaNombre,0)),"⚠ Cuenta no registrada",IF(AND(OR(P3344="Gasto",P3344="Reembolso"),D3344=""),"⚠ Falta categoría",IF(AND(D3344&lt;&gt;"",E3344&lt;&gt;"",ISNA(MATCH(D3344&amp;"|"&amp;E3344,catClave,0))),"⚠ Subcategoría no corresponde",IF(AND(OR(P3344="Transferencia",P3344="Pago tarjeta"),K3344=""),"⚠ Falta cuenta destino",IF(AND(K3344&lt;&gt;"",P3344&lt;&gt;"Transferencia",P3344&lt;&gt;"Pago tarjeta"),"⚠ Destino solo aplica a transferencias",IF(AND(K3344&lt;&gt;"",K3344=Q3344),"⚠ Origen igual a destino",IF(AND(K3344&lt;&gt;"",ISNA(MATCH(K3344,ctaNombre,0))),"⚠ Destino no registrado",IF(AND(P3344="Pago tarjeta",AE3344&lt;&gt;"Tarjeta de crédito"),"⚠ El destino debe ser tarjeta de crédito",IF(AND(P3344="Gasto",E3344="Depósitos y retiros"),"⚠ Usa tipo Transferencia",IF(AND(P3344="Resultado trading",AD3344&lt;&gt;"Cuenta de trading"),"⚠ Usa una cuenta de trading",IF(AND(G3344&lt;=0,P3344&lt;&gt;"Ajuste",P3344&lt;&gt;"Resultado trading"),"⚠ El monto debe ser positivo","✓")))))))))))))))</f>
        <v/>
      </c>
      <c r="P3344" s="52">
        <f>IF(OR(B3344="",G3344=""),"",IF(C3344="","Gasto",C3344))</f>
        <v/>
      </c>
      <c r="Q3344" s="52">
        <f>IF(P3344="","",IF(J3344&lt;&gt;"",J3344,CuentaPred&amp;""))</f>
        <v/>
      </c>
      <c r="R3344" s="52">
        <f>IF(P3344="","",IF(ISNUMBER(I3344),I3344,TasaUSD))</f>
        <v/>
      </c>
      <c r="S3344" s="53">
        <f>IF(P3344="","",IF(H3344="USD",G3344*R3344,G3344))</f>
        <v/>
      </c>
      <c r="T3344" s="53">
        <f>IF(P3344="","",IF(H3344="USD",G3344,IF(R3344&gt;0,G3344/R3344,0)))</f>
        <v/>
      </c>
      <c r="U3344" s="53">
        <f>IF(P3344="","",IF(P3344="Gasto",S3344,IF(P3344="Reembolso",-S3344,0)))</f>
        <v/>
      </c>
      <c r="V3344" s="53">
        <f>IF(P3344="","",IF(P3344="Ingreso",S3344,0))</f>
        <v/>
      </c>
      <c r="W3344" s="53">
        <f>IF(P3344="","",IF(P3344="Resultado trading",S3344,0))</f>
        <v/>
      </c>
      <c r="X3344" s="52">
        <f>IF(OR(P3344="Gasto",P3344="Reembolso"),IF(M3344&lt;&gt;"",M3344,IFERROR(INDEX(catClasif,MATCH(D3344&amp;"|"&amp;E3344,catClave,0))&amp;"","Variable")),"")</f>
        <v/>
      </c>
      <c r="Y3344" s="52">
        <f>IF(P3344="","",IFERROR(INDEX(catGrupo,MATCH(D3344&amp;"|"&amp;E3344,catClave,0))&amp;"",""))</f>
        <v/>
      </c>
      <c r="Z3344" s="52">
        <f>IF(P3344="","",WEEKDAY(B3344,2))</f>
        <v/>
      </c>
      <c r="AA3344" s="52">
        <f>IF(P3344="","",IF(AND(P3344="Gasto",X3344="Variable",D3344&lt;&gt;catTrading,S3344&gt;0,S3344&lt;=Umbral),1,0))</f>
        <v/>
      </c>
      <c r="AB3344" s="52">
        <f>IF(OR(P3344="",Q3344=""),"",IFERROR(IF(INDEX(ctaVinc,MATCH(Q3344,ctaNombre,0))&amp;""&lt;&gt;"",INDEX(ctaVinc,MATCH(Q3344,ctaNombre,0))&amp;"",Q3344),Q3344))</f>
        <v/>
      </c>
      <c r="AC3344" s="52">
        <f>IF(OR(K3344="",AND(P3344&lt;&gt;"Transferencia",P3344&lt;&gt;"Pago tarjeta")),"",IFERROR(IF(INDEX(ctaVinc,MATCH(K3344,ctaNombre,0))&amp;""&lt;&gt;"",INDEX(ctaVinc,MATCH(K3344,ctaNombre,0))&amp;"",K3344),K3344))</f>
        <v/>
      </c>
      <c r="AD3344" s="52">
        <f>IF(AB3344="","",IFERROR(INDEX(ctaTipo,MATCH(AB3344,ctaNombre,0))&amp;"",""))</f>
        <v/>
      </c>
      <c r="AE3344" s="52">
        <f>IF(AC3344="","",IFERROR(INDEX(ctaTipo,MATCH(AC3344,ctaNombre,0))&amp;"",""))</f>
        <v/>
      </c>
      <c r="AF3344" s="53">
        <f>IF(OR(P3344="",AB3344=""),"",IF(OR(P3344="Gasto",P3344="Transferencia",P3344="Pago tarjeta"),-1,1)*IF(IFERROR(INDEX(ctaMoneda,MATCH(AB3344,ctaNombre,0))&amp;"","DOP")="USD",T3344,S3344))</f>
        <v/>
      </c>
      <c r="AG3344" s="53">
        <f>IF(AC3344="","",IF(IFERROR(INDEX(ctaMoneda,MATCH(AC3344,ctaNombre,0))&amp;"","DOP")="USD",T3344,S3344))</f>
        <v/>
      </c>
      <c r="AH3344" s="53">
        <f>IF(P3344="","",IF(AND(AD3344&lt;&gt;"",COUNTIFS(tcTipo,AD3344,tcLiq,"Sí")&gt;0),IF(OR(P3344="Gasto",P3344="Transferencia",P3344="Pago tarjeta"),-1,1)*S3344,0)+IF(AND(AE3344&lt;&gt;"",COUNTIFS(tcTipo,AE3344,tcLiq,"Sí")&gt;0),S3344,0))</f>
        <v/>
      </c>
      <c r="AI3344" s="52">
        <f>IF(OR(L3344="",P3344=""),"",IF(COUNTIFS(L$6:L3344,L3344,P$6:P3344,"?*")=1,MAX(AI$5:AI3343)+1,""))</f>
        <v/>
      </c>
    </row>
    <row r="3345">
      <c r="B3345" s="47" t="n"/>
      <c r="C3345" s="48" t="n"/>
      <c r="D3345" s="48" t="n"/>
      <c r="E3345" s="48" t="n"/>
      <c r="F3345" s="48" t="n"/>
      <c r="G3345" s="49" t="n"/>
      <c r="H3345" s="48" t="n"/>
      <c r="I3345" s="50" t="n"/>
      <c r="J3345" s="48" t="n"/>
      <c r="K3345" s="48" t="n"/>
      <c r="L3345" s="48" t="n"/>
      <c r="M3345" s="48" t="n"/>
      <c r="N3345" s="48" t="n"/>
      <c r="O3345" s="51">
        <f>IF(AND(B3345="",G3345="",C3345="",D3345="",J3345=""),"",IF(B3345="","⚠ Falta fecha",IF(G3345="","⚠ Falta monto",IF(Q3345="","⚠ Falta cuenta",IF(ISNA(MATCH(Q3345,ctaNombre,0)),"⚠ Cuenta no registrada",IF(AND(OR(P3345="Gasto",P3345="Reembolso"),D3345=""),"⚠ Falta categoría",IF(AND(D3345&lt;&gt;"",E3345&lt;&gt;"",ISNA(MATCH(D3345&amp;"|"&amp;E3345,catClave,0))),"⚠ Subcategoría no corresponde",IF(AND(OR(P3345="Transferencia",P3345="Pago tarjeta"),K3345=""),"⚠ Falta cuenta destino",IF(AND(K3345&lt;&gt;"",P3345&lt;&gt;"Transferencia",P3345&lt;&gt;"Pago tarjeta"),"⚠ Destino solo aplica a transferencias",IF(AND(K3345&lt;&gt;"",K3345=Q3345),"⚠ Origen igual a destino",IF(AND(K3345&lt;&gt;"",ISNA(MATCH(K3345,ctaNombre,0))),"⚠ Destino no registrado",IF(AND(P3345="Pago tarjeta",AE3345&lt;&gt;"Tarjeta de crédito"),"⚠ El destino debe ser tarjeta de crédito",IF(AND(P3345="Gasto",E3345="Depósitos y retiros"),"⚠ Usa tipo Transferencia",IF(AND(P3345="Resultado trading",AD3345&lt;&gt;"Cuenta de trading"),"⚠ Usa una cuenta de trading",IF(AND(G3345&lt;=0,P3345&lt;&gt;"Ajuste",P3345&lt;&gt;"Resultado trading"),"⚠ El monto debe ser positivo","✓")))))))))))))))</f>
        <v/>
      </c>
      <c r="P3345" s="52">
        <f>IF(OR(B3345="",G3345=""),"",IF(C3345="","Gasto",C3345))</f>
        <v/>
      </c>
      <c r="Q3345" s="52">
        <f>IF(P3345="","",IF(J3345&lt;&gt;"",J3345,CuentaPred&amp;""))</f>
        <v/>
      </c>
      <c r="R3345" s="52">
        <f>IF(P3345="","",IF(ISNUMBER(I3345),I3345,TasaUSD))</f>
        <v/>
      </c>
      <c r="S3345" s="53">
        <f>IF(P3345="","",IF(H3345="USD",G3345*R3345,G3345))</f>
        <v/>
      </c>
      <c r="T3345" s="53">
        <f>IF(P3345="","",IF(H3345="USD",G3345,IF(R3345&gt;0,G3345/R3345,0)))</f>
        <v/>
      </c>
      <c r="U3345" s="53">
        <f>IF(P3345="","",IF(P3345="Gasto",S3345,IF(P3345="Reembolso",-S3345,0)))</f>
        <v/>
      </c>
      <c r="V3345" s="53">
        <f>IF(P3345="","",IF(P3345="Ingreso",S3345,0))</f>
        <v/>
      </c>
      <c r="W3345" s="53">
        <f>IF(P3345="","",IF(P3345="Resultado trading",S3345,0))</f>
        <v/>
      </c>
      <c r="X3345" s="52">
        <f>IF(OR(P3345="Gasto",P3345="Reembolso"),IF(M3345&lt;&gt;"",M3345,IFERROR(INDEX(catClasif,MATCH(D3345&amp;"|"&amp;E3345,catClave,0))&amp;"","Variable")),"")</f>
        <v/>
      </c>
      <c r="Y3345" s="52">
        <f>IF(P3345="","",IFERROR(INDEX(catGrupo,MATCH(D3345&amp;"|"&amp;E3345,catClave,0))&amp;"",""))</f>
        <v/>
      </c>
      <c r="Z3345" s="52">
        <f>IF(P3345="","",WEEKDAY(B3345,2))</f>
        <v/>
      </c>
      <c r="AA3345" s="52">
        <f>IF(P3345="","",IF(AND(P3345="Gasto",X3345="Variable",D3345&lt;&gt;catTrading,S3345&gt;0,S3345&lt;=Umbral),1,0))</f>
        <v/>
      </c>
      <c r="AB3345" s="52">
        <f>IF(OR(P3345="",Q3345=""),"",IFERROR(IF(INDEX(ctaVinc,MATCH(Q3345,ctaNombre,0))&amp;""&lt;&gt;"",INDEX(ctaVinc,MATCH(Q3345,ctaNombre,0))&amp;"",Q3345),Q3345))</f>
        <v/>
      </c>
      <c r="AC3345" s="52">
        <f>IF(OR(K3345="",AND(P3345&lt;&gt;"Transferencia",P3345&lt;&gt;"Pago tarjeta")),"",IFERROR(IF(INDEX(ctaVinc,MATCH(K3345,ctaNombre,0))&amp;""&lt;&gt;"",INDEX(ctaVinc,MATCH(K3345,ctaNombre,0))&amp;"",K3345),K3345))</f>
        <v/>
      </c>
      <c r="AD3345" s="52">
        <f>IF(AB3345="","",IFERROR(INDEX(ctaTipo,MATCH(AB3345,ctaNombre,0))&amp;"",""))</f>
        <v/>
      </c>
      <c r="AE3345" s="52">
        <f>IF(AC3345="","",IFERROR(INDEX(ctaTipo,MATCH(AC3345,ctaNombre,0))&amp;"",""))</f>
        <v/>
      </c>
      <c r="AF3345" s="53">
        <f>IF(OR(P3345="",AB3345=""),"",IF(OR(P3345="Gasto",P3345="Transferencia",P3345="Pago tarjeta"),-1,1)*IF(IFERROR(INDEX(ctaMoneda,MATCH(AB3345,ctaNombre,0))&amp;"","DOP")="USD",T3345,S3345))</f>
        <v/>
      </c>
      <c r="AG3345" s="53">
        <f>IF(AC3345="","",IF(IFERROR(INDEX(ctaMoneda,MATCH(AC3345,ctaNombre,0))&amp;"","DOP")="USD",T3345,S3345))</f>
        <v/>
      </c>
      <c r="AH3345" s="53">
        <f>IF(P3345="","",IF(AND(AD3345&lt;&gt;"",COUNTIFS(tcTipo,AD3345,tcLiq,"Sí")&gt;0),IF(OR(P3345="Gasto",P3345="Transferencia",P3345="Pago tarjeta"),-1,1)*S3345,0)+IF(AND(AE3345&lt;&gt;"",COUNTIFS(tcTipo,AE3345,tcLiq,"Sí")&gt;0),S3345,0))</f>
        <v/>
      </c>
      <c r="AI3345" s="52">
        <f>IF(OR(L3345="",P3345=""),"",IF(COUNTIFS(L$6:L3345,L3345,P$6:P3345,"?*")=1,MAX(AI$5:AI3344)+1,""))</f>
        <v/>
      </c>
    </row>
    <row r="3346">
      <c r="B3346" s="47" t="n"/>
      <c r="C3346" s="48" t="n"/>
      <c r="D3346" s="48" t="n"/>
      <c r="E3346" s="48" t="n"/>
      <c r="F3346" s="48" t="n"/>
      <c r="G3346" s="49" t="n"/>
      <c r="H3346" s="48" t="n"/>
      <c r="I3346" s="50" t="n"/>
      <c r="J3346" s="48" t="n"/>
      <c r="K3346" s="48" t="n"/>
      <c r="L3346" s="48" t="n"/>
      <c r="M3346" s="48" t="n"/>
      <c r="N3346" s="48" t="n"/>
      <c r="O3346" s="51">
        <f>IF(AND(B3346="",G3346="",C3346="",D3346="",J3346=""),"",IF(B3346="","⚠ Falta fecha",IF(G3346="","⚠ Falta monto",IF(Q3346="","⚠ Falta cuenta",IF(ISNA(MATCH(Q3346,ctaNombre,0)),"⚠ Cuenta no registrada",IF(AND(OR(P3346="Gasto",P3346="Reembolso"),D3346=""),"⚠ Falta categoría",IF(AND(D3346&lt;&gt;"",E3346&lt;&gt;"",ISNA(MATCH(D3346&amp;"|"&amp;E3346,catClave,0))),"⚠ Subcategoría no corresponde",IF(AND(OR(P3346="Transferencia",P3346="Pago tarjeta"),K3346=""),"⚠ Falta cuenta destino",IF(AND(K3346&lt;&gt;"",P3346&lt;&gt;"Transferencia",P3346&lt;&gt;"Pago tarjeta"),"⚠ Destino solo aplica a transferencias",IF(AND(K3346&lt;&gt;"",K3346=Q3346),"⚠ Origen igual a destino",IF(AND(K3346&lt;&gt;"",ISNA(MATCH(K3346,ctaNombre,0))),"⚠ Destino no registrado",IF(AND(P3346="Pago tarjeta",AE3346&lt;&gt;"Tarjeta de crédito"),"⚠ El destino debe ser tarjeta de crédito",IF(AND(P3346="Gasto",E3346="Depósitos y retiros"),"⚠ Usa tipo Transferencia",IF(AND(P3346="Resultado trading",AD3346&lt;&gt;"Cuenta de trading"),"⚠ Usa una cuenta de trading",IF(AND(G3346&lt;=0,P3346&lt;&gt;"Ajuste",P3346&lt;&gt;"Resultado trading"),"⚠ El monto debe ser positivo","✓")))))))))))))))</f>
        <v/>
      </c>
      <c r="P3346" s="52">
        <f>IF(OR(B3346="",G3346=""),"",IF(C3346="","Gasto",C3346))</f>
        <v/>
      </c>
      <c r="Q3346" s="52">
        <f>IF(P3346="","",IF(J3346&lt;&gt;"",J3346,CuentaPred&amp;""))</f>
        <v/>
      </c>
      <c r="R3346" s="52">
        <f>IF(P3346="","",IF(ISNUMBER(I3346),I3346,TasaUSD))</f>
        <v/>
      </c>
      <c r="S3346" s="53">
        <f>IF(P3346="","",IF(H3346="USD",G3346*R3346,G3346))</f>
        <v/>
      </c>
      <c r="T3346" s="53">
        <f>IF(P3346="","",IF(H3346="USD",G3346,IF(R3346&gt;0,G3346/R3346,0)))</f>
        <v/>
      </c>
      <c r="U3346" s="53">
        <f>IF(P3346="","",IF(P3346="Gasto",S3346,IF(P3346="Reembolso",-S3346,0)))</f>
        <v/>
      </c>
      <c r="V3346" s="53">
        <f>IF(P3346="","",IF(P3346="Ingreso",S3346,0))</f>
        <v/>
      </c>
      <c r="W3346" s="53">
        <f>IF(P3346="","",IF(P3346="Resultado trading",S3346,0))</f>
        <v/>
      </c>
      <c r="X3346" s="52">
        <f>IF(OR(P3346="Gasto",P3346="Reembolso"),IF(M3346&lt;&gt;"",M3346,IFERROR(INDEX(catClasif,MATCH(D3346&amp;"|"&amp;E3346,catClave,0))&amp;"","Variable")),"")</f>
        <v/>
      </c>
      <c r="Y3346" s="52">
        <f>IF(P3346="","",IFERROR(INDEX(catGrupo,MATCH(D3346&amp;"|"&amp;E3346,catClave,0))&amp;"",""))</f>
        <v/>
      </c>
      <c r="Z3346" s="52">
        <f>IF(P3346="","",WEEKDAY(B3346,2))</f>
        <v/>
      </c>
      <c r="AA3346" s="52">
        <f>IF(P3346="","",IF(AND(P3346="Gasto",X3346="Variable",D3346&lt;&gt;catTrading,S3346&gt;0,S3346&lt;=Umbral),1,0))</f>
        <v/>
      </c>
      <c r="AB3346" s="52">
        <f>IF(OR(P3346="",Q3346=""),"",IFERROR(IF(INDEX(ctaVinc,MATCH(Q3346,ctaNombre,0))&amp;""&lt;&gt;"",INDEX(ctaVinc,MATCH(Q3346,ctaNombre,0))&amp;"",Q3346),Q3346))</f>
        <v/>
      </c>
      <c r="AC3346" s="52">
        <f>IF(OR(K3346="",AND(P3346&lt;&gt;"Transferencia",P3346&lt;&gt;"Pago tarjeta")),"",IFERROR(IF(INDEX(ctaVinc,MATCH(K3346,ctaNombre,0))&amp;""&lt;&gt;"",INDEX(ctaVinc,MATCH(K3346,ctaNombre,0))&amp;"",K3346),K3346))</f>
        <v/>
      </c>
      <c r="AD3346" s="52">
        <f>IF(AB3346="","",IFERROR(INDEX(ctaTipo,MATCH(AB3346,ctaNombre,0))&amp;"",""))</f>
        <v/>
      </c>
      <c r="AE3346" s="52">
        <f>IF(AC3346="","",IFERROR(INDEX(ctaTipo,MATCH(AC3346,ctaNombre,0))&amp;"",""))</f>
        <v/>
      </c>
      <c r="AF3346" s="53">
        <f>IF(OR(P3346="",AB3346=""),"",IF(OR(P3346="Gasto",P3346="Transferencia",P3346="Pago tarjeta"),-1,1)*IF(IFERROR(INDEX(ctaMoneda,MATCH(AB3346,ctaNombre,0))&amp;"","DOP")="USD",T3346,S3346))</f>
        <v/>
      </c>
      <c r="AG3346" s="53">
        <f>IF(AC3346="","",IF(IFERROR(INDEX(ctaMoneda,MATCH(AC3346,ctaNombre,0))&amp;"","DOP")="USD",T3346,S3346))</f>
        <v/>
      </c>
      <c r="AH3346" s="53">
        <f>IF(P3346="","",IF(AND(AD3346&lt;&gt;"",COUNTIFS(tcTipo,AD3346,tcLiq,"Sí")&gt;0),IF(OR(P3346="Gasto",P3346="Transferencia",P3346="Pago tarjeta"),-1,1)*S3346,0)+IF(AND(AE3346&lt;&gt;"",COUNTIFS(tcTipo,AE3346,tcLiq,"Sí")&gt;0),S3346,0))</f>
        <v/>
      </c>
      <c r="AI3346" s="52">
        <f>IF(OR(L3346="",P3346=""),"",IF(COUNTIFS(L$6:L3346,L3346,P$6:P3346,"?*")=1,MAX(AI$5:AI3345)+1,""))</f>
        <v/>
      </c>
    </row>
    <row r="3347">
      <c r="B3347" s="47" t="n"/>
      <c r="C3347" s="48" t="n"/>
      <c r="D3347" s="48" t="n"/>
      <c r="E3347" s="48" t="n"/>
      <c r="F3347" s="48" t="n"/>
      <c r="G3347" s="49" t="n"/>
      <c r="H3347" s="48" t="n"/>
      <c r="I3347" s="50" t="n"/>
      <c r="J3347" s="48" t="n"/>
      <c r="K3347" s="48" t="n"/>
      <c r="L3347" s="48" t="n"/>
      <c r="M3347" s="48" t="n"/>
      <c r="N3347" s="48" t="n"/>
      <c r="O3347" s="51">
        <f>IF(AND(B3347="",G3347="",C3347="",D3347="",J3347=""),"",IF(B3347="","⚠ Falta fecha",IF(G3347="","⚠ Falta monto",IF(Q3347="","⚠ Falta cuenta",IF(ISNA(MATCH(Q3347,ctaNombre,0)),"⚠ Cuenta no registrada",IF(AND(OR(P3347="Gasto",P3347="Reembolso"),D3347=""),"⚠ Falta categoría",IF(AND(D3347&lt;&gt;"",E3347&lt;&gt;"",ISNA(MATCH(D3347&amp;"|"&amp;E3347,catClave,0))),"⚠ Subcategoría no corresponde",IF(AND(OR(P3347="Transferencia",P3347="Pago tarjeta"),K3347=""),"⚠ Falta cuenta destino",IF(AND(K3347&lt;&gt;"",P3347&lt;&gt;"Transferencia",P3347&lt;&gt;"Pago tarjeta"),"⚠ Destino solo aplica a transferencias",IF(AND(K3347&lt;&gt;"",K3347=Q3347),"⚠ Origen igual a destino",IF(AND(K3347&lt;&gt;"",ISNA(MATCH(K3347,ctaNombre,0))),"⚠ Destino no registrado",IF(AND(P3347="Pago tarjeta",AE3347&lt;&gt;"Tarjeta de crédito"),"⚠ El destino debe ser tarjeta de crédito",IF(AND(P3347="Gasto",E3347="Depósitos y retiros"),"⚠ Usa tipo Transferencia",IF(AND(P3347="Resultado trading",AD3347&lt;&gt;"Cuenta de trading"),"⚠ Usa una cuenta de trading",IF(AND(G3347&lt;=0,P3347&lt;&gt;"Ajuste",P3347&lt;&gt;"Resultado trading"),"⚠ El monto debe ser positivo","✓")))))))))))))))</f>
        <v/>
      </c>
      <c r="P3347" s="52">
        <f>IF(OR(B3347="",G3347=""),"",IF(C3347="","Gasto",C3347))</f>
        <v/>
      </c>
      <c r="Q3347" s="52">
        <f>IF(P3347="","",IF(J3347&lt;&gt;"",J3347,CuentaPred&amp;""))</f>
        <v/>
      </c>
      <c r="R3347" s="52">
        <f>IF(P3347="","",IF(ISNUMBER(I3347),I3347,TasaUSD))</f>
        <v/>
      </c>
      <c r="S3347" s="53">
        <f>IF(P3347="","",IF(H3347="USD",G3347*R3347,G3347))</f>
        <v/>
      </c>
      <c r="T3347" s="53">
        <f>IF(P3347="","",IF(H3347="USD",G3347,IF(R3347&gt;0,G3347/R3347,0)))</f>
        <v/>
      </c>
      <c r="U3347" s="53">
        <f>IF(P3347="","",IF(P3347="Gasto",S3347,IF(P3347="Reembolso",-S3347,0)))</f>
        <v/>
      </c>
      <c r="V3347" s="53">
        <f>IF(P3347="","",IF(P3347="Ingreso",S3347,0))</f>
        <v/>
      </c>
      <c r="W3347" s="53">
        <f>IF(P3347="","",IF(P3347="Resultado trading",S3347,0))</f>
        <v/>
      </c>
      <c r="X3347" s="52">
        <f>IF(OR(P3347="Gasto",P3347="Reembolso"),IF(M3347&lt;&gt;"",M3347,IFERROR(INDEX(catClasif,MATCH(D3347&amp;"|"&amp;E3347,catClave,0))&amp;"","Variable")),"")</f>
        <v/>
      </c>
      <c r="Y3347" s="52">
        <f>IF(P3347="","",IFERROR(INDEX(catGrupo,MATCH(D3347&amp;"|"&amp;E3347,catClave,0))&amp;"",""))</f>
        <v/>
      </c>
      <c r="Z3347" s="52">
        <f>IF(P3347="","",WEEKDAY(B3347,2))</f>
        <v/>
      </c>
      <c r="AA3347" s="52">
        <f>IF(P3347="","",IF(AND(P3347="Gasto",X3347="Variable",D3347&lt;&gt;catTrading,S3347&gt;0,S3347&lt;=Umbral),1,0))</f>
        <v/>
      </c>
      <c r="AB3347" s="52">
        <f>IF(OR(P3347="",Q3347=""),"",IFERROR(IF(INDEX(ctaVinc,MATCH(Q3347,ctaNombre,0))&amp;""&lt;&gt;"",INDEX(ctaVinc,MATCH(Q3347,ctaNombre,0))&amp;"",Q3347),Q3347))</f>
        <v/>
      </c>
      <c r="AC3347" s="52">
        <f>IF(OR(K3347="",AND(P3347&lt;&gt;"Transferencia",P3347&lt;&gt;"Pago tarjeta")),"",IFERROR(IF(INDEX(ctaVinc,MATCH(K3347,ctaNombre,0))&amp;""&lt;&gt;"",INDEX(ctaVinc,MATCH(K3347,ctaNombre,0))&amp;"",K3347),K3347))</f>
        <v/>
      </c>
      <c r="AD3347" s="52">
        <f>IF(AB3347="","",IFERROR(INDEX(ctaTipo,MATCH(AB3347,ctaNombre,0))&amp;"",""))</f>
        <v/>
      </c>
      <c r="AE3347" s="52">
        <f>IF(AC3347="","",IFERROR(INDEX(ctaTipo,MATCH(AC3347,ctaNombre,0))&amp;"",""))</f>
        <v/>
      </c>
      <c r="AF3347" s="53">
        <f>IF(OR(P3347="",AB3347=""),"",IF(OR(P3347="Gasto",P3347="Transferencia",P3347="Pago tarjeta"),-1,1)*IF(IFERROR(INDEX(ctaMoneda,MATCH(AB3347,ctaNombre,0))&amp;"","DOP")="USD",T3347,S3347))</f>
        <v/>
      </c>
      <c r="AG3347" s="53">
        <f>IF(AC3347="","",IF(IFERROR(INDEX(ctaMoneda,MATCH(AC3347,ctaNombre,0))&amp;"","DOP")="USD",T3347,S3347))</f>
        <v/>
      </c>
      <c r="AH3347" s="53">
        <f>IF(P3347="","",IF(AND(AD3347&lt;&gt;"",COUNTIFS(tcTipo,AD3347,tcLiq,"Sí")&gt;0),IF(OR(P3347="Gasto",P3347="Transferencia",P3347="Pago tarjeta"),-1,1)*S3347,0)+IF(AND(AE3347&lt;&gt;"",COUNTIFS(tcTipo,AE3347,tcLiq,"Sí")&gt;0),S3347,0))</f>
        <v/>
      </c>
      <c r="AI3347" s="52">
        <f>IF(OR(L3347="",P3347=""),"",IF(COUNTIFS(L$6:L3347,L3347,P$6:P3347,"?*")=1,MAX(AI$5:AI3346)+1,""))</f>
        <v/>
      </c>
    </row>
    <row r="3348">
      <c r="B3348" s="47" t="n"/>
      <c r="C3348" s="48" t="n"/>
      <c r="D3348" s="48" t="n"/>
      <c r="E3348" s="48" t="n"/>
      <c r="F3348" s="48" t="n"/>
      <c r="G3348" s="49" t="n"/>
      <c r="H3348" s="48" t="n"/>
      <c r="I3348" s="50" t="n"/>
      <c r="J3348" s="48" t="n"/>
      <c r="K3348" s="48" t="n"/>
      <c r="L3348" s="48" t="n"/>
      <c r="M3348" s="48" t="n"/>
      <c r="N3348" s="48" t="n"/>
      <c r="O3348" s="51">
        <f>IF(AND(B3348="",G3348="",C3348="",D3348="",J3348=""),"",IF(B3348="","⚠ Falta fecha",IF(G3348="","⚠ Falta monto",IF(Q3348="","⚠ Falta cuenta",IF(ISNA(MATCH(Q3348,ctaNombre,0)),"⚠ Cuenta no registrada",IF(AND(OR(P3348="Gasto",P3348="Reembolso"),D3348=""),"⚠ Falta categoría",IF(AND(D3348&lt;&gt;"",E3348&lt;&gt;"",ISNA(MATCH(D3348&amp;"|"&amp;E3348,catClave,0))),"⚠ Subcategoría no corresponde",IF(AND(OR(P3348="Transferencia",P3348="Pago tarjeta"),K3348=""),"⚠ Falta cuenta destino",IF(AND(K3348&lt;&gt;"",P3348&lt;&gt;"Transferencia",P3348&lt;&gt;"Pago tarjeta"),"⚠ Destino solo aplica a transferencias",IF(AND(K3348&lt;&gt;"",K3348=Q3348),"⚠ Origen igual a destino",IF(AND(K3348&lt;&gt;"",ISNA(MATCH(K3348,ctaNombre,0))),"⚠ Destino no registrado",IF(AND(P3348="Pago tarjeta",AE3348&lt;&gt;"Tarjeta de crédito"),"⚠ El destino debe ser tarjeta de crédito",IF(AND(P3348="Gasto",E3348="Depósitos y retiros"),"⚠ Usa tipo Transferencia",IF(AND(P3348="Resultado trading",AD3348&lt;&gt;"Cuenta de trading"),"⚠ Usa una cuenta de trading",IF(AND(G3348&lt;=0,P3348&lt;&gt;"Ajuste",P3348&lt;&gt;"Resultado trading"),"⚠ El monto debe ser positivo","✓")))))))))))))))</f>
        <v/>
      </c>
      <c r="P3348" s="52">
        <f>IF(OR(B3348="",G3348=""),"",IF(C3348="","Gasto",C3348))</f>
        <v/>
      </c>
      <c r="Q3348" s="52">
        <f>IF(P3348="","",IF(J3348&lt;&gt;"",J3348,CuentaPred&amp;""))</f>
        <v/>
      </c>
      <c r="R3348" s="52">
        <f>IF(P3348="","",IF(ISNUMBER(I3348),I3348,TasaUSD))</f>
        <v/>
      </c>
      <c r="S3348" s="53">
        <f>IF(P3348="","",IF(H3348="USD",G3348*R3348,G3348))</f>
        <v/>
      </c>
      <c r="T3348" s="53">
        <f>IF(P3348="","",IF(H3348="USD",G3348,IF(R3348&gt;0,G3348/R3348,0)))</f>
        <v/>
      </c>
      <c r="U3348" s="53">
        <f>IF(P3348="","",IF(P3348="Gasto",S3348,IF(P3348="Reembolso",-S3348,0)))</f>
        <v/>
      </c>
      <c r="V3348" s="53">
        <f>IF(P3348="","",IF(P3348="Ingreso",S3348,0))</f>
        <v/>
      </c>
      <c r="W3348" s="53">
        <f>IF(P3348="","",IF(P3348="Resultado trading",S3348,0))</f>
        <v/>
      </c>
      <c r="X3348" s="52">
        <f>IF(OR(P3348="Gasto",P3348="Reembolso"),IF(M3348&lt;&gt;"",M3348,IFERROR(INDEX(catClasif,MATCH(D3348&amp;"|"&amp;E3348,catClave,0))&amp;"","Variable")),"")</f>
        <v/>
      </c>
      <c r="Y3348" s="52">
        <f>IF(P3348="","",IFERROR(INDEX(catGrupo,MATCH(D3348&amp;"|"&amp;E3348,catClave,0))&amp;"",""))</f>
        <v/>
      </c>
      <c r="Z3348" s="52">
        <f>IF(P3348="","",WEEKDAY(B3348,2))</f>
        <v/>
      </c>
      <c r="AA3348" s="52">
        <f>IF(P3348="","",IF(AND(P3348="Gasto",X3348="Variable",D3348&lt;&gt;catTrading,S3348&gt;0,S3348&lt;=Umbral),1,0))</f>
        <v/>
      </c>
      <c r="AB3348" s="52">
        <f>IF(OR(P3348="",Q3348=""),"",IFERROR(IF(INDEX(ctaVinc,MATCH(Q3348,ctaNombre,0))&amp;""&lt;&gt;"",INDEX(ctaVinc,MATCH(Q3348,ctaNombre,0))&amp;"",Q3348),Q3348))</f>
        <v/>
      </c>
      <c r="AC3348" s="52">
        <f>IF(OR(K3348="",AND(P3348&lt;&gt;"Transferencia",P3348&lt;&gt;"Pago tarjeta")),"",IFERROR(IF(INDEX(ctaVinc,MATCH(K3348,ctaNombre,0))&amp;""&lt;&gt;"",INDEX(ctaVinc,MATCH(K3348,ctaNombre,0))&amp;"",K3348),K3348))</f>
        <v/>
      </c>
      <c r="AD3348" s="52">
        <f>IF(AB3348="","",IFERROR(INDEX(ctaTipo,MATCH(AB3348,ctaNombre,0))&amp;"",""))</f>
        <v/>
      </c>
      <c r="AE3348" s="52">
        <f>IF(AC3348="","",IFERROR(INDEX(ctaTipo,MATCH(AC3348,ctaNombre,0))&amp;"",""))</f>
        <v/>
      </c>
      <c r="AF3348" s="53">
        <f>IF(OR(P3348="",AB3348=""),"",IF(OR(P3348="Gasto",P3348="Transferencia",P3348="Pago tarjeta"),-1,1)*IF(IFERROR(INDEX(ctaMoneda,MATCH(AB3348,ctaNombre,0))&amp;"","DOP")="USD",T3348,S3348))</f>
        <v/>
      </c>
      <c r="AG3348" s="53">
        <f>IF(AC3348="","",IF(IFERROR(INDEX(ctaMoneda,MATCH(AC3348,ctaNombre,0))&amp;"","DOP")="USD",T3348,S3348))</f>
        <v/>
      </c>
      <c r="AH3348" s="53">
        <f>IF(P3348="","",IF(AND(AD3348&lt;&gt;"",COUNTIFS(tcTipo,AD3348,tcLiq,"Sí")&gt;0),IF(OR(P3348="Gasto",P3348="Transferencia",P3348="Pago tarjeta"),-1,1)*S3348,0)+IF(AND(AE3348&lt;&gt;"",COUNTIFS(tcTipo,AE3348,tcLiq,"Sí")&gt;0),S3348,0))</f>
        <v/>
      </c>
      <c r="AI3348" s="52">
        <f>IF(OR(L3348="",P3348=""),"",IF(COUNTIFS(L$6:L3348,L3348,P$6:P3348,"?*")=1,MAX(AI$5:AI3347)+1,""))</f>
        <v/>
      </c>
    </row>
    <row r="3349">
      <c r="B3349" s="47" t="n"/>
      <c r="C3349" s="48" t="n"/>
      <c r="D3349" s="48" t="n"/>
      <c r="E3349" s="48" t="n"/>
      <c r="F3349" s="48" t="n"/>
      <c r="G3349" s="49" t="n"/>
      <c r="H3349" s="48" t="n"/>
      <c r="I3349" s="50" t="n"/>
      <c r="J3349" s="48" t="n"/>
      <c r="K3349" s="48" t="n"/>
      <c r="L3349" s="48" t="n"/>
      <c r="M3349" s="48" t="n"/>
      <c r="N3349" s="48" t="n"/>
      <c r="O3349" s="51">
        <f>IF(AND(B3349="",G3349="",C3349="",D3349="",J3349=""),"",IF(B3349="","⚠ Falta fecha",IF(G3349="","⚠ Falta monto",IF(Q3349="","⚠ Falta cuenta",IF(ISNA(MATCH(Q3349,ctaNombre,0)),"⚠ Cuenta no registrada",IF(AND(OR(P3349="Gasto",P3349="Reembolso"),D3349=""),"⚠ Falta categoría",IF(AND(D3349&lt;&gt;"",E3349&lt;&gt;"",ISNA(MATCH(D3349&amp;"|"&amp;E3349,catClave,0))),"⚠ Subcategoría no corresponde",IF(AND(OR(P3349="Transferencia",P3349="Pago tarjeta"),K3349=""),"⚠ Falta cuenta destino",IF(AND(K3349&lt;&gt;"",P3349&lt;&gt;"Transferencia",P3349&lt;&gt;"Pago tarjeta"),"⚠ Destino solo aplica a transferencias",IF(AND(K3349&lt;&gt;"",K3349=Q3349),"⚠ Origen igual a destino",IF(AND(K3349&lt;&gt;"",ISNA(MATCH(K3349,ctaNombre,0))),"⚠ Destino no registrado",IF(AND(P3349="Pago tarjeta",AE3349&lt;&gt;"Tarjeta de crédito"),"⚠ El destino debe ser tarjeta de crédito",IF(AND(P3349="Gasto",E3349="Depósitos y retiros"),"⚠ Usa tipo Transferencia",IF(AND(P3349="Resultado trading",AD3349&lt;&gt;"Cuenta de trading"),"⚠ Usa una cuenta de trading",IF(AND(G3349&lt;=0,P3349&lt;&gt;"Ajuste",P3349&lt;&gt;"Resultado trading"),"⚠ El monto debe ser positivo","✓")))))))))))))))</f>
        <v/>
      </c>
      <c r="P3349" s="52">
        <f>IF(OR(B3349="",G3349=""),"",IF(C3349="","Gasto",C3349))</f>
        <v/>
      </c>
      <c r="Q3349" s="52">
        <f>IF(P3349="","",IF(J3349&lt;&gt;"",J3349,CuentaPred&amp;""))</f>
        <v/>
      </c>
      <c r="R3349" s="52">
        <f>IF(P3349="","",IF(ISNUMBER(I3349),I3349,TasaUSD))</f>
        <v/>
      </c>
      <c r="S3349" s="53">
        <f>IF(P3349="","",IF(H3349="USD",G3349*R3349,G3349))</f>
        <v/>
      </c>
      <c r="T3349" s="53">
        <f>IF(P3349="","",IF(H3349="USD",G3349,IF(R3349&gt;0,G3349/R3349,0)))</f>
        <v/>
      </c>
      <c r="U3349" s="53">
        <f>IF(P3349="","",IF(P3349="Gasto",S3349,IF(P3349="Reembolso",-S3349,0)))</f>
        <v/>
      </c>
      <c r="V3349" s="53">
        <f>IF(P3349="","",IF(P3349="Ingreso",S3349,0))</f>
        <v/>
      </c>
      <c r="W3349" s="53">
        <f>IF(P3349="","",IF(P3349="Resultado trading",S3349,0))</f>
        <v/>
      </c>
      <c r="X3349" s="52">
        <f>IF(OR(P3349="Gasto",P3349="Reembolso"),IF(M3349&lt;&gt;"",M3349,IFERROR(INDEX(catClasif,MATCH(D3349&amp;"|"&amp;E3349,catClave,0))&amp;"","Variable")),"")</f>
        <v/>
      </c>
      <c r="Y3349" s="52">
        <f>IF(P3349="","",IFERROR(INDEX(catGrupo,MATCH(D3349&amp;"|"&amp;E3349,catClave,0))&amp;"",""))</f>
        <v/>
      </c>
      <c r="Z3349" s="52">
        <f>IF(P3349="","",WEEKDAY(B3349,2))</f>
        <v/>
      </c>
      <c r="AA3349" s="52">
        <f>IF(P3349="","",IF(AND(P3349="Gasto",X3349="Variable",D3349&lt;&gt;catTrading,S3349&gt;0,S3349&lt;=Umbral),1,0))</f>
        <v/>
      </c>
      <c r="AB3349" s="52">
        <f>IF(OR(P3349="",Q3349=""),"",IFERROR(IF(INDEX(ctaVinc,MATCH(Q3349,ctaNombre,0))&amp;""&lt;&gt;"",INDEX(ctaVinc,MATCH(Q3349,ctaNombre,0))&amp;"",Q3349),Q3349))</f>
        <v/>
      </c>
      <c r="AC3349" s="52">
        <f>IF(OR(K3349="",AND(P3349&lt;&gt;"Transferencia",P3349&lt;&gt;"Pago tarjeta")),"",IFERROR(IF(INDEX(ctaVinc,MATCH(K3349,ctaNombre,0))&amp;""&lt;&gt;"",INDEX(ctaVinc,MATCH(K3349,ctaNombre,0))&amp;"",K3349),K3349))</f>
        <v/>
      </c>
      <c r="AD3349" s="52">
        <f>IF(AB3349="","",IFERROR(INDEX(ctaTipo,MATCH(AB3349,ctaNombre,0))&amp;"",""))</f>
        <v/>
      </c>
      <c r="AE3349" s="52">
        <f>IF(AC3349="","",IFERROR(INDEX(ctaTipo,MATCH(AC3349,ctaNombre,0))&amp;"",""))</f>
        <v/>
      </c>
      <c r="AF3349" s="53">
        <f>IF(OR(P3349="",AB3349=""),"",IF(OR(P3349="Gasto",P3349="Transferencia",P3349="Pago tarjeta"),-1,1)*IF(IFERROR(INDEX(ctaMoneda,MATCH(AB3349,ctaNombre,0))&amp;"","DOP")="USD",T3349,S3349))</f>
        <v/>
      </c>
      <c r="AG3349" s="53">
        <f>IF(AC3349="","",IF(IFERROR(INDEX(ctaMoneda,MATCH(AC3349,ctaNombre,0))&amp;"","DOP")="USD",T3349,S3349))</f>
        <v/>
      </c>
      <c r="AH3349" s="53">
        <f>IF(P3349="","",IF(AND(AD3349&lt;&gt;"",COUNTIFS(tcTipo,AD3349,tcLiq,"Sí")&gt;0),IF(OR(P3349="Gasto",P3349="Transferencia",P3349="Pago tarjeta"),-1,1)*S3349,0)+IF(AND(AE3349&lt;&gt;"",COUNTIFS(tcTipo,AE3349,tcLiq,"Sí")&gt;0),S3349,0))</f>
        <v/>
      </c>
      <c r="AI3349" s="52">
        <f>IF(OR(L3349="",P3349=""),"",IF(COUNTIFS(L$6:L3349,L3349,P$6:P3349,"?*")=1,MAX(AI$5:AI3348)+1,""))</f>
        <v/>
      </c>
    </row>
    <row r="3350">
      <c r="B3350" s="47" t="n"/>
      <c r="C3350" s="48" t="n"/>
      <c r="D3350" s="48" t="n"/>
      <c r="E3350" s="48" t="n"/>
      <c r="F3350" s="48" t="n"/>
      <c r="G3350" s="49" t="n"/>
      <c r="H3350" s="48" t="n"/>
      <c r="I3350" s="50" t="n"/>
      <c r="J3350" s="48" t="n"/>
      <c r="K3350" s="48" t="n"/>
      <c r="L3350" s="48" t="n"/>
      <c r="M3350" s="48" t="n"/>
      <c r="N3350" s="48" t="n"/>
      <c r="O3350" s="51">
        <f>IF(AND(B3350="",G3350="",C3350="",D3350="",J3350=""),"",IF(B3350="","⚠ Falta fecha",IF(G3350="","⚠ Falta monto",IF(Q3350="","⚠ Falta cuenta",IF(ISNA(MATCH(Q3350,ctaNombre,0)),"⚠ Cuenta no registrada",IF(AND(OR(P3350="Gasto",P3350="Reembolso"),D3350=""),"⚠ Falta categoría",IF(AND(D3350&lt;&gt;"",E3350&lt;&gt;"",ISNA(MATCH(D3350&amp;"|"&amp;E3350,catClave,0))),"⚠ Subcategoría no corresponde",IF(AND(OR(P3350="Transferencia",P3350="Pago tarjeta"),K3350=""),"⚠ Falta cuenta destino",IF(AND(K3350&lt;&gt;"",P3350&lt;&gt;"Transferencia",P3350&lt;&gt;"Pago tarjeta"),"⚠ Destino solo aplica a transferencias",IF(AND(K3350&lt;&gt;"",K3350=Q3350),"⚠ Origen igual a destino",IF(AND(K3350&lt;&gt;"",ISNA(MATCH(K3350,ctaNombre,0))),"⚠ Destino no registrado",IF(AND(P3350="Pago tarjeta",AE3350&lt;&gt;"Tarjeta de crédito"),"⚠ El destino debe ser tarjeta de crédito",IF(AND(P3350="Gasto",E3350="Depósitos y retiros"),"⚠ Usa tipo Transferencia",IF(AND(P3350="Resultado trading",AD3350&lt;&gt;"Cuenta de trading"),"⚠ Usa una cuenta de trading",IF(AND(G3350&lt;=0,P3350&lt;&gt;"Ajuste",P3350&lt;&gt;"Resultado trading"),"⚠ El monto debe ser positivo","✓")))))))))))))))</f>
        <v/>
      </c>
      <c r="P3350" s="52">
        <f>IF(OR(B3350="",G3350=""),"",IF(C3350="","Gasto",C3350))</f>
        <v/>
      </c>
      <c r="Q3350" s="52">
        <f>IF(P3350="","",IF(J3350&lt;&gt;"",J3350,CuentaPred&amp;""))</f>
        <v/>
      </c>
      <c r="R3350" s="52">
        <f>IF(P3350="","",IF(ISNUMBER(I3350),I3350,TasaUSD))</f>
        <v/>
      </c>
      <c r="S3350" s="53">
        <f>IF(P3350="","",IF(H3350="USD",G3350*R3350,G3350))</f>
        <v/>
      </c>
      <c r="T3350" s="53">
        <f>IF(P3350="","",IF(H3350="USD",G3350,IF(R3350&gt;0,G3350/R3350,0)))</f>
        <v/>
      </c>
      <c r="U3350" s="53">
        <f>IF(P3350="","",IF(P3350="Gasto",S3350,IF(P3350="Reembolso",-S3350,0)))</f>
        <v/>
      </c>
      <c r="V3350" s="53">
        <f>IF(P3350="","",IF(P3350="Ingreso",S3350,0))</f>
        <v/>
      </c>
      <c r="W3350" s="53">
        <f>IF(P3350="","",IF(P3350="Resultado trading",S3350,0))</f>
        <v/>
      </c>
      <c r="X3350" s="52">
        <f>IF(OR(P3350="Gasto",P3350="Reembolso"),IF(M3350&lt;&gt;"",M3350,IFERROR(INDEX(catClasif,MATCH(D3350&amp;"|"&amp;E3350,catClave,0))&amp;"","Variable")),"")</f>
        <v/>
      </c>
      <c r="Y3350" s="52">
        <f>IF(P3350="","",IFERROR(INDEX(catGrupo,MATCH(D3350&amp;"|"&amp;E3350,catClave,0))&amp;"",""))</f>
        <v/>
      </c>
      <c r="Z3350" s="52">
        <f>IF(P3350="","",WEEKDAY(B3350,2))</f>
        <v/>
      </c>
      <c r="AA3350" s="52">
        <f>IF(P3350="","",IF(AND(P3350="Gasto",X3350="Variable",D3350&lt;&gt;catTrading,S3350&gt;0,S3350&lt;=Umbral),1,0))</f>
        <v/>
      </c>
      <c r="AB3350" s="52">
        <f>IF(OR(P3350="",Q3350=""),"",IFERROR(IF(INDEX(ctaVinc,MATCH(Q3350,ctaNombre,0))&amp;""&lt;&gt;"",INDEX(ctaVinc,MATCH(Q3350,ctaNombre,0))&amp;"",Q3350),Q3350))</f>
        <v/>
      </c>
      <c r="AC3350" s="52">
        <f>IF(OR(K3350="",AND(P3350&lt;&gt;"Transferencia",P3350&lt;&gt;"Pago tarjeta")),"",IFERROR(IF(INDEX(ctaVinc,MATCH(K3350,ctaNombre,0))&amp;""&lt;&gt;"",INDEX(ctaVinc,MATCH(K3350,ctaNombre,0))&amp;"",K3350),K3350))</f>
        <v/>
      </c>
      <c r="AD3350" s="52">
        <f>IF(AB3350="","",IFERROR(INDEX(ctaTipo,MATCH(AB3350,ctaNombre,0))&amp;"",""))</f>
        <v/>
      </c>
      <c r="AE3350" s="52">
        <f>IF(AC3350="","",IFERROR(INDEX(ctaTipo,MATCH(AC3350,ctaNombre,0))&amp;"",""))</f>
        <v/>
      </c>
      <c r="AF3350" s="53">
        <f>IF(OR(P3350="",AB3350=""),"",IF(OR(P3350="Gasto",P3350="Transferencia",P3350="Pago tarjeta"),-1,1)*IF(IFERROR(INDEX(ctaMoneda,MATCH(AB3350,ctaNombre,0))&amp;"","DOP")="USD",T3350,S3350))</f>
        <v/>
      </c>
      <c r="AG3350" s="53">
        <f>IF(AC3350="","",IF(IFERROR(INDEX(ctaMoneda,MATCH(AC3350,ctaNombre,0))&amp;"","DOP")="USD",T3350,S3350))</f>
        <v/>
      </c>
      <c r="AH3350" s="53">
        <f>IF(P3350="","",IF(AND(AD3350&lt;&gt;"",COUNTIFS(tcTipo,AD3350,tcLiq,"Sí")&gt;0),IF(OR(P3350="Gasto",P3350="Transferencia",P3350="Pago tarjeta"),-1,1)*S3350,0)+IF(AND(AE3350&lt;&gt;"",COUNTIFS(tcTipo,AE3350,tcLiq,"Sí")&gt;0),S3350,0))</f>
        <v/>
      </c>
      <c r="AI3350" s="52">
        <f>IF(OR(L3350="",P3350=""),"",IF(COUNTIFS(L$6:L3350,L3350,P$6:P3350,"?*")=1,MAX(AI$5:AI3349)+1,""))</f>
        <v/>
      </c>
    </row>
    <row r="3351">
      <c r="B3351" s="47" t="n"/>
      <c r="C3351" s="48" t="n"/>
      <c r="D3351" s="48" t="n"/>
      <c r="E3351" s="48" t="n"/>
      <c r="F3351" s="48" t="n"/>
      <c r="G3351" s="49" t="n"/>
      <c r="H3351" s="48" t="n"/>
      <c r="I3351" s="50" t="n"/>
      <c r="J3351" s="48" t="n"/>
      <c r="K3351" s="48" t="n"/>
      <c r="L3351" s="48" t="n"/>
      <c r="M3351" s="48" t="n"/>
      <c r="N3351" s="48" t="n"/>
      <c r="O3351" s="51">
        <f>IF(AND(B3351="",G3351="",C3351="",D3351="",J3351=""),"",IF(B3351="","⚠ Falta fecha",IF(G3351="","⚠ Falta monto",IF(Q3351="","⚠ Falta cuenta",IF(ISNA(MATCH(Q3351,ctaNombre,0)),"⚠ Cuenta no registrada",IF(AND(OR(P3351="Gasto",P3351="Reembolso"),D3351=""),"⚠ Falta categoría",IF(AND(D3351&lt;&gt;"",E3351&lt;&gt;"",ISNA(MATCH(D3351&amp;"|"&amp;E3351,catClave,0))),"⚠ Subcategoría no corresponde",IF(AND(OR(P3351="Transferencia",P3351="Pago tarjeta"),K3351=""),"⚠ Falta cuenta destino",IF(AND(K3351&lt;&gt;"",P3351&lt;&gt;"Transferencia",P3351&lt;&gt;"Pago tarjeta"),"⚠ Destino solo aplica a transferencias",IF(AND(K3351&lt;&gt;"",K3351=Q3351),"⚠ Origen igual a destino",IF(AND(K3351&lt;&gt;"",ISNA(MATCH(K3351,ctaNombre,0))),"⚠ Destino no registrado",IF(AND(P3351="Pago tarjeta",AE3351&lt;&gt;"Tarjeta de crédito"),"⚠ El destino debe ser tarjeta de crédito",IF(AND(P3351="Gasto",E3351="Depósitos y retiros"),"⚠ Usa tipo Transferencia",IF(AND(P3351="Resultado trading",AD3351&lt;&gt;"Cuenta de trading"),"⚠ Usa una cuenta de trading",IF(AND(G3351&lt;=0,P3351&lt;&gt;"Ajuste",P3351&lt;&gt;"Resultado trading"),"⚠ El monto debe ser positivo","✓")))))))))))))))</f>
        <v/>
      </c>
      <c r="P3351" s="52">
        <f>IF(OR(B3351="",G3351=""),"",IF(C3351="","Gasto",C3351))</f>
        <v/>
      </c>
      <c r="Q3351" s="52">
        <f>IF(P3351="","",IF(J3351&lt;&gt;"",J3351,CuentaPred&amp;""))</f>
        <v/>
      </c>
      <c r="R3351" s="52">
        <f>IF(P3351="","",IF(ISNUMBER(I3351),I3351,TasaUSD))</f>
        <v/>
      </c>
      <c r="S3351" s="53">
        <f>IF(P3351="","",IF(H3351="USD",G3351*R3351,G3351))</f>
        <v/>
      </c>
      <c r="T3351" s="53">
        <f>IF(P3351="","",IF(H3351="USD",G3351,IF(R3351&gt;0,G3351/R3351,0)))</f>
        <v/>
      </c>
      <c r="U3351" s="53">
        <f>IF(P3351="","",IF(P3351="Gasto",S3351,IF(P3351="Reembolso",-S3351,0)))</f>
        <v/>
      </c>
      <c r="V3351" s="53">
        <f>IF(P3351="","",IF(P3351="Ingreso",S3351,0))</f>
        <v/>
      </c>
      <c r="W3351" s="53">
        <f>IF(P3351="","",IF(P3351="Resultado trading",S3351,0))</f>
        <v/>
      </c>
      <c r="X3351" s="52">
        <f>IF(OR(P3351="Gasto",P3351="Reembolso"),IF(M3351&lt;&gt;"",M3351,IFERROR(INDEX(catClasif,MATCH(D3351&amp;"|"&amp;E3351,catClave,0))&amp;"","Variable")),"")</f>
        <v/>
      </c>
      <c r="Y3351" s="52">
        <f>IF(P3351="","",IFERROR(INDEX(catGrupo,MATCH(D3351&amp;"|"&amp;E3351,catClave,0))&amp;"",""))</f>
        <v/>
      </c>
      <c r="Z3351" s="52">
        <f>IF(P3351="","",WEEKDAY(B3351,2))</f>
        <v/>
      </c>
      <c r="AA3351" s="52">
        <f>IF(P3351="","",IF(AND(P3351="Gasto",X3351="Variable",D3351&lt;&gt;catTrading,S3351&gt;0,S3351&lt;=Umbral),1,0))</f>
        <v/>
      </c>
      <c r="AB3351" s="52">
        <f>IF(OR(P3351="",Q3351=""),"",IFERROR(IF(INDEX(ctaVinc,MATCH(Q3351,ctaNombre,0))&amp;""&lt;&gt;"",INDEX(ctaVinc,MATCH(Q3351,ctaNombre,0))&amp;"",Q3351),Q3351))</f>
        <v/>
      </c>
      <c r="AC3351" s="52">
        <f>IF(OR(K3351="",AND(P3351&lt;&gt;"Transferencia",P3351&lt;&gt;"Pago tarjeta")),"",IFERROR(IF(INDEX(ctaVinc,MATCH(K3351,ctaNombre,0))&amp;""&lt;&gt;"",INDEX(ctaVinc,MATCH(K3351,ctaNombre,0))&amp;"",K3351),K3351))</f>
        <v/>
      </c>
      <c r="AD3351" s="52">
        <f>IF(AB3351="","",IFERROR(INDEX(ctaTipo,MATCH(AB3351,ctaNombre,0))&amp;"",""))</f>
        <v/>
      </c>
      <c r="AE3351" s="52">
        <f>IF(AC3351="","",IFERROR(INDEX(ctaTipo,MATCH(AC3351,ctaNombre,0))&amp;"",""))</f>
        <v/>
      </c>
      <c r="AF3351" s="53">
        <f>IF(OR(P3351="",AB3351=""),"",IF(OR(P3351="Gasto",P3351="Transferencia",P3351="Pago tarjeta"),-1,1)*IF(IFERROR(INDEX(ctaMoneda,MATCH(AB3351,ctaNombre,0))&amp;"","DOP")="USD",T3351,S3351))</f>
        <v/>
      </c>
      <c r="AG3351" s="53">
        <f>IF(AC3351="","",IF(IFERROR(INDEX(ctaMoneda,MATCH(AC3351,ctaNombre,0))&amp;"","DOP")="USD",T3351,S3351))</f>
        <v/>
      </c>
      <c r="AH3351" s="53">
        <f>IF(P3351="","",IF(AND(AD3351&lt;&gt;"",COUNTIFS(tcTipo,AD3351,tcLiq,"Sí")&gt;0),IF(OR(P3351="Gasto",P3351="Transferencia",P3351="Pago tarjeta"),-1,1)*S3351,0)+IF(AND(AE3351&lt;&gt;"",COUNTIFS(tcTipo,AE3351,tcLiq,"Sí")&gt;0),S3351,0))</f>
        <v/>
      </c>
      <c r="AI3351" s="52">
        <f>IF(OR(L3351="",P3351=""),"",IF(COUNTIFS(L$6:L3351,L3351,P$6:P3351,"?*")=1,MAX(AI$5:AI3350)+1,""))</f>
        <v/>
      </c>
    </row>
    <row r="3352">
      <c r="B3352" s="47" t="n"/>
      <c r="C3352" s="48" t="n"/>
      <c r="D3352" s="48" t="n"/>
      <c r="E3352" s="48" t="n"/>
      <c r="F3352" s="48" t="n"/>
      <c r="G3352" s="49" t="n"/>
      <c r="H3352" s="48" t="n"/>
      <c r="I3352" s="50" t="n"/>
      <c r="J3352" s="48" t="n"/>
      <c r="K3352" s="48" t="n"/>
      <c r="L3352" s="48" t="n"/>
      <c r="M3352" s="48" t="n"/>
      <c r="N3352" s="48" t="n"/>
      <c r="O3352" s="51">
        <f>IF(AND(B3352="",G3352="",C3352="",D3352="",J3352=""),"",IF(B3352="","⚠ Falta fecha",IF(G3352="","⚠ Falta monto",IF(Q3352="","⚠ Falta cuenta",IF(ISNA(MATCH(Q3352,ctaNombre,0)),"⚠ Cuenta no registrada",IF(AND(OR(P3352="Gasto",P3352="Reembolso"),D3352=""),"⚠ Falta categoría",IF(AND(D3352&lt;&gt;"",E3352&lt;&gt;"",ISNA(MATCH(D3352&amp;"|"&amp;E3352,catClave,0))),"⚠ Subcategoría no corresponde",IF(AND(OR(P3352="Transferencia",P3352="Pago tarjeta"),K3352=""),"⚠ Falta cuenta destino",IF(AND(K3352&lt;&gt;"",P3352&lt;&gt;"Transferencia",P3352&lt;&gt;"Pago tarjeta"),"⚠ Destino solo aplica a transferencias",IF(AND(K3352&lt;&gt;"",K3352=Q3352),"⚠ Origen igual a destino",IF(AND(K3352&lt;&gt;"",ISNA(MATCH(K3352,ctaNombre,0))),"⚠ Destino no registrado",IF(AND(P3352="Pago tarjeta",AE3352&lt;&gt;"Tarjeta de crédito"),"⚠ El destino debe ser tarjeta de crédito",IF(AND(P3352="Gasto",E3352="Depósitos y retiros"),"⚠ Usa tipo Transferencia",IF(AND(P3352="Resultado trading",AD3352&lt;&gt;"Cuenta de trading"),"⚠ Usa una cuenta de trading",IF(AND(G3352&lt;=0,P3352&lt;&gt;"Ajuste",P3352&lt;&gt;"Resultado trading"),"⚠ El monto debe ser positivo","✓")))))))))))))))</f>
        <v/>
      </c>
      <c r="P3352" s="52">
        <f>IF(OR(B3352="",G3352=""),"",IF(C3352="","Gasto",C3352))</f>
        <v/>
      </c>
      <c r="Q3352" s="52">
        <f>IF(P3352="","",IF(J3352&lt;&gt;"",J3352,CuentaPred&amp;""))</f>
        <v/>
      </c>
      <c r="R3352" s="52">
        <f>IF(P3352="","",IF(ISNUMBER(I3352),I3352,TasaUSD))</f>
        <v/>
      </c>
      <c r="S3352" s="53">
        <f>IF(P3352="","",IF(H3352="USD",G3352*R3352,G3352))</f>
        <v/>
      </c>
      <c r="T3352" s="53">
        <f>IF(P3352="","",IF(H3352="USD",G3352,IF(R3352&gt;0,G3352/R3352,0)))</f>
        <v/>
      </c>
      <c r="U3352" s="53">
        <f>IF(P3352="","",IF(P3352="Gasto",S3352,IF(P3352="Reembolso",-S3352,0)))</f>
        <v/>
      </c>
      <c r="V3352" s="53">
        <f>IF(P3352="","",IF(P3352="Ingreso",S3352,0))</f>
        <v/>
      </c>
      <c r="W3352" s="53">
        <f>IF(P3352="","",IF(P3352="Resultado trading",S3352,0))</f>
        <v/>
      </c>
      <c r="X3352" s="52">
        <f>IF(OR(P3352="Gasto",P3352="Reembolso"),IF(M3352&lt;&gt;"",M3352,IFERROR(INDEX(catClasif,MATCH(D3352&amp;"|"&amp;E3352,catClave,0))&amp;"","Variable")),"")</f>
        <v/>
      </c>
      <c r="Y3352" s="52">
        <f>IF(P3352="","",IFERROR(INDEX(catGrupo,MATCH(D3352&amp;"|"&amp;E3352,catClave,0))&amp;"",""))</f>
        <v/>
      </c>
      <c r="Z3352" s="52">
        <f>IF(P3352="","",WEEKDAY(B3352,2))</f>
        <v/>
      </c>
      <c r="AA3352" s="52">
        <f>IF(P3352="","",IF(AND(P3352="Gasto",X3352="Variable",D3352&lt;&gt;catTrading,S3352&gt;0,S3352&lt;=Umbral),1,0))</f>
        <v/>
      </c>
      <c r="AB3352" s="52">
        <f>IF(OR(P3352="",Q3352=""),"",IFERROR(IF(INDEX(ctaVinc,MATCH(Q3352,ctaNombre,0))&amp;""&lt;&gt;"",INDEX(ctaVinc,MATCH(Q3352,ctaNombre,0))&amp;"",Q3352),Q3352))</f>
        <v/>
      </c>
      <c r="AC3352" s="52">
        <f>IF(OR(K3352="",AND(P3352&lt;&gt;"Transferencia",P3352&lt;&gt;"Pago tarjeta")),"",IFERROR(IF(INDEX(ctaVinc,MATCH(K3352,ctaNombre,0))&amp;""&lt;&gt;"",INDEX(ctaVinc,MATCH(K3352,ctaNombre,0))&amp;"",K3352),K3352))</f>
        <v/>
      </c>
      <c r="AD3352" s="52">
        <f>IF(AB3352="","",IFERROR(INDEX(ctaTipo,MATCH(AB3352,ctaNombre,0))&amp;"",""))</f>
        <v/>
      </c>
      <c r="AE3352" s="52">
        <f>IF(AC3352="","",IFERROR(INDEX(ctaTipo,MATCH(AC3352,ctaNombre,0))&amp;"",""))</f>
        <v/>
      </c>
      <c r="AF3352" s="53">
        <f>IF(OR(P3352="",AB3352=""),"",IF(OR(P3352="Gasto",P3352="Transferencia",P3352="Pago tarjeta"),-1,1)*IF(IFERROR(INDEX(ctaMoneda,MATCH(AB3352,ctaNombre,0))&amp;"","DOP")="USD",T3352,S3352))</f>
        <v/>
      </c>
      <c r="AG3352" s="53">
        <f>IF(AC3352="","",IF(IFERROR(INDEX(ctaMoneda,MATCH(AC3352,ctaNombre,0))&amp;"","DOP")="USD",T3352,S3352))</f>
        <v/>
      </c>
      <c r="AH3352" s="53">
        <f>IF(P3352="","",IF(AND(AD3352&lt;&gt;"",COUNTIFS(tcTipo,AD3352,tcLiq,"Sí")&gt;0),IF(OR(P3352="Gasto",P3352="Transferencia",P3352="Pago tarjeta"),-1,1)*S3352,0)+IF(AND(AE3352&lt;&gt;"",COUNTIFS(tcTipo,AE3352,tcLiq,"Sí")&gt;0),S3352,0))</f>
        <v/>
      </c>
      <c r="AI3352" s="52">
        <f>IF(OR(L3352="",P3352=""),"",IF(COUNTIFS(L$6:L3352,L3352,P$6:P3352,"?*")=1,MAX(AI$5:AI3351)+1,""))</f>
        <v/>
      </c>
    </row>
    <row r="3353">
      <c r="B3353" s="47" t="n"/>
      <c r="C3353" s="48" t="n"/>
      <c r="D3353" s="48" t="n"/>
      <c r="E3353" s="48" t="n"/>
      <c r="F3353" s="48" t="n"/>
      <c r="G3353" s="49" t="n"/>
      <c r="H3353" s="48" t="n"/>
      <c r="I3353" s="50" t="n"/>
      <c r="J3353" s="48" t="n"/>
      <c r="K3353" s="48" t="n"/>
      <c r="L3353" s="48" t="n"/>
      <c r="M3353" s="48" t="n"/>
      <c r="N3353" s="48" t="n"/>
      <c r="O3353" s="51">
        <f>IF(AND(B3353="",G3353="",C3353="",D3353="",J3353=""),"",IF(B3353="","⚠ Falta fecha",IF(G3353="","⚠ Falta monto",IF(Q3353="","⚠ Falta cuenta",IF(ISNA(MATCH(Q3353,ctaNombre,0)),"⚠ Cuenta no registrada",IF(AND(OR(P3353="Gasto",P3353="Reembolso"),D3353=""),"⚠ Falta categoría",IF(AND(D3353&lt;&gt;"",E3353&lt;&gt;"",ISNA(MATCH(D3353&amp;"|"&amp;E3353,catClave,0))),"⚠ Subcategoría no corresponde",IF(AND(OR(P3353="Transferencia",P3353="Pago tarjeta"),K3353=""),"⚠ Falta cuenta destino",IF(AND(K3353&lt;&gt;"",P3353&lt;&gt;"Transferencia",P3353&lt;&gt;"Pago tarjeta"),"⚠ Destino solo aplica a transferencias",IF(AND(K3353&lt;&gt;"",K3353=Q3353),"⚠ Origen igual a destino",IF(AND(K3353&lt;&gt;"",ISNA(MATCH(K3353,ctaNombre,0))),"⚠ Destino no registrado",IF(AND(P3353="Pago tarjeta",AE3353&lt;&gt;"Tarjeta de crédito"),"⚠ El destino debe ser tarjeta de crédito",IF(AND(P3353="Gasto",E3353="Depósitos y retiros"),"⚠ Usa tipo Transferencia",IF(AND(P3353="Resultado trading",AD3353&lt;&gt;"Cuenta de trading"),"⚠ Usa una cuenta de trading",IF(AND(G3353&lt;=0,P3353&lt;&gt;"Ajuste",P3353&lt;&gt;"Resultado trading"),"⚠ El monto debe ser positivo","✓")))))))))))))))</f>
        <v/>
      </c>
      <c r="P3353" s="52">
        <f>IF(OR(B3353="",G3353=""),"",IF(C3353="","Gasto",C3353))</f>
        <v/>
      </c>
      <c r="Q3353" s="52">
        <f>IF(P3353="","",IF(J3353&lt;&gt;"",J3353,CuentaPred&amp;""))</f>
        <v/>
      </c>
      <c r="R3353" s="52">
        <f>IF(P3353="","",IF(ISNUMBER(I3353),I3353,TasaUSD))</f>
        <v/>
      </c>
      <c r="S3353" s="53">
        <f>IF(P3353="","",IF(H3353="USD",G3353*R3353,G3353))</f>
        <v/>
      </c>
      <c r="T3353" s="53">
        <f>IF(P3353="","",IF(H3353="USD",G3353,IF(R3353&gt;0,G3353/R3353,0)))</f>
        <v/>
      </c>
      <c r="U3353" s="53">
        <f>IF(P3353="","",IF(P3353="Gasto",S3353,IF(P3353="Reembolso",-S3353,0)))</f>
        <v/>
      </c>
      <c r="V3353" s="53">
        <f>IF(P3353="","",IF(P3353="Ingreso",S3353,0))</f>
        <v/>
      </c>
      <c r="W3353" s="53">
        <f>IF(P3353="","",IF(P3353="Resultado trading",S3353,0))</f>
        <v/>
      </c>
      <c r="X3353" s="52">
        <f>IF(OR(P3353="Gasto",P3353="Reembolso"),IF(M3353&lt;&gt;"",M3353,IFERROR(INDEX(catClasif,MATCH(D3353&amp;"|"&amp;E3353,catClave,0))&amp;"","Variable")),"")</f>
        <v/>
      </c>
      <c r="Y3353" s="52">
        <f>IF(P3353="","",IFERROR(INDEX(catGrupo,MATCH(D3353&amp;"|"&amp;E3353,catClave,0))&amp;"",""))</f>
        <v/>
      </c>
      <c r="Z3353" s="52">
        <f>IF(P3353="","",WEEKDAY(B3353,2))</f>
        <v/>
      </c>
      <c r="AA3353" s="52">
        <f>IF(P3353="","",IF(AND(P3353="Gasto",X3353="Variable",D3353&lt;&gt;catTrading,S3353&gt;0,S3353&lt;=Umbral),1,0))</f>
        <v/>
      </c>
      <c r="AB3353" s="52">
        <f>IF(OR(P3353="",Q3353=""),"",IFERROR(IF(INDEX(ctaVinc,MATCH(Q3353,ctaNombre,0))&amp;""&lt;&gt;"",INDEX(ctaVinc,MATCH(Q3353,ctaNombre,0))&amp;"",Q3353),Q3353))</f>
        <v/>
      </c>
      <c r="AC3353" s="52">
        <f>IF(OR(K3353="",AND(P3353&lt;&gt;"Transferencia",P3353&lt;&gt;"Pago tarjeta")),"",IFERROR(IF(INDEX(ctaVinc,MATCH(K3353,ctaNombre,0))&amp;""&lt;&gt;"",INDEX(ctaVinc,MATCH(K3353,ctaNombre,0))&amp;"",K3353),K3353))</f>
        <v/>
      </c>
      <c r="AD3353" s="52">
        <f>IF(AB3353="","",IFERROR(INDEX(ctaTipo,MATCH(AB3353,ctaNombre,0))&amp;"",""))</f>
        <v/>
      </c>
      <c r="AE3353" s="52">
        <f>IF(AC3353="","",IFERROR(INDEX(ctaTipo,MATCH(AC3353,ctaNombre,0))&amp;"",""))</f>
        <v/>
      </c>
      <c r="AF3353" s="53">
        <f>IF(OR(P3353="",AB3353=""),"",IF(OR(P3353="Gasto",P3353="Transferencia",P3353="Pago tarjeta"),-1,1)*IF(IFERROR(INDEX(ctaMoneda,MATCH(AB3353,ctaNombre,0))&amp;"","DOP")="USD",T3353,S3353))</f>
        <v/>
      </c>
      <c r="AG3353" s="53">
        <f>IF(AC3353="","",IF(IFERROR(INDEX(ctaMoneda,MATCH(AC3353,ctaNombre,0))&amp;"","DOP")="USD",T3353,S3353))</f>
        <v/>
      </c>
      <c r="AH3353" s="53">
        <f>IF(P3353="","",IF(AND(AD3353&lt;&gt;"",COUNTIFS(tcTipo,AD3353,tcLiq,"Sí")&gt;0),IF(OR(P3353="Gasto",P3353="Transferencia",P3353="Pago tarjeta"),-1,1)*S3353,0)+IF(AND(AE3353&lt;&gt;"",COUNTIFS(tcTipo,AE3353,tcLiq,"Sí")&gt;0),S3353,0))</f>
        <v/>
      </c>
      <c r="AI3353" s="52">
        <f>IF(OR(L3353="",P3353=""),"",IF(COUNTIFS(L$6:L3353,L3353,P$6:P3353,"?*")=1,MAX(AI$5:AI3352)+1,""))</f>
        <v/>
      </c>
    </row>
    <row r="3354">
      <c r="B3354" s="47" t="n"/>
      <c r="C3354" s="48" t="n"/>
      <c r="D3354" s="48" t="n"/>
      <c r="E3354" s="48" t="n"/>
      <c r="F3354" s="48" t="n"/>
      <c r="G3354" s="49" t="n"/>
      <c r="H3354" s="48" t="n"/>
      <c r="I3354" s="50" t="n"/>
      <c r="J3354" s="48" t="n"/>
      <c r="K3354" s="48" t="n"/>
      <c r="L3354" s="48" t="n"/>
      <c r="M3354" s="48" t="n"/>
      <c r="N3354" s="48" t="n"/>
      <c r="O3354" s="51">
        <f>IF(AND(B3354="",G3354="",C3354="",D3354="",J3354=""),"",IF(B3354="","⚠ Falta fecha",IF(G3354="","⚠ Falta monto",IF(Q3354="","⚠ Falta cuenta",IF(ISNA(MATCH(Q3354,ctaNombre,0)),"⚠ Cuenta no registrada",IF(AND(OR(P3354="Gasto",P3354="Reembolso"),D3354=""),"⚠ Falta categoría",IF(AND(D3354&lt;&gt;"",E3354&lt;&gt;"",ISNA(MATCH(D3354&amp;"|"&amp;E3354,catClave,0))),"⚠ Subcategoría no corresponde",IF(AND(OR(P3354="Transferencia",P3354="Pago tarjeta"),K3354=""),"⚠ Falta cuenta destino",IF(AND(K3354&lt;&gt;"",P3354&lt;&gt;"Transferencia",P3354&lt;&gt;"Pago tarjeta"),"⚠ Destino solo aplica a transferencias",IF(AND(K3354&lt;&gt;"",K3354=Q3354),"⚠ Origen igual a destino",IF(AND(K3354&lt;&gt;"",ISNA(MATCH(K3354,ctaNombre,0))),"⚠ Destino no registrado",IF(AND(P3354="Pago tarjeta",AE3354&lt;&gt;"Tarjeta de crédito"),"⚠ El destino debe ser tarjeta de crédito",IF(AND(P3354="Gasto",E3354="Depósitos y retiros"),"⚠ Usa tipo Transferencia",IF(AND(P3354="Resultado trading",AD3354&lt;&gt;"Cuenta de trading"),"⚠ Usa una cuenta de trading",IF(AND(G3354&lt;=0,P3354&lt;&gt;"Ajuste",P3354&lt;&gt;"Resultado trading"),"⚠ El monto debe ser positivo","✓")))))))))))))))</f>
        <v/>
      </c>
      <c r="P3354" s="52">
        <f>IF(OR(B3354="",G3354=""),"",IF(C3354="","Gasto",C3354))</f>
        <v/>
      </c>
      <c r="Q3354" s="52">
        <f>IF(P3354="","",IF(J3354&lt;&gt;"",J3354,CuentaPred&amp;""))</f>
        <v/>
      </c>
      <c r="R3354" s="52">
        <f>IF(P3354="","",IF(ISNUMBER(I3354),I3354,TasaUSD))</f>
        <v/>
      </c>
      <c r="S3354" s="53">
        <f>IF(P3354="","",IF(H3354="USD",G3354*R3354,G3354))</f>
        <v/>
      </c>
      <c r="T3354" s="53">
        <f>IF(P3354="","",IF(H3354="USD",G3354,IF(R3354&gt;0,G3354/R3354,0)))</f>
        <v/>
      </c>
      <c r="U3354" s="53">
        <f>IF(P3354="","",IF(P3354="Gasto",S3354,IF(P3354="Reembolso",-S3354,0)))</f>
        <v/>
      </c>
      <c r="V3354" s="53">
        <f>IF(P3354="","",IF(P3354="Ingreso",S3354,0))</f>
        <v/>
      </c>
      <c r="W3354" s="53">
        <f>IF(P3354="","",IF(P3354="Resultado trading",S3354,0))</f>
        <v/>
      </c>
      <c r="X3354" s="52">
        <f>IF(OR(P3354="Gasto",P3354="Reembolso"),IF(M3354&lt;&gt;"",M3354,IFERROR(INDEX(catClasif,MATCH(D3354&amp;"|"&amp;E3354,catClave,0))&amp;"","Variable")),"")</f>
        <v/>
      </c>
      <c r="Y3354" s="52">
        <f>IF(P3354="","",IFERROR(INDEX(catGrupo,MATCH(D3354&amp;"|"&amp;E3354,catClave,0))&amp;"",""))</f>
        <v/>
      </c>
      <c r="Z3354" s="52">
        <f>IF(P3354="","",WEEKDAY(B3354,2))</f>
        <v/>
      </c>
      <c r="AA3354" s="52">
        <f>IF(P3354="","",IF(AND(P3354="Gasto",X3354="Variable",D3354&lt;&gt;catTrading,S3354&gt;0,S3354&lt;=Umbral),1,0))</f>
        <v/>
      </c>
      <c r="AB3354" s="52">
        <f>IF(OR(P3354="",Q3354=""),"",IFERROR(IF(INDEX(ctaVinc,MATCH(Q3354,ctaNombre,0))&amp;""&lt;&gt;"",INDEX(ctaVinc,MATCH(Q3354,ctaNombre,0))&amp;"",Q3354),Q3354))</f>
        <v/>
      </c>
      <c r="AC3354" s="52">
        <f>IF(OR(K3354="",AND(P3354&lt;&gt;"Transferencia",P3354&lt;&gt;"Pago tarjeta")),"",IFERROR(IF(INDEX(ctaVinc,MATCH(K3354,ctaNombre,0))&amp;""&lt;&gt;"",INDEX(ctaVinc,MATCH(K3354,ctaNombre,0))&amp;"",K3354),K3354))</f>
        <v/>
      </c>
      <c r="AD3354" s="52">
        <f>IF(AB3354="","",IFERROR(INDEX(ctaTipo,MATCH(AB3354,ctaNombre,0))&amp;"",""))</f>
        <v/>
      </c>
      <c r="AE3354" s="52">
        <f>IF(AC3354="","",IFERROR(INDEX(ctaTipo,MATCH(AC3354,ctaNombre,0))&amp;"",""))</f>
        <v/>
      </c>
      <c r="AF3354" s="53">
        <f>IF(OR(P3354="",AB3354=""),"",IF(OR(P3354="Gasto",P3354="Transferencia",P3354="Pago tarjeta"),-1,1)*IF(IFERROR(INDEX(ctaMoneda,MATCH(AB3354,ctaNombre,0))&amp;"","DOP")="USD",T3354,S3354))</f>
        <v/>
      </c>
      <c r="AG3354" s="53">
        <f>IF(AC3354="","",IF(IFERROR(INDEX(ctaMoneda,MATCH(AC3354,ctaNombre,0))&amp;"","DOP")="USD",T3354,S3354))</f>
        <v/>
      </c>
      <c r="AH3354" s="53">
        <f>IF(P3354="","",IF(AND(AD3354&lt;&gt;"",COUNTIFS(tcTipo,AD3354,tcLiq,"Sí")&gt;0),IF(OR(P3354="Gasto",P3354="Transferencia",P3354="Pago tarjeta"),-1,1)*S3354,0)+IF(AND(AE3354&lt;&gt;"",COUNTIFS(tcTipo,AE3354,tcLiq,"Sí")&gt;0),S3354,0))</f>
        <v/>
      </c>
      <c r="AI3354" s="52">
        <f>IF(OR(L3354="",P3354=""),"",IF(COUNTIFS(L$6:L3354,L3354,P$6:P3354,"?*")=1,MAX(AI$5:AI3353)+1,""))</f>
        <v/>
      </c>
    </row>
    <row r="3355">
      <c r="B3355" s="47" t="n"/>
      <c r="C3355" s="48" t="n"/>
      <c r="D3355" s="48" t="n"/>
      <c r="E3355" s="48" t="n"/>
      <c r="F3355" s="48" t="n"/>
      <c r="G3355" s="49" t="n"/>
      <c r="H3355" s="48" t="n"/>
      <c r="I3355" s="50" t="n"/>
      <c r="J3355" s="48" t="n"/>
      <c r="K3355" s="48" t="n"/>
      <c r="L3355" s="48" t="n"/>
      <c r="M3355" s="48" t="n"/>
      <c r="N3355" s="48" t="n"/>
      <c r="O3355" s="51">
        <f>IF(AND(B3355="",G3355="",C3355="",D3355="",J3355=""),"",IF(B3355="","⚠ Falta fecha",IF(G3355="","⚠ Falta monto",IF(Q3355="","⚠ Falta cuenta",IF(ISNA(MATCH(Q3355,ctaNombre,0)),"⚠ Cuenta no registrada",IF(AND(OR(P3355="Gasto",P3355="Reembolso"),D3355=""),"⚠ Falta categoría",IF(AND(D3355&lt;&gt;"",E3355&lt;&gt;"",ISNA(MATCH(D3355&amp;"|"&amp;E3355,catClave,0))),"⚠ Subcategoría no corresponde",IF(AND(OR(P3355="Transferencia",P3355="Pago tarjeta"),K3355=""),"⚠ Falta cuenta destino",IF(AND(K3355&lt;&gt;"",P3355&lt;&gt;"Transferencia",P3355&lt;&gt;"Pago tarjeta"),"⚠ Destino solo aplica a transferencias",IF(AND(K3355&lt;&gt;"",K3355=Q3355),"⚠ Origen igual a destino",IF(AND(K3355&lt;&gt;"",ISNA(MATCH(K3355,ctaNombre,0))),"⚠ Destino no registrado",IF(AND(P3355="Pago tarjeta",AE3355&lt;&gt;"Tarjeta de crédito"),"⚠ El destino debe ser tarjeta de crédito",IF(AND(P3355="Gasto",E3355="Depósitos y retiros"),"⚠ Usa tipo Transferencia",IF(AND(P3355="Resultado trading",AD3355&lt;&gt;"Cuenta de trading"),"⚠ Usa una cuenta de trading",IF(AND(G3355&lt;=0,P3355&lt;&gt;"Ajuste",P3355&lt;&gt;"Resultado trading"),"⚠ El monto debe ser positivo","✓")))))))))))))))</f>
        <v/>
      </c>
      <c r="P3355" s="52">
        <f>IF(OR(B3355="",G3355=""),"",IF(C3355="","Gasto",C3355))</f>
        <v/>
      </c>
      <c r="Q3355" s="52">
        <f>IF(P3355="","",IF(J3355&lt;&gt;"",J3355,CuentaPred&amp;""))</f>
        <v/>
      </c>
      <c r="R3355" s="52">
        <f>IF(P3355="","",IF(ISNUMBER(I3355),I3355,TasaUSD))</f>
        <v/>
      </c>
      <c r="S3355" s="53">
        <f>IF(P3355="","",IF(H3355="USD",G3355*R3355,G3355))</f>
        <v/>
      </c>
      <c r="T3355" s="53">
        <f>IF(P3355="","",IF(H3355="USD",G3355,IF(R3355&gt;0,G3355/R3355,0)))</f>
        <v/>
      </c>
      <c r="U3355" s="53">
        <f>IF(P3355="","",IF(P3355="Gasto",S3355,IF(P3355="Reembolso",-S3355,0)))</f>
        <v/>
      </c>
      <c r="V3355" s="53">
        <f>IF(P3355="","",IF(P3355="Ingreso",S3355,0))</f>
        <v/>
      </c>
      <c r="W3355" s="53">
        <f>IF(P3355="","",IF(P3355="Resultado trading",S3355,0))</f>
        <v/>
      </c>
      <c r="X3355" s="52">
        <f>IF(OR(P3355="Gasto",P3355="Reembolso"),IF(M3355&lt;&gt;"",M3355,IFERROR(INDEX(catClasif,MATCH(D3355&amp;"|"&amp;E3355,catClave,0))&amp;"","Variable")),"")</f>
        <v/>
      </c>
      <c r="Y3355" s="52">
        <f>IF(P3355="","",IFERROR(INDEX(catGrupo,MATCH(D3355&amp;"|"&amp;E3355,catClave,0))&amp;"",""))</f>
        <v/>
      </c>
      <c r="Z3355" s="52">
        <f>IF(P3355="","",WEEKDAY(B3355,2))</f>
        <v/>
      </c>
      <c r="AA3355" s="52">
        <f>IF(P3355="","",IF(AND(P3355="Gasto",X3355="Variable",D3355&lt;&gt;catTrading,S3355&gt;0,S3355&lt;=Umbral),1,0))</f>
        <v/>
      </c>
      <c r="AB3355" s="52">
        <f>IF(OR(P3355="",Q3355=""),"",IFERROR(IF(INDEX(ctaVinc,MATCH(Q3355,ctaNombre,0))&amp;""&lt;&gt;"",INDEX(ctaVinc,MATCH(Q3355,ctaNombre,0))&amp;"",Q3355),Q3355))</f>
        <v/>
      </c>
      <c r="AC3355" s="52">
        <f>IF(OR(K3355="",AND(P3355&lt;&gt;"Transferencia",P3355&lt;&gt;"Pago tarjeta")),"",IFERROR(IF(INDEX(ctaVinc,MATCH(K3355,ctaNombre,0))&amp;""&lt;&gt;"",INDEX(ctaVinc,MATCH(K3355,ctaNombre,0))&amp;"",K3355),K3355))</f>
        <v/>
      </c>
      <c r="AD3355" s="52">
        <f>IF(AB3355="","",IFERROR(INDEX(ctaTipo,MATCH(AB3355,ctaNombre,0))&amp;"",""))</f>
        <v/>
      </c>
      <c r="AE3355" s="52">
        <f>IF(AC3355="","",IFERROR(INDEX(ctaTipo,MATCH(AC3355,ctaNombre,0))&amp;"",""))</f>
        <v/>
      </c>
      <c r="AF3355" s="53">
        <f>IF(OR(P3355="",AB3355=""),"",IF(OR(P3355="Gasto",P3355="Transferencia",P3355="Pago tarjeta"),-1,1)*IF(IFERROR(INDEX(ctaMoneda,MATCH(AB3355,ctaNombre,0))&amp;"","DOP")="USD",T3355,S3355))</f>
        <v/>
      </c>
      <c r="AG3355" s="53">
        <f>IF(AC3355="","",IF(IFERROR(INDEX(ctaMoneda,MATCH(AC3355,ctaNombre,0))&amp;"","DOP")="USD",T3355,S3355))</f>
        <v/>
      </c>
      <c r="AH3355" s="53">
        <f>IF(P3355="","",IF(AND(AD3355&lt;&gt;"",COUNTIFS(tcTipo,AD3355,tcLiq,"Sí")&gt;0),IF(OR(P3355="Gasto",P3355="Transferencia",P3355="Pago tarjeta"),-1,1)*S3355,0)+IF(AND(AE3355&lt;&gt;"",COUNTIFS(tcTipo,AE3355,tcLiq,"Sí")&gt;0),S3355,0))</f>
        <v/>
      </c>
      <c r="AI3355" s="52">
        <f>IF(OR(L3355="",P3355=""),"",IF(COUNTIFS(L$6:L3355,L3355,P$6:P3355,"?*")=1,MAX(AI$5:AI3354)+1,""))</f>
        <v/>
      </c>
    </row>
    <row r="3356">
      <c r="B3356" s="47" t="n"/>
      <c r="C3356" s="48" t="n"/>
      <c r="D3356" s="48" t="n"/>
      <c r="E3356" s="48" t="n"/>
      <c r="F3356" s="48" t="n"/>
      <c r="G3356" s="49" t="n"/>
      <c r="H3356" s="48" t="n"/>
      <c r="I3356" s="50" t="n"/>
      <c r="J3356" s="48" t="n"/>
      <c r="K3356" s="48" t="n"/>
      <c r="L3356" s="48" t="n"/>
      <c r="M3356" s="48" t="n"/>
      <c r="N3356" s="48" t="n"/>
      <c r="O3356" s="51">
        <f>IF(AND(B3356="",G3356="",C3356="",D3356="",J3356=""),"",IF(B3356="","⚠ Falta fecha",IF(G3356="","⚠ Falta monto",IF(Q3356="","⚠ Falta cuenta",IF(ISNA(MATCH(Q3356,ctaNombre,0)),"⚠ Cuenta no registrada",IF(AND(OR(P3356="Gasto",P3356="Reembolso"),D3356=""),"⚠ Falta categoría",IF(AND(D3356&lt;&gt;"",E3356&lt;&gt;"",ISNA(MATCH(D3356&amp;"|"&amp;E3356,catClave,0))),"⚠ Subcategoría no corresponde",IF(AND(OR(P3356="Transferencia",P3356="Pago tarjeta"),K3356=""),"⚠ Falta cuenta destino",IF(AND(K3356&lt;&gt;"",P3356&lt;&gt;"Transferencia",P3356&lt;&gt;"Pago tarjeta"),"⚠ Destino solo aplica a transferencias",IF(AND(K3356&lt;&gt;"",K3356=Q3356),"⚠ Origen igual a destino",IF(AND(K3356&lt;&gt;"",ISNA(MATCH(K3356,ctaNombre,0))),"⚠ Destino no registrado",IF(AND(P3356="Pago tarjeta",AE3356&lt;&gt;"Tarjeta de crédito"),"⚠ El destino debe ser tarjeta de crédito",IF(AND(P3356="Gasto",E3356="Depósitos y retiros"),"⚠ Usa tipo Transferencia",IF(AND(P3356="Resultado trading",AD3356&lt;&gt;"Cuenta de trading"),"⚠ Usa una cuenta de trading",IF(AND(G3356&lt;=0,P3356&lt;&gt;"Ajuste",P3356&lt;&gt;"Resultado trading"),"⚠ El monto debe ser positivo","✓")))))))))))))))</f>
        <v/>
      </c>
      <c r="P3356" s="52">
        <f>IF(OR(B3356="",G3356=""),"",IF(C3356="","Gasto",C3356))</f>
        <v/>
      </c>
      <c r="Q3356" s="52">
        <f>IF(P3356="","",IF(J3356&lt;&gt;"",J3356,CuentaPred&amp;""))</f>
        <v/>
      </c>
      <c r="R3356" s="52">
        <f>IF(P3356="","",IF(ISNUMBER(I3356),I3356,TasaUSD))</f>
        <v/>
      </c>
      <c r="S3356" s="53">
        <f>IF(P3356="","",IF(H3356="USD",G3356*R3356,G3356))</f>
        <v/>
      </c>
      <c r="T3356" s="53">
        <f>IF(P3356="","",IF(H3356="USD",G3356,IF(R3356&gt;0,G3356/R3356,0)))</f>
        <v/>
      </c>
      <c r="U3356" s="53">
        <f>IF(P3356="","",IF(P3356="Gasto",S3356,IF(P3356="Reembolso",-S3356,0)))</f>
        <v/>
      </c>
      <c r="V3356" s="53">
        <f>IF(P3356="","",IF(P3356="Ingreso",S3356,0))</f>
        <v/>
      </c>
      <c r="W3356" s="53">
        <f>IF(P3356="","",IF(P3356="Resultado trading",S3356,0))</f>
        <v/>
      </c>
      <c r="X3356" s="52">
        <f>IF(OR(P3356="Gasto",P3356="Reembolso"),IF(M3356&lt;&gt;"",M3356,IFERROR(INDEX(catClasif,MATCH(D3356&amp;"|"&amp;E3356,catClave,0))&amp;"","Variable")),"")</f>
        <v/>
      </c>
      <c r="Y3356" s="52">
        <f>IF(P3356="","",IFERROR(INDEX(catGrupo,MATCH(D3356&amp;"|"&amp;E3356,catClave,0))&amp;"",""))</f>
        <v/>
      </c>
      <c r="Z3356" s="52">
        <f>IF(P3356="","",WEEKDAY(B3356,2))</f>
        <v/>
      </c>
      <c r="AA3356" s="52">
        <f>IF(P3356="","",IF(AND(P3356="Gasto",X3356="Variable",D3356&lt;&gt;catTrading,S3356&gt;0,S3356&lt;=Umbral),1,0))</f>
        <v/>
      </c>
      <c r="AB3356" s="52">
        <f>IF(OR(P3356="",Q3356=""),"",IFERROR(IF(INDEX(ctaVinc,MATCH(Q3356,ctaNombre,0))&amp;""&lt;&gt;"",INDEX(ctaVinc,MATCH(Q3356,ctaNombre,0))&amp;"",Q3356),Q3356))</f>
        <v/>
      </c>
      <c r="AC3356" s="52">
        <f>IF(OR(K3356="",AND(P3356&lt;&gt;"Transferencia",P3356&lt;&gt;"Pago tarjeta")),"",IFERROR(IF(INDEX(ctaVinc,MATCH(K3356,ctaNombre,0))&amp;""&lt;&gt;"",INDEX(ctaVinc,MATCH(K3356,ctaNombre,0))&amp;"",K3356),K3356))</f>
        <v/>
      </c>
      <c r="AD3356" s="52">
        <f>IF(AB3356="","",IFERROR(INDEX(ctaTipo,MATCH(AB3356,ctaNombre,0))&amp;"",""))</f>
        <v/>
      </c>
      <c r="AE3356" s="52">
        <f>IF(AC3356="","",IFERROR(INDEX(ctaTipo,MATCH(AC3356,ctaNombre,0))&amp;"",""))</f>
        <v/>
      </c>
      <c r="AF3356" s="53">
        <f>IF(OR(P3356="",AB3356=""),"",IF(OR(P3356="Gasto",P3356="Transferencia",P3356="Pago tarjeta"),-1,1)*IF(IFERROR(INDEX(ctaMoneda,MATCH(AB3356,ctaNombre,0))&amp;"","DOP")="USD",T3356,S3356))</f>
        <v/>
      </c>
      <c r="AG3356" s="53">
        <f>IF(AC3356="","",IF(IFERROR(INDEX(ctaMoneda,MATCH(AC3356,ctaNombre,0))&amp;"","DOP")="USD",T3356,S3356))</f>
        <v/>
      </c>
      <c r="AH3356" s="53">
        <f>IF(P3356="","",IF(AND(AD3356&lt;&gt;"",COUNTIFS(tcTipo,AD3356,tcLiq,"Sí")&gt;0),IF(OR(P3356="Gasto",P3356="Transferencia",P3356="Pago tarjeta"),-1,1)*S3356,0)+IF(AND(AE3356&lt;&gt;"",COUNTIFS(tcTipo,AE3356,tcLiq,"Sí")&gt;0),S3356,0))</f>
        <v/>
      </c>
      <c r="AI3356" s="52">
        <f>IF(OR(L3356="",P3356=""),"",IF(COUNTIFS(L$6:L3356,L3356,P$6:P3356,"?*")=1,MAX(AI$5:AI3355)+1,""))</f>
        <v/>
      </c>
    </row>
    <row r="3357">
      <c r="B3357" s="47" t="n"/>
      <c r="C3357" s="48" t="n"/>
      <c r="D3357" s="48" t="n"/>
      <c r="E3357" s="48" t="n"/>
      <c r="F3357" s="48" t="n"/>
      <c r="G3357" s="49" t="n"/>
      <c r="H3357" s="48" t="n"/>
      <c r="I3357" s="50" t="n"/>
      <c r="J3357" s="48" t="n"/>
      <c r="K3357" s="48" t="n"/>
      <c r="L3357" s="48" t="n"/>
      <c r="M3357" s="48" t="n"/>
      <c r="N3357" s="48" t="n"/>
      <c r="O3357" s="51">
        <f>IF(AND(B3357="",G3357="",C3357="",D3357="",J3357=""),"",IF(B3357="","⚠ Falta fecha",IF(G3357="","⚠ Falta monto",IF(Q3357="","⚠ Falta cuenta",IF(ISNA(MATCH(Q3357,ctaNombre,0)),"⚠ Cuenta no registrada",IF(AND(OR(P3357="Gasto",P3357="Reembolso"),D3357=""),"⚠ Falta categoría",IF(AND(D3357&lt;&gt;"",E3357&lt;&gt;"",ISNA(MATCH(D3357&amp;"|"&amp;E3357,catClave,0))),"⚠ Subcategoría no corresponde",IF(AND(OR(P3357="Transferencia",P3357="Pago tarjeta"),K3357=""),"⚠ Falta cuenta destino",IF(AND(K3357&lt;&gt;"",P3357&lt;&gt;"Transferencia",P3357&lt;&gt;"Pago tarjeta"),"⚠ Destino solo aplica a transferencias",IF(AND(K3357&lt;&gt;"",K3357=Q3357),"⚠ Origen igual a destino",IF(AND(K3357&lt;&gt;"",ISNA(MATCH(K3357,ctaNombre,0))),"⚠ Destino no registrado",IF(AND(P3357="Pago tarjeta",AE3357&lt;&gt;"Tarjeta de crédito"),"⚠ El destino debe ser tarjeta de crédito",IF(AND(P3357="Gasto",E3357="Depósitos y retiros"),"⚠ Usa tipo Transferencia",IF(AND(P3357="Resultado trading",AD3357&lt;&gt;"Cuenta de trading"),"⚠ Usa una cuenta de trading",IF(AND(G3357&lt;=0,P3357&lt;&gt;"Ajuste",P3357&lt;&gt;"Resultado trading"),"⚠ El monto debe ser positivo","✓")))))))))))))))</f>
        <v/>
      </c>
      <c r="P3357" s="52">
        <f>IF(OR(B3357="",G3357=""),"",IF(C3357="","Gasto",C3357))</f>
        <v/>
      </c>
      <c r="Q3357" s="52">
        <f>IF(P3357="","",IF(J3357&lt;&gt;"",J3357,CuentaPred&amp;""))</f>
        <v/>
      </c>
      <c r="R3357" s="52">
        <f>IF(P3357="","",IF(ISNUMBER(I3357),I3357,TasaUSD))</f>
        <v/>
      </c>
      <c r="S3357" s="53">
        <f>IF(P3357="","",IF(H3357="USD",G3357*R3357,G3357))</f>
        <v/>
      </c>
      <c r="T3357" s="53">
        <f>IF(P3357="","",IF(H3357="USD",G3357,IF(R3357&gt;0,G3357/R3357,0)))</f>
        <v/>
      </c>
      <c r="U3357" s="53">
        <f>IF(P3357="","",IF(P3357="Gasto",S3357,IF(P3357="Reembolso",-S3357,0)))</f>
        <v/>
      </c>
      <c r="V3357" s="53">
        <f>IF(P3357="","",IF(P3357="Ingreso",S3357,0))</f>
        <v/>
      </c>
      <c r="W3357" s="53">
        <f>IF(P3357="","",IF(P3357="Resultado trading",S3357,0))</f>
        <v/>
      </c>
      <c r="X3357" s="52">
        <f>IF(OR(P3357="Gasto",P3357="Reembolso"),IF(M3357&lt;&gt;"",M3357,IFERROR(INDEX(catClasif,MATCH(D3357&amp;"|"&amp;E3357,catClave,0))&amp;"","Variable")),"")</f>
        <v/>
      </c>
      <c r="Y3357" s="52">
        <f>IF(P3357="","",IFERROR(INDEX(catGrupo,MATCH(D3357&amp;"|"&amp;E3357,catClave,0))&amp;"",""))</f>
        <v/>
      </c>
      <c r="Z3357" s="52">
        <f>IF(P3357="","",WEEKDAY(B3357,2))</f>
        <v/>
      </c>
      <c r="AA3357" s="52">
        <f>IF(P3357="","",IF(AND(P3357="Gasto",X3357="Variable",D3357&lt;&gt;catTrading,S3357&gt;0,S3357&lt;=Umbral),1,0))</f>
        <v/>
      </c>
      <c r="AB3357" s="52">
        <f>IF(OR(P3357="",Q3357=""),"",IFERROR(IF(INDEX(ctaVinc,MATCH(Q3357,ctaNombre,0))&amp;""&lt;&gt;"",INDEX(ctaVinc,MATCH(Q3357,ctaNombre,0))&amp;"",Q3357),Q3357))</f>
        <v/>
      </c>
      <c r="AC3357" s="52">
        <f>IF(OR(K3357="",AND(P3357&lt;&gt;"Transferencia",P3357&lt;&gt;"Pago tarjeta")),"",IFERROR(IF(INDEX(ctaVinc,MATCH(K3357,ctaNombre,0))&amp;""&lt;&gt;"",INDEX(ctaVinc,MATCH(K3357,ctaNombre,0))&amp;"",K3357),K3357))</f>
        <v/>
      </c>
      <c r="AD3357" s="52">
        <f>IF(AB3357="","",IFERROR(INDEX(ctaTipo,MATCH(AB3357,ctaNombre,0))&amp;"",""))</f>
        <v/>
      </c>
      <c r="AE3357" s="52">
        <f>IF(AC3357="","",IFERROR(INDEX(ctaTipo,MATCH(AC3357,ctaNombre,0))&amp;"",""))</f>
        <v/>
      </c>
      <c r="AF3357" s="53">
        <f>IF(OR(P3357="",AB3357=""),"",IF(OR(P3357="Gasto",P3357="Transferencia",P3357="Pago tarjeta"),-1,1)*IF(IFERROR(INDEX(ctaMoneda,MATCH(AB3357,ctaNombre,0))&amp;"","DOP")="USD",T3357,S3357))</f>
        <v/>
      </c>
      <c r="AG3357" s="53">
        <f>IF(AC3357="","",IF(IFERROR(INDEX(ctaMoneda,MATCH(AC3357,ctaNombre,0))&amp;"","DOP")="USD",T3357,S3357))</f>
        <v/>
      </c>
      <c r="AH3357" s="53">
        <f>IF(P3357="","",IF(AND(AD3357&lt;&gt;"",COUNTIFS(tcTipo,AD3357,tcLiq,"Sí")&gt;0),IF(OR(P3357="Gasto",P3357="Transferencia",P3357="Pago tarjeta"),-1,1)*S3357,0)+IF(AND(AE3357&lt;&gt;"",COUNTIFS(tcTipo,AE3357,tcLiq,"Sí")&gt;0),S3357,0))</f>
        <v/>
      </c>
      <c r="AI3357" s="52">
        <f>IF(OR(L3357="",P3357=""),"",IF(COUNTIFS(L$6:L3357,L3357,P$6:P3357,"?*")=1,MAX(AI$5:AI3356)+1,""))</f>
        <v/>
      </c>
    </row>
    <row r="3358">
      <c r="B3358" s="47" t="n"/>
      <c r="C3358" s="48" t="n"/>
      <c r="D3358" s="48" t="n"/>
      <c r="E3358" s="48" t="n"/>
      <c r="F3358" s="48" t="n"/>
      <c r="G3358" s="49" t="n"/>
      <c r="H3358" s="48" t="n"/>
      <c r="I3358" s="50" t="n"/>
      <c r="J3358" s="48" t="n"/>
      <c r="K3358" s="48" t="n"/>
      <c r="L3358" s="48" t="n"/>
      <c r="M3358" s="48" t="n"/>
      <c r="N3358" s="48" t="n"/>
      <c r="O3358" s="51">
        <f>IF(AND(B3358="",G3358="",C3358="",D3358="",J3358=""),"",IF(B3358="","⚠ Falta fecha",IF(G3358="","⚠ Falta monto",IF(Q3358="","⚠ Falta cuenta",IF(ISNA(MATCH(Q3358,ctaNombre,0)),"⚠ Cuenta no registrada",IF(AND(OR(P3358="Gasto",P3358="Reembolso"),D3358=""),"⚠ Falta categoría",IF(AND(D3358&lt;&gt;"",E3358&lt;&gt;"",ISNA(MATCH(D3358&amp;"|"&amp;E3358,catClave,0))),"⚠ Subcategoría no corresponde",IF(AND(OR(P3358="Transferencia",P3358="Pago tarjeta"),K3358=""),"⚠ Falta cuenta destino",IF(AND(K3358&lt;&gt;"",P3358&lt;&gt;"Transferencia",P3358&lt;&gt;"Pago tarjeta"),"⚠ Destino solo aplica a transferencias",IF(AND(K3358&lt;&gt;"",K3358=Q3358),"⚠ Origen igual a destino",IF(AND(K3358&lt;&gt;"",ISNA(MATCH(K3358,ctaNombre,0))),"⚠ Destino no registrado",IF(AND(P3358="Pago tarjeta",AE3358&lt;&gt;"Tarjeta de crédito"),"⚠ El destino debe ser tarjeta de crédito",IF(AND(P3358="Gasto",E3358="Depósitos y retiros"),"⚠ Usa tipo Transferencia",IF(AND(P3358="Resultado trading",AD3358&lt;&gt;"Cuenta de trading"),"⚠ Usa una cuenta de trading",IF(AND(G3358&lt;=0,P3358&lt;&gt;"Ajuste",P3358&lt;&gt;"Resultado trading"),"⚠ El monto debe ser positivo","✓")))))))))))))))</f>
        <v/>
      </c>
      <c r="P3358" s="52">
        <f>IF(OR(B3358="",G3358=""),"",IF(C3358="","Gasto",C3358))</f>
        <v/>
      </c>
      <c r="Q3358" s="52">
        <f>IF(P3358="","",IF(J3358&lt;&gt;"",J3358,CuentaPred&amp;""))</f>
        <v/>
      </c>
      <c r="R3358" s="52">
        <f>IF(P3358="","",IF(ISNUMBER(I3358),I3358,TasaUSD))</f>
        <v/>
      </c>
      <c r="S3358" s="53">
        <f>IF(P3358="","",IF(H3358="USD",G3358*R3358,G3358))</f>
        <v/>
      </c>
      <c r="T3358" s="53">
        <f>IF(P3358="","",IF(H3358="USD",G3358,IF(R3358&gt;0,G3358/R3358,0)))</f>
        <v/>
      </c>
      <c r="U3358" s="53">
        <f>IF(P3358="","",IF(P3358="Gasto",S3358,IF(P3358="Reembolso",-S3358,0)))</f>
        <v/>
      </c>
      <c r="V3358" s="53">
        <f>IF(P3358="","",IF(P3358="Ingreso",S3358,0))</f>
        <v/>
      </c>
      <c r="W3358" s="53">
        <f>IF(P3358="","",IF(P3358="Resultado trading",S3358,0))</f>
        <v/>
      </c>
      <c r="X3358" s="52">
        <f>IF(OR(P3358="Gasto",P3358="Reembolso"),IF(M3358&lt;&gt;"",M3358,IFERROR(INDEX(catClasif,MATCH(D3358&amp;"|"&amp;E3358,catClave,0))&amp;"","Variable")),"")</f>
        <v/>
      </c>
      <c r="Y3358" s="52">
        <f>IF(P3358="","",IFERROR(INDEX(catGrupo,MATCH(D3358&amp;"|"&amp;E3358,catClave,0))&amp;"",""))</f>
        <v/>
      </c>
      <c r="Z3358" s="52">
        <f>IF(P3358="","",WEEKDAY(B3358,2))</f>
        <v/>
      </c>
      <c r="AA3358" s="52">
        <f>IF(P3358="","",IF(AND(P3358="Gasto",X3358="Variable",D3358&lt;&gt;catTrading,S3358&gt;0,S3358&lt;=Umbral),1,0))</f>
        <v/>
      </c>
      <c r="AB3358" s="52">
        <f>IF(OR(P3358="",Q3358=""),"",IFERROR(IF(INDEX(ctaVinc,MATCH(Q3358,ctaNombre,0))&amp;""&lt;&gt;"",INDEX(ctaVinc,MATCH(Q3358,ctaNombre,0))&amp;"",Q3358),Q3358))</f>
        <v/>
      </c>
      <c r="AC3358" s="52">
        <f>IF(OR(K3358="",AND(P3358&lt;&gt;"Transferencia",P3358&lt;&gt;"Pago tarjeta")),"",IFERROR(IF(INDEX(ctaVinc,MATCH(K3358,ctaNombre,0))&amp;""&lt;&gt;"",INDEX(ctaVinc,MATCH(K3358,ctaNombre,0))&amp;"",K3358),K3358))</f>
        <v/>
      </c>
      <c r="AD3358" s="52">
        <f>IF(AB3358="","",IFERROR(INDEX(ctaTipo,MATCH(AB3358,ctaNombre,0))&amp;"",""))</f>
        <v/>
      </c>
      <c r="AE3358" s="52">
        <f>IF(AC3358="","",IFERROR(INDEX(ctaTipo,MATCH(AC3358,ctaNombre,0))&amp;"",""))</f>
        <v/>
      </c>
      <c r="AF3358" s="53">
        <f>IF(OR(P3358="",AB3358=""),"",IF(OR(P3358="Gasto",P3358="Transferencia",P3358="Pago tarjeta"),-1,1)*IF(IFERROR(INDEX(ctaMoneda,MATCH(AB3358,ctaNombre,0))&amp;"","DOP")="USD",T3358,S3358))</f>
        <v/>
      </c>
      <c r="AG3358" s="53">
        <f>IF(AC3358="","",IF(IFERROR(INDEX(ctaMoneda,MATCH(AC3358,ctaNombre,0))&amp;"","DOP")="USD",T3358,S3358))</f>
        <v/>
      </c>
      <c r="AH3358" s="53">
        <f>IF(P3358="","",IF(AND(AD3358&lt;&gt;"",COUNTIFS(tcTipo,AD3358,tcLiq,"Sí")&gt;0),IF(OR(P3358="Gasto",P3358="Transferencia",P3358="Pago tarjeta"),-1,1)*S3358,0)+IF(AND(AE3358&lt;&gt;"",COUNTIFS(tcTipo,AE3358,tcLiq,"Sí")&gt;0),S3358,0))</f>
        <v/>
      </c>
      <c r="AI3358" s="52">
        <f>IF(OR(L3358="",P3358=""),"",IF(COUNTIFS(L$6:L3358,L3358,P$6:P3358,"?*")=1,MAX(AI$5:AI3357)+1,""))</f>
        <v/>
      </c>
    </row>
    <row r="3359">
      <c r="B3359" s="47" t="n"/>
      <c r="C3359" s="48" t="n"/>
      <c r="D3359" s="48" t="n"/>
      <c r="E3359" s="48" t="n"/>
      <c r="F3359" s="48" t="n"/>
      <c r="G3359" s="49" t="n"/>
      <c r="H3359" s="48" t="n"/>
      <c r="I3359" s="50" t="n"/>
      <c r="J3359" s="48" t="n"/>
      <c r="K3359" s="48" t="n"/>
      <c r="L3359" s="48" t="n"/>
      <c r="M3359" s="48" t="n"/>
      <c r="N3359" s="48" t="n"/>
      <c r="O3359" s="51">
        <f>IF(AND(B3359="",G3359="",C3359="",D3359="",J3359=""),"",IF(B3359="","⚠ Falta fecha",IF(G3359="","⚠ Falta monto",IF(Q3359="","⚠ Falta cuenta",IF(ISNA(MATCH(Q3359,ctaNombre,0)),"⚠ Cuenta no registrada",IF(AND(OR(P3359="Gasto",P3359="Reembolso"),D3359=""),"⚠ Falta categoría",IF(AND(D3359&lt;&gt;"",E3359&lt;&gt;"",ISNA(MATCH(D3359&amp;"|"&amp;E3359,catClave,0))),"⚠ Subcategoría no corresponde",IF(AND(OR(P3359="Transferencia",P3359="Pago tarjeta"),K3359=""),"⚠ Falta cuenta destino",IF(AND(K3359&lt;&gt;"",P3359&lt;&gt;"Transferencia",P3359&lt;&gt;"Pago tarjeta"),"⚠ Destino solo aplica a transferencias",IF(AND(K3359&lt;&gt;"",K3359=Q3359),"⚠ Origen igual a destino",IF(AND(K3359&lt;&gt;"",ISNA(MATCH(K3359,ctaNombre,0))),"⚠ Destino no registrado",IF(AND(P3359="Pago tarjeta",AE3359&lt;&gt;"Tarjeta de crédito"),"⚠ El destino debe ser tarjeta de crédito",IF(AND(P3359="Gasto",E3359="Depósitos y retiros"),"⚠ Usa tipo Transferencia",IF(AND(P3359="Resultado trading",AD3359&lt;&gt;"Cuenta de trading"),"⚠ Usa una cuenta de trading",IF(AND(G3359&lt;=0,P3359&lt;&gt;"Ajuste",P3359&lt;&gt;"Resultado trading"),"⚠ El monto debe ser positivo","✓")))))))))))))))</f>
        <v/>
      </c>
      <c r="P3359" s="52">
        <f>IF(OR(B3359="",G3359=""),"",IF(C3359="","Gasto",C3359))</f>
        <v/>
      </c>
      <c r="Q3359" s="52">
        <f>IF(P3359="","",IF(J3359&lt;&gt;"",J3359,CuentaPred&amp;""))</f>
        <v/>
      </c>
      <c r="R3359" s="52">
        <f>IF(P3359="","",IF(ISNUMBER(I3359),I3359,TasaUSD))</f>
        <v/>
      </c>
      <c r="S3359" s="53">
        <f>IF(P3359="","",IF(H3359="USD",G3359*R3359,G3359))</f>
        <v/>
      </c>
      <c r="T3359" s="53">
        <f>IF(P3359="","",IF(H3359="USD",G3359,IF(R3359&gt;0,G3359/R3359,0)))</f>
        <v/>
      </c>
      <c r="U3359" s="53">
        <f>IF(P3359="","",IF(P3359="Gasto",S3359,IF(P3359="Reembolso",-S3359,0)))</f>
        <v/>
      </c>
      <c r="V3359" s="53">
        <f>IF(P3359="","",IF(P3359="Ingreso",S3359,0))</f>
        <v/>
      </c>
      <c r="W3359" s="53">
        <f>IF(P3359="","",IF(P3359="Resultado trading",S3359,0))</f>
        <v/>
      </c>
      <c r="X3359" s="52">
        <f>IF(OR(P3359="Gasto",P3359="Reembolso"),IF(M3359&lt;&gt;"",M3359,IFERROR(INDEX(catClasif,MATCH(D3359&amp;"|"&amp;E3359,catClave,0))&amp;"","Variable")),"")</f>
        <v/>
      </c>
      <c r="Y3359" s="52">
        <f>IF(P3359="","",IFERROR(INDEX(catGrupo,MATCH(D3359&amp;"|"&amp;E3359,catClave,0))&amp;"",""))</f>
        <v/>
      </c>
      <c r="Z3359" s="52">
        <f>IF(P3359="","",WEEKDAY(B3359,2))</f>
        <v/>
      </c>
      <c r="AA3359" s="52">
        <f>IF(P3359="","",IF(AND(P3359="Gasto",X3359="Variable",D3359&lt;&gt;catTrading,S3359&gt;0,S3359&lt;=Umbral),1,0))</f>
        <v/>
      </c>
      <c r="AB3359" s="52">
        <f>IF(OR(P3359="",Q3359=""),"",IFERROR(IF(INDEX(ctaVinc,MATCH(Q3359,ctaNombre,0))&amp;""&lt;&gt;"",INDEX(ctaVinc,MATCH(Q3359,ctaNombre,0))&amp;"",Q3359),Q3359))</f>
        <v/>
      </c>
      <c r="AC3359" s="52">
        <f>IF(OR(K3359="",AND(P3359&lt;&gt;"Transferencia",P3359&lt;&gt;"Pago tarjeta")),"",IFERROR(IF(INDEX(ctaVinc,MATCH(K3359,ctaNombre,0))&amp;""&lt;&gt;"",INDEX(ctaVinc,MATCH(K3359,ctaNombre,0))&amp;"",K3359),K3359))</f>
        <v/>
      </c>
      <c r="AD3359" s="52">
        <f>IF(AB3359="","",IFERROR(INDEX(ctaTipo,MATCH(AB3359,ctaNombre,0))&amp;"",""))</f>
        <v/>
      </c>
      <c r="AE3359" s="52">
        <f>IF(AC3359="","",IFERROR(INDEX(ctaTipo,MATCH(AC3359,ctaNombre,0))&amp;"",""))</f>
        <v/>
      </c>
      <c r="AF3359" s="53">
        <f>IF(OR(P3359="",AB3359=""),"",IF(OR(P3359="Gasto",P3359="Transferencia",P3359="Pago tarjeta"),-1,1)*IF(IFERROR(INDEX(ctaMoneda,MATCH(AB3359,ctaNombre,0))&amp;"","DOP")="USD",T3359,S3359))</f>
        <v/>
      </c>
      <c r="AG3359" s="53">
        <f>IF(AC3359="","",IF(IFERROR(INDEX(ctaMoneda,MATCH(AC3359,ctaNombre,0))&amp;"","DOP")="USD",T3359,S3359))</f>
        <v/>
      </c>
      <c r="AH3359" s="53">
        <f>IF(P3359="","",IF(AND(AD3359&lt;&gt;"",COUNTIFS(tcTipo,AD3359,tcLiq,"Sí")&gt;0),IF(OR(P3359="Gasto",P3359="Transferencia",P3359="Pago tarjeta"),-1,1)*S3359,0)+IF(AND(AE3359&lt;&gt;"",COUNTIFS(tcTipo,AE3359,tcLiq,"Sí")&gt;0),S3359,0))</f>
        <v/>
      </c>
      <c r="AI3359" s="52">
        <f>IF(OR(L3359="",P3359=""),"",IF(COUNTIFS(L$6:L3359,L3359,P$6:P3359,"?*")=1,MAX(AI$5:AI3358)+1,""))</f>
        <v/>
      </c>
    </row>
    <row r="3360">
      <c r="B3360" s="47" t="n"/>
      <c r="C3360" s="48" t="n"/>
      <c r="D3360" s="48" t="n"/>
      <c r="E3360" s="48" t="n"/>
      <c r="F3360" s="48" t="n"/>
      <c r="G3360" s="49" t="n"/>
      <c r="H3360" s="48" t="n"/>
      <c r="I3360" s="50" t="n"/>
      <c r="J3360" s="48" t="n"/>
      <c r="K3360" s="48" t="n"/>
      <c r="L3360" s="48" t="n"/>
      <c r="M3360" s="48" t="n"/>
      <c r="N3360" s="48" t="n"/>
      <c r="O3360" s="51">
        <f>IF(AND(B3360="",G3360="",C3360="",D3360="",J3360=""),"",IF(B3360="","⚠ Falta fecha",IF(G3360="","⚠ Falta monto",IF(Q3360="","⚠ Falta cuenta",IF(ISNA(MATCH(Q3360,ctaNombre,0)),"⚠ Cuenta no registrada",IF(AND(OR(P3360="Gasto",P3360="Reembolso"),D3360=""),"⚠ Falta categoría",IF(AND(D3360&lt;&gt;"",E3360&lt;&gt;"",ISNA(MATCH(D3360&amp;"|"&amp;E3360,catClave,0))),"⚠ Subcategoría no corresponde",IF(AND(OR(P3360="Transferencia",P3360="Pago tarjeta"),K3360=""),"⚠ Falta cuenta destino",IF(AND(K3360&lt;&gt;"",P3360&lt;&gt;"Transferencia",P3360&lt;&gt;"Pago tarjeta"),"⚠ Destino solo aplica a transferencias",IF(AND(K3360&lt;&gt;"",K3360=Q3360),"⚠ Origen igual a destino",IF(AND(K3360&lt;&gt;"",ISNA(MATCH(K3360,ctaNombre,0))),"⚠ Destino no registrado",IF(AND(P3360="Pago tarjeta",AE3360&lt;&gt;"Tarjeta de crédito"),"⚠ El destino debe ser tarjeta de crédito",IF(AND(P3360="Gasto",E3360="Depósitos y retiros"),"⚠ Usa tipo Transferencia",IF(AND(P3360="Resultado trading",AD3360&lt;&gt;"Cuenta de trading"),"⚠ Usa una cuenta de trading",IF(AND(G3360&lt;=0,P3360&lt;&gt;"Ajuste",P3360&lt;&gt;"Resultado trading"),"⚠ El monto debe ser positivo","✓")))))))))))))))</f>
        <v/>
      </c>
      <c r="P3360" s="52">
        <f>IF(OR(B3360="",G3360=""),"",IF(C3360="","Gasto",C3360))</f>
        <v/>
      </c>
      <c r="Q3360" s="52">
        <f>IF(P3360="","",IF(J3360&lt;&gt;"",J3360,CuentaPred&amp;""))</f>
        <v/>
      </c>
      <c r="R3360" s="52">
        <f>IF(P3360="","",IF(ISNUMBER(I3360),I3360,TasaUSD))</f>
        <v/>
      </c>
      <c r="S3360" s="53">
        <f>IF(P3360="","",IF(H3360="USD",G3360*R3360,G3360))</f>
        <v/>
      </c>
      <c r="T3360" s="53">
        <f>IF(P3360="","",IF(H3360="USD",G3360,IF(R3360&gt;0,G3360/R3360,0)))</f>
        <v/>
      </c>
      <c r="U3360" s="53">
        <f>IF(P3360="","",IF(P3360="Gasto",S3360,IF(P3360="Reembolso",-S3360,0)))</f>
        <v/>
      </c>
      <c r="V3360" s="53">
        <f>IF(P3360="","",IF(P3360="Ingreso",S3360,0))</f>
        <v/>
      </c>
      <c r="W3360" s="53">
        <f>IF(P3360="","",IF(P3360="Resultado trading",S3360,0))</f>
        <v/>
      </c>
      <c r="X3360" s="52">
        <f>IF(OR(P3360="Gasto",P3360="Reembolso"),IF(M3360&lt;&gt;"",M3360,IFERROR(INDEX(catClasif,MATCH(D3360&amp;"|"&amp;E3360,catClave,0))&amp;"","Variable")),"")</f>
        <v/>
      </c>
      <c r="Y3360" s="52">
        <f>IF(P3360="","",IFERROR(INDEX(catGrupo,MATCH(D3360&amp;"|"&amp;E3360,catClave,0))&amp;"",""))</f>
        <v/>
      </c>
      <c r="Z3360" s="52">
        <f>IF(P3360="","",WEEKDAY(B3360,2))</f>
        <v/>
      </c>
      <c r="AA3360" s="52">
        <f>IF(P3360="","",IF(AND(P3360="Gasto",X3360="Variable",D3360&lt;&gt;catTrading,S3360&gt;0,S3360&lt;=Umbral),1,0))</f>
        <v/>
      </c>
      <c r="AB3360" s="52">
        <f>IF(OR(P3360="",Q3360=""),"",IFERROR(IF(INDEX(ctaVinc,MATCH(Q3360,ctaNombre,0))&amp;""&lt;&gt;"",INDEX(ctaVinc,MATCH(Q3360,ctaNombre,0))&amp;"",Q3360),Q3360))</f>
        <v/>
      </c>
      <c r="AC3360" s="52">
        <f>IF(OR(K3360="",AND(P3360&lt;&gt;"Transferencia",P3360&lt;&gt;"Pago tarjeta")),"",IFERROR(IF(INDEX(ctaVinc,MATCH(K3360,ctaNombre,0))&amp;""&lt;&gt;"",INDEX(ctaVinc,MATCH(K3360,ctaNombre,0))&amp;"",K3360),K3360))</f>
        <v/>
      </c>
      <c r="AD3360" s="52">
        <f>IF(AB3360="","",IFERROR(INDEX(ctaTipo,MATCH(AB3360,ctaNombre,0))&amp;"",""))</f>
        <v/>
      </c>
      <c r="AE3360" s="52">
        <f>IF(AC3360="","",IFERROR(INDEX(ctaTipo,MATCH(AC3360,ctaNombre,0))&amp;"",""))</f>
        <v/>
      </c>
      <c r="AF3360" s="53">
        <f>IF(OR(P3360="",AB3360=""),"",IF(OR(P3360="Gasto",P3360="Transferencia",P3360="Pago tarjeta"),-1,1)*IF(IFERROR(INDEX(ctaMoneda,MATCH(AB3360,ctaNombre,0))&amp;"","DOP")="USD",T3360,S3360))</f>
        <v/>
      </c>
      <c r="AG3360" s="53">
        <f>IF(AC3360="","",IF(IFERROR(INDEX(ctaMoneda,MATCH(AC3360,ctaNombre,0))&amp;"","DOP")="USD",T3360,S3360))</f>
        <v/>
      </c>
      <c r="AH3360" s="53">
        <f>IF(P3360="","",IF(AND(AD3360&lt;&gt;"",COUNTIFS(tcTipo,AD3360,tcLiq,"Sí")&gt;0),IF(OR(P3360="Gasto",P3360="Transferencia",P3360="Pago tarjeta"),-1,1)*S3360,0)+IF(AND(AE3360&lt;&gt;"",COUNTIFS(tcTipo,AE3360,tcLiq,"Sí")&gt;0),S3360,0))</f>
        <v/>
      </c>
      <c r="AI3360" s="52">
        <f>IF(OR(L3360="",P3360=""),"",IF(COUNTIFS(L$6:L3360,L3360,P$6:P3360,"?*")=1,MAX(AI$5:AI3359)+1,""))</f>
        <v/>
      </c>
    </row>
    <row r="3361">
      <c r="B3361" s="47" t="n"/>
      <c r="C3361" s="48" t="n"/>
      <c r="D3361" s="48" t="n"/>
      <c r="E3361" s="48" t="n"/>
      <c r="F3361" s="48" t="n"/>
      <c r="G3361" s="49" t="n"/>
      <c r="H3361" s="48" t="n"/>
      <c r="I3361" s="50" t="n"/>
      <c r="J3361" s="48" t="n"/>
      <c r="K3361" s="48" t="n"/>
      <c r="L3361" s="48" t="n"/>
      <c r="M3361" s="48" t="n"/>
      <c r="N3361" s="48" t="n"/>
      <c r="O3361" s="51">
        <f>IF(AND(B3361="",G3361="",C3361="",D3361="",J3361=""),"",IF(B3361="","⚠ Falta fecha",IF(G3361="","⚠ Falta monto",IF(Q3361="","⚠ Falta cuenta",IF(ISNA(MATCH(Q3361,ctaNombre,0)),"⚠ Cuenta no registrada",IF(AND(OR(P3361="Gasto",P3361="Reembolso"),D3361=""),"⚠ Falta categoría",IF(AND(D3361&lt;&gt;"",E3361&lt;&gt;"",ISNA(MATCH(D3361&amp;"|"&amp;E3361,catClave,0))),"⚠ Subcategoría no corresponde",IF(AND(OR(P3361="Transferencia",P3361="Pago tarjeta"),K3361=""),"⚠ Falta cuenta destino",IF(AND(K3361&lt;&gt;"",P3361&lt;&gt;"Transferencia",P3361&lt;&gt;"Pago tarjeta"),"⚠ Destino solo aplica a transferencias",IF(AND(K3361&lt;&gt;"",K3361=Q3361),"⚠ Origen igual a destino",IF(AND(K3361&lt;&gt;"",ISNA(MATCH(K3361,ctaNombre,0))),"⚠ Destino no registrado",IF(AND(P3361="Pago tarjeta",AE3361&lt;&gt;"Tarjeta de crédito"),"⚠ El destino debe ser tarjeta de crédito",IF(AND(P3361="Gasto",E3361="Depósitos y retiros"),"⚠ Usa tipo Transferencia",IF(AND(P3361="Resultado trading",AD3361&lt;&gt;"Cuenta de trading"),"⚠ Usa una cuenta de trading",IF(AND(G3361&lt;=0,P3361&lt;&gt;"Ajuste",P3361&lt;&gt;"Resultado trading"),"⚠ El monto debe ser positivo","✓")))))))))))))))</f>
        <v/>
      </c>
      <c r="P3361" s="52">
        <f>IF(OR(B3361="",G3361=""),"",IF(C3361="","Gasto",C3361))</f>
        <v/>
      </c>
      <c r="Q3361" s="52">
        <f>IF(P3361="","",IF(J3361&lt;&gt;"",J3361,CuentaPred&amp;""))</f>
        <v/>
      </c>
      <c r="R3361" s="52">
        <f>IF(P3361="","",IF(ISNUMBER(I3361),I3361,TasaUSD))</f>
        <v/>
      </c>
      <c r="S3361" s="53">
        <f>IF(P3361="","",IF(H3361="USD",G3361*R3361,G3361))</f>
        <v/>
      </c>
      <c r="T3361" s="53">
        <f>IF(P3361="","",IF(H3361="USD",G3361,IF(R3361&gt;0,G3361/R3361,0)))</f>
        <v/>
      </c>
      <c r="U3361" s="53">
        <f>IF(P3361="","",IF(P3361="Gasto",S3361,IF(P3361="Reembolso",-S3361,0)))</f>
        <v/>
      </c>
      <c r="V3361" s="53">
        <f>IF(P3361="","",IF(P3361="Ingreso",S3361,0))</f>
        <v/>
      </c>
      <c r="W3361" s="53">
        <f>IF(P3361="","",IF(P3361="Resultado trading",S3361,0))</f>
        <v/>
      </c>
      <c r="X3361" s="52">
        <f>IF(OR(P3361="Gasto",P3361="Reembolso"),IF(M3361&lt;&gt;"",M3361,IFERROR(INDEX(catClasif,MATCH(D3361&amp;"|"&amp;E3361,catClave,0))&amp;"","Variable")),"")</f>
        <v/>
      </c>
      <c r="Y3361" s="52">
        <f>IF(P3361="","",IFERROR(INDEX(catGrupo,MATCH(D3361&amp;"|"&amp;E3361,catClave,0))&amp;"",""))</f>
        <v/>
      </c>
      <c r="Z3361" s="52">
        <f>IF(P3361="","",WEEKDAY(B3361,2))</f>
        <v/>
      </c>
      <c r="AA3361" s="52">
        <f>IF(P3361="","",IF(AND(P3361="Gasto",X3361="Variable",D3361&lt;&gt;catTrading,S3361&gt;0,S3361&lt;=Umbral),1,0))</f>
        <v/>
      </c>
      <c r="AB3361" s="52">
        <f>IF(OR(P3361="",Q3361=""),"",IFERROR(IF(INDEX(ctaVinc,MATCH(Q3361,ctaNombre,0))&amp;""&lt;&gt;"",INDEX(ctaVinc,MATCH(Q3361,ctaNombre,0))&amp;"",Q3361),Q3361))</f>
        <v/>
      </c>
      <c r="AC3361" s="52">
        <f>IF(OR(K3361="",AND(P3361&lt;&gt;"Transferencia",P3361&lt;&gt;"Pago tarjeta")),"",IFERROR(IF(INDEX(ctaVinc,MATCH(K3361,ctaNombre,0))&amp;""&lt;&gt;"",INDEX(ctaVinc,MATCH(K3361,ctaNombre,0))&amp;"",K3361),K3361))</f>
        <v/>
      </c>
      <c r="AD3361" s="52">
        <f>IF(AB3361="","",IFERROR(INDEX(ctaTipo,MATCH(AB3361,ctaNombre,0))&amp;"",""))</f>
        <v/>
      </c>
      <c r="AE3361" s="52">
        <f>IF(AC3361="","",IFERROR(INDEX(ctaTipo,MATCH(AC3361,ctaNombre,0))&amp;"",""))</f>
        <v/>
      </c>
      <c r="AF3361" s="53">
        <f>IF(OR(P3361="",AB3361=""),"",IF(OR(P3361="Gasto",P3361="Transferencia",P3361="Pago tarjeta"),-1,1)*IF(IFERROR(INDEX(ctaMoneda,MATCH(AB3361,ctaNombre,0))&amp;"","DOP")="USD",T3361,S3361))</f>
        <v/>
      </c>
      <c r="AG3361" s="53">
        <f>IF(AC3361="","",IF(IFERROR(INDEX(ctaMoneda,MATCH(AC3361,ctaNombre,0))&amp;"","DOP")="USD",T3361,S3361))</f>
        <v/>
      </c>
      <c r="AH3361" s="53">
        <f>IF(P3361="","",IF(AND(AD3361&lt;&gt;"",COUNTIFS(tcTipo,AD3361,tcLiq,"Sí")&gt;0),IF(OR(P3361="Gasto",P3361="Transferencia",P3361="Pago tarjeta"),-1,1)*S3361,0)+IF(AND(AE3361&lt;&gt;"",COUNTIFS(tcTipo,AE3361,tcLiq,"Sí")&gt;0),S3361,0))</f>
        <v/>
      </c>
      <c r="AI3361" s="52">
        <f>IF(OR(L3361="",P3361=""),"",IF(COUNTIFS(L$6:L3361,L3361,P$6:P3361,"?*")=1,MAX(AI$5:AI3360)+1,""))</f>
        <v/>
      </c>
    </row>
    <row r="3362">
      <c r="B3362" s="47" t="n"/>
      <c r="C3362" s="48" t="n"/>
      <c r="D3362" s="48" t="n"/>
      <c r="E3362" s="48" t="n"/>
      <c r="F3362" s="48" t="n"/>
      <c r="G3362" s="49" t="n"/>
      <c r="H3362" s="48" t="n"/>
      <c r="I3362" s="50" t="n"/>
      <c r="J3362" s="48" t="n"/>
      <c r="K3362" s="48" t="n"/>
      <c r="L3362" s="48" t="n"/>
      <c r="M3362" s="48" t="n"/>
      <c r="N3362" s="48" t="n"/>
      <c r="O3362" s="51">
        <f>IF(AND(B3362="",G3362="",C3362="",D3362="",J3362=""),"",IF(B3362="","⚠ Falta fecha",IF(G3362="","⚠ Falta monto",IF(Q3362="","⚠ Falta cuenta",IF(ISNA(MATCH(Q3362,ctaNombre,0)),"⚠ Cuenta no registrada",IF(AND(OR(P3362="Gasto",P3362="Reembolso"),D3362=""),"⚠ Falta categoría",IF(AND(D3362&lt;&gt;"",E3362&lt;&gt;"",ISNA(MATCH(D3362&amp;"|"&amp;E3362,catClave,0))),"⚠ Subcategoría no corresponde",IF(AND(OR(P3362="Transferencia",P3362="Pago tarjeta"),K3362=""),"⚠ Falta cuenta destino",IF(AND(K3362&lt;&gt;"",P3362&lt;&gt;"Transferencia",P3362&lt;&gt;"Pago tarjeta"),"⚠ Destino solo aplica a transferencias",IF(AND(K3362&lt;&gt;"",K3362=Q3362),"⚠ Origen igual a destino",IF(AND(K3362&lt;&gt;"",ISNA(MATCH(K3362,ctaNombre,0))),"⚠ Destino no registrado",IF(AND(P3362="Pago tarjeta",AE3362&lt;&gt;"Tarjeta de crédito"),"⚠ El destino debe ser tarjeta de crédito",IF(AND(P3362="Gasto",E3362="Depósitos y retiros"),"⚠ Usa tipo Transferencia",IF(AND(P3362="Resultado trading",AD3362&lt;&gt;"Cuenta de trading"),"⚠ Usa una cuenta de trading",IF(AND(G3362&lt;=0,P3362&lt;&gt;"Ajuste",P3362&lt;&gt;"Resultado trading"),"⚠ El monto debe ser positivo","✓")))))))))))))))</f>
        <v/>
      </c>
      <c r="P3362" s="52">
        <f>IF(OR(B3362="",G3362=""),"",IF(C3362="","Gasto",C3362))</f>
        <v/>
      </c>
      <c r="Q3362" s="52">
        <f>IF(P3362="","",IF(J3362&lt;&gt;"",J3362,CuentaPred&amp;""))</f>
        <v/>
      </c>
      <c r="R3362" s="52">
        <f>IF(P3362="","",IF(ISNUMBER(I3362),I3362,TasaUSD))</f>
        <v/>
      </c>
      <c r="S3362" s="53">
        <f>IF(P3362="","",IF(H3362="USD",G3362*R3362,G3362))</f>
        <v/>
      </c>
      <c r="T3362" s="53">
        <f>IF(P3362="","",IF(H3362="USD",G3362,IF(R3362&gt;0,G3362/R3362,0)))</f>
        <v/>
      </c>
      <c r="U3362" s="53">
        <f>IF(P3362="","",IF(P3362="Gasto",S3362,IF(P3362="Reembolso",-S3362,0)))</f>
        <v/>
      </c>
      <c r="V3362" s="53">
        <f>IF(P3362="","",IF(P3362="Ingreso",S3362,0))</f>
        <v/>
      </c>
      <c r="W3362" s="53">
        <f>IF(P3362="","",IF(P3362="Resultado trading",S3362,0))</f>
        <v/>
      </c>
      <c r="X3362" s="52">
        <f>IF(OR(P3362="Gasto",P3362="Reembolso"),IF(M3362&lt;&gt;"",M3362,IFERROR(INDEX(catClasif,MATCH(D3362&amp;"|"&amp;E3362,catClave,0))&amp;"","Variable")),"")</f>
        <v/>
      </c>
      <c r="Y3362" s="52">
        <f>IF(P3362="","",IFERROR(INDEX(catGrupo,MATCH(D3362&amp;"|"&amp;E3362,catClave,0))&amp;"",""))</f>
        <v/>
      </c>
      <c r="Z3362" s="52">
        <f>IF(P3362="","",WEEKDAY(B3362,2))</f>
        <v/>
      </c>
      <c r="AA3362" s="52">
        <f>IF(P3362="","",IF(AND(P3362="Gasto",X3362="Variable",D3362&lt;&gt;catTrading,S3362&gt;0,S3362&lt;=Umbral),1,0))</f>
        <v/>
      </c>
      <c r="AB3362" s="52">
        <f>IF(OR(P3362="",Q3362=""),"",IFERROR(IF(INDEX(ctaVinc,MATCH(Q3362,ctaNombre,0))&amp;""&lt;&gt;"",INDEX(ctaVinc,MATCH(Q3362,ctaNombre,0))&amp;"",Q3362),Q3362))</f>
        <v/>
      </c>
      <c r="AC3362" s="52">
        <f>IF(OR(K3362="",AND(P3362&lt;&gt;"Transferencia",P3362&lt;&gt;"Pago tarjeta")),"",IFERROR(IF(INDEX(ctaVinc,MATCH(K3362,ctaNombre,0))&amp;""&lt;&gt;"",INDEX(ctaVinc,MATCH(K3362,ctaNombre,0))&amp;"",K3362),K3362))</f>
        <v/>
      </c>
      <c r="AD3362" s="52">
        <f>IF(AB3362="","",IFERROR(INDEX(ctaTipo,MATCH(AB3362,ctaNombre,0))&amp;"",""))</f>
        <v/>
      </c>
      <c r="AE3362" s="52">
        <f>IF(AC3362="","",IFERROR(INDEX(ctaTipo,MATCH(AC3362,ctaNombre,0))&amp;"",""))</f>
        <v/>
      </c>
      <c r="AF3362" s="53">
        <f>IF(OR(P3362="",AB3362=""),"",IF(OR(P3362="Gasto",P3362="Transferencia",P3362="Pago tarjeta"),-1,1)*IF(IFERROR(INDEX(ctaMoneda,MATCH(AB3362,ctaNombre,0))&amp;"","DOP")="USD",T3362,S3362))</f>
        <v/>
      </c>
      <c r="AG3362" s="53">
        <f>IF(AC3362="","",IF(IFERROR(INDEX(ctaMoneda,MATCH(AC3362,ctaNombre,0))&amp;"","DOP")="USD",T3362,S3362))</f>
        <v/>
      </c>
      <c r="AH3362" s="53">
        <f>IF(P3362="","",IF(AND(AD3362&lt;&gt;"",COUNTIFS(tcTipo,AD3362,tcLiq,"Sí")&gt;0),IF(OR(P3362="Gasto",P3362="Transferencia",P3362="Pago tarjeta"),-1,1)*S3362,0)+IF(AND(AE3362&lt;&gt;"",COUNTIFS(tcTipo,AE3362,tcLiq,"Sí")&gt;0),S3362,0))</f>
        <v/>
      </c>
      <c r="AI3362" s="52">
        <f>IF(OR(L3362="",P3362=""),"",IF(COUNTIFS(L$6:L3362,L3362,P$6:P3362,"?*")=1,MAX(AI$5:AI3361)+1,""))</f>
        <v/>
      </c>
    </row>
    <row r="3363">
      <c r="B3363" s="47" t="n"/>
      <c r="C3363" s="48" t="n"/>
      <c r="D3363" s="48" t="n"/>
      <c r="E3363" s="48" t="n"/>
      <c r="F3363" s="48" t="n"/>
      <c r="G3363" s="49" t="n"/>
      <c r="H3363" s="48" t="n"/>
      <c r="I3363" s="50" t="n"/>
      <c r="J3363" s="48" t="n"/>
      <c r="K3363" s="48" t="n"/>
      <c r="L3363" s="48" t="n"/>
      <c r="M3363" s="48" t="n"/>
      <c r="N3363" s="48" t="n"/>
      <c r="O3363" s="51">
        <f>IF(AND(B3363="",G3363="",C3363="",D3363="",J3363=""),"",IF(B3363="","⚠ Falta fecha",IF(G3363="","⚠ Falta monto",IF(Q3363="","⚠ Falta cuenta",IF(ISNA(MATCH(Q3363,ctaNombre,0)),"⚠ Cuenta no registrada",IF(AND(OR(P3363="Gasto",P3363="Reembolso"),D3363=""),"⚠ Falta categoría",IF(AND(D3363&lt;&gt;"",E3363&lt;&gt;"",ISNA(MATCH(D3363&amp;"|"&amp;E3363,catClave,0))),"⚠ Subcategoría no corresponde",IF(AND(OR(P3363="Transferencia",P3363="Pago tarjeta"),K3363=""),"⚠ Falta cuenta destino",IF(AND(K3363&lt;&gt;"",P3363&lt;&gt;"Transferencia",P3363&lt;&gt;"Pago tarjeta"),"⚠ Destino solo aplica a transferencias",IF(AND(K3363&lt;&gt;"",K3363=Q3363),"⚠ Origen igual a destino",IF(AND(K3363&lt;&gt;"",ISNA(MATCH(K3363,ctaNombre,0))),"⚠ Destino no registrado",IF(AND(P3363="Pago tarjeta",AE3363&lt;&gt;"Tarjeta de crédito"),"⚠ El destino debe ser tarjeta de crédito",IF(AND(P3363="Gasto",E3363="Depósitos y retiros"),"⚠ Usa tipo Transferencia",IF(AND(P3363="Resultado trading",AD3363&lt;&gt;"Cuenta de trading"),"⚠ Usa una cuenta de trading",IF(AND(G3363&lt;=0,P3363&lt;&gt;"Ajuste",P3363&lt;&gt;"Resultado trading"),"⚠ El monto debe ser positivo","✓")))))))))))))))</f>
        <v/>
      </c>
      <c r="P3363" s="52">
        <f>IF(OR(B3363="",G3363=""),"",IF(C3363="","Gasto",C3363))</f>
        <v/>
      </c>
      <c r="Q3363" s="52">
        <f>IF(P3363="","",IF(J3363&lt;&gt;"",J3363,CuentaPred&amp;""))</f>
        <v/>
      </c>
      <c r="R3363" s="52">
        <f>IF(P3363="","",IF(ISNUMBER(I3363),I3363,TasaUSD))</f>
        <v/>
      </c>
      <c r="S3363" s="53">
        <f>IF(P3363="","",IF(H3363="USD",G3363*R3363,G3363))</f>
        <v/>
      </c>
      <c r="T3363" s="53">
        <f>IF(P3363="","",IF(H3363="USD",G3363,IF(R3363&gt;0,G3363/R3363,0)))</f>
        <v/>
      </c>
      <c r="U3363" s="53">
        <f>IF(P3363="","",IF(P3363="Gasto",S3363,IF(P3363="Reembolso",-S3363,0)))</f>
        <v/>
      </c>
      <c r="V3363" s="53">
        <f>IF(P3363="","",IF(P3363="Ingreso",S3363,0))</f>
        <v/>
      </c>
      <c r="W3363" s="53">
        <f>IF(P3363="","",IF(P3363="Resultado trading",S3363,0))</f>
        <v/>
      </c>
      <c r="X3363" s="52">
        <f>IF(OR(P3363="Gasto",P3363="Reembolso"),IF(M3363&lt;&gt;"",M3363,IFERROR(INDEX(catClasif,MATCH(D3363&amp;"|"&amp;E3363,catClave,0))&amp;"","Variable")),"")</f>
        <v/>
      </c>
      <c r="Y3363" s="52">
        <f>IF(P3363="","",IFERROR(INDEX(catGrupo,MATCH(D3363&amp;"|"&amp;E3363,catClave,0))&amp;"",""))</f>
        <v/>
      </c>
      <c r="Z3363" s="52">
        <f>IF(P3363="","",WEEKDAY(B3363,2))</f>
        <v/>
      </c>
      <c r="AA3363" s="52">
        <f>IF(P3363="","",IF(AND(P3363="Gasto",X3363="Variable",D3363&lt;&gt;catTrading,S3363&gt;0,S3363&lt;=Umbral),1,0))</f>
        <v/>
      </c>
      <c r="AB3363" s="52">
        <f>IF(OR(P3363="",Q3363=""),"",IFERROR(IF(INDEX(ctaVinc,MATCH(Q3363,ctaNombre,0))&amp;""&lt;&gt;"",INDEX(ctaVinc,MATCH(Q3363,ctaNombre,0))&amp;"",Q3363),Q3363))</f>
        <v/>
      </c>
      <c r="AC3363" s="52">
        <f>IF(OR(K3363="",AND(P3363&lt;&gt;"Transferencia",P3363&lt;&gt;"Pago tarjeta")),"",IFERROR(IF(INDEX(ctaVinc,MATCH(K3363,ctaNombre,0))&amp;""&lt;&gt;"",INDEX(ctaVinc,MATCH(K3363,ctaNombre,0))&amp;"",K3363),K3363))</f>
        <v/>
      </c>
      <c r="AD3363" s="52">
        <f>IF(AB3363="","",IFERROR(INDEX(ctaTipo,MATCH(AB3363,ctaNombre,0))&amp;"",""))</f>
        <v/>
      </c>
      <c r="AE3363" s="52">
        <f>IF(AC3363="","",IFERROR(INDEX(ctaTipo,MATCH(AC3363,ctaNombre,0))&amp;"",""))</f>
        <v/>
      </c>
      <c r="AF3363" s="53">
        <f>IF(OR(P3363="",AB3363=""),"",IF(OR(P3363="Gasto",P3363="Transferencia",P3363="Pago tarjeta"),-1,1)*IF(IFERROR(INDEX(ctaMoneda,MATCH(AB3363,ctaNombre,0))&amp;"","DOP")="USD",T3363,S3363))</f>
        <v/>
      </c>
      <c r="AG3363" s="53">
        <f>IF(AC3363="","",IF(IFERROR(INDEX(ctaMoneda,MATCH(AC3363,ctaNombre,0))&amp;"","DOP")="USD",T3363,S3363))</f>
        <v/>
      </c>
      <c r="AH3363" s="53">
        <f>IF(P3363="","",IF(AND(AD3363&lt;&gt;"",COUNTIFS(tcTipo,AD3363,tcLiq,"Sí")&gt;0),IF(OR(P3363="Gasto",P3363="Transferencia",P3363="Pago tarjeta"),-1,1)*S3363,0)+IF(AND(AE3363&lt;&gt;"",COUNTIFS(tcTipo,AE3363,tcLiq,"Sí")&gt;0),S3363,0))</f>
        <v/>
      </c>
      <c r="AI3363" s="52">
        <f>IF(OR(L3363="",P3363=""),"",IF(COUNTIFS(L$6:L3363,L3363,P$6:P3363,"?*")=1,MAX(AI$5:AI3362)+1,""))</f>
        <v/>
      </c>
    </row>
    <row r="3364">
      <c r="B3364" s="47" t="n"/>
      <c r="C3364" s="48" t="n"/>
      <c r="D3364" s="48" t="n"/>
      <c r="E3364" s="48" t="n"/>
      <c r="F3364" s="48" t="n"/>
      <c r="G3364" s="49" t="n"/>
      <c r="H3364" s="48" t="n"/>
      <c r="I3364" s="50" t="n"/>
      <c r="J3364" s="48" t="n"/>
      <c r="K3364" s="48" t="n"/>
      <c r="L3364" s="48" t="n"/>
      <c r="M3364" s="48" t="n"/>
      <c r="N3364" s="48" t="n"/>
      <c r="O3364" s="51">
        <f>IF(AND(B3364="",G3364="",C3364="",D3364="",J3364=""),"",IF(B3364="","⚠ Falta fecha",IF(G3364="","⚠ Falta monto",IF(Q3364="","⚠ Falta cuenta",IF(ISNA(MATCH(Q3364,ctaNombre,0)),"⚠ Cuenta no registrada",IF(AND(OR(P3364="Gasto",P3364="Reembolso"),D3364=""),"⚠ Falta categoría",IF(AND(D3364&lt;&gt;"",E3364&lt;&gt;"",ISNA(MATCH(D3364&amp;"|"&amp;E3364,catClave,0))),"⚠ Subcategoría no corresponde",IF(AND(OR(P3364="Transferencia",P3364="Pago tarjeta"),K3364=""),"⚠ Falta cuenta destino",IF(AND(K3364&lt;&gt;"",P3364&lt;&gt;"Transferencia",P3364&lt;&gt;"Pago tarjeta"),"⚠ Destino solo aplica a transferencias",IF(AND(K3364&lt;&gt;"",K3364=Q3364),"⚠ Origen igual a destino",IF(AND(K3364&lt;&gt;"",ISNA(MATCH(K3364,ctaNombre,0))),"⚠ Destino no registrado",IF(AND(P3364="Pago tarjeta",AE3364&lt;&gt;"Tarjeta de crédito"),"⚠ El destino debe ser tarjeta de crédito",IF(AND(P3364="Gasto",E3364="Depósitos y retiros"),"⚠ Usa tipo Transferencia",IF(AND(P3364="Resultado trading",AD3364&lt;&gt;"Cuenta de trading"),"⚠ Usa una cuenta de trading",IF(AND(G3364&lt;=0,P3364&lt;&gt;"Ajuste",P3364&lt;&gt;"Resultado trading"),"⚠ El monto debe ser positivo","✓")))))))))))))))</f>
        <v/>
      </c>
      <c r="P3364" s="52">
        <f>IF(OR(B3364="",G3364=""),"",IF(C3364="","Gasto",C3364))</f>
        <v/>
      </c>
      <c r="Q3364" s="52">
        <f>IF(P3364="","",IF(J3364&lt;&gt;"",J3364,CuentaPred&amp;""))</f>
        <v/>
      </c>
      <c r="R3364" s="52">
        <f>IF(P3364="","",IF(ISNUMBER(I3364),I3364,TasaUSD))</f>
        <v/>
      </c>
      <c r="S3364" s="53">
        <f>IF(P3364="","",IF(H3364="USD",G3364*R3364,G3364))</f>
        <v/>
      </c>
      <c r="T3364" s="53">
        <f>IF(P3364="","",IF(H3364="USD",G3364,IF(R3364&gt;0,G3364/R3364,0)))</f>
        <v/>
      </c>
      <c r="U3364" s="53">
        <f>IF(P3364="","",IF(P3364="Gasto",S3364,IF(P3364="Reembolso",-S3364,0)))</f>
        <v/>
      </c>
      <c r="V3364" s="53">
        <f>IF(P3364="","",IF(P3364="Ingreso",S3364,0))</f>
        <v/>
      </c>
      <c r="W3364" s="53">
        <f>IF(P3364="","",IF(P3364="Resultado trading",S3364,0))</f>
        <v/>
      </c>
      <c r="X3364" s="52">
        <f>IF(OR(P3364="Gasto",P3364="Reembolso"),IF(M3364&lt;&gt;"",M3364,IFERROR(INDEX(catClasif,MATCH(D3364&amp;"|"&amp;E3364,catClave,0))&amp;"","Variable")),"")</f>
        <v/>
      </c>
      <c r="Y3364" s="52">
        <f>IF(P3364="","",IFERROR(INDEX(catGrupo,MATCH(D3364&amp;"|"&amp;E3364,catClave,0))&amp;"",""))</f>
        <v/>
      </c>
      <c r="Z3364" s="52">
        <f>IF(P3364="","",WEEKDAY(B3364,2))</f>
        <v/>
      </c>
      <c r="AA3364" s="52">
        <f>IF(P3364="","",IF(AND(P3364="Gasto",X3364="Variable",D3364&lt;&gt;catTrading,S3364&gt;0,S3364&lt;=Umbral),1,0))</f>
        <v/>
      </c>
      <c r="AB3364" s="52">
        <f>IF(OR(P3364="",Q3364=""),"",IFERROR(IF(INDEX(ctaVinc,MATCH(Q3364,ctaNombre,0))&amp;""&lt;&gt;"",INDEX(ctaVinc,MATCH(Q3364,ctaNombre,0))&amp;"",Q3364),Q3364))</f>
        <v/>
      </c>
      <c r="AC3364" s="52">
        <f>IF(OR(K3364="",AND(P3364&lt;&gt;"Transferencia",P3364&lt;&gt;"Pago tarjeta")),"",IFERROR(IF(INDEX(ctaVinc,MATCH(K3364,ctaNombre,0))&amp;""&lt;&gt;"",INDEX(ctaVinc,MATCH(K3364,ctaNombre,0))&amp;"",K3364),K3364))</f>
        <v/>
      </c>
      <c r="AD3364" s="52">
        <f>IF(AB3364="","",IFERROR(INDEX(ctaTipo,MATCH(AB3364,ctaNombre,0))&amp;"",""))</f>
        <v/>
      </c>
      <c r="AE3364" s="52">
        <f>IF(AC3364="","",IFERROR(INDEX(ctaTipo,MATCH(AC3364,ctaNombre,0))&amp;"",""))</f>
        <v/>
      </c>
      <c r="AF3364" s="53">
        <f>IF(OR(P3364="",AB3364=""),"",IF(OR(P3364="Gasto",P3364="Transferencia",P3364="Pago tarjeta"),-1,1)*IF(IFERROR(INDEX(ctaMoneda,MATCH(AB3364,ctaNombre,0))&amp;"","DOP")="USD",T3364,S3364))</f>
        <v/>
      </c>
      <c r="AG3364" s="53">
        <f>IF(AC3364="","",IF(IFERROR(INDEX(ctaMoneda,MATCH(AC3364,ctaNombre,0))&amp;"","DOP")="USD",T3364,S3364))</f>
        <v/>
      </c>
      <c r="AH3364" s="53">
        <f>IF(P3364="","",IF(AND(AD3364&lt;&gt;"",COUNTIFS(tcTipo,AD3364,tcLiq,"Sí")&gt;0),IF(OR(P3364="Gasto",P3364="Transferencia",P3364="Pago tarjeta"),-1,1)*S3364,0)+IF(AND(AE3364&lt;&gt;"",COUNTIFS(tcTipo,AE3364,tcLiq,"Sí")&gt;0),S3364,0))</f>
        <v/>
      </c>
      <c r="AI3364" s="52">
        <f>IF(OR(L3364="",P3364=""),"",IF(COUNTIFS(L$6:L3364,L3364,P$6:P3364,"?*")=1,MAX(AI$5:AI3363)+1,""))</f>
        <v/>
      </c>
    </row>
    <row r="3365">
      <c r="B3365" s="47" t="n"/>
      <c r="C3365" s="48" t="n"/>
      <c r="D3365" s="48" t="n"/>
      <c r="E3365" s="48" t="n"/>
      <c r="F3365" s="48" t="n"/>
      <c r="G3365" s="49" t="n"/>
      <c r="H3365" s="48" t="n"/>
      <c r="I3365" s="50" t="n"/>
      <c r="J3365" s="48" t="n"/>
      <c r="K3365" s="48" t="n"/>
      <c r="L3365" s="48" t="n"/>
      <c r="M3365" s="48" t="n"/>
      <c r="N3365" s="48" t="n"/>
      <c r="O3365" s="51">
        <f>IF(AND(B3365="",G3365="",C3365="",D3365="",J3365=""),"",IF(B3365="","⚠ Falta fecha",IF(G3365="","⚠ Falta monto",IF(Q3365="","⚠ Falta cuenta",IF(ISNA(MATCH(Q3365,ctaNombre,0)),"⚠ Cuenta no registrada",IF(AND(OR(P3365="Gasto",P3365="Reembolso"),D3365=""),"⚠ Falta categoría",IF(AND(D3365&lt;&gt;"",E3365&lt;&gt;"",ISNA(MATCH(D3365&amp;"|"&amp;E3365,catClave,0))),"⚠ Subcategoría no corresponde",IF(AND(OR(P3365="Transferencia",P3365="Pago tarjeta"),K3365=""),"⚠ Falta cuenta destino",IF(AND(K3365&lt;&gt;"",P3365&lt;&gt;"Transferencia",P3365&lt;&gt;"Pago tarjeta"),"⚠ Destino solo aplica a transferencias",IF(AND(K3365&lt;&gt;"",K3365=Q3365),"⚠ Origen igual a destino",IF(AND(K3365&lt;&gt;"",ISNA(MATCH(K3365,ctaNombre,0))),"⚠ Destino no registrado",IF(AND(P3365="Pago tarjeta",AE3365&lt;&gt;"Tarjeta de crédito"),"⚠ El destino debe ser tarjeta de crédito",IF(AND(P3365="Gasto",E3365="Depósitos y retiros"),"⚠ Usa tipo Transferencia",IF(AND(P3365="Resultado trading",AD3365&lt;&gt;"Cuenta de trading"),"⚠ Usa una cuenta de trading",IF(AND(G3365&lt;=0,P3365&lt;&gt;"Ajuste",P3365&lt;&gt;"Resultado trading"),"⚠ El monto debe ser positivo","✓")))))))))))))))</f>
        <v/>
      </c>
      <c r="P3365" s="52">
        <f>IF(OR(B3365="",G3365=""),"",IF(C3365="","Gasto",C3365))</f>
        <v/>
      </c>
      <c r="Q3365" s="52">
        <f>IF(P3365="","",IF(J3365&lt;&gt;"",J3365,CuentaPred&amp;""))</f>
        <v/>
      </c>
      <c r="R3365" s="52">
        <f>IF(P3365="","",IF(ISNUMBER(I3365),I3365,TasaUSD))</f>
        <v/>
      </c>
      <c r="S3365" s="53">
        <f>IF(P3365="","",IF(H3365="USD",G3365*R3365,G3365))</f>
        <v/>
      </c>
      <c r="T3365" s="53">
        <f>IF(P3365="","",IF(H3365="USD",G3365,IF(R3365&gt;0,G3365/R3365,0)))</f>
        <v/>
      </c>
      <c r="U3365" s="53">
        <f>IF(P3365="","",IF(P3365="Gasto",S3365,IF(P3365="Reembolso",-S3365,0)))</f>
        <v/>
      </c>
      <c r="V3365" s="53">
        <f>IF(P3365="","",IF(P3365="Ingreso",S3365,0))</f>
        <v/>
      </c>
      <c r="W3365" s="53">
        <f>IF(P3365="","",IF(P3365="Resultado trading",S3365,0))</f>
        <v/>
      </c>
      <c r="X3365" s="52">
        <f>IF(OR(P3365="Gasto",P3365="Reembolso"),IF(M3365&lt;&gt;"",M3365,IFERROR(INDEX(catClasif,MATCH(D3365&amp;"|"&amp;E3365,catClave,0))&amp;"","Variable")),"")</f>
        <v/>
      </c>
      <c r="Y3365" s="52">
        <f>IF(P3365="","",IFERROR(INDEX(catGrupo,MATCH(D3365&amp;"|"&amp;E3365,catClave,0))&amp;"",""))</f>
        <v/>
      </c>
      <c r="Z3365" s="52">
        <f>IF(P3365="","",WEEKDAY(B3365,2))</f>
        <v/>
      </c>
      <c r="AA3365" s="52">
        <f>IF(P3365="","",IF(AND(P3365="Gasto",X3365="Variable",D3365&lt;&gt;catTrading,S3365&gt;0,S3365&lt;=Umbral),1,0))</f>
        <v/>
      </c>
      <c r="AB3365" s="52">
        <f>IF(OR(P3365="",Q3365=""),"",IFERROR(IF(INDEX(ctaVinc,MATCH(Q3365,ctaNombre,0))&amp;""&lt;&gt;"",INDEX(ctaVinc,MATCH(Q3365,ctaNombre,0))&amp;"",Q3365),Q3365))</f>
        <v/>
      </c>
      <c r="AC3365" s="52">
        <f>IF(OR(K3365="",AND(P3365&lt;&gt;"Transferencia",P3365&lt;&gt;"Pago tarjeta")),"",IFERROR(IF(INDEX(ctaVinc,MATCH(K3365,ctaNombre,0))&amp;""&lt;&gt;"",INDEX(ctaVinc,MATCH(K3365,ctaNombre,0))&amp;"",K3365),K3365))</f>
        <v/>
      </c>
      <c r="AD3365" s="52">
        <f>IF(AB3365="","",IFERROR(INDEX(ctaTipo,MATCH(AB3365,ctaNombre,0))&amp;"",""))</f>
        <v/>
      </c>
      <c r="AE3365" s="52">
        <f>IF(AC3365="","",IFERROR(INDEX(ctaTipo,MATCH(AC3365,ctaNombre,0))&amp;"",""))</f>
        <v/>
      </c>
      <c r="AF3365" s="53">
        <f>IF(OR(P3365="",AB3365=""),"",IF(OR(P3365="Gasto",P3365="Transferencia",P3365="Pago tarjeta"),-1,1)*IF(IFERROR(INDEX(ctaMoneda,MATCH(AB3365,ctaNombre,0))&amp;"","DOP")="USD",T3365,S3365))</f>
        <v/>
      </c>
      <c r="AG3365" s="53">
        <f>IF(AC3365="","",IF(IFERROR(INDEX(ctaMoneda,MATCH(AC3365,ctaNombre,0))&amp;"","DOP")="USD",T3365,S3365))</f>
        <v/>
      </c>
      <c r="AH3365" s="53">
        <f>IF(P3365="","",IF(AND(AD3365&lt;&gt;"",COUNTIFS(tcTipo,AD3365,tcLiq,"Sí")&gt;0),IF(OR(P3365="Gasto",P3365="Transferencia",P3365="Pago tarjeta"),-1,1)*S3365,0)+IF(AND(AE3365&lt;&gt;"",COUNTIFS(tcTipo,AE3365,tcLiq,"Sí")&gt;0),S3365,0))</f>
        <v/>
      </c>
      <c r="AI3365" s="52">
        <f>IF(OR(L3365="",P3365=""),"",IF(COUNTIFS(L$6:L3365,L3365,P$6:P3365,"?*")=1,MAX(AI$5:AI3364)+1,""))</f>
        <v/>
      </c>
    </row>
    <row r="3366">
      <c r="B3366" s="47" t="n"/>
      <c r="C3366" s="48" t="n"/>
      <c r="D3366" s="48" t="n"/>
      <c r="E3366" s="48" t="n"/>
      <c r="F3366" s="48" t="n"/>
      <c r="G3366" s="49" t="n"/>
      <c r="H3366" s="48" t="n"/>
      <c r="I3366" s="50" t="n"/>
      <c r="J3366" s="48" t="n"/>
      <c r="K3366" s="48" t="n"/>
      <c r="L3366" s="48" t="n"/>
      <c r="M3366" s="48" t="n"/>
      <c r="N3366" s="48" t="n"/>
      <c r="O3366" s="51">
        <f>IF(AND(B3366="",G3366="",C3366="",D3366="",J3366=""),"",IF(B3366="","⚠ Falta fecha",IF(G3366="","⚠ Falta monto",IF(Q3366="","⚠ Falta cuenta",IF(ISNA(MATCH(Q3366,ctaNombre,0)),"⚠ Cuenta no registrada",IF(AND(OR(P3366="Gasto",P3366="Reembolso"),D3366=""),"⚠ Falta categoría",IF(AND(D3366&lt;&gt;"",E3366&lt;&gt;"",ISNA(MATCH(D3366&amp;"|"&amp;E3366,catClave,0))),"⚠ Subcategoría no corresponde",IF(AND(OR(P3366="Transferencia",P3366="Pago tarjeta"),K3366=""),"⚠ Falta cuenta destino",IF(AND(K3366&lt;&gt;"",P3366&lt;&gt;"Transferencia",P3366&lt;&gt;"Pago tarjeta"),"⚠ Destino solo aplica a transferencias",IF(AND(K3366&lt;&gt;"",K3366=Q3366),"⚠ Origen igual a destino",IF(AND(K3366&lt;&gt;"",ISNA(MATCH(K3366,ctaNombre,0))),"⚠ Destino no registrado",IF(AND(P3366="Pago tarjeta",AE3366&lt;&gt;"Tarjeta de crédito"),"⚠ El destino debe ser tarjeta de crédito",IF(AND(P3366="Gasto",E3366="Depósitos y retiros"),"⚠ Usa tipo Transferencia",IF(AND(P3366="Resultado trading",AD3366&lt;&gt;"Cuenta de trading"),"⚠ Usa una cuenta de trading",IF(AND(G3366&lt;=0,P3366&lt;&gt;"Ajuste",P3366&lt;&gt;"Resultado trading"),"⚠ El monto debe ser positivo","✓")))))))))))))))</f>
        <v/>
      </c>
      <c r="P3366" s="52">
        <f>IF(OR(B3366="",G3366=""),"",IF(C3366="","Gasto",C3366))</f>
        <v/>
      </c>
      <c r="Q3366" s="52">
        <f>IF(P3366="","",IF(J3366&lt;&gt;"",J3366,CuentaPred&amp;""))</f>
        <v/>
      </c>
      <c r="R3366" s="52">
        <f>IF(P3366="","",IF(ISNUMBER(I3366),I3366,TasaUSD))</f>
        <v/>
      </c>
      <c r="S3366" s="53">
        <f>IF(P3366="","",IF(H3366="USD",G3366*R3366,G3366))</f>
        <v/>
      </c>
      <c r="T3366" s="53">
        <f>IF(P3366="","",IF(H3366="USD",G3366,IF(R3366&gt;0,G3366/R3366,0)))</f>
        <v/>
      </c>
      <c r="U3366" s="53">
        <f>IF(P3366="","",IF(P3366="Gasto",S3366,IF(P3366="Reembolso",-S3366,0)))</f>
        <v/>
      </c>
      <c r="V3366" s="53">
        <f>IF(P3366="","",IF(P3366="Ingreso",S3366,0))</f>
        <v/>
      </c>
      <c r="W3366" s="53">
        <f>IF(P3366="","",IF(P3366="Resultado trading",S3366,0))</f>
        <v/>
      </c>
      <c r="X3366" s="52">
        <f>IF(OR(P3366="Gasto",P3366="Reembolso"),IF(M3366&lt;&gt;"",M3366,IFERROR(INDEX(catClasif,MATCH(D3366&amp;"|"&amp;E3366,catClave,0))&amp;"","Variable")),"")</f>
        <v/>
      </c>
      <c r="Y3366" s="52">
        <f>IF(P3366="","",IFERROR(INDEX(catGrupo,MATCH(D3366&amp;"|"&amp;E3366,catClave,0))&amp;"",""))</f>
        <v/>
      </c>
      <c r="Z3366" s="52">
        <f>IF(P3366="","",WEEKDAY(B3366,2))</f>
        <v/>
      </c>
      <c r="AA3366" s="52">
        <f>IF(P3366="","",IF(AND(P3366="Gasto",X3366="Variable",D3366&lt;&gt;catTrading,S3366&gt;0,S3366&lt;=Umbral),1,0))</f>
        <v/>
      </c>
      <c r="AB3366" s="52">
        <f>IF(OR(P3366="",Q3366=""),"",IFERROR(IF(INDEX(ctaVinc,MATCH(Q3366,ctaNombre,0))&amp;""&lt;&gt;"",INDEX(ctaVinc,MATCH(Q3366,ctaNombre,0))&amp;"",Q3366),Q3366))</f>
        <v/>
      </c>
      <c r="AC3366" s="52">
        <f>IF(OR(K3366="",AND(P3366&lt;&gt;"Transferencia",P3366&lt;&gt;"Pago tarjeta")),"",IFERROR(IF(INDEX(ctaVinc,MATCH(K3366,ctaNombre,0))&amp;""&lt;&gt;"",INDEX(ctaVinc,MATCH(K3366,ctaNombre,0))&amp;"",K3366),K3366))</f>
        <v/>
      </c>
      <c r="AD3366" s="52">
        <f>IF(AB3366="","",IFERROR(INDEX(ctaTipo,MATCH(AB3366,ctaNombre,0))&amp;"",""))</f>
        <v/>
      </c>
      <c r="AE3366" s="52">
        <f>IF(AC3366="","",IFERROR(INDEX(ctaTipo,MATCH(AC3366,ctaNombre,0))&amp;"",""))</f>
        <v/>
      </c>
      <c r="AF3366" s="53">
        <f>IF(OR(P3366="",AB3366=""),"",IF(OR(P3366="Gasto",P3366="Transferencia",P3366="Pago tarjeta"),-1,1)*IF(IFERROR(INDEX(ctaMoneda,MATCH(AB3366,ctaNombre,0))&amp;"","DOP")="USD",T3366,S3366))</f>
        <v/>
      </c>
      <c r="AG3366" s="53">
        <f>IF(AC3366="","",IF(IFERROR(INDEX(ctaMoneda,MATCH(AC3366,ctaNombre,0))&amp;"","DOP")="USD",T3366,S3366))</f>
        <v/>
      </c>
      <c r="AH3366" s="53">
        <f>IF(P3366="","",IF(AND(AD3366&lt;&gt;"",COUNTIFS(tcTipo,AD3366,tcLiq,"Sí")&gt;0),IF(OR(P3366="Gasto",P3366="Transferencia",P3366="Pago tarjeta"),-1,1)*S3366,0)+IF(AND(AE3366&lt;&gt;"",COUNTIFS(tcTipo,AE3366,tcLiq,"Sí")&gt;0),S3366,0))</f>
        <v/>
      </c>
      <c r="AI3366" s="52">
        <f>IF(OR(L3366="",P3366=""),"",IF(COUNTIFS(L$6:L3366,L3366,P$6:P3366,"?*")=1,MAX(AI$5:AI3365)+1,""))</f>
        <v/>
      </c>
    </row>
    <row r="3367">
      <c r="B3367" s="47" t="n"/>
      <c r="C3367" s="48" t="n"/>
      <c r="D3367" s="48" t="n"/>
      <c r="E3367" s="48" t="n"/>
      <c r="F3367" s="48" t="n"/>
      <c r="G3367" s="49" t="n"/>
      <c r="H3367" s="48" t="n"/>
      <c r="I3367" s="50" t="n"/>
      <c r="J3367" s="48" t="n"/>
      <c r="K3367" s="48" t="n"/>
      <c r="L3367" s="48" t="n"/>
      <c r="M3367" s="48" t="n"/>
      <c r="N3367" s="48" t="n"/>
      <c r="O3367" s="51">
        <f>IF(AND(B3367="",G3367="",C3367="",D3367="",J3367=""),"",IF(B3367="","⚠ Falta fecha",IF(G3367="","⚠ Falta monto",IF(Q3367="","⚠ Falta cuenta",IF(ISNA(MATCH(Q3367,ctaNombre,0)),"⚠ Cuenta no registrada",IF(AND(OR(P3367="Gasto",P3367="Reembolso"),D3367=""),"⚠ Falta categoría",IF(AND(D3367&lt;&gt;"",E3367&lt;&gt;"",ISNA(MATCH(D3367&amp;"|"&amp;E3367,catClave,0))),"⚠ Subcategoría no corresponde",IF(AND(OR(P3367="Transferencia",P3367="Pago tarjeta"),K3367=""),"⚠ Falta cuenta destino",IF(AND(K3367&lt;&gt;"",P3367&lt;&gt;"Transferencia",P3367&lt;&gt;"Pago tarjeta"),"⚠ Destino solo aplica a transferencias",IF(AND(K3367&lt;&gt;"",K3367=Q3367),"⚠ Origen igual a destino",IF(AND(K3367&lt;&gt;"",ISNA(MATCH(K3367,ctaNombre,0))),"⚠ Destino no registrado",IF(AND(P3367="Pago tarjeta",AE3367&lt;&gt;"Tarjeta de crédito"),"⚠ El destino debe ser tarjeta de crédito",IF(AND(P3367="Gasto",E3367="Depósitos y retiros"),"⚠ Usa tipo Transferencia",IF(AND(P3367="Resultado trading",AD3367&lt;&gt;"Cuenta de trading"),"⚠ Usa una cuenta de trading",IF(AND(G3367&lt;=0,P3367&lt;&gt;"Ajuste",P3367&lt;&gt;"Resultado trading"),"⚠ El monto debe ser positivo","✓")))))))))))))))</f>
        <v/>
      </c>
      <c r="P3367" s="52">
        <f>IF(OR(B3367="",G3367=""),"",IF(C3367="","Gasto",C3367))</f>
        <v/>
      </c>
      <c r="Q3367" s="52">
        <f>IF(P3367="","",IF(J3367&lt;&gt;"",J3367,CuentaPred&amp;""))</f>
        <v/>
      </c>
      <c r="R3367" s="52">
        <f>IF(P3367="","",IF(ISNUMBER(I3367),I3367,TasaUSD))</f>
        <v/>
      </c>
      <c r="S3367" s="53">
        <f>IF(P3367="","",IF(H3367="USD",G3367*R3367,G3367))</f>
        <v/>
      </c>
      <c r="T3367" s="53">
        <f>IF(P3367="","",IF(H3367="USD",G3367,IF(R3367&gt;0,G3367/R3367,0)))</f>
        <v/>
      </c>
      <c r="U3367" s="53">
        <f>IF(P3367="","",IF(P3367="Gasto",S3367,IF(P3367="Reembolso",-S3367,0)))</f>
        <v/>
      </c>
      <c r="V3367" s="53">
        <f>IF(P3367="","",IF(P3367="Ingreso",S3367,0))</f>
        <v/>
      </c>
      <c r="W3367" s="53">
        <f>IF(P3367="","",IF(P3367="Resultado trading",S3367,0))</f>
        <v/>
      </c>
      <c r="X3367" s="52">
        <f>IF(OR(P3367="Gasto",P3367="Reembolso"),IF(M3367&lt;&gt;"",M3367,IFERROR(INDEX(catClasif,MATCH(D3367&amp;"|"&amp;E3367,catClave,0))&amp;"","Variable")),"")</f>
        <v/>
      </c>
      <c r="Y3367" s="52">
        <f>IF(P3367="","",IFERROR(INDEX(catGrupo,MATCH(D3367&amp;"|"&amp;E3367,catClave,0))&amp;"",""))</f>
        <v/>
      </c>
      <c r="Z3367" s="52">
        <f>IF(P3367="","",WEEKDAY(B3367,2))</f>
        <v/>
      </c>
      <c r="AA3367" s="52">
        <f>IF(P3367="","",IF(AND(P3367="Gasto",X3367="Variable",D3367&lt;&gt;catTrading,S3367&gt;0,S3367&lt;=Umbral),1,0))</f>
        <v/>
      </c>
      <c r="AB3367" s="52">
        <f>IF(OR(P3367="",Q3367=""),"",IFERROR(IF(INDEX(ctaVinc,MATCH(Q3367,ctaNombre,0))&amp;""&lt;&gt;"",INDEX(ctaVinc,MATCH(Q3367,ctaNombre,0))&amp;"",Q3367),Q3367))</f>
        <v/>
      </c>
      <c r="AC3367" s="52">
        <f>IF(OR(K3367="",AND(P3367&lt;&gt;"Transferencia",P3367&lt;&gt;"Pago tarjeta")),"",IFERROR(IF(INDEX(ctaVinc,MATCH(K3367,ctaNombre,0))&amp;""&lt;&gt;"",INDEX(ctaVinc,MATCH(K3367,ctaNombre,0))&amp;"",K3367),K3367))</f>
        <v/>
      </c>
      <c r="AD3367" s="52">
        <f>IF(AB3367="","",IFERROR(INDEX(ctaTipo,MATCH(AB3367,ctaNombre,0))&amp;"",""))</f>
        <v/>
      </c>
      <c r="AE3367" s="52">
        <f>IF(AC3367="","",IFERROR(INDEX(ctaTipo,MATCH(AC3367,ctaNombre,0))&amp;"",""))</f>
        <v/>
      </c>
      <c r="AF3367" s="53">
        <f>IF(OR(P3367="",AB3367=""),"",IF(OR(P3367="Gasto",P3367="Transferencia",P3367="Pago tarjeta"),-1,1)*IF(IFERROR(INDEX(ctaMoneda,MATCH(AB3367,ctaNombre,0))&amp;"","DOP")="USD",T3367,S3367))</f>
        <v/>
      </c>
      <c r="AG3367" s="53">
        <f>IF(AC3367="","",IF(IFERROR(INDEX(ctaMoneda,MATCH(AC3367,ctaNombre,0))&amp;"","DOP")="USD",T3367,S3367))</f>
        <v/>
      </c>
      <c r="AH3367" s="53">
        <f>IF(P3367="","",IF(AND(AD3367&lt;&gt;"",COUNTIFS(tcTipo,AD3367,tcLiq,"Sí")&gt;0),IF(OR(P3367="Gasto",P3367="Transferencia",P3367="Pago tarjeta"),-1,1)*S3367,0)+IF(AND(AE3367&lt;&gt;"",COUNTIFS(tcTipo,AE3367,tcLiq,"Sí")&gt;0),S3367,0))</f>
        <v/>
      </c>
      <c r="AI3367" s="52">
        <f>IF(OR(L3367="",P3367=""),"",IF(COUNTIFS(L$6:L3367,L3367,P$6:P3367,"?*")=1,MAX(AI$5:AI3366)+1,""))</f>
        <v/>
      </c>
    </row>
    <row r="3368">
      <c r="B3368" s="47" t="n"/>
      <c r="C3368" s="48" t="n"/>
      <c r="D3368" s="48" t="n"/>
      <c r="E3368" s="48" t="n"/>
      <c r="F3368" s="48" t="n"/>
      <c r="G3368" s="49" t="n"/>
      <c r="H3368" s="48" t="n"/>
      <c r="I3368" s="50" t="n"/>
      <c r="J3368" s="48" t="n"/>
      <c r="K3368" s="48" t="n"/>
      <c r="L3368" s="48" t="n"/>
      <c r="M3368" s="48" t="n"/>
      <c r="N3368" s="48" t="n"/>
      <c r="O3368" s="51">
        <f>IF(AND(B3368="",G3368="",C3368="",D3368="",J3368=""),"",IF(B3368="","⚠ Falta fecha",IF(G3368="","⚠ Falta monto",IF(Q3368="","⚠ Falta cuenta",IF(ISNA(MATCH(Q3368,ctaNombre,0)),"⚠ Cuenta no registrada",IF(AND(OR(P3368="Gasto",P3368="Reembolso"),D3368=""),"⚠ Falta categoría",IF(AND(D3368&lt;&gt;"",E3368&lt;&gt;"",ISNA(MATCH(D3368&amp;"|"&amp;E3368,catClave,0))),"⚠ Subcategoría no corresponde",IF(AND(OR(P3368="Transferencia",P3368="Pago tarjeta"),K3368=""),"⚠ Falta cuenta destino",IF(AND(K3368&lt;&gt;"",P3368&lt;&gt;"Transferencia",P3368&lt;&gt;"Pago tarjeta"),"⚠ Destino solo aplica a transferencias",IF(AND(K3368&lt;&gt;"",K3368=Q3368),"⚠ Origen igual a destino",IF(AND(K3368&lt;&gt;"",ISNA(MATCH(K3368,ctaNombre,0))),"⚠ Destino no registrado",IF(AND(P3368="Pago tarjeta",AE3368&lt;&gt;"Tarjeta de crédito"),"⚠ El destino debe ser tarjeta de crédito",IF(AND(P3368="Gasto",E3368="Depósitos y retiros"),"⚠ Usa tipo Transferencia",IF(AND(P3368="Resultado trading",AD3368&lt;&gt;"Cuenta de trading"),"⚠ Usa una cuenta de trading",IF(AND(G3368&lt;=0,P3368&lt;&gt;"Ajuste",P3368&lt;&gt;"Resultado trading"),"⚠ El monto debe ser positivo","✓")))))))))))))))</f>
        <v/>
      </c>
      <c r="P3368" s="52">
        <f>IF(OR(B3368="",G3368=""),"",IF(C3368="","Gasto",C3368))</f>
        <v/>
      </c>
      <c r="Q3368" s="52">
        <f>IF(P3368="","",IF(J3368&lt;&gt;"",J3368,CuentaPred&amp;""))</f>
        <v/>
      </c>
      <c r="R3368" s="52">
        <f>IF(P3368="","",IF(ISNUMBER(I3368),I3368,TasaUSD))</f>
        <v/>
      </c>
      <c r="S3368" s="53">
        <f>IF(P3368="","",IF(H3368="USD",G3368*R3368,G3368))</f>
        <v/>
      </c>
      <c r="T3368" s="53">
        <f>IF(P3368="","",IF(H3368="USD",G3368,IF(R3368&gt;0,G3368/R3368,0)))</f>
        <v/>
      </c>
      <c r="U3368" s="53">
        <f>IF(P3368="","",IF(P3368="Gasto",S3368,IF(P3368="Reembolso",-S3368,0)))</f>
        <v/>
      </c>
      <c r="V3368" s="53">
        <f>IF(P3368="","",IF(P3368="Ingreso",S3368,0))</f>
        <v/>
      </c>
      <c r="W3368" s="53">
        <f>IF(P3368="","",IF(P3368="Resultado trading",S3368,0))</f>
        <v/>
      </c>
      <c r="X3368" s="52">
        <f>IF(OR(P3368="Gasto",P3368="Reembolso"),IF(M3368&lt;&gt;"",M3368,IFERROR(INDEX(catClasif,MATCH(D3368&amp;"|"&amp;E3368,catClave,0))&amp;"","Variable")),"")</f>
        <v/>
      </c>
      <c r="Y3368" s="52">
        <f>IF(P3368="","",IFERROR(INDEX(catGrupo,MATCH(D3368&amp;"|"&amp;E3368,catClave,0))&amp;"",""))</f>
        <v/>
      </c>
      <c r="Z3368" s="52">
        <f>IF(P3368="","",WEEKDAY(B3368,2))</f>
        <v/>
      </c>
      <c r="AA3368" s="52">
        <f>IF(P3368="","",IF(AND(P3368="Gasto",X3368="Variable",D3368&lt;&gt;catTrading,S3368&gt;0,S3368&lt;=Umbral),1,0))</f>
        <v/>
      </c>
      <c r="AB3368" s="52">
        <f>IF(OR(P3368="",Q3368=""),"",IFERROR(IF(INDEX(ctaVinc,MATCH(Q3368,ctaNombre,0))&amp;""&lt;&gt;"",INDEX(ctaVinc,MATCH(Q3368,ctaNombre,0))&amp;"",Q3368),Q3368))</f>
        <v/>
      </c>
      <c r="AC3368" s="52">
        <f>IF(OR(K3368="",AND(P3368&lt;&gt;"Transferencia",P3368&lt;&gt;"Pago tarjeta")),"",IFERROR(IF(INDEX(ctaVinc,MATCH(K3368,ctaNombre,0))&amp;""&lt;&gt;"",INDEX(ctaVinc,MATCH(K3368,ctaNombre,0))&amp;"",K3368),K3368))</f>
        <v/>
      </c>
      <c r="AD3368" s="52">
        <f>IF(AB3368="","",IFERROR(INDEX(ctaTipo,MATCH(AB3368,ctaNombre,0))&amp;"",""))</f>
        <v/>
      </c>
      <c r="AE3368" s="52">
        <f>IF(AC3368="","",IFERROR(INDEX(ctaTipo,MATCH(AC3368,ctaNombre,0))&amp;"",""))</f>
        <v/>
      </c>
      <c r="AF3368" s="53">
        <f>IF(OR(P3368="",AB3368=""),"",IF(OR(P3368="Gasto",P3368="Transferencia",P3368="Pago tarjeta"),-1,1)*IF(IFERROR(INDEX(ctaMoneda,MATCH(AB3368,ctaNombre,0))&amp;"","DOP")="USD",T3368,S3368))</f>
        <v/>
      </c>
      <c r="AG3368" s="53">
        <f>IF(AC3368="","",IF(IFERROR(INDEX(ctaMoneda,MATCH(AC3368,ctaNombre,0))&amp;"","DOP")="USD",T3368,S3368))</f>
        <v/>
      </c>
      <c r="AH3368" s="53">
        <f>IF(P3368="","",IF(AND(AD3368&lt;&gt;"",COUNTIFS(tcTipo,AD3368,tcLiq,"Sí")&gt;0),IF(OR(P3368="Gasto",P3368="Transferencia",P3368="Pago tarjeta"),-1,1)*S3368,0)+IF(AND(AE3368&lt;&gt;"",COUNTIFS(tcTipo,AE3368,tcLiq,"Sí")&gt;0),S3368,0))</f>
        <v/>
      </c>
      <c r="AI3368" s="52">
        <f>IF(OR(L3368="",P3368=""),"",IF(COUNTIFS(L$6:L3368,L3368,P$6:P3368,"?*")=1,MAX(AI$5:AI3367)+1,""))</f>
        <v/>
      </c>
    </row>
    <row r="3369">
      <c r="B3369" s="47" t="n"/>
      <c r="C3369" s="48" t="n"/>
      <c r="D3369" s="48" t="n"/>
      <c r="E3369" s="48" t="n"/>
      <c r="F3369" s="48" t="n"/>
      <c r="G3369" s="49" t="n"/>
      <c r="H3369" s="48" t="n"/>
      <c r="I3369" s="50" t="n"/>
      <c r="J3369" s="48" t="n"/>
      <c r="K3369" s="48" t="n"/>
      <c r="L3369" s="48" t="n"/>
      <c r="M3369" s="48" t="n"/>
      <c r="N3369" s="48" t="n"/>
      <c r="O3369" s="51">
        <f>IF(AND(B3369="",G3369="",C3369="",D3369="",J3369=""),"",IF(B3369="","⚠ Falta fecha",IF(G3369="","⚠ Falta monto",IF(Q3369="","⚠ Falta cuenta",IF(ISNA(MATCH(Q3369,ctaNombre,0)),"⚠ Cuenta no registrada",IF(AND(OR(P3369="Gasto",P3369="Reembolso"),D3369=""),"⚠ Falta categoría",IF(AND(D3369&lt;&gt;"",E3369&lt;&gt;"",ISNA(MATCH(D3369&amp;"|"&amp;E3369,catClave,0))),"⚠ Subcategoría no corresponde",IF(AND(OR(P3369="Transferencia",P3369="Pago tarjeta"),K3369=""),"⚠ Falta cuenta destino",IF(AND(K3369&lt;&gt;"",P3369&lt;&gt;"Transferencia",P3369&lt;&gt;"Pago tarjeta"),"⚠ Destino solo aplica a transferencias",IF(AND(K3369&lt;&gt;"",K3369=Q3369),"⚠ Origen igual a destino",IF(AND(K3369&lt;&gt;"",ISNA(MATCH(K3369,ctaNombre,0))),"⚠ Destino no registrado",IF(AND(P3369="Pago tarjeta",AE3369&lt;&gt;"Tarjeta de crédito"),"⚠ El destino debe ser tarjeta de crédito",IF(AND(P3369="Gasto",E3369="Depósitos y retiros"),"⚠ Usa tipo Transferencia",IF(AND(P3369="Resultado trading",AD3369&lt;&gt;"Cuenta de trading"),"⚠ Usa una cuenta de trading",IF(AND(G3369&lt;=0,P3369&lt;&gt;"Ajuste",P3369&lt;&gt;"Resultado trading"),"⚠ El monto debe ser positivo","✓")))))))))))))))</f>
        <v/>
      </c>
      <c r="P3369" s="52">
        <f>IF(OR(B3369="",G3369=""),"",IF(C3369="","Gasto",C3369))</f>
        <v/>
      </c>
      <c r="Q3369" s="52">
        <f>IF(P3369="","",IF(J3369&lt;&gt;"",J3369,CuentaPred&amp;""))</f>
        <v/>
      </c>
      <c r="R3369" s="52">
        <f>IF(P3369="","",IF(ISNUMBER(I3369),I3369,TasaUSD))</f>
        <v/>
      </c>
      <c r="S3369" s="53">
        <f>IF(P3369="","",IF(H3369="USD",G3369*R3369,G3369))</f>
        <v/>
      </c>
      <c r="T3369" s="53">
        <f>IF(P3369="","",IF(H3369="USD",G3369,IF(R3369&gt;0,G3369/R3369,0)))</f>
        <v/>
      </c>
      <c r="U3369" s="53">
        <f>IF(P3369="","",IF(P3369="Gasto",S3369,IF(P3369="Reembolso",-S3369,0)))</f>
        <v/>
      </c>
      <c r="V3369" s="53">
        <f>IF(P3369="","",IF(P3369="Ingreso",S3369,0))</f>
        <v/>
      </c>
      <c r="W3369" s="53">
        <f>IF(P3369="","",IF(P3369="Resultado trading",S3369,0))</f>
        <v/>
      </c>
      <c r="X3369" s="52">
        <f>IF(OR(P3369="Gasto",P3369="Reembolso"),IF(M3369&lt;&gt;"",M3369,IFERROR(INDEX(catClasif,MATCH(D3369&amp;"|"&amp;E3369,catClave,0))&amp;"","Variable")),"")</f>
        <v/>
      </c>
      <c r="Y3369" s="52">
        <f>IF(P3369="","",IFERROR(INDEX(catGrupo,MATCH(D3369&amp;"|"&amp;E3369,catClave,0))&amp;"",""))</f>
        <v/>
      </c>
      <c r="Z3369" s="52">
        <f>IF(P3369="","",WEEKDAY(B3369,2))</f>
        <v/>
      </c>
      <c r="AA3369" s="52">
        <f>IF(P3369="","",IF(AND(P3369="Gasto",X3369="Variable",D3369&lt;&gt;catTrading,S3369&gt;0,S3369&lt;=Umbral),1,0))</f>
        <v/>
      </c>
      <c r="AB3369" s="52">
        <f>IF(OR(P3369="",Q3369=""),"",IFERROR(IF(INDEX(ctaVinc,MATCH(Q3369,ctaNombre,0))&amp;""&lt;&gt;"",INDEX(ctaVinc,MATCH(Q3369,ctaNombre,0))&amp;"",Q3369),Q3369))</f>
        <v/>
      </c>
      <c r="AC3369" s="52">
        <f>IF(OR(K3369="",AND(P3369&lt;&gt;"Transferencia",P3369&lt;&gt;"Pago tarjeta")),"",IFERROR(IF(INDEX(ctaVinc,MATCH(K3369,ctaNombre,0))&amp;""&lt;&gt;"",INDEX(ctaVinc,MATCH(K3369,ctaNombre,0))&amp;"",K3369),K3369))</f>
        <v/>
      </c>
      <c r="AD3369" s="52">
        <f>IF(AB3369="","",IFERROR(INDEX(ctaTipo,MATCH(AB3369,ctaNombre,0))&amp;"",""))</f>
        <v/>
      </c>
      <c r="AE3369" s="52">
        <f>IF(AC3369="","",IFERROR(INDEX(ctaTipo,MATCH(AC3369,ctaNombre,0))&amp;"",""))</f>
        <v/>
      </c>
      <c r="AF3369" s="53">
        <f>IF(OR(P3369="",AB3369=""),"",IF(OR(P3369="Gasto",P3369="Transferencia",P3369="Pago tarjeta"),-1,1)*IF(IFERROR(INDEX(ctaMoneda,MATCH(AB3369,ctaNombre,0))&amp;"","DOP")="USD",T3369,S3369))</f>
        <v/>
      </c>
      <c r="AG3369" s="53">
        <f>IF(AC3369="","",IF(IFERROR(INDEX(ctaMoneda,MATCH(AC3369,ctaNombre,0))&amp;"","DOP")="USD",T3369,S3369))</f>
        <v/>
      </c>
      <c r="AH3369" s="53">
        <f>IF(P3369="","",IF(AND(AD3369&lt;&gt;"",COUNTIFS(tcTipo,AD3369,tcLiq,"Sí")&gt;0),IF(OR(P3369="Gasto",P3369="Transferencia",P3369="Pago tarjeta"),-1,1)*S3369,0)+IF(AND(AE3369&lt;&gt;"",COUNTIFS(tcTipo,AE3369,tcLiq,"Sí")&gt;0),S3369,0))</f>
        <v/>
      </c>
      <c r="AI3369" s="52">
        <f>IF(OR(L3369="",P3369=""),"",IF(COUNTIFS(L$6:L3369,L3369,P$6:P3369,"?*")=1,MAX(AI$5:AI3368)+1,""))</f>
        <v/>
      </c>
    </row>
    <row r="3370">
      <c r="B3370" s="47" t="n"/>
      <c r="C3370" s="48" t="n"/>
      <c r="D3370" s="48" t="n"/>
      <c r="E3370" s="48" t="n"/>
      <c r="F3370" s="48" t="n"/>
      <c r="G3370" s="49" t="n"/>
      <c r="H3370" s="48" t="n"/>
      <c r="I3370" s="50" t="n"/>
      <c r="J3370" s="48" t="n"/>
      <c r="K3370" s="48" t="n"/>
      <c r="L3370" s="48" t="n"/>
      <c r="M3370" s="48" t="n"/>
      <c r="N3370" s="48" t="n"/>
      <c r="O3370" s="51">
        <f>IF(AND(B3370="",G3370="",C3370="",D3370="",J3370=""),"",IF(B3370="","⚠ Falta fecha",IF(G3370="","⚠ Falta monto",IF(Q3370="","⚠ Falta cuenta",IF(ISNA(MATCH(Q3370,ctaNombre,0)),"⚠ Cuenta no registrada",IF(AND(OR(P3370="Gasto",P3370="Reembolso"),D3370=""),"⚠ Falta categoría",IF(AND(D3370&lt;&gt;"",E3370&lt;&gt;"",ISNA(MATCH(D3370&amp;"|"&amp;E3370,catClave,0))),"⚠ Subcategoría no corresponde",IF(AND(OR(P3370="Transferencia",P3370="Pago tarjeta"),K3370=""),"⚠ Falta cuenta destino",IF(AND(K3370&lt;&gt;"",P3370&lt;&gt;"Transferencia",P3370&lt;&gt;"Pago tarjeta"),"⚠ Destino solo aplica a transferencias",IF(AND(K3370&lt;&gt;"",K3370=Q3370),"⚠ Origen igual a destino",IF(AND(K3370&lt;&gt;"",ISNA(MATCH(K3370,ctaNombre,0))),"⚠ Destino no registrado",IF(AND(P3370="Pago tarjeta",AE3370&lt;&gt;"Tarjeta de crédito"),"⚠ El destino debe ser tarjeta de crédito",IF(AND(P3370="Gasto",E3370="Depósitos y retiros"),"⚠ Usa tipo Transferencia",IF(AND(P3370="Resultado trading",AD3370&lt;&gt;"Cuenta de trading"),"⚠ Usa una cuenta de trading",IF(AND(G3370&lt;=0,P3370&lt;&gt;"Ajuste",P3370&lt;&gt;"Resultado trading"),"⚠ El monto debe ser positivo","✓")))))))))))))))</f>
        <v/>
      </c>
      <c r="P3370" s="52">
        <f>IF(OR(B3370="",G3370=""),"",IF(C3370="","Gasto",C3370))</f>
        <v/>
      </c>
      <c r="Q3370" s="52">
        <f>IF(P3370="","",IF(J3370&lt;&gt;"",J3370,CuentaPred&amp;""))</f>
        <v/>
      </c>
      <c r="R3370" s="52">
        <f>IF(P3370="","",IF(ISNUMBER(I3370),I3370,TasaUSD))</f>
        <v/>
      </c>
      <c r="S3370" s="53">
        <f>IF(P3370="","",IF(H3370="USD",G3370*R3370,G3370))</f>
        <v/>
      </c>
      <c r="T3370" s="53">
        <f>IF(P3370="","",IF(H3370="USD",G3370,IF(R3370&gt;0,G3370/R3370,0)))</f>
        <v/>
      </c>
      <c r="U3370" s="53">
        <f>IF(P3370="","",IF(P3370="Gasto",S3370,IF(P3370="Reembolso",-S3370,0)))</f>
        <v/>
      </c>
      <c r="V3370" s="53">
        <f>IF(P3370="","",IF(P3370="Ingreso",S3370,0))</f>
        <v/>
      </c>
      <c r="W3370" s="53">
        <f>IF(P3370="","",IF(P3370="Resultado trading",S3370,0))</f>
        <v/>
      </c>
      <c r="X3370" s="52">
        <f>IF(OR(P3370="Gasto",P3370="Reembolso"),IF(M3370&lt;&gt;"",M3370,IFERROR(INDEX(catClasif,MATCH(D3370&amp;"|"&amp;E3370,catClave,0))&amp;"","Variable")),"")</f>
        <v/>
      </c>
      <c r="Y3370" s="52">
        <f>IF(P3370="","",IFERROR(INDEX(catGrupo,MATCH(D3370&amp;"|"&amp;E3370,catClave,0))&amp;"",""))</f>
        <v/>
      </c>
      <c r="Z3370" s="52">
        <f>IF(P3370="","",WEEKDAY(B3370,2))</f>
        <v/>
      </c>
      <c r="AA3370" s="52">
        <f>IF(P3370="","",IF(AND(P3370="Gasto",X3370="Variable",D3370&lt;&gt;catTrading,S3370&gt;0,S3370&lt;=Umbral),1,0))</f>
        <v/>
      </c>
      <c r="AB3370" s="52">
        <f>IF(OR(P3370="",Q3370=""),"",IFERROR(IF(INDEX(ctaVinc,MATCH(Q3370,ctaNombre,0))&amp;""&lt;&gt;"",INDEX(ctaVinc,MATCH(Q3370,ctaNombre,0))&amp;"",Q3370),Q3370))</f>
        <v/>
      </c>
      <c r="AC3370" s="52">
        <f>IF(OR(K3370="",AND(P3370&lt;&gt;"Transferencia",P3370&lt;&gt;"Pago tarjeta")),"",IFERROR(IF(INDEX(ctaVinc,MATCH(K3370,ctaNombre,0))&amp;""&lt;&gt;"",INDEX(ctaVinc,MATCH(K3370,ctaNombre,0))&amp;"",K3370),K3370))</f>
        <v/>
      </c>
      <c r="AD3370" s="52">
        <f>IF(AB3370="","",IFERROR(INDEX(ctaTipo,MATCH(AB3370,ctaNombre,0))&amp;"",""))</f>
        <v/>
      </c>
      <c r="AE3370" s="52">
        <f>IF(AC3370="","",IFERROR(INDEX(ctaTipo,MATCH(AC3370,ctaNombre,0))&amp;"",""))</f>
        <v/>
      </c>
      <c r="AF3370" s="53">
        <f>IF(OR(P3370="",AB3370=""),"",IF(OR(P3370="Gasto",P3370="Transferencia",P3370="Pago tarjeta"),-1,1)*IF(IFERROR(INDEX(ctaMoneda,MATCH(AB3370,ctaNombre,0))&amp;"","DOP")="USD",T3370,S3370))</f>
        <v/>
      </c>
      <c r="AG3370" s="53">
        <f>IF(AC3370="","",IF(IFERROR(INDEX(ctaMoneda,MATCH(AC3370,ctaNombre,0))&amp;"","DOP")="USD",T3370,S3370))</f>
        <v/>
      </c>
      <c r="AH3370" s="53">
        <f>IF(P3370="","",IF(AND(AD3370&lt;&gt;"",COUNTIFS(tcTipo,AD3370,tcLiq,"Sí")&gt;0),IF(OR(P3370="Gasto",P3370="Transferencia",P3370="Pago tarjeta"),-1,1)*S3370,0)+IF(AND(AE3370&lt;&gt;"",COUNTIFS(tcTipo,AE3370,tcLiq,"Sí")&gt;0),S3370,0))</f>
        <v/>
      </c>
      <c r="AI3370" s="52">
        <f>IF(OR(L3370="",P3370=""),"",IF(COUNTIFS(L$6:L3370,L3370,P$6:P3370,"?*")=1,MAX(AI$5:AI3369)+1,""))</f>
        <v/>
      </c>
    </row>
    <row r="3371">
      <c r="B3371" s="47" t="n"/>
      <c r="C3371" s="48" t="n"/>
      <c r="D3371" s="48" t="n"/>
      <c r="E3371" s="48" t="n"/>
      <c r="F3371" s="48" t="n"/>
      <c r="G3371" s="49" t="n"/>
      <c r="H3371" s="48" t="n"/>
      <c r="I3371" s="50" t="n"/>
      <c r="J3371" s="48" t="n"/>
      <c r="K3371" s="48" t="n"/>
      <c r="L3371" s="48" t="n"/>
      <c r="M3371" s="48" t="n"/>
      <c r="N3371" s="48" t="n"/>
      <c r="O3371" s="51">
        <f>IF(AND(B3371="",G3371="",C3371="",D3371="",J3371=""),"",IF(B3371="","⚠ Falta fecha",IF(G3371="","⚠ Falta monto",IF(Q3371="","⚠ Falta cuenta",IF(ISNA(MATCH(Q3371,ctaNombre,0)),"⚠ Cuenta no registrada",IF(AND(OR(P3371="Gasto",P3371="Reembolso"),D3371=""),"⚠ Falta categoría",IF(AND(D3371&lt;&gt;"",E3371&lt;&gt;"",ISNA(MATCH(D3371&amp;"|"&amp;E3371,catClave,0))),"⚠ Subcategoría no corresponde",IF(AND(OR(P3371="Transferencia",P3371="Pago tarjeta"),K3371=""),"⚠ Falta cuenta destino",IF(AND(K3371&lt;&gt;"",P3371&lt;&gt;"Transferencia",P3371&lt;&gt;"Pago tarjeta"),"⚠ Destino solo aplica a transferencias",IF(AND(K3371&lt;&gt;"",K3371=Q3371),"⚠ Origen igual a destino",IF(AND(K3371&lt;&gt;"",ISNA(MATCH(K3371,ctaNombre,0))),"⚠ Destino no registrado",IF(AND(P3371="Pago tarjeta",AE3371&lt;&gt;"Tarjeta de crédito"),"⚠ El destino debe ser tarjeta de crédito",IF(AND(P3371="Gasto",E3371="Depósitos y retiros"),"⚠ Usa tipo Transferencia",IF(AND(P3371="Resultado trading",AD3371&lt;&gt;"Cuenta de trading"),"⚠ Usa una cuenta de trading",IF(AND(G3371&lt;=0,P3371&lt;&gt;"Ajuste",P3371&lt;&gt;"Resultado trading"),"⚠ El monto debe ser positivo","✓")))))))))))))))</f>
        <v/>
      </c>
      <c r="P3371" s="52">
        <f>IF(OR(B3371="",G3371=""),"",IF(C3371="","Gasto",C3371))</f>
        <v/>
      </c>
      <c r="Q3371" s="52">
        <f>IF(P3371="","",IF(J3371&lt;&gt;"",J3371,CuentaPred&amp;""))</f>
        <v/>
      </c>
      <c r="R3371" s="52">
        <f>IF(P3371="","",IF(ISNUMBER(I3371),I3371,TasaUSD))</f>
        <v/>
      </c>
      <c r="S3371" s="53">
        <f>IF(P3371="","",IF(H3371="USD",G3371*R3371,G3371))</f>
        <v/>
      </c>
      <c r="T3371" s="53">
        <f>IF(P3371="","",IF(H3371="USD",G3371,IF(R3371&gt;0,G3371/R3371,0)))</f>
        <v/>
      </c>
      <c r="U3371" s="53">
        <f>IF(P3371="","",IF(P3371="Gasto",S3371,IF(P3371="Reembolso",-S3371,0)))</f>
        <v/>
      </c>
      <c r="V3371" s="53">
        <f>IF(P3371="","",IF(P3371="Ingreso",S3371,0))</f>
        <v/>
      </c>
      <c r="W3371" s="53">
        <f>IF(P3371="","",IF(P3371="Resultado trading",S3371,0))</f>
        <v/>
      </c>
      <c r="X3371" s="52">
        <f>IF(OR(P3371="Gasto",P3371="Reembolso"),IF(M3371&lt;&gt;"",M3371,IFERROR(INDEX(catClasif,MATCH(D3371&amp;"|"&amp;E3371,catClave,0))&amp;"","Variable")),"")</f>
        <v/>
      </c>
      <c r="Y3371" s="52">
        <f>IF(P3371="","",IFERROR(INDEX(catGrupo,MATCH(D3371&amp;"|"&amp;E3371,catClave,0))&amp;"",""))</f>
        <v/>
      </c>
      <c r="Z3371" s="52">
        <f>IF(P3371="","",WEEKDAY(B3371,2))</f>
        <v/>
      </c>
      <c r="AA3371" s="52">
        <f>IF(P3371="","",IF(AND(P3371="Gasto",X3371="Variable",D3371&lt;&gt;catTrading,S3371&gt;0,S3371&lt;=Umbral),1,0))</f>
        <v/>
      </c>
      <c r="AB3371" s="52">
        <f>IF(OR(P3371="",Q3371=""),"",IFERROR(IF(INDEX(ctaVinc,MATCH(Q3371,ctaNombre,0))&amp;""&lt;&gt;"",INDEX(ctaVinc,MATCH(Q3371,ctaNombre,0))&amp;"",Q3371),Q3371))</f>
        <v/>
      </c>
      <c r="AC3371" s="52">
        <f>IF(OR(K3371="",AND(P3371&lt;&gt;"Transferencia",P3371&lt;&gt;"Pago tarjeta")),"",IFERROR(IF(INDEX(ctaVinc,MATCH(K3371,ctaNombre,0))&amp;""&lt;&gt;"",INDEX(ctaVinc,MATCH(K3371,ctaNombre,0))&amp;"",K3371),K3371))</f>
        <v/>
      </c>
      <c r="AD3371" s="52">
        <f>IF(AB3371="","",IFERROR(INDEX(ctaTipo,MATCH(AB3371,ctaNombre,0))&amp;"",""))</f>
        <v/>
      </c>
      <c r="AE3371" s="52">
        <f>IF(AC3371="","",IFERROR(INDEX(ctaTipo,MATCH(AC3371,ctaNombre,0))&amp;"",""))</f>
        <v/>
      </c>
      <c r="AF3371" s="53">
        <f>IF(OR(P3371="",AB3371=""),"",IF(OR(P3371="Gasto",P3371="Transferencia",P3371="Pago tarjeta"),-1,1)*IF(IFERROR(INDEX(ctaMoneda,MATCH(AB3371,ctaNombre,0))&amp;"","DOP")="USD",T3371,S3371))</f>
        <v/>
      </c>
      <c r="AG3371" s="53">
        <f>IF(AC3371="","",IF(IFERROR(INDEX(ctaMoneda,MATCH(AC3371,ctaNombre,0))&amp;"","DOP")="USD",T3371,S3371))</f>
        <v/>
      </c>
      <c r="AH3371" s="53">
        <f>IF(P3371="","",IF(AND(AD3371&lt;&gt;"",COUNTIFS(tcTipo,AD3371,tcLiq,"Sí")&gt;0),IF(OR(P3371="Gasto",P3371="Transferencia",P3371="Pago tarjeta"),-1,1)*S3371,0)+IF(AND(AE3371&lt;&gt;"",COUNTIFS(tcTipo,AE3371,tcLiq,"Sí")&gt;0),S3371,0))</f>
        <v/>
      </c>
      <c r="AI3371" s="52">
        <f>IF(OR(L3371="",P3371=""),"",IF(COUNTIFS(L$6:L3371,L3371,P$6:P3371,"?*")=1,MAX(AI$5:AI3370)+1,""))</f>
        <v/>
      </c>
    </row>
    <row r="3372">
      <c r="B3372" s="47" t="n"/>
      <c r="C3372" s="48" t="n"/>
      <c r="D3372" s="48" t="n"/>
      <c r="E3372" s="48" t="n"/>
      <c r="F3372" s="48" t="n"/>
      <c r="G3372" s="49" t="n"/>
      <c r="H3372" s="48" t="n"/>
      <c r="I3372" s="50" t="n"/>
      <c r="J3372" s="48" t="n"/>
      <c r="K3372" s="48" t="n"/>
      <c r="L3372" s="48" t="n"/>
      <c r="M3372" s="48" t="n"/>
      <c r="N3372" s="48" t="n"/>
      <c r="O3372" s="51">
        <f>IF(AND(B3372="",G3372="",C3372="",D3372="",J3372=""),"",IF(B3372="","⚠ Falta fecha",IF(G3372="","⚠ Falta monto",IF(Q3372="","⚠ Falta cuenta",IF(ISNA(MATCH(Q3372,ctaNombre,0)),"⚠ Cuenta no registrada",IF(AND(OR(P3372="Gasto",P3372="Reembolso"),D3372=""),"⚠ Falta categoría",IF(AND(D3372&lt;&gt;"",E3372&lt;&gt;"",ISNA(MATCH(D3372&amp;"|"&amp;E3372,catClave,0))),"⚠ Subcategoría no corresponde",IF(AND(OR(P3372="Transferencia",P3372="Pago tarjeta"),K3372=""),"⚠ Falta cuenta destino",IF(AND(K3372&lt;&gt;"",P3372&lt;&gt;"Transferencia",P3372&lt;&gt;"Pago tarjeta"),"⚠ Destino solo aplica a transferencias",IF(AND(K3372&lt;&gt;"",K3372=Q3372),"⚠ Origen igual a destino",IF(AND(K3372&lt;&gt;"",ISNA(MATCH(K3372,ctaNombre,0))),"⚠ Destino no registrado",IF(AND(P3372="Pago tarjeta",AE3372&lt;&gt;"Tarjeta de crédito"),"⚠ El destino debe ser tarjeta de crédito",IF(AND(P3372="Gasto",E3372="Depósitos y retiros"),"⚠ Usa tipo Transferencia",IF(AND(P3372="Resultado trading",AD3372&lt;&gt;"Cuenta de trading"),"⚠ Usa una cuenta de trading",IF(AND(G3372&lt;=0,P3372&lt;&gt;"Ajuste",P3372&lt;&gt;"Resultado trading"),"⚠ El monto debe ser positivo","✓")))))))))))))))</f>
        <v/>
      </c>
      <c r="P3372" s="52">
        <f>IF(OR(B3372="",G3372=""),"",IF(C3372="","Gasto",C3372))</f>
        <v/>
      </c>
      <c r="Q3372" s="52">
        <f>IF(P3372="","",IF(J3372&lt;&gt;"",J3372,CuentaPred&amp;""))</f>
        <v/>
      </c>
      <c r="R3372" s="52">
        <f>IF(P3372="","",IF(ISNUMBER(I3372),I3372,TasaUSD))</f>
        <v/>
      </c>
      <c r="S3372" s="53">
        <f>IF(P3372="","",IF(H3372="USD",G3372*R3372,G3372))</f>
        <v/>
      </c>
      <c r="T3372" s="53">
        <f>IF(P3372="","",IF(H3372="USD",G3372,IF(R3372&gt;0,G3372/R3372,0)))</f>
        <v/>
      </c>
      <c r="U3372" s="53">
        <f>IF(P3372="","",IF(P3372="Gasto",S3372,IF(P3372="Reembolso",-S3372,0)))</f>
        <v/>
      </c>
      <c r="V3372" s="53">
        <f>IF(P3372="","",IF(P3372="Ingreso",S3372,0))</f>
        <v/>
      </c>
      <c r="W3372" s="53">
        <f>IF(P3372="","",IF(P3372="Resultado trading",S3372,0))</f>
        <v/>
      </c>
      <c r="X3372" s="52">
        <f>IF(OR(P3372="Gasto",P3372="Reembolso"),IF(M3372&lt;&gt;"",M3372,IFERROR(INDEX(catClasif,MATCH(D3372&amp;"|"&amp;E3372,catClave,0))&amp;"","Variable")),"")</f>
        <v/>
      </c>
      <c r="Y3372" s="52">
        <f>IF(P3372="","",IFERROR(INDEX(catGrupo,MATCH(D3372&amp;"|"&amp;E3372,catClave,0))&amp;"",""))</f>
        <v/>
      </c>
      <c r="Z3372" s="52">
        <f>IF(P3372="","",WEEKDAY(B3372,2))</f>
        <v/>
      </c>
      <c r="AA3372" s="52">
        <f>IF(P3372="","",IF(AND(P3372="Gasto",X3372="Variable",D3372&lt;&gt;catTrading,S3372&gt;0,S3372&lt;=Umbral),1,0))</f>
        <v/>
      </c>
      <c r="AB3372" s="52">
        <f>IF(OR(P3372="",Q3372=""),"",IFERROR(IF(INDEX(ctaVinc,MATCH(Q3372,ctaNombre,0))&amp;""&lt;&gt;"",INDEX(ctaVinc,MATCH(Q3372,ctaNombre,0))&amp;"",Q3372),Q3372))</f>
        <v/>
      </c>
      <c r="AC3372" s="52">
        <f>IF(OR(K3372="",AND(P3372&lt;&gt;"Transferencia",P3372&lt;&gt;"Pago tarjeta")),"",IFERROR(IF(INDEX(ctaVinc,MATCH(K3372,ctaNombre,0))&amp;""&lt;&gt;"",INDEX(ctaVinc,MATCH(K3372,ctaNombre,0))&amp;"",K3372),K3372))</f>
        <v/>
      </c>
      <c r="AD3372" s="52">
        <f>IF(AB3372="","",IFERROR(INDEX(ctaTipo,MATCH(AB3372,ctaNombre,0))&amp;"",""))</f>
        <v/>
      </c>
      <c r="AE3372" s="52">
        <f>IF(AC3372="","",IFERROR(INDEX(ctaTipo,MATCH(AC3372,ctaNombre,0))&amp;"",""))</f>
        <v/>
      </c>
      <c r="AF3372" s="53">
        <f>IF(OR(P3372="",AB3372=""),"",IF(OR(P3372="Gasto",P3372="Transferencia",P3372="Pago tarjeta"),-1,1)*IF(IFERROR(INDEX(ctaMoneda,MATCH(AB3372,ctaNombre,0))&amp;"","DOP")="USD",T3372,S3372))</f>
        <v/>
      </c>
      <c r="AG3372" s="53">
        <f>IF(AC3372="","",IF(IFERROR(INDEX(ctaMoneda,MATCH(AC3372,ctaNombre,0))&amp;"","DOP")="USD",T3372,S3372))</f>
        <v/>
      </c>
      <c r="AH3372" s="53">
        <f>IF(P3372="","",IF(AND(AD3372&lt;&gt;"",COUNTIFS(tcTipo,AD3372,tcLiq,"Sí")&gt;0),IF(OR(P3372="Gasto",P3372="Transferencia",P3372="Pago tarjeta"),-1,1)*S3372,0)+IF(AND(AE3372&lt;&gt;"",COUNTIFS(tcTipo,AE3372,tcLiq,"Sí")&gt;0),S3372,0))</f>
        <v/>
      </c>
      <c r="AI3372" s="52">
        <f>IF(OR(L3372="",P3372=""),"",IF(COUNTIFS(L$6:L3372,L3372,P$6:P3372,"?*")=1,MAX(AI$5:AI3371)+1,""))</f>
        <v/>
      </c>
    </row>
    <row r="3373">
      <c r="B3373" s="47" t="n"/>
      <c r="C3373" s="48" t="n"/>
      <c r="D3373" s="48" t="n"/>
      <c r="E3373" s="48" t="n"/>
      <c r="F3373" s="48" t="n"/>
      <c r="G3373" s="49" t="n"/>
      <c r="H3373" s="48" t="n"/>
      <c r="I3373" s="50" t="n"/>
      <c r="J3373" s="48" t="n"/>
      <c r="K3373" s="48" t="n"/>
      <c r="L3373" s="48" t="n"/>
      <c r="M3373" s="48" t="n"/>
      <c r="N3373" s="48" t="n"/>
      <c r="O3373" s="51">
        <f>IF(AND(B3373="",G3373="",C3373="",D3373="",J3373=""),"",IF(B3373="","⚠ Falta fecha",IF(G3373="","⚠ Falta monto",IF(Q3373="","⚠ Falta cuenta",IF(ISNA(MATCH(Q3373,ctaNombre,0)),"⚠ Cuenta no registrada",IF(AND(OR(P3373="Gasto",P3373="Reembolso"),D3373=""),"⚠ Falta categoría",IF(AND(D3373&lt;&gt;"",E3373&lt;&gt;"",ISNA(MATCH(D3373&amp;"|"&amp;E3373,catClave,0))),"⚠ Subcategoría no corresponde",IF(AND(OR(P3373="Transferencia",P3373="Pago tarjeta"),K3373=""),"⚠ Falta cuenta destino",IF(AND(K3373&lt;&gt;"",P3373&lt;&gt;"Transferencia",P3373&lt;&gt;"Pago tarjeta"),"⚠ Destino solo aplica a transferencias",IF(AND(K3373&lt;&gt;"",K3373=Q3373),"⚠ Origen igual a destino",IF(AND(K3373&lt;&gt;"",ISNA(MATCH(K3373,ctaNombre,0))),"⚠ Destino no registrado",IF(AND(P3373="Pago tarjeta",AE3373&lt;&gt;"Tarjeta de crédito"),"⚠ El destino debe ser tarjeta de crédito",IF(AND(P3373="Gasto",E3373="Depósitos y retiros"),"⚠ Usa tipo Transferencia",IF(AND(P3373="Resultado trading",AD3373&lt;&gt;"Cuenta de trading"),"⚠ Usa una cuenta de trading",IF(AND(G3373&lt;=0,P3373&lt;&gt;"Ajuste",P3373&lt;&gt;"Resultado trading"),"⚠ El monto debe ser positivo","✓")))))))))))))))</f>
        <v/>
      </c>
      <c r="P3373" s="52">
        <f>IF(OR(B3373="",G3373=""),"",IF(C3373="","Gasto",C3373))</f>
        <v/>
      </c>
      <c r="Q3373" s="52">
        <f>IF(P3373="","",IF(J3373&lt;&gt;"",J3373,CuentaPred&amp;""))</f>
        <v/>
      </c>
      <c r="R3373" s="52">
        <f>IF(P3373="","",IF(ISNUMBER(I3373),I3373,TasaUSD))</f>
        <v/>
      </c>
      <c r="S3373" s="53">
        <f>IF(P3373="","",IF(H3373="USD",G3373*R3373,G3373))</f>
        <v/>
      </c>
      <c r="T3373" s="53">
        <f>IF(P3373="","",IF(H3373="USD",G3373,IF(R3373&gt;0,G3373/R3373,0)))</f>
        <v/>
      </c>
      <c r="U3373" s="53">
        <f>IF(P3373="","",IF(P3373="Gasto",S3373,IF(P3373="Reembolso",-S3373,0)))</f>
        <v/>
      </c>
      <c r="V3373" s="53">
        <f>IF(P3373="","",IF(P3373="Ingreso",S3373,0))</f>
        <v/>
      </c>
      <c r="W3373" s="53">
        <f>IF(P3373="","",IF(P3373="Resultado trading",S3373,0))</f>
        <v/>
      </c>
      <c r="X3373" s="52">
        <f>IF(OR(P3373="Gasto",P3373="Reembolso"),IF(M3373&lt;&gt;"",M3373,IFERROR(INDEX(catClasif,MATCH(D3373&amp;"|"&amp;E3373,catClave,0))&amp;"","Variable")),"")</f>
        <v/>
      </c>
      <c r="Y3373" s="52">
        <f>IF(P3373="","",IFERROR(INDEX(catGrupo,MATCH(D3373&amp;"|"&amp;E3373,catClave,0))&amp;"",""))</f>
        <v/>
      </c>
      <c r="Z3373" s="52">
        <f>IF(P3373="","",WEEKDAY(B3373,2))</f>
        <v/>
      </c>
      <c r="AA3373" s="52">
        <f>IF(P3373="","",IF(AND(P3373="Gasto",X3373="Variable",D3373&lt;&gt;catTrading,S3373&gt;0,S3373&lt;=Umbral),1,0))</f>
        <v/>
      </c>
      <c r="AB3373" s="52">
        <f>IF(OR(P3373="",Q3373=""),"",IFERROR(IF(INDEX(ctaVinc,MATCH(Q3373,ctaNombre,0))&amp;""&lt;&gt;"",INDEX(ctaVinc,MATCH(Q3373,ctaNombre,0))&amp;"",Q3373),Q3373))</f>
        <v/>
      </c>
      <c r="AC3373" s="52">
        <f>IF(OR(K3373="",AND(P3373&lt;&gt;"Transferencia",P3373&lt;&gt;"Pago tarjeta")),"",IFERROR(IF(INDEX(ctaVinc,MATCH(K3373,ctaNombre,0))&amp;""&lt;&gt;"",INDEX(ctaVinc,MATCH(K3373,ctaNombre,0))&amp;"",K3373),K3373))</f>
        <v/>
      </c>
      <c r="AD3373" s="52">
        <f>IF(AB3373="","",IFERROR(INDEX(ctaTipo,MATCH(AB3373,ctaNombre,0))&amp;"",""))</f>
        <v/>
      </c>
      <c r="AE3373" s="52">
        <f>IF(AC3373="","",IFERROR(INDEX(ctaTipo,MATCH(AC3373,ctaNombre,0))&amp;"",""))</f>
        <v/>
      </c>
      <c r="AF3373" s="53">
        <f>IF(OR(P3373="",AB3373=""),"",IF(OR(P3373="Gasto",P3373="Transferencia",P3373="Pago tarjeta"),-1,1)*IF(IFERROR(INDEX(ctaMoneda,MATCH(AB3373,ctaNombre,0))&amp;"","DOP")="USD",T3373,S3373))</f>
        <v/>
      </c>
      <c r="AG3373" s="53">
        <f>IF(AC3373="","",IF(IFERROR(INDEX(ctaMoneda,MATCH(AC3373,ctaNombre,0))&amp;"","DOP")="USD",T3373,S3373))</f>
        <v/>
      </c>
      <c r="AH3373" s="53">
        <f>IF(P3373="","",IF(AND(AD3373&lt;&gt;"",COUNTIFS(tcTipo,AD3373,tcLiq,"Sí")&gt;0),IF(OR(P3373="Gasto",P3373="Transferencia",P3373="Pago tarjeta"),-1,1)*S3373,0)+IF(AND(AE3373&lt;&gt;"",COUNTIFS(tcTipo,AE3373,tcLiq,"Sí")&gt;0),S3373,0))</f>
        <v/>
      </c>
      <c r="AI3373" s="52">
        <f>IF(OR(L3373="",P3373=""),"",IF(COUNTIFS(L$6:L3373,L3373,P$6:P3373,"?*")=1,MAX(AI$5:AI3372)+1,""))</f>
        <v/>
      </c>
    </row>
    <row r="3374">
      <c r="B3374" s="47" t="n"/>
      <c r="C3374" s="48" t="n"/>
      <c r="D3374" s="48" t="n"/>
      <c r="E3374" s="48" t="n"/>
      <c r="F3374" s="48" t="n"/>
      <c r="G3374" s="49" t="n"/>
      <c r="H3374" s="48" t="n"/>
      <c r="I3374" s="50" t="n"/>
      <c r="J3374" s="48" t="n"/>
      <c r="K3374" s="48" t="n"/>
      <c r="L3374" s="48" t="n"/>
      <c r="M3374" s="48" t="n"/>
      <c r="N3374" s="48" t="n"/>
      <c r="O3374" s="51">
        <f>IF(AND(B3374="",G3374="",C3374="",D3374="",J3374=""),"",IF(B3374="","⚠ Falta fecha",IF(G3374="","⚠ Falta monto",IF(Q3374="","⚠ Falta cuenta",IF(ISNA(MATCH(Q3374,ctaNombre,0)),"⚠ Cuenta no registrada",IF(AND(OR(P3374="Gasto",P3374="Reembolso"),D3374=""),"⚠ Falta categoría",IF(AND(D3374&lt;&gt;"",E3374&lt;&gt;"",ISNA(MATCH(D3374&amp;"|"&amp;E3374,catClave,0))),"⚠ Subcategoría no corresponde",IF(AND(OR(P3374="Transferencia",P3374="Pago tarjeta"),K3374=""),"⚠ Falta cuenta destino",IF(AND(K3374&lt;&gt;"",P3374&lt;&gt;"Transferencia",P3374&lt;&gt;"Pago tarjeta"),"⚠ Destino solo aplica a transferencias",IF(AND(K3374&lt;&gt;"",K3374=Q3374),"⚠ Origen igual a destino",IF(AND(K3374&lt;&gt;"",ISNA(MATCH(K3374,ctaNombre,0))),"⚠ Destino no registrado",IF(AND(P3374="Pago tarjeta",AE3374&lt;&gt;"Tarjeta de crédito"),"⚠ El destino debe ser tarjeta de crédito",IF(AND(P3374="Gasto",E3374="Depósitos y retiros"),"⚠ Usa tipo Transferencia",IF(AND(P3374="Resultado trading",AD3374&lt;&gt;"Cuenta de trading"),"⚠ Usa una cuenta de trading",IF(AND(G3374&lt;=0,P3374&lt;&gt;"Ajuste",P3374&lt;&gt;"Resultado trading"),"⚠ El monto debe ser positivo","✓")))))))))))))))</f>
        <v/>
      </c>
      <c r="P3374" s="52">
        <f>IF(OR(B3374="",G3374=""),"",IF(C3374="","Gasto",C3374))</f>
        <v/>
      </c>
      <c r="Q3374" s="52">
        <f>IF(P3374="","",IF(J3374&lt;&gt;"",J3374,CuentaPred&amp;""))</f>
        <v/>
      </c>
      <c r="R3374" s="52">
        <f>IF(P3374="","",IF(ISNUMBER(I3374),I3374,TasaUSD))</f>
        <v/>
      </c>
      <c r="S3374" s="53">
        <f>IF(P3374="","",IF(H3374="USD",G3374*R3374,G3374))</f>
        <v/>
      </c>
      <c r="T3374" s="53">
        <f>IF(P3374="","",IF(H3374="USD",G3374,IF(R3374&gt;0,G3374/R3374,0)))</f>
        <v/>
      </c>
      <c r="U3374" s="53">
        <f>IF(P3374="","",IF(P3374="Gasto",S3374,IF(P3374="Reembolso",-S3374,0)))</f>
        <v/>
      </c>
      <c r="V3374" s="53">
        <f>IF(P3374="","",IF(P3374="Ingreso",S3374,0))</f>
        <v/>
      </c>
      <c r="W3374" s="53">
        <f>IF(P3374="","",IF(P3374="Resultado trading",S3374,0))</f>
        <v/>
      </c>
      <c r="X3374" s="52">
        <f>IF(OR(P3374="Gasto",P3374="Reembolso"),IF(M3374&lt;&gt;"",M3374,IFERROR(INDEX(catClasif,MATCH(D3374&amp;"|"&amp;E3374,catClave,0))&amp;"","Variable")),"")</f>
        <v/>
      </c>
      <c r="Y3374" s="52">
        <f>IF(P3374="","",IFERROR(INDEX(catGrupo,MATCH(D3374&amp;"|"&amp;E3374,catClave,0))&amp;"",""))</f>
        <v/>
      </c>
      <c r="Z3374" s="52">
        <f>IF(P3374="","",WEEKDAY(B3374,2))</f>
        <v/>
      </c>
      <c r="AA3374" s="52">
        <f>IF(P3374="","",IF(AND(P3374="Gasto",X3374="Variable",D3374&lt;&gt;catTrading,S3374&gt;0,S3374&lt;=Umbral),1,0))</f>
        <v/>
      </c>
      <c r="AB3374" s="52">
        <f>IF(OR(P3374="",Q3374=""),"",IFERROR(IF(INDEX(ctaVinc,MATCH(Q3374,ctaNombre,0))&amp;""&lt;&gt;"",INDEX(ctaVinc,MATCH(Q3374,ctaNombre,0))&amp;"",Q3374),Q3374))</f>
        <v/>
      </c>
      <c r="AC3374" s="52">
        <f>IF(OR(K3374="",AND(P3374&lt;&gt;"Transferencia",P3374&lt;&gt;"Pago tarjeta")),"",IFERROR(IF(INDEX(ctaVinc,MATCH(K3374,ctaNombre,0))&amp;""&lt;&gt;"",INDEX(ctaVinc,MATCH(K3374,ctaNombre,0))&amp;"",K3374),K3374))</f>
        <v/>
      </c>
      <c r="AD3374" s="52">
        <f>IF(AB3374="","",IFERROR(INDEX(ctaTipo,MATCH(AB3374,ctaNombre,0))&amp;"",""))</f>
        <v/>
      </c>
      <c r="AE3374" s="52">
        <f>IF(AC3374="","",IFERROR(INDEX(ctaTipo,MATCH(AC3374,ctaNombre,0))&amp;"",""))</f>
        <v/>
      </c>
      <c r="AF3374" s="53">
        <f>IF(OR(P3374="",AB3374=""),"",IF(OR(P3374="Gasto",P3374="Transferencia",P3374="Pago tarjeta"),-1,1)*IF(IFERROR(INDEX(ctaMoneda,MATCH(AB3374,ctaNombre,0))&amp;"","DOP")="USD",T3374,S3374))</f>
        <v/>
      </c>
      <c r="AG3374" s="53">
        <f>IF(AC3374="","",IF(IFERROR(INDEX(ctaMoneda,MATCH(AC3374,ctaNombre,0))&amp;"","DOP")="USD",T3374,S3374))</f>
        <v/>
      </c>
      <c r="AH3374" s="53">
        <f>IF(P3374="","",IF(AND(AD3374&lt;&gt;"",COUNTIFS(tcTipo,AD3374,tcLiq,"Sí")&gt;0),IF(OR(P3374="Gasto",P3374="Transferencia",P3374="Pago tarjeta"),-1,1)*S3374,0)+IF(AND(AE3374&lt;&gt;"",COUNTIFS(tcTipo,AE3374,tcLiq,"Sí")&gt;0),S3374,0))</f>
        <v/>
      </c>
      <c r="AI3374" s="52">
        <f>IF(OR(L3374="",P3374=""),"",IF(COUNTIFS(L$6:L3374,L3374,P$6:P3374,"?*")=1,MAX(AI$5:AI3373)+1,""))</f>
        <v/>
      </c>
    </row>
    <row r="3375">
      <c r="B3375" s="47" t="n"/>
      <c r="C3375" s="48" t="n"/>
      <c r="D3375" s="48" t="n"/>
      <c r="E3375" s="48" t="n"/>
      <c r="F3375" s="48" t="n"/>
      <c r="G3375" s="49" t="n"/>
      <c r="H3375" s="48" t="n"/>
      <c r="I3375" s="50" t="n"/>
      <c r="J3375" s="48" t="n"/>
      <c r="K3375" s="48" t="n"/>
      <c r="L3375" s="48" t="n"/>
      <c r="M3375" s="48" t="n"/>
      <c r="N3375" s="48" t="n"/>
      <c r="O3375" s="51">
        <f>IF(AND(B3375="",G3375="",C3375="",D3375="",J3375=""),"",IF(B3375="","⚠ Falta fecha",IF(G3375="","⚠ Falta monto",IF(Q3375="","⚠ Falta cuenta",IF(ISNA(MATCH(Q3375,ctaNombre,0)),"⚠ Cuenta no registrada",IF(AND(OR(P3375="Gasto",P3375="Reembolso"),D3375=""),"⚠ Falta categoría",IF(AND(D3375&lt;&gt;"",E3375&lt;&gt;"",ISNA(MATCH(D3375&amp;"|"&amp;E3375,catClave,0))),"⚠ Subcategoría no corresponde",IF(AND(OR(P3375="Transferencia",P3375="Pago tarjeta"),K3375=""),"⚠ Falta cuenta destino",IF(AND(K3375&lt;&gt;"",P3375&lt;&gt;"Transferencia",P3375&lt;&gt;"Pago tarjeta"),"⚠ Destino solo aplica a transferencias",IF(AND(K3375&lt;&gt;"",K3375=Q3375),"⚠ Origen igual a destino",IF(AND(K3375&lt;&gt;"",ISNA(MATCH(K3375,ctaNombre,0))),"⚠ Destino no registrado",IF(AND(P3375="Pago tarjeta",AE3375&lt;&gt;"Tarjeta de crédito"),"⚠ El destino debe ser tarjeta de crédito",IF(AND(P3375="Gasto",E3375="Depósitos y retiros"),"⚠ Usa tipo Transferencia",IF(AND(P3375="Resultado trading",AD3375&lt;&gt;"Cuenta de trading"),"⚠ Usa una cuenta de trading",IF(AND(G3375&lt;=0,P3375&lt;&gt;"Ajuste",P3375&lt;&gt;"Resultado trading"),"⚠ El monto debe ser positivo","✓")))))))))))))))</f>
        <v/>
      </c>
      <c r="P3375" s="52">
        <f>IF(OR(B3375="",G3375=""),"",IF(C3375="","Gasto",C3375))</f>
        <v/>
      </c>
      <c r="Q3375" s="52">
        <f>IF(P3375="","",IF(J3375&lt;&gt;"",J3375,CuentaPred&amp;""))</f>
        <v/>
      </c>
      <c r="R3375" s="52">
        <f>IF(P3375="","",IF(ISNUMBER(I3375),I3375,TasaUSD))</f>
        <v/>
      </c>
      <c r="S3375" s="53">
        <f>IF(P3375="","",IF(H3375="USD",G3375*R3375,G3375))</f>
        <v/>
      </c>
      <c r="T3375" s="53">
        <f>IF(P3375="","",IF(H3375="USD",G3375,IF(R3375&gt;0,G3375/R3375,0)))</f>
        <v/>
      </c>
      <c r="U3375" s="53">
        <f>IF(P3375="","",IF(P3375="Gasto",S3375,IF(P3375="Reembolso",-S3375,0)))</f>
        <v/>
      </c>
      <c r="V3375" s="53">
        <f>IF(P3375="","",IF(P3375="Ingreso",S3375,0))</f>
        <v/>
      </c>
      <c r="W3375" s="53">
        <f>IF(P3375="","",IF(P3375="Resultado trading",S3375,0))</f>
        <v/>
      </c>
      <c r="X3375" s="52">
        <f>IF(OR(P3375="Gasto",P3375="Reembolso"),IF(M3375&lt;&gt;"",M3375,IFERROR(INDEX(catClasif,MATCH(D3375&amp;"|"&amp;E3375,catClave,0))&amp;"","Variable")),"")</f>
        <v/>
      </c>
      <c r="Y3375" s="52">
        <f>IF(P3375="","",IFERROR(INDEX(catGrupo,MATCH(D3375&amp;"|"&amp;E3375,catClave,0))&amp;"",""))</f>
        <v/>
      </c>
      <c r="Z3375" s="52">
        <f>IF(P3375="","",WEEKDAY(B3375,2))</f>
        <v/>
      </c>
      <c r="AA3375" s="52">
        <f>IF(P3375="","",IF(AND(P3375="Gasto",X3375="Variable",D3375&lt;&gt;catTrading,S3375&gt;0,S3375&lt;=Umbral),1,0))</f>
        <v/>
      </c>
      <c r="AB3375" s="52">
        <f>IF(OR(P3375="",Q3375=""),"",IFERROR(IF(INDEX(ctaVinc,MATCH(Q3375,ctaNombre,0))&amp;""&lt;&gt;"",INDEX(ctaVinc,MATCH(Q3375,ctaNombre,0))&amp;"",Q3375),Q3375))</f>
        <v/>
      </c>
      <c r="AC3375" s="52">
        <f>IF(OR(K3375="",AND(P3375&lt;&gt;"Transferencia",P3375&lt;&gt;"Pago tarjeta")),"",IFERROR(IF(INDEX(ctaVinc,MATCH(K3375,ctaNombre,0))&amp;""&lt;&gt;"",INDEX(ctaVinc,MATCH(K3375,ctaNombre,0))&amp;"",K3375),K3375))</f>
        <v/>
      </c>
      <c r="AD3375" s="52">
        <f>IF(AB3375="","",IFERROR(INDEX(ctaTipo,MATCH(AB3375,ctaNombre,0))&amp;"",""))</f>
        <v/>
      </c>
      <c r="AE3375" s="52">
        <f>IF(AC3375="","",IFERROR(INDEX(ctaTipo,MATCH(AC3375,ctaNombre,0))&amp;"",""))</f>
        <v/>
      </c>
      <c r="AF3375" s="53">
        <f>IF(OR(P3375="",AB3375=""),"",IF(OR(P3375="Gasto",P3375="Transferencia",P3375="Pago tarjeta"),-1,1)*IF(IFERROR(INDEX(ctaMoneda,MATCH(AB3375,ctaNombre,0))&amp;"","DOP")="USD",T3375,S3375))</f>
        <v/>
      </c>
      <c r="AG3375" s="53">
        <f>IF(AC3375="","",IF(IFERROR(INDEX(ctaMoneda,MATCH(AC3375,ctaNombre,0))&amp;"","DOP")="USD",T3375,S3375))</f>
        <v/>
      </c>
      <c r="AH3375" s="53">
        <f>IF(P3375="","",IF(AND(AD3375&lt;&gt;"",COUNTIFS(tcTipo,AD3375,tcLiq,"Sí")&gt;0),IF(OR(P3375="Gasto",P3375="Transferencia",P3375="Pago tarjeta"),-1,1)*S3375,0)+IF(AND(AE3375&lt;&gt;"",COUNTIFS(tcTipo,AE3375,tcLiq,"Sí")&gt;0),S3375,0))</f>
        <v/>
      </c>
      <c r="AI3375" s="52">
        <f>IF(OR(L3375="",P3375=""),"",IF(COUNTIFS(L$6:L3375,L3375,P$6:P3375,"?*")=1,MAX(AI$5:AI3374)+1,""))</f>
        <v/>
      </c>
    </row>
    <row r="3376">
      <c r="B3376" s="47" t="n"/>
      <c r="C3376" s="48" t="n"/>
      <c r="D3376" s="48" t="n"/>
      <c r="E3376" s="48" t="n"/>
      <c r="F3376" s="48" t="n"/>
      <c r="G3376" s="49" t="n"/>
      <c r="H3376" s="48" t="n"/>
      <c r="I3376" s="50" t="n"/>
      <c r="J3376" s="48" t="n"/>
      <c r="K3376" s="48" t="n"/>
      <c r="L3376" s="48" t="n"/>
      <c r="M3376" s="48" t="n"/>
      <c r="N3376" s="48" t="n"/>
      <c r="O3376" s="51">
        <f>IF(AND(B3376="",G3376="",C3376="",D3376="",J3376=""),"",IF(B3376="","⚠ Falta fecha",IF(G3376="","⚠ Falta monto",IF(Q3376="","⚠ Falta cuenta",IF(ISNA(MATCH(Q3376,ctaNombre,0)),"⚠ Cuenta no registrada",IF(AND(OR(P3376="Gasto",P3376="Reembolso"),D3376=""),"⚠ Falta categoría",IF(AND(D3376&lt;&gt;"",E3376&lt;&gt;"",ISNA(MATCH(D3376&amp;"|"&amp;E3376,catClave,0))),"⚠ Subcategoría no corresponde",IF(AND(OR(P3376="Transferencia",P3376="Pago tarjeta"),K3376=""),"⚠ Falta cuenta destino",IF(AND(K3376&lt;&gt;"",P3376&lt;&gt;"Transferencia",P3376&lt;&gt;"Pago tarjeta"),"⚠ Destino solo aplica a transferencias",IF(AND(K3376&lt;&gt;"",K3376=Q3376),"⚠ Origen igual a destino",IF(AND(K3376&lt;&gt;"",ISNA(MATCH(K3376,ctaNombre,0))),"⚠ Destino no registrado",IF(AND(P3376="Pago tarjeta",AE3376&lt;&gt;"Tarjeta de crédito"),"⚠ El destino debe ser tarjeta de crédito",IF(AND(P3376="Gasto",E3376="Depósitos y retiros"),"⚠ Usa tipo Transferencia",IF(AND(P3376="Resultado trading",AD3376&lt;&gt;"Cuenta de trading"),"⚠ Usa una cuenta de trading",IF(AND(G3376&lt;=0,P3376&lt;&gt;"Ajuste",P3376&lt;&gt;"Resultado trading"),"⚠ El monto debe ser positivo","✓")))))))))))))))</f>
        <v/>
      </c>
      <c r="P3376" s="52">
        <f>IF(OR(B3376="",G3376=""),"",IF(C3376="","Gasto",C3376))</f>
        <v/>
      </c>
      <c r="Q3376" s="52">
        <f>IF(P3376="","",IF(J3376&lt;&gt;"",J3376,CuentaPred&amp;""))</f>
        <v/>
      </c>
      <c r="R3376" s="52">
        <f>IF(P3376="","",IF(ISNUMBER(I3376),I3376,TasaUSD))</f>
        <v/>
      </c>
      <c r="S3376" s="53">
        <f>IF(P3376="","",IF(H3376="USD",G3376*R3376,G3376))</f>
        <v/>
      </c>
      <c r="T3376" s="53">
        <f>IF(P3376="","",IF(H3376="USD",G3376,IF(R3376&gt;0,G3376/R3376,0)))</f>
        <v/>
      </c>
      <c r="U3376" s="53">
        <f>IF(P3376="","",IF(P3376="Gasto",S3376,IF(P3376="Reembolso",-S3376,0)))</f>
        <v/>
      </c>
      <c r="V3376" s="53">
        <f>IF(P3376="","",IF(P3376="Ingreso",S3376,0))</f>
        <v/>
      </c>
      <c r="W3376" s="53">
        <f>IF(P3376="","",IF(P3376="Resultado trading",S3376,0))</f>
        <v/>
      </c>
      <c r="X3376" s="52">
        <f>IF(OR(P3376="Gasto",P3376="Reembolso"),IF(M3376&lt;&gt;"",M3376,IFERROR(INDEX(catClasif,MATCH(D3376&amp;"|"&amp;E3376,catClave,0))&amp;"","Variable")),"")</f>
        <v/>
      </c>
      <c r="Y3376" s="52">
        <f>IF(P3376="","",IFERROR(INDEX(catGrupo,MATCH(D3376&amp;"|"&amp;E3376,catClave,0))&amp;"",""))</f>
        <v/>
      </c>
      <c r="Z3376" s="52">
        <f>IF(P3376="","",WEEKDAY(B3376,2))</f>
        <v/>
      </c>
      <c r="AA3376" s="52">
        <f>IF(P3376="","",IF(AND(P3376="Gasto",X3376="Variable",D3376&lt;&gt;catTrading,S3376&gt;0,S3376&lt;=Umbral),1,0))</f>
        <v/>
      </c>
      <c r="AB3376" s="52">
        <f>IF(OR(P3376="",Q3376=""),"",IFERROR(IF(INDEX(ctaVinc,MATCH(Q3376,ctaNombre,0))&amp;""&lt;&gt;"",INDEX(ctaVinc,MATCH(Q3376,ctaNombre,0))&amp;"",Q3376),Q3376))</f>
        <v/>
      </c>
      <c r="AC3376" s="52">
        <f>IF(OR(K3376="",AND(P3376&lt;&gt;"Transferencia",P3376&lt;&gt;"Pago tarjeta")),"",IFERROR(IF(INDEX(ctaVinc,MATCH(K3376,ctaNombre,0))&amp;""&lt;&gt;"",INDEX(ctaVinc,MATCH(K3376,ctaNombre,0))&amp;"",K3376),K3376))</f>
        <v/>
      </c>
      <c r="AD3376" s="52">
        <f>IF(AB3376="","",IFERROR(INDEX(ctaTipo,MATCH(AB3376,ctaNombre,0))&amp;"",""))</f>
        <v/>
      </c>
      <c r="AE3376" s="52">
        <f>IF(AC3376="","",IFERROR(INDEX(ctaTipo,MATCH(AC3376,ctaNombre,0))&amp;"",""))</f>
        <v/>
      </c>
      <c r="AF3376" s="53">
        <f>IF(OR(P3376="",AB3376=""),"",IF(OR(P3376="Gasto",P3376="Transferencia",P3376="Pago tarjeta"),-1,1)*IF(IFERROR(INDEX(ctaMoneda,MATCH(AB3376,ctaNombre,0))&amp;"","DOP")="USD",T3376,S3376))</f>
        <v/>
      </c>
      <c r="AG3376" s="53">
        <f>IF(AC3376="","",IF(IFERROR(INDEX(ctaMoneda,MATCH(AC3376,ctaNombre,0))&amp;"","DOP")="USD",T3376,S3376))</f>
        <v/>
      </c>
      <c r="AH3376" s="53">
        <f>IF(P3376="","",IF(AND(AD3376&lt;&gt;"",COUNTIFS(tcTipo,AD3376,tcLiq,"Sí")&gt;0),IF(OR(P3376="Gasto",P3376="Transferencia",P3376="Pago tarjeta"),-1,1)*S3376,0)+IF(AND(AE3376&lt;&gt;"",COUNTIFS(tcTipo,AE3376,tcLiq,"Sí")&gt;0),S3376,0))</f>
        <v/>
      </c>
      <c r="AI3376" s="52">
        <f>IF(OR(L3376="",P3376=""),"",IF(COUNTIFS(L$6:L3376,L3376,P$6:P3376,"?*")=1,MAX(AI$5:AI3375)+1,""))</f>
        <v/>
      </c>
    </row>
    <row r="3377">
      <c r="B3377" s="47" t="n"/>
      <c r="C3377" s="48" t="n"/>
      <c r="D3377" s="48" t="n"/>
      <c r="E3377" s="48" t="n"/>
      <c r="F3377" s="48" t="n"/>
      <c r="G3377" s="49" t="n"/>
      <c r="H3377" s="48" t="n"/>
      <c r="I3377" s="50" t="n"/>
      <c r="J3377" s="48" t="n"/>
      <c r="K3377" s="48" t="n"/>
      <c r="L3377" s="48" t="n"/>
      <c r="M3377" s="48" t="n"/>
      <c r="N3377" s="48" t="n"/>
      <c r="O3377" s="51">
        <f>IF(AND(B3377="",G3377="",C3377="",D3377="",J3377=""),"",IF(B3377="","⚠ Falta fecha",IF(G3377="","⚠ Falta monto",IF(Q3377="","⚠ Falta cuenta",IF(ISNA(MATCH(Q3377,ctaNombre,0)),"⚠ Cuenta no registrada",IF(AND(OR(P3377="Gasto",P3377="Reembolso"),D3377=""),"⚠ Falta categoría",IF(AND(D3377&lt;&gt;"",E3377&lt;&gt;"",ISNA(MATCH(D3377&amp;"|"&amp;E3377,catClave,0))),"⚠ Subcategoría no corresponde",IF(AND(OR(P3377="Transferencia",P3377="Pago tarjeta"),K3377=""),"⚠ Falta cuenta destino",IF(AND(K3377&lt;&gt;"",P3377&lt;&gt;"Transferencia",P3377&lt;&gt;"Pago tarjeta"),"⚠ Destino solo aplica a transferencias",IF(AND(K3377&lt;&gt;"",K3377=Q3377),"⚠ Origen igual a destino",IF(AND(K3377&lt;&gt;"",ISNA(MATCH(K3377,ctaNombre,0))),"⚠ Destino no registrado",IF(AND(P3377="Pago tarjeta",AE3377&lt;&gt;"Tarjeta de crédito"),"⚠ El destino debe ser tarjeta de crédito",IF(AND(P3377="Gasto",E3377="Depósitos y retiros"),"⚠ Usa tipo Transferencia",IF(AND(P3377="Resultado trading",AD3377&lt;&gt;"Cuenta de trading"),"⚠ Usa una cuenta de trading",IF(AND(G3377&lt;=0,P3377&lt;&gt;"Ajuste",P3377&lt;&gt;"Resultado trading"),"⚠ El monto debe ser positivo","✓")))))))))))))))</f>
        <v/>
      </c>
      <c r="P3377" s="52">
        <f>IF(OR(B3377="",G3377=""),"",IF(C3377="","Gasto",C3377))</f>
        <v/>
      </c>
      <c r="Q3377" s="52">
        <f>IF(P3377="","",IF(J3377&lt;&gt;"",J3377,CuentaPred&amp;""))</f>
        <v/>
      </c>
      <c r="R3377" s="52">
        <f>IF(P3377="","",IF(ISNUMBER(I3377),I3377,TasaUSD))</f>
        <v/>
      </c>
      <c r="S3377" s="53">
        <f>IF(P3377="","",IF(H3377="USD",G3377*R3377,G3377))</f>
        <v/>
      </c>
      <c r="T3377" s="53">
        <f>IF(P3377="","",IF(H3377="USD",G3377,IF(R3377&gt;0,G3377/R3377,0)))</f>
        <v/>
      </c>
      <c r="U3377" s="53">
        <f>IF(P3377="","",IF(P3377="Gasto",S3377,IF(P3377="Reembolso",-S3377,0)))</f>
        <v/>
      </c>
      <c r="V3377" s="53">
        <f>IF(P3377="","",IF(P3377="Ingreso",S3377,0))</f>
        <v/>
      </c>
      <c r="W3377" s="53">
        <f>IF(P3377="","",IF(P3377="Resultado trading",S3377,0))</f>
        <v/>
      </c>
      <c r="X3377" s="52">
        <f>IF(OR(P3377="Gasto",P3377="Reembolso"),IF(M3377&lt;&gt;"",M3377,IFERROR(INDEX(catClasif,MATCH(D3377&amp;"|"&amp;E3377,catClave,0))&amp;"","Variable")),"")</f>
        <v/>
      </c>
      <c r="Y3377" s="52">
        <f>IF(P3377="","",IFERROR(INDEX(catGrupo,MATCH(D3377&amp;"|"&amp;E3377,catClave,0))&amp;"",""))</f>
        <v/>
      </c>
      <c r="Z3377" s="52">
        <f>IF(P3377="","",WEEKDAY(B3377,2))</f>
        <v/>
      </c>
      <c r="AA3377" s="52">
        <f>IF(P3377="","",IF(AND(P3377="Gasto",X3377="Variable",D3377&lt;&gt;catTrading,S3377&gt;0,S3377&lt;=Umbral),1,0))</f>
        <v/>
      </c>
      <c r="AB3377" s="52">
        <f>IF(OR(P3377="",Q3377=""),"",IFERROR(IF(INDEX(ctaVinc,MATCH(Q3377,ctaNombre,0))&amp;""&lt;&gt;"",INDEX(ctaVinc,MATCH(Q3377,ctaNombre,0))&amp;"",Q3377),Q3377))</f>
        <v/>
      </c>
      <c r="AC3377" s="52">
        <f>IF(OR(K3377="",AND(P3377&lt;&gt;"Transferencia",P3377&lt;&gt;"Pago tarjeta")),"",IFERROR(IF(INDEX(ctaVinc,MATCH(K3377,ctaNombre,0))&amp;""&lt;&gt;"",INDEX(ctaVinc,MATCH(K3377,ctaNombre,0))&amp;"",K3377),K3377))</f>
        <v/>
      </c>
      <c r="AD3377" s="52">
        <f>IF(AB3377="","",IFERROR(INDEX(ctaTipo,MATCH(AB3377,ctaNombre,0))&amp;"",""))</f>
        <v/>
      </c>
      <c r="AE3377" s="52">
        <f>IF(AC3377="","",IFERROR(INDEX(ctaTipo,MATCH(AC3377,ctaNombre,0))&amp;"",""))</f>
        <v/>
      </c>
      <c r="AF3377" s="53">
        <f>IF(OR(P3377="",AB3377=""),"",IF(OR(P3377="Gasto",P3377="Transferencia",P3377="Pago tarjeta"),-1,1)*IF(IFERROR(INDEX(ctaMoneda,MATCH(AB3377,ctaNombre,0))&amp;"","DOP")="USD",T3377,S3377))</f>
        <v/>
      </c>
      <c r="AG3377" s="53">
        <f>IF(AC3377="","",IF(IFERROR(INDEX(ctaMoneda,MATCH(AC3377,ctaNombre,0))&amp;"","DOP")="USD",T3377,S3377))</f>
        <v/>
      </c>
      <c r="AH3377" s="53">
        <f>IF(P3377="","",IF(AND(AD3377&lt;&gt;"",COUNTIFS(tcTipo,AD3377,tcLiq,"Sí")&gt;0),IF(OR(P3377="Gasto",P3377="Transferencia",P3377="Pago tarjeta"),-1,1)*S3377,0)+IF(AND(AE3377&lt;&gt;"",COUNTIFS(tcTipo,AE3377,tcLiq,"Sí")&gt;0),S3377,0))</f>
        <v/>
      </c>
      <c r="AI3377" s="52">
        <f>IF(OR(L3377="",P3377=""),"",IF(COUNTIFS(L$6:L3377,L3377,P$6:P3377,"?*")=1,MAX(AI$5:AI3376)+1,""))</f>
        <v/>
      </c>
    </row>
    <row r="3378">
      <c r="B3378" s="47" t="n"/>
      <c r="C3378" s="48" t="n"/>
      <c r="D3378" s="48" t="n"/>
      <c r="E3378" s="48" t="n"/>
      <c r="F3378" s="48" t="n"/>
      <c r="G3378" s="49" t="n"/>
      <c r="H3378" s="48" t="n"/>
      <c r="I3378" s="50" t="n"/>
      <c r="J3378" s="48" t="n"/>
      <c r="K3378" s="48" t="n"/>
      <c r="L3378" s="48" t="n"/>
      <c r="M3378" s="48" t="n"/>
      <c r="N3378" s="48" t="n"/>
      <c r="O3378" s="51">
        <f>IF(AND(B3378="",G3378="",C3378="",D3378="",J3378=""),"",IF(B3378="","⚠ Falta fecha",IF(G3378="","⚠ Falta monto",IF(Q3378="","⚠ Falta cuenta",IF(ISNA(MATCH(Q3378,ctaNombre,0)),"⚠ Cuenta no registrada",IF(AND(OR(P3378="Gasto",P3378="Reembolso"),D3378=""),"⚠ Falta categoría",IF(AND(D3378&lt;&gt;"",E3378&lt;&gt;"",ISNA(MATCH(D3378&amp;"|"&amp;E3378,catClave,0))),"⚠ Subcategoría no corresponde",IF(AND(OR(P3378="Transferencia",P3378="Pago tarjeta"),K3378=""),"⚠ Falta cuenta destino",IF(AND(K3378&lt;&gt;"",P3378&lt;&gt;"Transferencia",P3378&lt;&gt;"Pago tarjeta"),"⚠ Destino solo aplica a transferencias",IF(AND(K3378&lt;&gt;"",K3378=Q3378),"⚠ Origen igual a destino",IF(AND(K3378&lt;&gt;"",ISNA(MATCH(K3378,ctaNombre,0))),"⚠ Destino no registrado",IF(AND(P3378="Pago tarjeta",AE3378&lt;&gt;"Tarjeta de crédito"),"⚠ El destino debe ser tarjeta de crédito",IF(AND(P3378="Gasto",E3378="Depósitos y retiros"),"⚠ Usa tipo Transferencia",IF(AND(P3378="Resultado trading",AD3378&lt;&gt;"Cuenta de trading"),"⚠ Usa una cuenta de trading",IF(AND(G3378&lt;=0,P3378&lt;&gt;"Ajuste",P3378&lt;&gt;"Resultado trading"),"⚠ El monto debe ser positivo","✓")))))))))))))))</f>
        <v/>
      </c>
      <c r="P3378" s="52">
        <f>IF(OR(B3378="",G3378=""),"",IF(C3378="","Gasto",C3378))</f>
        <v/>
      </c>
      <c r="Q3378" s="52">
        <f>IF(P3378="","",IF(J3378&lt;&gt;"",J3378,CuentaPred&amp;""))</f>
        <v/>
      </c>
      <c r="R3378" s="52">
        <f>IF(P3378="","",IF(ISNUMBER(I3378),I3378,TasaUSD))</f>
        <v/>
      </c>
      <c r="S3378" s="53">
        <f>IF(P3378="","",IF(H3378="USD",G3378*R3378,G3378))</f>
        <v/>
      </c>
      <c r="T3378" s="53">
        <f>IF(P3378="","",IF(H3378="USD",G3378,IF(R3378&gt;0,G3378/R3378,0)))</f>
        <v/>
      </c>
      <c r="U3378" s="53">
        <f>IF(P3378="","",IF(P3378="Gasto",S3378,IF(P3378="Reembolso",-S3378,0)))</f>
        <v/>
      </c>
      <c r="V3378" s="53">
        <f>IF(P3378="","",IF(P3378="Ingreso",S3378,0))</f>
        <v/>
      </c>
      <c r="W3378" s="53">
        <f>IF(P3378="","",IF(P3378="Resultado trading",S3378,0))</f>
        <v/>
      </c>
      <c r="X3378" s="52">
        <f>IF(OR(P3378="Gasto",P3378="Reembolso"),IF(M3378&lt;&gt;"",M3378,IFERROR(INDEX(catClasif,MATCH(D3378&amp;"|"&amp;E3378,catClave,0))&amp;"","Variable")),"")</f>
        <v/>
      </c>
      <c r="Y3378" s="52">
        <f>IF(P3378="","",IFERROR(INDEX(catGrupo,MATCH(D3378&amp;"|"&amp;E3378,catClave,0))&amp;"",""))</f>
        <v/>
      </c>
      <c r="Z3378" s="52">
        <f>IF(P3378="","",WEEKDAY(B3378,2))</f>
        <v/>
      </c>
      <c r="AA3378" s="52">
        <f>IF(P3378="","",IF(AND(P3378="Gasto",X3378="Variable",D3378&lt;&gt;catTrading,S3378&gt;0,S3378&lt;=Umbral),1,0))</f>
        <v/>
      </c>
      <c r="AB3378" s="52">
        <f>IF(OR(P3378="",Q3378=""),"",IFERROR(IF(INDEX(ctaVinc,MATCH(Q3378,ctaNombre,0))&amp;""&lt;&gt;"",INDEX(ctaVinc,MATCH(Q3378,ctaNombre,0))&amp;"",Q3378),Q3378))</f>
        <v/>
      </c>
      <c r="AC3378" s="52">
        <f>IF(OR(K3378="",AND(P3378&lt;&gt;"Transferencia",P3378&lt;&gt;"Pago tarjeta")),"",IFERROR(IF(INDEX(ctaVinc,MATCH(K3378,ctaNombre,0))&amp;""&lt;&gt;"",INDEX(ctaVinc,MATCH(K3378,ctaNombre,0))&amp;"",K3378),K3378))</f>
        <v/>
      </c>
      <c r="AD3378" s="52">
        <f>IF(AB3378="","",IFERROR(INDEX(ctaTipo,MATCH(AB3378,ctaNombre,0))&amp;"",""))</f>
        <v/>
      </c>
      <c r="AE3378" s="52">
        <f>IF(AC3378="","",IFERROR(INDEX(ctaTipo,MATCH(AC3378,ctaNombre,0))&amp;"",""))</f>
        <v/>
      </c>
      <c r="AF3378" s="53">
        <f>IF(OR(P3378="",AB3378=""),"",IF(OR(P3378="Gasto",P3378="Transferencia",P3378="Pago tarjeta"),-1,1)*IF(IFERROR(INDEX(ctaMoneda,MATCH(AB3378,ctaNombre,0))&amp;"","DOP")="USD",T3378,S3378))</f>
        <v/>
      </c>
      <c r="AG3378" s="53">
        <f>IF(AC3378="","",IF(IFERROR(INDEX(ctaMoneda,MATCH(AC3378,ctaNombre,0))&amp;"","DOP")="USD",T3378,S3378))</f>
        <v/>
      </c>
      <c r="AH3378" s="53">
        <f>IF(P3378="","",IF(AND(AD3378&lt;&gt;"",COUNTIFS(tcTipo,AD3378,tcLiq,"Sí")&gt;0),IF(OR(P3378="Gasto",P3378="Transferencia",P3378="Pago tarjeta"),-1,1)*S3378,0)+IF(AND(AE3378&lt;&gt;"",COUNTIFS(tcTipo,AE3378,tcLiq,"Sí")&gt;0),S3378,0))</f>
        <v/>
      </c>
      <c r="AI3378" s="52">
        <f>IF(OR(L3378="",P3378=""),"",IF(COUNTIFS(L$6:L3378,L3378,P$6:P3378,"?*")=1,MAX(AI$5:AI3377)+1,""))</f>
        <v/>
      </c>
    </row>
    <row r="3379">
      <c r="B3379" s="47" t="n"/>
      <c r="C3379" s="48" t="n"/>
      <c r="D3379" s="48" t="n"/>
      <c r="E3379" s="48" t="n"/>
      <c r="F3379" s="48" t="n"/>
      <c r="G3379" s="49" t="n"/>
      <c r="H3379" s="48" t="n"/>
      <c r="I3379" s="50" t="n"/>
      <c r="J3379" s="48" t="n"/>
      <c r="K3379" s="48" t="n"/>
      <c r="L3379" s="48" t="n"/>
      <c r="M3379" s="48" t="n"/>
      <c r="N3379" s="48" t="n"/>
      <c r="O3379" s="51">
        <f>IF(AND(B3379="",G3379="",C3379="",D3379="",J3379=""),"",IF(B3379="","⚠ Falta fecha",IF(G3379="","⚠ Falta monto",IF(Q3379="","⚠ Falta cuenta",IF(ISNA(MATCH(Q3379,ctaNombre,0)),"⚠ Cuenta no registrada",IF(AND(OR(P3379="Gasto",P3379="Reembolso"),D3379=""),"⚠ Falta categoría",IF(AND(D3379&lt;&gt;"",E3379&lt;&gt;"",ISNA(MATCH(D3379&amp;"|"&amp;E3379,catClave,0))),"⚠ Subcategoría no corresponde",IF(AND(OR(P3379="Transferencia",P3379="Pago tarjeta"),K3379=""),"⚠ Falta cuenta destino",IF(AND(K3379&lt;&gt;"",P3379&lt;&gt;"Transferencia",P3379&lt;&gt;"Pago tarjeta"),"⚠ Destino solo aplica a transferencias",IF(AND(K3379&lt;&gt;"",K3379=Q3379),"⚠ Origen igual a destino",IF(AND(K3379&lt;&gt;"",ISNA(MATCH(K3379,ctaNombre,0))),"⚠ Destino no registrado",IF(AND(P3379="Pago tarjeta",AE3379&lt;&gt;"Tarjeta de crédito"),"⚠ El destino debe ser tarjeta de crédito",IF(AND(P3379="Gasto",E3379="Depósitos y retiros"),"⚠ Usa tipo Transferencia",IF(AND(P3379="Resultado trading",AD3379&lt;&gt;"Cuenta de trading"),"⚠ Usa una cuenta de trading",IF(AND(G3379&lt;=0,P3379&lt;&gt;"Ajuste",P3379&lt;&gt;"Resultado trading"),"⚠ El monto debe ser positivo","✓")))))))))))))))</f>
        <v/>
      </c>
      <c r="P3379" s="52">
        <f>IF(OR(B3379="",G3379=""),"",IF(C3379="","Gasto",C3379))</f>
        <v/>
      </c>
      <c r="Q3379" s="52">
        <f>IF(P3379="","",IF(J3379&lt;&gt;"",J3379,CuentaPred&amp;""))</f>
        <v/>
      </c>
      <c r="R3379" s="52">
        <f>IF(P3379="","",IF(ISNUMBER(I3379),I3379,TasaUSD))</f>
        <v/>
      </c>
      <c r="S3379" s="53">
        <f>IF(P3379="","",IF(H3379="USD",G3379*R3379,G3379))</f>
        <v/>
      </c>
      <c r="T3379" s="53">
        <f>IF(P3379="","",IF(H3379="USD",G3379,IF(R3379&gt;0,G3379/R3379,0)))</f>
        <v/>
      </c>
      <c r="U3379" s="53">
        <f>IF(P3379="","",IF(P3379="Gasto",S3379,IF(P3379="Reembolso",-S3379,0)))</f>
        <v/>
      </c>
      <c r="V3379" s="53">
        <f>IF(P3379="","",IF(P3379="Ingreso",S3379,0))</f>
        <v/>
      </c>
      <c r="W3379" s="53">
        <f>IF(P3379="","",IF(P3379="Resultado trading",S3379,0))</f>
        <v/>
      </c>
      <c r="X3379" s="52">
        <f>IF(OR(P3379="Gasto",P3379="Reembolso"),IF(M3379&lt;&gt;"",M3379,IFERROR(INDEX(catClasif,MATCH(D3379&amp;"|"&amp;E3379,catClave,0))&amp;"","Variable")),"")</f>
        <v/>
      </c>
      <c r="Y3379" s="52">
        <f>IF(P3379="","",IFERROR(INDEX(catGrupo,MATCH(D3379&amp;"|"&amp;E3379,catClave,0))&amp;"",""))</f>
        <v/>
      </c>
      <c r="Z3379" s="52">
        <f>IF(P3379="","",WEEKDAY(B3379,2))</f>
        <v/>
      </c>
      <c r="AA3379" s="52">
        <f>IF(P3379="","",IF(AND(P3379="Gasto",X3379="Variable",D3379&lt;&gt;catTrading,S3379&gt;0,S3379&lt;=Umbral),1,0))</f>
        <v/>
      </c>
      <c r="AB3379" s="52">
        <f>IF(OR(P3379="",Q3379=""),"",IFERROR(IF(INDEX(ctaVinc,MATCH(Q3379,ctaNombre,0))&amp;""&lt;&gt;"",INDEX(ctaVinc,MATCH(Q3379,ctaNombre,0))&amp;"",Q3379),Q3379))</f>
        <v/>
      </c>
      <c r="AC3379" s="52">
        <f>IF(OR(K3379="",AND(P3379&lt;&gt;"Transferencia",P3379&lt;&gt;"Pago tarjeta")),"",IFERROR(IF(INDEX(ctaVinc,MATCH(K3379,ctaNombre,0))&amp;""&lt;&gt;"",INDEX(ctaVinc,MATCH(K3379,ctaNombre,0))&amp;"",K3379),K3379))</f>
        <v/>
      </c>
      <c r="AD3379" s="52">
        <f>IF(AB3379="","",IFERROR(INDEX(ctaTipo,MATCH(AB3379,ctaNombre,0))&amp;"",""))</f>
        <v/>
      </c>
      <c r="AE3379" s="52">
        <f>IF(AC3379="","",IFERROR(INDEX(ctaTipo,MATCH(AC3379,ctaNombre,0))&amp;"",""))</f>
        <v/>
      </c>
      <c r="AF3379" s="53">
        <f>IF(OR(P3379="",AB3379=""),"",IF(OR(P3379="Gasto",P3379="Transferencia",P3379="Pago tarjeta"),-1,1)*IF(IFERROR(INDEX(ctaMoneda,MATCH(AB3379,ctaNombre,0))&amp;"","DOP")="USD",T3379,S3379))</f>
        <v/>
      </c>
      <c r="AG3379" s="53">
        <f>IF(AC3379="","",IF(IFERROR(INDEX(ctaMoneda,MATCH(AC3379,ctaNombre,0))&amp;"","DOP")="USD",T3379,S3379))</f>
        <v/>
      </c>
      <c r="AH3379" s="53">
        <f>IF(P3379="","",IF(AND(AD3379&lt;&gt;"",COUNTIFS(tcTipo,AD3379,tcLiq,"Sí")&gt;0),IF(OR(P3379="Gasto",P3379="Transferencia",P3379="Pago tarjeta"),-1,1)*S3379,0)+IF(AND(AE3379&lt;&gt;"",COUNTIFS(tcTipo,AE3379,tcLiq,"Sí")&gt;0),S3379,0))</f>
        <v/>
      </c>
      <c r="AI3379" s="52">
        <f>IF(OR(L3379="",P3379=""),"",IF(COUNTIFS(L$6:L3379,L3379,P$6:P3379,"?*")=1,MAX(AI$5:AI3378)+1,""))</f>
        <v/>
      </c>
    </row>
    <row r="3380">
      <c r="B3380" s="47" t="n"/>
      <c r="C3380" s="48" t="n"/>
      <c r="D3380" s="48" t="n"/>
      <c r="E3380" s="48" t="n"/>
      <c r="F3380" s="48" t="n"/>
      <c r="G3380" s="49" t="n"/>
      <c r="H3380" s="48" t="n"/>
      <c r="I3380" s="50" t="n"/>
      <c r="J3380" s="48" t="n"/>
      <c r="K3380" s="48" t="n"/>
      <c r="L3380" s="48" t="n"/>
      <c r="M3380" s="48" t="n"/>
      <c r="N3380" s="48" t="n"/>
      <c r="O3380" s="51">
        <f>IF(AND(B3380="",G3380="",C3380="",D3380="",J3380=""),"",IF(B3380="","⚠ Falta fecha",IF(G3380="","⚠ Falta monto",IF(Q3380="","⚠ Falta cuenta",IF(ISNA(MATCH(Q3380,ctaNombre,0)),"⚠ Cuenta no registrada",IF(AND(OR(P3380="Gasto",P3380="Reembolso"),D3380=""),"⚠ Falta categoría",IF(AND(D3380&lt;&gt;"",E3380&lt;&gt;"",ISNA(MATCH(D3380&amp;"|"&amp;E3380,catClave,0))),"⚠ Subcategoría no corresponde",IF(AND(OR(P3380="Transferencia",P3380="Pago tarjeta"),K3380=""),"⚠ Falta cuenta destino",IF(AND(K3380&lt;&gt;"",P3380&lt;&gt;"Transferencia",P3380&lt;&gt;"Pago tarjeta"),"⚠ Destino solo aplica a transferencias",IF(AND(K3380&lt;&gt;"",K3380=Q3380),"⚠ Origen igual a destino",IF(AND(K3380&lt;&gt;"",ISNA(MATCH(K3380,ctaNombre,0))),"⚠ Destino no registrado",IF(AND(P3380="Pago tarjeta",AE3380&lt;&gt;"Tarjeta de crédito"),"⚠ El destino debe ser tarjeta de crédito",IF(AND(P3380="Gasto",E3380="Depósitos y retiros"),"⚠ Usa tipo Transferencia",IF(AND(P3380="Resultado trading",AD3380&lt;&gt;"Cuenta de trading"),"⚠ Usa una cuenta de trading",IF(AND(G3380&lt;=0,P3380&lt;&gt;"Ajuste",P3380&lt;&gt;"Resultado trading"),"⚠ El monto debe ser positivo","✓")))))))))))))))</f>
        <v/>
      </c>
      <c r="P3380" s="52">
        <f>IF(OR(B3380="",G3380=""),"",IF(C3380="","Gasto",C3380))</f>
        <v/>
      </c>
      <c r="Q3380" s="52">
        <f>IF(P3380="","",IF(J3380&lt;&gt;"",J3380,CuentaPred&amp;""))</f>
        <v/>
      </c>
      <c r="R3380" s="52">
        <f>IF(P3380="","",IF(ISNUMBER(I3380),I3380,TasaUSD))</f>
        <v/>
      </c>
      <c r="S3380" s="53">
        <f>IF(P3380="","",IF(H3380="USD",G3380*R3380,G3380))</f>
        <v/>
      </c>
      <c r="T3380" s="53">
        <f>IF(P3380="","",IF(H3380="USD",G3380,IF(R3380&gt;0,G3380/R3380,0)))</f>
        <v/>
      </c>
      <c r="U3380" s="53">
        <f>IF(P3380="","",IF(P3380="Gasto",S3380,IF(P3380="Reembolso",-S3380,0)))</f>
        <v/>
      </c>
      <c r="V3380" s="53">
        <f>IF(P3380="","",IF(P3380="Ingreso",S3380,0))</f>
        <v/>
      </c>
      <c r="W3380" s="53">
        <f>IF(P3380="","",IF(P3380="Resultado trading",S3380,0))</f>
        <v/>
      </c>
      <c r="X3380" s="52">
        <f>IF(OR(P3380="Gasto",P3380="Reembolso"),IF(M3380&lt;&gt;"",M3380,IFERROR(INDEX(catClasif,MATCH(D3380&amp;"|"&amp;E3380,catClave,0))&amp;"","Variable")),"")</f>
        <v/>
      </c>
      <c r="Y3380" s="52">
        <f>IF(P3380="","",IFERROR(INDEX(catGrupo,MATCH(D3380&amp;"|"&amp;E3380,catClave,0))&amp;"",""))</f>
        <v/>
      </c>
      <c r="Z3380" s="52">
        <f>IF(P3380="","",WEEKDAY(B3380,2))</f>
        <v/>
      </c>
      <c r="AA3380" s="52">
        <f>IF(P3380="","",IF(AND(P3380="Gasto",X3380="Variable",D3380&lt;&gt;catTrading,S3380&gt;0,S3380&lt;=Umbral),1,0))</f>
        <v/>
      </c>
      <c r="AB3380" s="52">
        <f>IF(OR(P3380="",Q3380=""),"",IFERROR(IF(INDEX(ctaVinc,MATCH(Q3380,ctaNombre,0))&amp;""&lt;&gt;"",INDEX(ctaVinc,MATCH(Q3380,ctaNombre,0))&amp;"",Q3380),Q3380))</f>
        <v/>
      </c>
      <c r="AC3380" s="52">
        <f>IF(OR(K3380="",AND(P3380&lt;&gt;"Transferencia",P3380&lt;&gt;"Pago tarjeta")),"",IFERROR(IF(INDEX(ctaVinc,MATCH(K3380,ctaNombre,0))&amp;""&lt;&gt;"",INDEX(ctaVinc,MATCH(K3380,ctaNombre,0))&amp;"",K3380),K3380))</f>
        <v/>
      </c>
      <c r="AD3380" s="52">
        <f>IF(AB3380="","",IFERROR(INDEX(ctaTipo,MATCH(AB3380,ctaNombre,0))&amp;"",""))</f>
        <v/>
      </c>
      <c r="AE3380" s="52">
        <f>IF(AC3380="","",IFERROR(INDEX(ctaTipo,MATCH(AC3380,ctaNombre,0))&amp;"",""))</f>
        <v/>
      </c>
      <c r="AF3380" s="53">
        <f>IF(OR(P3380="",AB3380=""),"",IF(OR(P3380="Gasto",P3380="Transferencia",P3380="Pago tarjeta"),-1,1)*IF(IFERROR(INDEX(ctaMoneda,MATCH(AB3380,ctaNombre,0))&amp;"","DOP")="USD",T3380,S3380))</f>
        <v/>
      </c>
      <c r="AG3380" s="53">
        <f>IF(AC3380="","",IF(IFERROR(INDEX(ctaMoneda,MATCH(AC3380,ctaNombre,0))&amp;"","DOP")="USD",T3380,S3380))</f>
        <v/>
      </c>
      <c r="AH3380" s="53">
        <f>IF(P3380="","",IF(AND(AD3380&lt;&gt;"",COUNTIFS(tcTipo,AD3380,tcLiq,"Sí")&gt;0),IF(OR(P3380="Gasto",P3380="Transferencia",P3380="Pago tarjeta"),-1,1)*S3380,0)+IF(AND(AE3380&lt;&gt;"",COUNTIFS(tcTipo,AE3380,tcLiq,"Sí")&gt;0),S3380,0))</f>
        <v/>
      </c>
      <c r="AI3380" s="52">
        <f>IF(OR(L3380="",P3380=""),"",IF(COUNTIFS(L$6:L3380,L3380,P$6:P3380,"?*")=1,MAX(AI$5:AI3379)+1,""))</f>
        <v/>
      </c>
    </row>
    <row r="3381">
      <c r="B3381" s="47" t="n"/>
      <c r="C3381" s="48" t="n"/>
      <c r="D3381" s="48" t="n"/>
      <c r="E3381" s="48" t="n"/>
      <c r="F3381" s="48" t="n"/>
      <c r="G3381" s="49" t="n"/>
      <c r="H3381" s="48" t="n"/>
      <c r="I3381" s="50" t="n"/>
      <c r="J3381" s="48" t="n"/>
      <c r="K3381" s="48" t="n"/>
      <c r="L3381" s="48" t="n"/>
      <c r="M3381" s="48" t="n"/>
      <c r="N3381" s="48" t="n"/>
      <c r="O3381" s="51">
        <f>IF(AND(B3381="",G3381="",C3381="",D3381="",J3381=""),"",IF(B3381="","⚠ Falta fecha",IF(G3381="","⚠ Falta monto",IF(Q3381="","⚠ Falta cuenta",IF(ISNA(MATCH(Q3381,ctaNombre,0)),"⚠ Cuenta no registrada",IF(AND(OR(P3381="Gasto",P3381="Reembolso"),D3381=""),"⚠ Falta categoría",IF(AND(D3381&lt;&gt;"",E3381&lt;&gt;"",ISNA(MATCH(D3381&amp;"|"&amp;E3381,catClave,0))),"⚠ Subcategoría no corresponde",IF(AND(OR(P3381="Transferencia",P3381="Pago tarjeta"),K3381=""),"⚠ Falta cuenta destino",IF(AND(K3381&lt;&gt;"",P3381&lt;&gt;"Transferencia",P3381&lt;&gt;"Pago tarjeta"),"⚠ Destino solo aplica a transferencias",IF(AND(K3381&lt;&gt;"",K3381=Q3381),"⚠ Origen igual a destino",IF(AND(K3381&lt;&gt;"",ISNA(MATCH(K3381,ctaNombre,0))),"⚠ Destino no registrado",IF(AND(P3381="Pago tarjeta",AE3381&lt;&gt;"Tarjeta de crédito"),"⚠ El destino debe ser tarjeta de crédito",IF(AND(P3381="Gasto",E3381="Depósitos y retiros"),"⚠ Usa tipo Transferencia",IF(AND(P3381="Resultado trading",AD3381&lt;&gt;"Cuenta de trading"),"⚠ Usa una cuenta de trading",IF(AND(G3381&lt;=0,P3381&lt;&gt;"Ajuste",P3381&lt;&gt;"Resultado trading"),"⚠ El monto debe ser positivo","✓")))))))))))))))</f>
        <v/>
      </c>
      <c r="P3381" s="52">
        <f>IF(OR(B3381="",G3381=""),"",IF(C3381="","Gasto",C3381))</f>
        <v/>
      </c>
      <c r="Q3381" s="52">
        <f>IF(P3381="","",IF(J3381&lt;&gt;"",J3381,CuentaPred&amp;""))</f>
        <v/>
      </c>
      <c r="R3381" s="52">
        <f>IF(P3381="","",IF(ISNUMBER(I3381),I3381,TasaUSD))</f>
        <v/>
      </c>
      <c r="S3381" s="53">
        <f>IF(P3381="","",IF(H3381="USD",G3381*R3381,G3381))</f>
        <v/>
      </c>
      <c r="T3381" s="53">
        <f>IF(P3381="","",IF(H3381="USD",G3381,IF(R3381&gt;0,G3381/R3381,0)))</f>
        <v/>
      </c>
      <c r="U3381" s="53">
        <f>IF(P3381="","",IF(P3381="Gasto",S3381,IF(P3381="Reembolso",-S3381,0)))</f>
        <v/>
      </c>
      <c r="V3381" s="53">
        <f>IF(P3381="","",IF(P3381="Ingreso",S3381,0))</f>
        <v/>
      </c>
      <c r="W3381" s="53">
        <f>IF(P3381="","",IF(P3381="Resultado trading",S3381,0))</f>
        <v/>
      </c>
      <c r="X3381" s="52">
        <f>IF(OR(P3381="Gasto",P3381="Reembolso"),IF(M3381&lt;&gt;"",M3381,IFERROR(INDEX(catClasif,MATCH(D3381&amp;"|"&amp;E3381,catClave,0))&amp;"","Variable")),"")</f>
        <v/>
      </c>
      <c r="Y3381" s="52">
        <f>IF(P3381="","",IFERROR(INDEX(catGrupo,MATCH(D3381&amp;"|"&amp;E3381,catClave,0))&amp;"",""))</f>
        <v/>
      </c>
      <c r="Z3381" s="52">
        <f>IF(P3381="","",WEEKDAY(B3381,2))</f>
        <v/>
      </c>
      <c r="AA3381" s="52">
        <f>IF(P3381="","",IF(AND(P3381="Gasto",X3381="Variable",D3381&lt;&gt;catTrading,S3381&gt;0,S3381&lt;=Umbral),1,0))</f>
        <v/>
      </c>
      <c r="AB3381" s="52">
        <f>IF(OR(P3381="",Q3381=""),"",IFERROR(IF(INDEX(ctaVinc,MATCH(Q3381,ctaNombre,0))&amp;""&lt;&gt;"",INDEX(ctaVinc,MATCH(Q3381,ctaNombre,0))&amp;"",Q3381),Q3381))</f>
        <v/>
      </c>
      <c r="AC3381" s="52">
        <f>IF(OR(K3381="",AND(P3381&lt;&gt;"Transferencia",P3381&lt;&gt;"Pago tarjeta")),"",IFERROR(IF(INDEX(ctaVinc,MATCH(K3381,ctaNombre,0))&amp;""&lt;&gt;"",INDEX(ctaVinc,MATCH(K3381,ctaNombre,0))&amp;"",K3381),K3381))</f>
        <v/>
      </c>
      <c r="AD3381" s="52">
        <f>IF(AB3381="","",IFERROR(INDEX(ctaTipo,MATCH(AB3381,ctaNombre,0))&amp;"",""))</f>
        <v/>
      </c>
      <c r="AE3381" s="52">
        <f>IF(AC3381="","",IFERROR(INDEX(ctaTipo,MATCH(AC3381,ctaNombre,0))&amp;"",""))</f>
        <v/>
      </c>
      <c r="AF3381" s="53">
        <f>IF(OR(P3381="",AB3381=""),"",IF(OR(P3381="Gasto",P3381="Transferencia",P3381="Pago tarjeta"),-1,1)*IF(IFERROR(INDEX(ctaMoneda,MATCH(AB3381,ctaNombre,0))&amp;"","DOP")="USD",T3381,S3381))</f>
        <v/>
      </c>
      <c r="AG3381" s="53">
        <f>IF(AC3381="","",IF(IFERROR(INDEX(ctaMoneda,MATCH(AC3381,ctaNombre,0))&amp;"","DOP")="USD",T3381,S3381))</f>
        <v/>
      </c>
      <c r="AH3381" s="53">
        <f>IF(P3381="","",IF(AND(AD3381&lt;&gt;"",COUNTIFS(tcTipo,AD3381,tcLiq,"Sí")&gt;0),IF(OR(P3381="Gasto",P3381="Transferencia",P3381="Pago tarjeta"),-1,1)*S3381,0)+IF(AND(AE3381&lt;&gt;"",COUNTIFS(tcTipo,AE3381,tcLiq,"Sí")&gt;0),S3381,0))</f>
        <v/>
      </c>
      <c r="AI3381" s="52">
        <f>IF(OR(L3381="",P3381=""),"",IF(COUNTIFS(L$6:L3381,L3381,P$6:P3381,"?*")=1,MAX(AI$5:AI3380)+1,""))</f>
        <v/>
      </c>
    </row>
    <row r="3382">
      <c r="B3382" s="47" t="n"/>
      <c r="C3382" s="48" t="n"/>
      <c r="D3382" s="48" t="n"/>
      <c r="E3382" s="48" t="n"/>
      <c r="F3382" s="48" t="n"/>
      <c r="G3382" s="49" t="n"/>
      <c r="H3382" s="48" t="n"/>
      <c r="I3382" s="50" t="n"/>
      <c r="J3382" s="48" t="n"/>
      <c r="K3382" s="48" t="n"/>
      <c r="L3382" s="48" t="n"/>
      <c r="M3382" s="48" t="n"/>
      <c r="N3382" s="48" t="n"/>
      <c r="O3382" s="51">
        <f>IF(AND(B3382="",G3382="",C3382="",D3382="",J3382=""),"",IF(B3382="","⚠ Falta fecha",IF(G3382="","⚠ Falta monto",IF(Q3382="","⚠ Falta cuenta",IF(ISNA(MATCH(Q3382,ctaNombre,0)),"⚠ Cuenta no registrada",IF(AND(OR(P3382="Gasto",P3382="Reembolso"),D3382=""),"⚠ Falta categoría",IF(AND(D3382&lt;&gt;"",E3382&lt;&gt;"",ISNA(MATCH(D3382&amp;"|"&amp;E3382,catClave,0))),"⚠ Subcategoría no corresponde",IF(AND(OR(P3382="Transferencia",P3382="Pago tarjeta"),K3382=""),"⚠ Falta cuenta destino",IF(AND(K3382&lt;&gt;"",P3382&lt;&gt;"Transferencia",P3382&lt;&gt;"Pago tarjeta"),"⚠ Destino solo aplica a transferencias",IF(AND(K3382&lt;&gt;"",K3382=Q3382),"⚠ Origen igual a destino",IF(AND(K3382&lt;&gt;"",ISNA(MATCH(K3382,ctaNombre,0))),"⚠ Destino no registrado",IF(AND(P3382="Pago tarjeta",AE3382&lt;&gt;"Tarjeta de crédito"),"⚠ El destino debe ser tarjeta de crédito",IF(AND(P3382="Gasto",E3382="Depósitos y retiros"),"⚠ Usa tipo Transferencia",IF(AND(P3382="Resultado trading",AD3382&lt;&gt;"Cuenta de trading"),"⚠ Usa una cuenta de trading",IF(AND(G3382&lt;=0,P3382&lt;&gt;"Ajuste",P3382&lt;&gt;"Resultado trading"),"⚠ El monto debe ser positivo","✓")))))))))))))))</f>
        <v/>
      </c>
      <c r="P3382" s="52">
        <f>IF(OR(B3382="",G3382=""),"",IF(C3382="","Gasto",C3382))</f>
        <v/>
      </c>
      <c r="Q3382" s="52">
        <f>IF(P3382="","",IF(J3382&lt;&gt;"",J3382,CuentaPred&amp;""))</f>
        <v/>
      </c>
      <c r="R3382" s="52">
        <f>IF(P3382="","",IF(ISNUMBER(I3382),I3382,TasaUSD))</f>
        <v/>
      </c>
      <c r="S3382" s="53">
        <f>IF(P3382="","",IF(H3382="USD",G3382*R3382,G3382))</f>
        <v/>
      </c>
      <c r="T3382" s="53">
        <f>IF(P3382="","",IF(H3382="USD",G3382,IF(R3382&gt;0,G3382/R3382,0)))</f>
        <v/>
      </c>
      <c r="U3382" s="53">
        <f>IF(P3382="","",IF(P3382="Gasto",S3382,IF(P3382="Reembolso",-S3382,0)))</f>
        <v/>
      </c>
      <c r="V3382" s="53">
        <f>IF(P3382="","",IF(P3382="Ingreso",S3382,0))</f>
        <v/>
      </c>
      <c r="W3382" s="53">
        <f>IF(P3382="","",IF(P3382="Resultado trading",S3382,0))</f>
        <v/>
      </c>
      <c r="X3382" s="52">
        <f>IF(OR(P3382="Gasto",P3382="Reembolso"),IF(M3382&lt;&gt;"",M3382,IFERROR(INDEX(catClasif,MATCH(D3382&amp;"|"&amp;E3382,catClave,0))&amp;"","Variable")),"")</f>
        <v/>
      </c>
      <c r="Y3382" s="52">
        <f>IF(P3382="","",IFERROR(INDEX(catGrupo,MATCH(D3382&amp;"|"&amp;E3382,catClave,0))&amp;"",""))</f>
        <v/>
      </c>
      <c r="Z3382" s="52">
        <f>IF(P3382="","",WEEKDAY(B3382,2))</f>
        <v/>
      </c>
      <c r="AA3382" s="52">
        <f>IF(P3382="","",IF(AND(P3382="Gasto",X3382="Variable",D3382&lt;&gt;catTrading,S3382&gt;0,S3382&lt;=Umbral),1,0))</f>
        <v/>
      </c>
      <c r="AB3382" s="52">
        <f>IF(OR(P3382="",Q3382=""),"",IFERROR(IF(INDEX(ctaVinc,MATCH(Q3382,ctaNombre,0))&amp;""&lt;&gt;"",INDEX(ctaVinc,MATCH(Q3382,ctaNombre,0))&amp;"",Q3382),Q3382))</f>
        <v/>
      </c>
      <c r="AC3382" s="52">
        <f>IF(OR(K3382="",AND(P3382&lt;&gt;"Transferencia",P3382&lt;&gt;"Pago tarjeta")),"",IFERROR(IF(INDEX(ctaVinc,MATCH(K3382,ctaNombre,0))&amp;""&lt;&gt;"",INDEX(ctaVinc,MATCH(K3382,ctaNombre,0))&amp;"",K3382),K3382))</f>
        <v/>
      </c>
      <c r="AD3382" s="52">
        <f>IF(AB3382="","",IFERROR(INDEX(ctaTipo,MATCH(AB3382,ctaNombre,0))&amp;"",""))</f>
        <v/>
      </c>
      <c r="AE3382" s="52">
        <f>IF(AC3382="","",IFERROR(INDEX(ctaTipo,MATCH(AC3382,ctaNombre,0))&amp;"",""))</f>
        <v/>
      </c>
      <c r="AF3382" s="53">
        <f>IF(OR(P3382="",AB3382=""),"",IF(OR(P3382="Gasto",P3382="Transferencia",P3382="Pago tarjeta"),-1,1)*IF(IFERROR(INDEX(ctaMoneda,MATCH(AB3382,ctaNombre,0))&amp;"","DOP")="USD",T3382,S3382))</f>
        <v/>
      </c>
      <c r="AG3382" s="53">
        <f>IF(AC3382="","",IF(IFERROR(INDEX(ctaMoneda,MATCH(AC3382,ctaNombre,0))&amp;"","DOP")="USD",T3382,S3382))</f>
        <v/>
      </c>
      <c r="AH3382" s="53">
        <f>IF(P3382="","",IF(AND(AD3382&lt;&gt;"",COUNTIFS(tcTipo,AD3382,tcLiq,"Sí")&gt;0),IF(OR(P3382="Gasto",P3382="Transferencia",P3382="Pago tarjeta"),-1,1)*S3382,0)+IF(AND(AE3382&lt;&gt;"",COUNTIFS(tcTipo,AE3382,tcLiq,"Sí")&gt;0),S3382,0))</f>
        <v/>
      </c>
      <c r="AI3382" s="52">
        <f>IF(OR(L3382="",P3382=""),"",IF(COUNTIFS(L$6:L3382,L3382,P$6:P3382,"?*")=1,MAX(AI$5:AI3381)+1,""))</f>
        <v/>
      </c>
    </row>
    <row r="3383">
      <c r="B3383" s="47" t="n"/>
      <c r="C3383" s="48" t="n"/>
      <c r="D3383" s="48" t="n"/>
      <c r="E3383" s="48" t="n"/>
      <c r="F3383" s="48" t="n"/>
      <c r="G3383" s="49" t="n"/>
      <c r="H3383" s="48" t="n"/>
      <c r="I3383" s="50" t="n"/>
      <c r="J3383" s="48" t="n"/>
      <c r="K3383" s="48" t="n"/>
      <c r="L3383" s="48" t="n"/>
      <c r="M3383" s="48" t="n"/>
      <c r="N3383" s="48" t="n"/>
      <c r="O3383" s="51">
        <f>IF(AND(B3383="",G3383="",C3383="",D3383="",J3383=""),"",IF(B3383="","⚠ Falta fecha",IF(G3383="","⚠ Falta monto",IF(Q3383="","⚠ Falta cuenta",IF(ISNA(MATCH(Q3383,ctaNombre,0)),"⚠ Cuenta no registrada",IF(AND(OR(P3383="Gasto",P3383="Reembolso"),D3383=""),"⚠ Falta categoría",IF(AND(D3383&lt;&gt;"",E3383&lt;&gt;"",ISNA(MATCH(D3383&amp;"|"&amp;E3383,catClave,0))),"⚠ Subcategoría no corresponde",IF(AND(OR(P3383="Transferencia",P3383="Pago tarjeta"),K3383=""),"⚠ Falta cuenta destino",IF(AND(K3383&lt;&gt;"",P3383&lt;&gt;"Transferencia",P3383&lt;&gt;"Pago tarjeta"),"⚠ Destino solo aplica a transferencias",IF(AND(K3383&lt;&gt;"",K3383=Q3383),"⚠ Origen igual a destino",IF(AND(K3383&lt;&gt;"",ISNA(MATCH(K3383,ctaNombre,0))),"⚠ Destino no registrado",IF(AND(P3383="Pago tarjeta",AE3383&lt;&gt;"Tarjeta de crédito"),"⚠ El destino debe ser tarjeta de crédito",IF(AND(P3383="Gasto",E3383="Depósitos y retiros"),"⚠ Usa tipo Transferencia",IF(AND(P3383="Resultado trading",AD3383&lt;&gt;"Cuenta de trading"),"⚠ Usa una cuenta de trading",IF(AND(G3383&lt;=0,P3383&lt;&gt;"Ajuste",P3383&lt;&gt;"Resultado trading"),"⚠ El monto debe ser positivo","✓")))))))))))))))</f>
        <v/>
      </c>
      <c r="P3383" s="52">
        <f>IF(OR(B3383="",G3383=""),"",IF(C3383="","Gasto",C3383))</f>
        <v/>
      </c>
      <c r="Q3383" s="52">
        <f>IF(P3383="","",IF(J3383&lt;&gt;"",J3383,CuentaPred&amp;""))</f>
        <v/>
      </c>
      <c r="R3383" s="52">
        <f>IF(P3383="","",IF(ISNUMBER(I3383),I3383,TasaUSD))</f>
        <v/>
      </c>
      <c r="S3383" s="53">
        <f>IF(P3383="","",IF(H3383="USD",G3383*R3383,G3383))</f>
        <v/>
      </c>
      <c r="T3383" s="53">
        <f>IF(P3383="","",IF(H3383="USD",G3383,IF(R3383&gt;0,G3383/R3383,0)))</f>
        <v/>
      </c>
      <c r="U3383" s="53">
        <f>IF(P3383="","",IF(P3383="Gasto",S3383,IF(P3383="Reembolso",-S3383,0)))</f>
        <v/>
      </c>
      <c r="V3383" s="53">
        <f>IF(P3383="","",IF(P3383="Ingreso",S3383,0))</f>
        <v/>
      </c>
      <c r="W3383" s="53">
        <f>IF(P3383="","",IF(P3383="Resultado trading",S3383,0))</f>
        <v/>
      </c>
      <c r="X3383" s="52">
        <f>IF(OR(P3383="Gasto",P3383="Reembolso"),IF(M3383&lt;&gt;"",M3383,IFERROR(INDEX(catClasif,MATCH(D3383&amp;"|"&amp;E3383,catClave,0))&amp;"","Variable")),"")</f>
        <v/>
      </c>
      <c r="Y3383" s="52">
        <f>IF(P3383="","",IFERROR(INDEX(catGrupo,MATCH(D3383&amp;"|"&amp;E3383,catClave,0))&amp;"",""))</f>
        <v/>
      </c>
      <c r="Z3383" s="52">
        <f>IF(P3383="","",WEEKDAY(B3383,2))</f>
        <v/>
      </c>
      <c r="AA3383" s="52">
        <f>IF(P3383="","",IF(AND(P3383="Gasto",X3383="Variable",D3383&lt;&gt;catTrading,S3383&gt;0,S3383&lt;=Umbral),1,0))</f>
        <v/>
      </c>
      <c r="AB3383" s="52">
        <f>IF(OR(P3383="",Q3383=""),"",IFERROR(IF(INDEX(ctaVinc,MATCH(Q3383,ctaNombre,0))&amp;""&lt;&gt;"",INDEX(ctaVinc,MATCH(Q3383,ctaNombre,0))&amp;"",Q3383),Q3383))</f>
        <v/>
      </c>
      <c r="AC3383" s="52">
        <f>IF(OR(K3383="",AND(P3383&lt;&gt;"Transferencia",P3383&lt;&gt;"Pago tarjeta")),"",IFERROR(IF(INDEX(ctaVinc,MATCH(K3383,ctaNombre,0))&amp;""&lt;&gt;"",INDEX(ctaVinc,MATCH(K3383,ctaNombre,0))&amp;"",K3383),K3383))</f>
        <v/>
      </c>
      <c r="AD3383" s="52">
        <f>IF(AB3383="","",IFERROR(INDEX(ctaTipo,MATCH(AB3383,ctaNombre,0))&amp;"",""))</f>
        <v/>
      </c>
      <c r="AE3383" s="52">
        <f>IF(AC3383="","",IFERROR(INDEX(ctaTipo,MATCH(AC3383,ctaNombre,0))&amp;"",""))</f>
        <v/>
      </c>
      <c r="AF3383" s="53">
        <f>IF(OR(P3383="",AB3383=""),"",IF(OR(P3383="Gasto",P3383="Transferencia",P3383="Pago tarjeta"),-1,1)*IF(IFERROR(INDEX(ctaMoneda,MATCH(AB3383,ctaNombre,0))&amp;"","DOP")="USD",T3383,S3383))</f>
        <v/>
      </c>
      <c r="AG3383" s="53">
        <f>IF(AC3383="","",IF(IFERROR(INDEX(ctaMoneda,MATCH(AC3383,ctaNombre,0))&amp;"","DOP")="USD",T3383,S3383))</f>
        <v/>
      </c>
      <c r="AH3383" s="53">
        <f>IF(P3383="","",IF(AND(AD3383&lt;&gt;"",COUNTIFS(tcTipo,AD3383,tcLiq,"Sí")&gt;0),IF(OR(P3383="Gasto",P3383="Transferencia",P3383="Pago tarjeta"),-1,1)*S3383,0)+IF(AND(AE3383&lt;&gt;"",COUNTIFS(tcTipo,AE3383,tcLiq,"Sí")&gt;0),S3383,0))</f>
        <v/>
      </c>
      <c r="AI3383" s="52">
        <f>IF(OR(L3383="",P3383=""),"",IF(COUNTIFS(L$6:L3383,L3383,P$6:P3383,"?*")=1,MAX(AI$5:AI3382)+1,""))</f>
        <v/>
      </c>
    </row>
    <row r="3384">
      <c r="B3384" s="47" t="n"/>
      <c r="C3384" s="48" t="n"/>
      <c r="D3384" s="48" t="n"/>
      <c r="E3384" s="48" t="n"/>
      <c r="F3384" s="48" t="n"/>
      <c r="G3384" s="49" t="n"/>
      <c r="H3384" s="48" t="n"/>
      <c r="I3384" s="50" t="n"/>
      <c r="J3384" s="48" t="n"/>
      <c r="K3384" s="48" t="n"/>
      <c r="L3384" s="48" t="n"/>
      <c r="M3384" s="48" t="n"/>
      <c r="N3384" s="48" t="n"/>
      <c r="O3384" s="51">
        <f>IF(AND(B3384="",G3384="",C3384="",D3384="",J3384=""),"",IF(B3384="","⚠ Falta fecha",IF(G3384="","⚠ Falta monto",IF(Q3384="","⚠ Falta cuenta",IF(ISNA(MATCH(Q3384,ctaNombre,0)),"⚠ Cuenta no registrada",IF(AND(OR(P3384="Gasto",P3384="Reembolso"),D3384=""),"⚠ Falta categoría",IF(AND(D3384&lt;&gt;"",E3384&lt;&gt;"",ISNA(MATCH(D3384&amp;"|"&amp;E3384,catClave,0))),"⚠ Subcategoría no corresponde",IF(AND(OR(P3384="Transferencia",P3384="Pago tarjeta"),K3384=""),"⚠ Falta cuenta destino",IF(AND(K3384&lt;&gt;"",P3384&lt;&gt;"Transferencia",P3384&lt;&gt;"Pago tarjeta"),"⚠ Destino solo aplica a transferencias",IF(AND(K3384&lt;&gt;"",K3384=Q3384),"⚠ Origen igual a destino",IF(AND(K3384&lt;&gt;"",ISNA(MATCH(K3384,ctaNombre,0))),"⚠ Destino no registrado",IF(AND(P3384="Pago tarjeta",AE3384&lt;&gt;"Tarjeta de crédito"),"⚠ El destino debe ser tarjeta de crédito",IF(AND(P3384="Gasto",E3384="Depósitos y retiros"),"⚠ Usa tipo Transferencia",IF(AND(P3384="Resultado trading",AD3384&lt;&gt;"Cuenta de trading"),"⚠ Usa una cuenta de trading",IF(AND(G3384&lt;=0,P3384&lt;&gt;"Ajuste",P3384&lt;&gt;"Resultado trading"),"⚠ El monto debe ser positivo","✓")))))))))))))))</f>
        <v/>
      </c>
      <c r="P3384" s="52">
        <f>IF(OR(B3384="",G3384=""),"",IF(C3384="","Gasto",C3384))</f>
        <v/>
      </c>
      <c r="Q3384" s="52">
        <f>IF(P3384="","",IF(J3384&lt;&gt;"",J3384,CuentaPred&amp;""))</f>
        <v/>
      </c>
      <c r="R3384" s="52">
        <f>IF(P3384="","",IF(ISNUMBER(I3384),I3384,TasaUSD))</f>
        <v/>
      </c>
      <c r="S3384" s="53">
        <f>IF(P3384="","",IF(H3384="USD",G3384*R3384,G3384))</f>
        <v/>
      </c>
      <c r="T3384" s="53">
        <f>IF(P3384="","",IF(H3384="USD",G3384,IF(R3384&gt;0,G3384/R3384,0)))</f>
        <v/>
      </c>
      <c r="U3384" s="53">
        <f>IF(P3384="","",IF(P3384="Gasto",S3384,IF(P3384="Reembolso",-S3384,0)))</f>
        <v/>
      </c>
      <c r="V3384" s="53">
        <f>IF(P3384="","",IF(P3384="Ingreso",S3384,0))</f>
        <v/>
      </c>
      <c r="W3384" s="53">
        <f>IF(P3384="","",IF(P3384="Resultado trading",S3384,0))</f>
        <v/>
      </c>
      <c r="X3384" s="52">
        <f>IF(OR(P3384="Gasto",P3384="Reembolso"),IF(M3384&lt;&gt;"",M3384,IFERROR(INDEX(catClasif,MATCH(D3384&amp;"|"&amp;E3384,catClave,0))&amp;"","Variable")),"")</f>
        <v/>
      </c>
      <c r="Y3384" s="52">
        <f>IF(P3384="","",IFERROR(INDEX(catGrupo,MATCH(D3384&amp;"|"&amp;E3384,catClave,0))&amp;"",""))</f>
        <v/>
      </c>
      <c r="Z3384" s="52">
        <f>IF(P3384="","",WEEKDAY(B3384,2))</f>
        <v/>
      </c>
      <c r="AA3384" s="52">
        <f>IF(P3384="","",IF(AND(P3384="Gasto",X3384="Variable",D3384&lt;&gt;catTrading,S3384&gt;0,S3384&lt;=Umbral),1,0))</f>
        <v/>
      </c>
      <c r="AB3384" s="52">
        <f>IF(OR(P3384="",Q3384=""),"",IFERROR(IF(INDEX(ctaVinc,MATCH(Q3384,ctaNombre,0))&amp;""&lt;&gt;"",INDEX(ctaVinc,MATCH(Q3384,ctaNombre,0))&amp;"",Q3384),Q3384))</f>
        <v/>
      </c>
      <c r="AC3384" s="52">
        <f>IF(OR(K3384="",AND(P3384&lt;&gt;"Transferencia",P3384&lt;&gt;"Pago tarjeta")),"",IFERROR(IF(INDEX(ctaVinc,MATCH(K3384,ctaNombre,0))&amp;""&lt;&gt;"",INDEX(ctaVinc,MATCH(K3384,ctaNombre,0))&amp;"",K3384),K3384))</f>
        <v/>
      </c>
      <c r="AD3384" s="52">
        <f>IF(AB3384="","",IFERROR(INDEX(ctaTipo,MATCH(AB3384,ctaNombre,0))&amp;"",""))</f>
        <v/>
      </c>
      <c r="AE3384" s="52">
        <f>IF(AC3384="","",IFERROR(INDEX(ctaTipo,MATCH(AC3384,ctaNombre,0))&amp;"",""))</f>
        <v/>
      </c>
      <c r="AF3384" s="53">
        <f>IF(OR(P3384="",AB3384=""),"",IF(OR(P3384="Gasto",P3384="Transferencia",P3384="Pago tarjeta"),-1,1)*IF(IFERROR(INDEX(ctaMoneda,MATCH(AB3384,ctaNombre,0))&amp;"","DOP")="USD",T3384,S3384))</f>
        <v/>
      </c>
      <c r="AG3384" s="53">
        <f>IF(AC3384="","",IF(IFERROR(INDEX(ctaMoneda,MATCH(AC3384,ctaNombre,0))&amp;"","DOP")="USD",T3384,S3384))</f>
        <v/>
      </c>
      <c r="AH3384" s="53">
        <f>IF(P3384="","",IF(AND(AD3384&lt;&gt;"",COUNTIFS(tcTipo,AD3384,tcLiq,"Sí")&gt;0),IF(OR(P3384="Gasto",P3384="Transferencia",P3384="Pago tarjeta"),-1,1)*S3384,0)+IF(AND(AE3384&lt;&gt;"",COUNTIFS(tcTipo,AE3384,tcLiq,"Sí")&gt;0),S3384,0))</f>
        <v/>
      </c>
      <c r="AI3384" s="52">
        <f>IF(OR(L3384="",P3384=""),"",IF(COUNTIFS(L$6:L3384,L3384,P$6:P3384,"?*")=1,MAX(AI$5:AI3383)+1,""))</f>
        <v/>
      </c>
    </row>
    <row r="3385">
      <c r="B3385" s="47" t="n"/>
      <c r="C3385" s="48" t="n"/>
      <c r="D3385" s="48" t="n"/>
      <c r="E3385" s="48" t="n"/>
      <c r="F3385" s="48" t="n"/>
      <c r="G3385" s="49" t="n"/>
      <c r="H3385" s="48" t="n"/>
      <c r="I3385" s="50" t="n"/>
      <c r="J3385" s="48" t="n"/>
      <c r="K3385" s="48" t="n"/>
      <c r="L3385" s="48" t="n"/>
      <c r="M3385" s="48" t="n"/>
      <c r="N3385" s="48" t="n"/>
      <c r="O3385" s="51">
        <f>IF(AND(B3385="",G3385="",C3385="",D3385="",J3385=""),"",IF(B3385="","⚠ Falta fecha",IF(G3385="","⚠ Falta monto",IF(Q3385="","⚠ Falta cuenta",IF(ISNA(MATCH(Q3385,ctaNombre,0)),"⚠ Cuenta no registrada",IF(AND(OR(P3385="Gasto",P3385="Reembolso"),D3385=""),"⚠ Falta categoría",IF(AND(D3385&lt;&gt;"",E3385&lt;&gt;"",ISNA(MATCH(D3385&amp;"|"&amp;E3385,catClave,0))),"⚠ Subcategoría no corresponde",IF(AND(OR(P3385="Transferencia",P3385="Pago tarjeta"),K3385=""),"⚠ Falta cuenta destino",IF(AND(K3385&lt;&gt;"",P3385&lt;&gt;"Transferencia",P3385&lt;&gt;"Pago tarjeta"),"⚠ Destino solo aplica a transferencias",IF(AND(K3385&lt;&gt;"",K3385=Q3385),"⚠ Origen igual a destino",IF(AND(K3385&lt;&gt;"",ISNA(MATCH(K3385,ctaNombre,0))),"⚠ Destino no registrado",IF(AND(P3385="Pago tarjeta",AE3385&lt;&gt;"Tarjeta de crédito"),"⚠ El destino debe ser tarjeta de crédito",IF(AND(P3385="Gasto",E3385="Depósitos y retiros"),"⚠ Usa tipo Transferencia",IF(AND(P3385="Resultado trading",AD3385&lt;&gt;"Cuenta de trading"),"⚠ Usa una cuenta de trading",IF(AND(G3385&lt;=0,P3385&lt;&gt;"Ajuste",P3385&lt;&gt;"Resultado trading"),"⚠ El monto debe ser positivo","✓")))))))))))))))</f>
        <v/>
      </c>
      <c r="P3385" s="52">
        <f>IF(OR(B3385="",G3385=""),"",IF(C3385="","Gasto",C3385))</f>
        <v/>
      </c>
      <c r="Q3385" s="52">
        <f>IF(P3385="","",IF(J3385&lt;&gt;"",J3385,CuentaPred&amp;""))</f>
        <v/>
      </c>
      <c r="R3385" s="52">
        <f>IF(P3385="","",IF(ISNUMBER(I3385),I3385,TasaUSD))</f>
        <v/>
      </c>
      <c r="S3385" s="53">
        <f>IF(P3385="","",IF(H3385="USD",G3385*R3385,G3385))</f>
        <v/>
      </c>
      <c r="T3385" s="53">
        <f>IF(P3385="","",IF(H3385="USD",G3385,IF(R3385&gt;0,G3385/R3385,0)))</f>
        <v/>
      </c>
      <c r="U3385" s="53">
        <f>IF(P3385="","",IF(P3385="Gasto",S3385,IF(P3385="Reembolso",-S3385,0)))</f>
        <v/>
      </c>
      <c r="V3385" s="53">
        <f>IF(P3385="","",IF(P3385="Ingreso",S3385,0))</f>
        <v/>
      </c>
      <c r="W3385" s="53">
        <f>IF(P3385="","",IF(P3385="Resultado trading",S3385,0))</f>
        <v/>
      </c>
      <c r="X3385" s="52">
        <f>IF(OR(P3385="Gasto",P3385="Reembolso"),IF(M3385&lt;&gt;"",M3385,IFERROR(INDEX(catClasif,MATCH(D3385&amp;"|"&amp;E3385,catClave,0))&amp;"","Variable")),"")</f>
        <v/>
      </c>
      <c r="Y3385" s="52">
        <f>IF(P3385="","",IFERROR(INDEX(catGrupo,MATCH(D3385&amp;"|"&amp;E3385,catClave,0))&amp;"",""))</f>
        <v/>
      </c>
      <c r="Z3385" s="52">
        <f>IF(P3385="","",WEEKDAY(B3385,2))</f>
        <v/>
      </c>
      <c r="AA3385" s="52">
        <f>IF(P3385="","",IF(AND(P3385="Gasto",X3385="Variable",D3385&lt;&gt;catTrading,S3385&gt;0,S3385&lt;=Umbral),1,0))</f>
        <v/>
      </c>
      <c r="AB3385" s="52">
        <f>IF(OR(P3385="",Q3385=""),"",IFERROR(IF(INDEX(ctaVinc,MATCH(Q3385,ctaNombre,0))&amp;""&lt;&gt;"",INDEX(ctaVinc,MATCH(Q3385,ctaNombre,0))&amp;"",Q3385),Q3385))</f>
        <v/>
      </c>
      <c r="AC3385" s="52">
        <f>IF(OR(K3385="",AND(P3385&lt;&gt;"Transferencia",P3385&lt;&gt;"Pago tarjeta")),"",IFERROR(IF(INDEX(ctaVinc,MATCH(K3385,ctaNombre,0))&amp;""&lt;&gt;"",INDEX(ctaVinc,MATCH(K3385,ctaNombre,0))&amp;"",K3385),K3385))</f>
        <v/>
      </c>
      <c r="AD3385" s="52">
        <f>IF(AB3385="","",IFERROR(INDEX(ctaTipo,MATCH(AB3385,ctaNombre,0))&amp;"",""))</f>
        <v/>
      </c>
      <c r="AE3385" s="52">
        <f>IF(AC3385="","",IFERROR(INDEX(ctaTipo,MATCH(AC3385,ctaNombre,0))&amp;"",""))</f>
        <v/>
      </c>
      <c r="AF3385" s="53">
        <f>IF(OR(P3385="",AB3385=""),"",IF(OR(P3385="Gasto",P3385="Transferencia",P3385="Pago tarjeta"),-1,1)*IF(IFERROR(INDEX(ctaMoneda,MATCH(AB3385,ctaNombre,0))&amp;"","DOP")="USD",T3385,S3385))</f>
        <v/>
      </c>
      <c r="AG3385" s="53">
        <f>IF(AC3385="","",IF(IFERROR(INDEX(ctaMoneda,MATCH(AC3385,ctaNombre,0))&amp;"","DOP")="USD",T3385,S3385))</f>
        <v/>
      </c>
      <c r="AH3385" s="53">
        <f>IF(P3385="","",IF(AND(AD3385&lt;&gt;"",COUNTIFS(tcTipo,AD3385,tcLiq,"Sí")&gt;0),IF(OR(P3385="Gasto",P3385="Transferencia",P3385="Pago tarjeta"),-1,1)*S3385,0)+IF(AND(AE3385&lt;&gt;"",COUNTIFS(tcTipo,AE3385,tcLiq,"Sí")&gt;0),S3385,0))</f>
        <v/>
      </c>
      <c r="AI3385" s="52">
        <f>IF(OR(L3385="",P3385=""),"",IF(COUNTIFS(L$6:L3385,L3385,P$6:P3385,"?*")=1,MAX(AI$5:AI3384)+1,""))</f>
        <v/>
      </c>
    </row>
    <row r="3386">
      <c r="B3386" s="47" t="n"/>
      <c r="C3386" s="48" t="n"/>
      <c r="D3386" s="48" t="n"/>
      <c r="E3386" s="48" t="n"/>
      <c r="F3386" s="48" t="n"/>
      <c r="G3386" s="49" t="n"/>
      <c r="H3386" s="48" t="n"/>
      <c r="I3386" s="50" t="n"/>
      <c r="J3386" s="48" t="n"/>
      <c r="K3386" s="48" t="n"/>
      <c r="L3386" s="48" t="n"/>
      <c r="M3386" s="48" t="n"/>
      <c r="N3386" s="48" t="n"/>
      <c r="O3386" s="51">
        <f>IF(AND(B3386="",G3386="",C3386="",D3386="",J3386=""),"",IF(B3386="","⚠ Falta fecha",IF(G3386="","⚠ Falta monto",IF(Q3386="","⚠ Falta cuenta",IF(ISNA(MATCH(Q3386,ctaNombre,0)),"⚠ Cuenta no registrada",IF(AND(OR(P3386="Gasto",P3386="Reembolso"),D3386=""),"⚠ Falta categoría",IF(AND(D3386&lt;&gt;"",E3386&lt;&gt;"",ISNA(MATCH(D3386&amp;"|"&amp;E3386,catClave,0))),"⚠ Subcategoría no corresponde",IF(AND(OR(P3386="Transferencia",P3386="Pago tarjeta"),K3386=""),"⚠ Falta cuenta destino",IF(AND(K3386&lt;&gt;"",P3386&lt;&gt;"Transferencia",P3386&lt;&gt;"Pago tarjeta"),"⚠ Destino solo aplica a transferencias",IF(AND(K3386&lt;&gt;"",K3386=Q3386),"⚠ Origen igual a destino",IF(AND(K3386&lt;&gt;"",ISNA(MATCH(K3386,ctaNombre,0))),"⚠ Destino no registrado",IF(AND(P3386="Pago tarjeta",AE3386&lt;&gt;"Tarjeta de crédito"),"⚠ El destino debe ser tarjeta de crédito",IF(AND(P3386="Gasto",E3386="Depósitos y retiros"),"⚠ Usa tipo Transferencia",IF(AND(P3386="Resultado trading",AD3386&lt;&gt;"Cuenta de trading"),"⚠ Usa una cuenta de trading",IF(AND(G3386&lt;=0,P3386&lt;&gt;"Ajuste",P3386&lt;&gt;"Resultado trading"),"⚠ El monto debe ser positivo","✓")))))))))))))))</f>
        <v/>
      </c>
      <c r="P3386" s="52">
        <f>IF(OR(B3386="",G3386=""),"",IF(C3386="","Gasto",C3386))</f>
        <v/>
      </c>
      <c r="Q3386" s="52">
        <f>IF(P3386="","",IF(J3386&lt;&gt;"",J3386,CuentaPred&amp;""))</f>
        <v/>
      </c>
      <c r="R3386" s="52">
        <f>IF(P3386="","",IF(ISNUMBER(I3386),I3386,TasaUSD))</f>
        <v/>
      </c>
      <c r="S3386" s="53">
        <f>IF(P3386="","",IF(H3386="USD",G3386*R3386,G3386))</f>
        <v/>
      </c>
      <c r="T3386" s="53">
        <f>IF(P3386="","",IF(H3386="USD",G3386,IF(R3386&gt;0,G3386/R3386,0)))</f>
        <v/>
      </c>
      <c r="U3386" s="53">
        <f>IF(P3386="","",IF(P3386="Gasto",S3386,IF(P3386="Reembolso",-S3386,0)))</f>
        <v/>
      </c>
      <c r="V3386" s="53">
        <f>IF(P3386="","",IF(P3386="Ingreso",S3386,0))</f>
        <v/>
      </c>
      <c r="W3386" s="53">
        <f>IF(P3386="","",IF(P3386="Resultado trading",S3386,0))</f>
        <v/>
      </c>
      <c r="X3386" s="52">
        <f>IF(OR(P3386="Gasto",P3386="Reembolso"),IF(M3386&lt;&gt;"",M3386,IFERROR(INDEX(catClasif,MATCH(D3386&amp;"|"&amp;E3386,catClave,0))&amp;"","Variable")),"")</f>
        <v/>
      </c>
      <c r="Y3386" s="52">
        <f>IF(P3386="","",IFERROR(INDEX(catGrupo,MATCH(D3386&amp;"|"&amp;E3386,catClave,0))&amp;"",""))</f>
        <v/>
      </c>
      <c r="Z3386" s="52">
        <f>IF(P3386="","",WEEKDAY(B3386,2))</f>
        <v/>
      </c>
      <c r="AA3386" s="52">
        <f>IF(P3386="","",IF(AND(P3386="Gasto",X3386="Variable",D3386&lt;&gt;catTrading,S3386&gt;0,S3386&lt;=Umbral),1,0))</f>
        <v/>
      </c>
      <c r="AB3386" s="52">
        <f>IF(OR(P3386="",Q3386=""),"",IFERROR(IF(INDEX(ctaVinc,MATCH(Q3386,ctaNombre,0))&amp;""&lt;&gt;"",INDEX(ctaVinc,MATCH(Q3386,ctaNombre,0))&amp;"",Q3386),Q3386))</f>
        <v/>
      </c>
      <c r="AC3386" s="52">
        <f>IF(OR(K3386="",AND(P3386&lt;&gt;"Transferencia",P3386&lt;&gt;"Pago tarjeta")),"",IFERROR(IF(INDEX(ctaVinc,MATCH(K3386,ctaNombre,0))&amp;""&lt;&gt;"",INDEX(ctaVinc,MATCH(K3386,ctaNombre,0))&amp;"",K3386),K3386))</f>
        <v/>
      </c>
      <c r="AD3386" s="52">
        <f>IF(AB3386="","",IFERROR(INDEX(ctaTipo,MATCH(AB3386,ctaNombre,0))&amp;"",""))</f>
        <v/>
      </c>
      <c r="AE3386" s="52">
        <f>IF(AC3386="","",IFERROR(INDEX(ctaTipo,MATCH(AC3386,ctaNombre,0))&amp;"",""))</f>
        <v/>
      </c>
      <c r="AF3386" s="53">
        <f>IF(OR(P3386="",AB3386=""),"",IF(OR(P3386="Gasto",P3386="Transferencia",P3386="Pago tarjeta"),-1,1)*IF(IFERROR(INDEX(ctaMoneda,MATCH(AB3386,ctaNombre,0))&amp;"","DOP")="USD",T3386,S3386))</f>
        <v/>
      </c>
      <c r="AG3386" s="53">
        <f>IF(AC3386="","",IF(IFERROR(INDEX(ctaMoneda,MATCH(AC3386,ctaNombre,0))&amp;"","DOP")="USD",T3386,S3386))</f>
        <v/>
      </c>
      <c r="AH3386" s="53">
        <f>IF(P3386="","",IF(AND(AD3386&lt;&gt;"",COUNTIFS(tcTipo,AD3386,tcLiq,"Sí")&gt;0),IF(OR(P3386="Gasto",P3386="Transferencia",P3386="Pago tarjeta"),-1,1)*S3386,0)+IF(AND(AE3386&lt;&gt;"",COUNTIFS(tcTipo,AE3386,tcLiq,"Sí")&gt;0),S3386,0))</f>
        <v/>
      </c>
      <c r="AI3386" s="52">
        <f>IF(OR(L3386="",P3386=""),"",IF(COUNTIFS(L$6:L3386,L3386,P$6:P3386,"?*")=1,MAX(AI$5:AI3385)+1,""))</f>
        <v/>
      </c>
    </row>
    <row r="3387">
      <c r="B3387" s="47" t="n"/>
      <c r="C3387" s="48" t="n"/>
      <c r="D3387" s="48" t="n"/>
      <c r="E3387" s="48" t="n"/>
      <c r="F3387" s="48" t="n"/>
      <c r="G3387" s="49" t="n"/>
      <c r="H3387" s="48" t="n"/>
      <c r="I3387" s="50" t="n"/>
      <c r="J3387" s="48" t="n"/>
      <c r="K3387" s="48" t="n"/>
      <c r="L3387" s="48" t="n"/>
      <c r="M3387" s="48" t="n"/>
      <c r="N3387" s="48" t="n"/>
      <c r="O3387" s="51">
        <f>IF(AND(B3387="",G3387="",C3387="",D3387="",J3387=""),"",IF(B3387="","⚠ Falta fecha",IF(G3387="","⚠ Falta monto",IF(Q3387="","⚠ Falta cuenta",IF(ISNA(MATCH(Q3387,ctaNombre,0)),"⚠ Cuenta no registrada",IF(AND(OR(P3387="Gasto",P3387="Reembolso"),D3387=""),"⚠ Falta categoría",IF(AND(D3387&lt;&gt;"",E3387&lt;&gt;"",ISNA(MATCH(D3387&amp;"|"&amp;E3387,catClave,0))),"⚠ Subcategoría no corresponde",IF(AND(OR(P3387="Transferencia",P3387="Pago tarjeta"),K3387=""),"⚠ Falta cuenta destino",IF(AND(K3387&lt;&gt;"",P3387&lt;&gt;"Transferencia",P3387&lt;&gt;"Pago tarjeta"),"⚠ Destino solo aplica a transferencias",IF(AND(K3387&lt;&gt;"",K3387=Q3387),"⚠ Origen igual a destino",IF(AND(K3387&lt;&gt;"",ISNA(MATCH(K3387,ctaNombre,0))),"⚠ Destino no registrado",IF(AND(P3387="Pago tarjeta",AE3387&lt;&gt;"Tarjeta de crédito"),"⚠ El destino debe ser tarjeta de crédito",IF(AND(P3387="Gasto",E3387="Depósitos y retiros"),"⚠ Usa tipo Transferencia",IF(AND(P3387="Resultado trading",AD3387&lt;&gt;"Cuenta de trading"),"⚠ Usa una cuenta de trading",IF(AND(G3387&lt;=0,P3387&lt;&gt;"Ajuste",P3387&lt;&gt;"Resultado trading"),"⚠ El monto debe ser positivo","✓")))))))))))))))</f>
        <v/>
      </c>
      <c r="P3387" s="52">
        <f>IF(OR(B3387="",G3387=""),"",IF(C3387="","Gasto",C3387))</f>
        <v/>
      </c>
      <c r="Q3387" s="52">
        <f>IF(P3387="","",IF(J3387&lt;&gt;"",J3387,CuentaPred&amp;""))</f>
        <v/>
      </c>
      <c r="R3387" s="52">
        <f>IF(P3387="","",IF(ISNUMBER(I3387),I3387,TasaUSD))</f>
        <v/>
      </c>
      <c r="S3387" s="53">
        <f>IF(P3387="","",IF(H3387="USD",G3387*R3387,G3387))</f>
        <v/>
      </c>
      <c r="T3387" s="53">
        <f>IF(P3387="","",IF(H3387="USD",G3387,IF(R3387&gt;0,G3387/R3387,0)))</f>
        <v/>
      </c>
      <c r="U3387" s="53">
        <f>IF(P3387="","",IF(P3387="Gasto",S3387,IF(P3387="Reembolso",-S3387,0)))</f>
        <v/>
      </c>
      <c r="V3387" s="53">
        <f>IF(P3387="","",IF(P3387="Ingreso",S3387,0))</f>
        <v/>
      </c>
      <c r="W3387" s="53">
        <f>IF(P3387="","",IF(P3387="Resultado trading",S3387,0))</f>
        <v/>
      </c>
      <c r="X3387" s="52">
        <f>IF(OR(P3387="Gasto",P3387="Reembolso"),IF(M3387&lt;&gt;"",M3387,IFERROR(INDEX(catClasif,MATCH(D3387&amp;"|"&amp;E3387,catClave,0))&amp;"","Variable")),"")</f>
        <v/>
      </c>
      <c r="Y3387" s="52">
        <f>IF(P3387="","",IFERROR(INDEX(catGrupo,MATCH(D3387&amp;"|"&amp;E3387,catClave,0))&amp;"",""))</f>
        <v/>
      </c>
      <c r="Z3387" s="52">
        <f>IF(P3387="","",WEEKDAY(B3387,2))</f>
        <v/>
      </c>
      <c r="AA3387" s="52">
        <f>IF(P3387="","",IF(AND(P3387="Gasto",X3387="Variable",D3387&lt;&gt;catTrading,S3387&gt;0,S3387&lt;=Umbral),1,0))</f>
        <v/>
      </c>
      <c r="AB3387" s="52">
        <f>IF(OR(P3387="",Q3387=""),"",IFERROR(IF(INDEX(ctaVinc,MATCH(Q3387,ctaNombre,0))&amp;""&lt;&gt;"",INDEX(ctaVinc,MATCH(Q3387,ctaNombre,0))&amp;"",Q3387),Q3387))</f>
        <v/>
      </c>
      <c r="AC3387" s="52">
        <f>IF(OR(K3387="",AND(P3387&lt;&gt;"Transferencia",P3387&lt;&gt;"Pago tarjeta")),"",IFERROR(IF(INDEX(ctaVinc,MATCH(K3387,ctaNombre,0))&amp;""&lt;&gt;"",INDEX(ctaVinc,MATCH(K3387,ctaNombre,0))&amp;"",K3387),K3387))</f>
        <v/>
      </c>
      <c r="AD3387" s="52">
        <f>IF(AB3387="","",IFERROR(INDEX(ctaTipo,MATCH(AB3387,ctaNombre,0))&amp;"",""))</f>
        <v/>
      </c>
      <c r="AE3387" s="52">
        <f>IF(AC3387="","",IFERROR(INDEX(ctaTipo,MATCH(AC3387,ctaNombre,0))&amp;"",""))</f>
        <v/>
      </c>
      <c r="AF3387" s="53">
        <f>IF(OR(P3387="",AB3387=""),"",IF(OR(P3387="Gasto",P3387="Transferencia",P3387="Pago tarjeta"),-1,1)*IF(IFERROR(INDEX(ctaMoneda,MATCH(AB3387,ctaNombre,0))&amp;"","DOP")="USD",T3387,S3387))</f>
        <v/>
      </c>
      <c r="AG3387" s="53">
        <f>IF(AC3387="","",IF(IFERROR(INDEX(ctaMoneda,MATCH(AC3387,ctaNombre,0))&amp;"","DOP")="USD",T3387,S3387))</f>
        <v/>
      </c>
      <c r="AH3387" s="53">
        <f>IF(P3387="","",IF(AND(AD3387&lt;&gt;"",COUNTIFS(tcTipo,AD3387,tcLiq,"Sí")&gt;0),IF(OR(P3387="Gasto",P3387="Transferencia",P3387="Pago tarjeta"),-1,1)*S3387,0)+IF(AND(AE3387&lt;&gt;"",COUNTIFS(tcTipo,AE3387,tcLiq,"Sí")&gt;0),S3387,0))</f>
        <v/>
      </c>
      <c r="AI3387" s="52">
        <f>IF(OR(L3387="",P3387=""),"",IF(COUNTIFS(L$6:L3387,L3387,P$6:P3387,"?*")=1,MAX(AI$5:AI3386)+1,""))</f>
        <v/>
      </c>
    </row>
    <row r="3388">
      <c r="B3388" s="47" t="n"/>
      <c r="C3388" s="48" t="n"/>
      <c r="D3388" s="48" t="n"/>
      <c r="E3388" s="48" t="n"/>
      <c r="F3388" s="48" t="n"/>
      <c r="G3388" s="49" t="n"/>
      <c r="H3388" s="48" t="n"/>
      <c r="I3388" s="50" t="n"/>
      <c r="J3388" s="48" t="n"/>
      <c r="K3388" s="48" t="n"/>
      <c r="L3388" s="48" t="n"/>
      <c r="M3388" s="48" t="n"/>
      <c r="N3388" s="48" t="n"/>
      <c r="O3388" s="51">
        <f>IF(AND(B3388="",G3388="",C3388="",D3388="",J3388=""),"",IF(B3388="","⚠ Falta fecha",IF(G3388="","⚠ Falta monto",IF(Q3388="","⚠ Falta cuenta",IF(ISNA(MATCH(Q3388,ctaNombre,0)),"⚠ Cuenta no registrada",IF(AND(OR(P3388="Gasto",P3388="Reembolso"),D3388=""),"⚠ Falta categoría",IF(AND(D3388&lt;&gt;"",E3388&lt;&gt;"",ISNA(MATCH(D3388&amp;"|"&amp;E3388,catClave,0))),"⚠ Subcategoría no corresponde",IF(AND(OR(P3388="Transferencia",P3388="Pago tarjeta"),K3388=""),"⚠ Falta cuenta destino",IF(AND(K3388&lt;&gt;"",P3388&lt;&gt;"Transferencia",P3388&lt;&gt;"Pago tarjeta"),"⚠ Destino solo aplica a transferencias",IF(AND(K3388&lt;&gt;"",K3388=Q3388),"⚠ Origen igual a destino",IF(AND(K3388&lt;&gt;"",ISNA(MATCH(K3388,ctaNombre,0))),"⚠ Destino no registrado",IF(AND(P3388="Pago tarjeta",AE3388&lt;&gt;"Tarjeta de crédito"),"⚠ El destino debe ser tarjeta de crédito",IF(AND(P3388="Gasto",E3388="Depósitos y retiros"),"⚠ Usa tipo Transferencia",IF(AND(P3388="Resultado trading",AD3388&lt;&gt;"Cuenta de trading"),"⚠ Usa una cuenta de trading",IF(AND(G3388&lt;=0,P3388&lt;&gt;"Ajuste",P3388&lt;&gt;"Resultado trading"),"⚠ El monto debe ser positivo","✓")))))))))))))))</f>
        <v/>
      </c>
      <c r="P3388" s="52">
        <f>IF(OR(B3388="",G3388=""),"",IF(C3388="","Gasto",C3388))</f>
        <v/>
      </c>
      <c r="Q3388" s="52">
        <f>IF(P3388="","",IF(J3388&lt;&gt;"",J3388,CuentaPred&amp;""))</f>
        <v/>
      </c>
      <c r="R3388" s="52">
        <f>IF(P3388="","",IF(ISNUMBER(I3388),I3388,TasaUSD))</f>
        <v/>
      </c>
      <c r="S3388" s="53">
        <f>IF(P3388="","",IF(H3388="USD",G3388*R3388,G3388))</f>
        <v/>
      </c>
      <c r="T3388" s="53">
        <f>IF(P3388="","",IF(H3388="USD",G3388,IF(R3388&gt;0,G3388/R3388,0)))</f>
        <v/>
      </c>
      <c r="U3388" s="53">
        <f>IF(P3388="","",IF(P3388="Gasto",S3388,IF(P3388="Reembolso",-S3388,0)))</f>
        <v/>
      </c>
      <c r="V3388" s="53">
        <f>IF(P3388="","",IF(P3388="Ingreso",S3388,0))</f>
        <v/>
      </c>
      <c r="W3388" s="53">
        <f>IF(P3388="","",IF(P3388="Resultado trading",S3388,0))</f>
        <v/>
      </c>
      <c r="X3388" s="52">
        <f>IF(OR(P3388="Gasto",P3388="Reembolso"),IF(M3388&lt;&gt;"",M3388,IFERROR(INDEX(catClasif,MATCH(D3388&amp;"|"&amp;E3388,catClave,0))&amp;"","Variable")),"")</f>
        <v/>
      </c>
      <c r="Y3388" s="52">
        <f>IF(P3388="","",IFERROR(INDEX(catGrupo,MATCH(D3388&amp;"|"&amp;E3388,catClave,0))&amp;"",""))</f>
        <v/>
      </c>
      <c r="Z3388" s="52">
        <f>IF(P3388="","",WEEKDAY(B3388,2))</f>
        <v/>
      </c>
      <c r="AA3388" s="52">
        <f>IF(P3388="","",IF(AND(P3388="Gasto",X3388="Variable",D3388&lt;&gt;catTrading,S3388&gt;0,S3388&lt;=Umbral),1,0))</f>
        <v/>
      </c>
      <c r="AB3388" s="52">
        <f>IF(OR(P3388="",Q3388=""),"",IFERROR(IF(INDEX(ctaVinc,MATCH(Q3388,ctaNombre,0))&amp;""&lt;&gt;"",INDEX(ctaVinc,MATCH(Q3388,ctaNombre,0))&amp;"",Q3388),Q3388))</f>
        <v/>
      </c>
      <c r="AC3388" s="52">
        <f>IF(OR(K3388="",AND(P3388&lt;&gt;"Transferencia",P3388&lt;&gt;"Pago tarjeta")),"",IFERROR(IF(INDEX(ctaVinc,MATCH(K3388,ctaNombre,0))&amp;""&lt;&gt;"",INDEX(ctaVinc,MATCH(K3388,ctaNombre,0))&amp;"",K3388),K3388))</f>
        <v/>
      </c>
      <c r="AD3388" s="52">
        <f>IF(AB3388="","",IFERROR(INDEX(ctaTipo,MATCH(AB3388,ctaNombre,0))&amp;"",""))</f>
        <v/>
      </c>
      <c r="AE3388" s="52">
        <f>IF(AC3388="","",IFERROR(INDEX(ctaTipo,MATCH(AC3388,ctaNombre,0))&amp;"",""))</f>
        <v/>
      </c>
      <c r="AF3388" s="53">
        <f>IF(OR(P3388="",AB3388=""),"",IF(OR(P3388="Gasto",P3388="Transferencia",P3388="Pago tarjeta"),-1,1)*IF(IFERROR(INDEX(ctaMoneda,MATCH(AB3388,ctaNombre,0))&amp;"","DOP")="USD",T3388,S3388))</f>
        <v/>
      </c>
      <c r="AG3388" s="53">
        <f>IF(AC3388="","",IF(IFERROR(INDEX(ctaMoneda,MATCH(AC3388,ctaNombre,0))&amp;"","DOP")="USD",T3388,S3388))</f>
        <v/>
      </c>
      <c r="AH3388" s="53">
        <f>IF(P3388="","",IF(AND(AD3388&lt;&gt;"",COUNTIFS(tcTipo,AD3388,tcLiq,"Sí")&gt;0),IF(OR(P3388="Gasto",P3388="Transferencia",P3388="Pago tarjeta"),-1,1)*S3388,0)+IF(AND(AE3388&lt;&gt;"",COUNTIFS(tcTipo,AE3388,tcLiq,"Sí")&gt;0),S3388,0))</f>
        <v/>
      </c>
      <c r="AI3388" s="52">
        <f>IF(OR(L3388="",P3388=""),"",IF(COUNTIFS(L$6:L3388,L3388,P$6:P3388,"?*")=1,MAX(AI$5:AI3387)+1,""))</f>
        <v/>
      </c>
    </row>
    <row r="3389">
      <c r="B3389" s="47" t="n"/>
      <c r="C3389" s="48" t="n"/>
      <c r="D3389" s="48" t="n"/>
      <c r="E3389" s="48" t="n"/>
      <c r="F3389" s="48" t="n"/>
      <c r="G3389" s="49" t="n"/>
      <c r="H3389" s="48" t="n"/>
      <c r="I3389" s="50" t="n"/>
      <c r="J3389" s="48" t="n"/>
      <c r="K3389" s="48" t="n"/>
      <c r="L3389" s="48" t="n"/>
      <c r="M3389" s="48" t="n"/>
      <c r="N3389" s="48" t="n"/>
      <c r="O3389" s="51">
        <f>IF(AND(B3389="",G3389="",C3389="",D3389="",J3389=""),"",IF(B3389="","⚠ Falta fecha",IF(G3389="","⚠ Falta monto",IF(Q3389="","⚠ Falta cuenta",IF(ISNA(MATCH(Q3389,ctaNombre,0)),"⚠ Cuenta no registrada",IF(AND(OR(P3389="Gasto",P3389="Reembolso"),D3389=""),"⚠ Falta categoría",IF(AND(D3389&lt;&gt;"",E3389&lt;&gt;"",ISNA(MATCH(D3389&amp;"|"&amp;E3389,catClave,0))),"⚠ Subcategoría no corresponde",IF(AND(OR(P3389="Transferencia",P3389="Pago tarjeta"),K3389=""),"⚠ Falta cuenta destino",IF(AND(K3389&lt;&gt;"",P3389&lt;&gt;"Transferencia",P3389&lt;&gt;"Pago tarjeta"),"⚠ Destino solo aplica a transferencias",IF(AND(K3389&lt;&gt;"",K3389=Q3389),"⚠ Origen igual a destino",IF(AND(K3389&lt;&gt;"",ISNA(MATCH(K3389,ctaNombre,0))),"⚠ Destino no registrado",IF(AND(P3389="Pago tarjeta",AE3389&lt;&gt;"Tarjeta de crédito"),"⚠ El destino debe ser tarjeta de crédito",IF(AND(P3389="Gasto",E3389="Depósitos y retiros"),"⚠ Usa tipo Transferencia",IF(AND(P3389="Resultado trading",AD3389&lt;&gt;"Cuenta de trading"),"⚠ Usa una cuenta de trading",IF(AND(G3389&lt;=0,P3389&lt;&gt;"Ajuste",P3389&lt;&gt;"Resultado trading"),"⚠ El monto debe ser positivo","✓")))))))))))))))</f>
        <v/>
      </c>
      <c r="P3389" s="52">
        <f>IF(OR(B3389="",G3389=""),"",IF(C3389="","Gasto",C3389))</f>
        <v/>
      </c>
      <c r="Q3389" s="52">
        <f>IF(P3389="","",IF(J3389&lt;&gt;"",J3389,CuentaPred&amp;""))</f>
        <v/>
      </c>
      <c r="R3389" s="52">
        <f>IF(P3389="","",IF(ISNUMBER(I3389),I3389,TasaUSD))</f>
        <v/>
      </c>
      <c r="S3389" s="53">
        <f>IF(P3389="","",IF(H3389="USD",G3389*R3389,G3389))</f>
        <v/>
      </c>
      <c r="T3389" s="53">
        <f>IF(P3389="","",IF(H3389="USD",G3389,IF(R3389&gt;0,G3389/R3389,0)))</f>
        <v/>
      </c>
      <c r="U3389" s="53">
        <f>IF(P3389="","",IF(P3389="Gasto",S3389,IF(P3389="Reembolso",-S3389,0)))</f>
        <v/>
      </c>
      <c r="V3389" s="53">
        <f>IF(P3389="","",IF(P3389="Ingreso",S3389,0))</f>
        <v/>
      </c>
      <c r="W3389" s="53">
        <f>IF(P3389="","",IF(P3389="Resultado trading",S3389,0))</f>
        <v/>
      </c>
      <c r="X3389" s="52">
        <f>IF(OR(P3389="Gasto",P3389="Reembolso"),IF(M3389&lt;&gt;"",M3389,IFERROR(INDEX(catClasif,MATCH(D3389&amp;"|"&amp;E3389,catClave,0))&amp;"","Variable")),"")</f>
        <v/>
      </c>
      <c r="Y3389" s="52">
        <f>IF(P3389="","",IFERROR(INDEX(catGrupo,MATCH(D3389&amp;"|"&amp;E3389,catClave,0))&amp;"",""))</f>
        <v/>
      </c>
      <c r="Z3389" s="52">
        <f>IF(P3389="","",WEEKDAY(B3389,2))</f>
        <v/>
      </c>
      <c r="AA3389" s="52">
        <f>IF(P3389="","",IF(AND(P3389="Gasto",X3389="Variable",D3389&lt;&gt;catTrading,S3389&gt;0,S3389&lt;=Umbral),1,0))</f>
        <v/>
      </c>
      <c r="AB3389" s="52">
        <f>IF(OR(P3389="",Q3389=""),"",IFERROR(IF(INDEX(ctaVinc,MATCH(Q3389,ctaNombre,0))&amp;""&lt;&gt;"",INDEX(ctaVinc,MATCH(Q3389,ctaNombre,0))&amp;"",Q3389),Q3389))</f>
        <v/>
      </c>
      <c r="AC3389" s="52">
        <f>IF(OR(K3389="",AND(P3389&lt;&gt;"Transferencia",P3389&lt;&gt;"Pago tarjeta")),"",IFERROR(IF(INDEX(ctaVinc,MATCH(K3389,ctaNombre,0))&amp;""&lt;&gt;"",INDEX(ctaVinc,MATCH(K3389,ctaNombre,0))&amp;"",K3389),K3389))</f>
        <v/>
      </c>
      <c r="AD3389" s="52">
        <f>IF(AB3389="","",IFERROR(INDEX(ctaTipo,MATCH(AB3389,ctaNombre,0))&amp;"",""))</f>
        <v/>
      </c>
      <c r="AE3389" s="52">
        <f>IF(AC3389="","",IFERROR(INDEX(ctaTipo,MATCH(AC3389,ctaNombre,0))&amp;"",""))</f>
        <v/>
      </c>
      <c r="AF3389" s="53">
        <f>IF(OR(P3389="",AB3389=""),"",IF(OR(P3389="Gasto",P3389="Transferencia",P3389="Pago tarjeta"),-1,1)*IF(IFERROR(INDEX(ctaMoneda,MATCH(AB3389,ctaNombre,0))&amp;"","DOP")="USD",T3389,S3389))</f>
        <v/>
      </c>
      <c r="AG3389" s="53">
        <f>IF(AC3389="","",IF(IFERROR(INDEX(ctaMoneda,MATCH(AC3389,ctaNombre,0))&amp;"","DOP")="USD",T3389,S3389))</f>
        <v/>
      </c>
      <c r="AH3389" s="53">
        <f>IF(P3389="","",IF(AND(AD3389&lt;&gt;"",COUNTIFS(tcTipo,AD3389,tcLiq,"Sí")&gt;0),IF(OR(P3389="Gasto",P3389="Transferencia",P3389="Pago tarjeta"),-1,1)*S3389,0)+IF(AND(AE3389&lt;&gt;"",COUNTIFS(tcTipo,AE3389,tcLiq,"Sí")&gt;0),S3389,0))</f>
        <v/>
      </c>
      <c r="AI3389" s="52">
        <f>IF(OR(L3389="",P3389=""),"",IF(COUNTIFS(L$6:L3389,L3389,P$6:P3389,"?*")=1,MAX(AI$5:AI3388)+1,""))</f>
        <v/>
      </c>
    </row>
    <row r="3390">
      <c r="B3390" s="47" t="n"/>
      <c r="C3390" s="48" t="n"/>
      <c r="D3390" s="48" t="n"/>
      <c r="E3390" s="48" t="n"/>
      <c r="F3390" s="48" t="n"/>
      <c r="G3390" s="49" t="n"/>
      <c r="H3390" s="48" t="n"/>
      <c r="I3390" s="50" t="n"/>
      <c r="J3390" s="48" t="n"/>
      <c r="K3390" s="48" t="n"/>
      <c r="L3390" s="48" t="n"/>
      <c r="M3390" s="48" t="n"/>
      <c r="N3390" s="48" t="n"/>
      <c r="O3390" s="51">
        <f>IF(AND(B3390="",G3390="",C3390="",D3390="",J3390=""),"",IF(B3390="","⚠ Falta fecha",IF(G3390="","⚠ Falta monto",IF(Q3390="","⚠ Falta cuenta",IF(ISNA(MATCH(Q3390,ctaNombre,0)),"⚠ Cuenta no registrada",IF(AND(OR(P3390="Gasto",P3390="Reembolso"),D3390=""),"⚠ Falta categoría",IF(AND(D3390&lt;&gt;"",E3390&lt;&gt;"",ISNA(MATCH(D3390&amp;"|"&amp;E3390,catClave,0))),"⚠ Subcategoría no corresponde",IF(AND(OR(P3390="Transferencia",P3390="Pago tarjeta"),K3390=""),"⚠ Falta cuenta destino",IF(AND(K3390&lt;&gt;"",P3390&lt;&gt;"Transferencia",P3390&lt;&gt;"Pago tarjeta"),"⚠ Destino solo aplica a transferencias",IF(AND(K3390&lt;&gt;"",K3390=Q3390),"⚠ Origen igual a destino",IF(AND(K3390&lt;&gt;"",ISNA(MATCH(K3390,ctaNombre,0))),"⚠ Destino no registrado",IF(AND(P3390="Pago tarjeta",AE3390&lt;&gt;"Tarjeta de crédito"),"⚠ El destino debe ser tarjeta de crédito",IF(AND(P3390="Gasto",E3390="Depósitos y retiros"),"⚠ Usa tipo Transferencia",IF(AND(P3390="Resultado trading",AD3390&lt;&gt;"Cuenta de trading"),"⚠ Usa una cuenta de trading",IF(AND(G3390&lt;=0,P3390&lt;&gt;"Ajuste",P3390&lt;&gt;"Resultado trading"),"⚠ El monto debe ser positivo","✓")))))))))))))))</f>
        <v/>
      </c>
      <c r="P3390" s="52">
        <f>IF(OR(B3390="",G3390=""),"",IF(C3390="","Gasto",C3390))</f>
        <v/>
      </c>
      <c r="Q3390" s="52">
        <f>IF(P3390="","",IF(J3390&lt;&gt;"",J3390,CuentaPred&amp;""))</f>
        <v/>
      </c>
      <c r="R3390" s="52">
        <f>IF(P3390="","",IF(ISNUMBER(I3390),I3390,TasaUSD))</f>
        <v/>
      </c>
      <c r="S3390" s="53">
        <f>IF(P3390="","",IF(H3390="USD",G3390*R3390,G3390))</f>
        <v/>
      </c>
      <c r="T3390" s="53">
        <f>IF(P3390="","",IF(H3390="USD",G3390,IF(R3390&gt;0,G3390/R3390,0)))</f>
        <v/>
      </c>
      <c r="U3390" s="53">
        <f>IF(P3390="","",IF(P3390="Gasto",S3390,IF(P3390="Reembolso",-S3390,0)))</f>
        <v/>
      </c>
      <c r="V3390" s="53">
        <f>IF(P3390="","",IF(P3390="Ingreso",S3390,0))</f>
        <v/>
      </c>
      <c r="W3390" s="53">
        <f>IF(P3390="","",IF(P3390="Resultado trading",S3390,0))</f>
        <v/>
      </c>
      <c r="X3390" s="52">
        <f>IF(OR(P3390="Gasto",P3390="Reembolso"),IF(M3390&lt;&gt;"",M3390,IFERROR(INDEX(catClasif,MATCH(D3390&amp;"|"&amp;E3390,catClave,0))&amp;"","Variable")),"")</f>
        <v/>
      </c>
      <c r="Y3390" s="52">
        <f>IF(P3390="","",IFERROR(INDEX(catGrupo,MATCH(D3390&amp;"|"&amp;E3390,catClave,0))&amp;"",""))</f>
        <v/>
      </c>
      <c r="Z3390" s="52">
        <f>IF(P3390="","",WEEKDAY(B3390,2))</f>
        <v/>
      </c>
      <c r="AA3390" s="52">
        <f>IF(P3390="","",IF(AND(P3390="Gasto",X3390="Variable",D3390&lt;&gt;catTrading,S3390&gt;0,S3390&lt;=Umbral),1,0))</f>
        <v/>
      </c>
      <c r="AB3390" s="52">
        <f>IF(OR(P3390="",Q3390=""),"",IFERROR(IF(INDEX(ctaVinc,MATCH(Q3390,ctaNombre,0))&amp;""&lt;&gt;"",INDEX(ctaVinc,MATCH(Q3390,ctaNombre,0))&amp;"",Q3390),Q3390))</f>
        <v/>
      </c>
      <c r="AC3390" s="52">
        <f>IF(OR(K3390="",AND(P3390&lt;&gt;"Transferencia",P3390&lt;&gt;"Pago tarjeta")),"",IFERROR(IF(INDEX(ctaVinc,MATCH(K3390,ctaNombre,0))&amp;""&lt;&gt;"",INDEX(ctaVinc,MATCH(K3390,ctaNombre,0))&amp;"",K3390),K3390))</f>
        <v/>
      </c>
      <c r="AD3390" s="52">
        <f>IF(AB3390="","",IFERROR(INDEX(ctaTipo,MATCH(AB3390,ctaNombre,0))&amp;"",""))</f>
        <v/>
      </c>
      <c r="AE3390" s="52">
        <f>IF(AC3390="","",IFERROR(INDEX(ctaTipo,MATCH(AC3390,ctaNombre,0))&amp;"",""))</f>
        <v/>
      </c>
      <c r="AF3390" s="53">
        <f>IF(OR(P3390="",AB3390=""),"",IF(OR(P3390="Gasto",P3390="Transferencia",P3390="Pago tarjeta"),-1,1)*IF(IFERROR(INDEX(ctaMoneda,MATCH(AB3390,ctaNombre,0))&amp;"","DOP")="USD",T3390,S3390))</f>
        <v/>
      </c>
      <c r="AG3390" s="53">
        <f>IF(AC3390="","",IF(IFERROR(INDEX(ctaMoneda,MATCH(AC3390,ctaNombre,0))&amp;"","DOP")="USD",T3390,S3390))</f>
        <v/>
      </c>
      <c r="AH3390" s="53">
        <f>IF(P3390="","",IF(AND(AD3390&lt;&gt;"",COUNTIFS(tcTipo,AD3390,tcLiq,"Sí")&gt;0),IF(OR(P3390="Gasto",P3390="Transferencia",P3390="Pago tarjeta"),-1,1)*S3390,0)+IF(AND(AE3390&lt;&gt;"",COUNTIFS(tcTipo,AE3390,tcLiq,"Sí")&gt;0),S3390,0))</f>
        <v/>
      </c>
      <c r="AI3390" s="52">
        <f>IF(OR(L3390="",P3390=""),"",IF(COUNTIFS(L$6:L3390,L3390,P$6:P3390,"?*")=1,MAX(AI$5:AI3389)+1,""))</f>
        <v/>
      </c>
    </row>
    <row r="3391">
      <c r="B3391" s="47" t="n"/>
      <c r="C3391" s="48" t="n"/>
      <c r="D3391" s="48" t="n"/>
      <c r="E3391" s="48" t="n"/>
      <c r="F3391" s="48" t="n"/>
      <c r="G3391" s="49" t="n"/>
      <c r="H3391" s="48" t="n"/>
      <c r="I3391" s="50" t="n"/>
      <c r="J3391" s="48" t="n"/>
      <c r="K3391" s="48" t="n"/>
      <c r="L3391" s="48" t="n"/>
      <c r="M3391" s="48" t="n"/>
      <c r="N3391" s="48" t="n"/>
      <c r="O3391" s="51">
        <f>IF(AND(B3391="",G3391="",C3391="",D3391="",J3391=""),"",IF(B3391="","⚠ Falta fecha",IF(G3391="","⚠ Falta monto",IF(Q3391="","⚠ Falta cuenta",IF(ISNA(MATCH(Q3391,ctaNombre,0)),"⚠ Cuenta no registrada",IF(AND(OR(P3391="Gasto",P3391="Reembolso"),D3391=""),"⚠ Falta categoría",IF(AND(D3391&lt;&gt;"",E3391&lt;&gt;"",ISNA(MATCH(D3391&amp;"|"&amp;E3391,catClave,0))),"⚠ Subcategoría no corresponde",IF(AND(OR(P3391="Transferencia",P3391="Pago tarjeta"),K3391=""),"⚠ Falta cuenta destino",IF(AND(K3391&lt;&gt;"",P3391&lt;&gt;"Transferencia",P3391&lt;&gt;"Pago tarjeta"),"⚠ Destino solo aplica a transferencias",IF(AND(K3391&lt;&gt;"",K3391=Q3391),"⚠ Origen igual a destino",IF(AND(K3391&lt;&gt;"",ISNA(MATCH(K3391,ctaNombre,0))),"⚠ Destino no registrado",IF(AND(P3391="Pago tarjeta",AE3391&lt;&gt;"Tarjeta de crédito"),"⚠ El destino debe ser tarjeta de crédito",IF(AND(P3391="Gasto",E3391="Depósitos y retiros"),"⚠ Usa tipo Transferencia",IF(AND(P3391="Resultado trading",AD3391&lt;&gt;"Cuenta de trading"),"⚠ Usa una cuenta de trading",IF(AND(G3391&lt;=0,P3391&lt;&gt;"Ajuste",P3391&lt;&gt;"Resultado trading"),"⚠ El monto debe ser positivo","✓")))))))))))))))</f>
        <v/>
      </c>
      <c r="P3391" s="52">
        <f>IF(OR(B3391="",G3391=""),"",IF(C3391="","Gasto",C3391))</f>
        <v/>
      </c>
      <c r="Q3391" s="52">
        <f>IF(P3391="","",IF(J3391&lt;&gt;"",J3391,CuentaPred&amp;""))</f>
        <v/>
      </c>
      <c r="R3391" s="52">
        <f>IF(P3391="","",IF(ISNUMBER(I3391),I3391,TasaUSD))</f>
        <v/>
      </c>
      <c r="S3391" s="53">
        <f>IF(P3391="","",IF(H3391="USD",G3391*R3391,G3391))</f>
        <v/>
      </c>
      <c r="T3391" s="53">
        <f>IF(P3391="","",IF(H3391="USD",G3391,IF(R3391&gt;0,G3391/R3391,0)))</f>
        <v/>
      </c>
      <c r="U3391" s="53">
        <f>IF(P3391="","",IF(P3391="Gasto",S3391,IF(P3391="Reembolso",-S3391,0)))</f>
        <v/>
      </c>
      <c r="V3391" s="53">
        <f>IF(P3391="","",IF(P3391="Ingreso",S3391,0))</f>
        <v/>
      </c>
      <c r="W3391" s="53">
        <f>IF(P3391="","",IF(P3391="Resultado trading",S3391,0))</f>
        <v/>
      </c>
      <c r="X3391" s="52">
        <f>IF(OR(P3391="Gasto",P3391="Reembolso"),IF(M3391&lt;&gt;"",M3391,IFERROR(INDEX(catClasif,MATCH(D3391&amp;"|"&amp;E3391,catClave,0))&amp;"","Variable")),"")</f>
        <v/>
      </c>
      <c r="Y3391" s="52">
        <f>IF(P3391="","",IFERROR(INDEX(catGrupo,MATCH(D3391&amp;"|"&amp;E3391,catClave,0))&amp;"",""))</f>
        <v/>
      </c>
      <c r="Z3391" s="52">
        <f>IF(P3391="","",WEEKDAY(B3391,2))</f>
        <v/>
      </c>
      <c r="AA3391" s="52">
        <f>IF(P3391="","",IF(AND(P3391="Gasto",X3391="Variable",D3391&lt;&gt;catTrading,S3391&gt;0,S3391&lt;=Umbral),1,0))</f>
        <v/>
      </c>
      <c r="AB3391" s="52">
        <f>IF(OR(P3391="",Q3391=""),"",IFERROR(IF(INDEX(ctaVinc,MATCH(Q3391,ctaNombre,0))&amp;""&lt;&gt;"",INDEX(ctaVinc,MATCH(Q3391,ctaNombre,0))&amp;"",Q3391),Q3391))</f>
        <v/>
      </c>
      <c r="AC3391" s="52">
        <f>IF(OR(K3391="",AND(P3391&lt;&gt;"Transferencia",P3391&lt;&gt;"Pago tarjeta")),"",IFERROR(IF(INDEX(ctaVinc,MATCH(K3391,ctaNombre,0))&amp;""&lt;&gt;"",INDEX(ctaVinc,MATCH(K3391,ctaNombre,0))&amp;"",K3391),K3391))</f>
        <v/>
      </c>
      <c r="AD3391" s="52">
        <f>IF(AB3391="","",IFERROR(INDEX(ctaTipo,MATCH(AB3391,ctaNombre,0))&amp;"",""))</f>
        <v/>
      </c>
      <c r="AE3391" s="52">
        <f>IF(AC3391="","",IFERROR(INDEX(ctaTipo,MATCH(AC3391,ctaNombre,0))&amp;"",""))</f>
        <v/>
      </c>
      <c r="AF3391" s="53">
        <f>IF(OR(P3391="",AB3391=""),"",IF(OR(P3391="Gasto",P3391="Transferencia",P3391="Pago tarjeta"),-1,1)*IF(IFERROR(INDEX(ctaMoneda,MATCH(AB3391,ctaNombre,0))&amp;"","DOP")="USD",T3391,S3391))</f>
        <v/>
      </c>
      <c r="AG3391" s="53">
        <f>IF(AC3391="","",IF(IFERROR(INDEX(ctaMoneda,MATCH(AC3391,ctaNombre,0))&amp;"","DOP")="USD",T3391,S3391))</f>
        <v/>
      </c>
      <c r="AH3391" s="53">
        <f>IF(P3391="","",IF(AND(AD3391&lt;&gt;"",COUNTIFS(tcTipo,AD3391,tcLiq,"Sí")&gt;0),IF(OR(P3391="Gasto",P3391="Transferencia",P3391="Pago tarjeta"),-1,1)*S3391,0)+IF(AND(AE3391&lt;&gt;"",COUNTIFS(tcTipo,AE3391,tcLiq,"Sí")&gt;0),S3391,0))</f>
        <v/>
      </c>
      <c r="AI3391" s="52">
        <f>IF(OR(L3391="",P3391=""),"",IF(COUNTIFS(L$6:L3391,L3391,P$6:P3391,"?*")=1,MAX(AI$5:AI3390)+1,""))</f>
        <v/>
      </c>
    </row>
    <row r="3392">
      <c r="B3392" s="47" t="n"/>
      <c r="C3392" s="48" t="n"/>
      <c r="D3392" s="48" t="n"/>
      <c r="E3392" s="48" t="n"/>
      <c r="F3392" s="48" t="n"/>
      <c r="G3392" s="49" t="n"/>
      <c r="H3392" s="48" t="n"/>
      <c r="I3392" s="50" t="n"/>
      <c r="J3392" s="48" t="n"/>
      <c r="K3392" s="48" t="n"/>
      <c r="L3392" s="48" t="n"/>
      <c r="M3392" s="48" t="n"/>
      <c r="N3392" s="48" t="n"/>
      <c r="O3392" s="51">
        <f>IF(AND(B3392="",G3392="",C3392="",D3392="",J3392=""),"",IF(B3392="","⚠ Falta fecha",IF(G3392="","⚠ Falta monto",IF(Q3392="","⚠ Falta cuenta",IF(ISNA(MATCH(Q3392,ctaNombre,0)),"⚠ Cuenta no registrada",IF(AND(OR(P3392="Gasto",P3392="Reembolso"),D3392=""),"⚠ Falta categoría",IF(AND(D3392&lt;&gt;"",E3392&lt;&gt;"",ISNA(MATCH(D3392&amp;"|"&amp;E3392,catClave,0))),"⚠ Subcategoría no corresponde",IF(AND(OR(P3392="Transferencia",P3392="Pago tarjeta"),K3392=""),"⚠ Falta cuenta destino",IF(AND(K3392&lt;&gt;"",P3392&lt;&gt;"Transferencia",P3392&lt;&gt;"Pago tarjeta"),"⚠ Destino solo aplica a transferencias",IF(AND(K3392&lt;&gt;"",K3392=Q3392),"⚠ Origen igual a destino",IF(AND(K3392&lt;&gt;"",ISNA(MATCH(K3392,ctaNombre,0))),"⚠ Destino no registrado",IF(AND(P3392="Pago tarjeta",AE3392&lt;&gt;"Tarjeta de crédito"),"⚠ El destino debe ser tarjeta de crédito",IF(AND(P3392="Gasto",E3392="Depósitos y retiros"),"⚠ Usa tipo Transferencia",IF(AND(P3392="Resultado trading",AD3392&lt;&gt;"Cuenta de trading"),"⚠ Usa una cuenta de trading",IF(AND(G3392&lt;=0,P3392&lt;&gt;"Ajuste",P3392&lt;&gt;"Resultado trading"),"⚠ El monto debe ser positivo","✓")))))))))))))))</f>
        <v/>
      </c>
      <c r="P3392" s="52">
        <f>IF(OR(B3392="",G3392=""),"",IF(C3392="","Gasto",C3392))</f>
        <v/>
      </c>
      <c r="Q3392" s="52">
        <f>IF(P3392="","",IF(J3392&lt;&gt;"",J3392,CuentaPred&amp;""))</f>
        <v/>
      </c>
      <c r="R3392" s="52">
        <f>IF(P3392="","",IF(ISNUMBER(I3392),I3392,TasaUSD))</f>
        <v/>
      </c>
      <c r="S3392" s="53">
        <f>IF(P3392="","",IF(H3392="USD",G3392*R3392,G3392))</f>
        <v/>
      </c>
      <c r="T3392" s="53">
        <f>IF(P3392="","",IF(H3392="USD",G3392,IF(R3392&gt;0,G3392/R3392,0)))</f>
        <v/>
      </c>
      <c r="U3392" s="53">
        <f>IF(P3392="","",IF(P3392="Gasto",S3392,IF(P3392="Reembolso",-S3392,0)))</f>
        <v/>
      </c>
      <c r="V3392" s="53">
        <f>IF(P3392="","",IF(P3392="Ingreso",S3392,0))</f>
        <v/>
      </c>
      <c r="W3392" s="53">
        <f>IF(P3392="","",IF(P3392="Resultado trading",S3392,0))</f>
        <v/>
      </c>
      <c r="X3392" s="52">
        <f>IF(OR(P3392="Gasto",P3392="Reembolso"),IF(M3392&lt;&gt;"",M3392,IFERROR(INDEX(catClasif,MATCH(D3392&amp;"|"&amp;E3392,catClave,0))&amp;"","Variable")),"")</f>
        <v/>
      </c>
      <c r="Y3392" s="52">
        <f>IF(P3392="","",IFERROR(INDEX(catGrupo,MATCH(D3392&amp;"|"&amp;E3392,catClave,0))&amp;"",""))</f>
        <v/>
      </c>
      <c r="Z3392" s="52">
        <f>IF(P3392="","",WEEKDAY(B3392,2))</f>
        <v/>
      </c>
      <c r="AA3392" s="52">
        <f>IF(P3392="","",IF(AND(P3392="Gasto",X3392="Variable",D3392&lt;&gt;catTrading,S3392&gt;0,S3392&lt;=Umbral),1,0))</f>
        <v/>
      </c>
      <c r="AB3392" s="52">
        <f>IF(OR(P3392="",Q3392=""),"",IFERROR(IF(INDEX(ctaVinc,MATCH(Q3392,ctaNombre,0))&amp;""&lt;&gt;"",INDEX(ctaVinc,MATCH(Q3392,ctaNombre,0))&amp;"",Q3392),Q3392))</f>
        <v/>
      </c>
      <c r="AC3392" s="52">
        <f>IF(OR(K3392="",AND(P3392&lt;&gt;"Transferencia",P3392&lt;&gt;"Pago tarjeta")),"",IFERROR(IF(INDEX(ctaVinc,MATCH(K3392,ctaNombre,0))&amp;""&lt;&gt;"",INDEX(ctaVinc,MATCH(K3392,ctaNombre,0))&amp;"",K3392),K3392))</f>
        <v/>
      </c>
      <c r="AD3392" s="52">
        <f>IF(AB3392="","",IFERROR(INDEX(ctaTipo,MATCH(AB3392,ctaNombre,0))&amp;"",""))</f>
        <v/>
      </c>
      <c r="AE3392" s="52">
        <f>IF(AC3392="","",IFERROR(INDEX(ctaTipo,MATCH(AC3392,ctaNombre,0))&amp;"",""))</f>
        <v/>
      </c>
      <c r="AF3392" s="53">
        <f>IF(OR(P3392="",AB3392=""),"",IF(OR(P3392="Gasto",P3392="Transferencia",P3392="Pago tarjeta"),-1,1)*IF(IFERROR(INDEX(ctaMoneda,MATCH(AB3392,ctaNombre,0))&amp;"","DOP")="USD",T3392,S3392))</f>
        <v/>
      </c>
      <c r="AG3392" s="53">
        <f>IF(AC3392="","",IF(IFERROR(INDEX(ctaMoneda,MATCH(AC3392,ctaNombre,0))&amp;"","DOP")="USD",T3392,S3392))</f>
        <v/>
      </c>
      <c r="AH3392" s="53">
        <f>IF(P3392="","",IF(AND(AD3392&lt;&gt;"",COUNTIFS(tcTipo,AD3392,tcLiq,"Sí")&gt;0),IF(OR(P3392="Gasto",P3392="Transferencia",P3392="Pago tarjeta"),-1,1)*S3392,0)+IF(AND(AE3392&lt;&gt;"",COUNTIFS(tcTipo,AE3392,tcLiq,"Sí")&gt;0),S3392,0))</f>
        <v/>
      </c>
      <c r="AI3392" s="52">
        <f>IF(OR(L3392="",P3392=""),"",IF(COUNTIFS(L$6:L3392,L3392,P$6:P3392,"?*")=1,MAX(AI$5:AI3391)+1,""))</f>
        <v/>
      </c>
    </row>
    <row r="3393">
      <c r="B3393" s="47" t="n"/>
      <c r="C3393" s="48" t="n"/>
      <c r="D3393" s="48" t="n"/>
      <c r="E3393" s="48" t="n"/>
      <c r="F3393" s="48" t="n"/>
      <c r="G3393" s="49" t="n"/>
      <c r="H3393" s="48" t="n"/>
      <c r="I3393" s="50" t="n"/>
      <c r="J3393" s="48" t="n"/>
      <c r="K3393" s="48" t="n"/>
      <c r="L3393" s="48" t="n"/>
      <c r="M3393" s="48" t="n"/>
      <c r="N3393" s="48" t="n"/>
      <c r="O3393" s="51">
        <f>IF(AND(B3393="",G3393="",C3393="",D3393="",J3393=""),"",IF(B3393="","⚠ Falta fecha",IF(G3393="","⚠ Falta monto",IF(Q3393="","⚠ Falta cuenta",IF(ISNA(MATCH(Q3393,ctaNombre,0)),"⚠ Cuenta no registrada",IF(AND(OR(P3393="Gasto",P3393="Reembolso"),D3393=""),"⚠ Falta categoría",IF(AND(D3393&lt;&gt;"",E3393&lt;&gt;"",ISNA(MATCH(D3393&amp;"|"&amp;E3393,catClave,0))),"⚠ Subcategoría no corresponde",IF(AND(OR(P3393="Transferencia",P3393="Pago tarjeta"),K3393=""),"⚠ Falta cuenta destino",IF(AND(K3393&lt;&gt;"",P3393&lt;&gt;"Transferencia",P3393&lt;&gt;"Pago tarjeta"),"⚠ Destino solo aplica a transferencias",IF(AND(K3393&lt;&gt;"",K3393=Q3393),"⚠ Origen igual a destino",IF(AND(K3393&lt;&gt;"",ISNA(MATCH(K3393,ctaNombre,0))),"⚠ Destino no registrado",IF(AND(P3393="Pago tarjeta",AE3393&lt;&gt;"Tarjeta de crédito"),"⚠ El destino debe ser tarjeta de crédito",IF(AND(P3393="Gasto",E3393="Depósitos y retiros"),"⚠ Usa tipo Transferencia",IF(AND(P3393="Resultado trading",AD3393&lt;&gt;"Cuenta de trading"),"⚠ Usa una cuenta de trading",IF(AND(G3393&lt;=0,P3393&lt;&gt;"Ajuste",P3393&lt;&gt;"Resultado trading"),"⚠ El monto debe ser positivo","✓")))))))))))))))</f>
        <v/>
      </c>
      <c r="P3393" s="52">
        <f>IF(OR(B3393="",G3393=""),"",IF(C3393="","Gasto",C3393))</f>
        <v/>
      </c>
      <c r="Q3393" s="52">
        <f>IF(P3393="","",IF(J3393&lt;&gt;"",J3393,CuentaPred&amp;""))</f>
        <v/>
      </c>
      <c r="R3393" s="52">
        <f>IF(P3393="","",IF(ISNUMBER(I3393),I3393,TasaUSD))</f>
        <v/>
      </c>
      <c r="S3393" s="53">
        <f>IF(P3393="","",IF(H3393="USD",G3393*R3393,G3393))</f>
        <v/>
      </c>
      <c r="T3393" s="53">
        <f>IF(P3393="","",IF(H3393="USD",G3393,IF(R3393&gt;0,G3393/R3393,0)))</f>
        <v/>
      </c>
      <c r="U3393" s="53">
        <f>IF(P3393="","",IF(P3393="Gasto",S3393,IF(P3393="Reembolso",-S3393,0)))</f>
        <v/>
      </c>
      <c r="V3393" s="53">
        <f>IF(P3393="","",IF(P3393="Ingreso",S3393,0))</f>
        <v/>
      </c>
      <c r="W3393" s="53">
        <f>IF(P3393="","",IF(P3393="Resultado trading",S3393,0))</f>
        <v/>
      </c>
      <c r="X3393" s="52">
        <f>IF(OR(P3393="Gasto",P3393="Reembolso"),IF(M3393&lt;&gt;"",M3393,IFERROR(INDEX(catClasif,MATCH(D3393&amp;"|"&amp;E3393,catClave,0))&amp;"","Variable")),"")</f>
        <v/>
      </c>
      <c r="Y3393" s="52">
        <f>IF(P3393="","",IFERROR(INDEX(catGrupo,MATCH(D3393&amp;"|"&amp;E3393,catClave,0))&amp;"",""))</f>
        <v/>
      </c>
      <c r="Z3393" s="52">
        <f>IF(P3393="","",WEEKDAY(B3393,2))</f>
        <v/>
      </c>
      <c r="AA3393" s="52">
        <f>IF(P3393="","",IF(AND(P3393="Gasto",X3393="Variable",D3393&lt;&gt;catTrading,S3393&gt;0,S3393&lt;=Umbral),1,0))</f>
        <v/>
      </c>
      <c r="AB3393" s="52">
        <f>IF(OR(P3393="",Q3393=""),"",IFERROR(IF(INDEX(ctaVinc,MATCH(Q3393,ctaNombre,0))&amp;""&lt;&gt;"",INDEX(ctaVinc,MATCH(Q3393,ctaNombre,0))&amp;"",Q3393),Q3393))</f>
        <v/>
      </c>
      <c r="AC3393" s="52">
        <f>IF(OR(K3393="",AND(P3393&lt;&gt;"Transferencia",P3393&lt;&gt;"Pago tarjeta")),"",IFERROR(IF(INDEX(ctaVinc,MATCH(K3393,ctaNombre,0))&amp;""&lt;&gt;"",INDEX(ctaVinc,MATCH(K3393,ctaNombre,0))&amp;"",K3393),K3393))</f>
        <v/>
      </c>
      <c r="AD3393" s="52">
        <f>IF(AB3393="","",IFERROR(INDEX(ctaTipo,MATCH(AB3393,ctaNombre,0))&amp;"",""))</f>
        <v/>
      </c>
      <c r="AE3393" s="52">
        <f>IF(AC3393="","",IFERROR(INDEX(ctaTipo,MATCH(AC3393,ctaNombre,0))&amp;"",""))</f>
        <v/>
      </c>
      <c r="AF3393" s="53">
        <f>IF(OR(P3393="",AB3393=""),"",IF(OR(P3393="Gasto",P3393="Transferencia",P3393="Pago tarjeta"),-1,1)*IF(IFERROR(INDEX(ctaMoneda,MATCH(AB3393,ctaNombre,0))&amp;"","DOP")="USD",T3393,S3393))</f>
        <v/>
      </c>
      <c r="AG3393" s="53">
        <f>IF(AC3393="","",IF(IFERROR(INDEX(ctaMoneda,MATCH(AC3393,ctaNombre,0))&amp;"","DOP")="USD",T3393,S3393))</f>
        <v/>
      </c>
      <c r="AH3393" s="53">
        <f>IF(P3393="","",IF(AND(AD3393&lt;&gt;"",COUNTIFS(tcTipo,AD3393,tcLiq,"Sí")&gt;0),IF(OR(P3393="Gasto",P3393="Transferencia",P3393="Pago tarjeta"),-1,1)*S3393,0)+IF(AND(AE3393&lt;&gt;"",COUNTIFS(tcTipo,AE3393,tcLiq,"Sí")&gt;0),S3393,0))</f>
        <v/>
      </c>
      <c r="AI3393" s="52">
        <f>IF(OR(L3393="",P3393=""),"",IF(COUNTIFS(L$6:L3393,L3393,P$6:P3393,"?*")=1,MAX(AI$5:AI3392)+1,""))</f>
        <v/>
      </c>
    </row>
    <row r="3394">
      <c r="B3394" s="47" t="n"/>
      <c r="C3394" s="48" t="n"/>
      <c r="D3394" s="48" t="n"/>
      <c r="E3394" s="48" t="n"/>
      <c r="F3394" s="48" t="n"/>
      <c r="G3394" s="49" t="n"/>
      <c r="H3394" s="48" t="n"/>
      <c r="I3394" s="50" t="n"/>
      <c r="J3394" s="48" t="n"/>
      <c r="K3394" s="48" t="n"/>
      <c r="L3394" s="48" t="n"/>
      <c r="M3394" s="48" t="n"/>
      <c r="N3394" s="48" t="n"/>
      <c r="O3394" s="51">
        <f>IF(AND(B3394="",G3394="",C3394="",D3394="",J3394=""),"",IF(B3394="","⚠ Falta fecha",IF(G3394="","⚠ Falta monto",IF(Q3394="","⚠ Falta cuenta",IF(ISNA(MATCH(Q3394,ctaNombre,0)),"⚠ Cuenta no registrada",IF(AND(OR(P3394="Gasto",P3394="Reembolso"),D3394=""),"⚠ Falta categoría",IF(AND(D3394&lt;&gt;"",E3394&lt;&gt;"",ISNA(MATCH(D3394&amp;"|"&amp;E3394,catClave,0))),"⚠ Subcategoría no corresponde",IF(AND(OR(P3394="Transferencia",P3394="Pago tarjeta"),K3394=""),"⚠ Falta cuenta destino",IF(AND(K3394&lt;&gt;"",P3394&lt;&gt;"Transferencia",P3394&lt;&gt;"Pago tarjeta"),"⚠ Destino solo aplica a transferencias",IF(AND(K3394&lt;&gt;"",K3394=Q3394),"⚠ Origen igual a destino",IF(AND(K3394&lt;&gt;"",ISNA(MATCH(K3394,ctaNombre,0))),"⚠ Destino no registrado",IF(AND(P3394="Pago tarjeta",AE3394&lt;&gt;"Tarjeta de crédito"),"⚠ El destino debe ser tarjeta de crédito",IF(AND(P3394="Gasto",E3394="Depósitos y retiros"),"⚠ Usa tipo Transferencia",IF(AND(P3394="Resultado trading",AD3394&lt;&gt;"Cuenta de trading"),"⚠ Usa una cuenta de trading",IF(AND(G3394&lt;=0,P3394&lt;&gt;"Ajuste",P3394&lt;&gt;"Resultado trading"),"⚠ El monto debe ser positivo","✓")))))))))))))))</f>
        <v/>
      </c>
      <c r="P3394" s="52">
        <f>IF(OR(B3394="",G3394=""),"",IF(C3394="","Gasto",C3394))</f>
        <v/>
      </c>
      <c r="Q3394" s="52">
        <f>IF(P3394="","",IF(J3394&lt;&gt;"",J3394,CuentaPred&amp;""))</f>
        <v/>
      </c>
      <c r="R3394" s="52">
        <f>IF(P3394="","",IF(ISNUMBER(I3394),I3394,TasaUSD))</f>
        <v/>
      </c>
      <c r="S3394" s="53">
        <f>IF(P3394="","",IF(H3394="USD",G3394*R3394,G3394))</f>
        <v/>
      </c>
      <c r="T3394" s="53">
        <f>IF(P3394="","",IF(H3394="USD",G3394,IF(R3394&gt;0,G3394/R3394,0)))</f>
        <v/>
      </c>
      <c r="U3394" s="53">
        <f>IF(P3394="","",IF(P3394="Gasto",S3394,IF(P3394="Reembolso",-S3394,0)))</f>
        <v/>
      </c>
      <c r="V3394" s="53">
        <f>IF(P3394="","",IF(P3394="Ingreso",S3394,0))</f>
        <v/>
      </c>
      <c r="W3394" s="53">
        <f>IF(P3394="","",IF(P3394="Resultado trading",S3394,0))</f>
        <v/>
      </c>
      <c r="X3394" s="52">
        <f>IF(OR(P3394="Gasto",P3394="Reembolso"),IF(M3394&lt;&gt;"",M3394,IFERROR(INDEX(catClasif,MATCH(D3394&amp;"|"&amp;E3394,catClave,0))&amp;"","Variable")),"")</f>
        <v/>
      </c>
      <c r="Y3394" s="52">
        <f>IF(P3394="","",IFERROR(INDEX(catGrupo,MATCH(D3394&amp;"|"&amp;E3394,catClave,0))&amp;"",""))</f>
        <v/>
      </c>
      <c r="Z3394" s="52">
        <f>IF(P3394="","",WEEKDAY(B3394,2))</f>
        <v/>
      </c>
      <c r="AA3394" s="52">
        <f>IF(P3394="","",IF(AND(P3394="Gasto",X3394="Variable",D3394&lt;&gt;catTrading,S3394&gt;0,S3394&lt;=Umbral),1,0))</f>
        <v/>
      </c>
      <c r="AB3394" s="52">
        <f>IF(OR(P3394="",Q3394=""),"",IFERROR(IF(INDEX(ctaVinc,MATCH(Q3394,ctaNombre,0))&amp;""&lt;&gt;"",INDEX(ctaVinc,MATCH(Q3394,ctaNombre,0))&amp;"",Q3394),Q3394))</f>
        <v/>
      </c>
      <c r="AC3394" s="52">
        <f>IF(OR(K3394="",AND(P3394&lt;&gt;"Transferencia",P3394&lt;&gt;"Pago tarjeta")),"",IFERROR(IF(INDEX(ctaVinc,MATCH(K3394,ctaNombre,0))&amp;""&lt;&gt;"",INDEX(ctaVinc,MATCH(K3394,ctaNombre,0))&amp;"",K3394),K3394))</f>
        <v/>
      </c>
      <c r="AD3394" s="52">
        <f>IF(AB3394="","",IFERROR(INDEX(ctaTipo,MATCH(AB3394,ctaNombre,0))&amp;"",""))</f>
        <v/>
      </c>
      <c r="AE3394" s="52">
        <f>IF(AC3394="","",IFERROR(INDEX(ctaTipo,MATCH(AC3394,ctaNombre,0))&amp;"",""))</f>
        <v/>
      </c>
      <c r="AF3394" s="53">
        <f>IF(OR(P3394="",AB3394=""),"",IF(OR(P3394="Gasto",P3394="Transferencia",P3394="Pago tarjeta"),-1,1)*IF(IFERROR(INDEX(ctaMoneda,MATCH(AB3394,ctaNombre,0))&amp;"","DOP")="USD",T3394,S3394))</f>
        <v/>
      </c>
      <c r="AG3394" s="53">
        <f>IF(AC3394="","",IF(IFERROR(INDEX(ctaMoneda,MATCH(AC3394,ctaNombre,0))&amp;"","DOP")="USD",T3394,S3394))</f>
        <v/>
      </c>
      <c r="AH3394" s="53">
        <f>IF(P3394="","",IF(AND(AD3394&lt;&gt;"",COUNTIFS(tcTipo,AD3394,tcLiq,"Sí")&gt;0),IF(OR(P3394="Gasto",P3394="Transferencia",P3394="Pago tarjeta"),-1,1)*S3394,0)+IF(AND(AE3394&lt;&gt;"",COUNTIFS(tcTipo,AE3394,tcLiq,"Sí")&gt;0),S3394,0))</f>
        <v/>
      </c>
      <c r="AI3394" s="52">
        <f>IF(OR(L3394="",P3394=""),"",IF(COUNTIFS(L$6:L3394,L3394,P$6:P3394,"?*")=1,MAX(AI$5:AI3393)+1,""))</f>
        <v/>
      </c>
    </row>
    <row r="3395">
      <c r="B3395" s="47" t="n"/>
      <c r="C3395" s="48" t="n"/>
      <c r="D3395" s="48" t="n"/>
      <c r="E3395" s="48" t="n"/>
      <c r="F3395" s="48" t="n"/>
      <c r="G3395" s="49" t="n"/>
      <c r="H3395" s="48" t="n"/>
      <c r="I3395" s="50" t="n"/>
      <c r="J3395" s="48" t="n"/>
      <c r="K3395" s="48" t="n"/>
      <c r="L3395" s="48" t="n"/>
      <c r="M3395" s="48" t="n"/>
      <c r="N3395" s="48" t="n"/>
      <c r="O3395" s="51">
        <f>IF(AND(B3395="",G3395="",C3395="",D3395="",J3395=""),"",IF(B3395="","⚠ Falta fecha",IF(G3395="","⚠ Falta monto",IF(Q3395="","⚠ Falta cuenta",IF(ISNA(MATCH(Q3395,ctaNombre,0)),"⚠ Cuenta no registrada",IF(AND(OR(P3395="Gasto",P3395="Reembolso"),D3395=""),"⚠ Falta categoría",IF(AND(D3395&lt;&gt;"",E3395&lt;&gt;"",ISNA(MATCH(D3395&amp;"|"&amp;E3395,catClave,0))),"⚠ Subcategoría no corresponde",IF(AND(OR(P3395="Transferencia",P3395="Pago tarjeta"),K3395=""),"⚠ Falta cuenta destino",IF(AND(K3395&lt;&gt;"",P3395&lt;&gt;"Transferencia",P3395&lt;&gt;"Pago tarjeta"),"⚠ Destino solo aplica a transferencias",IF(AND(K3395&lt;&gt;"",K3395=Q3395),"⚠ Origen igual a destino",IF(AND(K3395&lt;&gt;"",ISNA(MATCH(K3395,ctaNombre,0))),"⚠ Destino no registrado",IF(AND(P3395="Pago tarjeta",AE3395&lt;&gt;"Tarjeta de crédito"),"⚠ El destino debe ser tarjeta de crédito",IF(AND(P3395="Gasto",E3395="Depósitos y retiros"),"⚠ Usa tipo Transferencia",IF(AND(P3395="Resultado trading",AD3395&lt;&gt;"Cuenta de trading"),"⚠ Usa una cuenta de trading",IF(AND(G3395&lt;=0,P3395&lt;&gt;"Ajuste",P3395&lt;&gt;"Resultado trading"),"⚠ El monto debe ser positivo","✓")))))))))))))))</f>
        <v/>
      </c>
      <c r="P3395" s="52">
        <f>IF(OR(B3395="",G3395=""),"",IF(C3395="","Gasto",C3395))</f>
        <v/>
      </c>
      <c r="Q3395" s="52">
        <f>IF(P3395="","",IF(J3395&lt;&gt;"",J3395,CuentaPred&amp;""))</f>
        <v/>
      </c>
      <c r="R3395" s="52">
        <f>IF(P3395="","",IF(ISNUMBER(I3395),I3395,TasaUSD))</f>
        <v/>
      </c>
      <c r="S3395" s="53">
        <f>IF(P3395="","",IF(H3395="USD",G3395*R3395,G3395))</f>
        <v/>
      </c>
      <c r="T3395" s="53">
        <f>IF(P3395="","",IF(H3395="USD",G3395,IF(R3395&gt;0,G3395/R3395,0)))</f>
        <v/>
      </c>
      <c r="U3395" s="53">
        <f>IF(P3395="","",IF(P3395="Gasto",S3395,IF(P3395="Reembolso",-S3395,0)))</f>
        <v/>
      </c>
      <c r="V3395" s="53">
        <f>IF(P3395="","",IF(P3395="Ingreso",S3395,0))</f>
        <v/>
      </c>
      <c r="W3395" s="53">
        <f>IF(P3395="","",IF(P3395="Resultado trading",S3395,0))</f>
        <v/>
      </c>
      <c r="X3395" s="52">
        <f>IF(OR(P3395="Gasto",P3395="Reembolso"),IF(M3395&lt;&gt;"",M3395,IFERROR(INDEX(catClasif,MATCH(D3395&amp;"|"&amp;E3395,catClave,0))&amp;"","Variable")),"")</f>
        <v/>
      </c>
      <c r="Y3395" s="52">
        <f>IF(P3395="","",IFERROR(INDEX(catGrupo,MATCH(D3395&amp;"|"&amp;E3395,catClave,0))&amp;"",""))</f>
        <v/>
      </c>
      <c r="Z3395" s="52">
        <f>IF(P3395="","",WEEKDAY(B3395,2))</f>
        <v/>
      </c>
      <c r="AA3395" s="52">
        <f>IF(P3395="","",IF(AND(P3395="Gasto",X3395="Variable",D3395&lt;&gt;catTrading,S3395&gt;0,S3395&lt;=Umbral),1,0))</f>
        <v/>
      </c>
      <c r="AB3395" s="52">
        <f>IF(OR(P3395="",Q3395=""),"",IFERROR(IF(INDEX(ctaVinc,MATCH(Q3395,ctaNombre,0))&amp;""&lt;&gt;"",INDEX(ctaVinc,MATCH(Q3395,ctaNombre,0))&amp;"",Q3395),Q3395))</f>
        <v/>
      </c>
      <c r="AC3395" s="52">
        <f>IF(OR(K3395="",AND(P3395&lt;&gt;"Transferencia",P3395&lt;&gt;"Pago tarjeta")),"",IFERROR(IF(INDEX(ctaVinc,MATCH(K3395,ctaNombre,0))&amp;""&lt;&gt;"",INDEX(ctaVinc,MATCH(K3395,ctaNombre,0))&amp;"",K3395),K3395))</f>
        <v/>
      </c>
      <c r="AD3395" s="52">
        <f>IF(AB3395="","",IFERROR(INDEX(ctaTipo,MATCH(AB3395,ctaNombre,0))&amp;"",""))</f>
        <v/>
      </c>
      <c r="AE3395" s="52">
        <f>IF(AC3395="","",IFERROR(INDEX(ctaTipo,MATCH(AC3395,ctaNombre,0))&amp;"",""))</f>
        <v/>
      </c>
      <c r="AF3395" s="53">
        <f>IF(OR(P3395="",AB3395=""),"",IF(OR(P3395="Gasto",P3395="Transferencia",P3395="Pago tarjeta"),-1,1)*IF(IFERROR(INDEX(ctaMoneda,MATCH(AB3395,ctaNombre,0))&amp;"","DOP")="USD",T3395,S3395))</f>
        <v/>
      </c>
      <c r="AG3395" s="53">
        <f>IF(AC3395="","",IF(IFERROR(INDEX(ctaMoneda,MATCH(AC3395,ctaNombre,0))&amp;"","DOP")="USD",T3395,S3395))</f>
        <v/>
      </c>
      <c r="AH3395" s="53">
        <f>IF(P3395="","",IF(AND(AD3395&lt;&gt;"",COUNTIFS(tcTipo,AD3395,tcLiq,"Sí")&gt;0),IF(OR(P3395="Gasto",P3395="Transferencia",P3395="Pago tarjeta"),-1,1)*S3395,0)+IF(AND(AE3395&lt;&gt;"",COUNTIFS(tcTipo,AE3395,tcLiq,"Sí")&gt;0),S3395,0))</f>
        <v/>
      </c>
      <c r="AI3395" s="52">
        <f>IF(OR(L3395="",P3395=""),"",IF(COUNTIFS(L$6:L3395,L3395,P$6:P3395,"?*")=1,MAX(AI$5:AI3394)+1,""))</f>
        <v/>
      </c>
    </row>
    <row r="3396">
      <c r="B3396" s="47" t="n"/>
      <c r="C3396" s="48" t="n"/>
      <c r="D3396" s="48" t="n"/>
      <c r="E3396" s="48" t="n"/>
      <c r="F3396" s="48" t="n"/>
      <c r="G3396" s="49" t="n"/>
      <c r="H3396" s="48" t="n"/>
      <c r="I3396" s="50" t="n"/>
      <c r="J3396" s="48" t="n"/>
      <c r="K3396" s="48" t="n"/>
      <c r="L3396" s="48" t="n"/>
      <c r="M3396" s="48" t="n"/>
      <c r="N3396" s="48" t="n"/>
      <c r="O3396" s="51">
        <f>IF(AND(B3396="",G3396="",C3396="",D3396="",J3396=""),"",IF(B3396="","⚠ Falta fecha",IF(G3396="","⚠ Falta monto",IF(Q3396="","⚠ Falta cuenta",IF(ISNA(MATCH(Q3396,ctaNombre,0)),"⚠ Cuenta no registrada",IF(AND(OR(P3396="Gasto",P3396="Reembolso"),D3396=""),"⚠ Falta categoría",IF(AND(D3396&lt;&gt;"",E3396&lt;&gt;"",ISNA(MATCH(D3396&amp;"|"&amp;E3396,catClave,0))),"⚠ Subcategoría no corresponde",IF(AND(OR(P3396="Transferencia",P3396="Pago tarjeta"),K3396=""),"⚠ Falta cuenta destino",IF(AND(K3396&lt;&gt;"",P3396&lt;&gt;"Transferencia",P3396&lt;&gt;"Pago tarjeta"),"⚠ Destino solo aplica a transferencias",IF(AND(K3396&lt;&gt;"",K3396=Q3396),"⚠ Origen igual a destino",IF(AND(K3396&lt;&gt;"",ISNA(MATCH(K3396,ctaNombre,0))),"⚠ Destino no registrado",IF(AND(P3396="Pago tarjeta",AE3396&lt;&gt;"Tarjeta de crédito"),"⚠ El destino debe ser tarjeta de crédito",IF(AND(P3396="Gasto",E3396="Depósitos y retiros"),"⚠ Usa tipo Transferencia",IF(AND(P3396="Resultado trading",AD3396&lt;&gt;"Cuenta de trading"),"⚠ Usa una cuenta de trading",IF(AND(G3396&lt;=0,P3396&lt;&gt;"Ajuste",P3396&lt;&gt;"Resultado trading"),"⚠ El monto debe ser positivo","✓")))))))))))))))</f>
        <v/>
      </c>
      <c r="P3396" s="52">
        <f>IF(OR(B3396="",G3396=""),"",IF(C3396="","Gasto",C3396))</f>
        <v/>
      </c>
      <c r="Q3396" s="52">
        <f>IF(P3396="","",IF(J3396&lt;&gt;"",J3396,CuentaPred&amp;""))</f>
        <v/>
      </c>
      <c r="R3396" s="52">
        <f>IF(P3396="","",IF(ISNUMBER(I3396),I3396,TasaUSD))</f>
        <v/>
      </c>
      <c r="S3396" s="53">
        <f>IF(P3396="","",IF(H3396="USD",G3396*R3396,G3396))</f>
        <v/>
      </c>
      <c r="T3396" s="53">
        <f>IF(P3396="","",IF(H3396="USD",G3396,IF(R3396&gt;0,G3396/R3396,0)))</f>
        <v/>
      </c>
      <c r="U3396" s="53">
        <f>IF(P3396="","",IF(P3396="Gasto",S3396,IF(P3396="Reembolso",-S3396,0)))</f>
        <v/>
      </c>
      <c r="V3396" s="53">
        <f>IF(P3396="","",IF(P3396="Ingreso",S3396,0))</f>
        <v/>
      </c>
      <c r="W3396" s="53">
        <f>IF(P3396="","",IF(P3396="Resultado trading",S3396,0))</f>
        <v/>
      </c>
      <c r="X3396" s="52">
        <f>IF(OR(P3396="Gasto",P3396="Reembolso"),IF(M3396&lt;&gt;"",M3396,IFERROR(INDEX(catClasif,MATCH(D3396&amp;"|"&amp;E3396,catClave,0))&amp;"","Variable")),"")</f>
        <v/>
      </c>
      <c r="Y3396" s="52">
        <f>IF(P3396="","",IFERROR(INDEX(catGrupo,MATCH(D3396&amp;"|"&amp;E3396,catClave,0))&amp;"",""))</f>
        <v/>
      </c>
      <c r="Z3396" s="52">
        <f>IF(P3396="","",WEEKDAY(B3396,2))</f>
        <v/>
      </c>
      <c r="AA3396" s="52">
        <f>IF(P3396="","",IF(AND(P3396="Gasto",X3396="Variable",D3396&lt;&gt;catTrading,S3396&gt;0,S3396&lt;=Umbral),1,0))</f>
        <v/>
      </c>
      <c r="AB3396" s="52">
        <f>IF(OR(P3396="",Q3396=""),"",IFERROR(IF(INDEX(ctaVinc,MATCH(Q3396,ctaNombre,0))&amp;""&lt;&gt;"",INDEX(ctaVinc,MATCH(Q3396,ctaNombre,0))&amp;"",Q3396),Q3396))</f>
        <v/>
      </c>
      <c r="AC3396" s="52">
        <f>IF(OR(K3396="",AND(P3396&lt;&gt;"Transferencia",P3396&lt;&gt;"Pago tarjeta")),"",IFERROR(IF(INDEX(ctaVinc,MATCH(K3396,ctaNombre,0))&amp;""&lt;&gt;"",INDEX(ctaVinc,MATCH(K3396,ctaNombre,0))&amp;"",K3396),K3396))</f>
        <v/>
      </c>
      <c r="AD3396" s="52">
        <f>IF(AB3396="","",IFERROR(INDEX(ctaTipo,MATCH(AB3396,ctaNombre,0))&amp;"",""))</f>
        <v/>
      </c>
      <c r="AE3396" s="52">
        <f>IF(AC3396="","",IFERROR(INDEX(ctaTipo,MATCH(AC3396,ctaNombre,0))&amp;"",""))</f>
        <v/>
      </c>
      <c r="AF3396" s="53">
        <f>IF(OR(P3396="",AB3396=""),"",IF(OR(P3396="Gasto",P3396="Transferencia",P3396="Pago tarjeta"),-1,1)*IF(IFERROR(INDEX(ctaMoneda,MATCH(AB3396,ctaNombre,0))&amp;"","DOP")="USD",T3396,S3396))</f>
        <v/>
      </c>
      <c r="AG3396" s="53">
        <f>IF(AC3396="","",IF(IFERROR(INDEX(ctaMoneda,MATCH(AC3396,ctaNombre,0))&amp;"","DOP")="USD",T3396,S3396))</f>
        <v/>
      </c>
      <c r="AH3396" s="53">
        <f>IF(P3396="","",IF(AND(AD3396&lt;&gt;"",COUNTIFS(tcTipo,AD3396,tcLiq,"Sí")&gt;0),IF(OR(P3396="Gasto",P3396="Transferencia",P3396="Pago tarjeta"),-1,1)*S3396,0)+IF(AND(AE3396&lt;&gt;"",COUNTIFS(tcTipo,AE3396,tcLiq,"Sí")&gt;0),S3396,0))</f>
        <v/>
      </c>
      <c r="AI3396" s="52">
        <f>IF(OR(L3396="",P3396=""),"",IF(COUNTIFS(L$6:L3396,L3396,P$6:P3396,"?*")=1,MAX(AI$5:AI3395)+1,""))</f>
        <v/>
      </c>
    </row>
    <row r="3397">
      <c r="B3397" s="47" t="n"/>
      <c r="C3397" s="48" t="n"/>
      <c r="D3397" s="48" t="n"/>
      <c r="E3397" s="48" t="n"/>
      <c r="F3397" s="48" t="n"/>
      <c r="G3397" s="49" t="n"/>
      <c r="H3397" s="48" t="n"/>
      <c r="I3397" s="50" t="n"/>
      <c r="J3397" s="48" t="n"/>
      <c r="K3397" s="48" t="n"/>
      <c r="L3397" s="48" t="n"/>
      <c r="M3397" s="48" t="n"/>
      <c r="N3397" s="48" t="n"/>
      <c r="O3397" s="51">
        <f>IF(AND(B3397="",G3397="",C3397="",D3397="",J3397=""),"",IF(B3397="","⚠ Falta fecha",IF(G3397="","⚠ Falta monto",IF(Q3397="","⚠ Falta cuenta",IF(ISNA(MATCH(Q3397,ctaNombre,0)),"⚠ Cuenta no registrada",IF(AND(OR(P3397="Gasto",P3397="Reembolso"),D3397=""),"⚠ Falta categoría",IF(AND(D3397&lt;&gt;"",E3397&lt;&gt;"",ISNA(MATCH(D3397&amp;"|"&amp;E3397,catClave,0))),"⚠ Subcategoría no corresponde",IF(AND(OR(P3397="Transferencia",P3397="Pago tarjeta"),K3397=""),"⚠ Falta cuenta destino",IF(AND(K3397&lt;&gt;"",P3397&lt;&gt;"Transferencia",P3397&lt;&gt;"Pago tarjeta"),"⚠ Destino solo aplica a transferencias",IF(AND(K3397&lt;&gt;"",K3397=Q3397),"⚠ Origen igual a destino",IF(AND(K3397&lt;&gt;"",ISNA(MATCH(K3397,ctaNombre,0))),"⚠ Destino no registrado",IF(AND(P3397="Pago tarjeta",AE3397&lt;&gt;"Tarjeta de crédito"),"⚠ El destino debe ser tarjeta de crédito",IF(AND(P3397="Gasto",E3397="Depósitos y retiros"),"⚠ Usa tipo Transferencia",IF(AND(P3397="Resultado trading",AD3397&lt;&gt;"Cuenta de trading"),"⚠ Usa una cuenta de trading",IF(AND(G3397&lt;=0,P3397&lt;&gt;"Ajuste",P3397&lt;&gt;"Resultado trading"),"⚠ El monto debe ser positivo","✓")))))))))))))))</f>
        <v/>
      </c>
      <c r="P3397" s="52">
        <f>IF(OR(B3397="",G3397=""),"",IF(C3397="","Gasto",C3397))</f>
        <v/>
      </c>
      <c r="Q3397" s="52">
        <f>IF(P3397="","",IF(J3397&lt;&gt;"",J3397,CuentaPred&amp;""))</f>
        <v/>
      </c>
      <c r="R3397" s="52">
        <f>IF(P3397="","",IF(ISNUMBER(I3397),I3397,TasaUSD))</f>
        <v/>
      </c>
      <c r="S3397" s="53">
        <f>IF(P3397="","",IF(H3397="USD",G3397*R3397,G3397))</f>
        <v/>
      </c>
      <c r="T3397" s="53">
        <f>IF(P3397="","",IF(H3397="USD",G3397,IF(R3397&gt;0,G3397/R3397,0)))</f>
        <v/>
      </c>
      <c r="U3397" s="53">
        <f>IF(P3397="","",IF(P3397="Gasto",S3397,IF(P3397="Reembolso",-S3397,0)))</f>
        <v/>
      </c>
      <c r="V3397" s="53">
        <f>IF(P3397="","",IF(P3397="Ingreso",S3397,0))</f>
        <v/>
      </c>
      <c r="W3397" s="53">
        <f>IF(P3397="","",IF(P3397="Resultado trading",S3397,0))</f>
        <v/>
      </c>
      <c r="X3397" s="52">
        <f>IF(OR(P3397="Gasto",P3397="Reembolso"),IF(M3397&lt;&gt;"",M3397,IFERROR(INDEX(catClasif,MATCH(D3397&amp;"|"&amp;E3397,catClave,0))&amp;"","Variable")),"")</f>
        <v/>
      </c>
      <c r="Y3397" s="52">
        <f>IF(P3397="","",IFERROR(INDEX(catGrupo,MATCH(D3397&amp;"|"&amp;E3397,catClave,0))&amp;"",""))</f>
        <v/>
      </c>
      <c r="Z3397" s="52">
        <f>IF(P3397="","",WEEKDAY(B3397,2))</f>
        <v/>
      </c>
      <c r="AA3397" s="52">
        <f>IF(P3397="","",IF(AND(P3397="Gasto",X3397="Variable",D3397&lt;&gt;catTrading,S3397&gt;0,S3397&lt;=Umbral),1,0))</f>
        <v/>
      </c>
      <c r="AB3397" s="52">
        <f>IF(OR(P3397="",Q3397=""),"",IFERROR(IF(INDEX(ctaVinc,MATCH(Q3397,ctaNombre,0))&amp;""&lt;&gt;"",INDEX(ctaVinc,MATCH(Q3397,ctaNombre,0))&amp;"",Q3397),Q3397))</f>
        <v/>
      </c>
      <c r="AC3397" s="52">
        <f>IF(OR(K3397="",AND(P3397&lt;&gt;"Transferencia",P3397&lt;&gt;"Pago tarjeta")),"",IFERROR(IF(INDEX(ctaVinc,MATCH(K3397,ctaNombre,0))&amp;""&lt;&gt;"",INDEX(ctaVinc,MATCH(K3397,ctaNombre,0))&amp;"",K3397),K3397))</f>
        <v/>
      </c>
      <c r="AD3397" s="52">
        <f>IF(AB3397="","",IFERROR(INDEX(ctaTipo,MATCH(AB3397,ctaNombre,0))&amp;"",""))</f>
        <v/>
      </c>
      <c r="AE3397" s="52">
        <f>IF(AC3397="","",IFERROR(INDEX(ctaTipo,MATCH(AC3397,ctaNombre,0))&amp;"",""))</f>
        <v/>
      </c>
      <c r="AF3397" s="53">
        <f>IF(OR(P3397="",AB3397=""),"",IF(OR(P3397="Gasto",P3397="Transferencia",P3397="Pago tarjeta"),-1,1)*IF(IFERROR(INDEX(ctaMoneda,MATCH(AB3397,ctaNombre,0))&amp;"","DOP")="USD",T3397,S3397))</f>
        <v/>
      </c>
      <c r="AG3397" s="53">
        <f>IF(AC3397="","",IF(IFERROR(INDEX(ctaMoneda,MATCH(AC3397,ctaNombre,0))&amp;"","DOP")="USD",T3397,S3397))</f>
        <v/>
      </c>
      <c r="AH3397" s="53">
        <f>IF(P3397="","",IF(AND(AD3397&lt;&gt;"",COUNTIFS(tcTipo,AD3397,tcLiq,"Sí")&gt;0),IF(OR(P3397="Gasto",P3397="Transferencia",P3397="Pago tarjeta"),-1,1)*S3397,0)+IF(AND(AE3397&lt;&gt;"",COUNTIFS(tcTipo,AE3397,tcLiq,"Sí")&gt;0),S3397,0))</f>
        <v/>
      </c>
      <c r="AI3397" s="52">
        <f>IF(OR(L3397="",P3397=""),"",IF(COUNTIFS(L$6:L3397,L3397,P$6:P3397,"?*")=1,MAX(AI$5:AI3396)+1,""))</f>
        <v/>
      </c>
    </row>
    <row r="3398">
      <c r="B3398" s="47" t="n"/>
      <c r="C3398" s="48" t="n"/>
      <c r="D3398" s="48" t="n"/>
      <c r="E3398" s="48" t="n"/>
      <c r="F3398" s="48" t="n"/>
      <c r="G3398" s="49" t="n"/>
      <c r="H3398" s="48" t="n"/>
      <c r="I3398" s="50" t="n"/>
      <c r="J3398" s="48" t="n"/>
      <c r="K3398" s="48" t="n"/>
      <c r="L3398" s="48" t="n"/>
      <c r="M3398" s="48" t="n"/>
      <c r="N3398" s="48" t="n"/>
      <c r="O3398" s="51">
        <f>IF(AND(B3398="",G3398="",C3398="",D3398="",J3398=""),"",IF(B3398="","⚠ Falta fecha",IF(G3398="","⚠ Falta monto",IF(Q3398="","⚠ Falta cuenta",IF(ISNA(MATCH(Q3398,ctaNombre,0)),"⚠ Cuenta no registrada",IF(AND(OR(P3398="Gasto",P3398="Reembolso"),D3398=""),"⚠ Falta categoría",IF(AND(D3398&lt;&gt;"",E3398&lt;&gt;"",ISNA(MATCH(D3398&amp;"|"&amp;E3398,catClave,0))),"⚠ Subcategoría no corresponde",IF(AND(OR(P3398="Transferencia",P3398="Pago tarjeta"),K3398=""),"⚠ Falta cuenta destino",IF(AND(K3398&lt;&gt;"",P3398&lt;&gt;"Transferencia",P3398&lt;&gt;"Pago tarjeta"),"⚠ Destino solo aplica a transferencias",IF(AND(K3398&lt;&gt;"",K3398=Q3398),"⚠ Origen igual a destino",IF(AND(K3398&lt;&gt;"",ISNA(MATCH(K3398,ctaNombre,0))),"⚠ Destino no registrado",IF(AND(P3398="Pago tarjeta",AE3398&lt;&gt;"Tarjeta de crédito"),"⚠ El destino debe ser tarjeta de crédito",IF(AND(P3398="Gasto",E3398="Depósitos y retiros"),"⚠ Usa tipo Transferencia",IF(AND(P3398="Resultado trading",AD3398&lt;&gt;"Cuenta de trading"),"⚠ Usa una cuenta de trading",IF(AND(G3398&lt;=0,P3398&lt;&gt;"Ajuste",P3398&lt;&gt;"Resultado trading"),"⚠ El monto debe ser positivo","✓")))))))))))))))</f>
        <v/>
      </c>
      <c r="P3398" s="52">
        <f>IF(OR(B3398="",G3398=""),"",IF(C3398="","Gasto",C3398))</f>
        <v/>
      </c>
      <c r="Q3398" s="52">
        <f>IF(P3398="","",IF(J3398&lt;&gt;"",J3398,CuentaPred&amp;""))</f>
        <v/>
      </c>
      <c r="R3398" s="52">
        <f>IF(P3398="","",IF(ISNUMBER(I3398),I3398,TasaUSD))</f>
        <v/>
      </c>
      <c r="S3398" s="53">
        <f>IF(P3398="","",IF(H3398="USD",G3398*R3398,G3398))</f>
        <v/>
      </c>
      <c r="T3398" s="53">
        <f>IF(P3398="","",IF(H3398="USD",G3398,IF(R3398&gt;0,G3398/R3398,0)))</f>
        <v/>
      </c>
      <c r="U3398" s="53">
        <f>IF(P3398="","",IF(P3398="Gasto",S3398,IF(P3398="Reembolso",-S3398,0)))</f>
        <v/>
      </c>
      <c r="V3398" s="53">
        <f>IF(P3398="","",IF(P3398="Ingreso",S3398,0))</f>
        <v/>
      </c>
      <c r="W3398" s="53">
        <f>IF(P3398="","",IF(P3398="Resultado trading",S3398,0))</f>
        <v/>
      </c>
      <c r="X3398" s="52">
        <f>IF(OR(P3398="Gasto",P3398="Reembolso"),IF(M3398&lt;&gt;"",M3398,IFERROR(INDEX(catClasif,MATCH(D3398&amp;"|"&amp;E3398,catClave,0))&amp;"","Variable")),"")</f>
        <v/>
      </c>
      <c r="Y3398" s="52">
        <f>IF(P3398="","",IFERROR(INDEX(catGrupo,MATCH(D3398&amp;"|"&amp;E3398,catClave,0))&amp;"",""))</f>
        <v/>
      </c>
      <c r="Z3398" s="52">
        <f>IF(P3398="","",WEEKDAY(B3398,2))</f>
        <v/>
      </c>
      <c r="AA3398" s="52">
        <f>IF(P3398="","",IF(AND(P3398="Gasto",X3398="Variable",D3398&lt;&gt;catTrading,S3398&gt;0,S3398&lt;=Umbral),1,0))</f>
        <v/>
      </c>
      <c r="AB3398" s="52">
        <f>IF(OR(P3398="",Q3398=""),"",IFERROR(IF(INDEX(ctaVinc,MATCH(Q3398,ctaNombre,0))&amp;""&lt;&gt;"",INDEX(ctaVinc,MATCH(Q3398,ctaNombre,0))&amp;"",Q3398),Q3398))</f>
        <v/>
      </c>
      <c r="AC3398" s="52">
        <f>IF(OR(K3398="",AND(P3398&lt;&gt;"Transferencia",P3398&lt;&gt;"Pago tarjeta")),"",IFERROR(IF(INDEX(ctaVinc,MATCH(K3398,ctaNombre,0))&amp;""&lt;&gt;"",INDEX(ctaVinc,MATCH(K3398,ctaNombre,0))&amp;"",K3398),K3398))</f>
        <v/>
      </c>
      <c r="AD3398" s="52">
        <f>IF(AB3398="","",IFERROR(INDEX(ctaTipo,MATCH(AB3398,ctaNombre,0))&amp;"",""))</f>
        <v/>
      </c>
      <c r="AE3398" s="52">
        <f>IF(AC3398="","",IFERROR(INDEX(ctaTipo,MATCH(AC3398,ctaNombre,0))&amp;"",""))</f>
        <v/>
      </c>
      <c r="AF3398" s="53">
        <f>IF(OR(P3398="",AB3398=""),"",IF(OR(P3398="Gasto",P3398="Transferencia",P3398="Pago tarjeta"),-1,1)*IF(IFERROR(INDEX(ctaMoneda,MATCH(AB3398,ctaNombre,0))&amp;"","DOP")="USD",T3398,S3398))</f>
        <v/>
      </c>
      <c r="AG3398" s="53">
        <f>IF(AC3398="","",IF(IFERROR(INDEX(ctaMoneda,MATCH(AC3398,ctaNombre,0))&amp;"","DOP")="USD",T3398,S3398))</f>
        <v/>
      </c>
      <c r="AH3398" s="53">
        <f>IF(P3398="","",IF(AND(AD3398&lt;&gt;"",COUNTIFS(tcTipo,AD3398,tcLiq,"Sí")&gt;0),IF(OR(P3398="Gasto",P3398="Transferencia",P3398="Pago tarjeta"),-1,1)*S3398,0)+IF(AND(AE3398&lt;&gt;"",COUNTIFS(tcTipo,AE3398,tcLiq,"Sí")&gt;0),S3398,0))</f>
        <v/>
      </c>
      <c r="AI3398" s="52">
        <f>IF(OR(L3398="",P3398=""),"",IF(COUNTIFS(L$6:L3398,L3398,P$6:P3398,"?*")=1,MAX(AI$5:AI3397)+1,""))</f>
        <v/>
      </c>
    </row>
    <row r="3399">
      <c r="B3399" s="47" t="n"/>
      <c r="C3399" s="48" t="n"/>
      <c r="D3399" s="48" t="n"/>
      <c r="E3399" s="48" t="n"/>
      <c r="F3399" s="48" t="n"/>
      <c r="G3399" s="49" t="n"/>
      <c r="H3399" s="48" t="n"/>
      <c r="I3399" s="50" t="n"/>
      <c r="J3399" s="48" t="n"/>
      <c r="K3399" s="48" t="n"/>
      <c r="L3399" s="48" t="n"/>
      <c r="M3399" s="48" t="n"/>
      <c r="N3399" s="48" t="n"/>
      <c r="O3399" s="51">
        <f>IF(AND(B3399="",G3399="",C3399="",D3399="",J3399=""),"",IF(B3399="","⚠ Falta fecha",IF(G3399="","⚠ Falta monto",IF(Q3399="","⚠ Falta cuenta",IF(ISNA(MATCH(Q3399,ctaNombre,0)),"⚠ Cuenta no registrada",IF(AND(OR(P3399="Gasto",P3399="Reembolso"),D3399=""),"⚠ Falta categoría",IF(AND(D3399&lt;&gt;"",E3399&lt;&gt;"",ISNA(MATCH(D3399&amp;"|"&amp;E3399,catClave,0))),"⚠ Subcategoría no corresponde",IF(AND(OR(P3399="Transferencia",P3399="Pago tarjeta"),K3399=""),"⚠ Falta cuenta destino",IF(AND(K3399&lt;&gt;"",P3399&lt;&gt;"Transferencia",P3399&lt;&gt;"Pago tarjeta"),"⚠ Destino solo aplica a transferencias",IF(AND(K3399&lt;&gt;"",K3399=Q3399),"⚠ Origen igual a destino",IF(AND(K3399&lt;&gt;"",ISNA(MATCH(K3399,ctaNombre,0))),"⚠ Destino no registrado",IF(AND(P3399="Pago tarjeta",AE3399&lt;&gt;"Tarjeta de crédito"),"⚠ El destino debe ser tarjeta de crédito",IF(AND(P3399="Gasto",E3399="Depósitos y retiros"),"⚠ Usa tipo Transferencia",IF(AND(P3399="Resultado trading",AD3399&lt;&gt;"Cuenta de trading"),"⚠ Usa una cuenta de trading",IF(AND(G3399&lt;=0,P3399&lt;&gt;"Ajuste",P3399&lt;&gt;"Resultado trading"),"⚠ El monto debe ser positivo","✓")))))))))))))))</f>
        <v/>
      </c>
      <c r="P3399" s="52">
        <f>IF(OR(B3399="",G3399=""),"",IF(C3399="","Gasto",C3399))</f>
        <v/>
      </c>
      <c r="Q3399" s="52">
        <f>IF(P3399="","",IF(J3399&lt;&gt;"",J3399,CuentaPred&amp;""))</f>
        <v/>
      </c>
      <c r="R3399" s="52">
        <f>IF(P3399="","",IF(ISNUMBER(I3399),I3399,TasaUSD))</f>
        <v/>
      </c>
      <c r="S3399" s="53">
        <f>IF(P3399="","",IF(H3399="USD",G3399*R3399,G3399))</f>
        <v/>
      </c>
      <c r="T3399" s="53">
        <f>IF(P3399="","",IF(H3399="USD",G3399,IF(R3399&gt;0,G3399/R3399,0)))</f>
        <v/>
      </c>
      <c r="U3399" s="53">
        <f>IF(P3399="","",IF(P3399="Gasto",S3399,IF(P3399="Reembolso",-S3399,0)))</f>
        <v/>
      </c>
      <c r="V3399" s="53">
        <f>IF(P3399="","",IF(P3399="Ingreso",S3399,0))</f>
        <v/>
      </c>
      <c r="W3399" s="53">
        <f>IF(P3399="","",IF(P3399="Resultado trading",S3399,0))</f>
        <v/>
      </c>
      <c r="X3399" s="52">
        <f>IF(OR(P3399="Gasto",P3399="Reembolso"),IF(M3399&lt;&gt;"",M3399,IFERROR(INDEX(catClasif,MATCH(D3399&amp;"|"&amp;E3399,catClave,0))&amp;"","Variable")),"")</f>
        <v/>
      </c>
      <c r="Y3399" s="52">
        <f>IF(P3399="","",IFERROR(INDEX(catGrupo,MATCH(D3399&amp;"|"&amp;E3399,catClave,0))&amp;"",""))</f>
        <v/>
      </c>
      <c r="Z3399" s="52">
        <f>IF(P3399="","",WEEKDAY(B3399,2))</f>
        <v/>
      </c>
      <c r="AA3399" s="52">
        <f>IF(P3399="","",IF(AND(P3399="Gasto",X3399="Variable",D3399&lt;&gt;catTrading,S3399&gt;0,S3399&lt;=Umbral),1,0))</f>
        <v/>
      </c>
      <c r="AB3399" s="52">
        <f>IF(OR(P3399="",Q3399=""),"",IFERROR(IF(INDEX(ctaVinc,MATCH(Q3399,ctaNombre,0))&amp;""&lt;&gt;"",INDEX(ctaVinc,MATCH(Q3399,ctaNombre,0))&amp;"",Q3399),Q3399))</f>
        <v/>
      </c>
      <c r="AC3399" s="52">
        <f>IF(OR(K3399="",AND(P3399&lt;&gt;"Transferencia",P3399&lt;&gt;"Pago tarjeta")),"",IFERROR(IF(INDEX(ctaVinc,MATCH(K3399,ctaNombre,0))&amp;""&lt;&gt;"",INDEX(ctaVinc,MATCH(K3399,ctaNombre,0))&amp;"",K3399),K3399))</f>
        <v/>
      </c>
      <c r="AD3399" s="52">
        <f>IF(AB3399="","",IFERROR(INDEX(ctaTipo,MATCH(AB3399,ctaNombre,0))&amp;"",""))</f>
        <v/>
      </c>
      <c r="AE3399" s="52">
        <f>IF(AC3399="","",IFERROR(INDEX(ctaTipo,MATCH(AC3399,ctaNombre,0))&amp;"",""))</f>
        <v/>
      </c>
      <c r="AF3399" s="53">
        <f>IF(OR(P3399="",AB3399=""),"",IF(OR(P3399="Gasto",P3399="Transferencia",P3399="Pago tarjeta"),-1,1)*IF(IFERROR(INDEX(ctaMoneda,MATCH(AB3399,ctaNombre,0))&amp;"","DOP")="USD",T3399,S3399))</f>
        <v/>
      </c>
      <c r="AG3399" s="53">
        <f>IF(AC3399="","",IF(IFERROR(INDEX(ctaMoneda,MATCH(AC3399,ctaNombre,0))&amp;"","DOP")="USD",T3399,S3399))</f>
        <v/>
      </c>
      <c r="AH3399" s="53">
        <f>IF(P3399="","",IF(AND(AD3399&lt;&gt;"",COUNTIFS(tcTipo,AD3399,tcLiq,"Sí")&gt;0),IF(OR(P3399="Gasto",P3399="Transferencia",P3399="Pago tarjeta"),-1,1)*S3399,0)+IF(AND(AE3399&lt;&gt;"",COUNTIFS(tcTipo,AE3399,tcLiq,"Sí")&gt;0),S3399,0))</f>
        <v/>
      </c>
      <c r="AI3399" s="52">
        <f>IF(OR(L3399="",P3399=""),"",IF(COUNTIFS(L$6:L3399,L3399,P$6:P3399,"?*")=1,MAX(AI$5:AI3398)+1,""))</f>
        <v/>
      </c>
    </row>
    <row r="3400">
      <c r="B3400" s="47" t="n"/>
      <c r="C3400" s="48" t="n"/>
      <c r="D3400" s="48" t="n"/>
      <c r="E3400" s="48" t="n"/>
      <c r="F3400" s="48" t="n"/>
      <c r="G3400" s="49" t="n"/>
      <c r="H3400" s="48" t="n"/>
      <c r="I3400" s="50" t="n"/>
      <c r="J3400" s="48" t="n"/>
      <c r="K3400" s="48" t="n"/>
      <c r="L3400" s="48" t="n"/>
      <c r="M3400" s="48" t="n"/>
      <c r="N3400" s="48" t="n"/>
      <c r="O3400" s="51">
        <f>IF(AND(B3400="",G3400="",C3400="",D3400="",J3400=""),"",IF(B3400="","⚠ Falta fecha",IF(G3400="","⚠ Falta monto",IF(Q3400="","⚠ Falta cuenta",IF(ISNA(MATCH(Q3400,ctaNombre,0)),"⚠ Cuenta no registrada",IF(AND(OR(P3400="Gasto",P3400="Reembolso"),D3400=""),"⚠ Falta categoría",IF(AND(D3400&lt;&gt;"",E3400&lt;&gt;"",ISNA(MATCH(D3400&amp;"|"&amp;E3400,catClave,0))),"⚠ Subcategoría no corresponde",IF(AND(OR(P3400="Transferencia",P3400="Pago tarjeta"),K3400=""),"⚠ Falta cuenta destino",IF(AND(K3400&lt;&gt;"",P3400&lt;&gt;"Transferencia",P3400&lt;&gt;"Pago tarjeta"),"⚠ Destino solo aplica a transferencias",IF(AND(K3400&lt;&gt;"",K3400=Q3400),"⚠ Origen igual a destino",IF(AND(K3400&lt;&gt;"",ISNA(MATCH(K3400,ctaNombre,0))),"⚠ Destino no registrado",IF(AND(P3400="Pago tarjeta",AE3400&lt;&gt;"Tarjeta de crédito"),"⚠ El destino debe ser tarjeta de crédito",IF(AND(P3400="Gasto",E3400="Depósitos y retiros"),"⚠ Usa tipo Transferencia",IF(AND(P3400="Resultado trading",AD3400&lt;&gt;"Cuenta de trading"),"⚠ Usa una cuenta de trading",IF(AND(G3400&lt;=0,P3400&lt;&gt;"Ajuste",P3400&lt;&gt;"Resultado trading"),"⚠ El monto debe ser positivo","✓")))))))))))))))</f>
        <v/>
      </c>
      <c r="P3400" s="52">
        <f>IF(OR(B3400="",G3400=""),"",IF(C3400="","Gasto",C3400))</f>
        <v/>
      </c>
      <c r="Q3400" s="52">
        <f>IF(P3400="","",IF(J3400&lt;&gt;"",J3400,CuentaPred&amp;""))</f>
        <v/>
      </c>
      <c r="R3400" s="52">
        <f>IF(P3400="","",IF(ISNUMBER(I3400),I3400,TasaUSD))</f>
        <v/>
      </c>
      <c r="S3400" s="53">
        <f>IF(P3400="","",IF(H3400="USD",G3400*R3400,G3400))</f>
        <v/>
      </c>
      <c r="T3400" s="53">
        <f>IF(P3400="","",IF(H3400="USD",G3400,IF(R3400&gt;0,G3400/R3400,0)))</f>
        <v/>
      </c>
      <c r="U3400" s="53">
        <f>IF(P3400="","",IF(P3400="Gasto",S3400,IF(P3400="Reembolso",-S3400,0)))</f>
        <v/>
      </c>
      <c r="V3400" s="53">
        <f>IF(P3400="","",IF(P3400="Ingreso",S3400,0))</f>
        <v/>
      </c>
      <c r="W3400" s="53">
        <f>IF(P3400="","",IF(P3400="Resultado trading",S3400,0))</f>
        <v/>
      </c>
      <c r="X3400" s="52">
        <f>IF(OR(P3400="Gasto",P3400="Reembolso"),IF(M3400&lt;&gt;"",M3400,IFERROR(INDEX(catClasif,MATCH(D3400&amp;"|"&amp;E3400,catClave,0))&amp;"","Variable")),"")</f>
        <v/>
      </c>
      <c r="Y3400" s="52">
        <f>IF(P3400="","",IFERROR(INDEX(catGrupo,MATCH(D3400&amp;"|"&amp;E3400,catClave,0))&amp;"",""))</f>
        <v/>
      </c>
      <c r="Z3400" s="52">
        <f>IF(P3400="","",WEEKDAY(B3400,2))</f>
        <v/>
      </c>
      <c r="AA3400" s="52">
        <f>IF(P3400="","",IF(AND(P3400="Gasto",X3400="Variable",D3400&lt;&gt;catTrading,S3400&gt;0,S3400&lt;=Umbral),1,0))</f>
        <v/>
      </c>
      <c r="AB3400" s="52">
        <f>IF(OR(P3400="",Q3400=""),"",IFERROR(IF(INDEX(ctaVinc,MATCH(Q3400,ctaNombre,0))&amp;""&lt;&gt;"",INDEX(ctaVinc,MATCH(Q3400,ctaNombre,0))&amp;"",Q3400),Q3400))</f>
        <v/>
      </c>
      <c r="AC3400" s="52">
        <f>IF(OR(K3400="",AND(P3400&lt;&gt;"Transferencia",P3400&lt;&gt;"Pago tarjeta")),"",IFERROR(IF(INDEX(ctaVinc,MATCH(K3400,ctaNombre,0))&amp;""&lt;&gt;"",INDEX(ctaVinc,MATCH(K3400,ctaNombre,0))&amp;"",K3400),K3400))</f>
        <v/>
      </c>
      <c r="AD3400" s="52">
        <f>IF(AB3400="","",IFERROR(INDEX(ctaTipo,MATCH(AB3400,ctaNombre,0))&amp;"",""))</f>
        <v/>
      </c>
      <c r="AE3400" s="52">
        <f>IF(AC3400="","",IFERROR(INDEX(ctaTipo,MATCH(AC3400,ctaNombre,0))&amp;"",""))</f>
        <v/>
      </c>
      <c r="AF3400" s="53">
        <f>IF(OR(P3400="",AB3400=""),"",IF(OR(P3400="Gasto",P3400="Transferencia",P3400="Pago tarjeta"),-1,1)*IF(IFERROR(INDEX(ctaMoneda,MATCH(AB3400,ctaNombre,0))&amp;"","DOP")="USD",T3400,S3400))</f>
        <v/>
      </c>
      <c r="AG3400" s="53">
        <f>IF(AC3400="","",IF(IFERROR(INDEX(ctaMoneda,MATCH(AC3400,ctaNombre,0))&amp;"","DOP")="USD",T3400,S3400))</f>
        <v/>
      </c>
      <c r="AH3400" s="53">
        <f>IF(P3400="","",IF(AND(AD3400&lt;&gt;"",COUNTIFS(tcTipo,AD3400,tcLiq,"Sí")&gt;0),IF(OR(P3400="Gasto",P3400="Transferencia",P3400="Pago tarjeta"),-1,1)*S3400,0)+IF(AND(AE3400&lt;&gt;"",COUNTIFS(tcTipo,AE3400,tcLiq,"Sí")&gt;0),S3400,0))</f>
        <v/>
      </c>
      <c r="AI3400" s="52">
        <f>IF(OR(L3400="",P3400=""),"",IF(COUNTIFS(L$6:L3400,L3400,P$6:P3400,"?*")=1,MAX(AI$5:AI3399)+1,""))</f>
        <v/>
      </c>
    </row>
    <row r="3401">
      <c r="B3401" s="47" t="n"/>
      <c r="C3401" s="48" t="n"/>
      <c r="D3401" s="48" t="n"/>
      <c r="E3401" s="48" t="n"/>
      <c r="F3401" s="48" t="n"/>
      <c r="G3401" s="49" t="n"/>
      <c r="H3401" s="48" t="n"/>
      <c r="I3401" s="50" t="n"/>
      <c r="J3401" s="48" t="n"/>
      <c r="K3401" s="48" t="n"/>
      <c r="L3401" s="48" t="n"/>
      <c r="M3401" s="48" t="n"/>
      <c r="N3401" s="48" t="n"/>
      <c r="O3401" s="51">
        <f>IF(AND(B3401="",G3401="",C3401="",D3401="",J3401=""),"",IF(B3401="","⚠ Falta fecha",IF(G3401="","⚠ Falta monto",IF(Q3401="","⚠ Falta cuenta",IF(ISNA(MATCH(Q3401,ctaNombre,0)),"⚠ Cuenta no registrada",IF(AND(OR(P3401="Gasto",P3401="Reembolso"),D3401=""),"⚠ Falta categoría",IF(AND(D3401&lt;&gt;"",E3401&lt;&gt;"",ISNA(MATCH(D3401&amp;"|"&amp;E3401,catClave,0))),"⚠ Subcategoría no corresponde",IF(AND(OR(P3401="Transferencia",P3401="Pago tarjeta"),K3401=""),"⚠ Falta cuenta destino",IF(AND(K3401&lt;&gt;"",P3401&lt;&gt;"Transferencia",P3401&lt;&gt;"Pago tarjeta"),"⚠ Destino solo aplica a transferencias",IF(AND(K3401&lt;&gt;"",K3401=Q3401),"⚠ Origen igual a destino",IF(AND(K3401&lt;&gt;"",ISNA(MATCH(K3401,ctaNombre,0))),"⚠ Destino no registrado",IF(AND(P3401="Pago tarjeta",AE3401&lt;&gt;"Tarjeta de crédito"),"⚠ El destino debe ser tarjeta de crédito",IF(AND(P3401="Gasto",E3401="Depósitos y retiros"),"⚠ Usa tipo Transferencia",IF(AND(P3401="Resultado trading",AD3401&lt;&gt;"Cuenta de trading"),"⚠ Usa una cuenta de trading",IF(AND(G3401&lt;=0,P3401&lt;&gt;"Ajuste",P3401&lt;&gt;"Resultado trading"),"⚠ El monto debe ser positivo","✓")))))))))))))))</f>
        <v/>
      </c>
      <c r="P3401" s="52">
        <f>IF(OR(B3401="",G3401=""),"",IF(C3401="","Gasto",C3401))</f>
        <v/>
      </c>
      <c r="Q3401" s="52">
        <f>IF(P3401="","",IF(J3401&lt;&gt;"",J3401,CuentaPred&amp;""))</f>
        <v/>
      </c>
      <c r="R3401" s="52">
        <f>IF(P3401="","",IF(ISNUMBER(I3401),I3401,TasaUSD))</f>
        <v/>
      </c>
      <c r="S3401" s="53">
        <f>IF(P3401="","",IF(H3401="USD",G3401*R3401,G3401))</f>
        <v/>
      </c>
      <c r="T3401" s="53">
        <f>IF(P3401="","",IF(H3401="USD",G3401,IF(R3401&gt;0,G3401/R3401,0)))</f>
        <v/>
      </c>
      <c r="U3401" s="53">
        <f>IF(P3401="","",IF(P3401="Gasto",S3401,IF(P3401="Reembolso",-S3401,0)))</f>
        <v/>
      </c>
      <c r="V3401" s="53">
        <f>IF(P3401="","",IF(P3401="Ingreso",S3401,0))</f>
        <v/>
      </c>
      <c r="W3401" s="53">
        <f>IF(P3401="","",IF(P3401="Resultado trading",S3401,0))</f>
        <v/>
      </c>
      <c r="X3401" s="52">
        <f>IF(OR(P3401="Gasto",P3401="Reembolso"),IF(M3401&lt;&gt;"",M3401,IFERROR(INDEX(catClasif,MATCH(D3401&amp;"|"&amp;E3401,catClave,0))&amp;"","Variable")),"")</f>
        <v/>
      </c>
      <c r="Y3401" s="52">
        <f>IF(P3401="","",IFERROR(INDEX(catGrupo,MATCH(D3401&amp;"|"&amp;E3401,catClave,0))&amp;"",""))</f>
        <v/>
      </c>
      <c r="Z3401" s="52">
        <f>IF(P3401="","",WEEKDAY(B3401,2))</f>
        <v/>
      </c>
      <c r="AA3401" s="52">
        <f>IF(P3401="","",IF(AND(P3401="Gasto",X3401="Variable",D3401&lt;&gt;catTrading,S3401&gt;0,S3401&lt;=Umbral),1,0))</f>
        <v/>
      </c>
      <c r="AB3401" s="52">
        <f>IF(OR(P3401="",Q3401=""),"",IFERROR(IF(INDEX(ctaVinc,MATCH(Q3401,ctaNombre,0))&amp;""&lt;&gt;"",INDEX(ctaVinc,MATCH(Q3401,ctaNombre,0))&amp;"",Q3401),Q3401))</f>
        <v/>
      </c>
      <c r="AC3401" s="52">
        <f>IF(OR(K3401="",AND(P3401&lt;&gt;"Transferencia",P3401&lt;&gt;"Pago tarjeta")),"",IFERROR(IF(INDEX(ctaVinc,MATCH(K3401,ctaNombre,0))&amp;""&lt;&gt;"",INDEX(ctaVinc,MATCH(K3401,ctaNombre,0))&amp;"",K3401),K3401))</f>
        <v/>
      </c>
      <c r="AD3401" s="52">
        <f>IF(AB3401="","",IFERROR(INDEX(ctaTipo,MATCH(AB3401,ctaNombre,0))&amp;"",""))</f>
        <v/>
      </c>
      <c r="AE3401" s="52">
        <f>IF(AC3401="","",IFERROR(INDEX(ctaTipo,MATCH(AC3401,ctaNombre,0))&amp;"",""))</f>
        <v/>
      </c>
      <c r="AF3401" s="53">
        <f>IF(OR(P3401="",AB3401=""),"",IF(OR(P3401="Gasto",P3401="Transferencia",P3401="Pago tarjeta"),-1,1)*IF(IFERROR(INDEX(ctaMoneda,MATCH(AB3401,ctaNombre,0))&amp;"","DOP")="USD",T3401,S3401))</f>
        <v/>
      </c>
      <c r="AG3401" s="53">
        <f>IF(AC3401="","",IF(IFERROR(INDEX(ctaMoneda,MATCH(AC3401,ctaNombre,0))&amp;"","DOP")="USD",T3401,S3401))</f>
        <v/>
      </c>
      <c r="AH3401" s="53">
        <f>IF(P3401="","",IF(AND(AD3401&lt;&gt;"",COUNTIFS(tcTipo,AD3401,tcLiq,"Sí")&gt;0),IF(OR(P3401="Gasto",P3401="Transferencia",P3401="Pago tarjeta"),-1,1)*S3401,0)+IF(AND(AE3401&lt;&gt;"",COUNTIFS(tcTipo,AE3401,tcLiq,"Sí")&gt;0),S3401,0))</f>
        <v/>
      </c>
      <c r="AI3401" s="52">
        <f>IF(OR(L3401="",P3401=""),"",IF(COUNTIFS(L$6:L3401,L3401,P$6:P3401,"?*")=1,MAX(AI$5:AI3400)+1,""))</f>
        <v/>
      </c>
    </row>
    <row r="3402">
      <c r="B3402" s="47" t="n"/>
      <c r="C3402" s="48" t="n"/>
      <c r="D3402" s="48" t="n"/>
      <c r="E3402" s="48" t="n"/>
      <c r="F3402" s="48" t="n"/>
      <c r="G3402" s="49" t="n"/>
      <c r="H3402" s="48" t="n"/>
      <c r="I3402" s="50" t="n"/>
      <c r="J3402" s="48" t="n"/>
      <c r="K3402" s="48" t="n"/>
      <c r="L3402" s="48" t="n"/>
      <c r="M3402" s="48" t="n"/>
      <c r="N3402" s="48" t="n"/>
      <c r="O3402" s="51">
        <f>IF(AND(B3402="",G3402="",C3402="",D3402="",J3402=""),"",IF(B3402="","⚠ Falta fecha",IF(G3402="","⚠ Falta monto",IF(Q3402="","⚠ Falta cuenta",IF(ISNA(MATCH(Q3402,ctaNombre,0)),"⚠ Cuenta no registrada",IF(AND(OR(P3402="Gasto",P3402="Reembolso"),D3402=""),"⚠ Falta categoría",IF(AND(D3402&lt;&gt;"",E3402&lt;&gt;"",ISNA(MATCH(D3402&amp;"|"&amp;E3402,catClave,0))),"⚠ Subcategoría no corresponde",IF(AND(OR(P3402="Transferencia",P3402="Pago tarjeta"),K3402=""),"⚠ Falta cuenta destino",IF(AND(K3402&lt;&gt;"",P3402&lt;&gt;"Transferencia",P3402&lt;&gt;"Pago tarjeta"),"⚠ Destino solo aplica a transferencias",IF(AND(K3402&lt;&gt;"",K3402=Q3402),"⚠ Origen igual a destino",IF(AND(K3402&lt;&gt;"",ISNA(MATCH(K3402,ctaNombre,0))),"⚠ Destino no registrado",IF(AND(P3402="Pago tarjeta",AE3402&lt;&gt;"Tarjeta de crédito"),"⚠ El destino debe ser tarjeta de crédito",IF(AND(P3402="Gasto",E3402="Depósitos y retiros"),"⚠ Usa tipo Transferencia",IF(AND(P3402="Resultado trading",AD3402&lt;&gt;"Cuenta de trading"),"⚠ Usa una cuenta de trading",IF(AND(G3402&lt;=0,P3402&lt;&gt;"Ajuste",P3402&lt;&gt;"Resultado trading"),"⚠ El monto debe ser positivo","✓")))))))))))))))</f>
        <v/>
      </c>
      <c r="P3402" s="52">
        <f>IF(OR(B3402="",G3402=""),"",IF(C3402="","Gasto",C3402))</f>
        <v/>
      </c>
      <c r="Q3402" s="52">
        <f>IF(P3402="","",IF(J3402&lt;&gt;"",J3402,CuentaPred&amp;""))</f>
        <v/>
      </c>
      <c r="R3402" s="52">
        <f>IF(P3402="","",IF(ISNUMBER(I3402),I3402,TasaUSD))</f>
        <v/>
      </c>
      <c r="S3402" s="53">
        <f>IF(P3402="","",IF(H3402="USD",G3402*R3402,G3402))</f>
        <v/>
      </c>
      <c r="T3402" s="53">
        <f>IF(P3402="","",IF(H3402="USD",G3402,IF(R3402&gt;0,G3402/R3402,0)))</f>
        <v/>
      </c>
      <c r="U3402" s="53">
        <f>IF(P3402="","",IF(P3402="Gasto",S3402,IF(P3402="Reembolso",-S3402,0)))</f>
        <v/>
      </c>
      <c r="V3402" s="53">
        <f>IF(P3402="","",IF(P3402="Ingreso",S3402,0))</f>
        <v/>
      </c>
      <c r="W3402" s="53">
        <f>IF(P3402="","",IF(P3402="Resultado trading",S3402,0))</f>
        <v/>
      </c>
      <c r="X3402" s="52">
        <f>IF(OR(P3402="Gasto",P3402="Reembolso"),IF(M3402&lt;&gt;"",M3402,IFERROR(INDEX(catClasif,MATCH(D3402&amp;"|"&amp;E3402,catClave,0))&amp;"","Variable")),"")</f>
        <v/>
      </c>
      <c r="Y3402" s="52">
        <f>IF(P3402="","",IFERROR(INDEX(catGrupo,MATCH(D3402&amp;"|"&amp;E3402,catClave,0))&amp;"",""))</f>
        <v/>
      </c>
      <c r="Z3402" s="52">
        <f>IF(P3402="","",WEEKDAY(B3402,2))</f>
        <v/>
      </c>
      <c r="AA3402" s="52">
        <f>IF(P3402="","",IF(AND(P3402="Gasto",X3402="Variable",D3402&lt;&gt;catTrading,S3402&gt;0,S3402&lt;=Umbral),1,0))</f>
        <v/>
      </c>
      <c r="AB3402" s="52">
        <f>IF(OR(P3402="",Q3402=""),"",IFERROR(IF(INDEX(ctaVinc,MATCH(Q3402,ctaNombre,0))&amp;""&lt;&gt;"",INDEX(ctaVinc,MATCH(Q3402,ctaNombre,0))&amp;"",Q3402),Q3402))</f>
        <v/>
      </c>
      <c r="AC3402" s="52">
        <f>IF(OR(K3402="",AND(P3402&lt;&gt;"Transferencia",P3402&lt;&gt;"Pago tarjeta")),"",IFERROR(IF(INDEX(ctaVinc,MATCH(K3402,ctaNombre,0))&amp;""&lt;&gt;"",INDEX(ctaVinc,MATCH(K3402,ctaNombre,0))&amp;"",K3402),K3402))</f>
        <v/>
      </c>
      <c r="AD3402" s="52">
        <f>IF(AB3402="","",IFERROR(INDEX(ctaTipo,MATCH(AB3402,ctaNombre,0))&amp;"",""))</f>
        <v/>
      </c>
      <c r="AE3402" s="52">
        <f>IF(AC3402="","",IFERROR(INDEX(ctaTipo,MATCH(AC3402,ctaNombre,0))&amp;"",""))</f>
        <v/>
      </c>
      <c r="AF3402" s="53">
        <f>IF(OR(P3402="",AB3402=""),"",IF(OR(P3402="Gasto",P3402="Transferencia",P3402="Pago tarjeta"),-1,1)*IF(IFERROR(INDEX(ctaMoneda,MATCH(AB3402,ctaNombre,0))&amp;"","DOP")="USD",T3402,S3402))</f>
        <v/>
      </c>
      <c r="AG3402" s="53">
        <f>IF(AC3402="","",IF(IFERROR(INDEX(ctaMoneda,MATCH(AC3402,ctaNombre,0))&amp;"","DOP")="USD",T3402,S3402))</f>
        <v/>
      </c>
      <c r="AH3402" s="53">
        <f>IF(P3402="","",IF(AND(AD3402&lt;&gt;"",COUNTIFS(tcTipo,AD3402,tcLiq,"Sí")&gt;0),IF(OR(P3402="Gasto",P3402="Transferencia",P3402="Pago tarjeta"),-1,1)*S3402,0)+IF(AND(AE3402&lt;&gt;"",COUNTIFS(tcTipo,AE3402,tcLiq,"Sí")&gt;0),S3402,0))</f>
        <v/>
      </c>
      <c r="AI3402" s="52">
        <f>IF(OR(L3402="",P3402=""),"",IF(COUNTIFS(L$6:L3402,L3402,P$6:P3402,"?*")=1,MAX(AI$5:AI3401)+1,""))</f>
        <v/>
      </c>
    </row>
    <row r="3403">
      <c r="B3403" s="47" t="n"/>
      <c r="C3403" s="48" t="n"/>
      <c r="D3403" s="48" t="n"/>
      <c r="E3403" s="48" t="n"/>
      <c r="F3403" s="48" t="n"/>
      <c r="G3403" s="49" t="n"/>
      <c r="H3403" s="48" t="n"/>
      <c r="I3403" s="50" t="n"/>
      <c r="J3403" s="48" t="n"/>
      <c r="K3403" s="48" t="n"/>
      <c r="L3403" s="48" t="n"/>
      <c r="M3403" s="48" t="n"/>
      <c r="N3403" s="48" t="n"/>
      <c r="O3403" s="51">
        <f>IF(AND(B3403="",G3403="",C3403="",D3403="",J3403=""),"",IF(B3403="","⚠ Falta fecha",IF(G3403="","⚠ Falta monto",IF(Q3403="","⚠ Falta cuenta",IF(ISNA(MATCH(Q3403,ctaNombre,0)),"⚠ Cuenta no registrada",IF(AND(OR(P3403="Gasto",P3403="Reembolso"),D3403=""),"⚠ Falta categoría",IF(AND(D3403&lt;&gt;"",E3403&lt;&gt;"",ISNA(MATCH(D3403&amp;"|"&amp;E3403,catClave,0))),"⚠ Subcategoría no corresponde",IF(AND(OR(P3403="Transferencia",P3403="Pago tarjeta"),K3403=""),"⚠ Falta cuenta destino",IF(AND(K3403&lt;&gt;"",P3403&lt;&gt;"Transferencia",P3403&lt;&gt;"Pago tarjeta"),"⚠ Destino solo aplica a transferencias",IF(AND(K3403&lt;&gt;"",K3403=Q3403),"⚠ Origen igual a destino",IF(AND(K3403&lt;&gt;"",ISNA(MATCH(K3403,ctaNombre,0))),"⚠ Destino no registrado",IF(AND(P3403="Pago tarjeta",AE3403&lt;&gt;"Tarjeta de crédito"),"⚠ El destino debe ser tarjeta de crédito",IF(AND(P3403="Gasto",E3403="Depósitos y retiros"),"⚠ Usa tipo Transferencia",IF(AND(P3403="Resultado trading",AD3403&lt;&gt;"Cuenta de trading"),"⚠ Usa una cuenta de trading",IF(AND(G3403&lt;=0,P3403&lt;&gt;"Ajuste",P3403&lt;&gt;"Resultado trading"),"⚠ El monto debe ser positivo","✓")))))))))))))))</f>
        <v/>
      </c>
      <c r="P3403" s="52">
        <f>IF(OR(B3403="",G3403=""),"",IF(C3403="","Gasto",C3403))</f>
        <v/>
      </c>
      <c r="Q3403" s="52">
        <f>IF(P3403="","",IF(J3403&lt;&gt;"",J3403,CuentaPred&amp;""))</f>
        <v/>
      </c>
      <c r="R3403" s="52">
        <f>IF(P3403="","",IF(ISNUMBER(I3403),I3403,TasaUSD))</f>
        <v/>
      </c>
      <c r="S3403" s="53">
        <f>IF(P3403="","",IF(H3403="USD",G3403*R3403,G3403))</f>
        <v/>
      </c>
      <c r="T3403" s="53">
        <f>IF(P3403="","",IF(H3403="USD",G3403,IF(R3403&gt;0,G3403/R3403,0)))</f>
        <v/>
      </c>
      <c r="U3403" s="53">
        <f>IF(P3403="","",IF(P3403="Gasto",S3403,IF(P3403="Reembolso",-S3403,0)))</f>
        <v/>
      </c>
      <c r="V3403" s="53">
        <f>IF(P3403="","",IF(P3403="Ingreso",S3403,0))</f>
        <v/>
      </c>
      <c r="W3403" s="53">
        <f>IF(P3403="","",IF(P3403="Resultado trading",S3403,0))</f>
        <v/>
      </c>
      <c r="X3403" s="52">
        <f>IF(OR(P3403="Gasto",P3403="Reembolso"),IF(M3403&lt;&gt;"",M3403,IFERROR(INDEX(catClasif,MATCH(D3403&amp;"|"&amp;E3403,catClave,0))&amp;"","Variable")),"")</f>
        <v/>
      </c>
      <c r="Y3403" s="52">
        <f>IF(P3403="","",IFERROR(INDEX(catGrupo,MATCH(D3403&amp;"|"&amp;E3403,catClave,0))&amp;"",""))</f>
        <v/>
      </c>
      <c r="Z3403" s="52">
        <f>IF(P3403="","",WEEKDAY(B3403,2))</f>
        <v/>
      </c>
      <c r="AA3403" s="52">
        <f>IF(P3403="","",IF(AND(P3403="Gasto",X3403="Variable",D3403&lt;&gt;catTrading,S3403&gt;0,S3403&lt;=Umbral),1,0))</f>
        <v/>
      </c>
      <c r="AB3403" s="52">
        <f>IF(OR(P3403="",Q3403=""),"",IFERROR(IF(INDEX(ctaVinc,MATCH(Q3403,ctaNombre,0))&amp;""&lt;&gt;"",INDEX(ctaVinc,MATCH(Q3403,ctaNombre,0))&amp;"",Q3403),Q3403))</f>
        <v/>
      </c>
      <c r="AC3403" s="52">
        <f>IF(OR(K3403="",AND(P3403&lt;&gt;"Transferencia",P3403&lt;&gt;"Pago tarjeta")),"",IFERROR(IF(INDEX(ctaVinc,MATCH(K3403,ctaNombre,0))&amp;""&lt;&gt;"",INDEX(ctaVinc,MATCH(K3403,ctaNombre,0))&amp;"",K3403),K3403))</f>
        <v/>
      </c>
      <c r="AD3403" s="52">
        <f>IF(AB3403="","",IFERROR(INDEX(ctaTipo,MATCH(AB3403,ctaNombre,0))&amp;"",""))</f>
        <v/>
      </c>
      <c r="AE3403" s="52">
        <f>IF(AC3403="","",IFERROR(INDEX(ctaTipo,MATCH(AC3403,ctaNombre,0))&amp;"",""))</f>
        <v/>
      </c>
      <c r="AF3403" s="53">
        <f>IF(OR(P3403="",AB3403=""),"",IF(OR(P3403="Gasto",P3403="Transferencia",P3403="Pago tarjeta"),-1,1)*IF(IFERROR(INDEX(ctaMoneda,MATCH(AB3403,ctaNombre,0))&amp;"","DOP")="USD",T3403,S3403))</f>
        <v/>
      </c>
      <c r="AG3403" s="53">
        <f>IF(AC3403="","",IF(IFERROR(INDEX(ctaMoneda,MATCH(AC3403,ctaNombre,0))&amp;"","DOP")="USD",T3403,S3403))</f>
        <v/>
      </c>
      <c r="AH3403" s="53">
        <f>IF(P3403="","",IF(AND(AD3403&lt;&gt;"",COUNTIFS(tcTipo,AD3403,tcLiq,"Sí")&gt;0),IF(OR(P3403="Gasto",P3403="Transferencia",P3403="Pago tarjeta"),-1,1)*S3403,0)+IF(AND(AE3403&lt;&gt;"",COUNTIFS(tcTipo,AE3403,tcLiq,"Sí")&gt;0),S3403,0))</f>
        <v/>
      </c>
      <c r="AI3403" s="52">
        <f>IF(OR(L3403="",P3403=""),"",IF(COUNTIFS(L$6:L3403,L3403,P$6:P3403,"?*")=1,MAX(AI$5:AI3402)+1,""))</f>
        <v/>
      </c>
    </row>
    <row r="3404">
      <c r="B3404" s="47" t="n"/>
      <c r="C3404" s="48" t="n"/>
      <c r="D3404" s="48" t="n"/>
      <c r="E3404" s="48" t="n"/>
      <c r="F3404" s="48" t="n"/>
      <c r="G3404" s="49" t="n"/>
      <c r="H3404" s="48" t="n"/>
      <c r="I3404" s="50" t="n"/>
      <c r="J3404" s="48" t="n"/>
      <c r="K3404" s="48" t="n"/>
      <c r="L3404" s="48" t="n"/>
      <c r="M3404" s="48" t="n"/>
      <c r="N3404" s="48" t="n"/>
      <c r="O3404" s="51">
        <f>IF(AND(B3404="",G3404="",C3404="",D3404="",J3404=""),"",IF(B3404="","⚠ Falta fecha",IF(G3404="","⚠ Falta monto",IF(Q3404="","⚠ Falta cuenta",IF(ISNA(MATCH(Q3404,ctaNombre,0)),"⚠ Cuenta no registrada",IF(AND(OR(P3404="Gasto",P3404="Reembolso"),D3404=""),"⚠ Falta categoría",IF(AND(D3404&lt;&gt;"",E3404&lt;&gt;"",ISNA(MATCH(D3404&amp;"|"&amp;E3404,catClave,0))),"⚠ Subcategoría no corresponde",IF(AND(OR(P3404="Transferencia",P3404="Pago tarjeta"),K3404=""),"⚠ Falta cuenta destino",IF(AND(K3404&lt;&gt;"",P3404&lt;&gt;"Transferencia",P3404&lt;&gt;"Pago tarjeta"),"⚠ Destino solo aplica a transferencias",IF(AND(K3404&lt;&gt;"",K3404=Q3404),"⚠ Origen igual a destino",IF(AND(K3404&lt;&gt;"",ISNA(MATCH(K3404,ctaNombre,0))),"⚠ Destino no registrado",IF(AND(P3404="Pago tarjeta",AE3404&lt;&gt;"Tarjeta de crédito"),"⚠ El destino debe ser tarjeta de crédito",IF(AND(P3404="Gasto",E3404="Depósitos y retiros"),"⚠ Usa tipo Transferencia",IF(AND(P3404="Resultado trading",AD3404&lt;&gt;"Cuenta de trading"),"⚠ Usa una cuenta de trading",IF(AND(G3404&lt;=0,P3404&lt;&gt;"Ajuste",P3404&lt;&gt;"Resultado trading"),"⚠ El monto debe ser positivo","✓")))))))))))))))</f>
        <v/>
      </c>
      <c r="P3404" s="52">
        <f>IF(OR(B3404="",G3404=""),"",IF(C3404="","Gasto",C3404))</f>
        <v/>
      </c>
      <c r="Q3404" s="52">
        <f>IF(P3404="","",IF(J3404&lt;&gt;"",J3404,CuentaPred&amp;""))</f>
        <v/>
      </c>
      <c r="R3404" s="52">
        <f>IF(P3404="","",IF(ISNUMBER(I3404),I3404,TasaUSD))</f>
        <v/>
      </c>
      <c r="S3404" s="53">
        <f>IF(P3404="","",IF(H3404="USD",G3404*R3404,G3404))</f>
        <v/>
      </c>
      <c r="T3404" s="53">
        <f>IF(P3404="","",IF(H3404="USD",G3404,IF(R3404&gt;0,G3404/R3404,0)))</f>
        <v/>
      </c>
      <c r="U3404" s="53">
        <f>IF(P3404="","",IF(P3404="Gasto",S3404,IF(P3404="Reembolso",-S3404,0)))</f>
        <v/>
      </c>
      <c r="V3404" s="53">
        <f>IF(P3404="","",IF(P3404="Ingreso",S3404,0))</f>
        <v/>
      </c>
      <c r="W3404" s="53">
        <f>IF(P3404="","",IF(P3404="Resultado trading",S3404,0))</f>
        <v/>
      </c>
      <c r="X3404" s="52">
        <f>IF(OR(P3404="Gasto",P3404="Reembolso"),IF(M3404&lt;&gt;"",M3404,IFERROR(INDEX(catClasif,MATCH(D3404&amp;"|"&amp;E3404,catClave,0))&amp;"","Variable")),"")</f>
        <v/>
      </c>
      <c r="Y3404" s="52">
        <f>IF(P3404="","",IFERROR(INDEX(catGrupo,MATCH(D3404&amp;"|"&amp;E3404,catClave,0))&amp;"",""))</f>
        <v/>
      </c>
      <c r="Z3404" s="52">
        <f>IF(P3404="","",WEEKDAY(B3404,2))</f>
        <v/>
      </c>
      <c r="AA3404" s="52">
        <f>IF(P3404="","",IF(AND(P3404="Gasto",X3404="Variable",D3404&lt;&gt;catTrading,S3404&gt;0,S3404&lt;=Umbral),1,0))</f>
        <v/>
      </c>
      <c r="AB3404" s="52">
        <f>IF(OR(P3404="",Q3404=""),"",IFERROR(IF(INDEX(ctaVinc,MATCH(Q3404,ctaNombre,0))&amp;""&lt;&gt;"",INDEX(ctaVinc,MATCH(Q3404,ctaNombre,0))&amp;"",Q3404),Q3404))</f>
        <v/>
      </c>
      <c r="AC3404" s="52">
        <f>IF(OR(K3404="",AND(P3404&lt;&gt;"Transferencia",P3404&lt;&gt;"Pago tarjeta")),"",IFERROR(IF(INDEX(ctaVinc,MATCH(K3404,ctaNombre,0))&amp;""&lt;&gt;"",INDEX(ctaVinc,MATCH(K3404,ctaNombre,0))&amp;"",K3404),K3404))</f>
        <v/>
      </c>
      <c r="AD3404" s="52">
        <f>IF(AB3404="","",IFERROR(INDEX(ctaTipo,MATCH(AB3404,ctaNombre,0))&amp;"",""))</f>
        <v/>
      </c>
      <c r="AE3404" s="52">
        <f>IF(AC3404="","",IFERROR(INDEX(ctaTipo,MATCH(AC3404,ctaNombre,0))&amp;"",""))</f>
        <v/>
      </c>
      <c r="AF3404" s="53">
        <f>IF(OR(P3404="",AB3404=""),"",IF(OR(P3404="Gasto",P3404="Transferencia",P3404="Pago tarjeta"),-1,1)*IF(IFERROR(INDEX(ctaMoneda,MATCH(AB3404,ctaNombre,0))&amp;"","DOP")="USD",T3404,S3404))</f>
        <v/>
      </c>
      <c r="AG3404" s="53">
        <f>IF(AC3404="","",IF(IFERROR(INDEX(ctaMoneda,MATCH(AC3404,ctaNombre,0))&amp;"","DOP")="USD",T3404,S3404))</f>
        <v/>
      </c>
      <c r="AH3404" s="53">
        <f>IF(P3404="","",IF(AND(AD3404&lt;&gt;"",COUNTIFS(tcTipo,AD3404,tcLiq,"Sí")&gt;0),IF(OR(P3404="Gasto",P3404="Transferencia",P3404="Pago tarjeta"),-1,1)*S3404,0)+IF(AND(AE3404&lt;&gt;"",COUNTIFS(tcTipo,AE3404,tcLiq,"Sí")&gt;0),S3404,0))</f>
        <v/>
      </c>
      <c r="AI3404" s="52">
        <f>IF(OR(L3404="",P3404=""),"",IF(COUNTIFS(L$6:L3404,L3404,P$6:P3404,"?*")=1,MAX(AI$5:AI3403)+1,""))</f>
        <v/>
      </c>
    </row>
    <row r="3405">
      <c r="B3405" s="47" t="n"/>
      <c r="C3405" s="48" t="n"/>
      <c r="D3405" s="48" t="n"/>
      <c r="E3405" s="48" t="n"/>
      <c r="F3405" s="48" t="n"/>
      <c r="G3405" s="49" t="n"/>
      <c r="H3405" s="48" t="n"/>
      <c r="I3405" s="50" t="n"/>
      <c r="J3405" s="48" t="n"/>
      <c r="K3405" s="48" t="n"/>
      <c r="L3405" s="48" t="n"/>
      <c r="M3405" s="48" t="n"/>
      <c r="N3405" s="48" t="n"/>
      <c r="O3405" s="51">
        <f>IF(AND(B3405="",G3405="",C3405="",D3405="",J3405=""),"",IF(B3405="","⚠ Falta fecha",IF(G3405="","⚠ Falta monto",IF(Q3405="","⚠ Falta cuenta",IF(ISNA(MATCH(Q3405,ctaNombre,0)),"⚠ Cuenta no registrada",IF(AND(OR(P3405="Gasto",P3405="Reembolso"),D3405=""),"⚠ Falta categoría",IF(AND(D3405&lt;&gt;"",E3405&lt;&gt;"",ISNA(MATCH(D3405&amp;"|"&amp;E3405,catClave,0))),"⚠ Subcategoría no corresponde",IF(AND(OR(P3405="Transferencia",P3405="Pago tarjeta"),K3405=""),"⚠ Falta cuenta destino",IF(AND(K3405&lt;&gt;"",P3405&lt;&gt;"Transferencia",P3405&lt;&gt;"Pago tarjeta"),"⚠ Destino solo aplica a transferencias",IF(AND(K3405&lt;&gt;"",K3405=Q3405),"⚠ Origen igual a destino",IF(AND(K3405&lt;&gt;"",ISNA(MATCH(K3405,ctaNombre,0))),"⚠ Destino no registrado",IF(AND(P3405="Pago tarjeta",AE3405&lt;&gt;"Tarjeta de crédito"),"⚠ El destino debe ser tarjeta de crédito",IF(AND(P3405="Gasto",E3405="Depósitos y retiros"),"⚠ Usa tipo Transferencia",IF(AND(P3405="Resultado trading",AD3405&lt;&gt;"Cuenta de trading"),"⚠ Usa una cuenta de trading",IF(AND(G3405&lt;=0,P3405&lt;&gt;"Ajuste",P3405&lt;&gt;"Resultado trading"),"⚠ El monto debe ser positivo","✓")))))))))))))))</f>
        <v/>
      </c>
      <c r="P3405" s="52">
        <f>IF(OR(B3405="",G3405=""),"",IF(C3405="","Gasto",C3405))</f>
        <v/>
      </c>
      <c r="Q3405" s="52">
        <f>IF(P3405="","",IF(J3405&lt;&gt;"",J3405,CuentaPred&amp;""))</f>
        <v/>
      </c>
      <c r="R3405" s="52">
        <f>IF(P3405="","",IF(ISNUMBER(I3405),I3405,TasaUSD))</f>
        <v/>
      </c>
      <c r="S3405" s="53">
        <f>IF(P3405="","",IF(H3405="USD",G3405*R3405,G3405))</f>
        <v/>
      </c>
      <c r="T3405" s="53">
        <f>IF(P3405="","",IF(H3405="USD",G3405,IF(R3405&gt;0,G3405/R3405,0)))</f>
        <v/>
      </c>
      <c r="U3405" s="53">
        <f>IF(P3405="","",IF(P3405="Gasto",S3405,IF(P3405="Reembolso",-S3405,0)))</f>
        <v/>
      </c>
      <c r="V3405" s="53">
        <f>IF(P3405="","",IF(P3405="Ingreso",S3405,0))</f>
        <v/>
      </c>
      <c r="W3405" s="53">
        <f>IF(P3405="","",IF(P3405="Resultado trading",S3405,0))</f>
        <v/>
      </c>
      <c r="X3405" s="52">
        <f>IF(OR(P3405="Gasto",P3405="Reembolso"),IF(M3405&lt;&gt;"",M3405,IFERROR(INDEX(catClasif,MATCH(D3405&amp;"|"&amp;E3405,catClave,0))&amp;"","Variable")),"")</f>
        <v/>
      </c>
      <c r="Y3405" s="52">
        <f>IF(P3405="","",IFERROR(INDEX(catGrupo,MATCH(D3405&amp;"|"&amp;E3405,catClave,0))&amp;"",""))</f>
        <v/>
      </c>
      <c r="Z3405" s="52">
        <f>IF(P3405="","",WEEKDAY(B3405,2))</f>
        <v/>
      </c>
      <c r="AA3405" s="52">
        <f>IF(P3405="","",IF(AND(P3405="Gasto",X3405="Variable",D3405&lt;&gt;catTrading,S3405&gt;0,S3405&lt;=Umbral),1,0))</f>
        <v/>
      </c>
      <c r="AB3405" s="52">
        <f>IF(OR(P3405="",Q3405=""),"",IFERROR(IF(INDEX(ctaVinc,MATCH(Q3405,ctaNombre,0))&amp;""&lt;&gt;"",INDEX(ctaVinc,MATCH(Q3405,ctaNombre,0))&amp;"",Q3405),Q3405))</f>
        <v/>
      </c>
      <c r="AC3405" s="52">
        <f>IF(OR(K3405="",AND(P3405&lt;&gt;"Transferencia",P3405&lt;&gt;"Pago tarjeta")),"",IFERROR(IF(INDEX(ctaVinc,MATCH(K3405,ctaNombre,0))&amp;""&lt;&gt;"",INDEX(ctaVinc,MATCH(K3405,ctaNombre,0))&amp;"",K3405),K3405))</f>
        <v/>
      </c>
      <c r="AD3405" s="52">
        <f>IF(AB3405="","",IFERROR(INDEX(ctaTipo,MATCH(AB3405,ctaNombre,0))&amp;"",""))</f>
        <v/>
      </c>
      <c r="AE3405" s="52">
        <f>IF(AC3405="","",IFERROR(INDEX(ctaTipo,MATCH(AC3405,ctaNombre,0))&amp;"",""))</f>
        <v/>
      </c>
      <c r="AF3405" s="53">
        <f>IF(OR(P3405="",AB3405=""),"",IF(OR(P3405="Gasto",P3405="Transferencia",P3405="Pago tarjeta"),-1,1)*IF(IFERROR(INDEX(ctaMoneda,MATCH(AB3405,ctaNombre,0))&amp;"","DOP")="USD",T3405,S3405))</f>
        <v/>
      </c>
      <c r="AG3405" s="53">
        <f>IF(AC3405="","",IF(IFERROR(INDEX(ctaMoneda,MATCH(AC3405,ctaNombre,0))&amp;"","DOP")="USD",T3405,S3405))</f>
        <v/>
      </c>
      <c r="AH3405" s="53">
        <f>IF(P3405="","",IF(AND(AD3405&lt;&gt;"",COUNTIFS(tcTipo,AD3405,tcLiq,"Sí")&gt;0),IF(OR(P3405="Gasto",P3405="Transferencia",P3405="Pago tarjeta"),-1,1)*S3405,0)+IF(AND(AE3405&lt;&gt;"",COUNTIFS(tcTipo,AE3405,tcLiq,"Sí")&gt;0),S3405,0))</f>
        <v/>
      </c>
      <c r="AI3405" s="52">
        <f>IF(OR(L3405="",P3405=""),"",IF(COUNTIFS(L$6:L3405,L3405,P$6:P3405,"?*")=1,MAX(AI$5:AI3404)+1,""))</f>
        <v/>
      </c>
    </row>
    <row r="3406">
      <c r="B3406" s="47" t="n"/>
      <c r="C3406" s="48" t="n"/>
      <c r="D3406" s="48" t="n"/>
      <c r="E3406" s="48" t="n"/>
      <c r="F3406" s="48" t="n"/>
      <c r="G3406" s="49" t="n"/>
      <c r="H3406" s="48" t="n"/>
      <c r="I3406" s="50" t="n"/>
      <c r="J3406" s="48" t="n"/>
      <c r="K3406" s="48" t="n"/>
      <c r="L3406" s="48" t="n"/>
      <c r="M3406" s="48" t="n"/>
      <c r="N3406" s="48" t="n"/>
      <c r="O3406" s="51">
        <f>IF(AND(B3406="",G3406="",C3406="",D3406="",J3406=""),"",IF(B3406="","⚠ Falta fecha",IF(G3406="","⚠ Falta monto",IF(Q3406="","⚠ Falta cuenta",IF(ISNA(MATCH(Q3406,ctaNombre,0)),"⚠ Cuenta no registrada",IF(AND(OR(P3406="Gasto",P3406="Reembolso"),D3406=""),"⚠ Falta categoría",IF(AND(D3406&lt;&gt;"",E3406&lt;&gt;"",ISNA(MATCH(D3406&amp;"|"&amp;E3406,catClave,0))),"⚠ Subcategoría no corresponde",IF(AND(OR(P3406="Transferencia",P3406="Pago tarjeta"),K3406=""),"⚠ Falta cuenta destino",IF(AND(K3406&lt;&gt;"",P3406&lt;&gt;"Transferencia",P3406&lt;&gt;"Pago tarjeta"),"⚠ Destino solo aplica a transferencias",IF(AND(K3406&lt;&gt;"",K3406=Q3406),"⚠ Origen igual a destino",IF(AND(K3406&lt;&gt;"",ISNA(MATCH(K3406,ctaNombre,0))),"⚠ Destino no registrado",IF(AND(P3406="Pago tarjeta",AE3406&lt;&gt;"Tarjeta de crédito"),"⚠ El destino debe ser tarjeta de crédito",IF(AND(P3406="Gasto",E3406="Depósitos y retiros"),"⚠ Usa tipo Transferencia",IF(AND(P3406="Resultado trading",AD3406&lt;&gt;"Cuenta de trading"),"⚠ Usa una cuenta de trading",IF(AND(G3406&lt;=0,P3406&lt;&gt;"Ajuste",P3406&lt;&gt;"Resultado trading"),"⚠ El monto debe ser positivo","✓")))))))))))))))</f>
        <v/>
      </c>
      <c r="P3406" s="52">
        <f>IF(OR(B3406="",G3406=""),"",IF(C3406="","Gasto",C3406))</f>
        <v/>
      </c>
      <c r="Q3406" s="52">
        <f>IF(P3406="","",IF(J3406&lt;&gt;"",J3406,CuentaPred&amp;""))</f>
        <v/>
      </c>
      <c r="R3406" s="52">
        <f>IF(P3406="","",IF(ISNUMBER(I3406),I3406,TasaUSD))</f>
        <v/>
      </c>
      <c r="S3406" s="53">
        <f>IF(P3406="","",IF(H3406="USD",G3406*R3406,G3406))</f>
        <v/>
      </c>
      <c r="T3406" s="53">
        <f>IF(P3406="","",IF(H3406="USD",G3406,IF(R3406&gt;0,G3406/R3406,0)))</f>
        <v/>
      </c>
      <c r="U3406" s="53">
        <f>IF(P3406="","",IF(P3406="Gasto",S3406,IF(P3406="Reembolso",-S3406,0)))</f>
        <v/>
      </c>
      <c r="V3406" s="53">
        <f>IF(P3406="","",IF(P3406="Ingreso",S3406,0))</f>
        <v/>
      </c>
      <c r="W3406" s="53">
        <f>IF(P3406="","",IF(P3406="Resultado trading",S3406,0))</f>
        <v/>
      </c>
      <c r="X3406" s="52">
        <f>IF(OR(P3406="Gasto",P3406="Reembolso"),IF(M3406&lt;&gt;"",M3406,IFERROR(INDEX(catClasif,MATCH(D3406&amp;"|"&amp;E3406,catClave,0))&amp;"","Variable")),"")</f>
        <v/>
      </c>
      <c r="Y3406" s="52">
        <f>IF(P3406="","",IFERROR(INDEX(catGrupo,MATCH(D3406&amp;"|"&amp;E3406,catClave,0))&amp;"",""))</f>
        <v/>
      </c>
      <c r="Z3406" s="52">
        <f>IF(P3406="","",WEEKDAY(B3406,2))</f>
        <v/>
      </c>
      <c r="AA3406" s="52">
        <f>IF(P3406="","",IF(AND(P3406="Gasto",X3406="Variable",D3406&lt;&gt;catTrading,S3406&gt;0,S3406&lt;=Umbral),1,0))</f>
        <v/>
      </c>
      <c r="AB3406" s="52">
        <f>IF(OR(P3406="",Q3406=""),"",IFERROR(IF(INDEX(ctaVinc,MATCH(Q3406,ctaNombre,0))&amp;""&lt;&gt;"",INDEX(ctaVinc,MATCH(Q3406,ctaNombre,0))&amp;"",Q3406),Q3406))</f>
        <v/>
      </c>
      <c r="AC3406" s="52">
        <f>IF(OR(K3406="",AND(P3406&lt;&gt;"Transferencia",P3406&lt;&gt;"Pago tarjeta")),"",IFERROR(IF(INDEX(ctaVinc,MATCH(K3406,ctaNombre,0))&amp;""&lt;&gt;"",INDEX(ctaVinc,MATCH(K3406,ctaNombre,0))&amp;"",K3406),K3406))</f>
        <v/>
      </c>
      <c r="AD3406" s="52">
        <f>IF(AB3406="","",IFERROR(INDEX(ctaTipo,MATCH(AB3406,ctaNombre,0))&amp;"",""))</f>
        <v/>
      </c>
      <c r="AE3406" s="52">
        <f>IF(AC3406="","",IFERROR(INDEX(ctaTipo,MATCH(AC3406,ctaNombre,0))&amp;"",""))</f>
        <v/>
      </c>
      <c r="AF3406" s="53">
        <f>IF(OR(P3406="",AB3406=""),"",IF(OR(P3406="Gasto",P3406="Transferencia",P3406="Pago tarjeta"),-1,1)*IF(IFERROR(INDEX(ctaMoneda,MATCH(AB3406,ctaNombre,0))&amp;"","DOP")="USD",T3406,S3406))</f>
        <v/>
      </c>
      <c r="AG3406" s="53">
        <f>IF(AC3406="","",IF(IFERROR(INDEX(ctaMoneda,MATCH(AC3406,ctaNombre,0))&amp;"","DOP")="USD",T3406,S3406))</f>
        <v/>
      </c>
      <c r="AH3406" s="53">
        <f>IF(P3406="","",IF(AND(AD3406&lt;&gt;"",COUNTIFS(tcTipo,AD3406,tcLiq,"Sí")&gt;0),IF(OR(P3406="Gasto",P3406="Transferencia",P3406="Pago tarjeta"),-1,1)*S3406,0)+IF(AND(AE3406&lt;&gt;"",COUNTIFS(tcTipo,AE3406,tcLiq,"Sí")&gt;0),S3406,0))</f>
        <v/>
      </c>
      <c r="AI3406" s="52">
        <f>IF(OR(L3406="",P3406=""),"",IF(COUNTIFS(L$6:L3406,L3406,P$6:P3406,"?*")=1,MAX(AI$5:AI3405)+1,""))</f>
        <v/>
      </c>
    </row>
    <row r="3407">
      <c r="B3407" s="47" t="n"/>
      <c r="C3407" s="48" t="n"/>
      <c r="D3407" s="48" t="n"/>
      <c r="E3407" s="48" t="n"/>
      <c r="F3407" s="48" t="n"/>
      <c r="G3407" s="49" t="n"/>
      <c r="H3407" s="48" t="n"/>
      <c r="I3407" s="50" t="n"/>
      <c r="J3407" s="48" t="n"/>
      <c r="K3407" s="48" t="n"/>
      <c r="L3407" s="48" t="n"/>
      <c r="M3407" s="48" t="n"/>
      <c r="N3407" s="48" t="n"/>
      <c r="O3407" s="51">
        <f>IF(AND(B3407="",G3407="",C3407="",D3407="",J3407=""),"",IF(B3407="","⚠ Falta fecha",IF(G3407="","⚠ Falta monto",IF(Q3407="","⚠ Falta cuenta",IF(ISNA(MATCH(Q3407,ctaNombre,0)),"⚠ Cuenta no registrada",IF(AND(OR(P3407="Gasto",P3407="Reembolso"),D3407=""),"⚠ Falta categoría",IF(AND(D3407&lt;&gt;"",E3407&lt;&gt;"",ISNA(MATCH(D3407&amp;"|"&amp;E3407,catClave,0))),"⚠ Subcategoría no corresponde",IF(AND(OR(P3407="Transferencia",P3407="Pago tarjeta"),K3407=""),"⚠ Falta cuenta destino",IF(AND(K3407&lt;&gt;"",P3407&lt;&gt;"Transferencia",P3407&lt;&gt;"Pago tarjeta"),"⚠ Destino solo aplica a transferencias",IF(AND(K3407&lt;&gt;"",K3407=Q3407),"⚠ Origen igual a destino",IF(AND(K3407&lt;&gt;"",ISNA(MATCH(K3407,ctaNombre,0))),"⚠ Destino no registrado",IF(AND(P3407="Pago tarjeta",AE3407&lt;&gt;"Tarjeta de crédito"),"⚠ El destino debe ser tarjeta de crédito",IF(AND(P3407="Gasto",E3407="Depósitos y retiros"),"⚠ Usa tipo Transferencia",IF(AND(P3407="Resultado trading",AD3407&lt;&gt;"Cuenta de trading"),"⚠ Usa una cuenta de trading",IF(AND(G3407&lt;=0,P3407&lt;&gt;"Ajuste",P3407&lt;&gt;"Resultado trading"),"⚠ El monto debe ser positivo","✓")))))))))))))))</f>
        <v/>
      </c>
      <c r="P3407" s="52">
        <f>IF(OR(B3407="",G3407=""),"",IF(C3407="","Gasto",C3407))</f>
        <v/>
      </c>
      <c r="Q3407" s="52">
        <f>IF(P3407="","",IF(J3407&lt;&gt;"",J3407,CuentaPred&amp;""))</f>
        <v/>
      </c>
      <c r="R3407" s="52">
        <f>IF(P3407="","",IF(ISNUMBER(I3407),I3407,TasaUSD))</f>
        <v/>
      </c>
      <c r="S3407" s="53">
        <f>IF(P3407="","",IF(H3407="USD",G3407*R3407,G3407))</f>
        <v/>
      </c>
      <c r="T3407" s="53">
        <f>IF(P3407="","",IF(H3407="USD",G3407,IF(R3407&gt;0,G3407/R3407,0)))</f>
        <v/>
      </c>
      <c r="U3407" s="53">
        <f>IF(P3407="","",IF(P3407="Gasto",S3407,IF(P3407="Reembolso",-S3407,0)))</f>
        <v/>
      </c>
      <c r="V3407" s="53">
        <f>IF(P3407="","",IF(P3407="Ingreso",S3407,0))</f>
        <v/>
      </c>
      <c r="W3407" s="53">
        <f>IF(P3407="","",IF(P3407="Resultado trading",S3407,0))</f>
        <v/>
      </c>
      <c r="X3407" s="52">
        <f>IF(OR(P3407="Gasto",P3407="Reembolso"),IF(M3407&lt;&gt;"",M3407,IFERROR(INDEX(catClasif,MATCH(D3407&amp;"|"&amp;E3407,catClave,0))&amp;"","Variable")),"")</f>
        <v/>
      </c>
      <c r="Y3407" s="52">
        <f>IF(P3407="","",IFERROR(INDEX(catGrupo,MATCH(D3407&amp;"|"&amp;E3407,catClave,0))&amp;"",""))</f>
        <v/>
      </c>
      <c r="Z3407" s="52">
        <f>IF(P3407="","",WEEKDAY(B3407,2))</f>
        <v/>
      </c>
      <c r="AA3407" s="52">
        <f>IF(P3407="","",IF(AND(P3407="Gasto",X3407="Variable",D3407&lt;&gt;catTrading,S3407&gt;0,S3407&lt;=Umbral),1,0))</f>
        <v/>
      </c>
      <c r="AB3407" s="52">
        <f>IF(OR(P3407="",Q3407=""),"",IFERROR(IF(INDEX(ctaVinc,MATCH(Q3407,ctaNombre,0))&amp;""&lt;&gt;"",INDEX(ctaVinc,MATCH(Q3407,ctaNombre,0))&amp;"",Q3407),Q3407))</f>
        <v/>
      </c>
      <c r="AC3407" s="52">
        <f>IF(OR(K3407="",AND(P3407&lt;&gt;"Transferencia",P3407&lt;&gt;"Pago tarjeta")),"",IFERROR(IF(INDEX(ctaVinc,MATCH(K3407,ctaNombre,0))&amp;""&lt;&gt;"",INDEX(ctaVinc,MATCH(K3407,ctaNombre,0))&amp;"",K3407),K3407))</f>
        <v/>
      </c>
      <c r="AD3407" s="52">
        <f>IF(AB3407="","",IFERROR(INDEX(ctaTipo,MATCH(AB3407,ctaNombre,0))&amp;"",""))</f>
        <v/>
      </c>
      <c r="AE3407" s="52">
        <f>IF(AC3407="","",IFERROR(INDEX(ctaTipo,MATCH(AC3407,ctaNombre,0))&amp;"",""))</f>
        <v/>
      </c>
      <c r="AF3407" s="53">
        <f>IF(OR(P3407="",AB3407=""),"",IF(OR(P3407="Gasto",P3407="Transferencia",P3407="Pago tarjeta"),-1,1)*IF(IFERROR(INDEX(ctaMoneda,MATCH(AB3407,ctaNombre,0))&amp;"","DOP")="USD",T3407,S3407))</f>
        <v/>
      </c>
      <c r="AG3407" s="53">
        <f>IF(AC3407="","",IF(IFERROR(INDEX(ctaMoneda,MATCH(AC3407,ctaNombre,0))&amp;"","DOP")="USD",T3407,S3407))</f>
        <v/>
      </c>
      <c r="AH3407" s="53">
        <f>IF(P3407="","",IF(AND(AD3407&lt;&gt;"",COUNTIFS(tcTipo,AD3407,tcLiq,"Sí")&gt;0),IF(OR(P3407="Gasto",P3407="Transferencia",P3407="Pago tarjeta"),-1,1)*S3407,0)+IF(AND(AE3407&lt;&gt;"",COUNTIFS(tcTipo,AE3407,tcLiq,"Sí")&gt;0),S3407,0))</f>
        <v/>
      </c>
      <c r="AI3407" s="52">
        <f>IF(OR(L3407="",P3407=""),"",IF(COUNTIFS(L$6:L3407,L3407,P$6:P3407,"?*")=1,MAX(AI$5:AI3406)+1,""))</f>
        <v/>
      </c>
    </row>
    <row r="3408">
      <c r="B3408" s="47" t="n"/>
      <c r="C3408" s="48" t="n"/>
      <c r="D3408" s="48" t="n"/>
      <c r="E3408" s="48" t="n"/>
      <c r="F3408" s="48" t="n"/>
      <c r="G3408" s="49" t="n"/>
      <c r="H3408" s="48" t="n"/>
      <c r="I3408" s="50" t="n"/>
      <c r="J3408" s="48" t="n"/>
      <c r="K3408" s="48" t="n"/>
      <c r="L3408" s="48" t="n"/>
      <c r="M3408" s="48" t="n"/>
      <c r="N3408" s="48" t="n"/>
      <c r="O3408" s="51">
        <f>IF(AND(B3408="",G3408="",C3408="",D3408="",J3408=""),"",IF(B3408="","⚠ Falta fecha",IF(G3408="","⚠ Falta monto",IF(Q3408="","⚠ Falta cuenta",IF(ISNA(MATCH(Q3408,ctaNombre,0)),"⚠ Cuenta no registrada",IF(AND(OR(P3408="Gasto",P3408="Reembolso"),D3408=""),"⚠ Falta categoría",IF(AND(D3408&lt;&gt;"",E3408&lt;&gt;"",ISNA(MATCH(D3408&amp;"|"&amp;E3408,catClave,0))),"⚠ Subcategoría no corresponde",IF(AND(OR(P3408="Transferencia",P3408="Pago tarjeta"),K3408=""),"⚠ Falta cuenta destino",IF(AND(K3408&lt;&gt;"",P3408&lt;&gt;"Transferencia",P3408&lt;&gt;"Pago tarjeta"),"⚠ Destino solo aplica a transferencias",IF(AND(K3408&lt;&gt;"",K3408=Q3408),"⚠ Origen igual a destino",IF(AND(K3408&lt;&gt;"",ISNA(MATCH(K3408,ctaNombre,0))),"⚠ Destino no registrado",IF(AND(P3408="Pago tarjeta",AE3408&lt;&gt;"Tarjeta de crédito"),"⚠ El destino debe ser tarjeta de crédito",IF(AND(P3408="Gasto",E3408="Depósitos y retiros"),"⚠ Usa tipo Transferencia",IF(AND(P3408="Resultado trading",AD3408&lt;&gt;"Cuenta de trading"),"⚠ Usa una cuenta de trading",IF(AND(G3408&lt;=0,P3408&lt;&gt;"Ajuste",P3408&lt;&gt;"Resultado trading"),"⚠ El monto debe ser positivo","✓")))))))))))))))</f>
        <v/>
      </c>
      <c r="P3408" s="52">
        <f>IF(OR(B3408="",G3408=""),"",IF(C3408="","Gasto",C3408))</f>
        <v/>
      </c>
      <c r="Q3408" s="52">
        <f>IF(P3408="","",IF(J3408&lt;&gt;"",J3408,CuentaPred&amp;""))</f>
        <v/>
      </c>
      <c r="R3408" s="52">
        <f>IF(P3408="","",IF(ISNUMBER(I3408),I3408,TasaUSD))</f>
        <v/>
      </c>
      <c r="S3408" s="53">
        <f>IF(P3408="","",IF(H3408="USD",G3408*R3408,G3408))</f>
        <v/>
      </c>
      <c r="T3408" s="53">
        <f>IF(P3408="","",IF(H3408="USD",G3408,IF(R3408&gt;0,G3408/R3408,0)))</f>
        <v/>
      </c>
      <c r="U3408" s="53">
        <f>IF(P3408="","",IF(P3408="Gasto",S3408,IF(P3408="Reembolso",-S3408,0)))</f>
        <v/>
      </c>
      <c r="V3408" s="53">
        <f>IF(P3408="","",IF(P3408="Ingreso",S3408,0))</f>
        <v/>
      </c>
      <c r="W3408" s="53">
        <f>IF(P3408="","",IF(P3408="Resultado trading",S3408,0))</f>
        <v/>
      </c>
      <c r="X3408" s="52">
        <f>IF(OR(P3408="Gasto",P3408="Reembolso"),IF(M3408&lt;&gt;"",M3408,IFERROR(INDEX(catClasif,MATCH(D3408&amp;"|"&amp;E3408,catClave,0))&amp;"","Variable")),"")</f>
        <v/>
      </c>
      <c r="Y3408" s="52">
        <f>IF(P3408="","",IFERROR(INDEX(catGrupo,MATCH(D3408&amp;"|"&amp;E3408,catClave,0))&amp;"",""))</f>
        <v/>
      </c>
      <c r="Z3408" s="52">
        <f>IF(P3408="","",WEEKDAY(B3408,2))</f>
        <v/>
      </c>
      <c r="AA3408" s="52">
        <f>IF(P3408="","",IF(AND(P3408="Gasto",X3408="Variable",D3408&lt;&gt;catTrading,S3408&gt;0,S3408&lt;=Umbral),1,0))</f>
        <v/>
      </c>
      <c r="AB3408" s="52">
        <f>IF(OR(P3408="",Q3408=""),"",IFERROR(IF(INDEX(ctaVinc,MATCH(Q3408,ctaNombre,0))&amp;""&lt;&gt;"",INDEX(ctaVinc,MATCH(Q3408,ctaNombre,0))&amp;"",Q3408),Q3408))</f>
        <v/>
      </c>
      <c r="AC3408" s="52">
        <f>IF(OR(K3408="",AND(P3408&lt;&gt;"Transferencia",P3408&lt;&gt;"Pago tarjeta")),"",IFERROR(IF(INDEX(ctaVinc,MATCH(K3408,ctaNombre,0))&amp;""&lt;&gt;"",INDEX(ctaVinc,MATCH(K3408,ctaNombre,0))&amp;"",K3408),K3408))</f>
        <v/>
      </c>
      <c r="AD3408" s="52">
        <f>IF(AB3408="","",IFERROR(INDEX(ctaTipo,MATCH(AB3408,ctaNombre,0))&amp;"",""))</f>
        <v/>
      </c>
      <c r="AE3408" s="52">
        <f>IF(AC3408="","",IFERROR(INDEX(ctaTipo,MATCH(AC3408,ctaNombre,0))&amp;"",""))</f>
        <v/>
      </c>
      <c r="AF3408" s="53">
        <f>IF(OR(P3408="",AB3408=""),"",IF(OR(P3408="Gasto",P3408="Transferencia",P3408="Pago tarjeta"),-1,1)*IF(IFERROR(INDEX(ctaMoneda,MATCH(AB3408,ctaNombre,0))&amp;"","DOP")="USD",T3408,S3408))</f>
        <v/>
      </c>
      <c r="AG3408" s="53">
        <f>IF(AC3408="","",IF(IFERROR(INDEX(ctaMoneda,MATCH(AC3408,ctaNombre,0))&amp;"","DOP")="USD",T3408,S3408))</f>
        <v/>
      </c>
      <c r="AH3408" s="53">
        <f>IF(P3408="","",IF(AND(AD3408&lt;&gt;"",COUNTIFS(tcTipo,AD3408,tcLiq,"Sí")&gt;0),IF(OR(P3408="Gasto",P3408="Transferencia",P3408="Pago tarjeta"),-1,1)*S3408,0)+IF(AND(AE3408&lt;&gt;"",COUNTIFS(tcTipo,AE3408,tcLiq,"Sí")&gt;0),S3408,0))</f>
        <v/>
      </c>
      <c r="AI3408" s="52">
        <f>IF(OR(L3408="",P3408=""),"",IF(COUNTIFS(L$6:L3408,L3408,P$6:P3408,"?*")=1,MAX(AI$5:AI3407)+1,""))</f>
        <v/>
      </c>
    </row>
    <row r="3409">
      <c r="B3409" s="47" t="n"/>
      <c r="C3409" s="48" t="n"/>
      <c r="D3409" s="48" t="n"/>
      <c r="E3409" s="48" t="n"/>
      <c r="F3409" s="48" t="n"/>
      <c r="G3409" s="49" t="n"/>
      <c r="H3409" s="48" t="n"/>
      <c r="I3409" s="50" t="n"/>
      <c r="J3409" s="48" t="n"/>
      <c r="K3409" s="48" t="n"/>
      <c r="L3409" s="48" t="n"/>
      <c r="M3409" s="48" t="n"/>
      <c r="N3409" s="48" t="n"/>
      <c r="O3409" s="51">
        <f>IF(AND(B3409="",G3409="",C3409="",D3409="",J3409=""),"",IF(B3409="","⚠ Falta fecha",IF(G3409="","⚠ Falta monto",IF(Q3409="","⚠ Falta cuenta",IF(ISNA(MATCH(Q3409,ctaNombre,0)),"⚠ Cuenta no registrada",IF(AND(OR(P3409="Gasto",P3409="Reembolso"),D3409=""),"⚠ Falta categoría",IF(AND(D3409&lt;&gt;"",E3409&lt;&gt;"",ISNA(MATCH(D3409&amp;"|"&amp;E3409,catClave,0))),"⚠ Subcategoría no corresponde",IF(AND(OR(P3409="Transferencia",P3409="Pago tarjeta"),K3409=""),"⚠ Falta cuenta destino",IF(AND(K3409&lt;&gt;"",P3409&lt;&gt;"Transferencia",P3409&lt;&gt;"Pago tarjeta"),"⚠ Destino solo aplica a transferencias",IF(AND(K3409&lt;&gt;"",K3409=Q3409),"⚠ Origen igual a destino",IF(AND(K3409&lt;&gt;"",ISNA(MATCH(K3409,ctaNombre,0))),"⚠ Destino no registrado",IF(AND(P3409="Pago tarjeta",AE3409&lt;&gt;"Tarjeta de crédito"),"⚠ El destino debe ser tarjeta de crédito",IF(AND(P3409="Gasto",E3409="Depósitos y retiros"),"⚠ Usa tipo Transferencia",IF(AND(P3409="Resultado trading",AD3409&lt;&gt;"Cuenta de trading"),"⚠ Usa una cuenta de trading",IF(AND(G3409&lt;=0,P3409&lt;&gt;"Ajuste",P3409&lt;&gt;"Resultado trading"),"⚠ El monto debe ser positivo","✓")))))))))))))))</f>
        <v/>
      </c>
      <c r="P3409" s="52">
        <f>IF(OR(B3409="",G3409=""),"",IF(C3409="","Gasto",C3409))</f>
        <v/>
      </c>
      <c r="Q3409" s="52">
        <f>IF(P3409="","",IF(J3409&lt;&gt;"",J3409,CuentaPred&amp;""))</f>
        <v/>
      </c>
      <c r="R3409" s="52">
        <f>IF(P3409="","",IF(ISNUMBER(I3409),I3409,TasaUSD))</f>
        <v/>
      </c>
      <c r="S3409" s="53">
        <f>IF(P3409="","",IF(H3409="USD",G3409*R3409,G3409))</f>
        <v/>
      </c>
      <c r="T3409" s="53">
        <f>IF(P3409="","",IF(H3409="USD",G3409,IF(R3409&gt;0,G3409/R3409,0)))</f>
        <v/>
      </c>
      <c r="U3409" s="53">
        <f>IF(P3409="","",IF(P3409="Gasto",S3409,IF(P3409="Reembolso",-S3409,0)))</f>
        <v/>
      </c>
      <c r="V3409" s="53">
        <f>IF(P3409="","",IF(P3409="Ingreso",S3409,0))</f>
        <v/>
      </c>
      <c r="W3409" s="53">
        <f>IF(P3409="","",IF(P3409="Resultado trading",S3409,0))</f>
        <v/>
      </c>
      <c r="X3409" s="52">
        <f>IF(OR(P3409="Gasto",P3409="Reembolso"),IF(M3409&lt;&gt;"",M3409,IFERROR(INDEX(catClasif,MATCH(D3409&amp;"|"&amp;E3409,catClave,0))&amp;"","Variable")),"")</f>
        <v/>
      </c>
      <c r="Y3409" s="52">
        <f>IF(P3409="","",IFERROR(INDEX(catGrupo,MATCH(D3409&amp;"|"&amp;E3409,catClave,0))&amp;"",""))</f>
        <v/>
      </c>
      <c r="Z3409" s="52">
        <f>IF(P3409="","",WEEKDAY(B3409,2))</f>
        <v/>
      </c>
      <c r="AA3409" s="52">
        <f>IF(P3409="","",IF(AND(P3409="Gasto",X3409="Variable",D3409&lt;&gt;catTrading,S3409&gt;0,S3409&lt;=Umbral),1,0))</f>
        <v/>
      </c>
      <c r="AB3409" s="52">
        <f>IF(OR(P3409="",Q3409=""),"",IFERROR(IF(INDEX(ctaVinc,MATCH(Q3409,ctaNombre,0))&amp;""&lt;&gt;"",INDEX(ctaVinc,MATCH(Q3409,ctaNombre,0))&amp;"",Q3409),Q3409))</f>
        <v/>
      </c>
      <c r="AC3409" s="52">
        <f>IF(OR(K3409="",AND(P3409&lt;&gt;"Transferencia",P3409&lt;&gt;"Pago tarjeta")),"",IFERROR(IF(INDEX(ctaVinc,MATCH(K3409,ctaNombre,0))&amp;""&lt;&gt;"",INDEX(ctaVinc,MATCH(K3409,ctaNombre,0))&amp;"",K3409),K3409))</f>
        <v/>
      </c>
      <c r="AD3409" s="52">
        <f>IF(AB3409="","",IFERROR(INDEX(ctaTipo,MATCH(AB3409,ctaNombre,0))&amp;"",""))</f>
        <v/>
      </c>
      <c r="AE3409" s="52">
        <f>IF(AC3409="","",IFERROR(INDEX(ctaTipo,MATCH(AC3409,ctaNombre,0))&amp;"",""))</f>
        <v/>
      </c>
      <c r="AF3409" s="53">
        <f>IF(OR(P3409="",AB3409=""),"",IF(OR(P3409="Gasto",P3409="Transferencia",P3409="Pago tarjeta"),-1,1)*IF(IFERROR(INDEX(ctaMoneda,MATCH(AB3409,ctaNombre,0))&amp;"","DOP")="USD",T3409,S3409))</f>
        <v/>
      </c>
      <c r="AG3409" s="53">
        <f>IF(AC3409="","",IF(IFERROR(INDEX(ctaMoneda,MATCH(AC3409,ctaNombre,0))&amp;"","DOP")="USD",T3409,S3409))</f>
        <v/>
      </c>
      <c r="AH3409" s="53">
        <f>IF(P3409="","",IF(AND(AD3409&lt;&gt;"",COUNTIFS(tcTipo,AD3409,tcLiq,"Sí")&gt;0),IF(OR(P3409="Gasto",P3409="Transferencia",P3409="Pago tarjeta"),-1,1)*S3409,0)+IF(AND(AE3409&lt;&gt;"",COUNTIFS(tcTipo,AE3409,tcLiq,"Sí")&gt;0),S3409,0))</f>
        <v/>
      </c>
      <c r="AI3409" s="52">
        <f>IF(OR(L3409="",P3409=""),"",IF(COUNTIFS(L$6:L3409,L3409,P$6:P3409,"?*")=1,MAX(AI$5:AI3408)+1,""))</f>
        <v/>
      </c>
    </row>
    <row r="3410">
      <c r="B3410" s="47" t="n"/>
      <c r="C3410" s="48" t="n"/>
      <c r="D3410" s="48" t="n"/>
      <c r="E3410" s="48" t="n"/>
      <c r="F3410" s="48" t="n"/>
      <c r="G3410" s="49" t="n"/>
      <c r="H3410" s="48" t="n"/>
      <c r="I3410" s="50" t="n"/>
      <c r="J3410" s="48" t="n"/>
      <c r="K3410" s="48" t="n"/>
      <c r="L3410" s="48" t="n"/>
      <c r="M3410" s="48" t="n"/>
      <c r="N3410" s="48" t="n"/>
      <c r="O3410" s="51">
        <f>IF(AND(B3410="",G3410="",C3410="",D3410="",J3410=""),"",IF(B3410="","⚠ Falta fecha",IF(G3410="","⚠ Falta monto",IF(Q3410="","⚠ Falta cuenta",IF(ISNA(MATCH(Q3410,ctaNombre,0)),"⚠ Cuenta no registrada",IF(AND(OR(P3410="Gasto",P3410="Reembolso"),D3410=""),"⚠ Falta categoría",IF(AND(D3410&lt;&gt;"",E3410&lt;&gt;"",ISNA(MATCH(D3410&amp;"|"&amp;E3410,catClave,0))),"⚠ Subcategoría no corresponde",IF(AND(OR(P3410="Transferencia",P3410="Pago tarjeta"),K3410=""),"⚠ Falta cuenta destino",IF(AND(K3410&lt;&gt;"",P3410&lt;&gt;"Transferencia",P3410&lt;&gt;"Pago tarjeta"),"⚠ Destino solo aplica a transferencias",IF(AND(K3410&lt;&gt;"",K3410=Q3410),"⚠ Origen igual a destino",IF(AND(K3410&lt;&gt;"",ISNA(MATCH(K3410,ctaNombre,0))),"⚠ Destino no registrado",IF(AND(P3410="Pago tarjeta",AE3410&lt;&gt;"Tarjeta de crédito"),"⚠ El destino debe ser tarjeta de crédito",IF(AND(P3410="Gasto",E3410="Depósitos y retiros"),"⚠ Usa tipo Transferencia",IF(AND(P3410="Resultado trading",AD3410&lt;&gt;"Cuenta de trading"),"⚠ Usa una cuenta de trading",IF(AND(G3410&lt;=0,P3410&lt;&gt;"Ajuste",P3410&lt;&gt;"Resultado trading"),"⚠ El monto debe ser positivo","✓")))))))))))))))</f>
        <v/>
      </c>
      <c r="P3410" s="52">
        <f>IF(OR(B3410="",G3410=""),"",IF(C3410="","Gasto",C3410))</f>
        <v/>
      </c>
      <c r="Q3410" s="52">
        <f>IF(P3410="","",IF(J3410&lt;&gt;"",J3410,CuentaPred&amp;""))</f>
        <v/>
      </c>
      <c r="R3410" s="52">
        <f>IF(P3410="","",IF(ISNUMBER(I3410),I3410,TasaUSD))</f>
        <v/>
      </c>
      <c r="S3410" s="53">
        <f>IF(P3410="","",IF(H3410="USD",G3410*R3410,G3410))</f>
        <v/>
      </c>
      <c r="T3410" s="53">
        <f>IF(P3410="","",IF(H3410="USD",G3410,IF(R3410&gt;0,G3410/R3410,0)))</f>
        <v/>
      </c>
      <c r="U3410" s="53">
        <f>IF(P3410="","",IF(P3410="Gasto",S3410,IF(P3410="Reembolso",-S3410,0)))</f>
        <v/>
      </c>
      <c r="V3410" s="53">
        <f>IF(P3410="","",IF(P3410="Ingreso",S3410,0))</f>
        <v/>
      </c>
      <c r="W3410" s="53">
        <f>IF(P3410="","",IF(P3410="Resultado trading",S3410,0))</f>
        <v/>
      </c>
      <c r="X3410" s="52">
        <f>IF(OR(P3410="Gasto",P3410="Reembolso"),IF(M3410&lt;&gt;"",M3410,IFERROR(INDEX(catClasif,MATCH(D3410&amp;"|"&amp;E3410,catClave,0))&amp;"","Variable")),"")</f>
        <v/>
      </c>
      <c r="Y3410" s="52">
        <f>IF(P3410="","",IFERROR(INDEX(catGrupo,MATCH(D3410&amp;"|"&amp;E3410,catClave,0))&amp;"",""))</f>
        <v/>
      </c>
      <c r="Z3410" s="52">
        <f>IF(P3410="","",WEEKDAY(B3410,2))</f>
        <v/>
      </c>
      <c r="AA3410" s="52">
        <f>IF(P3410="","",IF(AND(P3410="Gasto",X3410="Variable",D3410&lt;&gt;catTrading,S3410&gt;0,S3410&lt;=Umbral),1,0))</f>
        <v/>
      </c>
      <c r="AB3410" s="52">
        <f>IF(OR(P3410="",Q3410=""),"",IFERROR(IF(INDEX(ctaVinc,MATCH(Q3410,ctaNombre,0))&amp;""&lt;&gt;"",INDEX(ctaVinc,MATCH(Q3410,ctaNombre,0))&amp;"",Q3410),Q3410))</f>
        <v/>
      </c>
      <c r="AC3410" s="52">
        <f>IF(OR(K3410="",AND(P3410&lt;&gt;"Transferencia",P3410&lt;&gt;"Pago tarjeta")),"",IFERROR(IF(INDEX(ctaVinc,MATCH(K3410,ctaNombre,0))&amp;""&lt;&gt;"",INDEX(ctaVinc,MATCH(K3410,ctaNombre,0))&amp;"",K3410),K3410))</f>
        <v/>
      </c>
      <c r="AD3410" s="52">
        <f>IF(AB3410="","",IFERROR(INDEX(ctaTipo,MATCH(AB3410,ctaNombre,0))&amp;"",""))</f>
        <v/>
      </c>
      <c r="AE3410" s="52">
        <f>IF(AC3410="","",IFERROR(INDEX(ctaTipo,MATCH(AC3410,ctaNombre,0))&amp;"",""))</f>
        <v/>
      </c>
      <c r="AF3410" s="53">
        <f>IF(OR(P3410="",AB3410=""),"",IF(OR(P3410="Gasto",P3410="Transferencia",P3410="Pago tarjeta"),-1,1)*IF(IFERROR(INDEX(ctaMoneda,MATCH(AB3410,ctaNombre,0))&amp;"","DOP")="USD",T3410,S3410))</f>
        <v/>
      </c>
      <c r="AG3410" s="53">
        <f>IF(AC3410="","",IF(IFERROR(INDEX(ctaMoneda,MATCH(AC3410,ctaNombre,0))&amp;"","DOP")="USD",T3410,S3410))</f>
        <v/>
      </c>
      <c r="AH3410" s="53">
        <f>IF(P3410="","",IF(AND(AD3410&lt;&gt;"",COUNTIFS(tcTipo,AD3410,tcLiq,"Sí")&gt;0),IF(OR(P3410="Gasto",P3410="Transferencia",P3410="Pago tarjeta"),-1,1)*S3410,0)+IF(AND(AE3410&lt;&gt;"",COUNTIFS(tcTipo,AE3410,tcLiq,"Sí")&gt;0),S3410,0))</f>
        <v/>
      </c>
      <c r="AI3410" s="52">
        <f>IF(OR(L3410="",P3410=""),"",IF(COUNTIFS(L$6:L3410,L3410,P$6:P3410,"?*")=1,MAX(AI$5:AI3409)+1,""))</f>
        <v/>
      </c>
    </row>
    <row r="3411">
      <c r="B3411" s="47" t="n"/>
      <c r="C3411" s="48" t="n"/>
      <c r="D3411" s="48" t="n"/>
      <c r="E3411" s="48" t="n"/>
      <c r="F3411" s="48" t="n"/>
      <c r="G3411" s="49" t="n"/>
      <c r="H3411" s="48" t="n"/>
      <c r="I3411" s="50" t="n"/>
      <c r="J3411" s="48" t="n"/>
      <c r="K3411" s="48" t="n"/>
      <c r="L3411" s="48" t="n"/>
      <c r="M3411" s="48" t="n"/>
      <c r="N3411" s="48" t="n"/>
      <c r="O3411" s="51">
        <f>IF(AND(B3411="",G3411="",C3411="",D3411="",J3411=""),"",IF(B3411="","⚠ Falta fecha",IF(G3411="","⚠ Falta monto",IF(Q3411="","⚠ Falta cuenta",IF(ISNA(MATCH(Q3411,ctaNombre,0)),"⚠ Cuenta no registrada",IF(AND(OR(P3411="Gasto",P3411="Reembolso"),D3411=""),"⚠ Falta categoría",IF(AND(D3411&lt;&gt;"",E3411&lt;&gt;"",ISNA(MATCH(D3411&amp;"|"&amp;E3411,catClave,0))),"⚠ Subcategoría no corresponde",IF(AND(OR(P3411="Transferencia",P3411="Pago tarjeta"),K3411=""),"⚠ Falta cuenta destino",IF(AND(K3411&lt;&gt;"",P3411&lt;&gt;"Transferencia",P3411&lt;&gt;"Pago tarjeta"),"⚠ Destino solo aplica a transferencias",IF(AND(K3411&lt;&gt;"",K3411=Q3411),"⚠ Origen igual a destino",IF(AND(K3411&lt;&gt;"",ISNA(MATCH(K3411,ctaNombre,0))),"⚠ Destino no registrado",IF(AND(P3411="Pago tarjeta",AE3411&lt;&gt;"Tarjeta de crédito"),"⚠ El destino debe ser tarjeta de crédito",IF(AND(P3411="Gasto",E3411="Depósitos y retiros"),"⚠ Usa tipo Transferencia",IF(AND(P3411="Resultado trading",AD3411&lt;&gt;"Cuenta de trading"),"⚠ Usa una cuenta de trading",IF(AND(G3411&lt;=0,P3411&lt;&gt;"Ajuste",P3411&lt;&gt;"Resultado trading"),"⚠ El monto debe ser positivo","✓")))))))))))))))</f>
        <v/>
      </c>
      <c r="P3411" s="52">
        <f>IF(OR(B3411="",G3411=""),"",IF(C3411="","Gasto",C3411))</f>
        <v/>
      </c>
      <c r="Q3411" s="52">
        <f>IF(P3411="","",IF(J3411&lt;&gt;"",J3411,CuentaPred&amp;""))</f>
        <v/>
      </c>
      <c r="R3411" s="52">
        <f>IF(P3411="","",IF(ISNUMBER(I3411),I3411,TasaUSD))</f>
        <v/>
      </c>
      <c r="S3411" s="53">
        <f>IF(P3411="","",IF(H3411="USD",G3411*R3411,G3411))</f>
        <v/>
      </c>
      <c r="T3411" s="53">
        <f>IF(P3411="","",IF(H3411="USD",G3411,IF(R3411&gt;0,G3411/R3411,0)))</f>
        <v/>
      </c>
      <c r="U3411" s="53">
        <f>IF(P3411="","",IF(P3411="Gasto",S3411,IF(P3411="Reembolso",-S3411,0)))</f>
        <v/>
      </c>
      <c r="V3411" s="53">
        <f>IF(P3411="","",IF(P3411="Ingreso",S3411,0))</f>
        <v/>
      </c>
      <c r="W3411" s="53">
        <f>IF(P3411="","",IF(P3411="Resultado trading",S3411,0))</f>
        <v/>
      </c>
      <c r="X3411" s="52">
        <f>IF(OR(P3411="Gasto",P3411="Reembolso"),IF(M3411&lt;&gt;"",M3411,IFERROR(INDEX(catClasif,MATCH(D3411&amp;"|"&amp;E3411,catClave,0))&amp;"","Variable")),"")</f>
        <v/>
      </c>
      <c r="Y3411" s="52">
        <f>IF(P3411="","",IFERROR(INDEX(catGrupo,MATCH(D3411&amp;"|"&amp;E3411,catClave,0))&amp;"",""))</f>
        <v/>
      </c>
      <c r="Z3411" s="52">
        <f>IF(P3411="","",WEEKDAY(B3411,2))</f>
        <v/>
      </c>
      <c r="AA3411" s="52">
        <f>IF(P3411="","",IF(AND(P3411="Gasto",X3411="Variable",D3411&lt;&gt;catTrading,S3411&gt;0,S3411&lt;=Umbral),1,0))</f>
        <v/>
      </c>
      <c r="AB3411" s="52">
        <f>IF(OR(P3411="",Q3411=""),"",IFERROR(IF(INDEX(ctaVinc,MATCH(Q3411,ctaNombre,0))&amp;""&lt;&gt;"",INDEX(ctaVinc,MATCH(Q3411,ctaNombre,0))&amp;"",Q3411),Q3411))</f>
        <v/>
      </c>
      <c r="AC3411" s="52">
        <f>IF(OR(K3411="",AND(P3411&lt;&gt;"Transferencia",P3411&lt;&gt;"Pago tarjeta")),"",IFERROR(IF(INDEX(ctaVinc,MATCH(K3411,ctaNombre,0))&amp;""&lt;&gt;"",INDEX(ctaVinc,MATCH(K3411,ctaNombre,0))&amp;"",K3411),K3411))</f>
        <v/>
      </c>
      <c r="AD3411" s="52">
        <f>IF(AB3411="","",IFERROR(INDEX(ctaTipo,MATCH(AB3411,ctaNombre,0))&amp;"",""))</f>
        <v/>
      </c>
      <c r="AE3411" s="52">
        <f>IF(AC3411="","",IFERROR(INDEX(ctaTipo,MATCH(AC3411,ctaNombre,0))&amp;"",""))</f>
        <v/>
      </c>
      <c r="AF3411" s="53">
        <f>IF(OR(P3411="",AB3411=""),"",IF(OR(P3411="Gasto",P3411="Transferencia",P3411="Pago tarjeta"),-1,1)*IF(IFERROR(INDEX(ctaMoneda,MATCH(AB3411,ctaNombre,0))&amp;"","DOP")="USD",T3411,S3411))</f>
        <v/>
      </c>
      <c r="AG3411" s="53">
        <f>IF(AC3411="","",IF(IFERROR(INDEX(ctaMoneda,MATCH(AC3411,ctaNombre,0))&amp;"","DOP")="USD",T3411,S3411))</f>
        <v/>
      </c>
      <c r="AH3411" s="53">
        <f>IF(P3411="","",IF(AND(AD3411&lt;&gt;"",COUNTIFS(tcTipo,AD3411,tcLiq,"Sí")&gt;0),IF(OR(P3411="Gasto",P3411="Transferencia",P3411="Pago tarjeta"),-1,1)*S3411,0)+IF(AND(AE3411&lt;&gt;"",COUNTIFS(tcTipo,AE3411,tcLiq,"Sí")&gt;0),S3411,0))</f>
        <v/>
      </c>
      <c r="AI3411" s="52">
        <f>IF(OR(L3411="",P3411=""),"",IF(COUNTIFS(L$6:L3411,L3411,P$6:P3411,"?*")=1,MAX(AI$5:AI3410)+1,""))</f>
        <v/>
      </c>
    </row>
    <row r="3412">
      <c r="B3412" s="47" t="n"/>
      <c r="C3412" s="48" t="n"/>
      <c r="D3412" s="48" t="n"/>
      <c r="E3412" s="48" t="n"/>
      <c r="F3412" s="48" t="n"/>
      <c r="G3412" s="49" t="n"/>
      <c r="H3412" s="48" t="n"/>
      <c r="I3412" s="50" t="n"/>
      <c r="J3412" s="48" t="n"/>
      <c r="K3412" s="48" t="n"/>
      <c r="L3412" s="48" t="n"/>
      <c r="M3412" s="48" t="n"/>
      <c r="N3412" s="48" t="n"/>
      <c r="O3412" s="51">
        <f>IF(AND(B3412="",G3412="",C3412="",D3412="",J3412=""),"",IF(B3412="","⚠ Falta fecha",IF(G3412="","⚠ Falta monto",IF(Q3412="","⚠ Falta cuenta",IF(ISNA(MATCH(Q3412,ctaNombre,0)),"⚠ Cuenta no registrada",IF(AND(OR(P3412="Gasto",P3412="Reembolso"),D3412=""),"⚠ Falta categoría",IF(AND(D3412&lt;&gt;"",E3412&lt;&gt;"",ISNA(MATCH(D3412&amp;"|"&amp;E3412,catClave,0))),"⚠ Subcategoría no corresponde",IF(AND(OR(P3412="Transferencia",P3412="Pago tarjeta"),K3412=""),"⚠ Falta cuenta destino",IF(AND(K3412&lt;&gt;"",P3412&lt;&gt;"Transferencia",P3412&lt;&gt;"Pago tarjeta"),"⚠ Destino solo aplica a transferencias",IF(AND(K3412&lt;&gt;"",K3412=Q3412),"⚠ Origen igual a destino",IF(AND(K3412&lt;&gt;"",ISNA(MATCH(K3412,ctaNombre,0))),"⚠ Destino no registrado",IF(AND(P3412="Pago tarjeta",AE3412&lt;&gt;"Tarjeta de crédito"),"⚠ El destino debe ser tarjeta de crédito",IF(AND(P3412="Gasto",E3412="Depósitos y retiros"),"⚠ Usa tipo Transferencia",IF(AND(P3412="Resultado trading",AD3412&lt;&gt;"Cuenta de trading"),"⚠ Usa una cuenta de trading",IF(AND(G3412&lt;=0,P3412&lt;&gt;"Ajuste",P3412&lt;&gt;"Resultado trading"),"⚠ El monto debe ser positivo","✓")))))))))))))))</f>
        <v/>
      </c>
      <c r="P3412" s="52">
        <f>IF(OR(B3412="",G3412=""),"",IF(C3412="","Gasto",C3412))</f>
        <v/>
      </c>
      <c r="Q3412" s="52">
        <f>IF(P3412="","",IF(J3412&lt;&gt;"",J3412,CuentaPred&amp;""))</f>
        <v/>
      </c>
      <c r="R3412" s="52">
        <f>IF(P3412="","",IF(ISNUMBER(I3412),I3412,TasaUSD))</f>
        <v/>
      </c>
      <c r="S3412" s="53">
        <f>IF(P3412="","",IF(H3412="USD",G3412*R3412,G3412))</f>
        <v/>
      </c>
      <c r="T3412" s="53">
        <f>IF(P3412="","",IF(H3412="USD",G3412,IF(R3412&gt;0,G3412/R3412,0)))</f>
        <v/>
      </c>
      <c r="U3412" s="53">
        <f>IF(P3412="","",IF(P3412="Gasto",S3412,IF(P3412="Reembolso",-S3412,0)))</f>
        <v/>
      </c>
      <c r="V3412" s="53">
        <f>IF(P3412="","",IF(P3412="Ingreso",S3412,0))</f>
        <v/>
      </c>
      <c r="W3412" s="53">
        <f>IF(P3412="","",IF(P3412="Resultado trading",S3412,0))</f>
        <v/>
      </c>
      <c r="X3412" s="52">
        <f>IF(OR(P3412="Gasto",P3412="Reembolso"),IF(M3412&lt;&gt;"",M3412,IFERROR(INDEX(catClasif,MATCH(D3412&amp;"|"&amp;E3412,catClave,0))&amp;"","Variable")),"")</f>
        <v/>
      </c>
      <c r="Y3412" s="52">
        <f>IF(P3412="","",IFERROR(INDEX(catGrupo,MATCH(D3412&amp;"|"&amp;E3412,catClave,0))&amp;"",""))</f>
        <v/>
      </c>
      <c r="Z3412" s="52">
        <f>IF(P3412="","",WEEKDAY(B3412,2))</f>
        <v/>
      </c>
      <c r="AA3412" s="52">
        <f>IF(P3412="","",IF(AND(P3412="Gasto",X3412="Variable",D3412&lt;&gt;catTrading,S3412&gt;0,S3412&lt;=Umbral),1,0))</f>
        <v/>
      </c>
      <c r="AB3412" s="52">
        <f>IF(OR(P3412="",Q3412=""),"",IFERROR(IF(INDEX(ctaVinc,MATCH(Q3412,ctaNombre,0))&amp;""&lt;&gt;"",INDEX(ctaVinc,MATCH(Q3412,ctaNombre,0))&amp;"",Q3412),Q3412))</f>
        <v/>
      </c>
      <c r="AC3412" s="52">
        <f>IF(OR(K3412="",AND(P3412&lt;&gt;"Transferencia",P3412&lt;&gt;"Pago tarjeta")),"",IFERROR(IF(INDEX(ctaVinc,MATCH(K3412,ctaNombre,0))&amp;""&lt;&gt;"",INDEX(ctaVinc,MATCH(K3412,ctaNombre,0))&amp;"",K3412),K3412))</f>
        <v/>
      </c>
      <c r="AD3412" s="52">
        <f>IF(AB3412="","",IFERROR(INDEX(ctaTipo,MATCH(AB3412,ctaNombre,0))&amp;"",""))</f>
        <v/>
      </c>
      <c r="AE3412" s="52">
        <f>IF(AC3412="","",IFERROR(INDEX(ctaTipo,MATCH(AC3412,ctaNombre,0))&amp;"",""))</f>
        <v/>
      </c>
      <c r="AF3412" s="53">
        <f>IF(OR(P3412="",AB3412=""),"",IF(OR(P3412="Gasto",P3412="Transferencia",P3412="Pago tarjeta"),-1,1)*IF(IFERROR(INDEX(ctaMoneda,MATCH(AB3412,ctaNombre,0))&amp;"","DOP")="USD",T3412,S3412))</f>
        <v/>
      </c>
      <c r="AG3412" s="53">
        <f>IF(AC3412="","",IF(IFERROR(INDEX(ctaMoneda,MATCH(AC3412,ctaNombre,0))&amp;"","DOP")="USD",T3412,S3412))</f>
        <v/>
      </c>
      <c r="AH3412" s="53">
        <f>IF(P3412="","",IF(AND(AD3412&lt;&gt;"",COUNTIFS(tcTipo,AD3412,tcLiq,"Sí")&gt;0),IF(OR(P3412="Gasto",P3412="Transferencia",P3412="Pago tarjeta"),-1,1)*S3412,0)+IF(AND(AE3412&lt;&gt;"",COUNTIFS(tcTipo,AE3412,tcLiq,"Sí")&gt;0),S3412,0))</f>
        <v/>
      </c>
      <c r="AI3412" s="52">
        <f>IF(OR(L3412="",P3412=""),"",IF(COUNTIFS(L$6:L3412,L3412,P$6:P3412,"?*")=1,MAX(AI$5:AI3411)+1,""))</f>
        <v/>
      </c>
    </row>
    <row r="3413">
      <c r="B3413" s="47" t="n"/>
      <c r="C3413" s="48" t="n"/>
      <c r="D3413" s="48" t="n"/>
      <c r="E3413" s="48" t="n"/>
      <c r="F3413" s="48" t="n"/>
      <c r="G3413" s="49" t="n"/>
      <c r="H3413" s="48" t="n"/>
      <c r="I3413" s="50" t="n"/>
      <c r="J3413" s="48" t="n"/>
      <c r="K3413" s="48" t="n"/>
      <c r="L3413" s="48" t="n"/>
      <c r="M3413" s="48" t="n"/>
      <c r="N3413" s="48" t="n"/>
      <c r="O3413" s="51">
        <f>IF(AND(B3413="",G3413="",C3413="",D3413="",J3413=""),"",IF(B3413="","⚠ Falta fecha",IF(G3413="","⚠ Falta monto",IF(Q3413="","⚠ Falta cuenta",IF(ISNA(MATCH(Q3413,ctaNombre,0)),"⚠ Cuenta no registrada",IF(AND(OR(P3413="Gasto",P3413="Reembolso"),D3413=""),"⚠ Falta categoría",IF(AND(D3413&lt;&gt;"",E3413&lt;&gt;"",ISNA(MATCH(D3413&amp;"|"&amp;E3413,catClave,0))),"⚠ Subcategoría no corresponde",IF(AND(OR(P3413="Transferencia",P3413="Pago tarjeta"),K3413=""),"⚠ Falta cuenta destino",IF(AND(K3413&lt;&gt;"",P3413&lt;&gt;"Transferencia",P3413&lt;&gt;"Pago tarjeta"),"⚠ Destino solo aplica a transferencias",IF(AND(K3413&lt;&gt;"",K3413=Q3413),"⚠ Origen igual a destino",IF(AND(K3413&lt;&gt;"",ISNA(MATCH(K3413,ctaNombre,0))),"⚠ Destino no registrado",IF(AND(P3413="Pago tarjeta",AE3413&lt;&gt;"Tarjeta de crédito"),"⚠ El destino debe ser tarjeta de crédito",IF(AND(P3413="Gasto",E3413="Depósitos y retiros"),"⚠ Usa tipo Transferencia",IF(AND(P3413="Resultado trading",AD3413&lt;&gt;"Cuenta de trading"),"⚠ Usa una cuenta de trading",IF(AND(G3413&lt;=0,P3413&lt;&gt;"Ajuste",P3413&lt;&gt;"Resultado trading"),"⚠ El monto debe ser positivo","✓")))))))))))))))</f>
        <v/>
      </c>
      <c r="P3413" s="52">
        <f>IF(OR(B3413="",G3413=""),"",IF(C3413="","Gasto",C3413))</f>
        <v/>
      </c>
      <c r="Q3413" s="52">
        <f>IF(P3413="","",IF(J3413&lt;&gt;"",J3413,CuentaPred&amp;""))</f>
        <v/>
      </c>
      <c r="R3413" s="52">
        <f>IF(P3413="","",IF(ISNUMBER(I3413),I3413,TasaUSD))</f>
        <v/>
      </c>
      <c r="S3413" s="53">
        <f>IF(P3413="","",IF(H3413="USD",G3413*R3413,G3413))</f>
        <v/>
      </c>
      <c r="T3413" s="53">
        <f>IF(P3413="","",IF(H3413="USD",G3413,IF(R3413&gt;0,G3413/R3413,0)))</f>
        <v/>
      </c>
      <c r="U3413" s="53">
        <f>IF(P3413="","",IF(P3413="Gasto",S3413,IF(P3413="Reembolso",-S3413,0)))</f>
        <v/>
      </c>
      <c r="V3413" s="53">
        <f>IF(P3413="","",IF(P3413="Ingreso",S3413,0))</f>
        <v/>
      </c>
      <c r="W3413" s="53">
        <f>IF(P3413="","",IF(P3413="Resultado trading",S3413,0))</f>
        <v/>
      </c>
      <c r="X3413" s="52">
        <f>IF(OR(P3413="Gasto",P3413="Reembolso"),IF(M3413&lt;&gt;"",M3413,IFERROR(INDEX(catClasif,MATCH(D3413&amp;"|"&amp;E3413,catClave,0))&amp;"","Variable")),"")</f>
        <v/>
      </c>
      <c r="Y3413" s="52">
        <f>IF(P3413="","",IFERROR(INDEX(catGrupo,MATCH(D3413&amp;"|"&amp;E3413,catClave,0))&amp;"",""))</f>
        <v/>
      </c>
      <c r="Z3413" s="52">
        <f>IF(P3413="","",WEEKDAY(B3413,2))</f>
        <v/>
      </c>
      <c r="AA3413" s="52">
        <f>IF(P3413="","",IF(AND(P3413="Gasto",X3413="Variable",D3413&lt;&gt;catTrading,S3413&gt;0,S3413&lt;=Umbral),1,0))</f>
        <v/>
      </c>
      <c r="AB3413" s="52">
        <f>IF(OR(P3413="",Q3413=""),"",IFERROR(IF(INDEX(ctaVinc,MATCH(Q3413,ctaNombre,0))&amp;""&lt;&gt;"",INDEX(ctaVinc,MATCH(Q3413,ctaNombre,0))&amp;"",Q3413),Q3413))</f>
        <v/>
      </c>
      <c r="AC3413" s="52">
        <f>IF(OR(K3413="",AND(P3413&lt;&gt;"Transferencia",P3413&lt;&gt;"Pago tarjeta")),"",IFERROR(IF(INDEX(ctaVinc,MATCH(K3413,ctaNombre,0))&amp;""&lt;&gt;"",INDEX(ctaVinc,MATCH(K3413,ctaNombre,0))&amp;"",K3413),K3413))</f>
        <v/>
      </c>
      <c r="AD3413" s="52">
        <f>IF(AB3413="","",IFERROR(INDEX(ctaTipo,MATCH(AB3413,ctaNombre,0))&amp;"",""))</f>
        <v/>
      </c>
      <c r="AE3413" s="52">
        <f>IF(AC3413="","",IFERROR(INDEX(ctaTipo,MATCH(AC3413,ctaNombre,0))&amp;"",""))</f>
        <v/>
      </c>
      <c r="AF3413" s="53">
        <f>IF(OR(P3413="",AB3413=""),"",IF(OR(P3413="Gasto",P3413="Transferencia",P3413="Pago tarjeta"),-1,1)*IF(IFERROR(INDEX(ctaMoneda,MATCH(AB3413,ctaNombre,0))&amp;"","DOP")="USD",T3413,S3413))</f>
        <v/>
      </c>
      <c r="AG3413" s="53">
        <f>IF(AC3413="","",IF(IFERROR(INDEX(ctaMoneda,MATCH(AC3413,ctaNombre,0))&amp;"","DOP")="USD",T3413,S3413))</f>
        <v/>
      </c>
      <c r="AH3413" s="53">
        <f>IF(P3413="","",IF(AND(AD3413&lt;&gt;"",COUNTIFS(tcTipo,AD3413,tcLiq,"Sí")&gt;0),IF(OR(P3413="Gasto",P3413="Transferencia",P3413="Pago tarjeta"),-1,1)*S3413,0)+IF(AND(AE3413&lt;&gt;"",COUNTIFS(tcTipo,AE3413,tcLiq,"Sí")&gt;0),S3413,0))</f>
        <v/>
      </c>
      <c r="AI3413" s="52">
        <f>IF(OR(L3413="",P3413=""),"",IF(COUNTIFS(L$6:L3413,L3413,P$6:P3413,"?*")=1,MAX(AI$5:AI3412)+1,""))</f>
        <v/>
      </c>
    </row>
    <row r="3414">
      <c r="B3414" s="47" t="n"/>
      <c r="C3414" s="48" t="n"/>
      <c r="D3414" s="48" t="n"/>
      <c r="E3414" s="48" t="n"/>
      <c r="F3414" s="48" t="n"/>
      <c r="G3414" s="49" t="n"/>
      <c r="H3414" s="48" t="n"/>
      <c r="I3414" s="50" t="n"/>
      <c r="J3414" s="48" t="n"/>
      <c r="K3414" s="48" t="n"/>
      <c r="L3414" s="48" t="n"/>
      <c r="M3414" s="48" t="n"/>
      <c r="N3414" s="48" t="n"/>
      <c r="O3414" s="51">
        <f>IF(AND(B3414="",G3414="",C3414="",D3414="",J3414=""),"",IF(B3414="","⚠ Falta fecha",IF(G3414="","⚠ Falta monto",IF(Q3414="","⚠ Falta cuenta",IF(ISNA(MATCH(Q3414,ctaNombre,0)),"⚠ Cuenta no registrada",IF(AND(OR(P3414="Gasto",P3414="Reembolso"),D3414=""),"⚠ Falta categoría",IF(AND(D3414&lt;&gt;"",E3414&lt;&gt;"",ISNA(MATCH(D3414&amp;"|"&amp;E3414,catClave,0))),"⚠ Subcategoría no corresponde",IF(AND(OR(P3414="Transferencia",P3414="Pago tarjeta"),K3414=""),"⚠ Falta cuenta destino",IF(AND(K3414&lt;&gt;"",P3414&lt;&gt;"Transferencia",P3414&lt;&gt;"Pago tarjeta"),"⚠ Destino solo aplica a transferencias",IF(AND(K3414&lt;&gt;"",K3414=Q3414),"⚠ Origen igual a destino",IF(AND(K3414&lt;&gt;"",ISNA(MATCH(K3414,ctaNombre,0))),"⚠ Destino no registrado",IF(AND(P3414="Pago tarjeta",AE3414&lt;&gt;"Tarjeta de crédito"),"⚠ El destino debe ser tarjeta de crédito",IF(AND(P3414="Gasto",E3414="Depósitos y retiros"),"⚠ Usa tipo Transferencia",IF(AND(P3414="Resultado trading",AD3414&lt;&gt;"Cuenta de trading"),"⚠ Usa una cuenta de trading",IF(AND(G3414&lt;=0,P3414&lt;&gt;"Ajuste",P3414&lt;&gt;"Resultado trading"),"⚠ El monto debe ser positivo","✓")))))))))))))))</f>
        <v/>
      </c>
      <c r="P3414" s="52">
        <f>IF(OR(B3414="",G3414=""),"",IF(C3414="","Gasto",C3414))</f>
        <v/>
      </c>
      <c r="Q3414" s="52">
        <f>IF(P3414="","",IF(J3414&lt;&gt;"",J3414,CuentaPred&amp;""))</f>
        <v/>
      </c>
      <c r="R3414" s="52">
        <f>IF(P3414="","",IF(ISNUMBER(I3414),I3414,TasaUSD))</f>
        <v/>
      </c>
      <c r="S3414" s="53">
        <f>IF(P3414="","",IF(H3414="USD",G3414*R3414,G3414))</f>
        <v/>
      </c>
      <c r="T3414" s="53">
        <f>IF(P3414="","",IF(H3414="USD",G3414,IF(R3414&gt;0,G3414/R3414,0)))</f>
        <v/>
      </c>
      <c r="U3414" s="53">
        <f>IF(P3414="","",IF(P3414="Gasto",S3414,IF(P3414="Reembolso",-S3414,0)))</f>
        <v/>
      </c>
      <c r="V3414" s="53">
        <f>IF(P3414="","",IF(P3414="Ingreso",S3414,0))</f>
        <v/>
      </c>
      <c r="W3414" s="53">
        <f>IF(P3414="","",IF(P3414="Resultado trading",S3414,0))</f>
        <v/>
      </c>
      <c r="X3414" s="52">
        <f>IF(OR(P3414="Gasto",P3414="Reembolso"),IF(M3414&lt;&gt;"",M3414,IFERROR(INDEX(catClasif,MATCH(D3414&amp;"|"&amp;E3414,catClave,0))&amp;"","Variable")),"")</f>
        <v/>
      </c>
      <c r="Y3414" s="52">
        <f>IF(P3414="","",IFERROR(INDEX(catGrupo,MATCH(D3414&amp;"|"&amp;E3414,catClave,0))&amp;"",""))</f>
        <v/>
      </c>
      <c r="Z3414" s="52">
        <f>IF(P3414="","",WEEKDAY(B3414,2))</f>
        <v/>
      </c>
      <c r="AA3414" s="52">
        <f>IF(P3414="","",IF(AND(P3414="Gasto",X3414="Variable",D3414&lt;&gt;catTrading,S3414&gt;0,S3414&lt;=Umbral),1,0))</f>
        <v/>
      </c>
      <c r="AB3414" s="52">
        <f>IF(OR(P3414="",Q3414=""),"",IFERROR(IF(INDEX(ctaVinc,MATCH(Q3414,ctaNombre,0))&amp;""&lt;&gt;"",INDEX(ctaVinc,MATCH(Q3414,ctaNombre,0))&amp;"",Q3414),Q3414))</f>
        <v/>
      </c>
      <c r="AC3414" s="52">
        <f>IF(OR(K3414="",AND(P3414&lt;&gt;"Transferencia",P3414&lt;&gt;"Pago tarjeta")),"",IFERROR(IF(INDEX(ctaVinc,MATCH(K3414,ctaNombre,0))&amp;""&lt;&gt;"",INDEX(ctaVinc,MATCH(K3414,ctaNombre,0))&amp;"",K3414),K3414))</f>
        <v/>
      </c>
      <c r="AD3414" s="52">
        <f>IF(AB3414="","",IFERROR(INDEX(ctaTipo,MATCH(AB3414,ctaNombre,0))&amp;"",""))</f>
        <v/>
      </c>
      <c r="AE3414" s="52">
        <f>IF(AC3414="","",IFERROR(INDEX(ctaTipo,MATCH(AC3414,ctaNombre,0))&amp;"",""))</f>
        <v/>
      </c>
      <c r="AF3414" s="53">
        <f>IF(OR(P3414="",AB3414=""),"",IF(OR(P3414="Gasto",P3414="Transferencia",P3414="Pago tarjeta"),-1,1)*IF(IFERROR(INDEX(ctaMoneda,MATCH(AB3414,ctaNombre,0))&amp;"","DOP")="USD",T3414,S3414))</f>
        <v/>
      </c>
      <c r="AG3414" s="53">
        <f>IF(AC3414="","",IF(IFERROR(INDEX(ctaMoneda,MATCH(AC3414,ctaNombre,0))&amp;"","DOP")="USD",T3414,S3414))</f>
        <v/>
      </c>
      <c r="AH3414" s="53">
        <f>IF(P3414="","",IF(AND(AD3414&lt;&gt;"",COUNTIFS(tcTipo,AD3414,tcLiq,"Sí")&gt;0),IF(OR(P3414="Gasto",P3414="Transferencia",P3414="Pago tarjeta"),-1,1)*S3414,0)+IF(AND(AE3414&lt;&gt;"",COUNTIFS(tcTipo,AE3414,tcLiq,"Sí")&gt;0),S3414,0))</f>
        <v/>
      </c>
      <c r="AI3414" s="52">
        <f>IF(OR(L3414="",P3414=""),"",IF(COUNTIFS(L$6:L3414,L3414,P$6:P3414,"?*")=1,MAX(AI$5:AI3413)+1,""))</f>
        <v/>
      </c>
    </row>
    <row r="3415">
      <c r="B3415" s="47" t="n"/>
      <c r="C3415" s="48" t="n"/>
      <c r="D3415" s="48" t="n"/>
      <c r="E3415" s="48" t="n"/>
      <c r="F3415" s="48" t="n"/>
      <c r="G3415" s="49" t="n"/>
      <c r="H3415" s="48" t="n"/>
      <c r="I3415" s="50" t="n"/>
      <c r="J3415" s="48" t="n"/>
      <c r="K3415" s="48" t="n"/>
      <c r="L3415" s="48" t="n"/>
      <c r="M3415" s="48" t="n"/>
      <c r="N3415" s="48" t="n"/>
      <c r="O3415" s="51">
        <f>IF(AND(B3415="",G3415="",C3415="",D3415="",J3415=""),"",IF(B3415="","⚠ Falta fecha",IF(G3415="","⚠ Falta monto",IF(Q3415="","⚠ Falta cuenta",IF(ISNA(MATCH(Q3415,ctaNombre,0)),"⚠ Cuenta no registrada",IF(AND(OR(P3415="Gasto",P3415="Reembolso"),D3415=""),"⚠ Falta categoría",IF(AND(D3415&lt;&gt;"",E3415&lt;&gt;"",ISNA(MATCH(D3415&amp;"|"&amp;E3415,catClave,0))),"⚠ Subcategoría no corresponde",IF(AND(OR(P3415="Transferencia",P3415="Pago tarjeta"),K3415=""),"⚠ Falta cuenta destino",IF(AND(K3415&lt;&gt;"",P3415&lt;&gt;"Transferencia",P3415&lt;&gt;"Pago tarjeta"),"⚠ Destino solo aplica a transferencias",IF(AND(K3415&lt;&gt;"",K3415=Q3415),"⚠ Origen igual a destino",IF(AND(K3415&lt;&gt;"",ISNA(MATCH(K3415,ctaNombre,0))),"⚠ Destino no registrado",IF(AND(P3415="Pago tarjeta",AE3415&lt;&gt;"Tarjeta de crédito"),"⚠ El destino debe ser tarjeta de crédito",IF(AND(P3415="Gasto",E3415="Depósitos y retiros"),"⚠ Usa tipo Transferencia",IF(AND(P3415="Resultado trading",AD3415&lt;&gt;"Cuenta de trading"),"⚠ Usa una cuenta de trading",IF(AND(G3415&lt;=0,P3415&lt;&gt;"Ajuste",P3415&lt;&gt;"Resultado trading"),"⚠ El monto debe ser positivo","✓")))))))))))))))</f>
        <v/>
      </c>
      <c r="P3415" s="52">
        <f>IF(OR(B3415="",G3415=""),"",IF(C3415="","Gasto",C3415))</f>
        <v/>
      </c>
      <c r="Q3415" s="52">
        <f>IF(P3415="","",IF(J3415&lt;&gt;"",J3415,CuentaPred&amp;""))</f>
        <v/>
      </c>
      <c r="R3415" s="52">
        <f>IF(P3415="","",IF(ISNUMBER(I3415),I3415,TasaUSD))</f>
        <v/>
      </c>
      <c r="S3415" s="53">
        <f>IF(P3415="","",IF(H3415="USD",G3415*R3415,G3415))</f>
        <v/>
      </c>
      <c r="T3415" s="53">
        <f>IF(P3415="","",IF(H3415="USD",G3415,IF(R3415&gt;0,G3415/R3415,0)))</f>
        <v/>
      </c>
      <c r="U3415" s="53">
        <f>IF(P3415="","",IF(P3415="Gasto",S3415,IF(P3415="Reembolso",-S3415,0)))</f>
        <v/>
      </c>
      <c r="V3415" s="53">
        <f>IF(P3415="","",IF(P3415="Ingreso",S3415,0))</f>
        <v/>
      </c>
      <c r="W3415" s="53">
        <f>IF(P3415="","",IF(P3415="Resultado trading",S3415,0))</f>
        <v/>
      </c>
      <c r="X3415" s="52">
        <f>IF(OR(P3415="Gasto",P3415="Reembolso"),IF(M3415&lt;&gt;"",M3415,IFERROR(INDEX(catClasif,MATCH(D3415&amp;"|"&amp;E3415,catClave,0))&amp;"","Variable")),"")</f>
        <v/>
      </c>
      <c r="Y3415" s="52">
        <f>IF(P3415="","",IFERROR(INDEX(catGrupo,MATCH(D3415&amp;"|"&amp;E3415,catClave,0))&amp;"",""))</f>
        <v/>
      </c>
      <c r="Z3415" s="52">
        <f>IF(P3415="","",WEEKDAY(B3415,2))</f>
        <v/>
      </c>
      <c r="AA3415" s="52">
        <f>IF(P3415="","",IF(AND(P3415="Gasto",X3415="Variable",D3415&lt;&gt;catTrading,S3415&gt;0,S3415&lt;=Umbral),1,0))</f>
        <v/>
      </c>
      <c r="AB3415" s="52">
        <f>IF(OR(P3415="",Q3415=""),"",IFERROR(IF(INDEX(ctaVinc,MATCH(Q3415,ctaNombre,0))&amp;""&lt;&gt;"",INDEX(ctaVinc,MATCH(Q3415,ctaNombre,0))&amp;"",Q3415),Q3415))</f>
        <v/>
      </c>
      <c r="AC3415" s="52">
        <f>IF(OR(K3415="",AND(P3415&lt;&gt;"Transferencia",P3415&lt;&gt;"Pago tarjeta")),"",IFERROR(IF(INDEX(ctaVinc,MATCH(K3415,ctaNombre,0))&amp;""&lt;&gt;"",INDEX(ctaVinc,MATCH(K3415,ctaNombre,0))&amp;"",K3415),K3415))</f>
        <v/>
      </c>
      <c r="AD3415" s="52">
        <f>IF(AB3415="","",IFERROR(INDEX(ctaTipo,MATCH(AB3415,ctaNombre,0))&amp;"",""))</f>
        <v/>
      </c>
      <c r="AE3415" s="52">
        <f>IF(AC3415="","",IFERROR(INDEX(ctaTipo,MATCH(AC3415,ctaNombre,0))&amp;"",""))</f>
        <v/>
      </c>
      <c r="AF3415" s="53">
        <f>IF(OR(P3415="",AB3415=""),"",IF(OR(P3415="Gasto",P3415="Transferencia",P3415="Pago tarjeta"),-1,1)*IF(IFERROR(INDEX(ctaMoneda,MATCH(AB3415,ctaNombre,0))&amp;"","DOP")="USD",T3415,S3415))</f>
        <v/>
      </c>
      <c r="AG3415" s="53">
        <f>IF(AC3415="","",IF(IFERROR(INDEX(ctaMoneda,MATCH(AC3415,ctaNombre,0))&amp;"","DOP")="USD",T3415,S3415))</f>
        <v/>
      </c>
      <c r="AH3415" s="53">
        <f>IF(P3415="","",IF(AND(AD3415&lt;&gt;"",COUNTIFS(tcTipo,AD3415,tcLiq,"Sí")&gt;0),IF(OR(P3415="Gasto",P3415="Transferencia",P3415="Pago tarjeta"),-1,1)*S3415,0)+IF(AND(AE3415&lt;&gt;"",COUNTIFS(tcTipo,AE3415,tcLiq,"Sí")&gt;0),S3415,0))</f>
        <v/>
      </c>
      <c r="AI3415" s="52">
        <f>IF(OR(L3415="",P3415=""),"",IF(COUNTIFS(L$6:L3415,L3415,P$6:P3415,"?*")=1,MAX(AI$5:AI3414)+1,""))</f>
        <v/>
      </c>
    </row>
    <row r="3416">
      <c r="B3416" s="47" t="n"/>
      <c r="C3416" s="48" t="n"/>
      <c r="D3416" s="48" t="n"/>
      <c r="E3416" s="48" t="n"/>
      <c r="F3416" s="48" t="n"/>
      <c r="G3416" s="49" t="n"/>
      <c r="H3416" s="48" t="n"/>
      <c r="I3416" s="50" t="n"/>
      <c r="J3416" s="48" t="n"/>
      <c r="K3416" s="48" t="n"/>
      <c r="L3416" s="48" t="n"/>
      <c r="M3416" s="48" t="n"/>
      <c r="N3416" s="48" t="n"/>
      <c r="O3416" s="51">
        <f>IF(AND(B3416="",G3416="",C3416="",D3416="",J3416=""),"",IF(B3416="","⚠ Falta fecha",IF(G3416="","⚠ Falta monto",IF(Q3416="","⚠ Falta cuenta",IF(ISNA(MATCH(Q3416,ctaNombre,0)),"⚠ Cuenta no registrada",IF(AND(OR(P3416="Gasto",P3416="Reembolso"),D3416=""),"⚠ Falta categoría",IF(AND(D3416&lt;&gt;"",E3416&lt;&gt;"",ISNA(MATCH(D3416&amp;"|"&amp;E3416,catClave,0))),"⚠ Subcategoría no corresponde",IF(AND(OR(P3416="Transferencia",P3416="Pago tarjeta"),K3416=""),"⚠ Falta cuenta destino",IF(AND(K3416&lt;&gt;"",P3416&lt;&gt;"Transferencia",P3416&lt;&gt;"Pago tarjeta"),"⚠ Destino solo aplica a transferencias",IF(AND(K3416&lt;&gt;"",K3416=Q3416),"⚠ Origen igual a destino",IF(AND(K3416&lt;&gt;"",ISNA(MATCH(K3416,ctaNombre,0))),"⚠ Destino no registrado",IF(AND(P3416="Pago tarjeta",AE3416&lt;&gt;"Tarjeta de crédito"),"⚠ El destino debe ser tarjeta de crédito",IF(AND(P3416="Gasto",E3416="Depósitos y retiros"),"⚠ Usa tipo Transferencia",IF(AND(P3416="Resultado trading",AD3416&lt;&gt;"Cuenta de trading"),"⚠ Usa una cuenta de trading",IF(AND(G3416&lt;=0,P3416&lt;&gt;"Ajuste",P3416&lt;&gt;"Resultado trading"),"⚠ El monto debe ser positivo","✓")))))))))))))))</f>
        <v/>
      </c>
      <c r="P3416" s="52">
        <f>IF(OR(B3416="",G3416=""),"",IF(C3416="","Gasto",C3416))</f>
        <v/>
      </c>
      <c r="Q3416" s="52">
        <f>IF(P3416="","",IF(J3416&lt;&gt;"",J3416,CuentaPred&amp;""))</f>
        <v/>
      </c>
      <c r="R3416" s="52">
        <f>IF(P3416="","",IF(ISNUMBER(I3416),I3416,TasaUSD))</f>
        <v/>
      </c>
      <c r="S3416" s="53">
        <f>IF(P3416="","",IF(H3416="USD",G3416*R3416,G3416))</f>
        <v/>
      </c>
      <c r="T3416" s="53">
        <f>IF(P3416="","",IF(H3416="USD",G3416,IF(R3416&gt;0,G3416/R3416,0)))</f>
        <v/>
      </c>
      <c r="U3416" s="53">
        <f>IF(P3416="","",IF(P3416="Gasto",S3416,IF(P3416="Reembolso",-S3416,0)))</f>
        <v/>
      </c>
      <c r="V3416" s="53">
        <f>IF(P3416="","",IF(P3416="Ingreso",S3416,0))</f>
        <v/>
      </c>
      <c r="W3416" s="53">
        <f>IF(P3416="","",IF(P3416="Resultado trading",S3416,0))</f>
        <v/>
      </c>
      <c r="X3416" s="52">
        <f>IF(OR(P3416="Gasto",P3416="Reembolso"),IF(M3416&lt;&gt;"",M3416,IFERROR(INDEX(catClasif,MATCH(D3416&amp;"|"&amp;E3416,catClave,0))&amp;"","Variable")),"")</f>
        <v/>
      </c>
      <c r="Y3416" s="52">
        <f>IF(P3416="","",IFERROR(INDEX(catGrupo,MATCH(D3416&amp;"|"&amp;E3416,catClave,0))&amp;"",""))</f>
        <v/>
      </c>
      <c r="Z3416" s="52">
        <f>IF(P3416="","",WEEKDAY(B3416,2))</f>
        <v/>
      </c>
      <c r="AA3416" s="52">
        <f>IF(P3416="","",IF(AND(P3416="Gasto",X3416="Variable",D3416&lt;&gt;catTrading,S3416&gt;0,S3416&lt;=Umbral),1,0))</f>
        <v/>
      </c>
      <c r="AB3416" s="52">
        <f>IF(OR(P3416="",Q3416=""),"",IFERROR(IF(INDEX(ctaVinc,MATCH(Q3416,ctaNombre,0))&amp;""&lt;&gt;"",INDEX(ctaVinc,MATCH(Q3416,ctaNombre,0))&amp;"",Q3416),Q3416))</f>
        <v/>
      </c>
      <c r="AC3416" s="52">
        <f>IF(OR(K3416="",AND(P3416&lt;&gt;"Transferencia",P3416&lt;&gt;"Pago tarjeta")),"",IFERROR(IF(INDEX(ctaVinc,MATCH(K3416,ctaNombre,0))&amp;""&lt;&gt;"",INDEX(ctaVinc,MATCH(K3416,ctaNombre,0))&amp;"",K3416),K3416))</f>
        <v/>
      </c>
      <c r="AD3416" s="52">
        <f>IF(AB3416="","",IFERROR(INDEX(ctaTipo,MATCH(AB3416,ctaNombre,0))&amp;"",""))</f>
        <v/>
      </c>
      <c r="AE3416" s="52">
        <f>IF(AC3416="","",IFERROR(INDEX(ctaTipo,MATCH(AC3416,ctaNombre,0))&amp;"",""))</f>
        <v/>
      </c>
      <c r="AF3416" s="53">
        <f>IF(OR(P3416="",AB3416=""),"",IF(OR(P3416="Gasto",P3416="Transferencia",P3416="Pago tarjeta"),-1,1)*IF(IFERROR(INDEX(ctaMoneda,MATCH(AB3416,ctaNombre,0))&amp;"","DOP")="USD",T3416,S3416))</f>
        <v/>
      </c>
      <c r="AG3416" s="53">
        <f>IF(AC3416="","",IF(IFERROR(INDEX(ctaMoneda,MATCH(AC3416,ctaNombre,0))&amp;"","DOP")="USD",T3416,S3416))</f>
        <v/>
      </c>
      <c r="AH3416" s="53">
        <f>IF(P3416="","",IF(AND(AD3416&lt;&gt;"",COUNTIFS(tcTipo,AD3416,tcLiq,"Sí")&gt;0),IF(OR(P3416="Gasto",P3416="Transferencia",P3416="Pago tarjeta"),-1,1)*S3416,0)+IF(AND(AE3416&lt;&gt;"",COUNTIFS(tcTipo,AE3416,tcLiq,"Sí")&gt;0),S3416,0))</f>
        <v/>
      </c>
      <c r="AI3416" s="52">
        <f>IF(OR(L3416="",P3416=""),"",IF(COUNTIFS(L$6:L3416,L3416,P$6:P3416,"?*")=1,MAX(AI$5:AI3415)+1,""))</f>
        <v/>
      </c>
    </row>
    <row r="3417">
      <c r="B3417" s="47" t="n"/>
      <c r="C3417" s="48" t="n"/>
      <c r="D3417" s="48" t="n"/>
      <c r="E3417" s="48" t="n"/>
      <c r="F3417" s="48" t="n"/>
      <c r="G3417" s="49" t="n"/>
      <c r="H3417" s="48" t="n"/>
      <c r="I3417" s="50" t="n"/>
      <c r="J3417" s="48" t="n"/>
      <c r="K3417" s="48" t="n"/>
      <c r="L3417" s="48" t="n"/>
      <c r="M3417" s="48" t="n"/>
      <c r="N3417" s="48" t="n"/>
      <c r="O3417" s="51">
        <f>IF(AND(B3417="",G3417="",C3417="",D3417="",J3417=""),"",IF(B3417="","⚠ Falta fecha",IF(G3417="","⚠ Falta monto",IF(Q3417="","⚠ Falta cuenta",IF(ISNA(MATCH(Q3417,ctaNombre,0)),"⚠ Cuenta no registrada",IF(AND(OR(P3417="Gasto",P3417="Reembolso"),D3417=""),"⚠ Falta categoría",IF(AND(D3417&lt;&gt;"",E3417&lt;&gt;"",ISNA(MATCH(D3417&amp;"|"&amp;E3417,catClave,0))),"⚠ Subcategoría no corresponde",IF(AND(OR(P3417="Transferencia",P3417="Pago tarjeta"),K3417=""),"⚠ Falta cuenta destino",IF(AND(K3417&lt;&gt;"",P3417&lt;&gt;"Transferencia",P3417&lt;&gt;"Pago tarjeta"),"⚠ Destino solo aplica a transferencias",IF(AND(K3417&lt;&gt;"",K3417=Q3417),"⚠ Origen igual a destino",IF(AND(K3417&lt;&gt;"",ISNA(MATCH(K3417,ctaNombre,0))),"⚠ Destino no registrado",IF(AND(P3417="Pago tarjeta",AE3417&lt;&gt;"Tarjeta de crédito"),"⚠ El destino debe ser tarjeta de crédito",IF(AND(P3417="Gasto",E3417="Depósitos y retiros"),"⚠ Usa tipo Transferencia",IF(AND(P3417="Resultado trading",AD3417&lt;&gt;"Cuenta de trading"),"⚠ Usa una cuenta de trading",IF(AND(G3417&lt;=0,P3417&lt;&gt;"Ajuste",P3417&lt;&gt;"Resultado trading"),"⚠ El monto debe ser positivo","✓")))))))))))))))</f>
        <v/>
      </c>
      <c r="P3417" s="52">
        <f>IF(OR(B3417="",G3417=""),"",IF(C3417="","Gasto",C3417))</f>
        <v/>
      </c>
      <c r="Q3417" s="52">
        <f>IF(P3417="","",IF(J3417&lt;&gt;"",J3417,CuentaPred&amp;""))</f>
        <v/>
      </c>
      <c r="R3417" s="52">
        <f>IF(P3417="","",IF(ISNUMBER(I3417),I3417,TasaUSD))</f>
        <v/>
      </c>
      <c r="S3417" s="53">
        <f>IF(P3417="","",IF(H3417="USD",G3417*R3417,G3417))</f>
        <v/>
      </c>
      <c r="T3417" s="53">
        <f>IF(P3417="","",IF(H3417="USD",G3417,IF(R3417&gt;0,G3417/R3417,0)))</f>
        <v/>
      </c>
      <c r="U3417" s="53">
        <f>IF(P3417="","",IF(P3417="Gasto",S3417,IF(P3417="Reembolso",-S3417,0)))</f>
        <v/>
      </c>
      <c r="V3417" s="53">
        <f>IF(P3417="","",IF(P3417="Ingreso",S3417,0))</f>
        <v/>
      </c>
      <c r="W3417" s="53">
        <f>IF(P3417="","",IF(P3417="Resultado trading",S3417,0))</f>
        <v/>
      </c>
      <c r="X3417" s="52">
        <f>IF(OR(P3417="Gasto",P3417="Reembolso"),IF(M3417&lt;&gt;"",M3417,IFERROR(INDEX(catClasif,MATCH(D3417&amp;"|"&amp;E3417,catClave,0))&amp;"","Variable")),"")</f>
        <v/>
      </c>
      <c r="Y3417" s="52">
        <f>IF(P3417="","",IFERROR(INDEX(catGrupo,MATCH(D3417&amp;"|"&amp;E3417,catClave,0))&amp;"",""))</f>
        <v/>
      </c>
      <c r="Z3417" s="52">
        <f>IF(P3417="","",WEEKDAY(B3417,2))</f>
        <v/>
      </c>
      <c r="AA3417" s="52">
        <f>IF(P3417="","",IF(AND(P3417="Gasto",X3417="Variable",D3417&lt;&gt;catTrading,S3417&gt;0,S3417&lt;=Umbral),1,0))</f>
        <v/>
      </c>
      <c r="AB3417" s="52">
        <f>IF(OR(P3417="",Q3417=""),"",IFERROR(IF(INDEX(ctaVinc,MATCH(Q3417,ctaNombre,0))&amp;""&lt;&gt;"",INDEX(ctaVinc,MATCH(Q3417,ctaNombre,0))&amp;"",Q3417),Q3417))</f>
        <v/>
      </c>
      <c r="AC3417" s="52">
        <f>IF(OR(K3417="",AND(P3417&lt;&gt;"Transferencia",P3417&lt;&gt;"Pago tarjeta")),"",IFERROR(IF(INDEX(ctaVinc,MATCH(K3417,ctaNombre,0))&amp;""&lt;&gt;"",INDEX(ctaVinc,MATCH(K3417,ctaNombre,0))&amp;"",K3417),K3417))</f>
        <v/>
      </c>
      <c r="AD3417" s="52">
        <f>IF(AB3417="","",IFERROR(INDEX(ctaTipo,MATCH(AB3417,ctaNombre,0))&amp;"",""))</f>
        <v/>
      </c>
      <c r="AE3417" s="52">
        <f>IF(AC3417="","",IFERROR(INDEX(ctaTipo,MATCH(AC3417,ctaNombre,0))&amp;"",""))</f>
        <v/>
      </c>
      <c r="AF3417" s="53">
        <f>IF(OR(P3417="",AB3417=""),"",IF(OR(P3417="Gasto",P3417="Transferencia",P3417="Pago tarjeta"),-1,1)*IF(IFERROR(INDEX(ctaMoneda,MATCH(AB3417,ctaNombre,0))&amp;"","DOP")="USD",T3417,S3417))</f>
        <v/>
      </c>
      <c r="AG3417" s="53">
        <f>IF(AC3417="","",IF(IFERROR(INDEX(ctaMoneda,MATCH(AC3417,ctaNombre,0))&amp;"","DOP")="USD",T3417,S3417))</f>
        <v/>
      </c>
      <c r="AH3417" s="53">
        <f>IF(P3417="","",IF(AND(AD3417&lt;&gt;"",COUNTIFS(tcTipo,AD3417,tcLiq,"Sí")&gt;0),IF(OR(P3417="Gasto",P3417="Transferencia",P3417="Pago tarjeta"),-1,1)*S3417,0)+IF(AND(AE3417&lt;&gt;"",COUNTIFS(tcTipo,AE3417,tcLiq,"Sí")&gt;0),S3417,0))</f>
        <v/>
      </c>
      <c r="AI3417" s="52">
        <f>IF(OR(L3417="",P3417=""),"",IF(COUNTIFS(L$6:L3417,L3417,P$6:P3417,"?*")=1,MAX(AI$5:AI3416)+1,""))</f>
        <v/>
      </c>
    </row>
    <row r="3418">
      <c r="B3418" s="47" t="n"/>
      <c r="C3418" s="48" t="n"/>
      <c r="D3418" s="48" t="n"/>
      <c r="E3418" s="48" t="n"/>
      <c r="F3418" s="48" t="n"/>
      <c r="G3418" s="49" t="n"/>
      <c r="H3418" s="48" t="n"/>
      <c r="I3418" s="50" t="n"/>
      <c r="J3418" s="48" t="n"/>
      <c r="K3418" s="48" t="n"/>
      <c r="L3418" s="48" t="n"/>
      <c r="M3418" s="48" t="n"/>
      <c r="N3418" s="48" t="n"/>
      <c r="O3418" s="51">
        <f>IF(AND(B3418="",G3418="",C3418="",D3418="",J3418=""),"",IF(B3418="","⚠ Falta fecha",IF(G3418="","⚠ Falta monto",IF(Q3418="","⚠ Falta cuenta",IF(ISNA(MATCH(Q3418,ctaNombre,0)),"⚠ Cuenta no registrada",IF(AND(OR(P3418="Gasto",P3418="Reembolso"),D3418=""),"⚠ Falta categoría",IF(AND(D3418&lt;&gt;"",E3418&lt;&gt;"",ISNA(MATCH(D3418&amp;"|"&amp;E3418,catClave,0))),"⚠ Subcategoría no corresponde",IF(AND(OR(P3418="Transferencia",P3418="Pago tarjeta"),K3418=""),"⚠ Falta cuenta destino",IF(AND(K3418&lt;&gt;"",P3418&lt;&gt;"Transferencia",P3418&lt;&gt;"Pago tarjeta"),"⚠ Destino solo aplica a transferencias",IF(AND(K3418&lt;&gt;"",K3418=Q3418),"⚠ Origen igual a destino",IF(AND(K3418&lt;&gt;"",ISNA(MATCH(K3418,ctaNombre,0))),"⚠ Destino no registrado",IF(AND(P3418="Pago tarjeta",AE3418&lt;&gt;"Tarjeta de crédito"),"⚠ El destino debe ser tarjeta de crédito",IF(AND(P3418="Gasto",E3418="Depósitos y retiros"),"⚠ Usa tipo Transferencia",IF(AND(P3418="Resultado trading",AD3418&lt;&gt;"Cuenta de trading"),"⚠ Usa una cuenta de trading",IF(AND(G3418&lt;=0,P3418&lt;&gt;"Ajuste",P3418&lt;&gt;"Resultado trading"),"⚠ El monto debe ser positivo","✓")))))))))))))))</f>
        <v/>
      </c>
      <c r="P3418" s="52">
        <f>IF(OR(B3418="",G3418=""),"",IF(C3418="","Gasto",C3418))</f>
        <v/>
      </c>
      <c r="Q3418" s="52">
        <f>IF(P3418="","",IF(J3418&lt;&gt;"",J3418,CuentaPred&amp;""))</f>
        <v/>
      </c>
      <c r="R3418" s="52">
        <f>IF(P3418="","",IF(ISNUMBER(I3418),I3418,TasaUSD))</f>
        <v/>
      </c>
      <c r="S3418" s="53">
        <f>IF(P3418="","",IF(H3418="USD",G3418*R3418,G3418))</f>
        <v/>
      </c>
      <c r="T3418" s="53">
        <f>IF(P3418="","",IF(H3418="USD",G3418,IF(R3418&gt;0,G3418/R3418,0)))</f>
        <v/>
      </c>
      <c r="U3418" s="53">
        <f>IF(P3418="","",IF(P3418="Gasto",S3418,IF(P3418="Reembolso",-S3418,0)))</f>
        <v/>
      </c>
      <c r="V3418" s="53">
        <f>IF(P3418="","",IF(P3418="Ingreso",S3418,0))</f>
        <v/>
      </c>
      <c r="W3418" s="53">
        <f>IF(P3418="","",IF(P3418="Resultado trading",S3418,0))</f>
        <v/>
      </c>
      <c r="X3418" s="52">
        <f>IF(OR(P3418="Gasto",P3418="Reembolso"),IF(M3418&lt;&gt;"",M3418,IFERROR(INDEX(catClasif,MATCH(D3418&amp;"|"&amp;E3418,catClave,0))&amp;"","Variable")),"")</f>
        <v/>
      </c>
      <c r="Y3418" s="52">
        <f>IF(P3418="","",IFERROR(INDEX(catGrupo,MATCH(D3418&amp;"|"&amp;E3418,catClave,0))&amp;"",""))</f>
        <v/>
      </c>
      <c r="Z3418" s="52">
        <f>IF(P3418="","",WEEKDAY(B3418,2))</f>
        <v/>
      </c>
      <c r="AA3418" s="52">
        <f>IF(P3418="","",IF(AND(P3418="Gasto",X3418="Variable",D3418&lt;&gt;catTrading,S3418&gt;0,S3418&lt;=Umbral),1,0))</f>
        <v/>
      </c>
      <c r="AB3418" s="52">
        <f>IF(OR(P3418="",Q3418=""),"",IFERROR(IF(INDEX(ctaVinc,MATCH(Q3418,ctaNombre,0))&amp;""&lt;&gt;"",INDEX(ctaVinc,MATCH(Q3418,ctaNombre,0))&amp;"",Q3418),Q3418))</f>
        <v/>
      </c>
      <c r="AC3418" s="52">
        <f>IF(OR(K3418="",AND(P3418&lt;&gt;"Transferencia",P3418&lt;&gt;"Pago tarjeta")),"",IFERROR(IF(INDEX(ctaVinc,MATCH(K3418,ctaNombre,0))&amp;""&lt;&gt;"",INDEX(ctaVinc,MATCH(K3418,ctaNombre,0))&amp;"",K3418),K3418))</f>
        <v/>
      </c>
      <c r="AD3418" s="52">
        <f>IF(AB3418="","",IFERROR(INDEX(ctaTipo,MATCH(AB3418,ctaNombre,0))&amp;"",""))</f>
        <v/>
      </c>
      <c r="AE3418" s="52">
        <f>IF(AC3418="","",IFERROR(INDEX(ctaTipo,MATCH(AC3418,ctaNombre,0))&amp;"",""))</f>
        <v/>
      </c>
      <c r="AF3418" s="53">
        <f>IF(OR(P3418="",AB3418=""),"",IF(OR(P3418="Gasto",P3418="Transferencia",P3418="Pago tarjeta"),-1,1)*IF(IFERROR(INDEX(ctaMoneda,MATCH(AB3418,ctaNombre,0))&amp;"","DOP")="USD",T3418,S3418))</f>
        <v/>
      </c>
      <c r="AG3418" s="53">
        <f>IF(AC3418="","",IF(IFERROR(INDEX(ctaMoneda,MATCH(AC3418,ctaNombre,0))&amp;"","DOP")="USD",T3418,S3418))</f>
        <v/>
      </c>
      <c r="AH3418" s="53">
        <f>IF(P3418="","",IF(AND(AD3418&lt;&gt;"",COUNTIFS(tcTipo,AD3418,tcLiq,"Sí")&gt;0),IF(OR(P3418="Gasto",P3418="Transferencia",P3418="Pago tarjeta"),-1,1)*S3418,0)+IF(AND(AE3418&lt;&gt;"",COUNTIFS(tcTipo,AE3418,tcLiq,"Sí")&gt;0),S3418,0))</f>
        <v/>
      </c>
      <c r="AI3418" s="52">
        <f>IF(OR(L3418="",P3418=""),"",IF(COUNTIFS(L$6:L3418,L3418,P$6:P3418,"?*")=1,MAX(AI$5:AI3417)+1,""))</f>
        <v/>
      </c>
    </row>
    <row r="3419">
      <c r="B3419" s="47" t="n"/>
      <c r="C3419" s="48" t="n"/>
      <c r="D3419" s="48" t="n"/>
      <c r="E3419" s="48" t="n"/>
      <c r="F3419" s="48" t="n"/>
      <c r="G3419" s="49" t="n"/>
      <c r="H3419" s="48" t="n"/>
      <c r="I3419" s="50" t="n"/>
      <c r="J3419" s="48" t="n"/>
      <c r="K3419" s="48" t="n"/>
      <c r="L3419" s="48" t="n"/>
      <c r="M3419" s="48" t="n"/>
      <c r="N3419" s="48" t="n"/>
      <c r="O3419" s="51">
        <f>IF(AND(B3419="",G3419="",C3419="",D3419="",J3419=""),"",IF(B3419="","⚠ Falta fecha",IF(G3419="","⚠ Falta monto",IF(Q3419="","⚠ Falta cuenta",IF(ISNA(MATCH(Q3419,ctaNombre,0)),"⚠ Cuenta no registrada",IF(AND(OR(P3419="Gasto",P3419="Reembolso"),D3419=""),"⚠ Falta categoría",IF(AND(D3419&lt;&gt;"",E3419&lt;&gt;"",ISNA(MATCH(D3419&amp;"|"&amp;E3419,catClave,0))),"⚠ Subcategoría no corresponde",IF(AND(OR(P3419="Transferencia",P3419="Pago tarjeta"),K3419=""),"⚠ Falta cuenta destino",IF(AND(K3419&lt;&gt;"",P3419&lt;&gt;"Transferencia",P3419&lt;&gt;"Pago tarjeta"),"⚠ Destino solo aplica a transferencias",IF(AND(K3419&lt;&gt;"",K3419=Q3419),"⚠ Origen igual a destino",IF(AND(K3419&lt;&gt;"",ISNA(MATCH(K3419,ctaNombre,0))),"⚠ Destino no registrado",IF(AND(P3419="Pago tarjeta",AE3419&lt;&gt;"Tarjeta de crédito"),"⚠ El destino debe ser tarjeta de crédito",IF(AND(P3419="Gasto",E3419="Depósitos y retiros"),"⚠ Usa tipo Transferencia",IF(AND(P3419="Resultado trading",AD3419&lt;&gt;"Cuenta de trading"),"⚠ Usa una cuenta de trading",IF(AND(G3419&lt;=0,P3419&lt;&gt;"Ajuste",P3419&lt;&gt;"Resultado trading"),"⚠ El monto debe ser positivo","✓")))))))))))))))</f>
        <v/>
      </c>
      <c r="P3419" s="52">
        <f>IF(OR(B3419="",G3419=""),"",IF(C3419="","Gasto",C3419))</f>
        <v/>
      </c>
      <c r="Q3419" s="52">
        <f>IF(P3419="","",IF(J3419&lt;&gt;"",J3419,CuentaPred&amp;""))</f>
        <v/>
      </c>
      <c r="R3419" s="52">
        <f>IF(P3419="","",IF(ISNUMBER(I3419),I3419,TasaUSD))</f>
        <v/>
      </c>
      <c r="S3419" s="53">
        <f>IF(P3419="","",IF(H3419="USD",G3419*R3419,G3419))</f>
        <v/>
      </c>
      <c r="T3419" s="53">
        <f>IF(P3419="","",IF(H3419="USD",G3419,IF(R3419&gt;0,G3419/R3419,0)))</f>
        <v/>
      </c>
      <c r="U3419" s="53">
        <f>IF(P3419="","",IF(P3419="Gasto",S3419,IF(P3419="Reembolso",-S3419,0)))</f>
        <v/>
      </c>
      <c r="V3419" s="53">
        <f>IF(P3419="","",IF(P3419="Ingreso",S3419,0))</f>
        <v/>
      </c>
      <c r="W3419" s="53">
        <f>IF(P3419="","",IF(P3419="Resultado trading",S3419,0))</f>
        <v/>
      </c>
      <c r="X3419" s="52">
        <f>IF(OR(P3419="Gasto",P3419="Reembolso"),IF(M3419&lt;&gt;"",M3419,IFERROR(INDEX(catClasif,MATCH(D3419&amp;"|"&amp;E3419,catClave,0))&amp;"","Variable")),"")</f>
        <v/>
      </c>
      <c r="Y3419" s="52">
        <f>IF(P3419="","",IFERROR(INDEX(catGrupo,MATCH(D3419&amp;"|"&amp;E3419,catClave,0))&amp;"",""))</f>
        <v/>
      </c>
      <c r="Z3419" s="52">
        <f>IF(P3419="","",WEEKDAY(B3419,2))</f>
        <v/>
      </c>
      <c r="AA3419" s="52">
        <f>IF(P3419="","",IF(AND(P3419="Gasto",X3419="Variable",D3419&lt;&gt;catTrading,S3419&gt;0,S3419&lt;=Umbral),1,0))</f>
        <v/>
      </c>
      <c r="AB3419" s="52">
        <f>IF(OR(P3419="",Q3419=""),"",IFERROR(IF(INDEX(ctaVinc,MATCH(Q3419,ctaNombre,0))&amp;""&lt;&gt;"",INDEX(ctaVinc,MATCH(Q3419,ctaNombre,0))&amp;"",Q3419),Q3419))</f>
        <v/>
      </c>
      <c r="AC3419" s="52">
        <f>IF(OR(K3419="",AND(P3419&lt;&gt;"Transferencia",P3419&lt;&gt;"Pago tarjeta")),"",IFERROR(IF(INDEX(ctaVinc,MATCH(K3419,ctaNombre,0))&amp;""&lt;&gt;"",INDEX(ctaVinc,MATCH(K3419,ctaNombre,0))&amp;"",K3419),K3419))</f>
        <v/>
      </c>
      <c r="AD3419" s="52">
        <f>IF(AB3419="","",IFERROR(INDEX(ctaTipo,MATCH(AB3419,ctaNombre,0))&amp;"",""))</f>
        <v/>
      </c>
      <c r="AE3419" s="52">
        <f>IF(AC3419="","",IFERROR(INDEX(ctaTipo,MATCH(AC3419,ctaNombre,0))&amp;"",""))</f>
        <v/>
      </c>
      <c r="AF3419" s="53">
        <f>IF(OR(P3419="",AB3419=""),"",IF(OR(P3419="Gasto",P3419="Transferencia",P3419="Pago tarjeta"),-1,1)*IF(IFERROR(INDEX(ctaMoneda,MATCH(AB3419,ctaNombre,0))&amp;"","DOP")="USD",T3419,S3419))</f>
        <v/>
      </c>
      <c r="AG3419" s="53">
        <f>IF(AC3419="","",IF(IFERROR(INDEX(ctaMoneda,MATCH(AC3419,ctaNombre,0))&amp;"","DOP")="USD",T3419,S3419))</f>
        <v/>
      </c>
      <c r="AH3419" s="53">
        <f>IF(P3419="","",IF(AND(AD3419&lt;&gt;"",COUNTIFS(tcTipo,AD3419,tcLiq,"Sí")&gt;0),IF(OR(P3419="Gasto",P3419="Transferencia",P3419="Pago tarjeta"),-1,1)*S3419,0)+IF(AND(AE3419&lt;&gt;"",COUNTIFS(tcTipo,AE3419,tcLiq,"Sí")&gt;0),S3419,0))</f>
        <v/>
      </c>
      <c r="AI3419" s="52">
        <f>IF(OR(L3419="",P3419=""),"",IF(COUNTIFS(L$6:L3419,L3419,P$6:P3419,"?*")=1,MAX(AI$5:AI3418)+1,""))</f>
        <v/>
      </c>
    </row>
    <row r="3420">
      <c r="B3420" s="47" t="n"/>
      <c r="C3420" s="48" t="n"/>
      <c r="D3420" s="48" t="n"/>
      <c r="E3420" s="48" t="n"/>
      <c r="F3420" s="48" t="n"/>
      <c r="G3420" s="49" t="n"/>
      <c r="H3420" s="48" t="n"/>
      <c r="I3420" s="50" t="n"/>
      <c r="J3420" s="48" t="n"/>
      <c r="K3420" s="48" t="n"/>
      <c r="L3420" s="48" t="n"/>
      <c r="M3420" s="48" t="n"/>
      <c r="N3420" s="48" t="n"/>
      <c r="O3420" s="51">
        <f>IF(AND(B3420="",G3420="",C3420="",D3420="",J3420=""),"",IF(B3420="","⚠ Falta fecha",IF(G3420="","⚠ Falta monto",IF(Q3420="","⚠ Falta cuenta",IF(ISNA(MATCH(Q3420,ctaNombre,0)),"⚠ Cuenta no registrada",IF(AND(OR(P3420="Gasto",P3420="Reembolso"),D3420=""),"⚠ Falta categoría",IF(AND(D3420&lt;&gt;"",E3420&lt;&gt;"",ISNA(MATCH(D3420&amp;"|"&amp;E3420,catClave,0))),"⚠ Subcategoría no corresponde",IF(AND(OR(P3420="Transferencia",P3420="Pago tarjeta"),K3420=""),"⚠ Falta cuenta destino",IF(AND(K3420&lt;&gt;"",P3420&lt;&gt;"Transferencia",P3420&lt;&gt;"Pago tarjeta"),"⚠ Destino solo aplica a transferencias",IF(AND(K3420&lt;&gt;"",K3420=Q3420),"⚠ Origen igual a destino",IF(AND(K3420&lt;&gt;"",ISNA(MATCH(K3420,ctaNombre,0))),"⚠ Destino no registrado",IF(AND(P3420="Pago tarjeta",AE3420&lt;&gt;"Tarjeta de crédito"),"⚠ El destino debe ser tarjeta de crédito",IF(AND(P3420="Gasto",E3420="Depósitos y retiros"),"⚠ Usa tipo Transferencia",IF(AND(P3420="Resultado trading",AD3420&lt;&gt;"Cuenta de trading"),"⚠ Usa una cuenta de trading",IF(AND(G3420&lt;=0,P3420&lt;&gt;"Ajuste",P3420&lt;&gt;"Resultado trading"),"⚠ El monto debe ser positivo","✓")))))))))))))))</f>
        <v/>
      </c>
      <c r="P3420" s="52">
        <f>IF(OR(B3420="",G3420=""),"",IF(C3420="","Gasto",C3420))</f>
        <v/>
      </c>
      <c r="Q3420" s="52">
        <f>IF(P3420="","",IF(J3420&lt;&gt;"",J3420,CuentaPred&amp;""))</f>
        <v/>
      </c>
      <c r="R3420" s="52">
        <f>IF(P3420="","",IF(ISNUMBER(I3420),I3420,TasaUSD))</f>
        <v/>
      </c>
      <c r="S3420" s="53">
        <f>IF(P3420="","",IF(H3420="USD",G3420*R3420,G3420))</f>
        <v/>
      </c>
      <c r="T3420" s="53">
        <f>IF(P3420="","",IF(H3420="USD",G3420,IF(R3420&gt;0,G3420/R3420,0)))</f>
        <v/>
      </c>
      <c r="U3420" s="53">
        <f>IF(P3420="","",IF(P3420="Gasto",S3420,IF(P3420="Reembolso",-S3420,0)))</f>
        <v/>
      </c>
      <c r="V3420" s="53">
        <f>IF(P3420="","",IF(P3420="Ingreso",S3420,0))</f>
        <v/>
      </c>
      <c r="W3420" s="53">
        <f>IF(P3420="","",IF(P3420="Resultado trading",S3420,0))</f>
        <v/>
      </c>
      <c r="X3420" s="52">
        <f>IF(OR(P3420="Gasto",P3420="Reembolso"),IF(M3420&lt;&gt;"",M3420,IFERROR(INDEX(catClasif,MATCH(D3420&amp;"|"&amp;E3420,catClave,0))&amp;"","Variable")),"")</f>
        <v/>
      </c>
      <c r="Y3420" s="52">
        <f>IF(P3420="","",IFERROR(INDEX(catGrupo,MATCH(D3420&amp;"|"&amp;E3420,catClave,0))&amp;"",""))</f>
        <v/>
      </c>
      <c r="Z3420" s="52">
        <f>IF(P3420="","",WEEKDAY(B3420,2))</f>
        <v/>
      </c>
      <c r="AA3420" s="52">
        <f>IF(P3420="","",IF(AND(P3420="Gasto",X3420="Variable",D3420&lt;&gt;catTrading,S3420&gt;0,S3420&lt;=Umbral),1,0))</f>
        <v/>
      </c>
      <c r="AB3420" s="52">
        <f>IF(OR(P3420="",Q3420=""),"",IFERROR(IF(INDEX(ctaVinc,MATCH(Q3420,ctaNombre,0))&amp;""&lt;&gt;"",INDEX(ctaVinc,MATCH(Q3420,ctaNombre,0))&amp;"",Q3420),Q3420))</f>
        <v/>
      </c>
      <c r="AC3420" s="52">
        <f>IF(OR(K3420="",AND(P3420&lt;&gt;"Transferencia",P3420&lt;&gt;"Pago tarjeta")),"",IFERROR(IF(INDEX(ctaVinc,MATCH(K3420,ctaNombre,0))&amp;""&lt;&gt;"",INDEX(ctaVinc,MATCH(K3420,ctaNombre,0))&amp;"",K3420),K3420))</f>
        <v/>
      </c>
      <c r="AD3420" s="52">
        <f>IF(AB3420="","",IFERROR(INDEX(ctaTipo,MATCH(AB3420,ctaNombre,0))&amp;"",""))</f>
        <v/>
      </c>
      <c r="AE3420" s="52">
        <f>IF(AC3420="","",IFERROR(INDEX(ctaTipo,MATCH(AC3420,ctaNombre,0))&amp;"",""))</f>
        <v/>
      </c>
      <c r="AF3420" s="53">
        <f>IF(OR(P3420="",AB3420=""),"",IF(OR(P3420="Gasto",P3420="Transferencia",P3420="Pago tarjeta"),-1,1)*IF(IFERROR(INDEX(ctaMoneda,MATCH(AB3420,ctaNombre,0))&amp;"","DOP")="USD",T3420,S3420))</f>
        <v/>
      </c>
      <c r="AG3420" s="53">
        <f>IF(AC3420="","",IF(IFERROR(INDEX(ctaMoneda,MATCH(AC3420,ctaNombre,0))&amp;"","DOP")="USD",T3420,S3420))</f>
        <v/>
      </c>
      <c r="AH3420" s="53">
        <f>IF(P3420="","",IF(AND(AD3420&lt;&gt;"",COUNTIFS(tcTipo,AD3420,tcLiq,"Sí")&gt;0),IF(OR(P3420="Gasto",P3420="Transferencia",P3420="Pago tarjeta"),-1,1)*S3420,0)+IF(AND(AE3420&lt;&gt;"",COUNTIFS(tcTipo,AE3420,tcLiq,"Sí")&gt;0),S3420,0))</f>
        <v/>
      </c>
      <c r="AI3420" s="52">
        <f>IF(OR(L3420="",P3420=""),"",IF(COUNTIFS(L$6:L3420,L3420,P$6:P3420,"?*")=1,MAX(AI$5:AI3419)+1,""))</f>
        <v/>
      </c>
    </row>
    <row r="3421">
      <c r="B3421" s="47" t="n"/>
      <c r="C3421" s="48" t="n"/>
      <c r="D3421" s="48" t="n"/>
      <c r="E3421" s="48" t="n"/>
      <c r="F3421" s="48" t="n"/>
      <c r="G3421" s="49" t="n"/>
      <c r="H3421" s="48" t="n"/>
      <c r="I3421" s="50" t="n"/>
      <c r="J3421" s="48" t="n"/>
      <c r="K3421" s="48" t="n"/>
      <c r="L3421" s="48" t="n"/>
      <c r="M3421" s="48" t="n"/>
      <c r="N3421" s="48" t="n"/>
      <c r="O3421" s="51">
        <f>IF(AND(B3421="",G3421="",C3421="",D3421="",J3421=""),"",IF(B3421="","⚠ Falta fecha",IF(G3421="","⚠ Falta monto",IF(Q3421="","⚠ Falta cuenta",IF(ISNA(MATCH(Q3421,ctaNombre,0)),"⚠ Cuenta no registrada",IF(AND(OR(P3421="Gasto",P3421="Reembolso"),D3421=""),"⚠ Falta categoría",IF(AND(D3421&lt;&gt;"",E3421&lt;&gt;"",ISNA(MATCH(D3421&amp;"|"&amp;E3421,catClave,0))),"⚠ Subcategoría no corresponde",IF(AND(OR(P3421="Transferencia",P3421="Pago tarjeta"),K3421=""),"⚠ Falta cuenta destino",IF(AND(K3421&lt;&gt;"",P3421&lt;&gt;"Transferencia",P3421&lt;&gt;"Pago tarjeta"),"⚠ Destino solo aplica a transferencias",IF(AND(K3421&lt;&gt;"",K3421=Q3421),"⚠ Origen igual a destino",IF(AND(K3421&lt;&gt;"",ISNA(MATCH(K3421,ctaNombre,0))),"⚠ Destino no registrado",IF(AND(P3421="Pago tarjeta",AE3421&lt;&gt;"Tarjeta de crédito"),"⚠ El destino debe ser tarjeta de crédito",IF(AND(P3421="Gasto",E3421="Depósitos y retiros"),"⚠ Usa tipo Transferencia",IF(AND(P3421="Resultado trading",AD3421&lt;&gt;"Cuenta de trading"),"⚠ Usa una cuenta de trading",IF(AND(G3421&lt;=0,P3421&lt;&gt;"Ajuste",P3421&lt;&gt;"Resultado trading"),"⚠ El monto debe ser positivo","✓")))))))))))))))</f>
        <v/>
      </c>
      <c r="P3421" s="52">
        <f>IF(OR(B3421="",G3421=""),"",IF(C3421="","Gasto",C3421))</f>
        <v/>
      </c>
      <c r="Q3421" s="52">
        <f>IF(P3421="","",IF(J3421&lt;&gt;"",J3421,CuentaPred&amp;""))</f>
        <v/>
      </c>
      <c r="R3421" s="52">
        <f>IF(P3421="","",IF(ISNUMBER(I3421),I3421,TasaUSD))</f>
        <v/>
      </c>
      <c r="S3421" s="53">
        <f>IF(P3421="","",IF(H3421="USD",G3421*R3421,G3421))</f>
        <v/>
      </c>
      <c r="T3421" s="53">
        <f>IF(P3421="","",IF(H3421="USD",G3421,IF(R3421&gt;0,G3421/R3421,0)))</f>
        <v/>
      </c>
      <c r="U3421" s="53">
        <f>IF(P3421="","",IF(P3421="Gasto",S3421,IF(P3421="Reembolso",-S3421,0)))</f>
        <v/>
      </c>
      <c r="V3421" s="53">
        <f>IF(P3421="","",IF(P3421="Ingreso",S3421,0))</f>
        <v/>
      </c>
      <c r="W3421" s="53">
        <f>IF(P3421="","",IF(P3421="Resultado trading",S3421,0))</f>
        <v/>
      </c>
      <c r="X3421" s="52">
        <f>IF(OR(P3421="Gasto",P3421="Reembolso"),IF(M3421&lt;&gt;"",M3421,IFERROR(INDEX(catClasif,MATCH(D3421&amp;"|"&amp;E3421,catClave,0))&amp;"","Variable")),"")</f>
        <v/>
      </c>
      <c r="Y3421" s="52">
        <f>IF(P3421="","",IFERROR(INDEX(catGrupo,MATCH(D3421&amp;"|"&amp;E3421,catClave,0))&amp;"",""))</f>
        <v/>
      </c>
      <c r="Z3421" s="52">
        <f>IF(P3421="","",WEEKDAY(B3421,2))</f>
        <v/>
      </c>
      <c r="AA3421" s="52">
        <f>IF(P3421="","",IF(AND(P3421="Gasto",X3421="Variable",D3421&lt;&gt;catTrading,S3421&gt;0,S3421&lt;=Umbral),1,0))</f>
        <v/>
      </c>
      <c r="AB3421" s="52">
        <f>IF(OR(P3421="",Q3421=""),"",IFERROR(IF(INDEX(ctaVinc,MATCH(Q3421,ctaNombre,0))&amp;""&lt;&gt;"",INDEX(ctaVinc,MATCH(Q3421,ctaNombre,0))&amp;"",Q3421),Q3421))</f>
        <v/>
      </c>
      <c r="AC3421" s="52">
        <f>IF(OR(K3421="",AND(P3421&lt;&gt;"Transferencia",P3421&lt;&gt;"Pago tarjeta")),"",IFERROR(IF(INDEX(ctaVinc,MATCH(K3421,ctaNombre,0))&amp;""&lt;&gt;"",INDEX(ctaVinc,MATCH(K3421,ctaNombre,0))&amp;"",K3421),K3421))</f>
        <v/>
      </c>
      <c r="AD3421" s="52">
        <f>IF(AB3421="","",IFERROR(INDEX(ctaTipo,MATCH(AB3421,ctaNombre,0))&amp;"",""))</f>
        <v/>
      </c>
      <c r="AE3421" s="52">
        <f>IF(AC3421="","",IFERROR(INDEX(ctaTipo,MATCH(AC3421,ctaNombre,0))&amp;"",""))</f>
        <v/>
      </c>
      <c r="AF3421" s="53">
        <f>IF(OR(P3421="",AB3421=""),"",IF(OR(P3421="Gasto",P3421="Transferencia",P3421="Pago tarjeta"),-1,1)*IF(IFERROR(INDEX(ctaMoneda,MATCH(AB3421,ctaNombre,0))&amp;"","DOP")="USD",T3421,S3421))</f>
        <v/>
      </c>
      <c r="AG3421" s="53">
        <f>IF(AC3421="","",IF(IFERROR(INDEX(ctaMoneda,MATCH(AC3421,ctaNombre,0))&amp;"","DOP")="USD",T3421,S3421))</f>
        <v/>
      </c>
      <c r="AH3421" s="53">
        <f>IF(P3421="","",IF(AND(AD3421&lt;&gt;"",COUNTIFS(tcTipo,AD3421,tcLiq,"Sí")&gt;0),IF(OR(P3421="Gasto",P3421="Transferencia",P3421="Pago tarjeta"),-1,1)*S3421,0)+IF(AND(AE3421&lt;&gt;"",COUNTIFS(tcTipo,AE3421,tcLiq,"Sí")&gt;0),S3421,0))</f>
        <v/>
      </c>
      <c r="AI3421" s="52">
        <f>IF(OR(L3421="",P3421=""),"",IF(COUNTIFS(L$6:L3421,L3421,P$6:P3421,"?*")=1,MAX(AI$5:AI3420)+1,""))</f>
        <v/>
      </c>
    </row>
    <row r="3422">
      <c r="B3422" s="47" t="n"/>
      <c r="C3422" s="48" t="n"/>
      <c r="D3422" s="48" t="n"/>
      <c r="E3422" s="48" t="n"/>
      <c r="F3422" s="48" t="n"/>
      <c r="G3422" s="49" t="n"/>
      <c r="H3422" s="48" t="n"/>
      <c r="I3422" s="50" t="n"/>
      <c r="J3422" s="48" t="n"/>
      <c r="K3422" s="48" t="n"/>
      <c r="L3422" s="48" t="n"/>
      <c r="M3422" s="48" t="n"/>
      <c r="N3422" s="48" t="n"/>
      <c r="O3422" s="51">
        <f>IF(AND(B3422="",G3422="",C3422="",D3422="",J3422=""),"",IF(B3422="","⚠ Falta fecha",IF(G3422="","⚠ Falta monto",IF(Q3422="","⚠ Falta cuenta",IF(ISNA(MATCH(Q3422,ctaNombre,0)),"⚠ Cuenta no registrada",IF(AND(OR(P3422="Gasto",P3422="Reembolso"),D3422=""),"⚠ Falta categoría",IF(AND(D3422&lt;&gt;"",E3422&lt;&gt;"",ISNA(MATCH(D3422&amp;"|"&amp;E3422,catClave,0))),"⚠ Subcategoría no corresponde",IF(AND(OR(P3422="Transferencia",P3422="Pago tarjeta"),K3422=""),"⚠ Falta cuenta destino",IF(AND(K3422&lt;&gt;"",P3422&lt;&gt;"Transferencia",P3422&lt;&gt;"Pago tarjeta"),"⚠ Destino solo aplica a transferencias",IF(AND(K3422&lt;&gt;"",K3422=Q3422),"⚠ Origen igual a destino",IF(AND(K3422&lt;&gt;"",ISNA(MATCH(K3422,ctaNombre,0))),"⚠ Destino no registrado",IF(AND(P3422="Pago tarjeta",AE3422&lt;&gt;"Tarjeta de crédito"),"⚠ El destino debe ser tarjeta de crédito",IF(AND(P3422="Gasto",E3422="Depósitos y retiros"),"⚠ Usa tipo Transferencia",IF(AND(P3422="Resultado trading",AD3422&lt;&gt;"Cuenta de trading"),"⚠ Usa una cuenta de trading",IF(AND(G3422&lt;=0,P3422&lt;&gt;"Ajuste",P3422&lt;&gt;"Resultado trading"),"⚠ El monto debe ser positivo","✓")))))))))))))))</f>
        <v/>
      </c>
      <c r="P3422" s="52">
        <f>IF(OR(B3422="",G3422=""),"",IF(C3422="","Gasto",C3422))</f>
        <v/>
      </c>
      <c r="Q3422" s="52">
        <f>IF(P3422="","",IF(J3422&lt;&gt;"",J3422,CuentaPred&amp;""))</f>
        <v/>
      </c>
      <c r="R3422" s="52">
        <f>IF(P3422="","",IF(ISNUMBER(I3422),I3422,TasaUSD))</f>
        <v/>
      </c>
      <c r="S3422" s="53">
        <f>IF(P3422="","",IF(H3422="USD",G3422*R3422,G3422))</f>
        <v/>
      </c>
      <c r="T3422" s="53">
        <f>IF(P3422="","",IF(H3422="USD",G3422,IF(R3422&gt;0,G3422/R3422,0)))</f>
        <v/>
      </c>
      <c r="U3422" s="53">
        <f>IF(P3422="","",IF(P3422="Gasto",S3422,IF(P3422="Reembolso",-S3422,0)))</f>
        <v/>
      </c>
      <c r="V3422" s="53">
        <f>IF(P3422="","",IF(P3422="Ingreso",S3422,0))</f>
        <v/>
      </c>
      <c r="W3422" s="53">
        <f>IF(P3422="","",IF(P3422="Resultado trading",S3422,0))</f>
        <v/>
      </c>
      <c r="X3422" s="52">
        <f>IF(OR(P3422="Gasto",P3422="Reembolso"),IF(M3422&lt;&gt;"",M3422,IFERROR(INDEX(catClasif,MATCH(D3422&amp;"|"&amp;E3422,catClave,0))&amp;"","Variable")),"")</f>
        <v/>
      </c>
      <c r="Y3422" s="52">
        <f>IF(P3422="","",IFERROR(INDEX(catGrupo,MATCH(D3422&amp;"|"&amp;E3422,catClave,0))&amp;"",""))</f>
        <v/>
      </c>
      <c r="Z3422" s="52">
        <f>IF(P3422="","",WEEKDAY(B3422,2))</f>
        <v/>
      </c>
      <c r="AA3422" s="52">
        <f>IF(P3422="","",IF(AND(P3422="Gasto",X3422="Variable",D3422&lt;&gt;catTrading,S3422&gt;0,S3422&lt;=Umbral),1,0))</f>
        <v/>
      </c>
      <c r="AB3422" s="52">
        <f>IF(OR(P3422="",Q3422=""),"",IFERROR(IF(INDEX(ctaVinc,MATCH(Q3422,ctaNombre,0))&amp;""&lt;&gt;"",INDEX(ctaVinc,MATCH(Q3422,ctaNombre,0))&amp;"",Q3422),Q3422))</f>
        <v/>
      </c>
      <c r="AC3422" s="52">
        <f>IF(OR(K3422="",AND(P3422&lt;&gt;"Transferencia",P3422&lt;&gt;"Pago tarjeta")),"",IFERROR(IF(INDEX(ctaVinc,MATCH(K3422,ctaNombre,0))&amp;""&lt;&gt;"",INDEX(ctaVinc,MATCH(K3422,ctaNombre,0))&amp;"",K3422),K3422))</f>
        <v/>
      </c>
      <c r="AD3422" s="52">
        <f>IF(AB3422="","",IFERROR(INDEX(ctaTipo,MATCH(AB3422,ctaNombre,0))&amp;"",""))</f>
        <v/>
      </c>
      <c r="AE3422" s="52">
        <f>IF(AC3422="","",IFERROR(INDEX(ctaTipo,MATCH(AC3422,ctaNombre,0))&amp;"",""))</f>
        <v/>
      </c>
      <c r="AF3422" s="53">
        <f>IF(OR(P3422="",AB3422=""),"",IF(OR(P3422="Gasto",P3422="Transferencia",P3422="Pago tarjeta"),-1,1)*IF(IFERROR(INDEX(ctaMoneda,MATCH(AB3422,ctaNombre,0))&amp;"","DOP")="USD",T3422,S3422))</f>
        <v/>
      </c>
      <c r="AG3422" s="53">
        <f>IF(AC3422="","",IF(IFERROR(INDEX(ctaMoneda,MATCH(AC3422,ctaNombre,0))&amp;"","DOP")="USD",T3422,S3422))</f>
        <v/>
      </c>
      <c r="AH3422" s="53">
        <f>IF(P3422="","",IF(AND(AD3422&lt;&gt;"",COUNTIFS(tcTipo,AD3422,tcLiq,"Sí")&gt;0),IF(OR(P3422="Gasto",P3422="Transferencia",P3422="Pago tarjeta"),-1,1)*S3422,0)+IF(AND(AE3422&lt;&gt;"",COUNTIFS(tcTipo,AE3422,tcLiq,"Sí")&gt;0),S3422,0))</f>
        <v/>
      </c>
      <c r="AI3422" s="52">
        <f>IF(OR(L3422="",P3422=""),"",IF(COUNTIFS(L$6:L3422,L3422,P$6:P3422,"?*")=1,MAX(AI$5:AI3421)+1,""))</f>
        <v/>
      </c>
    </row>
    <row r="3423">
      <c r="B3423" s="47" t="n"/>
      <c r="C3423" s="48" t="n"/>
      <c r="D3423" s="48" t="n"/>
      <c r="E3423" s="48" t="n"/>
      <c r="F3423" s="48" t="n"/>
      <c r="G3423" s="49" t="n"/>
      <c r="H3423" s="48" t="n"/>
      <c r="I3423" s="50" t="n"/>
      <c r="J3423" s="48" t="n"/>
      <c r="K3423" s="48" t="n"/>
      <c r="L3423" s="48" t="n"/>
      <c r="M3423" s="48" t="n"/>
      <c r="N3423" s="48" t="n"/>
      <c r="O3423" s="51">
        <f>IF(AND(B3423="",G3423="",C3423="",D3423="",J3423=""),"",IF(B3423="","⚠ Falta fecha",IF(G3423="","⚠ Falta monto",IF(Q3423="","⚠ Falta cuenta",IF(ISNA(MATCH(Q3423,ctaNombre,0)),"⚠ Cuenta no registrada",IF(AND(OR(P3423="Gasto",P3423="Reembolso"),D3423=""),"⚠ Falta categoría",IF(AND(D3423&lt;&gt;"",E3423&lt;&gt;"",ISNA(MATCH(D3423&amp;"|"&amp;E3423,catClave,0))),"⚠ Subcategoría no corresponde",IF(AND(OR(P3423="Transferencia",P3423="Pago tarjeta"),K3423=""),"⚠ Falta cuenta destino",IF(AND(K3423&lt;&gt;"",P3423&lt;&gt;"Transferencia",P3423&lt;&gt;"Pago tarjeta"),"⚠ Destino solo aplica a transferencias",IF(AND(K3423&lt;&gt;"",K3423=Q3423),"⚠ Origen igual a destino",IF(AND(K3423&lt;&gt;"",ISNA(MATCH(K3423,ctaNombre,0))),"⚠ Destino no registrado",IF(AND(P3423="Pago tarjeta",AE3423&lt;&gt;"Tarjeta de crédito"),"⚠ El destino debe ser tarjeta de crédito",IF(AND(P3423="Gasto",E3423="Depósitos y retiros"),"⚠ Usa tipo Transferencia",IF(AND(P3423="Resultado trading",AD3423&lt;&gt;"Cuenta de trading"),"⚠ Usa una cuenta de trading",IF(AND(G3423&lt;=0,P3423&lt;&gt;"Ajuste",P3423&lt;&gt;"Resultado trading"),"⚠ El monto debe ser positivo","✓")))))))))))))))</f>
        <v/>
      </c>
      <c r="P3423" s="52">
        <f>IF(OR(B3423="",G3423=""),"",IF(C3423="","Gasto",C3423))</f>
        <v/>
      </c>
      <c r="Q3423" s="52">
        <f>IF(P3423="","",IF(J3423&lt;&gt;"",J3423,CuentaPred&amp;""))</f>
        <v/>
      </c>
      <c r="R3423" s="52">
        <f>IF(P3423="","",IF(ISNUMBER(I3423),I3423,TasaUSD))</f>
        <v/>
      </c>
      <c r="S3423" s="53">
        <f>IF(P3423="","",IF(H3423="USD",G3423*R3423,G3423))</f>
        <v/>
      </c>
      <c r="T3423" s="53">
        <f>IF(P3423="","",IF(H3423="USD",G3423,IF(R3423&gt;0,G3423/R3423,0)))</f>
        <v/>
      </c>
      <c r="U3423" s="53">
        <f>IF(P3423="","",IF(P3423="Gasto",S3423,IF(P3423="Reembolso",-S3423,0)))</f>
        <v/>
      </c>
      <c r="V3423" s="53">
        <f>IF(P3423="","",IF(P3423="Ingreso",S3423,0))</f>
        <v/>
      </c>
      <c r="W3423" s="53">
        <f>IF(P3423="","",IF(P3423="Resultado trading",S3423,0))</f>
        <v/>
      </c>
      <c r="X3423" s="52">
        <f>IF(OR(P3423="Gasto",P3423="Reembolso"),IF(M3423&lt;&gt;"",M3423,IFERROR(INDEX(catClasif,MATCH(D3423&amp;"|"&amp;E3423,catClave,0))&amp;"","Variable")),"")</f>
        <v/>
      </c>
      <c r="Y3423" s="52">
        <f>IF(P3423="","",IFERROR(INDEX(catGrupo,MATCH(D3423&amp;"|"&amp;E3423,catClave,0))&amp;"",""))</f>
        <v/>
      </c>
      <c r="Z3423" s="52">
        <f>IF(P3423="","",WEEKDAY(B3423,2))</f>
        <v/>
      </c>
      <c r="AA3423" s="52">
        <f>IF(P3423="","",IF(AND(P3423="Gasto",X3423="Variable",D3423&lt;&gt;catTrading,S3423&gt;0,S3423&lt;=Umbral),1,0))</f>
        <v/>
      </c>
      <c r="AB3423" s="52">
        <f>IF(OR(P3423="",Q3423=""),"",IFERROR(IF(INDEX(ctaVinc,MATCH(Q3423,ctaNombre,0))&amp;""&lt;&gt;"",INDEX(ctaVinc,MATCH(Q3423,ctaNombre,0))&amp;"",Q3423),Q3423))</f>
        <v/>
      </c>
      <c r="AC3423" s="52">
        <f>IF(OR(K3423="",AND(P3423&lt;&gt;"Transferencia",P3423&lt;&gt;"Pago tarjeta")),"",IFERROR(IF(INDEX(ctaVinc,MATCH(K3423,ctaNombre,0))&amp;""&lt;&gt;"",INDEX(ctaVinc,MATCH(K3423,ctaNombre,0))&amp;"",K3423),K3423))</f>
        <v/>
      </c>
      <c r="AD3423" s="52">
        <f>IF(AB3423="","",IFERROR(INDEX(ctaTipo,MATCH(AB3423,ctaNombre,0))&amp;"",""))</f>
        <v/>
      </c>
      <c r="AE3423" s="52">
        <f>IF(AC3423="","",IFERROR(INDEX(ctaTipo,MATCH(AC3423,ctaNombre,0))&amp;"",""))</f>
        <v/>
      </c>
      <c r="AF3423" s="53">
        <f>IF(OR(P3423="",AB3423=""),"",IF(OR(P3423="Gasto",P3423="Transferencia",P3423="Pago tarjeta"),-1,1)*IF(IFERROR(INDEX(ctaMoneda,MATCH(AB3423,ctaNombre,0))&amp;"","DOP")="USD",T3423,S3423))</f>
        <v/>
      </c>
      <c r="AG3423" s="53">
        <f>IF(AC3423="","",IF(IFERROR(INDEX(ctaMoneda,MATCH(AC3423,ctaNombre,0))&amp;"","DOP")="USD",T3423,S3423))</f>
        <v/>
      </c>
      <c r="AH3423" s="53">
        <f>IF(P3423="","",IF(AND(AD3423&lt;&gt;"",COUNTIFS(tcTipo,AD3423,tcLiq,"Sí")&gt;0),IF(OR(P3423="Gasto",P3423="Transferencia",P3423="Pago tarjeta"),-1,1)*S3423,0)+IF(AND(AE3423&lt;&gt;"",COUNTIFS(tcTipo,AE3423,tcLiq,"Sí")&gt;0),S3423,0))</f>
        <v/>
      </c>
      <c r="AI3423" s="52">
        <f>IF(OR(L3423="",P3423=""),"",IF(COUNTIFS(L$6:L3423,L3423,P$6:P3423,"?*")=1,MAX(AI$5:AI3422)+1,""))</f>
        <v/>
      </c>
    </row>
    <row r="3424">
      <c r="B3424" s="47" t="n"/>
      <c r="C3424" s="48" t="n"/>
      <c r="D3424" s="48" t="n"/>
      <c r="E3424" s="48" t="n"/>
      <c r="F3424" s="48" t="n"/>
      <c r="G3424" s="49" t="n"/>
      <c r="H3424" s="48" t="n"/>
      <c r="I3424" s="50" t="n"/>
      <c r="J3424" s="48" t="n"/>
      <c r="K3424" s="48" t="n"/>
      <c r="L3424" s="48" t="n"/>
      <c r="M3424" s="48" t="n"/>
      <c r="N3424" s="48" t="n"/>
      <c r="O3424" s="51">
        <f>IF(AND(B3424="",G3424="",C3424="",D3424="",J3424=""),"",IF(B3424="","⚠ Falta fecha",IF(G3424="","⚠ Falta monto",IF(Q3424="","⚠ Falta cuenta",IF(ISNA(MATCH(Q3424,ctaNombre,0)),"⚠ Cuenta no registrada",IF(AND(OR(P3424="Gasto",P3424="Reembolso"),D3424=""),"⚠ Falta categoría",IF(AND(D3424&lt;&gt;"",E3424&lt;&gt;"",ISNA(MATCH(D3424&amp;"|"&amp;E3424,catClave,0))),"⚠ Subcategoría no corresponde",IF(AND(OR(P3424="Transferencia",P3424="Pago tarjeta"),K3424=""),"⚠ Falta cuenta destino",IF(AND(K3424&lt;&gt;"",P3424&lt;&gt;"Transferencia",P3424&lt;&gt;"Pago tarjeta"),"⚠ Destino solo aplica a transferencias",IF(AND(K3424&lt;&gt;"",K3424=Q3424),"⚠ Origen igual a destino",IF(AND(K3424&lt;&gt;"",ISNA(MATCH(K3424,ctaNombre,0))),"⚠ Destino no registrado",IF(AND(P3424="Pago tarjeta",AE3424&lt;&gt;"Tarjeta de crédito"),"⚠ El destino debe ser tarjeta de crédito",IF(AND(P3424="Gasto",E3424="Depósitos y retiros"),"⚠ Usa tipo Transferencia",IF(AND(P3424="Resultado trading",AD3424&lt;&gt;"Cuenta de trading"),"⚠ Usa una cuenta de trading",IF(AND(G3424&lt;=0,P3424&lt;&gt;"Ajuste",P3424&lt;&gt;"Resultado trading"),"⚠ El monto debe ser positivo","✓")))))))))))))))</f>
        <v/>
      </c>
      <c r="P3424" s="52">
        <f>IF(OR(B3424="",G3424=""),"",IF(C3424="","Gasto",C3424))</f>
        <v/>
      </c>
      <c r="Q3424" s="52">
        <f>IF(P3424="","",IF(J3424&lt;&gt;"",J3424,CuentaPred&amp;""))</f>
        <v/>
      </c>
      <c r="R3424" s="52">
        <f>IF(P3424="","",IF(ISNUMBER(I3424),I3424,TasaUSD))</f>
        <v/>
      </c>
      <c r="S3424" s="53">
        <f>IF(P3424="","",IF(H3424="USD",G3424*R3424,G3424))</f>
        <v/>
      </c>
      <c r="T3424" s="53">
        <f>IF(P3424="","",IF(H3424="USD",G3424,IF(R3424&gt;0,G3424/R3424,0)))</f>
        <v/>
      </c>
      <c r="U3424" s="53">
        <f>IF(P3424="","",IF(P3424="Gasto",S3424,IF(P3424="Reembolso",-S3424,0)))</f>
        <v/>
      </c>
      <c r="V3424" s="53">
        <f>IF(P3424="","",IF(P3424="Ingreso",S3424,0))</f>
        <v/>
      </c>
      <c r="W3424" s="53">
        <f>IF(P3424="","",IF(P3424="Resultado trading",S3424,0))</f>
        <v/>
      </c>
      <c r="X3424" s="52">
        <f>IF(OR(P3424="Gasto",P3424="Reembolso"),IF(M3424&lt;&gt;"",M3424,IFERROR(INDEX(catClasif,MATCH(D3424&amp;"|"&amp;E3424,catClave,0))&amp;"","Variable")),"")</f>
        <v/>
      </c>
      <c r="Y3424" s="52">
        <f>IF(P3424="","",IFERROR(INDEX(catGrupo,MATCH(D3424&amp;"|"&amp;E3424,catClave,0))&amp;"",""))</f>
        <v/>
      </c>
      <c r="Z3424" s="52">
        <f>IF(P3424="","",WEEKDAY(B3424,2))</f>
        <v/>
      </c>
      <c r="AA3424" s="52">
        <f>IF(P3424="","",IF(AND(P3424="Gasto",X3424="Variable",D3424&lt;&gt;catTrading,S3424&gt;0,S3424&lt;=Umbral),1,0))</f>
        <v/>
      </c>
      <c r="AB3424" s="52">
        <f>IF(OR(P3424="",Q3424=""),"",IFERROR(IF(INDEX(ctaVinc,MATCH(Q3424,ctaNombre,0))&amp;""&lt;&gt;"",INDEX(ctaVinc,MATCH(Q3424,ctaNombre,0))&amp;"",Q3424),Q3424))</f>
        <v/>
      </c>
      <c r="AC3424" s="52">
        <f>IF(OR(K3424="",AND(P3424&lt;&gt;"Transferencia",P3424&lt;&gt;"Pago tarjeta")),"",IFERROR(IF(INDEX(ctaVinc,MATCH(K3424,ctaNombre,0))&amp;""&lt;&gt;"",INDEX(ctaVinc,MATCH(K3424,ctaNombre,0))&amp;"",K3424),K3424))</f>
        <v/>
      </c>
      <c r="AD3424" s="52">
        <f>IF(AB3424="","",IFERROR(INDEX(ctaTipo,MATCH(AB3424,ctaNombre,0))&amp;"",""))</f>
        <v/>
      </c>
      <c r="AE3424" s="52">
        <f>IF(AC3424="","",IFERROR(INDEX(ctaTipo,MATCH(AC3424,ctaNombre,0))&amp;"",""))</f>
        <v/>
      </c>
      <c r="AF3424" s="53">
        <f>IF(OR(P3424="",AB3424=""),"",IF(OR(P3424="Gasto",P3424="Transferencia",P3424="Pago tarjeta"),-1,1)*IF(IFERROR(INDEX(ctaMoneda,MATCH(AB3424,ctaNombre,0))&amp;"","DOP")="USD",T3424,S3424))</f>
        <v/>
      </c>
      <c r="AG3424" s="53">
        <f>IF(AC3424="","",IF(IFERROR(INDEX(ctaMoneda,MATCH(AC3424,ctaNombre,0))&amp;"","DOP")="USD",T3424,S3424))</f>
        <v/>
      </c>
      <c r="AH3424" s="53">
        <f>IF(P3424="","",IF(AND(AD3424&lt;&gt;"",COUNTIFS(tcTipo,AD3424,tcLiq,"Sí")&gt;0),IF(OR(P3424="Gasto",P3424="Transferencia",P3424="Pago tarjeta"),-1,1)*S3424,0)+IF(AND(AE3424&lt;&gt;"",COUNTIFS(tcTipo,AE3424,tcLiq,"Sí")&gt;0),S3424,0))</f>
        <v/>
      </c>
      <c r="AI3424" s="52">
        <f>IF(OR(L3424="",P3424=""),"",IF(COUNTIFS(L$6:L3424,L3424,P$6:P3424,"?*")=1,MAX(AI$5:AI3423)+1,""))</f>
        <v/>
      </c>
    </row>
    <row r="3425">
      <c r="B3425" s="47" t="n"/>
      <c r="C3425" s="48" t="n"/>
      <c r="D3425" s="48" t="n"/>
      <c r="E3425" s="48" t="n"/>
      <c r="F3425" s="48" t="n"/>
      <c r="G3425" s="49" t="n"/>
      <c r="H3425" s="48" t="n"/>
      <c r="I3425" s="50" t="n"/>
      <c r="J3425" s="48" t="n"/>
      <c r="K3425" s="48" t="n"/>
      <c r="L3425" s="48" t="n"/>
      <c r="M3425" s="48" t="n"/>
      <c r="N3425" s="48" t="n"/>
      <c r="O3425" s="51">
        <f>IF(AND(B3425="",G3425="",C3425="",D3425="",J3425=""),"",IF(B3425="","⚠ Falta fecha",IF(G3425="","⚠ Falta monto",IF(Q3425="","⚠ Falta cuenta",IF(ISNA(MATCH(Q3425,ctaNombre,0)),"⚠ Cuenta no registrada",IF(AND(OR(P3425="Gasto",P3425="Reembolso"),D3425=""),"⚠ Falta categoría",IF(AND(D3425&lt;&gt;"",E3425&lt;&gt;"",ISNA(MATCH(D3425&amp;"|"&amp;E3425,catClave,0))),"⚠ Subcategoría no corresponde",IF(AND(OR(P3425="Transferencia",P3425="Pago tarjeta"),K3425=""),"⚠ Falta cuenta destino",IF(AND(K3425&lt;&gt;"",P3425&lt;&gt;"Transferencia",P3425&lt;&gt;"Pago tarjeta"),"⚠ Destino solo aplica a transferencias",IF(AND(K3425&lt;&gt;"",K3425=Q3425),"⚠ Origen igual a destino",IF(AND(K3425&lt;&gt;"",ISNA(MATCH(K3425,ctaNombre,0))),"⚠ Destino no registrado",IF(AND(P3425="Pago tarjeta",AE3425&lt;&gt;"Tarjeta de crédito"),"⚠ El destino debe ser tarjeta de crédito",IF(AND(P3425="Gasto",E3425="Depósitos y retiros"),"⚠ Usa tipo Transferencia",IF(AND(P3425="Resultado trading",AD3425&lt;&gt;"Cuenta de trading"),"⚠ Usa una cuenta de trading",IF(AND(G3425&lt;=0,P3425&lt;&gt;"Ajuste",P3425&lt;&gt;"Resultado trading"),"⚠ El monto debe ser positivo","✓")))))))))))))))</f>
        <v/>
      </c>
      <c r="P3425" s="52">
        <f>IF(OR(B3425="",G3425=""),"",IF(C3425="","Gasto",C3425))</f>
        <v/>
      </c>
      <c r="Q3425" s="52">
        <f>IF(P3425="","",IF(J3425&lt;&gt;"",J3425,CuentaPred&amp;""))</f>
        <v/>
      </c>
      <c r="R3425" s="52">
        <f>IF(P3425="","",IF(ISNUMBER(I3425),I3425,TasaUSD))</f>
        <v/>
      </c>
      <c r="S3425" s="53">
        <f>IF(P3425="","",IF(H3425="USD",G3425*R3425,G3425))</f>
        <v/>
      </c>
      <c r="T3425" s="53">
        <f>IF(P3425="","",IF(H3425="USD",G3425,IF(R3425&gt;0,G3425/R3425,0)))</f>
        <v/>
      </c>
      <c r="U3425" s="53">
        <f>IF(P3425="","",IF(P3425="Gasto",S3425,IF(P3425="Reembolso",-S3425,0)))</f>
        <v/>
      </c>
      <c r="V3425" s="53">
        <f>IF(P3425="","",IF(P3425="Ingreso",S3425,0))</f>
        <v/>
      </c>
      <c r="W3425" s="53">
        <f>IF(P3425="","",IF(P3425="Resultado trading",S3425,0))</f>
        <v/>
      </c>
      <c r="X3425" s="52">
        <f>IF(OR(P3425="Gasto",P3425="Reembolso"),IF(M3425&lt;&gt;"",M3425,IFERROR(INDEX(catClasif,MATCH(D3425&amp;"|"&amp;E3425,catClave,0))&amp;"","Variable")),"")</f>
        <v/>
      </c>
      <c r="Y3425" s="52">
        <f>IF(P3425="","",IFERROR(INDEX(catGrupo,MATCH(D3425&amp;"|"&amp;E3425,catClave,0))&amp;"",""))</f>
        <v/>
      </c>
      <c r="Z3425" s="52">
        <f>IF(P3425="","",WEEKDAY(B3425,2))</f>
        <v/>
      </c>
      <c r="AA3425" s="52">
        <f>IF(P3425="","",IF(AND(P3425="Gasto",X3425="Variable",D3425&lt;&gt;catTrading,S3425&gt;0,S3425&lt;=Umbral),1,0))</f>
        <v/>
      </c>
      <c r="AB3425" s="52">
        <f>IF(OR(P3425="",Q3425=""),"",IFERROR(IF(INDEX(ctaVinc,MATCH(Q3425,ctaNombre,0))&amp;""&lt;&gt;"",INDEX(ctaVinc,MATCH(Q3425,ctaNombre,0))&amp;"",Q3425),Q3425))</f>
        <v/>
      </c>
      <c r="AC3425" s="52">
        <f>IF(OR(K3425="",AND(P3425&lt;&gt;"Transferencia",P3425&lt;&gt;"Pago tarjeta")),"",IFERROR(IF(INDEX(ctaVinc,MATCH(K3425,ctaNombre,0))&amp;""&lt;&gt;"",INDEX(ctaVinc,MATCH(K3425,ctaNombre,0))&amp;"",K3425),K3425))</f>
        <v/>
      </c>
      <c r="AD3425" s="52">
        <f>IF(AB3425="","",IFERROR(INDEX(ctaTipo,MATCH(AB3425,ctaNombre,0))&amp;"",""))</f>
        <v/>
      </c>
      <c r="AE3425" s="52">
        <f>IF(AC3425="","",IFERROR(INDEX(ctaTipo,MATCH(AC3425,ctaNombre,0))&amp;"",""))</f>
        <v/>
      </c>
      <c r="AF3425" s="53">
        <f>IF(OR(P3425="",AB3425=""),"",IF(OR(P3425="Gasto",P3425="Transferencia",P3425="Pago tarjeta"),-1,1)*IF(IFERROR(INDEX(ctaMoneda,MATCH(AB3425,ctaNombre,0))&amp;"","DOP")="USD",T3425,S3425))</f>
        <v/>
      </c>
      <c r="AG3425" s="53">
        <f>IF(AC3425="","",IF(IFERROR(INDEX(ctaMoneda,MATCH(AC3425,ctaNombre,0))&amp;"","DOP")="USD",T3425,S3425))</f>
        <v/>
      </c>
      <c r="AH3425" s="53">
        <f>IF(P3425="","",IF(AND(AD3425&lt;&gt;"",COUNTIFS(tcTipo,AD3425,tcLiq,"Sí")&gt;0),IF(OR(P3425="Gasto",P3425="Transferencia",P3425="Pago tarjeta"),-1,1)*S3425,0)+IF(AND(AE3425&lt;&gt;"",COUNTIFS(tcTipo,AE3425,tcLiq,"Sí")&gt;0),S3425,0))</f>
        <v/>
      </c>
      <c r="AI3425" s="52">
        <f>IF(OR(L3425="",P3425=""),"",IF(COUNTIFS(L$6:L3425,L3425,P$6:P3425,"?*")=1,MAX(AI$5:AI3424)+1,""))</f>
        <v/>
      </c>
    </row>
    <row r="3426">
      <c r="B3426" s="47" t="n"/>
      <c r="C3426" s="48" t="n"/>
      <c r="D3426" s="48" t="n"/>
      <c r="E3426" s="48" t="n"/>
      <c r="F3426" s="48" t="n"/>
      <c r="G3426" s="49" t="n"/>
      <c r="H3426" s="48" t="n"/>
      <c r="I3426" s="50" t="n"/>
      <c r="J3426" s="48" t="n"/>
      <c r="K3426" s="48" t="n"/>
      <c r="L3426" s="48" t="n"/>
      <c r="M3426" s="48" t="n"/>
      <c r="N3426" s="48" t="n"/>
      <c r="O3426" s="51">
        <f>IF(AND(B3426="",G3426="",C3426="",D3426="",J3426=""),"",IF(B3426="","⚠ Falta fecha",IF(G3426="","⚠ Falta monto",IF(Q3426="","⚠ Falta cuenta",IF(ISNA(MATCH(Q3426,ctaNombre,0)),"⚠ Cuenta no registrada",IF(AND(OR(P3426="Gasto",P3426="Reembolso"),D3426=""),"⚠ Falta categoría",IF(AND(D3426&lt;&gt;"",E3426&lt;&gt;"",ISNA(MATCH(D3426&amp;"|"&amp;E3426,catClave,0))),"⚠ Subcategoría no corresponde",IF(AND(OR(P3426="Transferencia",P3426="Pago tarjeta"),K3426=""),"⚠ Falta cuenta destino",IF(AND(K3426&lt;&gt;"",P3426&lt;&gt;"Transferencia",P3426&lt;&gt;"Pago tarjeta"),"⚠ Destino solo aplica a transferencias",IF(AND(K3426&lt;&gt;"",K3426=Q3426),"⚠ Origen igual a destino",IF(AND(K3426&lt;&gt;"",ISNA(MATCH(K3426,ctaNombre,0))),"⚠ Destino no registrado",IF(AND(P3426="Pago tarjeta",AE3426&lt;&gt;"Tarjeta de crédito"),"⚠ El destino debe ser tarjeta de crédito",IF(AND(P3426="Gasto",E3426="Depósitos y retiros"),"⚠ Usa tipo Transferencia",IF(AND(P3426="Resultado trading",AD3426&lt;&gt;"Cuenta de trading"),"⚠ Usa una cuenta de trading",IF(AND(G3426&lt;=0,P3426&lt;&gt;"Ajuste",P3426&lt;&gt;"Resultado trading"),"⚠ El monto debe ser positivo","✓")))))))))))))))</f>
        <v/>
      </c>
      <c r="P3426" s="52">
        <f>IF(OR(B3426="",G3426=""),"",IF(C3426="","Gasto",C3426))</f>
        <v/>
      </c>
      <c r="Q3426" s="52">
        <f>IF(P3426="","",IF(J3426&lt;&gt;"",J3426,CuentaPred&amp;""))</f>
        <v/>
      </c>
      <c r="R3426" s="52">
        <f>IF(P3426="","",IF(ISNUMBER(I3426),I3426,TasaUSD))</f>
        <v/>
      </c>
      <c r="S3426" s="53">
        <f>IF(P3426="","",IF(H3426="USD",G3426*R3426,G3426))</f>
        <v/>
      </c>
      <c r="T3426" s="53">
        <f>IF(P3426="","",IF(H3426="USD",G3426,IF(R3426&gt;0,G3426/R3426,0)))</f>
        <v/>
      </c>
      <c r="U3426" s="53">
        <f>IF(P3426="","",IF(P3426="Gasto",S3426,IF(P3426="Reembolso",-S3426,0)))</f>
        <v/>
      </c>
      <c r="V3426" s="53">
        <f>IF(P3426="","",IF(P3426="Ingreso",S3426,0))</f>
        <v/>
      </c>
      <c r="W3426" s="53">
        <f>IF(P3426="","",IF(P3426="Resultado trading",S3426,0))</f>
        <v/>
      </c>
      <c r="X3426" s="52">
        <f>IF(OR(P3426="Gasto",P3426="Reembolso"),IF(M3426&lt;&gt;"",M3426,IFERROR(INDEX(catClasif,MATCH(D3426&amp;"|"&amp;E3426,catClave,0))&amp;"","Variable")),"")</f>
        <v/>
      </c>
      <c r="Y3426" s="52">
        <f>IF(P3426="","",IFERROR(INDEX(catGrupo,MATCH(D3426&amp;"|"&amp;E3426,catClave,0))&amp;"",""))</f>
        <v/>
      </c>
      <c r="Z3426" s="52">
        <f>IF(P3426="","",WEEKDAY(B3426,2))</f>
        <v/>
      </c>
      <c r="AA3426" s="52">
        <f>IF(P3426="","",IF(AND(P3426="Gasto",X3426="Variable",D3426&lt;&gt;catTrading,S3426&gt;0,S3426&lt;=Umbral),1,0))</f>
        <v/>
      </c>
      <c r="AB3426" s="52">
        <f>IF(OR(P3426="",Q3426=""),"",IFERROR(IF(INDEX(ctaVinc,MATCH(Q3426,ctaNombre,0))&amp;""&lt;&gt;"",INDEX(ctaVinc,MATCH(Q3426,ctaNombre,0))&amp;"",Q3426),Q3426))</f>
        <v/>
      </c>
      <c r="AC3426" s="52">
        <f>IF(OR(K3426="",AND(P3426&lt;&gt;"Transferencia",P3426&lt;&gt;"Pago tarjeta")),"",IFERROR(IF(INDEX(ctaVinc,MATCH(K3426,ctaNombre,0))&amp;""&lt;&gt;"",INDEX(ctaVinc,MATCH(K3426,ctaNombre,0))&amp;"",K3426),K3426))</f>
        <v/>
      </c>
      <c r="AD3426" s="52">
        <f>IF(AB3426="","",IFERROR(INDEX(ctaTipo,MATCH(AB3426,ctaNombre,0))&amp;"",""))</f>
        <v/>
      </c>
      <c r="AE3426" s="52">
        <f>IF(AC3426="","",IFERROR(INDEX(ctaTipo,MATCH(AC3426,ctaNombre,0))&amp;"",""))</f>
        <v/>
      </c>
      <c r="AF3426" s="53">
        <f>IF(OR(P3426="",AB3426=""),"",IF(OR(P3426="Gasto",P3426="Transferencia",P3426="Pago tarjeta"),-1,1)*IF(IFERROR(INDEX(ctaMoneda,MATCH(AB3426,ctaNombre,0))&amp;"","DOP")="USD",T3426,S3426))</f>
        <v/>
      </c>
      <c r="AG3426" s="53">
        <f>IF(AC3426="","",IF(IFERROR(INDEX(ctaMoneda,MATCH(AC3426,ctaNombre,0))&amp;"","DOP")="USD",T3426,S3426))</f>
        <v/>
      </c>
      <c r="AH3426" s="53">
        <f>IF(P3426="","",IF(AND(AD3426&lt;&gt;"",COUNTIFS(tcTipo,AD3426,tcLiq,"Sí")&gt;0),IF(OR(P3426="Gasto",P3426="Transferencia",P3426="Pago tarjeta"),-1,1)*S3426,0)+IF(AND(AE3426&lt;&gt;"",COUNTIFS(tcTipo,AE3426,tcLiq,"Sí")&gt;0),S3426,0))</f>
        <v/>
      </c>
      <c r="AI3426" s="52">
        <f>IF(OR(L3426="",P3426=""),"",IF(COUNTIFS(L$6:L3426,L3426,P$6:P3426,"?*")=1,MAX(AI$5:AI3425)+1,""))</f>
        <v/>
      </c>
    </row>
    <row r="3427">
      <c r="B3427" s="47" t="n"/>
      <c r="C3427" s="48" t="n"/>
      <c r="D3427" s="48" t="n"/>
      <c r="E3427" s="48" t="n"/>
      <c r="F3427" s="48" t="n"/>
      <c r="G3427" s="49" t="n"/>
      <c r="H3427" s="48" t="n"/>
      <c r="I3427" s="50" t="n"/>
      <c r="J3427" s="48" t="n"/>
      <c r="K3427" s="48" t="n"/>
      <c r="L3427" s="48" t="n"/>
      <c r="M3427" s="48" t="n"/>
      <c r="N3427" s="48" t="n"/>
      <c r="O3427" s="51">
        <f>IF(AND(B3427="",G3427="",C3427="",D3427="",J3427=""),"",IF(B3427="","⚠ Falta fecha",IF(G3427="","⚠ Falta monto",IF(Q3427="","⚠ Falta cuenta",IF(ISNA(MATCH(Q3427,ctaNombre,0)),"⚠ Cuenta no registrada",IF(AND(OR(P3427="Gasto",P3427="Reembolso"),D3427=""),"⚠ Falta categoría",IF(AND(D3427&lt;&gt;"",E3427&lt;&gt;"",ISNA(MATCH(D3427&amp;"|"&amp;E3427,catClave,0))),"⚠ Subcategoría no corresponde",IF(AND(OR(P3427="Transferencia",P3427="Pago tarjeta"),K3427=""),"⚠ Falta cuenta destino",IF(AND(K3427&lt;&gt;"",P3427&lt;&gt;"Transferencia",P3427&lt;&gt;"Pago tarjeta"),"⚠ Destino solo aplica a transferencias",IF(AND(K3427&lt;&gt;"",K3427=Q3427),"⚠ Origen igual a destino",IF(AND(K3427&lt;&gt;"",ISNA(MATCH(K3427,ctaNombre,0))),"⚠ Destino no registrado",IF(AND(P3427="Pago tarjeta",AE3427&lt;&gt;"Tarjeta de crédito"),"⚠ El destino debe ser tarjeta de crédito",IF(AND(P3427="Gasto",E3427="Depósitos y retiros"),"⚠ Usa tipo Transferencia",IF(AND(P3427="Resultado trading",AD3427&lt;&gt;"Cuenta de trading"),"⚠ Usa una cuenta de trading",IF(AND(G3427&lt;=0,P3427&lt;&gt;"Ajuste",P3427&lt;&gt;"Resultado trading"),"⚠ El monto debe ser positivo","✓")))))))))))))))</f>
        <v/>
      </c>
      <c r="P3427" s="52">
        <f>IF(OR(B3427="",G3427=""),"",IF(C3427="","Gasto",C3427))</f>
        <v/>
      </c>
      <c r="Q3427" s="52">
        <f>IF(P3427="","",IF(J3427&lt;&gt;"",J3427,CuentaPred&amp;""))</f>
        <v/>
      </c>
      <c r="R3427" s="52">
        <f>IF(P3427="","",IF(ISNUMBER(I3427),I3427,TasaUSD))</f>
        <v/>
      </c>
      <c r="S3427" s="53">
        <f>IF(P3427="","",IF(H3427="USD",G3427*R3427,G3427))</f>
        <v/>
      </c>
      <c r="T3427" s="53">
        <f>IF(P3427="","",IF(H3427="USD",G3427,IF(R3427&gt;0,G3427/R3427,0)))</f>
        <v/>
      </c>
      <c r="U3427" s="53">
        <f>IF(P3427="","",IF(P3427="Gasto",S3427,IF(P3427="Reembolso",-S3427,0)))</f>
        <v/>
      </c>
      <c r="V3427" s="53">
        <f>IF(P3427="","",IF(P3427="Ingreso",S3427,0))</f>
        <v/>
      </c>
      <c r="W3427" s="53">
        <f>IF(P3427="","",IF(P3427="Resultado trading",S3427,0))</f>
        <v/>
      </c>
      <c r="X3427" s="52">
        <f>IF(OR(P3427="Gasto",P3427="Reembolso"),IF(M3427&lt;&gt;"",M3427,IFERROR(INDEX(catClasif,MATCH(D3427&amp;"|"&amp;E3427,catClave,0))&amp;"","Variable")),"")</f>
        <v/>
      </c>
      <c r="Y3427" s="52">
        <f>IF(P3427="","",IFERROR(INDEX(catGrupo,MATCH(D3427&amp;"|"&amp;E3427,catClave,0))&amp;"",""))</f>
        <v/>
      </c>
      <c r="Z3427" s="52">
        <f>IF(P3427="","",WEEKDAY(B3427,2))</f>
        <v/>
      </c>
      <c r="AA3427" s="52">
        <f>IF(P3427="","",IF(AND(P3427="Gasto",X3427="Variable",D3427&lt;&gt;catTrading,S3427&gt;0,S3427&lt;=Umbral),1,0))</f>
        <v/>
      </c>
      <c r="AB3427" s="52">
        <f>IF(OR(P3427="",Q3427=""),"",IFERROR(IF(INDEX(ctaVinc,MATCH(Q3427,ctaNombre,0))&amp;""&lt;&gt;"",INDEX(ctaVinc,MATCH(Q3427,ctaNombre,0))&amp;"",Q3427),Q3427))</f>
        <v/>
      </c>
      <c r="AC3427" s="52">
        <f>IF(OR(K3427="",AND(P3427&lt;&gt;"Transferencia",P3427&lt;&gt;"Pago tarjeta")),"",IFERROR(IF(INDEX(ctaVinc,MATCH(K3427,ctaNombre,0))&amp;""&lt;&gt;"",INDEX(ctaVinc,MATCH(K3427,ctaNombre,0))&amp;"",K3427),K3427))</f>
        <v/>
      </c>
      <c r="AD3427" s="52">
        <f>IF(AB3427="","",IFERROR(INDEX(ctaTipo,MATCH(AB3427,ctaNombre,0))&amp;"",""))</f>
        <v/>
      </c>
      <c r="AE3427" s="52">
        <f>IF(AC3427="","",IFERROR(INDEX(ctaTipo,MATCH(AC3427,ctaNombre,0))&amp;"",""))</f>
        <v/>
      </c>
      <c r="AF3427" s="53">
        <f>IF(OR(P3427="",AB3427=""),"",IF(OR(P3427="Gasto",P3427="Transferencia",P3427="Pago tarjeta"),-1,1)*IF(IFERROR(INDEX(ctaMoneda,MATCH(AB3427,ctaNombre,0))&amp;"","DOP")="USD",T3427,S3427))</f>
        <v/>
      </c>
      <c r="AG3427" s="53">
        <f>IF(AC3427="","",IF(IFERROR(INDEX(ctaMoneda,MATCH(AC3427,ctaNombre,0))&amp;"","DOP")="USD",T3427,S3427))</f>
        <v/>
      </c>
      <c r="AH3427" s="53">
        <f>IF(P3427="","",IF(AND(AD3427&lt;&gt;"",COUNTIFS(tcTipo,AD3427,tcLiq,"Sí")&gt;0),IF(OR(P3427="Gasto",P3427="Transferencia",P3427="Pago tarjeta"),-1,1)*S3427,0)+IF(AND(AE3427&lt;&gt;"",COUNTIFS(tcTipo,AE3427,tcLiq,"Sí")&gt;0),S3427,0))</f>
        <v/>
      </c>
      <c r="AI3427" s="52">
        <f>IF(OR(L3427="",P3427=""),"",IF(COUNTIFS(L$6:L3427,L3427,P$6:P3427,"?*")=1,MAX(AI$5:AI3426)+1,""))</f>
        <v/>
      </c>
    </row>
    <row r="3428">
      <c r="B3428" s="47" t="n"/>
      <c r="C3428" s="48" t="n"/>
      <c r="D3428" s="48" t="n"/>
      <c r="E3428" s="48" t="n"/>
      <c r="F3428" s="48" t="n"/>
      <c r="G3428" s="49" t="n"/>
      <c r="H3428" s="48" t="n"/>
      <c r="I3428" s="50" t="n"/>
      <c r="J3428" s="48" t="n"/>
      <c r="K3428" s="48" t="n"/>
      <c r="L3428" s="48" t="n"/>
      <c r="M3428" s="48" t="n"/>
      <c r="N3428" s="48" t="n"/>
      <c r="O3428" s="51">
        <f>IF(AND(B3428="",G3428="",C3428="",D3428="",J3428=""),"",IF(B3428="","⚠ Falta fecha",IF(G3428="","⚠ Falta monto",IF(Q3428="","⚠ Falta cuenta",IF(ISNA(MATCH(Q3428,ctaNombre,0)),"⚠ Cuenta no registrada",IF(AND(OR(P3428="Gasto",P3428="Reembolso"),D3428=""),"⚠ Falta categoría",IF(AND(D3428&lt;&gt;"",E3428&lt;&gt;"",ISNA(MATCH(D3428&amp;"|"&amp;E3428,catClave,0))),"⚠ Subcategoría no corresponde",IF(AND(OR(P3428="Transferencia",P3428="Pago tarjeta"),K3428=""),"⚠ Falta cuenta destino",IF(AND(K3428&lt;&gt;"",P3428&lt;&gt;"Transferencia",P3428&lt;&gt;"Pago tarjeta"),"⚠ Destino solo aplica a transferencias",IF(AND(K3428&lt;&gt;"",K3428=Q3428),"⚠ Origen igual a destino",IF(AND(K3428&lt;&gt;"",ISNA(MATCH(K3428,ctaNombre,0))),"⚠ Destino no registrado",IF(AND(P3428="Pago tarjeta",AE3428&lt;&gt;"Tarjeta de crédito"),"⚠ El destino debe ser tarjeta de crédito",IF(AND(P3428="Gasto",E3428="Depósitos y retiros"),"⚠ Usa tipo Transferencia",IF(AND(P3428="Resultado trading",AD3428&lt;&gt;"Cuenta de trading"),"⚠ Usa una cuenta de trading",IF(AND(G3428&lt;=0,P3428&lt;&gt;"Ajuste",P3428&lt;&gt;"Resultado trading"),"⚠ El monto debe ser positivo","✓")))))))))))))))</f>
        <v/>
      </c>
      <c r="P3428" s="52">
        <f>IF(OR(B3428="",G3428=""),"",IF(C3428="","Gasto",C3428))</f>
        <v/>
      </c>
      <c r="Q3428" s="52">
        <f>IF(P3428="","",IF(J3428&lt;&gt;"",J3428,CuentaPred&amp;""))</f>
        <v/>
      </c>
      <c r="R3428" s="52">
        <f>IF(P3428="","",IF(ISNUMBER(I3428),I3428,TasaUSD))</f>
        <v/>
      </c>
      <c r="S3428" s="53">
        <f>IF(P3428="","",IF(H3428="USD",G3428*R3428,G3428))</f>
        <v/>
      </c>
      <c r="T3428" s="53">
        <f>IF(P3428="","",IF(H3428="USD",G3428,IF(R3428&gt;0,G3428/R3428,0)))</f>
        <v/>
      </c>
      <c r="U3428" s="53">
        <f>IF(P3428="","",IF(P3428="Gasto",S3428,IF(P3428="Reembolso",-S3428,0)))</f>
        <v/>
      </c>
      <c r="V3428" s="53">
        <f>IF(P3428="","",IF(P3428="Ingreso",S3428,0))</f>
        <v/>
      </c>
      <c r="W3428" s="53">
        <f>IF(P3428="","",IF(P3428="Resultado trading",S3428,0))</f>
        <v/>
      </c>
      <c r="X3428" s="52">
        <f>IF(OR(P3428="Gasto",P3428="Reembolso"),IF(M3428&lt;&gt;"",M3428,IFERROR(INDEX(catClasif,MATCH(D3428&amp;"|"&amp;E3428,catClave,0))&amp;"","Variable")),"")</f>
        <v/>
      </c>
      <c r="Y3428" s="52">
        <f>IF(P3428="","",IFERROR(INDEX(catGrupo,MATCH(D3428&amp;"|"&amp;E3428,catClave,0))&amp;"",""))</f>
        <v/>
      </c>
      <c r="Z3428" s="52">
        <f>IF(P3428="","",WEEKDAY(B3428,2))</f>
        <v/>
      </c>
      <c r="AA3428" s="52">
        <f>IF(P3428="","",IF(AND(P3428="Gasto",X3428="Variable",D3428&lt;&gt;catTrading,S3428&gt;0,S3428&lt;=Umbral),1,0))</f>
        <v/>
      </c>
      <c r="AB3428" s="52">
        <f>IF(OR(P3428="",Q3428=""),"",IFERROR(IF(INDEX(ctaVinc,MATCH(Q3428,ctaNombre,0))&amp;""&lt;&gt;"",INDEX(ctaVinc,MATCH(Q3428,ctaNombre,0))&amp;"",Q3428),Q3428))</f>
        <v/>
      </c>
      <c r="AC3428" s="52">
        <f>IF(OR(K3428="",AND(P3428&lt;&gt;"Transferencia",P3428&lt;&gt;"Pago tarjeta")),"",IFERROR(IF(INDEX(ctaVinc,MATCH(K3428,ctaNombre,0))&amp;""&lt;&gt;"",INDEX(ctaVinc,MATCH(K3428,ctaNombre,0))&amp;"",K3428),K3428))</f>
        <v/>
      </c>
      <c r="AD3428" s="52">
        <f>IF(AB3428="","",IFERROR(INDEX(ctaTipo,MATCH(AB3428,ctaNombre,0))&amp;"",""))</f>
        <v/>
      </c>
      <c r="AE3428" s="52">
        <f>IF(AC3428="","",IFERROR(INDEX(ctaTipo,MATCH(AC3428,ctaNombre,0))&amp;"",""))</f>
        <v/>
      </c>
      <c r="AF3428" s="53">
        <f>IF(OR(P3428="",AB3428=""),"",IF(OR(P3428="Gasto",P3428="Transferencia",P3428="Pago tarjeta"),-1,1)*IF(IFERROR(INDEX(ctaMoneda,MATCH(AB3428,ctaNombre,0))&amp;"","DOP")="USD",T3428,S3428))</f>
        <v/>
      </c>
      <c r="AG3428" s="53">
        <f>IF(AC3428="","",IF(IFERROR(INDEX(ctaMoneda,MATCH(AC3428,ctaNombre,0))&amp;"","DOP")="USD",T3428,S3428))</f>
        <v/>
      </c>
      <c r="AH3428" s="53">
        <f>IF(P3428="","",IF(AND(AD3428&lt;&gt;"",COUNTIFS(tcTipo,AD3428,tcLiq,"Sí")&gt;0),IF(OR(P3428="Gasto",P3428="Transferencia",P3428="Pago tarjeta"),-1,1)*S3428,0)+IF(AND(AE3428&lt;&gt;"",COUNTIFS(tcTipo,AE3428,tcLiq,"Sí")&gt;0),S3428,0))</f>
        <v/>
      </c>
      <c r="AI3428" s="52">
        <f>IF(OR(L3428="",P3428=""),"",IF(COUNTIFS(L$6:L3428,L3428,P$6:P3428,"?*")=1,MAX(AI$5:AI3427)+1,""))</f>
        <v/>
      </c>
    </row>
    <row r="3429">
      <c r="B3429" s="47" t="n"/>
      <c r="C3429" s="48" t="n"/>
      <c r="D3429" s="48" t="n"/>
      <c r="E3429" s="48" t="n"/>
      <c r="F3429" s="48" t="n"/>
      <c r="G3429" s="49" t="n"/>
      <c r="H3429" s="48" t="n"/>
      <c r="I3429" s="50" t="n"/>
      <c r="J3429" s="48" t="n"/>
      <c r="K3429" s="48" t="n"/>
      <c r="L3429" s="48" t="n"/>
      <c r="M3429" s="48" t="n"/>
      <c r="N3429" s="48" t="n"/>
      <c r="O3429" s="51">
        <f>IF(AND(B3429="",G3429="",C3429="",D3429="",J3429=""),"",IF(B3429="","⚠ Falta fecha",IF(G3429="","⚠ Falta monto",IF(Q3429="","⚠ Falta cuenta",IF(ISNA(MATCH(Q3429,ctaNombre,0)),"⚠ Cuenta no registrada",IF(AND(OR(P3429="Gasto",P3429="Reembolso"),D3429=""),"⚠ Falta categoría",IF(AND(D3429&lt;&gt;"",E3429&lt;&gt;"",ISNA(MATCH(D3429&amp;"|"&amp;E3429,catClave,0))),"⚠ Subcategoría no corresponde",IF(AND(OR(P3429="Transferencia",P3429="Pago tarjeta"),K3429=""),"⚠ Falta cuenta destino",IF(AND(K3429&lt;&gt;"",P3429&lt;&gt;"Transferencia",P3429&lt;&gt;"Pago tarjeta"),"⚠ Destino solo aplica a transferencias",IF(AND(K3429&lt;&gt;"",K3429=Q3429),"⚠ Origen igual a destino",IF(AND(K3429&lt;&gt;"",ISNA(MATCH(K3429,ctaNombre,0))),"⚠ Destino no registrado",IF(AND(P3429="Pago tarjeta",AE3429&lt;&gt;"Tarjeta de crédito"),"⚠ El destino debe ser tarjeta de crédito",IF(AND(P3429="Gasto",E3429="Depósitos y retiros"),"⚠ Usa tipo Transferencia",IF(AND(P3429="Resultado trading",AD3429&lt;&gt;"Cuenta de trading"),"⚠ Usa una cuenta de trading",IF(AND(G3429&lt;=0,P3429&lt;&gt;"Ajuste",P3429&lt;&gt;"Resultado trading"),"⚠ El monto debe ser positivo","✓")))))))))))))))</f>
        <v/>
      </c>
      <c r="P3429" s="52">
        <f>IF(OR(B3429="",G3429=""),"",IF(C3429="","Gasto",C3429))</f>
        <v/>
      </c>
      <c r="Q3429" s="52">
        <f>IF(P3429="","",IF(J3429&lt;&gt;"",J3429,CuentaPred&amp;""))</f>
        <v/>
      </c>
      <c r="R3429" s="52">
        <f>IF(P3429="","",IF(ISNUMBER(I3429),I3429,TasaUSD))</f>
        <v/>
      </c>
      <c r="S3429" s="53">
        <f>IF(P3429="","",IF(H3429="USD",G3429*R3429,G3429))</f>
        <v/>
      </c>
      <c r="T3429" s="53">
        <f>IF(P3429="","",IF(H3429="USD",G3429,IF(R3429&gt;0,G3429/R3429,0)))</f>
        <v/>
      </c>
      <c r="U3429" s="53">
        <f>IF(P3429="","",IF(P3429="Gasto",S3429,IF(P3429="Reembolso",-S3429,0)))</f>
        <v/>
      </c>
      <c r="V3429" s="53">
        <f>IF(P3429="","",IF(P3429="Ingreso",S3429,0))</f>
        <v/>
      </c>
      <c r="W3429" s="53">
        <f>IF(P3429="","",IF(P3429="Resultado trading",S3429,0))</f>
        <v/>
      </c>
      <c r="X3429" s="52">
        <f>IF(OR(P3429="Gasto",P3429="Reembolso"),IF(M3429&lt;&gt;"",M3429,IFERROR(INDEX(catClasif,MATCH(D3429&amp;"|"&amp;E3429,catClave,0))&amp;"","Variable")),"")</f>
        <v/>
      </c>
      <c r="Y3429" s="52">
        <f>IF(P3429="","",IFERROR(INDEX(catGrupo,MATCH(D3429&amp;"|"&amp;E3429,catClave,0))&amp;"",""))</f>
        <v/>
      </c>
      <c r="Z3429" s="52">
        <f>IF(P3429="","",WEEKDAY(B3429,2))</f>
        <v/>
      </c>
      <c r="AA3429" s="52">
        <f>IF(P3429="","",IF(AND(P3429="Gasto",X3429="Variable",D3429&lt;&gt;catTrading,S3429&gt;0,S3429&lt;=Umbral),1,0))</f>
        <v/>
      </c>
      <c r="AB3429" s="52">
        <f>IF(OR(P3429="",Q3429=""),"",IFERROR(IF(INDEX(ctaVinc,MATCH(Q3429,ctaNombre,0))&amp;""&lt;&gt;"",INDEX(ctaVinc,MATCH(Q3429,ctaNombre,0))&amp;"",Q3429),Q3429))</f>
        <v/>
      </c>
      <c r="AC3429" s="52">
        <f>IF(OR(K3429="",AND(P3429&lt;&gt;"Transferencia",P3429&lt;&gt;"Pago tarjeta")),"",IFERROR(IF(INDEX(ctaVinc,MATCH(K3429,ctaNombre,0))&amp;""&lt;&gt;"",INDEX(ctaVinc,MATCH(K3429,ctaNombre,0))&amp;"",K3429),K3429))</f>
        <v/>
      </c>
      <c r="AD3429" s="52">
        <f>IF(AB3429="","",IFERROR(INDEX(ctaTipo,MATCH(AB3429,ctaNombre,0))&amp;"",""))</f>
        <v/>
      </c>
      <c r="AE3429" s="52">
        <f>IF(AC3429="","",IFERROR(INDEX(ctaTipo,MATCH(AC3429,ctaNombre,0))&amp;"",""))</f>
        <v/>
      </c>
      <c r="AF3429" s="53">
        <f>IF(OR(P3429="",AB3429=""),"",IF(OR(P3429="Gasto",P3429="Transferencia",P3429="Pago tarjeta"),-1,1)*IF(IFERROR(INDEX(ctaMoneda,MATCH(AB3429,ctaNombre,0))&amp;"","DOP")="USD",T3429,S3429))</f>
        <v/>
      </c>
      <c r="AG3429" s="53">
        <f>IF(AC3429="","",IF(IFERROR(INDEX(ctaMoneda,MATCH(AC3429,ctaNombre,0))&amp;"","DOP")="USD",T3429,S3429))</f>
        <v/>
      </c>
      <c r="AH3429" s="53">
        <f>IF(P3429="","",IF(AND(AD3429&lt;&gt;"",COUNTIFS(tcTipo,AD3429,tcLiq,"Sí")&gt;0),IF(OR(P3429="Gasto",P3429="Transferencia",P3429="Pago tarjeta"),-1,1)*S3429,0)+IF(AND(AE3429&lt;&gt;"",COUNTIFS(tcTipo,AE3429,tcLiq,"Sí")&gt;0),S3429,0))</f>
        <v/>
      </c>
      <c r="AI3429" s="52">
        <f>IF(OR(L3429="",P3429=""),"",IF(COUNTIFS(L$6:L3429,L3429,P$6:P3429,"?*")=1,MAX(AI$5:AI3428)+1,""))</f>
        <v/>
      </c>
    </row>
    <row r="3430">
      <c r="B3430" s="47" t="n"/>
      <c r="C3430" s="48" t="n"/>
      <c r="D3430" s="48" t="n"/>
      <c r="E3430" s="48" t="n"/>
      <c r="F3430" s="48" t="n"/>
      <c r="G3430" s="49" t="n"/>
      <c r="H3430" s="48" t="n"/>
      <c r="I3430" s="50" t="n"/>
      <c r="J3430" s="48" t="n"/>
      <c r="K3430" s="48" t="n"/>
      <c r="L3430" s="48" t="n"/>
      <c r="M3430" s="48" t="n"/>
      <c r="N3430" s="48" t="n"/>
      <c r="O3430" s="51">
        <f>IF(AND(B3430="",G3430="",C3430="",D3430="",J3430=""),"",IF(B3430="","⚠ Falta fecha",IF(G3430="","⚠ Falta monto",IF(Q3430="","⚠ Falta cuenta",IF(ISNA(MATCH(Q3430,ctaNombre,0)),"⚠ Cuenta no registrada",IF(AND(OR(P3430="Gasto",P3430="Reembolso"),D3430=""),"⚠ Falta categoría",IF(AND(D3430&lt;&gt;"",E3430&lt;&gt;"",ISNA(MATCH(D3430&amp;"|"&amp;E3430,catClave,0))),"⚠ Subcategoría no corresponde",IF(AND(OR(P3430="Transferencia",P3430="Pago tarjeta"),K3430=""),"⚠ Falta cuenta destino",IF(AND(K3430&lt;&gt;"",P3430&lt;&gt;"Transferencia",P3430&lt;&gt;"Pago tarjeta"),"⚠ Destino solo aplica a transferencias",IF(AND(K3430&lt;&gt;"",K3430=Q3430),"⚠ Origen igual a destino",IF(AND(K3430&lt;&gt;"",ISNA(MATCH(K3430,ctaNombre,0))),"⚠ Destino no registrado",IF(AND(P3430="Pago tarjeta",AE3430&lt;&gt;"Tarjeta de crédito"),"⚠ El destino debe ser tarjeta de crédito",IF(AND(P3430="Gasto",E3430="Depósitos y retiros"),"⚠ Usa tipo Transferencia",IF(AND(P3430="Resultado trading",AD3430&lt;&gt;"Cuenta de trading"),"⚠ Usa una cuenta de trading",IF(AND(G3430&lt;=0,P3430&lt;&gt;"Ajuste",P3430&lt;&gt;"Resultado trading"),"⚠ El monto debe ser positivo","✓")))))))))))))))</f>
        <v/>
      </c>
      <c r="P3430" s="52">
        <f>IF(OR(B3430="",G3430=""),"",IF(C3430="","Gasto",C3430))</f>
        <v/>
      </c>
      <c r="Q3430" s="52">
        <f>IF(P3430="","",IF(J3430&lt;&gt;"",J3430,CuentaPred&amp;""))</f>
        <v/>
      </c>
      <c r="R3430" s="52">
        <f>IF(P3430="","",IF(ISNUMBER(I3430),I3430,TasaUSD))</f>
        <v/>
      </c>
      <c r="S3430" s="53">
        <f>IF(P3430="","",IF(H3430="USD",G3430*R3430,G3430))</f>
        <v/>
      </c>
      <c r="T3430" s="53">
        <f>IF(P3430="","",IF(H3430="USD",G3430,IF(R3430&gt;0,G3430/R3430,0)))</f>
        <v/>
      </c>
      <c r="U3430" s="53">
        <f>IF(P3430="","",IF(P3430="Gasto",S3430,IF(P3430="Reembolso",-S3430,0)))</f>
        <v/>
      </c>
      <c r="V3430" s="53">
        <f>IF(P3430="","",IF(P3430="Ingreso",S3430,0))</f>
        <v/>
      </c>
      <c r="W3430" s="53">
        <f>IF(P3430="","",IF(P3430="Resultado trading",S3430,0))</f>
        <v/>
      </c>
      <c r="X3430" s="52">
        <f>IF(OR(P3430="Gasto",P3430="Reembolso"),IF(M3430&lt;&gt;"",M3430,IFERROR(INDEX(catClasif,MATCH(D3430&amp;"|"&amp;E3430,catClave,0))&amp;"","Variable")),"")</f>
        <v/>
      </c>
      <c r="Y3430" s="52">
        <f>IF(P3430="","",IFERROR(INDEX(catGrupo,MATCH(D3430&amp;"|"&amp;E3430,catClave,0))&amp;"",""))</f>
        <v/>
      </c>
      <c r="Z3430" s="52">
        <f>IF(P3430="","",WEEKDAY(B3430,2))</f>
        <v/>
      </c>
      <c r="AA3430" s="52">
        <f>IF(P3430="","",IF(AND(P3430="Gasto",X3430="Variable",D3430&lt;&gt;catTrading,S3430&gt;0,S3430&lt;=Umbral),1,0))</f>
        <v/>
      </c>
      <c r="AB3430" s="52">
        <f>IF(OR(P3430="",Q3430=""),"",IFERROR(IF(INDEX(ctaVinc,MATCH(Q3430,ctaNombre,0))&amp;""&lt;&gt;"",INDEX(ctaVinc,MATCH(Q3430,ctaNombre,0))&amp;"",Q3430),Q3430))</f>
        <v/>
      </c>
      <c r="AC3430" s="52">
        <f>IF(OR(K3430="",AND(P3430&lt;&gt;"Transferencia",P3430&lt;&gt;"Pago tarjeta")),"",IFERROR(IF(INDEX(ctaVinc,MATCH(K3430,ctaNombre,0))&amp;""&lt;&gt;"",INDEX(ctaVinc,MATCH(K3430,ctaNombre,0))&amp;"",K3430),K3430))</f>
        <v/>
      </c>
      <c r="AD3430" s="52">
        <f>IF(AB3430="","",IFERROR(INDEX(ctaTipo,MATCH(AB3430,ctaNombre,0))&amp;"",""))</f>
        <v/>
      </c>
      <c r="AE3430" s="52">
        <f>IF(AC3430="","",IFERROR(INDEX(ctaTipo,MATCH(AC3430,ctaNombre,0))&amp;"",""))</f>
        <v/>
      </c>
      <c r="AF3430" s="53">
        <f>IF(OR(P3430="",AB3430=""),"",IF(OR(P3430="Gasto",P3430="Transferencia",P3430="Pago tarjeta"),-1,1)*IF(IFERROR(INDEX(ctaMoneda,MATCH(AB3430,ctaNombre,0))&amp;"","DOP")="USD",T3430,S3430))</f>
        <v/>
      </c>
      <c r="AG3430" s="53">
        <f>IF(AC3430="","",IF(IFERROR(INDEX(ctaMoneda,MATCH(AC3430,ctaNombre,0))&amp;"","DOP")="USD",T3430,S3430))</f>
        <v/>
      </c>
      <c r="AH3430" s="53">
        <f>IF(P3430="","",IF(AND(AD3430&lt;&gt;"",COUNTIFS(tcTipo,AD3430,tcLiq,"Sí")&gt;0),IF(OR(P3430="Gasto",P3430="Transferencia",P3430="Pago tarjeta"),-1,1)*S3430,0)+IF(AND(AE3430&lt;&gt;"",COUNTIFS(tcTipo,AE3430,tcLiq,"Sí")&gt;0),S3430,0))</f>
        <v/>
      </c>
      <c r="AI3430" s="52">
        <f>IF(OR(L3430="",P3430=""),"",IF(COUNTIFS(L$6:L3430,L3430,P$6:P3430,"?*")=1,MAX(AI$5:AI3429)+1,""))</f>
        <v/>
      </c>
    </row>
    <row r="3431">
      <c r="B3431" s="47" t="n"/>
      <c r="C3431" s="48" t="n"/>
      <c r="D3431" s="48" t="n"/>
      <c r="E3431" s="48" t="n"/>
      <c r="F3431" s="48" t="n"/>
      <c r="G3431" s="49" t="n"/>
      <c r="H3431" s="48" t="n"/>
      <c r="I3431" s="50" t="n"/>
      <c r="J3431" s="48" t="n"/>
      <c r="K3431" s="48" t="n"/>
      <c r="L3431" s="48" t="n"/>
      <c r="M3431" s="48" t="n"/>
      <c r="N3431" s="48" t="n"/>
      <c r="O3431" s="51">
        <f>IF(AND(B3431="",G3431="",C3431="",D3431="",J3431=""),"",IF(B3431="","⚠ Falta fecha",IF(G3431="","⚠ Falta monto",IF(Q3431="","⚠ Falta cuenta",IF(ISNA(MATCH(Q3431,ctaNombre,0)),"⚠ Cuenta no registrada",IF(AND(OR(P3431="Gasto",P3431="Reembolso"),D3431=""),"⚠ Falta categoría",IF(AND(D3431&lt;&gt;"",E3431&lt;&gt;"",ISNA(MATCH(D3431&amp;"|"&amp;E3431,catClave,0))),"⚠ Subcategoría no corresponde",IF(AND(OR(P3431="Transferencia",P3431="Pago tarjeta"),K3431=""),"⚠ Falta cuenta destino",IF(AND(K3431&lt;&gt;"",P3431&lt;&gt;"Transferencia",P3431&lt;&gt;"Pago tarjeta"),"⚠ Destino solo aplica a transferencias",IF(AND(K3431&lt;&gt;"",K3431=Q3431),"⚠ Origen igual a destino",IF(AND(K3431&lt;&gt;"",ISNA(MATCH(K3431,ctaNombre,0))),"⚠ Destino no registrado",IF(AND(P3431="Pago tarjeta",AE3431&lt;&gt;"Tarjeta de crédito"),"⚠ El destino debe ser tarjeta de crédito",IF(AND(P3431="Gasto",E3431="Depósitos y retiros"),"⚠ Usa tipo Transferencia",IF(AND(P3431="Resultado trading",AD3431&lt;&gt;"Cuenta de trading"),"⚠ Usa una cuenta de trading",IF(AND(G3431&lt;=0,P3431&lt;&gt;"Ajuste",P3431&lt;&gt;"Resultado trading"),"⚠ El monto debe ser positivo","✓")))))))))))))))</f>
        <v/>
      </c>
      <c r="P3431" s="52">
        <f>IF(OR(B3431="",G3431=""),"",IF(C3431="","Gasto",C3431))</f>
        <v/>
      </c>
      <c r="Q3431" s="52">
        <f>IF(P3431="","",IF(J3431&lt;&gt;"",J3431,CuentaPred&amp;""))</f>
        <v/>
      </c>
      <c r="R3431" s="52">
        <f>IF(P3431="","",IF(ISNUMBER(I3431),I3431,TasaUSD))</f>
        <v/>
      </c>
      <c r="S3431" s="53">
        <f>IF(P3431="","",IF(H3431="USD",G3431*R3431,G3431))</f>
        <v/>
      </c>
      <c r="T3431" s="53">
        <f>IF(P3431="","",IF(H3431="USD",G3431,IF(R3431&gt;0,G3431/R3431,0)))</f>
        <v/>
      </c>
      <c r="U3431" s="53">
        <f>IF(P3431="","",IF(P3431="Gasto",S3431,IF(P3431="Reembolso",-S3431,0)))</f>
        <v/>
      </c>
      <c r="V3431" s="53">
        <f>IF(P3431="","",IF(P3431="Ingreso",S3431,0))</f>
        <v/>
      </c>
      <c r="W3431" s="53">
        <f>IF(P3431="","",IF(P3431="Resultado trading",S3431,0))</f>
        <v/>
      </c>
      <c r="X3431" s="52">
        <f>IF(OR(P3431="Gasto",P3431="Reembolso"),IF(M3431&lt;&gt;"",M3431,IFERROR(INDEX(catClasif,MATCH(D3431&amp;"|"&amp;E3431,catClave,0))&amp;"","Variable")),"")</f>
        <v/>
      </c>
      <c r="Y3431" s="52">
        <f>IF(P3431="","",IFERROR(INDEX(catGrupo,MATCH(D3431&amp;"|"&amp;E3431,catClave,0))&amp;"",""))</f>
        <v/>
      </c>
      <c r="Z3431" s="52">
        <f>IF(P3431="","",WEEKDAY(B3431,2))</f>
        <v/>
      </c>
      <c r="AA3431" s="52">
        <f>IF(P3431="","",IF(AND(P3431="Gasto",X3431="Variable",D3431&lt;&gt;catTrading,S3431&gt;0,S3431&lt;=Umbral),1,0))</f>
        <v/>
      </c>
      <c r="AB3431" s="52">
        <f>IF(OR(P3431="",Q3431=""),"",IFERROR(IF(INDEX(ctaVinc,MATCH(Q3431,ctaNombre,0))&amp;""&lt;&gt;"",INDEX(ctaVinc,MATCH(Q3431,ctaNombre,0))&amp;"",Q3431),Q3431))</f>
        <v/>
      </c>
      <c r="AC3431" s="52">
        <f>IF(OR(K3431="",AND(P3431&lt;&gt;"Transferencia",P3431&lt;&gt;"Pago tarjeta")),"",IFERROR(IF(INDEX(ctaVinc,MATCH(K3431,ctaNombre,0))&amp;""&lt;&gt;"",INDEX(ctaVinc,MATCH(K3431,ctaNombre,0))&amp;"",K3431),K3431))</f>
        <v/>
      </c>
      <c r="AD3431" s="52">
        <f>IF(AB3431="","",IFERROR(INDEX(ctaTipo,MATCH(AB3431,ctaNombre,0))&amp;"",""))</f>
        <v/>
      </c>
      <c r="AE3431" s="52">
        <f>IF(AC3431="","",IFERROR(INDEX(ctaTipo,MATCH(AC3431,ctaNombre,0))&amp;"",""))</f>
        <v/>
      </c>
      <c r="AF3431" s="53">
        <f>IF(OR(P3431="",AB3431=""),"",IF(OR(P3431="Gasto",P3431="Transferencia",P3431="Pago tarjeta"),-1,1)*IF(IFERROR(INDEX(ctaMoneda,MATCH(AB3431,ctaNombre,0))&amp;"","DOP")="USD",T3431,S3431))</f>
        <v/>
      </c>
      <c r="AG3431" s="53">
        <f>IF(AC3431="","",IF(IFERROR(INDEX(ctaMoneda,MATCH(AC3431,ctaNombre,0))&amp;"","DOP")="USD",T3431,S3431))</f>
        <v/>
      </c>
      <c r="AH3431" s="53">
        <f>IF(P3431="","",IF(AND(AD3431&lt;&gt;"",COUNTIFS(tcTipo,AD3431,tcLiq,"Sí")&gt;0),IF(OR(P3431="Gasto",P3431="Transferencia",P3431="Pago tarjeta"),-1,1)*S3431,0)+IF(AND(AE3431&lt;&gt;"",COUNTIFS(tcTipo,AE3431,tcLiq,"Sí")&gt;0),S3431,0))</f>
        <v/>
      </c>
      <c r="AI3431" s="52">
        <f>IF(OR(L3431="",P3431=""),"",IF(COUNTIFS(L$6:L3431,L3431,P$6:P3431,"?*")=1,MAX(AI$5:AI3430)+1,""))</f>
        <v/>
      </c>
    </row>
    <row r="3432">
      <c r="B3432" s="47" t="n"/>
      <c r="C3432" s="48" t="n"/>
      <c r="D3432" s="48" t="n"/>
      <c r="E3432" s="48" t="n"/>
      <c r="F3432" s="48" t="n"/>
      <c r="G3432" s="49" t="n"/>
      <c r="H3432" s="48" t="n"/>
      <c r="I3432" s="50" t="n"/>
      <c r="J3432" s="48" t="n"/>
      <c r="K3432" s="48" t="n"/>
      <c r="L3432" s="48" t="n"/>
      <c r="M3432" s="48" t="n"/>
      <c r="N3432" s="48" t="n"/>
      <c r="O3432" s="51">
        <f>IF(AND(B3432="",G3432="",C3432="",D3432="",J3432=""),"",IF(B3432="","⚠ Falta fecha",IF(G3432="","⚠ Falta monto",IF(Q3432="","⚠ Falta cuenta",IF(ISNA(MATCH(Q3432,ctaNombre,0)),"⚠ Cuenta no registrada",IF(AND(OR(P3432="Gasto",P3432="Reembolso"),D3432=""),"⚠ Falta categoría",IF(AND(D3432&lt;&gt;"",E3432&lt;&gt;"",ISNA(MATCH(D3432&amp;"|"&amp;E3432,catClave,0))),"⚠ Subcategoría no corresponde",IF(AND(OR(P3432="Transferencia",P3432="Pago tarjeta"),K3432=""),"⚠ Falta cuenta destino",IF(AND(K3432&lt;&gt;"",P3432&lt;&gt;"Transferencia",P3432&lt;&gt;"Pago tarjeta"),"⚠ Destino solo aplica a transferencias",IF(AND(K3432&lt;&gt;"",K3432=Q3432),"⚠ Origen igual a destino",IF(AND(K3432&lt;&gt;"",ISNA(MATCH(K3432,ctaNombre,0))),"⚠ Destino no registrado",IF(AND(P3432="Pago tarjeta",AE3432&lt;&gt;"Tarjeta de crédito"),"⚠ El destino debe ser tarjeta de crédito",IF(AND(P3432="Gasto",E3432="Depósitos y retiros"),"⚠ Usa tipo Transferencia",IF(AND(P3432="Resultado trading",AD3432&lt;&gt;"Cuenta de trading"),"⚠ Usa una cuenta de trading",IF(AND(G3432&lt;=0,P3432&lt;&gt;"Ajuste",P3432&lt;&gt;"Resultado trading"),"⚠ El monto debe ser positivo","✓")))))))))))))))</f>
        <v/>
      </c>
      <c r="P3432" s="52">
        <f>IF(OR(B3432="",G3432=""),"",IF(C3432="","Gasto",C3432))</f>
        <v/>
      </c>
      <c r="Q3432" s="52">
        <f>IF(P3432="","",IF(J3432&lt;&gt;"",J3432,CuentaPred&amp;""))</f>
        <v/>
      </c>
      <c r="R3432" s="52">
        <f>IF(P3432="","",IF(ISNUMBER(I3432),I3432,TasaUSD))</f>
        <v/>
      </c>
      <c r="S3432" s="53">
        <f>IF(P3432="","",IF(H3432="USD",G3432*R3432,G3432))</f>
        <v/>
      </c>
      <c r="T3432" s="53">
        <f>IF(P3432="","",IF(H3432="USD",G3432,IF(R3432&gt;0,G3432/R3432,0)))</f>
        <v/>
      </c>
      <c r="U3432" s="53">
        <f>IF(P3432="","",IF(P3432="Gasto",S3432,IF(P3432="Reembolso",-S3432,0)))</f>
        <v/>
      </c>
      <c r="V3432" s="53">
        <f>IF(P3432="","",IF(P3432="Ingreso",S3432,0))</f>
        <v/>
      </c>
      <c r="W3432" s="53">
        <f>IF(P3432="","",IF(P3432="Resultado trading",S3432,0))</f>
        <v/>
      </c>
      <c r="X3432" s="52">
        <f>IF(OR(P3432="Gasto",P3432="Reembolso"),IF(M3432&lt;&gt;"",M3432,IFERROR(INDEX(catClasif,MATCH(D3432&amp;"|"&amp;E3432,catClave,0))&amp;"","Variable")),"")</f>
        <v/>
      </c>
      <c r="Y3432" s="52">
        <f>IF(P3432="","",IFERROR(INDEX(catGrupo,MATCH(D3432&amp;"|"&amp;E3432,catClave,0))&amp;"",""))</f>
        <v/>
      </c>
      <c r="Z3432" s="52">
        <f>IF(P3432="","",WEEKDAY(B3432,2))</f>
        <v/>
      </c>
      <c r="AA3432" s="52">
        <f>IF(P3432="","",IF(AND(P3432="Gasto",X3432="Variable",D3432&lt;&gt;catTrading,S3432&gt;0,S3432&lt;=Umbral),1,0))</f>
        <v/>
      </c>
      <c r="AB3432" s="52">
        <f>IF(OR(P3432="",Q3432=""),"",IFERROR(IF(INDEX(ctaVinc,MATCH(Q3432,ctaNombre,0))&amp;""&lt;&gt;"",INDEX(ctaVinc,MATCH(Q3432,ctaNombre,0))&amp;"",Q3432),Q3432))</f>
        <v/>
      </c>
      <c r="AC3432" s="52">
        <f>IF(OR(K3432="",AND(P3432&lt;&gt;"Transferencia",P3432&lt;&gt;"Pago tarjeta")),"",IFERROR(IF(INDEX(ctaVinc,MATCH(K3432,ctaNombre,0))&amp;""&lt;&gt;"",INDEX(ctaVinc,MATCH(K3432,ctaNombre,0))&amp;"",K3432),K3432))</f>
        <v/>
      </c>
      <c r="AD3432" s="52">
        <f>IF(AB3432="","",IFERROR(INDEX(ctaTipo,MATCH(AB3432,ctaNombre,0))&amp;"",""))</f>
        <v/>
      </c>
      <c r="AE3432" s="52">
        <f>IF(AC3432="","",IFERROR(INDEX(ctaTipo,MATCH(AC3432,ctaNombre,0))&amp;"",""))</f>
        <v/>
      </c>
      <c r="AF3432" s="53">
        <f>IF(OR(P3432="",AB3432=""),"",IF(OR(P3432="Gasto",P3432="Transferencia",P3432="Pago tarjeta"),-1,1)*IF(IFERROR(INDEX(ctaMoneda,MATCH(AB3432,ctaNombre,0))&amp;"","DOP")="USD",T3432,S3432))</f>
        <v/>
      </c>
      <c r="AG3432" s="53">
        <f>IF(AC3432="","",IF(IFERROR(INDEX(ctaMoneda,MATCH(AC3432,ctaNombre,0))&amp;"","DOP")="USD",T3432,S3432))</f>
        <v/>
      </c>
      <c r="AH3432" s="53">
        <f>IF(P3432="","",IF(AND(AD3432&lt;&gt;"",COUNTIFS(tcTipo,AD3432,tcLiq,"Sí")&gt;0),IF(OR(P3432="Gasto",P3432="Transferencia",P3432="Pago tarjeta"),-1,1)*S3432,0)+IF(AND(AE3432&lt;&gt;"",COUNTIFS(tcTipo,AE3432,tcLiq,"Sí")&gt;0),S3432,0))</f>
        <v/>
      </c>
      <c r="AI3432" s="52">
        <f>IF(OR(L3432="",P3432=""),"",IF(COUNTIFS(L$6:L3432,L3432,P$6:P3432,"?*")=1,MAX(AI$5:AI3431)+1,""))</f>
        <v/>
      </c>
    </row>
    <row r="3433">
      <c r="B3433" s="47" t="n"/>
      <c r="C3433" s="48" t="n"/>
      <c r="D3433" s="48" t="n"/>
      <c r="E3433" s="48" t="n"/>
      <c r="F3433" s="48" t="n"/>
      <c r="G3433" s="49" t="n"/>
      <c r="H3433" s="48" t="n"/>
      <c r="I3433" s="50" t="n"/>
      <c r="J3433" s="48" t="n"/>
      <c r="K3433" s="48" t="n"/>
      <c r="L3433" s="48" t="n"/>
      <c r="M3433" s="48" t="n"/>
      <c r="N3433" s="48" t="n"/>
      <c r="O3433" s="51">
        <f>IF(AND(B3433="",G3433="",C3433="",D3433="",J3433=""),"",IF(B3433="","⚠ Falta fecha",IF(G3433="","⚠ Falta monto",IF(Q3433="","⚠ Falta cuenta",IF(ISNA(MATCH(Q3433,ctaNombre,0)),"⚠ Cuenta no registrada",IF(AND(OR(P3433="Gasto",P3433="Reembolso"),D3433=""),"⚠ Falta categoría",IF(AND(D3433&lt;&gt;"",E3433&lt;&gt;"",ISNA(MATCH(D3433&amp;"|"&amp;E3433,catClave,0))),"⚠ Subcategoría no corresponde",IF(AND(OR(P3433="Transferencia",P3433="Pago tarjeta"),K3433=""),"⚠ Falta cuenta destino",IF(AND(K3433&lt;&gt;"",P3433&lt;&gt;"Transferencia",P3433&lt;&gt;"Pago tarjeta"),"⚠ Destino solo aplica a transferencias",IF(AND(K3433&lt;&gt;"",K3433=Q3433),"⚠ Origen igual a destino",IF(AND(K3433&lt;&gt;"",ISNA(MATCH(K3433,ctaNombre,0))),"⚠ Destino no registrado",IF(AND(P3433="Pago tarjeta",AE3433&lt;&gt;"Tarjeta de crédito"),"⚠ El destino debe ser tarjeta de crédito",IF(AND(P3433="Gasto",E3433="Depósitos y retiros"),"⚠ Usa tipo Transferencia",IF(AND(P3433="Resultado trading",AD3433&lt;&gt;"Cuenta de trading"),"⚠ Usa una cuenta de trading",IF(AND(G3433&lt;=0,P3433&lt;&gt;"Ajuste",P3433&lt;&gt;"Resultado trading"),"⚠ El monto debe ser positivo","✓")))))))))))))))</f>
        <v/>
      </c>
      <c r="P3433" s="52">
        <f>IF(OR(B3433="",G3433=""),"",IF(C3433="","Gasto",C3433))</f>
        <v/>
      </c>
      <c r="Q3433" s="52">
        <f>IF(P3433="","",IF(J3433&lt;&gt;"",J3433,CuentaPred&amp;""))</f>
        <v/>
      </c>
      <c r="R3433" s="52">
        <f>IF(P3433="","",IF(ISNUMBER(I3433),I3433,TasaUSD))</f>
        <v/>
      </c>
      <c r="S3433" s="53">
        <f>IF(P3433="","",IF(H3433="USD",G3433*R3433,G3433))</f>
        <v/>
      </c>
      <c r="T3433" s="53">
        <f>IF(P3433="","",IF(H3433="USD",G3433,IF(R3433&gt;0,G3433/R3433,0)))</f>
        <v/>
      </c>
      <c r="U3433" s="53">
        <f>IF(P3433="","",IF(P3433="Gasto",S3433,IF(P3433="Reembolso",-S3433,0)))</f>
        <v/>
      </c>
      <c r="V3433" s="53">
        <f>IF(P3433="","",IF(P3433="Ingreso",S3433,0))</f>
        <v/>
      </c>
      <c r="W3433" s="53">
        <f>IF(P3433="","",IF(P3433="Resultado trading",S3433,0))</f>
        <v/>
      </c>
      <c r="X3433" s="52">
        <f>IF(OR(P3433="Gasto",P3433="Reembolso"),IF(M3433&lt;&gt;"",M3433,IFERROR(INDEX(catClasif,MATCH(D3433&amp;"|"&amp;E3433,catClave,0))&amp;"","Variable")),"")</f>
        <v/>
      </c>
      <c r="Y3433" s="52">
        <f>IF(P3433="","",IFERROR(INDEX(catGrupo,MATCH(D3433&amp;"|"&amp;E3433,catClave,0))&amp;"",""))</f>
        <v/>
      </c>
      <c r="Z3433" s="52">
        <f>IF(P3433="","",WEEKDAY(B3433,2))</f>
        <v/>
      </c>
      <c r="AA3433" s="52">
        <f>IF(P3433="","",IF(AND(P3433="Gasto",X3433="Variable",D3433&lt;&gt;catTrading,S3433&gt;0,S3433&lt;=Umbral),1,0))</f>
        <v/>
      </c>
      <c r="AB3433" s="52">
        <f>IF(OR(P3433="",Q3433=""),"",IFERROR(IF(INDEX(ctaVinc,MATCH(Q3433,ctaNombre,0))&amp;""&lt;&gt;"",INDEX(ctaVinc,MATCH(Q3433,ctaNombre,0))&amp;"",Q3433),Q3433))</f>
        <v/>
      </c>
      <c r="AC3433" s="52">
        <f>IF(OR(K3433="",AND(P3433&lt;&gt;"Transferencia",P3433&lt;&gt;"Pago tarjeta")),"",IFERROR(IF(INDEX(ctaVinc,MATCH(K3433,ctaNombre,0))&amp;""&lt;&gt;"",INDEX(ctaVinc,MATCH(K3433,ctaNombre,0))&amp;"",K3433),K3433))</f>
        <v/>
      </c>
      <c r="AD3433" s="52">
        <f>IF(AB3433="","",IFERROR(INDEX(ctaTipo,MATCH(AB3433,ctaNombre,0))&amp;"",""))</f>
        <v/>
      </c>
      <c r="AE3433" s="52">
        <f>IF(AC3433="","",IFERROR(INDEX(ctaTipo,MATCH(AC3433,ctaNombre,0))&amp;"",""))</f>
        <v/>
      </c>
      <c r="AF3433" s="53">
        <f>IF(OR(P3433="",AB3433=""),"",IF(OR(P3433="Gasto",P3433="Transferencia",P3433="Pago tarjeta"),-1,1)*IF(IFERROR(INDEX(ctaMoneda,MATCH(AB3433,ctaNombre,0))&amp;"","DOP")="USD",T3433,S3433))</f>
        <v/>
      </c>
      <c r="AG3433" s="53">
        <f>IF(AC3433="","",IF(IFERROR(INDEX(ctaMoneda,MATCH(AC3433,ctaNombre,0))&amp;"","DOP")="USD",T3433,S3433))</f>
        <v/>
      </c>
      <c r="AH3433" s="53">
        <f>IF(P3433="","",IF(AND(AD3433&lt;&gt;"",COUNTIFS(tcTipo,AD3433,tcLiq,"Sí")&gt;0),IF(OR(P3433="Gasto",P3433="Transferencia",P3433="Pago tarjeta"),-1,1)*S3433,0)+IF(AND(AE3433&lt;&gt;"",COUNTIFS(tcTipo,AE3433,tcLiq,"Sí")&gt;0),S3433,0))</f>
        <v/>
      </c>
      <c r="AI3433" s="52">
        <f>IF(OR(L3433="",P3433=""),"",IF(COUNTIFS(L$6:L3433,L3433,P$6:P3433,"?*")=1,MAX(AI$5:AI3432)+1,""))</f>
        <v/>
      </c>
    </row>
    <row r="3434">
      <c r="B3434" s="47" t="n"/>
      <c r="C3434" s="48" t="n"/>
      <c r="D3434" s="48" t="n"/>
      <c r="E3434" s="48" t="n"/>
      <c r="F3434" s="48" t="n"/>
      <c r="G3434" s="49" t="n"/>
      <c r="H3434" s="48" t="n"/>
      <c r="I3434" s="50" t="n"/>
      <c r="J3434" s="48" t="n"/>
      <c r="K3434" s="48" t="n"/>
      <c r="L3434" s="48" t="n"/>
      <c r="M3434" s="48" t="n"/>
      <c r="N3434" s="48" t="n"/>
      <c r="O3434" s="51">
        <f>IF(AND(B3434="",G3434="",C3434="",D3434="",J3434=""),"",IF(B3434="","⚠ Falta fecha",IF(G3434="","⚠ Falta monto",IF(Q3434="","⚠ Falta cuenta",IF(ISNA(MATCH(Q3434,ctaNombre,0)),"⚠ Cuenta no registrada",IF(AND(OR(P3434="Gasto",P3434="Reembolso"),D3434=""),"⚠ Falta categoría",IF(AND(D3434&lt;&gt;"",E3434&lt;&gt;"",ISNA(MATCH(D3434&amp;"|"&amp;E3434,catClave,0))),"⚠ Subcategoría no corresponde",IF(AND(OR(P3434="Transferencia",P3434="Pago tarjeta"),K3434=""),"⚠ Falta cuenta destino",IF(AND(K3434&lt;&gt;"",P3434&lt;&gt;"Transferencia",P3434&lt;&gt;"Pago tarjeta"),"⚠ Destino solo aplica a transferencias",IF(AND(K3434&lt;&gt;"",K3434=Q3434),"⚠ Origen igual a destino",IF(AND(K3434&lt;&gt;"",ISNA(MATCH(K3434,ctaNombre,0))),"⚠ Destino no registrado",IF(AND(P3434="Pago tarjeta",AE3434&lt;&gt;"Tarjeta de crédito"),"⚠ El destino debe ser tarjeta de crédito",IF(AND(P3434="Gasto",E3434="Depósitos y retiros"),"⚠ Usa tipo Transferencia",IF(AND(P3434="Resultado trading",AD3434&lt;&gt;"Cuenta de trading"),"⚠ Usa una cuenta de trading",IF(AND(G3434&lt;=0,P3434&lt;&gt;"Ajuste",P3434&lt;&gt;"Resultado trading"),"⚠ El monto debe ser positivo","✓")))))))))))))))</f>
        <v/>
      </c>
      <c r="P3434" s="52">
        <f>IF(OR(B3434="",G3434=""),"",IF(C3434="","Gasto",C3434))</f>
        <v/>
      </c>
      <c r="Q3434" s="52">
        <f>IF(P3434="","",IF(J3434&lt;&gt;"",J3434,CuentaPred&amp;""))</f>
        <v/>
      </c>
      <c r="R3434" s="52">
        <f>IF(P3434="","",IF(ISNUMBER(I3434),I3434,TasaUSD))</f>
        <v/>
      </c>
      <c r="S3434" s="53">
        <f>IF(P3434="","",IF(H3434="USD",G3434*R3434,G3434))</f>
        <v/>
      </c>
      <c r="T3434" s="53">
        <f>IF(P3434="","",IF(H3434="USD",G3434,IF(R3434&gt;0,G3434/R3434,0)))</f>
        <v/>
      </c>
      <c r="U3434" s="53">
        <f>IF(P3434="","",IF(P3434="Gasto",S3434,IF(P3434="Reembolso",-S3434,0)))</f>
        <v/>
      </c>
      <c r="V3434" s="53">
        <f>IF(P3434="","",IF(P3434="Ingreso",S3434,0))</f>
        <v/>
      </c>
      <c r="W3434" s="53">
        <f>IF(P3434="","",IF(P3434="Resultado trading",S3434,0))</f>
        <v/>
      </c>
      <c r="X3434" s="52">
        <f>IF(OR(P3434="Gasto",P3434="Reembolso"),IF(M3434&lt;&gt;"",M3434,IFERROR(INDEX(catClasif,MATCH(D3434&amp;"|"&amp;E3434,catClave,0))&amp;"","Variable")),"")</f>
        <v/>
      </c>
      <c r="Y3434" s="52">
        <f>IF(P3434="","",IFERROR(INDEX(catGrupo,MATCH(D3434&amp;"|"&amp;E3434,catClave,0))&amp;"",""))</f>
        <v/>
      </c>
      <c r="Z3434" s="52">
        <f>IF(P3434="","",WEEKDAY(B3434,2))</f>
        <v/>
      </c>
      <c r="AA3434" s="52">
        <f>IF(P3434="","",IF(AND(P3434="Gasto",X3434="Variable",D3434&lt;&gt;catTrading,S3434&gt;0,S3434&lt;=Umbral),1,0))</f>
        <v/>
      </c>
      <c r="AB3434" s="52">
        <f>IF(OR(P3434="",Q3434=""),"",IFERROR(IF(INDEX(ctaVinc,MATCH(Q3434,ctaNombre,0))&amp;""&lt;&gt;"",INDEX(ctaVinc,MATCH(Q3434,ctaNombre,0))&amp;"",Q3434),Q3434))</f>
        <v/>
      </c>
      <c r="AC3434" s="52">
        <f>IF(OR(K3434="",AND(P3434&lt;&gt;"Transferencia",P3434&lt;&gt;"Pago tarjeta")),"",IFERROR(IF(INDEX(ctaVinc,MATCH(K3434,ctaNombre,0))&amp;""&lt;&gt;"",INDEX(ctaVinc,MATCH(K3434,ctaNombre,0))&amp;"",K3434),K3434))</f>
        <v/>
      </c>
      <c r="AD3434" s="52">
        <f>IF(AB3434="","",IFERROR(INDEX(ctaTipo,MATCH(AB3434,ctaNombre,0))&amp;"",""))</f>
        <v/>
      </c>
      <c r="AE3434" s="52">
        <f>IF(AC3434="","",IFERROR(INDEX(ctaTipo,MATCH(AC3434,ctaNombre,0))&amp;"",""))</f>
        <v/>
      </c>
      <c r="AF3434" s="53">
        <f>IF(OR(P3434="",AB3434=""),"",IF(OR(P3434="Gasto",P3434="Transferencia",P3434="Pago tarjeta"),-1,1)*IF(IFERROR(INDEX(ctaMoneda,MATCH(AB3434,ctaNombre,0))&amp;"","DOP")="USD",T3434,S3434))</f>
        <v/>
      </c>
      <c r="AG3434" s="53">
        <f>IF(AC3434="","",IF(IFERROR(INDEX(ctaMoneda,MATCH(AC3434,ctaNombre,0))&amp;"","DOP")="USD",T3434,S3434))</f>
        <v/>
      </c>
      <c r="AH3434" s="53">
        <f>IF(P3434="","",IF(AND(AD3434&lt;&gt;"",COUNTIFS(tcTipo,AD3434,tcLiq,"Sí")&gt;0),IF(OR(P3434="Gasto",P3434="Transferencia",P3434="Pago tarjeta"),-1,1)*S3434,0)+IF(AND(AE3434&lt;&gt;"",COUNTIFS(tcTipo,AE3434,tcLiq,"Sí")&gt;0),S3434,0))</f>
        <v/>
      </c>
      <c r="AI3434" s="52">
        <f>IF(OR(L3434="",P3434=""),"",IF(COUNTIFS(L$6:L3434,L3434,P$6:P3434,"?*")=1,MAX(AI$5:AI3433)+1,""))</f>
        <v/>
      </c>
    </row>
    <row r="3435">
      <c r="B3435" s="47" t="n"/>
      <c r="C3435" s="48" t="n"/>
      <c r="D3435" s="48" t="n"/>
      <c r="E3435" s="48" t="n"/>
      <c r="F3435" s="48" t="n"/>
      <c r="G3435" s="49" t="n"/>
      <c r="H3435" s="48" t="n"/>
      <c r="I3435" s="50" t="n"/>
      <c r="J3435" s="48" t="n"/>
      <c r="K3435" s="48" t="n"/>
      <c r="L3435" s="48" t="n"/>
      <c r="M3435" s="48" t="n"/>
      <c r="N3435" s="48" t="n"/>
      <c r="O3435" s="51">
        <f>IF(AND(B3435="",G3435="",C3435="",D3435="",J3435=""),"",IF(B3435="","⚠ Falta fecha",IF(G3435="","⚠ Falta monto",IF(Q3435="","⚠ Falta cuenta",IF(ISNA(MATCH(Q3435,ctaNombre,0)),"⚠ Cuenta no registrada",IF(AND(OR(P3435="Gasto",P3435="Reembolso"),D3435=""),"⚠ Falta categoría",IF(AND(D3435&lt;&gt;"",E3435&lt;&gt;"",ISNA(MATCH(D3435&amp;"|"&amp;E3435,catClave,0))),"⚠ Subcategoría no corresponde",IF(AND(OR(P3435="Transferencia",P3435="Pago tarjeta"),K3435=""),"⚠ Falta cuenta destino",IF(AND(K3435&lt;&gt;"",P3435&lt;&gt;"Transferencia",P3435&lt;&gt;"Pago tarjeta"),"⚠ Destino solo aplica a transferencias",IF(AND(K3435&lt;&gt;"",K3435=Q3435),"⚠ Origen igual a destino",IF(AND(K3435&lt;&gt;"",ISNA(MATCH(K3435,ctaNombre,0))),"⚠ Destino no registrado",IF(AND(P3435="Pago tarjeta",AE3435&lt;&gt;"Tarjeta de crédito"),"⚠ El destino debe ser tarjeta de crédito",IF(AND(P3435="Gasto",E3435="Depósitos y retiros"),"⚠ Usa tipo Transferencia",IF(AND(P3435="Resultado trading",AD3435&lt;&gt;"Cuenta de trading"),"⚠ Usa una cuenta de trading",IF(AND(G3435&lt;=0,P3435&lt;&gt;"Ajuste",P3435&lt;&gt;"Resultado trading"),"⚠ El monto debe ser positivo","✓")))))))))))))))</f>
        <v/>
      </c>
      <c r="P3435" s="52">
        <f>IF(OR(B3435="",G3435=""),"",IF(C3435="","Gasto",C3435))</f>
        <v/>
      </c>
      <c r="Q3435" s="52">
        <f>IF(P3435="","",IF(J3435&lt;&gt;"",J3435,CuentaPred&amp;""))</f>
        <v/>
      </c>
      <c r="R3435" s="52">
        <f>IF(P3435="","",IF(ISNUMBER(I3435),I3435,TasaUSD))</f>
        <v/>
      </c>
      <c r="S3435" s="53">
        <f>IF(P3435="","",IF(H3435="USD",G3435*R3435,G3435))</f>
        <v/>
      </c>
      <c r="T3435" s="53">
        <f>IF(P3435="","",IF(H3435="USD",G3435,IF(R3435&gt;0,G3435/R3435,0)))</f>
        <v/>
      </c>
      <c r="U3435" s="53">
        <f>IF(P3435="","",IF(P3435="Gasto",S3435,IF(P3435="Reembolso",-S3435,0)))</f>
        <v/>
      </c>
      <c r="V3435" s="53">
        <f>IF(P3435="","",IF(P3435="Ingreso",S3435,0))</f>
        <v/>
      </c>
      <c r="W3435" s="53">
        <f>IF(P3435="","",IF(P3435="Resultado trading",S3435,0))</f>
        <v/>
      </c>
      <c r="X3435" s="52">
        <f>IF(OR(P3435="Gasto",P3435="Reembolso"),IF(M3435&lt;&gt;"",M3435,IFERROR(INDEX(catClasif,MATCH(D3435&amp;"|"&amp;E3435,catClave,0))&amp;"","Variable")),"")</f>
        <v/>
      </c>
      <c r="Y3435" s="52">
        <f>IF(P3435="","",IFERROR(INDEX(catGrupo,MATCH(D3435&amp;"|"&amp;E3435,catClave,0))&amp;"",""))</f>
        <v/>
      </c>
      <c r="Z3435" s="52">
        <f>IF(P3435="","",WEEKDAY(B3435,2))</f>
        <v/>
      </c>
      <c r="AA3435" s="52">
        <f>IF(P3435="","",IF(AND(P3435="Gasto",X3435="Variable",D3435&lt;&gt;catTrading,S3435&gt;0,S3435&lt;=Umbral),1,0))</f>
        <v/>
      </c>
      <c r="AB3435" s="52">
        <f>IF(OR(P3435="",Q3435=""),"",IFERROR(IF(INDEX(ctaVinc,MATCH(Q3435,ctaNombre,0))&amp;""&lt;&gt;"",INDEX(ctaVinc,MATCH(Q3435,ctaNombre,0))&amp;"",Q3435),Q3435))</f>
        <v/>
      </c>
      <c r="AC3435" s="52">
        <f>IF(OR(K3435="",AND(P3435&lt;&gt;"Transferencia",P3435&lt;&gt;"Pago tarjeta")),"",IFERROR(IF(INDEX(ctaVinc,MATCH(K3435,ctaNombre,0))&amp;""&lt;&gt;"",INDEX(ctaVinc,MATCH(K3435,ctaNombre,0))&amp;"",K3435),K3435))</f>
        <v/>
      </c>
      <c r="AD3435" s="52">
        <f>IF(AB3435="","",IFERROR(INDEX(ctaTipo,MATCH(AB3435,ctaNombre,0))&amp;"",""))</f>
        <v/>
      </c>
      <c r="AE3435" s="52">
        <f>IF(AC3435="","",IFERROR(INDEX(ctaTipo,MATCH(AC3435,ctaNombre,0))&amp;"",""))</f>
        <v/>
      </c>
      <c r="AF3435" s="53">
        <f>IF(OR(P3435="",AB3435=""),"",IF(OR(P3435="Gasto",P3435="Transferencia",P3435="Pago tarjeta"),-1,1)*IF(IFERROR(INDEX(ctaMoneda,MATCH(AB3435,ctaNombre,0))&amp;"","DOP")="USD",T3435,S3435))</f>
        <v/>
      </c>
      <c r="AG3435" s="53">
        <f>IF(AC3435="","",IF(IFERROR(INDEX(ctaMoneda,MATCH(AC3435,ctaNombre,0))&amp;"","DOP")="USD",T3435,S3435))</f>
        <v/>
      </c>
      <c r="AH3435" s="53">
        <f>IF(P3435="","",IF(AND(AD3435&lt;&gt;"",COUNTIFS(tcTipo,AD3435,tcLiq,"Sí")&gt;0),IF(OR(P3435="Gasto",P3435="Transferencia",P3435="Pago tarjeta"),-1,1)*S3435,0)+IF(AND(AE3435&lt;&gt;"",COUNTIFS(tcTipo,AE3435,tcLiq,"Sí")&gt;0),S3435,0))</f>
        <v/>
      </c>
      <c r="AI3435" s="52">
        <f>IF(OR(L3435="",P3435=""),"",IF(COUNTIFS(L$6:L3435,L3435,P$6:P3435,"?*")=1,MAX(AI$5:AI3434)+1,""))</f>
        <v/>
      </c>
    </row>
    <row r="3436">
      <c r="B3436" s="47" t="n"/>
      <c r="C3436" s="48" t="n"/>
      <c r="D3436" s="48" t="n"/>
      <c r="E3436" s="48" t="n"/>
      <c r="F3436" s="48" t="n"/>
      <c r="G3436" s="49" t="n"/>
      <c r="H3436" s="48" t="n"/>
      <c r="I3436" s="50" t="n"/>
      <c r="J3436" s="48" t="n"/>
      <c r="K3436" s="48" t="n"/>
      <c r="L3436" s="48" t="n"/>
      <c r="M3436" s="48" t="n"/>
      <c r="N3436" s="48" t="n"/>
      <c r="O3436" s="51">
        <f>IF(AND(B3436="",G3436="",C3436="",D3436="",J3436=""),"",IF(B3436="","⚠ Falta fecha",IF(G3436="","⚠ Falta monto",IF(Q3436="","⚠ Falta cuenta",IF(ISNA(MATCH(Q3436,ctaNombre,0)),"⚠ Cuenta no registrada",IF(AND(OR(P3436="Gasto",P3436="Reembolso"),D3436=""),"⚠ Falta categoría",IF(AND(D3436&lt;&gt;"",E3436&lt;&gt;"",ISNA(MATCH(D3436&amp;"|"&amp;E3436,catClave,0))),"⚠ Subcategoría no corresponde",IF(AND(OR(P3436="Transferencia",P3436="Pago tarjeta"),K3436=""),"⚠ Falta cuenta destino",IF(AND(K3436&lt;&gt;"",P3436&lt;&gt;"Transferencia",P3436&lt;&gt;"Pago tarjeta"),"⚠ Destino solo aplica a transferencias",IF(AND(K3436&lt;&gt;"",K3436=Q3436),"⚠ Origen igual a destino",IF(AND(K3436&lt;&gt;"",ISNA(MATCH(K3436,ctaNombre,0))),"⚠ Destino no registrado",IF(AND(P3436="Pago tarjeta",AE3436&lt;&gt;"Tarjeta de crédito"),"⚠ El destino debe ser tarjeta de crédito",IF(AND(P3436="Gasto",E3436="Depósitos y retiros"),"⚠ Usa tipo Transferencia",IF(AND(P3436="Resultado trading",AD3436&lt;&gt;"Cuenta de trading"),"⚠ Usa una cuenta de trading",IF(AND(G3436&lt;=0,P3436&lt;&gt;"Ajuste",P3436&lt;&gt;"Resultado trading"),"⚠ El monto debe ser positivo","✓")))))))))))))))</f>
        <v/>
      </c>
      <c r="P3436" s="52">
        <f>IF(OR(B3436="",G3436=""),"",IF(C3436="","Gasto",C3436))</f>
        <v/>
      </c>
      <c r="Q3436" s="52">
        <f>IF(P3436="","",IF(J3436&lt;&gt;"",J3436,CuentaPred&amp;""))</f>
        <v/>
      </c>
      <c r="R3436" s="52">
        <f>IF(P3436="","",IF(ISNUMBER(I3436),I3436,TasaUSD))</f>
        <v/>
      </c>
      <c r="S3436" s="53">
        <f>IF(P3436="","",IF(H3436="USD",G3436*R3436,G3436))</f>
        <v/>
      </c>
      <c r="T3436" s="53">
        <f>IF(P3436="","",IF(H3436="USD",G3436,IF(R3436&gt;0,G3436/R3436,0)))</f>
        <v/>
      </c>
      <c r="U3436" s="53">
        <f>IF(P3436="","",IF(P3436="Gasto",S3436,IF(P3436="Reembolso",-S3436,0)))</f>
        <v/>
      </c>
      <c r="V3436" s="53">
        <f>IF(P3436="","",IF(P3436="Ingreso",S3436,0))</f>
        <v/>
      </c>
      <c r="W3436" s="53">
        <f>IF(P3436="","",IF(P3436="Resultado trading",S3436,0))</f>
        <v/>
      </c>
      <c r="X3436" s="52">
        <f>IF(OR(P3436="Gasto",P3436="Reembolso"),IF(M3436&lt;&gt;"",M3436,IFERROR(INDEX(catClasif,MATCH(D3436&amp;"|"&amp;E3436,catClave,0))&amp;"","Variable")),"")</f>
        <v/>
      </c>
      <c r="Y3436" s="52">
        <f>IF(P3436="","",IFERROR(INDEX(catGrupo,MATCH(D3436&amp;"|"&amp;E3436,catClave,0))&amp;"",""))</f>
        <v/>
      </c>
      <c r="Z3436" s="52">
        <f>IF(P3436="","",WEEKDAY(B3436,2))</f>
        <v/>
      </c>
      <c r="AA3436" s="52">
        <f>IF(P3436="","",IF(AND(P3436="Gasto",X3436="Variable",D3436&lt;&gt;catTrading,S3436&gt;0,S3436&lt;=Umbral),1,0))</f>
        <v/>
      </c>
      <c r="AB3436" s="52">
        <f>IF(OR(P3436="",Q3436=""),"",IFERROR(IF(INDEX(ctaVinc,MATCH(Q3436,ctaNombre,0))&amp;""&lt;&gt;"",INDEX(ctaVinc,MATCH(Q3436,ctaNombre,0))&amp;"",Q3436),Q3436))</f>
        <v/>
      </c>
      <c r="AC3436" s="52">
        <f>IF(OR(K3436="",AND(P3436&lt;&gt;"Transferencia",P3436&lt;&gt;"Pago tarjeta")),"",IFERROR(IF(INDEX(ctaVinc,MATCH(K3436,ctaNombre,0))&amp;""&lt;&gt;"",INDEX(ctaVinc,MATCH(K3436,ctaNombre,0))&amp;"",K3436),K3436))</f>
        <v/>
      </c>
      <c r="AD3436" s="52">
        <f>IF(AB3436="","",IFERROR(INDEX(ctaTipo,MATCH(AB3436,ctaNombre,0))&amp;"",""))</f>
        <v/>
      </c>
      <c r="AE3436" s="52">
        <f>IF(AC3436="","",IFERROR(INDEX(ctaTipo,MATCH(AC3436,ctaNombre,0))&amp;"",""))</f>
        <v/>
      </c>
      <c r="AF3436" s="53">
        <f>IF(OR(P3436="",AB3436=""),"",IF(OR(P3436="Gasto",P3436="Transferencia",P3436="Pago tarjeta"),-1,1)*IF(IFERROR(INDEX(ctaMoneda,MATCH(AB3436,ctaNombre,0))&amp;"","DOP")="USD",T3436,S3436))</f>
        <v/>
      </c>
      <c r="AG3436" s="53">
        <f>IF(AC3436="","",IF(IFERROR(INDEX(ctaMoneda,MATCH(AC3436,ctaNombre,0))&amp;"","DOP")="USD",T3436,S3436))</f>
        <v/>
      </c>
      <c r="AH3436" s="53">
        <f>IF(P3436="","",IF(AND(AD3436&lt;&gt;"",COUNTIFS(tcTipo,AD3436,tcLiq,"Sí")&gt;0),IF(OR(P3436="Gasto",P3436="Transferencia",P3436="Pago tarjeta"),-1,1)*S3436,0)+IF(AND(AE3436&lt;&gt;"",COUNTIFS(tcTipo,AE3436,tcLiq,"Sí")&gt;0),S3436,0))</f>
        <v/>
      </c>
      <c r="AI3436" s="52">
        <f>IF(OR(L3436="",P3436=""),"",IF(COUNTIFS(L$6:L3436,L3436,P$6:P3436,"?*")=1,MAX(AI$5:AI3435)+1,""))</f>
        <v/>
      </c>
    </row>
    <row r="3437">
      <c r="B3437" s="47" t="n"/>
      <c r="C3437" s="48" t="n"/>
      <c r="D3437" s="48" t="n"/>
      <c r="E3437" s="48" t="n"/>
      <c r="F3437" s="48" t="n"/>
      <c r="G3437" s="49" t="n"/>
      <c r="H3437" s="48" t="n"/>
      <c r="I3437" s="50" t="n"/>
      <c r="J3437" s="48" t="n"/>
      <c r="K3437" s="48" t="n"/>
      <c r="L3437" s="48" t="n"/>
      <c r="M3437" s="48" t="n"/>
      <c r="N3437" s="48" t="n"/>
      <c r="O3437" s="51">
        <f>IF(AND(B3437="",G3437="",C3437="",D3437="",J3437=""),"",IF(B3437="","⚠ Falta fecha",IF(G3437="","⚠ Falta monto",IF(Q3437="","⚠ Falta cuenta",IF(ISNA(MATCH(Q3437,ctaNombre,0)),"⚠ Cuenta no registrada",IF(AND(OR(P3437="Gasto",P3437="Reembolso"),D3437=""),"⚠ Falta categoría",IF(AND(D3437&lt;&gt;"",E3437&lt;&gt;"",ISNA(MATCH(D3437&amp;"|"&amp;E3437,catClave,0))),"⚠ Subcategoría no corresponde",IF(AND(OR(P3437="Transferencia",P3437="Pago tarjeta"),K3437=""),"⚠ Falta cuenta destino",IF(AND(K3437&lt;&gt;"",P3437&lt;&gt;"Transferencia",P3437&lt;&gt;"Pago tarjeta"),"⚠ Destino solo aplica a transferencias",IF(AND(K3437&lt;&gt;"",K3437=Q3437),"⚠ Origen igual a destino",IF(AND(K3437&lt;&gt;"",ISNA(MATCH(K3437,ctaNombre,0))),"⚠ Destino no registrado",IF(AND(P3437="Pago tarjeta",AE3437&lt;&gt;"Tarjeta de crédito"),"⚠ El destino debe ser tarjeta de crédito",IF(AND(P3437="Gasto",E3437="Depósitos y retiros"),"⚠ Usa tipo Transferencia",IF(AND(P3437="Resultado trading",AD3437&lt;&gt;"Cuenta de trading"),"⚠ Usa una cuenta de trading",IF(AND(G3437&lt;=0,P3437&lt;&gt;"Ajuste",P3437&lt;&gt;"Resultado trading"),"⚠ El monto debe ser positivo","✓")))))))))))))))</f>
        <v/>
      </c>
      <c r="P3437" s="52">
        <f>IF(OR(B3437="",G3437=""),"",IF(C3437="","Gasto",C3437))</f>
        <v/>
      </c>
      <c r="Q3437" s="52">
        <f>IF(P3437="","",IF(J3437&lt;&gt;"",J3437,CuentaPred&amp;""))</f>
        <v/>
      </c>
      <c r="R3437" s="52">
        <f>IF(P3437="","",IF(ISNUMBER(I3437),I3437,TasaUSD))</f>
        <v/>
      </c>
      <c r="S3437" s="53">
        <f>IF(P3437="","",IF(H3437="USD",G3437*R3437,G3437))</f>
        <v/>
      </c>
      <c r="T3437" s="53">
        <f>IF(P3437="","",IF(H3437="USD",G3437,IF(R3437&gt;0,G3437/R3437,0)))</f>
        <v/>
      </c>
      <c r="U3437" s="53">
        <f>IF(P3437="","",IF(P3437="Gasto",S3437,IF(P3437="Reembolso",-S3437,0)))</f>
        <v/>
      </c>
      <c r="V3437" s="53">
        <f>IF(P3437="","",IF(P3437="Ingreso",S3437,0))</f>
        <v/>
      </c>
      <c r="W3437" s="53">
        <f>IF(P3437="","",IF(P3437="Resultado trading",S3437,0))</f>
        <v/>
      </c>
      <c r="X3437" s="52">
        <f>IF(OR(P3437="Gasto",P3437="Reembolso"),IF(M3437&lt;&gt;"",M3437,IFERROR(INDEX(catClasif,MATCH(D3437&amp;"|"&amp;E3437,catClave,0))&amp;"","Variable")),"")</f>
        <v/>
      </c>
      <c r="Y3437" s="52">
        <f>IF(P3437="","",IFERROR(INDEX(catGrupo,MATCH(D3437&amp;"|"&amp;E3437,catClave,0))&amp;"",""))</f>
        <v/>
      </c>
      <c r="Z3437" s="52">
        <f>IF(P3437="","",WEEKDAY(B3437,2))</f>
        <v/>
      </c>
      <c r="AA3437" s="52">
        <f>IF(P3437="","",IF(AND(P3437="Gasto",X3437="Variable",D3437&lt;&gt;catTrading,S3437&gt;0,S3437&lt;=Umbral),1,0))</f>
        <v/>
      </c>
      <c r="AB3437" s="52">
        <f>IF(OR(P3437="",Q3437=""),"",IFERROR(IF(INDEX(ctaVinc,MATCH(Q3437,ctaNombre,0))&amp;""&lt;&gt;"",INDEX(ctaVinc,MATCH(Q3437,ctaNombre,0))&amp;"",Q3437),Q3437))</f>
        <v/>
      </c>
      <c r="AC3437" s="52">
        <f>IF(OR(K3437="",AND(P3437&lt;&gt;"Transferencia",P3437&lt;&gt;"Pago tarjeta")),"",IFERROR(IF(INDEX(ctaVinc,MATCH(K3437,ctaNombre,0))&amp;""&lt;&gt;"",INDEX(ctaVinc,MATCH(K3437,ctaNombre,0))&amp;"",K3437),K3437))</f>
        <v/>
      </c>
      <c r="AD3437" s="52">
        <f>IF(AB3437="","",IFERROR(INDEX(ctaTipo,MATCH(AB3437,ctaNombre,0))&amp;"",""))</f>
        <v/>
      </c>
      <c r="AE3437" s="52">
        <f>IF(AC3437="","",IFERROR(INDEX(ctaTipo,MATCH(AC3437,ctaNombre,0))&amp;"",""))</f>
        <v/>
      </c>
      <c r="AF3437" s="53">
        <f>IF(OR(P3437="",AB3437=""),"",IF(OR(P3437="Gasto",P3437="Transferencia",P3437="Pago tarjeta"),-1,1)*IF(IFERROR(INDEX(ctaMoneda,MATCH(AB3437,ctaNombre,0))&amp;"","DOP")="USD",T3437,S3437))</f>
        <v/>
      </c>
      <c r="AG3437" s="53">
        <f>IF(AC3437="","",IF(IFERROR(INDEX(ctaMoneda,MATCH(AC3437,ctaNombre,0))&amp;"","DOP")="USD",T3437,S3437))</f>
        <v/>
      </c>
      <c r="AH3437" s="53">
        <f>IF(P3437="","",IF(AND(AD3437&lt;&gt;"",COUNTIFS(tcTipo,AD3437,tcLiq,"Sí")&gt;0),IF(OR(P3437="Gasto",P3437="Transferencia",P3437="Pago tarjeta"),-1,1)*S3437,0)+IF(AND(AE3437&lt;&gt;"",COUNTIFS(tcTipo,AE3437,tcLiq,"Sí")&gt;0),S3437,0))</f>
        <v/>
      </c>
      <c r="AI3437" s="52">
        <f>IF(OR(L3437="",P3437=""),"",IF(COUNTIFS(L$6:L3437,L3437,P$6:P3437,"?*")=1,MAX(AI$5:AI3436)+1,""))</f>
        <v/>
      </c>
    </row>
    <row r="3438">
      <c r="B3438" s="47" t="n"/>
      <c r="C3438" s="48" t="n"/>
      <c r="D3438" s="48" t="n"/>
      <c r="E3438" s="48" t="n"/>
      <c r="F3438" s="48" t="n"/>
      <c r="G3438" s="49" t="n"/>
      <c r="H3438" s="48" t="n"/>
      <c r="I3438" s="50" t="n"/>
      <c r="J3438" s="48" t="n"/>
      <c r="K3438" s="48" t="n"/>
      <c r="L3438" s="48" t="n"/>
      <c r="M3438" s="48" t="n"/>
      <c r="N3438" s="48" t="n"/>
      <c r="O3438" s="51">
        <f>IF(AND(B3438="",G3438="",C3438="",D3438="",J3438=""),"",IF(B3438="","⚠ Falta fecha",IF(G3438="","⚠ Falta monto",IF(Q3438="","⚠ Falta cuenta",IF(ISNA(MATCH(Q3438,ctaNombre,0)),"⚠ Cuenta no registrada",IF(AND(OR(P3438="Gasto",P3438="Reembolso"),D3438=""),"⚠ Falta categoría",IF(AND(D3438&lt;&gt;"",E3438&lt;&gt;"",ISNA(MATCH(D3438&amp;"|"&amp;E3438,catClave,0))),"⚠ Subcategoría no corresponde",IF(AND(OR(P3438="Transferencia",P3438="Pago tarjeta"),K3438=""),"⚠ Falta cuenta destino",IF(AND(K3438&lt;&gt;"",P3438&lt;&gt;"Transferencia",P3438&lt;&gt;"Pago tarjeta"),"⚠ Destino solo aplica a transferencias",IF(AND(K3438&lt;&gt;"",K3438=Q3438),"⚠ Origen igual a destino",IF(AND(K3438&lt;&gt;"",ISNA(MATCH(K3438,ctaNombre,0))),"⚠ Destino no registrado",IF(AND(P3438="Pago tarjeta",AE3438&lt;&gt;"Tarjeta de crédito"),"⚠ El destino debe ser tarjeta de crédito",IF(AND(P3438="Gasto",E3438="Depósitos y retiros"),"⚠ Usa tipo Transferencia",IF(AND(P3438="Resultado trading",AD3438&lt;&gt;"Cuenta de trading"),"⚠ Usa una cuenta de trading",IF(AND(G3438&lt;=0,P3438&lt;&gt;"Ajuste",P3438&lt;&gt;"Resultado trading"),"⚠ El monto debe ser positivo","✓")))))))))))))))</f>
        <v/>
      </c>
      <c r="P3438" s="52">
        <f>IF(OR(B3438="",G3438=""),"",IF(C3438="","Gasto",C3438))</f>
        <v/>
      </c>
      <c r="Q3438" s="52">
        <f>IF(P3438="","",IF(J3438&lt;&gt;"",J3438,CuentaPred&amp;""))</f>
        <v/>
      </c>
      <c r="R3438" s="52">
        <f>IF(P3438="","",IF(ISNUMBER(I3438),I3438,TasaUSD))</f>
        <v/>
      </c>
      <c r="S3438" s="53">
        <f>IF(P3438="","",IF(H3438="USD",G3438*R3438,G3438))</f>
        <v/>
      </c>
      <c r="T3438" s="53">
        <f>IF(P3438="","",IF(H3438="USD",G3438,IF(R3438&gt;0,G3438/R3438,0)))</f>
        <v/>
      </c>
      <c r="U3438" s="53">
        <f>IF(P3438="","",IF(P3438="Gasto",S3438,IF(P3438="Reembolso",-S3438,0)))</f>
        <v/>
      </c>
      <c r="V3438" s="53">
        <f>IF(P3438="","",IF(P3438="Ingreso",S3438,0))</f>
        <v/>
      </c>
      <c r="W3438" s="53">
        <f>IF(P3438="","",IF(P3438="Resultado trading",S3438,0))</f>
        <v/>
      </c>
      <c r="X3438" s="52">
        <f>IF(OR(P3438="Gasto",P3438="Reembolso"),IF(M3438&lt;&gt;"",M3438,IFERROR(INDEX(catClasif,MATCH(D3438&amp;"|"&amp;E3438,catClave,0))&amp;"","Variable")),"")</f>
        <v/>
      </c>
      <c r="Y3438" s="52">
        <f>IF(P3438="","",IFERROR(INDEX(catGrupo,MATCH(D3438&amp;"|"&amp;E3438,catClave,0))&amp;"",""))</f>
        <v/>
      </c>
      <c r="Z3438" s="52">
        <f>IF(P3438="","",WEEKDAY(B3438,2))</f>
        <v/>
      </c>
      <c r="AA3438" s="52">
        <f>IF(P3438="","",IF(AND(P3438="Gasto",X3438="Variable",D3438&lt;&gt;catTrading,S3438&gt;0,S3438&lt;=Umbral),1,0))</f>
        <v/>
      </c>
      <c r="AB3438" s="52">
        <f>IF(OR(P3438="",Q3438=""),"",IFERROR(IF(INDEX(ctaVinc,MATCH(Q3438,ctaNombre,0))&amp;""&lt;&gt;"",INDEX(ctaVinc,MATCH(Q3438,ctaNombre,0))&amp;"",Q3438),Q3438))</f>
        <v/>
      </c>
      <c r="AC3438" s="52">
        <f>IF(OR(K3438="",AND(P3438&lt;&gt;"Transferencia",P3438&lt;&gt;"Pago tarjeta")),"",IFERROR(IF(INDEX(ctaVinc,MATCH(K3438,ctaNombre,0))&amp;""&lt;&gt;"",INDEX(ctaVinc,MATCH(K3438,ctaNombre,0))&amp;"",K3438),K3438))</f>
        <v/>
      </c>
      <c r="AD3438" s="52">
        <f>IF(AB3438="","",IFERROR(INDEX(ctaTipo,MATCH(AB3438,ctaNombre,0))&amp;"",""))</f>
        <v/>
      </c>
      <c r="AE3438" s="52">
        <f>IF(AC3438="","",IFERROR(INDEX(ctaTipo,MATCH(AC3438,ctaNombre,0))&amp;"",""))</f>
        <v/>
      </c>
      <c r="AF3438" s="53">
        <f>IF(OR(P3438="",AB3438=""),"",IF(OR(P3438="Gasto",P3438="Transferencia",P3438="Pago tarjeta"),-1,1)*IF(IFERROR(INDEX(ctaMoneda,MATCH(AB3438,ctaNombre,0))&amp;"","DOP")="USD",T3438,S3438))</f>
        <v/>
      </c>
      <c r="AG3438" s="53">
        <f>IF(AC3438="","",IF(IFERROR(INDEX(ctaMoneda,MATCH(AC3438,ctaNombre,0))&amp;"","DOP")="USD",T3438,S3438))</f>
        <v/>
      </c>
      <c r="AH3438" s="53">
        <f>IF(P3438="","",IF(AND(AD3438&lt;&gt;"",COUNTIFS(tcTipo,AD3438,tcLiq,"Sí")&gt;0),IF(OR(P3438="Gasto",P3438="Transferencia",P3438="Pago tarjeta"),-1,1)*S3438,0)+IF(AND(AE3438&lt;&gt;"",COUNTIFS(tcTipo,AE3438,tcLiq,"Sí")&gt;0),S3438,0))</f>
        <v/>
      </c>
      <c r="AI3438" s="52">
        <f>IF(OR(L3438="",P3438=""),"",IF(COUNTIFS(L$6:L3438,L3438,P$6:P3438,"?*")=1,MAX(AI$5:AI3437)+1,""))</f>
        <v/>
      </c>
    </row>
    <row r="3439">
      <c r="B3439" s="47" t="n"/>
      <c r="C3439" s="48" t="n"/>
      <c r="D3439" s="48" t="n"/>
      <c r="E3439" s="48" t="n"/>
      <c r="F3439" s="48" t="n"/>
      <c r="G3439" s="49" t="n"/>
      <c r="H3439" s="48" t="n"/>
      <c r="I3439" s="50" t="n"/>
      <c r="J3439" s="48" t="n"/>
      <c r="K3439" s="48" t="n"/>
      <c r="L3439" s="48" t="n"/>
      <c r="M3439" s="48" t="n"/>
      <c r="N3439" s="48" t="n"/>
      <c r="O3439" s="51">
        <f>IF(AND(B3439="",G3439="",C3439="",D3439="",J3439=""),"",IF(B3439="","⚠ Falta fecha",IF(G3439="","⚠ Falta monto",IF(Q3439="","⚠ Falta cuenta",IF(ISNA(MATCH(Q3439,ctaNombre,0)),"⚠ Cuenta no registrada",IF(AND(OR(P3439="Gasto",P3439="Reembolso"),D3439=""),"⚠ Falta categoría",IF(AND(D3439&lt;&gt;"",E3439&lt;&gt;"",ISNA(MATCH(D3439&amp;"|"&amp;E3439,catClave,0))),"⚠ Subcategoría no corresponde",IF(AND(OR(P3439="Transferencia",P3439="Pago tarjeta"),K3439=""),"⚠ Falta cuenta destino",IF(AND(K3439&lt;&gt;"",P3439&lt;&gt;"Transferencia",P3439&lt;&gt;"Pago tarjeta"),"⚠ Destino solo aplica a transferencias",IF(AND(K3439&lt;&gt;"",K3439=Q3439),"⚠ Origen igual a destino",IF(AND(K3439&lt;&gt;"",ISNA(MATCH(K3439,ctaNombre,0))),"⚠ Destino no registrado",IF(AND(P3439="Pago tarjeta",AE3439&lt;&gt;"Tarjeta de crédito"),"⚠ El destino debe ser tarjeta de crédito",IF(AND(P3439="Gasto",E3439="Depósitos y retiros"),"⚠ Usa tipo Transferencia",IF(AND(P3439="Resultado trading",AD3439&lt;&gt;"Cuenta de trading"),"⚠ Usa una cuenta de trading",IF(AND(G3439&lt;=0,P3439&lt;&gt;"Ajuste",P3439&lt;&gt;"Resultado trading"),"⚠ El monto debe ser positivo","✓")))))))))))))))</f>
        <v/>
      </c>
      <c r="P3439" s="52">
        <f>IF(OR(B3439="",G3439=""),"",IF(C3439="","Gasto",C3439))</f>
        <v/>
      </c>
      <c r="Q3439" s="52">
        <f>IF(P3439="","",IF(J3439&lt;&gt;"",J3439,CuentaPred&amp;""))</f>
        <v/>
      </c>
      <c r="R3439" s="52">
        <f>IF(P3439="","",IF(ISNUMBER(I3439),I3439,TasaUSD))</f>
        <v/>
      </c>
      <c r="S3439" s="53">
        <f>IF(P3439="","",IF(H3439="USD",G3439*R3439,G3439))</f>
        <v/>
      </c>
      <c r="T3439" s="53">
        <f>IF(P3439="","",IF(H3439="USD",G3439,IF(R3439&gt;0,G3439/R3439,0)))</f>
        <v/>
      </c>
      <c r="U3439" s="53">
        <f>IF(P3439="","",IF(P3439="Gasto",S3439,IF(P3439="Reembolso",-S3439,0)))</f>
        <v/>
      </c>
      <c r="V3439" s="53">
        <f>IF(P3439="","",IF(P3439="Ingreso",S3439,0))</f>
        <v/>
      </c>
      <c r="W3439" s="53">
        <f>IF(P3439="","",IF(P3439="Resultado trading",S3439,0))</f>
        <v/>
      </c>
      <c r="X3439" s="52">
        <f>IF(OR(P3439="Gasto",P3439="Reembolso"),IF(M3439&lt;&gt;"",M3439,IFERROR(INDEX(catClasif,MATCH(D3439&amp;"|"&amp;E3439,catClave,0))&amp;"","Variable")),"")</f>
        <v/>
      </c>
      <c r="Y3439" s="52">
        <f>IF(P3439="","",IFERROR(INDEX(catGrupo,MATCH(D3439&amp;"|"&amp;E3439,catClave,0))&amp;"",""))</f>
        <v/>
      </c>
      <c r="Z3439" s="52">
        <f>IF(P3439="","",WEEKDAY(B3439,2))</f>
        <v/>
      </c>
      <c r="AA3439" s="52">
        <f>IF(P3439="","",IF(AND(P3439="Gasto",X3439="Variable",D3439&lt;&gt;catTrading,S3439&gt;0,S3439&lt;=Umbral),1,0))</f>
        <v/>
      </c>
      <c r="AB3439" s="52">
        <f>IF(OR(P3439="",Q3439=""),"",IFERROR(IF(INDEX(ctaVinc,MATCH(Q3439,ctaNombre,0))&amp;""&lt;&gt;"",INDEX(ctaVinc,MATCH(Q3439,ctaNombre,0))&amp;"",Q3439),Q3439))</f>
        <v/>
      </c>
      <c r="AC3439" s="52">
        <f>IF(OR(K3439="",AND(P3439&lt;&gt;"Transferencia",P3439&lt;&gt;"Pago tarjeta")),"",IFERROR(IF(INDEX(ctaVinc,MATCH(K3439,ctaNombre,0))&amp;""&lt;&gt;"",INDEX(ctaVinc,MATCH(K3439,ctaNombre,0))&amp;"",K3439),K3439))</f>
        <v/>
      </c>
      <c r="AD3439" s="52">
        <f>IF(AB3439="","",IFERROR(INDEX(ctaTipo,MATCH(AB3439,ctaNombre,0))&amp;"",""))</f>
        <v/>
      </c>
      <c r="AE3439" s="52">
        <f>IF(AC3439="","",IFERROR(INDEX(ctaTipo,MATCH(AC3439,ctaNombre,0))&amp;"",""))</f>
        <v/>
      </c>
      <c r="AF3439" s="53">
        <f>IF(OR(P3439="",AB3439=""),"",IF(OR(P3439="Gasto",P3439="Transferencia",P3439="Pago tarjeta"),-1,1)*IF(IFERROR(INDEX(ctaMoneda,MATCH(AB3439,ctaNombre,0))&amp;"","DOP")="USD",T3439,S3439))</f>
        <v/>
      </c>
      <c r="AG3439" s="53">
        <f>IF(AC3439="","",IF(IFERROR(INDEX(ctaMoneda,MATCH(AC3439,ctaNombre,0))&amp;"","DOP")="USD",T3439,S3439))</f>
        <v/>
      </c>
      <c r="AH3439" s="53">
        <f>IF(P3439="","",IF(AND(AD3439&lt;&gt;"",COUNTIFS(tcTipo,AD3439,tcLiq,"Sí")&gt;0),IF(OR(P3439="Gasto",P3439="Transferencia",P3439="Pago tarjeta"),-1,1)*S3439,0)+IF(AND(AE3439&lt;&gt;"",COUNTIFS(tcTipo,AE3439,tcLiq,"Sí")&gt;0),S3439,0))</f>
        <v/>
      </c>
      <c r="AI3439" s="52">
        <f>IF(OR(L3439="",P3439=""),"",IF(COUNTIFS(L$6:L3439,L3439,P$6:P3439,"?*")=1,MAX(AI$5:AI3438)+1,""))</f>
        <v/>
      </c>
    </row>
    <row r="3440">
      <c r="B3440" s="47" t="n"/>
      <c r="C3440" s="48" t="n"/>
      <c r="D3440" s="48" t="n"/>
      <c r="E3440" s="48" t="n"/>
      <c r="F3440" s="48" t="n"/>
      <c r="G3440" s="49" t="n"/>
      <c r="H3440" s="48" t="n"/>
      <c r="I3440" s="50" t="n"/>
      <c r="J3440" s="48" t="n"/>
      <c r="K3440" s="48" t="n"/>
      <c r="L3440" s="48" t="n"/>
      <c r="M3440" s="48" t="n"/>
      <c r="N3440" s="48" t="n"/>
      <c r="O3440" s="51">
        <f>IF(AND(B3440="",G3440="",C3440="",D3440="",J3440=""),"",IF(B3440="","⚠ Falta fecha",IF(G3440="","⚠ Falta monto",IF(Q3440="","⚠ Falta cuenta",IF(ISNA(MATCH(Q3440,ctaNombre,0)),"⚠ Cuenta no registrada",IF(AND(OR(P3440="Gasto",P3440="Reembolso"),D3440=""),"⚠ Falta categoría",IF(AND(D3440&lt;&gt;"",E3440&lt;&gt;"",ISNA(MATCH(D3440&amp;"|"&amp;E3440,catClave,0))),"⚠ Subcategoría no corresponde",IF(AND(OR(P3440="Transferencia",P3440="Pago tarjeta"),K3440=""),"⚠ Falta cuenta destino",IF(AND(K3440&lt;&gt;"",P3440&lt;&gt;"Transferencia",P3440&lt;&gt;"Pago tarjeta"),"⚠ Destino solo aplica a transferencias",IF(AND(K3440&lt;&gt;"",K3440=Q3440),"⚠ Origen igual a destino",IF(AND(K3440&lt;&gt;"",ISNA(MATCH(K3440,ctaNombre,0))),"⚠ Destino no registrado",IF(AND(P3440="Pago tarjeta",AE3440&lt;&gt;"Tarjeta de crédito"),"⚠ El destino debe ser tarjeta de crédito",IF(AND(P3440="Gasto",E3440="Depósitos y retiros"),"⚠ Usa tipo Transferencia",IF(AND(P3440="Resultado trading",AD3440&lt;&gt;"Cuenta de trading"),"⚠ Usa una cuenta de trading",IF(AND(G3440&lt;=0,P3440&lt;&gt;"Ajuste",P3440&lt;&gt;"Resultado trading"),"⚠ El monto debe ser positivo","✓")))))))))))))))</f>
        <v/>
      </c>
      <c r="P3440" s="52">
        <f>IF(OR(B3440="",G3440=""),"",IF(C3440="","Gasto",C3440))</f>
        <v/>
      </c>
      <c r="Q3440" s="52">
        <f>IF(P3440="","",IF(J3440&lt;&gt;"",J3440,CuentaPred&amp;""))</f>
        <v/>
      </c>
      <c r="R3440" s="52">
        <f>IF(P3440="","",IF(ISNUMBER(I3440),I3440,TasaUSD))</f>
        <v/>
      </c>
      <c r="S3440" s="53">
        <f>IF(P3440="","",IF(H3440="USD",G3440*R3440,G3440))</f>
        <v/>
      </c>
      <c r="T3440" s="53">
        <f>IF(P3440="","",IF(H3440="USD",G3440,IF(R3440&gt;0,G3440/R3440,0)))</f>
        <v/>
      </c>
      <c r="U3440" s="53">
        <f>IF(P3440="","",IF(P3440="Gasto",S3440,IF(P3440="Reembolso",-S3440,0)))</f>
        <v/>
      </c>
      <c r="V3440" s="53">
        <f>IF(P3440="","",IF(P3440="Ingreso",S3440,0))</f>
        <v/>
      </c>
      <c r="W3440" s="53">
        <f>IF(P3440="","",IF(P3440="Resultado trading",S3440,0))</f>
        <v/>
      </c>
      <c r="X3440" s="52">
        <f>IF(OR(P3440="Gasto",P3440="Reembolso"),IF(M3440&lt;&gt;"",M3440,IFERROR(INDEX(catClasif,MATCH(D3440&amp;"|"&amp;E3440,catClave,0))&amp;"","Variable")),"")</f>
        <v/>
      </c>
      <c r="Y3440" s="52">
        <f>IF(P3440="","",IFERROR(INDEX(catGrupo,MATCH(D3440&amp;"|"&amp;E3440,catClave,0))&amp;"",""))</f>
        <v/>
      </c>
      <c r="Z3440" s="52">
        <f>IF(P3440="","",WEEKDAY(B3440,2))</f>
        <v/>
      </c>
      <c r="AA3440" s="52">
        <f>IF(P3440="","",IF(AND(P3440="Gasto",X3440="Variable",D3440&lt;&gt;catTrading,S3440&gt;0,S3440&lt;=Umbral),1,0))</f>
        <v/>
      </c>
      <c r="AB3440" s="52">
        <f>IF(OR(P3440="",Q3440=""),"",IFERROR(IF(INDEX(ctaVinc,MATCH(Q3440,ctaNombre,0))&amp;""&lt;&gt;"",INDEX(ctaVinc,MATCH(Q3440,ctaNombre,0))&amp;"",Q3440),Q3440))</f>
        <v/>
      </c>
      <c r="AC3440" s="52">
        <f>IF(OR(K3440="",AND(P3440&lt;&gt;"Transferencia",P3440&lt;&gt;"Pago tarjeta")),"",IFERROR(IF(INDEX(ctaVinc,MATCH(K3440,ctaNombre,0))&amp;""&lt;&gt;"",INDEX(ctaVinc,MATCH(K3440,ctaNombre,0))&amp;"",K3440),K3440))</f>
        <v/>
      </c>
      <c r="AD3440" s="52">
        <f>IF(AB3440="","",IFERROR(INDEX(ctaTipo,MATCH(AB3440,ctaNombre,0))&amp;"",""))</f>
        <v/>
      </c>
      <c r="AE3440" s="52">
        <f>IF(AC3440="","",IFERROR(INDEX(ctaTipo,MATCH(AC3440,ctaNombre,0))&amp;"",""))</f>
        <v/>
      </c>
      <c r="AF3440" s="53">
        <f>IF(OR(P3440="",AB3440=""),"",IF(OR(P3440="Gasto",P3440="Transferencia",P3440="Pago tarjeta"),-1,1)*IF(IFERROR(INDEX(ctaMoneda,MATCH(AB3440,ctaNombre,0))&amp;"","DOP")="USD",T3440,S3440))</f>
        <v/>
      </c>
      <c r="AG3440" s="53">
        <f>IF(AC3440="","",IF(IFERROR(INDEX(ctaMoneda,MATCH(AC3440,ctaNombre,0))&amp;"","DOP")="USD",T3440,S3440))</f>
        <v/>
      </c>
      <c r="AH3440" s="53">
        <f>IF(P3440="","",IF(AND(AD3440&lt;&gt;"",COUNTIFS(tcTipo,AD3440,tcLiq,"Sí")&gt;0),IF(OR(P3440="Gasto",P3440="Transferencia",P3440="Pago tarjeta"),-1,1)*S3440,0)+IF(AND(AE3440&lt;&gt;"",COUNTIFS(tcTipo,AE3440,tcLiq,"Sí")&gt;0),S3440,0))</f>
        <v/>
      </c>
      <c r="AI3440" s="52">
        <f>IF(OR(L3440="",P3440=""),"",IF(COUNTIFS(L$6:L3440,L3440,P$6:P3440,"?*")=1,MAX(AI$5:AI3439)+1,""))</f>
        <v/>
      </c>
    </row>
    <row r="3441">
      <c r="B3441" s="47" t="n"/>
      <c r="C3441" s="48" t="n"/>
      <c r="D3441" s="48" t="n"/>
      <c r="E3441" s="48" t="n"/>
      <c r="F3441" s="48" t="n"/>
      <c r="G3441" s="49" t="n"/>
      <c r="H3441" s="48" t="n"/>
      <c r="I3441" s="50" t="n"/>
      <c r="J3441" s="48" t="n"/>
      <c r="K3441" s="48" t="n"/>
      <c r="L3441" s="48" t="n"/>
      <c r="M3441" s="48" t="n"/>
      <c r="N3441" s="48" t="n"/>
      <c r="O3441" s="51">
        <f>IF(AND(B3441="",G3441="",C3441="",D3441="",J3441=""),"",IF(B3441="","⚠ Falta fecha",IF(G3441="","⚠ Falta monto",IF(Q3441="","⚠ Falta cuenta",IF(ISNA(MATCH(Q3441,ctaNombre,0)),"⚠ Cuenta no registrada",IF(AND(OR(P3441="Gasto",P3441="Reembolso"),D3441=""),"⚠ Falta categoría",IF(AND(D3441&lt;&gt;"",E3441&lt;&gt;"",ISNA(MATCH(D3441&amp;"|"&amp;E3441,catClave,0))),"⚠ Subcategoría no corresponde",IF(AND(OR(P3441="Transferencia",P3441="Pago tarjeta"),K3441=""),"⚠ Falta cuenta destino",IF(AND(K3441&lt;&gt;"",P3441&lt;&gt;"Transferencia",P3441&lt;&gt;"Pago tarjeta"),"⚠ Destino solo aplica a transferencias",IF(AND(K3441&lt;&gt;"",K3441=Q3441),"⚠ Origen igual a destino",IF(AND(K3441&lt;&gt;"",ISNA(MATCH(K3441,ctaNombre,0))),"⚠ Destino no registrado",IF(AND(P3441="Pago tarjeta",AE3441&lt;&gt;"Tarjeta de crédito"),"⚠ El destino debe ser tarjeta de crédito",IF(AND(P3441="Gasto",E3441="Depósitos y retiros"),"⚠ Usa tipo Transferencia",IF(AND(P3441="Resultado trading",AD3441&lt;&gt;"Cuenta de trading"),"⚠ Usa una cuenta de trading",IF(AND(G3441&lt;=0,P3441&lt;&gt;"Ajuste",P3441&lt;&gt;"Resultado trading"),"⚠ El monto debe ser positivo","✓")))))))))))))))</f>
        <v/>
      </c>
      <c r="P3441" s="52">
        <f>IF(OR(B3441="",G3441=""),"",IF(C3441="","Gasto",C3441))</f>
        <v/>
      </c>
      <c r="Q3441" s="52">
        <f>IF(P3441="","",IF(J3441&lt;&gt;"",J3441,CuentaPred&amp;""))</f>
        <v/>
      </c>
      <c r="R3441" s="52">
        <f>IF(P3441="","",IF(ISNUMBER(I3441),I3441,TasaUSD))</f>
        <v/>
      </c>
      <c r="S3441" s="53">
        <f>IF(P3441="","",IF(H3441="USD",G3441*R3441,G3441))</f>
        <v/>
      </c>
      <c r="T3441" s="53">
        <f>IF(P3441="","",IF(H3441="USD",G3441,IF(R3441&gt;0,G3441/R3441,0)))</f>
        <v/>
      </c>
      <c r="U3441" s="53">
        <f>IF(P3441="","",IF(P3441="Gasto",S3441,IF(P3441="Reembolso",-S3441,0)))</f>
        <v/>
      </c>
      <c r="V3441" s="53">
        <f>IF(P3441="","",IF(P3441="Ingreso",S3441,0))</f>
        <v/>
      </c>
      <c r="W3441" s="53">
        <f>IF(P3441="","",IF(P3441="Resultado trading",S3441,0))</f>
        <v/>
      </c>
      <c r="X3441" s="52">
        <f>IF(OR(P3441="Gasto",P3441="Reembolso"),IF(M3441&lt;&gt;"",M3441,IFERROR(INDEX(catClasif,MATCH(D3441&amp;"|"&amp;E3441,catClave,0))&amp;"","Variable")),"")</f>
        <v/>
      </c>
      <c r="Y3441" s="52">
        <f>IF(P3441="","",IFERROR(INDEX(catGrupo,MATCH(D3441&amp;"|"&amp;E3441,catClave,0))&amp;"",""))</f>
        <v/>
      </c>
      <c r="Z3441" s="52">
        <f>IF(P3441="","",WEEKDAY(B3441,2))</f>
        <v/>
      </c>
      <c r="AA3441" s="52">
        <f>IF(P3441="","",IF(AND(P3441="Gasto",X3441="Variable",D3441&lt;&gt;catTrading,S3441&gt;0,S3441&lt;=Umbral),1,0))</f>
        <v/>
      </c>
      <c r="AB3441" s="52">
        <f>IF(OR(P3441="",Q3441=""),"",IFERROR(IF(INDEX(ctaVinc,MATCH(Q3441,ctaNombre,0))&amp;""&lt;&gt;"",INDEX(ctaVinc,MATCH(Q3441,ctaNombre,0))&amp;"",Q3441),Q3441))</f>
        <v/>
      </c>
      <c r="AC3441" s="52">
        <f>IF(OR(K3441="",AND(P3441&lt;&gt;"Transferencia",P3441&lt;&gt;"Pago tarjeta")),"",IFERROR(IF(INDEX(ctaVinc,MATCH(K3441,ctaNombre,0))&amp;""&lt;&gt;"",INDEX(ctaVinc,MATCH(K3441,ctaNombre,0))&amp;"",K3441),K3441))</f>
        <v/>
      </c>
      <c r="AD3441" s="52">
        <f>IF(AB3441="","",IFERROR(INDEX(ctaTipo,MATCH(AB3441,ctaNombre,0))&amp;"",""))</f>
        <v/>
      </c>
      <c r="AE3441" s="52">
        <f>IF(AC3441="","",IFERROR(INDEX(ctaTipo,MATCH(AC3441,ctaNombre,0))&amp;"",""))</f>
        <v/>
      </c>
      <c r="AF3441" s="53">
        <f>IF(OR(P3441="",AB3441=""),"",IF(OR(P3441="Gasto",P3441="Transferencia",P3441="Pago tarjeta"),-1,1)*IF(IFERROR(INDEX(ctaMoneda,MATCH(AB3441,ctaNombre,0))&amp;"","DOP")="USD",T3441,S3441))</f>
        <v/>
      </c>
      <c r="AG3441" s="53">
        <f>IF(AC3441="","",IF(IFERROR(INDEX(ctaMoneda,MATCH(AC3441,ctaNombre,0))&amp;"","DOP")="USD",T3441,S3441))</f>
        <v/>
      </c>
      <c r="AH3441" s="53">
        <f>IF(P3441="","",IF(AND(AD3441&lt;&gt;"",COUNTIFS(tcTipo,AD3441,tcLiq,"Sí")&gt;0),IF(OR(P3441="Gasto",P3441="Transferencia",P3441="Pago tarjeta"),-1,1)*S3441,0)+IF(AND(AE3441&lt;&gt;"",COUNTIFS(tcTipo,AE3441,tcLiq,"Sí")&gt;0),S3441,0))</f>
        <v/>
      </c>
      <c r="AI3441" s="52">
        <f>IF(OR(L3441="",P3441=""),"",IF(COUNTIFS(L$6:L3441,L3441,P$6:P3441,"?*")=1,MAX(AI$5:AI3440)+1,""))</f>
        <v/>
      </c>
    </row>
    <row r="3442">
      <c r="B3442" s="47" t="n"/>
      <c r="C3442" s="48" t="n"/>
      <c r="D3442" s="48" t="n"/>
      <c r="E3442" s="48" t="n"/>
      <c r="F3442" s="48" t="n"/>
      <c r="G3442" s="49" t="n"/>
      <c r="H3442" s="48" t="n"/>
      <c r="I3442" s="50" t="n"/>
      <c r="J3442" s="48" t="n"/>
      <c r="K3442" s="48" t="n"/>
      <c r="L3442" s="48" t="n"/>
      <c r="M3442" s="48" t="n"/>
      <c r="N3442" s="48" t="n"/>
      <c r="O3442" s="51">
        <f>IF(AND(B3442="",G3442="",C3442="",D3442="",J3442=""),"",IF(B3442="","⚠ Falta fecha",IF(G3442="","⚠ Falta monto",IF(Q3442="","⚠ Falta cuenta",IF(ISNA(MATCH(Q3442,ctaNombre,0)),"⚠ Cuenta no registrada",IF(AND(OR(P3442="Gasto",P3442="Reembolso"),D3442=""),"⚠ Falta categoría",IF(AND(D3442&lt;&gt;"",E3442&lt;&gt;"",ISNA(MATCH(D3442&amp;"|"&amp;E3442,catClave,0))),"⚠ Subcategoría no corresponde",IF(AND(OR(P3442="Transferencia",P3442="Pago tarjeta"),K3442=""),"⚠ Falta cuenta destino",IF(AND(K3442&lt;&gt;"",P3442&lt;&gt;"Transferencia",P3442&lt;&gt;"Pago tarjeta"),"⚠ Destino solo aplica a transferencias",IF(AND(K3442&lt;&gt;"",K3442=Q3442),"⚠ Origen igual a destino",IF(AND(K3442&lt;&gt;"",ISNA(MATCH(K3442,ctaNombre,0))),"⚠ Destino no registrado",IF(AND(P3442="Pago tarjeta",AE3442&lt;&gt;"Tarjeta de crédito"),"⚠ El destino debe ser tarjeta de crédito",IF(AND(P3442="Gasto",E3442="Depósitos y retiros"),"⚠ Usa tipo Transferencia",IF(AND(P3442="Resultado trading",AD3442&lt;&gt;"Cuenta de trading"),"⚠ Usa una cuenta de trading",IF(AND(G3442&lt;=0,P3442&lt;&gt;"Ajuste",P3442&lt;&gt;"Resultado trading"),"⚠ El monto debe ser positivo","✓")))))))))))))))</f>
        <v/>
      </c>
      <c r="P3442" s="52">
        <f>IF(OR(B3442="",G3442=""),"",IF(C3442="","Gasto",C3442))</f>
        <v/>
      </c>
      <c r="Q3442" s="52">
        <f>IF(P3442="","",IF(J3442&lt;&gt;"",J3442,CuentaPred&amp;""))</f>
        <v/>
      </c>
      <c r="R3442" s="52">
        <f>IF(P3442="","",IF(ISNUMBER(I3442),I3442,TasaUSD))</f>
        <v/>
      </c>
      <c r="S3442" s="53">
        <f>IF(P3442="","",IF(H3442="USD",G3442*R3442,G3442))</f>
        <v/>
      </c>
      <c r="T3442" s="53">
        <f>IF(P3442="","",IF(H3442="USD",G3442,IF(R3442&gt;0,G3442/R3442,0)))</f>
        <v/>
      </c>
      <c r="U3442" s="53">
        <f>IF(P3442="","",IF(P3442="Gasto",S3442,IF(P3442="Reembolso",-S3442,0)))</f>
        <v/>
      </c>
      <c r="V3442" s="53">
        <f>IF(P3442="","",IF(P3442="Ingreso",S3442,0))</f>
        <v/>
      </c>
      <c r="W3442" s="53">
        <f>IF(P3442="","",IF(P3442="Resultado trading",S3442,0))</f>
        <v/>
      </c>
      <c r="X3442" s="52">
        <f>IF(OR(P3442="Gasto",P3442="Reembolso"),IF(M3442&lt;&gt;"",M3442,IFERROR(INDEX(catClasif,MATCH(D3442&amp;"|"&amp;E3442,catClave,0))&amp;"","Variable")),"")</f>
        <v/>
      </c>
      <c r="Y3442" s="52">
        <f>IF(P3442="","",IFERROR(INDEX(catGrupo,MATCH(D3442&amp;"|"&amp;E3442,catClave,0))&amp;"",""))</f>
        <v/>
      </c>
      <c r="Z3442" s="52">
        <f>IF(P3442="","",WEEKDAY(B3442,2))</f>
        <v/>
      </c>
      <c r="AA3442" s="52">
        <f>IF(P3442="","",IF(AND(P3442="Gasto",X3442="Variable",D3442&lt;&gt;catTrading,S3442&gt;0,S3442&lt;=Umbral),1,0))</f>
        <v/>
      </c>
      <c r="AB3442" s="52">
        <f>IF(OR(P3442="",Q3442=""),"",IFERROR(IF(INDEX(ctaVinc,MATCH(Q3442,ctaNombre,0))&amp;""&lt;&gt;"",INDEX(ctaVinc,MATCH(Q3442,ctaNombre,0))&amp;"",Q3442),Q3442))</f>
        <v/>
      </c>
      <c r="AC3442" s="52">
        <f>IF(OR(K3442="",AND(P3442&lt;&gt;"Transferencia",P3442&lt;&gt;"Pago tarjeta")),"",IFERROR(IF(INDEX(ctaVinc,MATCH(K3442,ctaNombre,0))&amp;""&lt;&gt;"",INDEX(ctaVinc,MATCH(K3442,ctaNombre,0))&amp;"",K3442),K3442))</f>
        <v/>
      </c>
      <c r="AD3442" s="52">
        <f>IF(AB3442="","",IFERROR(INDEX(ctaTipo,MATCH(AB3442,ctaNombre,0))&amp;"",""))</f>
        <v/>
      </c>
      <c r="AE3442" s="52">
        <f>IF(AC3442="","",IFERROR(INDEX(ctaTipo,MATCH(AC3442,ctaNombre,0))&amp;"",""))</f>
        <v/>
      </c>
      <c r="AF3442" s="53">
        <f>IF(OR(P3442="",AB3442=""),"",IF(OR(P3442="Gasto",P3442="Transferencia",P3442="Pago tarjeta"),-1,1)*IF(IFERROR(INDEX(ctaMoneda,MATCH(AB3442,ctaNombre,0))&amp;"","DOP")="USD",T3442,S3442))</f>
        <v/>
      </c>
      <c r="AG3442" s="53">
        <f>IF(AC3442="","",IF(IFERROR(INDEX(ctaMoneda,MATCH(AC3442,ctaNombre,0))&amp;"","DOP")="USD",T3442,S3442))</f>
        <v/>
      </c>
      <c r="AH3442" s="53">
        <f>IF(P3442="","",IF(AND(AD3442&lt;&gt;"",COUNTIFS(tcTipo,AD3442,tcLiq,"Sí")&gt;0),IF(OR(P3442="Gasto",P3442="Transferencia",P3442="Pago tarjeta"),-1,1)*S3442,0)+IF(AND(AE3442&lt;&gt;"",COUNTIFS(tcTipo,AE3442,tcLiq,"Sí")&gt;0),S3442,0))</f>
        <v/>
      </c>
      <c r="AI3442" s="52">
        <f>IF(OR(L3442="",P3442=""),"",IF(COUNTIFS(L$6:L3442,L3442,P$6:P3442,"?*")=1,MAX(AI$5:AI3441)+1,""))</f>
        <v/>
      </c>
    </row>
    <row r="3443">
      <c r="B3443" s="47" t="n"/>
      <c r="C3443" s="48" t="n"/>
      <c r="D3443" s="48" t="n"/>
      <c r="E3443" s="48" t="n"/>
      <c r="F3443" s="48" t="n"/>
      <c r="G3443" s="49" t="n"/>
      <c r="H3443" s="48" t="n"/>
      <c r="I3443" s="50" t="n"/>
      <c r="J3443" s="48" t="n"/>
      <c r="K3443" s="48" t="n"/>
      <c r="L3443" s="48" t="n"/>
      <c r="M3443" s="48" t="n"/>
      <c r="N3443" s="48" t="n"/>
      <c r="O3443" s="51">
        <f>IF(AND(B3443="",G3443="",C3443="",D3443="",J3443=""),"",IF(B3443="","⚠ Falta fecha",IF(G3443="","⚠ Falta monto",IF(Q3443="","⚠ Falta cuenta",IF(ISNA(MATCH(Q3443,ctaNombre,0)),"⚠ Cuenta no registrada",IF(AND(OR(P3443="Gasto",P3443="Reembolso"),D3443=""),"⚠ Falta categoría",IF(AND(D3443&lt;&gt;"",E3443&lt;&gt;"",ISNA(MATCH(D3443&amp;"|"&amp;E3443,catClave,0))),"⚠ Subcategoría no corresponde",IF(AND(OR(P3443="Transferencia",P3443="Pago tarjeta"),K3443=""),"⚠ Falta cuenta destino",IF(AND(K3443&lt;&gt;"",P3443&lt;&gt;"Transferencia",P3443&lt;&gt;"Pago tarjeta"),"⚠ Destino solo aplica a transferencias",IF(AND(K3443&lt;&gt;"",K3443=Q3443),"⚠ Origen igual a destino",IF(AND(K3443&lt;&gt;"",ISNA(MATCH(K3443,ctaNombre,0))),"⚠ Destino no registrado",IF(AND(P3443="Pago tarjeta",AE3443&lt;&gt;"Tarjeta de crédito"),"⚠ El destino debe ser tarjeta de crédito",IF(AND(P3443="Gasto",E3443="Depósitos y retiros"),"⚠ Usa tipo Transferencia",IF(AND(P3443="Resultado trading",AD3443&lt;&gt;"Cuenta de trading"),"⚠ Usa una cuenta de trading",IF(AND(G3443&lt;=0,P3443&lt;&gt;"Ajuste",P3443&lt;&gt;"Resultado trading"),"⚠ El monto debe ser positivo","✓")))))))))))))))</f>
        <v/>
      </c>
      <c r="P3443" s="52">
        <f>IF(OR(B3443="",G3443=""),"",IF(C3443="","Gasto",C3443))</f>
        <v/>
      </c>
      <c r="Q3443" s="52">
        <f>IF(P3443="","",IF(J3443&lt;&gt;"",J3443,CuentaPred&amp;""))</f>
        <v/>
      </c>
      <c r="R3443" s="52">
        <f>IF(P3443="","",IF(ISNUMBER(I3443),I3443,TasaUSD))</f>
        <v/>
      </c>
      <c r="S3443" s="53">
        <f>IF(P3443="","",IF(H3443="USD",G3443*R3443,G3443))</f>
        <v/>
      </c>
      <c r="T3443" s="53">
        <f>IF(P3443="","",IF(H3443="USD",G3443,IF(R3443&gt;0,G3443/R3443,0)))</f>
        <v/>
      </c>
      <c r="U3443" s="53">
        <f>IF(P3443="","",IF(P3443="Gasto",S3443,IF(P3443="Reembolso",-S3443,0)))</f>
        <v/>
      </c>
      <c r="V3443" s="53">
        <f>IF(P3443="","",IF(P3443="Ingreso",S3443,0))</f>
        <v/>
      </c>
      <c r="W3443" s="53">
        <f>IF(P3443="","",IF(P3443="Resultado trading",S3443,0))</f>
        <v/>
      </c>
      <c r="X3443" s="52">
        <f>IF(OR(P3443="Gasto",P3443="Reembolso"),IF(M3443&lt;&gt;"",M3443,IFERROR(INDEX(catClasif,MATCH(D3443&amp;"|"&amp;E3443,catClave,0))&amp;"","Variable")),"")</f>
        <v/>
      </c>
      <c r="Y3443" s="52">
        <f>IF(P3443="","",IFERROR(INDEX(catGrupo,MATCH(D3443&amp;"|"&amp;E3443,catClave,0))&amp;"",""))</f>
        <v/>
      </c>
      <c r="Z3443" s="52">
        <f>IF(P3443="","",WEEKDAY(B3443,2))</f>
        <v/>
      </c>
      <c r="AA3443" s="52">
        <f>IF(P3443="","",IF(AND(P3443="Gasto",X3443="Variable",D3443&lt;&gt;catTrading,S3443&gt;0,S3443&lt;=Umbral),1,0))</f>
        <v/>
      </c>
      <c r="AB3443" s="52">
        <f>IF(OR(P3443="",Q3443=""),"",IFERROR(IF(INDEX(ctaVinc,MATCH(Q3443,ctaNombre,0))&amp;""&lt;&gt;"",INDEX(ctaVinc,MATCH(Q3443,ctaNombre,0))&amp;"",Q3443),Q3443))</f>
        <v/>
      </c>
      <c r="AC3443" s="52">
        <f>IF(OR(K3443="",AND(P3443&lt;&gt;"Transferencia",P3443&lt;&gt;"Pago tarjeta")),"",IFERROR(IF(INDEX(ctaVinc,MATCH(K3443,ctaNombre,0))&amp;""&lt;&gt;"",INDEX(ctaVinc,MATCH(K3443,ctaNombre,0))&amp;"",K3443),K3443))</f>
        <v/>
      </c>
      <c r="AD3443" s="52">
        <f>IF(AB3443="","",IFERROR(INDEX(ctaTipo,MATCH(AB3443,ctaNombre,0))&amp;"",""))</f>
        <v/>
      </c>
      <c r="AE3443" s="52">
        <f>IF(AC3443="","",IFERROR(INDEX(ctaTipo,MATCH(AC3443,ctaNombre,0))&amp;"",""))</f>
        <v/>
      </c>
      <c r="AF3443" s="53">
        <f>IF(OR(P3443="",AB3443=""),"",IF(OR(P3443="Gasto",P3443="Transferencia",P3443="Pago tarjeta"),-1,1)*IF(IFERROR(INDEX(ctaMoneda,MATCH(AB3443,ctaNombre,0))&amp;"","DOP")="USD",T3443,S3443))</f>
        <v/>
      </c>
      <c r="AG3443" s="53">
        <f>IF(AC3443="","",IF(IFERROR(INDEX(ctaMoneda,MATCH(AC3443,ctaNombre,0))&amp;"","DOP")="USD",T3443,S3443))</f>
        <v/>
      </c>
      <c r="AH3443" s="53">
        <f>IF(P3443="","",IF(AND(AD3443&lt;&gt;"",COUNTIFS(tcTipo,AD3443,tcLiq,"Sí")&gt;0),IF(OR(P3443="Gasto",P3443="Transferencia",P3443="Pago tarjeta"),-1,1)*S3443,0)+IF(AND(AE3443&lt;&gt;"",COUNTIFS(tcTipo,AE3443,tcLiq,"Sí")&gt;0),S3443,0))</f>
        <v/>
      </c>
      <c r="AI3443" s="52">
        <f>IF(OR(L3443="",P3443=""),"",IF(COUNTIFS(L$6:L3443,L3443,P$6:P3443,"?*")=1,MAX(AI$5:AI3442)+1,""))</f>
        <v/>
      </c>
    </row>
    <row r="3444">
      <c r="B3444" s="47" t="n"/>
      <c r="C3444" s="48" t="n"/>
      <c r="D3444" s="48" t="n"/>
      <c r="E3444" s="48" t="n"/>
      <c r="F3444" s="48" t="n"/>
      <c r="G3444" s="49" t="n"/>
      <c r="H3444" s="48" t="n"/>
      <c r="I3444" s="50" t="n"/>
      <c r="J3444" s="48" t="n"/>
      <c r="K3444" s="48" t="n"/>
      <c r="L3444" s="48" t="n"/>
      <c r="M3444" s="48" t="n"/>
      <c r="N3444" s="48" t="n"/>
      <c r="O3444" s="51">
        <f>IF(AND(B3444="",G3444="",C3444="",D3444="",J3444=""),"",IF(B3444="","⚠ Falta fecha",IF(G3444="","⚠ Falta monto",IF(Q3444="","⚠ Falta cuenta",IF(ISNA(MATCH(Q3444,ctaNombre,0)),"⚠ Cuenta no registrada",IF(AND(OR(P3444="Gasto",P3444="Reembolso"),D3444=""),"⚠ Falta categoría",IF(AND(D3444&lt;&gt;"",E3444&lt;&gt;"",ISNA(MATCH(D3444&amp;"|"&amp;E3444,catClave,0))),"⚠ Subcategoría no corresponde",IF(AND(OR(P3444="Transferencia",P3444="Pago tarjeta"),K3444=""),"⚠ Falta cuenta destino",IF(AND(K3444&lt;&gt;"",P3444&lt;&gt;"Transferencia",P3444&lt;&gt;"Pago tarjeta"),"⚠ Destino solo aplica a transferencias",IF(AND(K3444&lt;&gt;"",K3444=Q3444),"⚠ Origen igual a destino",IF(AND(K3444&lt;&gt;"",ISNA(MATCH(K3444,ctaNombre,0))),"⚠ Destino no registrado",IF(AND(P3444="Pago tarjeta",AE3444&lt;&gt;"Tarjeta de crédito"),"⚠ El destino debe ser tarjeta de crédito",IF(AND(P3444="Gasto",E3444="Depósitos y retiros"),"⚠ Usa tipo Transferencia",IF(AND(P3444="Resultado trading",AD3444&lt;&gt;"Cuenta de trading"),"⚠ Usa una cuenta de trading",IF(AND(G3444&lt;=0,P3444&lt;&gt;"Ajuste",P3444&lt;&gt;"Resultado trading"),"⚠ El monto debe ser positivo","✓")))))))))))))))</f>
        <v/>
      </c>
      <c r="P3444" s="52">
        <f>IF(OR(B3444="",G3444=""),"",IF(C3444="","Gasto",C3444))</f>
        <v/>
      </c>
      <c r="Q3444" s="52">
        <f>IF(P3444="","",IF(J3444&lt;&gt;"",J3444,CuentaPred&amp;""))</f>
        <v/>
      </c>
      <c r="R3444" s="52">
        <f>IF(P3444="","",IF(ISNUMBER(I3444),I3444,TasaUSD))</f>
        <v/>
      </c>
      <c r="S3444" s="53">
        <f>IF(P3444="","",IF(H3444="USD",G3444*R3444,G3444))</f>
        <v/>
      </c>
      <c r="T3444" s="53">
        <f>IF(P3444="","",IF(H3444="USD",G3444,IF(R3444&gt;0,G3444/R3444,0)))</f>
        <v/>
      </c>
      <c r="U3444" s="53">
        <f>IF(P3444="","",IF(P3444="Gasto",S3444,IF(P3444="Reembolso",-S3444,0)))</f>
        <v/>
      </c>
      <c r="V3444" s="53">
        <f>IF(P3444="","",IF(P3444="Ingreso",S3444,0))</f>
        <v/>
      </c>
      <c r="W3444" s="53">
        <f>IF(P3444="","",IF(P3444="Resultado trading",S3444,0))</f>
        <v/>
      </c>
      <c r="X3444" s="52">
        <f>IF(OR(P3444="Gasto",P3444="Reembolso"),IF(M3444&lt;&gt;"",M3444,IFERROR(INDEX(catClasif,MATCH(D3444&amp;"|"&amp;E3444,catClave,0))&amp;"","Variable")),"")</f>
        <v/>
      </c>
      <c r="Y3444" s="52">
        <f>IF(P3444="","",IFERROR(INDEX(catGrupo,MATCH(D3444&amp;"|"&amp;E3444,catClave,0))&amp;"",""))</f>
        <v/>
      </c>
      <c r="Z3444" s="52">
        <f>IF(P3444="","",WEEKDAY(B3444,2))</f>
        <v/>
      </c>
      <c r="AA3444" s="52">
        <f>IF(P3444="","",IF(AND(P3444="Gasto",X3444="Variable",D3444&lt;&gt;catTrading,S3444&gt;0,S3444&lt;=Umbral),1,0))</f>
        <v/>
      </c>
      <c r="AB3444" s="52">
        <f>IF(OR(P3444="",Q3444=""),"",IFERROR(IF(INDEX(ctaVinc,MATCH(Q3444,ctaNombre,0))&amp;""&lt;&gt;"",INDEX(ctaVinc,MATCH(Q3444,ctaNombre,0))&amp;"",Q3444),Q3444))</f>
        <v/>
      </c>
      <c r="AC3444" s="52">
        <f>IF(OR(K3444="",AND(P3444&lt;&gt;"Transferencia",P3444&lt;&gt;"Pago tarjeta")),"",IFERROR(IF(INDEX(ctaVinc,MATCH(K3444,ctaNombre,0))&amp;""&lt;&gt;"",INDEX(ctaVinc,MATCH(K3444,ctaNombre,0))&amp;"",K3444),K3444))</f>
        <v/>
      </c>
      <c r="AD3444" s="52">
        <f>IF(AB3444="","",IFERROR(INDEX(ctaTipo,MATCH(AB3444,ctaNombre,0))&amp;"",""))</f>
        <v/>
      </c>
      <c r="AE3444" s="52">
        <f>IF(AC3444="","",IFERROR(INDEX(ctaTipo,MATCH(AC3444,ctaNombre,0))&amp;"",""))</f>
        <v/>
      </c>
      <c r="AF3444" s="53">
        <f>IF(OR(P3444="",AB3444=""),"",IF(OR(P3444="Gasto",P3444="Transferencia",P3444="Pago tarjeta"),-1,1)*IF(IFERROR(INDEX(ctaMoneda,MATCH(AB3444,ctaNombre,0))&amp;"","DOP")="USD",T3444,S3444))</f>
        <v/>
      </c>
      <c r="AG3444" s="53">
        <f>IF(AC3444="","",IF(IFERROR(INDEX(ctaMoneda,MATCH(AC3444,ctaNombre,0))&amp;"","DOP")="USD",T3444,S3444))</f>
        <v/>
      </c>
      <c r="AH3444" s="53">
        <f>IF(P3444="","",IF(AND(AD3444&lt;&gt;"",COUNTIFS(tcTipo,AD3444,tcLiq,"Sí")&gt;0),IF(OR(P3444="Gasto",P3444="Transferencia",P3444="Pago tarjeta"),-1,1)*S3444,0)+IF(AND(AE3444&lt;&gt;"",COUNTIFS(tcTipo,AE3444,tcLiq,"Sí")&gt;0),S3444,0))</f>
        <v/>
      </c>
      <c r="AI3444" s="52">
        <f>IF(OR(L3444="",P3444=""),"",IF(COUNTIFS(L$6:L3444,L3444,P$6:P3444,"?*")=1,MAX(AI$5:AI3443)+1,""))</f>
        <v/>
      </c>
    </row>
    <row r="3445">
      <c r="B3445" s="47" t="n"/>
      <c r="C3445" s="48" t="n"/>
      <c r="D3445" s="48" t="n"/>
      <c r="E3445" s="48" t="n"/>
      <c r="F3445" s="48" t="n"/>
      <c r="G3445" s="49" t="n"/>
      <c r="H3445" s="48" t="n"/>
      <c r="I3445" s="50" t="n"/>
      <c r="J3445" s="48" t="n"/>
      <c r="K3445" s="48" t="n"/>
      <c r="L3445" s="48" t="n"/>
      <c r="M3445" s="48" t="n"/>
      <c r="N3445" s="48" t="n"/>
      <c r="O3445" s="51">
        <f>IF(AND(B3445="",G3445="",C3445="",D3445="",J3445=""),"",IF(B3445="","⚠ Falta fecha",IF(G3445="","⚠ Falta monto",IF(Q3445="","⚠ Falta cuenta",IF(ISNA(MATCH(Q3445,ctaNombre,0)),"⚠ Cuenta no registrada",IF(AND(OR(P3445="Gasto",P3445="Reembolso"),D3445=""),"⚠ Falta categoría",IF(AND(D3445&lt;&gt;"",E3445&lt;&gt;"",ISNA(MATCH(D3445&amp;"|"&amp;E3445,catClave,0))),"⚠ Subcategoría no corresponde",IF(AND(OR(P3445="Transferencia",P3445="Pago tarjeta"),K3445=""),"⚠ Falta cuenta destino",IF(AND(K3445&lt;&gt;"",P3445&lt;&gt;"Transferencia",P3445&lt;&gt;"Pago tarjeta"),"⚠ Destino solo aplica a transferencias",IF(AND(K3445&lt;&gt;"",K3445=Q3445),"⚠ Origen igual a destino",IF(AND(K3445&lt;&gt;"",ISNA(MATCH(K3445,ctaNombre,0))),"⚠ Destino no registrado",IF(AND(P3445="Pago tarjeta",AE3445&lt;&gt;"Tarjeta de crédito"),"⚠ El destino debe ser tarjeta de crédito",IF(AND(P3445="Gasto",E3445="Depósitos y retiros"),"⚠ Usa tipo Transferencia",IF(AND(P3445="Resultado trading",AD3445&lt;&gt;"Cuenta de trading"),"⚠ Usa una cuenta de trading",IF(AND(G3445&lt;=0,P3445&lt;&gt;"Ajuste",P3445&lt;&gt;"Resultado trading"),"⚠ El monto debe ser positivo","✓")))))))))))))))</f>
        <v/>
      </c>
      <c r="P3445" s="52">
        <f>IF(OR(B3445="",G3445=""),"",IF(C3445="","Gasto",C3445))</f>
        <v/>
      </c>
      <c r="Q3445" s="52">
        <f>IF(P3445="","",IF(J3445&lt;&gt;"",J3445,CuentaPred&amp;""))</f>
        <v/>
      </c>
      <c r="R3445" s="52">
        <f>IF(P3445="","",IF(ISNUMBER(I3445),I3445,TasaUSD))</f>
        <v/>
      </c>
      <c r="S3445" s="53">
        <f>IF(P3445="","",IF(H3445="USD",G3445*R3445,G3445))</f>
        <v/>
      </c>
      <c r="T3445" s="53">
        <f>IF(P3445="","",IF(H3445="USD",G3445,IF(R3445&gt;0,G3445/R3445,0)))</f>
        <v/>
      </c>
      <c r="U3445" s="53">
        <f>IF(P3445="","",IF(P3445="Gasto",S3445,IF(P3445="Reembolso",-S3445,0)))</f>
        <v/>
      </c>
      <c r="V3445" s="53">
        <f>IF(P3445="","",IF(P3445="Ingreso",S3445,0))</f>
        <v/>
      </c>
      <c r="W3445" s="53">
        <f>IF(P3445="","",IF(P3445="Resultado trading",S3445,0))</f>
        <v/>
      </c>
      <c r="X3445" s="52">
        <f>IF(OR(P3445="Gasto",P3445="Reembolso"),IF(M3445&lt;&gt;"",M3445,IFERROR(INDEX(catClasif,MATCH(D3445&amp;"|"&amp;E3445,catClave,0))&amp;"","Variable")),"")</f>
        <v/>
      </c>
      <c r="Y3445" s="52">
        <f>IF(P3445="","",IFERROR(INDEX(catGrupo,MATCH(D3445&amp;"|"&amp;E3445,catClave,0))&amp;"",""))</f>
        <v/>
      </c>
      <c r="Z3445" s="52">
        <f>IF(P3445="","",WEEKDAY(B3445,2))</f>
        <v/>
      </c>
      <c r="AA3445" s="52">
        <f>IF(P3445="","",IF(AND(P3445="Gasto",X3445="Variable",D3445&lt;&gt;catTrading,S3445&gt;0,S3445&lt;=Umbral),1,0))</f>
        <v/>
      </c>
      <c r="AB3445" s="52">
        <f>IF(OR(P3445="",Q3445=""),"",IFERROR(IF(INDEX(ctaVinc,MATCH(Q3445,ctaNombre,0))&amp;""&lt;&gt;"",INDEX(ctaVinc,MATCH(Q3445,ctaNombre,0))&amp;"",Q3445),Q3445))</f>
        <v/>
      </c>
      <c r="AC3445" s="52">
        <f>IF(OR(K3445="",AND(P3445&lt;&gt;"Transferencia",P3445&lt;&gt;"Pago tarjeta")),"",IFERROR(IF(INDEX(ctaVinc,MATCH(K3445,ctaNombre,0))&amp;""&lt;&gt;"",INDEX(ctaVinc,MATCH(K3445,ctaNombre,0))&amp;"",K3445),K3445))</f>
        <v/>
      </c>
      <c r="AD3445" s="52">
        <f>IF(AB3445="","",IFERROR(INDEX(ctaTipo,MATCH(AB3445,ctaNombre,0))&amp;"",""))</f>
        <v/>
      </c>
      <c r="AE3445" s="52">
        <f>IF(AC3445="","",IFERROR(INDEX(ctaTipo,MATCH(AC3445,ctaNombre,0))&amp;"",""))</f>
        <v/>
      </c>
      <c r="AF3445" s="53">
        <f>IF(OR(P3445="",AB3445=""),"",IF(OR(P3445="Gasto",P3445="Transferencia",P3445="Pago tarjeta"),-1,1)*IF(IFERROR(INDEX(ctaMoneda,MATCH(AB3445,ctaNombre,0))&amp;"","DOP")="USD",T3445,S3445))</f>
        <v/>
      </c>
      <c r="AG3445" s="53">
        <f>IF(AC3445="","",IF(IFERROR(INDEX(ctaMoneda,MATCH(AC3445,ctaNombre,0))&amp;"","DOP")="USD",T3445,S3445))</f>
        <v/>
      </c>
      <c r="AH3445" s="53">
        <f>IF(P3445="","",IF(AND(AD3445&lt;&gt;"",COUNTIFS(tcTipo,AD3445,tcLiq,"Sí")&gt;0),IF(OR(P3445="Gasto",P3445="Transferencia",P3445="Pago tarjeta"),-1,1)*S3445,0)+IF(AND(AE3445&lt;&gt;"",COUNTIFS(tcTipo,AE3445,tcLiq,"Sí")&gt;0),S3445,0))</f>
        <v/>
      </c>
      <c r="AI3445" s="52">
        <f>IF(OR(L3445="",P3445=""),"",IF(COUNTIFS(L$6:L3445,L3445,P$6:P3445,"?*")=1,MAX(AI$5:AI3444)+1,""))</f>
        <v/>
      </c>
    </row>
    <row r="3446">
      <c r="B3446" s="47" t="n"/>
      <c r="C3446" s="48" t="n"/>
      <c r="D3446" s="48" t="n"/>
      <c r="E3446" s="48" t="n"/>
      <c r="F3446" s="48" t="n"/>
      <c r="G3446" s="49" t="n"/>
      <c r="H3446" s="48" t="n"/>
      <c r="I3446" s="50" t="n"/>
      <c r="J3446" s="48" t="n"/>
      <c r="K3446" s="48" t="n"/>
      <c r="L3446" s="48" t="n"/>
      <c r="M3446" s="48" t="n"/>
      <c r="N3446" s="48" t="n"/>
      <c r="O3446" s="51">
        <f>IF(AND(B3446="",G3446="",C3446="",D3446="",J3446=""),"",IF(B3446="","⚠ Falta fecha",IF(G3446="","⚠ Falta monto",IF(Q3446="","⚠ Falta cuenta",IF(ISNA(MATCH(Q3446,ctaNombre,0)),"⚠ Cuenta no registrada",IF(AND(OR(P3446="Gasto",P3446="Reembolso"),D3446=""),"⚠ Falta categoría",IF(AND(D3446&lt;&gt;"",E3446&lt;&gt;"",ISNA(MATCH(D3446&amp;"|"&amp;E3446,catClave,0))),"⚠ Subcategoría no corresponde",IF(AND(OR(P3446="Transferencia",P3446="Pago tarjeta"),K3446=""),"⚠ Falta cuenta destino",IF(AND(K3446&lt;&gt;"",P3446&lt;&gt;"Transferencia",P3446&lt;&gt;"Pago tarjeta"),"⚠ Destino solo aplica a transferencias",IF(AND(K3446&lt;&gt;"",K3446=Q3446),"⚠ Origen igual a destino",IF(AND(K3446&lt;&gt;"",ISNA(MATCH(K3446,ctaNombre,0))),"⚠ Destino no registrado",IF(AND(P3446="Pago tarjeta",AE3446&lt;&gt;"Tarjeta de crédito"),"⚠ El destino debe ser tarjeta de crédito",IF(AND(P3446="Gasto",E3446="Depósitos y retiros"),"⚠ Usa tipo Transferencia",IF(AND(P3446="Resultado trading",AD3446&lt;&gt;"Cuenta de trading"),"⚠ Usa una cuenta de trading",IF(AND(G3446&lt;=0,P3446&lt;&gt;"Ajuste",P3446&lt;&gt;"Resultado trading"),"⚠ El monto debe ser positivo","✓")))))))))))))))</f>
        <v/>
      </c>
      <c r="P3446" s="52">
        <f>IF(OR(B3446="",G3446=""),"",IF(C3446="","Gasto",C3446))</f>
        <v/>
      </c>
      <c r="Q3446" s="52">
        <f>IF(P3446="","",IF(J3446&lt;&gt;"",J3446,CuentaPred&amp;""))</f>
        <v/>
      </c>
      <c r="R3446" s="52">
        <f>IF(P3446="","",IF(ISNUMBER(I3446),I3446,TasaUSD))</f>
        <v/>
      </c>
      <c r="S3446" s="53">
        <f>IF(P3446="","",IF(H3446="USD",G3446*R3446,G3446))</f>
        <v/>
      </c>
      <c r="T3446" s="53">
        <f>IF(P3446="","",IF(H3446="USD",G3446,IF(R3446&gt;0,G3446/R3446,0)))</f>
        <v/>
      </c>
      <c r="U3446" s="53">
        <f>IF(P3446="","",IF(P3446="Gasto",S3446,IF(P3446="Reembolso",-S3446,0)))</f>
        <v/>
      </c>
      <c r="V3446" s="53">
        <f>IF(P3446="","",IF(P3446="Ingreso",S3446,0))</f>
        <v/>
      </c>
      <c r="W3446" s="53">
        <f>IF(P3446="","",IF(P3446="Resultado trading",S3446,0))</f>
        <v/>
      </c>
      <c r="X3446" s="52">
        <f>IF(OR(P3446="Gasto",P3446="Reembolso"),IF(M3446&lt;&gt;"",M3446,IFERROR(INDEX(catClasif,MATCH(D3446&amp;"|"&amp;E3446,catClave,0))&amp;"","Variable")),"")</f>
        <v/>
      </c>
      <c r="Y3446" s="52">
        <f>IF(P3446="","",IFERROR(INDEX(catGrupo,MATCH(D3446&amp;"|"&amp;E3446,catClave,0))&amp;"",""))</f>
        <v/>
      </c>
      <c r="Z3446" s="52">
        <f>IF(P3446="","",WEEKDAY(B3446,2))</f>
        <v/>
      </c>
      <c r="AA3446" s="52">
        <f>IF(P3446="","",IF(AND(P3446="Gasto",X3446="Variable",D3446&lt;&gt;catTrading,S3446&gt;0,S3446&lt;=Umbral),1,0))</f>
        <v/>
      </c>
      <c r="AB3446" s="52">
        <f>IF(OR(P3446="",Q3446=""),"",IFERROR(IF(INDEX(ctaVinc,MATCH(Q3446,ctaNombre,0))&amp;""&lt;&gt;"",INDEX(ctaVinc,MATCH(Q3446,ctaNombre,0))&amp;"",Q3446),Q3446))</f>
        <v/>
      </c>
      <c r="AC3446" s="52">
        <f>IF(OR(K3446="",AND(P3446&lt;&gt;"Transferencia",P3446&lt;&gt;"Pago tarjeta")),"",IFERROR(IF(INDEX(ctaVinc,MATCH(K3446,ctaNombre,0))&amp;""&lt;&gt;"",INDEX(ctaVinc,MATCH(K3446,ctaNombre,0))&amp;"",K3446),K3446))</f>
        <v/>
      </c>
      <c r="AD3446" s="52">
        <f>IF(AB3446="","",IFERROR(INDEX(ctaTipo,MATCH(AB3446,ctaNombre,0))&amp;"",""))</f>
        <v/>
      </c>
      <c r="AE3446" s="52">
        <f>IF(AC3446="","",IFERROR(INDEX(ctaTipo,MATCH(AC3446,ctaNombre,0))&amp;"",""))</f>
        <v/>
      </c>
      <c r="AF3446" s="53">
        <f>IF(OR(P3446="",AB3446=""),"",IF(OR(P3446="Gasto",P3446="Transferencia",P3446="Pago tarjeta"),-1,1)*IF(IFERROR(INDEX(ctaMoneda,MATCH(AB3446,ctaNombre,0))&amp;"","DOP")="USD",T3446,S3446))</f>
        <v/>
      </c>
      <c r="AG3446" s="53">
        <f>IF(AC3446="","",IF(IFERROR(INDEX(ctaMoneda,MATCH(AC3446,ctaNombre,0))&amp;"","DOP")="USD",T3446,S3446))</f>
        <v/>
      </c>
      <c r="AH3446" s="53">
        <f>IF(P3446="","",IF(AND(AD3446&lt;&gt;"",COUNTIFS(tcTipo,AD3446,tcLiq,"Sí")&gt;0),IF(OR(P3446="Gasto",P3446="Transferencia",P3446="Pago tarjeta"),-1,1)*S3446,0)+IF(AND(AE3446&lt;&gt;"",COUNTIFS(tcTipo,AE3446,tcLiq,"Sí")&gt;0),S3446,0))</f>
        <v/>
      </c>
      <c r="AI3446" s="52">
        <f>IF(OR(L3446="",P3446=""),"",IF(COUNTIFS(L$6:L3446,L3446,P$6:P3446,"?*")=1,MAX(AI$5:AI3445)+1,""))</f>
        <v/>
      </c>
    </row>
    <row r="3447">
      <c r="B3447" s="47" t="n"/>
      <c r="C3447" s="48" t="n"/>
      <c r="D3447" s="48" t="n"/>
      <c r="E3447" s="48" t="n"/>
      <c r="F3447" s="48" t="n"/>
      <c r="G3447" s="49" t="n"/>
      <c r="H3447" s="48" t="n"/>
      <c r="I3447" s="50" t="n"/>
      <c r="J3447" s="48" t="n"/>
      <c r="K3447" s="48" t="n"/>
      <c r="L3447" s="48" t="n"/>
      <c r="M3447" s="48" t="n"/>
      <c r="N3447" s="48" t="n"/>
      <c r="O3447" s="51">
        <f>IF(AND(B3447="",G3447="",C3447="",D3447="",J3447=""),"",IF(B3447="","⚠ Falta fecha",IF(G3447="","⚠ Falta monto",IF(Q3447="","⚠ Falta cuenta",IF(ISNA(MATCH(Q3447,ctaNombre,0)),"⚠ Cuenta no registrada",IF(AND(OR(P3447="Gasto",P3447="Reembolso"),D3447=""),"⚠ Falta categoría",IF(AND(D3447&lt;&gt;"",E3447&lt;&gt;"",ISNA(MATCH(D3447&amp;"|"&amp;E3447,catClave,0))),"⚠ Subcategoría no corresponde",IF(AND(OR(P3447="Transferencia",P3447="Pago tarjeta"),K3447=""),"⚠ Falta cuenta destino",IF(AND(K3447&lt;&gt;"",P3447&lt;&gt;"Transferencia",P3447&lt;&gt;"Pago tarjeta"),"⚠ Destino solo aplica a transferencias",IF(AND(K3447&lt;&gt;"",K3447=Q3447),"⚠ Origen igual a destino",IF(AND(K3447&lt;&gt;"",ISNA(MATCH(K3447,ctaNombre,0))),"⚠ Destino no registrado",IF(AND(P3447="Pago tarjeta",AE3447&lt;&gt;"Tarjeta de crédito"),"⚠ El destino debe ser tarjeta de crédito",IF(AND(P3447="Gasto",E3447="Depósitos y retiros"),"⚠ Usa tipo Transferencia",IF(AND(P3447="Resultado trading",AD3447&lt;&gt;"Cuenta de trading"),"⚠ Usa una cuenta de trading",IF(AND(G3447&lt;=0,P3447&lt;&gt;"Ajuste",P3447&lt;&gt;"Resultado trading"),"⚠ El monto debe ser positivo","✓")))))))))))))))</f>
        <v/>
      </c>
      <c r="P3447" s="52">
        <f>IF(OR(B3447="",G3447=""),"",IF(C3447="","Gasto",C3447))</f>
        <v/>
      </c>
      <c r="Q3447" s="52">
        <f>IF(P3447="","",IF(J3447&lt;&gt;"",J3447,CuentaPred&amp;""))</f>
        <v/>
      </c>
      <c r="R3447" s="52">
        <f>IF(P3447="","",IF(ISNUMBER(I3447),I3447,TasaUSD))</f>
        <v/>
      </c>
      <c r="S3447" s="53">
        <f>IF(P3447="","",IF(H3447="USD",G3447*R3447,G3447))</f>
        <v/>
      </c>
      <c r="T3447" s="53">
        <f>IF(P3447="","",IF(H3447="USD",G3447,IF(R3447&gt;0,G3447/R3447,0)))</f>
        <v/>
      </c>
      <c r="U3447" s="53">
        <f>IF(P3447="","",IF(P3447="Gasto",S3447,IF(P3447="Reembolso",-S3447,0)))</f>
        <v/>
      </c>
      <c r="V3447" s="53">
        <f>IF(P3447="","",IF(P3447="Ingreso",S3447,0))</f>
        <v/>
      </c>
      <c r="W3447" s="53">
        <f>IF(P3447="","",IF(P3447="Resultado trading",S3447,0))</f>
        <v/>
      </c>
      <c r="X3447" s="52">
        <f>IF(OR(P3447="Gasto",P3447="Reembolso"),IF(M3447&lt;&gt;"",M3447,IFERROR(INDEX(catClasif,MATCH(D3447&amp;"|"&amp;E3447,catClave,0))&amp;"","Variable")),"")</f>
        <v/>
      </c>
      <c r="Y3447" s="52">
        <f>IF(P3447="","",IFERROR(INDEX(catGrupo,MATCH(D3447&amp;"|"&amp;E3447,catClave,0))&amp;"",""))</f>
        <v/>
      </c>
      <c r="Z3447" s="52">
        <f>IF(P3447="","",WEEKDAY(B3447,2))</f>
        <v/>
      </c>
      <c r="AA3447" s="52">
        <f>IF(P3447="","",IF(AND(P3447="Gasto",X3447="Variable",D3447&lt;&gt;catTrading,S3447&gt;0,S3447&lt;=Umbral),1,0))</f>
        <v/>
      </c>
      <c r="AB3447" s="52">
        <f>IF(OR(P3447="",Q3447=""),"",IFERROR(IF(INDEX(ctaVinc,MATCH(Q3447,ctaNombre,0))&amp;""&lt;&gt;"",INDEX(ctaVinc,MATCH(Q3447,ctaNombre,0))&amp;"",Q3447),Q3447))</f>
        <v/>
      </c>
      <c r="AC3447" s="52">
        <f>IF(OR(K3447="",AND(P3447&lt;&gt;"Transferencia",P3447&lt;&gt;"Pago tarjeta")),"",IFERROR(IF(INDEX(ctaVinc,MATCH(K3447,ctaNombre,0))&amp;""&lt;&gt;"",INDEX(ctaVinc,MATCH(K3447,ctaNombre,0))&amp;"",K3447),K3447))</f>
        <v/>
      </c>
      <c r="AD3447" s="52">
        <f>IF(AB3447="","",IFERROR(INDEX(ctaTipo,MATCH(AB3447,ctaNombre,0))&amp;"",""))</f>
        <v/>
      </c>
      <c r="AE3447" s="52">
        <f>IF(AC3447="","",IFERROR(INDEX(ctaTipo,MATCH(AC3447,ctaNombre,0))&amp;"",""))</f>
        <v/>
      </c>
      <c r="AF3447" s="53">
        <f>IF(OR(P3447="",AB3447=""),"",IF(OR(P3447="Gasto",P3447="Transferencia",P3447="Pago tarjeta"),-1,1)*IF(IFERROR(INDEX(ctaMoneda,MATCH(AB3447,ctaNombre,0))&amp;"","DOP")="USD",T3447,S3447))</f>
        <v/>
      </c>
      <c r="AG3447" s="53">
        <f>IF(AC3447="","",IF(IFERROR(INDEX(ctaMoneda,MATCH(AC3447,ctaNombre,0))&amp;"","DOP")="USD",T3447,S3447))</f>
        <v/>
      </c>
      <c r="AH3447" s="53">
        <f>IF(P3447="","",IF(AND(AD3447&lt;&gt;"",COUNTIFS(tcTipo,AD3447,tcLiq,"Sí")&gt;0),IF(OR(P3447="Gasto",P3447="Transferencia",P3447="Pago tarjeta"),-1,1)*S3447,0)+IF(AND(AE3447&lt;&gt;"",COUNTIFS(tcTipo,AE3447,tcLiq,"Sí")&gt;0),S3447,0))</f>
        <v/>
      </c>
      <c r="AI3447" s="52">
        <f>IF(OR(L3447="",P3447=""),"",IF(COUNTIFS(L$6:L3447,L3447,P$6:P3447,"?*")=1,MAX(AI$5:AI3446)+1,""))</f>
        <v/>
      </c>
    </row>
    <row r="3448">
      <c r="B3448" s="47" t="n"/>
      <c r="C3448" s="48" t="n"/>
      <c r="D3448" s="48" t="n"/>
      <c r="E3448" s="48" t="n"/>
      <c r="F3448" s="48" t="n"/>
      <c r="G3448" s="49" t="n"/>
      <c r="H3448" s="48" t="n"/>
      <c r="I3448" s="50" t="n"/>
      <c r="J3448" s="48" t="n"/>
      <c r="K3448" s="48" t="n"/>
      <c r="L3448" s="48" t="n"/>
      <c r="M3448" s="48" t="n"/>
      <c r="N3448" s="48" t="n"/>
      <c r="O3448" s="51">
        <f>IF(AND(B3448="",G3448="",C3448="",D3448="",J3448=""),"",IF(B3448="","⚠ Falta fecha",IF(G3448="","⚠ Falta monto",IF(Q3448="","⚠ Falta cuenta",IF(ISNA(MATCH(Q3448,ctaNombre,0)),"⚠ Cuenta no registrada",IF(AND(OR(P3448="Gasto",P3448="Reembolso"),D3448=""),"⚠ Falta categoría",IF(AND(D3448&lt;&gt;"",E3448&lt;&gt;"",ISNA(MATCH(D3448&amp;"|"&amp;E3448,catClave,0))),"⚠ Subcategoría no corresponde",IF(AND(OR(P3448="Transferencia",P3448="Pago tarjeta"),K3448=""),"⚠ Falta cuenta destino",IF(AND(K3448&lt;&gt;"",P3448&lt;&gt;"Transferencia",P3448&lt;&gt;"Pago tarjeta"),"⚠ Destino solo aplica a transferencias",IF(AND(K3448&lt;&gt;"",K3448=Q3448),"⚠ Origen igual a destino",IF(AND(K3448&lt;&gt;"",ISNA(MATCH(K3448,ctaNombre,0))),"⚠ Destino no registrado",IF(AND(P3448="Pago tarjeta",AE3448&lt;&gt;"Tarjeta de crédito"),"⚠ El destino debe ser tarjeta de crédito",IF(AND(P3448="Gasto",E3448="Depósitos y retiros"),"⚠ Usa tipo Transferencia",IF(AND(P3448="Resultado trading",AD3448&lt;&gt;"Cuenta de trading"),"⚠ Usa una cuenta de trading",IF(AND(G3448&lt;=0,P3448&lt;&gt;"Ajuste",P3448&lt;&gt;"Resultado trading"),"⚠ El monto debe ser positivo","✓")))))))))))))))</f>
        <v/>
      </c>
      <c r="P3448" s="52">
        <f>IF(OR(B3448="",G3448=""),"",IF(C3448="","Gasto",C3448))</f>
        <v/>
      </c>
      <c r="Q3448" s="52">
        <f>IF(P3448="","",IF(J3448&lt;&gt;"",J3448,CuentaPred&amp;""))</f>
        <v/>
      </c>
      <c r="R3448" s="52">
        <f>IF(P3448="","",IF(ISNUMBER(I3448),I3448,TasaUSD))</f>
        <v/>
      </c>
      <c r="S3448" s="53">
        <f>IF(P3448="","",IF(H3448="USD",G3448*R3448,G3448))</f>
        <v/>
      </c>
      <c r="T3448" s="53">
        <f>IF(P3448="","",IF(H3448="USD",G3448,IF(R3448&gt;0,G3448/R3448,0)))</f>
        <v/>
      </c>
      <c r="U3448" s="53">
        <f>IF(P3448="","",IF(P3448="Gasto",S3448,IF(P3448="Reembolso",-S3448,0)))</f>
        <v/>
      </c>
      <c r="V3448" s="53">
        <f>IF(P3448="","",IF(P3448="Ingreso",S3448,0))</f>
        <v/>
      </c>
      <c r="W3448" s="53">
        <f>IF(P3448="","",IF(P3448="Resultado trading",S3448,0))</f>
        <v/>
      </c>
      <c r="X3448" s="52">
        <f>IF(OR(P3448="Gasto",P3448="Reembolso"),IF(M3448&lt;&gt;"",M3448,IFERROR(INDEX(catClasif,MATCH(D3448&amp;"|"&amp;E3448,catClave,0))&amp;"","Variable")),"")</f>
        <v/>
      </c>
      <c r="Y3448" s="52">
        <f>IF(P3448="","",IFERROR(INDEX(catGrupo,MATCH(D3448&amp;"|"&amp;E3448,catClave,0))&amp;"",""))</f>
        <v/>
      </c>
      <c r="Z3448" s="52">
        <f>IF(P3448="","",WEEKDAY(B3448,2))</f>
        <v/>
      </c>
      <c r="AA3448" s="52">
        <f>IF(P3448="","",IF(AND(P3448="Gasto",X3448="Variable",D3448&lt;&gt;catTrading,S3448&gt;0,S3448&lt;=Umbral),1,0))</f>
        <v/>
      </c>
      <c r="AB3448" s="52">
        <f>IF(OR(P3448="",Q3448=""),"",IFERROR(IF(INDEX(ctaVinc,MATCH(Q3448,ctaNombre,0))&amp;""&lt;&gt;"",INDEX(ctaVinc,MATCH(Q3448,ctaNombre,0))&amp;"",Q3448),Q3448))</f>
        <v/>
      </c>
      <c r="AC3448" s="52">
        <f>IF(OR(K3448="",AND(P3448&lt;&gt;"Transferencia",P3448&lt;&gt;"Pago tarjeta")),"",IFERROR(IF(INDEX(ctaVinc,MATCH(K3448,ctaNombre,0))&amp;""&lt;&gt;"",INDEX(ctaVinc,MATCH(K3448,ctaNombre,0))&amp;"",K3448),K3448))</f>
        <v/>
      </c>
      <c r="AD3448" s="52">
        <f>IF(AB3448="","",IFERROR(INDEX(ctaTipo,MATCH(AB3448,ctaNombre,0))&amp;"",""))</f>
        <v/>
      </c>
      <c r="AE3448" s="52">
        <f>IF(AC3448="","",IFERROR(INDEX(ctaTipo,MATCH(AC3448,ctaNombre,0))&amp;"",""))</f>
        <v/>
      </c>
      <c r="AF3448" s="53">
        <f>IF(OR(P3448="",AB3448=""),"",IF(OR(P3448="Gasto",P3448="Transferencia",P3448="Pago tarjeta"),-1,1)*IF(IFERROR(INDEX(ctaMoneda,MATCH(AB3448,ctaNombre,0))&amp;"","DOP")="USD",T3448,S3448))</f>
        <v/>
      </c>
      <c r="AG3448" s="53">
        <f>IF(AC3448="","",IF(IFERROR(INDEX(ctaMoneda,MATCH(AC3448,ctaNombre,0))&amp;"","DOP")="USD",T3448,S3448))</f>
        <v/>
      </c>
      <c r="AH3448" s="53">
        <f>IF(P3448="","",IF(AND(AD3448&lt;&gt;"",COUNTIFS(tcTipo,AD3448,tcLiq,"Sí")&gt;0),IF(OR(P3448="Gasto",P3448="Transferencia",P3448="Pago tarjeta"),-1,1)*S3448,0)+IF(AND(AE3448&lt;&gt;"",COUNTIFS(tcTipo,AE3448,tcLiq,"Sí")&gt;0),S3448,0))</f>
        <v/>
      </c>
      <c r="AI3448" s="52">
        <f>IF(OR(L3448="",P3448=""),"",IF(COUNTIFS(L$6:L3448,L3448,P$6:P3448,"?*")=1,MAX(AI$5:AI3447)+1,""))</f>
        <v/>
      </c>
    </row>
    <row r="3449">
      <c r="B3449" s="47" t="n"/>
      <c r="C3449" s="48" t="n"/>
      <c r="D3449" s="48" t="n"/>
      <c r="E3449" s="48" t="n"/>
      <c r="F3449" s="48" t="n"/>
      <c r="G3449" s="49" t="n"/>
      <c r="H3449" s="48" t="n"/>
      <c r="I3449" s="50" t="n"/>
      <c r="J3449" s="48" t="n"/>
      <c r="K3449" s="48" t="n"/>
      <c r="L3449" s="48" t="n"/>
      <c r="M3449" s="48" t="n"/>
      <c r="N3449" s="48" t="n"/>
      <c r="O3449" s="51">
        <f>IF(AND(B3449="",G3449="",C3449="",D3449="",J3449=""),"",IF(B3449="","⚠ Falta fecha",IF(G3449="","⚠ Falta monto",IF(Q3449="","⚠ Falta cuenta",IF(ISNA(MATCH(Q3449,ctaNombre,0)),"⚠ Cuenta no registrada",IF(AND(OR(P3449="Gasto",P3449="Reembolso"),D3449=""),"⚠ Falta categoría",IF(AND(D3449&lt;&gt;"",E3449&lt;&gt;"",ISNA(MATCH(D3449&amp;"|"&amp;E3449,catClave,0))),"⚠ Subcategoría no corresponde",IF(AND(OR(P3449="Transferencia",P3449="Pago tarjeta"),K3449=""),"⚠ Falta cuenta destino",IF(AND(K3449&lt;&gt;"",P3449&lt;&gt;"Transferencia",P3449&lt;&gt;"Pago tarjeta"),"⚠ Destino solo aplica a transferencias",IF(AND(K3449&lt;&gt;"",K3449=Q3449),"⚠ Origen igual a destino",IF(AND(K3449&lt;&gt;"",ISNA(MATCH(K3449,ctaNombre,0))),"⚠ Destino no registrado",IF(AND(P3449="Pago tarjeta",AE3449&lt;&gt;"Tarjeta de crédito"),"⚠ El destino debe ser tarjeta de crédito",IF(AND(P3449="Gasto",E3449="Depósitos y retiros"),"⚠ Usa tipo Transferencia",IF(AND(P3449="Resultado trading",AD3449&lt;&gt;"Cuenta de trading"),"⚠ Usa una cuenta de trading",IF(AND(G3449&lt;=0,P3449&lt;&gt;"Ajuste",P3449&lt;&gt;"Resultado trading"),"⚠ El monto debe ser positivo","✓")))))))))))))))</f>
        <v/>
      </c>
      <c r="P3449" s="52">
        <f>IF(OR(B3449="",G3449=""),"",IF(C3449="","Gasto",C3449))</f>
        <v/>
      </c>
      <c r="Q3449" s="52">
        <f>IF(P3449="","",IF(J3449&lt;&gt;"",J3449,CuentaPred&amp;""))</f>
        <v/>
      </c>
      <c r="R3449" s="52">
        <f>IF(P3449="","",IF(ISNUMBER(I3449),I3449,TasaUSD))</f>
        <v/>
      </c>
      <c r="S3449" s="53">
        <f>IF(P3449="","",IF(H3449="USD",G3449*R3449,G3449))</f>
        <v/>
      </c>
      <c r="T3449" s="53">
        <f>IF(P3449="","",IF(H3449="USD",G3449,IF(R3449&gt;0,G3449/R3449,0)))</f>
        <v/>
      </c>
      <c r="U3449" s="53">
        <f>IF(P3449="","",IF(P3449="Gasto",S3449,IF(P3449="Reembolso",-S3449,0)))</f>
        <v/>
      </c>
      <c r="V3449" s="53">
        <f>IF(P3449="","",IF(P3449="Ingreso",S3449,0))</f>
        <v/>
      </c>
      <c r="W3449" s="53">
        <f>IF(P3449="","",IF(P3449="Resultado trading",S3449,0))</f>
        <v/>
      </c>
      <c r="X3449" s="52">
        <f>IF(OR(P3449="Gasto",P3449="Reembolso"),IF(M3449&lt;&gt;"",M3449,IFERROR(INDEX(catClasif,MATCH(D3449&amp;"|"&amp;E3449,catClave,0))&amp;"","Variable")),"")</f>
        <v/>
      </c>
      <c r="Y3449" s="52">
        <f>IF(P3449="","",IFERROR(INDEX(catGrupo,MATCH(D3449&amp;"|"&amp;E3449,catClave,0))&amp;"",""))</f>
        <v/>
      </c>
      <c r="Z3449" s="52">
        <f>IF(P3449="","",WEEKDAY(B3449,2))</f>
        <v/>
      </c>
      <c r="AA3449" s="52">
        <f>IF(P3449="","",IF(AND(P3449="Gasto",X3449="Variable",D3449&lt;&gt;catTrading,S3449&gt;0,S3449&lt;=Umbral),1,0))</f>
        <v/>
      </c>
      <c r="AB3449" s="52">
        <f>IF(OR(P3449="",Q3449=""),"",IFERROR(IF(INDEX(ctaVinc,MATCH(Q3449,ctaNombre,0))&amp;""&lt;&gt;"",INDEX(ctaVinc,MATCH(Q3449,ctaNombre,0))&amp;"",Q3449),Q3449))</f>
        <v/>
      </c>
      <c r="AC3449" s="52">
        <f>IF(OR(K3449="",AND(P3449&lt;&gt;"Transferencia",P3449&lt;&gt;"Pago tarjeta")),"",IFERROR(IF(INDEX(ctaVinc,MATCH(K3449,ctaNombre,0))&amp;""&lt;&gt;"",INDEX(ctaVinc,MATCH(K3449,ctaNombre,0))&amp;"",K3449),K3449))</f>
        <v/>
      </c>
      <c r="AD3449" s="52">
        <f>IF(AB3449="","",IFERROR(INDEX(ctaTipo,MATCH(AB3449,ctaNombre,0))&amp;"",""))</f>
        <v/>
      </c>
      <c r="AE3449" s="52">
        <f>IF(AC3449="","",IFERROR(INDEX(ctaTipo,MATCH(AC3449,ctaNombre,0))&amp;"",""))</f>
        <v/>
      </c>
      <c r="AF3449" s="53">
        <f>IF(OR(P3449="",AB3449=""),"",IF(OR(P3449="Gasto",P3449="Transferencia",P3449="Pago tarjeta"),-1,1)*IF(IFERROR(INDEX(ctaMoneda,MATCH(AB3449,ctaNombre,0))&amp;"","DOP")="USD",T3449,S3449))</f>
        <v/>
      </c>
      <c r="AG3449" s="53">
        <f>IF(AC3449="","",IF(IFERROR(INDEX(ctaMoneda,MATCH(AC3449,ctaNombre,0))&amp;"","DOP")="USD",T3449,S3449))</f>
        <v/>
      </c>
      <c r="AH3449" s="53">
        <f>IF(P3449="","",IF(AND(AD3449&lt;&gt;"",COUNTIFS(tcTipo,AD3449,tcLiq,"Sí")&gt;0),IF(OR(P3449="Gasto",P3449="Transferencia",P3449="Pago tarjeta"),-1,1)*S3449,0)+IF(AND(AE3449&lt;&gt;"",COUNTIFS(tcTipo,AE3449,tcLiq,"Sí")&gt;0),S3449,0))</f>
        <v/>
      </c>
      <c r="AI3449" s="52">
        <f>IF(OR(L3449="",P3449=""),"",IF(COUNTIFS(L$6:L3449,L3449,P$6:P3449,"?*")=1,MAX(AI$5:AI3448)+1,""))</f>
        <v/>
      </c>
    </row>
    <row r="3450">
      <c r="B3450" s="47" t="n"/>
      <c r="C3450" s="48" t="n"/>
      <c r="D3450" s="48" t="n"/>
      <c r="E3450" s="48" t="n"/>
      <c r="F3450" s="48" t="n"/>
      <c r="G3450" s="49" t="n"/>
      <c r="H3450" s="48" t="n"/>
      <c r="I3450" s="50" t="n"/>
      <c r="J3450" s="48" t="n"/>
      <c r="K3450" s="48" t="n"/>
      <c r="L3450" s="48" t="n"/>
      <c r="M3450" s="48" t="n"/>
      <c r="N3450" s="48" t="n"/>
      <c r="O3450" s="51">
        <f>IF(AND(B3450="",G3450="",C3450="",D3450="",J3450=""),"",IF(B3450="","⚠ Falta fecha",IF(G3450="","⚠ Falta monto",IF(Q3450="","⚠ Falta cuenta",IF(ISNA(MATCH(Q3450,ctaNombre,0)),"⚠ Cuenta no registrada",IF(AND(OR(P3450="Gasto",P3450="Reembolso"),D3450=""),"⚠ Falta categoría",IF(AND(D3450&lt;&gt;"",E3450&lt;&gt;"",ISNA(MATCH(D3450&amp;"|"&amp;E3450,catClave,0))),"⚠ Subcategoría no corresponde",IF(AND(OR(P3450="Transferencia",P3450="Pago tarjeta"),K3450=""),"⚠ Falta cuenta destino",IF(AND(K3450&lt;&gt;"",P3450&lt;&gt;"Transferencia",P3450&lt;&gt;"Pago tarjeta"),"⚠ Destino solo aplica a transferencias",IF(AND(K3450&lt;&gt;"",K3450=Q3450),"⚠ Origen igual a destino",IF(AND(K3450&lt;&gt;"",ISNA(MATCH(K3450,ctaNombre,0))),"⚠ Destino no registrado",IF(AND(P3450="Pago tarjeta",AE3450&lt;&gt;"Tarjeta de crédito"),"⚠ El destino debe ser tarjeta de crédito",IF(AND(P3450="Gasto",E3450="Depósitos y retiros"),"⚠ Usa tipo Transferencia",IF(AND(P3450="Resultado trading",AD3450&lt;&gt;"Cuenta de trading"),"⚠ Usa una cuenta de trading",IF(AND(G3450&lt;=0,P3450&lt;&gt;"Ajuste",P3450&lt;&gt;"Resultado trading"),"⚠ El monto debe ser positivo","✓")))))))))))))))</f>
        <v/>
      </c>
      <c r="P3450" s="52">
        <f>IF(OR(B3450="",G3450=""),"",IF(C3450="","Gasto",C3450))</f>
        <v/>
      </c>
      <c r="Q3450" s="52">
        <f>IF(P3450="","",IF(J3450&lt;&gt;"",J3450,CuentaPred&amp;""))</f>
        <v/>
      </c>
      <c r="R3450" s="52">
        <f>IF(P3450="","",IF(ISNUMBER(I3450),I3450,TasaUSD))</f>
        <v/>
      </c>
      <c r="S3450" s="53">
        <f>IF(P3450="","",IF(H3450="USD",G3450*R3450,G3450))</f>
        <v/>
      </c>
      <c r="T3450" s="53">
        <f>IF(P3450="","",IF(H3450="USD",G3450,IF(R3450&gt;0,G3450/R3450,0)))</f>
        <v/>
      </c>
      <c r="U3450" s="53">
        <f>IF(P3450="","",IF(P3450="Gasto",S3450,IF(P3450="Reembolso",-S3450,0)))</f>
        <v/>
      </c>
      <c r="V3450" s="53">
        <f>IF(P3450="","",IF(P3450="Ingreso",S3450,0))</f>
        <v/>
      </c>
      <c r="W3450" s="53">
        <f>IF(P3450="","",IF(P3450="Resultado trading",S3450,0))</f>
        <v/>
      </c>
      <c r="X3450" s="52">
        <f>IF(OR(P3450="Gasto",P3450="Reembolso"),IF(M3450&lt;&gt;"",M3450,IFERROR(INDEX(catClasif,MATCH(D3450&amp;"|"&amp;E3450,catClave,0))&amp;"","Variable")),"")</f>
        <v/>
      </c>
      <c r="Y3450" s="52">
        <f>IF(P3450="","",IFERROR(INDEX(catGrupo,MATCH(D3450&amp;"|"&amp;E3450,catClave,0))&amp;"",""))</f>
        <v/>
      </c>
      <c r="Z3450" s="52">
        <f>IF(P3450="","",WEEKDAY(B3450,2))</f>
        <v/>
      </c>
      <c r="AA3450" s="52">
        <f>IF(P3450="","",IF(AND(P3450="Gasto",X3450="Variable",D3450&lt;&gt;catTrading,S3450&gt;0,S3450&lt;=Umbral),1,0))</f>
        <v/>
      </c>
      <c r="AB3450" s="52">
        <f>IF(OR(P3450="",Q3450=""),"",IFERROR(IF(INDEX(ctaVinc,MATCH(Q3450,ctaNombre,0))&amp;""&lt;&gt;"",INDEX(ctaVinc,MATCH(Q3450,ctaNombre,0))&amp;"",Q3450),Q3450))</f>
        <v/>
      </c>
      <c r="AC3450" s="52">
        <f>IF(OR(K3450="",AND(P3450&lt;&gt;"Transferencia",P3450&lt;&gt;"Pago tarjeta")),"",IFERROR(IF(INDEX(ctaVinc,MATCH(K3450,ctaNombre,0))&amp;""&lt;&gt;"",INDEX(ctaVinc,MATCH(K3450,ctaNombre,0))&amp;"",K3450),K3450))</f>
        <v/>
      </c>
      <c r="AD3450" s="52">
        <f>IF(AB3450="","",IFERROR(INDEX(ctaTipo,MATCH(AB3450,ctaNombre,0))&amp;"",""))</f>
        <v/>
      </c>
      <c r="AE3450" s="52">
        <f>IF(AC3450="","",IFERROR(INDEX(ctaTipo,MATCH(AC3450,ctaNombre,0))&amp;"",""))</f>
        <v/>
      </c>
      <c r="AF3450" s="53">
        <f>IF(OR(P3450="",AB3450=""),"",IF(OR(P3450="Gasto",P3450="Transferencia",P3450="Pago tarjeta"),-1,1)*IF(IFERROR(INDEX(ctaMoneda,MATCH(AB3450,ctaNombre,0))&amp;"","DOP")="USD",T3450,S3450))</f>
        <v/>
      </c>
      <c r="AG3450" s="53">
        <f>IF(AC3450="","",IF(IFERROR(INDEX(ctaMoneda,MATCH(AC3450,ctaNombre,0))&amp;"","DOP")="USD",T3450,S3450))</f>
        <v/>
      </c>
      <c r="AH3450" s="53">
        <f>IF(P3450="","",IF(AND(AD3450&lt;&gt;"",COUNTIFS(tcTipo,AD3450,tcLiq,"Sí")&gt;0),IF(OR(P3450="Gasto",P3450="Transferencia",P3450="Pago tarjeta"),-1,1)*S3450,0)+IF(AND(AE3450&lt;&gt;"",COUNTIFS(tcTipo,AE3450,tcLiq,"Sí")&gt;0),S3450,0))</f>
        <v/>
      </c>
      <c r="AI3450" s="52">
        <f>IF(OR(L3450="",P3450=""),"",IF(COUNTIFS(L$6:L3450,L3450,P$6:P3450,"?*")=1,MAX(AI$5:AI3449)+1,""))</f>
        <v/>
      </c>
    </row>
    <row r="3451">
      <c r="B3451" s="47" t="n"/>
      <c r="C3451" s="48" t="n"/>
      <c r="D3451" s="48" t="n"/>
      <c r="E3451" s="48" t="n"/>
      <c r="F3451" s="48" t="n"/>
      <c r="G3451" s="49" t="n"/>
      <c r="H3451" s="48" t="n"/>
      <c r="I3451" s="50" t="n"/>
      <c r="J3451" s="48" t="n"/>
      <c r="K3451" s="48" t="n"/>
      <c r="L3451" s="48" t="n"/>
      <c r="M3451" s="48" t="n"/>
      <c r="N3451" s="48" t="n"/>
      <c r="O3451" s="51">
        <f>IF(AND(B3451="",G3451="",C3451="",D3451="",J3451=""),"",IF(B3451="","⚠ Falta fecha",IF(G3451="","⚠ Falta monto",IF(Q3451="","⚠ Falta cuenta",IF(ISNA(MATCH(Q3451,ctaNombre,0)),"⚠ Cuenta no registrada",IF(AND(OR(P3451="Gasto",P3451="Reembolso"),D3451=""),"⚠ Falta categoría",IF(AND(D3451&lt;&gt;"",E3451&lt;&gt;"",ISNA(MATCH(D3451&amp;"|"&amp;E3451,catClave,0))),"⚠ Subcategoría no corresponde",IF(AND(OR(P3451="Transferencia",P3451="Pago tarjeta"),K3451=""),"⚠ Falta cuenta destino",IF(AND(K3451&lt;&gt;"",P3451&lt;&gt;"Transferencia",P3451&lt;&gt;"Pago tarjeta"),"⚠ Destino solo aplica a transferencias",IF(AND(K3451&lt;&gt;"",K3451=Q3451),"⚠ Origen igual a destino",IF(AND(K3451&lt;&gt;"",ISNA(MATCH(K3451,ctaNombre,0))),"⚠ Destino no registrado",IF(AND(P3451="Pago tarjeta",AE3451&lt;&gt;"Tarjeta de crédito"),"⚠ El destino debe ser tarjeta de crédito",IF(AND(P3451="Gasto",E3451="Depósitos y retiros"),"⚠ Usa tipo Transferencia",IF(AND(P3451="Resultado trading",AD3451&lt;&gt;"Cuenta de trading"),"⚠ Usa una cuenta de trading",IF(AND(G3451&lt;=0,P3451&lt;&gt;"Ajuste",P3451&lt;&gt;"Resultado trading"),"⚠ El monto debe ser positivo","✓")))))))))))))))</f>
        <v/>
      </c>
      <c r="P3451" s="52">
        <f>IF(OR(B3451="",G3451=""),"",IF(C3451="","Gasto",C3451))</f>
        <v/>
      </c>
      <c r="Q3451" s="52">
        <f>IF(P3451="","",IF(J3451&lt;&gt;"",J3451,CuentaPred&amp;""))</f>
        <v/>
      </c>
      <c r="R3451" s="52">
        <f>IF(P3451="","",IF(ISNUMBER(I3451),I3451,TasaUSD))</f>
        <v/>
      </c>
      <c r="S3451" s="53">
        <f>IF(P3451="","",IF(H3451="USD",G3451*R3451,G3451))</f>
        <v/>
      </c>
      <c r="T3451" s="53">
        <f>IF(P3451="","",IF(H3451="USD",G3451,IF(R3451&gt;0,G3451/R3451,0)))</f>
        <v/>
      </c>
      <c r="U3451" s="53">
        <f>IF(P3451="","",IF(P3451="Gasto",S3451,IF(P3451="Reembolso",-S3451,0)))</f>
        <v/>
      </c>
      <c r="V3451" s="53">
        <f>IF(P3451="","",IF(P3451="Ingreso",S3451,0))</f>
        <v/>
      </c>
      <c r="W3451" s="53">
        <f>IF(P3451="","",IF(P3451="Resultado trading",S3451,0))</f>
        <v/>
      </c>
      <c r="X3451" s="52">
        <f>IF(OR(P3451="Gasto",P3451="Reembolso"),IF(M3451&lt;&gt;"",M3451,IFERROR(INDEX(catClasif,MATCH(D3451&amp;"|"&amp;E3451,catClave,0))&amp;"","Variable")),"")</f>
        <v/>
      </c>
      <c r="Y3451" s="52">
        <f>IF(P3451="","",IFERROR(INDEX(catGrupo,MATCH(D3451&amp;"|"&amp;E3451,catClave,0))&amp;"",""))</f>
        <v/>
      </c>
      <c r="Z3451" s="52">
        <f>IF(P3451="","",WEEKDAY(B3451,2))</f>
        <v/>
      </c>
      <c r="AA3451" s="52">
        <f>IF(P3451="","",IF(AND(P3451="Gasto",X3451="Variable",D3451&lt;&gt;catTrading,S3451&gt;0,S3451&lt;=Umbral),1,0))</f>
        <v/>
      </c>
      <c r="AB3451" s="52">
        <f>IF(OR(P3451="",Q3451=""),"",IFERROR(IF(INDEX(ctaVinc,MATCH(Q3451,ctaNombre,0))&amp;""&lt;&gt;"",INDEX(ctaVinc,MATCH(Q3451,ctaNombre,0))&amp;"",Q3451),Q3451))</f>
        <v/>
      </c>
      <c r="AC3451" s="52">
        <f>IF(OR(K3451="",AND(P3451&lt;&gt;"Transferencia",P3451&lt;&gt;"Pago tarjeta")),"",IFERROR(IF(INDEX(ctaVinc,MATCH(K3451,ctaNombre,0))&amp;""&lt;&gt;"",INDEX(ctaVinc,MATCH(K3451,ctaNombre,0))&amp;"",K3451),K3451))</f>
        <v/>
      </c>
      <c r="AD3451" s="52">
        <f>IF(AB3451="","",IFERROR(INDEX(ctaTipo,MATCH(AB3451,ctaNombre,0))&amp;"",""))</f>
        <v/>
      </c>
      <c r="AE3451" s="52">
        <f>IF(AC3451="","",IFERROR(INDEX(ctaTipo,MATCH(AC3451,ctaNombre,0))&amp;"",""))</f>
        <v/>
      </c>
      <c r="AF3451" s="53">
        <f>IF(OR(P3451="",AB3451=""),"",IF(OR(P3451="Gasto",P3451="Transferencia",P3451="Pago tarjeta"),-1,1)*IF(IFERROR(INDEX(ctaMoneda,MATCH(AB3451,ctaNombre,0))&amp;"","DOP")="USD",T3451,S3451))</f>
        <v/>
      </c>
      <c r="AG3451" s="53">
        <f>IF(AC3451="","",IF(IFERROR(INDEX(ctaMoneda,MATCH(AC3451,ctaNombre,0))&amp;"","DOP")="USD",T3451,S3451))</f>
        <v/>
      </c>
      <c r="AH3451" s="53">
        <f>IF(P3451="","",IF(AND(AD3451&lt;&gt;"",COUNTIFS(tcTipo,AD3451,tcLiq,"Sí")&gt;0),IF(OR(P3451="Gasto",P3451="Transferencia",P3451="Pago tarjeta"),-1,1)*S3451,0)+IF(AND(AE3451&lt;&gt;"",COUNTIFS(tcTipo,AE3451,tcLiq,"Sí")&gt;0),S3451,0))</f>
        <v/>
      </c>
      <c r="AI3451" s="52">
        <f>IF(OR(L3451="",P3451=""),"",IF(COUNTIFS(L$6:L3451,L3451,P$6:P3451,"?*")=1,MAX(AI$5:AI3450)+1,""))</f>
        <v/>
      </c>
    </row>
    <row r="3452">
      <c r="B3452" s="47" t="n"/>
      <c r="C3452" s="48" t="n"/>
      <c r="D3452" s="48" t="n"/>
      <c r="E3452" s="48" t="n"/>
      <c r="F3452" s="48" t="n"/>
      <c r="G3452" s="49" t="n"/>
      <c r="H3452" s="48" t="n"/>
      <c r="I3452" s="50" t="n"/>
      <c r="J3452" s="48" t="n"/>
      <c r="K3452" s="48" t="n"/>
      <c r="L3452" s="48" t="n"/>
      <c r="M3452" s="48" t="n"/>
      <c r="N3452" s="48" t="n"/>
      <c r="O3452" s="51">
        <f>IF(AND(B3452="",G3452="",C3452="",D3452="",J3452=""),"",IF(B3452="","⚠ Falta fecha",IF(G3452="","⚠ Falta monto",IF(Q3452="","⚠ Falta cuenta",IF(ISNA(MATCH(Q3452,ctaNombre,0)),"⚠ Cuenta no registrada",IF(AND(OR(P3452="Gasto",P3452="Reembolso"),D3452=""),"⚠ Falta categoría",IF(AND(D3452&lt;&gt;"",E3452&lt;&gt;"",ISNA(MATCH(D3452&amp;"|"&amp;E3452,catClave,0))),"⚠ Subcategoría no corresponde",IF(AND(OR(P3452="Transferencia",P3452="Pago tarjeta"),K3452=""),"⚠ Falta cuenta destino",IF(AND(K3452&lt;&gt;"",P3452&lt;&gt;"Transferencia",P3452&lt;&gt;"Pago tarjeta"),"⚠ Destino solo aplica a transferencias",IF(AND(K3452&lt;&gt;"",K3452=Q3452),"⚠ Origen igual a destino",IF(AND(K3452&lt;&gt;"",ISNA(MATCH(K3452,ctaNombre,0))),"⚠ Destino no registrado",IF(AND(P3452="Pago tarjeta",AE3452&lt;&gt;"Tarjeta de crédito"),"⚠ El destino debe ser tarjeta de crédito",IF(AND(P3452="Gasto",E3452="Depósitos y retiros"),"⚠ Usa tipo Transferencia",IF(AND(P3452="Resultado trading",AD3452&lt;&gt;"Cuenta de trading"),"⚠ Usa una cuenta de trading",IF(AND(G3452&lt;=0,P3452&lt;&gt;"Ajuste",P3452&lt;&gt;"Resultado trading"),"⚠ El monto debe ser positivo","✓")))))))))))))))</f>
        <v/>
      </c>
      <c r="P3452" s="52">
        <f>IF(OR(B3452="",G3452=""),"",IF(C3452="","Gasto",C3452))</f>
        <v/>
      </c>
      <c r="Q3452" s="52">
        <f>IF(P3452="","",IF(J3452&lt;&gt;"",J3452,CuentaPred&amp;""))</f>
        <v/>
      </c>
      <c r="R3452" s="52">
        <f>IF(P3452="","",IF(ISNUMBER(I3452),I3452,TasaUSD))</f>
        <v/>
      </c>
      <c r="S3452" s="53">
        <f>IF(P3452="","",IF(H3452="USD",G3452*R3452,G3452))</f>
        <v/>
      </c>
      <c r="T3452" s="53">
        <f>IF(P3452="","",IF(H3452="USD",G3452,IF(R3452&gt;0,G3452/R3452,0)))</f>
        <v/>
      </c>
      <c r="U3452" s="53">
        <f>IF(P3452="","",IF(P3452="Gasto",S3452,IF(P3452="Reembolso",-S3452,0)))</f>
        <v/>
      </c>
      <c r="V3452" s="53">
        <f>IF(P3452="","",IF(P3452="Ingreso",S3452,0))</f>
        <v/>
      </c>
      <c r="W3452" s="53">
        <f>IF(P3452="","",IF(P3452="Resultado trading",S3452,0))</f>
        <v/>
      </c>
      <c r="X3452" s="52">
        <f>IF(OR(P3452="Gasto",P3452="Reembolso"),IF(M3452&lt;&gt;"",M3452,IFERROR(INDEX(catClasif,MATCH(D3452&amp;"|"&amp;E3452,catClave,0))&amp;"","Variable")),"")</f>
        <v/>
      </c>
      <c r="Y3452" s="52">
        <f>IF(P3452="","",IFERROR(INDEX(catGrupo,MATCH(D3452&amp;"|"&amp;E3452,catClave,0))&amp;"",""))</f>
        <v/>
      </c>
      <c r="Z3452" s="52">
        <f>IF(P3452="","",WEEKDAY(B3452,2))</f>
        <v/>
      </c>
      <c r="AA3452" s="52">
        <f>IF(P3452="","",IF(AND(P3452="Gasto",X3452="Variable",D3452&lt;&gt;catTrading,S3452&gt;0,S3452&lt;=Umbral),1,0))</f>
        <v/>
      </c>
      <c r="AB3452" s="52">
        <f>IF(OR(P3452="",Q3452=""),"",IFERROR(IF(INDEX(ctaVinc,MATCH(Q3452,ctaNombre,0))&amp;""&lt;&gt;"",INDEX(ctaVinc,MATCH(Q3452,ctaNombre,0))&amp;"",Q3452),Q3452))</f>
        <v/>
      </c>
      <c r="AC3452" s="52">
        <f>IF(OR(K3452="",AND(P3452&lt;&gt;"Transferencia",P3452&lt;&gt;"Pago tarjeta")),"",IFERROR(IF(INDEX(ctaVinc,MATCH(K3452,ctaNombre,0))&amp;""&lt;&gt;"",INDEX(ctaVinc,MATCH(K3452,ctaNombre,0))&amp;"",K3452),K3452))</f>
        <v/>
      </c>
      <c r="AD3452" s="52">
        <f>IF(AB3452="","",IFERROR(INDEX(ctaTipo,MATCH(AB3452,ctaNombre,0))&amp;"",""))</f>
        <v/>
      </c>
      <c r="AE3452" s="52">
        <f>IF(AC3452="","",IFERROR(INDEX(ctaTipo,MATCH(AC3452,ctaNombre,0))&amp;"",""))</f>
        <v/>
      </c>
      <c r="AF3452" s="53">
        <f>IF(OR(P3452="",AB3452=""),"",IF(OR(P3452="Gasto",P3452="Transferencia",P3452="Pago tarjeta"),-1,1)*IF(IFERROR(INDEX(ctaMoneda,MATCH(AB3452,ctaNombre,0))&amp;"","DOP")="USD",T3452,S3452))</f>
        <v/>
      </c>
      <c r="AG3452" s="53">
        <f>IF(AC3452="","",IF(IFERROR(INDEX(ctaMoneda,MATCH(AC3452,ctaNombre,0))&amp;"","DOP")="USD",T3452,S3452))</f>
        <v/>
      </c>
      <c r="AH3452" s="53">
        <f>IF(P3452="","",IF(AND(AD3452&lt;&gt;"",COUNTIFS(tcTipo,AD3452,tcLiq,"Sí")&gt;0),IF(OR(P3452="Gasto",P3452="Transferencia",P3452="Pago tarjeta"),-1,1)*S3452,0)+IF(AND(AE3452&lt;&gt;"",COUNTIFS(tcTipo,AE3452,tcLiq,"Sí")&gt;0),S3452,0))</f>
        <v/>
      </c>
      <c r="AI3452" s="52">
        <f>IF(OR(L3452="",P3452=""),"",IF(COUNTIFS(L$6:L3452,L3452,P$6:P3452,"?*")=1,MAX(AI$5:AI3451)+1,""))</f>
        <v/>
      </c>
    </row>
    <row r="3453">
      <c r="B3453" s="47" t="n"/>
      <c r="C3453" s="48" t="n"/>
      <c r="D3453" s="48" t="n"/>
      <c r="E3453" s="48" t="n"/>
      <c r="F3453" s="48" t="n"/>
      <c r="G3453" s="49" t="n"/>
      <c r="H3453" s="48" t="n"/>
      <c r="I3453" s="50" t="n"/>
      <c r="J3453" s="48" t="n"/>
      <c r="K3453" s="48" t="n"/>
      <c r="L3453" s="48" t="n"/>
      <c r="M3453" s="48" t="n"/>
      <c r="N3453" s="48" t="n"/>
      <c r="O3453" s="51">
        <f>IF(AND(B3453="",G3453="",C3453="",D3453="",J3453=""),"",IF(B3453="","⚠ Falta fecha",IF(G3453="","⚠ Falta monto",IF(Q3453="","⚠ Falta cuenta",IF(ISNA(MATCH(Q3453,ctaNombre,0)),"⚠ Cuenta no registrada",IF(AND(OR(P3453="Gasto",P3453="Reembolso"),D3453=""),"⚠ Falta categoría",IF(AND(D3453&lt;&gt;"",E3453&lt;&gt;"",ISNA(MATCH(D3453&amp;"|"&amp;E3453,catClave,0))),"⚠ Subcategoría no corresponde",IF(AND(OR(P3453="Transferencia",P3453="Pago tarjeta"),K3453=""),"⚠ Falta cuenta destino",IF(AND(K3453&lt;&gt;"",P3453&lt;&gt;"Transferencia",P3453&lt;&gt;"Pago tarjeta"),"⚠ Destino solo aplica a transferencias",IF(AND(K3453&lt;&gt;"",K3453=Q3453),"⚠ Origen igual a destino",IF(AND(K3453&lt;&gt;"",ISNA(MATCH(K3453,ctaNombre,0))),"⚠ Destino no registrado",IF(AND(P3453="Pago tarjeta",AE3453&lt;&gt;"Tarjeta de crédito"),"⚠ El destino debe ser tarjeta de crédito",IF(AND(P3453="Gasto",E3453="Depósitos y retiros"),"⚠ Usa tipo Transferencia",IF(AND(P3453="Resultado trading",AD3453&lt;&gt;"Cuenta de trading"),"⚠ Usa una cuenta de trading",IF(AND(G3453&lt;=0,P3453&lt;&gt;"Ajuste",P3453&lt;&gt;"Resultado trading"),"⚠ El monto debe ser positivo","✓")))))))))))))))</f>
        <v/>
      </c>
      <c r="P3453" s="52">
        <f>IF(OR(B3453="",G3453=""),"",IF(C3453="","Gasto",C3453))</f>
        <v/>
      </c>
      <c r="Q3453" s="52">
        <f>IF(P3453="","",IF(J3453&lt;&gt;"",J3453,CuentaPred&amp;""))</f>
        <v/>
      </c>
      <c r="R3453" s="52">
        <f>IF(P3453="","",IF(ISNUMBER(I3453),I3453,TasaUSD))</f>
        <v/>
      </c>
      <c r="S3453" s="53">
        <f>IF(P3453="","",IF(H3453="USD",G3453*R3453,G3453))</f>
        <v/>
      </c>
      <c r="T3453" s="53">
        <f>IF(P3453="","",IF(H3453="USD",G3453,IF(R3453&gt;0,G3453/R3453,0)))</f>
        <v/>
      </c>
      <c r="U3453" s="53">
        <f>IF(P3453="","",IF(P3453="Gasto",S3453,IF(P3453="Reembolso",-S3453,0)))</f>
        <v/>
      </c>
      <c r="V3453" s="53">
        <f>IF(P3453="","",IF(P3453="Ingreso",S3453,0))</f>
        <v/>
      </c>
      <c r="W3453" s="53">
        <f>IF(P3453="","",IF(P3453="Resultado trading",S3453,0))</f>
        <v/>
      </c>
      <c r="X3453" s="52">
        <f>IF(OR(P3453="Gasto",P3453="Reembolso"),IF(M3453&lt;&gt;"",M3453,IFERROR(INDEX(catClasif,MATCH(D3453&amp;"|"&amp;E3453,catClave,0))&amp;"","Variable")),"")</f>
        <v/>
      </c>
      <c r="Y3453" s="52">
        <f>IF(P3453="","",IFERROR(INDEX(catGrupo,MATCH(D3453&amp;"|"&amp;E3453,catClave,0))&amp;"",""))</f>
        <v/>
      </c>
      <c r="Z3453" s="52">
        <f>IF(P3453="","",WEEKDAY(B3453,2))</f>
        <v/>
      </c>
      <c r="AA3453" s="52">
        <f>IF(P3453="","",IF(AND(P3453="Gasto",X3453="Variable",D3453&lt;&gt;catTrading,S3453&gt;0,S3453&lt;=Umbral),1,0))</f>
        <v/>
      </c>
      <c r="AB3453" s="52">
        <f>IF(OR(P3453="",Q3453=""),"",IFERROR(IF(INDEX(ctaVinc,MATCH(Q3453,ctaNombre,0))&amp;""&lt;&gt;"",INDEX(ctaVinc,MATCH(Q3453,ctaNombre,0))&amp;"",Q3453),Q3453))</f>
        <v/>
      </c>
      <c r="AC3453" s="52">
        <f>IF(OR(K3453="",AND(P3453&lt;&gt;"Transferencia",P3453&lt;&gt;"Pago tarjeta")),"",IFERROR(IF(INDEX(ctaVinc,MATCH(K3453,ctaNombre,0))&amp;""&lt;&gt;"",INDEX(ctaVinc,MATCH(K3453,ctaNombre,0))&amp;"",K3453),K3453))</f>
        <v/>
      </c>
      <c r="AD3453" s="52">
        <f>IF(AB3453="","",IFERROR(INDEX(ctaTipo,MATCH(AB3453,ctaNombre,0))&amp;"",""))</f>
        <v/>
      </c>
      <c r="AE3453" s="52">
        <f>IF(AC3453="","",IFERROR(INDEX(ctaTipo,MATCH(AC3453,ctaNombre,0))&amp;"",""))</f>
        <v/>
      </c>
      <c r="AF3453" s="53">
        <f>IF(OR(P3453="",AB3453=""),"",IF(OR(P3453="Gasto",P3453="Transferencia",P3453="Pago tarjeta"),-1,1)*IF(IFERROR(INDEX(ctaMoneda,MATCH(AB3453,ctaNombre,0))&amp;"","DOP")="USD",T3453,S3453))</f>
        <v/>
      </c>
      <c r="AG3453" s="53">
        <f>IF(AC3453="","",IF(IFERROR(INDEX(ctaMoneda,MATCH(AC3453,ctaNombre,0))&amp;"","DOP")="USD",T3453,S3453))</f>
        <v/>
      </c>
      <c r="AH3453" s="53">
        <f>IF(P3453="","",IF(AND(AD3453&lt;&gt;"",COUNTIFS(tcTipo,AD3453,tcLiq,"Sí")&gt;0),IF(OR(P3453="Gasto",P3453="Transferencia",P3453="Pago tarjeta"),-1,1)*S3453,0)+IF(AND(AE3453&lt;&gt;"",COUNTIFS(tcTipo,AE3453,tcLiq,"Sí")&gt;0),S3453,0))</f>
        <v/>
      </c>
      <c r="AI3453" s="52">
        <f>IF(OR(L3453="",P3453=""),"",IF(COUNTIFS(L$6:L3453,L3453,P$6:P3453,"?*")=1,MAX(AI$5:AI3452)+1,""))</f>
        <v/>
      </c>
    </row>
    <row r="3454">
      <c r="B3454" s="47" t="n"/>
      <c r="C3454" s="48" t="n"/>
      <c r="D3454" s="48" t="n"/>
      <c r="E3454" s="48" t="n"/>
      <c r="F3454" s="48" t="n"/>
      <c r="G3454" s="49" t="n"/>
      <c r="H3454" s="48" t="n"/>
      <c r="I3454" s="50" t="n"/>
      <c r="J3454" s="48" t="n"/>
      <c r="K3454" s="48" t="n"/>
      <c r="L3454" s="48" t="n"/>
      <c r="M3454" s="48" t="n"/>
      <c r="N3454" s="48" t="n"/>
      <c r="O3454" s="51">
        <f>IF(AND(B3454="",G3454="",C3454="",D3454="",J3454=""),"",IF(B3454="","⚠ Falta fecha",IF(G3454="","⚠ Falta monto",IF(Q3454="","⚠ Falta cuenta",IF(ISNA(MATCH(Q3454,ctaNombre,0)),"⚠ Cuenta no registrada",IF(AND(OR(P3454="Gasto",P3454="Reembolso"),D3454=""),"⚠ Falta categoría",IF(AND(D3454&lt;&gt;"",E3454&lt;&gt;"",ISNA(MATCH(D3454&amp;"|"&amp;E3454,catClave,0))),"⚠ Subcategoría no corresponde",IF(AND(OR(P3454="Transferencia",P3454="Pago tarjeta"),K3454=""),"⚠ Falta cuenta destino",IF(AND(K3454&lt;&gt;"",P3454&lt;&gt;"Transferencia",P3454&lt;&gt;"Pago tarjeta"),"⚠ Destino solo aplica a transferencias",IF(AND(K3454&lt;&gt;"",K3454=Q3454),"⚠ Origen igual a destino",IF(AND(K3454&lt;&gt;"",ISNA(MATCH(K3454,ctaNombre,0))),"⚠ Destino no registrado",IF(AND(P3454="Pago tarjeta",AE3454&lt;&gt;"Tarjeta de crédito"),"⚠ El destino debe ser tarjeta de crédito",IF(AND(P3454="Gasto",E3454="Depósitos y retiros"),"⚠ Usa tipo Transferencia",IF(AND(P3454="Resultado trading",AD3454&lt;&gt;"Cuenta de trading"),"⚠ Usa una cuenta de trading",IF(AND(G3454&lt;=0,P3454&lt;&gt;"Ajuste",P3454&lt;&gt;"Resultado trading"),"⚠ El monto debe ser positivo","✓")))))))))))))))</f>
        <v/>
      </c>
      <c r="P3454" s="52">
        <f>IF(OR(B3454="",G3454=""),"",IF(C3454="","Gasto",C3454))</f>
        <v/>
      </c>
      <c r="Q3454" s="52">
        <f>IF(P3454="","",IF(J3454&lt;&gt;"",J3454,CuentaPred&amp;""))</f>
        <v/>
      </c>
      <c r="R3454" s="52">
        <f>IF(P3454="","",IF(ISNUMBER(I3454),I3454,TasaUSD))</f>
        <v/>
      </c>
      <c r="S3454" s="53">
        <f>IF(P3454="","",IF(H3454="USD",G3454*R3454,G3454))</f>
        <v/>
      </c>
      <c r="T3454" s="53">
        <f>IF(P3454="","",IF(H3454="USD",G3454,IF(R3454&gt;0,G3454/R3454,0)))</f>
        <v/>
      </c>
      <c r="U3454" s="53">
        <f>IF(P3454="","",IF(P3454="Gasto",S3454,IF(P3454="Reembolso",-S3454,0)))</f>
        <v/>
      </c>
      <c r="V3454" s="53">
        <f>IF(P3454="","",IF(P3454="Ingreso",S3454,0))</f>
        <v/>
      </c>
      <c r="W3454" s="53">
        <f>IF(P3454="","",IF(P3454="Resultado trading",S3454,0))</f>
        <v/>
      </c>
      <c r="X3454" s="52">
        <f>IF(OR(P3454="Gasto",P3454="Reembolso"),IF(M3454&lt;&gt;"",M3454,IFERROR(INDEX(catClasif,MATCH(D3454&amp;"|"&amp;E3454,catClave,0))&amp;"","Variable")),"")</f>
        <v/>
      </c>
      <c r="Y3454" s="52">
        <f>IF(P3454="","",IFERROR(INDEX(catGrupo,MATCH(D3454&amp;"|"&amp;E3454,catClave,0))&amp;"",""))</f>
        <v/>
      </c>
      <c r="Z3454" s="52">
        <f>IF(P3454="","",WEEKDAY(B3454,2))</f>
        <v/>
      </c>
      <c r="AA3454" s="52">
        <f>IF(P3454="","",IF(AND(P3454="Gasto",X3454="Variable",D3454&lt;&gt;catTrading,S3454&gt;0,S3454&lt;=Umbral),1,0))</f>
        <v/>
      </c>
      <c r="AB3454" s="52">
        <f>IF(OR(P3454="",Q3454=""),"",IFERROR(IF(INDEX(ctaVinc,MATCH(Q3454,ctaNombre,0))&amp;""&lt;&gt;"",INDEX(ctaVinc,MATCH(Q3454,ctaNombre,0))&amp;"",Q3454),Q3454))</f>
        <v/>
      </c>
      <c r="AC3454" s="52">
        <f>IF(OR(K3454="",AND(P3454&lt;&gt;"Transferencia",P3454&lt;&gt;"Pago tarjeta")),"",IFERROR(IF(INDEX(ctaVinc,MATCH(K3454,ctaNombre,0))&amp;""&lt;&gt;"",INDEX(ctaVinc,MATCH(K3454,ctaNombre,0))&amp;"",K3454),K3454))</f>
        <v/>
      </c>
      <c r="AD3454" s="52">
        <f>IF(AB3454="","",IFERROR(INDEX(ctaTipo,MATCH(AB3454,ctaNombre,0))&amp;"",""))</f>
        <v/>
      </c>
      <c r="AE3454" s="52">
        <f>IF(AC3454="","",IFERROR(INDEX(ctaTipo,MATCH(AC3454,ctaNombre,0))&amp;"",""))</f>
        <v/>
      </c>
      <c r="AF3454" s="53">
        <f>IF(OR(P3454="",AB3454=""),"",IF(OR(P3454="Gasto",P3454="Transferencia",P3454="Pago tarjeta"),-1,1)*IF(IFERROR(INDEX(ctaMoneda,MATCH(AB3454,ctaNombre,0))&amp;"","DOP")="USD",T3454,S3454))</f>
        <v/>
      </c>
      <c r="AG3454" s="53">
        <f>IF(AC3454="","",IF(IFERROR(INDEX(ctaMoneda,MATCH(AC3454,ctaNombre,0))&amp;"","DOP")="USD",T3454,S3454))</f>
        <v/>
      </c>
      <c r="AH3454" s="53">
        <f>IF(P3454="","",IF(AND(AD3454&lt;&gt;"",COUNTIFS(tcTipo,AD3454,tcLiq,"Sí")&gt;0),IF(OR(P3454="Gasto",P3454="Transferencia",P3454="Pago tarjeta"),-1,1)*S3454,0)+IF(AND(AE3454&lt;&gt;"",COUNTIFS(tcTipo,AE3454,tcLiq,"Sí")&gt;0),S3454,0))</f>
        <v/>
      </c>
      <c r="AI3454" s="52">
        <f>IF(OR(L3454="",P3454=""),"",IF(COUNTIFS(L$6:L3454,L3454,P$6:P3454,"?*")=1,MAX(AI$5:AI3453)+1,""))</f>
        <v/>
      </c>
    </row>
    <row r="3455">
      <c r="B3455" s="47" t="n"/>
      <c r="C3455" s="48" t="n"/>
      <c r="D3455" s="48" t="n"/>
      <c r="E3455" s="48" t="n"/>
      <c r="F3455" s="48" t="n"/>
      <c r="G3455" s="49" t="n"/>
      <c r="H3455" s="48" t="n"/>
      <c r="I3455" s="50" t="n"/>
      <c r="J3455" s="48" t="n"/>
      <c r="K3455" s="48" t="n"/>
      <c r="L3455" s="48" t="n"/>
      <c r="M3455" s="48" t="n"/>
      <c r="N3455" s="48" t="n"/>
      <c r="O3455" s="51">
        <f>IF(AND(B3455="",G3455="",C3455="",D3455="",J3455=""),"",IF(B3455="","⚠ Falta fecha",IF(G3455="","⚠ Falta monto",IF(Q3455="","⚠ Falta cuenta",IF(ISNA(MATCH(Q3455,ctaNombre,0)),"⚠ Cuenta no registrada",IF(AND(OR(P3455="Gasto",P3455="Reembolso"),D3455=""),"⚠ Falta categoría",IF(AND(D3455&lt;&gt;"",E3455&lt;&gt;"",ISNA(MATCH(D3455&amp;"|"&amp;E3455,catClave,0))),"⚠ Subcategoría no corresponde",IF(AND(OR(P3455="Transferencia",P3455="Pago tarjeta"),K3455=""),"⚠ Falta cuenta destino",IF(AND(K3455&lt;&gt;"",P3455&lt;&gt;"Transferencia",P3455&lt;&gt;"Pago tarjeta"),"⚠ Destino solo aplica a transferencias",IF(AND(K3455&lt;&gt;"",K3455=Q3455),"⚠ Origen igual a destino",IF(AND(K3455&lt;&gt;"",ISNA(MATCH(K3455,ctaNombre,0))),"⚠ Destino no registrado",IF(AND(P3455="Pago tarjeta",AE3455&lt;&gt;"Tarjeta de crédito"),"⚠ El destino debe ser tarjeta de crédito",IF(AND(P3455="Gasto",E3455="Depósitos y retiros"),"⚠ Usa tipo Transferencia",IF(AND(P3455="Resultado trading",AD3455&lt;&gt;"Cuenta de trading"),"⚠ Usa una cuenta de trading",IF(AND(G3455&lt;=0,P3455&lt;&gt;"Ajuste",P3455&lt;&gt;"Resultado trading"),"⚠ El monto debe ser positivo","✓")))))))))))))))</f>
        <v/>
      </c>
      <c r="P3455" s="52">
        <f>IF(OR(B3455="",G3455=""),"",IF(C3455="","Gasto",C3455))</f>
        <v/>
      </c>
      <c r="Q3455" s="52">
        <f>IF(P3455="","",IF(J3455&lt;&gt;"",J3455,CuentaPred&amp;""))</f>
        <v/>
      </c>
      <c r="R3455" s="52">
        <f>IF(P3455="","",IF(ISNUMBER(I3455),I3455,TasaUSD))</f>
        <v/>
      </c>
      <c r="S3455" s="53">
        <f>IF(P3455="","",IF(H3455="USD",G3455*R3455,G3455))</f>
        <v/>
      </c>
      <c r="T3455" s="53">
        <f>IF(P3455="","",IF(H3455="USD",G3455,IF(R3455&gt;0,G3455/R3455,0)))</f>
        <v/>
      </c>
      <c r="U3455" s="53">
        <f>IF(P3455="","",IF(P3455="Gasto",S3455,IF(P3455="Reembolso",-S3455,0)))</f>
        <v/>
      </c>
      <c r="V3455" s="53">
        <f>IF(P3455="","",IF(P3455="Ingreso",S3455,0))</f>
        <v/>
      </c>
      <c r="W3455" s="53">
        <f>IF(P3455="","",IF(P3455="Resultado trading",S3455,0))</f>
        <v/>
      </c>
      <c r="X3455" s="52">
        <f>IF(OR(P3455="Gasto",P3455="Reembolso"),IF(M3455&lt;&gt;"",M3455,IFERROR(INDEX(catClasif,MATCH(D3455&amp;"|"&amp;E3455,catClave,0))&amp;"","Variable")),"")</f>
        <v/>
      </c>
      <c r="Y3455" s="52">
        <f>IF(P3455="","",IFERROR(INDEX(catGrupo,MATCH(D3455&amp;"|"&amp;E3455,catClave,0))&amp;"",""))</f>
        <v/>
      </c>
      <c r="Z3455" s="52">
        <f>IF(P3455="","",WEEKDAY(B3455,2))</f>
        <v/>
      </c>
      <c r="AA3455" s="52">
        <f>IF(P3455="","",IF(AND(P3455="Gasto",X3455="Variable",D3455&lt;&gt;catTrading,S3455&gt;0,S3455&lt;=Umbral),1,0))</f>
        <v/>
      </c>
      <c r="AB3455" s="52">
        <f>IF(OR(P3455="",Q3455=""),"",IFERROR(IF(INDEX(ctaVinc,MATCH(Q3455,ctaNombre,0))&amp;""&lt;&gt;"",INDEX(ctaVinc,MATCH(Q3455,ctaNombre,0))&amp;"",Q3455),Q3455))</f>
        <v/>
      </c>
      <c r="AC3455" s="52">
        <f>IF(OR(K3455="",AND(P3455&lt;&gt;"Transferencia",P3455&lt;&gt;"Pago tarjeta")),"",IFERROR(IF(INDEX(ctaVinc,MATCH(K3455,ctaNombre,0))&amp;""&lt;&gt;"",INDEX(ctaVinc,MATCH(K3455,ctaNombre,0))&amp;"",K3455),K3455))</f>
        <v/>
      </c>
      <c r="AD3455" s="52">
        <f>IF(AB3455="","",IFERROR(INDEX(ctaTipo,MATCH(AB3455,ctaNombre,0))&amp;"",""))</f>
        <v/>
      </c>
      <c r="AE3455" s="52">
        <f>IF(AC3455="","",IFERROR(INDEX(ctaTipo,MATCH(AC3455,ctaNombre,0))&amp;"",""))</f>
        <v/>
      </c>
      <c r="AF3455" s="53">
        <f>IF(OR(P3455="",AB3455=""),"",IF(OR(P3455="Gasto",P3455="Transferencia",P3455="Pago tarjeta"),-1,1)*IF(IFERROR(INDEX(ctaMoneda,MATCH(AB3455,ctaNombre,0))&amp;"","DOP")="USD",T3455,S3455))</f>
        <v/>
      </c>
      <c r="AG3455" s="53">
        <f>IF(AC3455="","",IF(IFERROR(INDEX(ctaMoneda,MATCH(AC3455,ctaNombre,0))&amp;"","DOP")="USD",T3455,S3455))</f>
        <v/>
      </c>
      <c r="AH3455" s="53">
        <f>IF(P3455="","",IF(AND(AD3455&lt;&gt;"",COUNTIFS(tcTipo,AD3455,tcLiq,"Sí")&gt;0),IF(OR(P3455="Gasto",P3455="Transferencia",P3455="Pago tarjeta"),-1,1)*S3455,0)+IF(AND(AE3455&lt;&gt;"",COUNTIFS(tcTipo,AE3455,tcLiq,"Sí")&gt;0),S3455,0))</f>
        <v/>
      </c>
      <c r="AI3455" s="52">
        <f>IF(OR(L3455="",P3455=""),"",IF(COUNTIFS(L$6:L3455,L3455,P$6:P3455,"?*")=1,MAX(AI$5:AI3454)+1,""))</f>
        <v/>
      </c>
    </row>
    <row r="3456">
      <c r="B3456" s="47" t="n"/>
      <c r="C3456" s="48" t="n"/>
      <c r="D3456" s="48" t="n"/>
      <c r="E3456" s="48" t="n"/>
      <c r="F3456" s="48" t="n"/>
      <c r="G3456" s="49" t="n"/>
      <c r="H3456" s="48" t="n"/>
      <c r="I3456" s="50" t="n"/>
      <c r="J3456" s="48" t="n"/>
      <c r="K3456" s="48" t="n"/>
      <c r="L3456" s="48" t="n"/>
      <c r="M3456" s="48" t="n"/>
      <c r="N3456" s="48" t="n"/>
      <c r="O3456" s="51">
        <f>IF(AND(B3456="",G3456="",C3456="",D3456="",J3456=""),"",IF(B3456="","⚠ Falta fecha",IF(G3456="","⚠ Falta monto",IF(Q3456="","⚠ Falta cuenta",IF(ISNA(MATCH(Q3456,ctaNombre,0)),"⚠ Cuenta no registrada",IF(AND(OR(P3456="Gasto",P3456="Reembolso"),D3456=""),"⚠ Falta categoría",IF(AND(D3456&lt;&gt;"",E3456&lt;&gt;"",ISNA(MATCH(D3456&amp;"|"&amp;E3456,catClave,0))),"⚠ Subcategoría no corresponde",IF(AND(OR(P3456="Transferencia",P3456="Pago tarjeta"),K3456=""),"⚠ Falta cuenta destino",IF(AND(K3456&lt;&gt;"",P3456&lt;&gt;"Transferencia",P3456&lt;&gt;"Pago tarjeta"),"⚠ Destino solo aplica a transferencias",IF(AND(K3456&lt;&gt;"",K3456=Q3456),"⚠ Origen igual a destino",IF(AND(K3456&lt;&gt;"",ISNA(MATCH(K3456,ctaNombre,0))),"⚠ Destino no registrado",IF(AND(P3456="Pago tarjeta",AE3456&lt;&gt;"Tarjeta de crédito"),"⚠ El destino debe ser tarjeta de crédito",IF(AND(P3456="Gasto",E3456="Depósitos y retiros"),"⚠ Usa tipo Transferencia",IF(AND(P3456="Resultado trading",AD3456&lt;&gt;"Cuenta de trading"),"⚠ Usa una cuenta de trading",IF(AND(G3456&lt;=0,P3456&lt;&gt;"Ajuste",P3456&lt;&gt;"Resultado trading"),"⚠ El monto debe ser positivo","✓")))))))))))))))</f>
        <v/>
      </c>
      <c r="P3456" s="52">
        <f>IF(OR(B3456="",G3456=""),"",IF(C3456="","Gasto",C3456))</f>
        <v/>
      </c>
      <c r="Q3456" s="52">
        <f>IF(P3456="","",IF(J3456&lt;&gt;"",J3456,CuentaPred&amp;""))</f>
        <v/>
      </c>
      <c r="R3456" s="52">
        <f>IF(P3456="","",IF(ISNUMBER(I3456),I3456,TasaUSD))</f>
        <v/>
      </c>
      <c r="S3456" s="53">
        <f>IF(P3456="","",IF(H3456="USD",G3456*R3456,G3456))</f>
        <v/>
      </c>
      <c r="T3456" s="53">
        <f>IF(P3456="","",IF(H3456="USD",G3456,IF(R3456&gt;0,G3456/R3456,0)))</f>
        <v/>
      </c>
      <c r="U3456" s="53">
        <f>IF(P3456="","",IF(P3456="Gasto",S3456,IF(P3456="Reembolso",-S3456,0)))</f>
        <v/>
      </c>
      <c r="V3456" s="53">
        <f>IF(P3456="","",IF(P3456="Ingreso",S3456,0))</f>
        <v/>
      </c>
      <c r="W3456" s="53">
        <f>IF(P3456="","",IF(P3456="Resultado trading",S3456,0))</f>
        <v/>
      </c>
      <c r="X3456" s="52">
        <f>IF(OR(P3456="Gasto",P3456="Reembolso"),IF(M3456&lt;&gt;"",M3456,IFERROR(INDEX(catClasif,MATCH(D3456&amp;"|"&amp;E3456,catClave,0))&amp;"","Variable")),"")</f>
        <v/>
      </c>
      <c r="Y3456" s="52">
        <f>IF(P3456="","",IFERROR(INDEX(catGrupo,MATCH(D3456&amp;"|"&amp;E3456,catClave,0))&amp;"",""))</f>
        <v/>
      </c>
      <c r="Z3456" s="52">
        <f>IF(P3456="","",WEEKDAY(B3456,2))</f>
        <v/>
      </c>
      <c r="AA3456" s="52">
        <f>IF(P3456="","",IF(AND(P3456="Gasto",X3456="Variable",D3456&lt;&gt;catTrading,S3456&gt;0,S3456&lt;=Umbral),1,0))</f>
        <v/>
      </c>
      <c r="AB3456" s="52">
        <f>IF(OR(P3456="",Q3456=""),"",IFERROR(IF(INDEX(ctaVinc,MATCH(Q3456,ctaNombre,0))&amp;""&lt;&gt;"",INDEX(ctaVinc,MATCH(Q3456,ctaNombre,0))&amp;"",Q3456),Q3456))</f>
        <v/>
      </c>
      <c r="AC3456" s="52">
        <f>IF(OR(K3456="",AND(P3456&lt;&gt;"Transferencia",P3456&lt;&gt;"Pago tarjeta")),"",IFERROR(IF(INDEX(ctaVinc,MATCH(K3456,ctaNombre,0))&amp;""&lt;&gt;"",INDEX(ctaVinc,MATCH(K3456,ctaNombre,0))&amp;"",K3456),K3456))</f>
        <v/>
      </c>
      <c r="AD3456" s="52">
        <f>IF(AB3456="","",IFERROR(INDEX(ctaTipo,MATCH(AB3456,ctaNombre,0))&amp;"",""))</f>
        <v/>
      </c>
      <c r="AE3456" s="52">
        <f>IF(AC3456="","",IFERROR(INDEX(ctaTipo,MATCH(AC3456,ctaNombre,0))&amp;"",""))</f>
        <v/>
      </c>
      <c r="AF3456" s="53">
        <f>IF(OR(P3456="",AB3456=""),"",IF(OR(P3456="Gasto",P3456="Transferencia",P3456="Pago tarjeta"),-1,1)*IF(IFERROR(INDEX(ctaMoneda,MATCH(AB3456,ctaNombre,0))&amp;"","DOP")="USD",T3456,S3456))</f>
        <v/>
      </c>
      <c r="AG3456" s="53">
        <f>IF(AC3456="","",IF(IFERROR(INDEX(ctaMoneda,MATCH(AC3456,ctaNombre,0))&amp;"","DOP")="USD",T3456,S3456))</f>
        <v/>
      </c>
      <c r="AH3456" s="53">
        <f>IF(P3456="","",IF(AND(AD3456&lt;&gt;"",COUNTIFS(tcTipo,AD3456,tcLiq,"Sí")&gt;0),IF(OR(P3456="Gasto",P3456="Transferencia",P3456="Pago tarjeta"),-1,1)*S3456,0)+IF(AND(AE3456&lt;&gt;"",COUNTIFS(tcTipo,AE3456,tcLiq,"Sí")&gt;0),S3456,0))</f>
        <v/>
      </c>
      <c r="AI3456" s="52">
        <f>IF(OR(L3456="",P3456=""),"",IF(COUNTIFS(L$6:L3456,L3456,P$6:P3456,"?*")=1,MAX(AI$5:AI3455)+1,""))</f>
        <v/>
      </c>
    </row>
    <row r="3457">
      <c r="B3457" s="47" t="n"/>
      <c r="C3457" s="48" t="n"/>
      <c r="D3457" s="48" t="n"/>
      <c r="E3457" s="48" t="n"/>
      <c r="F3457" s="48" t="n"/>
      <c r="G3457" s="49" t="n"/>
      <c r="H3457" s="48" t="n"/>
      <c r="I3457" s="50" t="n"/>
      <c r="J3457" s="48" t="n"/>
      <c r="K3457" s="48" t="n"/>
      <c r="L3457" s="48" t="n"/>
      <c r="M3457" s="48" t="n"/>
      <c r="N3457" s="48" t="n"/>
      <c r="O3457" s="51">
        <f>IF(AND(B3457="",G3457="",C3457="",D3457="",J3457=""),"",IF(B3457="","⚠ Falta fecha",IF(G3457="","⚠ Falta monto",IF(Q3457="","⚠ Falta cuenta",IF(ISNA(MATCH(Q3457,ctaNombre,0)),"⚠ Cuenta no registrada",IF(AND(OR(P3457="Gasto",P3457="Reembolso"),D3457=""),"⚠ Falta categoría",IF(AND(D3457&lt;&gt;"",E3457&lt;&gt;"",ISNA(MATCH(D3457&amp;"|"&amp;E3457,catClave,0))),"⚠ Subcategoría no corresponde",IF(AND(OR(P3457="Transferencia",P3457="Pago tarjeta"),K3457=""),"⚠ Falta cuenta destino",IF(AND(K3457&lt;&gt;"",P3457&lt;&gt;"Transferencia",P3457&lt;&gt;"Pago tarjeta"),"⚠ Destino solo aplica a transferencias",IF(AND(K3457&lt;&gt;"",K3457=Q3457),"⚠ Origen igual a destino",IF(AND(K3457&lt;&gt;"",ISNA(MATCH(K3457,ctaNombre,0))),"⚠ Destino no registrado",IF(AND(P3457="Pago tarjeta",AE3457&lt;&gt;"Tarjeta de crédito"),"⚠ El destino debe ser tarjeta de crédito",IF(AND(P3457="Gasto",E3457="Depósitos y retiros"),"⚠ Usa tipo Transferencia",IF(AND(P3457="Resultado trading",AD3457&lt;&gt;"Cuenta de trading"),"⚠ Usa una cuenta de trading",IF(AND(G3457&lt;=0,P3457&lt;&gt;"Ajuste",P3457&lt;&gt;"Resultado trading"),"⚠ El monto debe ser positivo","✓")))))))))))))))</f>
        <v/>
      </c>
      <c r="P3457" s="52">
        <f>IF(OR(B3457="",G3457=""),"",IF(C3457="","Gasto",C3457))</f>
        <v/>
      </c>
      <c r="Q3457" s="52">
        <f>IF(P3457="","",IF(J3457&lt;&gt;"",J3457,CuentaPred&amp;""))</f>
        <v/>
      </c>
      <c r="R3457" s="52">
        <f>IF(P3457="","",IF(ISNUMBER(I3457),I3457,TasaUSD))</f>
        <v/>
      </c>
      <c r="S3457" s="53">
        <f>IF(P3457="","",IF(H3457="USD",G3457*R3457,G3457))</f>
        <v/>
      </c>
      <c r="T3457" s="53">
        <f>IF(P3457="","",IF(H3457="USD",G3457,IF(R3457&gt;0,G3457/R3457,0)))</f>
        <v/>
      </c>
      <c r="U3457" s="53">
        <f>IF(P3457="","",IF(P3457="Gasto",S3457,IF(P3457="Reembolso",-S3457,0)))</f>
        <v/>
      </c>
      <c r="V3457" s="53">
        <f>IF(P3457="","",IF(P3457="Ingreso",S3457,0))</f>
        <v/>
      </c>
      <c r="W3457" s="53">
        <f>IF(P3457="","",IF(P3457="Resultado trading",S3457,0))</f>
        <v/>
      </c>
      <c r="X3457" s="52">
        <f>IF(OR(P3457="Gasto",P3457="Reembolso"),IF(M3457&lt;&gt;"",M3457,IFERROR(INDEX(catClasif,MATCH(D3457&amp;"|"&amp;E3457,catClave,0))&amp;"","Variable")),"")</f>
        <v/>
      </c>
      <c r="Y3457" s="52">
        <f>IF(P3457="","",IFERROR(INDEX(catGrupo,MATCH(D3457&amp;"|"&amp;E3457,catClave,0))&amp;"",""))</f>
        <v/>
      </c>
      <c r="Z3457" s="52">
        <f>IF(P3457="","",WEEKDAY(B3457,2))</f>
        <v/>
      </c>
      <c r="AA3457" s="52">
        <f>IF(P3457="","",IF(AND(P3457="Gasto",X3457="Variable",D3457&lt;&gt;catTrading,S3457&gt;0,S3457&lt;=Umbral),1,0))</f>
        <v/>
      </c>
      <c r="AB3457" s="52">
        <f>IF(OR(P3457="",Q3457=""),"",IFERROR(IF(INDEX(ctaVinc,MATCH(Q3457,ctaNombre,0))&amp;""&lt;&gt;"",INDEX(ctaVinc,MATCH(Q3457,ctaNombre,0))&amp;"",Q3457),Q3457))</f>
        <v/>
      </c>
      <c r="AC3457" s="52">
        <f>IF(OR(K3457="",AND(P3457&lt;&gt;"Transferencia",P3457&lt;&gt;"Pago tarjeta")),"",IFERROR(IF(INDEX(ctaVinc,MATCH(K3457,ctaNombre,0))&amp;""&lt;&gt;"",INDEX(ctaVinc,MATCH(K3457,ctaNombre,0))&amp;"",K3457),K3457))</f>
        <v/>
      </c>
      <c r="AD3457" s="52">
        <f>IF(AB3457="","",IFERROR(INDEX(ctaTipo,MATCH(AB3457,ctaNombre,0))&amp;"",""))</f>
        <v/>
      </c>
      <c r="AE3457" s="52">
        <f>IF(AC3457="","",IFERROR(INDEX(ctaTipo,MATCH(AC3457,ctaNombre,0))&amp;"",""))</f>
        <v/>
      </c>
      <c r="AF3457" s="53">
        <f>IF(OR(P3457="",AB3457=""),"",IF(OR(P3457="Gasto",P3457="Transferencia",P3457="Pago tarjeta"),-1,1)*IF(IFERROR(INDEX(ctaMoneda,MATCH(AB3457,ctaNombre,0))&amp;"","DOP")="USD",T3457,S3457))</f>
        <v/>
      </c>
      <c r="AG3457" s="53">
        <f>IF(AC3457="","",IF(IFERROR(INDEX(ctaMoneda,MATCH(AC3457,ctaNombre,0))&amp;"","DOP")="USD",T3457,S3457))</f>
        <v/>
      </c>
      <c r="AH3457" s="53">
        <f>IF(P3457="","",IF(AND(AD3457&lt;&gt;"",COUNTIFS(tcTipo,AD3457,tcLiq,"Sí")&gt;0),IF(OR(P3457="Gasto",P3457="Transferencia",P3457="Pago tarjeta"),-1,1)*S3457,0)+IF(AND(AE3457&lt;&gt;"",COUNTIFS(tcTipo,AE3457,tcLiq,"Sí")&gt;0),S3457,0))</f>
        <v/>
      </c>
      <c r="AI3457" s="52">
        <f>IF(OR(L3457="",P3457=""),"",IF(COUNTIFS(L$6:L3457,L3457,P$6:P3457,"?*")=1,MAX(AI$5:AI3456)+1,""))</f>
        <v/>
      </c>
    </row>
    <row r="3458">
      <c r="B3458" s="47" t="n"/>
      <c r="C3458" s="48" t="n"/>
      <c r="D3458" s="48" t="n"/>
      <c r="E3458" s="48" t="n"/>
      <c r="F3458" s="48" t="n"/>
      <c r="G3458" s="49" t="n"/>
      <c r="H3458" s="48" t="n"/>
      <c r="I3458" s="50" t="n"/>
      <c r="J3458" s="48" t="n"/>
      <c r="K3458" s="48" t="n"/>
      <c r="L3458" s="48" t="n"/>
      <c r="M3458" s="48" t="n"/>
      <c r="N3458" s="48" t="n"/>
      <c r="O3458" s="51">
        <f>IF(AND(B3458="",G3458="",C3458="",D3458="",J3458=""),"",IF(B3458="","⚠ Falta fecha",IF(G3458="","⚠ Falta monto",IF(Q3458="","⚠ Falta cuenta",IF(ISNA(MATCH(Q3458,ctaNombre,0)),"⚠ Cuenta no registrada",IF(AND(OR(P3458="Gasto",P3458="Reembolso"),D3458=""),"⚠ Falta categoría",IF(AND(D3458&lt;&gt;"",E3458&lt;&gt;"",ISNA(MATCH(D3458&amp;"|"&amp;E3458,catClave,0))),"⚠ Subcategoría no corresponde",IF(AND(OR(P3458="Transferencia",P3458="Pago tarjeta"),K3458=""),"⚠ Falta cuenta destino",IF(AND(K3458&lt;&gt;"",P3458&lt;&gt;"Transferencia",P3458&lt;&gt;"Pago tarjeta"),"⚠ Destino solo aplica a transferencias",IF(AND(K3458&lt;&gt;"",K3458=Q3458),"⚠ Origen igual a destino",IF(AND(K3458&lt;&gt;"",ISNA(MATCH(K3458,ctaNombre,0))),"⚠ Destino no registrado",IF(AND(P3458="Pago tarjeta",AE3458&lt;&gt;"Tarjeta de crédito"),"⚠ El destino debe ser tarjeta de crédito",IF(AND(P3458="Gasto",E3458="Depósitos y retiros"),"⚠ Usa tipo Transferencia",IF(AND(P3458="Resultado trading",AD3458&lt;&gt;"Cuenta de trading"),"⚠ Usa una cuenta de trading",IF(AND(G3458&lt;=0,P3458&lt;&gt;"Ajuste",P3458&lt;&gt;"Resultado trading"),"⚠ El monto debe ser positivo","✓")))))))))))))))</f>
        <v/>
      </c>
      <c r="P3458" s="52">
        <f>IF(OR(B3458="",G3458=""),"",IF(C3458="","Gasto",C3458))</f>
        <v/>
      </c>
      <c r="Q3458" s="52">
        <f>IF(P3458="","",IF(J3458&lt;&gt;"",J3458,CuentaPred&amp;""))</f>
        <v/>
      </c>
      <c r="R3458" s="52">
        <f>IF(P3458="","",IF(ISNUMBER(I3458),I3458,TasaUSD))</f>
        <v/>
      </c>
      <c r="S3458" s="53">
        <f>IF(P3458="","",IF(H3458="USD",G3458*R3458,G3458))</f>
        <v/>
      </c>
      <c r="T3458" s="53">
        <f>IF(P3458="","",IF(H3458="USD",G3458,IF(R3458&gt;0,G3458/R3458,0)))</f>
        <v/>
      </c>
      <c r="U3458" s="53">
        <f>IF(P3458="","",IF(P3458="Gasto",S3458,IF(P3458="Reembolso",-S3458,0)))</f>
        <v/>
      </c>
      <c r="V3458" s="53">
        <f>IF(P3458="","",IF(P3458="Ingreso",S3458,0))</f>
        <v/>
      </c>
      <c r="W3458" s="53">
        <f>IF(P3458="","",IF(P3458="Resultado trading",S3458,0))</f>
        <v/>
      </c>
      <c r="X3458" s="52">
        <f>IF(OR(P3458="Gasto",P3458="Reembolso"),IF(M3458&lt;&gt;"",M3458,IFERROR(INDEX(catClasif,MATCH(D3458&amp;"|"&amp;E3458,catClave,0))&amp;"","Variable")),"")</f>
        <v/>
      </c>
      <c r="Y3458" s="52">
        <f>IF(P3458="","",IFERROR(INDEX(catGrupo,MATCH(D3458&amp;"|"&amp;E3458,catClave,0))&amp;"",""))</f>
        <v/>
      </c>
      <c r="Z3458" s="52">
        <f>IF(P3458="","",WEEKDAY(B3458,2))</f>
        <v/>
      </c>
      <c r="AA3458" s="52">
        <f>IF(P3458="","",IF(AND(P3458="Gasto",X3458="Variable",D3458&lt;&gt;catTrading,S3458&gt;0,S3458&lt;=Umbral),1,0))</f>
        <v/>
      </c>
      <c r="AB3458" s="52">
        <f>IF(OR(P3458="",Q3458=""),"",IFERROR(IF(INDEX(ctaVinc,MATCH(Q3458,ctaNombre,0))&amp;""&lt;&gt;"",INDEX(ctaVinc,MATCH(Q3458,ctaNombre,0))&amp;"",Q3458),Q3458))</f>
        <v/>
      </c>
      <c r="AC3458" s="52">
        <f>IF(OR(K3458="",AND(P3458&lt;&gt;"Transferencia",P3458&lt;&gt;"Pago tarjeta")),"",IFERROR(IF(INDEX(ctaVinc,MATCH(K3458,ctaNombre,0))&amp;""&lt;&gt;"",INDEX(ctaVinc,MATCH(K3458,ctaNombre,0))&amp;"",K3458),K3458))</f>
        <v/>
      </c>
      <c r="AD3458" s="52">
        <f>IF(AB3458="","",IFERROR(INDEX(ctaTipo,MATCH(AB3458,ctaNombre,0))&amp;"",""))</f>
        <v/>
      </c>
      <c r="AE3458" s="52">
        <f>IF(AC3458="","",IFERROR(INDEX(ctaTipo,MATCH(AC3458,ctaNombre,0))&amp;"",""))</f>
        <v/>
      </c>
      <c r="AF3458" s="53">
        <f>IF(OR(P3458="",AB3458=""),"",IF(OR(P3458="Gasto",P3458="Transferencia",P3458="Pago tarjeta"),-1,1)*IF(IFERROR(INDEX(ctaMoneda,MATCH(AB3458,ctaNombre,0))&amp;"","DOP")="USD",T3458,S3458))</f>
        <v/>
      </c>
      <c r="AG3458" s="53">
        <f>IF(AC3458="","",IF(IFERROR(INDEX(ctaMoneda,MATCH(AC3458,ctaNombre,0))&amp;"","DOP")="USD",T3458,S3458))</f>
        <v/>
      </c>
      <c r="AH3458" s="53">
        <f>IF(P3458="","",IF(AND(AD3458&lt;&gt;"",COUNTIFS(tcTipo,AD3458,tcLiq,"Sí")&gt;0),IF(OR(P3458="Gasto",P3458="Transferencia",P3458="Pago tarjeta"),-1,1)*S3458,0)+IF(AND(AE3458&lt;&gt;"",COUNTIFS(tcTipo,AE3458,tcLiq,"Sí")&gt;0),S3458,0))</f>
        <v/>
      </c>
      <c r="AI3458" s="52">
        <f>IF(OR(L3458="",P3458=""),"",IF(COUNTIFS(L$6:L3458,L3458,P$6:P3458,"?*")=1,MAX(AI$5:AI3457)+1,""))</f>
        <v/>
      </c>
    </row>
    <row r="3459">
      <c r="B3459" s="47" t="n"/>
      <c r="C3459" s="48" t="n"/>
      <c r="D3459" s="48" t="n"/>
      <c r="E3459" s="48" t="n"/>
      <c r="F3459" s="48" t="n"/>
      <c r="G3459" s="49" t="n"/>
      <c r="H3459" s="48" t="n"/>
      <c r="I3459" s="50" t="n"/>
      <c r="J3459" s="48" t="n"/>
      <c r="K3459" s="48" t="n"/>
      <c r="L3459" s="48" t="n"/>
      <c r="M3459" s="48" t="n"/>
      <c r="N3459" s="48" t="n"/>
      <c r="O3459" s="51">
        <f>IF(AND(B3459="",G3459="",C3459="",D3459="",J3459=""),"",IF(B3459="","⚠ Falta fecha",IF(G3459="","⚠ Falta monto",IF(Q3459="","⚠ Falta cuenta",IF(ISNA(MATCH(Q3459,ctaNombre,0)),"⚠ Cuenta no registrada",IF(AND(OR(P3459="Gasto",P3459="Reembolso"),D3459=""),"⚠ Falta categoría",IF(AND(D3459&lt;&gt;"",E3459&lt;&gt;"",ISNA(MATCH(D3459&amp;"|"&amp;E3459,catClave,0))),"⚠ Subcategoría no corresponde",IF(AND(OR(P3459="Transferencia",P3459="Pago tarjeta"),K3459=""),"⚠ Falta cuenta destino",IF(AND(K3459&lt;&gt;"",P3459&lt;&gt;"Transferencia",P3459&lt;&gt;"Pago tarjeta"),"⚠ Destino solo aplica a transferencias",IF(AND(K3459&lt;&gt;"",K3459=Q3459),"⚠ Origen igual a destino",IF(AND(K3459&lt;&gt;"",ISNA(MATCH(K3459,ctaNombre,0))),"⚠ Destino no registrado",IF(AND(P3459="Pago tarjeta",AE3459&lt;&gt;"Tarjeta de crédito"),"⚠ El destino debe ser tarjeta de crédito",IF(AND(P3459="Gasto",E3459="Depósitos y retiros"),"⚠ Usa tipo Transferencia",IF(AND(P3459="Resultado trading",AD3459&lt;&gt;"Cuenta de trading"),"⚠ Usa una cuenta de trading",IF(AND(G3459&lt;=0,P3459&lt;&gt;"Ajuste",P3459&lt;&gt;"Resultado trading"),"⚠ El monto debe ser positivo","✓")))))))))))))))</f>
        <v/>
      </c>
      <c r="P3459" s="52">
        <f>IF(OR(B3459="",G3459=""),"",IF(C3459="","Gasto",C3459))</f>
        <v/>
      </c>
      <c r="Q3459" s="52">
        <f>IF(P3459="","",IF(J3459&lt;&gt;"",J3459,CuentaPred&amp;""))</f>
        <v/>
      </c>
      <c r="R3459" s="52">
        <f>IF(P3459="","",IF(ISNUMBER(I3459),I3459,TasaUSD))</f>
        <v/>
      </c>
      <c r="S3459" s="53">
        <f>IF(P3459="","",IF(H3459="USD",G3459*R3459,G3459))</f>
        <v/>
      </c>
      <c r="T3459" s="53">
        <f>IF(P3459="","",IF(H3459="USD",G3459,IF(R3459&gt;0,G3459/R3459,0)))</f>
        <v/>
      </c>
      <c r="U3459" s="53">
        <f>IF(P3459="","",IF(P3459="Gasto",S3459,IF(P3459="Reembolso",-S3459,0)))</f>
        <v/>
      </c>
      <c r="V3459" s="53">
        <f>IF(P3459="","",IF(P3459="Ingreso",S3459,0))</f>
        <v/>
      </c>
      <c r="W3459" s="53">
        <f>IF(P3459="","",IF(P3459="Resultado trading",S3459,0))</f>
        <v/>
      </c>
      <c r="X3459" s="52">
        <f>IF(OR(P3459="Gasto",P3459="Reembolso"),IF(M3459&lt;&gt;"",M3459,IFERROR(INDEX(catClasif,MATCH(D3459&amp;"|"&amp;E3459,catClave,0))&amp;"","Variable")),"")</f>
        <v/>
      </c>
      <c r="Y3459" s="52">
        <f>IF(P3459="","",IFERROR(INDEX(catGrupo,MATCH(D3459&amp;"|"&amp;E3459,catClave,0))&amp;"",""))</f>
        <v/>
      </c>
      <c r="Z3459" s="52">
        <f>IF(P3459="","",WEEKDAY(B3459,2))</f>
        <v/>
      </c>
      <c r="AA3459" s="52">
        <f>IF(P3459="","",IF(AND(P3459="Gasto",X3459="Variable",D3459&lt;&gt;catTrading,S3459&gt;0,S3459&lt;=Umbral),1,0))</f>
        <v/>
      </c>
      <c r="AB3459" s="52">
        <f>IF(OR(P3459="",Q3459=""),"",IFERROR(IF(INDEX(ctaVinc,MATCH(Q3459,ctaNombre,0))&amp;""&lt;&gt;"",INDEX(ctaVinc,MATCH(Q3459,ctaNombre,0))&amp;"",Q3459),Q3459))</f>
        <v/>
      </c>
      <c r="AC3459" s="52">
        <f>IF(OR(K3459="",AND(P3459&lt;&gt;"Transferencia",P3459&lt;&gt;"Pago tarjeta")),"",IFERROR(IF(INDEX(ctaVinc,MATCH(K3459,ctaNombre,0))&amp;""&lt;&gt;"",INDEX(ctaVinc,MATCH(K3459,ctaNombre,0))&amp;"",K3459),K3459))</f>
        <v/>
      </c>
      <c r="AD3459" s="52">
        <f>IF(AB3459="","",IFERROR(INDEX(ctaTipo,MATCH(AB3459,ctaNombre,0))&amp;"",""))</f>
        <v/>
      </c>
      <c r="AE3459" s="52">
        <f>IF(AC3459="","",IFERROR(INDEX(ctaTipo,MATCH(AC3459,ctaNombre,0))&amp;"",""))</f>
        <v/>
      </c>
      <c r="AF3459" s="53">
        <f>IF(OR(P3459="",AB3459=""),"",IF(OR(P3459="Gasto",P3459="Transferencia",P3459="Pago tarjeta"),-1,1)*IF(IFERROR(INDEX(ctaMoneda,MATCH(AB3459,ctaNombre,0))&amp;"","DOP")="USD",T3459,S3459))</f>
        <v/>
      </c>
      <c r="AG3459" s="53">
        <f>IF(AC3459="","",IF(IFERROR(INDEX(ctaMoneda,MATCH(AC3459,ctaNombre,0))&amp;"","DOP")="USD",T3459,S3459))</f>
        <v/>
      </c>
      <c r="AH3459" s="53">
        <f>IF(P3459="","",IF(AND(AD3459&lt;&gt;"",COUNTIFS(tcTipo,AD3459,tcLiq,"Sí")&gt;0),IF(OR(P3459="Gasto",P3459="Transferencia",P3459="Pago tarjeta"),-1,1)*S3459,0)+IF(AND(AE3459&lt;&gt;"",COUNTIFS(tcTipo,AE3459,tcLiq,"Sí")&gt;0),S3459,0))</f>
        <v/>
      </c>
      <c r="AI3459" s="52">
        <f>IF(OR(L3459="",P3459=""),"",IF(COUNTIFS(L$6:L3459,L3459,P$6:P3459,"?*")=1,MAX(AI$5:AI3458)+1,""))</f>
        <v/>
      </c>
    </row>
    <row r="3460">
      <c r="B3460" s="47" t="n"/>
      <c r="C3460" s="48" t="n"/>
      <c r="D3460" s="48" t="n"/>
      <c r="E3460" s="48" t="n"/>
      <c r="F3460" s="48" t="n"/>
      <c r="G3460" s="49" t="n"/>
      <c r="H3460" s="48" t="n"/>
      <c r="I3460" s="50" t="n"/>
      <c r="J3460" s="48" t="n"/>
      <c r="K3460" s="48" t="n"/>
      <c r="L3460" s="48" t="n"/>
      <c r="M3460" s="48" t="n"/>
      <c r="N3460" s="48" t="n"/>
      <c r="O3460" s="51">
        <f>IF(AND(B3460="",G3460="",C3460="",D3460="",J3460=""),"",IF(B3460="","⚠ Falta fecha",IF(G3460="","⚠ Falta monto",IF(Q3460="","⚠ Falta cuenta",IF(ISNA(MATCH(Q3460,ctaNombre,0)),"⚠ Cuenta no registrada",IF(AND(OR(P3460="Gasto",P3460="Reembolso"),D3460=""),"⚠ Falta categoría",IF(AND(D3460&lt;&gt;"",E3460&lt;&gt;"",ISNA(MATCH(D3460&amp;"|"&amp;E3460,catClave,0))),"⚠ Subcategoría no corresponde",IF(AND(OR(P3460="Transferencia",P3460="Pago tarjeta"),K3460=""),"⚠ Falta cuenta destino",IF(AND(K3460&lt;&gt;"",P3460&lt;&gt;"Transferencia",P3460&lt;&gt;"Pago tarjeta"),"⚠ Destino solo aplica a transferencias",IF(AND(K3460&lt;&gt;"",K3460=Q3460),"⚠ Origen igual a destino",IF(AND(K3460&lt;&gt;"",ISNA(MATCH(K3460,ctaNombre,0))),"⚠ Destino no registrado",IF(AND(P3460="Pago tarjeta",AE3460&lt;&gt;"Tarjeta de crédito"),"⚠ El destino debe ser tarjeta de crédito",IF(AND(P3460="Gasto",E3460="Depósitos y retiros"),"⚠ Usa tipo Transferencia",IF(AND(P3460="Resultado trading",AD3460&lt;&gt;"Cuenta de trading"),"⚠ Usa una cuenta de trading",IF(AND(G3460&lt;=0,P3460&lt;&gt;"Ajuste",P3460&lt;&gt;"Resultado trading"),"⚠ El monto debe ser positivo","✓")))))))))))))))</f>
        <v/>
      </c>
      <c r="P3460" s="52">
        <f>IF(OR(B3460="",G3460=""),"",IF(C3460="","Gasto",C3460))</f>
        <v/>
      </c>
      <c r="Q3460" s="52">
        <f>IF(P3460="","",IF(J3460&lt;&gt;"",J3460,CuentaPred&amp;""))</f>
        <v/>
      </c>
      <c r="R3460" s="52">
        <f>IF(P3460="","",IF(ISNUMBER(I3460),I3460,TasaUSD))</f>
        <v/>
      </c>
      <c r="S3460" s="53">
        <f>IF(P3460="","",IF(H3460="USD",G3460*R3460,G3460))</f>
        <v/>
      </c>
      <c r="T3460" s="53">
        <f>IF(P3460="","",IF(H3460="USD",G3460,IF(R3460&gt;0,G3460/R3460,0)))</f>
        <v/>
      </c>
      <c r="U3460" s="53">
        <f>IF(P3460="","",IF(P3460="Gasto",S3460,IF(P3460="Reembolso",-S3460,0)))</f>
        <v/>
      </c>
      <c r="V3460" s="53">
        <f>IF(P3460="","",IF(P3460="Ingreso",S3460,0))</f>
        <v/>
      </c>
      <c r="W3460" s="53">
        <f>IF(P3460="","",IF(P3460="Resultado trading",S3460,0))</f>
        <v/>
      </c>
      <c r="X3460" s="52">
        <f>IF(OR(P3460="Gasto",P3460="Reembolso"),IF(M3460&lt;&gt;"",M3460,IFERROR(INDEX(catClasif,MATCH(D3460&amp;"|"&amp;E3460,catClave,0))&amp;"","Variable")),"")</f>
        <v/>
      </c>
      <c r="Y3460" s="52">
        <f>IF(P3460="","",IFERROR(INDEX(catGrupo,MATCH(D3460&amp;"|"&amp;E3460,catClave,0))&amp;"",""))</f>
        <v/>
      </c>
      <c r="Z3460" s="52">
        <f>IF(P3460="","",WEEKDAY(B3460,2))</f>
        <v/>
      </c>
      <c r="AA3460" s="52">
        <f>IF(P3460="","",IF(AND(P3460="Gasto",X3460="Variable",D3460&lt;&gt;catTrading,S3460&gt;0,S3460&lt;=Umbral),1,0))</f>
        <v/>
      </c>
      <c r="AB3460" s="52">
        <f>IF(OR(P3460="",Q3460=""),"",IFERROR(IF(INDEX(ctaVinc,MATCH(Q3460,ctaNombre,0))&amp;""&lt;&gt;"",INDEX(ctaVinc,MATCH(Q3460,ctaNombre,0))&amp;"",Q3460),Q3460))</f>
        <v/>
      </c>
      <c r="AC3460" s="52">
        <f>IF(OR(K3460="",AND(P3460&lt;&gt;"Transferencia",P3460&lt;&gt;"Pago tarjeta")),"",IFERROR(IF(INDEX(ctaVinc,MATCH(K3460,ctaNombre,0))&amp;""&lt;&gt;"",INDEX(ctaVinc,MATCH(K3460,ctaNombre,0))&amp;"",K3460),K3460))</f>
        <v/>
      </c>
      <c r="AD3460" s="52">
        <f>IF(AB3460="","",IFERROR(INDEX(ctaTipo,MATCH(AB3460,ctaNombre,0))&amp;"",""))</f>
        <v/>
      </c>
      <c r="AE3460" s="52">
        <f>IF(AC3460="","",IFERROR(INDEX(ctaTipo,MATCH(AC3460,ctaNombre,0))&amp;"",""))</f>
        <v/>
      </c>
      <c r="AF3460" s="53">
        <f>IF(OR(P3460="",AB3460=""),"",IF(OR(P3460="Gasto",P3460="Transferencia",P3460="Pago tarjeta"),-1,1)*IF(IFERROR(INDEX(ctaMoneda,MATCH(AB3460,ctaNombre,0))&amp;"","DOP")="USD",T3460,S3460))</f>
        <v/>
      </c>
      <c r="AG3460" s="53">
        <f>IF(AC3460="","",IF(IFERROR(INDEX(ctaMoneda,MATCH(AC3460,ctaNombre,0))&amp;"","DOP")="USD",T3460,S3460))</f>
        <v/>
      </c>
      <c r="AH3460" s="53">
        <f>IF(P3460="","",IF(AND(AD3460&lt;&gt;"",COUNTIFS(tcTipo,AD3460,tcLiq,"Sí")&gt;0),IF(OR(P3460="Gasto",P3460="Transferencia",P3460="Pago tarjeta"),-1,1)*S3460,0)+IF(AND(AE3460&lt;&gt;"",COUNTIFS(tcTipo,AE3460,tcLiq,"Sí")&gt;0),S3460,0))</f>
        <v/>
      </c>
      <c r="AI3460" s="52">
        <f>IF(OR(L3460="",P3460=""),"",IF(COUNTIFS(L$6:L3460,L3460,P$6:P3460,"?*")=1,MAX(AI$5:AI3459)+1,""))</f>
        <v/>
      </c>
    </row>
    <row r="3461">
      <c r="B3461" s="47" t="n"/>
      <c r="C3461" s="48" t="n"/>
      <c r="D3461" s="48" t="n"/>
      <c r="E3461" s="48" t="n"/>
      <c r="F3461" s="48" t="n"/>
      <c r="G3461" s="49" t="n"/>
      <c r="H3461" s="48" t="n"/>
      <c r="I3461" s="50" t="n"/>
      <c r="J3461" s="48" t="n"/>
      <c r="K3461" s="48" t="n"/>
      <c r="L3461" s="48" t="n"/>
      <c r="M3461" s="48" t="n"/>
      <c r="N3461" s="48" t="n"/>
      <c r="O3461" s="51">
        <f>IF(AND(B3461="",G3461="",C3461="",D3461="",J3461=""),"",IF(B3461="","⚠ Falta fecha",IF(G3461="","⚠ Falta monto",IF(Q3461="","⚠ Falta cuenta",IF(ISNA(MATCH(Q3461,ctaNombre,0)),"⚠ Cuenta no registrada",IF(AND(OR(P3461="Gasto",P3461="Reembolso"),D3461=""),"⚠ Falta categoría",IF(AND(D3461&lt;&gt;"",E3461&lt;&gt;"",ISNA(MATCH(D3461&amp;"|"&amp;E3461,catClave,0))),"⚠ Subcategoría no corresponde",IF(AND(OR(P3461="Transferencia",P3461="Pago tarjeta"),K3461=""),"⚠ Falta cuenta destino",IF(AND(K3461&lt;&gt;"",P3461&lt;&gt;"Transferencia",P3461&lt;&gt;"Pago tarjeta"),"⚠ Destino solo aplica a transferencias",IF(AND(K3461&lt;&gt;"",K3461=Q3461),"⚠ Origen igual a destino",IF(AND(K3461&lt;&gt;"",ISNA(MATCH(K3461,ctaNombre,0))),"⚠ Destino no registrado",IF(AND(P3461="Pago tarjeta",AE3461&lt;&gt;"Tarjeta de crédito"),"⚠ El destino debe ser tarjeta de crédito",IF(AND(P3461="Gasto",E3461="Depósitos y retiros"),"⚠ Usa tipo Transferencia",IF(AND(P3461="Resultado trading",AD3461&lt;&gt;"Cuenta de trading"),"⚠ Usa una cuenta de trading",IF(AND(G3461&lt;=0,P3461&lt;&gt;"Ajuste",P3461&lt;&gt;"Resultado trading"),"⚠ El monto debe ser positivo","✓")))))))))))))))</f>
        <v/>
      </c>
      <c r="P3461" s="52">
        <f>IF(OR(B3461="",G3461=""),"",IF(C3461="","Gasto",C3461))</f>
        <v/>
      </c>
      <c r="Q3461" s="52">
        <f>IF(P3461="","",IF(J3461&lt;&gt;"",J3461,CuentaPred&amp;""))</f>
        <v/>
      </c>
      <c r="R3461" s="52">
        <f>IF(P3461="","",IF(ISNUMBER(I3461),I3461,TasaUSD))</f>
        <v/>
      </c>
      <c r="S3461" s="53">
        <f>IF(P3461="","",IF(H3461="USD",G3461*R3461,G3461))</f>
        <v/>
      </c>
      <c r="T3461" s="53">
        <f>IF(P3461="","",IF(H3461="USD",G3461,IF(R3461&gt;0,G3461/R3461,0)))</f>
        <v/>
      </c>
      <c r="U3461" s="53">
        <f>IF(P3461="","",IF(P3461="Gasto",S3461,IF(P3461="Reembolso",-S3461,0)))</f>
        <v/>
      </c>
      <c r="V3461" s="53">
        <f>IF(P3461="","",IF(P3461="Ingreso",S3461,0))</f>
        <v/>
      </c>
      <c r="W3461" s="53">
        <f>IF(P3461="","",IF(P3461="Resultado trading",S3461,0))</f>
        <v/>
      </c>
      <c r="X3461" s="52">
        <f>IF(OR(P3461="Gasto",P3461="Reembolso"),IF(M3461&lt;&gt;"",M3461,IFERROR(INDEX(catClasif,MATCH(D3461&amp;"|"&amp;E3461,catClave,0))&amp;"","Variable")),"")</f>
        <v/>
      </c>
      <c r="Y3461" s="52">
        <f>IF(P3461="","",IFERROR(INDEX(catGrupo,MATCH(D3461&amp;"|"&amp;E3461,catClave,0))&amp;"",""))</f>
        <v/>
      </c>
      <c r="Z3461" s="52">
        <f>IF(P3461="","",WEEKDAY(B3461,2))</f>
        <v/>
      </c>
      <c r="AA3461" s="52">
        <f>IF(P3461="","",IF(AND(P3461="Gasto",X3461="Variable",D3461&lt;&gt;catTrading,S3461&gt;0,S3461&lt;=Umbral),1,0))</f>
        <v/>
      </c>
      <c r="AB3461" s="52">
        <f>IF(OR(P3461="",Q3461=""),"",IFERROR(IF(INDEX(ctaVinc,MATCH(Q3461,ctaNombre,0))&amp;""&lt;&gt;"",INDEX(ctaVinc,MATCH(Q3461,ctaNombre,0))&amp;"",Q3461),Q3461))</f>
        <v/>
      </c>
      <c r="AC3461" s="52">
        <f>IF(OR(K3461="",AND(P3461&lt;&gt;"Transferencia",P3461&lt;&gt;"Pago tarjeta")),"",IFERROR(IF(INDEX(ctaVinc,MATCH(K3461,ctaNombre,0))&amp;""&lt;&gt;"",INDEX(ctaVinc,MATCH(K3461,ctaNombre,0))&amp;"",K3461),K3461))</f>
        <v/>
      </c>
      <c r="AD3461" s="52">
        <f>IF(AB3461="","",IFERROR(INDEX(ctaTipo,MATCH(AB3461,ctaNombre,0))&amp;"",""))</f>
        <v/>
      </c>
      <c r="AE3461" s="52">
        <f>IF(AC3461="","",IFERROR(INDEX(ctaTipo,MATCH(AC3461,ctaNombre,0))&amp;"",""))</f>
        <v/>
      </c>
      <c r="AF3461" s="53">
        <f>IF(OR(P3461="",AB3461=""),"",IF(OR(P3461="Gasto",P3461="Transferencia",P3461="Pago tarjeta"),-1,1)*IF(IFERROR(INDEX(ctaMoneda,MATCH(AB3461,ctaNombre,0))&amp;"","DOP")="USD",T3461,S3461))</f>
        <v/>
      </c>
      <c r="AG3461" s="53">
        <f>IF(AC3461="","",IF(IFERROR(INDEX(ctaMoneda,MATCH(AC3461,ctaNombre,0))&amp;"","DOP")="USD",T3461,S3461))</f>
        <v/>
      </c>
      <c r="AH3461" s="53">
        <f>IF(P3461="","",IF(AND(AD3461&lt;&gt;"",COUNTIFS(tcTipo,AD3461,tcLiq,"Sí")&gt;0),IF(OR(P3461="Gasto",P3461="Transferencia",P3461="Pago tarjeta"),-1,1)*S3461,0)+IF(AND(AE3461&lt;&gt;"",COUNTIFS(tcTipo,AE3461,tcLiq,"Sí")&gt;0),S3461,0))</f>
        <v/>
      </c>
      <c r="AI3461" s="52">
        <f>IF(OR(L3461="",P3461=""),"",IF(COUNTIFS(L$6:L3461,L3461,P$6:P3461,"?*")=1,MAX(AI$5:AI3460)+1,""))</f>
        <v/>
      </c>
    </row>
    <row r="3462">
      <c r="B3462" s="47" t="n"/>
      <c r="C3462" s="48" t="n"/>
      <c r="D3462" s="48" t="n"/>
      <c r="E3462" s="48" t="n"/>
      <c r="F3462" s="48" t="n"/>
      <c r="G3462" s="49" t="n"/>
      <c r="H3462" s="48" t="n"/>
      <c r="I3462" s="50" t="n"/>
      <c r="J3462" s="48" t="n"/>
      <c r="K3462" s="48" t="n"/>
      <c r="L3462" s="48" t="n"/>
      <c r="M3462" s="48" t="n"/>
      <c r="N3462" s="48" t="n"/>
      <c r="O3462" s="51">
        <f>IF(AND(B3462="",G3462="",C3462="",D3462="",J3462=""),"",IF(B3462="","⚠ Falta fecha",IF(G3462="","⚠ Falta monto",IF(Q3462="","⚠ Falta cuenta",IF(ISNA(MATCH(Q3462,ctaNombre,0)),"⚠ Cuenta no registrada",IF(AND(OR(P3462="Gasto",P3462="Reembolso"),D3462=""),"⚠ Falta categoría",IF(AND(D3462&lt;&gt;"",E3462&lt;&gt;"",ISNA(MATCH(D3462&amp;"|"&amp;E3462,catClave,0))),"⚠ Subcategoría no corresponde",IF(AND(OR(P3462="Transferencia",P3462="Pago tarjeta"),K3462=""),"⚠ Falta cuenta destino",IF(AND(K3462&lt;&gt;"",P3462&lt;&gt;"Transferencia",P3462&lt;&gt;"Pago tarjeta"),"⚠ Destino solo aplica a transferencias",IF(AND(K3462&lt;&gt;"",K3462=Q3462),"⚠ Origen igual a destino",IF(AND(K3462&lt;&gt;"",ISNA(MATCH(K3462,ctaNombre,0))),"⚠ Destino no registrado",IF(AND(P3462="Pago tarjeta",AE3462&lt;&gt;"Tarjeta de crédito"),"⚠ El destino debe ser tarjeta de crédito",IF(AND(P3462="Gasto",E3462="Depósitos y retiros"),"⚠ Usa tipo Transferencia",IF(AND(P3462="Resultado trading",AD3462&lt;&gt;"Cuenta de trading"),"⚠ Usa una cuenta de trading",IF(AND(G3462&lt;=0,P3462&lt;&gt;"Ajuste",P3462&lt;&gt;"Resultado trading"),"⚠ El monto debe ser positivo","✓")))))))))))))))</f>
        <v/>
      </c>
      <c r="P3462" s="52">
        <f>IF(OR(B3462="",G3462=""),"",IF(C3462="","Gasto",C3462))</f>
        <v/>
      </c>
      <c r="Q3462" s="52">
        <f>IF(P3462="","",IF(J3462&lt;&gt;"",J3462,CuentaPred&amp;""))</f>
        <v/>
      </c>
      <c r="R3462" s="52">
        <f>IF(P3462="","",IF(ISNUMBER(I3462),I3462,TasaUSD))</f>
        <v/>
      </c>
      <c r="S3462" s="53">
        <f>IF(P3462="","",IF(H3462="USD",G3462*R3462,G3462))</f>
        <v/>
      </c>
      <c r="T3462" s="53">
        <f>IF(P3462="","",IF(H3462="USD",G3462,IF(R3462&gt;0,G3462/R3462,0)))</f>
        <v/>
      </c>
      <c r="U3462" s="53">
        <f>IF(P3462="","",IF(P3462="Gasto",S3462,IF(P3462="Reembolso",-S3462,0)))</f>
        <v/>
      </c>
      <c r="V3462" s="53">
        <f>IF(P3462="","",IF(P3462="Ingreso",S3462,0))</f>
        <v/>
      </c>
      <c r="W3462" s="53">
        <f>IF(P3462="","",IF(P3462="Resultado trading",S3462,0))</f>
        <v/>
      </c>
      <c r="X3462" s="52">
        <f>IF(OR(P3462="Gasto",P3462="Reembolso"),IF(M3462&lt;&gt;"",M3462,IFERROR(INDEX(catClasif,MATCH(D3462&amp;"|"&amp;E3462,catClave,0))&amp;"","Variable")),"")</f>
        <v/>
      </c>
      <c r="Y3462" s="52">
        <f>IF(P3462="","",IFERROR(INDEX(catGrupo,MATCH(D3462&amp;"|"&amp;E3462,catClave,0))&amp;"",""))</f>
        <v/>
      </c>
      <c r="Z3462" s="52">
        <f>IF(P3462="","",WEEKDAY(B3462,2))</f>
        <v/>
      </c>
      <c r="AA3462" s="52">
        <f>IF(P3462="","",IF(AND(P3462="Gasto",X3462="Variable",D3462&lt;&gt;catTrading,S3462&gt;0,S3462&lt;=Umbral),1,0))</f>
        <v/>
      </c>
      <c r="AB3462" s="52">
        <f>IF(OR(P3462="",Q3462=""),"",IFERROR(IF(INDEX(ctaVinc,MATCH(Q3462,ctaNombre,0))&amp;""&lt;&gt;"",INDEX(ctaVinc,MATCH(Q3462,ctaNombre,0))&amp;"",Q3462),Q3462))</f>
        <v/>
      </c>
      <c r="AC3462" s="52">
        <f>IF(OR(K3462="",AND(P3462&lt;&gt;"Transferencia",P3462&lt;&gt;"Pago tarjeta")),"",IFERROR(IF(INDEX(ctaVinc,MATCH(K3462,ctaNombre,0))&amp;""&lt;&gt;"",INDEX(ctaVinc,MATCH(K3462,ctaNombre,0))&amp;"",K3462),K3462))</f>
        <v/>
      </c>
      <c r="AD3462" s="52">
        <f>IF(AB3462="","",IFERROR(INDEX(ctaTipo,MATCH(AB3462,ctaNombre,0))&amp;"",""))</f>
        <v/>
      </c>
      <c r="AE3462" s="52">
        <f>IF(AC3462="","",IFERROR(INDEX(ctaTipo,MATCH(AC3462,ctaNombre,0))&amp;"",""))</f>
        <v/>
      </c>
      <c r="AF3462" s="53">
        <f>IF(OR(P3462="",AB3462=""),"",IF(OR(P3462="Gasto",P3462="Transferencia",P3462="Pago tarjeta"),-1,1)*IF(IFERROR(INDEX(ctaMoneda,MATCH(AB3462,ctaNombre,0))&amp;"","DOP")="USD",T3462,S3462))</f>
        <v/>
      </c>
      <c r="AG3462" s="53">
        <f>IF(AC3462="","",IF(IFERROR(INDEX(ctaMoneda,MATCH(AC3462,ctaNombre,0))&amp;"","DOP")="USD",T3462,S3462))</f>
        <v/>
      </c>
      <c r="AH3462" s="53">
        <f>IF(P3462="","",IF(AND(AD3462&lt;&gt;"",COUNTIFS(tcTipo,AD3462,tcLiq,"Sí")&gt;0),IF(OR(P3462="Gasto",P3462="Transferencia",P3462="Pago tarjeta"),-1,1)*S3462,0)+IF(AND(AE3462&lt;&gt;"",COUNTIFS(tcTipo,AE3462,tcLiq,"Sí")&gt;0),S3462,0))</f>
        <v/>
      </c>
      <c r="AI3462" s="52">
        <f>IF(OR(L3462="",P3462=""),"",IF(COUNTIFS(L$6:L3462,L3462,P$6:P3462,"?*")=1,MAX(AI$5:AI3461)+1,""))</f>
        <v/>
      </c>
    </row>
    <row r="3463">
      <c r="B3463" s="47" t="n"/>
      <c r="C3463" s="48" t="n"/>
      <c r="D3463" s="48" t="n"/>
      <c r="E3463" s="48" t="n"/>
      <c r="F3463" s="48" t="n"/>
      <c r="G3463" s="49" t="n"/>
      <c r="H3463" s="48" t="n"/>
      <c r="I3463" s="50" t="n"/>
      <c r="J3463" s="48" t="n"/>
      <c r="K3463" s="48" t="n"/>
      <c r="L3463" s="48" t="n"/>
      <c r="M3463" s="48" t="n"/>
      <c r="N3463" s="48" t="n"/>
      <c r="O3463" s="51">
        <f>IF(AND(B3463="",G3463="",C3463="",D3463="",J3463=""),"",IF(B3463="","⚠ Falta fecha",IF(G3463="","⚠ Falta monto",IF(Q3463="","⚠ Falta cuenta",IF(ISNA(MATCH(Q3463,ctaNombre,0)),"⚠ Cuenta no registrada",IF(AND(OR(P3463="Gasto",P3463="Reembolso"),D3463=""),"⚠ Falta categoría",IF(AND(D3463&lt;&gt;"",E3463&lt;&gt;"",ISNA(MATCH(D3463&amp;"|"&amp;E3463,catClave,0))),"⚠ Subcategoría no corresponde",IF(AND(OR(P3463="Transferencia",P3463="Pago tarjeta"),K3463=""),"⚠ Falta cuenta destino",IF(AND(K3463&lt;&gt;"",P3463&lt;&gt;"Transferencia",P3463&lt;&gt;"Pago tarjeta"),"⚠ Destino solo aplica a transferencias",IF(AND(K3463&lt;&gt;"",K3463=Q3463),"⚠ Origen igual a destino",IF(AND(K3463&lt;&gt;"",ISNA(MATCH(K3463,ctaNombre,0))),"⚠ Destino no registrado",IF(AND(P3463="Pago tarjeta",AE3463&lt;&gt;"Tarjeta de crédito"),"⚠ El destino debe ser tarjeta de crédito",IF(AND(P3463="Gasto",E3463="Depósitos y retiros"),"⚠ Usa tipo Transferencia",IF(AND(P3463="Resultado trading",AD3463&lt;&gt;"Cuenta de trading"),"⚠ Usa una cuenta de trading",IF(AND(G3463&lt;=0,P3463&lt;&gt;"Ajuste",P3463&lt;&gt;"Resultado trading"),"⚠ El monto debe ser positivo","✓")))))))))))))))</f>
        <v/>
      </c>
      <c r="P3463" s="52">
        <f>IF(OR(B3463="",G3463=""),"",IF(C3463="","Gasto",C3463))</f>
        <v/>
      </c>
      <c r="Q3463" s="52">
        <f>IF(P3463="","",IF(J3463&lt;&gt;"",J3463,CuentaPred&amp;""))</f>
        <v/>
      </c>
      <c r="R3463" s="52">
        <f>IF(P3463="","",IF(ISNUMBER(I3463),I3463,TasaUSD))</f>
        <v/>
      </c>
      <c r="S3463" s="53">
        <f>IF(P3463="","",IF(H3463="USD",G3463*R3463,G3463))</f>
        <v/>
      </c>
      <c r="T3463" s="53">
        <f>IF(P3463="","",IF(H3463="USD",G3463,IF(R3463&gt;0,G3463/R3463,0)))</f>
        <v/>
      </c>
      <c r="U3463" s="53">
        <f>IF(P3463="","",IF(P3463="Gasto",S3463,IF(P3463="Reembolso",-S3463,0)))</f>
        <v/>
      </c>
      <c r="V3463" s="53">
        <f>IF(P3463="","",IF(P3463="Ingreso",S3463,0))</f>
        <v/>
      </c>
      <c r="W3463" s="53">
        <f>IF(P3463="","",IF(P3463="Resultado trading",S3463,0))</f>
        <v/>
      </c>
      <c r="X3463" s="52">
        <f>IF(OR(P3463="Gasto",P3463="Reembolso"),IF(M3463&lt;&gt;"",M3463,IFERROR(INDEX(catClasif,MATCH(D3463&amp;"|"&amp;E3463,catClave,0))&amp;"","Variable")),"")</f>
        <v/>
      </c>
      <c r="Y3463" s="52">
        <f>IF(P3463="","",IFERROR(INDEX(catGrupo,MATCH(D3463&amp;"|"&amp;E3463,catClave,0))&amp;"",""))</f>
        <v/>
      </c>
      <c r="Z3463" s="52">
        <f>IF(P3463="","",WEEKDAY(B3463,2))</f>
        <v/>
      </c>
      <c r="AA3463" s="52">
        <f>IF(P3463="","",IF(AND(P3463="Gasto",X3463="Variable",D3463&lt;&gt;catTrading,S3463&gt;0,S3463&lt;=Umbral),1,0))</f>
        <v/>
      </c>
      <c r="AB3463" s="52">
        <f>IF(OR(P3463="",Q3463=""),"",IFERROR(IF(INDEX(ctaVinc,MATCH(Q3463,ctaNombre,0))&amp;""&lt;&gt;"",INDEX(ctaVinc,MATCH(Q3463,ctaNombre,0))&amp;"",Q3463),Q3463))</f>
        <v/>
      </c>
      <c r="AC3463" s="52">
        <f>IF(OR(K3463="",AND(P3463&lt;&gt;"Transferencia",P3463&lt;&gt;"Pago tarjeta")),"",IFERROR(IF(INDEX(ctaVinc,MATCH(K3463,ctaNombre,0))&amp;""&lt;&gt;"",INDEX(ctaVinc,MATCH(K3463,ctaNombre,0))&amp;"",K3463),K3463))</f>
        <v/>
      </c>
      <c r="AD3463" s="52">
        <f>IF(AB3463="","",IFERROR(INDEX(ctaTipo,MATCH(AB3463,ctaNombre,0))&amp;"",""))</f>
        <v/>
      </c>
      <c r="AE3463" s="52">
        <f>IF(AC3463="","",IFERROR(INDEX(ctaTipo,MATCH(AC3463,ctaNombre,0))&amp;"",""))</f>
        <v/>
      </c>
      <c r="AF3463" s="53">
        <f>IF(OR(P3463="",AB3463=""),"",IF(OR(P3463="Gasto",P3463="Transferencia",P3463="Pago tarjeta"),-1,1)*IF(IFERROR(INDEX(ctaMoneda,MATCH(AB3463,ctaNombre,0))&amp;"","DOP")="USD",T3463,S3463))</f>
        <v/>
      </c>
      <c r="AG3463" s="53">
        <f>IF(AC3463="","",IF(IFERROR(INDEX(ctaMoneda,MATCH(AC3463,ctaNombre,0))&amp;"","DOP")="USD",T3463,S3463))</f>
        <v/>
      </c>
      <c r="AH3463" s="53">
        <f>IF(P3463="","",IF(AND(AD3463&lt;&gt;"",COUNTIFS(tcTipo,AD3463,tcLiq,"Sí")&gt;0),IF(OR(P3463="Gasto",P3463="Transferencia",P3463="Pago tarjeta"),-1,1)*S3463,0)+IF(AND(AE3463&lt;&gt;"",COUNTIFS(tcTipo,AE3463,tcLiq,"Sí")&gt;0),S3463,0))</f>
        <v/>
      </c>
      <c r="AI3463" s="52">
        <f>IF(OR(L3463="",P3463=""),"",IF(COUNTIFS(L$6:L3463,L3463,P$6:P3463,"?*")=1,MAX(AI$5:AI3462)+1,""))</f>
        <v/>
      </c>
    </row>
    <row r="3464">
      <c r="B3464" s="47" t="n"/>
      <c r="C3464" s="48" t="n"/>
      <c r="D3464" s="48" t="n"/>
      <c r="E3464" s="48" t="n"/>
      <c r="F3464" s="48" t="n"/>
      <c r="G3464" s="49" t="n"/>
      <c r="H3464" s="48" t="n"/>
      <c r="I3464" s="50" t="n"/>
      <c r="J3464" s="48" t="n"/>
      <c r="K3464" s="48" t="n"/>
      <c r="L3464" s="48" t="n"/>
      <c r="M3464" s="48" t="n"/>
      <c r="N3464" s="48" t="n"/>
      <c r="O3464" s="51">
        <f>IF(AND(B3464="",G3464="",C3464="",D3464="",J3464=""),"",IF(B3464="","⚠ Falta fecha",IF(G3464="","⚠ Falta monto",IF(Q3464="","⚠ Falta cuenta",IF(ISNA(MATCH(Q3464,ctaNombre,0)),"⚠ Cuenta no registrada",IF(AND(OR(P3464="Gasto",P3464="Reembolso"),D3464=""),"⚠ Falta categoría",IF(AND(D3464&lt;&gt;"",E3464&lt;&gt;"",ISNA(MATCH(D3464&amp;"|"&amp;E3464,catClave,0))),"⚠ Subcategoría no corresponde",IF(AND(OR(P3464="Transferencia",P3464="Pago tarjeta"),K3464=""),"⚠ Falta cuenta destino",IF(AND(K3464&lt;&gt;"",P3464&lt;&gt;"Transferencia",P3464&lt;&gt;"Pago tarjeta"),"⚠ Destino solo aplica a transferencias",IF(AND(K3464&lt;&gt;"",K3464=Q3464),"⚠ Origen igual a destino",IF(AND(K3464&lt;&gt;"",ISNA(MATCH(K3464,ctaNombre,0))),"⚠ Destino no registrado",IF(AND(P3464="Pago tarjeta",AE3464&lt;&gt;"Tarjeta de crédito"),"⚠ El destino debe ser tarjeta de crédito",IF(AND(P3464="Gasto",E3464="Depósitos y retiros"),"⚠ Usa tipo Transferencia",IF(AND(P3464="Resultado trading",AD3464&lt;&gt;"Cuenta de trading"),"⚠ Usa una cuenta de trading",IF(AND(G3464&lt;=0,P3464&lt;&gt;"Ajuste",P3464&lt;&gt;"Resultado trading"),"⚠ El monto debe ser positivo","✓")))))))))))))))</f>
        <v/>
      </c>
      <c r="P3464" s="52">
        <f>IF(OR(B3464="",G3464=""),"",IF(C3464="","Gasto",C3464))</f>
        <v/>
      </c>
      <c r="Q3464" s="52">
        <f>IF(P3464="","",IF(J3464&lt;&gt;"",J3464,CuentaPred&amp;""))</f>
        <v/>
      </c>
      <c r="R3464" s="52">
        <f>IF(P3464="","",IF(ISNUMBER(I3464),I3464,TasaUSD))</f>
        <v/>
      </c>
      <c r="S3464" s="53">
        <f>IF(P3464="","",IF(H3464="USD",G3464*R3464,G3464))</f>
        <v/>
      </c>
      <c r="T3464" s="53">
        <f>IF(P3464="","",IF(H3464="USD",G3464,IF(R3464&gt;0,G3464/R3464,0)))</f>
        <v/>
      </c>
      <c r="U3464" s="53">
        <f>IF(P3464="","",IF(P3464="Gasto",S3464,IF(P3464="Reembolso",-S3464,0)))</f>
        <v/>
      </c>
      <c r="V3464" s="53">
        <f>IF(P3464="","",IF(P3464="Ingreso",S3464,0))</f>
        <v/>
      </c>
      <c r="W3464" s="53">
        <f>IF(P3464="","",IF(P3464="Resultado trading",S3464,0))</f>
        <v/>
      </c>
      <c r="X3464" s="52">
        <f>IF(OR(P3464="Gasto",P3464="Reembolso"),IF(M3464&lt;&gt;"",M3464,IFERROR(INDEX(catClasif,MATCH(D3464&amp;"|"&amp;E3464,catClave,0))&amp;"","Variable")),"")</f>
        <v/>
      </c>
      <c r="Y3464" s="52">
        <f>IF(P3464="","",IFERROR(INDEX(catGrupo,MATCH(D3464&amp;"|"&amp;E3464,catClave,0))&amp;"",""))</f>
        <v/>
      </c>
      <c r="Z3464" s="52">
        <f>IF(P3464="","",WEEKDAY(B3464,2))</f>
        <v/>
      </c>
      <c r="AA3464" s="52">
        <f>IF(P3464="","",IF(AND(P3464="Gasto",X3464="Variable",D3464&lt;&gt;catTrading,S3464&gt;0,S3464&lt;=Umbral),1,0))</f>
        <v/>
      </c>
      <c r="AB3464" s="52">
        <f>IF(OR(P3464="",Q3464=""),"",IFERROR(IF(INDEX(ctaVinc,MATCH(Q3464,ctaNombre,0))&amp;""&lt;&gt;"",INDEX(ctaVinc,MATCH(Q3464,ctaNombre,0))&amp;"",Q3464),Q3464))</f>
        <v/>
      </c>
      <c r="AC3464" s="52">
        <f>IF(OR(K3464="",AND(P3464&lt;&gt;"Transferencia",P3464&lt;&gt;"Pago tarjeta")),"",IFERROR(IF(INDEX(ctaVinc,MATCH(K3464,ctaNombre,0))&amp;""&lt;&gt;"",INDEX(ctaVinc,MATCH(K3464,ctaNombre,0))&amp;"",K3464),K3464))</f>
        <v/>
      </c>
      <c r="AD3464" s="52">
        <f>IF(AB3464="","",IFERROR(INDEX(ctaTipo,MATCH(AB3464,ctaNombre,0))&amp;"",""))</f>
        <v/>
      </c>
      <c r="AE3464" s="52">
        <f>IF(AC3464="","",IFERROR(INDEX(ctaTipo,MATCH(AC3464,ctaNombre,0))&amp;"",""))</f>
        <v/>
      </c>
      <c r="AF3464" s="53">
        <f>IF(OR(P3464="",AB3464=""),"",IF(OR(P3464="Gasto",P3464="Transferencia",P3464="Pago tarjeta"),-1,1)*IF(IFERROR(INDEX(ctaMoneda,MATCH(AB3464,ctaNombre,0))&amp;"","DOP")="USD",T3464,S3464))</f>
        <v/>
      </c>
      <c r="AG3464" s="53">
        <f>IF(AC3464="","",IF(IFERROR(INDEX(ctaMoneda,MATCH(AC3464,ctaNombre,0))&amp;"","DOP")="USD",T3464,S3464))</f>
        <v/>
      </c>
      <c r="AH3464" s="53">
        <f>IF(P3464="","",IF(AND(AD3464&lt;&gt;"",COUNTIFS(tcTipo,AD3464,tcLiq,"Sí")&gt;0),IF(OR(P3464="Gasto",P3464="Transferencia",P3464="Pago tarjeta"),-1,1)*S3464,0)+IF(AND(AE3464&lt;&gt;"",COUNTIFS(tcTipo,AE3464,tcLiq,"Sí")&gt;0),S3464,0))</f>
        <v/>
      </c>
      <c r="AI3464" s="52">
        <f>IF(OR(L3464="",P3464=""),"",IF(COUNTIFS(L$6:L3464,L3464,P$6:P3464,"?*")=1,MAX(AI$5:AI3463)+1,""))</f>
        <v/>
      </c>
    </row>
    <row r="3465">
      <c r="B3465" s="47" t="n"/>
      <c r="C3465" s="48" t="n"/>
      <c r="D3465" s="48" t="n"/>
      <c r="E3465" s="48" t="n"/>
      <c r="F3465" s="48" t="n"/>
      <c r="G3465" s="49" t="n"/>
      <c r="H3465" s="48" t="n"/>
      <c r="I3465" s="50" t="n"/>
      <c r="J3465" s="48" t="n"/>
      <c r="K3465" s="48" t="n"/>
      <c r="L3465" s="48" t="n"/>
      <c r="M3465" s="48" t="n"/>
      <c r="N3465" s="48" t="n"/>
      <c r="O3465" s="51">
        <f>IF(AND(B3465="",G3465="",C3465="",D3465="",J3465=""),"",IF(B3465="","⚠ Falta fecha",IF(G3465="","⚠ Falta monto",IF(Q3465="","⚠ Falta cuenta",IF(ISNA(MATCH(Q3465,ctaNombre,0)),"⚠ Cuenta no registrada",IF(AND(OR(P3465="Gasto",P3465="Reembolso"),D3465=""),"⚠ Falta categoría",IF(AND(D3465&lt;&gt;"",E3465&lt;&gt;"",ISNA(MATCH(D3465&amp;"|"&amp;E3465,catClave,0))),"⚠ Subcategoría no corresponde",IF(AND(OR(P3465="Transferencia",P3465="Pago tarjeta"),K3465=""),"⚠ Falta cuenta destino",IF(AND(K3465&lt;&gt;"",P3465&lt;&gt;"Transferencia",P3465&lt;&gt;"Pago tarjeta"),"⚠ Destino solo aplica a transferencias",IF(AND(K3465&lt;&gt;"",K3465=Q3465),"⚠ Origen igual a destino",IF(AND(K3465&lt;&gt;"",ISNA(MATCH(K3465,ctaNombre,0))),"⚠ Destino no registrado",IF(AND(P3465="Pago tarjeta",AE3465&lt;&gt;"Tarjeta de crédito"),"⚠ El destino debe ser tarjeta de crédito",IF(AND(P3465="Gasto",E3465="Depósitos y retiros"),"⚠ Usa tipo Transferencia",IF(AND(P3465="Resultado trading",AD3465&lt;&gt;"Cuenta de trading"),"⚠ Usa una cuenta de trading",IF(AND(G3465&lt;=0,P3465&lt;&gt;"Ajuste",P3465&lt;&gt;"Resultado trading"),"⚠ El monto debe ser positivo","✓")))))))))))))))</f>
        <v/>
      </c>
      <c r="P3465" s="52">
        <f>IF(OR(B3465="",G3465=""),"",IF(C3465="","Gasto",C3465))</f>
        <v/>
      </c>
      <c r="Q3465" s="52">
        <f>IF(P3465="","",IF(J3465&lt;&gt;"",J3465,CuentaPred&amp;""))</f>
        <v/>
      </c>
      <c r="R3465" s="52">
        <f>IF(P3465="","",IF(ISNUMBER(I3465),I3465,TasaUSD))</f>
        <v/>
      </c>
      <c r="S3465" s="53">
        <f>IF(P3465="","",IF(H3465="USD",G3465*R3465,G3465))</f>
        <v/>
      </c>
      <c r="T3465" s="53">
        <f>IF(P3465="","",IF(H3465="USD",G3465,IF(R3465&gt;0,G3465/R3465,0)))</f>
        <v/>
      </c>
      <c r="U3465" s="53">
        <f>IF(P3465="","",IF(P3465="Gasto",S3465,IF(P3465="Reembolso",-S3465,0)))</f>
        <v/>
      </c>
      <c r="V3465" s="53">
        <f>IF(P3465="","",IF(P3465="Ingreso",S3465,0))</f>
        <v/>
      </c>
      <c r="W3465" s="53">
        <f>IF(P3465="","",IF(P3465="Resultado trading",S3465,0))</f>
        <v/>
      </c>
      <c r="X3465" s="52">
        <f>IF(OR(P3465="Gasto",P3465="Reembolso"),IF(M3465&lt;&gt;"",M3465,IFERROR(INDEX(catClasif,MATCH(D3465&amp;"|"&amp;E3465,catClave,0))&amp;"","Variable")),"")</f>
        <v/>
      </c>
      <c r="Y3465" s="52">
        <f>IF(P3465="","",IFERROR(INDEX(catGrupo,MATCH(D3465&amp;"|"&amp;E3465,catClave,0))&amp;"",""))</f>
        <v/>
      </c>
      <c r="Z3465" s="52">
        <f>IF(P3465="","",WEEKDAY(B3465,2))</f>
        <v/>
      </c>
      <c r="AA3465" s="52">
        <f>IF(P3465="","",IF(AND(P3465="Gasto",X3465="Variable",D3465&lt;&gt;catTrading,S3465&gt;0,S3465&lt;=Umbral),1,0))</f>
        <v/>
      </c>
      <c r="AB3465" s="52">
        <f>IF(OR(P3465="",Q3465=""),"",IFERROR(IF(INDEX(ctaVinc,MATCH(Q3465,ctaNombre,0))&amp;""&lt;&gt;"",INDEX(ctaVinc,MATCH(Q3465,ctaNombre,0))&amp;"",Q3465),Q3465))</f>
        <v/>
      </c>
      <c r="AC3465" s="52">
        <f>IF(OR(K3465="",AND(P3465&lt;&gt;"Transferencia",P3465&lt;&gt;"Pago tarjeta")),"",IFERROR(IF(INDEX(ctaVinc,MATCH(K3465,ctaNombre,0))&amp;""&lt;&gt;"",INDEX(ctaVinc,MATCH(K3465,ctaNombre,0))&amp;"",K3465),K3465))</f>
        <v/>
      </c>
      <c r="AD3465" s="52">
        <f>IF(AB3465="","",IFERROR(INDEX(ctaTipo,MATCH(AB3465,ctaNombre,0))&amp;"",""))</f>
        <v/>
      </c>
      <c r="AE3465" s="52">
        <f>IF(AC3465="","",IFERROR(INDEX(ctaTipo,MATCH(AC3465,ctaNombre,0))&amp;"",""))</f>
        <v/>
      </c>
      <c r="AF3465" s="53">
        <f>IF(OR(P3465="",AB3465=""),"",IF(OR(P3465="Gasto",P3465="Transferencia",P3465="Pago tarjeta"),-1,1)*IF(IFERROR(INDEX(ctaMoneda,MATCH(AB3465,ctaNombre,0))&amp;"","DOP")="USD",T3465,S3465))</f>
        <v/>
      </c>
      <c r="AG3465" s="53">
        <f>IF(AC3465="","",IF(IFERROR(INDEX(ctaMoneda,MATCH(AC3465,ctaNombre,0))&amp;"","DOP")="USD",T3465,S3465))</f>
        <v/>
      </c>
      <c r="AH3465" s="53">
        <f>IF(P3465="","",IF(AND(AD3465&lt;&gt;"",COUNTIFS(tcTipo,AD3465,tcLiq,"Sí")&gt;0),IF(OR(P3465="Gasto",P3465="Transferencia",P3465="Pago tarjeta"),-1,1)*S3465,0)+IF(AND(AE3465&lt;&gt;"",COUNTIFS(tcTipo,AE3465,tcLiq,"Sí")&gt;0),S3465,0))</f>
        <v/>
      </c>
      <c r="AI3465" s="52">
        <f>IF(OR(L3465="",P3465=""),"",IF(COUNTIFS(L$6:L3465,L3465,P$6:P3465,"?*")=1,MAX(AI$5:AI3464)+1,""))</f>
        <v/>
      </c>
    </row>
    <row r="3466">
      <c r="B3466" s="47" t="n"/>
      <c r="C3466" s="48" t="n"/>
      <c r="D3466" s="48" t="n"/>
      <c r="E3466" s="48" t="n"/>
      <c r="F3466" s="48" t="n"/>
      <c r="G3466" s="49" t="n"/>
      <c r="H3466" s="48" t="n"/>
      <c r="I3466" s="50" t="n"/>
      <c r="J3466" s="48" t="n"/>
      <c r="K3466" s="48" t="n"/>
      <c r="L3466" s="48" t="n"/>
      <c r="M3466" s="48" t="n"/>
      <c r="N3466" s="48" t="n"/>
      <c r="O3466" s="51">
        <f>IF(AND(B3466="",G3466="",C3466="",D3466="",J3466=""),"",IF(B3466="","⚠ Falta fecha",IF(G3466="","⚠ Falta monto",IF(Q3466="","⚠ Falta cuenta",IF(ISNA(MATCH(Q3466,ctaNombre,0)),"⚠ Cuenta no registrada",IF(AND(OR(P3466="Gasto",P3466="Reembolso"),D3466=""),"⚠ Falta categoría",IF(AND(D3466&lt;&gt;"",E3466&lt;&gt;"",ISNA(MATCH(D3466&amp;"|"&amp;E3466,catClave,0))),"⚠ Subcategoría no corresponde",IF(AND(OR(P3466="Transferencia",P3466="Pago tarjeta"),K3466=""),"⚠ Falta cuenta destino",IF(AND(K3466&lt;&gt;"",P3466&lt;&gt;"Transferencia",P3466&lt;&gt;"Pago tarjeta"),"⚠ Destino solo aplica a transferencias",IF(AND(K3466&lt;&gt;"",K3466=Q3466),"⚠ Origen igual a destino",IF(AND(K3466&lt;&gt;"",ISNA(MATCH(K3466,ctaNombre,0))),"⚠ Destino no registrado",IF(AND(P3466="Pago tarjeta",AE3466&lt;&gt;"Tarjeta de crédito"),"⚠ El destino debe ser tarjeta de crédito",IF(AND(P3466="Gasto",E3466="Depósitos y retiros"),"⚠ Usa tipo Transferencia",IF(AND(P3466="Resultado trading",AD3466&lt;&gt;"Cuenta de trading"),"⚠ Usa una cuenta de trading",IF(AND(G3466&lt;=0,P3466&lt;&gt;"Ajuste",P3466&lt;&gt;"Resultado trading"),"⚠ El monto debe ser positivo","✓")))))))))))))))</f>
        <v/>
      </c>
      <c r="P3466" s="52">
        <f>IF(OR(B3466="",G3466=""),"",IF(C3466="","Gasto",C3466))</f>
        <v/>
      </c>
      <c r="Q3466" s="52">
        <f>IF(P3466="","",IF(J3466&lt;&gt;"",J3466,CuentaPred&amp;""))</f>
        <v/>
      </c>
      <c r="R3466" s="52">
        <f>IF(P3466="","",IF(ISNUMBER(I3466),I3466,TasaUSD))</f>
        <v/>
      </c>
      <c r="S3466" s="53">
        <f>IF(P3466="","",IF(H3466="USD",G3466*R3466,G3466))</f>
        <v/>
      </c>
      <c r="T3466" s="53">
        <f>IF(P3466="","",IF(H3466="USD",G3466,IF(R3466&gt;0,G3466/R3466,0)))</f>
        <v/>
      </c>
      <c r="U3466" s="53">
        <f>IF(P3466="","",IF(P3466="Gasto",S3466,IF(P3466="Reembolso",-S3466,0)))</f>
        <v/>
      </c>
      <c r="V3466" s="53">
        <f>IF(P3466="","",IF(P3466="Ingreso",S3466,0))</f>
        <v/>
      </c>
      <c r="W3466" s="53">
        <f>IF(P3466="","",IF(P3466="Resultado trading",S3466,0))</f>
        <v/>
      </c>
      <c r="X3466" s="52">
        <f>IF(OR(P3466="Gasto",P3466="Reembolso"),IF(M3466&lt;&gt;"",M3466,IFERROR(INDEX(catClasif,MATCH(D3466&amp;"|"&amp;E3466,catClave,0))&amp;"","Variable")),"")</f>
        <v/>
      </c>
      <c r="Y3466" s="52">
        <f>IF(P3466="","",IFERROR(INDEX(catGrupo,MATCH(D3466&amp;"|"&amp;E3466,catClave,0))&amp;"",""))</f>
        <v/>
      </c>
      <c r="Z3466" s="52">
        <f>IF(P3466="","",WEEKDAY(B3466,2))</f>
        <v/>
      </c>
      <c r="AA3466" s="52">
        <f>IF(P3466="","",IF(AND(P3466="Gasto",X3466="Variable",D3466&lt;&gt;catTrading,S3466&gt;0,S3466&lt;=Umbral),1,0))</f>
        <v/>
      </c>
      <c r="AB3466" s="52">
        <f>IF(OR(P3466="",Q3466=""),"",IFERROR(IF(INDEX(ctaVinc,MATCH(Q3466,ctaNombre,0))&amp;""&lt;&gt;"",INDEX(ctaVinc,MATCH(Q3466,ctaNombre,0))&amp;"",Q3466),Q3466))</f>
        <v/>
      </c>
      <c r="AC3466" s="52">
        <f>IF(OR(K3466="",AND(P3466&lt;&gt;"Transferencia",P3466&lt;&gt;"Pago tarjeta")),"",IFERROR(IF(INDEX(ctaVinc,MATCH(K3466,ctaNombre,0))&amp;""&lt;&gt;"",INDEX(ctaVinc,MATCH(K3466,ctaNombre,0))&amp;"",K3466),K3466))</f>
        <v/>
      </c>
      <c r="AD3466" s="52">
        <f>IF(AB3466="","",IFERROR(INDEX(ctaTipo,MATCH(AB3466,ctaNombre,0))&amp;"",""))</f>
        <v/>
      </c>
      <c r="AE3466" s="52">
        <f>IF(AC3466="","",IFERROR(INDEX(ctaTipo,MATCH(AC3466,ctaNombre,0))&amp;"",""))</f>
        <v/>
      </c>
      <c r="AF3466" s="53">
        <f>IF(OR(P3466="",AB3466=""),"",IF(OR(P3466="Gasto",P3466="Transferencia",P3466="Pago tarjeta"),-1,1)*IF(IFERROR(INDEX(ctaMoneda,MATCH(AB3466,ctaNombre,0))&amp;"","DOP")="USD",T3466,S3466))</f>
        <v/>
      </c>
      <c r="AG3466" s="53">
        <f>IF(AC3466="","",IF(IFERROR(INDEX(ctaMoneda,MATCH(AC3466,ctaNombre,0))&amp;"","DOP")="USD",T3466,S3466))</f>
        <v/>
      </c>
      <c r="AH3466" s="53">
        <f>IF(P3466="","",IF(AND(AD3466&lt;&gt;"",COUNTIFS(tcTipo,AD3466,tcLiq,"Sí")&gt;0),IF(OR(P3466="Gasto",P3466="Transferencia",P3466="Pago tarjeta"),-1,1)*S3466,0)+IF(AND(AE3466&lt;&gt;"",COUNTIFS(tcTipo,AE3466,tcLiq,"Sí")&gt;0),S3466,0))</f>
        <v/>
      </c>
      <c r="AI3466" s="52">
        <f>IF(OR(L3466="",P3466=""),"",IF(COUNTIFS(L$6:L3466,L3466,P$6:P3466,"?*")=1,MAX(AI$5:AI3465)+1,""))</f>
        <v/>
      </c>
    </row>
    <row r="3467">
      <c r="B3467" s="47" t="n"/>
      <c r="C3467" s="48" t="n"/>
      <c r="D3467" s="48" t="n"/>
      <c r="E3467" s="48" t="n"/>
      <c r="F3467" s="48" t="n"/>
      <c r="G3467" s="49" t="n"/>
      <c r="H3467" s="48" t="n"/>
      <c r="I3467" s="50" t="n"/>
      <c r="J3467" s="48" t="n"/>
      <c r="K3467" s="48" t="n"/>
      <c r="L3467" s="48" t="n"/>
      <c r="M3467" s="48" t="n"/>
      <c r="N3467" s="48" t="n"/>
      <c r="O3467" s="51">
        <f>IF(AND(B3467="",G3467="",C3467="",D3467="",J3467=""),"",IF(B3467="","⚠ Falta fecha",IF(G3467="","⚠ Falta monto",IF(Q3467="","⚠ Falta cuenta",IF(ISNA(MATCH(Q3467,ctaNombre,0)),"⚠ Cuenta no registrada",IF(AND(OR(P3467="Gasto",P3467="Reembolso"),D3467=""),"⚠ Falta categoría",IF(AND(D3467&lt;&gt;"",E3467&lt;&gt;"",ISNA(MATCH(D3467&amp;"|"&amp;E3467,catClave,0))),"⚠ Subcategoría no corresponde",IF(AND(OR(P3467="Transferencia",P3467="Pago tarjeta"),K3467=""),"⚠ Falta cuenta destino",IF(AND(K3467&lt;&gt;"",P3467&lt;&gt;"Transferencia",P3467&lt;&gt;"Pago tarjeta"),"⚠ Destino solo aplica a transferencias",IF(AND(K3467&lt;&gt;"",K3467=Q3467),"⚠ Origen igual a destino",IF(AND(K3467&lt;&gt;"",ISNA(MATCH(K3467,ctaNombre,0))),"⚠ Destino no registrado",IF(AND(P3467="Pago tarjeta",AE3467&lt;&gt;"Tarjeta de crédito"),"⚠ El destino debe ser tarjeta de crédito",IF(AND(P3467="Gasto",E3467="Depósitos y retiros"),"⚠ Usa tipo Transferencia",IF(AND(P3467="Resultado trading",AD3467&lt;&gt;"Cuenta de trading"),"⚠ Usa una cuenta de trading",IF(AND(G3467&lt;=0,P3467&lt;&gt;"Ajuste",P3467&lt;&gt;"Resultado trading"),"⚠ El monto debe ser positivo","✓")))))))))))))))</f>
        <v/>
      </c>
      <c r="P3467" s="52">
        <f>IF(OR(B3467="",G3467=""),"",IF(C3467="","Gasto",C3467))</f>
        <v/>
      </c>
      <c r="Q3467" s="52">
        <f>IF(P3467="","",IF(J3467&lt;&gt;"",J3467,CuentaPred&amp;""))</f>
        <v/>
      </c>
      <c r="R3467" s="52">
        <f>IF(P3467="","",IF(ISNUMBER(I3467),I3467,TasaUSD))</f>
        <v/>
      </c>
      <c r="S3467" s="53">
        <f>IF(P3467="","",IF(H3467="USD",G3467*R3467,G3467))</f>
        <v/>
      </c>
      <c r="T3467" s="53">
        <f>IF(P3467="","",IF(H3467="USD",G3467,IF(R3467&gt;0,G3467/R3467,0)))</f>
        <v/>
      </c>
      <c r="U3467" s="53">
        <f>IF(P3467="","",IF(P3467="Gasto",S3467,IF(P3467="Reembolso",-S3467,0)))</f>
        <v/>
      </c>
      <c r="V3467" s="53">
        <f>IF(P3467="","",IF(P3467="Ingreso",S3467,0))</f>
        <v/>
      </c>
      <c r="W3467" s="53">
        <f>IF(P3467="","",IF(P3467="Resultado trading",S3467,0))</f>
        <v/>
      </c>
      <c r="X3467" s="52">
        <f>IF(OR(P3467="Gasto",P3467="Reembolso"),IF(M3467&lt;&gt;"",M3467,IFERROR(INDEX(catClasif,MATCH(D3467&amp;"|"&amp;E3467,catClave,0))&amp;"","Variable")),"")</f>
        <v/>
      </c>
      <c r="Y3467" s="52">
        <f>IF(P3467="","",IFERROR(INDEX(catGrupo,MATCH(D3467&amp;"|"&amp;E3467,catClave,0))&amp;"",""))</f>
        <v/>
      </c>
      <c r="Z3467" s="52">
        <f>IF(P3467="","",WEEKDAY(B3467,2))</f>
        <v/>
      </c>
      <c r="AA3467" s="52">
        <f>IF(P3467="","",IF(AND(P3467="Gasto",X3467="Variable",D3467&lt;&gt;catTrading,S3467&gt;0,S3467&lt;=Umbral),1,0))</f>
        <v/>
      </c>
      <c r="AB3467" s="52">
        <f>IF(OR(P3467="",Q3467=""),"",IFERROR(IF(INDEX(ctaVinc,MATCH(Q3467,ctaNombre,0))&amp;""&lt;&gt;"",INDEX(ctaVinc,MATCH(Q3467,ctaNombre,0))&amp;"",Q3467),Q3467))</f>
        <v/>
      </c>
      <c r="AC3467" s="52">
        <f>IF(OR(K3467="",AND(P3467&lt;&gt;"Transferencia",P3467&lt;&gt;"Pago tarjeta")),"",IFERROR(IF(INDEX(ctaVinc,MATCH(K3467,ctaNombre,0))&amp;""&lt;&gt;"",INDEX(ctaVinc,MATCH(K3467,ctaNombre,0))&amp;"",K3467),K3467))</f>
        <v/>
      </c>
      <c r="AD3467" s="52">
        <f>IF(AB3467="","",IFERROR(INDEX(ctaTipo,MATCH(AB3467,ctaNombre,0))&amp;"",""))</f>
        <v/>
      </c>
      <c r="AE3467" s="52">
        <f>IF(AC3467="","",IFERROR(INDEX(ctaTipo,MATCH(AC3467,ctaNombre,0))&amp;"",""))</f>
        <v/>
      </c>
      <c r="AF3467" s="53">
        <f>IF(OR(P3467="",AB3467=""),"",IF(OR(P3467="Gasto",P3467="Transferencia",P3467="Pago tarjeta"),-1,1)*IF(IFERROR(INDEX(ctaMoneda,MATCH(AB3467,ctaNombre,0))&amp;"","DOP")="USD",T3467,S3467))</f>
        <v/>
      </c>
      <c r="AG3467" s="53">
        <f>IF(AC3467="","",IF(IFERROR(INDEX(ctaMoneda,MATCH(AC3467,ctaNombre,0))&amp;"","DOP")="USD",T3467,S3467))</f>
        <v/>
      </c>
      <c r="AH3467" s="53">
        <f>IF(P3467="","",IF(AND(AD3467&lt;&gt;"",COUNTIFS(tcTipo,AD3467,tcLiq,"Sí")&gt;0),IF(OR(P3467="Gasto",P3467="Transferencia",P3467="Pago tarjeta"),-1,1)*S3467,0)+IF(AND(AE3467&lt;&gt;"",COUNTIFS(tcTipo,AE3467,tcLiq,"Sí")&gt;0),S3467,0))</f>
        <v/>
      </c>
      <c r="AI3467" s="52">
        <f>IF(OR(L3467="",P3467=""),"",IF(COUNTIFS(L$6:L3467,L3467,P$6:P3467,"?*")=1,MAX(AI$5:AI3466)+1,""))</f>
        <v/>
      </c>
    </row>
    <row r="3468">
      <c r="B3468" s="47" t="n"/>
      <c r="C3468" s="48" t="n"/>
      <c r="D3468" s="48" t="n"/>
      <c r="E3468" s="48" t="n"/>
      <c r="F3468" s="48" t="n"/>
      <c r="G3468" s="49" t="n"/>
      <c r="H3468" s="48" t="n"/>
      <c r="I3468" s="50" t="n"/>
      <c r="J3468" s="48" t="n"/>
      <c r="K3468" s="48" t="n"/>
      <c r="L3468" s="48" t="n"/>
      <c r="M3468" s="48" t="n"/>
      <c r="N3468" s="48" t="n"/>
      <c r="O3468" s="51">
        <f>IF(AND(B3468="",G3468="",C3468="",D3468="",J3468=""),"",IF(B3468="","⚠ Falta fecha",IF(G3468="","⚠ Falta monto",IF(Q3468="","⚠ Falta cuenta",IF(ISNA(MATCH(Q3468,ctaNombre,0)),"⚠ Cuenta no registrada",IF(AND(OR(P3468="Gasto",P3468="Reembolso"),D3468=""),"⚠ Falta categoría",IF(AND(D3468&lt;&gt;"",E3468&lt;&gt;"",ISNA(MATCH(D3468&amp;"|"&amp;E3468,catClave,0))),"⚠ Subcategoría no corresponde",IF(AND(OR(P3468="Transferencia",P3468="Pago tarjeta"),K3468=""),"⚠ Falta cuenta destino",IF(AND(K3468&lt;&gt;"",P3468&lt;&gt;"Transferencia",P3468&lt;&gt;"Pago tarjeta"),"⚠ Destino solo aplica a transferencias",IF(AND(K3468&lt;&gt;"",K3468=Q3468),"⚠ Origen igual a destino",IF(AND(K3468&lt;&gt;"",ISNA(MATCH(K3468,ctaNombre,0))),"⚠ Destino no registrado",IF(AND(P3468="Pago tarjeta",AE3468&lt;&gt;"Tarjeta de crédito"),"⚠ El destino debe ser tarjeta de crédito",IF(AND(P3468="Gasto",E3468="Depósitos y retiros"),"⚠ Usa tipo Transferencia",IF(AND(P3468="Resultado trading",AD3468&lt;&gt;"Cuenta de trading"),"⚠ Usa una cuenta de trading",IF(AND(G3468&lt;=0,P3468&lt;&gt;"Ajuste",P3468&lt;&gt;"Resultado trading"),"⚠ El monto debe ser positivo","✓")))))))))))))))</f>
        <v/>
      </c>
      <c r="P3468" s="52">
        <f>IF(OR(B3468="",G3468=""),"",IF(C3468="","Gasto",C3468))</f>
        <v/>
      </c>
      <c r="Q3468" s="52">
        <f>IF(P3468="","",IF(J3468&lt;&gt;"",J3468,CuentaPred&amp;""))</f>
        <v/>
      </c>
      <c r="R3468" s="52">
        <f>IF(P3468="","",IF(ISNUMBER(I3468),I3468,TasaUSD))</f>
        <v/>
      </c>
      <c r="S3468" s="53">
        <f>IF(P3468="","",IF(H3468="USD",G3468*R3468,G3468))</f>
        <v/>
      </c>
      <c r="T3468" s="53">
        <f>IF(P3468="","",IF(H3468="USD",G3468,IF(R3468&gt;0,G3468/R3468,0)))</f>
        <v/>
      </c>
      <c r="U3468" s="53">
        <f>IF(P3468="","",IF(P3468="Gasto",S3468,IF(P3468="Reembolso",-S3468,0)))</f>
        <v/>
      </c>
      <c r="V3468" s="53">
        <f>IF(P3468="","",IF(P3468="Ingreso",S3468,0))</f>
        <v/>
      </c>
      <c r="W3468" s="53">
        <f>IF(P3468="","",IF(P3468="Resultado trading",S3468,0))</f>
        <v/>
      </c>
      <c r="X3468" s="52">
        <f>IF(OR(P3468="Gasto",P3468="Reembolso"),IF(M3468&lt;&gt;"",M3468,IFERROR(INDEX(catClasif,MATCH(D3468&amp;"|"&amp;E3468,catClave,0))&amp;"","Variable")),"")</f>
        <v/>
      </c>
      <c r="Y3468" s="52">
        <f>IF(P3468="","",IFERROR(INDEX(catGrupo,MATCH(D3468&amp;"|"&amp;E3468,catClave,0))&amp;"",""))</f>
        <v/>
      </c>
      <c r="Z3468" s="52">
        <f>IF(P3468="","",WEEKDAY(B3468,2))</f>
        <v/>
      </c>
      <c r="AA3468" s="52">
        <f>IF(P3468="","",IF(AND(P3468="Gasto",X3468="Variable",D3468&lt;&gt;catTrading,S3468&gt;0,S3468&lt;=Umbral),1,0))</f>
        <v/>
      </c>
      <c r="AB3468" s="52">
        <f>IF(OR(P3468="",Q3468=""),"",IFERROR(IF(INDEX(ctaVinc,MATCH(Q3468,ctaNombre,0))&amp;""&lt;&gt;"",INDEX(ctaVinc,MATCH(Q3468,ctaNombre,0))&amp;"",Q3468),Q3468))</f>
        <v/>
      </c>
      <c r="AC3468" s="52">
        <f>IF(OR(K3468="",AND(P3468&lt;&gt;"Transferencia",P3468&lt;&gt;"Pago tarjeta")),"",IFERROR(IF(INDEX(ctaVinc,MATCH(K3468,ctaNombre,0))&amp;""&lt;&gt;"",INDEX(ctaVinc,MATCH(K3468,ctaNombre,0))&amp;"",K3468),K3468))</f>
        <v/>
      </c>
      <c r="AD3468" s="52">
        <f>IF(AB3468="","",IFERROR(INDEX(ctaTipo,MATCH(AB3468,ctaNombre,0))&amp;"",""))</f>
        <v/>
      </c>
      <c r="AE3468" s="52">
        <f>IF(AC3468="","",IFERROR(INDEX(ctaTipo,MATCH(AC3468,ctaNombre,0))&amp;"",""))</f>
        <v/>
      </c>
      <c r="AF3468" s="53">
        <f>IF(OR(P3468="",AB3468=""),"",IF(OR(P3468="Gasto",P3468="Transferencia",P3468="Pago tarjeta"),-1,1)*IF(IFERROR(INDEX(ctaMoneda,MATCH(AB3468,ctaNombre,0))&amp;"","DOP")="USD",T3468,S3468))</f>
        <v/>
      </c>
      <c r="AG3468" s="53">
        <f>IF(AC3468="","",IF(IFERROR(INDEX(ctaMoneda,MATCH(AC3468,ctaNombre,0))&amp;"","DOP")="USD",T3468,S3468))</f>
        <v/>
      </c>
      <c r="AH3468" s="53">
        <f>IF(P3468="","",IF(AND(AD3468&lt;&gt;"",COUNTIFS(tcTipo,AD3468,tcLiq,"Sí")&gt;0),IF(OR(P3468="Gasto",P3468="Transferencia",P3468="Pago tarjeta"),-1,1)*S3468,0)+IF(AND(AE3468&lt;&gt;"",COUNTIFS(tcTipo,AE3468,tcLiq,"Sí")&gt;0),S3468,0))</f>
        <v/>
      </c>
      <c r="AI3468" s="52">
        <f>IF(OR(L3468="",P3468=""),"",IF(COUNTIFS(L$6:L3468,L3468,P$6:P3468,"?*")=1,MAX(AI$5:AI3467)+1,""))</f>
        <v/>
      </c>
    </row>
    <row r="3469">
      <c r="B3469" s="47" t="n"/>
      <c r="C3469" s="48" t="n"/>
      <c r="D3469" s="48" t="n"/>
      <c r="E3469" s="48" t="n"/>
      <c r="F3469" s="48" t="n"/>
      <c r="G3469" s="49" t="n"/>
      <c r="H3469" s="48" t="n"/>
      <c r="I3469" s="50" t="n"/>
      <c r="J3469" s="48" t="n"/>
      <c r="K3469" s="48" t="n"/>
      <c r="L3469" s="48" t="n"/>
      <c r="M3469" s="48" t="n"/>
      <c r="N3469" s="48" t="n"/>
      <c r="O3469" s="51">
        <f>IF(AND(B3469="",G3469="",C3469="",D3469="",J3469=""),"",IF(B3469="","⚠ Falta fecha",IF(G3469="","⚠ Falta monto",IF(Q3469="","⚠ Falta cuenta",IF(ISNA(MATCH(Q3469,ctaNombre,0)),"⚠ Cuenta no registrada",IF(AND(OR(P3469="Gasto",P3469="Reembolso"),D3469=""),"⚠ Falta categoría",IF(AND(D3469&lt;&gt;"",E3469&lt;&gt;"",ISNA(MATCH(D3469&amp;"|"&amp;E3469,catClave,0))),"⚠ Subcategoría no corresponde",IF(AND(OR(P3469="Transferencia",P3469="Pago tarjeta"),K3469=""),"⚠ Falta cuenta destino",IF(AND(K3469&lt;&gt;"",P3469&lt;&gt;"Transferencia",P3469&lt;&gt;"Pago tarjeta"),"⚠ Destino solo aplica a transferencias",IF(AND(K3469&lt;&gt;"",K3469=Q3469),"⚠ Origen igual a destino",IF(AND(K3469&lt;&gt;"",ISNA(MATCH(K3469,ctaNombre,0))),"⚠ Destino no registrado",IF(AND(P3469="Pago tarjeta",AE3469&lt;&gt;"Tarjeta de crédito"),"⚠ El destino debe ser tarjeta de crédito",IF(AND(P3469="Gasto",E3469="Depósitos y retiros"),"⚠ Usa tipo Transferencia",IF(AND(P3469="Resultado trading",AD3469&lt;&gt;"Cuenta de trading"),"⚠ Usa una cuenta de trading",IF(AND(G3469&lt;=0,P3469&lt;&gt;"Ajuste",P3469&lt;&gt;"Resultado trading"),"⚠ El monto debe ser positivo","✓")))))))))))))))</f>
        <v/>
      </c>
      <c r="P3469" s="52">
        <f>IF(OR(B3469="",G3469=""),"",IF(C3469="","Gasto",C3469))</f>
        <v/>
      </c>
      <c r="Q3469" s="52">
        <f>IF(P3469="","",IF(J3469&lt;&gt;"",J3469,CuentaPred&amp;""))</f>
        <v/>
      </c>
      <c r="R3469" s="52">
        <f>IF(P3469="","",IF(ISNUMBER(I3469),I3469,TasaUSD))</f>
        <v/>
      </c>
      <c r="S3469" s="53">
        <f>IF(P3469="","",IF(H3469="USD",G3469*R3469,G3469))</f>
        <v/>
      </c>
      <c r="T3469" s="53">
        <f>IF(P3469="","",IF(H3469="USD",G3469,IF(R3469&gt;0,G3469/R3469,0)))</f>
        <v/>
      </c>
      <c r="U3469" s="53">
        <f>IF(P3469="","",IF(P3469="Gasto",S3469,IF(P3469="Reembolso",-S3469,0)))</f>
        <v/>
      </c>
      <c r="V3469" s="53">
        <f>IF(P3469="","",IF(P3469="Ingreso",S3469,0))</f>
        <v/>
      </c>
      <c r="W3469" s="53">
        <f>IF(P3469="","",IF(P3469="Resultado trading",S3469,0))</f>
        <v/>
      </c>
      <c r="X3469" s="52">
        <f>IF(OR(P3469="Gasto",P3469="Reembolso"),IF(M3469&lt;&gt;"",M3469,IFERROR(INDEX(catClasif,MATCH(D3469&amp;"|"&amp;E3469,catClave,0))&amp;"","Variable")),"")</f>
        <v/>
      </c>
      <c r="Y3469" s="52">
        <f>IF(P3469="","",IFERROR(INDEX(catGrupo,MATCH(D3469&amp;"|"&amp;E3469,catClave,0))&amp;"",""))</f>
        <v/>
      </c>
      <c r="Z3469" s="52">
        <f>IF(P3469="","",WEEKDAY(B3469,2))</f>
        <v/>
      </c>
      <c r="AA3469" s="52">
        <f>IF(P3469="","",IF(AND(P3469="Gasto",X3469="Variable",D3469&lt;&gt;catTrading,S3469&gt;0,S3469&lt;=Umbral),1,0))</f>
        <v/>
      </c>
      <c r="AB3469" s="52">
        <f>IF(OR(P3469="",Q3469=""),"",IFERROR(IF(INDEX(ctaVinc,MATCH(Q3469,ctaNombre,0))&amp;""&lt;&gt;"",INDEX(ctaVinc,MATCH(Q3469,ctaNombre,0))&amp;"",Q3469),Q3469))</f>
        <v/>
      </c>
      <c r="AC3469" s="52">
        <f>IF(OR(K3469="",AND(P3469&lt;&gt;"Transferencia",P3469&lt;&gt;"Pago tarjeta")),"",IFERROR(IF(INDEX(ctaVinc,MATCH(K3469,ctaNombre,0))&amp;""&lt;&gt;"",INDEX(ctaVinc,MATCH(K3469,ctaNombre,0))&amp;"",K3469),K3469))</f>
        <v/>
      </c>
      <c r="AD3469" s="52">
        <f>IF(AB3469="","",IFERROR(INDEX(ctaTipo,MATCH(AB3469,ctaNombre,0))&amp;"",""))</f>
        <v/>
      </c>
      <c r="AE3469" s="52">
        <f>IF(AC3469="","",IFERROR(INDEX(ctaTipo,MATCH(AC3469,ctaNombre,0))&amp;"",""))</f>
        <v/>
      </c>
      <c r="AF3469" s="53">
        <f>IF(OR(P3469="",AB3469=""),"",IF(OR(P3469="Gasto",P3469="Transferencia",P3469="Pago tarjeta"),-1,1)*IF(IFERROR(INDEX(ctaMoneda,MATCH(AB3469,ctaNombre,0))&amp;"","DOP")="USD",T3469,S3469))</f>
        <v/>
      </c>
      <c r="AG3469" s="53">
        <f>IF(AC3469="","",IF(IFERROR(INDEX(ctaMoneda,MATCH(AC3469,ctaNombre,0))&amp;"","DOP")="USD",T3469,S3469))</f>
        <v/>
      </c>
      <c r="AH3469" s="53">
        <f>IF(P3469="","",IF(AND(AD3469&lt;&gt;"",COUNTIFS(tcTipo,AD3469,tcLiq,"Sí")&gt;0),IF(OR(P3469="Gasto",P3469="Transferencia",P3469="Pago tarjeta"),-1,1)*S3469,0)+IF(AND(AE3469&lt;&gt;"",COUNTIFS(tcTipo,AE3469,tcLiq,"Sí")&gt;0),S3469,0))</f>
        <v/>
      </c>
      <c r="AI3469" s="52">
        <f>IF(OR(L3469="",P3469=""),"",IF(COUNTIFS(L$6:L3469,L3469,P$6:P3469,"?*")=1,MAX(AI$5:AI3468)+1,""))</f>
        <v/>
      </c>
    </row>
    <row r="3470">
      <c r="B3470" s="47" t="n"/>
      <c r="C3470" s="48" t="n"/>
      <c r="D3470" s="48" t="n"/>
      <c r="E3470" s="48" t="n"/>
      <c r="F3470" s="48" t="n"/>
      <c r="G3470" s="49" t="n"/>
      <c r="H3470" s="48" t="n"/>
      <c r="I3470" s="50" t="n"/>
      <c r="J3470" s="48" t="n"/>
      <c r="K3470" s="48" t="n"/>
      <c r="L3470" s="48" t="n"/>
      <c r="M3470" s="48" t="n"/>
      <c r="N3470" s="48" t="n"/>
      <c r="O3470" s="51">
        <f>IF(AND(B3470="",G3470="",C3470="",D3470="",J3470=""),"",IF(B3470="","⚠ Falta fecha",IF(G3470="","⚠ Falta monto",IF(Q3470="","⚠ Falta cuenta",IF(ISNA(MATCH(Q3470,ctaNombre,0)),"⚠ Cuenta no registrada",IF(AND(OR(P3470="Gasto",P3470="Reembolso"),D3470=""),"⚠ Falta categoría",IF(AND(D3470&lt;&gt;"",E3470&lt;&gt;"",ISNA(MATCH(D3470&amp;"|"&amp;E3470,catClave,0))),"⚠ Subcategoría no corresponde",IF(AND(OR(P3470="Transferencia",P3470="Pago tarjeta"),K3470=""),"⚠ Falta cuenta destino",IF(AND(K3470&lt;&gt;"",P3470&lt;&gt;"Transferencia",P3470&lt;&gt;"Pago tarjeta"),"⚠ Destino solo aplica a transferencias",IF(AND(K3470&lt;&gt;"",K3470=Q3470),"⚠ Origen igual a destino",IF(AND(K3470&lt;&gt;"",ISNA(MATCH(K3470,ctaNombre,0))),"⚠ Destino no registrado",IF(AND(P3470="Pago tarjeta",AE3470&lt;&gt;"Tarjeta de crédito"),"⚠ El destino debe ser tarjeta de crédito",IF(AND(P3470="Gasto",E3470="Depósitos y retiros"),"⚠ Usa tipo Transferencia",IF(AND(P3470="Resultado trading",AD3470&lt;&gt;"Cuenta de trading"),"⚠ Usa una cuenta de trading",IF(AND(G3470&lt;=0,P3470&lt;&gt;"Ajuste",P3470&lt;&gt;"Resultado trading"),"⚠ El monto debe ser positivo","✓")))))))))))))))</f>
        <v/>
      </c>
      <c r="P3470" s="52">
        <f>IF(OR(B3470="",G3470=""),"",IF(C3470="","Gasto",C3470))</f>
        <v/>
      </c>
      <c r="Q3470" s="52">
        <f>IF(P3470="","",IF(J3470&lt;&gt;"",J3470,CuentaPred&amp;""))</f>
        <v/>
      </c>
      <c r="R3470" s="52">
        <f>IF(P3470="","",IF(ISNUMBER(I3470),I3470,TasaUSD))</f>
        <v/>
      </c>
      <c r="S3470" s="53">
        <f>IF(P3470="","",IF(H3470="USD",G3470*R3470,G3470))</f>
        <v/>
      </c>
      <c r="T3470" s="53">
        <f>IF(P3470="","",IF(H3470="USD",G3470,IF(R3470&gt;0,G3470/R3470,0)))</f>
        <v/>
      </c>
      <c r="U3470" s="53">
        <f>IF(P3470="","",IF(P3470="Gasto",S3470,IF(P3470="Reembolso",-S3470,0)))</f>
        <v/>
      </c>
      <c r="V3470" s="53">
        <f>IF(P3470="","",IF(P3470="Ingreso",S3470,0))</f>
        <v/>
      </c>
      <c r="W3470" s="53">
        <f>IF(P3470="","",IF(P3470="Resultado trading",S3470,0))</f>
        <v/>
      </c>
      <c r="X3470" s="52">
        <f>IF(OR(P3470="Gasto",P3470="Reembolso"),IF(M3470&lt;&gt;"",M3470,IFERROR(INDEX(catClasif,MATCH(D3470&amp;"|"&amp;E3470,catClave,0))&amp;"","Variable")),"")</f>
        <v/>
      </c>
      <c r="Y3470" s="52">
        <f>IF(P3470="","",IFERROR(INDEX(catGrupo,MATCH(D3470&amp;"|"&amp;E3470,catClave,0))&amp;"",""))</f>
        <v/>
      </c>
      <c r="Z3470" s="52">
        <f>IF(P3470="","",WEEKDAY(B3470,2))</f>
        <v/>
      </c>
      <c r="AA3470" s="52">
        <f>IF(P3470="","",IF(AND(P3470="Gasto",X3470="Variable",D3470&lt;&gt;catTrading,S3470&gt;0,S3470&lt;=Umbral),1,0))</f>
        <v/>
      </c>
      <c r="AB3470" s="52">
        <f>IF(OR(P3470="",Q3470=""),"",IFERROR(IF(INDEX(ctaVinc,MATCH(Q3470,ctaNombre,0))&amp;""&lt;&gt;"",INDEX(ctaVinc,MATCH(Q3470,ctaNombre,0))&amp;"",Q3470),Q3470))</f>
        <v/>
      </c>
      <c r="AC3470" s="52">
        <f>IF(OR(K3470="",AND(P3470&lt;&gt;"Transferencia",P3470&lt;&gt;"Pago tarjeta")),"",IFERROR(IF(INDEX(ctaVinc,MATCH(K3470,ctaNombre,0))&amp;""&lt;&gt;"",INDEX(ctaVinc,MATCH(K3470,ctaNombre,0))&amp;"",K3470),K3470))</f>
        <v/>
      </c>
      <c r="AD3470" s="52">
        <f>IF(AB3470="","",IFERROR(INDEX(ctaTipo,MATCH(AB3470,ctaNombre,0))&amp;"",""))</f>
        <v/>
      </c>
      <c r="AE3470" s="52">
        <f>IF(AC3470="","",IFERROR(INDEX(ctaTipo,MATCH(AC3470,ctaNombre,0))&amp;"",""))</f>
        <v/>
      </c>
      <c r="AF3470" s="53">
        <f>IF(OR(P3470="",AB3470=""),"",IF(OR(P3470="Gasto",P3470="Transferencia",P3470="Pago tarjeta"),-1,1)*IF(IFERROR(INDEX(ctaMoneda,MATCH(AB3470,ctaNombre,0))&amp;"","DOP")="USD",T3470,S3470))</f>
        <v/>
      </c>
      <c r="AG3470" s="53">
        <f>IF(AC3470="","",IF(IFERROR(INDEX(ctaMoneda,MATCH(AC3470,ctaNombre,0))&amp;"","DOP")="USD",T3470,S3470))</f>
        <v/>
      </c>
      <c r="AH3470" s="53">
        <f>IF(P3470="","",IF(AND(AD3470&lt;&gt;"",COUNTIFS(tcTipo,AD3470,tcLiq,"Sí")&gt;0),IF(OR(P3470="Gasto",P3470="Transferencia",P3470="Pago tarjeta"),-1,1)*S3470,0)+IF(AND(AE3470&lt;&gt;"",COUNTIFS(tcTipo,AE3470,tcLiq,"Sí")&gt;0),S3470,0))</f>
        <v/>
      </c>
      <c r="AI3470" s="52">
        <f>IF(OR(L3470="",P3470=""),"",IF(COUNTIFS(L$6:L3470,L3470,P$6:P3470,"?*")=1,MAX(AI$5:AI3469)+1,""))</f>
        <v/>
      </c>
    </row>
    <row r="3471">
      <c r="B3471" s="47" t="n"/>
      <c r="C3471" s="48" t="n"/>
      <c r="D3471" s="48" t="n"/>
      <c r="E3471" s="48" t="n"/>
      <c r="F3471" s="48" t="n"/>
      <c r="G3471" s="49" t="n"/>
      <c r="H3471" s="48" t="n"/>
      <c r="I3471" s="50" t="n"/>
      <c r="J3471" s="48" t="n"/>
      <c r="K3471" s="48" t="n"/>
      <c r="L3471" s="48" t="n"/>
      <c r="M3471" s="48" t="n"/>
      <c r="N3471" s="48" t="n"/>
      <c r="O3471" s="51">
        <f>IF(AND(B3471="",G3471="",C3471="",D3471="",J3471=""),"",IF(B3471="","⚠ Falta fecha",IF(G3471="","⚠ Falta monto",IF(Q3471="","⚠ Falta cuenta",IF(ISNA(MATCH(Q3471,ctaNombre,0)),"⚠ Cuenta no registrada",IF(AND(OR(P3471="Gasto",P3471="Reembolso"),D3471=""),"⚠ Falta categoría",IF(AND(D3471&lt;&gt;"",E3471&lt;&gt;"",ISNA(MATCH(D3471&amp;"|"&amp;E3471,catClave,0))),"⚠ Subcategoría no corresponde",IF(AND(OR(P3471="Transferencia",P3471="Pago tarjeta"),K3471=""),"⚠ Falta cuenta destino",IF(AND(K3471&lt;&gt;"",P3471&lt;&gt;"Transferencia",P3471&lt;&gt;"Pago tarjeta"),"⚠ Destino solo aplica a transferencias",IF(AND(K3471&lt;&gt;"",K3471=Q3471),"⚠ Origen igual a destino",IF(AND(K3471&lt;&gt;"",ISNA(MATCH(K3471,ctaNombre,0))),"⚠ Destino no registrado",IF(AND(P3471="Pago tarjeta",AE3471&lt;&gt;"Tarjeta de crédito"),"⚠ El destino debe ser tarjeta de crédito",IF(AND(P3471="Gasto",E3471="Depósitos y retiros"),"⚠ Usa tipo Transferencia",IF(AND(P3471="Resultado trading",AD3471&lt;&gt;"Cuenta de trading"),"⚠ Usa una cuenta de trading",IF(AND(G3471&lt;=0,P3471&lt;&gt;"Ajuste",P3471&lt;&gt;"Resultado trading"),"⚠ El monto debe ser positivo","✓")))))))))))))))</f>
        <v/>
      </c>
      <c r="P3471" s="52">
        <f>IF(OR(B3471="",G3471=""),"",IF(C3471="","Gasto",C3471))</f>
        <v/>
      </c>
      <c r="Q3471" s="52">
        <f>IF(P3471="","",IF(J3471&lt;&gt;"",J3471,CuentaPred&amp;""))</f>
        <v/>
      </c>
      <c r="R3471" s="52">
        <f>IF(P3471="","",IF(ISNUMBER(I3471),I3471,TasaUSD))</f>
        <v/>
      </c>
      <c r="S3471" s="53">
        <f>IF(P3471="","",IF(H3471="USD",G3471*R3471,G3471))</f>
        <v/>
      </c>
      <c r="T3471" s="53">
        <f>IF(P3471="","",IF(H3471="USD",G3471,IF(R3471&gt;0,G3471/R3471,0)))</f>
        <v/>
      </c>
      <c r="U3471" s="53">
        <f>IF(P3471="","",IF(P3471="Gasto",S3471,IF(P3471="Reembolso",-S3471,0)))</f>
        <v/>
      </c>
      <c r="V3471" s="53">
        <f>IF(P3471="","",IF(P3471="Ingreso",S3471,0))</f>
        <v/>
      </c>
      <c r="W3471" s="53">
        <f>IF(P3471="","",IF(P3471="Resultado trading",S3471,0))</f>
        <v/>
      </c>
      <c r="X3471" s="52">
        <f>IF(OR(P3471="Gasto",P3471="Reembolso"),IF(M3471&lt;&gt;"",M3471,IFERROR(INDEX(catClasif,MATCH(D3471&amp;"|"&amp;E3471,catClave,0))&amp;"","Variable")),"")</f>
        <v/>
      </c>
      <c r="Y3471" s="52">
        <f>IF(P3471="","",IFERROR(INDEX(catGrupo,MATCH(D3471&amp;"|"&amp;E3471,catClave,0))&amp;"",""))</f>
        <v/>
      </c>
      <c r="Z3471" s="52">
        <f>IF(P3471="","",WEEKDAY(B3471,2))</f>
        <v/>
      </c>
      <c r="AA3471" s="52">
        <f>IF(P3471="","",IF(AND(P3471="Gasto",X3471="Variable",D3471&lt;&gt;catTrading,S3471&gt;0,S3471&lt;=Umbral),1,0))</f>
        <v/>
      </c>
      <c r="AB3471" s="52">
        <f>IF(OR(P3471="",Q3471=""),"",IFERROR(IF(INDEX(ctaVinc,MATCH(Q3471,ctaNombre,0))&amp;""&lt;&gt;"",INDEX(ctaVinc,MATCH(Q3471,ctaNombre,0))&amp;"",Q3471),Q3471))</f>
        <v/>
      </c>
      <c r="AC3471" s="52">
        <f>IF(OR(K3471="",AND(P3471&lt;&gt;"Transferencia",P3471&lt;&gt;"Pago tarjeta")),"",IFERROR(IF(INDEX(ctaVinc,MATCH(K3471,ctaNombre,0))&amp;""&lt;&gt;"",INDEX(ctaVinc,MATCH(K3471,ctaNombre,0))&amp;"",K3471),K3471))</f>
        <v/>
      </c>
      <c r="AD3471" s="52">
        <f>IF(AB3471="","",IFERROR(INDEX(ctaTipo,MATCH(AB3471,ctaNombre,0))&amp;"",""))</f>
        <v/>
      </c>
      <c r="AE3471" s="52">
        <f>IF(AC3471="","",IFERROR(INDEX(ctaTipo,MATCH(AC3471,ctaNombre,0))&amp;"",""))</f>
        <v/>
      </c>
      <c r="AF3471" s="53">
        <f>IF(OR(P3471="",AB3471=""),"",IF(OR(P3471="Gasto",P3471="Transferencia",P3471="Pago tarjeta"),-1,1)*IF(IFERROR(INDEX(ctaMoneda,MATCH(AB3471,ctaNombre,0))&amp;"","DOP")="USD",T3471,S3471))</f>
        <v/>
      </c>
      <c r="AG3471" s="53">
        <f>IF(AC3471="","",IF(IFERROR(INDEX(ctaMoneda,MATCH(AC3471,ctaNombre,0))&amp;"","DOP")="USD",T3471,S3471))</f>
        <v/>
      </c>
      <c r="AH3471" s="53">
        <f>IF(P3471="","",IF(AND(AD3471&lt;&gt;"",COUNTIFS(tcTipo,AD3471,tcLiq,"Sí")&gt;0),IF(OR(P3471="Gasto",P3471="Transferencia",P3471="Pago tarjeta"),-1,1)*S3471,0)+IF(AND(AE3471&lt;&gt;"",COUNTIFS(tcTipo,AE3471,tcLiq,"Sí")&gt;0),S3471,0))</f>
        <v/>
      </c>
      <c r="AI3471" s="52">
        <f>IF(OR(L3471="",P3471=""),"",IF(COUNTIFS(L$6:L3471,L3471,P$6:P3471,"?*")=1,MAX(AI$5:AI3470)+1,""))</f>
        <v/>
      </c>
    </row>
    <row r="3472">
      <c r="B3472" s="47" t="n"/>
      <c r="C3472" s="48" t="n"/>
      <c r="D3472" s="48" t="n"/>
      <c r="E3472" s="48" t="n"/>
      <c r="F3472" s="48" t="n"/>
      <c r="G3472" s="49" t="n"/>
      <c r="H3472" s="48" t="n"/>
      <c r="I3472" s="50" t="n"/>
      <c r="J3472" s="48" t="n"/>
      <c r="K3472" s="48" t="n"/>
      <c r="L3472" s="48" t="n"/>
      <c r="M3472" s="48" t="n"/>
      <c r="N3472" s="48" t="n"/>
      <c r="O3472" s="51">
        <f>IF(AND(B3472="",G3472="",C3472="",D3472="",J3472=""),"",IF(B3472="","⚠ Falta fecha",IF(G3472="","⚠ Falta monto",IF(Q3472="","⚠ Falta cuenta",IF(ISNA(MATCH(Q3472,ctaNombre,0)),"⚠ Cuenta no registrada",IF(AND(OR(P3472="Gasto",P3472="Reembolso"),D3472=""),"⚠ Falta categoría",IF(AND(D3472&lt;&gt;"",E3472&lt;&gt;"",ISNA(MATCH(D3472&amp;"|"&amp;E3472,catClave,0))),"⚠ Subcategoría no corresponde",IF(AND(OR(P3472="Transferencia",P3472="Pago tarjeta"),K3472=""),"⚠ Falta cuenta destino",IF(AND(K3472&lt;&gt;"",P3472&lt;&gt;"Transferencia",P3472&lt;&gt;"Pago tarjeta"),"⚠ Destino solo aplica a transferencias",IF(AND(K3472&lt;&gt;"",K3472=Q3472),"⚠ Origen igual a destino",IF(AND(K3472&lt;&gt;"",ISNA(MATCH(K3472,ctaNombre,0))),"⚠ Destino no registrado",IF(AND(P3472="Pago tarjeta",AE3472&lt;&gt;"Tarjeta de crédito"),"⚠ El destino debe ser tarjeta de crédito",IF(AND(P3472="Gasto",E3472="Depósitos y retiros"),"⚠ Usa tipo Transferencia",IF(AND(P3472="Resultado trading",AD3472&lt;&gt;"Cuenta de trading"),"⚠ Usa una cuenta de trading",IF(AND(G3472&lt;=0,P3472&lt;&gt;"Ajuste",P3472&lt;&gt;"Resultado trading"),"⚠ El monto debe ser positivo","✓")))))))))))))))</f>
        <v/>
      </c>
      <c r="P3472" s="52">
        <f>IF(OR(B3472="",G3472=""),"",IF(C3472="","Gasto",C3472))</f>
        <v/>
      </c>
      <c r="Q3472" s="52">
        <f>IF(P3472="","",IF(J3472&lt;&gt;"",J3472,CuentaPred&amp;""))</f>
        <v/>
      </c>
      <c r="R3472" s="52">
        <f>IF(P3472="","",IF(ISNUMBER(I3472),I3472,TasaUSD))</f>
        <v/>
      </c>
      <c r="S3472" s="53">
        <f>IF(P3472="","",IF(H3472="USD",G3472*R3472,G3472))</f>
        <v/>
      </c>
      <c r="T3472" s="53">
        <f>IF(P3472="","",IF(H3472="USD",G3472,IF(R3472&gt;0,G3472/R3472,0)))</f>
        <v/>
      </c>
      <c r="U3472" s="53">
        <f>IF(P3472="","",IF(P3472="Gasto",S3472,IF(P3472="Reembolso",-S3472,0)))</f>
        <v/>
      </c>
      <c r="V3472" s="53">
        <f>IF(P3472="","",IF(P3472="Ingreso",S3472,0))</f>
        <v/>
      </c>
      <c r="W3472" s="53">
        <f>IF(P3472="","",IF(P3472="Resultado trading",S3472,0))</f>
        <v/>
      </c>
      <c r="X3472" s="52">
        <f>IF(OR(P3472="Gasto",P3472="Reembolso"),IF(M3472&lt;&gt;"",M3472,IFERROR(INDEX(catClasif,MATCH(D3472&amp;"|"&amp;E3472,catClave,0))&amp;"","Variable")),"")</f>
        <v/>
      </c>
      <c r="Y3472" s="52">
        <f>IF(P3472="","",IFERROR(INDEX(catGrupo,MATCH(D3472&amp;"|"&amp;E3472,catClave,0))&amp;"",""))</f>
        <v/>
      </c>
      <c r="Z3472" s="52">
        <f>IF(P3472="","",WEEKDAY(B3472,2))</f>
        <v/>
      </c>
      <c r="AA3472" s="52">
        <f>IF(P3472="","",IF(AND(P3472="Gasto",X3472="Variable",D3472&lt;&gt;catTrading,S3472&gt;0,S3472&lt;=Umbral),1,0))</f>
        <v/>
      </c>
      <c r="AB3472" s="52">
        <f>IF(OR(P3472="",Q3472=""),"",IFERROR(IF(INDEX(ctaVinc,MATCH(Q3472,ctaNombre,0))&amp;""&lt;&gt;"",INDEX(ctaVinc,MATCH(Q3472,ctaNombre,0))&amp;"",Q3472),Q3472))</f>
        <v/>
      </c>
      <c r="AC3472" s="52">
        <f>IF(OR(K3472="",AND(P3472&lt;&gt;"Transferencia",P3472&lt;&gt;"Pago tarjeta")),"",IFERROR(IF(INDEX(ctaVinc,MATCH(K3472,ctaNombre,0))&amp;""&lt;&gt;"",INDEX(ctaVinc,MATCH(K3472,ctaNombre,0))&amp;"",K3472),K3472))</f>
        <v/>
      </c>
      <c r="AD3472" s="52">
        <f>IF(AB3472="","",IFERROR(INDEX(ctaTipo,MATCH(AB3472,ctaNombre,0))&amp;"",""))</f>
        <v/>
      </c>
      <c r="AE3472" s="52">
        <f>IF(AC3472="","",IFERROR(INDEX(ctaTipo,MATCH(AC3472,ctaNombre,0))&amp;"",""))</f>
        <v/>
      </c>
      <c r="AF3472" s="53">
        <f>IF(OR(P3472="",AB3472=""),"",IF(OR(P3472="Gasto",P3472="Transferencia",P3472="Pago tarjeta"),-1,1)*IF(IFERROR(INDEX(ctaMoneda,MATCH(AB3472,ctaNombre,0))&amp;"","DOP")="USD",T3472,S3472))</f>
        <v/>
      </c>
      <c r="AG3472" s="53">
        <f>IF(AC3472="","",IF(IFERROR(INDEX(ctaMoneda,MATCH(AC3472,ctaNombre,0))&amp;"","DOP")="USD",T3472,S3472))</f>
        <v/>
      </c>
      <c r="AH3472" s="53">
        <f>IF(P3472="","",IF(AND(AD3472&lt;&gt;"",COUNTIFS(tcTipo,AD3472,tcLiq,"Sí")&gt;0),IF(OR(P3472="Gasto",P3472="Transferencia",P3472="Pago tarjeta"),-1,1)*S3472,0)+IF(AND(AE3472&lt;&gt;"",COUNTIFS(tcTipo,AE3472,tcLiq,"Sí")&gt;0),S3472,0))</f>
        <v/>
      </c>
      <c r="AI3472" s="52">
        <f>IF(OR(L3472="",P3472=""),"",IF(COUNTIFS(L$6:L3472,L3472,P$6:P3472,"?*")=1,MAX(AI$5:AI3471)+1,""))</f>
        <v/>
      </c>
    </row>
    <row r="3473">
      <c r="B3473" s="47" t="n"/>
      <c r="C3473" s="48" t="n"/>
      <c r="D3473" s="48" t="n"/>
      <c r="E3473" s="48" t="n"/>
      <c r="F3473" s="48" t="n"/>
      <c r="G3473" s="49" t="n"/>
      <c r="H3473" s="48" t="n"/>
      <c r="I3473" s="50" t="n"/>
      <c r="J3473" s="48" t="n"/>
      <c r="K3473" s="48" t="n"/>
      <c r="L3473" s="48" t="n"/>
      <c r="M3473" s="48" t="n"/>
      <c r="N3473" s="48" t="n"/>
      <c r="O3473" s="51">
        <f>IF(AND(B3473="",G3473="",C3473="",D3473="",J3473=""),"",IF(B3473="","⚠ Falta fecha",IF(G3473="","⚠ Falta monto",IF(Q3473="","⚠ Falta cuenta",IF(ISNA(MATCH(Q3473,ctaNombre,0)),"⚠ Cuenta no registrada",IF(AND(OR(P3473="Gasto",P3473="Reembolso"),D3473=""),"⚠ Falta categoría",IF(AND(D3473&lt;&gt;"",E3473&lt;&gt;"",ISNA(MATCH(D3473&amp;"|"&amp;E3473,catClave,0))),"⚠ Subcategoría no corresponde",IF(AND(OR(P3473="Transferencia",P3473="Pago tarjeta"),K3473=""),"⚠ Falta cuenta destino",IF(AND(K3473&lt;&gt;"",P3473&lt;&gt;"Transferencia",P3473&lt;&gt;"Pago tarjeta"),"⚠ Destino solo aplica a transferencias",IF(AND(K3473&lt;&gt;"",K3473=Q3473),"⚠ Origen igual a destino",IF(AND(K3473&lt;&gt;"",ISNA(MATCH(K3473,ctaNombre,0))),"⚠ Destino no registrado",IF(AND(P3473="Pago tarjeta",AE3473&lt;&gt;"Tarjeta de crédito"),"⚠ El destino debe ser tarjeta de crédito",IF(AND(P3473="Gasto",E3473="Depósitos y retiros"),"⚠ Usa tipo Transferencia",IF(AND(P3473="Resultado trading",AD3473&lt;&gt;"Cuenta de trading"),"⚠ Usa una cuenta de trading",IF(AND(G3473&lt;=0,P3473&lt;&gt;"Ajuste",P3473&lt;&gt;"Resultado trading"),"⚠ El monto debe ser positivo","✓")))))))))))))))</f>
        <v/>
      </c>
      <c r="P3473" s="52">
        <f>IF(OR(B3473="",G3473=""),"",IF(C3473="","Gasto",C3473))</f>
        <v/>
      </c>
      <c r="Q3473" s="52">
        <f>IF(P3473="","",IF(J3473&lt;&gt;"",J3473,CuentaPred&amp;""))</f>
        <v/>
      </c>
      <c r="R3473" s="52">
        <f>IF(P3473="","",IF(ISNUMBER(I3473),I3473,TasaUSD))</f>
        <v/>
      </c>
      <c r="S3473" s="53">
        <f>IF(P3473="","",IF(H3473="USD",G3473*R3473,G3473))</f>
        <v/>
      </c>
      <c r="T3473" s="53">
        <f>IF(P3473="","",IF(H3473="USD",G3473,IF(R3473&gt;0,G3473/R3473,0)))</f>
        <v/>
      </c>
      <c r="U3473" s="53">
        <f>IF(P3473="","",IF(P3473="Gasto",S3473,IF(P3473="Reembolso",-S3473,0)))</f>
        <v/>
      </c>
      <c r="V3473" s="53">
        <f>IF(P3473="","",IF(P3473="Ingreso",S3473,0))</f>
        <v/>
      </c>
      <c r="W3473" s="53">
        <f>IF(P3473="","",IF(P3473="Resultado trading",S3473,0))</f>
        <v/>
      </c>
      <c r="X3473" s="52">
        <f>IF(OR(P3473="Gasto",P3473="Reembolso"),IF(M3473&lt;&gt;"",M3473,IFERROR(INDEX(catClasif,MATCH(D3473&amp;"|"&amp;E3473,catClave,0))&amp;"","Variable")),"")</f>
        <v/>
      </c>
      <c r="Y3473" s="52">
        <f>IF(P3473="","",IFERROR(INDEX(catGrupo,MATCH(D3473&amp;"|"&amp;E3473,catClave,0))&amp;"",""))</f>
        <v/>
      </c>
      <c r="Z3473" s="52">
        <f>IF(P3473="","",WEEKDAY(B3473,2))</f>
        <v/>
      </c>
      <c r="AA3473" s="52">
        <f>IF(P3473="","",IF(AND(P3473="Gasto",X3473="Variable",D3473&lt;&gt;catTrading,S3473&gt;0,S3473&lt;=Umbral),1,0))</f>
        <v/>
      </c>
      <c r="AB3473" s="52">
        <f>IF(OR(P3473="",Q3473=""),"",IFERROR(IF(INDEX(ctaVinc,MATCH(Q3473,ctaNombre,0))&amp;""&lt;&gt;"",INDEX(ctaVinc,MATCH(Q3473,ctaNombre,0))&amp;"",Q3473),Q3473))</f>
        <v/>
      </c>
      <c r="AC3473" s="52">
        <f>IF(OR(K3473="",AND(P3473&lt;&gt;"Transferencia",P3473&lt;&gt;"Pago tarjeta")),"",IFERROR(IF(INDEX(ctaVinc,MATCH(K3473,ctaNombre,0))&amp;""&lt;&gt;"",INDEX(ctaVinc,MATCH(K3473,ctaNombre,0))&amp;"",K3473),K3473))</f>
        <v/>
      </c>
      <c r="AD3473" s="52">
        <f>IF(AB3473="","",IFERROR(INDEX(ctaTipo,MATCH(AB3473,ctaNombre,0))&amp;"",""))</f>
        <v/>
      </c>
      <c r="AE3473" s="52">
        <f>IF(AC3473="","",IFERROR(INDEX(ctaTipo,MATCH(AC3473,ctaNombre,0))&amp;"",""))</f>
        <v/>
      </c>
      <c r="AF3473" s="53">
        <f>IF(OR(P3473="",AB3473=""),"",IF(OR(P3473="Gasto",P3473="Transferencia",P3473="Pago tarjeta"),-1,1)*IF(IFERROR(INDEX(ctaMoneda,MATCH(AB3473,ctaNombre,0))&amp;"","DOP")="USD",T3473,S3473))</f>
        <v/>
      </c>
      <c r="AG3473" s="53">
        <f>IF(AC3473="","",IF(IFERROR(INDEX(ctaMoneda,MATCH(AC3473,ctaNombre,0))&amp;"","DOP")="USD",T3473,S3473))</f>
        <v/>
      </c>
      <c r="AH3473" s="53">
        <f>IF(P3473="","",IF(AND(AD3473&lt;&gt;"",COUNTIFS(tcTipo,AD3473,tcLiq,"Sí")&gt;0),IF(OR(P3473="Gasto",P3473="Transferencia",P3473="Pago tarjeta"),-1,1)*S3473,0)+IF(AND(AE3473&lt;&gt;"",COUNTIFS(tcTipo,AE3473,tcLiq,"Sí")&gt;0),S3473,0))</f>
        <v/>
      </c>
      <c r="AI3473" s="52">
        <f>IF(OR(L3473="",P3473=""),"",IF(COUNTIFS(L$6:L3473,L3473,P$6:P3473,"?*")=1,MAX(AI$5:AI3472)+1,""))</f>
        <v/>
      </c>
    </row>
    <row r="3474">
      <c r="B3474" s="47" t="n"/>
      <c r="C3474" s="48" t="n"/>
      <c r="D3474" s="48" t="n"/>
      <c r="E3474" s="48" t="n"/>
      <c r="F3474" s="48" t="n"/>
      <c r="G3474" s="49" t="n"/>
      <c r="H3474" s="48" t="n"/>
      <c r="I3474" s="50" t="n"/>
      <c r="J3474" s="48" t="n"/>
      <c r="K3474" s="48" t="n"/>
      <c r="L3474" s="48" t="n"/>
      <c r="M3474" s="48" t="n"/>
      <c r="N3474" s="48" t="n"/>
      <c r="O3474" s="51">
        <f>IF(AND(B3474="",G3474="",C3474="",D3474="",J3474=""),"",IF(B3474="","⚠ Falta fecha",IF(G3474="","⚠ Falta monto",IF(Q3474="","⚠ Falta cuenta",IF(ISNA(MATCH(Q3474,ctaNombre,0)),"⚠ Cuenta no registrada",IF(AND(OR(P3474="Gasto",P3474="Reembolso"),D3474=""),"⚠ Falta categoría",IF(AND(D3474&lt;&gt;"",E3474&lt;&gt;"",ISNA(MATCH(D3474&amp;"|"&amp;E3474,catClave,0))),"⚠ Subcategoría no corresponde",IF(AND(OR(P3474="Transferencia",P3474="Pago tarjeta"),K3474=""),"⚠ Falta cuenta destino",IF(AND(K3474&lt;&gt;"",P3474&lt;&gt;"Transferencia",P3474&lt;&gt;"Pago tarjeta"),"⚠ Destino solo aplica a transferencias",IF(AND(K3474&lt;&gt;"",K3474=Q3474),"⚠ Origen igual a destino",IF(AND(K3474&lt;&gt;"",ISNA(MATCH(K3474,ctaNombre,0))),"⚠ Destino no registrado",IF(AND(P3474="Pago tarjeta",AE3474&lt;&gt;"Tarjeta de crédito"),"⚠ El destino debe ser tarjeta de crédito",IF(AND(P3474="Gasto",E3474="Depósitos y retiros"),"⚠ Usa tipo Transferencia",IF(AND(P3474="Resultado trading",AD3474&lt;&gt;"Cuenta de trading"),"⚠ Usa una cuenta de trading",IF(AND(G3474&lt;=0,P3474&lt;&gt;"Ajuste",P3474&lt;&gt;"Resultado trading"),"⚠ El monto debe ser positivo","✓")))))))))))))))</f>
        <v/>
      </c>
      <c r="P3474" s="52">
        <f>IF(OR(B3474="",G3474=""),"",IF(C3474="","Gasto",C3474))</f>
        <v/>
      </c>
      <c r="Q3474" s="52">
        <f>IF(P3474="","",IF(J3474&lt;&gt;"",J3474,CuentaPred&amp;""))</f>
        <v/>
      </c>
      <c r="R3474" s="52">
        <f>IF(P3474="","",IF(ISNUMBER(I3474),I3474,TasaUSD))</f>
        <v/>
      </c>
      <c r="S3474" s="53">
        <f>IF(P3474="","",IF(H3474="USD",G3474*R3474,G3474))</f>
        <v/>
      </c>
      <c r="T3474" s="53">
        <f>IF(P3474="","",IF(H3474="USD",G3474,IF(R3474&gt;0,G3474/R3474,0)))</f>
        <v/>
      </c>
      <c r="U3474" s="53">
        <f>IF(P3474="","",IF(P3474="Gasto",S3474,IF(P3474="Reembolso",-S3474,0)))</f>
        <v/>
      </c>
      <c r="V3474" s="53">
        <f>IF(P3474="","",IF(P3474="Ingreso",S3474,0))</f>
        <v/>
      </c>
      <c r="W3474" s="53">
        <f>IF(P3474="","",IF(P3474="Resultado trading",S3474,0))</f>
        <v/>
      </c>
      <c r="X3474" s="52">
        <f>IF(OR(P3474="Gasto",P3474="Reembolso"),IF(M3474&lt;&gt;"",M3474,IFERROR(INDEX(catClasif,MATCH(D3474&amp;"|"&amp;E3474,catClave,0))&amp;"","Variable")),"")</f>
        <v/>
      </c>
      <c r="Y3474" s="52">
        <f>IF(P3474="","",IFERROR(INDEX(catGrupo,MATCH(D3474&amp;"|"&amp;E3474,catClave,0))&amp;"",""))</f>
        <v/>
      </c>
      <c r="Z3474" s="52">
        <f>IF(P3474="","",WEEKDAY(B3474,2))</f>
        <v/>
      </c>
      <c r="AA3474" s="52">
        <f>IF(P3474="","",IF(AND(P3474="Gasto",X3474="Variable",D3474&lt;&gt;catTrading,S3474&gt;0,S3474&lt;=Umbral),1,0))</f>
        <v/>
      </c>
      <c r="AB3474" s="52">
        <f>IF(OR(P3474="",Q3474=""),"",IFERROR(IF(INDEX(ctaVinc,MATCH(Q3474,ctaNombre,0))&amp;""&lt;&gt;"",INDEX(ctaVinc,MATCH(Q3474,ctaNombre,0))&amp;"",Q3474),Q3474))</f>
        <v/>
      </c>
      <c r="AC3474" s="52">
        <f>IF(OR(K3474="",AND(P3474&lt;&gt;"Transferencia",P3474&lt;&gt;"Pago tarjeta")),"",IFERROR(IF(INDEX(ctaVinc,MATCH(K3474,ctaNombre,0))&amp;""&lt;&gt;"",INDEX(ctaVinc,MATCH(K3474,ctaNombre,0))&amp;"",K3474),K3474))</f>
        <v/>
      </c>
      <c r="AD3474" s="52">
        <f>IF(AB3474="","",IFERROR(INDEX(ctaTipo,MATCH(AB3474,ctaNombre,0))&amp;"",""))</f>
        <v/>
      </c>
      <c r="AE3474" s="52">
        <f>IF(AC3474="","",IFERROR(INDEX(ctaTipo,MATCH(AC3474,ctaNombre,0))&amp;"",""))</f>
        <v/>
      </c>
      <c r="AF3474" s="53">
        <f>IF(OR(P3474="",AB3474=""),"",IF(OR(P3474="Gasto",P3474="Transferencia",P3474="Pago tarjeta"),-1,1)*IF(IFERROR(INDEX(ctaMoneda,MATCH(AB3474,ctaNombre,0))&amp;"","DOP")="USD",T3474,S3474))</f>
        <v/>
      </c>
      <c r="AG3474" s="53">
        <f>IF(AC3474="","",IF(IFERROR(INDEX(ctaMoneda,MATCH(AC3474,ctaNombre,0))&amp;"","DOP")="USD",T3474,S3474))</f>
        <v/>
      </c>
      <c r="AH3474" s="53">
        <f>IF(P3474="","",IF(AND(AD3474&lt;&gt;"",COUNTIFS(tcTipo,AD3474,tcLiq,"Sí")&gt;0),IF(OR(P3474="Gasto",P3474="Transferencia",P3474="Pago tarjeta"),-1,1)*S3474,0)+IF(AND(AE3474&lt;&gt;"",COUNTIFS(tcTipo,AE3474,tcLiq,"Sí")&gt;0),S3474,0))</f>
        <v/>
      </c>
      <c r="AI3474" s="52">
        <f>IF(OR(L3474="",P3474=""),"",IF(COUNTIFS(L$6:L3474,L3474,P$6:P3474,"?*")=1,MAX(AI$5:AI3473)+1,""))</f>
        <v/>
      </c>
    </row>
    <row r="3475">
      <c r="B3475" s="47" t="n"/>
      <c r="C3475" s="48" t="n"/>
      <c r="D3475" s="48" t="n"/>
      <c r="E3475" s="48" t="n"/>
      <c r="F3475" s="48" t="n"/>
      <c r="G3475" s="49" t="n"/>
      <c r="H3475" s="48" t="n"/>
      <c r="I3475" s="50" t="n"/>
      <c r="J3475" s="48" t="n"/>
      <c r="K3475" s="48" t="n"/>
      <c r="L3475" s="48" t="n"/>
      <c r="M3475" s="48" t="n"/>
      <c r="N3475" s="48" t="n"/>
      <c r="O3475" s="51">
        <f>IF(AND(B3475="",G3475="",C3475="",D3475="",J3475=""),"",IF(B3475="","⚠ Falta fecha",IF(G3475="","⚠ Falta monto",IF(Q3475="","⚠ Falta cuenta",IF(ISNA(MATCH(Q3475,ctaNombre,0)),"⚠ Cuenta no registrada",IF(AND(OR(P3475="Gasto",P3475="Reembolso"),D3475=""),"⚠ Falta categoría",IF(AND(D3475&lt;&gt;"",E3475&lt;&gt;"",ISNA(MATCH(D3475&amp;"|"&amp;E3475,catClave,0))),"⚠ Subcategoría no corresponde",IF(AND(OR(P3475="Transferencia",P3475="Pago tarjeta"),K3475=""),"⚠ Falta cuenta destino",IF(AND(K3475&lt;&gt;"",P3475&lt;&gt;"Transferencia",P3475&lt;&gt;"Pago tarjeta"),"⚠ Destino solo aplica a transferencias",IF(AND(K3475&lt;&gt;"",K3475=Q3475),"⚠ Origen igual a destino",IF(AND(K3475&lt;&gt;"",ISNA(MATCH(K3475,ctaNombre,0))),"⚠ Destino no registrado",IF(AND(P3475="Pago tarjeta",AE3475&lt;&gt;"Tarjeta de crédito"),"⚠ El destino debe ser tarjeta de crédito",IF(AND(P3475="Gasto",E3475="Depósitos y retiros"),"⚠ Usa tipo Transferencia",IF(AND(P3475="Resultado trading",AD3475&lt;&gt;"Cuenta de trading"),"⚠ Usa una cuenta de trading",IF(AND(G3475&lt;=0,P3475&lt;&gt;"Ajuste",P3475&lt;&gt;"Resultado trading"),"⚠ El monto debe ser positivo","✓")))))))))))))))</f>
        <v/>
      </c>
      <c r="P3475" s="52">
        <f>IF(OR(B3475="",G3475=""),"",IF(C3475="","Gasto",C3475))</f>
        <v/>
      </c>
      <c r="Q3475" s="52">
        <f>IF(P3475="","",IF(J3475&lt;&gt;"",J3475,CuentaPred&amp;""))</f>
        <v/>
      </c>
      <c r="R3475" s="52">
        <f>IF(P3475="","",IF(ISNUMBER(I3475),I3475,TasaUSD))</f>
        <v/>
      </c>
      <c r="S3475" s="53">
        <f>IF(P3475="","",IF(H3475="USD",G3475*R3475,G3475))</f>
        <v/>
      </c>
      <c r="T3475" s="53">
        <f>IF(P3475="","",IF(H3475="USD",G3475,IF(R3475&gt;0,G3475/R3475,0)))</f>
        <v/>
      </c>
      <c r="U3475" s="53">
        <f>IF(P3475="","",IF(P3475="Gasto",S3475,IF(P3475="Reembolso",-S3475,0)))</f>
        <v/>
      </c>
      <c r="V3475" s="53">
        <f>IF(P3475="","",IF(P3475="Ingreso",S3475,0))</f>
        <v/>
      </c>
      <c r="W3475" s="53">
        <f>IF(P3475="","",IF(P3475="Resultado trading",S3475,0))</f>
        <v/>
      </c>
      <c r="X3475" s="52">
        <f>IF(OR(P3475="Gasto",P3475="Reembolso"),IF(M3475&lt;&gt;"",M3475,IFERROR(INDEX(catClasif,MATCH(D3475&amp;"|"&amp;E3475,catClave,0))&amp;"","Variable")),"")</f>
        <v/>
      </c>
      <c r="Y3475" s="52">
        <f>IF(P3475="","",IFERROR(INDEX(catGrupo,MATCH(D3475&amp;"|"&amp;E3475,catClave,0))&amp;"",""))</f>
        <v/>
      </c>
      <c r="Z3475" s="52">
        <f>IF(P3475="","",WEEKDAY(B3475,2))</f>
        <v/>
      </c>
      <c r="AA3475" s="52">
        <f>IF(P3475="","",IF(AND(P3475="Gasto",X3475="Variable",D3475&lt;&gt;catTrading,S3475&gt;0,S3475&lt;=Umbral),1,0))</f>
        <v/>
      </c>
      <c r="AB3475" s="52">
        <f>IF(OR(P3475="",Q3475=""),"",IFERROR(IF(INDEX(ctaVinc,MATCH(Q3475,ctaNombre,0))&amp;""&lt;&gt;"",INDEX(ctaVinc,MATCH(Q3475,ctaNombre,0))&amp;"",Q3475),Q3475))</f>
        <v/>
      </c>
      <c r="AC3475" s="52">
        <f>IF(OR(K3475="",AND(P3475&lt;&gt;"Transferencia",P3475&lt;&gt;"Pago tarjeta")),"",IFERROR(IF(INDEX(ctaVinc,MATCH(K3475,ctaNombre,0))&amp;""&lt;&gt;"",INDEX(ctaVinc,MATCH(K3475,ctaNombre,0))&amp;"",K3475),K3475))</f>
        <v/>
      </c>
      <c r="AD3475" s="52">
        <f>IF(AB3475="","",IFERROR(INDEX(ctaTipo,MATCH(AB3475,ctaNombre,0))&amp;"",""))</f>
        <v/>
      </c>
      <c r="AE3475" s="52">
        <f>IF(AC3475="","",IFERROR(INDEX(ctaTipo,MATCH(AC3475,ctaNombre,0))&amp;"",""))</f>
        <v/>
      </c>
      <c r="AF3475" s="53">
        <f>IF(OR(P3475="",AB3475=""),"",IF(OR(P3475="Gasto",P3475="Transferencia",P3475="Pago tarjeta"),-1,1)*IF(IFERROR(INDEX(ctaMoneda,MATCH(AB3475,ctaNombre,0))&amp;"","DOP")="USD",T3475,S3475))</f>
        <v/>
      </c>
      <c r="AG3475" s="53">
        <f>IF(AC3475="","",IF(IFERROR(INDEX(ctaMoneda,MATCH(AC3475,ctaNombre,0))&amp;"","DOP")="USD",T3475,S3475))</f>
        <v/>
      </c>
      <c r="AH3475" s="53">
        <f>IF(P3475="","",IF(AND(AD3475&lt;&gt;"",COUNTIFS(tcTipo,AD3475,tcLiq,"Sí")&gt;0),IF(OR(P3475="Gasto",P3475="Transferencia",P3475="Pago tarjeta"),-1,1)*S3475,0)+IF(AND(AE3475&lt;&gt;"",COUNTIFS(tcTipo,AE3475,tcLiq,"Sí")&gt;0),S3475,0))</f>
        <v/>
      </c>
      <c r="AI3475" s="52">
        <f>IF(OR(L3475="",P3475=""),"",IF(COUNTIFS(L$6:L3475,L3475,P$6:P3475,"?*")=1,MAX(AI$5:AI3474)+1,""))</f>
        <v/>
      </c>
    </row>
    <row r="3476">
      <c r="B3476" s="47" t="n"/>
      <c r="C3476" s="48" t="n"/>
      <c r="D3476" s="48" t="n"/>
      <c r="E3476" s="48" t="n"/>
      <c r="F3476" s="48" t="n"/>
      <c r="G3476" s="49" t="n"/>
      <c r="H3476" s="48" t="n"/>
      <c r="I3476" s="50" t="n"/>
      <c r="J3476" s="48" t="n"/>
      <c r="K3476" s="48" t="n"/>
      <c r="L3476" s="48" t="n"/>
      <c r="M3476" s="48" t="n"/>
      <c r="N3476" s="48" t="n"/>
      <c r="O3476" s="51">
        <f>IF(AND(B3476="",G3476="",C3476="",D3476="",J3476=""),"",IF(B3476="","⚠ Falta fecha",IF(G3476="","⚠ Falta monto",IF(Q3476="","⚠ Falta cuenta",IF(ISNA(MATCH(Q3476,ctaNombre,0)),"⚠ Cuenta no registrada",IF(AND(OR(P3476="Gasto",P3476="Reembolso"),D3476=""),"⚠ Falta categoría",IF(AND(D3476&lt;&gt;"",E3476&lt;&gt;"",ISNA(MATCH(D3476&amp;"|"&amp;E3476,catClave,0))),"⚠ Subcategoría no corresponde",IF(AND(OR(P3476="Transferencia",P3476="Pago tarjeta"),K3476=""),"⚠ Falta cuenta destino",IF(AND(K3476&lt;&gt;"",P3476&lt;&gt;"Transferencia",P3476&lt;&gt;"Pago tarjeta"),"⚠ Destino solo aplica a transferencias",IF(AND(K3476&lt;&gt;"",K3476=Q3476),"⚠ Origen igual a destino",IF(AND(K3476&lt;&gt;"",ISNA(MATCH(K3476,ctaNombre,0))),"⚠ Destino no registrado",IF(AND(P3476="Pago tarjeta",AE3476&lt;&gt;"Tarjeta de crédito"),"⚠ El destino debe ser tarjeta de crédito",IF(AND(P3476="Gasto",E3476="Depósitos y retiros"),"⚠ Usa tipo Transferencia",IF(AND(P3476="Resultado trading",AD3476&lt;&gt;"Cuenta de trading"),"⚠ Usa una cuenta de trading",IF(AND(G3476&lt;=0,P3476&lt;&gt;"Ajuste",P3476&lt;&gt;"Resultado trading"),"⚠ El monto debe ser positivo","✓")))))))))))))))</f>
        <v/>
      </c>
      <c r="P3476" s="52">
        <f>IF(OR(B3476="",G3476=""),"",IF(C3476="","Gasto",C3476))</f>
        <v/>
      </c>
      <c r="Q3476" s="52">
        <f>IF(P3476="","",IF(J3476&lt;&gt;"",J3476,CuentaPred&amp;""))</f>
        <v/>
      </c>
      <c r="R3476" s="52">
        <f>IF(P3476="","",IF(ISNUMBER(I3476),I3476,TasaUSD))</f>
        <v/>
      </c>
      <c r="S3476" s="53">
        <f>IF(P3476="","",IF(H3476="USD",G3476*R3476,G3476))</f>
        <v/>
      </c>
      <c r="T3476" s="53">
        <f>IF(P3476="","",IF(H3476="USD",G3476,IF(R3476&gt;0,G3476/R3476,0)))</f>
        <v/>
      </c>
      <c r="U3476" s="53">
        <f>IF(P3476="","",IF(P3476="Gasto",S3476,IF(P3476="Reembolso",-S3476,0)))</f>
        <v/>
      </c>
      <c r="V3476" s="53">
        <f>IF(P3476="","",IF(P3476="Ingreso",S3476,0))</f>
        <v/>
      </c>
      <c r="W3476" s="53">
        <f>IF(P3476="","",IF(P3476="Resultado trading",S3476,0))</f>
        <v/>
      </c>
      <c r="X3476" s="52">
        <f>IF(OR(P3476="Gasto",P3476="Reembolso"),IF(M3476&lt;&gt;"",M3476,IFERROR(INDEX(catClasif,MATCH(D3476&amp;"|"&amp;E3476,catClave,0))&amp;"","Variable")),"")</f>
        <v/>
      </c>
      <c r="Y3476" s="52">
        <f>IF(P3476="","",IFERROR(INDEX(catGrupo,MATCH(D3476&amp;"|"&amp;E3476,catClave,0))&amp;"",""))</f>
        <v/>
      </c>
      <c r="Z3476" s="52">
        <f>IF(P3476="","",WEEKDAY(B3476,2))</f>
        <v/>
      </c>
      <c r="AA3476" s="52">
        <f>IF(P3476="","",IF(AND(P3476="Gasto",X3476="Variable",D3476&lt;&gt;catTrading,S3476&gt;0,S3476&lt;=Umbral),1,0))</f>
        <v/>
      </c>
      <c r="AB3476" s="52">
        <f>IF(OR(P3476="",Q3476=""),"",IFERROR(IF(INDEX(ctaVinc,MATCH(Q3476,ctaNombre,0))&amp;""&lt;&gt;"",INDEX(ctaVinc,MATCH(Q3476,ctaNombre,0))&amp;"",Q3476),Q3476))</f>
        <v/>
      </c>
      <c r="AC3476" s="52">
        <f>IF(OR(K3476="",AND(P3476&lt;&gt;"Transferencia",P3476&lt;&gt;"Pago tarjeta")),"",IFERROR(IF(INDEX(ctaVinc,MATCH(K3476,ctaNombre,0))&amp;""&lt;&gt;"",INDEX(ctaVinc,MATCH(K3476,ctaNombre,0))&amp;"",K3476),K3476))</f>
        <v/>
      </c>
      <c r="AD3476" s="52">
        <f>IF(AB3476="","",IFERROR(INDEX(ctaTipo,MATCH(AB3476,ctaNombre,0))&amp;"",""))</f>
        <v/>
      </c>
      <c r="AE3476" s="52">
        <f>IF(AC3476="","",IFERROR(INDEX(ctaTipo,MATCH(AC3476,ctaNombre,0))&amp;"",""))</f>
        <v/>
      </c>
      <c r="AF3476" s="53">
        <f>IF(OR(P3476="",AB3476=""),"",IF(OR(P3476="Gasto",P3476="Transferencia",P3476="Pago tarjeta"),-1,1)*IF(IFERROR(INDEX(ctaMoneda,MATCH(AB3476,ctaNombre,0))&amp;"","DOP")="USD",T3476,S3476))</f>
        <v/>
      </c>
      <c r="AG3476" s="53">
        <f>IF(AC3476="","",IF(IFERROR(INDEX(ctaMoneda,MATCH(AC3476,ctaNombre,0))&amp;"","DOP")="USD",T3476,S3476))</f>
        <v/>
      </c>
      <c r="AH3476" s="53">
        <f>IF(P3476="","",IF(AND(AD3476&lt;&gt;"",COUNTIFS(tcTipo,AD3476,tcLiq,"Sí")&gt;0),IF(OR(P3476="Gasto",P3476="Transferencia",P3476="Pago tarjeta"),-1,1)*S3476,0)+IF(AND(AE3476&lt;&gt;"",COUNTIFS(tcTipo,AE3476,tcLiq,"Sí")&gt;0),S3476,0))</f>
        <v/>
      </c>
      <c r="AI3476" s="52">
        <f>IF(OR(L3476="",P3476=""),"",IF(COUNTIFS(L$6:L3476,L3476,P$6:P3476,"?*")=1,MAX(AI$5:AI3475)+1,""))</f>
        <v/>
      </c>
    </row>
    <row r="3477">
      <c r="B3477" s="47" t="n"/>
      <c r="C3477" s="48" t="n"/>
      <c r="D3477" s="48" t="n"/>
      <c r="E3477" s="48" t="n"/>
      <c r="F3477" s="48" t="n"/>
      <c r="G3477" s="49" t="n"/>
      <c r="H3477" s="48" t="n"/>
      <c r="I3477" s="50" t="n"/>
      <c r="J3477" s="48" t="n"/>
      <c r="K3477" s="48" t="n"/>
      <c r="L3477" s="48" t="n"/>
      <c r="M3477" s="48" t="n"/>
      <c r="N3477" s="48" t="n"/>
      <c r="O3477" s="51">
        <f>IF(AND(B3477="",G3477="",C3477="",D3477="",J3477=""),"",IF(B3477="","⚠ Falta fecha",IF(G3477="","⚠ Falta monto",IF(Q3477="","⚠ Falta cuenta",IF(ISNA(MATCH(Q3477,ctaNombre,0)),"⚠ Cuenta no registrada",IF(AND(OR(P3477="Gasto",P3477="Reembolso"),D3477=""),"⚠ Falta categoría",IF(AND(D3477&lt;&gt;"",E3477&lt;&gt;"",ISNA(MATCH(D3477&amp;"|"&amp;E3477,catClave,0))),"⚠ Subcategoría no corresponde",IF(AND(OR(P3477="Transferencia",P3477="Pago tarjeta"),K3477=""),"⚠ Falta cuenta destino",IF(AND(K3477&lt;&gt;"",P3477&lt;&gt;"Transferencia",P3477&lt;&gt;"Pago tarjeta"),"⚠ Destino solo aplica a transferencias",IF(AND(K3477&lt;&gt;"",K3477=Q3477),"⚠ Origen igual a destino",IF(AND(K3477&lt;&gt;"",ISNA(MATCH(K3477,ctaNombre,0))),"⚠ Destino no registrado",IF(AND(P3477="Pago tarjeta",AE3477&lt;&gt;"Tarjeta de crédito"),"⚠ El destino debe ser tarjeta de crédito",IF(AND(P3477="Gasto",E3477="Depósitos y retiros"),"⚠ Usa tipo Transferencia",IF(AND(P3477="Resultado trading",AD3477&lt;&gt;"Cuenta de trading"),"⚠ Usa una cuenta de trading",IF(AND(G3477&lt;=0,P3477&lt;&gt;"Ajuste",P3477&lt;&gt;"Resultado trading"),"⚠ El monto debe ser positivo","✓")))))))))))))))</f>
        <v/>
      </c>
      <c r="P3477" s="52">
        <f>IF(OR(B3477="",G3477=""),"",IF(C3477="","Gasto",C3477))</f>
        <v/>
      </c>
      <c r="Q3477" s="52">
        <f>IF(P3477="","",IF(J3477&lt;&gt;"",J3477,CuentaPred&amp;""))</f>
        <v/>
      </c>
      <c r="R3477" s="52">
        <f>IF(P3477="","",IF(ISNUMBER(I3477),I3477,TasaUSD))</f>
        <v/>
      </c>
      <c r="S3477" s="53">
        <f>IF(P3477="","",IF(H3477="USD",G3477*R3477,G3477))</f>
        <v/>
      </c>
      <c r="T3477" s="53">
        <f>IF(P3477="","",IF(H3477="USD",G3477,IF(R3477&gt;0,G3477/R3477,0)))</f>
        <v/>
      </c>
      <c r="U3477" s="53">
        <f>IF(P3477="","",IF(P3477="Gasto",S3477,IF(P3477="Reembolso",-S3477,0)))</f>
        <v/>
      </c>
      <c r="V3477" s="53">
        <f>IF(P3477="","",IF(P3477="Ingreso",S3477,0))</f>
        <v/>
      </c>
      <c r="W3477" s="53">
        <f>IF(P3477="","",IF(P3477="Resultado trading",S3477,0))</f>
        <v/>
      </c>
      <c r="X3477" s="52">
        <f>IF(OR(P3477="Gasto",P3477="Reembolso"),IF(M3477&lt;&gt;"",M3477,IFERROR(INDEX(catClasif,MATCH(D3477&amp;"|"&amp;E3477,catClave,0))&amp;"","Variable")),"")</f>
        <v/>
      </c>
      <c r="Y3477" s="52">
        <f>IF(P3477="","",IFERROR(INDEX(catGrupo,MATCH(D3477&amp;"|"&amp;E3477,catClave,0))&amp;"",""))</f>
        <v/>
      </c>
      <c r="Z3477" s="52">
        <f>IF(P3477="","",WEEKDAY(B3477,2))</f>
        <v/>
      </c>
      <c r="AA3477" s="52">
        <f>IF(P3477="","",IF(AND(P3477="Gasto",X3477="Variable",D3477&lt;&gt;catTrading,S3477&gt;0,S3477&lt;=Umbral),1,0))</f>
        <v/>
      </c>
      <c r="AB3477" s="52">
        <f>IF(OR(P3477="",Q3477=""),"",IFERROR(IF(INDEX(ctaVinc,MATCH(Q3477,ctaNombre,0))&amp;""&lt;&gt;"",INDEX(ctaVinc,MATCH(Q3477,ctaNombre,0))&amp;"",Q3477),Q3477))</f>
        <v/>
      </c>
      <c r="AC3477" s="52">
        <f>IF(OR(K3477="",AND(P3477&lt;&gt;"Transferencia",P3477&lt;&gt;"Pago tarjeta")),"",IFERROR(IF(INDEX(ctaVinc,MATCH(K3477,ctaNombre,0))&amp;""&lt;&gt;"",INDEX(ctaVinc,MATCH(K3477,ctaNombre,0))&amp;"",K3477),K3477))</f>
        <v/>
      </c>
      <c r="AD3477" s="52">
        <f>IF(AB3477="","",IFERROR(INDEX(ctaTipo,MATCH(AB3477,ctaNombre,0))&amp;"",""))</f>
        <v/>
      </c>
      <c r="AE3477" s="52">
        <f>IF(AC3477="","",IFERROR(INDEX(ctaTipo,MATCH(AC3477,ctaNombre,0))&amp;"",""))</f>
        <v/>
      </c>
      <c r="AF3477" s="53">
        <f>IF(OR(P3477="",AB3477=""),"",IF(OR(P3477="Gasto",P3477="Transferencia",P3477="Pago tarjeta"),-1,1)*IF(IFERROR(INDEX(ctaMoneda,MATCH(AB3477,ctaNombre,0))&amp;"","DOP")="USD",T3477,S3477))</f>
        <v/>
      </c>
      <c r="AG3477" s="53">
        <f>IF(AC3477="","",IF(IFERROR(INDEX(ctaMoneda,MATCH(AC3477,ctaNombre,0))&amp;"","DOP")="USD",T3477,S3477))</f>
        <v/>
      </c>
      <c r="AH3477" s="53">
        <f>IF(P3477="","",IF(AND(AD3477&lt;&gt;"",COUNTIFS(tcTipo,AD3477,tcLiq,"Sí")&gt;0),IF(OR(P3477="Gasto",P3477="Transferencia",P3477="Pago tarjeta"),-1,1)*S3477,0)+IF(AND(AE3477&lt;&gt;"",COUNTIFS(tcTipo,AE3477,tcLiq,"Sí")&gt;0),S3477,0))</f>
        <v/>
      </c>
      <c r="AI3477" s="52">
        <f>IF(OR(L3477="",P3477=""),"",IF(COUNTIFS(L$6:L3477,L3477,P$6:P3477,"?*")=1,MAX(AI$5:AI3476)+1,""))</f>
        <v/>
      </c>
    </row>
    <row r="3478">
      <c r="B3478" s="47" t="n"/>
      <c r="C3478" s="48" t="n"/>
      <c r="D3478" s="48" t="n"/>
      <c r="E3478" s="48" t="n"/>
      <c r="F3478" s="48" t="n"/>
      <c r="G3478" s="49" t="n"/>
      <c r="H3478" s="48" t="n"/>
      <c r="I3478" s="50" t="n"/>
      <c r="J3478" s="48" t="n"/>
      <c r="K3478" s="48" t="n"/>
      <c r="L3478" s="48" t="n"/>
      <c r="M3478" s="48" t="n"/>
      <c r="N3478" s="48" t="n"/>
      <c r="O3478" s="51">
        <f>IF(AND(B3478="",G3478="",C3478="",D3478="",J3478=""),"",IF(B3478="","⚠ Falta fecha",IF(G3478="","⚠ Falta monto",IF(Q3478="","⚠ Falta cuenta",IF(ISNA(MATCH(Q3478,ctaNombre,0)),"⚠ Cuenta no registrada",IF(AND(OR(P3478="Gasto",P3478="Reembolso"),D3478=""),"⚠ Falta categoría",IF(AND(D3478&lt;&gt;"",E3478&lt;&gt;"",ISNA(MATCH(D3478&amp;"|"&amp;E3478,catClave,0))),"⚠ Subcategoría no corresponde",IF(AND(OR(P3478="Transferencia",P3478="Pago tarjeta"),K3478=""),"⚠ Falta cuenta destino",IF(AND(K3478&lt;&gt;"",P3478&lt;&gt;"Transferencia",P3478&lt;&gt;"Pago tarjeta"),"⚠ Destino solo aplica a transferencias",IF(AND(K3478&lt;&gt;"",K3478=Q3478),"⚠ Origen igual a destino",IF(AND(K3478&lt;&gt;"",ISNA(MATCH(K3478,ctaNombre,0))),"⚠ Destino no registrado",IF(AND(P3478="Pago tarjeta",AE3478&lt;&gt;"Tarjeta de crédito"),"⚠ El destino debe ser tarjeta de crédito",IF(AND(P3478="Gasto",E3478="Depósitos y retiros"),"⚠ Usa tipo Transferencia",IF(AND(P3478="Resultado trading",AD3478&lt;&gt;"Cuenta de trading"),"⚠ Usa una cuenta de trading",IF(AND(G3478&lt;=0,P3478&lt;&gt;"Ajuste",P3478&lt;&gt;"Resultado trading"),"⚠ El monto debe ser positivo","✓")))))))))))))))</f>
        <v/>
      </c>
      <c r="P3478" s="52">
        <f>IF(OR(B3478="",G3478=""),"",IF(C3478="","Gasto",C3478))</f>
        <v/>
      </c>
      <c r="Q3478" s="52">
        <f>IF(P3478="","",IF(J3478&lt;&gt;"",J3478,CuentaPred&amp;""))</f>
        <v/>
      </c>
      <c r="R3478" s="52">
        <f>IF(P3478="","",IF(ISNUMBER(I3478),I3478,TasaUSD))</f>
        <v/>
      </c>
      <c r="S3478" s="53">
        <f>IF(P3478="","",IF(H3478="USD",G3478*R3478,G3478))</f>
        <v/>
      </c>
      <c r="T3478" s="53">
        <f>IF(P3478="","",IF(H3478="USD",G3478,IF(R3478&gt;0,G3478/R3478,0)))</f>
        <v/>
      </c>
      <c r="U3478" s="53">
        <f>IF(P3478="","",IF(P3478="Gasto",S3478,IF(P3478="Reembolso",-S3478,0)))</f>
        <v/>
      </c>
      <c r="V3478" s="53">
        <f>IF(P3478="","",IF(P3478="Ingreso",S3478,0))</f>
        <v/>
      </c>
      <c r="W3478" s="53">
        <f>IF(P3478="","",IF(P3478="Resultado trading",S3478,0))</f>
        <v/>
      </c>
      <c r="X3478" s="52">
        <f>IF(OR(P3478="Gasto",P3478="Reembolso"),IF(M3478&lt;&gt;"",M3478,IFERROR(INDEX(catClasif,MATCH(D3478&amp;"|"&amp;E3478,catClave,0))&amp;"","Variable")),"")</f>
        <v/>
      </c>
      <c r="Y3478" s="52">
        <f>IF(P3478="","",IFERROR(INDEX(catGrupo,MATCH(D3478&amp;"|"&amp;E3478,catClave,0))&amp;"",""))</f>
        <v/>
      </c>
      <c r="Z3478" s="52">
        <f>IF(P3478="","",WEEKDAY(B3478,2))</f>
        <v/>
      </c>
      <c r="AA3478" s="52">
        <f>IF(P3478="","",IF(AND(P3478="Gasto",X3478="Variable",D3478&lt;&gt;catTrading,S3478&gt;0,S3478&lt;=Umbral),1,0))</f>
        <v/>
      </c>
      <c r="AB3478" s="52">
        <f>IF(OR(P3478="",Q3478=""),"",IFERROR(IF(INDEX(ctaVinc,MATCH(Q3478,ctaNombre,0))&amp;""&lt;&gt;"",INDEX(ctaVinc,MATCH(Q3478,ctaNombre,0))&amp;"",Q3478),Q3478))</f>
        <v/>
      </c>
      <c r="AC3478" s="52">
        <f>IF(OR(K3478="",AND(P3478&lt;&gt;"Transferencia",P3478&lt;&gt;"Pago tarjeta")),"",IFERROR(IF(INDEX(ctaVinc,MATCH(K3478,ctaNombre,0))&amp;""&lt;&gt;"",INDEX(ctaVinc,MATCH(K3478,ctaNombre,0))&amp;"",K3478),K3478))</f>
        <v/>
      </c>
      <c r="AD3478" s="52">
        <f>IF(AB3478="","",IFERROR(INDEX(ctaTipo,MATCH(AB3478,ctaNombre,0))&amp;"",""))</f>
        <v/>
      </c>
      <c r="AE3478" s="52">
        <f>IF(AC3478="","",IFERROR(INDEX(ctaTipo,MATCH(AC3478,ctaNombre,0))&amp;"",""))</f>
        <v/>
      </c>
      <c r="AF3478" s="53">
        <f>IF(OR(P3478="",AB3478=""),"",IF(OR(P3478="Gasto",P3478="Transferencia",P3478="Pago tarjeta"),-1,1)*IF(IFERROR(INDEX(ctaMoneda,MATCH(AB3478,ctaNombre,0))&amp;"","DOP")="USD",T3478,S3478))</f>
        <v/>
      </c>
      <c r="AG3478" s="53">
        <f>IF(AC3478="","",IF(IFERROR(INDEX(ctaMoneda,MATCH(AC3478,ctaNombre,0))&amp;"","DOP")="USD",T3478,S3478))</f>
        <v/>
      </c>
      <c r="AH3478" s="53">
        <f>IF(P3478="","",IF(AND(AD3478&lt;&gt;"",COUNTIFS(tcTipo,AD3478,tcLiq,"Sí")&gt;0),IF(OR(P3478="Gasto",P3478="Transferencia",P3478="Pago tarjeta"),-1,1)*S3478,0)+IF(AND(AE3478&lt;&gt;"",COUNTIFS(tcTipo,AE3478,tcLiq,"Sí")&gt;0),S3478,0))</f>
        <v/>
      </c>
      <c r="AI3478" s="52">
        <f>IF(OR(L3478="",P3478=""),"",IF(COUNTIFS(L$6:L3478,L3478,P$6:P3478,"?*")=1,MAX(AI$5:AI3477)+1,""))</f>
        <v/>
      </c>
    </row>
    <row r="3479">
      <c r="B3479" s="47" t="n"/>
      <c r="C3479" s="48" t="n"/>
      <c r="D3479" s="48" t="n"/>
      <c r="E3479" s="48" t="n"/>
      <c r="F3479" s="48" t="n"/>
      <c r="G3479" s="49" t="n"/>
      <c r="H3479" s="48" t="n"/>
      <c r="I3479" s="50" t="n"/>
      <c r="J3479" s="48" t="n"/>
      <c r="K3479" s="48" t="n"/>
      <c r="L3479" s="48" t="n"/>
      <c r="M3479" s="48" t="n"/>
      <c r="N3479" s="48" t="n"/>
      <c r="O3479" s="51">
        <f>IF(AND(B3479="",G3479="",C3479="",D3479="",J3479=""),"",IF(B3479="","⚠ Falta fecha",IF(G3479="","⚠ Falta monto",IF(Q3479="","⚠ Falta cuenta",IF(ISNA(MATCH(Q3479,ctaNombre,0)),"⚠ Cuenta no registrada",IF(AND(OR(P3479="Gasto",P3479="Reembolso"),D3479=""),"⚠ Falta categoría",IF(AND(D3479&lt;&gt;"",E3479&lt;&gt;"",ISNA(MATCH(D3479&amp;"|"&amp;E3479,catClave,0))),"⚠ Subcategoría no corresponde",IF(AND(OR(P3479="Transferencia",P3479="Pago tarjeta"),K3479=""),"⚠ Falta cuenta destino",IF(AND(K3479&lt;&gt;"",P3479&lt;&gt;"Transferencia",P3479&lt;&gt;"Pago tarjeta"),"⚠ Destino solo aplica a transferencias",IF(AND(K3479&lt;&gt;"",K3479=Q3479),"⚠ Origen igual a destino",IF(AND(K3479&lt;&gt;"",ISNA(MATCH(K3479,ctaNombre,0))),"⚠ Destino no registrado",IF(AND(P3479="Pago tarjeta",AE3479&lt;&gt;"Tarjeta de crédito"),"⚠ El destino debe ser tarjeta de crédito",IF(AND(P3479="Gasto",E3479="Depósitos y retiros"),"⚠ Usa tipo Transferencia",IF(AND(P3479="Resultado trading",AD3479&lt;&gt;"Cuenta de trading"),"⚠ Usa una cuenta de trading",IF(AND(G3479&lt;=0,P3479&lt;&gt;"Ajuste",P3479&lt;&gt;"Resultado trading"),"⚠ El monto debe ser positivo","✓")))))))))))))))</f>
        <v/>
      </c>
      <c r="P3479" s="52">
        <f>IF(OR(B3479="",G3479=""),"",IF(C3479="","Gasto",C3479))</f>
        <v/>
      </c>
      <c r="Q3479" s="52">
        <f>IF(P3479="","",IF(J3479&lt;&gt;"",J3479,CuentaPred&amp;""))</f>
        <v/>
      </c>
      <c r="R3479" s="52">
        <f>IF(P3479="","",IF(ISNUMBER(I3479),I3479,TasaUSD))</f>
        <v/>
      </c>
      <c r="S3479" s="53">
        <f>IF(P3479="","",IF(H3479="USD",G3479*R3479,G3479))</f>
        <v/>
      </c>
      <c r="T3479" s="53">
        <f>IF(P3479="","",IF(H3479="USD",G3479,IF(R3479&gt;0,G3479/R3479,0)))</f>
        <v/>
      </c>
      <c r="U3479" s="53">
        <f>IF(P3479="","",IF(P3479="Gasto",S3479,IF(P3479="Reembolso",-S3479,0)))</f>
        <v/>
      </c>
      <c r="V3479" s="53">
        <f>IF(P3479="","",IF(P3479="Ingreso",S3479,0))</f>
        <v/>
      </c>
      <c r="W3479" s="53">
        <f>IF(P3479="","",IF(P3479="Resultado trading",S3479,0))</f>
        <v/>
      </c>
      <c r="X3479" s="52">
        <f>IF(OR(P3479="Gasto",P3479="Reembolso"),IF(M3479&lt;&gt;"",M3479,IFERROR(INDEX(catClasif,MATCH(D3479&amp;"|"&amp;E3479,catClave,0))&amp;"","Variable")),"")</f>
        <v/>
      </c>
      <c r="Y3479" s="52">
        <f>IF(P3479="","",IFERROR(INDEX(catGrupo,MATCH(D3479&amp;"|"&amp;E3479,catClave,0))&amp;"",""))</f>
        <v/>
      </c>
      <c r="Z3479" s="52">
        <f>IF(P3479="","",WEEKDAY(B3479,2))</f>
        <v/>
      </c>
      <c r="AA3479" s="52">
        <f>IF(P3479="","",IF(AND(P3479="Gasto",X3479="Variable",D3479&lt;&gt;catTrading,S3479&gt;0,S3479&lt;=Umbral),1,0))</f>
        <v/>
      </c>
      <c r="AB3479" s="52">
        <f>IF(OR(P3479="",Q3479=""),"",IFERROR(IF(INDEX(ctaVinc,MATCH(Q3479,ctaNombre,0))&amp;""&lt;&gt;"",INDEX(ctaVinc,MATCH(Q3479,ctaNombre,0))&amp;"",Q3479),Q3479))</f>
        <v/>
      </c>
      <c r="AC3479" s="52">
        <f>IF(OR(K3479="",AND(P3479&lt;&gt;"Transferencia",P3479&lt;&gt;"Pago tarjeta")),"",IFERROR(IF(INDEX(ctaVinc,MATCH(K3479,ctaNombre,0))&amp;""&lt;&gt;"",INDEX(ctaVinc,MATCH(K3479,ctaNombre,0))&amp;"",K3479),K3479))</f>
        <v/>
      </c>
      <c r="AD3479" s="52">
        <f>IF(AB3479="","",IFERROR(INDEX(ctaTipo,MATCH(AB3479,ctaNombre,0))&amp;"",""))</f>
        <v/>
      </c>
      <c r="AE3479" s="52">
        <f>IF(AC3479="","",IFERROR(INDEX(ctaTipo,MATCH(AC3479,ctaNombre,0))&amp;"",""))</f>
        <v/>
      </c>
      <c r="AF3479" s="53">
        <f>IF(OR(P3479="",AB3479=""),"",IF(OR(P3479="Gasto",P3479="Transferencia",P3479="Pago tarjeta"),-1,1)*IF(IFERROR(INDEX(ctaMoneda,MATCH(AB3479,ctaNombre,0))&amp;"","DOP")="USD",T3479,S3479))</f>
        <v/>
      </c>
      <c r="AG3479" s="53">
        <f>IF(AC3479="","",IF(IFERROR(INDEX(ctaMoneda,MATCH(AC3479,ctaNombre,0))&amp;"","DOP")="USD",T3479,S3479))</f>
        <v/>
      </c>
      <c r="AH3479" s="53">
        <f>IF(P3479="","",IF(AND(AD3479&lt;&gt;"",COUNTIFS(tcTipo,AD3479,tcLiq,"Sí")&gt;0),IF(OR(P3479="Gasto",P3479="Transferencia",P3479="Pago tarjeta"),-1,1)*S3479,0)+IF(AND(AE3479&lt;&gt;"",COUNTIFS(tcTipo,AE3479,tcLiq,"Sí")&gt;0),S3479,0))</f>
        <v/>
      </c>
      <c r="AI3479" s="52">
        <f>IF(OR(L3479="",P3479=""),"",IF(COUNTIFS(L$6:L3479,L3479,P$6:P3479,"?*")=1,MAX(AI$5:AI3478)+1,""))</f>
        <v/>
      </c>
    </row>
    <row r="3480">
      <c r="B3480" s="47" t="n"/>
      <c r="C3480" s="48" t="n"/>
      <c r="D3480" s="48" t="n"/>
      <c r="E3480" s="48" t="n"/>
      <c r="F3480" s="48" t="n"/>
      <c r="G3480" s="49" t="n"/>
      <c r="H3480" s="48" t="n"/>
      <c r="I3480" s="50" t="n"/>
      <c r="J3480" s="48" t="n"/>
      <c r="K3480" s="48" t="n"/>
      <c r="L3480" s="48" t="n"/>
      <c r="M3480" s="48" t="n"/>
      <c r="N3480" s="48" t="n"/>
      <c r="O3480" s="51">
        <f>IF(AND(B3480="",G3480="",C3480="",D3480="",J3480=""),"",IF(B3480="","⚠ Falta fecha",IF(G3480="","⚠ Falta monto",IF(Q3480="","⚠ Falta cuenta",IF(ISNA(MATCH(Q3480,ctaNombre,0)),"⚠ Cuenta no registrada",IF(AND(OR(P3480="Gasto",P3480="Reembolso"),D3480=""),"⚠ Falta categoría",IF(AND(D3480&lt;&gt;"",E3480&lt;&gt;"",ISNA(MATCH(D3480&amp;"|"&amp;E3480,catClave,0))),"⚠ Subcategoría no corresponde",IF(AND(OR(P3480="Transferencia",P3480="Pago tarjeta"),K3480=""),"⚠ Falta cuenta destino",IF(AND(K3480&lt;&gt;"",P3480&lt;&gt;"Transferencia",P3480&lt;&gt;"Pago tarjeta"),"⚠ Destino solo aplica a transferencias",IF(AND(K3480&lt;&gt;"",K3480=Q3480),"⚠ Origen igual a destino",IF(AND(K3480&lt;&gt;"",ISNA(MATCH(K3480,ctaNombre,0))),"⚠ Destino no registrado",IF(AND(P3480="Pago tarjeta",AE3480&lt;&gt;"Tarjeta de crédito"),"⚠ El destino debe ser tarjeta de crédito",IF(AND(P3480="Gasto",E3480="Depósitos y retiros"),"⚠ Usa tipo Transferencia",IF(AND(P3480="Resultado trading",AD3480&lt;&gt;"Cuenta de trading"),"⚠ Usa una cuenta de trading",IF(AND(G3480&lt;=0,P3480&lt;&gt;"Ajuste",P3480&lt;&gt;"Resultado trading"),"⚠ El monto debe ser positivo","✓")))))))))))))))</f>
        <v/>
      </c>
      <c r="P3480" s="52">
        <f>IF(OR(B3480="",G3480=""),"",IF(C3480="","Gasto",C3480))</f>
        <v/>
      </c>
      <c r="Q3480" s="52">
        <f>IF(P3480="","",IF(J3480&lt;&gt;"",J3480,CuentaPred&amp;""))</f>
        <v/>
      </c>
      <c r="R3480" s="52">
        <f>IF(P3480="","",IF(ISNUMBER(I3480),I3480,TasaUSD))</f>
        <v/>
      </c>
      <c r="S3480" s="53">
        <f>IF(P3480="","",IF(H3480="USD",G3480*R3480,G3480))</f>
        <v/>
      </c>
      <c r="T3480" s="53">
        <f>IF(P3480="","",IF(H3480="USD",G3480,IF(R3480&gt;0,G3480/R3480,0)))</f>
        <v/>
      </c>
      <c r="U3480" s="53">
        <f>IF(P3480="","",IF(P3480="Gasto",S3480,IF(P3480="Reembolso",-S3480,0)))</f>
        <v/>
      </c>
      <c r="V3480" s="53">
        <f>IF(P3480="","",IF(P3480="Ingreso",S3480,0))</f>
        <v/>
      </c>
      <c r="W3480" s="53">
        <f>IF(P3480="","",IF(P3480="Resultado trading",S3480,0))</f>
        <v/>
      </c>
      <c r="X3480" s="52">
        <f>IF(OR(P3480="Gasto",P3480="Reembolso"),IF(M3480&lt;&gt;"",M3480,IFERROR(INDEX(catClasif,MATCH(D3480&amp;"|"&amp;E3480,catClave,0))&amp;"","Variable")),"")</f>
        <v/>
      </c>
      <c r="Y3480" s="52">
        <f>IF(P3480="","",IFERROR(INDEX(catGrupo,MATCH(D3480&amp;"|"&amp;E3480,catClave,0))&amp;"",""))</f>
        <v/>
      </c>
      <c r="Z3480" s="52">
        <f>IF(P3480="","",WEEKDAY(B3480,2))</f>
        <v/>
      </c>
      <c r="AA3480" s="52">
        <f>IF(P3480="","",IF(AND(P3480="Gasto",X3480="Variable",D3480&lt;&gt;catTrading,S3480&gt;0,S3480&lt;=Umbral),1,0))</f>
        <v/>
      </c>
      <c r="AB3480" s="52">
        <f>IF(OR(P3480="",Q3480=""),"",IFERROR(IF(INDEX(ctaVinc,MATCH(Q3480,ctaNombre,0))&amp;""&lt;&gt;"",INDEX(ctaVinc,MATCH(Q3480,ctaNombre,0))&amp;"",Q3480),Q3480))</f>
        <v/>
      </c>
      <c r="AC3480" s="52">
        <f>IF(OR(K3480="",AND(P3480&lt;&gt;"Transferencia",P3480&lt;&gt;"Pago tarjeta")),"",IFERROR(IF(INDEX(ctaVinc,MATCH(K3480,ctaNombre,0))&amp;""&lt;&gt;"",INDEX(ctaVinc,MATCH(K3480,ctaNombre,0))&amp;"",K3480),K3480))</f>
        <v/>
      </c>
      <c r="AD3480" s="52">
        <f>IF(AB3480="","",IFERROR(INDEX(ctaTipo,MATCH(AB3480,ctaNombre,0))&amp;"",""))</f>
        <v/>
      </c>
      <c r="AE3480" s="52">
        <f>IF(AC3480="","",IFERROR(INDEX(ctaTipo,MATCH(AC3480,ctaNombre,0))&amp;"",""))</f>
        <v/>
      </c>
      <c r="AF3480" s="53">
        <f>IF(OR(P3480="",AB3480=""),"",IF(OR(P3480="Gasto",P3480="Transferencia",P3480="Pago tarjeta"),-1,1)*IF(IFERROR(INDEX(ctaMoneda,MATCH(AB3480,ctaNombre,0))&amp;"","DOP")="USD",T3480,S3480))</f>
        <v/>
      </c>
      <c r="AG3480" s="53">
        <f>IF(AC3480="","",IF(IFERROR(INDEX(ctaMoneda,MATCH(AC3480,ctaNombre,0))&amp;"","DOP")="USD",T3480,S3480))</f>
        <v/>
      </c>
      <c r="AH3480" s="53">
        <f>IF(P3480="","",IF(AND(AD3480&lt;&gt;"",COUNTIFS(tcTipo,AD3480,tcLiq,"Sí")&gt;0),IF(OR(P3480="Gasto",P3480="Transferencia",P3480="Pago tarjeta"),-1,1)*S3480,0)+IF(AND(AE3480&lt;&gt;"",COUNTIFS(tcTipo,AE3480,tcLiq,"Sí")&gt;0),S3480,0))</f>
        <v/>
      </c>
      <c r="AI3480" s="52">
        <f>IF(OR(L3480="",P3480=""),"",IF(COUNTIFS(L$6:L3480,L3480,P$6:P3480,"?*")=1,MAX(AI$5:AI3479)+1,""))</f>
        <v/>
      </c>
    </row>
    <row r="3481">
      <c r="B3481" s="47" t="n"/>
      <c r="C3481" s="48" t="n"/>
      <c r="D3481" s="48" t="n"/>
      <c r="E3481" s="48" t="n"/>
      <c r="F3481" s="48" t="n"/>
      <c r="G3481" s="49" t="n"/>
      <c r="H3481" s="48" t="n"/>
      <c r="I3481" s="50" t="n"/>
      <c r="J3481" s="48" t="n"/>
      <c r="K3481" s="48" t="n"/>
      <c r="L3481" s="48" t="n"/>
      <c r="M3481" s="48" t="n"/>
      <c r="N3481" s="48" t="n"/>
      <c r="O3481" s="51">
        <f>IF(AND(B3481="",G3481="",C3481="",D3481="",J3481=""),"",IF(B3481="","⚠ Falta fecha",IF(G3481="","⚠ Falta monto",IF(Q3481="","⚠ Falta cuenta",IF(ISNA(MATCH(Q3481,ctaNombre,0)),"⚠ Cuenta no registrada",IF(AND(OR(P3481="Gasto",P3481="Reembolso"),D3481=""),"⚠ Falta categoría",IF(AND(D3481&lt;&gt;"",E3481&lt;&gt;"",ISNA(MATCH(D3481&amp;"|"&amp;E3481,catClave,0))),"⚠ Subcategoría no corresponde",IF(AND(OR(P3481="Transferencia",P3481="Pago tarjeta"),K3481=""),"⚠ Falta cuenta destino",IF(AND(K3481&lt;&gt;"",P3481&lt;&gt;"Transferencia",P3481&lt;&gt;"Pago tarjeta"),"⚠ Destino solo aplica a transferencias",IF(AND(K3481&lt;&gt;"",K3481=Q3481),"⚠ Origen igual a destino",IF(AND(K3481&lt;&gt;"",ISNA(MATCH(K3481,ctaNombre,0))),"⚠ Destino no registrado",IF(AND(P3481="Pago tarjeta",AE3481&lt;&gt;"Tarjeta de crédito"),"⚠ El destino debe ser tarjeta de crédito",IF(AND(P3481="Gasto",E3481="Depósitos y retiros"),"⚠ Usa tipo Transferencia",IF(AND(P3481="Resultado trading",AD3481&lt;&gt;"Cuenta de trading"),"⚠ Usa una cuenta de trading",IF(AND(G3481&lt;=0,P3481&lt;&gt;"Ajuste",P3481&lt;&gt;"Resultado trading"),"⚠ El monto debe ser positivo","✓")))))))))))))))</f>
        <v/>
      </c>
      <c r="P3481" s="52">
        <f>IF(OR(B3481="",G3481=""),"",IF(C3481="","Gasto",C3481))</f>
        <v/>
      </c>
      <c r="Q3481" s="52">
        <f>IF(P3481="","",IF(J3481&lt;&gt;"",J3481,CuentaPred&amp;""))</f>
        <v/>
      </c>
      <c r="R3481" s="52">
        <f>IF(P3481="","",IF(ISNUMBER(I3481),I3481,TasaUSD))</f>
        <v/>
      </c>
      <c r="S3481" s="53">
        <f>IF(P3481="","",IF(H3481="USD",G3481*R3481,G3481))</f>
        <v/>
      </c>
      <c r="T3481" s="53">
        <f>IF(P3481="","",IF(H3481="USD",G3481,IF(R3481&gt;0,G3481/R3481,0)))</f>
        <v/>
      </c>
      <c r="U3481" s="53">
        <f>IF(P3481="","",IF(P3481="Gasto",S3481,IF(P3481="Reembolso",-S3481,0)))</f>
        <v/>
      </c>
      <c r="V3481" s="53">
        <f>IF(P3481="","",IF(P3481="Ingreso",S3481,0))</f>
        <v/>
      </c>
      <c r="W3481" s="53">
        <f>IF(P3481="","",IF(P3481="Resultado trading",S3481,0))</f>
        <v/>
      </c>
      <c r="X3481" s="52">
        <f>IF(OR(P3481="Gasto",P3481="Reembolso"),IF(M3481&lt;&gt;"",M3481,IFERROR(INDEX(catClasif,MATCH(D3481&amp;"|"&amp;E3481,catClave,0))&amp;"","Variable")),"")</f>
        <v/>
      </c>
      <c r="Y3481" s="52">
        <f>IF(P3481="","",IFERROR(INDEX(catGrupo,MATCH(D3481&amp;"|"&amp;E3481,catClave,0))&amp;"",""))</f>
        <v/>
      </c>
      <c r="Z3481" s="52">
        <f>IF(P3481="","",WEEKDAY(B3481,2))</f>
        <v/>
      </c>
      <c r="AA3481" s="52">
        <f>IF(P3481="","",IF(AND(P3481="Gasto",X3481="Variable",D3481&lt;&gt;catTrading,S3481&gt;0,S3481&lt;=Umbral),1,0))</f>
        <v/>
      </c>
      <c r="AB3481" s="52">
        <f>IF(OR(P3481="",Q3481=""),"",IFERROR(IF(INDEX(ctaVinc,MATCH(Q3481,ctaNombre,0))&amp;""&lt;&gt;"",INDEX(ctaVinc,MATCH(Q3481,ctaNombre,0))&amp;"",Q3481),Q3481))</f>
        <v/>
      </c>
      <c r="AC3481" s="52">
        <f>IF(OR(K3481="",AND(P3481&lt;&gt;"Transferencia",P3481&lt;&gt;"Pago tarjeta")),"",IFERROR(IF(INDEX(ctaVinc,MATCH(K3481,ctaNombre,0))&amp;""&lt;&gt;"",INDEX(ctaVinc,MATCH(K3481,ctaNombre,0))&amp;"",K3481),K3481))</f>
        <v/>
      </c>
      <c r="AD3481" s="52">
        <f>IF(AB3481="","",IFERROR(INDEX(ctaTipo,MATCH(AB3481,ctaNombre,0))&amp;"",""))</f>
        <v/>
      </c>
      <c r="AE3481" s="52">
        <f>IF(AC3481="","",IFERROR(INDEX(ctaTipo,MATCH(AC3481,ctaNombre,0))&amp;"",""))</f>
        <v/>
      </c>
      <c r="AF3481" s="53">
        <f>IF(OR(P3481="",AB3481=""),"",IF(OR(P3481="Gasto",P3481="Transferencia",P3481="Pago tarjeta"),-1,1)*IF(IFERROR(INDEX(ctaMoneda,MATCH(AB3481,ctaNombre,0))&amp;"","DOP")="USD",T3481,S3481))</f>
        <v/>
      </c>
      <c r="AG3481" s="53">
        <f>IF(AC3481="","",IF(IFERROR(INDEX(ctaMoneda,MATCH(AC3481,ctaNombre,0))&amp;"","DOP")="USD",T3481,S3481))</f>
        <v/>
      </c>
      <c r="AH3481" s="53">
        <f>IF(P3481="","",IF(AND(AD3481&lt;&gt;"",COUNTIFS(tcTipo,AD3481,tcLiq,"Sí")&gt;0),IF(OR(P3481="Gasto",P3481="Transferencia",P3481="Pago tarjeta"),-1,1)*S3481,0)+IF(AND(AE3481&lt;&gt;"",COUNTIFS(tcTipo,AE3481,tcLiq,"Sí")&gt;0),S3481,0))</f>
        <v/>
      </c>
      <c r="AI3481" s="52">
        <f>IF(OR(L3481="",P3481=""),"",IF(COUNTIFS(L$6:L3481,L3481,P$6:P3481,"?*")=1,MAX(AI$5:AI3480)+1,""))</f>
        <v/>
      </c>
    </row>
    <row r="3482">
      <c r="B3482" s="47" t="n"/>
      <c r="C3482" s="48" t="n"/>
      <c r="D3482" s="48" t="n"/>
      <c r="E3482" s="48" t="n"/>
      <c r="F3482" s="48" t="n"/>
      <c r="G3482" s="49" t="n"/>
      <c r="H3482" s="48" t="n"/>
      <c r="I3482" s="50" t="n"/>
      <c r="J3482" s="48" t="n"/>
      <c r="K3482" s="48" t="n"/>
      <c r="L3482" s="48" t="n"/>
      <c r="M3482" s="48" t="n"/>
      <c r="N3482" s="48" t="n"/>
      <c r="O3482" s="51">
        <f>IF(AND(B3482="",G3482="",C3482="",D3482="",J3482=""),"",IF(B3482="","⚠ Falta fecha",IF(G3482="","⚠ Falta monto",IF(Q3482="","⚠ Falta cuenta",IF(ISNA(MATCH(Q3482,ctaNombre,0)),"⚠ Cuenta no registrada",IF(AND(OR(P3482="Gasto",P3482="Reembolso"),D3482=""),"⚠ Falta categoría",IF(AND(D3482&lt;&gt;"",E3482&lt;&gt;"",ISNA(MATCH(D3482&amp;"|"&amp;E3482,catClave,0))),"⚠ Subcategoría no corresponde",IF(AND(OR(P3482="Transferencia",P3482="Pago tarjeta"),K3482=""),"⚠ Falta cuenta destino",IF(AND(K3482&lt;&gt;"",P3482&lt;&gt;"Transferencia",P3482&lt;&gt;"Pago tarjeta"),"⚠ Destino solo aplica a transferencias",IF(AND(K3482&lt;&gt;"",K3482=Q3482),"⚠ Origen igual a destino",IF(AND(K3482&lt;&gt;"",ISNA(MATCH(K3482,ctaNombre,0))),"⚠ Destino no registrado",IF(AND(P3482="Pago tarjeta",AE3482&lt;&gt;"Tarjeta de crédito"),"⚠ El destino debe ser tarjeta de crédito",IF(AND(P3482="Gasto",E3482="Depósitos y retiros"),"⚠ Usa tipo Transferencia",IF(AND(P3482="Resultado trading",AD3482&lt;&gt;"Cuenta de trading"),"⚠ Usa una cuenta de trading",IF(AND(G3482&lt;=0,P3482&lt;&gt;"Ajuste",P3482&lt;&gt;"Resultado trading"),"⚠ El monto debe ser positivo","✓")))))))))))))))</f>
        <v/>
      </c>
      <c r="P3482" s="52">
        <f>IF(OR(B3482="",G3482=""),"",IF(C3482="","Gasto",C3482))</f>
        <v/>
      </c>
      <c r="Q3482" s="52">
        <f>IF(P3482="","",IF(J3482&lt;&gt;"",J3482,CuentaPred&amp;""))</f>
        <v/>
      </c>
      <c r="R3482" s="52">
        <f>IF(P3482="","",IF(ISNUMBER(I3482),I3482,TasaUSD))</f>
        <v/>
      </c>
      <c r="S3482" s="53">
        <f>IF(P3482="","",IF(H3482="USD",G3482*R3482,G3482))</f>
        <v/>
      </c>
      <c r="T3482" s="53">
        <f>IF(P3482="","",IF(H3482="USD",G3482,IF(R3482&gt;0,G3482/R3482,0)))</f>
        <v/>
      </c>
      <c r="U3482" s="53">
        <f>IF(P3482="","",IF(P3482="Gasto",S3482,IF(P3482="Reembolso",-S3482,0)))</f>
        <v/>
      </c>
      <c r="V3482" s="53">
        <f>IF(P3482="","",IF(P3482="Ingreso",S3482,0))</f>
        <v/>
      </c>
      <c r="W3482" s="53">
        <f>IF(P3482="","",IF(P3482="Resultado trading",S3482,0))</f>
        <v/>
      </c>
      <c r="X3482" s="52">
        <f>IF(OR(P3482="Gasto",P3482="Reembolso"),IF(M3482&lt;&gt;"",M3482,IFERROR(INDEX(catClasif,MATCH(D3482&amp;"|"&amp;E3482,catClave,0))&amp;"","Variable")),"")</f>
        <v/>
      </c>
      <c r="Y3482" s="52">
        <f>IF(P3482="","",IFERROR(INDEX(catGrupo,MATCH(D3482&amp;"|"&amp;E3482,catClave,0))&amp;"",""))</f>
        <v/>
      </c>
      <c r="Z3482" s="52">
        <f>IF(P3482="","",WEEKDAY(B3482,2))</f>
        <v/>
      </c>
      <c r="AA3482" s="52">
        <f>IF(P3482="","",IF(AND(P3482="Gasto",X3482="Variable",D3482&lt;&gt;catTrading,S3482&gt;0,S3482&lt;=Umbral),1,0))</f>
        <v/>
      </c>
      <c r="AB3482" s="52">
        <f>IF(OR(P3482="",Q3482=""),"",IFERROR(IF(INDEX(ctaVinc,MATCH(Q3482,ctaNombre,0))&amp;""&lt;&gt;"",INDEX(ctaVinc,MATCH(Q3482,ctaNombre,0))&amp;"",Q3482),Q3482))</f>
        <v/>
      </c>
      <c r="AC3482" s="52">
        <f>IF(OR(K3482="",AND(P3482&lt;&gt;"Transferencia",P3482&lt;&gt;"Pago tarjeta")),"",IFERROR(IF(INDEX(ctaVinc,MATCH(K3482,ctaNombre,0))&amp;""&lt;&gt;"",INDEX(ctaVinc,MATCH(K3482,ctaNombre,0))&amp;"",K3482),K3482))</f>
        <v/>
      </c>
      <c r="AD3482" s="52">
        <f>IF(AB3482="","",IFERROR(INDEX(ctaTipo,MATCH(AB3482,ctaNombre,0))&amp;"",""))</f>
        <v/>
      </c>
      <c r="AE3482" s="52">
        <f>IF(AC3482="","",IFERROR(INDEX(ctaTipo,MATCH(AC3482,ctaNombre,0))&amp;"",""))</f>
        <v/>
      </c>
      <c r="AF3482" s="53">
        <f>IF(OR(P3482="",AB3482=""),"",IF(OR(P3482="Gasto",P3482="Transferencia",P3482="Pago tarjeta"),-1,1)*IF(IFERROR(INDEX(ctaMoneda,MATCH(AB3482,ctaNombre,0))&amp;"","DOP")="USD",T3482,S3482))</f>
        <v/>
      </c>
      <c r="AG3482" s="53">
        <f>IF(AC3482="","",IF(IFERROR(INDEX(ctaMoneda,MATCH(AC3482,ctaNombre,0))&amp;"","DOP")="USD",T3482,S3482))</f>
        <v/>
      </c>
      <c r="AH3482" s="53">
        <f>IF(P3482="","",IF(AND(AD3482&lt;&gt;"",COUNTIFS(tcTipo,AD3482,tcLiq,"Sí")&gt;0),IF(OR(P3482="Gasto",P3482="Transferencia",P3482="Pago tarjeta"),-1,1)*S3482,0)+IF(AND(AE3482&lt;&gt;"",COUNTIFS(tcTipo,AE3482,tcLiq,"Sí")&gt;0),S3482,0))</f>
        <v/>
      </c>
      <c r="AI3482" s="52">
        <f>IF(OR(L3482="",P3482=""),"",IF(COUNTIFS(L$6:L3482,L3482,P$6:P3482,"?*")=1,MAX(AI$5:AI3481)+1,""))</f>
        <v/>
      </c>
    </row>
    <row r="3483">
      <c r="B3483" s="47" t="n"/>
      <c r="C3483" s="48" t="n"/>
      <c r="D3483" s="48" t="n"/>
      <c r="E3483" s="48" t="n"/>
      <c r="F3483" s="48" t="n"/>
      <c r="G3483" s="49" t="n"/>
      <c r="H3483" s="48" t="n"/>
      <c r="I3483" s="50" t="n"/>
      <c r="J3483" s="48" t="n"/>
      <c r="K3483" s="48" t="n"/>
      <c r="L3483" s="48" t="n"/>
      <c r="M3483" s="48" t="n"/>
      <c r="N3483" s="48" t="n"/>
      <c r="O3483" s="51">
        <f>IF(AND(B3483="",G3483="",C3483="",D3483="",J3483=""),"",IF(B3483="","⚠ Falta fecha",IF(G3483="","⚠ Falta monto",IF(Q3483="","⚠ Falta cuenta",IF(ISNA(MATCH(Q3483,ctaNombre,0)),"⚠ Cuenta no registrada",IF(AND(OR(P3483="Gasto",P3483="Reembolso"),D3483=""),"⚠ Falta categoría",IF(AND(D3483&lt;&gt;"",E3483&lt;&gt;"",ISNA(MATCH(D3483&amp;"|"&amp;E3483,catClave,0))),"⚠ Subcategoría no corresponde",IF(AND(OR(P3483="Transferencia",P3483="Pago tarjeta"),K3483=""),"⚠ Falta cuenta destino",IF(AND(K3483&lt;&gt;"",P3483&lt;&gt;"Transferencia",P3483&lt;&gt;"Pago tarjeta"),"⚠ Destino solo aplica a transferencias",IF(AND(K3483&lt;&gt;"",K3483=Q3483),"⚠ Origen igual a destino",IF(AND(K3483&lt;&gt;"",ISNA(MATCH(K3483,ctaNombre,0))),"⚠ Destino no registrado",IF(AND(P3483="Pago tarjeta",AE3483&lt;&gt;"Tarjeta de crédito"),"⚠ El destino debe ser tarjeta de crédito",IF(AND(P3483="Gasto",E3483="Depósitos y retiros"),"⚠ Usa tipo Transferencia",IF(AND(P3483="Resultado trading",AD3483&lt;&gt;"Cuenta de trading"),"⚠ Usa una cuenta de trading",IF(AND(G3483&lt;=0,P3483&lt;&gt;"Ajuste",P3483&lt;&gt;"Resultado trading"),"⚠ El monto debe ser positivo","✓")))))))))))))))</f>
        <v/>
      </c>
      <c r="P3483" s="52">
        <f>IF(OR(B3483="",G3483=""),"",IF(C3483="","Gasto",C3483))</f>
        <v/>
      </c>
      <c r="Q3483" s="52">
        <f>IF(P3483="","",IF(J3483&lt;&gt;"",J3483,CuentaPred&amp;""))</f>
        <v/>
      </c>
      <c r="R3483" s="52">
        <f>IF(P3483="","",IF(ISNUMBER(I3483),I3483,TasaUSD))</f>
        <v/>
      </c>
      <c r="S3483" s="53">
        <f>IF(P3483="","",IF(H3483="USD",G3483*R3483,G3483))</f>
        <v/>
      </c>
      <c r="T3483" s="53">
        <f>IF(P3483="","",IF(H3483="USD",G3483,IF(R3483&gt;0,G3483/R3483,0)))</f>
        <v/>
      </c>
      <c r="U3483" s="53">
        <f>IF(P3483="","",IF(P3483="Gasto",S3483,IF(P3483="Reembolso",-S3483,0)))</f>
        <v/>
      </c>
      <c r="V3483" s="53">
        <f>IF(P3483="","",IF(P3483="Ingreso",S3483,0))</f>
        <v/>
      </c>
      <c r="W3483" s="53">
        <f>IF(P3483="","",IF(P3483="Resultado trading",S3483,0))</f>
        <v/>
      </c>
      <c r="X3483" s="52">
        <f>IF(OR(P3483="Gasto",P3483="Reembolso"),IF(M3483&lt;&gt;"",M3483,IFERROR(INDEX(catClasif,MATCH(D3483&amp;"|"&amp;E3483,catClave,0))&amp;"","Variable")),"")</f>
        <v/>
      </c>
      <c r="Y3483" s="52">
        <f>IF(P3483="","",IFERROR(INDEX(catGrupo,MATCH(D3483&amp;"|"&amp;E3483,catClave,0))&amp;"",""))</f>
        <v/>
      </c>
      <c r="Z3483" s="52">
        <f>IF(P3483="","",WEEKDAY(B3483,2))</f>
        <v/>
      </c>
      <c r="AA3483" s="52">
        <f>IF(P3483="","",IF(AND(P3483="Gasto",X3483="Variable",D3483&lt;&gt;catTrading,S3483&gt;0,S3483&lt;=Umbral),1,0))</f>
        <v/>
      </c>
      <c r="AB3483" s="52">
        <f>IF(OR(P3483="",Q3483=""),"",IFERROR(IF(INDEX(ctaVinc,MATCH(Q3483,ctaNombre,0))&amp;""&lt;&gt;"",INDEX(ctaVinc,MATCH(Q3483,ctaNombre,0))&amp;"",Q3483),Q3483))</f>
        <v/>
      </c>
      <c r="AC3483" s="52">
        <f>IF(OR(K3483="",AND(P3483&lt;&gt;"Transferencia",P3483&lt;&gt;"Pago tarjeta")),"",IFERROR(IF(INDEX(ctaVinc,MATCH(K3483,ctaNombre,0))&amp;""&lt;&gt;"",INDEX(ctaVinc,MATCH(K3483,ctaNombre,0))&amp;"",K3483),K3483))</f>
        <v/>
      </c>
      <c r="AD3483" s="52">
        <f>IF(AB3483="","",IFERROR(INDEX(ctaTipo,MATCH(AB3483,ctaNombre,0))&amp;"",""))</f>
        <v/>
      </c>
      <c r="AE3483" s="52">
        <f>IF(AC3483="","",IFERROR(INDEX(ctaTipo,MATCH(AC3483,ctaNombre,0))&amp;"",""))</f>
        <v/>
      </c>
      <c r="AF3483" s="53">
        <f>IF(OR(P3483="",AB3483=""),"",IF(OR(P3483="Gasto",P3483="Transferencia",P3483="Pago tarjeta"),-1,1)*IF(IFERROR(INDEX(ctaMoneda,MATCH(AB3483,ctaNombre,0))&amp;"","DOP")="USD",T3483,S3483))</f>
        <v/>
      </c>
      <c r="AG3483" s="53">
        <f>IF(AC3483="","",IF(IFERROR(INDEX(ctaMoneda,MATCH(AC3483,ctaNombre,0))&amp;"","DOP")="USD",T3483,S3483))</f>
        <v/>
      </c>
      <c r="AH3483" s="53">
        <f>IF(P3483="","",IF(AND(AD3483&lt;&gt;"",COUNTIFS(tcTipo,AD3483,tcLiq,"Sí")&gt;0),IF(OR(P3483="Gasto",P3483="Transferencia",P3483="Pago tarjeta"),-1,1)*S3483,0)+IF(AND(AE3483&lt;&gt;"",COUNTIFS(tcTipo,AE3483,tcLiq,"Sí")&gt;0),S3483,0))</f>
        <v/>
      </c>
      <c r="AI3483" s="52">
        <f>IF(OR(L3483="",P3483=""),"",IF(COUNTIFS(L$6:L3483,L3483,P$6:P3483,"?*")=1,MAX(AI$5:AI3482)+1,""))</f>
        <v/>
      </c>
    </row>
    <row r="3484">
      <c r="B3484" s="47" t="n"/>
      <c r="C3484" s="48" t="n"/>
      <c r="D3484" s="48" t="n"/>
      <c r="E3484" s="48" t="n"/>
      <c r="F3484" s="48" t="n"/>
      <c r="G3484" s="49" t="n"/>
      <c r="H3484" s="48" t="n"/>
      <c r="I3484" s="50" t="n"/>
      <c r="J3484" s="48" t="n"/>
      <c r="K3484" s="48" t="n"/>
      <c r="L3484" s="48" t="n"/>
      <c r="M3484" s="48" t="n"/>
      <c r="N3484" s="48" t="n"/>
      <c r="O3484" s="51">
        <f>IF(AND(B3484="",G3484="",C3484="",D3484="",J3484=""),"",IF(B3484="","⚠ Falta fecha",IF(G3484="","⚠ Falta monto",IF(Q3484="","⚠ Falta cuenta",IF(ISNA(MATCH(Q3484,ctaNombre,0)),"⚠ Cuenta no registrada",IF(AND(OR(P3484="Gasto",P3484="Reembolso"),D3484=""),"⚠ Falta categoría",IF(AND(D3484&lt;&gt;"",E3484&lt;&gt;"",ISNA(MATCH(D3484&amp;"|"&amp;E3484,catClave,0))),"⚠ Subcategoría no corresponde",IF(AND(OR(P3484="Transferencia",P3484="Pago tarjeta"),K3484=""),"⚠ Falta cuenta destino",IF(AND(K3484&lt;&gt;"",P3484&lt;&gt;"Transferencia",P3484&lt;&gt;"Pago tarjeta"),"⚠ Destino solo aplica a transferencias",IF(AND(K3484&lt;&gt;"",K3484=Q3484),"⚠ Origen igual a destino",IF(AND(K3484&lt;&gt;"",ISNA(MATCH(K3484,ctaNombre,0))),"⚠ Destino no registrado",IF(AND(P3484="Pago tarjeta",AE3484&lt;&gt;"Tarjeta de crédito"),"⚠ El destino debe ser tarjeta de crédito",IF(AND(P3484="Gasto",E3484="Depósitos y retiros"),"⚠ Usa tipo Transferencia",IF(AND(P3484="Resultado trading",AD3484&lt;&gt;"Cuenta de trading"),"⚠ Usa una cuenta de trading",IF(AND(G3484&lt;=0,P3484&lt;&gt;"Ajuste",P3484&lt;&gt;"Resultado trading"),"⚠ El monto debe ser positivo","✓")))))))))))))))</f>
        <v/>
      </c>
      <c r="P3484" s="52">
        <f>IF(OR(B3484="",G3484=""),"",IF(C3484="","Gasto",C3484))</f>
        <v/>
      </c>
      <c r="Q3484" s="52">
        <f>IF(P3484="","",IF(J3484&lt;&gt;"",J3484,CuentaPred&amp;""))</f>
        <v/>
      </c>
      <c r="R3484" s="52">
        <f>IF(P3484="","",IF(ISNUMBER(I3484),I3484,TasaUSD))</f>
        <v/>
      </c>
      <c r="S3484" s="53">
        <f>IF(P3484="","",IF(H3484="USD",G3484*R3484,G3484))</f>
        <v/>
      </c>
      <c r="T3484" s="53">
        <f>IF(P3484="","",IF(H3484="USD",G3484,IF(R3484&gt;0,G3484/R3484,0)))</f>
        <v/>
      </c>
      <c r="U3484" s="53">
        <f>IF(P3484="","",IF(P3484="Gasto",S3484,IF(P3484="Reembolso",-S3484,0)))</f>
        <v/>
      </c>
      <c r="V3484" s="53">
        <f>IF(P3484="","",IF(P3484="Ingreso",S3484,0))</f>
        <v/>
      </c>
      <c r="W3484" s="53">
        <f>IF(P3484="","",IF(P3484="Resultado trading",S3484,0))</f>
        <v/>
      </c>
      <c r="X3484" s="52">
        <f>IF(OR(P3484="Gasto",P3484="Reembolso"),IF(M3484&lt;&gt;"",M3484,IFERROR(INDEX(catClasif,MATCH(D3484&amp;"|"&amp;E3484,catClave,0))&amp;"","Variable")),"")</f>
        <v/>
      </c>
      <c r="Y3484" s="52">
        <f>IF(P3484="","",IFERROR(INDEX(catGrupo,MATCH(D3484&amp;"|"&amp;E3484,catClave,0))&amp;"",""))</f>
        <v/>
      </c>
      <c r="Z3484" s="52">
        <f>IF(P3484="","",WEEKDAY(B3484,2))</f>
        <v/>
      </c>
      <c r="AA3484" s="52">
        <f>IF(P3484="","",IF(AND(P3484="Gasto",X3484="Variable",D3484&lt;&gt;catTrading,S3484&gt;0,S3484&lt;=Umbral),1,0))</f>
        <v/>
      </c>
      <c r="AB3484" s="52">
        <f>IF(OR(P3484="",Q3484=""),"",IFERROR(IF(INDEX(ctaVinc,MATCH(Q3484,ctaNombre,0))&amp;""&lt;&gt;"",INDEX(ctaVinc,MATCH(Q3484,ctaNombre,0))&amp;"",Q3484),Q3484))</f>
        <v/>
      </c>
      <c r="AC3484" s="52">
        <f>IF(OR(K3484="",AND(P3484&lt;&gt;"Transferencia",P3484&lt;&gt;"Pago tarjeta")),"",IFERROR(IF(INDEX(ctaVinc,MATCH(K3484,ctaNombre,0))&amp;""&lt;&gt;"",INDEX(ctaVinc,MATCH(K3484,ctaNombre,0))&amp;"",K3484),K3484))</f>
        <v/>
      </c>
      <c r="AD3484" s="52">
        <f>IF(AB3484="","",IFERROR(INDEX(ctaTipo,MATCH(AB3484,ctaNombre,0))&amp;"",""))</f>
        <v/>
      </c>
      <c r="AE3484" s="52">
        <f>IF(AC3484="","",IFERROR(INDEX(ctaTipo,MATCH(AC3484,ctaNombre,0))&amp;"",""))</f>
        <v/>
      </c>
      <c r="AF3484" s="53">
        <f>IF(OR(P3484="",AB3484=""),"",IF(OR(P3484="Gasto",P3484="Transferencia",P3484="Pago tarjeta"),-1,1)*IF(IFERROR(INDEX(ctaMoneda,MATCH(AB3484,ctaNombre,0))&amp;"","DOP")="USD",T3484,S3484))</f>
        <v/>
      </c>
      <c r="AG3484" s="53">
        <f>IF(AC3484="","",IF(IFERROR(INDEX(ctaMoneda,MATCH(AC3484,ctaNombre,0))&amp;"","DOP")="USD",T3484,S3484))</f>
        <v/>
      </c>
      <c r="AH3484" s="53">
        <f>IF(P3484="","",IF(AND(AD3484&lt;&gt;"",COUNTIFS(tcTipo,AD3484,tcLiq,"Sí")&gt;0),IF(OR(P3484="Gasto",P3484="Transferencia",P3484="Pago tarjeta"),-1,1)*S3484,0)+IF(AND(AE3484&lt;&gt;"",COUNTIFS(tcTipo,AE3484,tcLiq,"Sí")&gt;0),S3484,0))</f>
        <v/>
      </c>
      <c r="AI3484" s="52">
        <f>IF(OR(L3484="",P3484=""),"",IF(COUNTIFS(L$6:L3484,L3484,P$6:P3484,"?*")=1,MAX(AI$5:AI3483)+1,""))</f>
        <v/>
      </c>
    </row>
    <row r="3485">
      <c r="B3485" s="47" t="n"/>
      <c r="C3485" s="48" t="n"/>
      <c r="D3485" s="48" t="n"/>
      <c r="E3485" s="48" t="n"/>
      <c r="F3485" s="48" t="n"/>
      <c r="G3485" s="49" t="n"/>
      <c r="H3485" s="48" t="n"/>
      <c r="I3485" s="50" t="n"/>
      <c r="J3485" s="48" t="n"/>
      <c r="K3485" s="48" t="n"/>
      <c r="L3485" s="48" t="n"/>
      <c r="M3485" s="48" t="n"/>
      <c r="N3485" s="48" t="n"/>
      <c r="O3485" s="51">
        <f>IF(AND(B3485="",G3485="",C3485="",D3485="",J3485=""),"",IF(B3485="","⚠ Falta fecha",IF(G3485="","⚠ Falta monto",IF(Q3485="","⚠ Falta cuenta",IF(ISNA(MATCH(Q3485,ctaNombre,0)),"⚠ Cuenta no registrada",IF(AND(OR(P3485="Gasto",P3485="Reembolso"),D3485=""),"⚠ Falta categoría",IF(AND(D3485&lt;&gt;"",E3485&lt;&gt;"",ISNA(MATCH(D3485&amp;"|"&amp;E3485,catClave,0))),"⚠ Subcategoría no corresponde",IF(AND(OR(P3485="Transferencia",P3485="Pago tarjeta"),K3485=""),"⚠ Falta cuenta destino",IF(AND(K3485&lt;&gt;"",P3485&lt;&gt;"Transferencia",P3485&lt;&gt;"Pago tarjeta"),"⚠ Destino solo aplica a transferencias",IF(AND(K3485&lt;&gt;"",K3485=Q3485),"⚠ Origen igual a destino",IF(AND(K3485&lt;&gt;"",ISNA(MATCH(K3485,ctaNombre,0))),"⚠ Destino no registrado",IF(AND(P3485="Pago tarjeta",AE3485&lt;&gt;"Tarjeta de crédito"),"⚠ El destino debe ser tarjeta de crédito",IF(AND(P3485="Gasto",E3485="Depósitos y retiros"),"⚠ Usa tipo Transferencia",IF(AND(P3485="Resultado trading",AD3485&lt;&gt;"Cuenta de trading"),"⚠ Usa una cuenta de trading",IF(AND(G3485&lt;=0,P3485&lt;&gt;"Ajuste",P3485&lt;&gt;"Resultado trading"),"⚠ El monto debe ser positivo","✓")))))))))))))))</f>
        <v/>
      </c>
      <c r="P3485" s="52">
        <f>IF(OR(B3485="",G3485=""),"",IF(C3485="","Gasto",C3485))</f>
        <v/>
      </c>
      <c r="Q3485" s="52">
        <f>IF(P3485="","",IF(J3485&lt;&gt;"",J3485,CuentaPred&amp;""))</f>
        <v/>
      </c>
      <c r="R3485" s="52">
        <f>IF(P3485="","",IF(ISNUMBER(I3485),I3485,TasaUSD))</f>
        <v/>
      </c>
      <c r="S3485" s="53">
        <f>IF(P3485="","",IF(H3485="USD",G3485*R3485,G3485))</f>
        <v/>
      </c>
      <c r="T3485" s="53">
        <f>IF(P3485="","",IF(H3485="USD",G3485,IF(R3485&gt;0,G3485/R3485,0)))</f>
        <v/>
      </c>
      <c r="U3485" s="53">
        <f>IF(P3485="","",IF(P3485="Gasto",S3485,IF(P3485="Reembolso",-S3485,0)))</f>
        <v/>
      </c>
      <c r="V3485" s="53">
        <f>IF(P3485="","",IF(P3485="Ingreso",S3485,0))</f>
        <v/>
      </c>
      <c r="W3485" s="53">
        <f>IF(P3485="","",IF(P3485="Resultado trading",S3485,0))</f>
        <v/>
      </c>
      <c r="X3485" s="52">
        <f>IF(OR(P3485="Gasto",P3485="Reembolso"),IF(M3485&lt;&gt;"",M3485,IFERROR(INDEX(catClasif,MATCH(D3485&amp;"|"&amp;E3485,catClave,0))&amp;"","Variable")),"")</f>
        <v/>
      </c>
      <c r="Y3485" s="52">
        <f>IF(P3485="","",IFERROR(INDEX(catGrupo,MATCH(D3485&amp;"|"&amp;E3485,catClave,0))&amp;"",""))</f>
        <v/>
      </c>
      <c r="Z3485" s="52">
        <f>IF(P3485="","",WEEKDAY(B3485,2))</f>
        <v/>
      </c>
      <c r="AA3485" s="52">
        <f>IF(P3485="","",IF(AND(P3485="Gasto",X3485="Variable",D3485&lt;&gt;catTrading,S3485&gt;0,S3485&lt;=Umbral),1,0))</f>
        <v/>
      </c>
      <c r="AB3485" s="52">
        <f>IF(OR(P3485="",Q3485=""),"",IFERROR(IF(INDEX(ctaVinc,MATCH(Q3485,ctaNombre,0))&amp;""&lt;&gt;"",INDEX(ctaVinc,MATCH(Q3485,ctaNombre,0))&amp;"",Q3485),Q3485))</f>
        <v/>
      </c>
      <c r="AC3485" s="52">
        <f>IF(OR(K3485="",AND(P3485&lt;&gt;"Transferencia",P3485&lt;&gt;"Pago tarjeta")),"",IFERROR(IF(INDEX(ctaVinc,MATCH(K3485,ctaNombre,0))&amp;""&lt;&gt;"",INDEX(ctaVinc,MATCH(K3485,ctaNombre,0))&amp;"",K3485),K3485))</f>
        <v/>
      </c>
      <c r="AD3485" s="52">
        <f>IF(AB3485="","",IFERROR(INDEX(ctaTipo,MATCH(AB3485,ctaNombre,0))&amp;"",""))</f>
        <v/>
      </c>
      <c r="AE3485" s="52">
        <f>IF(AC3485="","",IFERROR(INDEX(ctaTipo,MATCH(AC3485,ctaNombre,0))&amp;"",""))</f>
        <v/>
      </c>
      <c r="AF3485" s="53">
        <f>IF(OR(P3485="",AB3485=""),"",IF(OR(P3485="Gasto",P3485="Transferencia",P3485="Pago tarjeta"),-1,1)*IF(IFERROR(INDEX(ctaMoneda,MATCH(AB3485,ctaNombre,0))&amp;"","DOP")="USD",T3485,S3485))</f>
        <v/>
      </c>
      <c r="AG3485" s="53">
        <f>IF(AC3485="","",IF(IFERROR(INDEX(ctaMoneda,MATCH(AC3485,ctaNombre,0))&amp;"","DOP")="USD",T3485,S3485))</f>
        <v/>
      </c>
      <c r="AH3485" s="53">
        <f>IF(P3485="","",IF(AND(AD3485&lt;&gt;"",COUNTIFS(tcTipo,AD3485,tcLiq,"Sí")&gt;0),IF(OR(P3485="Gasto",P3485="Transferencia",P3485="Pago tarjeta"),-1,1)*S3485,0)+IF(AND(AE3485&lt;&gt;"",COUNTIFS(tcTipo,AE3485,tcLiq,"Sí")&gt;0),S3485,0))</f>
        <v/>
      </c>
      <c r="AI3485" s="52">
        <f>IF(OR(L3485="",P3485=""),"",IF(COUNTIFS(L$6:L3485,L3485,P$6:P3485,"?*")=1,MAX(AI$5:AI3484)+1,""))</f>
        <v/>
      </c>
    </row>
    <row r="3486">
      <c r="B3486" s="47" t="n"/>
      <c r="C3486" s="48" t="n"/>
      <c r="D3486" s="48" t="n"/>
      <c r="E3486" s="48" t="n"/>
      <c r="F3486" s="48" t="n"/>
      <c r="G3486" s="49" t="n"/>
      <c r="H3486" s="48" t="n"/>
      <c r="I3486" s="50" t="n"/>
      <c r="J3486" s="48" t="n"/>
      <c r="K3486" s="48" t="n"/>
      <c r="L3486" s="48" t="n"/>
      <c r="M3486" s="48" t="n"/>
      <c r="N3486" s="48" t="n"/>
      <c r="O3486" s="51">
        <f>IF(AND(B3486="",G3486="",C3486="",D3486="",J3486=""),"",IF(B3486="","⚠ Falta fecha",IF(G3486="","⚠ Falta monto",IF(Q3486="","⚠ Falta cuenta",IF(ISNA(MATCH(Q3486,ctaNombre,0)),"⚠ Cuenta no registrada",IF(AND(OR(P3486="Gasto",P3486="Reembolso"),D3486=""),"⚠ Falta categoría",IF(AND(D3486&lt;&gt;"",E3486&lt;&gt;"",ISNA(MATCH(D3486&amp;"|"&amp;E3486,catClave,0))),"⚠ Subcategoría no corresponde",IF(AND(OR(P3486="Transferencia",P3486="Pago tarjeta"),K3486=""),"⚠ Falta cuenta destino",IF(AND(K3486&lt;&gt;"",P3486&lt;&gt;"Transferencia",P3486&lt;&gt;"Pago tarjeta"),"⚠ Destino solo aplica a transferencias",IF(AND(K3486&lt;&gt;"",K3486=Q3486),"⚠ Origen igual a destino",IF(AND(K3486&lt;&gt;"",ISNA(MATCH(K3486,ctaNombre,0))),"⚠ Destino no registrado",IF(AND(P3486="Pago tarjeta",AE3486&lt;&gt;"Tarjeta de crédito"),"⚠ El destino debe ser tarjeta de crédito",IF(AND(P3486="Gasto",E3486="Depósitos y retiros"),"⚠ Usa tipo Transferencia",IF(AND(P3486="Resultado trading",AD3486&lt;&gt;"Cuenta de trading"),"⚠ Usa una cuenta de trading",IF(AND(G3486&lt;=0,P3486&lt;&gt;"Ajuste",P3486&lt;&gt;"Resultado trading"),"⚠ El monto debe ser positivo","✓")))))))))))))))</f>
        <v/>
      </c>
      <c r="P3486" s="52">
        <f>IF(OR(B3486="",G3486=""),"",IF(C3486="","Gasto",C3486))</f>
        <v/>
      </c>
      <c r="Q3486" s="52">
        <f>IF(P3486="","",IF(J3486&lt;&gt;"",J3486,CuentaPred&amp;""))</f>
        <v/>
      </c>
      <c r="R3486" s="52">
        <f>IF(P3486="","",IF(ISNUMBER(I3486),I3486,TasaUSD))</f>
        <v/>
      </c>
      <c r="S3486" s="53">
        <f>IF(P3486="","",IF(H3486="USD",G3486*R3486,G3486))</f>
        <v/>
      </c>
      <c r="T3486" s="53">
        <f>IF(P3486="","",IF(H3486="USD",G3486,IF(R3486&gt;0,G3486/R3486,0)))</f>
        <v/>
      </c>
      <c r="U3486" s="53">
        <f>IF(P3486="","",IF(P3486="Gasto",S3486,IF(P3486="Reembolso",-S3486,0)))</f>
        <v/>
      </c>
      <c r="V3486" s="53">
        <f>IF(P3486="","",IF(P3486="Ingreso",S3486,0))</f>
        <v/>
      </c>
      <c r="W3486" s="53">
        <f>IF(P3486="","",IF(P3486="Resultado trading",S3486,0))</f>
        <v/>
      </c>
      <c r="X3486" s="52">
        <f>IF(OR(P3486="Gasto",P3486="Reembolso"),IF(M3486&lt;&gt;"",M3486,IFERROR(INDEX(catClasif,MATCH(D3486&amp;"|"&amp;E3486,catClave,0))&amp;"","Variable")),"")</f>
        <v/>
      </c>
      <c r="Y3486" s="52">
        <f>IF(P3486="","",IFERROR(INDEX(catGrupo,MATCH(D3486&amp;"|"&amp;E3486,catClave,0))&amp;"",""))</f>
        <v/>
      </c>
      <c r="Z3486" s="52">
        <f>IF(P3486="","",WEEKDAY(B3486,2))</f>
        <v/>
      </c>
      <c r="AA3486" s="52">
        <f>IF(P3486="","",IF(AND(P3486="Gasto",X3486="Variable",D3486&lt;&gt;catTrading,S3486&gt;0,S3486&lt;=Umbral),1,0))</f>
        <v/>
      </c>
      <c r="AB3486" s="52">
        <f>IF(OR(P3486="",Q3486=""),"",IFERROR(IF(INDEX(ctaVinc,MATCH(Q3486,ctaNombre,0))&amp;""&lt;&gt;"",INDEX(ctaVinc,MATCH(Q3486,ctaNombre,0))&amp;"",Q3486),Q3486))</f>
        <v/>
      </c>
      <c r="AC3486" s="52">
        <f>IF(OR(K3486="",AND(P3486&lt;&gt;"Transferencia",P3486&lt;&gt;"Pago tarjeta")),"",IFERROR(IF(INDEX(ctaVinc,MATCH(K3486,ctaNombre,0))&amp;""&lt;&gt;"",INDEX(ctaVinc,MATCH(K3486,ctaNombre,0))&amp;"",K3486),K3486))</f>
        <v/>
      </c>
      <c r="AD3486" s="52">
        <f>IF(AB3486="","",IFERROR(INDEX(ctaTipo,MATCH(AB3486,ctaNombre,0))&amp;"",""))</f>
        <v/>
      </c>
      <c r="AE3486" s="52">
        <f>IF(AC3486="","",IFERROR(INDEX(ctaTipo,MATCH(AC3486,ctaNombre,0))&amp;"",""))</f>
        <v/>
      </c>
      <c r="AF3486" s="53">
        <f>IF(OR(P3486="",AB3486=""),"",IF(OR(P3486="Gasto",P3486="Transferencia",P3486="Pago tarjeta"),-1,1)*IF(IFERROR(INDEX(ctaMoneda,MATCH(AB3486,ctaNombre,0))&amp;"","DOP")="USD",T3486,S3486))</f>
        <v/>
      </c>
      <c r="AG3486" s="53">
        <f>IF(AC3486="","",IF(IFERROR(INDEX(ctaMoneda,MATCH(AC3486,ctaNombre,0))&amp;"","DOP")="USD",T3486,S3486))</f>
        <v/>
      </c>
      <c r="AH3486" s="53">
        <f>IF(P3486="","",IF(AND(AD3486&lt;&gt;"",COUNTIFS(tcTipo,AD3486,tcLiq,"Sí")&gt;0),IF(OR(P3486="Gasto",P3486="Transferencia",P3486="Pago tarjeta"),-1,1)*S3486,0)+IF(AND(AE3486&lt;&gt;"",COUNTIFS(tcTipo,AE3486,tcLiq,"Sí")&gt;0),S3486,0))</f>
        <v/>
      </c>
      <c r="AI3486" s="52">
        <f>IF(OR(L3486="",P3486=""),"",IF(COUNTIFS(L$6:L3486,L3486,P$6:P3486,"?*")=1,MAX(AI$5:AI3485)+1,""))</f>
        <v/>
      </c>
    </row>
    <row r="3487">
      <c r="B3487" s="47" t="n"/>
      <c r="C3487" s="48" t="n"/>
      <c r="D3487" s="48" t="n"/>
      <c r="E3487" s="48" t="n"/>
      <c r="F3487" s="48" t="n"/>
      <c r="G3487" s="49" t="n"/>
      <c r="H3487" s="48" t="n"/>
      <c r="I3487" s="50" t="n"/>
      <c r="J3487" s="48" t="n"/>
      <c r="K3487" s="48" t="n"/>
      <c r="L3487" s="48" t="n"/>
      <c r="M3487" s="48" t="n"/>
      <c r="N3487" s="48" t="n"/>
      <c r="O3487" s="51">
        <f>IF(AND(B3487="",G3487="",C3487="",D3487="",J3487=""),"",IF(B3487="","⚠ Falta fecha",IF(G3487="","⚠ Falta monto",IF(Q3487="","⚠ Falta cuenta",IF(ISNA(MATCH(Q3487,ctaNombre,0)),"⚠ Cuenta no registrada",IF(AND(OR(P3487="Gasto",P3487="Reembolso"),D3487=""),"⚠ Falta categoría",IF(AND(D3487&lt;&gt;"",E3487&lt;&gt;"",ISNA(MATCH(D3487&amp;"|"&amp;E3487,catClave,0))),"⚠ Subcategoría no corresponde",IF(AND(OR(P3487="Transferencia",P3487="Pago tarjeta"),K3487=""),"⚠ Falta cuenta destino",IF(AND(K3487&lt;&gt;"",P3487&lt;&gt;"Transferencia",P3487&lt;&gt;"Pago tarjeta"),"⚠ Destino solo aplica a transferencias",IF(AND(K3487&lt;&gt;"",K3487=Q3487),"⚠ Origen igual a destino",IF(AND(K3487&lt;&gt;"",ISNA(MATCH(K3487,ctaNombre,0))),"⚠ Destino no registrado",IF(AND(P3487="Pago tarjeta",AE3487&lt;&gt;"Tarjeta de crédito"),"⚠ El destino debe ser tarjeta de crédito",IF(AND(P3487="Gasto",E3487="Depósitos y retiros"),"⚠ Usa tipo Transferencia",IF(AND(P3487="Resultado trading",AD3487&lt;&gt;"Cuenta de trading"),"⚠ Usa una cuenta de trading",IF(AND(G3487&lt;=0,P3487&lt;&gt;"Ajuste",P3487&lt;&gt;"Resultado trading"),"⚠ El monto debe ser positivo","✓")))))))))))))))</f>
        <v/>
      </c>
      <c r="P3487" s="52">
        <f>IF(OR(B3487="",G3487=""),"",IF(C3487="","Gasto",C3487))</f>
        <v/>
      </c>
      <c r="Q3487" s="52">
        <f>IF(P3487="","",IF(J3487&lt;&gt;"",J3487,CuentaPred&amp;""))</f>
        <v/>
      </c>
      <c r="R3487" s="52">
        <f>IF(P3487="","",IF(ISNUMBER(I3487),I3487,TasaUSD))</f>
        <v/>
      </c>
      <c r="S3487" s="53">
        <f>IF(P3487="","",IF(H3487="USD",G3487*R3487,G3487))</f>
        <v/>
      </c>
      <c r="T3487" s="53">
        <f>IF(P3487="","",IF(H3487="USD",G3487,IF(R3487&gt;0,G3487/R3487,0)))</f>
        <v/>
      </c>
      <c r="U3487" s="53">
        <f>IF(P3487="","",IF(P3487="Gasto",S3487,IF(P3487="Reembolso",-S3487,0)))</f>
        <v/>
      </c>
      <c r="V3487" s="53">
        <f>IF(P3487="","",IF(P3487="Ingreso",S3487,0))</f>
        <v/>
      </c>
      <c r="W3487" s="53">
        <f>IF(P3487="","",IF(P3487="Resultado trading",S3487,0))</f>
        <v/>
      </c>
      <c r="X3487" s="52">
        <f>IF(OR(P3487="Gasto",P3487="Reembolso"),IF(M3487&lt;&gt;"",M3487,IFERROR(INDEX(catClasif,MATCH(D3487&amp;"|"&amp;E3487,catClave,0))&amp;"","Variable")),"")</f>
        <v/>
      </c>
      <c r="Y3487" s="52">
        <f>IF(P3487="","",IFERROR(INDEX(catGrupo,MATCH(D3487&amp;"|"&amp;E3487,catClave,0))&amp;"",""))</f>
        <v/>
      </c>
      <c r="Z3487" s="52">
        <f>IF(P3487="","",WEEKDAY(B3487,2))</f>
        <v/>
      </c>
      <c r="AA3487" s="52">
        <f>IF(P3487="","",IF(AND(P3487="Gasto",X3487="Variable",D3487&lt;&gt;catTrading,S3487&gt;0,S3487&lt;=Umbral),1,0))</f>
        <v/>
      </c>
      <c r="AB3487" s="52">
        <f>IF(OR(P3487="",Q3487=""),"",IFERROR(IF(INDEX(ctaVinc,MATCH(Q3487,ctaNombre,0))&amp;""&lt;&gt;"",INDEX(ctaVinc,MATCH(Q3487,ctaNombre,0))&amp;"",Q3487),Q3487))</f>
        <v/>
      </c>
      <c r="AC3487" s="52">
        <f>IF(OR(K3487="",AND(P3487&lt;&gt;"Transferencia",P3487&lt;&gt;"Pago tarjeta")),"",IFERROR(IF(INDEX(ctaVinc,MATCH(K3487,ctaNombre,0))&amp;""&lt;&gt;"",INDEX(ctaVinc,MATCH(K3487,ctaNombre,0))&amp;"",K3487),K3487))</f>
        <v/>
      </c>
      <c r="AD3487" s="52">
        <f>IF(AB3487="","",IFERROR(INDEX(ctaTipo,MATCH(AB3487,ctaNombre,0))&amp;"",""))</f>
        <v/>
      </c>
      <c r="AE3487" s="52">
        <f>IF(AC3487="","",IFERROR(INDEX(ctaTipo,MATCH(AC3487,ctaNombre,0))&amp;"",""))</f>
        <v/>
      </c>
      <c r="AF3487" s="53">
        <f>IF(OR(P3487="",AB3487=""),"",IF(OR(P3487="Gasto",P3487="Transferencia",P3487="Pago tarjeta"),-1,1)*IF(IFERROR(INDEX(ctaMoneda,MATCH(AB3487,ctaNombre,0))&amp;"","DOP")="USD",T3487,S3487))</f>
        <v/>
      </c>
      <c r="AG3487" s="53">
        <f>IF(AC3487="","",IF(IFERROR(INDEX(ctaMoneda,MATCH(AC3487,ctaNombre,0))&amp;"","DOP")="USD",T3487,S3487))</f>
        <v/>
      </c>
      <c r="AH3487" s="53">
        <f>IF(P3487="","",IF(AND(AD3487&lt;&gt;"",COUNTIFS(tcTipo,AD3487,tcLiq,"Sí")&gt;0),IF(OR(P3487="Gasto",P3487="Transferencia",P3487="Pago tarjeta"),-1,1)*S3487,0)+IF(AND(AE3487&lt;&gt;"",COUNTIFS(tcTipo,AE3487,tcLiq,"Sí")&gt;0),S3487,0))</f>
        <v/>
      </c>
      <c r="AI3487" s="52">
        <f>IF(OR(L3487="",P3487=""),"",IF(COUNTIFS(L$6:L3487,L3487,P$6:P3487,"?*")=1,MAX(AI$5:AI3486)+1,""))</f>
        <v/>
      </c>
    </row>
    <row r="3488">
      <c r="B3488" s="47" t="n"/>
      <c r="C3488" s="48" t="n"/>
      <c r="D3488" s="48" t="n"/>
      <c r="E3488" s="48" t="n"/>
      <c r="F3488" s="48" t="n"/>
      <c r="G3488" s="49" t="n"/>
      <c r="H3488" s="48" t="n"/>
      <c r="I3488" s="50" t="n"/>
      <c r="J3488" s="48" t="n"/>
      <c r="K3488" s="48" t="n"/>
      <c r="L3488" s="48" t="n"/>
      <c r="M3488" s="48" t="n"/>
      <c r="N3488" s="48" t="n"/>
      <c r="O3488" s="51">
        <f>IF(AND(B3488="",G3488="",C3488="",D3488="",J3488=""),"",IF(B3488="","⚠ Falta fecha",IF(G3488="","⚠ Falta monto",IF(Q3488="","⚠ Falta cuenta",IF(ISNA(MATCH(Q3488,ctaNombre,0)),"⚠ Cuenta no registrada",IF(AND(OR(P3488="Gasto",P3488="Reembolso"),D3488=""),"⚠ Falta categoría",IF(AND(D3488&lt;&gt;"",E3488&lt;&gt;"",ISNA(MATCH(D3488&amp;"|"&amp;E3488,catClave,0))),"⚠ Subcategoría no corresponde",IF(AND(OR(P3488="Transferencia",P3488="Pago tarjeta"),K3488=""),"⚠ Falta cuenta destino",IF(AND(K3488&lt;&gt;"",P3488&lt;&gt;"Transferencia",P3488&lt;&gt;"Pago tarjeta"),"⚠ Destino solo aplica a transferencias",IF(AND(K3488&lt;&gt;"",K3488=Q3488),"⚠ Origen igual a destino",IF(AND(K3488&lt;&gt;"",ISNA(MATCH(K3488,ctaNombre,0))),"⚠ Destino no registrado",IF(AND(P3488="Pago tarjeta",AE3488&lt;&gt;"Tarjeta de crédito"),"⚠ El destino debe ser tarjeta de crédito",IF(AND(P3488="Gasto",E3488="Depósitos y retiros"),"⚠ Usa tipo Transferencia",IF(AND(P3488="Resultado trading",AD3488&lt;&gt;"Cuenta de trading"),"⚠ Usa una cuenta de trading",IF(AND(G3488&lt;=0,P3488&lt;&gt;"Ajuste",P3488&lt;&gt;"Resultado trading"),"⚠ El monto debe ser positivo","✓")))))))))))))))</f>
        <v/>
      </c>
      <c r="P3488" s="52">
        <f>IF(OR(B3488="",G3488=""),"",IF(C3488="","Gasto",C3488))</f>
        <v/>
      </c>
      <c r="Q3488" s="52">
        <f>IF(P3488="","",IF(J3488&lt;&gt;"",J3488,CuentaPred&amp;""))</f>
        <v/>
      </c>
      <c r="R3488" s="52">
        <f>IF(P3488="","",IF(ISNUMBER(I3488),I3488,TasaUSD))</f>
        <v/>
      </c>
      <c r="S3488" s="53">
        <f>IF(P3488="","",IF(H3488="USD",G3488*R3488,G3488))</f>
        <v/>
      </c>
      <c r="T3488" s="53">
        <f>IF(P3488="","",IF(H3488="USD",G3488,IF(R3488&gt;0,G3488/R3488,0)))</f>
        <v/>
      </c>
      <c r="U3488" s="53">
        <f>IF(P3488="","",IF(P3488="Gasto",S3488,IF(P3488="Reembolso",-S3488,0)))</f>
        <v/>
      </c>
      <c r="V3488" s="53">
        <f>IF(P3488="","",IF(P3488="Ingreso",S3488,0))</f>
        <v/>
      </c>
      <c r="W3488" s="53">
        <f>IF(P3488="","",IF(P3488="Resultado trading",S3488,0))</f>
        <v/>
      </c>
      <c r="X3488" s="52">
        <f>IF(OR(P3488="Gasto",P3488="Reembolso"),IF(M3488&lt;&gt;"",M3488,IFERROR(INDEX(catClasif,MATCH(D3488&amp;"|"&amp;E3488,catClave,0))&amp;"","Variable")),"")</f>
        <v/>
      </c>
      <c r="Y3488" s="52">
        <f>IF(P3488="","",IFERROR(INDEX(catGrupo,MATCH(D3488&amp;"|"&amp;E3488,catClave,0))&amp;"",""))</f>
        <v/>
      </c>
      <c r="Z3488" s="52">
        <f>IF(P3488="","",WEEKDAY(B3488,2))</f>
        <v/>
      </c>
      <c r="AA3488" s="52">
        <f>IF(P3488="","",IF(AND(P3488="Gasto",X3488="Variable",D3488&lt;&gt;catTrading,S3488&gt;0,S3488&lt;=Umbral),1,0))</f>
        <v/>
      </c>
      <c r="AB3488" s="52">
        <f>IF(OR(P3488="",Q3488=""),"",IFERROR(IF(INDEX(ctaVinc,MATCH(Q3488,ctaNombre,0))&amp;""&lt;&gt;"",INDEX(ctaVinc,MATCH(Q3488,ctaNombre,0))&amp;"",Q3488),Q3488))</f>
        <v/>
      </c>
      <c r="AC3488" s="52">
        <f>IF(OR(K3488="",AND(P3488&lt;&gt;"Transferencia",P3488&lt;&gt;"Pago tarjeta")),"",IFERROR(IF(INDEX(ctaVinc,MATCH(K3488,ctaNombre,0))&amp;""&lt;&gt;"",INDEX(ctaVinc,MATCH(K3488,ctaNombre,0))&amp;"",K3488),K3488))</f>
        <v/>
      </c>
      <c r="AD3488" s="52">
        <f>IF(AB3488="","",IFERROR(INDEX(ctaTipo,MATCH(AB3488,ctaNombre,0))&amp;"",""))</f>
        <v/>
      </c>
      <c r="AE3488" s="52">
        <f>IF(AC3488="","",IFERROR(INDEX(ctaTipo,MATCH(AC3488,ctaNombre,0))&amp;"",""))</f>
        <v/>
      </c>
      <c r="AF3488" s="53">
        <f>IF(OR(P3488="",AB3488=""),"",IF(OR(P3488="Gasto",P3488="Transferencia",P3488="Pago tarjeta"),-1,1)*IF(IFERROR(INDEX(ctaMoneda,MATCH(AB3488,ctaNombre,0))&amp;"","DOP")="USD",T3488,S3488))</f>
        <v/>
      </c>
      <c r="AG3488" s="53">
        <f>IF(AC3488="","",IF(IFERROR(INDEX(ctaMoneda,MATCH(AC3488,ctaNombre,0))&amp;"","DOP")="USD",T3488,S3488))</f>
        <v/>
      </c>
      <c r="AH3488" s="53">
        <f>IF(P3488="","",IF(AND(AD3488&lt;&gt;"",COUNTIFS(tcTipo,AD3488,tcLiq,"Sí")&gt;0),IF(OR(P3488="Gasto",P3488="Transferencia",P3488="Pago tarjeta"),-1,1)*S3488,0)+IF(AND(AE3488&lt;&gt;"",COUNTIFS(tcTipo,AE3488,tcLiq,"Sí")&gt;0),S3488,0))</f>
        <v/>
      </c>
      <c r="AI3488" s="52">
        <f>IF(OR(L3488="",P3488=""),"",IF(COUNTIFS(L$6:L3488,L3488,P$6:P3488,"?*")=1,MAX(AI$5:AI3487)+1,""))</f>
        <v/>
      </c>
    </row>
    <row r="3489">
      <c r="B3489" s="47" t="n"/>
      <c r="C3489" s="48" t="n"/>
      <c r="D3489" s="48" t="n"/>
      <c r="E3489" s="48" t="n"/>
      <c r="F3489" s="48" t="n"/>
      <c r="G3489" s="49" t="n"/>
      <c r="H3489" s="48" t="n"/>
      <c r="I3489" s="50" t="n"/>
      <c r="J3489" s="48" t="n"/>
      <c r="K3489" s="48" t="n"/>
      <c r="L3489" s="48" t="n"/>
      <c r="M3489" s="48" t="n"/>
      <c r="N3489" s="48" t="n"/>
      <c r="O3489" s="51">
        <f>IF(AND(B3489="",G3489="",C3489="",D3489="",J3489=""),"",IF(B3489="","⚠ Falta fecha",IF(G3489="","⚠ Falta monto",IF(Q3489="","⚠ Falta cuenta",IF(ISNA(MATCH(Q3489,ctaNombre,0)),"⚠ Cuenta no registrada",IF(AND(OR(P3489="Gasto",P3489="Reembolso"),D3489=""),"⚠ Falta categoría",IF(AND(D3489&lt;&gt;"",E3489&lt;&gt;"",ISNA(MATCH(D3489&amp;"|"&amp;E3489,catClave,0))),"⚠ Subcategoría no corresponde",IF(AND(OR(P3489="Transferencia",P3489="Pago tarjeta"),K3489=""),"⚠ Falta cuenta destino",IF(AND(K3489&lt;&gt;"",P3489&lt;&gt;"Transferencia",P3489&lt;&gt;"Pago tarjeta"),"⚠ Destino solo aplica a transferencias",IF(AND(K3489&lt;&gt;"",K3489=Q3489),"⚠ Origen igual a destino",IF(AND(K3489&lt;&gt;"",ISNA(MATCH(K3489,ctaNombre,0))),"⚠ Destino no registrado",IF(AND(P3489="Pago tarjeta",AE3489&lt;&gt;"Tarjeta de crédito"),"⚠ El destino debe ser tarjeta de crédito",IF(AND(P3489="Gasto",E3489="Depósitos y retiros"),"⚠ Usa tipo Transferencia",IF(AND(P3489="Resultado trading",AD3489&lt;&gt;"Cuenta de trading"),"⚠ Usa una cuenta de trading",IF(AND(G3489&lt;=0,P3489&lt;&gt;"Ajuste",P3489&lt;&gt;"Resultado trading"),"⚠ El monto debe ser positivo","✓")))))))))))))))</f>
        <v/>
      </c>
      <c r="P3489" s="52">
        <f>IF(OR(B3489="",G3489=""),"",IF(C3489="","Gasto",C3489))</f>
        <v/>
      </c>
      <c r="Q3489" s="52">
        <f>IF(P3489="","",IF(J3489&lt;&gt;"",J3489,CuentaPred&amp;""))</f>
        <v/>
      </c>
      <c r="R3489" s="52">
        <f>IF(P3489="","",IF(ISNUMBER(I3489),I3489,TasaUSD))</f>
        <v/>
      </c>
      <c r="S3489" s="53">
        <f>IF(P3489="","",IF(H3489="USD",G3489*R3489,G3489))</f>
        <v/>
      </c>
      <c r="T3489" s="53">
        <f>IF(P3489="","",IF(H3489="USD",G3489,IF(R3489&gt;0,G3489/R3489,0)))</f>
        <v/>
      </c>
      <c r="U3489" s="53">
        <f>IF(P3489="","",IF(P3489="Gasto",S3489,IF(P3489="Reembolso",-S3489,0)))</f>
        <v/>
      </c>
      <c r="V3489" s="53">
        <f>IF(P3489="","",IF(P3489="Ingreso",S3489,0))</f>
        <v/>
      </c>
      <c r="W3489" s="53">
        <f>IF(P3489="","",IF(P3489="Resultado trading",S3489,0))</f>
        <v/>
      </c>
      <c r="X3489" s="52">
        <f>IF(OR(P3489="Gasto",P3489="Reembolso"),IF(M3489&lt;&gt;"",M3489,IFERROR(INDEX(catClasif,MATCH(D3489&amp;"|"&amp;E3489,catClave,0))&amp;"","Variable")),"")</f>
        <v/>
      </c>
      <c r="Y3489" s="52">
        <f>IF(P3489="","",IFERROR(INDEX(catGrupo,MATCH(D3489&amp;"|"&amp;E3489,catClave,0))&amp;"",""))</f>
        <v/>
      </c>
      <c r="Z3489" s="52">
        <f>IF(P3489="","",WEEKDAY(B3489,2))</f>
        <v/>
      </c>
      <c r="AA3489" s="52">
        <f>IF(P3489="","",IF(AND(P3489="Gasto",X3489="Variable",D3489&lt;&gt;catTrading,S3489&gt;0,S3489&lt;=Umbral),1,0))</f>
        <v/>
      </c>
      <c r="AB3489" s="52">
        <f>IF(OR(P3489="",Q3489=""),"",IFERROR(IF(INDEX(ctaVinc,MATCH(Q3489,ctaNombre,0))&amp;""&lt;&gt;"",INDEX(ctaVinc,MATCH(Q3489,ctaNombre,0))&amp;"",Q3489),Q3489))</f>
        <v/>
      </c>
      <c r="AC3489" s="52">
        <f>IF(OR(K3489="",AND(P3489&lt;&gt;"Transferencia",P3489&lt;&gt;"Pago tarjeta")),"",IFERROR(IF(INDEX(ctaVinc,MATCH(K3489,ctaNombre,0))&amp;""&lt;&gt;"",INDEX(ctaVinc,MATCH(K3489,ctaNombre,0))&amp;"",K3489),K3489))</f>
        <v/>
      </c>
      <c r="AD3489" s="52">
        <f>IF(AB3489="","",IFERROR(INDEX(ctaTipo,MATCH(AB3489,ctaNombre,0))&amp;"",""))</f>
        <v/>
      </c>
      <c r="AE3489" s="52">
        <f>IF(AC3489="","",IFERROR(INDEX(ctaTipo,MATCH(AC3489,ctaNombre,0))&amp;"",""))</f>
        <v/>
      </c>
      <c r="AF3489" s="53">
        <f>IF(OR(P3489="",AB3489=""),"",IF(OR(P3489="Gasto",P3489="Transferencia",P3489="Pago tarjeta"),-1,1)*IF(IFERROR(INDEX(ctaMoneda,MATCH(AB3489,ctaNombre,0))&amp;"","DOP")="USD",T3489,S3489))</f>
        <v/>
      </c>
      <c r="AG3489" s="53">
        <f>IF(AC3489="","",IF(IFERROR(INDEX(ctaMoneda,MATCH(AC3489,ctaNombre,0))&amp;"","DOP")="USD",T3489,S3489))</f>
        <v/>
      </c>
      <c r="AH3489" s="53">
        <f>IF(P3489="","",IF(AND(AD3489&lt;&gt;"",COUNTIFS(tcTipo,AD3489,tcLiq,"Sí")&gt;0),IF(OR(P3489="Gasto",P3489="Transferencia",P3489="Pago tarjeta"),-1,1)*S3489,0)+IF(AND(AE3489&lt;&gt;"",COUNTIFS(tcTipo,AE3489,tcLiq,"Sí")&gt;0),S3489,0))</f>
        <v/>
      </c>
      <c r="AI3489" s="52">
        <f>IF(OR(L3489="",P3489=""),"",IF(COUNTIFS(L$6:L3489,L3489,P$6:P3489,"?*")=1,MAX(AI$5:AI3488)+1,""))</f>
        <v/>
      </c>
    </row>
    <row r="3490">
      <c r="B3490" s="47" t="n"/>
      <c r="C3490" s="48" t="n"/>
      <c r="D3490" s="48" t="n"/>
      <c r="E3490" s="48" t="n"/>
      <c r="F3490" s="48" t="n"/>
      <c r="G3490" s="49" t="n"/>
      <c r="H3490" s="48" t="n"/>
      <c r="I3490" s="50" t="n"/>
      <c r="J3490" s="48" t="n"/>
      <c r="K3490" s="48" t="n"/>
      <c r="L3490" s="48" t="n"/>
      <c r="M3490" s="48" t="n"/>
      <c r="N3490" s="48" t="n"/>
      <c r="O3490" s="51">
        <f>IF(AND(B3490="",G3490="",C3490="",D3490="",J3490=""),"",IF(B3490="","⚠ Falta fecha",IF(G3490="","⚠ Falta monto",IF(Q3490="","⚠ Falta cuenta",IF(ISNA(MATCH(Q3490,ctaNombre,0)),"⚠ Cuenta no registrada",IF(AND(OR(P3490="Gasto",P3490="Reembolso"),D3490=""),"⚠ Falta categoría",IF(AND(D3490&lt;&gt;"",E3490&lt;&gt;"",ISNA(MATCH(D3490&amp;"|"&amp;E3490,catClave,0))),"⚠ Subcategoría no corresponde",IF(AND(OR(P3490="Transferencia",P3490="Pago tarjeta"),K3490=""),"⚠ Falta cuenta destino",IF(AND(K3490&lt;&gt;"",P3490&lt;&gt;"Transferencia",P3490&lt;&gt;"Pago tarjeta"),"⚠ Destino solo aplica a transferencias",IF(AND(K3490&lt;&gt;"",K3490=Q3490),"⚠ Origen igual a destino",IF(AND(K3490&lt;&gt;"",ISNA(MATCH(K3490,ctaNombre,0))),"⚠ Destino no registrado",IF(AND(P3490="Pago tarjeta",AE3490&lt;&gt;"Tarjeta de crédito"),"⚠ El destino debe ser tarjeta de crédito",IF(AND(P3490="Gasto",E3490="Depósitos y retiros"),"⚠ Usa tipo Transferencia",IF(AND(P3490="Resultado trading",AD3490&lt;&gt;"Cuenta de trading"),"⚠ Usa una cuenta de trading",IF(AND(G3490&lt;=0,P3490&lt;&gt;"Ajuste",P3490&lt;&gt;"Resultado trading"),"⚠ El monto debe ser positivo","✓")))))))))))))))</f>
        <v/>
      </c>
      <c r="P3490" s="52">
        <f>IF(OR(B3490="",G3490=""),"",IF(C3490="","Gasto",C3490))</f>
        <v/>
      </c>
      <c r="Q3490" s="52">
        <f>IF(P3490="","",IF(J3490&lt;&gt;"",J3490,CuentaPred&amp;""))</f>
        <v/>
      </c>
      <c r="R3490" s="52">
        <f>IF(P3490="","",IF(ISNUMBER(I3490),I3490,TasaUSD))</f>
        <v/>
      </c>
      <c r="S3490" s="53">
        <f>IF(P3490="","",IF(H3490="USD",G3490*R3490,G3490))</f>
        <v/>
      </c>
      <c r="T3490" s="53">
        <f>IF(P3490="","",IF(H3490="USD",G3490,IF(R3490&gt;0,G3490/R3490,0)))</f>
        <v/>
      </c>
      <c r="U3490" s="53">
        <f>IF(P3490="","",IF(P3490="Gasto",S3490,IF(P3490="Reembolso",-S3490,0)))</f>
        <v/>
      </c>
      <c r="V3490" s="53">
        <f>IF(P3490="","",IF(P3490="Ingreso",S3490,0))</f>
        <v/>
      </c>
      <c r="W3490" s="53">
        <f>IF(P3490="","",IF(P3490="Resultado trading",S3490,0))</f>
        <v/>
      </c>
      <c r="X3490" s="52">
        <f>IF(OR(P3490="Gasto",P3490="Reembolso"),IF(M3490&lt;&gt;"",M3490,IFERROR(INDEX(catClasif,MATCH(D3490&amp;"|"&amp;E3490,catClave,0))&amp;"","Variable")),"")</f>
        <v/>
      </c>
      <c r="Y3490" s="52">
        <f>IF(P3490="","",IFERROR(INDEX(catGrupo,MATCH(D3490&amp;"|"&amp;E3490,catClave,0))&amp;"",""))</f>
        <v/>
      </c>
      <c r="Z3490" s="52">
        <f>IF(P3490="","",WEEKDAY(B3490,2))</f>
        <v/>
      </c>
      <c r="AA3490" s="52">
        <f>IF(P3490="","",IF(AND(P3490="Gasto",X3490="Variable",D3490&lt;&gt;catTrading,S3490&gt;0,S3490&lt;=Umbral),1,0))</f>
        <v/>
      </c>
      <c r="AB3490" s="52">
        <f>IF(OR(P3490="",Q3490=""),"",IFERROR(IF(INDEX(ctaVinc,MATCH(Q3490,ctaNombre,0))&amp;""&lt;&gt;"",INDEX(ctaVinc,MATCH(Q3490,ctaNombre,0))&amp;"",Q3490),Q3490))</f>
        <v/>
      </c>
      <c r="AC3490" s="52">
        <f>IF(OR(K3490="",AND(P3490&lt;&gt;"Transferencia",P3490&lt;&gt;"Pago tarjeta")),"",IFERROR(IF(INDEX(ctaVinc,MATCH(K3490,ctaNombre,0))&amp;""&lt;&gt;"",INDEX(ctaVinc,MATCH(K3490,ctaNombre,0))&amp;"",K3490),K3490))</f>
        <v/>
      </c>
      <c r="AD3490" s="52">
        <f>IF(AB3490="","",IFERROR(INDEX(ctaTipo,MATCH(AB3490,ctaNombre,0))&amp;"",""))</f>
        <v/>
      </c>
      <c r="AE3490" s="52">
        <f>IF(AC3490="","",IFERROR(INDEX(ctaTipo,MATCH(AC3490,ctaNombre,0))&amp;"",""))</f>
        <v/>
      </c>
      <c r="AF3490" s="53">
        <f>IF(OR(P3490="",AB3490=""),"",IF(OR(P3490="Gasto",P3490="Transferencia",P3490="Pago tarjeta"),-1,1)*IF(IFERROR(INDEX(ctaMoneda,MATCH(AB3490,ctaNombre,0))&amp;"","DOP")="USD",T3490,S3490))</f>
        <v/>
      </c>
      <c r="AG3490" s="53">
        <f>IF(AC3490="","",IF(IFERROR(INDEX(ctaMoneda,MATCH(AC3490,ctaNombre,0))&amp;"","DOP")="USD",T3490,S3490))</f>
        <v/>
      </c>
      <c r="AH3490" s="53">
        <f>IF(P3490="","",IF(AND(AD3490&lt;&gt;"",COUNTIFS(tcTipo,AD3490,tcLiq,"Sí")&gt;0),IF(OR(P3490="Gasto",P3490="Transferencia",P3490="Pago tarjeta"),-1,1)*S3490,0)+IF(AND(AE3490&lt;&gt;"",COUNTIFS(tcTipo,AE3490,tcLiq,"Sí")&gt;0),S3490,0))</f>
        <v/>
      </c>
      <c r="AI3490" s="52">
        <f>IF(OR(L3490="",P3490=""),"",IF(COUNTIFS(L$6:L3490,L3490,P$6:P3490,"?*")=1,MAX(AI$5:AI3489)+1,""))</f>
        <v/>
      </c>
    </row>
    <row r="3491">
      <c r="B3491" s="47" t="n"/>
      <c r="C3491" s="48" t="n"/>
      <c r="D3491" s="48" t="n"/>
      <c r="E3491" s="48" t="n"/>
      <c r="F3491" s="48" t="n"/>
      <c r="G3491" s="49" t="n"/>
      <c r="H3491" s="48" t="n"/>
      <c r="I3491" s="50" t="n"/>
      <c r="J3491" s="48" t="n"/>
      <c r="K3491" s="48" t="n"/>
      <c r="L3491" s="48" t="n"/>
      <c r="M3491" s="48" t="n"/>
      <c r="N3491" s="48" t="n"/>
      <c r="O3491" s="51">
        <f>IF(AND(B3491="",G3491="",C3491="",D3491="",J3491=""),"",IF(B3491="","⚠ Falta fecha",IF(G3491="","⚠ Falta monto",IF(Q3491="","⚠ Falta cuenta",IF(ISNA(MATCH(Q3491,ctaNombre,0)),"⚠ Cuenta no registrada",IF(AND(OR(P3491="Gasto",P3491="Reembolso"),D3491=""),"⚠ Falta categoría",IF(AND(D3491&lt;&gt;"",E3491&lt;&gt;"",ISNA(MATCH(D3491&amp;"|"&amp;E3491,catClave,0))),"⚠ Subcategoría no corresponde",IF(AND(OR(P3491="Transferencia",P3491="Pago tarjeta"),K3491=""),"⚠ Falta cuenta destino",IF(AND(K3491&lt;&gt;"",P3491&lt;&gt;"Transferencia",P3491&lt;&gt;"Pago tarjeta"),"⚠ Destino solo aplica a transferencias",IF(AND(K3491&lt;&gt;"",K3491=Q3491),"⚠ Origen igual a destino",IF(AND(K3491&lt;&gt;"",ISNA(MATCH(K3491,ctaNombre,0))),"⚠ Destino no registrado",IF(AND(P3491="Pago tarjeta",AE3491&lt;&gt;"Tarjeta de crédito"),"⚠ El destino debe ser tarjeta de crédito",IF(AND(P3491="Gasto",E3491="Depósitos y retiros"),"⚠ Usa tipo Transferencia",IF(AND(P3491="Resultado trading",AD3491&lt;&gt;"Cuenta de trading"),"⚠ Usa una cuenta de trading",IF(AND(G3491&lt;=0,P3491&lt;&gt;"Ajuste",P3491&lt;&gt;"Resultado trading"),"⚠ El monto debe ser positivo","✓")))))))))))))))</f>
        <v/>
      </c>
      <c r="P3491" s="52">
        <f>IF(OR(B3491="",G3491=""),"",IF(C3491="","Gasto",C3491))</f>
        <v/>
      </c>
      <c r="Q3491" s="52">
        <f>IF(P3491="","",IF(J3491&lt;&gt;"",J3491,CuentaPred&amp;""))</f>
        <v/>
      </c>
      <c r="R3491" s="52">
        <f>IF(P3491="","",IF(ISNUMBER(I3491),I3491,TasaUSD))</f>
        <v/>
      </c>
      <c r="S3491" s="53">
        <f>IF(P3491="","",IF(H3491="USD",G3491*R3491,G3491))</f>
        <v/>
      </c>
      <c r="T3491" s="53">
        <f>IF(P3491="","",IF(H3491="USD",G3491,IF(R3491&gt;0,G3491/R3491,0)))</f>
        <v/>
      </c>
      <c r="U3491" s="53">
        <f>IF(P3491="","",IF(P3491="Gasto",S3491,IF(P3491="Reembolso",-S3491,0)))</f>
        <v/>
      </c>
      <c r="V3491" s="53">
        <f>IF(P3491="","",IF(P3491="Ingreso",S3491,0))</f>
        <v/>
      </c>
      <c r="W3491" s="53">
        <f>IF(P3491="","",IF(P3491="Resultado trading",S3491,0))</f>
        <v/>
      </c>
      <c r="X3491" s="52">
        <f>IF(OR(P3491="Gasto",P3491="Reembolso"),IF(M3491&lt;&gt;"",M3491,IFERROR(INDEX(catClasif,MATCH(D3491&amp;"|"&amp;E3491,catClave,0))&amp;"","Variable")),"")</f>
        <v/>
      </c>
      <c r="Y3491" s="52">
        <f>IF(P3491="","",IFERROR(INDEX(catGrupo,MATCH(D3491&amp;"|"&amp;E3491,catClave,0))&amp;"",""))</f>
        <v/>
      </c>
      <c r="Z3491" s="52">
        <f>IF(P3491="","",WEEKDAY(B3491,2))</f>
        <v/>
      </c>
      <c r="AA3491" s="52">
        <f>IF(P3491="","",IF(AND(P3491="Gasto",X3491="Variable",D3491&lt;&gt;catTrading,S3491&gt;0,S3491&lt;=Umbral),1,0))</f>
        <v/>
      </c>
      <c r="AB3491" s="52">
        <f>IF(OR(P3491="",Q3491=""),"",IFERROR(IF(INDEX(ctaVinc,MATCH(Q3491,ctaNombre,0))&amp;""&lt;&gt;"",INDEX(ctaVinc,MATCH(Q3491,ctaNombre,0))&amp;"",Q3491),Q3491))</f>
        <v/>
      </c>
      <c r="AC3491" s="52">
        <f>IF(OR(K3491="",AND(P3491&lt;&gt;"Transferencia",P3491&lt;&gt;"Pago tarjeta")),"",IFERROR(IF(INDEX(ctaVinc,MATCH(K3491,ctaNombre,0))&amp;""&lt;&gt;"",INDEX(ctaVinc,MATCH(K3491,ctaNombre,0))&amp;"",K3491),K3491))</f>
        <v/>
      </c>
      <c r="AD3491" s="52">
        <f>IF(AB3491="","",IFERROR(INDEX(ctaTipo,MATCH(AB3491,ctaNombre,0))&amp;"",""))</f>
        <v/>
      </c>
      <c r="AE3491" s="52">
        <f>IF(AC3491="","",IFERROR(INDEX(ctaTipo,MATCH(AC3491,ctaNombre,0))&amp;"",""))</f>
        <v/>
      </c>
      <c r="AF3491" s="53">
        <f>IF(OR(P3491="",AB3491=""),"",IF(OR(P3491="Gasto",P3491="Transferencia",P3491="Pago tarjeta"),-1,1)*IF(IFERROR(INDEX(ctaMoneda,MATCH(AB3491,ctaNombre,0))&amp;"","DOP")="USD",T3491,S3491))</f>
        <v/>
      </c>
      <c r="AG3491" s="53">
        <f>IF(AC3491="","",IF(IFERROR(INDEX(ctaMoneda,MATCH(AC3491,ctaNombre,0))&amp;"","DOP")="USD",T3491,S3491))</f>
        <v/>
      </c>
      <c r="AH3491" s="53">
        <f>IF(P3491="","",IF(AND(AD3491&lt;&gt;"",COUNTIFS(tcTipo,AD3491,tcLiq,"Sí")&gt;0),IF(OR(P3491="Gasto",P3491="Transferencia",P3491="Pago tarjeta"),-1,1)*S3491,0)+IF(AND(AE3491&lt;&gt;"",COUNTIFS(tcTipo,AE3491,tcLiq,"Sí")&gt;0),S3491,0))</f>
        <v/>
      </c>
      <c r="AI3491" s="52">
        <f>IF(OR(L3491="",P3491=""),"",IF(COUNTIFS(L$6:L3491,L3491,P$6:P3491,"?*")=1,MAX(AI$5:AI3490)+1,""))</f>
        <v/>
      </c>
    </row>
    <row r="3492">
      <c r="B3492" s="47" t="n"/>
      <c r="C3492" s="48" t="n"/>
      <c r="D3492" s="48" t="n"/>
      <c r="E3492" s="48" t="n"/>
      <c r="F3492" s="48" t="n"/>
      <c r="G3492" s="49" t="n"/>
      <c r="H3492" s="48" t="n"/>
      <c r="I3492" s="50" t="n"/>
      <c r="J3492" s="48" t="n"/>
      <c r="K3492" s="48" t="n"/>
      <c r="L3492" s="48" t="n"/>
      <c r="M3492" s="48" t="n"/>
      <c r="N3492" s="48" t="n"/>
      <c r="O3492" s="51">
        <f>IF(AND(B3492="",G3492="",C3492="",D3492="",J3492=""),"",IF(B3492="","⚠ Falta fecha",IF(G3492="","⚠ Falta monto",IF(Q3492="","⚠ Falta cuenta",IF(ISNA(MATCH(Q3492,ctaNombre,0)),"⚠ Cuenta no registrada",IF(AND(OR(P3492="Gasto",P3492="Reembolso"),D3492=""),"⚠ Falta categoría",IF(AND(D3492&lt;&gt;"",E3492&lt;&gt;"",ISNA(MATCH(D3492&amp;"|"&amp;E3492,catClave,0))),"⚠ Subcategoría no corresponde",IF(AND(OR(P3492="Transferencia",P3492="Pago tarjeta"),K3492=""),"⚠ Falta cuenta destino",IF(AND(K3492&lt;&gt;"",P3492&lt;&gt;"Transferencia",P3492&lt;&gt;"Pago tarjeta"),"⚠ Destino solo aplica a transferencias",IF(AND(K3492&lt;&gt;"",K3492=Q3492),"⚠ Origen igual a destino",IF(AND(K3492&lt;&gt;"",ISNA(MATCH(K3492,ctaNombre,0))),"⚠ Destino no registrado",IF(AND(P3492="Pago tarjeta",AE3492&lt;&gt;"Tarjeta de crédito"),"⚠ El destino debe ser tarjeta de crédito",IF(AND(P3492="Gasto",E3492="Depósitos y retiros"),"⚠ Usa tipo Transferencia",IF(AND(P3492="Resultado trading",AD3492&lt;&gt;"Cuenta de trading"),"⚠ Usa una cuenta de trading",IF(AND(G3492&lt;=0,P3492&lt;&gt;"Ajuste",P3492&lt;&gt;"Resultado trading"),"⚠ El monto debe ser positivo","✓")))))))))))))))</f>
        <v/>
      </c>
      <c r="P3492" s="52">
        <f>IF(OR(B3492="",G3492=""),"",IF(C3492="","Gasto",C3492))</f>
        <v/>
      </c>
      <c r="Q3492" s="52">
        <f>IF(P3492="","",IF(J3492&lt;&gt;"",J3492,CuentaPred&amp;""))</f>
        <v/>
      </c>
      <c r="R3492" s="52">
        <f>IF(P3492="","",IF(ISNUMBER(I3492),I3492,TasaUSD))</f>
        <v/>
      </c>
      <c r="S3492" s="53">
        <f>IF(P3492="","",IF(H3492="USD",G3492*R3492,G3492))</f>
        <v/>
      </c>
      <c r="T3492" s="53">
        <f>IF(P3492="","",IF(H3492="USD",G3492,IF(R3492&gt;0,G3492/R3492,0)))</f>
        <v/>
      </c>
      <c r="U3492" s="53">
        <f>IF(P3492="","",IF(P3492="Gasto",S3492,IF(P3492="Reembolso",-S3492,0)))</f>
        <v/>
      </c>
      <c r="V3492" s="53">
        <f>IF(P3492="","",IF(P3492="Ingreso",S3492,0))</f>
        <v/>
      </c>
      <c r="W3492" s="53">
        <f>IF(P3492="","",IF(P3492="Resultado trading",S3492,0))</f>
        <v/>
      </c>
      <c r="X3492" s="52">
        <f>IF(OR(P3492="Gasto",P3492="Reembolso"),IF(M3492&lt;&gt;"",M3492,IFERROR(INDEX(catClasif,MATCH(D3492&amp;"|"&amp;E3492,catClave,0))&amp;"","Variable")),"")</f>
        <v/>
      </c>
      <c r="Y3492" s="52">
        <f>IF(P3492="","",IFERROR(INDEX(catGrupo,MATCH(D3492&amp;"|"&amp;E3492,catClave,0))&amp;"",""))</f>
        <v/>
      </c>
      <c r="Z3492" s="52">
        <f>IF(P3492="","",WEEKDAY(B3492,2))</f>
        <v/>
      </c>
      <c r="AA3492" s="52">
        <f>IF(P3492="","",IF(AND(P3492="Gasto",X3492="Variable",D3492&lt;&gt;catTrading,S3492&gt;0,S3492&lt;=Umbral),1,0))</f>
        <v/>
      </c>
      <c r="AB3492" s="52">
        <f>IF(OR(P3492="",Q3492=""),"",IFERROR(IF(INDEX(ctaVinc,MATCH(Q3492,ctaNombre,0))&amp;""&lt;&gt;"",INDEX(ctaVinc,MATCH(Q3492,ctaNombre,0))&amp;"",Q3492),Q3492))</f>
        <v/>
      </c>
      <c r="AC3492" s="52">
        <f>IF(OR(K3492="",AND(P3492&lt;&gt;"Transferencia",P3492&lt;&gt;"Pago tarjeta")),"",IFERROR(IF(INDEX(ctaVinc,MATCH(K3492,ctaNombre,0))&amp;""&lt;&gt;"",INDEX(ctaVinc,MATCH(K3492,ctaNombre,0))&amp;"",K3492),K3492))</f>
        <v/>
      </c>
      <c r="AD3492" s="52">
        <f>IF(AB3492="","",IFERROR(INDEX(ctaTipo,MATCH(AB3492,ctaNombre,0))&amp;"",""))</f>
        <v/>
      </c>
      <c r="AE3492" s="52">
        <f>IF(AC3492="","",IFERROR(INDEX(ctaTipo,MATCH(AC3492,ctaNombre,0))&amp;"",""))</f>
        <v/>
      </c>
      <c r="AF3492" s="53">
        <f>IF(OR(P3492="",AB3492=""),"",IF(OR(P3492="Gasto",P3492="Transferencia",P3492="Pago tarjeta"),-1,1)*IF(IFERROR(INDEX(ctaMoneda,MATCH(AB3492,ctaNombre,0))&amp;"","DOP")="USD",T3492,S3492))</f>
        <v/>
      </c>
      <c r="AG3492" s="53">
        <f>IF(AC3492="","",IF(IFERROR(INDEX(ctaMoneda,MATCH(AC3492,ctaNombre,0))&amp;"","DOP")="USD",T3492,S3492))</f>
        <v/>
      </c>
      <c r="AH3492" s="53">
        <f>IF(P3492="","",IF(AND(AD3492&lt;&gt;"",COUNTIFS(tcTipo,AD3492,tcLiq,"Sí")&gt;0),IF(OR(P3492="Gasto",P3492="Transferencia",P3492="Pago tarjeta"),-1,1)*S3492,0)+IF(AND(AE3492&lt;&gt;"",COUNTIFS(tcTipo,AE3492,tcLiq,"Sí")&gt;0),S3492,0))</f>
        <v/>
      </c>
      <c r="AI3492" s="52">
        <f>IF(OR(L3492="",P3492=""),"",IF(COUNTIFS(L$6:L3492,L3492,P$6:P3492,"?*")=1,MAX(AI$5:AI3491)+1,""))</f>
        <v/>
      </c>
    </row>
    <row r="3493">
      <c r="B3493" s="47" t="n"/>
      <c r="C3493" s="48" t="n"/>
      <c r="D3493" s="48" t="n"/>
      <c r="E3493" s="48" t="n"/>
      <c r="F3493" s="48" t="n"/>
      <c r="G3493" s="49" t="n"/>
      <c r="H3493" s="48" t="n"/>
      <c r="I3493" s="50" t="n"/>
      <c r="J3493" s="48" t="n"/>
      <c r="K3493" s="48" t="n"/>
      <c r="L3493" s="48" t="n"/>
      <c r="M3493" s="48" t="n"/>
      <c r="N3493" s="48" t="n"/>
      <c r="O3493" s="51">
        <f>IF(AND(B3493="",G3493="",C3493="",D3493="",J3493=""),"",IF(B3493="","⚠ Falta fecha",IF(G3493="","⚠ Falta monto",IF(Q3493="","⚠ Falta cuenta",IF(ISNA(MATCH(Q3493,ctaNombre,0)),"⚠ Cuenta no registrada",IF(AND(OR(P3493="Gasto",P3493="Reembolso"),D3493=""),"⚠ Falta categoría",IF(AND(D3493&lt;&gt;"",E3493&lt;&gt;"",ISNA(MATCH(D3493&amp;"|"&amp;E3493,catClave,0))),"⚠ Subcategoría no corresponde",IF(AND(OR(P3493="Transferencia",P3493="Pago tarjeta"),K3493=""),"⚠ Falta cuenta destino",IF(AND(K3493&lt;&gt;"",P3493&lt;&gt;"Transferencia",P3493&lt;&gt;"Pago tarjeta"),"⚠ Destino solo aplica a transferencias",IF(AND(K3493&lt;&gt;"",K3493=Q3493),"⚠ Origen igual a destino",IF(AND(K3493&lt;&gt;"",ISNA(MATCH(K3493,ctaNombre,0))),"⚠ Destino no registrado",IF(AND(P3493="Pago tarjeta",AE3493&lt;&gt;"Tarjeta de crédito"),"⚠ El destino debe ser tarjeta de crédito",IF(AND(P3493="Gasto",E3493="Depósitos y retiros"),"⚠ Usa tipo Transferencia",IF(AND(P3493="Resultado trading",AD3493&lt;&gt;"Cuenta de trading"),"⚠ Usa una cuenta de trading",IF(AND(G3493&lt;=0,P3493&lt;&gt;"Ajuste",P3493&lt;&gt;"Resultado trading"),"⚠ El monto debe ser positivo","✓")))))))))))))))</f>
        <v/>
      </c>
      <c r="P3493" s="52">
        <f>IF(OR(B3493="",G3493=""),"",IF(C3493="","Gasto",C3493))</f>
        <v/>
      </c>
      <c r="Q3493" s="52">
        <f>IF(P3493="","",IF(J3493&lt;&gt;"",J3493,CuentaPred&amp;""))</f>
        <v/>
      </c>
      <c r="R3493" s="52">
        <f>IF(P3493="","",IF(ISNUMBER(I3493),I3493,TasaUSD))</f>
        <v/>
      </c>
      <c r="S3493" s="53">
        <f>IF(P3493="","",IF(H3493="USD",G3493*R3493,G3493))</f>
        <v/>
      </c>
      <c r="T3493" s="53">
        <f>IF(P3493="","",IF(H3493="USD",G3493,IF(R3493&gt;0,G3493/R3493,0)))</f>
        <v/>
      </c>
      <c r="U3493" s="53">
        <f>IF(P3493="","",IF(P3493="Gasto",S3493,IF(P3493="Reembolso",-S3493,0)))</f>
        <v/>
      </c>
      <c r="V3493" s="53">
        <f>IF(P3493="","",IF(P3493="Ingreso",S3493,0))</f>
        <v/>
      </c>
      <c r="W3493" s="53">
        <f>IF(P3493="","",IF(P3493="Resultado trading",S3493,0))</f>
        <v/>
      </c>
      <c r="X3493" s="52">
        <f>IF(OR(P3493="Gasto",P3493="Reembolso"),IF(M3493&lt;&gt;"",M3493,IFERROR(INDEX(catClasif,MATCH(D3493&amp;"|"&amp;E3493,catClave,0))&amp;"","Variable")),"")</f>
        <v/>
      </c>
      <c r="Y3493" s="52">
        <f>IF(P3493="","",IFERROR(INDEX(catGrupo,MATCH(D3493&amp;"|"&amp;E3493,catClave,0))&amp;"",""))</f>
        <v/>
      </c>
      <c r="Z3493" s="52">
        <f>IF(P3493="","",WEEKDAY(B3493,2))</f>
        <v/>
      </c>
      <c r="AA3493" s="52">
        <f>IF(P3493="","",IF(AND(P3493="Gasto",X3493="Variable",D3493&lt;&gt;catTrading,S3493&gt;0,S3493&lt;=Umbral),1,0))</f>
        <v/>
      </c>
      <c r="AB3493" s="52">
        <f>IF(OR(P3493="",Q3493=""),"",IFERROR(IF(INDEX(ctaVinc,MATCH(Q3493,ctaNombre,0))&amp;""&lt;&gt;"",INDEX(ctaVinc,MATCH(Q3493,ctaNombre,0))&amp;"",Q3493),Q3493))</f>
        <v/>
      </c>
      <c r="AC3493" s="52">
        <f>IF(OR(K3493="",AND(P3493&lt;&gt;"Transferencia",P3493&lt;&gt;"Pago tarjeta")),"",IFERROR(IF(INDEX(ctaVinc,MATCH(K3493,ctaNombre,0))&amp;""&lt;&gt;"",INDEX(ctaVinc,MATCH(K3493,ctaNombre,0))&amp;"",K3493),K3493))</f>
        <v/>
      </c>
      <c r="AD3493" s="52">
        <f>IF(AB3493="","",IFERROR(INDEX(ctaTipo,MATCH(AB3493,ctaNombre,0))&amp;"",""))</f>
        <v/>
      </c>
      <c r="AE3493" s="52">
        <f>IF(AC3493="","",IFERROR(INDEX(ctaTipo,MATCH(AC3493,ctaNombre,0))&amp;"",""))</f>
        <v/>
      </c>
      <c r="AF3493" s="53">
        <f>IF(OR(P3493="",AB3493=""),"",IF(OR(P3493="Gasto",P3493="Transferencia",P3493="Pago tarjeta"),-1,1)*IF(IFERROR(INDEX(ctaMoneda,MATCH(AB3493,ctaNombre,0))&amp;"","DOP")="USD",T3493,S3493))</f>
        <v/>
      </c>
      <c r="AG3493" s="53">
        <f>IF(AC3493="","",IF(IFERROR(INDEX(ctaMoneda,MATCH(AC3493,ctaNombre,0))&amp;"","DOP")="USD",T3493,S3493))</f>
        <v/>
      </c>
      <c r="AH3493" s="53">
        <f>IF(P3493="","",IF(AND(AD3493&lt;&gt;"",COUNTIFS(tcTipo,AD3493,tcLiq,"Sí")&gt;0),IF(OR(P3493="Gasto",P3493="Transferencia",P3493="Pago tarjeta"),-1,1)*S3493,0)+IF(AND(AE3493&lt;&gt;"",COUNTIFS(tcTipo,AE3493,tcLiq,"Sí")&gt;0),S3493,0))</f>
        <v/>
      </c>
      <c r="AI3493" s="52">
        <f>IF(OR(L3493="",P3493=""),"",IF(COUNTIFS(L$6:L3493,L3493,P$6:P3493,"?*")=1,MAX(AI$5:AI3492)+1,""))</f>
        <v/>
      </c>
    </row>
    <row r="3494">
      <c r="B3494" s="47" t="n"/>
      <c r="C3494" s="48" t="n"/>
      <c r="D3494" s="48" t="n"/>
      <c r="E3494" s="48" t="n"/>
      <c r="F3494" s="48" t="n"/>
      <c r="G3494" s="49" t="n"/>
      <c r="H3494" s="48" t="n"/>
      <c r="I3494" s="50" t="n"/>
      <c r="J3494" s="48" t="n"/>
      <c r="K3494" s="48" t="n"/>
      <c r="L3494" s="48" t="n"/>
      <c r="M3494" s="48" t="n"/>
      <c r="N3494" s="48" t="n"/>
      <c r="O3494" s="51">
        <f>IF(AND(B3494="",G3494="",C3494="",D3494="",J3494=""),"",IF(B3494="","⚠ Falta fecha",IF(G3494="","⚠ Falta monto",IF(Q3494="","⚠ Falta cuenta",IF(ISNA(MATCH(Q3494,ctaNombre,0)),"⚠ Cuenta no registrada",IF(AND(OR(P3494="Gasto",P3494="Reembolso"),D3494=""),"⚠ Falta categoría",IF(AND(D3494&lt;&gt;"",E3494&lt;&gt;"",ISNA(MATCH(D3494&amp;"|"&amp;E3494,catClave,0))),"⚠ Subcategoría no corresponde",IF(AND(OR(P3494="Transferencia",P3494="Pago tarjeta"),K3494=""),"⚠ Falta cuenta destino",IF(AND(K3494&lt;&gt;"",P3494&lt;&gt;"Transferencia",P3494&lt;&gt;"Pago tarjeta"),"⚠ Destino solo aplica a transferencias",IF(AND(K3494&lt;&gt;"",K3494=Q3494),"⚠ Origen igual a destino",IF(AND(K3494&lt;&gt;"",ISNA(MATCH(K3494,ctaNombre,0))),"⚠ Destino no registrado",IF(AND(P3494="Pago tarjeta",AE3494&lt;&gt;"Tarjeta de crédito"),"⚠ El destino debe ser tarjeta de crédito",IF(AND(P3494="Gasto",E3494="Depósitos y retiros"),"⚠ Usa tipo Transferencia",IF(AND(P3494="Resultado trading",AD3494&lt;&gt;"Cuenta de trading"),"⚠ Usa una cuenta de trading",IF(AND(G3494&lt;=0,P3494&lt;&gt;"Ajuste",P3494&lt;&gt;"Resultado trading"),"⚠ El monto debe ser positivo","✓")))))))))))))))</f>
        <v/>
      </c>
      <c r="P3494" s="52">
        <f>IF(OR(B3494="",G3494=""),"",IF(C3494="","Gasto",C3494))</f>
        <v/>
      </c>
      <c r="Q3494" s="52">
        <f>IF(P3494="","",IF(J3494&lt;&gt;"",J3494,CuentaPred&amp;""))</f>
        <v/>
      </c>
      <c r="R3494" s="52">
        <f>IF(P3494="","",IF(ISNUMBER(I3494),I3494,TasaUSD))</f>
        <v/>
      </c>
      <c r="S3494" s="53">
        <f>IF(P3494="","",IF(H3494="USD",G3494*R3494,G3494))</f>
        <v/>
      </c>
      <c r="T3494" s="53">
        <f>IF(P3494="","",IF(H3494="USD",G3494,IF(R3494&gt;0,G3494/R3494,0)))</f>
        <v/>
      </c>
      <c r="U3494" s="53">
        <f>IF(P3494="","",IF(P3494="Gasto",S3494,IF(P3494="Reembolso",-S3494,0)))</f>
        <v/>
      </c>
      <c r="V3494" s="53">
        <f>IF(P3494="","",IF(P3494="Ingreso",S3494,0))</f>
        <v/>
      </c>
      <c r="W3494" s="53">
        <f>IF(P3494="","",IF(P3494="Resultado trading",S3494,0))</f>
        <v/>
      </c>
      <c r="X3494" s="52">
        <f>IF(OR(P3494="Gasto",P3494="Reembolso"),IF(M3494&lt;&gt;"",M3494,IFERROR(INDEX(catClasif,MATCH(D3494&amp;"|"&amp;E3494,catClave,0))&amp;"","Variable")),"")</f>
        <v/>
      </c>
      <c r="Y3494" s="52">
        <f>IF(P3494="","",IFERROR(INDEX(catGrupo,MATCH(D3494&amp;"|"&amp;E3494,catClave,0))&amp;"",""))</f>
        <v/>
      </c>
      <c r="Z3494" s="52">
        <f>IF(P3494="","",WEEKDAY(B3494,2))</f>
        <v/>
      </c>
      <c r="AA3494" s="52">
        <f>IF(P3494="","",IF(AND(P3494="Gasto",X3494="Variable",D3494&lt;&gt;catTrading,S3494&gt;0,S3494&lt;=Umbral),1,0))</f>
        <v/>
      </c>
      <c r="AB3494" s="52">
        <f>IF(OR(P3494="",Q3494=""),"",IFERROR(IF(INDEX(ctaVinc,MATCH(Q3494,ctaNombre,0))&amp;""&lt;&gt;"",INDEX(ctaVinc,MATCH(Q3494,ctaNombre,0))&amp;"",Q3494),Q3494))</f>
        <v/>
      </c>
      <c r="AC3494" s="52">
        <f>IF(OR(K3494="",AND(P3494&lt;&gt;"Transferencia",P3494&lt;&gt;"Pago tarjeta")),"",IFERROR(IF(INDEX(ctaVinc,MATCH(K3494,ctaNombre,0))&amp;""&lt;&gt;"",INDEX(ctaVinc,MATCH(K3494,ctaNombre,0))&amp;"",K3494),K3494))</f>
        <v/>
      </c>
      <c r="AD3494" s="52">
        <f>IF(AB3494="","",IFERROR(INDEX(ctaTipo,MATCH(AB3494,ctaNombre,0))&amp;"",""))</f>
        <v/>
      </c>
      <c r="AE3494" s="52">
        <f>IF(AC3494="","",IFERROR(INDEX(ctaTipo,MATCH(AC3494,ctaNombre,0))&amp;"",""))</f>
        <v/>
      </c>
      <c r="AF3494" s="53">
        <f>IF(OR(P3494="",AB3494=""),"",IF(OR(P3494="Gasto",P3494="Transferencia",P3494="Pago tarjeta"),-1,1)*IF(IFERROR(INDEX(ctaMoneda,MATCH(AB3494,ctaNombre,0))&amp;"","DOP")="USD",T3494,S3494))</f>
        <v/>
      </c>
      <c r="AG3494" s="53">
        <f>IF(AC3494="","",IF(IFERROR(INDEX(ctaMoneda,MATCH(AC3494,ctaNombre,0))&amp;"","DOP")="USD",T3494,S3494))</f>
        <v/>
      </c>
      <c r="AH3494" s="53">
        <f>IF(P3494="","",IF(AND(AD3494&lt;&gt;"",COUNTIFS(tcTipo,AD3494,tcLiq,"Sí")&gt;0),IF(OR(P3494="Gasto",P3494="Transferencia",P3494="Pago tarjeta"),-1,1)*S3494,0)+IF(AND(AE3494&lt;&gt;"",COUNTIFS(tcTipo,AE3494,tcLiq,"Sí")&gt;0),S3494,0))</f>
        <v/>
      </c>
      <c r="AI3494" s="52">
        <f>IF(OR(L3494="",P3494=""),"",IF(COUNTIFS(L$6:L3494,L3494,P$6:P3494,"?*")=1,MAX(AI$5:AI3493)+1,""))</f>
        <v/>
      </c>
    </row>
    <row r="3495">
      <c r="B3495" s="47" t="n"/>
      <c r="C3495" s="48" t="n"/>
      <c r="D3495" s="48" t="n"/>
      <c r="E3495" s="48" t="n"/>
      <c r="F3495" s="48" t="n"/>
      <c r="G3495" s="49" t="n"/>
      <c r="H3495" s="48" t="n"/>
      <c r="I3495" s="50" t="n"/>
      <c r="J3495" s="48" t="n"/>
      <c r="K3495" s="48" t="n"/>
      <c r="L3495" s="48" t="n"/>
      <c r="M3495" s="48" t="n"/>
      <c r="N3495" s="48" t="n"/>
      <c r="O3495" s="51">
        <f>IF(AND(B3495="",G3495="",C3495="",D3495="",J3495=""),"",IF(B3495="","⚠ Falta fecha",IF(G3495="","⚠ Falta monto",IF(Q3495="","⚠ Falta cuenta",IF(ISNA(MATCH(Q3495,ctaNombre,0)),"⚠ Cuenta no registrada",IF(AND(OR(P3495="Gasto",P3495="Reembolso"),D3495=""),"⚠ Falta categoría",IF(AND(D3495&lt;&gt;"",E3495&lt;&gt;"",ISNA(MATCH(D3495&amp;"|"&amp;E3495,catClave,0))),"⚠ Subcategoría no corresponde",IF(AND(OR(P3495="Transferencia",P3495="Pago tarjeta"),K3495=""),"⚠ Falta cuenta destino",IF(AND(K3495&lt;&gt;"",P3495&lt;&gt;"Transferencia",P3495&lt;&gt;"Pago tarjeta"),"⚠ Destino solo aplica a transferencias",IF(AND(K3495&lt;&gt;"",K3495=Q3495),"⚠ Origen igual a destino",IF(AND(K3495&lt;&gt;"",ISNA(MATCH(K3495,ctaNombre,0))),"⚠ Destino no registrado",IF(AND(P3495="Pago tarjeta",AE3495&lt;&gt;"Tarjeta de crédito"),"⚠ El destino debe ser tarjeta de crédito",IF(AND(P3495="Gasto",E3495="Depósitos y retiros"),"⚠ Usa tipo Transferencia",IF(AND(P3495="Resultado trading",AD3495&lt;&gt;"Cuenta de trading"),"⚠ Usa una cuenta de trading",IF(AND(G3495&lt;=0,P3495&lt;&gt;"Ajuste",P3495&lt;&gt;"Resultado trading"),"⚠ El monto debe ser positivo","✓")))))))))))))))</f>
        <v/>
      </c>
      <c r="P3495" s="52">
        <f>IF(OR(B3495="",G3495=""),"",IF(C3495="","Gasto",C3495))</f>
        <v/>
      </c>
      <c r="Q3495" s="52">
        <f>IF(P3495="","",IF(J3495&lt;&gt;"",J3495,CuentaPred&amp;""))</f>
        <v/>
      </c>
      <c r="R3495" s="52">
        <f>IF(P3495="","",IF(ISNUMBER(I3495),I3495,TasaUSD))</f>
        <v/>
      </c>
      <c r="S3495" s="53">
        <f>IF(P3495="","",IF(H3495="USD",G3495*R3495,G3495))</f>
        <v/>
      </c>
      <c r="T3495" s="53">
        <f>IF(P3495="","",IF(H3495="USD",G3495,IF(R3495&gt;0,G3495/R3495,0)))</f>
        <v/>
      </c>
      <c r="U3495" s="53">
        <f>IF(P3495="","",IF(P3495="Gasto",S3495,IF(P3495="Reembolso",-S3495,0)))</f>
        <v/>
      </c>
      <c r="V3495" s="53">
        <f>IF(P3495="","",IF(P3495="Ingreso",S3495,0))</f>
        <v/>
      </c>
      <c r="W3495" s="53">
        <f>IF(P3495="","",IF(P3495="Resultado trading",S3495,0))</f>
        <v/>
      </c>
      <c r="X3495" s="52">
        <f>IF(OR(P3495="Gasto",P3495="Reembolso"),IF(M3495&lt;&gt;"",M3495,IFERROR(INDEX(catClasif,MATCH(D3495&amp;"|"&amp;E3495,catClave,0))&amp;"","Variable")),"")</f>
        <v/>
      </c>
      <c r="Y3495" s="52">
        <f>IF(P3495="","",IFERROR(INDEX(catGrupo,MATCH(D3495&amp;"|"&amp;E3495,catClave,0))&amp;"",""))</f>
        <v/>
      </c>
      <c r="Z3495" s="52">
        <f>IF(P3495="","",WEEKDAY(B3495,2))</f>
        <v/>
      </c>
      <c r="AA3495" s="52">
        <f>IF(P3495="","",IF(AND(P3495="Gasto",X3495="Variable",D3495&lt;&gt;catTrading,S3495&gt;0,S3495&lt;=Umbral),1,0))</f>
        <v/>
      </c>
      <c r="AB3495" s="52">
        <f>IF(OR(P3495="",Q3495=""),"",IFERROR(IF(INDEX(ctaVinc,MATCH(Q3495,ctaNombre,0))&amp;""&lt;&gt;"",INDEX(ctaVinc,MATCH(Q3495,ctaNombre,0))&amp;"",Q3495),Q3495))</f>
        <v/>
      </c>
      <c r="AC3495" s="52">
        <f>IF(OR(K3495="",AND(P3495&lt;&gt;"Transferencia",P3495&lt;&gt;"Pago tarjeta")),"",IFERROR(IF(INDEX(ctaVinc,MATCH(K3495,ctaNombre,0))&amp;""&lt;&gt;"",INDEX(ctaVinc,MATCH(K3495,ctaNombre,0))&amp;"",K3495),K3495))</f>
        <v/>
      </c>
      <c r="AD3495" s="52">
        <f>IF(AB3495="","",IFERROR(INDEX(ctaTipo,MATCH(AB3495,ctaNombre,0))&amp;"",""))</f>
        <v/>
      </c>
      <c r="AE3495" s="52">
        <f>IF(AC3495="","",IFERROR(INDEX(ctaTipo,MATCH(AC3495,ctaNombre,0))&amp;"",""))</f>
        <v/>
      </c>
      <c r="AF3495" s="53">
        <f>IF(OR(P3495="",AB3495=""),"",IF(OR(P3495="Gasto",P3495="Transferencia",P3495="Pago tarjeta"),-1,1)*IF(IFERROR(INDEX(ctaMoneda,MATCH(AB3495,ctaNombre,0))&amp;"","DOP")="USD",T3495,S3495))</f>
        <v/>
      </c>
      <c r="AG3495" s="53">
        <f>IF(AC3495="","",IF(IFERROR(INDEX(ctaMoneda,MATCH(AC3495,ctaNombre,0))&amp;"","DOP")="USD",T3495,S3495))</f>
        <v/>
      </c>
      <c r="AH3495" s="53">
        <f>IF(P3495="","",IF(AND(AD3495&lt;&gt;"",COUNTIFS(tcTipo,AD3495,tcLiq,"Sí")&gt;0),IF(OR(P3495="Gasto",P3495="Transferencia",P3495="Pago tarjeta"),-1,1)*S3495,0)+IF(AND(AE3495&lt;&gt;"",COUNTIFS(tcTipo,AE3495,tcLiq,"Sí")&gt;0),S3495,0))</f>
        <v/>
      </c>
      <c r="AI3495" s="52">
        <f>IF(OR(L3495="",P3495=""),"",IF(COUNTIFS(L$6:L3495,L3495,P$6:P3495,"?*")=1,MAX(AI$5:AI3494)+1,""))</f>
        <v/>
      </c>
    </row>
    <row r="3496">
      <c r="B3496" s="47" t="n"/>
      <c r="C3496" s="48" t="n"/>
      <c r="D3496" s="48" t="n"/>
      <c r="E3496" s="48" t="n"/>
      <c r="F3496" s="48" t="n"/>
      <c r="G3496" s="49" t="n"/>
      <c r="H3496" s="48" t="n"/>
      <c r="I3496" s="50" t="n"/>
      <c r="J3496" s="48" t="n"/>
      <c r="K3496" s="48" t="n"/>
      <c r="L3496" s="48" t="n"/>
      <c r="M3496" s="48" t="n"/>
      <c r="N3496" s="48" t="n"/>
      <c r="O3496" s="51">
        <f>IF(AND(B3496="",G3496="",C3496="",D3496="",J3496=""),"",IF(B3496="","⚠ Falta fecha",IF(G3496="","⚠ Falta monto",IF(Q3496="","⚠ Falta cuenta",IF(ISNA(MATCH(Q3496,ctaNombre,0)),"⚠ Cuenta no registrada",IF(AND(OR(P3496="Gasto",P3496="Reembolso"),D3496=""),"⚠ Falta categoría",IF(AND(D3496&lt;&gt;"",E3496&lt;&gt;"",ISNA(MATCH(D3496&amp;"|"&amp;E3496,catClave,0))),"⚠ Subcategoría no corresponde",IF(AND(OR(P3496="Transferencia",P3496="Pago tarjeta"),K3496=""),"⚠ Falta cuenta destino",IF(AND(K3496&lt;&gt;"",P3496&lt;&gt;"Transferencia",P3496&lt;&gt;"Pago tarjeta"),"⚠ Destino solo aplica a transferencias",IF(AND(K3496&lt;&gt;"",K3496=Q3496),"⚠ Origen igual a destino",IF(AND(K3496&lt;&gt;"",ISNA(MATCH(K3496,ctaNombre,0))),"⚠ Destino no registrado",IF(AND(P3496="Pago tarjeta",AE3496&lt;&gt;"Tarjeta de crédito"),"⚠ El destino debe ser tarjeta de crédito",IF(AND(P3496="Gasto",E3496="Depósitos y retiros"),"⚠ Usa tipo Transferencia",IF(AND(P3496="Resultado trading",AD3496&lt;&gt;"Cuenta de trading"),"⚠ Usa una cuenta de trading",IF(AND(G3496&lt;=0,P3496&lt;&gt;"Ajuste",P3496&lt;&gt;"Resultado trading"),"⚠ El monto debe ser positivo","✓")))))))))))))))</f>
        <v/>
      </c>
      <c r="P3496" s="52">
        <f>IF(OR(B3496="",G3496=""),"",IF(C3496="","Gasto",C3496))</f>
        <v/>
      </c>
      <c r="Q3496" s="52">
        <f>IF(P3496="","",IF(J3496&lt;&gt;"",J3496,CuentaPred&amp;""))</f>
        <v/>
      </c>
      <c r="R3496" s="52">
        <f>IF(P3496="","",IF(ISNUMBER(I3496),I3496,TasaUSD))</f>
        <v/>
      </c>
      <c r="S3496" s="53">
        <f>IF(P3496="","",IF(H3496="USD",G3496*R3496,G3496))</f>
        <v/>
      </c>
      <c r="T3496" s="53">
        <f>IF(P3496="","",IF(H3496="USD",G3496,IF(R3496&gt;0,G3496/R3496,0)))</f>
        <v/>
      </c>
      <c r="U3496" s="53">
        <f>IF(P3496="","",IF(P3496="Gasto",S3496,IF(P3496="Reembolso",-S3496,0)))</f>
        <v/>
      </c>
      <c r="V3496" s="53">
        <f>IF(P3496="","",IF(P3496="Ingreso",S3496,0))</f>
        <v/>
      </c>
      <c r="W3496" s="53">
        <f>IF(P3496="","",IF(P3496="Resultado trading",S3496,0))</f>
        <v/>
      </c>
      <c r="X3496" s="52">
        <f>IF(OR(P3496="Gasto",P3496="Reembolso"),IF(M3496&lt;&gt;"",M3496,IFERROR(INDEX(catClasif,MATCH(D3496&amp;"|"&amp;E3496,catClave,0))&amp;"","Variable")),"")</f>
        <v/>
      </c>
      <c r="Y3496" s="52">
        <f>IF(P3496="","",IFERROR(INDEX(catGrupo,MATCH(D3496&amp;"|"&amp;E3496,catClave,0))&amp;"",""))</f>
        <v/>
      </c>
      <c r="Z3496" s="52">
        <f>IF(P3496="","",WEEKDAY(B3496,2))</f>
        <v/>
      </c>
      <c r="AA3496" s="52">
        <f>IF(P3496="","",IF(AND(P3496="Gasto",X3496="Variable",D3496&lt;&gt;catTrading,S3496&gt;0,S3496&lt;=Umbral),1,0))</f>
        <v/>
      </c>
      <c r="AB3496" s="52">
        <f>IF(OR(P3496="",Q3496=""),"",IFERROR(IF(INDEX(ctaVinc,MATCH(Q3496,ctaNombre,0))&amp;""&lt;&gt;"",INDEX(ctaVinc,MATCH(Q3496,ctaNombre,0))&amp;"",Q3496),Q3496))</f>
        <v/>
      </c>
      <c r="AC3496" s="52">
        <f>IF(OR(K3496="",AND(P3496&lt;&gt;"Transferencia",P3496&lt;&gt;"Pago tarjeta")),"",IFERROR(IF(INDEX(ctaVinc,MATCH(K3496,ctaNombre,0))&amp;""&lt;&gt;"",INDEX(ctaVinc,MATCH(K3496,ctaNombre,0))&amp;"",K3496),K3496))</f>
        <v/>
      </c>
      <c r="AD3496" s="52">
        <f>IF(AB3496="","",IFERROR(INDEX(ctaTipo,MATCH(AB3496,ctaNombre,0))&amp;"",""))</f>
        <v/>
      </c>
      <c r="AE3496" s="52">
        <f>IF(AC3496="","",IFERROR(INDEX(ctaTipo,MATCH(AC3496,ctaNombre,0))&amp;"",""))</f>
        <v/>
      </c>
      <c r="AF3496" s="53">
        <f>IF(OR(P3496="",AB3496=""),"",IF(OR(P3496="Gasto",P3496="Transferencia",P3496="Pago tarjeta"),-1,1)*IF(IFERROR(INDEX(ctaMoneda,MATCH(AB3496,ctaNombre,0))&amp;"","DOP")="USD",T3496,S3496))</f>
        <v/>
      </c>
      <c r="AG3496" s="53">
        <f>IF(AC3496="","",IF(IFERROR(INDEX(ctaMoneda,MATCH(AC3496,ctaNombre,0))&amp;"","DOP")="USD",T3496,S3496))</f>
        <v/>
      </c>
      <c r="AH3496" s="53">
        <f>IF(P3496="","",IF(AND(AD3496&lt;&gt;"",COUNTIFS(tcTipo,AD3496,tcLiq,"Sí")&gt;0),IF(OR(P3496="Gasto",P3496="Transferencia",P3496="Pago tarjeta"),-1,1)*S3496,0)+IF(AND(AE3496&lt;&gt;"",COUNTIFS(tcTipo,AE3496,tcLiq,"Sí")&gt;0),S3496,0))</f>
        <v/>
      </c>
      <c r="AI3496" s="52">
        <f>IF(OR(L3496="",P3496=""),"",IF(COUNTIFS(L$6:L3496,L3496,P$6:P3496,"?*")=1,MAX(AI$5:AI3495)+1,""))</f>
        <v/>
      </c>
    </row>
    <row r="3497">
      <c r="B3497" s="47" t="n"/>
      <c r="C3497" s="48" t="n"/>
      <c r="D3497" s="48" t="n"/>
      <c r="E3497" s="48" t="n"/>
      <c r="F3497" s="48" t="n"/>
      <c r="G3497" s="49" t="n"/>
      <c r="H3497" s="48" t="n"/>
      <c r="I3497" s="50" t="n"/>
      <c r="J3497" s="48" t="n"/>
      <c r="K3497" s="48" t="n"/>
      <c r="L3497" s="48" t="n"/>
      <c r="M3497" s="48" t="n"/>
      <c r="N3497" s="48" t="n"/>
      <c r="O3497" s="51">
        <f>IF(AND(B3497="",G3497="",C3497="",D3497="",J3497=""),"",IF(B3497="","⚠ Falta fecha",IF(G3497="","⚠ Falta monto",IF(Q3497="","⚠ Falta cuenta",IF(ISNA(MATCH(Q3497,ctaNombre,0)),"⚠ Cuenta no registrada",IF(AND(OR(P3497="Gasto",P3497="Reembolso"),D3497=""),"⚠ Falta categoría",IF(AND(D3497&lt;&gt;"",E3497&lt;&gt;"",ISNA(MATCH(D3497&amp;"|"&amp;E3497,catClave,0))),"⚠ Subcategoría no corresponde",IF(AND(OR(P3497="Transferencia",P3497="Pago tarjeta"),K3497=""),"⚠ Falta cuenta destino",IF(AND(K3497&lt;&gt;"",P3497&lt;&gt;"Transferencia",P3497&lt;&gt;"Pago tarjeta"),"⚠ Destino solo aplica a transferencias",IF(AND(K3497&lt;&gt;"",K3497=Q3497),"⚠ Origen igual a destino",IF(AND(K3497&lt;&gt;"",ISNA(MATCH(K3497,ctaNombre,0))),"⚠ Destino no registrado",IF(AND(P3497="Pago tarjeta",AE3497&lt;&gt;"Tarjeta de crédito"),"⚠ El destino debe ser tarjeta de crédito",IF(AND(P3497="Gasto",E3497="Depósitos y retiros"),"⚠ Usa tipo Transferencia",IF(AND(P3497="Resultado trading",AD3497&lt;&gt;"Cuenta de trading"),"⚠ Usa una cuenta de trading",IF(AND(G3497&lt;=0,P3497&lt;&gt;"Ajuste",P3497&lt;&gt;"Resultado trading"),"⚠ El monto debe ser positivo","✓")))))))))))))))</f>
        <v/>
      </c>
      <c r="P3497" s="52">
        <f>IF(OR(B3497="",G3497=""),"",IF(C3497="","Gasto",C3497))</f>
        <v/>
      </c>
      <c r="Q3497" s="52">
        <f>IF(P3497="","",IF(J3497&lt;&gt;"",J3497,CuentaPred&amp;""))</f>
        <v/>
      </c>
      <c r="R3497" s="52">
        <f>IF(P3497="","",IF(ISNUMBER(I3497),I3497,TasaUSD))</f>
        <v/>
      </c>
      <c r="S3497" s="53">
        <f>IF(P3497="","",IF(H3497="USD",G3497*R3497,G3497))</f>
        <v/>
      </c>
      <c r="T3497" s="53">
        <f>IF(P3497="","",IF(H3497="USD",G3497,IF(R3497&gt;0,G3497/R3497,0)))</f>
        <v/>
      </c>
      <c r="U3497" s="53">
        <f>IF(P3497="","",IF(P3497="Gasto",S3497,IF(P3497="Reembolso",-S3497,0)))</f>
        <v/>
      </c>
      <c r="V3497" s="53">
        <f>IF(P3497="","",IF(P3497="Ingreso",S3497,0))</f>
        <v/>
      </c>
      <c r="W3497" s="53">
        <f>IF(P3497="","",IF(P3497="Resultado trading",S3497,0))</f>
        <v/>
      </c>
      <c r="X3497" s="52">
        <f>IF(OR(P3497="Gasto",P3497="Reembolso"),IF(M3497&lt;&gt;"",M3497,IFERROR(INDEX(catClasif,MATCH(D3497&amp;"|"&amp;E3497,catClave,0))&amp;"","Variable")),"")</f>
        <v/>
      </c>
      <c r="Y3497" s="52">
        <f>IF(P3497="","",IFERROR(INDEX(catGrupo,MATCH(D3497&amp;"|"&amp;E3497,catClave,0))&amp;"",""))</f>
        <v/>
      </c>
      <c r="Z3497" s="52">
        <f>IF(P3497="","",WEEKDAY(B3497,2))</f>
        <v/>
      </c>
      <c r="AA3497" s="52">
        <f>IF(P3497="","",IF(AND(P3497="Gasto",X3497="Variable",D3497&lt;&gt;catTrading,S3497&gt;0,S3497&lt;=Umbral),1,0))</f>
        <v/>
      </c>
      <c r="AB3497" s="52">
        <f>IF(OR(P3497="",Q3497=""),"",IFERROR(IF(INDEX(ctaVinc,MATCH(Q3497,ctaNombre,0))&amp;""&lt;&gt;"",INDEX(ctaVinc,MATCH(Q3497,ctaNombre,0))&amp;"",Q3497),Q3497))</f>
        <v/>
      </c>
      <c r="AC3497" s="52">
        <f>IF(OR(K3497="",AND(P3497&lt;&gt;"Transferencia",P3497&lt;&gt;"Pago tarjeta")),"",IFERROR(IF(INDEX(ctaVinc,MATCH(K3497,ctaNombre,0))&amp;""&lt;&gt;"",INDEX(ctaVinc,MATCH(K3497,ctaNombre,0))&amp;"",K3497),K3497))</f>
        <v/>
      </c>
      <c r="AD3497" s="52">
        <f>IF(AB3497="","",IFERROR(INDEX(ctaTipo,MATCH(AB3497,ctaNombre,0))&amp;"",""))</f>
        <v/>
      </c>
      <c r="AE3497" s="52">
        <f>IF(AC3497="","",IFERROR(INDEX(ctaTipo,MATCH(AC3497,ctaNombre,0))&amp;"",""))</f>
        <v/>
      </c>
      <c r="AF3497" s="53">
        <f>IF(OR(P3497="",AB3497=""),"",IF(OR(P3497="Gasto",P3497="Transferencia",P3497="Pago tarjeta"),-1,1)*IF(IFERROR(INDEX(ctaMoneda,MATCH(AB3497,ctaNombre,0))&amp;"","DOP")="USD",T3497,S3497))</f>
        <v/>
      </c>
      <c r="AG3497" s="53">
        <f>IF(AC3497="","",IF(IFERROR(INDEX(ctaMoneda,MATCH(AC3497,ctaNombre,0))&amp;"","DOP")="USD",T3497,S3497))</f>
        <v/>
      </c>
      <c r="AH3497" s="53">
        <f>IF(P3497="","",IF(AND(AD3497&lt;&gt;"",COUNTIFS(tcTipo,AD3497,tcLiq,"Sí")&gt;0),IF(OR(P3497="Gasto",P3497="Transferencia",P3497="Pago tarjeta"),-1,1)*S3497,0)+IF(AND(AE3497&lt;&gt;"",COUNTIFS(tcTipo,AE3497,tcLiq,"Sí")&gt;0),S3497,0))</f>
        <v/>
      </c>
      <c r="AI3497" s="52">
        <f>IF(OR(L3497="",P3497=""),"",IF(COUNTIFS(L$6:L3497,L3497,P$6:P3497,"?*")=1,MAX(AI$5:AI3496)+1,""))</f>
        <v/>
      </c>
    </row>
    <row r="3498">
      <c r="B3498" s="47" t="n"/>
      <c r="C3498" s="48" t="n"/>
      <c r="D3498" s="48" t="n"/>
      <c r="E3498" s="48" t="n"/>
      <c r="F3498" s="48" t="n"/>
      <c r="G3498" s="49" t="n"/>
      <c r="H3498" s="48" t="n"/>
      <c r="I3498" s="50" t="n"/>
      <c r="J3498" s="48" t="n"/>
      <c r="K3498" s="48" t="n"/>
      <c r="L3498" s="48" t="n"/>
      <c r="M3498" s="48" t="n"/>
      <c r="N3498" s="48" t="n"/>
      <c r="O3498" s="51">
        <f>IF(AND(B3498="",G3498="",C3498="",D3498="",J3498=""),"",IF(B3498="","⚠ Falta fecha",IF(G3498="","⚠ Falta monto",IF(Q3498="","⚠ Falta cuenta",IF(ISNA(MATCH(Q3498,ctaNombre,0)),"⚠ Cuenta no registrada",IF(AND(OR(P3498="Gasto",P3498="Reembolso"),D3498=""),"⚠ Falta categoría",IF(AND(D3498&lt;&gt;"",E3498&lt;&gt;"",ISNA(MATCH(D3498&amp;"|"&amp;E3498,catClave,0))),"⚠ Subcategoría no corresponde",IF(AND(OR(P3498="Transferencia",P3498="Pago tarjeta"),K3498=""),"⚠ Falta cuenta destino",IF(AND(K3498&lt;&gt;"",P3498&lt;&gt;"Transferencia",P3498&lt;&gt;"Pago tarjeta"),"⚠ Destino solo aplica a transferencias",IF(AND(K3498&lt;&gt;"",K3498=Q3498),"⚠ Origen igual a destino",IF(AND(K3498&lt;&gt;"",ISNA(MATCH(K3498,ctaNombre,0))),"⚠ Destino no registrado",IF(AND(P3498="Pago tarjeta",AE3498&lt;&gt;"Tarjeta de crédito"),"⚠ El destino debe ser tarjeta de crédito",IF(AND(P3498="Gasto",E3498="Depósitos y retiros"),"⚠ Usa tipo Transferencia",IF(AND(P3498="Resultado trading",AD3498&lt;&gt;"Cuenta de trading"),"⚠ Usa una cuenta de trading",IF(AND(G3498&lt;=0,P3498&lt;&gt;"Ajuste",P3498&lt;&gt;"Resultado trading"),"⚠ El monto debe ser positivo","✓")))))))))))))))</f>
        <v/>
      </c>
      <c r="P3498" s="52">
        <f>IF(OR(B3498="",G3498=""),"",IF(C3498="","Gasto",C3498))</f>
        <v/>
      </c>
      <c r="Q3498" s="52">
        <f>IF(P3498="","",IF(J3498&lt;&gt;"",J3498,CuentaPred&amp;""))</f>
        <v/>
      </c>
      <c r="R3498" s="52">
        <f>IF(P3498="","",IF(ISNUMBER(I3498),I3498,TasaUSD))</f>
        <v/>
      </c>
      <c r="S3498" s="53">
        <f>IF(P3498="","",IF(H3498="USD",G3498*R3498,G3498))</f>
        <v/>
      </c>
      <c r="T3498" s="53">
        <f>IF(P3498="","",IF(H3498="USD",G3498,IF(R3498&gt;0,G3498/R3498,0)))</f>
        <v/>
      </c>
      <c r="U3498" s="53">
        <f>IF(P3498="","",IF(P3498="Gasto",S3498,IF(P3498="Reembolso",-S3498,0)))</f>
        <v/>
      </c>
      <c r="V3498" s="53">
        <f>IF(P3498="","",IF(P3498="Ingreso",S3498,0))</f>
        <v/>
      </c>
      <c r="W3498" s="53">
        <f>IF(P3498="","",IF(P3498="Resultado trading",S3498,0))</f>
        <v/>
      </c>
      <c r="X3498" s="52">
        <f>IF(OR(P3498="Gasto",P3498="Reembolso"),IF(M3498&lt;&gt;"",M3498,IFERROR(INDEX(catClasif,MATCH(D3498&amp;"|"&amp;E3498,catClave,0))&amp;"","Variable")),"")</f>
        <v/>
      </c>
      <c r="Y3498" s="52">
        <f>IF(P3498="","",IFERROR(INDEX(catGrupo,MATCH(D3498&amp;"|"&amp;E3498,catClave,0))&amp;"",""))</f>
        <v/>
      </c>
      <c r="Z3498" s="52">
        <f>IF(P3498="","",WEEKDAY(B3498,2))</f>
        <v/>
      </c>
      <c r="AA3498" s="52">
        <f>IF(P3498="","",IF(AND(P3498="Gasto",X3498="Variable",D3498&lt;&gt;catTrading,S3498&gt;0,S3498&lt;=Umbral),1,0))</f>
        <v/>
      </c>
      <c r="AB3498" s="52">
        <f>IF(OR(P3498="",Q3498=""),"",IFERROR(IF(INDEX(ctaVinc,MATCH(Q3498,ctaNombre,0))&amp;""&lt;&gt;"",INDEX(ctaVinc,MATCH(Q3498,ctaNombre,0))&amp;"",Q3498),Q3498))</f>
        <v/>
      </c>
      <c r="AC3498" s="52">
        <f>IF(OR(K3498="",AND(P3498&lt;&gt;"Transferencia",P3498&lt;&gt;"Pago tarjeta")),"",IFERROR(IF(INDEX(ctaVinc,MATCH(K3498,ctaNombre,0))&amp;""&lt;&gt;"",INDEX(ctaVinc,MATCH(K3498,ctaNombre,0))&amp;"",K3498),K3498))</f>
        <v/>
      </c>
      <c r="AD3498" s="52">
        <f>IF(AB3498="","",IFERROR(INDEX(ctaTipo,MATCH(AB3498,ctaNombre,0))&amp;"",""))</f>
        <v/>
      </c>
      <c r="AE3498" s="52">
        <f>IF(AC3498="","",IFERROR(INDEX(ctaTipo,MATCH(AC3498,ctaNombre,0))&amp;"",""))</f>
        <v/>
      </c>
      <c r="AF3498" s="53">
        <f>IF(OR(P3498="",AB3498=""),"",IF(OR(P3498="Gasto",P3498="Transferencia",P3498="Pago tarjeta"),-1,1)*IF(IFERROR(INDEX(ctaMoneda,MATCH(AB3498,ctaNombre,0))&amp;"","DOP")="USD",T3498,S3498))</f>
        <v/>
      </c>
      <c r="AG3498" s="53">
        <f>IF(AC3498="","",IF(IFERROR(INDEX(ctaMoneda,MATCH(AC3498,ctaNombre,0))&amp;"","DOP")="USD",T3498,S3498))</f>
        <v/>
      </c>
      <c r="AH3498" s="53">
        <f>IF(P3498="","",IF(AND(AD3498&lt;&gt;"",COUNTIFS(tcTipo,AD3498,tcLiq,"Sí")&gt;0),IF(OR(P3498="Gasto",P3498="Transferencia",P3498="Pago tarjeta"),-1,1)*S3498,0)+IF(AND(AE3498&lt;&gt;"",COUNTIFS(tcTipo,AE3498,tcLiq,"Sí")&gt;0),S3498,0))</f>
        <v/>
      </c>
      <c r="AI3498" s="52">
        <f>IF(OR(L3498="",P3498=""),"",IF(COUNTIFS(L$6:L3498,L3498,P$6:P3498,"?*")=1,MAX(AI$5:AI3497)+1,""))</f>
        <v/>
      </c>
    </row>
    <row r="3499">
      <c r="B3499" s="47" t="n"/>
      <c r="C3499" s="48" t="n"/>
      <c r="D3499" s="48" t="n"/>
      <c r="E3499" s="48" t="n"/>
      <c r="F3499" s="48" t="n"/>
      <c r="G3499" s="49" t="n"/>
      <c r="H3499" s="48" t="n"/>
      <c r="I3499" s="50" t="n"/>
      <c r="J3499" s="48" t="n"/>
      <c r="K3499" s="48" t="n"/>
      <c r="L3499" s="48" t="n"/>
      <c r="M3499" s="48" t="n"/>
      <c r="N3499" s="48" t="n"/>
      <c r="O3499" s="51">
        <f>IF(AND(B3499="",G3499="",C3499="",D3499="",J3499=""),"",IF(B3499="","⚠ Falta fecha",IF(G3499="","⚠ Falta monto",IF(Q3499="","⚠ Falta cuenta",IF(ISNA(MATCH(Q3499,ctaNombre,0)),"⚠ Cuenta no registrada",IF(AND(OR(P3499="Gasto",P3499="Reembolso"),D3499=""),"⚠ Falta categoría",IF(AND(D3499&lt;&gt;"",E3499&lt;&gt;"",ISNA(MATCH(D3499&amp;"|"&amp;E3499,catClave,0))),"⚠ Subcategoría no corresponde",IF(AND(OR(P3499="Transferencia",P3499="Pago tarjeta"),K3499=""),"⚠ Falta cuenta destino",IF(AND(K3499&lt;&gt;"",P3499&lt;&gt;"Transferencia",P3499&lt;&gt;"Pago tarjeta"),"⚠ Destino solo aplica a transferencias",IF(AND(K3499&lt;&gt;"",K3499=Q3499),"⚠ Origen igual a destino",IF(AND(K3499&lt;&gt;"",ISNA(MATCH(K3499,ctaNombre,0))),"⚠ Destino no registrado",IF(AND(P3499="Pago tarjeta",AE3499&lt;&gt;"Tarjeta de crédito"),"⚠ El destino debe ser tarjeta de crédito",IF(AND(P3499="Gasto",E3499="Depósitos y retiros"),"⚠ Usa tipo Transferencia",IF(AND(P3499="Resultado trading",AD3499&lt;&gt;"Cuenta de trading"),"⚠ Usa una cuenta de trading",IF(AND(G3499&lt;=0,P3499&lt;&gt;"Ajuste",P3499&lt;&gt;"Resultado trading"),"⚠ El monto debe ser positivo","✓")))))))))))))))</f>
        <v/>
      </c>
      <c r="P3499" s="52">
        <f>IF(OR(B3499="",G3499=""),"",IF(C3499="","Gasto",C3499))</f>
        <v/>
      </c>
      <c r="Q3499" s="52">
        <f>IF(P3499="","",IF(J3499&lt;&gt;"",J3499,CuentaPred&amp;""))</f>
        <v/>
      </c>
      <c r="R3499" s="52">
        <f>IF(P3499="","",IF(ISNUMBER(I3499),I3499,TasaUSD))</f>
        <v/>
      </c>
      <c r="S3499" s="53">
        <f>IF(P3499="","",IF(H3499="USD",G3499*R3499,G3499))</f>
        <v/>
      </c>
      <c r="T3499" s="53">
        <f>IF(P3499="","",IF(H3499="USD",G3499,IF(R3499&gt;0,G3499/R3499,0)))</f>
        <v/>
      </c>
      <c r="U3499" s="53">
        <f>IF(P3499="","",IF(P3499="Gasto",S3499,IF(P3499="Reembolso",-S3499,0)))</f>
        <v/>
      </c>
      <c r="V3499" s="53">
        <f>IF(P3499="","",IF(P3499="Ingreso",S3499,0))</f>
        <v/>
      </c>
      <c r="W3499" s="53">
        <f>IF(P3499="","",IF(P3499="Resultado trading",S3499,0))</f>
        <v/>
      </c>
      <c r="X3499" s="52">
        <f>IF(OR(P3499="Gasto",P3499="Reembolso"),IF(M3499&lt;&gt;"",M3499,IFERROR(INDEX(catClasif,MATCH(D3499&amp;"|"&amp;E3499,catClave,0))&amp;"","Variable")),"")</f>
        <v/>
      </c>
      <c r="Y3499" s="52">
        <f>IF(P3499="","",IFERROR(INDEX(catGrupo,MATCH(D3499&amp;"|"&amp;E3499,catClave,0))&amp;"",""))</f>
        <v/>
      </c>
      <c r="Z3499" s="52">
        <f>IF(P3499="","",WEEKDAY(B3499,2))</f>
        <v/>
      </c>
      <c r="AA3499" s="52">
        <f>IF(P3499="","",IF(AND(P3499="Gasto",X3499="Variable",D3499&lt;&gt;catTrading,S3499&gt;0,S3499&lt;=Umbral),1,0))</f>
        <v/>
      </c>
      <c r="AB3499" s="52">
        <f>IF(OR(P3499="",Q3499=""),"",IFERROR(IF(INDEX(ctaVinc,MATCH(Q3499,ctaNombre,0))&amp;""&lt;&gt;"",INDEX(ctaVinc,MATCH(Q3499,ctaNombre,0))&amp;"",Q3499),Q3499))</f>
        <v/>
      </c>
      <c r="AC3499" s="52">
        <f>IF(OR(K3499="",AND(P3499&lt;&gt;"Transferencia",P3499&lt;&gt;"Pago tarjeta")),"",IFERROR(IF(INDEX(ctaVinc,MATCH(K3499,ctaNombre,0))&amp;""&lt;&gt;"",INDEX(ctaVinc,MATCH(K3499,ctaNombre,0))&amp;"",K3499),K3499))</f>
        <v/>
      </c>
      <c r="AD3499" s="52">
        <f>IF(AB3499="","",IFERROR(INDEX(ctaTipo,MATCH(AB3499,ctaNombre,0))&amp;"",""))</f>
        <v/>
      </c>
      <c r="AE3499" s="52">
        <f>IF(AC3499="","",IFERROR(INDEX(ctaTipo,MATCH(AC3499,ctaNombre,0))&amp;"",""))</f>
        <v/>
      </c>
      <c r="AF3499" s="53">
        <f>IF(OR(P3499="",AB3499=""),"",IF(OR(P3499="Gasto",P3499="Transferencia",P3499="Pago tarjeta"),-1,1)*IF(IFERROR(INDEX(ctaMoneda,MATCH(AB3499,ctaNombre,0))&amp;"","DOP")="USD",T3499,S3499))</f>
        <v/>
      </c>
      <c r="AG3499" s="53">
        <f>IF(AC3499="","",IF(IFERROR(INDEX(ctaMoneda,MATCH(AC3499,ctaNombre,0))&amp;"","DOP")="USD",T3499,S3499))</f>
        <v/>
      </c>
      <c r="AH3499" s="53">
        <f>IF(P3499="","",IF(AND(AD3499&lt;&gt;"",COUNTIFS(tcTipo,AD3499,tcLiq,"Sí")&gt;0),IF(OR(P3499="Gasto",P3499="Transferencia",P3499="Pago tarjeta"),-1,1)*S3499,0)+IF(AND(AE3499&lt;&gt;"",COUNTIFS(tcTipo,AE3499,tcLiq,"Sí")&gt;0),S3499,0))</f>
        <v/>
      </c>
      <c r="AI3499" s="52">
        <f>IF(OR(L3499="",P3499=""),"",IF(COUNTIFS(L$6:L3499,L3499,P$6:P3499,"?*")=1,MAX(AI$5:AI3498)+1,""))</f>
        <v/>
      </c>
    </row>
    <row r="3500">
      <c r="B3500" s="47" t="n"/>
      <c r="C3500" s="48" t="n"/>
      <c r="D3500" s="48" t="n"/>
      <c r="E3500" s="48" t="n"/>
      <c r="F3500" s="48" t="n"/>
      <c r="G3500" s="49" t="n"/>
      <c r="H3500" s="48" t="n"/>
      <c r="I3500" s="50" t="n"/>
      <c r="J3500" s="48" t="n"/>
      <c r="K3500" s="48" t="n"/>
      <c r="L3500" s="48" t="n"/>
      <c r="M3500" s="48" t="n"/>
      <c r="N3500" s="48" t="n"/>
      <c r="O3500" s="51">
        <f>IF(AND(B3500="",G3500="",C3500="",D3500="",J3500=""),"",IF(B3500="","⚠ Falta fecha",IF(G3500="","⚠ Falta monto",IF(Q3500="","⚠ Falta cuenta",IF(ISNA(MATCH(Q3500,ctaNombre,0)),"⚠ Cuenta no registrada",IF(AND(OR(P3500="Gasto",P3500="Reembolso"),D3500=""),"⚠ Falta categoría",IF(AND(D3500&lt;&gt;"",E3500&lt;&gt;"",ISNA(MATCH(D3500&amp;"|"&amp;E3500,catClave,0))),"⚠ Subcategoría no corresponde",IF(AND(OR(P3500="Transferencia",P3500="Pago tarjeta"),K3500=""),"⚠ Falta cuenta destino",IF(AND(K3500&lt;&gt;"",P3500&lt;&gt;"Transferencia",P3500&lt;&gt;"Pago tarjeta"),"⚠ Destino solo aplica a transferencias",IF(AND(K3500&lt;&gt;"",K3500=Q3500),"⚠ Origen igual a destino",IF(AND(K3500&lt;&gt;"",ISNA(MATCH(K3500,ctaNombre,0))),"⚠ Destino no registrado",IF(AND(P3500="Pago tarjeta",AE3500&lt;&gt;"Tarjeta de crédito"),"⚠ El destino debe ser tarjeta de crédito",IF(AND(P3500="Gasto",E3500="Depósitos y retiros"),"⚠ Usa tipo Transferencia",IF(AND(P3500="Resultado trading",AD3500&lt;&gt;"Cuenta de trading"),"⚠ Usa una cuenta de trading",IF(AND(G3500&lt;=0,P3500&lt;&gt;"Ajuste",P3500&lt;&gt;"Resultado trading"),"⚠ El monto debe ser positivo","✓")))))))))))))))</f>
        <v/>
      </c>
      <c r="P3500" s="52">
        <f>IF(OR(B3500="",G3500=""),"",IF(C3500="","Gasto",C3500))</f>
        <v/>
      </c>
      <c r="Q3500" s="52">
        <f>IF(P3500="","",IF(J3500&lt;&gt;"",J3500,CuentaPred&amp;""))</f>
        <v/>
      </c>
      <c r="R3500" s="52">
        <f>IF(P3500="","",IF(ISNUMBER(I3500),I3500,TasaUSD))</f>
        <v/>
      </c>
      <c r="S3500" s="53">
        <f>IF(P3500="","",IF(H3500="USD",G3500*R3500,G3500))</f>
        <v/>
      </c>
      <c r="T3500" s="53">
        <f>IF(P3500="","",IF(H3500="USD",G3500,IF(R3500&gt;0,G3500/R3500,0)))</f>
        <v/>
      </c>
      <c r="U3500" s="53">
        <f>IF(P3500="","",IF(P3500="Gasto",S3500,IF(P3500="Reembolso",-S3500,0)))</f>
        <v/>
      </c>
      <c r="V3500" s="53">
        <f>IF(P3500="","",IF(P3500="Ingreso",S3500,0))</f>
        <v/>
      </c>
      <c r="W3500" s="53">
        <f>IF(P3500="","",IF(P3500="Resultado trading",S3500,0))</f>
        <v/>
      </c>
      <c r="X3500" s="52">
        <f>IF(OR(P3500="Gasto",P3500="Reembolso"),IF(M3500&lt;&gt;"",M3500,IFERROR(INDEX(catClasif,MATCH(D3500&amp;"|"&amp;E3500,catClave,0))&amp;"","Variable")),"")</f>
        <v/>
      </c>
      <c r="Y3500" s="52">
        <f>IF(P3500="","",IFERROR(INDEX(catGrupo,MATCH(D3500&amp;"|"&amp;E3500,catClave,0))&amp;"",""))</f>
        <v/>
      </c>
      <c r="Z3500" s="52">
        <f>IF(P3500="","",WEEKDAY(B3500,2))</f>
        <v/>
      </c>
      <c r="AA3500" s="52">
        <f>IF(P3500="","",IF(AND(P3500="Gasto",X3500="Variable",D3500&lt;&gt;catTrading,S3500&gt;0,S3500&lt;=Umbral),1,0))</f>
        <v/>
      </c>
      <c r="AB3500" s="52">
        <f>IF(OR(P3500="",Q3500=""),"",IFERROR(IF(INDEX(ctaVinc,MATCH(Q3500,ctaNombre,0))&amp;""&lt;&gt;"",INDEX(ctaVinc,MATCH(Q3500,ctaNombre,0))&amp;"",Q3500),Q3500))</f>
        <v/>
      </c>
      <c r="AC3500" s="52">
        <f>IF(OR(K3500="",AND(P3500&lt;&gt;"Transferencia",P3500&lt;&gt;"Pago tarjeta")),"",IFERROR(IF(INDEX(ctaVinc,MATCH(K3500,ctaNombre,0))&amp;""&lt;&gt;"",INDEX(ctaVinc,MATCH(K3500,ctaNombre,0))&amp;"",K3500),K3500))</f>
        <v/>
      </c>
      <c r="AD3500" s="52">
        <f>IF(AB3500="","",IFERROR(INDEX(ctaTipo,MATCH(AB3500,ctaNombre,0))&amp;"",""))</f>
        <v/>
      </c>
      <c r="AE3500" s="52">
        <f>IF(AC3500="","",IFERROR(INDEX(ctaTipo,MATCH(AC3500,ctaNombre,0))&amp;"",""))</f>
        <v/>
      </c>
      <c r="AF3500" s="53">
        <f>IF(OR(P3500="",AB3500=""),"",IF(OR(P3500="Gasto",P3500="Transferencia",P3500="Pago tarjeta"),-1,1)*IF(IFERROR(INDEX(ctaMoneda,MATCH(AB3500,ctaNombre,0))&amp;"","DOP")="USD",T3500,S3500))</f>
        <v/>
      </c>
      <c r="AG3500" s="53">
        <f>IF(AC3500="","",IF(IFERROR(INDEX(ctaMoneda,MATCH(AC3500,ctaNombre,0))&amp;"","DOP")="USD",T3500,S3500))</f>
        <v/>
      </c>
      <c r="AH3500" s="53">
        <f>IF(P3500="","",IF(AND(AD3500&lt;&gt;"",COUNTIFS(tcTipo,AD3500,tcLiq,"Sí")&gt;0),IF(OR(P3500="Gasto",P3500="Transferencia",P3500="Pago tarjeta"),-1,1)*S3500,0)+IF(AND(AE3500&lt;&gt;"",COUNTIFS(tcTipo,AE3500,tcLiq,"Sí")&gt;0),S3500,0))</f>
        <v/>
      </c>
      <c r="AI3500" s="52">
        <f>IF(OR(L3500="",P3500=""),"",IF(COUNTIFS(L$6:L3500,L3500,P$6:P3500,"?*")=1,MAX(AI$5:AI3499)+1,""))</f>
        <v/>
      </c>
    </row>
    <row r="3501">
      <c r="B3501" s="47" t="n"/>
      <c r="C3501" s="48" t="n"/>
      <c r="D3501" s="48" t="n"/>
      <c r="E3501" s="48" t="n"/>
      <c r="F3501" s="48" t="n"/>
      <c r="G3501" s="49" t="n"/>
      <c r="H3501" s="48" t="n"/>
      <c r="I3501" s="50" t="n"/>
      <c r="J3501" s="48" t="n"/>
      <c r="K3501" s="48" t="n"/>
      <c r="L3501" s="48" t="n"/>
      <c r="M3501" s="48" t="n"/>
      <c r="N3501" s="48" t="n"/>
      <c r="O3501" s="51">
        <f>IF(AND(B3501="",G3501="",C3501="",D3501="",J3501=""),"",IF(B3501="","⚠ Falta fecha",IF(G3501="","⚠ Falta monto",IF(Q3501="","⚠ Falta cuenta",IF(ISNA(MATCH(Q3501,ctaNombre,0)),"⚠ Cuenta no registrada",IF(AND(OR(P3501="Gasto",P3501="Reembolso"),D3501=""),"⚠ Falta categoría",IF(AND(D3501&lt;&gt;"",E3501&lt;&gt;"",ISNA(MATCH(D3501&amp;"|"&amp;E3501,catClave,0))),"⚠ Subcategoría no corresponde",IF(AND(OR(P3501="Transferencia",P3501="Pago tarjeta"),K3501=""),"⚠ Falta cuenta destino",IF(AND(K3501&lt;&gt;"",P3501&lt;&gt;"Transferencia",P3501&lt;&gt;"Pago tarjeta"),"⚠ Destino solo aplica a transferencias",IF(AND(K3501&lt;&gt;"",K3501=Q3501),"⚠ Origen igual a destino",IF(AND(K3501&lt;&gt;"",ISNA(MATCH(K3501,ctaNombre,0))),"⚠ Destino no registrado",IF(AND(P3501="Pago tarjeta",AE3501&lt;&gt;"Tarjeta de crédito"),"⚠ El destino debe ser tarjeta de crédito",IF(AND(P3501="Gasto",E3501="Depósitos y retiros"),"⚠ Usa tipo Transferencia",IF(AND(P3501="Resultado trading",AD3501&lt;&gt;"Cuenta de trading"),"⚠ Usa una cuenta de trading",IF(AND(G3501&lt;=0,P3501&lt;&gt;"Ajuste",P3501&lt;&gt;"Resultado trading"),"⚠ El monto debe ser positivo","✓")))))))))))))))</f>
        <v/>
      </c>
      <c r="P3501" s="52">
        <f>IF(OR(B3501="",G3501=""),"",IF(C3501="","Gasto",C3501))</f>
        <v/>
      </c>
      <c r="Q3501" s="52">
        <f>IF(P3501="","",IF(J3501&lt;&gt;"",J3501,CuentaPred&amp;""))</f>
        <v/>
      </c>
      <c r="R3501" s="52">
        <f>IF(P3501="","",IF(ISNUMBER(I3501),I3501,TasaUSD))</f>
        <v/>
      </c>
      <c r="S3501" s="53">
        <f>IF(P3501="","",IF(H3501="USD",G3501*R3501,G3501))</f>
        <v/>
      </c>
      <c r="T3501" s="53">
        <f>IF(P3501="","",IF(H3501="USD",G3501,IF(R3501&gt;0,G3501/R3501,0)))</f>
        <v/>
      </c>
      <c r="U3501" s="53">
        <f>IF(P3501="","",IF(P3501="Gasto",S3501,IF(P3501="Reembolso",-S3501,0)))</f>
        <v/>
      </c>
      <c r="V3501" s="53">
        <f>IF(P3501="","",IF(P3501="Ingreso",S3501,0))</f>
        <v/>
      </c>
      <c r="W3501" s="53">
        <f>IF(P3501="","",IF(P3501="Resultado trading",S3501,0))</f>
        <v/>
      </c>
      <c r="X3501" s="52">
        <f>IF(OR(P3501="Gasto",P3501="Reembolso"),IF(M3501&lt;&gt;"",M3501,IFERROR(INDEX(catClasif,MATCH(D3501&amp;"|"&amp;E3501,catClave,0))&amp;"","Variable")),"")</f>
        <v/>
      </c>
      <c r="Y3501" s="52">
        <f>IF(P3501="","",IFERROR(INDEX(catGrupo,MATCH(D3501&amp;"|"&amp;E3501,catClave,0))&amp;"",""))</f>
        <v/>
      </c>
      <c r="Z3501" s="52">
        <f>IF(P3501="","",WEEKDAY(B3501,2))</f>
        <v/>
      </c>
      <c r="AA3501" s="52">
        <f>IF(P3501="","",IF(AND(P3501="Gasto",X3501="Variable",D3501&lt;&gt;catTrading,S3501&gt;0,S3501&lt;=Umbral),1,0))</f>
        <v/>
      </c>
      <c r="AB3501" s="52">
        <f>IF(OR(P3501="",Q3501=""),"",IFERROR(IF(INDEX(ctaVinc,MATCH(Q3501,ctaNombre,0))&amp;""&lt;&gt;"",INDEX(ctaVinc,MATCH(Q3501,ctaNombre,0))&amp;"",Q3501),Q3501))</f>
        <v/>
      </c>
      <c r="AC3501" s="52">
        <f>IF(OR(K3501="",AND(P3501&lt;&gt;"Transferencia",P3501&lt;&gt;"Pago tarjeta")),"",IFERROR(IF(INDEX(ctaVinc,MATCH(K3501,ctaNombre,0))&amp;""&lt;&gt;"",INDEX(ctaVinc,MATCH(K3501,ctaNombre,0))&amp;"",K3501),K3501))</f>
        <v/>
      </c>
      <c r="AD3501" s="52">
        <f>IF(AB3501="","",IFERROR(INDEX(ctaTipo,MATCH(AB3501,ctaNombre,0))&amp;"",""))</f>
        <v/>
      </c>
      <c r="AE3501" s="52">
        <f>IF(AC3501="","",IFERROR(INDEX(ctaTipo,MATCH(AC3501,ctaNombre,0))&amp;"",""))</f>
        <v/>
      </c>
      <c r="AF3501" s="53">
        <f>IF(OR(P3501="",AB3501=""),"",IF(OR(P3501="Gasto",P3501="Transferencia",P3501="Pago tarjeta"),-1,1)*IF(IFERROR(INDEX(ctaMoneda,MATCH(AB3501,ctaNombre,0))&amp;"","DOP")="USD",T3501,S3501))</f>
        <v/>
      </c>
      <c r="AG3501" s="53">
        <f>IF(AC3501="","",IF(IFERROR(INDEX(ctaMoneda,MATCH(AC3501,ctaNombre,0))&amp;"","DOP")="USD",T3501,S3501))</f>
        <v/>
      </c>
      <c r="AH3501" s="53">
        <f>IF(P3501="","",IF(AND(AD3501&lt;&gt;"",COUNTIFS(tcTipo,AD3501,tcLiq,"Sí")&gt;0),IF(OR(P3501="Gasto",P3501="Transferencia",P3501="Pago tarjeta"),-1,1)*S3501,0)+IF(AND(AE3501&lt;&gt;"",COUNTIFS(tcTipo,AE3501,tcLiq,"Sí")&gt;0),S3501,0))</f>
        <v/>
      </c>
      <c r="AI3501" s="52">
        <f>IF(OR(L3501="",P3501=""),"",IF(COUNTIFS(L$6:L3501,L3501,P$6:P3501,"?*")=1,MAX(AI$5:AI3500)+1,""))</f>
        <v/>
      </c>
    </row>
    <row r="3502">
      <c r="B3502" s="47" t="n"/>
      <c r="C3502" s="48" t="n"/>
      <c r="D3502" s="48" t="n"/>
      <c r="E3502" s="48" t="n"/>
      <c r="F3502" s="48" t="n"/>
      <c r="G3502" s="49" t="n"/>
      <c r="H3502" s="48" t="n"/>
      <c r="I3502" s="50" t="n"/>
      <c r="J3502" s="48" t="n"/>
      <c r="K3502" s="48" t="n"/>
      <c r="L3502" s="48" t="n"/>
      <c r="M3502" s="48" t="n"/>
      <c r="N3502" s="48" t="n"/>
      <c r="O3502" s="51">
        <f>IF(AND(B3502="",G3502="",C3502="",D3502="",J3502=""),"",IF(B3502="","⚠ Falta fecha",IF(G3502="","⚠ Falta monto",IF(Q3502="","⚠ Falta cuenta",IF(ISNA(MATCH(Q3502,ctaNombre,0)),"⚠ Cuenta no registrada",IF(AND(OR(P3502="Gasto",P3502="Reembolso"),D3502=""),"⚠ Falta categoría",IF(AND(D3502&lt;&gt;"",E3502&lt;&gt;"",ISNA(MATCH(D3502&amp;"|"&amp;E3502,catClave,0))),"⚠ Subcategoría no corresponde",IF(AND(OR(P3502="Transferencia",P3502="Pago tarjeta"),K3502=""),"⚠ Falta cuenta destino",IF(AND(K3502&lt;&gt;"",P3502&lt;&gt;"Transferencia",P3502&lt;&gt;"Pago tarjeta"),"⚠ Destino solo aplica a transferencias",IF(AND(K3502&lt;&gt;"",K3502=Q3502),"⚠ Origen igual a destino",IF(AND(K3502&lt;&gt;"",ISNA(MATCH(K3502,ctaNombre,0))),"⚠ Destino no registrado",IF(AND(P3502="Pago tarjeta",AE3502&lt;&gt;"Tarjeta de crédito"),"⚠ El destino debe ser tarjeta de crédito",IF(AND(P3502="Gasto",E3502="Depósitos y retiros"),"⚠ Usa tipo Transferencia",IF(AND(P3502="Resultado trading",AD3502&lt;&gt;"Cuenta de trading"),"⚠ Usa una cuenta de trading",IF(AND(G3502&lt;=0,P3502&lt;&gt;"Ajuste",P3502&lt;&gt;"Resultado trading"),"⚠ El monto debe ser positivo","✓")))))))))))))))</f>
        <v/>
      </c>
      <c r="P3502" s="52">
        <f>IF(OR(B3502="",G3502=""),"",IF(C3502="","Gasto",C3502))</f>
        <v/>
      </c>
      <c r="Q3502" s="52">
        <f>IF(P3502="","",IF(J3502&lt;&gt;"",J3502,CuentaPred&amp;""))</f>
        <v/>
      </c>
      <c r="R3502" s="52">
        <f>IF(P3502="","",IF(ISNUMBER(I3502),I3502,TasaUSD))</f>
        <v/>
      </c>
      <c r="S3502" s="53">
        <f>IF(P3502="","",IF(H3502="USD",G3502*R3502,G3502))</f>
        <v/>
      </c>
      <c r="T3502" s="53">
        <f>IF(P3502="","",IF(H3502="USD",G3502,IF(R3502&gt;0,G3502/R3502,0)))</f>
        <v/>
      </c>
      <c r="U3502" s="53">
        <f>IF(P3502="","",IF(P3502="Gasto",S3502,IF(P3502="Reembolso",-S3502,0)))</f>
        <v/>
      </c>
      <c r="V3502" s="53">
        <f>IF(P3502="","",IF(P3502="Ingreso",S3502,0))</f>
        <v/>
      </c>
      <c r="W3502" s="53">
        <f>IF(P3502="","",IF(P3502="Resultado trading",S3502,0))</f>
        <v/>
      </c>
      <c r="X3502" s="52">
        <f>IF(OR(P3502="Gasto",P3502="Reembolso"),IF(M3502&lt;&gt;"",M3502,IFERROR(INDEX(catClasif,MATCH(D3502&amp;"|"&amp;E3502,catClave,0))&amp;"","Variable")),"")</f>
        <v/>
      </c>
      <c r="Y3502" s="52">
        <f>IF(P3502="","",IFERROR(INDEX(catGrupo,MATCH(D3502&amp;"|"&amp;E3502,catClave,0))&amp;"",""))</f>
        <v/>
      </c>
      <c r="Z3502" s="52">
        <f>IF(P3502="","",WEEKDAY(B3502,2))</f>
        <v/>
      </c>
      <c r="AA3502" s="52">
        <f>IF(P3502="","",IF(AND(P3502="Gasto",X3502="Variable",D3502&lt;&gt;catTrading,S3502&gt;0,S3502&lt;=Umbral),1,0))</f>
        <v/>
      </c>
      <c r="AB3502" s="52">
        <f>IF(OR(P3502="",Q3502=""),"",IFERROR(IF(INDEX(ctaVinc,MATCH(Q3502,ctaNombre,0))&amp;""&lt;&gt;"",INDEX(ctaVinc,MATCH(Q3502,ctaNombre,0))&amp;"",Q3502),Q3502))</f>
        <v/>
      </c>
      <c r="AC3502" s="52">
        <f>IF(OR(K3502="",AND(P3502&lt;&gt;"Transferencia",P3502&lt;&gt;"Pago tarjeta")),"",IFERROR(IF(INDEX(ctaVinc,MATCH(K3502,ctaNombre,0))&amp;""&lt;&gt;"",INDEX(ctaVinc,MATCH(K3502,ctaNombre,0))&amp;"",K3502),K3502))</f>
        <v/>
      </c>
      <c r="AD3502" s="52">
        <f>IF(AB3502="","",IFERROR(INDEX(ctaTipo,MATCH(AB3502,ctaNombre,0))&amp;"",""))</f>
        <v/>
      </c>
      <c r="AE3502" s="52">
        <f>IF(AC3502="","",IFERROR(INDEX(ctaTipo,MATCH(AC3502,ctaNombre,0))&amp;"",""))</f>
        <v/>
      </c>
      <c r="AF3502" s="53">
        <f>IF(OR(P3502="",AB3502=""),"",IF(OR(P3502="Gasto",P3502="Transferencia",P3502="Pago tarjeta"),-1,1)*IF(IFERROR(INDEX(ctaMoneda,MATCH(AB3502,ctaNombre,0))&amp;"","DOP")="USD",T3502,S3502))</f>
        <v/>
      </c>
      <c r="AG3502" s="53">
        <f>IF(AC3502="","",IF(IFERROR(INDEX(ctaMoneda,MATCH(AC3502,ctaNombre,0))&amp;"","DOP")="USD",T3502,S3502))</f>
        <v/>
      </c>
      <c r="AH3502" s="53">
        <f>IF(P3502="","",IF(AND(AD3502&lt;&gt;"",COUNTIFS(tcTipo,AD3502,tcLiq,"Sí")&gt;0),IF(OR(P3502="Gasto",P3502="Transferencia",P3502="Pago tarjeta"),-1,1)*S3502,0)+IF(AND(AE3502&lt;&gt;"",COUNTIFS(tcTipo,AE3502,tcLiq,"Sí")&gt;0),S3502,0))</f>
        <v/>
      </c>
      <c r="AI3502" s="52">
        <f>IF(OR(L3502="",P3502=""),"",IF(COUNTIFS(L$6:L3502,L3502,P$6:P3502,"?*")=1,MAX(AI$5:AI3501)+1,""))</f>
        <v/>
      </c>
    </row>
    <row r="3503">
      <c r="B3503" s="47" t="n"/>
      <c r="C3503" s="48" t="n"/>
      <c r="D3503" s="48" t="n"/>
      <c r="E3503" s="48" t="n"/>
      <c r="F3503" s="48" t="n"/>
      <c r="G3503" s="49" t="n"/>
      <c r="H3503" s="48" t="n"/>
      <c r="I3503" s="50" t="n"/>
      <c r="J3503" s="48" t="n"/>
      <c r="K3503" s="48" t="n"/>
      <c r="L3503" s="48" t="n"/>
      <c r="M3503" s="48" t="n"/>
      <c r="N3503" s="48" t="n"/>
      <c r="O3503" s="51">
        <f>IF(AND(B3503="",G3503="",C3503="",D3503="",J3503=""),"",IF(B3503="","⚠ Falta fecha",IF(G3503="","⚠ Falta monto",IF(Q3503="","⚠ Falta cuenta",IF(ISNA(MATCH(Q3503,ctaNombre,0)),"⚠ Cuenta no registrada",IF(AND(OR(P3503="Gasto",P3503="Reembolso"),D3503=""),"⚠ Falta categoría",IF(AND(D3503&lt;&gt;"",E3503&lt;&gt;"",ISNA(MATCH(D3503&amp;"|"&amp;E3503,catClave,0))),"⚠ Subcategoría no corresponde",IF(AND(OR(P3503="Transferencia",P3503="Pago tarjeta"),K3503=""),"⚠ Falta cuenta destino",IF(AND(K3503&lt;&gt;"",P3503&lt;&gt;"Transferencia",P3503&lt;&gt;"Pago tarjeta"),"⚠ Destino solo aplica a transferencias",IF(AND(K3503&lt;&gt;"",K3503=Q3503),"⚠ Origen igual a destino",IF(AND(K3503&lt;&gt;"",ISNA(MATCH(K3503,ctaNombre,0))),"⚠ Destino no registrado",IF(AND(P3503="Pago tarjeta",AE3503&lt;&gt;"Tarjeta de crédito"),"⚠ El destino debe ser tarjeta de crédito",IF(AND(P3503="Gasto",E3503="Depósitos y retiros"),"⚠ Usa tipo Transferencia",IF(AND(P3503="Resultado trading",AD3503&lt;&gt;"Cuenta de trading"),"⚠ Usa una cuenta de trading",IF(AND(G3503&lt;=0,P3503&lt;&gt;"Ajuste",P3503&lt;&gt;"Resultado trading"),"⚠ El monto debe ser positivo","✓")))))))))))))))</f>
        <v/>
      </c>
      <c r="P3503" s="52">
        <f>IF(OR(B3503="",G3503=""),"",IF(C3503="","Gasto",C3503))</f>
        <v/>
      </c>
      <c r="Q3503" s="52">
        <f>IF(P3503="","",IF(J3503&lt;&gt;"",J3503,CuentaPred&amp;""))</f>
        <v/>
      </c>
      <c r="R3503" s="52">
        <f>IF(P3503="","",IF(ISNUMBER(I3503),I3503,TasaUSD))</f>
        <v/>
      </c>
      <c r="S3503" s="53">
        <f>IF(P3503="","",IF(H3503="USD",G3503*R3503,G3503))</f>
        <v/>
      </c>
      <c r="T3503" s="53">
        <f>IF(P3503="","",IF(H3503="USD",G3503,IF(R3503&gt;0,G3503/R3503,0)))</f>
        <v/>
      </c>
      <c r="U3503" s="53">
        <f>IF(P3503="","",IF(P3503="Gasto",S3503,IF(P3503="Reembolso",-S3503,0)))</f>
        <v/>
      </c>
      <c r="V3503" s="53">
        <f>IF(P3503="","",IF(P3503="Ingreso",S3503,0))</f>
        <v/>
      </c>
      <c r="W3503" s="53">
        <f>IF(P3503="","",IF(P3503="Resultado trading",S3503,0))</f>
        <v/>
      </c>
      <c r="X3503" s="52">
        <f>IF(OR(P3503="Gasto",P3503="Reembolso"),IF(M3503&lt;&gt;"",M3503,IFERROR(INDEX(catClasif,MATCH(D3503&amp;"|"&amp;E3503,catClave,0))&amp;"","Variable")),"")</f>
        <v/>
      </c>
      <c r="Y3503" s="52">
        <f>IF(P3503="","",IFERROR(INDEX(catGrupo,MATCH(D3503&amp;"|"&amp;E3503,catClave,0))&amp;"",""))</f>
        <v/>
      </c>
      <c r="Z3503" s="52">
        <f>IF(P3503="","",WEEKDAY(B3503,2))</f>
        <v/>
      </c>
      <c r="AA3503" s="52">
        <f>IF(P3503="","",IF(AND(P3503="Gasto",X3503="Variable",D3503&lt;&gt;catTrading,S3503&gt;0,S3503&lt;=Umbral),1,0))</f>
        <v/>
      </c>
      <c r="AB3503" s="52">
        <f>IF(OR(P3503="",Q3503=""),"",IFERROR(IF(INDEX(ctaVinc,MATCH(Q3503,ctaNombre,0))&amp;""&lt;&gt;"",INDEX(ctaVinc,MATCH(Q3503,ctaNombre,0))&amp;"",Q3503),Q3503))</f>
        <v/>
      </c>
      <c r="AC3503" s="52">
        <f>IF(OR(K3503="",AND(P3503&lt;&gt;"Transferencia",P3503&lt;&gt;"Pago tarjeta")),"",IFERROR(IF(INDEX(ctaVinc,MATCH(K3503,ctaNombre,0))&amp;""&lt;&gt;"",INDEX(ctaVinc,MATCH(K3503,ctaNombre,0))&amp;"",K3503),K3503))</f>
        <v/>
      </c>
      <c r="AD3503" s="52">
        <f>IF(AB3503="","",IFERROR(INDEX(ctaTipo,MATCH(AB3503,ctaNombre,0))&amp;"",""))</f>
        <v/>
      </c>
      <c r="AE3503" s="52">
        <f>IF(AC3503="","",IFERROR(INDEX(ctaTipo,MATCH(AC3503,ctaNombre,0))&amp;"",""))</f>
        <v/>
      </c>
      <c r="AF3503" s="53">
        <f>IF(OR(P3503="",AB3503=""),"",IF(OR(P3503="Gasto",P3503="Transferencia",P3503="Pago tarjeta"),-1,1)*IF(IFERROR(INDEX(ctaMoneda,MATCH(AB3503,ctaNombre,0))&amp;"","DOP")="USD",T3503,S3503))</f>
        <v/>
      </c>
      <c r="AG3503" s="53">
        <f>IF(AC3503="","",IF(IFERROR(INDEX(ctaMoneda,MATCH(AC3503,ctaNombre,0))&amp;"","DOP")="USD",T3503,S3503))</f>
        <v/>
      </c>
      <c r="AH3503" s="53">
        <f>IF(P3503="","",IF(AND(AD3503&lt;&gt;"",COUNTIFS(tcTipo,AD3503,tcLiq,"Sí")&gt;0),IF(OR(P3503="Gasto",P3503="Transferencia",P3503="Pago tarjeta"),-1,1)*S3503,0)+IF(AND(AE3503&lt;&gt;"",COUNTIFS(tcTipo,AE3503,tcLiq,"Sí")&gt;0),S3503,0))</f>
        <v/>
      </c>
      <c r="AI3503" s="52">
        <f>IF(OR(L3503="",P3503=""),"",IF(COUNTIFS(L$6:L3503,L3503,P$6:P3503,"?*")=1,MAX(AI$5:AI3502)+1,""))</f>
        <v/>
      </c>
    </row>
    <row r="3504">
      <c r="B3504" s="47" t="n"/>
      <c r="C3504" s="48" t="n"/>
      <c r="D3504" s="48" t="n"/>
      <c r="E3504" s="48" t="n"/>
      <c r="F3504" s="48" t="n"/>
      <c r="G3504" s="49" t="n"/>
      <c r="H3504" s="48" t="n"/>
      <c r="I3504" s="50" t="n"/>
      <c r="J3504" s="48" t="n"/>
      <c r="K3504" s="48" t="n"/>
      <c r="L3504" s="48" t="n"/>
      <c r="M3504" s="48" t="n"/>
      <c r="N3504" s="48" t="n"/>
      <c r="O3504" s="51">
        <f>IF(AND(B3504="",G3504="",C3504="",D3504="",J3504=""),"",IF(B3504="","⚠ Falta fecha",IF(G3504="","⚠ Falta monto",IF(Q3504="","⚠ Falta cuenta",IF(ISNA(MATCH(Q3504,ctaNombre,0)),"⚠ Cuenta no registrada",IF(AND(OR(P3504="Gasto",P3504="Reembolso"),D3504=""),"⚠ Falta categoría",IF(AND(D3504&lt;&gt;"",E3504&lt;&gt;"",ISNA(MATCH(D3504&amp;"|"&amp;E3504,catClave,0))),"⚠ Subcategoría no corresponde",IF(AND(OR(P3504="Transferencia",P3504="Pago tarjeta"),K3504=""),"⚠ Falta cuenta destino",IF(AND(K3504&lt;&gt;"",P3504&lt;&gt;"Transferencia",P3504&lt;&gt;"Pago tarjeta"),"⚠ Destino solo aplica a transferencias",IF(AND(K3504&lt;&gt;"",K3504=Q3504),"⚠ Origen igual a destino",IF(AND(K3504&lt;&gt;"",ISNA(MATCH(K3504,ctaNombre,0))),"⚠ Destino no registrado",IF(AND(P3504="Pago tarjeta",AE3504&lt;&gt;"Tarjeta de crédito"),"⚠ El destino debe ser tarjeta de crédito",IF(AND(P3504="Gasto",E3504="Depósitos y retiros"),"⚠ Usa tipo Transferencia",IF(AND(P3504="Resultado trading",AD3504&lt;&gt;"Cuenta de trading"),"⚠ Usa una cuenta de trading",IF(AND(G3504&lt;=0,P3504&lt;&gt;"Ajuste",P3504&lt;&gt;"Resultado trading"),"⚠ El monto debe ser positivo","✓")))))))))))))))</f>
        <v/>
      </c>
      <c r="P3504" s="52">
        <f>IF(OR(B3504="",G3504=""),"",IF(C3504="","Gasto",C3504))</f>
        <v/>
      </c>
      <c r="Q3504" s="52">
        <f>IF(P3504="","",IF(J3504&lt;&gt;"",J3504,CuentaPred&amp;""))</f>
        <v/>
      </c>
      <c r="R3504" s="52">
        <f>IF(P3504="","",IF(ISNUMBER(I3504),I3504,TasaUSD))</f>
        <v/>
      </c>
      <c r="S3504" s="53">
        <f>IF(P3504="","",IF(H3504="USD",G3504*R3504,G3504))</f>
        <v/>
      </c>
      <c r="T3504" s="53">
        <f>IF(P3504="","",IF(H3504="USD",G3504,IF(R3504&gt;0,G3504/R3504,0)))</f>
        <v/>
      </c>
      <c r="U3504" s="53">
        <f>IF(P3504="","",IF(P3504="Gasto",S3504,IF(P3504="Reembolso",-S3504,0)))</f>
        <v/>
      </c>
      <c r="V3504" s="53">
        <f>IF(P3504="","",IF(P3504="Ingreso",S3504,0))</f>
        <v/>
      </c>
      <c r="W3504" s="53">
        <f>IF(P3504="","",IF(P3504="Resultado trading",S3504,0))</f>
        <v/>
      </c>
      <c r="X3504" s="52">
        <f>IF(OR(P3504="Gasto",P3504="Reembolso"),IF(M3504&lt;&gt;"",M3504,IFERROR(INDEX(catClasif,MATCH(D3504&amp;"|"&amp;E3504,catClave,0))&amp;"","Variable")),"")</f>
        <v/>
      </c>
      <c r="Y3504" s="52">
        <f>IF(P3504="","",IFERROR(INDEX(catGrupo,MATCH(D3504&amp;"|"&amp;E3504,catClave,0))&amp;"",""))</f>
        <v/>
      </c>
      <c r="Z3504" s="52">
        <f>IF(P3504="","",WEEKDAY(B3504,2))</f>
        <v/>
      </c>
      <c r="AA3504" s="52">
        <f>IF(P3504="","",IF(AND(P3504="Gasto",X3504="Variable",D3504&lt;&gt;catTrading,S3504&gt;0,S3504&lt;=Umbral),1,0))</f>
        <v/>
      </c>
      <c r="AB3504" s="52">
        <f>IF(OR(P3504="",Q3504=""),"",IFERROR(IF(INDEX(ctaVinc,MATCH(Q3504,ctaNombre,0))&amp;""&lt;&gt;"",INDEX(ctaVinc,MATCH(Q3504,ctaNombre,0))&amp;"",Q3504),Q3504))</f>
        <v/>
      </c>
      <c r="AC3504" s="52">
        <f>IF(OR(K3504="",AND(P3504&lt;&gt;"Transferencia",P3504&lt;&gt;"Pago tarjeta")),"",IFERROR(IF(INDEX(ctaVinc,MATCH(K3504,ctaNombre,0))&amp;""&lt;&gt;"",INDEX(ctaVinc,MATCH(K3504,ctaNombre,0))&amp;"",K3504),K3504))</f>
        <v/>
      </c>
      <c r="AD3504" s="52">
        <f>IF(AB3504="","",IFERROR(INDEX(ctaTipo,MATCH(AB3504,ctaNombre,0))&amp;"",""))</f>
        <v/>
      </c>
      <c r="AE3504" s="52">
        <f>IF(AC3504="","",IFERROR(INDEX(ctaTipo,MATCH(AC3504,ctaNombre,0))&amp;"",""))</f>
        <v/>
      </c>
      <c r="AF3504" s="53">
        <f>IF(OR(P3504="",AB3504=""),"",IF(OR(P3504="Gasto",P3504="Transferencia",P3504="Pago tarjeta"),-1,1)*IF(IFERROR(INDEX(ctaMoneda,MATCH(AB3504,ctaNombre,0))&amp;"","DOP")="USD",T3504,S3504))</f>
        <v/>
      </c>
      <c r="AG3504" s="53">
        <f>IF(AC3504="","",IF(IFERROR(INDEX(ctaMoneda,MATCH(AC3504,ctaNombre,0))&amp;"","DOP")="USD",T3504,S3504))</f>
        <v/>
      </c>
      <c r="AH3504" s="53">
        <f>IF(P3504="","",IF(AND(AD3504&lt;&gt;"",COUNTIFS(tcTipo,AD3504,tcLiq,"Sí")&gt;0),IF(OR(P3504="Gasto",P3504="Transferencia",P3504="Pago tarjeta"),-1,1)*S3504,0)+IF(AND(AE3504&lt;&gt;"",COUNTIFS(tcTipo,AE3504,tcLiq,"Sí")&gt;0),S3504,0))</f>
        <v/>
      </c>
      <c r="AI3504" s="52">
        <f>IF(OR(L3504="",P3504=""),"",IF(COUNTIFS(L$6:L3504,L3504,P$6:P3504,"?*")=1,MAX(AI$5:AI3503)+1,""))</f>
        <v/>
      </c>
    </row>
    <row r="3505">
      <c r="B3505" s="47" t="n"/>
      <c r="C3505" s="48" t="n"/>
      <c r="D3505" s="48" t="n"/>
      <c r="E3505" s="48" t="n"/>
      <c r="F3505" s="48" t="n"/>
      <c r="G3505" s="49" t="n"/>
      <c r="H3505" s="48" t="n"/>
      <c r="I3505" s="50" t="n"/>
      <c r="J3505" s="48" t="n"/>
      <c r="K3505" s="48" t="n"/>
      <c r="L3505" s="48" t="n"/>
      <c r="M3505" s="48" t="n"/>
      <c r="N3505" s="48" t="n"/>
      <c r="O3505" s="51">
        <f>IF(AND(B3505="",G3505="",C3505="",D3505="",J3505=""),"",IF(B3505="","⚠ Falta fecha",IF(G3505="","⚠ Falta monto",IF(Q3505="","⚠ Falta cuenta",IF(ISNA(MATCH(Q3505,ctaNombre,0)),"⚠ Cuenta no registrada",IF(AND(OR(P3505="Gasto",P3505="Reembolso"),D3505=""),"⚠ Falta categoría",IF(AND(D3505&lt;&gt;"",E3505&lt;&gt;"",ISNA(MATCH(D3505&amp;"|"&amp;E3505,catClave,0))),"⚠ Subcategoría no corresponde",IF(AND(OR(P3505="Transferencia",P3505="Pago tarjeta"),K3505=""),"⚠ Falta cuenta destino",IF(AND(K3505&lt;&gt;"",P3505&lt;&gt;"Transferencia",P3505&lt;&gt;"Pago tarjeta"),"⚠ Destino solo aplica a transferencias",IF(AND(K3505&lt;&gt;"",K3505=Q3505),"⚠ Origen igual a destino",IF(AND(K3505&lt;&gt;"",ISNA(MATCH(K3505,ctaNombre,0))),"⚠ Destino no registrado",IF(AND(P3505="Pago tarjeta",AE3505&lt;&gt;"Tarjeta de crédito"),"⚠ El destino debe ser tarjeta de crédito",IF(AND(P3505="Gasto",E3505="Depósitos y retiros"),"⚠ Usa tipo Transferencia",IF(AND(P3505="Resultado trading",AD3505&lt;&gt;"Cuenta de trading"),"⚠ Usa una cuenta de trading",IF(AND(G3505&lt;=0,P3505&lt;&gt;"Ajuste",P3505&lt;&gt;"Resultado trading"),"⚠ El monto debe ser positivo","✓")))))))))))))))</f>
        <v/>
      </c>
      <c r="P3505" s="52">
        <f>IF(OR(B3505="",G3505=""),"",IF(C3505="","Gasto",C3505))</f>
        <v/>
      </c>
      <c r="Q3505" s="52">
        <f>IF(P3505="","",IF(J3505&lt;&gt;"",J3505,CuentaPred&amp;""))</f>
        <v/>
      </c>
      <c r="R3505" s="52">
        <f>IF(P3505="","",IF(ISNUMBER(I3505),I3505,TasaUSD))</f>
        <v/>
      </c>
      <c r="S3505" s="53">
        <f>IF(P3505="","",IF(H3505="USD",G3505*R3505,G3505))</f>
        <v/>
      </c>
      <c r="T3505" s="53">
        <f>IF(P3505="","",IF(H3505="USD",G3505,IF(R3505&gt;0,G3505/R3505,0)))</f>
        <v/>
      </c>
      <c r="U3505" s="53">
        <f>IF(P3505="","",IF(P3505="Gasto",S3505,IF(P3505="Reembolso",-S3505,0)))</f>
        <v/>
      </c>
      <c r="V3505" s="53">
        <f>IF(P3505="","",IF(P3505="Ingreso",S3505,0))</f>
        <v/>
      </c>
      <c r="W3505" s="53">
        <f>IF(P3505="","",IF(P3505="Resultado trading",S3505,0))</f>
        <v/>
      </c>
      <c r="X3505" s="52">
        <f>IF(OR(P3505="Gasto",P3505="Reembolso"),IF(M3505&lt;&gt;"",M3505,IFERROR(INDEX(catClasif,MATCH(D3505&amp;"|"&amp;E3505,catClave,0))&amp;"","Variable")),"")</f>
        <v/>
      </c>
      <c r="Y3505" s="52">
        <f>IF(P3505="","",IFERROR(INDEX(catGrupo,MATCH(D3505&amp;"|"&amp;E3505,catClave,0))&amp;"",""))</f>
        <v/>
      </c>
      <c r="Z3505" s="52">
        <f>IF(P3505="","",WEEKDAY(B3505,2))</f>
        <v/>
      </c>
      <c r="AA3505" s="52">
        <f>IF(P3505="","",IF(AND(P3505="Gasto",X3505="Variable",D3505&lt;&gt;catTrading,S3505&gt;0,S3505&lt;=Umbral),1,0))</f>
        <v/>
      </c>
      <c r="AB3505" s="52">
        <f>IF(OR(P3505="",Q3505=""),"",IFERROR(IF(INDEX(ctaVinc,MATCH(Q3505,ctaNombre,0))&amp;""&lt;&gt;"",INDEX(ctaVinc,MATCH(Q3505,ctaNombre,0))&amp;"",Q3505),Q3505))</f>
        <v/>
      </c>
      <c r="AC3505" s="52">
        <f>IF(OR(K3505="",AND(P3505&lt;&gt;"Transferencia",P3505&lt;&gt;"Pago tarjeta")),"",IFERROR(IF(INDEX(ctaVinc,MATCH(K3505,ctaNombre,0))&amp;""&lt;&gt;"",INDEX(ctaVinc,MATCH(K3505,ctaNombre,0))&amp;"",K3505),K3505))</f>
        <v/>
      </c>
      <c r="AD3505" s="52">
        <f>IF(AB3505="","",IFERROR(INDEX(ctaTipo,MATCH(AB3505,ctaNombre,0))&amp;"",""))</f>
        <v/>
      </c>
      <c r="AE3505" s="52">
        <f>IF(AC3505="","",IFERROR(INDEX(ctaTipo,MATCH(AC3505,ctaNombre,0))&amp;"",""))</f>
        <v/>
      </c>
      <c r="AF3505" s="53">
        <f>IF(OR(P3505="",AB3505=""),"",IF(OR(P3505="Gasto",P3505="Transferencia",P3505="Pago tarjeta"),-1,1)*IF(IFERROR(INDEX(ctaMoneda,MATCH(AB3505,ctaNombre,0))&amp;"","DOP")="USD",T3505,S3505))</f>
        <v/>
      </c>
      <c r="AG3505" s="53">
        <f>IF(AC3505="","",IF(IFERROR(INDEX(ctaMoneda,MATCH(AC3505,ctaNombre,0))&amp;"","DOP")="USD",T3505,S3505))</f>
        <v/>
      </c>
      <c r="AH3505" s="53">
        <f>IF(P3505="","",IF(AND(AD3505&lt;&gt;"",COUNTIFS(tcTipo,AD3505,tcLiq,"Sí")&gt;0),IF(OR(P3505="Gasto",P3505="Transferencia",P3505="Pago tarjeta"),-1,1)*S3505,0)+IF(AND(AE3505&lt;&gt;"",COUNTIFS(tcTipo,AE3505,tcLiq,"Sí")&gt;0),S3505,0))</f>
        <v/>
      </c>
      <c r="AI3505" s="52">
        <f>IF(OR(L3505="",P3505=""),"",IF(COUNTIFS(L$6:L3505,L3505,P$6:P3505,"?*")=1,MAX(AI$5:AI3504)+1,""))</f>
        <v/>
      </c>
    </row>
    <row r="3506">
      <c r="B3506" s="47" t="n"/>
      <c r="C3506" s="48" t="n"/>
      <c r="D3506" s="48" t="n"/>
      <c r="E3506" s="48" t="n"/>
      <c r="F3506" s="48" t="n"/>
      <c r="G3506" s="49" t="n"/>
      <c r="H3506" s="48" t="n"/>
      <c r="I3506" s="50" t="n"/>
      <c r="J3506" s="48" t="n"/>
      <c r="K3506" s="48" t="n"/>
      <c r="L3506" s="48" t="n"/>
      <c r="M3506" s="48" t="n"/>
      <c r="N3506" s="48" t="n"/>
      <c r="O3506" s="51">
        <f>IF(AND(B3506="",G3506="",C3506="",D3506="",J3506=""),"",IF(B3506="","⚠ Falta fecha",IF(G3506="","⚠ Falta monto",IF(Q3506="","⚠ Falta cuenta",IF(ISNA(MATCH(Q3506,ctaNombre,0)),"⚠ Cuenta no registrada",IF(AND(OR(P3506="Gasto",P3506="Reembolso"),D3506=""),"⚠ Falta categoría",IF(AND(D3506&lt;&gt;"",E3506&lt;&gt;"",ISNA(MATCH(D3506&amp;"|"&amp;E3506,catClave,0))),"⚠ Subcategoría no corresponde",IF(AND(OR(P3506="Transferencia",P3506="Pago tarjeta"),K3506=""),"⚠ Falta cuenta destino",IF(AND(K3506&lt;&gt;"",P3506&lt;&gt;"Transferencia",P3506&lt;&gt;"Pago tarjeta"),"⚠ Destino solo aplica a transferencias",IF(AND(K3506&lt;&gt;"",K3506=Q3506),"⚠ Origen igual a destino",IF(AND(K3506&lt;&gt;"",ISNA(MATCH(K3506,ctaNombre,0))),"⚠ Destino no registrado",IF(AND(P3506="Pago tarjeta",AE3506&lt;&gt;"Tarjeta de crédito"),"⚠ El destino debe ser tarjeta de crédito",IF(AND(P3506="Gasto",E3506="Depósitos y retiros"),"⚠ Usa tipo Transferencia",IF(AND(P3506="Resultado trading",AD3506&lt;&gt;"Cuenta de trading"),"⚠ Usa una cuenta de trading",IF(AND(G3506&lt;=0,P3506&lt;&gt;"Ajuste",P3506&lt;&gt;"Resultado trading"),"⚠ El monto debe ser positivo","✓")))))))))))))))</f>
        <v/>
      </c>
      <c r="P3506" s="52">
        <f>IF(OR(B3506="",G3506=""),"",IF(C3506="","Gasto",C3506))</f>
        <v/>
      </c>
      <c r="Q3506" s="52">
        <f>IF(P3506="","",IF(J3506&lt;&gt;"",J3506,CuentaPred&amp;""))</f>
        <v/>
      </c>
      <c r="R3506" s="52">
        <f>IF(P3506="","",IF(ISNUMBER(I3506),I3506,TasaUSD))</f>
        <v/>
      </c>
      <c r="S3506" s="53">
        <f>IF(P3506="","",IF(H3506="USD",G3506*R3506,G3506))</f>
        <v/>
      </c>
      <c r="T3506" s="53">
        <f>IF(P3506="","",IF(H3506="USD",G3506,IF(R3506&gt;0,G3506/R3506,0)))</f>
        <v/>
      </c>
      <c r="U3506" s="53">
        <f>IF(P3506="","",IF(P3506="Gasto",S3506,IF(P3506="Reembolso",-S3506,0)))</f>
        <v/>
      </c>
      <c r="V3506" s="53">
        <f>IF(P3506="","",IF(P3506="Ingreso",S3506,0))</f>
        <v/>
      </c>
      <c r="W3506" s="53">
        <f>IF(P3506="","",IF(P3506="Resultado trading",S3506,0))</f>
        <v/>
      </c>
      <c r="X3506" s="52">
        <f>IF(OR(P3506="Gasto",P3506="Reembolso"),IF(M3506&lt;&gt;"",M3506,IFERROR(INDEX(catClasif,MATCH(D3506&amp;"|"&amp;E3506,catClave,0))&amp;"","Variable")),"")</f>
        <v/>
      </c>
      <c r="Y3506" s="52">
        <f>IF(P3506="","",IFERROR(INDEX(catGrupo,MATCH(D3506&amp;"|"&amp;E3506,catClave,0))&amp;"",""))</f>
        <v/>
      </c>
      <c r="Z3506" s="52">
        <f>IF(P3506="","",WEEKDAY(B3506,2))</f>
        <v/>
      </c>
      <c r="AA3506" s="52">
        <f>IF(P3506="","",IF(AND(P3506="Gasto",X3506="Variable",D3506&lt;&gt;catTrading,S3506&gt;0,S3506&lt;=Umbral),1,0))</f>
        <v/>
      </c>
      <c r="AB3506" s="52">
        <f>IF(OR(P3506="",Q3506=""),"",IFERROR(IF(INDEX(ctaVinc,MATCH(Q3506,ctaNombre,0))&amp;""&lt;&gt;"",INDEX(ctaVinc,MATCH(Q3506,ctaNombre,0))&amp;"",Q3506),Q3506))</f>
        <v/>
      </c>
      <c r="AC3506" s="52">
        <f>IF(OR(K3506="",AND(P3506&lt;&gt;"Transferencia",P3506&lt;&gt;"Pago tarjeta")),"",IFERROR(IF(INDEX(ctaVinc,MATCH(K3506,ctaNombre,0))&amp;""&lt;&gt;"",INDEX(ctaVinc,MATCH(K3506,ctaNombre,0))&amp;"",K3506),K3506))</f>
        <v/>
      </c>
      <c r="AD3506" s="52">
        <f>IF(AB3506="","",IFERROR(INDEX(ctaTipo,MATCH(AB3506,ctaNombre,0))&amp;"",""))</f>
        <v/>
      </c>
      <c r="AE3506" s="52">
        <f>IF(AC3506="","",IFERROR(INDEX(ctaTipo,MATCH(AC3506,ctaNombre,0))&amp;"",""))</f>
        <v/>
      </c>
      <c r="AF3506" s="53">
        <f>IF(OR(P3506="",AB3506=""),"",IF(OR(P3506="Gasto",P3506="Transferencia",P3506="Pago tarjeta"),-1,1)*IF(IFERROR(INDEX(ctaMoneda,MATCH(AB3506,ctaNombre,0))&amp;"","DOP")="USD",T3506,S3506))</f>
        <v/>
      </c>
      <c r="AG3506" s="53">
        <f>IF(AC3506="","",IF(IFERROR(INDEX(ctaMoneda,MATCH(AC3506,ctaNombre,0))&amp;"","DOP")="USD",T3506,S3506))</f>
        <v/>
      </c>
      <c r="AH3506" s="53">
        <f>IF(P3506="","",IF(AND(AD3506&lt;&gt;"",COUNTIFS(tcTipo,AD3506,tcLiq,"Sí")&gt;0),IF(OR(P3506="Gasto",P3506="Transferencia",P3506="Pago tarjeta"),-1,1)*S3506,0)+IF(AND(AE3506&lt;&gt;"",COUNTIFS(tcTipo,AE3506,tcLiq,"Sí")&gt;0),S3506,0))</f>
        <v/>
      </c>
      <c r="AI3506" s="52">
        <f>IF(OR(L3506="",P3506=""),"",IF(COUNTIFS(L$6:L3506,L3506,P$6:P3506,"?*")=1,MAX(AI$5:AI3505)+1,""))</f>
        <v/>
      </c>
    </row>
    <row r="3507">
      <c r="B3507" s="47" t="n"/>
      <c r="C3507" s="48" t="n"/>
      <c r="D3507" s="48" t="n"/>
      <c r="E3507" s="48" t="n"/>
      <c r="F3507" s="48" t="n"/>
      <c r="G3507" s="49" t="n"/>
      <c r="H3507" s="48" t="n"/>
      <c r="I3507" s="50" t="n"/>
      <c r="J3507" s="48" t="n"/>
      <c r="K3507" s="48" t="n"/>
      <c r="L3507" s="48" t="n"/>
      <c r="M3507" s="48" t="n"/>
      <c r="N3507" s="48" t="n"/>
      <c r="O3507" s="51">
        <f>IF(AND(B3507="",G3507="",C3507="",D3507="",J3507=""),"",IF(B3507="","⚠ Falta fecha",IF(G3507="","⚠ Falta monto",IF(Q3507="","⚠ Falta cuenta",IF(ISNA(MATCH(Q3507,ctaNombre,0)),"⚠ Cuenta no registrada",IF(AND(OR(P3507="Gasto",P3507="Reembolso"),D3507=""),"⚠ Falta categoría",IF(AND(D3507&lt;&gt;"",E3507&lt;&gt;"",ISNA(MATCH(D3507&amp;"|"&amp;E3507,catClave,0))),"⚠ Subcategoría no corresponde",IF(AND(OR(P3507="Transferencia",P3507="Pago tarjeta"),K3507=""),"⚠ Falta cuenta destino",IF(AND(K3507&lt;&gt;"",P3507&lt;&gt;"Transferencia",P3507&lt;&gt;"Pago tarjeta"),"⚠ Destino solo aplica a transferencias",IF(AND(K3507&lt;&gt;"",K3507=Q3507),"⚠ Origen igual a destino",IF(AND(K3507&lt;&gt;"",ISNA(MATCH(K3507,ctaNombre,0))),"⚠ Destino no registrado",IF(AND(P3507="Pago tarjeta",AE3507&lt;&gt;"Tarjeta de crédito"),"⚠ El destino debe ser tarjeta de crédito",IF(AND(P3507="Gasto",E3507="Depósitos y retiros"),"⚠ Usa tipo Transferencia",IF(AND(P3507="Resultado trading",AD3507&lt;&gt;"Cuenta de trading"),"⚠ Usa una cuenta de trading",IF(AND(G3507&lt;=0,P3507&lt;&gt;"Ajuste",P3507&lt;&gt;"Resultado trading"),"⚠ El monto debe ser positivo","✓")))))))))))))))</f>
        <v/>
      </c>
      <c r="P3507" s="52">
        <f>IF(OR(B3507="",G3507=""),"",IF(C3507="","Gasto",C3507))</f>
        <v/>
      </c>
      <c r="Q3507" s="52">
        <f>IF(P3507="","",IF(J3507&lt;&gt;"",J3507,CuentaPred&amp;""))</f>
        <v/>
      </c>
      <c r="R3507" s="52">
        <f>IF(P3507="","",IF(ISNUMBER(I3507),I3507,TasaUSD))</f>
        <v/>
      </c>
      <c r="S3507" s="53">
        <f>IF(P3507="","",IF(H3507="USD",G3507*R3507,G3507))</f>
        <v/>
      </c>
      <c r="T3507" s="53">
        <f>IF(P3507="","",IF(H3507="USD",G3507,IF(R3507&gt;0,G3507/R3507,0)))</f>
        <v/>
      </c>
      <c r="U3507" s="53">
        <f>IF(P3507="","",IF(P3507="Gasto",S3507,IF(P3507="Reembolso",-S3507,0)))</f>
        <v/>
      </c>
      <c r="V3507" s="53">
        <f>IF(P3507="","",IF(P3507="Ingreso",S3507,0))</f>
        <v/>
      </c>
      <c r="W3507" s="53">
        <f>IF(P3507="","",IF(P3507="Resultado trading",S3507,0))</f>
        <v/>
      </c>
      <c r="X3507" s="52">
        <f>IF(OR(P3507="Gasto",P3507="Reembolso"),IF(M3507&lt;&gt;"",M3507,IFERROR(INDEX(catClasif,MATCH(D3507&amp;"|"&amp;E3507,catClave,0))&amp;"","Variable")),"")</f>
        <v/>
      </c>
      <c r="Y3507" s="52">
        <f>IF(P3507="","",IFERROR(INDEX(catGrupo,MATCH(D3507&amp;"|"&amp;E3507,catClave,0))&amp;"",""))</f>
        <v/>
      </c>
      <c r="Z3507" s="52">
        <f>IF(P3507="","",WEEKDAY(B3507,2))</f>
        <v/>
      </c>
      <c r="AA3507" s="52">
        <f>IF(P3507="","",IF(AND(P3507="Gasto",X3507="Variable",D3507&lt;&gt;catTrading,S3507&gt;0,S3507&lt;=Umbral),1,0))</f>
        <v/>
      </c>
      <c r="AB3507" s="52">
        <f>IF(OR(P3507="",Q3507=""),"",IFERROR(IF(INDEX(ctaVinc,MATCH(Q3507,ctaNombre,0))&amp;""&lt;&gt;"",INDEX(ctaVinc,MATCH(Q3507,ctaNombre,0))&amp;"",Q3507),Q3507))</f>
        <v/>
      </c>
      <c r="AC3507" s="52">
        <f>IF(OR(K3507="",AND(P3507&lt;&gt;"Transferencia",P3507&lt;&gt;"Pago tarjeta")),"",IFERROR(IF(INDEX(ctaVinc,MATCH(K3507,ctaNombre,0))&amp;""&lt;&gt;"",INDEX(ctaVinc,MATCH(K3507,ctaNombre,0))&amp;"",K3507),K3507))</f>
        <v/>
      </c>
      <c r="AD3507" s="52">
        <f>IF(AB3507="","",IFERROR(INDEX(ctaTipo,MATCH(AB3507,ctaNombre,0))&amp;"",""))</f>
        <v/>
      </c>
      <c r="AE3507" s="52">
        <f>IF(AC3507="","",IFERROR(INDEX(ctaTipo,MATCH(AC3507,ctaNombre,0))&amp;"",""))</f>
        <v/>
      </c>
      <c r="AF3507" s="53">
        <f>IF(OR(P3507="",AB3507=""),"",IF(OR(P3507="Gasto",P3507="Transferencia",P3507="Pago tarjeta"),-1,1)*IF(IFERROR(INDEX(ctaMoneda,MATCH(AB3507,ctaNombre,0))&amp;"","DOP")="USD",T3507,S3507))</f>
        <v/>
      </c>
      <c r="AG3507" s="53">
        <f>IF(AC3507="","",IF(IFERROR(INDEX(ctaMoneda,MATCH(AC3507,ctaNombre,0))&amp;"","DOP")="USD",T3507,S3507))</f>
        <v/>
      </c>
      <c r="AH3507" s="53">
        <f>IF(P3507="","",IF(AND(AD3507&lt;&gt;"",COUNTIFS(tcTipo,AD3507,tcLiq,"Sí")&gt;0),IF(OR(P3507="Gasto",P3507="Transferencia",P3507="Pago tarjeta"),-1,1)*S3507,0)+IF(AND(AE3507&lt;&gt;"",COUNTIFS(tcTipo,AE3507,tcLiq,"Sí")&gt;0),S3507,0))</f>
        <v/>
      </c>
      <c r="AI3507" s="52">
        <f>IF(OR(L3507="",P3507=""),"",IF(COUNTIFS(L$6:L3507,L3507,P$6:P3507,"?*")=1,MAX(AI$5:AI3506)+1,""))</f>
        <v/>
      </c>
    </row>
    <row r="3508">
      <c r="B3508" s="47" t="n"/>
      <c r="C3508" s="48" t="n"/>
      <c r="D3508" s="48" t="n"/>
      <c r="E3508" s="48" t="n"/>
      <c r="F3508" s="48" t="n"/>
      <c r="G3508" s="49" t="n"/>
      <c r="H3508" s="48" t="n"/>
      <c r="I3508" s="50" t="n"/>
      <c r="J3508" s="48" t="n"/>
      <c r="K3508" s="48" t="n"/>
      <c r="L3508" s="48" t="n"/>
      <c r="M3508" s="48" t="n"/>
      <c r="N3508" s="48" t="n"/>
      <c r="O3508" s="51">
        <f>IF(AND(B3508="",G3508="",C3508="",D3508="",J3508=""),"",IF(B3508="","⚠ Falta fecha",IF(G3508="","⚠ Falta monto",IF(Q3508="","⚠ Falta cuenta",IF(ISNA(MATCH(Q3508,ctaNombre,0)),"⚠ Cuenta no registrada",IF(AND(OR(P3508="Gasto",P3508="Reembolso"),D3508=""),"⚠ Falta categoría",IF(AND(D3508&lt;&gt;"",E3508&lt;&gt;"",ISNA(MATCH(D3508&amp;"|"&amp;E3508,catClave,0))),"⚠ Subcategoría no corresponde",IF(AND(OR(P3508="Transferencia",P3508="Pago tarjeta"),K3508=""),"⚠ Falta cuenta destino",IF(AND(K3508&lt;&gt;"",P3508&lt;&gt;"Transferencia",P3508&lt;&gt;"Pago tarjeta"),"⚠ Destino solo aplica a transferencias",IF(AND(K3508&lt;&gt;"",K3508=Q3508),"⚠ Origen igual a destino",IF(AND(K3508&lt;&gt;"",ISNA(MATCH(K3508,ctaNombre,0))),"⚠ Destino no registrado",IF(AND(P3508="Pago tarjeta",AE3508&lt;&gt;"Tarjeta de crédito"),"⚠ El destino debe ser tarjeta de crédito",IF(AND(P3508="Gasto",E3508="Depósitos y retiros"),"⚠ Usa tipo Transferencia",IF(AND(P3508="Resultado trading",AD3508&lt;&gt;"Cuenta de trading"),"⚠ Usa una cuenta de trading",IF(AND(G3508&lt;=0,P3508&lt;&gt;"Ajuste",P3508&lt;&gt;"Resultado trading"),"⚠ El monto debe ser positivo","✓")))))))))))))))</f>
        <v/>
      </c>
      <c r="P3508" s="52">
        <f>IF(OR(B3508="",G3508=""),"",IF(C3508="","Gasto",C3508))</f>
        <v/>
      </c>
      <c r="Q3508" s="52">
        <f>IF(P3508="","",IF(J3508&lt;&gt;"",J3508,CuentaPred&amp;""))</f>
        <v/>
      </c>
      <c r="R3508" s="52">
        <f>IF(P3508="","",IF(ISNUMBER(I3508),I3508,TasaUSD))</f>
        <v/>
      </c>
      <c r="S3508" s="53">
        <f>IF(P3508="","",IF(H3508="USD",G3508*R3508,G3508))</f>
        <v/>
      </c>
      <c r="T3508" s="53">
        <f>IF(P3508="","",IF(H3508="USD",G3508,IF(R3508&gt;0,G3508/R3508,0)))</f>
        <v/>
      </c>
      <c r="U3508" s="53">
        <f>IF(P3508="","",IF(P3508="Gasto",S3508,IF(P3508="Reembolso",-S3508,0)))</f>
        <v/>
      </c>
      <c r="V3508" s="53">
        <f>IF(P3508="","",IF(P3508="Ingreso",S3508,0))</f>
        <v/>
      </c>
      <c r="W3508" s="53">
        <f>IF(P3508="","",IF(P3508="Resultado trading",S3508,0))</f>
        <v/>
      </c>
      <c r="X3508" s="52">
        <f>IF(OR(P3508="Gasto",P3508="Reembolso"),IF(M3508&lt;&gt;"",M3508,IFERROR(INDEX(catClasif,MATCH(D3508&amp;"|"&amp;E3508,catClave,0))&amp;"","Variable")),"")</f>
        <v/>
      </c>
      <c r="Y3508" s="52">
        <f>IF(P3508="","",IFERROR(INDEX(catGrupo,MATCH(D3508&amp;"|"&amp;E3508,catClave,0))&amp;"",""))</f>
        <v/>
      </c>
      <c r="Z3508" s="52">
        <f>IF(P3508="","",WEEKDAY(B3508,2))</f>
        <v/>
      </c>
      <c r="AA3508" s="52">
        <f>IF(P3508="","",IF(AND(P3508="Gasto",X3508="Variable",D3508&lt;&gt;catTrading,S3508&gt;0,S3508&lt;=Umbral),1,0))</f>
        <v/>
      </c>
      <c r="AB3508" s="52">
        <f>IF(OR(P3508="",Q3508=""),"",IFERROR(IF(INDEX(ctaVinc,MATCH(Q3508,ctaNombre,0))&amp;""&lt;&gt;"",INDEX(ctaVinc,MATCH(Q3508,ctaNombre,0))&amp;"",Q3508),Q3508))</f>
        <v/>
      </c>
      <c r="AC3508" s="52">
        <f>IF(OR(K3508="",AND(P3508&lt;&gt;"Transferencia",P3508&lt;&gt;"Pago tarjeta")),"",IFERROR(IF(INDEX(ctaVinc,MATCH(K3508,ctaNombre,0))&amp;""&lt;&gt;"",INDEX(ctaVinc,MATCH(K3508,ctaNombre,0))&amp;"",K3508),K3508))</f>
        <v/>
      </c>
      <c r="AD3508" s="52">
        <f>IF(AB3508="","",IFERROR(INDEX(ctaTipo,MATCH(AB3508,ctaNombre,0))&amp;"",""))</f>
        <v/>
      </c>
      <c r="AE3508" s="52">
        <f>IF(AC3508="","",IFERROR(INDEX(ctaTipo,MATCH(AC3508,ctaNombre,0))&amp;"",""))</f>
        <v/>
      </c>
      <c r="AF3508" s="53">
        <f>IF(OR(P3508="",AB3508=""),"",IF(OR(P3508="Gasto",P3508="Transferencia",P3508="Pago tarjeta"),-1,1)*IF(IFERROR(INDEX(ctaMoneda,MATCH(AB3508,ctaNombre,0))&amp;"","DOP")="USD",T3508,S3508))</f>
        <v/>
      </c>
      <c r="AG3508" s="53">
        <f>IF(AC3508="","",IF(IFERROR(INDEX(ctaMoneda,MATCH(AC3508,ctaNombre,0))&amp;"","DOP")="USD",T3508,S3508))</f>
        <v/>
      </c>
      <c r="AH3508" s="53">
        <f>IF(P3508="","",IF(AND(AD3508&lt;&gt;"",COUNTIFS(tcTipo,AD3508,tcLiq,"Sí")&gt;0),IF(OR(P3508="Gasto",P3508="Transferencia",P3508="Pago tarjeta"),-1,1)*S3508,0)+IF(AND(AE3508&lt;&gt;"",COUNTIFS(tcTipo,AE3508,tcLiq,"Sí")&gt;0),S3508,0))</f>
        <v/>
      </c>
      <c r="AI3508" s="52">
        <f>IF(OR(L3508="",P3508=""),"",IF(COUNTIFS(L$6:L3508,L3508,P$6:P3508,"?*")=1,MAX(AI$5:AI3507)+1,""))</f>
        <v/>
      </c>
    </row>
    <row r="3509">
      <c r="B3509" s="47" t="n"/>
      <c r="C3509" s="48" t="n"/>
      <c r="D3509" s="48" t="n"/>
      <c r="E3509" s="48" t="n"/>
      <c r="F3509" s="48" t="n"/>
      <c r="G3509" s="49" t="n"/>
      <c r="H3509" s="48" t="n"/>
      <c r="I3509" s="50" t="n"/>
      <c r="J3509" s="48" t="n"/>
      <c r="K3509" s="48" t="n"/>
      <c r="L3509" s="48" t="n"/>
      <c r="M3509" s="48" t="n"/>
      <c r="N3509" s="48" t="n"/>
      <c r="O3509" s="51">
        <f>IF(AND(B3509="",G3509="",C3509="",D3509="",J3509=""),"",IF(B3509="","⚠ Falta fecha",IF(G3509="","⚠ Falta monto",IF(Q3509="","⚠ Falta cuenta",IF(ISNA(MATCH(Q3509,ctaNombre,0)),"⚠ Cuenta no registrada",IF(AND(OR(P3509="Gasto",P3509="Reembolso"),D3509=""),"⚠ Falta categoría",IF(AND(D3509&lt;&gt;"",E3509&lt;&gt;"",ISNA(MATCH(D3509&amp;"|"&amp;E3509,catClave,0))),"⚠ Subcategoría no corresponde",IF(AND(OR(P3509="Transferencia",P3509="Pago tarjeta"),K3509=""),"⚠ Falta cuenta destino",IF(AND(K3509&lt;&gt;"",P3509&lt;&gt;"Transferencia",P3509&lt;&gt;"Pago tarjeta"),"⚠ Destino solo aplica a transferencias",IF(AND(K3509&lt;&gt;"",K3509=Q3509),"⚠ Origen igual a destino",IF(AND(K3509&lt;&gt;"",ISNA(MATCH(K3509,ctaNombre,0))),"⚠ Destino no registrado",IF(AND(P3509="Pago tarjeta",AE3509&lt;&gt;"Tarjeta de crédito"),"⚠ El destino debe ser tarjeta de crédito",IF(AND(P3509="Gasto",E3509="Depósitos y retiros"),"⚠ Usa tipo Transferencia",IF(AND(P3509="Resultado trading",AD3509&lt;&gt;"Cuenta de trading"),"⚠ Usa una cuenta de trading",IF(AND(G3509&lt;=0,P3509&lt;&gt;"Ajuste",P3509&lt;&gt;"Resultado trading"),"⚠ El monto debe ser positivo","✓")))))))))))))))</f>
        <v/>
      </c>
      <c r="P3509" s="52">
        <f>IF(OR(B3509="",G3509=""),"",IF(C3509="","Gasto",C3509))</f>
        <v/>
      </c>
      <c r="Q3509" s="52">
        <f>IF(P3509="","",IF(J3509&lt;&gt;"",J3509,CuentaPred&amp;""))</f>
        <v/>
      </c>
      <c r="R3509" s="52">
        <f>IF(P3509="","",IF(ISNUMBER(I3509),I3509,TasaUSD))</f>
        <v/>
      </c>
      <c r="S3509" s="53">
        <f>IF(P3509="","",IF(H3509="USD",G3509*R3509,G3509))</f>
        <v/>
      </c>
      <c r="T3509" s="53">
        <f>IF(P3509="","",IF(H3509="USD",G3509,IF(R3509&gt;0,G3509/R3509,0)))</f>
        <v/>
      </c>
      <c r="U3509" s="53">
        <f>IF(P3509="","",IF(P3509="Gasto",S3509,IF(P3509="Reembolso",-S3509,0)))</f>
        <v/>
      </c>
      <c r="V3509" s="53">
        <f>IF(P3509="","",IF(P3509="Ingreso",S3509,0))</f>
        <v/>
      </c>
      <c r="W3509" s="53">
        <f>IF(P3509="","",IF(P3509="Resultado trading",S3509,0))</f>
        <v/>
      </c>
      <c r="X3509" s="52">
        <f>IF(OR(P3509="Gasto",P3509="Reembolso"),IF(M3509&lt;&gt;"",M3509,IFERROR(INDEX(catClasif,MATCH(D3509&amp;"|"&amp;E3509,catClave,0))&amp;"","Variable")),"")</f>
        <v/>
      </c>
      <c r="Y3509" s="52">
        <f>IF(P3509="","",IFERROR(INDEX(catGrupo,MATCH(D3509&amp;"|"&amp;E3509,catClave,0))&amp;"",""))</f>
        <v/>
      </c>
      <c r="Z3509" s="52">
        <f>IF(P3509="","",WEEKDAY(B3509,2))</f>
        <v/>
      </c>
      <c r="AA3509" s="52">
        <f>IF(P3509="","",IF(AND(P3509="Gasto",X3509="Variable",D3509&lt;&gt;catTrading,S3509&gt;0,S3509&lt;=Umbral),1,0))</f>
        <v/>
      </c>
      <c r="AB3509" s="52">
        <f>IF(OR(P3509="",Q3509=""),"",IFERROR(IF(INDEX(ctaVinc,MATCH(Q3509,ctaNombre,0))&amp;""&lt;&gt;"",INDEX(ctaVinc,MATCH(Q3509,ctaNombre,0))&amp;"",Q3509),Q3509))</f>
        <v/>
      </c>
      <c r="AC3509" s="52">
        <f>IF(OR(K3509="",AND(P3509&lt;&gt;"Transferencia",P3509&lt;&gt;"Pago tarjeta")),"",IFERROR(IF(INDEX(ctaVinc,MATCH(K3509,ctaNombre,0))&amp;""&lt;&gt;"",INDEX(ctaVinc,MATCH(K3509,ctaNombre,0))&amp;"",K3509),K3509))</f>
        <v/>
      </c>
      <c r="AD3509" s="52">
        <f>IF(AB3509="","",IFERROR(INDEX(ctaTipo,MATCH(AB3509,ctaNombre,0))&amp;"",""))</f>
        <v/>
      </c>
      <c r="AE3509" s="52">
        <f>IF(AC3509="","",IFERROR(INDEX(ctaTipo,MATCH(AC3509,ctaNombre,0))&amp;"",""))</f>
        <v/>
      </c>
      <c r="AF3509" s="53">
        <f>IF(OR(P3509="",AB3509=""),"",IF(OR(P3509="Gasto",P3509="Transferencia",P3509="Pago tarjeta"),-1,1)*IF(IFERROR(INDEX(ctaMoneda,MATCH(AB3509,ctaNombre,0))&amp;"","DOP")="USD",T3509,S3509))</f>
        <v/>
      </c>
      <c r="AG3509" s="53">
        <f>IF(AC3509="","",IF(IFERROR(INDEX(ctaMoneda,MATCH(AC3509,ctaNombre,0))&amp;"","DOP")="USD",T3509,S3509))</f>
        <v/>
      </c>
      <c r="AH3509" s="53">
        <f>IF(P3509="","",IF(AND(AD3509&lt;&gt;"",COUNTIFS(tcTipo,AD3509,tcLiq,"Sí")&gt;0),IF(OR(P3509="Gasto",P3509="Transferencia",P3509="Pago tarjeta"),-1,1)*S3509,0)+IF(AND(AE3509&lt;&gt;"",COUNTIFS(tcTipo,AE3509,tcLiq,"Sí")&gt;0),S3509,0))</f>
        <v/>
      </c>
      <c r="AI3509" s="52">
        <f>IF(OR(L3509="",P3509=""),"",IF(COUNTIFS(L$6:L3509,L3509,P$6:P3509,"?*")=1,MAX(AI$5:AI3508)+1,""))</f>
        <v/>
      </c>
    </row>
    <row r="3510">
      <c r="B3510" s="47" t="n"/>
      <c r="C3510" s="48" t="n"/>
      <c r="D3510" s="48" t="n"/>
      <c r="E3510" s="48" t="n"/>
      <c r="F3510" s="48" t="n"/>
      <c r="G3510" s="49" t="n"/>
      <c r="H3510" s="48" t="n"/>
      <c r="I3510" s="50" t="n"/>
      <c r="J3510" s="48" t="n"/>
      <c r="K3510" s="48" t="n"/>
      <c r="L3510" s="48" t="n"/>
      <c r="M3510" s="48" t="n"/>
      <c r="N3510" s="48" t="n"/>
      <c r="O3510" s="51">
        <f>IF(AND(B3510="",G3510="",C3510="",D3510="",J3510=""),"",IF(B3510="","⚠ Falta fecha",IF(G3510="","⚠ Falta monto",IF(Q3510="","⚠ Falta cuenta",IF(ISNA(MATCH(Q3510,ctaNombre,0)),"⚠ Cuenta no registrada",IF(AND(OR(P3510="Gasto",P3510="Reembolso"),D3510=""),"⚠ Falta categoría",IF(AND(D3510&lt;&gt;"",E3510&lt;&gt;"",ISNA(MATCH(D3510&amp;"|"&amp;E3510,catClave,0))),"⚠ Subcategoría no corresponde",IF(AND(OR(P3510="Transferencia",P3510="Pago tarjeta"),K3510=""),"⚠ Falta cuenta destino",IF(AND(K3510&lt;&gt;"",P3510&lt;&gt;"Transferencia",P3510&lt;&gt;"Pago tarjeta"),"⚠ Destino solo aplica a transferencias",IF(AND(K3510&lt;&gt;"",K3510=Q3510),"⚠ Origen igual a destino",IF(AND(K3510&lt;&gt;"",ISNA(MATCH(K3510,ctaNombre,0))),"⚠ Destino no registrado",IF(AND(P3510="Pago tarjeta",AE3510&lt;&gt;"Tarjeta de crédito"),"⚠ El destino debe ser tarjeta de crédito",IF(AND(P3510="Gasto",E3510="Depósitos y retiros"),"⚠ Usa tipo Transferencia",IF(AND(P3510="Resultado trading",AD3510&lt;&gt;"Cuenta de trading"),"⚠ Usa una cuenta de trading",IF(AND(G3510&lt;=0,P3510&lt;&gt;"Ajuste",P3510&lt;&gt;"Resultado trading"),"⚠ El monto debe ser positivo","✓")))))))))))))))</f>
        <v/>
      </c>
      <c r="P3510" s="52">
        <f>IF(OR(B3510="",G3510=""),"",IF(C3510="","Gasto",C3510))</f>
        <v/>
      </c>
      <c r="Q3510" s="52">
        <f>IF(P3510="","",IF(J3510&lt;&gt;"",J3510,CuentaPred&amp;""))</f>
        <v/>
      </c>
      <c r="R3510" s="52">
        <f>IF(P3510="","",IF(ISNUMBER(I3510),I3510,TasaUSD))</f>
        <v/>
      </c>
      <c r="S3510" s="53">
        <f>IF(P3510="","",IF(H3510="USD",G3510*R3510,G3510))</f>
        <v/>
      </c>
      <c r="T3510" s="53">
        <f>IF(P3510="","",IF(H3510="USD",G3510,IF(R3510&gt;0,G3510/R3510,0)))</f>
        <v/>
      </c>
      <c r="U3510" s="53">
        <f>IF(P3510="","",IF(P3510="Gasto",S3510,IF(P3510="Reembolso",-S3510,0)))</f>
        <v/>
      </c>
      <c r="V3510" s="53">
        <f>IF(P3510="","",IF(P3510="Ingreso",S3510,0))</f>
        <v/>
      </c>
      <c r="W3510" s="53">
        <f>IF(P3510="","",IF(P3510="Resultado trading",S3510,0))</f>
        <v/>
      </c>
      <c r="X3510" s="52">
        <f>IF(OR(P3510="Gasto",P3510="Reembolso"),IF(M3510&lt;&gt;"",M3510,IFERROR(INDEX(catClasif,MATCH(D3510&amp;"|"&amp;E3510,catClave,0))&amp;"","Variable")),"")</f>
        <v/>
      </c>
      <c r="Y3510" s="52">
        <f>IF(P3510="","",IFERROR(INDEX(catGrupo,MATCH(D3510&amp;"|"&amp;E3510,catClave,0))&amp;"",""))</f>
        <v/>
      </c>
      <c r="Z3510" s="52">
        <f>IF(P3510="","",WEEKDAY(B3510,2))</f>
        <v/>
      </c>
      <c r="AA3510" s="52">
        <f>IF(P3510="","",IF(AND(P3510="Gasto",X3510="Variable",D3510&lt;&gt;catTrading,S3510&gt;0,S3510&lt;=Umbral),1,0))</f>
        <v/>
      </c>
      <c r="AB3510" s="52">
        <f>IF(OR(P3510="",Q3510=""),"",IFERROR(IF(INDEX(ctaVinc,MATCH(Q3510,ctaNombre,0))&amp;""&lt;&gt;"",INDEX(ctaVinc,MATCH(Q3510,ctaNombre,0))&amp;"",Q3510),Q3510))</f>
        <v/>
      </c>
      <c r="AC3510" s="52">
        <f>IF(OR(K3510="",AND(P3510&lt;&gt;"Transferencia",P3510&lt;&gt;"Pago tarjeta")),"",IFERROR(IF(INDEX(ctaVinc,MATCH(K3510,ctaNombre,0))&amp;""&lt;&gt;"",INDEX(ctaVinc,MATCH(K3510,ctaNombre,0))&amp;"",K3510),K3510))</f>
        <v/>
      </c>
      <c r="AD3510" s="52">
        <f>IF(AB3510="","",IFERROR(INDEX(ctaTipo,MATCH(AB3510,ctaNombre,0))&amp;"",""))</f>
        <v/>
      </c>
      <c r="AE3510" s="52">
        <f>IF(AC3510="","",IFERROR(INDEX(ctaTipo,MATCH(AC3510,ctaNombre,0))&amp;"",""))</f>
        <v/>
      </c>
      <c r="AF3510" s="53">
        <f>IF(OR(P3510="",AB3510=""),"",IF(OR(P3510="Gasto",P3510="Transferencia",P3510="Pago tarjeta"),-1,1)*IF(IFERROR(INDEX(ctaMoneda,MATCH(AB3510,ctaNombre,0))&amp;"","DOP")="USD",T3510,S3510))</f>
        <v/>
      </c>
      <c r="AG3510" s="53">
        <f>IF(AC3510="","",IF(IFERROR(INDEX(ctaMoneda,MATCH(AC3510,ctaNombre,0))&amp;"","DOP")="USD",T3510,S3510))</f>
        <v/>
      </c>
      <c r="AH3510" s="53">
        <f>IF(P3510="","",IF(AND(AD3510&lt;&gt;"",COUNTIFS(tcTipo,AD3510,tcLiq,"Sí")&gt;0),IF(OR(P3510="Gasto",P3510="Transferencia",P3510="Pago tarjeta"),-1,1)*S3510,0)+IF(AND(AE3510&lt;&gt;"",COUNTIFS(tcTipo,AE3510,tcLiq,"Sí")&gt;0),S3510,0))</f>
        <v/>
      </c>
      <c r="AI3510" s="52">
        <f>IF(OR(L3510="",P3510=""),"",IF(COUNTIFS(L$6:L3510,L3510,P$6:P3510,"?*")=1,MAX(AI$5:AI3509)+1,""))</f>
        <v/>
      </c>
    </row>
    <row r="3511">
      <c r="B3511" s="47" t="n"/>
      <c r="C3511" s="48" t="n"/>
      <c r="D3511" s="48" t="n"/>
      <c r="E3511" s="48" t="n"/>
      <c r="F3511" s="48" t="n"/>
      <c r="G3511" s="49" t="n"/>
      <c r="H3511" s="48" t="n"/>
      <c r="I3511" s="50" t="n"/>
      <c r="J3511" s="48" t="n"/>
      <c r="K3511" s="48" t="n"/>
      <c r="L3511" s="48" t="n"/>
      <c r="M3511" s="48" t="n"/>
      <c r="N3511" s="48" t="n"/>
      <c r="O3511" s="51">
        <f>IF(AND(B3511="",G3511="",C3511="",D3511="",J3511=""),"",IF(B3511="","⚠ Falta fecha",IF(G3511="","⚠ Falta monto",IF(Q3511="","⚠ Falta cuenta",IF(ISNA(MATCH(Q3511,ctaNombre,0)),"⚠ Cuenta no registrada",IF(AND(OR(P3511="Gasto",P3511="Reembolso"),D3511=""),"⚠ Falta categoría",IF(AND(D3511&lt;&gt;"",E3511&lt;&gt;"",ISNA(MATCH(D3511&amp;"|"&amp;E3511,catClave,0))),"⚠ Subcategoría no corresponde",IF(AND(OR(P3511="Transferencia",P3511="Pago tarjeta"),K3511=""),"⚠ Falta cuenta destino",IF(AND(K3511&lt;&gt;"",P3511&lt;&gt;"Transferencia",P3511&lt;&gt;"Pago tarjeta"),"⚠ Destino solo aplica a transferencias",IF(AND(K3511&lt;&gt;"",K3511=Q3511),"⚠ Origen igual a destino",IF(AND(K3511&lt;&gt;"",ISNA(MATCH(K3511,ctaNombre,0))),"⚠ Destino no registrado",IF(AND(P3511="Pago tarjeta",AE3511&lt;&gt;"Tarjeta de crédito"),"⚠ El destino debe ser tarjeta de crédito",IF(AND(P3511="Gasto",E3511="Depósitos y retiros"),"⚠ Usa tipo Transferencia",IF(AND(P3511="Resultado trading",AD3511&lt;&gt;"Cuenta de trading"),"⚠ Usa una cuenta de trading",IF(AND(G3511&lt;=0,P3511&lt;&gt;"Ajuste",P3511&lt;&gt;"Resultado trading"),"⚠ El monto debe ser positivo","✓")))))))))))))))</f>
        <v/>
      </c>
      <c r="P3511" s="52">
        <f>IF(OR(B3511="",G3511=""),"",IF(C3511="","Gasto",C3511))</f>
        <v/>
      </c>
      <c r="Q3511" s="52">
        <f>IF(P3511="","",IF(J3511&lt;&gt;"",J3511,CuentaPred&amp;""))</f>
        <v/>
      </c>
      <c r="R3511" s="52">
        <f>IF(P3511="","",IF(ISNUMBER(I3511),I3511,TasaUSD))</f>
        <v/>
      </c>
      <c r="S3511" s="53">
        <f>IF(P3511="","",IF(H3511="USD",G3511*R3511,G3511))</f>
        <v/>
      </c>
      <c r="T3511" s="53">
        <f>IF(P3511="","",IF(H3511="USD",G3511,IF(R3511&gt;0,G3511/R3511,0)))</f>
        <v/>
      </c>
      <c r="U3511" s="53">
        <f>IF(P3511="","",IF(P3511="Gasto",S3511,IF(P3511="Reembolso",-S3511,0)))</f>
        <v/>
      </c>
      <c r="V3511" s="53">
        <f>IF(P3511="","",IF(P3511="Ingreso",S3511,0))</f>
        <v/>
      </c>
      <c r="W3511" s="53">
        <f>IF(P3511="","",IF(P3511="Resultado trading",S3511,0))</f>
        <v/>
      </c>
      <c r="X3511" s="52">
        <f>IF(OR(P3511="Gasto",P3511="Reembolso"),IF(M3511&lt;&gt;"",M3511,IFERROR(INDEX(catClasif,MATCH(D3511&amp;"|"&amp;E3511,catClave,0))&amp;"","Variable")),"")</f>
        <v/>
      </c>
      <c r="Y3511" s="52">
        <f>IF(P3511="","",IFERROR(INDEX(catGrupo,MATCH(D3511&amp;"|"&amp;E3511,catClave,0))&amp;"",""))</f>
        <v/>
      </c>
      <c r="Z3511" s="52">
        <f>IF(P3511="","",WEEKDAY(B3511,2))</f>
        <v/>
      </c>
      <c r="AA3511" s="52">
        <f>IF(P3511="","",IF(AND(P3511="Gasto",X3511="Variable",D3511&lt;&gt;catTrading,S3511&gt;0,S3511&lt;=Umbral),1,0))</f>
        <v/>
      </c>
      <c r="AB3511" s="52">
        <f>IF(OR(P3511="",Q3511=""),"",IFERROR(IF(INDEX(ctaVinc,MATCH(Q3511,ctaNombre,0))&amp;""&lt;&gt;"",INDEX(ctaVinc,MATCH(Q3511,ctaNombre,0))&amp;"",Q3511),Q3511))</f>
        <v/>
      </c>
      <c r="AC3511" s="52">
        <f>IF(OR(K3511="",AND(P3511&lt;&gt;"Transferencia",P3511&lt;&gt;"Pago tarjeta")),"",IFERROR(IF(INDEX(ctaVinc,MATCH(K3511,ctaNombre,0))&amp;""&lt;&gt;"",INDEX(ctaVinc,MATCH(K3511,ctaNombre,0))&amp;"",K3511),K3511))</f>
        <v/>
      </c>
      <c r="AD3511" s="52">
        <f>IF(AB3511="","",IFERROR(INDEX(ctaTipo,MATCH(AB3511,ctaNombre,0))&amp;"",""))</f>
        <v/>
      </c>
      <c r="AE3511" s="52">
        <f>IF(AC3511="","",IFERROR(INDEX(ctaTipo,MATCH(AC3511,ctaNombre,0))&amp;"",""))</f>
        <v/>
      </c>
      <c r="AF3511" s="53">
        <f>IF(OR(P3511="",AB3511=""),"",IF(OR(P3511="Gasto",P3511="Transferencia",P3511="Pago tarjeta"),-1,1)*IF(IFERROR(INDEX(ctaMoneda,MATCH(AB3511,ctaNombre,0))&amp;"","DOP")="USD",T3511,S3511))</f>
        <v/>
      </c>
      <c r="AG3511" s="53">
        <f>IF(AC3511="","",IF(IFERROR(INDEX(ctaMoneda,MATCH(AC3511,ctaNombre,0))&amp;"","DOP")="USD",T3511,S3511))</f>
        <v/>
      </c>
      <c r="AH3511" s="53">
        <f>IF(P3511="","",IF(AND(AD3511&lt;&gt;"",COUNTIFS(tcTipo,AD3511,tcLiq,"Sí")&gt;0),IF(OR(P3511="Gasto",P3511="Transferencia",P3511="Pago tarjeta"),-1,1)*S3511,0)+IF(AND(AE3511&lt;&gt;"",COUNTIFS(tcTipo,AE3511,tcLiq,"Sí")&gt;0),S3511,0))</f>
        <v/>
      </c>
      <c r="AI3511" s="52">
        <f>IF(OR(L3511="",P3511=""),"",IF(COUNTIFS(L$6:L3511,L3511,P$6:P3511,"?*")=1,MAX(AI$5:AI3510)+1,""))</f>
        <v/>
      </c>
    </row>
    <row r="3512">
      <c r="B3512" s="47" t="n"/>
      <c r="C3512" s="48" t="n"/>
      <c r="D3512" s="48" t="n"/>
      <c r="E3512" s="48" t="n"/>
      <c r="F3512" s="48" t="n"/>
      <c r="G3512" s="49" t="n"/>
      <c r="H3512" s="48" t="n"/>
      <c r="I3512" s="50" t="n"/>
      <c r="J3512" s="48" t="n"/>
      <c r="K3512" s="48" t="n"/>
      <c r="L3512" s="48" t="n"/>
      <c r="M3512" s="48" t="n"/>
      <c r="N3512" s="48" t="n"/>
      <c r="O3512" s="51">
        <f>IF(AND(B3512="",G3512="",C3512="",D3512="",J3512=""),"",IF(B3512="","⚠ Falta fecha",IF(G3512="","⚠ Falta monto",IF(Q3512="","⚠ Falta cuenta",IF(ISNA(MATCH(Q3512,ctaNombre,0)),"⚠ Cuenta no registrada",IF(AND(OR(P3512="Gasto",P3512="Reembolso"),D3512=""),"⚠ Falta categoría",IF(AND(D3512&lt;&gt;"",E3512&lt;&gt;"",ISNA(MATCH(D3512&amp;"|"&amp;E3512,catClave,0))),"⚠ Subcategoría no corresponde",IF(AND(OR(P3512="Transferencia",P3512="Pago tarjeta"),K3512=""),"⚠ Falta cuenta destino",IF(AND(K3512&lt;&gt;"",P3512&lt;&gt;"Transferencia",P3512&lt;&gt;"Pago tarjeta"),"⚠ Destino solo aplica a transferencias",IF(AND(K3512&lt;&gt;"",K3512=Q3512),"⚠ Origen igual a destino",IF(AND(K3512&lt;&gt;"",ISNA(MATCH(K3512,ctaNombre,0))),"⚠ Destino no registrado",IF(AND(P3512="Pago tarjeta",AE3512&lt;&gt;"Tarjeta de crédito"),"⚠ El destino debe ser tarjeta de crédito",IF(AND(P3512="Gasto",E3512="Depósitos y retiros"),"⚠ Usa tipo Transferencia",IF(AND(P3512="Resultado trading",AD3512&lt;&gt;"Cuenta de trading"),"⚠ Usa una cuenta de trading",IF(AND(G3512&lt;=0,P3512&lt;&gt;"Ajuste",P3512&lt;&gt;"Resultado trading"),"⚠ El monto debe ser positivo","✓")))))))))))))))</f>
        <v/>
      </c>
      <c r="P3512" s="52">
        <f>IF(OR(B3512="",G3512=""),"",IF(C3512="","Gasto",C3512))</f>
        <v/>
      </c>
      <c r="Q3512" s="52">
        <f>IF(P3512="","",IF(J3512&lt;&gt;"",J3512,CuentaPred&amp;""))</f>
        <v/>
      </c>
      <c r="R3512" s="52">
        <f>IF(P3512="","",IF(ISNUMBER(I3512),I3512,TasaUSD))</f>
        <v/>
      </c>
      <c r="S3512" s="53">
        <f>IF(P3512="","",IF(H3512="USD",G3512*R3512,G3512))</f>
        <v/>
      </c>
      <c r="T3512" s="53">
        <f>IF(P3512="","",IF(H3512="USD",G3512,IF(R3512&gt;0,G3512/R3512,0)))</f>
        <v/>
      </c>
      <c r="U3512" s="53">
        <f>IF(P3512="","",IF(P3512="Gasto",S3512,IF(P3512="Reembolso",-S3512,0)))</f>
        <v/>
      </c>
      <c r="V3512" s="53">
        <f>IF(P3512="","",IF(P3512="Ingreso",S3512,0))</f>
        <v/>
      </c>
      <c r="W3512" s="53">
        <f>IF(P3512="","",IF(P3512="Resultado trading",S3512,0))</f>
        <v/>
      </c>
      <c r="X3512" s="52">
        <f>IF(OR(P3512="Gasto",P3512="Reembolso"),IF(M3512&lt;&gt;"",M3512,IFERROR(INDEX(catClasif,MATCH(D3512&amp;"|"&amp;E3512,catClave,0))&amp;"","Variable")),"")</f>
        <v/>
      </c>
      <c r="Y3512" s="52">
        <f>IF(P3512="","",IFERROR(INDEX(catGrupo,MATCH(D3512&amp;"|"&amp;E3512,catClave,0))&amp;"",""))</f>
        <v/>
      </c>
      <c r="Z3512" s="52">
        <f>IF(P3512="","",WEEKDAY(B3512,2))</f>
        <v/>
      </c>
      <c r="AA3512" s="52">
        <f>IF(P3512="","",IF(AND(P3512="Gasto",X3512="Variable",D3512&lt;&gt;catTrading,S3512&gt;0,S3512&lt;=Umbral),1,0))</f>
        <v/>
      </c>
      <c r="AB3512" s="52">
        <f>IF(OR(P3512="",Q3512=""),"",IFERROR(IF(INDEX(ctaVinc,MATCH(Q3512,ctaNombre,0))&amp;""&lt;&gt;"",INDEX(ctaVinc,MATCH(Q3512,ctaNombre,0))&amp;"",Q3512),Q3512))</f>
        <v/>
      </c>
      <c r="AC3512" s="52">
        <f>IF(OR(K3512="",AND(P3512&lt;&gt;"Transferencia",P3512&lt;&gt;"Pago tarjeta")),"",IFERROR(IF(INDEX(ctaVinc,MATCH(K3512,ctaNombre,0))&amp;""&lt;&gt;"",INDEX(ctaVinc,MATCH(K3512,ctaNombre,0))&amp;"",K3512),K3512))</f>
        <v/>
      </c>
      <c r="AD3512" s="52">
        <f>IF(AB3512="","",IFERROR(INDEX(ctaTipo,MATCH(AB3512,ctaNombre,0))&amp;"",""))</f>
        <v/>
      </c>
      <c r="AE3512" s="52">
        <f>IF(AC3512="","",IFERROR(INDEX(ctaTipo,MATCH(AC3512,ctaNombre,0))&amp;"",""))</f>
        <v/>
      </c>
      <c r="AF3512" s="53">
        <f>IF(OR(P3512="",AB3512=""),"",IF(OR(P3512="Gasto",P3512="Transferencia",P3512="Pago tarjeta"),-1,1)*IF(IFERROR(INDEX(ctaMoneda,MATCH(AB3512,ctaNombre,0))&amp;"","DOP")="USD",T3512,S3512))</f>
        <v/>
      </c>
      <c r="AG3512" s="53">
        <f>IF(AC3512="","",IF(IFERROR(INDEX(ctaMoneda,MATCH(AC3512,ctaNombre,0))&amp;"","DOP")="USD",T3512,S3512))</f>
        <v/>
      </c>
      <c r="AH3512" s="53">
        <f>IF(P3512="","",IF(AND(AD3512&lt;&gt;"",COUNTIFS(tcTipo,AD3512,tcLiq,"Sí")&gt;0),IF(OR(P3512="Gasto",P3512="Transferencia",P3512="Pago tarjeta"),-1,1)*S3512,0)+IF(AND(AE3512&lt;&gt;"",COUNTIFS(tcTipo,AE3512,tcLiq,"Sí")&gt;0),S3512,0))</f>
        <v/>
      </c>
      <c r="AI3512" s="52">
        <f>IF(OR(L3512="",P3512=""),"",IF(COUNTIFS(L$6:L3512,L3512,P$6:P3512,"?*")=1,MAX(AI$5:AI3511)+1,""))</f>
        <v/>
      </c>
    </row>
    <row r="3513">
      <c r="B3513" s="47" t="n"/>
      <c r="C3513" s="48" t="n"/>
      <c r="D3513" s="48" t="n"/>
      <c r="E3513" s="48" t="n"/>
      <c r="F3513" s="48" t="n"/>
      <c r="G3513" s="49" t="n"/>
      <c r="H3513" s="48" t="n"/>
      <c r="I3513" s="50" t="n"/>
      <c r="J3513" s="48" t="n"/>
      <c r="K3513" s="48" t="n"/>
      <c r="L3513" s="48" t="n"/>
      <c r="M3513" s="48" t="n"/>
      <c r="N3513" s="48" t="n"/>
      <c r="O3513" s="51">
        <f>IF(AND(B3513="",G3513="",C3513="",D3513="",J3513=""),"",IF(B3513="","⚠ Falta fecha",IF(G3513="","⚠ Falta monto",IF(Q3513="","⚠ Falta cuenta",IF(ISNA(MATCH(Q3513,ctaNombre,0)),"⚠ Cuenta no registrada",IF(AND(OR(P3513="Gasto",P3513="Reembolso"),D3513=""),"⚠ Falta categoría",IF(AND(D3513&lt;&gt;"",E3513&lt;&gt;"",ISNA(MATCH(D3513&amp;"|"&amp;E3513,catClave,0))),"⚠ Subcategoría no corresponde",IF(AND(OR(P3513="Transferencia",P3513="Pago tarjeta"),K3513=""),"⚠ Falta cuenta destino",IF(AND(K3513&lt;&gt;"",P3513&lt;&gt;"Transferencia",P3513&lt;&gt;"Pago tarjeta"),"⚠ Destino solo aplica a transferencias",IF(AND(K3513&lt;&gt;"",K3513=Q3513),"⚠ Origen igual a destino",IF(AND(K3513&lt;&gt;"",ISNA(MATCH(K3513,ctaNombre,0))),"⚠ Destino no registrado",IF(AND(P3513="Pago tarjeta",AE3513&lt;&gt;"Tarjeta de crédito"),"⚠ El destino debe ser tarjeta de crédito",IF(AND(P3513="Gasto",E3513="Depósitos y retiros"),"⚠ Usa tipo Transferencia",IF(AND(P3513="Resultado trading",AD3513&lt;&gt;"Cuenta de trading"),"⚠ Usa una cuenta de trading",IF(AND(G3513&lt;=0,P3513&lt;&gt;"Ajuste",P3513&lt;&gt;"Resultado trading"),"⚠ El monto debe ser positivo","✓")))))))))))))))</f>
        <v/>
      </c>
      <c r="P3513" s="52">
        <f>IF(OR(B3513="",G3513=""),"",IF(C3513="","Gasto",C3513))</f>
        <v/>
      </c>
      <c r="Q3513" s="52">
        <f>IF(P3513="","",IF(J3513&lt;&gt;"",J3513,CuentaPred&amp;""))</f>
        <v/>
      </c>
      <c r="R3513" s="52">
        <f>IF(P3513="","",IF(ISNUMBER(I3513),I3513,TasaUSD))</f>
        <v/>
      </c>
      <c r="S3513" s="53">
        <f>IF(P3513="","",IF(H3513="USD",G3513*R3513,G3513))</f>
        <v/>
      </c>
      <c r="T3513" s="53">
        <f>IF(P3513="","",IF(H3513="USD",G3513,IF(R3513&gt;0,G3513/R3513,0)))</f>
        <v/>
      </c>
      <c r="U3513" s="53">
        <f>IF(P3513="","",IF(P3513="Gasto",S3513,IF(P3513="Reembolso",-S3513,0)))</f>
        <v/>
      </c>
      <c r="V3513" s="53">
        <f>IF(P3513="","",IF(P3513="Ingreso",S3513,0))</f>
        <v/>
      </c>
      <c r="W3513" s="53">
        <f>IF(P3513="","",IF(P3513="Resultado trading",S3513,0))</f>
        <v/>
      </c>
      <c r="X3513" s="52">
        <f>IF(OR(P3513="Gasto",P3513="Reembolso"),IF(M3513&lt;&gt;"",M3513,IFERROR(INDEX(catClasif,MATCH(D3513&amp;"|"&amp;E3513,catClave,0))&amp;"","Variable")),"")</f>
        <v/>
      </c>
      <c r="Y3513" s="52">
        <f>IF(P3513="","",IFERROR(INDEX(catGrupo,MATCH(D3513&amp;"|"&amp;E3513,catClave,0))&amp;"",""))</f>
        <v/>
      </c>
      <c r="Z3513" s="52">
        <f>IF(P3513="","",WEEKDAY(B3513,2))</f>
        <v/>
      </c>
      <c r="AA3513" s="52">
        <f>IF(P3513="","",IF(AND(P3513="Gasto",X3513="Variable",D3513&lt;&gt;catTrading,S3513&gt;0,S3513&lt;=Umbral),1,0))</f>
        <v/>
      </c>
      <c r="AB3513" s="52">
        <f>IF(OR(P3513="",Q3513=""),"",IFERROR(IF(INDEX(ctaVinc,MATCH(Q3513,ctaNombre,0))&amp;""&lt;&gt;"",INDEX(ctaVinc,MATCH(Q3513,ctaNombre,0))&amp;"",Q3513),Q3513))</f>
        <v/>
      </c>
      <c r="AC3513" s="52">
        <f>IF(OR(K3513="",AND(P3513&lt;&gt;"Transferencia",P3513&lt;&gt;"Pago tarjeta")),"",IFERROR(IF(INDEX(ctaVinc,MATCH(K3513,ctaNombre,0))&amp;""&lt;&gt;"",INDEX(ctaVinc,MATCH(K3513,ctaNombre,0))&amp;"",K3513),K3513))</f>
        <v/>
      </c>
      <c r="AD3513" s="52">
        <f>IF(AB3513="","",IFERROR(INDEX(ctaTipo,MATCH(AB3513,ctaNombre,0))&amp;"",""))</f>
        <v/>
      </c>
      <c r="AE3513" s="52">
        <f>IF(AC3513="","",IFERROR(INDEX(ctaTipo,MATCH(AC3513,ctaNombre,0))&amp;"",""))</f>
        <v/>
      </c>
      <c r="AF3513" s="53">
        <f>IF(OR(P3513="",AB3513=""),"",IF(OR(P3513="Gasto",P3513="Transferencia",P3513="Pago tarjeta"),-1,1)*IF(IFERROR(INDEX(ctaMoneda,MATCH(AB3513,ctaNombre,0))&amp;"","DOP")="USD",T3513,S3513))</f>
        <v/>
      </c>
      <c r="AG3513" s="53">
        <f>IF(AC3513="","",IF(IFERROR(INDEX(ctaMoneda,MATCH(AC3513,ctaNombre,0))&amp;"","DOP")="USD",T3513,S3513))</f>
        <v/>
      </c>
      <c r="AH3513" s="53">
        <f>IF(P3513="","",IF(AND(AD3513&lt;&gt;"",COUNTIFS(tcTipo,AD3513,tcLiq,"Sí")&gt;0),IF(OR(P3513="Gasto",P3513="Transferencia",P3513="Pago tarjeta"),-1,1)*S3513,0)+IF(AND(AE3513&lt;&gt;"",COUNTIFS(tcTipo,AE3513,tcLiq,"Sí")&gt;0),S3513,0))</f>
        <v/>
      </c>
      <c r="AI3513" s="52">
        <f>IF(OR(L3513="",P3513=""),"",IF(COUNTIFS(L$6:L3513,L3513,P$6:P3513,"?*")=1,MAX(AI$5:AI3512)+1,""))</f>
        <v/>
      </c>
    </row>
    <row r="3514">
      <c r="B3514" s="47" t="n"/>
      <c r="C3514" s="48" t="n"/>
      <c r="D3514" s="48" t="n"/>
      <c r="E3514" s="48" t="n"/>
      <c r="F3514" s="48" t="n"/>
      <c r="G3514" s="49" t="n"/>
      <c r="H3514" s="48" t="n"/>
      <c r="I3514" s="50" t="n"/>
      <c r="J3514" s="48" t="n"/>
      <c r="K3514" s="48" t="n"/>
      <c r="L3514" s="48" t="n"/>
      <c r="M3514" s="48" t="n"/>
      <c r="N3514" s="48" t="n"/>
      <c r="O3514" s="51">
        <f>IF(AND(B3514="",G3514="",C3514="",D3514="",J3514=""),"",IF(B3514="","⚠ Falta fecha",IF(G3514="","⚠ Falta monto",IF(Q3514="","⚠ Falta cuenta",IF(ISNA(MATCH(Q3514,ctaNombre,0)),"⚠ Cuenta no registrada",IF(AND(OR(P3514="Gasto",P3514="Reembolso"),D3514=""),"⚠ Falta categoría",IF(AND(D3514&lt;&gt;"",E3514&lt;&gt;"",ISNA(MATCH(D3514&amp;"|"&amp;E3514,catClave,0))),"⚠ Subcategoría no corresponde",IF(AND(OR(P3514="Transferencia",P3514="Pago tarjeta"),K3514=""),"⚠ Falta cuenta destino",IF(AND(K3514&lt;&gt;"",P3514&lt;&gt;"Transferencia",P3514&lt;&gt;"Pago tarjeta"),"⚠ Destino solo aplica a transferencias",IF(AND(K3514&lt;&gt;"",K3514=Q3514),"⚠ Origen igual a destino",IF(AND(K3514&lt;&gt;"",ISNA(MATCH(K3514,ctaNombre,0))),"⚠ Destino no registrado",IF(AND(P3514="Pago tarjeta",AE3514&lt;&gt;"Tarjeta de crédito"),"⚠ El destino debe ser tarjeta de crédito",IF(AND(P3514="Gasto",E3514="Depósitos y retiros"),"⚠ Usa tipo Transferencia",IF(AND(P3514="Resultado trading",AD3514&lt;&gt;"Cuenta de trading"),"⚠ Usa una cuenta de trading",IF(AND(G3514&lt;=0,P3514&lt;&gt;"Ajuste",P3514&lt;&gt;"Resultado trading"),"⚠ El monto debe ser positivo","✓")))))))))))))))</f>
        <v/>
      </c>
      <c r="P3514" s="52">
        <f>IF(OR(B3514="",G3514=""),"",IF(C3514="","Gasto",C3514))</f>
        <v/>
      </c>
      <c r="Q3514" s="52">
        <f>IF(P3514="","",IF(J3514&lt;&gt;"",J3514,CuentaPred&amp;""))</f>
        <v/>
      </c>
      <c r="R3514" s="52">
        <f>IF(P3514="","",IF(ISNUMBER(I3514),I3514,TasaUSD))</f>
        <v/>
      </c>
      <c r="S3514" s="53">
        <f>IF(P3514="","",IF(H3514="USD",G3514*R3514,G3514))</f>
        <v/>
      </c>
      <c r="T3514" s="53">
        <f>IF(P3514="","",IF(H3514="USD",G3514,IF(R3514&gt;0,G3514/R3514,0)))</f>
        <v/>
      </c>
      <c r="U3514" s="53">
        <f>IF(P3514="","",IF(P3514="Gasto",S3514,IF(P3514="Reembolso",-S3514,0)))</f>
        <v/>
      </c>
      <c r="V3514" s="53">
        <f>IF(P3514="","",IF(P3514="Ingreso",S3514,0))</f>
        <v/>
      </c>
      <c r="W3514" s="53">
        <f>IF(P3514="","",IF(P3514="Resultado trading",S3514,0))</f>
        <v/>
      </c>
      <c r="X3514" s="52">
        <f>IF(OR(P3514="Gasto",P3514="Reembolso"),IF(M3514&lt;&gt;"",M3514,IFERROR(INDEX(catClasif,MATCH(D3514&amp;"|"&amp;E3514,catClave,0))&amp;"","Variable")),"")</f>
        <v/>
      </c>
      <c r="Y3514" s="52">
        <f>IF(P3514="","",IFERROR(INDEX(catGrupo,MATCH(D3514&amp;"|"&amp;E3514,catClave,0))&amp;"",""))</f>
        <v/>
      </c>
      <c r="Z3514" s="52">
        <f>IF(P3514="","",WEEKDAY(B3514,2))</f>
        <v/>
      </c>
      <c r="AA3514" s="52">
        <f>IF(P3514="","",IF(AND(P3514="Gasto",X3514="Variable",D3514&lt;&gt;catTrading,S3514&gt;0,S3514&lt;=Umbral),1,0))</f>
        <v/>
      </c>
      <c r="AB3514" s="52">
        <f>IF(OR(P3514="",Q3514=""),"",IFERROR(IF(INDEX(ctaVinc,MATCH(Q3514,ctaNombre,0))&amp;""&lt;&gt;"",INDEX(ctaVinc,MATCH(Q3514,ctaNombre,0))&amp;"",Q3514),Q3514))</f>
        <v/>
      </c>
      <c r="AC3514" s="52">
        <f>IF(OR(K3514="",AND(P3514&lt;&gt;"Transferencia",P3514&lt;&gt;"Pago tarjeta")),"",IFERROR(IF(INDEX(ctaVinc,MATCH(K3514,ctaNombre,0))&amp;""&lt;&gt;"",INDEX(ctaVinc,MATCH(K3514,ctaNombre,0))&amp;"",K3514),K3514))</f>
        <v/>
      </c>
      <c r="AD3514" s="52">
        <f>IF(AB3514="","",IFERROR(INDEX(ctaTipo,MATCH(AB3514,ctaNombre,0))&amp;"",""))</f>
        <v/>
      </c>
      <c r="AE3514" s="52">
        <f>IF(AC3514="","",IFERROR(INDEX(ctaTipo,MATCH(AC3514,ctaNombre,0))&amp;"",""))</f>
        <v/>
      </c>
      <c r="AF3514" s="53">
        <f>IF(OR(P3514="",AB3514=""),"",IF(OR(P3514="Gasto",P3514="Transferencia",P3514="Pago tarjeta"),-1,1)*IF(IFERROR(INDEX(ctaMoneda,MATCH(AB3514,ctaNombre,0))&amp;"","DOP")="USD",T3514,S3514))</f>
        <v/>
      </c>
      <c r="AG3514" s="53">
        <f>IF(AC3514="","",IF(IFERROR(INDEX(ctaMoneda,MATCH(AC3514,ctaNombre,0))&amp;"","DOP")="USD",T3514,S3514))</f>
        <v/>
      </c>
      <c r="AH3514" s="53">
        <f>IF(P3514="","",IF(AND(AD3514&lt;&gt;"",COUNTIFS(tcTipo,AD3514,tcLiq,"Sí")&gt;0),IF(OR(P3514="Gasto",P3514="Transferencia",P3514="Pago tarjeta"),-1,1)*S3514,0)+IF(AND(AE3514&lt;&gt;"",COUNTIFS(tcTipo,AE3514,tcLiq,"Sí")&gt;0),S3514,0))</f>
        <v/>
      </c>
      <c r="AI3514" s="52">
        <f>IF(OR(L3514="",P3514=""),"",IF(COUNTIFS(L$6:L3514,L3514,P$6:P3514,"?*")=1,MAX(AI$5:AI3513)+1,""))</f>
        <v/>
      </c>
    </row>
    <row r="3515">
      <c r="B3515" s="47" t="n"/>
      <c r="C3515" s="48" t="n"/>
      <c r="D3515" s="48" t="n"/>
      <c r="E3515" s="48" t="n"/>
      <c r="F3515" s="48" t="n"/>
      <c r="G3515" s="49" t="n"/>
      <c r="H3515" s="48" t="n"/>
      <c r="I3515" s="50" t="n"/>
      <c r="J3515" s="48" t="n"/>
      <c r="K3515" s="48" t="n"/>
      <c r="L3515" s="48" t="n"/>
      <c r="M3515" s="48" t="n"/>
      <c r="N3515" s="48" t="n"/>
      <c r="O3515" s="51">
        <f>IF(AND(B3515="",G3515="",C3515="",D3515="",J3515=""),"",IF(B3515="","⚠ Falta fecha",IF(G3515="","⚠ Falta monto",IF(Q3515="","⚠ Falta cuenta",IF(ISNA(MATCH(Q3515,ctaNombre,0)),"⚠ Cuenta no registrada",IF(AND(OR(P3515="Gasto",P3515="Reembolso"),D3515=""),"⚠ Falta categoría",IF(AND(D3515&lt;&gt;"",E3515&lt;&gt;"",ISNA(MATCH(D3515&amp;"|"&amp;E3515,catClave,0))),"⚠ Subcategoría no corresponde",IF(AND(OR(P3515="Transferencia",P3515="Pago tarjeta"),K3515=""),"⚠ Falta cuenta destino",IF(AND(K3515&lt;&gt;"",P3515&lt;&gt;"Transferencia",P3515&lt;&gt;"Pago tarjeta"),"⚠ Destino solo aplica a transferencias",IF(AND(K3515&lt;&gt;"",K3515=Q3515),"⚠ Origen igual a destino",IF(AND(K3515&lt;&gt;"",ISNA(MATCH(K3515,ctaNombre,0))),"⚠ Destino no registrado",IF(AND(P3515="Pago tarjeta",AE3515&lt;&gt;"Tarjeta de crédito"),"⚠ El destino debe ser tarjeta de crédito",IF(AND(P3515="Gasto",E3515="Depósitos y retiros"),"⚠ Usa tipo Transferencia",IF(AND(P3515="Resultado trading",AD3515&lt;&gt;"Cuenta de trading"),"⚠ Usa una cuenta de trading",IF(AND(G3515&lt;=0,P3515&lt;&gt;"Ajuste",P3515&lt;&gt;"Resultado trading"),"⚠ El monto debe ser positivo","✓")))))))))))))))</f>
        <v/>
      </c>
      <c r="P3515" s="52">
        <f>IF(OR(B3515="",G3515=""),"",IF(C3515="","Gasto",C3515))</f>
        <v/>
      </c>
      <c r="Q3515" s="52">
        <f>IF(P3515="","",IF(J3515&lt;&gt;"",J3515,CuentaPred&amp;""))</f>
        <v/>
      </c>
      <c r="R3515" s="52">
        <f>IF(P3515="","",IF(ISNUMBER(I3515),I3515,TasaUSD))</f>
        <v/>
      </c>
      <c r="S3515" s="53">
        <f>IF(P3515="","",IF(H3515="USD",G3515*R3515,G3515))</f>
        <v/>
      </c>
      <c r="T3515" s="53">
        <f>IF(P3515="","",IF(H3515="USD",G3515,IF(R3515&gt;0,G3515/R3515,0)))</f>
        <v/>
      </c>
      <c r="U3515" s="53">
        <f>IF(P3515="","",IF(P3515="Gasto",S3515,IF(P3515="Reembolso",-S3515,0)))</f>
        <v/>
      </c>
      <c r="V3515" s="53">
        <f>IF(P3515="","",IF(P3515="Ingreso",S3515,0))</f>
        <v/>
      </c>
      <c r="W3515" s="53">
        <f>IF(P3515="","",IF(P3515="Resultado trading",S3515,0))</f>
        <v/>
      </c>
      <c r="X3515" s="52">
        <f>IF(OR(P3515="Gasto",P3515="Reembolso"),IF(M3515&lt;&gt;"",M3515,IFERROR(INDEX(catClasif,MATCH(D3515&amp;"|"&amp;E3515,catClave,0))&amp;"","Variable")),"")</f>
        <v/>
      </c>
      <c r="Y3515" s="52">
        <f>IF(P3515="","",IFERROR(INDEX(catGrupo,MATCH(D3515&amp;"|"&amp;E3515,catClave,0))&amp;"",""))</f>
        <v/>
      </c>
      <c r="Z3515" s="52">
        <f>IF(P3515="","",WEEKDAY(B3515,2))</f>
        <v/>
      </c>
      <c r="AA3515" s="52">
        <f>IF(P3515="","",IF(AND(P3515="Gasto",X3515="Variable",D3515&lt;&gt;catTrading,S3515&gt;0,S3515&lt;=Umbral),1,0))</f>
        <v/>
      </c>
      <c r="AB3515" s="52">
        <f>IF(OR(P3515="",Q3515=""),"",IFERROR(IF(INDEX(ctaVinc,MATCH(Q3515,ctaNombre,0))&amp;""&lt;&gt;"",INDEX(ctaVinc,MATCH(Q3515,ctaNombre,0))&amp;"",Q3515),Q3515))</f>
        <v/>
      </c>
      <c r="AC3515" s="52">
        <f>IF(OR(K3515="",AND(P3515&lt;&gt;"Transferencia",P3515&lt;&gt;"Pago tarjeta")),"",IFERROR(IF(INDEX(ctaVinc,MATCH(K3515,ctaNombre,0))&amp;""&lt;&gt;"",INDEX(ctaVinc,MATCH(K3515,ctaNombre,0))&amp;"",K3515),K3515))</f>
        <v/>
      </c>
      <c r="AD3515" s="52">
        <f>IF(AB3515="","",IFERROR(INDEX(ctaTipo,MATCH(AB3515,ctaNombre,0))&amp;"",""))</f>
        <v/>
      </c>
      <c r="AE3515" s="52">
        <f>IF(AC3515="","",IFERROR(INDEX(ctaTipo,MATCH(AC3515,ctaNombre,0))&amp;"",""))</f>
        <v/>
      </c>
      <c r="AF3515" s="53">
        <f>IF(OR(P3515="",AB3515=""),"",IF(OR(P3515="Gasto",P3515="Transferencia",P3515="Pago tarjeta"),-1,1)*IF(IFERROR(INDEX(ctaMoneda,MATCH(AB3515,ctaNombre,0))&amp;"","DOP")="USD",T3515,S3515))</f>
        <v/>
      </c>
      <c r="AG3515" s="53">
        <f>IF(AC3515="","",IF(IFERROR(INDEX(ctaMoneda,MATCH(AC3515,ctaNombre,0))&amp;"","DOP")="USD",T3515,S3515))</f>
        <v/>
      </c>
      <c r="AH3515" s="53">
        <f>IF(P3515="","",IF(AND(AD3515&lt;&gt;"",COUNTIFS(tcTipo,AD3515,tcLiq,"Sí")&gt;0),IF(OR(P3515="Gasto",P3515="Transferencia",P3515="Pago tarjeta"),-1,1)*S3515,0)+IF(AND(AE3515&lt;&gt;"",COUNTIFS(tcTipo,AE3515,tcLiq,"Sí")&gt;0),S3515,0))</f>
        <v/>
      </c>
      <c r="AI3515" s="52">
        <f>IF(OR(L3515="",P3515=""),"",IF(COUNTIFS(L$6:L3515,L3515,P$6:P3515,"?*")=1,MAX(AI$5:AI3514)+1,""))</f>
        <v/>
      </c>
    </row>
    <row r="3516">
      <c r="B3516" s="47" t="n"/>
      <c r="C3516" s="48" t="n"/>
      <c r="D3516" s="48" t="n"/>
      <c r="E3516" s="48" t="n"/>
      <c r="F3516" s="48" t="n"/>
      <c r="G3516" s="49" t="n"/>
      <c r="H3516" s="48" t="n"/>
      <c r="I3516" s="50" t="n"/>
      <c r="J3516" s="48" t="n"/>
      <c r="K3516" s="48" t="n"/>
      <c r="L3516" s="48" t="n"/>
      <c r="M3516" s="48" t="n"/>
      <c r="N3516" s="48" t="n"/>
      <c r="O3516" s="51">
        <f>IF(AND(B3516="",G3516="",C3516="",D3516="",J3516=""),"",IF(B3516="","⚠ Falta fecha",IF(G3516="","⚠ Falta monto",IF(Q3516="","⚠ Falta cuenta",IF(ISNA(MATCH(Q3516,ctaNombre,0)),"⚠ Cuenta no registrada",IF(AND(OR(P3516="Gasto",P3516="Reembolso"),D3516=""),"⚠ Falta categoría",IF(AND(D3516&lt;&gt;"",E3516&lt;&gt;"",ISNA(MATCH(D3516&amp;"|"&amp;E3516,catClave,0))),"⚠ Subcategoría no corresponde",IF(AND(OR(P3516="Transferencia",P3516="Pago tarjeta"),K3516=""),"⚠ Falta cuenta destino",IF(AND(K3516&lt;&gt;"",P3516&lt;&gt;"Transferencia",P3516&lt;&gt;"Pago tarjeta"),"⚠ Destino solo aplica a transferencias",IF(AND(K3516&lt;&gt;"",K3516=Q3516),"⚠ Origen igual a destino",IF(AND(K3516&lt;&gt;"",ISNA(MATCH(K3516,ctaNombre,0))),"⚠ Destino no registrado",IF(AND(P3516="Pago tarjeta",AE3516&lt;&gt;"Tarjeta de crédito"),"⚠ El destino debe ser tarjeta de crédito",IF(AND(P3516="Gasto",E3516="Depósitos y retiros"),"⚠ Usa tipo Transferencia",IF(AND(P3516="Resultado trading",AD3516&lt;&gt;"Cuenta de trading"),"⚠ Usa una cuenta de trading",IF(AND(G3516&lt;=0,P3516&lt;&gt;"Ajuste",P3516&lt;&gt;"Resultado trading"),"⚠ El monto debe ser positivo","✓")))))))))))))))</f>
        <v/>
      </c>
      <c r="P3516" s="52">
        <f>IF(OR(B3516="",G3516=""),"",IF(C3516="","Gasto",C3516))</f>
        <v/>
      </c>
      <c r="Q3516" s="52">
        <f>IF(P3516="","",IF(J3516&lt;&gt;"",J3516,CuentaPred&amp;""))</f>
        <v/>
      </c>
      <c r="R3516" s="52">
        <f>IF(P3516="","",IF(ISNUMBER(I3516),I3516,TasaUSD))</f>
        <v/>
      </c>
      <c r="S3516" s="53">
        <f>IF(P3516="","",IF(H3516="USD",G3516*R3516,G3516))</f>
        <v/>
      </c>
      <c r="T3516" s="53">
        <f>IF(P3516="","",IF(H3516="USD",G3516,IF(R3516&gt;0,G3516/R3516,0)))</f>
        <v/>
      </c>
      <c r="U3516" s="53">
        <f>IF(P3516="","",IF(P3516="Gasto",S3516,IF(P3516="Reembolso",-S3516,0)))</f>
        <v/>
      </c>
      <c r="V3516" s="53">
        <f>IF(P3516="","",IF(P3516="Ingreso",S3516,0))</f>
        <v/>
      </c>
      <c r="W3516" s="53">
        <f>IF(P3516="","",IF(P3516="Resultado trading",S3516,0))</f>
        <v/>
      </c>
      <c r="X3516" s="52">
        <f>IF(OR(P3516="Gasto",P3516="Reembolso"),IF(M3516&lt;&gt;"",M3516,IFERROR(INDEX(catClasif,MATCH(D3516&amp;"|"&amp;E3516,catClave,0))&amp;"","Variable")),"")</f>
        <v/>
      </c>
      <c r="Y3516" s="52">
        <f>IF(P3516="","",IFERROR(INDEX(catGrupo,MATCH(D3516&amp;"|"&amp;E3516,catClave,0))&amp;"",""))</f>
        <v/>
      </c>
      <c r="Z3516" s="52">
        <f>IF(P3516="","",WEEKDAY(B3516,2))</f>
        <v/>
      </c>
      <c r="AA3516" s="52">
        <f>IF(P3516="","",IF(AND(P3516="Gasto",X3516="Variable",D3516&lt;&gt;catTrading,S3516&gt;0,S3516&lt;=Umbral),1,0))</f>
        <v/>
      </c>
      <c r="AB3516" s="52">
        <f>IF(OR(P3516="",Q3516=""),"",IFERROR(IF(INDEX(ctaVinc,MATCH(Q3516,ctaNombre,0))&amp;""&lt;&gt;"",INDEX(ctaVinc,MATCH(Q3516,ctaNombre,0))&amp;"",Q3516),Q3516))</f>
        <v/>
      </c>
      <c r="AC3516" s="52">
        <f>IF(OR(K3516="",AND(P3516&lt;&gt;"Transferencia",P3516&lt;&gt;"Pago tarjeta")),"",IFERROR(IF(INDEX(ctaVinc,MATCH(K3516,ctaNombre,0))&amp;""&lt;&gt;"",INDEX(ctaVinc,MATCH(K3516,ctaNombre,0))&amp;"",K3516),K3516))</f>
        <v/>
      </c>
      <c r="AD3516" s="52">
        <f>IF(AB3516="","",IFERROR(INDEX(ctaTipo,MATCH(AB3516,ctaNombre,0))&amp;"",""))</f>
        <v/>
      </c>
      <c r="AE3516" s="52">
        <f>IF(AC3516="","",IFERROR(INDEX(ctaTipo,MATCH(AC3516,ctaNombre,0))&amp;"",""))</f>
        <v/>
      </c>
      <c r="AF3516" s="53">
        <f>IF(OR(P3516="",AB3516=""),"",IF(OR(P3516="Gasto",P3516="Transferencia",P3516="Pago tarjeta"),-1,1)*IF(IFERROR(INDEX(ctaMoneda,MATCH(AB3516,ctaNombre,0))&amp;"","DOP")="USD",T3516,S3516))</f>
        <v/>
      </c>
      <c r="AG3516" s="53">
        <f>IF(AC3516="","",IF(IFERROR(INDEX(ctaMoneda,MATCH(AC3516,ctaNombre,0))&amp;"","DOP")="USD",T3516,S3516))</f>
        <v/>
      </c>
      <c r="AH3516" s="53">
        <f>IF(P3516="","",IF(AND(AD3516&lt;&gt;"",COUNTIFS(tcTipo,AD3516,tcLiq,"Sí")&gt;0),IF(OR(P3516="Gasto",P3516="Transferencia",P3516="Pago tarjeta"),-1,1)*S3516,0)+IF(AND(AE3516&lt;&gt;"",COUNTIFS(tcTipo,AE3516,tcLiq,"Sí")&gt;0),S3516,0))</f>
        <v/>
      </c>
      <c r="AI3516" s="52">
        <f>IF(OR(L3516="",P3516=""),"",IF(COUNTIFS(L$6:L3516,L3516,P$6:P3516,"?*")=1,MAX(AI$5:AI3515)+1,""))</f>
        <v/>
      </c>
    </row>
    <row r="3517">
      <c r="B3517" s="47" t="n"/>
      <c r="C3517" s="48" t="n"/>
      <c r="D3517" s="48" t="n"/>
      <c r="E3517" s="48" t="n"/>
      <c r="F3517" s="48" t="n"/>
      <c r="G3517" s="49" t="n"/>
      <c r="H3517" s="48" t="n"/>
      <c r="I3517" s="50" t="n"/>
      <c r="J3517" s="48" t="n"/>
      <c r="K3517" s="48" t="n"/>
      <c r="L3517" s="48" t="n"/>
      <c r="M3517" s="48" t="n"/>
      <c r="N3517" s="48" t="n"/>
      <c r="O3517" s="51">
        <f>IF(AND(B3517="",G3517="",C3517="",D3517="",J3517=""),"",IF(B3517="","⚠ Falta fecha",IF(G3517="","⚠ Falta monto",IF(Q3517="","⚠ Falta cuenta",IF(ISNA(MATCH(Q3517,ctaNombre,0)),"⚠ Cuenta no registrada",IF(AND(OR(P3517="Gasto",P3517="Reembolso"),D3517=""),"⚠ Falta categoría",IF(AND(D3517&lt;&gt;"",E3517&lt;&gt;"",ISNA(MATCH(D3517&amp;"|"&amp;E3517,catClave,0))),"⚠ Subcategoría no corresponde",IF(AND(OR(P3517="Transferencia",P3517="Pago tarjeta"),K3517=""),"⚠ Falta cuenta destino",IF(AND(K3517&lt;&gt;"",P3517&lt;&gt;"Transferencia",P3517&lt;&gt;"Pago tarjeta"),"⚠ Destino solo aplica a transferencias",IF(AND(K3517&lt;&gt;"",K3517=Q3517),"⚠ Origen igual a destino",IF(AND(K3517&lt;&gt;"",ISNA(MATCH(K3517,ctaNombre,0))),"⚠ Destino no registrado",IF(AND(P3517="Pago tarjeta",AE3517&lt;&gt;"Tarjeta de crédito"),"⚠ El destino debe ser tarjeta de crédito",IF(AND(P3517="Gasto",E3517="Depósitos y retiros"),"⚠ Usa tipo Transferencia",IF(AND(P3517="Resultado trading",AD3517&lt;&gt;"Cuenta de trading"),"⚠ Usa una cuenta de trading",IF(AND(G3517&lt;=0,P3517&lt;&gt;"Ajuste",P3517&lt;&gt;"Resultado trading"),"⚠ El monto debe ser positivo","✓")))))))))))))))</f>
        <v/>
      </c>
      <c r="P3517" s="52">
        <f>IF(OR(B3517="",G3517=""),"",IF(C3517="","Gasto",C3517))</f>
        <v/>
      </c>
      <c r="Q3517" s="52">
        <f>IF(P3517="","",IF(J3517&lt;&gt;"",J3517,CuentaPred&amp;""))</f>
        <v/>
      </c>
      <c r="R3517" s="52">
        <f>IF(P3517="","",IF(ISNUMBER(I3517),I3517,TasaUSD))</f>
        <v/>
      </c>
      <c r="S3517" s="53">
        <f>IF(P3517="","",IF(H3517="USD",G3517*R3517,G3517))</f>
        <v/>
      </c>
      <c r="T3517" s="53">
        <f>IF(P3517="","",IF(H3517="USD",G3517,IF(R3517&gt;0,G3517/R3517,0)))</f>
        <v/>
      </c>
      <c r="U3517" s="53">
        <f>IF(P3517="","",IF(P3517="Gasto",S3517,IF(P3517="Reembolso",-S3517,0)))</f>
        <v/>
      </c>
      <c r="V3517" s="53">
        <f>IF(P3517="","",IF(P3517="Ingreso",S3517,0))</f>
        <v/>
      </c>
      <c r="W3517" s="53">
        <f>IF(P3517="","",IF(P3517="Resultado trading",S3517,0))</f>
        <v/>
      </c>
      <c r="X3517" s="52">
        <f>IF(OR(P3517="Gasto",P3517="Reembolso"),IF(M3517&lt;&gt;"",M3517,IFERROR(INDEX(catClasif,MATCH(D3517&amp;"|"&amp;E3517,catClave,0))&amp;"","Variable")),"")</f>
        <v/>
      </c>
      <c r="Y3517" s="52">
        <f>IF(P3517="","",IFERROR(INDEX(catGrupo,MATCH(D3517&amp;"|"&amp;E3517,catClave,0))&amp;"",""))</f>
        <v/>
      </c>
      <c r="Z3517" s="52">
        <f>IF(P3517="","",WEEKDAY(B3517,2))</f>
        <v/>
      </c>
      <c r="AA3517" s="52">
        <f>IF(P3517="","",IF(AND(P3517="Gasto",X3517="Variable",D3517&lt;&gt;catTrading,S3517&gt;0,S3517&lt;=Umbral),1,0))</f>
        <v/>
      </c>
      <c r="AB3517" s="52">
        <f>IF(OR(P3517="",Q3517=""),"",IFERROR(IF(INDEX(ctaVinc,MATCH(Q3517,ctaNombre,0))&amp;""&lt;&gt;"",INDEX(ctaVinc,MATCH(Q3517,ctaNombre,0))&amp;"",Q3517),Q3517))</f>
        <v/>
      </c>
      <c r="AC3517" s="52">
        <f>IF(OR(K3517="",AND(P3517&lt;&gt;"Transferencia",P3517&lt;&gt;"Pago tarjeta")),"",IFERROR(IF(INDEX(ctaVinc,MATCH(K3517,ctaNombre,0))&amp;""&lt;&gt;"",INDEX(ctaVinc,MATCH(K3517,ctaNombre,0))&amp;"",K3517),K3517))</f>
        <v/>
      </c>
      <c r="AD3517" s="52">
        <f>IF(AB3517="","",IFERROR(INDEX(ctaTipo,MATCH(AB3517,ctaNombre,0))&amp;"",""))</f>
        <v/>
      </c>
      <c r="AE3517" s="52">
        <f>IF(AC3517="","",IFERROR(INDEX(ctaTipo,MATCH(AC3517,ctaNombre,0))&amp;"",""))</f>
        <v/>
      </c>
      <c r="AF3517" s="53">
        <f>IF(OR(P3517="",AB3517=""),"",IF(OR(P3517="Gasto",P3517="Transferencia",P3517="Pago tarjeta"),-1,1)*IF(IFERROR(INDEX(ctaMoneda,MATCH(AB3517,ctaNombre,0))&amp;"","DOP")="USD",T3517,S3517))</f>
        <v/>
      </c>
      <c r="AG3517" s="53">
        <f>IF(AC3517="","",IF(IFERROR(INDEX(ctaMoneda,MATCH(AC3517,ctaNombre,0))&amp;"","DOP")="USD",T3517,S3517))</f>
        <v/>
      </c>
      <c r="AH3517" s="53">
        <f>IF(P3517="","",IF(AND(AD3517&lt;&gt;"",COUNTIFS(tcTipo,AD3517,tcLiq,"Sí")&gt;0),IF(OR(P3517="Gasto",P3517="Transferencia",P3517="Pago tarjeta"),-1,1)*S3517,0)+IF(AND(AE3517&lt;&gt;"",COUNTIFS(tcTipo,AE3517,tcLiq,"Sí")&gt;0),S3517,0))</f>
        <v/>
      </c>
      <c r="AI3517" s="52">
        <f>IF(OR(L3517="",P3517=""),"",IF(COUNTIFS(L$6:L3517,L3517,P$6:P3517,"?*")=1,MAX(AI$5:AI3516)+1,""))</f>
        <v/>
      </c>
    </row>
    <row r="3518">
      <c r="B3518" s="47" t="n"/>
      <c r="C3518" s="48" t="n"/>
      <c r="D3518" s="48" t="n"/>
      <c r="E3518" s="48" t="n"/>
      <c r="F3518" s="48" t="n"/>
      <c r="G3518" s="49" t="n"/>
      <c r="H3518" s="48" t="n"/>
      <c r="I3518" s="50" t="n"/>
      <c r="J3518" s="48" t="n"/>
      <c r="K3518" s="48" t="n"/>
      <c r="L3518" s="48" t="n"/>
      <c r="M3518" s="48" t="n"/>
      <c r="N3518" s="48" t="n"/>
      <c r="O3518" s="51">
        <f>IF(AND(B3518="",G3518="",C3518="",D3518="",J3518=""),"",IF(B3518="","⚠ Falta fecha",IF(G3518="","⚠ Falta monto",IF(Q3518="","⚠ Falta cuenta",IF(ISNA(MATCH(Q3518,ctaNombre,0)),"⚠ Cuenta no registrada",IF(AND(OR(P3518="Gasto",P3518="Reembolso"),D3518=""),"⚠ Falta categoría",IF(AND(D3518&lt;&gt;"",E3518&lt;&gt;"",ISNA(MATCH(D3518&amp;"|"&amp;E3518,catClave,0))),"⚠ Subcategoría no corresponde",IF(AND(OR(P3518="Transferencia",P3518="Pago tarjeta"),K3518=""),"⚠ Falta cuenta destino",IF(AND(K3518&lt;&gt;"",P3518&lt;&gt;"Transferencia",P3518&lt;&gt;"Pago tarjeta"),"⚠ Destino solo aplica a transferencias",IF(AND(K3518&lt;&gt;"",K3518=Q3518),"⚠ Origen igual a destino",IF(AND(K3518&lt;&gt;"",ISNA(MATCH(K3518,ctaNombre,0))),"⚠ Destino no registrado",IF(AND(P3518="Pago tarjeta",AE3518&lt;&gt;"Tarjeta de crédito"),"⚠ El destino debe ser tarjeta de crédito",IF(AND(P3518="Gasto",E3518="Depósitos y retiros"),"⚠ Usa tipo Transferencia",IF(AND(P3518="Resultado trading",AD3518&lt;&gt;"Cuenta de trading"),"⚠ Usa una cuenta de trading",IF(AND(G3518&lt;=0,P3518&lt;&gt;"Ajuste",P3518&lt;&gt;"Resultado trading"),"⚠ El monto debe ser positivo","✓")))))))))))))))</f>
        <v/>
      </c>
      <c r="P3518" s="52">
        <f>IF(OR(B3518="",G3518=""),"",IF(C3518="","Gasto",C3518))</f>
        <v/>
      </c>
      <c r="Q3518" s="52">
        <f>IF(P3518="","",IF(J3518&lt;&gt;"",J3518,CuentaPred&amp;""))</f>
        <v/>
      </c>
      <c r="R3518" s="52">
        <f>IF(P3518="","",IF(ISNUMBER(I3518),I3518,TasaUSD))</f>
        <v/>
      </c>
      <c r="S3518" s="53">
        <f>IF(P3518="","",IF(H3518="USD",G3518*R3518,G3518))</f>
        <v/>
      </c>
      <c r="T3518" s="53">
        <f>IF(P3518="","",IF(H3518="USD",G3518,IF(R3518&gt;0,G3518/R3518,0)))</f>
        <v/>
      </c>
      <c r="U3518" s="53">
        <f>IF(P3518="","",IF(P3518="Gasto",S3518,IF(P3518="Reembolso",-S3518,0)))</f>
        <v/>
      </c>
      <c r="V3518" s="53">
        <f>IF(P3518="","",IF(P3518="Ingreso",S3518,0))</f>
        <v/>
      </c>
      <c r="W3518" s="53">
        <f>IF(P3518="","",IF(P3518="Resultado trading",S3518,0))</f>
        <v/>
      </c>
      <c r="X3518" s="52">
        <f>IF(OR(P3518="Gasto",P3518="Reembolso"),IF(M3518&lt;&gt;"",M3518,IFERROR(INDEX(catClasif,MATCH(D3518&amp;"|"&amp;E3518,catClave,0))&amp;"","Variable")),"")</f>
        <v/>
      </c>
      <c r="Y3518" s="52">
        <f>IF(P3518="","",IFERROR(INDEX(catGrupo,MATCH(D3518&amp;"|"&amp;E3518,catClave,0))&amp;"",""))</f>
        <v/>
      </c>
      <c r="Z3518" s="52">
        <f>IF(P3518="","",WEEKDAY(B3518,2))</f>
        <v/>
      </c>
      <c r="AA3518" s="52">
        <f>IF(P3518="","",IF(AND(P3518="Gasto",X3518="Variable",D3518&lt;&gt;catTrading,S3518&gt;0,S3518&lt;=Umbral),1,0))</f>
        <v/>
      </c>
      <c r="AB3518" s="52">
        <f>IF(OR(P3518="",Q3518=""),"",IFERROR(IF(INDEX(ctaVinc,MATCH(Q3518,ctaNombre,0))&amp;""&lt;&gt;"",INDEX(ctaVinc,MATCH(Q3518,ctaNombre,0))&amp;"",Q3518),Q3518))</f>
        <v/>
      </c>
      <c r="AC3518" s="52">
        <f>IF(OR(K3518="",AND(P3518&lt;&gt;"Transferencia",P3518&lt;&gt;"Pago tarjeta")),"",IFERROR(IF(INDEX(ctaVinc,MATCH(K3518,ctaNombre,0))&amp;""&lt;&gt;"",INDEX(ctaVinc,MATCH(K3518,ctaNombre,0))&amp;"",K3518),K3518))</f>
        <v/>
      </c>
      <c r="AD3518" s="52">
        <f>IF(AB3518="","",IFERROR(INDEX(ctaTipo,MATCH(AB3518,ctaNombre,0))&amp;"",""))</f>
        <v/>
      </c>
      <c r="AE3518" s="52">
        <f>IF(AC3518="","",IFERROR(INDEX(ctaTipo,MATCH(AC3518,ctaNombre,0))&amp;"",""))</f>
        <v/>
      </c>
      <c r="AF3518" s="53">
        <f>IF(OR(P3518="",AB3518=""),"",IF(OR(P3518="Gasto",P3518="Transferencia",P3518="Pago tarjeta"),-1,1)*IF(IFERROR(INDEX(ctaMoneda,MATCH(AB3518,ctaNombre,0))&amp;"","DOP")="USD",T3518,S3518))</f>
        <v/>
      </c>
      <c r="AG3518" s="53">
        <f>IF(AC3518="","",IF(IFERROR(INDEX(ctaMoneda,MATCH(AC3518,ctaNombre,0))&amp;"","DOP")="USD",T3518,S3518))</f>
        <v/>
      </c>
      <c r="AH3518" s="53">
        <f>IF(P3518="","",IF(AND(AD3518&lt;&gt;"",COUNTIFS(tcTipo,AD3518,tcLiq,"Sí")&gt;0),IF(OR(P3518="Gasto",P3518="Transferencia",P3518="Pago tarjeta"),-1,1)*S3518,0)+IF(AND(AE3518&lt;&gt;"",COUNTIFS(tcTipo,AE3518,tcLiq,"Sí")&gt;0),S3518,0))</f>
        <v/>
      </c>
      <c r="AI3518" s="52">
        <f>IF(OR(L3518="",P3518=""),"",IF(COUNTIFS(L$6:L3518,L3518,P$6:P3518,"?*")=1,MAX(AI$5:AI3517)+1,""))</f>
        <v/>
      </c>
    </row>
    <row r="3519">
      <c r="B3519" s="47" t="n"/>
      <c r="C3519" s="48" t="n"/>
      <c r="D3519" s="48" t="n"/>
      <c r="E3519" s="48" t="n"/>
      <c r="F3519" s="48" t="n"/>
      <c r="G3519" s="49" t="n"/>
      <c r="H3519" s="48" t="n"/>
      <c r="I3519" s="50" t="n"/>
      <c r="J3519" s="48" t="n"/>
      <c r="K3519" s="48" t="n"/>
      <c r="L3519" s="48" t="n"/>
      <c r="M3519" s="48" t="n"/>
      <c r="N3519" s="48" t="n"/>
      <c r="O3519" s="51">
        <f>IF(AND(B3519="",G3519="",C3519="",D3519="",J3519=""),"",IF(B3519="","⚠ Falta fecha",IF(G3519="","⚠ Falta monto",IF(Q3519="","⚠ Falta cuenta",IF(ISNA(MATCH(Q3519,ctaNombre,0)),"⚠ Cuenta no registrada",IF(AND(OR(P3519="Gasto",P3519="Reembolso"),D3519=""),"⚠ Falta categoría",IF(AND(D3519&lt;&gt;"",E3519&lt;&gt;"",ISNA(MATCH(D3519&amp;"|"&amp;E3519,catClave,0))),"⚠ Subcategoría no corresponde",IF(AND(OR(P3519="Transferencia",P3519="Pago tarjeta"),K3519=""),"⚠ Falta cuenta destino",IF(AND(K3519&lt;&gt;"",P3519&lt;&gt;"Transferencia",P3519&lt;&gt;"Pago tarjeta"),"⚠ Destino solo aplica a transferencias",IF(AND(K3519&lt;&gt;"",K3519=Q3519),"⚠ Origen igual a destino",IF(AND(K3519&lt;&gt;"",ISNA(MATCH(K3519,ctaNombre,0))),"⚠ Destino no registrado",IF(AND(P3519="Pago tarjeta",AE3519&lt;&gt;"Tarjeta de crédito"),"⚠ El destino debe ser tarjeta de crédito",IF(AND(P3519="Gasto",E3519="Depósitos y retiros"),"⚠ Usa tipo Transferencia",IF(AND(P3519="Resultado trading",AD3519&lt;&gt;"Cuenta de trading"),"⚠ Usa una cuenta de trading",IF(AND(G3519&lt;=0,P3519&lt;&gt;"Ajuste",P3519&lt;&gt;"Resultado trading"),"⚠ El monto debe ser positivo","✓")))))))))))))))</f>
        <v/>
      </c>
      <c r="P3519" s="52">
        <f>IF(OR(B3519="",G3519=""),"",IF(C3519="","Gasto",C3519))</f>
        <v/>
      </c>
      <c r="Q3519" s="52">
        <f>IF(P3519="","",IF(J3519&lt;&gt;"",J3519,CuentaPred&amp;""))</f>
        <v/>
      </c>
      <c r="R3519" s="52">
        <f>IF(P3519="","",IF(ISNUMBER(I3519),I3519,TasaUSD))</f>
        <v/>
      </c>
      <c r="S3519" s="53">
        <f>IF(P3519="","",IF(H3519="USD",G3519*R3519,G3519))</f>
        <v/>
      </c>
      <c r="T3519" s="53">
        <f>IF(P3519="","",IF(H3519="USD",G3519,IF(R3519&gt;0,G3519/R3519,0)))</f>
        <v/>
      </c>
      <c r="U3519" s="53">
        <f>IF(P3519="","",IF(P3519="Gasto",S3519,IF(P3519="Reembolso",-S3519,0)))</f>
        <v/>
      </c>
      <c r="V3519" s="53">
        <f>IF(P3519="","",IF(P3519="Ingreso",S3519,0))</f>
        <v/>
      </c>
      <c r="W3519" s="53">
        <f>IF(P3519="","",IF(P3519="Resultado trading",S3519,0))</f>
        <v/>
      </c>
      <c r="X3519" s="52">
        <f>IF(OR(P3519="Gasto",P3519="Reembolso"),IF(M3519&lt;&gt;"",M3519,IFERROR(INDEX(catClasif,MATCH(D3519&amp;"|"&amp;E3519,catClave,0))&amp;"","Variable")),"")</f>
        <v/>
      </c>
      <c r="Y3519" s="52">
        <f>IF(P3519="","",IFERROR(INDEX(catGrupo,MATCH(D3519&amp;"|"&amp;E3519,catClave,0))&amp;"",""))</f>
        <v/>
      </c>
      <c r="Z3519" s="52">
        <f>IF(P3519="","",WEEKDAY(B3519,2))</f>
        <v/>
      </c>
      <c r="AA3519" s="52">
        <f>IF(P3519="","",IF(AND(P3519="Gasto",X3519="Variable",D3519&lt;&gt;catTrading,S3519&gt;0,S3519&lt;=Umbral),1,0))</f>
        <v/>
      </c>
      <c r="AB3519" s="52">
        <f>IF(OR(P3519="",Q3519=""),"",IFERROR(IF(INDEX(ctaVinc,MATCH(Q3519,ctaNombre,0))&amp;""&lt;&gt;"",INDEX(ctaVinc,MATCH(Q3519,ctaNombre,0))&amp;"",Q3519),Q3519))</f>
        <v/>
      </c>
      <c r="AC3519" s="52">
        <f>IF(OR(K3519="",AND(P3519&lt;&gt;"Transferencia",P3519&lt;&gt;"Pago tarjeta")),"",IFERROR(IF(INDEX(ctaVinc,MATCH(K3519,ctaNombre,0))&amp;""&lt;&gt;"",INDEX(ctaVinc,MATCH(K3519,ctaNombre,0))&amp;"",K3519),K3519))</f>
        <v/>
      </c>
      <c r="AD3519" s="52">
        <f>IF(AB3519="","",IFERROR(INDEX(ctaTipo,MATCH(AB3519,ctaNombre,0))&amp;"",""))</f>
        <v/>
      </c>
      <c r="AE3519" s="52">
        <f>IF(AC3519="","",IFERROR(INDEX(ctaTipo,MATCH(AC3519,ctaNombre,0))&amp;"",""))</f>
        <v/>
      </c>
      <c r="AF3519" s="53">
        <f>IF(OR(P3519="",AB3519=""),"",IF(OR(P3519="Gasto",P3519="Transferencia",P3519="Pago tarjeta"),-1,1)*IF(IFERROR(INDEX(ctaMoneda,MATCH(AB3519,ctaNombre,0))&amp;"","DOP")="USD",T3519,S3519))</f>
        <v/>
      </c>
      <c r="AG3519" s="53">
        <f>IF(AC3519="","",IF(IFERROR(INDEX(ctaMoneda,MATCH(AC3519,ctaNombre,0))&amp;"","DOP")="USD",T3519,S3519))</f>
        <v/>
      </c>
      <c r="AH3519" s="53">
        <f>IF(P3519="","",IF(AND(AD3519&lt;&gt;"",COUNTIFS(tcTipo,AD3519,tcLiq,"Sí")&gt;0),IF(OR(P3519="Gasto",P3519="Transferencia",P3519="Pago tarjeta"),-1,1)*S3519,0)+IF(AND(AE3519&lt;&gt;"",COUNTIFS(tcTipo,AE3519,tcLiq,"Sí")&gt;0),S3519,0))</f>
        <v/>
      </c>
      <c r="AI3519" s="52">
        <f>IF(OR(L3519="",P3519=""),"",IF(COUNTIFS(L$6:L3519,L3519,P$6:P3519,"?*")=1,MAX(AI$5:AI3518)+1,""))</f>
        <v/>
      </c>
    </row>
    <row r="3520">
      <c r="B3520" s="47" t="n"/>
      <c r="C3520" s="48" t="n"/>
      <c r="D3520" s="48" t="n"/>
      <c r="E3520" s="48" t="n"/>
      <c r="F3520" s="48" t="n"/>
      <c r="G3520" s="49" t="n"/>
      <c r="H3520" s="48" t="n"/>
      <c r="I3520" s="50" t="n"/>
      <c r="J3520" s="48" t="n"/>
      <c r="K3520" s="48" t="n"/>
      <c r="L3520" s="48" t="n"/>
      <c r="M3520" s="48" t="n"/>
      <c r="N3520" s="48" t="n"/>
      <c r="O3520" s="51">
        <f>IF(AND(B3520="",G3520="",C3520="",D3520="",J3520=""),"",IF(B3520="","⚠ Falta fecha",IF(G3520="","⚠ Falta monto",IF(Q3520="","⚠ Falta cuenta",IF(ISNA(MATCH(Q3520,ctaNombre,0)),"⚠ Cuenta no registrada",IF(AND(OR(P3520="Gasto",P3520="Reembolso"),D3520=""),"⚠ Falta categoría",IF(AND(D3520&lt;&gt;"",E3520&lt;&gt;"",ISNA(MATCH(D3520&amp;"|"&amp;E3520,catClave,0))),"⚠ Subcategoría no corresponde",IF(AND(OR(P3520="Transferencia",P3520="Pago tarjeta"),K3520=""),"⚠ Falta cuenta destino",IF(AND(K3520&lt;&gt;"",P3520&lt;&gt;"Transferencia",P3520&lt;&gt;"Pago tarjeta"),"⚠ Destino solo aplica a transferencias",IF(AND(K3520&lt;&gt;"",K3520=Q3520),"⚠ Origen igual a destino",IF(AND(K3520&lt;&gt;"",ISNA(MATCH(K3520,ctaNombre,0))),"⚠ Destino no registrado",IF(AND(P3520="Pago tarjeta",AE3520&lt;&gt;"Tarjeta de crédito"),"⚠ El destino debe ser tarjeta de crédito",IF(AND(P3520="Gasto",E3520="Depósitos y retiros"),"⚠ Usa tipo Transferencia",IF(AND(P3520="Resultado trading",AD3520&lt;&gt;"Cuenta de trading"),"⚠ Usa una cuenta de trading",IF(AND(G3520&lt;=0,P3520&lt;&gt;"Ajuste",P3520&lt;&gt;"Resultado trading"),"⚠ El monto debe ser positivo","✓")))))))))))))))</f>
        <v/>
      </c>
      <c r="P3520" s="52">
        <f>IF(OR(B3520="",G3520=""),"",IF(C3520="","Gasto",C3520))</f>
        <v/>
      </c>
      <c r="Q3520" s="52">
        <f>IF(P3520="","",IF(J3520&lt;&gt;"",J3520,CuentaPred&amp;""))</f>
        <v/>
      </c>
      <c r="R3520" s="52">
        <f>IF(P3520="","",IF(ISNUMBER(I3520),I3520,TasaUSD))</f>
        <v/>
      </c>
      <c r="S3520" s="53">
        <f>IF(P3520="","",IF(H3520="USD",G3520*R3520,G3520))</f>
        <v/>
      </c>
      <c r="T3520" s="53">
        <f>IF(P3520="","",IF(H3520="USD",G3520,IF(R3520&gt;0,G3520/R3520,0)))</f>
        <v/>
      </c>
      <c r="U3520" s="53">
        <f>IF(P3520="","",IF(P3520="Gasto",S3520,IF(P3520="Reembolso",-S3520,0)))</f>
        <v/>
      </c>
      <c r="V3520" s="53">
        <f>IF(P3520="","",IF(P3520="Ingreso",S3520,0))</f>
        <v/>
      </c>
      <c r="W3520" s="53">
        <f>IF(P3520="","",IF(P3520="Resultado trading",S3520,0))</f>
        <v/>
      </c>
      <c r="X3520" s="52">
        <f>IF(OR(P3520="Gasto",P3520="Reembolso"),IF(M3520&lt;&gt;"",M3520,IFERROR(INDEX(catClasif,MATCH(D3520&amp;"|"&amp;E3520,catClave,0))&amp;"","Variable")),"")</f>
        <v/>
      </c>
      <c r="Y3520" s="52">
        <f>IF(P3520="","",IFERROR(INDEX(catGrupo,MATCH(D3520&amp;"|"&amp;E3520,catClave,0))&amp;"",""))</f>
        <v/>
      </c>
      <c r="Z3520" s="52">
        <f>IF(P3520="","",WEEKDAY(B3520,2))</f>
        <v/>
      </c>
      <c r="AA3520" s="52">
        <f>IF(P3520="","",IF(AND(P3520="Gasto",X3520="Variable",D3520&lt;&gt;catTrading,S3520&gt;0,S3520&lt;=Umbral),1,0))</f>
        <v/>
      </c>
      <c r="AB3520" s="52">
        <f>IF(OR(P3520="",Q3520=""),"",IFERROR(IF(INDEX(ctaVinc,MATCH(Q3520,ctaNombre,0))&amp;""&lt;&gt;"",INDEX(ctaVinc,MATCH(Q3520,ctaNombre,0))&amp;"",Q3520),Q3520))</f>
        <v/>
      </c>
      <c r="AC3520" s="52">
        <f>IF(OR(K3520="",AND(P3520&lt;&gt;"Transferencia",P3520&lt;&gt;"Pago tarjeta")),"",IFERROR(IF(INDEX(ctaVinc,MATCH(K3520,ctaNombre,0))&amp;""&lt;&gt;"",INDEX(ctaVinc,MATCH(K3520,ctaNombre,0))&amp;"",K3520),K3520))</f>
        <v/>
      </c>
      <c r="AD3520" s="52">
        <f>IF(AB3520="","",IFERROR(INDEX(ctaTipo,MATCH(AB3520,ctaNombre,0))&amp;"",""))</f>
        <v/>
      </c>
      <c r="AE3520" s="52">
        <f>IF(AC3520="","",IFERROR(INDEX(ctaTipo,MATCH(AC3520,ctaNombre,0))&amp;"",""))</f>
        <v/>
      </c>
      <c r="AF3520" s="53">
        <f>IF(OR(P3520="",AB3520=""),"",IF(OR(P3520="Gasto",P3520="Transferencia",P3520="Pago tarjeta"),-1,1)*IF(IFERROR(INDEX(ctaMoneda,MATCH(AB3520,ctaNombre,0))&amp;"","DOP")="USD",T3520,S3520))</f>
        <v/>
      </c>
      <c r="AG3520" s="53">
        <f>IF(AC3520="","",IF(IFERROR(INDEX(ctaMoneda,MATCH(AC3520,ctaNombre,0))&amp;"","DOP")="USD",T3520,S3520))</f>
        <v/>
      </c>
      <c r="AH3520" s="53">
        <f>IF(P3520="","",IF(AND(AD3520&lt;&gt;"",COUNTIFS(tcTipo,AD3520,tcLiq,"Sí")&gt;0),IF(OR(P3520="Gasto",P3520="Transferencia",P3520="Pago tarjeta"),-1,1)*S3520,0)+IF(AND(AE3520&lt;&gt;"",COUNTIFS(tcTipo,AE3520,tcLiq,"Sí")&gt;0),S3520,0))</f>
        <v/>
      </c>
      <c r="AI3520" s="52">
        <f>IF(OR(L3520="",P3520=""),"",IF(COUNTIFS(L$6:L3520,L3520,P$6:P3520,"?*")=1,MAX(AI$5:AI3519)+1,""))</f>
        <v/>
      </c>
    </row>
    <row r="3521">
      <c r="B3521" s="47" t="n"/>
      <c r="C3521" s="48" t="n"/>
      <c r="D3521" s="48" t="n"/>
      <c r="E3521" s="48" t="n"/>
      <c r="F3521" s="48" t="n"/>
      <c r="G3521" s="49" t="n"/>
      <c r="H3521" s="48" t="n"/>
      <c r="I3521" s="50" t="n"/>
      <c r="J3521" s="48" t="n"/>
      <c r="K3521" s="48" t="n"/>
      <c r="L3521" s="48" t="n"/>
      <c r="M3521" s="48" t="n"/>
      <c r="N3521" s="48" t="n"/>
      <c r="O3521" s="51">
        <f>IF(AND(B3521="",G3521="",C3521="",D3521="",J3521=""),"",IF(B3521="","⚠ Falta fecha",IF(G3521="","⚠ Falta monto",IF(Q3521="","⚠ Falta cuenta",IF(ISNA(MATCH(Q3521,ctaNombre,0)),"⚠ Cuenta no registrada",IF(AND(OR(P3521="Gasto",P3521="Reembolso"),D3521=""),"⚠ Falta categoría",IF(AND(D3521&lt;&gt;"",E3521&lt;&gt;"",ISNA(MATCH(D3521&amp;"|"&amp;E3521,catClave,0))),"⚠ Subcategoría no corresponde",IF(AND(OR(P3521="Transferencia",P3521="Pago tarjeta"),K3521=""),"⚠ Falta cuenta destino",IF(AND(K3521&lt;&gt;"",P3521&lt;&gt;"Transferencia",P3521&lt;&gt;"Pago tarjeta"),"⚠ Destino solo aplica a transferencias",IF(AND(K3521&lt;&gt;"",K3521=Q3521),"⚠ Origen igual a destino",IF(AND(K3521&lt;&gt;"",ISNA(MATCH(K3521,ctaNombre,0))),"⚠ Destino no registrado",IF(AND(P3521="Pago tarjeta",AE3521&lt;&gt;"Tarjeta de crédito"),"⚠ El destino debe ser tarjeta de crédito",IF(AND(P3521="Gasto",E3521="Depósitos y retiros"),"⚠ Usa tipo Transferencia",IF(AND(P3521="Resultado trading",AD3521&lt;&gt;"Cuenta de trading"),"⚠ Usa una cuenta de trading",IF(AND(G3521&lt;=0,P3521&lt;&gt;"Ajuste",P3521&lt;&gt;"Resultado trading"),"⚠ El monto debe ser positivo","✓")))))))))))))))</f>
        <v/>
      </c>
      <c r="P3521" s="52">
        <f>IF(OR(B3521="",G3521=""),"",IF(C3521="","Gasto",C3521))</f>
        <v/>
      </c>
      <c r="Q3521" s="52">
        <f>IF(P3521="","",IF(J3521&lt;&gt;"",J3521,CuentaPred&amp;""))</f>
        <v/>
      </c>
      <c r="R3521" s="52">
        <f>IF(P3521="","",IF(ISNUMBER(I3521),I3521,TasaUSD))</f>
        <v/>
      </c>
      <c r="S3521" s="53">
        <f>IF(P3521="","",IF(H3521="USD",G3521*R3521,G3521))</f>
        <v/>
      </c>
      <c r="T3521" s="53">
        <f>IF(P3521="","",IF(H3521="USD",G3521,IF(R3521&gt;0,G3521/R3521,0)))</f>
        <v/>
      </c>
      <c r="U3521" s="53">
        <f>IF(P3521="","",IF(P3521="Gasto",S3521,IF(P3521="Reembolso",-S3521,0)))</f>
        <v/>
      </c>
      <c r="V3521" s="53">
        <f>IF(P3521="","",IF(P3521="Ingreso",S3521,0))</f>
        <v/>
      </c>
      <c r="W3521" s="53">
        <f>IF(P3521="","",IF(P3521="Resultado trading",S3521,0))</f>
        <v/>
      </c>
      <c r="X3521" s="52">
        <f>IF(OR(P3521="Gasto",P3521="Reembolso"),IF(M3521&lt;&gt;"",M3521,IFERROR(INDEX(catClasif,MATCH(D3521&amp;"|"&amp;E3521,catClave,0))&amp;"","Variable")),"")</f>
        <v/>
      </c>
      <c r="Y3521" s="52">
        <f>IF(P3521="","",IFERROR(INDEX(catGrupo,MATCH(D3521&amp;"|"&amp;E3521,catClave,0))&amp;"",""))</f>
        <v/>
      </c>
      <c r="Z3521" s="52">
        <f>IF(P3521="","",WEEKDAY(B3521,2))</f>
        <v/>
      </c>
      <c r="AA3521" s="52">
        <f>IF(P3521="","",IF(AND(P3521="Gasto",X3521="Variable",D3521&lt;&gt;catTrading,S3521&gt;0,S3521&lt;=Umbral),1,0))</f>
        <v/>
      </c>
      <c r="AB3521" s="52">
        <f>IF(OR(P3521="",Q3521=""),"",IFERROR(IF(INDEX(ctaVinc,MATCH(Q3521,ctaNombre,0))&amp;""&lt;&gt;"",INDEX(ctaVinc,MATCH(Q3521,ctaNombre,0))&amp;"",Q3521),Q3521))</f>
        <v/>
      </c>
      <c r="AC3521" s="52">
        <f>IF(OR(K3521="",AND(P3521&lt;&gt;"Transferencia",P3521&lt;&gt;"Pago tarjeta")),"",IFERROR(IF(INDEX(ctaVinc,MATCH(K3521,ctaNombre,0))&amp;""&lt;&gt;"",INDEX(ctaVinc,MATCH(K3521,ctaNombre,0))&amp;"",K3521),K3521))</f>
        <v/>
      </c>
      <c r="AD3521" s="52">
        <f>IF(AB3521="","",IFERROR(INDEX(ctaTipo,MATCH(AB3521,ctaNombre,0))&amp;"",""))</f>
        <v/>
      </c>
      <c r="AE3521" s="52">
        <f>IF(AC3521="","",IFERROR(INDEX(ctaTipo,MATCH(AC3521,ctaNombre,0))&amp;"",""))</f>
        <v/>
      </c>
      <c r="AF3521" s="53">
        <f>IF(OR(P3521="",AB3521=""),"",IF(OR(P3521="Gasto",P3521="Transferencia",P3521="Pago tarjeta"),-1,1)*IF(IFERROR(INDEX(ctaMoneda,MATCH(AB3521,ctaNombre,0))&amp;"","DOP")="USD",T3521,S3521))</f>
        <v/>
      </c>
      <c r="AG3521" s="53">
        <f>IF(AC3521="","",IF(IFERROR(INDEX(ctaMoneda,MATCH(AC3521,ctaNombre,0))&amp;"","DOP")="USD",T3521,S3521))</f>
        <v/>
      </c>
      <c r="AH3521" s="53">
        <f>IF(P3521="","",IF(AND(AD3521&lt;&gt;"",COUNTIFS(tcTipo,AD3521,tcLiq,"Sí")&gt;0),IF(OR(P3521="Gasto",P3521="Transferencia",P3521="Pago tarjeta"),-1,1)*S3521,0)+IF(AND(AE3521&lt;&gt;"",COUNTIFS(tcTipo,AE3521,tcLiq,"Sí")&gt;0),S3521,0))</f>
        <v/>
      </c>
      <c r="AI3521" s="52">
        <f>IF(OR(L3521="",P3521=""),"",IF(COUNTIFS(L$6:L3521,L3521,P$6:P3521,"?*")=1,MAX(AI$5:AI3520)+1,""))</f>
        <v/>
      </c>
    </row>
    <row r="3522">
      <c r="B3522" s="47" t="n"/>
      <c r="C3522" s="48" t="n"/>
      <c r="D3522" s="48" t="n"/>
      <c r="E3522" s="48" t="n"/>
      <c r="F3522" s="48" t="n"/>
      <c r="G3522" s="49" t="n"/>
      <c r="H3522" s="48" t="n"/>
      <c r="I3522" s="50" t="n"/>
      <c r="J3522" s="48" t="n"/>
      <c r="K3522" s="48" t="n"/>
      <c r="L3522" s="48" t="n"/>
      <c r="M3522" s="48" t="n"/>
      <c r="N3522" s="48" t="n"/>
      <c r="O3522" s="51">
        <f>IF(AND(B3522="",G3522="",C3522="",D3522="",J3522=""),"",IF(B3522="","⚠ Falta fecha",IF(G3522="","⚠ Falta monto",IF(Q3522="","⚠ Falta cuenta",IF(ISNA(MATCH(Q3522,ctaNombre,0)),"⚠ Cuenta no registrada",IF(AND(OR(P3522="Gasto",P3522="Reembolso"),D3522=""),"⚠ Falta categoría",IF(AND(D3522&lt;&gt;"",E3522&lt;&gt;"",ISNA(MATCH(D3522&amp;"|"&amp;E3522,catClave,0))),"⚠ Subcategoría no corresponde",IF(AND(OR(P3522="Transferencia",P3522="Pago tarjeta"),K3522=""),"⚠ Falta cuenta destino",IF(AND(K3522&lt;&gt;"",P3522&lt;&gt;"Transferencia",P3522&lt;&gt;"Pago tarjeta"),"⚠ Destino solo aplica a transferencias",IF(AND(K3522&lt;&gt;"",K3522=Q3522),"⚠ Origen igual a destino",IF(AND(K3522&lt;&gt;"",ISNA(MATCH(K3522,ctaNombre,0))),"⚠ Destino no registrado",IF(AND(P3522="Pago tarjeta",AE3522&lt;&gt;"Tarjeta de crédito"),"⚠ El destino debe ser tarjeta de crédito",IF(AND(P3522="Gasto",E3522="Depósitos y retiros"),"⚠ Usa tipo Transferencia",IF(AND(P3522="Resultado trading",AD3522&lt;&gt;"Cuenta de trading"),"⚠ Usa una cuenta de trading",IF(AND(G3522&lt;=0,P3522&lt;&gt;"Ajuste",P3522&lt;&gt;"Resultado trading"),"⚠ El monto debe ser positivo","✓")))))))))))))))</f>
        <v/>
      </c>
      <c r="P3522" s="52">
        <f>IF(OR(B3522="",G3522=""),"",IF(C3522="","Gasto",C3522))</f>
        <v/>
      </c>
      <c r="Q3522" s="52">
        <f>IF(P3522="","",IF(J3522&lt;&gt;"",J3522,CuentaPred&amp;""))</f>
        <v/>
      </c>
      <c r="R3522" s="52">
        <f>IF(P3522="","",IF(ISNUMBER(I3522),I3522,TasaUSD))</f>
        <v/>
      </c>
      <c r="S3522" s="53">
        <f>IF(P3522="","",IF(H3522="USD",G3522*R3522,G3522))</f>
        <v/>
      </c>
      <c r="T3522" s="53">
        <f>IF(P3522="","",IF(H3522="USD",G3522,IF(R3522&gt;0,G3522/R3522,0)))</f>
        <v/>
      </c>
      <c r="U3522" s="53">
        <f>IF(P3522="","",IF(P3522="Gasto",S3522,IF(P3522="Reembolso",-S3522,0)))</f>
        <v/>
      </c>
      <c r="V3522" s="53">
        <f>IF(P3522="","",IF(P3522="Ingreso",S3522,0))</f>
        <v/>
      </c>
      <c r="W3522" s="53">
        <f>IF(P3522="","",IF(P3522="Resultado trading",S3522,0))</f>
        <v/>
      </c>
      <c r="X3522" s="52">
        <f>IF(OR(P3522="Gasto",P3522="Reembolso"),IF(M3522&lt;&gt;"",M3522,IFERROR(INDEX(catClasif,MATCH(D3522&amp;"|"&amp;E3522,catClave,0))&amp;"","Variable")),"")</f>
        <v/>
      </c>
      <c r="Y3522" s="52">
        <f>IF(P3522="","",IFERROR(INDEX(catGrupo,MATCH(D3522&amp;"|"&amp;E3522,catClave,0))&amp;"",""))</f>
        <v/>
      </c>
      <c r="Z3522" s="52">
        <f>IF(P3522="","",WEEKDAY(B3522,2))</f>
        <v/>
      </c>
      <c r="AA3522" s="52">
        <f>IF(P3522="","",IF(AND(P3522="Gasto",X3522="Variable",D3522&lt;&gt;catTrading,S3522&gt;0,S3522&lt;=Umbral),1,0))</f>
        <v/>
      </c>
      <c r="AB3522" s="52">
        <f>IF(OR(P3522="",Q3522=""),"",IFERROR(IF(INDEX(ctaVinc,MATCH(Q3522,ctaNombre,0))&amp;""&lt;&gt;"",INDEX(ctaVinc,MATCH(Q3522,ctaNombre,0))&amp;"",Q3522),Q3522))</f>
        <v/>
      </c>
      <c r="AC3522" s="52">
        <f>IF(OR(K3522="",AND(P3522&lt;&gt;"Transferencia",P3522&lt;&gt;"Pago tarjeta")),"",IFERROR(IF(INDEX(ctaVinc,MATCH(K3522,ctaNombre,0))&amp;""&lt;&gt;"",INDEX(ctaVinc,MATCH(K3522,ctaNombre,0))&amp;"",K3522),K3522))</f>
        <v/>
      </c>
      <c r="AD3522" s="52">
        <f>IF(AB3522="","",IFERROR(INDEX(ctaTipo,MATCH(AB3522,ctaNombre,0))&amp;"",""))</f>
        <v/>
      </c>
      <c r="AE3522" s="52">
        <f>IF(AC3522="","",IFERROR(INDEX(ctaTipo,MATCH(AC3522,ctaNombre,0))&amp;"",""))</f>
        <v/>
      </c>
      <c r="AF3522" s="53">
        <f>IF(OR(P3522="",AB3522=""),"",IF(OR(P3522="Gasto",P3522="Transferencia",P3522="Pago tarjeta"),-1,1)*IF(IFERROR(INDEX(ctaMoneda,MATCH(AB3522,ctaNombre,0))&amp;"","DOP")="USD",T3522,S3522))</f>
        <v/>
      </c>
      <c r="AG3522" s="53">
        <f>IF(AC3522="","",IF(IFERROR(INDEX(ctaMoneda,MATCH(AC3522,ctaNombre,0))&amp;"","DOP")="USD",T3522,S3522))</f>
        <v/>
      </c>
      <c r="AH3522" s="53">
        <f>IF(P3522="","",IF(AND(AD3522&lt;&gt;"",COUNTIFS(tcTipo,AD3522,tcLiq,"Sí")&gt;0),IF(OR(P3522="Gasto",P3522="Transferencia",P3522="Pago tarjeta"),-1,1)*S3522,0)+IF(AND(AE3522&lt;&gt;"",COUNTIFS(tcTipo,AE3522,tcLiq,"Sí")&gt;0),S3522,0))</f>
        <v/>
      </c>
      <c r="AI3522" s="52">
        <f>IF(OR(L3522="",P3522=""),"",IF(COUNTIFS(L$6:L3522,L3522,P$6:P3522,"?*")=1,MAX(AI$5:AI3521)+1,""))</f>
        <v/>
      </c>
    </row>
    <row r="3523">
      <c r="B3523" s="47" t="n"/>
      <c r="C3523" s="48" t="n"/>
      <c r="D3523" s="48" t="n"/>
      <c r="E3523" s="48" t="n"/>
      <c r="F3523" s="48" t="n"/>
      <c r="G3523" s="49" t="n"/>
      <c r="H3523" s="48" t="n"/>
      <c r="I3523" s="50" t="n"/>
      <c r="J3523" s="48" t="n"/>
      <c r="K3523" s="48" t="n"/>
      <c r="L3523" s="48" t="n"/>
      <c r="M3523" s="48" t="n"/>
      <c r="N3523" s="48" t="n"/>
      <c r="O3523" s="51">
        <f>IF(AND(B3523="",G3523="",C3523="",D3523="",J3523=""),"",IF(B3523="","⚠ Falta fecha",IF(G3523="","⚠ Falta monto",IF(Q3523="","⚠ Falta cuenta",IF(ISNA(MATCH(Q3523,ctaNombre,0)),"⚠ Cuenta no registrada",IF(AND(OR(P3523="Gasto",P3523="Reembolso"),D3523=""),"⚠ Falta categoría",IF(AND(D3523&lt;&gt;"",E3523&lt;&gt;"",ISNA(MATCH(D3523&amp;"|"&amp;E3523,catClave,0))),"⚠ Subcategoría no corresponde",IF(AND(OR(P3523="Transferencia",P3523="Pago tarjeta"),K3523=""),"⚠ Falta cuenta destino",IF(AND(K3523&lt;&gt;"",P3523&lt;&gt;"Transferencia",P3523&lt;&gt;"Pago tarjeta"),"⚠ Destino solo aplica a transferencias",IF(AND(K3523&lt;&gt;"",K3523=Q3523),"⚠ Origen igual a destino",IF(AND(K3523&lt;&gt;"",ISNA(MATCH(K3523,ctaNombre,0))),"⚠ Destino no registrado",IF(AND(P3523="Pago tarjeta",AE3523&lt;&gt;"Tarjeta de crédito"),"⚠ El destino debe ser tarjeta de crédito",IF(AND(P3523="Gasto",E3523="Depósitos y retiros"),"⚠ Usa tipo Transferencia",IF(AND(P3523="Resultado trading",AD3523&lt;&gt;"Cuenta de trading"),"⚠ Usa una cuenta de trading",IF(AND(G3523&lt;=0,P3523&lt;&gt;"Ajuste",P3523&lt;&gt;"Resultado trading"),"⚠ El monto debe ser positivo","✓")))))))))))))))</f>
        <v/>
      </c>
      <c r="P3523" s="52">
        <f>IF(OR(B3523="",G3523=""),"",IF(C3523="","Gasto",C3523))</f>
        <v/>
      </c>
      <c r="Q3523" s="52">
        <f>IF(P3523="","",IF(J3523&lt;&gt;"",J3523,CuentaPred&amp;""))</f>
        <v/>
      </c>
      <c r="R3523" s="52">
        <f>IF(P3523="","",IF(ISNUMBER(I3523),I3523,TasaUSD))</f>
        <v/>
      </c>
      <c r="S3523" s="53">
        <f>IF(P3523="","",IF(H3523="USD",G3523*R3523,G3523))</f>
        <v/>
      </c>
      <c r="T3523" s="53">
        <f>IF(P3523="","",IF(H3523="USD",G3523,IF(R3523&gt;0,G3523/R3523,0)))</f>
        <v/>
      </c>
      <c r="U3523" s="53">
        <f>IF(P3523="","",IF(P3523="Gasto",S3523,IF(P3523="Reembolso",-S3523,0)))</f>
        <v/>
      </c>
      <c r="V3523" s="53">
        <f>IF(P3523="","",IF(P3523="Ingreso",S3523,0))</f>
        <v/>
      </c>
      <c r="W3523" s="53">
        <f>IF(P3523="","",IF(P3523="Resultado trading",S3523,0))</f>
        <v/>
      </c>
      <c r="X3523" s="52">
        <f>IF(OR(P3523="Gasto",P3523="Reembolso"),IF(M3523&lt;&gt;"",M3523,IFERROR(INDEX(catClasif,MATCH(D3523&amp;"|"&amp;E3523,catClave,0))&amp;"","Variable")),"")</f>
        <v/>
      </c>
      <c r="Y3523" s="52">
        <f>IF(P3523="","",IFERROR(INDEX(catGrupo,MATCH(D3523&amp;"|"&amp;E3523,catClave,0))&amp;"",""))</f>
        <v/>
      </c>
      <c r="Z3523" s="52">
        <f>IF(P3523="","",WEEKDAY(B3523,2))</f>
        <v/>
      </c>
      <c r="AA3523" s="52">
        <f>IF(P3523="","",IF(AND(P3523="Gasto",X3523="Variable",D3523&lt;&gt;catTrading,S3523&gt;0,S3523&lt;=Umbral),1,0))</f>
        <v/>
      </c>
      <c r="AB3523" s="52">
        <f>IF(OR(P3523="",Q3523=""),"",IFERROR(IF(INDEX(ctaVinc,MATCH(Q3523,ctaNombre,0))&amp;""&lt;&gt;"",INDEX(ctaVinc,MATCH(Q3523,ctaNombre,0))&amp;"",Q3523),Q3523))</f>
        <v/>
      </c>
      <c r="AC3523" s="52">
        <f>IF(OR(K3523="",AND(P3523&lt;&gt;"Transferencia",P3523&lt;&gt;"Pago tarjeta")),"",IFERROR(IF(INDEX(ctaVinc,MATCH(K3523,ctaNombre,0))&amp;""&lt;&gt;"",INDEX(ctaVinc,MATCH(K3523,ctaNombre,0))&amp;"",K3523),K3523))</f>
        <v/>
      </c>
      <c r="AD3523" s="52">
        <f>IF(AB3523="","",IFERROR(INDEX(ctaTipo,MATCH(AB3523,ctaNombre,0))&amp;"",""))</f>
        <v/>
      </c>
      <c r="AE3523" s="52">
        <f>IF(AC3523="","",IFERROR(INDEX(ctaTipo,MATCH(AC3523,ctaNombre,0))&amp;"",""))</f>
        <v/>
      </c>
      <c r="AF3523" s="53">
        <f>IF(OR(P3523="",AB3523=""),"",IF(OR(P3523="Gasto",P3523="Transferencia",P3523="Pago tarjeta"),-1,1)*IF(IFERROR(INDEX(ctaMoneda,MATCH(AB3523,ctaNombre,0))&amp;"","DOP")="USD",T3523,S3523))</f>
        <v/>
      </c>
      <c r="AG3523" s="53">
        <f>IF(AC3523="","",IF(IFERROR(INDEX(ctaMoneda,MATCH(AC3523,ctaNombre,0))&amp;"","DOP")="USD",T3523,S3523))</f>
        <v/>
      </c>
      <c r="AH3523" s="53">
        <f>IF(P3523="","",IF(AND(AD3523&lt;&gt;"",COUNTIFS(tcTipo,AD3523,tcLiq,"Sí")&gt;0),IF(OR(P3523="Gasto",P3523="Transferencia",P3523="Pago tarjeta"),-1,1)*S3523,0)+IF(AND(AE3523&lt;&gt;"",COUNTIFS(tcTipo,AE3523,tcLiq,"Sí")&gt;0),S3523,0))</f>
        <v/>
      </c>
      <c r="AI3523" s="52">
        <f>IF(OR(L3523="",P3523=""),"",IF(COUNTIFS(L$6:L3523,L3523,P$6:P3523,"?*")=1,MAX(AI$5:AI3522)+1,""))</f>
        <v/>
      </c>
    </row>
    <row r="3524">
      <c r="B3524" s="47" t="n"/>
      <c r="C3524" s="48" t="n"/>
      <c r="D3524" s="48" t="n"/>
      <c r="E3524" s="48" t="n"/>
      <c r="F3524" s="48" t="n"/>
      <c r="G3524" s="49" t="n"/>
      <c r="H3524" s="48" t="n"/>
      <c r="I3524" s="50" t="n"/>
      <c r="J3524" s="48" t="n"/>
      <c r="K3524" s="48" t="n"/>
      <c r="L3524" s="48" t="n"/>
      <c r="M3524" s="48" t="n"/>
      <c r="N3524" s="48" t="n"/>
      <c r="O3524" s="51">
        <f>IF(AND(B3524="",G3524="",C3524="",D3524="",J3524=""),"",IF(B3524="","⚠ Falta fecha",IF(G3524="","⚠ Falta monto",IF(Q3524="","⚠ Falta cuenta",IF(ISNA(MATCH(Q3524,ctaNombre,0)),"⚠ Cuenta no registrada",IF(AND(OR(P3524="Gasto",P3524="Reembolso"),D3524=""),"⚠ Falta categoría",IF(AND(D3524&lt;&gt;"",E3524&lt;&gt;"",ISNA(MATCH(D3524&amp;"|"&amp;E3524,catClave,0))),"⚠ Subcategoría no corresponde",IF(AND(OR(P3524="Transferencia",P3524="Pago tarjeta"),K3524=""),"⚠ Falta cuenta destino",IF(AND(K3524&lt;&gt;"",P3524&lt;&gt;"Transferencia",P3524&lt;&gt;"Pago tarjeta"),"⚠ Destino solo aplica a transferencias",IF(AND(K3524&lt;&gt;"",K3524=Q3524),"⚠ Origen igual a destino",IF(AND(K3524&lt;&gt;"",ISNA(MATCH(K3524,ctaNombre,0))),"⚠ Destino no registrado",IF(AND(P3524="Pago tarjeta",AE3524&lt;&gt;"Tarjeta de crédito"),"⚠ El destino debe ser tarjeta de crédito",IF(AND(P3524="Gasto",E3524="Depósitos y retiros"),"⚠ Usa tipo Transferencia",IF(AND(P3524="Resultado trading",AD3524&lt;&gt;"Cuenta de trading"),"⚠ Usa una cuenta de trading",IF(AND(G3524&lt;=0,P3524&lt;&gt;"Ajuste",P3524&lt;&gt;"Resultado trading"),"⚠ El monto debe ser positivo","✓")))))))))))))))</f>
        <v/>
      </c>
      <c r="P3524" s="52">
        <f>IF(OR(B3524="",G3524=""),"",IF(C3524="","Gasto",C3524))</f>
        <v/>
      </c>
      <c r="Q3524" s="52">
        <f>IF(P3524="","",IF(J3524&lt;&gt;"",J3524,CuentaPred&amp;""))</f>
        <v/>
      </c>
      <c r="R3524" s="52">
        <f>IF(P3524="","",IF(ISNUMBER(I3524),I3524,TasaUSD))</f>
        <v/>
      </c>
      <c r="S3524" s="53">
        <f>IF(P3524="","",IF(H3524="USD",G3524*R3524,G3524))</f>
        <v/>
      </c>
      <c r="T3524" s="53">
        <f>IF(P3524="","",IF(H3524="USD",G3524,IF(R3524&gt;0,G3524/R3524,0)))</f>
        <v/>
      </c>
      <c r="U3524" s="53">
        <f>IF(P3524="","",IF(P3524="Gasto",S3524,IF(P3524="Reembolso",-S3524,0)))</f>
        <v/>
      </c>
      <c r="V3524" s="53">
        <f>IF(P3524="","",IF(P3524="Ingreso",S3524,0))</f>
        <v/>
      </c>
      <c r="W3524" s="53">
        <f>IF(P3524="","",IF(P3524="Resultado trading",S3524,0))</f>
        <v/>
      </c>
      <c r="X3524" s="52">
        <f>IF(OR(P3524="Gasto",P3524="Reembolso"),IF(M3524&lt;&gt;"",M3524,IFERROR(INDEX(catClasif,MATCH(D3524&amp;"|"&amp;E3524,catClave,0))&amp;"","Variable")),"")</f>
        <v/>
      </c>
      <c r="Y3524" s="52">
        <f>IF(P3524="","",IFERROR(INDEX(catGrupo,MATCH(D3524&amp;"|"&amp;E3524,catClave,0))&amp;"",""))</f>
        <v/>
      </c>
      <c r="Z3524" s="52">
        <f>IF(P3524="","",WEEKDAY(B3524,2))</f>
        <v/>
      </c>
      <c r="AA3524" s="52">
        <f>IF(P3524="","",IF(AND(P3524="Gasto",X3524="Variable",D3524&lt;&gt;catTrading,S3524&gt;0,S3524&lt;=Umbral),1,0))</f>
        <v/>
      </c>
      <c r="AB3524" s="52">
        <f>IF(OR(P3524="",Q3524=""),"",IFERROR(IF(INDEX(ctaVinc,MATCH(Q3524,ctaNombre,0))&amp;""&lt;&gt;"",INDEX(ctaVinc,MATCH(Q3524,ctaNombre,0))&amp;"",Q3524),Q3524))</f>
        <v/>
      </c>
      <c r="AC3524" s="52">
        <f>IF(OR(K3524="",AND(P3524&lt;&gt;"Transferencia",P3524&lt;&gt;"Pago tarjeta")),"",IFERROR(IF(INDEX(ctaVinc,MATCH(K3524,ctaNombre,0))&amp;""&lt;&gt;"",INDEX(ctaVinc,MATCH(K3524,ctaNombre,0))&amp;"",K3524),K3524))</f>
        <v/>
      </c>
      <c r="AD3524" s="52">
        <f>IF(AB3524="","",IFERROR(INDEX(ctaTipo,MATCH(AB3524,ctaNombre,0))&amp;"",""))</f>
        <v/>
      </c>
      <c r="AE3524" s="52">
        <f>IF(AC3524="","",IFERROR(INDEX(ctaTipo,MATCH(AC3524,ctaNombre,0))&amp;"",""))</f>
        <v/>
      </c>
      <c r="AF3524" s="53">
        <f>IF(OR(P3524="",AB3524=""),"",IF(OR(P3524="Gasto",P3524="Transferencia",P3524="Pago tarjeta"),-1,1)*IF(IFERROR(INDEX(ctaMoneda,MATCH(AB3524,ctaNombre,0))&amp;"","DOP")="USD",T3524,S3524))</f>
        <v/>
      </c>
      <c r="AG3524" s="53">
        <f>IF(AC3524="","",IF(IFERROR(INDEX(ctaMoneda,MATCH(AC3524,ctaNombre,0))&amp;"","DOP")="USD",T3524,S3524))</f>
        <v/>
      </c>
      <c r="AH3524" s="53">
        <f>IF(P3524="","",IF(AND(AD3524&lt;&gt;"",COUNTIFS(tcTipo,AD3524,tcLiq,"Sí")&gt;0),IF(OR(P3524="Gasto",P3524="Transferencia",P3524="Pago tarjeta"),-1,1)*S3524,0)+IF(AND(AE3524&lt;&gt;"",COUNTIFS(tcTipo,AE3524,tcLiq,"Sí")&gt;0),S3524,0))</f>
        <v/>
      </c>
      <c r="AI3524" s="52">
        <f>IF(OR(L3524="",P3524=""),"",IF(COUNTIFS(L$6:L3524,L3524,P$6:P3524,"?*")=1,MAX(AI$5:AI3523)+1,""))</f>
        <v/>
      </c>
    </row>
    <row r="3525">
      <c r="B3525" s="47" t="n"/>
      <c r="C3525" s="48" t="n"/>
      <c r="D3525" s="48" t="n"/>
      <c r="E3525" s="48" t="n"/>
      <c r="F3525" s="48" t="n"/>
      <c r="G3525" s="49" t="n"/>
      <c r="H3525" s="48" t="n"/>
      <c r="I3525" s="50" t="n"/>
      <c r="J3525" s="48" t="n"/>
      <c r="K3525" s="48" t="n"/>
      <c r="L3525" s="48" t="n"/>
      <c r="M3525" s="48" t="n"/>
      <c r="N3525" s="48" t="n"/>
      <c r="O3525" s="51">
        <f>IF(AND(B3525="",G3525="",C3525="",D3525="",J3525=""),"",IF(B3525="","⚠ Falta fecha",IF(G3525="","⚠ Falta monto",IF(Q3525="","⚠ Falta cuenta",IF(ISNA(MATCH(Q3525,ctaNombre,0)),"⚠ Cuenta no registrada",IF(AND(OR(P3525="Gasto",P3525="Reembolso"),D3525=""),"⚠ Falta categoría",IF(AND(D3525&lt;&gt;"",E3525&lt;&gt;"",ISNA(MATCH(D3525&amp;"|"&amp;E3525,catClave,0))),"⚠ Subcategoría no corresponde",IF(AND(OR(P3525="Transferencia",P3525="Pago tarjeta"),K3525=""),"⚠ Falta cuenta destino",IF(AND(K3525&lt;&gt;"",P3525&lt;&gt;"Transferencia",P3525&lt;&gt;"Pago tarjeta"),"⚠ Destino solo aplica a transferencias",IF(AND(K3525&lt;&gt;"",K3525=Q3525),"⚠ Origen igual a destino",IF(AND(K3525&lt;&gt;"",ISNA(MATCH(K3525,ctaNombre,0))),"⚠ Destino no registrado",IF(AND(P3525="Pago tarjeta",AE3525&lt;&gt;"Tarjeta de crédito"),"⚠ El destino debe ser tarjeta de crédito",IF(AND(P3525="Gasto",E3525="Depósitos y retiros"),"⚠ Usa tipo Transferencia",IF(AND(P3525="Resultado trading",AD3525&lt;&gt;"Cuenta de trading"),"⚠ Usa una cuenta de trading",IF(AND(G3525&lt;=0,P3525&lt;&gt;"Ajuste",P3525&lt;&gt;"Resultado trading"),"⚠ El monto debe ser positivo","✓")))))))))))))))</f>
        <v/>
      </c>
      <c r="P3525" s="52">
        <f>IF(OR(B3525="",G3525=""),"",IF(C3525="","Gasto",C3525))</f>
        <v/>
      </c>
      <c r="Q3525" s="52">
        <f>IF(P3525="","",IF(J3525&lt;&gt;"",J3525,CuentaPred&amp;""))</f>
        <v/>
      </c>
      <c r="R3525" s="52">
        <f>IF(P3525="","",IF(ISNUMBER(I3525),I3525,TasaUSD))</f>
        <v/>
      </c>
      <c r="S3525" s="53">
        <f>IF(P3525="","",IF(H3525="USD",G3525*R3525,G3525))</f>
        <v/>
      </c>
      <c r="T3525" s="53">
        <f>IF(P3525="","",IF(H3525="USD",G3525,IF(R3525&gt;0,G3525/R3525,0)))</f>
        <v/>
      </c>
      <c r="U3525" s="53">
        <f>IF(P3525="","",IF(P3525="Gasto",S3525,IF(P3525="Reembolso",-S3525,0)))</f>
        <v/>
      </c>
      <c r="V3525" s="53">
        <f>IF(P3525="","",IF(P3525="Ingreso",S3525,0))</f>
        <v/>
      </c>
      <c r="W3525" s="53">
        <f>IF(P3525="","",IF(P3525="Resultado trading",S3525,0))</f>
        <v/>
      </c>
      <c r="X3525" s="52">
        <f>IF(OR(P3525="Gasto",P3525="Reembolso"),IF(M3525&lt;&gt;"",M3525,IFERROR(INDEX(catClasif,MATCH(D3525&amp;"|"&amp;E3525,catClave,0))&amp;"","Variable")),"")</f>
        <v/>
      </c>
      <c r="Y3525" s="52">
        <f>IF(P3525="","",IFERROR(INDEX(catGrupo,MATCH(D3525&amp;"|"&amp;E3525,catClave,0))&amp;"",""))</f>
        <v/>
      </c>
      <c r="Z3525" s="52">
        <f>IF(P3525="","",WEEKDAY(B3525,2))</f>
        <v/>
      </c>
      <c r="AA3525" s="52">
        <f>IF(P3525="","",IF(AND(P3525="Gasto",X3525="Variable",D3525&lt;&gt;catTrading,S3525&gt;0,S3525&lt;=Umbral),1,0))</f>
        <v/>
      </c>
      <c r="AB3525" s="52">
        <f>IF(OR(P3525="",Q3525=""),"",IFERROR(IF(INDEX(ctaVinc,MATCH(Q3525,ctaNombre,0))&amp;""&lt;&gt;"",INDEX(ctaVinc,MATCH(Q3525,ctaNombre,0))&amp;"",Q3525),Q3525))</f>
        <v/>
      </c>
      <c r="AC3525" s="52">
        <f>IF(OR(K3525="",AND(P3525&lt;&gt;"Transferencia",P3525&lt;&gt;"Pago tarjeta")),"",IFERROR(IF(INDEX(ctaVinc,MATCH(K3525,ctaNombre,0))&amp;""&lt;&gt;"",INDEX(ctaVinc,MATCH(K3525,ctaNombre,0))&amp;"",K3525),K3525))</f>
        <v/>
      </c>
      <c r="AD3525" s="52">
        <f>IF(AB3525="","",IFERROR(INDEX(ctaTipo,MATCH(AB3525,ctaNombre,0))&amp;"",""))</f>
        <v/>
      </c>
      <c r="AE3525" s="52">
        <f>IF(AC3525="","",IFERROR(INDEX(ctaTipo,MATCH(AC3525,ctaNombre,0))&amp;"",""))</f>
        <v/>
      </c>
      <c r="AF3525" s="53">
        <f>IF(OR(P3525="",AB3525=""),"",IF(OR(P3525="Gasto",P3525="Transferencia",P3525="Pago tarjeta"),-1,1)*IF(IFERROR(INDEX(ctaMoneda,MATCH(AB3525,ctaNombre,0))&amp;"","DOP")="USD",T3525,S3525))</f>
        <v/>
      </c>
      <c r="AG3525" s="53">
        <f>IF(AC3525="","",IF(IFERROR(INDEX(ctaMoneda,MATCH(AC3525,ctaNombre,0))&amp;"","DOP")="USD",T3525,S3525))</f>
        <v/>
      </c>
      <c r="AH3525" s="53">
        <f>IF(P3525="","",IF(AND(AD3525&lt;&gt;"",COUNTIFS(tcTipo,AD3525,tcLiq,"Sí")&gt;0),IF(OR(P3525="Gasto",P3525="Transferencia",P3525="Pago tarjeta"),-1,1)*S3525,0)+IF(AND(AE3525&lt;&gt;"",COUNTIFS(tcTipo,AE3525,tcLiq,"Sí")&gt;0),S3525,0))</f>
        <v/>
      </c>
      <c r="AI3525" s="52">
        <f>IF(OR(L3525="",P3525=""),"",IF(COUNTIFS(L$6:L3525,L3525,P$6:P3525,"?*")=1,MAX(AI$5:AI3524)+1,""))</f>
        <v/>
      </c>
    </row>
    <row r="3526">
      <c r="B3526" s="47" t="n"/>
      <c r="C3526" s="48" t="n"/>
      <c r="D3526" s="48" t="n"/>
      <c r="E3526" s="48" t="n"/>
      <c r="F3526" s="48" t="n"/>
      <c r="G3526" s="49" t="n"/>
      <c r="H3526" s="48" t="n"/>
      <c r="I3526" s="50" t="n"/>
      <c r="J3526" s="48" t="n"/>
      <c r="K3526" s="48" t="n"/>
      <c r="L3526" s="48" t="n"/>
      <c r="M3526" s="48" t="n"/>
      <c r="N3526" s="48" t="n"/>
      <c r="O3526" s="51">
        <f>IF(AND(B3526="",G3526="",C3526="",D3526="",J3526=""),"",IF(B3526="","⚠ Falta fecha",IF(G3526="","⚠ Falta monto",IF(Q3526="","⚠ Falta cuenta",IF(ISNA(MATCH(Q3526,ctaNombre,0)),"⚠ Cuenta no registrada",IF(AND(OR(P3526="Gasto",P3526="Reembolso"),D3526=""),"⚠ Falta categoría",IF(AND(D3526&lt;&gt;"",E3526&lt;&gt;"",ISNA(MATCH(D3526&amp;"|"&amp;E3526,catClave,0))),"⚠ Subcategoría no corresponde",IF(AND(OR(P3526="Transferencia",P3526="Pago tarjeta"),K3526=""),"⚠ Falta cuenta destino",IF(AND(K3526&lt;&gt;"",P3526&lt;&gt;"Transferencia",P3526&lt;&gt;"Pago tarjeta"),"⚠ Destino solo aplica a transferencias",IF(AND(K3526&lt;&gt;"",K3526=Q3526),"⚠ Origen igual a destino",IF(AND(K3526&lt;&gt;"",ISNA(MATCH(K3526,ctaNombre,0))),"⚠ Destino no registrado",IF(AND(P3526="Pago tarjeta",AE3526&lt;&gt;"Tarjeta de crédito"),"⚠ El destino debe ser tarjeta de crédito",IF(AND(P3526="Gasto",E3526="Depósitos y retiros"),"⚠ Usa tipo Transferencia",IF(AND(P3526="Resultado trading",AD3526&lt;&gt;"Cuenta de trading"),"⚠ Usa una cuenta de trading",IF(AND(G3526&lt;=0,P3526&lt;&gt;"Ajuste",P3526&lt;&gt;"Resultado trading"),"⚠ El monto debe ser positivo","✓")))))))))))))))</f>
        <v/>
      </c>
      <c r="P3526" s="52">
        <f>IF(OR(B3526="",G3526=""),"",IF(C3526="","Gasto",C3526))</f>
        <v/>
      </c>
      <c r="Q3526" s="52">
        <f>IF(P3526="","",IF(J3526&lt;&gt;"",J3526,CuentaPred&amp;""))</f>
        <v/>
      </c>
      <c r="R3526" s="52">
        <f>IF(P3526="","",IF(ISNUMBER(I3526),I3526,TasaUSD))</f>
        <v/>
      </c>
      <c r="S3526" s="53">
        <f>IF(P3526="","",IF(H3526="USD",G3526*R3526,G3526))</f>
        <v/>
      </c>
      <c r="T3526" s="53">
        <f>IF(P3526="","",IF(H3526="USD",G3526,IF(R3526&gt;0,G3526/R3526,0)))</f>
        <v/>
      </c>
      <c r="U3526" s="53">
        <f>IF(P3526="","",IF(P3526="Gasto",S3526,IF(P3526="Reembolso",-S3526,0)))</f>
        <v/>
      </c>
      <c r="V3526" s="53">
        <f>IF(P3526="","",IF(P3526="Ingreso",S3526,0))</f>
        <v/>
      </c>
      <c r="W3526" s="53">
        <f>IF(P3526="","",IF(P3526="Resultado trading",S3526,0))</f>
        <v/>
      </c>
      <c r="X3526" s="52">
        <f>IF(OR(P3526="Gasto",P3526="Reembolso"),IF(M3526&lt;&gt;"",M3526,IFERROR(INDEX(catClasif,MATCH(D3526&amp;"|"&amp;E3526,catClave,0))&amp;"","Variable")),"")</f>
        <v/>
      </c>
      <c r="Y3526" s="52">
        <f>IF(P3526="","",IFERROR(INDEX(catGrupo,MATCH(D3526&amp;"|"&amp;E3526,catClave,0))&amp;"",""))</f>
        <v/>
      </c>
      <c r="Z3526" s="52">
        <f>IF(P3526="","",WEEKDAY(B3526,2))</f>
        <v/>
      </c>
      <c r="AA3526" s="52">
        <f>IF(P3526="","",IF(AND(P3526="Gasto",X3526="Variable",D3526&lt;&gt;catTrading,S3526&gt;0,S3526&lt;=Umbral),1,0))</f>
        <v/>
      </c>
      <c r="AB3526" s="52">
        <f>IF(OR(P3526="",Q3526=""),"",IFERROR(IF(INDEX(ctaVinc,MATCH(Q3526,ctaNombre,0))&amp;""&lt;&gt;"",INDEX(ctaVinc,MATCH(Q3526,ctaNombre,0))&amp;"",Q3526),Q3526))</f>
        <v/>
      </c>
      <c r="AC3526" s="52">
        <f>IF(OR(K3526="",AND(P3526&lt;&gt;"Transferencia",P3526&lt;&gt;"Pago tarjeta")),"",IFERROR(IF(INDEX(ctaVinc,MATCH(K3526,ctaNombre,0))&amp;""&lt;&gt;"",INDEX(ctaVinc,MATCH(K3526,ctaNombre,0))&amp;"",K3526),K3526))</f>
        <v/>
      </c>
      <c r="AD3526" s="52">
        <f>IF(AB3526="","",IFERROR(INDEX(ctaTipo,MATCH(AB3526,ctaNombre,0))&amp;"",""))</f>
        <v/>
      </c>
      <c r="AE3526" s="52">
        <f>IF(AC3526="","",IFERROR(INDEX(ctaTipo,MATCH(AC3526,ctaNombre,0))&amp;"",""))</f>
        <v/>
      </c>
      <c r="AF3526" s="53">
        <f>IF(OR(P3526="",AB3526=""),"",IF(OR(P3526="Gasto",P3526="Transferencia",P3526="Pago tarjeta"),-1,1)*IF(IFERROR(INDEX(ctaMoneda,MATCH(AB3526,ctaNombre,0))&amp;"","DOP")="USD",T3526,S3526))</f>
        <v/>
      </c>
      <c r="AG3526" s="53">
        <f>IF(AC3526="","",IF(IFERROR(INDEX(ctaMoneda,MATCH(AC3526,ctaNombre,0))&amp;"","DOP")="USD",T3526,S3526))</f>
        <v/>
      </c>
      <c r="AH3526" s="53">
        <f>IF(P3526="","",IF(AND(AD3526&lt;&gt;"",COUNTIFS(tcTipo,AD3526,tcLiq,"Sí")&gt;0),IF(OR(P3526="Gasto",P3526="Transferencia",P3526="Pago tarjeta"),-1,1)*S3526,0)+IF(AND(AE3526&lt;&gt;"",COUNTIFS(tcTipo,AE3526,tcLiq,"Sí")&gt;0),S3526,0))</f>
        <v/>
      </c>
      <c r="AI3526" s="52">
        <f>IF(OR(L3526="",P3526=""),"",IF(COUNTIFS(L$6:L3526,L3526,P$6:P3526,"?*")=1,MAX(AI$5:AI3525)+1,""))</f>
        <v/>
      </c>
    </row>
    <row r="3527">
      <c r="B3527" s="47" t="n"/>
      <c r="C3527" s="48" t="n"/>
      <c r="D3527" s="48" t="n"/>
      <c r="E3527" s="48" t="n"/>
      <c r="F3527" s="48" t="n"/>
      <c r="G3527" s="49" t="n"/>
      <c r="H3527" s="48" t="n"/>
      <c r="I3527" s="50" t="n"/>
      <c r="J3527" s="48" t="n"/>
      <c r="K3527" s="48" t="n"/>
      <c r="L3527" s="48" t="n"/>
      <c r="M3527" s="48" t="n"/>
      <c r="N3527" s="48" t="n"/>
      <c r="O3527" s="51">
        <f>IF(AND(B3527="",G3527="",C3527="",D3527="",J3527=""),"",IF(B3527="","⚠ Falta fecha",IF(G3527="","⚠ Falta monto",IF(Q3527="","⚠ Falta cuenta",IF(ISNA(MATCH(Q3527,ctaNombre,0)),"⚠ Cuenta no registrada",IF(AND(OR(P3527="Gasto",P3527="Reembolso"),D3527=""),"⚠ Falta categoría",IF(AND(D3527&lt;&gt;"",E3527&lt;&gt;"",ISNA(MATCH(D3527&amp;"|"&amp;E3527,catClave,0))),"⚠ Subcategoría no corresponde",IF(AND(OR(P3527="Transferencia",P3527="Pago tarjeta"),K3527=""),"⚠ Falta cuenta destino",IF(AND(K3527&lt;&gt;"",P3527&lt;&gt;"Transferencia",P3527&lt;&gt;"Pago tarjeta"),"⚠ Destino solo aplica a transferencias",IF(AND(K3527&lt;&gt;"",K3527=Q3527),"⚠ Origen igual a destino",IF(AND(K3527&lt;&gt;"",ISNA(MATCH(K3527,ctaNombre,0))),"⚠ Destino no registrado",IF(AND(P3527="Pago tarjeta",AE3527&lt;&gt;"Tarjeta de crédito"),"⚠ El destino debe ser tarjeta de crédito",IF(AND(P3527="Gasto",E3527="Depósitos y retiros"),"⚠ Usa tipo Transferencia",IF(AND(P3527="Resultado trading",AD3527&lt;&gt;"Cuenta de trading"),"⚠ Usa una cuenta de trading",IF(AND(G3527&lt;=0,P3527&lt;&gt;"Ajuste",P3527&lt;&gt;"Resultado trading"),"⚠ El monto debe ser positivo","✓")))))))))))))))</f>
        <v/>
      </c>
      <c r="P3527" s="52">
        <f>IF(OR(B3527="",G3527=""),"",IF(C3527="","Gasto",C3527))</f>
        <v/>
      </c>
      <c r="Q3527" s="52">
        <f>IF(P3527="","",IF(J3527&lt;&gt;"",J3527,CuentaPred&amp;""))</f>
        <v/>
      </c>
      <c r="R3527" s="52">
        <f>IF(P3527="","",IF(ISNUMBER(I3527),I3527,TasaUSD))</f>
        <v/>
      </c>
      <c r="S3527" s="53">
        <f>IF(P3527="","",IF(H3527="USD",G3527*R3527,G3527))</f>
        <v/>
      </c>
      <c r="T3527" s="53">
        <f>IF(P3527="","",IF(H3527="USD",G3527,IF(R3527&gt;0,G3527/R3527,0)))</f>
        <v/>
      </c>
      <c r="U3527" s="53">
        <f>IF(P3527="","",IF(P3527="Gasto",S3527,IF(P3527="Reembolso",-S3527,0)))</f>
        <v/>
      </c>
      <c r="V3527" s="53">
        <f>IF(P3527="","",IF(P3527="Ingreso",S3527,0))</f>
        <v/>
      </c>
      <c r="W3527" s="53">
        <f>IF(P3527="","",IF(P3527="Resultado trading",S3527,0))</f>
        <v/>
      </c>
      <c r="X3527" s="52">
        <f>IF(OR(P3527="Gasto",P3527="Reembolso"),IF(M3527&lt;&gt;"",M3527,IFERROR(INDEX(catClasif,MATCH(D3527&amp;"|"&amp;E3527,catClave,0))&amp;"","Variable")),"")</f>
        <v/>
      </c>
      <c r="Y3527" s="52">
        <f>IF(P3527="","",IFERROR(INDEX(catGrupo,MATCH(D3527&amp;"|"&amp;E3527,catClave,0))&amp;"",""))</f>
        <v/>
      </c>
      <c r="Z3527" s="52">
        <f>IF(P3527="","",WEEKDAY(B3527,2))</f>
        <v/>
      </c>
      <c r="AA3527" s="52">
        <f>IF(P3527="","",IF(AND(P3527="Gasto",X3527="Variable",D3527&lt;&gt;catTrading,S3527&gt;0,S3527&lt;=Umbral),1,0))</f>
        <v/>
      </c>
      <c r="AB3527" s="52">
        <f>IF(OR(P3527="",Q3527=""),"",IFERROR(IF(INDEX(ctaVinc,MATCH(Q3527,ctaNombre,0))&amp;""&lt;&gt;"",INDEX(ctaVinc,MATCH(Q3527,ctaNombre,0))&amp;"",Q3527),Q3527))</f>
        <v/>
      </c>
      <c r="AC3527" s="52">
        <f>IF(OR(K3527="",AND(P3527&lt;&gt;"Transferencia",P3527&lt;&gt;"Pago tarjeta")),"",IFERROR(IF(INDEX(ctaVinc,MATCH(K3527,ctaNombre,0))&amp;""&lt;&gt;"",INDEX(ctaVinc,MATCH(K3527,ctaNombre,0))&amp;"",K3527),K3527))</f>
        <v/>
      </c>
      <c r="AD3527" s="52">
        <f>IF(AB3527="","",IFERROR(INDEX(ctaTipo,MATCH(AB3527,ctaNombre,0))&amp;"",""))</f>
        <v/>
      </c>
      <c r="AE3527" s="52">
        <f>IF(AC3527="","",IFERROR(INDEX(ctaTipo,MATCH(AC3527,ctaNombre,0))&amp;"",""))</f>
        <v/>
      </c>
      <c r="AF3527" s="53">
        <f>IF(OR(P3527="",AB3527=""),"",IF(OR(P3527="Gasto",P3527="Transferencia",P3527="Pago tarjeta"),-1,1)*IF(IFERROR(INDEX(ctaMoneda,MATCH(AB3527,ctaNombre,0))&amp;"","DOP")="USD",T3527,S3527))</f>
        <v/>
      </c>
      <c r="AG3527" s="53">
        <f>IF(AC3527="","",IF(IFERROR(INDEX(ctaMoneda,MATCH(AC3527,ctaNombre,0))&amp;"","DOP")="USD",T3527,S3527))</f>
        <v/>
      </c>
      <c r="AH3527" s="53">
        <f>IF(P3527="","",IF(AND(AD3527&lt;&gt;"",COUNTIFS(tcTipo,AD3527,tcLiq,"Sí")&gt;0),IF(OR(P3527="Gasto",P3527="Transferencia",P3527="Pago tarjeta"),-1,1)*S3527,0)+IF(AND(AE3527&lt;&gt;"",COUNTIFS(tcTipo,AE3527,tcLiq,"Sí")&gt;0),S3527,0))</f>
        <v/>
      </c>
      <c r="AI3527" s="52">
        <f>IF(OR(L3527="",P3527=""),"",IF(COUNTIFS(L$6:L3527,L3527,P$6:P3527,"?*")=1,MAX(AI$5:AI3526)+1,""))</f>
        <v/>
      </c>
    </row>
    <row r="3528">
      <c r="B3528" s="47" t="n"/>
      <c r="C3528" s="48" t="n"/>
      <c r="D3528" s="48" t="n"/>
      <c r="E3528" s="48" t="n"/>
      <c r="F3528" s="48" t="n"/>
      <c r="G3528" s="49" t="n"/>
      <c r="H3528" s="48" t="n"/>
      <c r="I3528" s="50" t="n"/>
      <c r="J3528" s="48" t="n"/>
      <c r="K3528" s="48" t="n"/>
      <c r="L3528" s="48" t="n"/>
      <c r="M3528" s="48" t="n"/>
      <c r="N3528" s="48" t="n"/>
      <c r="O3528" s="51">
        <f>IF(AND(B3528="",G3528="",C3528="",D3528="",J3528=""),"",IF(B3528="","⚠ Falta fecha",IF(G3528="","⚠ Falta monto",IF(Q3528="","⚠ Falta cuenta",IF(ISNA(MATCH(Q3528,ctaNombre,0)),"⚠ Cuenta no registrada",IF(AND(OR(P3528="Gasto",P3528="Reembolso"),D3528=""),"⚠ Falta categoría",IF(AND(D3528&lt;&gt;"",E3528&lt;&gt;"",ISNA(MATCH(D3528&amp;"|"&amp;E3528,catClave,0))),"⚠ Subcategoría no corresponde",IF(AND(OR(P3528="Transferencia",P3528="Pago tarjeta"),K3528=""),"⚠ Falta cuenta destino",IF(AND(K3528&lt;&gt;"",P3528&lt;&gt;"Transferencia",P3528&lt;&gt;"Pago tarjeta"),"⚠ Destino solo aplica a transferencias",IF(AND(K3528&lt;&gt;"",K3528=Q3528),"⚠ Origen igual a destino",IF(AND(K3528&lt;&gt;"",ISNA(MATCH(K3528,ctaNombre,0))),"⚠ Destino no registrado",IF(AND(P3528="Pago tarjeta",AE3528&lt;&gt;"Tarjeta de crédito"),"⚠ El destino debe ser tarjeta de crédito",IF(AND(P3528="Gasto",E3528="Depósitos y retiros"),"⚠ Usa tipo Transferencia",IF(AND(P3528="Resultado trading",AD3528&lt;&gt;"Cuenta de trading"),"⚠ Usa una cuenta de trading",IF(AND(G3528&lt;=0,P3528&lt;&gt;"Ajuste",P3528&lt;&gt;"Resultado trading"),"⚠ El monto debe ser positivo","✓")))))))))))))))</f>
        <v/>
      </c>
      <c r="P3528" s="52">
        <f>IF(OR(B3528="",G3528=""),"",IF(C3528="","Gasto",C3528))</f>
        <v/>
      </c>
      <c r="Q3528" s="52">
        <f>IF(P3528="","",IF(J3528&lt;&gt;"",J3528,CuentaPred&amp;""))</f>
        <v/>
      </c>
      <c r="R3528" s="52">
        <f>IF(P3528="","",IF(ISNUMBER(I3528),I3528,TasaUSD))</f>
        <v/>
      </c>
      <c r="S3528" s="53">
        <f>IF(P3528="","",IF(H3528="USD",G3528*R3528,G3528))</f>
        <v/>
      </c>
      <c r="T3528" s="53">
        <f>IF(P3528="","",IF(H3528="USD",G3528,IF(R3528&gt;0,G3528/R3528,0)))</f>
        <v/>
      </c>
      <c r="U3528" s="53">
        <f>IF(P3528="","",IF(P3528="Gasto",S3528,IF(P3528="Reembolso",-S3528,0)))</f>
        <v/>
      </c>
      <c r="V3528" s="53">
        <f>IF(P3528="","",IF(P3528="Ingreso",S3528,0))</f>
        <v/>
      </c>
      <c r="W3528" s="53">
        <f>IF(P3528="","",IF(P3528="Resultado trading",S3528,0))</f>
        <v/>
      </c>
      <c r="X3528" s="52">
        <f>IF(OR(P3528="Gasto",P3528="Reembolso"),IF(M3528&lt;&gt;"",M3528,IFERROR(INDEX(catClasif,MATCH(D3528&amp;"|"&amp;E3528,catClave,0))&amp;"","Variable")),"")</f>
        <v/>
      </c>
      <c r="Y3528" s="52">
        <f>IF(P3528="","",IFERROR(INDEX(catGrupo,MATCH(D3528&amp;"|"&amp;E3528,catClave,0))&amp;"",""))</f>
        <v/>
      </c>
      <c r="Z3528" s="52">
        <f>IF(P3528="","",WEEKDAY(B3528,2))</f>
        <v/>
      </c>
      <c r="AA3528" s="52">
        <f>IF(P3528="","",IF(AND(P3528="Gasto",X3528="Variable",D3528&lt;&gt;catTrading,S3528&gt;0,S3528&lt;=Umbral),1,0))</f>
        <v/>
      </c>
      <c r="AB3528" s="52">
        <f>IF(OR(P3528="",Q3528=""),"",IFERROR(IF(INDEX(ctaVinc,MATCH(Q3528,ctaNombre,0))&amp;""&lt;&gt;"",INDEX(ctaVinc,MATCH(Q3528,ctaNombre,0))&amp;"",Q3528),Q3528))</f>
        <v/>
      </c>
      <c r="AC3528" s="52">
        <f>IF(OR(K3528="",AND(P3528&lt;&gt;"Transferencia",P3528&lt;&gt;"Pago tarjeta")),"",IFERROR(IF(INDEX(ctaVinc,MATCH(K3528,ctaNombre,0))&amp;""&lt;&gt;"",INDEX(ctaVinc,MATCH(K3528,ctaNombre,0))&amp;"",K3528),K3528))</f>
        <v/>
      </c>
      <c r="AD3528" s="52">
        <f>IF(AB3528="","",IFERROR(INDEX(ctaTipo,MATCH(AB3528,ctaNombre,0))&amp;"",""))</f>
        <v/>
      </c>
      <c r="AE3528" s="52">
        <f>IF(AC3528="","",IFERROR(INDEX(ctaTipo,MATCH(AC3528,ctaNombre,0))&amp;"",""))</f>
        <v/>
      </c>
      <c r="AF3528" s="53">
        <f>IF(OR(P3528="",AB3528=""),"",IF(OR(P3528="Gasto",P3528="Transferencia",P3528="Pago tarjeta"),-1,1)*IF(IFERROR(INDEX(ctaMoneda,MATCH(AB3528,ctaNombre,0))&amp;"","DOP")="USD",T3528,S3528))</f>
        <v/>
      </c>
      <c r="AG3528" s="53">
        <f>IF(AC3528="","",IF(IFERROR(INDEX(ctaMoneda,MATCH(AC3528,ctaNombre,0))&amp;"","DOP")="USD",T3528,S3528))</f>
        <v/>
      </c>
      <c r="AH3528" s="53">
        <f>IF(P3528="","",IF(AND(AD3528&lt;&gt;"",COUNTIFS(tcTipo,AD3528,tcLiq,"Sí")&gt;0),IF(OR(P3528="Gasto",P3528="Transferencia",P3528="Pago tarjeta"),-1,1)*S3528,0)+IF(AND(AE3528&lt;&gt;"",COUNTIFS(tcTipo,AE3528,tcLiq,"Sí")&gt;0),S3528,0))</f>
        <v/>
      </c>
      <c r="AI3528" s="52">
        <f>IF(OR(L3528="",P3528=""),"",IF(COUNTIFS(L$6:L3528,L3528,P$6:P3528,"?*")=1,MAX(AI$5:AI3527)+1,""))</f>
        <v/>
      </c>
    </row>
    <row r="3529">
      <c r="B3529" s="47" t="n"/>
      <c r="C3529" s="48" t="n"/>
      <c r="D3529" s="48" t="n"/>
      <c r="E3529" s="48" t="n"/>
      <c r="F3529" s="48" t="n"/>
      <c r="G3529" s="49" t="n"/>
      <c r="H3529" s="48" t="n"/>
      <c r="I3529" s="50" t="n"/>
      <c r="J3529" s="48" t="n"/>
      <c r="K3529" s="48" t="n"/>
      <c r="L3529" s="48" t="n"/>
      <c r="M3529" s="48" t="n"/>
      <c r="N3529" s="48" t="n"/>
      <c r="O3529" s="51">
        <f>IF(AND(B3529="",G3529="",C3529="",D3529="",J3529=""),"",IF(B3529="","⚠ Falta fecha",IF(G3529="","⚠ Falta monto",IF(Q3529="","⚠ Falta cuenta",IF(ISNA(MATCH(Q3529,ctaNombre,0)),"⚠ Cuenta no registrada",IF(AND(OR(P3529="Gasto",P3529="Reembolso"),D3529=""),"⚠ Falta categoría",IF(AND(D3529&lt;&gt;"",E3529&lt;&gt;"",ISNA(MATCH(D3529&amp;"|"&amp;E3529,catClave,0))),"⚠ Subcategoría no corresponde",IF(AND(OR(P3529="Transferencia",P3529="Pago tarjeta"),K3529=""),"⚠ Falta cuenta destino",IF(AND(K3529&lt;&gt;"",P3529&lt;&gt;"Transferencia",P3529&lt;&gt;"Pago tarjeta"),"⚠ Destino solo aplica a transferencias",IF(AND(K3529&lt;&gt;"",K3529=Q3529),"⚠ Origen igual a destino",IF(AND(K3529&lt;&gt;"",ISNA(MATCH(K3529,ctaNombre,0))),"⚠ Destino no registrado",IF(AND(P3529="Pago tarjeta",AE3529&lt;&gt;"Tarjeta de crédito"),"⚠ El destino debe ser tarjeta de crédito",IF(AND(P3529="Gasto",E3529="Depósitos y retiros"),"⚠ Usa tipo Transferencia",IF(AND(P3529="Resultado trading",AD3529&lt;&gt;"Cuenta de trading"),"⚠ Usa una cuenta de trading",IF(AND(G3529&lt;=0,P3529&lt;&gt;"Ajuste",P3529&lt;&gt;"Resultado trading"),"⚠ El monto debe ser positivo","✓")))))))))))))))</f>
        <v/>
      </c>
      <c r="P3529" s="52">
        <f>IF(OR(B3529="",G3529=""),"",IF(C3529="","Gasto",C3529))</f>
        <v/>
      </c>
      <c r="Q3529" s="52">
        <f>IF(P3529="","",IF(J3529&lt;&gt;"",J3529,CuentaPred&amp;""))</f>
        <v/>
      </c>
      <c r="R3529" s="52">
        <f>IF(P3529="","",IF(ISNUMBER(I3529),I3529,TasaUSD))</f>
        <v/>
      </c>
      <c r="S3529" s="53">
        <f>IF(P3529="","",IF(H3529="USD",G3529*R3529,G3529))</f>
        <v/>
      </c>
      <c r="T3529" s="53">
        <f>IF(P3529="","",IF(H3529="USD",G3529,IF(R3529&gt;0,G3529/R3529,0)))</f>
        <v/>
      </c>
      <c r="U3529" s="53">
        <f>IF(P3529="","",IF(P3529="Gasto",S3529,IF(P3529="Reembolso",-S3529,0)))</f>
        <v/>
      </c>
      <c r="V3529" s="53">
        <f>IF(P3529="","",IF(P3529="Ingreso",S3529,0))</f>
        <v/>
      </c>
      <c r="W3529" s="53">
        <f>IF(P3529="","",IF(P3529="Resultado trading",S3529,0))</f>
        <v/>
      </c>
      <c r="X3529" s="52">
        <f>IF(OR(P3529="Gasto",P3529="Reembolso"),IF(M3529&lt;&gt;"",M3529,IFERROR(INDEX(catClasif,MATCH(D3529&amp;"|"&amp;E3529,catClave,0))&amp;"","Variable")),"")</f>
        <v/>
      </c>
      <c r="Y3529" s="52">
        <f>IF(P3529="","",IFERROR(INDEX(catGrupo,MATCH(D3529&amp;"|"&amp;E3529,catClave,0))&amp;"",""))</f>
        <v/>
      </c>
      <c r="Z3529" s="52">
        <f>IF(P3529="","",WEEKDAY(B3529,2))</f>
        <v/>
      </c>
      <c r="AA3529" s="52">
        <f>IF(P3529="","",IF(AND(P3529="Gasto",X3529="Variable",D3529&lt;&gt;catTrading,S3529&gt;0,S3529&lt;=Umbral),1,0))</f>
        <v/>
      </c>
      <c r="AB3529" s="52">
        <f>IF(OR(P3529="",Q3529=""),"",IFERROR(IF(INDEX(ctaVinc,MATCH(Q3529,ctaNombre,0))&amp;""&lt;&gt;"",INDEX(ctaVinc,MATCH(Q3529,ctaNombre,0))&amp;"",Q3529),Q3529))</f>
        <v/>
      </c>
      <c r="AC3529" s="52">
        <f>IF(OR(K3529="",AND(P3529&lt;&gt;"Transferencia",P3529&lt;&gt;"Pago tarjeta")),"",IFERROR(IF(INDEX(ctaVinc,MATCH(K3529,ctaNombre,0))&amp;""&lt;&gt;"",INDEX(ctaVinc,MATCH(K3529,ctaNombre,0))&amp;"",K3529),K3529))</f>
        <v/>
      </c>
      <c r="AD3529" s="52">
        <f>IF(AB3529="","",IFERROR(INDEX(ctaTipo,MATCH(AB3529,ctaNombre,0))&amp;"",""))</f>
        <v/>
      </c>
      <c r="AE3529" s="52">
        <f>IF(AC3529="","",IFERROR(INDEX(ctaTipo,MATCH(AC3529,ctaNombre,0))&amp;"",""))</f>
        <v/>
      </c>
      <c r="AF3529" s="53">
        <f>IF(OR(P3529="",AB3529=""),"",IF(OR(P3529="Gasto",P3529="Transferencia",P3529="Pago tarjeta"),-1,1)*IF(IFERROR(INDEX(ctaMoneda,MATCH(AB3529,ctaNombre,0))&amp;"","DOP")="USD",T3529,S3529))</f>
        <v/>
      </c>
      <c r="AG3529" s="53">
        <f>IF(AC3529="","",IF(IFERROR(INDEX(ctaMoneda,MATCH(AC3529,ctaNombre,0))&amp;"","DOP")="USD",T3529,S3529))</f>
        <v/>
      </c>
      <c r="AH3529" s="53">
        <f>IF(P3529="","",IF(AND(AD3529&lt;&gt;"",COUNTIFS(tcTipo,AD3529,tcLiq,"Sí")&gt;0),IF(OR(P3529="Gasto",P3529="Transferencia",P3529="Pago tarjeta"),-1,1)*S3529,0)+IF(AND(AE3529&lt;&gt;"",COUNTIFS(tcTipo,AE3529,tcLiq,"Sí")&gt;0),S3529,0))</f>
        <v/>
      </c>
      <c r="AI3529" s="52">
        <f>IF(OR(L3529="",P3529=""),"",IF(COUNTIFS(L$6:L3529,L3529,P$6:P3529,"?*")=1,MAX(AI$5:AI3528)+1,""))</f>
        <v/>
      </c>
    </row>
    <row r="3530">
      <c r="B3530" s="47" t="n"/>
      <c r="C3530" s="48" t="n"/>
      <c r="D3530" s="48" t="n"/>
      <c r="E3530" s="48" t="n"/>
      <c r="F3530" s="48" t="n"/>
      <c r="G3530" s="49" t="n"/>
      <c r="H3530" s="48" t="n"/>
      <c r="I3530" s="50" t="n"/>
      <c r="J3530" s="48" t="n"/>
      <c r="K3530" s="48" t="n"/>
      <c r="L3530" s="48" t="n"/>
      <c r="M3530" s="48" t="n"/>
      <c r="N3530" s="48" t="n"/>
      <c r="O3530" s="51">
        <f>IF(AND(B3530="",G3530="",C3530="",D3530="",J3530=""),"",IF(B3530="","⚠ Falta fecha",IF(G3530="","⚠ Falta monto",IF(Q3530="","⚠ Falta cuenta",IF(ISNA(MATCH(Q3530,ctaNombre,0)),"⚠ Cuenta no registrada",IF(AND(OR(P3530="Gasto",P3530="Reembolso"),D3530=""),"⚠ Falta categoría",IF(AND(D3530&lt;&gt;"",E3530&lt;&gt;"",ISNA(MATCH(D3530&amp;"|"&amp;E3530,catClave,0))),"⚠ Subcategoría no corresponde",IF(AND(OR(P3530="Transferencia",P3530="Pago tarjeta"),K3530=""),"⚠ Falta cuenta destino",IF(AND(K3530&lt;&gt;"",P3530&lt;&gt;"Transferencia",P3530&lt;&gt;"Pago tarjeta"),"⚠ Destino solo aplica a transferencias",IF(AND(K3530&lt;&gt;"",K3530=Q3530),"⚠ Origen igual a destino",IF(AND(K3530&lt;&gt;"",ISNA(MATCH(K3530,ctaNombre,0))),"⚠ Destino no registrado",IF(AND(P3530="Pago tarjeta",AE3530&lt;&gt;"Tarjeta de crédito"),"⚠ El destino debe ser tarjeta de crédito",IF(AND(P3530="Gasto",E3530="Depósitos y retiros"),"⚠ Usa tipo Transferencia",IF(AND(P3530="Resultado trading",AD3530&lt;&gt;"Cuenta de trading"),"⚠ Usa una cuenta de trading",IF(AND(G3530&lt;=0,P3530&lt;&gt;"Ajuste",P3530&lt;&gt;"Resultado trading"),"⚠ El monto debe ser positivo","✓")))))))))))))))</f>
        <v/>
      </c>
      <c r="P3530" s="52">
        <f>IF(OR(B3530="",G3530=""),"",IF(C3530="","Gasto",C3530))</f>
        <v/>
      </c>
      <c r="Q3530" s="52">
        <f>IF(P3530="","",IF(J3530&lt;&gt;"",J3530,CuentaPred&amp;""))</f>
        <v/>
      </c>
      <c r="R3530" s="52">
        <f>IF(P3530="","",IF(ISNUMBER(I3530),I3530,TasaUSD))</f>
        <v/>
      </c>
      <c r="S3530" s="53">
        <f>IF(P3530="","",IF(H3530="USD",G3530*R3530,G3530))</f>
        <v/>
      </c>
      <c r="T3530" s="53">
        <f>IF(P3530="","",IF(H3530="USD",G3530,IF(R3530&gt;0,G3530/R3530,0)))</f>
        <v/>
      </c>
      <c r="U3530" s="53">
        <f>IF(P3530="","",IF(P3530="Gasto",S3530,IF(P3530="Reembolso",-S3530,0)))</f>
        <v/>
      </c>
      <c r="V3530" s="53">
        <f>IF(P3530="","",IF(P3530="Ingreso",S3530,0))</f>
        <v/>
      </c>
      <c r="W3530" s="53">
        <f>IF(P3530="","",IF(P3530="Resultado trading",S3530,0))</f>
        <v/>
      </c>
      <c r="X3530" s="52">
        <f>IF(OR(P3530="Gasto",P3530="Reembolso"),IF(M3530&lt;&gt;"",M3530,IFERROR(INDEX(catClasif,MATCH(D3530&amp;"|"&amp;E3530,catClave,0))&amp;"","Variable")),"")</f>
        <v/>
      </c>
      <c r="Y3530" s="52">
        <f>IF(P3530="","",IFERROR(INDEX(catGrupo,MATCH(D3530&amp;"|"&amp;E3530,catClave,0))&amp;"",""))</f>
        <v/>
      </c>
      <c r="Z3530" s="52">
        <f>IF(P3530="","",WEEKDAY(B3530,2))</f>
        <v/>
      </c>
      <c r="AA3530" s="52">
        <f>IF(P3530="","",IF(AND(P3530="Gasto",X3530="Variable",D3530&lt;&gt;catTrading,S3530&gt;0,S3530&lt;=Umbral),1,0))</f>
        <v/>
      </c>
      <c r="AB3530" s="52">
        <f>IF(OR(P3530="",Q3530=""),"",IFERROR(IF(INDEX(ctaVinc,MATCH(Q3530,ctaNombre,0))&amp;""&lt;&gt;"",INDEX(ctaVinc,MATCH(Q3530,ctaNombre,0))&amp;"",Q3530),Q3530))</f>
        <v/>
      </c>
      <c r="AC3530" s="52">
        <f>IF(OR(K3530="",AND(P3530&lt;&gt;"Transferencia",P3530&lt;&gt;"Pago tarjeta")),"",IFERROR(IF(INDEX(ctaVinc,MATCH(K3530,ctaNombre,0))&amp;""&lt;&gt;"",INDEX(ctaVinc,MATCH(K3530,ctaNombre,0))&amp;"",K3530),K3530))</f>
        <v/>
      </c>
      <c r="AD3530" s="52">
        <f>IF(AB3530="","",IFERROR(INDEX(ctaTipo,MATCH(AB3530,ctaNombre,0))&amp;"",""))</f>
        <v/>
      </c>
      <c r="AE3530" s="52">
        <f>IF(AC3530="","",IFERROR(INDEX(ctaTipo,MATCH(AC3530,ctaNombre,0))&amp;"",""))</f>
        <v/>
      </c>
      <c r="AF3530" s="53">
        <f>IF(OR(P3530="",AB3530=""),"",IF(OR(P3530="Gasto",P3530="Transferencia",P3530="Pago tarjeta"),-1,1)*IF(IFERROR(INDEX(ctaMoneda,MATCH(AB3530,ctaNombre,0))&amp;"","DOP")="USD",T3530,S3530))</f>
        <v/>
      </c>
      <c r="AG3530" s="53">
        <f>IF(AC3530="","",IF(IFERROR(INDEX(ctaMoneda,MATCH(AC3530,ctaNombre,0))&amp;"","DOP")="USD",T3530,S3530))</f>
        <v/>
      </c>
      <c r="AH3530" s="53">
        <f>IF(P3530="","",IF(AND(AD3530&lt;&gt;"",COUNTIFS(tcTipo,AD3530,tcLiq,"Sí")&gt;0),IF(OR(P3530="Gasto",P3530="Transferencia",P3530="Pago tarjeta"),-1,1)*S3530,0)+IF(AND(AE3530&lt;&gt;"",COUNTIFS(tcTipo,AE3530,tcLiq,"Sí")&gt;0),S3530,0))</f>
        <v/>
      </c>
      <c r="AI3530" s="52">
        <f>IF(OR(L3530="",P3530=""),"",IF(COUNTIFS(L$6:L3530,L3530,P$6:P3530,"?*")=1,MAX(AI$5:AI3529)+1,""))</f>
        <v/>
      </c>
    </row>
    <row r="3531">
      <c r="B3531" s="47" t="n"/>
      <c r="C3531" s="48" t="n"/>
      <c r="D3531" s="48" t="n"/>
      <c r="E3531" s="48" t="n"/>
      <c r="F3531" s="48" t="n"/>
      <c r="G3531" s="49" t="n"/>
      <c r="H3531" s="48" t="n"/>
      <c r="I3531" s="50" t="n"/>
      <c r="J3531" s="48" t="n"/>
      <c r="K3531" s="48" t="n"/>
      <c r="L3531" s="48" t="n"/>
      <c r="M3531" s="48" t="n"/>
      <c r="N3531" s="48" t="n"/>
      <c r="O3531" s="51">
        <f>IF(AND(B3531="",G3531="",C3531="",D3531="",J3531=""),"",IF(B3531="","⚠ Falta fecha",IF(G3531="","⚠ Falta monto",IF(Q3531="","⚠ Falta cuenta",IF(ISNA(MATCH(Q3531,ctaNombre,0)),"⚠ Cuenta no registrada",IF(AND(OR(P3531="Gasto",P3531="Reembolso"),D3531=""),"⚠ Falta categoría",IF(AND(D3531&lt;&gt;"",E3531&lt;&gt;"",ISNA(MATCH(D3531&amp;"|"&amp;E3531,catClave,0))),"⚠ Subcategoría no corresponde",IF(AND(OR(P3531="Transferencia",P3531="Pago tarjeta"),K3531=""),"⚠ Falta cuenta destino",IF(AND(K3531&lt;&gt;"",P3531&lt;&gt;"Transferencia",P3531&lt;&gt;"Pago tarjeta"),"⚠ Destino solo aplica a transferencias",IF(AND(K3531&lt;&gt;"",K3531=Q3531),"⚠ Origen igual a destino",IF(AND(K3531&lt;&gt;"",ISNA(MATCH(K3531,ctaNombre,0))),"⚠ Destino no registrado",IF(AND(P3531="Pago tarjeta",AE3531&lt;&gt;"Tarjeta de crédito"),"⚠ El destino debe ser tarjeta de crédito",IF(AND(P3531="Gasto",E3531="Depósitos y retiros"),"⚠ Usa tipo Transferencia",IF(AND(P3531="Resultado trading",AD3531&lt;&gt;"Cuenta de trading"),"⚠ Usa una cuenta de trading",IF(AND(G3531&lt;=0,P3531&lt;&gt;"Ajuste",P3531&lt;&gt;"Resultado trading"),"⚠ El monto debe ser positivo","✓")))))))))))))))</f>
        <v/>
      </c>
      <c r="P3531" s="52">
        <f>IF(OR(B3531="",G3531=""),"",IF(C3531="","Gasto",C3531))</f>
        <v/>
      </c>
      <c r="Q3531" s="52">
        <f>IF(P3531="","",IF(J3531&lt;&gt;"",J3531,CuentaPred&amp;""))</f>
        <v/>
      </c>
      <c r="R3531" s="52">
        <f>IF(P3531="","",IF(ISNUMBER(I3531),I3531,TasaUSD))</f>
        <v/>
      </c>
      <c r="S3531" s="53">
        <f>IF(P3531="","",IF(H3531="USD",G3531*R3531,G3531))</f>
        <v/>
      </c>
      <c r="T3531" s="53">
        <f>IF(P3531="","",IF(H3531="USD",G3531,IF(R3531&gt;0,G3531/R3531,0)))</f>
        <v/>
      </c>
      <c r="U3531" s="53">
        <f>IF(P3531="","",IF(P3531="Gasto",S3531,IF(P3531="Reembolso",-S3531,0)))</f>
        <v/>
      </c>
      <c r="V3531" s="53">
        <f>IF(P3531="","",IF(P3531="Ingreso",S3531,0))</f>
        <v/>
      </c>
      <c r="W3531" s="53">
        <f>IF(P3531="","",IF(P3531="Resultado trading",S3531,0))</f>
        <v/>
      </c>
      <c r="X3531" s="52">
        <f>IF(OR(P3531="Gasto",P3531="Reembolso"),IF(M3531&lt;&gt;"",M3531,IFERROR(INDEX(catClasif,MATCH(D3531&amp;"|"&amp;E3531,catClave,0))&amp;"","Variable")),"")</f>
        <v/>
      </c>
      <c r="Y3531" s="52">
        <f>IF(P3531="","",IFERROR(INDEX(catGrupo,MATCH(D3531&amp;"|"&amp;E3531,catClave,0))&amp;"",""))</f>
        <v/>
      </c>
      <c r="Z3531" s="52">
        <f>IF(P3531="","",WEEKDAY(B3531,2))</f>
        <v/>
      </c>
      <c r="AA3531" s="52">
        <f>IF(P3531="","",IF(AND(P3531="Gasto",X3531="Variable",D3531&lt;&gt;catTrading,S3531&gt;0,S3531&lt;=Umbral),1,0))</f>
        <v/>
      </c>
      <c r="AB3531" s="52">
        <f>IF(OR(P3531="",Q3531=""),"",IFERROR(IF(INDEX(ctaVinc,MATCH(Q3531,ctaNombre,0))&amp;""&lt;&gt;"",INDEX(ctaVinc,MATCH(Q3531,ctaNombre,0))&amp;"",Q3531),Q3531))</f>
        <v/>
      </c>
      <c r="AC3531" s="52">
        <f>IF(OR(K3531="",AND(P3531&lt;&gt;"Transferencia",P3531&lt;&gt;"Pago tarjeta")),"",IFERROR(IF(INDEX(ctaVinc,MATCH(K3531,ctaNombre,0))&amp;""&lt;&gt;"",INDEX(ctaVinc,MATCH(K3531,ctaNombre,0))&amp;"",K3531),K3531))</f>
        <v/>
      </c>
      <c r="AD3531" s="52">
        <f>IF(AB3531="","",IFERROR(INDEX(ctaTipo,MATCH(AB3531,ctaNombre,0))&amp;"",""))</f>
        <v/>
      </c>
      <c r="AE3531" s="52">
        <f>IF(AC3531="","",IFERROR(INDEX(ctaTipo,MATCH(AC3531,ctaNombre,0))&amp;"",""))</f>
        <v/>
      </c>
      <c r="AF3531" s="53">
        <f>IF(OR(P3531="",AB3531=""),"",IF(OR(P3531="Gasto",P3531="Transferencia",P3531="Pago tarjeta"),-1,1)*IF(IFERROR(INDEX(ctaMoneda,MATCH(AB3531,ctaNombre,0))&amp;"","DOP")="USD",T3531,S3531))</f>
        <v/>
      </c>
      <c r="AG3531" s="53">
        <f>IF(AC3531="","",IF(IFERROR(INDEX(ctaMoneda,MATCH(AC3531,ctaNombre,0))&amp;"","DOP")="USD",T3531,S3531))</f>
        <v/>
      </c>
      <c r="AH3531" s="53">
        <f>IF(P3531="","",IF(AND(AD3531&lt;&gt;"",COUNTIFS(tcTipo,AD3531,tcLiq,"Sí")&gt;0),IF(OR(P3531="Gasto",P3531="Transferencia",P3531="Pago tarjeta"),-1,1)*S3531,0)+IF(AND(AE3531&lt;&gt;"",COUNTIFS(tcTipo,AE3531,tcLiq,"Sí")&gt;0),S3531,0))</f>
        <v/>
      </c>
      <c r="AI3531" s="52">
        <f>IF(OR(L3531="",P3531=""),"",IF(COUNTIFS(L$6:L3531,L3531,P$6:P3531,"?*")=1,MAX(AI$5:AI3530)+1,""))</f>
        <v/>
      </c>
    </row>
    <row r="3532">
      <c r="B3532" s="47" t="n"/>
      <c r="C3532" s="48" t="n"/>
      <c r="D3532" s="48" t="n"/>
      <c r="E3532" s="48" t="n"/>
      <c r="F3532" s="48" t="n"/>
      <c r="G3532" s="49" t="n"/>
      <c r="H3532" s="48" t="n"/>
      <c r="I3532" s="50" t="n"/>
      <c r="J3532" s="48" t="n"/>
      <c r="K3532" s="48" t="n"/>
      <c r="L3532" s="48" t="n"/>
      <c r="M3532" s="48" t="n"/>
      <c r="N3532" s="48" t="n"/>
      <c r="O3532" s="51">
        <f>IF(AND(B3532="",G3532="",C3532="",D3532="",J3532=""),"",IF(B3532="","⚠ Falta fecha",IF(G3532="","⚠ Falta monto",IF(Q3532="","⚠ Falta cuenta",IF(ISNA(MATCH(Q3532,ctaNombre,0)),"⚠ Cuenta no registrada",IF(AND(OR(P3532="Gasto",P3532="Reembolso"),D3532=""),"⚠ Falta categoría",IF(AND(D3532&lt;&gt;"",E3532&lt;&gt;"",ISNA(MATCH(D3532&amp;"|"&amp;E3532,catClave,0))),"⚠ Subcategoría no corresponde",IF(AND(OR(P3532="Transferencia",P3532="Pago tarjeta"),K3532=""),"⚠ Falta cuenta destino",IF(AND(K3532&lt;&gt;"",P3532&lt;&gt;"Transferencia",P3532&lt;&gt;"Pago tarjeta"),"⚠ Destino solo aplica a transferencias",IF(AND(K3532&lt;&gt;"",K3532=Q3532),"⚠ Origen igual a destino",IF(AND(K3532&lt;&gt;"",ISNA(MATCH(K3532,ctaNombre,0))),"⚠ Destino no registrado",IF(AND(P3532="Pago tarjeta",AE3532&lt;&gt;"Tarjeta de crédito"),"⚠ El destino debe ser tarjeta de crédito",IF(AND(P3532="Gasto",E3532="Depósitos y retiros"),"⚠ Usa tipo Transferencia",IF(AND(P3532="Resultado trading",AD3532&lt;&gt;"Cuenta de trading"),"⚠ Usa una cuenta de trading",IF(AND(G3532&lt;=0,P3532&lt;&gt;"Ajuste",P3532&lt;&gt;"Resultado trading"),"⚠ El monto debe ser positivo","✓")))))))))))))))</f>
        <v/>
      </c>
      <c r="P3532" s="52">
        <f>IF(OR(B3532="",G3532=""),"",IF(C3532="","Gasto",C3532))</f>
        <v/>
      </c>
      <c r="Q3532" s="52">
        <f>IF(P3532="","",IF(J3532&lt;&gt;"",J3532,CuentaPred&amp;""))</f>
        <v/>
      </c>
      <c r="R3532" s="52">
        <f>IF(P3532="","",IF(ISNUMBER(I3532),I3532,TasaUSD))</f>
        <v/>
      </c>
      <c r="S3532" s="53">
        <f>IF(P3532="","",IF(H3532="USD",G3532*R3532,G3532))</f>
        <v/>
      </c>
      <c r="T3532" s="53">
        <f>IF(P3532="","",IF(H3532="USD",G3532,IF(R3532&gt;0,G3532/R3532,0)))</f>
        <v/>
      </c>
      <c r="U3532" s="53">
        <f>IF(P3532="","",IF(P3532="Gasto",S3532,IF(P3532="Reembolso",-S3532,0)))</f>
        <v/>
      </c>
      <c r="V3532" s="53">
        <f>IF(P3532="","",IF(P3532="Ingreso",S3532,0))</f>
        <v/>
      </c>
      <c r="W3532" s="53">
        <f>IF(P3532="","",IF(P3532="Resultado trading",S3532,0))</f>
        <v/>
      </c>
      <c r="X3532" s="52">
        <f>IF(OR(P3532="Gasto",P3532="Reembolso"),IF(M3532&lt;&gt;"",M3532,IFERROR(INDEX(catClasif,MATCH(D3532&amp;"|"&amp;E3532,catClave,0))&amp;"","Variable")),"")</f>
        <v/>
      </c>
      <c r="Y3532" s="52">
        <f>IF(P3532="","",IFERROR(INDEX(catGrupo,MATCH(D3532&amp;"|"&amp;E3532,catClave,0))&amp;"",""))</f>
        <v/>
      </c>
      <c r="Z3532" s="52">
        <f>IF(P3532="","",WEEKDAY(B3532,2))</f>
        <v/>
      </c>
      <c r="AA3532" s="52">
        <f>IF(P3532="","",IF(AND(P3532="Gasto",X3532="Variable",D3532&lt;&gt;catTrading,S3532&gt;0,S3532&lt;=Umbral),1,0))</f>
        <v/>
      </c>
      <c r="AB3532" s="52">
        <f>IF(OR(P3532="",Q3532=""),"",IFERROR(IF(INDEX(ctaVinc,MATCH(Q3532,ctaNombre,0))&amp;""&lt;&gt;"",INDEX(ctaVinc,MATCH(Q3532,ctaNombre,0))&amp;"",Q3532),Q3532))</f>
        <v/>
      </c>
      <c r="AC3532" s="52">
        <f>IF(OR(K3532="",AND(P3532&lt;&gt;"Transferencia",P3532&lt;&gt;"Pago tarjeta")),"",IFERROR(IF(INDEX(ctaVinc,MATCH(K3532,ctaNombre,0))&amp;""&lt;&gt;"",INDEX(ctaVinc,MATCH(K3532,ctaNombre,0))&amp;"",K3532),K3532))</f>
        <v/>
      </c>
      <c r="AD3532" s="52">
        <f>IF(AB3532="","",IFERROR(INDEX(ctaTipo,MATCH(AB3532,ctaNombre,0))&amp;"",""))</f>
        <v/>
      </c>
      <c r="AE3532" s="52">
        <f>IF(AC3532="","",IFERROR(INDEX(ctaTipo,MATCH(AC3532,ctaNombre,0))&amp;"",""))</f>
        <v/>
      </c>
      <c r="AF3532" s="53">
        <f>IF(OR(P3532="",AB3532=""),"",IF(OR(P3532="Gasto",P3532="Transferencia",P3532="Pago tarjeta"),-1,1)*IF(IFERROR(INDEX(ctaMoneda,MATCH(AB3532,ctaNombre,0))&amp;"","DOP")="USD",T3532,S3532))</f>
        <v/>
      </c>
      <c r="AG3532" s="53">
        <f>IF(AC3532="","",IF(IFERROR(INDEX(ctaMoneda,MATCH(AC3532,ctaNombre,0))&amp;"","DOP")="USD",T3532,S3532))</f>
        <v/>
      </c>
      <c r="AH3532" s="53">
        <f>IF(P3532="","",IF(AND(AD3532&lt;&gt;"",COUNTIFS(tcTipo,AD3532,tcLiq,"Sí")&gt;0),IF(OR(P3532="Gasto",P3532="Transferencia",P3532="Pago tarjeta"),-1,1)*S3532,0)+IF(AND(AE3532&lt;&gt;"",COUNTIFS(tcTipo,AE3532,tcLiq,"Sí")&gt;0),S3532,0))</f>
        <v/>
      </c>
      <c r="AI3532" s="52">
        <f>IF(OR(L3532="",P3532=""),"",IF(COUNTIFS(L$6:L3532,L3532,P$6:P3532,"?*")=1,MAX(AI$5:AI3531)+1,""))</f>
        <v/>
      </c>
    </row>
    <row r="3533">
      <c r="B3533" s="47" t="n"/>
      <c r="C3533" s="48" t="n"/>
      <c r="D3533" s="48" t="n"/>
      <c r="E3533" s="48" t="n"/>
      <c r="F3533" s="48" t="n"/>
      <c r="G3533" s="49" t="n"/>
      <c r="H3533" s="48" t="n"/>
      <c r="I3533" s="50" t="n"/>
      <c r="J3533" s="48" t="n"/>
      <c r="K3533" s="48" t="n"/>
      <c r="L3533" s="48" t="n"/>
      <c r="M3533" s="48" t="n"/>
      <c r="N3533" s="48" t="n"/>
      <c r="O3533" s="51">
        <f>IF(AND(B3533="",G3533="",C3533="",D3533="",J3533=""),"",IF(B3533="","⚠ Falta fecha",IF(G3533="","⚠ Falta monto",IF(Q3533="","⚠ Falta cuenta",IF(ISNA(MATCH(Q3533,ctaNombre,0)),"⚠ Cuenta no registrada",IF(AND(OR(P3533="Gasto",P3533="Reembolso"),D3533=""),"⚠ Falta categoría",IF(AND(D3533&lt;&gt;"",E3533&lt;&gt;"",ISNA(MATCH(D3533&amp;"|"&amp;E3533,catClave,0))),"⚠ Subcategoría no corresponde",IF(AND(OR(P3533="Transferencia",P3533="Pago tarjeta"),K3533=""),"⚠ Falta cuenta destino",IF(AND(K3533&lt;&gt;"",P3533&lt;&gt;"Transferencia",P3533&lt;&gt;"Pago tarjeta"),"⚠ Destino solo aplica a transferencias",IF(AND(K3533&lt;&gt;"",K3533=Q3533),"⚠ Origen igual a destino",IF(AND(K3533&lt;&gt;"",ISNA(MATCH(K3533,ctaNombre,0))),"⚠ Destino no registrado",IF(AND(P3533="Pago tarjeta",AE3533&lt;&gt;"Tarjeta de crédito"),"⚠ El destino debe ser tarjeta de crédito",IF(AND(P3533="Gasto",E3533="Depósitos y retiros"),"⚠ Usa tipo Transferencia",IF(AND(P3533="Resultado trading",AD3533&lt;&gt;"Cuenta de trading"),"⚠ Usa una cuenta de trading",IF(AND(G3533&lt;=0,P3533&lt;&gt;"Ajuste",P3533&lt;&gt;"Resultado trading"),"⚠ El monto debe ser positivo","✓")))))))))))))))</f>
        <v/>
      </c>
      <c r="P3533" s="52">
        <f>IF(OR(B3533="",G3533=""),"",IF(C3533="","Gasto",C3533))</f>
        <v/>
      </c>
      <c r="Q3533" s="52">
        <f>IF(P3533="","",IF(J3533&lt;&gt;"",J3533,CuentaPred&amp;""))</f>
        <v/>
      </c>
      <c r="R3533" s="52">
        <f>IF(P3533="","",IF(ISNUMBER(I3533),I3533,TasaUSD))</f>
        <v/>
      </c>
      <c r="S3533" s="53">
        <f>IF(P3533="","",IF(H3533="USD",G3533*R3533,G3533))</f>
        <v/>
      </c>
      <c r="T3533" s="53">
        <f>IF(P3533="","",IF(H3533="USD",G3533,IF(R3533&gt;0,G3533/R3533,0)))</f>
        <v/>
      </c>
      <c r="U3533" s="53">
        <f>IF(P3533="","",IF(P3533="Gasto",S3533,IF(P3533="Reembolso",-S3533,0)))</f>
        <v/>
      </c>
      <c r="V3533" s="53">
        <f>IF(P3533="","",IF(P3533="Ingreso",S3533,0))</f>
        <v/>
      </c>
      <c r="W3533" s="53">
        <f>IF(P3533="","",IF(P3533="Resultado trading",S3533,0))</f>
        <v/>
      </c>
      <c r="X3533" s="52">
        <f>IF(OR(P3533="Gasto",P3533="Reembolso"),IF(M3533&lt;&gt;"",M3533,IFERROR(INDEX(catClasif,MATCH(D3533&amp;"|"&amp;E3533,catClave,0))&amp;"","Variable")),"")</f>
        <v/>
      </c>
      <c r="Y3533" s="52">
        <f>IF(P3533="","",IFERROR(INDEX(catGrupo,MATCH(D3533&amp;"|"&amp;E3533,catClave,0))&amp;"",""))</f>
        <v/>
      </c>
      <c r="Z3533" s="52">
        <f>IF(P3533="","",WEEKDAY(B3533,2))</f>
        <v/>
      </c>
      <c r="AA3533" s="52">
        <f>IF(P3533="","",IF(AND(P3533="Gasto",X3533="Variable",D3533&lt;&gt;catTrading,S3533&gt;0,S3533&lt;=Umbral),1,0))</f>
        <v/>
      </c>
      <c r="AB3533" s="52">
        <f>IF(OR(P3533="",Q3533=""),"",IFERROR(IF(INDEX(ctaVinc,MATCH(Q3533,ctaNombre,0))&amp;""&lt;&gt;"",INDEX(ctaVinc,MATCH(Q3533,ctaNombre,0))&amp;"",Q3533),Q3533))</f>
        <v/>
      </c>
      <c r="AC3533" s="52">
        <f>IF(OR(K3533="",AND(P3533&lt;&gt;"Transferencia",P3533&lt;&gt;"Pago tarjeta")),"",IFERROR(IF(INDEX(ctaVinc,MATCH(K3533,ctaNombre,0))&amp;""&lt;&gt;"",INDEX(ctaVinc,MATCH(K3533,ctaNombre,0))&amp;"",K3533),K3533))</f>
        <v/>
      </c>
      <c r="AD3533" s="52">
        <f>IF(AB3533="","",IFERROR(INDEX(ctaTipo,MATCH(AB3533,ctaNombre,0))&amp;"",""))</f>
        <v/>
      </c>
      <c r="AE3533" s="52">
        <f>IF(AC3533="","",IFERROR(INDEX(ctaTipo,MATCH(AC3533,ctaNombre,0))&amp;"",""))</f>
        <v/>
      </c>
      <c r="AF3533" s="53">
        <f>IF(OR(P3533="",AB3533=""),"",IF(OR(P3533="Gasto",P3533="Transferencia",P3533="Pago tarjeta"),-1,1)*IF(IFERROR(INDEX(ctaMoneda,MATCH(AB3533,ctaNombre,0))&amp;"","DOP")="USD",T3533,S3533))</f>
        <v/>
      </c>
      <c r="AG3533" s="53">
        <f>IF(AC3533="","",IF(IFERROR(INDEX(ctaMoneda,MATCH(AC3533,ctaNombre,0))&amp;"","DOP")="USD",T3533,S3533))</f>
        <v/>
      </c>
      <c r="AH3533" s="53">
        <f>IF(P3533="","",IF(AND(AD3533&lt;&gt;"",COUNTIFS(tcTipo,AD3533,tcLiq,"Sí")&gt;0),IF(OR(P3533="Gasto",P3533="Transferencia",P3533="Pago tarjeta"),-1,1)*S3533,0)+IF(AND(AE3533&lt;&gt;"",COUNTIFS(tcTipo,AE3533,tcLiq,"Sí")&gt;0),S3533,0))</f>
        <v/>
      </c>
      <c r="AI3533" s="52">
        <f>IF(OR(L3533="",P3533=""),"",IF(COUNTIFS(L$6:L3533,L3533,P$6:P3533,"?*")=1,MAX(AI$5:AI3532)+1,""))</f>
        <v/>
      </c>
    </row>
    <row r="3534">
      <c r="B3534" s="47" t="n"/>
      <c r="C3534" s="48" t="n"/>
      <c r="D3534" s="48" t="n"/>
      <c r="E3534" s="48" t="n"/>
      <c r="F3534" s="48" t="n"/>
      <c r="G3534" s="49" t="n"/>
      <c r="H3534" s="48" t="n"/>
      <c r="I3534" s="50" t="n"/>
      <c r="J3534" s="48" t="n"/>
      <c r="K3534" s="48" t="n"/>
      <c r="L3534" s="48" t="n"/>
      <c r="M3534" s="48" t="n"/>
      <c r="N3534" s="48" t="n"/>
      <c r="O3534" s="51">
        <f>IF(AND(B3534="",G3534="",C3534="",D3534="",J3534=""),"",IF(B3534="","⚠ Falta fecha",IF(G3534="","⚠ Falta monto",IF(Q3534="","⚠ Falta cuenta",IF(ISNA(MATCH(Q3534,ctaNombre,0)),"⚠ Cuenta no registrada",IF(AND(OR(P3534="Gasto",P3534="Reembolso"),D3534=""),"⚠ Falta categoría",IF(AND(D3534&lt;&gt;"",E3534&lt;&gt;"",ISNA(MATCH(D3534&amp;"|"&amp;E3534,catClave,0))),"⚠ Subcategoría no corresponde",IF(AND(OR(P3534="Transferencia",P3534="Pago tarjeta"),K3534=""),"⚠ Falta cuenta destino",IF(AND(K3534&lt;&gt;"",P3534&lt;&gt;"Transferencia",P3534&lt;&gt;"Pago tarjeta"),"⚠ Destino solo aplica a transferencias",IF(AND(K3534&lt;&gt;"",K3534=Q3534),"⚠ Origen igual a destino",IF(AND(K3534&lt;&gt;"",ISNA(MATCH(K3534,ctaNombre,0))),"⚠ Destino no registrado",IF(AND(P3534="Pago tarjeta",AE3534&lt;&gt;"Tarjeta de crédito"),"⚠ El destino debe ser tarjeta de crédito",IF(AND(P3534="Gasto",E3534="Depósitos y retiros"),"⚠ Usa tipo Transferencia",IF(AND(P3534="Resultado trading",AD3534&lt;&gt;"Cuenta de trading"),"⚠ Usa una cuenta de trading",IF(AND(G3534&lt;=0,P3534&lt;&gt;"Ajuste",P3534&lt;&gt;"Resultado trading"),"⚠ El monto debe ser positivo","✓")))))))))))))))</f>
        <v/>
      </c>
      <c r="P3534" s="52">
        <f>IF(OR(B3534="",G3534=""),"",IF(C3534="","Gasto",C3534))</f>
        <v/>
      </c>
      <c r="Q3534" s="52">
        <f>IF(P3534="","",IF(J3534&lt;&gt;"",J3534,CuentaPred&amp;""))</f>
        <v/>
      </c>
      <c r="R3534" s="52">
        <f>IF(P3534="","",IF(ISNUMBER(I3534),I3534,TasaUSD))</f>
        <v/>
      </c>
      <c r="S3534" s="53">
        <f>IF(P3534="","",IF(H3534="USD",G3534*R3534,G3534))</f>
        <v/>
      </c>
      <c r="T3534" s="53">
        <f>IF(P3534="","",IF(H3534="USD",G3534,IF(R3534&gt;0,G3534/R3534,0)))</f>
        <v/>
      </c>
      <c r="U3534" s="53">
        <f>IF(P3534="","",IF(P3534="Gasto",S3534,IF(P3534="Reembolso",-S3534,0)))</f>
        <v/>
      </c>
      <c r="V3534" s="53">
        <f>IF(P3534="","",IF(P3534="Ingreso",S3534,0))</f>
        <v/>
      </c>
      <c r="W3534" s="53">
        <f>IF(P3534="","",IF(P3534="Resultado trading",S3534,0))</f>
        <v/>
      </c>
      <c r="X3534" s="52">
        <f>IF(OR(P3534="Gasto",P3534="Reembolso"),IF(M3534&lt;&gt;"",M3534,IFERROR(INDEX(catClasif,MATCH(D3534&amp;"|"&amp;E3534,catClave,0))&amp;"","Variable")),"")</f>
        <v/>
      </c>
      <c r="Y3534" s="52">
        <f>IF(P3534="","",IFERROR(INDEX(catGrupo,MATCH(D3534&amp;"|"&amp;E3534,catClave,0))&amp;"",""))</f>
        <v/>
      </c>
      <c r="Z3534" s="52">
        <f>IF(P3534="","",WEEKDAY(B3534,2))</f>
        <v/>
      </c>
      <c r="AA3534" s="52">
        <f>IF(P3534="","",IF(AND(P3534="Gasto",X3534="Variable",D3534&lt;&gt;catTrading,S3534&gt;0,S3534&lt;=Umbral),1,0))</f>
        <v/>
      </c>
      <c r="AB3534" s="52">
        <f>IF(OR(P3534="",Q3534=""),"",IFERROR(IF(INDEX(ctaVinc,MATCH(Q3534,ctaNombre,0))&amp;""&lt;&gt;"",INDEX(ctaVinc,MATCH(Q3534,ctaNombre,0))&amp;"",Q3534),Q3534))</f>
        <v/>
      </c>
      <c r="AC3534" s="52">
        <f>IF(OR(K3534="",AND(P3534&lt;&gt;"Transferencia",P3534&lt;&gt;"Pago tarjeta")),"",IFERROR(IF(INDEX(ctaVinc,MATCH(K3534,ctaNombre,0))&amp;""&lt;&gt;"",INDEX(ctaVinc,MATCH(K3534,ctaNombre,0))&amp;"",K3534),K3534))</f>
        <v/>
      </c>
      <c r="AD3534" s="52">
        <f>IF(AB3534="","",IFERROR(INDEX(ctaTipo,MATCH(AB3534,ctaNombre,0))&amp;"",""))</f>
        <v/>
      </c>
      <c r="AE3534" s="52">
        <f>IF(AC3534="","",IFERROR(INDEX(ctaTipo,MATCH(AC3534,ctaNombre,0))&amp;"",""))</f>
        <v/>
      </c>
      <c r="AF3534" s="53">
        <f>IF(OR(P3534="",AB3534=""),"",IF(OR(P3534="Gasto",P3534="Transferencia",P3534="Pago tarjeta"),-1,1)*IF(IFERROR(INDEX(ctaMoneda,MATCH(AB3534,ctaNombre,0))&amp;"","DOP")="USD",T3534,S3534))</f>
        <v/>
      </c>
      <c r="AG3534" s="53">
        <f>IF(AC3534="","",IF(IFERROR(INDEX(ctaMoneda,MATCH(AC3534,ctaNombre,0))&amp;"","DOP")="USD",T3534,S3534))</f>
        <v/>
      </c>
      <c r="AH3534" s="53">
        <f>IF(P3534="","",IF(AND(AD3534&lt;&gt;"",COUNTIFS(tcTipo,AD3534,tcLiq,"Sí")&gt;0),IF(OR(P3534="Gasto",P3534="Transferencia",P3534="Pago tarjeta"),-1,1)*S3534,0)+IF(AND(AE3534&lt;&gt;"",COUNTIFS(tcTipo,AE3534,tcLiq,"Sí")&gt;0),S3534,0))</f>
        <v/>
      </c>
      <c r="AI3534" s="52">
        <f>IF(OR(L3534="",P3534=""),"",IF(COUNTIFS(L$6:L3534,L3534,P$6:P3534,"?*")=1,MAX(AI$5:AI3533)+1,""))</f>
        <v/>
      </c>
    </row>
    <row r="3535">
      <c r="B3535" s="47" t="n"/>
      <c r="C3535" s="48" t="n"/>
      <c r="D3535" s="48" t="n"/>
      <c r="E3535" s="48" t="n"/>
      <c r="F3535" s="48" t="n"/>
      <c r="G3535" s="49" t="n"/>
      <c r="H3535" s="48" t="n"/>
      <c r="I3535" s="50" t="n"/>
      <c r="J3535" s="48" t="n"/>
      <c r="K3535" s="48" t="n"/>
      <c r="L3535" s="48" t="n"/>
      <c r="M3535" s="48" t="n"/>
      <c r="N3535" s="48" t="n"/>
      <c r="O3535" s="51">
        <f>IF(AND(B3535="",G3535="",C3535="",D3535="",J3535=""),"",IF(B3535="","⚠ Falta fecha",IF(G3535="","⚠ Falta monto",IF(Q3535="","⚠ Falta cuenta",IF(ISNA(MATCH(Q3535,ctaNombre,0)),"⚠ Cuenta no registrada",IF(AND(OR(P3535="Gasto",P3535="Reembolso"),D3535=""),"⚠ Falta categoría",IF(AND(D3535&lt;&gt;"",E3535&lt;&gt;"",ISNA(MATCH(D3535&amp;"|"&amp;E3535,catClave,0))),"⚠ Subcategoría no corresponde",IF(AND(OR(P3535="Transferencia",P3535="Pago tarjeta"),K3535=""),"⚠ Falta cuenta destino",IF(AND(K3535&lt;&gt;"",P3535&lt;&gt;"Transferencia",P3535&lt;&gt;"Pago tarjeta"),"⚠ Destino solo aplica a transferencias",IF(AND(K3535&lt;&gt;"",K3535=Q3535),"⚠ Origen igual a destino",IF(AND(K3535&lt;&gt;"",ISNA(MATCH(K3535,ctaNombre,0))),"⚠ Destino no registrado",IF(AND(P3535="Pago tarjeta",AE3535&lt;&gt;"Tarjeta de crédito"),"⚠ El destino debe ser tarjeta de crédito",IF(AND(P3535="Gasto",E3535="Depósitos y retiros"),"⚠ Usa tipo Transferencia",IF(AND(P3535="Resultado trading",AD3535&lt;&gt;"Cuenta de trading"),"⚠ Usa una cuenta de trading",IF(AND(G3535&lt;=0,P3535&lt;&gt;"Ajuste",P3535&lt;&gt;"Resultado trading"),"⚠ El monto debe ser positivo","✓")))))))))))))))</f>
        <v/>
      </c>
      <c r="P3535" s="52">
        <f>IF(OR(B3535="",G3535=""),"",IF(C3535="","Gasto",C3535))</f>
        <v/>
      </c>
      <c r="Q3535" s="52">
        <f>IF(P3535="","",IF(J3535&lt;&gt;"",J3535,CuentaPred&amp;""))</f>
        <v/>
      </c>
      <c r="R3535" s="52">
        <f>IF(P3535="","",IF(ISNUMBER(I3535),I3535,TasaUSD))</f>
        <v/>
      </c>
      <c r="S3535" s="53">
        <f>IF(P3535="","",IF(H3535="USD",G3535*R3535,G3535))</f>
        <v/>
      </c>
      <c r="T3535" s="53">
        <f>IF(P3535="","",IF(H3535="USD",G3535,IF(R3535&gt;0,G3535/R3535,0)))</f>
        <v/>
      </c>
      <c r="U3535" s="53">
        <f>IF(P3535="","",IF(P3535="Gasto",S3535,IF(P3535="Reembolso",-S3535,0)))</f>
        <v/>
      </c>
      <c r="V3535" s="53">
        <f>IF(P3535="","",IF(P3535="Ingreso",S3535,0))</f>
        <v/>
      </c>
      <c r="W3535" s="53">
        <f>IF(P3535="","",IF(P3535="Resultado trading",S3535,0))</f>
        <v/>
      </c>
      <c r="X3535" s="52">
        <f>IF(OR(P3535="Gasto",P3535="Reembolso"),IF(M3535&lt;&gt;"",M3535,IFERROR(INDEX(catClasif,MATCH(D3535&amp;"|"&amp;E3535,catClave,0))&amp;"","Variable")),"")</f>
        <v/>
      </c>
      <c r="Y3535" s="52">
        <f>IF(P3535="","",IFERROR(INDEX(catGrupo,MATCH(D3535&amp;"|"&amp;E3535,catClave,0))&amp;"",""))</f>
        <v/>
      </c>
      <c r="Z3535" s="52">
        <f>IF(P3535="","",WEEKDAY(B3535,2))</f>
        <v/>
      </c>
      <c r="AA3535" s="52">
        <f>IF(P3535="","",IF(AND(P3535="Gasto",X3535="Variable",D3535&lt;&gt;catTrading,S3535&gt;0,S3535&lt;=Umbral),1,0))</f>
        <v/>
      </c>
      <c r="AB3535" s="52">
        <f>IF(OR(P3535="",Q3535=""),"",IFERROR(IF(INDEX(ctaVinc,MATCH(Q3535,ctaNombre,0))&amp;""&lt;&gt;"",INDEX(ctaVinc,MATCH(Q3535,ctaNombre,0))&amp;"",Q3535),Q3535))</f>
        <v/>
      </c>
      <c r="AC3535" s="52">
        <f>IF(OR(K3535="",AND(P3535&lt;&gt;"Transferencia",P3535&lt;&gt;"Pago tarjeta")),"",IFERROR(IF(INDEX(ctaVinc,MATCH(K3535,ctaNombre,0))&amp;""&lt;&gt;"",INDEX(ctaVinc,MATCH(K3535,ctaNombre,0))&amp;"",K3535),K3535))</f>
        <v/>
      </c>
      <c r="AD3535" s="52">
        <f>IF(AB3535="","",IFERROR(INDEX(ctaTipo,MATCH(AB3535,ctaNombre,0))&amp;"",""))</f>
        <v/>
      </c>
      <c r="AE3535" s="52">
        <f>IF(AC3535="","",IFERROR(INDEX(ctaTipo,MATCH(AC3535,ctaNombre,0))&amp;"",""))</f>
        <v/>
      </c>
      <c r="AF3535" s="53">
        <f>IF(OR(P3535="",AB3535=""),"",IF(OR(P3535="Gasto",P3535="Transferencia",P3535="Pago tarjeta"),-1,1)*IF(IFERROR(INDEX(ctaMoneda,MATCH(AB3535,ctaNombre,0))&amp;"","DOP")="USD",T3535,S3535))</f>
        <v/>
      </c>
      <c r="AG3535" s="53">
        <f>IF(AC3535="","",IF(IFERROR(INDEX(ctaMoneda,MATCH(AC3535,ctaNombre,0))&amp;"","DOP")="USD",T3535,S3535))</f>
        <v/>
      </c>
      <c r="AH3535" s="53">
        <f>IF(P3535="","",IF(AND(AD3535&lt;&gt;"",COUNTIFS(tcTipo,AD3535,tcLiq,"Sí")&gt;0),IF(OR(P3535="Gasto",P3535="Transferencia",P3535="Pago tarjeta"),-1,1)*S3535,0)+IF(AND(AE3535&lt;&gt;"",COUNTIFS(tcTipo,AE3535,tcLiq,"Sí")&gt;0),S3535,0))</f>
        <v/>
      </c>
      <c r="AI3535" s="52">
        <f>IF(OR(L3535="",P3535=""),"",IF(COUNTIFS(L$6:L3535,L3535,P$6:P3535,"?*")=1,MAX(AI$5:AI3534)+1,""))</f>
        <v/>
      </c>
    </row>
    <row r="3536">
      <c r="B3536" s="47" t="n"/>
      <c r="C3536" s="48" t="n"/>
      <c r="D3536" s="48" t="n"/>
      <c r="E3536" s="48" t="n"/>
      <c r="F3536" s="48" t="n"/>
      <c r="G3536" s="49" t="n"/>
      <c r="H3536" s="48" t="n"/>
      <c r="I3536" s="50" t="n"/>
      <c r="J3536" s="48" t="n"/>
      <c r="K3536" s="48" t="n"/>
      <c r="L3536" s="48" t="n"/>
      <c r="M3536" s="48" t="n"/>
      <c r="N3536" s="48" t="n"/>
      <c r="O3536" s="51">
        <f>IF(AND(B3536="",G3536="",C3536="",D3536="",J3536=""),"",IF(B3536="","⚠ Falta fecha",IF(G3536="","⚠ Falta monto",IF(Q3536="","⚠ Falta cuenta",IF(ISNA(MATCH(Q3536,ctaNombre,0)),"⚠ Cuenta no registrada",IF(AND(OR(P3536="Gasto",P3536="Reembolso"),D3536=""),"⚠ Falta categoría",IF(AND(D3536&lt;&gt;"",E3536&lt;&gt;"",ISNA(MATCH(D3536&amp;"|"&amp;E3536,catClave,0))),"⚠ Subcategoría no corresponde",IF(AND(OR(P3536="Transferencia",P3536="Pago tarjeta"),K3536=""),"⚠ Falta cuenta destino",IF(AND(K3536&lt;&gt;"",P3536&lt;&gt;"Transferencia",P3536&lt;&gt;"Pago tarjeta"),"⚠ Destino solo aplica a transferencias",IF(AND(K3536&lt;&gt;"",K3536=Q3536),"⚠ Origen igual a destino",IF(AND(K3536&lt;&gt;"",ISNA(MATCH(K3536,ctaNombre,0))),"⚠ Destino no registrado",IF(AND(P3536="Pago tarjeta",AE3536&lt;&gt;"Tarjeta de crédito"),"⚠ El destino debe ser tarjeta de crédito",IF(AND(P3536="Gasto",E3536="Depósitos y retiros"),"⚠ Usa tipo Transferencia",IF(AND(P3536="Resultado trading",AD3536&lt;&gt;"Cuenta de trading"),"⚠ Usa una cuenta de trading",IF(AND(G3536&lt;=0,P3536&lt;&gt;"Ajuste",P3536&lt;&gt;"Resultado trading"),"⚠ El monto debe ser positivo","✓")))))))))))))))</f>
        <v/>
      </c>
      <c r="P3536" s="52">
        <f>IF(OR(B3536="",G3536=""),"",IF(C3536="","Gasto",C3536))</f>
        <v/>
      </c>
      <c r="Q3536" s="52">
        <f>IF(P3536="","",IF(J3536&lt;&gt;"",J3536,CuentaPred&amp;""))</f>
        <v/>
      </c>
      <c r="R3536" s="52">
        <f>IF(P3536="","",IF(ISNUMBER(I3536),I3536,TasaUSD))</f>
        <v/>
      </c>
      <c r="S3536" s="53">
        <f>IF(P3536="","",IF(H3536="USD",G3536*R3536,G3536))</f>
        <v/>
      </c>
      <c r="T3536" s="53">
        <f>IF(P3536="","",IF(H3536="USD",G3536,IF(R3536&gt;0,G3536/R3536,0)))</f>
        <v/>
      </c>
      <c r="U3536" s="53">
        <f>IF(P3536="","",IF(P3536="Gasto",S3536,IF(P3536="Reembolso",-S3536,0)))</f>
        <v/>
      </c>
      <c r="V3536" s="53">
        <f>IF(P3536="","",IF(P3536="Ingreso",S3536,0))</f>
        <v/>
      </c>
      <c r="W3536" s="53">
        <f>IF(P3536="","",IF(P3536="Resultado trading",S3536,0))</f>
        <v/>
      </c>
      <c r="X3536" s="52">
        <f>IF(OR(P3536="Gasto",P3536="Reembolso"),IF(M3536&lt;&gt;"",M3536,IFERROR(INDEX(catClasif,MATCH(D3536&amp;"|"&amp;E3536,catClave,0))&amp;"","Variable")),"")</f>
        <v/>
      </c>
      <c r="Y3536" s="52">
        <f>IF(P3536="","",IFERROR(INDEX(catGrupo,MATCH(D3536&amp;"|"&amp;E3536,catClave,0))&amp;"",""))</f>
        <v/>
      </c>
      <c r="Z3536" s="52">
        <f>IF(P3536="","",WEEKDAY(B3536,2))</f>
        <v/>
      </c>
      <c r="AA3536" s="52">
        <f>IF(P3536="","",IF(AND(P3536="Gasto",X3536="Variable",D3536&lt;&gt;catTrading,S3536&gt;0,S3536&lt;=Umbral),1,0))</f>
        <v/>
      </c>
      <c r="AB3536" s="52">
        <f>IF(OR(P3536="",Q3536=""),"",IFERROR(IF(INDEX(ctaVinc,MATCH(Q3536,ctaNombre,0))&amp;""&lt;&gt;"",INDEX(ctaVinc,MATCH(Q3536,ctaNombre,0))&amp;"",Q3536),Q3536))</f>
        <v/>
      </c>
      <c r="AC3536" s="52">
        <f>IF(OR(K3536="",AND(P3536&lt;&gt;"Transferencia",P3536&lt;&gt;"Pago tarjeta")),"",IFERROR(IF(INDEX(ctaVinc,MATCH(K3536,ctaNombre,0))&amp;""&lt;&gt;"",INDEX(ctaVinc,MATCH(K3536,ctaNombre,0))&amp;"",K3536),K3536))</f>
        <v/>
      </c>
      <c r="AD3536" s="52">
        <f>IF(AB3536="","",IFERROR(INDEX(ctaTipo,MATCH(AB3536,ctaNombre,0))&amp;"",""))</f>
        <v/>
      </c>
      <c r="AE3536" s="52">
        <f>IF(AC3536="","",IFERROR(INDEX(ctaTipo,MATCH(AC3536,ctaNombre,0))&amp;"",""))</f>
        <v/>
      </c>
      <c r="AF3536" s="53">
        <f>IF(OR(P3536="",AB3536=""),"",IF(OR(P3536="Gasto",P3536="Transferencia",P3536="Pago tarjeta"),-1,1)*IF(IFERROR(INDEX(ctaMoneda,MATCH(AB3536,ctaNombre,0))&amp;"","DOP")="USD",T3536,S3536))</f>
        <v/>
      </c>
      <c r="AG3536" s="53">
        <f>IF(AC3536="","",IF(IFERROR(INDEX(ctaMoneda,MATCH(AC3536,ctaNombre,0))&amp;"","DOP")="USD",T3536,S3536))</f>
        <v/>
      </c>
      <c r="AH3536" s="53">
        <f>IF(P3536="","",IF(AND(AD3536&lt;&gt;"",COUNTIFS(tcTipo,AD3536,tcLiq,"Sí")&gt;0),IF(OR(P3536="Gasto",P3536="Transferencia",P3536="Pago tarjeta"),-1,1)*S3536,0)+IF(AND(AE3536&lt;&gt;"",COUNTIFS(tcTipo,AE3536,tcLiq,"Sí")&gt;0),S3536,0))</f>
        <v/>
      </c>
      <c r="AI3536" s="52">
        <f>IF(OR(L3536="",P3536=""),"",IF(COUNTIFS(L$6:L3536,L3536,P$6:P3536,"?*")=1,MAX(AI$5:AI3535)+1,""))</f>
        <v/>
      </c>
    </row>
    <row r="3537">
      <c r="B3537" s="47" t="n"/>
      <c r="C3537" s="48" t="n"/>
      <c r="D3537" s="48" t="n"/>
      <c r="E3537" s="48" t="n"/>
      <c r="F3537" s="48" t="n"/>
      <c r="G3537" s="49" t="n"/>
      <c r="H3537" s="48" t="n"/>
      <c r="I3537" s="50" t="n"/>
      <c r="J3537" s="48" t="n"/>
      <c r="K3537" s="48" t="n"/>
      <c r="L3537" s="48" t="n"/>
      <c r="M3537" s="48" t="n"/>
      <c r="N3537" s="48" t="n"/>
      <c r="O3537" s="51">
        <f>IF(AND(B3537="",G3537="",C3537="",D3537="",J3537=""),"",IF(B3537="","⚠ Falta fecha",IF(G3537="","⚠ Falta monto",IF(Q3537="","⚠ Falta cuenta",IF(ISNA(MATCH(Q3537,ctaNombre,0)),"⚠ Cuenta no registrada",IF(AND(OR(P3537="Gasto",P3537="Reembolso"),D3537=""),"⚠ Falta categoría",IF(AND(D3537&lt;&gt;"",E3537&lt;&gt;"",ISNA(MATCH(D3537&amp;"|"&amp;E3537,catClave,0))),"⚠ Subcategoría no corresponde",IF(AND(OR(P3537="Transferencia",P3537="Pago tarjeta"),K3537=""),"⚠ Falta cuenta destino",IF(AND(K3537&lt;&gt;"",P3537&lt;&gt;"Transferencia",P3537&lt;&gt;"Pago tarjeta"),"⚠ Destino solo aplica a transferencias",IF(AND(K3537&lt;&gt;"",K3537=Q3537),"⚠ Origen igual a destino",IF(AND(K3537&lt;&gt;"",ISNA(MATCH(K3537,ctaNombre,0))),"⚠ Destino no registrado",IF(AND(P3537="Pago tarjeta",AE3537&lt;&gt;"Tarjeta de crédito"),"⚠ El destino debe ser tarjeta de crédito",IF(AND(P3537="Gasto",E3537="Depósitos y retiros"),"⚠ Usa tipo Transferencia",IF(AND(P3537="Resultado trading",AD3537&lt;&gt;"Cuenta de trading"),"⚠ Usa una cuenta de trading",IF(AND(G3537&lt;=0,P3537&lt;&gt;"Ajuste",P3537&lt;&gt;"Resultado trading"),"⚠ El monto debe ser positivo","✓")))))))))))))))</f>
        <v/>
      </c>
      <c r="P3537" s="52">
        <f>IF(OR(B3537="",G3537=""),"",IF(C3537="","Gasto",C3537))</f>
        <v/>
      </c>
      <c r="Q3537" s="52">
        <f>IF(P3537="","",IF(J3537&lt;&gt;"",J3537,CuentaPred&amp;""))</f>
        <v/>
      </c>
      <c r="R3537" s="52">
        <f>IF(P3537="","",IF(ISNUMBER(I3537),I3537,TasaUSD))</f>
        <v/>
      </c>
      <c r="S3537" s="53">
        <f>IF(P3537="","",IF(H3537="USD",G3537*R3537,G3537))</f>
        <v/>
      </c>
      <c r="T3537" s="53">
        <f>IF(P3537="","",IF(H3537="USD",G3537,IF(R3537&gt;0,G3537/R3537,0)))</f>
        <v/>
      </c>
      <c r="U3537" s="53">
        <f>IF(P3537="","",IF(P3537="Gasto",S3537,IF(P3537="Reembolso",-S3537,0)))</f>
        <v/>
      </c>
      <c r="V3537" s="53">
        <f>IF(P3537="","",IF(P3537="Ingreso",S3537,0))</f>
        <v/>
      </c>
      <c r="W3537" s="53">
        <f>IF(P3537="","",IF(P3537="Resultado trading",S3537,0))</f>
        <v/>
      </c>
      <c r="X3537" s="52">
        <f>IF(OR(P3537="Gasto",P3537="Reembolso"),IF(M3537&lt;&gt;"",M3537,IFERROR(INDEX(catClasif,MATCH(D3537&amp;"|"&amp;E3537,catClave,0))&amp;"","Variable")),"")</f>
        <v/>
      </c>
      <c r="Y3537" s="52">
        <f>IF(P3537="","",IFERROR(INDEX(catGrupo,MATCH(D3537&amp;"|"&amp;E3537,catClave,0))&amp;"",""))</f>
        <v/>
      </c>
      <c r="Z3537" s="52">
        <f>IF(P3537="","",WEEKDAY(B3537,2))</f>
        <v/>
      </c>
      <c r="AA3537" s="52">
        <f>IF(P3537="","",IF(AND(P3537="Gasto",X3537="Variable",D3537&lt;&gt;catTrading,S3537&gt;0,S3537&lt;=Umbral),1,0))</f>
        <v/>
      </c>
      <c r="AB3537" s="52">
        <f>IF(OR(P3537="",Q3537=""),"",IFERROR(IF(INDEX(ctaVinc,MATCH(Q3537,ctaNombre,0))&amp;""&lt;&gt;"",INDEX(ctaVinc,MATCH(Q3537,ctaNombre,0))&amp;"",Q3537),Q3537))</f>
        <v/>
      </c>
      <c r="AC3537" s="52">
        <f>IF(OR(K3537="",AND(P3537&lt;&gt;"Transferencia",P3537&lt;&gt;"Pago tarjeta")),"",IFERROR(IF(INDEX(ctaVinc,MATCH(K3537,ctaNombre,0))&amp;""&lt;&gt;"",INDEX(ctaVinc,MATCH(K3537,ctaNombre,0))&amp;"",K3537),K3537))</f>
        <v/>
      </c>
      <c r="AD3537" s="52">
        <f>IF(AB3537="","",IFERROR(INDEX(ctaTipo,MATCH(AB3537,ctaNombre,0))&amp;"",""))</f>
        <v/>
      </c>
      <c r="AE3537" s="52">
        <f>IF(AC3537="","",IFERROR(INDEX(ctaTipo,MATCH(AC3537,ctaNombre,0))&amp;"",""))</f>
        <v/>
      </c>
      <c r="AF3537" s="53">
        <f>IF(OR(P3537="",AB3537=""),"",IF(OR(P3537="Gasto",P3537="Transferencia",P3537="Pago tarjeta"),-1,1)*IF(IFERROR(INDEX(ctaMoneda,MATCH(AB3537,ctaNombre,0))&amp;"","DOP")="USD",T3537,S3537))</f>
        <v/>
      </c>
      <c r="AG3537" s="53">
        <f>IF(AC3537="","",IF(IFERROR(INDEX(ctaMoneda,MATCH(AC3537,ctaNombre,0))&amp;"","DOP")="USD",T3537,S3537))</f>
        <v/>
      </c>
      <c r="AH3537" s="53">
        <f>IF(P3537="","",IF(AND(AD3537&lt;&gt;"",COUNTIFS(tcTipo,AD3537,tcLiq,"Sí")&gt;0),IF(OR(P3537="Gasto",P3537="Transferencia",P3537="Pago tarjeta"),-1,1)*S3537,0)+IF(AND(AE3537&lt;&gt;"",COUNTIFS(tcTipo,AE3537,tcLiq,"Sí")&gt;0),S3537,0))</f>
        <v/>
      </c>
      <c r="AI3537" s="52">
        <f>IF(OR(L3537="",P3537=""),"",IF(COUNTIFS(L$6:L3537,L3537,P$6:P3537,"?*")=1,MAX(AI$5:AI3536)+1,""))</f>
        <v/>
      </c>
    </row>
    <row r="3538">
      <c r="B3538" s="47" t="n"/>
      <c r="C3538" s="48" t="n"/>
      <c r="D3538" s="48" t="n"/>
      <c r="E3538" s="48" t="n"/>
      <c r="F3538" s="48" t="n"/>
      <c r="G3538" s="49" t="n"/>
      <c r="H3538" s="48" t="n"/>
      <c r="I3538" s="50" t="n"/>
      <c r="J3538" s="48" t="n"/>
      <c r="K3538" s="48" t="n"/>
      <c r="L3538" s="48" t="n"/>
      <c r="M3538" s="48" t="n"/>
      <c r="N3538" s="48" t="n"/>
      <c r="O3538" s="51">
        <f>IF(AND(B3538="",G3538="",C3538="",D3538="",J3538=""),"",IF(B3538="","⚠ Falta fecha",IF(G3538="","⚠ Falta monto",IF(Q3538="","⚠ Falta cuenta",IF(ISNA(MATCH(Q3538,ctaNombre,0)),"⚠ Cuenta no registrada",IF(AND(OR(P3538="Gasto",P3538="Reembolso"),D3538=""),"⚠ Falta categoría",IF(AND(D3538&lt;&gt;"",E3538&lt;&gt;"",ISNA(MATCH(D3538&amp;"|"&amp;E3538,catClave,0))),"⚠ Subcategoría no corresponde",IF(AND(OR(P3538="Transferencia",P3538="Pago tarjeta"),K3538=""),"⚠ Falta cuenta destino",IF(AND(K3538&lt;&gt;"",P3538&lt;&gt;"Transferencia",P3538&lt;&gt;"Pago tarjeta"),"⚠ Destino solo aplica a transferencias",IF(AND(K3538&lt;&gt;"",K3538=Q3538),"⚠ Origen igual a destino",IF(AND(K3538&lt;&gt;"",ISNA(MATCH(K3538,ctaNombre,0))),"⚠ Destino no registrado",IF(AND(P3538="Pago tarjeta",AE3538&lt;&gt;"Tarjeta de crédito"),"⚠ El destino debe ser tarjeta de crédito",IF(AND(P3538="Gasto",E3538="Depósitos y retiros"),"⚠ Usa tipo Transferencia",IF(AND(P3538="Resultado trading",AD3538&lt;&gt;"Cuenta de trading"),"⚠ Usa una cuenta de trading",IF(AND(G3538&lt;=0,P3538&lt;&gt;"Ajuste",P3538&lt;&gt;"Resultado trading"),"⚠ El monto debe ser positivo","✓")))))))))))))))</f>
        <v/>
      </c>
      <c r="P3538" s="52">
        <f>IF(OR(B3538="",G3538=""),"",IF(C3538="","Gasto",C3538))</f>
        <v/>
      </c>
      <c r="Q3538" s="52">
        <f>IF(P3538="","",IF(J3538&lt;&gt;"",J3538,CuentaPred&amp;""))</f>
        <v/>
      </c>
      <c r="R3538" s="52">
        <f>IF(P3538="","",IF(ISNUMBER(I3538),I3538,TasaUSD))</f>
        <v/>
      </c>
      <c r="S3538" s="53">
        <f>IF(P3538="","",IF(H3538="USD",G3538*R3538,G3538))</f>
        <v/>
      </c>
      <c r="T3538" s="53">
        <f>IF(P3538="","",IF(H3538="USD",G3538,IF(R3538&gt;0,G3538/R3538,0)))</f>
        <v/>
      </c>
      <c r="U3538" s="53">
        <f>IF(P3538="","",IF(P3538="Gasto",S3538,IF(P3538="Reembolso",-S3538,0)))</f>
        <v/>
      </c>
      <c r="V3538" s="53">
        <f>IF(P3538="","",IF(P3538="Ingreso",S3538,0))</f>
        <v/>
      </c>
      <c r="W3538" s="53">
        <f>IF(P3538="","",IF(P3538="Resultado trading",S3538,0))</f>
        <v/>
      </c>
      <c r="X3538" s="52">
        <f>IF(OR(P3538="Gasto",P3538="Reembolso"),IF(M3538&lt;&gt;"",M3538,IFERROR(INDEX(catClasif,MATCH(D3538&amp;"|"&amp;E3538,catClave,0))&amp;"","Variable")),"")</f>
        <v/>
      </c>
      <c r="Y3538" s="52">
        <f>IF(P3538="","",IFERROR(INDEX(catGrupo,MATCH(D3538&amp;"|"&amp;E3538,catClave,0))&amp;"",""))</f>
        <v/>
      </c>
      <c r="Z3538" s="52">
        <f>IF(P3538="","",WEEKDAY(B3538,2))</f>
        <v/>
      </c>
      <c r="AA3538" s="52">
        <f>IF(P3538="","",IF(AND(P3538="Gasto",X3538="Variable",D3538&lt;&gt;catTrading,S3538&gt;0,S3538&lt;=Umbral),1,0))</f>
        <v/>
      </c>
      <c r="AB3538" s="52">
        <f>IF(OR(P3538="",Q3538=""),"",IFERROR(IF(INDEX(ctaVinc,MATCH(Q3538,ctaNombre,0))&amp;""&lt;&gt;"",INDEX(ctaVinc,MATCH(Q3538,ctaNombre,0))&amp;"",Q3538),Q3538))</f>
        <v/>
      </c>
      <c r="AC3538" s="52">
        <f>IF(OR(K3538="",AND(P3538&lt;&gt;"Transferencia",P3538&lt;&gt;"Pago tarjeta")),"",IFERROR(IF(INDEX(ctaVinc,MATCH(K3538,ctaNombre,0))&amp;""&lt;&gt;"",INDEX(ctaVinc,MATCH(K3538,ctaNombre,0))&amp;"",K3538),K3538))</f>
        <v/>
      </c>
      <c r="AD3538" s="52">
        <f>IF(AB3538="","",IFERROR(INDEX(ctaTipo,MATCH(AB3538,ctaNombre,0))&amp;"",""))</f>
        <v/>
      </c>
      <c r="AE3538" s="52">
        <f>IF(AC3538="","",IFERROR(INDEX(ctaTipo,MATCH(AC3538,ctaNombre,0))&amp;"",""))</f>
        <v/>
      </c>
      <c r="AF3538" s="53">
        <f>IF(OR(P3538="",AB3538=""),"",IF(OR(P3538="Gasto",P3538="Transferencia",P3538="Pago tarjeta"),-1,1)*IF(IFERROR(INDEX(ctaMoneda,MATCH(AB3538,ctaNombre,0))&amp;"","DOP")="USD",T3538,S3538))</f>
        <v/>
      </c>
      <c r="AG3538" s="53">
        <f>IF(AC3538="","",IF(IFERROR(INDEX(ctaMoneda,MATCH(AC3538,ctaNombre,0))&amp;"","DOP")="USD",T3538,S3538))</f>
        <v/>
      </c>
      <c r="AH3538" s="53">
        <f>IF(P3538="","",IF(AND(AD3538&lt;&gt;"",COUNTIFS(tcTipo,AD3538,tcLiq,"Sí")&gt;0),IF(OR(P3538="Gasto",P3538="Transferencia",P3538="Pago tarjeta"),-1,1)*S3538,0)+IF(AND(AE3538&lt;&gt;"",COUNTIFS(tcTipo,AE3538,tcLiq,"Sí")&gt;0),S3538,0))</f>
        <v/>
      </c>
      <c r="AI3538" s="52">
        <f>IF(OR(L3538="",P3538=""),"",IF(COUNTIFS(L$6:L3538,L3538,P$6:P3538,"?*")=1,MAX(AI$5:AI3537)+1,""))</f>
        <v/>
      </c>
    </row>
    <row r="3539">
      <c r="B3539" s="47" t="n"/>
      <c r="C3539" s="48" t="n"/>
      <c r="D3539" s="48" t="n"/>
      <c r="E3539" s="48" t="n"/>
      <c r="F3539" s="48" t="n"/>
      <c r="G3539" s="49" t="n"/>
      <c r="H3539" s="48" t="n"/>
      <c r="I3539" s="50" t="n"/>
      <c r="J3539" s="48" t="n"/>
      <c r="K3539" s="48" t="n"/>
      <c r="L3539" s="48" t="n"/>
      <c r="M3539" s="48" t="n"/>
      <c r="N3539" s="48" t="n"/>
      <c r="O3539" s="51">
        <f>IF(AND(B3539="",G3539="",C3539="",D3539="",J3539=""),"",IF(B3539="","⚠ Falta fecha",IF(G3539="","⚠ Falta monto",IF(Q3539="","⚠ Falta cuenta",IF(ISNA(MATCH(Q3539,ctaNombre,0)),"⚠ Cuenta no registrada",IF(AND(OR(P3539="Gasto",P3539="Reembolso"),D3539=""),"⚠ Falta categoría",IF(AND(D3539&lt;&gt;"",E3539&lt;&gt;"",ISNA(MATCH(D3539&amp;"|"&amp;E3539,catClave,0))),"⚠ Subcategoría no corresponde",IF(AND(OR(P3539="Transferencia",P3539="Pago tarjeta"),K3539=""),"⚠ Falta cuenta destino",IF(AND(K3539&lt;&gt;"",P3539&lt;&gt;"Transferencia",P3539&lt;&gt;"Pago tarjeta"),"⚠ Destino solo aplica a transferencias",IF(AND(K3539&lt;&gt;"",K3539=Q3539),"⚠ Origen igual a destino",IF(AND(K3539&lt;&gt;"",ISNA(MATCH(K3539,ctaNombre,0))),"⚠ Destino no registrado",IF(AND(P3539="Pago tarjeta",AE3539&lt;&gt;"Tarjeta de crédito"),"⚠ El destino debe ser tarjeta de crédito",IF(AND(P3539="Gasto",E3539="Depósitos y retiros"),"⚠ Usa tipo Transferencia",IF(AND(P3539="Resultado trading",AD3539&lt;&gt;"Cuenta de trading"),"⚠ Usa una cuenta de trading",IF(AND(G3539&lt;=0,P3539&lt;&gt;"Ajuste",P3539&lt;&gt;"Resultado trading"),"⚠ El monto debe ser positivo","✓")))))))))))))))</f>
        <v/>
      </c>
      <c r="P3539" s="52">
        <f>IF(OR(B3539="",G3539=""),"",IF(C3539="","Gasto",C3539))</f>
        <v/>
      </c>
      <c r="Q3539" s="52">
        <f>IF(P3539="","",IF(J3539&lt;&gt;"",J3539,CuentaPred&amp;""))</f>
        <v/>
      </c>
      <c r="R3539" s="52">
        <f>IF(P3539="","",IF(ISNUMBER(I3539),I3539,TasaUSD))</f>
        <v/>
      </c>
      <c r="S3539" s="53">
        <f>IF(P3539="","",IF(H3539="USD",G3539*R3539,G3539))</f>
        <v/>
      </c>
      <c r="T3539" s="53">
        <f>IF(P3539="","",IF(H3539="USD",G3539,IF(R3539&gt;0,G3539/R3539,0)))</f>
        <v/>
      </c>
      <c r="U3539" s="53">
        <f>IF(P3539="","",IF(P3539="Gasto",S3539,IF(P3539="Reembolso",-S3539,0)))</f>
        <v/>
      </c>
      <c r="V3539" s="53">
        <f>IF(P3539="","",IF(P3539="Ingreso",S3539,0))</f>
        <v/>
      </c>
      <c r="W3539" s="53">
        <f>IF(P3539="","",IF(P3539="Resultado trading",S3539,0))</f>
        <v/>
      </c>
      <c r="X3539" s="52">
        <f>IF(OR(P3539="Gasto",P3539="Reembolso"),IF(M3539&lt;&gt;"",M3539,IFERROR(INDEX(catClasif,MATCH(D3539&amp;"|"&amp;E3539,catClave,0))&amp;"","Variable")),"")</f>
        <v/>
      </c>
      <c r="Y3539" s="52">
        <f>IF(P3539="","",IFERROR(INDEX(catGrupo,MATCH(D3539&amp;"|"&amp;E3539,catClave,0))&amp;"",""))</f>
        <v/>
      </c>
      <c r="Z3539" s="52">
        <f>IF(P3539="","",WEEKDAY(B3539,2))</f>
        <v/>
      </c>
      <c r="AA3539" s="52">
        <f>IF(P3539="","",IF(AND(P3539="Gasto",X3539="Variable",D3539&lt;&gt;catTrading,S3539&gt;0,S3539&lt;=Umbral),1,0))</f>
        <v/>
      </c>
      <c r="AB3539" s="52">
        <f>IF(OR(P3539="",Q3539=""),"",IFERROR(IF(INDEX(ctaVinc,MATCH(Q3539,ctaNombre,0))&amp;""&lt;&gt;"",INDEX(ctaVinc,MATCH(Q3539,ctaNombre,0))&amp;"",Q3539),Q3539))</f>
        <v/>
      </c>
      <c r="AC3539" s="52">
        <f>IF(OR(K3539="",AND(P3539&lt;&gt;"Transferencia",P3539&lt;&gt;"Pago tarjeta")),"",IFERROR(IF(INDEX(ctaVinc,MATCH(K3539,ctaNombre,0))&amp;""&lt;&gt;"",INDEX(ctaVinc,MATCH(K3539,ctaNombre,0))&amp;"",K3539),K3539))</f>
        <v/>
      </c>
      <c r="AD3539" s="52">
        <f>IF(AB3539="","",IFERROR(INDEX(ctaTipo,MATCH(AB3539,ctaNombre,0))&amp;"",""))</f>
        <v/>
      </c>
      <c r="AE3539" s="52">
        <f>IF(AC3539="","",IFERROR(INDEX(ctaTipo,MATCH(AC3539,ctaNombre,0))&amp;"",""))</f>
        <v/>
      </c>
      <c r="AF3539" s="53">
        <f>IF(OR(P3539="",AB3539=""),"",IF(OR(P3539="Gasto",P3539="Transferencia",P3539="Pago tarjeta"),-1,1)*IF(IFERROR(INDEX(ctaMoneda,MATCH(AB3539,ctaNombre,0))&amp;"","DOP")="USD",T3539,S3539))</f>
        <v/>
      </c>
      <c r="AG3539" s="53">
        <f>IF(AC3539="","",IF(IFERROR(INDEX(ctaMoneda,MATCH(AC3539,ctaNombre,0))&amp;"","DOP")="USD",T3539,S3539))</f>
        <v/>
      </c>
      <c r="AH3539" s="53">
        <f>IF(P3539="","",IF(AND(AD3539&lt;&gt;"",COUNTIFS(tcTipo,AD3539,tcLiq,"Sí")&gt;0),IF(OR(P3539="Gasto",P3539="Transferencia",P3539="Pago tarjeta"),-1,1)*S3539,0)+IF(AND(AE3539&lt;&gt;"",COUNTIFS(tcTipo,AE3539,tcLiq,"Sí")&gt;0),S3539,0))</f>
        <v/>
      </c>
      <c r="AI3539" s="52">
        <f>IF(OR(L3539="",P3539=""),"",IF(COUNTIFS(L$6:L3539,L3539,P$6:P3539,"?*")=1,MAX(AI$5:AI3538)+1,""))</f>
        <v/>
      </c>
    </row>
    <row r="3540">
      <c r="B3540" s="47" t="n"/>
      <c r="C3540" s="48" t="n"/>
      <c r="D3540" s="48" t="n"/>
      <c r="E3540" s="48" t="n"/>
      <c r="F3540" s="48" t="n"/>
      <c r="G3540" s="49" t="n"/>
      <c r="H3540" s="48" t="n"/>
      <c r="I3540" s="50" t="n"/>
      <c r="J3540" s="48" t="n"/>
      <c r="K3540" s="48" t="n"/>
      <c r="L3540" s="48" t="n"/>
      <c r="M3540" s="48" t="n"/>
      <c r="N3540" s="48" t="n"/>
      <c r="O3540" s="51">
        <f>IF(AND(B3540="",G3540="",C3540="",D3540="",J3540=""),"",IF(B3540="","⚠ Falta fecha",IF(G3540="","⚠ Falta monto",IF(Q3540="","⚠ Falta cuenta",IF(ISNA(MATCH(Q3540,ctaNombre,0)),"⚠ Cuenta no registrada",IF(AND(OR(P3540="Gasto",P3540="Reembolso"),D3540=""),"⚠ Falta categoría",IF(AND(D3540&lt;&gt;"",E3540&lt;&gt;"",ISNA(MATCH(D3540&amp;"|"&amp;E3540,catClave,0))),"⚠ Subcategoría no corresponde",IF(AND(OR(P3540="Transferencia",P3540="Pago tarjeta"),K3540=""),"⚠ Falta cuenta destino",IF(AND(K3540&lt;&gt;"",P3540&lt;&gt;"Transferencia",P3540&lt;&gt;"Pago tarjeta"),"⚠ Destino solo aplica a transferencias",IF(AND(K3540&lt;&gt;"",K3540=Q3540),"⚠ Origen igual a destino",IF(AND(K3540&lt;&gt;"",ISNA(MATCH(K3540,ctaNombre,0))),"⚠ Destino no registrado",IF(AND(P3540="Pago tarjeta",AE3540&lt;&gt;"Tarjeta de crédito"),"⚠ El destino debe ser tarjeta de crédito",IF(AND(P3540="Gasto",E3540="Depósitos y retiros"),"⚠ Usa tipo Transferencia",IF(AND(P3540="Resultado trading",AD3540&lt;&gt;"Cuenta de trading"),"⚠ Usa una cuenta de trading",IF(AND(G3540&lt;=0,P3540&lt;&gt;"Ajuste",P3540&lt;&gt;"Resultado trading"),"⚠ El monto debe ser positivo","✓")))))))))))))))</f>
        <v/>
      </c>
      <c r="P3540" s="52">
        <f>IF(OR(B3540="",G3540=""),"",IF(C3540="","Gasto",C3540))</f>
        <v/>
      </c>
      <c r="Q3540" s="52">
        <f>IF(P3540="","",IF(J3540&lt;&gt;"",J3540,CuentaPred&amp;""))</f>
        <v/>
      </c>
      <c r="R3540" s="52">
        <f>IF(P3540="","",IF(ISNUMBER(I3540),I3540,TasaUSD))</f>
        <v/>
      </c>
      <c r="S3540" s="53">
        <f>IF(P3540="","",IF(H3540="USD",G3540*R3540,G3540))</f>
        <v/>
      </c>
      <c r="T3540" s="53">
        <f>IF(P3540="","",IF(H3540="USD",G3540,IF(R3540&gt;0,G3540/R3540,0)))</f>
        <v/>
      </c>
      <c r="U3540" s="53">
        <f>IF(P3540="","",IF(P3540="Gasto",S3540,IF(P3540="Reembolso",-S3540,0)))</f>
        <v/>
      </c>
      <c r="V3540" s="53">
        <f>IF(P3540="","",IF(P3540="Ingreso",S3540,0))</f>
        <v/>
      </c>
      <c r="W3540" s="53">
        <f>IF(P3540="","",IF(P3540="Resultado trading",S3540,0))</f>
        <v/>
      </c>
      <c r="X3540" s="52">
        <f>IF(OR(P3540="Gasto",P3540="Reembolso"),IF(M3540&lt;&gt;"",M3540,IFERROR(INDEX(catClasif,MATCH(D3540&amp;"|"&amp;E3540,catClave,0))&amp;"","Variable")),"")</f>
        <v/>
      </c>
      <c r="Y3540" s="52">
        <f>IF(P3540="","",IFERROR(INDEX(catGrupo,MATCH(D3540&amp;"|"&amp;E3540,catClave,0))&amp;"",""))</f>
        <v/>
      </c>
      <c r="Z3540" s="52">
        <f>IF(P3540="","",WEEKDAY(B3540,2))</f>
        <v/>
      </c>
      <c r="AA3540" s="52">
        <f>IF(P3540="","",IF(AND(P3540="Gasto",X3540="Variable",D3540&lt;&gt;catTrading,S3540&gt;0,S3540&lt;=Umbral),1,0))</f>
        <v/>
      </c>
      <c r="AB3540" s="52">
        <f>IF(OR(P3540="",Q3540=""),"",IFERROR(IF(INDEX(ctaVinc,MATCH(Q3540,ctaNombre,0))&amp;""&lt;&gt;"",INDEX(ctaVinc,MATCH(Q3540,ctaNombre,0))&amp;"",Q3540),Q3540))</f>
        <v/>
      </c>
      <c r="AC3540" s="52">
        <f>IF(OR(K3540="",AND(P3540&lt;&gt;"Transferencia",P3540&lt;&gt;"Pago tarjeta")),"",IFERROR(IF(INDEX(ctaVinc,MATCH(K3540,ctaNombre,0))&amp;""&lt;&gt;"",INDEX(ctaVinc,MATCH(K3540,ctaNombre,0))&amp;"",K3540),K3540))</f>
        <v/>
      </c>
      <c r="AD3540" s="52">
        <f>IF(AB3540="","",IFERROR(INDEX(ctaTipo,MATCH(AB3540,ctaNombre,0))&amp;"",""))</f>
        <v/>
      </c>
      <c r="AE3540" s="52">
        <f>IF(AC3540="","",IFERROR(INDEX(ctaTipo,MATCH(AC3540,ctaNombre,0))&amp;"",""))</f>
        <v/>
      </c>
      <c r="AF3540" s="53">
        <f>IF(OR(P3540="",AB3540=""),"",IF(OR(P3540="Gasto",P3540="Transferencia",P3540="Pago tarjeta"),-1,1)*IF(IFERROR(INDEX(ctaMoneda,MATCH(AB3540,ctaNombre,0))&amp;"","DOP")="USD",T3540,S3540))</f>
        <v/>
      </c>
      <c r="AG3540" s="53">
        <f>IF(AC3540="","",IF(IFERROR(INDEX(ctaMoneda,MATCH(AC3540,ctaNombre,0))&amp;"","DOP")="USD",T3540,S3540))</f>
        <v/>
      </c>
      <c r="AH3540" s="53">
        <f>IF(P3540="","",IF(AND(AD3540&lt;&gt;"",COUNTIFS(tcTipo,AD3540,tcLiq,"Sí")&gt;0),IF(OR(P3540="Gasto",P3540="Transferencia",P3540="Pago tarjeta"),-1,1)*S3540,0)+IF(AND(AE3540&lt;&gt;"",COUNTIFS(tcTipo,AE3540,tcLiq,"Sí")&gt;0),S3540,0))</f>
        <v/>
      </c>
      <c r="AI3540" s="52">
        <f>IF(OR(L3540="",P3540=""),"",IF(COUNTIFS(L$6:L3540,L3540,P$6:P3540,"?*")=1,MAX(AI$5:AI3539)+1,""))</f>
        <v/>
      </c>
    </row>
    <row r="3541">
      <c r="B3541" s="47" t="n"/>
      <c r="C3541" s="48" t="n"/>
      <c r="D3541" s="48" t="n"/>
      <c r="E3541" s="48" t="n"/>
      <c r="F3541" s="48" t="n"/>
      <c r="G3541" s="49" t="n"/>
      <c r="H3541" s="48" t="n"/>
      <c r="I3541" s="50" t="n"/>
      <c r="J3541" s="48" t="n"/>
      <c r="K3541" s="48" t="n"/>
      <c r="L3541" s="48" t="n"/>
      <c r="M3541" s="48" t="n"/>
      <c r="N3541" s="48" t="n"/>
      <c r="O3541" s="51">
        <f>IF(AND(B3541="",G3541="",C3541="",D3541="",J3541=""),"",IF(B3541="","⚠ Falta fecha",IF(G3541="","⚠ Falta monto",IF(Q3541="","⚠ Falta cuenta",IF(ISNA(MATCH(Q3541,ctaNombre,0)),"⚠ Cuenta no registrada",IF(AND(OR(P3541="Gasto",P3541="Reembolso"),D3541=""),"⚠ Falta categoría",IF(AND(D3541&lt;&gt;"",E3541&lt;&gt;"",ISNA(MATCH(D3541&amp;"|"&amp;E3541,catClave,0))),"⚠ Subcategoría no corresponde",IF(AND(OR(P3541="Transferencia",P3541="Pago tarjeta"),K3541=""),"⚠ Falta cuenta destino",IF(AND(K3541&lt;&gt;"",P3541&lt;&gt;"Transferencia",P3541&lt;&gt;"Pago tarjeta"),"⚠ Destino solo aplica a transferencias",IF(AND(K3541&lt;&gt;"",K3541=Q3541),"⚠ Origen igual a destino",IF(AND(K3541&lt;&gt;"",ISNA(MATCH(K3541,ctaNombre,0))),"⚠ Destino no registrado",IF(AND(P3541="Pago tarjeta",AE3541&lt;&gt;"Tarjeta de crédito"),"⚠ El destino debe ser tarjeta de crédito",IF(AND(P3541="Gasto",E3541="Depósitos y retiros"),"⚠ Usa tipo Transferencia",IF(AND(P3541="Resultado trading",AD3541&lt;&gt;"Cuenta de trading"),"⚠ Usa una cuenta de trading",IF(AND(G3541&lt;=0,P3541&lt;&gt;"Ajuste",P3541&lt;&gt;"Resultado trading"),"⚠ El monto debe ser positivo","✓")))))))))))))))</f>
        <v/>
      </c>
      <c r="P3541" s="52">
        <f>IF(OR(B3541="",G3541=""),"",IF(C3541="","Gasto",C3541))</f>
        <v/>
      </c>
      <c r="Q3541" s="52">
        <f>IF(P3541="","",IF(J3541&lt;&gt;"",J3541,CuentaPred&amp;""))</f>
        <v/>
      </c>
      <c r="R3541" s="52">
        <f>IF(P3541="","",IF(ISNUMBER(I3541),I3541,TasaUSD))</f>
        <v/>
      </c>
      <c r="S3541" s="53">
        <f>IF(P3541="","",IF(H3541="USD",G3541*R3541,G3541))</f>
        <v/>
      </c>
      <c r="T3541" s="53">
        <f>IF(P3541="","",IF(H3541="USD",G3541,IF(R3541&gt;0,G3541/R3541,0)))</f>
        <v/>
      </c>
      <c r="U3541" s="53">
        <f>IF(P3541="","",IF(P3541="Gasto",S3541,IF(P3541="Reembolso",-S3541,0)))</f>
        <v/>
      </c>
      <c r="V3541" s="53">
        <f>IF(P3541="","",IF(P3541="Ingreso",S3541,0))</f>
        <v/>
      </c>
      <c r="W3541" s="53">
        <f>IF(P3541="","",IF(P3541="Resultado trading",S3541,0))</f>
        <v/>
      </c>
      <c r="X3541" s="52">
        <f>IF(OR(P3541="Gasto",P3541="Reembolso"),IF(M3541&lt;&gt;"",M3541,IFERROR(INDEX(catClasif,MATCH(D3541&amp;"|"&amp;E3541,catClave,0))&amp;"","Variable")),"")</f>
        <v/>
      </c>
      <c r="Y3541" s="52">
        <f>IF(P3541="","",IFERROR(INDEX(catGrupo,MATCH(D3541&amp;"|"&amp;E3541,catClave,0))&amp;"",""))</f>
        <v/>
      </c>
      <c r="Z3541" s="52">
        <f>IF(P3541="","",WEEKDAY(B3541,2))</f>
        <v/>
      </c>
      <c r="AA3541" s="52">
        <f>IF(P3541="","",IF(AND(P3541="Gasto",X3541="Variable",D3541&lt;&gt;catTrading,S3541&gt;0,S3541&lt;=Umbral),1,0))</f>
        <v/>
      </c>
      <c r="AB3541" s="52">
        <f>IF(OR(P3541="",Q3541=""),"",IFERROR(IF(INDEX(ctaVinc,MATCH(Q3541,ctaNombre,0))&amp;""&lt;&gt;"",INDEX(ctaVinc,MATCH(Q3541,ctaNombre,0))&amp;"",Q3541),Q3541))</f>
        <v/>
      </c>
      <c r="AC3541" s="52">
        <f>IF(OR(K3541="",AND(P3541&lt;&gt;"Transferencia",P3541&lt;&gt;"Pago tarjeta")),"",IFERROR(IF(INDEX(ctaVinc,MATCH(K3541,ctaNombre,0))&amp;""&lt;&gt;"",INDEX(ctaVinc,MATCH(K3541,ctaNombre,0))&amp;"",K3541),K3541))</f>
        <v/>
      </c>
      <c r="AD3541" s="52">
        <f>IF(AB3541="","",IFERROR(INDEX(ctaTipo,MATCH(AB3541,ctaNombre,0))&amp;"",""))</f>
        <v/>
      </c>
      <c r="AE3541" s="52">
        <f>IF(AC3541="","",IFERROR(INDEX(ctaTipo,MATCH(AC3541,ctaNombre,0))&amp;"",""))</f>
        <v/>
      </c>
      <c r="AF3541" s="53">
        <f>IF(OR(P3541="",AB3541=""),"",IF(OR(P3541="Gasto",P3541="Transferencia",P3541="Pago tarjeta"),-1,1)*IF(IFERROR(INDEX(ctaMoneda,MATCH(AB3541,ctaNombre,0))&amp;"","DOP")="USD",T3541,S3541))</f>
        <v/>
      </c>
      <c r="AG3541" s="53">
        <f>IF(AC3541="","",IF(IFERROR(INDEX(ctaMoneda,MATCH(AC3541,ctaNombre,0))&amp;"","DOP")="USD",T3541,S3541))</f>
        <v/>
      </c>
      <c r="AH3541" s="53">
        <f>IF(P3541="","",IF(AND(AD3541&lt;&gt;"",COUNTIFS(tcTipo,AD3541,tcLiq,"Sí")&gt;0),IF(OR(P3541="Gasto",P3541="Transferencia",P3541="Pago tarjeta"),-1,1)*S3541,0)+IF(AND(AE3541&lt;&gt;"",COUNTIFS(tcTipo,AE3541,tcLiq,"Sí")&gt;0),S3541,0))</f>
        <v/>
      </c>
      <c r="AI3541" s="52">
        <f>IF(OR(L3541="",P3541=""),"",IF(COUNTIFS(L$6:L3541,L3541,P$6:P3541,"?*")=1,MAX(AI$5:AI3540)+1,""))</f>
        <v/>
      </c>
    </row>
    <row r="3542">
      <c r="B3542" s="47" t="n"/>
      <c r="C3542" s="48" t="n"/>
      <c r="D3542" s="48" t="n"/>
      <c r="E3542" s="48" t="n"/>
      <c r="F3542" s="48" t="n"/>
      <c r="G3542" s="49" t="n"/>
      <c r="H3542" s="48" t="n"/>
      <c r="I3542" s="50" t="n"/>
      <c r="J3542" s="48" t="n"/>
      <c r="K3542" s="48" t="n"/>
      <c r="L3542" s="48" t="n"/>
      <c r="M3542" s="48" t="n"/>
      <c r="N3542" s="48" t="n"/>
      <c r="O3542" s="51">
        <f>IF(AND(B3542="",G3542="",C3542="",D3542="",J3542=""),"",IF(B3542="","⚠ Falta fecha",IF(G3542="","⚠ Falta monto",IF(Q3542="","⚠ Falta cuenta",IF(ISNA(MATCH(Q3542,ctaNombre,0)),"⚠ Cuenta no registrada",IF(AND(OR(P3542="Gasto",P3542="Reembolso"),D3542=""),"⚠ Falta categoría",IF(AND(D3542&lt;&gt;"",E3542&lt;&gt;"",ISNA(MATCH(D3542&amp;"|"&amp;E3542,catClave,0))),"⚠ Subcategoría no corresponde",IF(AND(OR(P3542="Transferencia",P3542="Pago tarjeta"),K3542=""),"⚠ Falta cuenta destino",IF(AND(K3542&lt;&gt;"",P3542&lt;&gt;"Transferencia",P3542&lt;&gt;"Pago tarjeta"),"⚠ Destino solo aplica a transferencias",IF(AND(K3542&lt;&gt;"",K3542=Q3542),"⚠ Origen igual a destino",IF(AND(K3542&lt;&gt;"",ISNA(MATCH(K3542,ctaNombre,0))),"⚠ Destino no registrado",IF(AND(P3542="Pago tarjeta",AE3542&lt;&gt;"Tarjeta de crédito"),"⚠ El destino debe ser tarjeta de crédito",IF(AND(P3542="Gasto",E3542="Depósitos y retiros"),"⚠ Usa tipo Transferencia",IF(AND(P3542="Resultado trading",AD3542&lt;&gt;"Cuenta de trading"),"⚠ Usa una cuenta de trading",IF(AND(G3542&lt;=0,P3542&lt;&gt;"Ajuste",P3542&lt;&gt;"Resultado trading"),"⚠ El monto debe ser positivo","✓")))))))))))))))</f>
        <v/>
      </c>
      <c r="P3542" s="52">
        <f>IF(OR(B3542="",G3542=""),"",IF(C3542="","Gasto",C3542))</f>
        <v/>
      </c>
      <c r="Q3542" s="52">
        <f>IF(P3542="","",IF(J3542&lt;&gt;"",J3542,CuentaPred&amp;""))</f>
        <v/>
      </c>
      <c r="R3542" s="52">
        <f>IF(P3542="","",IF(ISNUMBER(I3542),I3542,TasaUSD))</f>
        <v/>
      </c>
      <c r="S3542" s="53">
        <f>IF(P3542="","",IF(H3542="USD",G3542*R3542,G3542))</f>
        <v/>
      </c>
      <c r="T3542" s="53">
        <f>IF(P3542="","",IF(H3542="USD",G3542,IF(R3542&gt;0,G3542/R3542,0)))</f>
        <v/>
      </c>
      <c r="U3542" s="53">
        <f>IF(P3542="","",IF(P3542="Gasto",S3542,IF(P3542="Reembolso",-S3542,0)))</f>
        <v/>
      </c>
      <c r="V3542" s="53">
        <f>IF(P3542="","",IF(P3542="Ingreso",S3542,0))</f>
        <v/>
      </c>
      <c r="W3542" s="53">
        <f>IF(P3542="","",IF(P3542="Resultado trading",S3542,0))</f>
        <v/>
      </c>
      <c r="X3542" s="52">
        <f>IF(OR(P3542="Gasto",P3542="Reembolso"),IF(M3542&lt;&gt;"",M3542,IFERROR(INDEX(catClasif,MATCH(D3542&amp;"|"&amp;E3542,catClave,0))&amp;"","Variable")),"")</f>
        <v/>
      </c>
      <c r="Y3542" s="52">
        <f>IF(P3542="","",IFERROR(INDEX(catGrupo,MATCH(D3542&amp;"|"&amp;E3542,catClave,0))&amp;"",""))</f>
        <v/>
      </c>
      <c r="Z3542" s="52">
        <f>IF(P3542="","",WEEKDAY(B3542,2))</f>
        <v/>
      </c>
      <c r="AA3542" s="52">
        <f>IF(P3542="","",IF(AND(P3542="Gasto",X3542="Variable",D3542&lt;&gt;catTrading,S3542&gt;0,S3542&lt;=Umbral),1,0))</f>
        <v/>
      </c>
      <c r="AB3542" s="52">
        <f>IF(OR(P3542="",Q3542=""),"",IFERROR(IF(INDEX(ctaVinc,MATCH(Q3542,ctaNombre,0))&amp;""&lt;&gt;"",INDEX(ctaVinc,MATCH(Q3542,ctaNombre,0))&amp;"",Q3542),Q3542))</f>
        <v/>
      </c>
      <c r="AC3542" s="52">
        <f>IF(OR(K3542="",AND(P3542&lt;&gt;"Transferencia",P3542&lt;&gt;"Pago tarjeta")),"",IFERROR(IF(INDEX(ctaVinc,MATCH(K3542,ctaNombre,0))&amp;""&lt;&gt;"",INDEX(ctaVinc,MATCH(K3542,ctaNombre,0))&amp;"",K3542),K3542))</f>
        <v/>
      </c>
      <c r="AD3542" s="52">
        <f>IF(AB3542="","",IFERROR(INDEX(ctaTipo,MATCH(AB3542,ctaNombre,0))&amp;"",""))</f>
        <v/>
      </c>
      <c r="AE3542" s="52">
        <f>IF(AC3542="","",IFERROR(INDEX(ctaTipo,MATCH(AC3542,ctaNombre,0))&amp;"",""))</f>
        <v/>
      </c>
      <c r="AF3542" s="53">
        <f>IF(OR(P3542="",AB3542=""),"",IF(OR(P3542="Gasto",P3542="Transferencia",P3542="Pago tarjeta"),-1,1)*IF(IFERROR(INDEX(ctaMoneda,MATCH(AB3542,ctaNombre,0))&amp;"","DOP")="USD",T3542,S3542))</f>
        <v/>
      </c>
      <c r="AG3542" s="53">
        <f>IF(AC3542="","",IF(IFERROR(INDEX(ctaMoneda,MATCH(AC3542,ctaNombre,0))&amp;"","DOP")="USD",T3542,S3542))</f>
        <v/>
      </c>
      <c r="AH3542" s="53">
        <f>IF(P3542="","",IF(AND(AD3542&lt;&gt;"",COUNTIFS(tcTipo,AD3542,tcLiq,"Sí")&gt;0),IF(OR(P3542="Gasto",P3542="Transferencia",P3542="Pago tarjeta"),-1,1)*S3542,0)+IF(AND(AE3542&lt;&gt;"",COUNTIFS(tcTipo,AE3542,tcLiq,"Sí")&gt;0),S3542,0))</f>
        <v/>
      </c>
      <c r="AI3542" s="52">
        <f>IF(OR(L3542="",P3542=""),"",IF(COUNTIFS(L$6:L3542,L3542,P$6:P3542,"?*")=1,MAX(AI$5:AI3541)+1,""))</f>
        <v/>
      </c>
    </row>
    <row r="3543">
      <c r="B3543" s="47" t="n"/>
      <c r="C3543" s="48" t="n"/>
      <c r="D3543" s="48" t="n"/>
      <c r="E3543" s="48" t="n"/>
      <c r="F3543" s="48" t="n"/>
      <c r="G3543" s="49" t="n"/>
      <c r="H3543" s="48" t="n"/>
      <c r="I3543" s="50" t="n"/>
      <c r="J3543" s="48" t="n"/>
      <c r="K3543" s="48" t="n"/>
      <c r="L3543" s="48" t="n"/>
      <c r="M3543" s="48" t="n"/>
      <c r="N3543" s="48" t="n"/>
      <c r="O3543" s="51">
        <f>IF(AND(B3543="",G3543="",C3543="",D3543="",J3543=""),"",IF(B3543="","⚠ Falta fecha",IF(G3543="","⚠ Falta monto",IF(Q3543="","⚠ Falta cuenta",IF(ISNA(MATCH(Q3543,ctaNombre,0)),"⚠ Cuenta no registrada",IF(AND(OR(P3543="Gasto",P3543="Reembolso"),D3543=""),"⚠ Falta categoría",IF(AND(D3543&lt;&gt;"",E3543&lt;&gt;"",ISNA(MATCH(D3543&amp;"|"&amp;E3543,catClave,0))),"⚠ Subcategoría no corresponde",IF(AND(OR(P3543="Transferencia",P3543="Pago tarjeta"),K3543=""),"⚠ Falta cuenta destino",IF(AND(K3543&lt;&gt;"",P3543&lt;&gt;"Transferencia",P3543&lt;&gt;"Pago tarjeta"),"⚠ Destino solo aplica a transferencias",IF(AND(K3543&lt;&gt;"",K3543=Q3543),"⚠ Origen igual a destino",IF(AND(K3543&lt;&gt;"",ISNA(MATCH(K3543,ctaNombre,0))),"⚠ Destino no registrado",IF(AND(P3543="Pago tarjeta",AE3543&lt;&gt;"Tarjeta de crédito"),"⚠ El destino debe ser tarjeta de crédito",IF(AND(P3543="Gasto",E3543="Depósitos y retiros"),"⚠ Usa tipo Transferencia",IF(AND(P3543="Resultado trading",AD3543&lt;&gt;"Cuenta de trading"),"⚠ Usa una cuenta de trading",IF(AND(G3543&lt;=0,P3543&lt;&gt;"Ajuste",P3543&lt;&gt;"Resultado trading"),"⚠ El monto debe ser positivo","✓")))))))))))))))</f>
        <v/>
      </c>
      <c r="P3543" s="52">
        <f>IF(OR(B3543="",G3543=""),"",IF(C3543="","Gasto",C3543))</f>
        <v/>
      </c>
      <c r="Q3543" s="52">
        <f>IF(P3543="","",IF(J3543&lt;&gt;"",J3543,CuentaPred&amp;""))</f>
        <v/>
      </c>
      <c r="R3543" s="52">
        <f>IF(P3543="","",IF(ISNUMBER(I3543),I3543,TasaUSD))</f>
        <v/>
      </c>
      <c r="S3543" s="53">
        <f>IF(P3543="","",IF(H3543="USD",G3543*R3543,G3543))</f>
        <v/>
      </c>
      <c r="T3543" s="53">
        <f>IF(P3543="","",IF(H3543="USD",G3543,IF(R3543&gt;0,G3543/R3543,0)))</f>
        <v/>
      </c>
      <c r="U3543" s="53">
        <f>IF(P3543="","",IF(P3543="Gasto",S3543,IF(P3543="Reembolso",-S3543,0)))</f>
        <v/>
      </c>
      <c r="V3543" s="53">
        <f>IF(P3543="","",IF(P3543="Ingreso",S3543,0))</f>
        <v/>
      </c>
      <c r="W3543" s="53">
        <f>IF(P3543="","",IF(P3543="Resultado trading",S3543,0))</f>
        <v/>
      </c>
      <c r="X3543" s="52">
        <f>IF(OR(P3543="Gasto",P3543="Reembolso"),IF(M3543&lt;&gt;"",M3543,IFERROR(INDEX(catClasif,MATCH(D3543&amp;"|"&amp;E3543,catClave,0))&amp;"","Variable")),"")</f>
        <v/>
      </c>
      <c r="Y3543" s="52">
        <f>IF(P3543="","",IFERROR(INDEX(catGrupo,MATCH(D3543&amp;"|"&amp;E3543,catClave,0))&amp;"",""))</f>
        <v/>
      </c>
      <c r="Z3543" s="52">
        <f>IF(P3543="","",WEEKDAY(B3543,2))</f>
        <v/>
      </c>
      <c r="AA3543" s="52">
        <f>IF(P3543="","",IF(AND(P3543="Gasto",X3543="Variable",D3543&lt;&gt;catTrading,S3543&gt;0,S3543&lt;=Umbral),1,0))</f>
        <v/>
      </c>
      <c r="AB3543" s="52">
        <f>IF(OR(P3543="",Q3543=""),"",IFERROR(IF(INDEX(ctaVinc,MATCH(Q3543,ctaNombre,0))&amp;""&lt;&gt;"",INDEX(ctaVinc,MATCH(Q3543,ctaNombre,0))&amp;"",Q3543),Q3543))</f>
        <v/>
      </c>
      <c r="AC3543" s="52">
        <f>IF(OR(K3543="",AND(P3543&lt;&gt;"Transferencia",P3543&lt;&gt;"Pago tarjeta")),"",IFERROR(IF(INDEX(ctaVinc,MATCH(K3543,ctaNombre,0))&amp;""&lt;&gt;"",INDEX(ctaVinc,MATCH(K3543,ctaNombre,0))&amp;"",K3543),K3543))</f>
        <v/>
      </c>
      <c r="AD3543" s="52">
        <f>IF(AB3543="","",IFERROR(INDEX(ctaTipo,MATCH(AB3543,ctaNombre,0))&amp;"",""))</f>
        <v/>
      </c>
      <c r="AE3543" s="52">
        <f>IF(AC3543="","",IFERROR(INDEX(ctaTipo,MATCH(AC3543,ctaNombre,0))&amp;"",""))</f>
        <v/>
      </c>
      <c r="AF3543" s="53">
        <f>IF(OR(P3543="",AB3543=""),"",IF(OR(P3543="Gasto",P3543="Transferencia",P3543="Pago tarjeta"),-1,1)*IF(IFERROR(INDEX(ctaMoneda,MATCH(AB3543,ctaNombre,0))&amp;"","DOP")="USD",T3543,S3543))</f>
        <v/>
      </c>
      <c r="AG3543" s="53">
        <f>IF(AC3543="","",IF(IFERROR(INDEX(ctaMoneda,MATCH(AC3543,ctaNombre,0))&amp;"","DOP")="USD",T3543,S3543))</f>
        <v/>
      </c>
      <c r="AH3543" s="53">
        <f>IF(P3543="","",IF(AND(AD3543&lt;&gt;"",COUNTIFS(tcTipo,AD3543,tcLiq,"Sí")&gt;0),IF(OR(P3543="Gasto",P3543="Transferencia",P3543="Pago tarjeta"),-1,1)*S3543,0)+IF(AND(AE3543&lt;&gt;"",COUNTIFS(tcTipo,AE3543,tcLiq,"Sí")&gt;0),S3543,0))</f>
        <v/>
      </c>
      <c r="AI3543" s="52">
        <f>IF(OR(L3543="",P3543=""),"",IF(COUNTIFS(L$6:L3543,L3543,P$6:P3543,"?*")=1,MAX(AI$5:AI3542)+1,""))</f>
        <v/>
      </c>
    </row>
    <row r="3544">
      <c r="B3544" s="47" t="n"/>
      <c r="C3544" s="48" t="n"/>
      <c r="D3544" s="48" t="n"/>
      <c r="E3544" s="48" t="n"/>
      <c r="F3544" s="48" t="n"/>
      <c r="G3544" s="49" t="n"/>
      <c r="H3544" s="48" t="n"/>
      <c r="I3544" s="50" t="n"/>
      <c r="J3544" s="48" t="n"/>
      <c r="K3544" s="48" t="n"/>
      <c r="L3544" s="48" t="n"/>
      <c r="M3544" s="48" t="n"/>
      <c r="N3544" s="48" t="n"/>
      <c r="O3544" s="51">
        <f>IF(AND(B3544="",G3544="",C3544="",D3544="",J3544=""),"",IF(B3544="","⚠ Falta fecha",IF(G3544="","⚠ Falta monto",IF(Q3544="","⚠ Falta cuenta",IF(ISNA(MATCH(Q3544,ctaNombre,0)),"⚠ Cuenta no registrada",IF(AND(OR(P3544="Gasto",P3544="Reembolso"),D3544=""),"⚠ Falta categoría",IF(AND(D3544&lt;&gt;"",E3544&lt;&gt;"",ISNA(MATCH(D3544&amp;"|"&amp;E3544,catClave,0))),"⚠ Subcategoría no corresponde",IF(AND(OR(P3544="Transferencia",P3544="Pago tarjeta"),K3544=""),"⚠ Falta cuenta destino",IF(AND(K3544&lt;&gt;"",P3544&lt;&gt;"Transferencia",P3544&lt;&gt;"Pago tarjeta"),"⚠ Destino solo aplica a transferencias",IF(AND(K3544&lt;&gt;"",K3544=Q3544),"⚠ Origen igual a destino",IF(AND(K3544&lt;&gt;"",ISNA(MATCH(K3544,ctaNombre,0))),"⚠ Destino no registrado",IF(AND(P3544="Pago tarjeta",AE3544&lt;&gt;"Tarjeta de crédito"),"⚠ El destino debe ser tarjeta de crédito",IF(AND(P3544="Gasto",E3544="Depósitos y retiros"),"⚠ Usa tipo Transferencia",IF(AND(P3544="Resultado trading",AD3544&lt;&gt;"Cuenta de trading"),"⚠ Usa una cuenta de trading",IF(AND(G3544&lt;=0,P3544&lt;&gt;"Ajuste",P3544&lt;&gt;"Resultado trading"),"⚠ El monto debe ser positivo","✓")))))))))))))))</f>
        <v/>
      </c>
      <c r="P3544" s="52">
        <f>IF(OR(B3544="",G3544=""),"",IF(C3544="","Gasto",C3544))</f>
        <v/>
      </c>
      <c r="Q3544" s="52">
        <f>IF(P3544="","",IF(J3544&lt;&gt;"",J3544,CuentaPred&amp;""))</f>
        <v/>
      </c>
      <c r="R3544" s="52">
        <f>IF(P3544="","",IF(ISNUMBER(I3544),I3544,TasaUSD))</f>
        <v/>
      </c>
      <c r="S3544" s="53">
        <f>IF(P3544="","",IF(H3544="USD",G3544*R3544,G3544))</f>
        <v/>
      </c>
      <c r="T3544" s="53">
        <f>IF(P3544="","",IF(H3544="USD",G3544,IF(R3544&gt;0,G3544/R3544,0)))</f>
        <v/>
      </c>
      <c r="U3544" s="53">
        <f>IF(P3544="","",IF(P3544="Gasto",S3544,IF(P3544="Reembolso",-S3544,0)))</f>
        <v/>
      </c>
      <c r="V3544" s="53">
        <f>IF(P3544="","",IF(P3544="Ingreso",S3544,0))</f>
        <v/>
      </c>
      <c r="W3544" s="53">
        <f>IF(P3544="","",IF(P3544="Resultado trading",S3544,0))</f>
        <v/>
      </c>
      <c r="X3544" s="52">
        <f>IF(OR(P3544="Gasto",P3544="Reembolso"),IF(M3544&lt;&gt;"",M3544,IFERROR(INDEX(catClasif,MATCH(D3544&amp;"|"&amp;E3544,catClave,0))&amp;"","Variable")),"")</f>
        <v/>
      </c>
      <c r="Y3544" s="52">
        <f>IF(P3544="","",IFERROR(INDEX(catGrupo,MATCH(D3544&amp;"|"&amp;E3544,catClave,0))&amp;"",""))</f>
        <v/>
      </c>
      <c r="Z3544" s="52">
        <f>IF(P3544="","",WEEKDAY(B3544,2))</f>
        <v/>
      </c>
      <c r="AA3544" s="52">
        <f>IF(P3544="","",IF(AND(P3544="Gasto",X3544="Variable",D3544&lt;&gt;catTrading,S3544&gt;0,S3544&lt;=Umbral),1,0))</f>
        <v/>
      </c>
      <c r="AB3544" s="52">
        <f>IF(OR(P3544="",Q3544=""),"",IFERROR(IF(INDEX(ctaVinc,MATCH(Q3544,ctaNombre,0))&amp;""&lt;&gt;"",INDEX(ctaVinc,MATCH(Q3544,ctaNombre,0))&amp;"",Q3544),Q3544))</f>
        <v/>
      </c>
      <c r="AC3544" s="52">
        <f>IF(OR(K3544="",AND(P3544&lt;&gt;"Transferencia",P3544&lt;&gt;"Pago tarjeta")),"",IFERROR(IF(INDEX(ctaVinc,MATCH(K3544,ctaNombre,0))&amp;""&lt;&gt;"",INDEX(ctaVinc,MATCH(K3544,ctaNombre,0))&amp;"",K3544),K3544))</f>
        <v/>
      </c>
      <c r="AD3544" s="52">
        <f>IF(AB3544="","",IFERROR(INDEX(ctaTipo,MATCH(AB3544,ctaNombre,0))&amp;"",""))</f>
        <v/>
      </c>
      <c r="AE3544" s="52">
        <f>IF(AC3544="","",IFERROR(INDEX(ctaTipo,MATCH(AC3544,ctaNombre,0))&amp;"",""))</f>
        <v/>
      </c>
      <c r="AF3544" s="53">
        <f>IF(OR(P3544="",AB3544=""),"",IF(OR(P3544="Gasto",P3544="Transferencia",P3544="Pago tarjeta"),-1,1)*IF(IFERROR(INDEX(ctaMoneda,MATCH(AB3544,ctaNombre,0))&amp;"","DOP")="USD",T3544,S3544))</f>
        <v/>
      </c>
      <c r="AG3544" s="53">
        <f>IF(AC3544="","",IF(IFERROR(INDEX(ctaMoneda,MATCH(AC3544,ctaNombre,0))&amp;"","DOP")="USD",T3544,S3544))</f>
        <v/>
      </c>
      <c r="AH3544" s="53">
        <f>IF(P3544="","",IF(AND(AD3544&lt;&gt;"",COUNTIFS(tcTipo,AD3544,tcLiq,"Sí")&gt;0),IF(OR(P3544="Gasto",P3544="Transferencia",P3544="Pago tarjeta"),-1,1)*S3544,0)+IF(AND(AE3544&lt;&gt;"",COUNTIFS(tcTipo,AE3544,tcLiq,"Sí")&gt;0),S3544,0))</f>
        <v/>
      </c>
      <c r="AI3544" s="52">
        <f>IF(OR(L3544="",P3544=""),"",IF(COUNTIFS(L$6:L3544,L3544,P$6:P3544,"?*")=1,MAX(AI$5:AI3543)+1,""))</f>
        <v/>
      </c>
    </row>
    <row r="3545">
      <c r="B3545" s="47" t="n"/>
      <c r="C3545" s="48" t="n"/>
      <c r="D3545" s="48" t="n"/>
      <c r="E3545" s="48" t="n"/>
      <c r="F3545" s="48" t="n"/>
      <c r="G3545" s="49" t="n"/>
      <c r="H3545" s="48" t="n"/>
      <c r="I3545" s="50" t="n"/>
      <c r="J3545" s="48" t="n"/>
      <c r="K3545" s="48" t="n"/>
      <c r="L3545" s="48" t="n"/>
      <c r="M3545" s="48" t="n"/>
      <c r="N3545" s="48" t="n"/>
      <c r="O3545" s="51">
        <f>IF(AND(B3545="",G3545="",C3545="",D3545="",J3545=""),"",IF(B3545="","⚠ Falta fecha",IF(G3545="","⚠ Falta monto",IF(Q3545="","⚠ Falta cuenta",IF(ISNA(MATCH(Q3545,ctaNombre,0)),"⚠ Cuenta no registrada",IF(AND(OR(P3545="Gasto",P3545="Reembolso"),D3545=""),"⚠ Falta categoría",IF(AND(D3545&lt;&gt;"",E3545&lt;&gt;"",ISNA(MATCH(D3545&amp;"|"&amp;E3545,catClave,0))),"⚠ Subcategoría no corresponde",IF(AND(OR(P3545="Transferencia",P3545="Pago tarjeta"),K3545=""),"⚠ Falta cuenta destino",IF(AND(K3545&lt;&gt;"",P3545&lt;&gt;"Transferencia",P3545&lt;&gt;"Pago tarjeta"),"⚠ Destino solo aplica a transferencias",IF(AND(K3545&lt;&gt;"",K3545=Q3545),"⚠ Origen igual a destino",IF(AND(K3545&lt;&gt;"",ISNA(MATCH(K3545,ctaNombre,0))),"⚠ Destino no registrado",IF(AND(P3545="Pago tarjeta",AE3545&lt;&gt;"Tarjeta de crédito"),"⚠ El destino debe ser tarjeta de crédito",IF(AND(P3545="Gasto",E3545="Depósitos y retiros"),"⚠ Usa tipo Transferencia",IF(AND(P3545="Resultado trading",AD3545&lt;&gt;"Cuenta de trading"),"⚠ Usa una cuenta de trading",IF(AND(G3545&lt;=0,P3545&lt;&gt;"Ajuste",P3545&lt;&gt;"Resultado trading"),"⚠ El monto debe ser positivo","✓")))))))))))))))</f>
        <v/>
      </c>
      <c r="P3545" s="52">
        <f>IF(OR(B3545="",G3545=""),"",IF(C3545="","Gasto",C3545))</f>
        <v/>
      </c>
      <c r="Q3545" s="52">
        <f>IF(P3545="","",IF(J3545&lt;&gt;"",J3545,CuentaPred&amp;""))</f>
        <v/>
      </c>
      <c r="R3545" s="52">
        <f>IF(P3545="","",IF(ISNUMBER(I3545),I3545,TasaUSD))</f>
        <v/>
      </c>
      <c r="S3545" s="53">
        <f>IF(P3545="","",IF(H3545="USD",G3545*R3545,G3545))</f>
        <v/>
      </c>
      <c r="T3545" s="53">
        <f>IF(P3545="","",IF(H3545="USD",G3545,IF(R3545&gt;0,G3545/R3545,0)))</f>
        <v/>
      </c>
      <c r="U3545" s="53">
        <f>IF(P3545="","",IF(P3545="Gasto",S3545,IF(P3545="Reembolso",-S3545,0)))</f>
        <v/>
      </c>
      <c r="V3545" s="53">
        <f>IF(P3545="","",IF(P3545="Ingreso",S3545,0))</f>
        <v/>
      </c>
      <c r="W3545" s="53">
        <f>IF(P3545="","",IF(P3545="Resultado trading",S3545,0))</f>
        <v/>
      </c>
      <c r="X3545" s="52">
        <f>IF(OR(P3545="Gasto",P3545="Reembolso"),IF(M3545&lt;&gt;"",M3545,IFERROR(INDEX(catClasif,MATCH(D3545&amp;"|"&amp;E3545,catClave,0))&amp;"","Variable")),"")</f>
        <v/>
      </c>
      <c r="Y3545" s="52">
        <f>IF(P3545="","",IFERROR(INDEX(catGrupo,MATCH(D3545&amp;"|"&amp;E3545,catClave,0))&amp;"",""))</f>
        <v/>
      </c>
      <c r="Z3545" s="52">
        <f>IF(P3545="","",WEEKDAY(B3545,2))</f>
        <v/>
      </c>
      <c r="AA3545" s="52">
        <f>IF(P3545="","",IF(AND(P3545="Gasto",X3545="Variable",D3545&lt;&gt;catTrading,S3545&gt;0,S3545&lt;=Umbral),1,0))</f>
        <v/>
      </c>
      <c r="AB3545" s="52">
        <f>IF(OR(P3545="",Q3545=""),"",IFERROR(IF(INDEX(ctaVinc,MATCH(Q3545,ctaNombre,0))&amp;""&lt;&gt;"",INDEX(ctaVinc,MATCH(Q3545,ctaNombre,0))&amp;"",Q3545),Q3545))</f>
        <v/>
      </c>
      <c r="AC3545" s="52">
        <f>IF(OR(K3545="",AND(P3545&lt;&gt;"Transferencia",P3545&lt;&gt;"Pago tarjeta")),"",IFERROR(IF(INDEX(ctaVinc,MATCH(K3545,ctaNombre,0))&amp;""&lt;&gt;"",INDEX(ctaVinc,MATCH(K3545,ctaNombre,0))&amp;"",K3545),K3545))</f>
        <v/>
      </c>
      <c r="AD3545" s="52">
        <f>IF(AB3545="","",IFERROR(INDEX(ctaTipo,MATCH(AB3545,ctaNombre,0))&amp;"",""))</f>
        <v/>
      </c>
      <c r="AE3545" s="52">
        <f>IF(AC3545="","",IFERROR(INDEX(ctaTipo,MATCH(AC3545,ctaNombre,0))&amp;"",""))</f>
        <v/>
      </c>
      <c r="AF3545" s="53">
        <f>IF(OR(P3545="",AB3545=""),"",IF(OR(P3545="Gasto",P3545="Transferencia",P3545="Pago tarjeta"),-1,1)*IF(IFERROR(INDEX(ctaMoneda,MATCH(AB3545,ctaNombre,0))&amp;"","DOP")="USD",T3545,S3545))</f>
        <v/>
      </c>
      <c r="AG3545" s="53">
        <f>IF(AC3545="","",IF(IFERROR(INDEX(ctaMoneda,MATCH(AC3545,ctaNombre,0))&amp;"","DOP")="USD",T3545,S3545))</f>
        <v/>
      </c>
      <c r="AH3545" s="53">
        <f>IF(P3545="","",IF(AND(AD3545&lt;&gt;"",COUNTIFS(tcTipo,AD3545,tcLiq,"Sí")&gt;0),IF(OR(P3545="Gasto",P3545="Transferencia",P3545="Pago tarjeta"),-1,1)*S3545,0)+IF(AND(AE3545&lt;&gt;"",COUNTIFS(tcTipo,AE3545,tcLiq,"Sí")&gt;0),S3545,0))</f>
        <v/>
      </c>
      <c r="AI3545" s="52">
        <f>IF(OR(L3545="",P3545=""),"",IF(COUNTIFS(L$6:L3545,L3545,P$6:P3545,"?*")=1,MAX(AI$5:AI3544)+1,""))</f>
        <v/>
      </c>
    </row>
    <row r="3546">
      <c r="B3546" s="47" t="n"/>
      <c r="C3546" s="48" t="n"/>
      <c r="D3546" s="48" t="n"/>
      <c r="E3546" s="48" t="n"/>
      <c r="F3546" s="48" t="n"/>
      <c r="G3546" s="49" t="n"/>
      <c r="H3546" s="48" t="n"/>
      <c r="I3546" s="50" t="n"/>
      <c r="J3546" s="48" t="n"/>
      <c r="K3546" s="48" t="n"/>
      <c r="L3546" s="48" t="n"/>
      <c r="M3546" s="48" t="n"/>
      <c r="N3546" s="48" t="n"/>
      <c r="O3546" s="51">
        <f>IF(AND(B3546="",G3546="",C3546="",D3546="",J3546=""),"",IF(B3546="","⚠ Falta fecha",IF(G3546="","⚠ Falta monto",IF(Q3546="","⚠ Falta cuenta",IF(ISNA(MATCH(Q3546,ctaNombre,0)),"⚠ Cuenta no registrada",IF(AND(OR(P3546="Gasto",P3546="Reembolso"),D3546=""),"⚠ Falta categoría",IF(AND(D3546&lt;&gt;"",E3546&lt;&gt;"",ISNA(MATCH(D3546&amp;"|"&amp;E3546,catClave,0))),"⚠ Subcategoría no corresponde",IF(AND(OR(P3546="Transferencia",P3546="Pago tarjeta"),K3546=""),"⚠ Falta cuenta destino",IF(AND(K3546&lt;&gt;"",P3546&lt;&gt;"Transferencia",P3546&lt;&gt;"Pago tarjeta"),"⚠ Destino solo aplica a transferencias",IF(AND(K3546&lt;&gt;"",K3546=Q3546),"⚠ Origen igual a destino",IF(AND(K3546&lt;&gt;"",ISNA(MATCH(K3546,ctaNombre,0))),"⚠ Destino no registrado",IF(AND(P3546="Pago tarjeta",AE3546&lt;&gt;"Tarjeta de crédito"),"⚠ El destino debe ser tarjeta de crédito",IF(AND(P3546="Gasto",E3546="Depósitos y retiros"),"⚠ Usa tipo Transferencia",IF(AND(P3546="Resultado trading",AD3546&lt;&gt;"Cuenta de trading"),"⚠ Usa una cuenta de trading",IF(AND(G3546&lt;=0,P3546&lt;&gt;"Ajuste",P3546&lt;&gt;"Resultado trading"),"⚠ El monto debe ser positivo","✓")))))))))))))))</f>
        <v/>
      </c>
      <c r="P3546" s="52">
        <f>IF(OR(B3546="",G3546=""),"",IF(C3546="","Gasto",C3546))</f>
        <v/>
      </c>
      <c r="Q3546" s="52">
        <f>IF(P3546="","",IF(J3546&lt;&gt;"",J3546,CuentaPred&amp;""))</f>
        <v/>
      </c>
      <c r="R3546" s="52">
        <f>IF(P3546="","",IF(ISNUMBER(I3546),I3546,TasaUSD))</f>
        <v/>
      </c>
      <c r="S3546" s="53">
        <f>IF(P3546="","",IF(H3546="USD",G3546*R3546,G3546))</f>
        <v/>
      </c>
      <c r="T3546" s="53">
        <f>IF(P3546="","",IF(H3546="USD",G3546,IF(R3546&gt;0,G3546/R3546,0)))</f>
        <v/>
      </c>
      <c r="U3546" s="53">
        <f>IF(P3546="","",IF(P3546="Gasto",S3546,IF(P3546="Reembolso",-S3546,0)))</f>
        <v/>
      </c>
      <c r="V3546" s="53">
        <f>IF(P3546="","",IF(P3546="Ingreso",S3546,0))</f>
        <v/>
      </c>
      <c r="W3546" s="53">
        <f>IF(P3546="","",IF(P3546="Resultado trading",S3546,0))</f>
        <v/>
      </c>
      <c r="X3546" s="52">
        <f>IF(OR(P3546="Gasto",P3546="Reembolso"),IF(M3546&lt;&gt;"",M3546,IFERROR(INDEX(catClasif,MATCH(D3546&amp;"|"&amp;E3546,catClave,0))&amp;"","Variable")),"")</f>
        <v/>
      </c>
      <c r="Y3546" s="52">
        <f>IF(P3546="","",IFERROR(INDEX(catGrupo,MATCH(D3546&amp;"|"&amp;E3546,catClave,0))&amp;"",""))</f>
        <v/>
      </c>
      <c r="Z3546" s="52">
        <f>IF(P3546="","",WEEKDAY(B3546,2))</f>
        <v/>
      </c>
      <c r="AA3546" s="52">
        <f>IF(P3546="","",IF(AND(P3546="Gasto",X3546="Variable",D3546&lt;&gt;catTrading,S3546&gt;0,S3546&lt;=Umbral),1,0))</f>
        <v/>
      </c>
      <c r="AB3546" s="52">
        <f>IF(OR(P3546="",Q3546=""),"",IFERROR(IF(INDEX(ctaVinc,MATCH(Q3546,ctaNombre,0))&amp;""&lt;&gt;"",INDEX(ctaVinc,MATCH(Q3546,ctaNombre,0))&amp;"",Q3546),Q3546))</f>
        <v/>
      </c>
      <c r="AC3546" s="52">
        <f>IF(OR(K3546="",AND(P3546&lt;&gt;"Transferencia",P3546&lt;&gt;"Pago tarjeta")),"",IFERROR(IF(INDEX(ctaVinc,MATCH(K3546,ctaNombre,0))&amp;""&lt;&gt;"",INDEX(ctaVinc,MATCH(K3546,ctaNombre,0))&amp;"",K3546),K3546))</f>
        <v/>
      </c>
      <c r="AD3546" s="52">
        <f>IF(AB3546="","",IFERROR(INDEX(ctaTipo,MATCH(AB3546,ctaNombre,0))&amp;"",""))</f>
        <v/>
      </c>
      <c r="AE3546" s="52">
        <f>IF(AC3546="","",IFERROR(INDEX(ctaTipo,MATCH(AC3546,ctaNombre,0))&amp;"",""))</f>
        <v/>
      </c>
      <c r="AF3546" s="53">
        <f>IF(OR(P3546="",AB3546=""),"",IF(OR(P3546="Gasto",P3546="Transferencia",P3546="Pago tarjeta"),-1,1)*IF(IFERROR(INDEX(ctaMoneda,MATCH(AB3546,ctaNombre,0))&amp;"","DOP")="USD",T3546,S3546))</f>
        <v/>
      </c>
      <c r="AG3546" s="53">
        <f>IF(AC3546="","",IF(IFERROR(INDEX(ctaMoneda,MATCH(AC3546,ctaNombre,0))&amp;"","DOP")="USD",T3546,S3546))</f>
        <v/>
      </c>
      <c r="AH3546" s="53">
        <f>IF(P3546="","",IF(AND(AD3546&lt;&gt;"",COUNTIFS(tcTipo,AD3546,tcLiq,"Sí")&gt;0),IF(OR(P3546="Gasto",P3546="Transferencia",P3546="Pago tarjeta"),-1,1)*S3546,0)+IF(AND(AE3546&lt;&gt;"",COUNTIFS(tcTipo,AE3546,tcLiq,"Sí")&gt;0),S3546,0))</f>
        <v/>
      </c>
      <c r="AI3546" s="52">
        <f>IF(OR(L3546="",P3546=""),"",IF(COUNTIFS(L$6:L3546,L3546,P$6:P3546,"?*")=1,MAX(AI$5:AI3545)+1,""))</f>
        <v/>
      </c>
    </row>
    <row r="3547">
      <c r="B3547" s="47" t="n"/>
      <c r="C3547" s="48" t="n"/>
      <c r="D3547" s="48" t="n"/>
      <c r="E3547" s="48" t="n"/>
      <c r="F3547" s="48" t="n"/>
      <c r="G3547" s="49" t="n"/>
      <c r="H3547" s="48" t="n"/>
      <c r="I3547" s="50" t="n"/>
      <c r="J3547" s="48" t="n"/>
      <c r="K3547" s="48" t="n"/>
      <c r="L3547" s="48" t="n"/>
      <c r="M3547" s="48" t="n"/>
      <c r="N3547" s="48" t="n"/>
      <c r="O3547" s="51">
        <f>IF(AND(B3547="",G3547="",C3547="",D3547="",J3547=""),"",IF(B3547="","⚠ Falta fecha",IF(G3547="","⚠ Falta monto",IF(Q3547="","⚠ Falta cuenta",IF(ISNA(MATCH(Q3547,ctaNombre,0)),"⚠ Cuenta no registrada",IF(AND(OR(P3547="Gasto",P3547="Reembolso"),D3547=""),"⚠ Falta categoría",IF(AND(D3547&lt;&gt;"",E3547&lt;&gt;"",ISNA(MATCH(D3547&amp;"|"&amp;E3547,catClave,0))),"⚠ Subcategoría no corresponde",IF(AND(OR(P3547="Transferencia",P3547="Pago tarjeta"),K3547=""),"⚠ Falta cuenta destino",IF(AND(K3547&lt;&gt;"",P3547&lt;&gt;"Transferencia",P3547&lt;&gt;"Pago tarjeta"),"⚠ Destino solo aplica a transferencias",IF(AND(K3547&lt;&gt;"",K3547=Q3547),"⚠ Origen igual a destino",IF(AND(K3547&lt;&gt;"",ISNA(MATCH(K3547,ctaNombre,0))),"⚠ Destino no registrado",IF(AND(P3547="Pago tarjeta",AE3547&lt;&gt;"Tarjeta de crédito"),"⚠ El destino debe ser tarjeta de crédito",IF(AND(P3547="Gasto",E3547="Depósitos y retiros"),"⚠ Usa tipo Transferencia",IF(AND(P3547="Resultado trading",AD3547&lt;&gt;"Cuenta de trading"),"⚠ Usa una cuenta de trading",IF(AND(G3547&lt;=0,P3547&lt;&gt;"Ajuste",P3547&lt;&gt;"Resultado trading"),"⚠ El monto debe ser positivo","✓")))))))))))))))</f>
        <v/>
      </c>
      <c r="P3547" s="52">
        <f>IF(OR(B3547="",G3547=""),"",IF(C3547="","Gasto",C3547))</f>
        <v/>
      </c>
      <c r="Q3547" s="52">
        <f>IF(P3547="","",IF(J3547&lt;&gt;"",J3547,CuentaPred&amp;""))</f>
        <v/>
      </c>
      <c r="R3547" s="52">
        <f>IF(P3547="","",IF(ISNUMBER(I3547),I3547,TasaUSD))</f>
        <v/>
      </c>
      <c r="S3547" s="53">
        <f>IF(P3547="","",IF(H3547="USD",G3547*R3547,G3547))</f>
        <v/>
      </c>
      <c r="T3547" s="53">
        <f>IF(P3547="","",IF(H3547="USD",G3547,IF(R3547&gt;0,G3547/R3547,0)))</f>
        <v/>
      </c>
      <c r="U3547" s="53">
        <f>IF(P3547="","",IF(P3547="Gasto",S3547,IF(P3547="Reembolso",-S3547,0)))</f>
        <v/>
      </c>
      <c r="V3547" s="53">
        <f>IF(P3547="","",IF(P3547="Ingreso",S3547,0))</f>
        <v/>
      </c>
      <c r="W3547" s="53">
        <f>IF(P3547="","",IF(P3547="Resultado trading",S3547,0))</f>
        <v/>
      </c>
      <c r="X3547" s="52">
        <f>IF(OR(P3547="Gasto",P3547="Reembolso"),IF(M3547&lt;&gt;"",M3547,IFERROR(INDEX(catClasif,MATCH(D3547&amp;"|"&amp;E3547,catClave,0))&amp;"","Variable")),"")</f>
        <v/>
      </c>
      <c r="Y3547" s="52">
        <f>IF(P3547="","",IFERROR(INDEX(catGrupo,MATCH(D3547&amp;"|"&amp;E3547,catClave,0))&amp;"",""))</f>
        <v/>
      </c>
      <c r="Z3547" s="52">
        <f>IF(P3547="","",WEEKDAY(B3547,2))</f>
        <v/>
      </c>
      <c r="AA3547" s="52">
        <f>IF(P3547="","",IF(AND(P3547="Gasto",X3547="Variable",D3547&lt;&gt;catTrading,S3547&gt;0,S3547&lt;=Umbral),1,0))</f>
        <v/>
      </c>
      <c r="AB3547" s="52">
        <f>IF(OR(P3547="",Q3547=""),"",IFERROR(IF(INDEX(ctaVinc,MATCH(Q3547,ctaNombre,0))&amp;""&lt;&gt;"",INDEX(ctaVinc,MATCH(Q3547,ctaNombre,0))&amp;"",Q3547),Q3547))</f>
        <v/>
      </c>
      <c r="AC3547" s="52">
        <f>IF(OR(K3547="",AND(P3547&lt;&gt;"Transferencia",P3547&lt;&gt;"Pago tarjeta")),"",IFERROR(IF(INDEX(ctaVinc,MATCH(K3547,ctaNombre,0))&amp;""&lt;&gt;"",INDEX(ctaVinc,MATCH(K3547,ctaNombre,0))&amp;"",K3547),K3547))</f>
        <v/>
      </c>
      <c r="AD3547" s="52">
        <f>IF(AB3547="","",IFERROR(INDEX(ctaTipo,MATCH(AB3547,ctaNombre,0))&amp;"",""))</f>
        <v/>
      </c>
      <c r="AE3547" s="52">
        <f>IF(AC3547="","",IFERROR(INDEX(ctaTipo,MATCH(AC3547,ctaNombre,0))&amp;"",""))</f>
        <v/>
      </c>
      <c r="AF3547" s="53">
        <f>IF(OR(P3547="",AB3547=""),"",IF(OR(P3547="Gasto",P3547="Transferencia",P3547="Pago tarjeta"),-1,1)*IF(IFERROR(INDEX(ctaMoneda,MATCH(AB3547,ctaNombre,0))&amp;"","DOP")="USD",T3547,S3547))</f>
        <v/>
      </c>
      <c r="AG3547" s="53">
        <f>IF(AC3547="","",IF(IFERROR(INDEX(ctaMoneda,MATCH(AC3547,ctaNombre,0))&amp;"","DOP")="USD",T3547,S3547))</f>
        <v/>
      </c>
      <c r="AH3547" s="53">
        <f>IF(P3547="","",IF(AND(AD3547&lt;&gt;"",COUNTIFS(tcTipo,AD3547,tcLiq,"Sí")&gt;0),IF(OR(P3547="Gasto",P3547="Transferencia",P3547="Pago tarjeta"),-1,1)*S3547,0)+IF(AND(AE3547&lt;&gt;"",COUNTIFS(tcTipo,AE3547,tcLiq,"Sí")&gt;0),S3547,0))</f>
        <v/>
      </c>
      <c r="AI3547" s="52">
        <f>IF(OR(L3547="",P3547=""),"",IF(COUNTIFS(L$6:L3547,L3547,P$6:P3547,"?*")=1,MAX(AI$5:AI3546)+1,""))</f>
        <v/>
      </c>
    </row>
    <row r="3548">
      <c r="B3548" s="47" t="n"/>
      <c r="C3548" s="48" t="n"/>
      <c r="D3548" s="48" t="n"/>
      <c r="E3548" s="48" t="n"/>
      <c r="F3548" s="48" t="n"/>
      <c r="G3548" s="49" t="n"/>
      <c r="H3548" s="48" t="n"/>
      <c r="I3548" s="50" t="n"/>
      <c r="J3548" s="48" t="n"/>
      <c r="K3548" s="48" t="n"/>
      <c r="L3548" s="48" t="n"/>
      <c r="M3548" s="48" t="n"/>
      <c r="N3548" s="48" t="n"/>
      <c r="O3548" s="51">
        <f>IF(AND(B3548="",G3548="",C3548="",D3548="",J3548=""),"",IF(B3548="","⚠ Falta fecha",IF(G3548="","⚠ Falta monto",IF(Q3548="","⚠ Falta cuenta",IF(ISNA(MATCH(Q3548,ctaNombre,0)),"⚠ Cuenta no registrada",IF(AND(OR(P3548="Gasto",P3548="Reembolso"),D3548=""),"⚠ Falta categoría",IF(AND(D3548&lt;&gt;"",E3548&lt;&gt;"",ISNA(MATCH(D3548&amp;"|"&amp;E3548,catClave,0))),"⚠ Subcategoría no corresponde",IF(AND(OR(P3548="Transferencia",P3548="Pago tarjeta"),K3548=""),"⚠ Falta cuenta destino",IF(AND(K3548&lt;&gt;"",P3548&lt;&gt;"Transferencia",P3548&lt;&gt;"Pago tarjeta"),"⚠ Destino solo aplica a transferencias",IF(AND(K3548&lt;&gt;"",K3548=Q3548),"⚠ Origen igual a destino",IF(AND(K3548&lt;&gt;"",ISNA(MATCH(K3548,ctaNombre,0))),"⚠ Destino no registrado",IF(AND(P3548="Pago tarjeta",AE3548&lt;&gt;"Tarjeta de crédito"),"⚠ El destino debe ser tarjeta de crédito",IF(AND(P3548="Gasto",E3548="Depósitos y retiros"),"⚠ Usa tipo Transferencia",IF(AND(P3548="Resultado trading",AD3548&lt;&gt;"Cuenta de trading"),"⚠ Usa una cuenta de trading",IF(AND(G3548&lt;=0,P3548&lt;&gt;"Ajuste",P3548&lt;&gt;"Resultado trading"),"⚠ El monto debe ser positivo","✓")))))))))))))))</f>
        <v/>
      </c>
      <c r="P3548" s="52">
        <f>IF(OR(B3548="",G3548=""),"",IF(C3548="","Gasto",C3548))</f>
        <v/>
      </c>
      <c r="Q3548" s="52">
        <f>IF(P3548="","",IF(J3548&lt;&gt;"",J3548,CuentaPred&amp;""))</f>
        <v/>
      </c>
      <c r="R3548" s="52">
        <f>IF(P3548="","",IF(ISNUMBER(I3548),I3548,TasaUSD))</f>
        <v/>
      </c>
      <c r="S3548" s="53">
        <f>IF(P3548="","",IF(H3548="USD",G3548*R3548,G3548))</f>
        <v/>
      </c>
      <c r="T3548" s="53">
        <f>IF(P3548="","",IF(H3548="USD",G3548,IF(R3548&gt;0,G3548/R3548,0)))</f>
        <v/>
      </c>
      <c r="U3548" s="53">
        <f>IF(P3548="","",IF(P3548="Gasto",S3548,IF(P3548="Reembolso",-S3548,0)))</f>
        <v/>
      </c>
      <c r="V3548" s="53">
        <f>IF(P3548="","",IF(P3548="Ingreso",S3548,0))</f>
        <v/>
      </c>
      <c r="W3548" s="53">
        <f>IF(P3548="","",IF(P3548="Resultado trading",S3548,0))</f>
        <v/>
      </c>
      <c r="X3548" s="52">
        <f>IF(OR(P3548="Gasto",P3548="Reembolso"),IF(M3548&lt;&gt;"",M3548,IFERROR(INDEX(catClasif,MATCH(D3548&amp;"|"&amp;E3548,catClave,0))&amp;"","Variable")),"")</f>
        <v/>
      </c>
      <c r="Y3548" s="52">
        <f>IF(P3548="","",IFERROR(INDEX(catGrupo,MATCH(D3548&amp;"|"&amp;E3548,catClave,0))&amp;"",""))</f>
        <v/>
      </c>
      <c r="Z3548" s="52">
        <f>IF(P3548="","",WEEKDAY(B3548,2))</f>
        <v/>
      </c>
      <c r="AA3548" s="52">
        <f>IF(P3548="","",IF(AND(P3548="Gasto",X3548="Variable",D3548&lt;&gt;catTrading,S3548&gt;0,S3548&lt;=Umbral),1,0))</f>
        <v/>
      </c>
      <c r="AB3548" s="52">
        <f>IF(OR(P3548="",Q3548=""),"",IFERROR(IF(INDEX(ctaVinc,MATCH(Q3548,ctaNombre,0))&amp;""&lt;&gt;"",INDEX(ctaVinc,MATCH(Q3548,ctaNombre,0))&amp;"",Q3548),Q3548))</f>
        <v/>
      </c>
      <c r="AC3548" s="52">
        <f>IF(OR(K3548="",AND(P3548&lt;&gt;"Transferencia",P3548&lt;&gt;"Pago tarjeta")),"",IFERROR(IF(INDEX(ctaVinc,MATCH(K3548,ctaNombre,0))&amp;""&lt;&gt;"",INDEX(ctaVinc,MATCH(K3548,ctaNombre,0))&amp;"",K3548),K3548))</f>
        <v/>
      </c>
      <c r="AD3548" s="52">
        <f>IF(AB3548="","",IFERROR(INDEX(ctaTipo,MATCH(AB3548,ctaNombre,0))&amp;"",""))</f>
        <v/>
      </c>
      <c r="AE3548" s="52">
        <f>IF(AC3548="","",IFERROR(INDEX(ctaTipo,MATCH(AC3548,ctaNombre,0))&amp;"",""))</f>
        <v/>
      </c>
      <c r="AF3548" s="53">
        <f>IF(OR(P3548="",AB3548=""),"",IF(OR(P3548="Gasto",P3548="Transferencia",P3548="Pago tarjeta"),-1,1)*IF(IFERROR(INDEX(ctaMoneda,MATCH(AB3548,ctaNombre,0))&amp;"","DOP")="USD",T3548,S3548))</f>
        <v/>
      </c>
      <c r="AG3548" s="53">
        <f>IF(AC3548="","",IF(IFERROR(INDEX(ctaMoneda,MATCH(AC3548,ctaNombre,0))&amp;"","DOP")="USD",T3548,S3548))</f>
        <v/>
      </c>
      <c r="AH3548" s="53">
        <f>IF(P3548="","",IF(AND(AD3548&lt;&gt;"",COUNTIFS(tcTipo,AD3548,tcLiq,"Sí")&gt;0),IF(OR(P3548="Gasto",P3548="Transferencia",P3548="Pago tarjeta"),-1,1)*S3548,0)+IF(AND(AE3548&lt;&gt;"",COUNTIFS(tcTipo,AE3548,tcLiq,"Sí")&gt;0),S3548,0))</f>
        <v/>
      </c>
      <c r="AI3548" s="52">
        <f>IF(OR(L3548="",P3548=""),"",IF(COUNTIFS(L$6:L3548,L3548,P$6:P3548,"?*")=1,MAX(AI$5:AI3547)+1,""))</f>
        <v/>
      </c>
    </row>
    <row r="3549">
      <c r="B3549" s="47" t="n"/>
      <c r="C3549" s="48" t="n"/>
      <c r="D3549" s="48" t="n"/>
      <c r="E3549" s="48" t="n"/>
      <c r="F3549" s="48" t="n"/>
      <c r="G3549" s="49" t="n"/>
      <c r="H3549" s="48" t="n"/>
      <c r="I3549" s="50" t="n"/>
      <c r="J3549" s="48" t="n"/>
      <c r="K3549" s="48" t="n"/>
      <c r="L3549" s="48" t="n"/>
      <c r="M3549" s="48" t="n"/>
      <c r="N3549" s="48" t="n"/>
      <c r="O3549" s="51">
        <f>IF(AND(B3549="",G3549="",C3549="",D3549="",J3549=""),"",IF(B3549="","⚠ Falta fecha",IF(G3549="","⚠ Falta monto",IF(Q3549="","⚠ Falta cuenta",IF(ISNA(MATCH(Q3549,ctaNombre,0)),"⚠ Cuenta no registrada",IF(AND(OR(P3549="Gasto",P3549="Reembolso"),D3549=""),"⚠ Falta categoría",IF(AND(D3549&lt;&gt;"",E3549&lt;&gt;"",ISNA(MATCH(D3549&amp;"|"&amp;E3549,catClave,0))),"⚠ Subcategoría no corresponde",IF(AND(OR(P3549="Transferencia",P3549="Pago tarjeta"),K3549=""),"⚠ Falta cuenta destino",IF(AND(K3549&lt;&gt;"",P3549&lt;&gt;"Transferencia",P3549&lt;&gt;"Pago tarjeta"),"⚠ Destino solo aplica a transferencias",IF(AND(K3549&lt;&gt;"",K3549=Q3549),"⚠ Origen igual a destino",IF(AND(K3549&lt;&gt;"",ISNA(MATCH(K3549,ctaNombre,0))),"⚠ Destino no registrado",IF(AND(P3549="Pago tarjeta",AE3549&lt;&gt;"Tarjeta de crédito"),"⚠ El destino debe ser tarjeta de crédito",IF(AND(P3549="Gasto",E3549="Depósitos y retiros"),"⚠ Usa tipo Transferencia",IF(AND(P3549="Resultado trading",AD3549&lt;&gt;"Cuenta de trading"),"⚠ Usa una cuenta de trading",IF(AND(G3549&lt;=0,P3549&lt;&gt;"Ajuste",P3549&lt;&gt;"Resultado trading"),"⚠ El monto debe ser positivo","✓")))))))))))))))</f>
        <v/>
      </c>
      <c r="P3549" s="52">
        <f>IF(OR(B3549="",G3549=""),"",IF(C3549="","Gasto",C3549))</f>
        <v/>
      </c>
      <c r="Q3549" s="52">
        <f>IF(P3549="","",IF(J3549&lt;&gt;"",J3549,CuentaPred&amp;""))</f>
        <v/>
      </c>
      <c r="R3549" s="52">
        <f>IF(P3549="","",IF(ISNUMBER(I3549),I3549,TasaUSD))</f>
        <v/>
      </c>
      <c r="S3549" s="53">
        <f>IF(P3549="","",IF(H3549="USD",G3549*R3549,G3549))</f>
        <v/>
      </c>
      <c r="T3549" s="53">
        <f>IF(P3549="","",IF(H3549="USD",G3549,IF(R3549&gt;0,G3549/R3549,0)))</f>
        <v/>
      </c>
      <c r="U3549" s="53">
        <f>IF(P3549="","",IF(P3549="Gasto",S3549,IF(P3549="Reembolso",-S3549,0)))</f>
        <v/>
      </c>
      <c r="V3549" s="53">
        <f>IF(P3549="","",IF(P3549="Ingreso",S3549,0))</f>
        <v/>
      </c>
      <c r="W3549" s="53">
        <f>IF(P3549="","",IF(P3549="Resultado trading",S3549,0))</f>
        <v/>
      </c>
      <c r="X3549" s="52">
        <f>IF(OR(P3549="Gasto",P3549="Reembolso"),IF(M3549&lt;&gt;"",M3549,IFERROR(INDEX(catClasif,MATCH(D3549&amp;"|"&amp;E3549,catClave,0))&amp;"","Variable")),"")</f>
        <v/>
      </c>
      <c r="Y3549" s="52">
        <f>IF(P3549="","",IFERROR(INDEX(catGrupo,MATCH(D3549&amp;"|"&amp;E3549,catClave,0))&amp;"",""))</f>
        <v/>
      </c>
      <c r="Z3549" s="52">
        <f>IF(P3549="","",WEEKDAY(B3549,2))</f>
        <v/>
      </c>
      <c r="AA3549" s="52">
        <f>IF(P3549="","",IF(AND(P3549="Gasto",X3549="Variable",D3549&lt;&gt;catTrading,S3549&gt;0,S3549&lt;=Umbral),1,0))</f>
        <v/>
      </c>
      <c r="AB3549" s="52">
        <f>IF(OR(P3549="",Q3549=""),"",IFERROR(IF(INDEX(ctaVinc,MATCH(Q3549,ctaNombre,0))&amp;""&lt;&gt;"",INDEX(ctaVinc,MATCH(Q3549,ctaNombre,0))&amp;"",Q3549),Q3549))</f>
        <v/>
      </c>
      <c r="AC3549" s="52">
        <f>IF(OR(K3549="",AND(P3549&lt;&gt;"Transferencia",P3549&lt;&gt;"Pago tarjeta")),"",IFERROR(IF(INDEX(ctaVinc,MATCH(K3549,ctaNombre,0))&amp;""&lt;&gt;"",INDEX(ctaVinc,MATCH(K3549,ctaNombre,0))&amp;"",K3549),K3549))</f>
        <v/>
      </c>
      <c r="AD3549" s="52">
        <f>IF(AB3549="","",IFERROR(INDEX(ctaTipo,MATCH(AB3549,ctaNombre,0))&amp;"",""))</f>
        <v/>
      </c>
      <c r="AE3549" s="52">
        <f>IF(AC3549="","",IFERROR(INDEX(ctaTipo,MATCH(AC3549,ctaNombre,0))&amp;"",""))</f>
        <v/>
      </c>
      <c r="AF3549" s="53">
        <f>IF(OR(P3549="",AB3549=""),"",IF(OR(P3549="Gasto",P3549="Transferencia",P3549="Pago tarjeta"),-1,1)*IF(IFERROR(INDEX(ctaMoneda,MATCH(AB3549,ctaNombre,0))&amp;"","DOP")="USD",T3549,S3549))</f>
        <v/>
      </c>
      <c r="AG3549" s="53">
        <f>IF(AC3549="","",IF(IFERROR(INDEX(ctaMoneda,MATCH(AC3549,ctaNombre,0))&amp;"","DOP")="USD",T3549,S3549))</f>
        <v/>
      </c>
      <c r="AH3549" s="53">
        <f>IF(P3549="","",IF(AND(AD3549&lt;&gt;"",COUNTIFS(tcTipo,AD3549,tcLiq,"Sí")&gt;0),IF(OR(P3549="Gasto",P3549="Transferencia",P3549="Pago tarjeta"),-1,1)*S3549,0)+IF(AND(AE3549&lt;&gt;"",COUNTIFS(tcTipo,AE3549,tcLiq,"Sí")&gt;0),S3549,0))</f>
        <v/>
      </c>
      <c r="AI3549" s="52">
        <f>IF(OR(L3549="",P3549=""),"",IF(COUNTIFS(L$6:L3549,L3549,P$6:P3549,"?*")=1,MAX(AI$5:AI3548)+1,""))</f>
        <v/>
      </c>
    </row>
    <row r="3550">
      <c r="B3550" s="47" t="n"/>
      <c r="C3550" s="48" t="n"/>
      <c r="D3550" s="48" t="n"/>
      <c r="E3550" s="48" t="n"/>
      <c r="F3550" s="48" t="n"/>
      <c r="G3550" s="49" t="n"/>
      <c r="H3550" s="48" t="n"/>
      <c r="I3550" s="50" t="n"/>
      <c r="J3550" s="48" t="n"/>
      <c r="K3550" s="48" t="n"/>
      <c r="L3550" s="48" t="n"/>
      <c r="M3550" s="48" t="n"/>
      <c r="N3550" s="48" t="n"/>
      <c r="O3550" s="51">
        <f>IF(AND(B3550="",G3550="",C3550="",D3550="",J3550=""),"",IF(B3550="","⚠ Falta fecha",IF(G3550="","⚠ Falta monto",IF(Q3550="","⚠ Falta cuenta",IF(ISNA(MATCH(Q3550,ctaNombre,0)),"⚠ Cuenta no registrada",IF(AND(OR(P3550="Gasto",P3550="Reembolso"),D3550=""),"⚠ Falta categoría",IF(AND(D3550&lt;&gt;"",E3550&lt;&gt;"",ISNA(MATCH(D3550&amp;"|"&amp;E3550,catClave,0))),"⚠ Subcategoría no corresponde",IF(AND(OR(P3550="Transferencia",P3550="Pago tarjeta"),K3550=""),"⚠ Falta cuenta destino",IF(AND(K3550&lt;&gt;"",P3550&lt;&gt;"Transferencia",P3550&lt;&gt;"Pago tarjeta"),"⚠ Destino solo aplica a transferencias",IF(AND(K3550&lt;&gt;"",K3550=Q3550),"⚠ Origen igual a destino",IF(AND(K3550&lt;&gt;"",ISNA(MATCH(K3550,ctaNombre,0))),"⚠ Destino no registrado",IF(AND(P3550="Pago tarjeta",AE3550&lt;&gt;"Tarjeta de crédito"),"⚠ El destino debe ser tarjeta de crédito",IF(AND(P3550="Gasto",E3550="Depósitos y retiros"),"⚠ Usa tipo Transferencia",IF(AND(P3550="Resultado trading",AD3550&lt;&gt;"Cuenta de trading"),"⚠ Usa una cuenta de trading",IF(AND(G3550&lt;=0,P3550&lt;&gt;"Ajuste",P3550&lt;&gt;"Resultado trading"),"⚠ El monto debe ser positivo","✓")))))))))))))))</f>
        <v/>
      </c>
      <c r="P3550" s="52">
        <f>IF(OR(B3550="",G3550=""),"",IF(C3550="","Gasto",C3550))</f>
        <v/>
      </c>
      <c r="Q3550" s="52">
        <f>IF(P3550="","",IF(J3550&lt;&gt;"",J3550,CuentaPred&amp;""))</f>
        <v/>
      </c>
      <c r="R3550" s="52">
        <f>IF(P3550="","",IF(ISNUMBER(I3550),I3550,TasaUSD))</f>
        <v/>
      </c>
      <c r="S3550" s="53">
        <f>IF(P3550="","",IF(H3550="USD",G3550*R3550,G3550))</f>
        <v/>
      </c>
      <c r="T3550" s="53">
        <f>IF(P3550="","",IF(H3550="USD",G3550,IF(R3550&gt;0,G3550/R3550,0)))</f>
        <v/>
      </c>
      <c r="U3550" s="53">
        <f>IF(P3550="","",IF(P3550="Gasto",S3550,IF(P3550="Reembolso",-S3550,0)))</f>
        <v/>
      </c>
      <c r="V3550" s="53">
        <f>IF(P3550="","",IF(P3550="Ingreso",S3550,0))</f>
        <v/>
      </c>
      <c r="W3550" s="53">
        <f>IF(P3550="","",IF(P3550="Resultado trading",S3550,0))</f>
        <v/>
      </c>
      <c r="X3550" s="52">
        <f>IF(OR(P3550="Gasto",P3550="Reembolso"),IF(M3550&lt;&gt;"",M3550,IFERROR(INDEX(catClasif,MATCH(D3550&amp;"|"&amp;E3550,catClave,0))&amp;"","Variable")),"")</f>
        <v/>
      </c>
      <c r="Y3550" s="52">
        <f>IF(P3550="","",IFERROR(INDEX(catGrupo,MATCH(D3550&amp;"|"&amp;E3550,catClave,0))&amp;"",""))</f>
        <v/>
      </c>
      <c r="Z3550" s="52">
        <f>IF(P3550="","",WEEKDAY(B3550,2))</f>
        <v/>
      </c>
      <c r="AA3550" s="52">
        <f>IF(P3550="","",IF(AND(P3550="Gasto",X3550="Variable",D3550&lt;&gt;catTrading,S3550&gt;0,S3550&lt;=Umbral),1,0))</f>
        <v/>
      </c>
      <c r="AB3550" s="52">
        <f>IF(OR(P3550="",Q3550=""),"",IFERROR(IF(INDEX(ctaVinc,MATCH(Q3550,ctaNombre,0))&amp;""&lt;&gt;"",INDEX(ctaVinc,MATCH(Q3550,ctaNombre,0))&amp;"",Q3550),Q3550))</f>
        <v/>
      </c>
      <c r="AC3550" s="52">
        <f>IF(OR(K3550="",AND(P3550&lt;&gt;"Transferencia",P3550&lt;&gt;"Pago tarjeta")),"",IFERROR(IF(INDEX(ctaVinc,MATCH(K3550,ctaNombre,0))&amp;""&lt;&gt;"",INDEX(ctaVinc,MATCH(K3550,ctaNombre,0))&amp;"",K3550),K3550))</f>
        <v/>
      </c>
      <c r="AD3550" s="52">
        <f>IF(AB3550="","",IFERROR(INDEX(ctaTipo,MATCH(AB3550,ctaNombre,0))&amp;"",""))</f>
        <v/>
      </c>
      <c r="AE3550" s="52">
        <f>IF(AC3550="","",IFERROR(INDEX(ctaTipo,MATCH(AC3550,ctaNombre,0))&amp;"",""))</f>
        <v/>
      </c>
      <c r="AF3550" s="53">
        <f>IF(OR(P3550="",AB3550=""),"",IF(OR(P3550="Gasto",P3550="Transferencia",P3550="Pago tarjeta"),-1,1)*IF(IFERROR(INDEX(ctaMoneda,MATCH(AB3550,ctaNombre,0))&amp;"","DOP")="USD",T3550,S3550))</f>
        <v/>
      </c>
      <c r="AG3550" s="53">
        <f>IF(AC3550="","",IF(IFERROR(INDEX(ctaMoneda,MATCH(AC3550,ctaNombre,0))&amp;"","DOP")="USD",T3550,S3550))</f>
        <v/>
      </c>
      <c r="AH3550" s="53">
        <f>IF(P3550="","",IF(AND(AD3550&lt;&gt;"",COUNTIFS(tcTipo,AD3550,tcLiq,"Sí")&gt;0),IF(OR(P3550="Gasto",P3550="Transferencia",P3550="Pago tarjeta"),-1,1)*S3550,0)+IF(AND(AE3550&lt;&gt;"",COUNTIFS(tcTipo,AE3550,tcLiq,"Sí")&gt;0),S3550,0))</f>
        <v/>
      </c>
      <c r="AI3550" s="52">
        <f>IF(OR(L3550="",P3550=""),"",IF(COUNTIFS(L$6:L3550,L3550,P$6:P3550,"?*")=1,MAX(AI$5:AI3549)+1,""))</f>
        <v/>
      </c>
    </row>
    <row r="3551">
      <c r="B3551" s="47" t="n"/>
      <c r="C3551" s="48" t="n"/>
      <c r="D3551" s="48" t="n"/>
      <c r="E3551" s="48" t="n"/>
      <c r="F3551" s="48" t="n"/>
      <c r="G3551" s="49" t="n"/>
      <c r="H3551" s="48" t="n"/>
      <c r="I3551" s="50" t="n"/>
      <c r="J3551" s="48" t="n"/>
      <c r="K3551" s="48" t="n"/>
      <c r="L3551" s="48" t="n"/>
      <c r="M3551" s="48" t="n"/>
      <c r="N3551" s="48" t="n"/>
      <c r="O3551" s="51">
        <f>IF(AND(B3551="",G3551="",C3551="",D3551="",J3551=""),"",IF(B3551="","⚠ Falta fecha",IF(G3551="","⚠ Falta monto",IF(Q3551="","⚠ Falta cuenta",IF(ISNA(MATCH(Q3551,ctaNombre,0)),"⚠ Cuenta no registrada",IF(AND(OR(P3551="Gasto",P3551="Reembolso"),D3551=""),"⚠ Falta categoría",IF(AND(D3551&lt;&gt;"",E3551&lt;&gt;"",ISNA(MATCH(D3551&amp;"|"&amp;E3551,catClave,0))),"⚠ Subcategoría no corresponde",IF(AND(OR(P3551="Transferencia",P3551="Pago tarjeta"),K3551=""),"⚠ Falta cuenta destino",IF(AND(K3551&lt;&gt;"",P3551&lt;&gt;"Transferencia",P3551&lt;&gt;"Pago tarjeta"),"⚠ Destino solo aplica a transferencias",IF(AND(K3551&lt;&gt;"",K3551=Q3551),"⚠ Origen igual a destino",IF(AND(K3551&lt;&gt;"",ISNA(MATCH(K3551,ctaNombre,0))),"⚠ Destino no registrado",IF(AND(P3551="Pago tarjeta",AE3551&lt;&gt;"Tarjeta de crédito"),"⚠ El destino debe ser tarjeta de crédito",IF(AND(P3551="Gasto",E3551="Depósitos y retiros"),"⚠ Usa tipo Transferencia",IF(AND(P3551="Resultado trading",AD3551&lt;&gt;"Cuenta de trading"),"⚠ Usa una cuenta de trading",IF(AND(G3551&lt;=0,P3551&lt;&gt;"Ajuste",P3551&lt;&gt;"Resultado trading"),"⚠ El monto debe ser positivo","✓")))))))))))))))</f>
        <v/>
      </c>
      <c r="P3551" s="52">
        <f>IF(OR(B3551="",G3551=""),"",IF(C3551="","Gasto",C3551))</f>
        <v/>
      </c>
      <c r="Q3551" s="52">
        <f>IF(P3551="","",IF(J3551&lt;&gt;"",J3551,CuentaPred&amp;""))</f>
        <v/>
      </c>
      <c r="R3551" s="52">
        <f>IF(P3551="","",IF(ISNUMBER(I3551),I3551,TasaUSD))</f>
        <v/>
      </c>
      <c r="S3551" s="53">
        <f>IF(P3551="","",IF(H3551="USD",G3551*R3551,G3551))</f>
        <v/>
      </c>
      <c r="T3551" s="53">
        <f>IF(P3551="","",IF(H3551="USD",G3551,IF(R3551&gt;0,G3551/R3551,0)))</f>
        <v/>
      </c>
      <c r="U3551" s="53">
        <f>IF(P3551="","",IF(P3551="Gasto",S3551,IF(P3551="Reembolso",-S3551,0)))</f>
        <v/>
      </c>
      <c r="V3551" s="53">
        <f>IF(P3551="","",IF(P3551="Ingreso",S3551,0))</f>
        <v/>
      </c>
      <c r="W3551" s="53">
        <f>IF(P3551="","",IF(P3551="Resultado trading",S3551,0))</f>
        <v/>
      </c>
      <c r="X3551" s="52">
        <f>IF(OR(P3551="Gasto",P3551="Reembolso"),IF(M3551&lt;&gt;"",M3551,IFERROR(INDEX(catClasif,MATCH(D3551&amp;"|"&amp;E3551,catClave,0))&amp;"","Variable")),"")</f>
        <v/>
      </c>
      <c r="Y3551" s="52">
        <f>IF(P3551="","",IFERROR(INDEX(catGrupo,MATCH(D3551&amp;"|"&amp;E3551,catClave,0))&amp;"",""))</f>
        <v/>
      </c>
      <c r="Z3551" s="52">
        <f>IF(P3551="","",WEEKDAY(B3551,2))</f>
        <v/>
      </c>
      <c r="AA3551" s="52">
        <f>IF(P3551="","",IF(AND(P3551="Gasto",X3551="Variable",D3551&lt;&gt;catTrading,S3551&gt;0,S3551&lt;=Umbral),1,0))</f>
        <v/>
      </c>
      <c r="AB3551" s="52">
        <f>IF(OR(P3551="",Q3551=""),"",IFERROR(IF(INDEX(ctaVinc,MATCH(Q3551,ctaNombre,0))&amp;""&lt;&gt;"",INDEX(ctaVinc,MATCH(Q3551,ctaNombre,0))&amp;"",Q3551),Q3551))</f>
        <v/>
      </c>
      <c r="AC3551" s="52">
        <f>IF(OR(K3551="",AND(P3551&lt;&gt;"Transferencia",P3551&lt;&gt;"Pago tarjeta")),"",IFERROR(IF(INDEX(ctaVinc,MATCH(K3551,ctaNombre,0))&amp;""&lt;&gt;"",INDEX(ctaVinc,MATCH(K3551,ctaNombre,0))&amp;"",K3551),K3551))</f>
        <v/>
      </c>
      <c r="AD3551" s="52">
        <f>IF(AB3551="","",IFERROR(INDEX(ctaTipo,MATCH(AB3551,ctaNombre,0))&amp;"",""))</f>
        <v/>
      </c>
      <c r="AE3551" s="52">
        <f>IF(AC3551="","",IFERROR(INDEX(ctaTipo,MATCH(AC3551,ctaNombre,0))&amp;"",""))</f>
        <v/>
      </c>
      <c r="AF3551" s="53">
        <f>IF(OR(P3551="",AB3551=""),"",IF(OR(P3551="Gasto",P3551="Transferencia",P3551="Pago tarjeta"),-1,1)*IF(IFERROR(INDEX(ctaMoneda,MATCH(AB3551,ctaNombre,0))&amp;"","DOP")="USD",T3551,S3551))</f>
        <v/>
      </c>
      <c r="AG3551" s="53">
        <f>IF(AC3551="","",IF(IFERROR(INDEX(ctaMoneda,MATCH(AC3551,ctaNombre,0))&amp;"","DOP")="USD",T3551,S3551))</f>
        <v/>
      </c>
      <c r="AH3551" s="53">
        <f>IF(P3551="","",IF(AND(AD3551&lt;&gt;"",COUNTIFS(tcTipo,AD3551,tcLiq,"Sí")&gt;0),IF(OR(P3551="Gasto",P3551="Transferencia",P3551="Pago tarjeta"),-1,1)*S3551,0)+IF(AND(AE3551&lt;&gt;"",COUNTIFS(tcTipo,AE3551,tcLiq,"Sí")&gt;0),S3551,0))</f>
        <v/>
      </c>
      <c r="AI3551" s="52">
        <f>IF(OR(L3551="",P3551=""),"",IF(COUNTIFS(L$6:L3551,L3551,P$6:P3551,"?*")=1,MAX(AI$5:AI3550)+1,""))</f>
        <v/>
      </c>
    </row>
    <row r="3552">
      <c r="B3552" s="47" t="n"/>
      <c r="C3552" s="48" t="n"/>
      <c r="D3552" s="48" t="n"/>
      <c r="E3552" s="48" t="n"/>
      <c r="F3552" s="48" t="n"/>
      <c r="G3552" s="49" t="n"/>
      <c r="H3552" s="48" t="n"/>
      <c r="I3552" s="50" t="n"/>
      <c r="J3552" s="48" t="n"/>
      <c r="K3552" s="48" t="n"/>
      <c r="L3552" s="48" t="n"/>
      <c r="M3552" s="48" t="n"/>
      <c r="N3552" s="48" t="n"/>
      <c r="O3552" s="51">
        <f>IF(AND(B3552="",G3552="",C3552="",D3552="",J3552=""),"",IF(B3552="","⚠ Falta fecha",IF(G3552="","⚠ Falta monto",IF(Q3552="","⚠ Falta cuenta",IF(ISNA(MATCH(Q3552,ctaNombre,0)),"⚠ Cuenta no registrada",IF(AND(OR(P3552="Gasto",P3552="Reembolso"),D3552=""),"⚠ Falta categoría",IF(AND(D3552&lt;&gt;"",E3552&lt;&gt;"",ISNA(MATCH(D3552&amp;"|"&amp;E3552,catClave,0))),"⚠ Subcategoría no corresponde",IF(AND(OR(P3552="Transferencia",P3552="Pago tarjeta"),K3552=""),"⚠ Falta cuenta destino",IF(AND(K3552&lt;&gt;"",P3552&lt;&gt;"Transferencia",P3552&lt;&gt;"Pago tarjeta"),"⚠ Destino solo aplica a transferencias",IF(AND(K3552&lt;&gt;"",K3552=Q3552),"⚠ Origen igual a destino",IF(AND(K3552&lt;&gt;"",ISNA(MATCH(K3552,ctaNombre,0))),"⚠ Destino no registrado",IF(AND(P3552="Pago tarjeta",AE3552&lt;&gt;"Tarjeta de crédito"),"⚠ El destino debe ser tarjeta de crédito",IF(AND(P3552="Gasto",E3552="Depósitos y retiros"),"⚠ Usa tipo Transferencia",IF(AND(P3552="Resultado trading",AD3552&lt;&gt;"Cuenta de trading"),"⚠ Usa una cuenta de trading",IF(AND(G3552&lt;=0,P3552&lt;&gt;"Ajuste",P3552&lt;&gt;"Resultado trading"),"⚠ El monto debe ser positivo","✓")))))))))))))))</f>
        <v/>
      </c>
      <c r="P3552" s="52">
        <f>IF(OR(B3552="",G3552=""),"",IF(C3552="","Gasto",C3552))</f>
        <v/>
      </c>
      <c r="Q3552" s="52">
        <f>IF(P3552="","",IF(J3552&lt;&gt;"",J3552,CuentaPred&amp;""))</f>
        <v/>
      </c>
      <c r="R3552" s="52">
        <f>IF(P3552="","",IF(ISNUMBER(I3552),I3552,TasaUSD))</f>
        <v/>
      </c>
      <c r="S3552" s="53">
        <f>IF(P3552="","",IF(H3552="USD",G3552*R3552,G3552))</f>
        <v/>
      </c>
      <c r="T3552" s="53">
        <f>IF(P3552="","",IF(H3552="USD",G3552,IF(R3552&gt;0,G3552/R3552,0)))</f>
        <v/>
      </c>
      <c r="U3552" s="53">
        <f>IF(P3552="","",IF(P3552="Gasto",S3552,IF(P3552="Reembolso",-S3552,0)))</f>
        <v/>
      </c>
      <c r="V3552" s="53">
        <f>IF(P3552="","",IF(P3552="Ingreso",S3552,0))</f>
        <v/>
      </c>
      <c r="W3552" s="53">
        <f>IF(P3552="","",IF(P3552="Resultado trading",S3552,0))</f>
        <v/>
      </c>
      <c r="X3552" s="52">
        <f>IF(OR(P3552="Gasto",P3552="Reembolso"),IF(M3552&lt;&gt;"",M3552,IFERROR(INDEX(catClasif,MATCH(D3552&amp;"|"&amp;E3552,catClave,0))&amp;"","Variable")),"")</f>
        <v/>
      </c>
      <c r="Y3552" s="52">
        <f>IF(P3552="","",IFERROR(INDEX(catGrupo,MATCH(D3552&amp;"|"&amp;E3552,catClave,0))&amp;"",""))</f>
        <v/>
      </c>
      <c r="Z3552" s="52">
        <f>IF(P3552="","",WEEKDAY(B3552,2))</f>
        <v/>
      </c>
      <c r="AA3552" s="52">
        <f>IF(P3552="","",IF(AND(P3552="Gasto",X3552="Variable",D3552&lt;&gt;catTrading,S3552&gt;0,S3552&lt;=Umbral),1,0))</f>
        <v/>
      </c>
      <c r="AB3552" s="52">
        <f>IF(OR(P3552="",Q3552=""),"",IFERROR(IF(INDEX(ctaVinc,MATCH(Q3552,ctaNombre,0))&amp;""&lt;&gt;"",INDEX(ctaVinc,MATCH(Q3552,ctaNombre,0))&amp;"",Q3552),Q3552))</f>
        <v/>
      </c>
      <c r="AC3552" s="52">
        <f>IF(OR(K3552="",AND(P3552&lt;&gt;"Transferencia",P3552&lt;&gt;"Pago tarjeta")),"",IFERROR(IF(INDEX(ctaVinc,MATCH(K3552,ctaNombre,0))&amp;""&lt;&gt;"",INDEX(ctaVinc,MATCH(K3552,ctaNombre,0))&amp;"",K3552),K3552))</f>
        <v/>
      </c>
      <c r="AD3552" s="52">
        <f>IF(AB3552="","",IFERROR(INDEX(ctaTipo,MATCH(AB3552,ctaNombre,0))&amp;"",""))</f>
        <v/>
      </c>
      <c r="AE3552" s="52">
        <f>IF(AC3552="","",IFERROR(INDEX(ctaTipo,MATCH(AC3552,ctaNombre,0))&amp;"",""))</f>
        <v/>
      </c>
      <c r="AF3552" s="53">
        <f>IF(OR(P3552="",AB3552=""),"",IF(OR(P3552="Gasto",P3552="Transferencia",P3552="Pago tarjeta"),-1,1)*IF(IFERROR(INDEX(ctaMoneda,MATCH(AB3552,ctaNombre,0))&amp;"","DOP")="USD",T3552,S3552))</f>
        <v/>
      </c>
      <c r="AG3552" s="53">
        <f>IF(AC3552="","",IF(IFERROR(INDEX(ctaMoneda,MATCH(AC3552,ctaNombre,0))&amp;"","DOP")="USD",T3552,S3552))</f>
        <v/>
      </c>
      <c r="AH3552" s="53">
        <f>IF(P3552="","",IF(AND(AD3552&lt;&gt;"",COUNTIFS(tcTipo,AD3552,tcLiq,"Sí")&gt;0),IF(OR(P3552="Gasto",P3552="Transferencia",P3552="Pago tarjeta"),-1,1)*S3552,0)+IF(AND(AE3552&lt;&gt;"",COUNTIFS(tcTipo,AE3552,tcLiq,"Sí")&gt;0),S3552,0))</f>
        <v/>
      </c>
      <c r="AI3552" s="52">
        <f>IF(OR(L3552="",P3552=""),"",IF(COUNTIFS(L$6:L3552,L3552,P$6:P3552,"?*")=1,MAX(AI$5:AI3551)+1,""))</f>
        <v/>
      </c>
    </row>
    <row r="3553">
      <c r="B3553" s="47" t="n"/>
      <c r="C3553" s="48" t="n"/>
      <c r="D3553" s="48" t="n"/>
      <c r="E3553" s="48" t="n"/>
      <c r="F3553" s="48" t="n"/>
      <c r="G3553" s="49" t="n"/>
      <c r="H3553" s="48" t="n"/>
      <c r="I3553" s="50" t="n"/>
      <c r="J3553" s="48" t="n"/>
      <c r="K3553" s="48" t="n"/>
      <c r="L3553" s="48" t="n"/>
      <c r="M3553" s="48" t="n"/>
      <c r="N3553" s="48" t="n"/>
      <c r="O3553" s="51">
        <f>IF(AND(B3553="",G3553="",C3553="",D3553="",J3553=""),"",IF(B3553="","⚠ Falta fecha",IF(G3553="","⚠ Falta monto",IF(Q3553="","⚠ Falta cuenta",IF(ISNA(MATCH(Q3553,ctaNombre,0)),"⚠ Cuenta no registrada",IF(AND(OR(P3553="Gasto",P3553="Reembolso"),D3553=""),"⚠ Falta categoría",IF(AND(D3553&lt;&gt;"",E3553&lt;&gt;"",ISNA(MATCH(D3553&amp;"|"&amp;E3553,catClave,0))),"⚠ Subcategoría no corresponde",IF(AND(OR(P3553="Transferencia",P3553="Pago tarjeta"),K3553=""),"⚠ Falta cuenta destino",IF(AND(K3553&lt;&gt;"",P3553&lt;&gt;"Transferencia",P3553&lt;&gt;"Pago tarjeta"),"⚠ Destino solo aplica a transferencias",IF(AND(K3553&lt;&gt;"",K3553=Q3553),"⚠ Origen igual a destino",IF(AND(K3553&lt;&gt;"",ISNA(MATCH(K3553,ctaNombre,0))),"⚠ Destino no registrado",IF(AND(P3553="Pago tarjeta",AE3553&lt;&gt;"Tarjeta de crédito"),"⚠ El destino debe ser tarjeta de crédito",IF(AND(P3553="Gasto",E3553="Depósitos y retiros"),"⚠ Usa tipo Transferencia",IF(AND(P3553="Resultado trading",AD3553&lt;&gt;"Cuenta de trading"),"⚠ Usa una cuenta de trading",IF(AND(G3553&lt;=0,P3553&lt;&gt;"Ajuste",P3553&lt;&gt;"Resultado trading"),"⚠ El monto debe ser positivo","✓")))))))))))))))</f>
        <v/>
      </c>
      <c r="P3553" s="52">
        <f>IF(OR(B3553="",G3553=""),"",IF(C3553="","Gasto",C3553))</f>
        <v/>
      </c>
      <c r="Q3553" s="52">
        <f>IF(P3553="","",IF(J3553&lt;&gt;"",J3553,CuentaPred&amp;""))</f>
        <v/>
      </c>
      <c r="R3553" s="52">
        <f>IF(P3553="","",IF(ISNUMBER(I3553),I3553,TasaUSD))</f>
        <v/>
      </c>
      <c r="S3553" s="53">
        <f>IF(P3553="","",IF(H3553="USD",G3553*R3553,G3553))</f>
        <v/>
      </c>
      <c r="T3553" s="53">
        <f>IF(P3553="","",IF(H3553="USD",G3553,IF(R3553&gt;0,G3553/R3553,0)))</f>
        <v/>
      </c>
      <c r="U3553" s="53">
        <f>IF(P3553="","",IF(P3553="Gasto",S3553,IF(P3553="Reembolso",-S3553,0)))</f>
        <v/>
      </c>
      <c r="V3553" s="53">
        <f>IF(P3553="","",IF(P3553="Ingreso",S3553,0))</f>
        <v/>
      </c>
      <c r="W3553" s="53">
        <f>IF(P3553="","",IF(P3553="Resultado trading",S3553,0))</f>
        <v/>
      </c>
      <c r="X3553" s="52">
        <f>IF(OR(P3553="Gasto",P3553="Reembolso"),IF(M3553&lt;&gt;"",M3553,IFERROR(INDEX(catClasif,MATCH(D3553&amp;"|"&amp;E3553,catClave,0))&amp;"","Variable")),"")</f>
        <v/>
      </c>
      <c r="Y3553" s="52">
        <f>IF(P3553="","",IFERROR(INDEX(catGrupo,MATCH(D3553&amp;"|"&amp;E3553,catClave,0))&amp;"",""))</f>
        <v/>
      </c>
      <c r="Z3553" s="52">
        <f>IF(P3553="","",WEEKDAY(B3553,2))</f>
        <v/>
      </c>
      <c r="AA3553" s="52">
        <f>IF(P3553="","",IF(AND(P3553="Gasto",X3553="Variable",D3553&lt;&gt;catTrading,S3553&gt;0,S3553&lt;=Umbral),1,0))</f>
        <v/>
      </c>
      <c r="AB3553" s="52">
        <f>IF(OR(P3553="",Q3553=""),"",IFERROR(IF(INDEX(ctaVinc,MATCH(Q3553,ctaNombre,0))&amp;""&lt;&gt;"",INDEX(ctaVinc,MATCH(Q3553,ctaNombre,0))&amp;"",Q3553),Q3553))</f>
        <v/>
      </c>
      <c r="AC3553" s="52">
        <f>IF(OR(K3553="",AND(P3553&lt;&gt;"Transferencia",P3553&lt;&gt;"Pago tarjeta")),"",IFERROR(IF(INDEX(ctaVinc,MATCH(K3553,ctaNombre,0))&amp;""&lt;&gt;"",INDEX(ctaVinc,MATCH(K3553,ctaNombre,0))&amp;"",K3553),K3553))</f>
        <v/>
      </c>
      <c r="AD3553" s="52">
        <f>IF(AB3553="","",IFERROR(INDEX(ctaTipo,MATCH(AB3553,ctaNombre,0))&amp;"",""))</f>
        <v/>
      </c>
      <c r="AE3553" s="52">
        <f>IF(AC3553="","",IFERROR(INDEX(ctaTipo,MATCH(AC3553,ctaNombre,0))&amp;"",""))</f>
        <v/>
      </c>
      <c r="AF3553" s="53">
        <f>IF(OR(P3553="",AB3553=""),"",IF(OR(P3553="Gasto",P3553="Transferencia",P3553="Pago tarjeta"),-1,1)*IF(IFERROR(INDEX(ctaMoneda,MATCH(AB3553,ctaNombre,0))&amp;"","DOP")="USD",T3553,S3553))</f>
        <v/>
      </c>
      <c r="AG3553" s="53">
        <f>IF(AC3553="","",IF(IFERROR(INDEX(ctaMoneda,MATCH(AC3553,ctaNombre,0))&amp;"","DOP")="USD",T3553,S3553))</f>
        <v/>
      </c>
      <c r="AH3553" s="53">
        <f>IF(P3553="","",IF(AND(AD3553&lt;&gt;"",COUNTIFS(tcTipo,AD3553,tcLiq,"Sí")&gt;0),IF(OR(P3553="Gasto",P3553="Transferencia",P3553="Pago tarjeta"),-1,1)*S3553,0)+IF(AND(AE3553&lt;&gt;"",COUNTIFS(tcTipo,AE3553,tcLiq,"Sí")&gt;0),S3553,0))</f>
        <v/>
      </c>
      <c r="AI3553" s="52">
        <f>IF(OR(L3553="",P3553=""),"",IF(COUNTIFS(L$6:L3553,L3553,P$6:P3553,"?*")=1,MAX(AI$5:AI3552)+1,""))</f>
        <v/>
      </c>
    </row>
    <row r="3554">
      <c r="B3554" s="47" t="n"/>
      <c r="C3554" s="48" t="n"/>
      <c r="D3554" s="48" t="n"/>
      <c r="E3554" s="48" t="n"/>
      <c r="F3554" s="48" t="n"/>
      <c r="G3554" s="49" t="n"/>
      <c r="H3554" s="48" t="n"/>
      <c r="I3554" s="50" t="n"/>
      <c r="J3554" s="48" t="n"/>
      <c r="K3554" s="48" t="n"/>
      <c r="L3554" s="48" t="n"/>
      <c r="M3554" s="48" t="n"/>
      <c r="N3554" s="48" t="n"/>
      <c r="O3554" s="51">
        <f>IF(AND(B3554="",G3554="",C3554="",D3554="",J3554=""),"",IF(B3554="","⚠ Falta fecha",IF(G3554="","⚠ Falta monto",IF(Q3554="","⚠ Falta cuenta",IF(ISNA(MATCH(Q3554,ctaNombre,0)),"⚠ Cuenta no registrada",IF(AND(OR(P3554="Gasto",P3554="Reembolso"),D3554=""),"⚠ Falta categoría",IF(AND(D3554&lt;&gt;"",E3554&lt;&gt;"",ISNA(MATCH(D3554&amp;"|"&amp;E3554,catClave,0))),"⚠ Subcategoría no corresponde",IF(AND(OR(P3554="Transferencia",P3554="Pago tarjeta"),K3554=""),"⚠ Falta cuenta destino",IF(AND(K3554&lt;&gt;"",P3554&lt;&gt;"Transferencia",P3554&lt;&gt;"Pago tarjeta"),"⚠ Destino solo aplica a transferencias",IF(AND(K3554&lt;&gt;"",K3554=Q3554),"⚠ Origen igual a destino",IF(AND(K3554&lt;&gt;"",ISNA(MATCH(K3554,ctaNombre,0))),"⚠ Destino no registrado",IF(AND(P3554="Pago tarjeta",AE3554&lt;&gt;"Tarjeta de crédito"),"⚠ El destino debe ser tarjeta de crédito",IF(AND(P3554="Gasto",E3554="Depósitos y retiros"),"⚠ Usa tipo Transferencia",IF(AND(P3554="Resultado trading",AD3554&lt;&gt;"Cuenta de trading"),"⚠ Usa una cuenta de trading",IF(AND(G3554&lt;=0,P3554&lt;&gt;"Ajuste",P3554&lt;&gt;"Resultado trading"),"⚠ El monto debe ser positivo","✓")))))))))))))))</f>
        <v/>
      </c>
      <c r="P3554" s="52">
        <f>IF(OR(B3554="",G3554=""),"",IF(C3554="","Gasto",C3554))</f>
        <v/>
      </c>
      <c r="Q3554" s="52">
        <f>IF(P3554="","",IF(J3554&lt;&gt;"",J3554,CuentaPred&amp;""))</f>
        <v/>
      </c>
      <c r="R3554" s="52">
        <f>IF(P3554="","",IF(ISNUMBER(I3554),I3554,TasaUSD))</f>
        <v/>
      </c>
      <c r="S3554" s="53">
        <f>IF(P3554="","",IF(H3554="USD",G3554*R3554,G3554))</f>
        <v/>
      </c>
      <c r="T3554" s="53">
        <f>IF(P3554="","",IF(H3554="USD",G3554,IF(R3554&gt;0,G3554/R3554,0)))</f>
        <v/>
      </c>
      <c r="U3554" s="53">
        <f>IF(P3554="","",IF(P3554="Gasto",S3554,IF(P3554="Reembolso",-S3554,0)))</f>
        <v/>
      </c>
      <c r="V3554" s="53">
        <f>IF(P3554="","",IF(P3554="Ingreso",S3554,0))</f>
        <v/>
      </c>
      <c r="W3554" s="53">
        <f>IF(P3554="","",IF(P3554="Resultado trading",S3554,0))</f>
        <v/>
      </c>
      <c r="X3554" s="52">
        <f>IF(OR(P3554="Gasto",P3554="Reembolso"),IF(M3554&lt;&gt;"",M3554,IFERROR(INDEX(catClasif,MATCH(D3554&amp;"|"&amp;E3554,catClave,0))&amp;"","Variable")),"")</f>
        <v/>
      </c>
      <c r="Y3554" s="52">
        <f>IF(P3554="","",IFERROR(INDEX(catGrupo,MATCH(D3554&amp;"|"&amp;E3554,catClave,0))&amp;"",""))</f>
        <v/>
      </c>
      <c r="Z3554" s="52">
        <f>IF(P3554="","",WEEKDAY(B3554,2))</f>
        <v/>
      </c>
      <c r="AA3554" s="52">
        <f>IF(P3554="","",IF(AND(P3554="Gasto",X3554="Variable",D3554&lt;&gt;catTrading,S3554&gt;0,S3554&lt;=Umbral),1,0))</f>
        <v/>
      </c>
      <c r="AB3554" s="52">
        <f>IF(OR(P3554="",Q3554=""),"",IFERROR(IF(INDEX(ctaVinc,MATCH(Q3554,ctaNombre,0))&amp;""&lt;&gt;"",INDEX(ctaVinc,MATCH(Q3554,ctaNombre,0))&amp;"",Q3554),Q3554))</f>
        <v/>
      </c>
      <c r="AC3554" s="52">
        <f>IF(OR(K3554="",AND(P3554&lt;&gt;"Transferencia",P3554&lt;&gt;"Pago tarjeta")),"",IFERROR(IF(INDEX(ctaVinc,MATCH(K3554,ctaNombre,0))&amp;""&lt;&gt;"",INDEX(ctaVinc,MATCH(K3554,ctaNombre,0))&amp;"",K3554),K3554))</f>
        <v/>
      </c>
      <c r="AD3554" s="52">
        <f>IF(AB3554="","",IFERROR(INDEX(ctaTipo,MATCH(AB3554,ctaNombre,0))&amp;"",""))</f>
        <v/>
      </c>
      <c r="AE3554" s="52">
        <f>IF(AC3554="","",IFERROR(INDEX(ctaTipo,MATCH(AC3554,ctaNombre,0))&amp;"",""))</f>
        <v/>
      </c>
      <c r="AF3554" s="53">
        <f>IF(OR(P3554="",AB3554=""),"",IF(OR(P3554="Gasto",P3554="Transferencia",P3554="Pago tarjeta"),-1,1)*IF(IFERROR(INDEX(ctaMoneda,MATCH(AB3554,ctaNombre,0))&amp;"","DOP")="USD",T3554,S3554))</f>
        <v/>
      </c>
      <c r="AG3554" s="53">
        <f>IF(AC3554="","",IF(IFERROR(INDEX(ctaMoneda,MATCH(AC3554,ctaNombre,0))&amp;"","DOP")="USD",T3554,S3554))</f>
        <v/>
      </c>
      <c r="AH3554" s="53">
        <f>IF(P3554="","",IF(AND(AD3554&lt;&gt;"",COUNTIFS(tcTipo,AD3554,tcLiq,"Sí")&gt;0),IF(OR(P3554="Gasto",P3554="Transferencia",P3554="Pago tarjeta"),-1,1)*S3554,0)+IF(AND(AE3554&lt;&gt;"",COUNTIFS(tcTipo,AE3554,tcLiq,"Sí")&gt;0),S3554,0))</f>
        <v/>
      </c>
      <c r="AI3554" s="52">
        <f>IF(OR(L3554="",P3554=""),"",IF(COUNTIFS(L$6:L3554,L3554,P$6:P3554,"?*")=1,MAX(AI$5:AI3553)+1,""))</f>
        <v/>
      </c>
    </row>
    <row r="3555">
      <c r="B3555" s="47" t="n"/>
      <c r="C3555" s="48" t="n"/>
      <c r="D3555" s="48" t="n"/>
      <c r="E3555" s="48" t="n"/>
      <c r="F3555" s="48" t="n"/>
      <c r="G3555" s="49" t="n"/>
      <c r="H3555" s="48" t="n"/>
      <c r="I3555" s="50" t="n"/>
      <c r="J3555" s="48" t="n"/>
      <c r="K3555" s="48" t="n"/>
      <c r="L3555" s="48" t="n"/>
      <c r="M3555" s="48" t="n"/>
      <c r="N3555" s="48" t="n"/>
      <c r="O3555" s="51">
        <f>IF(AND(B3555="",G3555="",C3555="",D3555="",J3555=""),"",IF(B3555="","⚠ Falta fecha",IF(G3555="","⚠ Falta monto",IF(Q3555="","⚠ Falta cuenta",IF(ISNA(MATCH(Q3555,ctaNombre,0)),"⚠ Cuenta no registrada",IF(AND(OR(P3555="Gasto",P3555="Reembolso"),D3555=""),"⚠ Falta categoría",IF(AND(D3555&lt;&gt;"",E3555&lt;&gt;"",ISNA(MATCH(D3555&amp;"|"&amp;E3555,catClave,0))),"⚠ Subcategoría no corresponde",IF(AND(OR(P3555="Transferencia",P3555="Pago tarjeta"),K3555=""),"⚠ Falta cuenta destino",IF(AND(K3555&lt;&gt;"",P3555&lt;&gt;"Transferencia",P3555&lt;&gt;"Pago tarjeta"),"⚠ Destino solo aplica a transferencias",IF(AND(K3555&lt;&gt;"",K3555=Q3555),"⚠ Origen igual a destino",IF(AND(K3555&lt;&gt;"",ISNA(MATCH(K3555,ctaNombre,0))),"⚠ Destino no registrado",IF(AND(P3555="Pago tarjeta",AE3555&lt;&gt;"Tarjeta de crédito"),"⚠ El destino debe ser tarjeta de crédito",IF(AND(P3555="Gasto",E3555="Depósitos y retiros"),"⚠ Usa tipo Transferencia",IF(AND(P3555="Resultado trading",AD3555&lt;&gt;"Cuenta de trading"),"⚠ Usa una cuenta de trading",IF(AND(G3555&lt;=0,P3555&lt;&gt;"Ajuste",P3555&lt;&gt;"Resultado trading"),"⚠ El monto debe ser positivo","✓")))))))))))))))</f>
        <v/>
      </c>
      <c r="P3555" s="52">
        <f>IF(OR(B3555="",G3555=""),"",IF(C3555="","Gasto",C3555))</f>
        <v/>
      </c>
      <c r="Q3555" s="52">
        <f>IF(P3555="","",IF(J3555&lt;&gt;"",J3555,CuentaPred&amp;""))</f>
        <v/>
      </c>
      <c r="R3555" s="52">
        <f>IF(P3555="","",IF(ISNUMBER(I3555),I3555,TasaUSD))</f>
        <v/>
      </c>
      <c r="S3555" s="53">
        <f>IF(P3555="","",IF(H3555="USD",G3555*R3555,G3555))</f>
        <v/>
      </c>
      <c r="T3555" s="53">
        <f>IF(P3555="","",IF(H3555="USD",G3555,IF(R3555&gt;0,G3555/R3555,0)))</f>
        <v/>
      </c>
      <c r="U3555" s="53">
        <f>IF(P3555="","",IF(P3555="Gasto",S3555,IF(P3555="Reembolso",-S3555,0)))</f>
        <v/>
      </c>
      <c r="V3555" s="53">
        <f>IF(P3555="","",IF(P3555="Ingreso",S3555,0))</f>
        <v/>
      </c>
      <c r="W3555" s="53">
        <f>IF(P3555="","",IF(P3555="Resultado trading",S3555,0))</f>
        <v/>
      </c>
      <c r="X3555" s="52">
        <f>IF(OR(P3555="Gasto",P3555="Reembolso"),IF(M3555&lt;&gt;"",M3555,IFERROR(INDEX(catClasif,MATCH(D3555&amp;"|"&amp;E3555,catClave,0))&amp;"","Variable")),"")</f>
        <v/>
      </c>
      <c r="Y3555" s="52">
        <f>IF(P3555="","",IFERROR(INDEX(catGrupo,MATCH(D3555&amp;"|"&amp;E3555,catClave,0))&amp;"",""))</f>
        <v/>
      </c>
      <c r="Z3555" s="52">
        <f>IF(P3555="","",WEEKDAY(B3555,2))</f>
        <v/>
      </c>
      <c r="AA3555" s="52">
        <f>IF(P3555="","",IF(AND(P3555="Gasto",X3555="Variable",D3555&lt;&gt;catTrading,S3555&gt;0,S3555&lt;=Umbral),1,0))</f>
        <v/>
      </c>
      <c r="AB3555" s="52">
        <f>IF(OR(P3555="",Q3555=""),"",IFERROR(IF(INDEX(ctaVinc,MATCH(Q3555,ctaNombre,0))&amp;""&lt;&gt;"",INDEX(ctaVinc,MATCH(Q3555,ctaNombre,0))&amp;"",Q3555),Q3555))</f>
        <v/>
      </c>
      <c r="AC3555" s="52">
        <f>IF(OR(K3555="",AND(P3555&lt;&gt;"Transferencia",P3555&lt;&gt;"Pago tarjeta")),"",IFERROR(IF(INDEX(ctaVinc,MATCH(K3555,ctaNombre,0))&amp;""&lt;&gt;"",INDEX(ctaVinc,MATCH(K3555,ctaNombre,0))&amp;"",K3555),K3555))</f>
        <v/>
      </c>
      <c r="AD3555" s="52">
        <f>IF(AB3555="","",IFERROR(INDEX(ctaTipo,MATCH(AB3555,ctaNombre,0))&amp;"",""))</f>
        <v/>
      </c>
      <c r="AE3555" s="52">
        <f>IF(AC3555="","",IFERROR(INDEX(ctaTipo,MATCH(AC3555,ctaNombre,0))&amp;"",""))</f>
        <v/>
      </c>
      <c r="AF3555" s="53">
        <f>IF(OR(P3555="",AB3555=""),"",IF(OR(P3555="Gasto",P3555="Transferencia",P3555="Pago tarjeta"),-1,1)*IF(IFERROR(INDEX(ctaMoneda,MATCH(AB3555,ctaNombre,0))&amp;"","DOP")="USD",T3555,S3555))</f>
        <v/>
      </c>
      <c r="AG3555" s="53">
        <f>IF(AC3555="","",IF(IFERROR(INDEX(ctaMoneda,MATCH(AC3555,ctaNombre,0))&amp;"","DOP")="USD",T3555,S3555))</f>
        <v/>
      </c>
      <c r="AH3555" s="53">
        <f>IF(P3555="","",IF(AND(AD3555&lt;&gt;"",COUNTIFS(tcTipo,AD3555,tcLiq,"Sí")&gt;0),IF(OR(P3555="Gasto",P3555="Transferencia",P3555="Pago tarjeta"),-1,1)*S3555,0)+IF(AND(AE3555&lt;&gt;"",COUNTIFS(tcTipo,AE3555,tcLiq,"Sí")&gt;0),S3555,0))</f>
        <v/>
      </c>
      <c r="AI3555" s="52">
        <f>IF(OR(L3555="",P3555=""),"",IF(COUNTIFS(L$6:L3555,L3555,P$6:P3555,"?*")=1,MAX(AI$5:AI3554)+1,""))</f>
        <v/>
      </c>
    </row>
    <row r="3556">
      <c r="B3556" s="47" t="n"/>
      <c r="C3556" s="48" t="n"/>
      <c r="D3556" s="48" t="n"/>
      <c r="E3556" s="48" t="n"/>
      <c r="F3556" s="48" t="n"/>
      <c r="G3556" s="49" t="n"/>
      <c r="H3556" s="48" t="n"/>
      <c r="I3556" s="50" t="n"/>
      <c r="J3556" s="48" t="n"/>
      <c r="K3556" s="48" t="n"/>
      <c r="L3556" s="48" t="n"/>
      <c r="M3556" s="48" t="n"/>
      <c r="N3556" s="48" t="n"/>
      <c r="O3556" s="51">
        <f>IF(AND(B3556="",G3556="",C3556="",D3556="",J3556=""),"",IF(B3556="","⚠ Falta fecha",IF(G3556="","⚠ Falta monto",IF(Q3556="","⚠ Falta cuenta",IF(ISNA(MATCH(Q3556,ctaNombre,0)),"⚠ Cuenta no registrada",IF(AND(OR(P3556="Gasto",P3556="Reembolso"),D3556=""),"⚠ Falta categoría",IF(AND(D3556&lt;&gt;"",E3556&lt;&gt;"",ISNA(MATCH(D3556&amp;"|"&amp;E3556,catClave,0))),"⚠ Subcategoría no corresponde",IF(AND(OR(P3556="Transferencia",P3556="Pago tarjeta"),K3556=""),"⚠ Falta cuenta destino",IF(AND(K3556&lt;&gt;"",P3556&lt;&gt;"Transferencia",P3556&lt;&gt;"Pago tarjeta"),"⚠ Destino solo aplica a transferencias",IF(AND(K3556&lt;&gt;"",K3556=Q3556),"⚠ Origen igual a destino",IF(AND(K3556&lt;&gt;"",ISNA(MATCH(K3556,ctaNombre,0))),"⚠ Destino no registrado",IF(AND(P3556="Pago tarjeta",AE3556&lt;&gt;"Tarjeta de crédito"),"⚠ El destino debe ser tarjeta de crédito",IF(AND(P3556="Gasto",E3556="Depósitos y retiros"),"⚠ Usa tipo Transferencia",IF(AND(P3556="Resultado trading",AD3556&lt;&gt;"Cuenta de trading"),"⚠ Usa una cuenta de trading",IF(AND(G3556&lt;=0,P3556&lt;&gt;"Ajuste",P3556&lt;&gt;"Resultado trading"),"⚠ El monto debe ser positivo","✓")))))))))))))))</f>
        <v/>
      </c>
      <c r="P3556" s="52">
        <f>IF(OR(B3556="",G3556=""),"",IF(C3556="","Gasto",C3556))</f>
        <v/>
      </c>
      <c r="Q3556" s="52">
        <f>IF(P3556="","",IF(J3556&lt;&gt;"",J3556,CuentaPred&amp;""))</f>
        <v/>
      </c>
      <c r="R3556" s="52">
        <f>IF(P3556="","",IF(ISNUMBER(I3556),I3556,TasaUSD))</f>
        <v/>
      </c>
      <c r="S3556" s="53">
        <f>IF(P3556="","",IF(H3556="USD",G3556*R3556,G3556))</f>
        <v/>
      </c>
      <c r="T3556" s="53">
        <f>IF(P3556="","",IF(H3556="USD",G3556,IF(R3556&gt;0,G3556/R3556,0)))</f>
        <v/>
      </c>
      <c r="U3556" s="53">
        <f>IF(P3556="","",IF(P3556="Gasto",S3556,IF(P3556="Reembolso",-S3556,0)))</f>
        <v/>
      </c>
      <c r="V3556" s="53">
        <f>IF(P3556="","",IF(P3556="Ingreso",S3556,0))</f>
        <v/>
      </c>
      <c r="W3556" s="53">
        <f>IF(P3556="","",IF(P3556="Resultado trading",S3556,0))</f>
        <v/>
      </c>
      <c r="X3556" s="52">
        <f>IF(OR(P3556="Gasto",P3556="Reembolso"),IF(M3556&lt;&gt;"",M3556,IFERROR(INDEX(catClasif,MATCH(D3556&amp;"|"&amp;E3556,catClave,0))&amp;"","Variable")),"")</f>
        <v/>
      </c>
      <c r="Y3556" s="52">
        <f>IF(P3556="","",IFERROR(INDEX(catGrupo,MATCH(D3556&amp;"|"&amp;E3556,catClave,0))&amp;"",""))</f>
        <v/>
      </c>
      <c r="Z3556" s="52">
        <f>IF(P3556="","",WEEKDAY(B3556,2))</f>
        <v/>
      </c>
      <c r="AA3556" s="52">
        <f>IF(P3556="","",IF(AND(P3556="Gasto",X3556="Variable",D3556&lt;&gt;catTrading,S3556&gt;0,S3556&lt;=Umbral),1,0))</f>
        <v/>
      </c>
      <c r="AB3556" s="52">
        <f>IF(OR(P3556="",Q3556=""),"",IFERROR(IF(INDEX(ctaVinc,MATCH(Q3556,ctaNombre,0))&amp;""&lt;&gt;"",INDEX(ctaVinc,MATCH(Q3556,ctaNombre,0))&amp;"",Q3556),Q3556))</f>
        <v/>
      </c>
      <c r="AC3556" s="52">
        <f>IF(OR(K3556="",AND(P3556&lt;&gt;"Transferencia",P3556&lt;&gt;"Pago tarjeta")),"",IFERROR(IF(INDEX(ctaVinc,MATCH(K3556,ctaNombre,0))&amp;""&lt;&gt;"",INDEX(ctaVinc,MATCH(K3556,ctaNombre,0))&amp;"",K3556),K3556))</f>
        <v/>
      </c>
      <c r="AD3556" s="52">
        <f>IF(AB3556="","",IFERROR(INDEX(ctaTipo,MATCH(AB3556,ctaNombre,0))&amp;"",""))</f>
        <v/>
      </c>
      <c r="AE3556" s="52">
        <f>IF(AC3556="","",IFERROR(INDEX(ctaTipo,MATCH(AC3556,ctaNombre,0))&amp;"",""))</f>
        <v/>
      </c>
      <c r="AF3556" s="53">
        <f>IF(OR(P3556="",AB3556=""),"",IF(OR(P3556="Gasto",P3556="Transferencia",P3556="Pago tarjeta"),-1,1)*IF(IFERROR(INDEX(ctaMoneda,MATCH(AB3556,ctaNombre,0))&amp;"","DOP")="USD",T3556,S3556))</f>
        <v/>
      </c>
      <c r="AG3556" s="53">
        <f>IF(AC3556="","",IF(IFERROR(INDEX(ctaMoneda,MATCH(AC3556,ctaNombre,0))&amp;"","DOP")="USD",T3556,S3556))</f>
        <v/>
      </c>
      <c r="AH3556" s="53">
        <f>IF(P3556="","",IF(AND(AD3556&lt;&gt;"",COUNTIFS(tcTipo,AD3556,tcLiq,"Sí")&gt;0),IF(OR(P3556="Gasto",P3556="Transferencia",P3556="Pago tarjeta"),-1,1)*S3556,0)+IF(AND(AE3556&lt;&gt;"",COUNTIFS(tcTipo,AE3556,tcLiq,"Sí")&gt;0),S3556,0))</f>
        <v/>
      </c>
      <c r="AI3556" s="52">
        <f>IF(OR(L3556="",P3556=""),"",IF(COUNTIFS(L$6:L3556,L3556,P$6:P3556,"?*")=1,MAX(AI$5:AI3555)+1,""))</f>
        <v/>
      </c>
    </row>
    <row r="3557">
      <c r="B3557" s="47" t="n"/>
      <c r="C3557" s="48" t="n"/>
      <c r="D3557" s="48" t="n"/>
      <c r="E3557" s="48" t="n"/>
      <c r="F3557" s="48" t="n"/>
      <c r="G3557" s="49" t="n"/>
      <c r="H3557" s="48" t="n"/>
      <c r="I3557" s="50" t="n"/>
      <c r="J3557" s="48" t="n"/>
      <c r="K3557" s="48" t="n"/>
      <c r="L3557" s="48" t="n"/>
      <c r="M3557" s="48" t="n"/>
      <c r="N3557" s="48" t="n"/>
      <c r="O3557" s="51">
        <f>IF(AND(B3557="",G3557="",C3557="",D3557="",J3557=""),"",IF(B3557="","⚠ Falta fecha",IF(G3557="","⚠ Falta monto",IF(Q3557="","⚠ Falta cuenta",IF(ISNA(MATCH(Q3557,ctaNombre,0)),"⚠ Cuenta no registrada",IF(AND(OR(P3557="Gasto",P3557="Reembolso"),D3557=""),"⚠ Falta categoría",IF(AND(D3557&lt;&gt;"",E3557&lt;&gt;"",ISNA(MATCH(D3557&amp;"|"&amp;E3557,catClave,0))),"⚠ Subcategoría no corresponde",IF(AND(OR(P3557="Transferencia",P3557="Pago tarjeta"),K3557=""),"⚠ Falta cuenta destino",IF(AND(K3557&lt;&gt;"",P3557&lt;&gt;"Transferencia",P3557&lt;&gt;"Pago tarjeta"),"⚠ Destino solo aplica a transferencias",IF(AND(K3557&lt;&gt;"",K3557=Q3557),"⚠ Origen igual a destino",IF(AND(K3557&lt;&gt;"",ISNA(MATCH(K3557,ctaNombre,0))),"⚠ Destino no registrado",IF(AND(P3557="Pago tarjeta",AE3557&lt;&gt;"Tarjeta de crédito"),"⚠ El destino debe ser tarjeta de crédito",IF(AND(P3557="Gasto",E3557="Depósitos y retiros"),"⚠ Usa tipo Transferencia",IF(AND(P3557="Resultado trading",AD3557&lt;&gt;"Cuenta de trading"),"⚠ Usa una cuenta de trading",IF(AND(G3557&lt;=0,P3557&lt;&gt;"Ajuste",P3557&lt;&gt;"Resultado trading"),"⚠ El monto debe ser positivo","✓")))))))))))))))</f>
        <v/>
      </c>
      <c r="P3557" s="52">
        <f>IF(OR(B3557="",G3557=""),"",IF(C3557="","Gasto",C3557))</f>
        <v/>
      </c>
      <c r="Q3557" s="52">
        <f>IF(P3557="","",IF(J3557&lt;&gt;"",J3557,CuentaPred&amp;""))</f>
        <v/>
      </c>
      <c r="R3557" s="52">
        <f>IF(P3557="","",IF(ISNUMBER(I3557),I3557,TasaUSD))</f>
        <v/>
      </c>
      <c r="S3557" s="53">
        <f>IF(P3557="","",IF(H3557="USD",G3557*R3557,G3557))</f>
        <v/>
      </c>
      <c r="T3557" s="53">
        <f>IF(P3557="","",IF(H3557="USD",G3557,IF(R3557&gt;0,G3557/R3557,0)))</f>
        <v/>
      </c>
      <c r="U3557" s="53">
        <f>IF(P3557="","",IF(P3557="Gasto",S3557,IF(P3557="Reembolso",-S3557,0)))</f>
        <v/>
      </c>
      <c r="V3557" s="53">
        <f>IF(P3557="","",IF(P3557="Ingreso",S3557,0))</f>
        <v/>
      </c>
      <c r="W3557" s="53">
        <f>IF(P3557="","",IF(P3557="Resultado trading",S3557,0))</f>
        <v/>
      </c>
      <c r="X3557" s="52">
        <f>IF(OR(P3557="Gasto",P3557="Reembolso"),IF(M3557&lt;&gt;"",M3557,IFERROR(INDEX(catClasif,MATCH(D3557&amp;"|"&amp;E3557,catClave,0))&amp;"","Variable")),"")</f>
        <v/>
      </c>
      <c r="Y3557" s="52">
        <f>IF(P3557="","",IFERROR(INDEX(catGrupo,MATCH(D3557&amp;"|"&amp;E3557,catClave,0))&amp;"",""))</f>
        <v/>
      </c>
      <c r="Z3557" s="52">
        <f>IF(P3557="","",WEEKDAY(B3557,2))</f>
        <v/>
      </c>
      <c r="AA3557" s="52">
        <f>IF(P3557="","",IF(AND(P3557="Gasto",X3557="Variable",D3557&lt;&gt;catTrading,S3557&gt;0,S3557&lt;=Umbral),1,0))</f>
        <v/>
      </c>
      <c r="AB3557" s="52">
        <f>IF(OR(P3557="",Q3557=""),"",IFERROR(IF(INDEX(ctaVinc,MATCH(Q3557,ctaNombre,0))&amp;""&lt;&gt;"",INDEX(ctaVinc,MATCH(Q3557,ctaNombre,0))&amp;"",Q3557),Q3557))</f>
        <v/>
      </c>
      <c r="AC3557" s="52">
        <f>IF(OR(K3557="",AND(P3557&lt;&gt;"Transferencia",P3557&lt;&gt;"Pago tarjeta")),"",IFERROR(IF(INDEX(ctaVinc,MATCH(K3557,ctaNombre,0))&amp;""&lt;&gt;"",INDEX(ctaVinc,MATCH(K3557,ctaNombre,0))&amp;"",K3557),K3557))</f>
        <v/>
      </c>
      <c r="AD3557" s="52">
        <f>IF(AB3557="","",IFERROR(INDEX(ctaTipo,MATCH(AB3557,ctaNombre,0))&amp;"",""))</f>
        <v/>
      </c>
      <c r="AE3557" s="52">
        <f>IF(AC3557="","",IFERROR(INDEX(ctaTipo,MATCH(AC3557,ctaNombre,0))&amp;"",""))</f>
        <v/>
      </c>
      <c r="AF3557" s="53">
        <f>IF(OR(P3557="",AB3557=""),"",IF(OR(P3557="Gasto",P3557="Transferencia",P3557="Pago tarjeta"),-1,1)*IF(IFERROR(INDEX(ctaMoneda,MATCH(AB3557,ctaNombre,0))&amp;"","DOP")="USD",T3557,S3557))</f>
        <v/>
      </c>
      <c r="AG3557" s="53">
        <f>IF(AC3557="","",IF(IFERROR(INDEX(ctaMoneda,MATCH(AC3557,ctaNombre,0))&amp;"","DOP")="USD",T3557,S3557))</f>
        <v/>
      </c>
      <c r="AH3557" s="53">
        <f>IF(P3557="","",IF(AND(AD3557&lt;&gt;"",COUNTIFS(tcTipo,AD3557,tcLiq,"Sí")&gt;0),IF(OR(P3557="Gasto",P3557="Transferencia",P3557="Pago tarjeta"),-1,1)*S3557,0)+IF(AND(AE3557&lt;&gt;"",COUNTIFS(tcTipo,AE3557,tcLiq,"Sí")&gt;0),S3557,0))</f>
        <v/>
      </c>
      <c r="AI3557" s="52">
        <f>IF(OR(L3557="",P3557=""),"",IF(COUNTIFS(L$6:L3557,L3557,P$6:P3557,"?*")=1,MAX(AI$5:AI3556)+1,""))</f>
        <v/>
      </c>
    </row>
    <row r="3558">
      <c r="B3558" s="47" t="n"/>
      <c r="C3558" s="48" t="n"/>
      <c r="D3558" s="48" t="n"/>
      <c r="E3558" s="48" t="n"/>
      <c r="F3558" s="48" t="n"/>
      <c r="G3558" s="49" t="n"/>
      <c r="H3558" s="48" t="n"/>
      <c r="I3558" s="50" t="n"/>
      <c r="J3558" s="48" t="n"/>
      <c r="K3558" s="48" t="n"/>
      <c r="L3558" s="48" t="n"/>
      <c r="M3558" s="48" t="n"/>
      <c r="N3558" s="48" t="n"/>
      <c r="O3558" s="51">
        <f>IF(AND(B3558="",G3558="",C3558="",D3558="",J3558=""),"",IF(B3558="","⚠ Falta fecha",IF(G3558="","⚠ Falta monto",IF(Q3558="","⚠ Falta cuenta",IF(ISNA(MATCH(Q3558,ctaNombre,0)),"⚠ Cuenta no registrada",IF(AND(OR(P3558="Gasto",P3558="Reembolso"),D3558=""),"⚠ Falta categoría",IF(AND(D3558&lt;&gt;"",E3558&lt;&gt;"",ISNA(MATCH(D3558&amp;"|"&amp;E3558,catClave,0))),"⚠ Subcategoría no corresponde",IF(AND(OR(P3558="Transferencia",P3558="Pago tarjeta"),K3558=""),"⚠ Falta cuenta destino",IF(AND(K3558&lt;&gt;"",P3558&lt;&gt;"Transferencia",P3558&lt;&gt;"Pago tarjeta"),"⚠ Destino solo aplica a transferencias",IF(AND(K3558&lt;&gt;"",K3558=Q3558),"⚠ Origen igual a destino",IF(AND(K3558&lt;&gt;"",ISNA(MATCH(K3558,ctaNombre,0))),"⚠ Destino no registrado",IF(AND(P3558="Pago tarjeta",AE3558&lt;&gt;"Tarjeta de crédito"),"⚠ El destino debe ser tarjeta de crédito",IF(AND(P3558="Gasto",E3558="Depósitos y retiros"),"⚠ Usa tipo Transferencia",IF(AND(P3558="Resultado trading",AD3558&lt;&gt;"Cuenta de trading"),"⚠ Usa una cuenta de trading",IF(AND(G3558&lt;=0,P3558&lt;&gt;"Ajuste",P3558&lt;&gt;"Resultado trading"),"⚠ El monto debe ser positivo","✓")))))))))))))))</f>
        <v/>
      </c>
      <c r="P3558" s="52">
        <f>IF(OR(B3558="",G3558=""),"",IF(C3558="","Gasto",C3558))</f>
        <v/>
      </c>
      <c r="Q3558" s="52">
        <f>IF(P3558="","",IF(J3558&lt;&gt;"",J3558,CuentaPred&amp;""))</f>
        <v/>
      </c>
      <c r="R3558" s="52">
        <f>IF(P3558="","",IF(ISNUMBER(I3558),I3558,TasaUSD))</f>
        <v/>
      </c>
      <c r="S3558" s="53">
        <f>IF(P3558="","",IF(H3558="USD",G3558*R3558,G3558))</f>
        <v/>
      </c>
      <c r="T3558" s="53">
        <f>IF(P3558="","",IF(H3558="USD",G3558,IF(R3558&gt;0,G3558/R3558,0)))</f>
        <v/>
      </c>
      <c r="U3558" s="53">
        <f>IF(P3558="","",IF(P3558="Gasto",S3558,IF(P3558="Reembolso",-S3558,0)))</f>
        <v/>
      </c>
      <c r="V3558" s="53">
        <f>IF(P3558="","",IF(P3558="Ingreso",S3558,0))</f>
        <v/>
      </c>
      <c r="W3558" s="53">
        <f>IF(P3558="","",IF(P3558="Resultado trading",S3558,0))</f>
        <v/>
      </c>
      <c r="X3558" s="52">
        <f>IF(OR(P3558="Gasto",P3558="Reembolso"),IF(M3558&lt;&gt;"",M3558,IFERROR(INDEX(catClasif,MATCH(D3558&amp;"|"&amp;E3558,catClave,0))&amp;"","Variable")),"")</f>
        <v/>
      </c>
      <c r="Y3558" s="52">
        <f>IF(P3558="","",IFERROR(INDEX(catGrupo,MATCH(D3558&amp;"|"&amp;E3558,catClave,0))&amp;"",""))</f>
        <v/>
      </c>
      <c r="Z3558" s="52">
        <f>IF(P3558="","",WEEKDAY(B3558,2))</f>
        <v/>
      </c>
      <c r="AA3558" s="52">
        <f>IF(P3558="","",IF(AND(P3558="Gasto",X3558="Variable",D3558&lt;&gt;catTrading,S3558&gt;0,S3558&lt;=Umbral),1,0))</f>
        <v/>
      </c>
      <c r="AB3558" s="52">
        <f>IF(OR(P3558="",Q3558=""),"",IFERROR(IF(INDEX(ctaVinc,MATCH(Q3558,ctaNombre,0))&amp;""&lt;&gt;"",INDEX(ctaVinc,MATCH(Q3558,ctaNombre,0))&amp;"",Q3558),Q3558))</f>
        <v/>
      </c>
      <c r="AC3558" s="52">
        <f>IF(OR(K3558="",AND(P3558&lt;&gt;"Transferencia",P3558&lt;&gt;"Pago tarjeta")),"",IFERROR(IF(INDEX(ctaVinc,MATCH(K3558,ctaNombre,0))&amp;""&lt;&gt;"",INDEX(ctaVinc,MATCH(K3558,ctaNombre,0))&amp;"",K3558),K3558))</f>
        <v/>
      </c>
      <c r="AD3558" s="52">
        <f>IF(AB3558="","",IFERROR(INDEX(ctaTipo,MATCH(AB3558,ctaNombre,0))&amp;"",""))</f>
        <v/>
      </c>
      <c r="AE3558" s="52">
        <f>IF(AC3558="","",IFERROR(INDEX(ctaTipo,MATCH(AC3558,ctaNombre,0))&amp;"",""))</f>
        <v/>
      </c>
      <c r="AF3558" s="53">
        <f>IF(OR(P3558="",AB3558=""),"",IF(OR(P3558="Gasto",P3558="Transferencia",P3558="Pago tarjeta"),-1,1)*IF(IFERROR(INDEX(ctaMoneda,MATCH(AB3558,ctaNombre,0))&amp;"","DOP")="USD",T3558,S3558))</f>
        <v/>
      </c>
      <c r="AG3558" s="53">
        <f>IF(AC3558="","",IF(IFERROR(INDEX(ctaMoneda,MATCH(AC3558,ctaNombre,0))&amp;"","DOP")="USD",T3558,S3558))</f>
        <v/>
      </c>
      <c r="AH3558" s="53">
        <f>IF(P3558="","",IF(AND(AD3558&lt;&gt;"",COUNTIFS(tcTipo,AD3558,tcLiq,"Sí")&gt;0),IF(OR(P3558="Gasto",P3558="Transferencia",P3558="Pago tarjeta"),-1,1)*S3558,0)+IF(AND(AE3558&lt;&gt;"",COUNTIFS(tcTipo,AE3558,tcLiq,"Sí")&gt;0),S3558,0))</f>
        <v/>
      </c>
      <c r="AI3558" s="52">
        <f>IF(OR(L3558="",P3558=""),"",IF(COUNTIFS(L$6:L3558,L3558,P$6:P3558,"?*")=1,MAX(AI$5:AI3557)+1,""))</f>
        <v/>
      </c>
    </row>
    <row r="3559">
      <c r="B3559" s="47" t="n"/>
      <c r="C3559" s="48" t="n"/>
      <c r="D3559" s="48" t="n"/>
      <c r="E3559" s="48" t="n"/>
      <c r="F3559" s="48" t="n"/>
      <c r="G3559" s="49" t="n"/>
      <c r="H3559" s="48" t="n"/>
      <c r="I3559" s="50" t="n"/>
      <c r="J3559" s="48" t="n"/>
      <c r="K3559" s="48" t="n"/>
      <c r="L3559" s="48" t="n"/>
      <c r="M3559" s="48" t="n"/>
      <c r="N3559" s="48" t="n"/>
      <c r="O3559" s="51">
        <f>IF(AND(B3559="",G3559="",C3559="",D3559="",J3559=""),"",IF(B3559="","⚠ Falta fecha",IF(G3559="","⚠ Falta monto",IF(Q3559="","⚠ Falta cuenta",IF(ISNA(MATCH(Q3559,ctaNombre,0)),"⚠ Cuenta no registrada",IF(AND(OR(P3559="Gasto",P3559="Reembolso"),D3559=""),"⚠ Falta categoría",IF(AND(D3559&lt;&gt;"",E3559&lt;&gt;"",ISNA(MATCH(D3559&amp;"|"&amp;E3559,catClave,0))),"⚠ Subcategoría no corresponde",IF(AND(OR(P3559="Transferencia",P3559="Pago tarjeta"),K3559=""),"⚠ Falta cuenta destino",IF(AND(K3559&lt;&gt;"",P3559&lt;&gt;"Transferencia",P3559&lt;&gt;"Pago tarjeta"),"⚠ Destino solo aplica a transferencias",IF(AND(K3559&lt;&gt;"",K3559=Q3559),"⚠ Origen igual a destino",IF(AND(K3559&lt;&gt;"",ISNA(MATCH(K3559,ctaNombre,0))),"⚠ Destino no registrado",IF(AND(P3559="Pago tarjeta",AE3559&lt;&gt;"Tarjeta de crédito"),"⚠ El destino debe ser tarjeta de crédito",IF(AND(P3559="Gasto",E3559="Depósitos y retiros"),"⚠ Usa tipo Transferencia",IF(AND(P3559="Resultado trading",AD3559&lt;&gt;"Cuenta de trading"),"⚠ Usa una cuenta de trading",IF(AND(G3559&lt;=0,P3559&lt;&gt;"Ajuste",P3559&lt;&gt;"Resultado trading"),"⚠ El monto debe ser positivo","✓")))))))))))))))</f>
        <v/>
      </c>
      <c r="P3559" s="52">
        <f>IF(OR(B3559="",G3559=""),"",IF(C3559="","Gasto",C3559))</f>
        <v/>
      </c>
      <c r="Q3559" s="52">
        <f>IF(P3559="","",IF(J3559&lt;&gt;"",J3559,CuentaPred&amp;""))</f>
        <v/>
      </c>
      <c r="R3559" s="52">
        <f>IF(P3559="","",IF(ISNUMBER(I3559),I3559,TasaUSD))</f>
        <v/>
      </c>
      <c r="S3559" s="53">
        <f>IF(P3559="","",IF(H3559="USD",G3559*R3559,G3559))</f>
        <v/>
      </c>
      <c r="T3559" s="53">
        <f>IF(P3559="","",IF(H3559="USD",G3559,IF(R3559&gt;0,G3559/R3559,0)))</f>
        <v/>
      </c>
      <c r="U3559" s="53">
        <f>IF(P3559="","",IF(P3559="Gasto",S3559,IF(P3559="Reembolso",-S3559,0)))</f>
        <v/>
      </c>
      <c r="V3559" s="53">
        <f>IF(P3559="","",IF(P3559="Ingreso",S3559,0))</f>
        <v/>
      </c>
      <c r="W3559" s="53">
        <f>IF(P3559="","",IF(P3559="Resultado trading",S3559,0))</f>
        <v/>
      </c>
      <c r="X3559" s="52">
        <f>IF(OR(P3559="Gasto",P3559="Reembolso"),IF(M3559&lt;&gt;"",M3559,IFERROR(INDEX(catClasif,MATCH(D3559&amp;"|"&amp;E3559,catClave,0))&amp;"","Variable")),"")</f>
        <v/>
      </c>
      <c r="Y3559" s="52">
        <f>IF(P3559="","",IFERROR(INDEX(catGrupo,MATCH(D3559&amp;"|"&amp;E3559,catClave,0))&amp;"",""))</f>
        <v/>
      </c>
      <c r="Z3559" s="52">
        <f>IF(P3559="","",WEEKDAY(B3559,2))</f>
        <v/>
      </c>
      <c r="AA3559" s="52">
        <f>IF(P3559="","",IF(AND(P3559="Gasto",X3559="Variable",D3559&lt;&gt;catTrading,S3559&gt;0,S3559&lt;=Umbral),1,0))</f>
        <v/>
      </c>
      <c r="AB3559" s="52">
        <f>IF(OR(P3559="",Q3559=""),"",IFERROR(IF(INDEX(ctaVinc,MATCH(Q3559,ctaNombre,0))&amp;""&lt;&gt;"",INDEX(ctaVinc,MATCH(Q3559,ctaNombre,0))&amp;"",Q3559),Q3559))</f>
        <v/>
      </c>
      <c r="AC3559" s="52">
        <f>IF(OR(K3559="",AND(P3559&lt;&gt;"Transferencia",P3559&lt;&gt;"Pago tarjeta")),"",IFERROR(IF(INDEX(ctaVinc,MATCH(K3559,ctaNombre,0))&amp;""&lt;&gt;"",INDEX(ctaVinc,MATCH(K3559,ctaNombre,0))&amp;"",K3559),K3559))</f>
        <v/>
      </c>
      <c r="AD3559" s="52">
        <f>IF(AB3559="","",IFERROR(INDEX(ctaTipo,MATCH(AB3559,ctaNombre,0))&amp;"",""))</f>
        <v/>
      </c>
      <c r="AE3559" s="52">
        <f>IF(AC3559="","",IFERROR(INDEX(ctaTipo,MATCH(AC3559,ctaNombre,0))&amp;"",""))</f>
        <v/>
      </c>
      <c r="AF3559" s="53">
        <f>IF(OR(P3559="",AB3559=""),"",IF(OR(P3559="Gasto",P3559="Transferencia",P3559="Pago tarjeta"),-1,1)*IF(IFERROR(INDEX(ctaMoneda,MATCH(AB3559,ctaNombre,0))&amp;"","DOP")="USD",T3559,S3559))</f>
        <v/>
      </c>
      <c r="AG3559" s="53">
        <f>IF(AC3559="","",IF(IFERROR(INDEX(ctaMoneda,MATCH(AC3559,ctaNombre,0))&amp;"","DOP")="USD",T3559,S3559))</f>
        <v/>
      </c>
      <c r="AH3559" s="53">
        <f>IF(P3559="","",IF(AND(AD3559&lt;&gt;"",COUNTIFS(tcTipo,AD3559,tcLiq,"Sí")&gt;0),IF(OR(P3559="Gasto",P3559="Transferencia",P3559="Pago tarjeta"),-1,1)*S3559,0)+IF(AND(AE3559&lt;&gt;"",COUNTIFS(tcTipo,AE3559,tcLiq,"Sí")&gt;0),S3559,0))</f>
        <v/>
      </c>
      <c r="AI3559" s="52">
        <f>IF(OR(L3559="",P3559=""),"",IF(COUNTIFS(L$6:L3559,L3559,P$6:P3559,"?*")=1,MAX(AI$5:AI3558)+1,""))</f>
        <v/>
      </c>
    </row>
    <row r="3560">
      <c r="B3560" s="47" t="n"/>
      <c r="C3560" s="48" t="n"/>
      <c r="D3560" s="48" t="n"/>
      <c r="E3560" s="48" t="n"/>
      <c r="F3560" s="48" t="n"/>
      <c r="G3560" s="49" t="n"/>
      <c r="H3560" s="48" t="n"/>
      <c r="I3560" s="50" t="n"/>
      <c r="J3560" s="48" t="n"/>
      <c r="K3560" s="48" t="n"/>
      <c r="L3560" s="48" t="n"/>
      <c r="M3560" s="48" t="n"/>
      <c r="N3560" s="48" t="n"/>
      <c r="O3560" s="51">
        <f>IF(AND(B3560="",G3560="",C3560="",D3560="",J3560=""),"",IF(B3560="","⚠ Falta fecha",IF(G3560="","⚠ Falta monto",IF(Q3560="","⚠ Falta cuenta",IF(ISNA(MATCH(Q3560,ctaNombre,0)),"⚠ Cuenta no registrada",IF(AND(OR(P3560="Gasto",P3560="Reembolso"),D3560=""),"⚠ Falta categoría",IF(AND(D3560&lt;&gt;"",E3560&lt;&gt;"",ISNA(MATCH(D3560&amp;"|"&amp;E3560,catClave,0))),"⚠ Subcategoría no corresponde",IF(AND(OR(P3560="Transferencia",P3560="Pago tarjeta"),K3560=""),"⚠ Falta cuenta destino",IF(AND(K3560&lt;&gt;"",P3560&lt;&gt;"Transferencia",P3560&lt;&gt;"Pago tarjeta"),"⚠ Destino solo aplica a transferencias",IF(AND(K3560&lt;&gt;"",K3560=Q3560),"⚠ Origen igual a destino",IF(AND(K3560&lt;&gt;"",ISNA(MATCH(K3560,ctaNombre,0))),"⚠ Destino no registrado",IF(AND(P3560="Pago tarjeta",AE3560&lt;&gt;"Tarjeta de crédito"),"⚠ El destino debe ser tarjeta de crédito",IF(AND(P3560="Gasto",E3560="Depósitos y retiros"),"⚠ Usa tipo Transferencia",IF(AND(P3560="Resultado trading",AD3560&lt;&gt;"Cuenta de trading"),"⚠ Usa una cuenta de trading",IF(AND(G3560&lt;=0,P3560&lt;&gt;"Ajuste",P3560&lt;&gt;"Resultado trading"),"⚠ El monto debe ser positivo","✓")))))))))))))))</f>
        <v/>
      </c>
      <c r="P3560" s="52">
        <f>IF(OR(B3560="",G3560=""),"",IF(C3560="","Gasto",C3560))</f>
        <v/>
      </c>
      <c r="Q3560" s="52">
        <f>IF(P3560="","",IF(J3560&lt;&gt;"",J3560,CuentaPred&amp;""))</f>
        <v/>
      </c>
      <c r="R3560" s="52">
        <f>IF(P3560="","",IF(ISNUMBER(I3560),I3560,TasaUSD))</f>
        <v/>
      </c>
      <c r="S3560" s="53">
        <f>IF(P3560="","",IF(H3560="USD",G3560*R3560,G3560))</f>
        <v/>
      </c>
      <c r="T3560" s="53">
        <f>IF(P3560="","",IF(H3560="USD",G3560,IF(R3560&gt;0,G3560/R3560,0)))</f>
        <v/>
      </c>
      <c r="U3560" s="53">
        <f>IF(P3560="","",IF(P3560="Gasto",S3560,IF(P3560="Reembolso",-S3560,0)))</f>
        <v/>
      </c>
      <c r="V3560" s="53">
        <f>IF(P3560="","",IF(P3560="Ingreso",S3560,0))</f>
        <v/>
      </c>
      <c r="W3560" s="53">
        <f>IF(P3560="","",IF(P3560="Resultado trading",S3560,0))</f>
        <v/>
      </c>
      <c r="X3560" s="52">
        <f>IF(OR(P3560="Gasto",P3560="Reembolso"),IF(M3560&lt;&gt;"",M3560,IFERROR(INDEX(catClasif,MATCH(D3560&amp;"|"&amp;E3560,catClave,0))&amp;"","Variable")),"")</f>
        <v/>
      </c>
      <c r="Y3560" s="52">
        <f>IF(P3560="","",IFERROR(INDEX(catGrupo,MATCH(D3560&amp;"|"&amp;E3560,catClave,0))&amp;"",""))</f>
        <v/>
      </c>
      <c r="Z3560" s="52">
        <f>IF(P3560="","",WEEKDAY(B3560,2))</f>
        <v/>
      </c>
      <c r="AA3560" s="52">
        <f>IF(P3560="","",IF(AND(P3560="Gasto",X3560="Variable",D3560&lt;&gt;catTrading,S3560&gt;0,S3560&lt;=Umbral),1,0))</f>
        <v/>
      </c>
      <c r="AB3560" s="52">
        <f>IF(OR(P3560="",Q3560=""),"",IFERROR(IF(INDEX(ctaVinc,MATCH(Q3560,ctaNombre,0))&amp;""&lt;&gt;"",INDEX(ctaVinc,MATCH(Q3560,ctaNombre,0))&amp;"",Q3560),Q3560))</f>
        <v/>
      </c>
      <c r="AC3560" s="52">
        <f>IF(OR(K3560="",AND(P3560&lt;&gt;"Transferencia",P3560&lt;&gt;"Pago tarjeta")),"",IFERROR(IF(INDEX(ctaVinc,MATCH(K3560,ctaNombre,0))&amp;""&lt;&gt;"",INDEX(ctaVinc,MATCH(K3560,ctaNombre,0))&amp;"",K3560),K3560))</f>
        <v/>
      </c>
      <c r="AD3560" s="52">
        <f>IF(AB3560="","",IFERROR(INDEX(ctaTipo,MATCH(AB3560,ctaNombre,0))&amp;"",""))</f>
        <v/>
      </c>
      <c r="AE3560" s="52">
        <f>IF(AC3560="","",IFERROR(INDEX(ctaTipo,MATCH(AC3560,ctaNombre,0))&amp;"",""))</f>
        <v/>
      </c>
      <c r="AF3560" s="53">
        <f>IF(OR(P3560="",AB3560=""),"",IF(OR(P3560="Gasto",P3560="Transferencia",P3560="Pago tarjeta"),-1,1)*IF(IFERROR(INDEX(ctaMoneda,MATCH(AB3560,ctaNombre,0))&amp;"","DOP")="USD",T3560,S3560))</f>
        <v/>
      </c>
      <c r="AG3560" s="53">
        <f>IF(AC3560="","",IF(IFERROR(INDEX(ctaMoneda,MATCH(AC3560,ctaNombre,0))&amp;"","DOP")="USD",T3560,S3560))</f>
        <v/>
      </c>
      <c r="AH3560" s="53">
        <f>IF(P3560="","",IF(AND(AD3560&lt;&gt;"",COUNTIFS(tcTipo,AD3560,tcLiq,"Sí")&gt;0),IF(OR(P3560="Gasto",P3560="Transferencia",P3560="Pago tarjeta"),-1,1)*S3560,0)+IF(AND(AE3560&lt;&gt;"",COUNTIFS(tcTipo,AE3560,tcLiq,"Sí")&gt;0),S3560,0))</f>
        <v/>
      </c>
      <c r="AI3560" s="52">
        <f>IF(OR(L3560="",P3560=""),"",IF(COUNTIFS(L$6:L3560,L3560,P$6:P3560,"?*")=1,MAX(AI$5:AI3559)+1,""))</f>
        <v/>
      </c>
    </row>
    <row r="3561">
      <c r="B3561" s="47" t="n"/>
      <c r="C3561" s="48" t="n"/>
      <c r="D3561" s="48" t="n"/>
      <c r="E3561" s="48" t="n"/>
      <c r="F3561" s="48" t="n"/>
      <c r="G3561" s="49" t="n"/>
      <c r="H3561" s="48" t="n"/>
      <c r="I3561" s="50" t="n"/>
      <c r="J3561" s="48" t="n"/>
      <c r="K3561" s="48" t="n"/>
      <c r="L3561" s="48" t="n"/>
      <c r="M3561" s="48" t="n"/>
      <c r="N3561" s="48" t="n"/>
      <c r="O3561" s="51">
        <f>IF(AND(B3561="",G3561="",C3561="",D3561="",J3561=""),"",IF(B3561="","⚠ Falta fecha",IF(G3561="","⚠ Falta monto",IF(Q3561="","⚠ Falta cuenta",IF(ISNA(MATCH(Q3561,ctaNombre,0)),"⚠ Cuenta no registrada",IF(AND(OR(P3561="Gasto",P3561="Reembolso"),D3561=""),"⚠ Falta categoría",IF(AND(D3561&lt;&gt;"",E3561&lt;&gt;"",ISNA(MATCH(D3561&amp;"|"&amp;E3561,catClave,0))),"⚠ Subcategoría no corresponde",IF(AND(OR(P3561="Transferencia",P3561="Pago tarjeta"),K3561=""),"⚠ Falta cuenta destino",IF(AND(K3561&lt;&gt;"",P3561&lt;&gt;"Transferencia",P3561&lt;&gt;"Pago tarjeta"),"⚠ Destino solo aplica a transferencias",IF(AND(K3561&lt;&gt;"",K3561=Q3561),"⚠ Origen igual a destino",IF(AND(K3561&lt;&gt;"",ISNA(MATCH(K3561,ctaNombre,0))),"⚠ Destino no registrado",IF(AND(P3561="Pago tarjeta",AE3561&lt;&gt;"Tarjeta de crédito"),"⚠ El destino debe ser tarjeta de crédito",IF(AND(P3561="Gasto",E3561="Depósitos y retiros"),"⚠ Usa tipo Transferencia",IF(AND(P3561="Resultado trading",AD3561&lt;&gt;"Cuenta de trading"),"⚠ Usa una cuenta de trading",IF(AND(G3561&lt;=0,P3561&lt;&gt;"Ajuste",P3561&lt;&gt;"Resultado trading"),"⚠ El monto debe ser positivo","✓")))))))))))))))</f>
        <v/>
      </c>
      <c r="P3561" s="52">
        <f>IF(OR(B3561="",G3561=""),"",IF(C3561="","Gasto",C3561))</f>
        <v/>
      </c>
      <c r="Q3561" s="52">
        <f>IF(P3561="","",IF(J3561&lt;&gt;"",J3561,CuentaPred&amp;""))</f>
        <v/>
      </c>
      <c r="R3561" s="52">
        <f>IF(P3561="","",IF(ISNUMBER(I3561),I3561,TasaUSD))</f>
        <v/>
      </c>
      <c r="S3561" s="53">
        <f>IF(P3561="","",IF(H3561="USD",G3561*R3561,G3561))</f>
        <v/>
      </c>
      <c r="T3561" s="53">
        <f>IF(P3561="","",IF(H3561="USD",G3561,IF(R3561&gt;0,G3561/R3561,0)))</f>
        <v/>
      </c>
      <c r="U3561" s="53">
        <f>IF(P3561="","",IF(P3561="Gasto",S3561,IF(P3561="Reembolso",-S3561,0)))</f>
        <v/>
      </c>
      <c r="V3561" s="53">
        <f>IF(P3561="","",IF(P3561="Ingreso",S3561,0))</f>
        <v/>
      </c>
      <c r="W3561" s="53">
        <f>IF(P3561="","",IF(P3561="Resultado trading",S3561,0))</f>
        <v/>
      </c>
      <c r="X3561" s="52">
        <f>IF(OR(P3561="Gasto",P3561="Reembolso"),IF(M3561&lt;&gt;"",M3561,IFERROR(INDEX(catClasif,MATCH(D3561&amp;"|"&amp;E3561,catClave,0))&amp;"","Variable")),"")</f>
        <v/>
      </c>
      <c r="Y3561" s="52">
        <f>IF(P3561="","",IFERROR(INDEX(catGrupo,MATCH(D3561&amp;"|"&amp;E3561,catClave,0))&amp;"",""))</f>
        <v/>
      </c>
      <c r="Z3561" s="52">
        <f>IF(P3561="","",WEEKDAY(B3561,2))</f>
        <v/>
      </c>
      <c r="AA3561" s="52">
        <f>IF(P3561="","",IF(AND(P3561="Gasto",X3561="Variable",D3561&lt;&gt;catTrading,S3561&gt;0,S3561&lt;=Umbral),1,0))</f>
        <v/>
      </c>
      <c r="AB3561" s="52">
        <f>IF(OR(P3561="",Q3561=""),"",IFERROR(IF(INDEX(ctaVinc,MATCH(Q3561,ctaNombre,0))&amp;""&lt;&gt;"",INDEX(ctaVinc,MATCH(Q3561,ctaNombre,0))&amp;"",Q3561),Q3561))</f>
        <v/>
      </c>
      <c r="AC3561" s="52">
        <f>IF(OR(K3561="",AND(P3561&lt;&gt;"Transferencia",P3561&lt;&gt;"Pago tarjeta")),"",IFERROR(IF(INDEX(ctaVinc,MATCH(K3561,ctaNombre,0))&amp;""&lt;&gt;"",INDEX(ctaVinc,MATCH(K3561,ctaNombre,0))&amp;"",K3561),K3561))</f>
        <v/>
      </c>
      <c r="AD3561" s="52">
        <f>IF(AB3561="","",IFERROR(INDEX(ctaTipo,MATCH(AB3561,ctaNombre,0))&amp;"",""))</f>
        <v/>
      </c>
      <c r="AE3561" s="52">
        <f>IF(AC3561="","",IFERROR(INDEX(ctaTipo,MATCH(AC3561,ctaNombre,0))&amp;"",""))</f>
        <v/>
      </c>
      <c r="AF3561" s="53">
        <f>IF(OR(P3561="",AB3561=""),"",IF(OR(P3561="Gasto",P3561="Transferencia",P3561="Pago tarjeta"),-1,1)*IF(IFERROR(INDEX(ctaMoneda,MATCH(AB3561,ctaNombre,0))&amp;"","DOP")="USD",T3561,S3561))</f>
        <v/>
      </c>
      <c r="AG3561" s="53">
        <f>IF(AC3561="","",IF(IFERROR(INDEX(ctaMoneda,MATCH(AC3561,ctaNombre,0))&amp;"","DOP")="USD",T3561,S3561))</f>
        <v/>
      </c>
      <c r="AH3561" s="53">
        <f>IF(P3561="","",IF(AND(AD3561&lt;&gt;"",COUNTIFS(tcTipo,AD3561,tcLiq,"Sí")&gt;0),IF(OR(P3561="Gasto",P3561="Transferencia",P3561="Pago tarjeta"),-1,1)*S3561,0)+IF(AND(AE3561&lt;&gt;"",COUNTIFS(tcTipo,AE3561,tcLiq,"Sí")&gt;0),S3561,0))</f>
        <v/>
      </c>
      <c r="AI3561" s="52">
        <f>IF(OR(L3561="",P3561=""),"",IF(COUNTIFS(L$6:L3561,L3561,P$6:P3561,"?*")=1,MAX(AI$5:AI3560)+1,""))</f>
        <v/>
      </c>
    </row>
    <row r="3562">
      <c r="B3562" s="47" t="n"/>
      <c r="C3562" s="48" t="n"/>
      <c r="D3562" s="48" t="n"/>
      <c r="E3562" s="48" t="n"/>
      <c r="F3562" s="48" t="n"/>
      <c r="G3562" s="49" t="n"/>
      <c r="H3562" s="48" t="n"/>
      <c r="I3562" s="50" t="n"/>
      <c r="J3562" s="48" t="n"/>
      <c r="K3562" s="48" t="n"/>
      <c r="L3562" s="48" t="n"/>
      <c r="M3562" s="48" t="n"/>
      <c r="N3562" s="48" t="n"/>
      <c r="O3562" s="51">
        <f>IF(AND(B3562="",G3562="",C3562="",D3562="",J3562=""),"",IF(B3562="","⚠ Falta fecha",IF(G3562="","⚠ Falta monto",IF(Q3562="","⚠ Falta cuenta",IF(ISNA(MATCH(Q3562,ctaNombre,0)),"⚠ Cuenta no registrada",IF(AND(OR(P3562="Gasto",P3562="Reembolso"),D3562=""),"⚠ Falta categoría",IF(AND(D3562&lt;&gt;"",E3562&lt;&gt;"",ISNA(MATCH(D3562&amp;"|"&amp;E3562,catClave,0))),"⚠ Subcategoría no corresponde",IF(AND(OR(P3562="Transferencia",P3562="Pago tarjeta"),K3562=""),"⚠ Falta cuenta destino",IF(AND(K3562&lt;&gt;"",P3562&lt;&gt;"Transferencia",P3562&lt;&gt;"Pago tarjeta"),"⚠ Destino solo aplica a transferencias",IF(AND(K3562&lt;&gt;"",K3562=Q3562),"⚠ Origen igual a destino",IF(AND(K3562&lt;&gt;"",ISNA(MATCH(K3562,ctaNombre,0))),"⚠ Destino no registrado",IF(AND(P3562="Pago tarjeta",AE3562&lt;&gt;"Tarjeta de crédito"),"⚠ El destino debe ser tarjeta de crédito",IF(AND(P3562="Gasto",E3562="Depósitos y retiros"),"⚠ Usa tipo Transferencia",IF(AND(P3562="Resultado trading",AD3562&lt;&gt;"Cuenta de trading"),"⚠ Usa una cuenta de trading",IF(AND(G3562&lt;=0,P3562&lt;&gt;"Ajuste",P3562&lt;&gt;"Resultado trading"),"⚠ El monto debe ser positivo","✓")))))))))))))))</f>
        <v/>
      </c>
      <c r="P3562" s="52">
        <f>IF(OR(B3562="",G3562=""),"",IF(C3562="","Gasto",C3562))</f>
        <v/>
      </c>
      <c r="Q3562" s="52">
        <f>IF(P3562="","",IF(J3562&lt;&gt;"",J3562,CuentaPred&amp;""))</f>
        <v/>
      </c>
      <c r="R3562" s="52">
        <f>IF(P3562="","",IF(ISNUMBER(I3562),I3562,TasaUSD))</f>
        <v/>
      </c>
      <c r="S3562" s="53">
        <f>IF(P3562="","",IF(H3562="USD",G3562*R3562,G3562))</f>
        <v/>
      </c>
      <c r="T3562" s="53">
        <f>IF(P3562="","",IF(H3562="USD",G3562,IF(R3562&gt;0,G3562/R3562,0)))</f>
        <v/>
      </c>
      <c r="U3562" s="53">
        <f>IF(P3562="","",IF(P3562="Gasto",S3562,IF(P3562="Reembolso",-S3562,0)))</f>
        <v/>
      </c>
      <c r="V3562" s="53">
        <f>IF(P3562="","",IF(P3562="Ingreso",S3562,0))</f>
        <v/>
      </c>
      <c r="W3562" s="53">
        <f>IF(P3562="","",IF(P3562="Resultado trading",S3562,0))</f>
        <v/>
      </c>
      <c r="X3562" s="52">
        <f>IF(OR(P3562="Gasto",P3562="Reembolso"),IF(M3562&lt;&gt;"",M3562,IFERROR(INDEX(catClasif,MATCH(D3562&amp;"|"&amp;E3562,catClave,0))&amp;"","Variable")),"")</f>
        <v/>
      </c>
      <c r="Y3562" s="52">
        <f>IF(P3562="","",IFERROR(INDEX(catGrupo,MATCH(D3562&amp;"|"&amp;E3562,catClave,0))&amp;"",""))</f>
        <v/>
      </c>
      <c r="Z3562" s="52">
        <f>IF(P3562="","",WEEKDAY(B3562,2))</f>
        <v/>
      </c>
      <c r="AA3562" s="52">
        <f>IF(P3562="","",IF(AND(P3562="Gasto",X3562="Variable",D3562&lt;&gt;catTrading,S3562&gt;0,S3562&lt;=Umbral),1,0))</f>
        <v/>
      </c>
      <c r="AB3562" s="52">
        <f>IF(OR(P3562="",Q3562=""),"",IFERROR(IF(INDEX(ctaVinc,MATCH(Q3562,ctaNombre,0))&amp;""&lt;&gt;"",INDEX(ctaVinc,MATCH(Q3562,ctaNombre,0))&amp;"",Q3562),Q3562))</f>
        <v/>
      </c>
      <c r="AC3562" s="52">
        <f>IF(OR(K3562="",AND(P3562&lt;&gt;"Transferencia",P3562&lt;&gt;"Pago tarjeta")),"",IFERROR(IF(INDEX(ctaVinc,MATCH(K3562,ctaNombre,0))&amp;""&lt;&gt;"",INDEX(ctaVinc,MATCH(K3562,ctaNombre,0))&amp;"",K3562),K3562))</f>
        <v/>
      </c>
      <c r="AD3562" s="52">
        <f>IF(AB3562="","",IFERROR(INDEX(ctaTipo,MATCH(AB3562,ctaNombre,0))&amp;"",""))</f>
        <v/>
      </c>
      <c r="AE3562" s="52">
        <f>IF(AC3562="","",IFERROR(INDEX(ctaTipo,MATCH(AC3562,ctaNombre,0))&amp;"",""))</f>
        <v/>
      </c>
      <c r="AF3562" s="53">
        <f>IF(OR(P3562="",AB3562=""),"",IF(OR(P3562="Gasto",P3562="Transferencia",P3562="Pago tarjeta"),-1,1)*IF(IFERROR(INDEX(ctaMoneda,MATCH(AB3562,ctaNombre,0))&amp;"","DOP")="USD",T3562,S3562))</f>
        <v/>
      </c>
      <c r="AG3562" s="53">
        <f>IF(AC3562="","",IF(IFERROR(INDEX(ctaMoneda,MATCH(AC3562,ctaNombre,0))&amp;"","DOP")="USD",T3562,S3562))</f>
        <v/>
      </c>
      <c r="AH3562" s="53">
        <f>IF(P3562="","",IF(AND(AD3562&lt;&gt;"",COUNTIFS(tcTipo,AD3562,tcLiq,"Sí")&gt;0),IF(OR(P3562="Gasto",P3562="Transferencia",P3562="Pago tarjeta"),-1,1)*S3562,0)+IF(AND(AE3562&lt;&gt;"",COUNTIFS(tcTipo,AE3562,tcLiq,"Sí")&gt;0),S3562,0))</f>
        <v/>
      </c>
      <c r="AI3562" s="52">
        <f>IF(OR(L3562="",P3562=""),"",IF(COUNTIFS(L$6:L3562,L3562,P$6:P3562,"?*")=1,MAX(AI$5:AI3561)+1,""))</f>
        <v/>
      </c>
    </row>
    <row r="3563">
      <c r="B3563" s="47" t="n"/>
      <c r="C3563" s="48" t="n"/>
      <c r="D3563" s="48" t="n"/>
      <c r="E3563" s="48" t="n"/>
      <c r="F3563" s="48" t="n"/>
      <c r="G3563" s="49" t="n"/>
      <c r="H3563" s="48" t="n"/>
      <c r="I3563" s="50" t="n"/>
      <c r="J3563" s="48" t="n"/>
      <c r="K3563" s="48" t="n"/>
      <c r="L3563" s="48" t="n"/>
      <c r="M3563" s="48" t="n"/>
      <c r="N3563" s="48" t="n"/>
      <c r="O3563" s="51">
        <f>IF(AND(B3563="",G3563="",C3563="",D3563="",J3563=""),"",IF(B3563="","⚠ Falta fecha",IF(G3563="","⚠ Falta monto",IF(Q3563="","⚠ Falta cuenta",IF(ISNA(MATCH(Q3563,ctaNombre,0)),"⚠ Cuenta no registrada",IF(AND(OR(P3563="Gasto",P3563="Reembolso"),D3563=""),"⚠ Falta categoría",IF(AND(D3563&lt;&gt;"",E3563&lt;&gt;"",ISNA(MATCH(D3563&amp;"|"&amp;E3563,catClave,0))),"⚠ Subcategoría no corresponde",IF(AND(OR(P3563="Transferencia",P3563="Pago tarjeta"),K3563=""),"⚠ Falta cuenta destino",IF(AND(K3563&lt;&gt;"",P3563&lt;&gt;"Transferencia",P3563&lt;&gt;"Pago tarjeta"),"⚠ Destino solo aplica a transferencias",IF(AND(K3563&lt;&gt;"",K3563=Q3563),"⚠ Origen igual a destino",IF(AND(K3563&lt;&gt;"",ISNA(MATCH(K3563,ctaNombre,0))),"⚠ Destino no registrado",IF(AND(P3563="Pago tarjeta",AE3563&lt;&gt;"Tarjeta de crédito"),"⚠ El destino debe ser tarjeta de crédito",IF(AND(P3563="Gasto",E3563="Depósitos y retiros"),"⚠ Usa tipo Transferencia",IF(AND(P3563="Resultado trading",AD3563&lt;&gt;"Cuenta de trading"),"⚠ Usa una cuenta de trading",IF(AND(G3563&lt;=0,P3563&lt;&gt;"Ajuste",P3563&lt;&gt;"Resultado trading"),"⚠ El monto debe ser positivo","✓")))))))))))))))</f>
        <v/>
      </c>
      <c r="P3563" s="52">
        <f>IF(OR(B3563="",G3563=""),"",IF(C3563="","Gasto",C3563))</f>
        <v/>
      </c>
      <c r="Q3563" s="52">
        <f>IF(P3563="","",IF(J3563&lt;&gt;"",J3563,CuentaPred&amp;""))</f>
        <v/>
      </c>
      <c r="R3563" s="52">
        <f>IF(P3563="","",IF(ISNUMBER(I3563),I3563,TasaUSD))</f>
        <v/>
      </c>
      <c r="S3563" s="53">
        <f>IF(P3563="","",IF(H3563="USD",G3563*R3563,G3563))</f>
        <v/>
      </c>
      <c r="T3563" s="53">
        <f>IF(P3563="","",IF(H3563="USD",G3563,IF(R3563&gt;0,G3563/R3563,0)))</f>
        <v/>
      </c>
      <c r="U3563" s="53">
        <f>IF(P3563="","",IF(P3563="Gasto",S3563,IF(P3563="Reembolso",-S3563,0)))</f>
        <v/>
      </c>
      <c r="V3563" s="53">
        <f>IF(P3563="","",IF(P3563="Ingreso",S3563,0))</f>
        <v/>
      </c>
      <c r="W3563" s="53">
        <f>IF(P3563="","",IF(P3563="Resultado trading",S3563,0))</f>
        <v/>
      </c>
      <c r="X3563" s="52">
        <f>IF(OR(P3563="Gasto",P3563="Reembolso"),IF(M3563&lt;&gt;"",M3563,IFERROR(INDEX(catClasif,MATCH(D3563&amp;"|"&amp;E3563,catClave,0))&amp;"","Variable")),"")</f>
        <v/>
      </c>
      <c r="Y3563" s="52">
        <f>IF(P3563="","",IFERROR(INDEX(catGrupo,MATCH(D3563&amp;"|"&amp;E3563,catClave,0))&amp;"",""))</f>
        <v/>
      </c>
      <c r="Z3563" s="52">
        <f>IF(P3563="","",WEEKDAY(B3563,2))</f>
        <v/>
      </c>
      <c r="AA3563" s="52">
        <f>IF(P3563="","",IF(AND(P3563="Gasto",X3563="Variable",D3563&lt;&gt;catTrading,S3563&gt;0,S3563&lt;=Umbral),1,0))</f>
        <v/>
      </c>
      <c r="AB3563" s="52">
        <f>IF(OR(P3563="",Q3563=""),"",IFERROR(IF(INDEX(ctaVinc,MATCH(Q3563,ctaNombre,0))&amp;""&lt;&gt;"",INDEX(ctaVinc,MATCH(Q3563,ctaNombre,0))&amp;"",Q3563),Q3563))</f>
        <v/>
      </c>
      <c r="AC3563" s="52">
        <f>IF(OR(K3563="",AND(P3563&lt;&gt;"Transferencia",P3563&lt;&gt;"Pago tarjeta")),"",IFERROR(IF(INDEX(ctaVinc,MATCH(K3563,ctaNombre,0))&amp;""&lt;&gt;"",INDEX(ctaVinc,MATCH(K3563,ctaNombre,0))&amp;"",K3563),K3563))</f>
        <v/>
      </c>
      <c r="AD3563" s="52">
        <f>IF(AB3563="","",IFERROR(INDEX(ctaTipo,MATCH(AB3563,ctaNombre,0))&amp;"",""))</f>
        <v/>
      </c>
      <c r="AE3563" s="52">
        <f>IF(AC3563="","",IFERROR(INDEX(ctaTipo,MATCH(AC3563,ctaNombre,0))&amp;"",""))</f>
        <v/>
      </c>
      <c r="AF3563" s="53">
        <f>IF(OR(P3563="",AB3563=""),"",IF(OR(P3563="Gasto",P3563="Transferencia",P3563="Pago tarjeta"),-1,1)*IF(IFERROR(INDEX(ctaMoneda,MATCH(AB3563,ctaNombre,0))&amp;"","DOP")="USD",T3563,S3563))</f>
        <v/>
      </c>
      <c r="AG3563" s="53">
        <f>IF(AC3563="","",IF(IFERROR(INDEX(ctaMoneda,MATCH(AC3563,ctaNombre,0))&amp;"","DOP")="USD",T3563,S3563))</f>
        <v/>
      </c>
      <c r="AH3563" s="53">
        <f>IF(P3563="","",IF(AND(AD3563&lt;&gt;"",COUNTIFS(tcTipo,AD3563,tcLiq,"Sí")&gt;0),IF(OR(P3563="Gasto",P3563="Transferencia",P3563="Pago tarjeta"),-1,1)*S3563,0)+IF(AND(AE3563&lt;&gt;"",COUNTIFS(tcTipo,AE3563,tcLiq,"Sí")&gt;0),S3563,0))</f>
        <v/>
      </c>
      <c r="AI3563" s="52">
        <f>IF(OR(L3563="",P3563=""),"",IF(COUNTIFS(L$6:L3563,L3563,P$6:P3563,"?*")=1,MAX(AI$5:AI3562)+1,""))</f>
        <v/>
      </c>
    </row>
    <row r="3564">
      <c r="B3564" s="47" t="n"/>
      <c r="C3564" s="48" t="n"/>
      <c r="D3564" s="48" t="n"/>
      <c r="E3564" s="48" t="n"/>
      <c r="F3564" s="48" t="n"/>
      <c r="G3564" s="49" t="n"/>
      <c r="H3564" s="48" t="n"/>
      <c r="I3564" s="50" t="n"/>
      <c r="J3564" s="48" t="n"/>
      <c r="K3564" s="48" t="n"/>
      <c r="L3564" s="48" t="n"/>
      <c r="M3564" s="48" t="n"/>
      <c r="N3564" s="48" t="n"/>
      <c r="O3564" s="51">
        <f>IF(AND(B3564="",G3564="",C3564="",D3564="",J3564=""),"",IF(B3564="","⚠ Falta fecha",IF(G3564="","⚠ Falta monto",IF(Q3564="","⚠ Falta cuenta",IF(ISNA(MATCH(Q3564,ctaNombre,0)),"⚠ Cuenta no registrada",IF(AND(OR(P3564="Gasto",P3564="Reembolso"),D3564=""),"⚠ Falta categoría",IF(AND(D3564&lt;&gt;"",E3564&lt;&gt;"",ISNA(MATCH(D3564&amp;"|"&amp;E3564,catClave,0))),"⚠ Subcategoría no corresponde",IF(AND(OR(P3564="Transferencia",P3564="Pago tarjeta"),K3564=""),"⚠ Falta cuenta destino",IF(AND(K3564&lt;&gt;"",P3564&lt;&gt;"Transferencia",P3564&lt;&gt;"Pago tarjeta"),"⚠ Destino solo aplica a transferencias",IF(AND(K3564&lt;&gt;"",K3564=Q3564),"⚠ Origen igual a destino",IF(AND(K3564&lt;&gt;"",ISNA(MATCH(K3564,ctaNombre,0))),"⚠ Destino no registrado",IF(AND(P3564="Pago tarjeta",AE3564&lt;&gt;"Tarjeta de crédito"),"⚠ El destino debe ser tarjeta de crédito",IF(AND(P3564="Gasto",E3564="Depósitos y retiros"),"⚠ Usa tipo Transferencia",IF(AND(P3564="Resultado trading",AD3564&lt;&gt;"Cuenta de trading"),"⚠ Usa una cuenta de trading",IF(AND(G3564&lt;=0,P3564&lt;&gt;"Ajuste",P3564&lt;&gt;"Resultado trading"),"⚠ El monto debe ser positivo","✓")))))))))))))))</f>
        <v/>
      </c>
      <c r="P3564" s="52">
        <f>IF(OR(B3564="",G3564=""),"",IF(C3564="","Gasto",C3564))</f>
        <v/>
      </c>
      <c r="Q3564" s="52">
        <f>IF(P3564="","",IF(J3564&lt;&gt;"",J3564,CuentaPred&amp;""))</f>
        <v/>
      </c>
      <c r="R3564" s="52">
        <f>IF(P3564="","",IF(ISNUMBER(I3564),I3564,TasaUSD))</f>
        <v/>
      </c>
      <c r="S3564" s="53">
        <f>IF(P3564="","",IF(H3564="USD",G3564*R3564,G3564))</f>
        <v/>
      </c>
      <c r="T3564" s="53">
        <f>IF(P3564="","",IF(H3564="USD",G3564,IF(R3564&gt;0,G3564/R3564,0)))</f>
        <v/>
      </c>
      <c r="U3564" s="53">
        <f>IF(P3564="","",IF(P3564="Gasto",S3564,IF(P3564="Reembolso",-S3564,0)))</f>
        <v/>
      </c>
      <c r="V3564" s="53">
        <f>IF(P3564="","",IF(P3564="Ingreso",S3564,0))</f>
        <v/>
      </c>
      <c r="W3564" s="53">
        <f>IF(P3564="","",IF(P3564="Resultado trading",S3564,0))</f>
        <v/>
      </c>
      <c r="X3564" s="52">
        <f>IF(OR(P3564="Gasto",P3564="Reembolso"),IF(M3564&lt;&gt;"",M3564,IFERROR(INDEX(catClasif,MATCH(D3564&amp;"|"&amp;E3564,catClave,0))&amp;"","Variable")),"")</f>
        <v/>
      </c>
      <c r="Y3564" s="52">
        <f>IF(P3564="","",IFERROR(INDEX(catGrupo,MATCH(D3564&amp;"|"&amp;E3564,catClave,0))&amp;"",""))</f>
        <v/>
      </c>
      <c r="Z3564" s="52">
        <f>IF(P3564="","",WEEKDAY(B3564,2))</f>
        <v/>
      </c>
      <c r="AA3564" s="52">
        <f>IF(P3564="","",IF(AND(P3564="Gasto",X3564="Variable",D3564&lt;&gt;catTrading,S3564&gt;0,S3564&lt;=Umbral),1,0))</f>
        <v/>
      </c>
      <c r="AB3564" s="52">
        <f>IF(OR(P3564="",Q3564=""),"",IFERROR(IF(INDEX(ctaVinc,MATCH(Q3564,ctaNombre,0))&amp;""&lt;&gt;"",INDEX(ctaVinc,MATCH(Q3564,ctaNombre,0))&amp;"",Q3564),Q3564))</f>
        <v/>
      </c>
      <c r="AC3564" s="52">
        <f>IF(OR(K3564="",AND(P3564&lt;&gt;"Transferencia",P3564&lt;&gt;"Pago tarjeta")),"",IFERROR(IF(INDEX(ctaVinc,MATCH(K3564,ctaNombre,0))&amp;""&lt;&gt;"",INDEX(ctaVinc,MATCH(K3564,ctaNombre,0))&amp;"",K3564),K3564))</f>
        <v/>
      </c>
      <c r="AD3564" s="52">
        <f>IF(AB3564="","",IFERROR(INDEX(ctaTipo,MATCH(AB3564,ctaNombre,0))&amp;"",""))</f>
        <v/>
      </c>
      <c r="AE3564" s="52">
        <f>IF(AC3564="","",IFERROR(INDEX(ctaTipo,MATCH(AC3564,ctaNombre,0))&amp;"",""))</f>
        <v/>
      </c>
      <c r="AF3564" s="53">
        <f>IF(OR(P3564="",AB3564=""),"",IF(OR(P3564="Gasto",P3564="Transferencia",P3564="Pago tarjeta"),-1,1)*IF(IFERROR(INDEX(ctaMoneda,MATCH(AB3564,ctaNombre,0))&amp;"","DOP")="USD",T3564,S3564))</f>
        <v/>
      </c>
      <c r="AG3564" s="53">
        <f>IF(AC3564="","",IF(IFERROR(INDEX(ctaMoneda,MATCH(AC3564,ctaNombre,0))&amp;"","DOP")="USD",T3564,S3564))</f>
        <v/>
      </c>
      <c r="AH3564" s="53">
        <f>IF(P3564="","",IF(AND(AD3564&lt;&gt;"",COUNTIFS(tcTipo,AD3564,tcLiq,"Sí")&gt;0),IF(OR(P3564="Gasto",P3564="Transferencia",P3564="Pago tarjeta"),-1,1)*S3564,0)+IF(AND(AE3564&lt;&gt;"",COUNTIFS(tcTipo,AE3564,tcLiq,"Sí")&gt;0),S3564,0))</f>
        <v/>
      </c>
      <c r="AI3564" s="52">
        <f>IF(OR(L3564="",P3564=""),"",IF(COUNTIFS(L$6:L3564,L3564,P$6:P3564,"?*")=1,MAX(AI$5:AI3563)+1,""))</f>
        <v/>
      </c>
    </row>
    <row r="3565">
      <c r="B3565" s="47" t="n"/>
      <c r="C3565" s="48" t="n"/>
      <c r="D3565" s="48" t="n"/>
      <c r="E3565" s="48" t="n"/>
      <c r="F3565" s="48" t="n"/>
      <c r="G3565" s="49" t="n"/>
      <c r="H3565" s="48" t="n"/>
      <c r="I3565" s="50" t="n"/>
      <c r="J3565" s="48" t="n"/>
      <c r="K3565" s="48" t="n"/>
      <c r="L3565" s="48" t="n"/>
      <c r="M3565" s="48" t="n"/>
      <c r="N3565" s="48" t="n"/>
      <c r="O3565" s="51">
        <f>IF(AND(B3565="",G3565="",C3565="",D3565="",J3565=""),"",IF(B3565="","⚠ Falta fecha",IF(G3565="","⚠ Falta monto",IF(Q3565="","⚠ Falta cuenta",IF(ISNA(MATCH(Q3565,ctaNombre,0)),"⚠ Cuenta no registrada",IF(AND(OR(P3565="Gasto",P3565="Reembolso"),D3565=""),"⚠ Falta categoría",IF(AND(D3565&lt;&gt;"",E3565&lt;&gt;"",ISNA(MATCH(D3565&amp;"|"&amp;E3565,catClave,0))),"⚠ Subcategoría no corresponde",IF(AND(OR(P3565="Transferencia",P3565="Pago tarjeta"),K3565=""),"⚠ Falta cuenta destino",IF(AND(K3565&lt;&gt;"",P3565&lt;&gt;"Transferencia",P3565&lt;&gt;"Pago tarjeta"),"⚠ Destino solo aplica a transferencias",IF(AND(K3565&lt;&gt;"",K3565=Q3565),"⚠ Origen igual a destino",IF(AND(K3565&lt;&gt;"",ISNA(MATCH(K3565,ctaNombre,0))),"⚠ Destino no registrado",IF(AND(P3565="Pago tarjeta",AE3565&lt;&gt;"Tarjeta de crédito"),"⚠ El destino debe ser tarjeta de crédito",IF(AND(P3565="Gasto",E3565="Depósitos y retiros"),"⚠ Usa tipo Transferencia",IF(AND(P3565="Resultado trading",AD3565&lt;&gt;"Cuenta de trading"),"⚠ Usa una cuenta de trading",IF(AND(G3565&lt;=0,P3565&lt;&gt;"Ajuste",P3565&lt;&gt;"Resultado trading"),"⚠ El monto debe ser positivo","✓")))))))))))))))</f>
        <v/>
      </c>
      <c r="P3565" s="52">
        <f>IF(OR(B3565="",G3565=""),"",IF(C3565="","Gasto",C3565))</f>
        <v/>
      </c>
      <c r="Q3565" s="52">
        <f>IF(P3565="","",IF(J3565&lt;&gt;"",J3565,CuentaPred&amp;""))</f>
        <v/>
      </c>
      <c r="R3565" s="52">
        <f>IF(P3565="","",IF(ISNUMBER(I3565),I3565,TasaUSD))</f>
        <v/>
      </c>
      <c r="S3565" s="53">
        <f>IF(P3565="","",IF(H3565="USD",G3565*R3565,G3565))</f>
        <v/>
      </c>
      <c r="T3565" s="53">
        <f>IF(P3565="","",IF(H3565="USD",G3565,IF(R3565&gt;0,G3565/R3565,0)))</f>
        <v/>
      </c>
      <c r="U3565" s="53">
        <f>IF(P3565="","",IF(P3565="Gasto",S3565,IF(P3565="Reembolso",-S3565,0)))</f>
        <v/>
      </c>
      <c r="V3565" s="53">
        <f>IF(P3565="","",IF(P3565="Ingreso",S3565,0))</f>
        <v/>
      </c>
      <c r="W3565" s="53">
        <f>IF(P3565="","",IF(P3565="Resultado trading",S3565,0))</f>
        <v/>
      </c>
      <c r="X3565" s="52">
        <f>IF(OR(P3565="Gasto",P3565="Reembolso"),IF(M3565&lt;&gt;"",M3565,IFERROR(INDEX(catClasif,MATCH(D3565&amp;"|"&amp;E3565,catClave,0))&amp;"","Variable")),"")</f>
        <v/>
      </c>
      <c r="Y3565" s="52">
        <f>IF(P3565="","",IFERROR(INDEX(catGrupo,MATCH(D3565&amp;"|"&amp;E3565,catClave,0))&amp;"",""))</f>
        <v/>
      </c>
      <c r="Z3565" s="52">
        <f>IF(P3565="","",WEEKDAY(B3565,2))</f>
        <v/>
      </c>
      <c r="AA3565" s="52">
        <f>IF(P3565="","",IF(AND(P3565="Gasto",X3565="Variable",D3565&lt;&gt;catTrading,S3565&gt;0,S3565&lt;=Umbral),1,0))</f>
        <v/>
      </c>
      <c r="AB3565" s="52">
        <f>IF(OR(P3565="",Q3565=""),"",IFERROR(IF(INDEX(ctaVinc,MATCH(Q3565,ctaNombre,0))&amp;""&lt;&gt;"",INDEX(ctaVinc,MATCH(Q3565,ctaNombre,0))&amp;"",Q3565),Q3565))</f>
        <v/>
      </c>
      <c r="AC3565" s="52">
        <f>IF(OR(K3565="",AND(P3565&lt;&gt;"Transferencia",P3565&lt;&gt;"Pago tarjeta")),"",IFERROR(IF(INDEX(ctaVinc,MATCH(K3565,ctaNombre,0))&amp;""&lt;&gt;"",INDEX(ctaVinc,MATCH(K3565,ctaNombre,0))&amp;"",K3565),K3565))</f>
        <v/>
      </c>
      <c r="AD3565" s="52">
        <f>IF(AB3565="","",IFERROR(INDEX(ctaTipo,MATCH(AB3565,ctaNombre,0))&amp;"",""))</f>
        <v/>
      </c>
      <c r="AE3565" s="52">
        <f>IF(AC3565="","",IFERROR(INDEX(ctaTipo,MATCH(AC3565,ctaNombre,0))&amp;"",""))</f>
        <v/>
      </c>
      <c r="AF3565" s="53">
        <f>IF(OR(P3565="",AB3565=""),"",IF(OR(P3565="Gasto",P3565="Transferencia",P3565="Pago tarjeta"),-1,1)*IF(IFERROR(INDEX(ctaMoneda,MATCH(AB3565,ctaNombre,0))&amp;"","DOP")="USD",T3565,S3565))</f>
        <v/>
      </c>
      <c r="AG3565" s="53">
        <f>IF(AC3565="","",IF(IFERROR(INDEX(ctaMoneda,MATCH(AC3565,ctaNombre,0))&amp;"","DOP")="USD",T3565,S3565))</f>
        <v/>
      </c>
      <c r="AH3565" s="53">
        <f>IF(P3565="","",IF(AND(AD3565&lt;&gt;"",COUNTIFS(tcTipo,AD3565,tcLiq,"Sí")&gt;0),IF(OR(P3565="Gasto",P3565="Transferencia",P3565="Pago tarjeta"),-1,1)*S3565,0)+IF(AND(AE3565&lt;&gt;"",COUNTIFS(tcTipo,AE3565,tcLiq,"Sí")&gt;0),S3565,0))</f>
        <v/>
      </c>
      <c r="AI3565" s="52">
        <f>IF(OR(L3565="",P3565=""),"",IF(COUNTIFS(L$6:L3565,L3565,P$6:P3565,"?*")=1,MAX(AI$5:AI3564)+1,""))</f>
        <v/>
      </c>
    </row>
    <row r="3566">
      <c r="B3566" s="47" t="n"/>
      <c r="C3566" s="48" t="n"/>
      <c r="D3566" s="48" t="n"/>
      <c r="E3566" s="48" t="n"/>
      <c r="F3566" s="48" t="n"/>
      <c r="G3566" s="49" t="n"/>
      <c r="H3566" s="48" t="n"/>
      <c r="I3566" s="50" t="n"/>
      <c r="J3566" s="48" t="n"/>
      <c r="K3566" s="48" t="n"/>
      <c r="L3566" s="48" t="n"/>
      <c r="M3566" s="48" t="n"/>
      <c r="N3566" s="48" t="n"/>
      <c r="O3566" s="51">
        <f>IF(AND(B3566="",G3566="",C3566="",D3566="",J3566=""),"",IF(B3566="","⚠ Falta fecha",IF(G3566="","⚠ Falta monto",IF(Q3566="","⚠ Falta cuenta",IF(ISNA(MATCH(Q3566,ctaNombre,0)),"⚠ Cuenta no registrada",IF(AND(OR(P3566="Gasto",P3566="Reembolso"),D3566=""),"⚠ Falta categoría",IF(AND(D3566&lt;&gt;"",E3566&lt;&gt;"",ISNA(MATCH(D3566&amp;"|"&amp;E3566,catClave,0))),"⚠ Subcategoría no corresponde",IF(AND(OR(P3566="Transferencia",P3566="Pago tarjeta"),K3566=""),"⚠ Falta cuenta destino",IF(AND(K3566&lt;&gt;"",P3566&lt;&gt;"Transferencia",P3566&lt;&gt;"Pago tarjeta"),"⚠ Destino solo aplica a transferencias",IF(AND(K3566&lt;&gt;"",K3566=Q3566),"⚠ Origen igual a destino",IF(AND(K3566&lt;&gt;"",ISNA(MATCH(K3566,ctaNombre,0))),"⚠ Destino no registrado",IF(AND(P3566="Pago tarjeta",AE3566&lt;&gt;"Tarjeta de crédito"),"⚠ El destino debe ser tarjeta de crédito",IF(AND(P3566="Gasto",E3566="Depósitos y retiros"),"⚠ Usa tipo Transferencia",IF(AND(P3566="Resultado trading",AD3566&lt;&gt;"Cuenta de trading"),"⚠ Usa una cuenta de trading",IF(AND(G3566&lt;=0,P3566&lt;&gt;"Ajuste",P3566&lt;&gt;"Resultado trading"),"⚠ El monto debe ser positivo","✓")))))))))))))))</f>
        <v/>
      </c>
      <c r="P3566" s="52">
        <f>IF(OR(B3566="",G3566=""),"",IF(C3566="","Gasto",C3566))</f>
        <v/>
      </c>
      <c r="Q3566" s="52">
        <f>IF(P3566="","",IF(J3566&lt;&gt;"",J3566,CuentaPred&amp;""))</f>
        <v/>
      </c>
      <c r="R3566" s="52">
        <f>IF(P3566="","",IF(ISNUMBER(I3566),I3566,TasaUSD))</f>
        <v/>
      </c>
      <c r="S3566" s="53">
        <f>IF(P3566="","",IF(H3566="USD",G3566*R3566,G3566))</f>
        <v/>
      </c>
      <c r="T3566" s="53">
        <f>IF(P3566="","",IF(H3566="USD",G3566,IF(R3566&gt;0,G3566/R3566,0)))</f>
        <v/>
      </c>
      <c r="U3566" s="53">
        <f>IF(P3566="","",IF(P3566="Gasto",S3566,IF(P3566="Reembolso",-S3566,0)))</f>
        <v/>
      </c>
      <c r="V3566" s="53">
        <f>IF(P3566="","",IF(P3566="Ingreso",S3566,0))</f>
        <v/>
      </c>
      <c r="W3566" s="53">
        <f>IF(P3566="","",IF(P3566="Resultado trading",S3566,0))</f>
        <v/>
      </c>
      <c r="X3566" s="52">
        <f>IF(OR(P3566="Gasto",P3566="Reembolso"),IF(M3566&lt;&gt;"",M3566,IFERROR(INDEX(catClasif,MATCH(D3566&amp;"|"&amp;E3566,catClave,0))&amp;"","Variable")),"")</f>
        <v/>
      </c>
      <c r="Y3566" s="52">
        <f>IF(P3566="","",IFERROR(INDEX(catGrupo,MATCH(D3566&amp;"|"&amp;E3566,catClave,0))&amp;"",""))</f>
        <v/>
      </c>
      <c r="Z3566" s="52">
        <f>IF(P3566="","",WEEKDAY(B3566,2))</f>
        <v/>
      </c>
      <c r="AA3566" s="52">
        <f>IF(P3566="","",IF(AND(P3566="Gasto",X3566="Variable",D3566&lt;&gt;catTrading,S3566&gt;0,S3566&lt;=Umbral),1,0))</f>
        <v/>
      </c>
      <c r="AB3566" s="52">
        <f>IF(OR(P3566="",Q3566=""),"",IFERROR(IF(INDEX(ctaVinc,MATCH(Q3566,ctaNombre,0))&amp;""&lt;&gt;"",INDEX(ctaVinc,MATCH(Q3566,ctaNombre,0))&amp;"",Q3566),Q3566))</f>
        <v/>
      </c>
      <c r="AC3566" s="52">
        <f>IF(OR(K3566="",AND(P3566&lt;&gt;"Transferencia",P3566&lt;&gt;"Pago tarjeta")),"",IFERROR(IF(INDEX(ctaVinc,MATCH(K3566,ctaNombre,0))&amp;""&lt;&gt;"",INDEX(ctaVinc,MATCH(K3566,ctaNombre,0))&amp;"",K3566),K3566))</f>
        <v/>
      </c>
      <c r="AD3566" s="52">
        <f>IF(AB3566="","",IFERROR(INDEX(ctaTipo,MATCH(AB3566,ctaNombre,0))&amp;"",""))</f>
        <v/>
      </c>
      <c r="AE3566" s="52">
        <f>IF(AC3566="","",IFERROR(INDEX(ctaTipo,MATCH(AC3566,ctaNombre,0))&amp;"",""))</f>
        <v/>
      </c>
      <c r="AF3566" s="53">
        <f>IF(OR(P3566="",AB3566=""),"",IF(OR(P3566="Gasto",P3566="Transferencia",P3566="Pago tarjeta"),-1,1)*IF(IFERROR(INDEX(ctaMoneda,MATCH(AB3566,ctaNombre,0))&amp;"","DOP")="USD",T3566,S3566))</f>
        <v/>
      </c>
      <c r="AG3566" s="53">
        <f>IF(AC3566="","",IF(IFERROR(INDEX(ctaMoneda,MATCH(AC3566,ctaNombre,0))&amp;"","DOP")="USD",T3566,S3566))</f>
        <v/>
      </c>
      <c r="AH3566" s="53">
        <f>IF(P3566="","",IF(AND(AD3566&lt;&gt;"",COUNTIFS(tcTipo,AD3566,tcLiq,"Sí")&gt;0),IF(OR(P3566="Gasto",P3566="Transferencia",P3566="Pago tarjeta"),-1,1)*S3566,0)+IF(AND(AE3566&lt;&gt;"",COUNTIFS(tcTipo,AE3566,tcLiq,"Sí")&gt;0),S3566,0))</f>
        <v/>
      </c>
      <c r="AI3566" s="52">
        <f>IF(OR(L3566="",P3566=""),"",IF(COUNTIFS(L$6:L3566,L3566,P$6:P3566,"?*")=1,MAX(AI$5:AI3565)+1,""))</f>
        <v/>
      </c>
    </row>
    <row r="3567">
      <c r="B3567" s="47" t="n"/>
      <c r="C3567" s="48" t="n"/>
      <c r="D3567" s="48" t="n"/>
      <c r="E3567" s="48" t="n"/>
      <c r="F3567" s="48" t="n"/>
      <c r="G3567" s="49" t="n"/>
      <c r="H3567" s="48" t="n"/>
      <c r="I3567" s="50" t="n"/>
      <c r="J3567" s="48" t="n"/>
      <c r="K3567" s="48" t="n"/>
      <c r="L3567" s="48" t="n"/>
      <c r="M3567" s="48" t="n"/>
      <c r="N3567" s="48" t="n"/>
      <c r="O3567" s="51">
        <f>IF(AND(B3567="",G3567="",C3567="",D3567="",J3567=""),"",IF(B3567="","⚠ Falta fecha",IF(G3567="","⚠ Falta monto",IF(Q3567="","⚠ Falta cuenta",IF(ISNA(MATCH(Q3567,ctaNombre,0)),"⚠ Cuenta no registrada",IF(AND(OR(P3567="Gasto",P3567="Reembolso"),D3567=""),"⚠ Falta categoría",IF(AND(D3567&lt;&gt;"",E3567&lt;&gt;"",ISNA(MATCH(D3567&amp;"|"&amp;E3567,catClave,0))),"⚠ Subcategoría no corresponde",IF(AND(OR(P3567="Transferencia",P3567="Pago tarjeta"),K3567=""),"⚠ Falta cuenta destino",IF(AND(K3567&lt;&gt;"",P3567&lt;&gt;"Transferencia",P3567&lt;&gt;"Pago tarjeta"),"⚠ Destino solo aplica a transferencias",IF(AND(K3567&lt;&gt;"",K3567=Q3567),"⚠ Origen igual a destino",IF(AND(K3567&lt;&gt;"",ISNA(MATCH(K3567,ctaNombre,0))),"⚠ Destino no registrado",IF(AND(P3567="Pago tarjeta",AE3567&lt;&gt;"Tarjeta de crédito"),"⚠ El destino debe ser tarjeta de crédito",IF(AND(P3567="Gasto",E3567="Depósitos y retiros"),"⚠ Usa tipo Transferencia",IF(AND(P3567="Resultado trading",AD3567&lt;&gt;"Cuenta de trading"),"⚠ Usa una cuenta de trading",IF(AND(G3567&lt;=0,P3567&lt;&gt;"Ajuste",P3567&lt;&gt;"Resultado trading"),"⚠ El monto debe ser positivo","✓")))))))))))))))</f>
        <v/>
      </c>
      <c r="P3567" s="52">
        <f>IF(OR(B3567="",G3567=""),"",IF(C3567="","Gasto",C3567))</f>
        <v/>
      </c>
      <c r="Q3567" s="52">
        <f>IF(P3567="","",IF(J3567&lt;&gt;"",J3567,CuentaPred&amp;""))</f>
        <v/>
      </c>
      <c r="R3567" s="52">
        <f>IF(P3567="","",IF(ISNUMBER(I3567),I3567,TasaUSD))</f>
        <v/>
      </c>
      <c r="S3567" s="53">
        <f>IF(P3567="","",IF(H3567="USD",G3567*R3567,G3567))</f>
        <v/>
      </c>
      <c r="T3567" s="53">
        <f>IF(P3567="","",IF(H3567="USD",G3567,IF(R3567&gt;0,G3567/R3567,0)))</f>
        <v/>
      </c>
      <c r="U3567" s="53">
        <f>IF(P3567="","",IF(P3567="Gasto",S3567,IF(P3567="Reembolso",-S3567,0)))</f>
        <v/>
      </c>
      <c r="V3567" s="53">
        <f>IF(P3567="","",IF(P3567="Ingreso",S3567,0))</f>
        <v/>
      </c>
      <c r="W3567" s="53">
        <f>IF(P3567="","",IF(P3567="Resultado trading",S3567,0))</f>
        <v/>
      </c>
      <c r="X3567" s="52">
        <f>IF(OR(P3567="Gasto",P3567="Reembolso"),IF(M3567&lt;&gt;"",M3567,IFERROR(INDEX(catClasif,MATCH(D3567&amp;"|"&amp;E3567,catClave,0))&amp;"","Variable")),"")</f>
        <v/>
      </c>
      <c r="Y3567" s="52">
        <f>IF(P3567="","",IFERROR(INDEX(catGrupo,MATCH(D3567&amp;"|"&amp;E3567,catClave,0))&amp;"",""))</f>
        <v/>
      </c>
      <c r="Z3567" s="52">
        <f>IF(P3567="","",WEEKDAY(B3567,2))</f>
        <v/>
      </c>
      <c r="AA3567" s="52">
        <f>IF(P3567="","",IF(AND(P3567="Gasto",X3567="Variable",D3567&lt;&gt;catTrading,S3567&gt;0,S3567&lt;=Umbral),1,0))</f>
        <v/>
      </c>
      <c r="AB3567" s="52">
        <f>IF(OR(P3567="",Q3567=""),"",IFERROR(IF(INDEX(ctaVinc,MATCH(Q3567,ctaNombre,0))&amp;""&lt;&gt;"",INDEX(ctaVinc,MATCH(Q3567,ctaNombre,0))&amp;"",Q3567),Q3567))</f>
        <v/>
      </c>
      <c r="AC3567" s="52">
        <f>IF(OR(K3567="",AND(P3567&lt;&gt;"Transferencia",P3567&lt;&gt;"Pago tarjeta")),"",IFERROR(IF(INDEX(ctaVinc,MATCH(K3567,ctaNombre,0))&amp;""&lt;&gt;"",INDEX(ctaVinc,MATCH(K3567,ctaNombre,0))&amp;"",K3567),K3567))</f>
        <v/>
      </c>
      <c r="AD3567" s="52">
        <f>IF(AB3567="","",IFERROR(INDEX(ctaTipo,MATCH(AB3567,ctaNombre,0))&amp;"",""))</f>
        <v/>
      </c>
      <c r="AE3567" s="52">
        <f>IF(AC3567="","",IFERROR(INDEX(ctaTipo,MATCH(AC3567,ctaNombre,0))&amp;"",""))</f>
        <v/>
      </c>
      <c r="AF3567" s="53">
        <f>IF(OR(P3567="",AB3567=""),"",IF(OR(P3567="Gasto",P3567="Transferencia",P3567="Pago tarjeta"),-1,1)*IF(IFERROR(INDEX(ctaMoneda,MATCH(AB3567,ctaNombre,0))&amp;"","DOP")="USD",T3567,S3567))</f>
        <v/>
      </c>
      <c r="AG3567" s="53">
        <f>IF(AC3567="","",IF(IFERROR(INDEX(ctaMoneda,MATCH(AC3567,ctaNombre,0))&amp;"","DOP")="USD",T3567,S3567))</f>
        <v/>
      </c>
      <c r="AH3567" s="53">
        <f>IF(P3567="","",IF(AND(AD3567&lt;&gt;"",COUNTIFS(tcTipo,AD3567,tcLiq,"Sí")&gt;0),IF(OR(P3567="Gasto",P3567="Transferencia",P3567="Pago tarjeta"),-1,1)*S3567,0)+IF(AND(AE3567&lt;&gt;"",COUNTIFS(tcTipo,AE3567,tcLiq,"Sí")&gt;0),S3567,0))</f>
        <v/>
      </c>
      <c r="AI3567" s="52">
        <f>IF(OR(L3567="",P3567=""),"",IF(COUNTIFS(L$6:L3567,L3567,P$6:P3567,"?*")=1,MAX(AI$5:AI3566)+1,""))</f>
        <v/>
      </c>
    </row>
    <row r="3568">
      <c r="B3568" s="47" t="n"/>
      <c r="C3568" s="48" t="n"/>
      <c r="D3568" s="48" t="n"/>
      <c r="E3568" s="48" t="n"/>
      <c r="F3568" s="48" t="n"/>
      <c r="G3568" s="49" t="n"/>
      <c r="H3568" s="48" t="n"/>
      <c r="I3568" s="50" t="n"/>
      <c r="J3568" s="48" t="n"/>
      <c r="K3568" s="48" t="n"/>
      <c r="L3568" s="48" t="n"/>
      <c r="M3568" s="48" t="n"/>
      <c r="N3568" s="48" t="n"/>
      <c r="O3568" s="51">
        <f>IF(AND(B3568="",G3568="",C3568="",D3568="",J3568=""),"",IF(B3568="","⚠ Falta fecha",IF(G3568="","⚠ Falta monto",IF(Q3568="","⚠ Falta cuenta",IF(ISNA(MATCH(Q3568,ctaNombre,0)),"⚠ Cuenta no registrada",IF(AND(OR(P3568="Gasto",P3568="Reembolso"),D3568=""),"⚠ Falta categoría",IF(AND(D3568&lt;&gt;"",E3568&lt;&gt;"",ISNA(MATCH(D3568&amp;"|"&amp;E3568,catClave,0))),"⚠ Subcategoría no corresponde",IF(AND(OR(P3568="Transferencia",P3568="Pago tarjeta"),K3568=""),"⚠ Falta cuenta destino",IF(AND(K3568&lt;&gt;"",P3568&lt;&gt;"Transferencia",P3568&lt;&gt;"Pago tarjeta"),"⚠ Destino solo aplica a transferencias",IF(AND(K3568&lt;&gt;"",K3568=Q3568),"⚠ Origen igual a destino",IF(AND(K3568&lt;&gt;"",ISNA(MATCH(K3568,ctaNombre,0))),"⚠ Destino no registrado",IF(AND(P3568="Pago tarjeta",AE3568&lt;&gt;"Tarjeta de crédito"),"⚠ El destino debe ser tarjeta de crédito",IF(AND(P3568="Gasto",E3568="Depósitos y retiros"),"⚠ Usa tipo Transferencia",IF(AND(P3568="Resultado trading",AD3568&lt;&gt;"Cuenta de trading"),"⚠ Usa una cuenta de trading",IF(AND(G3568&lt;=0,P3568&lt;&gt;"Ajuste",P3568&lt;&gt;"Resultado trading"),"⚠ El monto debe ser positivo","✓")))))))))))))))</f>
        <v/>
      </c>
      <c r="P3568" s="52">
        <f>IF(OR(B3568="",G3568=""),"",IF(C3568="","Gasto",C3568))</f>
        <v/>
      </c>
      <c r="Q3568" s="52">
        <f>IF(P3568="","",IF(J3568&lt;&gt;"",J3568,CuentaPred&amp;""))</f>
        <v/>
      </c>
      <c r="R3568" s="52">
        <f>IF(P3568="","",IF(ISNUMBER(I3568),I3568,TasaUSD))</f>
        <v/>
      </c>
      <c r="S3568" s="53">
        <f>IF(P3568="","",IF(H3568="USD",G3568*R3568,G3568))</f>
        <v/>
      </c>
      <c r="T3568" s="53">
        <f>IF(P3568="","",IF(H3568="USD",G3568,IF(R3568&gt;0,G3568/R3568,0)))</f>
        <v/>
      </c>
      <c r="U3568" s="53">
        <f>IF(P3568="","",IF(P3568="Gasto",S3568,IF(P3568="Reembolso",-S3568,0)))</f>
        <v/>
      </c>
      <c r="V3568" s="53">
        <f>IF(P3568="","",IF(P3568="Ingreso",S3568,0))</f>
        <v/>
      </c>
      <c r="W3568" s="53">
        <f>IF(P3568="","",IF(P3568="Resultado trading",S3568,0))</f>
        <v/>
      </c>
      <c r="X3568" s="52">
        <f>IF(OR(P3568="Gasto",P3568="Reembolso"),IF(M3568&lt;&gt;"",M3568,IFERROR(INDEX(catClasif,MATCH(D3568&amp;"|"&amp;E3568,catClave,0))&amp;"","Variable")),"")</f>
        <v/>
      </c>
      <c r="Y3568" s="52">
        <f>IF(P3568="","",IFERROR(INDEX(catGrupo,MATCH(D3568&amp;"|"&amp;E3568,catClave,0))&amp;"",""))</f>
        <v/>
      </c>
      <c r="Z3568" s="52">
        <f>IF(P3568="","",WEEKDAY(B3568,2))</f>
        <v/>
      </c>
      <c r="AA3568" s="52">
        <f>IF(P3568="","",IF(AND(P3568="Gasto",X3568="Variable",D3568&lt;&gt;catTrading,S3568&gt;0,S3568&lt;=Umbral),1,0))</f>
        <v/>
      </c>
      <c r="AB3568" s="52">
        <f>IF(OR(P3568="",Q3568=""),"",IFERROR(IF(INDEX(ctaVinc,MATCH(Q3568,ctaNombre,0))&amp;""&lt;&gt;"",INDEX(ctaVinc,MATCH(Q3568,ctaNombre,0))&amp;"",Q3568),Q3568))</f>
        <v/>
      </c>
      <c r="AC3568" s="52">
        <f>IF(OR(K3568="",AND(P3568&lt;&gt;"Transferencia",P3568&lt;&gt;"Pago tarjeta")),"",IFERROR(IF(INDEX(ctaVinc,MATCH(K3568,ctaNombre,0))&amp;""&lt;&gt;"",INDEX(ctaVinc,MATCH(K3568,ctaNombre,0))&amp;"",K3568),K3568))</f>
        <v/>
      </c>
      <c r="AD3568" s="52">
        <f>IF(AB3568="","",IFERROR(INDEX(ctaTipo,MATCH(AB3568,ctaNombre,0))&amp;"",""))</f>
        <v/>
      </c>
      <c r="AE3568" s="52">
        <f>IF(AC3568="","",IFERROR(INDEX(ctaTipo,MATCH(AC3568,ctaNombre,0))&amp;"",""))</f>
        <v/>
      </c>
      <c r="AF3568" s="53">
        <f>IF(OR(P3568="",AB3568=""),"",IF(OR(P3568="Gasto",P3568="Transferencia",P3568="Pago tarjeta"),-1,1)*IF(IFERROR(INDEX(ctaMoneda,MATCH(AB3568,ctaNombre,0))&amp;"","DOP")="USD",T3568,S3568))</f>
        <v/>
      </c>
      <c r="AG3568" s="53">
        <f>IF(AC3568="","",IF(IFERROR(INDEX(ctaMoneda,MATCH(AC3568,ctaNombre,0))&amp;"","DOP")="USD",T3568,S3568))</f>
        <v/>
      </c>
      <c r="AH3568" s="53">
        <f>IF(P3568="","",IF(AND(AD3568&lt;&gt;"",COUNTIFS(tcTipo,AD3568,tcLiq,"Sí")&gt;0),IF(OR(P3568="Gasto",P3568="Transferencia",P3568="Pago tarjeta"),-1,1)*S3568,0)+IF(AND(AE3568&lt;&gt;"",COUNTIFS(tcTipo,AE3568,tcLiq,"Sí")&gt;0),S3568,0))</f>
        <v/>
      </c>
      <c r="AI3568" s="52">
        <f>IF(OR(L3568="",P3568=""),"",IF(COUNTIFS(L$6:L3568,L3568,P$6:P3568,"?*")=1,MAX(AI$5:AI3567)+1,""))</f>
        <v/>
      </c>
    </row>
    <row r="3569">
      <c r="B3569" s="47" t="n"/>
      <c r="C3569" s="48" t="n"/>
      <c r="D3569" s="48" t="n"/>
      <c r="E3569" s="48" t="n"/>
      <c r="F3569" s="48" t="n"/>
      <c r="G3569" s="49" t="n"/>
      <c r="H3569" s="48" t="n"/>
      <c r="I3569" s="50" t="n"/>
      <c r="J3569" s="48" t="n"/>
      <c r="K3569" s="48" t="n"/>
      <c r="L3569" s="48" t="n"/>
      <c r="M3569" s="48" t="n"/>
      <c r="N3569" s="48" t="n"/>
      <c r="O3569" s="51">
        <f>IF(AND(B3569="",G3569="",C3569="",D3569="",J3569=""),"",IF(B3569="","⚠ Falta fecha",IF(G3569="","⚠ Falta monto",IF(Q3569="","⚠ Falta cuenta",IF(ISNA(MATCH(Q3569,ctaNombre,0)),"⚠ Cuenta no registrada",IF(AND(OR(P3569="Gasto",P3569="Reembolso"),D3569=""),"⚠ Falta categoría",IF(AND(D3569&lt;&gt;"",E3569&lt;&gt;"",ISNA(MATCH(D3569&amp;"|"&amp;E3569,catClave,0))),"⚠ Subcategoría no corresponde",IF(AND(OR(P3569="Transferencia",P3569="Pago tarjeta"),K3569=""),"⚠ Falta cuenta destino",IF(AND(K3569&lt;&gt;"",P3569&lt;&gt;"Transferencia",P3569&lt;&gt;"Pago tarjeta"),"⚠ Destino solo aplica a transferencias",IF(AND(K3569&lt;&gt;"",K3569=Q3569),"⚠ Origen igual a destino",IF(AND(K3569&lt;&gt;"",ISNA(MATCH(K3569,ctaNombre,0))),"⚠ Destino no registrado",IF(AND(P3569="Pago tarjeta",AE3569&lt;&gt;"Tarjeta de crédito"),"⚠ El destino debe ser tarjeta de crédito",IF(AND(P3569="Gasto",E3569="Depósitos y retiros"),"⚠ Usa tipo Transferencia",IF(AND(P3569="Resultado trading",AD3569&lt;&gt;"Cuenta de trading"),"⚠ Usa una cuenta de trading",IF(AND(G3569&lt;=0,P3569&lt;&gt;"Ajuste",P3569&lt;&gt;"Resultado trading"),"⚠ El monto debe ser positivo","✓")))))))))))))))</f>
        <v/>
      </c>
      <c r="P3569" s="52">
        <f>IF(OR(B3569="",G3569=""),"",IF(C3569="","Gasto",C3569))</f>
        <v/>
      </c>
      <c r="Q3569" s="52">
        <f>IF(P3569="","",IF(J3569&lt;&gt;"",J3569,CuentaPred&amp;""))</f>
        <v/>
      </c>
      <c r="R3569" s="52">
        <f>IF(P3569="","",IF(ISNUMBER(I3569),I3569,TasaUSD))</f>
        <v/>
      </c>
      <c r="S3569" s="53">
        <f>IF(P3569="","",IF(H3569="USD",G3569*R3569,G3569))</f>
        <v/>
      </c>
      <c r="T3569" s="53">
        <f>IF(P3569="","",IF(H3569="USD",G3569,IF(R3569&gt;0,G3569/R3569,0)))</f>
        <v/>
      </c>
      <c r="U3569" s="53">
        <f>IF(P3569="","",IF(P3569="Gasto",S3569,IF(P3569="Reembolso",-S3569,0)))</f>
        <v/>
      </c>
      <c r="V3569" s="53">
        <f>IF(P3569="","",IF(P3569="Ingreso",S3569,0))</f>
        <v/>
      </c>
      <c r="W3569" s="53">
        <f>IF(P3569="","",IF(P3569="Resultado trading",S3569,0))</f>
        <v/>
      </c>
      <c r="X3569" s="52">
        <f>IF(OR(P3569="Gasto",P3569="Reembolso"),IF(M3569&lt;&gt;"",M3569,IFERROR(INDEX(catClasif,MATCH(D3569&amp;"|"&amp;E3569,catClave,0))&amp;"","Variable")),"")</f>
        <v/>
      </c>
      <c r="Y3569" s="52">
        <f>IF(P3569="","",IFERROR(INDEX(catGrupo,MATCH(D3569&amp;"|"&amp;E3569,catClave,0))&amp;"",""))</f>
        <v/>
      </c>
      <c r="Z3569" s="52">
        <f>IF(P3569="","",WEEKDAY(B3569,2))</f>
        <v/>
      </c>
      <c r="AA3569" s="52">
        <f>IF(P3569="","",IF(AND(P3569="Gasto",X3569="Variable",D3569&lt;&gt;catTrading,S3569&gt;0,S3569&lt;=Umbral),1,0))</f>
        <v/>
      </c>
      <c r="AB3569" s="52">
        <f>IF(OR(P3569="",Q3569=""),"",IFERROR(IF(INDEX(ctaVinc,MATCH(Q3569,ctaNombre,0))&amp;""&lt;&gt;"",INDEX(ctaVinc,MATCH(Q3569,ctaNombre,0))&amp;"",Q3569),Q3569))</f>
        <v/>
      </c>
      <c r="AC3569" s="52">
        <f>IF(OR(K3569="",AND(P3569&lt;&gt;"Transferencia",P3569&lt;&gt;"Pago tarjeta")),"",IFERROR(IF(INDEX(ctaVinc,MATCH(K3569,ctaNombre,0))&amp;""&lt;&gt;"",INDEX(ctaVinc,MATCH(K3569,ctaNombre,0))&amp;"",K3569),K3569))</f>
        <v/>
      </c>
      <c r="AD3569" s="52">
        <f>IF(AB3569="","",IFERROR(INDEX(ctaTipo,MATCH(AB3569,ctaNombre,0))&amp;"",""))</f>
        <v/>
      </c>
      <c r="AE3569" s="52">
        <f>IF(AC3569="","",IFERROR(INDEX(ctaTipo,MATCH(AC3569,ctaNombre,0))&amp;"",""))</f>
        <v/>
      </c>
      <c r="AF3569" s="53">
        <f>IF(OR(P3569="",AB3569=""),"",IF(OR(P3569="Gasto",P3569="Transferencia",P3569="Pago tarjeta"),-1,1)*IF(IFERROR(INDEX(ctaMoneda,MATCH(AB3569,ctaNombre,0))&amp;"","DOP")="USD",T3569,S3569))</f>
        <v/>
      </c>
      <c r="AG3569" s="53">
        <f>IF(AC3569="","",IF(IFERROR(INDEX(ctaMoneda,MATCH(AC3569,ctaNombre,0))&amp;"","DOP")="USD",T3569,S3569))</f>
        <v/>
      </c>
      <c r="AH3569" s="53">
        <f>IF(P3569="","",IF(AND(AD3569&lt;&gt;"",COUNTIFS(tcTipo,AD3569,tcLiq,"Sí")&gt;0),IF(OR(P3569="Gasto",P3569="Transferencia",P3569="Pago tarjeta"),-1,1)*S3569,0)+IF(AND(AE3569&lt;&gt;"",COUNTIFS(tcTipo,AE3569,tcLiq,"Sí")&gt;0),S3569,0))</f>
        <v/>
      </c>
      <c r="AI3569" s="52">
        <f>IF(OR(L3569="",P3569=""),"",IF(COUNTIFS(L$6:L3569,L3569,P$6:P3569,"?*")=1,MAX(AI$5:AI3568)+1,""))</f>
        <v/>
      </c>
    </row>
    <row r="3570">
      <c r="B3570" s="47" t="n"/>
      <c r="C3570" s="48" t="n"/>
      <c r="D3570" s="48" t="n"/>
      <c r="E3570" s="48" t="n"/>
      <c r="F3570" s="48" t="n"/>
      <c r="G3570" s="49" t="n"/>
      <c r="H3570" s="48" t="n"/>
      <c r="I3570" s="50" t="n"/>
      <c r="J3570" s="48" t="n"/>
      <c r="K3570" s="48" t="n"/>
      <c r="L3570" s="48" t="n"/>
      <c r="M3570" s="48" t="n"/>
      <c r="N3570" s="48" t="n"/>
      <c r="O3570" s="51">
        <f>IF(AND(B3570="",G3570="",C3570="",D3570="",J3570=""),"",IF(B3570="","⚠ Falta fecha",IF(G3570="","⚠ Falta monto",IF(Q3570="","⚠ Falta cuenta",IF(ISNA(MATCH(Q3570,ctaNombre,0)),"⚠ Cuenta no registrada",IF(AND(OR(P3570="Gasto",P3570="Reembolso"),D3570=""),"⚠ Falta categoría",IF(AND(D3570&lt;&gt;"",E3570&lt;&gt;"",ISNA(MATCH(D3570&amp;"|"&amp;E3570,catClave,0))),"⚠ Subcategoría no corresponde",IF(AND(OR(P3570="Transferencia",P3570="Pago tarjeta"),K3570=""),"⚠ Falta cuenta destino",IF(AND(K3570&lt;&gt;"",P3570&lt;&gt;"Transferencia",P3570&lt;&gt;"Pago tarjeta"),"⚠ Destino solo aplica a transferencias",IF(AND(K3570&lt;&gt;"",K3570=Q3570),"⚠ Origen igual a destino",IF(AND(K3570&lt;&gt;"",ISNA(MATCH(K3570,ctaNombre,0))),"⚠ Destino no registrado",IF(AND(P3570="Pago tarjeta",AE3570&lt;&gt;"Tarjeta de crédito"),"⚠ El destino debe ser tarjeta de crédito",IF(AND(P3570="Gasto",E3570="Depósitos y retiros"),"⚠ Usa tipo Transferencia",IF(AND(P3570="Resultado trading",AD3570&lt;&gt;"Cuenta de trading"),"⚠ Usa una cuenta de trading",IF(AND(G3570&lt;=0,P3570&lt;&gt;"Ajuste",P3570&lt;&gt;"Resultado trading"),"⚠ El monto debe ser positivo","✓")))))))))))))))</f>
        <v/>
      </c>
      <c r="P3570" s="52">
        <f>IF(OR(B3570="",G3570=""),"",IF(C3570="","Gasto",C3570))</f>
        <v/>
      </c>
      <c r="Q3570" s="52">
        <f>IF(P3570="","",IF(J3570&lt;&gt;"",J3570,CuentaPred&amp;""))</f>
        <v/>
      </c>
      <c r="R3570" s="52">
        <f>IF(P3570="","",IF(ISNUMBER(I3570),I3570,TasaUSD))</f>
        <v/>
      </c>
      <c r="S3570" s="53">
        <f>IF(P3570="","",IF(H3570="USD",G3570*R3570,G3570))</f>
        <v/>
      </c>
      <c r="T3570" s="53">
        <f>IF(P3570="","",IF(H3570="USD",G3570,IF(R3570&gt;0,G3570/R3570,0)))</f>
        <v/>
      </c>
      <c r="U3570" s="53">
        <f>IF(P3570="","",IF(P3570="Gasto",S3570,IF(P3570="Reembolso",-S3570,0)))</f>
        <v/>
      </c>
      <c r="V3570" s="53">
        <f>IF(P3570="","",IF(P3570="Ingreso",S3570,0))</f>
        <v/>
      </c>
      <c r="W3570" s="53">
        <f>IF(P3570="","",IF(P3570="Resultado trading",S3570,0))</f>
        <v/>
      </c>
      <c r="X3570" s="52">
        <f>IF(OR(P3570="Gasto",P3570="Reembolso"),IF(M3570&lt;&gt;"",M3570,IFERROR(INDEX(catClasif,MATCH(D3570&amp;"|"&amp;E3570,catClave,0))&amp;"","Variable")),"")</f>
        <v/>
      </c>
      <c r="Y3570" s="52">
        <f>IF(P3570="","",IFERROR(INDEX(catGrupo,MATCH(D3570&amp;"|"&amp;E3570,catClave,0))&amp;"",""))</f>
        <v/>
      </c>
      <c r="Z3570" s="52">
        <f>IF(P3570="","",WEEKDAY(B3570,2))</f>
        <v/>
      </c>
      <c r="AA3570" s="52">
        <f>IF(P3570="","",IF(AND(P3570="Gasto",X3570="Variable",D3570&lt;&gt;catTrading,S3570&gt;0,S3570&lt;=Umbral),1,0))</f>
        <v/>
      </c>
      <c r="AB3570" s="52">
        <f>IF(OR(P3570="",Q3570=""),"",IFERROR(IF(INDEX(ctaVinc,MATCH(Q3570,ctaNombre,0))&amp;""&lt;&gt;"",INDEX(ctaVinc,MATCH(Q3570,ctaNombre,0))&amp;"",Q3570),Q3570))</f>
        <v/>
      </c>
      <c r="AC3570" s="52">
        <f>IF(OR(K3570="",AND(P3570&lt;&gt;"Transferencia",P3570&lt;&gt;"Pago tarjeta")),"",IFERROR(IF(INDEX(ctaVinc,MATCH(K3570,ctaNombre,0))&amp;""&lt;&gt;"",INDEX(ctaVinc,MATCH(K3570,ctaNombre,0))&amp;"",K3570),K3570))</f>
        <v/>
      </c>
      <c r="AD3570" s="52">
        <f>IF(AB3570="","",IFERROR(INDEX(ctaTipo,MATCH(AB3570,ctaNombre,0))&amp;"",""))</f>
        <v/>
      </c>
      <c r="AE3570" s="52">
        <f>IF(AC3570="","",IFERROR(INDEX(ctaTipo,MATCH(AC3570,ctaNombre,0))&amp;"",""))</f>
        <v/>
      </c>
      <c r="AF3570" s="53">
        <f>IF(OR(P3570="",AB3570=""),"",IF(OR(P3570="Gasto",P3570="Transferencia",P3570="Pago tarjeta"),-1,1)*IF(IFERROR(INDEX(ctaMoneda,MATCH(AB3570,ctaNombre,0))&amp;"","DOP")="USD",T3570,S3570))</f>
        <v/>
      </c>
      <c r="AG3570" s="53">
        <f>IF(AC3570="","",IF(IFERROR(INDEX(ctaMoneda,MATCH(AC3570,ctaNombre,0))&amp;"","DOP")="USD",T3570,S3570))</f>
        <v/>
      </c>
      <c r="AH3570" s="53">
        <f>IF(P3570="","",IF(AND(AD3570&lt;&gt;"",COUNTIFS(tcTipo,AD3570,tcLiq,"Sí")&gt;0),IF(OR(P3570="Gasto",P3570="Transferencia",P3570="Pago tarjeta"),-1,1)*S3570,0)+IF(AND(AE3570&lt;&gt;"",COUNTIFS(tcTipo,AE3570,tcLiq,"Sí")&gt;0),S3570,0))</f>
        <v/>
      </c>
      <c r="AI3570" s="52">
        <f>IF(OR(L3570="",P3570=""),"",IF(COUNTIFS(L$6:L3570,L3570,P$6:P3570,"?*")=1,MAX(AI$5:AI3569)+1,""))</f>
        <v/>
      </c>
    </row>
    <row r="3571">
      <c r="B3571" s="47" t="n"/>
      <c r="C3571" s="48" t="n"/>
      <c r="D3571" s="48" t="n"/>
      <c r="E3571" s="48" t="n"/>
      <c r="F3571" s="48" t="n"/>
      <c r="G3571" s="49" t="n"/>
      <c r="H3571" s="48" t="n"/>
      <c r="I3571" s="50" t="n"/>
      <c r="J3571" s="48" t="n"/>
      <c r="K3571" s="48" t="n"/>
      <c r="L3571" s="48" t="n"/>
      <c r="M3571" s="48" t="n"/>
      <c r="N3571" s="48" t="n"/>
      <c r="O3571" s="51">
        <f>IF(AND(B3571="",G3571="",C3571="",D3571="",J3571=""),"",IF(B3571="","⚠ Falta fecha",IF(G3571="","⚠ Falta monto",IF(Q3571="","⚠ Falta cuenta",IF(ISNA(MATCH(Q3571,ctaNombre,0)),"⚠ Cuenta no registrada",IF(AND(OR(P3571="Gasto",P3571="Reembolso"),D3571=""),"⚠ Falta categoría",IF(AND(D3571&lt;&gt;"",E3571&lt;&gt;"",ISNA(MATCH(D3571&amp;"|"&amp;E3571,catClave,0))),"⚠ Subcategoría no corresponde",IF(AND(OR(P3571="Transferencia",P3571="Pago tarjeta"),K3571=""),"⚠ Falta cuenta destino",IF(AND(K3571&lt;&gt;"",P3571&lt;&gt;"Transferencia",P3571&lt;&gt;"Pago tarjeta"),"⚠ Destino solo aplica a transferencias",IF(AND(K3571&lt;&gt;"",K3571=Q3571),"⚠ Origen igual a destino",IF(AND(K3571&lt;&gt;"",ISNA(MATCH(K3571,ctaNombre,0))),"⚠ Destino no registrado",IF(AND(P3571="Pago tarjeta",AE3571&lt;&gt;"Tarjeta de crédito"),"⚠ El destino debe ser tarjeta de crédito",IF(AND(P3571="Gasto",E3571="Depósitos y retiros"),"⚠ Usa tipo Transferencia",IF(AND(P3571="Resultado trading",AD3571&lt;&gt;"Cuenta de trading"),"⚠ Usa una cuenta de trading",IF(AND(G3571&lt;=0,P3571&lt;&gt;"Ajuste",P3571&lt;&gt;"Resultado trading"),"⚠ El monto debe ser positivo","✓")))))))))))))))</f>
        <v/>
      </c>
      <c r="P3571" s="52">
        <f>IF(OR(B3571="",G3571=""),"",IF(C3571="","Gasto",C3571))</f>
        <v/>
      </c>
      <c r="Q3571" s="52">
        <f>IF(P3571="","",IF(J3571&lt;&gt;"",J3571,CuentaPred&amp;""))</f>
        <v/>
      </c>
      <c r="R3571" s="52">
        <f>IF(P3571="","",IF(ISNUMBER(I3571),I3571,TasaUSD))</f>
        <v/>
      </c>
      <c r="S3571" s="53">
        <f>IF(P3571="","",IF(H3571="USD",G3571*R3571,G3571))</f>
        <v/>
      </c>
      <c r="T3571" s="53">
        <f>IF(P3571="","",IF(H3571="USD",G3571,IF(R3571&gt;0,G3571/R3571,0)))</f>
        <v/>
      </c>
      <c r="U3571" s="53">
        <f>IF(P3571="","",IF(P3571="Gasto",S3571,IF(P3571="Reembolso",-S3571,0)))</f>
        <v/>
      </c>
      <c r="V3571" s="53">
        <f>IF(P3571="","",IF(P3571="Ingreso",S3571,0))</f>
        <v/>
      </c>
      <c r="W3571" s="53">
        <f>IF(P3571="","",IF(P3571="Resultado trading",S3571,0))</f>
        <v/>
      </c>
      <c r="X3571" s="52">
        <f>IF(OR(P3571="Gasto",P3571="Reembolso"),IF(M3571&lt;&gt;"",M3571,IFERROR(INDEX(catClasif,MATCH(D3571&amp;"|"&amp;E3571,catClave,0))&amp;"","Variable")),"")</f>
        <v/>
      </c>
      <c r="Y3571" s="52">
        <f>IF(P3571="","",IFERROR(INDEX(catGrupo,MATCH(D3571&amp;"|"&amp;E3571,catClave,0))&amp;"",""))</f>
        <v/>
      </c>
      <c r="Z3571" s="52">
        <f>IF(P3571="","",WEEKDAY(B3571,2))</f>
        <v/>
      </c>
      <c r="AA3571" s="52">
        <f>IF(P3571="","",IF(AND(P3571="Gasto",X3571="Variable",D3571&lt;&gt;catTrading,S3571&gt;0,S3571&lt;=Umbral),1,0))</f>
        <v/>
      </c>
      <c r="AB3571" s="52">
        <f>IF(OR(P3571="",Q3571=""),"",IFERROR(IF(INDEX(ctaVinc,MATCH(Q3571,ctaNombre,0))&amp;""&lt;&gt;"",INDEX(ctaVinc,MATCH(Q3571,ctaNombre,0))&amp;"",Q3571),Q3571))</f>
        <v/>
      </c>
      <c r="AC3571" s="52">
        <f>IF(OR(K3571="",AND(P3571&lt;&gt;"Transferencia",P3571&lt;&gt;"Pago tarjeta")),"",IFERROR(IF(INDEX(ctaVinc,MATCH(K3571,ctaNombre,0))&amp;""&lt;&gt;"",INDEX(ctaVinc,MATCH(K3571,ctaNombre,0))&amp;"",K3571),K3571))</f>
        <v/>
      </c>
      <c r="AD3571" s="52">
        <f>IF(AB3571="","",IFERROR(INDEX(ctaTipo,MATCH(AB3571,ctaNombre,0))&amp;"",""))</f>
        <v/>
      </c>
      <c r="AE3571" s="52">
        <f>IF(AC3571="","",IFERROR(INDEX(ctaTipo,MATCH(AC3571,ctaNombre,0))&amp;"",""))</f>
        <v/>
      </c>
      <c r="AF3571" s="53">
        <f>IF(OR(P3571="",AB3571=""),"",IF(OR(P3571="Gasto",P3571="Transferencia",P3571="Pago tarjeta"),-1,1)*IF(IFERROR(INDEX(ctaMoneda,MATCH(AB3571,ctaNombre,0))&amp;"","DOP")="USD",T3571,S3571))</f>
        <v/>
      </c>
      <c r="AG3571" s="53">
        <f>IF(AC3571="","",IF(IFERROR(INDEX(ctaMoneda,MATCH(AC3571,ctaNombre,0))&amp;"","DOP")="USD",T3571,S3571))</f>
        <v/>
      </c>
      <c r="AH3571" s="53">
        <f>IF(P3571="","",IF(AND(AD3571&lt;&gt;"",COUNTIFS(tcTipo,AD3571,tcLiq,"Sí")&gt;0),IF(OR(P3571="Gasto",P3571="Transferencia",P3571="Pago tarjeta"),-1,1)*S3571,0)+IF(AND(AE3571&lt;&gt;"",COUNTIFS(tcTipo,AE3571,tcLiq,"Sí")&gt;0),S3571,0))</f>
        <v/>
      </c>
      <c r="AI3571" s="52">
        <f>IF(OR(L3571="",P3571=""),"",IF(COUNTIFS(L$6:L3571,L3571,P$6:P3571,"?*")=1,MAX(AI$5:AI3570)+1,""))</f>
        <v/>
      </c>
    </row>
    <row r="3572">
      <c r="B3572" s="47" t="n"/>
      <c r="C3572" s="48" t="n"/>
      <c r="D3572" s="48" t="n"/>
      <c r="E3572" s="48" t="n"/>
      <c r="F3572" s="48" t="n"/>
      <c r="G3572" s="49" t="n"/>
      <c r="H3572" s="48" t="n"/>
      <c r="I3572" s="50" t="n"/>
      <c r="J3572" s="48" t="n"/>
      <c r="K3572" s="48" t="n"/>
      <c r="L3572" s="48" t="n"/>
      <c r="M3572" s="48" t="n"/>
      <c r="N3572" s="48" t="n"/>
      <c r="O3572" s="51">
        <f>IF(AND(B3572="",G3572="",C3572="",D3572="",J3572=""),"",IF(B3572="","⚠ Falta fecha",IF(G3572="","⚠ Falta monto",IF(Q3572="","⚠ Falta cuenta",IF(ISNA(MATCH(Q3572,ctaNombre,0)),"⚠ Cuenta no registrada",IF(AND(OR(P3572="Gasto",P3572="Reembolso"),D3572=""),"⚠ Falta categoría",IF(AND(D3572&lt;&gt;"",E3572&lt;&gt;"",ISNA(MATCH(D3572&amp;"|"&amp;E3572,catClave,0))),"⚠ Subcategoría no corresponde",IF(AND(OR(P3572="Transferencia",P3572="Pago tarjeta"),K3572=""),"⚠ Falta cuenta destino",IF(AND(K3572&lt;&gt;"",P3572&lt;&gt;"Transferencia",P3572&lt;&gt;"Pago tarjeta"),"⚠ Destino solo aplica a transferencias",IF(AND(K3572&lt;&gt;"",K3572=Q3572),"⚠ Origen igual a destino",IF(AND(K3572&lt;&gt;"",ISNA(MATCH(K3572,ctaNombre,0))),"⚠ Destino no registrado",IF(AND(P3572="Pago tarjeta",AE3572&lt;&gt;"Tarjeta de crédito"),"⚠ El destino debe ser tarjeta de crédito",IF(AND(P3572="Gasto",E3572="Depósitos y retiros"),"⚠ Usa tipo Transferencia",IF(AND(P3572="Resultado trading",AD3572&lt;&gt;"Cuenta de trading"),"⚠ Usa una cuenta de trading",IF(AND(G3572&lt;=0,P3572&lt;&gt;"Ajuste",P3572&lt;&gt;"Resultado trading"),"⚠ El monto debe ser positivo","✓")))))))))))))))</f>
        <v/>
      </c>
      <c r="P3572" s="52">
        <f>IF(OR(B3572="",G3572=""),"",IF(C3572="","Gasto",C3572))</f>
        <v/>
      </c>
      <c r="Q3572" s="52">
        <f>IF(P3572="","",IF(J3572&lt;&gt;"",J3572,CuentaPred&amp;""))</f>
        <v/>
      </c>
      <c r="R3572" s="52">
        <f>IF(P3572="","",IF(ISNUMBER(I3572),I3572,TasaUSD))</f>
        <v/>
      </c>
      <c r="S3572" s="53">
        <f>IF(P3572="","",IF(H3572="USD",G3572*R3572,G3572))</f>
        <v/>
      </c>
      <c r="T3572" s="53">
        <f>IF(P3572="","",IF(H3572="USD",G3572,IF(R3572&gt;0,G3572/R3572,0)))</f>
        <v/>
      </c>
      <c r="U3572" s="53">
        <f>IF(P3572="","",IF(P3572="Gasto",S3572,IF(P3572="Reembolso",-S3572,0)))</f>
        <v/>
      </c>
      <c r="V3572" s="53">
        <f>IF(P3572="","",IF(P3572="Ingreso",S3572,0))</f>
        <v/>
      </c>
      <c r="W3572" s="53">
        <f>IF(P3572="","",IF(P3572="Resultado trading",S3572,0))</f>
        <v/>
      </c>
      <c r="X3572" s="52">
        <f>IF(OR(P3572="Gasto",P3572="Reembolso"),IF(M3572&lt;&gt;"",M3572,IFERROR(INDEX(catClasif,MATCH(D3572&amp;"|"&amp;E3572,catClave,0))&amp;"","Variable")),"")</f>
        <v/>
      </c>
      <c r="Y3572" s="52">
        <f>IF(P3572="","",IFERROR(INDEX(catGrupo,MATCH(D3572&amp;"|"&amp;E3572,catClave,0))&amp;"",""))</f>
        <v/>
      </c>
      <c r="Z3572" s="52">
        <f>IF(P3572="","",WEEKDAY(B3572,2))</f>
        <v/>
      </c>
      <c r="AA3572" s="52">
        <f>IF(P3572="","",IF(AND(P3572="Gasto",X3572="Variable",D3572&lt;&gt;catTrading,S3572&gt;0,S3572&lt;=Umbral),1,0))</f>
        <v/>
      </c>
      <c r="AB3572" s="52">
        <f>IF(OR(P3572="",Q3572=""),"",IFERROR(IF(INDEX(ctaVinc,MATCH(Q3572,ctaNombre,0))&amp;""&lt;&gt;"",INDEX(ctaVinc,MATCH(Q3572,ctaNombre,0))&amp;"",Q3572),Q3572))</f>
        <v/>
      </c>
      <c r="AC3572" s="52">
        <f>IF(OR(K3572="",AND(P3572&lt;&gt;"Transferencia",P3572&lt;&gt;"Pago tarjeta")),"",IFERROR(IF(INDEX(ctaVinc,MATCH(K3572,ctaNombre,0))&amp;""&lt;&gt;"",INDEX(ctaVinc,MATCH(K3572,ctaNombre,0))&amp;"",K3572),K3572))</f>
        <v/>
      </c>
      <c r="AD3572" s="52">
        <f>IF(AB3572="","",IFERROR(INDEX(ctaTipo,MATCH(AB3572,ctaNombre,0))&amp;"",""))</f>
        <v/>
      </c>
      <c r="AE3572" s="52">
        <f>IF(AC3572="","",IFERROR(INDEX(ctaTipo,MATCH(AC3572,ctaNombre,0))&amp;"",""))</f>
        <v/>
      </c>
      <c r="AF3572" s="53">
        <f>IF(OR(P3572="",AB3572=""),"",IF(OR(P3572="Gasto",P3572="Transferencia",P3572="Pago tarjeta"),-1,1)*IF(IFERROR(INDEX(ctaMoneda,MATCH(AB3572,ctaNombre,0))&amp;"","DOP")="USD",T3572,S3572))</f>
        <v/>
      </c>
      <c r="AG3572" s="53">
        <f>IF(AC3572="","",IF(IFERROR(INDEX(ctaMoneda,MATCH(AC3572,ctaNombre,0))&amp;"","DOP")="USD",T3572,S3572))</f>
        <v/>
      </c>
      <c r="AH3572" s="53">
        <f>IF(P3572="","",IF(AND(AD3572&lt;&gt;"",COUNTIFS(tcTipo,AD3572,tcLiq,"Sí")&gt;0),IF(OR(P3572="Gasto",P3572="Transferencia",P3572="Pago tarjeta"),-1,1)*S3572,0)+IF(AND(AE3572&lt;&gt;"",COUNTIFS(tcTipo,AE3572,tcLiq,"Sí")&gt;0),S3572,0))</f>
        <v/>
      </c>
      <c r="AI3572" s="52">
        <f>IF(OR(L3572="",P3572=""),"",IF(COUNTIFS(L$6:L3572,L3572,P$6:P3572,"?*")=1,MAX(AI$5:AI3571)+1,""))</f>
        <v/>
      </c>
    </row>
    <row r="3573">
      <c r="B3573" s="47" t="n"/>
      <c r="C3573" s="48" t="n"/>
      <c r="D3573" s="48" t="n"/>
      <c r="E3573" s="48" t="n"/>
      <c r="F3573" s="48" t="n"/>
      <c r="G3573" s="49" t="n"/>
      <c r="H3573" s="48" t="n"/>
      <c r="I3573" s="50" t="n"/>
      <c r="J3573" s="48" t="n"/>
      <c r="K3573" s="48" t="n"/>
      <c r="L3573" s="48" t="n"/>
      <c r="M3573" s="48" t="n"/>
      <c r="N3573" s="48" t="n"/>
      <c r="O3573" s="51">
        <f>IF(AND(B3573="",G3573="",C3573="",D3573="",J3573=""),"",IF(B3573="","⚠ Falta fecha",IF(G3573="","⚠ Falta monto",IF(Q3573="","⚠ Falta cuenta",IF(ISNA(MATCH(Q3573,ctaNombre,0)),"⚠ Cuenta no registrada",IF(AND(OR(P3573="Gasto",P3573="Reembolso"),D3573=""),"⚠ Falta categoría",IF(AND(D3573&lt;&gt;"",E3573&lt;&gt;"",ISNA(MATCH(D3573&amp;"|"&amp;E3573,catClave,0))),"⚠ Subcategoría no corresponde",IF(AND(OR(P3573="Transferencia",P3573="Pago tarjeta"),K3573=""),"⚠ Falta cuenta destino",IF(AND(K3573&lt;&gt;"",P3573&lt;&gt;"Transferencia",P3573&lt;&gt;"Pago tarjeta"),"⚠ Destino solo aplica a transferencias",IF(AND(K3573&lt;&gt;"",K3573=Q3573),"⚠ Origen igual a destino",IF(AND(K3573&lt;&gt;"",ISNA(MATCH(K3573,ctaNombre,0))),"⚠ Destino no registrado",IF(AND(P3573="Pago tarjeta",AE3573&lt;&gt;"Tarjeta de crédito"),"⚠ El destino debe ser tarjeta de crédito",IF(AND(P3573="Gasto",E3573="Depósitos y retiros"),"⚠ Usa tipo Transferencia",IF(AND(P3573="Resultado trading",AD3573&lt;&gt;"Cuenta de trading"),"⚠ Usa una cuenta de trading",IF(AND(G3573&lt;=0,P3573&lt;&gt;"Ajuste",P3573&lt;&gt;"Resultado trading"),"⚠ El monto debe ser positivo","✓")))))))))))))))</f>
        <v/>
      </c>
      <c r="P3573" s="52">
        <f>IF(OR(B3573="",G3573=""),"",IF(C3573="","Gasto",C3573))</f>
        <v/>
      </c>
      <c r="Q3573" s="52">
        <f>IF(P3573="","",IF(J3573&lt;&gt;"",J3573,CuentaPred&amp;""))</f>
        <v/>
      </c>
      <c r="R3573" s="52">
        <f>IF(P3573="","",IF(ISNUMBER(I3573),I3573,TasaUSD))</f>
        <v/>
      </c>
      <c r="S3573" s="53">
        <f>IF(P3573="","",IF(H3573="USD",G3573*R3573,G3573))</f>
        <v/>
      </c>
      <c r="T3573" s="53">
        <f>IF(P3573="","",IF(H3573="USD",G3573,IF(R3573&gt;0,G3573/R3573,0)))</f>
        <v/>
      </c>
      <c r="U3573" s="53">
        <f>IF(P3573="","",IF(P3573="Gasto",S3573,IF(P3573="Reembolso",-S3573,0)))</f>
        <v/>
      </c>
      <c r="V3573" s="53">
        <f>IF(P3573="","",IF(P3573="Ingreso",S3573,0))</f>
        <v/>
      </c>
      <c r="W3573" s="53">
        <f>IF(P3573="","",IF(P3573="Resultado trading",S3573,0))</f>
        <v/>
      </c>
      <c r="X3573" s="52">
        <f>IF(OR(P3573="Gasto",P3573="Reembolso"),IF(M3573&lt;&gt;"",M3573,IFERROR(INDEX(catClasif,MATCH(D3573&amp;"|"&amp;E3573,catClave,0))&amp;"","Variable")),"")</f>
        <v/>
      </c>
      <c r="Y3573" s="52">
        <f>IF(P3573="","",IFERROR(INDEX(catGrupo,MATCH(D3573&amp;"|"&amp;E3573,catClave,0))&amp;"",""))</f>
        <v/>
      </c>
      <c r="Z3573" s="52">
        <f>IF(P3573="","",WEEKDAY(B3573,2))</f>
        <v/>
      </c>
      <c r="AA3573" s="52">
        <f>IF(P3573="","",IF(AND(P3573="Gasto",X3573="Variable",D3573&lt;&gt;catTrading,S3573&gt;0,S3573&lt;=Umbral),1,0))</f>
        <v/>
      </c>
      <c r="AB3573" s="52">
        <f>IF(OR(P3573="",Q3573=""),"",IFERROR(IF(INDEX(ctaVinc,MATCH(Q3573,ctaNombre,0))&amp;""&lt;&gt;"",INDEX(ctaVinc,MATCH(Q3573,ctaNombre,0))&amp;"",Q3573),Q3573))</f>
        <v/>
      </c>
      <c r="AC3573" s="52">
        <f>IF(OR(K3573="",AND(P3573&lt;&gt;"Transferencia",P3573&lt;&gt;"Pago tarjeta")),"",IFERROR(IF(INDEX(ctaVinc,MATCH(K3573,ctaNombre,0))&amp;""&lt;&gt;"",INDEX(ctaVinc,MATCH(K3573,ctaNombre,0))&amp;"",K3573),K3573))</f>
        <v/>
      </c>
      <c r="AD3573" s="52">
        <f>IF(AB3573="","",IFERROR(INDEX(ctaTipo,MATCH(AB3573,ctaNombre,0))&amp;"",""))</f>
        <v/>
      </c>
      <c r="AE3573" s="52">
        <f>IF(AC3573="","",IFERROR(INDEX(ctaTipo,MATCH(AC3573,ctaNombre,0))&amp;"",""))</f>
        <v/>
      </c>
      <c r="AF3573" s="53">
        <f>IF(OR(P3573="",AB3573=""),"",IF(OR(P3573="Gasto",P3573="Transferencia",P3573="Pago tarjeta"),-1,1)*IF(IFERROR(INDEX(ctaMoneda,MATCH(AB3573,ctaNombre,0))&amp;"","DOP")="USD",T3573,S3573))</f>
        <v/>
      </c>
      <c r="AG3573" s="53">
        <f>IF(AC3573="","",IF(IFERROR(INDEX(ctaMoneda,MATCH(AC3573,ctaNombre,0))&amp;"","DOP")="USD",T3573,S3573))</f>
        <v/>
      </c>
      <c r="AH3573" s="53">
        <f>IF(P3573="","",IF(AND(AD3573&lt;&gt;"",COUNTIFS(tcTipo,AD3573,tcLiq,"Sí")&gt;0),IF(OR(P3573="Gasto",P3573="Transferencia",P3573="Pago tarjeta"),-1,1)*S3573,0)+IF(AND(AE3573&lt;&gt;"",COUNTIFS(tcTipo,AE3573,tcLiq,"Sí")&gt;0),S3573,0))</f>
        <v/>
      </c>
      <c r="AI3573" s="52">
        <f>IF(OR(L3573="",P3573=""),"",IF(COUNTIFS(L$6:L3573,L3573,P$6:P3573,"?*")=1,MAX(AI$5:AI3572)+1,""))</f>
        <v/>
      </c>
    </row>
    <row r="3574">
      <c r="B3574" s="47" t="n"/>
      <c r="C3574" s="48" t="n"/>
      <c r="D3574" s="48" t="n"/>
      <c r="E3574" s="48" t="n"/>
      <c r="F3574" s="48" t="n"/>
      <c r="G3574" s="49" t="n"/>
      <c r="H3574" s="48" t="n"/>
      <c r="I3574" s="50" t="n"/>
      <c r="J3574" s="48" t="n"/>
      <c r="K3574" s="48" t="n"/>
      <c r="L3574" s="48" t="n"/>
      <c r="M3574" s="48" t="n"/>
      <c r="N3574" s="48" t="n"/>
      <c r="O3574" s="51">
        <f>IF(AND(B3574="",G3574="",C3574="",D3574="",J3574=""),"",IF(B3574="","⚠ Falta fecha",IF(G3574="","⚠ Falta monto",IF(Q3574="","⚠ Falta cuenta",IF(ISNA(MATCH(Q3574,ctaNombre,0)),"⚠ Cuenta no registrada",IF(AND(OR(P3574="Gasto",P3574="Reembolso"),D3574=""),"⚠ Falta categoría",IF(AND(D3574&lt;&gt;"",E3574&lt;&gt;"",ISNA(MATCH(D3574&amp;"|"&amp;E3574,catClave,0))),"⚠ Subcategoría no corresponde",IF(AND(OR(P3574="Transferencia",P3574="Pago tarjeta"),K3574=""),"⚠ Falta cuenta destino",IF(AND(K3574&lt;&gt;"",P3574&lt;&gt;"Transferencia",P3574&lt;&gt;"Pago tarjeta"),"⚠ Destino solo aplica a transferencias",IF(AND(K3574&lt;&gt;"",K3574=Q3574),"⚠ Origen igual a destino",IF(AND(K3574&lt;&gt;"",ISNA(MATCH(K3574,ctaNombre,0))),"⚠ Destino no registrado",IF(AND(P3574="Pago tarjeta",AE3574&lt;&gt;"Tarjeta de crédito"),"⚠ El destino debe ser tarjeta de crédito",IF(AND(P3574="Gasto",E3574="Depósitos y retiros"),"⚠ Usa tipo Transferencia",IF(AND(P3574="Resultado trading",AD3574&lt;&gt;"Cuenta de trading"),"⚠ Usa una cuenta de trading",IF(AND(G3574&lt;=0,P3574&lt;&gt;"Ajuste",P3574&lt;&gt;"Resultado trading"),"⚠ El monto debe ser positivo","✓")))))))))))))))</f>
        <v/>
      </c>
      <c r="P3574" s="52">
        <f>IF(OR(B3574="",G3574=""),"",IF(C3574="","Gasto",C3574))</f>
        <v/>
      </c>
      <c r="Q3574" s="52">
        <f>IF(P3574="","",IF(J3574&lt;&gt;"",J3574,CuentaPred&amp;""))</f>
        <v/>
      </c>
      <c r="R3574" s="52">
        <f>IF(P3574="","",IF(ISNUMBER(I3574),I3574,TasaUSD))</f>
        <v/>
      </c>
      <c r="S3574" s="53">
        <f>IF(P3574="","",IF(H3574="USD",G3574*R3574,G3574))</f>
        <v/>
      </c>
      <c r="T3574" s="53">
        <f>IF(P3574="","",IF(H3574="USD",G3574,IF(R3574&gt;0,G3574/R3574,0)))</f>
        <v/>
      </c>
      <c r="U3574" s="53">
        <f>IF(P3574="","",IF(P3574="Gasto",S3574,IF(P3574="Reembolso",-S3574,0)))</f>
        <v/>
      </c>
      <c r="V3574" s="53">
        <f>IF(P3574="","",IF(P3574="Ingreso",S3574,0))</f>
        <v/>
      </c>
      <c r="W3574" s="53">
        <f>IF(P3574="","",IF(P3574="Resultado trading",S3574,0))</f>
        <v/>
      </c>
      <c r="X3574" s="52">
        <f>IF(OR(P3574="Gasto",P3574="Reembolso"),IF(M3574&lt;&gt;"",M3574,IFERROR(INDEX(catClasif,MATCH(D3574&amp;"|"&amp;E3574,catClave,0))&amp;"","Variable")),"")</f>
        <v/>
      </c>
      <c r="Y3574" s="52">
        <f>IF(P3574="","",IFERROR(INDEX(catGrupo,MATCH(D3574&amp;"|"&amp;E3574,catClave,0))&amp;"",""))</f>
        <v/>
      </c>
      <c r="Z3574" s="52">
        <f>IF(P3574="","",WEEKDAY(B3574,2))</f>
        <v/>
      </c>
      <c r="AA3574" s="52">
        <f>IF(P3574="","",IF(AND(P3574="Gasto",X3574="Variable",D3574&lt;&gt;catTrading,S3574&gt;0,S3574&lt;=Umbral),1,0))</f>
        <v/>
      </c>
      <c r="AB3574" s="52">
        <f>IF(OR(P3574="",Q3574=""),"",IFERROR(IF(INDEX(ctaVinc,MATCH(Q3574,ctaNombre,0))&amp;""&lt;&gt;"",INDEX(ctaVinc,MATCH(Q3574,ctaNombre,0))&amp;"",Q3574),Q3574))</f>
        <v/>
      </c>
      <c r="AC3574" s="52">
        <f>IF(OR(K3574="",AND(P3574&lt;&gt;"Transferencia",P3574&lt;&gt;"Pago tarjeta")),"",IFERROR(IF(INDEX(ctaVinc,MATCH(K3574,ctaNombre,0))&amp;""&lt;&gt;"",INDEX(ctaVinc,MATCH(K3574,ctaNombre,0))&amp;"",K3574),K3574))</f>
        <v/>
      </c>
      <c r="AD3574" s="52">
        <f>IF(AB3574="","",IFERROR(INDEX(ctaTipo,MATCH(AB3574,ctaNombre,0))&amp;"",""))</f>
        <v/>
      </c>
      <c r="AE3574" s="52">
        <f>IF(AC3574="","",IFERROR(INDEX(ctaTipo,MATCH(AC3574,ctaNombre,0))&amp;"",""))</f>
        <v/>
      </c>
      <c r="AF3574" s="53">
        <f>IF(OR(P3574="",AB3574=""),"",IF(OR(P3574="Gasto",P3574="Transferencia",P3574="Pago tarjeta"),-1,1)*IF(IFERROR(INDEX(ctaMoneda,MATCH(AB3574,ctaNombre,0))&amp;"","DOP")="USD",T3574,S3574))</f>
        <v/>
      </c>
      <c r="AG3574" s="53">
        <f>IF(AC3574="","",IF(IFERROR(INDEX(ctaMoneda,MATCH(AC3574,ctaNombre,0))&amp;"","DOP")="USD",T3574,S3574))</f>
        <v/>
      </c>
      <c r="AH3574" s="53">
        <f>IF(P3574="","",IF(AND(AD3574&lt;&gt;"",COUNTIFS(tcTipo,AD3574,tcLiq,"Sí")&gt;0),IF(OR(P3574="Gasto",P3574="Transferencia",P3574="Pago tarjeta"),-1,1)*S3574,0)+IF(AND(AE3574&lt;&gt;"",COUNTIFS(tcTipo,AE3574,tcLiq,"Sí")&gt;0),S3574,0))</f>
        <v/>
      </c>
      <c r="AI3574" s="52">
        <f>IF(OR(L3574="",P3574=""),"",IF(COUNTIFS(L$6:L3574,L3574,P$6:P3574,"?*")=1,MAX(AI$5:AI3573)+1,""))</f>
        <v/>
      </c>
    </row>
    <row r="3575">
      <c r="B3575" s="47" t="n"/>
      <c r="C3575" s="48" t="n"/>
      <c r="D3575" s="48" t="n"/>
      <c r="E3575" s="48" t="n"/>
      <c r="F3575" s="48" t="n"/>
      <c r="G3575" s="49" t="n"/>
      <c r="H3575" s="48" t="n"/>
      <c r="I3575" s="50" t="n"/>
      <c r="J3575" s="48" t="n"/>
      <c r="K3575" s="48" t="n"/>
      <c r="L3575" s="48" t="n"/>
      <c r="M3575" s="48" t="n"/>
      <c r="N3575" s="48" t="n"/>
      <c r="O3575" s="51">
        <f>IF(AND(B3575="",G3575="",C3575="",D3575="",J3575=""),"",IF(B3575="","⚠ Falta fecha",IF(G3575="","⚠ Falta monto",IF(Q3575="","⚠ Falta cuenta",IF(ISNA(MATCH(Q3575,ctaNombre,0)),"⚠ Cuenta no registrada",IF(AND(OR(P3575="Gasto",P3575="Reembolso"),D3575=""),"⚠ Falta categoría",IF(AND(D3575&lt;&gt;"",E3575&lt;&gt;"",ISNA(MATCH(D3575&amp;"|"&amp;E3575,catClave,0))),"⚠ Subcategoría no corresponde",IF(AND(OR(P3575="Transferencia",P3575="Pago tarjeta"),K3575=""),"⚠ Falta cuenta destino",IF(AND(K3575&lt;&gt;"",P3575&lt;&gt;"Transferencia",P3575&lt;&gt;"Pago tarjeta"),"⚠ Destino solo aplica a transferencias",IF(AND(K3575&lt;&gt;"",K3575=Q3575),"⚠ Origen igual a destino",IF(AND(K3575&lt;&gt;"",ISNA(MATCH(K3575,ctaNombre,0))),"⚠ Destino no registrado",IF(AND(P3575="Pago tarjeta",AE3575&lt;&gt;"Tarjeta de crédito"),"⚠ El destino debe ser tarjeta de crédito",IF(AND(P3575="Gasto",E3575="Depósitos y retiros"),"⚠ Usa tipo Transferencia",IF(AND(P3575="Resultado trading",AD3575&lt;&gt;"Cuenta de trading"),"⚠ Usa una cuenta de trading",IF(AND(G3575&lt;=0,P3575&lt;&gt;"Ajuste",P3575&lt;&gt;"Resultado trading"),"⚠ El monto debe ser positivo","✓")))))))))))))))</f>
        <v/>
      </c>
      <c r="P3575" s="52">
        <f>IF(OR(B3575="",G3575=""),"",IF(C3575="","Gasto",C3575))</f>
        <v/>
      </c>
      <c r="Q3575" s="52">
        <f>IF(P3575="","",IF(J3575&lt;&gt;"",J3575,CuentaPred&amp;""))</f>
        <v/>
      </c>
      <c r="R3575" s="52">
        <f>IF(P3575="","",IF(ISNUMBER(I3575),I3575,TasaUSD))</f>
        <v/>
      </c>
      <c r="S3575" s="53">
        <f>IF(P3575="","",IF(H3575="USD",G3575*R3575,G3575))</f>
        <v/>
      </c>
      <c r="T3575" s="53">
        <f>IF(P3575="","",IF(H3575="USD",G3575,IF(R3575&gt;0,G3575/R3575,0)))</f>
        <v/>
      </c>
      <c r="U3575" s="53">
        <f>IF(P3575="","",IF(P3575="Gasto",S3575,IF(P3575="Reembolso",-S3575,0)))</f>
        <v/>
      </c>
      <c r="V3575" s="53">
        <f>IF(P3575="","",IF(P3575="Ingreso",S3575,0))</f>
        <v/>
      </c>
      <c r="W3575" s="53">
        <f>IF(P3575="","",IF(P3575="Resultado trading",S3575,0))</f>
        <v/>
      </c>
      <c r="X3575" s="52">
        <f>IF(OR(P3575="Gasto",P3575="Reembolso"),IF(M3575&lt;&gt;"",M3575,IFERROR(INDEX(catClasif,MATCH(D3575&amp;"|"&amp;E3575,catClave,0))&amp;"","Variable")),"")</f>
        <v/>
      </c>
      <c r="Y3575" s="52">
        <f>IF(P3575="","",IFERROR(INDEX(catGrupo,MATCH(D3575&amp;"|"&amp;E3575,catClave,0))&amp;"",""))</f>
        <v/>
      </c>
      <c r="Z3575" s="52">
        <f>IF(P3575="","",WEEKDAY(B3575,2))</f>
        <v/>
      </c>
      <c r="AA3575" s="52">
        <f>IF(P3575="","",IF(AND(P3575="Gasto",X3575="Variable",D3575&lt;&gt;catTrading,S3575&gt;0,S3575&lt;=Umbral),1,0))</f>
        <v/>
      </c>
      <c r="AB3575" s="52">
        <f>IF(OR(P3575="",Q3575=""),"",IFERROR(IF(INDEX(ctaVinc,MATCH(Q3575,ctaNombre,0))&amp;""&lt;&gt;"",INDEX(ctaVinc,MATCH(Q3575,ctaNombre,0))&amp;"",Q3575),Q3575))</f>
        <v/>
      </c>
      <c r="AC3575" s="52">
        <f>IF(OR(K3575="",AND(P3575&lt;&gt;"Transferencia",P3575&lt;&gt;"Pago tarjeta")),"",IFERROR(IF(INDEX(ctaVinc,MATCH(K3575,ctaNombre,0))&amp;""&lt;&gt;"",INDEX(ctaVinc,MATCH(K3575,ctaNombre,0))&amp;"",K3575),K3575))</f>
        <v/>
      </c>
      <c r="AD3575" s="52">
        <f>IF(AB3575="","",IFERROR(INDEX(ctaTipo,MATCH(AB3575,ctaNombre,0))&amp;"",""))</f>
        <v/>
      </c>
      <c r="AE3575" s="52">
        <f>IF(AC3575="","",IFERROR(INDEX(ctaTipo,MATCH(AC3575,ctaNombre,0))&amp;"",""))</f>
        <v/>
      </c>
      <c r="AF3575" s="53">
        <f>IF(OR(P3575="",AB3575=""),"",IF(OR(P3575="Gasto",P3575="Transferencia",P3575="Pago tarjeta"),-1,1)*IF(IFERROR(INDEX(ctaMoneda,MATCH(AB3575,ctaNombre,0))&amp;"","DOP")="USD",T3575,S3575))</f>
        <v/>
      </c>
      <c r="AG3575" s="53">
        <f>IF(AC3575="","",IF(IFERROR(INDEX(ctaMoneda,MATCH(AC3575,ctaNombre,0))&amp;"","DOP")="USD",T3575,S3575))</f>
        <v/>
      </c>
      <c r="AH3575" s="53">
        <f>IF(P3575="","",IF(AND(AD3575&lt;&gt;"",COUNTIFS(tcTipo,AD3575,tcLiq,"Sí")&gt;0),IF(OR(P3575="Gasto",P3575="Transferencia",P3575="Pago tarjeta"),-1,1)*S3575,0)+IF(AND(AE3575&lt;&gt;"",COUNTIFS(tcTipo,AE3575,tcLiq,"Sí")&gt;0),S3575,0))</f>
        <v/>
      </c>
      <c r="AI3575" s="52">
        <f>IF(OR(L3575="",P3575=""),"",IF(COUNTIFS(L$6:L3575,L3575,P$6:P3575,"?*")=1,MAX(AI$5:AI3574)+1,""))</f>
        <v/>
      </c>
    </row>
    <row r="3576">
      <c r="B3576" s="47" t="n"/>
      <c r="C3576" s="48" t="n"/>
      <c r="D3576" s="48" t="n"/>
      <c r="E3576" s="48" t="n"/>
      <c r="F3576" s="48" t="n"/>
      <c r="G3576" s="49" t="n"/>
      <c r="H3576" s="48" t="n"/>
      <c r="I3576" s="50" t="n"/>
      <c r="J3576" s="48" t="n"/>
      <c r="K3576" s="48" t="n"/>
      <c r="L3576" s="48" t="n"/>
      <c r="M3576" s="48" t="n"/>
      <c r="N3576" s="48" t="n"/>
      <c r="O3576" s="51">
        <f>IF(AND(B3576="",G3576="",C3576="",D3576="",J3576=""),"",IF(B3576="","⚠ Falta fecha",IF(G3576="","⚠ Falta monto",IF(Q3576="","⚠ Falta cuenta",IF(ISNA(MATCH(Q3576,ctaNombre,0)),"⚠ Cuenta no registrada",IF(AND(OR(P3576="Gasto",P3576="Reembolso"),D3576=""),"⚠ Falta categoría",IF(AND(D3576&lt;&gt;"",E3576&lt;&gt;"",ISNA(MATCH(D3576&amp;"|"&amp;E3576,catClave,0))),"⚠ Subcategoría no corresponde",IF(AND(OR(P3576="Transferencia",P3576="Pago tarjeta"),K3576=""),"⚠ Falta cuenta destino",IF(AND(K3576&lt;&gt;"",P3576&lt;&gt;"Transferencia",P3576&lt;&gt;"Pago tarjeta"),"⚠ Destino solo aplica a transferencias",IF(AND(K3576&lt;&gt;"",K3576=Q3576),"⚠ Origen igual a destino",IF(AND(K3576&lt;&gt;"",ISNA(MATCH(K3576,ctaNombre,0))),"⚠ Destino no registrado",IF(AND(P3576="Pago tarjeta",AE3576&lt;&gt;"Tarjeta de crédito"),"⚠ El destino debe ser tarjeta de crédito",IF(AND(P3576="Gasto",E3576="Depósitos y retiros"),"⚠ Usa tipo Transferencia",IF(AND(P3576="Resultado trading",AD3576&lt;&gt;"Cuenta de trading"),"⚠ Usa una cuenta de trading",IF(AND(G3576&lt;=0,P3576&lt;&gt;"Ajuste",P3576&lt;&gt;"Resultado trading"),"⚠ El monto debe ser positivo","✓")))))))))))))))</f>
        <v/>
      </c>
      <c r="P3576" s="52">
        <f>IF(OR(B3576="",G3576=""),"",IF(C3576="","Gasto",C3576))</f>
        <v/>
      </c>
      <c r="Q3576" s="52">
        <f>IF(P3576="","",IF(J3576&lt;&gt;"",J3576,CuentaPred&amp;""))</f>
        <v/>
      </c>
      <c r="R3576" s="52">
        <f>IF(P3576="","",IF(ISNUMBER(I3576),I3576,TasaUSD))</f>
        <v/>
      </c>
      <c r="S3576" s="53">
        <f>IF(P3576="","",IF(H3576="USD",G3576*R3576,G3576))</f>
        <v/>
      </c>
      <c r="T3576" s="53">
        <f>IF(P3576="","",IF(H3576="USD",G3576,IF(R3576&gt;0,G3576/R3576,0)))</f>
        <v/>
      </c>
      <c r="U3576" s="53">
        <f>IF(P3576="","",IF(P3576="Gasto",S3576,IF(P3576="Reembolso",-S3576,0)))</f>
        <v/>
      </c>
      <c r="V3576" s="53">
        <f>IF(P3576="","",IF(P3576="Ingreso",S3576,0))</f>
        <v/>
      </c>
      <c r="W3576" s="53">
        <f>IF(P3576="","",IF(P3576="Resultado trading",S3576,0))</f>
        <v/>
      </c>
      <c r="X3576" s="52">
        <f>IF(OR(P3576="Gasto",P3576="Reembolso"),IF(M3576&lt;&gt;"",M3576,IFERROR(INDEX(catClasif,MATCH(D3576&amp;"|"&amp;E3576,catClave,0))&amp;"","Variable")),"")</f>
        <v/>
      </c>
      <c r="Y3576" s="52">
        <f>IF(P3576="","",IFERROR(INDEX(catGrupo,MATCH(D3576&amp;"|"&amp;E3576,catClave,0))&amp;"",""))</f>
        <v/>
      </c>
      <c r="Z3576" s="52">
        <f>IF(P3576="","",WEEKDAY(B3576,2))</f>
        <v/>
      </c>
      <c r="AA3576" s="52">
        <f>IF(P3576="","",IF(AND(P3576="Gasto",X3576="Variable",D3576&lt;&gt;catTrading,S3576&gt;0,S3576&lt;=Umbral),1,0))</f>
        <v/>
      </c>
      <c r="AB3576" s="52">
        <f>IF(OR(P3576="",Q3576=""),"",IFERROR(IF(INDEX(ctaVinc,MATCH(Q3576,ctaNombre,0))&amp;""&lt;&gt;"",INDEX(ctaVinc,MATCH(Q3576,ctaNombre,0))&amp;"",Q3576),Q3576))</f>
        <v/>
      </c>
      <c r="AC3576" s="52">
        <f>IF(OR(K3576="",AND(P3576&lt;&gt;"Transferencia",P3576&lt;&gt;"Pago tarjeta")),"",IFERROR(IF(INDEX(ctaVinc,MATCH(K3576,ctaNombre,0))&amp;""&lt;&gt;"",INDEX(ctaVinc,MATCH(K3576,ctaNombre,0))&amp;"",K3576),K3576))</f>
        <v/>
      </c>
      <c r="AD3576" s="52">
        <f>IF(AB3576="","",IFERROR(INDEX(ctaTipo,MATCH(AB3576,ctaNombre,0))&amp;"",""))</f>
        <v/>
      </c>
      <c r="AE3576" s="52">
        <f>IF(AC3576="","",IFERROR(INDEX(ctaTipo,MATCH(AC3576,ctaNombre,0))&amp;"",""))</f>
        <v/>
      </c>
      <c r="AF3576" s="53">
        <f>IF(OR(P3576="",AB3576=""),"",IF(OR(P3576="Gasto",P3576="Transferencia",P3576="Pago tarjeta"),-1,1)*IF(IFERROR(INDEX(ctaMoneda,MATCH(AB3576,ctaNombre,0))&amp;"","DOP")="USD",T3576,S3576))</f>
        <v/>
      </c>
      <c r="AG3576" s="53">
        <f>IF(AC3576="","",IF(IFERROR(INDEX(ctaMoneda,MATCH(AC3576,ctaNombre,0))&amp;"","DOP")="USD",T3576,S3576))</f>
        <v/>
      </c>
      <c r="AH3576" s="53">
        <f>IF(P3576="","",IF(AND(AD3576&lt;&gt;"",COUNTIFS(tcTipo,AD3576,tcLiq,"Sí")&gt;0),IF(OR(P3576="Gasto",P3576="Transferencia",P3576="Pago tarjeta"),-1,1)*S3576,0)+IF(AND(AE3576&lt;&gt;"",COUNTIFS(tcTipo,AE3576,tcLiq,"Sí")&gt;0),S3576,0))</f>
        <v/>
      </c>
      <c r="AI3576" s="52">
        <f>IF(OR(L3576="",P3576=""),"",IF(COUNTIFS(L$6:L3576,L3576,P$6:P3576,"?*")=1,MAX(AI$5:AI3575)+1,""))</f>
        <v/>
      </c>
    </row>
    <row r="3577">
      <c r="B3577" s="47" t="n"/>
      <c r="C3577" s="48" t="n"/>
      <c r="D3577" s="48" t="n"/>
      <c r="E3577" s="48" t="n"/>
      <c r="F3577" s="48" t="n"/>
      <c r="G3577" s="49" t="n"/>
      <c r="H3577" s="48" t="n"/>
      <c r="I3577" s="50" t="n"/>
      <c r="J3577" s="48" t="n"/>
      <c r="K3577" s="48" t="n"/>
      <c r="L3577" s="48" t="n"/>
      <c r="M3577" s="48" t="n"/>
      <c r="N3577" s="48" t="n"/>
      <c r="O3577" s="51">
        <f>IF(AND(B3577="",G3577="",C3577="",D3577="",J3577=""),"",IF(B3577="","⚠ Falta fecha",IF(G3577="","⚠ Falta monto",IF(Q3577="","⚠ Falta cuenta",IF(ISNA(MATCH(Q3577,ctaNombre,0)),"⚠ Cuenta no registrada",IF(AND(OR(P3577="Gasto",P3577="Reembolso"),D3577=""),"⚠ Falta categoría",IF(AND(D3577&lt;&gt;"",E3577&lt;&gt;"",ISNA(MATCH(D3577&amp;"|"&amp;E3577,catClave,0))),"⚠ Subcategoría no corresponde",IF(AND(OR(P3577="Transferencia",P3577="Pago tarjeta"),K3577=""),"⚠ Falta cuenta destino",IF(AND(K3577&lt;&gt;"",P3577&lt;&gt;"Transferencia",P3577&lt;&gt;"Pago tarjeta"),"⚠ Destino solo aplica a transferencias",IF(AND(K3577&lt;&gt;"",K3577=Q3577),"⚠ Origen igual a destino",IF(AND(K3577&lt;&gt;"",ISNA(MATCH(K3577,ctaNombre,0))),"⚠ Destino no registrado",IF(AND(P3577="Pago tarjeta",AE3577&lt;&gt;"Tarjeta de crédito"),"⚠ El destino debe ser tarjeta de crédito",IF(AND(P3577="Gasto",E3577="Depósitos y retiros"),"⚠ Usa tipo Transferencia",IF(AND(P3577="Resultado trading",AD3577&lt;&gt;"Cuenta de trading"),"⚠ Usa una cuenta de trading",IF(AND(G3577&lt;=0,P3577&lt;&gt;"Ajuste",P3577&lt;&gt;"Resultado trading"),"⚠ El monto debe ser positivo","✓")))))))))))))))</f>
        <v/>
      </c>
      <c r="P3577" s="52">
        <f>IF(OR(B3577="",G3577=""),"",IF(C3577="","Gasto",C3577))</f>
        <v/>
      </c>
      <c r="Q3577" s="52">
        <f>IF(P3577="","",IF(J3577&lt;&gt;"",J3577,CuentaPred&amp;""))</f>
        <v/>
      </c>
      <c r="R3577" s="52">
        <f>IF(P3577="","",IF(ISNUMBER(I3577),I3577,TasaUSD))</f>
        <v/>
      </c>
      <c r="S3577" s="53">
        <f>IF(P3577="","",IF(H3577="USD",G3577*R3577,G3577))</f>
        <v/>
      </c>
      <c r="T3577" s="53">
        <f>IF(P3577="","",IF(H3577="USD",G3577,IF(R3577&gt;0,G3577/R3577,0)))</f>
        <v/>
      </c>
      <c r="U3577" s="53">
        <f>IF(P3577="","",IF(P3577="Gasto",S3577,IF(P3577="Reembolso",-S3577,0)))</f>
        <v/>
      </c>
      <c r="V3577" s="53">
        <f>IF(P3577="","",IF(P3577="Ingreso",S3577,0))</f>
        <v/>
      </c>
      <c r="W3577" s="53">
        <f>IF(P3577="","",IF(P3577="Resultado trading",S3577,0))</f>
        <v/>
      </c>
      <c r="X3577" s="52">
        <f>IF(OR(P3577="Gasto",P3577="Reembolso"),IF(M3577&lt;&gt;"",M3577,IFERROR(INDEX(catClasif,MATCH(D3577&amp;"|"&amp;E3577,catClave,0))&amp;"","Variable")),"")</f>
        <v/>
      </c>
      <c r="Y3577" s="52">
        <f>IF(P3577="","",IFERROR(INDEX(catGrupo,MATCH(D3577&amp;"|"&amp;E3577,catClave,0))&amp;"",""))</f>
        <v/>
      </c>
      <c r="Z3577" s="52">
        <f>IF(P3577="","",WEEKDAY(B3577,2))</f>
        <v/>
      </c>
      <c r="AA3577" s="52">
        <f>IF(P3577="","",IF(AND(P3577="Gasto",X3577="Variable",D3577&lt;&gt;catTrading,S3577&gt;0,S3577&lt;=Umbral),1,0))</f>
        <v/>
      </c>
      <c r="AB3577" s="52">
        <f>IF(OR(P3577="",Q3577=""),"",IFERROR(IF(INDEX(ctaVinc,MATCH(Q3577,ctaNombre,0))&amp;""&lt;&gt;"",INDEX(ctaVinc,MATCH(Q3577,ctaNombre,0))&amp;"",Q3577),Q3577))</f>
        <v/>
      </c>
      <c r="AC3577" s="52">
        <f>IF(OR(K3577="",AND(P3577&lt;&gt;"Transferencia",P3577&lt;&gt;"Pago tarjeta")),"",IFERROR(IF(INDEX(ctaVinc,MATCH(K3577,ctaNombre,0))&amp;""&lt;&gt;"",INDEX(ctaVinc,MATCH(K3577,ctaNombre,0))&amp;"",K3577),K3577))</f>
        <v/>
      </c>
      <c r="AD3577" s="52">
        <f>IF(AB3577="","",IFERROR(INDEX(ctaTipo,MATCH(AB3577,ctaNombre,0))&amp;"",""))</f>
        <v/>
      </c>
      <c r="AE3577" s="52">
        <f>IF(AC3577="","",IFERROR(INDEX(ctaTipo,MATCH(AC3577,ctaNombre,0))&amp;"",""))</f>
        <v/>
      </c>
      <c r="AF3577" s="53">
        <f>IF(OR(P3577="",AB3577=""),"",IF(OR(P3577="Gasto",P3577="Transferencia",P3577="Pago tarjeta"),-1,1)*IF(IFERROR(INDEX(ctaMoneda,MATCH(AB3577,ctaNombre,0))&amp;"","DOP")="USD",T3577,S3577))</f>
        <v/>
      </c>
      <c r="AG3577" s="53">
        <f>IF(AC3577="","",IF(IFERROR(INDEX(ctaMoneda,MATCH(AC3577,ctaNombre,0))&amp;"","DOP")="USD",T3577,S3577))</f>
        <v/>
      </c>
      <c r="AH3577" s="53">
        <f>IF(P3577="","",IF(AND(AD3577&lt;&gt;"",COUNTIFS(tcTipo,AD3577,tcLiq,"Sí")&gt;0),IF(OR(P3577="Gasto",P3577="Transferencia",P3577="Pago tarjeta"),-1,1)*S3577,0)+IF(AND(AE3577&lt;&gt;"",COUNTIFS(tcTipo,AE3577,tcLiq,"Sí")&gt;0),S3577,0))</f>
        <v/>
      </c>
      <c r="AI3577" s="52">
        <f>IF(OR(L3577="",P3577=""),"",IF(COUNTIFS(L$6:L3577,L3577,P$6:P3577,"?*")=1,MAX(AI$5:AI3576)+1,""))</f>
        <v/>
      </c>
    </row>
    <row r="3578">
      <c r="B3578" s="47" t="n"/>
      <c r="C3578" s="48" t="n"/>
      <c r="D3578" s="48" t="n"/>
      <c r="E3578" s="48" t="n"/>
      <c r="F3578" s="48" t="n"/>
      <c r="G3578" s="49" t="n"/>
      <c r="H3578" s="48" t="n"/>
      <c r="I3578" s="50" t="n"/>
      <c r="J3578" s="48" t="n"/>
      <c r="K3578" s="48" t="n"/>
      <c r="L3578" s="48" t="n"/>
      <c r="M3578" s="48" t="n"/>
      <c r="N3578" s="48" t="n"/>
      <c r="O3578" s="51">
        <f>IF(AND(B3578="",G3578="",C3578="",D3578="",J3578=""),"",IF(B3578="","⚠ Falta fecha",IF(G3578="","⚠ Falta monto",IF(Q3578="","⚠ Falta cuenta",IF(ISNA(MATCH(Q3578,ctaNombre,0)),"⚠ Cuenta no registrada",IF(AND(OR(P3578="Gasto",P3578="Reembolso"),D3578=""),"⚠ Falta categoría",IF(AND(D3578&lt;&gt;"",E3578&lt;&gt;"",ISNA(MATCH(D3578&amp;"|"&amp;E3578,catClave,0))),"⚠ Subcategoría no corresponde",IF(AND(OR(P3578="Transferencia",P3578="Pago tarjeta"),K3578=""),"⚠ Falta cuenta destino",IF(AND(K3578&lt;&gt;"",P3578&lt;&gt;"Transferencia",P3578&lt;&gt;"Pago tarjeta"),"⚠ Destino solo aplica a transferencias",IF(AND(K3578&lt;&gt;"",K3578=Q3578),"⚠ Origen igual a destino",IF(AND(K3578&lt;&gt;"",ISNA(MATCH(K3578,ctaNombre,0))),"⚠ Destino no registrado",IF(AND(P3578="Pago tarjeta",AE3578&lt;&gt;"Tarjeta de crédito"),"⚠ El destino debe ser tarjeta de crédito",IF(AND(P3578="Gasto",E3578="Depósitos y retiros"),"⚠ Usa tipo Transferencia",IF(AND(P3578="Resultado trading",AD3578&lt;&gt;"Cuenta de trading"),"⚠ Usa una cuenta de trading",IF(AND(G3578&lt;=0,P3578&lt;&gt;"Ajuste",P3578&lt;&gt;"Resultado trading"),"⚠ El monto debe ser positivo","✓")))))))))))))))</f>
        <v/>
      </c>
      <c r="P3578" s="52">
        <f>IF(OR(B3578="",G3578=""),"",IF(C3578="","Gasto",C3578))</f>
        <v/>
      </c>
      <c r="Q3578" s="52">
        <f>IF(P3578="","",IF(J3578&lt;&gt;"",J3578,CuentaPred&amp;""))</f>
        <v/>
      </c>
      <c r="R3578" s="52">
        <f>IF(P3578="","",IF(ISNUMBER(I3578),I3578,TasaUSD))</f>
        <v/>
      </c>
      <c r="S3578" s="53">
        <f>IF(P3578="","",IF(H3578="USD",G3578*R3578,G3578))</f>
        <v/>
      </c>
      <c r="T3578" s="53">
        <f>IF(P3578="","",IF(H3578="USD",G3578,IF(R3578&gt;0,G3578/R3578,0)))</f>
        <v/>
      </c>
      <c r="U3578" s="53">
        <f>IF(P3578="","",IF(P3578="Gasto",S3578,IF(P3578="Reembolso",-S3578,0)))</f>
        <v/>
      </c>
      <c r="V3578" s="53">
        <f>IF(P3578="","",IF(P3578="Ingreso",S3578,0))</f>
        <v/>
      </c>
      <c r="W3578" s="53">
        <f>IF(P3578="","",IF(P3578="Resultado trading",S3578,0))</f>
        <v/>
      </c>
      <c r="X3578" s="52">
        <f>IF(OR(P3578="Gasto",P3578="Reembolso"),IF(M3578&lt;&gt;"",M3578,IFERROR(INDEX(catClasif,MATCH(D3578&amp;"|"&amp;E3578,catClave,0))&amp;"","Variable")),"")</f>
        <v/>
      </c>
      <c r="Y3578" s="52">
        <f>IF(P3578="","",IFERROR(INDEX(catGrupo,MATCH(D3578&amp;"|"&amp;E3578,catClave,0))&amp;"",""))</f>
        <v/>
      </c>
      <c r="Z3578" s="52">
        <f>IF(P3578="","",WEEKDAY(B3578,2))</f>
        <v/>
      </c>
      <c r="AA3578" s="52">
        <f>IF(P3578="","",IF(AND(P3578="Gasto",X3578="Variable",D3578&lt;&gt;catTrading,S3578&gt;0,S3578&lt;=Umbral),1,0))</f>
        <v/>
      </c>
      <c r="AB3578" s="52">
        <f>IF(OR(P3578="",Q3578=""),"",IFERROR(IF(INDEX(ctaVinc,MATCH(Q3578,ctaNombre,0))&amp;""&lt;&gt;"",INDEX(ctaVinc,MATCH(Q3578,ctaNombre,0))&amp;"",Q3578),Q3578))</f>
        <v/>
      </c>
      <c r="AC3578" s="52">
        <f>IF(OR(K3578="",AND(P3578&lt;&gt;"Transferencia",P3578&lt;&gt;"Pago tarjeta")),"",IFERROR(IF(INDEX(ctaVinc,MATCH(K3578,ctaNombre,0))&amp;""&lt;&gt;"",INDEX(ctaVinc,MATCH(K3578,ctaNombre,0))&amp;"",K3578),K3578))</f>
        <v/>
      </c>
      <c r="AD3578" s="52">
        <f>IF(AB3578="","",IFERROR(INDEX(ctaTipo,MATCH(AB3578,ctaNombre,0))&amp;"",""))</f>
        <v/>
      </c>
      <c r="AE3578" s="52">
        <f>IF(AC3578="","",IFERROR(INDEX(ctaTipo,MATCH(AC3578,ctaNombre,0))&amp;"",""))</f>
        <v/>
      </c>
      <c r="AF3578" s="53">
        <f>IF(OR(P3578="",AB3578=""),"",IF(OR(P3578="Gasto",P3578="Transferencia",P3578="Pago tarjeta"),-1,1)*IF(IFERROR(INDEX(ctaMoneda,MATCH(AB3578,ctaNombre,0))&amp;"","DOP")="USD",T3578,S3578))</f>
        <v/>
      </c>
      <c r="AG3578" s="53">
        <f>IF(AC3578="","",IF(IFERROR(INDEX(ctaMoneda,MATCH(AC3578,ctaNombre,0))&amp;"","DOP")="USD",T3578,S3578))</f>
        <v/>
      </c>
      <c r="AH3578" s="53">
        <f>IF(P3578="","",IF(AND(AD3578&lt;&gt;"",COUNTIFS(tcTipo,AD3578,tcLiq,"Sí")&gt;0),IF(OR(P3578="Gasto",P3578="Transferencia",P3578="Pago tarjeta"),-1,1)*S3578,0)+IF(AND(AE3578&lt;&gt;"",COUNTIFS(tcTipo,AE3578,tcLiq,"Sí")&gt;0),S3578,0))</f>
        <v/>
      </c>
      <c r="AI3578" s="52">
        <f>IF(OR(L3578="",P3578=""),"",IF(COUNTIFS(L$6:L3578,L3578,P$6:P3578,"?*")=1,MAX(AI$5:AI3577)+1,""))</f>
        <v/>
      </c>
    </row>
    <row r="3579">
      <c r="B3579" s="47" t="n"/>
      <c r="C3579" s="48" t="n"/>
      <c r="D3579" s="48" t="n"/>
      <c r="E3579" s="48" t="n"/>
      <c r="F3579" s="48" t="n"/>
      <c r="G3579" s="49" t="n"/>
      <c r="H3579" s="48" t="n"/>
      <c r="I3579" s="50" t="n"/>
      <c r="J3579" s="48" t="n"/>
      <c r="K3579" s="48" t="n"/>
      <c r="L3579" s="48" t="n"/>
      <c r="M3579" s="48" t="n"/>
      <c r="N3579" s="48" t="n"/>
      <c r="O3579" s="51">
        <f>IF(AND(B3579="",G3579="",C3579="",D3579="",J3579=""),"",IF(B3579="","⚠ Falta fecha",IF(G3579="","⚠ Falta monto",IF(Q3579="","⚠ Falta cuenta",IF(ISNA(MATCH(Q3579,ctaNombre,0)),"⚠ Cuenta no registrada",IF(AND(OR(P3579="Gasto",P3579="Reembolso"),D3579=""),"⚠ Falta categoría",IF(AND(D3579&lt;&gt;"",E3579&lt;&gt;"",ISNA(MATCH(D3579&amp;"|"&amp;E3579,catClave,0))),"⚠ Subcategoría no corresponde",IF(AND(OR(P3579="Transferencia",P3579="Pago tarjeta"),K3579=""),"⚠ Falta cuenta destino",IF(AND(K3579&lt;&gt;"",P3579&lt;&gt;"Transferencia",P3579&lt;&gt;"Pago tarjeta"),"⚠ Destino solo aplica a transferencias",IF(AND(K3579&lt;&gt;"",K3579=Q3579),"⚠ Origen igual a destino",IF(AND(K3579&lt;&gt;"",ISNA(MATCH(K3579,ctaNombre,0))),"⚠ Destino no registrado",IF(AND(P3579="Pago tarjeta",AE3579&lt;&gt;"Tarjeta de crédito"),"⚠ El destino debe ser tarjeta de crédito",IF(AND(P3579="Gasto",E3579="Depósitos y retiros"),"⚠ Usa tipo Transferencia",IF(AND(P3579="Resultado trading",AD3579&lt;&gt;"Cuenta de trading"),"⚠ Usa una cuenta de trading",IF(AND(G3579&lt;=0,P3579&lt;&gt;"Ajuste",P3579&lt;&gt;"Resultado trading"),"⚠ El monto debe ser positivo","✓")))))))))))))))</f>
        <v/>
      </c>
      <c r="P3579" s="52">
        <f>IF(OR(B3579="",G3579=""),"",IF(C3579="","Gasto",C3579))</f>
        <v/>
      </c>
      <c r="Q3579" s="52">
        <f>IF(P3579="","",IF(J3579&lt;&gt;"",J3579,CuentaPred&amp;""))</f>
        <v/>
      </c>
      <c r="R3579" s="52">
        <f>IF(P3579="","",IF(ISNUMBER(I3579),I3579,TasaUSD))</f>
        <v/>
      </c>
      <c r="S3579" s="53">
        <f>IF(P3579="","",IF(H3579="USD",G3579*R3579,G3579))</f>
        <v/>
      </c>
      <c r="T3579" s="53">
        <f>IF(P3579="","",IF(H3579="USD",G3579,IF(R3579&gt;0,G3579/R3579,0)))</f>
        <v/>
      </c>
      <c r="U3579" s="53">
        <f>IF(P3579="","",IF(P3579="Gasto",S3579,IF(P3579="Reembolso",-S3579,0)))</f>
        <v/>
      </c>
      <c r="V3579" s="53">
        <f>IF(P3579="","",IF(P3579="Ingreso",S3579,0))</f>
        <v/>
      </c>
      <c r="W3579" s="53">
        <f>IF(P3579="","",IF(P3579="Resultado trading",S3579,0))</f>
        <v/>
      </c>
      <c r="X3579" s="52">
        <f>IF(OR(P3579="Gasto",P3579="Reembolso"),IF(M3579&lt;&gt;"",M3579,IFERROR(INDEX(catClasif,MATCH(D3579&amp;"|"&amp;E3579,catClave,0))&amp;"","Variable")),"")</f>
        <v/>
      </c>
      <c r="Y3579" s="52">
        <f>IF(P3579="","",IFERROR(INDEX(catGrupo,MATCH(D3579&amp;"|"&amp;E3579,catClave,0))&amp;"",""))</f>
        <v/>
      </c>
      <c r="Z3579" s="52">
        <f>IF(P3579="","",WEEKDAY(B3579,2))</f>
        <v/>
      </c>
      <c r="AA3579" s="52">
        <f>IF(P3579="","",IF(AND(P3579="Gasto",X3579="Variable",D3579&lt;&gt;catTrading,S3579&gt;0,S3579&lt;=Umbral),1,0))</f>
        <v/>
      </c>
      <c r="AB3579" s="52">
        <f>IF(OR(P3579="",Q3579=""),"",IFERROR(IF(INDEX(ctaVinc,MATCH(Q3579,ctaNombre,0))&amp;""&lt;&gt;"",INDEX(ctaVinc,MATCH(Q3579,ctaNombre,0))&amp;"",Q3579),Q3579))</f>
        <v/>
      </c>
      <c r="AC3579" s="52">
        <f>IF(OR(K3579="",AND(P3579&lt;&gt;"Transferencia",P3579&lt;&gt;"Pago tarjeta")),"",IFERROR(IF(INDEX(ctaVinc,MATCH(K3579,ctaNombre,0))&amp;""&lt;&gt;"",INDEX(ctaVinc,MATCH(K3579,ctaNombre,0))&amp;"",K3579),K3579))</f>
        <v/>
      </c>
      <c r="AD3579" s="52">
        <f>IF(AB3579="","",IFERROR(INDEX(ctaTipo,MATCH(AB3579,ctaNombre,0))&amp;"",""))</f>
        <v/>
      </c>
      <c r="AE3579" s="52">
        <f>IF(AC3579="","",IFERROR(INDEX(ctaTipo,MATCH(AC3579,ctaNombre,0))&amp;"",""))</f>
        <v/>
      </c>
      <c r="AF3579" s="53">
        <f>IF(OR(P3579="",AB3579=""),"",IF(OR(P3579="Gasto",P3579="Transferencia",P3579="Pago tarjeta"),-1,1)*IF(IFERROR(INDEX(ctaMoneda,MATCH(AB3579,ctaNombre,0))&amp;"","DOP")="USD",T3579,S3579))</f>
        <v/>
      </c>
      <c r="AG3579" s="53">
        <f>IF(AC3579="","",IF(IFERROR(INDEX(ctaMoneda,MATCH(AC3579,ctaNombre,0))&amp;"","DOP")="USD",T3579,S3579))</f>
        <v/>
      </c>
      <c r="AH3579" s="53">
        <f>IF(P3579="","",IF(AND(AD3579&lt;&gt;"",COUNTIFS(tcTipo,AD3579,tcLiq,"Sí")&gt;0),IF(OR(P3579="Gasto",P3579="Transferencia",P3579="Pago tarjeta"),-1,1)*S3579,0)+IF(AND(AE3579&lt;&gt;"",COUNTIFS(tcTipo,AE3579,tcLiq,"Sí")&gt;0),S3579,0))</f>
        <v/>
      </c>
      <c r="AI3579" s="52">
        <f>IF(OR(L3579="",P3579=""),"",IF(COUNTIFS(L$6:L3579,L3579,P$6:P3579,"?*")=1,MAX(AI$5:AI3578)+1,""))</f>
        <v/>
      </c>
    </row>
    <row r="3580">
      <c r="B3580" s="47" t="n"/>
      <c r="C3580" s="48" t="n"/>
      <c r="D3580" s="48" t="n"/>
      <c r="E3580" s="48" t="n"/>
      <c r="F3580" s="48" t="n"/>
      <c r="G3580" s="49" t="n"/>
      <c r="H3580" s="48" t="n"/>
      <c r="I3580" s="50" t="n"/>
      <c r="J3580" s="48" t="n"/>
      <c r="K3580" s="48" t="n"/>
      <c r="L3580" s="48" t="n"/>
      <c r="M3580" s="48" t="n"/>
      <c r="N3580" s="48" t="n"/>
      <c r="O3580" s="51">
        <f>IF(AND(B3580="",G3580="",C3580="",D3580="",J3580=""),"",IF(B3580="","⚠ Falta fecha",IF(G3580="","⚠ Falta monto",IF(Q3580="","⚠ Falta cuenta",IF(ISNA(MATCH(Q3580,ctaNombre,0)),"⚠ Cuenta no registrada",IF(AND(OR(P3580="Gasto",P3580="Reembolso"),D3580=""),"⚠ Falta categoría",IF(AND(D3580&lt;&gt;"",E3580&lt;&gt;"",ISNA(MATCH(D3580&amp;"|"&amp;E3580,catClave,0))),"⚠ Subcategoría no corresponde",IF(AND(OR(P3580="Transferencia",P3580="Pago tarjeta"),K3580=""),"⚠ Falta cuenta destino",IF(AND(K3580&lt;&gt;"",P3580&lt;&gt;"Transferencia",P3580&lt;&gt;"Pago tarjeta"),"⚠ Destino solo aplica a transferencias",IF(AND(K3580&lt;&gt;"",K3580=Q3580),"⚠ Origen igual a destino",IF(AND(K3580&lt;&gt;"",ISNA(MATCH(K3580,ctaNombre,0))),"⚠ Destino no registrado",IF(AND(P3580="Pago tarjeta",AE3580&lt;&gt;"Tarjeta de crédito"),"⚠ El destino debe ser tarjeta de crédito",IF(AND(P3580="Gasto",E3580="Depósitos y retiros"),"⚠ Usa tipo Transferencia",IF(AND(P3580="Resultado trading",AD3580&lt;&gt;"Cuenta de trading"),"⚠ Usa una cuenta de trading",IF(AND(G3580&lt;=0,P3580&lt;&gt;"Ajuste",P3580&lt;&gt;"Resultado trading"),"⚠ El monto debe ser positivo","✓")))))))))))))))</f>
        <v/>
      </c>
      <c r="P3580" s="52">
        <f>IF(OR(B3580="",G3580=""),"",IF(C3580="","Gasto",C3580))</f>
        <v/>
      </c>
      <c r="Q3580" s="52">
        <f>IF(P3580="","",IF(J3580&lt;&gt;"",J3580,CuentaPred&amp;""))</f>
        <v/>
      </c>
      <c r="R3580" s="52">
        <f>IF(P3580="","",IF(ISNUMBER(I3580),I3580,TasaUSD))</f>
        <v/>
      </c>
      <c r="S3580" s="53">
        <f>IF(P3580="","",IF(H3580="USD",G3580*R3580,G3580))</f>
        <v/>
      </c>
      <c r="T3580" s="53">
        <f>IF(P3580="","",IF(H3580="USD",G3580,IF(R3580&gt;0,G3580/R3580,0)))</f>
        <v/>
      </c>
      <c r="U3580" s="53">
        <f>IF(P3580="","",IF(P3580="Gasto",S3580,IF(P3580="Reembolso",-S3580,0)))</f>
        <v/>
      </c>
      <c r="V3580" s="53">
        <f>IF(P3580="","",IF(P3580="Ingreso",S3580,0))</f>
        <v/>
      </c>
      <c r="W3580" s="53">
        <f>IF(P3580="","",IF(P3580="Resultado trading",S3580,0))</f>
        <v/>
      </c>
      <c r="X3580" s="52">
        <f>IF(OR(P3580="Gasto",P3580="Reembolso"),IF(M3580&lt;&gt;"",M3580,IFERROR(INDEX(catClasif,MATCH(D3580&amp;"|"&amp;E3580,catClave,0))&amp;"","Variable")),"")</f>
        <v/>
      </c>
      <c r="Y3580" s="52">
        <f>IF(P3580="","",IFERROR(INDEX(catGrupo,MATCH(D3580&amp;"|"&amp;E3580,catClave,0))&amp;"",""))</f>
        <v/>
      </c>
      <c r="Z3580" s="52">
        <f>IF(P3580="","",WEEKDAY(B3580,2))</f>
        <v/>
      </c>
      <c r="AA3580" s="52">
        <f>IF(P3580="","",IF(AND(P3580="Gasto",X3580="Variable",D3580&lt;&gt;catTrading,S3580&gt;0,S3580&lt;=Umbral),1,0))</f>
        <v/>
      </c>
      <c r="AB3580" s="52">
        <f>IF(OR(P3580="",Q3580=""),"",IFERROR(IF(INDEX(ctaVinc,MATCH(Q3580,ctaNombre,0))&amp;""&lt;&gt;"",INDEX(ctaVinc,MATCH(Q3580,ctaNombre,0))&amp;"",Q3580),Q3580))</f>
        <v/>
      </c>
      <c r="AC3580" s="52">
        <f>IF(OR(K3580="",AND(P3580&lt;&gt;"Transferencia",P3580&lt;&gt;"Pago tarjeta")),"",IFERROR(IF(INDEX(ctaVinc,MATCH(K3580,ctaNombre,0))&amp;""&lt;&gt;"",INDEX(ctaVinc,MATCH(K3580,ctaNombre,0))&amp;"",K3580),K3580))</f>
        <v/>
      </c>
      <c r="AD3580" s="52">
        <f>IF(AB3580="","",IFERROR(INDEX(ctaTipo,MATCH(AB3580,ctaNombre,0))&amp;"",""))</f>
        <v/>
      </c>
      <c r="AE3580" s="52">
        <f>IF(AC3580="","",IFERROR(INDEX(ctaTipo,MATCH(AC3580,ctaNombre,0))&amp;"",""))</f>
        <v/>
      </c>
      <c r="AF3580" s="53">
        <f>IF(OR(P3580="",AB3580=""),"",IF(OR(P3580="Gasto",P3580="Transferencia",P3580="Pago tarjeta"),-1,1)*IF(IFERROR(INDEX(ctaMoneda,MATCH(AB3580,ctaNombre,0))&amp;"","DOP")="USD",T3580,S3580))</f>
        <v/>
      </c>
      <c r="AG3580" s="53">
        <f>IF(AC3580="","",IF(IFERROR(INDEX(ctaMoneda,MATCH(AC3580,ctaNombre,0))&amp;"","DOP")="USD",T3580,S3580))</f>
        <v/>
      </c>
      <c r="AH3580" s="53">
        <f>IF(P3580="","",IF(AND(AD3580&lt;&gt;"",COUNTIFS(tcTipo,AD3580,tcLiq,"Sí")&gt;0),IF(OR(P3580="Gasto",P3580="Transferencia",P3580="Pago tarjeta"),-1,1)*S3580,0)+IF(AND(AE3580&lt;&gt;"",COUNTIFS(tcTipo,AE3580,tcLiq,"Sí")&gt;0),S3580,0))</f>
        <v/>
      </c>
      <c r="AI3580" s="52">
        <f>IF(OR(L3580="",P3580=""),"",IF(COUNTIFS(L$6:L3580,L3580,P$6:P3580,"?*")=1,MAX(AI$5:AI3579)+1,""))</f>
        <v/>
      </c>
    </row>
    <row r="3581">
      <c r="B3581" s="47" t="n"/>
      <c r="C3581" s="48" t="n"/>
      <c r="D3581" s="48" t="n"/>
      <c r="E3581" s="48" t="n"/>
      <c r="F3581" s="48" t="n"/>
      <c r="G3581" s="49" t="n"/>
      <c r="H3581" s="48" t="n"/>
      <c r="I3581" s="50" t="n"/>
      <c r="J3581" s="48" t="n"/>
      <c r="K3581" s="48" t="n"/>
      <c r="L3581" s="48" t="n"/>
      <c r="M3581" s="48" t="n"/>
      <c r="N3581" s="48" t="n"/>
      <c r="O3581" s="51">
        <f>IF(AND(B3581="",G3581="",C3581="",D3581="",J3581=""),"",IF(B3581="","⚠ Falta fecha",IF(G3581="","⚠ Falta monto",IF(Q3581="","⚠ Falta cuenta",IF(ISNA(MATCH(Q3581,ctaNombre,0)),"⚠ Cuenta no registrada",IF(AND(OR(P3581="Gasto",P3581="Reembolso"),D3581=""),"⚠ Falta categoría",IF(AND(D3581&lt;&gt;"",E3581&lt;&gt;"",ISNA(MATCH(D3581&amp;"|"&amp;E3581,catClave,0))),"⚠ Subcategoría no corresponde",IF(AND(OR(P3581="Transferencia",P3581="Pago tarjeta"),K3581=""),"⚠ Falta cuenta destino",IF(AND(K3581&lt;&gt;"",P3581&lt;&gt;"Transferencia",P3581&lt;&gt;"Pago tarjeta"),"⚠ Destino solo aplica a transferencias",IF(AND(K3581&lt;&gt;"",K3581=Q3581),"⚠ Origen igual a destino",IF(AND(K3581&lt;&gt;"",ISNA(MATCH(K3581,ctaNombre,0))),"⚠ Destino no registrado",IF(AND(P3581="Pago tarjeta",AE3581&lt;&gt;"Tarjeta de crédito"),"⚠ El destino debe ser tarjeta de crédito",IF(AND(P3581="Gasto",E3581="Depósitos y retiros"),"⚠ Usa tipo Transferencia",IF(AND(P3581="Resultado trading",AD3581&lt;&gt;"Cuenta de trading"),"⚠ Usa una cuenta de trading",IF(AND(G3581&lt;=0,P3581&lt;&gt;"Ajuste",P3581&lt;&gt;"Resultado trading"),"⚠ El monto debe ser positivo","✓")))))))))))))))</f>
        <v/>
      </c>
      <c r="P3581" s="52">
        <f>IF(OR(B3581="",G3581=""),"",IF(C3581="","Gasto",C3581))</f>
        <v/>
      </c>
      <c r="Q3581" s="52">
        <f>IF(P3581="","",IF(J3581&lt;&gt;"",J3581,CuentaPred&amp;""))</f>
        <v/>
      </c>
      <c r="R3581" s="52">
        <f>IF(P3581="","",IF(ISNUMBER(I3581),I3581,TasaUSD))</f>
        <v/>
      </c>
      <c r="S3581" s="53">
        <f>IF(P3581="","",IF(H3581="USD",G3581*R3581,G3581))</f>
        <v/>
      </c>
      <c r="T3581" s="53">
        <f>IF(P3581="","",IF(H3581="USD",G3581,IF(R3581&gt;0,G3581/R3581,0)))</f>
        <v/>
      </c>
      <c r="U3581" s="53">
        <f>IF(P3581="","",IF(P3581="Gasto",S3581,IF(P3581="Reembolso",-S3581,0)))</f>
        <v/>
      </c>
      <c r="V3581" s="53">
        <f>IF(P3581="","",IF(P3581="Ingreso",S3581,0))</f>
        <v/>
      </c>
      <c r="W3581" s="53">
        <f>IF(P3581="","",IF(P3581="Resultado trading",S3581,0))</f>
        <v/>
      </c>
      <c r="X3581" s="52">
        <f>IF(OR(P3581="Gasto",P3581="Reembolso"),IF(M3581&lt;&gt;"",M3581,IFERROR(INDEX(catClasif,MATCH(D3581&amp;"|"&amp;E3581,catClave,0))&amp;"","Variable")),"")</f>
        <v/>
      </c>
      <c r="Y3581" s="52">
        <f>IF(P3581="","",IFERROR(INDEX(catGrupo,MATCH(D3581&amp;"|"&amp;E3581,catClave,0))&amp;"",""))</f>
        <v/>
      </c>
      <c r="Z3581" s="52">
        <f>IF(P3581="","",WEEKDAY(B3581,2))</f>
        <v/>
      </c>
      <c r="AA3581" s="52">
        <f>IF(P3581="","",IF(AND(P3581="Gasto",X3581="Variable",D3581&lt;&gt;catTrading,S3581&gt;0,S3581&lt;=Umbral),1,0))</f>
        <v/>
      </c>
      <c r="AB3581" s="52">
        <f>IF(OR(P3581="",Q3581=""),"",IFERROR(IF(INDEX(ctaVinc,MATCH(Q3581,ctaNombre,0))&amp;""&lt;&gt;"",INDEX(ctaVinc,MATCH(Q3581,ctaNombre,0))&amp;"",Q3581),Q3581))</f>
        <v/>
      </c>
      <c r="AC3581" s="52">
        <f>IF(OR(K3581="",AND(P3581&lt;&gt;"Transferencia",P3581&lt;&gt;"Pago tarjeta")),"",IFERROR(IF(INDEX(ctaVinc,MATCH(K3581,ctaNombre,0))&amp;""&lt;&gt;"",INDEX(ctaVinc,MATCH(K3581,ctaNombre,0))&amp;"",K3581),K3581))</f>
        <v/>
      </c>
      <c r="AD3581" s="52">
        <f>IF(AB3581="","",IFERROR(INDEX(ctaTipo,MATCH(AB3581,ctaNombre,0))&amp;"",""))</f>
        <v/>
      </c>
      <c r="AE3581" s="52">
        <f>IF(AC3581="","",IFERROR(INDEX(ctaTipo,MATCH(AC3581,ctaNombre,0))&amp;"",""))</f>
        <v/>
      </c>
      <c r="AF3581" s="53">
        <f>IF(OR(P3581="",AB3581=""),"",IF(OR(P3581="Gasto",P3581="Transferencia",P3581="Pago tarjeta"),-1,1)*IF(IFERROR(INDEX(ctaMoneda,MATCH(AB3581,ctaNombre,0))&amp;"","DOP")="USD",T3581,S3581))</f>
        <v/>
      </c>
      <c r="AG3581" s="53">
        <f>IF(AC3581="","",IF(IFERROR(INDEX(ctaMoneda,MATCH(AC3581,ctaNombre,0))&amp;"","DOP")="USD",T3581,S3581))</f>
        <v/>
      </c>
      <c r="AH3581" s="53">
        <f>IF(P3581="","",IF(AND(AD3581&lt;&gt;"",COUNTIFS(tcTipo,AD3581,tcLiq,"Sí")&gt;0),IF(OR(P3581="Gasto",P3581="Transferencia",P3581="Pago tarjeta"),-1,1)*S3581,0)+IF(AND(AE3581&lt;&gt;"",COUNTIFS(tcTipo,AE3581,tcLiq,"Sí")&gt;0),S3581,0))</f>
        <v/>
      </c>
      <c r="AI3581" s="52">
        <f>IF(OR(L3581="",P3581=""),"",IF(COUNTIFS(L$6:L3581,L3581,P$6:P3581,"?*")=1,MAX(AI$5:AI3580)+1,""))</f>
        <v/>
      </c>
    </row>
    <row r="3582">
      <c r="B3582" s="47" t="n"/>
      <c r="C3582" s="48" t="n"/>
      <c r="D3582" s="48" t="n"/>
      <c r="E3582" s="48" t="n"/>
      <c r="F3582" s="48" t="n"/>
      <c r="G3582" s="49" t="n"/>
      <c r="H3582" s="48" t="n"/>
      <c r="I3582" s="50" t="n"/>
      <c r="J3582" s="48" t="n"/>
      <c r="K3582" s="48" t="n"/>
      <c r="L3582" s="48" t="n"/>
      <c r="M3582" s="48" t="n"/>
      <c r="N3582" s="48" t="n"/>
      <c r="O3582" s="51">
        <f>IF(AND(B3582="",G3582="",C3582="",D3582="",J3582=""),"",IF(B3582="","⚠ Falta fecha",IF(G3582="","⚠ Falta monto",IF(Q3582="","⚠ Falta cuenta",IF(ISNA(MATCH(Q3582,ctaNombre,0)),"⚠ Cuenta no registrada",IF(AND(OR(P3582="Gasto",P3582="Reembolso"),D3582=""),"⚠ Falta categoría",IF(AND(D3582&lt;&gt;"",E3582&lt;&gt;"",ISNA(MATCH(D3582&amp;"|"&amp;E3582,catClave,0))),"⚠ Subcategoría no corresponde",IF(AND(OR(P3582="Transferencia",P3582="Pago tarjeta"),K3582=""),"⚠ Falta cuenta destino",IF(AND(K3582&lt;&gt;"",P3582&lt;&gt;"Transferencia",P3582&lt;&gt;"Pago tarjeta"),"⚠ Destino solo aplica a transferencias",IF(AND(K3582&lt;&gt;"",K3582=Q3582),"⚠ Origen igual a destino",IF(AND(K3582&lt;&gt;"",ISNA(MATCH(K3582,ctaNombre,0))),"⚠ Destino no registrado",IF(AND(P3582="Pago tarjeta",AE3582&lt;&gt;"Tarjeta de crédito"),"⚠ El destino debe ser tarjeta de crédito",IF(AND(P3582="Gasto",E3582="Depósitos y retiros"),"⚠ Usa tipo Transferencia",IF(AND(P3582="Resultado trading",AD3582&lt;&gt;"Cuenta de trading"),"⚠ Usa una cuenta de trading",IF(AND(G3582&lt;=0,P3582&lt;&gt;"Ajuste",P3582&lt;&gt;"Resultado trading"),"⚠ El monto debe ser positivo","✓")))))))))))))))</f>
        <v/>
      </c>
      <c r="P3582" s="52">
        <f>IF(OR(B3582="",G3582=""),"",IF(C3582="","Gasto",C3582))</f>
        <v/>
      </c>
      <c r="Q3582" s="52">
        <f>IF(P3582="","",IF(J3582&lt;&gt;"",J3582,CuentaPred&amp;""))</f>
        <v/>
      </c>
      <c r="R3582" s="52">
        <f>IF(P3582="","",IF(ISNUMBER(I3582),I3582,TasaUSD))</f>
        <v/>
      </c>
      <c r="S3582" s="53">
        <f>IF(P3582="","",IF(H3582="USD",G3582*R3582,G3582))</f>
        <v/>
      </c>
      <c r="T3582" s="53">
        <f>IF(P3582="","",IF(H3582="USD",G3582,IF(R3582&gt;0,G3582/R3582,0)))</f>
        <v/>
      </c>
      <c r="U3582" s="53">
        <f>IF(P3582="","",IF(P3582="Gasto",S3582,IF(P3582="Reembolso",-S3582,0)))</f>
        <v/>
      </c>
      <c r="V3582" s="53">
        <f>IF(P3582="","",IF(P3582="Ingreso",S3582,0))</f>
        <v/>
      </c>
      <c r="W3582" s="53">
        <f>IF(P3582="","",IF(P3582="Resultado trading",S3582,0))</f>
        <v/>
      </c>
      <c r="X3582" s="52">
        <f>IF(OR(P3582="Gasto",P3582="Reembolso"),IF(M3582&lt;&gt;"",M3582,IFERROR(INDEX(catClasif,MATCH(D3582&amp;"|"&amp;E3582,catClave,0))&amp;"","Variable")),"")</f>
        <v/>
      </c>
      <c r="Y3582" s="52">
        <f>IF(P3582="","",IFERROR(INDEX(catGrupo,MATCH(D3582&amp;"|"&amp;E3582,catClave,0))&amp;"",""))</f>
        <v/>
      </c>
      <c r="Z3582" s="52">
        <f>IF(P3582="","",WEEKDAY(B3582,2))</f>
        <v/>
      </c>
      <c r="AA3582" s="52">
        <f>IF(P3582="","",IF(AND(P3582="Gasto",X3582="Variable",D3582&lt;&gt;catTrading,S3582&gt;0,S3582&lt;=Umbral),1,0))</f>
        <v/>
      </c>
      <c r="AB3582" s="52">
        <f>IF(OR(P3582="",Q3582=""),"",IFERROR(IF(INDEX(ctaVinc,MATCH(Q3582,ctaNombre,0))&amp;""&lt;&gt;"",INDEX(ctaVinc,MATCH(Q3582,ctaNombre,0))&amp;"",Q3582),Q3582))</f>
        <v/>
      </c>
      <c r="AC3582" s="52">
        <f>IF(OR(K3582="",AND(P3582&lt;&gt;"Transferencia",P3582&lt;&gt;"Pago tarjeta")),"",IFERROR(IF(INDEX(ctaVinc,MATCH(K3582,ctaNombre,0))&amp;""&lt;&gt;"",INDEX(ctaVinc,MATCH(K3582,ctaNombre,0))&amp;"",K3582),K3582))</f>
        <v/>
      </c>
      <c r="AD3582" s="52">
        <f>IF(AB3582="","",IFERROR(INDEX(ctaTipo,MATCH(AB3582,ctaNombre,0))&amp;"",""))</f>
        <v/>
      </c>
      <c r="AE3582" s="52">
        <f>IF(AC3582="","",IFERROR(INDEX(ctaTipo,MATCH(AC3582,ctaNombre,0))&amp;"",""))</f>
        <v/>
      </c>
      <c r="AF3582" s="53">
        <f>IF(OR(P3582="",AB3582=""),"",IF(OR(P3582="Gasto",P3582="Transferencia",P3582="Pago tarjeta"),-1,1)*IF(IFERROR(INDEX(ctaMoneda,MATCH(AB3582,ctaNombre,0))&amp;"","DOP")="USD",T3582,S3582))</f>
        <v/>
      </c>
      <c r="AG3582" s="53">
        <f>IF(AC3582="","",IF(IFERROR(INDEX(ctaMoneda,MATCH(AC3582,ctaNombre,0))&amp;"","DOP")="USD",T3582,S3582))</f>
        <v/>
      </c>
      <c r="AH3582" s="53">
        <f>IF(P3582="","",IF(AND(AD3582&lt;&gt;"",COUNTIFS(tcTipo,AD3582,tcLiq,"Sí")&gt;0),IF(OR(P3582="Gasto",P3582="Transferencia",P3582="Pago tarjeta"),-1,1)*S3582,0)+IF(AND(AE3582&lt;&gt;"",COUNTIFS(tcTipo,AE3582,tcLiq,"Sí")&gt;0),S3582,0))</f>
        <v/>
      </c>
      <c r="AI3582" s="52">
        <f>IF(OR(L3582="",P3582=""),"",IF(COUNTIFS(L$6:L3582,L3582,P$6:P3582,"?*")=1,MAX(AI$5:AI3581)+1,""))</f>
        <v/>
      </c>
    </row>
    <row r="3583">
      <c r="B3583" s="47" t="n"/>
      <c r="C3583" s="48" t="n"/>
      <c r="D3583" s="48" t="n"/>
      <c r="E3583" s="48" t="n"/>
      <c r="F3583" s="48" t="n"/>
      <c r="G3583" s="49" t="n"/>
      <c r="H3583" s="48" t="n"/>
      <c r="I3583" s="50" t="n"/>
      <c r="J3583" s="48" t="n"/>
      <c r="K3583" s="48" t="n"/>
      <c r="L3583" s="48" t="n"/>
      <c r="M3583" s="48" t="n"/>
      <c r="N3583" s="48" t="n"/>
      <c r="O3583" s="51">
        <f>IF(AND(B3583="",G3583="",C3583="",D3583="",J3583=""),"",IF(B3583="","⚠ Falta fecha",IF(G3583="","⚠ Falta monto",IF(Q3583="","⚠ Falta cuenta",IF(ISNA(MATCH(Q3583,ctaNombre,0)),"⚠ Cuenta no registrada",IF(AND(OR(P3583="Gasto",P3583="Reembolso"),D3583=""),"⚠ Falta categoría",IF(AND(D3583&lt;&gt;"",E3583&lt;&gt;"",ISNA(MATCH(D3583&amp;"|"&amp;E3583,catClave,0))),"⚠ Subcategoría no corresponde",IF(AND(OR(P3583="Transferencia",P3583="Pago tarjeta"),K3583=""),"⚠ Falta cuenta destino",IF(AND(K3583&lt;&gt;"",P3583&lt;&gt;"Transferencia",P3583&lt;&gt;"Pago tarjeta"),"⚠ Destino solo aplica a transferencias",IF(AND(K3583&lt;&gt;"",K3583=Q3583),"⚠ Origen igual a destino",IF(AND(K3583&lt;&gt;"",ISNA(MATCH(K3583,ctaNombre,0))),"⚠ Destino no registrado",IF(AND(P3583="Pago tarjeta",AE3583&lt;&gt;"Tarjeta de crédito"),"⚠ El destino debe ser tarjeta de crédito",IF(AND(P3583="Gasto",E3583="Depósitos y retiros"),"⚠ Usa tipo Transferencia",IF(AND(P3583="Resultado trading",AD3583&lt;&gt;"Cuenta de trading"),"⚠ Usa una cuenta de trading",IF(AND(G3583&lt;=0,P3583&lt;&gt;"Ajuste",P3583&lt;&gt;"Resultado trading"),"⚠ El monto debe ser positivo","✓")))))))))))))))</f>
        <v/>
      </c>
      <c r="P3583" s="52">
        <f>IF(OR(B3583="",G3583=""),"",IF(C3583="","Gasto",C3583))</f>
        <v/>
      </c>
      <c r="Q3583" s="52">
        <f>IF(P3583="","",IF(J3583&lt;&gt;"",J3583,CuentaPred&amp;""))</f>
        <v/>
      </c>
      <c r="R3583" s="52">
        <f>IF(P3583="","",IF(ISNUMBER(I3583),I3583,TasaUSD))</f>
        <v/>
      </c>
      <c r="S3583" s="53">
        <f>IF(P3583="","",IF(H3583="USD",G3583*R3583,G3583))</f>
        <v/>
      </c>
      <c r="T3583" s="53">
        <f>IF(P3583="","",IF(H3583="USD",G3583,IF(R3583&gt;0,G3583/R3583,0)))</f>
        <v/>
      </c>
      <c r="U3583" s="53">
        <f>IF(P3583="","",IF(P3583="Gasto",S3583,IF(P3583="Reembolso",-S3583,0)))</f>
        <v/>
      </c>
      <c r="V3583" s="53">
        <f>IF(P3583="","",IF(P3583="Ingreso",S3583,0))</f>
        <v/>
      </c>
      <c r="W3583" s="53">
        <f>IF(P3583="","",IF(P3583="Resultado trading",S3583,0))</f>
        <v/>
      </c>
      <c r="X3583" s="52">
        <f>IF(OR(P3583="Gasto",P3583="Reembolso"),IF(M3583&lt;&gt;"",M3583,IFERROR(INDEX(catClasif,MATCH(D3583&amp;"|"&amp;E3583,catClave,0))&amp;"","Variable")),"")</f>
        <v/>
      </c>
      <c r="Y3583" s="52">
        <f>IF(P3583="","",IFERROR(INDEX(catGrupo,MATCH(D3583&amp;"|"&amp;E3583,catClave,0))&amp;"",""))</f>
        <v/>
      </c>
      <c r="Z3583" s="52">
        <f>IF(P3583="","",WEEKDAY(B3583,2))</f>
        <v/>
      </c>
      <c r="AA3583" s="52">
        <f>IF(P3583="","",IF(AND(P3583="Gasto",X3583="Variable",D3583&lt;&gt;catTrading,S3583&gt;0,S3583&lt;=Umbral),1,0))</f>
        <v/>
      </c>
      <c r="AB3583" s="52">
        <f>IF(OR(P3583="",Q3583=""),"",IFERROR(IF(INDEX(ctaVinc,MATCH(Q3583,ctaNombre,0))&amp;""&lt;&gt;"",INDEX(ctaVinc,MATCH(Q3583,ctaNombre,0))&amp;"",Q3583),Q3583))</f>
        <v/>
      </c>
      <c r="AC3583" s="52">
        <f>IF(OR(K3583="",AND(P3583&lt;&gt;"Transferencia",P3583&lt;&gt;"Pago tarjeta")),"",IFERROR(IF(INDEX(ctaVinc,MATCH(K3583,ctaNombre,0))&amp;""&lt;&gt;"",INDEX(ctaVinc,MATCH(K3583,ctaNombre,0))&amp;"",K3583),K3583))</f>
        <v/>
      </c>
      <c r="AD3583" s="52">
        <f>IF(AB3583="","",IFERROR(INDEX(ctaTipo,MATCH(AB3583,ctaNombre,0))&amp;"",""))</f>
        <v/>
      </c>
      <c r="AE3583" s="52">
        <f>IF(AC3583="","",IFERROR(INDEX(ctaTipo,MATCH(AC3583,ctaNombre,0))&amp;"",""))</f>
        <v/>
      </c>
      <c r="AF3583" s="53">
        <f>IF(OR(P3583="",AB3583=""),"",IF(OR(P3583="Gasto",P3583="Transferencia",P3583="Pago tarjeta"),-1,1)*IF(IFERROR(INDEX(ctaMoneda,MATCH(AB3583,ctaNombre,0))&amp;"","DOP")="USD",T3583,S3583))</f>
        <v/>
      </c>
      <c r="AG3583" s="53">
        <f>IF(AC3583="","",IF(IFERROR(INDEX(ctaMoneda,MATCH(AC3583,ctaNombre,0))&amp;"","DOP")="USD",T3583,S3583))</f>
        <v/>
      </c>
      <c r="AH3583" s="53">
        <f>IF(P3583="","",IF(AND(AD3583&lt;&gt;"",COUNTIFS(tcTipo,AD3583,tcLiq,"Sí")&gt;0),IF(OR(P3583="Gasto",P3583="Transferencia",P3583="Pago tarjeta"),-1,1)*S3583,0)+IF(AND(AE3583&lt;&gt;"",COUNTIFS(tcTipo,AE3583,tcLiq,"Sí")&gt;0),S3583,0))</f>
        <v/>
      </c>
      <c r="AI3583" s="52">
        <f>IF(OR(L3583="",P3583=""),"",IF(COUNTIFS(L$6:L3583,L3583,P$6:P3583,"?*")=1,MAX(AI$5:AI3582)+1,""))</f>
        <v/>
      </c>
    </row>
    <row r="3584">
      <c r="B3584" s="47" t="n"/>
      <c r="C3584" s="48" t="n"/>
      <c r="D3584" s="48" t="n"/>
      <c r="E3584" s="48" t="n"/>
      <c r="F3584" s="48" t="n"/>
      <c r="G3584" s="49" t="n"/>
      <c r="H3584" s="48" t="n"/>
      <c r="I3584" s="50" t="n"/>
      <c r="J3584" s="48" t="n"/>
      <c r="K3584" s="48" t="n"/>
      <c r="L3584" s="48" t="n"/>
      <c r="M3584" s="48" t="n"/>
      <c r="N3584" s="48" t="n"/>
      <c r="O3584" s="51">
        <f>IF(AND(B3584="",G3584="",C3584="",D3584="",J3584=""),"",IF(B3584="","⚠ Falta fecha",IF(G3584="","⚠ Falta monto",IF(Q3584="","⚠ Falta cuenta",IF(ISNA(MATCH(Q3584,ctaNombre,0)),"⚠ Cuenta no registrada",IF(AND(OR(P3584="Gasto",P3584="Reembolso"),D3584=""),"⚠ Falta categoría",IF(AND(D3584&lt;&gt;"",E3584&lt;&gt;"",ISNA(MATCH(D3584&amp;"|"&amp;E3584,catClave,0))),"⚠ Subcategoría no corresponde",IF(AND(OR(P3584="Transferencia",P3584="Pago tarjeta"),K3584=""),"⚠ Falta cuenta destino",IF(AND(K3584&lt;&gt;"",P3584&lt;&gt;"Transferencia",P3584&lt;&gt;"Pago tarjeta"),"⚠ Destino solo aplica a transferencias",IF(AND(K3584&lt;&gt;"",K3584=Q3584),"⚠ Origen igual a destino",IF(AND(K3584&lt;&gt;"",ISNA(MATCH(K3584,ctaNombre,0))),"⚠ Destino no registrado",IF(AND(P3584="Pago tarjeta",AE3584&lt;&gt;"Tarjeta de crédito"),"⚠ El destino debe ser tarjeta de crédito",IF(AND(P3584="Gasto",E3584="Depósitos y retiros"),"⚠ Usa tipo Transferencia",IF(AND(P3584="Resultado trading",AD3584&lt;&gt;"Cuenta de trading"),"⚠ Usa una cuenta de trading",IF(AND(G3584&lt;=0,P3584&lt;&gt;"Ajuste",P3584&lt;&gt;"Resultado trading"),"⚠ El monto debe ser positivo","✓")))))))))))))))</f>
        <v/>
      </c>
      <c r="P3584" s="52">
        <f>IF(OR(B3584="",G3584=""),"",IF(C3584="","Gasto",C3584))</f>
        <v/>
      </c>
      <c r="Q3584" s="52">
        <f>IF(P3584="","",IF(J3584&lt;&gt;"",J3584,CuentaPred&amp;""))</f>
        <v/>
      </c>
      <c r="R3584" s="52">
        <f>IF(P3584="","",IF(ISNUMBER(I3584),I3584,TasaUSD))</f>
        <v/>
      </c>
      <c r="S3584" s="53">
        <f>IF(P3584="","",IF(H3584="USD",G3584*R3584,G3584))</f>
        <v/>
      </c>
      <c r="T3584" s="53">
        <f>IF(P3584="","",IF(H3584="USD",G3584,IF(R3584&gt;0,G3584/R3584,0)))</f>
        <v/>
      </c>
      <c r="U3584" s="53">
        <f>IF(P3584="","",IF(P3584="Gasto",S3584,IF(P3584="Reembolso",-S3584,0)))</f>
        <v/>
      </c>
      <c r="V3584" s="53">
        <f>IF(P3584="","",IF(P3584="Ingreso",S3584,0))</f>
        <v/>
      </c>
      <c r="W3584" s="53">
        <f>IF(P3584="","",IF(P3584="Resultado trading",S3584,0))</f>
        <v/>
      </c>
      <c r="X3584" s="52">
        <f>IF(OR(P3584="Gasto",P3584="Reembolso"),IF(M3584&lt;&gt;"",M3584,IFERROR(INDEX(catClasif,MATCH(D3584&amp;"|"&amp;E3584,catClave,0))&amp;"","Variable")),"")</f>
        <v/>
      </c>
      <c r="Y3584" s="52">
        <f>IF(P3584="","",IFERROR(INDEX(catGrupo,MATCH(D3584&amp;"|"&amp;E3584,catClave,0))&amp;"",""))</f>
        <v/>
      </c>
      <c r="Z3584" s="52">
        <f>IF(P3584="","",WEEKDAY(B3584,2))</f>
        <v/>
      </c>
      <c r="AA3584" s="52">
        <f>IF(P3584="","",IF(AND(P3584="Gasto",X3584="Variable",D3584&lt;&gt;catTrading,S3584&gt;0,S3584&lt;=Umbral),1,0))</f>
        <v/>
      </c>
      <c r="AB3584" s="52">
        <f>IF(OR(P3584="",Q3584=""),"",IFERROR(IF(INDEX(ctaVinc,MATCH(Q3584,ctaNombre,0))&amp;""&lt;&gt;"",INDEX(ctaVinc,MATCH(Q3584,ctaNombre,0))&amp;"",Q3584),Q3584))</f>
        <v/>
      </c>
      <c r="AC3584" s="52">
        <f>IF(OR(K3584="",AND(P3584&lt;&gt;"Transferencia",P3584&lt;&gt;"Pago tarjeta")),"",IFERROR(IF(INDEX(ctaVinc,MATCH(K3584,ctaNombre,0))&amp;""&lt;&gt;"",INDEX(ctaVinc,MATCH(K3584,ctaNombre,0))&amp;"",K3584),K3584))</f>
        <v/>
      </c>
      <c r="AD3584" s="52">
        <f>IF(AB3584="","",IFERROR(INDEX(ctaTipo,MATCH(AB3584,ctaNombre,0))&amp;"",""))</f>
        <v/>
      </c>
      <c r="AE3584" s="52">
        <f>IF(AC3584="","",IFERROR(INDEX(ctaTipo,MATCH(AC3584,ctaNombre,0))&amp;"",""))</f>
        <v/>
      </c>
      <c r="AF3584" s="53">
        <f>IF(OR(P3584="",AB3584=""),"",IF(OR(P3584="Gasto",P3584="Transferencia",P3584="Pago tarjeta"),-1,1)*IF(IFERROR(INDEX(ctaMoneda,MATCH(AB3584,ctaNombre,0))&amp;"","DOP")="USD",T3584,S3584))</f>
        <v/>
      </c>
      <c r="AG3584" s="53">
        <f>IF(AC3584="","",IF(IFERROR(INDEX(ctaMoneda,MATCH(AC3584,ctaNombre,0))&amp;"","DOP")="USD",T3584,S3584))</f>
        <v/>
      </c>
      <c r="AH3584" s="53">
        <f>IF(P3584="","",IF(AND(AD3584&lt;&gt;"",COUNTIFS(tcTipo,AD3584,tcLiq,"Sí")&gt;0),IF(OR(P3584="Gasto",P3584="Transferencia",P3584="Pago tarjeta"),-1,1)*S3584,0)+IF(AND(AE3584&lt;&gt;"",COUNTIFS(tcTipo,AE3584,tcLiq,"Sí")&gt;0),S3584,0))</f>
        <v/>
      </c>
      <c r="AI3584" s="52">
        <f>IF(OR(L3584="",P3584=""),"",IF(COUNTIFS(L$6:L3584,L3584,P$6:P3584,"?*")=1,MAX(AI$5:AI3583)+1,""))</f>
        <v/>
      </c>
    </row>
    <row r="3585">
      <c r="B3585" s="47" t="n"/>
      <c r="C3585" s="48" t="n"/>
      <c r="D3585" s="48" t="n"/>
      <c r="E3585" s="48" t="n"/>
      <c r="F3585" s="48" t="n"/>
      <c r="G3585" s="49" t="n"/>
      <c r="H3585" s="48" t="n"/>
      <c r="I3585" s="50" t="n"/>
      <c r="J3585" s="48" t="n"/>
      <c r="K3585" s="48" t="n"/>
      <c r="L3585" s="48" t="n"/>
      <c r="M3585" s="48" t="n"/>
      <c r="N3585" s="48" t="n"/>
      <c r="O3585" s="51">
        <f>IF(AND(B3585="",G3585="",C3585="",D3585="",J3585=""),"",IF(B3585="","⚠ Falta fecha",IF(G3585="","⚠ Falta monto",IF(Q3585="","⚠ Falta cuenta",IF(ISNA(MATCH(Q3585,ctaNombre,0)),"⚠ Cuenta no registrada",IF(AND(OR(P3585="Gasto",P3585="Reembolso"),D3585=""),"⚠ Falta categoría",IF(AND(D3585&lt;&gt;"",E3585&lt;&gt;"",ISNA(MATCH(D3585&amp;"|"&amp;E3585,catClave,0))),"⚠ Subcategoría no corresponde",IF(AND(OR(P3585="Transferencia",P3585="Pago tarjeta"),K3585=""),"⚠ Falta cuenta destino",IF(AND(K3585&lt;&gt;"",P3585&lt;&gt;"Transferencia",P3585&lt;&gt;"Pago tarjeta"),"⚠ Destino solo aplica a transferencias",IF(AND(K3585&lt;&gt;"",K3585=Q3585),"⚠ Origen igual a destino",IF(AND(K3585&lt;&gt;"",ISNA(MATCH(K3585,ctaNombre,0))),"⚠ Destino no registrado",IF(AND(P3585="Pago tarjeta",AE3585&lt;&gt;"Tarjeta de crédito"),"⚠ El destino debe ser tarjeta de crédito",IF(AND(P3585="Gasto",E3585="Depósitos y retiros"),"⚠ Usa tipo Transferencia",IF(AND(P3585="Resultado trading",AD3585&lt;&gt;"Cuenta de trading"),"⚠ Usa una cuenta de trading",IF(AND(G3585&lt;=0,P3585&lt;&gt;"Ajuste",P3585&lt;&gt;"Resultado trading"),"⚠ El monto debe ser positivo","✓")))))))))))))))</f>
        <v/>
      </c>
      <c r="P3585" s="52">
        <f>IF(OR(B3585="",G3585=""),"",IF(C3585="","Gasto",C3585))</f>
        <v/>
      </c>
      <c r="Q3585" s="52">
        <f>IF(P3585="","",IF(J3585&lt;&gt;"",J3585,CuentaPred&amp;""))</f>
        <v/>
      </c>
      <c r="R3585" s="52">
        <f>IF(P3585="","",IF(ISNUMBER(I3585),I3585,TasaUSD))</f>
        <v/>
      </c>
      <c r="S3585" s="53">
        <f>IF(P3585="","",IF(H3585="USD",G3585*R3585,G3585))</f>
        <v/>
      </c>
      <c r="T3585" s="53">
        <f>IF(P3585="","",IF(H3585="USD",G3585,IF(R3585&gt;0,G3585/R3585,0)))</f>
        <v/>
      </c>
      <c r="U3585" s="53">
        <f>IF(P3585="","",IF(P3585="Gasto",S3585,IF(P3585="Reembolso",-S3585,0)))</f>
        <v/>
      </c>
      <c r="V3585" s="53">
        <f>IF(P3585="","",IF(P3585="Ingreso",S3585,0))</f>
        <v/>
      </c>
      <c r="W3585" s="53">
        <f>IF(P3585="","",IF(P3585="Resultado trading",S3585,0))</f>
        <v/>
      </c>
      <c r="X3585" s="52">
        <f>IF(OR(P3585="Gasto",P3585="Reembolso"),IF(M3585&lt;&gt;"",M3585,IFERROR(INDEX(catClasif,MATCH(D3585&amp;"|"&amp;E3585,catClave,0))&amp;"","Variable")),"")</f>
        <v/>
      </c>
      <c r="Y3585" s="52">
        <f>IF(P3585="","",IFERROR(INDEX(catGrupo,MATCH(D3585&amp;"|"&amp;E3585,catClave,0))&amp;"",""))</f>
        <v/>
      </c>
      <c r="Z3585" s="52">
        <f>IF(P3585="","",WEEKDAY(B3585,2))</f>
        <v/>
      </c>
      <c r="AA3585" s="52">
        <f>IF(P3585="","",IF(AND(P3585="Gasto",X3585="Variable",D3585&lt;&gt;catTrading,S3585&gt;0,S3585&lt;=Umbral),1,0))</f>
        <v/>
      </c>
      <c r="AB3585" s="52">
        <f>IF(OR(P3585="",Q3585=""),"",IFERROR(IF(INDEX(ctaVinc,MATCH(Q3585,ctaNombre,0))&amp;""&lt;&gt;"",INDEX(ctaVinc,MATCH(Q3585,ctaNombre,0))&amp;"",Q3585),Q3585))</f>
        <v/>
      </c>
      <c r="AC3585" s="52">
        <f>IF(OR(K3585="",AND(P3585&lt;&gt;"Transferencia",P3585&lt;&gt;"Pago tarjeta")),"",IFERROR(IF(INDEX(ctaVinc,MATCH(K3585,ctaNombre,0))&amp;""&lt;&gt;"",INDEX(ctaVinc,MATCH(K3585,ctaNombre,0))&amp;"",K3585),K3585))</f>
        <v/>
      </c>
      <c r="AD3585" s="52">
        <f>IF(AB3585="","",IFERROR(INDEX(ctaTipo,MATCH(AB3585,ctaNombre,0))&amp;"",""))</f>
        <v/>
      </c>
      <c r="AE3585" s="52">
        <f>IF(AC3585="","",IFERROR(INDEX(ctaTipo,MATCH(AC3585,ctaNombre,0))&amp;"",""))</f>
        <v/>
      </c>
      <c r="AF3585" s="53">
        <f>IF(OR(P3585="",AB3585=""),"",IF(OR(P3585="Gasto",P3585="Transferencia",P3585="Pago tarjeta"),-1,1)*IF(IFERROR(INDEX(ctaMoneda,MATCH(AB3585,ctaNombre,0))&amp;"","DOP")="USD",T3585,S3585))</f>
        <v/>
      </c>
      <c r="AG3585" s="53">
        <f>IF(AC3585="","",IF(IFERROR(INDEX(ctaMoneda,MATCH(AC3585,ctaNombre,0))&amp;"","DOP")="USD",T3585,S3585))</f>
        <v/>
      </c>
      <c r="AH3585" s="53">
        <f>IF(P3585="","",IF(AND(AD3585&lt;&gt;"",COUNTIFS(tcTipo,AD3585,tcLiq,"Sí")&gt;0),IF(OR(P3585="Gasto",P3585="Transferencia",P3585="Pago tarjeta"),-1,1)*S3585,0)+IF(AND(AE3585&lt;&gt;"",COUNTIFS(tcTipo,AE3585,tcLiq,"Sí")&gt;0),S3585,0))</f>
        <v/>
      </c>
      <c r="AI3585" s="52">
        <f>IF(OR(L3585="",P3585=""),"",IF(COUNTIFS(L$6:L3585,L3585,P$6:P3585,"?*")=1,MAX(AI$5:AI3584)+1,""))</f>
        <v/>
      </c>
    </row>
    <row r="3586">
      <c r="B3586" s="47" t="n"/>
      <c r="C3586" s="48" t="n"/>
      <c r="D3586" s="48" t="n"/>
      <c r="E3586" s="48" t="n"/>
      <c r="F3586" s="48" t="n"/>
      <c r="G3586" s="49" t="n"/>
      <c r="H3586" s="48" t="n"/>
      <c r="I3586" s="50" t="n"/>
      <c r="J3586" s="48" t="n"/>
      <c r="K3586" s="48" t="n"/>
      <c r="L3586" s="48" t="n"/>
      <c r="M3586" s="48" t="n"/>
      <c r="N3586" s="48" t="n"/>
      <c r="O3586" s="51">
        <f>IF(AND(B3586="",G3586="",C3586="",D3586="",J3586=""),"",IF(B3586="","⚠ Falta fecha",IF(G3586="","⚠ Falta monto",IF(Q3586="","⚠ Falta cuenta",IF(ISNA(MATCH(Q3586,ctaNombre,0)),"⚠ Cuenta no registrada",IF(AND(OR(P3586="Gasto",P3586="Reembolso"),D3586=""),"⚠ Falta categoría",IF(AND(D3586&lt;&gt;"",E3586&lt;&gt;"",ISNA(MATCH(D3586&amp;"|"&amp;E3586,catClave,0))),"⚠ Subcategoría no corresponde",IF(AND(OR(P3586="Transferencia",P3586="Pago tarjeta"),K3586=""),"⚠ Falta cuenta destino",IF(AND(K3586&lt;&gt;"",P3586&lt;&gt;"Transferencia",P3586&lt;&gt;"Pago tarjeta"),"⚠ Destino solo aplica a transferencias",IF(AND(K3586&lt;&gt;"",K3586=Q3586),"⚠ Origen igual a destino",IF(AND(K3586&lt;&gt;"",ISNA(MATCH(K3586,ctaNombre,0))),"⚠ Destino no registrado",IF(AND(P3586="Pago tarjeta",AE3586&lt;&gt;"Tarjeta de crédito"),"⚠ El destino debe ser tarjeta de crédito",IF(AND(P3586="Gasto",E3586="Depósitos y retiros"),"⚠ Usa tipo Transferencia",IF(AND(P3586="Resultado trading",AD3586&lt;&gt;"Cuenta de trading"),"⚠ Usa una cuenta de trading",IF(AND(G3586&lt;=0,P3586&lt;&gt;"Ajuste",P3586&lt;&gt;"Resultado trading"),"⚠ El monto debe ser positivo","✓")))))))))))))))</f>
        <v/>
      </c>
      <c r="P3586" s="52">
        <f>IF(OR(B3586="",G3586=""),"",IF(C3586="","Gasto",C3586))</f>
        <v/>
      </c>
      <c r="Q3586" s="52">
        <f>IF(P3586="","",IF(J3586&lt;&gt;"",J3586,CuentaPred&amp;""))</f>
        <v/>
      </c>
      <c r="R3586" s="52">
        <f>IF(P3586="","",IF(ISNUMBER(I3586),I3586,TasaUSD))</f>
        <v/>
      </c>
      <c r="S3586" s="53">
        <f>IF(P3586="","",IF(H3586="USD",G3586*R3586,G3586))</f>
        <v/>
      </c>
      <c r="T3586" s="53">
        <f>IF(P3586="","",IF(H3586="USD",G3586,IF(R3586&gt;0,G3586/R3586,0)))</f>
        <v/>
      </c>
      <c r="U3586" s="53">
        <f>IF(P3586="","",IF(P3586="Gasto",S3586,IF(P3586="Reembolso",-S3586,0)))</f>
        <v/>
      </c>
      <c r="V3586" s="53">
        <f>IF(P3586="","",IF(P3586="Ingreso",S3586,0))</f>
        <v/>
      </c>
      <c r="W3586" s="53">
        <f>IF(P3586="","",IF(P3586="Resultado trading",S3586,0))</f>
        <v/>
      </c>
      <c r="X3586" s="52">
        <f>IF(OR(P3586="Gasto",P3586="Reembolso"),IF(M3586&lt;&gt;"",M3586,IFERROR(INDEX(catClasif,MATCH(D3586&amp;"|"&amp;E3586,catClave,0))&amp;"","Variable")),"")</f>
        <v/>
      </c>
      <c r="Y3586" s="52">
        <f>IF(P3586="","",IFERROR(INDEX(catGrupo,MATCH(D3586&amp;"|"&amp;E3586,catClave,0))&amp;"",""))</f>
        <v/>
      </c>
      <c r="Z3586" s="52">
        <f>IF(P3586="","",WEEKDAY(B3586,2))</f>
        <v/>
      </c>
      <c r="AA3586" s="52">
        <f>IF(P3586="","",IF(AND(P3586="Gasto",X3586="Variable",D3586&lt;&gt;catTrading,S3586&gt;0,S3586&lt;=Umbral),1,0))</f>
        <v/>
      </c>
      <c r="AB3586" s="52">
        <f>IF(OR(P3586="",Q3586=""),"",IFERROR(IF(INDEX(ctaVinc,MATCH(Q3586,ctaNombre,0))&amp;""&lt;&gt;"",INDEX(ctaVinc,MATCH(Q3586,ctaNombre,0))&amp;"",Q3586),Q3586))</f>
        <v/>
      </c>
      <c r="AC3586" s="52">
        <f>IF(OR(K3586="",AND(P3586&lt;&gt;"Transferencia",P3586&lt;&gt;"Pago tarjeta")),"",IFERROR(IF(INDEX(ctaVinc,MATCH(K3586,ctaNombre,0))&amp;""&lt;&gt;"",INDEX(ctaVinc,MATCH(K3586,ctaNombre,0))&amp;"",K3586),K3586))</f>
        <v/>
      </c>
      <c r="AD3586" s="52">
        <f>IF(AB3586="","",IFERROR(INDEX(ctaTipo,MATCH(AB3586,ctaNombre,0))&amp;"",""))</f>
        <v/>
      </c>
      <c r="AE3586" s="52">
        <f>IF(AC3586="","",IFERROR(INDEX(ctaTipo,MATCH(AC3586,ctaNombre,0))&amp;"",""))</f>
        <v/>
      </c>
      <c r="AF3586" s="53">
        <f>IF(OR(P3586="",AB3586=""),"",IF(OR(P3586="Gasto",P3586="Transferencia",P3586="Pago tarjeta"),-1,1)*IF(IFERROR(INDEX(ctaMoneda,MATCH(AB3586,ctaNombre,0))&amp;"","DOP")="USD",T3586,S3586))</f>
        <v/>
      </c>
      <c r="AG3586" s="53">
        <f>IF(AC3586="","",IF(IFERROR(INDEX(ctaMoneda,MATCH(AC3586,ctaNombre,0))&amp;"","DOP")="USD",T3586,S3586))</f>
        <v/>
      </c>
      <c r="AH3586" s="53">
        <f>IF(P3586="","",IF(AND(AD3586&lt;&gt;"",COUNTIFS(tcTipo,AD3586,tcLiq,"Sí")&gt;0),IF(OR(P3586="Gasto",P3586="Transferencia",P3586="Pago tarjeta"),-1,1)*S3586,0)+IF(AND(AE3586&lt;&gt;"",COUNTIFS(tcTipo,AE3586,tcLiq,"Sí")&gt;0),S3586,0))</f>
        <v/>
      </c>
      <c r="AI3586" s="52">
        <f>IF(OR(L3586="",P3586=""),"",IF(COUNTIFS(L$6:L3586,L3586,P$6:P3586,"?*")=1,MAX(AI$5:AI3585)+1,""))</f>
        <v/>
      </c>
    </row>
    <row r="3587">
      <c r="B3587" s="47" t="n"/>
      <c r="C3587" s="48" t="n"/>
      <c r="D3587" s="48" t="n"/>
      <c r="E3587" s="48" t="n"/>
      <c r="F3587" s="48" t="n"/>
      <c r="G3587" s="49" t="n"/>
      <c r="H3587" s="48" t="n"/>
      <c r="I3587" s="50" t="n"/>
      <c r="J3587" s="48" t="n"/>
      <c r="K3587" s="48" t="n"/>
      <c r="L3587" s="48" t="n"/>
      <c r="M3587" s="48" t="n"/>
      <c r="N3587" s="48" t="n"/>
      <c r="O3587" s="51">
        <f>IF(AND(B3587="",G3587="",C3587="",D3587="",J3587=""),"",IF(B3587="","⚠ Falta fecha",IF(G3587="","⚠ Falta monto",IF(Q3587="","⚠ Falta cuenta",IF(ISNA(MATCH(Q3587,ctaNombre,0)),"⚠ Cuenta no registrada",IF(AND(OR(P3587="Gasto",P3587="Reembolso"),D3587=""),"⚠ Falta categoría",IF(AND(D3587&lt;&gt;"",E3587&lt;&gt;"",ISNA(MATCH(D3587&amp;"|"&amp;E3587,catClave,0))),"⚠ Subcategoría no corresponde",IF(AND(OR(P3587="Transferencia",P3587="Pago tarjeta"),K3587=""),"⚠ Falta cuenta destino",IF(AND(K3587&lt;&gt;"",P3587&lt;&gt;"Transferencia",P3587&lt;&gt;"Pago tarjeta"),"⚠ Destino solo aplica a transferencias",IF(AND(K3587&lt;&gt;"",K3587=Q3587),"⚠ Origen igual a destino",IF(AND(K3587&lt;&gt;"",ISNA(MATCH(K3587,ctaNombre,0))),"⚠ Destino no registrado",IF(AND(P3587="Pago tarjeta",AE3587&lt;&gt;"Tarjeta de crédito"),"⚠ El destino debe ser tarjeta de crédito",IF(AND(P3587="Gasto",E3587="Depósitos y retiros"),"⚠ Usa tipo Transferencia",IF(AND(P3587="Resultado trading",AD3587&lt;&gt;"Cuenta de trading"),"⚠ Usa una cuenta de trading",IF(AND(G3587&lt;=0,P3587&lt;&gt;"Ajuste",P3587&lt;&gt;"Resultado trading"),"⚠ El monto debe ser positivo","✓")))))))))))))))</f>
        <v/>
      </c>
      <c r="P3587" s="52">
        <f>IF(OR(B3587="",G3587=""),"",IF(C3587="","Gasto",C3587))</f>
        <v/>
      </c>
      <c r="Q3587" s="52">
        <f>IF(P3587="","",IF(J3587&lt;&gt;"",J3587,CuentaPred&amp;""))</f>
        <v/>
      </c>
      <c r="R3587" s="52">
        <f>IF(P3587="","",IF(ISNUMBER(I3587),I3587,TasaUSD))</f>
        <v/>
      </c>
      <c r="S3587" s="53">
        <f>IF(P3587="","",IF(H3587="USD",G3587*R3587,G3587))</f>
        <v/>
      </c>
      <c r="T3587" s="53">
        <f>IF(P3587="","",IF(H3587="USD",G3587,IF(R3587&gt;0,G3587/R3587,0)))</f>
        <v/>
      </c>
      <c r="U3587" s="53">
        <f>IF(P3587="","",IF(P3587="Gasto",S3587,IF(P3587="Reembolso",-S3587,0)))</f>
        <v/>
      </c>
      <c r="V3587" s="53">
        <f>IF(P3587="","",IF(P3587="Ingreso",S3587,0))</f>
        <v/>
      </c>
      <c r="W3587" s="53">
        <f>IF(P3587="","",IF(P3587="Resultado trading",S3587,0))</f>
        <v/>
      </c>
      <c r="X3587" s="52">
        <f>IF(OR(P3587="Gasto",P3587="Reembolso"),IF(M3587&lt;&gt;"",M3587,IFERROR(INDEX(catClasif,MATCH(D3587&amp;"|"&amp;E3587,catClave,0))&amp;"","Variable")),"")</f>
        <v/>
      </c>
      <c r="Y3587" s="52">
        <f>IF(P3587="","",IFERROR(INDEX(catGrupo,MATCH(D3587&amp;"|"&amp;E3587,catClave,0))&amp;"",""))</f>
        <v/>
      </c>
      <c r="Z3587" s="52">
        <f>IF(P3587="","",WEEKDAY(B3587,2))</f>
        <v/>
      </c>
      <c r="AA3587" s="52">
        <f>IF(P3587="","",IF(AND(P3587="Gasto",X3587="Variable",D3587&lt;&gt;catTrading,S3587&gt;0,S3587&lt;=Umbral),1,0))</f>
        <v/>
      </c>
      <c r="AB3587" s="52">
        <f>IF(OR(P3587="",Q3587=""),"",IFERROR(IF(INDEX(ctaVinc,MATCH(Q3587,ctaNombre,0))&amp;""&lt;&gt;"",INDEX(ctaVinc,MATCH(Q3587,ctaNombre,0))&amp;"",Q3587),Q3587))</f>
        <v/>
      </c>
      <c r="AC3587" s="52">
        <f>IF(OR(K3587="",AND(P3587&lt;&gt;"Transferencia",P3587&lt;&gt;"Pago tarjeta")),"",IFERROR(IF(INDEX(ctaVinc,MATCH(K3587,ctaNombre,0))&amp;""&lt;&gt;"",INDEX(ctaVinc,MATCH(K3587,ctaNombre,0))&amp;"",K3587),K3587))</f>
        <v/>
      </c>
      <c r="AD3587" s="52">
        <f>IF(AB3587="","",IFERROR(INDEX(ctaTipo,MATCH(AB3587,ctaNombre,0))&amp;"",""))</f>
        <v/>
      </c>
      <c r="AE3587" s="52">
        <f>IF(AC3587="","",IFERROR(INDEX(ctaTipo,MATCH(AC3587,ctaNombre,0))&amp;"",""))</f>
        <v/>
      </c>
      <c r="AF3587" s="53">
        <f>IF(OR(P3587="",AB3587=""),"",IF(OR(P3587="Gasto",P3587="Transferencia",P3587="Pago tarjeta"),-1,1)*IF(IFERROR(INDEX(ctaMoneda,MATCH(AB3587,ctaNombre,0))&amp;"","DOP")="USD",T3587,S3587))</f>
        <v/>
      </c>
      <c r="AG3587" s="53">
        <f>IF(AC3587="","",IF(IFERROR(INDEX(ctaMoneda,MATCH(AC3587,ctaNombre,0))&amp;"","DOP")="USD",T3587,S3587))</f>
        <v/>
      </c>
      <c r="AH3587" s="53">
        <f>IF(P3587="","",IF(AND(AD3587&lt;&gt;"",COUNTIFS(tcTipo,AD3587,tcLiq,"Sí")&gt;0),IF(OR(P3587="Gasto",P3587="Transferencia",P3587="Pago tarjeta"),-1,1)*S3587,0)+IF(AND(AE3587&lt;&gt;"",COUNTIFS(tcTipo,AE3587,tcLiq,"Sí")&gt;0),S3587,0))</f>
        <v/>
      </c>
      <c r="AI3587" s="52">
        <f>IF(OR(L3587="",P3587=""),"",IF(COUNTIFS(L$6:L3587,L3587,P$6:P3587,"?*")=1,MAX(AI$5:AI3586)+1,""))</f>
        <v/>
      </c>
    </row>
    <row r="3588">
      <c r="B3588" s="47" t="n"/>
      <c r="C3588" s="48" t="n"/>
      <c r="D3588" s="48" t="n"/>
      <c r="E3588" s="48" t="n"/>
      <c r="F3588" s="48" t="n"/>
      <c r="G3588" s="49" t="n"/>
      <c r="H3588" s="48" t="n"/>
      <c r="I3588" s="50" t="n"/>
      <c r="J3588" s="48" t="n"/>
      <c r="K3588" s="48" t="n"/>
      <c r="L3588" s="48" t="n"/>
      <c r="M3588" s="48" t="n"/>
      <c r="N3588" s="48" t="n"/>
      <c r="O3588" s="51">
        <f>IF(AND(B3588="",G3588="",C3588="",D3588="",J3588=""),"",IF(B3588="","⚠ Falta fecha",IF(G3588="","⚠ Falta monto",IF(Q3588="","⚠ Falta cuenta",IF(ISNA(MATCH(Q3588,ctaNombre,0)),"⚠ Cuenta no registrada",IF(AND(OR(P3588="Gasto",P3588="Reembolso"),D3588=""),"⚠ Falta categoría",IF(AND(D3588&lt;&gt;"",E3588&lt;&gt;"",ISNA(MATCH(D3588&amp;"|"&amp;E3588,catClave,0))),"⚠ Subcategoría no corresponde",IF(AND(OR(P3588="Transferencia",P3588="Pago tarjeta"),K3588=""),"⚠ Falta cuenta destino",IF(AND(K3588&lt;&gt;"",P3588&lt;&gt;"Transferencia",P3588&lt;&gt;"Pago tarjeta"),"⚠ Destino solo aplica a transferencias",IF(AND(K3588&lt;&gt;"",K3588=Q3588),"⚠ Origen igual a destino",IF(AND(K3588&lt;&gt;"",ISNA(MATCH(K3588,ctaNombre,0))),"⚠ Destino no registrado",IF(AND(P3588="Pago tarjeta",AE3588&lt;&gt;"Tarjeta de crédito"),"⚠ El destino debe ser tarjeta de crédito",IF(AND(P3588="Gasto",E3588="Depósitos y retiros"),"⚠ Usa tipo Transferencia",IF(AND(P3588="Resultado trading",AD3588&lt;&gt;"Cuenta de trading"),"⚠ Usa una cuenta de trading",IF(AND(G3588&lt;=0,P3588&lt;&gt;"Ajuste",P3588&lt;&gt;"Resultado trading"),"⚠ El monto debe ser positivo","✓")))))))))))))))</f>
        <v/>
      </c>
      <c r="P3588" s="52">
        <f>IF(OR(B3588="",G3588=""),"",IF(C3588="","Gasto",C3588))</f>
        <v/>
      </c>
      <c r="Q3588" s="52">
        <f>IF(P3588="","",IF(J3588&lt;&gt;"",J3588,CuentaPred&amp;""))</f>
        <v/>
      </c>
      <c r="R3588" s="52">
        <f>IF(P3588="","",IF(ISNUMBER(I3588),I3588,TasaUSD))</f>
        <v/>
      </c>
      <c r="S3588" s="53">
        <f>IF(P3588="","",IF(H3588="USD",G3588*R3588,G3588))</f>
        <v/>
      </c>
      <c r="T3588" s="53">
        <f>IF(P3588="","",IF(H3588="USD",G3588,IF(R3588&gt;0,G3588/R3588,0)))</f>
        <v/>
      </c>
      <c r="U3588" s="53">
        <f>IF(P3588="","",IF(P3588="Gasto",S3588,IF(P3588="Reembolso",-S3588,0)))</f>
        <v/>
      </c>
      <c r="V3588" s="53">
        <f>IF(P3588="","",IF(P3588="Ingreso",S3588,0))</f>
        <v/>
      </c>
      <c r="W3588" s="53">
        <f>IF(P3588="","",IF(P3588="Resultado trading",S3588,0))</f>
        <v/>
      </c>
      <c r="X3588" s="52">
        <f>IF(OR(P3588="Gasto",P3588="Reembolso"),IF(M3588&lt;&gt;"",M3588,IFERROR(INDEX(catClasif,MATCH(D3588&amp;"|"&amp;E3588,catClave,0))&amp;"","Variable")),"")</f>
        <v/>
      </c>
      <c r="Y3588" s="52">
        <f>IF(P3588="","",IFERROR(INDEX(catGrupo,MATCH(D3588&amp;"|"&amp;E3588,catClave,0))&amp;"",""))</f>
        <v/>
      </c>
      <c r="Z3588" s="52">
        <f>IF(P3588="","",WEEKDAY(B3588,2))</f>
        <v/>
      </c>
      <c r="AA3588" s="52">
        <f>IF(P3588="","",IF(AND(P3588="Gasto",X3588="Variable",D3588&lt;&gt;catTrading,S3588&gt;0,S3588&lt;=Umbral),1,0))</f>
        <v/>
      </c>
      <c r="AB3588" s="52">
        <f>IF(OR(P3588="",Q3588=""),"",IFERROR(IF(INDEX(ctaVinc,MATCH(Q3588,ctaNombre,0))&amp;""&lt;&gt;"",INDEX(ctaVinc,MATCH(Q3588,ctaNombre,0))&amp;"",Q3588),Q3588))</f>
        <v/>
      </c>
      <c r="AC3588" s="52">
        <f>IF(OR(K3588="",AND(P3588&lt;&gt;"Transferencia",P3588&lt;&gt;"Pago tarjeta")),"",IFERROR(IF(INDEX(ctaVinc,MATCH(K3588,ctaNombre,0))&amp;""&lt;&gt;"",INDEX(ctaVinc,MATCH(K3588,ctaNombre,0))&amp;"",K3588),K3588))</f>
        <v/>
      </c>
      <c r="AD3588" s="52">
        <f>IF(AB3588="","",IFERROR(INDEX(ctaTipo,MATCH(AB3588,ctaNombre,0))&amp;"",""))</f>
        <v/>
      </c>
      <c r="AE3588" s="52">
        <f>IF(AC3588="","",IFERROR(INDEX(ctaTipo,MATCH(AC3588,ctaNombre,0))&amp;"",""))</f>
        <v/>
      </c>
      <c r="AF3588" s="53">
        <f>IF(OR(P3588="",AB3588=""),"",IF(OR(P3588="Gasto",P3588="Transferencia",P3588="Pago tarjeta"),-1,1)*IF(IFERROR(INDEX(ctaMoneda,MATCH(AB3588,ctaNombre,0))&amp;"","DOP")="USD",T3588,S3588))</f>
        <v/>
      </c>
      <c r="AG3588" s="53">
        <f>IF(AC3588="","",IF(IFERROR(INDEX(ctaMoneda,MATCH(AC3588,ctaNombre,0))&amp;"","DOP")="USD",T3588,S3588))</f>
        <v/>
      </c>
      <c r="AH3588" s="53">
        <f>IF(P3588="","",IF(AND(AD3588&lt;&gt;"",COUNTIFS(tcTipo,AD3588,tcLiq,"Sí")&gt;0),IF(OR(P3588="Gasto",P3588="Transferencia",P3588="Pago tarjeta"),-1,1)*S3588,0)+IF(AND(AE3588&lt;&gt;"",COUNTIFS(tcTipo,AE3588,tcLiq,"Sí")&gt;0),S3588,0))</f>
        <v/>
      </c>
      <c r="AI3588" s="52">
        <f>IF(OR(L3588="",P3588=""),"",IF(COUNTIFS(L$6:L3588,L3588,P$6:P3588,"?*")=1,MAX(AI$5:AI3587)+1,""))</f>
        <v/>
      </c>
    </row>
    <row r="3589">
      <c r="B3589" s="47" t="n"/>
      <c r="C3589" s="48" t="n"/>
      <c r="D3589" s="48" t="n"/>
      <c r="E3589" s="48" t="n"/>
      <c r="F3589" s="48" t="n"/>
      <c r="G3589" s="49" t="n"/>
      <c r="H3589" s="48" t="n"/>
      <c r="I3589" s="50" t="n"/>
      <c r="J3589" s="48" t="n"/>
      <c r="K3589" s="48" t="n"/>
      <c r="L3589" s="48" t="n"/>
      <c r="M3589" s="48" t="n"/>
      <c r="N3589" s="48" t="n"/>
      <c r="O3589" s="51">
        <f>IF(AND(B3589="",G3589="",C3589="",D3589="",J3589=""),"",IF(B3589="","⚠ Falta fecha",IF(G3589="","⚠ Falta monto",IF(Q3589="","⚠ Falta cuenta",IF(ISNA(MATCH(Q3589,ctaNombre,0)),"⚠ Cuenta no registrada",IF(AND(OR(P3589="Gasto",P3589="Reembolso"),D3589=""),"⚠ Falta categoría",IF(AND(D3589&lt;&gt;"",E3589&lt;&gt;"",ISNA(MATCH(D3589&amp;"|"&amp;E3589,catClave,0))),"⚠ Subcategoría no corresponde",IF(AND(OR(P3589="Transferencia",P3589="Pago tarjeta"),K3589=""),"⚠ Falta cuenta destino",IF(AND(K3589&lt;&gt;"",P3589&lt;&gt;"Transferencia",P3589&lt;&gt;"Pago tarjeta"),"⚠ Destino solo aplica a transferencias",IF(AND(K3589&lt;&gt;"",K3589=Q3589),"⚠ Origen igual a destino",IF(AND(K3589&lt;&gt;"",ISNA(MATCH(K3589,ctaNombre,0))),"⚠ Destino no registrado",IF(AND(P3589="Pago tarjeta",AE3589&lt;&gt;"Tarjeta de crédito"),"⚠ El destino debe ser tarjeta de crédito",IF(AND(P3589="Gasto",E3589="Depósitos y retiros"),"⚠ Usa tipo Transferencia",IF(AND(P3589="Resultado trading",AD3589&lt;&gt;"Cuenta de trading"),"⚠ Usa una cuenta de trading",IF(AND(G3589&lt;=0,P3589&lt;&gt;"Ajuste",P3589&lt;&gt;"Resultado trading"),"⚠ El monto debe ser positivo","✓")))))))))))))))</f>
        <v/>
      </c>
      <c r="P3589" s="52">
        <f>IF(OR(B3589="",G3589=""),"",IF(C3589="","Gasto",C3589))</f>
        <v/>
      </c>
      <c r="Q3589" s="52">
        <f>IF(P3589="","",IF(J3589&lt;&gt;"",J3589,CuentaPred&amp;""))</f>
        <v/>
      </c>
      <c r="R3589" s="52">
        <f>IF(P3589="","",IF(ISNUMBER(I3589),I3589,TasaUSD))</f>
        <v/>
      </c>
      <c r="S3589" s="53">
        <f>IF(P3589="","",IF(H3589="USD",G3589*R3589,G3589))</f>
        <v/>
      </c>
      <c r="T3589" s="53">
        <f>IF(P3589="","",IF(H3589="USD",G3589,IF(R3589&gt;0,G3589/R3589,0)))</f>
        <v/>
      </c>
      <c r="U3589" s="53">
        <f>IF(P3589="","",IF(P3589="Gasto",S3589,IF(P3589="Reembolso",-S3589,0)))</f>
        <v/>
      </c>
      <c r="V3589" s="53">
        <f>IF(P3589="","",IF(P3589="Ingreso",S3589,0))</f>
        <v/>
      </c>
      <c r="W3589" s="53">
        <f>IF(P3589="","",IF(P3589="Resultado trading",S3589,0))</f>
        <v/>
      </c>
      <c r="X3589" s="52">
        <f>IF(OR(P3589="Gasto",P3589="Reembolso"),IF(M3589&lt;&gt;"",M3589,IFERROR(INDEX(catClasif,MATCH(D3589&amp;"|"&amp;E3589,catClave,0))&amp;"","Variable")),"")</f>
        <v/>
      </c>
      <c r="Y3589" s="52">
        <f>IF(P3589="","",IFERROR(INDEX(catGrupo,MATCH(D3589&amp;"|"&amp;E3589,catClave,0))&amp;"",""))</f>
        <v/>
      </c>
      <c r="Z3589" s="52">
        <f>IF(P3589="","",WEEKDAY(B3589,2))</f>
        <v/>
      </c>
      <c r="AA3589" s="52">
        <f>IF(P3589="","",IF(AND(P3589="Gasto",X3589="Variable",D3589&lt;&gt;catTrading,S3589&gt;0,S3589&lt;=Umbral),1,0))</f>
        <v/>
      </c>
      <c r="AB3589" s="52">
        <f>IF(OR(P3589="",Q3589=""),"",IFERROR(IF(INDEX(ctaVinc,MATCH(Q3589,ctaNombre,0))&amp;""&lt;&gt;"",INDEX(ctaVinc,MATCH(Q3589,ctaNombre,0))&amp;"",Q3589),Q3589))</f>
        <v/>
      </c>
      <c r="AC3589" s="52">
        <f>IF(OR(K3589="",AND(P3589&lt;&gt;"Transferencia",P3589&lt;&gt;"Pago tarjeta")),"",IFERROR(IF(INDEX(ctaVinc,MATCH(K3589,ctaNombre,0))&amp;""&lt;&gt;"",INDEX(ctaVinc,MATCH(K3589,ctaNombre,0))&amp;"",K3589),K3589))</f>
        <v/>
      </c>
      <c r="AD3589" s="52">
        <f>IF(AB3589="","",IFERROR(INDEX(ctaTipo,MATCH(AB3589,ctaNombre,0))&amp;"",""))</f>
        <v/>
      </c>
      <c r="AE3589" s="52">
        <f>IF(AC3589="","",IFERROR(INDEX(ctaTipo,MATCH(AC3589,ctaNombre,0))&amp;"",""))</f>
        <v/>
      </c>
      <c r="AF3589" s="53">
        <f>IF(OR(P3589="",AB3589=""),"",IF(OR(P3589="Gasto",P3589="Transferencia",P3589="Pago tarjeta"),-1,1)*IF(IFERROR(INDEX(ctaMoneda,MATCH(AB3589,ctaNombre,0))&amp;"","DOP")="USD",T3589,S3589))</f>
        <v/>
      </c>
      <c r="AG3589" s="53">
        <f>IF(AC3589="","",IF(IFERROR(INDEX(ctaMoneda,MATCH(AC3589,ctaNombre,0))&amp;"","DOP")="USD",T3589,S3589))</f>
        <v/>
      </c>
      <c r="AH3589" s="53">
        <f>IF(P3589="","",IF(AND(AD3589&lt;&gt;"",COUNTIFS(tcTipo,AD3589,tcLiq,"Sí")&gt;0),IF(OR(P3589="Gasto",P3589="Transferencia",P3589="Pago tarjeta"),-1,1)*S3589,0)+IF(AND(AE3589&lt;&gt;"",COUNTIFS(tcTipo,AE3589,tcLiq,"Sí")&gt;0),S3589,0))</f>
        <v/>
      </c>
      <c r="AI3589" s="52">
        <f>IF(OR(L3589="",P3589=""),"",IF(COUNTIFS(L$6:L3589,L3589,P$6:P3589,"?*")=1,MAX(AI$5:AI3588)+1,""))</f>
        <v/>
      </c>
    </row>
    <row r="3590">
      <c r="B3590" s="47" t="n"/>
      <c r="C3590" s="48" t="n"/>
      <c r="D3590" s="48" t="n"/>
      <c r="E3590" s="48" t="n"/>
      <c r="F3590" s="48" t="n"/>
      <c r="G3590" s="49" t="n"/>
      <c r="H3590" s="48" t="n"/>
      <c r="I3590" s="50" t="n"/>
      <c r="J3590" s="48" t="n"/>
      <c r="K3590" s="48" t="n"/>
      <c r="L3590" s="48" t="n"/>
      <c r="M3590" s="48" t="n"/>
      <c r="N3590" s="48" t="n"/>
      <c r="O3590" s="51">
        <f>IF(AND(B3590="",G3590="",C3590="",D3590="",J3590=""),"",IF(B3590="","⚠ Falta fecha",IF(G3590="","⚠ Falta monto",IF(Q3590="","⚠ Falta cuenta",IF(ISNA(MATCH(Q3590,ctaNombre,0)),"⚠ Cuenta no registrada",IF(AND(OR(P3590="Gasto",P3590="Reembolso"),D3590=""),"⚠ Falta categoría",IF(AND(D3590&lt;&gt;"",E3590&lt;&gt;"",ISNA(MATCH(D3590&amp;"|"&amp;E3590,catClave,0))),"⚠ Subcategoría no corresponde",IF(AND(OR(P3590="Transferencia",P3590="Pago tarjeta"),K3590=""),"⚠ Falta cuenta destino",IF(AND(K3590&lt;&gt;"",P3590&lt;&gt;"Transferencia",P3590&lt;&gt;"Pago tarjeta"),"⚠ Destino solo aplica a transferencias",IF(AND(K3590&lt;&gt;"",K3590=Q3590),"⚠ Origen igual a destino",IF(AND(K3590&lt;&gt;"",ISNA(MATCH(K3590,ctaNombre,0))),"⚠ Destino no registrado",IF(AND(P3590="Pago tarjeta",AE3590&lt;&gt;"Tarjeta de crédito"),"⚠ El destino debe ser tarjeta de crédito",IF(AND(P3590="Gasto",E3590="Depósitos y retiros"),"⚠ Usa tipo Transferencia",IF(AND(P3590="Resultado trading",AD3590&lt;&gt;"Cuenta de trading"),"⚠ Usa una cuenta de trading",IF(AND(G3590&lt;=0,P3590&lt;&gt;"Ajuste",P3590&lt;&gt;"Resultado trading"),"⚠ El monto debe ser positivo","✓")))))))))))))))</f>
        <v/>
      </c>
      <c r="P3590" s="52">
        <f>IF(OR(B3590="",G3590=""),"",IF(C3590="","Gasto",C3590))</f>
        <v/>
      </c>
      <c r="Q3590" s="52">
        <f>IF(P3590="","",IF(J3590&lt;&gt;"",J3590,CuentaPred&amp;""))</f>
        <v/>
      </c>
      <c r="R3590" s="52">
        <f>IF(P3590="","",IF(ISNUMBER(I3590),I3590,TasaUSD))</f>
        <v/>
      </c>
      <c r="S3590" s="53">
        <f>IF(P3590="","",IF(H3590="USD",G3590*R3590,G3590))</f>
        <v/>
      </c>
      <c r="T3590" s="53">
        <f>IF(P3590="","",IF(H3590="USD",G3590,IF(R3590&gt;0,G3590/R3590,0)))</f>
        <v/>
      </c>
      <c r="U3590" s="53">
        <f>IF(P3590="","",IF(P3590="Gasto",S3590,IF(P3590="Reembolso",-S3590,0)))</f>
        <v/>
      </c>
      <c r="V3590" s="53">
        <f>IF(P3590="","",IF(P3590="Ingreso",S3590,0))</f>
        <v/>
      </c>
      <c r="W3590" s="53">
        <f>IF(P3590="","",IF(P3590="Resultado trading",S3590,0))</f>
        <v/>
      </c>
      <c r="X3590" s="52">
        <f>IF(OR(P3590="Gasto",P3590="Reembolso"),IF(M3590&lt;&gt;"",M3590,IFERROR(INDEX(catClasif,MATCH(D3590&amp;"|"&amp;E3590,catClave,0))&amp;"","Variable")),"")</f>
        <v/>
      </c>
      <c r="Y3590" s="52">
        <f>IF(P3590="","",IFERROR(INDEX(catGrupo,MATCH(D3590&amp;"|"&amp;E3590,catClave,0))&amp;"",""))</f>
        <v/>
      </c>
      <c r="Z3590" s="52">
        <f>IF(P3590="","",WEEKDAY(B3590,2))</f>
        <v/>
      </c>
      <c r="AA3590" s="52">
        <f>IF(P3590="","",IF(AND(P3590="Gasto",X3590="Variable",D3590&lt;&gt;catTrading,S3590&gt;0,S3590&lt;=Umbral),1,0))</f>
        <v/>
      </c>
      <c r="AB3590" s="52">
        <f>IF(OR(P3590="",Q3590=""),"",IFERROR(IF(INDEX(ctaVinc,MATCH(Q3590,ctaNombre,0))&amp;""&lt;&gt;"",INDEX(ctaVinc,MATCH(Q3590,ctaNombre,0))&amp;"",Q3590),Q3590))</f>
        <v/>
      </c>
      <c r="AC3590" s="52">
        <f>IF(OR(K3590="",AND(P3590&lt;&gt;"Transferencia",P3590&lt;&gt;"Pago tarjeta")),"",IFERROR(IF(INDEX(ctaVinc,MATCH(K3590,ctaNombre,0))&amp;""&lt;&gt;"",INDEX(ctaVinc,MATCH(K3590,ctaNombre,0))&amp;"",K3590),K3590))</f>
        <v/>
      </c>
      <c r="AD3590" s="52">
        <f>IF(AB3590="","",IFERROR(INDEX(ctaTipo,MATCH(AB3590,ctaNombre,0))&amp;"",""))</f>
        <v/>
      </c>
      <c r="AE3590" s="52">
        <f>IF(AC3590="","",IFERROR(INDEX(ctaTipo,MATCH(AC3590,ctaNombre,0))&amp;"",""))</f>
        <v/>
      </c>
      <c r="AF3590" s="53">
        <f>IF(OR(P3590="",AB3590=""),"",IF(OR(P3590="Gasto",P3590="Transferencia",P3590="Pago tarjeta"),-1,1)*IF(IFERROR(INDEX(ctaMoneda,MATCH(AB3590,ctaNombre,0))&amp;"","DOP")="USD",T3590,S3590))</f>
        <v/>
      </c>
      <c r="AG3590" s="53">
        <f>IF(AC3590="","",IF(IFERROR(INDEX(ctaMoneda,MATCH(AC3590,ctaNombre,0))&amp;"","DOP")="USD",T3590,S3590))</f>
        <v/>
      </c>
      <c r="AH3590" s="53">
        <f>IF(P3590="","",IF(AND(AD3590&lt;&gt;"",COUNTIFS(tcTipo,AD3590,tcLiq,"Sí")&gt;0),IF(OR(P3590="Gasto",P3590="Transferencia",P3590="Pago tarjeta"),-1,1)*S3590,0)+IF(AND(AE3590&lt;&gt;"",COUNTIFS(tcTipo,AE3590,tcLiq,"Sí")&gt;0),S3590,0))</f>
        <v/>
      </c>
      <c r="AI3590" s="52">
        <f>IF(OR(L3590="",P3590=""),"",IF(COUNTIFS(L$6:L3590,L3590,P$6:P3590,"?*")=1,MAX(AI$5:AI3589)+1,""))</f>
        <v/>
      </c>
    </row>
    <row r="3591">
      <c r="B3591" s="47" t="n"/>
      <c r="C3591" s="48" t="n"/>
      <c r="D3591" s="48" t="n"/>
      <c r="E3591" s="48" t="n"/>
      <c r="F3591" s="48" t="n"/>
      <c r="G3591" s="49" t="n"/>
      <c r="H3591" s="48" t="n"/>
      <c r="I3591" s="50" t="n"/>
      <c r="J3591" s="48" t="n"/>
      <c r="K3591" s="48" t="n"/>
      <c r="L3591" s="48" t="n"/>
      <c r="M3591" s="48" t="n"/>
      <c r="N3591" s="48" t="n"/>
      <c r="O3591" s="51">
        <f>IF(AND(B3591="",G3591="",C3591="",D3591="",J3591=""),"",IF(B3591="","⚠ Falta fecha",IF(G3591="","⚠ Falta monto",IF(Q3591="","⚠ Falta cuenta",IF(ISNA(MATCH(Q3591,ctaNombre,0)),"⚠ Cuenta no registrada",IF(AND(OR(P3591="Gasto",P3591="Reembolso"),D3591=""),"⚠ Falta categoría",IF(AND(D3591&lt;&gt;"",E3591&lt;&gt;"",ISNA(MATCH(D3591&amp;"|"&amp;E3591,catClave,0))),"⚠ Subcategoría no corresponde",IF(AND(OR(P3591="Transferencia",P3591="Pago tarjeta"),K3591=""),"⚠ Falta cuenta destino",IF(AND(K3591&lt;&gt;"",P3591&lt;&gt;"Transferencia",P3591&lt;&gt;"Pago tarjeta"),"⚠ Destino solo aplica a transferencias",IF(AND(K3591&lt;&gt;"",K3591=Q3591),"⚠ Origen igual a destino",IF(AND(K3591&lt;&gt;"",ISNA(MATCH(K3591,ctaNombre,0))),"⚠ Destino no registrado",IF(AND(P3591="Pago tarjeta",AE3591&lt;&gt;"Tarjeta de crédito"),"⚠ El destino debe ser tarjeta de crédito",IF(AND(P3591="Gasto",E3591="Depósitos y retiros"),"⚠ Usa tipo Transferencia",IF(AND(P3591="Resultado trading",AD3591&lt;&gt;"Cuenta de trading"),"⚠ Usa una cuenta de trading",IF(AND(G3591&lt;=0,P3591&lt;&gt;"Ajuste",P3591&lt;&gt;"Resultado trading"),"⚠ El monto debe ser positivo","✓")))))))))))))))</f>
        <v/>
      </c>
      <c r="P3591" s="52">
        <f>IF(OR(B3591="",G3591=""),"",IF(C3591="","Gasto",C3591))</f>
        <v/>
      </c>
      <c r="Q3591" s="52">
        <f>IF(P3591="","",IF(J3591&lt;&gt;"",J3591,CuentaPred&amp;""))</f>
        <v/>
      </c>
      <c r="R3591" s="52">
        <f>IF(P3591="","",IF(ISNUMBER(I3591),I3591,TasaUSD))</f>
        <v/>
      </c>
      <c r="S3591" s="53">
        <f>IF(P3591="","",IF(H3591="USD",G3591*R3591,G3591))</f>
        <v/>
      </c>
      <c r="T3591" s="53">
        <f>IF(P3591="","",IF(H3591="USD",G3591,IF(R3591&gt;0,G3591/R3591,0)))</f>
        <v/>
      </c>
      <c r="U3591" s="53">
        <f>IF(P3591="","",IF(P3591="Gasto",S3591,IF(P3591="Reembolso",-S3591,0)))</f>
        <v/>
      </c>
      <c r="V3591" s="53">
        <f>IF(P3591="","",IF(P3591="Ingreso",S3591,0))</f>
        <v/>
      </c>
      <c r="W3591" s="53">
        <f>IF(P3591="","",IF(P3591="Resultado trading",S3591,0))</f>
        <v/>
      </c>
      <c r="X3591" s="52">
        <f>IF(OR(P3591="Gasto",P3591="Reembolso"),IF(M3591&lt;&gt;"",M3591,IFERROR(INDEX(catClasif,MATCH(D3591&amp;"|"&amp;E3591,catClave,0))&amp;"","Variable")),"")</f>
        <v/>
      </c>
      <c r="Y3591" s="52">
        <f>IF(P3591="","",IFERROR(INDEX(catGrupo,MATCH(D3591&amp;"|"&amp;E3591,catClave,0))&amp;"",""))</f>
        <v/>
      </c>
      <c r="Z3591" s="52">
        <f>IF(P3591="","",WEEKDAY(B3591,2))</f>
        <v/>
      </c>
      <c r="AA3591" s="52">
        <f>IF(P3591="","",IF(AND(P3591="Gasto",X3591="Variable",D3591&lt;&gt;catTrading,S3591&gt;0,S3591&lt;=Umbral),1,0))</f>
        <v/>
      </c>
      <c r="AB3591" s="52">
        <f>IF(OR(P3591="",Q3591=""),"",IFERROR(IF(INDEX(ctaVinc,MATCH(Q3591,ctaNombre,0))&amp;""&lt;&gt;"",INDEX(ctaVinc,MATCH(Q3591,ctaNombre,0))&amp;"",Q3591),Q3591))</f>
        <v/>
      </c>
      <c r="AC3591" s="52">
        <f>IF(OR(K3591="",AND(P3591&lt;&gt;"Transferencia",P3591&lt;&gt;"Pago tarjeta")),"",IFERROR(IF(INDEX(ctaVinc,MATCH(K3591,ctaNombre,0))&amp;""&lt;&gt;"",INDEX(ctaVinc,MATCH(K3591,ctaNombre,0))&amp;"",K3591),K3591))</f>
        <v/>
      </c>
      <c r="AD3591" s="52">
        <f>IF(AB3591="","",IFERROR(INDEX(ctaTipo,MATCH(AB3591,ctaNombre,0))&amp;"",""))</f>
        <v/>
      </c>
      <c r="AE3591" s="52">
        <f>IF(AC3591="","",IFERROR(INDEX(ctaTipo,MATCH(AC3591,ctaNombre,0))&amp;"",""))</f>
        <v/>
      </c>
      <c r="AF3591" s="53">
        <f>IF(OR(P3591="",AB3591=""),"",IF(OR(P3591="Gasto",P3591="Transferencia",P3591="Pago tarjeta"),-1,1)*IF(IFERROR(INDEX(ctaMoneda,MATCH(AB3591,ctaNombre,0))&amp;"","DOP")="USD",T3591,S3591))</f>
        <v/>
      </c>
      <c r="AG3591" s="53">
        <f>IF(AC3591="","",IF(IFERROR(INDEX(ctaMoneda,MATCH(AC3591,ctaNombre,0))&amp;"","DOP")="USD",T3591,S3591))</f>
        <v/>
      </c>
      <c r="AH3591" s="53">
        <f>IF(P3591="","",IF(AND(AD3591&lt;&gt;"",COUNTIFS(tcTipo,AD3591,tcLiq,"Sí")&gt;0),IF(OR(P3591="Gasto",P3591="Transferencia",P3591="Pago tarjeta"),-1,1)*S3591,0)+IF(AND(AE3591&lt;&gt;"",COUNTIFS(tcTipo,AE3591,tcLiq,"Sí")&gt;0),S3591,0))</f>
        <v/>
      </c>
      <c r="AI3591" s="52">
        <f>IF(OR(L3591="",P3591=""),"",IF(COUNTIFS(L$6:L3591,L3591,P$6:P3591,"?*")=1,MAX(AI$5:AI3590)+1,""))</f>
        <v/>
      </c>
    </row>
    <row r="3592">
      <c r="B3592" s="47" t="n"/>
      <c r="C3592" s="48" t="n"/>
      <c r="D3592" s="48" t="n"/>
      <c r="E3592" s="48" t="n"/>
      <c r="F3592" s="48" t="n"/>
      <c r="G3592" s="49" t="n"/>
      <c r="H3592" s="48" t="n"/>
      <c r="I3592" s="50" t="n"/>
      <c r="J3592" s="48" t="n"/>
      <c r="K3592" s="48" t="n"/>
      <c r="L3592" s="48" t="n"/>
      <c r="M3592" s="48" t="n"/>
      <c r="N3592" s="48" t="n"/>
      <c r="O3592" s="51">
        <f>IF(AND(B3592="",G3592="",C3592="",D3592="",J3592=""),"",IF(B3592="","⚠ Falta fecha",IF(G3592="","⚠ Falta monto",IF(Q3592="","⚠ Falta cuenta",IF(ISNA(MATCH(Q3592,ctaNombre,0)),"⚠ Cuenta no registrada",IF(AND(OR(P3592="Gasto",P3592="Reembolso"),D3592=""),"⚠ Falta categoría",IF(AND(D3592&lt;&gt;"",E3592&lt;&gt;"",ISNA(MATCH(D3592&amp;"|"&amp;E3592,catClave,0))),"⚠ Subcategoría no corresponde",IF(AND(OR(P3592="Transferencia",P3592="Pago tarjeta"),K3592=""),"⚠ Falta cuenta destino",IF(AND(K3592&lt;&gt;"",P3592&lt;&gt;"Transferencia",P3592&lt;&gt;"Pago tarjeta"),"⚠ Destino solo aplica a transferencias",IF(AND(K3592&lt;&gt;"",K3592=Q3592),"⚠ Origen igual a destino",IF(AND(K3592&lt;&gt;"",ISNA(MATCH(K3592,ctaNombre,0))),"⚠ Destino no registrado",IF(AND(P3592="Pago tarjeta",AE3592&lt;&gt;"Tarjeta de crédito"),"⚠ El destino debe ser tarjeta de crédito",IF(AND(P3592="Gasto",E3592="Depósitos y retiros"),"⚠ Usa tipo Transferencia",IF(AND(P3592="Resultado trading",AD3592&lt;&gt;"Cuenta de trading"),"⚠ Usa una cuenta de trading",IF(AND(G3592&lt;=0,P3592&lt;&gt;"Ajuste",P3592&lt;&gt;"Resultado trading"),"⚠ El monto debe ser positivo","✓")))))))))))))))</f>
        <v/>
      </c>
      <c r="P3592" s="52">
        <f>IF(OR(B3592="",G3592=""),"",IF(C3592="","Gasto",C3592))</f>
        <v/>
      </c>
      <c r="Q3592" s="52">
        <f>IF(P3592="","",IF(J3592&lt;&gt;"",J3592,CuentaPred&amp;""))</f>
        <v/>
      </c>
      <c r="R3592" s="52">
        <f>IF(P3592="","",IF(ISNUMBER(I3592),I3592,TasaUSD))</f>
        <v/>
      </c>
      <c r="S3592" s="53">
        <f>IF(P3592="","",IF(H3592="USD",G3592*R3592,G3592))</f>
        <v/>
      </c>
      <c r="T3592" s="53">
        <f>IF(P3592="","",IF(H3592="USD",G3592,IF(R3592&gt;0,G3592/R3592,0)))</f>
        <v/>
      </c>
      <c r="U3592" s="53">
        <f>IF(P3592="","",IF(P3592="Gasto",S3592,IF(P3592="Reembolso",-S3592,0)))</f>
        <v/>
      </c>
      <c r="V3592" s="53">
        <f>IF(P3592="","",IF(P3592="Ingreso",S3592,0))</f>
        <v/>
      </c>
      <c r="W3592" s="53">
        <f>IF(P3592="","",IF(P3592="Resultado trading",S3592,0))</f>
        <v/>
      </c>
      <c r="X3592" s="52">
        <f>IF(OR(P3592="Gasto",P3592="Reembolso"),IF(M3592&lt;&gt;"",M3592,IFERROR(INDEX(catClasif,MATCH(D3592&amp;"|"&amp;E3592,catClave,0))&amp;"","Variable")),"")</f>
        <v/>
      </c>
      <c r="Y3592" s="52">
        <f>IF(P3592="","",IFERROR(INDEX(catGrupo,MATCH(D3592&amp;"|"&amp;E3592,catClave,0))&amp;"",""))</f>
        <v/>
      </c>
      <c r="Z3592" s="52">
        <f>IF(P3592="","",WEEKDAY(B3592,2))</f>
        <v/>
      </c>
      <c r="AA3592" s="52">
        <f>IF(P3592="","",IF(AND(P3592="Gasto",X3592="Variable",D3592&lt;&gt;catTrading,S3592&gt;0,S3592&lt;=Umbral),1,0))</f>
        <v/>
      </c>
      <c r="AB3592" s="52">
        <f>IF(OR(P3592="",Q3592=""),"",IFERROR(IF(INDEX(ctaVinc,MATCH(Q3592,ctaNombre,0))&amp;""&lt;&gt;"",INDEX(ctaVinc,MATCH(Q3592,ctaNombre,0))&amp;"",Q3592),Q3592))</f>
        <v/>
      </c>
      <c r="AC3592" s="52">
        <f>IF(OR(K3592="",AND(P3592&lt;&gt;"Transferencia",P3592&lt;&gt;"Pago tarjeta")),"",IFERROR(IF(INDEX(ctaVinc,MATCH(K3592,ctaNombre,0))&amp;""&lt;&gt;"",INDEX(ctaVinc,MATCH(K3592,ctaNombre,0))&amp;"",K3592),K3592))</f>
        <v/>
      </c>
      <c r="AD3592" s="52">
        <f>IF(AB3592="","",IFERROR(INDEX(ctaTipo,MATCH(AB3592,ctaNombre,0))&amp;"",""))</f>
        <v/>
      </c>
      <c r="AE3592" s="52">
        <f>IF(AC3592="","",IFERROR(INDEX(ctaTipo,MATCH(AC3592,ctaNombre,0))&amp;"",""))</f>
        <v/>
      </c>
      <c r="AF3592" s="53">
        <f>IF(OR(P3592="",AB3592=""),"",IF(OR(P3592="Gasto",P3592="Transferencia",P3592="Pago tarjeta"),-1,1)*IF(IFERROR(INDEX(ctaMoneda,MATCH(AB3592,ctaNombre,0))&amp;"","DOP")="USD",T3592,S3592))</f>
        <v/>
      </c>
      <c r="AG3592" s="53">
        <f>IF(AC3592="","",IF(IFERROR(INDEX(ctaMoneda,MATCH(AC3592,ctaNombre,0))&amp;"","DOP")="USD",T3592,S3592))</f>
        <v/>
      </c>
      <c r="AH3592" s="53">
        <f>IF(P3592="","",IF(AND(AD3592&lt;&gt;"",COUNTIFS(tcTipo,AD3592,tcLiq,"Sí")&gt;0),IF(OR(P3592="Gasto",P3592="Transferencia",P3592="Pago tarjeta"),-1,1)*S3592,0)+IF(AND(AE3592&lt;&gt;"",COUNTIFS(tcTipo,AE3592,tcLiq,"Sí")&gt;0),S3592,0))</f>
        <v/>
      </c>
      <c r="AI3592" s="52">
        <f>IF(OR(L3592="",P3592=""),"",IF(COUNTIFS(L$6:L3592,L3592,P$6:P3592,"?*")=1,MAX(AI$5:AI3591)+1,""))</f>
        <v/>
      </c>
    </row>
    <row r="3593">
      <c r="B3593" s="47" t="n"/>
      <c r="C3593" s="48" t="n"/>
      <c r="D3593" s="48" t="n"/>
      <c r="E3593" s="48" t="n"/>
      <c r="F3593" s="48" t="n"/>
      <c r="G3593" s="49" t="n"/>
      <c r="H3593" s="48" t="n"/>
      <c r="I3593" s="50" t="n"/>
      <c r="J3593" s="48" t="n"/>
      <c r="K3593" s="48" t="n"/>
      <c r="L3593" s="48" t="n"/>
      <c r="M3593" s="48" t="n"/>
      <c r="N3593" s="48" t="n"/>
      <c r="O3593" s="51">
        <f>IF(AND(B3593="",G3593="",C3593="",D3593="",J3593=""),"",IF(B3593="","⚠ Falta fecha",IF(G3593="","⚠ Falta monto",IF(Q3593="","⚠ Falta cuenta",IF(ISNA(MATCH(Q3593,ctaNombre,0)),"⚠ Cuenta no registrada",IF(AND(OR(P3593="Gasto",P3593="Reembolso"),D3593=""),"⚠ Falta categoría",IF(AND(D3593&lt;&gt;"",E3593&lt;&gt;"",ISNA(MATCH(D3593&amp;"|"&amp;E3593,catClave,0))),"⚠ Subcategoría no corresponde",IF(AND(OR(P3593="Transferencia",P3593="Pago tarjeta"),K3593=""),"⚠ Falta cuenta destino",IF(AND(K3593&lt;&gt;"",P3593&lt;&gt;"Transferencia",P3593&lt;&gt;"Pago tarjeta"),"⚠ Destino solo aplica a transferencias",IF(AND(K3593&lt;&gt;"",K3593=Q3593),"⚠ Origen igual a destino",IF(AND(K3593&lt;&gt;"",ISNA(MATCH(K3593,ctaNombre,0))),"⚠ Destino no registrado",IF(AND(P3593="Pago tarjeta",AE3593&lt;&gt;"Tarjeta de crédito"),"⚠ El destino debe ser tarjeta de crédito",IF(AND(P3593="Gasto",E3593="Depósitos y retiros"),"⚠ Usa tipo Transferencia",IF(AND(P3593="Resultado trading",AD3593&lt;&gt;"Cuenta de trading"),"⚠ Usa una cuenta de trading",IF(AND(G3593&lt;=0,P3593&lt;&gt;"Ajuste",P3593&lt;&gt;"Resultado trading"),"⚠ El monto debe ser positivo","✓")))))))))))))))</f>
        <v/>
      </c>
      <c r="P3593" s="52">
        <f>IF(OR(B3593="",G3593=""),"",IF(C3593="","Gasto",C3593))</f>
        <v/>
      </c>
      <c r="Q3593" s="52">
        <f>IF(P3593="","",IF(J3593&lt;&gt;"",J3593,CuentaPred&amp;""))</f>
        <v/>
      </c>
      <c r="R3593" s="52">
        <f>IF(P3593="","",IF(ISNUMBER(I3593),I3593,TasaUSD))</f>
        <v/>
      </c>
      <c r="S3593" s="53">
        <f>IF(P3593="","",IF(H3593="USD",G3593*R3593,G3593))</f>
        <v/>
      </c>
      <c r="T3593" s="53">
        <f>IF(P3593="","",IF(H3593="USD",G3593,IF(R3593&gt;0,G3593/R3593,0)))</f>
        <v/>
      </c>
      <c r="U3593" s="53">
        <f>IF(P3593="","",IF(P3593="Gasto",S3593,IF(P3593="Reembolso",-S3593,0)))</f>
        <v/>
      </c>
      <c r="V3593" s="53">
        <f>IF(P3593="","",IF(P3593="Ingreso",S3593,0))</f>
        <v/>
      </c>
      <c r="W3593" s="53">
        <f>IF(P3593="","",IF(P3593="Resultado trading",S3593,0))</f>
        <v/>
      </c>
      <c r="X3593" s="52">
        <f>IF(OR(P3593="Gasto",P3593="Reembolso"),IF(M3593&lt;&gt;"",M3593,IFERROR(INDEX(catClasif,MATCH(D3593&amp;"|"&amp;E3593,catClave,0))&amp;"","Variable")),"")</f>
        <v/>
      </c>
      <c r="Y3593" s="52">
        <f>IF(P3593="","",IFERROR(INDEX(catGrupo,MATCH(D3593&amp;"|"&amp;E3593,catClave,0))&amp;"",""))</f>
        <v/>
      </c>
      <c r="Z3593" s="52">
        <f>IF(P3593="","",WEEKDAY(B3593,2))</f>
        <v/>
      </c>
      <c r="AA3593" s="52">
        <f>IF(P3593="","",IF(AND(P3593="Gasto",X3593="Variable",D3593&lt;&gt;catTrading,S3593&gt;0,S3593&lt;=Umbral),1,0))</f>
        <v/>
      </c>
      <c r="AB3593" s="52">
        <f>IF(OR(P3593="",Q3593=""),"",IFERROR(IF(INDEX(ctaVinc,MATCH(Q3593,ctaNombre,0))&amp;""&lt;&gt;"",INDEX(ctaVinc,MATCH(Q3593,ctaNombre,0))&amp;"",Q3593),Q3593))</f>
        <v/>
      </c>
      <c r="AC3593" s="52">
        <f>IF(OR(K3593="",AND(P3593&lt;&gt;"Transferencia",P3593&lt;&gt;"Pago tarjeta")),"",IFERROR(IF(INDEX(ctaVinc,MATCH(K3593,ctaNombre,0))&amp;""&lt;&gt;"",INDEX(ctaVinc,MATCH(K3593,ctaNombre,0))&amp;"",K3593),K3593))</f>
        <v/>
      </c>
      <c r="AD3593" s="52">
        <f>IF(AB3593="","",IFERROR(INDEX(ctaTipo,MATCH(AB3593,ctaNombre,0))&amp;"",""))</f>
        <v/>
      </c>
      <c r="AE3593" s="52">
        <f>IF(AC3593="","",IFERROR(INDEX(ctaTipo,MATCH(AC3593,ctaNombre,0))&amp;"",""))</f>
        <v/>
      </c>
      <c r="AF3593" s="53">
        <f>IF(OR(P3593="",AB3593=""),"",IF(OR(P3593="Gasto",P3593="Transferencia",P3593="Pago tarjeta"),-1,1)*IF(IFERROR(INDEX(ctaMoneda,MATCH(AB3593,ctaNombre,0))&amp;"","DOP")="USD",T3593,S3593))</f>
        <v/>
      </c>
      <c r="AG3593" s="53">
        <f>IF(AC3593="","",IF(IFERROR(INDEX(ctaMoneda,MATCH(AC3593,ctaNombre,0))&amp;"","DOP")="USD",T3593,S3593))</f>
        <v/>
      </c>
      <c r="AH3593" s="53">
        <f>IF(P3593="","",IF(AND(AD3593&lt;&gt;"",COUNTIFS(tcTipo,AD3593,tcLiq,"Sí")&gt;0),IF(OR(P3593="Gasto",P3593="Transferencia",P3593="Pago tarjeta"),-1,1)*S3593,0)+IF(AND(AE3593&lt;&gt;"",COUNTIFS(tcTipo,AE3593,tcLiq,"Sí")&gt;0),S3593,0))</f>
        <v/>
      </c>
      <c r="AI3593" s="52">
        <f>IF(OR(L3593="",P3593=""),"",IF(COUNTIFS(L$6:L3593,L3593,P$6:P3593,"?*")=1,MAX(AI$5:AI3592)+1,""))</f>
        <v/>
      </c>
    </row>
    <row r="3594">
      <c r="B3594" s="47" t="n"/>
      <c r="C3594" s="48" t="n"/>
      <c r="D3594" s="48" t="n"/>
      <c r="E3594" s="48" t="n"/>
      <c r="F3594" s="48" t="n"/>
      <c r="G3594" s="49" t="n"/>
      <c r="H3594" s="48" t="n"/>
      <c r="I3594" s="50" t="n"/>
      <c r="J3594" s="48" t="n"/>
      <c r="K3594" s="48" t="n"/>
      <c r="L3594" s="48" t="n"/>
      <c r="M3594" s="48" t="n"/>
      <c r="N3594" s="48" t="n"/>
      <c r="O3594" s="51">
        <f>IF(AND(B3594="",G3594="",C3594="",D3594="",J3594=""),"",IF(B3594="","⚠ Falta fecha",IF(G3594="","⚠ Falta monto",IF(Q3594="","⚠ Falta cuenta",IF(ISNA(MATCH(Q3594,ctaNombre,0)),"⚠ Cuenta no registrada",IF(AND(OR(P3594="Gasto",P3594="Reembolso"),D3594=""),"⚠ Falta categoría",IF(AND(D3594&lt;&gt;"",E3594&lt;&gt;"",ISNA(MATCH(D3594&amp;"|"&amp;E3594,catClave,0))),"⚠ Subcategoría no corresponde",IF(AND(OR(P3594="Transferencia",P3594="Pago tarjeta"),K3594=""),"⚠ Falta cuenta destino",IF(AND(K3594&lt;&gt;"",P3594&lt;&gt;"Transferencia",P3594&lt;&gt;"Pago tarjeta"),"⚠ Destino solo aplica a transferencias",IF(AND(K3594&lt;&gt;"",K3594=Q3594),"⚠ Origen igual a destino",IF(AND(K3594&lt;&gt;"",ISNA(MATCH(K3594,ctaNombre,0))),"⚠ Destino no registrado",IF(AND(P3594="Pago tarjeta",AE3594&lt;&gt;"Tarjeta de crédito"),"⚠ El destino debe ser tarjeta de crédito",IF(AND(P3594="Gasto",E3594="Depósitos y retiros"),"⚠ Usa tipo Transferencia",IF(AND(P3594="Resultado trading",AD3594&lt;&gt;"Cuenta de trading"),"⚠ Usa una cuenta de trading",IF(AND(G3594&lt;=0,P3594&lt;&gt;"Ajuste",P3594&lt;&gt;"Resultado trading"),"⚠ El monto debe ser positivo","✓")))))))))))))))</f>
        <v/>
      </c>
      <c r="P3594" s="52">
        <f>IF(OR(B3594="",G3594=""),"",IF(C3594="","Gasto",C3594))</f>
        <v/>
      </c>
      <c r="Q3594" s="52">
        <f>IF(P3594="","",IF(J3594&lt;&gt;"",J3594,CuentaPred&amp;""))</f>
        <v/>
      </c>
      <c r="R3594" s="52">
        <f>IF(P3594="","",IF(ISNUMBER(I3594),I3594,TasaUSD))</f>
        <v/>
      </c>
      <c r="S3594" s="53">
        <f>IF(P3594="","",IF(H3594="USD",G3594*R3594,G3594))</f>
        <v/>
      </c>
      <c r="T3594" s="53">
        <f>IF(P3594="","",IF(H3594="USD",G3594,IF(R3594&gt;0,G3594/R3594,0)))</f>
        <v/>
      </c>
      <c r="U3594" s="53">
        <f>IF(P3594="","",IF(P3594="Gasto",S3594,IF(P3594="Reembolso",-S3594,0)))</f>
        <v/>
      </c>
      <c r="V3594" s="53">
        <f>IF(P3594="","",IF(P3594="Ingreso",S3594,0))</f>
        <v/>
      </c>
      <c r="W3594" s="53">
        <f>IF(P3594="","",IF(P3594="Resultado trading",S3594,0))</f>
        <v/>
      </c>
      <c r="X3594" s="52">
        <f>IF(OR(P3594="Gasto",P3594="Reembolso"),IF(M3594&lt;&gt;"",M3594,IFERROR(INDEX(catClasif,MATCH(D3594&amp;"|"&amp;E3594,catClave,0))&amp;"","Variable")),"")</f>
        <v/>
      </c>
      <c r="Y3594" s="52">
        <f>IF(P3594="","",IFERROR(INDEX(catGrupo,MATCH(D3594&amp;"|"&amp;E3594,catClave,0))&amp;"",""))</f>
        <v/>
      </c>
      <c r="Z3594" s="52">
        <f>IF(P3594="","",WEEKDAY(B3594,2))</f>
        <v/>
      </c>
      <c r="AA3594" s="52">
        <f>IF(P3594="","",IF(AND(P3594="Gasto",X3594="Variable",D3594&lt;&gt;catTrading,S3594&gt;0,S3594&lt;=Umbral),1,0))</f>
        <v/>
      </c>
      <c r="AB3594" s="52">
        <f>IF(OR(P3594="",Q3594=""),"",IFERROR(IF(INDEX(ctaVinc,MATCH(Q3594,ctaNombre,0))&amp;""&lt;&gt;"",INDEX(ctaVinc,MATCH(Q3594,ctaNombre,0))&amp;"",Q3594),Q3594))</f>
        <v/>
      </c>
      <c r="AC3594" s="52">
        <f>IF(OR(K3594="",AND(P3594&lt;&gt;"Transferencia",P3594&lt;&gt;"Pago tarjeta")),"",IFERROR(IF(INDEX(ctaVinc,MATCH(K3594,ctaNombre,0))&amp;""&lt;&gt;"",INDEX(ctaVinc,MATCH(K3594,ctaNombre,0))&amp;"",K3594),K3594))</f>
        <v/>
      </c>
      <c r="AD3594" s="52">
        <f>IF(AB3594="","",IFERROR(INDEX(ctaTipo,MATCH(AB3594,ctaNombre,0))&amp;"",""))</f>
        <v/>
      </c>
      <c r="AE3594" s="52">
        <f>IF(AC3594="","",IFERROR(INDEX(ctaTipo,MATCH(AC3594,ctaNombre,0))&amp;"",""))</f>
        <v/>
      </c>
      <c r="AF3594" s="53">
        <f>IF(OR(P3594="",AB3594=""),"",IF(OR(P3594="Gasto",P3594="Transferencia",P3594="Pago tarjeta"),-1,1)*IF(IFERROR(INDEX(ctaMoneda,MATCH(AB3594,ctaNombre,0))&amp;"","DOP")="USD",T3594,S3594))</f>
        <v/>
      </c>
      <c r="AG3594" s="53">
        <f>IF(AC3594="","",IF(IFERROR(INDEX(ctaMoneda,MATCH(AC3594,ctaNombre,0))&amp;"","DOP")="USD",T3594,S3594))</f>
        <v/>
      </c>
      <c r="AH3594" s="53">
        <f>IF(P3594="","",IF(AND(AD3594&lt;&gt;"",COUNTIFS(tcTipo,AD3594,tcLiq,"Sí")&gt;0),IF(OR(P3594="Gasto",P3594="Transferencia",P3594="Pago tarjeta"),-1,1)*S3594,0)+IF(AND(AE3594&lt;&gt;"",COUNTIFS(tcTipo,AE3594,tcLiq,"Sí")&gt;0),S3594,0))</f>
        <v/>
      </c>
      <c r="AI3594" s="52">
        <f>IF(OR(L3594="",P3594=""),"",IF(COUNTIFS(L$6:L3594,L3594,P$6:P3594,"?*")=1,MAX(AI$5:AI3593)+1,""))</f>
        <v/>
      </c>
    </row>
    <row r="3595">
      <c r="B3595" s="47" t="n"/>
      <c r="C3595" s="48" t="n"/>
      <c r="D3595" s="48" t="n"/>
      <c r="E3595" s="48" t="n"/>
      <c r="F3595" s="48" t="n"/>
      <c r="G3595" s="49" t="n"/>
      <c r="H3595" s="48" t="n"/>
      <c r="I3595" s="50" t="n"/>
      <c r="J3595" s="48" t="n"/>
      <c r="K3595" s="48" t="n"/>
      <c r="L3595" s="48" t="n"/>
      <c r="M3595" s="48" t="n"/>
      <c r="N3595" s="48" t="n"/>
      <c r="O3595" s="51">
        <f>IF(AND(B3595="",G3595="",C3595="",D3595="",J3595=""),"",IF(B3595="","⚠ Falta fecha",IF(G3595="","⚠ Falta monto",IF(Q3595="","⚠ Falta cuenta",IF(ISNA(MATCH(Q3595,ctaNombre,0)),"⚠ Cuenta no registrada",IF(AND(OR(P3595="Gasto",P3595="Reembolso"),D3595=""),"⚠ Falta categoría",IF(AND(D3595&lt;&gt;"",E3595&lt;&gt;"",ISNA(MATCH(D3595&amp;"|"&amp;E3595,catClave,0))),"⚠ Subcategoría no corresponde",IF(AND(OR(P3595="Transferencia",P3595="Pago tarjeta"),K3595=""),"⚠ Falta cuenta destino",IF(AND(K3595&lt;&gt;"",P3595&lt;&gt;"Transferencia",P3595&lt;&gt;"Pago tarjeta"),"⚠ Destino solo aplica a transferencias",IF(AND(K3595&lt;&gt;"",K3595=Q3595),"⚠ Origen igual a destino",IF(AND(K3595&lt;&gt;"",ISNA(MATCH(K3595,ctaNombre,0))),"⚠ Destino no registrado",IF(AND(P3595="Pago tarjeta",AE3595&lt;&gt;"Tarjeta de crédito"),"⚠ El destino debe ser tarjeta de crédito",IF(AND(P3595="Gasto",E3595="Depósitos y retiros"),"⚠ Usa tipo Transferencia",IF(AND(P3595="Resultado trading",AD3595&lt;&gt;"Cuenta de trading"),"⚠ Usa una cuenta de trading",IF(AND(G3595&lt;=0,P3595&lt;&gt;"Ajuste",P3595&lt;&gt;"Resultado trading"),"⚠ El monto debe ser positivo","✓")))))))))))))))</f>
        <v/>
      </c>
      <c r="P3595" s="52">
        <f>IF(OR(B3595="",G3595=""),"",IF(C3595="","Gasto",C3595))</f>
        <v/>
      </c>
      <c r="Q3595" s="52">
        <f>IF(P3595="","",IF(J3595&lt;&gt;"",J3595,CuentaPred&amp;""))</f>
        <v/>
      </c>
      <c r="R3595" s="52">
        <f>IF(P3595="","",IF(ISNUMBER(I3595),I3595,TasaUSD))</f>
        <v/>
      </c>
      <c r="S3595" s="53">
        <f>IF(P3595="","",IF(H3595="USD",G3595*R3595,G3595))</f>
        <v/>
      </c>
      <c r="T3595" s="53">
        <f>IF(P3595="","",IF(H3595="USD",G3595,IF(R3595&gt;0,G3595/R3595,0)))</f>
        <v/>
      </c>
      <c r="U3595" s="53">
        <f>IF(P3595="","",IF(P3595="Gasto",S3595,IF(P3595="Reembolso",-S3595,0)))</f>
        <v/>
      </c>
      <c r="V3595" s="53">
        <f>IF(P3595="","",IF(P3595="Ingreso",S3595,0))</f>
        <v/>
      </c>
      <c r="W3595" s="53">
        <f>IF(P3595="","",IF(P3595="Resultado trading",S3595,0))</f>
        <v/>
      </c>
      <c r="X3595" s="52">
        <f>IF(OR(P3595="Gasto",P3595="Reembolso"),IF(M3595&lt;&gt;"",M3595,IFERROR(INDEX(catClasif,MATCH(D3595&amp;"|"&amp;E3595,catClave,0))&amp;"","Variable")),"")</f>
        <v/>
      </c>
      <c r="Y3595" s="52">
        <f>IF(P3595="","",IFERROR(INDEX(catGrupo,MATCH(D3595&amp;"|"&amp;E3595,catClave,0))&amp;"",""))</f>
        <v/>
      </c>
      <c r="Z3595" s="52">
        <f>IF(P3595="","",WEEKDAY(B3595,2))</f>
        <v/>
      </c>
      <c r="AA3595" s="52">
        <f>IF(P3595="","",IF(AND(P3595="Gasto",X3595="Variable",D3595&lt;&gt;catTrading,S3595&gt;0,S3595&lt;=Umbral),1,0))</f>
        <v/>
      </c>
      <c r="AB3595" s="52">
        <f>IF(OR(P3595="",Q3595=""),"",IFERROR(IF(INDEX(ctaVinc,MATCH(Q3595,ctaNombre,0))&amp;""&lt;&gt;"",INDEX(ctaVinc,MATCH(Q3595,ctaNombre,0))&amp;"",Q3595),Q3595))</f>
        <v/>
      </c>
      <c r="AC3595" s="52">
        <f>IF(OR(K3595="",AND(P3595&lt;&gt;"Transferencia",P3595&lt;&gt;"Pago tarjeta")),"",IFERROR(IF(INDEX(ctaVinc,MATCH(K3595,ctaNombre,0))&amp;""&lt;&gt;"",INDEX(ctaVinc,MATCH(K3595,ctaNombre,0))&amp;"",K3595),K3595))</f>
        <v/>
      </c>
      <c r="AD3595" s="52">
        <f>IF(AB3595="","",IFERROR(INDEX(ctaTipo,MATCH(AB3595,ctaNombre,0))&amp;"",""))</f>
        <v/>
      </c>
      <c r="AE3595" s="52">
        <f>IF(AC3595="","",IFERROR(INDEX(ctaTipo,MATCH(AC3595,ctaNombre,0))&amp;"",""))</f>
        <v/>
      </c>
      <c r="AF3595" s="53">
        <f>IF(OR(P3595="",AB3595=""),"",IF(OR(P3595="Gasto",P3595="Transferencia",P3595="Pago tarjeta"),-1,1)*IF(IFERROR(INDEX(ctaMoneda,MATCH(AB3595,ctaNombre,0))&amp;"","DOP")="USD",T3595,S3595))</f>
        <v/>
      </c>
      <c r="AG3595" s="53">
        <f>IF(AC3595="","",IF(IFERROR(INDEX(ctaMoneda,MATCH(AC3595,ctaNombre,0))&amp;"","DOP")="USD",T3595,S3595))</f>
        <v/>
      </c>
      <c r="AH3595" s="53">
        <f>IF(P3595="","",IF(AND(AD3595&lt;&gt;"",COUNTIFS(tcTipo,AD3595,tcLiq,"Sí")&gt;0),IF(OR(P3595="Gasto",P3595="Transferencia",P3595="Pago tarjeta"),-1,1)*S3595,0)+IF(AND(AE3595&lt;&gt;"",COUNTIFS(tcTipo,AE3595,tcLiq,"Sí")&gt;0),S3595,0))</f>
        <v/>
      </c>
      <c r="AI3595" s="52">
        <f>IF(OR(L3595="",P3595=""),"",IF(COUNTIFS(L$6:L3595,L3595,P$6:P3595,"?*")=1,MAX(AI$5:AI3594)+1,""))</f>
        <v/>
      </c>
    </row>
    <row r="3596">
      <c r="B3596" s="47" t="n"/>
      <c r="C3596" s="48" t="n"/>
      <c r="D3596" s="48" t="n"/>
      <c r="E3596" s="48" t="n"/>
      <c r="F3596" s="48" t="n"/>
      <c r="G3596" s="49" t="n"/>
      <c r="H3596" s="48" t="n"/>
      <c r="I3596" s="50" t="n"/>
      <c r="J3596" s="48" t="n"/>
      <c r="K3596" s="48" t="n"/>
      <c r="L3596" s="48" t="n"/>
      <c r="M3596" s="48" t="n"/>
      <c r="N3596" s="48" t="n"/>
      <c r="O3596" s="51">
        <f>IF(AND(B3596="",G3596="",C3596="",D3596="",J3596=""),"",IF(B3596="","⚠ Falta fecha",IF(G3596="","⚠ Falta monto",IF(Q3596="","⚠ Falta cuenta",IF(ISNA(MATCH(Q3596,ctaNombre,0)),"⚠ Cuenta no registrada",IF(AND(OR(P3596="Gasto",P3596="Reembolso"),D3596=""),"⚠ Falta categoría",IF(AND(D3596&lt;&gt;"",E3596&lt;&gt;"",ISNA(MATCH(D3596&amp;"|"&amp;E3596,catClave,0))),"⚠ Subcategoría no corresponde",IF(AND(OR(P3596="Transferencia",P3596="Pago tarjeta"),K3596=""),"⚠ Falta cuenta destino",IF(AND(K3596&lt;&gt;"",P3596&lt;&gt;"Transferencia",P3596&lt;&gt;"Pago tarjeta"),"⚠ Destino solo aplica a transferencias",IF(AND(K3596&lt;&gt;"",K3596=Q3596),"⚠ Origen igual a destino",IF(AND(K3596&lt;&gt;"",ISNA(MATCH(K3596,ctaNombre,0))),"⚠ Destino no registrado",IF(AND(P3596="Pago tarjeta",AE3596&lt;&gt;"Tarjeta de crédito"),"⚠ El destino debe ser tarjeta de crédito",IF(AND(P3596="Gasto",E3596="Depósitos y retiros"),"⚠ Usa tipo Transferencia",IF(AND(P3596="Resultado trading",AD3596&lt;&gt;"Cuenta de trading"),"⚠ Usa una cuenta de trading",IF(AND(G3596&lt;=0,P3596&lt;&gt;"Ajuste",P3596&lt;&gt;"Resultado trading"),"⚠ El monto debe ser positivo","✓")))))))))))))))</f>
        <v/>
      </c>
      <c r="P3596" s="52">
        <f>IF(OR(B3596="",G3596=""),"",IF(C3596="","Gasto",C3596))</f>
        <v/>
      </c>
      <c r="Q3596" s="52">
        <f>IF(P3596="","",IF(J3596&lt;&gt;"",J3596,CuentaPred&amp;""))</f>
        <v/>
      </c>
      <c r="R3596" s="52">
        <f>IF(P3596="","",IF(ISNUMBER(I3596),I3596,TasaUSD))</f>
        <v/>
      </c>
      <c r="S3596" s="53">
        <f>IF(P3596="","",IF(H3596="USD",G3596*R3596,G3596))</f>
        <v/>
      </c>
      <c r="T3596" s="53">
        <f>IF(P3596="","",IF(H3596="USD",G3596,IF(R3596&gt;0,G3596/R3596,0)))</f>
        <v/>
      </c>
      <c r="U3596" s="53">
        <f>IF(P3596="","",IF(P3596="Gasto",S3596,IF(P3596="Reembolso",-S3596,0)))</f>
        <v/>
      </c>
      <c r="V3596" s="53">
        <f>IF(P3596="","",IF(P3596="Ingreso",S3596,0))</f>
        <v/>
      </c>
      <c r="W3596" s="53">
        <f>IF(P3596="","",IF(P3596="Resultado trading",S3596,0))</f>
        <v/>
      </c>
      <c r="X3596" s="52">
        <f>IF(OR(P3596="Gasto",P3596="Reembolso"),IF(M3596&lt;&gt;"",M3596,IFERROR(INDEX(catClasif,MATCH(D3596&amp;"|"&amp;E3596,catClave,0))&amp;"","Variable")),"")</f>
        <v/>
      </c>
      <c r="Y3596" s="52">
        <f>IF(P3596="","",IFERROR(INDEX(catGrupo,MATCH(D3596&amp;"|"&amp;E3596,catClave,0))&amp;"",""))</f>
        <v/>
      </c>
      <c r="Z3596" s="52">
        <f>IF(P3596="","",WEEKDAY(B3596,2))</f>
        <v/>
      </c>
      <c r="AA3596" s="52">
        <f>IF(P3596="","",IF(AND(P3596="Gasto",X3596="Variable",D3596&lt;&gt;catTrading,S3596&gt;0,S3596&lt;=Umbral),1,0))</f>
        <v/>
      </c>
      <c r="AB3596" s="52">
        <f>IF(OR(P3596="",Q3596=""),"",IFERROR(IF(INDEX(ctaVinc,MATCH(Q3596,ctaNombre,0))&amp;""&lt;&gt;"",INDEX(ctaVinc,MATCH(Q3596,ctaNombre,0))&amp;"",Q3596),Q3596))</f>
        <v/>
      </c>
      <c r="AC3596" s="52">
        <f>IF(OR(K3596="",AND(P3596&lt;&gt;"Transferencia",P3596&lt;&gt;"Pago tarjeta")),"",IFERROR(IF(INDEX(ctaVinc,MATCH(K3596,ctaNombre,0))&amp;""&lt;&gt;"",INDEX(ctaVinc,MATCH(K3596,ctaNombre,0))&amp;"",K3596),K3596))</f>
        <v/>
      </c>
      <c r="AD3596" s="52">
        <f>IF(AB3596="","",IFERROR(INDEX(ctaTipo,MATCH(AB3596,ctaNombre,0))&amp;"",""))</f>
        <v/>
      </c>
      <c r="AE3596" s="52">
        <f>IF(AC3596="","",IFERROR(INDEX(ctaTipo,MATCH(AC3596,ctaNombre,0))&amp;"",""))</f>
        <v/>
      </c>
      <c r="AF3596" s="53">
        <f>IF(OR(P3596="",AB3596=""),"",IF(OR(P3596="Gasto",P3596="Transferencia",P3596="Pago tarjeta"),-1,1)*IF(IFERROR(INDEX(ctaMoneda,MATCH(AB3596,ctaNombre,0))&amp;"","DOP")="USD",T3596,S3596))</f>
        <v/>
      </c>
      <c r="AG3596" s="53">
        <f>IF(AC3596="","",IF(IFERROR(INDEX(ctaMoneda,MATCH(AC3596,ctaNombre,0))&amp;"","DOP")="USD",T3596,S3596))</f>
        <v/>
      </c>
      <c r="AH3596" s="53">
        <f>IF(P3596="","",IF(AND(AD3596&lt;&gt;"",COUNTIFS(tcTipo,AD3596,tcLiq,"Sí")&gt;0),IF(OR(P3596="Gasto",P3596="Transferencia",P3596="Pago tarjeta"),-1,1)*S3596,0)+IF(AND(AE3596&lt;&gt;"",COUNTIFS(tcTipo,AE3596,tcLiq,"Sí")&gt;0),S3596,0))</f>
        <v/>
      </c>
      <c r="AI3596" s="52">
        <f>IF(OR(L3596="",P3596=""),"",IF(COUNTIFS(L$6:L3596,L3596,P$6:P3596,"?*")=1,MAX(AI$5:AI3595)+1,""))</f>
        <v/>
      </c>
    </row>
    <row r="3597">
      <c r="B3597" s="47" t="n"/>
      <c r="C3597" s="48" t="n"/>
      <c r="D3597" s="48" t="n"/>
      <c r="E3597" s="48" t="n"/>
      <c r="F3597" s="48" t="n"/>
      <c r="G3597" s="49" t="n"/>
      <c r="H3597" s="48" t="n"/>
      <c r="I3597" s="50" t="n"/>
      <c r="J3597" s="48" t="n"/>
      <c r="K3597" s="48" t="n"/>
      <c r="L3597" s="48" t="n"/>
      <c r="M3597" s="48" t="n"/>
      <c r="N3597" s="48" t="n"/>
      <c r="O3597" s="51">
        <f>IF(AND(B3597="",G3597="",C3597="",D3597="",J3597=""),"",IF(B3597="","⚠ Falta fecha",IF(G3597="","⚠ Falta monto",IF(Q3597="","⚠ Falta cuenta",IF(ISNA(MATCH(Q3597,ctaNombre,0)),"⚠ Cuenta no registrada",IF(AND(OR(P3597="Gasto",P3597="Reembolso"),D3597=""),"⚠ Falta categoría",IF(AND(D3597&lt;&gt;"",E3597&lt;&gt;"",ISNA(MATCH(D3597&amp;"|"&amp;E3597,catClave,0))),"⚠ Subcategoría no corresponde",IF(AND(OR(P3597="Transferencia",P3597="Pago tarjeta"),K3597=""),"⚠ Falta cuenta destino",IF(AND(K3597&lt;&gt;"",P3597&lt;&gt;"Transferencia",P3597&lt;&gt;"Pago tarjeta"),"⚠ Destino solo aplica a transferencias",IF(AND(K3597&lt;&gt;"",K3597=Q3597),"⚠ Origen igual a destino",IF(AND(K3597&lt;&gt;"",ISNA(MATCH(K3597,ctaNombre,0))),"⚠ Destino no registrado",IF(AND(P3597="Pago tarjeta",AE3597&lt;&gt;"Tarjeta de crédito"),"⚠ El destino debe ser tarjeta de crédito",IF(AND(P3597="Gasto",E3597="Depósitos y retiros"),"⚠ Usa tipo Transferencia",IF(AND(P3597="Resultado trading",AD3597&lt;&gt;"Cuenta de trading"),"⚠ Usa una cuenta de trading",IF(AND(G3597&lt;=0,P3597&lt;&gt;"Ajuste",P3597&lt;&gt;"Resultado trading"),"⚠ El monto debe ser positivo","✓")))))))))))))))</f>
        <v/>
      </c>
      <c r="P3597" s="52">
        <f>IF(OR(B3597="",G3597=""),"",IF(C3597="","Gasto",C3597))</f>
        <v/>
      </c>
      <c r="Q3597" s="52">
        <f>IF(P3597="","",IF(J3597&lt;&gt;"",J3597,CuentaPred&amp;""))</f>
        <v/>
      </c>
      <c r="R3597" s="52">
        <f>IF(P3597="","",IF(ISNUMBER(I3597),I3597,TasaUSD))</f>
        <v/>
      </c>
      <c r="S3597" s="53">
        <f>IF(P3597="","",IF(H3597="USD",G3597*R3597,G3597))</f>
        <v/>
      </c>
      <c r="T3597" s="53">
        <f>IF(P3597="","",IF(H3597="USD",G3597,IF(R3597&gt;0,G3597/R3597,0)))</f>
        <v/>
      </c>
      <c r="U3597" s="53">
        <f>IF(P3597="","",IF(P3597="Gasto",S3597,IF(P3597="Reembolso",-S3597,0)))</f>
        <v/>
      </c>
      <c r="V3597" s="53">
        <f>IF(P3597="","",IF(P3597="Ingreso",S3597,0))</f>
        <v/>
      </c>
      <c r="W3597" s="53">
        <f>IF(P3597="","",IF(P3597="Resultado trading",S3597,0))</f>
        <v/>
      </c>
      <c r="X3597" s="52">
        <f>IF(OR(P3597="Gasto",P3597="Reembolso"),IF(M3597&lt;&gt;"",M3597,IFERROR(INDEX(catClasif,MATCH(D3597&amp;"|"&amp;E3597,catClave,0))&amp;"","Variable")),"")</f>
        <v/>
      </c>
      <c r="Y3597" s="52">
        <f>IF(P3597="","",IFERROR(INDEX(catGrupo,MATCH(D3597&amp;"|"&amp;E3597,catClave,0))&amp;"",""))</f>
        <v/>
      </c>
      <c r="Z3597" s="52">
        <f>IF(P3597="","",WEEKDAY(B3597,2))</f>
        <v/>
      </c>
      <c r="AA3597" s="52">
        <f>IF(P3597="","",IF(AND(P3597="Gasto",X3597="Variable",D3597&lt;&gt;catTrading,S3597&gt;0,S3597&lt;=Umbral),1,0))</f>
        <v/>
      </c>
      <c r="AB3597" s="52">
        <f>IF(OR(P3597="",Q3597=""),"",IFERROR(IF(INDEX(ctaVinc,MATCH(Q3597,ctaNombre,0))&amp;""&lt;&gt;"",INDEX(ctaVinc,MATCH(Q3597,ctaNombre,0))&amp;"",Q3597),Q3597))</f>
        <v/>
      </c>
      <c r="AC3597" s="52">
        <f>IF(OR(K3597="",AND(P3597&lt;&gt;"Transferencia",P3597&lt;&gt;"Pago tarjeta")),"",IFERROR(IF(INDEX(ctaVinc,MATCH(K3597,ctaNombre,0))&amp;""&lt;&gt;"",INDEX(ctaVinc,MATCH(K3597,ctaNombre,0))&amp;"",K3597),K3597))</f>
        <v/>
      </c>
      <c r="AD3597" s="52">
        <f>IF(AB3597="","",IFERROR(INDEX(ctaTipo,MATCH(AB3597,ctaNombre,0))&amp;"",""))</f>
        <v/>
      </c>
      <c r="AE3597" s="52">
        <f>IF(AC3597="","",IFERROR(INDEX(ctaTipo,MATCH(AC3597,ctaNombre,0))&amp;"",""))</f>
        <v/>
      </c>
      <c r="AF3597" s="53">
        <f>IF(OR(P3597="",AB3597=""),"",IF(OR(P3597="Gasto",P3597="Transferencia",P3597="Pago tarjeta"),-1,1)*IF(IFERROR(INDEX(ctaMoneda,MATCH(AB3597,ctaNombre,0))&amp;"","DOP")="USD",T3597,S3597))</f>
        <v/>
      </c>
      <c r="AG3597" s="53">
        <f>IF(AC3597="","",IF(IFERROR(INDEX(ctaMoneda,MATCH(AC3597,ctaNombre,0))&amp;"","DOP")="USD",T3597,S3597))</f>
        <v/>
      </c>
      <c r="AH3597" s="53">
        <f>IF(P3597="","",IF(AND(AD3597&lt;&gt;"",COUNTIFS(tcTipo,AD3597,tcLiq,"Sí")&gt;0),IF(OR(P3597="Gasto",P3597="Transferencia",P3597="Pago tarjeta"),-1,1)*S3597,0)+IF(AND(AE3597&lt;&gt;"",COUNTIFS(tcTipo,AE3597,tcLiq,"Sí")&gt;0),S3597,0))</f>
        <v/>
      </c>
      <c r="AI3597" s="52">
        <f>IF(OR(L3597="",P3597=""),"",IF(COUNTIFS(L$6:L3597,L3597,P$6:P3597,"?*")=1,MAX(AI$5:AI3596)+1,""))</f>
        <v/>
      </c>
    </row>
    <row r="3598">
      <c r="B3598" s="47" t="n"/>
      <c r="C3598" s="48" t="n"/>
      <c r="D3598" s="48" t="n"/>
      <c r="E3598" s="48" t="n"/>
      <c r="F3598" s="48" t="n"/>
      <c r="G3598" s="49" t="n"/>
      <c r="H3598" s="48" t="n"/>
      <c r="I3598" s="50" t="n"/>
      <c r="J3598" s="48" t="n"/>
      <c r="K3598" s="48" t="n"/>
      <c r="L3598" s="48" t="n"/>
      <c r="M3598" s="48" t="n"/>
      <c r="N3598" s="48" t="n"/>
      <c r="O3598" s="51">
        <f>IF(AND(B3598="",G3598="",C3598="",D3598="",J3598=""),"",IF(B3598="","⚠ Falta fecha",IF(G3598="","⚠ Falta monto",IF(Q3598="","⚠ Falta cuenta",IF(ISNA(MATCH(Q3598,ctaNombre,0)),"⚠ Cuenta no registrada",IF(AND(OR(P3598="Gasto",P3598="Reembolso"),D3598=""),"⚠ Falta categoría",IF(AND(D3598&lt;&gt;"",E3598&lt;&gt;"",ISNA(MATCH(D3598&amp;"|"&amp;E3598,catClave,0))),"⚠ Subcategoría no corresponde",IF(AND(OR(P3598="Transferencia",P3598="Pago tarjeta"),K3598=""),"⚠ Falta cuenta destino",IF(AND(K3598&lt;&gt;"",P3598&lt;&gt;"Transferencia",P3598&lt;&gt;"Pago tarjeta"),"⚠ Destino solo aplica a transferencias",IF(AND(K3598&lt;&gt;"",K3598=Q3598),"⚠ Origen igual a destino",IF(AND(K3598&lt;&gt;"",ISNA(MATCH(K3598,ctaNombre,0))),"⚠ Destino no registrado",IF(AND(P3598="Pago tarjeta",AE3598&lt;&gt;"Tarjeta de crédito"),"⚠ El destino debe ser tarjeta de crédito",IF(AND(P3598="Gasto",E3598="Depósitos y retiros"),"⚠ Usa tipo Transferencia",IF(AND(P3598="Resultado trading",AD3598&lt;&gt;"Cuenta de trading"),"⚠ Usa una cuenta de trading",IF(AND(G3598&lt;=0,P3598&lt;&gt;"Ajuste",P3598&lt;&gt;"Resultado trading"),"⚠ El monto debe ser positivo","✓")))))))))))))))</f>
        <v/>
      </c>
      <c r="P3598" s="52">
        <f>IF(OR(B3598="",G3598=""),"",IF(C3598="","Gasto",C3598))</f>
        <v/>
      </c>
      <c r="Q3598" s="52">
        <f>IF(P3598="","",IF(J3598&lt;&gt;"",J3598,CuentaPred&amp;""))</f>
        <v/>
      </c>
      <c r="R3598" s="52">
        <f>IF(P3598="","",IF(ISNUMBER(I3598),I3598,TasaUSD))</f>
        <v/>
      </c>
      <c r="S3598" s="53">
        <f>IF(P3598="","",IF(H3598="USD",G3598*R3598,G3598))</f>
        <v/>
      </c>
      <c r="T3598" s="53">
        <f>IF(P3598="","",IF(H3598="USD",G3598,IF(R3598&gt;0,G3598/R3598,0)))</f>
        <v/>
      </c>
      <c r="U3598" s="53">
        <f>IF(P3598="","",IF(P3598="Gasto",S3598,IF(P3598="Reembolso",-S3598,0)))</f>
        <v/>
      </c>
      <c r="V3598" s="53">
        <f>IF(P3598="","",IF(P3598="Ingreso",S3598,0))</f>
        <v/>
      </c>
      <c r="W3598" s="53">
        <f>IF(P3598="","",IF(P3598="Resultado trading",S3598,0))</f>
        <v/>
      </c>
      <c r="X3598" s="52">
        <f>IF(OR(P3598="Gasto",P3598="Reembolso"),IF(M3598&lt;&gt;"",M3598,IFERROR(INDEX(catClasif,MATCH(D3598&amp;"|"&amp;E3598,catClave,0))&amp;"","Variable")),"")</f>
        <v/>
      </c>
      <c r="Y3598" s="52">
        <f>IF(P3598="","",IFERROR(INDEX(catGrupo,MATCH(D3598&amp;"|"&amp;E3598,catClave,0))&amp;"",""))</f>
        <v/>
      </c>
      <c r="Z3598" s="52">
        <f>IF(P3598="","",WEEKDAY(B3598,2))</f>
        <v/>
      </c>
      <c r="AA3598" s="52">
        <f>IF(P3598="","",IF(AND(P3598="Gasto",X3598="Variable",D3598&lt;&gt;catTrading,S3598&gt;0,S3598&lt;=Umbral),1,0))</f>
        <v/>
      </c>
      <c r="AB3598" s="52">
        <f>IF(OR(P3598="",Q3598=""),"",IFERROR(IF(INDEX(ctaVinc,MATCH(Q3598,ctaNombre,0))&amp;""&lt;&gt;"",INDEX(ctaVinc,MATCH(Q3598,ctaNombre,0))&amp;"",Q3598),Q3598))</f>
        <v/>
      </c>
      <c r="AC3598" s="52">
        <f>IF(OR(K3598="",AND(P3598&lt;&gt;"Transferencia",P3598&lt;&gt;"Pago tarjeta")),"",IFERROR(IF(INDEX(ctaVinc,MATCH(K3598,ctaNombre,0))&amp;""&lt;&gt;"",INDEX(ctaVinc,MATCH(K3598,ctaNombre,0))&amp;"",K3598),K3598))</f>
        <v/>
      </c>
      <c r="AD3598" s="52">
        <f>IF(AB3598="","",IFERROR(INDEX(ctaTipo,MATCH(AB3598,ctaNombre,0))&amp;"",""))</f>
        <v/>
      </c>
      <c r="AE3598" s="52">
        <f>IF(AC3598="","",IFERROR(INDEX(ctaTipo,MATCH(AC3598,ctaNombre,0))&amp;"",""))</f>
        <v/>
      </c>
      <c r="AF3598" s="53">
        <f>IF(OR(P3598="",AB3598=""),"",IF(OR(P3598="Gasto",P3598="Transferencia",P3598="Pago tarjeta"),-1,1)*IF(IFERROR(INDEX(ctaMoneda,MATCH(AB3598,ctaNombre,0))&amp;"","DOP")="USD",T3598,S3598))</f>
        <v/>
      </c>
      <c r="AG3598" s="53">
        <f>IF(AC3598="","",IF(IFERROR(INDEX(ctaMoneda,MATCH(AC3598,ctaNombre,0))&amp;"","DOP")="USD",T3598,S3598))</f>
        <v/>
      </c>
      <c r="AH3598" s="53">
        <f>IF(P3598="","",IF(AND(AD3598&lt;&gt;"",COUNTIFS(tcTipo,AD3598,tcLiq,"Sí")&gt;0),IF(OR(P3598="Gasto",P3598="Transferencia",P3598="Pago tarjeta"),-1,1)*S3598,0)+IF(AND(AE3598&lt;&gt;"",COUNTIFS(tcTipo,AE3598,tcLiq,"Sí")&gt;0),S3598,0))</f>
        <v/>
      </c>
      <c r="AI3598" s="52">
        <f>IF(OR(L3598="",P3598=""),"",IF(COUNTIFS(L$6:L3598,L3598,P$6:P3598,"?*")=1,MAX(AI$5:AI3597)+1,""))</f>
        <v/>
      </c>
    </row>
    <row r="3599">
      <c r="B3599" s="47" t="n"/>
      <c r="C3599" s="48" t="n"/>
      <c r="D3599" s="48" t="n"/>
      <c r="E3599" s="48" t="n"/>
      <c r="F3599" s="48" t="n"/>
      <c r="G3599" s="49" t="n"/>
      <c r="H3599" s="48" t="n"/>
      <c r="I3599" s="50" t="n"/>
      <c r="J3599" s="48" t="n"/>
      <c r="K3599" s="48" t="n"/>
      <c r="L3599" s="48" t="n"/>
      <c r="M3599" s="48" t="n"/>
      <c r="N3599" s="48" t="n"/>
      <c r="O3599" s="51">
        <f>IF(AND(B3599="",G3599="",C3599="",D3599="",J3599=""),"",IF(B3599="","⚠ Falta fecha",IF(G3599="","⚠ Falta monto",IF(Q3599="","⚠ Falta cuenta",IF(ISNA(MATCH(Q3599,ctaNombre,0)),"⚠ Cuenta no registrada",IF(AND(OR(P3599="Gasto",P3599="Reembolso"),D3599=""),"⚠ Falta categoría",IF(AND(D3599&lt;&gt;"",E3599&lt;&gt;"",ISNA(MATCH(D3599&amp;"|"&amp;E3599,catClave,0))),"⚠ Subcategoría no corresponde",IF(AND(OR(P3599="Transferencia",P3599="Pago tarjeta"),K3599=""),"⚠ Falta cuenta destino",IF(AND(K3599&lt;&gt;"",P3599&lt;&gt;"Transferencia",P3599&lt;&gt;"Pago tarjeta"),"⚠ Destino solo aplica a transferencias",IF(AND(K3599&lt;&gt;"",K3599=Q3599),"⚠ Origen igual a destino",IF(AND(K3599&lt;&gt;"",ISNA(MATCH(K3599,ctaNombre,0))),"⚠ Destino no registrado",IF(AND(P3599="Pago tarjeta",AE3599&lt;&gt;"Tarjeta de crédito"),"⚠ El destino debe ser tarjeta de crédito",IF(AND(P3599="Gasto",E3599="Depósitos y retiros"),"⚠ Usa tipo Transferencia",IF(AND(P3599="Resultado trading",AD3599&lt;&gt;"Cuenta de trading"),"⚠ Usa una cuenta de trading",IF(AND(G3599&lt;=0,P3599&lt;&gt;"Ajuste",P3599&lt;&gt;"Resultado trading"),"⚠ El monto debe ser positivo","✓")))))))))))))))</f>
        <v/>
      </c>
      <c r="P3599" s="52">
        <f>IF(OR(B3599="",G3599=""),"",IF(C3599="","Gasto",C3599))</f>
        <v/>
      </c>
      <c r="Q3599" s="52">
        <f>IF(P3599="","",IF(J3599&lt;&gt;"",J3599,CuentaPred&amp;""))</f>
        <v/>
      </c>
      <c r="R3599" s="52">
        <f>IF(P3599="","",IF(ISNUMBER(I3599),I3599,TasaUSD))</f>
        <v/>
      </c>
      <c r="S3599" s="53">
        <f>IF(P3599="","",IF(H3599="USD",G3599*R3599,G3599))</f>
        <v/>
      </c>
      <c r="T3599" s="53">
        <f>IF(P3599="","",IF(H3599="USD",G3599,IF(R3599&gt;0,G3599/R3599,0)))</f>
        <v/>
      </c>
      <c r="U3599" s="53">
        <f>IF(P3599="","",IF(P3599="Gasto",S3599,IF(P3599="Reembolso",-S3599,0)))</f>
        <v/>
      </c>
      <c r="V3599" s="53">
        <f>IF(P3599="","",IF(P3599="Ingreso",S3599,0))</f>
        <v/>
      </c>
      <c r="W3599" s="53">
        <f>IF(P3599="","",IF(P3599="Resultado trading",S3599,0))</f>
        <v/>
      </c>
      <c r="X3599" s="52">
        <f>IF(OR(P3599="Gasto",P3599="Reembolso"),IF(M3599&lt;&gt;"",M3599,IFERROR(INDEX(catClasif,MATCH(D3599&amp;"|"&amp;E3599,catClave,0))&amp;"","Variable")),"")</f>
        <v/>
      </c>
      <c r="Y3599" s="52">
        <f>IF(P3599="","",IFERROR(INDEX(catGrupo,MATCH(D3599&amp;"|"&amp;E3599,catClave,0))&amp;"",""))</f>
        <v/>
      </c>
      <c r="Z3599" s="52">
        <f>IF(P3599="","",WEEKDAY(B3599,2))</f>
        <v/>
      </c>
      <c r="AA3599" s="52">
        <f>IF(P3599="","",IF(AND(P3599="Gasto",X3599="Variable",D3599&lt;&gt;catTrading,S3599&gt;0,S3599&lt;=Umbral),1,0))</f>
        <v/>
      </c>
      <c r="AB3599" s="52">
        <f>IF(OR(P3599="",Q3599=""),"",IFERROR(IF(INDEX(ctaVinc,MATCH(Q3599,ctaNombre,0))&amp;""&lt;&gt;"",INDEX(ctaVinc,MATCH(Q3599,ctaNombre,0))&amp;"",Q3599),Q3599))</f>
        <v/>
      </c>
      <c r="AC3599" s="52">
        <f>IF(OR(K3599="",AND(P3599&lt;&gt;"Transferencia",P3599&lt;&gt;"Pago tarjeta")),"",IFERROR(IF(INDEX(ctaVinc,MATCH(K3599,ctaNombre,0))&amp;""&lt;&gt;"",INDEX(ctaVinc,MATCH(K3599,ctaNombre,0))&amp;"",K3599),K3599))</f>
        <v/>
      </c>
      <c r="AD3599" s="52">
        <f>IF(AB3599="","",IFERROR(INDEX(ctaTipo,MATCH(AB3599,ctaNombre,0))&amp;"",""))</f>
        <v/>
      </c>
      <c r="AE3599" s="52">
        <f>IF(AC3599="","",IFERROR(INDEX(ctaTipo,MATCH(AC3599,ctaNombre,0))&amp;"",""))</f>
        <v/>
      </c>
      <c r="AF3599" s="53">
        <f>IF(OR(P3599="",AB3599=""),"",IF(OR(P3599="Gasto",P3599="Transferencia",P3599="Pago tarjeta"),-1,1)*IF(IFERROR(INDEX(ctaMoneda,MATCH(AB3599,ctaNombre,0))&amp;"","DOP")="USD",T3599,S3599))</f>
        <v/>
      </c>
      <c r="AG3599" s="53">
        <f>IF(AC3599="","",IF(IFERROR(INDEX(ctaMoneda,MATCH(AC3599,ctaNombre,0))&amp;"","DOP")="USD",T3599,S3599))</f>
        <v/>
      </c>
      <c r="AH3599" s="53">
        <f>IF(P3599="","",IF(AND(AD3599&lt;&gt;"",COUNTIFS(tcTipo,AD3599,tcLiq,"Sí")&gt;0),IF(OR(P3599="Gasto",P3599="Transferencia",P3599="Pago tarjeta"),-1,1)*S3599,0)+IF(AND(AE3599&lt;&gt;"",COUNTIFS(tcTipo,AE3599,tcLiq,"Sí")&gt;0),S3599,0))</f>
        <v/>
      </c>
      <c r="AI3599" s="52">
        <f>IF(OR(L3599="",P3599=""),"",IF(COUNTIFS(L$6:L3599,L3599,P$6:P3599,"?*")=1,MAX(AI$5:AI3598)+1,""))</f>
        <v/>
      </c>
    </row>
    <row r="3600">
      <c r="B3600" s="47" t="n"/>
      <c r="C3600" s="48" t="n"/>
      <c r="D3600" s="48" t="n"/>
      <c r="E3600" s="48" t="n"/>
      <c r="F3600" s="48" t="n"/>
      <c r="G3600" s="49" t="n"/>
      <c r="H3600" s="48" t="n"/>
      <c r="I3600" s="50" t="n"/>
      <c r="J3600" s="48" t="n"/>
      <c r="K3600" s="48" t="n"/>
      <c r="L3600" s="48" t="n"/>
      <c r="M3600" s="48" t="n"/>
      <c r="N3600" s="48" t="n"/>
      <c r="O3600" s="51">
        <f>IF(AND(B3600="",G3600="",C3600="",D3600="",J3600=""),"",IF(B3600="","⚠ Falta fecha",IF(G3600="","⚠ Falta monto",IF(Q3600="","⚠ Falta cuenta",IF(ISNA(MATCH(Q3600,ctaNombre,0)),"⚠ Cuenta no registrada",IF(AND(OR(P3600="Gasto",P3600="Reembolso"),D3600=""),"⚠ Falta categoría",IF(AND(D3600&lt;&gt;"",E3600&lt;&gt;"",ISNA(MATCH(D3600&amp;"|"&amp;E3600,catClave,0))),"⚠ Subcategoría no corresponde",IF(AND(OR(P3600="Transferencia",P3600="Pago tarjeta"),K3600=""),"⚠ Falta cuenta destino",IF(AND(K3600&lt;&gt;"",P3600&lt;&gt;"Transferencia",P3600&lt;&gt;"Pago tarjeta"),"⚠ Destino solo aplica a transferencias",IF(AND(K3600&lt;&gt;"",K3600=Q3600),"⚠ Origen igual a destino",IF(AND(K3600&lt;&gt;"",ISNA(MATCH(K3600,ctaNombre,0))),"⚠ Destino no registrado",IF(AND(P3600="Pago tarjeta",AE3600&lt;&gt;"Tarjeta de crédito"),"⚠ El destino debe ser tarjeta de crédito",IF(AND(P3600="Gasto",E3600="Depósitos y retiros"),"⚠ Usa tipo Transferencia",IF(AND(P3600="Resultado trading",AD3600&lt;&gt;"Cuenta de trading"),"⚠ Usa una cuenta de trading",IF(AND(G3600&lt;=0,P3600&lt;&gt;"Ajuste",P3600&lt;&gt;"Resultado trading"),"⚠ El monto debe ser positivo","✓")))))))))))))))</f>
        <v/>
      </c>
      <c r="P3600" s="52">
        <f>IF(OR(B3600="",G3600=""),"",IF(C3600="","Gasto",C3600))</f>
        <v/>
      </c>
      <c r="Q3600" s="52">
        <f>IF(P3600="","",IF(J3600&lt;&gt;"",J3600,CuentaPred&amp;""))</f>
        <v/>
      </c>
      <c r="R3600" s="52">
        <f>IF(P3600="","",IF(ISNUMBER(I3600),I3600,TasaUSD))</f>
        <v/>
      </c>
      <c r="S3600" s="53">
        <f>IF(P3600="","",IF(H3600="USD",G3600*R3600,G3600))</f>
        <v/>
      </c>
      <c r="T3600" s="53">
        <f>IF(P3600="","",IF(H3600="USD",G3600,IF(R3600&gt;0,G3600/R3600,0)))</f>
        <v/>
      </c>
      <c r="U3600" s="53">
        <f>IF(P3600="","",IF(P3600="Gasto",S3600,IF(P3600="Reembolso",-S3600,0)))</f>
        <v/>
      </c>
      <c r="V3600" s="53">
        <f>IF(P3600="","",IF(P3600="Ingreso",S3600,0))</f>
        <v/>
      </c>
      <c r="W3600" s="53">
        <f>IF(P3600="","",IF(P3600="Resultado trading",S3600,0))</f>
        <v/>
      </c>
      <c r="X3600" s="52">
        <f>IF(OR(P3600="Gasto",P3600="Reembolso"),IF(M3600&lt;&gt;"",M3600,IFERROR(INDEX(catClasif,MATCH(D3600&amp;"|"&amp;E3600,catClave,0))&amp;"","Variable")),"")</f>
        <v/>
      </c>
      <c r="Y3600" s="52">
        <f>IF(P3600="","",IFERROR(INDEX(catGrupo,MATCH(D3600&amp;"|"&amp;E3600,catClave,0))&amp;"",""))</f>
        <v/>
      </c>
      <c r="Z3600" s="52">
        <f>IF(P3600="","",WEEKDAY(B3600,2))</f>
        <v/>
      </c>
      <c r="AA3600" s="52">
        <f>IF(P3600="","",IF(AND(P3600="Gasto",X3600="Variable",D3600&lt;&gt;catTrading,S3600&gt;0,S3600&lt;=Umbral),1,0))</f>
        <v/>
      </c>
      <c r="AB3600" s="52">
        <f>IF(OR(P3600="",Q3600=""),"",IFERROR(IF(INDEX(ctaVinc,MATCH(Q3600,ctaNombre,0))&amp;""&lt;&gt;"",INDEX(ctaVinc,MATCH(Q3600,ctaNombre,0))&amp;"",Q3600),Q3600))</f>
        <v/>
      </c>
      <c r="AC3600" s="52">
        <f>IF(OR(K3600="",AND(P3600&lt;&gt;"Transferencia",P3600&lt;&gt;"Pago tarjeta")),"",IFERROR(IF(INDEX(ctaVinc,MATCH(K3600,ctaNombre,0))&amp;""&lt;&gt;"",INDEX(ctaVinc,MATCH(K3600,ctaNombre,0))&amp;"",K3600),K3600))</f>
        <v/>
      </c>
      <c r="AD3600" s="52">
        <f>IF(AB3600="","",IFERROR(INDEX(ctaTipo,MATCH(AB3600,ctaNombre,0))&amp;"",""))</f>
        <v/>
      </c>
      <c r="AE3600" s="52">
        <f>IF(AC3600="","",IFERROR(INDEX(ctaTipo,MATCH(AC3600,ctaNombre,0))&amp;"",""))</f>
        <v/>
      </c>
      <c r="AF3600" s="53">
        <f>IF(OR(P3600="",AB3600=""),"",IF(OR(P3600="Gasto",P3600="Transferencia",P3600="Pago tarjeta"),-1,1)*IF(IFERROR(INDEX(ctaMoneda,MATCH(AB3600,ctaNombre,0))&amp;"","DOP")="USD",T3600,S3600))</f>
        <v/>
      </c>
      <c r="AG3600" s="53">
        <f>IF(AC3600="","",IF(IFERROR(INDEX(ctaMoneda,MATCH(AC3600,ctaNombre,0))&amp;"","DOP")="USD",T3600,S3600))</f>
        <v/>
      </c>
      <c r="AH3600" s="53">
        <f>IF(P3600="","",IF(AND(AD3600&lt;&gt;"",COUNTIFS(tcTipo,AD3600,tcLiq,"Sí")&gt;0),IF(OR(P3600="Gasto",P3600="Transferencia",P3600="Pago tarjeta"),-1,1)*S3600,0)+IF(AND(AE3600&lt;&gt;"",COUNTIFS(tcTipo,AE3600,tcLiq,"Sí")&gt;0),S3600,0))</f>
        <v/>
      </c>
      <c r="AI3600" s="52">
        <f>IF(OR(L3600="",P3600=""),"",IF(COUNTIFS(L$6:L3600,L3600,P$6:P3600,"?*")=1,MAX(AI$5:AI3599)+1,""))</f>
        <v/>
      </c>
    </row>
    <row r="3601">
      <c r="B3601" s="47" t="n"/>
      <c r="C3601" s="48" t="n"/>
      <c r="D3601" s="48" t="n"/>
      <c r="E3601" s="48" t="n"/>
      <c r="F3601" s="48" t="n"/>
      <c r="G3601" s="49" t="n"/>
      <c r="H3601" s="48" t="n"/>
      <c r="I3601" s="50" t="n"/>
      <c r="J3601" s="48" t="n"/>
      <c r="K3601" s="48" t="n"/>
      <c r="L3601" s="48" t="n"/>
      <c r="M3601" s="48" t="n"/>
      <c r="N3601" s="48" t="n"/>
      <c r="O3601" s="51">
        <f>IF(AND(B3601="",G3601="",C3601="",D3601="",J3601=""),"",IF(B3601="","⚠ Falta fecha",IF(G3601="","⚠ Falta monto",IF(Q3601="","⚠ Falta cuenta",IF(ISNA(MATCH(Q3601,ctaNombre,0)),"⚠ Cuenta no registrada",IF(AND(OR(P3601="Gasto",P3601="Reembolso"),D3601=""),"⚠ Falta categoría",IF(AND(D3601&lt;&gt;"",E3601&lt;&gt;"",ISNA(MATCH(D3601&amp;"|"&amp;E3601,catClave,0))),"⚠ Subcategoría no corresponde",IF(AND(OR(P3601="Transferencia",P3601="Pago tarjeta"),K3601=""),"⚠ Falta cuenta destino",IF(AND(K3601&lt;&gt;"",P3601&lt;&gt;"Transferencia",P3601&lt;&gt;"Pago tarjeta"),"⚠ Destino solo aplica a transferencias",IF(AND(K3601&lt;&gt;"",K3601=Q3601),"⚠ Origen igual a destino",IF(AND(K3601&lt;&gt;"",ISNA(MATCH(K3601,ctaNombre,0))),"⚠ Destino no registrado",IF(AND(P3601="Pago tarjeta",AE3601&lt;&gt;"Tarjeta de crédito"),"⚠ El destino debe ser tarjeta de crédito",IF(AND(P3601="Gasto",E3601="Depósitos y retiros"),"⚠ Usa tipo Transferencia",IF(AND(P3601="Resultado trading",AD3601&lt;&gt;"Cuenta de trading"),"⚠ Usa una cuenta de trading",IF(AND(G3601&lt;=0,P3601&lt;&gt;"Ajuste",P3601&lt;&gt;"Resultado trading"),"⚠ El monto debe ser positivo","✓")))))))))))))))</f>
        <v/>
      </c>
      <c r="P3601" s="52">
        <f>IF(OR(B3601="",G3601=""),"",IF(C3601="","Gasto",C3601))</f>
        <v/>
      </c>
      <c r="Q3601" s="52">
        <f>IF(P3601="","",IF(J3601&lt;&gt;"",J3601,CuentaPred&amp;""))</f>
        <v/>
      </c>
      <c r="R3601" s="52">
        <f>IF(P3601="","",IF(ISNUMBER(I3601),I3601,TasaUSD))</f>
        <v/>
      </c>
      <c r="S3601" s="53">
        <f>IF(P3601="","",IF(H3601="USD",G3601*R3601,G3601))</f>
        <v/>
      </c>
      <c r="T3601" s="53">
        <f>IF(P3601="","",IF(H3601="USD",G3601,IF(R3601&gt;0,G3601/R3601,0)))</f>
        <v/>
      </c>
      <c r="U3601" s="53">
        <f>IF(P3601="","",IF(P3601="Gasto",S3601,IF(P3601="Reembolso",-S3601,0)))</f>
        <v/>
      </c>
      <c r="V3601" s="53">
        <f>IF(P3601="","",IF(P3601="Ingreso",S3601,0))</f>
        <v/>
      </c>
      <c r="W3601" s="53">
        <f>IF(P3601="","",IF(P3601="Resultado trading",S3601,0))</f>
        <v/>
      </c>
      <c r="X3601" s="52">
        <f>IF(OR(P3601="Gasto",P3601="Reembolso"),IF(M3601&lt;&gt;"",M3601,IFERROR(INDEX(catClasif,MATCH(D3601&amp;"|"&amp;E3601,catClave,0))&amp;"","Variable")),"")</f>
        <v/>
      </c>
      <c r="Y3601" s="52">
        <f>IF(P3601="","",IFERROR(INDEX(catGrupo,MATCH(D3601&amp;"|"&amp;E3601,catClave,0))&amp;"",""))</f>
        <v/>
      </c>
      <c r="Z3601" s="52">
        <f>IF(P3601="","",WEEKDAY(B3601,2))</f>
        <v/>
      </c>
      <c r="AA3601" s="52">
        <f>IF(P3601="","",IF(AND(P3601="Gasto",X3601="Variable",D3601&lt;&gt;catTrading,S3601&gt;0,S3601&lt;=Umbral),1,0))</f>
        <v/>
      </c>
      <c r="AB3601" s="52">
        <f>IF(OR(P3601="",Q3601=""),"",IFERROR(IF(INDEX(ctaVinc,MATCH(Q3601,ctaNombre,0))&amp;""&lt;&gt;"",INDEX(ctaVinc,MATCH(Q3601,ctaNombre,0))&amp;"",Q3601),Q3601))</f>
        <v/>
      </c>
      <c r="AC3601" s="52">
        <f>IF(OR(K3601="",AND(P3601&lt;&gt;"Transferencia",P3601&lt;&gt;"Pago tarjeta")),"",IFERROR(IF(INDEX(ctaVinc,MATCH(K3601,ctaNombre,0))&amp;""&lt;&gt;"",INDEX(ctaVinc,MATCH(K3601,ctaNombre,0))&amp;"",K3601),K3601))</f>
        <v/>
      </c>
      <c r="AD3601" s="52">
        <f>IF(AB3601="","",IFERROR(INDEX(ctaTipo,MATCH(AB3601,ctaNombre,0))&amp;"",""))</f>
        <v/>
      </c>
      <c r="AE3601" s="52">
        <f>IF(AC3601="","",IFERROR(INDEX(ctaTipo,MATCH(AC3601,ctaNombre,0))&amp;"",""))</f>
        <v/>
      </c>
      <c r="AF3601" s="53">
        <f>IF(OR(P3601="",AB3601=""),"",IF(OR(P3601="Gasto",P3601="Transferencia",P3601="Pago tarjeta"),-1,1)*IF(IFERROR(INDEX(ctaMoneda,MATCH(AB3601,ctaNombre,0))&amp;"","DOP")="USD",T3601,S3601))</f>
        <v/>
      </c>
      <c r="AG3601" s="53">
        <f>IF(AC3601="","",IF(IFERROR(INDEX(ctaMoneda,MATCH(AC3601,ctaNombre,0))&amp;"","DOP")="USD",T3601,S3601))</f>
        <v/>
      </c>
      <c r="AH3601" s="53">
        <f>IF(P3601="","",IF(AND(AD3601&lt;&gt;"",COUNTIFS(tcTipo,AD3601,tcLiq,"Sí")&gt;0),IF(OR(P3601="Gasto",P3601="Transferencia",P3601="Pago tarjeta"),-1,1)*S3601,0)+IF(AND(AE3601&lt;&gt;"",COUNTIFS(tcTipo,AE3601,tcLiq,"Sí")&gt;0),S3601,0))</f>
        <v/>
      </c>
      <c r="AI3601" s="52">
        <f>IF(OR(L3601="",P3601=""),"",IF(COUNTIFS(L$6:L3601,L3601,P$6:P3601,"?*")=1,MAX(AI$5:AI3600)+1,""))</f>
        <v/>
      </c>
    </row>
    <row r="3602">
      <c r="B3602" s="47" t="n"/>
      <c r="C3602" s="48" t="n"/>
      <c r="D3602" s="48" t="n"/>
      <c r="E3602" s="48" t="n"/>
      <c r="F3602" s="48" t="n"/>
      <c r="G3602" s="49" t="n"/>
      <c r="H3602" s="48" t="n"/>
      <c r="I3602" s="50" t="n"/>
      <c r="J3602" s="48" t="n"/>
      <c r="K3602" s="48" t="n"/>
      <c r="L3602" s="48" t="n"/>
      <c r="M3602" s="48" t="n"/>
      <c r="N3602" s="48" t="n"/>
      <c r="O3602" s="51">
        <f>IF(AND(B3602="",G3602="",C3602="",D3602="",J3602=""),"",IF(B3602="","⚠ Falta fecha",IF(G3602="","⚠ Falta monto",IF(Q3602="","⚠ Falta cuenta",IF(ISNA(MATCH(Q3602,ctaNombre,0)),"⚠ Cuenta no registrada",IF(AND(OR(P3602="Gasto",P3602="Reembolso"),D3602=""),"⚠ Falta categoría",IF(AND(D3602&lt;&gt;"",E3602&lt;&gt;"",ISNA(MATCH(D3602&amp;"|"&amp;E3602,catClave,0))),"⚠ Subcategoría no corresponde",IF(AND(OR(P3602="Transferencia",P3602="Pago tarjeta"),K3602=""),"⚠ Falta cuenta destino",IF(AND(K3602&lt;&gt;"",P3602&lt;&gt;"Transferencia",P3602&lt;&gt;"Pago tarjeta"),"⚠ Destino solo aplica a transferencias",IF(AND(K3602&lt;&gt;"",K3602=Q3602),"⚠ Origen igual a destino",IF(AND(K3602&lt;&gt;"",ISNA(MATCH(K3602,ctaNombre,0))),"⚠ Destino no registrado",IF(AND(P3602="Pago tarjeta",AE3602&lt;&gt;"Tarjeta de crédito"),"⚠ El destino debe ser tarjeta de crédito",IF(AND(P3602="Gasto",E3602="Depósitos y retiros"),"⚠ Usa tipo Transferencia",IF(AND(P3602="Resultado trading",AD3602&lt;&gt;"Cuenta de trading"),"⚠ Usa una cuenta de trading",IF(AND(G3602&lt;=0,P3602&lt;&gt;"Ajuste",P3602&lt;&gt;"Resultado trading"),"⚠ El monto debe ser positivo","✓")))))))))))))))</f>
        <v/>
      </c>
      <c r="P3602" s="52">
        <f>IF(OR(B3602="",G3602=""),"",IF(C3602="","Gasto",C3602))</f>
        <v/>
      </c>
      <c r="Q3602" s="52">
        <f>IF(P3602="","",IF(J3602&lt;&gt;"",J3602,CuentaPred&amp;""))</f>
        <v/>
      </c>
      <c r="R3602" s="52">
        <f>IF(P3602="","",IF(ISNUMBER(I3602),I3602,TasaUSD))</f>
        <v/>
      </c>
      <c r="S3602" s="53">
        <f>IF(P3602="","",IF(H3602="USD",G3602*R3602,G3602))</f>
        <v/>
      </c>
      <c r="T3602" s="53">
        <f>IF(P3602="","",IF(H3602="USD",G3602,IF(R3602&gt;0,G3602/R3602,0)))</f>
        <v/>
      </c>
      <c r="U3602" s="53">
        <f>IF(P3602="","",IF(P3602="Gasto",S3602,IF(P3602="Reembolso",-S3602,0)))</f>
        <v/>
      </c>
      <c r="V3602" s="53">
        <f>IF(P3602="","",IF(P3602="Ingreso",S3602,0))</f>
        <v/>
      </c>
      <c r="W3602" s="53">
        <f>IF(P3602="","",IF(P3602="Resultado trading",S3602,0))</f>
        <v/>
      </c>
      <c r="X3602" s="52">
        <f>IF(OR(P3602="Gasto",P3602="Reembolso"),IF(M3602&lt;&gt;"",M3602,IFERROR(INDEX(catClasif,MATCH(D3602&amp;"|"&amp;E3602,catClave,0))&amp;"","Variable")),"")</f>
        <v/>
      </c>
      <c r="Y3602" s="52">
        <f>IF(P3602="","",IFERROR(INDEX(catGrupo,MATCH(D3602&amp;"|"&amp;E3602,catClave,0))&amp;"",""))</f>
        <v/>
      </c>
      <c r="Z3602" s="52">
        <f>IF(P3602="","",WEEKDAY(B3602,2))</f>
        <v/>
      </c>
      <c r="AA3602" s="52">
        <f>IF(P3602="","",IF(AND(P3602="Gasto",X3602="Variable",D3602&lt;&gt;catTrading,S3602&gt;0,S3602&lt;=Umbral),1,0))</f>
        <v/>
      </c>
      <c r="AB3602" s="52">
        <f>IF(OR(P3602="",Q3602=""),"",IFERROR(IF(INDEX(ctaVinc,MATCH(Q3602,ctaNombre,0))&amp;""&lt;&gt;"",INDEX(ctaVinc,MATCH(Q3602,ctaNombre,0))&amp;"",Q3602),Q3602))</f>
        <v/>
      </c>
      <c r="AC3602" s="52">
        <f>IF(OR(K3602="",AND(P3602&lt;&gt;"Transferencia",P3602&lt;&gt;"Pago tarjeta")),"",IFERROR(IF(INDEX(ctaVinc,MATCH(K3602,ctaNombre,0))&amp;""&lt;&gt;"",INDEX(ctaVinc,MATCH(K3602,ctaNombre,0))&amp;"",K3602),K3602))</f>
        <v/>
      </c>
      <c r="AD3602" s="52">
        <f>IF(AB3602="","",IFERROR(INDEX(ctaTipo,MATCH(AB3602,ctaNombre,0))&amp;"",""))</f>
        <v/>
      </c>
      <c r="AE3602" s="52">
        <f>IF(AC3602="","",IFERROR(INDEX(ctaTipo,MATCH(AC3602,ctaNombre,0))&amp;"",""))</f>
        <v/>
      </c>
      <c r="AF3602" s="53">
        <f>IF(OR(P3602="",AB3602=""),"",IF(OR(P3602="Gasto",P3602="Transferencia",P3602="Pago tarjeta"),-1,1)*IF(IFERROR(INDEX(ctaMoneda,MATCH(AB3602,ctaNombre,0))&amp;"","DOP")="USD",T3602,S3602))</f>
        <v/>
      </c>
      <c r="AG3602" s="53">
        <f>IF(AC3602="","",IF(IFERROR(INDEX(ctaMoneda,MATCH(AC3602,ctaNombre,0))&amp;"","DOP")="USD",T3602,S3602))</f>
        <v/>
      </c>
      <c r="AH3602" s="53">
        <f>IF(P3602="","",IF(AND(AD3602&lt;&gt;"",COUNTIFS(tcTipo,AD3602,tcLiq,"Sí")&gt;0),IF(OR(P3602="Gasto",P3602="Transferencia",P3602="Pago tarjeta"),-1,1)*S3602,0)+IF(AND(AE3602&lt;&gt;"",COUNTIFS(tcTipo,AE3602,tcLiq,"Sí")&gt;0),S3602,0))</f>
        <v/>
      </c>
      <c r="AI3602" s="52">
        <f>IF(OR(L3602="",P3602=""),"",IF(COUNTIFS(L$6:L3602,L3602,P$6:P3602,"?*")=1,MAX(AI$5:AI3601)+1,""))</f>
        <v/>
      </c>
    </row>
    <row r="3603">
      <c r="B3603" s="47" t="n"/>
      <c r="C3603" s="48" t="n"/>
      <c r="D3603" s="48" t="n"/>
      <c r="E3603" s="48" t="n"/>
      <c r="F3603" s="48" t="n"/>
      <c r="G3603" s="49" t="n"/>
      <c r="H3603" s="48" t="n"/>
      <c r="I3603" s="50" t="n"/>
      <c r="J3603" s="48" t="n"/>
      <c r="K3603" s="48" t="n"/>
      <c r="L3603" s="48" t="n"/>
      <c r="M3603" s="48" t="n"/>
      <c r="N3603" s="48" t="n"/>
      <c r="O3603" s="51">
        <f>IF(AND(B3603="",G3603="",C3603="",D3603="",J3603=""),"",IF(B3603="","⚠ Falta fecha",IF(G3603="","⚠ Falta monto",IF(Q3603="","⚠ Falta cuenta",IF(ISNA(MATCH(Q3603,ctaNombre,0)),"⚠ Cuenta no registrada",IF(AND(OR(P3603="Gasto",P3603="Reembolso"),D3603=""),"⚠ Falta categoría",IF(AND(D3603&lt;&gt;"",E3603&lt;&gt;"",ISNA(MATCH(D3603&amp;"|"&amp;E3603,catClave,0))),"⚠ Subcategoría no corresponde",IF(AND(OR(P3603="Transferencia",P3603="Pago tarjeta"),K3603=""),"⚠ Falta cuenta destino",IF(AND(K3603&lt;&gt;"",P3603&lt;&gt;"Transferencia",P3603&lt;&gt;"Pago tarjeta"),"⚠ Destino solo aplica a transferencias",IF(AND(K3603&lt;&gt;"",K3603=Q3603),"⚠ Origen igual a destino",IF(AND(K3603&lt;&gt;"",ISNA(MATCH(K3603,ctaNombre,0))),"⚠ Destino no registrado",IF(AND(P3603="Pago tarjeta",AE3603&lt;&gt;"Tarjeta de crédito"),"⚠ El destino debe ser tarjeta de crédito",IF(AND(P3603="Gasto",E3603="Depósitos y retiros"),"⚠ Usa tipo Transferencia",IF(AND(P3603="Resultado trading",AD3603&lt;&gt;"Cuenta de trading"),"⚠ Usa una cuenta de trading",IF(AND(G3603&lt;=0,P3603&lt;&gt;"Ajuste",P3603&lt;&gt;"Resultado trading"),"⚠ El monto debe ser positivo","✓")))))))))))))))</f>
        <v/>
      </c>
      <c r="P3603" s="52">
        <f>IF(OR(B3603="",G3603=""),"",IF(C3603="","Gasto",C3603))</f>
        <v/>
      </c>
      <c r="Q3603" s="52">
        <f>IF(P3603="","",IF(J3603&lt;&gt;"",J3603,CuentaPred&amp;""))</f>
        <v/>
      </c>
      <c r="R3603" s="52">
        <f>IF(P3603="","",IF(ISNUMBER(I3603),I3603,TasaUSD))</f>
        <v/>
      </c>
      <c r="S3603" s="53">
        <f>IF(P3603="","",IF(H3603="USD",G3603*R3603,G3603))</f>
        <v/>
      </c>
      <c r="T3603" s="53">
        <f>IF(P3603="","",IF(H3603="USD",G3603,IF(R3603&gt;0,G3603/R3603,0)))</f>
        <v/>
      </c>
      <c r="U3603" s="53">
        <f>IF(P3603="","",IF(P3603="Gasto",S3603,IF(P3603="Reembolso",-S3603,0)))</f>
        <v/>
      </c>
      <c r="V3603" s="53">
        <f>IF(P3603="","",IF(P3603="Ingreso",S3603,0))</f>
        <v/>
      </c>
      <c r="W3603" s="53">
        <f>IF(P3603="","",IF(P3603="Resultado trading",S3603,0))</f>
        <v/>
      </c>
      <c r="X3603" s="52">
        <f>IF(OR(P3603="Gasto",P3603="Reembolso"),IF(M3603&lt;&gt;"",M3603,IFERROR(INDEX(catClasif,MATCH(D3603&amp;"|"&amp;E3603,catClave,0))&amp;"","Variable")),"")</f>
        <v/>
      </c>
      <c r="Y3603" s="52">
        <f>IF(P3603="","",IFERROR(INDEX(catGrupo,MATCH(D3603&amp;"|"&amp;E3603,catClave,0))&amp;"",""))</f>
        <v/>
      </c>
      <c r="Z3603" s="52">
        <f>IF(P3603="","",WEEKDAY(B3603,2))</f>
        <v/>
      </c>
      <c r="AA3603" s="52">
        <f>IF(P3603="","",IF(AND(P3603="Gasto",X3603="Variable",D3603&lt;&gt;catTrading,S3603&gt;0,S3603&lt;=Umbral),1,0))</f>
        <v/>
      </c>
      <c r="AB3603" s="52">
        <f>IF(OR(P3603="",Q3603=""),"",IFERROR(IF(INDEX(ctaVinc,MATCH(Q3603,ctaNombre,0))&amp;""&lt;&gt;"",INDEX(ctaVinc,MATCH(Q3603,ctaNombre,0))&amp;"",Q3603),Q3603))</f>
        <v/>
      </c>
      <c r="AC3603" s="52">
        <f>IF(OR(K3603="",AND(P3603&lt;&gt;"Transferencia",P3603&lt;&gt;"Pago tarjeta")),"",IFERROR(IF(INDEX(ctaVinc,MATCH(K3603,ctaNombre,0))&amp;""&lt;&gt;"",INDEX(ctaVinc,MATCH(K3603,ctaNombre,0))&amp;"",K3603),K3603))</f>
        <v/>
      </c>
      <c r="AD3603" s="52">
        <f>IF(AB3603="","",IFERROR(INDEX(ctaTipo,MATCH(AB3603,ctaNombre,0))&amp;"",""))</f>
        <v/>
      </c>
      <c r="AE3603" s="52">
        <f>IF(AC3603="","",IFERROR(INDEX(ctaTipo,MATCH(AC3603,ctaNombre,0))&amp;"",""))</f>
        <v/>
      </c>
      <c r="AF3603" s="53">
        <f>IF(OR(P3603="",AB3603=""),"",IF(OR(P3603="Gasto",P3603="Transferencia",P3603="Pago tarjeta"),-1,1)*IF(IFERROR(INDEX(ctaMoneda,MATCH(AB3603,ctaNombre,0))&amp;"","DOP")="USD",T3603,S3603))</f>
        <v/>
      </c>
      <c r="AG3603" s="53">
        <f>IF(AC3603="","",IF(IFERROR(INDEX(ctaMoneda,MATCH(AC3603,ctaNombre,0))&amp;"","DOP")="USD",T3603,S3603))</f>
        <v/>
      </c>
      <c r="AH3603" s="53">
        <f>IF(P3603="","",IF(AND(AD3603&lt;&gt;"",COUNTIFS(tcTipo,AD3603,tcLiq,"Sí")&gt;0),IF(OR(P3603="Gasto",P3603="Transferencia",P3603="Pago tarjeta"),-1,1)*S3603,0)+IF(AND(AE3603&lt;&gt;"",COUNTIFS(tcTipo,AE3603,tcLiq,"Sí")&gt;0),S3603,0))</f>
        <v/>
      </c>
      <c r="AI3603" s="52">
        <f>IF(OR(L3603="",P3603=""),"",IF(COUNTIFS(L$6:L3603,L3603,P$6:P3603,"?*")=1,MAX(AI$5:AI3602)+1,""))</f>
        <v/>
      </c>
    </row>
    <row r="3604">
      <c r="B3604" s="47" t="n"/>
      <c r="C3604" s="48" t="n"/>
      <c r="D3604" s="48" t="n"/>
      <c r="E3604" s="48" t="n"/>
      <c r="F3604" s="48" t="n"/>
      <c r="G3604" s="49" t="n"/>
      <c r="H3604" s="48" t="n"/>
      <c r="I3604" s="50" t="n"/>
      <c r="J3604" s="48" t="n"/>
      <c r="K3604" s="48" t="n"/>
      <c r="L3604" s="48" t="n"/>
      <c r="M3604" s="48" t="n"/>
      <c r="N3604" s="48" t="n"/>
      <c r="O3604" s="51">
        <f>IF(AND(B3604="",G3604="",C3604="",D3604="",J3604=""),"",IF(B3604="","⚠ Falta fecha",IF(G3604="","⚠ Falta monto",IF(Q3604="","⚠ Falta cuenta",IF(ISNA(MATCH(Q3604,ctaNombre,0)),"⚠ Cuenta no registrada",IF(AND(OR(P3604="Gasto",P3604="Reembolso"),D3604=""),"⚠ Falta categoría",IF(AND(D3604&lt;&gt;"",E3604&lt;&gt;"",ISNA(MATCH(D3604&amp;"|"&amp;E3604,catClave,0))),"⚠ Subcategoría no corresponde",IF(AND(OR(P3604="Transferencia",P3604="Pago tarjeta"),K3604=""),"⚠ Falta cuenta destino",IF(AND(K3604&lt;&gt;"",P3604&lt;&gt;"Transferencia",P3604&lt;&gt;"Pago tarjeta"),"⚠ Destino solo aplica a transferencias",IF(AND(K3604&lt;&gt;"",K3604=Q3604),"⚠ Origen igual a destino",IF(AND(K3604&lt;&gt;"",ISNA(MATCH(K3604,ctaNombre,0))),"⚠ Destino no registrado",IF(AND(P3604="Pago tarjeta",AE3604&lt;&gt;"Tarjeta de crédito"),"⚠ El destino debe ser tarjeta de crédito",IF(AND(P3604="Gasto",E3604="Depósitos y retiros"),"⚠ Usa tipo Transferencia",IF(AND(P3604="Resultado trading",AD3604&lt;&gt;"Cuenta de trading"),"⚠ Usa una cuenta de trading",IF(AND(G3604&lt;=0,P3604&lt;&gt;"Ajuste",P3604&lt;&gt;"Resultado trading"),"⚠ El monto debe ser positivo","✓")))))))))))))))</f>
        <v/>
      </c>
      <c r="P3604" s="52">
        <f>IF(OR(B3604="",G3604=""),"",IF(C3604="","Gasto",C3604))</f>
        <v/>
      </c>
      <c r="Q3604" s="52">
        <f>IF(P3604="","",IF(J3604&lt;&gt;"",J3604,CuentaPred&amp;""))</f>
        <v/>
      </c>
      <c r="R3604" s="52">
        <f>IF(P3604="","",IF(ISNUMBER(I3604),I3604,TasaUSD))</f>
        <v/>
      </c>
      <c r="S3604" s="53">
        <f>IF(P3604="","",IF(H3604="USD",G3604*R3604,G3604))</f>
        <v/>
      </c>
      <c r="T3604" s="53">
        <f>IF(P3604="","",IF(H3604="USD",G3604,IF(R3604&gt;0,G3604/R3604,0)))</f>
        <v/>
      </c>
      <c r="U3604" s="53">
        <f>IF(P3604="","",IF(P3604="Gasto",S3604,IF(P3604="Reembolso",-S3604,0)))</f>
        <v/>
      </c>
      <c r="V3604" s="53">
        <f>IF(P3604="","",IF(P3604="Ingreso",S3604,0))</f>
        <v/>
      </c>
      <c r="W3604" s="53">
        <f>IF(P3604="","",IF(P3604="Resultado trading",S3604,0))</f>
        <v/>
      </c>
      <c r="X3604" s="52">
        <f>IF(OR(P3604="Gasto",P3604="Reembolso"),IF(M3604&lt;&gt;"",M3604,IFERROR(INDEX(catClasif,MATCH(D3604&amp;"|"&amp;E3604,catClave,0))&amp;"","Variable")),"")</f>
        <v/>
      </c>
      <c r="Y3604" s="52">
        <f>IF(P3604="","",IFERROR(INDEX(catGrupo,MATCH(D3604&amp;"|"&amp;E3604,catClave,0))&amp;"",""))</f>
        <v/>
      </c>
      <c r="Z3604" s="52">
        <f>IF(P3604="","",WEEKDAY(B3604,2))</f>
        <v/>
      </c>
      <c r="AA3604" s="52">
        <f>IF(P3604="","",IF(AND(P3604="Gasto",X3604="Variable",D3604&lt;&gt;catTrading,S3604&gt;0,S3604&lt;=Umbral),1,0))</f>
        <v/>
      </c>
      <c r="AB3604" s="52">
        <f>IF(OR(P3604="",Q3604=""),"",IFERROR(IF(INDEX(ctaVinc,MATCH(Q3604,ctaNombre,0))&amp;""&lt;&gt;"",INDEX(ctaVinc,MATCH(Q3604,ctaNombre,0))&amp;"",Q3604),Q3604))</f>
        <v/>
      </c>
      <c r="AC3604" s="52">
        <f>IF(OR(K3604="",AND(P3604&lt;&gt;"Transferencia",P3604&lt;&gt;"Pago tarjeta")),"",IFERROR(IF(INDEX(ctaVinc,MATCH(K3604,ctaNombre,0))&amp;""&lt;&gt;"",INDEX(ctaVinc,MATCH(K3604,ctaNombre,0))&amp;"",K3604),K3604))</f>
        <v/>
      </c>
      <c r="AD3604" s="52">
        <f>IF(AB3604="","",IFERROR(INDEX(ctaTipo,MATCH(AB3604,ctaNombre,0))&amp;"",""))</f>
        <v/>
      </c>
      <c r="AE3604" s="52">
        <f>IF(AC3604="","",IFERROR(INDEX(ctaTipo,MATCH(AC3604,ctaNombre,0))&amp;"",""))</f>
        <v/>
      </c>
      <c r="AF3604" s="53">
        <f>IF(OR(P3604="",AB3604=""),"",IF(OR(P3604="Gasto",P3604="Transferencia",P3604="Pago tarjeta"),-1,1)*IF(IFERROR(INDEX(ctaMoneda,MATCH(AB3604,ctaNombre,0))&amp;"","DOP")="USD",T3604,S3604))</f>
        <v/>
      </c>
      <c r="AG3604" s="53">
        <f>IF(AC3604="","",IF(IFERROR(INDEX(ctaMoneda,MATCH(AC3604,ctaNombre,0))&amp;"","DOP")="USD",T3604,S3604))</f>
        <v/>
      </c>
      <c r="AH3604" s="53">
        <f>IF(P3604="","",IF(AND(AD3604&lt;&gt;"",COUNTIFS(tcTipo,AD3604,tcLiq,"Sí")&gt;0),IF(OR(P3604="Gasto",P3604="Transferencia",P3604="Pago tarjeta"),-1,1)*S3604,0)+IF(AND(AE3604&lt;&gt;"",COUNTIFS(tcTipo,AE3604,tcLiq,"Sí")&gt;0),S3604,0))</f>
        <v/>
      </c>
      <c r="AI3604" s="52">
        <f>IF(OR(L3604="",P3604=""),"",IF(COUNTIFS(L$6:L3604,L3604,P$6:P3604,"?*")=1,MAX(AI$5:AI3603)+1,""))</f>
        <v/>
      </c>
    </row>
    <row r="3605">
      <c r="B3605" s="47" t="n"/>
      <c r="C3605" s="48" t="n"/>
      <c r="D3605" s="48" t="n"/>
      <c r="E3605" s="48" t="n"/>
      <c r="F3605" s="48" t="n"/>
      <c r="G3605" s="49" t="n"/>
      <c r="H3605" s="48" t="n"/>
      <c r="I3605" s="50" t="n"/>
      <c r="J3605" s="48" t="n"/>
      <c r="K3605" s="48" t="n"/>
      <c r="L3605" s="48" t="n"/>
      <c r="M3605" s="48" t="n"/>
      <c r="N3605" s="48" t="n"/>
      <c r="O3605" s="51">
        <f>IF(AND(B3605="",G3605="",C3605="",D3605="",J3605=""),"",IF(B3605="","⚠ Falta fecha",IF(G3605="","⚠ Falta monto",IF(Q3605="","⚠ Falta cuenta",IF(ISNA(MATCH(Q3605,ctaNombre,0)),"⚠ Cuenta no registrada",IF(AND(OR(P3605="Gasto",P3605="Reembolso"),D3605=""),"⚠ Falta categoría",IF(AND(D3605&lt;&gt;"",E3605&lt;&gt;"",ISNA(MATCH(D3605&amp;"|"&amp;E3605,catClave,0))),"⚠ Subcategoría no corresponde",IF(AND(OR(P3605="Transferencia",P3605="Pago tarjeta"),K3605=""),"⚠ Falta cuenta destino",IF(AND(K3605&lt;&gt;"",P3605&lt;&gt;"Transferencia",P3605&lt;&gt;"Pago tarjeta"),"⚠ Destino solo aplica a transferencias",IF(AND(K3605&lt;&gt;"",K3605=Q3605),"⚠ Origen igual a destino",IF(AND(K3605&lt;&gt;"",ISNA(MATCH(K3605,ctaNombre,0))),"⚠ Destino no registrado",IF(AND(P3605="Pago tarjeta",AE3605&lt;&gt;"Tarjeta de crédito"),"⚠ El destino debe ser tarjeta de crédito",IF(AND(P3605="Gasto",E3605="Depósitos y retiros"),"⚠ Usa tipo Transferencia",IF(AND(P3605="Resultado trading",AD3605&lt;&gt;"Cuenta de trading"),"⚠ Usa una cuenta de trading",IF(AND(G3605&lt;=0,P3605&lt;&gt;"Ajuste",P3605&lt;&gt;"Resultado trading"),"⚠ El monto debe ser positivo","✓")))))))))))))))</f>
        <v/>
      </c>
      <c r="P3605" s="52">
        <f>IF(OR(B3605="",G3605=""),"",IF(C3605="","Gasto",C3605))</f>
        <v/>
      </c>
      <c r="Q3605" s="52">
        <f>IF(P3605="","",IF(J3605&lt;&gt;"",J3605,CuentaPred&amp;""))</f>
        <v/>
      </c>
      <c r="R3605" s="52">
        <f>IF(P3605="","",IF(ISNUMBER(I3605),I3605,TasaUSD))</f>
        <v/>
      </c>
      <c r="S3605" s="53">
        <f>IF(P3605="","",IF(H3605="USD",G3605*R3605,G3605))</f>
        <v/>
      </c>
      <c r="T3605" s="53">
        <f>IF(P3605="","",IF(H3605="USD",G3605,IF(R3605&gt;0,G3605/R3605,0)))</f>
        <v/>
      </c>
      <c r="U3605" s="53">
        <f>IF(P3605="","",IF(P3605="Gasto",S3605,IF(P3605="Reembolso",-S3605,0)))</f>
        <v/>
      </c>
      <c r="V3605" s="53">
        <f>IF(P3605="","",IF(P3605="Ingreso",S3605,0))</f>
        <v/>
      </c>
      <c r="W3605" s="53">
        <f>IF(P3605="","",IF(P3605="Resultado trading",S3605,0))</f>
        <v/>
      </c>
      <c r="X3605" s="52">
        <f>IF(OR(P3605="Gasto",P3605="Reembolso"),IF(M3605&lt;&gt;"",M3605,IFERROR(INDEX(catClasif,MATCH(D3605&amp;"|"&amp;E3605,catClave,0))&amp;"","Variable")),"")</f>
        <v/>
      </c>
      <c r="Y3605" s="52">
        <f>IF(P3605="","",IFERROR(INDEX(catGrupo,MATCH(D3605&amp;"|"&amp;E3605,catClave,0))&amp;"",""))</f>
        <v/>
      </c>
      <c r="Z3605" s="52">
        <f>IF(P3605="","",WEEKDAY(B3605,2))</f>
        <v/>
      </c>
      <c r="AA3605" s="52">
        <f>IF(P3605="","",IF(AND(P3605="Gasto",X3605="Variable",D3605&lt;&gt;catTrading,S3605&gt;0,S3605&lt;=Umbral),1,0))</f>
        <v/>
      </c>
      <c r="AB3605" s="52">
        <f>IF(OR(P3605="",Q3605=""),"",IFERROR(IF(INDEX(ctaVinc,MATCH(Q3605,ctaNombre,0))&amp;""&lt;&gt;"",INDEX(ctaVinc,MATCH(Q3605,ctaNombre,0))&amp;"",Q3605),Q3605))</f>
        <v/>
      </c>
      <c r="AC3605" s="52">
        <f>IF(OR(K3605="",AND(P3605&lt;&gt;"Transferencia",P3605&lt;&gt;"Pago tarjeta")),"",IFERROR(IF(INDEX(ctaVinc,MATCH(K3605,ctaNombre,0))&amp;""&lt;&gt;"",INDEX(ctaVinc,MATCH(K3605,ctaNombre,0))&amp;"",K3605),K3605))</f>
        <v/>
      </c>
      <c r="AD3605" s="52">
        <f>IF(AB3605="","",IFERROR(INDEX(ctaTipo,MATCH(AB3605,ctaNombre,0))&amp;"",""))</f>
        <v/>
      </c>
      <c r="AE3605" s="52">
        <f>IF(AC3605="","",IFERROR(INDEX(ctaTipo,MATCH(AC3605,ctaNombre,0))&amp;"",""))</f>
        <v/>
      </c>
      <c r="AF3605" s="53">
        <f>IF(OR(P3605="",AB3605=""),"",IF(OR(P3605="Gasto",P3605="Transferencia",P3605="Pago tarjeta"),-1,1)*IF(IFERROR(INDEX(ctaMoneda,MATCH(AB3605,ctaNombre,0))&amp;"","DOP")="USD",T3605,S3605))</f>
        <v/>
      </c>
      <c r="AG3605" s="53">
        <f>IF(AC3605="","",IF(IFERROR(INDEX(ctaMoneda,MATCH(AC3605,ctaNombre,0))&amp;"","DOP")="USD",T3605,S3605))</f>
        <v/>
      </c>
      <c r="AH3605" s="53">
        <f>IF(P3605="","",IF(AND(AD3605&lt;&gt;"",COUNTIFS(tcTipo,AD3605,tcLiq,"Sí")&gt;0),IF(OR(P3605="Gasto",P3605="Transferencia",P3605="Pago tarjeta"),-1,1)*S3605,0)+IF(AND(AE3605&lt;&gt;"",COUNTIFS(tcTipo,AE3605,tcLiq,"Sí")&gt;0),S3605,0))</f>
        <v/>
      </c>
      <c r="AI3605" s="52">
        <f>IF(OR(L3605="",P3605=""),"",IF(COUNTIFS(L$6:L3605,L3605,P$6:P3605,"?*")=1,MAX(AI$5:AI3604)+1,""))</f>
        <v/>
      </c>
    </row>
    <row r="3606">
      <c r="B3606" s="47" t="n"/>
      <c r="C3606" s="48" t="n"/>
      <c r="D3606" s="48" t="n"/>
      <c r="E3606" s="48" t="n"/>
      <c r="F3606" s="48" t="n"/>
      <c r="G3606" s="49" t="n"/>
      <c r="H3606" s="48" t="n"/>
      <c r="I3606" s="50" t="n"/>
      <c r="J3606" s="48" t="n"/>
      <c r="K3606" s="48" t="n"/>
      <c r="L3606" s="48" t="n"/>
      <c r="M3606" s="48" t="n"/>
      <c r="N3606" s="48" t="n"/>
      <c r="O3606" s="51">
        <f>IF(AND(B3606="",G3606="",C3606="",D3606="",J3606=""),"",IF(B3606="","⚠ Falta fecha",IF(G3606="","⚠ Falta monto",IF(Q3606="","⚠ Falta cuenta",IF(ISNA(MATCH(Q3606,ctaNombre,0)),"⚠ Cuenta no registrada",IF(AND(OR(P3606="Gasto",P3606="Reembolso"),D3606=""),"⚠ Falta categoría",IF(AND(D3606&lt;&gt;"",E3606&lt;&gt;"",ISNA(MATCH(D3606&amp;"|"&amp;E3606,catClave,0))),"⚠ Subcategoría no corresponde",IF(AND(OR(P3606="Transferencia",P3606="Pago tarjeta"),K3606=""),"⚠ Falta cuenta destino",IF(AND(K3606&lt;&gt;"",P3606&lt;&gt;"Transferencia",P3606&lt;&gt;"Pago tarjeta"),"⚠ Destino solo aplica a transferencias",IF(AND(K3606&lt;&gt;"",K3606=Q3606),"⚠ Origen igual a destino",IF(AND(K3606&lt;&gt;"",ISNA(MATCH(K3606,ctaNombre,0))),"⚠ Destino no registrado",IF(AND(P3606="Pago tarjeta",AE3606&lt;&gt;"Tarjeta de crédito"),"⚠ El destino debe ser tarjeta de crédito",IF(AND(P3606="Gasto",E3606="Depósitos y retiros"),"⚠ Usa tipo Transferencia",IF(AND(P3606="Resultado trading",AD3606&lt;&gt;"Cuenta de trading"),"⚠ Usa una cuenta de trading",IF(AND(G3606&lt;=0,P3606&lt;&gt;"Ajuste",P3606&lt;&gt;"Resultado trading"),"⚠ El monto debe ser positivo","✓")))))))))))))))</f>
        <v/>
      </c>
      <c r="P3606" s="52">
        <f>IF(OR(B3606="",G3606=""),"",IF(C3606="","Gasto",C3606))</f>
        <v/>
      </c>
      <c r="Q3606" s="52">
        <f>IF(P3606="","",IF(J3606&lt;&gt;"",J3606,CuentaPred&amp;""))</f>
        <v/>
      </c>
      <c r="R3606" s="52">
        <f>IF(P3606="","",IF(ISNUMBER(I3606),I3606,TasaUSD))</f>
        <v/>
      </c>
      <c r="S3606" s="53">
        <f>IF(P3606="","",IF(H3606="USD",G3606*R3606,G3606))</f>
        <v/>
      </c>
      <c r="T3606" s="53">
        <f>IF(P3606="","",IF(H3606="USD",G3606,IF(R3606&gt;0,G3606/R3606,0)))</f>
        <v/>
      </c>
      <c r="U3606" s="53">
        <f>IF(P3606="","",IF(P3606="Gasto",S3606,IF(P3606="Reembolso",-S3606,0)))</f>
        <v/>
      </c>
      <c r="V3606" s="53">
        <f>IF(P3606="","",IF(P3606="Ingreso",S3606,0))</f>
        <v/>
      </c>
      <c r="W3606" s="53">
        <f>IF(P3606="","",IF(P3606="Resultado trading",S3606,0))</f>
        <v/>
      </c>
      <c r="X3606" s="52">
        <f>IF(OR(P3606="Gasto",P3606="Reembolso"),IF(M3606&lt;&gt;"",M3606,IFERROR(INDEX(catClasif,MATCH(D3606&amp;"|"&amp;E3606,catClave,0))&amp;"","Variable")),"")</f>
        <v/>
      </c>
      <c r="Y3606" s="52">
        <f>IF(P3606="","",IFERROR(INDEX(catGrupo,MATCH(D3606&amp;"|"&amp;E3606,catClave,0))&amp;"",""))</f>
        <v/>
      </c>
      <c r="Z3606" s="52">
        <f>IF(P3606="","",WEEKDAY(B3606,2))</f>
        <v/>
      </c>
      <c r="AA3606" s="52">
        <f>IF(P3606="","",IF(AND(P3606="Gasto",X3606="Variable",D3606&lt;&gt;catTrading,S3606&gt;0,S3606&lt;=Umbral),1,0))</f>
        <v/>
      </c>
      <c r="AB3606" s="52">
        <f>IF(OR(P3606="",Q3606=""),"",IFERROR(IF(INDEX(ctaVinc,MATCH(Q3606,ctaNombre,0))&amp;""&lt;&gt;"",INDEX(ctaVinc,MATCH(Q3606,ctaNombre,0))&amp;"",Q3606),Q3606))</f>
        <v/>
      </c>
      <c r="AC3606" s="52">
        <f>IF(OR(K3606="",AND(P3606&lt;&gt;"Transferencia",P3606&lt;&gt;"Pago tarjeta")),"",IFERROR(IF(INDEX(ctaVinc,MATCH(K3606,ctaNombre,0))&amp;""&lt;&gt;"",INDEX(ctaVinc,MATCH(K3606,ctaNombre,0))&amp;"",K3606),K3606))</f>
        <v/>
      </c>
      <c r="AD3606" s="52">
        <f>IF(AB3606="","",IFERROR(INDEX(ctaTipo,MATCH(AB3606,ctaNombre,0))&amp;"",""))</f>
        <v/>
      </c>
      <c r="AE3606" s="52">
        <f>IF(AC3606="","",IFERROR(INDEX(ctaTipo,MATCH(AC3606,ctaNombre,0))&amp;"",""))</f>
        <v/>
      </c>
      <c r="AF3606" s="53">
        <f>IF(OR(P3606="",AB3606=""),"",IF(OR(P3606="Gasto",P3606="Transferencia",P3606="Pago tarjeta"),-1,1)*IF(IFERROR(INDEX(ctaMoneda,MATCH(AB3606,ctaNombre,0))&amp;"","DOP")="USD",T3606,S3606))</f>
        <v/>
      </c>
      <c r="AG3606" s="53">
        <f>IF(AC3606="","",IF(IFERROR(INDEX(ctaMoneda,MATCH(AC3606,ctaNombre,0))&amp;"","DOP")="USD",T3606,S3606))</f>
        <v/>
      </c>
      <c r="AH3606" s="53">
        <f>IF(P3606="","",IF(AND(AD3606&lt;&gt;"",COUNTIFS(tcTipo,AD3606,tcLiq,"Sí")&gt;0),IF(OR(P3606="Gasto",P3606="Transferencia",P3606="Pago tarjeta"),-1,1)*S3606,0)+IF(AND(AE3606&lt;&gt;"",COUNTIFS(tcTipo,AE3606,tcLiq,"Sí")&gt;0),S3606,0))</f>
        <v/>
      </c>
      <c r="AI3606" s="52">
        <f>IF(OR(L3606="",P3606=""),"",IF(COUNTIFS(L$6:L3606,L3606,P$6:P3606,"?*")=1,MAX(AI$5:AI3605)+1,""))</f>
        <v/>
      </c>
    </row>
    <row r="3607">
      <c r="B3607" s="47" t="n"/>
      <c r="C3607" s="48" t="n"/>
      <c r="D3607" s="48" t="n"/>
      <c r="E3607" s="48" t="n"/>
      <c r="F3607" s="48" t="n"/>
      <c r="G3607" s="49" t="n"/>
      <c r="H3607" s="48" t="n"/>
      <c r="I3607" s="50" t="n"/>
      <c r="J3607" s="48" t="n"/>
      <c r="K3607" s="48" t="n"/>
      <c r="L3607" s="48" t="n"/>
      <c r="M3607" s="48" t="n"/>
      <c r="N3607" s="48" t="n"/>
      <c r="O3607" s="51">
        <f>IF(AND(B3607="",G3607="",C3607="",D3607="",J3607=""),"",IF(B3607="","⚠ Falta fecha",IF(G3607="","⚠ Falta monto",IF(Q3607="","⚠ Falta cuenta",IF(ISNA(MATCH(Q3607,ctaNombre,0)),"⚠ Cuenta no registrada",IF(AND(OR(P3607="Gasto",P3607="Reembolso"),D3607=""),"⚠ Falta categoría",IF(AND(D3607&lt;&gt;"",E3607&lt;&gt;"",ISNA(MATCH(D3607&amp;"|"&amp;E3607,catClave,0))),"⚠ Subcategoría no corresponde",IF(AND(OR(P3607="Transferencia",P3607="Pago tarjeta"),K3607=""),"⚠ Falta cuenta destino",IF(AND(K3607&lt;&gt;"",P3607&lt;&gt;"Transferencia",P3607&lt;&gt;"Pago tarjeta"),"⚠ Destino solo aplica a transferencias",IF(AND(K3607&lt;&gt;"",K3607=Q3607),"⚠ Origen igual a destino",IF(AND(K3607&lt;&gt;"",ISNA(MATCH(K3607,ctaNombre,0))),"⚠ Destino no registrado",IF(AND(P3607="Pago tarjeta",AE3607&lt;&gt;"Tarjeta de crédito"),"⚠ El destino debe ser tarjeta de crédito",IF(AND(P3607="Gasto",E3607="Depósitos y retiros"),"⚠ Usa tipo Transferencia",IF(AND(P3607="Resultado trading",AD3607&lt;&gt;"Cuenta de trading"),"⚠ Usa una cuenta de trading",IF(AND(G3607&lt;=0,P3607&lt;&gt;"Ajuste",P3607&lt;&gt;"Resultado trading"),"⚠ El monto debe ser positivo","✓")))))))))))))))</f>
        <v/>
      </c>
      <c r="P3607" s="52">
        <f>IF(OR(B3607="",G3607=""),"",IF(C3607="","Gasto",C3607))</f>
        <v/>
      </c>
      <c r="Q3607" s="52">
        <f>IF(P3607="","",IF(J3607&lt;&gt;"",J3607,CuentaPred&amp;""))</f>
        <v/>
      </c>
      <c r="R3607" s="52">
        <f>IF(P3607="","",IF(ISNUMBER(I3607),I3607,TasaUSD))</f>
        <v/>
      </c>
      <c r="S3607" s="53">
        <f>IF(P3607="","",IF(H3607="USD",G3607*R3607,G3607))</f>
        <v/>
      </c>
      <c r="T3607" s="53">
        <f>IF(P3607="","",IF(H3607="USD",G3607,IF(R3607&gt;0,G3607/R3607,0)))</f>
        <v/>
      </c>
      <c r="U3607" s="53">
        <f>IF(P3607="","",IF(P3607="Gasto",S3607,IF(P3607="Reembolso",-S3607,0)))</f>
        <v/>
      </c>
      <c r="V3607" s="53">
        <f>IF(P3607="","",IF(P3607="Ingreso",S3607,0))</f>
        <v/>
      </c>
      <c r="W3607" s="53">
        <f>IF(P3607="","",IF(P3607="Resultado trading",S3607,0))</f>
        <v/>
      </c>
      <c r="X3607" s="52">
        <f>IF(OR(P3607="Gasto",P3607="Reembolso"),IF(M3607&lt;&gt;"",M3607,IFERROR(INDEX(catClasif,MATCH(D3607&amp;"|"&amp;E3607,catClave,0))&amp;"","Variable")),"")</f>
        <v/>
      </c>
      <c r="Y3607" s="52">
        <f>IF(P3607="","",IFERROR(INDEX(catGrupo,MATCH(D3607&amp;"|"&amp;E3607,catClave,0))&amp;"",""))</f>
        <v/>
      </c>
      <c r="Z3607" s="52">
        <f>IF(P3607="","",WEEKDAY(B3607,2))</f>
        <v/>
      </c>
      <c r="AA3607" s="52">
        <f>IF(P3607="","",IF(AND(P3607="Gasto",X3607="Variable",D3607&lt;&gt;catTrading,S3607&gt;0,S3607&lt;=Umbral),1,0))</f>
        <v/>
      </c>
      <c r="AB3607" s="52">
        <f>IF(OR(P3607="",Q3607=""),"",IFERROR(IF(INDEX(ctaVinc,MATCH(Q3607,ctaNombre,0))&amp;""&lt;&gt;"",INDEX(ctaVinc,MATCH(Q3607,ctaNombre,0))&amp;"",Q3607),Q3607))</f>
        <v/>
      </c>
      <c r="AC3607" s="52">
        <f>IF(OR(K3607="",AND(P3607&lt;&gt;"Transferencia",P3607&lt;&gt;"Pago tarjeta")),"",IFERROR(IF(INDEX(ctaVinc,MATCH(K3607,ctaNombre,0))&amp;""&lt;&gt;"",INDEX(ctaVinc,MATCH(K3607,ctaNombre,0))&amp;"",K3607),K3607))</f>
        <v/>
      </c>
      <c r="AD3607" s="52">
        <f>IF(AB3607="","",IFERROR(INDEX(ctaTipo,MATCH(AB3607,ctaNombre,0))&amp;"",""))</f>
        <v/>
      </c>
      <c r="AE3607" s="52">
        <f>IF(AC3607="","",IFERROR(INDEX(ctaTipo,MATCH(AC3607,ctaNombre,0))&amp;"",""))</f>
        <v/>
      </c>
      <c r="AF3607" s="53">
        <f>IF(OR(P3607="",AB3607=""),"",IF(OR(P3607="Gasto",P3607="Transferencia",P3607="Pago tarjeta"),-1,1)*IF(IFERROR(INDEX(ctaMoneda,MATCH(AB3607,ctaNombre,0))&amp;"","DOP")="USD",T3607,S3607))</f>
        <v/>
      </c>
      <c r="AG3607" s="53">
        <f>IF(AC3607="","",IF(IFERROR(INDEX(ctaMoneda,MATCH(AC3607,ctaNombre,0))&amp;"","DOP")="USD",T3607,S3607))</f>
        <v/>
      </c>
      <c r="AH3607" s="53">
        <f>IF(P3607="","",IF(AND(AD3607&lt;&gt;"",COUNTIFS(tcTipo,AD3607,tcLiq,"Sí")&gt;0),IF(OR(P3607="Gasto",P3607="Transferencia",P3607="Pago tarjeta"),-1,1)*S3607,0)+IF(AND(AE3607&lt;&gt;"",COUNTIFS(tcTipo,AE3607,tcLiq,"Sí")&gt;0),S3607,0))</f>
        <v/>
      </c>
      <c r="AI3607" s="52">
        <f>IF(OR(L3607="",P3607=""),"",IF(COUNTIFS(L$6:L3607,L3607,P$6:P3607,"?*")=1,MAX(AI$5:AI3606)+1,""))</f>
        <v/>
      </c>
    </row>
    <row r="3608">
      <c r="B3608" s="47" t="n"/>
      <c r="C3608" s="48" t="n"/>
      <c r="D3608" s="48" t="n"/>
      <c r="E3608" s="48" t="n"/>
      <c r="F3608" s="48" t="n"/>
      <c r="G3608" s="49" t="n"/>
      <c r="H3608" s="48" t="n"/>
      <c r="I3608" s="50" t="n"/>
      <c r="J3608" s="48" t="n"/>
      <c r="K3608" s="48" t="n"/>
      <c r="L3608" s="48" t="n"/>
      <c r="M3608" s="48" t="n"/>
      <c r="N3608" s="48" t="n"/>
      <c r="O3608" s="51">
        <f>IF(AND(B3608="",G3608="",C3608="",D3608="",J3608=""),"",IF(B3608="","⚠ Falta fecha",IF(G3608="","⚠ Falta monto",IF(Q3608="","⚠ Falta cuenta",IF(ISNA(MATCH(Q3608,ctaNombre,0)),"⚠ Cuenta no registrada",IF(AND(OR(P3608="Gasto",P3608="Reembolso"),D3608=""),"⚠ Falta categoría",IF(AND(D3608&lt;&gt;"",E3608&lt;&gt;"",ISNA(MATCH(D3608&amp;"|"&amp;E3608,catClave,0))),"⚠ Subcategoría no corresponde",IF(AND(OR(P3608="Transferencia",P3608="Pago tarjeta"),K3608=""),"⚠ Falta cuenta destino",IF(AND(K3608&lt;&gt;"",P3608&lt;&gt;"Transferencia",P3608&lt;&gt;"Pago tarjeta"),"⚠ Destino solo aplica a transferencias",IF(AND(K3608&lt;&gt;"",K3608=Q3608),"⚠ Origen igual a destino",IF(AND(K3608&lt;&gt;"",ISNA(MATCH(K3608,ctaNombre,0))),"⚠ Destino no registrado",IF(AND(P3608="Pago tarjeta",AE3608&lt;&gt;"Tarjeta de crédito"),"⚠ El destino debe ser tarjeta de crédito",IF(AND(P3608="Gasto",E3608="Depósitos y retiros"),"⚠ Usa tipo Transferencia",IF(AND(P3608="Resultado trading",AD3608&lt;&gt;"Cuenta de trading"),"⚠ Usa una cuenta de trading",IF(AND(G3608&lt;=0,P3608&lt;&gt;"Ajuste",P3608&lt;&gt;"Resultado trading"),"⚠ El monto debe ser positivo","✓")))))))))))))))</f>
        <v/>
      </c>
      <c r="P3608" s="52">
        <f>IF(OR(B3608="",G3608=""),"",IF(C3608="","Gasto",C3608))</f>
        <v/>
      </c>
      <c r="Q3608" s="52">
        <f>IF(P3608="","",IF(J3608&lt;&gt;"",J3608,CuentaPred&amp;""))</f>
        <v/>
      </c>
      <c r="R3608" s="52">
        <f>IF(P3608="","",IF(ISNUMBER(I3608),I3608,TasaUSD))</f>
        <v/>
      </c>
      <c r="S3608" s="53">
        <f>IF(P3608="","",IF(H3608="USD",G3608*R3608,G3608))</f>
        <v/>
      </c>
      <c r="T3608" s="53">
        <f>IF(P3608="","",IF(H3608="USD",G3608,IF(R3608&gt;0,G3608/R3608,0)))</f>
        <v/>
      </c>
      <c r="U3608" s="53">
        <f>IF(P3608="","",IF(P3608="Gasto",S3608,IF(P3608="Reembolso",-S3608,0)))</f>
        <v/>
      </c>
      <c r="V3608" s="53">
        <f>IF(P3608="","",IF(P3608="Ingreso",S3608,0))</f>
        <v/>
      </c>
      <c r="W3608" s="53">
        <f>IF(P3608="","",IF(P3608="Resultado trading",S3608,0))</f>
        <v/>
      </c>
      <c r="X3608" s="52">
        <f>IF(OR(P3608="Gasto",P3608="Reembolso"),IF(M3608&lt;&gt;"",M3608,IFERROR(INDEX(catClasif,MATCH(D3608&amp;"|"&amp;E3608,catClave,0))&amp;"","Variable")),"")</f>
        <v/>
      </c>
      <c r="Y3608" s="52">
        <f>IF(P3608="","",IFERROR(INDEX(catGrupo,MATCH(D3608&amp;"|"&amp;E3608,catClave,0))&amp;"",""))</f>
        <v/>
      </c>
      <c r="Z3608" s="52">
        <f>IF(P3608="","",WEEKDAY(B3608,2))</f>
        <v/>
      </c>
      <c r="AA3608" s="52">
        <f>IF(P3608="","",IF(AND(P3608="Gasto",X3608="Variable",D3608&lt;&gt;catTrading,S3608&gt;0,S3608&lt;=Umbral),1,0))</f>
        <v/>
      </c>
      <c r="AB3608" s="52">
        <f>IF(OR(P3608="",Q3608=""),"",IFERROR(IF(INDEX(ctaVinc,MATCH(Q3608,ctaNombre,0))&amp;""&lt;&gt;"",INDEX(ctaVinc,MATCH(Q3608,ctaNombre,0))&amp;"",Q3608),Q3608))</f>
        <v/>
      </c>
      <c r="AC3608" s="52">
        <f>IF(OR(K3608="",AND(P3608&lt;&gt;"Transferencia",P3608&lt;&gt;"Pago tarjeta")),"",IFERROR(IF(INDEX(ctaVinc,MATCH(K3608,ctaNombre,0))&amp;""&lt;&gt;"",INDEX(ctaVinc,MATCH(K3608,ctaNombre,0))&amp;"",K3608),K3608))</f>
        <v/>
      </c>
      <c r="AD3608" s="52">
        <f>IF(AB3608="","",IFERROR(INDEX(ctaTipo,MATCH(AB3608,ctaNombre,0))&amp;"",""))</f>
        <v/>
      </c>
      <c r="AE3608" s="52">
        <f>IF(AC3608="","",IFERROR(INDEX(ctaTipo,MATCH(AC3608,ctaNombre,0))&amp;"",""))</f>
        <v/>
      </c>
      <c r="AF3608" s="53">
        <f>IF(OR(P3608="",AB3608=""),"",IF(OR(P3608="Gasto",P3608="Transferencia",P3608="Pago tarjeta"),-1,1)*IF(IFERROR(INDEX(ctaMoneda,MATCH(AB3608,ctaNombre,0))&amp;"","DOP")="USD",T3608,S3608))</f>
        <v/>
      </c>
      <c r="AG3608" s="53">
        <f>IF(AC3608="","",IF(IFERROR(INDEX(ctaMoneda,MATCH(AC3608,ctaNombre,0))&amp;"","DOP")="USD",T3608,S3608))</f>
        <v/>
      </c>
      <c r="AH3608" s="53">
        <f>IF(P3608="","",IF(AND(AD3608&lt;&gt;"",COUNTIFS(tcTipo,AD3608,tcLiq,"Sí")&gt;0),IF(OR(P3608="Gasto",P3608="Transferencia",P3608="Pago tarjeta"),-1,1)*S3608,0)+IF(AND(AE3608&lt;&gt;"",COUNTIFS(tcTipo,AE3608,tcLiq,"Sí")&gt;0),S3608,0))</f>
        <v/>
      </c>
      <c r="AI3608" s="52">
        <f>IF(OR(L3608="",P3608=""),"",IF(COUNTIFS(L$6:L3608,L3608,P$6:P3608,"?*")=1,MAX(AI$5:AI3607)+1,""))</f>
        <v/>
      </c>
    </row>
    <row r="3609">
      <c r="B3609" s="47" t="n"/>
      <c r="C3609" s="48" t="n"/>
      <c r="D3609" s="48" t="n"/>
      <c r="E3609" s="48" t="n"/>
      <c r="F3609" s="48" t="n"/>
      <c r="G3609" s="49" t="n"/>
      <c r="H3609" s="48" t="n"/>
      <c r="I3609" s="50" t="n"/>
      <c r="J3609" s="48" t="n"/>
      <c r="K3609" s="48" t="n"/>
      <c r="L3609" s="48" t="n"/>
      <c r="M3609" s="48" t="n"/>
      <c r="N3609" s="48" t="n"/>
      <c r="O3609" s="51">
        <f>IF(AND(B3609="",G3609="",C3609="",D3609="",J3609=""),"",IF(B3609="","⚠ Falta fecha",IF(G3609="","⚠ Falta monto",IF(Q3609="","⚠ Falta cuenta",IF(ISNA(MATCH(Q3609,ctaNombre,0)),"⚠ Cuenta no registrada",IF(AND(OR(P3609="Gasto",P3609="Reembolso"),D3609=""),"⚠ Falta categoría",IF(AND(D3609&lt;&gt;"",E3609&lt;&gt;"",ISNA(MATCH(D3609&amp;"|"&amp;E3609,catClave,0))),"⚠ Subcategoría no corresponde",IF(AND(OR(P3609="Transferencia",P3609="Pago tarjeta"),K3609=""),"⚠ Falta cuenta destino",IF(AND(K3609&lt;&gt;"",P3609&lt;&gt;"Transferencia",P3609&lt;&gt;"Pago tarjeta"),"⚠ Destino solo aplica a transferencias",IF(AND(K3609&lt;&gt;"",K3609=Q3609),"⚠ Origen igual a destino",IF(AND(K3609&lt;&gt;"",ISNA(MATCH(K3609,ctaNombre,0))),"⚠ Destino no registrado",IF(AND(P3609="Pago tarjeta",AE3609&lt;&gt;"Tarjeta de crédito"),"⚠ El destino debe ser tarjeta de crédito",IF(AND(P3609="Gasto",E3609="Depósitos y retiros"),"⚠ Usa tipo Transferencia",IF(AND(P3609="Resultado trading",AD3609&lt;&gt;"Cuenta de trading"),"⚠ Usa una cuenta de trading",IF(AND(G3609&lt;=0,P3609&lt;&gt;"Ajuste",P3609&lt;&gt;"Resultado trading"),"⚠ El monto debe ser positivo","✓")))))))))))))))</f>
        <v/>
      </c>
      <c r="P3609" s="52">
        <f>IF(OR(B3609="",G3609=""),"",IF(C3609="","Gasto",C3609))</f>
        <v/>
      </c>
      <c r="Q3609" s="52">
        <f>IF(P3609="","",IF(J3609&lt;&gt;"",J3609,CuentaPred&amp;""))</f>
        <v/>
      </c>
      <c r="R3609" s="52">
        <f>IF(P3609="","",IF(ISNUMBER(I3609),I3609,TasaUSD))</f>
        <v/>
      </c>
      <c r="S3609" s="53">
        <f>IF(P3609="","",IF(H3609="USD",G3609*R3609,G3609))</f>
        <v/>
      </c>
      <c r="T3609" s="53">
        <f>IF(P3609="","",IF(H3609="USD",G3609,IF(R3609&gt;0,G3609/R3609,0)))</f>
        <v/>
      </c>
      <c r="U3609" s="53">
        <f>IF(P3609="","",IF(P3609="Gasto",S3609,IF(P3609="Reembolso",-S3609,0)))</f>
        <v/>
      </c>
      <c r="V3609" s="53">
        <f>IF(P3609="","",IF(P3609="Ingreso",S3609,0))</f>
        <v/>
      </c>
      <c r="W3609" s="53">
        <f>IF(P3609="","",IF(P3609="Resultado trading",S3609,0))</f>
        <v/>
      </c>
      <c r="X3609" s="52">
        <f>IF(OR(P3609="Gasto",P3609="Reembolso"),IF(M3609&lt;&gt;"",M3609,IFERROR(INDEX(catClasif,MATCH(D3609&amp;"|"&amp;E3609,catClave,0))&amp;"","Variable")),"")</f>
        <v/>
      </c>
      <c r="Y3609" s="52">
        <f>IF(P3609="","",IFERROR(INDEX(catGrupo,MATCH(D3609&amp;"|"&amp;E3609,catClave,0))&amp;"",""))</f>
        <v/>
      </c>
      <c r="Z3609" s="52">
        <f>IF(P3609="","",WEEKDAY(B3609,2))</f>
        <v/>
      </c>
      <c r="AA3609" s="52">
        <f>IF(P3609="","",IF(AND(P3609="Gasto",X3609="Variable",D3609&lt;&gt;catTrading,S3609&gt;0,S3609&lt;=Umbral),1,0))</f>
        <v/>
      </c>
      <c r="AB3609" s="52">
        <f>IF(OR(P3609="",Q3609=""),"",IFERROR(IF(INDEX(ctaVinc,MATCH(Q3609,ctaNombre,0))&amp;""&lt;&gt;"",INDEX(ctaVinc,MATCH(Q3609,ctaNombre,0))&amp;"",Q3609),Q3609))</f>
        <v/>
      </c>
      <c r="AC3609" s="52">
        <f>IF(OR(K3609="",AND(P3609&lt;&gt;"Transferencia",P3609&lt;&gt;"Pago tarjeta")),"",IFERROR(IF(INDEX(ctaVinc,MATCH(K3609,ctaNombre,0))&amp;""&lt;&gt;"",INDEX(ctaVinc,MATCH(K3609,ctaNombre,0))&amp;"",K3609),K3609))</f>
        <v/>
      </c>
      <c r="AD3609" s="52">
        <f>IF(AB3609="","",IFERROR(INDEX(ctaTipo,MATCH(AB3609,ctaNombre,0))&amp;"",""))</f>
        <v/>
      </c>
      <c r="AE3609" s="52">
        <f>IF(AC3609="","",IFERROR(INDEX(ctaTipo,MATCH(AC3609,ctaNombre,0))&amp;"",""))</f>
        <v/>
      </c>
      <c r="AF3609" s="53">
        <f>IF(OR(P3609="",AB3609=""),"",IF(OR(P3609="Gasto",P3609="Transferencia",P3609="Pago tarjeta"),-1,1)*IF(IFERROR(INDEX(ctaMoneda,MATCH(AB3609,ctaNombre,0))&amp;"","DOP")="USD",T3609,S3609))</f>
        <v/>
      </c>
      <c r="AG3609" s="53">
        <f>IF(AC3609="","",IF(IFERROR(INDEX(ctaMoneda,MATCH(AC3609,ctaNombre,0))&amp;"","DOP")="USD",T3609,S3609))</f>
        <v/>
      </c>
      <c r="AH3609" s="53">
        <f>IF(P3609="","",IF(AND(AD3609&lt;&gt;"",COUNTIFS(tcTipo,AD3609,tcLiq,"Sí")&gt;0),IF(OR(P3609="Gasto",P3609="Transferencia",P3609="Pago tarjeta"),-1,1)*S3609,0)+IF(AND(AE3609&lt;&gt;"",COUNTIFS(tcTipo,AE3609,tcLiq,"Sí")&gt;0),S3609,0))</f>
        <v/>
      </c>
      <c r="AI3609" s="52">
        <f>IF(OR(L3609="",P3609=""),"",IF(COUNTIFS(L$6:L3609,L3609,P$6:P3609,"?*")=1,MAX(AI$5:AI3608)+1,""))</f>
        <v/>
      </c>
    </row>
    <row r="3610">
      <c r="B3610" s="47" t="n"/>
      <c r="C3610" s="48" t="n"/>
      <c r="D3610" s="48" t="n"/>
      <c r="E3610" s="48" t="n"/>
      <c r="F3610" s="48" t="n"/>
      <c r="G3610" s="49" t="n"/>
      <c r="H3610" s="48" t="n"/>
      <c r="I3610" s="50" t="n"/>
      <c r="J3610" s="48" t="n"/>
      <c r="K3610" s="48" t="n"/>
      <c r="L3610" s="48" t="n"/>
      <c r="M3610" s="48" t="n"/>
      <c r="N3610" s="48" t="n"/>
      <c r="O3610" s="51">
        <f>IF(AND(B3610="",G3610="",C3610="",D3610="",J3610=""),"",IF(B3610="","⚠ Falta fecha",IF(G3610="","⚠ Falta monto",IF(Q3610="","⚠ Falta cuenta",IF(ISNA(MATCH(Q3610,ctaNombre,0)),"⚠ Cuenta no registrada",IF(AND(OR(P3610="Gasto",P3610="Reembolso"),D3610=""),"⚠ Falta categoría",IF(AND(D3610&lt;&gt;"",E3610&lt;&gt;"",ISNA(MATCH(D3610&amp;"|"&amp;E3610,catClave,0))),"⚠ Subcategoría no corresponde",IF(AND(OR(P3610="Transferencia",P3610="Pago tarjeta"),K3610=""),"⚠ Falta cuenta destino",IF(AND(K3610&lt;&gt;"",P3610&lt;&gt;"Transferencia",P3610&lt;&gt;"Pago tarjeta"),"⚠ Destino solo aplica a transferencias",IF(AND(K3610&lt;&gt;"",K3610=Q3610),"⚠ Origen igual a destino",IF(AND(K3610&lt;&gt;"",ISNA(MATCH(K3610,ctaNombre,0))),"⚠ Destino no registrado",IF(AND(P3610="Pago tarjeta",AE3610&lt;&gt;"Tarjeta de crédito"),"⚠ El destino debe ser tarjeta de crédito",IF(AND(P3610="Gasto",E3610="Depósitos y retiros"),"⚠ Usa tipo Transferencia",IF(AND(P3610="Resultado trading",AD3610&lt;&gt;"Cuenta de trading"),"⚠ Usa una cuenta de trading",IF(AND(G3610&lt;=0,P3610&lt;&gt;"Ajuste",P3610&lt;&gt;"Resultado trading"),"⚠ El monto debe ser positivo","✓")))))))))))))))</f>
        <v/>
      </c>
      <c r="P3610" s="52">
        <f>IF(OR(B3610="",G3610=""),"",IF(C3610="","Gasto",C3610))</f>
        <v/>
      </c>
      <c r="Q3610" s="52">
        <f>IF(P3610="","",IF(J3610&lt;&gt;"",J3610,CuentaPred&amp;""))</f>
        <v/>
      </c>
      <c r="R3610" s="52">
        <f>IF(P3610="","",IF(ISNUMBER(I3610),I3610,TasaUSD))</f>
        <v/>
      </c>
      <c r="S3610" s="53">
        <f>IF(P3610="","",IF(H3610="USD",G3610*R3610,G3610))</f>
        <v/>
      </c>
      <c r="T3610" s="53">
        <f>IF(P3610="","",IF(H3610="USD",G3610,IF(R3610&gt;0,G3610/R3610,0)))</f>
        <v/>
      </c>
      <c r="U3610" s="53">
        <f>IF(P3610="","",IF(P3610="Gasto",S3610,IF(P3610="Reembolso",-S3610,0)))</f>
        <v/>
      </c>
      <c r="V3610" s="53">
        <f>IF(P3610="","",IF(P3610="Ingreso",S3610,0))</f>
        <v/>
      </c>
      <c r="W3610" s="53">
        <f>IF(P3610="","",IF(P3610="Resultado trading",S3610,0))</f>
        <v/>
      </c>
      <c r="X3610" s="52">
        <f>IF(OR(P3610="Gasto",P3610="Reembolso"),IF(M3610&lt;&gt;"",M3610,IFERROR(INDEX(catClasif,MATCH(D3610&amp;"|"&amp;E3610,catClave,0))&amp;"","Variable")),"")</f>
        <v/>
      </c>
      <c r="Y3610" s="52">
        <f>IF(P3610="","",IFERROR(INDEX(catGrupo,MATCH(D3610&amp;"|"&amp;E3610,catClave,0))&amp;"",""))</f>
        <v/>
      </c>
      <c r="Z3610" s="52">
        <f>IF(P3610="","",WEEKDAY(B3610,2))</f>
        <v/>
      </c>
      <c r="AA3610" s="52">
        <f>IF(P3610="","",IF(AND(P3610="Gasto",X3610="Variable",D3610&lt;&gt;catTrading,S3610&gt;0,S3610&lt;=Umbral),1,0))</f>
        <v/>
      </c>
      <c r="AB3610" s="52">
        <f>IF(OR(P3610="",Q3610=""),"",IFERROR(IF(INDEX(ctaVinc,MATCH(Q3610,ctaNombre,0))&amp;""&lt;&gt;"",INDEX(ctaVinc,MATCH(Q3610,ctaNombre,0))&amp;"",Q3610),Q3610))</f>
        <v/>
      </c>
      <c r="AC3610" s="52">
        <f>IF(OR(K3610="",AND(P3610&lt;&gt;"Transferencia",P3610&lt;&gt;"Pago tarjeta")),"",IFERROR(IF(INDEX(ctaVinc,MATCH(K3610,ctaNombre,0))&amp;""&lt;&gt;"",INDEX(ctaVinc,MATCH(K3610,ctaNombre,0))&amp;"",K3610),K3610))</f>
        <v/>
      </c>
      <c r="AD3610" s="52">
        <f>IF(AB3610="","",IFERROR(INDEX(ctaTipo,MATCH(AB3610,ctaNombre,0))&amp;"",""))</f>
        <v/>
      </c>
      <c r="AE3610" s="52">
        <f>IF(AC3610="","",IFERROR(INDEX(ctaTipo,MATCH(AC3610,ctaNombre,0))&amp;"",""))</f>
        <v/>
      </c>
      <c r="AF3610" s="53">
        <f>IF(OR(P3610="",AB3610=""),"",IF(OR(P3610="Gasto",P3610="Transferencia",P3610="Pago tarjeta"),-1,1)*IF(IFERROR(INDEX(ctaMoneda,MATCH(AB3610,ctaNombre,0))&amp;"","DOP")="USD",T3610,S3610))</f>
        <v/>
      </c>
      <c r="AG3610" s="53">
        <f>IF(AC3610="","",IF(IFERROR(INDEX(ctaMoneda,MATCH(AC3610,ctaNombre,0))&amp;"","DOP")="USD",T3610,S3610))</f>
        <v/>
      </c>
      <c r="AH3610" s="53">
        <f>IF(P3610="","",IF(AND(AD3610&lt;&gt;"",COUNTIFS(tcTipo,AD3610,tcLiq,"Sí")&gt;0),IF(OR(P3610="Gasto",P3610="Transferencia",P3610="Pago tarjeta"),-1,1)*S3610,0)+IF(AND(AE3610&lt;&gt;"",COUNTIFS(tcTipo,AE3610,tcLiq,"Sí")&gt;0),S3610,0))</f>
        <v/>
      </c>
      <c r="AI3610" s="52">
        <f>IF(OR(L3610="",P3610=""),"",IF(COUNTIFS(L$6:L3610,L3610,P$6:P3610,"?*")=1,MAX(AI$5:AI3609)+1,""))</f>
        <v/>
      </c>
    </row>
    <row r="3611">
      <c r="B3611" s="47" t="n"/>
      <c r="C3611" s="48" t="n"/>
      <c r="D3611" s="48" t="n"/>
      <c r="E3611" s="48" t="n"/>
      <c r="F3611" s="48" t="n"/>
      <c r="G3611" s="49" t="n"/>
      <c r="H3611" s="48" t="n"/>
      <c r="I3611" s="50" t="n"/>
      <c r="J3611" s="48" t="n"/>
      <c r="K3611" s="48" t="n"/>
      <c r="L3611" s="48" t="n"/>
      <c r="M3611" s="48" t="n"/>
      <c r="N3611" s="48" t="n"/>
      <c r="O3611" s="51">
        <f>IF(AND(B3611="",G3611="",C3611="",D3611="",J3611=""),"",IF(B3611="","⚠ Falta fecha",IF(G3611="","⚠ Falta monto",IF(Q3611="","⚠ Falta cuenta",IF(ISNA(MATCH(Q3611,ctaNombre,0)),"⚠ Cuenta no registrada",IF(AND(OR(P3611="Gasto",P3611="Reembolso"),D3611=""),"⚠ Falta categoría",IF(AND(D3611&lt;&gt;"",E3611&lt;&gt;"",ISNA(MATCH(D3611&amp;"|"&amp;E3611,catClave,0))),"⚠ Subcategoría no corresponde",IF(AND(OR(P3611="Transferencia",P3611="Pago tarjeta"),K3611=""),"⚠ Falta cuenta destino",IF(AND(K3611&lt;&gt;"",P3611&lt;&gt;"Transferencia",P3611&lt;&gt;"Pago tarjeta"),"⚠ Destino solo aplica a transferencias",IF(AND(K3611&lt;&gt;"",K3611=Q3611),"⚠ Origen igual a destino",IF(AND(K3611&lt;&gt;"",ISNA(MATCH(K3611,ctaNombre,0))),"⚠ Destino no registrado",IF(AND(P3611="Pago tarjeta",AE3611&lt;&gt;"Tarjeta de crédito"),"⚠ El destino debe ser tarjeta de crédito",IF(AND(P3611="Gasto",E3611="Depósitos y retiros"),"⚠ Usa tipo Transferencia",IF(AND(P3611="Resultado trading",AD3611&lt;&gt;"Cuenta de trading"),"⚠ Usa una cuenta de trading",IF(AND(G3611&lt;=0,P3611&lt;&gt;"Ajuste",P3611&lt;&gt;"Resultado trading"),"⚠ El monto debe ser positivo","✓")))))))))))))))</f>
        <v/>
      </c>
      <c r="P3611" s="52">
        <f>IF(OR(B3611="",G3611=""),"",IF(C3611="","Gasto",C3611))</f>
        <v/>
      </c>
      <c r="Q3611" s="52">
        <f>IF(P3611="","",IF(J3611&lt;&gt;"",J3611,CuentaPred&amp;""))</f>
        <v/>
      </c>
      <c r="R3611" s="52">
        <f>IF(P3611="","",IF(ISNUMBER(I3611),I3611,TasaUSD))</f>
        <v/>
      </c>
      <c r="S3611" s="53">
        <f>IF(P3611="","",IF(H3611="USD",G3611*R3611,G3611))</f>
        <v/>
      </c>
      <c r="T3611" s="53">
        <f>IF(P3611="","",IF(H3611="USD",G3611,IF(R3611&gt;0,G3611/R3611,0)))</f>
        <v/>
      </c>
      <c r="U3611" s="53">
        <f>IF(P3611="","",IF(P3611="Gasto",S3611,IF(P3611="Reembolso",-S3611,0)))</f>
        <v/>
      </c>
      <c r="V3611" s="53">
        <f>IF(P3611="","",IF(P3611="Ingreso",S3611,0))</f>
        <v/>
      </c>
      <c r="W3611" s="53">
        <f>IF(P3611="","",IF(P3611="Resultado trading",S3611,0))</f>
        <v/>
      </c>
      <c r="X3611" s="52">
        <f>IF(OR(P3611="Gasto",P3611="Reembolso"),IF(M3611&lt;&gt;"",M3611,IFERROR(INDEX(catClasif,MATCH(D3611&amp;"|"&amp;E3611,catClave,0))&amp;"","Variable")),"")</f>
        <v/>
      </c>
      <c r="Y3611" s="52">
        <f>IF(P3611="","",IFERROR(INDEX(catGrupo,MATCH(D3611&amp;"|"&amp;E3611,catClave,0))&amp;"",""))</f>
        <v/>
      </c>
      <c r="Z3611" s="52">
        <f>IF(P3611="","",WEEKDAY(B3611,2))</f>
        <v/>
      </c>
      <c r="AA3611" s="52">
        <f>IF(P3611="","",IF(AND(P3611="Gasto",X3611="Variable",D3611&lt;&gt;catTrading,S3611&gt;0,S3611&lt;=Umbral),1,0))</f>
        <v/>
      </c>
      <c r="AB3611" s="52">
        <f>IF(OR(P3611="",Q3611=""),"",IFERROR(IF(INDEX(ctaVinc,MATCH(Q3611,ctaNombre,0))&amp;""&lt;&gt;"",INDEX(ctaVinc,MATCH(Q3611,ctaNombre,0))&amp;"",Q3611),Q3611))</f>
        <v/>
      </c>
      <c r="AC3611" s="52">
        <f>IF(OR(K3611="",AND(P3611&lt;&gt;"Transferencia",P3611&lt;&gt;"Pago tarjeta")),"",IFERROR(IF(INDEX(ctaVinc,MATCH(K3611,ctaNombre,0))&amp;""&lt;&gt;"",INDEX(ctaVinc,MATCH(K3611,ctaNombre,0))&amp;"",K3611),K3611))</f>
        <v/>
      </c>
      <c r="AD3611" s="52">
        <f>IF(AB3611="","",IFERROR(INDEX(ctaTipo,MATCH(AB3611,ctaNombre,0))&amp;"",""))</f>
        <v/>
      </c>
      <c r="AE3611" s="52">
        <f>IF(AC3611="","",IFERROR(INDEX(ctaTipo,MATCH(AC3611,ctaNombre,0))&amp;"",""))</f>
        <v/>
      </c>
      <c r="AF3611" s="53">
        <f>IF(OR(P3611="",AB3611=""),"",IF(OR(P3611="Gasto",P3611="Transferencia",P3611="Pago tarjeta"),-1,1)*IF(IFERROR(INDEX(ctaMoneda,MATCH(AB3611,ctaNombre,0))&amp;"","DOP")="USD",T3611,S3611))</f>
        <v/>
      </c>
      <c r="AG3611" s="53">
        <f>IF(AC3611="","",IF(IFERROR(INDEX(ctaMoneda,MATCH(AC3611,ctaNombre,0))&amp;"","DOP")="USD",T3611,S3611))</f>
        <v/>
      </c>
      <c r="AH3611" s="53">
        <f>IF(P3611="","",IF(AND(AD3611&lt;&gt;"",COUNTIFS(tcTipo,AD3611,tcLiq,"Sí")&gt;0),IF(OR(P3611="Gasto",P3611="Transferencia",P3611="Pago tarjeta"),-1,1)*S3611,0)+IF(AND(AE3611&lt;&gt;"",COUNTIFS(tcTipo,AE3611,tcLiq,"Sí")&gt;0),S3611,0))</f>
        <v/>
      </c>
      <c r="AI3611" s="52">
        <f>IF(OR(L3611="",P3611=""),"",IF(COUNTIFS(L$6:L3611,L3611,P$6:P3611,"?*")=1,MAX(AI$5:AI3610)+1,""))</f>
        <v/>
      </c>
    </row>
    <row r="3612">
      <c r="B3612" s="47" t="n"/>
      <c r="C3612" s="48" t="n"/>
      <c r="D3612" s="48" t="n"/>
      <c r="E3612" s="48" t="n"/>
      <c r="F3612" s="48" t="n"/>
      <c r="G3612" s="49" t="n"/>
      <c r="H3612" s="48" t="n"/>
      <c r="I3612" s="50" t="n"/>
      <c r="J3612" s="48" t="n"/>
      <c r="K3612" s="48" t="n"/>
      <c r="L3612" s="48" t="n"/>
      <c r="M3612" s="48" t="n"/>
      <c r="N3612" s="48" t="n"/>
      <c r="O3612" s="51">
        <f>IF(AND(B3612="",G3612="",C3612="",D3612="",J3612=""),"",IF(B3612="","⚠ Falta fecha",IF(G3612="","⚠ Falta monto",IF(Q3612="","⚠ Falta cuenta",IF(ISNA(MATCH(Q3612,ctaNombre,0)),"⚠ Cuenta no registrada",IF(AND(OR(P3612="Gasto",P3612="Reembolso"),D3612=""),"⚠ Falta categoría",IF(AND(D3612&lt;&gt;"",E3612&lt;&gt;"",ISNA(MATCH(D3612&amp;"|"&amp;E3612,catClave,0))),"⚠ Subcategoría no corresponde",IF(AND(OR(P3612="Transferencia",P3612="Pago tarjeta"),K3612=""),"⚠ Falta cuenta destino",IF(AND(K3612&lt;&gt;"",P3612&lt;&gt;"Transferencia",P3612&lt;&gt;"Pago tarjeta"),"⚠ Destino solo aplica a transferencias",IF(AND(K3612&lt;&gt;"",K3612=Q3612),"⚠ Origen igual a destino",IF(AND(K3612&lt;&gt;"",ISNA(MATCH(K3612,ctaNombre,0))),"⚠ Destino no registrado",IF(AND(P3612="Pago tarjeta",AE3612&lt;&gt;"Tarjeta de crédito"),"⚠ El destino debe ser tarjeta de crédito",IF(AND(P3612="Gasto",E3612="Depósitos y retiros"),"⚠ Usa tipo Transferencia",IF(AND(P3612="Resultado trading",AD3612&lt;&gt;"Cuenta de trading"),"⚠ Usa una cuenta de trading",IF(AND(G3612&lt;=0,P3612&lt;&gt;"Ajuste",P3612&lt;&gt;"Resultado trading"),"⚠ El monto debe ser positivo","✓")))))))))))))))</f>
        <v/>
      </c>
      <c r="P3612" s="52">
        <f>IF(OR(B3612="",G3612=""),"",IF(C3612="","Gasto",C3612))</f>
        <v/>
      </c>
      <c r="Q3612" s="52">
        <f>IF(P3612="","",IF(J3612&lt;&gt;"",J3612,CuentaPred&amp;""))</f>
        <v/>
      </c>
      <c r="R3612" s="52">
        <f>IF(P3612="","",IF(ISNUMBER(I3612),I3612,TasaUSD))</f>
        <v/>
      </c>
      <c r="S3612" s="53">
        <f>IF(P3612="","",IF(H3612="USD",G3612*R3612,G3612))</f>
        <v/>
      </c>
      <c r="T3612" s="53">
        <f>IF(P3612="","",IF(H3612="USD",G3612,IF(R3612&gt;0,G3612/R3612,0)))</f>
        <v/>
      </c>
      <c r="U3612" s="53">
        <f>IF(P3612="","",IF(P3612="Gasto",S3612,IF(P3612="Reembolso",-S3612,0)))</f>
        <v/>
      </c>
      <c r="V3612" s="53">
        <f>IF(P3612="","",IF(P3612="Ingreso",S3612,0))</f>
        <v/>
      </c>
      <c r="W3612" s="53">
        <f>IF(P3612="","",IF(P3612="Resultado trading",S3612,0))</f>
        <v/>
      </c>
      <c r="X3612" s="52">
        <f>IF(OR(P3612="Gasto",P3612="Reembolso"),IF(M3612&lt;&gt;"",M3612,IFERROR(INDEX(catClasif,MATCH(D3612&amp;"|"&amp;E3612,catClave,0))&amp;"","Variable")),"")</f>
        <v/>
      </c>
      <c r="Y3612" s="52">
        <f>IF(P3612="","",IFERROR(INDEX(catGrupo,MATCH(D3612&amp;"|"&amp;E3612,catClave,0))&amp;"",""))</f>
        <v/>
      </c>
      <c r="Z3612" s="52">
        <f>IF(P3612="","",WEEKDAY(B3612,2))</f>
        <v/>
      </c>
      <c r="AA3612" s="52">
        <f>IF(P3612="","",IF(AND(P3612="Gasto",X3612="Variable",D3612&lt;&gt;catTrading,S3612&gt;0,S3612&lt;=Umbral),1,0))</f>
        <v/>
      </c>
      <c r="AB3612" s="52">
        <f>IF(OR(P3612="",Q3612=""),"",IFERROR(IF(INDEX(ctaVinc,MATCH(Q3612,ctaNombre,0))&amp;""&lt;&gt;"",INDEX(ctaVinc,MATCH(Q3612,ctaNombre,0))&amp;"",Q3612),Q3612))</f>
        <v/>
      </c>
      <c r="AC3612" s="52">
        <f>IF(OR(K3612="",AND(P3612&lt;&gt;"Transferencia",P3612&lt;&gt;"Pago tarjeta")),"",IFERROR(IF(INDEX(ctaVinc,MATCH(K3612,ctaNombre,0))&amp;""&lt;&gt;"",INDEX(ctaVinc,MATCH(K3612,ctaNombre,0))&amp;"",K3612),K3612))</f>
        <v/>
      </c>
      <c r="AD3612" s="52">
        <f>IF(AB3612="","",IFERROR(INDEX(ctaTipo,MATCH(AB3612,ctaNombre,0))&amp;"",""))</f>
        <v/>
      </c>
      <c r="AE3612" s="52">
        <f>IF(AC3612="","",IFERROR(INDEX(ctaTipo,MATCH(AC3612,ctaNombre,0))&amp;"",""))</f>
        <v/>
      </c>
      <c r="AF3612" s="53">
        <f>IF(OR(P3612="",AB3612=""),"",IF(OR(P3612="Gasto",P3612="Transferencia",P3612="Pago tarjeta"),-1,1)*IF(IFERROR(INDEX(ctaMoneda,MATCH(AB3612,ctaNombre,0))&amp;"","DOP")="USD",T3612,S3612))</f>
        <v/>
      </c>
      <c r="AG3612" s="53">
        <f>IF(AC3612="","",IF(IFERROR(INDEX(ctaMoneda,MATCH(AC3612,ctaNombre,0))&amp;"","DOP")="USD",T3612,S3612))</f>
        <v/>
      </c>
      <c r="AH3612" s="53">
        <f>IF(P3612="","",IF(AND(AD3612&lt;&gt;"",COUNTIFS(tcTipo,AD3612,tcLiq,"Sí")&gt;0),IF(OR(P3612="Gasto",P3612="Transferencia",P3612="Pago tarjeta"),-1,1)*S3612,0)+IF(AND(AE3612&lt;&gt;"",COUNTIFS(tcTipo,AE3612,tcLiq,"Sí")&gt;0),S3612,0))</f>
        <v/>
      </c>
      <c r="AI3612" s="52">
        <f>IF(OR(L3612="",P3612=""),"",IF(COUNTIFS(L$6:L3612,L3612,P$6:P3612,"?*")=1,MAX(AI$5:AI3611)+1,""))</f>
        <v/>
      </c>
    </row>
    <row r="3613">
      <c r="B3613" s="47" t="n"/>
      <c r="C3613" s="48" t="n"/>
      <c r="D3613" s="48" t="n"/>
      <c r="E3613" s="48" t="n"/>
      <c r="F3613" s="48" t="n"/>
      <c r="G3613" s="49" t="n"/>
      <c r="H3613" s="48" t="n"/>
      <c r="I3613" s="50" t="n"/>
      <c r="J3613" s="48" t="n"/>
      <c r="K3613" s="48" t="n"/>
      <c r="L3613" s="48" t="n"/>
      <c r="M3613" s="48" t="n"/>
      <c r="N3613" s="48" t="n"/>
      <c r="O3613" s="51">
        <f>IF(AND(B3613="",G3613="",C3613="",D3613="",J3613=""),"",IF(B3613="","⚠ Falta fecha",IF(G3613="","⚠ Falta monto",IF(Q3613="","⚠ Falta cuenta",IF(ISNA(MATCH(Q3613,ctaNombre,0)),"⚠ Cuenta no registrada",IF(AND(OR(P3613="Gasto",P3613="Reembolso"),D3613=""),"⚠ Falta categoría",IF(AND(D3613&lt;&gt;"",E3613&lt;&gt;"",ISNA(MATCH(D3613&amp;"|"&amp;E3613,catClave,0))),"⚠ Subcategoría no corresponde",IF(AND(OR(P3613="Transferencia",P3613="Pago tarjeta"),K3613=""),"⚠ Falta cuenta destino",IF(AND(K3613&lt;&gt;"",P3613&lt;&gt;"Transferencia",P3613&lt;&gt;"Pago tarjeta"),"⚠ Destino solo aplica a transferencias",IF(AND(K3613&lt;&gt;"",K3613=Q3613),"⚠ Origen igual a destino",IF(AND(K3613&lt;&gt;"",ISNA(MATCH(K3613,ctaNombre,0))),"⚠ Destino no registrado",IF(AND(P3613="Pago tarjeta",AE3613&lt;&gt;"Tarjeta de crédito"),"⚠ El destino debe ser tarjeta de crédito",IF(AND(P3613="Gasto",E3613="Depósitos y retiros"),"⚠ Usa tipo Transferencia",IF(AND(P3613="Resultado trading",AD3613&lt;&gt;"Cuenta de trading"),"⚠ Usa una cuenta de trading",IF(AND(G3613&lt;=0,P3613&lt;&gt;"Ajuste",P3613&lt;&gt;"Resultado trading"),"⚠ El monto debe ser positivo","✓")))))))))))))))</f>
        <v/>
      </c>
      <c r="P3613" s="52">
        <f>IF(OR(B3613="",G3613=""),"",IF(C3613="","Gasto",C3613))</f>
        <v/>
      </c>
      <c r="Q3613" s="52">
        <f>IF(P3613="","",IF(J3613&lt;&gt;"",J3613,CuentaPred&amp;""))</f>
        <v/>
      </c>
      <c r="R3613" s="52">
        <f>IF(P3613="","",IF(ISNUMBER(I3613),I3613,TasaUSD))</f>
        <v/>
      </c>
      <c r="S3613" s="53">
        <f>IF(P3613="","",IF(H3613="USD",G3613*R3613,G3613))</f>
        <v/>
      </c>
      <c r="T3613" s="53">
        <f>IF(P3613="","",IF(H3613="USD",G3613,IF(R3613&gt;0,G3613/R3613,0)))</f>
        <v/>
      </c>
      <c r="U3613" s="53">
        <f>IF(P3613="","",IF(P3613="Gasto",S3613,IF(P3613="Reembolso",-S3613,0)))</f>
        <v/>
      </c>
      <c r="V3613" s="53">
        <f>IF(P3613="","",IF(P3613="Ingreso",S3613,0))</f>
        <v/>
      </c>
      <c r="W3613" s="53">
        <f>IF(P3613="","",IF(P3613="Resultado trading",S3613,0))</f>
        <v/>
      </c>
      <c r="X3613" s="52">
        <f>IF(OR(P3613="Gasto",P3613="Reembolso"),IF(M3613&lt;&gt;"",M3613,IFERROR(INDEX(catClasif,MATCH(D3613&amp;"|"&amp;E3613,catClave,0))&amp;"","Variable")),"")</f>
        <v/>
      </c>
      <c r="Y3613" s="52">
        <f>IF(P3613="","",IFERROR(INDEX(catGrupo,MATCH(D3613&amp;"|"&amp;E3613,catClave,0))&amp;"",""))</f>
        <v/>
      </c>
      <c r="Z3613" s="52">
        <f>IF(P3613="","",WEEKDAY(B3613,2))</f>
        <v/>
      </c>
      <c r="AA3613" s="52">
        <f>IF(P3613="","",IF(AND(P3613="Gasto",X3613="Variable",D3613&lt;&gt;catTrading,S3613&gt;0,S3613&lt;=Umbral),1,0))</f>
        <v/>
      </c>
      <c r="AB3613" s="52">
        <f>IF(OR(P3613="",Q3613=""),"",IFERROR(IF(INDEX(ctaVinc,MATCH(Q3613,ctaNombre,0))&amp;""&lt;&gt;"",INDEX(ctaVinc,MATCH(Q3613,ctaNombre,0))&amp;"",Q3613),Q3613))</f>
        <v/>
      </c>
      <c r="AC3613" s="52">
        <f>IF(OR(K3613="",AND(P3613&lt;&gt;"Transferencia",P3613&lt;&gt;"Pago tarjeta")),"",IFERROR(IF(INDEX(ctaVinc,MATCH(K3613,ctaNombre,0))&amp;""&lt;&gt;"",INDEX(ctaVinc,MATCH(K3613,ctaNombre,0))&amp;"",K3613),K3613))</f>
        <v/>
      </c>
      <c r="AD3613" s="52">
        <f>IF(AB3613="","",IFERROR(INDEX(ctaTipo,MATCH(AB3613,ctaNombre,0))&amp;"",""))</f>
        <v/>
      </c>
      <c r="AE3613" s="52">
        <f>IF(AC3613="","",IFERROR(INDEX(ctaTipo,MATCH(AC3613,ctaNombre,0))&amp;"",""))</f>
        <v/>
      </c>
      <c r="AF3613" s="53">
        <f>IF(OR(P3613="",AB3613=""),"",IF(OR(P3613="Gasto",P3613="Transferencia",P3613="Pago tarjeta"),-1,1)*IF(IFERROR(INDEX(ctaMoneda,MATCH(AB3613,ctaNombre,0))&amp;"","DOP")="USD",T3613,S3613))</f>
        <v/>
      </c>
      <c r="AG3613" s="53">
        <f>IF(AC3613="","",IF(IFERROR(INDEX(ctaMoneda,MATCH(AC3613,ctaNombre,0))&amp;"","DOP")="USD",T3613,S3613))</f>
        <v/>
      </c>
      <c r="AH3613" s="53">
        <f>IF(P3613="","",IF(AND(AD3613&lt;&gt;"",COUNTIFS(tcTipo,AD3613,tcLiq,"Sí")&gt;0),IF(OR(P3613="Gasto",P3613="Transferencia",P3613="Pago tarjeta"),-1,1)*S3613,0)+IF(AND(AE3613&lt;&gt;"",COUNTIFS(tcTipo,AE3613,tcLiq,"Sí")&gt;0),S3613,0))</f>
        <v/>
      </c>
      <c r="AI3613" s="52">
        <f>IF(OR(L3613="",P3613=""),"",IF(COUNTIFS(L$6:L3613,L3613,P$6:P3613,"?*")=1,MAX(AI$5:AI3612)+1,""))</f>
        <v/>
      </c>
    </row>
    <row r="3614">
      <c r="B3614" s="47" t="n"/>
      <c r="C3614" s="48" t="n"/>
      <c r="D3614" s="48" t="n"/>
      <c r="E3614" s="48" t="n"/>
      <c r="F3614" s="48" t="n"/>
      <c r="G3614" s="49" t="n"/>
      <c r="H3614" s="48" t="n"/>
      <c r="I3614" s="50" t="n"/>
      <c r="J3614" s="48" t="n"/>
      <c r="K3614" s="48" t="n"/>
      <c r="L3614" s="48" t="n"/>
      <c r="M3614" s="48" t="n"/>
      <c r="N3614" s="48" t="n"/>
      <c r="O3614" s="51">
        <f>IF(AND(B3614="",G3614="",C3614="",D3614="",J3614=""),"",IF(B3614="","⚠ Falta fecha",IF(G3614="","⚠ Falta monto",IF(Q3614="","⚠ Falta cuenta",IF(ISNA(MATCH(Q3614,ctaNombre,0)),"⚠ Cuenta no registrada",IF(AND(OR(P3614="Gasto",P3614="Reembolso"),D3614=""),"⚠ Falta categoría",IF(AND(D3614&lt;&gt;"",E3614&lt;&gt;"",ISNA(MATCH(D3614&amp;"|"&amp;E3614,catClave,0))),"⚠ Subcategoría no corresponde",IF(AND(OR(P3614="Transferencia",P3614="Pago tarjeta"),K3614=""),"⚠ Falta cuenta destino",IF(AND(K3614&lt;&gt;"",P3614&lt;&gt;"Transferencia",P3614&lt;&gt;"Pago tarjeta"),"⚠ Destino solo aplica a transferencias",IF(AND(K3614&lt;&gt;"",K3614=Q3614),"⚠ Origen igual a destino",IF(AND(K3614&lt;&gt;"",ISNA(MATCH(K3614,ctaNombre,0))),"⚠ Destino no registrado",IF(AND(P3614="Pago tarjeta",AE3614&lt;&gt;"Tarjeta de crédito"),"⚠ El destino debe ser tarjeta de crédito",IF(AND(P3614="Gasto",E3614="Depósitos y retiros"),"⚠ Usa tipo Transferencia",IF(AND(P3614="Resultado trading",AD3614&lt;&gt;"Cuenta de trading"),"⚠ Usa una cuenta de trading",IF(AND(G3614&lt;=0,P3614&lt;&gt;"Ajuste",P3614&lt;&gt;"Resultado trading"),"⚠ El monto debe ser positivo","✓")))))))))))))))</f>
        <v/>
      </c>
      <c r="P3614" s="52">
        <f>IF(OR(B3614="",G3614=""),"",IF(C3614="","Gasto",C3614))</f>
        <v/>
      </c>
      <c r="Q3614" s="52">
        <f>IF(P3614="","",IF(J3614&lt;&gt;"",J3614,CuentaPred&amp;""))</f>
        <v/>
      </c>
      <c r="R3614" s="52">
        <f>IF(P3614="","",IF(ISNUMBER(I3614),I3614,TasaUSD))</f>
        <v/>
      </c>
      <c r="S3614" s="53">
        <f>IF(P3614="","",IF(H3614="USD",G3614*R3614,G3614))</f>
        <v/>
      </c>
      <c r="T3614" s="53">
        <f>IF(P3614="","",IF(H3614="USD",G3614,IF(R3614&gt;0,G3614/R3614,0)))</f>
        <v/>
      </c>
      <c r="U3614" s="53">
        <f>IF(P3614="","",IF(P3614="Gasto",S3614,IF(P3614="Reembolso",-S3614,0)))</f>
        <v/>
      </c>
      <c r="V3614" s="53">
        <f>IF(P3614="","",IF(P3614="Ingreso",S3614,0))</f>
        <v/>
      </c>
      <c r="W3614" s="53">
        <f>IF(P3614="","",IF(P3614="Resultado trading",S3614,0))</f>
        <v/>
      </c>
      <c r="X3614" s="52">
        <f>IF(OR(P3614="Gasto",P3614="Reembolso"),IF(M3614&lt;&gt;"",M3614,IFERROR(INDEX(catClasif,MATCH(D3614&amp;"|"&amp;E3614,catClave,0))&amp;"","Variable")),"")</f>
        <v/>
      </c>
      <c r="Y3614" s="52">
        <f>IF(P3614="","",IFERROR(INDEX(catGrupo,MATCH(D3614&amp;"|"&amp;E3614,catClave,0))&amp;"",""))</f>
        <v/>
      </c>
      <c r="Z3614" s="52">
        <f>IF(P3614="","",WEEKDAY(B3614,2))</f>
        <v/>
      </c>
      <c r="AA3614" s="52">
        <f>IF(P3614="","",IF(AND(P3614="Gasto",X3614="Variable",D3614&lt;&gt;catTrading,S3614&gt;0,S3614&lt;=Umbral),1,0))</f>
        <v/>
      </c>
      <c r="AB3614" s="52">
        <f>IF(OR(P3614="",Q3614=""),"",IFERROR(IF(INDEX(ctaVinc,MATCH(Q3614,ctaNombre,0))&amp;""&lt;&gt;"",INDEX(ctaVinc,MATCH(Q3614,ctaNombre,0))&amp;"",Q3614),Q3614))</f>
        <v/>
      </c>
      <c r="AC3614" s="52">
        <f>IF(OR(K3614="",AND(P3614&lt;&gt;"Transferencia",P3614&lt;&gt;"Pago tarjeta")),"",IFERROR(IF(INDEX(ctaVinc,MATCH(K3614,ctaNombre,0))&amp;""&lt;&gt;"",INDEX(ctaVinc,MATCH(K3614,ctaNombre,0))&amp;"",K3614),K3614))</f>
        <v/>
      </c>
      <c r="AD3614" s="52">
        <f>IF(AB3614="","",IFERROR(INDEX(ctaTipo,MATCH(AB3614,ctaNombre,0))&amp;"",""))</f>
        <v/>
      </c>
      <c r="AE3614" s="52">
        <f>IF(AC3614="","",IFERROR(INDEX(ctaTipo,MATCH(AC3614,ctaNombre,0))&amp;"",""))</f>
        <v/>
      </c>
      <c r="AF3614" s="53">
        <f>IF(OR(P3614="",AB3614=""),"",IF(OR(P3614="Gasto",P3614="Transferencia",P3614="Pago tarjeta"),-1,1)*IF(IFERROR(INDEX(ctaMoneda,MATCH(AB3614,ctaNombre,0))&amp;"","DOP")="USD",T3614,S3614))</f>
        <v/>
      </c>
      <c r="AG3614" s="53">
        <f>IF(AC3614="","",IF(IFERROR(INDEX(ctaMoneda,MATCH(AC3614,ctaNombre,0))&amp;"","DOP")="USD",T3614,S3614))</f>
        <v/>
      </c>
      <c r="AH3614" s="53">
        <f>IF(P3614="","",IF(AND(AD3614&lt;&gt;"",COUNTIFS(tcTipo,AD3614,tcLiq,"Sí")&gt;0),IF(OR(P3614="Gasto",P3614="Transferencia",P3614="Pago tarjeta"),-1,1)*S3614,0)+IF(AND(AE3614&lt;&gt;"",COUNTIFS(tcTipo,AE3614,tcLiq,"Sí")&gt;0),S3614,0))</f>
        <v/>
      </c>
      <c r="AI3614" s="52">
        <f>IF(OR(L3614="",P3614=""),"",IF(COUNTIFS(L$6:L3614,L3614,P$6:P3614,"?*")=1,MAX(AI$5:AI3613)+1,""))</f>
        <v/>
      </c>
    </row>
    <row r="3615">
      <c r="B3615" s="47" t="n"/>
      <c r="C3615" s="48" t="n"/>
      <c r="D3615" s="48" t="n"/>
      <c r="E3615" s="48" t="n"/>
      <c r="F3615" s="48" t="n"/>
      <c r="G3615" s="49" t="n"/>
      <c r="H3615" s="48" t="n"/>
      <c r="I3615" s="50" t="n"/>
      <c r="J3615" s="48" t="n"/>
      <c r="K3615" s="48" t="n"/>
      <c r="L3615" s="48" t="n"/>
      <c r="M3615" s="48" t="n"/>
      <c r="N3615" s="48" t="n"/>
      <c r="O3615" s="51">
        <f>IF(AND(B3615="",G3615="",C3615="",D3615="",J3615=""),"",IF(B3615="","⚠ Falta fecha",IF(G3615="","⚠ Falta monto",IF(Q3615="","⚠ Falta cuenta",IF(ISNA(MATCH(Q3615,ctaNombre,0)),"⚠ Cuenta no registrada",IF(AND(OR(P3615="Gasto",P3615="Reembolso"),D3615=""),"⚠ Falta categoría",IF(AND(D3615&lt;&gt;"",E3615&lt;&gt;"",ISNA(MATCH(D3615&amp;"|"&amp;E3615,catClave,0))),"⚠ Subcategoría no corresponde",IF(AND(OR(P3615="Transferencia",P3615="Pago tarjeta"),K3615=""),"⚠ Falta cuenta destino",IF(AND(K3615&lt;&gt;"",P3615&lt;&gt;"Transferencia",P3615&lt;&gt;"Pago tarjeta"),"⚠ Destino solo aplica a transferencias",IF(AND(K3615&lt;&gt;"",K3615=Q3615),"⚠ Origen igual a destino",IF(AND(K3615&lt;&gt;"",ISNA(MATCH(K3615,ctaNombre,0))),"⚠ Destino no registrado",IF(AND(P3615="Pago tarjeta",AE3615&lt;&gt;"Tarjeta de crédito"),"⚠ El destino debe ser tarjeta de crédito",IF(AND(P3615="Gasto",E3615="Depósitos y retiros"),"⚠ Usa tipo Transferencia",IF(AND(P3615="Resultado trading",AD3615&lt;&gt;"Cuenta de trading"),"⚠ Usa una cuenta de trading",IF(AND(G3615&lt;=0,P3615&lt;&gt;"Ajuste",P3615&lt;&gt;"Resultado trading"),"⚠ El monto debe ser positivo","✓")))))))))))))))</f>
        <v/>
      </c>
      <c r="P3615" s="52">
        <f>IF(OR(B3615="",G3615=""),"",IF(C3615="","Gasto",C3615))</f>
        <v/>
      </c>
      <c r="Q3615" s="52">
        <f>IF(P3615="","",IF(J3615&lt;&gt;"",J3615,CuentaPred&amp;""))</f>
        <v/>
      </c>
      <c r="R3615" s="52">
        <f>IF(P3615="","",IF(ISNUMBER(I3615),I3615,TasaUSD))</f>
        <v/>
      </c>
      <c r="S3615" s="53">
        <f>IF(P3615="","",IF(H3615="USD",G3615*R3615,G3615))</f>
        <v/>
      </c>
      <c r="T3615" s="53">
        <f>IF(P3615="","",IF(H3615="USD",G3615,IF(R3615&gt;0,G3615/R3615,0)))</f>
        <v/>
      </c>
      <c r="U3615" s="53">
        <f>IF(P3615="","",IF(P3615="Gasto",S3615,IF(P3615="Reembolso",-S3615,0)))</f>
        <v/>
      </c>
      <c r="V3615" s="53">
        <f>IF(P3615="","",IF(P3615="Ingreso",S3615,0))</f>
        <v/>
      </c>
      <c r="W3615" s="53">
        <f>IF(P3615="","",IF(P3615="Resultado trading",S3615,0))</f>
        <v/>
      </c>
      <c r="X3615" s="52">
        <f>IF(OR(P3615="Gasto",P3615="Reembolso"),IF(M3615&lt;&gt;"",M3615,IFERROR(INDEX(catClasif,MATCH(D3615&amp;"|"&amp;E3615,catClave,0))&amp;"","Variable")),"")</f>
        <v/>
      </c>
      <c r="Y3615" s="52">
        <f>IF(P3615="","",IFERROR(INDEX(catGrupo,MATCH(D3615&amp;"|"&amp;E3615,catClave,0))&amp;"",""))</f>
        <v/>
      </c>
      <c r="Z3615" s="52">
        <f>IF(P3615="","",WEEKDAY(B3615,2))</f>
        <v/>
      </c>
      <c r="AA3615" s="52">
        <f>IF(P3615="","",IF(AND(P3615="Gasto",X3615="Variable",D3615&lt;&gt;catTrading,S3615&gt;0,S3615&lt;=Umbral),1,0))</f>
        <v/>
      </c>
      <c r="AB3615" s="52">
        <f>IF(OR(P3615="",Q3615=""),"",IFERROR(IF(INDEX(ctaVinc,MATCH(Q3615,ctaNombre,0))&amp;""&lt;&gt;"",INDEX(ctaVinc,MATCH(Q3615,ctaNombre,0))&amp;"",Q3615),Q3615))</f>
        <v/>
      </c>
      <c r="AC3615" s="52">
        <f>IF(OR(K3615="",AND(P3615&lt;&gt;"Transferencia",P3615&lt;&gt;"Pago tarjeta")),"",IFERROR(IF(INDEX(ctaVinc,MATCH(K3615,ctaNombre,0))&amp;""&lt;&gt;"",INDEX(ctaVinc,MATCH(K3615,ctaNombre,0))&amp;"",K3615),K3615))</f>
        <v/>
      </c>
      <c r="AD3615" s="52">
        <f>IF(AB3615="","",IFERROR(INDEX(ctaTipo,MATCH(AB3615,ctaNombre,0))&amp;"",""))</f>
        <v/>
      </c>
      <c r="AE3615" s="52">
        <f>IF(AC3615="","",IFERROR(INDEX(ctaTipo,MATCH(AC3615,ctaNombre,0))&amp;"",""))</f>
        <v/>
      </c>
      <c r="AF3615" s="53">
        <f>IF(OR(P3615="",AB3615=""),"",IF(OR(P3615="Gasto",P3615="Transferencia",P3615="Pago tarjeta"),-1,1)*IF(IFERROR(INDEX(ctaMoneda,MATCH(AB3615,ctaNombre,0))&amp;"","DOP")="USD",T3615,S3615))</f>
        <v/>
      </c>
      <c r="AG3615" s="53">
        <f>IF(AC3615="","",IF(IFERROR(INDEX(ctaMoneda,MATCH(AC3615,ctaNombre,0))&amp;"","DOP")="USD",T3615,S3615))</f>
        <v/>
      </c>
      <c r="AH3615" s="53">
        <f>IF(P3615="","",IF(AND(AD3615&lt;&gt;"",COUNTIFS(tcTipo,AD3615,tcLiq,"Sí")&gt;0),IF(OR(P3615="Gasto",P3615="Transferencia",P3615="Pago tarjeta"),-1,1)*S3615,0)+IF(AND(AE3615&lt;&gt;"",COUNTIFS(tcTipo,AE3615,tcLiq,"Sí")&gt;0),S3615,0))</f>
        <v/>
      </c>
      <c r="AI3615" s="52">
        <f>IF(OR(L3615="",P3615=""),"",IF(COUNTIFS(L$6:L3615,L3615,P$6:P3615,"?*")=1,MAX(AI$5:AI3614)+1,""))</f>
        <v/>
      </c>
    </row>
    <row r="3616">
      <c r="B3616" s="47" t="n"/>
      <c r="C3616" s="48" t="n"/>
      <c r="D3616" s="48" t="n"/>
      <c r="E3616" s="48" t="n"/>
      <c r="F3616" s="48" t="n"/>
      <c r="G3616" s="49" t="n"/>
      <c r="H3616" s="48" t="n"/>
      <c r="I3616" s="50" t="n"/>
      <c r="J3616" s="48" t="n"/>
      <c r="K3616" s="48" t="n"/>
      <c r="L3616" s="48" t="n"/>
      <c r="M3616" s="48" t="n"/>
      <c r="N3616" s="48" t="n"/>
      <c r="O3616" s="51">
        <f>IF(AND(B3616="",G3616="",C3616="",D3616="",J3616=""),"",IF(B3616="","⚠ Falta fecha",IF(G3616="","⚠ Falta monto",IF(Q3616="","⚠ Falta cuenta",IF(ISNA(MATCH(Q3616,ctaNombre,0)),"⚠ Cuenta no registrada",IF(AND(OR(P3616="Gasto",P3616="Reembolso"),D3616=""),"⚠ Falta categoría",IF(AND(D3616&lt;&gt;"",E3616&lt;&gt;"",ISNA(MATCH(D3616&amp;"|"&amp;E3616,catClave,0))),"⚠ Subcategoría no corresponde",IF(AND(OR(P3616="Transferencia",P3616="Pago tarjeta"),K3616=""),"⚠ Falta cuenta destino",IF(AND(K3616&lt;&gt;"",P3616&lt;&gt;"Transferencia",P3616&lt;&gt;"Pago tarjeta"),"⚠ Destino solo aplica a transferencias",IF(AND(K3616&lt;&gt;"",K3616=Q3616),"⚠ Origen igual a destino",IF(AND(K3616&lt;&gt;"",ISNA(MATCH(K3616,ctaNombre,0))),"⚠ Destino no registrado",IF(AND(P3616="Pago tarjeta",AE3616&lt;&gt;"Tarjeta de crédito"),"⚠ El destino debe ser tarjeta de crédito",IF(AND(P3616="Gasto",E3616="Depósitos y retiros"),"⚠ Usa tipo Transferencia",IF(AND(P3616="Resultado trading",AD3616&lt;&gt;"Cuenta de trading"),"⚠ Usa una cuenta de trading",IF(AND(G3616&lt;=0,P3616&lt;&gt;"Ajuste",P3616&lt;&gt;"Resultado trading"),"⚠ El monto debe ser positivo","✓")))))))))))))))</f>
        <v/>
      </c>
      <c r="P3616" s="52">
        <f>IF(OR(B3616="",G3616=""),"",IF(C3616="","Gasto",C3616))</f>
        <v/>
      </c>
      <c r="Q3616" s="52">
        <f>IF(P3616="","",IF(J3616&lt;&gt;"",J3616,CuentaPred&amp;""))</f>
        <v/>
      </c>
      <c r="R3616" s="52">
        <f>IF(P3616="","",IF(ISNUMBER(I3616),I3616,TasaUSD))</f>
        <v/>
      </c>
      <c r="S3616" s="53">
        <f>IF(P3616="","",IF(H3616="USD",G3616*R3616,G3616))</f>
        <v/>
      </c>
      <c r="T3616" s="53">
        <f>IF(P3616="","",IF(H3616="USD",G3616,IF(R3616&gt;0,G3616/R3616,0)))</f>
        <v/>
      </c>
      <c r="U3616" s="53">
        <f>IF(P3616="","",IF(P3616="Gasto",S3616,IF(P3616="Reembolso",-S3616,0)))</f>
        <v/>
      </c>
      <c r="V3616" s="53">
        <f>IF(P3616="","",IF(P3616="Ingreso",S3616,0))</f>
        <v/>
      </c>
      <c r="W3616" s="53">
        <f>IF(P3616="","",IF(P3616="Resultado trading",S3616,0))</f>
        <v/>
      </c>
      <c r="X3616" s="52">
        <f>IF(OR(P3616="Gasto",P3616="Reembolso"),IF(M3616&lt;&gt;"",M3616,IFERROR(INDEX(catClasif,MATCH(D3616&amp;"|"&amp;E3616,catClave,0))&amp;"","Variable")),"")</f>
        <v/>
      </c>
      <c r="Y3616" s="52">
        <f>IF(P3616="","",IFERROR(INDEX(catGrupo,MATCH(D3616&amp;"|"&amp;E3616,catClave,0))&amp;"",""))</f>
        <v/>
      </c>
      <c r="Z3616" s="52">
        <f>IF(P3616="","",WEEKDAY(B3616,2))</f>
        <v/>
      </c>
      <c r="AA3616" s="52">
        <f>IF(P3616="","",IF(AND(P3616="Gasto",X3616="Variable",D3616&lt;&gt;catTrading,S3616&gt;0,S3616&lt;=Umbral),1,0))</f>
        <v/>
      </c>
      <c r="AB3616" s="52">
        <f>IF(OR(P3616="",Q3616=""),"",IFERROR(IF(INDEX(ctaVinc,MATCH(Q3616,ctaNombre,0))&amp;""&lt;&gt;"",INDEX(ctaVinc,MATCH(Q3616,ctaNombre,0))&amp;"",Q3616),Q3616))</f>
        <v/>
      </c>
      <c r="AC3616" s="52">
        <f>IF(OR(K3616="",AND(P3616&lt;&gt;"Transferencia",P3616&lt;&gt;"Pago tarjeta")),"",IFERROR(IF(INDEX(ctaVinc,MATCH(K3616,ctaNombre,0))&amp;""&lt;&gt;"",INDEX(ctaVinc,MATCH(K3616,ctaNombre,0))&amp;"",K3616),K3616))</f>
        <v/>
      </c>
      <c r="AD3616" s="52">
        <f>IF(AB3616="","",IFERROR(INDEX(ctaTipo,MATCH(AB3616,ctaNombre,0))&amp;"",""))</f>
        <v/>
      </c>
      <c r="AE3616" s="52">
        <f>IF(AC3616="","",IFERROR(INDEX(ctaTipo,MATCH(AC3616,ctaNombre,0))&amp;"",""))</f>
        <v/>
      </c>
      <c r="AF3616" s="53">
        <f>IF(OR(P3616="",AB3616=""),"",IF(OR(P3616="Gasto",P3616="Transferencia",P3616="Pago tarjeta"),-1,1)*IF(IFERROR(INDEX(ctaMoneda,MATCH(AB3616,ctaNombre,0))&amp;"","DOP")="USD",T3616,S3616))</f>
        <v/>
      </c>
      <c r="AG3616" s="53">
        <f>IF(AC3616="","",IF(IFERROR(INDEX(ctaMoneda,MATCH(AC3616,ctaNombre,0))&amp;"","DOP")="USD",T3616,S3616))</f>
        <v/>
      </c>
      <c r="AH3616" s="53">
        <f>IF(P3616="","",IF(AND(AD3616&lt;&gt;"",COUNTIFS(tcTipo,AD3616,tcLiq,"Sí")&gt;0),IF(OR(P3616="Gasto",P3616="Transferencia",P3616="Pago tarjeta"),-1,1)*S3616,0)+IF(AND(AE3616&lt;&gt;"",COUNTIFS(tcTipo,AE3616,tcLiq,"Sí")&gt;0),S3616,0))</f>
        <v/>
      </c>
      <c r="AI3616" s="52">
        <f>IF(OR(L3616="",P3616=""),"",IF(COUNTIFS(L$6:L3616,L3616,P$6:P3616,"?*")=1,MAX(AI$5:AI3615)+1,""))</f>
        <v/>
      </c>
    </row>
    <row r="3617">
      <c r="B3617" s="47" t="n"/>
      <c r="C3617" s="48" t="n"/>
      <c r="D3617" s="48" t="n"/>
      <c r="E3617" s="48" t="n"/>
      <c r="F3617" s="48" t="n"/>
      <c r="G3617" s="49" t="n"/>
      <c r="H3617" s="48" t="n"/>
      <c r="I3617" s="50" t="n"/>
      <c r="J3617" s="48" t="n"/>
      <c r="K3617" s="48" t="n"/>
      <c r="L3617" s="48" t="n"/>
      <c r="M3617" s="48" t="n"/>
      <c r="N3617" s="48" t="n"/>
      <c r="O3617" s="51">
        <f>IF(AND(B3617="",G3617="",C3617="",D3617="",J3617=""),"",IF(B3617="","⚠ Falta fecha",IF(G3617="","⚠ Falta monto",IF(Q3617="","⚠ Falta cuenta",IF(ISNA(MATCH(Q3617,ctaNombre,0)),"⚠ Cuenta no registrada",IF(AND(OR(P3617="Gasto",P3617="Reembolso"),D3617=""),"⚠ Falta categoría",IF(AND(D3617&lt;&gt;"",E3617&lt;&gt;"",ISNA(MATCH(D3617&amp;"|"&amp;E3617,catClave,0))),"⚠ Subcategoría no corresponde",IF(AND(OR(P3617="Transferencia",P3617="Pago tarjeta"),K3617=""),"⚠ Falta cuenta destino",IF(AND(K3617&lt;&gt;"",P3617&lt;&gt;"Transferencia",P3617&lt;&gt;"Pago tarjeta"),"⚠ Destino solo aplica a transferencias",IF(AND(K3617&lt;&gt;"",K3617=Q3617),"⚠ Origen igual a destino",IF(AND(K3617&lt;&gt;"",ISNA(MATCH(K3617,ctaNombre,0))),"⚠ Destino no registrado",IF(AND(P3617="Pago tarjeta",AE3617&lt;&gt;"Tarjeta de crédito"),"⚠ El destino debe ser tarjeta de crédito",IF(AND(P3617="Gasto",E3617="Depósitos y retiros"),"⚠ Usa tipo Transferencia",IF(AND(P3617="Resultado trading",AD3617&lt;&gt;"Cuenta de trading"),"⚠ Usa una cuenta de trading",IF(AND(G3617&lt;=0,P3617&lt;&gt;"Ajuste",P3617&lt;&gt;"Resultado trading"),"⚠ El monto debe ser positivo","✓")))))))))))))))</f>
        <v/>
      </c>
      <c r="P3617" s="52">
        <f>IF(OR(B3617="",G3617=""),"",IF(C3617="","Gasto",C3617))</f>
        <v/>
      </c>
      <c r="Q3617" s="52">
        <f>IF(P3617="","",IF(J3617&lt;&gt;"",J3617,CuentaPred&amp;""))</f>
        <v/>
      </c>
      <c r="R3617" s="52">
        <f>IF(P3617="","",IF(ISNUMBER(I3617),I3617,TasaUSD))</f>
        <v/>
      </c>
      <c r="S3617" s="53">
        <f>IF(P3617="","",IF(H3617="USD",G3617*R3617,G3617))</f>
        <v/>
      </c>
      <c r="T3617" s="53">
        <f>IF(P3617="","",IF(H3617="USD",G3617,IF(R3617&gt;0,G3617/R3617,0)))</f>
        <v/>
      </c>
      <c r="U3617" s="53">
        <f>IF(P3617="","",IF(P3617="Gasto",S3617,IF(P3617="Reembolso",-S3617,0)))</f>
        <v/>
      </c>
      <c r="V3617" s="53">
        <f>IF(P3617="","",IF(P3617="Ingreso",S3617,0))</f>
        <v/>
      </c>
      <c r="W3617" s="53">
        <f>IF(P3617="","",IF(P3617="Resultado trading",S3617,0))</f>
        <v/>
      </c>
      <c r="X3617" s="52">
        <f>IF(OR(P3617="Gasto",P3617="Reembolso"),IF(M3617&lt;&gt;"",M3617,IFERROR(INDEX(catClasif,MATCH(D3617&amp;"|"&amp;E3617,catClave,0))&amp;"","Variable")),"")</f>
        <v/>
      </c>
      <c r="Y3617" s="52">
        <f>IF(P3617="","",IFERROR(INDEX(catGrupo,MATCH(D3617&amp;"|"&amp;E3617,catClave,0))&amp;"",""))</f>
        <v/>
      </c>
      <c r="Z3617" s="52">
        <f>IF(P3617="","",WEEKDAY(B3617,2))</f>
        <v/>
      </c>
      <c r="AA3617" s="52">
        <f>IF(P3617="","",IF(AND(P3617="Gasto",X3617="Variable",D3617&lt;&gt;catTrading,S3617&gt;0,S3617&lt;=Umbral),1,0))</f>
        <v/>
      </c>
      <c r="AB3617" s="52">
        <f>IF(OR(P3617="",Q3617=""),"",IFERROR(IF(INDEX(ctaVinc,MATCH(Q3617,ctaNombre,0))&amp;""&lt;&gt;"",INDEX(ctaVinc,MATCH(Q3617,ctaNombre,0))&amp;"",Q3617),Q3617))</f>
        <v/>
      </c>
      <c r="AC3617" s="52">
        <f>IF(OR(K3617="",AND(P3617&lt;&gt;"Transferencia",P3617&lt;&gt;"Pago tarjeta")),"",IFERROR(IF(INDEX(ctaVinc,MATCH(K3617,ctaNombre,0))&amp;""&lt;&gt;"",INDEX(ctaVinc,MATCH(K3617,ctaNombre,0))&amp;"",K3617),K3617))</f>
        <v/>
      </c>
      <c r="AD3617" s="52">
        <f>IF(AB3617="","",IFERROR(INDEX(ctaTipo,MATCH(AB3617,ctaNombre,0))&amp;"",""))</f>
        <v/>
      </c>
      <c r="AE3617" s="52">
        <f>IF(AC3617="","",IFERROR(INDEX(ctaTipo,MATCH(AC3617,ctaNombre,0))&amp;"",""))</f>
        <v/>
      </c>
      <c r="AF3617" s="53">
        <f>IF(OR(P3617="",AB3617=""),"",IF(OR(P3617="Gasto",P3617="Transferencia",P3617="Pago tarjeta"),-1,1)*IF(IFERROR(INDEX(ctaMoneda,MATCH(AB3617,ctaNombre,0))&amp;"","DOP")="USD",T3617,S3617))</f>
        <v/>
      </c>
      <c r="AG3617" s="53">
        <f>IF(AC3617="","",IF(IFERROR(INDEX(ctaMoneda,MATCH(AC3617,ctaNombre,0))&amp;"","DOP")="USD",T3617,S3617))</f>
        <v/>
      </c>
      <c r="AH3617" s="53">
        <f>IF(P3617="","",IF(AND(AD3617&lt;&gt;"",COUNTIFS(tcTipo,AD3617,tcLiq,"Sí")&gt;0),IF(OR(P3617="Gasto",P3617="Transferencia",P3617="Pago tarjeta"),-1,1)*S3617,0)+IF(AND(AE3617&lt;&gt;"",COUNTIFS(tcTipo,AE3617,tcLiq,"Sí")&gt;0),S3617,0))</f>
        <v/>
      </c>
      <c r="AI3617" s="52">
        <f>IF(OR(L3617="",P3617=""),"",IF(COUNTIFS(L$6:L3617,L3617,P$6:P3617,"?*")=1,MAX(AI$5:AI3616)+1,""))</f>
        <v/>
      </c>
    </row>
    <row r="3618">
      <c r="B3618" s="47" t="n"/>
      <c r="C3618" s="48" t="n"/>
      <c r="D3618" s="48" t="n"/>
      <c r="E3618" s="48" t="n"/>
      <c r="F3618" s="48" t="n"/>
      <c r="G3618" s="49" t="n"/>
      <c r="H3618" s="48" t="n"/>
      <c r="I3618" s="50" t="n"/>
      <c r="J3618" s="48" t="n"/>
      <c r="K3618" s="48" t="n"/>
      <c r="L3618" s="48" t="n"/>
      <c r="M3618" s="48" t="n"/>
      <c r="N3618" s="48" t="n"/>
      <c r="O3618" s="51">
        <f>IF(AND(B3618="",G3618="",C3618="",D3618="",J3618=""),"",IF(B3618="","⚠ Falta fecha",IF(G3618="","⚠ Falta monto",IF(Q3618="","⚠ Falta cuenta",IF(ISNA(MATCH(Q3618,ctaNombre,0)),"⚠ Cuenta no registrada",IF(AND(OR(P3618="Gasto",P3618="Reembolso"),D3618=""),"⚠ Falta categoría",IF(AND(D3618&lt;&gt;"",E3618&lt;&gt;"",ISNA(MATCH(D3618&amp;"|"&amp;E3618,catClave,0))),"⚠ Subcategoría no corresponde",IF(AND(OR(P3618="Transferencia",P3618="Pago tarjeta"),K3618=""),"⚠ Falta cuenta destino",IF(AND(K3618&lt;&gt;"",P3618&lt;&gt;"Transferencia",P3618&lt;&gt;"Pago tarjeta"),"⚠ Destino solo aplica a transferencias",IF(AND(K3618&lt;&gt;"",K3618=Q3618),"⚠ Origen igual a destino",IF(AND(K3618&lt;&gt;"",ISNA(MATCH(K3618,ctaNombre,0))),"⚠ Destino no registrado",IF(AND(P3618="Pago tarjeta",AE3618&lt;&gt;"Tarjeta de crédito"),"⚠ El destino debe ser tarjeta de crédito",IF(AND(P3618="Gasto",E3618="Depósitos y retiros"),"⚠ Usa tipo Transferencia",IF(AND(P3618="Resultado trading",AD3618&lt;&gt;"Cuenta de trading"),"⚠ Usa una cuenta de trading",IF(AND(G3618&lt;=0,P3618&lt;&gt;"Ajuste",P3618&lt;&gt;"Resultado trading"),"⚠ El monto debe ser positivo","✓")))))))))))))))</f>
        <v/>
      </c>
      <c r="P3618" s="52">
        <f>IF(OR(B3618="",G3618=""),"",IF(C3618="","Gasto",C3618))</f>
        <v/>
      </c>
      <c r="Q3618" s="52">
        <f>IF(P3618="","",IF(J3618&lt;&gt;"",J3618,CuentaPred&amp;""))</f>
        <v/>
      </c>
      <c r="R3618" s="52">
        <f>IF(P3618="","",IF(ISNUMBER(I3618),I3618,TasaUSD))</f>
        <v/>
      </c>
      <c r="S3618" s="53">
        <f>IF(P3618="","",IF(H3618="USD",G3618*R3618,G3618))</f>
        <v/>
      </c>
      <c r="T3618" s="53">
        <f>IF(P3618="","",IF(H3618="USD",G3618,IF(R3618&gt;0,G3618/R3618,0)))</f>
        <v/>
      </c>
      <c r="U3618" s="53">
        <f>IF(P3618="","",IF(P3618="Gasto",S3618,IF(P3618="Reembolso",-S3618,0)))</f>
        <v/>
      </c>
      <c r="V3618" s="53">
        <f>IF(P3618="","",IF(P3618="Ingreso",S3618,0))</f>
        <v/>
      </c>
      <c r="W3618" s="53">
        <f>IF(P3618="","",IF(P3618="Resultado trading",S3618,0))</f>
        <v/>
      </c>
      <c r="X3618" s="52">
        <f>IF(OR(P3618="Gasto",P3618="Reembolso"),IF(M3618&lt;&gt;"",M3618,IFERROR(INDEX(catClasif,MATCH(D3618&amp;"|"&amp;E3618,catClave,0))&amp;"","Variable")),"")</f>
        <v/>
      </c>
      <c r="Y3618" s="52">
        <f>IF(P3618="","",IFERROR(INDEX(catGrupo,MATCH(D3618&amp;"|"&amp;E3618,catClave,0))&amp;"",""))</f>
        <v/>
      </c>
      <c r="Z3618" s="52">
        <f>IF(P3618="","",WEEKDAY(B3618,2))</f>
        <v/>
      </c>
      <c r="AA3618" s="52">
        <f>IF(P3618="","",IF(AND(P3618="Gasto",X3618="Variable",D3618&lt;&gt;catTrading,S3618&gt;0,S3618&lt;=Umbral),1,0))</f>
        <v/>
      </c>
      <c r="AB3618" s="52">
        <f>IF(OR(P3618="",Q3618=""),"",IFERROR(IF(INDEX(ctaVinc,MATCH(Q3618,ctaNombre,0))&amp;""&lt;&gt;"",INDEX(ctaVinc,MATCH(Q3618,ctaNombre,0))&amp;"",Q3618),Q3618))</f>
        <v/>
      </c>
      <c r="AC3618" s="52">
        <f>IF(OR(K3618="",AND(P3618&lt;&gt;"Transferencia",P3618&lt;&gt;"Pago tarjeta")),"",IFERROR(IF(INDEX(ctaVinc,MATCH(K3618,ctaNombre,0))&amp;""&lt;&gt;"",INDEX(ctaVinc,MATCH(K3618,ctaNombre,0))&amp;"",K3618),K3618))</f>
        <v/>
      </c>
      <c r="AD3618" s="52">
        <f>IF(AB3618="","",IFERROR(INDEX(ctaTipo,MATCH(AB3618,ctaNombre,0))&amp;"",""))</f>
        <v/>
      </c>
      <c r="AE3618" s="52">
        <f>IF(AC3618="","",IFERROR(INDEX(ctaTipo,MATCH(AC3618,ctaNombre,0))&amp;"",""))</f>
        <v/>
      </c>
      <c r="AF3618" s="53">
        <f>IF(OR(P3618="",AB3618=""),"",IF(OR(P3618="Gasto",P3618="Transferencia",P3618="Pago tarjeta"),-1,1)*IF(IFERROR(INDEX(ctaMoneda,MATCH(AB3618,ctaNombre,0))&amp;"","DOP")="USD",T3618,S3618))</f>
        <v/>
      </c>
      <c r="AG3618" s="53">
        <f>IF(AC3618="","",IF(IFERROR(INDEX(ctaMoneda,MATCH(AC3618,ctaNombre,0))&amp;"","DOP")="USD",T3618,S3618))</f>
        <v/>
      </c>
      <c r="AH3618" s="53">
        <f>IF(P3618="","",IF(AND(AD3618&lt;&gt;"",COUNTIFS(tcTipo,AD3618,tcLiq,"Sí")&gt;0),IF(OR(P3618="Gasto",P3618="Transferencia",P3618="Pago tarjeta"),-1,1)*S3618,0)+IF(AND(AE3618&lt;&gt;"",COUNTIFS(tcTipo,AE3618,tcLiq,"Sí")&gt;0),S3618,0))</f>
        <v/>
      </c>
      <c r="AI3618" s="52">
        <f>IF(OR(L3618="",P3618=""),"",IF(COUNTIFS(L$6:L3618,L3618,P$6:P3618,"?*")=1,MAX(AI$5:AI3617)+1,""))</f>
        <v/>
      </c>
    </row>
    <row r="3619">
      <c r="B3619" s="47" t="n"/>
      <c r="C3619" s="48" t="n"/>
      <c r="D3619" s="48" t="n"/>
      <c r="E3619" s="48" t="n"/>
      <c r="F3619" s="48" t="n"/>
      <c r="G3619" s="49" t="n"/>
      <c r="H3619" s="48" t="n"/>
      <c r="I3619" s="50" t="n"/>
      <c r="J3619" s="48" t="n"/>
      <c r="K3619" s="48" t="n"/>
      <c r="L3619" s="48" t="n"/>
      <c r="M3619" s="48" t="n"/>
      <c r="N3619" s="48" t="n"/>
      <c r="O3619" s="51">
        <f>IF(AND(B3619="",G3619="",C3619="",D3619="",J3619=""),"",IF(B3619="","⚠ Falta fecha",IF(G3619="","⚠ Falta monto",IF(Q3619="","⚠ Falta cuenta",IF(ISNA(MATCH(Q3619,ctaNombre,0)),"⚠ Cuenta no registrada",IF(AND(OR(P3619="Gasto",P3619="Reembolso"),D3619=""),"⚠ Falta categoría",IF(AND(D3619&lt;&gt;"",E3619&lt;&gt;"",ISNA(MATCH(D3619&amp;"|"&amp;E3619,catClave,0))),"⚠ Subcategoría no corresponde",IF(AND(OR(P3619="Transferencia",P3619="Pago tarjeta"),K3619=""),"⚠ Falta cuenta destino",IF(AND(K3619&lt;&gt;"",P3619&lt;&gt;"Transferencia",P3619&lt;&gt;"Pago tarjeta"),"⚠ Destino solo aplica a transferencias",IF(AND(K3619&lt;&gt;"",K3619=Q3619),"⚠ Origen igual a destino",IF(AND(K3619&lt;&gt;"",ISNA(MATCH(K3619,ctaNombre,0))),"⚠ Destino no registrado",IF(AND(P3619="Pago tarjeta",AE3619&lt;&gt;"Tarjeta de crédito"),"⚠ El destino debe ser tarjeta de crédito",IF(AND(P3619="Gasto",E3619="Depósitos y retiros"),"⚠ Usa tipo Transferencia",IF(AND(P3619="Resultado trading",AD3619&lt;&gt;"Cuenta de trading"),"⚠ Usa una cuenta de trading",IF(AND(G3619&lt;=0,P3619&lt;&gt;"Ajuste",P3619&lt;&gt;"Resultado trading"),"⚠ El monto debe ser positivo","✓")))))))))))))))</f>
        <v/>
      </c>
      <c r="P3619" s="52">
        <f>IF(OR(B3619="",G3619=""),"",IF(C3619="","Gasto",C3619))</f>
        <v/>
      </c>
      <c r="Q3619" s="52">
        <f>IF(P3619="","",IF(J3619&lt;&gt;"",J3619,CuentaPred&amp;""))</f>
        <v/>
      </c>
      <c r="R3619" s="52">
        <f>IF(P3619="","",IF(ISNUMBER(I3619),I3619,TasaUSD))</f>
        <v/>
      </c>
      <c r="S3619" s="53">
        <f>IF(P3619="","",IF(H3619="USD",G3619*R3619,G3619))</f>
        <v/>
      </c>
      <c r="T3619" s="53">
        <f>IF(P3619="","",IF(H3619="USD",G3619,IF(R3619&gt;0,G3619/R3619,0)))</f>
        <v/>
      </c>
      <c r="U3619" s="53">
        <f>IF(P3619="","",IF(P3619="Gasto",S3619,IF(P3619="Reembolso",-S3619,0)))</f>
        <v/>
      </c>
      <c r="V3619" s="53">
        <f>IF(P3619="","",IF(P3619="Ingreso",S3619,0))</f>
        <v/>
      </c>
      <c r="W3619" s="53">
        <f>IF(P3619="","",IF(P3619="Resultado trading",S3619,0))</f>
        <v/>
      </c>
      <c r="X3619" s="52">
        <f>IF(OR(P3619="Gasto",P3619="Reembolso"),IF(M3619&lt;&gt;"",M3619,IFERROR(INDEX(catClasif,MATCH(D3619&amp;"|"&amp;E3619,catClave,0))&amp;"","Variable")),"")</f>
        <v/>
      </c>
      <c r="Y3619" s="52">
        <f>IF(P3619="","",IFERROR(INDEX(catGrupo,MATCH(D3619&amp;"|"&amp;E3619,catClave,0))&amp;"",""))</f>
        <v/>
      </c>
      <c r="Z3619" s="52">
        <f>IF(P3619="","",WEEKDAY(B3619,2))</f>
        <v/>
      </c>
      <c r="AA3619" s="52">
        <f>IF(P3619="","",IF(AND(P3619="Gasto",X3619="Variable",D3619&lt;&gt;catTrading,S3619&gt;0,S3619&lt;=Umbral),1,0))</f>
        <v/>
      </c>
      <c r="AB3619" s="52">
        <f>IF(OR(P3619="",Q3619=""),"",IFERROR(IF(INDEX(ctaVinc,MATCH(Q3619,ctaNombre,0))&amp;""&lt;&gt;"",INDEX(ctaVinc,MATCH(Q3619,ctaNombre,0))&amp;"",Q3619),Q3619))</f>
        <v/>
      </c>
      <c r="AC3619" s="52">
        <f>IF(OR(K3619="",AND(P3619&lt;&gt;"Transferencia",P3619&lt;&gt;"Pago tarjeta")),"",IFERROR(IF(INDEX(ctaVinc,MATCH(K3619,ctaNombre,0))&amp;""&lt;&gt;"",INDEX(ctaVinc,MATCH(K3619,ctaNombre,0))&amp;"",K3619),K3619))</f>
        <v/>
      </c>
      <c r="AD3619" s="52">
        <f>IF(AB3619="","",IFERROR(INDEX(ctaTipo,MATCH(AB3619,ctaNombre,0))&amp;"",""))</f>
        <v/>
      </c>
      <c r="AE3619" s="52">
        <f>IF(AC3619="","",IFERROR(INDEX(ctaTipo,MATCH(AC3619,ctaNombre,0))&amp;"",""))</f>
        <v/>
      </c>
      <c r="AF3619" s="53">
        <f>IF(OR(P3619="",AB3619=""),"",IF(OR(P3619="Gasto",P3619="Transferencia",P3619="Pago tarjeta"),-1,1)*IF(IFERROR(INDEX(ctaMoneda,MATCH(AB3619,ctaNombre,0))&amp;"","DOP")="USD",T3619,S3619))</f>
        <v/>
      </c>
      <c r="AG3619" s="53">
        <f>IF(AC3619="","",IF(IFERROR(INDEX(ctaMoneda,MATCH(AC3619,ctaNombre,0))&amp;"","DOP")="USD",T3619,S3619))</f>
        <v/>
      </c>
      <c r="AH3619" s="53">
        <f>IF(P3619="","",IF(AND(AD3619&lt;&gt;"",COUNTIFS(tcTipo,AD3619,tcLiq,"Sí")&gt;0),IF(OR(P3619="Gasto",P3619="Transferencia",P3619="Pago tarjeta"),-1,1)*S3619,0)+IF(AND(AE3619&lt;&gt;"",COUNTIFS(tcTipo,AE3619,tcLiq,"Sí")&gt;0),S3619,0))</f>
        <v/>
      </c>
      <c r="AI3619" s="52">
        <f>IF(OR(L3619="",P3619=""),"",IF(COUNTIFS(L$6:L3619,L3619,P$6:P3619,"?*")=1,MAX(AI$5:AI3618)+1,""))</f>
        <v/>
      </c>
    </row>
    <row r="3620">
      <c r="B3620" s="47" t="n"/>
      <c r="C3620" s="48" t="n"/>
      <c r="D3620" s="48" t="n"/>
      <c r="E3620" s="48" t="n"/>
      <c r="F3620" s="48" t="n"/>
      <c r="G3620" s="49" t="n"/>
      <c r="H3620" s="48" t="n"/>
      <c r="I3620" s="50" t="n"/>
      <c r="J3620" s="48" t="n"/>
      <c r="K3620" s="48" t="n"/>
      <c r="L3620" s="48" t="n"/>
      <c r="M3620" s="48" t="n"/>
      <c r="N3620" s="48" t="n"/>
      <c r="O3620" s="51">
        <f>IF(AND(B3620="",G3620="",C3620="",D3620="",J3620=""),"",IF(B3620="","⚠ Falta fecha",IF(G3620="","⚠ Falta monto",IF(Q3620="","⚠ Falta cuenta",IF(ISNA(MATCH(Q3620,ctaNombre,0)),"⚠ Cuenta no registrada",IF(AND(OR(P3620="Gasto",P3620="Reembolso"),D3620=""),"⚠ Falta categoría",IF(AND(D3620&lt;&gt;"",E3620&lt;&gt;"",ISNA(MATCH(D3620&amp;"|"&amp;E3620,catClave,0))),"⚠ Subcategoría no corresponde",IF(AND(OR(P3620="Transferencia",P3620="Pago tarjeta"),K3620=""),"⚠ Falta cuenta destino",IF(AND(K3620&lt;&gt;"",P3620&lt;&gt;"Transferencia",P3620&lt;&gt;"Pago tarjeta"),"⚠ Destino solo aplica a transferencias",IF(AND(K3620&lt;&gt;"",K3620=Q3620),"⚠ Origen igual a destino",IF(AND(K3620&lt;&gt;"",ISNA(MATCH(K3620,ctaNombre,0))),"⚠ Destino no registrado",IF(AND(P3620="Pago tarjeta",AE3620&lt;&gt;"Tarjeta de crédito"),"⚠ El destino debe ser tarjeta de crédito",IF(AND(P3620="Gasto",E3620="Depósitos y retiros"),"⚠ Usa tipo Transferencia",IF(AND(P3620="Resultado trading",AD3620&lt;&gt;"Cuenta de trading"),"⚠ Usa una cuenta de trading",IF(AND(G3620&lt;=0,P3620&lt;&gt;"Ajuste",P3620&lt;&gt;"Resultado trading"),"⚠ El monto debe ser positivo","✓")))))))))))))))</f>
        <v/>
      </c>
      <c r="P3620" s="52">
        <f>IF(OR(B3620="",G3620=""),"",IF(C3620="","Gasto",C3620))</f>
        <v/>
      </c>
      <c r="Q3620" s="52">
        <f>IF(P3620="","",IF(J3620&lt;&gt;"",J3620,CuentaPred&amp;""))</f>
        <v/>
      </c>
      <c r="R3620" s="52">
        <f>IF(P3620="","",IF(ISNUMBER(I3620),I3620,TasaUSD))</f>
        <v/>
      </c>
      <c r="S3620" s="53">
        <f>IF(P3620="","",IF(H3620="USD",G3620*R3620,G3620))</f>
        <v/>
      </c>
      <c r="T3620" s="53">
        <f>IF(P3620="","",IF(H3620="USD",G3620,IF(R3620&gt;0,G3620/R3620,0)))</f>
        <v/>
      </c>
      <c r="U3620" s="53">
        <f>IF(P3620="","",IF(P3620="Gasto",S3620,IF(P3620="Reembolso",-S3620,0)))</f>
        <v/>
      </c>
      <c r="V3620" s="53">
        <f>IF(P3620="","",IF(P3620="Ingreso",S3620,0))</f>
        <v/>
      </c>
      <c r="W3620" s="53">
        <f>IF(P3620="","",IF(P3620="Resultado trading",S3620,0))</f>
        <v/>
      </c>
      <c r="X3620" s="52">
        <f>IF(OR(P3620="Gasto",P3620="Reembolso"),IF(M3620&lt;&gt;"",M3620,IFERROR(INDEX(catClasif,MATCH(D3620&amp;"|"&amp;E3620,catClave,0))&amp;"","Variable")),"")</f>
        <v/>
      </c>
      <c r="Y3620" s="52">
        <f>IF(P3620="","",IFERROR(INDEX(catGrupo,MATCH(D3620&amp;"|"&amp;E3620,catClave,0))&amp;"",""))</f>
        <v/>
      </c>
      <c r="Z3620" s="52">
        <f>IF(P3620="","",WEEKDAY(B3620,2))</f>
        <v/>
      </c>
      <c r="AA3620" s="52">
        <f>IF(P3620="","",IF(AND(P3620="Gasto",X3620="Variable",D3620&lt;&gt;catTrading,S3620&gt;0,S3620&lt;=Umbral),1,0))</f>
        <v/>
      </c>
      <c r="AB3620" s="52">
        <f>IF(OR(P3620="",Q3620=""),"",IFERROR(IF(INDEX(ctaVinc,MATCH(Q3620,ctaNombre,0))&amp;""&lt;&gt;"",INDEX(ctaVinc,MATCH(Q3620,ctaNombre,0))&amp;"",Q3620),Q3620))</f>
        <v/>
      </c>
      <c r="AC3620" s="52">
        <f>IF(OR(K3620="",AND(P3620&lt;&gt;"Transferencia",P3620&lt;&gt;"Pago tarjeta")),"",IFERROR(IF(INDEX(ctaVinc,MATCH(K3620,ctaNombre,0))&amp;""&lt;&gt;"",INDEX(ctaVinc,MATCH(K3620,ctaNombre,0))&amp;"",K3620),K3620))</f>
        <v/>
      </c>
      <c r="AD3620" s="52">
        <f>IF(AB3620="","",IFERROR(INDEX(ctaTipo,MATCH(AB3620,ctaNombre,0))&amp;"",""))</f>
        <v/>
      </c>
      <c r="AE3620" s="52">
        <f>IF(AC3620="","",IFERROR(INDEX(ctaTipo,MATCH(AC3620,ctaNombre,0))&amp;"",""))</f>
        <v/>
      </c>
      <c r="AF3620" s="53">
        <f>IF(OR(P3620="",AB3620=""),"",IF(OR(P3620="Gasto",P3620="Transferencia",P3620="Pago tarjeta"),-1,1)*IF(IFERROR(INDEX(ctaMoneda,MATCH(AB3620,ctaNombre,0))&amp;"","DOP")="USD",T3620,S3620))</f>
        <v/>
      </c>
      <c r="AG3620" s="53">
        <f>IF(AC3620="","",IF(IFERROR(INDEX(ctaMoneda,MATCH(AC3620,ctaNombre,0))&amp;"","DOP")="USD",T3620,S3620))</f>
        <v/>
      </c>
      <c r="AH3620" s="53">
        <f>IF(P3620="","",IF(AND(AD3620&lt;&gt;"",COUNTIFS(tcTipo,AD3620,tcLiq,"Sí")&gt;0),IF(OR(P3620="Gasto",P3620="Transferencia",P3620="Pago tarjeta"),-1,1)*S3620,0)+IF(AND(AE3620&lt;&gt;"",COUNTIFS(tcTipo,AE3620,tcLiq,"Sí")&gt;0),S3620,0))</f>
        <v/>
      </c>
      <c r="AI3620" s="52">
        <f>IF(OR(L3620="",P3620=""),"",IF(COUNTIFS(L$6:L3620,L3620,P$6:P3620,"?*")=1,MAX(AI$5:AI3619)+1,""))</f>
        <v/>
      </c>
    </row>
    <row r="3621">
      <c r="B3621" s="47" t="n"/>
      <c r="C3621" s="48" t="n"/>
      <c r="D3621" s="48" t="n"/>
      <c r="E3621" s="48" t="n"/>
      <c r="F3621" s="48" t="n"/>
      <c r="G3621" s="49" t="n"/>
      <c r="H3621" s="48" t="n"/>
      <c r="I3621" s="50" t="n"/>
      <c r="J3621" s="48" t="n"/>
      <c r="K3621" s="48" t="n"/>
      <c r="L3621" s="48" t="n"/>
      <c r="M3621" s="48" t="n"/>
      <c r="N3621" s="48" t="n"/>
      <c r="O3621" s="51">
        <f>IF(AND(B3621="",G3621="",C3621="",D3621="",J3621=""),"",IF(B3621="","⚠ Falta fecha",IF(G3621="","⚠ Falta monto",IF(Q3621="","⚠ Falta cuenta",IF(ISNA(MATCH(Q3621,ctaNombre,0)),"⚠ Cuenta no registrada",IF(AND(OR(P3621="Gasto",P3621="Reembolso"),D3621=""),"⚠ Falta categoría",IF(AND(D3621&lt;&gt;"",E3621&lt;&gt;"",ISNA(MATCH(D3621&amp;"|"&amp;E3621,catClave,0))),"⚠ Subcategoría no corresponde",IF(AND(OR(P3621="Transferencia",P3621="Pago tarjeta"),K3621=""),"⚠ Falta cuenta destino",IF(AND(K3621&lt;&gt;"",P3621&lt;&gt;"Transferencia",P3621&lt;&gt;"Pago tarjeta"),"⚠ Destino solo aplica a transferencias",IF(AND(K3621&lt;&gt;"",K3621=Q3621),"⚠ Origen igual a destino",IF(AND(K3621&lt;&gt;"",ISNA(MATCH(K3621,ctaNombre,0))),"⚠ Destino no registrado",IF(AND(P3621="Pago tarjeta",AE3621&lt;&gt;"Tarjeta de crédito"),"⚠ El destino debe ser tarjeta de crédito",IF(AND(P3621="Gasto",E3621="Depósitos y retiros"),"⚠ Usa tipo Transferencia",IF(AND(P3621="Resultado trading",AD3621&lt;&gt;"Cuenta de trading"),"⚠ Usa una cuenta de trading",IF(AND(G3621&lt;=0,P3621&lt;&gt;"Ajuste",P3621&lt;&gt;"Resultado trading"),"⚠ El monto debe ser positivo","✓")))))))))))))))</f>
        <v/>
      </c>
      <c r="P3621" s="52">
        <f>IF(OR(B3621="",G3621=""),"",IF(C3621="","Gasto",C3621))</f>
        <v/>
      </c>
      <c r="Q3621" s="52">
        <f>IF(P3621="","",IF(J3621&lt;&gt;"",J3621,CuentaPred&amp;""))</f>
        <v/>
      </c>
      <c r="R3621" s="52">
        <f>IF(P3621="","",IF(ISNUMBER(I3621),I3621,TasaUSD))</f>
        <v/>
      </c>
      <c r="S3621" s="53">
        <f>IF(P3621="","",IF(H3621="USD",G3621*R3621,G3621))</f>
        <v/>
      </c>
      <c r="T3621" s="53">
        <f>IF(P3621="","",IF(H3621="USD",G3621,IF(R3621&gt;0,G3621/R3621,0)))</f>
        <v/>
      </c>
      <c r="U3621" s="53">
        <f>IF(P3621="","",IF(P3621="Gasto",S3621,IF(P3621="Reembolso",-S3621,0)))</f>
        <v/>
      </c>
      <c r="V3621" s="53">
        <f>IF(P3621="","",IF(P3621="Ingreso",S3621,0))</f>
        <v/>
      </c>
      <c r="W3621" s="53">
        <f>IF(P3621="","",IF(P3621="Resultado trading",S3621,0))</f>
        <v/>
      </c>
      <c r="X3621" s="52">
        <f>IF(OR(P3621="Gasto",P3621="Reembolso"),IF(M3621&lt;&gt;"",M3621,IFERROR(INDEX(catClasif,MATCH(D3621&amp;"|"&amp;E3621,catClave,0))&amp;"","Variable")),"")</f>
        <v/>
      </c>
      <c r="Y3621" s="52">
        <f>IF(P3621="","",IFERROR(INDEX(catGrupo,MATCH(D3621&amp;"|"&amp;E3621,catClave,0))&amp;"",""))</f>
        <v/>
      </c>
      <c r="Z3621" s="52">
        <f>IF(P3621="","",WEEKDAY(B3621,2))</f>
        <v/>
      </c>
      <c r="AA3621" s="52">
        <f>IF(P3621="","",IF(AND(P3621="Gasto",X3621="Variable",D3621&lt;&gt;catTrading,S3621&gt;0,S3621&lt;=Umbral),1,0))</f>
        <v/>
      </c>
      <c r="AB3621" s="52">
        <f>IF(OR(P3621="",Q3621=""),"",IFERROR(IF(INDEX(ctaVinc,MATCH(Q3621,ctaNombre,0))&amp;""&lt;&gt;"",INDEX(ctaVinc,MATCH(Q3621,ctaNombre,0))&amp;"",Q3621),Q3621))</f>
        <v/>
      </c>
      <c r="AC3621" s="52">
        <f>IF(OR(K3621="",AND(P3621&lt;&gt;"Transferencia",P3621&lt;&gt;"Pago tarjeta")),"",IFERROR(IF(INDEX(ctaVinc,MATCH(K3621,ctaNombre,0))&amp;""&lt;&gt;"",INDEX(ctaVinc,MATCH(K3621,ctaNombre,0))&amp;"",K3621),K3621))</f>
        <v/>
      </c>
      <c r="AD3621" s="52">
        <f>IF(AB3621="","",IFERROR(INDEX(ctaTipo,MATCH(AB3621,ctaNombre,0))&amp;"",""))</f>
        <v/>
      </c>
      <c r="AE3621" s="52">
        <f>IF(AC3621="","",IFERROR(INDEX(ctaTipo,MATCH(AC3621,ctaNombre,0))&amp;"",""))</f>
        <v/>
      </c>
      <c r="AF3621" s="53">
        <f>IF(OR(P3621="",AB3621=""),"",IF(OR(P3621="Gasto",P3621="Transferencia",P3621="Pago tarjeta"),-1,1)*IF(IFERROR(INDEX(ctaMoneda,MATCH(AB3621,ctaNombre,0))&amp;"","DOP")="USD",T3621,S3621))</f>
        <v/>
      </c>
      <c r="AG3621" s="53">
        <f>IF(AC3621="","",IF(IFERROR(INDEX(ctaMoneda,MATCH(AC3621,ctaNombre,0))&amp;"","DOP")="USD",T3621,S3621))</f>
        <v/>
      </c>
      <c r="AH3621" s="53">
        <f>IF(P3621="","",IF(AND(AD3621&lt;&gt;"",COUNTIFS(tcTipo,AD3621,tcLiq,"Sí")&gt;0),IF(OR(P3621="Gasto",P3621="Transferencia",P3621="Pago tarjeta"),-1,1)*S3621,0)+IF(AND(AE3621&lt;&gt;"",COUNTIFS(tcTipo,AE3621,tcLiq,"Sí")&gt;0),S3621,0))</f>
        <v/>
      </c>
      <c r="AI3621" s="52">
        <f>IF(OR(L3621="",P3621=""),"",IF(COUNTIFS(L$6:L3621,L3621,P$6:P3621,"?*")=1,MAX(AI$5:AI3620)+1,""))</f>
        <v/>
      </c>
    </row>
    <row r="3622">
      <c r="B3622" s="47" t="n"/>
      <c r="C3622" s="48" t="n"/>
      <c r="D3622" s="48" t="n"/>
      <c r="E3622" s="48" t="n"/>
      <c r="F3622" s="48" t="n"/>
      <c r="G3622" s="49" t="n"/>
      <c r="H3622" s="48" t="n"/>
      <c r="I3622" s="50" t="n"/>
      <c r="J3622" s="48" t="n"/>
      <c r="K3622" s="48" t="n"/>
      <c r="L3622" s="48" t="n"/>
      <c r="M3622" s="48" t="n"/>
      <c r="N3622" s="48" t="n"/>
      <c r="O3622" s="51">
        <f>IF(AND(B3622="",G3622="",C3622="",D3622="",J3622=""),"",IF(B3622="","⚠ Falta fecha",IF(G3622="","⚠ Falta monto",IF(Q3622="","⚠ Falta cuenta",IF(ISNA(MATCH(Q3622,ctaNombre,0)),"⚠ Cuenta no registrada",IF(AND(OR(P3622="Gasto",P3622="Reembolso"),D3622=""),"⚠ Falta categoría",IF(AND(D3622&lt;&gt;"",E3622&lt;&gt;"",ISNA(MATCH(D3622&amp;"|"&amp;E3622,catClave,0))),"⚠ Subcategoría no corresponde",IF(AND(OR(P3622="Transferencia",P3622="Pago tarjeta"),K3622=""),"⚠ Falta cuenta destino",IF(AND(K3622&lt;&gt;"",P3622&lt;&gt;"Transferencia",P3622&lt;&gt;"Pago tarjeta"),"⚠ Destino solo aplica a transferencias",IF(AND(K3622&lt;&gt;"",K3622=Q3622),"⚠ Origen igual a destino",IF(AND(K3622&lt;&gt;"",ISNA(MATCH(K3622,ctaNombre,0))),"⚠ Destino no registrado",IF(AND(P3622="Pago tarjeta",AE3622&lt;&gt;"Tarjeta de crédito"),"⚠ El destino debe ser tarjeta de crédito",IF(AND(P3622="Gasto",E3622="Depósitos y retiros"),"⚠ Usa tipo Transferencia",IF(AND(P3622="Resultado trading",AD3622&lt;&gt;"Cuenta de trading"),"⚠ Usa una cuenta de trading",IF(AND(G3622&lt;=0,P3622&lt;&gt;"Ajuste",P3622&lt;&gt;"Resultado trading"),"⚠ El monto debe ser positivo","✓")))))))))))))))</f>
        <v/>
      </c>
      <c r="P3622" s="52">
        <f>IF(OR(B3622="",G3622=""),"",IF(C3622="","Gasto",C3622))</f>
        <v/>
      </c>
      <c r="Q3622" s="52">
        <f>IF(P3622="","",IF(J3622&lt;&gt;"",J3622,CuentaPred&amp;""))</f>
        <v/>
      </c>
      <c r="R3622" s="52">
        <f>IF(P3622="","",IF(ISNUMBER(I3622),I3622,TasaUSD))</f>
        <v/>
      </c>
      <c r="S3622" s="53">
        <f>IF(P3622="","",IF(H3622="USD",G3622*R3622,G3622))</f>
        <v/>
      </c>
      <c r="T3622" s="53">
        <f>IF(P3622="","",IF(H3622="USD",G3622,IF(R3622&gt;0,G3622/R3622,0)))</f>
        <v/>
      </c>
      <c r="U3622" s="53">
        <f>IF(P3622="","",IF(P3622="Gasto",S3622,IF(P3622="Reembolso",-S3622,0)))</f>
        <v/>
      </c>
      <c r="V3622" s="53">
        <f>IF(P3622="","",IF(P3622="Ingreso",S3622,0))</f>
        <v/>
      </c>
      <c r="W3622" s="53">
        <f>IF(P3622="","",IF(P3622="Resultado trading",S3622,0))</f>
        <v/>
      </c>
      <c r="X3622" s="52">
        <f>IF(OR(P3622="Gasto",P3622="Reembolso"),IF(M3622&lt;&gt;"",M3622,IFERROR(INDEX(catClasif,MATCH(D3622&amp;"|"&amp;E3622,catClave,0))&amp;"","Variable")),"")</f>
        <v/>
      </c>
      <c r="Y3622" s="52">
        <f>IF(P3622="","",IFERROR(INDEX(catGrupo,MATCH(D3622&amp;"|"&amp;E3622,catClave,0))&amp;"",""))</f>
        <v/>
      </c>
      <c r="Z3622" s="52">
        <f>IF(P3622="","",WEEKDAY(B3622,2))</f>
        <v/>
      </c>
      <c r="AA3622" s="52">
        <f>IF(P3622="","",IF(AND(P3622="Gasto",X3622="Variable",D3622&lt;&gt;catTrading,S3622&gt;0,S3622&lt;=Umbral),1,0))</f>
        <v/>
      </c>
      <c r="AB3622" s="52">
        <f>IF(OR(P3622="",Q3622=""),"",IFERROR(IF(INDEX(ctaVinc,MATCH(Q3622,ctaNombre,0))&amp;""&lt;&gt;"",INDEX(ctaVinc,MATCH(Q3622,ctaNombre,0))&amp;"",Q3622),Q3622))</f>
        <v/>
      </c>
      <c r="AC3622" s="52">
        <f>IF(OR(K3622="",AND(P3622&lt;&gt;"Transferencia",P3622&lt;&gt;"Pago tarjeta")),"",IFERROR(IF(INDEX(ctaVinc,MATCH(K3622,ctaNombre,0))&amp;""&lt;&gt;"",INDEX(ctaVinc,MATCH(K3622,ctaNombre,0))&amp;"",K3622),K3622))</f>
        <v/>
      </c>
      <c r="AD3622" s="52">
        <f>IF(AB3622="","",IFERROR(INDEX(ctaTipo,MATCH(AB3622,ctaNombre,0))&amp;"",""))</f>
        <v/>
      </c>
      <c r="AE3622" s="52">
        <f>IF(AC3622="","",IFERROR(INDEX(ctaTipo,MATCH(AC3622,ctaNombre,0))&amp;"",""))</f>
        <v/>
      </c>
      <c r="AF3622" s="53">
        <f>IF(OR(P3622="",AB3622=""),"",IF(OR(P3622="Gasto",P3622="Transferencia",P3622="Pago tarjeta"),-1,1)*IF(IFERROR(INDEX(ctaMoneda,MATCH(AB3622,ctaNombre,0))&amp;"","DOP")="USD",T3622,S3622))</f>
        <v/>
      </c>
      <c r="AG3622" s="53">
        <f>IF(AC3622="","",IF(IFERROR(INDEX(ctaMoneda,MATCH(AC3622,ctaNombre,0))&amp;"","DOP")="USD",T3622,S3622))</f>
        <v/>
      </c>
      <c r="AH3622" s="53">
        <f>IF(P3622="","",IF(AND(AD3622&lt;&gt;"",COUNTIFS(tcTipo,AD3622,tcLiq,"Sí")&gt;0),IF(OR(P3622="Gasto",P3622="Transferencia",P3622="Pago tarjeta"),-1,1)*S3622,0)+IF(AND(AE3622&lt;&gt;"",COUNTIFS(tcTipo,AE3622,tcLiq,"Sí")&gt;0),S3622,0))</f>
        <v/>
      </c>
      <c r="AI3622" s="52">
        <f>IF(OR(L3622="",P3622=""),"",IF(COUNTIFS(L$6:L3622,L3622,P$6:P3622,"?*")=1,MAX(AI$5:AI3621)+1,""))</f>
        <v/>
      </c>
    </row>
    <row r="3623">
      <c r="B3623" s="47" t="n"/>
      <c r="C3623" s="48" t="n"/>
      <c r="D3623" s="48" t="n"/>
      <c r="E3623" s="48" t="n"/>
      <c r="F3623" s="48" t="n"/>
      <c r="G3623" s="49" t="n"/>
      <c r="H3623" s="48" t="n"/>
      <c r="I3623" s="50" t="n"/>
      <c r="J3623" s="48" t="n"/>
      <c r="K3623" s="48" t="n"/>
      <c r="L3623" s="48" t="n"/>
      <c r="M3623" s="48" t="n"/>
      <c r="N3623" s="48" t="n"/>
      <c r="O3623" s="51">
        <f>IF(AND(B3623="",G3623="",C3623="",D3623="",J3623=""),"",IF(B3623="","⚠ Falta fecha",IF(G3623="","⚠ Falta monto",IF(Q3623="","⚠ Falta cuenta",IF(ISNA(MATCH(Q3623,ctaNombre,0)),"⚠ Cuenta no registrada",IF(AND(OR(P3623="Gasto",P3623="Reembolso"),D3623=""),"⚠ Falta categoría",IF(AND(D3623&lt;&gt;"",E3623&lt;&gt;"",ISNA(MATCH(D3623&amp;"|"&amp;E3623,catClave,0))),"⚠ Subcategoría no corresponde",IF(AND(OR(P3623="Transferencia",P3623="Pago tarjeta"),K3623=""),"⚠ Falta cuenta destino",IF(AND(K3623&lt;&gt;"",P3623&lt;&gt;"Transferencia",P3623&lt;&gt;"Pago tarjeta"),"⚠ Destino solo aplica a transferencias",IF(AND(K3623&lt;&gt;"",K3623=Q3623),"⚠ Origen igual a destino",IF(AND(K3623&lt;&gt;"",ISNA(MATCH(K3623,ctaNombre,0))),"⚠ Destino no registrado",IF(AND(P3623="Pago tarjeta",AE3623&lt;&gt;"Tarjeta de crédito"),"⚠ El destino debe ser tarjeta de crédito",IF(AND(P3623="Gasto",E3623="Depósitos y retiros"),"⚠ Usa tipo Transferencia",IF(AND(P3623="Resultado trading",AD3623&lt;&gt;"Cuenta de trading"),"⚠ Usa una cuenta de trading",IF(AND(G3623&lt;=0,P3623&lt;&gt;"Ajuste",P3623&lt;&gt;"Resultado trading"),"⚠ El monto debe ser positivo","✓")))))))))))))))</f>
        <v/>
      </c>
      <c r="P3623" s="52">
        <f>IF(OR(B3623="",G3623=""),"",IF(C3623="","Gasto",C3623))</f>
        <v/>
      </c>
      <c r="Q3623" s="52">
        <f>IF(P3623="","",IF(J3623&lt;&gt;"",J3623,CuentaPred&amp;""))</f>
        <v/>
      </c>
      <c r="R3623" s="52">
        <f>IF(P3623="","",IF(ISNUMBER(I3623),I3623,TasaUSD))</f>
        <v/>
      </c>
      <c r="S3623" s="53">
        <f>IF(P3623="","",IF(H3623="USD",G3623*R3623,G3623))</f>
        <v/>
      </c>
      <c r="T3623" s="53">
        <f>IF(P3623="","",IF(H3623="USD",G3623,IF(R3623&gt;0,G3623/R3623,0)))</f>
        <v/>
      </c>
      <c r="U3623" s="53">
        <f>IF(P3623="","",IF(P3623="Gasto",S3623,IF(P3623="Reembolso",-S3623,0)))</f>
        <v/>
      </c>
      <c r="V3623" s="53">
        <f>IF(P3623="","",IF(P3623="Ingreso",S3623,0))</f>
        <v/>
      </c>
      <c r="W3623" s="53">
        <f>IF(P3623="","",IF(P3623="Resultado trading",S3623,0))</f>
        <v/>
      </c>
      <c r="X3623" s="52">
        <f>IF(OR(P3623="Gasto",P3623="Reembolso"),IF(M3623&lt;&gt;"",M3623,IFERROR(INDEX(catClasif,MATCH(D3623&amp;"|"&amp;E3623,catClave,0))&amp;"","Variable")),"")</f>
        <v/>
      </c>
      <c r="Y3623" s="52">
        <f>IF(P3623="","",IFERROR(INDEX(catGrupo,MATCH(D3623&amp;"|"&amp;E3623,catClave,0))&amp;"",""))</f>
        <v/>
      </c>
      <c r="Z3623" s="52">
        <f>IF(P3623="","",WEEKDAY(B3623,2))</f>
        <v/>
      </c>
      <c r="AA3623" s="52">
        <f>IF(P3623="","",IF(AND(P3623="Gasto",X3623="Variable",D3623&lt;&gt;catTrading,S3623&gt;0,S3623&lt;=Umbral),1,0))</f>
        <v/>
      </c>
      <c r="AB3623" s="52">
        <f>IF(OR(P3623="",Q3623=""),"",IFERROR(IF(INDEX(ctaVinc,MATCH(Q3623,ctaNombre,0))&amp;""&lt;&gt;"",INDEX(ctaVinc,MATCH(Q3623,ctaNombre,0))&amp;"",Q3623),Q3623))</f>
        <v/>
      </c>
      <c r="AC3623" s="52">
        <f>IF(OR(K3623="",AND(P3623&lt;&gt;"Transferencia",P3623&lt;&gt;"Pago tarjeta")),"",IFERROR(IF(INDEX(ctaVinc,MATCH(K3623,ctaNombre,0))&amp;""&lt;&gt;"",INDEX(ctaVinc,MATCH(K3623,ctaNombre,0))&amp;"",K3623),K3623))</f>
        <v/>
      </c>
      <c r="AD3623" s="52">
        <f>IF(AB3623="","",IFERROR(INDEX(ctaTipo,MATCH(AB3623,ctaNombre,0))&amp;"",""))</f>
        <v/>
      </c>
      <c r="AE3623" s="52">
        <f>IF(AC3623="","",IFERROR(INDEX(ctaTipo,MATCH(AC3623,ctaNombre,0))&amp;"",""))</f>
        <v/>
      </c>
      <c r="AF3623" s="53">
        <f>IF(OR(P3623="",AB3623=""),"",IF(OR(P3623="Gasto",P3623="Transferencia",P3623="Pago tarjeta"),-1,1)*IF(IFERROR(INDEX(ctaMoneda,MATCH(AB3623,ctaNombre,0))&amp;"","DOP")="USD",T3623,S3623))</f>
        <v/>
      </c>
      <c r="AG3623" s="53">
        <f>IF(AC3623="","",IF(IFERROR(INDEX(ctaMoneda,MATCH(AC3623,ctaNombre,0))&amp;"","DOP")="USD",T3623,S3623))</f>
        <v/>
      </c>
      <c r="AH3623" s="53">
        <f>IF(P3623="","",IF(AND(AD3623&lt;&gt;"",COUNTIFS(tcTipo,AD3623,tcLiq,"Sí")&gt;0),IF(OR(P3623="Gasto",P3623="Transferencia",P3623="Pago tarjeta"),-1,1)*S3623,0)+IF(AND(AE3623&lt;&gt;"",COUNTIFS(tcTipo,AE3623,tcLiq,"Sí")&gt;0),S3623,0))</f>
        <v/>
      </c>
      <c r="AI3623" s="52">
        <f>IF(OR(L3623="",P3623=""),"",IF(COUNTIFS(L$6:L3623,L3623,P$6:P3623,"?*")=1,MAX(AI$5:AI3622)+1,""))</f>
        <v/>
      </c>
    </row>
    <row r="3624">
      <c r="B3624" s="47" t="n"/>
      <c r="C3624" s="48" t="n"/>
      <c r="D3624" s="48" t="n"/>
      <c r="E3624" s="48" t="n"/>
      <c r="F3624" s="48" t="n"/>
      <c r="G3624" s="49" t="n"/>
      <c r="H3624" s="48" t="n"/>
      <c r="I3624" s="50" t="n"/>
      <c r="J3624" s="48" t="n"/>
      <c r="K3624" s="48" t="n"/>
      <c r="L3624" s="48" t="n"/>
      <c r="M3624" s="48" t="n"/>
      <c r="N3624" s="48" t="n"/>
      <c r="O3624" s="51">
        <f>IF(AND(B3624="",G3624="",C3624="",D3624="",J3624=""),"",IF(B3624="","⚠ Falta fecha",IF(G3624="","⚠ Falta monto",IF(Q3624="","⚠ Falta cuenta",IF(ISNA(MATCH(Q3624,ctaNombre,0)),"⚠ Cuenta no registrada",IF(AND(OR(P3624="Gasto",P3624="Reembolso"),D3624=""),"⚠ Falta categoría",IF(AND(D3624&lt;&gt;"",E3624&lt;&gt;"",ISNA(MATCH(D3624&amp;"|"&amp;E3624,catClave,0))),"⚠ Subcategoría no corresponde",IF(AND(OR(P3624="Transferencia",P3624="Pago tarjeta"),K3624=""),"⚠ Falta cuenta destino",IF(AND(K3624&lt;&gt;"",P3624&lt;&gt;"Transferencia",P3624&lt;&gt;"Pago tarjeta"),"⚠ Destino solo aplica a transferencias",IF(AND(K3624&lt;&gt;"",K3624=Q3624),"⚠ Origen igual a destino",IF(AND(K3624&lt;&gt;"",ISNA(MATCH(K3624,ctaNombre,0))),"⚠ Destino no registrado",IF(AND(P3624="Pago tarjeta",AE3624&lt;&gt;"Tarjeta de crédito"),"⚠ El destino debe ser tarjeta de crédito",IF(AND(P3624="Gasto",E3624="Depósitos y retiros"),"⚠ Usa tipo Transferencia",IF(AND(P3624="Resultado trading",AD3624&lt;&gt;"Cuenta de trading"),"⚠ Usa una cuenta de trading",IF(AND(G3624&lt;=0,P3624&lt;&gt;"Ajuste",P3624&lt;&gt;"Resultado trading"),"⚠ El monto debe ser positivo","✓")))))))))))))))</f>
        <v/>
      </c>
      <c r="P3624" s="52">
        <f>IF(OR(B3624="",G3624=""),"",IF(C3624="","Gasto",C3624))</f>
        <v/>
      </c>
      <c r="Q3624" s="52">
        <f>IF(P3624="","",IF(J3624&lt;&gt;"",J3624,CuentaPred&amp;""))</f>
        <v/>
      </c>
      <c r="R3624" s="52">
        <f>IF(P3624="","",IF(ISNUMBER(I3624),I3624,TasaUSD))</f>
        <v/>
      </c>
      <c r="S3624" s="53">
        <f>IF(P3624="","",IF(H3624="USD",G3624*R3624,G3624))</f>
        <v/>
      </c>
      <c r="T3624" s="53">
        <f>IF(P3624="","",IF(H3624="USD",G3624,IF(R3624&gt;0,G3624/R3624,0)))</f>
        <v/>
      </c>
      <c r="U3624" s="53">
        <f>IF(P3624="","",IF(P3624="Gasto",S3624,IF(P3624="Reembolso",-S3624,0)))</f>
        <v/>
      </c>
      <c r="V3624" s="53">
        <f>IF(P3624="","",IF(P3624="Ingreso",S3624,0))</f>
        <v/>
      </c>
      <c r="W3624" s="53">
        <f>IF(P3624="","",IF(P3624="Resultado trading",S3624,0))</f>
        <v/>
      </c>
      <c r="X3624" s="52">
        <f>IF(OR(P3624="Gasto",P3624="Reembolso"),IF(M3624&lt;&gt;"",M3624,IFERROR(INDEX(catClasif,MATCH(D3624&amp;"|"&amp;E3624,catClave,0))&amp;"","Variable")),"")</f>
        <v/>
      </c>
      <c r="Y3624" s="52">
        <f>IF(P3624="","",IFERROR(INDEX(catGrupo,MATCH(D3624&amp;"|"&amp;E3624,catClave,0))&amp;"",""))</f>
        <v/>
      </c>
      <c r="Z3624" s="52">
        <f>IF(P3624="","",WEEKDAY(B3624,2))</f>
        <v/>
      </c>
      <c r="AA3624" s="52">
        <f>IF(P3624="","",IF(AND(P3624="Gasto",X3624="Variable",D3624&lt;&gt;catTrading,S3624&gt;0,S3624&lt;=Umbral),1,0))</f>
        <v/>
      </c>
      <c r="AB3624" s="52">
        <f>IF(OR(P3624="",Q3624=""),"",IFERROR(IF(INDEX(ctaVinc,MATCH(Q3624,ctaNombre,0))&amp;""&lt;&gt;"",INDEX(ctaVinc,MATCH(Q3624,ctaNombre,0))&amp;"",Q3624),Q3624))</f>
        <v/>
      </c>
      <c r="AC3624" s="52">
        <f>IF(OR(K3624="",AND(P3624&lt;&gt;"Transferencia",P3624&lt;&gt;"Pago tarjeta")),"",IFERROR(IF(INDEX(ctaVinc,MATCH(K3624,ctaNombre,0))&amp;""&lt;&gt;"",INDEX(ctaVinc,MATCH(K3624,ctaNombre,0))&amp;"",K3624),K3624))</f>
        <v/>
      </c>
      <c r="AD3624" s="52">
        <f>IF(AB3624="","",IFERROR(INDEX(ctaTipo,MATCH(AB3624,ctaNombre,0))&amp;"",""))</f>
        <v/>
      </c>
      <c r="AE3624" s="52">
        <f>IF(AC3624="","",IFERROR(INDEX(ctaTipo,MATCH(AC3624,ctaNombre,0))&amp;"",""))</f>
        <v/>
      </c>
      <c r="AF3624" s="53">
        <f>IF(OR(P3624="",AB3624=""),"",IF(OR(P3624="Gasto",P3624="Transferencia",P3624="Pago tarjeta"),-1,1)*IF(IFERROR(INDEX(ctaMoneda,MATCH(AB3624,ctaNombre,0))&amp;"","DOP")="USD",T3624,S3624))</f>
        <v/>
      </c>
      <c r="AG3624" s="53">
        <f>IF(AC3624="","",IF(IFERROR(INDEX(ctaMoneda,MATCH(AC3624,ctaNombre,0))&amp;"","DOP")="USD",T3624,S3624))</f>
        <v/>
      </c>
      <c r="AH3624" s="53">
        <f>IF(P3624="","",IF(AND(AD3624&lt;&gt;"",COUNTIFS(tcTipo,AD3624,tcLiq,"Sí")&gt;0),IF(OR(P3624="Gasto",P3624="Transferencia",P3624="Pago tarjeta"),-1,1)*S3624,0)+IF(AND(AE3624&lt;&gt;"",COUNTIFS(tcTipo,AE3624,tcLiq,"Sí")&gt;0),S3624,0))</f>
        <v/>
      </c>
      <c r="AI3624" s="52">
        <f>IF(OR(L3624="",P3624=""),"",IF(COUNTIFS(L$6:L3624,L3624,P$6:P3624,"?*")=1,MAX(AI$5:AI3623)+1,""))</f>
        <v/>
      </c>
    </row>
    <row r="3625">
      <c r="B3625" s="47" t="n"/>
      <c r="C3625" s="48" t="n"/>
      <c r="D3625" s="48" t="n"/>
      <c r="E3625" s="48" t="n"/>
      <c r="F3625" s="48" t="n"/>
      <c r="G3625" s="49" t="n"/>
      <c r="H3625" s="48" t="n"/>
      <c r="I3625" s="50" t="n"/>
      <c r="J3625" s="48" t="n"/>
      <c r="K3625" s="48" t="n"/>
      <c r="L3625" s="48" t="n"/>
      <c r="M3625" s="48" t="n"/>
      <c r="N3625" s="48" t="n"/>
      <c r="O3625" s="51">
        <f>IF(AND(B3625="",G3625="",C3625="",D3625="",J3625=""),"",IF(B3625="","⚠ Falta fecha",IF(G3625="","⚠ Falta monto",IF(Q3625="","⚠ Falta cuenta",IF(ISNA(MATCH(Q3625,ctaNombre,0)),"⚠ Cuenta no registrada",IF(AND(OR(P3625="Gasto",P3625="Reembolso"),D3625=""),"⚠ Falta categoría",IF(AND(D3625&lt;&gt;"",E3625&lt;&gt;"",ISNA(MATCH(D3625&amp;"|"&amp;E3625,catClave,0))),"⚠ Subcategoría no corresponde",IF(AND(OR(P3625="Transferencia",P3625="Pago tarjeta"),K3625=""),"⚠ Falta cuenta destino",IF(AND(K3625&lt;&gt;"",P3625&lt;&gt;"Transferencia",P3625&lt;&gt;"Pago tarjeta"),"⚠ Destino solo aplica a transferencias",IF(AND(K3625&lt;&gt;"",K3625=Q3625),"⚠ Origen igual a destino",IF(AND(K3625&lt;&gt;"",ISNA(MATCH(K3625,ctaNombre,0))),"⚠ Destino no registrado",IF(AND(P3625="Pago tarjeta",AE3625&lt;&gt;"Tarjeta de crédito"),"⚠ El destino debe ser tarjeta de crédito",IF(AND(P3625="Gasto",E3625="Depósitos y retiros"),"⚠ Usa tipo Transferencia",IF(AND(P3625="Resultado trading",AD3625&lt;&gt;"Cuenta de trading"),"⚠ Usa una cuenta de trading",IF(AND(G3625&lt;=0,P3625&lt;&gt;"Ajuste",P3625&lt;&gt;"Resultado trading"),"⚠ El monto debe ser positivo","✓")))))))))))))))</f>
        <v/>
      </c>
      <c r="P3625" s="52">
        <f>IF(OR(B3625="",G3625=""),"",IF(C3625="","Gasto",C3625))</f>
        <v/>
      </c>
      <c r="Q3625" s="52">
        <f>IF(P3625="","",IF(J3625&lt;&gt;"",J3625,CuentaPred&amp;""))</f>
        <v/>
      </c>
      <c r="R3625" s="52">
        <f>IF(P3625="","",IF(ISNUMBER(I3625),I3625,TasaUSD))</f>
        <v/>
      </c>
      <c r="S3625" s="53">
        <f>IF(P3625="","",IF(H3625="USD",G3625*R3625,G3625))</f>
        <v/>
      </c>
      <c r="T3625" s="53">
        <f>IF(P3625="","",IF(H3625="USD",G3625,IF(R3625&gt;0,G3625/R3625,0)))</f>
        <v/>
      </c>
      <c r="U3625" s="53">
        <f>IF(P3625="","",IF(P3625="Gasto",S3625,IF(P3625="Reembolso",-S3625,0)))</f>
        <v/>
      </c>
      <c r="V3625" s="53">
        <f>IF(P3625="","",IF(P3625="Ingreso",S3625,0))</f>
        <v/>
      </c>
      <c r="W3625" s="53">
        <f>IF(P3625="","",IF(P3625="Resultado trading",S3625,0))</f>
        <v/>
      </c>
      <c r="X3625" s="52">
        <f>IF(OR(P3625="Gasto",P3625="Reembolso"),IF(M3625&lt;&gt;"",M3625,IFERROR(INDEX(catClasif,MATCH(D3625&amp;"|"&amp;E3625,catClave,0))&amp;"","Variable")),"")</f>
        <v/>
      </c>
      <c r="Y3625" s="52">
        <f>IF(P3625="","",IFERROR(INDEX(catGrupo,MATCH(D3625&amp;"|"&amp;E3625,catClave,0))&amp;"",""))</f>
        <v/>
      </c>
      <c r="Z3625" s="52">
        <f>IF(P3625="","",WEEKDAY(B3625,2))</f>
        <v/>
      </c>
      <c r="AA3625" s="52">
        <f>IF(P3625="","",IF(AND(P3625="Gasto",X3625="Variable",D3625&lt;&gt;catTrading,S3625&gt;0,S3625&lt;=Umbral),1,0))</f>
        <v/>
      </c>
      <c r="AB3625" s="52">
        <f>IF(OR(P3625="",Q3625=""),"",IFERROR(IF(INDEX(ctaVinc,MATCH(Q3625,ctaNombre,0))&amp;""&lt;&gt;"",INDEX(ctaVinc,MATCH(Q3625,ctaNombre,0))&amp;"",Q3625),Q3625))</f>
        <v/>
      </c>
      <c r="AC3625" s="52">
        <f>IF(OR(K3625="",AND(P3625&lt;&gt;"Transferencia",P3625&lt;&gt;"Pago tarjeta")),"",IFERROR(IF(INDEX(ctaVinc,MATCH(K3625,ctaNombre,0))&amp;""&lt;&gt;"",INDEX(ctaVinc,MATCH(K3625,ctaNombre,0))&amp;"",K3625),K3625))</f>
        <v/>
      </c>
      <c r="AD3625" s="52">
        <f>IF(AB3625="","",IFERROR(INDEX(ctaTipo,MATCH(AB3625,ctaNombre,0))&amp;"",""))</f>
        <v/>
      </c>
      <c r="AE3625" s="52">
        <f>IF(AC3625="","",IFERROR(INDEX(ctaTipo,MATCH(AC3625,ctaNombre,0))&amp;"",""))</f>
        <v/>
      </c>
      <c r="AF3625" s="53">
        <f>IF(OR(P3625="",AB3625=""),"",IF(OR(P3625="Gasto",P3625="Transferencia",P3625="Pago tarjeta"),-1,1)*IF(IFERROR(INDEX(ctaMoneda,MATCH(AB3625,ctaNombre,0))&amp;"","DOP")="USD",T3625,S3625))</f>
        <v/>
      </c>
      <c r="AG3625" s="53">
        <f>IF(AC3625="","",IF(IFERROR(INDEX(ctaMoneda,MATCH(AC3625,ctaNombre,0))&amp;"","DOP")="USD",T3625,S3625))</f>
        <v/>
      </c>
      <c r="AH3625" s="53">
        <f>IF(P3625="","",IF(AND(AD3625&lt;&gt;"",COUNTIFS(tcTipo,AD3625,tcLiq,"Sí")&gt;0),IF(OR(P3625="Gasto",P3625="Transferencia",P3625="Pago tarjeta"),-1,1)*S3625,0)+IF(AND(AE3625&lt;&gt;"",COUNTIFS(tcTipo,AE3625,tcLiq,"Sí")&gt;0),S3625,0))</f>
        <v/>
      </c>
      <c r="AI3625" s="52">
        <f>IF(OR(L3625="",P3625=""),"",IF(COUNTIFS(L$6:L3625,L3625,P$6:P3625,"?*")=1,MAX(AI$5:AI3624)+1,""))</f>
        <v/>
      </c>
    </row>
    <row r="3626">
      <c r="B3626" s="47" t="n"/>
      <c r="C3626" s="48" t="n"/>
      <c r="D3626" s="48" t="n"/>
      <c r="E3626" s="48" t="n"/>
      <c r="F3626" s="48" t="n"/>
      <c r="G3626" s="49" t="n"/>
      <c r="H3626" s="48" t="n"/>
      <c r="I3626" s="50" t="n"/>
      <c r="J3626" s="48" t="n"/>
      <c r="K3626" s="48" t="n"/>
      <c r="L3626" s="48" t="n"/>
      <c r="M3626" s="48" t="n"/>
      <c r="N3626" s="48" t="n"/>
      <c r="O3626" s="51">
        <f>IF(AND(B3626="",G3626="",C3626="",D3626="",J3626=""),"",IF(B3626="","⚠ Falta fecha",IF(G3626="","⚠ Falta monto",IF(Q3626="","⚠ Falta cuenta",IF(ISNA(MATCH(Q3626,ctaNombre,0)),"⚠ Cuenta no registrada",IF(AND(OR(P3626="Gasto",P3626="Reembolso"),D3626=""),"⚠ Falta categoría",IF(AND(D3626&lt;&gt;"",E3626&lt;&gt;"",ISNA(MATCH(D3626&amp;"|"&amp;E3626,catClave,0))),"⚠ Subcategoría no corresponde",IF(AND(OR(P3626="Transferencia",P3626="Pago tarjeta"),K3626=""),"⚠ Falta cuenta destino",IF(AND(K3626&lt;&gt;"",P3626&lt;&gt;"Transferencia",P3626&lt;&gt;"Pago tarjeta"),"⚠ Destino solo aplica a transferencias",IF(AND(K3626&lt;&gt;"",K3626=Q3626),"⚠ Origen igual a destino",IF(AND(K3626&lt;&gt;"",ISNA(MATCH(K3626,ctaNombre,0))),"⚠ Destino no registrado",IF(AND(P3626="Pago tarjeta",AE3626&lt;&gt;"Tarjeta de crédito"),"⚠ El destino debe ser tarjeta de crédito",IF(AND(P3626="Gasto",E3626="Depósitos y retiros"),"⚠ Usa tipo Transferencia",IF(AND(P3626="Resultado trading",AD3626&lt;&gt;"Cuenta de trading"),"⚠ Usa una cuenta de trading",IF(AND(G3626&lt;=0,P3626&lt;&gt;"Ajuste",P3626&lt;&gt;"Resultado trading"),"⚠ El monto debe ser positivo","✓")))))))))))))))</f>
        <v/>
      </c>
      <c r="P3626" s="52">
        <f>IF(OR(B3626="",G3626=""),"",IF(C3626="","Gasto",C3626))</f>
        <v/>
      </c>
      <c r="Q3626" s="52">
        <f>IF(P3626="","",IF(J3626&lt;&gt;"",J3626,CuentaPred&amp;""))</f>
        <v/>
      </c>
      <c r="R3626" s="52">
        <f>IF(P3626="","",IF(ISNUMBER(I3626),I3626,TasaUSD))</f>
        <v/>
      </c>
      <c r="S3626" s="53">
        <f>IF(P3626="","",IF(H3626="USD",G3626*R3626,G3626))</f>
        <v/>
      </c>
      <c r="T3626" s="53">
        <f>IF(P3626="","",IF(H3626="USD",G3626,IF(R3626&gt;0,G3626/R3626,0)))</f>
        <v/>
      </c>
      <c r="U3626" s="53">
        <f>IF(P3626="","",IF(P3626="Gasto",S3626,IF(P3626="Reembolso",-S3626,0)))</f>
        <v/>
      </c>
      <c r="V3626" s="53">
        <f>IF(P3626="","",IF(P3626="Ingreso",S3626,0))</f>
        <v/>
      </c>
      <c r="W3626" s="53">
        <f>IF(P3626="","",IF(P3626="Resultado trading",S3626,0))</f>
        <v/>
      </c>
      <c r="X3626" s="52">
        <f>IF(OR(P3626="Gasto",P3626="Reembolso"),IF(M3626&lt;&gt;"",M3626,IFERROR(INDEX(catClasif,MATCH(D3626&amp;"|"&amp;E3626,catClave,0))&amp;"","Variable")),"")</f>
        <v/>
      </c>
      <c r="Y3626" s="52">
        <f>IF(P3626="","",IFERROR(INDEX(catGrupo,MATCH(D3626&amp;"|"&amp;E3626,catClave,0))&amp;"",""))</f>
        <v/>
      </c>
      <c r="Z3626" s="52">
        <f>IF(P3626="","",WEEKDAY(B3626,2))</f>
        <v/>
      </c>
      <c r="AA3626" s="52">
        <f>IF(P3626="","",IF(AND(P3626="Gasto",X3626="Variable",D3626&lt;&gt;catTrading,S3626&gt;0,S3626&lt;=Umbral),1,0))</f>
        <v/>
      </c>
      <c r="AB3626" s="52">
        <f>IF(OR(P3626="",Q3626=""),"",IFERROR(IF(INDEX(ctaVinc,MATCH(Q3626,ctaNombre,0))&amp;""&lt;&gt;"",INDEX(ctaVinc,MATCH(Q3626,ctaNombre,0))&amp;"",Q3626),Q3626))</f>
        <v/>
      </c>
      <c r="AC3626" s="52">
        <f>IF(OR(K3626="",AND(P3626&lt;&gt;"Transferencia",P3626&lt;&gt;"Pago tarjeta")),"",IFERROR(IF(INDEX(ctaVinc,MATCH(K3626,ctaNombre,0))&amp;""&lt;&gt;"",INDEX(ctaVinc,MATCH(K3626,ctaNombre,0))&amp;"",K3626),K3626))</f>
        <v/>
      </c>
      <c r="AD3626" s="52">
        <f>IF(AB3626="","",IFERROR(INDEX(ctaTipo,MATCH(AB3626,ctaNombre,0))&amp;"",""))</f>
        <v/>
      </c>
      <c r="AE3626" s="52">
        <f>IF(AC3626="","",IFERROR(INDEX(ctaTipo,MATCH(AC3626,ctaNombre,0))&amp;"",""))</f>
        <v/>
      </c>
      <c r="AF3626" s="53">
        <f>IF(OR(P3626="",AB3626=""),"",IF(OR(P3626="Gasto",P3626="Transferencia",P3626="Pago tarjeta"),-1,1)*IF(IFERROR(INDEX(ctaMoneda,MATCH(AB3626,ctaNombre,0))&amp;"","DOP")="USD",T3626,S3626))</f>
        <v/>
      </c>
      <c r="AG3626" s="53">
        <f>IF(AC3626="","",IF(IFERROR(INDEX(ctaMoneda,MATCH(AC3626,ctaNombre,0))&amp;"","DOP")="USD",T3626,S3626))</f>
        <v/>
      </c>
      <c r="AH3626" s="53">
        <f>IF(P3626="","",IF(AND(AD3626&lt;&gt;"",COUNTIFS(tcTipo,AD3626,tcLiq,"Sí")&gt;0),IF(OR(P3626="Gasto",P3626="Transferencia",P3626="Pago tarjeta"),-1,1)*S3626,0)+IF(AND(AE3626&lt;&gt;"",COUNTIFS(tcTipo,AE3626,tcLiq,"Sí")&gt;0),S3626,0))</f>
        <v/>
      </c>
      <c r="AI3626" s="52">
        <f>IF(OR(L3626="",P3626=""),"",IF(COUNTIFS(L$6:L3626,L3626,P$6:P3626,"?*")=1,MAX(AI$5:AI3625)+1,""))</f>
        <v/>
      </c>
    </row>
    <row r="3627">
      <c r="B3627" s="47" t="n"/>
      <c r="C3627" s="48" t="n"/>
      <c r="D3627" s="48" t="n"/>
      <c r="E3627" s="48" t="n"/>
      <c r="F3627" s="48" t="n"/>
      <c r="G3627" s="49" t="n"/>
      <c r="H3627" s="48" t="n"/>
      <c r="I3627" s="50" t="n"/>
      <c r="J3627" s="48" t="n"/>
      <c r="K3627" s="48" t="n"/>
      <c r="L3627" s="48" t="n"/>
      <c r="M3627" s="48" t="n"/>
      <c r="N3627" s="48" t="n"/>
      <c r="O3627" s="51">
        <f>IF(AND(B3627="",G3627="",C3627="",D3627="",J3627=""),"",IF(B3627="","⚠ Falta fecha",IF(G3627="","⚠ Falta monto",IF(Q3627="","⚠ Falta cuenta",IF(ISNA(MATCH(Q3627,ctaNombre,0)),"⚠ Cuenta no registrada",IF(AND(OR(P3627="Gasto",P3627="Reembolso"),D3627=""),"⚠ Falta categoría",IF(AND(D3627&lt;&gt;"",E3627&lt;&gt;"",ISNA(MATCH(D3627&amp;"|"&amp;E3627,catClave,0))),"⚠ Subcategoría no corresponde",IF(AND(OR(P3627="Transferencia",P3627="Pago tarjeta"),K3627=""),"⚠ Falta cuenta destino",IF(AND(K3627&lt;&gt;"",P3627&lt;&gt;"Transferencia",P3627&lt;&gt;"Pago tarjeta"),"⚠ Destino solo aplica a transferencias",IF(AND(K3627&lt;&gt;"",K3627=Q3627),"⚠ Origen igual a destino",IF(AND(K3627&lt;&gt;"",ISNA(MATCH(K3627,ctaNombre,0))),"⚠ Destino no registrado",IF(AND(P3627="Pago tarjeta",AE3627&lt;&gt;"Tarjeta de crédito"),"⚠ El destino debe ser tarjeta de crédito",IF(AND(P3627="Gasto",E3627="Depósitos y retiros"),"⚠ Usa tipo Transferencia",IF(AND(P3627="Resultado trading",AD3627&lt;&gt;"Cuenta de trading"),"⚠ Usa una cuenta de trading",IF(AND(G3627&lt;=0,P3627&lt;&gt;"Ajuste",P3627&lt;&gt;"Resultado trading"),"⚠ El monto debe ser positivo","✓")))))))))))))))</f>
        <v/>
      </c>
      <c r="P3627" s="52">
        <f>IF(OR(B3627="",G3627=""),"",IF(C3627="","Gasto",C3627))</f>
        <v/>
      </c>
      <c r="Q3627" s="52">
        <f>IF(P3627="","",IF(J3627&lt;&gt;"",J3627,CuentaPred&amp;""))</f>
        <v/>
      </c>
      <c r="R3627" s="52">
        <f>IF(P3627="","",IF(ISNUMBER(I3627),I3627,TasaUSD))</f>
        <v/>
      </c>
      <c r="S3627" s="53">
        <f>IF(P3627="","",IF(H3627="USD",G3627*R3627,G3627))</f>
        <v/>
      </c>
      <c r="T3627" s="53">
        <f>IF(P3627="","",IF(H3627="USD",G3627,IF(R3627&gt;0,G3627/R3627,0)))</f>
        <v/>
      </c>
      <c r="U3627" s="53">
        <f>IF(P3627="","",IF(P3627="Gasto",S3627,IF(P3627="Reembolso",-S3627,0)))</f>
        <v/>
      </c>
      <c r="V3627" s="53">
        <f>IF(P3627="","",IF(P3627="Ingreso",S3627,0))</f>
        <v/>
      </c>
      <c r="W3627" s="53">
        <f>IF(P3627="","",IF(P3627="Resultado trading",S3627,0))</f>
        <v/>
      </c>
      <c r="X3627" s="52">
        <f>IF(OR(P3627="Gasto",P3627="Reembolso"),IF(M3627&lt;&gt;"",M3627,IFERROR(INDEX(catClasif,MATCH(D3627&amp;"|"&amp;E3627,catClave,0))&amp;"","Variable")),"")</f>
        <v/>
      </c>
      <c r="Y3627" s="52">
        <f>IF(P3627="","",IFERROR(INDEX(catGrupo,MATCH(D3627&amp;"|"&amp;E3627,catClave,0))&amp;"",""))</f>
        <v/>
      </c>
      <c r="Z3627" s="52">
        <f>IF(P3627="","",WEEKDAY(B3627,2))</f>
        <v/>
      </c>
      <c r="AA3627" s="52">
        <f>IF(P3627="","",IF(AND(P3627="Gasto",X3627="Variable",D3627&lt;&gt;catTrading,S3627&gt;0,S3627&lt;=Umbral),1,0))</f>
        <v/>
      </c>
      <c r="AB3627" s="52">
        <f>IF(OR(P3627="",Q3627=""),"",IFERROR(IF(INDEX(ctaVinc,MATCH(Q3627,ctaNombre,0))&amp;""&lt;&gt;"",INDEX(ctaVinc,MATCH(Q3627,ctaNombre,0))&amp;"",Q3627),Q3627))</f>
        <v/>
      </c>
      <c r="AC3627" s="52">
        <f>IF(OR(K3627="",AND(P3627&lt;&gt;"Transferencia",P3627&lt;&gt;"Pago tarjeta")),"",IFERROR(IF(INDEX(ctaVinc,MATCH(K3627,ctaNombre,0))&amp;""&lt;&gt;"",INDEX(ctaVinc,MATCH(K3627,ctaNombre,0))&amp;"",K3627),K3627))</f>
        <v/>
      </c>
      <c r="AD3627" s="52">
        <f>IF(AB3627="","",IFERROR(INDEX(ctaTipo,MATCH(AB3627,ctaNombre,0))&amp;"",""))</f>
        <v/>
      </c>
      <c r="AE3627" s="52">
        <f>IF(AC3627="","",IFERROR(INDEX(ctaTipo,MATCH(AC3627,ctaNombre,0))&amp;"",""))</f>
        <v/>
      </c>
      <c r="AF3627" s="53">
        <f>IF(OR(P3627="",AB3627=""),"",IF(OR(P3627="Gasto",P3627="Transferencia",P3627="Pago tarjeta"),-1,1)*IF(IFERROR(INDEX(ctaMoneda,MATCH(AB3627,ctaNombre,0))&amp;"","DOP")="USD",T3627,S3627))</f>
        <v/>
      </c>
      <c r="AG3627" s="53">
        <f>IF(AC3627="","",IF(IFERROR(INDEX(ctaMoneda,MATCH(AC3627,ctaNombre,0))&amp;"","DOP")="USD",T3627,S3627))</f>
        <v/>
      </c>
      <c r="AH3627" s="53">
        <f>IF(P3627="","",IF(AND(AD3627&lt;&gt;"",COUNTIFS(tcTipo,AD3627,tcLiq,"Sí")&gt;0),IF(OR(P3627="Gasto",P3627="Transferencia",P3627="Pago tarjeta"),-1,1)*S3627,0)+IF(AND(AE3627&lt;&gt;"",COUNTIFS(tcTipo,AE3627,tcLiq,"Sí")&gt;0),S3627,0))</f>
        <v/>
      </c>
      <c r="AI3627" s="52">
        <f>IF(OR(L3627="",P3627=""),"",IF(COUNTIFS(L$6:L3627,L3627,P$6:P3627,"?*")=1,MAX(AI$5:AI3626)+1,""))</f>
        <v/>
      </c>
    </row>
    <row r="3628">
      <c r="B3628" s="47" t="n"/>
      <c r="C3628" s="48" t="n"/>
      <c r="D3628" s="48" t="n"/>
      <c r="E3628" s="48" t="n"/>
      <c r="F3628" s="48" t="n"/>
      <c r="G3628" s="49" t="n"/>
      <c r="H3628" s="48" t="n"/>
      <c r="I3628" s="50" t="n"/>
      <c r="J3628" s="48" t="n"/>
      <c r="K3628" s="48" t="n"/>
      <c r="L3628" s="48" t="n"/>
      <c r="M3628" s="48" t="n"/>
      <c r="N3628" s="48" t="n"/>
      <c r="O3628" s="51">
        <f>IF(AND(B3628="",G3628="",C3628="",D3628="",J3628=""),"",IF(B3628="","⚠ Falta fecha",IF(G3628="","⚠ Falta monto",IF(Q3628="","⚠ Falta cuenta",IF(ISNA(MATCH(Q3628,ctaNombre,0)),"⚠ Cuenta no registrada",IF(AND(OR(P3628="Gasto",P3628="Reembolso"),D3628=""),"⚠ Falta categoría",IF(AND(D3628&lt;&gt;"",E3628&lt;&gt;"",ISNA(MATCH(D3628&amp;"|"&amp;E3628,catClave,0))),"⚠ Subcategoría no corresponde",IF(AND(OR(P3628="Transferencia",P3628="Pago tarjeta"),K3628=""),"⚠ Falta cuenta destino",IF(AND(K3628&lt;&gt;"",P3628&lt;&gt;"Transferencia",P3628&lt;&gt;"Pago tarjeta"),"⚠ Destino solo aplica a transferencias",IF(AND(K3628&lt;&gt;"",K3628=Q3628),"⚠ Origen igual a destino",IF(AND(K3628&lt;&gt;"",ISNA(MATCH(K3628,ctaNombre,0))),"⚠ Destino no registrado",IF(AND(P3628="Pago tarjeta",AE3628&lt;&gt;"Tarjeta de crédito"),"⚠ El destino debe ser tarjeta de crédito",IF(AND(P3628="Gasto",E3628="Depósitos y retiros"),"⚠ Usa tipo Transferencia",IF(AND(P3628="Resultado trading",AD3628&lt;&gt;"Cuenta de trading"),"⚠ Usa una cuenta de trading",IF(AND(G3628&lt;=0,P3628&lt;&gt;"Ajuste",P3628&lt;&gt;"Resultado trading"),"⚠ El monto debe ser positivo","✓")))))))))))))))</f>
        <v/>
      </c>
      <c r="P3628" s="52">
        <f>IF(OR(B3628="",G3628=""),"",IF(C3628="","Gasto",C3628))</f>
        <v/>
      </c>
      <c r="Q3628" s="52">
        <f>IF(P3628="","",IF(J3628&lt;&gt;"",J3628,CuentaPred&amp;""))</f>
        <v/>
      </c>
      <c r="R3628" s="52">
        <f>IF(P3628="","",IF(ISNUMBER(I3628),I3628,TasaUSD))</f>
        <v/>
      </c>
      <c r="S3628" s="53">
        <f>IF(P3628="","",IF(H3628="USD",G3628*R3628,G3628))</f>
        <v/>
      </c>
      <c r="T3628" s="53">
        <f>IF(P3628="","",IF(H3628="USD",G3628,IF(R3628&gt;0,G3628/R3628,0)))</f>
        <v/>
      </c>
      <c r="U3628" s="53">
        <f>IF(P3628="","",IF(P3628="Gasto",S3628,IF(P3628="Reembolso",-S3628,0)))</f>
        <v/>
      </c>
      <c r="V3628" s="53">
        <f>IF(P3628="","",IF(P3628="Ingreso",S3628,0))</f>
        <v/>
      </c>
      <c r="W3628" s="53">
        <f>IF(P3628="","",IF(P3628="Resultado trading",S3628,0))</f>
        <v/>
      </c>
      <c r="X3628" s="52">
        <f>IF(OR(P3628="Gasto",P3628="Reembolso"),IF(M3628&lt;&gt;"",M3628,IFERROR(INDEX(catClasif,MATCH(D3628&amp;"|"&amp;E3628,catClave,0))&amp;"","Variable")),"")</f>
        <v/>
      </c>
      <c r="Y3628" s="52">
        <f>IF(P3628="","",IFERROR(INDEX(catGrupo,MATCH(D3628&amp;"|"&amp;E3628,catClave,0))&amp;"",""))</f>
        <v/>
      </c>
      <c r="Z3628" s="52">
        <f>IF(P3628="","",WEEKDAY(B3628,2))</f>
        <v/>
      </c>
      <c r="AA3628" s="52">
        <f>IF(P3628="","",IF(AND(P3628="Gasto",X3628="Variable",D3628&lt;&gt;catTrading,S3628&gt;0,S3628&lt;=Umbral),1,0))</f>
        <v/>
      </c>
      <c r="AB3628" s="52">
        <f>IF(OR(P3628="",Q3628=""),"",IFERROR(IF(INDEX(ctaVinc,MATCH(Q3628,ctaNombre,0))&amp;""&lt;&gt;"",INDEX(ctaVinc,MATCH(Q3628,ctaNombre,0))&amp;"",Q3628),Q3628))</f>
        <v/>
      </c>
      <c r="AC3628" s="52">
        <f>IF(OR(K3628="",AND(P3628&lt;&gt;"Transferencia",P3628&lt;&gt;"Pago tarjeta")),"",IFERROR(IF(INDEX(ctaVinc,MATCH(K3628,ctaNombre,0))&amp;""&lt;&gt;"",INDEX(ctaVinc,MATCH(K3628,ctaNombre,0))&amp;"",K3628),K3628))</f>
        <v/>
      </c>
      <c r="AD3628" s="52">
        <f>IF(AB3628="","",IFERROR(INDEX(ctaTipo,MATCH(AB3628,ctaNombre,0))&amp;"",""))</f>
        <v/>
      </c>
      <c r="AE3628" s="52">
        <f>IF(AC3628="","",IFERROR(INDEX(ctaTipo,MATCH(AC3628,ctaNombre,0))&amp;"",""))</f>
        <v/>
      </c>
      <c r="AF3628" s="53">
        <f>IF(OR(P3628="",AB3628=""),"",IF(OR(P3628="Gasto",P3628="Transferencia",P3628="Pago tarjeta"),-1,1)*IF(IFERROR(INDEX(ctaMoneda,MATCH(AB3628,ctaNombre,0))&amp;"","DOP")="USD",T3628,S3628))</f>
        <v/>
      </c>
      <c r="AG3628" s="53">
        <f>IF(AC3628="","",IF(IFERROR(INDEX(ctaMoneda,MATCH(AC3628,ctaNombre,0))&amp;"","DOP")="USD",T3628,S3628))</f>
        <v/>
      </c>
      <c r="AH3628" s="53">
        <f>IF(P3628="","",IF(AND(AD3628&lt;&gt;"",COUNTIFS(tcTipo,AD3628,tcLiq,"Sí")&gt;0),IF(OR(P3628="Gasto",P3628="Transferencia",P3628="Pago tarjeta"),-1,1)*S3628,0)+IF(AND(AE3628&lt;&gt;"",COUNTIFS(tcTipo,AE3628,tcLiq,"Sí")&gt;0),S3628,0))</f>
        <v/>
      </c>
      <c r="AI3628" s="52">
        <f>IF(OR(L3628="",P3628=""),"",IF(COUNTIFS(L$6:L3628,L3628,P$6:P3628,"?*")=1,MAX(AI$5:AI3627)+1,""))</f>
        <v/>
      </c>
    </row>
    <row r="3629">
      <c r="B3629" s="47" t="n"/>
      <c r="C3629" s="48" t="n"/>
      <c r="D3629" s="48" t="n"/>
      <c r="E3629" s="48" t="n"/>
      <c r="F3629" s="48" t="n"/>
      <c r="G3629" s="49" t="n"/>
      <c r="H3629" s="48" t="n"/>
      <c r="I3629" s="50" t="n"/>
      <c r="J3629" s="48" t="n"/>
      <c r="K3629" s="48" t="n"/>
      <c r="L3629" s="48" t="n"/>
      <c r="M3629" s="48" t="n"/>
      <c r="N3629" s="48" t="n"/>
      <c r="O3629" s="51">
        <f>IF(AND(B3629="",G3629="",C3629="",D3629="",J3629=""),"",IF(B3629="","⚠ Falta fecha",IF(G3629="","⚠ Falta monto",IF(Q3629="","⚠ Falta cuenta",IF(ISNA(MATCH(Q3629,ctaNombre,0)),"⚠ Cuenta no registrada",IF(AND(OR(P3629="Gasto",P3629="Reembolso"),D3629=""),"⚠ Falta categoría",IF(AND(D3629&lt;&gt;"",E3629&lt;&gt;"",ISNA(MATCH(D3629&amp;"|"&amp;E3629,catClave,0))),"⚠ Subcategoría no corresponde",IF(AND(OR(P3629="Transferencia",P3629="Pago tarjeta"),K3629=""),"⚠ Falta cuenta destino",IF(AND(K3629&lt;&gt;"",P3629&lt;&gt;"Transferencia",P3629&lt;&gt;"Pago tarjeta"),"⚠ Destino solo aplica a transferencias",IF(AND(K3629&lt;&gt;"",K3629=Q3629),"⚠ Origen igual a destino",IF(AND(K3629&lt;&gt;"",ISNA(MATCH(K3629,ctaNombre,0))),"⚠ Destino no registrado",IF(AND(P3629="Pago tarjeta",AE3629&lt;&gt;"Tarjeta de crédito"),"⚠ El destino debe ser tarjeta de crédito",IF(AND(P3629="Gasto",E3629="Depósitos y retiros"),"⚠ Usa tipo Transferencia",IF(AND(P3629="Resultado trading",AD3629&lt;&gt;"Cuenta de trading"),"⚠ Usa una cuenta de trading",IF(AND(G3629&lt;=0,P3629&lt;&gt;"Ajuste",P3629&lt;&gt;"Resultado trading"),"⚠ El monto debe ser positivo","✓")))))))))))))))</f>
        <v/>
      </c>
      <c r="P3629" s="52">
        <f>IF(OR(B3629="",G3629=""),"",IF(C3629="","Gasto",C3629))</f>
        <v/>
      </c>
      <c r="Q3629" s="52">
        <f>IF(P3629="","",IF(J3629&lt;&gt;"",J3629,CuentaPred&amp;""))</f>
        <v/>
      </c>
      <c r="R3629" s="52">
        <f>IF(P3629="","",IF(ISNUMBER(I3629),I3629,TasaUSD))</f>
        <v/>
      </c>
      <c r="S3629" s="53">
        <f>IF(P3629="","",IF(H3629="USD",G3629*R3629,G3629))</f>
        <v/>
      </c>
      <c r="T3629" s="53">
        <f>IF(P3629="","",IF(H3629="USD",G3629,IF(R3629&gt;0,G3629/R3629,0)))</f>
        <v/>
      </c>
      <c r="U3629" s="53">
        <f>IF(P3629="","",IF(P3629="Gasto",S3629,IF(P3629="Reembolso",-S3629,0)))</f>
        <v/>
      </c>
      <c r="V3629" s="53">
        <f>IF(P3629="","",IF(P3629="Ingreso",S3629,0))</f>
        <v/>
      </c>
      <c r="W3629" s="53">
        <f>IF(P3629="","",IF(P3629="Resultado trading",S3629,0))</f>
        <v/>
      </c>
      <c r="X3629" s="52">
        <f>IF(OR(P3629="Gasto",P3629="Reembolso"),IF(M3629&lt;&gt;"",M3629,IFERROR(INDEX(catClasif,MATCH(D3629&amp;"|"&amp;E3629,catClave,0))&amp;"","Variable")),"")</f>
        <v/>
      </c>
      <c r="Y3629" s="52">
        <f>IF(P3629="","",IFERROR(INDEX(catGrupo,MATCH(D3629&amp;"|"&amp;E3629,catClave,0))&amp;"",""))</f>
        <v/>
      </c>
      <c r="Z3629" s="52">
        <f>IF(P3629="","",WEEKDAY(B3629,2))</f>
        <v/>
      </c>
      <c r="AA3629" s="52">
        <f>IF(P3629="","",IF(AND(P3629="Gasto",X3629="Variable",D3629&lt;&gt;catTrading,S3629&gt;0,S3629&lt;=Umbral),1,0))</f>
        <v/>
      </c>
      <c r="AB3629" s="52">
        <f>IF(OR(P3629="",Q3629=""),"",IFERROR(IF(INDEX(ctaVinc,MATCH(Q3629,ctaNombre,0))&amp;""&lt;&gt;"",INDEX(ctaVinc,MATCH(Q3629,ctaNombre,0))&amp;"",Q3629),Q3629))</f>
        <v/>
      </c>
      <c r="AC3629" s="52">
        <f>IF(OR(K3629="",AND(P3629&lt;&gt;"Transferencia",P3629&lt;&gt;"Pago tarjeta")),"",IFERROR(IF(INDEX(ctaVinc,MATCH(K3629,ctaNombre,0))&amp;""&lt;&gt;"",INDEX(ctaVinc,MATCH(K3629,ctaNombre,0))&amp;"",K3629),K3629))</f>
        <v/>
      </c>
      <c r="AD3629" s="52">
        <f>IF(AB3629="","",IFERROR(INDEX(ctaTipo,MATCH(AB3629,ctaNombre,0))&amp;"",""))</f>
        <v/>
      </c>
      <c r="AE3629" s="52">
        <f>IF(AC3629="","",IFERROR(INDEX(ctaTipo,MATCH(AC3629,ctaNombre,0))&amp;"",""))</f>
        <v/>
      </c>
      <c r="AF3629" s="53">
        <f>IF(OR(P3629="",AB3629=""),"",IF(OR(P3629="Gasto",P3629="Transferencia",P3629="Pago tarjeta"),-1,1)*IF(IFERROR(INDEX(ctaMoneda,MATCH(AB3629,ctaNombre,0))&amp;"","DOP")="USD",T3629,S3629))</f>
        <v/>
      </c>
      <c r="AG3629" s="53">
        <f>IF(AC3629="","",IF(IFERROR(INDEX(ctaMoneda,MATCH(AC3629,ctaNombre,0))&amp;"","DOP")="USD",T3629,S3629))</f>
        <v/>
      </c>
      <c r="AH3629" s="53">
        <f>IF(P3629="","",IF(AND(AD3629&lt;&gt;"",COUNTIFS(tcTipo,AD3629,tcLiq,"Sí")&gt;0),IF(OR(P3629="Gasto",P3629="Transferencia",P3629="Pago tarjeta"),-1,1)*S3629,0)+IF(AND(AE3629&lt;&gt;"",COUNTIFS(tcTipo,AE3629,tcLiq,"Sí")&gt;0),S3629,0))</f>
        <v/>
      </c>
      <c r="AI3629" s="52">
        <f>IF(OR(L3629="",P3629=""),"",IF(COUNTIFS(L$6:L3629,L3629,P$6:P3629,"?*")=1,MAX(AI$5:AI3628)+1,""))</f>
        <v/>
      </c>
    </row>
    <row r="3630">
      <c r="B3630" s="47" t="n"/>
      <c r="C3630" s="48" t="n"/>
      <c r="D3630" s="48" t="n"/>
      <c r="E3630" s="48" t="n"/>
      <c r="F3630" s="48" t="n"/>
      <c r="G3630" s="49" t="n"/>
      <c r="H3630" s="48" t="n"/>
      <c r="I3630" s="50" t="n"/>
      <c r="J3630" s="48" t="n"/>
      <c r="K3630" s="48" t="n"/>
      <c r="L3630" s="48" t="n"/>
      <c r="M3630" s="48" t="n"/>
      <c r="N3630" s="48" t="n"/>
      <c r="O3630" s="51">
        <f>IF(AND(B3630="",G3630="",C3630="",D3630="",J3630=""),"",IF(B3630="","⚠ Falta fecha",IF(G3630="","⚠ Falta monto",IF(Q3630="","⚠ Falta cuenta",IF(ISNA(MATCH(Q3630,ctaNombre,0)),"⚠ Cuenta no registrada",IF(AND(OR(P3630="Gasto",P3630="Reembolso"),D3630=""),"⚠ Falta categoría",IF(AND(D3630&lt;&gt;"",E3630&lt;&gt;"",ISNA(MATCH(D3630&amp;"|"&amp;E3630,catClave,0))),"⚠ Subcategoría no corresponde",IF(AND(OR(P3630="Transferencia",P3630="Pago tarjeta"),K3630=""),"⚠ Falta cuenta destino",IF(AND(K3630&lt;&gt;"",P3630&lt;&gt;"Transferencia",P3630&lt;&gt;"Pago tarjeta"),"⚠ Destino solo aplica a transferencias",IF(AND(K3630&lt;&gt;"",K3630=Q3630),"⚠ Origen igual a destino",IF(AND(K3630&lt;&gt;"",ISNA(MATCH(K3630,ctaNombre,0))),"⚠ Destino no registrado",IF(AND(P3630="Pago tarjeta",AE3630&lt;&gt;"Tarjeta de crédito"),"⚠ El destino debe ser tarjeta de crédito",IF(AND(P3630="Gasto",E3630="Depósitos y retiros"),"⚠ Usa tipo Transferencia",IF(AND(P3630="Resultado trading",AD3630&lt;&gt;"Cuenta de trading"),"⚠ Usa una cuenta de trading",IF(AND(G3630&lt;=0,P3630&lt;&gt;"Ajuste",P3630&lt;&gt;"Resultado trading"),"⚠ El monto debe ser positivo","✓")))))))))))))))</f>
        <v/>
      </c>
      <c r="P3630" s="52">
        <f>IF(OR(B3630="",G3630=""),"",IF(C3630="","Gasto",C3630))</f>
        <v/>
      </c>
      <c r="Q3630" s="52">
        <f>IF(P3630="","",IF(J3630&lt;&gt;"",J3630,CuentaPred&amp;""))</f>
        <v/>
      </c>
      <c r="R3630" s="52">
        <f>IF(P3630="","",IF(ISNUMBER(I3630),I3630,TasaUSD))</f>
        <v/>
      </c>
      <c r="S3630" s="53">
        <f>IF(P3630="","",IF(H3630="USD",G3630*R3630,G3630))</f>
        <v/>
      </c>
      <c r="T3630" s="53">
        <f>IF(P3630="","",IF(H3630="USD",G3630,IF(R3630&gt;0,G3630/R3630,0)))</f>
        <v/>
      </c>
      <c r="U3630" s="53">
        <f>IF(P3630="","",IF(P3630="Gasto",S3630,IF(P3630="Reembolso",-S3630,0)))</f>
        <v/>
      </c>
      <c r="V3630" s="53">
        <f>IF(P3630="","",IF(P3630="Ingreso",S3630,0))</f>
        <v/>
      </c>
      <c r="W3630" s="53">
        <f>IF(P3630="","",IF(P3630="Resultado trading",S3630,0))</f>
        <v/>
      </c>
      <c r="X3630" s="52">
        <f>IF(OR(P3630="Gasto",P3630="Reembolso"),IF(M3630&lt;&gt;"",M3630,IFERROR(INDEX(catClasif,MATCH(D3630&amp;"|"&amp;E3630,catClave,0))&amp;"","Variable")),"")</f>
        <v/>
      </c>
      <c r="Y3630" s="52">
        <f>IF(P3630="","",IFERROR(INDEX(catGrupo,MATCH(D3630&amp;"|"&amp;E3630,catClave,0))&amp;"",""))</f>
        <v/>
      </c>
      <c r="Z3630" s="52">
        <f>IF(P3630="","",WEEKDAY(B3630,2))</f>
        <v/>
      </c>
      <c r="AA3630" s="52">
        <f>IF(P3630="","",IF(AND(P3630="Gasto",X3630="Variable",D3630&lt;&gt;catTrading,S3630&gt;0,S3630&lt;=Umbral),1,0))</f>
        <v/>
      </c>
      <c r="AB3630" s="52">
        <f>IF(OR(P3630="",Q3630=""),"",IFERROR(IF(INDEX(ctaVinc,MATCH(Q3630,ctaNombre,0))&amp;""&lt;&gt;"",INDEX(ctaVinc,MATCH(Q3630,ctaNombre,0))&amp;"",Q3630),Q3630))</f>
        <v/>
      </c>
      <c r="AC3630" s="52">
        <f>IF(OR(K3630="",AND(P3630&lt;&gt;"Transferencia",P3630&lt;&gt;"Pago tarjeta")),"",IFERROR(IF(INDEX(ctaVinc,MATCH(K3630,ctaNombre,0))&amp;""&lt;&gt;"",INDEX(ctaVinc,MATCH(K3630,ctaNombre,0))&amp;"",K3630),K3630))</f>
        <v/>
      </c>
      <c r="AD3630" s="52">
        <f>IF(AB3630="","",IFERROR(INDEX(ctaTipo,MATCH(AB3630,ctaNombre,0))&amp;"",""))</f>
        <v/>
      </c>
      <c r="AE3630" s="52">
        <f>IF(AC3630="","",IFERROR(INDEX(ctaTipo,MATCH(AC3630,ctaNombre,0))&amp;"",""))</f>
        <v/>
      </c>
      <c r="AF3630" s="53">
        <f>IF(OR(P3630="",AB3630=""),"",IF(OR(P3630="Gasto",P3630="Transferencia",P3630="Pago tarjeta"),-1,1)*IF(IFERROR(INDEX(ctaMoneda,MATCH(AB3630,ctaNombre,0))&amp;"","DOP")="USD",T3630,S3630))</f>
        <v/>
      </c>
      <c r="AG3630" s="53">
        <f>IF(AC3630="","",IF(IFERROR(INDEX(ctaMoneda,MATCH(AC3630,ctaNombre,0))&amp;"","DOP")="USD",T3630,S3630))</f>
        <v/>
      </c>
      <c r="AH3630" s="53">
        <f>IF(P3630="","",IF(AND(AD3630&lt;&gt;"",COUNTIFS(tcTipo,AD3630,tcLiq,"Sí")&gt;0),IF(OR(P3630="Gasto",P3630="Transferencia",P3630="Pago tarjeta"),-1,1)*S3630,0)+IF(AND(AE3630&lt;&gt;"",COUNTIFS(tcTipo,AE3630,tcLiq,"Sí")&gt;0),S3630,0))</f>
        <v/>
      </c>
      <c r="AI3630" s="52">
        <f>IF(OR(L3630="",P3630=""),"",IF(COUNTIFS(L$6:L3630,L3630,P$6:P3630,"?*")=1,MAX(AI$5:AI3629)+1,""))</f>
        <v/>
      </c>
    </row>
    <row r="3631">
      <c r="B3631" s="47" t="n"/>
      <c r="C3631" s="48" t="n"/>
      <c r="D3631" s="48" t="n"/>
      <c r="E3631" s="48" t="n"/>
      <c r="F3631" s="48" t="n"/>
      <c r="G3631" s="49" t="n"/>
      <c r="H3631" s="48" t="n"/>
      <c r="I3631" s="50" t="n"/>
      <c r="J3631" s="48" t="n"/>
      <c r="K3631" s="48" t="n"/>
      <c r="L3631" s="48" t="n"/>
      <c r="M3631" s="48" t="n"/>
      <c r="N3631" s="48" t="n"/>
      <c r="O3631" s="51">
        <f>IF(AND(B3631="",G3631="",C3631="",D3631="",J3631=""),"",IF(B3631="","⚠ Falta fecha",IF(G3631="","⚠ Falta monto",IF(Q3631="","⚠ Falta cuenta",IF(ISNA(MATCH(Q3631,ctaNombre,0)),"⚠ Cuenta no registrada",IF(AND(OR(P3631="Gasto",P3631="Reembolso"),D3631=""),"⚠ Falta categoría",IF(AND(D3631&lt;&gt;"",E3631&lt;&gt;"",ISNA(MATCH(D3631&amp;"|"&amp;E3631,catClave,0))),"⚠ Subcategoría no corresponde",IF(AND(OR(P3631="Transferencia",P3631="Pago tarjeta"),K3631=""),"⚠ Falta cuenta destino",IF(AND(K3631&lt;&gt;"",P3631&lt;&gt;"Transferencia",P3631&lt;&gt;"Pago tarjeta"),"⚠ Destino solo aplica a transferencias",IF(AND(K3631&lt;&gt;"",K3631=Q3631),"⚠ Origen igual a destino",IF(AND(K3631&lt;&gt;"",ISNA(MATCH(K3631,ctaNombre,0))),"⚠ Destino no registrado",IF(AND(P3631="Pago tarjeta",AE3631&lt;&gt;"Tarjeta de crédito"),"⚠ El destino debe ser tarjeta de crédito",IF(AND(P3631="Gasto",E3631="Depósitos y retiros"),"⚠ Usa tipo Transferencia",IF(AND(P3631="Resultado trading",AD3631&lt;&gt;"Cuenta de trading"),"⚠ Usa una cuenta de trading",IF(AND(G3631&lt;=0,P3631&lt;&gt;"Ajuste",P3631&lt;&gt;"Resultado trading"),"⚠ El monto debe ser positivo","✓")))))))))))))))</f>
        <v/>
      </c>
      <c r="P3631" s="52">
        <f>IF(OR(B3631="",G3631=""),"",IF(C3631="","Gasto",C3631))</f>
        <v/>
      </c>
      <c r="Q3631" s="52">
        <f>IF(P3631="","",IF(J3631&lt;&gt;"",J3631,CuentaPred&amp;""))</f>
        <v/>
      </c>
      <c r="R3631" s="52">
        <f>IF(P3631="","",IF(ISNUMBER(I3631),I3631,TasaUSD))</f>
        <v/>
      </c>
      <c r="S3631" s="53">
        <f>IF(P3631="","",IF(H3631="USD",G3631*R3631,G3631))</f>
        <v/>
      </c>
      <c r="T3631" s="53">
        <f>IF(P3631="","",IF(H3631="USD",G3631,IF(R3631&gt;0,G3631/R3631,0)))</f>
        <v/>
      </c>
      <c r="U3631" s="53">
        <f>IF(P3631="","",IF(P3631="Gasto",S3631,IF(P3631="Reembolso",-S3631,0)))</f>
        <v/>
      </c>
      <c r="V3631" s="53">
        <f>IF(P3631="","",IF(P3631="Ingreso",S3631,0))</f>
        <v/>
      </c>
      <c r="W3631" s="53">
        <f>IF(P3631="","",IF(P3631="Resultado trading",S3631,0))</f>
        <v/>
      </c>
      <c r="X3631" s="52">
        <f>IF(OR(P3631="Gasto",P3631="Reembolso"),IF(M3631&lt;&gt;"",M3631,IFERROR(INDEX(catClasif,MATCH(D3631&amp;"|"&amp;E3631,catClave,0))&amp;"","Variable")),"")</f>
        <v/>
      </c>
      <c r="Y3631" s="52">
        <f>IF(P3631="","",IFERROR(INDEX(catGrupo,MATCH(D3631&amp;"|"&amp;E3631,catClave,0))&amp;"",""))</f>
        <v/>
      </c>
      <c r="Z3631" s="52">
        <f>IF(P3631="","",WEEKDAY(B3631,2))</f>
        <v/>
      </c>
      <c r="AA3631" s="52">
        <f>IF(P3631="","",IF(AND(P3631="Gasto",X3631="Variable",D3631&lt;&gt;catTrading,S3631&gt;0,S3631&lt;=Umbral),1,0))</f>
        <v/>
      </c>
      <c r="AB3631" s="52">
        <f>IF(OR(P3631="",Q3631=""),"",IFERROR(IF(INDEX(ctaVinc,MATCH(Q3631,ctaNombre,0))&amp;""&lt;&gt;"",INDEX(ctaVinc,MATCH(Q3631,ctaNombre,0))&amp;"",Q3631),Q3631))</f>
        <v/>
      </c>
      <c r="AC3631" s="52">
        <f>IF(OR(K3631="",AND(P3631&lt;&gt;"Transferencia",P3631&lt;&gt;"Pago tarjeta")),"",IFERROR(IF(INDEX(ctaVinc,MATCH(K3631,ctaNombre,0))&amp;""&lt;&gt;"",INDEX(ctaVinc,MATCH(K3631,ctaNombre,0))&amp;"",K3631),K3631))</f>
        <v/>
      </c>
      <c r="AD3631" s="52">
        <f>IF(AB3631="","",IFERROR(INDEX(ctaTipo,MATCH(AB3631,ctaNombre,0))&amp;"",""))</f>
        <v/>
      </c>
      <c r="AE3631" s="52">
        <f>IF(AC3631="","",IFERROR(INDEX(ctaTipo,MATCH(AC3631,ctaNombre,0))&amp;"",""))</f>
        <v/>
      </c>
      <c r="AF3631" s="53">
        <f>IF(OR(P3631="",AB3631=""),"",IF(OR(P3631="Gasto",P3631="Transferencia",P3631="Pago tarjeta"),-1,1)*IF(IFERROR(INDEX(ctaMoneda,MATCH(AB3631,ctaNombre,0))&amp;"","DOP")="USD",T3631,S3631))</f>
        <v/>
      </c>
      <c r="AG3631" s="53">
        <f>IF(AC3631="","",IF(IFERROR(INDEX(ctaMoneda,MATCH(AC3631,ctaNombre,0))&amp;"","DOP")="USD",T3631,S3631))</f>
        <v/>
      </c>
      <c r="AH3631" s="53">
        <f>IF(P3631="","",IF(AND(AD3631&lt;&gt;"",COUNTIFS(tcTipo,AD3631,tcLiq,"Sí")&gt;0),IF(OR(P3631="Gasto",P3631="Transferencia",P3631="Pago tarjeta"),-1,1)*S3631,0)+IF(AND(AE3631&lt;&gt;"",COUNTIFS(tcTipo,AE3631,tcLiq,"Sí")&gt;0),S3631,0))</f>
        <v/>
      </c>
      <c r="AI3631" s="52">
        <f>IF(OR(L3631="",P3631=""),"",IF(COUNTIFS(L$6:L3631,L3631,P$6:P3631,"?*")=1,MAX(AI$5:AI3630)+1,""))</f>
        <v/>
      </c>
    </row>
    <row r="3632">
      <c r="B3632" s="47" t="n"/>
      <c r="C3632" s="48" t="n"/>
      <c r="D3632" s="48" t="n"/>
      <c r="E3632" s="48" t="n"/>
      <c r="F3632" s="48" t="n"/>
      <c r="G3632" s="49" t="n"/>
      <c r="H3632" s="48" t="n"/>
      <c r="I3632" s="50" t="n"/>
      <c r="J3632" s="48" t="n"/>
      <c r="K3632" s="48" t="n"/>
      <c r="L3632" s="48" t="n"/>
      <c r="M3632" s="48" t="n"/>
      <c r="N3632" s="48" t="n"/>
      <c r="O3632" s="51">
        <f>IF(AND(B3632="",G3632="",C3632="",D3632="",J3632=""),"",IF(B3632="","⚠ Falta fecha",IF(G3632="","⚠ Falta monto",IF(Q3632="","⚠ Falta cuenta",IF(ISNA(MATCH(Q3632,ctaNombre,0)),"⚠ Cuenta no registrada",IF(AND(OR(P3632="Gasto",P3632="Reembolso"),D3632=""),"⚠ Falta categoría",IF(AND(D3632&lt;&gt;"",E3632&lt;&gt;"",ISNA(MATCH(D3632&amp;"|"&amp;E3632,catClave,0))),"⚠ Subcategoría no corresponde",IF(AND(OR(P3632="Transferencia",P3632="Pago tarjeta"),K3632=""),"⚠ Falta cuenta destino",IF(AND(K3632&lt;&gt;"",P3632&lt;&gt;"Transferencia",P3632&lt;&gt;"Pago tarjeta"),"⚠ Destino solo aplica a transferencias",IF(AND(K3632&lt;&gt;"",K3632=Q3632),"⚠ Origen igual a destino",IF(AND(K3632&lt;&gt;"",ISNA(MATCH(K3632,ctaNombre,0))),"⚠ Destino no registrado",IF(AND(P3632="Pago tarjeta",AE3632&lt;&gt;"Tarjeta de crédito"),"⚠ El destino debe ser tarjeta de crédito",IF(AND(P3632="Gasto",E3632="Depósitos y retiros"),"⚠ Usa tipo Transferencia",IF(AND(P3632="Resultado trading",AD3632&lt;&gt;"Cuenta de trading"),"⚠ Usa una cuenta de trading",IF(AND(G3632&lt;=0,P3632&lt;&gt;"Ajuste",P3632&lt;&gt;"Resultado trading"),"⚠ El monto debe ser positivo","✓")))))))))))))))</f>
        <v/>
      </c>
      <c r="P3632" s="52">
        <f>IF(OR(B3632="",G3632=""),"",IF(C3632="","Gasto",C3632))</f>
        <v/>
      </c>
      <c r="Q3632" s="52">
        <f>IF(P3632="","",IF(J3632&lt;&gt;"",J3632,CuentaPred&amp;""))</f>
        <v/>
      </c>
      <c r="R3632" s="52">
        <f>IF(P3632="","",IF(ISNUMBER(I3632),I3632,TasaUSD))</f>
        <v/>
      </c>
      <c r="S3632" s="53">
        <f>IF(P3632="","",IF(H3632="USD",G3632*R3632,G3632))</f>
        <v/>
      </c>
      <c r="T3632" s="53">
        <f>IF(P3632="","",IF(H3632="USD",G3632,IF(R3632&gt;0,G3632/R3632,0)))</f>
        <v/>
      </c>
      <c r="U3632" s="53">
        <f>IF(P3632="","",IF(P3632="Gasto",S3632,IF(P3632="Reembolso",-S3632,0)))</f>
        <v/>
      </c>
      <c r="V3632" s="53">
        <f>IF(P3632="","",IF(P3632="Ingreso",S3632,0))</f>
        <v/>
      </c>
      <c r="W3632" s="53">
        <f>IF(P3632="","",IF(P3632="Resultado trading",S3632,0))</f>
        <v/>
      </c>
      <c r="X3632" s="52">
        <f>IF(OR(P3632="Gasto",P3632="Reembolso"),IF(M3632&lt;&gt;"",M3632,IFERROR(INDEX(catClasif,MATCH(D3632&amp;"|"&amp;E3632,catClave,0))&amp;"","Variable")),"")</f>
        <v/>
      </c>
      <c r="Y3632" s="52">
        <f>IF(P3632="","",IFERROR(INDEX(catGrupo,MATCH(D3632&amp;"|"&amp;E3632,catClave,0))&amp;"",""))</f>
        <v/>
      </c>
      <c r="Z3632" s="52">
        <f>IF(P3632="","",WEEKDAY(B3632,2))</f>
        <v/>
      </c>
      <c r="AA3632" s="52">
        <f>IF(P3632="","",IF(AND(P3632="Gasto",X3632="Variable",D3632&lt;&gt;catTrading,S3632&gt;0,S3632&lt;=Umbral),1,0))</f>
        <v/>
      </c>
      <c r="AB3632" s="52">
        <f>IF(OR(P3632="",Q3632=""),"",IFERROR(IF(INDEX(ctaVinc,MATCH(Q3632,ctaNombre,0))&amp;""&lt;&gt;"",INDEX(ctaVinc,MATCH(Q3632,ctaNombre,0))&amp;"",Q3632),Q3632))</f>
        <v/>
      </c>
      <c r="AC3632" s="52">
        <f>IF(OR(K3632="",AND(P3632&lt;&gt;"Transferencia",P3632&lt;&gt;"Pago tarjeta")),"",IFERROR(IF(INDEX(ctaVinc,MATCH(K3632,ctaNombre,0))&amp;""&lt;&gt;"",INDEX(ctaVinc,MATCH(K3632,ctaNombre,0))&amp;"",K3632),K3632))</f>
        <v/>
      </c>
      <c r="AD3632" s="52">
        <f>IF(AB3632="","",IFERROR(INDEX(ctaTipo,MATCH(AB3632,ctaNombre,0))&amp;"",""))</f>
        <v/>
      </c>
      <c r="AE3632" s="52">
        <f>IF(AC3632="","",IFERROR(INDEX(ctaTipo,MATCH(AC3632,ctaNombre,0))&amp;"",""))</f>
        <v/>
      </c>
      <c r="AF3632" s="53">
        <f>IF(OR(P3632="",AB3632=""),"",IF(OR(P3632="Gasto",P3632="Transferencia",P3632="Pago tarjeta"),-1,1)*IF(IFERROR(INDEX(ctaMoneda,MATCH(AB3632,ctaNombre,0))&amp;"","DOP")="USD",T3632,S3632))</f>
        <v/>
      </c>
      <c r="AG3632" s="53">
        <f>IF(AC3632="","",IF(IFERROR(INDEX(ctaMoneda,MATCH(AC3632,ctaNombre,0))&amp;"","DOP")="USD",T3632,S3632))</f>
        <v/>
      </c>
      <c r="AH3632" s="53">
        <f>IF(P3632="","",IF(AND(AD3632&lt;&gt;"",COUNTIFS(tcTipo,AD3632,tcLiq,"Sí")&gt;0),IF(OR(P3632="Gasto",P3632="Transferencia",P3632="Pago tarjeta"),-1,1)*S3632,0)+IF(AND(AE3632&lt;&gt;"",COUNTIFS(tcTipo,AE3632,tcLiq,"Sí")&gt;0),S3632,0))</f>
        <v/>
      </c>
      <c r="AI3632" s="52">
        <f>IF(OR(L3632="",P3632=""),"",IF(COUNTIFS(L$6:L3632,L3632,P$6:P3632,"?*")=1,MAX(AI$5:AI3631)+1,""))</f>
        <v/>
      </c>
    </row>
    <row r="3633">
      <c r="B3633" s="47" t="n"/>
      <c r="C3633" s="48" t="n"/>
      <c r="D3633" s="48" t="n"/>
      <c r="E3633" s="48" t="n"/>
      <c r="F3633" s="48" t="n"/>
      <c r="G3633" s="49" t="n"/>
      <c r="H3633" s="48" t="n"/>
      <c r="I3633" s="50" t="n"/>
      <c r="J3633" s="48" t="n"/>
      <c r="K3633" s="48" t="n"/>
      <c r="L3633" s="48" t="n"/>
      <c r="M3633" s="48" t="n"/>
      <c r="N3633" s="48" t="n"/>
      <c r="O3633" s="51">
        <f>IF(AND(B3633="",G3633="",C3633="",D3633="",J3633=""),"",IF(B3633="","⚠ Falta fecha",IF(G3633="","⚠ Falta monto",IF(Q3633="","⚠ Falta cuenta",IF(ISNA(MATCH(Q3633,ctaNombre,0)),"⚠ Cuenta no registrada",IF(AND(OR(P3633="Gasto",P3633="Reembolso"),D3633=""),"⚠ Falta categoría",IF(AND(D3633&lt;&gt;"",E3633&lt;&gt;"",ISNA(MATCH(D3633&amp;"|"&amp;E3633,catClave,0))),"⚠ Subcategoría no corresponde",IF(AND(OR(P3633="Transferencia",P3633="Pago tarjeta"),K3633=""),"⚠ Falta cuenta destino",IF(AND(K3633&lt;&gt;"",P3633&lt;&gt;"Transferencia",P3633&lt;&gt;"Pago tarjeta"),"⚠ Destino solo aplica a transferencias",IF(AND(K3633&lt;&gt;"",K3633=Q3633),"⚠ Origen igual a destino",IF(AND(K3633&lt;&gt;"",ISNA(MATCH(K3633,ctaNombre,0))),"⚠ Destino no registrado",IF(AND(P3633="Pago tarjeta",AE3633&lt;&gt;"Tarjeta de crédito"),"⚠ El destino debe ser tarjeta de crédito",IF(AND(P3633="Gasto",E3633="Depósitos y retiros"),"⚠ Usa tipo Transferencia",IF(AND(P3633="Resultado trading",AD3633&lt;&gt;"Cuenta de trading"),"⚠ Usa una cuenta de trading",IF(AND(G3633&lt;=0,P3633&lt;&gt;"Ajuste",P3633&lt;&gt;"Resultado trading"),"⚠ El monto debe ser positivo","✓")))))))))))))))</f>
        <v/>
      </c>
      <c r="P3633" s="52">
        <f>IF(OR(B3633="",G3633=""),"",IF(C3633="","Gasto",C3633))</f>
        <v/>
      </c>
      <c r="Q3633" s="52">
        <f>IF(P3633="","",IF(J3633&lt;&gt;"",J3633,CuentaPred&amp;""))</f>
        <v/>
      </c>
      <c r="R3633" s="52">
        <f>IF(P3633="","",IF(ISNUMBER(I3633),I3633,TasaUSD))</f>
        <v/>
      </c>
      <c r="S3633" s="53">
        <f>IF(P3633="","",IF(H3633="USD",G3633*R3633,G3633))</f>
        <v/>
      </c>
      <c r="T3633" s="53">
        <f>IF(P3633="","",IF(H3633="USD",G3633,IF(R3633&gt;0,G3633/R3633,0)))</f>
        <v/>
      </c>
      <c r="U3633" s="53">
        <f>IF(P3633="","",IF(P3633="Gasto",S3633,IF(P3633="Reembolso",-S3633,0)))</f>
        <v/>
      </c>
      <c r="V3633" s="53">
        <f>IF(P3633="","",IF(P3633="Ingreso",S3633,0))</f>
        <v/>
      </c>
      <c r="W3633" s="53">
        <f>IF(P3633="","",IF(P3633="Resultado trading",S3633,0))</f>
        <v/>
      </c>
      <c r="X3633" s="52">
        <f>IF(OR(P3633="Gasto",P3633="Reembolso"),IF(M3633&lt;&gt;"",M3633,IFERROR(INDEX(catClasif,MATCH(D3633&amp;"|"&amp;E3633,catClave,0))&amp;"","Variable")),"")</f>
        <v/>
      </c>
      <c r="Y3633" s="52">
        <f>IF(P3633="","",IFERROR(INDEX(catGrupo,MATCH(D3633&amp;"|"&amp;E3633,catClave,0))&amp;"",""))</f>
        <v/>
      </c>
      <c r="Z3633" s="52">
        <f>IF(P3633="","",WEEKDAY(B3633,2))</f>
        <v/>
      </c>
      <c r="AA3633" s="52">
        <f>IF(P3633="","",IF(AND(P3633="Gasto",X3633="Variable",D3633&lt;&gt;catTrading,S3633&gt;0,S3633&lt;=Umbral),1,0))</f>
        <v/>
      </c>
      <c r="AB3633" s="52">
        <f>IF(OR(P3633="",Q3633=""),"",IFERROR(IF(INDEX(ctaVinc,MATCH(Q3633,ctaNombre,0))&amp;""&lt;&gt;"",INDEX(ctaVinc,MATCH(Q3633,ctaNombre,0))&amp;"",Q3633),Q3633))</f>
        <v/>
      </c>
      <c r="AC3633" s="52">
        <f>IF(OR(K3633="",AND(P3633&lt;&gt;"Transferencia",P3633&lt;&gt;"Pago tarjeta")),"",IFERROR(IF(INDEX(ctaVinc,MATCH(K3633,ctaNombre,0))&amp;""&lt;&gt;"",INDEX(ctaVinc,MATCH(K3633,ctaNombre,0))&amp;"",K3633),K3633))</f>
        <v/>
      </c>
      <c r="AD3633" s="52">
        <f>IF(AB3633="","",IFERROR(INDEX(ctaTipo,MATCH(AB3633,ctaNombre,0))&amp;"",""))</f>
        <v/>
      </c>
      <c r="AE3633" s="52">
        <f>IF(AC3633="","",IFERROR(INDEX(ctaTipo,MATCH(AC3633,ctaNombre,0))&amp;"",""))</f>
        <v/>
      </c>
      <c r="AF3633" s="53">
        <f>IF(OR(P3633="",AB3633=""),"",IF(OR(P3633="Gasto",P3633="Transferencia",P3633="Pago tarjeta"),-1,1)*IF(IFERROR(INDEX(ctaMoneda,MATCH(AB3633,ctaNombre,0))&amp;"","DOP")="USD",T3633,S3633))</f>
        <v/>
      </c>
      <c r="AG3633" s="53">
        <f>IF(AC3633="","",IF(IFERROR(INDEX(ctaMoneda,MATCH(AC3633,ctaNombre,0))&amp;"","DOP")="USD",T3633,S3633))</f>
        <v/>
      </c>
      <c r="AH3633" s="53">
        <f>IF(P3633="","",IF(AND(AD3633&lt;&gt;"",COUNTIFS(tcTipo,AD3633,tcLiq,"Sí")&gt;0),IF(OR(P3633="Gasto",P3633="Transferencia",P3633="Pago tarjeta"),-1,1)*S3633,0)+IF(AND(AE3633&lt;&gt;"",COUNTIFS(tcTipo,AE3633,tcLiq,"Sí")&gt;0),S3633,0))</f>
        <v/>
      </c>
      <c r="AI3633" s="52">
        <f>IF(OR(L3633="",P3633=""),"",IF(COUNTIFS(L$6:L3633,L3633,P$6:P3633,"?*")=1,MAX(AI$5:AI3632)+1,""))</f>
        <v/>
      </c>
    </row>
    <row r="3634">
      <c r="B3634" s="47" t="n"/>
      <c r="C3634" s="48" t="n"/>
      <c r="D3634" s="48" t="n"/>
      <c r="E3634" s="48" t="n"/>
      <c r="F3634" s="48" t="n"/>
      <c r="G3634" s="49" t="n"/>
      <c r="H3634" s="48" t="n"/>
      <c r="I3634" s="50" t="n"/>
      <c r="J3634" s="48" t="n"/>
      <c r="K3634" s="48" t="n"/>
      <c r="L3634" s="48" t="n"/>
      <c r="M3634" s="48" t="n"/>
      <c r="N3634" s="48" t="n"/>
      <c r="O3634" s="51">
        <f>IF(AND(B3634="",G3634="",C3634="",D3634="",J3634=""),"",IF(B3634="","⚠ Falta fecha",IF(G3634="","⚠ Falta monto",IF(Q3634="","⚠ Falta cuenta",IF(ISNA(MATCH(Q3634,ctaNombre,0)),"⚠ Cuenta no registrada",IF(AND(OR(P3634="Gasto",P3634="Reembolso"),D3634=""),"⚠ Falta categoría",IF(AND(D3634&lt;&gt;"",E3634&lt;&gt;"",ISNA(MATCH(D3634&amp;"|"&amp;E3634,catClave,0))),"⚠ Subcategoría no corresponde",IF(AND(OR(P3634="Transferencia",P3634="Pago tarjeta"),K3634=""),"⚠ Falta cuenta destino",IF(AND(K3634&lt;&gt;"",P3634&lt;&gt;"Transferencia",P3634&lt;&gt;"Pago tarjeta"),"⚠ Destino solo aplica a transferencias",IF(AND(K3634&lt;&gt;"",K3634=Q3634),"⚠ Origen igual a destino",IF(AND(K3634&lt;&gt;"",ISNA(MATCH(K3634,ctaNombre,0))),"⚠ Destino no registrado",IF(AND(P3634="Pago tarjeta",AE3634&lt;&gt;"Tarjeta de crédito"),"⚠ El destino debe ser tarjeta de crédito",IF(AND(P3634="Gasto",E3634="Depósitos y retiros"),"⚠ Usa tipo Transferencia",IF(AND(P3634="Resultado trading",AD3634&lt;&gt;"Cuenta de trading"),"⚠ Usa una cuenta de trading",IF(AND(G3634&lt;=0,P3634&lt;&gt;"Ajuste",P3634&lt;&gt;"Resultado trading"),"⚠ El monto debe ser positivo","✓")))))))))))))))</f>
        <v/>
      </c>
      <c r="P3634" s="52">
        <f>IF(OR(B3634="",G3634=""),"",IF(C3634="","Gasto",C3634))</f>
        <v/>
      </c>
      <c r="Q3634" s="52">
        <f>IF(P3634="","",IF(J3634&lt;&gt;"",J3634,CuentaPred&amp;""))</f>
        <v/>
      </c>
      <c r="R3634" s="52">
        <f>IF(P3634="","",IF(ISNUMBER(I3634),I3634,TasaUSD))</f>
        <v/>
      </c>
      <c r="S3634" s="53">
        <f>IF(P3634="","",IF(H3634="USD",G3634*R3634,G3634))</f>
        <v/>
      </c>
      <c r="T3634" s="53">
        <f>IF(P3634="","",IF(H3634="USD",G3634,IF(R3634&gt;0,G3634/R3634,0)))</f>
        <v/>
      </c>
      <c r="U3634" s="53">
        <f>IF(P3634="","",IF(P3634="Gasto",S3634,IF(P3634="Reembolso",-S3634,0)))</f>
        <v/>
      </c>
      <c r="V3634" s="53">
        <f>IF(P3634="","",IF(P3634="Ingreso",S3634,0))</f>
        <v/>
      </c>
      <c r="W3634" s="53">
        <f>IF(P3634="","",IF(P3634="Resultado trading",S3634,0))</f>
        <v/>
      </c>
      <c r="X3634" s="52">
        <f>IF(OR(P3634="Gasto",P3634="Reembolso"),IF(M3634&lt;&gt;"",M3634,IFERROR(INDEX(catClasif,MATCH(D3634&amp;"|"&amp;E3634,catClave,0))&amp;"","Variable")),"")</f>
        <v/>
      </c>
      <c r="Y3634" s="52">
        <f>IF(P3634="","",IFERROR(INDEX(catGrupo,MATCH(D3634&amp;"|"&amp;E3634,catClave,0))&amp;"",""))</f>
        <v/>
      </c>
      <c r="Z3634" s="52">
        <f>IF(P3634="","",WEEKDAY(B3634,2))</f>
        <v/>
      </c>
      <c r="AA3634" s="52">
        <f>IF(P3634="","",IF(AND(P3634="Gasto",X3634="Variable",D3634&lt;&gt;catTrading,S3634&gt;0,S3634&lt;=Umbral),1,0))</f>
        <v/>
      </c>
      <c r="AB3634" s="52">
        <f>IF(OR(P3634="",Q3634=""),"",IFERROR(IF(INDEX(ctaVinc,MATCH(Q3634,ctaNombre,0))&amp;""&lt;&gt;"",INDEX(ctaVinc,MATCH(Q3634,ctaNombre,0))&amp;"",Q3634),Q3634))</f>
        <v/>
      </c>
      <c r="AC3634" s="52">
        <f>IF(OR(K3634="",AND(P3634&lt;&gt;"Transferencia",P3634&lt;&gt;"Pago tarjeta")),"",IFERROR(IF(INDEX(ctaVinc,MATCH(K3634,ctaNombre,0))&amp;""&lt;&gt;"",INDEX(ctaVinc,MATCH(K3634,ctaNombre,0))&amp;"",K3634),K3634))</f>
        <v/>
      </c>
      <c r="AD3634" s="52">
        <f>IF(AB3634="","",IFERROR(INDEX(ctaTipo,MATCH(AB3634,ctaNombre,0))&amp;"",""))</f>
        <v/>
      </c>
      <c r="AE3634" s="52">
        <f>IF(AC3634="","",IFERROR(INDEX(ctaTipo,MATCH(AC3634,ctaNombre,0))&amp;"",""))</f>
        <v/>
      </c>
      <c r="AF3634" s="53">
        <f>IF(OR(P3634="",AB3634=""),"",IF(OR(P3634="Gasto",P3634="Transferencia",P3634="Pago tarjeta"),-1,1)*IF(IFERROR(INDEX(ctaMoneda,MATCH(AB3634,ctaNombre,0))&amp;"","DOP")="USD",T3634,S3634))</f>
        <v/>
      </c>
      <c r="AG3634" s="53">
        <f>IF(AC3634="","",IF(IFERROR(INDEX(ctaMoneda,MATCH(AC3634,ctaNombre,0))&amp;"","DOP")="USD",T3634,S3634))</f>
        <v/>
      </c>
      <c r="AH3634" s="53">
        <f>IF(P3634="","",IF(AND(AD3634&lt;&gt;"",COUNTIFS(tcTipo,AD3634,tcLiq,"Sí")&gt;0),IF(OR(P3634="Gasto",P3634="Transferencia",P3634="Pago tarjeta"),-1,1)*S3634,0)+IF(AND(AE3634&lt;&gt;"",COUNTIFS(tcTipo,AE3634,tcLiq,"Sí")&gt;0),S3634,0))</f>
        <v/>
      </c>
      <c r="AI3634" s="52">
        <f>IF(OR(L3634="",P3634=""),"",IF(COUNTIFS(L$6:L3634,L3634,P$6:P3634,"?*")=1,MAX(AI$5:AI3633)+1,""))</f>
        <v/>
      </c>
    </row>
    <row r="3635">
      <c r="B3635" s="47" t="n"/>
      <c r="C3635" s="48" t="n"/>
      <c r="D3635" s="48" t="n"/>
      <c r="E3635" s="48" t="n"/>
      <c r="F3635" s="48" t="n"/>
      <c r="G3635" s="49" t="n"/>
      <c r="H3635" s="48" t="n"/>
      <c r="I3635" s="50" t="n"/>
      <c r="J3635" s="48" t="n"/>
      <c r="K3635" s="48" t="n"/>
      <c r="L3635" s="48" t="n"/>
      <c r="M3635" s="48" t="n"/>
      <c r="N3635" s="48" t="n"/>
      <c r="O3635" s="51">
        <f>IF(AND(B3635="",G3635="",C3635="",D3635="",J3635=""),"",IF(B3635="","⚠ Falta fecha",IF(G3635="","⚠ Falta monto",IF(Q3635="","⚠ Falta cuenta",IF(ISNA(MATCH(Q3635,ctaNombre,0)),"⚠ Cuenta no registrada",IF(AND(OR(P3635="Gasto",P3635="Reembolso"),D3635=""),"⚠ Falta categoría",IF(AND(D3635&lt;&gt;"",E3635&lt;&gt;"",ISNA(MATCH(D3635&amp;"|"&amp;E3635,catClave,0))),"⚠ Subcategoría no corresponde",IF(AND(OR(P3635="Transferencia",P3635="Pago tarjeta"),K3635=""),"⚠ Falta cuenta destino",IF(AND(K3635&lt;&gt;"",P3635&lt;&gt;"Transferencia",P3635&lt;&gt;"Pago tarjeta"),"⚠ Destino solo aplica a transferencias",IF(AND(K3635&lt;&gt;"",K3635=Q3635),"⚠ Origen igual a destino",IF(AND(K3635&lt;&gt;"",ISNA(MATCH(K3635,ctaNombre,0))),"⚠ Destino no registrado",IF(AND(P3635="Pago tarjeta",AE3635&lt;&gt;"Tarjeta de crédito"),"⚠ El destino debe ser tarjeta de crédito",IF(AND(P3635="Gasto",E3635="Depósitos y retiros"),"⚠ Usa tipo Transferencia",IF(AND(P3635="Resultado trading",AD3635&lt;&gt;"Cuenta de trading"),"⚠ Usa una cuenta de trading",IF(AND(G3635&lt;=0,P3635&lt;&gt;"Ajuste",P3635&lt;&gt;"Resultado trading"),"⚠ El monto debe ser positivo","✓")))))))))))))))</f>
        <v/>
      </c>
      <c r="P3635" s="52">
        <f>IF(OR(B3635="",G3635=""),"",IF(C3635="","Gasto",C3635))</f>
        <v/>
      </c>
      <c r="Q3635" s="52">
        <f>IF(P3635="","",IF(J3635&lt;&gt;"",J3635,CuentaPred&amp;""))</f>
        <v/>
      </c>
      <c r="R3635" s="52">
        <f>IF(P3635="","",IF(ISNUMBER(I3635),I3635,TasaUSD))</f>
        <v/>
      </c>
      <c r="S3635" s="53">
        <f>IF(P3635="","",IF(H3635="USD",G3635*R3635,G3635))</f>
        <v/>
      </c>
      <c r="T3635" s="53">
        <f>IF(P3635="","",IF(H3635="USD",G3635,IF(R3635&gt;0,G3635/R3635,0)))</f>
        <v/>
      </c>
      <c r="U3635" s="53">
        <f>IF(P3635="","",IF(P3635="Gasto",S3635,IF(P3635="Reembolso",-S3635,0)))</f>
        <v/>
      </c>
      <c r="V3635" s="53">
        <f>IF(P3635="","",IF(P3635="Ingreso",S3635,0))</f>
        <v/>
      </c>
      <c r="W3635" s="53">
        <f>IF(P3635="","",IF(P3635="Resultado trading",S3635,0))</f>
        <v/>
      </c>
      <c r="X3635" s="52">
        <f>IF(OR(P3635="Gasto",P3635="Reembolso"),IF(M3635&lt;&gt;"",M3635,IFERROR(INDEX(catClasif,MATCH(D3635&amp;"|"&amp;E3635,catClave,0))&amp;"","Variable")),"")</f>
        <v/>
      </c>
      <c r="Y3635" s="52">
        <f>IF(P3635="","",IFERROR(INDEX(catGrupo,MATCH(D3635&amp;"|"&amp;E3635,catClave,0))&amp;"",""))</f>
        <v/>
      </c>
      <c r="Z3635" s="52">
        <f>IF(P3635="","",WEEKDAY(B3635,2))</f>
        <v/>
      </c>
      <c r="AA3635" s="52">
        <f>IF(P3635="","",IF(AND(P3635="Gasto",X3635="Variable",D3635&lt;&gt;catTrading,S3635&gt;0,S3635&lt;=Umbral),1,0))</f>
        <v/>
      </c>
      <c r="AB3635" s="52">
        <f>IF(OR(P3635="",Q3635=""),"",IFERROR(IF(INDEX(ctaVinc,MATCH(Q3635,ctaNombre,0))&amp;""&lt;&gt;"",INDEX(ctaVinc,MATCH(Q3635,ctaNombre,0))&amp;"",Q3635),Q3635))</f>
        <v/>
      </c>
      <c r="AC3635" s="52">
        <f>IF(OR(K3635="",AND(P3635&lt;&gt;"Transferencia",P3635&lt;&gt;"Pago tarjeta")),"",IFERROR(IF(INDEX(ctaVinc,MATCH(K3635,ctaNombre,0))&amp;""&lt;&gt;"",INDEX(ctaVinc,MATCH(K3635,ctaNombre,0))&amp;"",K3635),K3635))</f>
        <v/>
      </c>
      <c r="AD3635" s="52">
        <f>IF(AB3635="","",IFERROR(INDEX(ctaTipo,MATCH(AB3635,ctaNombre,0))&amp;"",""))</f>
        <v/>
      </c>
      <c r="AE3635" s="52">
        <f>IF(AC3635="","",IFERROR(INDEX(ctaTipo,MATCH(AC3635,ctaNombre,0))&amp;"",""))</f>
        <v/>
      </c>
      <c r="AF3635" s="53">
        <f>IF(OR(P3635="",AB3635=""),"",IF(OR(P3635="Gasto",P3635="Transferencia",P3635="Pago tarjeta"),-1,1)*IF(IFERROR(INDEX(ctaMoneda,MATCH(AB3635,ctaNombre,0))&amp;"","DOP")="USD",T3635,S3635))</f>
        <v/>
      </c>
      <c r="AG3635" s="53">
        <f>IF(AC3635="","",IF(IFERROR(INDEX(ctaMoneda,MATCH(AC3635,ctaNombre,0))&amp;"","DOP")="USD",T3635,S3635))</f>
        <v/>
      </c>
      <c r="AH3635" s="53">
        <f>IF(P3635="","",IF(AND(AD3635&lt;&gt;"",COUNTIFS(tcTipo,AD3635,tcLiq,"Sí")&gt;0),IF(OR(P3635="Gasto",P3635="Transferencia",P3635="Pago tarjeta"),-1,1)*S3635,0)+IF(AND(AE3635&lt;&gt;"",COUNTIFS(tcTipo,AE3635,tcLiq,"Sí")&gt;0),S3635,0))</f>
        <v/>
      </c>
      <c r="AI3635" s="52">
        <f>IF(OR(L3635="",P3635=""),"",IF(COUNTIFS(L$6:L3635,L3635,P$6:P3635,"?*")=1,MAX(AI$5:AI3634)+1,""))</f>
        <v/>
      </c>
    </row>
    <row r="3636">
      <c r="B3636" s="47" t="n"/>
      <c r="C3636" s="48" t="n"/>
      <c r="D3636" s="48" t="n"/>
      <c r="E3636" s="48" t="n"/>
      <c r="F3636" s="48" t="n"/>
      <c r="G3636" s="49" t="n"/>
      <c r="H3636" s="48" t="n"/>
      <c r="I3636" s="50" t="n"/>
      <c r="J3636" s="48" t="n"/>
      <c r="K3636" s="48" t="n"/>
      <c r="L3636" s="48" t="n"/>
      <c r="M3636" s="48" t="n"/>
      <c r="N3636" s="48" t="n"/>
      <c r="O3636" s="51">
        <f>IF(AND(B3636="",G3636="",C3636="",D3636="",J3636=""),"",IF(B3636="","⚠ Falta fecha",IF(G3636="","⚠ Falta monto",IF(Q3636="","⚠ Falta cuenta",IF(ISNA(MATCH(Q3636,ctaNombre,0)),"⚠ Cuenta no registrada",IF(AND(OR(P3636="Gasto",P3636="Reembolso"),D3636=""),"⚠ Falta categoría",IF(AND(D3636&lt;&gt;"",E3636&lt;&gt;"",ISNA(MATCH(D3636&amp;"|"&amp;E3636,catClave,0))),"⚠ Subcategoría no corresponde",IF(AND(OR(P3636="Transferencia",P3636="Pago tarjeta"),K3636=""),"⚠ Falta cuenta destino",IF(AND(K3636&lt;&gt;"",P3636&lt;&gt;"Transferencia",P3636&lt;&gt;"Pago tarjeta"),"⚠ Destino solo aplica a transferencias",IF(AND(K3636&lt;&gt;"",K3636=Q3636),"⚠ Origen igual a destino",IF(AND(K3636&lt;&gt;"",ISNA(MATCH(K3636,ctaNombre,0))),"⚠ Destino no registrado",IF(AND(P3636="Pago tarjeta",AE3636&lt;&gt;"Tarjeta de crédito"),"⚠ El destino debe ser tarjeta de crédito",IF(AND(P3636="Gasto",E3636="Depósitos y retiros"),"⚠ Usa tipo Transferencia",IF(AND(P3636="Resultado trading",AD3636&lt;&gt;"Cuenta de trading"),"⚠ Usa una cuenta de trading",IF(AND(G3636&lt;=0,P3636&lt;&gt;"Ajuste",P3636&lt;&gt;"Resultado trading"),"⚠ El monto debe ser positivo","✓")))))))))))))))</f>
        <v/>
      </c>
      <c r="P3636" s="52">
        <f>IF(OR(B3636="",G3636=""),"",IF(C3636="","Gasto",C3636))</f>
        <v/>
      </c>
      <c r="Q3636" s="52">
        <f>IF(P3636="","",IF(J3636&lt;&gt;"",J3636,CuentaPred&amp;""))</f>
        <v/>
      </c>
      <c r="R3636" s="52">
        <f>IF(P3636="","",IF(ISNUMBER(I3636),I3636,TasaUSD))</f>
        <v/>
      </c>
      <c r="S3636" s="53">
        <f>IF(P3636="","",IF(H3636="USD",G3636*R3636,G3636))</f>
        <v/>
      </c>
      <c r="T3636" s="53">
        <f>IF(P3636="","",IF(H3636="USD",G3636,IF(R3636&gt;0,G3636/R3636,0)))</f>
        <v/>
      </c>
      <c r="U3636" s="53">
        <f>IF(P3636="","",IF(P3636="Gasto",S3636,IF(P3636="Reembolso",-S3636,0)))</f>
        <v/>
      </c>
      <c r="V3636" s="53">
        <f>IF(P3636="","",IF(P3636="Ingreso",S3636,0))</f>
        <v/>
      </c>
      <c r="W3636" s="53">
        <f>IF(P3636="","",IF(P3636="Resultado trading",S3636,0))</f>
        <v/>
      </c>
      <c r="X3636" s="52">
        <f>IF(OR(P3636="Gasto",P3636="Reembolso"),IF(M3636&lt;&gt;"",M3636,IFERROR(INDEX(catClasif,MATCH(D3636&amp;"|"&amp;E3636,catClave,0))&amp;"","Variable")),"")</f>
        <v/>
      </c>
      <c r="Y3636" s="52">
        <f>IF(P3636="","",IFERROR(INDEX(catGrupo,MATCH(D3636&amp;"|"&amp;E3636,catClave,0))&amp;"",""))</f>
        <v/>
      </c>
      <c r="Z3636" s="52">
        <f>IF(P3636="","",WEEKDAY(B3636,2))</f>
        <v/>
      </c>
      <c r="AA3636" s="52">
        <f>IF(P3636="","",IF(AND(P3636="Gasto",X3636="Variable",D3636&lt;&gt;catTrading,S3636&gt;0,S3636&lt;=Umbral),1,0))</f>
        <v/>
      </c>
      <c r="AB3636" s="52">
        <f>IF(OR(P3636="",Q3636=""),"",IFERROR(IF(INDEX(ctaVinc,MATCH(Q3636,ctaNombre,0))&amp;""&lt;&gt;"",INDEX(ctaVinc,MATCH(Q3636,ctaNombre,0))&amp;"",Q3636),Q3636))</f>
        <v/>
      </c>
      <c r="AC3636" s="52">
        <f>IF(OR(K3636="",AND(P3636&lt;&gt;"Transferencia",P3636&lt;&gt;"Pago tarjeta")),"",IFERROR(IF(INDEX(ctaVinc,MATCH(K3636,ctaNombre,0))&amp;""&lt;&gt;"",INDEX(ctaVinc,MATCH(K3636,ctaNombre,0))&amp;"",K3636),K3636))</f>
        <v/>
      </c>
      <c r="AD3636" s="52">
        <f>IF(AB3636="","",IFERROR(INDEX(ctaTipo,MATCH(AB3636,ctaNombre,0))&amp;"",""))</f>
        <v/>
      </c>
      <c r="AE3636" s="52">
        <f>IF(AC3636="","",IFERROR(INDEX(ctaTipo,MATCH(AC3636,ctaNombre,0))&amp;"",""))</f>
        <v/>
      </c>
      <c r="AF3636" s="53">
        <f>IF(OR(P3636="",AB3636=""),"",IF(OR(P3636="Gasto",P3636="Transferencia",P3636="Pago tarjeta"),-1,1)*IF(IFERROR(INDEX(ctaMoneda,MATCH(AB3636,ctaNombre,0))&amp;"","DOP")="USD",T3636,S3636))</f>
        <v/>
      </c>
      <c r="AG3636" s="53">
        <f>IF(AC3636="","",IF(IFERROR(INDEX(ctaMoneda,MATCH(AC3636,ctaNombre,0))&amp;"","DOP")="USD",T3636,S3636))</f>
        <v/>
      </c>
      <c r="AH3636" s="53">
        <f>IF(P3636="","",IF(AND(AD3636&lt;&gt;"",COUNTIFS(tcTipo,AD3636,tcLiq,"Sí")&gt;0),IF(OR(P3636="Gasto",P3636="Transferencia",P3636="Pago tarjeta"),-1,1)*S3636,0)+IF(AND(AE3636&lt;&gt;"",COUNTIFS(tcTipo,AE3636,tcLiq,"Sí")&gt;0),S3636,0))</f>
        <v/>
      </c>
      <c r="AI3636" s="52">
        <f>IF(OR(L3636="",P3636=""),"",IF(COUNTIFS(L$6:L3636,L3636,P$6:P3636,"?*")=1,MAX(AI$5:AI3635)+1,""))</f>
        <v/>
      </c>
    </row>
    <row r="3637">
      <c r="B3637" s="47" t="n"/>
      <c r="C3637" s="48" t="n"/>
      <c r="D3637" s="48" t="n"/>
      <c r="E3637" s="48" t="n"/>
      <c r="F3637" s="48" t="n"/>
      <c r="G3637" s="49" t="n"/>
      <c r="H3637" s="48" t="n"/>
      <c r="I3637" s="50" t="n"/>
      <c r="J3637" s="48" t="n"/>
      <c r="K3637" s="48" t="n"/>
      <c r="L3637" s="48" t="n"/>
      <c r="M3637" s="48" t="n"/>
      <c r="N3637" s="48" t="n"/>
      <c r="O3637" s="51">
        <f>IF(AND(B3637="",G3637="",C3637="",D3637="",J3637=""),"",IF(B3637="","⚠ Falta fecha",IF(G3637="","⚠ Falta monto",IF(Q3637="","⚠ Falta cuenta",IF(ISNA(MATCH(Q3637,ctaNombre,0)),"⚠ Cuenta no registrada",IF(AND(OR(P3637="Gasto",P3637="Reembolso"),D3637=""),"⚠ Falta categoría",IF(AND(D3637&lt;&gt;"",E3637&lt;&gt;"",ISNA(MATCH(D3637&amp;"|"&amp;E3637,catClave,0))),"⚠ Subcategoría no corresponde",IF(AND(OR(P3637="Transferencia",P3637="Pago tarjeta"),K3637=""),"⚠ Falta cuenta destino",IF(AND(K3637&lt;&gt;"",P3637&lt;&gt;"Transferencia",P3637&lt;&gt;"Pago tarjeta"),"⚠ Destino solo aplica a transferencias",IF(AND(K3637&lt;&gt;"",K3637=Q3637),"⚠ Origen igual a destino",IF(AND(K3637&lt;&gt;"",ISNA(MATCH(K3637,ctaNombre,0))),"⚠ Destino no registrado",IF(AND(P3637="Pago tarjeta",AE3637&lt;&gt;"Tarjeta de crédito"),"⚠ El destino debe ser tarjeta de crédito",IF(AND(P3637="Gasto",E3637="Depósitos y retiros"),"⚠ Usa tipo Transferencia",IF(AND(P3637="Resultado trading",AD3637&lt;&gt;"Cuenta de trading"),"⚠ Usa una cuenta de trading",IF(AND(G3637&lt;=0,P3637&lt;&gt;"Ajuste",P3637&lt;&gt;"Resultado trading"),"⚠ El monto debe ser positivo","✓")))))))))))))))</f>
        <v/>
      </c>
      <c r="P3637" s="52">
        <f>IF(OR(B3637="",G3637=""),"",IF(C3637="","Gasto",C3637))</f>
        <v/>
      </c>
      <c r="Q3637" s="52">
        <f>IF(P3637="","",IF(J3637&lt;&gt;"",J3637,CuentaPred&amp;""))</f>
        <v/>
      </c>
      <c r="R3637" s="52">
        <f>IF(P3637="","",IF(ISNUMBER(I3637),I3637,TasaUSD))</f>
        <v/>
      </c>
      <c r="S3637" s="53">
        <f>IF(P3637="","",IF(H3637="USD",G3637*R3637,G3637))</f>
        <v/>
      </c>
      <c r="T3637" s="53">
        <f>IF(P3637="","",IF(H3637="USD",G3637,IF(R3637&gt;0,G3637/R3637,0)))</f>
        <v/>
      </c>
      <c r="U3637" s="53">
        <f>IF(P3637="","",IF(P3637="Gasto",S3637,IF(P3637="Reembolso",-S3637,0)))</f>
        <v/>
      </c>
      <c r="V3637" s="53">
        <f>IF(P3637="","",IF(P3637="Ingreso",S3637,0))</f>
        <v/>
      </c>
      <c r="W3637" s="53">
        <f>IF(P3637="","",IF(P3637="Resultado trading",S3637,0))</f>
        <v/>
      </c>
      <c r="X3637" s="52">
        <f>IF(OR(P3637="Gasto",P3637="Reembolso"),IF(M3637&lt;&gt;"",M3637,IFERROR(INDEX(catClasif,MATCH(D3637&amp;"|"&amp;E3637,catClave,0))&amp;"","Variable")),"")</f>
        <v/>
      </c>
      <c r="Y3637" s="52">
        <f>IF(P3637="","",IFERROR(INDEX(catGrupo,MATCH(D3637&amp;"|"&amp;E3637,catClave,0))&amp;"",""))</f>
        <v/>
      </c>
      <c r="Z3637" s="52">
        <f>IF(P3637="","",WEEKDAY(B3637,2))</f>
        <v/>
      </c>
      <c r="AA3637" s="52">
        <f>IF(P3637="","",IF(AND(P3637="Gasto",X3637="Variable",D3637&lt;&gt;catTrading,S3637&gt;0,S3637&lt;=Umbral),1,0))</f>
        <v/>
      </c>
      <c r="AB3637" s="52">
        <f>IF(OR(P3637="",Q3637=""),"",IFERROR(IF(INDEX(ctaVinc,MATCH(Q3637,ctaNombre,0))&amp;""&lt;&gt;"",INDEX(ctaVinc,MATCH(Q3637,ctaNombre,0))&amp;"",Q3637),Q3637))</f>
        <v/>
      </c>
      <c r="AC3637" s="52">
        <f>IF(OR(K3637="",AND(P3637&lt;&gt;"Transferencia",P3637&lt;&gt;"Pago tarjeta")),"",IFERROR(IF(INDEX(ctaVinc,MATCH(K3637,ctaNombre,0))&amp;""&lt;&gt;"",INDEX(ctaVinc,MATCH(K3637,ctaNombre,0))&amp;"",K3637),K3637))</f>
        <v/>
      </c>
      <c r="AD3637" s="52">
        <f>IF(AB3637="","",IFERROR(INDEX(ctaTipo,MATCH(AB3637,ctaNombre,0))&amp;"",""))</f>
        <v/>
      </c>
      <c r="AE3637" s="52">
        <f>IF(AC3637="","",IFERROR(INDEX(ctaTipo,MATCH(AC3637,ctaNombre,0))&amp;"",""))</f>
        <v/>
      </c>
      <c r="AF3637" s="53">
        <f>IF(OR(P3637="",AB3637=""),"",IF(OR(P3637="Gasto",P3637="Transferencia",P3637="Pago tarjeta"),-1,1)*IF(IFERROR(INDEX(ctaMoneda,MATCH(AB3637,ctaNombre,0))&amp;"","DOP")="USD",T3637,S3637))</f>
        <v/>
      </c>
      <c r="AG3637" s="53">
        <f>IF(AC3637="","",IF(IFERROR(INDEX(ctaMoneda,MATCH(AC3637,ctaNombre,0))&amp;"","DOP")="USD",T3637,S3637))</f>
        <v/>
      </c>
      <c r="AH3637" s="53">
        <f>IF(P3637="","",IF(AND(AD3637&lt;&gt;"",COUNTIFS(tcTipo,AD3637,tcLiq,"Sí")&gt;0),IF(OR(P3637="Gasto",P3637="Transferencia",P3637="Pago tarjeta"),-1,1)*S3637,0)+IF(AND(AE3637&lt;&gt;"",COUNTIFS(tcTipo,AE3637,tcLiq,"Sí")&gt;0),S3637,0))</f>
        <v/>
      </c>
      <c r="AI3637" s="52">
        <f>IF(OR(L3637="",P3637=""),"",IF(COUNTIFS(L$6:L3637,L3637,P$6:P3637,"?*")=1,MAX(AI$5:AI3636)+1,""))</f>
        <v/>
      </c>
    </row>
    <row r="3638">
      <c r="B3638" s="47" t="n"/>
      <c r="C3638" s="48" t="n"/>
      <c r="D3638" s="48" t="n"/>
      <c r="E3638" s="48" t="n"/>
      <c r="F3638" s="48" t="n"/>
      <c r="G3638" s="49" t="n"/>
      <c r="H3638" s="48" t="n"/>
      <c r="I3638" s="50" t="n"/>
      <c r="J3638" s="48" t="n"/>
      <c r="K3638" s="48" t="n"/>
      <c r="L3638" s="48" t="n"/>
      <c r="M3638" s="48" t="n"/>
      <c r="N3638" s="48" t="n"/>
      <c r="O3638" s="51">
        <f>IF(AND(B3638="",G3638="",C3638="",D3638="",J3638=""),"",IF(B3638="","⚠ Falta fecha",IF(G3638="","⚠ Falta monto",IF(Q3638="","⚠ Falta cuenta",IF(ISNA(MATCH(Q3638,ctaNombre,0)),"⚠ Cuenta no registrada",IF(AND(OR(P3638="Gasto",P3638="Reembolso"),D3638=""),"⚠ Falta categoría",IF(AND(D3638&lt;&gt;"",E3638&lt;&gt;"",ISNA(MATCH(D3638&amp;"|"&amp;E3638,catClave,0))),"⚠ Subcategoría no corresponde",IF(AND(OR(P3638="Transferencia",P3638="Pago tarjeta"),K3638=""),"⚠ Falta cuenta destino",IF(AND(K3638&lt;&gt;"",P3638&lt;&gt;"Transferencia",P3638&lt;&gt;"Pago tarjeta"),"⚠ Destino solo aplica a transferencias",IF(AND(K3638&lt;&gt;"",K3638=Q3638),"⚠ Origen igual a destino",IF(AND(K3638&lt;&gt;"",ISNA(MATCH(K3638,ctaNombre,0))),"⚠ Destino no registrado",IF(AND(P3638="Pago tarjeta",AE3638&lt;&gt;"Tarjeta de crédito"),"⚠ El destino debe ser tarjeta de crédito",IF(AND(P3638="Gasto",E3638="Depósitos y retiros"),"⚠ Usa tipo Transferencia",IF(AND(P3638="Resultado trading",AD3638&lt;&gt;"Cuenta de trading"),"⚠ Usa una cuenta de trading",IF(AND(G3638&lt;=0,P3638&lt;&gt;"Ajuste",P3638&lt;&gt;"Resultado trading"),"⚠ El monto debe ser positivo","✓")))))))))))))))</f>
        <v/>
      </c>
      <c r="P3638" s="52">
        <f>IF(OR(B3638="",G3638=""),"",IF(C3638="","Gasto",C3638))</f>
        <v/>
      </c>
      <c r="Q3638" s="52">
        <f>IF(P3638="","",IF(J3638&lt;&gt;"",J3638,CuentaPred&amp;""))</f>
        <v/>
      </c>
      <c r="R3638" s="52">
        <f>IF(P3638="","",IF(ISNUMBER(I3638),I3638,TasaUSD))</f>
        <v/>
      </c>
      <c r="S3638" s="53">
        <f>IF(P3638="","",IF(H3638="USD",G3638*R3638,G3638))</f>
        <v/>
      </c>
      <c r="T3638" s="53">
        <f>IF(P3638="","",IF(H3638="USD",G3638,IF(R3638&gt;0,G3638/R3638,0)))</f>
        <v/>
      </c>
      <c r="U3638" s="53">
        <f>IF(P3638="","",IF(P3638="Gasto",S3638,IF(P3638="Reembolso",-S3638,0)))</f>
        <v/>
      </c>
      <c r="V3638" s="53">
        <f>IF(P3638="","",IF(P3638="Ingreso",S3638,0))</f>
        <v/>
      </c>
      <c r="W3638" s="53">
        <f>IF(P3638="","",IF(P3638="Resultado trading",S3638,0))</f>
        <v/>
      </c>
      <c r="X3638" s="52">
        <f>IF(OR(P3638="Gasto",P3638="Reembolso"),IF(M3638&lt;&gt;"",M3638,IFERROR(INDEX(catClasif,MATCH(D3638&amp;"|"&amp;E3638,catClave,0))&amp;"","Variable")),"")</f>
        <v/>
      </c>
      <c r="Y3638" s="52">
        <f>IF(P3638="","",IFERROR(INDEX(catGrupo,MATCH(D3638&amp;"|"&amp;E3638,catClave,0))&amp;"",""))</f>
        <v/>
      </c>
      <c r="Z3638" s="52">
        <f>IF(P3638="","",WEEKDAY(B3638,2))</f>
        <v/>
      </c>
      <c r="AA3638" s="52">
        <f>IF(P3638="","",IF(AND(P3638="Gasto",X3638="Variable",D3638&lt;&gt;catTrading,S3638&gt;0,S3638&lt;=Umbral),1,0))</f>
        <v/>
      </c>
      <c r="AB3638" s="52">
        <f>IF(OR(P3638="",Q3638=""),"",IFERROR(IF(INDEX(ctaVinc,MATCH(Q3638,ctaNombre,0))&amp;""&lt;&gt;"",INDEX(ctaVinc,MATCH(Q3638,ctaNombre,0))&amp;"",Q3638),Q3638))</f>
        <v/>
      </c>
      <c r="AC3638" s="52">
        <f>IF(OR(K3638="",AND(P3638&lt;&gt;"Transferencia",P3638&lt;&gt;"Pago tarjeta")),"",IFERROR(IF(INDEX(ctaVinc,MATCH(K3638,ctaNombre,0))&amp;""&lt;&gt;"",INDEX(ctaVinc,MATCH(K3638,ctaNombre,0))&amp;"",K3638),K3638))</f>
        <v/>
      </c>
      <c r="AD3638" s="52">
        <f>IF(AB3638="","",IFERROR(INDEX(ctaTipo,MATCH(AB3638,ctaNombre,0))&amp;"",""))</f>
        <v/>
      </c>
      <c r="AE3638" s="52">
        <f>IF(AC3638="","",IFERROR(INDEX(ctaTipo,MATCH(AC3638,ctaNombre,0))&amp;"",""))</f>
        <v/>
      </c>
      <c r="AF3638" s="53">
        <f>IF(OR(P3638="",AB3638=""),"",IF(OR(P3638="Gasto",P3638="Transferencia",P3638="Pago tarjeta"),-1,1)*IF(IFERROR(INDEX(ctaMoneda,MATCH(AB3638,ctaNombre,0))&amp;"","DOP")="USD",T3638,S3638))</f>
        <v/>
      </c>
      <c r="AG3638" s="53">
        <f>IF(AC3638="","",IF(IFERROR(INDEX(ctaMoneda,MATCH(AC3638,ctaNombre,0))&amp;"","DOP")="USD",T3638,S3638))</f>
        <v/>
      </c>
      <c r="AH3638" s="53">
        <f>IF(P3638="","",IF(AND(AD3638&lt;&gt;"",COUNTIFS(tcTipo,AD3638,tcLiq,"Sí")&gt;0),IF(OR(P3638="Gasto",P3638="Transferencia",P3638="Pago tarjeta"),-1,1)*S3638,0)+IF(AND(AE3638&lt;&gt;"",COUNTIFS(tcTipo,AE3638,tcLiq,"Sí")&gt;0),S3638,0))</f>
        <v/>
      </c>
      <c r="AI3638" s="52">
        <f>IF(OR(L3638="",P3638=""),"",IF(COUNTIFS(L$6:L3638,L3638,P$6:P3638,"?*")=1,MAX(AI$5:AI3637)+1,""))</f>
        <v/>
      </c>
    </row>
    <row r="3639">
      <c r="B3639" s="47" t="n"/>
      <c r="C3639" s="48" t="n"/>
      <c r="D3639" s="48" t="n"/>
      <c r="E3639" s="48" t="n"/>
      <c r="F3639" s="48" t="n"/>
      <c r="G3639" s="49" t="n"/>
      <c r="H3639" s="48" t="n"/>
      <c r="I3639" s="50" t="n"/>
      <c r="J3639" s="48" t="n"/>
      <c r="K3639" s="48" t="n"/>
      <c r="L3639" s="48" t="n"/>
      <c r="M3639" s="48" t="n"/>
      <c r="N3639" s="48" t="n"/>
      <c r="O3639" s="51">
        <f>IF(AND(B3639="",G3639="",C3639="",D3639="",J3639=""),"",IF(B3639="","⚠ Falta fecha",IF(G3639="","⚠ Falta monto",IF(Q3639="","⚠ Falta cuenta",IF(ISNA(MATCH(Q3639,ctaNombre,0)),"⚠ Cuenta no registrada",IF(AND(OR(P3639="Gasto",P3639="Reembolso"),D3639=""),"⚠ Falta categoría",IF(AND(D3639&lt;&gt;"",E3639&lt;&gt;"",ISNA(MATCH(D3639&amp;"|"&amp;E3639,catClave,0))),"⚠ Subcategoría no corresponde",IF(AND(OR(P3639="Transferencia",P3639="Pago tarjeta"),K3639=""),"⚠ Falta cuenta destino",IF(AND(K3639&lt;&gt;"",P3639&lt;&gt;"Transferencia",P3639&lt;&gt;"Pago tarjeta"),"⚠ Destino solo aplica a transferencias",IF(AND(K3639&lt;&gt;"",K3639=Q3639),"⚠ Origen igual a destino",IF(AND(K3639&lt;&gt;"",ISNA(MATCH(K3639,ctaNombre,0))),"⚠ Destino no registrado",IF(AND(P3639="Pago tarjeta",AE3639&lt;&gt;"Tarjeta de crédito"),"⚠ El destino debe ser tarjeta de crédito",IF(AND(P3639="Gasto",E3639="Depósitos y retiros"),"⚠ Usa tipo Transferencia",IF(AND(P3639="Resultado trading",AD3639&lt;&gt;"Cuenta de trading"),"⚠ Usa una cuenta de trading",IF(AND(G3639&lt;=0,P3639&lt;&gt;"Ajuste",P3639&lt;&gt;"Resultado trading"),"⚠ El monto debe ser positivo","✓")))))))))))))))</f>
        <v/>
      </c>
      <c r="P3639" s="52">
        <f>IF(OR(B3639="",G3639=""),"",IF(C3639="","Gasto",C3639))</f>
        <v/>
      </c>
      <c r="Q3639" s="52">
        <f>IF(P3639="","",IF(J3639&lt;&gt;"",J3639,CuentaPred&amp;""))</f>
        <v/>
      </c>
      <c r="R3639" s="52">
        <f>IF(P3639="","",IF(ISNUMBER(I3639),I3639,TasaUSD))</f>
        <v/>
      </c>
      <c r="S3639" s="53">
        <f>IF(P3639="","",IF(H3639="USD",G3639*R3639,G3639))</f>
        <v/>
      </c>
      <c r="T3639" s="53">
        <f>IF(P3639="","",IF(H3639="USD",G3639,IF(R3639&gt;0,G3639/R3639,0)))</f>
        <v/>
      </c>
      <c r="U3639" s="53">
        <f>IF(P3639="","",IF(P3639="Gasto",S3639,IF(P3639="Reembolso",-S3639,0)))</f>
        <v/>
      </c>
      <c r="V3639" s="53">
        <f>IF(P3639="","",IF(P3639="Ingreso",S3639,0))</f>
        <v/>
      </c>
      <c r="W3639" s="53">
        <f>IF(P3639="","",IF(P3639="Resultado trading",S3639,0))</f>
        <v/>
      </c>
      <c r="X3639" s="52">
        <f>IF(OR(P3639="Gasto",P3639="Reembolso"),IF(M3639&lt;&gt;"",M3639,IFERROR(INDEX(catClasif,MATCH(D3639&amp;"|"&amp;E3639,catClave,0))&amp;"","Variable")),"")</f>
        <v/>
      </c>
      <c r="Y3639" s="52">
        <f>IF(P3639="","",IFERROR(INDEX(catGrupo,MATCH(D3639&amp;"|"&amp;E3639,catClave,0))&amp;"",""))</f>
        <v/>
      </c>
      <c r="Z3639" s="52">
        <f>IF(P3639="","",WEEKDAY(B3639,2))</f>
        <v/>
      </c>
      <c r="AA3639" s="52">
        <f>IF(P3639="","",IF(AND(P3639="Gasto",X3639="Variable",D3639&lt;&gt;catTrading,S3639&gt;0,S3639&lt;=Umbral),1,0))</f>
        <v/>
      </c>
      <c r="AB3639" s="52">
        <f>IF(OR(P3639="",Q3639=""),"",IFERROR(IF(INDEX(ctaVinc,MATCH(Q3639,ctaNombre,0))&amp;""&lt;&gt;"",INDEX(ctaVinc,MATCH(Q3639,ctaNombre,0))&amp;"",Q3639),Q3639))</f>
        <v/>
      </c>
      <c r="AC3639" s="52">
        <f>IF(OR(K3639="",AND(P3639&lt;&gt;"Transferencia",P3639&lt;&gt;"Pago tarjeta")),"",IFERROR(IF(INDEX(ctaVinc,MATCH(K3639,ctaNombre,0))&amp;""&lt;&gt;"",INDEX(ctaVinc,MATCH(K3639,ctaNombre,0))&amp;"",K3639),K3639))</f>
        <v/>
      </c>
      <c r="AD3639" s="52">
        <f>IF(AB3639="","",IFERROR(INDEX(ctaTipo,MATCH(AB3639,ctaNombre,0))&amp;"",""))</f>
        <v/>
      </c>
      <c r="AE3639" s="52">
        <f>IF(AC3639="","",IFERROR(INDEX(ctaTipo,MATCH(AC3639,ctaNombre,0))&amp;"",""))</f>
        <v/>
      </c>
      <c r="AF3639" s="53">
        <f>IF(OR(P3639="",AB3639=""),"",IF(OR(P3639="Gasto",P3639="Transferencia",P3639="Pago tarjeta"),-1,1)*IF(IFERROR(INDEX(ctaMoneda,MATCH(AB3639,ctaNombre,0))&amp;"","DOP")="USD",T3639,S3639))</f>
        <v/>
      </c>
      <c r="AG3639" s="53">
        <f>IF(AC3639="","",IF(IFERROR(INDEX(ctaMoneda,MATCH(AC3639,ctaNombre,0))&amp;"","DOP")="USD",T3639,S3639))</f>
        <v/>
      </c>
      <c r="AH3639" s="53">
        <f>IF(P3639="","",IF(AND(AD3639&lt;&gt;"",COUNTIFS(tcTipo,AD3639,tcLiq,"Sí")&gt;0),IF(OR(P3639="Gasto",P3639="Transferencia",P3639="Pago tarjeta"),-1,1)*S3639,0)+IF(AND(AE3639&lt;&gt;"",COUNTIFS(tcTipo,AE3639,tcLiq,"Sí")&gt;0),S3639,0))</f>
        <v/>
      </c>
      <c r="AI3639" s="52">
        <f>IF(OR(L3639="",P3639=""),"",IF(COUNTIFS(L$6:L3639,L3639,P$6:P3639,"?*")=1,MAX(AI$5:AI3638)+1,""))</f>
        <v/>
      </c>
    </row>
    <row r="3640">
      <c r="B3640" s="47" t="n"/>
      <c r="C3640" s="48" t="n"/>
      <c r="D3640" s="48" t="n"/>
      <c r="E3640" s="48" t="n"/>
      <c r="F3640" s="48" t="n"/>
      <c r="G3640" s="49" t="n"/>
      <c r="H3640" s="48" t="n"/>
      <c r="I3640" s="50" t="n"/>
      <c r="J3640" s="48" t="n"/>
      <c r="K3640" s="48" t="n"/>
      <c r="L3640" s="48" t="n"/>
      <c r="M3640" s="48" t="n"/>
      <c r="N3640" s="48" t="n"/>
      <c r="O3640" s="51">
        <f>IF(AND(B3640="",G3640="",C3640="",D3640="",J3640=""),"",IF(B3640="","⚠ Falta fecha",IF(G3640="","⚠ Falta monto",IF(Q3640="","⚠ Falta cuenta",IF(ISNA(MATCH(Q3640,ctaNombre,0)),"⚠ Cuenta no registrada",IF(AND(OR(P3640="Gasto",P3640="Reembolso"),D3640=""),"⚠ Falta categoría",IF(AND(D3640&lt;&gt;"",E3640&lt;&gt;"",ISNA(MATCH(D3640&amp;"|"&amp;E3640,catClave,0))),"⚠ Subcategoría no corresponde",IF(AND(OR(P3640="Transferencia",P3640="Pago tarjeta"),K3640=""),"⚠ Falta cuenta destino",IF(AND(K3640&lt;&gt;"",P3640&lt;&gt;"Transferencia",P3640&lt;&gt;"Pago tarjeta"),"⚠ Destino solo aplica a transferencias",IF(AND(K3640&lt;&gt;"",K3640=Q3640),"⚠ Origen igual a destino",IF(AND(K3640&lt;&gt;"",ISNA(MATCH(K3640,ctaNombre,0))),"⚠ Destino no registrado",IF(AND(P3640="Pago tarjeta",AE3640&lt;&gt;"Tarjeta de crédito"),"⚠ El destino debe ser tarjeta de crédito",IF(AND(P3640="Gasto",E3640="Depósitos y retiros"),"⚠ Usa tipo Transferencia",IF(AND(P3640="Resultado trading",AD3640&lt;&gt;"Cuenta de trading"),"⚠ Usa una cuenta de trading",IF(AND(G3640&lt;=0,P3640&lt;&gt;"Ajuste",P3640&lt;&gt;"Resultado trading"),"⚠ El monto debe ser positivo","✓")))))))))))))))</f>
        <v/>
      </c>
      <c r="P3640" s="52">
        <f>IF(OR(B3640="",G3640=""),"",IF(C3640="","Gasto",C3640))</f>
        <v/>
      </c>
      <c r="Q3640" s="52">
        <f>IF(P3640="","",IF(J3640&lt;&gt;"",J3640,CuentaPred&amp;""))</f>
        <v/>
      </c>
      <c r="R3640" s="52">
        <f>IF(P3640="","",IF(ISNUMBER(I3640),I3640,TasaUSD))</f>
        <v/>
      </c>
      <c r="S3640" s="53">
        <f>IF(P3640="","",IF(H3640="USD",G3640*R3640,G3640))</f>
        <v/>
      </c>
      <c r="T3640" s="53">
        <f>IF(P3640="","",IF(H3640="USD",G3640,IF(R3640&gt;0,G3640/R3640,0)))</f>
        <v/>
      </c>
      <c r="U3640" s="53">
        <f>IF(P3640="","",IF(P3640="Gasto",S3640,IF(P3640="Reembolso",-S3640,0)))</f>
        <v/>
      </c>
      <c r="V3640" s="53">
        <f>IF(P3640="","",IF(P3640="Ingreso",S3640,0))</f>
        <v/>
      </c>
      <c r="W3640" s="53">
        <f>IF(P3640="","",IF(P3640="Resultado trading",S3640,0))</f>
        <v/>
      </c>
      <c r="X3640" s="52">
        <f>IF(OR(P3640="Gasto",P3640="Reembolso"),IF(M3640&lt;&gt;"",M3640,IFERROR(INDEX(catClasif,MATCH(D3640&amp;"|"&amp;E3640,catClave,0))&amp;"","Variable")),"")</f>
        <v/>
      </c>
      <c r="Y3640" s="52">
        <f>IF(P3640="","",IFERROR(INDEX(catGrupo,MATCH(D3640&amp;"|"&amp;E3640,catClave,0))&amp;"",""))</f>
        <v/>
      </c>
      <c r="Z3640" s="52">
        <f>IF(P3640="","",WEEKDAY(B3640,2))</f>
        <v/>
      </c>
      <c r="AA3640" s="52">
        <f>IF(P3640="","",IF(AND(P3640="Gasto",X3640="Variable",D3640&lt;&gt;catTrading,S3640&gt;0,S3640&lt;=Umbral),1,0))</f>
        <v/>
      </c>
      <c r="AB3640" s="52">
        <f>IF(OR(P3640="",Q3640=""),"",IFERROR(IF(INDEX(ctaVinc,MATCH(Q3640,ctaNombre,0))&amp;""&lt;&gt;"",INDEX(ctaVinc,MATCH(Q3640,ctaNombre,0))&amp;"",Q3640),Q3640))</f>
        <v/>
      </c>
      <c r="AC3640" s="52">
        <f>IF(OR(K3640="",AND(P3640&lt;&gt;"Transferencia",P3640&lt;&gt;"Pago tarjeta")),"",IFERROR(IF(INDEX(ctaVinc,MATCH(K3640,ctaNombre,0))&amp;""&lt;&gt;"",INDEX(ctaVinc,MATCH(K3640,ctaNombre,0))&amp;"",K3640),K3640))</f>
        <v/>
      </c>
      <c r="AD3640" s="52">
        <f>IF(AB3640="","",IFERROR(INDEX(ctaTipo,MATCH(AB3640,ctaNombre,0))&amp;"",""))</f>
        <v/>
      </c>
      <c r="AE3640" s="52">
        <f>IF(AC3640="","",IFERROR(INDEX(ctaTipo,MATCH(AC3640,ctaNombre,0))&amp;"",""))</f>
        <v/>
      </c>
      <c r="AF3640" s="53">
        <f>IF(OR(P3640="",AB3640=""),"",IF(OR(P3640="Gasto",P3640="Transferencia",P3640="Pago tarjeta"),-1,1)*IF(IFERROR(INDEX(ctaMoneda,MATCH(AB3640,ctaNombre,0))&amp;"","DOP")="USD",T3640,S3640))</f>
        <v/>
      </c>
      <c r="AG3640" s="53">
        <f>IF(AC3640="","",IF(IFERROR(INDEX(ctaMoneda,MATCH(AC3640,ctaNombre,0))&amp;"","DOP")="USD",T3640,S3640))</f>
        <v/>
      </c>
      <c r="AH3640" s="53">
        <f>IF(P3640="","",IF(AND(AD3640&lt;&gt;"",COUNTIFS(tcTipo,AD3640,tcLiq,"Sí")&gt;0),IF(OR(P3640="Gasto",P3640="Transferencia",P3640="Pago tarjeta"),-1,1)*S3640,0)+IF(AND(AE3640&lt;&gt;"",COUNTIFS(tcTipo,AE3640,tcLiq,"Sí")&gt;0),S3640,0))</f>
        <v/>
      </c>
      <c r="AI3640" s="52">
        <f>IF(OR(L3640="",P3640=""),"",IF(COUNTIFS(L$6:L3640,L3640,P$6:P3640,"?*")=1,MAX(AI$5:AI3639)+1,""))</f>
        <v/>
      </c>
    </row>
    <row r="3641">
      <c r="B3641" s="47" t="n"/>
      <c r="C3641" s="48" t="n"/>
      <c r="D3641" s="48" t="n"/>
      <c r="E3641" s="48" t="n"/>
      <c r="F3641" s="48" t="n"/>
      <c r="G3641" s="49" t="n"/>
      <c r="H3641" s="48" t="n"/>
      <c r="I3641" s="50" t="n"/>
      <c r="J3641" s="48" t="n"/>
      <c r="K3641" s="48" t="n"/>
      <c r="L3641" s="48" t="n"/>
      <c r="M3641" s="48" t="n"/>
      <c r="N3641" s="48" t="n"/>
      <c r="O3641" s="51">
        <f>IF(AND(B3641="",G3641="",C3641="",D3641="",J3641=""),"",IF(B3641="","⚠ Falta fecha",IF(G3641="","⚠ Falta monto",IF(Q3641="","⚠ Falta cuenta",IF(ISNA(MATCH(Q3641,ctaNombre,0)),"⚠ Cuenta no registrada",IF(AND(OR(P3641="Gasto",P3641="Reembolso"),D3641=""),"⚠ Falta categoría",IF(AND(D3641&lt;&gt;"",E3641&lt;&gt;"",ISNA(MATCH(D3641&amp;"|"&amp;E3641,catClave,0))),"⚠ Subcategoría no corresponde",IF(AND(OR(P3641="Transferencia",P3641="Pago tarjeta"),K3641=""),"⚠ Falta cuenta destino",IF(AND(K3641&lt;&gt;"",P3641&lt;&gt;"Transferencia",P3641&lt;&gt;"Pago tarjeta"),"⚠ Destino solo aplica a transferencias",IF(AND(K3641&lt;&gt;"",K3641=Q3641),"⚠ Origen igual a destino",IF(AND(K3641&lt;&gt;"",ISNA(MATCH(K3641,ctaNombre,0))),"⚠ Destino no registrado",IF(AND(P3641="Pago tarjeta",AE3641&lt;&gt;"Tarjeta de crédito"),"⚠ El destino debe ser tarjeta de crédito",IF(AND(P3641="Gasto",E3641="Depósitos y retiros"),"⚠ Usa tipo Transferencia",IF(AND(P3641="Resultado trading",AD3641&lt;&gt;"Cuenta de trading"),"⚠ Usa una cuenta de trading",IF(AND(G3641&lt;=0,P3641&lt;&gt;"Ajuste",P3641&lt;&gt;"Resultado trading"),"⚠ El monto debe ser positivo","✓")))))))))))))))</f>
        <v/>
      </c>
      <c r="P3641" s="52">
        <f>IF(OR(B3641="",G3641=""),"",IF(C3641="","Gasto",C3641))</f>
        <v/>
      </c>
      <c r="Q3641" s="52">
        <f>IF(P3641="","",IF(J3641&lt;&gt;"",J3641,CuentaPred&amp;""))</f>
        <v/>
      </c>
      <c r="R3641" s="52">
        <f>IF(P3641="","",IF(ISNUMBER(I3641),I3641,TasaUSD))</f>
        <v/>
      </c>
      <c r="S3641" s="53">
        <f>IF(P3641="","",IF(H3641="USD",G3641*R3641,G3641))</f>
        <v/>
      </c>
      <c r="T3641" s="53">
        <f>IF(P3641="","",IF(H3641="USD",G3641,IF(R3641&gt;0,G3641/R3641,0)))</f>
        <v/>
      </c>
      <c r="U3641" s="53">
        <f>IF(P3641="","",IF(P3641="Gasto",S3641,IF(P3641="Reembolso",-S3641,0)))</f>
        <v/>
      </c>
      <c r="V3641" s="53">
        <f>IF(P3641="","",IF(P3641="Ingreso",S3641,0))</f>
        <v/>
      </c>
      <c r="W3641" s="53">
        <f>IF(P3641="","",IF(P3641="Resultado trading",S3641,0))</f>
        <v/>
      </c>
      <c r="X3641" s="52">
        <f>IF(OR(P3641="Gasto",P3641="Reembolso"),IF(M3641&lt;&gt;"",M3641,IFERROR(INDEX(catClasif,MATCH(D3641&amp;"|"&amp;E3641,catClave,0))&amp;"","Variable")),"")</f>
        <v/>
      </c>
      <c r="Y3641" s="52">
        <f>IF(P3641="","",IFERROR(INDEX(catGrupo,MATCH(D3641&amp;"|"&amp;E3641,catClave,0))&amp;"",""))</f>
        <v/>
      </c>
      <c r="Z3641" s="52">
        <f>IF(P3641="","",WEEKDAY(B3641,2))</f>
        <v/>
      </c>
      <c r="AA3641" s="52">
        <f>IF(P3641="","",IF(AND(P3641="Gasto",X3641="Variable",D3641&lt;&gt;catTrading,S3641&gt;0,S3641&lt;=Umbral),1,0))</f>
        <v/>
      </c>
      <c r="AB3641" s="52">
        <f>IF(OR(P3641="",Q3641=""),"",IFERROR(IF(INDEX(ctaVinc,MATCH(Q3641,ctaNombre,0))&amp;""&lt;&gt;"",INDEX(ctaVinc,MATCH(Q3641,ctaNombre,0))&amp;"",Q3641),Q3641))</f>
        <v/>
      </c>
      <c r="AC3641" s="52">
        <f>IF(OR(K3641="",AND(P3641&lt;&gt;"Transferencia",P3641&lt;&gt;"Pago tarjeta")),"",IFERROR(IF(INDEX(ctaVinc,MATCH(K3641,ctaNombre,0))&amp;""&lt;&gt;"",INDEX(ctaVinc,MATCH(K3641,ctaNombre,0))&amp;"",K3641),K3641))</f>
        <v/>
      </c>
      <c r="AD3641" s="52">
        <f>IF(AB3641="","",IFERROR(INDEX(ctaTipo,MATCH(AB3641,ctaNombre,0))&amp;"",""))</f>
        <v/>
      </c>
      <c r="AE3641" s="52">
        <f>IF(AC3641="","",IFERROR(INDEX(ctaTipo,MATCH(AC3641,ctaNombre,0))&amp;"",""))</f>
        <v/>
      </c>
      <c r="AF3641" s="53">
        <f>IF(OR(P3641="",AB3641=""),"",IF(OR(P3641="Gasto",P3641="Transferencia",P3641="Pago tarjeta"),-1,1)*IF(IFERROR(INDEX(ctaMoneda,MATCH(AB3641,ctaNombre,0))&amp;"","DOP")="USD",T3641,S3641))</f>
        <v/>
      </c>
      <c r="AG3641" s="53">
        <f>IF(AC3641="","",IF(IFERROR(INDEX(ctaMoneda,MATCH(AC3641,ctaNombre,0))&amp;"","DOP")="USD",T3641,S3641))</f>
        <v/>
      </c>
      <c r="AH3641" s="53">
        <f>IF(P3641="","",IF(AND(AD3641&lt;&gt;"",COUNTIFS(tcTipo,AD3641,tcLiq,"Sí")&gt;0),IF(OR(P3641="Gasto",P3641="Transferencia",P3641="Pago tarjeta"),-1,1)*S3641,0)+IF(AND(AE3641&lt;&gt;"",COUNTIFS(tcTipo,AE3641,tcLiq,"Sí")&gt;0),S3641,0))</f>
        <v/>
      </c>
      <c r="AI3641" s="52">
        <f>IF(OR(L3641="",P3641=""),"",IF(COUNTIFS(L$6:L3641,L3641,P$6:P3641,"?*")=1,MAX(AI$5:AI3640)+1,""))</f>
        <v/>
      </c>
    </row>
    <row r="3642">
      <c r="B3642" s="47" t="n"/>
      <c r="C3642" s="48" t="n"/>
      <c r="D3642" s="48" t="n"/>
      <c r="E3642" s="48" t="n"/>
      <c r="F3642" s="48" t="n"/>
      <c r="G3642" s="49" t="n"/>
      <c r="H3642" s="48" t="n"/>
      <c r="I3642" s="50" t="n"/>
      <c r="J3642" s="48" t="n"/>
      <c r="K3642" s="48" t="n"/>
      <c r="L3642" s="48" t="n"/>
      <c r="M3642" s="48" t="n"/>
      <c r="N3642" s="48" t="n"/>
      <c r="O3642" s="51">
        <f>IF(AND(B3642="",G3642="",C3642="",D3642="",J3642=""),"",IF(B3642="","⚠ Falta fecha",IF(G3642="","⚠ Falta monto",IF(Q3642="","⚠ Falta cuenta",IF(ISNA(MATCH(Q3642,ctaNombre,0)),"⚠ Cuenta no registrada",IF(AND(OR(P3642="Gasto",P3642="Reembolso"),D3642=""),"⚠ Falta categoría",IF(AND(D3642&lt;&gt;"",E3642&lt;&gt;"",ISNA(MATCH(D3642&amp;"|"&amp;E3642,catClave,0))),"⚠ Subcategoría no corresponde",IF(AND(OR(P3642="Transferencia",P3642="Pago tarjeta"),K3642=""),"⚠ Falta cuenta destino",IF(AND(K3642&lt;&gt;"",P3642&lt;&gt;"Transferencia",P3642&lt;&gt;"Pago tarjeta"),"⚠ Destino solo aplica a transferencias",IF(AND(K3642&lt;&gt;"",K3642=Q3642),"⚠ Origen igual a destino",IF(AND(K3642&lt;&gt;"",ISNA(MATCH(K3642,ctaNombre,0))),"⚠ Destino no registrado",IF(AND(P3642="Pago tarjeta",AE3642&lt;&gt;"Tarjeta de crédito"),"⚠ El destino debe ser tarjeta de crédito",IF(AND(P3642="Gasto",E3642="Depósitos y retiros"),"⚠ Usa tipo Transferencia",IF(AND(P3642="Resultado trading",AD3642&lt;&gt;"Cuenta de trading"),"⚠ Usa una cuenta de trading",IF(AND(G3642&lt;=0,P3642&lt;&gt;"Ajuste",P3642&lt;&gt;"Resultado trading"),"⚠ El monto debe ser positivo","✓")))))))))))))))</f>
        <v/>
      </c>
      <c r="P3642" s="52">
        <f>IF(OR(B3642="",G3642=""),"",IF(C3642="","Gasto",C3642))</f>
        <v/>
      </c>
      <c r="Q3642" s="52">
        <f>IF(P3642="","",IF(J3642&lt;&gt;"",J3642,CuentaPred&amp;""))</f>
        <v/>
      </c>
      <c r="R3642" s="52">
        <f>IF(P3642="","",IF(ISNUMBER(I3642),I3642,TasaUSD))</f>
        <v/>
      </c>
      <c r="S3642" s="53">
        <f>IF(P3642="","",IF(H3642="USD",G3642*R3642,G3642))</f>
        <v/>
      </c>
      <c r="T3642" s="53">
        <f>IF(P3642="","",IF(H3642="USD",G3642,IF(R3642&gt;0,G3642/R3642,0)))</f>
        <v/>
      </c>
      <c r="U3642" s="53">
        <f>IF(P3642="","",IF(P3642="Gasto",S3642,IF(P3642="Reembolso",-S3642,0)))</f>
        <v/>
      </c>
      <c r="V3642" s="53">
        <f>IF(P3642="","",IF(P3642="Ingreso",S3642,0))</f>
        <v/>
      </c>
      <c r="W3642" s="53">
        <f>IF(P3642="","",IF(P3642="Resultado trading",S3642,0))</f>
        <v/>
      </c>
      <c r="X3642" s="52">
        <f>IF(OR(P3642="Gasto",P3642="Reembolso"),IF(M3642&lt;&gt;"",M3642,IFERROR(INDEX(catClasif,MATCH(D3642&amp;"|"&amp;E3642,catClave,0))&amp;"","Variable")),"")</f>
        <v/>
      </c>
      <c r="Y3642" s="52">
        <f>IF(P3642="","",IFERROR(INDEX(catGrupo,MATCH(D3642&amp;"|"&amp;E3642,catClave,0))&amp;"",""))</f>
        <v/>
      </c>
      <c r="Z3642" s="52">
        <f>IF(P3642="","",WEEKDAY(B3642,2))</f>
        <v/>
      </c>
      <c r="AA3642" s="52">
        <f>IF(P3642="","",IF(AND(P3642="Gasto",X3642="Variable",D3642&lt;&gt;catTrading,S3642&gt;0,S3642&lt;=Umbral),1,0))</f>
        <v/>
      </c>
      <c r="AB3642" s="52">
        <f>IF(OR(P3642="",Q3642=""),"",IFERROR(IF(INDEX(ctaVinc,MATCH(Q3642,ctaNombre,0))&amp;""&lt;&gt;"",INDEX(ctaVinc,MATCH(Q3642,ctaNombre,0))&amp;"",Q3642),Q3642))</f>
        <v/>
      </c>
      <c r="AC3642" s="52">
        <f>IF(OR(K3642="",AND(P3642&lt;&gt;"Transferencia",P3642&lt;&gt;"Pago tarjeta")),"",IFERROR(IF(INDEX(ctaVinc,MATCH(K3642,ctaNombre,0))&amp;""&lt;&gt;"",INDEX(ctaVinc,MATCH(K3642,ctaNombre,0))&amp;"",K3642),K3642))</f>
        <v/>
      </c>
      <c r="AD3642" s="52">
        <f>IF(AB3642="","",IFERROR(INDEX(ctaTipo,MATCH(AB3642,ctaNombre,0))&amp;"",""))</f>
        <v/>
      </c>
      <c r="AE3642" s="52">
        <f>IF(AC3642="","",IFERROR(INDEX(ctaTipo,MATCH(AC3642,ctaNombre,0))&amp;"",""))</f>
        <v/>
      </c>
      <c r="AF3642" s="53">
        <f>IF(OR(P3642="",AB3642=""),"",IF(OR(P3642="Gasto",P3642="Transferencia",P3642="Pago tarjeta"),-1,1)*IF(IFERROR(INDEX(ctaMoneda,MATCH(AB3642,ctaNombre,0))&amp;"","DOP")="USD",T3642,S3642))</f>
        <v/>
      </c>
      <c r="AG3642" s="53">
        <f>IF(AC3642="","",IF(IFERROR(INDEX(ctaMoneda,MATCH(AC3642,ctaNombre,0))&amp;"","DOP")="USD",T3642,S3642))</f>
        <v/>
      </c>
      <c r="AH3642" s="53">
        <f>IF(P3642="","",IF(AND(AD3642&lt;&gt;"",COUNTIFS(tcTipo,AD3642,tcLiq,"Sí")&gt;0),IF(OR(P3642="Gasto",P3642="Transferencia",P3642="Pago tarjeta"),-1,1)*S3642,0)+IF(AND(AE3642&lt;&gt;"",COUNTIFS(tcTipo,AE3642,tcLiq,"Sí")&gt;0),S3642,0))</f>
        <v/>
      </c>
      <c r="AI3642" s="52">
        <f>IF(OR(L3642="",P3642=""),"",IF(COUNTIFS(L$6:L3642,L3642,P$6:P3642,"?*")=1,MAX(AI$5:AI3641)+1,""))</f>
        <v/>
      </c>
    </row>
    <row r="3643">
      <c r="B3643" s="47" t="n"/>
      <c r="C3643" s="48" t="n"/>
      <c r="D3643" s="48" t="n"/>
      <c r="E3643" s="48" t="n"/>
      <c r="F3643" s="48" t="n"/>
      <c r="G3643" s="49" t="n"/>
      <c r="H3643" s="48" t="n"/>
      <c r="I3643" s="50" t="n"/>
      <c r="J3643" s="48" t="n"/>
      <c r="K3643" s="48" t="n"/>
      <c r="L3643" s="48" t="n"/>
      <c r="M3643" s="48" t="n"/>
      <c r="N3643" s="48" t="n"/>
      <c r="O3643" s="51">
        <f>IF(AND(B3643="",G3643="",C3643="",D3643="",J3643=""),"",IF(B3643="","⚠ Falta fecha",IF(G3643="","⚠ Falta monto",IF(Q3643="","⚠ Falta cuenta",IF(ISNA(MATCH(Q3643,ctaNombre,0)),"⚠ Cuenta no registrada",IF(AND(OR(P3643="Gasto",P3643="Reembolso"),D3643=""),"⚠ Falta categoría",IF(AND(D3643&lt;&gt;"",E3643&lt;&gt;"",ISNA(MATCH(D3643&amp;"|"&amp;E3643,catClave,0))),"⚠ Subcategoría no corresponde",IF(AND(OR(P3643="Transferencia",P3643="Pago tarjeta"),K3643=""),"⚠ Falta cuenta destino",IF(AND(K3643&lt;&gt;"",P3643&lt;&gt;"Transferencia",P3643&lt;&gt;"Pago tarjeta"),"⚠ Destino solo aplica a transferencias",IF(AND(K3643&lt;&gt;"",K3643=Q3643),"⚠ Origen igual a destino",IF(AND(K3643&lt;&gt;"",ISNA(MATCH(K3643,ctaNombre,0))),"⚠ Destino no registrado",IF(AND(P3643="Pago tarjeta",AE3643&lt;&gt;"Tarjeta de crédito"),"⚠ El destino debe ser tarjeta de crédito",IF(AND(P3643="Gasto",E3643="Depósitos y retiros"),"⚠ Usa tipo Transferencia",IF(AND(P3643="Resultado trading",AD3643&lt;&gt;"Cuenta de trading"),"⚠ Usa una cuenta de trading",IF(AND(G3643&lt;=0,P3643&lt;&gt;"Ajuste",P3643&lt;&gt;"Resultado trading"),"⚠ El monto debe ser positivo","✓")))))))))))))))</f>
        <v/>
      </c>
      <c r="P3643" s="52">
        <f>IF(OR(B3643="",G3643=""),"",IF(C3643="","Gasto",C3643))</f>
        <v/>
      </c>
      <c r="Q3643" s="52">
        <f>IF(P3643="","",IF(J3643&lt;&gt;"",J3643,CuentaPred&amp;""))</f>
        <v/>
      </c>
      <c r="R3643" s="52">
        <f>IF(P3643="","",IF(ISNUMBER(I3643),I3643,TasaUSD))</f>
        <v/>
      </c>
      <c r="S3643" s="53">
        <f>IF(P3643="","",IF(H3643="USD",G3643*R3643,G3643))</f>
        <v/>
      </c>
      <c r="T3643" s="53">
        <f>IF(P3643="","",IF(H3643="USD",G3643,IF(R3643&gt;0,G3643/R3643,0)))</f>
        <v/>
      </c>
      <c r="U3643" s="53">
        <f>IF(P3643="","",IF(P3643="Gasto",S3643,IF(P3643="Reembolso",-S3643,0)))</f>
        <v/>
      </c>
      <c r="V3643" s="53">
        <f>IF(P3643="","",IF(P3643="Ingreso",S3643,0))</f>
        <v/>
      </c>
      <c r="W3643" s="53">
        <f>IF(P3643="","",IF(P3643="Resultado trading",S3643,0))</f>
        <v/>
      </c>
      <c r="X3643" s="52">
        <f>IF(OR(P3643="Gasto",P3643="Reembolso"),IF(M3643&lt;&gt;"",M3643,IFERROR(INDEX(catClasif,MATCH(D3643&amp;"|"&amp;E3643,catClave,0))&amp;"","Variable")),"")</f>
        <v/>
      </c>
      <c r="Y3643" s="52">
        <f>IF(P3643="","",IFERROR(INDEX(catGrupo,MATCH(D3643&amp;"|"&amp;E3643,catClave,0))&amp;"",""))</f>
        <v/>
      </c>
      <c r="Z3643" s="52">
        <f>IF(P3643="","",WEEKDAY(B3643,2))</f>
        <v/>
      </c>
      <c r="AA3643" s="52">
        <f>IF(P3643="","",IF(AND(P3643="Gasto",X3643="Variable",D3643&lt;&gt;catTrading,S3643&gt;0,S3643&lt;=Umbral),1,0))</f>
        <v/>
      </c>
      <c r="AB3643" s="52">
        <f>IF(OR(P3643="",Q3643=""),"",IFERROR(IF(INDEX(ctaVinc,MATCH(Q3643,ctaNombre,0))&amp;""&lt;&gt;"",INDEX(ctaVinc,MATCH(Q3643,ctaNombre,0))&amp;"",Q3643),Q3643))</f>
        <v/>
      </c>
      <c r="AC3643" s="52">
        <f>IF(OR(K3643="",AND(P3643&lt;&gt;"Transferencia",P3643&lt;&gt;"Pago tarjeta")),"",IFERROR(IF(INDEX(ctaVinc,MATCH(K3643,ctaNombre,0))&amp;""&lt;&gt;"",INDEX(ctaVinc,MATCH(K3643,ctaNombre,0))&amp;"",K3643),K3643))</f>
        <v/>
      </c>
      <c r="AD3643" s="52">
        <f>IF(AB3643="","",IFERROR(INDEX(ctaTipo,MATCH(AB3643,ctaNombre,0))&amp;"",""))</f>
        <v/>
      </c>
      <c r="AE3643" s="52">
        <f>IF(AC3643="","",IFERROR(INDEX(ctaTipo,MATCH(AC3643,ctaNombre,0))&amp;"",""))</f>
        <v/>
      </c>
      <c r="AF3643" s="53">
        <f>IF(OR(P3643="",AB3643=""),"",IF(OR(P3643="Gasto",P3643="Transferencia",P3643="Pago tarjeta"),-1,1)*IF(IFERROR(INDEX(ctaMoneda,MATCH(AB3643,ctaNombre,0))&amp;"","DOP")="USD",T3643,S3643))</f>
        <v/>
      </c>
      <c r="AG3643" s="53">
        <f>IF(AC3643="","",IF(IFERROR(INDEX(ctaMoneda,MATCH(AC3643,ctaNombre,0))&amp;"","DOP")="USD",T3643,S3643))</f>
        <v/>
      </c>
      <c r="AH3643" s="53">
        <f>IF(P3643="","",IF(AND(AD3643&lt;&gt;"",COUNTIFS(tcTipo,AD3643,tcLiq,"Sí")&gt;0),IF(OR(P3643="Gasto",P3643="Transferencia",P3643="Pago tarjeta"),-1,1)*S3643,0)+IF(AND(AE3643&lt;&gt;"",COUNTIFS(tcTipo,AE3643,tcLiq,"Sí")&gt;0),S3643,0))</f>
        <v/>
      </c>
      <c r="AI3643" s="52">
        <f>IF(OR(L3643="",P3643=""),"",IF(COUNTIFS(L$6:L3643,L3643,P$6:P3643,"?*")=1,MAX(AI$5:AI3642)+1,""))</f>
        <v/>
      </c>
    </row>
    <row r="3644">
      <c r="B3644" s="47" t="n"/>
      <c r="C3644" s="48" t="n"/>
      <c r="D3644" s="48" t="n"/>
      <c r="E3644" s="48" t="n"/>
      <c r="F3644" s="48" t="n"/>
      <c r="G3644" s="49" t="n"/>
      <c r="H3644" s="48" t="n"/>
      <c r="I3644" s="50" t="n"/>
      <c r="J3644" s="48" t="n"/>
      <c r="K3644" s="48" t="n"/>
      <c r="L3644" s="48" t="n"/>
      <c r="M3644" s="48" t="n"/>
      <c r="N3644" s="48" t="n"/>
      <c r="O3644" s="51">
        <f>IF(AND(B3644="",G3644="",C3644="",D3644="",J3644=""),"",IF(B3644="","⚠ Falta fecha",IF(G3644="","⚠ Falta monto",IF(Q3644="","⚠ Falta cuenta",IF(ISNA(MATCH(Q3644,ctaNombre,0)),"⚠ Cuenta no registrada",IF(AND(OR(P3644="Gasto",P3644="Reembolso"),D3644=""),"⚠ Falta categoría",IF(AND(D3644&lt;&gt;"",E3644&lt;&gt;"",ISNA(MATCH(D3644&amp;"|"&amp;E3644,catClave,0))),"⚠ Subcategoría no corresponde",IF(AND(OR(P3644="Transferencia",P3644="Pago tarjeta"),K3644=""),"⚠ Falta cuenta destino",IF(AND(K3644&lt;&gt;"",P3644&lt;&gt;"Transferencia",P3644&lt;&gt;"Pago tarjeta"),"⚠ Destino solo aplica a transferencias",IF(AND(K3644&lt;&gt;"",K3644=Q3644),"⚠ Origen igual a destino",IF(AND(K3644&lt;&gt;"",ISNA(MATCH(K3644,ctaNombre,0))),"⚠ Destino no registrado",IF(AND(P3644="Pago tarjeta",AE3644&lt;&gt;"Tarjeta de crédito"),"⚠ El destino debe ser tarjeta de crédito",IF(AND(P3644="Gasto",E3644="Depósitos y retiros"),"⚠ Usa tipo Transferencia",IF(AND(P3644="Resultado trading",AD3644&lt;&gt;"Cuenta de trading"),"⚠ Usa una cuenta de trading",IF(AND(G3644&lt;=0,P3644&lt;&gt;"Ajuste",P3644&lt;&gt;"Resultado trading"),"⚠ El monto debe ser positivo","✓")))))))))))))))</f>
        <v/>
      </c>
      <c r="P3644" s="52">
        <f>IF(OR(B3644="",G3644=""),"",IF(C3644="","Gasto",C3644))</f>
        <v/>
      </c>
      <c r="Q3644" s="52">
        <f>IF(P3644="","",IF(J3644&lt;&gt;"",J3644,CuentaPred&amp;""))</f>
        <v/>
      </c>
      <c r="R3644" s="52">
        <f>IF(P3644="","",IF(ISNUMBER(I3644),I3644,TasaUSD))</f>
        <v/>
      </c>
      <c r="S3644" s="53">
        <f>IF(P3644="","",IF(H3644="USD",G3644*R3644,G3644))</f>
        <v/>
      </c>
      <c r="T3644" s="53">
        <f>IF(P3644="","",IF(H3644="USD",G3644,IF(R3644&gt;0,G3644/R3644,0)))</f>
        <v/>
      </c>
      <c r="U3644" s="53">
        <f>IF(P3644="","",IF(P3644="Gasto",S3644,IF(P3644="Reembolso",-S3644,0)))</f>
        <v/>
      </c>
      <c r="V3644" s="53">
        <f>IF(P3644="","",IF(P3644="Ingreso",S3644,0))</f>
        <v/>
      </c>
      <c r="W3644" s="53">
        <f>IF(P3644="","",IF(P3644="Resultado trading",S3644,0))</f>
        <v/>
      </c>
      <c r="X3644" s="52">
        <f>IF(OR(P3644="Gasto",P3644="Reembolso"),IF(M3644&lt;&gt;"",M3644,IFERROR(INDEX(catClasif,MATCH(D3644&amp;"|"&amp;E3644,catClave,0))&amp;"","Variable")),"")</f>
        <v/>
      </c>
      <c r="Y3644" s="52">
        <f>IF(P3644="","",IFERROR(INDEX(catGrupo,MATCH(D3644&amp;"|"&amp;E3644,catClave,0))&amp;"",""))</f>
        <v/>
      </c>
      <c r="Z3644" s="52">
        <f>IF(P3644="","",WEEKDAY(B3644,2))</f>
        <v/>
      </c>
      <c r="AA3644" s="52">
        <f>IF(P3644="","",IF(AND(P3644="Gasto",X3644="Variable",D3644&lt;&gt;catTrading,S3644&gt;0,S3644&lt;=Umbral),1,0))</f>
        <v/>
      </c>
      <c r="AB3644" s="52">
        <f>IF(OR(P3644="",Q3644=""),"",IFERROR(IF(INDEX(ctaVinc,MATCH(Q3644,ctaNombre,0))&amp;""&lt;&gt;"",INDEX(ctaVinc,MATCH(Q3644,ctaNombre,0))&amp;"",Q3644),Q3644))</f>
        <v/>
      </c>
      <c r="AC3644" s="52">
        <f>IF(OR(K3644="",AND(P3644&lt;&gt;"Transferencia",P3644&lt;&gt;"Pago tarjeta")),"",IFERROR(IF(INDEX(ctaVinc,MATCH(K3644,ctaNombre,0))&amp;""&lt;&gt;"",INDEX(ctaVinc,MATCH(K3644,ctaNombre,0))&amp;"",K3644),K3644))</f>
        <v/>
      </c>
      <c r="AD3644" s="52">
        <f>IF(AB3644="","",IFERROR(INDEX(ctaTipo,MATCH(AB3644,ctaNombre,0))&amp;"",""))</f>
        <v/>
      </c>
      <c r="AE3644" s="52">
        <f>IF(AC3644="","",IFERROR(INDEX(ctaTipo,MATCH(AC3644,ctaNombre,0))&amp;"",""))</f>
        <v/>
      </c>
      <c r="AF3644" s="53">
        <f>IF(OR(P3644="",AB3644=""),"",IF(OR(P3644="Gasto",P3644="Transferencia",P3644="Pago tarjeta"),-1,1)*IF(IFERROR(INDEX(ctaMoneda,MATCH(AB3644,ctaNombre,0))&amp;"","DOP")="USD",T3644,S3644))</f>
        <v/>
      </c>
      <c r="AG3644" s="53">
        <f>IF(AC3644="","",IF(IFERROR(INDEX(ctaMoneda,MATCH(AC3644,ctaNombre,0))&amp;"","DOP")="USD",T3644,S3644))</f>
        <v/>
      </c>
      <c r="AH3644" s="53">
        <f>IF(P3644="","",IF(AND(AD3644&lt;&gt;"",COUNTIFS(tcTipo,AD3644,tcLiq,"Sí")&gt;0),IF(OR(P3644="Gasto",P3644="Transferencia",P3644="Pago tarjeta"),-1,1)*S3644,0)+IF(AND(AE3644&lt;&gt;"",COUNTIFS(tcTipo,AE3644,tcLiq,"Sí")&gt;0),S3644,0))</f>
        <v/>
      </c>
      <c r="AI3644" s="52">
        <f>IF(OR(L3644="",P3644=""),"",IF(COUNTIFS(L$6:L3644,L3644,P$6:P3644,"?*")=1,MAX(AI$5:AI3643)+1,""))</f>
        <v/>
      </c>
    </row>
    <row r="3645">
      <c r="B3645" s="47" t="n"/>
      <c r="C3645" s="48" t="n"/>
      <c r="D3645" s="48" t="n"/>
      <c r="E3645" s="48" t="n"/>
      <c r="F3645" s="48" t="n"/>
      <c r="G3645" s="49" t="n"/>
      <c r="H3645" s="48" t="n"/>
      <c r="I3645" s="50" t="n"/>
      <c r="J3645" s="48" t="n"/>
      <c r="K3645" s="48" t="n"/>
      <c r="L3645" s="48" t="n"/>
      <c r="M3645" s="48" t="n"/>
      <c r="N3645" s="48" t="n"/>
      <c r="O3645" s="51">
        <f>IF(AND(B3645="",G3645="",C3645="",D3645="",J3645=""),"",IF(B3645="","⚠ Falta fecha",IF(G3645="","⚠ Falta monto",IF(Q3645="","⚠ Falta cuenta",IF(ISNA(MATCH(Q3645,ctaNombre,0)),"⚠ Cuenta no registrada",IF(AND(OR(P3645="Gasto",P3645="Reembolso"),D3645=""),"⚠ Falta categoría",IF(AND(D3645&lt;&gt;"",E3645&lt;&gt;"",ISNA(MATCH(D3645&amp;"|"&amp;E3645,catClave,0))),"⚠ Subcategoría no corresponde",IF(AND(OR(P3645="Transferencia",P3645="Pago tarjeta"),K3645=""),"⚠ Falta cuenta destino",IF(AND(K3645&lt;&gt;"",P3645&lt;&gt;"Transferencia",P3645&lt;&gt;"Pago tarjeta"),"⚠ Destino solo aplica a transferencias",IF(AND(K3645&lt;&gt;"",K3645=Q3645),"⚠ Origen igual a destino",IF(AND(K3645&lt;&gt;"",ISNA(MATCH(K3645,ctaNombre,0))),"⚠ Destino no registrado",IF(AND(P3645="Pago tarjeta",AE3645&lt;&gt;"Tarjeta de crédito"),"⚠ El destino debe ser tarjeta de crédito",IF(AND(P3645="Gasto",E3645="Depósitos y retiros"),"⚠ Usa tipo Transferencia",IF(AND(P3645="Resultado trading",AD3645&lt;&gt;"Cuenta de trading"),"⚠ Usa una cuenta de trading",IF(AND(G3645&lt;=0,P3645&lt;&gt;"Ajuste",P3645&lt;&gt;"Resultado trading"),"⚠ El monto debe ser positivo","✓")))))))))))))))</f>
        <v/>
      </c>
      <c r="P3645" s="52">
        <f>IF(OR(B3645="",G3645=""),"",IF(C3645="","Gasto",C3645))</f>
        <v/>
      </c>
      <c r="Q3645" s="52">
        <f>IF(P3645="","",IF(J3645&lt;&gt;"",J3645,CuentaPred&amp;""))</f>
        <v/>
      </c>
      <c r="R3645" s="52">
        <f>IF(P3645="","",IF(ISNUMBER(I3645),I3645,TasaUSD))</f>
        <v/>
      </c>
      <c r="S3645" s="53">
        <f>IF(P3645="","",IF(H3645="USD",G3645*R3645,G3645))</f>
        <v/>
      </c>
      <c r="T3645" s="53">
        <f>IF(P3645="","",IF(H3645="USD",G3645,IF(R3645&gt;0,G3645/R3645,0)))</f>
        <v/>
      </c>
      <c r="U3645" s="53">
        <f>IF(P3645="","",IF(P3645="Gasto",S3645,IF(P3645="Reembolso",-S3645,0)))</f>
        <v/>
      </c>
      <c r="V3645" s="53">
        <f>IF(P3645="","",IF(P3645="Ingreso",S3645,0))</f>
        <v/>
      </c>
      <c r="W3645" s="53">
        <f>IF(P3645="","",IF(P3645="Resultado trading",S3645,0))</f>
        <v/>
      </c>
      <c r="X3645" s="52">
        <f>IF(OR(P3645="Gasto",P3645="Reembolso"),IF(M3645&lt;&gt;"",M3645,IFERROR(INDEX(catClasif,MATCH(D3645&amp;"|"&amp;E3645,catClave,0))&amp;"","Variable")),"")</f>
        <v/>
      </c>
      <c r="Y3645" s="52">
        <f>IF(P3645="","",IFERROR(INDEX(catGrupo,MATCH(D3645&amp;"|"&amp;E3645,catClave,0))&amp;"",""))</f>
        <v/>
      </c>
      <c r="Z3645" s="52">
        <f>IF(P3645="","",WEEKDAY(B3645,2))</f>
        <v/>
      </c>
      <c r="AA3645" s="52">
        <f>IF(P3645="","",IF(AND(P3645="Gasto",X3645="Variable",D3645&lt;&gt;catTrading,S3645&gt;0,S3645&lt;=Umbral),1,0))</f>
        <v/>
      </c>
      <c r="AB3645" s="52">
        <f>IF(OR(P3645="",Q3645=""),"",IFERROR(IF(INDEX(ctaVinc,MATCH(Q3645,ctaNombre,0))&amp;""&lt;&gt;"",INDEX(ctaVinc,MATCH(Q3645,ctaNombre,0))&amp;"",Q3645),Q3645))</f>
        <v/>
      </c>
      <c r="AC3645" s="52">
        <f>IF(OR(K3645="",AND(P3645&lt;&gt;"Transferencia",P3645&lt;&gt;"Pago tarjeta")),"",IFERROR(IF(INDEX(ctaVinc,MATCH(K3645,ctaNombre,0))&amp;""&lt;&gt;"",INDEX(ctaVinc,MATCH(K3645,ctaNombre,0))&amp;"",K3645),K3645))</f>
        <v/>
      </c>
      <c r="AD3645" s="52">
        <f>IF(AB3645="","",IFERROR(INDEX(ctaTipo,MATCH(AB3645,ctaNombre,0))&amp;"",""))</f>
        <v/>
      </c>
      <c r="AE3645" s="52">
        <f>IF(AC3645="","",IFERROR(INDEX(ctaTipo,MATCH(AC3645,ctaNombre,0))&amp;"",""))</f>
        <v/>
      </c>
      <c r="AF3645" s="53">
        <f>IF(OR(P3645="",AB3645=""),"",IF(OR(P3645="Gasto",P3645="Transferencia",P3645="Pago tarjeta"),-1,1)*IF(IFERROR(INDEX(ctaMoneda,MATCH(AB3645,ctaNombre,0))&amp;"","DOP")="USD",T3645,S3645))</f>
        <v/>
      </c>
      <c r="AG3645" s="53">
        <f>IF(AC3645="","",IF(IFERROR(INDEX(ctaMoneda,MATCH(AC3645,ctaNombre,0))&amp;"","DOP")="USD",T3645,S3645))</f>
        <v/>
      </c>
      <c r="AH3645" s="53">
        <f>IF(P3645="","",IF(AND(AD3645&lt;&gt;"",COUNTIFS(tcTipo,AD3645,tcLiq,"Sí")&gt;0),IF(OR(P3645="Gasto",P3645="Transferencia",P3645="Pago tarjeta"),-1,1)*S3645,0)+IF(AND(AE3645&lt;&gt;"",COUNTIFS(tcTipo,AE3645,tcLiq,"Sí")&gt;0),S3645,0))</f>
        <v/>
      </c>
      <c r="AI3645" s="52">
        <f>IF(OR(L3645="",P3645=""),"",IF(COUNTIFS(L$6:L3645,L3645,P$6:P3645,"?*")=1,MAX(AI$5:AI3644)+1,""))</f>
        <v/>
      </c>
    </row>
    <row r="3646">
      <c r="B3646" s="47" t="n"/>
      <c r="C3646" s="48" t="n"/>
      <c r="D3646" s="48" t="n"/>
      <c r="E3646" s="48" t="n"/>
      <c r="F3646" s="48" t="n"/>
      <c r="G3646" s="49" t="n"/>
      <c r="H3646" s="48" t="n"/>
      <c r="I3646" s="50" t="n"/>
      <c r="J3646" s="48" t="n"/>
      <c r="K3646" s="48" t="n"/>
      <c r="L3646" s="48" t="n"/>
      <c r="M3646" s="48" t="n"/>
      <c r="N3646" s="48" t="n"/>
      <c r="O3646" s="51">
        <f>IF(AND(B3646="",G3646="",C3646="",D3646="",J3646=""),"",IF(B3646="","⚠ Falta fecha",IF(G3646="","⚠ Falta monto",IF(Q3646="","⚠ Falta cuenta",IF(ISNA(MATCH(Q3646,ctaNombre,0)),"⚠ Cuenta no registrada",IF(AND(OR(P3646="Gasto",P3646="Reembolso"),D3646=""),"⚠ Falta categoría",IF(AND(D3646&lt;&gt;"",E3646&lt;&gt;"",ISNA(MATCH(D3646&amp;"|"&amp;E3646,catClave,0))),"⚠ Subcategoría no corresponde",IF(AND(OR(P3646="Transferencia",P3646="Pago tarjeta"),K3646=""),"⚠ Falta cuenta destino",IF(AND(K3646&lt;&gt;"",P3646&lt;&gt;"Transferencia",P3646&lt;&gt;"Pago tarjeta"),"⚠ Destino solo aplica a transferencias",IF(AND(K3646&lt;&gt;"",K3646=Q3646),"⚠ Origen igual a destino",IF(AND(K3646&lt;&gt;"",ISNA(MATCH(K3646,ctaNombre,0))),"⚠ Destino no registrado",IF(AND(P3646="Pago tarjeta",AE3646&lt;&gt;"Tarjeta de crédito"),"⚠ El destino debe ser tarjeta de crédito",IF(AND(P3646="Gasto",E3646="Depósitos y retiros"),"⚠ Usa tipo Transferencia",IF(AND(P3646="Resultado trading",AD3646&lt;&gt;"Cuenta de trading"),"⚠ Usa una cuenta de trading",IF(AND(G3646&lt;=0,P3646&lt;&gt;"Ajuste",P3646&lt;&gt;"Resultado trading"),"⚠ El monto debe ser positivo","✓")))))))))))))))</f>
        <v/>
      </c>
      <c r="P3646" s="52">
        <f>IF(OR(B3646="",G3646=""),"",IF(C3646="","Gasto",C3646))</f>
        <v/>
      </c>
      <c r="Q3646" s="52">
        <f>IF(P3646="","",IF(J3646&lt;&gt;"",J3646,CuentaPred&amp;""))</f>
        <v/>
      </c>
      <c r="R3646" s="52">
        <f>IF(P3646="","",IF(ISNUMBER(I3646),I3646,TasaUSD))</f>
        <v/>
      </c>
      <c r="S3646" s="53">
        <f>IF(P3646="","",IF(H3646="USD",G3646*R3646,G3646))</f>
        <v/>
      </c>
      <c r="T3646" s="53">
        <f>IF(P3646="","",IF(H3646="USD",G3646,IF(R3646&gt;0,G3646/R3646,0)))</f>
        <v/>
      </c>
      <c r="U3646" s="53">
        <f>IF(P3646="","",IF(P3646="Gasto",S3646,IF(P3646="Reembolso",-S3646,0)))</f>
        <v/>
      </c>
      <c r="V3646" s="53">
        <f>IF(P3646="","",IF(P3646="Ingreso",S3646,0))</f>
        <v/>
      </c>
      <c r="W3646" s="53">
        <f>IF(P3646="","",IF(P3646="Resultado trading",S3646,0))</f>
        <v/>
      </c>
      <c r="X3646" s="52">
        <f>IF(OR(P3646="Gasto",P3646="Reembolso"),IF(M3646&lt;&gt;"",M3646,IFERROR(INDEX(catClasif,MATCH(D3646&amp;"|"&amp;E3646,catClave,0))&amp;"","Variable")),"")</f>
        <v/>
      </c>
      <c r="Y3646" s="52">
        <f>IF(P3646="","",IFERROR(INDEX(catGrupo,MATCH(D3646&amp;"|"&amp;E3646,catClave,0))&amp;"",""))</f>
        <v/>
      </c>
      <c r="Z3646" s="52">
        <f>IF(P3646="","",WEEKDAY(B3646,2))</f>
        <v/>
      </c>
      <c r="AA3646" s="52">
        <f>IF(P3646="","",IF(AND(P3646="Gasto",X3646="Variable",D3646&lt;&gt;catTrading,S3646&gt;0,S3646&lt;=Umbral),1,0))</f>
        <v/>
      </c>
      <c r="AB3646" s="52">
        <f>IF(OR(P3646="",Q3646=""),"",IFERROR(IF(INDEX(ctaVinc,MATCH(Q3646,ctaNombre,0))&amp;""&lt;&gt;"",INDEX(ctaVinc,MATCH(Q3646,ctaNombre,0))&amp;"",Q3646),Q3646))</f>
        <v/>
      </c>
      <c r="AC3646" s="52">
        <f>IF(OR(K3646="",AND(P3646&lt;&gt;"Transferencia",P3646&lt;&gt;"Pago tarjeta")),"",IFERROR(IF(INDEX(ctaVinc,MATCH(K3646,ctaNombre,0))&amp;""&lt;&gt;"",INDEX(ctaVinc,MATCH(K3646,ctaNombre,0))&amp;"",K3646),K3646))</f>
        <v/>
      </c>
      <c r="AD3646" s="52">
        <f>IF(AB3646="","",IFERROR(INDEX(ctaTipo,MATCH(AB3646,ctaNombre,0))&amp;"",""))</f>
        <v/>
      </c>
      <c r="AE3646" s="52">
        <f>IF(AC3646="","",IFERROR(INDEX(ctaTipo,MATCH(AC3646,ctaNombre,0))&amp;"",""))</f>
        <v/>
      </c>
      <c r="AF3646" s="53">
        <f>IF(OR(P3646="",AB3646=""),"",IF(OR(P3646="Gasto",P3646="Transferencia",P3646="Pago tarjeta"),-1,1)*IF(IFERROR(INDEX(ctaMoneda,MATCH(AB3646,ctaNombre,0))&amp;"","DOP")="USD",T3646,S3646))</f>
        <v/>
      </c>
      <c r="AG3646" s="53">
        <f>IF(AC3646="","",IF(IFERROR(INDEX(ctaMoneda,MATCH(AC3646,ctaNombre,0))&amp;"","DOP")="USD",T3646,S3646))</f>
        <v/>
      </c>
      <c r="AH3646" s="53">
        <f>IF(P3646="","",IF(AND(AD3646&lt;&gt;"",COUNTIFS(tcTipo,AD3646,tcLiq,"Sí")&gt;0),IF(OR(P3646="Gasto",P3646="Transferencia",P3646="Pago tarjeta"),-1,1)*S3646,0)+IF(AND(AE3646&lt;&gt;"",COUNTIFS(tcTipo,AE3646,tcLiq,"Sí")&gt;0),S3646,0))</f>
        <v/>
      </c>
      <c r="AI3646" s="52">
        <f>IF(OR(L3646="",P3646=""),"",IF(COUNTIFS(L$6:L3646,L3646,P$6:P3646,"?*")=1,MAX(AI$5:AI3645)+1,""))</f>
        <v/>
      </c>
    </row>
    <row r="3647">
      <c r="B3647" s="47" t="n"/>
      <c r="C3647" s="48" t="n"/>
      <c r="D3647" s="48" t="n"/>
      <c r="E3647" s="48" t="n"/>
      <c r="F3647" s="48" t="n"/>
      <c r="G3647" s="49" t="n"/>
      <c r="H3647" s="48" t="n"/>
      <c r="I3647" s="50" t="n"/>
      <c r="J3647" s="48" t="n"/>
      <c r="K3647" s="48" t="n"/>
      <c r="L3647" s="48" t="n"/>
      <c r="M3647" s="48" t="n"/>
      <c r="N3647" s="48" t="n"/>
      <c r="O3647" s="51">
        <f>IF(AND(B3647="",G3647="",C3647="",D3647="",J3647=""),"",IF(B3647="","⚠ Falta fecha",IF(G3647="","⚠ Falta monto",IF(Q3647="","⚠ Falta cuenta",IF(ISNA(MATCH(Q3647,ctaNombre,0)),"⚠ Cuenta no registrada",IF(AND(OR(P3647="Gasto",P3647="Reembolso"),D3647=""),"⚠ Falta categoría",IF(AND(D3647&lt;&gt;"",E3647&lt;&gt;"",ISNA(MATCH(D3647&amp;"|"&amp;E3647,catClave,0))),"⚠ Subcategoría no corresponde",IF(AND(OR(P3647="Transferencia",P3647="Pago tarjeta"),K3647=""),"⚠ Falta cuenta destino",IF(AND(K3647&lt;&gt;"",P3647&lt;&gt;"Transferencia",P3647&lt;&gt;"Pago tarjeta"),"⚠ Destino solo aplica a transferencias",IF(AND(K3647&lt;&gt;"",K3647=Q3647),"⚠ Origen igual a destino",IF(AND(K3647&lt;&gt;"",ISNA(MATCH(K3647,ctaNombre,0))),"⚠ Destino no registrado",IF(AND(P3647="Pago tarjeta",AE3647&lt;&gt;"Tarjeta de crédito"),"⚠ El destino debe ser tarjeta de crédito",IF(AND(P3647="Gasto",E3647="Depósitos y retiros"),"⚠ Usa tipo Transferencia",IF(AND(P3647="Resultado trading",AD3647&lt;&gt;"Cuenta de trading"),"⚠ Usa una cuenta de trading",IF(AND(G3647&lt;=0,P3647&lt;&gt;"Ajuste",P3647&lt;&gt;"Resultado trading"),"⚠ El monto debe ser positivo","✓")))))))))))))))</f>
        <v/>
      </c>
      <c r="P3647" s="52">
        <f>IF(OR(B3647="",G3647=""),"",IF(C3647="","Gasto",C3647))</f>
        <v/>
      </c>
      <c r="Q3647" s="52">
        <f>IF(P3647="","",IF(J3647&lt;&gt;"",J3647,CuentaPred&amp;""))</f>
        <v/>
      </c>
      <c r="R3647" s="52">
        <f>IF(P3647="","",IF(ISNUMBER(I3647),I3647,TasaUSD))</f>
        <v/>
      </c>
      <c r="S3647" s="53">
        <f>IF(P3647="","",IF(H3647="USD",G3647*R3647,G3647))</f>
        <v/>
      </c>
      <c r="T3647" s="53">
        <f>IF(P3647="","",IF(H3647="USD",G3647,IF(R3647&gt;0,G3647/R3647,0)))</f>
        <v/>
      </c>
      <c r="U3647" s="53">
        <f>IF(P3647="","",IF(P3647="Gasto",S3647,IF(P3647="Reembolso",-S3647,0)))</f>
        <v/>
      </c>
      <c r="V3647" s="53">
        <f>IF(P3647="","",IF(P3647="Ingreso",S3647,0))</f>
        <v/>
      </c>
      <c r="W3647" s="53">
        <f>IF(P3647="","",IF(P3647="Resultado trading",S3647,0))</f>
        <v/>
      </c>
      <c r="X3647" s="52">
        <f>IF(OR(P3647="Gasto",P3647="Reembolso"),IF(M3647&lt;&gt;"",M3647,IFERROR(INDEX(catClasif,MATCH(D3647&amp;"|"&amp;E3647,catClave,0))&amp;"","Variable")),"")</f>
        <v/>
      </c>
      <c r="Y3647" s="52">
        <f>IF(P3647="","",IFERROR(INDEX(catGrupo,MATCH(D3647&amp;"|"&amp;E3647,catClave,0))&amp;"",""))</f>
        <v/>
      </c>
      <c r="Z3647" s="52">
        <f>IF(P3647="","",WEEKDAY(B3647,2))</f>
        <v/>
      </c>
      <c r="AA3647" s="52">
        <f>IF(P3647="","",IF(AND(P3647="Gasto",X3647="Variable",D3647&lt;&gt;catTrading,S3647&gt;0,S3647&lt;=Umbral),1,0))</f>
        <v/>
      </c>
      <c r="AB3647" s="52">
        <f>IF(OR(P3647="",Q3647=""),"",IFERROR(IF(INDEX(ctaVinc,MATCH(Q3647,ctaNombre,0))&amp;""&lt;&gt;"",INDEX(ctaVinc,MATCH(Q3647,ctaNombre,0))&amp;"",Q3647),Q3647))</f>
        <v/>
      </c>
      <c r="AC3647" s="52">
        <f>IF(OR(K3647="",AND(P3647&lt;&gt;"Transferencia",P3647&lt;&gt;"Pago tarjeta")),"",IFERROR(IF(INDEX(ctaVinc,MATCH(K3647,ctaNombre,0))&amp;""&lt;&gt;"",INDEX(ctaVinc,MATCH(K3647,ctaNombre,0))&amp;"",K3647),K3647))</f>
        <v/>
      </c>
      <c r="AD3647" s="52">
        <f>IF(AB3647="","",IFERROR(INDEX(ctaTipo,MATCH(AB3647,ctaNombre,0))&amp;"",""))</f>
        <v/>
      </c>
      <c r="AE3647" s="52">
        <f>IF(AC3647="","",IFERROR(INDEX(ctaTipo,MATCH(AC3647,ctaNombre,0))&amp;"",""))</f>
        <v/>
      </c>
      <c r="AF3647" s="53">
        <f>IF(OR(P3647="",AB3647=""),"",IF(OR(P3647="Gasto",P3647="Transferencia",P3647="Pago tarjeta"),-1,1)*IF(IFERROR(INDEX(ctaMoneda,MATCH(AB3647,ctaNombre,0))&amp;"","DOP")="USD",T3647,S3647))</f>
        <v/>
      </c>
      <c r="AG3647" s="53">
        <f>IF(AC3647="","",IF(IFERROR(INDEX(ctaMoneda,MATCH(AC3647,ctaNombre,0))&amp;"","DOP")="USD",T3647,S3647))</f>
        <v/>
      </c>
      <c r="AH3647" s="53">
        <f>IF(P3647="","",IF(AND(AD3647&lt;&gt;"",COUNTIFS(tcTipo,AD3647,tcLiq,"Sí")&gt;0),IF(OR(P3647="Gasto",P3647="Transferencia",P3647="Pago tarjeta"),-1,1)*S3647,0)+IF(AND(AE3647&lt;&gt;"",COUNTIFS(tcTipo,AE3647,tcLiq,"Sí")&gt;0),S3647,0))</f>
        <v/>
      </c>
      <c r="AI3647" s="52">
        <f>IF(OR(L3647="",P3647=""),"",IF(COUNTIFS(L$6:L3647,L3647,P$6:P3647,"?*")=1,MAX(AI$5:AI3646)+1,""))</f>
        <v/>
      </c>
    </row>
    <row r="3648">
      <c r="B3648" s="47" t="n"/>
      <c r="C3648" s="48" t="n"/>
      <c r="D3648" s="48" t="n"/>
      <c r="E3648" s="48" t="n"/>
      <c r="F3648" s="48" t="n"/>
      <c r="G3648" s="49" t="n"/>
      <c r="H3648" s="48" t="n"/>
      <c r="I3648" s="50" t="n"/>
      <c r="J3648" s="48" t="n"/>
      <c r="K3648" s="48" t="n"/>
      <c r="L3648" s="48" t="n"/>
      <c r="M3648" s="48" t="n"/>
      <c r="N3648" s="48" t="n"/>
      <c r="O3648" s="51">
        <f>IF(AND(B3648="",G3648="",C3648="",D3648="",J3648=""),"",IF(B3648="","⚠ Falta fecha",IF(G3648="","⚠ Falta monto",IF(Q3648="","⚠ Falta cuenta",IF(ISNA(MATCH(Q3648,ctaNombre,0)),"⚠ Cuenta no registrada",IF(AND(OR(P3648="Gasto",P3648="Reembolso"),D3648=""),"⚠ Falta categoría",IF(AND(D3648&lt;&gt;"",E3648&lt;&gt;"",ISNA(MATCH(D3648&amp;"|"&amp;E3648,catClave,0))),"⚠ Subcategoría no corresponde",IF(AND(OR(P3648="Transferencia",P3648="Pago tarjeta"),K3648=""),"⚠ Falta cuenta destino",IF(AND(K3648&lt;&gt;"",P3648&lt;&gt;"Transferencia",P3648&lt;&gt;"Pago tarjeta"),"⚠ Destino solo aplica a transferencias",IF(AND(K3648&lt;&gt;"",K3648=Q3648),"⚠ Origen igual a destino",IF(AND(K3648&lt;&gt;"",ISNA(MATCH(K3648,ctaNombre,0))),"⚠ Destino no registrado",IF(AND(P3648="Pago tarjeta",AE3648&lt;&gt;"Tarjeta de crédito"),"⚠ El destino debe ser tarjeta de crédito",IF(AND(P3648="Gasto",E3648="Depósitos y retiros"),"⚠ Usa tipo Transferencia",IF(AND(P3648="Resultado trading",AD3648&lt;&gt;"Cuenta de trading"),"⚠ Usa una cuenta de trading",IF(AND(G3648&lt;=0,P3648&lt;&gt;"Ajuste",P3648&lt;&gt;"Resultado trading"),"⚠ El monto debe ser positivo","✓")))))))))))))))</f>
        <v/>
      </c>
      <c r="P3648" s="52">
        <f>IF(OR(B3648="",G3648=""),"",IF(C3648="","Gasto",C3648))</f>
        <v/>
      </c>
      <c r="Q3648" s="52">
        <f>IF(P3648="","",IF(J3648&lt;&gt;"",J3648,CuentaPred&amp;""))</f>
        <v/>
      </c>
      <c r="R3648" s="52">
        <f>IF(P3648="","",IF(ISNUMBER(I3648),I3648,TasaUSD))</f>
        <v/>
      </c>
      <c r="S3648" s="53">
        <f>IF(P3648="","",IF(H3648="USD",G3648*R3648,G3648))</f>
        <v/>
      </c>
      <c r="T3648" s="53">
        <f>IF(P3648="","",IF(H3648="USD",G3648,IF(R3648&gt;0,G3648/R3648,0)))</f>
        <v/>
      </c>
      <c r="U3648" s="53">
        <f>IF(P3648="","",IF(P3648="Gasto",S3648,IF(P3648="Reembolso",-S3648,0)))</f>
        <v/>
      </c>
      <c r="V3648" s="53">
        <f>IF(P3648="","",IF(P3648="Ingreso",S3648,0))</f>
        <v/>
      </c>
      <c r="W3648" s="53">
        <f>IF(P3648="","",IF(P3648="Resultado trading",S3648,0))</f>
        <v/>
      </c>
      <c r="X3648" s="52">
        <f>IF(OR(P3648="Gasto",P3648="Reembolso"),IF(M3648&lt;&gt;"",M3648,IFERROR(INDEX(catClasif,MATCH(D3648&amp;"|"&amp;E3648,catClave,0))&amp;"","Variable")),"")</f>
        <v/>
      </c>
      <c r="Y3648" s="52">
        <f>IF(P3648="","",IFERROR(INDEX(catGrupo,MATCH(D3648&amp;"|"&amp;E3648,catClave,0))&amp;"",""))</f>
        <v/>
      </c>
      <c r="Z3648" s="52">
        <f>IF(P3648="","",WEEKDAY(B3648,2))</f>
        <v/>
      </c>
      <c r="AA3648" s="52">
        <f>IF(P3648="","",IF(AND(P3648="Gasto",X3648="Variable",D3648&lt;&gt;catTrading,S3648&gt;0,S3648&lt;=Umbral),1,0))</f>
        <v/>
      </c>
      <c r="AB3648" s="52">
        <f>IF(OR(P3648="",Q3648=""),"",IFERROR(IF(INDEX(ctaVinc,MATCH(Q3648,ctaNombre,0))&amp;""&lt;&gt;"",INDEX(ctaVinc,MATCH(Q3648,ctaNombre,0))&amp;"",Q3648),Q3648))</f>
        <v/>
      </c>
      <c r="AC3648" s="52">
        <f>IF(OR(K3648="",AND(P3648&lt;&gt;"Transferencia",P3648&lt;&gt;"Pago tarjeta")),"",IFERROR(IF(INDEX(ctaVinc,MATCH(K3648,ctaNombre,0))&amp;""&lt;&gt;"",INDEX(ctaVinc,MATCH(K3648,ctaNombre,0))&amp;"",K3648),K3648))</f>
        <v/>
      </c>
      <c r="AD3648" s="52">
        <f>IF(AB3648="","",IFERROR(INDEX(ctaTipo,MATCH(AB3648,ctaNombre,0))&amp;"",""))</f>
        <v/>
      </c>
      <c r="AE3648" s="52">
        <f>IF(AC3648="","",IFERROR(INDEX(ctaTipo,MATCH(AC3648,ctaNombre,0))&amp;"",""))</f>
        <v/>
      </c>
      <c r="AF3648" s="53">
        <f>IF(OR(P3648="",AB3648=""),"",IF(OR(P3648="Gasto",P3648="Transferencia",P3648="Pago tarjeta"),-1,1)*IF(IFERROR(INDEX(ctaMoneda,MATCH(AB3648,ctaNombre,0))&amp;"","DOP")="USD",T3648,S3648))</f>
        <v/>
      </c>
      <c r="AG3648" s="53">
        <f>IF(AC3648="","",IF(IFERROR(INDEX(ctaMoneda,MATCH(AC3648,ctaNombre,0))&amp;"","DOP")="USD",T3648,S3648))</f>
        <v/>
      </c>
      <c r="AH3648" s="53">
        <f>IF(P3648="","",IF(AND(AD3648&lt;&gt;"",COUNTIFS(tcTipo,AD3648,tcLiq,"Sí")&gt;0),IF(OR(P3648="Gasto",P3648="Transferencia",P3648="Pago tarjeta"),-1,1)*S3648,0)+IF(AND(AE3648&lt;&gt;"",COUNTIFS(tcTipo,AE3648,tcLiq,"Sí")&gt;0),S3648,0))</f>
        <v/>
      </c>
      <c r="AI3648" s="52">
        <f>IF(OR(L3648="",P3648=""),"",IF(COUNTIFS(L$6:L3648,L3648,P$6:P3648,"?*")=1,MAX(AI$5:AI3647)+1,""))</f>
        <v/>
      </c>
    </row>
    <row r="3649">
      <c r="B3649" s="47" t="n"/>
      <c r="C3649" s="48" t="n"/>
      <c r="D3649" s="48" t="n"/>
      <c r="E3649" s="48" t="n"/>
      <c r="F3649" s="48" t="n"/>
      <c r="G3649" s="49" t="n"/>
      <c r="H3649" s="48" t="n"/>
      <c r="I3649" s="50" t="n"/>
      <c r="J3649" s="48" t="n"/>
      <c r="K3649" s="48" t="n"/>
      <c r="L3649" s="48" t="n"/>
      <c r="M3649" s="48" t="n"/>
      <c r="N3649" s="48" t="n"/>
      <c r="O3649" s="51">
        <f>IF(AND(B3649="",G3649="",C3649="",D3649="",J3649=""),"",IF(B3649="","⚠ Falta fecha",IF(G3649="","⚠ Falta monto",IF(Q3649="","⚠ Falta cuenta",IF(ISNA(MATCH(Q3649,ctaNombre,0)),"⚠ Cuenta no registrada",IF(AND(OR(P3649="Gasto",P3649="Reembolso"),D3649=""),"⚠ Falta categoría",IF(AND(D3649&lt;&gt;"",E3649&lt;&gt;"",ISNA(MATCH(D3649&amp;"|"&amp;E3649,catClave,0))),"⚠ Subcategoría no corresponde",IF(AND(OR(P3649="Transferencia",P3649="Pago tarjeta"),K3649=""),"⚠ Falta cuenta destino",IF(AND(K3649&lt;&gt;"",P3649&lt;&gt;"Transferencia",P3649&lt;&gt;"Pago tarjeta"),"⚠ Destino solo aplica a transferencias",IF(AND(K3649&lt;&gt;"",K3649=Q3649),"⚠ Origen igual a destino",IF(AND(K3649&lt;&gt;"",ISNA(MATCH(K3649,ctaNombre,0))),"⚠ Destino no registrado",IF(AND(P3649="Pago tarjeta",AE3649&lt;&gt;"Tarjeta de crédito"),"⚠ El destino debe ser tarjeta de crédito",IF(AND(P3649="Gasto",E3649="Depósitos y retiros"),"⚠ Usa tipo Transferencia",IF(AND(P3649="Resultado trading",AD3649&lt;&gt;"Cuenta de trading"),"⚠ Usa una cuenta de trading",IF(AND(G3649&lt;=0,P3649&lt;&gt;"Ajuste",P3649&lt;&gt;"Resultado trading"),"⚠ El monto debe ser positivo","✓")))))))))))))))</f>
        <v/>
      </c>
      <c r="P3649" s="52">
        <f>IF(OR(B3649="",G3649=""),"",IF(C3649="","Gasto",C3649))</f>
        <v/>
      </c>
      <c r="Q3649" s="52">
        <f>IF(P3649="","",IF(J3649&lt;&gt;"",J3649,CuentaPred&amp;""))</f>
        <v/>
      </c>
      <c r="R3649" s="52">
        <f>IF(P3649="","",IF(ISNUMBER(I3649),I3649,TasaUSD))</f>
        <v/>
      </c>
      <c r="S3649" s="53">
        <f>IF(P3649="","",IF(H3649="USD",G3649*R3649,G3649))</f>
        <v/>
      </c>
      <c r="T3649" s="53">
        <f>IF(P3649="","",IF(H3649="USD",G3649,IF(R3649&gt;0,G3649/R3649,0)))</f>
        <v/>
      </c>
      <c r="U3649" s="53">
        <f>IF(P3649="","",IF(P3649="Gasto",S3649,IF(P3649="Reembolso",-S3649,0)))</f>
        <v/>
      </c>
      <c r="V3649" s="53">
        <f>IF(P3649="","",IF(P3649="Ingreso",S3649,0))</f>
        <v/>
      </c>
      <c r="W3649" s="53">
        <f>IF(P3649="","",IF(P3649="Resultado trading",S3649,0))</f>
        <v/>
      </c>
      <c r="X3649" s="52">
        <f>IF(OR(P3649="Gasto",P3649="Reembolso"),IF(M3649&lt;&gt;"",M3649,IFERROR(INDEX(catClasif,MATCH(D3649&amp;"|"&amp;E3649,catClave,0))&amp;"","Variable")),"")</f>
        <v/>
      </c>
      <c r="Y3649" s="52">
        <f>IF(P3649="","",IFERROR(INDEX(catGrupo,MATCH(D3649&amp;"|"&amp;E3649,catClave,0))&amp;"",""))</f>
        <v/>
      </c>
      <c r="Z3649" s="52">
        <f>IF(P3649="","",WEEKDAY(B3649,2))</f>
        <v/>
      </c>
      <c r="AA3649" s="52">
        <f>IF(P3649="","",IF(AND(P3649="Gasto",X3649="Variable",D3649&lt;&gt;catTrading,S3649&gt;0,S3649&lt;=Umbral),1,0))</f>
        <v/>
      </c>
      <c r="AB3649" s="52">
        <f>IF(OR(P3649="",Q3649=""),"",IFERROR(IF(INDEX(ctaVinc,MATCH(Q3649,ctaNombre,0))&amp;""&lt;&gt;"",INDEX(ctaVinc,MATCH(Q3649,ctaNombre,0))&amp;"",Q3649),Q3649))</f>
        <v/>
      </c>
      <c r="AC3649" s="52">
        <f>IF(OR(K3649="",AND(P3649&lt;&gt;"Transferencia",P3649&lt;&gt;"Pago tarjeta")),"",IFERROR(IF(INDEX(ctaVinc,MATCH(K3649,ctaNombre,0))&amp;""&lt;&gt;"",INDEX(ctaVinc,MATCH(K3649,ctaNombre,0))&amp;"",K3649),K3649))</f>
        <v/>
      </c>
      <c r="AD3649" s="52">
        <f>IF(AB3649="","",IFERROR(INDEX(ctaTipo,MATCH(AB3649,ctaNombre,0))&amp;"",""))</f>
        <v/>
      </c>
      <c r="AE3649" s="52">
        <f>IF(AC3649="","",IFERROR(INDEX(ctaTipo,MATCH(AC3649,ctaNombre,0))&amp;"",""))</f>
        <v/>
      </c>
      <c r="AF3649" s="53">
        <f>IF(OR(P3649="",AB3649=""),"",IF(OR(P3649="Gasto",P3649="Transferencia",P3649="Pago tarjeta"),-1,1)*IF(IFERROR(INDEX(ctaMoneda,MATCH(AB3649,ctaNombre,0))&amp;"","DOP")="USD",T3649,S3649))</f>
        <v/>
      </c>
      <c r="AG3649" s="53">
        <f>IF(AC3649="","",IF(IFERROR(INDEX(ctaMoneda,MATCH(AC3649,ctaNombre,0))&amp;"","DOP")="USD",T3649,S3649))</f>
        <v/>
      </c>
      <c r="AH3649" s="53">
        <f>IF(P3649="","",IF(AND(AD3649&lt;&gt;"",COUNTIFS(tcTipo,AD3649,tcLiq,"Sí")&gt;0),IF(OR(P3649="Gasto",P3649="Transferencia",P3649="Pago tarjeta"),-1,1)*S3649,0)+IF(AND(AE3649&lt;&gt;"",COUNTIFS(tcTipo,AE3649,tcLiq,"Sí")&gt;0),S3649,0))</f>
        <v/>
      </c>
      <c r="AI3649" s="52">
        <f>IF(OR(L3649="",P3649=""),"",IF(COUNTIFS(L$6:L3649,L3649,P$6:P3649,"?*")=1,MAX(AI$5:AI3648)+1,""))</f>
        <v/>
      </c>
    </row>
    <row r="3650">
      <c r="B3650" s="47" t="n"/>
      <c r="C3650" s="48" t="n"/>
      <c r="D3650" s="48" t="n"/>
      <c r="E3650" s="48" t="n"/>
      <c r="F3650" s="48" t="n"/>
      <c r="G3650" s="49" t="n"/>
      <c r="H3650" s="48" t="n"/>
      <c r="I3650" s="50" t="n"/>
      <c r="J3650" s="48" t="n"/>
      <c r="K3650" s="48" t="n"/>
      <c r="L3650" s="48" t="n"/>
      <c r="M3650" s="48" t="n"/>
      <c r="N3650" s="48" t="n"/>
      <c r="O3650" s="51">
        <f>IF(AND(B3650="",G3650="",C3650="",D3650="",J3650=""),"",IF(B3650="","⚠ Falta fecha",IF(G3650="","⚠ Falta monto",IF(Q3650="","⚠ Falta cuenta",IF(ISNA(MATCH(Q3650,ctaNombre,0)),"⚠ Cuenta no registrada",IF(AND(OR(P3650="Gasto",P3650="Reembolso"),D3650=""),"⚠ Falta categoría",IF(AND(D3650&lt;&gt;"",E3650&lt;&gt;"",ISNA(MATCH(D3650&amp;"|"&amp;E3650,catClave,0))),"⚠ Subcategoría no corresponde",IF(AND(OR(P3650="Transferencia",P3650="Pago tarjeta"),K3650=""),"⚠ Falta cuenta destino",IF(AND(K3650&lt;&gt;"",P3650&lt;&gt;"Transferencia",P3650&lt;&gt;"Pago tarjeta"),"⚠ Destino solo aplica a transferencias",IF(AND(K3650&lt;&gt;"",K3650=Q3650),"⚠ Origen igual a destino",IF(AND(K3650&lt;&gt;"",ISNA(MATCH(K3650,ctaNombre,0))),"⚠ Destino no registrado",IF(AND(P3650="Pago tarjeta",AE3650&lt;&gt;"Tarjeta de crédito"),"⚠ El destino debe ser tarjeta de crédito",IF(AND(P3650="Gasto",E3650="Depósitos y retiros"),"⚠ Usa tipo Transferencia",IF(AND(P3650="Resultado trading",AD3650&lt;&gt;"Cuenta de trading"),"⚠ Usa una cuenta de trading",IF(AND(G3650&lt;=0,P3650&lt;&gt;"Ajuste",P3650&lt;&gt;"Resultado trading"),"⚠ El monto debe ser positivo","✓")))))))))))))))</f>
        <v/>
      </c>
      <c r="P3650" s="52">
        <f>IF(OR(B3650="",G3650=""),"",IF(C3650="","Gasto",C3650))</f>
        <v/>
      </c>
      <c r="Q3650" s="52">
        <f>IF(P3650="","",IF(J3650&lt;&gt;"",J3650,CuentaPred&amp;""))</f>
        <v/>
      </c>
      <c r="R3650" s="52">
        <f>IF(P3650="","",IF(ISNUMBER(I3650),I3650,TasaUSD))</f>
        <v/>
      </c>
      <c r="S3650" s="53">
        <f>IF(P3650="","",IF(H3650="USD",G3650*R3650,G3650))</f>
        <v/>
      </c>
      <c r="T3650" s="53">
        <f>IF(P3650="","",IF(H3650="USD",G3650,IF(R3650&gt;0,G3650/R3650,0)))</f>
        <v/>
      </c>
      <c r="U3650" s="53">
        <f>IF(P3650="","",IF(P3650="Gasto",S3650,IF(P3650="Reembolso",-S3650,0)))</f>
        <v/>
      </c>
      <c r="V3650" s="53">
        <f>IF(P3650="","",IF(P3650="Ingreso",S3650,0))</f>
        <v/>
      </c>
      <c r="W3650" s="53">
        <f>IF(P3650="","",IF(P3650="Resultado trading",S3650,0))</f>
        <v/>
      </c>
      <c r="X3650" s="52">
        <f>IF(OR(P3650="Gasto",P3650="Reembolso"),IF(M3650&lt;&gt;"",M3650,IFERROR(INDEX(catClasif,MATCH(D3650&amp;"|"&amp;E3650,catClave,0))&amp;"","Variable")),"")</f>
        <v/>
      </c>
      <c r="Y3650" s="52">
        <f>IF(P3650="","",IFERROR(INDEX(catGrupo,MATCH(D3650&amp;"|"&amp;E3650,catClave,0))&amp;"",""))</f>
        <v/>
      </c>
      <c r="Z3650" s="52">
        <f>IF(P3650="","",WEEKDAY(B3650,2))</f>
        <v/>
      </c>
      <c r="AA3650" s="52">
        <f>IF(P3650="","",IF(AND(P3650="Gasto",X3650="Variable",D3650&lt;&gt;catTrading,S3650&gt;0,S3650&lt;=Umbral),1,0))</f>
        <v/>
      </c>
      <c r="AB3650" s="52">
        <f>IF(OR(P3650="",Q3650=""),"",IFERROR(IF(INDEX(ctaVinc,MATCH(Q3650,ctaNombre,0))&amp;""&lt;&gt;"",INDEX(ctaVinc,MATCH(Q3650,ctaNombre,0))&amp;"",Q3650),Q3650))</f>
        <v/>
      </c>
      <c r="AC3650" s="52">
        <f>IF(OR(K3650="",AND(P3650&lt;&gt;"Transferencia",P3650&lt;&gt;"Pago tarjeta")),"",IFERROR(IF(INDEX(ctaVinc,MATCH(K3650,ctaNombre,0))&amp;""&lt;&gt;"",INDEX(ctaVinc,MATCH(K3650,ctaNombre,0))&amp;"",K3650),K3650))</f>
        <v/>
      </c>
      <c r="AD3650" s="52">
        <f>IF(AB3650="","",IFERROR(INDEX(ctaTipo,MATCH(AB3650,ctaNombre,0))&amp;"",""))</f>
        <v/>
      </c>
      <c r="AE3650" s="52">
        <f>IF(AC3650="","",IFERROR(INDEX(ctaTipo,MATCH(AC3650,ctaNombre,0))&amp;"",""))</f>
        <v/>
      </c>
      <c r="AF3650" s="53">
        <f>IF(OR(P3650="",AB3650=""),"",IF(OR(P3650="Gasto",P3650="Transferencia",P3650="Pago tarjeta"),-1,1)*IF(IFERROR(INDEX(ctaMoneda,MATCH(AB3650,ctaNombre,0))&amp;"","DOP")="USD",T3650,S3650))</f>
        <v/>
      </c>
      <c r="AG3650" s="53">
        <f>IF(AC3650="","",IF(IFERROR(INDEX(ctaMoneda,MATCH(AC3650,ctaNombre,0))&amp;"","DOP")="USD",T3650,S3650))</f>
        <v/>
      </c>
      <c r="AH3650" s="53">
        <f>IF(P3650="","",IF(AND(AD3650&lt;&gt;"",COUNTIFS(tcTipo,AD3650,tcLiq,"Sí")&gt;0),IF(OR(P3650="Gasto",P3650="Transferencia",P3650="Pago tarjeta"),-1,1)*S3650,0)+IF(AND(AE3650&lt;&gt;"",COUNTIFS(tcTipo,AE3650,tcLiq,"Sí")&gt;0),S3650,0))</f>
        <v/>
      </c>
      <c r="AI3650" s="52">
        <f>IF(OR(L3650="",P3650=""),"",IF(COUNTIFS(L$6:L3650,L3650,P$6:P3650,"?*")=1,MAX(AI$5:AI3649)+1,""))</f>
        <v/>
      </c>
    </row>
    <row r="3651">
      <c r="B3651" s="47" t="n"/>
      <c r="C3651" s="48" t="n"/>
      <c r="D3651" s="48" t="n"/>
      <c r="E3651" s="48" t="n"/>
      <c r="F3651" s="48" t="n"/>
      <c r="G3651" s="49" t="n"/>
      <c r="H3651" s="48" t="n"/>
      <c r="I3651" s="50" t="n"/>
      <c r="J3651" s="48" t="n"/>
      <c r="K3651" s="48" t="n"/>
      <c r="L3651" s="48" t="n"/>
      <c r="M3651" s="48" t="n"/>
      <c r="N3651" s="48" t="n"/>
      <c r="O3651" s="51">
        <f>IF(AND(B3651="",G3651="",C3651="",D3651="",J3651=""),"",IF(B3651="","⚠ Falta fecha",IF(G3651="","⚠ Falta monto",IF(Q3651="","⚠ Falta cuenta",IF(ISNA(MATCH(Q3651,ctaNombre,0)),"⚠ Cuenta no registrada",IF(AND(OR(P3651="Gasto",P3651="Reembolso"),D3651=""),"⚠ Falta categoría",IF(AND(D3651&lt;&gt;"",E3651&lt;&gt;"",ISNA(MATCH(D3651&amp;"|"&amp;E3651,catClave,0))),"⚠ Subcategoría no corresponde",IF(AND(OR(P3651="Transferencia",P3651="Pago tarjeta"),K3651=""),"⚠ Falta cuenta destino",IF(AND(K3651&lt;&gt;"",P3651&lt;&gt;"Transferencia",P3651&lt;&gt;"Pago tarjeta"),"⚠ Destino solo aplica a transferencias",IF(AND(K3651&lt;&gt;"",K3651=Q3651),"⚠ Origen igual a destino",IF(AND(K3651&lt;&gt;"",ISNA(MATCH(K3651,ctaNombre,0))),"⚠ Destino no registrado",IF(AND(P3651="Pago tarjeta",AE3651&lt;&gt;"Tarjeta de crédito"),"⚠ El destino debe ser tarjeta de crédito",IF(AND(P3651="Gasto",E3651="Depósitos y retiros"),"⚠ Usa tipo Transferencia",IF(AND(P3651="Resultado trading",AD3651&lt;&gt;"Cuenta de trading"),"⚠ Usa una cuenta de trading",IF(AND(G3651&lt;=0,P3651&lt;&gt;"Ajuste",P3651&lt;&gt;"Resultado trading"),"⚠ El monto debe ser positivo","✓")))))))))))))))</f>
        <v/>
      </c>
      <c r="P3651" s="52">
        <f>IF(OR(B3651="",G3651=""),"",IF(C3651="","Gasto",C3651))</f>
        <v/>
      </c>
      <c r="Q3651" s="52">
        <f>IF(P3651="","",IF(J3651&lt;&gt;"",J3651,CuentaPred&amp;""))</f>
        <v/>
      </c>
      <c r="R3651" s="52">
        <f>IF(P3651="","",IF(ISNUMBER(I3651),I3651,TasaUSD))</f>
        <v/>
      </c>
      <c r="S3651" s="53">
        <f>IF(P3651="","",IF(H3651="USD",G3651*R3651,G3651))</f>
        <v/>
      </c>
      <c r="T3651" s="53">
        <f>IF(P3651="","",IF(H3651="USD",G3651,IF(R3651&gt;0,G3651/R3651,0)))</f>
        <v/>
      </c>
      <c r="U3651" s="53">
        <f>IF(P3651="","",IF(P3651="Gasto",S3651,IF(P3651="Reembolso",-S3651,0)))</f>
        <v/>
      </c>
      <c r="V3651" s="53">
        <f>IF(P3651="","",IF(P3651="Ingreso",S3651,0))</f>
        <v/>
      </c>
      <c r="W3651" s="53">
        <f>IF(P3651="","",IF(P3651="Resultado trading",S3651,0))</f>
        <v/>
      </c>
      <c r="X3651" s="52">
        <f>IF(OR(P3651="Gasto",P3651="Reembolso"),IF(M3651&lt;&gt;"",M3651,IFERROR(INDEX(catClasif,MATCH(D3651&amp;"|"&amp;E3651,catClave,0))&amp;"","Variable")),"")</f>
        <v/>
      </c>
      <c r="Y3651" s="52">
        <f>IF(P3651="","",IFERROR(INDEX(catGrupo,MATCH(D3651&amp;"|"&amp;E3651,catClave,0))&amp;"",""))</f>
        <v/>
      </c>
      <c r="Z3651" s="52">
        <f>IF(P3651="","",WEEKDAY(B3651,2))</f>
        <v/>
      </c>
      <c r="AA3651" s="52">
        <f>IF(P3651="","",IF(AND(P3651="Gasto",X3651="Variable",D3651&lt;&gt;catTrading,S3651&gt;0,S3651&lt;=Umbral),1,0))</f>
        <v/>
      </c>
      <c r="AB3651" s="52">
        <f>IF(OR(P3651="",Q3651=""),"",IFERROR(IF(INDEX(ctaVinc,MATCH(Q3651,ctaNombre,0))&amp;""&lt;&gt;"",INDEX(ctaVinc,MATCH(Q3651,ctaNombre,0))&amp;"",Q3651),Q3651))</f>
        <v/>
      </c>
      <c r="AC3651" s="52">
        <f>IF(OR(K3651="",AND(P3651&lt;&gt;"Transferencia",P3651&lt;&gt;"Pago tarjeta")),"",IFERROR(IF(INDEX(ctaVinc,MATCH(K3651,ctaNombre,0))&amp;""&lt;&gt;"",INDEX(ctaVinc,MATCH(K3651,ctaNombre,0))&amp;"",K3651),K3651))</f>
        <v/>
      </c>
      <c r="AD3651" s="52">
        <f>IF(AB3651="","",IFERROR(INDEX(ctaTipo,MATCH(AB3651,ctaNombre,0))&amp;"",""))</f>
        <v/>
      </c>
      <c r="AE3651" s="52">
        <f>IF(AC3651="","",IFERROR(INDEX(ctaTipo,MATCH(AC3651,ctaNombre,0))&amp;"",""))</f>
        <v/>
      </c>
      <c r="AF3651" s="53">
        <f>IF(OR(P3651="",AB3651=""),"",IF(OR(P3651="Gasto",P3651="Transferencia",P3651="Pago tarjeta"),-1,1)*IF(IFERROR(INDEX(ctaMoneda,MATCH(AB3651,ctaNombre,0))&amp;"","DOP")="USD",T3651,S3651))</f>
        <v/>
      </c>
      <c r="AG3651" s="53">
        <f>IF(AC3651="","",IF(IFERROR(INDEX(ctaMoneda,MATCH(AC3651,ctaNombre,0))&amp;"","DOP")="USD",T3651,S3651))</f>
        <v/>
      </c>
      <c r="AH3651" s="53">
        <f>IF(P3651="","",IF(AND(AD3651&lt;&gt;"",COUNTIFS(tcTipo,AD3651,tcLiq,"Sí")&gt;0),IF(OR(P3651="Gasto",P3651="Transferencia",P3651="Pago tarjeta"),-1,1)*S3651,0)+IF(AND(AE3651&lt;&gt;"",COUNTIFS(tcTipo,AE3651,tcLiq,"Sí")&gt;0),S3651,0))</f>
        <v/>
      </c>
      <c r="AI3651" s="52">
        <f>IF(OR(L3651="",P3651=""),"",IF(COUNTIFS(L$6:L3651,L3651,P$6:P3651,"?*")=1,MAX(AI$5:AI3650)+1,""))</f>
        <v/>
      </c>
    </row>
    <row r="3652">
      <c r="B3652" s="47" t="n"/>
      <c r="C3652" s="48" t="n"/>
      <c r="D3652" s="48" t="n"/>
      <c r="E3652" s="48" t="n"/>
      <c r="F3652" s="48" t="n"/>
      <c r="G3652" s="49" t="n"/>
      <c r="H3652" s="48" t="n"/>
      <c r="I3652" s="50" t="n"/>
      <c r="J3652" s="48" t="n"/>
      <c r="K3652" s="48" t="n"/>
      <c r="L3652" s="48" t="n"/>
      <c r="M3652" s="48" t="n"/>
      <c r="N3652" s="48" t="n"/>
      <c r="O3652" s="51">
        <f>IF(AND(B3652="",G3652="",C3652="",D3652="",J3652=""),"",IF(B3652="","⚠ Falta fecha",IF(G3652="","⚠ Falta monto",IF(Q3652="","⚠ Falta cuenta",IF(ISNA(MATCH(Q3652,ctaNombre,0)),"⚠ Cuenta no registrada",IF(AND(OR(P3652="Gasto",P3652="Reembolso"),D3652=""),"⚠ Falta categoría",IF(AND(D3652&lt;&gt;"",E3652&lt;&gt;"",ISNA(MATCH(D3652&amp;"|"&amp;E3652,catClave,0))),"⚠ Subcategoría no corresponde",IF(AND(OR(P3652="Transferencia",P3652="Pago tarjeta"),K3652=""),"⚠ Falta cuenta destino",IF(AND(K3652&lt;&gt;"",P3652&lt;&gt;"Transferencia",P3652&lt;&gt;"Pago tarjeta"),"⚠ Destino solo aplica a transferencias",IF(AND(K3652&lt;&gt;"",K3652=Q3652),"⚠ Origen igual a destino",IF(AND(K3652&lt;&gt;"",ISNA(MATCH(K3652,ctaNombre,0))),"⚠ Destino no registrado",IF(AND(P3652="Pago tarjeta",AE3652&lt;&gt;"Tarjeta de crédito"),"⚠ El destino debe ser tarjeta de crédito",IF(AND(P3652="Gasto",E3652="Depósitos y retiros"),"⚠ Usa tipo Transferencia",IF(AND(P3652="Resultado trading",AD3652&lt;&gt;"Cuenta de trading"),"⚠ Usa una cuenta de trading",IF(AND(G3652&lt;=0,P3652&lt;&gt;"Ajuste",P3652&lt;&gt;"Resultado trading"),"⚠ El monto debe ser positivo","✓")))))))))))))))</f>
        <v/>
      </c>
      <c r="P3652" s="52">
        <f>IF(OR(B3652="",G3652=""),"",IF(C3652="","Gasto",C3652))</f>
        <v/>
      </c>
      <c r="Q3652" s="52">
        <f>IF(P3652="","",IF(J3652&lt;&gt;"",J3652,CuentaPred&amp;""))</f>
        <v/>
      </c>
      <c r="R3652" s="52">
        <f>IF(P3652="","",IF(ISNUMBER(I3652),I3652,TasaUSD))</f>
        <v/>
      </c>
      <c r="S3652" s="53">
        <f>IF(P3652="","",IF(H3652="USD",G3652*R3652,G3652))</f>
        <v/>
      </c>
      <c r="T3652" s="53">
        <f>IF(P3652="","",IF(H3652="USD",G3652,IF(R3652&gt;0,G3652/R3652,0)))</f>
        <v/>
      </c>
      <c r="U3652" s="53">
        <f>IF(P3652="","",IF(P3652="Gasto",S3652,IF(P3652="Reembolso",-S3652,0)))</f>
        <v/>
      </c>
      <c r="V3652" s="53">
        <f>IF(P3652="","",IF(P3652="Ingreso",S3652,0))</f>
        <v/>
      </c>
      <c r="W3652" s="53">
        <f>IF(P3652="","",IF(P3652="Resultado trading",S3652,0))</f>
        <v/>
      </c>
      <c r="X3652" s="52">
        <f>IF(OR(P3652="Gasto",P3652="Reembolso"),IF(M3652&lt;&gt;"",M3652,IFERROR(INDEX(catClasif,MATCH(D3652&amp;"|"&amp;E3652,catClave,0))&amp;"","Variable")),"")</f>
        <v/>
      </c>
      <c r="Y3652" s="52">
        <f>IF(P3652="","",IFERROR(INDEX(catGrupo,MATCH(D3652&amp;"|"&amp;E3652,catClave,0))&amp;"",""))</f>
        <v/>
      </c>
      <c r="Z3652" s="52">
        <f>IF(P3652="","",WEEKDAY(B3652,2))</f>
        <v/>
      </c>
      <c r="AA3652" s="52">
        <f>IF(P3652="","",IF(AND(P3652="Gasto",X3652="Variable",D3652&lt;&gt;catTrading,S3652&gt;0,S3652&lt;=Umbral),1,0))</f>
        <v/>
      </c>
      <c r="AB3652" s="52">
        <f>IF(OR(P3652="",Q3652=""),"",IFERROR(IF(INDEX(ctaVinc,MATCH(Q3652,ctaNombre,0))&amp;""&lt;&gt;"",INDEX(ctaVinc,MATCH(Q3652,ctaNombre,0))&amp;"",Q3652),Q3652))</f>
        <v/>
      </c>
      <c r="AC3652" s="52">
        <f>IF(OR(K3652="",AND(P3652&lt;&gt;"Transferencia",P3652&lt;&gt;"Pago tarjeta")),"",IFERROR(IF(INDEX(ctaVinc,MATCH(K3652,ctaNombre,0))&amp;""&lt;&gt;"",INDEX(ctaVinc,MATCH(K3652,ctaNombre,0))&amp;"",K3652),K3652))</f>
        <v/>
      </c>
      <c r="AD3652" s="52">
        <f>IF(AB3652="","",IFERROR(INDEX(ctaTipo,MATCH(AB3652,ctaNombre,0))&amp;"",""))</f>
        <v/>
      </c>
      <c r="AE3652" s="52">
        <f>IF(AC3652="","",IFERROR(INDEX(ctaTipo,MATCH(AC3652,ctaNombre,0))&amp;"",""))</f>
        <v/>
      </c>
      <c r="AF3652" s="53">
        <f>IF(OR(P3652="",AB3652=""),"",IF(OR(P3652="Gasto",P3652="Transferencia",P3652="Pago tarjeta"),-1,1)*IF(IFERROR(INDEX(ctaMoneda,MATCH(AB3652,ctaNombre,0))&amp;"","DOP")="USD",T3652,S3652))</f>
        <v/>
      </c>
      <c r="AG3652" s="53">
        <f>IF(AC3652="","",IF(IFERROR(INDEX(ctaMoneda,MATCH(AC3652,ctaNombre,0))&amp;"","DOP")="USD",T3652,S3652))</f>
        <v/>
      </c>
      <c r="AH3652" s="53">
        <f>IF(P3652="","",IF(AND(AD3652&lt;&gt;"",COUNTIFS(tcTipo,AD3652,tcLiq,"Sí")&gt;0),IF(OR(P3652="Gasto",P3652="Transferencia",P3652="Pago tarjeta"),-1,1)*S3652,0)+IF(AND(AE3652&lt;&gt;"",COUNTIFS(tcTipo,AE3652,tcLiq,"Sí")&gt;0),S3652,0))</f>
        <v/>
      </c>
      <c r="AI3652" s="52">
        <f>IF(OR(L3652="",P3652=""),"",IF(COUNTIFS(L$6:L3652,L3652,P$6:P3652,"?*")=1,MAX(AI$5:AI3651)+1,""))</f>
        <v/>
      </c>
    </row>
    <row r="3653">
      <c r="B3653" s="47" t="n"/>
      <c r="C3653" s="48" t="n"/>
      <c r="D3653" s="48" t="n"/>
      <c r="E3653" s="48" t="n"/>
      <c r="F3653" s="48" t="n"/>
      <c r="G3653" s="49" t="n"/>
      <c r="H3653" s="48" t="n"/>
      <c r="I3653" s="50" t="n"/>
      <c r="J3653" s="48" t="n"/>
      <c r="K3653" s="48" t="n"/>
      <c r="L3653" s="48" t="n"/>
      <c r="M3653" s="48" t="n"/>
      <c r="N3653" s="48" t="n"/>
      <c r="O3653" s="51">
        <f>IF(AND(B3653="",G3653="",C3653="",D3653="",J3653=""),"",IF(B3653="","⚠ Falta fecha",IF(G3653="","⚠ Falta monto",IF(Q3653="","⚠ Falta cuenta",IF(ISNA(MATCH(Q3653,ctaNombre,0)),"⚠ Cuenta no registrada",IF(AND(OR(P3653="Gasto",P3653="Reembolso"),D3653=""),"⚠ Falta categoría",IF(AND(D3653&lt;&gt;"",E3653&lt;&gt;"",ISNA(MATCH(D3653&amp;"|"&amp;E3653,catClave,0))),"⚠ Subcategoría no corresponde",IF(AND(OR(P3653="Transferencia",P3653="Pago tarjeta"),K3653=""),"⚠ Falta cuenta destino",IF(AND(K3653&lt;&gt;"",P3653&lt;&gt;"Transferencia",P3653&lt;&gt;"Pago tarjeta"),"⚠ Destino solo aplica a transferencias",IF(AND(K3653&lt;&gt;"",K3653=Q3653),"⚠ Origen igual a destino",IF(AND(K3653&lt;&gt;"",ISNA(MATCH(K3653,ctaNombre,0))),"⚠ Destino no registrado",IF(AND(P3653="Pago tarjeta",AE3653&lt;&gt;"Tarjeta de crédito"),"⚠ El destino debe ser tarjeta de crédito",IF(AND(P3653="Gasto",E3653="Depósitos y retiros"),"⚠ Usa tipo Transferencia",IF(AND(P3653="Resultado trading",AD3653&lt;&gt;"Cuenta de trading"),"⚠ Usa una cuenta de trading",IF(AND(G3653&lt;=0,P3653&lt;&gt;"Ajuste",P3653&lt;&gt;"Resultado trading"),"⚠ El monto debe ser positivo","✓")))))))))))))))</f>
        <v/>
      </c>
      <c r="P3653" s="52">
        <f>IF(OR(B3653="",G3653=""),"",IF(C3653="","Gasto",C3653))</f>
        <v/>
      </c>
      <c r="Q3653" s="52">
        <f>IF(P3653="","",IF(J3653&lt;&gt;"",J3653,CuentaPred&amp;""))</f>
        <v/>
      </c>
      <c r="R3653" s="52">
        <f>IF(P3653="","",IF(ISNUMBER(I3653),I3653,TasaUSD))</f>
        <v/>
      </c>
      <c r="S3653" s="53">
        <f>IF(P3653="","",IF(H3653="USD",G3653*R3653,G3653))</f>
        <v/>
      </c>
      <c r="T3653" s="53">
        <f>IF(P3653="","",IF(H3653="USD",G3653,IF(R3653&gt;0,G3653/R3653,0)))</f>
        <v/>
      </c>
      <c r="U3653" s="53">
        <f>IF(P3653="","",IF(P3653="Gasto",S3653,IF(P3653="Reembolso",-S3653,0)))</f>
        <v/>
      </c>
      <c r="V3653" s="53">
        <f>IF(P3653="","",IF(P3653="Ingreso",S3653,0))</f>
        <v/>
      </c>
      <c r="W3653" s="53">
        <f>IF(P3653="","",IF(P3653="Resultado trading",S3653,0))</f>
        <v/>
      </c>
      <c r="X3653" s="52">
        <f>IF(OR(P3653="Gasto",P3653="Reembolso"),IF(M3653&lt;&gt;"",M3653,IFERROR(INDEX(catClasif,MATCH(D3653&amp;"|"&amp;E3653,catClave,0))&amp;"","Variable")),"")</f>
        <v/>
      </c>
      <c r="Y3653" s="52">
        <f>IF(P3653="","",IFERROR(INDEX(catGrupo,MATCH(D3653&amp;"|"&amp;E3653,catClave,0))&amp;"",""))</f>
        <v/>
      </c>
      <c r="Z3653" s="52">
        <f>IF(P3653="","",WEEKDAY(B3653,2))</f>
        <v/>
      </c>
      <c r="AA3653" s="52">
        <f>IF(P3653="","",IF(AND(P3653="Gasto",X3653="Variable",D3653&lt;&gt;catTrading,S3653&gt;0,S3653&lt;=Umbral),1,0))</f>
        <v/>
      </c>
      <c r="AB3653" s="52">
        <f>IF(OR(P3653="",Q3653=""),"",IFERROR(IF(INDEX(ctaVinc,MATCH(Q3653,ctaNombre,0))&amp;""&lt;&gt;"",INDEX(ctaVinc,MATCH(Q3653,ctaNombre,0))&amp;"",Q3653),Q3653))</f>
        <v/>
      </c>
      <c r="AC3653" s="52">
        <f>IF(OR(K3653="",AND(P3653&lt;&gt;"Transferencia",P3653&lt;&gt;"Pago tarjeta")),"",IFERROR(IF(INDEX(ctaVinc,MATCH(K3653,ctaNombre,0))&amp;""&lt;&gt;"",INDEX(ctaVinc,MATCH(K3653,ctaNombre,0))&amp;"",K3653),K3653))</f>
        <v/>
      </c>
      <c r="AD3653" s="52">
        <f>IF(AB3653="","",IFERROR(INDEX(ctaTipo,MATCH(AB3653,ctaNombre,0))&amp;"",""))</f>
        <v/>
      </c>
      <c r="AE3653" s="52">
        <f>IF(AC3653="","",IFERROR(INDEX(ctaTipo,MATCH(AC3653,ctaNombre,0))&amp;"",""))</f>
        <v/>
      </c>
      <c r="AF3653" s="53">
        <f>IF(OR(P3653="",AB3653=""),"",IF(OR(P3653="Gasto",P3653="Transferencia",P3653="Pago tarjeta"),-1,1)*IF(IFERROR(INDEX(ctaMoneda,MATCH(AB3653,ctaNombre,0))&amp;"","DOP")="USD",T3653,S3653))</f>
        <v/>
      </c>
      <c r="AG3653" s="53">
        <f>IF(AC3653="","",IF(IFERROR(INDEX(ctaMoneda,MATCH(AC3653,ctaNombre,0))&amp;"","DOP")="USD",T3653,S3653))</f>
        <v/>
      </c>
      <c r="AH3653" s="53">
        <f>IF(P3653="","",IF(AND(AD3653&lt;&gt;"",COUNTIFS(tcTipo,AD3653,tcLiq,"Sí")&gt;0),IF(OR(P3653="Gasto",P3653="Transferencia",P3653="Pago tarjeta"),-1,1)*S3653,0)+IF(AND(AE3653&lt;&gt;"",COUNTIFS(tcTipo,AE3653,tcLiq,"Sí")&gt;0),S3653,0))</f>
        <v/>
      </c>
      <c r="AI3653" s="52">
        <f>IF(OR(L3653="",P3653=""),"",IF(COUNTIFS(L$6:L3653,L3653,P$6:P3653,"?*")=1,MAX(AI$5:AI3652)+1,""))</f>
        <v/>
      </c>
    </row>
    <row r="3654">
      <c r="B3654" s="47" t="n"/>
      <c r="C3654" s="48" t="n"/>
      <c r="D3654" s="48" t="n"/>
      <c r="E3654" s="48" t="n"/>
      <c r="F3654" s="48" t="n"/>
      <c r="G3654" s="49" t="n"/>
      <c r="H3654" s="48" t="n"/>
      <c r="I3654" s="50" t="n"/>
      <c r="J3654" s="48" t="n"/>
      <c r="K3654" s="48" t="n"/>
      <c r="L3654" s="48" t="n"/>
      <c r="M3654" s="48" t="n"/>
      <c r="N3654" s="48" t="n"/>
      <c r="O3654" s="51">
        <f>IF(AND(B3654="",G3654="",C3654="",D3654="",J3654=""),"",IF(B3654="","⚠ Falta fecha",IF(G3654="","⚠ Falta monto",IF(Q3654="","⚠ Falta cuenta",IF(ISNA(MATCH(Q3654,ctaNombre,0)),"⚠ Cuenta no registrada",IF(AND(OR(P3654="Gasto",P3654="Reembolso"),D3654=""),"⚠ Falta categoría",IF(AND(D3654&lt;&gt;"",E3654&lt;&gt;"",ISNA(MATCH(D3654&amp;"|"&amp;E3654,catClave,0))),"⚠ Subcategoría no corresponde",IF(AND(OR(P3654="Transferencia",P3654="Pago tarjeta"),K3654=""),"⚠ Falta cuenta destino",IF(AND(K3654&lt;&gt;"",P3654&lt;&gt;"Transferencia",P3654&lt;&gt;"Pago tarjeta"),"⚠ Destino solo aplica a transferencias",IF(AND(K3654&lt;&gt;"",K3654=Q3654),"⚠ Origen igual a destino",IF(AND(K3654&lt;&gt;"",ISNA(MATCH(K3654,ctaNombre,0))),"⚠ Destino no registrado",IF(AND(P3654="Pago tarjeta",AE3654&lt;&gt;"Tarjeta de crédito"),"⚠ El destino debe ser tarjeta de crédito",IF(AND(P3654="Gasto",E3654="Depósitos y retiros"),"⚠ Usa tipo Transferencia",IF(AND(P3654="Resultado trading",AD3654&lt;&gt;"Cuenta de trading"),"⚠ Usa una cuenta de trading",IF(AND(G3654&lt;=0,P3654&lt;&gt;"Ajuste",P3654&lt;&gt;"Resultado trading"),"⚠ El monto debe ser positivo","✓")))))))))))))))</f>
        <v/>
      </c>
      <c r="P3654" s="52">
        <f>IF(OR(B3654="",G3654=""),"",IF(C3654="","Gasto",C3654))</f>
        <v/>
      </c>
      <c r="Q3654" s="52">
        <f>IF(P3654="","",IF(J3654&lt;&gt;"",J3654,CuentaPred&amp;""))</f>
        <v/>
      </c>
      <c r="R3654" s="52">
        <f>IF(P3654="","",IF(ISNUMBER(I3654),I3654,TasaUSD))</f>
        <v/>
      </c>
      <c r="S3654" s="53">
        <f>IF(P3654="","",IF(H3654="USD",G3654*R3654,G3654))</f>
        <v/>
      </c>
      <c r="T3654" s="53">
        <f>IF(P3654="","",IF(H3654="USD",G3654,IF(R3654&gt;0,G3654/R3654,0)))</f>
        <v/>
      </c>
      <c r="U3654" s="53">
        <f>IF(P3654="","",IF(P3654="Gasto",S3654,IF(P3654="Reembolso",-S3654,0)))</f>
        <v/>
      </c>
      <c r="V3654" s="53">
        <f>IF(P3654="","",IF(P3654="Ingreso",S3654,0))</f>
        <v/>
      </c>
      <c r="W3654" s="53">
        <f>IF(P3654="","",IF(P3654="Resultado trading",S3654,0))</f>
        <v/>
      </c>
      <c r="X3654" s="52">
        <f>IF(OR(P3654="Gasto",P3654="Reembolso"),IF(M3654&lt;&gt;"",M3654,IFERROR(INDEX(catClasif,MATCH(D3654&amp;"|"&amp;E3654,catClave,0))&amp;"","Variable")),"")</f>
        <v/>
      </c>
      <c r="Y3654" s="52">
        <f>IF(P3654="","",IFERROR(INDEX(catGrupo,MATCH(D3654&amp;"|"&amp;E3654,catClave,0))&amp;"",""))</f>
        <v/>
      </c>
      <c r="Z3654" s="52">
        <f>IF(P3654="","",WEEKDAY(B3654,2))</f>
        <v/>
      </c>
      <c r="AA3654" s="52">
        <f>IF(P3654="","",IF(AND(P3654="Gasto",X3654="Variable",D3654&lt;&gt;catTrading,S3654&gt;0,S3654&lt;=Umbral),1,0))</f>
        <v/>
      </c>
      <c r="AB3654" s="52">
        <f>IF(OR(P3654="",Q3654=""),"",IFERROR(IF(INDEX(ctaVinc,MATCH(Q3654,ctaNombre,0))&amp;""&lt;&gt;"",INDEX(ctaVinc,MATCH(Q3654,ctaNombre,0))&amp;"",Q3654),Q3654))</f>
        <v/>
      </c>
      <c r="AC3654" s="52">
        <f>IF(OR(K3654="",AND(P3654&lt;&gt;"Transferencia",P3654&lt;&gt;"Pago tarjeta")),"",IFERROR(IF(INDEX(ctaVinc,MATCH(K3654,ctaNombre,0))&amp;""&lt;&gt;"",INDEX(ctaVinc,MATCH(K3654,ctaNombre,0))&amp;"",K3654),K3654))</f>
        <v/>
      </c>
      <c r="AD3654" s="52">
        <f>IF(AB3654="","",IFERROR(INDEX(ctaTipo,MATCH(AB3654,ctaNombre,0))&amp;"",""))</f>
        <v/>
      </c>
      <c r="AE3654" s="52">
        <f>IF(AC3654="","",IFERROR(INDEX(ctaTipo,MATCH(AC3654,ctaNombre,0))&amp;"",""))</f>
        <v/>
      </c>
      <c r="AF3654" s="53">
        <f>IF(OR(P3654="",AB3654=""),"",IF(OR(P3654="Gasto",P3654="Transferencia",P3654="Pago tarjeta"),-1,1)*IF(IFERROR(INDEX(ctaMoneda,MATCH(AB3654,ctaNombre,0))&amp;"","DOP")="USD",T3654,S3654))</f>
        <v/>
      </c>
      <c r="AG3654" s="53">
        <f>IF(AC3654="","",IF(IFERROR(INDEX(ctaMoneda,MATCH(AC3654,ctaNombre,0))&amp;"","DOP")="USD",T3654,S3654))</f>
        <v/>
      </c>
      <c r="AH3654" s="53">
        <f>IF(P3654="","",IF(AND(AD3654&lt;&gt;"",COUNTIFS(tcTipo,AD3654,tcLiq,"Sí")&gt;0),IF(OR(P3654="Gasto",P3654="Transferencia",P3654="Pago tarjeta"),-1,1)*S3654,0)+IF(AND(AE3654&lt;&gt;"",COUNTIFS(tcTipo,AE3654,tcLiq,"Sí")&gt;0),S3654,0))</f>
        <v/>
      </c>
      <c r="AI3654" s="52">
        <f>IF(OR(L3654="",P3654=""),"",IF(COUNTIFS(L$6:L3654,L3654,P$6:P3654,"?*")=1,MAX(AI$5:AI3653)+1,""))</f>
        <v/>
      </c>
    </row>
    <row r="3655">
      <c r="B3655" s="47" t="n"/>
      <c r="C3655" s="48" t="n"/>
      <c r="D3655" s="48" t="n"/>
      <c r="E3655" s="48" t="n"/>
      <c r="F3655" s="48" t="n"/>
      <c r="G3655" s="49" t="n"/>
      <c r="H3655" s="48" t="n"/>
      <c r="I3655" s="50" t="n"/>
      <c r="J3655" s="48" t="n"/>
      <c r="K3655" s="48" t="n"/>
      <c r="L3655" s="48" t="n"/>
      <c r="M3655" s="48" t="n"/>
      <c r="N3655" s="48" t="n"/>
      <c r="O3655" s="51">
        <f>IF(AND(B3655="",G3655="",C3655="",D3655="",J3655=""),"",IF(B3655="","⚠ Falta fecha",IF(G3655="","⚠ Falta monto",IF(Q3655="","⚠ Falta cuenta",IF(ISNA(MATCH(Q3655,ctaNombre,0)),"⚠ Cuenta no registrada",IF(AND(OR(P3655="Gasto",P3655="Reembolso"),D3655=""),"⚠ Falta categoría",IF(AND(D3655&lt;&gt;"",E3655&lt;&gt;"",ISNA(MATCH(D3655&amp;"|"&amp;E3655,catClave,0))),"⚠ Subcategoría no corresponde",IF(AND(OR(P3655="Transferencia",P3655="Pago tarjeta"),K3655=""),"⚠ Falta cuenta destino",IF(AND(K3655&lt;&gt;"",P3655&lt;&gt;"Transferencia",P3655&lt;&gt;"Pago tarjeta"),"⚠ Destino solo aplica a transferencias",IF(AND(K3655&lt;&gt;"",K3655=Q3655),"⚠ Origen igual a destino",IF(AND(K3655&lt;&gt;"",ISNA(MATCH(K3655,ctaNombre,0))),"⚠ Destino no registrado",IF(AND(P3655="Pago tarjeta",AE3655&lt;&gt;"Tarjeta de crédito"),"⚠ El destino debe ser tarjeta de crédito",IF(AND(P3655="Gasto",E3655="Depósitos y retiros"),"⚠ Usa tipo Transferencia",IF(AND(P3655="Resultado trading",AD3655&lt;&gt;"Cuenta de trading"),"⚠ Usa una cuenta de trading",IF(AND(G3655&lt;=0,P3655&lt;&gt;"Ajuste",P3655&lt;&gt;"Resultado trading"),"⚠ El monto debe ser positivo","✓")))))))))))))))</f>
        <v/>
      </c>
      <c r="P3655" s="52">
        <f>IF(OR(B3655="",G3655=""),"",IF(C3655="","Gasto",C3655))</f>
        <v/>
      </c>
      <c r="Q3655" s="52">
        <f>IF(P3655="","",IF(J3655&lt;&gt;"",J3655,CuentaPred&amp;""))</f>
        <v/>
      </c>
      <c r="R3655" s="52">
        <f>IF(P3655="","",IF(ISNUMBER(I3655),I3655,TasaUSD))</f>
        <v/>
      </c>
      <c r="S3655" s="53">
        <f>IF(P3655="","",IF(H3655="USD",G3655*R3655,G3655))</f>
        <v/>
      </c>
      <c r="T3655" s="53">
        <f>IF(P3655="","",IF(H3655="USD",G3655,IF(R3655&gt;0,G3655/R3655,0)))</f>
        <v/>
      </c>
      <c r="U3655" s="53">
        <f>IF(P3655="","",IF(P3655="Gasto",S3655,IF(P3655="Reembolso",-S3655,0)))</f>
        <v/>
      </c>
      <c r="V3655" s="53">
        <f>IF(P3655="","",IF(P3655="Ingreso",S3655,0))</f>
        <v/>
      </c>
      <c r="W3655" s="53">
        <f>IF(P3655="","",IF(P3655="Resultado trading",S3655,0))</f>
        <v/>
      </c>
      <c r="X3655" s="52">
        <f>IF(OR(P3655="Gasto",P3655="Reembolso"),IF(M3655&lt;&gt;"",M3655,IFERROR(INDEX(catClasif,MATCH(D3655&amp;"|"&amp;E3655,catClave,0))&amp;"","Variable")),"")</f>
        <v/>
      </c>
      <c r="Y3655" s="52">
        <f>IF(P3655="","",IFERROR(INDEX(catGrupo,MATCH(D3655&amp;"|"&amp;E3655,catClave,0))&amp;"",""))</f>
        <v/>
      </c>
      <c r="Z3655" s="52">
        <f>IF(P3655="","",WEEKDAY(B3655,2))</f>
        <v/>
      </c>
      <c r="AA3655" s="52">
        <f>IF(P3655="","",IF(AND(P3655="Gasto",X3655="Variable",D3655&lt;&gt;catTrading,S3655&gt;0,S3655&lt;=Umbral),1,0))</f>
        <v/>
      </c>
      <c r="AB3655" s="52">
        <f>IF(OR(P3655="",Q3655=""),"",IFERROR(IF(INDEX(ctaVinc,MATCH(Q3655,ctaNombre,0))&amp;""&lt;&gt;"",INDEX(ctaVinc,MATCH(Q3655,ctaNombre,0))&amp;"",Q3655),Q3655))</f>
        <v/>
      </c>
      <c r="AC3655" s="52">
        <f>IF(OR(K3655="",AND(P3655&lt;&gt;"Transferencia",P3655&lt;&gt;"Pago tarjeta")),"",IFERROR(IF(INDEX(ctaVinc,MATCH(K3655,ctaNombre,0))&amp;""&lt;&gt;"",INDEX(ctaVinc,MATCH(K3655,ctaNombre,0))&amp;"",K3655),K3655))</f>
        <v/>
      </c>
      <c r="AD3655" s="52">
        <f>IF(AB3655="","",IFERROR(INDEX(ctaTipo,MATCH(AB3655,ctaNombre,0))&amp;"",""))</f>
        <v/>
      </c>
      <c r="AE3655" s="52">
        <f>IF(AC3655="","",IFERROR(INDEX(ctaTipo,MATCH(AC3655,ctaNombre,0))&amp;"",""))</f>
        <v/>
      </c>
      <c r="AF3655" s="53">
        <f>IF(OR(P3655="",AB3655=""),"",IF(OR(P3655="Gasto",P3655="Transferencia",P3655="Pago tarjeta"),-1,1)*IF(IFERROR(INDEX(ctaMoneda,MATCH(AB3655,ctaNombre,0))&amp;"","DOP")="USD",T3655,S3655))</f>
        <v/>
      </c>
      <c r="AG3655" s="53">
        <f>IF(AC3655="","",IF(IFERROR(INDEX(ctaMoneda,MATCH(AC3655,ctaNombre,0))&amp;"","DOP")="USD",T3655,S3655))</f>
        <v/>
      </c>
      <c r="AH3655" s="53">
        <f>IF(P3655="","",IF(AND(AD3655&lt;&gt;"",COUNTIFS(tcTipo,AD3655,tcLiq,"Sí")&gt;0),IF(OR(P3655="Gasto",P3655="Transferencia",P3655="Pago tarjeta"),-1,1)*S3655,0)+IF(AND(AE3655&lt;&gt;"",COUNTIFS(tcTipo,AE3655,tcLiq,"Sí")&gt;0),S3655,0))</f>
        <v/>
      </c>
      <c r="AI3655" s="52">
        <f>IF(OR(L3655="",P3655=""),"",IF(COUNTIFS(L$6:L3655,L3655,P$6:P3655,"?*")=1,MAX(AI$5:AI3654)+1,""))</f>
        <v/>
      </c>
    </row>
    <row r="3656">
      <c r="B3656" s="47" t="n"/>
      <c r="C3656" s="48" t="n"/>
      <c r="D3656" s="48" t="n"/>
      <c r="E3656" s="48" t="n"/>
      <c r="F3656" s="48" t="n"/>
      <c r="G3656" s="49" t="n"/>
      <c r="H3656" s="48" t="n"/>
      <c r="I3656" s="50" t="n"/>
      <c r="J3656" s="48" t="n"/>
      <c r="K3656" s="48" t="n"/>
      <c r="L3656" s="48" t="n"/>
      <c r="M3656" s="48" t="n"/>
      <c r="N3656" s="48" t="n"/>
      <c r="O3656" s="51">
        <f>IF(AND(B3656="",G3656="",C3656="",D3656="",J3656=""),"",IF(B3656="","⚠ Falta fecha",IF(G3656="","⚠ Falta monto",IF(Q3656="","⚠ Falta cuenta",IF(ISNA(MATCH(Q3656,ctaNombre,0)),"⚠ Cuenta no registrada",IF(AND(OR(P3656="Gasto",P3656="Reembolso"),D3656=""),"⚠ Falta categoría",IF(AND(D3656&lt;&gt;"",E3656&lt;&gt;"",ISNA(MATCH(D3656&amp;"|"&amp;E3656,catClave,0))),"⚠ Subcategoría no corresponde",IF(AND(OR(P3656="Transferencia",P3656="Pago tarjeta"),K3656=""),"⚠ Falta cuenta destino",IF(AND(K3656&lt;&gt;"",P3656&lt;&gt;"Transferencia",P3656&lt;&gt;"Pago tarjeta"),"⚠ Destino solo aplica a transferencias",IF(AND(K3656&lt;&gt;"",K3656=Q3656),"⚠ Origen igual a destino",IF(AND(K3656&lt;&gt;"",ISNA(MATCH(K3656,ctaNombre,0))),"⚠ Destino no registrado",IF(AND(P3656="Pago tarjeta",AE3656&lt;&gt;"Tarjeta de crédito"),"⚠ El destino debe ser tarjeta de crédito",IF(AND(P3656="Gasto",E3656="Depósitos y retiros"),"⚠ Usa tipo Transferencia",IF(AND(P3656="Resultado trading",AD3656&lt;&gt;"Cuenta de trading"),"⚠ Usa una cuenta de trading",IF(AND(G3656&lt;=0,P3656&lt;&gt;"Ajuste",P3656&lt;&gt;"Resultado trading"),"⚠ El monto debe ser positivo","✓")))))))))))))))</f>
        <v/>
      </c>
      <c r="P3656" s="52">
        <f>IF(OR(B3656="",G3656=""),"",IF(C3656="","Gasto",C3656))</f>
        <v/>
      </c>
      <c r="Q3656" s="52">
        <f>IF(P3656="","",IF(J3656&lt;&gt;"",J3656,CuentaPred&amp;""))</f>
        <v/>
      </c>
      <c r="R3656" s="52">
        <f>IF(P3656="","",IF(ISNUMBER(I3656),I3656,TasaUSD))</f>
        <v/>
      </c>
      <c r="S3656" s="53">
        <f>IF(P3656="","",IF(H3656="USD",G3656*R3656,G3656))</f>
        <v/>
      </c>
      <c r="T3656" s="53">
        <f>IF(P3656="","",IF(H3656="USD",G3656,IF(R3656&gt;0,G3656/R3656,0)))</f>
        <v/>
      </c>
      <c r="U3656" s="53">
        <f>IF(P3656="","",IF(P3656="Gasto",S3656,IF(P3656="Reembolso",-S3656,0)))</f>
        <v/>
      </c>
      <c r="V3656" s="53">
        <f>IF(P3656="","",IF(P3656="Ingreso",S3656,0))</f>
        <v/>
      </c>
      <c r="W3656" s="53">
        <f>IF(P3656="","",IF(P3656="Resultado trading",S3656,0))</f>
        <v/>
      </c>
      <c r="X3656" s="52">
        <f>IF(OR(P3656="Gasto",P3656="Reembolso"),IF(M3656&lt;&gt;"",M3656,IFERROR(INDEX(catClasif,MATCH(D3656&amp;"|"&amp;E3656,catClave,0))&amp;"","Variable")),"")</f>
        <v/>
      </c>
      <c r="Y3656" s="52">
        <f>IF(P3656="","",IFERROR(INDEX(catGrupo,MATCH(D3656&amp;"|"&amp;E3656,catClave,0))&amp;"",""))</f>
        <v/>
      </c>
      <c r="Z3656" s="52">
        <f>IF(P3656="","",WEEKDAY(B3656,2))</f>
        <v/>
      </c>
      <c r="AA3656" s="52">
        <f>IF(P3656="","",IF(AND(P3656="Gasto",X3656="Variable",D3656&lt;&gt;catTrading,S3656&gt;0,S3656&lt;=Umbral),1,0))</f>
        <v/>
      </c>
      <c r="AB3656" s="52">
        <f>IF(OR(P3656="",Q3656=""),"",IFERROR(IF(INDEX(ctaVinc,MATCH(Q3656,ctaNombre,0))&amp;""&lt;&gt;"",INDEX(ctaVinc,MATCH(Q3656,ctaNombre,0))&amp;"",Q3656),Q3656))</f>
        <v/>
      </c>
      <c r="AC3656" s="52">
        <f>IF(OR(K3656="",AND(P3656&lt;&gt;"Transferencia",P3656&lt;&gt;"Pago tarjeta")),"",IFERROR(IF(INDEX(ctaVinc,MATCH(K3656,ctaNombre,0))&amp;""&lt;&gt;"",INDEX(ctaVinc,MATCH(K3656,ctaNombre,0))&amp;"",K3656),K3656))</f>
        <v/>
      </c>
      <c r="AD3656" s="52">
        <f>IF(AB3656="","",IFERROR(INDEX(ctaTipo,MATCH(AB3656,ctaNombre,0))&amp;"",""))</f>
        <v/>
      </c>
      <c r="AE3656" s="52">
        <f>IF(AC3656="","",IFERROR(INDEX(ctaTipo,MATCH(AC3656,ctaNombre,0))&amp;"",""))</f>
        <v/>
      </c>
      <c r="AF3656" s="53">
        <f>IF(OR(P3656="",AB3656=""),"",IF(OR(P3656="Gasto",P3656="Transferencia",P3656="Pago tarjeta"),-1,1)*IF(IFERROR(INDEX(ctaMoneda,MATCH(AB3656,ctaNombre,0))&amp;"","DOP")="USD",T3656,S3656))</f>
        <v/>
      </c>
      <c r="AG3656" s="53">
        <f>IF(AC3656="","",IF(IFERROR(INDEX(ctaMoneda,MATCH(AC3656,ctaNombre,0))&amp;"","DOP")="USD",T3656,S3656))</f>
        <v/>
      </c>
      <c r="AH3656" s="53">
        <f>IF(P3656="","",IF(AND(AD3656&lt;&gt;"",COUNTIFS(tcTipo,AD3656,tcLiq,"Sí")&gt;0),IF(OR(P3656="Gasto",P3656="Transferencia",P3656="Pago tarjeta"),-1,1)*S3656,0)+IF(AND(AE3656&lt;&gt;"",COUNTIFS(tcTipo,AE3656,tcLiq,"Sí")&gt;0),S3656,0))</f>
        <v/>
      </c>
      <c r="AI3656" s="52">
        <f>IF(OR(L3656="",P3656=""),"",IF(COUNTIFS(L$6:L3656,L3656,P$6:P3656,"?*")=1,MAX(AI$5:AI3655)+1,""))</f>
        <v/>
      </c>
    </row>
    <row r="3657">
      <c r="B3657" s="47" t="n"/>
      <c r="C3657" s="48" t="n"/>
      <c r="D3657" s="48" t="n"/>
      <c r="E3657" s="48" t="n"/>
      <c r="F3657" s="48" t="n"/>
      <c r="G3657" s="49" t="n"/>
      <c r="H3657" s="48" t="n"/>
      <c r="I3657" s="50" t="n"/>
      <c r="J3657" s="48" t="n"/>
      <c r="K3657" s="48" t="n"/>
      <c r="L3657" s="48" t="n"/>
      <c r="M3657" s="48" t="n"/>
      <c r="N3657" s="48" t="n"/>
      <c r="O3657" s="51">
        <f>IF(AND(B3657="",G3657="",C3657="",D3657="",J3657=""),"",IF(B3657="","⚠ Falta fecha",IF(G3657="","⚠ Falta monto",IF(Q3657="","⚠ Falta cuenta",IF(ISNA(MATCH(Q3657,ctaNombre,0)),"⚠ Cuenta no registrada",IF(AND(OR(P3657="Gasto",P3657="Reembolso"),D3657=""),"⚠ Falta categoría",IF(AND(D3657&lt;&gt;"",E3657&lt;&gt;"",ISNA(MATCH(D3657&amp;"|"&amp;E3657,catClave,0))),"⚠ Subcategoría no corresponde",IF(AND(OR(P3657="Transferencia",P3657="Pago tarjeta"),K3657=""),"⚠ Falta cuenta destino",IF(AND(K3657&lt;&gt;"",P3657&lt;&gt;"Transferencia",P3657&lt;&gt;"Pago tarjeta"),"⚠ Destino solo aplica a transferencias",IF(AND(K3657&lt;&gt;"",K3657=Q3657),"⚠ Origen igual a destino",IF(AND(K3657&lt;&gt;"",ISNA(MATCH(K3657,ctaNombre,0))),"⚠ Destino no registrado",IF(AND(P3657="Pago tarjeta",AE3657&lt;&gt;"Tarjeta de crédito"),"⚠ El destino debe ser tarjeta de crédito",IF(AND(P3657="Gasto",E3657="Depósitos y retiros"),"⚠ Usa tipo Transferencia",IF(AND(P3657="Resultado trading",AD3657&lt;&gt;"Cuenta de trading"),"⚠ Usa una cuenta de trading",IF(AND(G3657&lt;=0,P3657&lt;&gt;"Ajuste",P3657&lt;&gt;"Resultado trading"),"⚠ El monto debe ser positivo","✓")))))))))))))))</f>
        <v/>
      </c>
      <c r="P3657" s="52">
        <f>IF(OR(B3657="",G3657=""),"",IF(C3657="","Gasto",C3657))</f>
        <v/>
      </c>
      <c r="Q3657" s="52">
        <f>IF(P3657="","",IF(J3657&lt;&gt;"",J3657,CuentaPred&amp;""))</f>
        <v/>
      </c>
      <c r="R3657" s="52">
        <f>IF(P3657="","",IF(ISNUMBER(I3657),I3657,TasaUSD))</f>
        <v/>
      </c>
      <c r="S3657" s="53">
        <f>IF(P3657="","",IF(H3657="USD",G3657*R3657,G3657))</f>
        <v/>
      </c>
      <c r="T3657" s="53">
        <f>IF(P3657="","",IF(H3657="USD",G3657,IF(R3657&gt;0,G3657/R3657,0)))</f>
        <v/>
      </c>
      <c r="U3657" s="53">
        <f>IF(P3657="","",IF(P3657="Gasto",S3657,IF(P3657="Reembolso",-S3657,0)))</f>
        <v/>
      </c>
      <c r="V3657" s="53">
        <f>IF(P3657="","",IF(P3657="Ingreso",S3657,0))</f>
        <v/>
      </c>
      <c r="W3657" s="53">
        <f>IF(P3657="","",IF(P3657="Resultado trading",S3657,0))</f>
        <v/>
      </c>
      <c r="X3657" s="52">
        <f>IF(OR(P3657="Gasto",P3657="Reembolso"),IF(M3657&lt;&gt;"",M3657,IFERROR(INDEX(catClasif,MATCH(D3657&amp;"|"&amp;E3657,catClave,0))&amp;"","Variable")),"")</f>
        <v/>
      </c>
      <c r="Y3657" s="52">
        <f>IF(P3657="","",IFERROR(INDEX(catGrupo,MATCH(D3657&amp;"|"&amp;E3657,catClave,0))&amp;"",""))</f>
        <v/>
      </c>
      <c r="Z3657" s="52">
        <f>IF(P3657="","",WEEKDAY(B3657,2))</f>
        <v/>
      </c>
      <c r="AA3657" s="52">
        <f>IF(P3657="","",IF(AND(P3657="Gasto",X3657="Variable",D3657&lt;&gt;catTrading,S3657&gt;0,S3657&lt;=Umbral),1,0))</f>
        <v/>
      </c>
      <c r="AB3657" s="52">
        <f>IF(OR(P3657="",Q3657=""),"",IFERROR(IF(INDEX(ctaVinc,MATCH(Q3657,ctaNombre,0))&amp;""&lt;&gt;"",INDEX(ctaVinc,MATCH(Q3657,ctaNombre,0))&amp;"",Q3657),Q3657))</f>
        <v/>
      </c>
      <c r="AC3657" s="52">
        <f>IF(OR(K3657="",AND(P3657&lt;&gt;"Transferencia",P3657&lt;&gt;"Pago tarjeta")),"",IFERROR(IF(INDEX(ctaVinc,MATCH(K3657,ctaNombre,0))&amp;""&lt;&gt;"",INDEX(ctaVinc,MATCH(K3657,ctaNombre,0))&amp;"",K3657),K3657))</f>
        <v/>
      </c>
      <c r="AD3657" s="52">
        <f>IF(AB3657="","",IFERROR(INDEX(ctaTipo,MATCH(AB3657,ctaNombre,0))&amp;"",""))</f>
        <v/>
      </c>
      <c r="AE3657" s="52">
        <f>IF(AC3657="","",IFERROR(INDEX(ctaTipo,MATCH(AC3657,ctaNombre,0))&amp;"",""))</f>
        <v/>
      </c>
      <c r="AF3657" s="53">
        <f>IF(OR(P3657="",AB3657=""),"",IF(OR(P3657="Gasto",P3657="Transferencia",P3657="Pago tarjeta"),-1,1)*IF(IFERROR(INDEX(ctaMoneda,MATCH(AB3657,ctaNombre,0))&amp;"","DOP")="USD",T3657,S3657))</f>
        <v/>
      </c>
      <c r="AG3657" s="53">
        <f>IF(AC3657="","",IF(IFERROR(INDEX(ctaMoneda,MATCH(AC3657,ctaNombre,0))&amp;"","DOP")="USD",T3657,S3657))</f>
        <v/>
      </c>
      <c r="AH3657" s="53">
        <f>IF(P3657="","",IF(AND(AD3657&lt;&gt;"",COUNTIFS(tcTipo,AD3657,tcLiq,"Sí")&gt;0),IF(OR(P3657="Gasto",P3657="Transferencia",P3657="Pago tarjeta"),-1,1)*S3657,0)+IF(AND(AE3657&lt;&gt;"",COUNTIFS(tcTipo,AE3657,tcLiq,"Sí")&gt;0),S3657,0))</f>
        <v/>
      </c>
      <c r="AI3657" s="52">
        <f>IF(OR(L3657="",P3657=""),"",IF(COUNTIFS(L$6:L3657,L3657,P$6:P3657,"?*")=1,MAX(AI$5:AI3656)+1,""))</f>
        <v/>
      </c>
    </row>
    <row r="3658">
      <c r="B3658" s="47" t="n"/>
      <c r="C3658" s="48" t="n"/>
      <c r="D3658" s="48" t="n"/>
      <c r="E3658" s="48" t="n"/>
      <c r="F3658" s="48" t="n"/>
      <c r="G3658" s="49" t="n"/>
      <c r="H3658" s="48" t="n"/>
      <c r="I3658" s="50" t="n"/>
      <c r="J3658" s="48" t="n"/>
      <c r="K3658" s="48" t="n"/>
      <c r="L3658" s="48" t="n"/>
      <c r="M3658" s="48" t="n"/>
      <c r="N3658" s="48" t="n"/>
      <c r="O3658" s="51">
        <f>IF(AND(B3658="",G3658="",C3658="",D3658="",J3658=""),"",IF(B3658="","⚠ Falta fecha",IF(G3658="","⚠ Falta monto",IF(Q3658="","⚠ Falta cuenta",IF(ISNA(MATCH(Q3658,ctaNombre,0)),"⚠ Cuenta no registrada",IF(AND(OR(P3658="Gasto",P3658="Reembolso"),D3658=""),"⚠ Falta categoría",IF(AND(D3658&lt;&gt;"",E3658&lt;&gt;"",ISNA(MATCH(D3658&amp;"|"&amp;E3658,catClave,0))),"⚠ Subcategoría no corresponde",IF(AND(OR(P3658="Transferencia",P3658="Pago tarjeta"),K3658=""),"⚠ Falta cuenta destino",IF(AND(K3658&lt;&gt;"",P3658&lt;&gt;"Transferencia",P3658&lt;&gt;"Pago tarjeta"),"⚠ Destino solo aplica a transferencias",IF(AND(K3658&lt;&gt;"",K3658=Q3658),"⚠ Origen igual a destino",IF(AND(K3658&lt;&gt;"",ISNA(MATCH(K3658,ctaNombre,0))),"⚠ Destino no registrado",IF(AND(P3658="Pago tarjeta",AE3658&lt;&gt;"Tarjeta de crédito"),"⚠ El destino debe ser tarjeta de crédito",IF(AND(P3658="Gasto",E3658="Depósitos y retiros"),"⚠ Usa tipo Transferencia",IF(AND(P3658="Resultado trading",AD3658&lt;&gt;"Cuenta de trading"),"⚠ Usa una cuenta de trading",IF(AND(G3658&lt;=0,P3658&lt;&gt;"Ajuste",P3658&lt;&gt;"Resultado trading"),"⚠ El monto debe ser positivo","✓")))))))))))))))</f>
        <v/>
      </c>
      <c r="P3658" s="52">
        <f>IF(OR(B3658="",G3658=""),"",IF(C3658="","Gasto",C3658))</f>
        <v/>
      </c>
      <c r="Q3658" s="52">
        <f>IF(P3658="","",IF(J3658&lt;&gt;"",J3658,CuentaPred&amp;""))</f>
        <v/>
      </c>
      <c r="R3658" s="52">
        <f>IF(P3658="","",IF(ISNUMBER(I3658),I3658,TasaUSD))</f>
        <v/>
      </c>
      <c r="S3658" s="53">
        <f>IF(P3658="","",IF(H3658="USD",G3658*R3658,G3658))</f>
        <v/>
      </c>
      <c r="T3658" s="53">
        <f>IF(P3658="","",IF(H3658="USD",G3658,IF(R3658&gt;0,G3658/R3658,0)))</f>
        <v/>
      </c>
      <c r="U3658" s="53">
        <f>IF(P3658="","",IF(P3658="Gasto",S3658,IF(P3658="Reembolso",-S3658,0)))</f>
        <v/>
      </c>
      <c r="V3658" s="53">
        <f>IF(P3658="","",IF(P3658="Ingreso",S3658,0))</f>
        <v/>
      </c>
      <c r="W3658" s="53">
        <f>IF(P3658="","",IF(P3658="Resultado trading",S3658,0))</f>
        <v/>
      </c>
      <c r="X3658" s="52">
        <f>IF(OR(P3658="Gasto",P3658="Reembolso"),IF(M3658&lt;&gt;"",M3658,IFERROR(INDEX(catClasif,MATCH(D3658&amp;"|"&amp;E3658,catClave,0))&amp;"","Variable")),"")</f>
        <v/>
      </c>
      <c r="Y3658" s="52">
        <f>IF(P3658="","",IFERROR(INDEX(catGrupo,MATCH(D3658&amp;"|"&amp;E3658,catClave,0))&amp;"",""))</f>
        <v/>
      </c>
      <c r="Z3658" s="52">
        <f>IF(P3658="","",WEEKDAY(B3658,2))</f>
        <v/>
      </c>
      <c r="AA3658" s="52">
        <f>IF(P3658="","",IF(AND(P3658="Gasto",X3658="Variable",D3658&lt;&gt;catTrading,S3658&gt;0,S3658&lt;=Umbral),1,0))</f>
        <v/>
      </c>
      <c r="AB3658" s="52">
        <f>IF(OR(P3658="",Q3658=""),"",IFERROR(IF(INDEX(ctaVinc,MATCH(Q3658,ctaNombre,0))&amp;""&lt;&gt;"",INDEX(ctaVinc,MATCH(Q3658,ctaNombre,0))&amp;"",Q3658),Q3658))</f>
        <v/>
      </c>
      <c r="AC3658" s="52">
        <f>IF(OR(K3658="",AND(P3658&lt;&gt;"Transferencia",P3658&lt;&gt;"Pago tarjeta")),"",IFERROR(IF(INDEX(ctaVinc,MATCH(K3658,ctaNombre,0))&amp;""&lt;&gt;"",INDEX(ctaVinc,MATCH(K3658,ctaNombre,0))&amp;"",K3658),K3658))</f>
        <v/>
      </c>
      <c r="AD3658" s="52">
        <f>IF(AB3658="","",IFERROR(INDEX(ctaTipo,MATCH(AB3658,ctaNombre,0))&amp;"",""))</f>
        <v/>
      </c>
      <c r="AE3658" s="52">
        <f>IF(AC3658="","",IFERROR(INDEX(ctaTipo,MATCH(AC3658,ctaNombre,0))&amp;"",""))</f>
        <v/>
      </c>
      <c r="AF3658" s="53">
        <f>IF(OR(P3658="",AB3658=""),"",IF(OR(P3658="Gasto",P3658="Transferencia",P3658="Pago tarjeta"),-1,1)*IF(IFERROR(INDEX(ctaMoneda,MATCH(AB3658,ctaNombre,0))&amp;"","DOP")="USD",T3658,S3658))</f>
        <v/>
      </c>
      <c r="AG3658" s="53">
        <f>IF(AC3658="","",IF(IFERROR(INDEX(ctaMoneda,MATCH(AC3658,ctaNombre,0))&amp;"","DOP")="USD",T3658,S3658))</f>
        <v/>
      </c>
      <c r="AH3658" s="53">
        <f>IF(P3658="","",IF(AND(AD3658&lt;&gt;"",COUNTIFS(tcTipo,AD3658,tcLiq,"Sí")&gt;0),IF(OR(P3658="Gasto",P3658="Transferencia",P3658="Pago tarjeta"),-1,1)*S3658,0)+IF(AND(AE3658&lt;&gt;"",COUNTIFS(tcTipo,AE3658,tcLiq,"Sí")&gt;0),S3658,0))</f>
        <v/>
      </c>
      <c r="AI3658" s="52">
        <f>IF(OR(L3658="",P3658=""),"",IF(COUNTIFS(L$6:L3658,L3658,P$6:P3658,"?*")=1,MAX(AI$5:AI3657)+1,""))</f>
        <v/>
      </c>
    </row>
    <row r="3659">
      <c r="B3659" s="47" t="n"/>
      <c r="C3659" s="48" t="n"/>
      <c r="D3659" s="48" t="n"/>
      <c r="E3659" s="48" t="n"/>
      <c r="F3659" s="48" t="n"/>
      <c r="G3659" s="49" t="n"/>
      <c r="H3659" s="48" t="n"/>
      <c r="I3659" s="50" t="n"/>
      <c r="J3659" s="48" t="n"/>
      <c r="K3659" s="48" t="n"/>
      <c r="L3659" s="48" t="n"/>
      <c r="M3659" s="48" t="n"/>
      <c r="N3659" s="48" t="n"/>
      <c r="O3659" s="51">
        <f>IF(AND(B3659="",G3659="",C3659="",D3659="",J3659=""),"",IF(B3659="","⚠ Falta fecha",IF(G3659="","⚠ Falta monto",IF(Q3659="","⚠ Falta cuenta",IF(ISNA(MATCH(Q3659,ctaNombre,0)),"⚠ Cuenta no registrada",IF(AND(OR(P3659="Gasto",P3659="Reembolso"),D3659=""),"⚠ Falta categoría",IF(AND(D3659&lt;&gt;"",E3659&lt;&gt;"",ISNA(MATCH(D3659&amp;"|"&amp;E3659,catClave,0))),"⚠ Subcategoría no corresponde",IF(AND(OR(P3659="Transferencia",P3659="Pago tarjeta"),K3659=""),"⚠ Falta cuenta destino",IF(AND(K3659&lt;&gt;"",P3659&lt;&gt;"Transferencia",P3659&lt;&gt;"Pago tarjeta"),"⚠ Destino solo aplica a transferencias",IF(AND(K3659&lt;&gt;"",K3659=Q3659),"⚠ Origen igual a destino",IF(AND(K3659&lt;&gt;"",ISNA(MATCH(K3659,ctaNombre,0))),"⚠ Destino no registrado",IF(AND(P3659="Pago tarjeta",AE3659&lt;&gt;"Tarjeta de crédito"),"⚠ El destino debe ser tarjeta de crédito",IF(AND(P3659="Gasto",E3659="Depósitos y retiros"),"⚠ Usa tipo Transferencia",IF(AND(P3659="Resultado trading",AD3659&lt;&gt;"Cuenta de trading"),"⚠ Usa una cuenta de trading",IF(AND(G3659&lt;=0,P3659&lt;&gt;"Ajuste",P3659&lt;&gt;"Resultado trading"),"⚠ El monto debe ser positivo","✓")))))))))))))))</f>
        <v/>
      </c>
      <c r="P3659" s="52">
        <f>IF(OR(B3659="",G3659=""),"",IF(C3659="","Gasto",C3659))</f>
        <v/>
      </c>
      <c r="Q3659" s="52">
        <f>IF(P3659="","",IF(J3659&lt;&gt;"",J3659,CuentaPred&amp;""))</f>
        <v/>
      </c>
      <c r="R3659" s="52">
        <f>IF(P3659="","",IF(ISNUMBER(I3659),I3659,TasaUSD))</f>
        <v/>
      </c>
      <c r="S3659" s="53">
        <f>IF(P3659="","",IF(H3659="USD",G3659*R3659,G3659))</f>
        <v/>
      </c>
      <c r="T3659" s="53">
        <f>IF(P3659="","",IF(H3659="USD",G3659,IF(R3659&gt;0,G3659/R3659,0)))</f>
        <v/>
      </c>
      <c r="U3659" s="53">
        <f>IF(P3659="","",IF(P3659="Gasto",S3659,IF(P3659="Reembolso",-S3659,0)))</f>
        <v/>
      </c>
      <c r="V3659" s="53">
        <f>IF(P3659="","",IF(P3659="Ingreso",S3659,0))</f>
        <v/>
      </c>
      <c r="W3659" s="53">
        <f>IF(P3659="","",IF(P3659="Resultado trading",S3659,0))</f>
        <v/>
      </c>
      <c r="X3659" s="52">
        <f>IF(OR(P3659="Gasto",P3659="Reembolso"),IF(M3659&lt;&gt;"",M3659,IFERROR(INDEX(catClasif,MATCH(D3659&amp;"|"&amp;E3659,catClave,0))&amp;"","Variable")),"")</f>
        <v/>
      </c>
      <c r="Y3659" s="52">
        <f>IF(P3659="","",IFERROR(INDEX(catGrupo,MATCH(D3659&amp;"|"&amp;E3659,catClave,0))&amp;"",""))</f>
        <v/>
      </c>
      <c r="Z3659" s="52">
        <f>IF(P3659="","",WEEKDAY(B3659,2))</f>
        <v/>
      </c>
      <c r="AA3659" s="52">
        <f>IF(P3659="","",IF(AND(P3659="Gasto",X3659="Variable",D3659&lt;&gt;catTrading,S3659&gt;0,S3659&lt;=Umbral),1,0))</f>
        <v/>
      </c>
      <c r="AB3659" s="52">
        <f>IF(OR(P3659="",Q3659=""),"",IFERROR(IF(INDEX(ctaVinc,MATCH(Q3659,ctaNombre,0))&amp;""&lt;&gt;"",INDEX(ctaVinc,MATCH(Q3659,ctaNombre,0))&amp;"",Q3659),Q3659))</f>
        <v/>
      </c>
      <c r="AC3659" s="52">
        <f>IF(OR(K3659="",AND(P3659&lt;&gt;"Transferencia",P3659&lt;&gt;"Pago tarjeta")),"",IFERROR(IF(INDEX(ctaVinc,MATCH(K3659,ctaNombre,0))&amp;""&lt;&gt;"",INDEX(ctaVinc,MATCH(K3659,ctaNombre,0))&amp;"",K3659),K3659))</f>
        <v/>
      </c>
      <c r="AD3659" s="52">
        <f>IF(AB3659="","",IFERROR(INDEX(ctaTipo,MATCH(AB3659,ctaNombre,0))&amp;"",""))</f>
        <v/>
      </c>
      <c r="AE3659" s="52">
        <f>IF(AC3659="","",IFERROR(INDEX(ctaTipo,MATCH(AC3659,ctaNombre,0))&amp;"",""))</f>
        <v/>
      </c>
      <c r="AF3659" s="53">
        <f>IF(OR(P3659="",AB3659=""),"",IF(OR(P3659="Gasto",P3659="Transferencia",P3659="Pago tarjeta"),-1,1)*IF(IFERROR(INDEX(ctaMoneda,MATCH(AB3659,ctaNombre,0))&amp;"","DOP")="USD",T3659,S3659))</f>
        <v/>
      </c>
      <c r="AG3659" s="53">
        <f>IF(AC3659="","",IF(IFERROR(INDEX(ctaMoneda,MATCH(AC3659,ctaNombre,0))&amp;"","DOP")="USD",T3659,S3659))</f>
        <v/>
      </c>
      <c r="AH3659" s="53">
        <f>IF(P3659="","",IF(AND(AD3659&lt;&gt;"",COUNTIFS(tcTipo,AD3659,tcLiq,"Sí")&gt;0),IF(OR(P3659="Gasto",P3659="Transferencia",P3659="Pago tarjeta"),-1,1)*S3659,0)+IF(AND(AE3659&lt;&gt;"",COUNTIFS(tcTipo,AE3659,tcLiq,"Sí")&gt;0),S3659,0))</f>
        <v/>
      </c>
      <c r="AI3659" s="52">
        <f>IF(OR(L3659="",P3659=""),"",IF(COUNTIFS(L$6:L3659,L3659,P$6:P3659,"?*")=1,MAX(AI$5:AI3658)+1,""))</f>
        <v/>
      </c>
    </row>
    <row r="3660">
      <c r="B3660" s="47" t="n"/>
      <c r="C3660" s="48" t="n"/>
      <c r="D3660" s="48" t="n"/>
      <c r="E3660" s="48" t="n"/>
      <c r="F3660" s="48" t="n"/>
      <c r="G3660" s="49" t="n"/>
      <c r="H3660" s="48" t="n"/>
      <c r="I3660" s="50" t="n"/>
      <c r="J3660" s="48" t="n"/>
      <c r="K3660" s="48" t="n"/>
      <c r="L3660" s="48" t="n"/>
      <c r="M3660" s="48" t="n"/>
      <c r="N3660" s="48" t="n"/>
      <c r="O3660" s="51">
        <f>IF(AND(B3660="",G3660="",C3660="",D3660="",J3660=""),"",IF(B3660="","⚠ Falta fecha",IF(G3660="","⚠ Falta monto",IF(Q3660="","⚠ Falta cuenta",IF(ISNA(MATCH(Q3660,ctaNombre,0)),"⚠ Cuenta no registrada",IF(AND(OR(P3660="Gasto",P3660="Reembolso"),D3660=""),"⚠ Falta categoría",IF(AND(D3660&lt;&gt;"",E3660&lt;&gt;"",ISNA(MATCH(D3660&amp;"|"&amp;E3660,catClave,0))),"⚠ Subcategoría no corresponde",IF(AND(OR(P3660="Transferencia",P3660="Pago tarjeta"),K3660=""),"⚠ Falta cuenta destino",IF(AND(K3660&lt;&gt;"",P3660&lt;&gt;"Transferencia",P3660&lt;&gt;"Pago tarjeta"),"⚠ Destino solo aplica a transferencias",IF(AND(K3660&lt;&gt;"",K3660=Q3660),"⚠ Origen igual a destino",IF(AND(K3660&lt;&gt;"",ISNA(MATCH(K3660,ctaNombre,0))),"⚠ Destino no registrado",IF(AND(P3660="Pago tarjeta",AE3660&lt;&gt;"Tarjeta de crédito"),"⚠ El destino debe ser tarjeta de crédito",IF(AND(P3660="Gasto",E3660="Depósitos y retiros"),"⚠ Usa tipo Transferencia",IF(AND(P3660="Resultado trading",AD3660&lt;&gt;"Cuenta de trading"),"⚠ Usa una cuenta de trading",IF(AND(G3660&lt;=0,P3660&lt;&gt;"Ajuste",P3660&lt;&gt;"Resultado trading"),"⚠ El monto debe ser positivo","✓")))))))))))))))</f>
        <v/>
      </c>
      <c r="P3660" s="52">
        <f>IF(OR(B3660="",G3660=""),"",IF(C3660="","Gasto",C3660))</f>
        <v/>
      </c>
      <c r="Q3660" s="52">
        <f>IF(P3660="","",IF(J3660&lt;&gt;"",J3660,CuentaPred&amp;""))</f>
        <v/>
      </c>
      <c r="R3660" s="52">
        <f>IF(P3660="","",IF(ISNUMBER(I3660),I3660,TasaUSD))</f>
        <v/>
      </c>
      <c r="S3660" s="53">
        <f>IF(P3660="","",IF(H3660="USD",G3660*R3660,G3660))</f>
        <v/>
      </c>
      <c r="T3660" s="53">
        <f>IF(P3660="","",IF(H3660="USD",G3660,IF(R3660&gt;0,G3660/R3660,0)))</f>
        <v/>
      </c>
      <c r="U3660" s="53">
        <f>IF(P3660="","",IF(P3660="Gasto",S3660,IF(P3660="Reembolso",-S3660,0)))</f>
        <v/>
      </c>
      <c r="V3660" s="53">
        <f>IF(P3660="","",IF(P3660="Ingreso",S3660,0))</f>
        <v/>
      </c>
      <c r="W3660" s="53">
        <f>IF(P3660="","",IF(P3660="Resultado trading",S3660,0))</f>
        <v/>
      </c>
      <c r="X3660" s="52">
        <f>IF(OR(P3660="Gasto",P3660="Reembolso"),IF(M3660&lt;&gt;"",M3660,IFERROR(INDEX(catClasif,MATCH(D3660&amp;"|"&amp;E3660,catClave,0))&amp;"","Variable")),"")</f>
        <v/>
      </c>
      <c r="Y3660" s="52">
        <f>IF(P3660="","",IFERROR(INDEX(catGrupo,MATCH(D3660&amp;"|"&amp;E3660,catClave,0))&amp;"",""))</f>
        <v/>
      </c>
      <c r="Z3660" s="52">
        <f>IF(P3660="","",WEEKDAY(B3660,2))</f>
        <v/>
      </c>
      <c r="AA3660" s="52">
        <f>IF(P3660="","",IF(AND(P3660="Gasto",X3660="Variable",D3660&lt;&gt;catTrading,S3660&gt;0,S3660&lt;=Umbral),1,0))</f>
        <v/>
      </c>
      <c r="AB3660" s="52">
        <f>IF(OR(P3660="",Q3660=""),"",IFERROR(IF(INDEX(ctaVinc,MATCH(Q3660,ctaNombre,0))&amp;""&lt;&gt;"",INDEX(ctaVinc,MATCH(Q3660,ctaNombre,0))&amp;"",Q3660),Q3660))</f>
        <v/>
      </c>
      <c r="AC3660" s="52">
        <f>IF(OR(K3660="",AND(P3660&lt;&gt;"Transferencia",P3660&lt;&gt;"Pago tarjeta")),"",IFERROR(IF(INDEX(ctaVinc,MATCH(K3660,ctaNombre,0))&amp;""&lt;&gt;"",INDEX(ctaVinc,MATCH(K3660,ctaNombre,0))&amp;"",K3660),K3660))</f>
        <v/>
      </c>
      <c r="AD3660" s="52">
        <f>IF(AB3660="","",IFERROR(INDEX(ctaTipo,MATCH(AB3660,ctaNombre,0))&amp;"",""))</f>
        <v/>
      </c>
      <c r="AE3660" s="52">
        <f>IF(AC3660="","",IFERROR(INDEX(ctaTipo,MATCH(AC3660,ctaNombre,0))&amp;"",""))</f>
        <v/>
      </c>
      <c r="AF3660" s="53">
        <f>IF(OR(P3660="",AB3660=""),"",IF(OR(P3660="Gasto",P3660="Transferencia",P3660="Pago tarjeta"),-1,1)*IF(IFERROR(INDEX(ctaMoneda,MATCH(AB3660,ctaNombre,0))&amp;"","DOP")="USD",T3660,S3660))</f>
        <v/>
      </c>
      <c r="AG3660" s="53">
        <f>IF(AC3660="","",IF(IFERROR(INDEX(ctaMoneda,MATCH(AC3660,ctaNombre,0))&amp;"","DOP")="USD",T3660,S3660))</f>
        <v/>
      </c>
      <c r="AH3660" s="53">
        <f>IF(P3660="","",IF(AND(AD3660&lt;&gt;"",COUNTIFS(tcTipo,AD3660,tcLiq,"Sí")&gt;0),IF(OR(P3660="Gasto",P3660="Transferencia",P3660="Pago tarjeta"),-1,1)*S3660,0)+IF(AND(AE3660&lt;&gt;"",COUNTIFS(tcTipo,AE3660,tcLiq,"Sí")&gt;0),S3660,0))</f>
        <v/>
      </c>
      <c r="AI3660" s="52">
        <f>IF(OR(L3660="",P3660=""),"",IF(COUNTIFS(L$6:L3660,L3660,P$6:P3660,"?*")=1,MAX(AI$5:AI3659)+1,""))</f>
        <v/>
      </c>
    </row>
    <row r="3661">
      <c r="B3661" s="47" t="n"/>
      <c r="C3661" s="48" t="n"/>
      <c r="D3661" s="48" t="n"/>
      <c r="E3661" s="48" t="n"/>
      <c r="F3661" s="48" t="n"/>
      <c r="G3661" s="49" t="n"/>
      <c r="H3661" s="48" t="n"/>
      <c r="I3661" s="50" t="n"/>
      <c r="J3661" s="48" t="n"/>
      <c r="K3661" s="48" t="n"/>
      <c r="L3661" s="48" t="n"/>
      <c r="M3661" s="48" t="n"/>
      <c r="N3661" s="48" t="n"/>
      <c r="O3661" s="51">
        <f>IF(AND(B3661="",G3661="",C3661="",D3661="",J3661=""),"",IF(B3661="","⚠ Falta fecha",IF(G3661="","⚠ Falta monto",IF(Q3661="","⚠ Falta cuenta",IF(ISNA(MATCH(Q3661,ctaNombre,0)),"⚠ Cuenta no registrada",IF(AND(OR(P3661="Gasto",P3661="Reembolso"),D3661=""),"⚠ Falta categoría",IF(AND(D3661&lt;&gt;"",E3661&lt;&gt;"",ISNA(MATCH(D3661&amp;"|"&amp;E3661,catClave,0))),"⚠ Subcategoría no corresponde",IF(AND(OR(P3661="Transferencia",P3661="Pago tarjeta"),K3661=""),"⚠ Falta cuenta destino",IF(AND(K3661&lt;&gt;"",P3661&lt;&gt;"Transferencia",P3661&lt;&gt;"Pago tarjeta"),"⚠ Destino solo aplica a transferencias",IF(AND(K3661&lt;&gt;"",K3661=Q3661),"⚠ Origen igual a destino",IF(AND(K3661&lt;&gt;"",ISNA(MATCH(K3661,ctaNombre,0))),"⚠ Destino no registrado",IF(AND(P3661="Pago tarjeta",AE3661&lt;&gt;"Tarjeta de crédito"),"⚠ El destino debe ser tarjeta de crédito",IF(AND(P3661="Gasto",E3661="Depósitos y retiros"),"⚠ Usa tipo Transferencia",IF(AND(P3661="Resultado trading",AD3661&lt;&gt;"Cuenta de trading"),"⚠ Usa una cuenta de trading",IF(AND(G3661&lt;=0,P3661&lt;&gt;"Ajuste",P3661&lt;&gt;"Resultado trading"),"⚠ El monto debe ser positivo","✓")))))))))))))))</f>
        <v/>
      </c>
      <c r="P3661" s="52">
        <f>IF(OR(B3661="",G3661=""),"",IF(C3661="","Gasto",C3661))</f>
        <v/>
      </c>
      <c r="Q3661" s="52">
        <f>IF(P3661="","",IF(J3661&lt;&gt;"",J3661,CuentaPred&amp;""))</f>
        <v/>
      </c>
      <c r="R3661" s="52">
        <f>IF(P3661="","",IF(ISNUMBER(I3661),I3661,TasaUSD))</f>
        <v/>
      </c>
      <c r="S3661" s="53">
        <f>IF(P3661="","",IF(H3661="USD",G3661*R3661,G3661))</f>
        <v/>
      </c>
      <c r="T3661" s="53">
        <f>IF(P3661="","",IF(H3661="USD",G3661,IF(R3661&gt;0,G3661/R3661,0)))</f>
        <v/>
      </c>
      <c r="U3661" s="53">
        <f>IF(P3661="","",IF(P3661="Gasto",S3661,IF(P3661="Reembolso",-S3661,0)))</f>
        <v/>
      </c>
      <c r="V3661" s="53">
        <f>IF(P3661="","",IF(P3661="Ingreso",S3661,0))</f>
        <v/>
      </c>
      <c r="W3661" s="53">
        <f>IF(P3661="","",IF(P3661="Resultado trading",S3661,0))</f>
        <v/>
      </c>
      <c r="X3661" s="52">
        <f>IF(OR(P3661="Gasto",P3661="Reembolso"),IF(M3661&lt;&gt;"",M3661,IFERROR(INDEX(catClasif,MATCH(D3661&amp;"|"&amp;E3661,catClave,0))&amp;"","Variable")),"")</f>
        <v/>
      </c>
      <c r="Y3661" s="52">
        <f>IF(P3661="","",IFERROR(INDEX(catGrupo,MATCH(D3661&amp;"|"&amp;E3661,catClave,0))&amp;"",""))</f>
        <v/>
      </c>
      <c r="Z3661" s="52">
        <f>IF(P3661="","",WEEKDAY(B3661,2))</f>
        <v/>
      </c>
      <c r="AA3661" s="52">
        <f>IF(P3661="","",IF(AND(P3661="Gasto",X3661="Variable",D3661&lt;&gt;catTrading,S3661&gt;0,S3661&lt;=Umbral),1,0))</f>
        <v/>
      </c>
      <c r="AB3661" s="52">
        <f>IF(OR(P3661="",Q3661=""),"",IFERROR(IF(INDEX(ctaVinc,MATCH(Q3661,ctaNombre,0))&amp;""&lt;&gt;"",INDEX(ctaVinc,MATCH(Q3661,ctaNombre,0))&amp;"",Q3661),Q3661))</f>
        <v/>
      </c>
      <c r="AC3661" s="52">
        <f>IF(OR(K3661="",AND(P3661&lt;&gt;"Transferencia",P3661&lt;&gt;"Pago tarjeta")),"",IFERROR(IF(INDEX(ctaVinc,MATCH(K3661,ctaNombre,0))&amp;""&lt;&gt;"",INDEX(ctaVinc,MATCH(K3661,ctaNombre,0))&amp;"",K3661),K3661))</f>
        <v/>
      </c>
      <c r="AD3661" s="52">
        <f>IF(AB3661="","",IFERROR(INDEX(ctaTipo,MATCH(AB3661,ctaNombre,0))&amp;"",""))</f>
        <v/>
      </c>
      <c r="AE3661" s="52">
        <f>IF(AC3661="","",IFERROR(INDEX(ctaTipo,MATCH(AC3661,ctaNombre,0))&amp;"",""))</f>
        <v/>
      </c>
      <c r="AF3661" s="53">
        <f>IF(OR(P3661="",AB3661=""),"",IF(OR(P3661="Gasto",P3661="Transferencia",P3661="Pago tarjeta"),-1,1)*IF(IFERROR(INDEX(ctaMoneda,MATCH(AB3661,ctaNombre,0))&amp;"","DOP")="USD",T3661,S3661))</f>
        <v/>
      </c>
      <c r="AG3661" s="53">
        <f>IF(AC3661="","",IF(IFERROR(INDEX(ctaMoneda,MATCH(AC3661,ctaNombre,0))&amp;"","DOP")="USD",T3661,S3661))</f>
        <v/>
      </c>
      <c r="AH3661" s="53">
        <f>IF(P3661="","",IF(AND(AD3661&lt;&gt;"",COUNTIFS(tcTipo,AD3661,tcLiq,"Sí")&gt;0),IF(OR(P3661="Gasto",P3661="Transferencia",P3661="Pago tarjeta"),-1,1)*S3661,0)+IF(AND(AE3661&lt;&gt;"",COUNTIFS(tcTipo,AE3661,tcLiq,"Sí")&gt;0),S3661,0))</f>
        <v/>
      </c>
      <c r="AI3661" s="52">
        <f>IF(OR(L3661="",P3661=""),"",IF(COUNTIFS(L$6:L3661,L3661,P$6:P3661,"?*")=1,MAX(AI$5:AI3660)+1,""))</f>
        <v/>
      </c>
    </row>
    <row r="3662">
      <c r="B3662" s="47" t="n"/>
      <c r="C3662" s="48" t="n"/>
      <c r="D3662" s="48" t="n"/>
      <c r="E3662" s="48" t="n"/>
      <c r="F3662" s="48" t="n"/>
      <c r="G3662" s="49" t="n"/>
      <c r="H3662" s="48" t="n"/>
      <c r="I3662" s="50" t="n"/>
      <c r="J3662" s="48" t="n"/>
      <c r="K3662" s="48" t="n"/>
      <c r="L3662" s="48" t="n"/>
      <c r="M3662" s="48" t="n"/>
      <c r="N3662" s="48" t="n"/>
      <c r="O3662" s="51">
        <f>IF(AND(B3662="",G3662="",C3662="",D3662="",J3662=""),"",IF(B3662="","⚠ Falta fecha",IF(G3662="","⚠ Falta monto",IF(Q3662="","⚠ Falta cuenta",IF(ISNA(MATCH(Q3662,ctaNombre,0)),"⚠ Cuenta no registrada",IF(AND(OR(P3662="Gasto",P3662="Reembolso"),D3662=""),"⚠ Falta categoría",IF(AND(D3662&lt;&gt;"",E3662&lt;&gt;"",ISNA(MATCH(D3662&amp;"|"&amp;E3662,catClave,0))),"⚠ Subcategoría no corresponde",IF(AND(OR(P3662="Transferencia",P3662="Pago tarjeta"),K3662=""),"⚠ Falta cuenta destino",IF(AND(K3662&lt;&gt;"",P3662&lt;&gt;"Transferencia",P3662&lt;&gt;"Pago tarjeta"),"⚠ Destino solo aplica a transferencias",IF(AND(K3662&lt;&gt;"",K3662=Q3662),"⚠ Origen igual a destino",IF(AND(K3662&lt;&gt;"",ISNA(MATCH(K3662,ctaNombre,0))),"⚠ Destino no registrado",IF(AND(P3662="Pago tarjeta",AE3662&lt;&gt;"Tarjeta de crédito"),"⚠ El destino debe ser tarjeta de crédito",IF(AND(P3662="Gasto",E3662="Depósitos y retiros"),"⚠ Usa tipo Transferencia",IF(AND(P3662="Resultado trading",AD3662&lt;&gt;"Cuenta de trading"),"⚠ Usa una cuenta de trading",IF(AND(G3662&lt;=0,P3662&lt;&gt;"Ajuste",P3662&lt;&gt;"Resultado trading"),"⚠ El monto debe ser positivo","✓")))))))))))))))</f>
        <v/>
      </c>
      <c r="P3662" s="52">
        <f>IF(OR(B3662="",G3662=""),"",IF(C3662="","Gasto",C3662))</f>
        <v/>
      </c>
      <c r="Q3662" s="52">
        <f>IF(P3662="","",IF(J3662&lt;&gt;"",J3662,CuentaPred&amp;""))</f>
        <v/>
      </c>
      <c r="R3662" s="52">
        <f>IF(P3662="","",IF(ISNUMBER(I3662),I3662,TasaUSD))</f>
        <v/>
      </c>
      <c r="S3662" s="53">
        <f>IF(P3662="","",IF(H3662="USD",G3662*R3662,G3662))</f>
        <v/>
      </c>
      <c r="T3662" s="53">
        <f>IF(P3662="","",IF(H3662="USD",G3662,IF(R3662&gt;0,G3662/R3662,0)))</f>
        <v/>
      </c>
      <c r="U3662" s="53">
        <f>IF(P3662="","",IF(P3662="Gasto",S3662,IF(P3662="Reembolso",-S3662,0)))</f>
        <v/>
      </c>
      <c r="V3662" s="53">
        <f>IF(P3662="","",IF(P3662="Ingreso",S3662,0))</f>
        <v/>
      </c>
      <c r="W3662" s="53">
        <f>IF(P3662="","",IF(P3662="Resultado trading",S3662,0))</f>
        <v/>
      </c>
      <c r="X3662" s="52">
        <f>IF(OR(P3662="Gasto",P3662="Reembolso"),IF(M3662&lt;&gt;"",M3662,IFERROR(INDEX(catClasif,MATCH(D3662&amp;"|"&amp;E3662,catClave,0))&amp;"","Variable")),"")</f>
        <v/>
      </c>
      <c r="Y3662" s="52">
        <f>IF(P3662="","",IFERROR(INDEX(catGrupo,MATCH(D3662&amp;"|"&amp;E3662,catClave,0))&amp;"",""))</f>
        <v/>
      </c>
      <c r="Z3662" s="52">
        <f>IF(P3662="","",WEEKDAY(B3662,2))</f>
        <v/>
      </c>
      <c r="AA3662" s="52">
        <f>IF(P3662="","",IF(AND(P3662="Gasto",X3662="Variable",D3662&lt;&gt;catTrading,S3662&gt;0,S3662&lt;=Umbral),1,0))</f>
        <v/>
      </c>
      <c r="AB3662" s="52">
        <f>IF(OR(P3662="",Q3662=""),"",IFERROR(IF(INDEX(ctaVinc,MATCH(Q3662,ctaNombre,0))&amp;""&lt;&gt;"",INDEX(ctaVinc,MATCH(Q3662,ctaNombre,0))&amp;"",Q3662),Q3662))</f>
        <v/>
      </c>
      <c r="AC3662" s="52">
        <f>IF(OR(K3662="",AND(P3662&lt;&gt;"Transferencia",P3662&lt;&gt;"Pago tarjeta")),"",IFERROR(IF(INDEX(ctaVinc,MATCH(K3662,ctaNombre,0))&amp;""&lt;&gt;"",INDEX(ctaVinc,MATCH(K3662,ctaNombre,0))&amp;"",K3662),K3662))</f>
        <v/>
      </c>
      <c r="AD3662" s="52">
        <f>IF(AB3662="","",IFERROR(INDEX(ctaTipo,MATCH(AB3662,ctaNombre,0))&amp;"",""))</f>
        <v/>
      </c>
      <c r="AE3662" s="52">
        <f>IF(AC3662="","",IFERROR(INDEX(ctaTipo,MATCH(AC3662,ctaNombre,0))&amp;"",""))</f>
        <v/>
      </c>
      <c r="AF3662" s="53">
        <f>IF(OR(P3662="",AB3662=""),"",IF(OR(P3662="Gasto",P3662="Transferencia",P3662="Pago tarjeta"),-1,1)*IF(IFERROR(INDEX(ctaMoneda,MATCH(AB3662,ctaNombre,0))&amp;"","DOP")="USD",T3662,S3662))</f>
        <v/>
      </c>
      <c r="AG3662" s="53">
        <f>IF(AC3662="","",IF(IFERROR(INDEX(ctaMoneda,MATCH(AC3662,ctaNombre,0))&amp;"","DOP")="USD",T3662,S3662))</f>
        <v/>
      </c>
      <c r="AH3662" s="53">
        <f>IF(P3662="","",IF(AND(AD3662&lt;&gt;"",COUNTIFS(tcTipo,AD3662,tcLiq,"Sí")&gt;0),IF(OR(P3662="Gasto",P3662="Transferencia",P3662="Pago tarjeta"),-1,1)*S3662,0)+IF(AND(AE3662&lt;&gt;"",COUNTIFS(tcTipo,AE3662,tcLiq,"Sí")&gt;0),S3662,0))</f>
        <v/>
      </c>
      <c r="AI3662" s="52">
        <f>IF(OR(L3662="",P3662=""),"",IF(COUNTIFS(L$6:L3662,L3662,P$6:P3662,"?*")=1,MAX(AI$5:AI3661)+1,""))</f>
        <v/>
      </c>
    </row>
    <row r="3663">
      <c r="B3663" s="47" t="n"/>
      <c r="C3663" s="48" t="n"/>
      <c r="D3663" s="48" t="n"/>
      <c r="E3663" s="48" t="n"/>
      <c r="F3663" s="48" t="n"/>
      <c r="G3663" s="49" t="n"/>
      <c r="H3663" s="48" t="n"/>
      <c r="I3663" s="50" t="n"/>
      <c r="J3663" s="48" t="n"/>
      <c r="K3663" s="48" t="n"/>
      <c r="L3663" s="48" t="n"/>
      <c r="M3663" s="48" t="n"/>
      <c r="N3663" s="48" t="n"/>
      <c r="O3663" s="51">
        <f>IF(AND(B3663="",G3663="",C3663="",D3663="",J3663=""),"",IF(B3663="","⚠ Falta fecha",IF(G3663="","⚠ Falta monto",IF(Q3663="","⚠ Falta cuenta",IF(ISNA(MATCH(Q3663,ctaNombre,0)),"⚠ Cuenta no registrada",IF(AND(OR(P3663="Gasto",P3663="Reembolso"),D3663=""),"⚠ Falta categoría",IF(AND(D3663&lt;&gt;"",E3663&lt;&gt;"",ISNA(MATCH(D3663&amp;"|"&amp;E3663,catClave,0))),"⚠ Subcategoría no corresponde",IF(AND(OR(P3663="Transferencia",P3663="Pago tarjeta"),K3663=""),"⚠ Falta cuenta destino",IF(AND(K3663&lt;&gt;"",P3663&lt;&gt;"Transferencia",P3663&lt;&gt;"Pago tarjeta"),"⚠ Destino solo aplica a transferencias",IF(AND(K3663&lt;&gt;"",K3663=Q3663),"⚠ Origen igual a destino",IF(AND(K3663&lt;&gt;"",ISNA(MATCH(K3663,ctaNombre,0))),"⚠ Destino no registrado",IF(AND(P3663="Pago tarjeta",AE3663&lt;&gt;"Tarjeta de crédito"),"⚠ El destino debe ser tarjeta de crédito",IF(AND(P3663="Gasto",E3663="Depósitos y retiros"),"⚠ Usa tipo Transferencia",IF(AND(P3663="Resultado trading",AD3663&lt;&gt;"Cuenta de trading"),"⚠ Usa una cuenta de trading",IF(AND(G3663&lt;=0,P3663&lt;&gt;"Ajuste",P3663&lt;&gt;"Resultado trading"),"⚠ El monto debe ser positivo","✓")))))))))))))))</f>
        <v/>
      </c>
      <c r="P3663" s="52">
        <f>IF(OR(B3663="",G3663=""),"",IF(C3663="","Gasto",C3663))</f>
        <v/>
      </c>
      <c r="Q3663" s="52">
        <f>IF(P3663="","",IF(J3663&lt;&gt;"",J3663,CuentaPred&amp;""))</f>
        <v/>
      </c>
      <c r="R3663" s="52">
        <f>IF(P3663="","",IF(ISNUMBER(I3663),I3663,TasaUSD))</f>
        <v/>
      </c>
      <c r="S3663" s="53">
        <f>IF(P3663="","",IF(H3663="USD",G3663*R3663,G3663))</f>
        <v/>
      </c>
      <c r="T3663" s="53">
        <f>IF(P3663="","",IF(H3663="USD",G3663,IF(R3663&gt;0,G3663/R3663,0)))</f>
        <v/>
      </c>
      <c r="U3663" s="53">
        <f>IF(P3663="","",IF(P3663="Gasto",S3663,IF(P3663="Reembolso",-S3663,0)))</f>
        <v/>
      </c>
      <c r="V3663" s="53">
        <f>IF(P3663="","",IF(P3663="Ingreso",S3663,0))</f>
        <v/>
      </c>
      <c r="W3663" s="53">
        <f>IF(P3663="","",IF(P3663="Resultado trading",S3663,0))</f>
        <v/>
      </c>
      <c r="X3663" s="52">
        <f>IF(OR(P3663="Gasto",P3663="Reembolso"),IF(M3663&lt;&gt;"",M3663,IFERROR(INDEX(catClasif,MATCH(D3663&amp;"|"&amp;E3663,catClave,0))&amp;"","Variable")),"")</f>
        <v/>
      </c>
      <c r="Y3663" s="52">
        <f>IF(P3663="","",IFERROR(INDEX(catGrupo,MATCH(D3663&amp;"|"&amp;E3663,catClave,0))&amp;"",""))</f>
        <v/>
      </c>
      <c r="Z3663" s="52">
        <f>IF(P3663="","",WEEKDAY(B3663,2))</f>
        <v/>
      </c>
      <c r="AA3663" s="52">
        <f>IF(P3663="","",IF(AND(P3663="Gasto",X3663="Variable",D3663&lt;&gt;catTrading,S3663&gt;0,S3663&lt;=Umbral),1,0))</f>
        <v/>
      </c>
      <c r="AB3663" s="52">
        <f>IF(OR(P3663="",Q3663=""),"",IFERROR(IF(INDEX(ctaVinc,MATCH(Q3663,ctaNombre,0))&amp;""&lt;&gt;"",INDEX(ctaVinc,MATCH(Q3663,ctaNombre,0))&amp;"",Q3663),Q3663))</f>
        <v/>
      </c>
      <c r="AC3663" s="52">
        <f>IF(OR(K3663="",AND(P3663&lt;&gt;"Transferencia",P3663&lt;&gt;"Pago tarjeta")),"",IFERROR(IF(INDEX(ctaVinc,MATCH(K3663,ctaNombre,0))&amp;""&lt;&gt;"",INDEX(ctaVinc,MATCH(K3663,ctaNombre,0))&amp;"",K3663),K3663))</f>
        <v/>
      </c>
      <c r="AD3663" s="52">
        <f>IF(AB3663="","",IFERROR(INDEX(ctaTipo,MATCH(AB3663,ctaNombre,0))&amp;"",""))</f>
        <v/>
      </c>
      <c r="AE3663" s="52">
        <f>IF(AC3663="","",IFERROR(INDEX(ctaTipo,MATCH(AC3663,ctaNombre,0))&amp;"",""))</f>
        <v/>
      </c>
      <c r="AF3663" s="53">
        <f>IF(OR(P3663="",AB3663=""),"",IF(OR(P3663="Gasto",P3663="Transferencia",P3663="Pago tarjeta"),-1,1)*IF(IFERROR(INDEX(ctaMoneda,MATCH(AB3663,ctaNombre,0))&amp;"","DOP")="USD",T3663,S3663))</f>
        <v/>
      </c>
      <c r="AG3663" s="53">
        <f>IF(AC3663="","",IF(IFERROR(INDEX(ctaMoneda,MATCH(AC3663,ctaNombre,0))&amp;"","DOP")="USD",T3663,S3663))</f>
        <v/>
      </c>
      <c r="AH3663" s="53">
        <f>IF(P3663="","",IF(AND(AD3663&lt;&gt;"",COUNTIFS(tcTipo,AD3663,tcLiq,"Sí")&gt;0),IF(OR(P3663="Gasto",P3663="Transferencia",P3663="Pago tarjeta"),-1,1)*S3663,0)+IF(AND(AE3663&lt;&gt;"",COUNTIFS(tcTipo,AE3663,tcLiq,"Sí")&gt;0),S3663,0))</f>
        <v/>
      </c>
      <c r="AI3663" s="52">
        <f>IF(OR(L3663="",P3663=""),"",IF(COUNTIFS(L$6:L3663,L3663,P$6:P3663,"?*")=1,MAX(AI$5:AI3662)+1,""))</f>
        <v/>
      </c>
    </row>
    <row r="3664">
      <c r="B3664" s="47" t="n"/>
      <c r="C3664" s="48" t="n"/>
      <c r="D3664" s="48" t="n"/>
      <c r="E3664" s="48" t="n"/>
      <c r="F3664" s="48" t="n"/>
      <c r="G3664" s="49" t="n"/>
      <c r="H3664" s="48" t="n"/>
      <c r="I3664" s="50" t="n"/>
      <c r="J3664" s="48" t="n"/>
      <c r="K3664" s="48" t="n"/>
      <c r="L3664" s="48" t="n"/>
      <c r="M3664" s="48" t="n"/>
      <c r="N3664" s="48" t="n"/>
      <c r="O3664" s="51">
        <f>IF(AND(B3664="",G3664="",C3664="",D3664="",J3664=""),"",IF(B3664="","⚠ Falta fecha",IF(G3664="","⚠ Falta monto",IF(Q3664="","⚠ Falta cuenta",IF(ISNA(MATCH(Q3664,ctaNombre,0)),"⚠ Cuenta no registrada",IF(AND(OR(P3664="Gasto",P3664="Reembolso"),D3664=""),"⚠ Falta categoría",IF(AND(D3664&lt;&gt;"",E3664&lt;&gt;"",ISNA(MATCH(D3664&amp;"|"&amp;E3664,catClave,0))),"⚠ Subcategoría no corresponde",IF(AND(OR(P3664="Transferencia",P3664="Pago tarjeta"),K3664=""),"⚠ Falta cuenta destino",IF(AND(K3664&lt;&gt;"",P3664&lt;&gt;"Transferencia",P3664&lt;&gt;"Pago tarjeta"),"⚠ Destino solo aplica a transferencias",IF(AND(K3664&lt;&gt;"",K3664=Q3664),"⚠ Origen igual a destino",IF(AND(K3664&lt;&gt;"",ISNA(MATCH(K3664,ctaNombre,0))),"⚠ Destino no registrado",IF(AND(P3664="Pago tarjeta",AE3664&lt;&gt;"Tarjeta de crédito"),"⚠ El destino debe ser tarjeta de crédito",IF(AND(P3664="Gasto",E3664="Depósitos y retiros"),"⚠ Usa tipo Transferencia",IF(AND(P3664="Resultado trading",AD3664&lt;&gt;"Cuenta de trading"),"⚠ Usa una cuenta de trading",IF(AND(G3664&lt;=0,P3664&lt;&gt;"Ajuste",P3664&lt;&gt;"Resultado trading"),"⚠ El monto debe ser positivo","✓")))))))))))))))</f>
        <v/>
      </c>
      <c r="P3664" s="52">
        <f>IF(OR(B3664="",G3664=""),"",IF(C3664="","Gasto",C3664))</f>
        <v/>
      </c>
      <c r="Q3664" s="52">
        <f>IF(P3664="","",IF(J3664&lt;&gt;"",J3664,CuentaPred&amp;""))</f>
        <v/>
      </c>
      <c r="R3664" s="52">
        <f>IF(P3664="","",IF(ISNUMBER(I3664),I3664,TasaUSD))</f>
        <v/>
      </c>
      <c r="S3664" s="53">
        <f>IF(P3664="","",IF(H3664="USD",G3664*R3664,G3664))</f>
        <v/>
      </c>
      <c r="T3664" s="53">
        <f>IF(P3664="","",IF(H3664="USD",G3664,IF(R3664&gt;0,G3664/R3664,0)))</f>
        <v/>
      </c>
      <c r="U3664" s="53">
        <f>IF(P3664="","",IF(P3664="Gasto",S3664,IF(P3664="Reembolso",-S3664,0)))</f>
        <v/>
      </c>
      <c r="V3664" s="53">
        <f>IF(P3664="","",IF(P3664="Ingreso",S3664,0))</f>
        <v/>
      </c>
      <c r="W3664" s="53">
        <f>IF(P3664="","",IF(P3664="Resultado trading",S3664,0))</f>
        <v/>
      </c>
      <c r="X3664" s="52">
        <f>IF(OR(P3664="Gasto",P3664="Reembolso"),IF(M3664&lt;&gt;"",M3664,IFERROR(INDEX(catClasif,MATCH(D3664&amp;"|"&amp;E3664,catClave,0))&amp;"","Variable")),"")</f>
        <v/>
      </c>
      <c r="Y3664" s="52">
        <f>IF(P3664="","",IFERROR(INDEX(catGrupo,MATCH(D3664&amp;"|"&amp;E3664,catClave,0))&amp;"",""))</f>
        <v/>
      </c>
      <c r="Z3664" s="52">
        <f>IF(P3664="","",WEEKDAY(B3664,2))</f>
        <v/>
      </c>
      <c r="AA3664" s="52">
        <f>IF(P3664="","",IF(AND(P3664="Gasto",X3664="Variable",D3664&lt;&gt;catTrading,S3664&gt;0,S3664&lt;=Umbral),1,0))</f>
        <v/>
      </c>
      <c r="AB3664" s="52">
        <f>IF(OR(P3664="",Q3664=""),"",IFERROR(IF(INDEX(ctaVinc,MATCH(Q3664,ctaNombre,0))&amp;""&lt;&gt;"",INDEX(ctaVinc,MATCH(Q3664,ctaNombre,0))&amp;"",Q3664),Q3664))</f>
        <v/>
      </c>
      <c r="AC3664" s="52">
        <f>IF(OR(K3664="",AND(P3664&lt;&gt;"Transferencia",P3664&lt;&gt;"Pago tarjeta")),"",IFERROR(IF(INDEX(ctaVinc,MATCH(K3664,ctaNombre,0))&amp;""&lt;&gt;"",INDEX(ctaVinc,MATCH(K3664,ctaNombre,0))&amp;"",K3664),K3664))</f>
        <v/>
      </c>
      <c r="AD3664" s="52">
        <f>IF(AB3664="","",IFERROR(INDEX(ctaTipo,MATCH(AB3664,ctaNombre,0))&amp;"",""))</f>
        <v/>
      </c>
      <c r="AE3664" s="52">
        <f>IF(AC3664="","",IFERROR(INDEX(ctaTipo,MATCH(AC3664,ctaNombre,0))&amp;"",""))</f>
        <v/>
      </c>
      <c r="AF3664" s="53">
        <f>IF(OR(P3664="",AB3664=""),"",IF(OR(P3664="Gasto",P3664="Transferencia",P3664="Pago tarjeta"),-1,1)*IF(IFERROR(INDEX(ctaMoneda,MATCH(AB3664,ctaNombre,0))&amp;"","DOP")="USD",T3664,S3664))</f>
        <v/>
      </c>
      <c r="AG3664" s="53">
        <f>IF(AC3664="","",IF(IFERROR(INDEX(ctaMoneda,MATCH(AC3664,ctaNombre,0))&amp;"","DOP")="USD",T3664,S3664))</f>
        <v/>
      </c>
      <c r="AH3664" s="53">
        <f>IF(P3664="","",IF(AND(AD3664&lt;&gt;"",COUNTIFS(tcTipo,AD3664,tcLiq,"Sí")&gt;0),IF(OR(P3664="Gasto",P3664="Transferencia",P3664="Pago tarjeta"),-1,1)*S3664,0)+IF(AND(AE3664&lt;&gt;"",COUNTIFS(tcTipo,AE3664,tcLiq,"Sí")&gt;0),S3664,0))</f>
        <v/>
      </c>
      <c r="AI3664" s="52">
        <f>IF(OR(L3664="",P3664=""),"",IF(COUNTIFS(L$6:L3664,L3664,P$6:P3664,"?*")=1,MAX(AI$5:AI3663)+1,""))</f>
        <v/>
      </c>
    </row>
    <row r="3665">
      <c r="B3665" s="47" t="n"/>
      <c r="C3665" s="48" t="n"/>
      <c r="D3665" s="48" t="n"/>
      <c r="E3665" s="48" t="n"/>
      <c r="F3665" s="48" t="n"/>
      <c r="G3665" s="49" t="n"/>
      <c r="H3665" s="48" t="n"/>
      <c r="I3665" s="50" t="n"/>
      <c r="J3665" s="48" t="n"/>
      <c r="K3665" s="48" t="n"/>
      <c r="L3665" s="48" t="n"/>
      <c r="M3665" s="48" t="n"/>
      <c r="N3665" s="48" t="n"/>
      <c r="O3665" s="51">
        <f>IF(AND(B3665="",G3665="",C3665="",D3665="",J3665=""),"",IF(B3665="","⚠ Falta fecha",IF(G3665="","⚠ Falta monto",IF(Q3665="","⚠ Falta cuenta",IF(ISNA(MATCH(Q3665,ctaNombre,0)),"⚠ Cuenta no registrada",IF(AND(OR(P3665="Gasto",P3665="Reembolso"),D3665=""),"⚠ Falta categoría",IF(AND(D3665&lt;&gt;"",E3665&lt;&gt;"",ISNA(MATCH(D3665&amp;"|"&amp;E3665,catClave,0))),"⚠ Subcategoría no corresponde",IF(AND(OR(P3665="Transferencia",P3665="Pago tarjeta"),K3665=""),"⚠ Falta cuenta destino",IF(AND(K3665&lt;&gt;"",P3665&lt;&gt;"Transferencia",P3665&lt;&gt;"Pago tarjeta"),"⚠ Destino solo aplica a transferencias",IF(AND(K3665&lt;&gt;"",K3665=Q3665),"⚠ Origen igual a destino",IF(AND(K3665&lt;&gt;"",ISNA(MATCH(K3665,ctaNombre,0))),"⚠ Destino no registrado",IF(AND(P3665="Pago tarjeta",AE3665&lt;&gt;"Tarjeta de crédito"),"⚠ El destino debe ser tarjeta de crédito",IF(AND(P3665="Gasto",E3665="Depósitos y retiros"),"⚠ Usa tipo Transferencia",IF(AND(P3665="Resultado trading",AD3665&lt;&gt;"Cuenta de trading"),"⚠ Usa una cuenta de trading",IF(AND(G3665&lt;=0,P3665&lt;&gt;"Ajuste",P3665&lt;&gt;"Resultado trading"),"⚠ El monto debe ser positivo","✓")))))))))))))))</f>
        <v/>
      </c>
      <c r="P3665" s="52">
        <f>IF(OR(B3665="",G3665=""),"",IF(C3665="","Gasto",C3665))</f>
        <v/>
      </c>
      <c r="Q3665" s="52">
        <f>IF(P3665="","",IF(J3665&lt;&gt;"",J3665,CuentaPred&amp;""))</f>
        <v/>
      </c>
      <c r="R3665" s="52">
        <f>IF(P3665="","",IF(ISNUMBER(I3665),I3665,TasaUSD))</f>
        <v/>
      </c>
      <c r="S3665" s="53">
        <f>IF(P3665="","",IF(H3665="USD",G3665*R3665,G3665))</f>
        <v/>
      </c>
      <c r="T3665" s="53">
        <f>IF(P3665="","",IF(H3665="USD",G3665,IF(R3665&gt;0,G3665/R3665,0)))</f>
        <v/>
      </c>
      <c r="U3665" s="53">
        <f>IF(P3665="","",IF(P3665="Gasto",S3665,IF(P3665="Reembolso",-S3665,0)))</f>
        <v/>
      </c>
      <c r="V3665" s="53">
        <f>IF(P3665="","",IF(P3665="Ingreso",S3665,0))</f>
        <v/>
      </c>
      <c r="W3665" s="53">
        <f>IF(P3665="","",IF(P3665="Resultado trading",S3665,0))</f>
        <v/>
      </c>
      <c r="X3665" s="52">
        <f>IF(OR(P3665="Gasto",P3665="Reembolso"),IF(M3665&lt;&gt;"",M3665,IFERROR(INDEX(catClasif,MATCH(D3665&amp;"|"&amp;E3665,catClave,0))&amp;"","Variable")),"")</f>
        <v/>
      </c>
      <c r="Y3665" s="52">
        <f>IF(P3665="","",IFERROR(INDEX(catGrupo,MATCH(D3665&amp;"|"&amp;E3665,catClave,0))&amp;"",""))</f>
        <v/>
      </c>
      <c r="Z3665" s="52">
        <f>IF(P3665="","",WEEKDAY(B3665,2))</f>
        <v/>
      </c>
      <c r="AA3665" s="52">
        <f>IF(P3665="","",IF(AND(P3665="Gasto",X3665="Variable",D3665&lt;&gt;catTrading,S3665&gt;0,S3665&lt;=Umbral),1,0))</f>
        <v/>
      </c>
      <c r="AB3665" s="52">
        <f>IF(OR(P3665="",Q3665=""),"",IFERROR(IF(INDEX(ctaVinc,MATCH(Q3665,ctaNombre,0))&amp;""&lt;&gt;"",INDEX(ctaVinc,MATCH(Q3665,ctaNombre,0))&amp;"",Q3665),Q3665))</f>
        <v/>
      </c>
      <c r="AC3665" s="52">
        <f>IF(OR(K3665="",AND(P3665&lt;&gt;"Transferencia",P3665&lt;&gt;"Pago tarjeta")),"",IFERROR(IF(INDEX(ctaVinc,MATCH(K3665,ctaNombre,0))&amp;""&lt;&gt;"",INDEX(ctaVinc,MATCH(K3665,ctaNombre,0))&amp;"",K3665),K3665))</f>
        <v/>
      </c>
      <c r="AD3665" s="52">
        <f>IF(AB3665="","",IFERROR(INDEX(ctaTipo,MATCH(AB3665,ctaNombre,0))&amp;"",""))</f>
        <v/>
      </c>
      <c r="AE3665" s="52">
        <f>IF(AC3665="","",IFERROR(INDEX(ctaTipo,MATCH(AC3665,ctaNombre,0))&amp;"",""))</f>
        <v/>
      </c>
      <c r="AF3665" s="53">
        <f>IF(OR(P3665="",AB3665=""),"",IF(OR(P3665="Gasto",P3665="Transferencia",P3665="Pago tarjeta"),-1,1)*IF(IFERROR(INDEX(ctaMoneda,MATCH(AB3665,ctaNombre,0))&amp;"","DOP")="USD",T3665,S3665))</f>
        <v/>
      </c>
      <c r="AG3665" s="53">
        <f>IF(AC3665="","",IF(IFERROR(INDEX(ctaMoneda,MATCH(AC3665,ctaNombre,0))&amp;"","DOP")="USD",T3665,S3665))</f>
        <v/>
      </c>
      <c r="AH3665" s="53">
        <f>IF(P3665="","",IF(AND(AD3665&lt;&gt;"",COUNTIFS(tcTipo,AD3665,tcLiq,"Sí")&gt;0),IF(OR(P3665="Gasto",P3665="Transferencia",P3665="Pago tarjeta"),-1,1)*S3665,0)+IF(AND(AE3665&lt;&gt;"",COUNTIFS(tcTipo,AE3665,tcLiq,"Sí")&gt;0),S3665,0))</f>
        <v/>
      </c>
      <c r="AI3665" s="52">
        <f>IF(OR(L3665="",P3665=""),"",IF(COUNTIFS(L$6:L3665,L3665,P$6:P3665,"?*")=1,MAX(AI$5:AI3664)+1,""))</f>
        <v/>
      </c>
    </row>
    <row r="3666">
      <c r="B3666" s="47" t="n"/>
      <c r="C3666" s="48" t="n"/>
      <c r="D3666" s="48" t="n"/>
      <c r="E3666" s="48" t="n"/>
      <c r="F3666" s="48" t="n"/>
      <c r="G3666" s="49" t="n"/>
      <c r="H3666" s="48" t="n"/>
      <c r="I3666" s="50" t="n"/>
      <c r="J3666" s="48" t="n"/>
      <c r="K3666" s="48" t="n"/>
      <c r="L3666" s="48" t="n"/>
      <c r="M3666" s="48" t="n"/>
      <c r="N3666" s="48" t="n"/>
      <c r="O3666" s="51">
        <f>IF(AND(B3666="",G3666="",C3666="",D3666="",J3666=""),"",IF(B3666="","⚠ Falta fecha",IF(G3666="","⚠ Falta monto",IF(Q3666="","⚠ Falta cuenta",IF(ISNA(MATCH(Q3666,ctaNombre,0)),"⚠ Cuenta no registrada",IF(AND(OR(P3666="Gasto",P3666="Reembolso"),D3666=""),"⚠ Falta categoría",IF(AND(D3666&lt;&gt;"",E3666&lt;&gt;"",ISNA(MATCH(D3666&amp;"|"&amp;E3666,catClave,0))),"⚠ Subcategoría no corresponde",IF(AND(OR(P3666="Transferencia",P3666="Pago tarjeta"),K3666=""),"⚠ Falta cuenta destino",IF(AND(K3666&lt;&gt;"",P3666&lt;&gt;"Transferencia",P3666&lt;&gt;"Pago tarjeta"),"⚠ Destino solo aplica a transferencias",IF(AND(K3666&lt;&gt;"",K3666=Q3666),"⚠ Origen igual a destino",IF(AND(K3666&lt;&gt;"",ISNA(MATCH(K3666,ctaNombre,0))),"⚠ Destino no registrado",IF(AND(P3666="Pago tarjeta",AE3666&lt;&gt;"Tarjeta de crédito"),"⚠ El destino debe ser tarjeta de crédito",IF(AND(P3666="Gasto",E3666="Depósitos y retiros"),"⚠ Usa tipo Transferencia",IF(AND(P3666="Resultado trading",AD3666&lt;&gt;"Cuenta de trading"),"⚠ Usa una cuenta de trading",IF(AND(G3666&lt;=0,P3666&lt;&gt;"Ajuste",P3666&lt;&gt;"Resultado trading"),"⚠ El monto debe ser positivo","✓")))))))))))))))</f>
        <v/>
      </c>
      <c r="P3666" s="52">
        <f>IF(OR(B3666="",G3666=""),"",IF(C3666="","Gasto",C3666))</f>
        <v/>
      </c>
      <c r="Q3666" s="52">
        <f>IF(P3666="","",IF(J3666&lt;&gt;"",J3666,CuentaPred&amp;""))</f>
        <v/>
      </c>
      <c r="R3666" s="52">
        <f>IF(P3666="","",IF(ISNUMBER(I3666),I3666,TasaUSD))</f>
        <v/>
      </c>
      <c r="S3666" s="53">
        <f>IF(P3666="","",IF(H3666="USD",G3666*R3666,G3666))</f>
        <v/>
      </c>
      <c r="T3666" s="53">
        <f>IF(P3666="","",IF(H3666="USD",G3666,IF(R3666&gt;0,G3666/R3666,0)))</f>
        <v/>
      </c>
      <c r="U3666" s="53">
        <f>IF(P3666="","",IF(P3666="Gasto",S3666,IF(P3666="Reembolso",-S3666,0)))</f>
        <v/>
      </c>
      <c r="V3666" s="53">
        <f>IF(P3666="","",IF(P3666="Ingreso",S3666,0))</f>
        <v/>
      </c>
      <c r="W3666" s="53">
        <f>IF(P3666="","",IF(P3666="Resultado trading",S3666,0))</f>
        <v/>
      </c>
      <c r="X3666" s="52">
        <f>IF(OR(P3666="Gasto",P3666="Reembolso"),IF(M3666&lt;&gt;"",M3666,IFERROR(INDEX(catClasif,MATCH(D3666&amp;"|"&amp;E3666,catClave,0))&amp;"","Variable")),"")</f>
        <v/>
      </c>
      <c r="Y3666" s="52">
        <f>IF(P3666="","",IFERROR(INDEX(catGrupo,MATCH(D3666&amp;"|"&amp;E3666,catClave,0))&amp;"",""))</f>
        <v/>
      </c>
      <c r="Z3666" s="52">
        <f>IF(P3666="","",WEEKDAY(B3666,2))</f>
        <v/>
      </c>
      <c r="AA3666" s="52">
        <f>IF(P3666="","",IF(AND(P3666="Gasto",X3666="Variable",D3666&lt;&gt;catTrading,S3666&gt;0,S3666&lt;=Umbral),1,0))</f>
        <v/>
      </c>
      <c r="AB3666" s="52">
        <f>IF(OR(P3666="",Q3666=""),"",IFERROR(IF(INDEX(ctaVinc,MATCH(Q3666,ctaNombre,0))&amp;""&lt;&gt;"",INDEX(ctaVinc,MATCH(Q3666,ctaNombre,0))&amp;"",Q3666),Q3666))</f>
        <v/>
      </c>
      <c r="AC3666" s="52">
        <f>IF(OR(K3666="",AND(P3666&lt;&gt;"Transferencia",P3666&lt;&gt;"Pago tarjeta")),"",IFERROR(IF(INDEX(ctaVinc,MATCH(K3666,ctaNombre,0))&amp;""&lt;&gt;"",INDEX(ctaVinc,MATCH(K3666,ctaNombre,0))&amp;"",K3666),K3666))</f>
        <v/>
      </c>
      <c r="AD3666" s="52">
        <f>IF(AB3666="","",IFERROR(INDEX(ctaTipo,MATCH(AB3666,ctaNombre,0))&amp;"",""))</f>
        <v/>
      </c>
      <c r="AE3666" s="52">
        <f>IF(AC3666="","",IFERROR(INDEX(ctaTipo,MATCH(AC3666,ctaNombre,0))&amp;"",""))</f>
        <v/>
      </c>
      <c r="AF3666" s="53">
        <f>IF(OR(P3666="",AB3666=""),"",IF(OR(P3666="Gasto",P3666="Transferencia",P3666="Pago tarjeta"),-1,1)*IF(IFERROR(INDEX(ctaMoneda,MATCH(AB3666,ctaNombre,0))&amp;"","DOP")="USD",T3666,S3666))</f>
        <v/>
      </c>
      <c r="AG3666" s="53">
        <f>IF(AC3666="","",IF(IFERROR(INDEX(ctaMoneda,MATCH(AC3666,ctaNombre,0))&amp;"","DOP")="USD",T3666,S3666))</f>
        <v/>
      </c>
      <c r="AH3666" s="53">
        <f>IF(P3666="","",IF(AND(AD3666&lt;&gt;"",COUNTIFS(tcTipo,AD3666,tcLiq,"Sí")&gt;0),IF(OR(P3666="Gasto",P3666="Transferencia",P3666="Pago tarjeta"),-1,1)*S3666,0)+IF(AND(AE3666&lt;&gt;"",COUNTIFS(tcTipo,AE3666,tcLiq,"Sí")&gt;0),S3666,0))</f>
        <v/>
      </c>
      <c r="AI3666" s="52">
        <f>IF(OR(L3666="",P3666=""),"",IF(COUNTIFS(L$6:L3666,L3666,P$6:P3666,"?*")=1,MAX(AI$5:AI3665)+1,""))</f>
        <v/>
      </c>
    </row>
    <row r="3667">
      <c r="B3667" s="47" t="n"/>
      <c r="C3667" s="48" t="n"/>
      <c r="D3667" s="48" t="n"/>
      <c r="E3667" s="48" t="n"/>
      <c r="F3667" s="48" t="n"/>
      <c r="G3667" s="49" t="n"/>
      <c r="H3667" s="48" t="n"/>
      <c r="I3667" s="50" t="n"/>
      <c r="J3667" s="48" t="n"/>
      <c r="K3667" s="48" t="n"/>
      <c r="L3667" s="48" t="n"/>
      <c r="M3667" s="48" t="n"/>
      <c r="N3667" s="48" t="n"/>
      <c r="O3667" s="51">
        <f>IF(AND(B3667="",G3667="",C3667="",D3667="",J3667=""),"",IF(B3667="","⚠ Falta fecha",IF(G3667="","⚠ Falta monto",IF(Q3667="","⚠ Falta cuenta",IF(ISNA(MATCH(Q3667,ctaNombre,0)),"⚠ Cuenta no registrada",IF(AND(OR(P3667="Gasto",P3667="Reembolso"),D3667=""),"⚠ Falta categoría",IF(AND(D3667&lt;&gt;"",E3667&lt;&gt;"",ISNA(MATCH(D3667&amp;"|"&amp;E3667,catClave,0))),"⚠ Subcategoría no corresponde",IF(AND(OR(P3667="Transferencia",P3667="Pago tarjeta"),K3667=""),"⚠ Falta cuenta destino",IF(AND(K3667&lt;&gt;"",P3667&lt;&gt;"Transferencia",P3667&lt;&gt;"Pago tarjeta"),"⚠ Destino solo aplica a transferencias",IF(AND(K3667&lt;&gt;"",K3667=Q3667),"⚠ Origen igual a destino",IF(AND(K3667&lt;&gt;"",ISNA(MATCH(K3667,ctaNombre,0))),"⚠ Destino no registrado",IF(AND(P3667="Pago tarjeta",AE3667&lt;&gt;"Tarjeta de crédito"),"⚠ El destino debe ser tarjeta de crédito",IF(AND(P3667="Gasto",E3667="Depósitos y retiros"),"⚠ Usa tipo Transferencia",IF(AND(P3667="Resultado trading",AD3667&lt;&gt;"Cuenta de trading"),"⚠ Usa una cuenta de trading",IF(AND(G3667&lt;=0,P3667&lt;&gt;"Ajuste",P3667&lt;&gt;"Resultado trading"),"⚠ El monto debe ser positivo","✓")))))))))))))))</f>
        <v/>
      </c>
      <c r="P3667" s="52">
        <f>IF(OR(B3667="",G3667=""),"",IF(C3667="","Gasto",C3667))</f>
        <v/>
      </c>
      <c r="Q3667" s="52">
        <f>IF(P3667="","",IF(J3667&lt;&gt;"",J3667,CuentaPred&amp;""))</f>
        <v/>
      </c>
      <c r="R3667" s="52">
        <f>IF(P3667="","",IF(ISNUMBER(I3667),I3667,TasaUSD))</f>
        <v/>
      </c>
      <c r="S3667" s="53">
        <f>IF(P3667="","",IF(H3667="USD",G3667*R3667,G3667))</f>
        <v/>
      </c>
      <c r="T3667" s="53">
        <f>IF(P3667="","",IF(H3667="USD",G3667,IF(R3667&gt;0,G3667/R3667,0)))</f>
        <v/>
      </c>
      <c r="U3667" s="53">
        <f>IF(P3667="","",IF(P3667="Gasto",S3667,IF(P3667="Reembolso",-S3667,0)))</f>
        <v/>
      </c>
      <c r="V3667" s="53">
        <f>IF(P3667="","",IF(P3667="Ingreso",S3667,0))</f>
        <v/>
      </c>
      <c r="W3667" s="53">
        <f>IF(P3667="","",IF(P3667="Resultado trading",S3667,0))</f>
        <v/>
      </c>
      <c r="X3667" s="52">
        <f>IF(OR(P3667="Gasto",P3667="Reembolso"),IF(M3667&lt;&gt;"",M3667,IFERROR(INDEX(catClasif,MATCH(D3667&amp;"|"&amp;E3667,catClave,0))&amp;"","Variable")),"")</f>
        <v/>
      </c>
      <c r="Y3667" s="52">
        <f>IF(P3667="","",IFERROR(INDEX(catGrupo,MATCH(D3667&amp;"|"&amp;E3667,catClave,0))&amp;"",""))</f>
        <v/>
      </c>
      <c r="Z3667" s="52">
        <f>IF(P3667="","",WEEKDAY(B3667,2))</f>
        <v/>
      </c>
      <c r="AA3667" s="52">
        <f>IF(P3667="","",IF(AND(P3667="Gasto",X3667="Variable",D3667&lt;&gt;catTrading,S3667&gt;0,S3667&lt;=Umbral),1,0))</f>
        <v/>
      </c>
      <c r="AB3667" s="52">
        <f>IF(OR(P3667="",Q3667=""),"",IFERROR(IF(INDEX(ctaVinc,MATCH(Q3667,ctaNombre,0))&amp;""&lt;&gt;"",INDEX(ctaVinc,MATCH(Q3667,ctaNombre,0))&amp;"",Q3667),Q3667))</f>
        <v/>
      </c>
      <c r="AC3667" s="52">
        <f>IF(OR(K3667="",AND(P3667&lt;&gt;"Transferencia",P3667&lt;&gt;"Pago tarjeta")),"",IFERROR(IF(INDEX(ctaVinc,MATCH(K3667,ctaNombre,0))&amp;""&lt;&gt;"",INDEX(ctaVinc,MATCH(K3667,ctaNombre,0))&amp;"",K3667),K3667))</f>
        <v/>
      </c>
      <c r="AD3667" s="52">
        <f>IF(AB3667="","",IFERROR(INDEX(ctaTipo,MATCH(AB3667,ctaNombre,0))&amp;"",""))</f>
        <v/>
      </c>
      <c r="AE3667" s="52">
        <f>IF(AC3667="","",IFERROR(INDEX(ctaTipo,MATCH(AC3667,ctaNombre,0))&amp;"",""))</f>
        <v/>
      </c>
      <c r="AF3667" s="53">
        <f>IF(OR(P3667="",AB3667=""),"",IF(OR(P3667="Gasto",P3667="Transferencia",P3667="Pago tarjeta"),-1,1)*IF(IFERROR(INDEX(ctaMoneda,MATCH(AB3667,ctaNombre,0))&amp;"","DOP")="USD",T3667,S3667))</f>
        <v/>
      </c>
      <c r="AG3667" s="53">
        <f>IF(AC3667="","",IF(IFERROR(INDEX(ctaMoneda,MATCH(AC3667,ctaNombre,0))&amp;"","DOP")="USD",T3667,S3667))</f>
        <v/>
      </c>
      <c r="AH3667" s="53">
        <f>IF(P3667="","",IF(AND(AD3667&lt;&gt;"",COUNTIFS(tcTipo,AD3667,tcLiq,"Sí")&gt;0),IF(OR(P3667="Gasto",P3667="Transferencia",P3667="Pago tarjeta"),-1,1)*S3667,0)+IF(AND(AE3667&lt;&gt;"",COUNTIFS(tcTipo,AE3667,tcLiq,"Sí")&gt;0),S3667,0))</f>
        <v/>
      </c>
      <c r="AI3667" s="52">
        <f>IF(OR(L3667="",P3667=""),"",IF(COUNTIFS(L$6:L3667,L3667,P$6:P3667,"?*")=1,MAX(AI$5:AI3666)+1,""))</f>
        <v/>
      </c>
    </row>
    <row r="3668">
      <c r="B3668" s="47" t="n"/>
      <c r="C3668" s="48" t="n"/>
      <c r="D3668" s="48" t="n"/>
      <c r="E3668" s="48" t="n"/>
      <c r="F3668" s="48" t="n"/>
      <c r="G3668" s="49" t="n"/>
      <c r="H3668" s="48" t="n"/>
      <c r="I3668" s="50" t="n"/>
      <c r="J3668" s="48" t="n"/>
      <c r="K3668" s="48" t="n"/>
      <c r="L3668" s="48" t="n"/>
      <c r="M3668" s="48" t="n"/>
      <c r="N3668" s="48" t="n"/>
      <c r="O3668" s="51">
        <f>IF(AND(B3668="",G3668="",C3668="",D3668="",J3668=""),"",IF(B3668="","⚠ Falta fecha",IF(G3668="","⚠ Falta monto",IF(Q3668="","⚠ Falta cuenta",IF(ISNA(MATCH(Q3668,ctaNombre,0)),"⚠ Cuenta no registrada",IF(AND(OR(P3668="Gasto",P3668="Reembolso"),D3668=""),"⚠ Falta categoría",IF(AND(D3668&lt;&gt;"",E3668&lt;&gt;"",ISNA(MATCH(D3668&amp;"|"&amp;E3668,catClave,0))),"⚠ Subcategoría no corresponde",IF(AND(OR(P3668="Transferencia",P3668="Pago tarjeta"),K3668=""),"⚠ Falta cuenta destino",IF(AND(K3668&lt;&gt;"",P3668&lt;&gt;"Transferencia",P3668&lt;&gt;"Pago tarjeta"),"⚠ Destino solo aplica a transferencias",IF(AND(K3668&lt;&gt;"",K3668=Q3668),"⚠ Origen igual a destino",IF(AND(K3668&lt;&gt;"",ISNA(MATCH(K3668,ctaNombre,0))),"⚠ Destino no registrado",IF(AND(P3668="Pago tarjeta",AE3668&lt;&gt;"Tarjeta de crédito"),"⚠ El destino debe ser tarjeta de crédito",IF(AND(P3668="Gasto",E3668="Depósitos y retiros"),"⚠ Usa tipo Transferencia",IF(AND(P3668="Resultado trading",AD3668&lt;&gt;"Cuenta de trading"),"⚠ Usa una cuenta de trading",IF(AND(G3668&lt;=0,P3668&lt;&gt;"Ajuste",P3668&lt;&gt;"Resultado trading"),"⚠ El monto debe ser positivo","✓")))))))))))))))</f>
        <v/>
      </c>
      <c r="P3668" s="52">
        <f>IF(OR(B3668="",G3668=""),"",IF(C3668="","Gasto",C3668))</f>
        <v/>
      </c>
      <c r="Q3668" s="52">
        <f>IF(P3668="","",IF(J3668&lt;&gt;"",J3668,CuentaPred&amp;""))</f>
        <v/>
      </c>
      <c r="R3668" s="52">
        <f>IF(P3668="","",IF(ISNUMBER(I3668),I3668,TasaUSD))</f>
        <v/>
      </c>
      <c r="S3668" s="53">
        <f>IF(P3668="","",IF(H3668="USD",G3668*R3668,G3668))</f>
        <v/>
      </c>
      <c r="T3668" s="53">
        <f>IF(P3668="","",IF(H3668="USD",G3668,IF(R3668&gt;0,G3668/R3668,0)))</f>
        <v/>
      </c>
      <c r="U3668" s="53">
        <f>IF(P3668="","",IF(P3668="Gasto",S3668,IF(P3668="Reembolso",-S3668,0)))</f>
        <v/>
      </c>
      <c r="V3668" s="53">
        <f>IF(P3668="","",IF(P3668="Ingreso",S3668,0))</f>
        <v/>
      </c>
      <c r="W3668" s="53">
        <f>IF(P3668="","",IF(P3668="Resultado trading",S3668,0))</f>
        <v/>
      </c>
      <c r="X3668" s="52">
        <f>IF(OR(P3668="Gasto",P3668="Reembolso"),IF(M3668&lt;&gt;"",M3668,IFERROR(INDEX(catClasif,MATCH(D3668&amp;"|"&amp;E3668,catClave,0))&amp;"","Variable")),"")</f>
        <v/>
      </c>
      <c r="Y3668" s="52">
        <f>IF(P3668="","",IFERROR(INDEX(catGrupo,MATCH(D3668&amp;"|"&amp;E3668,catClave,0))&amp;"",""))</f>
        <v/>
      </c>
      <c r="Z3668" s="52">
        <f>IF(P3668="","",WEEKDAY(B3668,2))</f>
        <v/>
      </c>
      <c r="AA3668" s="52">
        <f>IF(P3668="","",IF(AND(P3668="Gasto",X3668="Variable",D3668&lt;&gt;catTrading,S3668&gt;0,S3668&lt;=Umbral),1,0))</f>
        <v/>
      </c>
      <c r="AB3668" s="52">
        <f>IF(OR(P3668="",Q3668=""),"",IFERROR(IF(INDEX(ctaVinc,MATCH(Q3668,ctaNombre,0))&amp;""&lt;&gt;"",INDEX(ctaVinc,MATCH(Q3668,ctaNombre,0))&amp;"",Q3668),Q3668))</f>
        <v/>
      </c>
      <c r="AC3668" s="52">
        <f>IF(OR(K3668="",AND(P3668&lt;&gt;"Transferencia",P3668&lt;&gt;"Pago tarjeta")),"",IFERROR(IF(INDEX(ctaVinc,MATCH(K3668,ctaNombre,0))&amp;""&lt;&gt;"",INDEX(ctaVinc,MATCH(K3668,ctaNombre,0))&amp;"",K3668),K3668))</f>
        <v/>
      </c>
      <c r="AD3668" s="52">
        <f>IF(AB3668="","",IFERROR(INDEX(ctaTipo,MATCH(AB3668,ctaNombre,0))&amp;"",""))</f>
        <v/>
      </c>
      <c r="AE3668" s="52">
        <f>IF(AC3668="","",IFERROR(INDEX(ctaTipo,MATCH(AC3668,ctaNombre,0))&amp;"",""))</f>
        <v/>
      </c>
      <c r="AF3668" s="53">
        <f>IF(OR(P3668="",AB3668=""),"",IF(OR(P3668="Gasto",P3668="Transferencia",P3668="Pago tarjeta"),-1,1)*IF(IFERROR(INDEX(ctaMoneda,MATCH(AB3668,ctaNombre,0))&amp;"","DOP")="USD",T3668,S3668))</f>
        <v/>
      </c>
      <c r="AG3668" s="53">
        <f>IF(AC3668="","",IF(IFERROR(INDEX(ctaMoneda,MATCH(AC3668,ctaNombre,0))&amp;"","DOP")="USD",T3668,S3668))</f>
        <v/>
      </c>
      <c r="AH3668" s="53">
        <f>IF(P3668="","",IF(AND(AD3668&lt;&gt;"",COUNTIFS(tcTipo,AD3668,tcLiq,"Sí")&gt;0),IF(OR(P3668="Gasto",P3668="Transferencia",P3668="Pago tarjeta"),-1,1)*S3668,0)+IF(AND(AE3668&lt;&gt;"",COUNTIFS(tcTipo,AE3668,tcLiq,"Sí")&gt;0),S3668,0))</f>
        <v/>
      </c>
      <c r="AI3668" s="52">
        <f>IF(OR(L3668="",P3668=""),"",IF(COUNTIFS(L$6:L3668,L3668,P$6:P3668,"?*")=1,MAX(AI$5:AI3667)+1,""))</f>
        <v/>
      </c>
    </row>
    <row r="3669">
      <c r="B3669" s="47" t="n"/>
      <c r="C3669" s="48" t="n"/>
      <c r="D3669" s="48" t="n"/>
      <c r="E3669" s="48" t="n"/>
      <c r="F3669" s="48" t="n"/>
      <c r="G3669" s="49" t="n"/>
      <c r="H3669" s="48" t="n"/>
      <c r="I3669" s="50" t="n"/>
      <c r="J3669" s="48" t="n"/>
      <c r="K3669" s="48" t="n"/>
      <c r="L3669" s="48" t="n"/>
      <c r="M3669" s="48" t="n"/>
      <c r="N3669" s="48" t="n"/>
      <c r="O3669" s="51">
        <f>IF(AND(B3669="",G3669="",C3669="",D3669="",J3669=""),"",IF(B3669="","⚠ Falta fecha",IF(G3669="","⚠ Falta monto",IF(Q3669="","⚠ Falta cuenta",IF(ISNA(MATCH(Q3669,ctaNombre,0)),"⚠ Cuenta no registrada",IF(AND(OR(P3669="Gasto",P3669="Reembolso"),D3669=""),"⚠ Falta categoría",IF(AND(D3669&lt;&gt;"",E3669&lt;&gt;"",ISNA(MATCH(D3669&amp;"|"&amp;E3669,catClave,0))),"⚠ Subcategoría no corresponde",IF(AND(OR(P3669="Transferencia",P3669="Pago tarjeta"),K3669=""),"⚠ Falta cuenta destino",IF(AND(K3669&lt;&gt;"",P3669&lt;&gt;"Transferencia",P3669&lt;&gt;"Pago tarjeta"),"⚠ Destino solo aplica a transferencias",IF(AND(K3669&lt;&gt;"",K3669=Q3669),"⚠ Origen igual a destino",IF(AND(K3669&lt;&gt;"",ISNA(MATCH(K3669,ctaNombre,0))),"⚠ Destino no registrado",IF(AND(P3669="Pago tarjeta",AE3669&lt;&gt;"Tarjeta de crédito"),"⚠ El destino debe ser tarjeta de crédito",IF(AND(P3669="Gasto",E3669="Depósitos y retiros"),"⚠ Usa tipo Transferencia",IF(AND(P3669="Resultado trading",AD3669&lt;&gt;"Cuenta de trading"),"⚠ Usa una cuenta de trading",IF(AND(G3669&lt;=0,P3669&lt;&gt;"Ajuste",P3669&lt;&gt;"Resultado trading"),"⚠ El monto debe ser positivo","✓")))))))))))))))</f>
        <v/>
      </c>
      <c r="P3669" s="52">
        <f>IF(OR(B3669="",G3669=""),"",IF(C3669="","Gasto",C3669))</f>
        <v/>
      </c>
      <c r="Q3669" s="52">
        <f>IF(P3669="","",IF(J3669&lt;&gt;"",J3669,CuentaPred&amp;""))</f>
        <v/>
      </c>
      <c r="R3669" s="52">
        <f>IF(P3669="","",IF(ISNUMBER(I3669),I3669,TasaUSD))</f>
        <v/>
      </c>
      <c r="S3669" s="53">
        <f>IF(P3669="","",IF(H3669="USD",G3669*R3669,G3669))</f>
        <v/>
      </c>
      <c r="T3669" s="53">
        <f>IF(P3669="","",IF(H3669="USD",G3669,IF(R3669&gt;0,G3669/R3669,0)))</f>
        <v/>
      </c>
      <c r="U3669" s="53">
        <f>IF(P3669="","",IF(P3669="Gasto",S3669,IF(P3669="Reembolso",-S3669,0)))</f>
        <v/>
      </c>
      <c r="V3669" s="53">
        <f>IF(P3669="","",IF(P3669="Ingreso",S3669,0))</f>
        <v/>
      </c>
      <c r="W3669" s="53">
        <f>IF(P3669="","",IF(P3669="Resultado trading",S3669,0))</f>
        <v/>
      </c>
      <c r="X3669" s="52">
        <f>IF(OR(P3669="Gasto",P3669="Reembolso"),IF(M3669&lt;&gt;"",M3669,IFERROR(INDEX(catClasif,MATCH(D3669&amp;"|"&amp;E3669,catClave,0))&amp;"","Variable")),"")</f>
        <v/>
      </c>
      <c r="Y3669" s="52">
        <f>IF(P3669="","",IFERROR(INDEX(catGrupo,MATCH(D3669&amp;"|"&amp;E3669,catClave,0))&amp;"",""))</f>
        <v/>
      </c>
      <c r="Z3669" s="52">
        <f>IF(P3669="","",WEEKDAY(B3669,2))</f>
        <v/>
      </c>
      <c r="AA3669" s="52">
        <f>IF(P3669="","",IF(AND(P3669="Gasto",X3669="Variable",D3669&lt;&gt;catTrading,S3669&gt;0,S3669&lt;=Umbral),1,0))</f>
        <v/>
      </c>
      <c r="AB3669" s="52">
        <f>IF(OR(P3669="",Q3669=""),"",IFERROR(IF(INDEX(ctaVinc,MATCH(Q3669,ctaNombre,0))&amp;""&lt;&gt;"",INDEX(ctaVinc,MATCH(Q3669,ctaNombre,0))&amp;"",Q3669),Q3669))</f>
        <v/>
      </c>
      <c r="AC3669" s="52">
        <f>IF(OR(K3669="",AND(P3669&lt;&gt;"Transferencia",P3669&lt;&gt;"Pago tarjeta")),"",IFERROR(IF(INDEX(ctaVinc,MATCH(K3669,ctaNombre,0))&amp;""&lt;&gt;"",INDEX(ctaVinc,MATCH(K3669,ctaNombre,0))&amp;"",K3669),K3669))</f>
        <v/>
      </c>
      <c r="AD3669" s="52">
        <f>IF(AB3669="","",IFERROR(INDEX(ctaTipo,MATCH(AB3669,ctaNombre,0))&amp;"",""))</f>
        <v/>
      </c>
      <c r="AE3669" s="52">
        <f>IF(AC3669="","",IFERROR(INDEX(ctaTipo,MATCH(AC3669,ctaNombre,0))&amp;"",""))</f>
        <v/>
      </c>
      <c r="AF3669" s="53">
        <f>IF(OR(P3669="",AB3669=""),"",IF(OR(P3669="Gasto",P3669="Transferencia",P3669="Pago tarjeta"),-1,1)*IF(IFERROR(INDEX(ctaMoneda,MATCH(AB3669,ctaNombre,0))&amp;"","DOP")="USD",T3669,S3669))</f>
        <v/>
      </c>
      <c r="AG3669" s="53">
        <f>IF(AC3669="","",IF(IFERROR(INDEX(ctaMoneda,MATCH(AC3669,ctaNombre,0))&amp;"","DOP")="USD",T3669,S3669))</f>
        <v/>
      </c>
      <c r="AH3669" s="53">
        <f>IF(P3669="","",IF(AND(AD3669&lt;&gt;"",COUNTIFS(tcTipo,AD3669,tcLiq,"Sí")&gt;0),IF(OR(P3669="Gasto",P3669="Transferencia",P3669="Pago tarjeta"),-1,1)*S3669,0)+IF(AND(AE3669&lt;&gt;"",COUNTIFS(tcTipo,AE3669,tcLiq,"Sí")&gt;0),S3669,0))</f>
        <v/>
      </c>
      <c r="AI3669" s="52">
        <f>IF(OR(L3669="",P3669=""),"",IF(COUNTIFS(L$6:L3669,L3669,P$6:P3669,"?*")=1,MAX(AI$5:AI3668)+1,""))</f>
        <v/>
      </c>
    </row>
    <row r="3670">
      <c r="B3670" s="47" t="n"/>
      <c r="C3670" s="48" t="n"/>
      <c r="D3670" s="48" t="n"/>
      <c r="E3670" s="48" t="n"/>
      <c r="F3670" s="48" t="n"/>
      <c r="G3670" s="49" t="n"/>
      <c r="H3670" s="48" t="n"/>
      <c r="I3670" s="50" t="n"/>
      <c r="J3670" s="48" t="n"/>
      <c r="K3670" s="48" t="n"/>
      <c r="L3670" s="48" t="n"/>
      <c r="M3670" s="48" t="n"/>
      <c r="N3670" s="48" t="n"/>
      <c r="O3670" s="51">
        <f>IF(AND(B3670="",G3670="",C3670="",D3670="",J3670=""),"",IF(B3670="","⚠ Falta fecha",IF(G3670="","⚠ Falta monto",IF(Q3670="","⚠ Falta cuenta",IF(ISNA(MATCH(Q3670,ctaNombre,0)),"⚠ Cuenta no registrada",IF(AND(OR(P3670="Gasto",P3670="Reembolso"),D3670=""),"⚠ Falta categoría",IF(AND(D3670&lt;&gt;"",E3670&lt;&gt;"",ISNA(MATCH(D3670&amp;"|"&amp;E3670,catClave,0))),"⚠ Subcategoría no corresponde",IF(AND(OR(P3670="Transferencia",P3670="Pago tarjeta"),K3670=""),"⚠ Falta cuenta destino",IF(AND(K3670&lt;&gt;"",P3670&lt;&gt;"Transferencia",P3670&lt;&gt;"Pago tarjeta"),"⚠ Destino solo aplica a transferencias",IF(AND(K3670&lt;&gt;"",K3670=Q3670),"⚠ Origen igual a destino",IF(AND(K3670&lt;&gt;"",ISNA(MATCH(K3670,ctaNombre,0))),"⚠ Destino no registrado",IF(AND(P3670="Pago tarjeta",AE3670&lt;&gt;"Tarjeta de crédito"),"⚠ El destino debe ser tarjeta de crédito",IF(AND(P3670="Gasto",E3670="Depósitos y retiros"),"⚠ Usa tipo Transferencia",IF(AND(P3670="Resultado trading",AD3670&lt;&gt;"Cuenta de trading"),"⚠ Usa una cuenta de trading",IF(AND(G3670&lt;=0,P3670&lt;&gt;"Ajuste",P3670&lt;&gt;"Resultado trading"),"⚠ El monto debe ser positivo","✓")))))))))))))))</f>
        <v/>
      </c>
      <c r="P3670" s="52">
        <f>IF(OR(B3670="",G3670=""),"",IF(C3670="","Gasto",C3670))</f>
        <v/>
      </c>
      <c r="Q3670" s="52">
        <f>IF(P3670="","",IF(J3670&lt;&gt;"",J3670,CuentaPred&amp;""))</f>
        <v/>
      </c>
      <c r="R3670" s="52">
        <f>IF(P3670="","",IF(ISNUMBER(I3670),I3670,TasaUSD))</f>
        <v/>
      </c>
      <c r="S3670" s="53">
        <f>IF(P3670="","",IF(H3670="USD",G3670*R3670,G3670))</f>
        <v/>
      </c>
      <c r="T3670" s="53">
        <f>IF(P3670="","",IF(H3670="USD",G3670,IF(R3670&gt;0,G3670/R3670,0)))</f>
        <v/>
      </c>
      <c r="U3670" s="53">
        <f>IF(P3670="","",IF(P3670="Gasto",S3670,IF(P3670="Reembolso",-S3670,0)))</f>
        <v/>
      </c>
      <c r="V3670" s="53">
        <f>IF(P3670="","",IF(P3670="Ingreso",S3670,0))</f>
        <v/>
      </c>
      <c r="W3670" s="53">
        <f>IF(P3670="","",IF(P3670="Resultado trading",S3670,0))</f>
        <v/>
      </c>
      <c r="X3670" s="52">
        <f>IF(OR(P3670="Gasto",P3670="Reembolso"),IF(M3670&lt;&gt;"",M3670,IFERROR(INDEX(catClasif,MATCH(D3670&amp;"|"&amp;E3670,catClave,0))&amp;"","Variable")),"")</f>
        <v/>
      </c>
      <c r="Y3670" s="52">
        <f>IF(P3670="","",IFERROR(INDEX(catGrupo,MATCH(D3670&amp;"|"&amp;E3670,catClave,0))&amp;"",""))</f>
        <v/>
      </c>
      <c r="Z3670" s="52">
        <f>IF(P3670="","",WEEKDAY(B3670,2))</f>
        <v/>
      </c>
      <c r="AA3670" s="52">
        <f>IF(P3670="","",IF(AND(P3670="Gasto",X3670="Variable",D3670&lt;&gt;catTrading,S3670&gt;0,S3670&lt;=Umbral),1,0))</f>
        <v/>
      </c>
      <c r="AB3670" s="52">
        <f>IF(OR(P3670="",Q3670=""),"",IFERROR(IF(INDEX(ctaVinc,MATCH(Q3670,ctaNombre,0))&amp;""&lt;&gt;"",INDEX(ctaVinc,MATCH(Q3670,ctaNombre,0))&amp;"",Q3670),Q3670))</f>
        <v/>
      </c>
      <c r="AC3670" s="52">
        <f>IF(OR(K3670="",AND(P3670&lt;&gt;"Transferencia",P3670&lt;&gt;"Pago tarjeta")),"",IFERROR(IF(INDEX(ctaVinc,MATCH(K3670,ctaNombre,0))&amp;""&lt;&gt;"",INDEX(ctaVinc,MATCH(K3670,ctaNombre,0))&amp;"",K3670),K3670))</f>
        <v/>
      </c>
      <c r="AD3670" s="52">
        <f>IF(AB3670="","",IFERROR(INDEX(ctaTipo,MATCH(AB3670,ctaNombre,0))&amp;"",""))</f>
        <v/>
      </c>
      <c r="AE3670" s="52">
        <f>IF(AC3670="","",IFERROR(INDEX(ctaTipo,MATCH(AC3670,ctaNombre,0))&amp;"",""))</f>
        <v/>
      </c>
      <c r="AF3670" s="53">
        <f>IF(OR(P3670="",AB3670=""),"",IF(OR(P3670="Gasto",P3670="Transferencia",P3670="Pago tarjeta"),-1,1)*IF(IFERROR(INDEX(ctaMoneda,MATCH(AB3670,ctaNombre,0))&amp;"","DOP")="USD",T3670,S3670))</f>
        <v/>
      </c>
      <c r="AG3670" s="53">
        <f>IF(AC3670="","",IF(IFERROR(INDEX(ctaMoneda,MATCH(AC3670,ctaNombre,0))&amp;"","DOP")="USD",T3670,S3670))</f>
        <v/>
      </c>
      <c r="AH3670" s="53">
        <f>IF(P3670="","",IF(AND(AD3670&lt;&gt;"",COUNTIFS(tcTipo,AD3670,tcLiq,"Sí")&gt;0),IF(OR(P3670="Gasto",P3670="Transferencia",P3670="Pago tarjeta"),-1,1)*S3670,0)+IF(AND(AE3670&lt;&gt;"",COUNTIFS(tcTipo,AE3670,tcLiq,"Sí")&gt;0),S3670,0))</f>
        <v/>
      </c>
      <c r="AI3670" s="52">
        <f>IF(OR(L3670="",P3670=""),"",IF(COUNTIFS(L$6:L3670,L3670,P$6:P3670,"?*")=1,MAX(AI$5:AI3669)+1,""))</f>
        <v/>
      </c>
    </row>
    <row r="3671">
      <c r="B3671" s="47" t="n"/>
      <c r="C3671" s="48" t="n"/>
      <c r="D3671" s="48" t="n"/>
      <c r="E3671" s="48" t="n"/>
      <c r="F3671" s="48" t="n"/>
      <c r="G3671" s="49" t="n"/>
      <c r="H3671" s="48" t="n"/>
      <c r="I3671" s="50" t="n"/>
      <c r="J3671" s="48" t="n"/>
      <c r="K3671" s="48" t="n"/>
      <c r="L3671" s="48" t="n"/>
      <c r="M3671" s="48" t="n"/>
      <c r="N3671" s="48" t="n"/>
      <c r="O3671" s="51">
        <f>IF(AND(B3671="",G3671="",C3671="",D3671="",J3671=""),"",IF(B3671="","⚠ Falta fecha",IF(G3671="","⚠ Falta monto",IF(Q3671="","⚠ Falta cuenta",IF(ISNA(MATCH(Q3671,ctaNombre,0)),"⚠ Cuenta no registrada",IF(AND(OR(P3671="Gasto",P3671="Reembolso"),D3671=""),"⚠ Falta categoría",IF(AND(D3671&lt;&gt;"",E3671&lt;&gt;"",ISNA(MATCH(D3671&amp;"|"&amp;E3671,catClave,0))),"⚠ Subcategoría no corresponde",IF(AND(OR(P3671="Transferencia",P3671="Pago tarjeta"),K3671=""),"⚠ Falta cuenta destino",IF(AND(K3671&lt;&gt;"",P3671&lt;&gt;"Transferencia",P3671&lt;&gt;"Pago tarjeta"),"⚠ Destino solo aplica a transferencias",IF(AND(K3671&lt;&gt;"",K3671=Q3671),"⚠ Origen igual a destino",IF(AND(K3671&lt;&gt;"",ISNA(MATCH(K3671,ctaNombre,0))),"⚠ Destino no registrado",IF(AND(P3671="Pago tarjeta",AE3671&lt;&gt;"Tarjeta de crédito"),"⚠ El destino debe ser tarjeta de crédito",IF(AND(P3671="Gasto",E3671="Depósitos y retiros"),"⚠ Usa tipo Transferencia",IF(AND(P3671="Resultado trading",AD3671&lt;&gt;"Cuenta de trading"),"⚠ Usa una cuenta de trading",IF(AND(G3671&lt;=0,P3671&lt;&gt;"Ajuste",P3671&lt;&gt;"Resultado trading"),"⚠ El monto debe ser positivo","✓")))))))))))))))</f>
        <v/>
      </c>
      <c r="P3671" s="52">
        <f>IF(OR(B3671="",G3671=""),"",IF(C3671="","Gasto",C3671))</f>
        <v/>
      </c>
      <c r="Q3671" s="52">
        <f>IF(P3671="","",IF(J3671&lt;&gt;"",J3671,CuentaPred&amp;""))</f>
        <v/>
      </c>
      <c r="R3671" s="52">
        <f>IF(P3671="","",IF(ISNUMBER(I3671),I3671,TasaUSD))</f>
        <v/>
      </c>
      <c r="S3671" s="53">
        <f>IF(P3671="","",IF(H3671="USD",G3671*R3671,G3671))</f>
        <v/>
      </c>
      <c r="T3671" s="53">
        <f>IF(P3671="","",IF(H3671="USD",G3671,IF(R3671&gt;0,G3671/R3671,0)))</f>
        <v/>
      </c>
      <c r="U3671" s="53">
        <f>IF(P3671="","",IF(P3671="Gasto",S3671,IF(P3671="Reembolso",-S3671,0)))</f>
        <v/>
      </c>
      <c r="V3671" s="53">
        <f>IF(P3671="","",IF(P3671="Ingreso",S3671,0))</f>
        <v/>
      </c>
      <c r="W3671" s="53">
        <f>IF(P3671="","",IF(P3671="Resultado trading",S3671,0))</f>
        <v/>
      </c>
      <c r="X3671" s="52">
        <f>IF(OR(P3671="Gasto",P3671="Reembolso"),IF(M3671&lt;&gt;"",M3671,IFERROR(INDEX(catClasif,MATCH(D3671&amp;"|"&amp;E3671,catClave,0))&amp;"","Variable")),"")</f>
        <v/>
      </c>
      <c r="Y3671" s="52">
        <f>IF(P3671="","",IFERROR(INDEX(catGrupo,MATCH(D3671&amp;"|"&amp;E3671,catClave,0))&amp;"",""))</f>
        <v/>
      </c>
      <c r="Z3671" s="52">
        <f>IF(P3671="","",WEEKDAY(B3671,2))</f>
        <v/>
      </c>
      <c r="AA3671" s="52">
        <f>IF(P3671="","",IF(AND(P3671="Gasto",X3671="Variable",D3671&lt;&gt;catTrading,S3671&gt;0,S3671&lt;=Umbral),1,0))</f>
        <v/>
      </c>
      <c r="AB3671" s="52">
        <f>IF(OR(P3671="",Q3671=""),"",IFERROR(IF(INDEX(ctaVinc,MATCH(Q3671,ctaNombre,0))&amp;""&lt;&gt;"",INDEX(ctaVinc,MATCH(Q3671,ctaNombre,0))&amp;"",Q3671),Q3671))</f>
        <v/>
      </c>
      <c r="AC3671" s="52">
        <f>IF(OR(K3671="",AND(P3671&lt;&gt;"Transferencia",P3671&lt;&gt;"Pago tarjeta")),"",IFERROR(IF(INDEX(ctaVinc,MATCH(K3671,ctaNombre,0))&amp;""&lt;&gt;"",INDEX(ctaVinc,MATCH(K3671,ctaNombre,0))&amp;"",K3671),K3671))</f>
        <v/>
      </c>
      <c r="AD3671" s="52">
        <f>IF(AB3671="","",IFERROR(INDEX(ctaTipo,MATCH(AB3671,ctaNombre,0))&amp;"",""))</f>
        <v/>
      </c>
      <c r="AE3671" s="52">
        <f>IF(AC3671="","",IFERROR(INDEX(ctaTipo,MATCH(AC3671,ctaNombre,0))&amp;"",""))</f>
        <v/>
      </c>
      <c r="AF3671" s="53">
        <f>IF(OR(P3671="",AB3671=""),"",IF(OR(P3671="Gasto",P3671="Transferencia",P3671="Pago tarjeta"),-1,1)*IF(IFERROR(INDEX(ctaMoneda,MATCH(AB3671,ctaNombre,0))&amp;"","DOP")="USD",T3671,S3671))</f>
        <v/>
      </c>
      <c r="AG3671" s="53">
        <f>IF(AC3671="","",IF(IFERROR(INDEX(ctaMoneda,MATCH(AC3671,ctaNombre,0))&amp;"","DOP")="USD",T3671,S3671))</f>
        <v/>
      </c>
      <c r="AH3671" s="53">
        <f>IF(P3671="","",IF(AND(AD3671&lt;&gt;"",COUNTIFS(tcTipo,AD3671,tcLiq,"Sí")&gt;0),IF(OR(P3671="Gasto",P3671="Transferencia",P3671="Pago tarjeta"),-1,1)*S3671,0)+IF(AND(AE3671&lt;&gt;"",COUNTIFS(tcTipo,AE3671,tcLiq,"Sí")&gt;0),S3671,0))</f>
        <v/>
      </c>
      <c r="AI3671" s="52">
        <f>IF(OR(L3671="",P3671=""),"",IF(COUNTIFS(L$6:L3671,L3671,P$6:P3671,"?*")=1,MAX(AI$5:AI3670)+1,""))</f>
        <v/>
      </c>
    </row>
    <row r="3672">
      <c r="B3672" s="47" t="n"/>
      <c r="C3672" s="48" t="n"/>
      <c r="D3672" s="48" t="n"/>
      <c r="E3672" s="48" t="n"/>
      <c r="F3672" s="48" t="n"/>
      <c r="G3672" s="49" t="n"/>
      <c r="H3672" s="48" t="n"/>
      <c r="I3672" s="50" t="n"/>
      <c r="J3672" s="48" t="n"/>
      <c r="K3672" s="48" t="n"/>
      <c r="L3672" s="48" t="n"/>
      <c r="M3672" s="48" t="n"/>
      <c r="N3672" s="48" t="n"/>
      <c r="O3672" s="51">
        <f>IF(AND(B3672="",G3672="",C3672="",D3672="",J3672=""),"",IF(B3672="","⚠ Falta fecha",IF(G3672="","⚠ Falta monto",IF(Q3672="","⚠ Falta cuenta",IF(ISNA(MATCH(Q3672,ctaNombre,0)),"⚠ Cuenta no registrada",IF(AND(OR(P3672="Gasto",P3672="Reembolso"),D3672=""),"⚠ Falta categoría",IF(AND(D3672&lt;&gt;"",E3672&lt;&gt;"",ISNA(MATCH(D3672&amp;"|"&amp;E3672,catClave,0))),"⚠ Subcategoría no corresponde",IF(AND(OR(P3672="Transferencia",P3672="Pago tarjeta"),K3672=""),"⚠ Falta cuenta destino",IF(AND(K3672&lt;&gt;"",P3672&lt;&gt;"Transferencia",P3672&lt;&gt;"Pago tarjeta"),"⚠ Destino solo aplica a transferencias",IF(AND(K3672&lt;&gt;"",K3672=Q3672),"⚠ Origen igual a destino",IF(AND(K3672&lt;&gt;"",ISNA(MATCH(K3672,ctaNombre,0))),"⚠ Destino no registrado",IF(AND(P3672="Pago tarjeta",AE3672&lt;&gt;"Tarjeta de crédito"),"⚠ El destino debe ser tarjeta de crédito",IF(AND(P3672="Gasto",E3672="Depósitos y retiros"),"⚠ Usa tipo Transferencia",IF(AND(P3672="Resultado trading",AD3672&lt;&gt;"Cuenta de trading"),"⚠ Usa una cuenta de trading",IF(AND(G3672&lt;=0,P3672&lt;&gt;"Ajuste",P3672&lt;&gt;"Resultado trading"),"⚠ El monto debe ser positivo","✓")))))))))))))))</f>
        <v/>
      </c>
      <c r="P3672" s="52">
        <f>IF(OR(B3672="",G3672=""),"",IF(C3672="","Gasto",C3672))</f>
        <v/>
      </c>
      <c r="Q3672" s="52">
        <f>IF(P3672="","",IF(J3672&lt;&gt;"",J3672,CuentaPred&amp;""))</f>
        <v/>
      </c>
      <c r="R3672" s="52">
        <f>IF(P3672="","",IF(ISNUMBER(I3672),I3672,TasaUSD))</f>
        <v/>
      </c>
      <c r="S3672" s="53">
        <f>IF(P3672="","",IF(H3672="USD",G3672*R3672,G3672))</f>
        <v/>
      </c>
      <c r="T3672" s="53">
        <f>IF(P3672="","",IF(H3672="USD",G3672,IF(R3672&gt;0,G3672/R3672,0)))</f>
        <v/>
      </c>
      <c r="U3672" s="53">
        <f>IF(P3672="","",IF(P3672="Gasto",S3672,IF(P3672="Reembolso",-S3672,0)))</f>
        <v/>
      </c>
      <c r="V3672" s="53">
        <f>IF(P3672="","",IF(P3672="Ingreso",S3672,0))</f>
        <v/>
      </c>
      <c r="W3672" s="53">
        <f>IF(P3672="","",IF(P3672="Resultado trading",S3672,0))</f>
        <v/>
      </c>
      <c r="X3672" s="52">
        <f>IF(OR(P3672="Gasto",P3672="Reembolso"),IF(M3672&lt;&gt;"",M3672,IFERROR(INDEX(catClasif,MATCH(D3672&amp;"|"&amp;E3672,catClave,0))&amp;"","Variable")),"")</f>
        <v/>
      </c>
      <c r="Y3672" s="52">
        <f>IF(P3672="","",IFERROR(INDEX(catGrupo,MATCH(D3672&amp;"|"&amp;E3672,catClave,0))&amp;"",""))</f>
        <v/>
      </c>
      <c r="Z3672" s="52">
        <f>IF(P3672="","",WEEKDAY(B3672,2))</f>
        <v/>
      </c>
      <c r="AA3672" s="52">
        <f>IF(P3672="","",IF(AND(P3672="Gasto",X3672="Variable",D3672&lt;&gt;catTrading,S3672&gt;0,S3672&lt;=Umbral),1,0))</f>
        <v/>
      </c>
      <c r="AB3672" s="52">
        <f>IF(OR(P3672="",Q3672=""),"",IFERROR(IF(INDEX(ctaVinc,MATCH(Q3672,ctaNombre,0))&amp;""&lt;&gt;"",INDEX(ctaVinc,MATCH(Q3672,ctaNombre,0))&amp;"",Q3672),Q3672))</f>
        <v/>
      </c>
      <c r="AC3672" s="52">
        <f>IF(OR(K3672="",AND(P3672&lt;&gt;"Transferencia",P3672&lt;&gt;"Pago tarjeta")),"",IFERROR(IF(INDEX(ctaVinc,MATCH(K3672,ctaNombre,0))&amp;""&lt;&gt;"",INDEX(ctaVinc,MATCH(K3672,ctaNombre,0))&amp;"",K3672),K3672))</f>
        <v/>
      </c>
      <c r="AD3672" s="52">
        <f>IF(AB3672="","",IFERROR(INDEX(ctaTipo,MATCH(AB3672,ctaNombre,0))&amp;"",""))</f>
        <v/>
      </c>
      <c r="AE3672" s="52">
        <f>IF(AC3672="","",IFERROR(INDEX(ctaTipo,MATCH(AC3672,ctaNombre,0))&amp;"",""))</f>
        <v/>
      </c>
      <c r="AF3672" s="53">
        <f>IF(OR(P3672="",AB3672=""),"",IF(OR(P3672="Gasto",P3672="Transferencia",P3672="Pago tarjeta"),-1,1)*IF(IFERROR(INDEX(ctaMoneda,MATCH(AB3672,ctaNombre,0))&amp;"","DOP")="USD",T3672,S3672))</f>
        <v/>
      </c>
      <c r="AG3672" s="53">
        <f>IF(AC3672="","",IF(IFERROR(INDEX(ctaMoneda,MATCH(AC3672,ctaNombre,0))&amp;"","DOP")="USD",T3672,S3672))</f>
        <v/>
      </c>
      <c r="AH3672" s="53">
        <f>IF(P3672="","",IF(AND(AD3672&lt;&gt;"",COUNTIFS(tcTipo,AD3672,tcLiq,"Sí")&gt;0),IF(OR(P3672="Gasto",P3672="Transferencia",P3672="Pago tarjeta"),-1,1)*S3672,0)+IF(AND(AE3672&lt;&gt;"",COUNTIFS(tcTipo,AE3672,tcLiq,"Sí")&gt;0),S3672,0))</f>
        <v/>
      </c>
      <c r="AI3672" s="52">
        <f>IF(OR(L3672="",P3672=""),"",IF(COUNTIFS(L$6:L3672,L3672,P$6:P3672,"?*")=1,MAX(AI$5:AI3671)+1,""))</f>
        <v/>
      </c>
    </row>
    <row r="3673">
      <c r="B3673" s="47" t="n"/>
      <c r="C3673" s="48" t="n"/>
      <c r="D3673" s="48" t="n"/>
      <c r="E3673" s="48" t="n"/>
      <c r="F3673" s="48" t="n"/>
      <c r="G3673" s="49" t="n"/>
      <c r="H3673" s="48" t="n"/>
      <c r="I3673" s="50" t="n"/>
      <c r="J3673" s="48" t="n"/>
      <c r="K3673" s="48" t="n"/>
      <c r="L3673" s="48" t="n"/>
      <c r="M3673" s="48" t="n"/>
      <c r="N3673" s="48" t="n"/>
      <c r="O3673" s="51">
        <f>IF(AND(B3673="",G3673="",C3673="",D3673="",J3673=""),"",IF(B3673="","⚠ Falta fecha",IF(G3673="","⚠ Falta monto",IF(Q3673="","⚠ Falta cuenta",IF(ISNA(MATCH(Q3673,ctaNombre,0)),"⚠ Cuenta no registrada",IF(AND(OR(P3673="Gasto",P3673="Reembolso"),D3673=""),"⚠ Falta categoría",IF(AND(D3673&lt;&gt;"",E3673&lt;&gt;"",ISNA(MATCH(D3673&amp;"|"&amp;E3673,catClave,0))),"⚠ Subcategoría no corresponde",IF(AND(OR(P3673="Transferencia",P3673="Pago tarjeta"),K3673=""),"⚠ Falta cuenta destino",IF(AND(K3673&lt;&gt;"",P3673&lt;&gt;"Transferencia",P3673&lt;&gt;"Pago tarjeta"),"⚠ Destino solo aplica a transferencias",IF(AND(K3673&lt;&gt;"",K3673=Q3673),"⚠ Origen igual a destino",IF(AND(K3673&lt;&gt;"",ISNA(MATCH(K3673,ctaNombre,0))),"⚠ Destino no registrado",IF(AND(P3673="Pago tarjeta",AE3673&lt;&gt;"Tarjeta de crédito"),"⚠ El destino debe ser tarjeta de crédito",IF(AND(P3673="Gasto",E3673="Depósitos y retiros"),"⚠ Usa tipo Transferencia",IF(AND(P3673="Resultado trading",AD3673&lt;&gt;"Cuenta de trading"),"⚠ Usa una cuenta de trading",IF(AND(G3673&lt;=0,P3673&lt;&gt;"Ajuste",P3673&lt;&gt;"Resultado trading"),"⚠ El monto debe ser positivo","✓")))))))))))))))</f>
        <v/>
      </c>
      <c r="P3673" s="52">
        <f>IF(OR(B3673="",G3673=""),"",IF(C3673="","Gasto",C3673))</f>
        <v/>
      </c>
      <c r="Q3673" s="52">
        <f>IF(P3673="","",IF(J3673&lt;&gt;"",J3673,CuentaPred&amp;""))</f>
        <v/>
      </c>
      <c r="R3673" s="52">
        <f>IF(P3673="","",IF(ISNUMBER(I3673),I3673,TasaUSD))</f>
        <v/>
      </c>
      <c r="S3673" s="53">
        <f>IF(P3673="","",IF(H3673="USD",G3673*R3673,G3673))</f>
        <v/>
      </c>
      <c r="T3673" s="53">
        <f>IF(P3673="","",IF(H3673="USD",G3673,IF(R3673&gt;0,G3673/R3673,0)))</f>
        <v/>
      </c>
      <c r="U3673" s="53">
        <f>IF(P3673="","",IF(P3673="Gasto",S3673,IF(P3673="Reembolso",-S3673,0)))</f>
        <v/>
      </c>
      <c r="V3673" s="53">
        <f>IF(P3673="","",IF(P3673="Ingreso",S3673,0))</f>
        <v/>
      </c>
      <c r="W3673" s="53">
        <f>IF(P3673="","",IF(P3673="Resultado trading",S3673,0))</f>
        <v/>
      </c>
      <c r="X3673" s="52">
        <f>IF(OR(P3673="Gasto",P3673="Reembolso"),IF(M3673&lt;&gt;"",M3673,IFERROR(INDEX(catClasif,MATCH(D3673&amp;"|"&amp;E3673,catClave,0))&amp;"","Variable")),"")</f>
        <v/>
      </c>
      <c r="Y3673" s="52">
        <f>IF(P3673="","",IFERROR(INDEX(catGrupo,MATCH(D3673&amp;"|"&amp;E3673,catClave,0))&amp;"",""))</f>
        <v/>
      </c>
      <c r="Z3673" s="52">
        <f>IF(P3673="","",WEEKDAY(B3673,2))</f>
        <v/>
      </c>
      <c r="AA3673" s="52">
        <f>IF(P3673="","",IF(AND(P3673="Gasto",X3673="Variable",D3673&lt;&gt;catTrading,S3673&gt;0,S3673&lt;=Umbral),1,0))</f>
        <v/>
      </c>
      <c r="AB3673" s="52">
        <f>IF(OR(P3673="",Q3673=""),"",IFERROR(IF(INDEX(ctaVinc,MATCH(Q3673,ctaNombre,0))&amp;""&lt;&gt;"",INDEX(ctaVinc,MATCH(Q3673,ctaNombre,0))&amp;"",Q3673),Q3673))</f>
        <v/>
      </c>
      <c r="AC3673" s="52">
        <f>IF(OR(K3673="",AND(P3673&lt;&gt;"Transferencia",P3673&lt;&gt;"Pago tarjeta")),"",IFERROR(IF(INDEX(ctaVinc,MATCH(K3673,ctaNombre,0))&amp;""&lt;&gt;"",INDEX(ctaVinc,MATCH(K3673,ctaNombre,0))&amp;"",K3673),K3673))</f>
        <v/>
      </c>
      <c r="AD3673" s="52">
        <f>IF(AB3673="","",IFERROR(INDEX(ctaTipo,MATCH(AB3673,ctaNombre,0))&amp;"",""))</f>
        <v/>
      </c>
      <c r="AE3673" s="52">
        <f>IF(AC3673="","",IFERROR(INDEX(ctaTipo,MATCH(AC3673,ctaNombre,0))&amp;"",""))</f>
        <v/>
      </c>
      <c r="AF3673" s="53">
        <f>IF(OR(P3673="",AB3673=""),"",IF(OR(P3673="Gasto",P3673="Transferencia",P3673="Pago tarjeta"),-1,1)*IF(IFERROR(INDEX(ctaMoneda,MATCH(AB3673,ctaNombre,0))&amp;"","DOP")="USD",T3673,S3673))</f>
        <v/>
      </c>
      <c r="AG3673" s="53">
        <f>IF(AC3673="","",IF(IFERROR(INDEX(ctaMoneda,MATCH(AC3673,ctaNombre,0))&amp;"","DOP")="USD",T3673,S3673))</f>
        <v/>
      </c>
      <c r="AH3673" s="53">
        <f>IF(P3673="","",IF(AND(AD3673&lt;&gt;"",COUNTIFS(tcTipo,AD3673,tcLiq,"Sí")&gt;0),IF(OR(P3673="Gasto",P3673="Transferencia",P3673="Pago tarjeta"),-1,1)*S3673,0)+IF(AND(AE3673&lt;&gt;"",COUNTIFS(tcTipo,AE3673,tcLiq,"Sí")&gt;0),S3673,0))</f>
        <v/>
      </c>
      <c r="AI3673" s="52">
        <f>IF(OR(L3673="",P3673=""),"",IF(COUNTIFS(L$6:L3673,L3673,P$6:P3673,"?*")=1,MAX(AI$5:AI3672)+1,""))</f>
        <v/>
      </c>
    </row>
    <row r="3674">
      <c r="B3674" s="47" t="n"/>
      <c r="C3674" s="48" t="n"/>
      <c r="D3674" s="48" t="n"/>
      <c r="E3674" s="48" t="n"/>
      <c r="F3674" s="48" t="n"/>
      <c r="G3674" s="49" t="n"/>
      <c r="H3674" s="48" t="n"/>
      <c r="I3674" s="50" t="n"/>
      <c r="J3674" s="48" t="n"/>
      <c r="K3674" s="48" t="n"/>
      <c r="L3674" s="48" t="n"/>
      <c r="M3674" s="48" t="n"/>
      <c r="N3674" s="48" t="n"/>
      <c r="O3674" s="51">
        <f>IF(AND(B3674="",G3674="",C3674="",D3674="",J3674=""),"",IF(B3674="","⚠ Falta fecha",IF(G3674="","⚠ Falta monto",IF(Q3674="","⚠ Falta cuenta",IF(ISNA(MATCH(Q3674,ctaNombre,0)),"⚠ Cuenta no registrada",IF(AND(OR(P3674="Gasto",P3674="Reembolso"),D3674=""),"⚠ Falta categoría",IF(AND(D3674&lt;&gt;"",E3674&lt;&gt;"",ISNA(MATCH(D3674&amp;"|"&amp;E3674,catClave,0))),"⚠ Subcategoría no corresponde",IF(AND(OR(P3674="Transferencia",P3674="Pago tarjeta"),K3674=""),"⚠ Falta cuenta destino",IF(AND(K3674&lt;&gt;"",P3674&lt;&gt;"Transferencia",P3674&lt;&gt;"Pago tarjeta"),"⚠ Destino solo aplica a transferencias",IF(AND(K3674&lt;&gt;"",K3674=Q3674),"⚠ Origen igual a destino",IF(AND(K3674&lt;&gt;"",ISNA(MATCH(K3674,ctaNombre,0))),"⚠ Destino no registrado",IF(AND(P3674="Pago tarjeta",AE3674&lt;&gt;"Tarjeta de crédito"),"⚠ El destino debe ser tarjeta de crédito",IF(AND(P3674="Gasto",E3674="Depósitos y retiros"),"⚠ Usa tipo Transferencia",IF(AND(P3674="Resultado trading",AD3674&lt;&gt;"Cuenta de trading"),"⚠ Usa una cuenta de trading",IF(AND(G3674&lt;=0,P3674&lt;&gt;"Ajuste",P3674&lt;&gt;"Resultado trading"),"⚠ El monto debe ser positivo","✓")))))))))))))))</f>
        <v/>
      </c>
      <c r="P3674" s="52">
        <f>IF(OR(B3674="",G3674=""),"",IF(C3674="","Gasto",C3674))</f>
        <v/>
      </c>
      <c r="Q3674" s="52">
        <f>IF(P3674="","",IF(J3674&lt;&gt;"",J3674,CuentaPred&amp;""))</f>
        <v/>
      </c>
      <c r="R3674" s="52">
        <f>IF(P3674="","",IF(ISNUMBER(I3674),I3674,TasaUSD))</f>
        <v/>
      </c>
      <c r="S3674" s="53">
        <f>IF(P3674="","",IF(H3674="USD",G3674*R3674,G3674))</f>
        <v/>
      </c>
      <c r="T3674" s="53">
        <f>IF(P3674="","",IF(H3674="USD",G3674,IF(R3674&gt;0,G3674/R3674,0)))</f>
        <v/>
      </c>
      <c r="U3674" s="53">
        <f>IF(P3674="","",IF(P3674="Gasto",S3674,IF(P3674="Reembolso",-S3674,0)))</f>
        <v/>
      </c>
      <c r="V3674" s="53">
        <f>IF(P3674="","",IF(P3674="Ingreso",S3674,0))</f>
        <v/>
      </c>
      <c r="W3674" s="53">
        <f>IF(P3674="","",IF(P3674="Resultado trading",S3674,0))</f>
        <v/>
      </c>
      <c r="X3674" s="52">
        <f>IF(OR(P3674="Gasto",P3674="Reembolso"),IF(M3674&lt;&gt;"",M3674,IFERROR(INDEX(catClasif,MATCH(D3674&amp;"|"&amp;E3674,catClave,0))&amp;"","Variable")),"")</f>
        <v/>
      </c>
      <c r="Y3674" s="52">
        <f>IF(P3674="","",IFERROR(INDEX(catGrupo,MATCH(D3674&amp;"|"&amp;E3674,catClave,0))&amp;"",""))</f>
        <v/>
      </c>
      <c r="Z3674" s="52">
        <f>IF(P3674="","",WEEKDAY(B3674,2))</f>
        <v/>
      </c>
      <c r="AA3674" s="52">
        <f>IF(P3674="","",IF(AND(P3674="Gasto",X3674="Variable",D3674&lt;&gt;catTrading,S3674&gt;0,S3674&lt;=Umbral),1,0))</f>
        <v/>
      </c>
      <c r="AB3674" s="52">
        <f>IF(OR(P3674="",Q3674=""),"",IFERROR(IF(INDEX(ctaVinc,MATCH(Q3674,ctaNombre,0))&amp;""&lt;&gt;"",INDEX(ctaVinc,MATCH(Q3674,ctaNombre,0))&amp;"",Q3674),Q3674))</f>
        <v/>
      </c>
      <c r="AC3674" s="52">
        <f>IF(OR(K3674="",AND(P3674&lt;&gt;"Transferencia",P3674&lt;&gt;"Pago tarjeta")),"",IFERROR(IF(INDEX(ctaVinc,MATCH(K3674,ctaNombre,0))&amp;""&lt;&gt;"",INDEX(ctaVinc,MATCH(K3674,ctaNombre,0))&amp;"",K3674),K3674))</f>
        <v/>
      </c>
      <c r="AD3674" s="52">
        <f>IF(AB3674="","",IFERROR(INDEX(ctaTipo,MATCH(AB3674,ctaNombre,0))&amp;"",""))</f>
        <v/>
      </c>
      <c r="AE3674" s="52">
        <f>IF(AC3674="","",IFERROR(INDEX(ctaTipo,MATCH(AC3674,ctaNombre,0))&amp;"",""))</f>
        <v/>
      </c>
      <c r="AF3674" s="53">
        <f>IF(OR(P3674="",AB3674=""),"",IF(OR(P3674="Gasto",P3674="Transferencia",P3674="Pago tarjeta"),-1,1)*IF(IFERROR(INDEX(ctaMoneda,MATCH(AB3674,ctaNombre,0))&amp;"","DOP")="USD",T3674,S3674))</f>
        <v/>
      </c>
      <c r="AG3674" s="53">
        <f>IF(AC3674="","",IF(IFERROR(INDEX(ctaMoneda,MATCH(AC3674,ctaNombre,0))&amp;"","DOP")="USD",T3674,S3674))</f>
        <v/>
      </c>
      <c r="AH3674" s="53">
        <f>IF(P3674="","",IF(AND(AD3674&lt;&gt;"",COUNTIFS(tcTipo,AD3674,tcLiq,"Sí")&gt;0),IF(OR(P3674="Gasto",P3674="Transferencia",P3674="Pago tarjeta"),-1,1)*S3674,0)+IF(AND(AE3674&lt;&gt;"",COUNTIFS(tcTipo,AE3674,tcLiq,"Sí")&gt;0),S3674,0))</f>
        <v/>
      </c>
      <c r="AI3674" s="52">
        <f>IF(OR(L3674="",P3674=""),"",IF(COUNTIFS(L$6:L3674,L3674,P$6:P3674,"?*")=1,MAX(AI$5:AI3673)+1,""))</f>
        <v/>
      </c>
    </row>
    <row r="3675">
      <c r="B3675" s="47" t="n"/>
      <c r="C3675" s="48" t="n"/>
      <c r="D3675" s="48" t="n"/>
      <c r="E3675" s="48" t="n"/>
      <c r="F3675" s="48" t="n"/>
      <c r="G3675" s="49" t="n"/>
      <c r="H3675" s="48" t="n"/>
      <c r="I3675" s="50" t="n"/>
      <c r="J3675" s="48" t="n"/>
      <c r="K3675" s="48" t="n"/>
      <c r="L3675" s="48" t="n"/>
      <c r="M3675" s="48" t="n"/>
      <c r="N3675" s="48" t="n"/>
      <c r="O3675" s="51">
        <f>IF(AND(B3675="",G3675="",C3675="",D3675="",J3675=""),"",IF(B3675="","⚠ Falta fecha",IF(G3675="","⚠ Falta monto",IF(Q3675="","⚠ Falta cuenta",IF(ISNA(MATCH(Q3675,ctaNombre,0)),"⚠ Cuenta no registrada",IF(AND(OR(P3675="Gasto",P3675="Reembolso"),D3675=""),"⚠ Falta categoría",IF(AND(D3675&lt;&gt;"",E3675&lt;&gt;"",ISNA(MATCH(D3675&amp;"|"&amp;E3675,catClave,0))),"⚠ Subcategoría no corresponde",IF(AND(OR(P3675="Transferencia",P3675="Pago tarjeta"),K3675=""),"⚠ Falta cuenta destino",IF(AND(K3675&lt;&gt;"",P3675&lt;&gt;"Transferencia",P3675&lt;&gt;"Pago tarjeta"),"⚠ Destino solo aplica a transferencias",IF(AND(K3675&lt;&gt;"",K3675=Q3675),"⚠ Origen igual a destino",IF(AND(K3675&lt;&gt;"",ISNA(MATCH(K3675,ctaNombre,0))),"⚠ Destino no registrado",IF(AND(P3675="Pago tarjeta",AE3675&lt;&gt;"Tarjeta de crédito"),"⚠ El destino debe ser tarjeta de crédito",IF(AND(P3675="Gasto",E3675="Depósitos y retiros"),"⚠ Usa tipo Transferencia",IF(AND(P3675="Resultado trading",AD3675&lt;&gt;"Cuenta de trading"),"⚠ Usa una cuenta de trading",IF(AND(G3675&lt;=0,P3675&lt;&gt;"Ajuste",P3675&lt;&gt;"Resultado trading"),"⚠ El monto debe ser positivo","✓")))))))))))))))</f>
        <v/>
      </c>
      <c r="P3675" s="52">
        <f>IF(OR(B3675="",G3675=""),"",IF(C3675="","Gasto",C3675))</f>
        <v/>
      </c>
      <c r="Q3675" s="52">
        <f>IF(P3675="","",IF(J3675&lt;&gt;"",J3675,CuentaPred&amp;""))</f>
        <v/>
      </c>
      <c r="R3675" s="52">
        <f>IF(P3675="","",IF(ISNUMBER(I3675),I3675,TasaUSD))</f>
        <v/>
      </c>
      <c r="S3675" s="53">
        <f>IF(P3675="","",IF(H3675="USD",G3675*R3675,G3675))</f>
        <v/>
      </c>
      <c r="T3675" s="53">
        <f>IF(P3675="","",IF(H3675="USD",G3675,IF(R3675&gt;0,G3675/R3675,0)))</f>
        <v/>
      </c>
      <c r="U3675" s="53">
        <f>IF(P3675="","",IF(P3675="Gasto",S3675,IF(P3675="Reembolso",-S3675,0)))</f>
        <v/>
      </c>
      <c r="V3675" s="53">
        <f>IF(P3675="","",IF(P3675="Ingreso",S3675,0))</f>
        <v/>
      </c>
      <c r="W3675" s="53">
        <f>IF(P3675="","",IF(P3675="Resultado trading",S3675,0))</f>
        <v/>
      </c>
      <c r="X3675" s="52">
        <f>IF(OR(P3675="Gasto",P3675="Reembolso"),IF(M3675&lt;&gt;"",M3675,IFERROR(INDEX(catClasif,MATCH(D3675&amp;"|"&amp;E3675,catClave,0))&amp;"","Variable")),"")</f>
        <v/>
      </c>
      <c r="Y3675" s="52">
        <f>IF(P3675="","",IFERROR(INDEX(catGrupo,MATCH(D3675&amp;"|"&amp;E3675,catClave,0))&amp;"",""))</f>
        <v/>
      </c>
      <c r="Z3675" s="52">
        <f>IF(P3675="","",WEEKDAY(B3675,2))</f>
        <v/>
      </c>
      <c r="AA3675" s="52">
        <f>IF(P3675="","",IF(AND(P3675="Gasto",X3675="Variable",D3675&lt;&gt;catTrading,S3675&gt;0,S3675&lt;=Umbral),1,0))</f>
        <v/>
      </c>
      <c r="AB3675" s="52">
        <f>IF(OR(P3675="",Q3675=""),"",IFERROR(IF(INDEX(ctaVinc,MATCH(Q3675,ctaNombre,0))&amp;""&lt;&gt;"",INDEX(ctaVinc,MATCH(Q3675,ctaNombre,0))&amp;"",Q3675),Q3675))</f>
        <v/>
      </c>
      <c r="AC3675" s="52">
        <f>IF(OR(K3675="",AND(P3675&lt;&gt;"Transferencia",P3675&lt;&gt;"Pago tarjeta")),"",IFERROR(IF(INDEX(ctaVinc,MATCH(K3675,ctaNombre,0))&amp;""&lt;&gt;"",INDEX(ctaVinc,MATCH(K3675,ctaNombre,0))&amp;"",K3675),K3675))</f>
        <v/>
      </c>
      <c r="AD3675" s="52">
        <f>IF(AB3675="","",IFERROR(INDEX(ctaTipo,MATCH(AB3675,ctaNombre,0))&amp;"",""))</f>
        <v/>
      </c>
      <c r="AE3675" s="52">
        <f>IF(AC3675="","",IFERROR(INDEX(ctaTipo,MATCH(AC3675,ctaNombre,0))&amp;"",""))</f>
        <v/>
      </c>
      <c r="AF3675" s="53">
        <f>IF(OR(P3675="",AB3675=""),"",IF(OR(P3675="Gasto",P3675="Transferencia",P3675="Pago tarjeta"),-1,1)*IF(IFERROR(INDEX(ctaMoneda,MATCH(AB3675,ctaNombre,0))&amp;"","DOP")="USD",T3675,S3675))</f>
        <v/>
      </c>
      <c r="AG3675" s="53">
        <f>IF(AC3675="","",IF(IFERROR(INDEX(ctaMoneda,MATCH(AC3675,ctaNombre,0))&amp;"","DOP")="USD",T3675,S3675))</f>
        <v/>
      </c>
      <c r="AH3675" s="53">
        <f>IF(P3675="","",IF(AND(AD3675&lt;&gt;"",COUNTIFS(tcTipo,AD3675,tcLiq,"Sí")&gt;0),IF(OR(P3675="Gasto",P3675="Transferencia",P3675="Pago tarjeta"),-1,1)*S3675,0)+IF(AND(AE3675&lt;&gt;"",COUNTIFS(tcTipo,AE3675,tcLiq,"Sí")&gt;0),S3675,0))</f>
        <v/>
      </c>
      <c r="AI3675" s="52">
        <f>IF(OR(L3675="",P3675=""),"",IF(COUNTIFS(L$6:L3675,L3675,P$6:P3675,"?*")=1,MAX(AI$5:AI3674)+1,""))</f>
        <v/>
      </c>
    </row>
    <row r="3676">
      <c r="B3676" s="47" t="n"/>
      <c r="C3676" s="48" t="n"/>
      <c r="D3676" s="48" t="n"/>
      <c r="E3676" s="48" t="n"/>
      <c r="F3676" s="48" t="n"/>
      <c r="G3676" s="49" t="n"/>
      <c r="H3676" s="48" t="n"/>
      <c r="I3676" s="50" t="n"/>
      <c r="J3676" s="48" t="n"/>
      <c r="K3676" s="48" t="n"/>
      <c r="L3676" s="48" t="n"/>
      <c r="M3676" s="48" t="n"/>
      <c r="N3676" s="48" t="n"/>
      <c r="O3676" s="51">
        <f>IF(AND(B3676="",G3676="",C3676="",D3676="",J3676=""),"",IF(B3676="","⚠ Falta fecha",IF(G3676="","⚠ Falta monto",IF(Q3676="","⚠ Falta cuenta",IF(ISNA(MATCH(Q3676,ctaNombre,0)),"⚠ Cuenta no registrada",IF(AND(OR(P3676="Gasto",P3676="Reembolso"),D3676=""),"⚠ Falta categoría",IF(AND(D3676&lt;&gt;"",E3676&lt;&gt;"",ISNA(MATCH(D3676&amp;"|"&amp;E3676,catClave,0))),"⚠ Subcategoría no corresponde",IF(AND(OR(P3676="Transferencia",P3676="Pago tarjeta"),K3676=""),"⚠ Falta cuenta destino",IF(AND(K3676&lt;&gt;"",P3676&lt;&gt;"Transferencia",P3676&lt;&gt;"Pago tarjeta"),"⚠ Destino solo aplica a transferencias",IF(AND(K3676&lt;&gt;"",K3676=Q3676),"⚠ Origen igual a destino",IF(AND(K3676&lt;&gt;"",ISNA(MATCH(K3676,ctaNombre,0))),"⚠ Destino no registrado",IF(AND(P3676="Pago tarjeta",AE3676&lt;&gt;"Tarjeta de crédito"),"⚠ El destino debe ser tarjeta de crédito",IF(AND(P3676="Gasto",E3676="Depósitos y retiros"),"⚠ Usa tipo Transferencia",IF(AND(P3676="Resultado trading",AD3676&lt;&gt;"Cuenta de trading"),"⚠ Usa una cuenta de trading",IF(AND(G3676&lt;=0,P3676&lt;&gt;"Ajuste",P3676&lt;&gt;"Resultado trading"),"⚠ El monto debe ser positivo","✓")))))))))))))))</f>
        <v/>
      </c>
      <c r="P3676" s="52">
        <f>IF(OR(B3676="",G3676=""),"",IF(C3676="","Gasto",C3676))</f>
        <v/>
      </c>
      <c r="Q3676" s="52">
        <f>IF(P3676="","",IF(J3676&lt;&gt;"",J3676,CuentaPred&amp;""))</f>
        <v/>
      </c>
      <c r="R3676" s="52">
        <f>IF(P3676="","",IF(ISNUMBER(I3676),I3676,TasaUSD))</f>
        <v/>
      </c>
      <c r="S3676" s="53">
        <f>IF(P3676="","",IF(H3676="USD",G3676*R3676,G3676))</f>
        <v/>
      </c>
      <c r="T3676" s="53">
        <f>IF(P3676="","",IF(H3676="USD",G3676,IF(R3676&gt;0,G3676/R3676,0)))</f>
        <v/>
      </c>
      <c r="U3676" s="53">
        <f>IF(P3676="","",IF(P3676="Gasto",S3676,IF(P3676="Reembolso",-S3676,0)))</f>
        <v/>
      </c>
      <c r="V3676" s="53">
        <f>IF(P3676="","",IF(P3676="Ingreso",S3676,0))</f>
        <v/>
      </c>
      <c r="W3676" s="53">
        <f>IF(P3676="","",IF(P3676="Resultado trading",S3676,0))</f>
        <v/>
      </c>
      <c r="X3676" s="52">
        <f>IF(OR(P3676="Gasto",P3676="Reembolso"),IF(M3676&lt;&gt;"",M3676,IFERROR(INDEX(catClasif,MATCH(D3676&amp;"|"&amp;E3676,catClave,0))&amp;"","Variable")),"")</f>
        <v/>
      </c>
      <c r="Y3676" s="52">
        <f>IF(P3676="","",IFERROR(INDEX(catGrupo,MATCH(D3676&amp;"|"&amp;E3676,catClave,0))&amp;"",""))</f>
        <v/>
      </c>
      <c r="Z3676" s="52">
        <f>IF(P3676="","",WEEKDAY(B3676,2))</f>
        <v/>
      </c>
      <c r="AA3676" s="52">
        <f>IF(P3676="","",IF(AND(P3676="Gasto",X3676="Variable",D3676&lt;&gt;catTrading,S3676&gt;0,S3676&lt;=Umbral),1,0))</f>
        <v/>
      </c>
      <c r="AB3676" s="52">
        <f>IF(OR(P3676="",Q3676=""),"",IFERROR(IF(INDEX(ctaVinc,MATCH(Q3676,ctaNombre,0))&amp;""&lt;&gt;"",INDEX(ctaVinc,MATCH(Q3676,ctaNombre,0))&amp;"",Q3676),Q3676))</f>
        <v/>
      </c>
      <c r="AC3676" s="52">
        <f>IF(OR(K3676="",AND(P3676&lt;&gt;"Transferencia",P3676&lt;&gt;"Pago tarjeta")),"",IFERROR(IF(INDEX(ctaVinc,MATCH(K3676,ctaNombre,0))&amp;""&lt;&gt;"",INDEX(ctaVinc,MATCH(K3676,ctaNombre,0))&amp;"",K3676),K3676))</f>
        <v/>
      </c>
      <c r="AD3676" s="52">
        <f>IF(AB3676="","",IFERROR(INDEX(ctaTipo,MATCH(AB3676,ctaNombre,0))&amp;"",""))</f>
        <v/>
      </c>
      <c r="AE3676" s="52">
        <f>IF(AC3676="","",IFERROR(INDEX(ctaTipo,MATCH(AC3676,ctaNombre,0))&amp;"",""))</f>
        <v/>
      </c>
      <c r="AF3676" s="53">
        <f>IF(OR(P3676="",AB3676=""),"",IF(OR(P3676="Gasto",P3676="Transferencia",P3676="Pago tarjeta"),-1,1)*IF(IFERROR(INDEX(ctaMoneda,MATCH(AB3676,ctaNombre,0))&amp;"","DOP")="USD",T3676,S3676))</f>
        <v/>
      </c>
      <c r="AG3676" s="53">
        <f>IF(AC3676="","",IF(IFERROR(INDEX(ctaMoneda,MATCH(AC3676,ctaNombre,0))&amp;"","DOP")="USD",T3676,S3676))</f>
        <v/>
      </c>
      <c r="AH3676" s="53">
        <f>IF(P3676="","",IF(AND(AD3676&lt;&gt;"",COUNTIFS(tcTipo,AD3676,tcLiq,"Sí")&gt;0),IF(OR(P3676="Gasto",P3676="Transferencia",P3676="Pago tarjeta"),-1,1)*S3676,0)+IF(AND(AE3676&lt;&gt;"",COUNTIFS(tcTipo,AE3676,tcLiq,"Sí")&gt;0),S3676,0))</f>
        <v/>
      </c>
      <c r="AI3676" s="52">
        <f>IF(OR(L3676="",P3676=""),"",IF(COUNTIFS(L$6:L3676,L3676,P$6:P3676,"?*")=1,MAX(AI$5:AI3675)+1,""))</f>
        <v/>
      </c>
    </row>
    <row r="3677">
      <c r="B3677" s="47" t="n"/>
      <c r="C3677" s="48" t="n"/>
      <c r="D3677" s="48" t="n"/>
      <c r="E3677" s="48" t="n"/>
      <c r="F3677" s="48" t="n"/>
      <c r="G3677" s="49" t="n"/>
      <c r="H3677" s="48" t="n"/>
      <c r="I3677" s="50" t="n"/>
      <c r="J3677" s="48" t="n"/>
      <c r="K3677" s="48" t="n"/>
      <c r="L3677" s="48" t="n"/>
      <c r="M3677" s="48" t="n"/>
      <c r="N3677" s="48" t="n"/>
      <c r="O3677" s="51">
        <f>IF(AND(B3677="",G3677="",C3677="",D3677="",J3677=""),"",IF(B3677="","⚠ Falta fecha",IF(G3677="","⚠ Falta monto",IF(Q3677="","⚠ Falta cuenta",IF(ISNA(MATCH(Q3677,ctaNombre,0)),"⚠ Cuenta no registrada",IF(AND(OR(P3677="Gasto",P3677="Reembolso"),D3677=""),"⚠ Falta categoría",IF(AND(D3677&lt;&gt;"",E3677&lt;&gt;"",ISNA(MATCH(D3677&amp;"|"&amp;E3677,catClave,0))),"⚠ Subcategoría no corresponde",IF(AND(OR(P3677="Transferencia",P3677="Pago tarjeta"),K3677=""),"⚠ Falta cuenta destino",IF(AND(K3677&lt;&gt;"",P3677&lt;&gt;"Transferencia",P3677&lt;&gt;"Pago tarjeta"),"⚠ Destino solo aplica a transferencias",IF(AND(K3677&lt;&gt;"",K3677=Q3677),"⚠ Origen igual a destino",IF(AND(K3677&lt;&gt;"",ISNA(MATCH(K3677,ctaNombre,0))),"⚠ Destino no registrado",IF(AND(P3677="Pago tarjeta",AE3677&lt;&gt;"Tarjeta de crédito"),"⚠ El destino debe ser tarjeta de crédito",IF(AND(P3677="Gasto",E3677="Depósitos y retiros"),"⚠ Usa tipo Transferencia",IF(AND(P3677="Resultado trading",AD3677&lt;&gt;"Cuenta de trading"),"⚠ Usa una cuenta de trading",IF(AND(G3677&lt;=0,P3677&lt;&gt;"Ajuste",P3677&lt;&gt;"Resultado trading"),"⚠ El monto debe ser positivo","✓")))))))))))))))</f>
        <v/>
      </c>
      <c r="P3677" s="52">
        <f>IF(OR(B3677="",G3677=""),"",IF(C3677="","Gasto",C3677))</f>
        <v/>
      </c>
      <c r="Q3677" s="52">
        <f>IF(P3677="","",IF(J3677&lt;&gt;"",J3677,CuentaPred&amp;""))</f>
        <v/>
      </c>
      <c r="R3677" s="52">
        <f>IF(P3677="","",IF(ISNUMBER(I3677),I3677,TasaUSD))</f>
        <v/>
      </c>
      <c r="S3677" s="53">
        <f>IF(P3677="","",IF(H3677="USD",G3677*R3677,G3677))</f>
        <v/>
      </c>
      <c r="T3677" s="53">
        <f>IF(P3677="","",IF(H3677="USD",G3677,IF(R3677&gt;0,G3677/R3677,0)))</f>
        <v/>
      </c>
      <c r="U3677" s="53">
        <f>IF(P3677="","",IF(P3677="Gasto",S3677,IF(P3677="Reembolso",-S3677,0)))</f>
        <v/>
      </c>
      <c r="V3677" s="53">
        <f>IF(P3677="","",IF(P3677="Ingreso",S3677,0))</f>
        <v/>
      </c>
      <c r="W3677" s="53">
        <f>IF(P3677="","",IF(P3677="Resultado trading",S3677,0))</f>
        <v/>
      </c>
      <c r="X3677" s="52">
        <f>IF(OR(P3677="Gasto",P3677="Reembolso"),IF(M3677&lt;&gt;"",M3677,IFERROR(INDEX(catClasif,MATCH(D3677&amp;"|"&amp;E3677,catClave,0))&amp;"","Variable")),"")</f>
        <v/>
      </c>
      <c r="Y3677" s="52">
        <f>IF(P3677="","",IFERROR(INDEX(catGrupo,MATCH(D3677&amp;"|"&amp;E3677,catClave,0))&amp;"",""))</f>
        <v/>
      </c>
      <c r="Z3677" s="52">
        <f>IF(P3677="","",WEEKDAY(B3677,2))</f>
        <v/>
      </c>
      <c r="AA3677" s="52">
        <f>IF(P3677="","",IF(AND(P3677="Gasto",X3677="Variable",D3677&lt;&gt;catTrading,S3677&gt;0,S3677&lt;=Umbral),1,0))</f>
        <v/>
      </c>
      <c r="AB3677" s="52">
        <f>IF(OR(P3677="",Q3677=""),"",IFERROR(IF(INDEX(ctaVinc,MATCH(Q3677,ctaNombre,0))&amp;""&lt;&gt;"",INDEX(ctaVinc,MATCH(Q3677,ctaNombre,0))&amp;"",Q3677),Q3677))</f>
        <v/>
      </c>
      <c r="AC3677" s="52">
        <f>IF(OR(K3677="",AND(P3677&lt;&gt;"Transferencia",P3677&lt;&gt;"Pago tarjeta")),"",IFERROR(IF(INDEX(ctaVinc,MATCH(K3677,ctaNombre,0))&amp;""&lt;&gt;"",INDEX(ctaVinc,MATCH(K3677,ctaNombre,0))&amp;"",K3677),K3677))</f>
        <v/>
      </c>
      <c r="AD3677" s="52">
        <f>IF(AB3677="","",IFERROR(INDEX(ctaTipo,MATCH(AB3677,ctaNombre,0))&amp;"",""))</f>
        <v/>
      </c>
      <c r="AE3677" s="52">
        <f>IF(AC3677="","",IFERROR(INDEX(ctaTipo,MATCH(AC3677,ctaNombre,0))&amp;"",""))</f>
        <v/>
      </c>
      <c r="AF3677" s="53">
        <f>IF(OR(P3677="",AB3677=""),"",IF(OR(P3677="Gasto",P3677="Transferencia",P3677="Pago tarjeta"),-1,1)*IF(IFERROR(INDEX(ctaMoneda,MATCH(AB3677,ctaNombre,0))&amp;"","DOP")="USD",T3677,S3677))</f>
        <v/>
      </c>
      <c r="AG3677" s="53">
        <f>IF(AC3677="","",IF(IFERROR(INDEX(ctaMoneda,MATCH(AC3677,ctaNombre,0))&amp;"","DOP")="USD",T3677,S3677))</f>
        <v/>
      </c>
      <c r="AH3677" s="53">
        <f>IF(P3677="","",IF(AND(AD3677&lt;&gt;"",COUNTIFS(tcTipo,AD3677,tcLiq,"Sí")&gt;0),IF(OR(P3677="Gasto",P3677="Transferencia",P3677="Pago tarjeta"),-1,1)*S3677,0)+IF(AND(AE3677&lt;&gt;"",COUNTIFS(tcTipo,AE3677,tcLiq,"Sí")&gt;0),S3677,0))</f>
        <v/>
      </c>
      <c r="AI3677" s="52">
        <f>IF(OR(L3677="",P3677=""),"",IF(COUNTIFS(L$6:L3677,L3677,P$6:P3677,"?*")=1,MAX(AI$5:AI3676)+1,""))</f>
        <v/>
      </c>
    </row>
    <row r="3678">
      <c r="B3678" s="47" t="n"/>
      <c r="C3678" s="48" t="n"/>
      <c r="D3678" s="48" t="n"/>
      <c r="E3678" s="48" t="n"/>
      <c r="F3678" s="48" t="n"/>
      <c r="G3678" s="49" t="n"/>
      <c r="H3678" s="48" t="n"/>
      <c r="I3678" s="50" t="n"/>
      <c r="J3678" s="48" t="n"/>
      <c r="K3678" s="48" t="n"/>
      <c r="L3678" s="48" t="n"/>
      <c r="M3678" s="48" t="n"/>
      <c r="N3678" s="48" t="n"/>
      <c r="O3678" s="51">
        <f>IF(AND(B3678="",G3678="",C3678="",D3678="",J3678=""),"",IF(B3678="","⚠ Falta fecha",IF(G3678="","⚠ Falta monto",IF(Q3678="","⚠ Falta cuenta",IF(ISNA(MATCH(Q3678,ctaNombre,0)),"⚠ Cuenta no registrada",IF(AND(OR(P3678="Gasto",P3678="Reembolso"),D3678=""),"⚠ Falta categoría",IF(AND(D3678&lt;&gt;"",E3678&lt;&gt;"",ISNA(MATCH(D3678&amp;"|"&amp;E3678,catClave,0))),"⚠ Subcategoría no corresponde",IF(AND(OR(P3678="Transferencia",P3678="Pago tarjeta"),K3678=""),"⚠ Falta cuenta destino",IF(AND(K3678&lt;&gt;"",P3678&lt;&gt;"Transferencia",P3678&lt;&gt;"Pago tarjeta"),"⚠ Destino solo aplica a transferencias",IF(AND(K3678&lt;&gt;"",K3678=Q3678),"⚠ Origen igual a destino",IF(AND(K3678&lt;&gt;"",ISNA(MATCH(K3678,ctaNombre,0))),"⚠ Destino no registrado",IF(AND(P3678="Pago tarjeta",AE3678&lt;&gt;"Tarjeta de crédito"),"⚠ El destino debe ser tarjeta de crédito",IF(AND(P3678="Gasto",E3678="Depósitos y retiros"),"⚠ Usa tipo Transferencia",IF(AND(P3678="Resultado trading",AD3678&lt;&gt;"Cuenta de trading"),"⚠ Usa una cuenta de trading",IF(AND(G3678&lt;=0,P3678&lt;&gt;"Ajuste",P3678&lt;&gt;"Resultado trading"),"⚠ El monto debe ser positivo","✓")))))))))))))))</f>
        <v/>
      </c>
      <c r="P3678" s="52">
        <f>IF(OR(B3678="",G3678=""),"",IF(C3678="","Gasto",C3678))</f>
        <v/>
      </c>
      <c r="Q3678" s="52">
        <f>IF(P3678="","",IF(J3678&lt;&gt;"",J3678,CuentaPred&amp;""))</f>
        <v/>
      </c>
      <c r="R3678" s="52">
        <f>IF(P3678="","",IF(ISNUMBER(I3678),I3678,TasaUSD))</f>
        <v/>
      </c>
      <c r="S3678" s="53">
        <f>IF(P3678="","",IF(H3678="USD",G3678*R3678,G3678))</f>
        <v/>
      </c>
      <c r="T3678" s="53">
        <f>IF(P3678="","",IF(H3678="USD",G3678,IF(R3678&gt;0,G3678/R3678,0)))</f>
        <v/>
      </c>
      <c r="U3678" s="53">
        <f>IF(P3678="","",IF(P3678="Gasto",S3678,IF(P3678="Reembolso",-S3678,0)))</f>
        <v/>
      </c>
      <c r="V3678" s="53">
        <f>IF(P3678="","",IF(P3678="Ingreso",S3678,0))</f>
        <v/>
      </c>
      <c r="W3678" s="53">
        <f>IF(P3678="","",IF(P3678="Resultado trading",S3678,0))</f>
        <v/>
      </c>
      <c r="X3678" s="52">
        <f>IF(OR(P3678="Gasto",P3678="Reembolso"),IF(M3678&lt;&gt;"",M3678,IFERROR(INDEX(catClasif,MATCH(D3678&amp;"|"&amp;E3678,catClave,0))&amp;"","Variable")),"")</f>
        <v/>
      </c>
      <c r="Y3678" s="52">
        <f>IF(P3678="","",IFERROR(INDEX(catGrupo,MATCH(D3678&amp;"|"&amp;E3678,catClave,0))&amp;"",""))</f>
        <v/>
      </c>
      <c r="Z3678" s="52">
        <f>IF(P3678="","",WEEKDAY(B3678,2))</f>
        <v/>
      </c>
      <c r="AA3678" s="52">
        <f>IF(P3678="","",IF(AND(P3678="Gasto",X3678="Variable",D3678&lt;&gt;catTrading,S3678&gt;0,S3678&lt;=Umbral),1,0))</f>
        <v/>
      </c>
      <c r="AB3678" s="52">
        <f>IF(OR(P3678="",Q3678=""),"",IFERROR(IF(INDEX(ctaVinc,MATCH(Q3678,ctaNombre,0))&amp;""&lt;&gt;"",INDEX(ctaVinc,MATCH(Q3678,ctaNombre,0))&amp;"",Q3678),Q3678))</f>
        <v/>
      </c>
      <c r="AC3678" s="52">
        <f>IF(OR(K3678="",AND(P3678&lt;&gt;"Transferencia",P3678&lt;&gt;"Pago tarjeta")),"",IFERROR(IF(INDEX(ctaVinc,MATCH(K3678,ctaNombre,0))&amp;""&lt;&gt;"",INDEX(ctaVinc,MATCH(K3678,ctaNombre,0))&amp;"",K3678),K3678))</f>
        <v/>
      </c>
      <c r="AD3678" s="52">
        <f>IF(AB3678="","",IFERROR(INDEX(ctaTipo,MATCH(AB3678,ctaNombre,0))&amp;"",""))</f>
        <v/>
      </c>
      <c r="AE3678" s="52">
        <f>IF(AC3678="","",IFERROR(INDEX(ctaTipo,MATCH(AC3678,ctaNombre,0))&amp;"",""))</f>
        <v/>
      </c>
      <c r="AF3678" s="53">
        <f>IF(OR(P3678="",AB3678=""),"",IF(OR(P3678="Gasto",P3678="Transferencia",P3678="Pago tarjeta"),-1,1)*IF(IFERROR(INDEX(ctaMoneda,MATCH(AB3678,ctaNombre,0))&amp;"","DOP")="USD",T3678,S3678))</f>
        <v/>
      </c>
      <c r="AG3678" s="53">
        <f>IF(AC3678="","",IF(IFERROR(INDEX(ctaMoneda,MATCH(AC3678,ctaNombre,0))&amp;"","DOP")="USD",T3678,S3678))</f>
        <v/>
      </c>
      <c r="AH3678" s="53">
        <f>IF(P3678="","",IF(AND(AD3678&lt;&gt;"",COUNTIFS(tcTipo,AD3678,tcLiq,"Sí")&gt;0),IF(OR(P3678="Gasto",P3678="Transferencia",P3678="Pago tarjeta"),-1,1)*S3678,0)+IF(AND(AE3678&lt;&gt;"",COUNTIFS(tcTipo,AE3678,tcLiq,"Sí")&gt;0),S3678,0))</f>
        <v/>
      </c>
      <c r="AI3678" s="52">
        <f>IF(OR(L3678="",P3678=""),"",IF(COUNTIFS(L$6:L3678,L3678,P$6:P3678,"?*")=1,MAX(AI$5:AI3677)+1,""))</f>
        <v/>
      </c>
    </row>
    <row r="3679">
      <c r="B3679" s="47" t="n"/>
      <c r="C3679" s="48" t="n"/>
      <c r="D3679" s="48" t="n"/>
      <c r="E3679" s="48" t="n"/>
      <c r="F3679" s="48" t="n"/>
      <c r="G3679" s="49" t="n"/>
      <c r="H3679" s="48" t="n"/>
      <c r="I3679" s="50" t="n"/>
      <c r="J3679" s="48" t="n"/>
      <c r="K3679" s="48" t="n"/>
      <c r="L3679" s="48" t="n"/>
      <c r="M3679" s="48" t="n"/>
      <c r="N3679" s="48" t="n"/>
      <c r="O3679" s="51">
        <f>IF(AND(B3679="",G3679="",C3679="",D3679="",J3679=""),"",IF(B3679="","⚠ Falta fecha",IF(G3679="","⚠ Falta monto",IF(Q3679="","⚠ Falta cuenta",IF(ISNA(MATCH(Q3679,ctaNombre,0)),"⚠ Cuenta no registrada",IF(AND(OR(P3679="Gasto",P3679="Reembolso"),D3679=""),"⚠ Falta categoría",IF(AND(D3679&lt;&gt;"",E3679&lt;&gt;"",ISNA(MATCH(D3679&amp;"|"&amp;E3679,catClave,0))),"⚠ Subcategoría no corresponde",IF(AND(OR(P3679="Transferencia",P3679="Pago tarjeta"),K3679=""),"⚠ Falta cuenta destino",IF(AND(K3679&lt;&gt;"",P3679&lt;&gt;"Transferencia",P3679&lt;&gt;"Pago tarjeta"),"⚠ Destino solo aplica a transferencias",IF(AND(K3679&lt;&gt;"",K3679=Q3679),"⚠ Origen igual a destino",IF(AND(K3679&lt;&gt;"",ISNA(MATCH(K3679,ctaNombre,0))),"⚠ Destino no registrado",IF(AND(P3679="Pago tarjeta",AE3679&lt;&gt;"Tarjeta de crédito"),"⚠ El destino debe ser tarjeta de crédito",IF(AND(P3679="Gasto",E3679="Depósitos y retiros"),"⚠ Usa tipo Transferencia",IF(AND(P3679="Resultado trading",AD3679&lt;&gt;"Cuenta de trading"),"⚠ Usa una cuenta de trading",IF(AND(G3679&lt;=0,P3679&lt;&gt;"Ajuste",P3679&lt;&gt;"Resultado trading"),"⚠ El monto debe ser positivo","✓")))))))))))))))</f>
        <v/>
      </c>
      <c r="P3679" s="52">
        <f>IF(OR(B3679="",G3679=""),"",IF(C3679="","Gasto",C3679))</f>
        <v/>
      </c>
      <c r="Q3679" s="52">
        <f>IF(P3679="","",IF(J3679&lt;&gt;"",J3679,CuentaPred&amp;""))</f>
        <v/>
      </c>
      <c r="R3679" s="52">
        <f>IF(P3679="","",IF(ISNUMBER(I3679),I3679,TasaUSD))</f>
        <v/>
      </c>
      <c r="S3679" s="53">
        <f>IF(P3679="","",IF(H3679="USD",G3679*R3679,G3679))</f>
        <v/>
      </c>
      <c r="T3679" s="53">
        <f>IF(P3679="","",IF(H3679="USD",G3679,IF(R3679&gt;0,G3679/R3679,0)))</f>
        <v/>
      </c>
      <c r="U3679" s="53">
        <f>IF(P3679="","",IF(P3679="Gasto",S3679,IF(P3679="Reembolso",-S3679,0)))</f>
        <v/>
      </c>
      <c r="V3679" s="53">
        <f>IF(P3679="","",IF(P3679="Ingreso",S3679,0))</f>
        <v/>
      </c>
      <c r="W3679" s="53">
        <f>IF(P3679="","",IF(P3679="Resultado trading",S3679,0))</f>
        <v/>
      </c>
      <c r="X3679" s="52">
        <f>IF(OR(P3679="Gasto",P3679="Reembolso"),IF(M3679&lt;&gt;"",M3679,IFERROR(INDEX(catClasif,MATCH(D3679&amp;"|"&amp;E3679,catClave,0))&amp;"","Variable")),"")</f>
        <v/>
      </c>
      <c r="Y3679" s="52">
        <f>IF(P3679="","",IFERROR(INDEX(catGrupo,MATCH(D3679&amp;"|"&amp;E3679,catClave,0))&amp;"",""))</f>
        <v/>
      </c>
      <c r="Z3679" s="52">
        <f>IF(P3679="","",WEEKDAY(B3679,2))</f>
        <v/>
      </c>
      <c r="AA3679" s="52">
        <f>IF(P3679="","",IF(AND(P3679="Gasto",X3679="Variable",D3679&lt;&gt;catTrading,S3679&gt;0,S3679&lt;=Umbral),1,0))</f>
        <v/>
      </c>
      <c r="AB3679" s="52">
        <f>IF(OR(P3679="",Q3679=""),"",IFERROR(IF(INDEX(ctaVinc,MATCH(Q3679,ctaNombre,0))&amp;""&lt;&gt;"",INDEX(ctaVinc,MATCH(Q3679,ctaNombre,0))&amp;"",Q3679),Q3679))</f>
        <v/>
      </c>
      <c r="AC3679" s="52">
        <f>IF(OR(K3679="",AND(P3679&lt;&gt;"Transferencia",P3679&lt;&gt;"Pago tarjeta")),"",IFERROR(IF(INDEX(ctaVinc,MATCH(K3679,ctaNombre,0))&amp;""&lt;&gt;"",INDEX(ctaVinc,MATCH(K3679,ctaNombre,0))&amp;"",K3679),K3679))</f>
        <v/>
      </c>
      <c r="AD3679" s="52">
        <f>IF(AB3679="","",IFERROR(INDEX(ctaTipo,MATCH(AB3679,ctaNombre,0))&amp;"",""))</f>
        <v/>
      </c>
      <c r="AE3679" s="52">
        <f>IF(AC3679="","",IFERROR(INDEX(ctaTipo,MATCH(AC3679,ctaNombre,0))&amp;"",""))</f>
        <v/>
      </c>
      <c r="AF3679" s="53">
        <f>IF(OR(P3679="",AB3679=""),"",IF(OR(P3679="Gasto",P3679="Transferencia",P3679="Pago tarjeta"),-1,1)*IF(IFERROR(INDEX(ctaMoneda,MATCH(AB3679,ctaNombre,0))&amp;"","DOP")="USD",T3679,S3679))</f>
        <v/>
      </c>
      <c r="AG3679" s="53">
        <f>IF(AC3679="","",IF(IFERROR(INDEX(ctaMoneda,MATCH(AC3679,ctaNombre,0))&amp;"","DOP")="USD",T3679,S3679))</f>
        <v/>
      </c>
      <c r="AH3679" s="53">
        <f>IF(P3679="","",IF(AND(AD3679&lt;&gt;"",COUNTIFS(tcTipo,AD3679,tcLiq,"Sí")&gt;0),IF(OR(P3679="Gasto",P3679="Transferencia",P3679="Pago tarjeta"),-1,1)*S3679,0)+IF(AND(AE3679&lt;&gt;"",COUNTIFS(tcTipo,AE3679,tcLiq,"Sí")&gt;0),S3679,0))</f>
        <v/>
      </c>
      <c r="AI3679" s="52">
        <f>IF(OR(L3679="",P3679=""),"",IF(COUNTIFS(L$6:L3679,L3679,P$6:P3679,"?*")=1,MAX(AI$5:AI3678)+1,""))</f>
        <v/>
      </c>
    </row>
    <row r="3680">
      <c r="B3680" s="47" t="n"/>
      <c r="C3680" s="48" t="n"/>
      <c r="D3680" s="48" t="n"/>
      <c r="E3680" s="48" t="n"/>
      <c r="F3680" s="48" t="n"/>
      <c r="G3680" s="49" t="n"/>
      <c r="H3680" s="48" t="n"/>
      <c r="I3680" s="50" t="n"/>
      <c r="J3680" s="48" t="n"/>
      <c r="K3680" s="48" t="n"/>
      <c r="L3680" s="48" t="n"/>
      <c r="M3680" s="48" t="n"/>
      <c r="N3680" s="48" t="n"/>
      <c r="O3680" s="51">
        <f>IF(AND(B3680="",G3680="",C3680="",D3680="",J3680=""),"",IF(B3680="","⚠ Falta fecha",IF(G3680="","⚠ Falta monto",IF(Q3680="","⚠ Falta cuenta",IF(ISNA(MATCH(Q3680,ctaNombre,0)),"⚠ Cuenta no registrada",IF(AND(OR(P3680="Gasto",P3680="Reembolso"),D3680=""),"⚠ Falta categoría",IF(AND(D3680&lt;&gt;"",E3680&lt;&gt;"",ISNA(MATCH(D3680&amp;"|"&amp;E3680,catClave,0))),"⚠ Subcategoría no corresponde",IF(AND(OR(P3680="Transferencia",P3680="Pago tarjeta"),K3680=""),"⚠ Falta cuenta destino",IF(AND(K3680&lt;&gt;"",P3680&lt;&gt;"Transferencia",P3680&lt;&gt;"Pago tarjeta"),"⚠ Destino solo aplica a transferencias",IF(AND(K3680&lt;&gt;"",K3680=Q3680),"⚠ Origen igual a destino",IF(AND(K3680&lt;&gt;"",ISNA(MATCH(K3680,ctaNombre,0))),"⚠ Destino no registrado",IF(AND(P3680="Pago tarjeta",AE3680&lt;&gt;"Tarjeta de crédito"),"⚠ El destino debe ser tarjeta de crédito",IF(AND(P3680="Gasto",E3680="Depósitos y retiros"),"⚠ Usa tipo Transferencia",IF(AND(P3680="Resultado trading",AD3680&lt;&gt;"Cuenta de trading"),"⚠ Usa una cuenta de trading",IF(AND(G3680&lt;=0,P3680&lt;&gt;"Ajuste",P3680&lt;&gt;"Resultado trading"),"⚠ El monto debe ser positivo","✓")))))))))))))))</f>
        <v/>
      </c>
      <c r="P3680" s="52">
        <f>IF(OR(B3680="",G3680=""),"",IF(C3680="","Gasto",C3680))</f>
        <v/>
      </c>
      <c r="Q3680" s="52">
        <f>IF(P3680="","",IF(J3680&lt;&gt;"",J3680,CuentaPred&amp;""))</f>
        <v/>
      </c>
      <c r="R3680" s="52">
        <f>IF(P3680="","",IF(ISNUMBER(I3680),I3680,TasaUSD))</f>
        <v/>
      </c>
      <c r="S3680" s="53">
        <f>IF(P3680="","",IF(H3680="USD",G3680*R3680,G3680))</f>
        <v/>
      </c>
      <c r="T3680" s="53">
        <f>IF(P3680="","",IF(H3680="USD",G3680,IF(R3680&gt;0,G3680/R3680,0)))</f>
        <v/>
      </c>
      <c r="U3680" s="53">
        <f>IF(P3680="","",IF(P3680="Gasto",S3680,IF(P3680="Reembolso",-S3680,0)))</f>
        <v/>
      </c>
      <c r="V3680" s="53">
        <f>IF(P3680="","",IF(P3680="Ingreso",S3680,0))</f>
        <v/>
      </c>
      <c r="W3680" s="53">
        <f>IF(P3680="","",IF(P3680="Resultado trading",S3680,0))</f>
        <v/>
      </c>
      <c r="X3680" s="52">
        <f>IF(OR(P3680="Gasto",P3680="Reembolso"),IF(M3680&lt;&gt;"",M3680,IFERROR(INDEX(catClasif,MATCH(D3680&amp;"|"&amp;E3680,catClave,0))&amp;"","Variable")),"")</f>
        <v/>
      </c>
      <c r="Y3680" s="52">
        <f>IF(P3680="","",IFERROR(INDEX(catGrupo,MATCH(D3680&amp;"|"&amp;E3680,catClave,0))&amp;"",""))</f>
        <v/>
      </c>
      <c r="Z3680" s="52">
        <f>IF(P3680="","",WEEKDAY(B3680,2))</f>
        <v/>
      </c>
      <c r="AA3680" s="52">
        <f>IF(P3680="","",IF(AND(P3680="Gasto",X3680="Variable",D3680&lt;&gt;catTrading,S3680&gt;0,S3680&lt;=Umbral),1,0))</f>
        <v/>
      </c>
      <c r="AB3680" s="52">
        <f>IF(OR(P3680="",Q3680=""),"",IFERROR(IF(INDEX(ctaVinc,MATCH(Q3680,ctaNombre,0))&amp;""&lt;&gt;"",INDEX(ctaVinc,MATCH(Q3680,ctaNombre,0))&amp;"",Q3680),Q3680))</f>
        <v/>
      </c>
      <c r="AC3680" s="52">
        <f>IF(OR(K3680="",AND(P3680&lt;&gt;"Transferencia",P3680&lt;&gt;"Pago tarjeta")),"",IFERROR(IF(INDEX(ctaVinc,MATCH(K3680,ctaNombre,0))&amp;""&lt;&gt;"",INDEX(ctaVinc,MATCH(K3680,ctaNombre,0))&amp;"",K3680),K3680))</f>
        <v/>
      </c>
      <c r="AD3680" s="52">
        <f>IF(AB3680="","",IFERROR(INDEX(ctaTipo,MATCH(AB3680,ctaNombre,0))&amp;"",""))</f>
        <v/>
      </c>
      <c r="AE3680" s="52">
        <f>IF(AC3680="","",IFERROR(INDEX(ctaTipo,MATCH(AC3680,ctaNombre,0))&amp;"",""))</f>
        <v/>
      </c>
      <c r="AF3680" s="53">
        <f>IF(OR(P3680="",AB3680=""),"",IF(OR(P3680="Gasto",P3680="Transferencia",P3680="Pago tarjeta"),-1,1)*IF(IFERROR(INDEX(ctaMoneda,MATCH(AB3680,ctaNombre,0))&amp;"","DOP")="USD",T3680,S3680))</f>
        <v/>
      </c>
      <c r="AG3680" s="53">
        <f>IF(AC3680="","",IF(IFERROR(INDEX(ctaMoneda,MATCH(AC3680,ctaNombre,0))&amp;"","DOP")="USD",T3680,S3680))</f>
        <v/>
      </c>
      <c r="AH3680" s="53">
        <f>IF(P3680="","",IF(AND(AD3680&lt;&gt;"",COUNTIFS(tcTipo,AD3680,tcLiq,"Sí")&gt;0),IF(OR(P3680="Gasto",P3680="Transferencia",P3680="Pago tarjeta"),-1,1)*S3680,0)+IF(AND(AE3680&lt;&gt;"",COUNTIFS(tcTipo,AE3680,tcLiq,"Sí")&gt;0),S3680,0))</f>
        <v/>
      </c>
      <c r="AI3680" s="52">
        <f>IF(OR(L3680="",P3680=""),"",IF(COUNTIFS(L$6:L3680,L3680,P$6:P3680,"?*")=1,MAX(AI$5:AI3679)+1,""))</f>
        <v/>
      </c>
    </row>
    <row r="3681">
      <c r="B3681" s="47" t="n"/>
      <c r="C3681" s="48" t="n"/>
      <c r="D3681" s="48" t="n"/>
      <c r="E3681" s="48" t="n"/>
      <c r="F3681" s="48" t="n"/>
      <c r="G3681" s="49" t="n"/>
      <c r="H3681" s="48" t="n"/>
      <c r="I3681" s="50" t="n"/>
      <c r="J3681" s="48" t="n"/>
      <c r="K3681" s="48" t="n"/>
      <c r="L3681" s="48" t="n"/>
      <c r="M3681" s="48" t="n"/>
      <c r="N3681" s="48" t="n"/>
      <c r="O3681" s="51">
        <f>IF(AND(B3681="",G3681="",C3681="",D3681="",J3681=""),"",IF(B3681="","⚠ Falta fecha",IF(G3681="","⚠ Falta monto",IF(Q3681="","⚠ Falta cuenta",IF(ISNA(MATCH(Q3681,ctaNombre,0)),"⚠ Cuenta no registrada",IF(AND(OR(P3681="Gasto",P3681="Reembolso"),D3681=""),"⚠ Falta categoría",IF(AND(D3681&lt;&gt;"",E3681&lt;&gt;"",ISNA(MATCH(D3681&amp;"|"&amp;E3681,catClave,0))),"⚠ Subcategoría no corresponde",IF(AND(OR(P3681="Transferencia",P3681="Pago tarjeta"),K3681=""),"⚠ Falta cuenta destino",IF(AND(K3681&lt;&gt;"",P3681&lt;&gt;"Transferencia",P3681&lt;&gt;"Pago tarjeta"),"⚠ Destino solo aplica a transferencias",IF(AND(K3681&lt;&gt;"",K3681=Q3681),"⚠ Origen igual a destino",IF(AND(K3681&lt;&gt;"",ISNA(MATCH(K3681,ctaNombre,0))),"⚠ Destino no registrado",IF(AND(P3681="Pago tarjeta",AE3681&lt;&gt;"Tarjeta de crédito"),"⚠ El destino debe ser tarjeta de crédito",IF(AND(P3681="Gasto",E3681="Depósitos y retiros"),"⚠ Usa tipo Transferencia",IF(AND(P3681="Resultado trading",AD3681&lt;&gt;"Cuenta de trading"),"⚠ Usa una cuenta de trading",IF(AND(G3681&lt;=0,P3681&lt;&gt;"Ajuste",P3681&lt;&gt;"Resultado trading"),"⚠ El monto debe ser positivo","✓")))))))))))))))</f>
        <v/>
      </c>
      <c r="P3681" s="52">
        <f>IF(OR(B3681="",G3681=""),"",IF(C3681="","Gasto",C3681))</f>
        <v/>
      </c>
      <c r="Q3681" s="52">
        <f>IF(P3681="","",IF(J3681&lt;&gt;"",J3681,CuentaPred&amp;""))</f>
        <v/>
      </c>
      <c r="R3681" s="52">
        <f>IF(P3681="","",IF(ISNUMBER(I3681),I3681,TasaUSD))</f>
        <v/>
      </c>
      <c r="S3681" s="53">
        <f>IF(P3681="","",IF(H3681="USD",G3681*R3681,G3681))</f>
        <v/>
      </c>
      <c r="T3681" s="53">
        <f>IF(P3681="","",IF(H3681="USD",G3681,IF(R3681&gt;0,G3681/R3681,0)))</f>
        <v/>
      </c>
      <c r="U3681" s="53">
        <f>IF(P3681="","",IF(P3681="Gasto",S3681,IF(P3681="Reembolso",-S3681,0)))</f>
        <v/>
      </c>
      <c r="V3681" s="53">
        <f>IF(P3681="","",IF(P3681="Ingreso",S3681,0))</f>
        <v/>
      </c>
      <c r="W3681" s="53">
        <f>IF(P3681="","",IF(P3681="Resultado trading",S3681,0))</f>
        <v/>
      </c>
      <c r="X3681" s="52">
        <f>IF(OR(P3681="Gasto",P3681="Reembolso"),IF(M3681&lt;&gt;"",M3681,IFERROR(INDEX(catClasif,MATCH(D3681&amp;"|"&amp;E3681,catClave,0))&amp;"","Variable")),"")</f>
        <v/>
      </c>
      <c r="Y3681" s="52">
        <f>IF(P3681="","",IFERROR(INDEX(catGrupo,MATCH(D3681&amp;"|"&amp;E3681,catClave,0))&amp;"",""))</f>
        <v/>
      </c>
      <c r="Z3681" s="52">
        <f>IF(P3681="","",WEEKDAY(B3681,2))</f>
        <v/>
      </c>
      <c r="AA3681" s="52">
        <f>IF(P3681="","",IF(AND(P3681="Gasto",X3681="Variable",D3681&lt;&gt;catTrading,S3681&gt;0,S3681&lt;=Umbral),1,0))</f>
        <v/>
      </c>
      <c r="AB3681" s="52">
        <f>IF(OR(P3681="",Q3681=""),"",IFERROR(IF(INDEX(ctaVinc,MATCH(Q3681,ctaNombre,0))&amp;""&lt;&gt;"",INDEX(ctaVinc,MATCH(Q3681,ctaNombre,0))&amp;"",Q3681),Q3681))</f>
        <v/>
      </c>
      <c r="AC3681" s="52">
        <f>IF(OR(K3681="",AND(P3681&lt;&gt;"Transferencia",P3681&lt;&gt;"Pago tarjeta")),"",IFERROR(IF(INDEX(ctaVinc,MATCH(K3681,ctaNombre,0))&amp;""&lt;&gt;"",INDEX(ctaVinc,MATCH(K3681,ctaNombre,0))&amp;"",K3681),K3681))</f>
        <v/>
      </c>
      <c r="AD3681" s="52">
        <f>IF(AB3681="","",IFERROR(INDEX(ctaTipo,MATCH(AB3681,ctaNombre,0))&amp;"",""))</f>
        <v/>
      </c>
      <c r="AE3681" s="52">
        <f>IF(AC3681="","",IFERROR(INDEX(ctaTipo,MATCH(AC3681,ctaNombre,0))&amp;"",""))</f>
        <v/>
      </c>
      <c r="AF3681" s="53">
        <f>IF(OR(P3681="",AB3681=""),"",IF(OR(P3681="Gasto",P3681="Transferencia",P3681="Pago tarjeta"),-1,1)*IF(IFERROR(INDEX(ctaMoneda,MATCH(AB3681,ctaNombre,0))&amp;"","DOP")="USD",T3681,S3681))</f>
        <v/>
      </c>
      <c r="AG3681" s="53">
        <f>IF(AC3681="","",IF(IFERROR(INDEX(ctaMoneda,MATCH(AC3681,ctaNombre,0))&amp;"","DOP")="USD",T3681,S3681))</f>
        <v/>
      </c>
      <c r="AH3681" s="53">
        <f>IF(P3681="","",IF(AND(AD3681&lt;&gt;"",COUNTIFS(tcTipo,AD3681,tcLiq,"Sí")&gt;0),IF(OR(P3681="Gasto",P3681="Transferencia",P3681="Pago tarjeta"),-1,1)*S3681,0)+IF(AND(AE3681&lt;&gt;"",COUNTIFS(tcTipo,AE3681,tcLiq,"Sí")&gt;0),S3681,0))</f>
        <v/>
      </c>
      <c r="AI3681" s="52">
        <f>IF(OR(L3681="",P3681=""),"",IF(COUNTIFS(L$6:L3681,L3681,P$6:P3681,"?*")=1,MAX(AI$5:AI3680)+1,""))</f>
        <v/>
      </c>
    </row>
    <row r="3682">
      <c r="B3682" s="47" t="n"/>
      <c r="C3682" s="48" t="n"/>
      <c r="D3682" s="48" t="n"/>
      <c r="E3682" s="48" t="n"/>
      <c r="F3682" s="48" t="n"/>
      <c r="G3682" s="49" t="n"/>
      <c r="H3682" s="48" t="n"/>
      <c r="I3682" s="50" t="n"/>
      <c r="J3682" s="48" t="n"/>
      <c r="K3682" s="48" t="n"/>
      <c r="L3682" s="48" t="n"/>
      <c r="M3682" s="48" t="n"/>
      <c r="N3682" s="48" t="n"/>
      <c r="O3682" s="51">
        <f>IF(AND(B3682="",G3682="",C3682="",D3682="",J3682=""),"",IF(B3682="","⚠ Falta fecha",IF(G3682="","⚠ Falta monto",IF(Q3682="","⚠ Falta cuenta",IF(ISNA(MATCH(Q3682,ctaNombre,0)),"⚠ Cuenta no registrada",IF(AND(OR(P3682="Gasto",P3682="Reembolso"),D3682=""),"⚠ Falta categoría",IF(AND(D3682&lt;&gt;"",E3682&lt;&gt;"",ISNA(MATCH(D3682&amp;"|"&amp;E3682,catClave,0))),"⚠ Subcategoría no corresponde",IF(AND(OR(P3682="Transferencia",P3682="Pago tarjeta"),K3682=""),"⚠ Falta cuenta destino",IF(AND(K3682&lt;&gt;"",P3682&lt;&gt;"Transferencia",P3682&lt;&gt;"Pago tarjeta"),"⚠ Destino solo aplica a transferencias",IF(AND(K3682&lt;&gt;"",K3682=Q3682),"⚠ Origen igual a destino",IF(AND(K3682&lt;&gt;"",ISNA(MATCH(K3682,ctaNombre,0))),"⚠ Destino no registrado",IF(AND(P3682="Pago tarjeta",AE3682&lt;&gt;"Tarjeta de crédito"),"⚠ El destino debe ser tarjeta de crédito",IF(AND(P3682="Gasto",E3682="Depósitos y retiros"),"⚠ Usa tipo Transferencia",IF(AND(P3682="Resultado trading",AD3682&lt;&gt;"Cuenta de trading"),"⚠ Usa una cuenta de trading",IF(AND(G3682&lt;=0,P3682&lt;&gt;"Ajuste",P3682&lt;&gt;"Resultado trading"),"⚠ El monto debe ser positivo","✓")))))))))))))))</f>
        <v/>
      </c>
      <c r="P3682" s="52">
        <f>IF(OR(B3682="",G3682=""),"",IF(C3682="","Gasto",C3682))</f>
        <v/>
      </c>
      <c r="Q3682" s="52">
        <f>IF(P3682="","",IF(J3682&lt;&gt;"",J3682,CuentaPred&amp;""))</f>
        <v/>
      </c>
      <c r="R3682" s="52">
        <f>IF(P3682="","",IF(ISNUMBER(I3682),I3682,TasaUSD))</f>
        <v/>
      </c>
      <c r="S3682" s="53">
        <f>IF(P3682="","",IF(H3682="USD",G3682*R3682,G3682))</f>
        <v/>
      </c>
      <c r="T3682" s="53">
        <f>IF(P3682="","",IF(H3682="USD",G3682,IF(R3682&gt;0,G3682/R3682,0)))</f>
        <v/>
      </c>
      <c r="U3682" s="53">
        <f>IF(P3682="","",IF(P3682="Gasto",S3682,IF(P3682="Reembolso",-S3682,0)))</f>
        <v/>
      </c>
      <c r="V3682" s="53">
        <f>IF(P3682="","",IF(P3682="Ingreso",S3682,0))</f>
        <v/>
      </c>
      <c r="W3682" s="53">
        <f>IF(P3682="","",IF(P3682="Resultado trading",S3682,0))</f>
        <v/>
      </c>
      <c r="X3682" s="52">
        <f>IF(OR(P3682="Gasto",P3682="Reembolso"),IF(M3682&lt;&gt;"",M3682,IFERROR(INDEX(catClasif,MATCH(D3682&amp;"|"&amp;E3682,catClave,0))&amp;"","Variable")),"")</f>
        <v/>
      </c>
      <c r="Y3682" s="52">
        <f>IF(P3682="","",IFERROR(INDEX(catGrupo,MATCH(D3682&amp;"|"&amp;E3682,catClave,0))&amp;"",""))</f>
        <v/>
      </c>
      <c r="Z3682" s="52">
        <f>IF(P3682="","",WEEKDAY(B3682,2))</f>
        <v/>
      </c>
      <c r="AA3682" s="52">
        <f>IF(P3682="","",IF(AND(P3682="Gasto",X3682="Variable",D3682&lt;&gt;catTrading,S3682&gt;0,S3682&lt;=Umbral),1,0))</f>
        <v/>
      </c>
      <c r="AB3682" s="52">
        <f>IF(OR(P3682="",Q3682=""),"",IFERROR(IF(INDEX(ctaVinc,MATCH(Q3682,ctaNombre,0))&amp;""&lt;&gt;"",INDEX(ctaVinc,MATCH(Q3682,ctaNombre,0))&amp;"",Q3682),Q3682))</f>
        <v/>
      </c>
      <c r="AC3682" s="52">
        <f>IF(OR(K3682="",AND(P3682&lt;&gt;"Transferencia",P3682&lt;&gt;"Pago tarjeta")),"",IFERROR(IF(INDEX(ctaVinc,MATCH(K3682,ctaNombre,0))&amp;""&lt;&gt;"",INDEX(ctaVinc,MATCH(K3682,ctaNombre,0))&amp;"",K3682),K3682))</f>
        <v/>
      </c>
      <c r="AD3682" s="52">
        <f>IF(AB3682="","",IFERROR(INDEX(ctaTipo,MATCH(AB3682,ctaNombre,0))&amp;"",""))</f>
        <v/>
      </c>
      <c r="AE3682" s="52">
        <f>IF(AC3682="","",IFERROR(INDEX(ctaTipo,MATCH(AC3682,ctaNombre,0))&amp;"",""))</f>
        <v/>
      </c>
      <c r="AF3682" s="53">
        <f>IF(OR(P3682="",AB3682=""),"",IF(OR(P3682="Gasto",P3682="Transferencia",P3682="Pago tarjeta"),-1,1)*IF(IFERROR(INDEX(ctaMoneda,MATCH(AB3682,ctaNombre,0))&amp;"","DOP")="USD",T3682,S3682))</f>
        <v/>
      </c>
      <c r="AG3682" s="53">
        <f>IF(AC3682="","",IF(IFERROR(INDEX(ctaMoneda,MATCH(AC3682,ctaNombre,0))&amp;"","DOP")="USD",T3682,S3682))</f>
        <v/>
      </c>
      <c r="AH3682" s="53">
        <f>IF(P3682="","",IF(AND(AD3682&lt;&gt;"",COUNTIFS(tcTipo,AD3682,tcLiq,"Sí")&gt;0),IF(OR(P3682="Gasto",P3682="Transferencia",P3682="Pago tarjeta"),-1,1)*S3682,0)+IF(AND(AE3682&lt;&gt;"",COUNTIFS(tcTipo,AE3682,tcLiq,"Sí")&gt;0),S3682,0))</f>
        <v/>
      </c>
      <c r="AI3682" s="52">
        <f>IF(OR(L3682="",P3682=""),"",IF(COUNTIFS(L$6:L3682,L3682,P$6:P3682,"?*")=1,MAX(AI$5:AI3681)+1,""))</f>
        <v/>
      </c>
    </row>
    <row r="3683">
      <c r="B3683" s="47" t="n"/>
      <c r="C3683" s="48" t="n"/>
      <c r="D3683" s="48" t="n"/>
      <c r="E3683" s="48" t="n"/>
      <c r="F3683" s="48" t="n"/>
      <c r="G3683" s="49" t="n"/>
      <c r="H3683" s="48" t="n"/>
      <c r="I3683" s="50" t="n"/>
      <c r="J3683" s="48" t="n"/>
      <c r="K3683" s="48" t="n"/>
      <c r="L3683" s="48" t="n"/>
      <c r="M3683" s="48" t="n"/>
      <c r="N3683" s="48" t="n"/>
      <c r="O3683" s="51">
        <f>IF(AND(B3683="",G3683="",C3683="",D3683="",J3683=""),"",IF(B3683="","⚠ Falta fecha",IF(G3683="","⚠ Falta monto",IF(Q3683="","⚠ Falta cuenta",IF(ISNA(MATCH(Q3683,ctaNombre,0)),"⚠ Cuenta no registrada",IF(AND(OR(P3683="Gasto",P3683="Reembolso"),D3683=""),"⚠ Falta categoría",IF(AND(D3683&lt;&gt;"",E3683&lt;&gt;"",ISNA(MATCH(D3683&amp;"|"&amp;E3683,catClave,0))),"⚠ Subcategoría no corresponde",IF(AND(OR(P3683="Transferencia",P3683="Pago tarjeta"),K3683=""),"⚠ Falta cuenta destino",IF(AND(K3683&lt;&gt;"",P3683&lt;&gt;"Transferencia",P3683&lt;&gt;"Pago tarjeta"),"⚠ Destino solo aplica a transferencias",IF(AND(K3683&lt;&gt;"",K3683=Q3683),"⚠ Origen igual a destino",IF(AND(K3683&lt;&gt;"",ISNA(MATCH(K3683,ctaNombre,0))),"⚠ Destino no registrado",IF(AND(P3683="Pago tarjeta",AE3683&lt;&gt;"Tarjeta de crédito"),"⚠ El destino debe ser tarjeta de crédito",IF(AND(P3683="Gasto",E3683="Depósitos y retiros"),"⚠ Usa tipo Transferencia",IF(AND(P3683="Resultado trading",AD3683&lt;&gt;"Cuenta de trading"),"⚠ Usa una cuenta de trading",IF(AND(G3683&lt;=0,P3683&lt;&gt;"Ajuste",P3683&lt;&gt;"Resultado trading"),"⚠ El monto debe ser positivo","✓")))))))))))))))</f>
        <v/>
      </c>
      <c r="P3683" s="52">
        <f>IF(OR(B3683="",G3683=""),"",IF(C3683="","Gasto",C3683))</f>
        <v/>
      </c>
      <c r="Q3683" s="52">
        <f>IF(P3683="","",IF(J3683&lt;&gt;"",J3683,CuentaPred&amp;""))</f>
        <v/>
      </c>
      <c r="R3683" s="52">
        <f>IF(P3683="","",IF(ISNUMBER(I3683),I3683,TasaUSD))</f>
        <v/>
      </c>
      <c r="S3683" s="53">
        <f>IF(P3683="","",IF(H3683="USD",G3683*R3683,G3683))</f>
        <v/>
      </c>
      <c r="T3683" s="53">
        <f>IF(P3683="","",IF(H3683="USD",G3683,IF(R3683&gt;0,G3683/R3683,0)))</f>
        <v/>
      </c>
      <c r="U3683" s="53">
        <f>IF(P3683="","",IF(P3683="Gasto",S3683,IF(P3683="Reembolso",-S3683,0)))</f>
        <v/>
      </c>
      <c r="V3683" s="53">
        <f>IF(P3683="","",IF(P3683="Ingreso",S3683,0))</f>
        <v/>
      </c>
      <c r="W3683" s="53">
        <f>IF(P3683="","",IF(P3683="Resultado trading",S3683,0))</f>
        <v/>
      </c>
      <c r="X3683" s="52">
        <f>IF(OR(P3683="Gasto",P3683="Reembolso"),IF(M3683&lt;&gt;"",M3683,IFERROR(INDEX(catClasif,MATCH(D3683&amp;"|"&amp;E3683,catClave,0))&amp;"","Variable")),"")</f>
        <v/>
      </c>
      <c r="Y3683" s="52">
        <f>IF(P3683="","",IFERROR(INDEX(catGrupo,MATCH(D3683&amp;"|"&amp;E3683,catClave,0))&amp;"",""))</f>
        <v/>
      </c>
      <c r="Z3683" s="52">
        <f>IF(P3683="","",WEEKDAY(B3683,2))</f>
        <v/>
      </c>
      <c r="AA3683" s="52">
        <f>IF(P3683="","",IF(AND(P3683="Gasto",X3683="Variable",D3683&lt;&gt;catTrading,S3683&gt;0,S3683&lt;=Umbral),1,0))</f>
        <v/>
      </c>
      <c r="AB3683" s="52">
        <f>IF(OR(P3683="",Q3683=""),"",IFERROR(IF(INDEX(ctaVinc,MATCH(Q3683,ctaNombre,0))&amp;""&lt;&gt;"",INDEX(ctaVinc,MATCH(Q3683,ctaNombre,0))&amp;"",Q3683),Q3683))</f>
        <v/>
      </c>
      <c r="AC3683" s="52">
        <f>IF(OR(K3683="",AND(P3683&lt;&gt;"Transferencia",P3683&lt;&gt;"Pago tarjeta")),"",IFERROR(IF(INDEX(ctaVinc,MATCH(K3683,ctaNombre,0))&amp;""&lt;&gt;"",INDEX(ctaVinc,MATCH(K3683,ctaNombre,0))&amp;"",K3683),K3683))</f>
        <v/>
      </c>
      <c r="AD3683" s="52">
        <f>IF(AB3683="","",IFERROR(INDEX(ctaTipo,MATCH(AB3683,ctaNombre,0))&amp;"",""))</f>
        <v/>
      </c>
      <c r="AE3683" s="52">
        <f>IF(AC3683="","",IFERROR(INDEX(ctaTipo,MATCH(AC3683,ctaNombre,0))&amp;"",""))</f>
        <v/>
      </c>
      <c r="AF3683" s="53">
        <f>IF(OR(P3683="",AB3683=""),"",IF(OR(P3683="Gasto",P3683="Transferencia",P3683="Pago tarjeta"),-1,1)*IF(IFERROR(INDEX(ctaMoneda,MATCH(AB3683,ctaNombre,0))&amp;"","DOP")="USD",T3683,S3683))</f>
        <v/>
      </c>
      <c r="AG3683" s="53">
        <f>IF(AC3683="","",IF(IFERROR(INDEX(ctaMoneda,MATCH(AC3683,ctaNombre,0))&amp;"","DOP")="USD",T3683,S3683))</f>
        <v/>
      </c>
      <c r="AH3683" s="53">
        <f>IF(P3683="","",IF(AND(AD3683&lt;&gt;"",COUNTIFS(tcTipo,AD3683,tcLiq,"Sí")&gt;0),IF(OR(P3683="Gasto",P3683="Transferencia",P3683="Pago tarjeta"),-1,1)*S3683,0)+IF(AND(AE3683&lt;&gt;"",COUNTIFS(tcTipo,AE3683,tcLiq,"Sí")&gt;0),S3683,0))</f>
        <v/>
      </c>
      <c r="AI3683" s="52">
        <f>IF(OR(L3683="",P3683=""),"",IF(COUNTIFS(L$6:L3683,L3683,P$6:P3683,"?*")=1,MAX(AI$5:AI3682)+1,""))</f>
        <v/>
      </c>
    </row>
    <row r="3684">
      <c r="B3684" s="47" t="n"/>
      <c r="C3684" s="48" t="n"/>
      <c r="D3684" s="48" t="n"/>
      <c r="E3684" s="48" t="n"/>
      <c r="F3684" s="48" t="n"/>
      <c r="G3684" s="49" t="n"/>
      <c r="H3684" s="48" t="n"/>
      <c r="I3684" s="50" t="n"/>
      <c r="J3684" s="48" t="n"/>
      <c r="K3684" s="48" t="n"/>
      <c r="L3684" s="48" t="n"/>
      <c r="M3684" s="48" t="n"/>
      <c r="N3684" s="48" t="n"/>
      <c r="O3684" s="51">
        <f>IF(AND(B3684="",G3684="",C3684="",D3684="",J3684=""),"",IF(B3684="","⚠ Falta fecha",IF(G3684="","⚠ Falta monto",IF(Q3684="","⚠ Falta cuenta",IF(ISNA(MATCH(Q3684,ctaNombre,0)),"⚠ Cuenta no registrada",IF(AND(OR(P3684="Gasto",P3684="Reembolso"),D3684=""),"⚠ Falta categoría",IF(AND(D3684&lt;&gt;"",E3684&lt;&gt;"",ISNA(MATCH(D3684&amp;"|"&amp;E3684,catClave,0))),"⚠ Subcategoría no corresponde",IF(AND(OR(P3684="Transferencia",P3684="Pago tarjeta"),K3684=""),"⚠ Falta cuenta destino",IF(AND(K3684&lt;&gt;"",P3684&lt;&gt;"Transferencia",P3684&lt;&gt;"Pago tarjeta"),"⚠ Destino solo aplica a transferencias",IF(AND(K3684&lt;&gt;"",K3684=Q3684),"⚠ Origen igual a destino",IF(AND(K3684&lt;&gt;"",ISNA(MATCH(K3684,ctaNombre,0))),"⚠ Destino no registrado",IF(AND(P3684="Pago tarjeta",AE3684&lt;&gt;"Tarjeta de crédito"),"⚠ El destino debe ser tarjeta de crédito",IF(AND(P3684="Gasto",E3684="Depósitos y retiros"),"⚠ Usa tipo Transferencia",IF(AND(P3684="Resultado trading",AD3684&lt;&gt;"Cuenta de trading"),"⚠ Usa una cuenta de trading",IF(AND(G3684&lt;=0,P3684&lt;&gt;"Ajuste",P3684&lt;&gt;"Resultado trading"),"⚠ El monto debe ser positivo","✓")))))))))))))))</f>
        <v/>
      </c>
      <c r="P3684" s="52">
        <f>IF(OR(B3684="",G3684=""),"",IF(C3684="","Gasto",C3684))</f>
        <v/>
      </c>
      <c r="Q3684" s="52">
        <f>IF(P3684="","",IF(J3684&lt;&gt;"",J3684,CuentaPred&amp;""))</f>
        <v/>
      </c>
      <c r="R3684" s="52">
        <f>IF(P3684="","",IF(ISNUMBER(I3684),I3684,TasaUSD))</f>
        <v/>
      </c>
      <c r="S3684" s="53">
        <f>IF(P3684="","",IF(H3684="USD",G3684*R3684,G3684))</f>
        <v/>
      </c>
      <c r="T3684" s="53">
        <f>IF(P3684="","",IF(H3684="USD",G3684,IF(R3684&gt;0,G3684/R3684,0)))</f>
        <v/>
      </c>
      <c r="U3684" s="53">
        <f>IF(P3684="","",IF(P3684="Gasto",S3684,IF(P3684="Reembolso",-S3684,0)))</f>
        <v/>
      </c>
      <c r="V3684" s="53">
        <f>IF(P3684="","",IF(P3684="Ingreso",S3684,0))</f>
        <v/>
      </c>
      <c r="W3684" s="53">
        <f>IF(P3684="","",IF(P3684="Resultado trading",S3684,0))</f>
        <v/>
      </c>
      <c r="X3684" s="52">
        <f>IF(OR(P3684="Gasto",P3684="Reembolso"),IF(M3684&lt;&gt;"",M3684,IFERROR(INDEX(catClasif,MATCH(D3684&amp;"|"&amp;E3684,catClave,0))&amp;"","Variable")),"")</f>
        <v/>
      </c>
      <c r="Y3684" s="52">
        <f>IF(P3684="","",IFERROR(INDEX(catGrupo,MATCH(D3684&amp;"|"&amp;E3684,catClave,0))&amp;"",""))</f>
        <v/>
      </c>
      <c r="Z3684" s="52">
        <f>IF(P3684="","",WEEKDAY(B3684,2))</f>
        <v/>
      </c>
      <c r="AA3684" s="52">
        <f>IF(P3684="","",IF(AND(P3684="Gasto",X3684="Variable",D3684&lt;&gt;catTrading,S3684&gt;0,S3684&lt;=Umbral),1,0))</f>
        <v/>
      </c>
      <c r="AB3684" s="52">
        <f>IF(OR(P3684="",Q3684=""),"",IFERROR(IF(INDEX(ctaVinc,MATCH(Q3684,ctaNombre,0))&amp;""&lt;&gt;"",INDEX(ctaVinc,MATCH(Q3684,ctaNombre,0))&amp;"",Q3684),Q3684))</f>
        <v/>
      </c>
      <c r="AC3684" s="52">
        <f>IF(OR(K3684="",AND(P3684&lt;&gt;"Transferencia",P3684&lt;&gt;"Pago tarjeta")),"",IFERROR(IF(INDEX(ctaVinc,MATCH(K3684,ctaNombre,0))&amp;""&lt;&gt;"",INDEX(ctaVinc,MATCH(K3684,ctaNombre,0))&amp;"",K3684),K3684))</f>
        <v/>
      </c>
      <c r="AD3684" s="52">
        <f>IF(AB3684="","",IFERROR(INDEX(ctaTipo,MATCH(AB3684,ctaNombre,0))&amp;"",""))</f>
        <v/>
      </c>
      <c r="AE3684" s="52">
        <f>IF(AC3684="","",IFERROR(INDEX(ctaTipo,MATCH(AC3684,ctaNombre,0))&amp;"",""))</f>
        <v/>
      </c>
      <c r="AF3684" s="53">
        <f>IF(OR(P3684="",AB3684=""),"",IF(OR(P3684="Gasto",P3684="Transferencia",P3684="Pago tarjeta"),-1,1)*IF(IFERROR(INDEX(ctaMoneda,MATCH(AB3684,ctaNombre,0))&amp;"","DOP")="USD",T3684,S3684))</f>
        <v/>
      </c>
      <c r="AG3684" s="53">
        <f>IF(AC3684="","",IF(IFERROR(INDEX(ctaMoneda,MATCH(AC3684,ctaNombre,0))&amp;"","DOP")="USD",T3684,S3684))</f>
        <v/>
      </c>
      <c r="AH3684" s="53">
        <f>IF(P3684="","",IF(AND(AD3684&lt;&gt;"",COUNTIFS(tcTipo,AD3684,tcLiq,"Sí")&gt;0),IF(OR(P3684="Gasto",P3684="Transferencia",P3684="Pago tarjeta"),-1,1)*S3684,0)+IF(AND(AE3684&lt;&gt;"",COUNTIFS(tcTipo,AE3684,tcLiq,"Sí")&gt;0),S3684,0))</f>
        <v/>
      </c>
      <c r="AI3684" s="52">
        <f>IF(OR(L3684="",P3684=""),"",IF(COUNTIFS(L$6:L3684,L3684,P$6:P3684,"?*")=1,MAX(AI$5:AI3683)+1,""))</f>
        <v/>
      </c>
    </row>
    <row r="3685">
      <c r="B3685" s="47" t="n"/>
      <c r="C3685" s="48" t="n"/>
      <c r="D3685" s="48" t="n"/>
      <c r="E3685" s="48" t="n"/>
      <c r="F3685" s="48" t="n"/>
      <c r="G3685" s="49" t="n"/>
      <c r="H3685" s="48" t="n"/>
      <c r="I3685" s="50" t="n"/>
      <c r="J3685" s="48" t="n"/>
      <c r="K3685" s="48" t="n"/>
      <c r="L3685" s="48" t="n"/>
      <c r="M3685" s="48" t="n"/>
      <c r="N3685" s="48" t="n"/>
      <c r="O3685" s="51">
        <f>IF(AND(B3685="",G3685="",C3685="",D3685="",J3685=""),"",IF(B3685="","⚠ Falta fecha",IF(G3685="","⚠ Falta monto",IF(Q3685="","⚠ Falta cuenta",IF(ISNA(MATCH(Q3685,ctaNombre,0)),"⚠ Cuenta no registrada",IF(AND(OR(P3685="Gasto",P3685="Reembolso"),D3685=""),"⚠ Falta categoría",IF(AND(D3685&lt;&gt;"",E3685&lt;&gt;"",ISNA(MATCH(D3685&amp;"|"&amp;E3685,catClave,0))),"⚠ Subcategoría no corresponde",IF(AND(OR(P3685="Transferencia",P3685="Pago tarjeta"),K3685=""),"⚠ Falta cuenta destino",IF(AND(K3685&lt;&gt;"",P3685&lt;&gt;"Transferencia",P3685&lt;&gt;"Pago tarjeta"),"⚠ Destino solo aplica a transferencias",IF(AND(K3685&lt;&gt;"",K3685=Q3685),"⚠ Origen igual a destino",IF(AND(K3685&lt;&gt;"",ISNA(MATCH(K3685,ctaNombre,0))),"⚠ Destino no registrado",IF(AND(P3685="Pago tarjeta",AE3685&lt;&gt;"Tarjeta de crédito"),"⚠ El destino debe ser tarjeta de crédito",IF(AND(P3685="Gasto",E3685="Depósitos y retiros"),"⚠ Usa tipo Transferencia",IF(AND(P3685="Resultado trading",AD3685&lt;&gt;"Cuenta de trading"),"⚠ Usa una cuenta de trading",IF(AND(G3685&lt;=0,P3685&lt;&gt;"Ajuste",P3685&lt;&gt;"Resultado trading"),"⚠ El monto debe ser positivo","✓")))))))))))))))</f>
        <v/>
      </c>
      <c r="P3685" s="52">
        <f>IF(OR(B3685="",G3685=""),"",IF(C3685="","Gasto",C3685))</f>
        <v/>
      </c>
      <c r="Q3685" s="52">
        <f>IF(P3685="","",IF(J3685&lt;&gt;"",J3685,CuentaPred&amp;""))</f>
        <v/>
      </c>
      <c r="R3685" s="52">
        <f>IF(P3685="","",IF(ISNUMBER(I3685),I3685,TasaUSD))</f>
        <v/>
      </c>
      <c r="S3685" s="53">
        <f>IF(P3685="","",IF(H3685="USD",G3685*R3685,G3685))</f>
        <v/>
      </c>
      <c r="T3685" s="53">
        <f>IF(P3685="","",IF(H3685="USD",G3685,IF(R3685&gt;0,G3685/R3685,0)))</f>
        <v/>
      </c>
      <c r="U3685" s="53">
        <f>IF(P3685="","",IF(P3685="Gasto",S3685,IF(P3685="Reembolso",-S3685,0)))</f>
        <v/>
      </c>
      <c r="V3685" s="53">
        <f>IF(P3685="","",IF(P3685="Ingreso",S3685,0))</f>
        <v/>
      </c>
      <c r="W3685" s="53">
        <f>IF(P3685="","",IF(P3685="Resultado trading",S3685,0))</f>
        <v/>
      </c>
      <c r="X3685" s="52">
        <f>IF(OR(P3685="Gasto",P3685="Reembolso"),IF(M3685&lt;&gt;"",M3685,IFERROR(INDEX(catClasif,MATCH(D3685&amp;"|"&amp;E3685,catClave,0))&amp;"","Variable")),"")</f>
        <v/>
      </c>
      <c r="Y3685" s="52">
        <f>IF(P3685="","",IFERROR(INDEX(catGrupo,MATCH(D3685&amp;"|"&amp;E3685,catClave,0))&amp;"",""))</f>
        <v/>
      </c>
      <c r="Z3685" s="52">
        <f>IF(P3685="","",WEEKDAY(B3685,2))</f>
        <v/>
      </c>
      <c r="AA3685" s="52">
        <f>IF(P3685="","",IF(AND(P3685="Gasto",X3685="Variable",D3685&lt;&gt;catTrading,S3685&gt;0,S3685&lt;=Umbral),1,0))</f>
        <v/>
      </c>
      <c r="AB3685" s="52">
        <f>IF(OR(P3685="",Q3685=""),"",IFERROR(IF(INDEX(ctaVinc,MATCH(Q3685,ctaNombre,0))&amp;""&lt;&gt;"",INDEX(ctaVinc,MATCH(Q3685,ctaNombre,0))&amp;"",Q3685),Q3685))</f>
        <v/>
      </c>
      <c r="AC3685" s="52">
        <f>IF(OR(K3685="",AND(P3685&lt;&gt;"Transferencia",P3685&lt;&gt;"Pago tarjeta")),"",IFERROR(IF(INDEX(ctaVinc,MATCH(K3685,ctaNombre,0))&amp;""&lt;&gt;"",INDEX(ctaVinc,MATCH(K3685,ctaNombre,0))&amp;"",K3685),K3685))</f>
        <v/>
      </c>
      <c r="AD3685" s="52">
        <f>IF(AB3685="","",IFERROR(INDEX(ctaTipo,MATCH(AB3685,ctaNombre,0))&amp;"",""))</f>
        <v/>
      </c>
      <c r="AE3685" s="52">
        <f>IF(AC3685="","",IFERROR(INDEX(ctaTipo,MATCH(AC3685,ctaNombre,0))&amp;"",""))</f>
        <v/>
      </c>
      <c r="AF3685" s="53">
        <f>IF(OR(P3685="",AB3685=""),"",IF(OR(P3685="Gasto",P3685="Transferencia",P3685="Pago tarjeta"),-1,1)*IF(IFERROR(INDEX(ctaMoneda,MATCH(AB3685,ctaNombre,0))&amp;"","DOP")="USD",T3685,S3685))</f>
        <v/>
      </c>
      <c r="AG3685" s="53">
        <f>IF(AC3685="","",IF(IFERROR(INDEX(ctaMoneda,MATCH(AC3685,ctaNombre,0))&amp;"","DOP")="USD",T3685,S3685))</f>
        <v/>
      </c>
      <c r="AH3685" s="53">
        <f>IF(P3685="","",IF(AND(AD3685&lt;&gt;"",COUNTIFS(tcTipo,AD3685,tcLiq,"Sí")&gt;0),IF(OR(P3685="Gasto",P3685="Transferencia",P3685="Pago tarjeta"),-1,1)*S3685,0)+IF(AND(AE3685&lt;&gt;"",COUNTIFS(tcTipo,AE3685,tcLiq,"Sí")&gt;0),S3685,0))</f>
        <v/>
      </c>
      <c r="AI3685" s="52">
        <f>IF(OR(L3685="",P3685=""),"",IF(COUNTIFS(L$6:L3685,L3685,P$6:P3685,"?*")=1,MAX(AI$5:AI3684)+1,""))</f>
        <v/>
      </c>
    </row>
    <row r="3686">
      <c r="B3686" s="47" t="n"/>
      <c r="C3686" s="48" t="n"/>
      <c r="D3686" s="48" t="n"/>
      <c r="E3686" s="48" t="n"/>
      <c r="F3686" s="48" t="n"/>
      <c r="G3686" s="49" t="n"/>
      <c r="H3686" s="48" t="n"/>
      <c r="I3686" s="50" t="n"/>
      <c r="J3686" s="48" t="n"/>
      <c r="K3686" s="48" t="n"/>
      <c r="L3686" s="48" t="n"/>
      <c r="M3686" s="48" t="n"/>
      <c r="N3686" s="48" t="n"/>
      <c r="O3686" s="51">
        <f>IF(AND(B3686="",G3686="",C3686="",D3686="",J3686=""),"",IF(B3686="","⚠ Falta fecha",IF(G3686="","⚠ Falta monto",IF(Q3686="","⚠ Falta cuenta",IF(ISNA(MATCH(Q3686,ctaNombre,0)),"⚠ Cuenta no registrada",IF(AND(OR(P3686="Gasto",P3686="Reembolso"),D3686=""),"⚠ Falta categoría",IF(AND(D3686&lt;&gt;"",E3686&lt;&gt;"",ISNA(MATCH(D3686&amp;"|"&amp;E3686,catClave,0))),"⚠ Subcategoría no corresponde",IF(AND(OR(P3686="Transferencia",P3686="Pago tarjeta"),K3686=""),"⚠ Falta cuenta destino",IF(AND(K3686&lt;&gt;"",P3686&lt;&gt;"Transferencia",P3686&lt;&gt;"Pago tarjeta"),"⚠ Destino solo aplica a transferencias",IF(AND(K3686&lt;&gt;"",K3686=Q3686),"⚠ Origen igual a destino",IF(AND(K3686&lt;&gt;"",ISNA(MATCH(K3686,ctaNombre,0))),"⚠ Destino no registrado",IF(AND(P3686="Pago tarjeta",AE3686&lt;&gt;"Tarjeta de crédito"),"⚠ El destino debe ser tarjeta de crédito",IF(AND(P3686="Gasto",E3686="Depósitos y retiros"),"⚠ Usa tipo Transferencia",IF(AND(P3686="Resultado trading",AD3686&lt;&gt;"Cuenta de trading"),"⚠ Usa una cuenta de trading",IF(AND(G3686&lt;=0,P3686&lt;&gt;"Ajuste",P3686&lt;&gt;"Resultado trading"),"⚠ El monto debe ser positivo","✓")))))))))))))))</f>
        <v/>
      </c>
      <c r="P3686" s="52">
        <f>IF(OR(B3686="",G3686=""),"",IF(C3686="","Gasto",C3686))</f>
        <v/>
      </c>
      <c r="Q3686" s="52">
        <f>IF(P3686="","",IF(J3686&lt;&gt;"",J3686,CuentaPred&amp;""))</f>
        <v/>
      </c>
      <c r="R3686" s="52">
        <f>IF(P3686="","",IF(ISNUMBER(I3686),I3686,TasaUSD))</f>
        <v/>
      </c>
      <c r="S3686" s="53">
        <f>IF(P3686="","",IF(H3686="USD",G3686*R3686,G3686))</f>
        <v/>
      </c>
      <c r="T3686" s="53">
        <f>IF(P3686="","",IF(H3686="USD",G3686,IF(R3686&gt;0,G3686/R3686,0)))</f>
        <v/>
      </c>
      <c r="U3686" s="53">
        <f>IF(P3686="","",IF(P3686="Gasto",S3686,IF(P3686="Reembolso",-S3686,0)))</f>
        <v/>
      </c>
      <c r="V3686" s="53">
        <f>IF(P3686="","",IF(P3686="Ingreso",S3686,0))</f>
        <v/>
      </c>
      <c r="W3686" s="53">
        <f>IF(P3686="","",IF(P3686="Resultado trading",S3686,0))</f>
        <v/>
      </c>
      <c r="X3686" s="52">
        <f>IF(OR(P3686="Gasto",P3686="Reembolso"),IF(M3686&lt;&gt;"",M3686,IFERROR(INDEX(catClasif,MATCH(D3686&amp;"|"&amp;E3686,catClave,0))&amp;"","Variable")),"")</f>
        <v/>
      </c>
      <c r="Y3686" s="52">
        <f>IF(P3686="","",IFERROR(INDEX(catGrupo,MATCH(D3686&amp;"|"&amp;E3686,catClave,0))&amp;"",""))</f>
        <v/>
      </c>
      <c r="Z3686" s="52">
        <f>IF(P3686="","",WEEKDAY(B3686,2))</f>
        <v/>
      </c>
      <c r="AA3686" s="52">
        <f>IF(P3686="","",IF(AND(P3686="Gasto",X3686="Variable",D3686&lt;&gt;catTrading,S3686&gt;0,S3686&lt;=Umbral),1,0))</f>
        <v/>
      </c>
      <c r="AB3686" s="52">
        <f>IF(OR(P3686="",Q3686=""),"",IFERROR(IF(INDEX(ctaVinc,MATCH(Q3686,ctaNombre,0))&amp;""&lt;&gt;"",INDEX(ctaVinc,MATCH(Q3686,ctaNombre,0))&amp;"",Q3686),Q3686))</f>
        <v/>
      </c>
      <c r="AC3686" s="52">
        <f>IF(OR(K3686="",AND(P3686&lt;&gt;"Transferencia",P3686&lt;&gt;"Pago tarjeta")),"",IFERROR(IF(INDEX(ctaVinc,MATCH(K3686,ctaNombre,0))&amp;""&lt;&gt;"",INDEX(ctaVinc,MATCH(K3686,ctaNombre,0))&amp;"",K3686),K3686))</f>
        <v/>
      </c>
      <c r="AD3686" s="52">
        <f>IF(AB3686="","",IFERROR(INDEX(ctaTipo,MATCH(AB3686,ctaNombre,0))&amp;"",""))</f>
        <v/>
      </c>
      <c r="AE3686" s="52">
        <f>IF(AC3686="","",IFERROR(INDEX(ctaTipo,MATCH(AC3686,ctaNombre,0))&amp;"",""))</f>
        <v/>
      </c>
      <c r="AF3686" s="53">
        <f>IF(OR(P3686="",AB3686=""),"",IF(OR(P3686="Gasto",P3686="Transferencia",P3686="Pago tarjeta"),-1,1)*IF(IFERROR(INDEX(ctaMoneda,MATCH(AB3686,ctaNombre,0))&amp;"","DOP")="USD",T3686,S3686))</f>
        <v/>
      </c>
      <c r="AG3686" s="53">
        <f>IF(AC3686="","",IF(IFERROR(INDEX(ctaMoneda,MATCH(AC3686,ctaNombre,0))&amp;"","DOP")="USD",T3686,S3686))</f>
        <v/>
      </c>
      <c r="AH3686" s="53">
        <f>IF(P3686="","",IF(AND(AD3686&lt;&gt;"",COUNTIFS(tcTipo,AD3686,tcLiq,"Sí")&gt;0),IF(OR(P3686="Gasto",P3686="Transferencia",P3686="Pago tarjeta"),-1,1)*S3686,0)+IF(AND(AE3686&lt;&gt;"",COUNTIFS(tcTipo,AE3686,tcLiq,"Sí")&gt;0),S3686,0))</f>
        <v/>
      </c>
      <c r="AI3686" s="52">
        <f>IF(OR(L3686="",P3686=""),"",IF(COUNTIFS(L$6:L3686,L3686,P$6:P3686,"?*")=1,MAX(AI$5:AI3685)+1,""))</f>
        <v/>
      </c>
    </row>
    <row r="3687">
      <c r="B3687" s="47" t="n"/>
      <c r="C3687" s="48" t="n"/>
      <c r="D3687" s="48" t="n"/>
      <c r="E3687" s="48" t="n"/>
      <c r="F3687" s="48" t="n"/>
      <c r="G3687" s="49" t="n"/>
      <c r="H3687" s="48" t="n"/>
      <c r="I3687" s="50" t="n"/>
      <c r="J3687" s="48" t="n"/>
      <c r="K3687" s="48" t="n"/>
      <c r="L3687" s="48" t="n"/>
      <c r="M3687" s="48" t="n"/>
      <c r="N3687" s="48" t="n"/>
      <c r="O3687" s="51">
        <f>IF(AND(B3687="",G3687="",C3687="",D3687="",J3687=""),"",IF(B3687="","⚠ Falta fecha",IF(G3687="","⚠ Falta monto",IF(Q3687="","⚠ Falta cuenta",IF(ISNA(MATCH(Q3687,ctaNombre,0)),"⚠ Cuenta no registrada",IF(AND(OR(P3687="Gasto",P3687="Reembolso"),D3687=""),"⚠ Falta categoría",IF(AND(D3687&lt;&gt;"",E3687&lt;&gt;"",ISNA(MATCH(D3687&amp;"|"&amp;E3687,catClave,0))),"⚠ Subcategoría no corresponde",IF(AND(OR(P3687="Transferencia",P3687="Pago tarjeta"),K3687=""),"⚠ Falta cuenta destino",IF(AND(K3687&lt;&gt;"",P3687&lt;&gt;"Transferencia",P3687&lt;&gt;"Pago tarjeta"),"⚠ Destino solo aplica a transferencias",IF(AND(K3687&lt;&gt;"",K3687=Q3687),"⚠ Origen igual a destino",IF(AND(K3687&lt;&gt;"",ISNA(MATCH(K3687,ctaNombre,0))),"⚠ Destino no registrado",IF(AND(P3687="Pago tarjeta",AE3687&lt;&gt;"Tarjeta de crédito"),"⚠ El destino debe ser tarjeta de crédito",IF(AND(P3687="Gasto",E3687="Depósitos y retiros"),"⚠ Usa tipo Transferencia",IF(AND(P3687="Resultado trading",AD3687&lt;&gt;"Cuenta de trading"),"⚠ Usa una cuenta de trading",IF(AND(G3687&lt;=0,P3687&lt;&gt;"Ajuste",P3687&lt;&gt;"Resultado trading"),"⚠ El monto debe ser positivo","✓")))))))))))))))</f>
        <v/>
      </c>
      <c r="P3687" s="52">
        <f>IF(OR(B3687="",G3687=""),"",IF(C3687="","Gasto",C3687))</f>
        <v/>
      </c>
      <c r="Q3687" s="52">
        <f>IF(P3687="","",IF(J3687&lt;&gt;"",J3687,CuentaPred&amp;""))</f>
        <v/>
      </c>
      <c r="R3687" s="52">
        <f>IF(P3687="","",IF(ISNUMBER(I3687),I3687,TasaUSD))</f>
        <v/>
      </c>
      <c r="S3687" s="53">
        <f>IF(P3687="","",IF(H3687="USD",G3687*R3687,G3687))</f>
        <v/>
      </c>
      <c r="T3687" s="53">
        <f>IF(P3687="","",IF(H3687="USD",G3687,IF(R3687&gt;0,G3687/R3687,0)))</f>
        <v/>
      </c>
      <c r="U3687" s="53">
        <f>IF(P3687="","",IF(P3687="Gasto",S3687,IF(P3687="Reembolso",-S3687,0)))</f>
        <v/>
      </c>
      <c r="V3687" s="53">
        <f>IF(P3687="","",IF(P3687="Ingreso",S3687,0))</f>
        <v/>
      </c>
      <c r="W3687" s="53">
        <f>IF(P3687="","",IF(P3687="Resultado trading",S3687,0))</f>
        <v/>
      </c>
      <c r="X3687" s="52">
        <f>IF(OR(P3687="Gasto",P3687="Reembolso"),IF(M3687&lt;&gt;"",M3687,IFERROR(INDEX(catClasif,MATCH(D3687&amp;"|"&amp;E3687,catClave,0))&amp;"","Variable")),"")</f>
        <v/>
      </c>
      <c r="Y3687" s="52">
        <f>IF(P3687="","",IFERROR(INDEX(catGrupo,MATCH(D3687&amp;"|"&amp;E3687,catClave,0))&amp;"",""))</f>
        <v/>
      </c>
      <c r="Z3687" s="52">
        <f>IF(P3687="","",WEEKDAY(B3687,2))</f>
        <v/>
      </c>
      <c r="AA3687" s="52">
        <f>IF(P3687="","",IF(AND(P3687="Gasto",X3687="Variable",D3687&lt;&gt;catTrading,S3687&gt;0,S3687&lt;=Umbral),1,0))</f>
        <v/>
      </c>
      <c r="AB3687" s="52">
        <f>IF(OR(P3687="",Q3687=""),"",IFERROR(IF(INDEX(ctaVinc,MATCH(Q3687,ctaNombre,0))&amp;""&lt;&gt;"",INDEX(ctaVinc,MATCH(Q3687,ctaNombre,0))&amp;"",Q3687),Q3687))</f>
        <v/>
      </c>
      <c r="AC3687" s="52">
        <f>IF(OR(K3687="",AND(P3687&lt;&gt;"Transferencia",P3687&lt;&gt;"Pago tarjeta")),"",IFERROR(IF(INDEX(ctaVinc,MATCH(K3687,ctaNombre,0))&amp;""&lt;&gt;"",INDEX(ctaVinc,MATCH(K3687,ctaNombre,0))&amp;"",K3687),K3687))</f>
        <v/>
      </c>
      <c r="AD3687" s="52">
        <f>IF(AB3687="","",IFERROR(INDEX(ctaTipo,MATCH(AB3687,ctaNombre,0))&amp;"",""))</f>
        <v/>
      </c>
      <c r="AE3687" s="52">
        <f>IF(AC3687="","",IFERROR(INDEX(ctaTipo,MATCH(AC3687,ctaNombre,0))&amp;"",""))</f>
        <v/>
      </c>
      <c r="AF3687" s="53">
        <f>IF(OR(P3687="",AB3687=""),"",IF(OR(P3687="Gasto",P3687="Transferencia",P3687="Pago tarjeta"),-1,1)*IF(IFERROR(INDEX(ctaMoneda,MATCH(AB3687,ctaNombre,0))&amp;"","DOP")="USD",T3687,S3687))</f>
        <v/>
      </c>
      <c r="AG3687" s="53">
        <f>IF(AC3687="","",IF(IFERROR(INDEX(ctaMoneda,MATCH(AC3687,ctaNombre,0))&amp;"","DOP")="USD",T3687,S3687))</f>
        <v/>
      </c>
      <c r="AH3687" s="53">
        <f>IF(P3687="","",IF(AND(AD3687&lt;&gt;"",COUNTIFS(tcTipo,AD3687,tcLiq,"Sí")&gt;0),IF(OR(P3687="Gasto",P3687="Transferencia",P3687="Pago tarjeta"),-1,1)*S3687,0)+IF(AND(AE3687&lt;&gt;"",COUNTIFS(tcTipo,AE3687,tcLiq,"Sí")&gt;0),S3687,0))</f>
        <v/>
      </c>
      <c r="AI3687" s="52">
        <f>IF(OR(L3687="",P3687=""),"",IF(COUNTIFS(L$6:L3687,L3687,P$6:P3687,"?*")=1,MAX(AI$5:AI3686)+1,""))</f>
        <v/>
      </c>
    </row>
    <row r="3688">
      <c r="B3688" s="47" t="n"/>
      <c r="C3688" s="48" t="n"/>
      <c r="D3688" s="48" t="n"/>
      <c r="E3688" s="48" t="n"/>
      <c r="F3688" s="48" t="n"/>
      <c r="G3688" s="49" t="n"/>
      <c r="H3688" s="48" t="n"/>
      <c r="I3688" s="50" t="n"/>
      <c r="J3688" s="48" t="n"/>
      <c r="K3688" s="48" t="n"/>
      <c r="L3688" s="48" t="n"/>
      <c r="M3688" s="48" t="n"/>
      <c r="N3688" s="48" t="n"/>
      <c r="O3688" s="51">
        <f>IF(AND(B3688="",G3688="",C3688="",D3688="",J3688=""),"",IF(B3688="","⚠ Falta fecha",IF(G3688="","⚠ Falta monto",IF(Q3688="","⚠ Falta cuenta",IF(ISNA(MATCH(Q3688,ctaNombre,0)),"⚠ Cuenta no registrada",IF(AND(OR(P3688="Gasto",P3688="Reembolso"),D3688=""),"⚠ Falta categoría",IF(AND(D3688&lt;&gt;"",E3688&lt;&gt;"",ISNA(MATCH(D3688&amp;"|"&amp;E3688,catClave,0))),"⚠ Subcategoría no corresponde",IF(AND(OR(P3688="Transferencia",P3688="Pago tarjeta"),K3688=""),"⚠ Falta cuenta destino",IF(AND(K3688&lt;&gt;"",P3688&lt;&gt;"Transferencia",P3688&lt;&gt;"Pago tarjeta"),"⚠ Destino solo aplica a transferencias",IF(AND(K3688&lt;&gt;"",K3688=Q3688),"⚠ Origen igual a destino",IF(AND(K3688&lt;&gt;"",ISNA(MATCH(K3688,ctaNombre,0))),"⚠ Destino no registrado",IF(AND(P3688="Pago tarjeta",AE3688&lt;&gt;"Tarjeta de crédito"),"⚠ El destino debe ser tarjeta de crédito",IF(AND(P3688="Gasto",E3688="Depósitos y retiros"),"⚠ Usa tipo Transferencia",IF(AND(P3688="Resultado trading",AD3688&lt;&gt;"Cuenta de trading"),"⚠ Usa una cuenta de trading",IF(AND(G3688&lt;=0,P3688&lt;&gt;"Ajuste",P3688&lt;&gt;"Resultado trading"),"⚠ El monto debe ser positivo","✓")))))))))))))))</f>
        <v/>
      </c>
      <c r="P3688" s="52">
        <f>IF(OR(B3688="",G3688=""),"",IF(C3688="","Gasto",C3688))</f>
        <v/>
      </c>
      <c r="Q3688" s="52">
        <f>IF(P3688="","",IF(J3688&lt;&gt;"",J3688,CuentaPred&amp;""))</f>
        <v/>
      </c>
      <c r="R3688" s="52">
        <f>IF(P3688="","",IF(ISNUMBER(I3688),I3688,TasaUSD))</f>
        <v/>
      </c>
      <c r="S3688" s="53">
        <f>IF(P3688="","",IF(H3688="USD",G3688*R3688,G3688))</f>
        <v/>
      </c>
      <c r="T3688" s="53">
        <f>IF(P3688="","",IF(H3688="USD",G3688,IF(R3688&gt;0,G3688/R3688,0)))</f>
        <v/>
      </c>
      <c r="U3688" s="53">
        <f>IF(P3688="","",IF(P3688="Gasto",S3688,IF(P3688="Reembolso",-S3688,0)))</f>
        <v/>
      </c>
      <c r="V3688" s="53">
        <f>IF(P3688="","",IF(P3688="Ingreso",S3688,0))</f>
        <v/>
      </c>
      <c r="W3688" s="53">
        <f>IF(P3688="","",IF(P3688="Resultado trading",S3688,0))</f>
        <v/>
      </c>
      <c r="X3688" s="52">
        <f>IF(OR(P3688="Gasto",P3688="Reembolso"),IF(M3688&lt;&gt;"",M3688,IFERROR(INDEX(catClasif,MATCH(D3688&amp;"|"&amp;E3688,catClave,0))&amp;"","Variable")),"")</f>
        <v/>
      </c>
      <c r="Y3688" s="52">
        <f>IF(P3688="","",IFERROR(INDEX(catGrupo,MATCH(D3688&amp;"|"&amp;E3688,catClave,0))&amp;"",""))</f>
        <v/>
      </c>
      <c r="Z3688" s="52">
        <f>IF(P3688="","",WEEKDAY(B3688,2))</f>
        <v/>
      </c>
      <c r="AA3688" s="52">
        <f>IF(P3688="","",IF(AND(P3688="Gasto",X3688="Variable",D3688&lt;&gt;catTrading,S3688&gt;0,S3688&lt;=Umbral),1,0))</f>
        <v/>
      </c>
      <c r="AB3688" s="52">
        <f>IF(OR(P3688="",Q3688=""),"",IFERROR(IF(INDEX(ctaVinc,MATCH(Q3688,ctaNombre,0))&amp;""&lt;&gt;"",INDEX(ctaVinc,MATCH(Q3688,ctaNombre,0))&amp;"",Q3688),Q3688))</f>
        <v/>
      </c>
      <c r="AC3688" s="52">
        <f>IF(OR(K3688="",AND(P3688&lt;&gt;"Transferencia",P3688&lt;&gt;"Pago tarjeta")),"",IFERROR(IF(INDEX(ctaVinc,MATCH(K3688,ctaNombre,0))&amp;""&lt;&gt;"",INDEX(ctaVinc,MATCH(K3688,ctaNombre,0))&amp;"",K3688),K3688))</f>
        <v/>
      </c>
      <c r="AD3688" s="52">
        <f>IF(AB3688="","",IFERROR(INDEX(ctaTipo,MATCH(AB3688,ctaNombre,0))&amp;"",""))</f>
        <v/>
      </c>
      <c r="AE3688" s="52">
        <f>IF(AC3688="","",IFERROR(INDEX(ctaTipo,MATCH(AC3688,ctaNombre,0))&amp;"",""))</f>
        <v/>
      </c>
      <c r="AF3688" s="53">
        <f>IF(OR(P3688="",AB3688=""),"",IF(OR(P3688="Gasto",P3688="Transferencia",P3688="Pago tarjeta"),-1,1)*IF(IFERROR(INDEX(ctaMoneda,MATCH(AB3688,ctaNombre,0))&amp;"","DOP")="USD",T3688,S3688))</f>
        <v/>
      </c>
      <c r="AG3688" s="53">
        <f>IF(AC3688="","",IF(IFERROR(INDEX(ctaMoneda,MATCH(AC3688,ctaNombre,0))&amp;"","DOP")="USD",T3688,S3688))</f>
        <v/>
      </c>
      <c r="AH3688" s="53">
        <f>IF(P3688="","",IF(AND(AD3688&lt;&gt;"",COUNTIFS(tcTipo,AD3688,tcLiq,"Sí")&gt;0),IF(OR(P3688="Gasto",P3688="Transferencia",P3688="Pago tarjeta"),-1,1)*S3688,0)+IF(AND(AE3688&lt;&gt;"",COUNTIFS(tcTipo,AE3688,tcLiq,"Sí")&gt;0),S3688,0))</f>
        <v/>
      </c>
      <c r="AI3688" s="52">
        <f>IF(OR(L3688="",P3688=""),"",IF(COUNTIFS(L$6:L3688,L3688,P$6:P3688,"?*")=1,MAX(AI$5:AI3687)+1,""))</f>
        <v/>
      </c>
    </row>
    <row r="3689">
      <c r="B3689" s="47" t="n"/>
      <c r="C3689" s="48" t="n"/>
      <c r="D3689" s="48" t="n"/>
      <c r="E3689" s="48" t="n"/>
      <c r="F3689" s="48" t="n"/>
      <c r="G3689" s="49" t="n"/>
      <c r="H3689" s="48" t="n"/>
      <c r="I3689" s="50" t="n"/>
      <c r="J3689" s="48" t="n"/>
      <c r="K3689" s="48" t="n"/>
      <c r="L3689" s="48" t="n"/>
      <c r="M3689" s="48" t="n"/>
      <c r="N3689" s="48" t="n"/>
      <c r="O3689" s="51">
        <f>IF(AND(B3689="",G3689="",C3689="",D3689="",J3689=""),"",IF(B3689="","⚠ Falta fecha",IF(G3689="","⚠ Falta monto",IF(Q3689="","⚠ Falta cuenta",IF(ISNA(MATCH(Q3689,ctaNombre,0)),"⚠ Cuenta no registrada",IF(AND(OR(P3689="Gasto",P3689="Reembolso"),D3689=""),"⚠ Falta categoría",IF(AND(D3689&lt;&gt;"",E3689&lt;&gt;"",ISNA(MATCH(D3689&amp;"|"&amp;E3689,catClave,0))),"⚠ Subcategoría no corresponde",IF(AND(OR(P3689="Transferencia",P3689="Pago tarjeta"),K3689=""),"⚠ Falta cuenta destino",IF(AND(K3689&lt;&gt;"",P3689&lt;&gt;"Transferencia",P3689&lt;&gt;"Pago tarjeta"),"⚠ Destino solo aplica a transferencias",IF(AND(K3689&lt;&gt;"",K3689=Q3689),"⚠ Origen igual a destino",IF(AND(K3689&lt;&gt;"",ISNA(MATCH(K3689,ctaNombre,0))),"⚠ Destino no registrado",IF(AND(P3689="Pago tarjeta",AE3689&lt;&gt;"Tarjeta de crédito"),"⚠ El destino debe ser tarjeta de crédito",IF(AND(P3689="Gasto",E3689="Depósitos y retiros"),"⚠ Usa tipo Transferencia",IF(AND(P3689="Resultado trading",AD3689&lt;&gt;"Cuenta de trading"),"⚠ Usa una cuenta de trading",IF(AND(G3689&lt;=0,P3689&lt;&gt;"Ajuste",P3689&lt;&gt;"Resultado trading"),"⚠ El monto debe ser positivo","✓")))))))))))))))</f>
        <v/>
      </c>
      <c r="P3689" s="52">
        <f>IF(OR(B3689="",G3689=""),"",IF(C3689="","Gasto",C3689))</f>
        <v/>
      </c>
      <c r="Q3689" s="52">
        <f>IF(P3689="","",IF(J3689&lt;&gt;"",J3689,CuentaPred&amp;""))</f>
        <v/>
      </c>
      <c r="R3689" s="52">
        <f>IF(P3689="","",IF(ISNUMBER(I3689),I3689,TasaUSD))</f>
        <v/>
      </c>
      <c r="S3689" s="53">
        <f>IF(P3689="","",IF(H3689="USD",G3689*R3689,G3689))</f>
        <v/>
      </c>
      <c r="T3689" s="53">
        <f>IF(P3689="","",IF(H3689="USD",G3689,IF(R3689&gt;0,G3689/R3689,0)))</f>
        <v/>
      </c>
      <c r="U3689" s="53">
        <f>IF(P3689="","",IF(P3689="Gasto",S3689,IF(P3689="Reembolso",-S3689,0)))</f>
        <v/>
      </c>
      <c r="V3689" s="53">
        <f>IF(P3689="","",IF(P3689="Ingreso",S3689,0))</f>
        <v/>
      </c>
      <c r="W3689" s="53">
        <f>IF(P3689="","",IF(P3689="Resultado trading",S3689,0))</f>
        <v/>
      </c>
      <c r="X3689" s="52">
        <f>IF(OR(P3689="Gasto",P3689="Reembolso"),IF(M3689&lt;&gt;"",M3689,IFERROR(INDEX(catClasif,MATCH(D3689&amp;"|"&amp;E3689,catClave,0))&amp;"","Variable")),"")</f>
        <v/>
      </c>
      <c r="Y3689" s="52">
        <f>IF(P3689="","",IFERROR(INDEX(catGrupo,MATCH(D3689&amp;"|"&amp;E3689,catClave,0))&amp;"",""))</f>
        <v/>
      </c>
      <c r="Z3689" s="52">
        <f>IF(P3689="","",WEEKDAY(B3689,2))</f>
        <v/>
      </c>
      <c r="AA3689" s="52">
        <f>IF(P3689="","",IF(AND(P3689="Gasto",X3689="Variable",D3689&lt;&gt;catTrading,S3689&gt;0,S3689&lt;=Umbral),1,0))</f>
        <v/>
      </c>
      <c r="AB3689" s="52">
        <f>IF(OR(P3689="",Q3689=""),"",IFERROR(IF(INDEX(ctaVinc,MATCH(Q3689,ctaNombre,0))&amp;""&lt;&gt;"",INDEX(ctaVinc,MATCH(Q3689,ctaNombre,0))&amp;"",Q3689),Q3689))</f>
        <v/>
      </c>
      <c r="AC3689" s="52">
        <f>IF(OR(K3689="",AND(P3689&lt;&gt;"Transferencia",P3689&lt;&gt;"Pago tarjeta")),"",IFERROR(IF(INDEX(ctaVinc,MATCH(K3689,ctaNombre,0))&amp;""&lt;&gt;"",INDEX(ctaVinc,MATCH(K3689,ctaNombre,0))&amp;"",K3689),K3689))</f>
        <v/>
      </c>
      <c r="AD3689" s="52">
        <f>IF(AB3689="","",IFERROR(INDEX(ctaTipo,MATCH(AB3689,ctaNombre,0))&amp;"",""))</f>
        <v/>
      </c>
      <c r="AE3689" s="52">
        <f>IF(AC3689="","",IFERROR(INDEX(ctaTipo,MATCH(AC3689,ctaNombre,0))&amp;"",""))</f>
        <v/>
      </c>
      <c r="AF3689" s="53">
        <f>IF(OR(P3689="",AB3689=""),"",IF(OR(P3689="Gasto",P3689="Transferencia",P3689="Pago tarjeta"),-1,1)*IF(IFERROR(INDEX(ctaMoneda,MATCH(AB3689,ctaNombre,0))&amp;"","DOP")="USD",T3689,S3689))</f>
        <v/>
      </c>
      <c r="AG3689" s="53">
        <f>IF(AC3689="","",IF(IFERROR(INDEX(ctaMoneda,MATCH(AC3689,ctaNombre,0))&amp;"","DOP")="USD",T3689,S3689))</f>
        <v/>
      </c>
      <c r="AH3689" s="53">
        <f>IF(P3689="","",IF(AND(AD3689&lt;&gt;"",COUNTIFS(tcTipo,AD3689,tcLiq,"Sí")&gt;0),IF(OR(P3689="Gasto",P3689="Transferencia",P3689="Pago tarjeta"),-1,1)*S3689,0)+IF(AND(AE3689&lt;&gt;"",COUNTIFS(tcTipo,AE3689,tcLiq,"Sí")&gt;0),S3689,0))</f>
        <v/>
      </c>
      <c r="AI3689" s="52">
        <f>IF(OR(L3689="",P3689=""),"",IF(COUNTIFS(L$6:L3689,L3689,P$6:P3689,"?*")=1,MAX(AI$5:AI3688)+1,""))</f>
        <v/>
      </c>
    </row>
    <row r="3690">
      <c r="B3690" s="47" t="n"/>
      <c r="C3690" s="48" t="n"/>
      <c r="D3690" s="48" t="n"/>
      <c r="E3690" s="48" t="n"/>
      <c r="F3690" s="48" t="n"/>
      <c r="G3690" s="49" t="n"/>
      <c r="H3690" s="48" t="n"/>
      <c r="I3690" s="50" t="n"/>
      <c r="J3690" s="48" t="n"/>
      <c r="K3690" s="48" t="n"/>
      <c r="L3690" s="48" t="n"/>
      <c r="M3690" s="48" t="n"/>
      <c r="N3690" s="48" t="n"/>
      <c r="O3690" s="51">
        <f>IF(AND(B3690="",G3690="",C3690="",D3690="",J3690=""),"",IF(B3690="","⚠ Falta fecha",IF(G3690="","⚠ Falta monto",IF(Q3690="","⚠ Falta cuenta",IF(ISNA(MATCH(Q3690,ctaNombre,0)),"⚠ Cuenta no registrada",IF(AND(OR(P3690="Gasto",P3690="Reembolso"),D3690=""),"⚠ Falta categoría",IF(AND(D3690&lt;&gt;"",E3690&lt;&gt;"",ISNA(MATCH(D3690&amp;"|"&amp;E3690,catClave,0))),"⚠ Subcategoría no corresponde",IF(AND(OR(P3690="Transferencia",P3690="Pago tarjeta"),K3690=""),"⚠ Falta cuenta destino",IF(AND(K3690&lt;&gt;"",P3690&lt;&gt;"Transferencia",P3690&lt;&gt;"Pago tarjeta"),"⚠ Destino solo aplica a transferencias",IF(AND(K3690&lt;&gt;"",K3690=Q3690),"⚠ Origen igual a destino",IF(AND(K3690&lt;&gt;"",ISNA(MATCH(K3690,ctaNombre,0))),"⚠ Destino no registrado",IF(AND(P3690="Pago tarjeta",AE3690&lt;&gt;"Tarjeta de crédito"),"⚠ El destino debe ser tarjeta de crédito",IF(AND(P3690="Gasto",E3690="Depósitos y retiros"),"⚠ Usa tipo Transferencia",IF(AND(P3690="Resultado trading",AD3690&lt;&gt;"Cuenta de trading"),"⚠ Usa una cuenta de trading",IF(AND(G3690&lt;=0,P3690&lt;&gt;"Ajuste",P3690&lt;&gt;"Resultado trading"),"⚠ El monto debe ser positivo","✓")))))))))))))))</f>
        <v/>
      </c>
      <c r="P3690" s="52">
        <f>IF(OR(B3690="",G3690=""),"",IF(C3690="","Gasto",C3690))</f>
        <v/>
      </c>
      <c r="Q3690" s="52">
        <f>IF(P3690="","",IF(J3690&lt;&gt;"",J3690,CuentaPred&amp;""))</f>
        <v/>
      </c>
      <c r="R3690" s="52">
        <f>IF(P3690="","",IF(ISNUMBER(I3690),I3690,TasaUSD))</f>
        <v/>
      </c>
      <c r="S3690" s="53">
        <f>IF(P3690="","",IF(H3690="USD",G3690*R3690,G3690))</f>
        <v/>
      </c>
      <c r="T3690" s="53">
        <f>IF(P3690="","",IF(H3690="USD",G3690,IF(R3690&gt;0,G3690/R3690,0)))</f>
        <v/>
      </c>
      <c r="U3690" s="53">
        <f>IF(P3690="","",IF(P3690="Gasto",S3690,IF(P3690="Reembolso",-S3690,0)))</f>
        <v/>
      </c>
      <c r="V3690" s="53">
        <f>IF(P3690="","",IF(P3690="Ingreso",S3690,0))</f>
        <v/>
      </c>
      <c r="W3690" s="53">
        <f>IF(P3690="","",IF(P3690="Resultado trading",S3690,0))</f>
        <v/>
      </c>
      <c r="X3690" s="52">
        <f>IF(OR(P3690="Gasto",P3690="Reembolso"),IF(M3690&lt;&gt;"",M3690,IFERROR(INDEX(catClasif,MATCH(D3690&amp;"|"&amp;E3690,catClave,0))&amp;"","Variable")),"")</f>
        <v/>
      </c>
      <c r="Y3690" s="52">
        <f>IF(P3690="","",IFERROR(INDEX(catGrupo,MATCH(D3690&amp;"|"&amp;E3690,catClave,0))&amp;"",""))</f>
        <v/>
      </c>
      <c r="Z3690" s="52">
        <f>IF(P3690="","",WEEKDAY(B3690,2))</f>
        <v/>
      </c>
      <c r="AA3690" s="52">
        <f>IF(P3690="","",IF(AND(P3690="Gasto",X3690="Variable",D3690&lt;&gt;catTrading,S3690&gt;0,S3690&lt;=Umbral),1,0))</f>
        <v/>
      </c>
      <c r="AB3690" s="52">
        <f>IF(OR(P3690="",Q3690=""),"",IFERROR(IF(INDEX(ctaVinc,MATCH(Q3690,ctaNombre,0))&amp;""&lt;&gt;"",INDEX(ctaVinc,MATCH(Q3690,ctaNombre,0))&amp;"",Q3690),Q3690))</f>
        <v/>
      </c>
      <c r="AC3690" s="52">
        <f>IF(OR(K3690="",AND(P3690&lt;&gt;"Transferencia",P3690&lt;&gt;"Pago tarjeta")),"",IFERROR(IF(INDEX(ctaVinc,MATCH(K3690,ctaNombre,0))&amp;""&lt;&gt;"",INDEX(ctaVinc,MATCH(K3690,ctaNombre,0))&amp;"",K3690),K3690))</f>
        <v/>
      </c>
      <c r="AD3690" s="52">
        <f>IF(AB3690="","",IFERROR(INDEX(ctaTipo,MATCH(AB3690,ctaNombre,0))&amp;"",""))</f>
        <v/>
      </c>
      <c r="AE3690" s="52">
        <f>IF(AC3690="","",IFERROR(INDEX(ctaTipo,MATCH(AC3690,ctaNombre,0))&amp;"",""))</f>
        <v/>
      </c>
      <c r="AF3690" s="53">
        <f>IF(OR(P3690="",AB3690=""),"",IF(OR(P3690="Gasto",P3690="Transferencia",P3690="Pago tarjeta"),-1,1)*IF(IFERROR(INDEX(ctaMoneda,MATCH(AB3690,ctaNombre,0))&amp;"","DOP")="USD",T3690,S3690))</f>
        <v/>
      </c>
      <c r="AG3690" s="53">
        <f>IF(AC3690="","",IF(IFERROR(INDEX(ctaMoneda,MATCH(AC3690,ctaNombre,0))&amp;"","DOP")="USD",T3690,S3690))</f>
        <v/>
      </c>
      <c r="AH3690" s="53">
        <f>IF(P3690="","",IF(AND(AD3690&lt;&gt;"",COUNTIFS(tcTipo,AD3690,tcLiq,"Sí")&gt;0),IF(OR(P3690="Gasto",P3690="Transferencia",P3690="Pago tarjeta"),-1,1)*S3690,0)+IF(AND(AE3690&lt;&gt;"",COUNTIFS(tcTipo,AE3690,tcLiq,"Sí")&gt;0),S3690,0))</f>
        <v/>
      </c>
      <c r="AI3690" s="52">
        <f>IF(OR(L3690="",P3690=""),"",IF(COUNTIFS(L$6:L3690,L3690,P$6:P3690,"?*")=1,MAX(AI$5:AI3689)+1,""))</f>
        <v/>
      </c>
    </row>
    <row r="3691">
      <c r="B3691" s="47" t="n"/>
      <c r="C3691" s="48" t="n"/>
      <c r="D3691" s="48" t="n"/>
      <c r="E3691" s="48" t="n"/>
      <c r="F3691" s="48" t="n"/>
      <c r="G3691" s="49" t="n"/>
      <c r="H3691" s="48" t="n"/>
      <c r="I3691" s="50" t="n"/>
      <c r="J3691" s="48" t="n"/>
      <c r="K3691" s="48" t="n"/>
      <c r="L3691" s="48" t="n"/>
      <c r="M3691" s="48" t="n"/>
      <c r="N3691" s="48" t="n"/>
      <c r="O3691" s="51">
        <f>IF(AND(B3691="",G3691="",C3691="",D3691="",J3691=""),"",IF(B3691="","⚠ Falta fecha",IF(G3691="","⚠ Falta monto",IF(Q3691="","⚠ Falta cuenta",IF(ISNA(MATCH(Q3691,ctaNombre,0)),"⚠ Cuenta no registrada",IF(AND(OR(P3691="Gasto",P3691="Reembolso"),D3691=""),"⚠ Falta categoría",IF(AND(D3691&lt;&gt;"",E3691&lt;&gt;"",ISNA(MATCH(D3691&amp;"|"&amp;E3691,catClave,0))),"⚠ Subcategoría no corresponde",IF(AND(OR(P3691="Transferencia",P3691="Pago tarjeta"),K3691=""),"⚠ Falta cuenta destino",IF(AND(K3691&lt;&gt;"",P3691&lt;&gt;"Transferencia",P3691&lt;&gt;"Pago tarjeta"),"⚠ Destino solo aplica a transferencias",IF(AND(K3691&lt;&gt;"",K3691=Q3691),"⚠ Origen igual a destino",IF(AND(K3691&lt;&gt;"",ISNA(MATCH(K3691,ctaNombre,0))),"⚠ Destino no registrado",IF(AND(P3691="Pago tarjeta",AE3691&lt;&gt;"Tarjeta de crédito"),"⚠ El destino debe ser tarjeta de crédito",IF(AND(P3691="Gasto",E3691="Depósitos y retiros"),"⚠ Usa tipo Transferencia",IF(AND(P3691="Resultado trading",AD3691&lt;&gt;"Cuenta de trading"),"⚠ Usa una cuenta de trading",IF(AND(G3691&lt;=0,P3691&lt;&gt;"Ajuste",P3691&lt;&gt;"Resultado trading"),"⚠ El monto debe ser positivo","✓")))))))))))))))</f>
        <v/>
      </c>
      <c r="P3691" s="52">
        <f>IF(OR(B3691="",G3691=""),"",IF(C3691="","Gasto",C3691))</f>
        <v/>
      </c>
      <c r="Q3691" s="52">
        <f>IF(P3691="","",IF(J3691&lt;&gt;"",J3691,CuentaPred&amp;""))</f>
        <v/>
      </c>
      <c r="R3691" s="52">
        <f>IF(P3691="","",IF(ISNUMBER(I3691),I3691,TasaUSD))</f>
        <v/>
      </c>
      <c r="S3691" s="53">
        <f>IF(P3691="","",IF(H3691="USD",G3691*R3691,G3691))</f>
        <v/>
      </c>
      <c r="T3691" s="53">
        <f>IF(P3691="","",IF(H3691="USD",G3691,IF(R3691&gt;0,G3691/R3691,0)))</f>
        <v/>
      </c>
      <c r="U3691" s="53">
        <f>IF(P3691="","",IF(P3691="Gasto",S3691,IF(P3691="Reembolso",-S3691,0)))</f>
        <v/>
      </c>
      <c r="V3691" s="53">
        <f>IF(P3691="","",IF(P3691="Ingreso",S3691,0))</f>
        <v/>
      </c>
      <c r="W3691" s="53">
        <f>IF(P3691="","",IF(P3691="Resultado trading",S3691,0))</f>
        <v/>
      </c>
      <c r="X3691" s="52">
        <f>IF(OR(P3691="Gasto",P3691="Reembolso"),IF(M3691&lt;&gt;"",M3691,IFERROR(INDEX(catClasif,MATCH(D3691&amp;"|"&amp;E3691,catClave,0))&amp;"","Variable")),"")</f>
        <v/>
      </c>
      <c r="Y3691" s="52">
        <f>IF(P3691="","",IFERROR(INDEX(catGrupo,MATCH(D3691&amp;"|"&amp;E3691,catClave,0))&amp;"",""))</f>
        <v/>
      </c>
      <c r="Z3691" s="52">
        <f>IF(P3691="","",WEEKDAY(B3691,2))</f>
        <v/>
      </c>
      <c r="AA3691" s="52">
        <f>IF(P3691="","",IF(AND(P3691="Gasto",X3691="Variable",D3691&lt;&gt;catTrading,S3691&gt;0,S3691&lt;=Umbral),1,0))</f>
        <v/>
      </c>
      <c r="AB3691" s="52">
        <f>IF(OR(P3691="",Q3691=""),"",IFERROR(IF(INDEX(ctaVinc,MATCH(Q3691,ctaNombre,0))&amp;""&lt;&gt;"",INDEX(ctaVinc,MATCH(Q3691,ctaNombre,0))&amp;"",Q3691),Q3691))</f>
        <v/>
      </c>
      <c r="AC3691" s="52">
        <f>IF(OR(K3691="",AND(P3691&lt;&gt;"Transferencia",P3691&lt;&gt;"Pago tarjeta")),"",IFERROR(IF(INDEX(ctaVinc,MATCH(K3691,ctaNombre,0))&amp;""&lt;&gt;"",INDEX(ctaVinc,MATCH(K3691,ctaNombre,0))&amp;"",K3691),K3691))</f>
        <v/>
      </c>
      <c r="AD3691" s="52">
        <f>IF(AB3691="","",IFERROR(INDEX(ctaTipo,MATCH(AB3691,ctaNombre,0))&amp;"",""))</f>
        <v/>
      </c>
      <c r="AE3691" s="52">
        <f>IF(AC3691="","",IFERROR(INDEX(ctaTipo,MATCH(AC3691,ctaNombre,0))&amp;"",""))</f>
        <v/>
      </c>
      <c r="AF3691" s="53">
        <f>IF(OR(P3691="",AB3691=""),"",IF(OR(P3691="Gasto",P3691="Transferencia",P3691="Pago tarjeta"),-1,1)*IF(IFERROR(INDEX(ctaMoneda,MATCH(AB3691,ctaNombre,0))&amp;"","DOP")="USD",T3691,S3691))</f>
        <v/>
      </c>
      <c r="AG3691" s="53">
        <f>IF(AC3691="","",IF(IFERROR(INDEX(ctaMoneda,MATCH(AC3691,ctaNombre,0))&amp;"","DOP")="USD",T3691,S3691))</f>
        <v/>
      </c>
      <c r="AH3691" s="53">
        <f>IF(P3691="","",IF(AND(AD3691&lt;&gt;"",COUNTIFS(tcTipo,AD3691,tcLiq,"Sí")&gt;0),IF(OR(P3691="Gasto",P3691="Transferencia",P3691="Pago tarjeta"),-1,1)*S3691,0)+IF(AND(AE3691&lt;&gt;"",COUNTIFS(tcTipo,AE3691,tcLiq,"Sí")&gt;0),S3691,0))</f>
        <v/>
      </c>
      <c r="AI3691" s="52">
        <f>IF(OR(L3691="",P3691=""),"",IF(COUNTIFS(L$6:L3691,L3691,P$6:P3691,"?*")=1,MAX(AI$5:AI3690)+1,""))</f>
        <v/>
      </c>
    </row>
    <row r="3692">
      <c r="B3692" s="47" t="n"/>
      <c r="C3692" s="48" t="n"/>
      <c r="D3692" s="48" t="n"/>
      <c r="E3692" s="48" t="n"/>
      <c r="F3692" s="48" t="n"/>
      <c r="G3692" s="49" t="n"/>
      <c r="H3692" s="48" t="n"/>
      <c r="I3692" s="50" t="n"/>
      <c r="J3692" s="48" t="n"/>
      <c r="K3692" s="48" t="n"/>
      <c r="L3692" s="48" t="n"/>
      <c r="M3692" s="48" t="n"/>
      <c r="N3692" s="48" t="n"/>
      <c r="O3692" s="51">
        <f>IF(AND(B3692="",G3692="",C3692="",D3692="",J3692=""),"",IF(B3692="","⚠ Falta fecha",IF(G3692="","⚠ Falta monto",IF(Q3692="","⚠ Falta cuenta",IF(ISNA(MATCH(Q3692,ctaNombre,0)),"⚠ Cuenta no registrada",IF(AND(OR(P3692="Gasto",P3692="Reembolso"),D3692=""),"⚠ Falta categoría",IF(AND(D3692&lt;&gt;"",E3692&lt;&gt;"",ISNA(MATCH(D3692&amp;"|"&amp;E3692,catClave,0))),"⚠ Subcategoría no corresponde",IF(AND(OR(P3692="Transferencia",P3692="Pago tarjeta"),K3692=""),"⚠ Falta cuenta destino",IF(AND(K3692&lt;&gt;"",P3692&lt;&gt;"Transferencia",P3692&lt;&gt;"Pago tarjeta"),"⚠ Destino solo aplica a transferencias",IF(AND(K3692&lt;&gt;"",K3692=Q3692),"⚠ Origen igual a destino",IF(AND(K3692&lt;&gt;"",ISNA(MATCH(K3692,ctaNombre,0))),"⚠ Destino no registrado",IF(AND(P3692="Pago tarjeta",AE3692&lt;&gt;"Tarjeta de crédito"),"⚠ El destino debe ser tarjeta de crédito",IF(AND(P3692="Gasto",E3692="Depósitos y retiros"),"⚠ Usa tipo Transferencia",IF(AND(P3692="Resultado trading",AD3692&lt;&gt;"Cuenta de trading"),"⚠ Usa una cuenta de trading",IF(AND(G3692&lt;=0,P3692&lt;&gt;"Ajuste",P3692&lt;&gt;"Resultado trading"),"⚠ El monto debe ser positivo","✓")))))))))))))))</f>
        <v/>
      </c>
      <c r="P3692" s="52">
        <f>IF(OR(B3692="",G3692=""),"",IF(C3692="","Gasto",C3692))</f>
        <v/>
      </c>
      <c r="Q3692" s="52">
        <f>IF(P3692="","",IF(J3692&lt;&gt;"",J3692,CuentaPred&amp;""))</f>
        <v/>
      </c>
      <c r="R3692" s="52">
        <f>IF(P3692="","",IF(ISNUMBER(I3692),I3692,TasaUSD))</f>
        <v/>
      </c>
      <c r="S3692" s="53">
        <f>IF(P3692="","",IF(H3692="USD",G3692*R3692,G3692))</f>
        <v/>
      </c>
      <c r="T3692" s="53">
        <f>IF(P3692="","",IF(H3692="USD",G3692,IF(R3692&gt;0,G3692/R3692,0)))</f>
        <v/>
      </c>
      <c r="U3692" s="53">
        <f>IF(P3692="","",IF(P3692="Gasto",S3692,IF(P3692="Reembolso",-S3692,0)))</f>
        <v/>
      </c>
      <c r="V3692" s="53">
        <f>IF(P3692="","",IF(P3692="Ingreso",S3692,0))</f>
        <v/>
      </c>
      <c r="W3692" s="53">
        <f>IF(P3692="","",IF(P3692="Resultado trading",S3692,0))</f>
        <v/>
      </c>
      <c r="X3692" s="52">
        <f>IF(OR(P3692="Gasto",P3692="Reembolso"),IF(M3692&lt;&gt;"",M3692,IFERROR(INDEX(catClasif,MATCH(D3692&amp;"|"&amp;E3692,catClave,0))&amp;"","Variable")),"")</f>
        <v/>
      </c>
      <c r="Y3692" s="52">
        <f>IF(P3692="","",IFERROR(INDEX(catGrupo,MATCH(D3692&amp;"|"&amp;E3692,catClave,0))&amp;"",""))</f>
        <v/>
      </c>
      <c r="Z3692" s="52">
        <f>IF(P3692="","",WEEKDAY(B3692,2))</f>
        <v/>
      </c>
      <c r="AA3692" s="52">
        <f>IF(P3692="","",IF(AND(P3692="Gasto",X3692="Variable",D3692&lt;&gt;catTrading,S3692&gt;0,S3692&lt;=Umbral),1,0))</f>
        <v/>
      </c>
      <c r="AB3692" s="52">
        <f>IF(OR(P3692="",Q3692=""),"",IFERROR(IF(INDEX(ctaVinc,MATCH(Q3692,ctaNombre,0))&amp;""&lt;&gt;"",INDEX(ctaVinc,MATCH(Q3692,ctaNombre,0))&amp;"",Q3692),Q3692))</f>
        <v/>
      </c>
      <c r="AC3692" s="52">
        <f>IF(OR(K3692="",AND(P3692&lt;&gt;"Transferencia",P3692&lt;&gt;"Pago tarjeta")),"",IFERROR(IF(INDEX(ctaVinc,MATCH(K3692,ctaNombre,0))&amp;""&lt;&gt;"",INDEX(ctaVinc,MATCH(K3692,ctaNombre,0))&amp;"",K3692),K3692))</f>
        <v/>
      </c>
      <c r="AD3692" s="52">
        <f>IF(AB3692="","",IFERROR(INDEX(ctaTipo,MATCH(AB3692,ctaNombre,0))&amp;"",""))</f>
        <v/>
      </c>
      <c r="AE3692" s="52">
        <f>IF(AC3692="","",IFERROR(INDEX(ctaTipo,MATCH(AC3692,ctaNombre,0))&amp;"",""))</f>
        <v/>
      </c>
      <c r="AF3692" s="53">
        <f>IF(OR(P3692="",AB3692=""),"",IF(OR(P3692="Gasto",P3692="Transferencia",P3692="Pago tarjeta"),-1,1)*IF(IFERROR(INDEX(ctaMoneda,MATCH(AB3692,ctaNombre,0))&amp;"","DOP")="USD",T3692,S3692))</f>
        <v/>
      </c>
      <c r="AG3692" s="53">
        <f>IF(AC3692="","",IF(IFERROR(INDEX(ctaMoneda,MATCH(AC3692,ctaNombre,0))&amp;"","DOP")="USD",T3692,S3692))</f>
        <v/>
      </c>
      <c r="AH3692" s="53">
        <f>IF(P3692="","",IF(AND(AD3692&lt;&gt;"",COUNTIFS(tcTipo,AD3692,tcLiq,"Sí")&gt;0),IF(OR(P3692="Gasto",P3692="Transferencia",P3692="Pago tarjeta"),-1,1)*S3692,0)+IF(AND(AE3692&lt;&gt;"",COUNTIFS(tcTipo,AE3692,tcLiq,"Sí")&gt;0),S3692,0))</f>
        <v/>
      </c>
      <c r="AI3692" s="52">
        <f>IF(OR(L3692="",P3692=""),"",IF(COUNTIFS(L$6:L3692,L3692,P$6:P3692,"?*")=1,MAX(AI$5:AI3691)+1,""))</f>
        <v/>
      </c>
    </row>
    <row r="3693">
      <c r="B3693" s="47" t="n"/>
      <c r="C3693" s="48" t="n"/>
      <c r="D3693" s="48" t="n"/>
      <c r="E3693" s="48" t="n"/>
      <c r="F3693" s="48" t="n"/>
      <c r="G3693" s="49" t="n"/>
      <c r="H3693" s="48" t="n"/>
      <c r="I3693" s="50" t="n"/>
      <c r="J3693" s="48" t="n"/>
      <c r="K3693" s="48" t="n"/>
      <c r="L3693" s="48" t="n"/>
      <c r="M3693" s="48" t="n"/>
      <c r="N3693" s="48" t="n"/>
      <c r="O3693" s="51">
        <f>IF(AND(B3693="",G3693="",C3693="",D3693="",J3693=""),"",IF(B3693="","⚠ Falta fecha",IF(G3693="","⚠ Falta monto",IF(Q3693="","⚠ Falta cuenta",IF(ISNA(MATCH(Q3693,ctaNombre,0)),"⚠ Cuenta no registrada",IF(AND(OR(P3693="Gasto",P3693="Reembolso"),D3693=""),"⚠ Falta categoría",IF(AND(D3693&lt;&gt;"",E3693&lt;&gt;"",ISNA(MATCH(D3693&amp;"|"&amp;E3693,catClave,0))),"⚠ Subcategoría no corresponde",IF(AND(OR(P3693="Transferencia",P3693="Pago tarjeta"),K3693=""),"⚠ Falta cuenta destino",IF(AND(K3693&lt;&gt;"",P3693&lt;&gt;"Transferencia",P3693&lt;&gt;"Pago tarjeta"),"⚠ Destino solo aplica a transferencias",IF(AND(K3693&lt;&gt;"",K3693=Q3693),"⚠ Origen igual a destino",IF(AND(K3693&lt;&gt;"",ISNA(MATCH(K3693,ctaNombre,0))),"⚠ Destino no registrado",IF(AND(P3693="Pago tarjeta",AE3693&lt;&gt;"Tarjeta de crédito"),"⚠ El destino debe ser tarjeta de crédito",IF(AND(P3693="Gasto",E3693="Depósitos y retiros"),"⚠ Usa tipo Transferencia",IF(AND(P3693="Resultado trading",AD3693&lt;&gt;"Cuenta de trading"),"⚠ Usa una cuenta de trading",IF(AND(G3693&lt;=0,P3693&lt;&gt;"Ajuste",P3693&lt;&gt;"Resultado trading"),"⚠ El monto debe ser positivo","✓")))))))))))))))</f>
        <v/>
      </c>
      <c r="P3693" s="52">
        <f>IF(OR(B3693="",G3693=""),"",IF(C3693="","Gasto",C3693))</f>
        <v/>
      </c>
      <c r="Q3693" s="52">
        <f>IF(P3693="","",IF(J3693&lt;&gt;"",J3693,CuentaPred&amp;""))</f>
        <v/>
      </c>
      <c r="R3693" s="52">
        <f>IF(P3693="","",IF(ISNUMBER(I3693),I3693,TasaUSD))</f>
        <v/>
      </c>
      <c r="S3693" s="53">
        <f>IF(P3693="","",IF(H3693="USD",G3693*R3693,G3693))</f>
        <v/>
      </c>
      <c r="T3693" s="53">
        <f>IF(P3693="","",IF(H3693="USD",G3693,IF(R3693&gt;0,G3693/R3693,0)))</f>
        <v/>
      </c>
      <c r="U3693" s="53">
        <f>IF(P3693="","",IF(P3693="Gasto",S3693,IF(P3693="Reembolso",-S3693,0)))</f>
        <v/>
      </c>
      <c r="V3693" s="53">
        <f>IF(P3693="","",IF(P3693="Ingreso",S3693,0))</f>
        <v/>
      </c>
      <c r="W3693" s="53">
        <f>IF(P3693="","",IF(P3693="Resultado trading",S3693,0))</f>
        <v/>
      </c>
      <c r="X3693" s="52">
        <f>IF(OR(P3693="Gasto",P3693="Reembolso"),IF(M3693&lt;&gt;"",M3693,IFERROR(INDEX(catClasif,MATCH(D3693&amp;"|"&amp;E3693,catClave,0))&amp;"","Variable")),"")</f>
        <v/>
      </c>
      <c r="Y3693" s="52">
        <f>IF(P3693="","",IFERROR(INDEX(catGrupo,MATCH(D3693&amp;"|"&amp;E3693,catClave,0))&amp;"",""))</f>
        <v/>
      </c>
      <c r="Z3693" s="52">
        <f>IF(P3693="","",WEEKDAY(B3693,2))</f>
        <v/>
      </c>
      <c r="AA3693" s="52">
        <f>IF(P3693="","",IF(AND(P3693="Gasto",X3693="Variable",D3693&lt;&gt;catTrading,S3693&gt;0,S3693&lt;=Umbral),1,0))</f>
        <v/>
      </c>
      <c r="AB3693" s="52">
        <f>IF(OR(P3693="",Q3693=""),"",IFERROR(IF(INDEX(ctaVinc,MATCH(Q3693,ctaNombre,0))&amp;""&lt;&gt;"",INDEX(ctaVinc,MATCH(Q3693,ctaNombre,0))&amp;"",Q3693),Q3693))</f>
        <v/>
      </c>
      <c r="AC3693" s="52">
        <f>IF(OR(K3693="",AND(P3693&lt;&gt;"Transferencia",P3693&lt;&gt;"Pago tarjeta")),"",IFERROR(IF(INDEX(ctaVinc,MATCH(K3693,ctaNombre,0))&amp;""&lt;&gt;"",INDEX(ctaVinc,MATCH(K3693,ctaNombre,0))&amp;"",K3693),K3693))</f>
        <v/>
      </c>
      <c r="AD3693" s="52">
        <f>IF(AB3693="","",IFERROR(INDEX(ctaTipo,MATCH(AB3693,ctaNombre,0))&amp;"",""))</f>
        <v/>
      </c>
      <c r="AE3693" s="52">
        <f>IF(AC3693="","",IFERROR(INDEX(ctaTipo,MATCH(AC3693,ctaNombre,0))&amp;"",""))</f>
        <v/>
      </c>
      <c r="AF3693" s="53">
        <f>IF(OR(P3693="",AB3693=""),"",IF(OR(P3693="Gasto",P3693="Transferencia",P3693="Pago tarjeta"),-1,1)*IF(IFERROR(INDEX(ctaMoneda,MATCH(AB3693,ctaNombre,0))&amp;"","DOP")="USD",T3693,S3693))</f>
        <v/>
      </c>
      <c r="AG3693" s="53">
        <f>IF(AC3693="","",IF(IFERROR(INDEX(ctaMoneda,MATCH(AC3693,ctaNombre,0))&amp;"","DOP")="USD",T3693,S3693))</f>
        <v/>
      </c>
      <c r="AH3693" s="53">
        <f>IF(P3693="","",IF(AND(AD3693&lt;&gt;"",COUNTIFS(tcTipo,AD3693,tcLiq,"Sí")&gt;0),IF(OR(P3693="Gasto",P3693="Transferencia",P3693="Pago tarjeta"),-1,1)*S3693,0)+IF(AND(AE3693&lt;&gt;"",COUNTIFS(tcTipo,AE3693,tcLiq,"Sí")&gt;0),S3693,0))</f>
        <v/>
      </c>
      <c r="AI3693" s="52">
        <f>IF(OR(L3693="",P3693=""),"",IF(COUNTIFS(L$6:L3693,L3693,P$6:P3693,"?*")=1,MAX(AI$5:AI3692)+1,""))</f>
        <v/>
      </c>
    </row>
    <row r="3694">
      <c r="B3694" s="47" t="n"/>
      <c r="C3694" s="48" t="n"/>
      <c r="D3694" s="48" t="n"/>
      <c r="E3694" s="48" t="n"/>
      <c r="F3694" s="48" t="n"/>
      <c r="G3694" s="49" t="n"/>
      <c r="H3694" s="48" t="n"/>
      <c r="I3694" s="50" t="n"/>
      <c r="J3694" s="48" t="n"/>
      <c r="K3694" s="48" t="n"/>
      <c r="L3694" s="48" t="n"/>
      <c r="M3694" s="48" t="n"/>
      <c r="N3694" s="48" t="n"/>
      <c r="O3694" s="51">
        <f>IF(AND(B3694="",G3694="",C3694="",D3694="",J3694=""),"",IF(B3694="","⚠ Falta fecha",IF(G3694="","⚠ Falta monto",IF(Q3694="","⚠ Falta cuenta",IF(ISNA(MATCH(Q3694,ctaNombre,0)),"⚠ Cuenta no registrada",IF(AND(OR(P3694="Gasto",P3694="Reembolso"),D3694=""),"⚠ Falta categoría",IF(AND(D3694&lt;&gt;"",E3694&lt;&gt;"",ISNA(MATCH(D3694&amp;"|"&amp;E3694,catClave,0))),"⚠ Subcategoría no corresponde",IF(AND(OR(P3694="Transferencia",P3694="Pago tarjeta"),K3694=""),"⚠ Falta cuenta destino",IF(AND(K3694&lt;&gt;"",P3694&lt;&gt;"Transferencia",P3694&lt;&gt;"Pago tarjeta"),"⚠ Destino solo aplica a transferencias",IF(AND(K3694&lt;&gt;"",K3694=Q3694),"⚠ Origen igual a destino",IF(AND(K3694&lt;&gt;"",ISNA(MATCH(K3694,ctaNombre,0))),"⚠ Destino no registrado",IF(AND(P3694="Pago tarjeta",AE3694&lt;&gt;"Tarjeta de crédito"),"⚠ El destino debe ser tarjeta de crédito",IF(AND(P3694="Gasto",E3694="Depósitos y retiros"),"⚠ Usa tipo Transferencia",IF(AND(P3694="Resultado trading",AD3694&lt;&gt;"Cuenta de trading"),"⚠ Usa una cuenta de trading",IF(AND(G3694&lt;=0,P3694&lt;&gt;"Ajuste",P3694&lt;&gt;"Resultado trading"),"⚠ El monto debe ser positivo","✓")))))))))))))))</f>
        <v/>
      </c>
      <c r="P3694" s="52">
        <f>IF(OR(B3694="",G3694=""),"",IF(C3694="","Gasto",C3694))</f>
        <v/>
      </c>
      <c r="Q3694" s="52">
        <f>IF(P3694="","",IF(J3694&lt;&gt;"",J3694,CuentaPred&amp;""))</f>
        <v/>
      </c>
      <c r="R3694" s="52">
        <f>IF(P3694="","",IF(ISNUMBER(I3694),I3694,TasaUSD))</f>
        <v/>
      </c>
      <c r="S3694" s="53">
        <f>IF(P3694="","",IF(H3694="USD",G3694*R3694,G3694))</f>
        <v/>
      </c>
      <c r="T3694" s="53">
        <f>IF(P3694="","",IF(H3694="USD",G3694,IF(R3694&gt;0,G3694/R3694,0)))</f>
        <v/>
      </c>
      <c r="U3694" s="53">
        <f>IF(P3694="","",IF(P3694="Gasto",S3694,IF(P3694="Reembolso",-S3694,0)))</f>
        <v/>
      </c>
      <c r="V3694" s="53">
        <f>IF(P3694="","",IF(P3694="Ingreso",S3694,0))</f>
        <v/>
      </c>
      <c r="W3694" s="53">
        <f>IF(P3694="","",IF(P3694="Resultado trading",S3694,0))</f>
        <v/>
      </c>
      <c r="X3694" s="52">
        <f>IF(OR(P3694="Gasto",P3694="Reembolso"),IF(M3694&lt;&gt;"",M3694,IFERROR(INDEX(catClasif,MATCH(D3694&amp;"|"&amp;E3694,catClave,0))&amp;"","Variable")),"")</f>
        <v/>
      </c>
      <c r="Y3694" s="52">
        <f>IF(P3694="","",IFERROR(INDEX(catGrupo,MATCH(D3694&amp;"|"&amp;E3694,catClave,0))&amp;"",""))</f>
        <v/>
      </c>
      <c r="Z3694" s="52">
        <f>IF(P3694="","",WEEKDAY(B3694,2))</f>
        <v/>
      </c>
      <c r="AA3694" s="52">
        <f>IF(P3694="","",IF(AND(P3694="Gasto",X3694="Variable",D3694&lt;&gt;catTrading,S3694&gt;0,S3694&lt;=Umbral),1,0))</f>
        <v/>
      </c>
      <c r="AB3694" s="52">
        <f>IF(OR(P3694="",Q3694=""),"",IFERROR(IF(INDEX(ctaVinc,MATCH(Q3694,ctaNombre,0))&amp;""&lt;&gt;"",INDEX(ctaVinc,MATCH(Q3694,ctaNombre,0))&amp;"",Q3694),Q3694))</f>
        <v/>
      </c>
      <c r="AC3694" s="52">
        <f>IF(OR(K3694="",AND(P3694&lt;&gt;"Transferencia",P3694&lt;&gt;"Pago tarjeta")),"",IFERROR(IF(INDEX(ctaVinc,MATCH(K3694,ctaNombre,0))&amp;""&lt;&gt;"",INDEX(ctaVinc,MATCH(K3694,ctaNombre,0))&amp;"",K3694),K3694))</f>
        <v/>
      </c>
      <c r="AD3694" s="52">
        <f>IF(AB3694="","",IFERROR(INDEX(ctaTipo,MATCH(AB3694,ctaNombre,0))&amp;"",""))</f>
        <v/>
      </c>
      <c r="AE3694" s="52">
        <f>IF(AC3694="","",IFERROR(INDEX(ctaTipo,MATCH(AC3694,ctaNombre,0))&amp;"",""))</f>
        <v/>
      </c>
      <c r="AF3694" s="53">
        <f>IF(OR(P3694="",AB3694=""),"",IF(OR(P3694="Gasto",P3694="Transferencia",P3694="Pago tarjeta"),-1,1)*IF(IFERROR(INDEX(ctaMoneda,MATCH(AB3694,ctaNombre,0))&amp;"","DOP")="USD",T3694,S3694))</f>
        <v/>
      </c>
      <c r="AG3694" s="53">
        <f>IF(AC3694="","",IF(IFERROR(INDEX(ctaMoneda,MATCH(AC3694,ctaNombre,0))&amp;"","DOP")="USD",T3694,S3694))</f>
        <v/>
      </c>
      <c r="AH3694" s="53">
        <f>IF(P3694="","",IF(AND(AD3694&lt;&gt;"",COUNTIFS(tcTipo,AD3694,tcLiq,"Sí")&gt;0),IF(OR(P3694="Gasto",P3694="Transferencia",P3694="Pago tarjeta"),-1,1)*S3694,0)+IF(AND(AE3694&lt;&gt;"",COUNTIFS(tcTipo,AE3694,tcLiq,"Sí")&gt;0),S3694,0))</f>
        <v/>
      </c>
      <c r="AI3694" s="52">
        <f>IF(OR(L3694="",P3694=""),"",IF(COUNTIFS(L$6:L3694,L3694,P$6:P3694,"?*")=1,MAX(AI$5:AI3693)+1,""))</f>
        <v/>
      </c>
    </row>
    <row r="3695">
      <c r="B3695" s="47" t="n"/>
      <c r="C3695" s="48" t="n"/>
      <c r="D3695" s="48" t="n"/>
      <c r="E3695" s="48" t="n"/>
      <c r="F3695" s="48" t="n"/>
      <c r="G3695" s="49" t="n"/>
      <c r="H3695" s="48" t="n"/>
      <c r="I3695" s="50" t="n"/>
      <c r="J3695" s="48" t="n"/>
      <c r="K3695" s="48" t="n"/>
      <c r="L3695" s="48" t="n"/>
      <c r="M3695" s="48" t="n"/>
      <c r="N3695" s="48" t="n"/>
      <c r="O3695" s="51">
        <f>IF(AND(B3695="",G3695="",C3695="",D3695="",J3695=""),"",IF(B3695="","⚠ Falta fecha",IF(G3695="","⚠ Falta monto",IF(Q3695="","⚠ Falta cuenta",IF(ISNA(MATCH(Q3695,ctaNombre,0)),"⚠ Cuenta no registrada",IF(AND(OR(P3695="Gasto",P3695="Reembolso"),D3695=""),"⚠ Falta categoría",IF(AND(D3695&lt;&gt;"",E3695&lt;&gt;"",ISNA(MATCH(D3695&amp;"|"&amp;E3695,catClave,0))),"⚠ Subcategoría no corresponde",IF(AND(OR(P3695="Transferencia",P3695="Pago tarjeta"),K3695=""),"⚠ Falta cuenta destino",IF(AND(K3695&lt;&gt;"",P3695&lt;&gt;"Transferencia",P3695&lt;&gt;"Pago tarjeta"),"⚠ Destino solo aplica a transferencias",IF(AND(K3695&lt;&gt;"",K3695=Q3695),"⚠ Origen igual a destino",IF(AND(K3695&lt;&gt;"",ISNA(MATCH(K3695,ctaNombre,0))),"⚠ Destino no registrado",IF(AND(P3695="Pago tarjeta",AE3695&lt;&gt;"Tarjeta de crédito"),"⚠ El destino debe ser tarjeta de crédito",IF(AND(P3695="Gasto",E3695="Depósitos y retiros"),"⚠ Usa tipo Transferencia",IF(AND(P3695="Resultado trading",AD3695&lt;&gt;"Cuenta de trading"),"⚠ Usa una cuenta de trading",IF(AND(G3695&lt;=0,P3695&lt;&gt;"Ajuste",P3695&lt;&gt;"Resultado trading"),"⚠ El monto debe ser positivo","✓")))))))))))))))</f>
        <v/>
      </c>
      <c r="P3695" s="52">
        <f>IF(OR(B3695="",G3695=""),"",IF(C3695="","Gasto",C3695))</f>
        <v/>
      </c>
      <c r="Q3695" s="52">
        <f>IF(P3695="","",IF(J3695&lt;&gt;"",J3695,CuentaPred&amp;""))</f>
        <v/>
      </c>
      <c r="R3695" s="52">
        <f>IF(P3695="","",IF(ISNUMBER(I3695),I3695,TasaUSD))</f>
        <v/>
      </c>
      <c r="S3695" s="53">
        <f>IF(P3695="","",IF(H3695="USD",G3695*R3695,G3695))</f>
        <v/>
      </c>
      <c r="T3695" s="53">
        <f>IF(P3695="","",IF(H3695="USD",G3695,IF(R3695&gt;0,G3695/R3695,0)))</f>
        <v/>
      </c>
      <c r="U3695" s="53">
        <f>IF(P3695="","",IF(P3695="Gasto",S3695,IF(P3695="Reembolso",-S3695,0)))</f>
        <v/>
      </c>
      <c r="V3695" s="53">
        <f>IF(P3695="","",IF(P3695="Ingreso",S3695,0))</f>
        <v/>
      </c>
      <c r="W3695" s="53">
        <f>IF(P3695="","",IF(P3695="Resultado trading",S3695,0))</f>
        <v/>
      </c>
      <c r="X3695" s="52">
        <f>IF(OR(P3695="Gasto",P3695="Reembolso"),IF(M3695&lt;&gt;"",M3695,IFERROR(INDEX(catClasif,MATCH(D3695&amp;"|"&amp;E3695,catClave,0))&amp;"","Variable")),"")</f>
        <v/>
      </c>
      <c r="Y3695" s="52">
        <f>IF(P3695="","",IFERROR(INDEX(catGrupo,MATCH(D3695&amp;"|"&amp;E3695,catClave,0))&amp;"",""))</f>
        <v/>
      </c>
      <c r="Z3695" s="52">
        <f>IF(P3695="","",WEEKDAY(B3695,2))</f>
        <v/>
      </c>
      <c r="AA3695" s="52">
        <f>IF(P3695="","",IF(AND(P3695="Gasto",X3695="Variable",D3695&lt;&gt;catTrading,S3695&gt;0,S3695&lt;=Umbral),1,0))</f>
        <v/>
      </c>
      <c r="AB3695" s="52">
        <f>IF(OR(P3695="",Q3695=""),"",IFERROR(IF(INDEX(ctaVinc,MATCH(Q3695,ctaNombre,0))&amp;""&lt;&gt;"",INDEX(ctaVinc,MATCH(Q3695,ctaNombre,0))&amp;"",Q3695),Q3695))</f>
        <v/>
      </c>
      <c r="AC3695" s="52">
        <f>IF(OR(K3695="",AND(P3695&lt;&gt;"Transferencia",P3695&lt;&gt;"Pago tarjeta")),"",IFERROR(IF(INDEX(ctaVinc,MATCH(K3695,ctaNombre,0))&amp;""&lt;&gt;"",INDEX(ctaVinc,MATCH(K3695,ctaNombre,0))&amp;"",K3695),K3695))</f>
        <v/>
      </c>
      <c r="AD3695" s="52">
        <f>IF(AB3695="","",IFERROR(INDEX(ctaTipo,MATCH(AB3695,ctaNombre,0))&amp;"",""))</f>
        <v/>
      </c>
      <c r="AE3695" s="52">
        <f>IF(AC3695="","",IFERROR(INDEX(ctaTipo,MATCH(AC3695,ctaNombre,0))&amp;"",""))</f>
        <v/>
      </c>
      <c r="AF3695" s="53">
        <f>IF(OR(P3695="",AB3695=""),"",IF(OR(P3695="Gasto",P3695="Transferencia",P3695="Pago tarjeta"),-1,1)*IF(IFERROR(INDEX(ctaMoneda,MATCH(AB3695,ctaNombre,0))&amp;"","DOP")="USD",T3695,S3695))</f>
        <v/>
      </c>
      <c r="AG3695" s="53">
        <f>IF(AC3695="","",IF(IFERROR(INDEX(ctaMoneda,MATCH(AC3695,ctaNombre,0))&amp;"","DOP")="USD",T3695,S3695))</f>
        <v/>
      </c>
      <c r="AH3695" s="53">
        <f>IF(P3695="","",IF(AND(AD3695&lt;&gt;"",COUNTIFS(tcTipo,AD3695,tcLiq,"Sí")&gt;0),IF(OR(P3695="Gasto",P3695="Transferencia",P3695="Pago tarjeta"),-1,1)*S3695,0)+IF(AND(AE3695&lt;&gt;"",COUNTIFS(tcTipo,AE3695,tcLiq,"Sí")&gt;0),S3695,0))</f>
        <v/>
      </c>
      <c r="AI3695" s="52">
        <f>IF(OR(L3695="",P3695=""),"",IF(COUNTIFS(L$6:L3695,L3695,P$6:P3695,"?*")=1,MAX(AI$5:AI3694)+1,""))</f>
        <v/>
      </c>
    </row>
    <row r="3696">
      <c r="B3696" s="47" t="n"/>
      <c r="C3696" s="48" t="n"/>
      <c r="D3696" s="48" t="n"/>
      <c r="E3696" s="48" t="n"/>
      <c r="F3696" s="48" t="n"/>
      <c r="G3696" s="49" t="n"/>
      <c r="H3696" s="48" t="n"/>
      <c r="I3696" s="50" t="n"/>
      <c r="J3696" s="48" t="n"/>
      <c r="K3696" s="48" t="n"/>
      <c r="L3696" s="48" t="n"/>
      <c r="M3696" s="48" t="n"/>
      <c r="N3696" s="48" t="n"/>
      <c r="O3696" s="51">
        <f>IF(AND(B3696="",G3696="",C3696="",D3696="",J3696=""),"",IF(B3696="","⚠ Falta fecha",IF(G3696="","⚠ Falta monto",IF(Q3696="","⚠ Falta cuenta",IF(ISNA(MATCH(Q3696,ctaNombre,0)),"⚠ Cuenta no registrada",IF(AND(OR(P3696="Gasto",P3696="Reembolso"),D3696=""),"⚠ Falta categoría",IF(AND(D3696&lt;&gt;"",E3696&lt;&gt;"",ISNA(MATCH(D3696&amp;"|"&amp;E3696,catClave,0))),"⚠ Subcategoría no corresponde",IF(AND(OR(P3696="Transferencia",P3696="Pago tarjeta"),K3696=""),"⚠ Falta cuenta destino",IF(AND(K3696&lt;&gt;"",P3696&lt;&gt;"Transferencia",P3696&lt;&gt;"Pago tarjeta"),"⚠ Destino solo aplica a transferencias",IF(AND(K3696&lt;&gt;"",K3696=Q3696),"⚠ Origen igual a destino",IF(AND(K3696&lt;&gt;"",ISNA(MATCH(K3696,ctaNombre,0))),"⚠ Destino no registrado",IF(AND(P3696="Pago tarjeta",AE3696&lt;&gt;"Tarjeta de crédito"),"⚠ El destino debe ser tarjeta de crédito",IF(AND(P3696="Gasto",E3696="Depósitos y retiros"),"⚠ Usa tipo Transferencia",IF(AND(P3696="Resultado trading",AD3696&lt;&gt;"Cuenta de trading"),"⚠ Usa una cuenta de trading",IF(AND(G3696&lt;=0,P3696&lt;&gt;"Ajuste",P3696&lt;&gt;"Resultado trading"),"⚠ El monto debe ser positivo","✓")))))))))))))))</f>
        <v/>
      </c>
      <c r="P3696" s="52">
        <f>IF(OR(B3696="",G3696=""),"",IF(C3696="","Gasto",C3696))</f>
        <v/>
      </c>
      <c r="Q3696" s="52">
        <f>IF(P3696="","",IF(J3696&lt;&gt;"",J3696,CuentaPred&amp;""))</f>
        <v/>
      </c>
      <c r="R3696" s="52">
        <f>IF(P3696="","",IF(ISNUMBER(I3696),I3696,TasaUSD))</f>
        <v/>
      </c>
      <c r="S3696" s="53">
        <f>IF(P3696="","",IF(H3696="USD",G3696*R3696,G3696))</f>
        <v/>
      </c>
      <c r="T3696" s="53">
        <f>IF(P3696="","",IF(H3696="USD",G3696,IF(R3696&gt;0,G3696/R3696,0)))</f>
        <v/>
      </c>
      <c r="U3696" s="53">
        <f>IF(P3696="","",IF(P3696="Gasto",S3696,IF(P3696="Reembolso",-S3696,0)))</f>
        <v/>
      </c>
      <c r="V3696" s="53">
        <f>IF(P3696="","",IF(P3696="Ingreso",S3696,0))</f>
        <v/>
      </c>
      <c r="W3696" s="53">
        <f>IF(P3696="","",IF(P3696="Resultado trading",S3696,0))</f>
        <v/>
      </c>
      <c r="X3696" s="52">
        <f>IF(OR(P3696="Gasto",P3696="Reembolso"),IF(M3696&lt;&gt;"",M3696,IFERROR(INDEX(catClasif,MATCH(D3696&amp;"|"&amp;E3696,catClave,0))&amp;"","Variable")),"")</f>
        <v/>
      </c>
      <c r="Y3696" s="52">
        <f>IF(P3696="","",IFERROR(INDEX(catGrupo,MATCH(D3696&amp;"|"&amp;E3696,catClave,0))&amp;"",""))</f>
        <v/>
      </c>
      <c r="Z3696" s="52">
        <f>IF(P3696="","",WEEKDAY(B3696,2))</f>
        <v/>
      </c>
      <c r="AA3696" s="52">
        <f>IF(P3696="","",IF(AND(P3696="Gasto",X3696="Variable",D3696&lt;&gt;catTrading,S3696&gt;0,S3696&lt;=Umbral),1,0))</f>
        <v/>
      </c>
      <c r="AB3696" s="52">
        <f>IF(OR(P3696="",Q3696=""),"",IFERROR(IF(INDEX(ctaVinc,MATCH(Q3696,ctaNombre,0))&amp;""&lt;&gt;"",INDEX(ctaVinc,MATCH(Q3696,ctaNombre,0))&amp;"",Q3696),Q3696))</f>
        <v/>
      </c>
      <c r="AC3696" s="52">
        <f>IF(OR(K3696="",AND(P3696&lt;&gt;"Transferencia",P3696&lt;&gt;"Pago tarjeta")),"",IFERROR(IF(INDEX(ctaVinc,MATCH(K3696,ctaNombre,0))&amp;""&lt;&gt;"",INDEX(ctaVinc,MATCH(K3696,ctaNombre,0))&amp;"",K3696),K3696))</f>
        <v/>
      </c>
      <c r="AD3696" s="52">
        <f>IF(AB3696="","",IFERROR(INDEX(ctaTipo,MATCH(AB3696,ctaNombre,0))&amp;"",""))</f>
        <v/>
      </c>
      <c r="AE3696" s="52">
        <f>IF(AC3696="","",IFERROR(INDEX(ctaTipo,MATCH(AC3696,ctaNombre,0))&amp;"",""))</f>
        <v/>
      </c>
      <c r="AF3696" s="53">
        <f>IF(OR(P3696="",AB3696=""),"",IF(OR(P3696="Gasto",P3696="Transferencia",P3696="Pago tarjeta"),-1,1)*IF(IFERROR(INDEX(ctaMoneda,MATCH(AB3696,ctaNombre,0))&amp;"","DOP")="USD",T3696,S3696))</f>
        <v/>
      </c>
      <c r="AG3696" s="53">
        <f>IF(AC3696="","",IF(IFERROR(INDEX(ctaMoneda,MATCH(AC3696,ctaNombre,0))&amp;"","DOP")="USD",T3696,S3696))</f>
        <v/>
      </c>
      <c r="AH3696" s="53">
        <f>IF(P3696="","",IF(AND(AD3696&lt;&gt;"",COUNTIFS(tcTipo,AD3696,tcLiq,"Sí")&gt;0),IF(OR(P3696="Gasto",P3696="Transferencia",P3696="Pago tarjeta"),-1,1)*S3696,0)+IF(AND(AE3696&lt;&gt;"",COUNTIFS(tcTipo,AE3696,tcLiq,"Sí")&gt;0),S3696,0))</f>
        <v/>
      </c>
      <c r="AI3696" s="52">
        <f>IF(OR(L3696="",P3696=""),"",IF(COUNTIFS(L$6:L3696,L3696,P$6:P3696,"?*")=1,MAX(AI$5:AI3695)+1,""))</f>
        <v/>
      </c>
    </row>
    <row r="3697">
      <c r="B3697" s="47" t="n"/>
      <c r="C3697" s="48" t="n"/>
      <c r="D3697" s="48" t="n"/>
      <c r="E3697" s="48" t="n"/>
      <c r="F3697" s="48" t="n"/>
      <c r="G3697" s="49" t="n"/>
      <c r="H3697" s="48" t="n"/>
      <c r="I3697" s="50" t="n"/>
      <c r="J3697" s="48" t="n"/>
      <c r="K3697" s="48" t="n"/>
      <c r="L3697" s="48" t="n"/>
      <c r="M3697" s="48" t="n"/>
      <c r="N3697" s="48" t="n"/>
      <c r="O3697" s="51">
        <f>IF(AND(B3697="",G3697="",C3697="",D3697="",J3697=""),"",IF(B3697="","⚠ Falta fecha",IF(G3697="","⚠ Falta monto",IF(Q3697="","⚠ Falta cuenta",IF(ISNA(MATCH(Q3697,ctaNombre,0)),"⚠ Cuenta no registrada",IF(AND(OR(P3697="Gasto",P3697="Reembolso"),D3697=""),"⚠ Falta categoría",IF(AND(D3697&lt;&gt;"",E3697&lt;&gt;"",ISNA(MATCH(D3697&amp;"|"&amp;E3697,catClave,0))),"⚠ Subcategoría no corresponde",IF(AND(OR(P3697="Transferencia",P3697="Pago tarjeta"),K3697=""),"⚠ Falta cuenta destino",IF(AND(K3697&lt;&gt;"",P3697&lt;&gt;"Transferencia",P3697&lt;&gt;"Pago tarjeta"),"⚠ Destino solo aplica a transferencias",IF(AND(K3697&lt;&gt;"",K3697=Q3697),"⚠ Origen igual a destino",IF(AND(K3697&lt;&gt;"",ISNA(MATCH(K3697,ctaNombre,0))),"⚠ Destino no registrado",IF(AND(P3697="Pago tarjeta",AE3697&lt;&gt;"Tarjeta de crédito"),"⚠ El destino debe ser tarjeta de crédito",IF(AND(P3697="Gasto",E3697="Depósitos y retiros"),"⚠ Usa tipo Transferencia",IF(AND(P3697="Resultado trading",AD3697&lt;&gt;"Cuenta de trading"),"⚠ Usa una cuenta de trading",IF(AND(G3697&lt;=0,P3697&lt;&gt;"Ajuste",P3697&lt;&gt;"Resultado trading"),"⚠ El monto debe ser positivo","✓")))))))))))))))</f>
        <v/>
      </c>
      <c r="P3697" s="52">
        <f>IF(OR(B3697="",G3697=""),"",IF(C3697="","Gasto",C3697))</f>
        <v/>
      </c>
      <c r="Q3697" s="52">
        <f>IF(P3697="","",IF(J3697&lt;&gt;"",J3697,CuentaPred&amp;""))</f>
        <v/>
      </c>
      <c r="R3697" s="52">
        <f>IF(P3697="","",IF(ISNUMBER(I3697),I3697,TasaUSD))</f>
        <v/>
      </c>
      <c r="S3697" s="53">
        <f>IF(P3697="","",IF(H3697="USD",G3697*R3697,G3697))</f>
        <v/>
      </c>
      <c r="T3697" s="53">
        <f>IF(P3697="","",IF(H3697="USD",G3697,IF(R3697&gt;0,G3697/R3697,0)))</f>
        <v/>
      </c>
      <c r="U3697" s="53">
        <f>IF(P3697="","",IF(P3697="Gasto",S3697,IF(P3697="Reembolso",-S3697,0)))</f>
        <v/>
      </c>
      <c r="V3697" s="53">
        <f>IF(P3697="","",IF(P3697="Ingreso",S3697,0))</f>
        <v/>
      </c>
      <c r="W3697" s="53">
        <f>IF(P3697="","",IF(P3697="Resultado trading",S3697,0))</f>
        <v/>
      </c>
      <c r="X3697" s="52">
        <f>IF(OR(P3697="Gasto",P3697="Reembolso"),IF(M3697&lt;&gt;"",M3697,IFERROR(INDEX(catClasif,MATCH(D3697&amp;"|"&amp;E3697,catClave,0))&amp;"","Variable")),"")</f>
        <v/>
      </c>
      <c r="Y3697" s="52">
        <f>IF(P3697="","",IFERROR(INDEX(catGrupo,MATCH(D3697&amp;"|"&amp;E3697,catClave,0))&amp;"",""))</f>
        <v/>
      </c>
      <c r="Z3697" s="52">
        <f>IF(P3697="","",WEEKDAY(B3697,2))</f>
        <v/>
      </c>
      <c r="AA3697" s="52">
        <f>IF(P3697="","",IF(AND(P3697="Gasto",X3697="Variable",D3697&lt;&gt;catTrading,S3697&gt;0,S3697&lt;=Umbral),1,0))</f>
        <v/>
      </c>
      <c r="AB3697" s="52">
        <f>IF(OR(P3697="",Q3697=""),"",IFERROR(IF(INDEX(ctaVinc,MATCH(Q3697,ctaNombre,0))&amp;""&lt;&gt;"",INDEX(ctaVinc,MATCH(Q3697,ctaNombre,0))&amp;"",Q3697),Q3697))</f>
        <v/>
      </c>
      <c r="AC3697" s="52">
        <f>IF(OR(K3697="",AND(P3697&lt;&gt;"Transferencia",P3697&lt;&gt;"Pago tarjeta")),"",IFERROR(IF(INDEX(ctaVinc,MATCH(K3697,ctaNombre,0))&amp;""&lt;&gt;"",INDEX(ctaVinc,MATCH(K3697,ctaNombre,0))&amp;"",K3697),K3697))</f>
        <v/>
      </c>
      <c r="AD3697" s="52">
        <f>IF(AB3697="","",IFERROR(INDEX(ctaTipo,MATCH(AB3697,ctaNombre,0))&amp;"",""))</f>
        <v/>
      </c>
      <c r="AE3697" s="52">
        <f>IF(AC3697="","",IFERROR(INDEX(ctaTipo,MATCH(AC3697,ctaNombre,0))&amp;"",""))</f>
        <v/>
      </c>
      <c r="AF3697" s="53">
        <f>IF(OR(P3697="",AB3697=""),"",IF(OR(P3697="Gasto",P3697="Transferencia",P3697="Pago tarjeta"),-1,1)*IF(IFERROR(INDEX(ctaMoneda,MATCH(AB3697,ctaNombre,0))&amp;"","DOP")="USD",T3697,S3697))</f>
        <v/>
      </c>
      <c r="AG3697" s="53">
        <f>IF(AC3697="","",IF(IFERROR(INDEX(ctaMoneda,MATCH(AC3697,ctaNombre,0))&amp;"","DOP")="USD",T3697,S3697))</f>
        <v/>
      </c>
      <c r="AH3697" s="53">
        <f>IF(P3697="","",IF(AND(AD3697&lt;&gt;"",COUNTIFS(tcTipo,AD3697,tcLiq,"Sí")&gt;0),IF(OR(P3697="Gasto",P3697="Transferencia",P3697="Pago tarjeta"),-1,1)*S3697,0)+IF(AND(AE3697&lt;&gt;"",COUNTIFS(tcTipo,AE3697,tcLiq,"Sí")&gt;0),S3697,0))</f>
        <v/>
      </c>
      <c r="AI3697" s="52">
        <f>IF(OR(L3697="",P3697=""),"",IF(COUNTIFS(L$6:L3697,L3697,P$6:P3697,"?*")=1,MAX(AI$5:AI3696)+1,""))</f>
        <v/>
      </c>
    </row>
    <row r="3698">
      <c r="B3698" s="47" t="n"/>
      <c r="C3698" s="48" t="n"/>
      <c r="D3698" s="48" t="n"/>
      <c r="E3698" s="48" t="n"/>
      <c r="F3698" s="48" t="n"/>
      <c r="G3698" s="49" t="n"/>
      <c r="H3698" s="48" t="n"/>
      <c r="I3698" s="50" t="n"/>
      <c r="J3698" s="48" t="n"/>
      <c r="K3698" s="48" t="n"/>
      <c r="L3698" s="48" t="n"/>
      <c r="M3698" s="48" t="n"/>
      <c r="N3698" s="48" t="n"/>
      <c r="O3698" s="51">
        <f>IF(AND(B3698="",G3698="",C3698="",D3698="",J3698=""),"",IF(B3698="","⚠ Falta fecha",IF(G3698="","⚠ Falta monto",IF(Q3698="","⚠ Falta cuenta",IF(ISNA(MATCH(Q3698,ctaNombre,0)),"⚠ Cuenta no registrada",IF(AND(OR(P3698="Gasto",P3698="Reembolso"),D3698=""),"⚠ Falta categoría",IF(AND(D3698&lt;&gt;"",E3698&lt;&gt;"",ISNA(MATCH(D3698&amp;"|"&amp;E3698,catClave,0))),"⚠ Subcategoría no corresponde",IF(AND(OR(P3698="Transferencia",P3698="Pago tarjeta"),K3698=""),"⚠ Falta cuenta destino",IF(AND(K3698&lt;&gt;"",P3698&lt;&gt;"Transferencia",P3698&lt;&gt;"Pago tarjeta"),"⚠ Destino solo aplica a transferencias",IF(AND(K3698&lt;&gt;"",K3698=Q3698),"⚠ Origen igual a destino",IF(AND(K3698&lt;&gt;"",ISNA(MATCH(K3698,ctaNombre,0))),"⚠ Destino no registrado",IF(AND(P3698="Pago tarjeta",AE3698&lt;&gt;"Tarjeta de crédito"),"⚠ El destino debe ser tarjeta de crédito",IF(AND(P3698="Gasto",E3698="Depósitos y retiros"),"⚠ Usa tipo Transferencia",IF(AND(P3698="Resultado trading",AD3698&lt;&gt;"Cuenta de trading"),"⚠ Usa una cuenta de trading",IF(AND(G3698&lt;=0,P3698&lt;&gt;"Ajuste",P3698&lt;&gt;"Resultado trading"),"⚠ El monto debe ser positivo","✓")))))))))))))))</f>
        <v/>
      </c>
      <c r="P3698" s="52">
        <f>IF(OR(B3698="",G3698=""),"",IF(C3698="","Gasto",C3698))</f>
        <v/>
      </c>
      <c r="Q3698" s="52">
        <f>IF(P3698="","",IF(J3698&lt;&gt;"",J3698,CuentaPred&amp;""))</f>
        <v/>
      </c>
      <c r="R3698" s="52">
        <f>IF(P3698="","",IF(ISNUMBER(I3698),I3698,TasaUSD))</f>
        <v/>
      </c>
      <c r="S3698" s="53">
        <f>IF(P3698="","",IF(H3698="USD",G3698*R3698,G3698))</f>
        <v/>
      </c>
      <c r="T3698" s="53">
        <f>IF(P3698="","",IF(H3698="USD",G3698,IF(R3698&gt;0,G3698/R3698,0)))</f>
        <v/>
      </c>
      <c r="U3698" s="53">
        <f>IF(P3698="","",IF(P3698="Gasto",S3698,IF(P3698="Reembolso",-S3698,0)))</f>
        <v/>
      </c>
      <c r="V3698" s="53">
        <f>IF(P3698="","",IF(P3698="Ingreso",S3698,0))</f>
        <v/>
      </c>
      <c r="W3698" s="53">
        <f>IF(P3698="","",IF(P3698="Resultado trading",S3698,0))</f>
        <v/>
      </c>
      <c r="X3698" s="52">
        <f>IF(OR(P3698="Gasto",P3698="Reembolso"),IF(M3698&lt;&gt;"",M3698,IFERROR(INDEX(catClasif,MATCH(D3698&amp;"|"&amp;E3698,catClave,0))&amp;"","Variable")),"")</f>
        <v/>
      </c>
      <c r="Y3698" s="52">
        <f>IF(P3698="","",IFERROR(INDEX(catGrupo,MATCH(D3698&amp;"|"&amp;E3698,catClave,0))&amp;"",""))</f>
        <v/>
      </c>
      <c r="Z3698" s="52">
        <f>IF(P3698="","",WEEKDAY(B3698,2))</f>
        <v/>
      </c>
      <c r="AA3698" s="52">
        <f>IF(P3698="","",IF(AND(P3698="Gasto",X3698="Variable",D3698&lt;&gt;catTrading,S3698&gt;0,S3698&lt;=Umbral),1,0))</f>
        <v/>
      </c>
      <c r="AB3698" s="52">
        <f>IF(OR(P3698="",Q3698=""),"",IFERROR(IF(INDEX(ctaVinc,MATCH(Q3698,ctaNombre,0))&amp;""&lt;&gt;"",INDEX(ctaVinc,MATCH(Q3698,ctaNombre,0))&amp;"",Q3698),Q3698))</f>
        <v/>
      </c>
      <c r="AC3698" s="52">
        <f>IF(OR(K3698="",AND(P3698&lt;&gt;"Transferencia",P3698&lt;&gt;"Pago tarjeta")),"",IFERROR(IF(INDEX(ctaVinc,MATCH(K3698,ctaNombre,0))&amp;""&lt;&gt;"",INDEX(ctaVinc,MATCH(K3698,ctaNombre,0))&amp;"",K3698),K3698))</f>
        <v/>
      </c>
      <c r="AD3698" s="52">
        <f>IF(AB3698="","",IFERROR(INDEX(ctaTipo,MATCH(AB3698,ctaNombre,0))&amp;"",""))</f>
        <v/>
      </c>
      <c r="AE3698" s="52">
        <f>IF(AC3698="","",IFERROR(INDEX(ctaTipo,MATCH(AC3698,ctaNombre,0))&amp;"",""))</f>
        <v/>
      </c>
      <c r="AF3698" s="53">
        <f>IF(OR(P3698="",AB3698=""),"",IF(OR(P3698="Gasto",P3698="Transferencia",P3698="Pago tarjeta"),-1,1)*IF(IFERROR(INDEX(ctaMoneda,MATCH(AB3698,ctaNombre,0))&amp;"","DOP")="USD",T3698,S3698))</f>
        <v/>
      </c>
      <c r="AG3698" s="53">
        <f>IF(AC3698="","",IF(IFERROR(INDEX(ctaMoneda,MATCH(AC3698,ctaNombre,0))&amp;"","DOP")="USD",T3698,S3698))</f>
        <v/>
      </c>
      <c r="AH3698" s="53">
        <f>IF(P3698="","",IF(AND(AD3698&lt;&gt;"",COUNTIFS(tcTipo,AD3698,tcLiq,"Sí")&gt;0),IF(OR(P3698="Gasto",P3698="Transferencia",P3698="Pago tarjeta"),-1,1)*S3698,0)+IF(AND(AE3698&lt;&gt;"",COUNTIFS(tcTipo,AE3698,tcLiq,"Sí")&gt;0),S3698,0))</f>
        <v/>
      </c>
      <c r="AI3698" s="52">
        <f>IF(OR(L3698="",P3698=""),"",IF(COUNTIFS(L$6:L3698,L3698,P$6:P3698,"?*")=1,MAX(AI$5:AI3697)+1,""))</f>
        <v/>
      </c>
    </row>
    <row r="3699">
      <c r="B3699" s="47" t="n"/>
      <c r="C3699" s="48" t="n"/>
      <c r="D3699" s="48" t="n"/>
      <c r="E3699" s="48" t="n"/>
      <c r="F3699" s="48" t="n"/>
      <c r="G3699" s="49" t="n"/>
      <c r="H3699" s="48" t="n"/>
      <c r="I3699" s="50" t="n"/>
      <c r="J3699" s="48" t="n"/>
      <c r="K3699" s="48" t="n"/>
      <c r="L3699" s="48" t="n"/>
      <c r="M3699" s="48" t="n"/>
      <c r="N3699" s="48" t="n"/>
      <c r="O3699" s="51">
        <f>IF(AND(B3699="",G3699="",C3699="",D3699="",J3699=""),"",IF(B3699="","⚠ Falta fecha",IF(G3699="","⚠ Falta monto",IF(Q3699="","⚠ Falta cuenta",IF(ISNA(MATCH(Q3699,ctaNombre,0)),"⚠ Cuenta no registrada",IF(AND(OR(P3699="Gasto",P3699="Reembolso"),D3699=""),"⚠ Falta categoría",IF(AND(D3699&lt;&gt;"",E3699&lt;&gt;"",ISNA(MATCH(D3699&amp;"|"&amp;E3699,catClave,0))),"⚠ Subcategoría no corresponde",IF(AND(OR(P3699="Transferencia",P3699="Pago tarjeta"),K3699=""),"⚠ Falta cuenta destino",IF(AND(K3699&lt;&gt;"",P3699&lt;&gt;"Transferencia",P3699&lt;&gt;"Pago tarjeta"),"⚠ Destino solo aplica a transferencias",IF(AND(K3699&lt;&gt;"",K3699=Q3699),"⚠ Origen igual a destino",IF(AND(K3699&lt;&gt;"",ISNA(MATCH(K3699,ctaNombre,0))),"⚠ Destino no registrado",IF(AND(P3699="Pago tarjeta",AE3699&lt;&gt;"Tarjeta de crédito"),"⚠ El destino debe ser tarjeta de crédito",IF(AND(P3699="Gasto",E3699="Depósitos y retiros"),"⚠ Usa tipo Transferencia",IF(AND(P3699="Resultado trading",AD3699&lt;&gt;"Cuenta de trading"),"⚠ Usa una cuenta de trading",IF(AND(G3699&lt;=0,P3699&lt;&gt;"Ajuste",P3699&lt;&gt;"Resultado trading"),"⚠ El monto debe ser positivo","✓")))))))))))))))</f>
        <v/>
      </c>
      <c r="P3699" s="52">
        <f>IF(OR(B3699="",G3699=""),"",IF(C3699="","Gasto",C3699))</f>
        <v/>
      </c>
      <c r="Q3699" s="52">
        <f>IF(P3699="","",IF(J3699&lt;&gt;"",J3699,CuentaPred&amp;""))</f>
        <v/>
      </c>
      <c r="R3699" s="52">
        <f>IF(P3699="","",IF(ISNUMBER(I3699),I3699,TasaUSD))</f>
        <v/>
      </c>
      <c r="S3699" s="53">
        <f>IF(P3699="","",IF(H3699="USD",G3699*R3699,G3699))</f>
        <v/>
      </c>
      <c r="T3699" s="53">
        <f>IF(P3699="","",IF(H3699="USD",G3699,IF(R3699&gt;0,G3699/R3699,0)))</f>
        <v/>
      </c>
      <c r="U3699" s="53">
        <f>IF(P3699="","",IF(P3699="Gasto",S3699,IF(P3699="Reembolso",-S3699,0)))</f>
        <v/>
      </c>
      <c r="V3699" s="53">
        <f>IF(P3699="","",IF(P3699="Ingreso",S3699,0))</f>
        <v/>
      </c>
      <c r="W3699" s="53">
        <f>IF(P3699="","",IF(P3699="Resultado trading",S3699,0))</f>
        <v/>
      </c>
      <c r="X3699" s="52">
        <f>IF(OR(P3699="Gasto",P3699="Reembolso"),IF(M3699&lt;&gt;"",M3699,IFERROR(INDEX(catClasif,MATCH(D3699&amp;"|"&amp;E3699,catClave,0))&amp;"","Variable")),"")</f>
        <v/>
      </c>
      <c r="Y3699" s="52">
        <f>IF(P3699="","",IFERROR(INDEX(catGrupo,MATCH(D3699&amp;"|"&amp;E3699,catClave,0))&amp;"",""))</f>
        <v/>
      </c>
      <c r="Z3699" s="52">
        <f>IF(P3699="","",WEEKDAY(B3699,2))</f>
        <v/>
      </c>
      <c r="AA3699" s="52">
        <f>IF(P3699="","",IF(AND(P3699="Gasto",X3699="Variable",D3699&lt;&gt;catTrading,S3699&gt;0,S3699&lt;=Umbral),1,0))</f>
        <v/>
      </c>
      <c r="AB3699" s="52">
        <f>IF(OR(P3699="",Q3699=""),"",IFERROR(IF(INDEX(ctaVinc,MATCH(Q3699,ctaNombre,0))&amp;""&lt;&gt;"",INDEX(ctaVinc,MATCH(Q3699,ctaNombre,0))&amp;"",Q3699),Q3699))</f>
        <v/>
      </c>
      <c r="AC3699" s="52">
        <f>IF(OR(K3699="",AND(P3699&lt;&gt;"Transferencia",P3699&lt;&gt;"Pago tarjeta")),"",IFERROR(IF(INDEX(ctaVinc,MATCH(K3699,ctaNombre,0))&amp;""&lt;&gt;"",INDEX(ctaVinc,MATCH(K3699,ctaNombre,0))&amp;"",K3699),K3699))</f>
        <v/>
      </c>
      <c r="AD3699" s="52">
        <f>IF(AB3699="","",IFERROR(INDEX(ctaTipo,MATCH(AB3699,ctaNombre,0))&amp;"",""))</f>
        <v/>
      </c>
      <c r="AE3699" s="52">
        <f>IF(AC3699="","",IFERROR(INDEX(ctaTipo,MATCH(AC3699,ctaNombre,0))&amp;"",""))</f>
        <v/>
      </c>
      <c r="AF3699" s="53">
        <f>IF(OR(P3699="",AB3699=""),"",IF(OR(P3699="Gasto",P3699="Transferencia",P3699="Pago tarjeta"),-1,1)*IF(IFERROR(INDEX(ctaMoneda,MATCH(AB3699,ctaNombre,0))&amp;"","DOP")="USD",T3699,S3699))</f>
        <v/>
      </c>
      <c r="AG3699" s="53">
        <f>IF(AC3699="","",IF(IFERROR(INDEX(ctaMoneda,MATCH(AC3699,ctaNombre,0))&amp;"","DOP")="USD",T3699,S3699))</f>
        <v/>
      </c>
      <c r="AH3699" s="53">
        <f>IF(P3699="","",IF(AND(AD3699&lt;&gt;"",COUNTIFS(tcTipo,AD3699,tcLiq,"Sí")&gt;0),IF(OR(P3699="Gasto",P3699="Transferencia",P3699="Pago tarjeta"),-1,1)*S3699,0)+IF(AND(AE3699&lt;&gt;"",COUNTIFS(tcTipo,AE3699,tcLiq,"Sí")&gt;0),S3699,0))</f>
        <v/>
      </c>
      <c r="AI3699" s="52">
        <f>IF(OR(L3699="",P3699=""),"",IF(COUNTIFS(L$6:L3699,L3699,P$6:P3699,"?*")=1,MAX(AI$5:AI3698)+1,""))</f>
        <v/>
      </c>
    </row>
    <row r="3700">
      <c r="B3700" s="47" t="n"/>
      <c r="C3700" s="48" t="n"/>
      <c r="D3700" s="48" t="n"/>
      <c r="E3700" s="48" t="n"/>
      <c r="F3700" s="48" t="n"/>
      <c r="G3700" s="49" t="n"/>
      <c r="H3700" s="48" t="n"/>
      <c r="I3700" s="50" t="n"/>
      <c r="J3700" s="48" t="n"/>
      <c r="K3700" s="48" t="n"/>
      <c r="L3700" s="48" t="n"/>
      <c r="M3700" s="48" t="n"/>
      <c r="N3700" s="48" t="n"/>
      <c r="O3700" s="51">
        <f>IF(AND(B3700="",G3700="",C3700="",D3700="",J3700=""),"",IF(B3700="","⚠ Falta fecha",IF(G3700="","⚠ Falta monto",IF(Q3700="","⚠ Falta cuenta",IF(ISNA(MATCH(Q3700,ctaNombre,0)),"⚠ Cuenta no registrada",IF(AND(OR(P3700="Gasto",P3700="Reembolso"),D3700=""),"⚠ Falta categoría",IF(AND(D3700&lt;&gt;"",E3700&lt;&gt;"",ISNA(MATCH(D3700&amp;"|"&amp;E3700,catClave,0))),"⚠ Subcategoría no corresponde",IF(AND(OR(P3700="Transferencia",P3700="Pago tarjeta"),K3700=""),"⚠ Falta cuenta destino",IF(AND(K3700&lt;&gt;"",P3700&lt;&gt;"Transferencia",P3700&lt;&gt;"Pago tarjeta"),"⚠ Destino solo aplica a transferencias",IF(AND(K3700&lt;&gt;"",K3700=Q3700),"⚠ Origen igual a destino",IF(AND(K3700&lt;&gt;"",ISNA(MATCH(K3700,ctaNombre,0))),"⚠ Destino no registrado",IF(AND(P3700="Pago tarjeta",AE3700&lt;&gt;"Tarjeta de crédito"),"⚠ El destino debe ser tarjeta de crédito",IF(AND(P3700="Gasto",E3700="Depósitos y retiros"),"⚠ Usa tipo Transferencia",IF(AND(P3700="Resultado trading",AD3700&lt;&gt;"Cuenta de trading"),"⚠ Usa una cuenta de trading",IF(AND(G3700&lt;=0,P3700&lt;&gt;"Ajuste",P3700&lt;&gt;"Resultado trading"),"⚠ El monto debe ser positivo","✓")))))))))))))))</f>
        <v/>
      </c>
      <c r="P3700" s="52">
        <f>IF(OR(B3700="",G3700=""),"",IF(C3700="","Gasto",C3700))</f>
        <v/>
      </c>
      <c r="Q3700" s="52">
        <f>IF(P3700="","",IF(J3700&lt;&gt;"",J3700,CuentaPred&amp;""))</f>
        <v/>
      </c>
      <c r="R3700" s="52">
        <f>IF(P3700="","",IF(ISNUMBER(I3700),I3700,TasaUSD))</f>
        <v/>
      </c>
      <c r="S3700" s="53">
        <f>IF(P3700="","",IF(H3700="USD",G3700*R3700,G3700))</f>
        <v/>
      </c>
      <c r="T3700" s="53">
        <f>IF(P3700="","",IF(H3700="USD",G3700,IF(R3700&gt;0,G3700/R3700,0)))</f>
        <v/>
      </c>
      <c r="U3700" s="53">
        <f>IF(P3700="","",IF(P3700="Gasto",S3700,IF(P3700="Reembolso",-S3700,0)))</f>
        <v/>
      </c>
      <c r="V3700" s="53">
        <f>IF(P3700="","",IF(P3700="Ingreso",S3700,0))</f>
        <v/>
      </c>
      <c r="W3700" s="53">
        <f>IF(P3700="","",IF(P3700="Resultado trading",S3700,0))</f>
        <v/>
      </c>
      <c r="X3700" s="52">
        <f>IF(OR(P3700="Gasto",P3700="Reembolso"),IF(M3700&lt;&gt;"",M3700,IFERROR(INDEX(catClasif,MATCH(D3700&amp;"|"&amp;E3700,catClave,0))&amp;"","Variable")),"")</f>
        <v/>
      </c>
      <c r="Y3700" s="52">
        <f>IF(P3700="","",IFERROR(INDEX(catGrupo,MATCH(D3700&amp;"|"&amp;E3700,catClave,0))&amp;"",""))</f>
        <v/>
      </c>
      <c r="Z3700" s="52">
        <f>IF(P3700="","",WEEKDAY(B3700,2))</f>
        <v/>
      </c>
      <c r="AA3700" s="52">
        <f>IF(P3700="","",IF(AND(P3700="Gasto",X3700="Variable",D3700&lt;&gt;catTrading,S3700&gt;0,S3700&lt;=Umbral),1,0))</f>
        <v/>
      </c>
      <c r="AB3700" s="52">
        <f>IF(OR(P3700="",Q3700=""),"",IFERROR(IF(INDEX(ctaVinc,MATCH(Q3700,ctaNombre,0))&amp;""&lt;&gt;"",INDEX(ctaVinc,MATCH(Q3700,ctaNombre,0))&amp;"",Q3700),Q3700))</f>
        <v/>
      </c>
      <c r="AC3700" s="52">
        <f>IF(OR(K3700="",AND(P3700&lt;&gt;"Transferencia",P3700&lt;&gt;"Pago tarjeta")),"",IFERROR(IF(INDEX(ctaVinc,MATCH(K3700,ctaNombre,0))&amp;""&lt;&gt;"",INDEX(ctaVinc,MATCH(K3700,ctaNombre,0))&amp;"",K3700),K3700))</f>
        <v/>
      </c>
      <c r="AD3700" s="52">
        <f>IF(AB3700="","",IFERROR(INDEX(ctaTipo,MATCH(AB3700,ctaNombre,0))&amp;"",""))</f>
        <v/>
      </c>
      <c r="AE3700" s="52">
        <f>IF(AC3700="","",IFERROR(INDEX(ctaTipo,MATCH(AC3700,ctaNombre,0))&amp;"",""))</f>
        <v/>
      </c>
      <c r="AF3700" s="53">
        <f>IF(OR(P3700="",AB3700=""),"",IF(OR(P3700="Gasto",P3700="Transferencia",P3700="Pago tarjeta"),-1,1)*IF(IFERROR(INDEX(ctaMoneda,MATCH(AB3700,ctaNombre,0))&amp;"","DOP")="USD",T3700,S3700))</f>
        <v/>
      </c>
      <c r="AG3700" s="53">
        <f>IF(AC3700="","",IF(IFERROR(INDEX(ctaMoneda,MATCH(AC3700,ctaNombre,0))&amp;"","DOP")="USD",T3700,S3700))</f>
        <v/>
      </c>
      <c r="AH3700" s="53">
        <f>IF(P3700="","",IF(AND(AD3700&lt;&gt;"",COUNTIFS(tcTipo,AD3700,tcLiq,"Sí")&gt;0),IF(OR(P3700="Gasto",P3700="Transferencia",P3700="Pago tarjeta"),-1,1)*S3700,0)+IF(AND(AE3700&lt;&gt;"",COUNTIFS(tcTipo,AE3700,tcLiq,"Sí")&gt;0),S3700,0))</f>
        <v/>
      </c>
      <c r="AI3700" s="52">
        <f>IF(OR(L3700="",P3700=""),"",IF(COUNTIFS(L$6:L3700,L3700,P$6:P3700,"?*")=1,MAX(AI$5:AI3699)+1,""))</f>
        <v/>
      </c>
    </row>
    <row r="3701">
      <c r="B3701" s="47" t="n"/>
      <c r="C3701" s="48" t="n"/>
      <c r="D3701" s="48" t="n"/>
      <c r="E3701" s="48" t="n"/>
      <c r="F3701" s="48" t="n"/>
      <c r="G3701" s="49" t="n"/>
      <c r="H3701" s="48" t="n"/>
      <c r="I3701" s="50" t="n"/>
      <c r="J3701" s="48" t="n"/>
      <c r="K3701" s="48" t="n"/>
      <c r="L3701" s="48" t="n"/>
      <c r="M3701" s="48" t="n"/>
      <c r="N3701" s="48" t="n"/>
      <c r="O3701" s="51">
        <f>IF(AND(B3701="",G3701="",C3701="",D3701="",J3701=""),"",IF(B3701="","⚠ Falta fecha",IF(G3701="","⚠ Falta monto",IF(Q3701="","⚠ Falta cuenta",IF(ISNA(MATCH(Q3701,ctaNombre,0)),"⚠ Cuenta no registrada",IF(AND(OR(P3701="Gasto",P3701="Reembolso"),D3701=""),"⚠ Falta categoría",IF(AND(D3701&lt;&gt;"",E3701&lt;&gt;"",ISNA(MATCH(D3701&amp;"|"&amp;E3701,catClave,0))),"⚠ Subcategoría no corresponde",IF(AND(OR(P3701="Transferencia",P3701="Pago tarjeta"),K3701=""),"⚠ Falta cuenta destino",IF(AND(K3701&lt;&gt;"",P3701&lt;&gt;"Transferencia",P3701&lt;&gt;"Pago tarjeta"),"⚠ Destino solo aplica a transferencias",IF(AND(K3701&lt;&gt;"",K3701=Q3701),"⚠ Origen igual a destino",IF(AND(K3701&lt;&gt;"",ISNA(MATCH(K3701,ctaNombre,0))),"⚠ Destino no registrado",IF(AND(P3701="Pago tarjeta",AE3701&lt;&gt;"Tarjeta de crédito"),"⚠ El destino debe ser tarjeta de crédito",IF(AND(P3701="Gasto",E3701="Depósitos y retiros"),"⚠ Usa tipo Transferencia",IF(AND(P3701="Resultado trading",AD3701&lt;&gt;"Cuenta de trading"),"⚠ Usa una cuenta de trading",IF(AND(G3701&lt;=0,P3701&lt;&gt;"Ajuste",P3701&lt;&gt;"Resultado trading"),"⚠ El monto debe ser positivo","✓")))))))))))))))</f>
        <v/>
      </c>
      <c r="P3701" s="52">
        <f>IF(OR(B3701="",G3701=""),"",IF(C3701="","Gasto",C3701))</f>
        <v/>
      </c>
      <c r="Q3701" s="52">
        <f>IF(P3701="","",IF(J3701&lt;&gt;"",J3701,CuentaPred&amp;""))</f>
        <v/>
      </c>
      <c r="R3701" s="52">
        <f>IF(P3701="","",IF(ISNUMBER(I3701),I3701,TasaUSD))</f>
        <v/>
      </c>
      <c r="S3701" s="53">
        <f>IF(P3701="","",IF(H3701="USD",G3701*R3701,G3701))</f>
        <v/>
      </c>
      <c r="T3701" s="53">
        <f>IF(P3701="","",IF(H3701="USD",G3701,IF(R3701&gt;0,G3701/R3701,0)))</f>
        <v/>
      </c>
      <c r="U3701" s="53">
        <f>IF(P3701="","",IF(P3701="Gasto",S3701,IF(P3701="Reembolso",-S3701,0)))</f>
        <v/>
      </c>
      <c r="V3701" s="53">
        <f>IF(P3701="","",IF(P3701="Ingreso",S3701,0))</f>
        <v/>
      </c>
      <c r="W3701" s="53">
        <f>IF(P3701="","",IF(P3701="Resultado trading",S3701,0))</f>
        <v/>
      </c>
      <c r="X3701" s="52">
        <f>IF(OR(P3701="Gasto",P3701="Reembolso"),IF(M3701&lt;&gt;"",M3701,IFERROR(INDEX(catClasif,MATCH(D3701&amp;"|"&amp;E3701,catClave,0))&amp;"","Variable")),"")</f>
        <v/>
      </c>
      <c r="Y3701" s="52">
        <f>IF(P3701="","",IFERROR(INDEX(catGrupo,MATCH(D3701&amp;"|"&amp;E3701,catClave,0))&amp;"",""))</f>
        <v/>
      </c>
      <c r="Z3701" s="52">
        <f>IF(P3701="","",WEEKDAY(B3701,2))</f>
        <v/>
      </c>
      <c r="AA3701" s="52">
        <f>IF(P3701="","",IF(AND(P3701="Gasto",X3701="Variable",D3701&lt;&gt;catTrading,S3701&gt;0,S3701&lt;=Umbral),1,0))</f>
        <v/>
      </c>
      <c r="AB3701" s="52">
        <f>IF(OR(P3701="",Q3701=""),"",IFERROR(IF(INDEX(ctaVinc,MATCH(Q3701,ctaNombre,0))&amp;""&lt;&gt;"",INDEX(ctaVinc,MATCH(Q3701,ctaNombre,0))&amp;"",Q3701),Q3701))</f>
        <v/>
      </c>
      <c r="AC3701" s="52">
        <f>IF(OR(K3701="",AND(P3701&lt;&gt;"Transferencia",P3701&lt;&gt;"Pago tarjeta")),"",IFERROR(IF(INDEX(ctaVinc,MATCH(K3701,ctaNombre,0))&amp;""&lt;&gt;"",INDEX(ctaVinc,MATCH(K3701,ctaNombre,0))&amp;"",K3701),K3701))</f>
        <v/>
      </c>
      <c r="AD3701" s="52">
        <f>IF(AB3701="","",IFERROR(INDEX(ctaTipo,MATCH(AB3701,ctaNombre,0))&amp;"",""))</f>
        <v/>
      </c>
      <c r="AE3701" s="52">
        <f>IF(AC3701="","",IFERROR(INDEX(ctaTipo,MATCH(AC3701,ctaNombre,0))&amp;"",""))</f>
        <v/>
      </c>
      <c r="AF3701" s="53">
        <f>IF(OR(P3701="",AB3701=""),"",IF(OR(P3701="Gasto",P3701="Transferencia",P3701="Pago tarjeta"),-1,1)*IF(IFERROR(INDEX(ctaMoneda,MATCH(AB3701,ctaNombre,0))&amp;"","DOP")="USD",T3701,S3701))</f>
        <v/>
      </c>
      <c r="AG3701" s="53">
        <f>IF(AC3701="","",IF(IFERROR(INDEX(ctaMoneda,MATCH(AC3701,ctaNombre,0))&amp;"","DOP")="USD",T3701,S3701))</f>
        <v/>
      </c>
      <c r="AH3701" s="53">
        <f>IF(P3701="","",IF(AND(AD3701&lt;&gt;"",COUNTIFS(tcTipo,AD3701,tcLiq,"Sí")&gt;0),IF(OR(P3701="Gasto",P3701="Transferencia",P3701="Pago tarjeta"),-1,1)*S3701,0)+IF(AND(AE3701&lt;&gt;"",COUNTIFS(tcTipo,AE3701,tcLiq,"Sí")&gt;0),S3701,0))</f>
        <v/>
      </c>
      <c r="AI3701" s="52">
        <f>IF(OR(L3701="",P3701=""),"",IF(COUNTIFS(L$6:L3701,L3701,P$6:P3701,"?*")=1,MAX(AI$5:AI3700)+1,""))</f>
        <v/>
      </c>
    </row>
    <row r="3702">
      <c r="B3702" s="47" t="n"/>
      <c r="C3702" s="48" t="n"/>
      <c r="D3702" s="48" t="n"/>
      <c r="E3702" s="48" t="n"/>
      <c r="F3702" s="48" t="n"/>
      <c r="G3702" s="49" t="n"/>
      <c r="H3702" s="48" t="n"/>
      <c r="I3702" s="50" t="n"/>
      <c r="J3702" s="48" t="n"/>
      <c r="K3702" s="48" t="n"/>
      <c r="L3702" s="48" t="n"/>
      <c r="M3702" s="48" t="n"/>
      <c r="N3702" s="48" t="n"/>
      <c r="O3702" s="51">
        <f>IF(AND(B3702="",G3702="",C3702="",D3702="",J3702=""),"",IF(B3702="","⚠ Falta fecha",IF(G3702="","⚠ Falta monto",IF(Q3702="","⚠ Falta cuenta",IF(ISNA(MATCH(Q3702,ctaNombre,0)),"⚠ Cuenta no registrada",IF(AND(OR(P3702="Gasto",P3702="Reembolso"),D3702=""),"⚠ Falta categoría",IF(AND(D3702&lt;&gt;"",E3702&lt;&gt;"",ISNA(MATCH(D3702&amp;"|"&amp;E3702,catClave,0))),"⚠ Subcategoría no corresponde",IF(AND(OR(P3702="Transferencia",P3702="Pago tarjeta"),K3702=""),"⚠ Falta cuenta destino",IF(AND(K3702&lt;&gt;"",P3702&lt;&gt;"Transferencia",P3702&lt;&gt;"Pago tarjeta"),"⚠ Destino solo aplica a transferencias",IF(AND(K3702&lt;&gt;"",K3702=Q3702),"⚠ Origen igual a destino",IF(AND(K3702&lt;&gt;"",ISNA(MATCH(K3702,ctaNombre,0))),"⚠ Destino no registrado",IF(AND(P3702="Pago tarjeta",AE3702&lt;&gt;"Tarjeta de crédito"),"⚠ El destino debe ser tarjeta de crédito",IF(AND(P3702="Gasto",E3702="Depósitos y retiros"),"⚠ Usa tipo Transferencia",IF(AND(P3702="Resultado trading",AD3702&lt;&gt;"Cuenta de trading"),"⚠ Usa una cuenta de trading",IF(AND(G3702&lt;=0,P3702&lt;&gt;"Ajuste",P3702&lt;&gt;"Resultado trading"),"⚠ El monto debe ser positivo","✓")))))))))))))))</f>
        <v/>
      </c>
      <c r="P3702" s="52">
        <f>IF(OR(B3702="",G3702=""),"",IF(C3702="","Gasto",C3702))</f>
        <v/>
      </c>
      <c r="Q3702" s="52">
        <f>IF(P3702="","",IF(J3702&lt;&gt;"",J3702,CuentaPred&amp;""))</f>
        <v/>
      </c>
      <c r="R3702" s="52">
        <f>IF(P3702="","",IF(ISNUMBER(I3702),I3702,TasaUSD))</f>
        <v/>
      </c>
      <c r="S3702" s="53">
        <f>IF(P3702="","",IF(H3702="USD",G3702*R3702,G3702))</f>
        <v/>
      </c>
      <c r="T3702" s="53">
        <f>IF(P3702="","",IF(H3702="USD",G3702,IF(R3702&gt;0,G3702/R3702,0)))</f>
        <v/>
      </c>
      <c r="U3702" s="53">
        <f>IF(P3702="","",IF(P3702="Gasto",S3702,IF(P3702="Reembolso",-S3702,0)))</f>
        <v/>
      </c>
      <c r="V3702" s="53">
        <f>IF(P3702="","",IF(P3702="Ingreso",S3702,0))</f>
        <v/>
      </c>
      <c r="W3702" s="53">
        <f>IF(P3702="","",IF(P3702="Resultado trading",S3702,0))</f>
        <v/>
      </c>
      <c r="X3702" s="52">
        <f>IF(OR(P3702="Gasto",P3702="Reembolso"),IF(M3702&lt;&gt;"",M3702,IFERROR(INDEX(catClasif,MATCH(D3702&amp;"|"&amp;E3702,catClave,0))&amp;"","Variable")),"")</f>
        <v/>
      </c>
      <c r="Y3702" s="52">
        <f>IF(P3702="","",IFERROR(INDEX(catGrupo,MATCH(D3702&amp;"|"&amp;E3702,catClave,0))&amp;"",""))</f>
        <v/>
      </c>
      <c r="Z3702" s="52">
        <f>IF(P3702="","",WEEKDAY(B3702,2))</f>
        <v/>
      </c>
      <c r="AA3702" s="52">
        <f>IF(P3702="","",IF(AND(P3702="Gasto",X3702="Variable",D3702&lt;&gt;catTrading,S3702&gt;0,S3702&lt;=Umbral),1,0))</f>
        <v/>
      </c>
      <c r="AB3702" s="52">
        <f>IF(OR(P3702="",Q3702=""),"",IFERROR(IF(INDEX(ctaVinc,MATCH(Q3702,ctaNombre,0))&amp;""&lt;&gt;"",INDEX(ctaVinc,MATCH(Q3702,ctaNombre,0))&amp;"",Q3702),Q3702))</f>
        <v/>
      </c>
      <c r="AC3702" s="52">
        <f>IF(OR(K3702="",AND(P3702&lt;&gt;"Transferencia",P3702&lt;&gt;"Pago tarjeta")),"",IFERROR(IF(INDEX(ctaVinc,MATCH(K3702,ctaNombre,0))&amp;""&lt;&gt;"",INDEX(ctaVinc,MATCH(K3702,ctaNombre,0))&amp;"",K3702),K3702))</f>
        <v/>
      </c>
      <c r="AD3702" s="52">
        <f>IF(AB3702="","",IFERROR(INDEX(ctaTipo,MATCH(AB3702,ctaNombre,0))&amp;"",""))</f>
        <v/>
      </c>
      <c r="AE3702" s="52">
        <f>IF(AC3702="","",IFERROR(INDEX(ctaTipo,MATCH(AC3702,ctaNombre,0))&amp;"",""))</f>
        <v/>
      </c>
      <c r="AF3702" s="53">
        <f>IF(OR(P3702="",AB3702=""),"",IF(OR(P3702="Gasto",P3702="Transferencia",P3702="Pago tarjeta"),-1,1)*IF(IFERROR(INDEX(ctaMoneda,MATCH(AB3702,ctaNombre,0))&amp;"","DOP")="USD",T3702,S3702))</f>
        <v/>
      </c>
      <c r="AG3702" s="53">
        <f>IF(AC3702="","",IF(IFERROR(INDEX(ctaMoneda,MATCH(AC3702,ctaNombre,0))&amp;"","DOP")="USD",T3702,S3702))</f>
        <v/>
      </c>
      <c r="AH3702" s="53">
        <f>IF(P3702="","",IF(AND(AD3702&lt;&gt;"",COUNTIFS(tcTipo,AD3702,tcLiq,"Sí")&gt;0),IF(OR(P3702="Gasto",P3702="Transferencia",P3702="Pago tarjeta"),-1,1)*S3702,0)+IF(AND(AE3702&lt;&gt;"",COUNTIFS(tcTipo,AE3702,tcLiq,"Sí")&gt;0),S3702,0))</f>
        <v/>
      </c>
      <c r="AI3702" s="52">
        <f>IF(OR(L3702="",P3702=""),"",IF(COUNTIFS(L$6:L3702,L3702,P$6:P3702,"?*")=1,MAX(AI$5:AI3701)+1,""))</f>
        <v/>
      </c>
    </row>
    <row r="3703">
      <c r="B3703" s="47" t="n"/>
      <c r="C3703" s="48" t="n"/>
      <c r="D3703" s="48" t="n"/>
      <c r="E3703" s="48" t="n"/>
      <c r="F3703" s="48" t="n"/>
      <c r="G3703" s="49" t="n"/>
      <c r="H3703" s="48" t="n"/>
      <c r="I3703" s="50" t="n"/>
      <c r="J3703" s="48" t="n"/>
      <c r="K3703" s="48" t="n"/>
      <c r="L3703" s="48" t="n"/>
      <c r="M3703" s="48" t="n"/>
      <c r="N3703" s="48" t="n"/>
      <c r="O3703" s="51">
        <f>IF(AND(B3703="",G3703="",C3703="",D3703="",J3703=""),"",IF(B3703="","⚠ Falta fecha",IF(G3703="","⚠ Falta monto",IF(Q3703="","⚠ Falta cuenta",IF(ISNA(MATCH(Q3703,ctaNombre,0)),"⚠ Cuenta no registrada",IF(AND(OR(P3703="Gasto",P3703="Reembolso"),D3703=""),"⚠ Falta categoría",IF(AND(D3703&lt;&gt;"",E3703&lt;&gt;"",ISNA(MATCH(D3703&amp;"|"&amp;E3703,catClave,0))),"⚠ Subcategoría no corresponde",IF(AND(OR(P3703="Transferencia",P3703="Pago tarjeta"),K3703=""),"⚠ Falta cuenta destino",IF(AND(K3703&lt;&gt;"",P3703&lt;&gt;"Transferencia",P3703&lt;&gt;"Pago tarjeta"),"⚠ Destino solo aplica a transferencias",IF(AND(K3703&lt;&gt;"",K3703=Q3703),"⚠ Origen igual a destino",IF(AND(K3703&lt;&gt;"",ISNA(MATCH(K3703,ctaNombre,0))),"⚠ Destino no registrado",IF(AND(P3703="Pago tarjeta",AE3703&lt;&gt;"Tarjeta de crédito"),"⚠ El destino debe ser tarjeta de crédito",IF(AND(P3703="Gasto",E3703="Depósitos y retiros"),"⚠ Usa tipo Transferencia",IF(AND(P3703="Resultado trading",AD3703&lt;&gt;"Cuenta de trading"),"⚠ Usa una cuenta de trading",IF(AND(G3703&lt;=0,P3703&lt;&gt;"Ajuste",P3703&lt;&gt;"Resultado trading"),"⚠ El monto debe ser positivo","✓")))))))))))))))</f>
        <v/>
      </c>
      <c r="P3703" s="52">
        <f>IF(OR(B3703="",G3703=""),"",IF(C3703="","Gasto",C3703))</f>
        <v/>
      </c>
      <c r="Q3703" s="52">
        <f>IF(P3703="","",IF(J3703&lt;&gt;"",J3703,CuentaPred&amp;""))</f>
        <v/>
      </c>
      <c r="R3703" s="52">
        <f>IF(P3703="","",IF(ISNUMBER(I3703),I3703,TasaUSD))</f>
        <v/>
      </c>
      <c r="S3703" s="53">
        <f>IF(P3703="","",IF(H3703="USD",G3703*R3703,G3703))</f>
        <v/>
      </c>
      <c r="T3703" s="53">
        <f>IF(P3703="","",IF(H3703="USD",G3703,IF(R3703&gt;0,G3703/R3703,0)))</f>
        <v/>
      </c>
      <c r="U3703" s="53">
        <f>IF(P3703="","",IF(P3703="Gasto",S3703,IF(P3703="Reembolso",-S3703,0)))</f>
        <v/>
      </c>
      <c r="V3703" s="53">
        <f>IF(P3703="","",IF(P3703="Ingreso",S3703,0))</f>
        <v/>
      </c>
      <c r="W3703" s="53">
        <f>IF(P3703="","",IF(P3703="Resultado trading",S3703,0))</f>
        <v/>
      </c>
      <c r="X3703" s="52">
        <f>IF(OR(P3703="Gasto",P3703="Reembolso"),IF(M3703&lt;&gt;"",M3703,IFERROR(INDEX(catClasif,MATCH(D3703&amp;"|"&amp;E3703,catClave,0))&amp;"","Variable")),"")</f>
        <v/>
      </c>
      <c r="Y3703" s="52">
        <f>IF(P3703="","",IFERROR(INDEX(catGrupo,MATCH(D3703&amp;"|"&amp;E3703,catClave,0))&amp;"",""))</f>
        <v/>
      </c>
      <c r="Z3703" s="52">
        <f>IF(P3703="","",WEEKDAY(B3703,2))</f>
        <v/>
      </c>
      <c r="AA3703" s="52">
        <f>IF(P3703="","",IF(AND(P3703="Gasto",X3703="Variable",D3703&lt;&gt;catTrading,S3703&gt;0,S3703&lt;=Umbral),1,0))</f>
        <v/>
      </c>
      <c r="AB3703" s="52">
        <f>IF(OR(P3703="",Q3703=""),"",IFERROR(IF(INDEX(ctaVinc,MATCH(Q3703,ctaNombre,0))&amp;""&lt;&gt;"",INDEX(ctaVinc,MATCH(Q3703,ctaNombre,0))&amp;"",Q3703),Q3703))</f>
        <v/>
      </c>
      <c r="AC3703" s="52">
        <f>IF(OR(K3703="",AND(P3703&lt;&gt;"Transferencia",P3703&lt;&gt;"Pago tarjeta")),"",IFERROR(IF(INDEX(ctaVinc,MATCH(K3703,ctaNombre,0))&amp;""&lt;&gt;"",INDEX(ctaVinc,MATCH(K3703,ctaNombre,0))&amp;"",K3703),K3703))</f>
        <v/>
      </c>
      <c r="AD3703" s="52">
        <f>IF(AB3703="","",IFERROR(INDEX(ctaTipo,MATCH(AB3703,ctaNombre,0))&amp;"",""))</f>
        <v/>
      </c>
      <c r="AE3703" s="52">
        <f>IF(AC3703="","",IFERROR(INDEX(ctaTipo,MATCH(AC3703,ctaNombre,0))&amp;"",""))</f>
        <v/>
      </c>
      <c r="AF3703" s="53">
        <f>IF(OR(P3703="",AB3703=""),"",IF(OR(P3703="Gasto",P3703="Transferencia",P3703="Pago tarjeta"),-1,1)*IF(IFERROR(INDEX(ctaMoneda,MATCH(AB3703,ctaNombre,0))&amp;"","DOP")="USD",T3703,S3703))</f>
        <v/>
      </c>
      <c r="AG3703" s="53">
        <f>IF(AC3703="","",IF(IFERROR(INDEX(ctaMoneda,MATCH(AC3703,ctaNombre,0))&amp;"","DOP")="USD",T3703,S3703))</f>
        <v/>
      </c>
      <c r="AH3703" s="53">
        <f>IF(P3703="","",IF(AND(AD3703&lt;&gt;"",COUNTIFS(tcTipo,AD3703,tcLiq,"Sí")&gt;0),IF(OR(P3703="Gasto",P3703="Transferencia",P3703="Pago tarjeta"),-1,1)*S3703,0)+IF(AND(AE3703&lt;&gt;"",COUNTIFS(tcTipo,AE3703,tcLiq,"Sí")&gt;0),S3703,0))</f>
        <v/>
      </c>
      <c r="AI3703" s="52">
        <f>IF(OR(L3703="",P3703=""),"",IF(COUNTIFS(L$6:L3703,L3703,P$6:P3703,"?*")=1,MAX(AI$5:AI3702)+1,""))</f>
        <v/>
      </c>
    </row>
    <row r="3704">
      <c r="B3704" s="47" t="n"/>
      <c r="C3704" s="48" t="n"/>
      <c r="D3704" s="48" t="n"/>
      <c r="E3704" s="48" t="n"/>
      <c r="F3704" s="48" t="n"/>
      <c r="G3704" s="49" t="n"/>
      <c r="H3704" s="48" t="n"/>
      <c r="I3704" s="50" t="n"/>
      <c r="J3704" s="48" t="n"/>
      <c r="K3704" s="48" t="n"/>
      <c r="L3704" s="48" t="n"/>
      <c r="M3704" s="48" t="n"/>
      <c r="N3704" s="48" t="n"/>
      <c r="O3704" s="51">
        <f>IF(AND(B3704="",G3704="",C3704="",D3704="",J3704=""),"",IF(B3704="","⚠ Falta fecha",IF(G3704="","⚠ Falta monto",IF(Q3704="","⚠ Falta cuenta",IF(ISNA(MATCH(Q3704,ctaNombre,0)),"⚠ Cuenta no registrada",IF(AND(OR(P3704="Gasto",P3704="Reembolso"),D3704=""),"⚠ Falta categoría",IF(AND(D3704&lt;&gt;"",E3704&lt;&gt;"",ISNA(MATCH(D3704&amp;"|"&amp;E3704,catClave,0))),"⚠ Subcategoría no corresponde",IF(AND(OR(P3704="Transferencia",P3704="Pago tarjeta"),K3704=""),"⚠ Falta cuenta destino",IF(AND(K3704&lt;&gt;"",P3704&lt;&gt;"Transferencia",P3704&lt;&gt;"Pago tarjeta"),"⚠ Destino solo aplica a transferencias",IF(AND(K3704&lt;&gt;"",K3704=Q3704),"⚠ Origen igual a destino",IF(AND(K3704&lt;&gt;"",ISNA(MATCH(K3704,ctaNombre,0))),"⚠ Destino no registrado",IF(AND(P3704="Pago tarjeta",AE3704&lt;&gt;"Tarjeta de crédito"),"⚠ El destino debe ser tarjeta de crédito",IF(AND(P3704="Gasto",E3704="Depósitos y retiros"),"⚠ Usa tipo Transferencia",IF(AND(P3704="Resultado trading",AD3704&lt;&gt;"Cuenta de trading"),"⚠ Usa una cuenta de trading",IF(AND(G3704&lt;=0,P3704&lt;&gt;"Ajuste",P3704&lt;&gt;"Resultado trading"),"⚠ El monto debe ser positivo","✓")))))))))))))))</f>
        <v/>
      </c>
      <c r="P3704" s="52">
        <f>IF(OR(B3704="",G3704=""),"",IF(C3704="","Gasto",C3704))</f>
        <v/>
      </c>
      <c r="Q3704" s="52">
        <f>IF(P3704="","",IF(J3704&lt;&gt;"",J3704,CuentaPred&amp;""))</f>
        <v/>
      </c>
      <c r="R3704" s="52">
        <f>IF(P3704="","",IF(ISNUMBER(I3704),I3704,TasaUSD))</f>
        <v/>
      </c>
      <c r="S3704" s="53">
        <f>IF(P3704="","",IF(H3704="USD",G3704*R3704,G3704))</f>
        <v/>
      </c>
      <c r="T3704" s="53">
        <f>IF(P3704="","",IF(H3704="USD",G3704,IF(R3704&gt;0,G3704/R3704,0)))</f>
        <v/>
      </c>
      <c r="U3704" s="53">
        <f>IF(P3704="","",IF(P3704="Gasto",S3704,IF(P3704="Reembolso",-S3704,0)))</f>
        <v/>
      </c>
      <c r="V3704" s="53">
        <f>IF(P3704="","",IF(P3704="Ingreso",S3704,0))</f>
        <v/>
      </c>
      <c r="W3704" s="53">
        <f>IF(P3704="","",IF(P3704="Resultado trading",S3704,0))</f>
        <v/>
      </c>
      <c r="X3704" s="52">
        <f>IF(OR(P3704="Gasto",P3704="Reembolso"),IF(M3704&lt;&gt;"",M3704,IFERROR(INDEX(catClasif,MATCH(D3704&amp;"|"&amp;E3704,catClave,0))&amp;"","Variable")),"")</f>
        <v/>
      </c>
      <c r="Y3704" s="52">
        <f>IF(P3704="","",IFERROR(INDEX(catGrupo,MATCH(D3704&amp;"|"&amp;E3704,catClave,0))&amp;"",""))</f>
        <v/>
      </c>
      <c r="Z3704" s="52">
        <f>IF(P3704="","",WEEKDAY(B3704,2))</f>
        <v/>
      </c>
      <c r="AA3704" s="52">
        <f>IF(P3704="","",IF(AND(P3704="Gasto",X3704="Variable",D3704&lt;&gt;catTrading,S3704&gt;0,S3704&lt;=Umbral),1,0))</f>
        <v/>
      </c>
      <c r="AB3704" s="52">
        <f>IF(OR(P3704="",Q3704=""),"",IFERROR(IF(INDEX(ctaVinc,MATCH(Q3704,ctaNombre,0))&amp;""&lt;&gt;"",INDEX(ctaVinc,MATCH(Q3704,ctaNombre,0))&amp;"",Q3704),Q3704))</f>
        <v/>
      </c>
      <c r="AC3704" s="52">
        <f>IF(OR(K3704="",AND(P3704&lt;&gt;"Transferencia",P3704&lt;&gt;"Pago tarjeta")),"",IFERROR(IF(INDEX(ctaVinc,MATCH(K3704,ctaNombre,0))&amp;""&lt;&gt;"",INDEX(ctaVinc,MATCH(K3704,ctaNombre,0))&amp;"",K3704),K3704))</f>
        <v/>
      </c>
      <c r="AD3704" s="52">
        <f>IF(AB3704="","",IFERROR(INDEX(ctaTipo,MATCH(AB3704,ctaNombre,0))&amp;"",""))</f>
        <v/>
      </c>
      <c r="AE3704" s="52">
        <f>IF(AC3704="","",IFERROR(INDEX(ctaTipo,MATCH(AC3704,ctaNombre,0))&amp;"",""))</f>
        <v/>
      </c>
      <c r="AF3704" s="53">
        <f>IF(OR(P3704="",AB3704=""),"",IF(OR(P3704="Gasto",P3704="Transferencia",P3704="Pago tarjeta"),-1,1)*IF(IFERROR(INDEX(ctaMoneda,MATCH(AB3704,ctaNombre,0))&amp;"","DOP")="USD",T3704,S3704))</f>
        <v/>
      </c>
      <c r="AG3704" s="53">
        <f>IF(AC3704="","",IF(IFERROR(INDEX(ctaMoneda,MATCH(AC3704,ctaNombre,0))&amp;"","DOP")="USD",T3704,S3704))</f>
        <v/>
      </c>
      <c r="AH3704" s="53">
        <f>IF(P3704="","",IF(AND(AD3704&lt;&gt;"",COUNTIFS(tcTipo,AD3704,tcLiq,"Sí")&gt;0),IF(OR(P3704="Gasto",P3704="Transferencia",P3704="Pago tarjeta"),-1,1)*S3704,0)+IF(AND(AE3704&lt;&gt;"",COUNTIFS(tcTipo,AE3704,tcLiq,"Sí")&gt;0),S3704,0))</f>
        <v/>
      </c>
      <c r="AI3704" s="52">
        <f>IF(OR(L3704="",P3704=""),"",IF(COUNTIFS(L$6:L3704,L3704,P$6:P3704,"?*")=1,MAX(AI$5:AI3703)+1,""))</f>
        <v/>
      </c>
    </row>
    <row r="3705">
      <c r="B3705" s="47" t="n"/>
      <c r="C3705" s="48" t="n"/>
      <c r="D3705" s="48" t="n"/>
      <c r="E3705" s="48" t="n"/>
      <c r="F3705" s="48" t="n"/>
      <c r="G3705" s="49" t="n"/>
      <c r="H3705" s="48" t="n"/>
      <c r="I3705" s="50" t="n"/>
      <c r="J3705" s="48" t="n"/>
      <c r="K3705" s="48" t="n"/>
      <c r="L3705" s="48" t="n"/>
      <c r="M3705" s="48" t="n"/>
      <c r="N3705" s="48" t="n"/>
      <c r="O3705" s="51">
        <f>IF(AND(B3705="",G3705="",C3705="",D3705="",J3705=""),"",IF(B3705="","⚠ Falta fecha",IF(G3705="","⚠ Falta monto",IF(Q3705="","⚠ Falta cuenta",IF(ISNA(MATCH(Q3705,ctaNombre,0)),"⚠ Cuenta no registrada",IF(AND(OR(P3705="Gasto",P3705="Reembolso"),D3705=""),"⚠ Falta categoría",IF(AND(D3705&lt;&gt;"",E3705&lt;&gt;"",ISNA(MATCH(D3705&amp;"|"&amp;E3705,catClave,0))),"⚠ Subcategoría no corresponde",IF(AND(OR(P3705="Transferencia",P3705="Pago tarjeta"),K3705=""),"⚠ Falta cuenta destino",IF(AND(K3705&lt;&gt;"",P3705&lt;&gt;"Transferencia",P3705&lt;&gt;"Pago tarjeta"),"⚠ Destino solo aplica a transferencias",IF(AND(K3705&lt;&gt;"",K3705=Q3705),"⚠ Origen igual a destino",IF(AND(K3705&lt;&gt;"",ISNA(MATCH(K3705,ctaNombre,0))),"⚠ Destino no registrado",IF(AND(P3705="Pago tarjeta",AE3705&lt;&gt;"Tarjeta de crédito"),"⚠ El destino debe ser tarjeta de crédito",IF(AND(P3705="Gasto",E3705="Depósitos y retiros"),"⚠ Usa tipo Transferencia",IF(AND(P3705="Resultado trading",AD3705&lt;&gt;"Cuenta de trading"),"⚠ Usa una cuenta de trading",IF(AND(G3705&lt;=0,P3705&lt;&gt;"Ajuste",P3705&lt;&gt;"Resultado trading"),"⚠ El monto debe ser positivo","✓")))))))))))))))</f>
        <v/>
      </c>
      <c r="P3705" s="52">
        <f>IF(OR(B3705="",G3705=""),"",IF(C3705="","Gasto",C3705))</f>
        <v/>
      </c>
      <c r="Q3705" s="52">
        <f>IF(P3705="","",IF(J3705&lt;&gt;"",J3705,CuentaPred&amp;""))</f>
        <v/>
      </c>
      <c r="R3705" s="52">
        <f>IF(P3705="","",IF(ISNUMBER(I3705),I3705,TasaUSD))</f>
        <v/>
      </c>
      <c r="S3705" s="53">
        <f>IF(P3705="","",IF(H3705="USD",G3705*R3705,G3705))</f>
        <v/>
      </c>
      <c r="T3705" s="53">
        <f>IF(P3705="","",IF(H3705="USD",G3705,IF(R3705&gt;0,G3705/R3705,0)))</f>
        <v/>
      </c>
      <c r="U3705" s="53">
        <f>IF(P3705="","",IF(P3705="Gasto",S3705,IF(P3705="Reembolso",-S3705,0)))</f>
        <v/>
      </c>
      <c r="V3705" s="53">
        <f>IF(P3705="","",IF(P3705="Ingreso",S3705,0))</f>
        <v/>
      </c>
      <c r="W3705" s="53">
        <f>IF(P3705="","",IF(P3705="Resultado trading",S3705,0))</f>
        <v/>
      </c>
      <c r="X3705" s="52">
        <f>IF(OR(P3705="Gasto",P3705="Reembolso"),IF(M3705&lt;&gt;"",M3705,IFERROR(INDEX(catClasif,MATCH(D3705&amp;"|"&amp;E3705,catClave,0))&amp;"","Variable")),"")</f>
        <v/>
      </c>
      <c r="Y3705" s="52">
        <f>IF(P3705="","",IFERROR(INDEX(catGrupo,MATCH(D3705&amp;"|"&amp;E3705,catClave,0))&amp;"",""))</f>
        <v/>
      </c>
      <c r="Z3705" s="52">
        <f>IF(P3705="","",WEEKDAY(B3705,2))</f>
        <v/>
      </c>
      <c r="AA3705" s="52">
        <f>IF(P3705="","",IF(AND(P3705="Gasto",X3705="Variable",D3705&lt;&gt;catTrading,S3705&gt;0,S3705&lt;=Umbral),1,0))</f>
        <v/>
      </c>
      <c r="AB3705" s="52">
        <f>IF(OR(P3705="",Q3705=""),"",IFERROR(IF(INDEX(ctaVinc,MATCH(Q3705,ctaNombre,0))&amp;""&lt;&gt;"",INDEX(ctaVinc,MATCH(Q3705,ctaNombre,0))&amp;"",Q3705),Q3705))</f>
        <v/>
      </c>
      <c r="AC3705" s="52">
        <f>IF(OR(K3705="",AND(P3705&lt;&gt;"Transferencia",P3705&lt;&gt;"Pago tarjeta")),"",IFERROR(IF(INDEX(ctaVinc,MATCH(K3705,ctaNombre,0))&amp;""&lt;&gt;"",INDEX(ctaVinc,MATCH(K3705,ctaNombre,0))&amp;"",K3705),K3705))</f>
        <v/>
      </c>
      <c r="AD3705" s="52">
        <f>IF(AB3705="","",IFERROR(INDEX(ctaTipo,MATCH(AB3705,ctaNombre,0))&amp;"",""))</f>
        <v/>
      </c>
      <c r="AE3705" s="52">
        <f>IF(AC3705="","",IFERROR(INDEX(ctaTipo,MATCH(AC3705,ctaNombre,0))&amp;"",""))</f>
        <v/>
      </c>
      <c r="AF3705" s="53">
        <f>IF(OR(P3705="",AB3705=""),"",IF(OR(P3705="Gasto",P3705="Transferencia",P3705="Pago tarjeta"),-1,1)*IF(IFERROR(INDEX(ctaMoneda,MATCH(AB3705,ctaNombre,0))&amp;"","DOP")="USD",T3705,S3705))</f>
        <v/>
      </c>
      <c r="AG3705" s="53">
        <f>IF(AC3705="","",IF(IFERROR(INDEX(ctaMoneda,MATCH(AC3705,ctaNombre,0))&amp;"","DOP")="USD",T3705,S3705))</f>
        <v/>
      </c>
      <c r="AH3705" s="53">
        <f>IF(P3705="","",IF(AND(AD3705&lt;&gt;"",COUNTIFS(tcTipo,AD3705,tcLiq,"Sí")&gt;0),IF(OR(P3705="Gasto",P3705="Transferencia",P3705="Pago tarjeta"),-1,1)*S3705,0)+IF(AND(AE3705&lt;&gt;"",COUNTIFS(tcTipo,AE3705,tcLiq,"Sí")&gt;0),S3705,0))</f>
        <v/>
      </c>
      <c r="AI3705" s="52">
        <f>IF(OR(L3705="",P3705=""),"",IF(COUNTIFS(L$6:L3705,L3705,P$6:P3705,"?*")=1,MAX(AI$5:AI3704)+1,""))</f>
        <v/>
      </c>
    </row>
    <row r="3706">
      <c r="B3706" s="47" t="n"/>
      <c r="C3706" s="48" t="n"/>
      <c r="D3706" s="48" t="n"/>
      <c r="E3706" s="48" t="n"/>
      <c r="F3706" s="48" t="n"/>
      <c r="G3706" s="49" t="n"/>
      <c r="H3706" s="48" t="n"/>
      <c r="I3706" s="50" t="n"/>
      <c r="J3706" s="48" t="n"/>
      <c r="K3706" s="48" t="n"/>
      <c r="L3706" s="48" t="n"/>
      <c r="M3706" s="48" t="n"/>
      <c r="N3706" s="48" t="n"/>
      <c r="O3706" s="51">
        <f>IF(AND(B3706="",G3706="",C3706="",D3706="",J3706=""),"",IF(B3706="","⚠ Falta fecha",IF(G3706="","⚠ Falta monto",IF(Q3706="","⚠ Falta cuenta",IF(ISNA(MATCH(Q3706,ctaNombre,0)),"⚠ Cuenta no registrada",IF(AND(OR(P3706="Gasto",P3706="Reembolso"),D3706=""),"⚠ Falta categoría",IF(AND(D3706&lt;&gt;"",E3706&lt;&gt;"",ISNA(MATCH(D3706&amp;"|"&amp;E3706,catClave,0))),"⚠ Subcategoría no corresponde",IF(AND(OR(P3706="Transferencia",P3706="Pago tarjeta"),K3706=""),"⚠ Falta cuenta destino",IF(AND(K3706&lt;&gt;"",P3706&lt;&gt;"Transferencia",P3706&lt;&gt;"Pago tarjeta"),"⚠ Destino solo aplica a transferencias",IF(AND(K3706&lt;&gt;"",K3706=Q3706),"⚠ Origen igual a destino",IF(AND(K3706&lt;&gt;"",ISNA(MATCH(K3706,ctaNombre,0))),"⚠ Destino no registrado",IF(AND(P3706="Pago tarjeta",AE3706&lt;&gt;"Tarjeta de crédito"),"⚠ El destino debe ser tarjeta de crédito",IF(AND(P3706="Gasto",E3706="Depósitos y retiros"),"⚠ Usa tipo Transferencia",IF(AND(P3706="Resultado trading",AD3706&lt;&gt;"Cuenta de trading"),"⚠ Usa una cuenta de trading",IF(AND(G3706&lt;=0,P3706&lt;&gt;"Ajuste",P3706&lt;&gt;"Resultado trading"),"⚠ El monto debe ser positivo","✓")))))))))))))))</f>
        <v/>
      </c>
      <c r="P3706" s="52">
        <f>IF(OR(B3706="",G3706=""),"",IF(C3706="","Gasto",C3706))</f>
        <v/>
      </c>
      <c r="Q3706" s="52">
        <f>IF(P3706="","",IF(J3706&lt;&gt;"",J3706,CuentaPred&amp;""))</f>
        <v/>
      </c>
      <c r="R3706" s="52">
        <f>IF(P3706="","",IF(ISNUMBER(I3706),I3706,TasaUSD))</f>
        <v/>
      </c>
      <c r="S3706" s="53">
        <f>IF(P3706="","",IF(H3706="USD",G3706*R3706,G3706))</f>
        <v/>
      </c>
      <c r="T3706" s="53">
        <f>IF(P3706="","",IF(H3706="USD",G3706,IF(R3706&gt;0,G3706/R3706,0)))</f>
        <v/>
      </c>
      <c r="U3706" s="53">
        <f>IF(P3706="","",IF(P3706="Gasto",S3706,IF(P3706="Reembolso",-S3706,0)))</f>
        <v/>
      </c>
      <c r="V3706" s="53">
        <f>IF(P3706="","",IF(P3706="Ingreso",S3706,0))</f>
        <v/>
      </c>
      <c r="W3706" s="53">
        <f>IF(P3706="","",IF(P3706="Resultado trading",S3706,0))</f>
        <v/>
      </c>
      <c r="X3706" s="52">
        <f>IF(OR(P3706="Gasto",P3706="Reembolso"),IF(M3706&lt;&gt;"",M3706,IFERROR(INDEX(catClasif,MATCH(D3706&amp;"|"&amp;E3706,catClave,0))&amp;"","Variable")),"")</f>
        <v/>
      </c>
      <c r="Y3706" s="52">
        <f>IF(P3706="","",IFERROR(INDEX(catGrupo,MATCH(D3706&amp;"|"&amp;E3706,catClave,0))&amp;"",""))</f>
        <v/>
      </c>
      <c r="Z3706" s="52">
        <f>IF(P3706="","",WEEKDAY(B3706,2))</f>
        <v/>
      </c>
      <c r="AA3706" s="52">
        <f>IF(P3706="","",IF(AND(P3706="Gasto",X3706="Variable",D3706&lt;&gt;catTrading,S3706&gt;0,S3706&lt;=Umbral),1,0))</f>
        <v/>
      </c>
      <c r="AB3706" s="52">
        <f>IF(OR(P3706="",Q3706=""),"",IFERROR(IF(INDEX(ctaVinc,MATCH(Q3706,ctaNombre,0))&amp;""&lt;&gt;"",INDEX(ctaVinc,MATCH(Q3706,ctaNombre,0))&amp;"",Q3706),Q3706))</f>
        <v/>
      </c>
      <c r="AC3706" s="52">
        <f>IF(OR(K3706="",AND(P3706&lt;&gt;"Transferencia",P3706&lt;&gt;"Pago tarjeta")),"",IFERROR(IF(INDEX(ctaVinc,MATCH(K3706,ctaNombre,0))&amp;""&lt;&gt;"",INDEX(ctaVinc,MATCH(K3706,ctaNombre,0))&amp;"",K3706),K3706))</f>
        <v/>
      </c>
      <c r="AD3706" s="52">
        <f>IF(AB3706="","",IFERROR(INDEX(ctaTipo,MATCH(AB3706,ctaNombre,0))&amp;"",""))</f>
        <v/>
      </c>
      <c r="AE3706" s="52">
        <f>IF(AC3706="","",IFERROR(INDEX(ctaTipo,MATCH(AC3706,ctaNombre,0))&amp;"",""))</f>
        <v/>
      </c>
      <c r="AF3706" s="53">
        <f>IF(OR(P3706="",AB3706=""),"",IF(OR(P3706="Gasto",P3706="Transferencia",P3706="Pago tarjeta"),-1,1)*IF(IFERROR(INDEX(ctaMoneda,MATCH(AB3706,ctaNombre,0))&amp;"","DOP")="USD",T3706,S3706))</f>
        <v/>
      </c>
      <c r="AG3706" s="53">
        <f>IF(AC3706="","",IF(IFERROR(INDEX(ctaMoneda,MATCH(AC3706,ctaNombre,0))&amp;"","DOP")="USD",T3706,S3706))</f>
        <v/>
      </c>
      <c r="AH3706" s="53">
        <f>IF(P3706="","",IF(AND(AD3706&lt;&gt;"",COUNTIFS(tcTipo,AD3706,tcLiq,"Sí")&gt;0),IF(OR(P3706="Gasto",P3706="Transferencia",P3706="Pago tarjeta"),-1,1)*S3706,0)+IF(AND(AE3706&lt;&gt;"",COUNTIFS(tcTipo,AE3706,tcLiq,"Sí")&gt;0),S3706,0))</f>
        <v/>
      </c>
      <c r="AI3706" s="52">
        <f>IF(OR(L3706="",P3706=""),"",IF(COUNTIFS(L$6:L3706,L3706,P$6:P3706,"?*")=1,MAX(AI$5:AI3705)+1,""))</f>
        <v/>
      </c>
    </row>
    <row r="3707">
      <c r="B3707" s="47" t="n"/>
      <c r="C3707" s="48" t="n"/>
      <c r="D3707" s="48" t="n"/>
      <c r="E3707" s="48" t="n"/>
      <c r="F3707" s="48" t="n"/>
      <c r="G3707" s="49" t="n"/>
      <c r="H3707" s="48" t="n"/>
      <c r="I3707" s="50" t="n"/>
      <c r="J3707" s="48" t="n"/>
      <c r="K3707" s="48" t="n"/>
      <c r="L3707" s="48" t="n"/>
      <c r="M3707" s="48" t="n"/>
      <c r="N3707" s="48" t="n"/>
      <c r="O3707" s="51">
        <f>IF(AND(B3707="",G3707="",C3707="",D3707="",J3707=""),"",IF(B3707="","⚠ Falta fecha",IF(G3707="","⚠ Falta monto",IF(Q3707="","⚠ Falta cuenta",IF(ISNA(MATCH(Q3707,ctaNombre,0)),"⚠ Cuenta no registrada",IF(AND(OR(P3707="Gasto",P3707="Reembolso"),D3707=""),"⚠ Falta categoría",IF(AND(D3707&lt;&gt;"",E3707&lt;&gt;"",ISNA(MATCH(D3707&amp;"|"&amp;E3707,catClave,0))),"⚠ Subcategoría no corresponde",IF(AND(OR(P3707="Transferencia",P3707="Pago tarjeta"),K3707=""),"⚠ Falta cuenta destino",IF(AND(K3707&lt;&gt;"",P3707&lt;&gt;"Transferencia",P3707&lt;&gt;"Pago tarjeta"),"⚠ Destino solo aplica a transferencias",IF(AND(K3707&lt;&gt;"",K3707=Q3707),"⚠ Origen igual a destino",IF(AND(K3707&lt;&gt;"",ISNA(MATCH(K3707,ctaNombre,0))),"⚠ Destino no registrado",IF(AND(P3707="Pago tarjeta",AE3707&lt;&gt;"Tarjeta de crédito"),"⚠ El destino debe ser tarjeta de crédito",IF(AND(P3707="Gasto",E3707="Depósitos y retiros"),"⚠ Usa tipo Transferencia",IF(AND(P3707="Resultado trading",AD3707&lt;&gt;"Cuenta de trading"),"⚠ Usa una cuenta de trading",IF(AND(G3707&lt;=0,P3707&lt;&gt;"Ajuste",P3707&lt;&gt;"Resultado trading"),"⚠ El monto debe ser positivo","✓")))))))))))))))</f>
        <v/>
      </c>
      <c r="P3707" s="52">
        <f>IF(OR(B3707="",G3707=""),"",IF(C3707="","Gasto",C3707))</f>
        <v/>
      </c>
      <c r="Q3707" s="52">
        <f>IF(P3707="","",IF(J3707&lt;&gt;"",J3707,CuentaPred&amp;""))</f>
        <v/>
      </c>
      <c r="R3707" s="52">
        <f>IF(P3707="","",IF(ISNUMBER(I3707),I3707,TasaUSD))</f>
        <v/>
      </c>
      <c r="S3707" s="53">
        <f>IF(P3707="","",IF(H3707="USD",G3707*R3707,G3707))</f>
        <v/>
      </c>
      <c r="T3707" s="53">
        <f>IF(P3707="","",IF(H3707="USD",G3707,IF(R3707&gt;0,G3707/R3707,0)))</f>
        <v/>
      </c>
      <c r="U3707" s="53">
        <f>IF(P3707="","",IF(P3707="Gasto",S3707,IF(P3707="Reembolso",-S3707,0)))</f>
        <v/>
      </c>
      <c r="V3707" s="53">
        <f>IF(P3707="","",IF(P3707="Ingreso",S3707,0))</f>
        <v/>
      </c>
      <c r="W3707" s="53">
        <f>IF(P3707="","",IF(P3707="Resultado trading",S3707,0))</f>
        <v/>
      </c>
      <c r="X3707" s="52">
        <f>IF(OR(P3707="Gasto",P3707="Reembolso"),IF(M3707&lt;&gt;"",M3707,IFERROR(INDEX(catClasif,MATCH(D3707&amp;"|"&amp;E3707,catClave,0))&amp;"","Variable")),"")</f>
        <v/>
      </c>
      <c r="Y3707" s="52">
        <f>IF(P3707="","",IFERROR(INDEX(catGrupo,MATCH(D3707&amp;"|"&amp;E3707,catClave,0))&amp;"",""))</f>
        <v/>
      </c>
      <c r="Z3707" s="52">
        <f>IF(P3707="","",WEEKDAY(B3707,2))</f>
        <v/>
      </c>
      <c r="AA3707" s="52">
        <f>IF(P3707="","",IF(AND(P3707="Gasto",X3707="Variable",D3707&lt;&gt;catTrading,S3707&gt;0,S3707&lt;=Umbral),1,0))</f>
        <v/>
      </c>
      <c r="AB3707" s="52">
        <f>IF(OR(P3707="",Q3707=""),"",IFERROR(IF(INDEX(ctaVinc,MATCH(Q3707,ctaNombre,0))&amp;""&lt;&gt;"",INDEX(ctaVinc,MATCH(Q3707,ctaNombre,0))&amp;"",Q3707),Q3707))</f>
        <v/>
      </c>
      <c r="AC3707" s="52">
        <f>IF(OR(K3707="",AND(P3707&lt;&gt;"Transferencia",P3707&lt;&gt;"Pago tarjeta")),"",IFERROR(IF(INDEX(ctaVinc,MATCH(K3707,ctaNombre,0))&amp;""&lt;&gt;"",INDEX(ctaVinc,MATCH(K3707,ctaNombre,0))&amp;"",K3707),K3707))</f>
        <v/>
      </c>
      <c r="AD3707" s="52">
        <f>IF(AB3707="","",IFERROR(INDEX(ctaTipo,MATCH(AB3707,ctaNombre,0))&amp;"",""))</f>
        <v/>
      </c>
      <c r="AE3707" s="52">
        <f>IF(AC3707="","",IFERROR(INDEX(ctaTipo,MATCH(AC3707,ctaNombre,0))&amp;"",""))</f>
        <v/>
      </c>
      <c r="AF3707" s="53">
        <f>IF(OR(P3707="",AB3707=""),"",IF(OR(P3707="Gasto",P3707="Transferencia",P3707="Pago tarjeta"),-1,1)*IF(IFERROR(INDEX(ctaMoneda,MATCH(AB3707,ctaNombre,0))&amp;"","DOP")="USD",T3707,S3707))</f>
        <v/>
      </c>
      <c r="AG3707" s="53">
        <f>IF(AC3707="","",IF(IFERROR(INDEX(ctaMoneda,MATCH(AC3707,ctaNombre,0))&amp;"","DOP")="USD",T3707,S3707))</f>
        <v/>
      </c>
      <c r="AH3707" s="53">
        <f>IF(P3707="","",IF(AND(AD3707&lt;&gt;"",COUNTIFS(tcTipo,AD3707,tcLiq,"Sí")&gt;0),IF(OR(P3707="Gasto",P3707="Transferencia",P3707="Pago tarjeta"),-1,1)*S3707,0)+IF(AND(AE3707&lt;&gt;"",COUNTIFS(tcTipo,AE3707,tcLiq,"Sí")&gt;0),S3707,0))</f>
        <v/>
      </c>
      <c r="AI3707" s="52">
        <f>IF(OR(L3707="",P3707=""),"",IF(COUNTIFS(L$6:L3707,L3707,P$6:P3707,"?*")=1,MAX(AI$5:AI3706)+1,""))</f>
        <v/>
      </c>
    </row>
    <row r="3708">
      <c r="B3708" s="47" t="n"/>
      <c r="C3708" s="48" t="n"/>
      <c r="D3708" s="48" t="n"/>
      <c r="E3708" s="48" t="n"/>
      <c r="F3708" s="48" t="n"/>
      <c r="G3708" s="49" t="n"/>
      <c r="H3708" s="48" t="n"/>
      <c r="I3708" s="50" t="n"/>
      <c r="J3708" s="48" t="n"/>
      <c r="K3708" s="48" t="n"/>
      <c r="L3708" s="48" t="n"/>
      <c r="M3708" s="48" t="n"/>
      <c r="N3708" s="48" t="n"/>
      <c r="O3708" s="51">
        <f>IF(AND(B3708="",G3708="",C3708="",D3708="",J3708=""),"",IF(B3708="","⚠ Falta fecha",IF(G3708="","⚠ Falta monto",IF(Q3708="","⚠ Falta cuenta",IF(ISNA(MATCH(Q3708,ctaNombre,0)),"⚠ Cuenta no registrada",IF(AND(OR(P3708="Gasto",P3708="Reembolso"),D3708=""),"⚠ Falta categoría",IF(AND(D3708&lt;&gt;"",E3708&lt;&gt;"",ISNA(MATCH(D3708&amp;"|"&amp;E3708,catClave,0))),"⚠ Subcategoría no corresponde",IF(AND(OR(P3708="Transferencia",P3708="Pago tarjeta"),K3708=""),"⚠ Falta cuenta destino",IF(AND(K3708&lt;&gt;"",P3708&lt;&gt;"Transferencia",P3708&lt;&gt;"Pago tarjeta"),"⚠ Destino solo aplica a transferencias",IF(AND(K3708&lt;&gt;"",K3708=Q3708),"⚠ Origen igual a destino",IF(AND(K3708&lt;&gt;"",ISNA(MATCH(K3708,ctaNombre,0))),"⚠ Destino no registrado",IF(AND(P3708="Pago tarjeta",AE3708&lt;&gt;"Tarjeta de crédito"),"⚠ El destino debe ser tarjeta de crédito",IF(AND(P3708="Gasto",E3708="Depósitos y retiros"),"⚠ Usa tipo Transferencia",IF(AND(P3708="Resultado trading",AD3708&lt;&gt;"Cuenta de trading"),"⚠ Usa una cuenta de trading",IF(AND(G3708&lt;=0,P3708&lt;&gt;"Ajuste",P3708&lt;&gt;"Resultado trading"),"⚠ El monto debe ser positivo","✓")))))))))))))))</f>
        <v/>
      </c>
      <c r="P3708" s="52">
        <f>IF(OR(B3708="",G3708=""),"",IF(C3708="","Gasto",C3708))</f>
        <v/>
      </c>
      <c r="Q3708" s="52">
        <f>IF(P3708="","",IF(J3708&lt;&gt;"",J3708,CuentaPred&amp;""))</f>
        <v/>
      </c>
      <c r="R3708" s="52">
        <f>IF(P3708="","",IF(ISNUMBER(I3708),I3708,TasaUSD))</f>
        <v/>
      </c>
      <c r="S3708" s="53">
        <f>IF(P3708="","",IF(H3708="USD",G3708*R3708,G3708))</f>
        <v/>
      </c>
      <c r="T3708" s="53">
        <f>IF(P3708="","",IF(H3708="USD",G3708,IF(R3708&gt;0,G3708/R3708,0)))</f>
        <v/>
      </c>
      <c r="U3708" s="53">
        <f>IF(P3708="","",IF(P3708="Gasto",S3708,IF(P3708="Reembolso",-S3708,0)))</f>
        <v/>
      </c>
      <c r="V3708" s="53">
        <f>IF(P3708="","",IF(P3708="Ingreso",S3708,0))</f>
        <v/>
      </c>
      <c r="W3708" s="53">
        <f>IF(P3708="","",IF(P3708="Resultado trading",S3708,0))</f>
        <v/>
      </c>
      <c r="X3708" s="52">
        <f>IF(OR(P3708="Gasto",P3708="Reembolso"),IF(M3708&lt;&gt;"",M3708,IFERROR(INDEX(catClasif,MATCH(D3708&amp;"|"&amp;E3708,catClave,0))&amp;"","Variable")),"")</f>
        <v/>
      </c>
      <c r="Y3708" s="52">
        <f>IF(P3708="","",IFERROR(INDEX(catGrupo,MATCH(D3708&amp;"|"&amp;E3708,catClave,0))&amp;"",""))</f>
        <v/>
      </c>
      <c r="Z3708" s="52">
        <f>IF(P3708="","",WEEKDAY(B3708,2))</f>
        <v/>
      </c>
      <c r="AA3708" s="52">
        <f>IF(P3708="","",IF(AND(P3708="Gasto",X3708="Variable",D3708&lt;&gt;catTrading,S3708&gt;0,S3708&lt;=Umbral),1,0))</f>
        <v/>
      </c>
      <c r="AB3708" s="52">
        <f>IF(OR(P3708="",Q3708=""),"",IFERROR(IF(INDEX(ctaVinc,MATCH(Q3708,ctaNombre,0))&amp;""&lt;&gt;"",INDEX(ctaVinc,MATCH(Q3708,ctaNombre,0))&amp;"",Q3708),Q3708))</f>
        <v/>
      </c>
      <c r="AC3708" s="52">
        <f>IF(OR(K3708="",AND(P3708&lt;&gt;"Transferencia",P3708&lt;&gt;"Pago tarjeta")),"",IFERROR(IF(INDEX(ctaVinc,MATCH(K3708,ctaNombre,0))&amp;""&lt;&gt;"",INDEX(ctaVinc,MATCH(K3708,ctaNombre,0))&amp;"",K3708),K3708))</f>
        <v/>
      </c>
      <c r="AD3708" s="52">
        <f>IF(AB3708="","",IFERROR(INDEX(ctaTipo,MATCH(AB3708,ctaNombre,0))&amp;"",""))</f>
        <v/>
      </c>
      <c r="AE3708" s="52">
        <f>IF(AC3708="","",IFERROR(INDEX(ctaTipo,MATCH(AC3708,ctaNombre,0))&amp;"",""))</f>
        <v/>
      </c>
      <c r="AF3708" s="53">
        <f>IF(OR(P3708="",AB3708=""),"",IF(OR(P3708="Gasto",P3708="Transferencia",P3708="Pago tarjeta"),-1,1)*IF(IFERROR(INDEX(ctaMoneda,MATCH(AB3708,ctaNombre,0))&amp;"","DOP")="USD",T3708,S3708))</f>
        <v/>
      </c>
      <c r="AG3708" s="53">
        <f>IF(AC3708="","",IF(IFERROR(INDEX(ctaMoneda,MATCH(AC3708,ctaNombre,0))&amp;"","DOP")="USD",T3708,S3708))</f>
        <v/>
      </c>
      <c r="AH3708" s="53">
        <f>IF(P3708="","",IF(AND(AD3708&lt;&gt;"",COUNTIFS(tcTipo,AD3708,tcLiq,"Sí")&gt;0),IF(OR(P3708="Gasto",P3708="Transferencia",P3708="Pago tarjeta"),-1,1)*S3708,0)+IF(AND(AE3708&lt;&gt;"",COUNTIFS(tcTipo,AE3708,tcLiq,"Sí")&gt;0),S3708,0))</f>
        <v/>
      </c>
      <c r="AI3708" s="52">
        <f>IF(OR(L3708="",P3708=""),"",IF(COUNTIFS(L$6:L3708,L3708,P$6:P3708,"?*")=1,MAX(AI$5:AI3707)+1,""))</f>
        <v/>
      </c>
    </row>
    <row r="3709">
      <c r="B3709" s="47" t="n"/>
      <c r="C3709" s="48" t="n"/>
      <c r="D3709" s="48" t="n"/>
      <c r="E3709" s="48" t="n"/>
      <c r="F3709" s="48" t="n"/>
      <c r="G3709" s="49" t="n"/>
      <c r="H3709" s="48" t="n"/>
      <c r="I3709" s="50" t="n"/>
      <c r="J3709" s="48" t="n"/>
      <c r="K3709" s="48" t="n"/>
      <c r="L3709" s="48" t="n"/>
      <c r="M3709" s="48" t="n"/>
      <c r="N3709" s="48" t="n"/>
      <c r="O3709" s="51">
        <f>IF(AND(B3709="",G3709="",C3709="",D3709="",J3709=""),"",IF(B3709="","⚠ Falta fecha",IF(G3709="","⚠ Falta monto",IF(Q3709="","⚠ Falta cuenta",IF(ISNA(MATCH(Q3709,ctaNombre,0)),"⚠ Cuenta no registrada",IF(AND(OR(P3709="Gasto",P3709="Reembolso"),D3709=""),"⚠ Falta categoría",IF(AND(D3709&lt;&gt;"",E3709&lt;&gt;"",ISNA(MATCH(D3709&amp;"|"&amp;E3709,catClave,0))),"⚠ Subcategoría no corresponde",IF(AND(OR(P3709="Transferencia",P3709="Pago tarjeta"),K3709=""),"⚠ Falta cuenta destino",IF(AND(K3709&lt;&gt;"",P3709&lt;&gt;"Transferencia",P3709&lt;&gt;"Pago tarjeta"),"⚠ Destino solo aplica a transferencias",IF(AND(K3709&lt;&gt;"",K3709=Q3709),"⚠ Origen igual a destino",IF(AND(K3709&lt;&gt;"",ISNA(MATCH(K3709,ctaNombre,0))),"⚠ Destino no registrado",IF(AND(P3709="Pago tarjeta",AE3709&lt;&gt;"Tarjeta de crédito"),"⚠ El destino debe ser tarjeta de crédito",IF(AND(P3709="Gasto",E3709="Depósitos y retiros"),"⚠ Usa tipo Transferencia",IF(AND(P3709="Resultado trading",AD3709&lt;&gt;"Cuenta de trading"),"⚠ Usa una cuenta de trading",IF(AND(G3709&lt;=0,P3709&lt;&gt;"Ajuste",P3709&lt;&gt;"Resultado trading"),"⚠ El monto debe ser positivo","✓")))))))))))))))</f>
        <v/>
      </c>
      <c r="P3709" s="52">
        <f>IF(OR(B3709="",G3709=""),"",IF(C3709="","Gasto",C3709))</f>
        <v/>
      </c>
      <c r="Q3709" s="52">
        <f>IF(P3709="","",IF(J3709&lt;&gt;"",J3709,CuentaPred&amp;""))</f>
        <v/>
      </c>
      <c r="R3709" s="52">
        <f>IF(P3709="","",IF(ISNUMBER(I3709),I3709,TasaUSD))</f>
        <v/>
      </c>
      <c r="S3709" s="53">
        <f>IF(P3709="","",IF(H3709="USD",G3709*R3709,G3709))</f>
        <v/>
      </c>
      <c r="T3709" s="53">
        <f>IF(P3709="","",IF(H3709="USD",G3709,IF(R3709&gt;0,G3709/R3709,0)))</f>
        <v/>
      </c>
      <c r="U3709" s="53">
        <f>IF(P3709="","",IF(P3709="Gasto",S3709,IF(P3709="Reembolso",-S3709,0)))</f>
        <v/>
      </c>
      <c r="V3709" s="53">
        <f>IF(P3709="","",IF(P3709="Ingreso",S3709,0))</f>
        <v/>
      </c>
      <c r="W3709" s="53">
        <f>IF(P3709="","",IF(P3709="Resultado trading",S3709,0))</f>
        <v/>
      </c>
      <c r="X3709" s="52">
        <f>IF(OR(P3709="Gasto",P3709="Reembolso"),IF(M3709&lt;&gt;"",M3709,IFERROR(INDEX(catClasif,MATCH(D3709&amp;"|"&amp;E3709,catClave,0))&amp;"","Variable")),"")</f>
        <v/>
      </c>
      <c r="Y3709" s="52">
        <f>IF(P3709="","",IFERROR(INDEX(catGrupo,MATCH(D3709&amp;"|"&amp;E3709,catClave,0))&amp;"",""))</f>
        <v/>
      </c>
      <c r="Z3709" s="52">
        <f>IF(P3709="","",WEEKDAY(B3709,2))</f>
        <v/>
      </c>
      <c r="AA3709" s="52">
        <f>IF(P3709="","",IF(AND(P3709="Gasto",X3709="Variable",D3709&lt;&gt;catTrading,S3709&gt;0,S3709&lt;=Umbral),1,0))</f>
        <v/>
      </c>
      <c r="AB3709" s="52">
        <f>IF(OR(P3709="",Q3709=""),"",IFERROR(IF(INDEX(ctaVinc,MATCH(Q3709,ctaNombre,0))&amp;""&lt;&gt;"",INDEX(ctaVinc,MATCH(Q3709,ctaNombre,0))&amp;"",Q3709),Q3709))</f>
        <v/>
      </c>
      <c r="AC3709" s="52">
        <f>IF(OR(K3709="",AND(P3709&lt;&gt;"Transferencia",P3709&lt;&gt;"Pago tarjeta")),"",IFERROR(IF(INDEX(ctaVinc,MATCH(K3709,ctaNombre,0))&amp;""&lt;&gt;"",INDEX(ctaVinc,MATCH(K3709,ctaNombre,0))&amp;"",K3709),K3709))</f>
        <v/>
      </c>
      <c r="AD3709" s="52">
        <f>IF(AB3709="","",IFERROR(INDEX(ctaTipo,MATCH(AB3709,ctaNombre,0))&amp;"",""))</f>
        <v/>
      </c>
      <c r="AE3709" s="52">
        <f>IF(AC3709="","",IFERROR(INDEX(ctaTipo,MATCH(AC3709,ctaNombre,0))&amp;"",""))</f>
        <v/>
      </c>
      <c r="AF3709" s="53">
        <f>IF(OR(P3709="",AB3709=""),"",IF(OR(P3709="Gasto",P3709="Transferencia",P3709="Pago tarjeta"),-1,1)*IF(IFERROR(INDEX(ctaMoneda,MATCH(AB3709,ctaNombre,0))&amp;"","DOP")="USD",T3709,S3709))</f>
        <v/>
      </c>
      <c r="AG3709" s="53">
        <f>IF(AC3709="","",IF(IFERROR(INDEX(ctaMoneda,MATCH(AC3709,ctaNombre,0))&amp;"","DOP")="USD",T3709,S3709))</f>
        <v/>
      </c>
      <c r="AH3709" s="53">
        <f>IF(P3709="","",IF(AND(AD3709&lt;&gt;"",COUNTIFS(tcTipo,AD3709,tcLiq,"Sí")&gt;0),IF(OR(P3709="Gasto",P3709="Transferencia",P3709="Pago tarjeta"),-1,1)*S3709,0)+IF(AND(AE3709&lt;&gt;"",COUNTIFS(tcTipo,AE3709,tcLiq,"Sí")&gt;0),S3709,0))</f>
        <v/>
      </c>
      <c r="AI3709" s="52">
        <f>IF(OR(L3709="",P3709=""),"",IF(COUNTIFS(L$6:L3709,L3709,P$6:P3709,"?*")=1,MAX(AI$5:AI3708)+1,""))</f>
        <v/>
      </c>
    </row>
    <row r="3710">
      <c r="B3710" s="47" t="n"/>
      <c r="C3710" s="48" t="n"/>
      <c r="D3710" s="48" t="n"/>
      <c r="E3710" s="48" t="n"/>
      <c r="F3710" s="48" t="n"/>
      <c r="G3710" s="49" t="n"/>
      <c r="H3710" s="48" t="n"/>
      <c r="I3710" s="50" t="n"/>
      <c r="J3710" s="48" t="n"/>
      <c r="K3710" s="48" t="n"/>
      <c r="L3710" s="48" t="n"/>
      <c r="M3710" s="48" t="n"/>
      <c r="N3710" s="48" t="n"/>
      <c r="O3710" s="51">
        <f>IF(AND(B3710="",G3710="",C3710="",D3710="",J3710=""),"",IF(B3710="","⚠ Falta fecha",IF(G3710="","⚠ Falta monto",IF(Q3710="","⚠ Falta cuenta",IF(ISNA(MATCH(Q3710,ctaNombre,0)),"⚠ Cuenta no registrada",IF(AND(OR(P3710="Gasto",P3710="Reembolso"),D3710=""),"⚠ Falta categoría",IF(AND(D3710&lt;&gt;"",E3710&lt;&gt;"",ISNA(MATCH(D3710&amp;"|"&amp;E3710,catClave,0))),"⚠ Subcategoría no corresponde",IF(AND(OR(P3710="Transferencia",P3710="Pago tarjeta"),K3710=""),"⚠ Falta cuenta destino",IF(AND(K3710&lt;&gt;"",P3710&lt;&gt;"Transferencia",P3710&lt;&gt;"Pago tarjeta"),"⚠ Destino solo aplica a transferencias",IF(AND(K3710&lt;&gt;"",K3710=Q3710),"⚠ Origen igual a destino",IF(AND(K3710&lt;&gt;"",ISNA(MATCH(K3710,ctaNombre,0))),"⚠ Destino no registrado",IF(AND(P3710="Pago tarjeta",AE3710&lt;&gt;"Tarjeta de crédito"),"⚠ El destino debe ser tarjeta de crédito",IF(AND(P3710="Gasto",E3710="Depósitos y retiros"),"⚠ Usa tipo Transferencia",IF(AND(P3710="Resultado trading",AD3710&lt;&gt;"Cuenta de trading"),"⚠ Usa una cuenta de trading",IF(AND(G3710&lt;=0,P3710&lt;&gt;"Ajuste",P3710&lt;&gt;"Resultado trading"),"⚠ El monto debe ser positivo","✓")))))))))))))))</f>
        <v/>
      </c>
      <c r="P3710" s="52">
        <f>IF(OR(B3710="",G3710=""),"",IF(C3710="","Gasto",C3710))</f>
        <v/>
      </c>
      <c r="Q3710" s="52">
        <f>IF(P3710="","",IF(J3710&lt;&gt;"",J3710,CuentaPred&amp;""))</f>
        <v/>
      </c>
      <c r="R3710" s="52">
        <f>IF(P3710="","",IF(ISNUMBER(I3710),I3710,TasaUSD))</f>
        <v/>
      </c>
      <c r="S3710" s="53">
        <f>IF(P3710="","",IF(H3710="USD",G3710*R3710,G3710))</f>
        <v/>
      </c>
      <c r="T3710" s="53">
        <f>IF(P3710="","",IF(H3710="USD",G3710,IF(R3710&gt;0,G3710/R3710,0)))</f>
        <v/>
      </c>
      <c r="U3710" s="53">
        <f>IF(P3710="","",IF(P3710="Gasto",S3710,IF(P3710="Reembolso",-S3710,0)))</f>
        <v/>
      </c>
      <c r="V3710" s="53">
        <f>IF(P3710="","",IF(P3710="Ingreso",S3710,0))</f>
        <v/>
      </c>
      <c r="W3710" s="53">
        <f>IF(P3710="","",IF(P3710="Resultado trading",S3710,0))</f>
        <v/>
      </c>
      <c r="X3710" s="52">
        <f>IF(OR(P3710="Gasto",P3710="Reembolso"),IF(M3710&lt;&gt;"",M3710,IFERROR(INDEX(catClasif,MATCH(D3710&amp;"|"&amp;E3710,catClave,0))&amp;"","Variable")),"")</f>
        <v/>
      </c>
      <c r="Y3710" s="52">
        <f>IF(P3710="","",IFERROR(INDEX(catGrupo,MATCH(D3710&amp;"|"&amp;E3710,catClave,0))&amp;"",""))</f>
        <v/>
      </c>
      <c r="Z3710" s="52">
        <f>IF(P3710="","",WEEKDAY(B3710,2))</f>
        <v/>
      </c>
      <c r="AA3710" s="52">
        <f>IF(P3710="","",IF(AND(P3710="Gasto",X3710="Variable",D3710&lt;&gt;catTrading,S3710&gt;0,S3710&lt;=Umbral),1,0))</f>
        <v/>
      </c>
      <c r="AB3710" s="52">
        <f>IF(OR(P3710="",Q3710=""),"",IFERROR(IF(INDEX(ctaVinc,MATCH(Q3710,ctaNombre,0))&amp;""&lt;&gt;"",INDEX(ctaVinc,MATCH(Q3710,ctaNombre,0))&amp;"",Q3710),Q3710))</f>
        <v/>
      </c>
      <c r="AC3710" s="52">
        <f>IF(OR(K3710="",AND(P3710&lt;&gt;"Transferencia",P3710&lt;&gt;"Pago tarjeta")),"",IFERROR(IF(INDEX(ctaVinc,MATCH(K3710,ctaNombre,0))&amp;""&lt;&gt;"",INDEX(ctaVinc,MATCH(K3710,ctaNombre,0))&amp;"",K3710),K3710))</f>
        <v/>
      </c>
      <c r="AD3710" s="52">
        <f>IF(AB3710="","",IFERROR(INDEX(ctaTipo,MATCH(AB3710,ctaNombre,0))&amp;"",""))</f>
        <v/>
      </c>
      <c r="AE3710" s="52">
        <f>IF(AC3710="","",IFERROR(INDEX(ctaTipo,MATCH(AC3710,ctaNombre,0))&amp;"",""))</f>
        <v/>
      </c>
      <c r="AF3710" s="53">
        <f>IF(OR(P3710="",AB3710=""),"",IF(OR(P3710="Gasto",P3710="Transferencia",P3710="Pago tarjeta"),-1,1)*IF(IFERROR(INDEX(ctaMoneda,MATCH(AB3710,ctaNombre,0))&amp;"","DOP")="USD",T3710,S3710))</f>
        <v/>
      </c>
      <c r="AG3710" s="53">
        <f>IF(AC3710="","",IF(IFERROR(INDEX(ctaMoneda,MATCH(AC3710,ctaNombre,0))&amp;"","DOP")="USD",T3710,S3710))</f>
        <v/>
      </c>
      <c r="AH3710" s="53">
        <f>IF(P3710="","",IF(AND(AD3710&lt;&gt;"",COUNTIFS(tcTipo,AD3710,tcLiq,"Sí")&gt;0),IF(OR(P3710="Gasto",P3710="Transferencia",P3710="Pago tarjeta"),-1,1)*S3710,0)+IF(AND(AE3710&lt;&gt;"",COUNTIFS(tcTipo,AE3710,tcLiq,"Sí")&gt;0),S3710,0))</f>
        <v/>
      </c>
      <c r="AI3710" s="52">
        <f>IF(OR(L3710="",P3710=""),"",IF(COUNTIFS(L$6:L3710,L3710,P$6:P3710,"?*")=1,MAX(AI$5:AI3709)+1,""))</f>
        <v/>
      </c>
    </row>
    <row r="3711">
      <c r="B3711" s="47" t="n"/>
      <c r="C3711" s="48" t="n"/>
      <c r="D3711" s="48" t="n"/>
      <c r="E3711" s="48" t="n"/>
      <c r="F3711" s="48" t="n"/>
      <c r="G3711" s="49" t="n"/>
      <c r="H3711" s="48" t="n"/>
      <c r="I3711" s="50" t="n"/>
      <c r="J3711" s="48" t="n"/>
      <c r="K3711" s="48" t="n"/>
      <c r="L3711" s="48" t="n"/>
      <c r="M3711" s="48" t="n"/>
      <c r="N3711" s="48" t="n"/>
      <c r="O3711" s="51">
        <f>IF(AND(B3711="",G3711="",C3711="",D3711="",J3711=""),"",IF(B3711="","⚠ Falta fecha",IF(G3711="","⚠ Falta monto",IF(Q3711="","⚠ Falta cuenta",IF(ISNA(MATCH(Q3711,ctaNombre,0)),"⚠ Cuenta no registrada",IF(AND(OR(P3711="Gasto",P3711="Reembolso"),D3711=""),"⚠ Falta categoría",IF(AND(D3711&lt;&gt;"",E3711&lt;&gt;"",ISNA(MATCH(D3711&amp;"|"&amp;E3711,catClave,0))),"⚠ Subcategoría no corresponde",IF(AND(OR(P3711="Transferencia",P3711="Pago tarjeta"),K3711=""),"⚠ Falta cuenta destino",IF(AND(K3711&lt;&gt;"",P3711&lt;&gt;"Transferencia",P3711&lt;&gt;"Pago tarjeta"),"⚠ Destino solo aplica a transferencias",IF(AND(K3711&lt;&gt;"",K3711=Q3711),"⚠ Origen igual a destino",IF(AND(K3711&lt;&gt;"",ISNA(MATCH(K3711,ctaNombre,0))),"⚠ Destino no registrado",IF(AND(P3711="Pago tarjeta",AE3711&lt;&gt;"Tarjeta de crédito"),"⚠ El destino debe ser tarjeta de crédito",IF(AND(P3711="Gasto",E3711="Depósitos y retiros"),"⚠ Usa tipo Transferencia",IF(AND(P3711="Resultado trading",AD3711&lt;&gt;"Cuenta de trading"),"⚠ Usa una cuenta de trading",IF(AND(G3711&lt;=0,P3711&lt;&gt;"Ajuste",P3711&lt;&gt;"Resultado trading"),"⚠ El monto debe ser positivo","✓")))))))))))))))</f>
        <v/>
      </c>
      <c r="P3711" s="52">
        <f>IF(OR(B3711="",G3711=""),"",IF(C3711="","Gasto",C3711))</f>
        <v/>
      </c>
      <c r="Q3711" s="52">
        <f>IF(P3711="","",IF(J3711&lt;&gt;"",J3711,CuentaPred&amp;""))</f>
        <v/>
      </c>
      <c r="R3711" s="52">
        <f>IF(P3711="","",IF(ISNUMBER(I3711),I3711,TasaUSD))</f>
        <v/>
      </c>
      <c r="S3711" s="53">
        <f>IF(P3711="","",IF(H3711="USD",G3711*R3711,G3711))</f>
        <v/>
      </c>
      <c r="T3711" s="53">
        <f>IF(P3711="","",IF(H3711="USD",G3711,IF(R3711&gt;0,G3711/R3711,0)))</f>
        <v/>
      </c>
      <c r="U3711" s="53">
        <f>IF(P3711="","",IF(P3711="Gasto",S3711,IF(P3711="Reembolso",-S3711,0)))</f>
        <v/>
      </c>
      <c r="V3711" s="53">
        <f>IF(P3711="","",IF(P3711="Ingreso",S3711,0))</f>
        <v/>
      </c>
      <c r="W3711" s="53">
        <f>IF(P3711="","",IF(P3711="Resultado trading",S3711,0))</f>
        <v/>
      </c>
      <c r="X3711" s="52">
        <f>IF(OR(P3711="Gasto",P3711="Reembolso"),IF(M3711&lt;&gt;"",M3711,IFERROR(INDEX(catClasif,MATCH(D3711&amp;"|"&amp;E3711,catClave,0))&amp;"","Variable")),"")</f>
        <v/>
      </c>
      <c r="Y3711" s="52">
        <f>IF(P3711="","",IFERROR(INDEX(catGrupo,MATCH(D3711&amp;"|"&amp;E3711,catClave,0))&amp;"",""))</f>
        <v/>
      </c>
      <c r="Z3711" s="52">
        <f>IF(P3711="","",WEEKDAY(B3711,2))</f>
        <v/>
      </c>
      <c r="AA3711" s="52">
        <f>IF(P3711="","",IF(AND(P3711="Gasto",X3711="Variable",D3711&lt;&gt;catTrading,S3711&gt;0,S3711&lt;=Umbral),1,0))</f>
        <v/>
      </c>
      <c r="AB3711" s="52">
        <f>IF(OR(P3711="",Q3711=""),"",IFERROR(IF(INDEX(ctaVinc,MATCH(Q3711,ctaNombre,0))&amp;""&lt;&gt;"",INDEX(ctaVinc,MATCH(Q3711,ctaNombre,0))&amp;"",Q3711),Q3711))</f>
        <v/>
      </c>
      <c r="AC3711" s="52">
        <f>IF(OR(K3711="",AND(P3711&lt;&gt;"Transferencia",P3711&lt;&gt;"Pago tarjeta")),"",IFERROR(IF(INDEX(ctaVinc,MATCH(K3711,ctaNombre,0))&amp;""&lt;&gt;"",INDEX(ctaVinc,MATCH(K3711,ctaNombre,0))&amp;"",K3711),K3711))</f>
        <v/>
      </c>
      <c r="AD3711" s="52">
        <f>IF(AB3711="","",IFERROR(INDEX(ctaTipo,MATCH(AB3711,ctaNombre,0))&amp;"",""))</f>
        <v/>
      </c>
      <c r="AE3711" s="52">
        <f>IF(AC3711="","",IFERROR(INDEX(ctaTipo,MATCH(AC3711,ctaNombre,0))&amp;"",""))</f>
        <v/>
      </c>
      <c r="AF3711" s="53">
        <f>IF(OR(P3711="",AB3711=""),"",IF(OR(P3711="Gasto",P3711="Transferencia",P3711="Pago tarjeta"),-1,1)*IF(IFERROR(INDEX(ctaMoneda,MATCH(AB3711,ctaNombre,0))&amp;"","DOP")="USD",T3711,S3711))</f>
        <v/>
      </c>
      <c r="AG3711" s="53">
        <f>IF(AC3711="","",IF(IFERROR(INDEX(ctaMoneda,MATCH(AC3711,ctaNombre,0))&amp;"","DOP")="USD",T3711,S3711))</f>
        <v/>
      </c>
      <c r="AH3711" s="53">
        <f>IF(P3711="","",IF(AND(AD3711&lt;&gt;"",COUNTIFS(tcTipo,AD3711,tcLiq,"Sí")&gt;0),IF(OR(P3711="Gasto",P3711="Transferencia",P3711="Pago tarjeta"),-1,1)*S3711,0)+IF(AND(AE3711&lt;&gt;"",COUNTIFS(tcTipo,AE3711,tcLiq,"Sí")&gt;0),S3711,0))</f>
        <v/>
      </c>
      <c r="AI3711" s="52">
        <f>IF(OR(L3711="",P3711=""),"",IF(COUNTIFS(L$6:L3711,L3711,P$6:P3711,"?*")=1,MAX(AI$5:AI3710)+1,""))</f>
        <v/>
      </c>
    </row>
    <row r="3712">
      <c r="B3712" s="47" t="n"/>
      <c r="C3712" s="48" t="n"/>
      <c r="D3712" s="48" t="n"/>
      <c r="E3712" s="48" t="n"/>
      <c r="F3712" s="48" t="n"/>
      <c r="G3712" s="49" t="n"/>
      <c r="H3712" s="48" t="n"/>
      <c r="I3712" s="50" t="n"/>
      <c r="J3712" s="48" t="n"/>
      <c r="K3712" s="48" t="n"/>
      <c r="L3712" s="48" t="n"/>
      <c r="M3712" s="48" t="n"/>
      <c r="N3712" s="48" t="n"/>
      <c r="O3712" s="51">
        <f>IF(AND(B3712="",G3712="",C3712="",D3712="",J3712=""),"",IF(B3712="","⚠ Falta fecha",IF(G3712="","⚠ Falta monto",IF(Q3712="","⚠ Falta cuenta",IF(ISNA(MATCH(Q3712,ctaNombre,0)),"⚠ Cuenta no registrada",IF(AND(OR(P3712="Gasto",P3712="Reembolso"),D3712=""),"⚠ Falta categoría",IF(AND(D3712&lt;&gt;"",E3712&lt;&gt;"",ISNA(MATCH(D3712&amp;"|"&amp;E3712,catClave,0))),"⚠ Subcategoría no corresponde",IF(AND(OR(P3712="Transferencia",P3712="Pago tarjeta"),K3712=""),"⚠ Falta cuenta destino",IF(AND(K3712&lt;&gt;"",P3712&lt;&gt;"Transferencia",P3712&lt;&gt;"Pago tarjeta"),"⚠ Destino solo aplica a transferencias",IF(AND(K3712&lt;&gt;"",K3712=Q3712),"⚠ Origen igual a destino",IF(AND(K3712&lt;&gt;"",ISNA(MATCH(K3712,ctaNombre,0))),"⚠ Destino no registrado",IF(AND(P3712="Pago tarjeta",AE3712&lt;&gt;"Tarjeta de crédito"),"⚠ El destino debe ser tarjeta de crédito",IF(AND(P3712="Gasto",E3712="Depósitos y retiros"),"⚠ Usa tipo Transferencia",IF(AND(P3712="Resultado trading",AD3712&lt;&gt;"Cuenta de trading"),"⚠ Usa una cuenta de trading",IF(AND(G3712&lt;=0,P3712&lt;&gt;"Ajuste",P3712&lt;&gt;"Resultado trading"),"⚠ El monto debe ser positivo","✓")))))))))))))))</f>
        <v/>
      </c>
      <c r="P3712" s="52">
        <f>IF(OR(B3712="",G3712=""),"",IF(C3712="","Gasto",C3712))</f>
        <v/>
      </c>
      <c r="Q3712" s="52">
        <f>IF(P3712="","",IF(J3712&lt;&gt;"",J3712,CuentaPred&amp;""))</f>
        <v/>
      </c>
      <c r="R3712" s="52">
        <f>IF(P3712="","",IF(ISNUMBER(I3712),I3712,TasaUSD))</f>
        <v/>
      </c>
      <c r="S3712" s="53">
        <f>IF(P3712="","",IF(H3712="USD",G3712*R3712,G3712))</f>
        <v/>
      </c>
      <c r="T3712" s="53">
        <f>IF(P3712="","",IF(H3712="USD",G3712,IF(R3712&gt;0,G3712/R3712,0)))</f>
        <v/>
      </c>
      <c r="U3712" s="53">
        <f>IF(P3712="","",IF(P3712="Gasto",S3712,IF(P3712="Reembolso",-S3712,0)))</f>
        <v/>
      </c>
      <c r="V3712" s="53">
        <f>IF(P3712="","",IF(P3712="Ingreso",S3712,0))</f>
        <v/>
      </c>
      <c r="W3712" s="53">
        <f>IF(P3712="","",IF(P3712="Resultado trading",S3712,0))</f>
        <v/>
      </c>
      <c r="X3712" s="52">
        <f>IF(OR(P3712="Gasto",P3712="Reembolso"),IF(M3712&lt;&gt;"",M3712,IFERROR(INDEX(catClasif,MATCH(D3712&amp;"|"&amp;E3712,catClave,0))&amp;"","Variable")),"")</f>
        <v/>
      </c>
      <c r="Y3712" s="52">
        <f>IF(P3712="","",IFERROR(INDEX(catGrupo,MATCH(D3712&amp;"|"&amp;E3712,catClave,0))&amp;"",""))</f>
        <v/>
      </c>
      <c r="Z3712" s="52">
        <f>IF(P3712="","",WEEKDAY(B3712,2))</f>
        <v/>
      </c>
      <c r="AA3712" s="52">
        <f>IF(P3712="","",IF(AND(P3712="Gasto",X3712="Variable",D3712&lt;&gt;catTrading,S3712&gt;0,S3712&lt;=Umbral),1,0))</f>
        <v/>
      </c>
      <c r="AB3712" s="52">
        <f>IF(OR(P3712="",Q3712=""),"",IFERROR(IF(INDEX(ctaVinc,MATCH(Q3712,ctaNombre,0))&amp;""&lt;&gt;"",INDEX(ctaVinc,MATCH(Q3712,ctaNombre,0))&amp;"",Q3712),Q3712))</f>
        <v/>
      </c>
      <c r="AC3712" s="52">
        <f>IF(OR(K3712="",AND(P3712&lt;&gt;"Transferencia",P3712&lt;&gt;"Pago tarjeta")),"",IFERROR(IF(INDEX(ctaVinc,MATCH(K3712,ctaNombre,0))&amp;""&lt;&gt;"",INDEX(ctaVinc,MATCH(K3712,ctaNombre,0))&amp;"",K3712),K3712))</f>
        <v/>
      </c>
      <c r="AD3712" s="52">
        <f>IF(AB3712="","",IFERROR(INDEX(ctaTipo,MATCH(AB3712,ctaNombre,0))&amp;"",""))</f>
        <v/>
      </c>
      <c r="AE3712" s="52">
        <f>IF(AC3712="","",IFERROR(INDEX(ctaTipo,MATCH(AC3712,ctaNombre,0))&amp;"",""))</f>
        <v/>
      </c>
      <c r="AF3712" s="53">
        <f>IF(OR(P3712="",AB3712=""),"",IF(OR(P3712="Gasto",P3712="Transferencia",P3712="Pago tarjeta"),-1,1)*IF(IFERROR(INDEX(ctaMoneda,MATCH(AB3712,ctaNombre,0))&amp;"","DOP")="USD",T3712,S3712))</f>
        <v/>
      </c>
      <c r="AG3712" s="53">
        <f>IF(AC3712="","",IF(IFERROR(INDEX(ctaMoneda,MATCH(AC3712,ctaNombre,0))&amp;"","DOP")="USD",T3712,S3712))</f>
        <v/>
      </c>
      <c r="AH3712" s="53">
        <f>IF(P3712="","",IF(AND(AD3712&lt;&gt;"",COUNTIFS(tcTipo,AD3712,tcLiq,"Sí")&gt;0),IF(OR(P3712="Gasto",P3712="Transferencia",P3712="Pago tarjeta"),-1,1)*S3712,0)+IF(AND(AE3712&lt;&gt;"",COUNTIFS(tcTipo,AE3712,tcLiq,"Sí")&gt;0),S3712,0))</f>
        <v/>
      </c>
      <c r="AI3712" s="52">
        <f>IF(OR(L3712="",P3712=""),"",IF(COUNTIFS(L$6:L3712,L3712,P$6:P3712,"?*")=1,MAX(AI$5:AI3711)+1,""))</f>
        <v/>
      </c>
    </row>
    <row r="3713">
      <c r="B3713" s="47" t="n"/>
      <c r="C3713" s="48" t="n"/>
      <c r="D3713" s="48" t="n"/>
      <c r="E3713" s="48" t="n"/>
      <c r="F3713" s="48" t="n"/>
      <c r="G3713" s="49" t="n"/>
      <c r="H3713" s="48" t="n"/>
      <c r="I3713" s="50" t="n"/>
      <c r="J3713" s="48" t="n"/>
      <c r="K3713" s="48" t="n"/>
      <c r="L3713" s="48" t="n"/>
      <c r="M3713" s="48" t="n"/>
      <c r="N3713" s="48" t="n"/>
      <c r="O3713" s="51">
        <f>IF(AND(B3713="",G3713="",C3713="",D3713="",J3713=""),"",IF(B3713="","⚠ Falta fecha",IF(G3713="","⚠ Falta monto",IF(Q3713="","⚠ Falta cuenta",IF(ISNA(MATCH(Q3713,ctaNombre,0)),"⚠ Cuenta no registrada",IF(AND(OR(P3713="Gasto",P3713="Reembolso"),D3713=""),"⚠ Falta categoría",IF(AND(D3713&lt;&gt;"",E3713&lt;&gt;"",ISNA(MATCH(D3713&amp;"|"&amp;E3713,catClave,0))),"⚠ Subcategoría no corresponde",IF(AND(OR(P3713="Transferencia",P3713="Pago tarjeta"),K3713=""),"⚠ Falta cuenta destino",IF(AND(K3713&lt;&gt;"",P3713&lt;&gt;"Transferencia",P3713&lt;&gt;"Pago tarjeta"),"⚠ Destino solo aplica a transferencias",IF(AND(K3713&lt;&gt;"",K3713=Q3713),"⚠ Origen igual a destino",IF(AND(K3713&lt;&gt;"",ISNA(MATCH(K3713,ctaNombre,0))),"⚠ Destino no registrado",IF(AND(P3713="Pago tarjeta",AE3713&lt;&gt;"Tarjeta de crédito"),"⚠ El destino debe ser tarjeta de crédito",IF(AND(P3713="Gasto",E3713="Depósitos y retiros"),"⚠ Usa tipo Transferencia",IF(AND(P3713="Resultado trading",AD3713&lt;&gt;"Cuenta de trading"),"⚠ Usa una cuenta de trading",IF(AND(G3713&lt;=0,P3713&lt;&gt;"Ajuste",P3713&lt;&gt;"Resultado trading"),"⚠ El monto debe ser positivo","✓")))))))))))))))</f>
        <v/>
      </c>
      <c r="P3713" s="52">
        <f>IF(OR(B3713="",G3713=""),"",IF(C3713="","Gasto",C3713))</f>
        <v/>
      </c>
      <c r="Q3713" s="52">
        <f>IF(P3713="","",IF(J3713&lt;&gt;"",J3713,CuentaPred&amp;""))</f>
        <v/>
      </c>
      <c r="R3713" s="52">
        <f>IF(P3713="","",IF(ISNUMBER(I3713),I3713,TasaUSD))</f>
        <v/>
      </c>
      <c r="S3713" s="53">
        <f>IF(P3713="","",IF(H3713="USD",G3713*R3713,G3713))</f>
        <v/>
      </c>
      <c r="T3713" s="53">
        <f>IF(P3713="","",IF(H3713="USD",G3713,IF(R3713&gt;0,G3713/R3713,0)))</f>
        <v/>
      </c>
      <c r="U3713" s="53">
        <f>IF(P3713="","",IF(P3713="Gasto",S3713,IF(P3713="Reembolso",-S3713,0)))</f>
        <v/>
      </c>
      <c r="V3713" s="53">
        <f>IF(P3713="","",IF(P3713="Ingreso",S3713,0))</f>
        <v/>
      </c>
      <c r="W3713" s="53">
        <f>IF(P3713="","",IF(P3713="Resultado trading",S3713,0))</f>
        <v/>
      </c>
      <c r="X3713" s="52">
        <f>IF(OR(P3713="Gasto",P3713="Reembolso"),IF(M3713&lt;&gt;"",M3713,IFERROR(INDEX(catClasif,MATCH(D3713&amp;"|"&amp;E3713,catClave,0))&amp;"","Variable")),"")</f>
        <v/>
      </c>
      <c r="Y3713" s="52">
        <f>IF(P3713="","",IFERROR(INDEX(catGrupo,MATCH(D3713&amp;"|"&amp;E3713,catClave,0))&amp;"",""))</f>
        <v/>
      </c>
      <c r="Z3713" s="52">
        <f>IF(P3713="","",WEEKDAY(B3713,2))</f>
        <v/>
      </c>
      <c r="AA3713" s="52">
        <f>IF(P3713="","",IF(AND(P3713="Gasto",X3713="Variable",D3713&lt;&gt;catTrading,S3713&gt;0,S3713&lt;=Umbral),1,0))</f>
        <v/>
      </c>
      <c r="AB3713" s="52">
        <f>IF(OR(P3713="",Q3713=""),"",IFERROR(IF(INDEX(ctaVinc,MATCH(Q3713,ctaNombre,0))&amp;""&lt;&gt;"",INDEX(ctaVinc,MATCH(Q3713,ctaNombre,0))&amp;"",Q3713),Q3713))</f>
        <v/>
      </c>
      <c r="AC3713" s="52">
        <f>IF(OR(K3713="",AND(P3713&lt;&gt;"Transferencia",P3713&lt;&gt;"Pago tarjeta")),"",IFERROR(IF(INDEX(ctaVinc,MATCH(K3713,ctaNombre,0))&amp;""&lt;&gt;"",INDEX(ctaVinc,MATCH(K3713,ctaNombre,0))&amp;"",K3713),K3713))</f>
        <v/>
      </c>
      <c r="AD3713" s="52">
        <f>IF(AB3713="","",IFERROR(INDEX(ctaTipo,MATCH(AB3713,ctaNombre,0))&amp;"",""))</f>
        <v/>
      </c>
      <c r="AE3713" s="52">
        <f>IF(AC3713="","",IFERROR(INDEX(ctaTipo,MATCH(AC3713,ctaNombre,0))&amp;"",""))</f>
        <v/>
      </c>
      <c r="AF3713" s="53">
        <f>IF(OR(P3713="",AB3713=""),"",IF(OR(P3713="Gasto",P3713="Transferencia",P3713="Pago tarjeta"),-1,1)*IF(IFERROR(INDEX(ctaMoneda,MATCH(AB3713,ctaNombre,0))&amp;"","DOP")="USD",T3713,S3713))</f>
        <v/>
      </c>
      <c r="AG3713" s="53">
        <f>IF(AC3713="","",IF(IFERROR(INDEX(ctaMoneda,MATCH(AC3713,ctaNombre,0))&amp;"","DOP")="USD",T3713,S3713))</f>
        <v/>
      </c>
      <c r="AH3713" s="53">
        <f>IF(P3713="","",IF(AND(AD3713&lt;&gt;"",COUNTIFS(tcTipo,AD3713,tcLiq,"Sí")&gt;0),IF(OR(P3713="Gasto",P3713="Transferencia",P3713="Pago tarjeta"),-1,1)*S3713,0)+IF(AND(AE3713&lt;&gt;"",COUNTIFS(tcTipo,AE3713,tcLiq,"Sí")&gt;0),S3713,0))</f>
        <v/>
      </c>
      <c r="AI3713" s="52">
        <f>IF(OR(L3713="",P3713=""),"",IF(COUNTIFS(L$6:L3713,L3713,P$6:P3713,"?*")=1,MAX(AI$5:AI3712)+1,""))</f>
        <v/>
      </c>
    </row>
    <row r="3714">
      <c r="B3714" s="47" t="n"/>
      <c r="C3714" s="48" t="n"/>
      <c r="D3714" s="48" t="n"/>
      <c r="E3714" s="48" t="n"/>
      <c r="F3714" s="48" t="n"/>
      <c r="G3714" s="49" t="n"/>
      <c r="H3714" s="48" t="n"/>
      <c r="I3714" s="50" t="n"/>
      <c r="J3714" s="48" t="n"/>
      <c r="K3714" s="48" t="n"/>
      <c r="L3714" s="48" t="n"/>
      <c r="M3714" s="48" t="n"/>
      <c r="N3714" s="48" t="n"/>
      <c r="O3714" s="51">
        <f>IF(AND(B3714="",G3714="",C3714="",D3714="",J3714=""),"",IF(B3714="","⚠ Falta fecha",IF(G3714="","⚠ Falta monto",IF(Q3714="","⚠ Falta cuenta",IF(ISNA(MATCH(Q3714,ctaNombre,0)),"⚠ Cuenta no registrada",IF(AND(OR(P3714="Gasto",P3714="Reembolso"),D3714=""),"⚠ Falta categoría",IF(AND(D3714&lt;&gt;"",E3714&lt;&gt;"",ISNA(MATCH(D3714&amp;"|"&amp;E3714,catClave,0))),"⚠ Subcategoría no corresponde",IF(AND(OR(P3714="Transferencia",P3714="Pago tarjeta"),K3714=""),"⚠ Falta cuenta destino",IF(AND(K3714&lt;&gt;"",P3714&lt;&gt;"Transferencia",P3714&lt;&gt;"Pago tarjeta"),"⚠ Destino solo aplica a transferencias",IF(AND(K3714&lt;&gt;"",K3714=Q3714),"⚠ Origen igual a destino",IF(AND(K3714&lt;&gt;"",ISNA(MATCH(K3714,ctaNombre,0))),"⚠ Destino no registrado",IF(AND(P3714="Pago tarjeta",AE3714&lt;&gt;"Tarjeta de crédito"),"⚠ El destino debe ser tarjeta de crédito",IF(AND(P3714="Gasto",E3714="Depósitos y retiros"),"⚠ Usa tipo Transferencia",IF(AND(P3714="Resultado trading",AD3714&lt;&gt;"Cuenta de trading"),"⚠ Usa una cuenta de trading",IF(AND(G3714&lt;=0,P3714&lt;&gt;"Ajuste",P3714&lt;&gt;"Resultado trading"),"⚠ El monto debe ser positivo","✓")))))))))))))))</f>
        <v/>
      </c>
      <c r="P3714" s="52">
        <f>IF(OR(B3714="",G3714=""),"",IF(C3714="","Gasto",C3714))</f>
        <v/>
      </c>
      <c r="Q3714" s="52">
        <f>IF(P3714="","",IF(J3714&lt;&gt;"",J3714,CuentaPred&amp;""))</f>
        <v/>
      </c>
      <c r="R3714" s="52">
        <f>IF(P3714="","",IF(ISNUMBER(I3714),I3714,TasaUSD))</f>
        <v/>
      </c>
      <c r="S3714" s="53">
        <f>IF(P3714="","",IF(H3714="USD",G3714*R3714,G3714))</f>
        <v/>
      </c>
      <c r="T3714" s="53">
        <f>IF(P3714="","",IF(H3714="USD",G3714,IF(R3714&gt;0,G3714/R3714,0)))</f>
        <v/>
      </c>
      <c r="U3714" s="53">
        <f>IF(P3714="","",IF(P3714="Gasto",S3714,IF(P3714="Reembolso",-S3714,0)))</f>
        <v/>
      </c>
      <c r="V3714" s="53">
        <f>IF(P3714="","",IF(P3714="Ingreso",S3714,0))</f>
        <v/>
      </c>
      <c r="W3714" s="53">
        <f>IF(P3714="","",IF(P3714="Resultado trading",S3714,0))</f>
        <v/>
      </c>
      <c r="X3714" s="52">
        <f>IF(OR(P3714="Gasto",P3714="Reembolso"),IF(M3714&lt;&gt;"",M3714,IFERROR(INDEX(catClasif,MATCH(D3714&amp;"|"&amp;E3714,catClave,0))&amp;"","Variable")),"")</f>
        <v/>
      </c>
      <c r="Y3714" s="52">
        <f>IF(P3714="","",IFERROR(INDEX(catGrupo,MATCH(D3714&amp;"|"&amp;E3714,catClave,0))&amp;"",""))</f>
        <v/>
      </c>
      <c r="Z3714" s="52">
        <f>IF(P3714="","",WEEKDAY(B3714,2))</f>
        <v/>
      </c>
      <c r="AA3714" s="52">
        <f>IF(P3714="","",IF(AND(P3714="Gasto",X3714="Variable",D3714&lt;&gt;catTrading,S3714&gt;0,S3714&lt;=Umbral),1,0))</f>
        <v/>
      </c>
      <c r="AB3714" s="52">
        <f>IF(OR(P3714="",Q3714=""),"",IFERROR(IF(INDEX(ctaVinc,MATCH(Q3714,ctaNombre,0))&amp;""&lt;&gt;"",INDEX(ctaVinc,MATCH(Q3714,ctaNombre,0))&amp;"",Q3714),Q3714))</f>
        <v/>
      </c>
      <c r="AC3714" s="52">
        <f>IF(OR(K3714="",AND(P3714&lt;&gt;"Transferencia",P3714&lt;&gt;"Pago tarjeta")),"",IFERROR(IF(INDEX(ctaVinc,MATCH(K3714,ctaNombre,0))&amp;""&lt;&gt;"",INDEX(ctaVinc,MATCH(K3714,ctaNombre,0))&amp;"",K3714),K3714))</f>
        <v/>
      </c>
      <c r="AD3714" s="52">
        <f>IF(AB3714="","",IFERROR(INDEX(ctaTipo,MATCH(AB3714,ctaNombre,0))&amp;"",""))</f>
        <v/>
      </c>
      <c r="AE3714" s="52">
        <f>IF(AC3714="","",IFERROR(INDEX(ctaTipo,MATCH(AC3714,ctaNombre,0))&amp;"",""))</f>
        <v/>
      </c>
      <c r="AF3714" s="53">
        <f>IF(OR(P3714="",AB3714=""),"",IF(OR(P3714="Gasto",P3714="Transferencia",P3714="Pago tarjeta"),-1,1)*IF(IFERROR(INDEX(ctaMoneda,MATCH(AB3714,ctaNombre,0))&amp;"","DOP")="USD",T3714,S3714))</f>
        <v/>
      </c>
      <c r="AG3714" s="53">
        <f>IF(AC3714="","",IF(IFERROR(INDEX(ctaMoneda,MATCH(AC3714,ctaNombre,0))&amp;"","DOP")="USD",T3714,S3714))</f>
        <v/>
      </c>
      <c r="AH3714" s="53">
        <f>IF(P3714="","",IF(AND(AD3714&lt;&gt;"",COUNTIFS(tcTipo,AD3714,tcLiq,"Sí")&gt;0),IF(OR(P3714="Gasto",P3714="Transferencia",P3714="Pago tarjeta"),-1,1)*S3714,0)+IF(AND(AE3714&lt;&gt;"",COUNTIFS(tcTipo,AE3714,tcLiq,"Sí")&gt;0),S3714,0))</f>
        <v/>
      </c>
      <c r="AI3714" s="52">
        <f>IF(OR(L3714="",P3714=""),"",IF(COUNTIFS(L$6:L3714,L3714,P$6:P3714,"?*")=1,MAX(AI$5:AI3713)+1,""))</f>
        <v/>
      </c>
    </row>
    <row r="3715">
      <c r="B3715" s="47" t="n"/>
      <c r="C3715" s="48" t="n"/>
      <c r="D3715" s="48" t="n"/>
      <c r="E3715" s="48" t="n"/>
      <c r="F3715" s="48" t="n"/>
      <c r="G3715" s="49" t="n"/>
      <c r="H3715" s="48" t="n"/>
      <c r="I3715" s="50" t="n"/>
      <c r="J3715" s="48" t="n"/>
      <c r="K3715" s="48" t="n"/>
      <c r="L3715" s="48" t="n"/>
      <c r="M3715" s="48" t="n"/>
      <c r="N3715" s="48" t="n"/>
      <c r="O3715" s="51">
        <f>IF(AND(B3715="",G3715="",C3715="",D3715="",J3715=""),"",IF(B3715="","⚠ Falta fecha",IF(G3715="","⚠ Falta monto",IF(Q3715="","⚠ Falta cuenta",IF(ISNA(MATCH(Q3715,ctaNombre,0)),"⚠ Cuenta no registrada",IF(AND(OR(P3715="Gasto",P3715="Reembolso"),D3715=""),"⚠ Falta categoría",IF(AND(D3715&lt;&gt;"",E3715&lt;&gt;"",ISNA(MATCH(D3715&amp;"|"&amp;E3715,catClave,0))),"⚠ Subcategoría no corresponde",IF(AND(OR(P3715="Transferencia",P3715="Pago tarjeta"),K3715=""),"⚠ Falta cuenta destino",IF(AND(K3715&lt;&gt;"",P3715&lt;&gt;"Transferencia",P3715&lt;&gt;"Pago tarjeta"),"⚠ Destino solo aplica a transferencias",IF(AND(K3715&lt;&gt;"",K3715=Q3715),"⚠ Origen igual a destino",IF(AND(K3715&lt;&gt;"",ISNA(MATCH(K3715,ctaNombre,0))),"⚠ Destino no registrado",IF(AND(P3715="Pago tarjeta",AE3715&lt;&gt;"Tarjeta de crédito"),"⚠ El destino debe ser tarjeta de crédito",IF(AND(P3715="Gasto",E3715="Depósitos y retiros"),"⚠ Usa tipo Transferencia",IF(AND(P3715="Resultado trading",AD3715&lt;&gt;"Cuenta de trading"),"⚠ Usa una cuenta de trading",IF(AND(G3715&lt;=0,P3715&lt;&gt;"Ajuste",P3715&lt;&gt;"Resultado trading"),"⚠ El monto debe ser positivo","✓")))))))))))))))</f>
        <v/>
      </c>
      <c r="P3715" s="52">
        <f>IF(OR(B3715="",G3715=""),"",IF(C3715="","Gasto",C3715))</f>
        <v/>
      </c>
      <c r="Q3715" s="52">
        <f>IF(P3715="","",IF(J3715&lt;&gt;"",J3715,CuentaPred&amp;""))</f>
        <v/>
      </c>
      <c r="R3715" s="52">
        <f>IF(P3715="","",IF(ISNUMBER(I3715),I3715,TasaUSD))</f>
        <v/>
      </c>
      <c r="S3715" s="53">
        <f>IF(P3715="","",IF(H3715="USD",G3715*R3715,G3715))</f>
        <v/>
      </c>
      <c r="T3715" s="53">
        <f>IF(P3715="","",IF(H3715="USD",G3715,IF(R3715&gt;0,G3715/R3715,0)))</f>
        <v/>
      </c>
      <c r="U3715" s="53">
        <f>IF(P3715="","",IF(P3715="Gasto",S3715,IF(P3715="Reembolso",-S3715,0)))</f>
        <v/>
      </c>
      <c r="V3715" s="53">
        <f>IF(P3715="","",IF(P3715="Ingreso",S3715,0))</f>
        <v/>
      </c>
      <c r="W3715" s="53">
        <f>IF(P3715="","",IF(P3715="Resultado trading",S3715,0))</f>
        <v/>
      </c>
      <c r="X3715" s="52">
        <f>IF(OR(P3715="Gasto",P3715="Reembolso"),IF(M3715&lt;&gt;"",M3715,IFERROR(INDEX(catClasif,MATCH(D3715&amp;"|"&amp;E3715,catClave,0))&amp;"","Variable")),"")</f>
        <v/>
      </c>
      <c r="Y3715" s="52">
        <f>IF(P3715="","",IFERROR(INDEX(catGrupo,MATCH(D3715&amp;"|"&amp;E3715,catClave,0))&amp;"",""))</f>
        <v/>
      </c>
      <c r="Z3715" s="52">
        <f>IF(P3715="","",WEEKDAY(B3715,2))</f>
        <v/>
      </c>
      <c r="AA3715" s="52">
        <f>IF(P3715="","",IF(AND(P3715="Gasto",X3715="Variable",D3715&lt;&gt;catTrading,S3715&gt;0,S3715&lt;=Umbral),1,0))</f>
        <v/>
      </c>
      <c r="AB3715" s="52">
        <f>IF(OR(P3715="",Q3715=""),"",IFERROR(IF(INDEX(ctaVinc,MATCH(Q3715,ctaNombre,0))&amp;""&lt;&gt;"",INDEX(ctaVinc,MATCH(Q3715,ctaNombre,0))&amp;"",Q3715),Q3715))</f>
        <v/>
      </c>
      <c r="AC3715" s="52">
        <f>IF(OR(K3715="",AND(P3715&lt;&gt;"Transferencia",P3715&lt;&gt;"Pago tarjeta")),"",IFERROR(IF(INDEX(ctaVinc,MATCH(K3715,ctaNombre,0))&amp;""&lt;&gt;"",INDEX(ctaVinc,MATCH(K3715,ctaNombre,0))&amp;"",K3715),K3715))</f>
        <v/>
      </c>
      <c r="AD3715" s="52">
        <f>IF(AB3715="","",IFERROR(INDEX(ctaTipo,MATCH(AB3715,ctaNombre,0))&amp;"",""))</f>
        <v/>
      </c>
      <c r="AE3715" s="52">
        <f>IF(AC3715="","",IFERROR(INDEX(ctaTipo,MATCH(AC3715,ctaNombre,0))&amp;"",""))</f>
        <v/>
      </c>
      <c r="AF3715" s="53">
        <f>IF(OR(P3715="",AB3715=""),"",IF(OR(P3715="Gasto",P3715="Transferencia",P3715="Pago tarjeta"),-1,1)*IF(IFERROR(INDEX(ctaMoneda,MATCH(AB3715,ctaNombre,0))&amp;"","DOP")="USD",T3715,S3715))</f>
        <v/>
      </c>
      <c r="AG3715" s="53">
        <f>IF(AC3715="","",IF(IFERROR(INDEX(ctaMoneda,MATCH(AC3715,ctaNombre,0))&amp;"","DOP")="USD",T3715,S3715))</f>
        <v/>
      </c>
      <c r="AH3715" s="53">
        <f>IF(P3715="","",IF(AND(AD3715&lt;&gt;"",COUNTIFS(tcTipo,AD3715,tcLiq,"Sí")&gt;0),IF(OR(P3715="Gasto",P3715="Transferencia",P3715="Pago tarjeta"),-1,1)*S3715,0)+IF(AND(AE3715&lt;&gt;"",COUNTIFS(tcTipo,AE3715,tcLiq,"Sí")&gt;0),S3715,0))</f>
        <v/>
      </c>
      <c r="AI3715" s="52">
        <f>IF(OR(L3715="",P3715=""),"",IF(COUNTIFS(L$6:L3715,L3715,P$6:P3715,"?*")=1,MAX(AI$5:AI3714)+1,""))</f>
        <v/>
      </c>
    </row>
    <row r="3716">
      <c r="B3716" s="47" t="n"/>
      <c r="C3716" s="48" t="n"/>
      <c r="D3716" s="48" t="n"/>
      <c r="E3716" s="48" t="n"/>
      <c r="F3716" s="48" t="n"/>
      <c r="G3716" s="49" t="n"/>
      <c r="H3716" s="48" t="n"/>
      <c r="I3716" s="50" t="n"/>
      <c r="J3716" s="48" t="n"/>
      <c r="K3716" s="48" t="n"/>
      <c r="L3716" s="48" t="n"/>
      <c r="M3716" s="48" t="n"/>
      <c r="N3716" s="48" t="n"/>
      <c r="O3716" s="51">
        <f>IF(AND(B3716="",G3716="",C3716="",D3716="",J3716=""),"",IF(B3716="","⚠ Falta fecha",IF(G3716="","⚠ Falta monto",IF(Q3716="","⚠ Falta cuenta",IF(ISNA(MATCH(Q3716,ctaNombre,0)),"⚠ Cuenta no registrada",IF(AND(OR(P3716="Gasto",P3716="Reembolso"),D3716=""),"⚠ Falta categoría",IF(AND(D3716&lt;&gt;"",E3716&lt;&gt;"",ISNA(MATCH(D3716&amp;"|"&amp;E3716,catClave,0))),"⚠ Subcategoría no corresponde",IF(AND(OR(P3716="Transferencia",P3716="Pago tarjeta"),K3716=""),"⚠ Falta cuenta destino",IF(AND(K3716&lt;&gt;"",P3716&lt;&gt;"Transferencia",P3716&lt;&gt;"Pago tarjeta"),"⚠ Destino solo aplica a transferencias",IF(AND(K3716&lt;&gt;"",K3716=Q3716),"⚠ Origen igual a destino",IF(AND(K3716&lt;&gt;"",ISNA(MATCH(K3716,ctaNombre,0))),"⚠ Destino no registrado",IF(AND(P3716="Pago tarjeta",AE3716&lt;&gt;"Tarjeta de crédito"),"⚠ El destino debe ser tarjeta de crédito",IF(AND(P3716="Gasto",E3716="Depósitos y retiros"),"⚠ Usa tipo Transferencia",IF(AND(P3716="Resultado trading",AD3716&lt;&gt;"Cuenta de trading"),"⚠ Usa una cuenta de trading",IF(AND(G3716&lt;=0,P3716&lt;&gt;"Ajuste",P3716&lt;&gt;"Resultado trading"),"⚠ El monto debe ser positivo","✓")))))))))))))))</f>
        <v/>
      </c>
      <c r="P3716" s="52">
        <f>IF(OR(B3716="",G3716=""),"",IF(C3716="","Gasto",C3716))</f>
        <v/>
      </c>
      <c r="Q3716" s="52">
        <f>IF(P3716="","",IF(J3716&lt;&gt;"",J3716,CuentaPred&amp;""))</f>
        <v/>
      </c>
      <c r="R3716" s="52">
        <f>IF(P3716="","",IF(ISNUMBER(I3716),I3716,TasaUSD))</f>
        <v/>
      </c>
      <c r="S3716" s="53">
        <f>IF(P3716="","",IF(H3716="USD",G3716*R3716,G3716))</f>
        <v/>
      </c>
      <c r="T3716" s="53">
        <f>IF(P3716="","",IF(H3716="USD",G3716,IF(R3716&gt;0,G3716/R3716,0)))</f>
        <v/>
      </c>
      <c r="U3716" s="53">
        <f>IF(P3716="","",IF(P3716="Gasto",S3716,IF(P3716="Reembolso",-S3716,0)))</f>
        <v/>
      </c>
      <c r="V3716" s="53">
        <f>IF(P3716="","",IF(P3716="Ingreso",S3716,0))</f>
        <v/>
      </c>
      <c r="W3716" s="53">
        <f>IF(P3716="","",IF(P3716="Resultado trading",S3716,0))</f>
        <v/>
      </c>
      <c r="X3716" s="52">
        <f>IF(OR(P3716="Gasto",P3716="Reembolso"),IF(M3716&lt;&gt;"",M3716,IFERROR(INDEX(catClasif,MATCH(D3716&amp;"|"&amp;E3716,catClave,0))&amp;"","Variable")),"")</f>
        <v/>
      </c>
      <c r="Y3716" s="52">
        <f>IF(P3716="","",IFERROR(INDEX(catGrupo,MATCH(D3716&amp;"|"&amp;E3716,catClave,0))&amp;"",""))</f>
        <v/>
      </c>
      <c r="Z3716" s="52">
        <f>IF(P3716="","",WEEKDAY(B3716,2))</f>
        <v/>
      </c>
      <c r="AA3716" s="52">
        <f>IF(P3716="","",IF(AND(P3716="Gasto",X3716="Variable",D3716&lt;&gt;catTrading,S3716&gt;0,S3716&lt;=Umbral),1,0))</f>
        <v/>
      </c>
      <c r="AB3716" s="52">
        <f>IF(OR(P3716="",Q3716=""),"",IFERROR(IF(INDEX(ctaVinc,MATCH(Q3716,ctaNombre,0))&amp;""&lt;&gt;"",INDEX(ctaVinc,MATCH(Q3716,ctaNombre,0))&amp;"",Q3716),Q3716))</f>
        <v/>
      </c>
      <c r="AC3716" s="52">
        <f>IF(OR(K3716="",AND(P3716&lt;&gt;"Transferencia",P3716&lt;&gt;"Pago tarjeta")),"",IFERROR(IF(INDEX(ctaVinc,MATCH(K3716,ctaNombre,0))&amp;""&lt;&gt;"",INDEX(ctaVinc,MATCH(K3716,ctaNombre,0))&amp;"",K3716),K3716))</f>
        <v/>
      </c>
      <c r="AD3716" s="52">
        <f>IF(AB3716="","",IFERROR(INDEX(ctaTipo,MATCH(AB3716,ctaNombre,0))&amp;"",""))</f>
        <v/>
      </c>
      <c r="AE3716" s="52">
        <f>IF(AC3716="","",IFERROR(INDEX(ctaTipo,MATCH(AC3716,ctaNombre,0))&amp;"",""))</f>
        <v/>
      </c>
      <c r="AF3716" s="53">
        <f>IF(OR(P3716="",AB3716=""),"",IF(OR(P3716="Gasto",P3716="Transferencia",P3716="Pago tarjeta"),-1,1)*IF(IFERROR(INDEX(ctaMoneda,MATCH(AB3716,ctaNombre,0))&amp;"","DOP")="USD",T3716,S3716))</f>
        <v/>
      </c>
      <c r="AG3716" s="53">
        <f>IF(AC3716="","",IF(IFERROR(INDEX(ctaMoneda,MATCH(AC3716,ctaNombre,0))&amp;"","DOP")="USD",T3716,S3716))</f>
        <v/>
      </c>
      <c r="AH3716" s="53">
        <f>IF(P3716="","",IF(AND(AD3716&lt;&gt;"",COUNTIFS(tcTipo,AD3716,tcLiq,"Sí")&gt;0),IF(OR(P3716="Gasto",P3716="Transferencia",P3716="Pago tarjeta"),-1,1)*S3716,0)+IF(AND(AE3716&lt;&gt;"",COUNTIFS(tcTipo,AE3716,tcLiq,"Sí")&gt;0),S3716,0))</f>
        <v/>
      </c>
      <c r="AI3716" s="52">
        <f>IF(OR(L3716="",P3716=""),"",IF(COUNTIFS(L$6:L3716,L3716,P$6:P3716,"?*")=1,MAX(AI$5:AI3715)+1,""))</f>
        <v/>
      </c>
    </row>
    <row r="3717">
      <c r="B3717" s="47" t="n"/>
      <c r="C3717" s="48" t="n"/>
      <c r="D3717" s="48" t="n"/>
      <c r="E3717" s="48" t="n"/>
      <c r="F3717" s="48" t="n"/>
      <c r="G3717" s="49" t="n"/>
      <c r="H3717" s="48" t="n"/>
      <c r="I3717" s="50" t="n"/>
      <c r="J3717" s="48" t="n"/>
      <c r="K3717" s="48" t="n"/>
      <c r="L3717" s="48" t="n"/>
      <c r="M3717" s="48" t="n"/>
      <c r="N3717" s="48" t="n"/>
      <c r="O3717" s="51">
        <f>IF(AND(B3717="",G3717="",C3717="",D3717="",J3717=""),"",IF(B3717="","⚠ Falta fecha",IF(G3717="","⚠ Falta monto",IF(Q3717="","⚠ Falta cuenta",IF(ISNA(MATCH(Q3717,ctaNombre,0)),"⚠ Cuenta no registrada",IF(AND(OR(P3717="Gasto",P3717="Reembolso"),D3717=""),"⚠ Falta categoría",IF(AND(D3717&lt;&gt;"",E3717&lt;&gt;"",ISNA(MATCH(D3717&amp;"|"&amp;E3717,catClave,0))),"⚠ Subcategoría no corresponde",IF(AND(OR(P3717="Transferencia",P3717="Pago tarjeta"),K3717=""),"⚠ Falta cuenta destino",IF(AND(K3717&lt;&gt;"",P3717&lt;&gt;"Transferencia",P3717&lt;&gt;"Pago tarjeta"),"⚠ Destino solo aplica a transferencias",IF(AND(K3717&lt;&gt;"",K3717=Q3717),"⚠ Origen igual a destino",IF(AND(K3717&lt;&gt;"",ISNA(MATCH(K3717,ctaNombre,0))),"⚠ Destino no registrado",IF(AND(P3717="Pago tarjeta",AE3717&lt;&gt;"Tarjeta de crédito"),"⚠ El destino debe ser tarjeta de crédito",IF(AND(P3717="Gasto",E3717="Depósitos y retiros"),"⚠ Usa tipo Transferencia",IF(AND(P3717="Resultado trading",AD3717&lt;&gt;"Cuenta de trading"),"⚠ Usa una cuenta de trading",IF(AND(G3717&lt;=0,P3717&lt;&gt;"Ajuste",P3717&lt;&gt;"Resultado trading"),"⚠ El monto debe ser positivo","✓")))))))))))))))</f>
        <v/>
      </c>
      <c r="P3717" s="52">
        <f>IF(OR(B3717="",G3717=""),"",IF(C3717="","Gasto",C3717))</f>
        <v/>
      </c>
      <c r="Q3717" s="52">
        <f>IF(P3717="","",IF(J3717&lt;&gt;"",J3717,CuentaPred&amp;""))</f>
        <v/>
      </c>
      <c r="R3717" s="52">
        <f>IF(P3717="","",IF(ISNUMBER(I3717),I3717,TasaUSD))</f>
        <v/>
      </c>
      <c r="S3717" s="53">
        <f>IF(P3717="","",IF(H3717="USD",G3717*R3717,G3717))</f>
        <v/>
      </c>
      <c r="T3717" s="53">
        <f>IF(P3717="","",IF(H3717="USD",G3717,IF(R3717&gt;0,G3717/R3717,0)))</f>
        <v/>
      </c>
      <c r="U3717" s="53">
        <f>IF(P3717="","",IF(P3717="Gasto",S3717,IF(P3717="Reembolso",-S3717,0)))</f>
        <v/>
      </c>
      <c r="V3717" s="53">
        <f>IF(P3717="","",IF(P3717="Ingreso",S3717,0))</f>
        <v/>
      </c>
      <c r="W3717" s="53">
        <f>IF(P3717="","",IF(P3717="Resultado trading",S3717,0))</f>
        <v/>
      </c>
      <c r="X3717" s="52">
        <f>IF(OR(P3717="Gasto",P3717="Reembolso"),IF(M3717&lt;&gt;"",M3717,IFERROR(INDEX(catClasif,MATCH(D3717&amp;"|"&amp;E3717,catClave,0))&amp;"","Variable")),"")</f>
        <v/>
      </c>
      <c r="Y3717" s="52">
        <f>IF(P3717="","",IFERROR(INDEX(catGrupo,MATCH(D3717&amp;"|"&amp;E3717,catClave,0))&amp;"",""))</f>
        <v/>
      </c>
      <c r="Z3717" s="52">
        <f>IF(P3717="","",WEEKDAY(B3717,2))</f>
        <v/>
      </c>
      <c r="AA3717" s="52">
        <f>IF(P3717="","",IF(AND(P3717="Gasto",X3717="Variable",D3717&lt;&gt;catTrading,S3717&gt;0,S3717&lt;=Umbral),1,0))</f>
        <v/>
      </c>
      <c r="AB3717" s="52">
        <f>IF(OR(P3717="",Q3717=""),"",IFERROR(IF(INDEX(ctaVinc,MATCH(Q3717,ctaNombre,0))&amp;""&lt;&gt;"",INDEX(ctaVinc,MATCH(Q3717,ctaNombre,0))&amp;"",Q3717),Q3717))</f>
        <v/>
      </c>
      <c r="AC3717" s="52">
        <f>IF(OR(K3717="",AND(P3717&lt;&gt;"Transferencia",P3717&lt;&gt;"Pago tarjeta")),"",IFERROR(IF(INDEX(ctaVinc,MATCH(K3717,ctaNombre,0))&amp;""&lt;&gt;"",INDEX(ctaVinc,MATCH(K3717,ctaNombre,0))&amp;"",K3717),K3717))</f>
        <v/>
      </c>
      <c r="AD3717" s="52">
        <f>IF(AB3717="","",IFERROR(INDEX(ctaTipo,MATCH(AB3717,ctaNombre,0))&amp;"",""))</f>
        <v/>
      </c>
      <c r="AE3717" s="52">
        <f>IF(AC3717="","",IFERROR(INDEX(ctaTipo,MATCH(AC3717,ctaNombre,0))&amp;"",""))</f>
        <v/>
      </c>
      <c r="AF3717" s="53">
        <f>IF(OR(P3717="",AB3717=""),"",IF(OR(P3717="Gasto",P3717="Transferencia",P3717="Pago tarjeta"),-1,1)*IF(IFERROR(INDEX(ctaMoneda,MATCH(AB3717,ctaNombre,0))&amp;"","DOP")="USD",T3717,S3717))</f>
        <v/>
      </c>
      <c r="AG3717" s="53">
        <f>IF(AC3717="","",IF(IFERROR(INDEX(ctaMoneda,MATCH(AC3717,ctaNombre,0))&amp;"","DOP")="USD",T3717,S3717))</f>
        <v/>
      </c>
      <c r="AH3717" s="53">
        <f>IF(P3717="","",IF(AND(AD3717&lt;&gt;"",COUNTIFS(tcTipo,AD3717,tcLiq,"Sí")&gt;0),IF(OR(P3717="Gasto",P3717="Transferencia",P3717="Pago tarjeta"),-1,1)*S3717,0)+IF(AND(AE3717&lt;&gt;"",COUNTIFS(tcTipo,AE3717,tcLiq,"Sí")&gt;0),S3717,0))</f>
        <v/>
      </c>
      <c r="AI3717" s="52">
        <f>IF(OR(L3717="",P3717=""),"",IF(COUNTIFS(L$6:L3717,L3717,P$6:P3717,"?*")=1,MAX(AI$5:AI3716)+1,""))</f>
        <v/>
      </c>
    </row>
    <row r="3718">
      <c r="B3718" s="47" t="n"/>
      <c r="C3718" s="48" t="n"/>
      <c r="D3718" s="48" t="n"/>
      <c r="E3718" s="48" t="n"/>
      <c r="F3718" s="48" t="n"/>
      <c r="G3718" s="49" t="n"/>
      <c r="H3718" s="48" t="n"/>
      <c r="I3718" s="50" t="n"/>
      <c r="J3718" s="48" t="n"/>
      <c r="K3718" s="48" t="n"/>
      <c r="L3718" s="48" t="n"/>
      <c r="M3718" s="48" t="n"/>
      <c r="N3718" s="48" t="n"/>
      <c r="O3718" s="51">
        <f>IF(AND(B3718="",G3718="",C3718="",D3718="",J3718=""),"",IF(B3718="","⚠ Falta fecha",IF(G3718="","⚠ Falta monto",IF(Q3718="","⚠ Falta cuenta",IF(ISNA(MATCH(Q3718,ctaNombre,0)),"⚠ Cuenta no registrada",IF(AND(OR(P3718="Gasto",P3718="Reembolso"),D3718=""),"⚠ Falta categoría",IF(AND(D3718&lt;&gt;"",E3718&lt;&gt;"",ISNA(MATCH(D3718&amp;"|"&amp;E3718,catClave,0))),"⚠ Subcategoría no corresponde",IF(AND(OR(P3718="Transferencia",P3718="Pago tarjeta"),K3718=""),"⚠ Falta cuenta destino",IF(AND(K3718&lt;&gt;"",P3718&lt;&gt;"Transferencia",P3718&lt;&gt;"Pago tarjeta"),"⚠ Destino solo aplica a transferencias",IF(AND(K3718&lt;&gt;"",K3718=Q3718),"⚠ Origen igual a destino",IF(AND(K3718&lt;&gt;"",ISNA(MATCH(K3718,ctaNombre,0))),"⚠ Destino no registrado",IF(AND(P3718="Pago tarjeta",AE3718&lt;&gt;"Tarjeta de crédito"),"⚠ El destino debe ser tarjeta de crédito",IF(AND(P3718="Gasto",E3718="Depósitos y retiros"),"⚠ Usa tipo Transferencia",IF(AND(P3718="Resultado trading",AD3718&lt;&gt;"Cuenta de trading"),"⚠ Usa una cuenta de trading",IF(AND(G3718&lt;=0,P3718&lt;&gt;"Ajuste",P3718&lt;&gt;"Resultado trading"),"⚠ El monto debe ser positivo","✓")))))))))))))))</f>
        <v/>
      </c>
      <c r="P3718" s="52">
        <f>IF(OR(B3718="",G3718=""),"",IF(C3718="","Gasto",C3718))</f>
        <v/>
      </c>
      <c r="Q3718" s="52">
        <f>IF(P3718="","",IF(J3718&lt;&gt;"",J3718,CuentaPred&amp;""))</f>
        <v/>
      </c>
      <c r="R3718" s="52">
        <f>IF(P3718="","",IF(ISNUMBER(I3718),I3718,TasaUSD))</f>
        <v/>
      </c>
      <c r="S3718" s="53">
        <f>IF(P3718="","",IF(H3718="USD",G3718*R3718,G3718))</f>
        <v/>
      </c>
      <c r="T3718" s="53">
        <f>IF(P3718="","",IF(H3718="USD",G3718,IF(R3718&gt;0,G3718/R3718,0)))</f>
        <v/>
      </c>
      <c r="U3718" s="53">
        <f>IF(P3718="","",IF(P3718="Gasto",S3718,IF(P3718="Reembolso",-S3718,0)))</f>
        <v/>
      </c>
      <c r="V3718" s="53">
        <f>IF(P3718="","",IF(P3718="Ingreso",S3718,0))</f>
        <v/>
      </c>
      <c r="W3718" s="53">
        <f>IF(P3718="","",IF(P3718="Resultado trading",S3718,0))</f>
        <v/>
      </c>
      <c r="X3718" s="52">
        <f>IF(OR(P3718="Gasto",P3718="Reembolso"),IF(M3718&lt;&gt;"",M3718,IFERROR(INDEX(catClasif,MATCH(D3718&amp;"|"&amp;E3718,catClave,0))&amp;"","Variable")),"")</f>
        <v/>
      </c>
      <c r="Y3718" s="52">
        <f>IF(P3718="","",IFERROR(INDEX(catGrupo,MATCH(D3718&amp;"|"&amp;E3718,catClave,0))&amp;"",""))</f>
        <v/>
      </c>
      <c r="Z3718" s="52">
        <f>IF(P3718="","",WEEKDAY(B3718,2))</f>
        <v/>
      </c>
      <c r="AA3718" s="52">
        <f>IF(P3718="","",IF(AND(P3718="Gasto",X3718="Variable",D3718&lt;&gt;catTrading,S3718&gt;0,S3718&lt;=Umbral),1,0))</f>
        <v/>
      </c>
      <c r="AB3718" s="52">
        <f>IF(OR(P3718="",Q3718=""),"",IFERROR(IF(INDEX(ctaVinc,MATCH(Q3718,ctaNombre,0))&amp;""&lt;&gt;"",INDEX(ctaVinc,MATCH(Q3718,ctaNombre,0))&amp;"",Q3718),Q3718))</f>
        <v/>
      </c>
      <c r="AC3718" s="52">
        <f>IF(OR(K3718="",AND(P3718&lt;&gt;"Transferencia",P3718&lt;&gt;"Pago tarjeta")),"",IFERROR(IF(INDEX(ctaVinc,MATCH(K3718,ctaNombre,0))&amp;""&lt;&gt;"",INDEX(ctaVinc,MATCH(K3718,ctaNombre,0))&amp;"",K3718),K3718))</f>
        <v/>
      </c>
      <c r="AD3718" s="52">
        <f>IF(AB3718="","",IFERROR(INDEX(ctaTipo,MATCH(AB3718,ctaNombre,0))&amp;"",""))</f>
        <v/>
      </c>
      <c r="AE3718" s="52">
        <f>IF(AC3718="","",IFERROR(INDEX(ctaTipo,MATCH(AC3718,ctaNombre,0))&amp;"",""))</f>
        <v/>
      </c>
      <c r="AF3718" s="53">
        <f>IF(OR(P3718="",AB3718=""),"",IF(OR(P3718="Gasto",P3718="Transferencia",P3718="Pago tarjeta"),-1,1)*IF(IFERROR(INDEX(ctaMoneda,MATCH(AB3718,ctaNombre,0))&amp;"","DOP")="USD",T3718,S3718))</f>
        <v/>
      </c>
      <c r="AG3718" s="53">
        <f>IF(AC3718="","",IF(IFERROR(INDEX(ctaMoneda,MATCH(AC3718,ctaNombre,0))&amp;"","DOP")="USD",T3718,S3718))</f>
        <v/>
      </c>
      <c r="AH3718" s="53">
        <f>IF(P3718="","",IF(AND(AD3718&lt;&gt;"",COUNTIFS(tcTipo,AD3718,tcLiq,"Sí")&gt;0),IF(OR(P3718="Gasto",P3718="Transferencia",P3718="Pago tarjeta"),-1,1)*S3718,0)+IF(AND(AE3718&lt;&gt;"",COUNTIFS(tcTipo,AE3718,tcLiq,"Sí")&gt;0),S3718,0))</f>
        <v/>
      </c>
      <c r="AI3718" s="52">
        <f>IF(OR(L3718="",P3718=""),"",IF(COUNTIFS(L$6:L3718,L3718,P$6:P3718,"?*")=1,MAX(AI$5:AI3717)+1,""))</f>
        <v/>
      </c>
    </row>
    <row r="3719">
      <c r="B3719" s="47" t="n"/>
      <c r="C3719" s="48" t="n"/>
      <c r="D3719" s="48" t="n"/>
      <c r="E3719" s="48" t="n"/>
      <c r="F3719" s="48" t="n"/>
      <c r="G3719" s="49" t="n"/>
      <c r="H3719" s="48" t="n"/>
      <c r="I3719" s="50" t="n"/>
      <c r="J3719" s="48" t="n"/>
      <c r="K3719" s="48" t="n"/>
      <c r="L3719" s="48" t="n"/>
      <c r="M3719" s="48" t="n"/>
      <c r="N3719" s="48" t="n"/>
      <c r="O3719" s="51">
        <f>IF(AND(B3719="",G3719="",C3719="",D3719="",J3719=""),"",IF(B3719="","⚠ Falta fecha",IF(G3719="","⚠ Falta monto",IF(Q3719="","⚠ Falta cuenta",IF(ISNA(MATCH(Q3719,ctaNombre,0)),"⚠ Cuenta no registrada",IF(AND(OR(P3719="Gasto",P3719="Reembolso"),D3719=""),"⚠ Falta categoría",IF(AND(D3719&lt;&gt;"",E3719&lt;&gt;"",ISNA(MATCH(D3719&amp;"|"&amp;E3719,catClave,0))),"⚠ Subcategoría no corresponde",IF(AND(OR(P3719="Transferencia",P3719="Pago tarjeta"),K3719=""),"⚠ Falta cuenta destino",IF(AND(K3719&lt;&gt;"",P3719&lt;&gt;"Transferencia",P3719&lt;&gt;"Pago tarjeta"),"⚠ Destino solo aplica a transferencias",IF(AND(K3719&lt;&gt;"",K3719=Q3719),"⚠ Origen igual a destino",IF(AND(K3719&lt;&gt;"",ISNA(MATCH(K3719,ctaNombre,0))),"⚠ Destino no registrado",IF(AND(P3719="Pago tarjeta",AE3719&lt;&gt;"Tarjeta de crédito"),"⚠ El destino debe ser tarjeta de crédito",IF(AND(P3719="Gasto",E3719="Depósitos y retiros"),"⚠ Usa tipo Transferencia",IF(AND(P3719="Resultado trading",AD3719&lt;&gt;"Cuenta de trading"),"⚠ Usa una cuenta de trading",IF(AND(G3719&lt;=0,P3719&lt;&gt;"Ajuste",P3719&lt;&gt;"Resultado trading"),"⚠ El monto debe ser positivo","✓")))))))))))))))</f>
        <v/>
      </c>
      <c r="P3719" s="52">
        <f>IF(OR(B3719="",G3719=""),"",IF(C3719="","Gasto",C3719))</f>
        <v/>
      </c>
      <c r="Q3719" s="52">
        <f>IF(P3719="","",IF(J3719&lt;&gt;"",J3719,CuentaPred&amp;""))</f>
        <v/>
      </c>
      <c r="R3719" s="52">
        <f>IF(P3719="","",IF(ISNUMBER(I3719),I3719,TasaUSD))</f>
        <v/>
      </c>
      <c r="S3719" s="53">
        <f>IF(P3719="","",IF(H3719="USD",G3719*R3719,G3719))</f>
        <v/>
      </c>
      <c r="T3719" s="53">
        <f>IF(P3719="","",IF(H3719="USD",G3719,IF(R3719&gt;0,G3719/R3719,0)))</f>
        <v/>
      </c>
      <c r="U3719" s="53">
        <f>IF(P3719="","",IF(P3719="Gasto",S3719,IF(P3719="Reembolso",-S3719,0)))</f>
        <v/>
      </c>
      <c r="V3719" s="53">
        <f>IF(P3719="","",IF(P3719="Ingreso",S3719,0))</f>
        <v/>
      </c>
      <c r="W3719" s="53">
        <f>IF(P3719="","",IF(P3719="Resultado trading",S3719,0))</f>
        <v/>
      </c>
      <c r="X3719" s="52">
        <f>IF(OR(P3719="Gasto",P3719="Reembolso"),IF(M3719&lt;&gt;"",M3719,IFERROR(INDEX(catClasif,MATCH(D3719&amp;"|"&amp;E3719,catClave,0))&amp;"","Variable")),"")</f>
        <v/>
      </c>
      <c r="Y3719" s="52">
        <f>IF(P3719="","",IFERROR(INDEX(catGrupo,MATCH(D3719&amp;"|"&amp;E3719,catClave,0))&amp;"",""))</f>
        <v/>
      </c>
      <c r="Z3719" s="52">
        <f>IF(P3719="","",WEEKDAY(B3719,2))</f>
        <v/>
      </c>
      <c r="AA3719" s="52">
        <f>IF(P3719="","",IF(AND(P3719="Gasto",X3719="Variable",D3719&lt;&gt;catTrading,S3719&gt;0,S3719&lt;=Umbral),1,0))</f>
        <v/>
      </c>
      <c r="AB3719" s="52">
        <f>IF(OR(P3719="",Q3719=""),"",IFERROR(IF(INDEX(ctaVinc,MATCH(Q3719,ctaNombre,0))&amp;""&lt;&gt;"",INDEX(ctaVinc,MATCH(Q3719,ctaNombre,0))&amp;"",Q3719),Q3719))</f>
        <v/>
      </c>
      <c r="AC3719" s="52">
        <f>IF(OR(K3719="",AND(P3719&lt;&gt;"Transferencia",P3719&lt;&gt;"Pago tarjeta")),"",IFERROR(IF(INDEX(ctaVinc,MATCH(K3719,ctaNombre,0))&amp;""&lt;&gt;"",INDEX(ctaVinc,MATCH(K3719,ctaNombre,0))&amp;"",K3719),K3719))</f>
        <v/>
      </c>
      <c r="AD3719" s="52">
        <f>IF(AB3719="","",IFERROR(INDEX(ctaTipo,MATCH(AB3719,ctaNombre,0))&amp;"",""))</f>
        <v/>
      </c>
      <c r="AE3719" s="52">
        <f>IF(AC3719="","",IFERROR(INDEX(ctaTipo,MATCH(AC3719,ctaNombre,0))&amp;"",""))</f>
        <v/>
      </c>
      <c r="AF3719" s="53">
        <f>IF(OR(P3719="",AB3719=""),"",IF(OR(P3719="Gasto",P3719="Transferencia",P3719="Pago tarjeta"),-1,1)*IF(IFERROR(INDEX(ctaMoneda,MATCH(AB3719,ctaNombre,0))&amp;"","DOP")="USD",T3719,S3719))</f>
        <v/>
      </c>
      <c r="AG3719" s="53">
        <f>IF(AC3719="","",IF(IFERROR(INDEX(ctaMoneda,MATCH(AC3719,ctaNombre,0))&amp;"","DOP")="USD",T3719,S3719))</f>
        <v/>
      </c>
      <c r="AH3719" s="53">
        <f>IF(P3719="","",IF(AND(AD3719&lt;&gt;"",COUNTIFS(tcTipo,AD3719,tcLiq,"Sí")&gt;0),IF(OR(P3719="Gasto",P3719="Transferencia",P3719="Pago tarjeta"),-1,1)*S3719,0)+IF(AND(AE3719&lt;&gt;"",COUNTIFS(tcTipo,AE3719,tcLiq,"Sí")&gt;0),S3719,0))</f>
        <v/>
      </c>
      <c r="AI3719" s="52">
        <f>IF(OR(L3719="",P3719=""),"",IF(COUNTIFS(L$6:L3719,L3719,P$6:P3719,"?*")=1,MAX(AI$5:AI3718)+1,""))</f>
        <v/>
      </c>
    </row>
    <row r="3720">
      <c r="B3720" s="47" t="n"/>
      <c r="C3720" s="48" t="n"/>
      <c r="D3720" s="48" t="n"/>
      <c r="E3720" s="48" t="n"/>
      <c r="F3720" s="48" t="n"/>
      <c r="G3720" s="49" t="n"/>
      <c r="H3720" s="48" t="n"/>
      <c r="I3720" s="50" t="n"/>
      <c r="J3720" s="48" t="n"/>
      <c r="K3720" s="48" t="n"/>
      <c r="L3720" s="48" t="n"/>
      <c r="M3720" s="48" t="n"/>
      <c r="N3720" s="48" t="n"/>
      <c r="O3720" s="51">
        <f>IF(AND(B3720="",G3720="",C3720="",D3720="",J3720=""),"",IF(B3720="","⚠ Falta fecha",IF(G3720="","⚠ Falta monto",IF(Q3720="","⚠ Falta cuenta",IF(ISNA(MATCH(Q3720,ctaNombre,0)),"⚠ Cuenta no registrada",IF(AND(OR(P3720="Gasto",P3720="Reembolso"),D3720=""),"⚠ Falta categoría",IF(AND(D3720&lt;&gt;"",E3720&lt;&gt;"",ISNA(MATCH(D3720&amp;"|"&amp;E3720,catClave,0))),"⚠ Subcategoría no corresponde",IF(AND(OR(P3720="Transferencia",P3720="Pago tarjeta"),K3720=""),"⚠ Falta cuenta destino",IF(AND(K3720&lt;&gt;"",P3720&lt;&gt;"Transferencia",P3720&lt;&gt;"Pago tarjeta"),"⚠ Destino solo aplica a transferencias",IF(AND(K3720&lt;&gt;"",K3720=Q3720),"⚠ Origen igual a destino",IF(AND(K3720&lt;&gt;"",ISNA(MATCH(K3720,ctaNombre,0))),"⚠ Destino no registrado",IF(AND(P3720="Pago tarjeta",AE3720&lt;&gt;"Tarjeta de crédito"),"⚠ El destino debe ser tarjeta de crédito",IF(AND(P3720="Gasto",E3720="Depósitos y retiros"),"⚠ Usa tipo Transferencia",IF(AND(P3720="Resultado trading",AD3720&lt;&gt;"Cuenta de trading"),"⚠ Usa una cuenta de trading",IF(AND(G3720&lt;=0,P3720&lt;&gt;"Ajuste",P3720&lt;&gt;"Resultado trading"),"⚠ El monto debe ser positivo","✓")))))))))))))))</f>
        <v/>
      </c>
      <c r="P3720" s="52">
        <f>IF(OR(B3720="",G3720=""),"",IF(C3720="","Gasto",C3720))</f>
        <v/>
      </c>
      <c r="Q3720" s="52">
        <f>IF(P3720="","",IF(J3720&lt;&gt;"",J3720,CuentaPred&amp;""))</f>
        <v/>
      </c>
      <c r="R3720" s="52">
        <f>IF(P3720="","",IF(ISNUMBER(I3720),I3720,TasaUSD))</f>
        <v/>
      </c>
      <c r="S3720" s="53">
        <f>IF(P3720="","",IF(H3720="USD",G3720*R3720,G3720))</f>
        <v/>
      </c>
      <c r="T3720" s="53">
        <f>IF(P3720="","",IF(H3720="USD",G3720,IF(R3720&gt;0,G3720/R3720,0)))</f>
        <v/>
      </c>
      <c r="U3720" s="53">
        <f>IF(P3720="","",IF(P3720="Gasto",S3720,IF(P3720="Reembolso",-S3720,0)))</f>
        <v/>
      </c>
      <c r="V3720" s="53">
        <f>IF(P3720="","",IF(P3720="Ingreso",S3720,0))</f>
        <v/>
      </c>
      <c r="W3720" s="53">
        <f>IF(P3720="","",IF(P3720="Resultado trading",S3720,0))</f>
        <v/>
      </c>
      <c r="X3720" s="52">
        <f>IF(OR(P3720="Gasto",P3720="Reembolso"),IF(M3720&lt;&gt;"",M3720,IFERROR(INDEX(catClasif,MATCH(D3720&amp;"|"&amp;E3720,catClave,0))&amp;"","Variable")),"")</f>
        <v/>
      </c>
      <c r="Y3720" s="52">
        <f>IF(P3720="","",IFERROR(INDEX(catGrupo,MATCH(D3720&amp;"|"&amp;E3720,catClave,0))&amp;"",""))</f>
        <v/>
      </c>
      <c r="Z3720" s="52">
        <f>IF(P3720="","",WEEKDAY(B3720,2))</f>
        <v/>
      </c>
      <c r="AA3720" s="52">
        <f>IF(P3720="","",IF(AND(P3720="Gasto",X3720="Variable",D3720&lt;&gt;catTrading,S3720&gt;0,S3720&lt;=Umbral),1,0))</f>
        <v/>
      </c>
      <c r="AB3720" s="52">
        <f>IF(OR(P3720="",Q3720=""),"",IFERROR(IF(INDEX(ctaVinc,MATCH(Q3720,ctaNombre,0))&amp;""&lt;&gt;"",INDEX(ctaVinc,MATCH(Q3720,ctaNombre,0))&amp;"",Q3720),Q3720))</f>
        <v/>
      </c>
      <c r="AC3720" s="52">
        <f>IF(OR(K3720="",AND(P3720&lt;&gt;"Transferencia",P3720&lt;&gt;"Pago tarjeta")),"",IFERROR(IF(INDEX(ctaVinc,MATCH(K3720,ctaNombre,0))&amp;""&lt;&gt;"",INDEX(ctaVinc,MATCH(K3720,ctaNombre,0))&amp;"",K3720),K3720))</f>
        <v/>
      </c>
      <c r="AD3720" s="52">
        <f>IF(AB3720="","",IFERROR(INDEX(ctaTipo,MATCH(AB3720,ctaNombre,0))&amp;"",""))</f>
        <v/>
      </c>
      <c r="AE3720" s="52">
        <f>IF(AC3720="","",IFERROR(INDEX(ctaTipo,MATCH(AC3720,ctaNombre,0))&amp;"",""))</f>
        <v/>
      </c>
      <c r="AF3720" s="53">
        <f>IF(OR(P3720="",AB3720=""),"",IF(OR(P3720="Gasto",P3720="Transferencia",P3720="Pago tarjeta"),-1,1)*IF(IFERROR(INDEX(ctaMoneda,MATCH(AB3720,ctaNombre,0))&amp;"","DOP")="USD",T3720,S3720))</f>
        <v/>
      </c>
      <c r="AG3720" s="53">
        <f>IF(AC3720="","",IF(IFERROR(INDEX(ctaMoneda,MATCH(AC3720,ctaNombre,0))&amp;"","DOP")="USD",T3720,S3720))</f>
        <v/>
      </c>
      <c r="AH3720" s="53">
        <f>IF(P3720="","",IF(AND(AD3720&lt;&gt;"",COUNTIFS(tcTipo,AD3720,tcLiq,"Sí")&gt;0),IF(OR(P3720="Gasto",P3720="Transferencia",P3720="Pago tarjeta"),-1,1)*S3720,0)+IF(AND(AE3720&lt;&gt;"",COUNTIFS(tcTipo,AE3720,tcLiq,"Sí")&gt;0),S3720,0))</f>
        <v/>
      </c>
      <c r="AI3720" s="52">
        <f>IF(OR(L3720="",P3720=""),"",IF(COUNTIFS(L$6:L3720,L3720,P$6:P3720,"?*")=1,MAX(AI$5:AI3719)+1,""))</f>
        <v/>
      </c>
    </row>
    <row r="3721">
      <c r="B3721" s="47" t="n"/>
      <c r="C3721" s="48" t="n"/>
      <c r="D3721" s="48" t="n"/>
      <c r="E3721" s="48" t="n"/>
      <c r="F3721" s="48" t="n"/>
      <c r="G3721" s="49" t="n"/>
      <c r="H3721" s="48" t="n"/>
      <c r="I3721" s="50" t="n"/>
      <c r="J3721" s="48" t="n"/>
      <c r="K3721" s="48" t="n"/>
      <c r="L3721" s="48" t="n"/>
      <c r="M3721" s="48" t="n"/>
      <c r="N3721" s="48" t="n"/>
      <c r="O3721" s="51">
        <f>IF(AND(B3721="",G3721="",C3721="",D3721="",J3721=""),"",IF(B3721="","⚠ Falta fecha",IF(G3721="","⚠ Falta monto",IF(Q3721="","⚠ Falta cuenta",IF(ISNA(MATCH(Q3721,ctaNombre,0)),"⚠ Cuenta no registrada",IF(AND(OR(P3721="Gasto",P3721="Reembolso"),D3721=""),"⚠ Falta categoría",IF(AND(D3721&lt;&gt;"",E3721&lt;&gt;"",ISNA(MATCH(D3721&amp;"|"&amp;E3721,catClave,0))),"⚠ Subcategoría no corresponde",IF(AND(OR(P3721="Transferencia",P3721="Pago tarjeta"),K3721=""),"⚠ Falta cuenta destino",IF(AND(K3721&lt;&gt;"",P3721&lt;&gt;"Transferencia",P3721&lt;&gt;"Pago tarjeta"),"⚠ Destino solo aplica a transferencias",IF(AND(K3721&lt;&gt;"",K3721=Q3721),"⚠ Origen igual a destino",IF(AND(K3721&lt;&gt;"",ISNA(MATCH(K3721,ctaNombre,0))),"⚠ Destino no registrado",IF(AND(P3721="Pago tarjeta",AE3721&lt;&gt;"Tarjeta de crédito"),"⚠ El destino debe ser tarjeta de crédito",IF(AND(P3721="Gasto",E3721="Depósitos y retiros"),"⚠ Usa tipo Transferencia",IF(AND(P3721="Resultado trading",AD3721&lt;&gt;"Cuenta de trading"),"⚠ Usa una cuenta de trading",IF(AND(G3721&lt;=0,P3721&lt;&gt;"Ajuste",P3721&lt;&gt;"Resultado trading"),"⚠ El monto debe ser positivo","✓")))))))))))))))</f>
        <v/>
      </c>
      <c r="P3721" s="52">
        <f>IF(OR(B3721="",G3721=""),"",IF(C3721="","Gasto",C3721))</f>
        <v/>
      </c>
      <c r="Q3721" s="52">
        <f>IF(P3721="","",IF(J3721&lt;&gt;"",J3721,CuentaPred&amp;""))</f>
        <v/>
      </c>
      <c r="R3721" s="52">
        <f>IF(P3721="","",IF(ISNUMBER(I3721),I3721,TasaUSD))</f>
        <v/>
      </c>
      <c r="S3721" s="53">
        <f>IF(P3721="","",IF(H3721="USD",G3721*R3721,G3721))</f>
        <v/>
      </c>
      <c r="T3721" s="53">
        <f>IF(P3721="","",IF(H3721="USD",G3721,IF(R3721&gt;0,G3721/R3721,0)))</f>
        <v/>
      </c>
      <c r="U3721" s="53">
        <f>IF(P3721="","",IF(P3721="Gasto",S3721,IF(P3721="Reembolso",-S3721,0)))</f>
        <v/>
      </c>
      <c r="V3721" s="53">
        <f>IF(P3721="","",IF(P3721="Ingreso",S3721,0))</f>
        <v/>
      </c>
      <c r="W3721" s="53">
        <f>IF(P3721="","",IF(P3721="Resultado trading",S3721,0))</f>
        <v/>
      </c>
      <c r="X3721" s="52">
        <f>IF(OR(P3721="Gasto",P3721="Reembolso"),IF(M3721&lt;&gt;"",M3721,IFERROR(INDEX(catClasif,MATCH(D3721&amp;"|"&amp;E3721,catClave,0))&amp;"","Variable")),"")</f>
        <v/>
      </c>
      <c r="Y3721" s="52">
        <f>IF(P3721="","",IFERROR(INDEX(catGrupo,MATCH(D3721&amp;"|"&amp;E3721,catClave,0))&amp;"",""))</f>
        <v/>
      </c>
      <c r="Z3721" s="52">
        <f>IF(P3721="","",WEEKDAY(B3721,2))</f>
        <v/>
      </c>
      <c r="AA3721" s="52">
        <f>IF(P3721="","",IF(AND(P3721="Gasto",X3721="Variable",D3721&lt;&gt;catTrading,S3721&gt;0,S3721&lt;=Umbral),1,0))</f>
        <v/>
      </c>
      <c r="AB3721" s="52">
        <f>IF(OR(P3721="",Q3721=""),"",IFERROR(IF(INDEX(ctaVinc,MATCH(Q3721,ctaNombre,0))&amp;""&lt;&gt;"",INDEX(ctaVinc,MATCH(Q3721,ctaNombre,0))&amp;"",Q3721),Q3721))</f>
        <v/>
      </c>
      <c r="AC3721" s="52">
        <f>IF(OR(K3721="",AND(P3721&lt;&gt;"Transferencia",P3721&lt;&gt;"Pago tarjeta")),"",IFERROR(IF(INDEX(ctaVinc,MATCH(K3721,ctaNombre,0))&amp;""&lt;&gt;"",INDEX(ctaVinc,MATCH(K3721,ctaNombre,0))&amp;"",K3721),K3721))</f>
        <v/>
      </c>
      <c r="AD3721" s="52">
        <f>IF(AB3721="","",IFERROR(INDEX(ctaTipo,MATCH(AB3721,ctaNombre,0))&amp;"",""))</f>
        <v/>
      </c>
      <c r="AE3721" s="52">
        <f>IF(AC3721="","",IFERROR(INDEX(ctaTipo,MATCH(AC3721,ctaNombre,0))&amp;"",""))</f>
        <v/>
      </c>
      <c r="AF3721" s="53">
        <f>IF(OR(P3721="",AB3721=""),"",IF(OR(P3721="Gasto",P3721="Transferencia",P3721="Pago tarjeta"),-1,1)*IF(IFERROR(INDEX(ctaMoneda,MATCH(AB3721,ctaNombre,0))&amp;"","DOP")="USD",T3721,S3721))</f>
        <v/>
      </c>
      <c r="AG3721" s="53">
        <f>IF(AC3721="","",IF(IFERROR(INDEX(ctaMoneda,MATCH(AC3721,ctaNombre,0))&amp;"","DOP")="USD",T3721,S3721))</f>
        <v/>
      </c>
      <c r="AH3721" s="53">
        <f>IF(P3721="","",IF(AND(AD3721&lt;&gt;"",COUNTIFS(tcTipo,AD3721,tcLiq,"Sí")&gt;0),IF(OR(P3721="Gasto",P3721="Transferencia",P3721="Pago tarjeta"),-1,1)*S3721,0)+IF(AND(AE3721&lt;&gt;"",COUNTIFS(tcTipo,AE3721,tcLiq,"Sí")&gt;0),S3721,0))</f>
        <v/>
      </c>
      <c r="AI3721" s="52">
        <f>IF(OR(L3721="",P3721=""),"",IF(COUNTIFS(L$6:L3721,L3721,P$6:P3721,"?*")=1,MAX(AI$5:AI3720)+1,""))</f>
        <v/>
      </c>
    </row>
    <row r="3722">
      <c r="B3722" s="47" t="n"/>
      <c r="C3722" s="48" t="n"/>
      <c r="D3722" s="48" t="n"/>
      <c r="E3722" s="48" t="n"/>
      <c r="F3722" s="48" t="n"/>
      <c r="G3722" s="49" t="n"/>
      <c r="H3722" s="48" t="n"/>
      <c r="I3722" s="50" t="n"/>
      <c r="J3722" s="48" t="n"/>
      <c r="K3722" s="48" t="n"/>
      <c r="L3722" s="48" t="n"/>
      <c r="M3722" s="48" t="n"/>
      <c r="N3722" s="48" t="n"/>
      <c r="O3722" s="51">
        <f>IF(AND(B3722="",G3722="",C3722="",D3722="",J3722=""),"",IF(B3722="","⚠ Falta fecha",IF(G3722="","⚠ Falta monto",IF(Q3722="","⚠ Falta cuenta",IF(ISNA(MATCH(Q3722,ctaNombre,0)),"⚠ Cuenta no registrada",IF(AND(OR(P3722="Gasto",P3722="Reembolso"),D3722=""),"⚠ Falta categoría",IF(AND(D3722&lt;&gt;"",E3722&lt;&gt;"",ISNA(MATCH(D3722&amp;"|"&amp;E3722,catClave,0))),"⚠ Subcategoría no corresponde",IF(AND(OR(P3722="Transferencia",P3722="Pago tarjeta"),K3722=""),"⚠ Falta cuenta destino",IF(AND(K3722&lt;&gt;"",P3722&lt;&gt;"Transferencia",P3722&lt;&gt;"Pago tarjeta"),"⚠ Destino solo aplica a transferencias",IF(AND(K3722&lt;&gt;"",K3722=Q3722),"⚠ Origen igual a destino",IF(AND(K3722&lt;&gt;"",ISNA(MATCH(K3722,ctaNombre,0))),"⚠ Destino no registrado",IF(AND(P3722="Pago tarjeta",AE3722&lt;&gt;"Tarjeta de crédito"),"⚠ El destino debe ser tarjeta de crédito",IF(AND(P3722="Gasto",E3722="Depósitos y retiros"),"⚠ Usa tipo Transferencia",IF(AND(P3722="Resultado trading",AD3722&lt;&gt;"Cuenta de trading"),"⚠ Usa una cuenta de trading",IF(AND(G3722&lt;=0,P3722&lt;&gt;"Ajuste",P3722&lt;&gt;"Resultado trading"),"⚠ El monto debe ser positivo","✓")))))))))))))))</f>
        <v/>
      </c>
      <c r="P3722" s="52">
        <f>IF(OR(B3722="",G3722=""),"",IF(C3722="","Gasto",C3722))</f>
        <v/>
      </c>
      <c r="Q3722" s="52">
        <f>IF(P3722="","",IF(J3722&lt;&gt;"",J3722,CuentaPred&amp;""))</f>
        <v/>
      </c>
      <c r="R3722" s="52">
        <f>IF(P3722="","",IF(ISNUMBER(I3722),I3722,TasaUSD))</f>
        <v/>
      </c>
      <c r="S3722" s="53">
        <f>IF(P3722="","",IF(H3722="USD",G3722*R3722,G3722))</f>
        <v/>
      </c>
      <c r="T3722" s="53">
        <f>IF(P3722="","",IF(H3722="USD",G3722,IF(R3722&gt;0,G3722/R3722,0)))</f>
        <v/>
      </c>
      <c r="U3722" s="53">
        <f>IF(P3722="","",IF(P3722="Gasto",S3722,IF(P3722="Reembolso",-S3722,0)))</f>
        <v/>
      </c>
      <c r="V3722" s="53">
        <f>IF(P3722="","",IF(P3722="Ingreso",S3722,0))</f>
        <v/>
      </c>
      <c r="W3722" s="53">
        <f>IF(P3722="","",IF(P3722="Resultado trading",S3722,0))</f>
        <v/>
      </c>
      <c r="X3722" s="52">
        <f>IF(OR(P3722="Gasto",P3722="Reembolso"),IF(M3722&lt;&gt;"",M3722,IFERROR(INDEX(catClasif,MATCH(D3722&amp;"|"&amp;E3722,catClave,0))&amp;"","Variable")),"")</f>
        <v/>
      </c>
      <c r="Y3722" s="52">
        <f>IF(P3722="","",IFERROR(INDEX(catGrupo,MATCH(D3722&amp;"|"&amp;E3722,catClave,0))&amp;"",""))</f>
        <v/>
      </c>
      <c r="Z3722" s="52">
        <f>IF(P3722="","",WEEKDAY(B3722,2))</f>
        <v/>
      </c>
      <c r="AA3722" s="52">
        <f>IF(P3722="","",IF(AND(P3722="Gasto",X3722="Variable",D3722&lt;&gt;catTrading,S3722&gt;0,S3722&lt;=Umbral),1,0))</f>
        <v/>
      </c>
      <c r="AB3722" s="52">
        <f>IF(OR(P3722="",Q3722=""),"",IFERROR(IF(INDEX(ctaVinc,MATCH(Q3722,ctaNombre,0))&amp;""&lt;&gt;"",INDEX(ctaVinc,MATCH(Q3722,ctaNombre,0))&amp;"",Q3722),Q3722))</f>
        <v/>
      </c>
      <c r="AC3722" s="52">
        <f>IF(OR(K3722="",AND(P3722&lt;&gt;"Transferencia",P3722&lt;&gt;"Pago tarjeta")),"",IFERROR(IF(INDEX(ctaVinc,MATCH(K3722,ctaNombre,0))&amp;""&lt;&gt;"",INDEX(ctaVinc,MATCH(K3722,ctaNombre,0))&amp;"",K3722),K3722))</f>
        <v/>
      </c>
      <c r="AD3722" s="52">
        <f>IF(AB3722="","",IFERROR(INDEX(ctaTipo,MATCH(AB3722,ctaNombre,0))&amp;"",""))</f>
        <v/>
      </c>
      <c r="AE3722" s="52">
        <f>IF(AC3722="","",IFERROR(INDEX(ctaTipo,MATCH(AC3722,ctaNombre,0))&amp;"",""))</f>
        <v/>
      </c>
      <c r="AF3722" s="53">
        <f>IF(OR(P3722="",AB3722=""),"",IF(OR(P3722="Gasto",P3722="Transferencia",P3722="Pago tarjeta"),-1,1)*IF(IFERROR(INDEX(ctaMoneda,MATCH(AB3722,ctaNombre,0))&amp;"","DOP")="USD",T3722,S3722))</f>
        <v/>
      </c>
      <c r="AG3722" s="53">
        <f>IF(AC3722="","",IF(IFERROR(INDEX(ctaMoneda,MATCH(AC3722,ctaNombre,0))&amp;"","DOP")="USD",T3722,S3722))</f>
        <v/>
      </c>
      <c r="AH3722" s="53">
        <f>IF(P3722="","",IF(AND(AD3722&lt;&gt;"",COUNTIFS(tcTipo,AD3722,tcLiq,"Sí")&gt;0),IF(OR(P3722="Gasto",P3722="Transferencia",P3722="Pago tarjeta"),-1,1)*S3722,0)+IF(AND(AE3722&lt;&gt;"",COUNTIFS(tcTipo,AE3722,tcLiq,"Sí")&gt;0),S3722,0))</f>
        <v/>
      </c>
      <c r="AI3722" s="52">
        <f>IF(OR(L3722="",P3722=""),"",IF(COUNTIFS(L$6:L3722,L3722,P$6:P3722,"?*")=1,MAX(AI$5:AI3721)+1,""))</f>
        <v/>
      </c>
    </row>
    <row r="3723">
      <c r="B3723" s="47" t="n"/>
      <c r="C3723" s="48" t="n"/>
      <c r="D3723" s="48" t="n"/>
      <c r="E3723" s="48" t="n"/>
      <c r="F3723" s="48" t="n"/>
      <c r="G3723" s="49" t="n"/>
      <c r="H3723" s="48" t="n"/>
      <c r="I3723" s="50" t="n"/>
      <c r="J3723" s="48" t="n"/>
      <c r="K3723" s="48" t="n"/>
      <c r="L3723" s="48" t="n"/>
      <c r="M3723" s="48" t="n"/>
      <c r="N3723" s="48" t="n"/>
      <c r="O3723" s="51">
        <f>IF(AND(B3723="",G3723="",C3723="",D3723="",J3723=""),"",IF(B3723="","⚠ Falta fecha",IF(G3723="","⚠ Falta monto",IF(Q3723="","⚠ Falta cuenta",IF(ISNA(MATCH(Q3723,ctaNombre,0)),"⚠ Cuenta no registrada",IF(AND(OR(P3723="Gasto",P3723="Reembolso"),D3723=""),"⚠ Falta categoría",IF(AND(D3723&lt;&gt;"",E3723&lt;&gt;"",ISNA(MATCH(D3723&amp;"|"&amp;E3723,catClave,0))),"⚠ Subcategoría no corresponde",IF(AND(OR(P3723="Transferencia",P3723="Pago tarjeta"),K3723=""),"⚠ Falta cuenta destino",IF(AND(K3723&lt;&gt;"",P3723&lt;&gt;"Transferencia",P3723&lt;&gt;"Pago tarjeta"),"⚠ Destino solo aplica a transferencias",IF(AND(K3723&lt;&gt;"",K3723=Q3723),"⚠ Origen igual a destino",IF(AND(K3723&lt;&gt;"",ISNA(MATCH(K3723,ctaNombre,0))),"⚠ Destino no registrado",IF(AND(P3723="Pago tarjeta",AE3723&lt;&gt;"Tarjeta de crédito"),"⚠ El destino debe ser tarjeta de crédito",IF(AND(P3723="Gasto",E3723="Depósitos y retiros"),"⚠ Usa tipo Transferencia",IF(AND(P3723="Resultado trading",AD3723&lt;&gt;"Cuenta de trading"),"⚠ Usa una cuenta de trading",IF(AND(G3723&lt;=0,P3723&lt;&gt;"Ajuste",P3723&lt;&gt;"Resultado trading"),"⚠ El monto debe ser positivo","✓")))))))))))))))</f>
        <v/>
      </c>
      <c r="P3723" s="52">
        <f>IF(OR(B3723="",G3723=""),"",IF(C3723="","Gasto",C3723))</f>
        <v/>
      </c>
      <c r="Q3723" s="52">
        <f>IF(P3723="","",IF(J3723&lt;&gt;"",J3723,CuentaPred&amp;""))</f>
        <v/>
      </c>
      <c r="R3723" s="52">
        <f>IF(P3723="","",IF(ISNUMBER(I3723),I3723,TasaUSD))</f>
        <v/>
      </c>
      <c r="S3723" s="53">
        <f>IF(P3723="","",IF(H3723="USD",G3723*R3723,G3723))</f>
        <v/>
      </c>
      <c r="T3723" s="53">
        <f>IF(P3723="","",IF(H3723="USD",G3723,IF(R3723&gt;0,G3723/R3723,0)))</f>
        <v/>
      </c>
      <c r="U3723" s="53">
        <f>IF(P3723="","",IF(P3723="Gasto",S3723,IF(P3723="Reembolso",-S3723,0)))</f>
        <v/>
      </c>
      <c r="V3723" s="53">
        <f>IF(P3723="","",IF(P3723="Ingreso",S3723,0))</f>
        <v/>
      </c>
      <c r="W3723" s="53">
        <f>IF(P3723="","",IF(P3723="Resultado trading",S3723,0))</f>
        <v/>
      </c>
      <c r="X3723" s="52">
        <f>IF(OR(P3723="Gasto",P3723="Reembolso"),IF(M3723&lt;&gt;"",M3723,IFERROR(INDEX(catClasif,MATCH(D3723&amp;"|"&amp;E3723,catClave,0))&amp;"","Variable")),"")</f>
        <v/>
      </c>
      <c r="Y3723" s="52">
        <f>IF(P3723="","",IFERROR(INDEX(catGrupo,MATCH(D3723&amp;"|"&amp;E3723,catClave,0))&amp;"",""))</f>
        <v/>
      </c>
      <c r="Z3723" s="52">
        <f>IF(P3723="","",WEEKDAY(B3723,2))</f>
        <v/>
      </c>
      <c r="AA3723" s="52">
        <f>IF(P3723="","",IF(AND(P3723="Gasto",X3723="Variable",D3723&lt;&gt;catTrading,S3723&gt;0,S3723&lt;=Umbral),1,0))</f>
        <v/>
      </c>
      <c r="AB3723" s="52">
        <f>IF(OR(P3723="",Q3723=""),"",IFERROR(IF(INDEX(ctaVinc,MATCH(Q3723,ctaNombre,0))&amp;""&lt;&gt;"",INDEX(ctaVinc,MATCH(Q3723,ctaNombre,0))&amp;"",Q3723),Q3723))</f>
        <v/>
      </c>
      <c r="AC3723" s="52">
        <f>IF(OR(K3723="",AND(P3723&lt;&gt;"Transferencia",P3723&lt;&gt;"Pago tarjeta")),"",IFERROR(IF(INDEX(ctaVinc,MATCH(K3723,ctaNombre,0))&amp;""&lt;&gt;"",INDEX(ctaVinc,MATCH(K3723,ctaNombre,0))&amp;"",K3723),K3723))</f>
        <v/>
      </c>
      <c r="AD3723" s="52">
        <f>IF(AB3723="","",IFERROR(INDEX(ctaTipo,MATCH(AB3723,ctaNombre,0))&amp;"",""))</f>
        <v/>
      </c>
      <c r="AE3723" s="52">
        <f>IF(AC3723="","",IFERROR(INDEX(ctaTipo,MATCH(AC3723,ctaNombre,0))&amp;"",""))</f>
        <v/>
      </c>
      <c r="AF3723" s="53">
        <f>IF(OR(P3723="",AB3723=""),"",IF(OR(P3723="Gasto",P3723="Transferencia",P3723="Pago tarjeta"),-1,1)*IF(IFERROR(INDEX(ctaMoneda,MATCH(AB3723,ctaNombre,0))&amp;"","DOP")="USD",T3723,S3723))</f>
        <v/>
      </c>
      <c r="AG3723" s="53">
        <f>IF(AC3723="","",IF(IFERROR(INDEX(ctaMoneda,MATCH(AC3723,ctaNombre,0))&amp;"","DOP")="USD",T3723,S3723))</f>
        <v/>
      </c>
      <c r="AH3723" s="53">
        <f>IF(P3723="","",IF(AND(AD3723&lt;&gt;"",COUNTIFS(tcTipo,AD3723,tcLiq,"Sí")&gt;0),IF(OR(P3723="Gasto",P3723="Transferencia",P3723="Pago tarjeta"),-1,1)*S3723,0)+IF(AND(AE3723&lt;&gt;"",COUNTIFS(tcTipo,AE3723,tcLiq,"Sí")&gt;0),S3723,0))</f>
        <v/>
      </c>
      <c r="AI3723" s="52">
        <f>IF(OR(L3723="",P3723=""),"",IF(COUNTIFS(L$6:L3723,L3723,P$6:P3723,"?*")=1,MAX(AI$5:AI3722)+1,""))</f>
        <v/>
      </c>
    </row>
    <row r="3724">
      <c r="B3724" s="47" t="n"/>
      <c r="C3724" s="48" t="n"/>
      <c r="D3724" s="48" t="n"/>
      <c r="E3724" s="48" t="n"/>
      <c r="F3724" s="48" t="n"/>
      <c r="G3724" s="49" t="n"/>
      <c r="H3724" s="48" t="n"/>
      <c r="I3724" s="50" t="n"/>
      <c r="J3724" s="48" t="n"/>
      <c r="K3724" s="48" t="n"/>
      <c r="L3724" s="48" t="n"/>
      <c r="M3724" s="48" t="n"/>
      <c r="N3724" s="48" t="n"/>
      <c r="O3724" s="51">
        <f>IF(AND(B3724="",G3724="",C3724="",D3724="",J3724=""),"",IF(B3724="","⚠ Falta fecha",IF(G3724="","⚠ Falta monto",IF(Q3724="","⚠ Falta cuenta",IF(ISNA(MATCH(Q3724,ctaNombre,0)),"⚠ Cuenta no registrada",IF(AND(OR(P3724="Gasto",P3724="Reembolso"),D3724=""),"⚠ Falta categoría",IF(AND(D3724&lt;&gt;"",E3724&lt;&gt;"",ISNA(MATCH(D3724&amp;"|"&amp;E3724,catClave,0))),"⚠ Subcategoría no corresponde",IF(AND(OR(P3724="Transferencia",P3724="Pago tarjeta"),K3724=""),"⚠ Falta cuenta destino",IF(AND(K3724&lt;&gt;"",P3724&lt;&gt;"Transferencia",P3724&lt;&gt;"Pago tarjeta"),"⚠ Destino solo aplica a transferencias",IF(AND(K3724&lt;&gt;"",K3724=Q3724),"⚠ Origen igual a destino",IF(AND(K3724&lt;&gt;"",ISNA(MATCH(K3724,ctaNombre,0))),"⚠ Destino no registrado",IF(AND(P3724="Pago tarjeta",AE3724&lt;&gt;"Tarjeta de crédito"),"⚠ El destino debe ser tarjeta de crédito",IF(AND(P3724="Gasto",E3724="Depósitos y retiros"),"⚠ Usa tipo Transferencia",IF(AND(P3724="Resultado trading",AD3724&lt;&gt;"Cuenta de trading"),"⚠ Usa una cuenta de trading",IF(AND(G3724&lt;=0,P3724&lt;&gt;"Ajuste",P3724&lt;&gt;"Resultado trading"),"⚠ El monto debe ser positivo","✓")))))))))))))))</f>
        <v/>
      </c>
      <c r="P3724" s="52">
        <f>IF(OR(B3724="",G3724=""),"",IF(C3724="","Gasto",C3724))</f>
        <v/>
      </c>
      <c r="Q3724" s="52">
        <f>IF(P3724="","",IF(J3724&lt;&gt;"",J3724,CuentaPred&amp;""))</f>
        <v/>
      </c>
      <c r="R3724" s="52">
        <f>IF(P3724="","",IF(ISNUMBER(I3724),I3724,TasaUSD))</f>
        <v/>
      </c>
      <c r="S3724" s="53">
        <f>IF(P3724="","",IF(H3724="USD",G3724*R3724,G3724))</f>
        <v/>
      </c>
      <c r="T3724" s="53">
        <f>IF(P3724="","",IF(H3724="USD",G3724,IF(R3724&gt;0,G3724/R3724,0)))</f>
        <v/>
      </c>
      <c r="U3724" s="53">
        <f>IF(P3724="","",IF(P3724="Gasto",S3724,IF(P3724="Reembolso",-S3724,0)))</f>
        <v/>
      </c>
      <c r="V3724" s="53">
        <f>IF(P3724="","",IF(P3724="Ingreso",S3724,0))</f>
        <v/>
      </c>
      <c r="W3724" s="53">
        <f>IF(P3724="","",IF(P3724="Resultado trading",S3724,0))</f>
        <v/>
      </c>
      <c r="X3724" s="52">
        <f>IF(OR(P3724="Gasto",P3724="Reembolso"),IF(M3724&lt;&gt;"",M3724,IFERROR(INDEX(catClasif,MATCH(D3724&amp;"|"&amp;E3724,catClave,0))&amp;"","Variable")),"")</f>
        <v/>
      </c>
      <c r="Y3724" s="52">
        <f>IF(P3724="","",IFERROR(INDEX(catGrupo,MATCH(D3724&amp;"|"&amp;E3724,catClave,0))&amp;"",""))</f>
        <v/>
      </c>
      <c r="Z3724" s="52">
        <f>IF(P3724="","",WEEKDAY(B3724,2))</f>
        <v/>
      </c>
      <c r="AA3724" s="52">
        <f>IF(P3724="","",IF(AND(P3724="Gasto",X3724="Variable",D3724&lt;&gt;catTrading,S3724&gt;0,S3724&lt;=Umbral),1,0))</f>
        <v/>
      </c>
      <c r="AB3724" s="52">
        <f>IF(OR(P3724="",Q3724=""),"",IFERROR(IF(INDEX(ctaVinc,MATCH(Q3724,ctaNombre,0))&amp;""&lt;&gt;"",INDEX(ctaVinc,MATCH(Q3724,ctaNombre,0))&amp;"",Q3724),Q3724))</f>
        <v/>
      </c>
      <c r="AC3724" s="52">
        <f>IF(OR(K3724="",AND(P3724&lt;&gt;"Transferencia",P3724&lt;&gt;"Pago tarjeta")),"",IFERROR(IF(INDEX(ctaVinc,MATCH(K3724,ctaNombre,0))&amp;""&lt;&gt;"",INDEX(ctaVinc,MATCH(K3724,ctaNombre,0))&amp;"",K3724),K3724))</f>
        <v/>
      </c>
      <c r="AD3724" s="52">
        <f>IF(AB3724="","",IFERROR(INDEX(ctaTipo,MATCH(AB3724,ctaNombre,0))&amp;"",""))</f>
        <v/>
      </c>
      <c r="AE3724" s="52">
        <f>IF(AC3724="","",IFERROR(INDEX(ctaTipo,MATCH(AC3724,ctaNombre,0))&amp;"",""))</f>
        <v/>
      </c>
      <c r="AF3724" s="53">
        <f>IF(OR(P3724="",AB3724=""),"",IF(OR(P3724="Gasto",P3724="Transferencia",P3724="Pago tarjeta"),-1,1)*IF(IFERROR(INDEX(ctaMoneda,MATCH(AB3724,ctaNombre,0))&amp;"","DOP")="USD",T3724,S3724))</f>
        <v/>
      </c>
      <c r="AG3724" s="53">
        <f>IF(AC3724="","",IF(IFERROR(INDEX(ctaMoneda,MATCH(AC3724,ctaNombre,0))&amp;"","DOP")="USD",T3724,S3724))</f>
        <v/>
      </c>
      <c r="AH3724" s="53">
        <f>IF(P3724="","",IF(AND(AD3724&lt;&gt;"",COUNTIFS(tcTipo,AD3724,tcLiq,"Sí")&gt;0),IF(OR(P3724="Gasto",P3724="Transferencia",P3724="Pago tarjeta"),-1,1)*S3724,0)+IF(AND(AE3724&lt;&gt;"",COUNTIFS(tcTipo,AE3724,tcLiq,"Sí")&gt;0),S3724,0))</f>
        <v/>
      </c>
      <c r="AI3724" s="52">
        <f>IF(OR(L3724="",P3724=""),"",IF(COUNTIFS(L$6:L3724,L3724,P$6:P3724,"?*")=1,MAX(AI$5:AI3723)+1,""))</f>
        <v/>
      </c>
    </row>
    <row r="3725">
      <c r="B3725" s="47" t="n"/>
      <c r="C3725" s="48" t="n"/>
      <c r="D3725" s="48" t="n"/>
      <c r="E3725" s="48" t="n"/>
      <c r="F3725" s="48" t="n"/>
      <c r="G3725" s="49" t="n"/>
      <c r="H3725" s="48" t="n"/>
      <c r="I3725" s="50" t="n"/>
      <c r="J3725" s="48" t="n"/>
      <c r="K3725" s="48" t="n"/>
      <c r="L3725" s="48" t="n"/>
      <c r="M3725" s="48" t="n"/>
      <c r="N3725" s="48" t="n"/>
      <c r="O3725" s="51">
        <f>IF(AND(B3725="",G3725="",C3725="",D3725="",J3725=""),"",IF(B3725="","⚠ Falta fecha",IF(G3725="","⚠ Falta monto",IF(Q3725="","⚠ Falta cuenta",IF(ISNA(MATCH(Q3725,ctaNombre,0)),"⚠ Cuenta no registrada",IF(AND(OR(P3725="Gasto",P3725="Reembolso"),D3725=""),"⚠ Falta categoría",IF(AND(D3725&lt;&gt;"",E3725&lt;&gt;"",ISNA(MATCH(D3725&amp;"|"&amp;E3725,catClave,0))),"⚠ Subcategoría no corresponde",IF(AND(OR(P3725="Transferencia",P3725="Pago tarjeta"),K3725=""),"⚠ Falta cuenta destino",IF(AND(K3725&lt;&gt;"",P3725&lt;&gt;"Transferencia",P3725&lt;&gt;"Pago tarjeta"),"⚠ Destino solo aplica a transferencias",IF(AND(K3725&lt;&gt;"",K3725=Q3725),"⚠ Origen igual a destino",IF(AND(K3725&lt;&gt;"",ISNA(MATCH(K3725,ctaNombre,0))),"⚠ Destino no registrado",IF(AND(P3725="Pago tarjeta",AE3725&lt;&gt;"Tarjeta de crédito"),"⚠ El destino debe ser tarjeta de crédito",IF(AND(P3725="Gasto",E3725="Depósitos y retiros"),"⚠ Usa tipo Transferencia",IF(AND(P3725="Resultado trading",AD3725&lt;&gt;"Cuenta de trading"),"⚠ Usa una cuenta de trading",IF(AND(G3725&lt;=0,P3725&lt;&gt;"Ajuste",P3725&lt;&gt;"Resultado trading"),"⚠ El monto debe ser positivo","✓")))))))))))))))</f>
        <v/>
      </c>
      <c r="P3725" s="52">
        <f>IF(OR(B3725="",G3725=""),"",IF(C3725="","Gasto",C3725))</f>
        <v/>
      </c>
      <c r="Q3725" s="52">
        <f>IF(P3725="","",IF(J3725&lt;&gt;"",J3725,CuentaPred&amp;""))</f>
        <v/>
      </c>
      <c r="R3725" s="52">
        <f>IF(P3725="","",IF(ISNUMBER(I3725),I3725,TasaUSD))</f>
        <v/>
      </c>
      <c r="S3725" s="53">
        <f>IF(P3725="","",IF(H3725="USD",G3725*R3725,G3725))</f>
        <v/>
      </c>
      <c r="T3725" s="53">
        <f>IF(P3725="","",IF(H3725="USD",G3725,IF(R3725&gt;0,G3725/R3725,0)))</f>
        <v/>
      </c>
      <c r="U3725" s="53">
        <f>IF(P3725="","",IF(P3725="Gasto",S3725,IF(P3725="Reembolso",-S3725,0)))</f>
        <v/>
      </c>
      <c r="V3725" s="53">
        <f>IF(P3725="","",IF(P3725="Ingreso",S3725,0))</f>
        <v/>
      </c>
      <c r="W3725" s="53">
        <f>IF(P3725="","",IF(P3725="Resultado trading",S3725,0))</f>
        <v/>
      </c>
      <c r="X3725" s="52">
        <f>IF(OR(P3725="Gasto",P3725="Reembolso"),IF(M3725&lt;&gt;"",M3725,IFERROR(INDEX(catClasif,MATCH(D3725&amp;"|"&amp;E3725,catClave,0))&amp;"","Variable")),"")</f>
        <v/>
      </c>
      <c r="Y3725" s="52">
        <f>IF(P3725="","",IFERROR(INDEX(catGrupo,MATCH(D3725&amp;"|"&amp;E3725,catClave,0))&amp;"",""))</f>
        <v/>
      </c>
      <c r="Z3725" s="52">
        <f>IF(P3725="","",WEEKDAY(B3725,2))</f>
        <v/>
      </c>
      <c r="AA3725" s="52">
        <f>IF(P3725="","",IF(AND(P3725="Gasto",X3725="Variable",D3725&lt;&gt;catTrading,S3725&gt;0,S3725&lt;=Umbral),1,0))</f>
        <v/>
      </c>
      <c r="AB3725" s="52">
        <f>IF(OR(P3725="",Q3725=""),"",IFERROR(IF(INDEX(ctaVinc,MATCH(Q3725,ctaNombre,0))&amp;""&lt;&gt;"",INDEX(ctaVinc,MATCH(Q3725,ctaNombre,0))&amp;"",Q3725),Q3725))</f>
        <v/>
      </c>
      <c r="AC3725" s="52">
        <f>IF(OR(K3725="",AND(P3725&lt;&gt;"Transferencia",P3725&lt;&gt;"Pago tarjeta")),"",IFERROR(IF(INDEX(ctaVinc,MATCH(K3725,ctaNombre,0))&amp;""&lt;&gt;"",INDEX(ctaVinc,MATCH(K3725,ctaNombre,0))&amp;"",K3725),K3725))</f>
        <v/>
      </c>
      <c r="AD3725" s="52">
        <f>IF(AB3725="","",IFERROR(INDEX(ctaTipo,MATCH(AB3725,ctaNombre,0))&amp;"",""))</f>
        <v/>
      </c>
      <c r="AE3725" s="52">
        <f>IF(AC3725="","",IFERROR(INDEX(ctaTipo,MATCH(AC3725,ctaNombre,0))&amp;"",""))</f>
        <v/>
      </c>
      <c r="AF3725" s="53">
        <f>IF(OR(P3725="",AB3725=""),"",IF(OR(P3725="Gasto",P3725="Transferencia",P3725="Pago tarjeta"),-1,1)*IF(IFERROR(INDEX(ctaMoneda,MATCH(AB3725,ctaNombre,0))&amp;"","DOP")="USD",T3725,S3725))</f>
        <v/>
      </c>
      <c r="AG3725" s="53">
        <f>IF(AC3725="","",IF(IFERROR(INDEX(ctaMoneda,MATCH(AC3725,ctaNombre,0))&amp;"","DOP")="USD",T3725,S3725))</f>
        <v/>
      </c>
      <c r="AH3725" s="53">
        <f>IF(P3725="","",IF(AND(AD3725&lt;&gt;"",COUNTIFS(tcTipo,AD3725,tcLiq,"Sí")&gt;0),IF(OR(P3725="Gasto",P3725="Transferencia",P3725="Pago tarjeta"),-1,1)*S3725,0)+IF(AND(AE3725&lt;&gt;"",COUNTIFS(tcTipo,AE3725,tcLiq,"Sí")&gt;0),S3725,0))</f>
        <v/>
      </c>
      <c r="AI3725" s="52">
        <f>IF(OR(L3725="",P3725=""),"",IF(COUNTIFS(L$6:L3725,L3725,P$6:P3725,"?*")=1,MAX(AI$5:AI3724)+1,""))</f>
        <v/>
      </c>
    </row>
    <row r="3726">
      <c r="B3726" s="47" t="n"/>
      <c r="C3726" s="48" t="n"/>
      <c r="D3726" s="48" t="n"/>
      <c r="E3726" s="48" t="n"/>
      <c r="F3726" s="48" t="n"/>
      <c r="G3726" s="49" t="n"/>
      <c r="H3726" s="48" t="n"/>
      <c r="I3726" s="50" t="n"/>
      <c r="J3726" s="48" t="n"/>
      <c r="K3726" s="48" t="n"/>
      <c r="L3726" s="48" t="n"/>
      <c r="M3726" s="48" t="n"/>
      <c r="N3726" s="48" t="n"/>
      <c r="O3726" s="51">
        <f>IF(AND(B3726="",G3726="",C3726="",D3726="",J3726=""),"",IF(B3726="","⚠ Falta fecha",IF(G3726="","⚠ Falta monto",IF(Q3726="","⚠ Falta cuenta",IF(ISNA(MATCH(Q3726,ctaNombre,0)),"⚠ Cuenta no registrada",IF(AND(OR(P3726="Gasto",P3726="Reembolso"),D3726=""),"⚠ Falta categoría",IF(AND(D3726&lt;&gt;"",E3726&lt;&gt;"",ISNA(MATCH(D3726&amp;"|"&amp;E3726,catClave,0))),"⚠ Subcategoría no corresponde",IF(AND(OR(P3726="Transferencia",P3726="Pago tarjeta"),K3726=""),"⚠ Falta cuenta destino",IF(AND(K3726&lt;&gt;"",P3726&lt;&gt;"Transferencia",P3726&lt;&gt;"Pago tarjeta"),"⚠ Destino solo aplica a transferencias",IF(AND(K3726&lt;&gt;"",K3726=Q3726),"⚠ Origen igual a destino",IF(AND(K3726&lt;&gt;"",ISNA(MATCH(K3726,ctaNombre,0))),"⚠ Destino no registrado",IF(AND(P3726="Pago tarjeta",AE3726&lt;&gt;"Tarjeta de crédito"),"⚠ El destino debe ser tarjeta de crédito",IF(AND(P3726="Gasto",E3726="Depósitos y retiros"),"⚠ Usa tipo Transferencia",IF(AND(P3726="Resultado trading",AD3726&lt;&gt;"Cuenta de trading"),"⚠ Usa una cuenta de trading",IF(AND(G3726&lt;=0,P3726&lt;&gt;"Ajuste",P3726&lt;&gt;"Resultado trading"),"⚠ El monto debe ser positivo","✓")))))))))))))))</f>
        <v/>
      </c>
      <c r="P3726" s="52">
        <f>IF(OR(B3726="",G3726=""),"",IF(C3726="","Gasto",C3726))</f>
        <v/>
      </c>
      <c r="Q3726" s="52">
        <f>IF(P3726="","",IF(J3726&lt;&gt;"",J3726,CuentaPred&amp;""))</f>
        <v/>
      </c>
      <c r="R3726" s="52">
        <f>IF(P3726="","",IF(ISNUMBER(I3726),I3726,TasaUSD))</f>
        <v/>
      </c>
      <c r="S3726" s="53">
        <f>IF(P3726="","",IF(H3726="USD",G3726*R3726,G3726))</f>
        <v/>
      </c>
      <c r="T3726" s="53">
        <f>IF(P3726="","",IF(H3726="USD",G3726,IF(R3726&gt;0,G3726/R3726,0)))</f>
        <v/>
      </c>
      <c r="U3726" s="53">
        <f>IF(P3726="","",IF(P3726="Gasto",S3726,IF(P3726="Reembolso",-S3726,0)))</f>
        <v/>
      </c>
      <c r="V3726" s="53">
        <f>IF(P3726="","",IF(P3726="Ingreso",S3726,0))</f>
        <v/>
      </c>
      <c r="W3726" s="53">
        <f>IF(P3726="","",IF(P3726="Resultado trading",S3726,0))</f>
        <v/>
      </c>
      <c r="X3726" s="52">
        <f>IF(OR(P3726="Gasto",P3726="Reembolso"),IF(M3726&lt;&gt;"",M3726,IFERROR(INDEX(catClasif,MATCH(D3726&amp;"|"&amp;E3726,catClave,0))&amp;"","Variable")),"")</f>
        <v/>
      </c>
      <c r="Y3726" s="52">
        <f>IF(P3726="","",IFERROR(INDEX(catGrupo,MATCH(D3726&amp;"|"&amp;E3726,catClave,0))&amp;"",""))</f>
        <v/>
      </c>
      <c r="Z3726" s="52">
        <f>IF(P3726="","",WEEKDAY(B3726,2))</f>
        <v/>
      </c>
      <c r="AA3726" s="52">
        <f>IF(P3726="","",IF(AND(P3726="Gasto",X3726="Variable",D3726&lt;&gt;catTrading,S3726&gt;0,S3726&lt;=Umbral),1,0))</f>
        <v/>
      </c>
      <c r="AB3726" s="52">
        <f>IF(OR(P3726="",Q3726=""),"",IFERROR(IF(INDEX(ctaVinc,MATCH(Q3726,ctaNombre,0))&amp;""&lt;&gt;"",INDEX(ctaVinc,MATCH(Q3726,ctaNombre,0))&amp;"",Q3726),Q3726))</f>
        <v/>
      </c>
      <c r="AC3726" s="52">
        <f>IF(OR(K3726="",AND(P3726&lt;&gt;"Transferencia",P3726&lt;&gt;"Pago tarjeta")),"",IFERROR(IF(INDEX(ctaVinc,MATCH(K3726,ctaNombre,0))&amp;""&lt;&gt;"",INDEX(ctaVinc,MATCH(K3726,ctaNombre,0))&amp;"",K3726),K3726))</f>
        <v/>
      </c>
      <c r="AD3726" s="52">
        <f>IF(AB3726="","",IFERROR(INDEX(ctaTipo,MATCH(AB3726,ctaNombre,0))&amp;"",""))</f>
        <v/>
      </c>
      <c r="AE3726" s="52">
        <f>IF(AC3726="","",IFERROR(INDEX(ctaTipo,MATCH(AC3726,ctaNombre,0))&amp;"",""))</f>
        <v/>
      </c>
      <c r="AF3726" s="53">
        <f>IF(OR(P3726="",AB3726=""),"",IF(OR(P3726="Gasto",P3726="Transferencia",P3726="Pago tarjeta"),-1,1)*IF(IFERROR(INDEX(ctaMoneda,MATCH(AB3726,ctaNombre,0))&amp;"","DOP")="USD",T3726,S3726))</f>
        <v/>
      </c>
      <c r="AG3726" s="53">
        <f>IF(AC3726="","",IF(IFERROR(INDEX(ctaMoneda,MATCH(AC3726,ctaNombre,0))&amp;"","DOP")="USD",T3726,S3726))</f>
        <v/>
      </c>
      <c r="AH3726" s="53">
        <f>IF(P3726="","",IF(AND(AD3726&lt;&gt;"",COUNTIFS(tcTipo,AD3726,tcLiq,"Sí")&gt;0),IF(OR(P3726="Gasto",P3726="Transferencia",P3726="Pago tarjeta"),-1,1)*S3726,0)+IF(AND(AE3726&lt;&gt;"",COUNTIFS(tcTipo,AE3726,tcLiq,"Sí")&gt;0),S3726,0))</f>
        <v/>
      </c>
      <c r="AI3726" s="52">
        <f>IF(OR(L3726="",P3726=""),"",IF(COUNTIFS(L$6:L3726,L3726,P$6:P3726,"?*")=1,MAX(AI$5:AI3725)+1,""))</f>
        <v/>
      </c>
    </row>
    <row r="3727">
      <c r="B3727" s="47" t="n"/>
      <c r="C3727" s="48" t="n"/>
      <c r="D3727" s="48" t="n"/>
      <c r="E3727" s="48" t="n"/>
      <c r="F3727" s="48" t="n"/>
      <c r="G3727" s="49" t="n"/>
      <c r="H3727" s="48" t="n"/>
      <c r="I3727" s="50" t="n"/>
      <c r="J3727" s="48" t="n"/>
      <c r="K3727" s="48" t="n"/>
      <c r="L3727" s="48" t="n"/>
      <c r="M3727" s="48" t="n"/>
      <c r="N3727" s="48" t="n"/>
      <c r="O3727" s="51">
        <f>IF(AND(B3727="",G3727="",C3727="",D3727="",J3727=""),"",IF(B3727="","⚠ Falta fecha",IF(G3727="","⚠ Falta monto",IF(Q3727="","⚠ Falta cuenta",IF(ISNA(MATCH(Q3727,ctaNombre,0)),"⚠ Cuenta no registrada",IF(AND(OR(P3727="Gasto",P3727="Reembolso"),D3727=""),"⚠ Falta categoría",IF(AND(D3727&lt;&gt;"",E3727&lt;&gt;"",ISNA(MATCH(D3727&amp;"|"&amp;E3727,catClave,0))),"⚠ Subcategoría no corresponde",IF(AND(OR(P3727="Transferencia",P3727="Pago tarjeta"),K3727=""),"⚠ Falta cuenta destino",IF(AND(K3727&lt;&gt;"",P3727&lt;&gt;"Transferencia",P3727&lt;&gt;"Pago tarjeta"),"⚠ Destino solo aplica a transferencias",IF(AND(K3727&lt;&gt;"",K3727=Q3727),"⚠ Origen igual a destino",IF(AND(K3727&lt;&gt;"",ISNA(MATCH(K3727,ctaNombre,0))),"⚠ Destino no registrado",IF(AND(P3727="Pago tarjeta",AE3727&lt;&gt;"Tarjeta de crédito"),"⚠ El destino debe ser tarjeta de crédito",IF(AND(P3727="Gasto",E3727="Depósitos y retiros"),"⚠ Usa tipo Transferencia",IF(AND(P3727="Resultado trading",AD3727&lt;&gt;"Cuenta de trading"),"⚠ Usa una cuenta de trading",IF(AND(G3727&lt;=0,P3727&lt;&gt;"Ajuste",P3727&lt;&gt;"Resultado trading"),"⚠ El monto debe ser positivo","✓")))))))))))))))</f>
        <v/>
      </c>
      <c r="P3727" s="52">
        <f>IF(OR(B3727="",G3727=""),"",IF(C3727="","Gasto",C3727))</f>
        <v/>
      </c>
      <c r="Q3727" s="52">
        <f>IF(P3727="","",IF(J3727&lt;&gt;"",J3727,CuentaPred&amp;""))</f>
        <v/>
      </c>
      <c r="R3727" s="52">
        <f>IF(P3727="","",IF(ISNUMBER(I3727),I3727,TasaUSD))</f>
        <v/>
      </c>
      <c r="S3727" s="53">
        <f>IF(P3727="","",IF(H3727="USD",G3727*R3727,G3727))</f>
        <v/>
      </c>
      <c r="T3727" s="53">
        <f>IF(P3727="","",IF(H3727="USD",G3727,IF(R3727&gt;0,G3727/R3727,0)))</f>
        <v/>
      </c>
      <c r="U3727" s="53">
        <f>IF(P3727="","",IF(P3727="Gasto",S3727,IF(P3727="Reembolso",-S3727,0)))</f>
        <v/>
      </c>
      <c r="V3727" s="53">
        <f>IF(P3727="","",IF(P3727="Ingreso",S3727,0))</f>
        <v/>
      </c>
      <c r="W3727" s="53">
        <f>IF(P3727="","",IF(P3727="Resultado trading",S3727,0))</f>
        <v/>
      </c>
      <c r="X3727" s="52">
        <f>IF(OR(P3727="Gasto",P3727="Reembolso"),IF(M3727&lt;&gt;"",M3727,IFERROR(INDEX(catClasif,MATCH(D3727&amp;"|"&amp;E3727,catClave,0))&amp;"","Variable")),"")</f>
        <v/>
      </c>
      <c r="Y3727" s="52">
        <f>IF(P3727="","",IFERROR(INDEX(catGrupo,MATCH(D3727&amp;"|"&amp;E3727,catClave,0))&amp;"",""))</f>
        <v/>
      </c>
      <c r="Z3727" s="52">
        <f>IF(P3727="","",WEEKDAY(B3727,2))</f>
        <v/>
      </c>
      <c r="AA3727" s="52">
        <f>IF(P3727="","",IF(AND(P3727="Gasto",X3727="Variable",D3727&lt;&gt;catTrading,S3727&gt;0,S3727&lt;=Umbral),1,0))</f>
        <v/>
      </c>
      <c r="AB3727" s="52">
        <f>IF(OR(P3727="",Q3727=""),"",IFERROR(IF(INDEX(ctaVinc,MATCH(Q3727,ctaNombre,0))&amp;""&lt;&gt;"",INDEX(ctaVinc,MATCH(Q3727,ctaNombre,0))&amp;"",Q3727),Q3727))</f>
        <v/>
      </c>
      <c r="AC3727" s="52">
        <f>IF(OR(K3727="",AND(P3727&lt;&gt;"Transferencia",P3727&lt;&gt;"Pago tarjeta")),"",IFERROR(IF(INDEX(ctaVinc,MATCH(K3727,ctaNombre,0))&amp;""&lt;&gt;"",INDEX(ctaVinc,MATCH(K3727,ctaNombre,0))&amp;"",K3727),K3727))</f>
        <v/>
      </c>
      <c r="AD3727" s="52">
        <f>IF(AB3727="","",IFERROR(INDEX(ctaTipo,MATCH(AB3727,ctaNombre,0))&amp;"",""))</f>
        <v/>
      </c>
      <c r="AE3727" s="52">
        <f>IF(AC3727="","",IFERROR(INDEX(ctaTipo,MATCH(AC3727,ctaNombre,0))&amp;"",""))</f>
        <v/>
      </c>
      <c r="AF3727" s="53">
        <f>IF(OR(P3727="",AB3727=""),"",IF(OR(P3727="Gasto",P3727="Transferencia",P3727="Pago tarjeta"),-1,1)*IF(IFERROR(INDEX(ctaMoneda,MATCH(AB3727,ctaNombre,0))&amp;"","DOP")="USD",T3727,S3727))</f>
        <v/>
      </c>
      <c r="AG3727" s="53">
        <f>IF(AC3727="","",IF(IFERROR(INDEX(ctaMoneda,MATCH(AC3727,ctaNombre,0))&amp;"","DOP")="USD",T3727,S3727))</f>
        <v/>
      </c>
      <c r="AH3727" s="53">
        <f>IF(P3727="","",IF(AND(AD3727&lt;&gt;"",COUNTIFS(tcTipo,AD3727,tcLiq,"Sí")&gt;0),IF(OR(P3727="Gasto",P3727="Transferencia",P3727="Pago tarjeta"),-1,1)*S3727,0)+IF(AND(AE3727&lt;&gt;"",COUNTIFS(tcTipo,AE3727,tcLiq,"Sí")&gt;0),S3727,0))</f>
        <v/>
      </c>
      <c r="AI3727" s="52">
        <f>IF(OR(L3727="",P3727=""),"",IF(COUNTIFS(L$6:L3727,L3727,P$6:P3727,"?*")=1,MAX(AI$5:AI3726)+1,""))</f>
        <v/>
      </c>
    </row>
    <row r="3728">
      <c r="B3728" s="47" t="n"/>
      <c r="C3728" s="48" t="n"/>
      <c r="D3728" s="48" t="n"/>
      <c r="E3728" s="48" t="n"/>
      <c r="F3728" s="48" t="n"/>
      <c r="G3728" s="49" t="n"/>
      <c r="H3728" s="48" t="n"/>
      <c r="I3728" s="50" t="n"/>
      <c r="J3728" s="48" t="n"/>
      <c r="K3728" s="48" t="n"/>
      <c r="L3728" s="48" t="n"/>
      <c r="M3728" s="48" t="n"/>
      <c r="N3728" s="48" t="n"/>
      <c r="O3728" s="51">
        <f>IF(AND(B3728="",G3728="",C3728="",D3728="",J3728=""),"",IF(B3728="","⚠ Falta fecha",IF(G3728="","⚠ Falta monto",IF(Q3728="","⚠ Falta cuenta",IF(ISNA(MATCH(Q3728,ctaNombre,0)),"⚠ Cuenta no registrada",IF(AND(OR(P3728="Gasto",P3728="Reembolso"),D3728=""),"⚠ Falta categoría",IF(AND(D3728&lt;&gt;"",E3728&lt;&gt;"",ISNA(MATCH(D3728&amp;"|"&amp;E3728,catClave,0))),"⚠ Subcategoría no corresponde",IF(AND(OR(P3728="Transferencia",P3728="Pago tarjeta"),K3728=""),"⚠ Falta cuenta destino",IF(AND(K3728&lt;&gt;"",P3728&lt;&gt;"Transferencia",P3728&lt;&gt;"Pago tarjeta"),"⚠ Destino solo aplica a transferencias",IF(AND(K3728&lt;&gt;"",K3728=Q3728),"⚠ Origen igual a destino",IF(AND(K3728&lt;&gt;"",ISNA(MATCH(K3728,ctaNombre,0))),"⚠ Destino no registrado",IF(AND(P3728="Pago tarjeta",AE3728&lt;&gt;"Tarjeta de crédito"),"⚠ El destino debe ser tarjeta de crédito",IF(AND(P3728="Gasto",E3728="Depósitos y retiros"),"⚠ Usa tipo Transferencia",IF(AND(P3728="Resultado trading",AD3728&lt;&gt;"Cuenta de trading"),"⚠ Usa una cuenta de trading",IF(AND(G3728&lt;=0,P3728&lt;&gt;"Ajuste",P3728&lt;&gt;"Resultado trading"),"⚠ El monto debe ser positivo","✓")))))))))))))))</f>
        <v/>
      </c>
      <c r="P3728" s="52">
        <f>IF(OR(B3728="",G3728=""),"",IF(C3728="","Gasto",C3728))</f>
        <v/>
      </c>
      <c r="Q3728" s="52">
        <f>IF(P3728="","",IF(J3728&lt;&gt;"",J3728,CuentaPred&amp;""))</f>
        <v/>
      </c>
      <c r="R3728" s="52">
        <f>IF(P3728="","",IF(ISNUMBER(I3728),I3728,TasaUSD))</f>
        <v/>
      </c>
      <c r="S3728" s="53">
        <f>IF(P3728="","",IF(H3728="USD",G3728*R3728,G3728))</f>
        <v/>
      </c>
      <c r="T3728" s="53">
        <f>IF(P3728="","",IF(H3728="USD",G3728,IF(R3728&gt;0,G3728/R3728,0)))</f>
        <v/>
      </c>
      <c r="U3728" s="53">
        <f>IF(P3728="","",IF(P3728="Gasto",S3728,IF(P3728="Reembolso",-S3728,0)))</f>
        <v/>
      </c>
      <c r="V3728" s="53">
        <f>IF(P3728="","",IF(P3728="Ingreso",S3728,0))</f>
        <v/>
      </c>
      <c r="W3728" s="53">
        <f>IF(P3728="","",IF(P3728="Resultado trading",S3728,0))</f>
        <v/>
      </c>
      <c r="X3728" s="52">
        <f>IF(OR(P3728="Gasto",P3728="Reembolso"),IF(M3728&lt;&gt;"",M3728,IFERROR(INDEX(catClasif,MATCH(D3728&amp;"|"&amp;E3728,catClave,0))&amp;"","Variable")),"")</f>
        <v/>
      </c>
      <c r="Y3728" s="52">
        <f>IF(P3728="","",IFERROR(INDEX(catGrupo,MATCH(D3728&amp;"|"&amp;E3728,catClave,0))&amp;"",""))</f>
        <v/>
      </c>
      <c r="Z3728" s="52">
        <f>IF(P3728="","",WEEKDAY(B3728,2))</f>
        <v/>
      </c>
      <c r="AA3728" s="52">
        <f>IF(P3728="","",IF(AND(P3728="Gasto",X3728="Variable",D3728&lt;&gt;catTrading,S3728&gt;0,S3728&lt;=Umbral),1,0))</f>
        <v/>
      </c>
      <c r="AB3728" s="52">
        <f>IF(OR(P3728="",Q3728=""),"",IFERROR(IF(INDEX(ctaVinc,MATCH(Q3728,ctaNombre,0))&amp;""&lt;&gt;"",INDEX(ctaVinc,MATCH(Q3728,ctaNombre,0))&amp;"",Q3728),Q3728))</f>
        <v/>
      </c>
      <c r="AC3728" s="52">
        <f>IF(OR(K3728="",AND(P3728&lt;&gt;"Transferencia",P3728&lt;&gt;"Pago tarjeta")),"",IFERROR(IF(INDEX(ctaVinc,MATCH(K3728,ctaNombre,0))&amp;""&lt;&gt;"",INDEX(ctaVinc,MATCH(K3728,ctaNombre,0))&amp;"",K3728),K3728))</f>
        <v/>
      </c>
      <c r="AD3728" s="52">
        <f>IF(AB3728="","",IFERROR(INDEX(ctaTipo,MATCH(AB3728,ctaNombre,0))&amp;"",""))</f>
        <v/>
      </c>
      <c r="AE3728" s="52">
        <f>IF(AC3728="","",IFERROR(INDEX(ctaTipo,MATCH(AC3728,ctaNombre,0))&amp;"",""))</f>
        <v/>
      </c>
      <c r="AF3728" s="53">
        <f>IF(OR(P3728="",AB3728=""),"",IF(OR(P3728="Gasto",P3728="Transferencia",P3728="Pago tarjeta"),-1,1)*IF(IFERROR(INDEX(ctaMoneda,MATCH(AB3728,ctaNombre,0))&amp;"","DOP")="USD",T3728,S3728))</f>
        <v/>
      </c>
      <c r="AG3728" s="53">
        <f>IF(AC3728="","",IF(IFERROR(INDEX(ctaMoneda,MATCH(AC3728,ctaNombre,0))&amp;"","DOP")="USD",T3728,S3728))</f>
        <v/>
      </c>
      <c r="AH3728" s="53">
        <f>IF(P3728="","",IF(AND(AD3728&lt;&gt;"",COUNTIFS(tcTipo,AD3728,tcLiq,"Sí")&gt;0),IF(OR(P3728="Gasto",P3728="Transferencia",P3728="Pago tarjeta"),-1,1)*S3728,0)+IF(AND(AE3728&lt;&gt;"",COUNTIFS(tcTipo,AE3728,tcLiq,"Sí")&gt;0),S3728,0))</f>
        <v/>
      </c>
      <c r="AI3728" s="52">
        <f>IF(OR(L3728="",P3728=""),"",IF(COUNTIFS(L$6:L3728,L3728,P$6:P3728,"?*")=1,MAX(AI$5:AI3727)+1,""))</f>
        <v/>
      </c>
    </row>
    <row r="3729">
      <c r="B3729" s="47" t="n"/>
      <c r="C3729" s="48" t="n"/>
      <c r="D3729" s="48" t="n"/>
      <c r="E3729" s="48" t="n"/>
      <c r="F3729" s="48" t="n"/>
      <c r="G3729" s="49" t="n"/>
      <c r="H3729" s="48" t="n"/>
      <c r="I3729" s="50" t="n"/>
      <c r="J3729" s="48" t="n"/>
      <c r="K3729" s="48" t="n"/>
      <c r="L3729" s="48" t="n"/>
      <c r="M3729" s="48" t="n"/>
      <c r="N3729" s="48" t="n"/>
      <c r="O3729" s="51">
        <f>IF(AND(B3729="",G3729="",C3729="",D3729="",J3729=""),"",IF(B3729="","⚠ Falta fecha",IF(G3729="","⚠ Falta monto",IF(Q3729="","⚠ Falta cuenta",IF(ISNA(MATCH(Q3729,ctaNombre,0)),"⚠ Cuenta no registrada",IF(AND(OR(P3729="Gasto",P3729="Reembolso"),D3729=""),"⚠ Falta categoría",IF(AND(D3729&lt;&gt;"",E3729&lt;&gt;"",ISNA(MATCH(D3729&amp;"|"&amp;E3729,catClave,0))),"⚠ Subcategoría no corresponde",IF(AND(OR(P3729="Transferencia",P3729="Pago tarjeta"),K3729=""),"⚠ Falta cuenta destino",IF(AND(K3729&lt;&gt;"",P3729&lt;&gt;"Transferencia",P3729&lt;&gt;"Pago tarjeta"),"⚠ Destino solo aplica a transferencias",IF(AND(K3729&lt;&gt;"",K3729=Q3729),"⚠ Origen igual a destino",IF(AND(K3729&lt;&gt;"",ISNA(MATCH(K3729,ctaNombre,0))),"⚠ Destino no registrado",IF(AND(P3729="Pago tarjeta",AE3729&lt;&gt;"Tarjeta de crédito"),"⚠ El destino debe ser tarjeta de crédito",IF(AND(P3729="Gasto",E3729="Depósitos y retiros"),"⚠ Usa tipo Transferencia",IF(AND(P3729="Resultado trading",AD3729&lt;&gt;"Cuenta de trading"),"⚠ Usa una cuenta de trading",IF(AND(G3729&lt;=0,P3729&lt;&gt;"Ajuste",P3729&lt;&gt;"Resultado trading"),"⚠ El monto debe ser positivo","✓")))))))))))))))</f>
        <v/>
      </c>
      <c r="P3729" s="52">
        <f>IF(OR(B3729="",G3729=""),"",IF(C3729="","Gasto",C3729))</f>
        <v/>
      </c>
      <c r="Q3729" s="52">
        <f>IF(P3729="","",IF(J3729&lt;&gt;"",J3729,CuentaPred&amp;""))</f>
        <v/>
      </c>
      <c r="R3729" s="52">
        <f>IF(P3729="","",IF(ISNUMBER(I3729),I3729,TasaUSD))</f>
        <v/>
      </c>
      <c r="S3729" s="53">
        <f>IF(P3729="","",IF(H3729="USD",G3729*R3729,G3729))</f>
        <v/>
      </c>
      <c r="T3729" s="53">
        <f>IF(P3729="","",IF(H3729="USD",G3729,IF(R3729&gt;0,G3729/R3729,0)))</f>
        <v/>
      </c>
      <c r="U3729" s="53">
        <f>IF(P3729="","",IF(P3729="Gasto",S3729,IF(P3729="Reembolso",-S3729,0)))</f>
        <v/>
      </c>
      <c r="V3729" s="53">
        <f>IF(P3729="","",IF(P3729="Ingreso",S3729,0))</f>
        <v/>
      </c>
      <c r="W3729" s="53">
        <f>IF(P3729="","",IF(P3729="Resultado trading",S3729,0))</f>
        <v/>
      </c>
      <c r="X3729" s="52">
        <f>IF(OR(P3729="Gasto",P3729="Reembolso"),IF(M3729&lt;&gt;"",M3729,IFERROR(INDEX(catClasif,MATCH(D3729&amp;"|"&amp;E3729,catClave,0))&amp;"","Variable")),"")</f>
        <v/>
      </c>
      <c r="Y3729" s="52">
        <f>IF(P3729="","",IFERROR(INDEX(catGrupo,MATCH(D3729&amp;"|"&amp;E3729,catClave,0))&amp;"",""))</f>
        <v/>
      </c>
      <c r="Z3729" s="52">
        <f>IF(P3729="","",WEEKDAY(B3729,2))</f>
        <v/>
      </c>
      <c r="AA3729" s="52">
        <f>IF(P3729="","",IF(AND(P3729="Gasto",X3729="Variable",D3729&lt;&gt;catTrading,S3729&gt;0,S3729&lt;=Umbral),1,0))</f>
        <v/>
      </c>
      <c r="AB3729" s="52">
        <f>IF(OR(P3729="",Q3729=""),"",IFERROR(IF(INDEX(ctaVinc,MATCH(Q3729,ctaNombre,0))&amp;""&lt;&gt;"",INDEX(ctaVinc,MATCH(Q3729,ctaNombre,0))&amp;"",Q3729),Q3729))</f>
        <v/>
      </c>
      <c r="AC3729" s="52">
        <f>IF(OR(K3729="",AND(P3729&lt;&gt;"Transferencia",P3729&lt;&gt;"Pago tarjeta")),"",IFERROR(IF(INDEX(ctaVinc,MATCH(K3729,ctaNombre,0))&amp;""&lt;&gt;"",INDEX(ctaVinc,MATCH(K3729,ctaNombre,0))&amp;"",K3729),K3729))</f>
        <v/>
      </c>
      <c r="AD3729" s="52">
        <f>IF(AB3729="","",IFERROR(INDEX(ctaTipo,MATCH(AB3729,ctaNombre,0))&amp;"",""))</f>
        <v/>
      </c>
      <c r="AE3729" s="52">
        <f>IF(AC3729="","",IFERROR(INDEX(ctaTipo,MATCH(AC3729,ctaNombre,0))&amp;"",""))</f>
        <v/>
      </c>
      <c r="AF3729" s="53">
        <f>IF(OR(P3729="",AB3729=""),"",IF(OR(P3729="Gasto",P3729="Transferencia",P3729="Pago tarjeta"),-1,1)*IF(IFERROR(INDEX(ctaMoneda,MATCH(AB3729,ctaNombre,0))&amp;"","DOP")="USD",T3729,S3729))</f>
        <v/>
      </c>
      <c r="AG3729" s="53">
        <f>IF(AC3729="","",IF(IFERROR(INDEX(ctaMoneda,MATCH(AC3729,ctaNombre,0))&amp;"","DOP")="USD",T3729,S3729))</f>
        <v/>
      </c>
      <c r="AH3729" s="53">
        <f>IF(P3729="","",IF(AND(AD3729&lt;&gt;"",COUNTIFS(tcTipo,AD3729,tcLiq,"Sí")&gt;0),IF(OR(P3729="Gasto",P3729="Transferencia",P3729="Pago tarjeta"),-1,1)*S3729,0)+IF(AND(AE3729&lt;&gt;"",COUNTIFS(tcTipo,AE3729,tcLiq,"Sí")&gt;0),S3729,0))</f>
        <v/>
      </c>
      <c r="AI3729" s="52">
        <f>IF(OR(L3729="",P3729=""),"",IF(COUNTIFS(L$6:L3729,L3729,P$6:P3729,"?*")=1,MAX(AI$5:AI3728)+1,""))</f>
        <v/>
      </c>
    </row>
    <row r="3730">
      <c r="B3730" s="47" t="n"/>
      <c r="C3730" s="48" t="n"/>
      <c r="D3730" s="48" t="n"/>
      <c r="E3730" s="48" t="n"/>
      <c r="F3730" s="48" t="n"/>
      <c r="G3730" s="49" t="n"/>
      <c r="H3730" s="48" t="n"/>
      <c r="I3730" s="50" t="n"/>
      <c r="J3730" s="48" t="n"/>
      <c r="K3730" s="48" t="n"/>
      <c r="L3730" s="48" t="n"/>
      <c r="M3730" s="48" t="n"/>
      <c r="N3730" s="48" t="n"/>
      <c r="O3730" s="51">
        <f>IF(AND(B3730="",G3730="",C3730="",D3730="",J3730=""),"",IF(B3730="","⚠ Falta fecha",IF(G3730="","⚠ Falta monto",IF(Q3730="","⚠ Falta cuenta",IF(ISNA(MATCH(Q3730,ctaNombre,0)),"⚠ Cuenta no registrada",IF(AND(OR(P3730="Gasto",P3730="Reembolso"),D3730=""),"⚠ Falta categoría",IF(AND(D3730&lt;&gt;"",E3730&lt;&gt;"",ISNA(MATCH(D3730&amp;"|"&amp;E3730,catClave,0))),"⚠ Subcategoría no corresponde",IF(AND(OR(P3730="Transferencia",P3730="Pago tarjeta"),K3730=""),"⚠ Falta cuenta destino",IF(AND(K3730&lt;&gt;"",P3730&lt;&gt;"Transferencia",P3730&lt;&gt;"Pago tarjeta"),"⚠ Destino solo aplica a transferencias",IF(AND(K3730&lt;&gt;"",K3730=Q3730),"⚠ Origen igual a destino",IF(AND(K3730&lt;&gt;"",ISNA(MATCH(K3730,ctaNombre,0))),"⚠ Destino no registrado",IF(AND(P3730="Pago tarjeta",AE3730&lt;&gt;"Tarjeta de crédito"),"⚠ El destino debe ser tarjeta de crédito",IF(AND(P3730="Gasto",E3730="Depósitos y retiros"),"⚠ Usa tipo Transferencia",IF(AND(P3730="Resultado trading",AD3730&lt;&gt;"Cuenta de trading"),"⚠ Usa una cuenta de trading",IF(AND(G3730&lt;=0,P3730&lt;&gt;"Ajuste",P3730&lt;&gt;"Resultado trading"),"⚠ El monto debe ser positivo","✓")))))))))))))))</f>
        <v/>
      </c>
      <c r="P3730" s="52">
        <f>IF(OR(B3730="",G3730=""),"",IF(C3730="","Gasto",C3730))</f>
        <v/>
      </c>
      <c r="Q3730" s="52">
        <f>IF(P3730="","",IF(J3730&lt;&gt;"",J3730,CuentaPred&amp;""))</f>
        <v/>
      </c>
      <c r="R3730" s="52">
        <f>IF(P3730="","",IF(ISNUMBER(I3730),I3730,TasaUSD))</f>
        <v/>
      </c>
      <c r="S3730" s="53">
        <f>IF(P3730="","",IF(H3730="USD",G3730*R3730,G3730))</f>
        <v/>
      </c>
      <c r="T3730" s="53">
        <f>IF(P3730="","",IF(H3730="USD",G3730,IF(R3730&gt;0,G3730/R3730,0)))</f>
        <v/>
      </c>
      <c r="U3730" s="53">
        <f>IF(P3730="","",IF(P3730="Gasto",S3730,IF(P3730="Reembolso",-S3730,0)))</f>
        <v/>
      </c>
      <c r="V3730" s="53">
        <f>IF(P3730="","",IF(P3730="Ingreso",S3730,0))</f>
        <v/>
      </c>
      <c r="W3730" s="53">
        <f>IF(P3730="","",IF(P3730="Resultado trading",S3730,0))</f>
        <v/>
      </c>
      <c r="X3730" s="52">
        <f>IF(OR(P3730="Gasto",P3730="Reembolso"),IF(M3730&lt;&gt;"",M3730,IFERROR(INDEX(catClasif,MATCH(D3730&amp;"|"&amp;E3730,catClave,0))&amp;"","Variable")),"")</f>
        <v/>
      </c>
      <c r="Y3730" s="52">
        <f>IF(P3730="","",IFERROR(INDEX(catGrupo,MATCH(D3730&amp;"|"&amp;E3730,catClave,0))&amp;"",""))</f>
        <v/>
      </c>
      <c r="Z3730" s="52">
        <f>IF(P3730="","",WEEKDAY(B3730,2))</f>
        <v/>
      </c>
      <c r="AA3730" s="52">
        <f>IF(P3730="","",IF(AND(P3730="Gasto",X3730="Variable",D3730&lt;&gt;catTrading,S3730&gt;0,S3730&lt;=Umbral),1,0))</f>
        <v/>
      </c>
      <c r="AB3730" s="52">
        <f>IF(OR(P3730="",Q3730=""),"",IFERROR(IF(INDEX(ctaVinc,MATCH(Q3730,ctaNombre,0))&amp;""&lt;&gt;"",INDEX(ctaVinc,MATCH(Q3730,ctaNombre,0))&amp;"",Q3730),Q3730))</f>
        <v/>
      </c>
      <c r="AC3730" s="52">
        <f>IF(OR(K3730="",AND(P3730&lt;&gt;"Transferencia",P3730&lt;&gt;"Pago tarjeta")),"",IFERROR(IF(INDEX(ctaVinc,MATCH(K3730,ctaNombre,0))&amp;""&lt;&gt;"",INDEX(ctaVinc,MATCH(K3730,ctaNombre,0))&amp;"",K3730),K3730))</f>
        <v/>
      </c>
      <c r="AD3730" s="52">
        <f>IF(AB3730="","",IFERROR(INDEX(ctaTipo,MATCH(AB3730,ctaNombre,0))&amp;"",""))</f>
        <v/>
      </c>
      <c r="AE3730" s="52">
        <f>IF(AC3730="","",IFERROR(INDEX(ctaTipo,MATCH(AC3730,ctaNombre,0))&amp;"",""))</f>
        <v/>
      </c>
      <c r="AF3730" s="53">
        <f>IF(OR(P3730="",AB3730=""),"",IF(OR(P3730="Gasto",P3730="Transferencia",P3730="Pago tarjeta"),-1,1)*IF(IFERROR(INDEX(ctaMoneda,MATCH(AB3730,ctaNombre,0))&amp;"","DOP")="USD",T3730,S3730))</f>
        <v/>
      </c>
      <c r="AG3730" s="53">
        <f>IF(AC3730="","",IF(IFERROR(INDEX(ctaMoneda,MATCH(AC3730,ctaNombre,0))&amp;"","DOP")="USD",T3730,S3730))</f>
        <v/>
      </c>
      <c r="AH3730" s="53">
        <f>IF(P3730="","",IF(AND(AD3730&lt;&gt;"",COUNTIFS(tcTipo,AD3730,tcLiq,"Sí")&gt;0),IF(OR(P3730="Gasto",P3730="Transferencia",P3730="Pago tarjeta"),-1,1)*S3730,0)+IF(AND(AE3730&lt;&gt;"",COUNTIFS(tcTipo,AE3730,tcLiq,"Sí")&gt;0),S3730,0))</f>
        <v/>
      </c>
      <c r="AI3730" s="52">
        <f>IF(OR(L3730="",P3730=""),"",IF(COUNTIFS(L$6:L3730,L3730,P$6:P3730,"?*")=1,MAX(AI$5:AI3729)+1,""))</f>
        <v/>
      </c>
    </row>
    <row r="3731">
      <c r="B3731" s="47" t="n"/>
      <c r="C3731" s="48" t="n"/>
      <c r="D3731" s="48" t="n"/>
      <c r="E3731" s="48" t="n"/>
      <c r="F3731" s="48" t="n"/>
      <c r="G3731" s="49" t="n"/>
      <c r="H3731" s="48" t="n"/>
      <c r="I3731" s="50" t="n"/>
      <c r="J3731" s="48" t="n"/>
      <c r="K3731" s="48" t="n"/>
      <c r="L3731" s="48" t="n"/>
      <c r="M3731" s="48" t="n"/>
      <c r="N3731" s="48" t="n"/>
      <c r="O3731" s="51">
        <f>IF(AND(B3731="",G3731="",C3731="",D3731="",J3731=""),"",IF(B3731="","⚠ Falta fecha",IF(G3731="","⚠ Falta monto",IF(Q3731="","⚠ Falta cuenta",IF(ISNA(MATCH(Q3731,ctaNombre,0)),"⚠ Cuenta no registrada",IF(AND(OR(P3731="Gasto",P3731="Reembolso"),D3731=""),"⚠ Falta categoría",IF(AND(D3731&lt;&gt;"",E3731&lt;&gt;"",ISNA(MATCH(D3731&amp;"|"&amp;E3731,catClave,0))),"⚠ Subcategoría no corresponde",IF(AND(OR(P3731="Transferencia",P3731="Pago tarjeta"),K3731=""),"⚠ Falta cuenta destino",IF(AND(K3731&lt;&gt;"",P3731&lt;&gt;"Transferencia",P3731&lt;&gt;"Pago tarjeta"),"⚠ Destino solo aplica a transferencias",IF(AND(K3731&lt;&gt;"",K3731=Q3731),"⚠ Origen igual a destino",IF(AND(K3731&lt;&gt;"",ISNA(MATCH(K3731,ctaNombre,0))),"⚠ Destino no registrado",IF(AND(P3731="Pago tarjeta",AE3731&lt;&gt;"Tarjeta de crédito"),"⚠ El destino debe ser tarjeta de crédito",IF(AND(P3731="Gasto",E3731="Depósitos y retiros"),"⚠ Usa tipo Transferencia",IF(AND(P3731="Resultado trading",AD3731&lt;&gt;"Cuenta de trading"),"⚠ Usa una cuenta de trading",IF(AND(G3731&lt;=0,P3731&lt;&gt;"Ajuste",P3731&lt;&gt;"Resultado trading"),"⚠ El monto debe ser positivo","✓")))))))))))))))</f>
        <v/>
      </c>
      <c r="P3731" s="52">
        <f>IF(OR(B3731="",G3731=""),"",IF(C3731="","Gasto",C3731))</f>
        <v/>
      </c>
      <c r="Q3731" s="52">
        <f>IF(P3731="","",IF(J3731&lt;&gt;"",J3731,CuentaPred&amp;""))</f>
        <v/>
      </c>
      <c r="R3731" s="52">
        <f>IF(P3731="","",IF(ISNUMBER(I3731),I3731,TasaUSD))</f>
        <v/>
      </c>
      <c r="S3731" s="53">
        <f>IF(P3731="","",IF(H3731="USD",G3731*R3731,G3731))</f>
        <v/>
      </c>
      <c r="T3731" s="53">
        <f>IF(P3731="","",IF(H3731="USD",G3731,IF(R3731&gt;0,G3731/R3731,0)))</f>
        <v/>
      </c>
      <c r="U3731" s="53">
        <f>IF(P3731="","",IF(P3731="Gasto",S3731,IF(P3731="Reembolso",-S3731,0)))</f>
        <v/>
      </c>
      <c r="V3731" s="53">
        <f>IF(P3731="","",IF(P3731="Ingreso",S3731,0))</f>
        <v/>
      </c>
      <c r="W3731" s="53">
        <f>IF(P3731="","",IF(P3731="Resultado trading",S3731,0))</f>
        <v/>
      </c>
      <c r="X3731" s="52">
        <f>IF(OR(P3731="Gasto",P3731="Reembolso"),IF(M3731&lt;&gt;"",M3731,IFERROR(INDEX(catClasif,MATCH(D3731&amp;"|"&amp;E3731,catClave,0))&amp;"","Variable")),"")</f>
        <v/>
      </c>
      <c r="Y3731" s="52">
        <f>IF(P3731="","",IFERROR(INDEX(catGrupo,MATCH(D3731&amp;"|"&amp;E3731,catClave,0))&amp;"",""))</f>
        <v/>
      </c>
      <c r="Z3731" s="52">
        <f>IF(P3731="","",WEEKDAY(B3731,2))</f>
        <v/>
      </c>
      <c r="AA3731" s="52">
        <f>IF(P3731="","",IF(AND(P3731="Gasto",X3731="Variable",D3731&lt;&gt;catTrading,S3731&gt;0,S3731&lt;=Umbral),1,0))</f>
        <v/>
      </c>
      <c r="AB3731" s="52">
        <f>IF(OR(P3731="",Q3731=""),"",IFERROR(IF(INDEX(ctaVinc,MATCH(Q3731,ctaNombre,0))&amp;""&lt;&gt;"",INDEX(ctaVinc,MATCH(Q3731,ctaNombre,0))&amp;"",Q3731),Q3731))</f>
        <v/>
      </c>
      <c r="AC3731" s="52">
        <f>IF(OR(K3731="",AND(P3731&lt;&gt;"Transferencia",P3731&lt;&gt;"Pago tarjeta")),"",IFERROR(IF(INDEX(ctaVinc,MATCH(K3731,ctaNombre,0))&amp;""&lt;&gt;"",INDEX(ctaVinc,MATCH(K3731,ctaNombre,0))&amp;"",K3731),K3731))</f>
        <v/>
      </c>
      <c r="AD3731" s="52">
        <f>IF(AB3731="","",IFERROR(INDEX(ctaTipo,MATCH(AB3731,ctaNombre,0))&amp;"",""))</f>
        <v/>
      </c>
      <c r="AE3731" s="52">
        <f>IF(AC3731="","",IFERROR(INDEX(ctaTipo,MATCH(AC3731,ctaNombre,0))&amp;"",""))</f>
        <v/>
      </c>
      <c r="AF3731" s="53">
        <f>IF(OR(P3731="",AB3731=""),"",IF(OR(P3731="Gasto",P3731="Transferencia",P3731="Pago tarjeta"),-1,1)*IF(IFERROR(INDEX(ctaMoneda,MATCH(AB3731,ctaNombre,0))&amp;"","DOP")="USD",T3731,S3731))</f>
        <v/>
      </c>
      <c r="AG3731" s="53">
        <f>IF(AC3731="","",IF(IFERROR(INDEX(ctaMoneda,MATCH(AC3731,ctaNombre,0))&amp;"","DOP")="USD",T3731,S3731))</f>
        <v/>
      </c>
      <c r="AH3731" s="53">
        <f>IF(P3731="","",IF(AND(AD3731&lt;&gt;"",COUNTIFS(tcTipo,AD3731,tcLiq,"Sí")&gt;0),IF(OR(P3731="Gasto",P3731="Transferencia",P3731="Pago tarjeta"),-1,1)*S3731,0)+IF(AND(AE3731&lt;&gt;"",COUNTIFS(tcTipo,AE3731,tcLiq,"Sí")&gt;0),S3731,0))</f>
        <v/>
      </c>
      <c r="AI3731" s="52">
        <f>IF(OR(L3731="",P3731=""),"",IF(COUNTIFS(L$6:L3731,L3731,P$6:P3731,"?*")=1,MAX(AI$5:AI3730)+1,""))</f>
        <v/>
      </c>
    </row>
    <row r="3732">
      <c r="B3732" s="47" t="n"/>
      <c r="C3732" s="48" t="n"/>
      <c r="D3732" s="48" t="n"/>
      <c r="E3732" s="48" t="n"/>
      <c r="F3732" s="48" t="n"/>
      <c r="G3732" s="49" t="n"/>
      <c r="H3732" s="48" t="n"/>
      <c r="I3732" s="50" t="n"/>
      <c r="J3732" s="48" t="n"/>
      <c r="K3732" s="48" t="n"/>
      <c r="L3732" s="48" t="n"/>
      <c r="M3732" s="48" t="n"/>
      <c r="N3732" s="48" t="n"/>
      <c r="O3732" s="51">
        <f>IF(AND(B3732="",G3732="",C3732="",D3732="",J3732=""),"",IF(B3732="","⚠ Falta fecha",IF(G3732="","⚠ Falta monto",IF(Q3732="","⚠ Falta cuenta",IF(ISNA(MATCH(Q3732,ctaNombre,0)),"⚠ Cuenta no registrada",IF(AND(OR(P3732="Gasto",P3732="Reembolso"),D3732=""),"⚠ Falta categoría",IF(AND(D3732&lt;&gt;"",E3732&lt;&gt;"",ISNA(MATCH(D3732&amp;"|"&amp;E3732,catClave,0))),"⚠ Subcategoría no corresponde",IF(AND(OR(P3732="Transferencia",P3732="Pago tarjeta"),K3732=""),"⚠ Falta cuenta destino",IF(AND(K3732&lt;&gt;"",P3732&lt;&gt;"Transferencia",P3732&lt;&gt;"Pago tarjeta"),"⚠ Destino solo aplica a transferencias",IF(AND(K3732&lt;&gt;"",K3732=Q3732),"⚠ Origen igual a destino",IF(AND(K3732&lt;&gt;"",ISNA(MATCH(K3732,ctaNombre,0))),"⚠ Destino no registrado",IF(AND(P3732="Pago tarjeta",AE3732&lt;&gt;"Tarjeta de crédito"),"⚠ El destino debe ser tarjeta de crédito",IF(AND(P3732="Gasto",E3732="Depósitos y retiros"),"⚠ Usa tipo Transferencia",IF(AND(P3732="Resultado trading",AD3732&lt;&gt;"Cuenta de trading"),"⚠ Usa una cuenta de trading",IF(AND(G3732&lt;=0,P3732&lt;&gt;"Ajuste",P3732&lt;&gt;"Resultado trading"),"⚠ El monto debe ser positivo","✓")))))))))))))))</f>
        <v/>
      </c>
      <c r="P3732" s="52">
        <f>IF(OR(B3732="",G3732=""),"",IF(C3732="","Gasto",C3732))</f>
        <v/>
      </c>
      <c r="Q3732" s="52">
        <f>IF(P3732="","",IF(J3732&lt;&gt;"",J3732,CuentaPred&amp;""))</f>
        <v/>
      </c>
      <c r="R3732" s="52">
        <f>IF(P3732="","",IF(ISNUMBER(I3732),I3732,TasaUSD))</f>
        <v/>
      </c>
      <c r="S3732" s="53">
        <f>IF(P3732="","",IF(H3732="USD",G3732*R3732,G3732))</f>
        <v/>
      </c>
      <c r="T3732" s="53">
        <f>IF(P3732="","",IF(H3732="USD",G3732,IF(R3732&gt;0,G3732/R3732,0)))</f>
        <v/>
      </c>
      <c r="U3732" s="53">
        <f>IF(P3732="","",IF(P3732="Gasto",S3732,IF(P3732="Reembolso",-S3732,0)))</f>
        <v/>
      </c>
      <c r="V3732" s="53">
        <f>IF(P3732="","",IF(P3732="Ingreso",S3732,0))</f>
        <v/>
      </c>
      <c r="W3732" s="53">
        <f>IF(P3732="","",IF(P3732="Resultado trading",S3732,0))</f>
        <v/>
      </c>
      <c r="X3732" s="52">
        <f>IF(OR(P3732="Gasto",P3732="Reembolso"),IF(M3732&lt;&gt;"",M3732,IFERROR(INDEX(catClasif,MATCH(D3732&amp;"|"&amp;E3732,catClave,0))&amp;"","Variable")),"")</f>
        <v/>
      </c>
      <c r="Y3732" s="52">
        <f>IF(P3732="","",IFERROR(INDEX(catGrupo,MATCH(D3732&amp;"|"&amp;E3732,catClave,0))&amp;"",""))</f>
        <v/>
      </c>
      <c r="Z3732" s="52">
        <f>IF(P3732="","",WEEKDAY(B3732,2))</f>
        <v/>
      </c>
      <c r="AA3732" s="52">
        <f>IF(P3732="","",IF(AND(P3732="Gasto",X3732="Variable",D3732&lt;&gt;catTrading,S3732&gt;0,S3732&lt;=Umbral),1,0))</f>
        <v/>
      </c>
      <c r="AB3732" s="52">
        <f>IF(OR(P3732="",Q3732=""),"",IFERROR(IF(INDEX(ctaVinc,MATCH(Q3732,ctaNombre,0))&amp;""&lt;&gt;"",INDEX(ctaVinc,MATCH(Q3732,ctaNombre,0))&amp;"",Q3732),Q3732))</f>
        <v/>
      </c>
      <c r="AC3732" s="52">
        <f>IF(OR(K3732="",AND(P3732&lt;&gt;"Transferencia",P3732&lt;&gt;"Pago tarjeta")),"",IFERROR(IF(INDEX(ctaVinc,MATCH(K3732,ctaNombre,0))&amp;""&lt;&gt;"",INDEX(ctaVinc,MATCH(K3732,ctaNombre,0))&amp;"",K3732),K3732))</f>
        <v/>
      </c>
      <c r="AD3732" s="52">
        <f>IF(AB3732="","",IFERROR(INDEX(ctaTipo,MATCH(AB3732,ctaNombre,0))&amp;"",""))</f>
        <v/>
      </c>
      <c r="AE3732" s="52">
        <f>IF(AC3732="","",IFERROR(INDEX(ctaTipo,MATCH(AC3732,ctaNombre,0))&amp;"",""))</f>
        <v/>
      </c>
      <c r="AF3732" s="53">
        <f>IF(OR(P3732="",AB3732=""),"",IF(OR(P3732="Gasto",P3732="Transferencia",P3732="Pago tarjeta"),-1,1)*IF(IFERROR(INDEX(ctaMoneda,MATCH(AB3732,ctaNombre,0))&amp;"","DOP")="USD",T3732,S3732))</f>
        <v/>
      </c>
      <c r="AG3732" s="53">
        <f>IF(AC3732="","",IF(IFERROR(INDEX(ctaMoneda,MATCH(AC3732,ctaNombre,0))&amp;"","DOP")="USD",T3732,S3732))</f>
        <v/>
      </c>
      <c r="AH3732" s="53">
        <f>IF(P3732="","",IF(AND(AD3732&lt;&gt;"",COUNTIFS(tcTipo,AD3732,tcLiq,"Sí")&gt;0),IF(OR(P3732="Gasto",P3732="Transferencia",P3732="Pago tarjeta"),-1,1)*S3732,0)+IF(AND(AE3732&lt;&gt;"",COUNTIFS(tcTipo,AE3732,tcLiq,"Sí")&gt;0),S3732,0))</f>
        <v/>
      </c>
      <c r="AI3732" s="52">
        <f>IF(OR(L3732="",P3732=""),"",IF(COUNTIFS(L$6:L3732,L3732,P$6:P3732,"?*")=1,MAX(AI$5:AI3731)+1,""))</f>
        <v/>
      </c>
    </row>
    <row r="3733">
      <c r="B3733" s="47" t="n"/>
      <c r="C3733" s="48" t="n"/>
      <c r="D3733" s="48" t="n"/>
      <c r="E3733" s="48" t="n"/>
      <c r="F3733" s="48" t="n"/>
      <c r="G3733" s="49" t="n"/>
      <c r="H3733" s="48" t="n"/>
      <c r="I3733" s="50" t="n"/>
      <c r="J3733" s="48" t="n"/>
      <c r="K3733" s="48" t="n"/>
      <c r="L3733" s="48" t="n"/>
      <c r="M3733" s="48" t="n"/>
      <c r="N3733" s="48" t="n"/>
      <c r="O3733" s="51">
        <f>IF(AND(B3733="",G3733="",C3733="",D3733="",J3733=""),"",IF(B3733="","⚠ Falta fecha",IF(G3733="","⚠ Falta monto",IF(Q3733="","⚠ Falta cuenta",IF(ISNA(MATCH(Q3733,ctaNombre,0)),"⚠ Cuenta no registrada",IF(AND(OR(P3733="Gasto",P3733="Reembolso"),D3733=""),"⚠ Falta categoría",IF(AND(D3733&lt;&gt;"",E3733&lt;&gt;"",ISNA(MATCH(D3733&amp;"|"&amp;E3733,catClave,0))),"⚠ Subcategoría no corresponde",IF(AND(OR(P3733="Transferencia",P3733="Pago tarjeta"),K3733=""),"⚠ Falta cuenta destino",IF(AND(K3733&lt;&gt;"",P3733&lt;&gt;"Transferencia",P3733&lt;&gt;"Pago tarjeta"),"⚠ Destino solo aplica a transferencias",IF(AND(K3733&lt;&gt;"",K3733=Q3733),"⚠ Origen igual a destino",IF(AND(K3733&lt;&gt;"",ISNA(MATCH(K3733,ctaNombre,0))),"⚠ Destino no registrado",IF(AND(P3733="Pago tarjeta",AE3733&lt;&gt;"Tarjeta de crédito"),"⚠ El destino debe ser tarjeta de crédito",IF(AND(P3733="Gasto",E3733="Depósitos y retiros"),"⚠ Usa tipo Transferencia",IF(AND(P3733="Resultado trading",AD3733&lt;&gt;"Cuenta de trading"),"⚠ Usa una cuenta de trading",IF(AND(G3733&lt;=0,P3733&lt;&gt;"Ajuste",P3733&lt;&gt;"Resultado trading"),"⚠ El monto debe ser positivo","✓")))))))))))))))</f>
        <v/>
      </c>
      <c r="P3733" s="52">
        <f>IF(OR(B3733="",G3733=""),"",IF(C3733="","Gasto",C3733))</f>
        <v/>
      </c>
      <c r="Q3733" s="52">
        <f>IF(P3733="","",IF(J3733&lt;&gt;"",J3733,CuentaPred&amp;""))</f>
        <v/>
      </c>
      <c r="R3733" s="52">
        <f>IF(P3733="","",IF(ISNUMBER(I3733),I3733,TasaUSD))</f>
        <v/>
      </c>
      <c r="S3733" s="53">
        <f>IF(P3733="","",IF(H3733="USD",G3733*R3733,G3733))</f>
        <v/>
      </c>
      <c r="T3733" s="53">
        <f>IF(P3733="","",IF(H3733="USD",G3733,IF(R3733&gt;0,G3733/R3733,0)))</f>
        <v/>
      </c>
      <c r="U3733" s="53">
        <f>IF(P3733="","",IF(P3733="Gasto",S3733,IF(P3733="Reembolso",-S3733,0)))</f>
        <v/>
      </c>
      <c r="V3733" s="53">
        <f>IF(P3733="","",IF(P3733="Ingreso",S3733,0))</f>
        <v/>
      </c>
      <c r="W3733" s="53">
        <f>IF(P3733="","",IF(P3733="Resultado trading",S3733,0))</f>
        <v/>
      </c>
      <c r="X3733" s="52">
        <f>IF(OR(P3733="Gasto",P3733="Reembolso"),IF(M3733&lt;&gt;"",M3733,IFERROR(INDEX(catClasif,MATCH(D3733&amp;"|"&amp;E3733,catClave,0))&amp;"","Variable")),"")</f>
        <v/>
      </c>
      <c r="Y3733" s="52">
        <f>IF(P3733="","",IFERROR(INDEX(catGrupo,MATCH(D3733&amp;"|"&amp;E3733,catClave,0))&amp;"",""))</f>
        <v/>
      </c>
      <c r="Z3733" s="52">
        <f>IF(P3733="","",WEEKDAY(B3733,2))</f>
        <v/>
      </c>
      <c r="AA3733" s="52">
        <f>IF(P3733="","",IF(AND(P3733="Gasto",X3733="Variable",D3733&lt;&gt;catTrading,S3733&gt;0,S3733&lt;=Umbral),1,0))</f>
        <v/>
      </c>
      <c r="AB3733" s="52">
        <f>IF(OR(P3733="",Q3733=""),"",IFERROR(IF(INDEX(ctaVinc,MATCH(Q3733,ctaNombre,0))&amp;""&lt;&gt;"",INDEX(ctaVinc,MATCH(Q3733,ctaNombre,0))&amp;"",Q3733),Q3733))</f>
        <v/>
      </c>
      <c r="AC3733" s="52">
        <f>IF(OR(K3733="",AND(P3733&lt;&gt;"Transferencia",P3733&lt;&gt;"Pago tarjeta")),"",IFERROR(IF(INDEX(ctaVinc,MATCH(K3733,ctaNombre,0))&amp;""&lt;&gt;"",INDEX(ctaVinc,MATCH(K3733,ctaNombre,0))&amp;"",K3733),K3733))</f>
        <v/>
      </c>
      <c r="AD3733" s="52">
        <f>IF(AB3733="","",IFERROR(INDEX(ctaTipo,MATCH(AB3733,ctaNombre,0))&amp;"",""))</f>
        <v/>
      </c>
      <c r="AE3733" s="52">
        <f>IF(AC3733="","",IFERROR(INDEX(ctaTipo,MATCH(AC3733,ctaNombre,0))&amp;"",""))</f>
        <v/>
      </c>
      <c r="AF3733" s="53">
        <f>IF(OR(P3733="",AB3733=""),"",IF(OR(P3733="Gasto",P3733="Transferencia",P3733="Pago tarjeta"),-1,1)*IF(IFERROR(INDEX(ctaMoneda,MATCH(AB3733,ctaNombre,0))&amp;"","DOP")="USD",T3733,S3733))</f>
        <v/>
      </c>
      <c r="AG3733" s="53">
        <f>IF(AC3733="","",IF(IFERROR(INDEX(ctaMoneda,MATCH(AC3733,ctaNombre,0))&amp;"","DOP")="USD",T3733,S3733))</f>
        <v/>
      </c>
      <c r="AH3733" s="53">
        <f>IF(P3733="","",IF(AND(AD3733&lt;&gt;"",COUNTIFS(tcTipo,AD3733,tcLiq,"Sí")&gt;0),IF(OR(P3733="Gasto",P3733="Transferencia",P3733="Pago tarjeta"),-1,1)*S3733,0)+IF(AND(AE3733&lt;&gt;"",COUNTIFS(tcTipo,AE3733,tcLiq,"Sí")&gt;0),S3733,0))</f>
        <v/>
      </c>
      <c r="AI3733" s="52">
        <f>IF(OR(L3733="",P3733=""),"",IF(COUNTIFS(L$6:L3733,L3733,P$6:P3733,"?*")=1,MAX(AI$5:AI3732)+1,""))</f>
        <v/>
      </c>
    </row>
    <row r="3734">
      <c r="B3734" s="47" t="n"/>
      <c r="C3734" s="48" t="n"/>
      <c r="D3734" s="48" t="n"/>
      <c r="E3734" s="48" t="n"/>
      <c r="F3734" s="48" t="n"/>
      <c r="G3734" s="49" t="n"/>
      <c r="H3734" s="48" t="n"/>
      <c r="I3734" s="50" t="n"/>
      <c r="J3734" s="48" t="n"/>
      <c r="K3734" s="48" t="n"/>
      <c r="L3734" s="48" t="n"/>
      <c r="M3734" s="48" t="n"/>
      <c r="N3734" s="48" t="n"/>
      <c r="O3734" s="51">
        <f>IF(AND(B3734="",G3734="",C3734="",D3734="",J3734=""),"",IF(B3734="","⚠ Falta fecha",IF(G3734="","⚠ Falta monto",IF(Q3734="","⚠ Falta cuenta",IF(ISNA(MATCH(Q3734,ctaNombre,0)),"⚠ Cuenta no registrada",IF(AND(OR(P3734="Gasto",P3734="Reembolso"),D3734=""),"⚠ Falta categoría",IF(AND(D3734&lt;&gt;"",E3734&lt;&gt;"",ISNA(MATCH(D3734&amp;"|"&amp;E3734,catClave,0))),"⚠ Subcategoría no corresponde",IF(AND(OR(P3734="Transferencia",P3734="Pago tarjeta"),K3734=""),"⚠ Falta cuenta destino",IF(AND(K3734&lt;&gt;"",P3734&lt;&gt;"Transferencia",P3734&lt;&gt;"Pago tarjeta"),"⚠ Destino solo aplica a transferencias",IF(AND(K3734&lt;&gt;"",K3734=Q3734),"⚠ Origen igual a destino",IF(AND(K3734&lt;&gt;"",ISNA(MATCH(K3734,ctaNombre,0))),"⚠ Destino no registrado",IF(AND(P3734="Pago tarjeta",AE3734&lt;&gt;"Tarjeta de crédito"),"⚠ El destino debe ser tarjeta de crédito",IF(AND(P3734="Gasto",E3734="Depósitos y retiros"),"⚠ Usa tipo Transferencia",IF(AND(P3734="Resultado trading",AD3734&lt;&gt;"Cuenta de trading"),"⚠ Usa una cuenta de trading",IF(AND(G3734&lt;=0,P3734&lt;&gt;"Ajuste",P3734&lt;&gt;"Resultado trading"),"⚠ El monto debe ser positivo","✓")))))))))))))))</f>
        <v/>
      </c>
      <c r="P3734" s="52">
        <f>IF(OR(B3734="",G3734=""),"",IF(C3734="","Gasto",C3734))</f>
        <v/>
      </c>
      <c r="Q3734" s="52">
        <f>IF(P3734="","",IF(J3734&lt;&gt;"",J3734,CuentaPred&amp;""))</f>
        <v/>
      </c>
      <c r="R3734" s="52">
        <f>IF(P3734="","",IF(ISNUMBER(I3734),I3734,TasaUSD))</f>
        <v/>
      </c>
      <c r="S3734" s="53">
        <f>IF(P3734="","",IF(H3734="USD",G3734*R3734,G3734))</f>
        <v/>
      </c>
      <c r="T3734" s="53">
        <f>IF(P3734="","",IF(H3734="USD",G3734,IF(R3734&gt;0,G3734/R3734,0)))</f>
        <v/>
      </c>
      <c r="U3734" s="53">
        <f>IF(P3734="","",IF(P3734="Gasto",S3734,IF(P3734="Reembolso",-S3734,0)))</f>
        <v/>
      </c>
      <c r="V3734" s="53">
        <f>IF(P3734="","",IF(P3734="Ingreso",S3734,0))</f>
        <v/>
      </c>
      <c r="W3734" s="53">
        <f>IF(P3734="","",IF(P3734="Resultado trading",S3734,0))</f>
        <v/>
      </c>
      <c r="X3734" s="52">
        <f>IF(OR(P3734="Gasto",P3734="Reembolso"),IF(M3734&lt;&gt;"",M3734,IFERROR(INDEX(catClasif,MATCH(D3734&amp;"|"&amp;E3734,catClave,0))&amp;"","Variable")),"")</f>
        <v/>
      </c>
      <c r="Y3734" s="52">
        <f>IF(P3734="","",IFERROR(INDEX(catGrupo,MATCH(D3734&amp;"|"&amp;E3734,catClave,0))&amp;"",""))</f>
        <v/>
      </c>
      <c r="Z3734" s="52">
        <f>IF(P3734="","",WEEKDAY(B3734,2))</f>
        <v/>
      </c>
      <c r="AA3734" s="52">
        <f>IF(P3734="","",IF(AND(P3734="Gasto",X3734="Variable",D3734&lt;&gt;catTrading,S3734&gt;0,S3734&lt;=Umbral),1,0))</f>
        <v/>
      </c>
      <c r="AB3734" s="52">
        <f>IF(OR(P3734="",Q3734=""),"",IFERROR(IF(INDEX(ctaVinc,MATCH(Q3734,ctaNombre,0))&amp;""&lt;&gt;"",INDEX(ctaVinc,MATCH(Q3734,ctaNombre,0))&amp;"",Q3734),Q3734))</f>
        <v/>
      </c>
      <c r="AC3734" s="52">
        <f>IF(OR(K3734="",AND(P3734&lt;&gt;"Transferencia",P3734&lt;&gt;"Pago tarjeta")),"",IFERROR(IF(INDEX(ctaVinc,MATCH(K3734,ctaNombre,0))&amp;""&lt;&gt;"",INDEX(ctaVinc,MATCH(K3734,ctaNombre,0))&amp;"",K3734),K3734))</f>
        <v/>
      </c>
      <c r="AD3734" s="52">
        <f>IF(AB3734="","",IFERROR(INDEX(ctaTipo,MATCH(AB3734,ctaNombre,0))&amp;"",""))</f>
        <v/>
      </c>
      <c r="AE3734" s="52">
        <f>IF(AC3734="","",IFERROR(INDEX(ctaTipo,MATCH(AC3734,ctaNombre,0))&amp;"",""))</f>
        <v/>
      </c>
      <c r="AF3734" s="53">
        <f>IF(OR(P3734="",AB3734=""),"",IF(OR(P3734="Gasto",P3734="Transferencia",P3734="Pago tarjeta"),-1,1)*IF(IFERROR(INDEX(ctaMoneda,MATCH(AB3734,ctaNombre,0))&amp;"","DOP")="USD",T3734,S3734))</f>
        <v/>
      </c>
      <c r="AG3734" s="53">
        <f>IF(AC3734="","",IF(IFERROR(INDEX(ctaMoneda,MATCH(AC3734,ctaNombre,0))&amp;"","DOP")="USD",T3734,S3734))</f>
        <v/>
      </c>
      <c r="AH3734" s="53">
        <f>IF(P3734="","",IF(AND(AD3734&lt;&gt;"",COUNTIFS(tcTipo,AD3734,tcLiq,"Sí")&gt;0),IF(OR(P3734="Gasto",P3734="Transferencia",P3734="Pago tarjeta"),-1,1)*S3734,0)+IF(AND(AE3734&lt;&gt;"",COUNTIFS(tcTipo,AE3734,tcLiq,"Sí")&gt;0),S3734,0))</f>
        <v/>
      </c>
      <c r="AI3734" s="52">
        <f>IF(OR(L3734="",P3734=""),"",IF(COUNTIFS(L$6:L3734,L3734,P$6:P3734,"?*")=1,MAX(AI$5:AI3733)+1,""))</f>
        <v/>
      </c>
    </row>
    <row r="3735">
      <c r="B3735" s="47" t="n"/>
      <c r="C3735" s="48" t="n"/>
      <c r="D3735" s="48" t="n"/>
      <c r="E3735" s="48" t="n"/>
      <c r="F3735" s="48" t="n"/>
      <c r="G3735" s="49" t="n"/>
      <c r="H3735" s="48" t="n"/>
      <c r="I3735" s="50" t="n"/>
      <c r="J3735" s="48" t="n"/>
      <c r="K3735" s="48" t="n"/>
      <c r="L3735" s="48" t="n"/>
      <c r="M3735" s="48" t="n"/>
      <c r="N3735" s="48" t="n"/>
      <c r="O3735" s="51">
        <f>IF(AND(B3735="",G3735="",C3735="",D3735="",J3735=""),"",IF(B3735="","⚠ Falta fecha",IF(G3735="","⚠ Falta monto",IF(Q3735="","⚠ Falta cuenta",IF(ISNA(MATCH(Q3735,ctaNombre,0)),"⚠ Cuenta no registrada",IF(AND(OR(P3735="Gasto",P3735="Reembolso"),D3735=""),"⚠ Falta categoría",IF(AND(D3735&lt;&gt;"",E3735&lt;&gt;"",ISNA(MATCH(D3735&amp;"|"&amp;E3735,catClave,0))),"⚠ Subcategoría no corresponde",IF(AND(OR(P3735="Transferencia",P3735="Pago tarjeta"),K3735=""),"⚠ Falta cuenta destino",IF(AND(K3735&lt;&gt;"",P3735&lt;&gt;"Transferencia",P3735&lt;&gt;"Pago tarjeta"),"⚠ Destino solo aplica a transferencias",IF(AND(K3735&lt;&gt;"",K3735=Q3735),"⚠ Origen igual a destino",IF(AND(K3735&lt;&gt;"",ISNA(MATCH(K3735,ctaNombre,0))),"⚠ Destino no registrado",IF(AND(P3735="Pago tarjeta",AE3735&lt;&gt;"Tarjeta de crédito"),"⚠ El destino debe ser tarjeta de crédito",IF(AND(P3735="Gasto",E3735="Depósitos y retiros"),"⚠ Usa tipo Transferencia",IF(AND(P3735="Resultado trading",AD3735&lt;&gt;"Cuenta de trading"),"⚠ Usa una cuenta de trading",IF(AND(G3735&lt;=0,P3735&lt;&gt;"Ajuste",P3735&lt;&gt;"Resultado trading"),"⚠ El monto debe ser positivo","✓")))))))))))))))</f>
        <v/>
      </c>
      <c r="P3735" s="52">
        <f>IF(OR(B3735="",G3735=""),"",IF(C3735="","Gasto",C3735))</f>
        <v/>
      </c>
      <c r="Q3735" s="52">
        <f>IF(P3735="","",IF(J3735&lt;&gt;"",J3735,CuentaPred&amp;""))</f>
        <v/>
      </c>
      <c r="R3735" s="52">
        <f>IF(P3735="","",IF(ISNUMBER(I3735),I3735,TasaUSD))</f>
        <v/>
      </c>
      <c r="S3735" s="53">
        <f>IF(P3735="","",IF(H3735="USD",G3735*R3735,G3735))</f>
        <v/>
      </c>
      <c r="T3735" s="53">
        <f>IF(P3735="","",IF(H3735="USD",G3735,IF(R3735&gt;0,G3735/R3735,0)))</f>
        <v/>
      </c>
      <c r="U3735" s="53">
        <f>IF(P3735="","",IF(P3735="Gasto",S3735,IF(P3735="Reembolso",-S3735,0)))</f>
        <v/>
      </c>
      <c r="V3735" s="53">
        <f>IF(P3735="","",IF(P3735="Ingreso",S3735,0))</f>
        <v/>
      </c>
      <c r="W3735" s="53">
        <f>IF(P3735="","",IF(P3735="Resultado trading",S3735,0))</f>
        <v/>
      </c>
      <c r="X3735" s="52">
        <f>IF(OR(P3735="Gasto",P3735="Reembolso"),IF(M3735&lt;&gt;"",M3735,IFERROR(INDEX(catClasif,MATCH(D3735&amp;"|"&amp;E3735,catClave,0))&amp;"","Variable")),"")</f>
        <v/>
      </c>
      <c r="Y3735" s="52">
        <f>IF(P3735="","",IFERROR(INDEX(catGrupo,MATCH(D3735&amp;"|"&amp;E3735,catClave,0))&amp;"",""))</f>
        <v/>
      </c>
      <c r="Z3735" s="52">
        <f>IF(P3735="","",WEEKDAY(B3735,2))</f>
        <v/>
      </c>
      <c r="AA3735" s="52">
        <f>IF(P3735="","",IF(AND(P3735="Gasto",X3735="Variable",D3735&lt;&gt;catTrading,S3735&gt;0,S3735&lt;=Umbral),1,0))</f>
        <v/>
      </c>
      <c r="AB3735" s="52">
        <f>IF(OR(P3735="",Q3735=""),"",IFERROR(IF(INDEX(ctaVinc,MATCH(Q3735,ctaNombre,0))&amp;""&lt;&gt;"",INDEX(ctaVinc,MATCH(Q3735,ctaNombre,0))&amp;"",Q3735),Q3735))</f>
        <v/>
      </c>
      <c r="AC3735" s="52">
        <f>IF(OR(K3735="",AND(P3735&lt;&gt;"Transferencia",P3735&lt;&gt;"Pago tarjeta")),"",IFERROR(IF(INDEX(ctaVinc,MATCH(K3735,ctaNombre,0))&amp;""&lt;&gt;"",INDEX(ctaVinc,MATCH(K3735,ctaNombre,0))&amp;"",K3735),K3735))</f>
        <v/>
      </c>
      <c r="AD3735" s="52">
        <f>IF(AB3735="","",IFERROR(INDEX(ctaTipo,MATCH(AB3735,ctaNombre,0))&amp;"",""))</f>
        <v/>
      </c>
      <c r="AE3735" s="52">
        <f>IF(AC3735="","",IFERROR(INDEX(ctaTipo,MATCH(AC3735,ctaNombre,0))&amp;"",""))</f>
        <v/>
      </c>
      <c r="AF3735" s="53">
        <f>IF(OR(P3735="",AB3735=""),"",IF(OR(P3735="Gasto",P3735="Transferencia",P3735="Pago tarjeta"),-1,1)*IF(IFERROR(INDEX(ctaMoneda,MATCH(AB3735,ctaNombre,0))&amp;"","DOP")="USD",T3735,S3735))</f>
        <v/>
      </c>
      <c r="AG3735" s="53">
        <f>IF(AC3735="","",IF(IFERROR(INDEX(ctaMoneda,MATCH(AC3735,ctaNombre,0))&amp;"","DOP")="USD",T3735,S3735))</f>
        <v/>
      </c>
      <c r="AH3735" s="53">
        <f>IF(P3735="","",IF(AND(AD3735&lt;&gt;"",COUNTIFS(tcTipo,AD3735,tcLiq,"Sí")&gt;0),IF(OR(P3735="Gasto",P3735="Transferencia",P3735="Pago tarjeta"),-1,1)*S3735,0)+IF(AND(AE3735&lt;&gt;"",COUNTIFS(tcTipo,AE3735,tcLiq,"Sí")&gt;0),S3735,0))</f>
        <v/>
      </c>
      <c r="AI3735" s="52">
        <f>IF(OR(L3735="",P3735=""),"",IF(COUNTIFS(L$6:L3735,L3735,P$6:P3735,"?*")=1,MAX(AI$5:AI3734)+1,""))</f>
        <v/>
      </c>
    </row>
    <row r="3736">
      <c r="B3736" s="47" t="n"/>
      <c r="C3736" s="48" t="n"/>
      <c r="D3736" s="48" t="n"/>
      <c r="E3736" s="48" t="n"/>
      <c r="F3736" s="48" t="n"/>
      <c r="G3736" s="49" t="n"/>
      <c r="H3736" s="48" t="n"/>
      <c r="I3736" s="50" t="n"/>
      <c r="J3736" s="48" t="n"/>
      <c r="K3736" s="48" t="n"/>
      <c r="L3736" s="48" t="n"/>
      <c r="M3736" s="48" t="n"/>
      <c r="N3736" s="48" t="n"/>
      <c r="O3736" s="51">
        <f>IF(AND(B3736="",G3736="",C3736="",D3736="",J3736=""),"",IF(B3736="","⚠ Falta fecha",IF(G3736="","⚠ Falta monto",IF(Q3736="","⚠ Falta cuenta",IF(ISNA(MATCH(Q3736,ctaNombre,0)),"⚠ Cuenta no registrada",IF(AND(OR(P3736="Gasto",P3736="Reembolso"),D3736=""),"⚠ Falta categoría",IF(AND(D3736&lt;&gt;"",E3736&lt;&gt;"",ISNA(MATCH(D3736&amp;"|"&amp;E3736,catClave,0))),"⚠ Subcategoría no corresponde",IF(AND(OR(P3736="Transferencia",P3736="Pago tarjeta"),K3736=""),"⚠ Falta cuenta destino",IF(AND(K3736&lt;&gt;"",P3736&lt;&gt;"Transferencia",P3736&lt;&gt;"Pago tarjeta"),"⚠ Destino solo aplica a transferencias",IF(AND(K3736&lt;&gt;"",K3736=Q3736),"⚠ Origen igual a destino",IF(AND(K3736&lt;&gt;"",ISNA(MATCH(K3736,ctaNombre,0))),"⚠ Destino no registrado",IF(AND(P3736="Pago tarjeta",AE3736&lt;&gt;"Tarjeta de crédito"),"⚠ El destino debe ser tarjeta de crédito",IF(AND(P3736="Gasto",E3736="Depósitos y retiros"),"⚠ Usa tipo Transferencia",IF(AND(P3736="Resultado trading",AD3736&lt;&gt;"Cuenta de trading"),"⚠ Usa una cuenta de trading",IF(AND(G3736&lt;=0,P3736&lt;&gt;"Ajuste",P3736&lt;&gt;"Resultado trading"),"⚠ El monto debe ser positivo","✓")))))))))))))))</f>
        <v/>
      </c>
      <c r="P3736" s="52">
        <f>IF(OR(B3736="",G3736=""),"",IF(C3736="","Gasto",C3736))</f>
        <v/>
      </c>
      <c r="Q3736" s="52">
        <f>IF(P3736="","",IF(J3736&lt;&gt;"",J3736,CuentaPred&amp;""))</f>
        <v/>
      </c>
      <c r="R3736" s="52">
        <f>IF(P3736="","",IF(ISNUMBER(I3736),I3736,TasaUSD))</f>
        <v/>
      </c>
      <c r="S3736" s="53">
        <f>IF(P3736="","",IF(H3736="USD",G3736*R3736,G3736))</f>
        <v/>
      </c>
      <c r="T3736" s="53">
        <f>IF(P3736="","",IF(H3736="USD",G3736,IF(R3736&gt;0,G3736/R3736,0)))</f>
        <v/>
      </c>
      <c r="U3736" s="53">
        <f>IF(P3736="","",IF(P3736="Gasto",S3736,IF(P3736="Reembolso",-S3736,0)))</f>
        <v/>
      </c>
      <c r="V3736" s="53">
        <f>IF(P3736="","",IF(P3736="Ingreso",S3736,0))</f>
        <v/>
      </c>
      <c r="W3736" s="53">
        <f>IF(P3736="","",IF(P3736="Resultado trading",S3736,0))</f>
        <v/>
      </c>
      <c r="X3736" s="52">
        <f>IF(OR(P3736="Gasto",P3736="Reembolso"),IF(M3736&lt;&gt;"",M3736,IFERROR(INDEX(catClasif,MATCH(D3736&amp;"|"&amp;E3736,catClave,0))&amp;"","Variable")),"")</f>
        <v/>
      </c>
      <c r="Y3736" s="52">
        <f>IF(P3736="","",IFERROR(INDEX(catGrupo,MATCH(D3736&amp;"|"&amp;E3736,catClave,0))&amp;"",""))</f>
        <v/>
      </c>
      <c r="Z3736" s="52">
        <f>IF(P3736="","",WEEKDAY(B3736,2))</f>
        <v/>
      </c>
      <c r="AA3736" s="52">
        <f>IF(P3736="","",IF(AND(P3736="Gasto",X3736="Variable",D3736&lt;&gt;catTrading,S3736&gt;0,S3736&lt;=Umbral),1,0))</f>
        <v/>
      </c>
      <c r="AB3736" s="52">
        <f>IF(OR(P3736="",Q3736=""),"",IFERROR(IF(INDEX(ctaVinc,MATCH(Q3736,ctaNombre,0))&amp;""&lt;&gt;"",INDEX(ctaVinc,MATCH(Q3736,ctaNombre,0))&amp;"",Q3736),Q3736))</f>
        <v/>
      </c>
      <c r="AC3736" s="52">
        <f>IF(OR(K3736="",AND(P3736&lt;&gt;"Transferencia",P3736&lt;&gt;"Pago tarjeta")),"",IFERROR(IF(INDEX(ctaVinc,MATCH(K3736,ctaNombre,0))&amp;""&lt;&gt;"",INDEX(ctaVinc,MATCH(K3736,ctaNombre,0))&amp;"",K3736),K3736))</f>
        <v/>
      </c>
      <c r="AD3736" s="52">
        <f>IF(AB3736="","",IFERROR(INDEX(ctaTipo,MATCH(AB3736,ctaNombre,0))&amp;"",""))</f>
        <v/>
      </c>
      <c r="AE3736" s="52">
        <f>IF(AC3736="","",IFERROR(INDEX(ctaTipo,MATCH(AC3736,ctaNombre,0))&amp;"",""))</f>
        <v/>
      </c>
      <c r="AF3736" s="53">
        <f>IF(OR(P3736="",AB3736=""),"",IF(OR(P3736="Gasto",P3736="Transferencia",P3736="Pago tarjeta"),-1,1)*IF(IFERROR(INDEX(ctaMoneda,MATCH(AB3736,ctaNombre,0))&amp;"","DOP")="USD",T3736,S3736))</f>
        <v/>
      </c>
      <c r="AG3736" s="53">
        <f>IF(AC3736="","",IF(IFERROR(INDEX(ctaMoneda,MATCH(AC3736,ctaNombre,0))&amp;"","DOP")="USD",T3736,S3736))</f>
        <v/>
      </c>
      <c r="AH3736" s="53">
        <f>IF(P3736="","",IF(AND(AD3736&lt;&gt;"",COUNTIFS(tcTipo,AD3736,tcLiq,"Sí")&gt;0),IF(OR(P3736="Gasto",P3736="Transferencia",P3736="Pago tarjeta"),-1,1)*S3736,0)+IF(AND(AE3736&lt;&gt;"",COUNTIFS(tcTipo,AE3736,tcLiq,"Sí")&gt;0),S3736,0))</f>
        <v/>
      </c>
      <c r="AI3736" s="52">
        <f>IF(OR(L3736="",P3736=""),"",IF(COUNTIFS(L$6:L3736,L3736,P$6:P3736,"?*")=1,MAX(AI$5:AI3735)+1,""))</f>
        <v/>
      </c>
    </row>
    <row r="3737">
      <c r="B3737" s="47" t="n"/>
      <c r="C3737" s="48" t="n"/>
      <c r="D3737" s="48" t="n"/>
      <c r="E3737" s="48" t="n"/>
      <c r="F3737" s="48" t="n"/>
      <c r="G3737" s="49" t="n"/>
      <c r="H3737" s="48" t="n"/>
      <c r="I3737" s="50" t="n"/>
      <c r="J3737" s="48" t="n"/>
      <c r="K3737" s="48" t="n"/>
      <c r="L3737" s="48" t="n"/>
      <c r="M3737" s="48" t="n"/>
      <c r="N3737" s="48" t="n"/>
      <c r="O3737" s="51">
        <f>IF(AND(B3737="",G3737="",C3737="",D3737="",J3737=""),"",IF(B3737="","⚠ Falta fecha",IF(G3737="","⚠ Falta monto",IF(Q3737="","⚠ Falta cuenta",IF(ISNA(MATCH(Q3737,ctaNombre,0)),"⚠ Cuenta no registrada",IF(AND(OR(P3737="Gasto",P3737="Reembolso"),D3737=""),"⚠ Falta categoría",IF(AND(D3737&lt;&gt;"",E3737&lt;&gt;"",ISNA(MATCH(D3737&amp;"|"&amp;E3737,catClave,0))),"⚠ Subcategoría no corresponde",IF(AND(OR(P3737="Transferencia",P3737="Pago tarjeta"),K3737=""),"⚠ Falta cuenta destino",IF(AND(K3737&lt;&gt;"",P3737&lt;&gt;"Transferencia",P3737&lt;&gt;"Pago tarjeta"),"⚠ Destino solo aplica a transferencias",IF(AND(K3737&lt;&gt;"",K3737=Q3737),"⚠ Origen igual a destino",IF(AND(K3737&lt;&gt;"",ISNA(MATCH(K3737,ctaNombre,0))),"⚠ Destino no registrado",IF(AND(P3737="Pago tarjeta",AE3737&lt;&gt;"Tarjeta de crédito"),"⚠ El destino debe ser tarjeta de crédito",IF(AND(P3737="Gasto",E3737="Depósitos y retiros"),"⚠ Usa tipo Transferencia",IF(AND(P3737="Resultado trading",AD3737&lt;&gt;"Cuenta de trading"),"⚠ Usa una cuenta de trading",IF(AND(G3737&lt;=0,P3737&lt;&gt;"Ajuste",P3737&lt;&gt;"Resultado trading"),"⚠ El monto debe ser positivo","✓")))))))))))))))</f>
        <v/>
      </c>
      <c r="P3737" s="52">
        <f>IF(OR(B3737="",G3737=""),"",IF(C3737="","Gasto",C3737))</f>
        <v/>
      </c>
      <c r="Q3737" s="52">
        <f>IF(P3737="","",IF(J3737&lt;&gt;"",J3737,CuentaPred&amp;""))</f>
        <v/>
      </c>
      <c r="R3737" s="52">
        <f>IF(P3737="","",IF(ISNUMBER(I3737),I3737,TasaUSD))</f>
        <v/>
      </c>
      <c r="S3737" s="53">
        <f>IF(P3737="","",IF(H3737="USD",G3737*R3737,G3737))</f>
        <v/>
      </c>
      <c r="T3737" s="53">
        <f>IF(P3737="","",IF(H3737="USD",G3737,IF(R3737&gt;0,G3737/R3737,0)))</f>
        <v/>
      </c>
      <c r="U3737" s="53">
        <f>IF(P3737="","",IF(P3737="Gasto",S3737,IF(P3737="Reembolso",-S3737,0)))</f>
        <v/>
      </c>
      <c r="V3737" s="53">
        <f>IF(P3737="","",IF(P3737="Ingreso",S3737,0))</f>
        <v/>
      </c>
      <c r="W3737" s="53">
        <f>IF(P3737="","",IF(P3737="Resultado trading",S3737,0))</f>
        <v/>
      </c>
      <c r="X3737" s="52">
        <f>IF(OR(P3737="Gasto",P3737="Reembolso"),IF(M3737&lt;&gt;"",M3737,IFERROR(INDEX(catClasif,MATCH(D3737&amp;"|"&amp;E3737,catClave,0))&amp;"","Variable")),"")</f>
        <v/>
      </c>
      <c r="Y3737" s="52">
        <f>IF(P3737="","",IFERROR(INDEX(catGrupo,MATCH(D3737&amp;"|"&amp;E3737,catClave,0))&amp;"",""))</f>
        <v/>
      </c>
      <c r="Z3737" s="52">
        <f>IF(P3737="","",WEEKDAY(B3737,2))</f>
        <v/>
      </c>
      <c r="AA3737" s="52">
        <f>IF(P3737="","",IF(AND(P3737="Gasto",X3737="Variable",D3737&lt;&gt;catTrading,S3737&gt;0,S3737&lt;=Umbral),1,0))</f>
        <v/>
      </c>
      <c r="AB3737" s="52">
        <f>IF(OR(P3737="",Q3737=""),"",IFERROR(IF(INDEX(ctaVinc,MATCH(Q3737,ctaNombre,0))&amp;""&lt;&gt;"",INDEX(ctaVinc,MATCH(Q3737,ctaNombre,0))&amp;"",Q3737),Q3737))</f>
        <v/>
      </c>
      <c r="AC3737" s="52">
        <f>IF(OR(K3737="",AND(P3737&lt;&gt;"Transferencia",P3737&lt;&gt;"Pago tarjeta")),"",IFERROR(IF(INDEX(ctaVinc,MATCH(K3737,ctaNombre,0))&amp;""&lt;&gt;"",INDEX(ctaVinc,MATCH(K3737,ctaNombre,0))&amp;"",K3737),K3737))</f>
        <v/>
      </c>
      <c r="AD3737" s="52">
        <f>IF(AB3737="","",IFERROR(INDEX(ctaTipo,MATCH(AB3737,ctaNombre,0))&amp;"",""))</f>
        <v/>
      </c>
      <c r="AE3737" s="52">
        <f>IF(AC3737="","",IFERROR(INDEX(ctaTipo,MATCH(AC3737,ctaNombre,0))&amp;"",""))</f>
        <v/>
      </c>
      <c r="AF3737" s="53">
        <f>IF(OR(P3737="",AB3737=""),"",IF(OR(P3737="Gasto",P3737="Transferencia",P3737="Pago tarjeta"),-1,1)*IF(IFERROR(INDEX(ctaMoneda,MATCH(AB3737,ctaNombre,0))&amp;"","DOP")="USD",T3737,S3737))</f>
        <v/>
      </c>
      <c r="AG3737" s="53">
        <f>IF(AC3737="","",IF(IFERROR(INDEX(ctaMoneda,MATCH(AC3737,ctaNombre,0))&amp;"","DOP")="USD",T3737,S3737))</f>
        <v/>
      </c>
      <c r="AH3737" s="53">
        <f>IF(P3737="","",IF(AND(AD3737&lt;&gt;"",COUNTIFS(tcTipo,AD3737,tcLiq,"Sí")&gt;0),IF(OR(P3737="Gasto",P3737="Transferencia",P3737="Pago tarjeta"),-1,1)*S3737,0)+IF(AND(AE3737&lt;&gt;"",COUNTIFS(tcTipo,AE3737,tcLiq,"Sí")&gt;0),S3737,0))</f>
        <v/>
      </c>
      <c r="AI3737" s="52">
        <f>IF(OR(L3737="",P3737=""),"",IF(COUNTIFS(L$6:L3737,L3737,P$6:P3737,"?*")=1,MAX(AI$5:AI3736)+1,""))</f>
        <v/>
      </c>
    </row>
    <row r="3738">
      <c r="B3738" s="47" t="n"/>
      <c r="C3738" s="48" t="n"/>
      <c r="D3738" s="48" t="n"/>
      <c r="E3738" s="48" t="n"/>
      <c r="F3738" s="48" t="n"/>
      <c r="G3738" s="49" t="n"/>
      <c r="H3738" s="48" t="n"/>
      <c r="I3738" s="50" t="n"/>
      <c r="J3738" s="48" t="n"/>
      <c r="K3738" s="48" t="n"/>
      <c r="L3738" s="48" t="n"/>
      <c r="M3738" s="48" t="n"/>
      <c r="N3738" s="48" t="n"/>
      <c r="O3738" s="51">
        <f>IF(AND(B3738="",G3738="",C3738="",D3738="",J3738=""),"",IF(B3738="","⚠ Falta fecha",IF(G3738="","⚠ Falta monto",IF(Q3738="","⚠ Falta cuenta",IF(ISNA(MATCH(Q3738,ctaNombre,0)),"⚠ Cuenta no registrada",IF(AND(OR(P3738="Gasto",P3738="Reembolso"),D3738=""),"⚠ Falta categoría",IF(AND(D3738&lt;&gt;"",E3738&lt;&gt;"",ISNA(MATCH(D3738&amp;"|"&amp;E3738,catClave,0))),"⚠ Subcategoría no corresponde",IF(AND(OR(P3738="Transferencia",P3738="Pago tarjeta"),K3738=""),"⚠ Falta cuenta destino",IF(AND(K3738&lt;&gt;"",P3738&lt;&gt;"Transferencia",P3738&lt;&gt;"Pago tarjeta"),"⚠ Destino solo aplica a transferencias",IF(AND(K3738&lt;&gt;"",K3738=Q3738),"⚠ Origen igual a destino",IF(AND(K3738&lt;&gt;"",ISNA(MATCH(K3738,ctaNombre,0))),"⚠ Destino no registrado",IF(AND(P3738="Pago tarjeta",AE3738&lt;&gt;"Tarjeta de crédito"),"⚠ El destino debe ser tarjeta de crédito",IF(AND(P3738="Gasto",E3738="Depósitos y retiros"),"⚠ Usa tipo Transferencia",IF(AND(P3738="Resultado trading",AD3738&lt;&gt;"Cuenta de trading"),"⚠ Usa una cuenta de trading",IF(AND(G3738&lt;=0,P3738&lt;&gt;"Ajuste",P3738&lt;&gt;"Resultado trading"),"⚠ El monto debe ser positivo","✓")))))))))))))))</f>
        <v/>
      </c>
      <c r="P3738" s="52">
        <f>IF(OR(B3738="",G3738=""),"",IF(C3738="","Gasto",C3738))</f>
        <v/>
      </c>
      <c r="Q3738" s="52">
        <f>IF(P3738="","",IF(J3738&lt;&gt;"",J3738,CuentaPred&amp;""))</f>
        <v/>
      </c>
      <c r="R3738" s="52">
        <f>IF(P3738="","",IF(ISNUMBER(I3738),I3738,TasaUSD))</f>
        <v/>
      </c>
      <c r="S3738" s="53">
        <f>IF(P3738="","",IF(H3738="USD",G3738*R3738,G3738))</f>
        <v/>
      </c>
      <c r="T3738" s="53">
        <f>IF(P3738="","",IF(H3738="USD",G3738,IF(R3738&gt;0,G3738/R3738,0)))</f>
        <v/>
      </c>
      <c r="U3738" s="53">
        <f>IF(P3738="","",IF(P3738="Gasto",S3738,IF(P3738="Reembolso",-S3738,0)))</f>
        <v/>
      </c>
      <c r="V3738" s="53">
        <f>IF(P3738="","",IF(P3738="Ingreso",S3738,0))</f>
        <v/>
      </c>
      <c r="W3738" s="53">
        <f>IF(P3738="","",IF(P3738="Resultado trading",S3738,0))</f>
        <v/>
      </c>
      <c r="X3738" s="52">
        <f>IF(OR(P3738="Gasto",P3738="Reembolso"),IF(M3738&lt;&gt;"",M3738,IFERROR(INDEX(catClasif,MATCH(D3738&amp;"|"&amp;E3738,catClave,0))&amp;"","Variable")),"")</f>
        <v/>
      </c>
      <c r="Y3738" s="52">
        <f>IF(P3738="","",IFERROR(INDEX(catGrupo,MATCH(D3738&amp;"|"&amp;E3738,catClave,0))&amp;"",""))</f>
        <v/>
      </c>
      <c r="Z3738" s="52">
        <f>IF(P3738="","",WEEKDAY(B3738,2))</f>
        <v/>
      </c>
      <c r="AA3738" s="52">
        <f>IF(P3738="","",IF(AND(P3738="Gasto",X3738="Variable",D3738&lt;&gt;catTrading,S3738&gt;0,S3738&lt;=Umbral),1,0))</f>
        <v/>
      </c>
      <c r="AB3738" s="52">
        <f>IF(OR(P3738="",Q3738=""),"",IFERROR(IF(INDEX(ctaVinc,MATCH(Q3738,ctaNombre,0))&amp;""&lt;&gt;"",INDEX(ctaVinc,MATCH(Q3738,ctaNombre,0))&amp;"",Q3738),Q3738))</f>
        <v/>
      </c>
      <c r="AC3738" s="52">
        <f>IF(OR(K3738="",AND(P3738&lt;&gt;"Transferencia",P3738&lt;&gt;"Pago tarjeta")),"",IFERROR(IF(INDEX(ctaVinc,MATCH(K3738,ctaNombre,0))&amp;""&lt;&gt;"",INDEX(ctaVinc,MATCH(K3738,ctaNombre,0))&amp;"",K3738),K3738))</f>
        <v/>
      </c>
      <c r="AD3738" s="52">
        <f>IF(AB3738="","",IFERROR(INDEX(ctaTipo,MATCH(AB3738,ctaNombre,0))&amp;"",""))</f>
        <v/>
      </c>
      <c r="AE3738" s="52">
        <f>IF(AC3738="","",IFERROR(INDEX(ctaTipo,MATCH(AC3738,ctaNombre,0))&amp;"",""))</f>
        <v/>
      </c>
      <c r="AF3738" s="53">
        <f>IF(OR(P3738="",AB3738=""),"",IF(OR(P3738="Gasto",P3738="Transferencia",P3738="Pago tarjeta"),-1,1)*IF(IFERROR(INDEX(ctaMoneda,MATCH(AB3738,ctaNombre,0))&amp;"","DOP")="USD",T3738,S3738))</f>
        <v/>
      </c>
      <c r="AG3738" s="53">
        <f>IF(AC3738="","",IF(IFERROR(INDEX(ctaMoneda,MATCH(AC3738,ctaNombre,0))&amp;"","DOP")="USD",T3738,S3738))</f>
        <v/>
      </c>
      <c r="AH3738" s="53">
        <f>IF(P3738="","",IF(AND(AD3738&lt;&gt;"",COUNTIFS(tcTipo,AD3738,tcLiq,"Sí")&gt;0),IF(OR(P3738="Gasto",P3738="Transferencia",P3738="Pago tarjeta"),-1,1)*S3738,0)+IF(AND(AE3738&lt;&gt;"",COUNTIFS(tcTipo,AE3738,tcLiq,"Sí")&gt;0),S3738,0))</f>
        <v/>
      </c>
      <c r="AI3738" s="52">
        <f>IF(OR(L3738="",P3738=""),"",IF(COUNTIFS(L$6:L3738,L3738,P$6:P3738,"?*")=1,MAX(AI$5:AI3737)+1,""))</f>
        <v/>
      </c>
    </row>
    <row r="3739">
      <c r="B3739" s="47" t="n"/>
      <c r="C3739" s="48" t="n"/>
      <c r="D3739" s="48" t="n"/>
      <c r="E3739" s="48" t="n"/>
      <c r="F3739" s="48" t="n"/>
      <c r="G3739" s="49" t="n"/>
      <c r="H3739" s="48" t="n"/>
      <c r="I3739" s="50" t="n"/>
      <c r="J3739" s="48" t="n"/>
      <c r="K3739" s="48" t="n"/>
      <c r="L3739" s="48" t="n"/>
      <c r="M3739" s="48" t="n"/>
      <c r="N3739" s="48" t="n"/>
      <c r="O3739" s="51">
        <f>IF(AND(B3739="",G3739="",C3739="",D3739="",J3739=""),"",IF(B3739="","⚠ Falta fecha",IF(G3739="","⚠ Falta monto",IF(Q3739="","⚠ Falta cuenta",IF(ISNA(MATCH(Q3739,ctaNombre,0)),"⚠ Cuenta no registrada",IF(AND(OR(P3739="Gasto",P3739="Reembolso"),D3739=""),"⚠ Falta categoría",IF(AND(D3739&lt;&gt;"",E3739&lt;&gt;"",ISNA(MATCH(D3739&amp;"|"&amp;E3739,catClave,0))),"⚠ Subcategoría no corresponde",IF(AND(OR(P3739="Transferencia",P3739="Pago tarjeta"),K3739=""),"⚠ Falta cuenta destino",IF(AND(K3739&lt;&gt;"",P3739&lt;&gt;"Transferencia",P3739&lt;&gt;"Pago tarjeta"),"⚠ Destino solo aplica a transferencias",IF(AND(K3739&lt;&gt;"",K3739=Q3739),"⚠ Origen igual a destino",IF(AND(K3739&lt;&gt;"",ISNA(MATCH(K3739,ctaNombre,0))),"⚠ Destino no registrado",IF(AND(P3739="Pago tarjeta",AE3739&lt;&gt;"Tarjeta de crédito"),"⚠ El destino debe ser tarjeta de crédito",IF(AND(P3739="Gasto",E3739="Depósitos y retiros"),"⚠ Usa tipo Transferencia",IF(AND(P3739="Resultado trading",AD3739&lt;&gt;"Cuenta de trading"),"⚠ Usa una cuenta de trading",IF(AND(G3739&lt;=0,P3739&lt;&gt;"Ajuste",P3739&lt;&gt;"Resultado trading"),"⚠ El monto debe ser positivo","✓")))))))))))))))</f>
        <v/>
      </c>
      <c r="P3739" s="52">
        <f>IF(OR(B3739="",G3739=""),"",IF(C3739="","Gasto",C3739))</f>
        <v/>
      </c>
      <c r="Q3739" s="52">
        <f>IF(P3739="","",IF(J3739&lt;&gt;"",J3739,CuentaPred&amp;""))</f>
        <v/>
      </c>
      <c r="R3739" s="52">
        <f>IF(P3739="","",IF(ISNUMBER(I3739),I3739,TasaUSD))</f>
        <v/>
      </c>
      <c r="S3739" s="53">
        <f>IF(P3739="","",IF(H3739="USD",G3739*R3739,G3739))</f>
        <v/>
      </c>
      <c r="T3739" s="53">
        <f>IF(P3739="","",IF(H3739="USD",G3739,IF(R3739&gt;0,G3739/R3739,0)))</f>
        <v/>
      </c>
      <c r="U3739" s="53">
        <f>IF(P3739="","",IF(P3739="Gasto",S3739,IF(P3739="Reembolso",-S3739,0)))</f>
        <v/>
      </c>
      <c r="V3739" s="53">
        <f>IF(P3739="","",IF(P3739="Ingreso",S3739,0))</f>
        <v/>
      </c>
      <c r="W3739" s="53">
        <f>IF(P3739="","",IF(P3739="Resultado trading",S3739,0))</f>
        <v/>
      </c>
      <c r="X3739" s="52">
        <f>IF(OR(P3739="Gasto",P3739="Reembolso"),IF(M3739&lt;&gt;"",M3739,IFERROR(INDEX(catClasif,MATCH(D3739&amp;"|"&amp;E3739,catClave,0))&amp;"","Variable")),"")</f>
        <v/>
      </c>
      <c r="Y3739" s="52">
        <f>IF(P3739="","",IFERROR(INDEX(catGrupo,MATCH(D3739&amp;"|"&amp;E3739,catClave,0))&amp;"",""))</f>
        <v/>
      </c>
      <c r="Z3739" s="52">
        <f>IF(P3739="","",WEEKDAY(B3739,2))</f>
        <v/>
      </c>
      <c r="AA3739" s="52">
        <f>IF(P3739="","",IF(AND(P3739="Gasto",X3739="Variable",D3739&lt;&gt;catTrading,S3739&gt;0,S3739&lt;=Umbral),1,0))</f>
        <v/>
      </c>
      <c r="AB3739" s="52">
        <f>IF(OR(P3739="",Q3739=""),"",IFERROR(IF(INDEX(ctaVinc,MATCH(Q3739,ctaNombre,0))&amp;""&lt;&gt;"",INDEX(ctaVinc,MATCH(Q3739,ctaNombre,0))&amp;"",Q3739),Q3739))</f>
        <v/>
      </c>
      <c r="AC3739" s="52">
        <f>IF(OR(K3739="",AND(P3739&lt;&gt;"Transferencia",P3739&lt;&gt;"Pago tarjeta")),"",IFERROR(IF(INDEX(ctaVinc,MATCH(K3739,ctaNombre,0))&amp;""&lt;&gt;"",INDEX(ctaVinc,MATCH(K3739,ctaNombre,0))&amp;"",K3739),K3739))</f>
        <v/>
      </c>
      <c r="AD3739" s="52">
        <f>IF(AB3739="","",IFERROR(INDEX(ctaTipo,MATCH(AB3739,ctaNombre,0))&amp;"",""))</f>
        <v/>
      </c>
      <c r="AE3739" s="52">
        <f>IF(AC3739="","",IFERROR(INDEX(ctaTipo,MATCH(AC3739,ctaNombre,0))&amp;"",""))</f>
        <v/>
      </c>
      <c r="AF3739" s="53">
        <f>IF(OR(P3739="",AB3739=""),"",IF(OR(P3739="Gasto",P3739="Transferencia",P3739="Pago tarjeta"),-1,1)*IF(IFERROR(INDEX(ctaMoneda,MATCH(AB3739,ctaNombre,0))&amp;"","DOP")="USD",T3739,S3739))</f>
        <v/>
      </c>
      <c r="AG3739" s="53">
        <f>IF(AC3739="","",IF(IFERROR(INDEX(ctaMoneda,MATCH(AC3739,ctaNombre,0))&amp;"","DOP")="USD",T3739,S3739))</f>
        <v/>
      </c>
      <c r="AH3739" s="53">
        <f>IF(P3739="","",IF(AND(AD3739&lt;&gt;"",COUNTIFS(tcTipo,AD3739,tcLiq,"Sí")&gt;0),IF(OR(P3739="Gasto",P3739="Transferencia",P3739="Pago tarjeta"),-1,1)*S3739,0)+IF(AND(AE3739&lt;&gt;"",COUNTIFS(tcTipo,AE3739,tcLiq,"Sí")&gt;0),S3739,0))</f>
        <v/>
      </c>
      <c r="AI3739" s="52">
        <f>IF(OR(L3739="",P3739=""),"",IF(COUNTIFS(L$6:L3739,L3739,P$6:P3739,"?*")=1,MAX(AI$5:AI3738)+1,""))</f>
        <v/>
      </c>
    </row>
    <row r="3740">
      <c r="B3740" s="47" t="n"/>
      <c r="C3740" s="48" t="n"/>
      <c r="D3740" s="48" t="n"/>
      <c r="E3740" s="48" t="n"/>
      <c r="F3740" s="48" t="n"/>
      <c r="G3740" s="49" t="n"/>
      <c r="H3740" s="48" t="n"/>
      <c r="I3740" s="50" t="n"/>
      <c r="J3740" s="48" t="n"/>
      <c r="K3740" s="48" t="n"/>
      <c r="L3740" s="48" t="n"/>
      <c r="M3740" s="48" t="n"/>
      <c r="N3740" s="48" t="n"/>
      <c r="O3740" s="51">
        <f>IF(AND(B3740="",G3740="",C3740="",D3740="",J3740=""),"",IF(B3740="","⚠ Falta fecha",IF(G3740="","⚠ Falta monto",IF(Q3740="","⚠ Falta cuenta",IF(ISNA(MATCH(Q3740,ctaNombre,0)),"⚠ Cuenta no registrada",IF(AND(OR(P3740="Gasto",P3740="Reembolso"),D3740=""),"⚠ Falta categoría",IF(AND(D3740&lt;&gt;"",E3740&lt;&gt;"",ISNA(MATCH(D3740&amp;"|"&amp;E3740,catClave,0))),"⚠ Subcategoría no corresponde",IF(AND(OR(P3740="Transferencia",P3740="Pago tarjeta"),K3740=""),"⚠ Falta cuenta destino",IF(AND(K3740&lt;&gt;"",P3740&lt;&gt;"Transferencia",P3740&lt;&gt;"Pago tarjeta"),"⚠ Destino solo aplica a transferencias",IF(AND(K3740&lt;&gt;"",K3740=Q3740),"⚠ Origen igual a destino",IF(AND(K3740&lt;&gt;"",ISNA(MATCH(K3740,ctaNombre,0))),"⚠ Destino no registrado",IF(AND(P3740="Pago tarjeta",AE3740&lt;&gt;"Tarjeta de crédito"),"⚠ El destino debe ser tarjeta de crédito",IF(AND(P3740="Gasto",E3740="Depósitos y retiros"),"⚠ Usa tipo Transferencia",IF(AND(P3740="Resultado trading",AD3740&lt;&gt;"Cuenta de trading"),"⚠ Usa una cuenta de trading",IF(AND(G3740&lt;=0,P3740&lt;&gt;"Ajuste",P3740&lt;&gt;"Resultado trading"),"⚠ El monto debe ser positivo","✓")))))))))))))))</f>
        <v/>
      </c>
      <c r="P3740" s="52">
        <f>IF(OR(B3740="",G3740=""),"",IF(C3740="","Gasto",C3740))</f>
        <v/>
      </c>
      <c r="Q3740" s="52">
        <f>IF(P3740="","",IF(J3740&lt;&gt;"",J3740,CuentaPred&amp;""))</f>
        <v/>
      </c>
      <c r="R3740" s="52">
        <f>IF(P3740="","",IF(ISNUMBER(I3740),I3740,TasaUSD))</f>
        <v/>
      </c>
      <c r="S3740" s="53">
        <f>IF(P3740="","",IF(H3740="USD",G3740*R3740,G3740))</f>
        <v/>
      </c>
      <c r="T3740" s="53">
        <f>IF(P3740="","",IF(H3740="USD",G3740,IF(R3740&gt;0,G3740/R3740,0)))</f>
        <v/>
      </c>
      <c r="U3740" s="53">
        <f>IF(P3740="","",IF(P3740="Gasto",S3740,IF(P3740="Reembolso",-S3740,0)))</f>
        <v/>
      </c>
      <c r="V3740" s="53">
        <f>IF(P3740="","",IF(P3740="Ingreso",S3740,0))</f>
        <v/>
      </c>
      <c r="W3740" s="53">
        <f>IF(P3740="","",IF(P3740="Resultado trading",S3740,0))</f>
        <v/>
      </c>
      <c r="X3740" s="52">
        <f>IF(OR(P3740="Gasto",P3740="Reembolso"),IF(M3740&lt;&gt;"",M3740,IFERROR(INDEX(catClasif,MATCH(D3740&amp;"|"&amp;E3740,catClave,0))&amp;"","Variable")),"")</f>
        <v/>
      </c>
      <c r="Y3740" s="52">
        <f>IF(P3740="","",IFERROR(INDEX(catGrupo,MATCH(D3740&amp;"|"&amp;E3740,catClave,0))&amp;"",""))</f>
        <v/>
      </c>
      <c r="Z3740" s="52">
        <f>IF(P3740="","",WEEKDAY(B3740,2))</f>
        <v/>
      </c>
      <c r="AA3740" s="52">
        <f>IF(P3740="","",IF(AND(P3740="Gasto",X3740="Variable",D3740&lt;&gt;catTrading,S3740&gt;0,S3740&lt;=Umbral),1,0))</f>
        <v/>
      </c>
      <c r="AB3740" s="52">
        <f>IF(OR(P3740="",Q3740=""),"",IFERROR(IF(INDEX(ctaVinc,MATCH(Q3740,ctaNombre,0))&amp;""&lt;&gt;"",INDEX(ctaVinc,MATCH(Q3740,ctaNombre,0))&amp;"",Q3740),Q3740))</f>
        <v/>
      </c>
      <c r="AC3740" s="52">
        <f>IF(OR(K3740="",AND(P3740&lt;&gt;"Transferencia",P3740&lt;&gt;"Pago tarjeta")),"",IFERROR(IF(INDEX(ctaVinc,MATCH(K3740,ctaNombre,0))&amp;""&lt;&gt;"",INDEX(ctaVinc,MATCH(K3740,ctaNombre,0))&amp;"",K3740),K3740))</f>
        <v/>
      </c>
      <c r="AD3740" s="52">
        <f>IF(AB3740="","",IFERROR(INDEX(ctaTipo,MATCH(AB3740,ctaNombre,0))&amp;"",""))</f>
        <v/>
      </c>
      <c r="AE3740" s="52">
        <f>IF(AC3740="","",IFERROR(INDEX(ctaTipo,MATCH(AC3740,ctaNombre,0))&amp;"",""))</f>
        <v/>
      </c>
      <c r="AF3740" s="53">
        <f>IF(OR(P3740="",AB3740=""),"",IF(OR(P3740="Gasto",P3740="Transferencia",P3740="Pago tarjeta"),-1,1)*IF(IFERROR(INDEX(ctaMoneda,MATCH(AB3740,ctaNombre,0))&amp;"","DOP")="USD",T3740,S3740))</f>
        <v/>
      </c>
      <c r="AG3740" s="53">
        <f>IF(AC3740="","",IF(IFERROR(INDEX(ctaMoneda,MATCH(AC3740,ctaNombre,0))&amp;"","DOP")="USD",T3740,S3740))</f>
        <v/>
      </c>
      <c r="AH3740" s="53">
        <f>IF(P3740="","",IF(AND(AD3740&lt;&gt;"",COUNTIFS(tcTipo,AD3740,tcLiq,"Sí")&gt;0),IF(OR(P3740="Gasto",P3740="Transferencia",P3740="Pago tarjeta"),-1,1)*S3740,0)+IF(AND(AE3740&lt;&gt;"",COUNTIFS(tcTipo,AE3740,tcLiq,"Sí")&gt;0),S3740,0))</f>
        <v/>
      </c>
      <c r="AI3740" s="52">
        <f>IF(OR(L3740="",P3740=""),"",IF(COUNTIFS(L$6:L3740,L3740,P$6:P3740,"?*")=1,MAX(AI$5:AI3739)+1,""))</f>
        <v/>
      </c>
    </row>
    <row r="3741">
      <c r="B3741" s="47" t="n"/>
      <c r="C3741" s="48" t="n"/>
      <c r="D3741" s="48" t="n"/>
      <c r="E3741" s="48" t="n"/>
      <c r="F3741" s="48" t="n"/>
      <c r="G3741" s="49" t="n"/>
      <c r="H3741" s="48" t="n"/>
      <c r="I3741" s="50" t="n"/>
      <c r="J3741" s="48" t="n"/>
      <c r="K3741" s="48" t="n"/>
      <c r="L3741" s="48" t="n"/>
      <c r="M3741" s="48" t="n"/>
      <c r="N3741" s="48" t="n"/>
      <c r="O3741" s="51">
        <f>IF(AND(B3741="",G3741="",C3741="",D3741="",J3741=""),"",IF(B3741="","⚠ Falta fecha",IF(G3741="","⚠ Falta monto",IF(Q3741="","⚠ Falta cuenta",IF(ISNA(MATCH(Q3741,ctaNombre,0)),"⚠ Cuenta no registrada",IF(AND(OR(P3741="Gasto",P3741="Reembolso"),D3741=""),"⚠ Falta categoría",IF(AND(D3741&lt;&gt;"",E3741&lt;&gt;"",ISNA(MATCH(D3741&amp;"|"&amp;E3741,catClave,0))),"⚠ Subcategoría no corresponde",IF(AND(OR(P3741="Transferencia",P3741="Pago tarjeta"),K3741=""),"⚠ Falta cuenta destino",IF(AND(K3741&lt;&gt;"",P3741&lt;&gt;"Transferencia",P3741&lt;&gt;"Pago tarjeta"),"⚠ Destino solo aplica a transferencias",IF(AND(K3741&lt;&gt;"",K3741=Q3741),"⚠ Origen igual a destino",IF(AND(K3741&lt;&gt;"",ISNA(MATCH(K3741,ctaNombre,0))),"⚠ Destino no registrado",IF(AND(P3741="Pago tarjeta",AE3741&lt;&gt;"Tarjeta de crédito"),"⚠ El destino debe ser tarjeta de crédito",IF(AND(P3741="Gasto",E3741="Depósitos y retiros"),"⚠ Usa tipo Transferencia",IF(AND(P3741="Resultado trading",AD3741&lt;&gt;"Cuenta de trading"),"⚠ Usa una cuenta de trading",IF(AND(G3741&lt;=0,P3741&lt;&gt;"Ajuste",P3741&lt;&gt;"Resultado trading"),"⚠ El monto debe ser positivo","✓")))))))))))))))</f>
        <v/>
      </c>
      <c r="P3741" s="52">
        <f>IF(OR(B3741="",G3741=""),"",IF(C3741="","Gasto",C3741))</f>
        <v/>
      </c>
      <c r="Q3741" s="52">
        <f>IF(P3741="","",IF(J3741&lt;&gt;"",J3741,CuentaPred&amp;""))</f>
        <v/>
      </c>
      <c r="R3741" s="52">
        <f>IF(P3741="","",IF(ISNUMBER(I3741),I3741,TasaUSD))</f>
        <v/>
      </c>
      <c r="S3741" s="53">
        <f>IF(P3741="","",IF(H3741="USD",G3741*R3741,G3741))</f>
        <v/>
      </c>
      <c r="T3741" s="53">
        <f>IF(P3741="","",IF(H3741="USD",G3741,IF(R3741&gt;0,G3741/R3741,0)))</f>
        <v/>
      </c>
      <c r="U3741" s="53">
        <f>IF(P3741="","",IF(P3741="Gasto",S3741,IF(P3741="Reembolso",-S3741,0)))</f>
        <v/>
      </c>
      <c r="V3741" s="53">
        <f>IF(P3741="","",IF(P3741="Ingreso",S3741,0))</f>
        <v/>
      </c>
      <c r="W3741" s="53">
        <f>IF(P3741="","",IF(P3741="Resultado trading",S3741,0))</f>
        <v/>
      </c>
      <c r="X3741" s="52">
        <f>IF(OR(P3741="Gasto",P3741="Reembolso"),IF(M3741&lt;&gt;"",M3741,IFERROR(INDEX(catClasif,MATCH(D3741&amp;"|"&amp;E3741,catClave,0))&amp;"","Variable")),"")</f>
        <v/>
      </c>
      <c r="Y3741" s="52">
        <f>IF(P3741="","",IFERROR(INDEX(catGrupo,MATCH(D3741&amp;"|"&amp;E3741,catClave,0))&amp;"",""))</f>
        <v/>
      </c>
      <c r="Z3741" s="52">
        <f>IF(P3741="","",WEEKDAY(B3741,2))</f>
        <v/>
      </c>
      <c r="AA3741" s="52">
        <f>IF(P3741="","",IF(AND(P3741="Gasto",X3741="Variable",D3741&lt;&gt;catTrading,S3741&gt;0,S3741&lt;=Umbral),1,0))</f>
        <v/>
      </c>
      <c r="AB3741" s="52">
        <f>IF(OR(P3741="",Q3741=""),"",IFERROR(IF(INDEX(ctaVinc,MATCH(Q3741,ctaNombre,0))&amp;""&lt;&gt;"",INDEX(ctaVinc,MATCH(Q3741,ctaNombre,0))&amp;"",Q3741),Q3741))</f>
        <v/>
      </c>
      <c r="AC3741" s="52">
        <f>IF(OR(K3741="",AND(P3741&lt;&gt;"Transferencia",P3741&lt;&gt;"Pago tarjeta")),"",IFERROR(IF(INDEX(ctaVinc,MATCH(K3741,ctaNombre,0))&amp;""&lt;&gt;"",INDEX(ctaVinc,MATCH(K3741,ctaNombre,0))&amp;"",K3741),K3741))</f>
        <v/>
      </c>
      <c r="AD3741" s="52">
        <f>IF(AB3741="","",IFERROR(INDEX(ctaTipo,MATCH(AB3741,ctaNombre,0))&amp;"",""))</f>
        <v/>
      </c>
      <c r="AE3741" s="52">
        <f>IF(AC3741="","",IFERROR(INDEX(ctaTipo,MATCH(AC3741,ctaNombre,0))&amp;"",""))</f>
        <v/>
      </c>
      <c r="AF3741" s="53">
        <f>IF(OR(P3741="",AB3741=""),"",IF(OR(P3741="Gasto",P3741="Transferencia",P3741="Pago tarjeta"),-1,1)*IF(IFERROR(INDEX(ctaMoneda,MATCH(AB3741,ctaNombre,0))&amp;"","DOP")="USD",T3741,S3741))</f>
        <v/>
      </c>
      <c r="AG3741" s="53">
        <f>IF(AC3741="","",IF(IFERROR(INDEX(ctaMoneda,MATCH(AC3741,ctaNombre,0))&amp;"","DOP")="USD",T3741,S3741))</f>
        <v/>
      </c>
      <c r="AH3741" s="53">
        <f>IF(P3741="","",IF(AND(AD3741&lt;&gt;"",COUNTIFS(tcTipo,AD3741,tcLiq,"Sí")&gt;0),IF(OR(P3741="Gasto",P3741="Transferencia",P3741="Pago tarjeta"),-1,1)*S3741,0)+IF(AND(AE3741&lt;&gt;"",COUNTIFS(tcTipo,AE3741,tcLiq,"Sí")&gt;0),S3741,0))</f>
        <v/>
      </c>
      <c r="AI3741" s="52">
        <f>IF(OR(L3741="",P3741=""),"",IF(COUNTIFS(L$6:L3741,L3741,P$6:P3741,"?*")=1,MAX(AI$5:AI3740)+1,""))</f>
        <v/>
      </c>
    </row>
    <row r="3742">
      <c r="B3742" s="47" t="n"/>
      <c r="C3742" s="48" t="n"/>
      <c r="D3742" s="48" t="n"/>
      <c r="E3742" s="48" t="n"/>
      <c r="F3742" s="48" t="n"/>
      <c r="G3742" s="49" t="n"/>
      <c r="H3742" s="48" t="n"/>
      <c r="I3742" s="50" t="n"/>
      <c r="J3742" s="48" t="n"/>
      <c r="K3742" s="48" t="n"/>
      <c r="L3742" s="48" t="n"/>
      <c r="M3742" s="48" t="n"/>
      <c r="N3742" s="48" t="n"/>
      <c r="O3742" s="51">
        <f>IF(AND(B3742="",G3742="",C3742="",D3742="",J3742=""),"",IF(B3742="","⚠ Falta fecha",IF(G3742="","⚠ Falta monto",IF(Q3742="","⚠ Falta cuenta",IF(ISNA(MATCH(Q3742,ctaNombre,0)),"⚠ Cuenta no registrada",IF(AND(OR(P3742="Gasto",P3742="Reembolso"),D3742=""),"⚠ Falta categoría",IF(AND(D3742&lt;&gt;"",E3742&lt;&gt;"",ISNA(MATCH(D3742&amp;"|"&amp;E3742,catClave,0))),"⚠ Subcategoría no corresponde",IF(AND(OR(P3742="Transferencia",P3742="Pago tarjeta"),K3742=""),"⚠ Falta cuenta destino",IF(AND(K3742&lt;&gt;"",P3742&lt;&gt;"Transferencia",P3742&lt;&gt;"Pago tarjeta"),"⚠ Destino solo aplica a transferencias",IF(AND(K3742&lt;&gt;"",K3742=Q3742),"⚠ Origen igual a destino",IF(AND(K3742&lt;&gt;"",ISNA(MATCH(K3742,ctaNombre,0))),"⚠ Destino no registrado",IF(AND(P3742="Pago tarjeta",AE3742&lt;&gt;"Tarjeta de crédito"),"⚠ El destino debe ser tarjeta de crédito",IF(AND(P3742="Gasto",E3742="Depósitos y retiros"),"⚠ Usa tipo Transferencia",IF(AND(P3742="Resultado trading",AD3742&lt;&gt;"Cuenta de trading"),"⚠ Usa una cuenta de trading",IF(AND(G3742&lt;=0,P3742&lt;&gt;"Ajuste",P3742&lt;&gt;"Resultado trading"),"⚠ El monto debe ser positivo","✓")))))))))))))))</f>
        <v/>
      </c>
      <c r="P3742" s="52">
        <f>IF(OR(B3742="",G3742=""),"",IF(C3742="","Gasto",C3742))</f>
        <v/>
      </c>
      <c r="Q3742" s="52">
        <f>IF(P3742="","",IF(J3742&lt;&gt;"",J3742,CuentaPred&amp;""))</f>
        <v/>
      </c>
      <c r="R3742" s="52">
        <f>IF(P3742="","",IF(ISNUMBER(I3742),I3742,TasaUSD))</f>
        <v/>
      </c>
      <c r="S3742" s="53">
        <f>IF(P3742="","",IF(H3742="USD",G3742*R3742,G3742))</f>
        <v/>
      </c>
      <c r="T3742" s="53">
        <f>IF(P3742="","",IF(H3742="USD",G3742,IF(R3742&gt;0,G3742/R3742,0)))</f>
        <v/>
      </c>
      <c r="U3742" s="53">
        <f>IF(P3742="","",IF(P3742="Gasto",S3742,IF(P3742="Reembolso",-S3742,0)))</f>
        <v/>
      </c>
      <c r="V3742" s="53">
        <f>IF(P3742="","",IF(P3742="Ingreso",S3742,0))</f>
        <v/>
      </c>
      <c r="W3742" s="53">
        <f>IF(P3742="","",IF(P3742="Resultado trading",S3742,0))</f>
        <v/>
      </c>
      <c r="X3742" s="52">
        <f>IF(OR(P3742="Gasto",P3742="Reembolso"),IF(M3742&lt;&gt;"",M3742,IFERROR(INDEX(catClasif,MATCH(D3742&amp;"|"&amp;E3742,catClave,0))&amp;"","Variable")),"")</f>
        <v/>
      </c>
      <c r="Y3742" s="52">
        <f>IF(P3742="","",IFERROR(INDEX(catGrupo,MATCH(D3742&amp;"|"&amp;E3742,catClave,0))&amp;"",""))</f>
        <v/>
      </c>
      <c r="Z3742" s="52">
        <f>IF(P3742="","",WEEKDAY(B3742,2))</f>
        <v/>
      </c>
      <c r="AA3742" s="52">
        <f>IF(P3742="","",IF(AND(P3742="Gasto",X3742="Variable",D3742&lt;&gt;catTrading,S3742&gt;0,S3742&lt;=Umbral),1,0))</f>
        <v/>
      </c>
      <c r="AB3742" s="52">
        <f>IF(OR(P3742="",Q3742=""),"",IFERROR(IF(INDEX(ctaVinc,MATCH(Q3742,ctaNombre,0))&amp;""&lt;&gt;"",INDEX(ctaVinc,MATCH(Q3742,ctaNombre,0))&amp;"",Q3742),Q3742))</f>
        <v/>
      </c>
      <c r="AC3742" s="52">
        <f>IF(OR(K3742="",AND(P3742&lt;&gt;"Transferencia",P3742&lt;&gt;"Pago tarjeta")),"",IFERROR(IF(INDEX(ctaVinc,MATCH(K3742,ctaNombre,0))&amp;""&lt;&gt;"",INDEX(ctaVinc,MATCH(K3742,ctaNombre,0))&amp;"",K3742),K3742))</f>
        <v/>
      </c>
      <c r="AD3742" s="52">
        <f>IF(AB3742="","",IFERROR(INDEX(ctaTipo,MATCH(AB3742,ctaNombre,0))&amp;"",""))</f>
        <v/>
      </c>
      <c r="AE3742" s="52">
        <f>IF(AC3742="","",IFERROR(INDEX(ctaTipo,MATCH(AC3742,ctaNombre,0))&amp;"",""))</f>
        <v/>
      </c>
      <c r="AF3742" s="53">
        <f>IF(OR(P3742="",AB3742=""),"",IF(OR(P3742="Gasto",P3742="Transferencia",P3742="Pago tarjeta"),-1,1)*IF(IFERROR(INDEX(ctaMoneda,MATCH(AB3742,ctaNombre,0))&amp;"","DOP")="USD",T3742,S3742))</f>
        <v/>
      </c>
      <c r="AG3742" s="53">
        <f>IF(AC3742="","",IF(IFERROR(INDEX(ctaMoneda,MATCH(AC3742,ctaNombre,0))&amp;"","DOP")="USD",T3742,S3742))</f>
        <v/>
      </c>
      <c r="AH3742" s="53">
        <f>IF(P3742="","",IF(AND(AD3742&lt;&gt;"",COUNTIFS(tcTipo,AD3742,tcLiq,"Sí")&gt;0),IF(OR(P3742="Gasto",P3742="Transferencia",P3742="Pago tarjeta"),-1,1)*S3742,0)+IF(AND(AE3742&lt;&gt;"",COUNTIFS(tcTipo,AE3742,tcLiq,"Sí")&gt;0),S3742,0))</f>
        <v/>
      </c>
      <c r="AI3742" s="52">
        <f>IF(OR(L3742="",P3742=""),"",IF(COUNTIFS(L$6:L3742,L3742,P$6:P3742,"?*")=1,MAX(AI$5:AI3741)+1,""))</f>
        <v/>
      </c>
    </row>
    <row r="3743">
      <c r="B3743" s="47" t="n"/>
      <c r="C3743" s="48" t="n"/>
      <c r="D3743" s="48" t="n"/>
      <c r="E3743" s="48" t="n"/>
      <c r="F3743" s="48" t="n"/>
      <c r="G3743" s="49" t="n"/>
      <c r="H3743" s="48" t="n"/>
      <c r="I3743" s="50" t="n"/>
      <c r="J3743" s="48" t="n"/>
      <c r="K3743" s="48" t="n"/>
      <c r="L3743" s="48" t="n"/>
      <c r="M3743" s="48" t="n"/>
      <c r="N3743" s="48" t="n"/>
      <c r="O3743" s="51">
        <f>IF(AND(B3743="",G3743="",C3743="",D3743="",J3743=""),"",IF(B3743="","⚠ Falta fecha",IF(G3743="","⚠ Falta monto",IF(Q3743="","⚠ Falta cuenta",IF(ISNA(MATCH(Q3743,ctaNombre,0)),"⚠ Cuenta no registrada",IF(AND(OR(P3743="Gasto",P3743="Reembolso"),D3743=""),"⚠ Falta categoría",IF(AND(D3743&lt;&gt;"",E3743&lt;&gt;"",ISNA(MATCH(D3743&amp;"|"&amp;E3743,catClave,0))),"⚠ Subcategoría no corresponde",IF(AND(OR(P3743="Transferencia",P3743="Pago tarjeta"),K3743=""),"⚠ Falta cuenta destino",IF(AND(K3743&lt;&gt;"",P3743&lt;&gt;"Transferencia",P3743&lt;&gt;"Pago tarjeta"),"⚠ Destino solo aplica a transferencias",IF(AND(K3743&lt;&gt;"",K3743=Q3743),"⚠ Origen igual a destino",IF(AND(K3743&lt;&gt;"",ISNA(MATCH(K3743,ctaNombre,0))),"⚠ Destino no registrado",IF(AND(P3743="Pago tarjeta",AE3743&lt;&gt;"Tarjeta de crédito"),"⚠ El destino debe ser tarjeta de crédito",IF(AND(P3743="Gasto",E3743="Depósitos y retiros"),"⚠ Usa tipo Transferencia",IF(AND(P3743="Resultado trading",AD3743&lt;&gt;"Cuenta de trading"),"⚠ Usa una cuenta de trading",IF(AND(G3743&lt;=0,P3743&lt;&gt;"Ajuste",P3743&lt;&gt;"Resultado trading"),"⚠ El monto debe ser positivo","✓")))))))))))))))</f>
        <v/>
      </c>
      <c r="P3743" s="52">
        <f>IF(OR(B3743="",G3743=""),"",IF(C3743="","Gasto",C3743))</f>
        <v/>
      </c>
      <c r="Q3743" s="52">
        <f>IF(P3743="","",IF(J3743&lt;&gt;"",J3743,CuentaPred&amp;""))</f>
        <v/>
      </c>
      <c r="R3743" s="52">
        <f>IF(P3743="","",IF(ISNUMBER(I3743),I3743,TasaUSD))</f>
        <v/>
      </c>
      <c r="S3743" s="53">
        <f>IF(P3743="","",IF(H3743="USD",G3743*R3743,G3743))</f>
        <v/>
      </c>
      <c r="T3743" s="53">
        <f>IF(P3743="","",IF(H3743="USD",G3743,IF(R3743&gt;0,G3743/R3743,0)))</f>
        <v/>
      </c>
      <c r="U3743" s="53">
        <f>IF(P3743="","",IF(P3743="Gasto",S3743,IF(P3743="Reembolso",-S3743,0)))</f>
        <v/>
      </c>
      <c r="V3743" s="53">
        <f>IF(P3743="","",IF(P3743="Ingreso",S3743,0))</f>
        <v/>
      </c>
      <c r="W3743" s="53">
        <f>IF(P3743="","",IF(P3743="Resultado trading",S3743,0))</f>
        <v/>
      </c>
      <c r="X3743" s="52">
        <f>IF(OR(P3743="Gasto",P3743="Reembolso"),IF(M3743&lt;&gt;"",M3743,IFERROR(INDEX(catClasif,MATCH(D3743&amp;"|"&amp;E3743,catClave,0))&amp;"","Variable")),"")</f>
        <v/>
      </c>
      <c r="Y3743" s="52">
        <f>IF(P3743="","",IFERROR(INDEX(catGrupo,MATCH(D3743&amp;"|"&amp;E3743,catClave,0))&amp;"",""))</f>
        <v/>
      </c>
      <c r="Z3743" s="52">
        <f>IF(P3743="","",WEEKDAY(B3743,2))</f>
        <v/>
      </c>
      <c r="AA3743" s="52">
        <f>IF(P3743="","",IF(AND(P3743="Gasto",X3743="Variable",D3743&lt;&gt;catTrading,S3743&gt;0,S3743&lt;=Umbral),1,0))</f>
        <v/>
      </c>
      <c r="AB3743" s="52">
        <f>IF(OR(P3743="",Q3743=""),"",IFERROR(IF(INDEX(ctaVinc,MATCH(Q3743,ctaNombre,0))&amp;""&lt;&gt;"",INDEX(ctaVinc,MATCH(Q3743,ctaNombre,0))&amp;"",Q3743),Q3743))</f>
        <v/>
      </c>
      <c r="AC3743" s="52">
        <f>IF(OR(K3743="",AND(P3743&lt;&gt;"Transferencia",P3743&lt;&gt;"Pago tarjeta")),"",IFERROR(IF(INDEX(ctaVinc,MATCH(K3743,ctaNombre,0))&amp;""&lt;&gt;"",INDEX(ctaVinc,MATCH(K3743,ctaNombre,0))&amp;"",K3743),K3743))</f>
        <v/>
      </c>
      <c r="AD3743" s="52">
        <f>IF(AB3743="","",IFERROR(INDEX(ctaTipo,MATCH(AB3743,ctaNombre,0))&amp;"",""))</f>
        <v/>
      </c>
      <c r="AE3743" s="52">
        <f>IF(AC3743="","",IFERROR(INDEX(ctaTipo,MATCH(AC3743,ctaNombre,0))&amp;"",""))</f>
        <v/>
      </c>
      <c r="AF3743" s="53">
        <f>IF(OR(P3743="",AB3743=""),"",IF(OR(P3743="Gasto",P3743="Transferencia",P3743="Pago tarjeta"),-1,1)*IF(IFERROR(INDEX(ctaMoneda,MATCH(AB3743,ctaNombre,0))&amp;"","DOP")="USD",T3743,S3743))</f>
        <v/>
      </c>
      <c r="AG3743" s="53">
        <f>IF(AC3743="","",IF(IFERROR(INDEX(ctaMoneda,MATCH(AC3743,ctaNombre,0))&amp;"","DOP")="USD",T3743,S3743))</f>
        <v/>
      </c>
      <c r="AH3743" s="53">
        <f>IF(P3743="","",IF(AND(AD3743&lt;&gt;"",COUNTIFS(tcTipo,AD3743,tcLiq,"Sí")&gt;0),IF(OR(P3743="Gasto",P3743="Transferencia",P3743="Pago tarjeta"),-1,1)*S3743,0)+IF(AND(AE3743&lt;&gt;"",COUNTIFS(tcTipo,AE3743,tcLiq,"Sí")&gt;0),S3743,0))</f>
        <v/>
      </c>
      <c r="AI3743" s="52">
        <f>IF(OR(L3743="",P3743=""),"",IF(COUNTIFS(L$6:L3743,L3743,P$6:P3743,"?*")=1,MAX(AI$5:AI3742)+1,""))</f>
        <v/>
      </c>
    </row>
    <row r="3744">
      <c r="B3744" s="47" t="n"/>
      <c r="C3744" s="48" t="n"/>
      <c r="D3744" s="48" t="n"/>
      <c r="E3744" s="48" t="n"/>
      <c r="F3744" s="48" t="n"/>
      <c r="G3744" s="49" t="n"/>
      <c r="H3744" s="48" t="n"/>
      <c r="I3744" s="50" t="n"/>
      <c r="J3744" s="48" t="n"/>
      <c r="K3744" s="48" t="n"/>
      <c r="L3744" s="48" t="n"/>
      <c r="M3744" s="48" t="n"/>
      <c r="N3744" s="48" t="n"/>
      <c r="O3744" s="51">
        <f>IF(AND(B3744="",G3744="",C3744="",D3744="",J3744=""),"",IF(B3744="","⚠ Falta fecha",IF(G3744="","⚠ Falta monto",IF(Q3744="","⚠ Falta cuenta",IF(ISNA(MATCH(Q3744,ctaNombre,0)),"⚠ Cuenta no registrada",IF(AND(OR(P3744="Gasto",P3744="Reembolso"),D3744=""),"⚠ Falta categoría",IF(AND(D3744&lt;&gt;"",E3744&lt;&gt;"",ISNA(MATCH(D3744&amp;"|"&amp;E3744,catClave,0))),"⚠ Subcategoría no corresponde",IF(AND(OR(P3744="Transferencia",P3744="Pago tarjeta"),K3744=""),"⚠ Falta cuenta destino",IF(AND(K3744&lt;&gt;"",P3744&lt;&gt;"Transferencia",P3744&lt;&gt;"Pago tarjeta"),"⚠ Destino solo aplica a transferencias",IF(AND(K3744&lt;&gt;"",K3744=Q3744),"⚠ Origen igual a destino",IF(AND(K3744&lt;&gt;"",ISNA(MATCH(K3744,ctaNombre,0))),"⚠ Destino no registrado",IF(AND(P3744="Pago tarjeta",AE3744&lt;&gt;"Tarjeta de crédito"),"⚠ El destino debe ser tarjeta de crédito",IF(AND(P3744="Gasto",E3744="Depósitos y retiros"),"⚠ Usa tipo Transferencia",IF(AND(P3744="Resultado trading",AD3744&lt;&gt;"Cuenta de trading"),"⚠ Usa una cuenta de trading",IF(AND(G3744&lt;=0,P3744&lt;&gt;"Ajuste",P3744&lt;&gt;"Resultado trading"),"⚠ El monto debe ser positivo","✓")))))))))))))))</f>
        <v/>
      </c>
      <c r="P3744" s="52">
        <f>IF(OR(B3744="",G3744=""),"",IF(C3744="","Gasto",C3744))</f>
        <v/>
      </c>
      <c r="Q3744" s="52">
        <f>IF(P3744="","",IF(J3744&lt;&gt;"",J3744,CuentaPred&amp;""))</f>
        <v/>
      </c>
      <c r="R3744" s="52">
        <f>IF(P3744="","",IF(ISNUMBER(I3744),I3744,TasaUSD))</f>
        <v/>
      </c>
      <c r="S3744" s="53">
        <f>IF(P3744="","",IF(H3744="USD",G3744*R3744,G3744))</f>
        <v/>
      </c>
      <c r="T3744" s="53">
        <f>IF(P3744="","",IF(H3744="USD",G3744,IF(R3744&gt;0,G3744/R3744,0)))</f>
        <v/>
      </c>
      <c r="U3744" s="53">
        <f>IF(P3744="","",IF(P3744="Gasto",S3744,IF(P3744="Reembolso",-S3744,0)))</f>
        <v/>
      </c>
      <c r="V3744" s="53">
        <f>IF(P3744="","",IF(P3744="Ingreso",S3744,0))</f>
        <v/>
      </c>
      <c r="W3744" s="53">
        <f>IF(P3744="","",IF(P3744="Resultado trading",S3744,0))</f>
        <v/>
      </c>
      <c r="X3744" s="52">
        <f>IF(OR(P3744="Gasto",P3744="Reembolso"),IF(M3744&lt;&gt;"",M3744,IFERROR(INDEX(catClasif,MATCH(D3744&amp;"|"&amp;E3744,catClave,0))&amp;"","Variable")),"")</f>
        <v/>
      </c>
      <c r="Y3744" s="52">
        <f>IF(P3744="","",IFERROR(INDEX(catGrupo,MATCH(D3744&amp;"|"&amp;E3744,catClave,0))&amp;"",""))</f>
        <v/>
      </c>
      <c r="Z3744" s="52">
        <f>IF(P3744="","",WEEKDAY(B3744,2))</f>
        <v/>
      </c>
      <c r="AA3744" s="52">
        <f>IF(P3744="","",IF(AND(P3744="Gasto",X3744="Variable",D3744&lt;&gt;catTrading,S3744&gt;0,S3744&lt;=Umbral),1,0))</f>
        <v/>
      </c>
      <c r="AB3744" s="52">
        <f>IF(OR(P3744="",Q3744=""),"",IFERROR(IF(INDEX(ctaVinc,MATCH(Q3744,ctaNombre,0))&amp;""&lt;&gt;"",INDEX(ctaVinc,MATCH(Q3744,ctaNombre,0))&amp;"",Q3744),Q3744))</f>
        <v/>
      </c>
      <c r="AC3744" s="52">
        <f>IF(OR(K3744="",AND(P3744&lt;&gt;"Transferencia",P3744&lt;&gt;"Pago tarjeta")),"",IFERROR(IF(INDEX(ctaVinc,MATCH(K3744,ctaNombre,0))&amp;""&lt;&gt;"",INDEX(ctaVinc,MATCH(K3744,ctaNombre,0))&amp;"",K3744),K3744))</f>
        <v/>
      </c>
      <c r="AD3744" s="52">
        <f>IF(AB3744="","",IFERROR(INDEX(ctaTipo,MATCH(AB3744,ctaNombre,0))&amp;"",""))</f>
        <v/>
      </c>
      <c r="AE3744" s="52">
        <f>IF(AC3744="","",IFERROR(INDEX(ctaTipo,MATCH(AC3744,ctaNombre,0))&amp;"",""))</f>
        <v/>
      </c>
      <c r="AF3744" s="53">
        <f>IF(OR(P3744="",AB3744=""),"",IF(OR(P3744="Gasto",P3744="Transferencia",P3744="Pago tarjeta"),-1,1)*IF(IFERROR(INDEX(ctaMoneda,MATCH(AB3744,ctaNombre,0))&amp;"","DOP")="USD",T3744,S3744))</f>
        <v/>
      </c>
      <c r="AG3744" s="53">
        <f>IF(AC3744="","",IF(IFERROR(INDEX(ctaMoneda,MATCH(AC3744,ctaNombre,0))&amp;"","DOP")="USD",T3744,S3744))</f>
        <v/>
      </c>
      <c r="AH3744" s="53">
        <f>IF(P3744="","",IF(AND(AD3744&lt;&gt;"",COUNTIFS(tcTipo,AD3744,tcLiq,"Sí")&gt;0),IF(OR(P3744="Gasto",P3744="Transferencia",P3744="Pago tarjeta"),-1,1)*S3744,0)+IF(AND(AE3744&lt;&gt;"",COUNTIFS(tcTipo,AE3744,tcLiq,"Sí")&gt;0),S3744,0))</f>
        <v/>
      </c>
      <c r="AI3744" s="52">
        <f>IF(OR(L3744="",P3744=""),"",IF(COUNTIFS(L$6:L3744,L3744,P$6:P3744,"?*")=1,MAX(AI$5:AI3743)+1,""))</f>
        <v/>
      </c>
    </row>
    <row r="3745">
      <c r="B3745" s="47" t="n"/>
      <c r="C3745" s="48" t="n"/>
      <c r="D3745" s="48" t="n"/>
      <c r="E3745" s="48" t="n"/>
      <c r="F3745" s="48" t="n"/>
      <c r="G3745" s="49" t="n"/>
      <c r="H3745" s="48" t="n"/>
      <c r="I3745" s="50" t="n"/>
      <c r="J3745" s="48" t="n"/>
      <c r="K3745" s="48" t="n"/>
      <c r="L3745" s="48" t="n"/>
      <c r="M3745" s="48" t="n"/>
      <c r="N3745" s="48" t="n"/>
      <c r="O3745" s="51">
        <f>IF(AND(B3745="",G3745="",C3745="",D3745="",J3745=""),"",IF(B3745="","⚠ Falta fecha",IF(G3745="","⚠ Falta monto",IF(Q3745="","⚠ Falta cuenta",IF(ISNA(MATCH(Q3745,ctaNombre,0)),"⚠ Cuenta no registrada",IF(AND(OR(P3745="Gasto",P3745="Reembolso"),D3745=""),"⚠ Falta categoría",IF(AND(D3745&lt;&gt;"",E3745&lt;&gt;"",ISNA(MATCH(D3745&amp;"|"&amp;E3745,catClave,0))),"⚠ Subcategoría no corresponde",IF(AND(OR(P3745="Transferencia",P3745="Pago tarjeta"),K3745=""),"⚠ Falta cuenta destino",IF(AND(K3745&lt;&gt;"",P3745&lt;&gt;"Transferencia",P3745&lt;&gt;"Pago tarjeta"),"⚠ Destino solo aplica a transferencias",IF(AND(K3745&lt;&gt;"",K3745=Q3745),"⚠ Origen igual a destino",IF(AND(K3745&lt;&gt;"",ISNA(MATCH(K3745,ctaNombre,0))),"⚠ Destino no registrado",IF(AND(P3745="Pago tarjeta",AE3745&lt;&gt;"Tarjeta de crédito"),"⚠ El destino debe ser tarjeta de crédito",IF(AND(P3745="Gasto",E3745="Depósitos y retiros"),"⚠ Usa tipo Transferencia",IF(AND(P3745="Resultado trading",AD3745&lt;&gt;"Cuenta de trading"),"⚠ Usa una cuenta de trading",IF(AND(G3745&lt;=0,P3745&lt;&gt;"Ajuste",P3745&lt;&gt;"Resultado trading"),"⚠ El monto debe ser positivo","✓")))))))))))))))</f>
        <v/>
      </c>
      <c r="P3745" s="52">
        <f>IF(OR(B3745="",G3745=""),"",IF(C3745="","Gasto",C3745))</f>
        <v/>
      </c>
      <c r="Q3745" s="52">
        <f>IF(P3745="","",IF(J3745&lt;&gt;"",J3745,CuentaPred&amp;""))</f>
        <v/>
      </c>
      <c r="R3745" s="52">
        <f>IF(P3745="","",IF(ISNUMBER(I3745),I3745,TasaUSD))</f>
        <v/>
      </c>
      <c r="S3745" s="53">
        <f>IF(P3745="","",IF(H3745="USD",G3745*R3745,G3745))</f>
        <v/>
      </c>
      <c r="T3745" s="53">
        <f>IF(P3745="","",IF(H3745="USD",G3745,IF(R3745&gt;0,G3745/R3745,0)))</f>
        <v/>
      </c>
      <c r="U3745" s="53">
        <f>IF(P3745="","",IF(P3745="Gasto",S3745,IF(P3745="Reembolso",-S3745,0)))</f>
        <v/>
      </c>
      <c r="V3745" s="53">
        <f>IF(P3745="","",IF(P3745="Ingreso",S3745,0))</f>
        <v/>
      </c>
      <c r="W3745" s="53">
        <f>IF(P3745="","",IF(P3745="Resultado trading",S3745,0))</f>
        <v/>
      </c>
      <c r="X3745" s="52">
        <f>IF(OR(P3745="Gasto",P3745="Reembolso"),IF(M3745&lt;&gt;"",M3745,IFERROR(INDEX(catClasif,MATCH(D3745&amp;"|"&amp;E3745,catClave,0))&amp;"","Variable")),"")</f>
        <v/>
      </c>
      <c r="Y3745" s="52">
        <f>IF(P3745="","",IFERROR(INDEX(catGrupo,MATCH(D3745&amp;"|"&amp;E3745,catClave,0))&amp;"",""))</f>
        <v/>
      </c>
      <c r="Z3745" s="52">
        <f>IF(P3745="","",WEEKDAY(B3745,2))</f>
        <v/>
      </c>
      <c r="AA3745" s="52">
        <f>IF(P3745="","",IF(AND(P3745="Gasto",X3745="Variable",D3745&lt;&gt;catTrading,S3745&gt;0,S3745&lt;=Umbral),1,0))</f>
        <v/>
      </c>
      <c r="AB3745" s="52">
        <f>IF(OR(P3745="",Q3745=""),"",IFERROR(IF(INDEX(ctaVinc,MATCH(Q3745,ctaNombre,0))&amp;""&lt;&gt;"",INDEX(ctaVinc,MATCH(Q3745,ctaNombre,0))&amp;"",Q3745),Q3745))</f>
        <v/>
      </c>
      <c r="AC3745" s="52">
        <f>IF(OR(K3745="",AND(P3745&lt;&gt;"Transferencia",P3745&lt;&gt;"Pago tarjeta")),"",IFERROR(IF(INDEX(ctaVinc,MATCH(K3745,ctaNombre,0))&amp;""&lt;&gt;"",INDEX(ctaVinc,MATCH(K3745,ctaNombre,0))&amp;"",K3745),K3745))</f>
        <v/>
      </c>
      <c r="AD3745" s="52">
        <f>IF(AB3745="","",IFERROR(INDEX(ctaTipo,MATCH(AB3745,ctaNombre,0))&amp;"",""))</f>
        <v/>
      </c>
      <c r="AE3745" s="52">
        <f>IF(AC3745="","",IFERROR(INDEX(ctaTipo,MATCH(AC3745,ctaNombre,0))&amp;"",""))</f>
        <v/>
      </c>
      <c r="AF3745" s="53">
        <f>IF(OR(P3745="",AB3745=""),"",IF(OR(P3745="Gasto",P3745="Transferencia",P3745="Pago tarjeta"),-1,1)*IF(IFERROR(INDEX(ctaMoneda,MATCH(AB3745,ctaNombre,0))&amp;"","DOP")="USD",T3745,S3745))</f>
        <v/>
      </c>
      <c r="AG3745" s="53">
        <f>IF(AC3745="","",IF(IFERROR(INDEX(ctaMoneda,MATCH(AC3745,ctaNombre,0))&amp;"","DOP")="USD",T3745,S3745))</f>
        <v/>
      </c>
      <c r="AH3745" s="53">
        <f>IF(P3745="","",IF(AND(AD3745&lt;&gt;"",COUNTIFS(tcTipo,AD3745,tcLiq,"Sí")&gt;0),IF(OR(P3745="Gasto",P3745="Transferencia",P3745="Pago tarjeta"),-1,1)*S3745,0)+IF(AND(AE3745&lt;&gt;"",COUNTIFS(tcTipo,AE3745,tcLiq,"Sí")&gt;0),S3745,0))</f>
        <v/>
      </c>
      <c r="AI3745" s="52">
        <f>IF(OR(L3745="",P3745=""),"",IF(COUNTIFS(L$6:L3745,L3745,P$6:P3745,"?*")=1,MAX(AI$5:AI3744)+1,""))</f>
        <v/>
      </c>
    </row>
    <row r="3746">
      <c r="B3746" s="47" t="n"/>
      <c r="C3746" s="48" t="n"/>
      <c r="D3746" s="48" t="n"/>
      <c r="E3746" s="48" t="n"/>
      <c r="F3746" s="48" t="n"/>
      <c r="G3746" s="49" t="n"/>
      <c r="H3746" s="48" t="n"/>
      <c r="I3746" s="50" t="n"/>
      <c r="J3746" s="48" t="n"/>
      <c r="K3746" s="48" t="n"/>
      <c r="L3746" s="48" t="n"/>
      <c r="M3746" s="48" t="n"/>
      <c r="N3746" s="48" t="n"/>
      <c r="O3746" s="51">
        <f>IF(AND(B3746="",G3746="",C3746="",D3746="",J3746=""),"",IF(B3746="","⚠ Falta fecha",IF(G3746="","⚠ Falta monto",IF(Q3746="","⚠ Falta cuenta",IF(ISNA(MATCH(Q3746,ctaNombre,0)),"⚠ Cuenta no registrada",IF(AND(OR(P3746="Gasto",P3746="Reembolso"),D3746=""),"⚠ Falta categoría",IF(AND(D3746&lt;&gt;"",E3746&lt;&gt;"",ISNA(MATCH(D3746&amp;"|"&amp;E3746,catClave,0))),"⚠ Subcategoría no corresponde",IF(AND(OR(P3746="Transferencia",P3746="Pago tarjeta"),K3746=""),"⚠ Falta cuenta destino",IF(AND(K3746&lt;&gt;"",P3746&lt;&gt;"Transferencia",P3746&lt;&gt;"Pago tarjeta"),"⚠ Destino solo aplica a transferencias",IF(AND(K3746&lt;&gt;"",K3746=Q3746),"⚠ Origen igual a destino",IF(AND(K3746&lt;&gt;"",ISNA(MATCH(K3746,ctaNombre,0))),"⚠ Destino no registrado",IF(AND(P3746="Pago tarjeta",AE3746&lt;&gt;"Tarjeta de crédito"),"⚠ El destino debe ser tarjeta de crédito",IF(AND(P3746="Gasto",E3746="Depósitos y retiros"),"⚠ Usa tipo Transferencia",IF(AND(P3746="Resultado trading",AD3746&lt;&gt;"Cuenta de trading"),"⚠ Usa una cuenta de trading",IF(AND(G3746&lt;=0,P3746&lt;&gt;"Ajuste",P3746&lt;&gt;"Resultado trading"),"⚠ El monto debe ser positivo","✓")))))))))))))))</f>
        <v/>
      </c>
      <c r="P3746" s="52">
        <f>IF(OR(B3746="",G3746=""),"",IF(C3746="","Gasto",C3746))</f>
        <v/>
      </c>
      <c r="Q3746" s="52">
        <f>IF(P3746="","",IF(J3746&lt;&gt;"",J3746,CuentaPred&amp;""))</f>
        <v/>
      </c>
      <c r="R3746" s="52">
        <f>IF(P3746="","",IF(ISNUMBER(I3746),I3746,TasaUSD))</f>
        <v/>
      </c>
      <c r="S3746" s="53">
        <f>IF(P3746="","",IF(H3746="USD",G3746*R3746,G3746))</f>
        <v/>
      </c>
      <c r="T3746" s="53">
        <f>IF(P3746="","",IF(H3746="USD",G3746,IF(R3746&gt;0,G3746/R3746,0)))</f>
        <v/>
      </c>
      <c r="U3746" s="53">
        <f>IF(P3746="","",IF(P3746="Gasto",S3746,IF(P3746="Reembolso",-S3746,0)))</f>
        <v/>
      </c>
      <c r="V3746" s="53">
        <f>IF(P3746="","",IF(P3746="Ingreso",S3746,0))</f>
        <v/>
      </c>
      <c r="W3746" s="53">
        <f>IF(P3746="","",IF(P3746="Resultado trading",S3746,0))</f>
        <v/>
      </c>
      <c r="X3746" s="52">
        <f>IF(OR(P3746="Gasto",P3746="Reembolso"),IF(M3746&lt;&gt;"",M3746,IFERROR(INDEX(catClasif,MATCH(D3746&amp;"|"&amp;E3746,catClave,0))&amp;"","Variable")),"")</f>
        <v/>
      </c>
      <c r="Y3746" s="52">
        <f>IF(P3746="","",IFERROR(INDEX(catGrupo,MATCH(D3746&amp;"|"&amp;E3746,catClave,0))&amp;"",""))</f>
        <v/>
      </c>
      <c r="Z3746" s="52">
        <f>IF(P3746="","",WEEKDAY(B3746,2))</f>
        <v/>
      </c>
      <c r="AA3746" s="52">
        <f>IF(P3746="","",IF(AND(P3746="Gasto",X3746="Variable",D3746&lt;&gt;catTrading,S3746&gt;0,S3746&lt;=Umbral),1,0))</f>
        <v/>
      </c>
      <c r="AB3746" s="52">
        <f>IF(OR(P3746="",Q3746=""),"",IFERROR(IF(INDEX(ctaVinc,MATCH(Q3746,ctaNombre,0))&amp;""&lt;&gt;"",INDEX(ctaVinc,MATCH(Q3746,ctaNombre,0))&amp;"",Q3746),Q3746))</f>
        <v/>
      </c>
      <c r="AC3746" s="52">
        <f>IF(OR(K3746="",AND(P3746&lt;&gt;"Transferencia",P3746&lt;&gt;"Pago tarjeta")),"",IFERROR(IF(INDEX(ctaVinc,MATCH(K3746,ctaNombre,0))&amp;""&lt;&gt;"",INDEX(ctaVinc,MATCH(K3746,ctaNombre,0))&amp;"",K3746),K3746))</f>
        <v/>
      </c>
      <c r="AD3746" s="52">
        <f>IF(AB3746="","",IFERROR(INDEX(ctaTipo,MATCH(AB3746,ctaNombre,0))&amp;"",""))</f>
        <v/>
      </c>
      <c r="AE3746" s="52">
        <f>IF(AC3746="","",IFERROR(INDEX(ctaTipo,MATCH(AC3746,ctaNombre,0))&amp;"",""))</f>
        <v/>
      </c>
      <c r="AF3746" s="53">
        <f>IF(OR(P3746="",AB3746=""),"",IF(OR(P3746="Gasto",P3746="Transferencia",P3746="Pago tarjeta"),-1,1)*IF(IFERROR(INDEX(ctaMoneda,MATCH(AB3746,ctaNombre,0))&amp;"","DOP")="USD",T3746,S3746))</f>
        <v/>
      </c>
      <c r="AG3746" s="53">
        <f>IF(AC3746="","",IF(IFERROR(INDEX(ctaMoneda,MATCH(AC3746,ctaNombre,0))&amp;"","DOP")="USD",T3746,S3746))</f>
        <v/>
      </c>
      <c r="AH3746" s="53">
        <f>IF(P3746="","",IF(AND(AD3746&lt;&gt;"",COUNTIFS(tcTipo,AD3746,tcLiq,"Sí")&gt;0),IF(OR(P3746="Gasto",P3746="Transferencia",P3746="Pago tarjeta"),-1,1)*S3746,0)+IF(AND(AE3746&lt;&gt;"",COUNTIFS(tcTipo,AE3746,tcLiq,"Sí")&gt;0),S3746,0))</f>
        <v/>
      </c>
      <c r="AI3746" s="52">
        <f>IF(OR(L3746="",P3746=""),"",IF(COUNTIFS(L$6:L3746,L3746,P$6:P3746,"?*")=1,MAX(AI$5:AI3745)+1,""))</f>
        <v/>
      </c>
    </row>
    <row r="3747">
      <c r="B3747" s="47" t="n"/>
      <c r="C3747" s="48" t="n"/>
      <c r="D3747" s="48" t="n"/>
      <c r="E3747" s="48" t="n"/>
      <c r="F3747" s="48" t="n"/>
      <c r="G3747" s="49" t="n"/>
      <c r="H3747" s="48" t="n"/>
      <c r="I3747" s="50" t="n"/>
      <c r="J3747" s="48" t="n"/>
      <c r="K3747" s="48" t="n"/>
      <c r="L3747" s="48" t="n"/>
      <c r="M3747" s="48" t="n"/>
      <c r="N3747" s="48" t="n"/>
      <c r="O3747" s="51">
        <f>IF(AND(B3747="",G3747="",C3747="",D3747="",J3747=""),"",IF(B3747="","⚠ Falta fecha",IF(G3747="","⚠ Falta monto",IF(Q3747="","⚠ Falta cuenta",IF(ISNA(MATCH(Q3747,ctaNombre,0)),"⚠ Cuenta no registrada",IF(AND(OR(P3747="Gasto",P3747="Reembolso"),D3747=""),"⚠ Falta categoría",IF(AND(D3747&lt;&gt;"",E3747&lt;&gt;"",ISNA(MATCH(D3747&amp;"|"&amp;E3747,catClave,0))),"⚠ Subcategoría no corresponde",IF(AND(OR(P3747="Transferencia",P3747="Pago tarjeta"),K3747=""),"⚠ Falta cuenta destino",IF(AND(K3747&lt;&gt;"",P3747&lt;&gt;"Transferencia",P3747&lt;&gt;"Pago tarjeta"),"⚠ Destino solo aplica a transferencias",IF(AND(K3747&lt;&gt;"",K3747=Q3747),"⚠ Origen igual a destino",IF(AND(K3747&lt;&gt;"",ISNA(MATCH(K3747,ctaNombre,0))),"⚠ Destino no registrado",IF(AND(P3747="Pago tarjeta",AE3747&lt;&gt;"Tarjeta de crédito"),"⚠ El destino debe ser tarjeta de crédito",IF(AND(P3747="Gasto",E3747="Depósitos y retiros"),"⚠ Usa tipo Transferencia",IF(AND(P3747="Resultado trading",AD3747&lt;&gt;"Cuenta de trading"),"⚠ Usa una cuenta de trading",IF(AND(G3747&lt;=0,P3747&lt;&gt;"Ajuste",P3747&lt;&gt;"Resultado trading"),"⚠ El monto debe ser positivo","✓")))))))))))))))</f>
        <v/>
      </c>
      <c r="P3747" s="52">
        <f>IF(OR(B3747="",G3747=""),"",IF(C3747="","Gasto",C3747))</f>
        <v/>
      </c>
      <c r="Q3747" s="52">
        <f>IF(P3747="","",IF(J3747&lt;&gt;"",J3747,CuentaPred&amp;""))</f>
        <v/>
      </c>
      <c r="R3747" s="52">
        <f>IF(P3747="","",IF(ISNUMBER(I3747),I3747,TasaUSD))</f>
        <v/>
      </c>
      <c r="S3747" s="53">
        <f>IF(P3747="","",IF(H3747="USD",G3747*R3747,G3747))</f>
        <v/>
      </c>
      <c r="T3747" s="53">
        <f>IF(P3747="","",IF(H3747="USD",G3747,IF(R3747&gt;0,G3747/R3747,0)))</f>
        <v/>
      </c>
      <c r="U3747" s="53">
        <f>IF(P3747="","",IF(P3747="Gasto",S3747,IF(P3747="Reembolso",-S3747,0)))</f>
        <v/>
      </c>
      <c r="V3747" s="53">
        <f>IF(P3747="","",IF(P3747="Ingreso",S3747,0))</f>
        <v/>
      </c>
      <c r="W3747" s="53">
        <f>IF(P3747="","",IF(P3747="Resultado trading",S3747,0))</f>
        <v/>
      </c>
      <c r="X3747" s="52">
        <f>IF(OR(P3747="Gasto",P3747="Reembolso"),IF(M3747&lt;&gt;"",M3747,IFERROR(INDEX(catClasif,MATCH(D3747&amp;"|"&amp;E3747,catClave,0))&amp;"","Variable")),"")</f>
        <v/>
      </c>
      <c r="Y3747" s="52">
        <f>IF(P3747="","",IFERROR(INDEX(catGrupo,MATCH(D3747&amp;"|"&amp;E3747,catClave,0))&amp;"",""))</f>
        <v/>
      </c>
      <c r="Z3747" s="52">
        <f>IF(P3747="","",WEEKDAY(B3747,2))</f>
        <v/>
      </c>
      <c r="AA3747" s="52">
        <f>IF(P3747="","",IF(AND(P3747="Gasto",X3747="Variable",D3747&lt;&gt;catTrading,S3747&gt;0,S3747&lt;=Umbral),1,0))</f>
        <v/>
      </c>
      <c r="AB3747" s="52">
        <f>IF(OR(P3747="",Q3747=""),"",IFERROR(IF(INDEX(ctaVinc,MATCH(Q3747,ctaNombre,0))&amp;""&lt;&gt;"",INDEX(ctaVinc,MATCH(Q3747,ctaNombre,0))&amp;"",Q3747),Q3747))</f>
        <v/>
      </c>
      <c r="AC3747" s="52">
        <f>IF(OR(K3747="",AND(P3747&lt;&gt;"Transferencia",P3747&lt;&gt;"Pago tarjeta")),"",IFERROR(IF(INDEX(ctaVinc,MATCH(K3747,ctaNombre,0))&amp;""&lt;&gt;"",INDEX(ctaVinc,MATCH(K3747,ctaNombre,0))&amp;"",K3747),K3747))</f>
        <v/>
      </c>
      <c r="AD3747" s="52">
        <f>IF(AB3747="","",IFERROR(INDEX(ctaTipo,MATCH(AB3747,ctaNombre,0))&amp;"",""))</f>
        <v/>
      </c>
      <c r="AE3747" s="52">
        <f>IF(AC3747="","",IFERROR(INDEX(ctaTipo,MATCH(AC3747,ctaNombre,0))&amp;"",""))</f>
        <v/>
      </c>
      <c r="AF3747" s="53">
        <f>IF(OR(P3747="",AB3747=""),"",IF(OR(P3747="Gasto",P3747="Transferencia",P3747="Pago tarjeta"),-1,1)*IF(IFERROR(INDEX(ctaMoneda,MATCH(AB3747,ctaNombre,0))&amp;"","DOP")="USD",T3747,S3747))</f>
        <v/>
      </c>
      <c r="AG3747" s="53">
        <f>IF(AC3747="","",IF(IFERROR(INDEX(ctaMoneda,MATCH(AC3747,ctaNombre,0))&amp;"","DOP")="USD",T3747,S3747))</f>
        <v/>
      </c>
      <c r="AH3747" s="53">
        <f>IF(P3747="","",IF(AND(AD3747&lt;&gt;"",COUNTIFS(tcTipo,AD3747,tcLiq,"Sí")&gt;0),IF(OR(P3747="Gasto",P3747="Transferencia",P3747="Pago tarjeta"),-1,1)*S3747,0)+IF(AND(AE3747&lt;&gt;"",COUNTIFS(tcTipo,AE3747,tcLiq,"Sí")&gt;0),S3747,0))</f>
        <v/>
      </c>
      <c r="AI3747" s="52">
        <f>IF(OR(L3747="",P3747=""),"",IF(COUNTIFS(L$6:L3747,L3747,P$6:P3747,"?*")=1,MAX(AI$5:AI3746)+1,""))</f>
        <v/>
      </c>
    </row>
    <row r="3748">
      <c r="B3748" s="47" t="n"/>
      <c r="C3748" s="48" t="n"/>
      <c r="D3748" s="48" t="n"/>
      <c r="E3748" s="48" t="n"/>
      <c r="F3748" s="48" t="n"/>
      <c r="G3748" s="49" t="n"/>
      <c r="H3748" s="48" t="n"/>
      <c r="I3748" s="50" t="n"/>
      <c r="J3748" s="48" t="n"/>
      <c r="K3748" s="48" t="n"/>
      <c r="L3748" s="48" t="n"/>
      <c r="M3748" s="48" t="n"/>
      <c r="N3748" s="48" t="n"/>
      <c r="O3748" s="51">
        <f>IF(AND(B3748="",G3748="",C3748="",D3748="",J3748=""),"",IF(B3748="","⚠ Falta fecha",IF(G3748="","⚠ Falta monto",IF(Q3748="","⚠ Falta cuenta",IF(ISNA(MATCH(Q3748,ctaNombre,0)),"⚠ Cuenta no registrada",IF(AND(OR(P3748="Gasto",P3748="Reembolso"),D3748=""),"⚠ Falta categoría",IF(AND(D3748&lt;&gt;"",E3748&lt;&gt;"",ISNA(MATCH(D3748&amp;"|"&amp;E3748,catClave,0))),"⚠ Subcategoría no corresponde",IF(AND(OR(P3748="Transferencia",P3748="Pago tarjeta"),K3748=""),"⚠ Falta cuenta destino",IF(AND(K3748&lt;&gt;"",P3748&lt;&gt;"Transferencia",P3748&lt;&gt;"Pago tarjeta"),"⚠ Destino solo aplica a transferencias",IF(AND(K3748&lt;&gt;"",K3748=Q3748),"⚠ Origen igual a destino",IF(AND(K3748&lt;&gt;"",ISNA(MATCH(K3748,ctaNombre,0))),"⚠ Destino no registrado",IF(AND(P3748="Pago tarjeta",AE3748&lt;&gt;"Tarjeta de crédito"),"⚠ El destino debe ser tarjeta de crédito",IF(AND(P3748="Gasto",E3748="Depósitos y retiros"),"⚠ Usa tipo Transferencia",IF(AND(P3748="Resultado trading",AD3748&lt;&gt;"Cuenta de trading"),"⚠ Usa una cuenta de trading",IF(AND(G3748&lt;=0,P3748&lt;&gt;"Ajuste",P3748&lt;&gt;"Resultado trading"),"⚠ El monto debe ser positivo","✓")))))))))))))))</f>
        <v/>
      </c>
      <c r="P3748" s="52">
        <f>IF(OR(B3748="",G3748=""),"",IF(C3748="","Gasto",C3748))</f>
        <v/>
      </c>
      <c r="Q3748" s="52">
        <f>IF(P3748="","",IF(J3748&lt;&gt;"",J3748,CuentaPred&amp;""))</f>
        <v/>
      </c>
      <c r="R3748" s="52">
        <f>IF(P3748="","",IF(ISNUMBER(I3748),I3748,TasaUSD))</f>
        <v/>
      </c>
      <c r="S3748" s="53">
        <f>IF(P3748="","",IF(H3748="USD",G3748*R3748,G3748))</f>
        <v/>
      </c>
      <c r="T3748" s="53">
        <f>IF(P3748="","",IF(H3748="USD",G3748,IF(R3748&gt;0,G3748/R3748,0)))</f>
        <v/>
      </c>
      <c r="U3748" s="53">
        <f>IF(P3748="","",IF(P3748="Gasto",S3748,IF(P3748="Reembolso",-S3748,0)))</f>
        <v/>
      </c>
      <c r="V3748" s="53">
        <f>IF(P3748="","",IF(P3748="Ingreso",S3748,0))</f>
        <v/>
      </c>
      <c r="W3748" s="53">
        <f>IF(P3748="","",IF(P3748="Resultado trading",S3748,0))</f>
        <v/>
      </c>
      <c r="X3748" s="52">
        <f>IF(OR(P3748="Gasto",P3748="Reembolso"),IF(M3748&lt;&gt;"",M3748,IFERROR(INDEX(catClasif,MATCH(D3748&amp;"|"&amp;E3748,catClave,0))&amp;"","Variable")),"")</f>
        <v/>
      </c>
      <c r="Y3748" s="52">
        <f>IF(P3748="","",IFERROR(INDEX(catGrupo,MATCH(D3748&amp;"|"&amp;E3748,catClave,0))&amp;"",""))</f>
        <v/>
      </c>
      <c r="Z3748" s="52">
        <f>IF(P3748="","",WEEKDAY(B3748,2))</f>
        <v/>
      </c>
      <c r="AA3748" s="52">
        <f>IF(P3748="","",IF(AND(P3748="Gasto",X3748="Variable",D3748&lt;&gt;catTrading,S3748&gt;0,S3748&lt;=Umbral),1,0))</f>
        <v/>
      </c>
      <c r="AB3748" s="52">
        <f>IF(OR(P3748="",Q3748=""),"",IFERROR(IF(INDEX(ctaVinc,MATCH(Q3748,ctaNombre,0))&amp;""&lt;&gt;"",INDEX(ctaVinc,MATCH(Q3748,ctaNombre,0))&amp;"",Q3748),Q3748))</f>
        <v/>
      </c>
      <c r="AC3748" s="52">
        <f>IF(OR(K3748="",AND(P3748&lt;&gt;"Transferencia",P3748&lt;&gt;"Pago tarjeta")),"",IFERROR(IF(INDEX(ctaVinc,MATCH(K3748,ctaNombre,0))&amp;""&lt;&gt;"",INDEX(ctaVinc,MATCH(K3748,ctaNombre,0))&amp;"",K3748),K3748))</f>
        <v/>
      </c>
      <c r="AD3748" s="52">
        <f>IF(AB3748="","",IFERROR(INDEX(ctaTipo,MATCH(AB3748,ctaNombre,0))&amp;"",""))</f>
        <v/>
      </c>
      <c r="AE3748" s="52">
        <f>IF(AC3748="","",IFERROR(INDEX(ctaTipo,MATCH(AC3748,ctaNombre,0))&amp;"",""))</f>
        <v/>
      </c>
      <c r="AF3748" s="53">
        <f>IF(OR(P3748="",AB3748=""),"",IF(OR(P3748="Gasto",P3748="Transferencia",P3748="Pago tarjeta"),-1,1)*IF(IFERROR(INDEX(ctaMoneda,MATCH(AB3748,ctaNombre,0))&amp;"","DOP")="USD",T3748,S3748))</f>
        <v/>
      </c>
      <c r="AG3748" s="53">
        <f>IF(AC3748="","",IF(IFERROR(INDEX(ctaMoneda,MATCH(AC3748,ctaNombre,0))&amp;"","DOP")="USD",T3748,S3748))</f>
        <v/>
      </c>
      <c r="AH3748" s="53">
        <f>IF(P3748="","",IF(AND(AD3748&lt;&gt;"",COUNTIFS(tcTipo,AD3748,tcLiq,"Sí")&gt;0),IF(OR(P3748="Gasto",P3748="Transferencia",P3748="Pago tarjeta"),-1,1)*S3748,0)+IF(AND(AE3748&lt;&gt;"",COUNTIFS(tcTipo,AE3748,tcLiq,"Sí")&gt;0),S3748,0))</f>
        <v/>
      </c>
      <c r="AI3748" s="52">
        <f>IF(OR(L3748="",P3748=""),"",IF(COUNTIFS(L$6:L3748,L3748,P$6:P3748,"?*")=1,MAX(AI$5:AI3747)+1,""))</f>
        <v/>
      </c>
    </row>
    <row r="3749">
      <c r="B3749" s="47" t="n"/>
      <c r="C3749" s="48" t="n"/>
      <c r="D3749" s="48" t="n"/>
      <c r="E3749" s="48" t="n"/>
      <c r="F3749" s="48" t="n"/>
      <c r="G3749" s="49" t="n"/>
      <c r="H3749" s="48" t="n"/>
      <c r="I3749" s="50" t="n"/>
      <c r="J3749" s="48" t="n"/>
      <c r="K3749" s="48" t="n"/>
      <c r="L3749" s="48" t="n"/>
      <c r="M3749" s="48" t="n"/>
      <c r="N3749" s="48" t="n"/>
      <c r="O3749" s="51">
        <f>IF(AND(B3749="",G3749="",C3749="",D3749="",J3749=""),"",IF(B3749="","⚠ Falta fecha",IF(G3749="","⚠ Falta monto",IF(Q3749="","⚠ Falta cuenta",IF(ISNA(MATCH(Q3749,ctaNombre,0)),"⚠ Cuenta no registrada",IF(AND(OR(P3749="Gasto",P3749="Reembolso"),D3749=""),"⚠ Falta categoría",IF(AND(D3749&lt;&gt;"",E3749&lt;&gt;"",ISNA(MATCH(D3749&amp;"|"&amp;E3749,catClave,0))),"⚠ Subcategoría no corresponde",IF(AND(OR(P3749="Transferencia",P3749="Pago tarjeta"),K3749=""),"⚠ Falta cuenta destino",IF(AND(K3749&lt;&gt;"",P3749&lt;&gt;"Transferencia",P3749&lt;&gt;"Pago tarjeta"),"⚠ Destino solo aplica a transferencias",IF(AND(K3749&lt;&gt;"",K3749=Q3749),"⚠ Origen igual a destino",IF(AND(K3749&lt;&gt;"",ISNA(MATCH(K3749,ctaNombre,0))),"⚠ Destino no registrado",IF(AND(P3749="Pago tarjeta",AE3749&lt;&gt;"Tarjeta de crédito"),"⚠ El destino debe ser tarjeta de crédito",IF(AND(P3749="Gasto",E3749="Depósitos y retiros"),"⚠ Usa tipo Transferencia",IF(AND(P3749="Resultado trading",AD3749&lt;&gt;"Cuenta de trading"),"⚠ Usa una cuenta de trading",IF(AND(G3749&lt;=0,P3749&lt;&gt;"Ajuste",P3749&lt;&gt;"Resultado trading"),"⚠ El monto debe ser positivo","✓")))))))))))))))</f>
        <v/>
      </c>
      <c r="P3749" s="52">
        <f>IF(OR(B3749="",G3749=""),"",IF(C3749="","Gasto",C3749))</f>
        <v/>
      </c>
      <c r="Q3749" s="52">
        <f>IF(P3749="","",IF(J3749&lt;&gt;"",J3749,CuentaPred&amp;""))</f>
        <v/>
      </c>
      <c r="R3749" s="52">
        <f>IF(P3749="","",IF(ISNUMBER(I3749),I3749,TasaUSD))</f>
        <v/>
      </c>
      <c r="S3749" s="53">
        <f>IF(P3749="","",IF(H3749="USD",G3749*R3749,G3749))</f>
        <v/>
      </c>
      <c r="T3749" s="53">
        <f>IF(P3749="","",IF(H3749="USD",G3749,IF(R3749&gt;0,G3749/R3749,0)))</f>
        <v/>
      </c>
      <c r="U3749" s="53">
        <f>IF(P3749="","",IF(P3749="Gasto",S3749,IF(P3749="Reembolso",-S3749,0)))</f>
        <v/>
      </c>
      <c r="V3749" s="53">
        <f>IF(P3749="","",IF(P3749="Ingreso",S3749,0))</f>
        <v/>
      </c>
      <c r="W3749" s="53">
        <f>IF(P3749="","",IF(P3749="Resultado trading",S3749,0))</f>
        <v/>
      </c>
      <c r="X3749" s="52">
        <f>IF(OR(P3749="Gasto",P3749="Reembolso"),IF(M3749&lt;&gt;"",M3749,IFERROR(INDEX(catClasif,MATCH(D3749&amp;"|"&amp;E3749,catClave,0))&amp;"","Variable")),"")</f>
        <v/>
      </c>
      <c r="Y3749" s="52">
        <f>IF(P3749="","",IFERROR(INDEX(catGrupo,MATCH(D3749&amp;"|"&amp;E3749,catClave,0))&amp;"",""))</f>
        <v/>
      </c>
      <c r="Z3749" s="52">
        <f>IF(P3749="","",WEEKDAY(B3749,2))</f>
        <v/>
      </c>
      <c r="AA3749" s="52">
        <f>IF(P3749="","",IF(AND(P3749="Gasto",X3749="Variable",D3749&lt;&gt;catTrading,S3749&gt;0,S3749&lt;=Umbral),1,0))</f>
        <v/>
      </c>
      <c r="AB3749" s="52">
        <f>IF(OR(P3749="",Q3749=""),"",IFERROR(IF(INDEX(ctaVinc,MATCH(Q3749,ctaNombre,0))&amp;""&lt;&gt;"",INDEX(ctaVinc,MATCH(Q3749,ctaNombre,0))&amp;"",Q3749),Q3749))</f>
        <v/>
      </c>
      <c r="AC3749" s="52">
        <f>IF(OR(K3749="",AND(P3749&lt;&gt;"Transferencia",P3749&lt;&gt;"Pago tarjeta")),"",IFERROR(IF(INDEX(ctaVinc,MATCH(K3749,ctaNombre,0))&amp;""&lt;&gt;"",INDEX(ctaVinc,MATCH(K3749,ctaNombre,0))&amp;"",K3749),K3749))</f>
        <v/>
      </c>
      <c r="AD3749" s="52">
        <f>IF(AB3749="","",IFERROR(INDEX(ctaTipo,MATCH(AB3749,ctaNombre,0))&amp;"",""))</f>
        <v/>
      </c>
      <c r="AE3749" s="52">
        <f>IF(AC3749="","",IFERROR(INDEX(ctaTipo,MATCH(AC3749,ctaNombre,0))&amp;"",""))</f>
        <v/>
      </c>
      <c r="AF3749" s="53">
        <f>IF(OR(P3749="",AB3749=""),"",IF(OR(P3749="Gasto",P3749="Transferencia",P3749="Pago tarjeta"),-1,1)*IF(IFERROR(INDEX(ctaMoneda,MATCH(AB3749,ctaNombre,0))&amp;"","DOP")="USD",T3749,S3749))</f>
        <v/>
      </c>
      <c r="AG3749" s="53">
        <f>IF(AC3749="","",IF(IFERROR(INDEX(ctaMoneda,MATCH(AC3749,ctaNombre,0))&amp;"","DOP")="USD",T3749,S3749))</f>
        <v/>
      </c>
      <c r="AH3749" s="53">
        <f>IF(P3749="","",IF(AND(AD3749&lt;&gt;"",COUNTIFS(tcTipo,AD3749,tcLiq,"Sí")&gt;0),IF(OR(P3749="Gasto",P3749="Transferencia",P3749="Pago tarjeta"),-1,1)*S3749,0)+IF(AND(AE3749&lt;&gt;"",COUNTIFS(tcTipo,AE3749,tcLiq,"Sí")&gt;0),S3749,0))</f>
        <v/>
      </c>
      <c r="AI3749" s="52">
        <f>IF(OR(L3749="",P3749=""),"",IF(COUNTIFS(L$6:L3749,L3749,P$6:P3749,"?*")=1,MAX(AI$5:AI3748)+1,""))</f>
        <v/>
      </c>
    </row>
    <row r="3750">
      <c r="B3750" s="47" t="n"/>
      <c r="C3750" s="48" t="n"/>
      <c r="D3750" s="48" t="n"/>
      <c r="E3750" s="48" t="n"/>
      <c r="F3750" s="48" t="n"/>
      <c r="G3750" s="49" t="n"/>
      <c r="H3750" s="48" t="n"/>
      <c r="I3750" s="50" t="n"/>
      <c r="J3750" s="48" t="n"/>
      <c r="K3750" s="48" t="n"/>
      <c r="L3750" s="48" t="n"/>
      <c r="M3750" s="48" t="n"/>
      <c r="N3750" s="48" t="n"/>
      <c r="O3750" s="51">
        <f>IF(AND(B3750="",G3750="",C3750="",D3750="",J3750=""),"",IF(B3750="","⚠ Falta fecha",IF(G3750="","⚠ Falta monto",IF(Q3750="","⚠ Falta cuenta",IF(ISNA(MATCH(Q3750,ctaNombre,0)),"⚠ Cuenta no registrada",IF(AND(OR(P3750="Gasto",P3750="Reembolso"),D3750=""),"⚠ Falta categoría",IF(AND(D3750&lt;&gt;"",E3750&lt;&gt;"",ISNA(MATCH(D3750&amp;"|"&amp;E3750,catClave,0))),"⚠ Subcategoría no corresponde",IF(AND(OR(P3750="Transferencia",P3750="Pago tarjeta"),K3750=""),"⚠ Falta cuenta destino",IF(AND(K3750&lt;&gt;"",P3750&lt;&gt;"Transferencia",P3750&lt;&gt;"Pago tarjeta"),"⚠ Destino solo aplica a transferencias",IF(AND(K3750&lt;&gt;"",K3750=Q3750),"⚠ Origen igual a destino",IF(AND(K3750&lt;&gt;"",ISNA(MATCH(K3750,ctaNombre,0))),"⚠ Destino no registrado",IF(AND(P3750="Pago tarjeta",AE3750&lt;&gt;"Tarjeta de crédito"),"⚠ El destino debe ser tarjeta de crédito",IF(AND(P3750="Gasto",E3750="Depósitos y retiros"),"⚠ Usa tipo Transferencia",IF(AND(P3750="Resultado trading",AD3750&lt;&gt;"Cuenta de trading"),"⚠ Usa una cuenta de trading",IF(AND(G3750&lt;=0,P3750&lt;&gt;"Ajuste",P3750&lt;&gt;"Resultado trading"),"⚠ El monto debe ser positivo","✓")))))))))))))))</f>
        <v/>
      </c>
      <c r="P3750" s="52">
        <f>IF(OR(B3750="",G3750=""),"",IF(C3750="","Gasto",C3750))</f>
        <v/>
      </c>
      <c r="Q3750" s="52">
        <f>IF(P3750="","",IF(J3750&lt;&gt;"",J3750,CuentaPred&amp;""))</f>
        <v/>
      </c>
      <c r="R3750" s="52">
        <f>IF(P3750="","",IF(ISNUMBER(I3750),I3750,TasaUSD))</f>
        <v/>
      </c>
      <c r="S3750" s="53">
        <f>IF(P3750="","",IF(H3750="USD",G3750*R3750,G3750))</f>
        <v/>
      </c>
      <c r="T3750" s="53">
        <f>IF(P3750="","",IF(H3750="USD",G3750,IF(R3750&gt;0,G3750/R3750,0)))</f>
        <v/>
      </c>
      <c r="U3750" s="53">
        <f>IF(P3750="","",IF(P3750="Gasto",S3750,IF(P3750="Reembolso",-S3750,0)))</f>
        <v/>
      </c>
      <c r="V3750" s="53">
        <f>IF(P3750="","",IF(P3750="Ingreso",S3750,0))</f>
        <v/>
      </c>
      <c r="W3750" s="53">
        <f>IF(P3750="","",IF(P3750="Resultado trading",S3750,0))</f>
        <v/>
      </c>
      <c r="X3750" s="52">
        <f>IF(OR(P3750="Gasto",P3750="Reembolso"),IF(M3750&lt;&gt;"",M3750,IFERROR(INDEX(catClasif,MATCH(D3750&amp;"|"&amp;E3750,catClave,0))&amp;"","Variable")),"")</f>
        <v/>
      </c>
      <c r="Y3750" s="52">
        <f>IF(P3750="","",IFERROR(INDEX(catGrupo,MATCH(D3750&amp;"|"&amp;E3750,catClave,0))&amp;"",""))</f>
        <v/>
      </c>
      <c r="Z3750" s="52">
        <f>IF(P3750="","",WEEKDAY(B3750,2))</f>
        <v/>
      </c>
      <c r="AA3750" s="52">
        <f>IF(P3750="","",IF(AND(P3750="Gasto",X3750="Variable",D3750&lt;&gt;catTrading,S3750&gt;0,S3750&lt;=Umbral),1,0))</f>
        <v/>
      </c>
      <c r="AB3750" s="52">
        <f>IF(OR(P3750="",Q3750=""),"",IFERROR(IF(INDEX(ctaVinc,MATCH(Q3750,ctaNombre,0))&amp;""&lt;&gt;"",INDEX(ctaVinc,MATCH(Q3750,ctaNombre,0))&amp;"",Q3750),Q3750))</f>
        <v/>
      </c>
      <c r="AC3750" s="52">
        <f>IF(OR(K3750="",AND(P3750&lt;&gt;"Transferencia",P3750&lt;&gt;"Pago tarjeta")),"",IFERROR(IF(INDEX(ctaVinc,MATCH(K3750,ctaNombre,0))&amp;""&lt;&gt;"",INDEX(ctaVinc,MATCH(K3750,ctaNombre,0))&amp;"",K3750),K3750))</f>
        <v/>
      </c>
      <c r="AD3750" s="52">
        <f>IF(AB3750="","",IFERROR(INDEX(ctaTipo,MATCH(AB3750,ctaNombre,0))&amp;"",""))</f>
        <v/>
      </c>
      <c r="AE3750" s="52">
        <f>IF(AC3750="","",IFERROR(INDEX(ctaTipo,MATCH(AC3750,ctaNombre,0))&amp;"",""))</f>
        <v/>
      </c>
      <c r="AF3750" s="53">
        <f>IF(OR(P3750="",AB3750=""),"",IF(OR(P3750="Gasto",P3750="Transferencia",P3750="Pago tarjeta"),-1,1)*IF(IFERROR(INDEX(ctaMoneda,MATCH(AB3750,ctaNombre,0))&amp;"","DOP")="USD",T3750,S3750))</f>
        <v/>
      </c>
      <c r="AG3750" s="53">
        <f>IF(AC3750="","",IF(IFERROR(INDEX(ctaMoneda,MATCH(AC3750,ctaNombre,0))&amp;"","DOP")="USD",T3750,S3750))</f>
        <v/>
      </c>
      <c r="AH3750" s="53">
        <f>IF(P3750="","",IF(AND(AD3750&lt;&gt;"",COUNTIFS(tcTipo,AD3750,tcLiq,"Sí")&gt;0),IF(OR(P3750="Gasto",P3750="Transferencia",P3750="Pago tarjeta"),-1,1)*S3750,0)+IF(AND(AE3750&lt;&gt;"",COUNTIFS(tcTipo,AE3750,tcLiq,"Sí")&gt;0),S3750,0))</f>
        <v/>
      </c>
      <c r="AI3750" s="52">
        <f>IF(OR(L3750="",P3750=""),"",IF(COUNTIFS(L$6:L3750,L3750,P$6:P3750,"?*")=1,MAX(AI$5:AI3749)+1,""))</f>
        <v/>
      </c>
    </row>
    <row r="3751">
      <c r="B3751" s="47" t="n"/>
      <c r="C3751" s="48" t="n"/>
      <c r="D3751" s="48" t="n"/>
      <c r="E3751" s="48" t="n"/>
      <c r="F3751" s="48" t="n"/>
      <c r="G3751" s="49" t="n"/>
      <c r="H3751" s="48" t="n"/>
      <c r="I3751" s="50" t="n"/>
      <c r="J3751" s="48" t="n"/>
      <c r="K3751" s="48" t="n"/>
      <c r="L3751" s="48" t="n"/>
      <c r="M3751" s="48" t="n"/>
      <c r="N3751" s="48" t="n"/>
      <c r="O3751" s="51">
        <f>IF(AND(B3751="",G3751="",C3751="",D3751="",J3751=""),"",IF(B3751="","⚠ Falta fecha",IF(G3751="","⚠ Falta monto",IF(Q3751="","⚠ Falta cuenta",IF(ISNA(MATCH(Q3751,ctaNombre,0)),"⚠ Cuenta no registrada",IF(AND(OR(P3751="Gasto",P3751="Reembolso"),D3751=""),"⚠ Falta categoría",IF(AND(D3751&lt;&gt;"",E3751&lt;&gt;"",ISNA(MATCH(D3751&amp;"|"&amp;E3751,catClave,0))),"⚠ Subcategoría no corresponde",IF(AND(OR(P3751="Transferencia",P3751="Pago tarjeta"),K3751=""),"⚠ Falta cuenta destino",IF(AND(K3751&lt;&gt;"",P3751&lt;&gt;"Transferencia",P3751&lt;&gt;"Pago tarjeta"),"⚠ Destino solo aplica a transferencias",IF(AND(K3751&lt;&gt;"",K3751=Q3751),"⚠ Origen igual a destino",IF(AND(K3751&lt;&gt;"",ISNA(MATCH(K3751,ctaNombre,0))),"⚠ Destino no registrado",IF(AND(P3751="Pago tarjeta",AE3751&lt;&gt;"Tarjeta de crédito"),"⚠ El destino debe ser tarjeta de crédito",IF(AND(P3751="Gasto",E3751="Depósitos y retiros"),"⚠ Usa tipo Transferencia",IF(AND(P3751="Resultado trading",AD3751&lt;&gt;"Cuenta de trading"),"⚠ Usa una cuenta de trading",IF(AND(G3751&lt;=0,P3751&lt;&gt;"Ajuste",P3751&lt;&gt;"Resultado trading"),"⚠ El monto debe ser positivo","✓")))))))))))))))</f>
        <v/>
      </c>
      <c r="P3751" s="52">
        <f>IF(OR(B3751="",G3751=""),"",IF(C3751="","Gasto",C3751))</f>
        <v/>
      </c>
      <c r="Q3751" s="52">
        <f>IF(P3751="","",IF(J3751&lt;&gt;"",J3751,CuentaPred&amp;""))</f>
        <v/>
      </c>
      <c r="R3751" s="52">
        <f>IF(P3751="","",IF(ISNUMBER(I3751),I3751,TasaUSD))</f>
        <v/>
      </c>
      <c r="S3751" s="53">
        <f>IF(P3751="","",IF(H3751="USD",G3751*R3751,G3751))</f>
        <v/>
      </c>
      <c r="T3751" s="53">
        <f>IF(P3751="","",IF(H3751="USD",G3751,IF(R3751&gt;0,G3751/R3751,0)))</f>
        <v/>
      </c>
      <c r="U3751" s="53">
        <f>IF(P3751="","",IF(P3751="Gasto",S3751,IF(P3751="Reembolso",-S3751,0)))</f>
        <v/>
      </c>
      <c r="V3751" s="53">
        <f>IF(P3751="","",IF(P3751="Ingreso",S3751,0))</f>
        <v/>
      </c>
      <c r="W3751" s="53">
        <f>IF(P3751="","",IF(P3751="Resultado trading",S3751,0))</f>
        <v/>
      </c>
      <c r="X3751" s="52">
        <f>IF(OR(P3751="Gasto",P3751="Reembolso"),IF(M3751&lt;&gt;"",M3751,IFERROR(INDEX(catClasif,MATCH(D3751&amp;"|"&amp;E3751,catClave,0))&amp;"","Variable")),"")</f>
        <v/>
      </c>
      <c r="Y3751" s="52">
        <f>IF(P3751="","",IFERROR(INDEX(catGrupo,MATCH(D3751&amp;"|"&amp;E3751,catClave,0))&amp;"",""))</f>
        <v/>
      </c>
      <c r="Z3751" s="52">
        <f>IF(P3751="","",WEEKDAY(B3751,2))</f>
        <v/>
      </c>
      <c r="AA3751" s="52">
        <f>IF(P3751="","",IF(AND(P3751="Gasto",X3751="Variable",D3751&lt;&gt;catTrading,S3751&gt;0,S3751&lt;=Umbral),1,0))</f>
        <v/>
      </c>
      <c r="AB3751" s="52">
        <f>IF(OR(P3751="",Q3751=""),"",IFERROR(IF(INDEX(ctaVinc,MATCH(Q3751,ctaNombre,0))&amp;""&lt;&gt;"",INDEX(ctaVinc,MATCH(Q3751,ctaNombre,0))&amp;"",Q3751),Q3751))</f>
        <v/>
      </c>
      <c r="AC3751" s="52">
        <f>IF(OR(K3751="",AND(P3751&lt;&gt;"Transferencia",P3751&lt;&gt;"Pago tarjeta")),"",IFERROR(IF(INDEX(ctaVinc,MATCH(K3751,ctaNombre,0))&amp;""&lt;&gt;"",INDEX(ctaVinc,MATCH(K3751,ctaNombre,0))&amp;"",K3751),K3751))</f>
        <v/>
      </c>
      <c r="AD3751" s="52">
        <f>IF(AB3751="","",IFERROR(INDEX(ctaTipo,MATCH(AB3751,ctaNombre,0))&amp;"",""))</f>
        <v/>
      </c>
      <c r="AE3751" s="52">
        <f>IF(AC3751="","",IFERROR(INDEX(ctaTipo,MATCH(AC3751,ctaNombre,0))&amp;"",""))</f>
        <v/>
      </c>
      <c r="AF3751" s="53">
        <f>IF(OR(P3751="",AB3751=""),"",IF(OR(P3751="Gasto",P3751="Transferencia",P3751="Pago tarjeta"),-1,1)*IF(IFERROR(INDEX(ctaMoneda,MATCH(AB3751,ctaNombre,0))&amp;"","DOP")="USD",T3751,S3751))</f>
        <v/>
      </c>
      <c r="AG3751" s="53">
        <f>IF(AC3751="","",IF(IFERROR(INDEX(ctaMoneda,MATCH(AC3751,ctaNombre,0))&amp;"","DOP")="USD",T3751,S3751))</f>
        <v/>
      </c>
      <c r="AH3751" s="53">
        <f>IF(P3751="","",IF(AND(AD3751&lt;&gt;"",COUNTIFS(tcTipo,AD3751,tcLiq,"Sí")&gt;0),IF(OR(P3751="Gasto",P3751="Transferencia",P3751="Pago tarjeta"),-1,1)*S3751,0)+IF(AND(AE3751&lt;&gt;"",COUNTIFS(tcTipo,AE3751,tcLiq,"Sí")&gt;0),S3751,0))</f>
        <v/>
      </c>
      <c r="AI3751" s="52">
        <f>IF(OR(L3751="",P3751=""),"",IF(COUNTIFS(L$6:L3751,L3751,P$6:P3751,"?*")=1,MAX(AI$5:AI3750)+1,""))</f>
        <v/>
      </c>
    </row>
    <row r="3752">
      <c r="B3752" s="47" t="n"/>
      <c r="C3752" s="48" t="n"/>
      <c r="D3752" s="48" t="n"/>
      <c r="E3752" s="48" t="n"/>
      <c r="F3752" s="48" t="n"/>
      <c r="G3752" s="49" t="n"/>
      <c r="H3752" s="48" t="n"/>
      <c r="I3752" s="50" t="n"/>
      <c r="J3752" s="48" t="n"/>
      <c r="K3752" s="48" t="n"/>
      <c r="L3752" s="48" t="n"/>
      <c r="M3752" s="48" t="n"/>
      <c r="N3752" s="48" t="n"/>
      <c r="O3752" s="51">
        <f>IF(AND(B3752="",G3752="",C3752="",D3752="",J3752=""),"",IF(B3752="","⚠ Falta fecha",IF(G3752="","⚠ Falta monto",IF(Q3752="","⚠ Falta cuenta",IF(ISNA(MATCH(Q3752,ctaNombre,0)),"⚠ Cuenta no registrada",IF(AND(OR(P3752="Gasto",P3752="Reembolso"),D3752=""),"⚠ Falta categoría",IF(AND(D3752&lt;&gt;"",E3752&lt;&gt;"",ISNA(MATCH(D3752&amp;"|"&amp;E3752,catClave,0))),"⚠ Subcategoría no corresponde",IF(AND(OR(P3752="Transferencia",P3752="Pago tarjeta"),K3752=""),"⚠ Falta cuenta destino",IF(AND(K3752&lt;&gt;"",P3752&lt;&gt;"Transferencia",P3752&lt;&gt;"Pago tarjeta"),"⚠ Destino solo aplica a transferencias",IF(AND(K3752&lt;&gt;"",K3752=Q3752),"⚠ Origen igual a destino",IF(AND(K3752&lt;&gt;"",ISNA(MATCH(K3752,ctaNombre,0))),"⚠ Destino no registrado",IF(AND(P3752="Pago tarjeta",AE3752&lt;&gt;"Tarjeta de crédito"),"⚠ El destino debe ser tarjeta de crédito",IF(AND(P3752="Gasto",E3752="Depósitos y retiros"),"⚠ Usa tipo Transferencia",IF(AND(P3752="Resultado trading",AD3752&lt;&gt;"Cuenta de trading"),"⚠ Usa una cuenta de trading",IF(AND(G3752&lt;=0,P3752&lt;&gt;"Ajuste",P3752&lt;&gt;"Resultado trading"),"⚠ El monto debe ser positivo","✓")))))))))))))))</f>
        <v/>
      </c>
      <c r="P3752" s="52">
        <f>IF(OR(B3752="",G3752=""),"",IF(C3752="","Gasto",C3752))</f>
        <v/>
      </c>
      <c r="Q3752" s="52">
        <f>IF(P3752="","",IF(J3752&lt;&gt;"",J3752,CuentaPred&amp;""))</f>
        <v/>
      </c>
      <c r="R3752" s="52">
        <f>IF(P3752="","",IF(ISNUMBER(I3752),I3752,TasaUSD))</f>
        <v/>
      </c>
      <c r="S3752" s="53">
        <f>IF(P3752="","",IF(H3752="USD",G3752*R3752,G3752))</f>
        <v/>
      </c>
      <c r="T3752" s="53">
        <f>IF(P3752="","",IF(H3752="USD",G3752,IF(R3752&gt;0,G3752/R3752,0)))</f>
        <v/>
      </c>
      <c r="U3752" s="53">
        <f>IF(P3752="","",IF(P3752="Gasto",S3752,IF(P3752="Reembolso",-S3752,0)))</f>
        <v/>
      </c>
      <c r="V3752" s="53">
        <f>IF(P3752="","",IF(P3752="Ingreso",S3752,0))</f>
        <v/>
      </c>
      <c r="W3752" s="53">
        <f>IF(P3752="","",IF(P3752="Resultado trading",S3752,0))</f>
        <v/>
      </c>
      <c r="X3752" s="52">
        <f>IF(OR(P3752="Gasto",P3752="Reembolso"),IF(M3752&lt;&gt;"",M3752,IFERROR(INDEX(catClasif,MATCH(D3752&amp;"|"&amp;E3752,catClave,0))&amp;"","Variable")),"")</f>
        <v/>
      </c>
      <c r="Y3752" s="52">
        <f>IF(P3752="","",IFERROR(INDEX(catGrupo,MATCH(D3752&amp;"|"&amp;E3752,catClave,0))&amp;"",""))</f>
        <v/>
      </c>
      <c r="Z3752" s="52">
        <f>IF(P3752="","",WEEKDAY(B3752,2))</f>
        <v/>
      </c>
      <c r="AA3752" s="52">
        <f>IF(P3752="","",IF(AND(P3752="Gasto",X3752="Variable",D3752&lt;&gt;catTrading,S3752&gt;0,S3752&lt;=Umbral),1,0))</f>
        <v/>
      </c>
      <c r="AB3752" s="52">
        <f>IF(OR(P3752="",Q3752=""),"",IFERROR(IF(INDEX(ctaVinc,MATCH(Q3752,ctaNombre,0))&amp;""&lt;&gt;"",INDEX(ctaVinc,MATCH(Q3752,ctaNombre,0))&amp;"",Q3752),Q3752))</f>
        <v/>
      </c>
      <c r="AC3752" s="52">
        <f>IF(OR(K3752="",AND(P3752&lt;&gt;"Transferencia",P3752&lt;&gt;"Pago tarjeta")),"",IFERROR(IF(INDEX(ctaVinc,MATCH(K3752,ctaNombre,0))&amp;""&lt;&gt;"",INDEX(ctaVinc,MATCH(K3752,ctaNombre,0))&amp;"",K3752),K3752))</f>
        <v/>
      </c>
      <c r="AD3752" s="52">
        <f>IF(AB3752="","",IFERROR(INDEX(ctaTipo,MATCH(AB3752,ctaNombre,0))&amp;"",""))</f>
        <v/>
      </c>
      <c r="AE3752" s="52">
        <f>IF(AC3752="","",IFERROR(INDEX(ctaTipo,MATCH(AC3752,ctaNombre,0))&amp;"",""))</f>
        <v/>
      </c>
      <c r="AF3752" s="53">
        <f>IF(OR(P3752="",AB3752=""),"",IF(OR(P3752="Gasto",P3752="Transferencia",P3752="Pago tarjeta"),-1,1)*IF(IFERROR(INDEX(ctaMoneda,MATCH(AB3752,ctaNombre,0))&amp;"","DOP")="USD",T3752,S3752))</f>
        <v/>
      </c>
      <c r="AG3752" s="53">
        <f>IF(AC3752="","",IF(IFERROR(INDEX(ctaMoneda,MATCH(AC3752,ctaNombre,0))&amp;"","DOP")="USD",T3752,S3752))</f>
        <v/>
      </c>
      <c r="AH3752" s="53">
        <f>IF(P3752="","",IF(AND(AD3752&lt;&gt;"",COUNTIFS(tcTipo,AD3752,tcLiq,"Sí")&gt;0),IF(OR(P3752="Gasto",P3752="Transferencia",P3752="Pago tarjeta"),-1,1)*S3752,0)+IF(AND(AE3752&lt;&gt;"",COUNTIFS(tcTipo,AE3752,tcLiq,"Sí")&gt;0),S3752,0))</f>
        <v/>
      </c>
      <c r="AI3752" s="52">
        <f>IF(OR(L3752="",P3752=""),"",IF(COUNTIFS(L$6:L3752,L3752,P$6:P3752,"?*")=1,MAX(AI$5:AI3751)+1,""))</f>
        <v/>
      </c>
    </row>
    <row r="3753">
      <c r="B3753" s="47" t="n"/>
      <c r="C3753" s="48" t="n"/>
      <c r="D3753" s="48" t="n"/>
      <c r="E3753" s="48" t="n"/>
      <c r="F3753" s="48" t="n"/>
      <c r="G3753" s="49" t="n"/>
      <c r="H3753" s="48" t="n"/>
      <c r="I3753" s="50" t="n"/>
      <c r="J3753" s="48" t="n"/>
      <c r="K3753" s="48" t="n"/>
      <c r="L3753" s="48" t="n"/>
      <c r="M3753" s="48" t="n"/>
      <c r="N3753" s="48" t="n"/>
      <c r="O3753" s="51">
        <f>IF(AND(B3753="",G3753="",C3753="",D3753="",J3753=""),"",IF(B3753="","⚠ Falta fecha",IF(G3753="","⚠ Falta monto",IF(Q3753="","⚠ Falta cuenta",IF(ISNA(MATCH(Q3753,ctaNombre,0)),"⚠ Cuenta no registrada",IF(AND(OR(P3753="Gasto",P3753="Reembolso"),D3753=""),"⚠ Falta categoría",IF(AND(D3753&lt;&gt;"",E3753&lt;&gt;"",ISNA(MATCH(D3753&amp;"|"&amp;E3753,catClave,0))),"⚠ Subcategoría no corresponde",IF(AND(OR(P3753="Transferencia",P3753="Pago tarjeta"),K3753=""),"⚠ Falta cuenta destino",IF(AND(K3753&lt;&gt;"",P3753&lt;&gt;"Transferencia",P3753&lt;&gt;"Pago tarjeta"),"⚠ Destino solo aplica a transferencias",IF(AND(K3753&lt;&gt;"",K3753=Q3753),"⚠ Origen igual a destino",IF(AND(K3753&lt;&gt;"",ISNA(MATCH(K3753,ctaNombre,0))),"⚠ Destino no registrado",IF(AND(P3753="Pago tarjeta",AE3753&lt;&gt;"Tarjeta de crédito"),"⚠ El destino debe ser tarjeta de crédito",IF(AND(P3753="Gasto",E3753="Depósitos y retiros"),"⚠ Usa tipo Transferencia",IF(AND(P3753="Resultado trading",AD3753&lt;&gt;"Cuenta de trading"),"⚠ Usa una cuenta de trading",IF(AND(G3753&lt;=0,P3753&lt;&gt;"Ajuste",P3753&lt;&gt;"Resultado trading"),"⚠ El monto debe ser positivo","✓")))))))))))))))</f>
        <v/>
      </c>
      <c r="P3753" s="52">
        <f>IF(OR(B3753="",G3753=""),"",IF(C3753="","Gasto",C3753))</f>
        <v/>
      </c>
      <c r="Q3753" s="52">
        <f>IF(P3753="","",IF(J3753&lt;&gt;"",J3753,CuentaPred&amp;""))</f>
        <v/>
      </c>
      <c r="R3753" s="52">
        <f>IF(P3753="","",IF(ISNUMBER(I3753),I3753,TasaUSD))</f>
        <v/>
      </c>
      <c r="S3753" s="53">
        <f>IF(P3753="","",IF(H3753="USD",G3753*R3753,G3753))</f>
        <v/>
      </c>
      <c r="T3753" s="53">
        <f>IF(P3753="","",IF(H3753="USD",G3753,IF(R3753&gt;0,G3753/R3753,0)))</f>
        <v/>
      </c>
      <c r="U3753" s="53">
        <f>IF(P3753="","",IF(P3753="Gasto",S3753,IF(P3753="Reembolso",-S3753,0)))</f>
        <v/>
      </c>
      <c r="V3753" s="53">
        <f>IF(P3753="","",IF(P3753="Ingreso",S3753,0))</f>
        <v/>
      </c>
      <c r="W3753" s="53">
        <f>IF(P3753="","",IF(P3753="Resultado trading",S3753,0))</f>
        <v/>
      </c>
      <c r="X3753" s="52">
        <f>IF(OR(P3753="Gasto",P3753="Reembolso"),IF(M3753&lt;&gt;"",M3753,IFERROR(INDEX(catClasif,MATCH(D3753&amp;"|"&amp;E3753,catClave,0))&amp;"","Variable")),"")</f>
        <v/>
      </c>
      <c r="Y3753" s="52">
        <f>IF(P3753="","",IFERROR(INDEX(catGrupo,MATCH(D3753&amp;"|"&amp;E3753,catClave,0))&amp;"",""))</f>
        <v/>
      </c>
      <c r="Z3753" s="52">
        <f>IF(P3753="","",WEEKDAY(B3753,2))</f>
        <v/>
      </c>
      <c r="AA3753" s="52">
        <f>IF(P3753="","",IF(AND(P3753="Gasto",X3753="Variable",D3753&lt;&gt;catTrading,S3753&gt;0,S3753&lt;=Umbral),1,0))</f>
        <v/>
      </c>
      <c r="AB3753" s="52">
        <f>IF(OR(P3753="",Q3753=""),"",IFERROR(IF(INDEX(ctaVinc,MATCH(Q3753,ctaNombre,0))&amp;""&lt;&gt;"",INDEX(ctaVinc,MATCH(Q3753,ctaNombre,0))&amp;"",Q3753),Q3753))</f>
        <v/>
      </c>
      <c r="AC3753" s="52">
        <f>IF(OR(K3753="",AND(P3753&lt;&gt;"Transferencia",P3753&lt;&gt;"Pago tarjeta")),"",IFERROR(IF(INDEX(ctaVinc,MATCH(K3753,ctaNombre,0))&amp;""&lt;&gt;"",INDEX(ctaVinc,MATCH(K3753,ctaNombre,0))&amp;"",K3753),K3753))</f>
        <v/>
      </c>
      <c r="AD3753" s="52">
        <f>IF(AB3753="","",IFERROR(INDEX(ctaTipo,MATCH(AB3753,ctaNombre,0))&amp;"",""))</f>
        <v/>
      </c>
      <c r="AE3753" s="52">
        <f>IF(AC3753="","",IFERROR(INDEX(ctaTipo,MATCH(AC3753,ctaNombre,0))&amp;"",""))</f>
        <v/>
      </c>
      <c r="AF3753" s="53">
        <f>IF(OR(P3753="",AB3753=""),"",IF(OR(P3753="Gasto",P3753="Transferencia",P3753="Pago tarjeta"),-1,1)*IF(IFERROR(INDEX(ctaMoneda,MATCH(AB3753,ctaNombre,0))&amp;"","DOP")="USD",T3753,S3753))</f>
        <v/>
      </c>
      <c r="AG3753" s="53">
        <f>IF(AC3753="","",IF(IFERROR(INDEX(ctaMoneda,MATCH(AC3753,ctaNombre,0))&amp;"","DOP")="USD",T3753,S3753))</f>
        <v/>
      </c>
      <c r="AH3753" s="53">
        <f>IF(P3753="","",IF(AND(AD3753&lt;&gt;"",COUNTIFS(tcTipo,AD3753,tcLiq,"Sí")&gt;0),IF(OR(P3753="Gasto",P3753="Transferencia",P3753="Pago tarjeta"),-1,1)*S3753,0)+IF(AND(AE3753&lt;&gt;"",COUNTIFS(tcTipo,AE3753,tcLiq,"Sí")&gt;0),S3753,0))</f>
        <v/>
      </c>
      <c r="AI3753" s="52">
        <f>IF(OR(L3753="",P3753=""),"",IF(COUNTIFS(L$6:L3753,L3753,P$6:P3753,"?*")=1,MAX(AI$5:AI3752)+1,""))</f>
        <v/>
      </c>
    </row>
    <row r="3754">
      <c r="B3754" s="47" t="n"/>
      <c r="C3754" s="48" t="n"/>
      <c r="D3754" s="48" t="n"/>
      <c r="E3754" s="48" t="n"/>
      <c r="F3754" s="48" t="n"/>
      <c r="G3754" s="49" t="n"/>
      <c r="H3754" s="48" t="n"/>
      <c r="I3754" s="50" t="n"/>
      <c r="J3754" s="48" t="n"/>
      <c r="K3754" s="48" t="n"/>
      <c r="L3754" s="48" t="n"/>
      <c r="M3754" s="48" t="n"/>
      <c r="N3754" s="48" t="n"/>
      <c r="O3754" s="51">
        <f>IF(AND(B3754="",G3754="",C3754="",D3754="",J3754=""),"",IF(B3754="","⚠ Falta fecha",IF(G3754="","⚠ Falta monto",IF(Q3754="","⚠ Falta cuenta",IF(ISNA(MATCH(Q3754,ctaNombre,0)),"⚠ Cuenta no registrada",IF(AND(OR(P3754="Gasto",P3754="Reembolso"),D3754=""),"⚠ Falta categoría",IF(AND(D3754&lt;&gt;"",E3754&lt;&gt;"",ISNA(MATCH(D3754&amp;"|"&amp;E3754,catClave,0))),"⚠ Subcategoría no corresponde",IF(AND(OR(P3754="Transferencia",P3754="Pago tarjeta"),K3754=""),"⚠ Falta cuenta destino",IF(AND(K3754&lt;&gt;"",P3754&lt;&gt;"Transferencia",P3754&lt;&gt;"Pago tarjeta"),"⚠ Destino solo aplica a transferencias",IF(AND(K3754&lt;&gt;"",K3754=Q3754),"⚠ Origen igual a destino",IF(AND(K3754&lt;&gt;"",ISNA(MATCH(K3754,ctaNombre,0))),"⚠ Destino no registrado",IF(AND(P3754="Pago tarjeta",AE3754&lt;&gt;"Tarjeta de crédito"),"⚠ El destino debe ser tarjeta de crédito",IF(AND(P3754="Gasto",E3754="Depósitos y retiros"),"⚠ Usa tipo Transferencia",IF(AND(P3754="Resultado trading",AD3754&lt;&gt;"Cuenta de trading"),"⚠ Usa una cuenta de trading",IF(AND(G3754&lt;=0,P3754&lt;&gt;"Ajuste",P3754&lt;&gt;"Resultado trading"),"⚠ El monto debe ser positivo","✓")))))))))))))))</f>
        <v/>
      </c>
      <c r="P3754" s="52">
        <f>IF(OR(B3754="",G3754=""),"",IF(C3754="","Gasto",C3754))</f>
        <v/>
      </c>
      <c r="Q3754" s="52">
        <f>IF(P3754="","",IF(J3754&lt;&gt;"",J3754,CuentaPred&amp;""))</f>
        <v/>
      </c>
      <c r="R3754" s="52">
        <f>IF(P3754="","",IF(ISNUMBER(I3754),I3754,TasaUSD))</f>
        <v/>
      </c>
      <c r="S3754" s="53">
        <f>IF(P3754="","",IF(H3754="USD",G3754*R3754,G3754))</f>
        <v/>
      </c>
      <c r="T3754" s="53">
        <f>IF(P3754="","",IF(H3754="USD",G3754,IF(R3754&gt;0,G3754/R3754,0)))</f>
        <v/>
      </c>
      <c r="U3754" s="53">
        <f>IF(P3754="","",IF(P3754="Gasto",S3754,IF(P3754="Reembolso",-S3754,0)))</f>
        <v/>
      </c>
      <c r="V3754" s="53">
        <f>IF(P3754="","",IF(P3754="Ingreso",S3754,0))</f>
        <v/>
      </c>
      <c r="W3754" s="53">
        <f>IF(P3754="","",IF(P3754="Resultado trading",S3754,0))</f>
        <v/>
      </c>
      <c r="X3754" s="52">
        <f>IF(OR(P3754="Gasto",P3754="Reembolso"),IF(M3754&lt;&gt;"",M3754,IFERROR(INDEX(catClasif,MATCH(D3754&amp;"|"&amp;E3754,catClave,0))&amp;"","Variable")),"")</f>
        <v/>
      </c>
      <c r="Y3754" s="52">
        <f>IF(P3754="","",IFERROR(INDEX(catGrupo,MATCH(D3754&amp;"|"&amp;E3754,catClave,0))&amp;"",""))</f>
        <v/>
      </c>
      <c r="Z3754" s="52">
        <f>IF(P3754="","",WEEKDAY(B3754,2))</f>
        <v/>
      </c>
      <c r="AA3754" s="52">
        <f>IF(P3754="","",IF(AND(P3754="Gasto",X3754="Variable",D3754&lt;&gt;catTrading,S3754&gt;0,S3754&lt;=Umbral),1,0))</f>
        <v/>
      </c>
      <c r="AB3754" s="52">
        <f>IF(OR(P3754="",Q3754=""),"",IFERROR(IF(INDEX(ctaVinc,MATCH(Q3754,ctaNombre,0))&amp;""&lt;&gt;"",INDEX(ctaVinc,MATCH(Q3754,ctaNombre,0))&amp;"",Q3754),Q3754))</f>
        <v/>
      </c>
      <c r="AC3754" s="52">
        <f>IF(OR(K3754="",AND(P3754&lt;&gt;"Transferencia",P3754&lt;&gt;"Pago tarjeta")),"",IFERROR(IF(INDEX(ctaVinc,MATCH(K3754,ctaNombre,0))&amp;""&lt;&gt;"",INDEX(ctaVinc,MATCH(K3754,ctaNombre,0))&amp;"",K3754),K3754))</f>
        <v/>
      </c>
      <c r="AD3754" s="52">
        <f>IF(AB3754="","",IFERROR(INDEX(ctaTipo,MATCH(AB3754,ctaNombre,0))&amp;"",""))</f>
        <v/>
      </c>
      <c r="AE3754" s="52">
        <f>IF(AC3754="","",IFERROR(INDEX(ctaTipo,MATCH(AC3754,ctaNombre,0))&amp;"",""))</f>
        <v/>
      </c>
      <c r="AF3754" s="53">
        <f>IF(OR(P3754="",AB3754=""),"",IF(OR(P3754="Gasto",P3754="Transferencia",P3754="Pago tarjeta"),-1,1)*IF(IFERROR(INDEX(ctaMoneda,MATCH(AB3754,ctaNombre,0))&amp;"","DOP")="USD",T3754,S3754))</f>
        <v/>
      </c>
      <c r="AG3754" s="53">
        <f>IF(AC3754="","",IF(IFERROR(INDEX(ctaMoneda,MATCH(AC3754,ctaNombre,0))&amp;"","DOP")="USD",T3754,S3754))</f>
        <v/>
      </c>
      <c r="AH3754" s="53">
        <f>IF(P3754="","",IF(AND(AD3754&lt;&gt;"",COUNTIFS(tcTipo,AD3754,tcLiq,"Sí")&gt;0),IF(OR(P3754="Gasto",P3754="Transferencia",P3754="Pago tarjeta"),-1,1)*S3754,0)+IF(AND(AE3754&lt;&gt;"",COUNTIFS(tcTipo,AE3754,tcLiq,"Sí")&gt;0),S3754,0))</f>
        <v/>
      </c>
      <c r="AI3754" s="52">
        <f>IF(OR(L3754="",P3754=""),"",IF(COUNTIFS(L$6:L3754,L3754,P$6:P3754,"?*")=1,MAX(AI$5:AI3753)+1,""))</f>
        <v/>
      </c>
    </row>
    <row r="3755">
      <c r="B3755" s="47" t="n"/>
      <c r="C3755" s="48" t="n"/>
      <c r="D3755" s="48" t="n"/>
      <c r="E3755" s="48" t="n"/>
      <c r="F3755" s="48" t="n"/>
      <c r="G3755" s="49" t="n"/>
      <c r="H3755" s="48" t="n"/>
      <c r="I3755" s="50" t="n"/>
      <c r="J3755" s="48" t="n"/>
      <c r="K3755" s="48" t="n"/>
      <c r="L3755" s="48" t="n"/>
      <c r="M3755" s="48" t="n"/>
      <c r="N3755" s="48" t="n"/>
      <c r="O3755" s="51">
        <f>IF(AND(B3755="",G3755="",C3755="",D3755="",J3755=""),"",IF(B3755="","⚠ Falta fecha",IF(G3755="","⚠ Falta monto",IF(Q3755="","⚠ Falta cuenta",IF(ISNA(MATCH(Q3755,ctaNombre,0)),"⚠ Cuenta no registrada",IF(AND(OR(P3755="Gasto",P3755="Reembolso"),D3755=""),"⚠ Falta categoría",IF(AND(D3755&lt;&gt;"",E3755&lt;&gt;"",ISNA(MATCH(D3755&amp;"|"&amp;E3755,catClave,0))),"⚠ Subcategoría no corresponde",IF(AND(OR(P3755="Transferencia",P3755="Pago tarjeta"),K3755=""),"⚠ Falta cuenta destino",IF(AND(K3755&lt;&gt;"",P3755&lt;&gt;"Transferencia",P3755&lt;&gt;"Pago tarjeta"),"⚠ Destino solo aplica a transferencias",IF(AND(K3755&lt;&gt;"",K3755=Q3755),"⚠ Origen igual a destino",IF(AND(K3755&lt;&gt;"",ISNA(MATCH(K3755,ctaNombre,0))),"⚠ Destino no registrado",IF(AND(P3755="Pago tarjeta",AE3755&lt;&gt;"Tarjeta de crédito"),"⚠ El destino debe ser tarjeta de crédito",IF(AND(P3755="Gasto",E3755="Depósitos y retiros"),"⚠ Usa tipo Transferencia",IF(AND(P3755="Resultado trading",AD3755&lt;&gt;"Cuenta de trading"),"⚠ Usa una cuenta de trading",IF(AND(G3755&lt;=0,P3755&lt;&gt;"Ajuste",P3755&lt;&gt;"Resultado trading"),"⚠ El monto debe ser positivo","✓")))))))))))))))</f>
        <v/>
      </c>
      <c r="P3755" s="52">
        <f>IF(OR(B3755="",G3755=""),"",IF(C3755="","Gasto",C3755))</f>
        <v/>
      </c>
      <c r="Q3755" s="52">
        <f>IF(P3755="","",IF(J3755&lt;&gt;"",J3755,CuentaPred&amp;""))</f>
        <v/>
      </c>
      <c r="R3755" s="52">
        <f>IF(P3755="","",IF(ISNUMBER(I3755),I3755,TasaUSD))</f>
        <v/>
      </c>
      <c r="S3755" s="53">
        <f>IF(P3755="","",IF(H3755="USD",G3755*R3755,G3755))</f>
        <v/>
      </c>
      <c r="T3755" s="53">
        <f>IF(P3755="","",IF(H3755="USD",G3755,IF(R3755&gt;0,G3755/R3755,0)))</f>
        <v/>
      </c>
      <c r="U3755" s="53">
        <f>IF(P3755="","",IF(P3755="Gasto",S3755,IF(P3755="Reembolso",-S3755,0)))</f>
        <v/>
      </c>
      <c r="V3755" s="53">
        <f>IF(P3755="","",IF(P3755="Ingreso",S3755,0))</f>
        <v/>
      </c>
      <c r="W3755" s="53">
        <f>IF(P3755="","",IF(P3755="Resultado trading",S3755,0))</f>
        <v/>
      </c>
      <c r="X3755" s="52">
        <f>IF(OR(P3755="Gasto",P3755="Reembolso"),IF(M3755&lt;&gt;"",M3755,IFERROR(INDEX(catClasif,MATCH(D3755&amp;"|"&amp;E3755,catClave,0))&amp;"","Variable")),"")</f>
        <v/>
      </c>
      <c r="Y3755" s="52">
        <f>IF(P3755="","",IFERROR(INDEX(catGrupo,MATCH(D3755&amp;"|"&amp;E3755,catClave,0))&amp;"",""))</f>
        <v/>
      </c>
      <c r="Z3755" s="52">
        <f>IF(P3755="","",WEEKDAY(B3755,2))</f>
        <v/>
      </c>
      <c r="AA3755" s="52">
        <f>IF(P3755="","",IF(AND(P3755="Gasto",X3755="Variable",D3755&lt;&gt;catTrading,S3755&gt;0,S3755&lt;=Umbral),1,0))</f>
        <v/>
      </c>
      <c r="AB3755" s="52">
        <f>IF(OR(P3755="",Q3755=""),"",IFERROR(IF(INDEX(ctaVinc,MATCH(Q3755,ctaNombre,0))&amp;""&lt;&gt;"",INDEX(ctaVinc,MATCH(Q3755,ctaNombre,0))&amp;"",Q3755),Q3755))</f>
        <v/>
      </c>
      <c r="AC3755" s="52">
        <f>IF(OR(K3755="",AND(P3755&lt;&gt;"Transferencia",P3755&lt;&gt;"Pago tarjeta")),"",IFERROR(IF(INDEX(ctaVinc,MATCH(K3755,ctaNombre,0))&amp;""&lt;&gt;"",INDEX(ctaVinc,MATCH(K3755,ctaNombre,0))&amp;"",K3755),K3755))</f>
        <v/>
      </c>
      <c r="AD3755" s="52">
        <f>IF(AB3755="","",IFERROR(INDEX(ctaTipo,MATCH(AB3755,ctaNombre,0))&amp;"",""))</f>
        <v/>
      </c>
      <c r="AE3755" s="52">
        <f>IF(AC3755="","",IFERROR(INDEX(ctaTipo,MATCH(AC3755,ctaNombre,0))&amp;"",""))</f>
        <v/>
      </c>
      <c r="AF3755" s="53">
        <f>IF(OR(P3755="",AB3755=""),"",IF(OR(P3755="Gasto",P3755="Transferencia",P3755="Pago tarjeta"),-1,1)*IF(IFERROR(INDEX(ctaMoneda,MATCH(AB3755,ctaNombre,0))&amp;"","DOP")="USD",T3755,S3755))</f>
        <v/>
      </c>
      <c r="AG3755" s="53">
        <f>IF(AC3755="","",IF(IFERROR(INDEX(ctaMoneda,MATCH(AC3755,ctaNombre,0))&amp;"","DOP")="USD",T3755,S3755))</f>
        <v/>
      </c>
      <c r="AH3755" s="53">
        <f>IF(P3755="","",IF(AND(AD3755&lt;&gt;"",COUNTIFS(tcTipo,AD3755,tcLiq,"Sí")&gt;0),IF(OR(P3755="Gasto",P3755="Transferencia",P3755="Pago tarjeta"),-1,1)*S3755,0)+IF(AND(AE3755&lt;&gt;"",COUNTIFS(tcTipo,AE3755,tcLiq,"Sí")&gt;0),S3755,0))</f>
        <v/>
      </c>
      <c r="AI3755" s="52">
        <f>IF(OR(L3755="",P3755=""),"",IF(COUNTIFS(L$6:L3755,L3755,P$6:P3755,"?*")=1,MAX(AI$5:AI3754)+1,""))</f>
        <v/>
      </c>
    </row>
    <row r="3756">
      <c r="B3756" s="47" t="n"/>
      <c r="C3756" s="48" t="n"/>
      <c r="D3756" s="48" t="n"/>
      <c r="E3756" s="48" t="n"/>
      <c r="F3756" s="48" t="n"/>
      <c r="G3756" s="49" t="n"/>
      <c r="H3756" s="48" t="n"/>
      <c r="I3756" s="50" t="n"/>
      <c r="J3756" s="48" t="n"/>
      <c r="K3756" s="48" t="n"/>
      <c r="L3756" s="48" t="n"/>
      <c r="M3756" s="48" t="n"/>
      <c r="N3756" s="48" t="n"/>
      <c r="O3756" s="51">
        <f>IF(AND(B3756="",G3756="",C3756="",D3756="",J3756=""),"",IF(B3756="","⚠ Falta fecha",IF(G3756="","⚠ Falta monto",IF(Q3756="","⚠ Falta cuenta",IF(ISNA(MATCH(Q3756,ctaNombre,0)),"⚠ Cuenta no registrada",IF(AND(OR(P3756="Gasto",P3756="Reembolso"),D3756=""),"⚠ Falta categoría",IF(AND(D3756&lt;&gt;"",E3756&lt;&gt;"",ISNA(MATCH(D3756&amp;"|"&amp;E3756,catClave,0))),"⚠ Subcategoría no corresponde",IF(AND(OR(P3756="Transferencia",P3756="Pago tarjeta"),K3756=""),"⚠ Falta cuenta destino",IF(AND(K3756&lt;&gt;"",P3756&lt;&gt;"Transferencia",P3756&lt;&gt;"Pago tarjeta"),"⚠ Destino solo aplica a transferencias",IF(AND(K3756&lt;&gt;"",K3756=Q3756),"⚠ Origen igual a destino",IF(AND(K3756&lt;&gt;"",ISNA(MATCH(K3756,ctaNombre,0))),"⚠ Destino no registrado",IF(AND(P3756="Pago tarjeta",AE3756&lt;&gt;"Tarjeta de crédito"),"⚠ El destino debe ser tarjeta de crédito",IF(AND(P3756="Gasto",E3756="Depósitos y retiros"),"⚠ Usa tipo Transferencia",IF(AND(P3756="Resultado trading",AD3756&lt;&gt;"Cuenta de trading"),"⚠ Usa una cuenta de trading",IF(AND(G3756&lt;=0,P3756&lt;&gt;"Ajuste",P3756&lt;&gt;"Resultado trading"),"⚠ El monto debe ser positivo","✓")))))))))))))))</f>
        <v/>
      </c>
      <c r="P3756" s="52">
        <f>IF(OR(B3756="",G3756=""),"",IF(C3756="","Gasto",C3756))</f>
        <v/>
      </c>
      <c r="Q3756" s="52">
        <f>IF(P3756="","",IF(J3756&lt;&gt;"",J3756,CuentaPred&amp;""))</f>
        <v/>
      </c>
      <c r="R3756" s="52">
        <f>IF(P3756="","",IF(ISNUMBER(I3756),I3756,TasaUSD))</f>
        <v/>
      </c>
      <c r="S3756" s="53">
        <f>IF(P3756="","",IF(H3756="USD",G3756*R3756,G3756))</f>
        <v/>
      </c>
      <c r="T3756" s="53">
        <f>IF(P3756="","",IF(H3756="USD",G3756,IF(R3756&gt;0,G3756/R3756,0)))</f>
        <v/>
      </c>
      <c r="U3756" s="53">
        <f>IF(P3756="","",IF(P3756="Gasto",S3756,IF(P3756="Reembolso",-S3756,0)))</f>
        <v/>
      </c>
      <c r="V3756" s="53">
        <f>IF(P3756="","",IF(P3756="Ingreso",S3756,0))</f>
        <v/>
      </c>
      <c r="W3756" s="53">
        <f>IF(P3756="","",IF(P3756="Resultado trading",S3756,0))</f>
        <v/>
      </c>
      <c r="X3756" s="52">
        <f>IF(OR(P3756="Gasto",P3756="Reembolso"),IF(M3756&lt;&gt;"",M3756,IFERROR(INDEX(catClasif,MATCH(D3756&amp;"|"&amp;E3756,catClave,0))&amp;"","Variable")),"")</f>
        <v/>
      </c>
      <c r="Y3756" s="52">
        <f>IF(P3756="","",IFERROR(INDEX(catGrupo,MATCH(D3756&amp;"|"&amp;E3756,catClave,0))&amp;"",""))</f>
        <v/>
      </c>
      <c r="Z3756" s="52">
        <f>IF(P3756="","",WEEKDAY(B3756,2))</f>
        <v/>
      </c>
      <c r="AA3756" s="52">
        <f>IF(P3756="","",IF(AND(P3756="Gasto",X3756="Variable",D3756&lt;&gt;catTrading,S3756&gt;0,S3756&lt;=Umbral),1,0))</f>
        <v/>
      </c>
      <c r="AB3756" s="52">
        <f>IF(OR(P3756="",Q3756=""),"",IFERROR(IF(INDEX(ctaVinc,MATCH(Q3756,ctaNombre,0))&amp;""&lt;&gt;"",INDEX(ctaVinc,MATCH(Q3756,ctaNombre,0))&amp;"",Q3756),Q3756))</f>
        <v/>
      </c>
      <c r="AC3756" s="52">
        <f>IF(OR(K3756="",AND(P3756&lt;&gt;"Transferencia",P3756&lt;&gt;"Pago tarjeta")),"",IFERROR(IF(INDEX(ctaVinc,MATCH(K3756,ctaNombre,0))&amp;""&lt;&gt;"",INDEX(ctaVinc,MATCH(K3756,ctaNombre,0))&amp;"",K3756),K3756))</f>
        <v/>
      </c>
      <c r="AD3756" s="52">
        <f>IF(AB3756="","",IFERROR(INDEX(ctaTipo,MATCH(AB3756,ctaNombre,0))&amp;"",""))</f>
        <v/>
      </c>
      <c r="AE3756" s="52">
        <f>IF(AC3756="","",IFERROR(INDEX(ctaTipo,MATCH(AC3756,ctaNombre,0))&amp;"",""))</f>
        <v/>
      </c>
      <c r="AF3756" s="53">
        <f>IF(OR(P3756="",AB3756=""),"",IF(OR(P3756="Gasto",P3756="Transferencia",P3756="Pago tarjeta"),-1,1)*IF(IFERROR(INDEX(ctaMoneda,MATCH(AB3756,ctaNombre,0))&amp;"","DOP")="USD",T3756,S3756))</f>
        <v/>
      </c>
      <c r="AG3756" s="53">
        <f>IF(AC3756="","",IF(IFERROR(INDEX(ctaMoneda,MATCH(AC3756,ctaNombre,0))&amp;"","DOP")="USD",T3756,S3756))</f>
        <v/>
      </c>
      <c r="AH3756" s="53">
        <f>IF(P3756="","",IF(AND(AD3756&lt;&gt;"",COUNTIFS(tcTipo,AD3756,tcLiq,"Sí")&gt;0),IF(OR(P3756="Gasto",P3756="Transferencia",P3756="Pago tarjeta"),-1,1)*S3756,0)+IF(AND(AE3756&lt;&gt;"",COUNTIFS(tcTipo,AE3756,tcLiq,"Sí")&gt;0),S3756,0))</f>
        <v/>
      </c>
      <c r="AI3756" s="52">
        <f>IF(OR(L3756="",P3756=""),"",IF(COUNTIFS(L$6:L3756,L3756,P$6:P3756,"?*")=1,MAX(AI$5:AI3755)+1,""))</f>
        <v/>
      </c>
    </row>
    <row r="3757">
      <c r="B3757" s="47" t="n"/>
      <c r="C3757" s="48" t="n"/>
      <c r="D3757" s="48" t="n"/>
      <c r="E3757" s="48" t="n"/>
      <c r="F3757" s="48" t="n"/>
      <c r="G3757" s="49" t="n"/>
      <c r="H3757" s="48" t="n"/>
      <c r="I3757" s="50" t="n"/>
      <c r="J3757" s="48" t="n"/>
      <c r="K3757" s="48" t="n"/>
      <c r="L3757" s="48" t="n"/>
      <c r="M3757" s="48" t="n"/>
      <c r="N3757" s="48" t="n"/>
      <c r="O3757" s="51">
        <f>IF(AND(B3757="",G3757="",C3757="",D3757="",J3757=""),"",IF(B3757="","⚠ Falta fecha",IF(G3757="","⚠ Falta monto",IF(Q3757="","⚠ Falta cuenta",IF(ISNA(MATCH(Q3757,ctaNombre,0)),"⚠ Cuenta no registrada",IF(AND(OR(P3757="Gasto",P3757="Reembolso"),D3757=""),"⚠ Falta categoría",IF(AND(D3757&lt;&gt;"",E3757&lt;&gt;"",ISNA(MATCH(D3757&amp;"|"&amp;E3757,catClave,0))),"⚠ Subcategoría no corresponde",IF(AND(OR(P3757="Transferencia",P3757="Pago tarjeta"),K3757=""),"⚠ Falta cuenta destino",IF(AND(K3757&lt;&gt;"",P3757&lt;&gt;"Transferencia",P3757&lt;&gt;"Pago tarjeta"),"⚠ Destino solo aplica a transferencias",IF(AND(K3757&lt;&gt;"",K3757=Q3757),"⚠ Origen igual a destino",IF(AND(K3757&lt;&gt;"",ISNA(MATCH(K3757,ctaNombre,0))),"⚠ Destino no registrado",IF(AND(P3757="Pago tarjeta",AE3757&lt;&gt;"Tarjeta de crédito"),"⚠ El destino debe ser tarjeta de crédito",IF(AND(P3757="Gasto",E3757="Depósitos y retiros"),"⚠ Usa tipo Transferencia",IF(AND(P3757="Resultado trading",AD3757&lt;&gt;"Cuenta de trading"),"⚠ Usa una cuenta de trading",IF(AND(G3757&lt;=0,P3757&lt;&gt;"Ajuste",P3757&lt;&gt;"Resultado trading"),"⚠ El monto debe ser positivo","✓")))))))))))))))</f>
        <v/>
      </c>
      <c r="P3757" s="52">
        <f>IF(OR(B3757="",G3757=""),"",IF(C3757="","Gasto",C3757))</f>
        <v/>
      </c>
      <c r="Q3757" s="52">
        <f>IF(P3757="","",IF(J3757&lt;&gt;"",J3757,CuentaPred&amp;""))</f>
        <v/>
      </c>
      <c r="R3757" s="52">
        <f>IF(P3757="","",IF(ISNUMBER(I3757),I3757,TasaUSD))</f>
        <v/>
      </c>
      <c r="S3757" s="53">
        <f>IF(P3757="","",IF(H3757="USD",G3757*R3757,G3757))</f>
        <v/>
      </c>
      <c r="T3757" s="53">
        <f>IF(P3757="","",IF(H3757="USD",G3757,IF(R3757&gt;0,G3757/R3757,0)))</f>
        <v/>
      </c>
      <c r="U3757" s="53">
        <f>IF(P3757="","",IF(P3757="Gasto",S3757,IF(P3757="Reembolso",-S3757,0)))</f>
        <v/>
      </c>
      <c r="V3757" s="53">
        <f>IF(P3757="","",IF(P3757="Ingreso",S3757,0))</f>
        <v/>
      </c>
      <c r="W3757" s="53">
        <f>IF(P3757="","",IF(P3757="Resultado trading",S3757,0))</f>
        <v/>
      </c>
      <c r="X3757" s="52">
        <f>IF(OR(P3757="Gasto",P3757="Reembolso"),IF(M3757&lt;&gt;"",M3757,IFERROR(INDEX(catClasif,MATCH(D3757&amp;"|"&amp;E3757,catClave,0))&amp;"","Variable")),"")</f>
        <v/>
      </c>
      <c r="Y3757" s="52">
        <f>IF(P3757="","",IFERROR(INDEX(catGrupo,MATCH(D3757&amp;"|"&amp;E3757,catClave,0))&amp;"",""))</f>
        <v/>
      </c>
      <c r="Z3757" s="52">
        <f>IF(P3757="","",WEEKDAY(B3757,2))</f>
        <v/>
      </c>
      <c r="AA3757" s="52">
        <f>IF(P3757="","",IF(AND(P3757="Gasto",X3757="Variable",D3757&lt;&gt;catTrading,S3757&gt;0,S3757&lt;=Umbral),1,0))</f>
        <v/>
      </c>
      <c r="AB3757" s="52">
        <f>IF(OR(P3757="",Q3757=""),"",IFERROR(IF(INDEX(ctaVinc,MATCH(Q3757,ctaNombre,0))&amp;""&lt;&gt;"",INDEX(ctaVinc,MATCH(Q3757,ctaNombre,0))&amp;"",Q3757),Q3757))</f>
        <v/>
      </c>
      <c r="AC3757" s="52">
        <f>IF(OR(K3757="",AND(P3757&lt;&gt;"Transferencia",P3757&lt;&gt;"Pago tarjeta")),"",IFERROR(IF(INDEX(ctaVinc,MATCH(K3757,ctaNombre,0))&amp;""&lt;&gt;"",INDEX(ctaVinc,MATCH(K3757,ctaNombre,0))&amp;"",K3757),K3757))</f>
        <v/>
      </c>
      <c r="AD3757" s="52">
        <f>IF(AB3757="","",IFERROR(INDEX(ctaTipo,MATCH(AB3757,ctaNombre,0))&amp;"",""))</f>
        <v/>
      </c>
      <c r="AE3757" s="52">
        <f>IF(AC3757="","",IFERROR(INDEX(ctaTipo,MATCH(AC3757,ctaNombre,0))&amp;"",""))</f>
        <v/>
      </c>
      <c r="AF3757" s="53">
        <f>IF(OR(P3757="",AB3757=""),"",IF(OR(P3757="Gasto",P3757="Transferencia",P3757="Pago tarjeta"),-1,1)*IF(IFERROR(INDEX(ctaMoneda,MATCH(AB3757,ctaNombre,0))&amp;"","DOP")="USD",T3757,S3757))</f>
        <v/>
      </c>
      <c r="AG3757" s="53">
        <f>IF(AC3757="","",IF(IFERROR(INDEX(ctaMoneda,MATCH(AC3757,ctaNombre,0))&amp;"","DOP")="USD",T3757,S3757))</f>
        <v/>
      </c>
      <c r="AH3757" s="53">
        <f>IF(P3757="","",IF(AND(AD3757&lt;&gt;"",COUNTIFS(tcTipo,AD3757,tcLiq,"Sí")&gt;0),IF(OR(P3757="Gasto",P3757="Transferencia",P3757="Pago tarjeta"),-1,1)*S3757,0)+IF(AND(AE3757&lt;&gt;"",COUNTIFS(tcTipo,AE3757,tcLiq,"Sí")&gt;0),S3757,0))</f>
        <v/>
      </c>
      <c r="AI3757" s="52">
        <f>IF(OR(L3757="",P3757=""),"",IF(COUNTIFS(L$6:L3757,L3757,P$6:P3757,"?*")=1,MAX(AI$5:AI3756)+1,""))</f>
        <v/>
      </c>
    </row>
    <row r="3758">
      <c r="B3758" s="47" t="n"/>
      <c r="C3758" s="48" t="n"/>
      <c r="D3758" s="48" t="n"/>
      <c r="E3758" s="48" t="n"/>
      <c r="F3758" s="48" t="n"/>
      <c r="G3758" s="49" t="n"/>
      <c r="H3758" s="48" t="n"/>
      <c r="I3758" s="50" t="n"/>
      <c r="J3758" s="48" t="n"/>
      <c r="K3758" s="48" t="n"/>
      <c r="L3758" s="48" t="n"/>
      <c r="M3758" s="48" t="n"/>
      <c r="N3758" s="48" t="n"/>
      <c r="O3758" s="51">
        <f>IF(AND(B3758="",G3758="",C3758="",D3758="",J3758=""),"",IF(B3758="","⚠ Falta fecha",IF(G3758="","⚠ Falta monto",IF(Q3758="","⚠ Falta cuenta",IF(ISNA(MATCH(Q3758,ctaNombre,0)),"⚠ Cuenta no registrada",IF(AND(OR(P3758="Gasto",P3758="Reembolso"),D3758=""),"⚠ Falta categoría",IF(AND(D3758&lt;&gt;"",E3758&lt;&gt;"",ISNA(MATCH(D3758&amp;"|"&amp;E3758,catClave,0))),"⚠ Subcategoría no corresponde",IF(AND(OR(P3758="Transferencia",P3758="Pago tarjeta"),K3758=""),"⚠ Falta cuenta destino",IF(AND(K3758&lt;&gt;"",P3758&lt;&gt;"Transferencia",P3758&lt;&gt;"Pago tarjeta"),"⚠ Destino solo aplica a transferencias",IF(AND(K3758&lt;&gt;"",K3758=Q3758),"⚠ Origen igual a destino",IF(AND(K3758&lt;&gt;"",ISNA(MATCH(K3758,ctaNombre,0))),"⚠ Destino no registrado",IF(AND(P3758="Pago tarjeta",AE3758&lt;&gt;"Tarjeta de crédito"),"⚠ El destino debe ser tarjeta de crédito",IF(AND(P3758="Gasto",E3758="Depósitos y retiros"),"⚠ Usa tipo Transferencia",IF(AND(P3758="Resultado trading",AD3758&lt;&gt;"Cuenta de trading"),"⚠ Usa una cuenta de trading",IF(AND(G3758&lt;=0,P3758&lt;&gt;"Ajuste",P3758&lt;&gt;"Resultado trading"),"⚠ El monto debe ser positivo","✓")))))))))))))))</f>
        <v/>
      </c>
      <c r="P3758" s="52">
        <f>IF(OR(B3758="",G3758=""),"",IF(C3758="","Gasto",C3758))</f>
        <v/>
      </c>
      <c r="Q3758" s="52">
        <f>IF(P3758="","",IF(J3758&lt;&gt;"",J3758,CuentaPred&amp;""))</f>
        <v/>
      </c>
      <c r="R3758" s="52">
        <f>IF(P3758="","",IF(ISNUMBER(I3758),I3758,TasaUSD))</f>
        <v/>
      </c>
      <c r="S3758" s="53">
        <f>IF(P3758="","",IF(H3758="USD",G3758*R3758,G3758))</f>
        <v/>
      </c>
      <c r="T3758" s="53">
        <f>IF(P3758="","",IF(H3758="USD",G3758,IF(R3758&gt;0,G3758/R3758,0)))</f>
        <v/>
      </c>
      <c r="U3758" s="53">
        <f>IF(P3758="","",IF(P3758="Gasto",S3758,IF(P3758="Reembolso",-S3758,0)))</f>
        <v/>
      </c>
      <c r="V3758" s="53">
        <f>IF(P3758="","",IF(P3758="Ingreso",S3758,0))</f>
        <v/>
      </c>
      <c r="W3758" s="53">
        <f>IF(P3758="","",IF(P3758="Resultado trading",S3758,0))</f>
        <v/>
      </c>
      <c r="X3758" s="52">
        <f>IF(OR(P3758="Gasto",P3758="Reembolso"),IF(M3758&lt;&gt;"",M3758,IFERROR(INDEX(catClasif,MATCH(D3758&amp;"|"&amp;E3758,catClave,0))&amp;"","Variable")),"")</f>
        <v/>
      </c>
      <c r="Y3758" s="52">
        <f>IF(P3758="","",IFERROR(INDEX(catGrupo,MATCH(D3758&amp;"|"&amp;E3758,catClave,0))&amp;"",""))</f>
        <v/>
      </c>
      <c r="Z3758" s="52">
        <f>IF(P3758="","",WEEKDAY(B3758,2))</f>
        <v/>
      </c>
      <c r="AA3758" s="52">
        <f>IF(P3758="","",IF(AND(P3758="Gasto",X3758="Variable",D3758&lt;&gt;catTrading,S3758&gt;0,S3758&lt;=Umbral),1,0))</f>
        <v/>
      </c>
      <c r="AB3758" s="52">
        <f>IF(OR(P3758="",Q3758=""),"",IFERROR(IF(INDEX(ctaVinc,MATCH(Q3758,ctaNombre,0))&amp;""&lt;&gt;"",INDEX(ctaVinc,MATCH(Q3758,ctaNombre,0))&amp;"",Q3758),Q3758))</f>
        <v/>
      </c>
      <c r="AC3758" s="52">
        <f>IF(OR(K3758="",AND(P3758&lt;&gt;"Transferencia",P3758&lt;&gt;"Pago tarjeta")),"",IFERROR(IF(INDEX(ctaVinc,MATCH(K3758,ctaNombre,0))&amp;""&lt;&gt;"",INDEX(ctaVinc,MATCH(K3758,ctaNombre,0))&amp;"",K3758),K3758))</f>
        <v/>
      </c>
      <c r="AD3758" s="52">
        <f>IF(AB3758="","",IFERROR(INDEX(ctaTipo,MATCH(AB3758,ctaNombre,0))&amp;"",""))</f>
        <v/>
      </c>
      <c r="AE3758" s="52">
        <f>IF(AC3758="","",IFERROR(INDEX(ctaTipo,MATCH(AC3758,ctaNombre,0))&amp;"",""))</f>
        <v/>
      </c>
      <c r="AF3758" s="53">
        <f>IF(OR(P3758="",AB3758=""),"",IF(OR(P3758="Gasto",P3758="Transferencia",P3758="Pago tarjeta"),-1,1)*IF(IFERROR(INDEX(ctaMoneda,MATCH(AB3758,ctaNombre,0))&amp;"","DOP")="USD",T3758,S3758))</f>
        <v/>
      </c>
      <c r="AG3758" s="53">
        <f>IF(AC3758="","",IF(IFERROR(INDEX(ctaMoneda,MATCH(AC3758,ctaNombre,0))&amp;"","DOP")="USD",T3758,S3758))</f>
        <v/>
      </c>
      <c r="AH3758" s="53">
        <f>IF(P3758="","",IF(AND(AD3758&lt;&gt;"",COUNTIFS(tcTipo,AD3758,tcLiq,"Sí")&gt;0),IF(OR(P3758="Gasto",P3758="Transferencia",P3758="Pago tarjeta"),-1,1)*S3758,0)+IF(AND(AE3758&lt;&gt;"",COUNTIFS(tcTipo,AE3758,tcLiq,"Sí")&gt;0),S3758,0))</f>
        <v/>
      </c>
      <c r="AI3758" s="52">
        <f>IF(OR(L3758="",P3758=""),"",IF(COUNTIFS(L$6:L3758,L3758,P$6:P3758,"?*")=1,MAX(AI$5:AI3757)+1,""))</f>
        <v/>
      </c>
    </row>
    <row r="3759">
      <c r="B3759" s="47" t="n"/>
      <c r="C3759" s="48" t="n"/>
      <c r="D3759" s="48" t="n"/>
      <c r="E3759" s="48" t="n"/>
      <c r="F3759" s="48" t="n"/>
      <c r="G3759" s="49" t="n"/>
      <c r="H3759" s="48" t="n"/>
      <c r="I3759" s="50" t="n"/>
      <c r="J3759" s="48" t="n"/>
      <c r="K3759" s="48" t="n"/>
      <c r="L3759" s="48" t="n"/>
      <c r="M3759" s="48" t="n"/>
      <c r="N3759" s="48" t="n"/>
      <c r="O3759" s="51">
        <f>IF(AND(B3759="",G3759="",C3759="",D3759="",J3759=""),"",IF(B3759="","⚠ Falta fecha",IF(G3759="","⚠ Falta monto",IF(Q3759="","⚠ Falta cuenta",IF(ISNA(MATCH(Q3759,ctaNombre,0)),"⚠ Cuenta no registrada",IF(AND(OR(P3759="Gasto",P3759="Reembolso"),D3759=""),"⚠ Falta categoría",IF(AND(D3759&lt;&gt;"",E3759&lt;&gt;"",ISNA(MATCH(D3759&amp;"|"&amp;E3759,catClave,0))),"⚠ Subcategoría no corresponde",IF(AND(OR(P3759="Transferencia",P3759="Pago tarjeta"),K3759=""),"⚠ Falta cuenta destino",IF(AND(K3759&lt;&gt;"",P3759&lt;&gt;"Transferencia",P3759&lt;&gt;"Pago tarjeta"),"⚠ Destino solo aplica a transferencias",IF(AND(K3759&lt;&gt;"",K3759=Q3759),"⚠ Origen igual a destino",IF(AND(K3759&lt;&gt;"",ISNA(MATCH(K3759,ctaNombre,0))),"⚠ Destino no registrado",IF(AND(P3759="Pago tarjeta",AE3759&lt;&gt;"Tarjeta de crédito"),"⚠ El destino debe ser tarjeta de crédito",IF(AND(P3759="Gasto",E3759="Depósitos y retiros"),"⚠ Usa tipo Transferencia",IF(AND(P3759="Resultado trading",AD3759&lt;&gt;"Cuenta de trading"),"⚠ Usa una cuenta de trading",IF(AND(G3759&lt;=0,P3759&lt;&gt;"Ajuste",P3759&lt;&gt;"Resultado trading"),"⚠ El monto debe ser positivo","✓")))))))))))))))</f>
        <v/>
      </c>
      <c r="P3759" s="52">
        <f>IF(OR(B3759="",G3759=""),"",IF(C3759="","Gasto",C3759))</f>
        <v/>
      </c>
      <c r="Q3759" s="52">
        <f>IF(P3759="","",IF(J3759&lt;&gt;"",J3759,CuentaPred&amp;""))</f>
        <v/>
      </c>
      <c r="R3759" s="52">
        <f>IF(P3759="","",IF(ISNUMBER(I3759),I3759,TasaUSD))</f>
        <v/>
      </c>
      <c r="S3759" s="53">
        <f>IF(P3759="","",IF(H3759="USD",G3759*R3759,G3759))</f>
        <v/>
      </c>
      <c r="T3759" s="53">
        <f>IF(P3759="","",IF(H3759="USD",G3759,IF(R3759&gt;0,G3759/R3759,0)))</f>
        <v/>
      </c>
      <c r="U3759" s="53">
        <f>IF(P3759="","",IF(P3759="Gasto",S3759,IF(P3759="Reembolso",-S3759,0)))</f>
        <v/>
      </c>
      <c r="V3759" s="53">
        <f>IF(P3759="","",IF(P3759="Ingreso",S3759,0))</f>
        <v/>
      </c>
      <c r="W3759" s="53">
        <f>IF(P3759="","",IF(P3759="Resultado trading",S3759,0))</f>
        <v/>
      </c>
      <c r="X3759" s="52">
        <f>IF(OR(P3759="Gasto",P3759="Reembolso"),IF(M3759&lt;&gt;"",M3759,IFERROR(INDEX(catClasif,MATCH(D3759&amp;"|"&amp;E3759,catClave,0))&amp;"","Variable")),"")</f>
        <v/>
      </c>
      <c r="Y3759" s="52">
        <f>IF(P3759="","",IFERROR(INDEX(catGrupo,MATCH(D3759&amp;"|"&amp;E3759,catClave,0))&amp;"",""))</f>
        <v/>
      </c>
      <c r="Z3759" s="52">
        <f>IF(P3759="","",WEEKDAY(B3759,2))</f>
        <v/>
      </c>
      <c r="AA3759" s="52">
        <f>IF(P3759="","",IF(AND(P3759="Gasto",X3759="Variable",D3759&lt;&gt;catTrading,S3759&gt;0,S3759&lt;=Umbral),1,0))</f>
        <v/>
      </c>
      <c r="AB3759" s="52">
        <f>IF(OR(P3759="",Q3759=""),"",IFERROR(IF(INDEX(ctaVinc,MATCH(Q3759,ctaNombre,0))&amp;""&lt;&gt;"",INDEX(ctaVinc,MATCH(Q3759,ctaNombre,0))&amp;"",Q3759),Q3759))</f>
        <v/>
      </c>
      <c r="AC3759" s="52">
        <f>IF(OR(K3759="",AND(P3759&lt;&gt;"Transferencia",P3759&lt;&gt;"Pago tarjeta")),"",IFERROR(IF(INDEX(ctaVinc,MATCH(K3759,ctaNombre,0))&amp;""&lt;&gt;"",INDEX(ctaVinc,MATCH(K3759,ctaNombre,0))&amp;"",K3759),K3759))</f>
        <v/>
      </c>
      <c r="AD3759" s="52">
        <f>IF(AB3759="","",IFERROR(INDEX(ctaTipo,MATCH(AB3759,ctaNombre,0))&amp;"",""))</f>
        <v/>
      </c>
      <c r="AE3759" s="52">
        <f>IF(AC3759="","",IFERROR(INDEX(ctaTipo,MATCH(AC3759,ctaNombre,0))&amp;"",""))</f>
        <v/>
      </c>
      <c r="AF3759" s="53">
        <f>IF(OR(P3759="",AB3759=""),"",IF(OR(P3759="Gasto",P3759="Transferencia",P3759="Pago tarjeta"),-1,1)*IF(IFERROR(INDEX(ctaMoneda,MATCH(AB3759,ctaNombre,0))&amp;"","DOP")="USD",T3759,S3759))</f>
        <v/>
      </c>
      <c r="AG3759" s="53">
        <f>IF(AC3759="","",IF(IFERROR(INDEX(ctaMoneda,MATCH(AC3759,ctaNombre,0))&amp;"","DOP")="USD",T3759,S3759))</f>
        <v/>
      </c>
      <c r="AH3759" s="53">
        <f>IF(P3759="","",IF(AND(AD3759&lt;&gt;"",COUNTIFS(tcTipo,AD3759,tcLiq,"Sí")&gt;0),IF(OR(P3759="Gasto",P3759="Transferencia",P3759="Pago tarjeta"),-1,1)*S3759,0)+IF(AND(AE3759&lt;&gt;"",COUNTIFS(tcTipo,AE3759,tcLiq,"Sí")&gt;0),S3759,0))</f>
        <v/>
      </c>
      <c r="AI3759" s="52">
        <f>IF(OR(L3759="",P3759=""),"",IF(COUNTIFS(L$6:L3759,L3759,P$6:P3759,"?*")=1,MAX(AI$5:AI3758)+1,""))</f>
        <v/>
      </c>
    </row>
    <row r="3760">
      <c r="B3760" s="47" t="n"/>
      <c r="C3760" s="48" t="n"/>
      <c r="D3760" s="48" t="n"/>
      <c r="E3760" s="48" t="n"/>
      <c r="F3760" s="48" t="n"/>
      <c r="G3760" s="49" t="n"/>
      <c r="H3760" s="48" t="n"/>
      <c r="I3760" s="50" t="n"/>
      <c r="J3760" s="48" t="n"/>
      <c r="K3760" s="48" t="n"/>
      <c r="L3760" s="48" t="n"/>
      <c r="M3760" s="48" t="n"/>
      <c r="N3760" s="48" t="n"/>
      <c r="O3760" s="51">
        <f>IF(AND(B3760="",G3760="",C3760="",D3760="",J3760=""),"",IF(B3760="","⚠ Falta fecha",IF(G3760="","⚠ Falta monto",IF(Q3760="","⚠ Falta cuenta",IF(ISNA(MATCH(Q3760,ctaNombre,0)),"⚠ Cuenta no registrada",IF(AND(OR(P3760="Gasto",P3760="Reembolso"),D3760=""),"⚠ Falta categoría",IF(AND(D3760&lt;&gt;"",E3760&lt;&gt;"",ISNA(MATCH(D3760&amp;"|"&amp;E3760,catClave,0))),"⚠ Subcategoría no corresponde",IF(AND(OR(P3760="Transferencia",P3760="Pago tarjeta"),K3760=""),"⚠ Falta cuenta destino",IF(AND(K3760&lt;&gt;"",P3760&lt;&gt;"Transferencia",P3760&lt;&gt;"Pago tarjeta"),"⚠ Destino solo aplica a transferencias",IF(AND(K3760&lt;&gt;"",K3760=Q3760),"⚠ Origen igual a destino",IF(AND(K3760&lt;&gt;"",ISNA(MATCH(K3760,ctaNombre,0))),"⚠ Destino no registrado",IF(AND(P3760="Pago tarjeta",AE3760&lt;&gt;"Tarjeta de crédito"),"⚠ El destino debe ser tarjeta de crédito",IF(AND(P3760="Gasto",E3760="Depósitos y retiros"),"⚠ Usa tipo Transferencia",IF(AND(P3760="Resultado trading",AD3760&lt;&gt;"Cuenta de trading"),"⚠ Usa una cuenta de trading",IF(AND(G3760&lt;=0,P3760&lt;&gt;"Ajuste",P3760&lt;&gt;"Resultado trading"),"⚠ El monto debe ser positivo","✓")))))))))))))))</f>
        <v/>
      </c>
      <c r="P3760" s="52">
        <f>IF(OR(B3760="",G3760=""),"",IF(C3760="","Gasto",C3760))</f>
        <v/>
      </c>
      <c r="Q3760" s="52">
        <f>IF(P3760="","",IF(J3760&lt;&gt;"",J3760,CuentaPred&amp;""))</f>
        <v/>
      </c>
      <c r="R3760" s="52">
        <f>IF(P3760="","",IF(ISNUMBER(I3760),I3760,TasaUSD))</f>
        <v/>
      </c>
      <c r="S3760" s="53">
        <f>IF(P3760="","",IF(H3760="USD",G3760*R3760,G3760))</f>
        <v/>
      </c>
      <c r="T3760" s="53">
        <f>IF(P3760="","",IF(H3760="USD",G3760,IF(R3760&gt;0,G3760/R3760,0)))</f>
        <v/>
      </c>
      <c r="U3760" s="53">
        <f>IF(P3760="","",IF(P3760="Gasto",S3760,IF(P3760="Reembolso",-S3760,0)))</f>
        <v/>
      </c>
      <c r="V3760" s="53">
        <f>IF(P3760="","",IF(P3760="Ingreso",S3760,0))</f>
        <v/>
      </c>
      <c r="W3760" s="53">
        <f>IF(P3760="","",IF(P3760="Resultado trading",S3760,0))</f>
        <v/>
      </c>
      <c r="X3760" s="52">
        <f>IF(OR(P3760="Gasto",P3760="Reembolso"),IF(M3760&lt;&gt;"",M3760,IFERROR(INDEX(catClasif,MATCH(D3760&amp;"|"&amp;E3760,catClave,0))&amp;"","Variable")),"")</f>
        <v/>
      </c>
      <c r="Y3760" s="52">
        <f>IF(P3760="","",IFERROR(INDEX(catGrupo,MATCH(D3760&amp;"|"&amp;E3760,catClave,0))&amp;"",""))</f>
        <v/>
      </c>
      <c r="Z3760" s="52">
        <f>IF(P3760="","",WEEKDAY(B3760,2))</f>
        <v/>
      </c>
      <c r="AA3760" s="52">
        <f>IF(P3760="","",IF(AND(P3760="Gasto",X3760="Variable",D3760&lt;&gt;catTrading,S3760&gt;0,S3760&lt;=Umbral),1,0))</f>
        <v/>
      </c>
      <c r="AB3760" s="52">
        <f>IF(OR(P3760="",Q3760=""),"",IFERROR(IF(INDEX(ctaVinc,MATCH(Q3760,ctaNombre,0))&amp;""&lt;&gt;"",INDEX(ctaVinc,MATCH(Q3760,ctaNombre,0))&amp;"",Q3760),Q3760))</f>
        <v/>
      </c>
      <c r="AC3760" s="52">
        <f>IF(OR(K3760="",AND(P3760&lt;&gt;"Transferencia",P3760&lt;&gt;"Pago tarjeta")),"",IFERROR(IF(INDEX(ctaVinc,MATCH(K3760,ctaNombre,0))&amp;""&lt;&gt;"",INDEX(ctaVinc,MATCH(K3760,ctaNombre,0))&amp;"",K3760),K3760))</f>
        <v/>
      </c>
      <c r="AD3760" s="52">
        <f>IF(AB3760="","",IFERROR(INDEX(ctaTipo,MATCH(AB3760,ctaNombre,0))&amp;"",""))</f>
        <v/>
      </c>
      <c r="AE3760" s="52">
        <f>IF(AC3760="","",IFERROR(INDEX(ctaTipo,MATCH(AC3760,ctaNombre,0))&amp;"",""))</f>
        <v/>
      </c>
      <c r="AF3760" s="53">
        <f>IF(OR(P3760="",AB3760=""),"",IF(OR(P3760="Gasto",P3760="Transferencia",P3760="Pago tarjeta"),-1,1)*IF(IFERROR(INDEX(ctaMoneda,MATCH(AB3760,ctaNombre,0))&amp;"","DOP")="USD",T3760,S3760))</f>
        <v/>
      </c>
      <c r="AG3760" s="53">
        <f>IF(AC3760="","",IF(IFERROR(INDEX(ctaMoneda,MATCH(AC3760,ctaNombre,0))&amp;"","DOP")="USD",T3760,S3760))</f>
        <v/>
      </c>
      <c r="AH3760" s="53">
        <f>IF(P3760="","",IF(AND(AD3760&lt;&gt;"",COUNTIFS(tcTipo,AD3760,tcLiq,"Sí")&gt;0),IF(OR(P3760="Gasto",P3760="Transferencia",P3760="Pago tarjeta"),-1,1)*S3760,0)+IF(AND(AE3760&lt;&gt;"",COUNTIFS(tcTipo,AE3760,tcLiq,"Sí")&gt;0),S3760,0))</f>
        <v/>
      </c>
      <c r="AI3760" s="52">
        <f>IF(OR(L3760="",P3760=""),"",IF(COUNTIFS(L$6:L3760,L3760,P$6:P3760,"?*")=1,MAX(AI$5:AI3759)+1,""))</f>
        <v/>
      </c>
    </row>
    <row r="3761">
      <c r="B3761" s="47" t="n"/>
      <c r="C3761" s="48" t="n"/>
      <c r="D3761" s="48" t="n"/>
      <c r="E3761" s="48" t="n"/>
      <c r="F3761" s="48" t="n"/>
      <c r="G3761" s="49" t="n"/>
      <c r="H3761" s="48" t="n"/>
      <c r="I3761" s="50" t="n"/>
      <c r="J3761" s="48" t="n"/>
      <c r="K3761" s="48" t="n"/>
      <c r="L3761" s="48" t="n"/>
      <c r="M3761" s="48" t="n"/>
      <c r="N3761" s="48" t="n"/>
      <c r="O3761" s="51">
        <f>IF(AND(B3761="",G3761="",C3761="",D3761="",J3761=""),"",IF(B3761="","⚠ Falta fecha",IF(G3761="","⚠ Falta monto",IF(Q3761="","⚠ Falta cuenta",IF(ISNA(MATCH(Q3761,ctaNombre,0)),"⚠ Cuenta no registrada",IF(AND(OR(P3761="Gasto",P3761="Reembolso"),D3761=""),"⚠ Falta categoría",IF(AND(D3761&lt;&gt;"",E3761&lt;&gt;"",ISNA(MATCH(D3761&amp;"|"&amp;E3761,catClave,0))),"⚠ Subcategoría no corresponde",IF(AND(OR(P3761="Transferencia",P3761="Pago tarjeta"),K3761=""),"⚠ Falta cuenta destino",IF(AND(K3761&lt;&gt;"",P3761&lt;&gt;"Transferencia",P3761&lt;&gt;"Pago tarjeta"),"⚠ Destino solo aplica a transferencias",IF(AND(K3761&lt;&gt;"",K3761=Q3761),"⚠ Origen igual a destino",IF(AND(K3761&lt;&gt;"",ISNA(MATCH(K3761,ctaNombre,0))),"⚠ Destino no registrado",IF(AND(P3761="Pago tarjeta",AE3761&lt;&gt;"Tarjeta de crédito"),"⚠ El destino debe ser tarjeta de crédito",IF(AND(P3761="Gasto",E3761="Depósitos y retiros"),"⚠ Usa tipo Transferencia",IF(AND(P3761="Resultado trading",AD3761&lt;&gt;"Cuenta de trading"),"⚠ Usa una cuenta de trading",IF(AND(G3761&lt;=0,P3761&lt;&gt;"Ajuste",P3761&lt;&gt;"Resultado trading"),"⚠ El monto debe ser positivo","✓")))))))))))))))</f>
        <v/>
      </c>
      <c r="P3761" s="52">
        <f>IF(OR(B3761="",G3761=""),"",IF(C3761="","Gasto",C3761))</f>
        <v/>
      </c>
      <c r="Q3761" s="52">
        <f>IF(P3761="","",IF(J3761&lt;&gt;"",J3761,CuentaPred&amp;""))</f>
        <v/>
      </c>
      <c r="R3761" s="52">
        <f>IF(P3761="","",IF(ISNUMBER(I3761),I3761,TasaUSD))</f>
        <v/>
      </c>
      <c r="S3761" s="53">
        <f>IF(P3761="","",IF(H3761="USD",G3761*R3761,G3761))</f>
        <v/>
      </c>
      <c r="T3761" s="53">
        <f>IF(P3761="","",IF(H3761="USD",G3761,IF(R3761&gt;0,G3761/R3761,0)))</f>
        <v/>
      </c>
      <c r="U3761" s="53">
        <f>IF(P3761="","",IF(P3761="Gasto",S3761,IF(P3761="Reembolso",-S3761,0)))</f>
        <v/>
      </c>
      <c r="V3761" s="53">
        <f>IF(P3761="","",IF(P3761="Ingreso",S3761,0))</f>
        <v/>
      </c>
      <c r="W3761" s="53">
        <f>IF(P3761="","",IF(P3761="Resultado trading",S3761,0))</f>
        <v/>
      </c>
      <c r="X3761" s="52">
        <f>IF(OR(P3761="Gasto",P3761="Reembolso"),IF(M3761&lt;&gt;"",M3761,IFERROR(INDEX(catClasif,MATCH(D3761&amp;"|"&amp;E3761,catClave,0))&amp;"","Variable")),"")</f>
        <v/>
      </c>
      <c r="Y3761" s="52">
        <f>IF(P3761="","",IFERROR(INDEX(catGrupo,MATCH(D3761&amp;"|"&amp;E3761,catClave,0))&amp;"",""))</f>
        <v/>
      </c>
      <c r="Z3761" s="52">
        <f>IF(P3761="","",WEEKDAY(B3761,2))</f>
        <v/>
      </c>
      <c r="AA3761" s="52">
        <f>IF(P3761="","",IF(AND(P3761="Gasto",X3761="Variable",D3761&lt;&gt;catTrading,S3761&gt;0,S3761&lt;=Umbral),1,0))</f>
        <v/>
      </c>
      <c r="AB3761" s="52">
        <f>IF(OR(P3761="",Q3761=""),"",IFERROR(IF(INDEX(ctaVinc,MATCH(Q3761,ctaNombre,0))&amp;""&lt;&gt;"",INDEX(ctaVinc,MATCH(Q3761,ctaNombre,0))&amp;"",Q3761),Q3761))</f>
        <v/>
      </c>
      <c r="AC3761" s="52">
        <f>IF(OR(K3761="",AND(P3761&lt;&gt;"Transferencia",P3761&lt;&gt;"Pago tarjeta")),"",IFERROR(IF(INDEX(ctaVinc,MATCH(K3761,ctaNombre,0))&amp;""&lt;&gt;"",INDEX(ctaVinc,MATCH(K3761,ctaNombre,0))&amp;"",K3761),K3761))</f>
        <v/>
      </c>
      <c r="AD3761" s="52">
        <f>IF(AB3761="","",IFERROR(INDEX(ctaTipo,MATCH(AB3761,ctaNombre,0))&amp;"",""))</f>
        <v/>
      </c>
      <c r="AE3761" s="52">
        <f>IF(AC3761="","",IFERROR(INDEX(ctaTipo,MATCH(AC3761,ctaNombre,0))&amp;"",""))</f>
        <v/>
      </c>
      <c r="AF3761" s="53">
        <f>IF(OR(P3761="",AB3761=""),"",IF(OR(P3761="Gasto",P3761="Transferencia",P3761="Pago tarjeta"),-1,1)*IF(IFERROR(INDEX(ctaMoneda,MATCH(AB3761,ctaNombre,0))&amp;"","DOP")="USD",T3761,S3761))</f>
        <v/>
      </c>
      <c r="AG3761" s="53">
        <f>IF(AC3761="","",IF(IFERROR(INDEX(ctaMoneda,MATCH(AC3761,ctaNombre,0))&amp;"","DOP")="USD",T3761,S3761))</f>
        <v/>
      </c>
      <c r="AH3761" s="53">
        <f>IF(P3761="","",IF(AND(AD3761&lt;&gt;"",COUNTIFS(tcTipo,AD3761,tcLiq,"Sí")&gt;0),IF(OR(P3761="Gasto",P3761="Transferencia",P3761="Pago tarjeta"),-1,1)*S3761,0)+IF(AND(AE3761&lt;&gt;"",COUNTIFS(tcTipo,AE3761,tcLiq,"Sí")&gt;0),S3761,0))</f>
        <v/>
      </c>
      <c r="AI3761" s="52">
        <f>IF(OR(L3761="",P3761=""),"",IF(COUNTIFS(L$6:L3761,L3761,P$6:P3761,"?*")=1,MAX(AI$5:AI3760)+1,""))</f>
        <v/>
      </c>
    </row>
    <row r="3762">
      <c r="B3762" s="47" t="n"/>
      <c r="C3762" s="48" t="n"/>
      <c r="D3762" s="48" t="n"/>
      <c r="E3762" s="48" t="n"/>
      <c r="F3762" s="48" t="n"/>
      <c r="G3762" s="49" t="n"/>
      <c r="H3762" s="48" t="n"/>
      <c r="I3762" s="50" t="n"/>
      <c r="J3762" s="48" t="n"/>
      <c r="K3762" s="48" t="n"/>
      <c r="L3762" s="48" t="n"/>
      <c r="M3762" s="48" t="n"/>
      <c r="N3762" s="48" t="n"/>
      <c r="O3762" s="51">
        <f>IF(AND(B3762="",G3762="",C3762="",D3762="",J3762=""),"",IF(B3762="","⚠ Falta fecha",IF(G3762="","⚠ Falta monto",IF(Q3762="","⚠ Falta cuenta",IF(ISNA(MATCH(Q3762,ctaNombre,0)),"⚠ Cuenta no registrada",IF(AND(OR(P3762="Gasto",P3762="Reembolso"),D3762=""),"⚠ Falta categoría",IF(AND(D3762&lt;&gt;"",E3762&lt;&gt;"",ISNA(MATCH(D3762&amp;"|"&amp;E3762,catClave,0))),"⚠ Subcategoría no corresponde",IF(AND(OR(P3762="Transferencia",P3762="Pago tarjeta"),K3762=""),"⚠ Falta cuenta destino",IF(AND(K3762&lt;&gt;"",P3762&lt;&gt;"Transferencia",P3762&lt;&gt;"Pago tarjeta"),"⚠ Destino solo aplica a transferencias",IF(AND(K3762&lt;&gt;"",K3762=Q3762),"⚠ Origen igual a destino",IF(AND(K3762&lt;&gt;"",ISNA(MATCH(K3762,ctaNombre,0))),"⚠ Destino no registrado",IF(AND(P3762="Pago tarjeta",AE3762&lt;&gt;"Tarjeta de crédito"),"⚠ El destino debe ser tarjeta de crédito",IF(AND(P3762="Gasto",E3762="Depósitos y retiros"),"⚠ Usa tipo Transferencia",IF(AND(P3762="Resultado trading",AD3762&lt;&gt;"Cuenta de trading"),"⚠ Usa una cuenta de trading",IF(AND(G3762&lt;=0,P3762&lt;&gt;"Ajuste",P3762&lt;&gt;"Resultado trading"),"⚠ El monto debe ser positivo","✓")))))))))))))))</f>
        <v/>
      </c>
      <c r="P3762" s="52">
        <f>IF(OR(B3762="",G3762=""),"",IF(C3762="","Gasto",C3762))</f>
        <v/>
      </c>
      <c r="Q3762" s="52">
        <f>IF(P3762="","",IF(J3762&lt;&gt;"",J3762,CuentaPred&amp;""))</f>
        <v/>
      </c>
      <c r="R3762" s="52">
        <f>IF(P3762="","",IF(ISNUMBER(I3762),I3762,TasaUSD))</f>
        <v/>
      </c>
      <c r="S3762" s="53">
        <f>IF(P3762="","",IF(H3762="USD",G3762*R3762,G3762))</f>
        <v/>
      </c>
      <c r="T3762" s="53">
        <f>IF(P3762="","",IF(H3762="USD",G3762,IF(R3762&gt;0,G3762/R3762,0)))</f>
        <v/>
      </c>
      <c r="U3762" s="53">
        <f>IF(P3762="","",IF(P3762="Gasto",S3762,IF(P3762="Reembolso",-S3762,0)))</f>
        <v/>
      </c>
      <c r="V3762" s="53">
        <f>IF(P3762="","",IF(P3762="Ingreso",S3762,0))</f>
        <v/>
      </c>
      <c r="W3762" s="53">
        <f>IF(P3762="","",IF(P3762="Resultado trading",S3762,0))</f>
        <v/>
      </c>
      <c r="X3762" s="52">
        <f>IF(OR(P3762="Gasto",P3762="Reembolso"),IF(M3762&lt;&gt;"",M3762,IFERROR(INDEX(catClasif,MATCH(D3762&amp;"|"&amp;E3762,catClave,0))&amp;"","Variable")),"")</f>
        <v/>
      </c>
      <c r="Y3762" s="52">
        <f>IF(P3762="","",IFERROR(INDEX(catGrupo,MATCH(D3762&amp;"|"&amp;E3762,catClave,0))&amp;"",""))</f>
        <v/>
      </c>
      <c r="Z3762" s="52">
        <f>IF(P3762="","",WEEKDAY(B3762,2))</f>
        <v/>
      </c>
      <c r="AA3762" s="52">
        <f>IF(P3762="","",IF(AND(P3762="Gasto",X3762="Variable",D3762&lt;&gt;catTrading,S3762&gt;0,S3762&lt;=Umbral),1,0))</f>
        <v/>
      </c>
      <c r="AB3762" s="52">
        <f>IF(OR(P3762="",Q3762=""),"",IFERROR(IF(INDEX(ctaVinc,MATCH(Q3762,ctaNombre,0))&amp;""&lt;&gt;"",INDEX(ctaVinc,MATCH(Q3762,ctaNombre,0))&amp;"",Q3762),Q3762))</f>
        <v/>
      </c>
      <c r="AC3762" s="52">
        <f>IF(OR(K3762="",AND(P3762&lt;&gt;"Transferencia",P3762&lt;&gt;"Pago tarjeta")),"",IFERROR(IF(INDEX(ctaVinc,MATCH(K3762,ctaNombre,0))&amp;""&lt;&gt;"",INDEX(ctaVinc,MATCH(K3762,ctaNombre,0))&amp;"",K3762),K3762))</f>
        <v/>
      </c>
      <c r="AD3762" s="52">
        <f>IF(AB3762="","",IFERROR(INDEX(ctaTipo,MATCH(AB3762,ctaNombre,0))&amp;"",""))</f>
        <v/>
      </c>
      <c r="AE3762" s="52">
        <f>IF(AC3762="","",IFERROR(INDEX(ctaTipo,MATCH(AC3762,ctaNombre,0))&amp;"",""))</f>
        <v/>
      </c>
      <c r="AF3762" s="53">
        <f>IF(OR(P3762="",AB3762=""),"",IF(OR(P3762="Gasto",P3762="Transferencia",P3762="Pago tarjeta"),-1,1)*IF(IFERROR(INDEX(ctaMoneda,MATCH(AB3762,ctaNombre,0))&amp;"","DOP")="USD",T3762,S3762))</f>
        <v/>
      </c>
      <c r="AG3762" s="53">
        <f>IF(AC3762="","",IF(IFERROR(INDEX(ctaMoneda,MATCH(AC3762,ctaNombre,0))&amp;"","DOP")="USD",T3762,S3762))</f>
        <v/>
      </c>
      <c r="AH3762" s="53">
        <f>IF(P3762="","",IF(AND(AD3762&lt;&gt;"",COUNTIFS(tcTipo,AD3762,tcLiq,"Sí")&gt;0),IF(OR(P3762="Gasto",P3762="Transferencia",P3762="Pago tarjeta"),-1,1)*S3762,0)+IF(AND(AE3762&lt;&gt;"",COUNTIFS(tcTipo,AE3762,tcLiq,"Sí")&gt;0),S3762,0))</f>
        <v/>
      </c>
      <c r="AI3762" s="52">
        <f>IF(OR(L3762="",P3762=""),"",IF(COUNTIFS(L$6:L3762,L3762,P$6:P3762,"?*")=1,MAX(AI$5:AI3761)+1,""))</f>
        <v/>
      </c>
    </row>
    <row r="3763">
      <c r="B3763" s="47" t="n"/>
      <c r="C3763" s="48" t="n"/>
      <c r="D3763" s="48" t="n"/>
      <c r="E3763" s="48" t="n"/>
      <c r="F3763" s="48" t="n"/>
      <c r="G3763" s="49" t="n"/>
      <c r="H3763" s="48" t="n"/>
      <c r="I3763" s="50" t="n"/>
      <c r="J3763" s="48" t="n"/>
      <c r="K3763" s="48" t="n"/>
      <c r="L3763" s="48" t="n"/>
      <c r="M3763" s="48" t="n"/>
      <c r="N3763" s="48" t="n"/>
      <c r="O3763" s="51">
        <f>IF(AND(B3763="",G3763="",C3763="",D3763="",J3763=""),"",IF(B3763="","⚠ Falta fecha",IF(G3763="","⚠ Falta monto",IF(Q3763="","⚠ Falta cuenta",IF(ISNA(MATCH(Q3763,ctaNombre,0)),"⚠ Cuenta no registrada",IF(AND(OR(P3763="Gasto",P3763="Reembolso"),D3763=""),"⚠ Falta categoría",IF(AND(D3763&lt;&gt;"",E3763&lt;&gt;"",ISNA(MATCH(D3763&amp;"|"&amp;E3763,catClave,0))),"⚠ Subcategoría no corresponde",IF(AND(OR(P3763="Transferencia",P3763="Pago tarjeta"),K3763=""),"⚠ Falta cuenta destino",IF(AND(K3763&lt;&gt;"",P3763&lt;&gt;"Transferencia",P3763&lt;&gt;"Pago tarjeta"),"⚠ Destino solo aplica a transferencias",IF(AND(K3763&lt;&gt;"",K3763=Q3763),"⚠ Origen igual a destino",IF(AND(K3763&lt;&gt;"",ISNA(MATCH(K3763,ctaNombre,0))),"⚠ Destino no registrado",IF(AND(P3763="Pago tarjeta",AE3763&lt;&gt;"Tarjeta de crédito"),"⚠ El destino debe ser tarjeta de crédito",IF(AND(P3763="Gasto",E3763="Depósitos y retiros"),"⚠ Usa tipo Transferencia",IF(AND(P3763="Resultado trading",AD3763&lt;&gt;"Cuenta de trading"),"⚠ Usa una cuenta de trading",IF(AND(G3763&lt;=0,P3763&lt;&gt;"Ajuste",P3763&lt;&gt;"Resultado trading"),"⚠ El monto debe ser positivo","✓")))))))))))))))</f>
        <v/>
      </c>
      <c r="P3763" s="52">
        <f>IF(OR(B3763="",G3763=""),"",IF(C3763="","Gasto",C3763))</f>
        <v/>
      </c>
      <c r="Q3763" s="52">
        <f>IF(P3763="","",IF(J3763&lt;&gt;"",J3763,CuentaPred&amp;""))</f>
        <v/>
      </c>
      <c r="R3763" s="52">
        <f>IF(P3763="","",IF(ISNUMBER(I3763),I3763,TasaUSD))</f>
        <v/>
      </c>
      <c r="S3763" s="53">
        <f>IF(P3763="","",IF(H3763="USD",G3763*R3763,G3763))</f>
        <v/>
      </c>
      <c r="T3763" s="53">
        <f>IF(P3763="","",IF(H3763="USD",G3763,IF(R3763&gt;0,G3763/R3763,0)))</f>
        <v/>
      </c>
      <c r="U3763" s="53">
        <f>IF(P3763="","",IF(P3763="Gasto",S3763,IF(P3763="Reembolso",-S3763,0)))</f>
        <v/>
      </c>
      <c r="V3763" s="53">
        <f>IF(P3763="","",IF(P3763="Ingreso",S3763,0))</f>
        <v/>
      </c>
      <c r="W3763" s="53">
        <f>IF(P3763="","",IF(P3763="Resultado trading",S3763,0))</f>
        <v/>
      </c>
      <c r="X3763" s="52">
        <f>IF(OR(P3763="Gasto",P3763="Reembolso"),IF(M3763&lt;&gt;"",M3763,IFERROR(INDEX(catClasif,MATCH(D3763&amp;"|"&amp;E3763,catClave,0))&amp;"","Variable")),"")</f>
        <v/>
      </c>
      <c r="Y3763" s="52">
        <f>IF(P3763="","",IFERROR(INDEX(catGrupo,MATCH(D3763&amp;"|"&amp;E3763,catClave,0))&amp;"",""))</f>
        <v/>
      </c>
      <c r="Z3763" s="52">
        <f>IF(P3763="","",WEEKDAY(B3763,2))</f>
        <v/>
      </c>
      <c r="AA3763" s="52">
        <f>IF(P3763="","",IF(AND(P3763="Gasto",X3763="Variable",D3763&lt;&gt;catTrading,S3763&gt;0,S3763&lt;=Umbral),1,0))</f>
        <v/>
      </c>
      <c r="AB3763" s="52">
        <f>IF(OR(P3763="",Q3763=""),"",IFERROR(IF(INDEX(ctaVinc,MATCH(Q3763,ctaNombre,0))&amp;""&lt;&gt;"",INDEX(ctaVinc,MATCH(Q3763,ctaNombre,0))&amp;"",Q3763),Q3763))</f>
        <v/>
      </c>
      <c r="AC3763" s="52">
        <f>IF(OR(K3763="",AND(P3763&lt;&gt;"Transferencia",P3763&lt;&gt;"Pago tarjeta")),"",IFERROR(IF(INDEX(ctaVinc,MATCH(K3763,ctaNombre,0))&amp;""&lt;&gt;"",INDEX(ctaVinc,MATCH(K3763,ctaNombre,0))&amp;"",K3763),K3763))</f>
        <v/>
      </c>
      <c r="AD3763" s="52">
        <f>IF(AB3763="","",IFERROR(INDEX(ctaTipo,MATCH(AB3763,ctaNombre,0))&amp;"",""))</f>
        <v/>
      </c>
      <c r="AE3763" s="52">
        <f>IF(AC3763="","",IFERROR(INDEX(ctaTipo,MATCH(AC3763,ctaNombre,0))&amp;"",""))</f>
        <v/>
      </c>
      <c r="AF3763" s="53">
        <f>IF(OR(P3763="",AB3763=""),"",IF(OR(P3763="Gasto",P3763="Transferencia",P3763="Pago tarjeta"),-1,1)*IF(IFERROR(INDEX(ctaMoneda,MATCH(AB3763,ctaNombre,0))&amp;"","DOP")="USD",T3763,S3763))</f>
        <v/>
      </c>
      <c r="AG3763" s="53">
        <f>IF(AC3763="","",IF(IFERROR(INDEX(ctaMoneda,MATCH(AC3763,ctaNombre,0))&amp;"","DOP")="USD",T3763,S3763))</f>
        <v/>
      </c>
      <c r="AH3763" s="53">
        <f>IF(P3763="","",IF(AND(AD3763&lt;&gt;"",COUNTIFS(tcTipo,AD3763,tcLiq,"Sí")&gt;0),IF(OR(P3763="Gasto",P3763="Transferencia",P3763="Pago tarjeta"),-1,1)*S3763,0)+IF(AND(AE3763&lt;&gt;"",COUNTIFS(tcTipo,AE3763,tcLiq,"Sí")&gt;0),S3763,0))</f>
        <v/>
      </c>
      <c r="AI3763" s="52">
        <f>IF(OR(L3763="",P3763=""),"",IF(COUNTIFS(L$6:L3763,L3763,P$6:P3763,"?*")=1,MAX(AI$5:AI3762)+1,""))</f>
        <v/>
      </c>
    </row>
    <row r="3764">
      <c r="B3764" s="47" t="n"/>
      <c r="C3764" s="48" t="n"/>
      <c r="D3764" s="48" t="n"/>
      <c r="E3764" s="48" t="n"/>
      <c r="F3764" s="48" t="n"/>
      <c r="G3764" s="49" t="n"/>
      <c r="H3764" s="48" t="n"/>
      <c r="I3764" s="50" t="n"/>
      <c r="J3764" s="48" t="n"/>
      <c r="K3764" s="48" t="n"/>
      <c r="L3764" s="48" t="n"/>
      <c r="M3764" s="48" t="n"/>
      <c r="N3764" s="48" t="n"/>
      <c r="O3764" s="51">
        <f>IF(AND(B3764="",G3764="",C3764="",D3764="",J3764=""),"",IF(B3764="","⚠ Falta fecha",IF(G3764="","⚠ Falta monto",IF(Q3764="","⚠ Falta cuenta",IF(ISNA(MATCH(Q3764,ctaNombre,0)),"⚠ Cuenta no registrada",IF(AND(OR(P3764="Gasto",P3764="Reembolso"),D3764=""),"⚠ Falta categoría",IF(AND(D3764&lt;&gt;"",E3764&lt;&gt;"",ISNA(MATCH(D3764&amp;"|"&amp;E3764,catClave,0))),"⚠ Subcategoría no corresponde",IF(AND(OR(P3764="Transferencia",P3764="Pago tarjeta"),K3764=""),"⚠ Falta cuenta destino",IF(AND(K3764&lt;&gt;"",P3764&lt;&gt;"Transferencia",P3764&lt;&gt;"Pago tarjeta"),"⚠ Destino solo aplica a transferencias",IF(AND(K3764&lt;&gt;"",K3764=Q3764),"⚠ Origen igual a destino",IF(AND(K3764&lt;&gt;"",ISNA(MATCH(K3764,ctaNombre,0))),"⚠ Destino no registrado",IF(AND(P3764="Pago tarjeta",AE3764&lt;&gt;"Tarjeta de crédito"),"⚠ El destino debe ser tarjeta de crédito",IF(AND(P3764="Gasto",E3764="Depósitos y retiros"),"⚠ Usa tipo Transferencia",IF(AND(P3764="Resultado trading",AD3764&lt;&gt;"Cuenta de trading"),"⚠ Usa una cuenta de trading",IF(AND(G3764&lt;=0,P3764&lt;&gt;"Ajuste",P3764&lt;&gt;"Resultado trading"),"⚠ El monto debe ser positivo","✓")))))))))))))))</f>
        <v/>
      </c>
      <c r="P3764" s="52">
        <f>IF(OR(B3764="",G3764=""),"",IF(C3764="","Gasto",C3764))</f>
        <v/>
      </c>
      <c r="Q3764" s="52">
        <f>IF(P3764="","",IF(J3764&lt;&gt;"",J3764,CuentaPred&amp;""))</f>
        <v/>
      </c>
      <c r="R3764" s="52">
        <f>IF(P3764="","",IF(ISNUMBER(I3764),I3764,TasaUSD))</f>
        <v/>
      </c>
      <c r="S3764" s="53">
        <f>IF(P3764="","",IF(H3764="USD",G3764*R3764,G3764))</f>
        <v/>
      </c>
      <c r="T3764" s="53">
        <f>IF(P3764="","",IF(H3764="USD",G3764,IF(R3764&gt;0,G3764/R3764,0)))</f>
        <v/>
      </c>
      <c r="U3764" s="53">
        <f>IF(P3764="","",IF(P3764="Gasto",S3764,IF(P3764="Reembolso",-S3764,0)))</f>
        <v/>
      </c>
      <c r="V3764" s="53">
        <f>IF(P3764="","",IF(P3764="Ingreso",S3764,0))</f>
        <v/>
      </c>
      <c r="W3764" s="53">
        <f>IF(P3764="","",IF(P3764="Resultado trading",S3764,0))</f>
        <v/>
      </c>
      <c r="X3764" s="52">
        <f>IF(OR(P3764="Gasto",P3764="Reembolso"),IF(M3764&lt;&gt;"",M3764,IFERROR(INDEX(catClasif,MATCH(D3764&amp;"|"&amp;E3764,catClave,0))&amp;"","Variable")),"")</f>
        <v/>
      </c>
      <c r="Y3764" s="52">
        <f>IF(P3764="","",IFERROR(INDEX(catGrupo,MATCH(D3764&amp;"|"&amp;E3764,catClave,0))&amp;"",""))</f>
        <v/>
      </c>
      <c r="Z3764" s="52">
        <f>IF(P3764="","",WEEKDAY(B3764,2))</f>
        <v/>
      </c>
      <c r="AA3764" s="52">
        <f>IF(P3764="","",IF(AND(P3764="Gasto",X3764="Variable",D3764&lt;&gt;catTrading,S3764&gt;0,S3764&lt;=Umbral),1,0))</f>
        <v/>
      </c>
      <c r="AB3764" s="52">
        <f>IF(OR(P3764="",Q3764=""),"",IFERROR(IF(INDEX(ctaVinc,MATCH(Q3764,ctaNombre,0))&amp;""&lt;&gt;"",INDEX(ctaVinc,MATCH(Q3764,ctaNombre,0))&amp;"",Q3764),Q3764))</f>
        <v/>
      </c>
      <c r="AC3764" s="52">
        <f>IF(OR(K3764="",AND(P3764&lt;&gt;"Transferencia",P3764&lt;&gt;"Pago tarjeta")),"",IFERROR(IF(INDEX(ctaVinc,MATCH(K3764,ctaNombre,0))&amp;""&lt;&gt;"",INDEX(ctaVinc,MATCH(K3764,ctaNombre,0))&amp;"",K3764),K3764))</f>
        <v/>
      </c>
      <c r="AD3764" s="52">
        <f>IF(AB3764="","",IFERROR(INDEX(ctaTipo,MATCH(AB3764,ctaNombre,0))&amp;"",""))</f>
        <v/>
      </c>
      <c r="AE3764" s="52">
        <f>IF(AC3764="","",IFERROR(INDEX(ctaTipo,MATCH(AC3764,ctaNombre,0))&amp;"",""))</f>
        <v/>
      </c>
      <c r="AF3764" s="53">
        <f>IF(OR(P3764="",AB3764=""),"",IF(OR(P3764="Gasto",P3764="Transferencia",P3764="Pago tarjeta"),-1,1)*IF(IFERROR(INDEX(ctaMoneda,MATCH(AB3764,ctaNombre,0))&amp;"","DOP")="USD",T3764,S3764))</f>
        <v/>
      </c>
      <c r="AG3764" s="53">
        <f>IF(AC3764="","",IF(IFERROR(INDEX(ctaMoneda,MATCH(AC3764,ctaNombre,0))&amp;"","DOP")="USD",T3764,S3764))</f>
        <v/>
      </c>
      <c r="AH3764" s="53">
        <f>IF(P3764="","",IF(AND(AD3764&lt;&gt;"",COUNTIFS(tcTipo,AD3764,tcLiq,"Sí")&gt;0),IF(OR(P3764="Gasto",P3764="Transferencia",P3764="Pago tarjeta"),-1,1)*S3764,0)+IF(AND(AE3764&lt;&gt;"",COUNTIFS(tcTipo,AE3764,tcLiq,"Sí")&gt;0),S3764,0))</f>
        <v/>
      </c>
      <c r="AI3764" s="52">
        <f>IF(OR(L3764="",P3764=""),"",IF(COUNTIFS(L$6:L3764,L3764,P$6:P3764,"?*")=1,MAX(AI$5:AI3763)+1,""))</f>
        <v/>
      </c>
    </row>
    <row r="3765">
      <c r="B3765" s="47" t="n"/>
      <c r="C3765" s="48" t="n"/>
      <c r="D3765" s="48" t="n"/>
      <c r="E3765" s="48" t="n"/>
      <c r="F3765" s="48" t="n"/>
      <c r="G3765" s="49" t="n"/>
      <c r="H3765" s="48" t="n"/>
      <c r="I3765" s="50" t="n"/>
      <c r="J3765" s="48" t="n"/>
      <c r="K3765" s="48" t="n"/>
      <c r="L3765" s="48" t="n"/>
      <c r="M3765" s="48" t="n"/>
      <c r="N3765" s="48" t="n"/>
      <c r="O3765" s="51">
        <f>IF(AND(B3765="",G3765="",C3765="",D3765="",J3765=""),"",IF(B3765="","⚠ Falta fecha",IF(G3765="","⚠ Falta monto",IF(Q3765="","⚠ Falta cuenta",IF(ISNA(MATCH(Q3765,ctaNombre,0)),"⚠ Cuenta no registrada",IF(AND(OR(P3765="Gasto",P3765="Reembolso"),D3765=""),"⚠ Falta categoría",IF(AND(D3765&lt;&gt;"",E3765&lt;&gt;"",ISNA(MATCH(D3765&amp;"|"&amp;E3765,catClave,0))),"⚠ Subcategoría no corresponde",IF(AND(OR(P3765="Transferencia",P3765="Pago tarjeta"),K3765=""),"⚠ Falta cuenta destino",IF(AND(K3765&lt;&gt;"",P3765&lt;&gt;"Transferencia",P3765&lt;&gt;"Pago tarjeta"),"⚠ Destino solo aplica a transferencias",IF(AND(K3765&lt;&gt;"",K3765=Q3765),"⚠ Origen igual a destino",IF(AND(K3765&lt;&gt;"",ISNA(MATCH(K3765,ctaNombre,0))),"⚠ Destino no registrado",IF(AND(P3765="Pago tarjeta",AE3765&lt;&gt;"Tarjeta de crédito"),"⚠ El destino debe ser tarjeta de crédito",IF(AND(P3765="Gasto",E3765="Depósitos y retiros"),"⚠ Usa tipo Transferencia",IF(AND(P3765="Resultado trading",AD3765&lt;&gt;"Cuenta de trading"),"⚠ Usa una cuenta de trading",IF(AND(G3765&lt;=0,P3765&lt;&gt;"Ajuste",P3765&lt;&gt;"Resultado trading"),"⚠ El monto debe ser positivo","✓")))))))))))))))</f>
        <v/>
      </c>
      <c r="P3765" s="52">
        <f>IF(OR(B3765="",G3765=""),"",IF(C3765="","Gasto",C3765))</f>
        <v/>
      </c>
      <c r="Q3765" s="52">
        <f>IF(P3765="","",IF(J3765&lt;&gt;"",J3765,CuentaPred&amp;""))</f>
        <v/>
      </c>
      <c r="R3765" s="52">
        <f>IF(P3765="","",IF(ISNUMBER(I3765),I3765,TasaUSD))</f>
        <v/>
      </c>
      <c r="S3765" s="53">
        <f>IF(P3765="","",IF(H3765="USD",G3765*R3765,G3765))</f>
        <v/>
      </c>
      <c r="T3765" s="53">
        <f>IF(P3765="","",IF(H3765="USD",G3765,IF(R3765&gt;0,G3765/R3765,0)))</f>
        <v/>
      </c>
      <c r="U3765" s="53">
        <f>IF(P3765="","",IF(P3765="Gasto",S3765,IF(P3765="Reembolso",-S3765,0)))</f>
        <v/>
      </c>
      <c r="V3765" s="53">
        <f>IF(P3765="","",IF(P3765="Ingreso",S3765,0))</f>
        <v/>
      </c>
      <c r="W3765" s="53">
        <f>IF(P3765="","",IF(P3765="Resultado trading",S3765,0))</f>
        <v/>
      </c>
      <c r="X3765" s="52">
        <f>IF(OR(P3765="Gasto",P3765="Reembolso"),IF(M3765&lt;&gt;"",M3765,IFERROR(INDEX(catClasif,MATCH(D3765&amp;"|"&amp;E3765,catClave,0))&amp;"","Variable")),"")</f>
        <v/>
      </c>
      <c r="Y3765" s="52">
        <f>IF(P3765="","",IFERROR(INDEX(catGrupo,MATCH(D3765&amp;"|"&amp;E3765,catClave,0))&amp;"",""))</f>
        <v/>
      </c>
      <c r="Z3765" s="52">
        <f>IF(P3765="","",WEEKDAY(B3765,2))</f>
        <v/>
      </c>
      <c r="AA3765" s="52">
        <f>IF(P3765="","",IF(AND(P3765="Gasto",X3765="Variable",D3765&lt;&gt;catTrading,S3765&gt;0,S3765&lt;=Umbral),1,0))</f>
        <v/>
      </c>
      <c r="AB3765" s="52">
        <f>IF(OR(P3765="",Q3765=""),"",IFERROR(IF(INDEX(ctaVinc,MATCH(Q3765,ctaNombre,0))&amp;""&lt;&gt;"",INDEX(ctaVinc,MATCH(Q3765,ctaNombre,0))&amp;"",Q3765),Q3765))</f>
        <v/>
      </c>
      <c r="AC3765" s="52">
        <f>IF(OR(K3765="",AND(P3765&lt;&gt;"Transferencia",P3765&lt;&gt;"Pago tarjeta")),"",IFERROR(IF(INDEX(ctaVinc,MATCH(K3765,ctaNombre,0))&amp;""&lt;&gt;"",INDEX(ctaVinc,MATCH(K3765,ctaNombre,0))&amp;"",K3765),K3765))</f>
        <v/>
      </c>
      <c r="AD3765" s="52">
        <f>IF(AB3765="","",IFERROR(INDEX(ctaTipo,MATCH(AB3765,ctaNombre,0))&amp;"",""))</f>
        <v/>
      </c>
      <c r="AE3765" s="52">
        <f>IF(AC3765="","",IFERROR(INDEX(ctaTipo,MATCH(AC3765,ctaNombre,0))&amp;"",""))</f>
        <v/>
      </c>
      <c r="AF3765" s="53">
        <f>IF(OR(P3765="",AB3765=""),"",IF(OR(P3765="Gasto",P3765="Transferencia",P3765="Pago tarjeta"),-1,1)*IF(IFERROR(INDEX(ctaMoneda,MATCH(AB3765,ctaNombre,0))&amp;"","DOP")="USD",T3765,S3765))</f>
        <v/>
      </c>
      <c r="AG3765" s="53">
        <f>IF(AC3765="","",IF(IFERROR(INDEX(ctaMoneda,MATCH(AC3765,ctaNombre,0))&amp;"","DOP")="USD",T3765,S3765))</f>
        <v/>
      </c>
      <c r="AH3765" s="53">
        <f>IF(P3765="","",IF(AND(AD3765&lt;&gt;"",COUNTIFS(tcTipo,AD3765,tcLiq,"Sí")&gt;0),IF(OR(P3765="Gasto",P3765="Transferencia",P3765="Pago tarjeta"),-1,1)*S3765,0)+IF(AND(AE3765&lt;&gt;"",COUNTIFS(tcTipo,AE3765,tcLiq,"Sí")&gt;0),S3765,0))</f>
        <v/>
      </c>
      <c r="AI3765" s="52">
        <f>IF(OR(L3765="",P3765=""),"",IF(COUNTIFS(L$6:L3765,L3765,P$6:P3765,"?*")=1,MAX(AI$5:AI3764)+1,""))</f>
        <v/>
      </c>
    </row>
    <row r="3766">
      <c r="B3766" s="47" t="n"/>
      <c r="C3766" s="48" t="n"/>
      <c r="D3766" s="48" t="n"/>
      <c r="E3766" s="48" t="n"/>
      <c r="F3766" s="48" t="n"/>
      <c r="G3766" s="49" t="n"/>
      <c r="H3766" s="48" t="n"/>
      <c r="I3766" s="50" t="n"/>
      <c r="J3766" s="48" t="n"/>
      <c r="K3766" s="48" t="n"/>
      <c r="L3766" s="48" t="n"/>
      <c r="M3766" s="48" t="n"/>
      <c r="N3766" s="48" t="n"/>
      <c r="O3766" s="51">
        <f>IF(AND(B3766="",G3766="",C3766="",D3766="",J3766=""),"",IF(B3766="","⚠ Falta fecha",IF(G3766="","⚠ Falta monto",IF(Q3766="","⚠ Falta cuenta",IF(ISNA(MATCH(Q3766,ctaNombre,0)),"⚠ Cuenta no registrada",IF(AND(OR(P3766="Gasto",P3766="Reembolso"),D3766=""),"⚠ Falta categoría",IF(AND(D3766&lt;&gt;"",E3766&lt;&gt;"",ISNA(MATCH(D3766&amp;"|"&amp;E3766,catClave,0))),"⚠ Subcategoría no corresponde",IF(AND(OR(P3766="Transferencia",P3766="Pago tarjeta"),K3766=""),"⚠ Falta cuenta destino",IF(AND(K3766&lt;&gt;"",P3766&lt;&gt;"Transferencia",P3766&lt;&gt;"Pago tarjeta"),"⚠ Destino solo aplica a transferencias",IF(AND(K3766&lt;&gt;"",K3766=Q3766),"⚠ Origen igual a destino",IF(AND(K3766&lt;&gt;"",ISNA(MATCH(K3766,ctaNombre,0))),"⚠ Destino no registrado",IF(AND(P3766="Pago tarjeta",AE3766&lt;&gt;"Tarjeta de crédito"),"⚠ El destino debe ser tarjeta de crédito",IF(AND(P3766="Gasto",E3766="Depósitos y retiros"),"⚠ Usa tipo Transferencia",IF(AND(P3766="Resultado trading",AD3766&lt;&gt;"Cuenta de trading"),"⚠ Usa una cuenta de trading",IF(AND(G3766&lt;=0,P3766&lt;&gt;"Ajuste",P3766&lt;&gt;"Resultado trading"),"⚠ El monto debe ser positivo","✓")))))))))))))))</f>
        <v/>
      </c>
      <c r="P3766" s="52">
        <f>IF(OR(B3766="",G3766=""),"",IF(C3766="","Gasto",C3766))</f>
        <v/>
      </c>
      <c r="Q3766" s="52">
        <f>IF(P3766="","",IF(J3766&lt;&gt;"",J3766,CuentaPred&amp;""))</f>
        <v/>
      </c>
      <c r="R3766" s="52">
        <f>IF(P3766="","",IF(ISNUMBER(I3766),I3766,TasaUSD))</f>
        <v/>
      </c>
      <c r="S3766" s="53">
        <f>IF(P3766="","",IF(H3766="USD",G3766*R3766,G3766))</f>
        <v/>
      </c>
      <c r="T3766" s="53">
        <f>IF(P3766="","",IF(H3766="USD",G3766,IF(R3766&gt;0,G3766/R3766,0)))</f>
        <v/>
      </c>
      <c r="U3766" s="53">
        <f>IF(P3766="","",IF(P3766="Gasto",S3766,IF(P3766="Reembolso",-S3766,0)))</f>
        <v/>
      </c>
      <c r="V3766" s="53">
        <f>IF(P3766="","",IF(P3766="Ingreso",S3766,0))</f>
        <v/>
      </c>
      <c r="W3766" s="53">
        <f>IF(P3766="","",IF(P3766="Resultado trading",S3766,0))</f>
        <v/>
      </c>
      <c r="X3766" s="52">
        <f>IF(OR(P3766="Gasto",P3766="Reembolso"),IF(M3766&lt;&gt;"",M3766,IFERROR(INDEX(catClasif,MATCH(D3766&amp;"|"&amp;E3766,catClave,0))&amp;"","Variable")),"")</f>
        <v/>
      </c>
      <c r="Y3766" s="52">
        <f>IF(P3766="","",IFERROR(INDEX(catGrupo,MATCH(D3766&amp;"|"&amp;E3766,catClave,0))&amp;"",""))</f>
        <v/>
      </c>
      <c r="Z3766" s="52">
        <f>IF(P3766="","",WEEKDAY(B3766,2))</f>
        <v/>
      </c>
      <c r="AA3766" s="52">
        <f>IF(P3766="","",IF(AND(P3766="Gasto",X3766="Variable",D3766&lt;&gt;catTrading,S3766&gt;0,S3766&lt;=Umbral),1,0))</f>
        <v/>
      </c>
      <c r="AB3766" s="52">
        <f>IF(OR(P3766="",Q3766=""),"",IFERROR(IF(INDEX(ctaVinc,MATCH(Q3766,ctaNombre,0))&amp;""&lt;&gt;"",INDEX(ctaVinc,MATCH(Q3766,ctaNombre,0))&amp;"",Q3766),Q3766))</f>
        <v/>
      </c>
      <c r="AC3766" s="52">
        <f>IF(OR(K3766="",AND(P3766&lt;&gt;"Transferencia",P3766&lt;&gt;"Pago tarjeta")),"",IFERROR(IF(INDEX(ctaVinc,MATCH(K3766,ctaNombre,0))&amp;""&lt;&gt;"",INDEX(ctaVinc,MATCH(K3766,ctaNombre,0))&amp;"",K3766),K3766))</f>
        <v/>
      </c>
      <c r="AD3766" s="52">
        <f>IF(AB3766="","",IFERROR(INDEX(ctaTipo,MATCH(AB3766,ctaNombre,0))&amp;"",""))</f>
        <v/>
      </c>
      <c r="AE3766" s="52">
        <f>IF(AC3766="","",IFERROR(INDEX(ctaTipo,MATCH(AC3766,ctaNombre,0))&amp;"",""))</f>
        <v/>
      </c>
      <c r="AF3766" s="53">
        <f>IF(OR(P3766="",AB3766=""),"",IF(OR(P3766="Gasto",P3766="Transferencia",P3766="Pago tarjeta"),-1,1)*IF(IFERROR(INDEX(ctaMoneda,MATCH(AB3766,ctaNombre,0))&amp;"","DOP")="USD",T3766,S3766))</f>
        <v/>
      </c>
      <c r="AG3766" s="53">
        <f>IF(AC3766="","",IF(IFERROR(INDEX(ctaMoneda,MATCH(AC3766,ctaNombre,0))&amp;"","DOP")="USD",T3766,S3766))</f>
        <v/>
      </c>
      <c r="AH3766" s="53">
        <f>IF(P3766="","",IF(AND(AD3766&lt;&gt;"",COUNTIFS(tcTipo,AD3766,tcLiq,"Sí")&gt;0),IF(OR(P3766="Gasto",P3766="Transferencia",P3766="Pago tarjeta"),-1,1)*S3766,0)+IF(AND(AE3766&lt;&gt;"",COUNTIFS(tcTipo,AE3766,tcLiq,"Sí")&gt;0),S3766,0))</f>
        <v/>
      </c>
      <c r="AI3766" s="52">
        <f>IF(OR(L3766="",P3766=""),"",IF(COUNTIFS(L$6:L3766,L3766,P$6:P3766,"?*")=1,MAX(AI$5:AI3765)+1,""))</f>
        <v/>
      </c>
    </row>
    <row r="3767">
      <c r="B3767" s="47" t="n"/>
      <c r="C3767" s="48" t="n"/>
      <c r="D3767" s="48" t="n"/>
      <c r="E3767" s="48" t="n"/>
      <c r="F3767" s="48" t="n"/>
      <c r="G3767" s="49" t="n"/>
      <c r="H3767" s="48" t="n"/>
      <c r="I3767" s="50" t="n"/>
      <c r="J3767" s="48" t="n"/>
      <c r="K3767" s="48" t="n"/>
      <c r="L3767" s="48" t="n"/>
      <c r="M3767" s="48" t="n"/>
      <c r="N3767" s="48" t="n"/>
      <c r="O3767" s="51">
        <f>IF(AND(B3767="",G3767="",C3767="",D3767="",J3767=""),"",IF(B3767="","⚠ Falta fecha",IF(G3767="","⚠ Falta monto",IF(Q3767="","⚠ Falta cuenta",IF(ISNA(MATCH(Q3767,ctaNombre,0)),"⚠ Cuenta no registrada",IF(AND(OR(P3767="Gasto",P3767="Reembolso"),D3767=""),"⚠ Falta categoría",IF(AND(D3767&lt;&gt;"",E3767&lt;&gt;"",ISNA(MATCH(D3767&amp;"|"&amp;E3767,catClave,0))),"⚠ Subcategoría no corresponde",IF(AND(OR(P3767="Transferencia",P3767="Pago tarjeta"),K3767=""),"⚠ Falta cuenta destino",IF(AND(K3767&lt;&gt;"",P3767&lt;&gt;"Transferencia",P3767&lt;&gt;"Pago tarjeta"),"⚠ Destino solo aplica a transferencias",IF(AND(K3767&lt;&gt;"",K3767=Q3767),"⚠ Origen igual a destino",IF(AND(K3767&lt;&gt;"",ISNA(MATCH(K3767,ctaNombre,0))),"⚠ Destino no registrado",IF(AND(P3767="Pago tarjeta",AE3767&lt;&gt;"Tarjeta de crédito"),"⚠ El destino debe ser tarjeta de crédito",IF(AND(P3767="Gasto",E3767="Depósitos y retiros"),"⚠ Usa tipo Transferencia",IF(AND(P3767="Resultado trading",AD3767&lt;&gt;"Cuenta de trading"),"⚠ Usa una cuenta de trading",IF(AND(G3767&lt;=0,P3767&lt;&gt;"Ajuste",P3767&lt;&gt;"Resultado trading"),"⚠ El monto debe ser positivo","✓")))))))))))))))</f>
        <v/>
      </c>
      <c r="P3767" s="52">
        <f>IF(OR(B3767="",G3767=""),"",IF(C3767="","Gasto",C3767))</f>
        <v/>
      </c>
      <c r="Q3767" s="52">
        <f>IF(P3767="","",IF(J3767&lt;&gt;"",J3767,CuentaPred&amp;""))</f>
        <v/>
      </c>
      <c r="R3767" s="52">
        <f>IF(P3767="","",IF(ISNUMBER(I3767),I3767,TasaUSD))</f>
        <v/>
      </c>
      <c r="S3767" s="53">
        <f>IF(P3767="","",IF(H3767="USD",G3767*R3767,G3767))</f>
        <v/>
      </c>
      <c r="T3767" s="53">
        <f>IF(P3767="","",IF(H3767="USD",G3767,IF(R3767&gt;0,G3767/R3767,0)))</f>
        <v/>
      </c>
      <c r="U3767" s="53">
        <f>IF(P3767="","",IF(P3767="Gasto",S3767,IF(P3767="Reembolso",-S3767,0)))</f>
        <v/>
      </c>
      <c r="V3767" s="53">
        <f>IF(P3767="","",IF(P3767="Ingreso",S3767,0))</f>
        <v/>
      </c>
      <c r="W3767" s="53">
        <f>IF(P3767="","",IF(P3767="Resultado trading",S3767,0))</f>
        <v/>
      </c>
      <c r="X3767" s="52">
        <f>IF(OR(P3767="Gasto",P3767="Reembolso"),IF(M3767&lt;&gt;"",M3767,IFERROR(INDEX(catClasif,MATCH(D3767&amp;"|"&amp;E3767,catClave,0))&amp;"","Variable")),"")</f>
        <v/>
      </c>
      <c r="Y3767" s="52">
        <f>IF(P3767="","",IFERROR(INDEX(catGrupo,MATCH(D3767&amp;"|"&amp;E3767,catClave,0))&amp;"",""))</f>
        <v/>
      </c>
      <c r="Z3767" s="52">
        <f>IF(P3767="","",WEEKDAY(B3767,2))</f>
        <v/>
      </c>
      <c r="AA3767" s="52">
        <f>IF(P3767="","",IF(AND(P3767="Gasto",X3767="Variable",D3767&lt;&gt;catTrading,S3767&gt;0,S3767&lt;=Umbral),1,0))</f>
        <v/>
      </c>
      <c r="AB3767" s="52">
        <f>IF(OR(P3767="",Q3767=""),"",IFERROR(IF(INDEX(ctaVinc,MATCH(Q3767,ctaNombre,0))&amp;""&lt;&gt;"",INDEX(ctaVinc,MATCH(Q3767,ctaNombre,0))&amp;"",Q3767),Q3767))</f>
        <v/>
      </c>
      <c r="AC3767" s="52">
        <f>IF(OR(K3767="",AND(P3767&lt;&gt;"Transferencia",P3767&lt;&gt;"Pago tarjeta")),"",IFERROR(IF(INDEX(ctaVinc,MATCH(K3767,ctaNombre,0))&amp;""&lt;&gt;"",INDEX(ctaVinc,MATCH(K3767,ctaNombre,0))&amp;"",K3767),K3767))</f>
        <v/>
      </c>
      <c r="AD3767" s="52">
        <f>IF(AB3767="","",IFERROR(INDEX(ctaTipo,MATCH(AB3767,ctaNombre,0))&amp;"",""))</f>
        <v/>
      </c>
      <c r="AE3767" s="52">
        <f>IF(AC3767="","",IFERROR(INDEX(ctaTipo,MATCH(AC3767,ctaNombre,0))&amp;"",""))</f>
        <v/>
      </c>
      <c r="AF3767" s="53">
        <f>IF(OR(P3767="",AB3767=""),"",IF(OR(P3767="Gasto",P3767="Transferencia",P3767="Pago tarjeta"),-1,1)*IF(IFERROR(INDEX(ctaMoneda,MATCH(AB3767,ctaNombre,0))&amp;"","DOP")="USD",T3767,S3767))</f>
        <v/>
      </c>
      <c r="AG3767" s="53">
        <f>IF(AC3767="","",IF(IFERROR(INDEX(ctaMoneda,MATCH(AC3767,ctaNombre,0))&amp;"","DOP")="USD",T3767,S3767))</f>
        <v/>
      </c>
      <c r="AH3767" s="53">
        <f>IF(P3767="","",IF(AND(AD3767&lt;&gt;"",COUNTIFS(tcTipo,AD3767,tcLiq,"Sí")&gt;0),IF(OR(P3767="Gasto",P3767="Transferencia",P3767="Pago tarjeta"),-1,1)*S3767,0)+IF(AND(AE3767&lt;&gt;"",COUNTIFS(tcTipo,AE3767,tcLiq,"Sí")&gt;0),S3767,0))</f>
        <v/>
      </c>
      <c r="AI3767" s="52">
        <f>IF(OR(L3767="",P3767=""),"",IF(COUNTIFS(L$6:L3767,L3767,P$6:P3767,"?*")=1,MAX(AI$5:AI3766)+1,""))</f>
        <v/>
      </c>
    </row>
    <row r="3768">
      <c r="B3768" s="47" t="n"/>
      <c r="C3768" s="48" t="n"/>
      <c r="D3768" s="48" t="n"/>
      <c r="E3768" s="48" t="n"/>
      <c r="F3768" s="48" t="n"/>
      <c r="G3768" s="49" t="n"/>
      <c r="H3768" s="48" t="n"/>
      <c r="I3768" s="50" t="n"/>
      <c r="J3768" s="48" t="n"/>
      <c r="K3768" s="48" t="n"/>
      <c r="L3768" s="48" t="n"/>
      <c r="M3768" s="48" t="n"/>
      <c r="N3768" s="48" t="n"/>
      <c r="O3768" s="51">
        <f>IF(AND(B3768="",G3768="",C3768="",D3768="",J3768=""),"",IF(B3768="","⚠ Falta fecha",IF(G3768="","⚠ Falta monto",IF(Q3768="","⚠ Falta cuenta",IF(ISNA(MATCH(Q3768,ctaNombre,0)),"⚠ Cuenta no registrada",IF(AND(OR(P3768="Gasto",P3768="Reembolso"),D3768=""),"⚠ Falta categoría",IF(AND(D3768&lt;&gt;"",E3768&lt;&gt;"",ISNA(MATCH(D3768&amp;"|"&amp;E3768,catClave,0))),"⚠ Subcategoría no corresponde",IF(AND(OR(P3768="Transferencia",P3768="Pago tarjeta"),K3768=""),"⚠ Falta cuenta destino",IF(AND(K3768&lt;&gt;"",P3768&lt;&gt;"Transferencia",P3768&lt;&gt;"Pago tarjeta"),"⚠ Destino solo aplica a transferencias",IF(AND(K3768&lt;&gt;"",K3768=Q3768),"⚠ Origen igual a destino",IF(AND(K3768&lt;&gt;"",ISNA(MATCH(K3768,ctaNombre,0))),"⚠ Destino no registrado",IF(AND(P3768="Pago tarjeta",AE3768&lt;&gt;"Tarjeta de crédito"),"⚠ El destino debe ser tarjeta de crédito",IF(AND(P3768="Gasto",E3768="Depósitos y retiros"),"⚠ Usa tipo Transferencia",IF(AND(P3768="Resultado trading",AD3768&lt;&gt;"Cuenta de trading"),"⚠ Usa una cuenta de trading",IF(AND(G3768&lt;=0,P3768&lt;&gt;"Ajuste",P3768&lt;&gt;"Resultado trading"),"⚠ El monto debe ser positivo","✓")))))))))))))))</f>
        <v/>
      </c>
      <c r="P3768" s="52">
        <f>IF(OR(B3768="",G3768=""),"",IF(C3768="","Gasto",C3768))</f>
        <v/>
      </c>
      <c r="Q3768" s="52">
        <f>IF(P3768="","",IF(J3768&lt;&gt;"",J3768,CuentaPred&amp;""))</f>
        <v/>
      </c>
      <c r="R3768" s="52">
        <f>IF(P3768="","",IF(ISNUMBER(I3768),I3768,TasaUSD))</f>
        <v/>
      </c>
      <c r="S3768" s="53">
        <f>IF(P3768="","",IF(H3768="USD",G3768*R3768,G3768))</f>
        <v/>
      </c>
      <c r="T3768" s="53">
        <f>IF(P3768="","",IF(H3768="USD",G3768,IF(R3768&gt;0,G3768/R3768,0)))</f>
        <v/>
      </c>
      <c r="U3768" s="53">
        <f>IF(P3768="","",IF(P3768="Gasto",S3768,IF(P3768="Reembolso",-S3768,0)))</f>
        <v/>
      </c>
      <c r="V3768" s="53">
        <f>IF(P3768="","",IF(P3768="Ingreso",S3768,0))</f>
        <v/>
      </c>
      <c r="W3768" s="53">
        <f>IF(P3768="","",IF(P3768="Resultado trading",S3768,0))</f>
        <v/>
      </c>
      <c r="X3768" s="52">
        <f>IF(OR(P3768="Gasto",P3768="Reembolso"),IF(M3768&lt;&gt;"",M3768,IFERROR(INDEX(catClasif,MATCH(D3768&amp;"|"&amp;E3768,catClave,0))&amp;"","Variable")),"")</f>
        <v/>
      </c>
      <c r="Y3768" s="52">
        <f>IF(P3768="","",IFERROR(INDEX(catGrupo,MATCH(D3768&amp;"|"&amp;E3768,catClave,0))&amp;"",""))</f>
        <v/>
      </c>
      <c r="Z3768" s="52">
        <f>IF(P3768="","",WEEKDAY(B3768,2))</f>
        <v/>
      </c>
      <c r="AA3768" s="52">
        <f>IF(P3768="","",IF(AND(P3768="Gasto",X3768="Variable",D3768&lt;&gt;catTrading,S3768&gt;0,S3768&lt;=Umbral),1,0))</f>
        <v/>
      </c>
      <c r="AB3768" s="52">
        <f>IF(OR(P3768="",Q3768=""),"",IFERROR(IF(INDEX(ctaVinc,MATCH(Q3768,ctaNombre,0))&amp;""&lt;&gt;"",INDEX(ctaVinc,MATCH(Q3768,ctaNombre,0))&amp;"",Q3768),Q3768))</f>
        <v/>
      </c>
      <c r="AC3768" s="52">
        <f>IF(OR(K3768="",AND(P3768&lt;&gt;"Transferencia",P3768&lt;&gt;"Pago tarjeta")),"",IFERROR(IF(INDEX(ctaVinc,MATCH(K3768,ctaNombre,0))&amp;""&lt;&gt;"",INDEX(ctaVinc,MATCH(K3768,ctaNombre,0))&amp;"",K3768),K3768))</f>
        <v/>
      </c>
      <c r="AD3768" s="52">
        <f>IF(AB3768="","",IFERROR(INDEX(ctaTipo,MATCH(AB3768,ctaNombre,0))&amp;"",""))</f>
        <v/>
      </c>
      <c r="AE3768" s="52">
        <f>IF(AC3768="","",IFERROR(INDEX(ctaTipo,MATCH(AC3768,ctaNombre,0))&amp;"",""))</f>
        <v/>
      </c>
      <c r="AF3768" s="53">
        <f>IF(OR(P3768="",AB3768=""),"",IF(OR(P3768="Gasto",P3768="Transferencia",P3768="Pago tarjeta"),-1,1)*IF(IFERROR(INDEX(ctaMoneda,MATCH(AB3768,ctaNombre,0))&amp;"","DOP")="USD",T3768,S3768))</f>
        <v/>
      </c>
      <c r="AG3768" s="53">
        <f>IF(AC3768="","",IF(IFERROR(INDEX(ctaMoneda,MATCH(AC3768,ctaNombre,0))&amp;"","DOP")="USD",T3768,S3768))</f>
        <v/>
      </c>
      <c r="AH3768" s="53">
        <f>IF(P3768="","",IF(AND(AD3768&lt;&gt;"",COUNTIFS(tcTipo,AD3768,tcLiq,"Sí")&gt;0),IF(OR(P3768="Gasto",P3768="Transferencia",P3768="Pago tarjeta"),-1,1)*S3768,0)+IF(AND(AE3768&lt;&gt;"",COUNTIFS(tcTipo,AE3768,tcLiq,"Sí")&gt;0),S3768,0))</f>
        <v/>
      </c>
      <c r="AI3768" s="52">
        <f>IF(OR(L3768="",P3768=""),"",IF(COUNTIFS(L$6:L3768,L3768,P$6:P3768,"?*")=1,MAX(AI$5:AI3767)+1,""))</f>
        <v/>
      </c>
    </row>
    <row r="3769">
      <c r="B3769" s="47" t="n"/>
      <c r="C3769" s="48" t="n"/>
      <c r="D3769" s="48" t="n"/>
      <c r="E3769" s="48" t="n"/>
      <c r="F3769" s="48" t="n"/>
      <c r="G3769" s="49" t="n"/>
      <c r="H3769" s="48" t="n"/>
      <c r="I3769" s="50" t="n"/>
      <c r="J3769" s="48" t="n"/>
      <c r="K3769" s="48" t="n"/>
      <c r="L3769" s="48" t="n"/>
      <c r="M3769" s="48" t="n"/>
      <c r="N3769" s="48" t="n"/>
      <c r="O3769" s="51">
        <f>IF(AND(B3769="",G3769="",C3769="",D3769="",J3769=""),"",IF(B3769="","⚠ Falta fecha",IF(G3769="","⚠ Falta monto",IF(Q3769="","⚠ Falta cuenta",IF(ISNA(MATCH(Q3769,ctaNombre,0)),"⚠ Cuenta no registrada",IF(AND(OR(P3769="Gasto",P3769="Reembolso"),D3769=""),"⚠ Falta categoría",IF(AND(D3769&lt;&gt;"",E3769&lt;&gt;"",ISNA(MATCH(D3769&amp;"|"&amp;E3769,catClave,0))),"⚠ Subcategoría no corresponde",IF(AND(OR(P3769="Transferencia",P3769="Pago tarjeta"),K3769=""),"⚠ Falta cuenta destino",IF(AND(K3769&lt;&gt;"",P3769&lt;&gt;"Transferencia",P3769&lt;&gt;"Pago tarjeta"),"⚠ Destino solo aplica a transferencias",IF(AND(K3769&lt;&gt;"",K3769=Q3769),"⚠ Origen igual a destino",IF(AND(K3769&lt;&gt;"",ISNA(MATCH(K3769,ctaNombre,0))),"⚠ Destino no registrado",IF(AND(P3769="Pago tarjeta",AE3769&lt;&gt;"Tarjeta de crédito"),"⚠ El destino debe ser tarjeta de crédito",IF(AND(P3769="Gasto",E3769="Depósitos y retiros"),"⚠ Usa tipo Transferencia",IF(AND(P3769="Resultado trading",AD3769&lt;&gt;"Cuenta de trading"),"⚠ Usa una cuenta de trading",IF(AND(G3769&lt;=0,P3769&lt;&gt;"Ajuste",P3769&lt;&gt;"Resultado trading"),"⚠ El monto debe ser positivo","✓")))))))))))))))</f>
        <v/>
      </c>
      <c r="P3769" s="52">
        <f>IF(OR(B3769="",G3769=""),"",IF(C3769="","Gasto",C3769))</f>
        <v/>
      </c>
      <c r="Q3769" s="52">
        <f>IF(P3769="","",IF(J3769&lt;&gt;"",J3769,CuentaPred&amp;""))</f>
        <v/>
      </c>
      <c r="R3769" s="52">
        <f>IF(P3769="","",IF(ISNUMBER(I3769),I3769,TasaUSD))</f>
        <v/>
      </c>
      <c r="S3769" s="53">
        <f>IF(P3769="","",IF(H3769="USD",G3769*R3769,G3769))</f>
        <v/>
      </c>
      <c r="T3769" s="53">
        <f>IF(P3769="","",IF(H3769="USD",G3769,IF(R3769&gt;0,G3769/R3769,0)))</f>
        <v/>
      </c>
      <c r="U3769" s="53">
        <f>IF(P3769="","",IF(P3769="Gasto",S3769,IF(P3769="Reembolso",-S3769,0)))</f>
        <v/>
      </c>
      <c r="V3769" s="53">
        <f>IF(P3769="","",IF(P3769="Ingreso",S3769,0))</f>
        <v/>
      </c>
      <c r="W3769" s="53">
        <f>IF(P3769="","",IF(P3769="Resultado trading",S3769,0))</f>
        <v/>
      </c>
      <c r="X3769" s="52">
        <f>IF(OR(P3769="Gasto",P3769="Reembolso"),IF(M3769&lt;&gt;"",M3769,IFERROR(INDEX(catClasif,MATCH(D3769&amp;"|"&amp;E3769,catClave,0))&amp;"","Variable")),"")</f>
        <v/>
      </c>
      <c r="Y3769" s="52">
        <f>IF(P3769="","",IFERROR(INDEX(catGrupo,MATCH(D3769&amp;"|"&amp;E3769,catClave,0))&amp;"",""))</f>
        <v/>
      </c>
      <c r="Z3769" s="52">
        <f>IF(P3769="","",WEEKDAY(B3769,2))</f>
        <v/>
      </c>
      <c r="AA3769" s="52">
        <f>IF(P3769="","",IF(AND(P3769="Gasto",X3769="Variable",D3769&lt;&gt;catTrading,S3769&gt;0,S3769&lt;=Umbral),1,0))</f>
        <v/>
      </c>
      <c r="AB3769" s="52">
        <f>IF(OR(P3769="",Q3769=""),"",IFERROR(IF(INDEX(ctaVinc,MATCH(Q3769,ctaNombre,0))&amp;""&lt;&gt;"",INDEX(ctaVinc,MATCH(Q3769,ctaNombre,0))&amp;"",Q3769),Q3769))</f>
        <v/>
      </c>
      <c r="AC3769" s="52">
        <f>IF(OR(K3769="",AND(P3769&lt;&gt;"Transferencia",P3769&lt;&gt;"Pago tarjeta")),"",IFERROR(IF(INDEX(ctaVinc,MATCH(K3769,ctaNombre,0))&amp;""&lt;&gt;"",INDEX(ctaVinc,MATCH(K3769,ctaNombre,0))&amp;"",K3769),K3769))</f>
        <v/>
      </c>
      <c r="AD3769" s="52">
        <f>IF(AB3769="","",IFERROR(INDEX(ctaTipo,MATCH(AB3769,ctaNombre,0))&amp;"",""))</f>
        <v/>
      </c>
      <c r="AE3769" s="52">
        <f>IF(AC3769="","",IFERROR(INDEX(ctaTipo,MATCH(AC3769,ctaNombre,0))&amp;"",""))</f>
        <v/>
      </c>
      <c r="AF3769" s="53">
        <f>IF(OR(P3769="",AB3769=""),"",IF(OR(P3769="Gasto",P3769="Transferencia",P3769="Pago tarjeta"),-1,1)*IF(IFERROR(INDEX(ctaMoneda,MATCH(AB3769,ctaNombre,0))&amp;"","DOP")="USD",T3769,S3769))</f>
        <v/>
      </c>
      <c r="AG3769" s="53">
        <f>IF(AC3769="","",IF(IFERROR(INDEX(ctaMoneda,MATCH(AC3769,ctaNombre,0))&amp;"","DOP")="USD",T3769,S3769))</f>
        <v/>
      </c>
      <c r="AH3769" s="53">
        <f>IF(P3769="","",IF(AND(AD3769&lt;&gt;"",COUNTIFS(tcTipo,AD3769,tcLiq,"Sí")&gt;0),IF(OR(P3769="Gasto",P3769="Transferencia",P3769="Pago tarjeta"),-1,1)*S3769,0)+IF(AND(AE3769&lt;&gt;"",COUNTIFS(tcTipo,AE3769,tcLiq,"Sí")&gt;0),S3769,0))</f>
        <v/>
      </c>
      <c r="AI3769" s="52">
        <f>IF(OR(L3769="",P3769=""),"",IF(COUNTIFS(L$6:L3769,L3769,P$6:P3769,"?*")=1,MAX(AI$5:AI3768)+1,""))</f>
        <v/>
      </c>
    </row>
    <row r="3770">
      <c r="B3770" s="47" t="n"/>
      <c r="C3770" s="48" t="n"/>
      <c r="D3770" s="48" t="n"/>
      <c r="E3770" s="48" t="n"/>
      <c r="F3770" s="48" t="n"/>
      <c r="G3770" s="49" t="n"/>
      <c r="H3770" s="48" t="n"/>
      <c r="I3770" s="50" t="n"/>
      <c r="J3770" s="48" t="n"/>
      <c r="K3770" s="48" t="n"/>
      <c r="L3770" s="48" t="n"/>
      <c r="M3770" s="48" t="n"/>
      <c r="N3770" s="48" t="n"/>
      <c r="O3770" s="51">
        <f>IF(AND(B3770="",G3770="",C3770="",D3770="",J3770=""),"",IF(B3770="","⚠ Falta fecha",IF(G3770="","⚠ Falta monto",IF(Q3770="","⚠ Falta cuenta",IF(ISNA(MATCH(Q3770,ctaNombre,0)),"⚠ Cuenta no registrada",IF(AND(OR(P3770="Gasto",P3770="Reembolso"),D3770=""),"⚠ Falta categoría",IF(AND(D3770&lt;&gt;"",E3770&lt;&gt;"",ISNA(MATCH(D3770&amp;"|"&amp;E3770,catClave,0))),"⚠ Subcategoría no corresponde",IF(AND(OR(P3770="Transferencia",P3770="Pago tarjeta"),K3770=""),"⚠ Falta cuenta destino",IF(AND(K3770&lt;&gt;"",P3770&lt;&gt;"Transferencia",P3770&lt;&gt;"Pago tarjeta"),"⚠ Destino solo aplica a transferencias",IF(AND(K3770&lt;&gt;"",K3770=Q3770),"⚠ Origen igual a destino",IF(AND(K3770&lt;&gt;"",ISNA(MATCH(K3770,ctaNombre,0))),"⚠ Destino no registrado",IF(AND(P3770="Pago tarjeta",AE3770&lt;&gt;"Tarjeta de crédito"),"⚠ El destino debe ser tarjeta de crédito",IF(AND(P3770="Gasto",E3770="Depósitos y retiros"),"⚠ Usa tipo Transferencia",IF(AND(P3770="Resultado trading",AD3770&lt;&gt;"Cuenta de trading"),"⚠ Usa una cuenta de trading",IF(AND(G3770&lt;=0,P3770&lt;&gt;"Ajuste",P3770&lt;&gt;"Resultado trading"),"⚠ El monto debe ser positivo","✓")))))))))))))))</f>
        <v/>
      </c>
      <c r="P3770" s="52">
        <f>IF(OR(B3770="",G3770=""),"",IF(C3770="","Gasto",C3770))</f>
        <v/>
      </c>
      <c r="Q3770" s="52">
        <f>IF(P3770="","",IF(J3770&lt;&gt;"",J3770,CuentaPred&amp;""))</f>
        <v/>
      </c>
      <c r="R3770" s="52">
        <f>IF(P3770="","",IF(ISNUMBER(I3770),I3770,TasaUSD))</f>
        <v/>
      </c>
      <c r="S3770" s="53">
        <f>IF(P3770="","",IF(H3770="USD",G3770*R3770,G3770))</f>
        <v/>
      </c>
      <c r="T3770" s="53">
        <f>IF(P3770="","",IF(H3770="USD",G3770,IF(R3770&gt;0,G3770/R3770,0)))</f>
        <v/>
      </c>
      <c r="U3770" s="53">
        <f>IF(P3770="","",IF(P3770="Gasto",S3770,IF(P3770="Reembolso",-S3770,0)))</f>
        <v/>
      </c>
      <c r="V3770" s="53">
        <f>IF(P3770="","",IF(P3770="Ingreso",S3770,0))</f>
        <v/>
      </c>
      <c r="W3770" s="53">
        <f>IF(P3770="","",IF(P3770="Resultado trading",S3770,0))</f>
        <v/>
      </c>
      <c r="X3770" s="52">
        <f>IF(OR(P3770="Gasto",P3770="Reembolso"),IF(M3770&lt;&gt;"",M3770,IFERROR(INDEX(catClasif,MATCH(D3770&amp;"|"&amp;E3770,catClave,0))&amp;"","Variable")),"")</f>
        <v/>
      </c>
      <c r="Y3770" s="52">
        <f>IF(P3770="","",IFERROR(INDEX(catGrupo,MATCH(D3770&amp;"|"&amp;E3770,catClave,0))&amp;"",""))</f>
        <v/>
      </c>
      <c r="Z3770" s="52">
        <f>IF(P3770="","",WEEKDAY(B3770,2))</f>
        <v/>
      </c>
      <c r="AA3770" s="52">
        <f>IF(P3770="","",IF(AND(P3770="Gasto",X3770="Variable",D3770&lt;&gt;catTrading,S3770&gt;0,S3770&lt;=Umbral),1,0))</f>
        <v/>
      </c>
      <c r="AB3770" s="52">
        <f>IF(OR(P3770="",Q3770=""),"",IFERROR(IF(INDEX(ctaVinc,MATCH(Q3770,ctaNombre,0))&amp;""&lt;&gt;"",INDEX(ctaVinc,MATCH(Q3770,ctaNombre,0))&amp;"",Q3770),Q3770))</f>
        <v/>
      </c>
      <c r="AC3770" s="52">
        <f>IF(OR(K3770="",AND(P3770&lt;&gt;"Transferencia",P3770&lt;&gt;"Pago tarjeta")),"",IFERROR(IF(INDEX(ctaVinc,MATCH(K3770,ctaNombre,0))&amp;""&lt;&gt;"",INDEX(ctaVinc,MATCH(K3770,ctaNombre,0))&amp;"",K3770),K3770))</f>
        <v/>
      </c>
      <c r="AD3770" s="52">
        <f>IF(AB3770="","",IFERROR(INDEX(ctaTipo,MATCH(AB3770,ctaNombre,0))&amp;"",""))</f>
        <v/>
      </c>
      <c r="AE3770" s="52">
        <f>IF(AC3770="","",IFERROR(INDEX(ctaTipo,MATCH(AC3770,ctaNombre,0))&amp;"",""))</f>
        <v/>
      </c>
      <c r="AF3770" s="53">
        <f>IF(OR(P3770="",AB3770=""),"",IF(OR(P3770="Gasto",P3770="Transferencia",P3770="Pago tarjeta"),-1,1)*IF(IFERROR(INDEX(ctaMoneda,MATCH(AB3770,ctaNombre,0))&amp;"","DOP")="USD",T3770,S3770))</f>
        <v/>
      </c>
      <c r="AG3770" s="53">
        <f>IF(AC3770="","",IF(IFERROR(INDEX(ctaMoneda,MATCH(AC3770,ctaNombre,0))&amp;"","DOP")="USD",T3770,S3770))</f>
        <v/>
      </c>
      <c r="AH3770" s="53">
        <f>IF(P3770="","",IF(AND(AD3770&lt;&gt;"",COUNTIFS(tcTipo,AD3770,tcLiq,"Sí")&gt;0),IF(OR(P3770="Gasto",P3770="Transferencia",P3770="Pago tarjeta"),-1,1)*S3770,0)+IF(AND(AE3770&lt;&gt;"",COUNTIFS(tcTipo,AE3770,tcLiq,"Sí")&gt;0),S3770,0))</f>
        <v/>
      </c>
      <c r="AI3770" s="52">
        <f>IF(OR(L3770="",P3770=""),"",IF(COUNTIFS(L$6:L3770,L3770,P$6:P3770,"?*")=1,MAX(AI$5:AI3769)+1,""))</f>
        <v/>
      </c>
    </row>
    <row r="3771">
      <c r="B3771" s="47" t="n"/>
      <c r="C3771" s="48" t="n"/>
      <c r="D3771" s="48" t="n"/>
      <c r="E3771" s="48" t="n"/>
      <c r="F3771" s="48" t="n"/>
      <c r="G3771" s="49" t="n"/>
      <c r="H3771" s="48" t="n"/>
      <c r="I3771" s="50" t="n"/>
      <c r="J3771" s="48" t="n"/>
      <c r="K3771" s="48" t="n"/>
      <c r="L3771" s="48" t="n"/>
      <c r="M3771" s="48" t="n"/>
      <c r="N3771" s="48" t="n"/>
      <c r="O3771" s="51">
        <f>IF(AND(B3771="",G3771="",C3771="",D3771="",J3771=""),"",IF(B3771="","⚠ Falta fecha",IF(G3771="","⚠ Falta monto",IF(Q3771="","⚠ Falta cuenta",IF(ISNA(MATCH(Q3771,ctaNombre,0)),"⚠ Cuenta no registrada",IF(AND(OR(P3771="Gasto",P3771="Reembolso"),D3771=""),"⚠ Falta categoría",IF(AND(D3771&lt;&gt;"",E3771&lt;&gt;"",ISNA(MATCH(D3771&amp;"|"&amp;E3771,catClave,0))),"⚠ Subcategoría no corresponde",IF(AND(OR(P3771="Transferencia",P3771="Pago tarjeta"),K3771=""),"⚠ Falta cuenta destino",IF(AND(K3771&lt;&gt;"",P3771&lt;&gt;"Transferencia",P3771&lt;&gt;"Pago tarjeta"),"⚠ Destino solo aplica a transferencias",IF(AND(K3771&lt;&gt;"",K3771=Q3771),"⚠ Origen igual a destino",IF(AND(K3771&lt;&gt;"",ISNA(MATCH(K3771,ctaNombre,0))),"⚠ Destino no registrado",IF(AND(P3771="Pago tarjeta",AE3771&lt;&gt;"Tarjeta de crédito"),"⚠ El destino debe ser tarjeta de crédito",IF(AND(P3771="Gasto",E3771="Depósitos y retiros"),"⚠ Usa tipo Transferencia",IF(AND(P3771="Resultado trading",AD3771&lt;&gt;"Cuenta de trading"),"⚠ Usa una cuenta de trading",IF(AND(G3771&lt;=0,P3771&lt;&gt;"Ajuste",P3771&lt;&gt;"Resultado trading"),"⚠ El monto debe ser positivo","✓")))))))))))))))</f>
        <v/>
      </c>
      <c r="P3771" s="52">
        <f>IF(OR(B3771="",G3771=""),"",IF(C3771="","Gasto",C3771))</f>
        <v/>
      </c>
      <c r="Q3771" s="52">
        <f>IF(P3771="","",IF(J3771&lt;&gt;"",J3771,CuentaPred&amp;""))</f>
        <v/>
      </c>
      <c r="R3771" s="52">
        <f>IF(P3771="","",IF(ISNUMBER(I3771),I3771,TasaUSD))</f>
        <v/>
      </c>
      <c r="S3771" s="53">
        <f>IF(P3771="","",IF(H3771="USD",G3771*R3771,G3771))</f>
        <v/>
      </c>
      <c r="T3771" s="53">
        <f>IF(P3771="","",IF(H3771="USD",G3771,IF(R3771&gt;0,G3771/R3771,0)))</f>
        <v/>
      </c>
      <c r="U3771" s="53">
        <f>IF(P3771="","",IF(P3771="Gasto",S3771,IF(P3771="Reembolso",-S3771,0)))</f>
        <v/>
      </c>
      <c r="V3771" s="53">
        <f>IF(P3771="","",IF(P3771="Ingreso",S3771,0))</f>
        <v/>
      </c>
      <c r="W3771" s="53">
        <f>IF(P3771="","",IF(P3771="Resultado trading",S3771,0))</f>
        <v/>
      </c>
      <c r="X3771" s="52">
        <f>IF(OR(P3771="Gasto",P3771="Reembolso"),IF(M3771&lt;&gt;"",M3771,IFERROR(INDEX(catClasif,MATCH(D3771&amp;"|"&amp;E3771,catClave,0))&amp;"","Variable")),"")</f>
        <v/>
      </c>
      <c r="Y3771" s="52">
        <f>IF(P3771="","",IFERROR(INDEX(catGrupo,MATCH(D3771&amp;"|"&amp;E3771,catClave,0))&amp;"",""))</f>
        <v/>
      </c>
      <c r="Z3771" s="52">
        <f>IF(P3771="","",WEEKDAY(B3771,2))</f>
        <v/>
      </c>
      <c r="AA3771" s="52">
        <f>IF(P3771="","",IF(AND(P3771="Gasto",X3771="Variable",D3771&lt;&gt;catTrading,S3771&gt;0,S3771&lt;=Umbral),1,0))</f>
        <v/>
      </c>
      <c r="AB3771" s="52">
        <f>IF(OR(P3771="",Q3771=""),"",IFERROR(IF(INDEX(ctaVinc,MATCH(Q3771,ctaNombre,0))&amp;""&lt;&gt;"",INDEX(ctaVinc,MATCH(Q3771,ctaNombre,0))&amp;"",Q3771),Q3771))</f>
        <v/>
      </c>
      <c r="AC3771" s="52">
        <f>IF(OR(K3771="",AND(P3771&lt;&gt;"Transferencia",P3771&lt;&gt;"Pago tarjeta")),"",IFERROR(IF(INDEX(ctaVinc,MATCH(K3771,ctaNombre,0))&amp;""&lt;&gt;"",INDEX(ctaVinc,MATCH(K3771,ctaNombre,0))&amp;"",K3771),K3771))</f>
        <v/>
      </c>
      <c r="AD3771" s="52">
        <f>IF(AB3771="","",IFERROR(INDEX(ctaTipo,MATCH(AB3771,ctaNombre,0))&amp;"",""))</f>
        <v/>
      </c>
      <c r="AE3771" s="52">
        <f>IF(AC3771="","",IFERROR(INDEX(ctaTipo,MATCH(AC3771,ctaNombre,0))&amp;"",""))</f>
        <v/>
      </c>
      <c r="AF3771" s="53">
        <f>IF(OR(P3771="",AB3771=""),"",IF(OR(P3771="Gasto",P3771="Transferencia",P3771="Pago tarjeta"),-1,1)*IF(IFERROR(INDEX(ctaMoneda,MATCH(AB3771,ctaNombre,0))&amp;"","DOP")="USD",T3771,S3771))</f>
        <v/>
      </c>
      <c r="AG3771" s="53">
        <f>IF(AC3771="","",IF(IFERROR(INDEX(ctaMoneda,MATCH(AC3771,ctaNombre,0))&amp;"","DOP")="USD",T3771,S3771))</f>
        <v/>
      </c>
      <c r="AH3771" s="53">
        <f>IF(P3771="","",IF(AND(AD3771&lt;&gt;"",COUNTIFS(tcTipo,AD3771,tcLiq,"Sí")&gt;0),IF(OR(P3771="Gasto",P3771="Transferencia",P3771="Pago tarjeta"),-1,1)*S3771,0)+IF(AND(AE3771&lt;&gt;"",COUNTIFS(tcTipo,AE3771,tcLiq,"Sí")&gt;0),S3771,0))</f>
        <v/>
      </c>
      <c r="AI3771" s="52">
        <f>IF(OR(L3771="",P3771=""),"",IF(COUNTIFS(L$6:L3771,L3771,P$6:P3771,"?*")=1,MAX(AI$5:AI3770)+1,""))</f>
        <v/>
      </c>
    </row>
    <row r="3772">
      <c r="B3772" s="47" t="n"/>
      <c r="C3772" s="48" t="n"/>
      <c r="D3772" s="48" t="n"/>
      <c r="E3772" s="48" t="n"/>
      <c r="F3772" s="48" t="n"/>
      <c r="G3772" s="49" t="n"/>
      <c r="H3772" s="48" t="n"/>
      <c r="I3772" s="50" t="n"/>
      <c r="J3772" s="48" t="n"/>
      <c r="K3772" s="48" t="n"/>
      <c r="L3772" s="48" t="n"/>
      <c r="M3772" s="48" t="n"/>
      <c r="N3772" s="48" t="n"/>
      <c r="O3772" s="51">
        <f>IF(AND(B3772="",G3772="",C3772="",D3772="",J3772=""),"",IF(B3772="","⚠ Falta fecha",IF(G3772="","⚠ Falta monto",IF(Q3772="","⚠ Falta cuenta",IF(ISNA(MATCH(Q3772,ctaNombre,0)),"⚠ Cuenta no registrada",IF(AND(OR(P3772="Gasto",P3772="Reembolso"),D3772=""),"⚠ Falta categoría",IF(AND(D3772&lt;&gt;"",E3772&lt;&gt;"",ISNA(MATCH(D3772&amp;"|"&amp;E3772,catClave,0))),"⚠ Subcategoría no corresponde",IF(AND(OR(P3772="Transferencia",P3772="Pago tarjeta"),K3772=""),"⚠ Falta cuenta destino",IF(AND(K3772&lt;&gt;"",P3772&lt;&gt;"Transferencia",P3772&lt;&gt;"Pago tarjeta"),"⚠ Destino solo aplica a transferencias",IF(AND(K3772&lt;&gt;"",K3772=Q3772),"⚠ Origen igual a destino",IF(AND(K3772&lt;&gt;"",ISNA(MATCH(K3772,ctaNombre,0))),"⚠ Destino no registrado",IF(AND(P3772="Pago tarjeta",AE3772&lt;&gt;"Tarjeta de crédito"),"⚠ El destino debe ser tarjeta de crédito",IF(AND(P3772="Gasto",E3772="Depósitos y retiros"),"⚠ Usa tipo Transferencia",IF(AND(P3772="Resultado trading",AD3772&lt;&gt;"Cuenta de trading"),"⚠ Usa una cuenta de trading",IF(AND(G3772&lt;=0,P3772&lt;&gt;"Ajuste",P3772&lt;&gt;"Resultado trading"),"⚠ El monto debe ser positivo","✓")))))))))))))))</f>
        <v/>
      </c>
      <c r="P3772" s="52">
        <f>IF(OR(B3772="",G3772=""),"",IF(C3772="","Gasto",C3772))</f>
        <v/>
      </c>
      <c r="Q3772" s="52">
        <f>IF(P3772="","",IF(J3772&lt;&gt;"",J3772,CuentaPred&amp;""))</f>
        <v/>
      </c>
      <c r="R3772" s="52">
        <f>IF(P3772="","",IF(ISNUMBER(I3772),I3772,TasaUSD))</f>
        <v/>
      </c>
      <c r="S3772" s="53">
        <f>IF(P3772="","",IF(H3772="USD",G3772*R3772,G3772))</f>
        <v/>
      </c>
      <c r="T3772" s="53">
        <f>IF(P3772="","",IF(H3772="USD",G3772,IF(R3772&gt;0,G3772/R3772,0)))</f>
        <v/>
      </c>
      <c r="U3772" s="53">
        <f>IF(P3772="","",IF(P3772="Gasto",S3772,IF(P3772="Reembolso",-S3772,0)))</f>
        <v/>
      </c>
      <c r="V3772" s="53">
        <f>IF(P3772="","",IF(P3772="Ingreso",S3772,0))</f>
        <v/>
      </c>
      <c r="W3772" s="53">
        <f>IF(P3772="","",IF(P3772="Resultado trading",S3772,0))</f>
        <v/>
      </c>
      <c r="X3772" s="52">
        <f>IF(OR(P3772="Gasto",P3772="Reembolso"),IF(M3772&lt;&gt;"",M3772,IFERROR(INDEX(catClasif,MATCH(D3772&amp;"|"&amp;E3772,catClave,0))&amp;"","Variable")),"")</f>
        <v/>
      </c>
      <c r="Y3772" s="52">
        <f>IF(P3772="","",IFERROR(INDEX(catGrupo,MATCH(D3772&amp;"|"&amp;E3772,catClave,0))&amp;"",""))</f>
        <v/>
      </c>
      <c r="Z3772" s="52">
        <f>IF(P3772="","",WEEKDAY(B3772,2))</f>
        <v/>
      </c>
      <c r="AA3772" s="52">
        <f>IF(P3772="","",IF(AND(P3772="Gasto",X3772="Variable",D3772&lt;&gt;catTrading,S3772&gt;0,S3772&lt;=Umbral),1,0))</f>
        <v/>
      </c>
      <c r="AB3772" s="52">
        <f>IF(OR(P3772="",Q3772=""),"",IFERROR(IF(INDEX(ctaVinc,MATCH(Q3772,ctaNombre,0))&amp;""&lt;&gt;"",INDEX(ctaVinc,MATCH(Q3772,ctaNombre,0))&amp;"",Q3772),Q3772))</f>
        <v/>
      </c>
      <c r="AC3772" s="52">
        <f>IF(OR(K3772="",AND(P3772&lt;&gt;"Transferencia",P3772&lt;&gt;"Pago tarjeta")),"",IFERROR(IF(INDEX(ctaVinc,MATCH(K3772,ctaNombre,0))&amp;""&lt;&gt;"",INDEX(ctaVinc,MATCH(K3772,ctaNombre,0))&amp;"",K3772),K3772))</f>
        <v/>
      </c>
      <c r="AD3772" s="52">
        <f>IF(AB3772="","",IFERROR(INDEX(ctaTipo,MATCH(AB3772,ctaNombre,0))&amp;"",""))</f>
        <v/>
      </c>
      <c r="AE3772" s="52">
        <f>IF(AC3772="","",IFERROR(INDEX(ctaTipo,MATCH(AC3772,ctaNombre,0))&amp;"",""))</f>
        <v/>
      </c>
      <c r="AF3772" s="53">
        <f>IF(OR(P3772="",AB3772=""),"",IF(OR(P3772="Gasto",P3772="Transferencia",P3772="Pago tarjeta"),-1,1)*IF(IFERROR(INDEX(ctaMoneda,MATCH(AB3772,ctaNombre,0))&amp;"","DOP")="USD",T3772,S3772))</f>
        <v/>
      </c>
      <c r="AG3772" s="53">
        <f>IF(AC3772="","",IF(IFERROR(INDEX(ctaMoneda,MATCH(AC3772,ctaNombre,0))&amp;"","DOP")="USD",T3772,S3772))</f>
        <v/>
      </c>
      <c r="AH3772" s="53">
        <f>IF(P3772="","",IF(AND(AD3772&lt;&gt;"",COUNTIFS(tcTipo,AD3772,tcLiq,"Sí")&gt;0),IF(OR(P3772="Gasto",P3772="Transferencia",P3772="Pago tarjeta"),-1,1)*S3772,0)+IF(AND(AE3772&lt;&gt;"",COUNTIFS(tcTipo,AE3772,tcLiq,"Sí")&gt;0),S3772,0))</f>
        <v/>
      </c>
      <c r="AI3772" s="52">
        <f>IF(OR(L3772="",P3772=""),"",IF(COUNTIFS(L$6:L3772,L3772,P$6:P3772,"?*")=1,MAX(AI$5:AI3771)+1,""))</f>
        <v/>
      </c>
    </row>
    <row r="3773">
      <c r="B3773" s="47" t="n"/>
      <c r="C3773" s="48" t="n"/>
      <c r="D3773" s="48" t="n"/>
      <c r="E3773" s="48" t="n"/>
      <c r="F3773" s="48" t="n"/>
      <c r="G3773" s="49" t="n"/>
      <c r="H3773" s="48" t="n"/>
      <c r="I3773" s="50" t="n"/>
      <c r="J3773" s="48" t="n"/>
      <c r="K3773" s="48" t="n"/>
      <c r="L3773" s="48" t="n"/>
      <c r="M3773" s="48" t="n"/>
      <c r="N3773" s="48" t="n"/>
      <c r="O3773" s="51">
        <f>IF(AND(B3773="",G3773="",C3773="",D3773="",J3773=""),"",IF(B3773="","⚠ Falta fecha",IF(G3773="","⚠ Falta monto",IF(Q3773="","⚠ Falta cuenta",IF(ISNA(MATCH(Q3773,ctaNombre,0)),"⚠ Cuenta no registrada",IF(AND(OR(P3773="Gasto",P3773="Reembolso"),D3773=""),"⚠ Falta categoría",IF(AND(D3773&lt;&gt;"",E3773&lt;&gt;"",ISNA(MATCH(D3773&amp;"|"&amp;E3773,catClave,0))),"⚠ Subcategoría no corresponde",IF(AND(OR(P3773="Transferencia",P3773="Pago tarjeta"),K3773=""),"⚠ Falta cuenta destino",IF(AND(K3773&lt;&gt;"",P3773&lt;&gt;"Transferencia",P3773&lt;&gt;"Pago tarjeta"),"⚠ Destino solo aplica a transferencias",IF(AND(K3773&lt;&gt;"",K3773=Q3773),"⚠ Origen igual a destino",IF(AND(K3773&lt;&gt;"",ISNA(MATCH(K3773,ctaNombre,0))),"⚠ Destino no registrado",IF(AND(P3773="Pago tarjeta",AE3773&lt;&gt;"Tarjeta de crédito"),"⚠ El destino debe ser tarjeta de crédito",IF(AND(P3773="Gasto",E3773="Depósitos y retiros"),"⚠ Usa tipo Transferencia",IF(AND(P3773="Resultado trading",AD3773&lt;&gt;"Cuenta de trading"),"⚠ Usa una cuenta de trading",IF(AND(G3773&lt;=0,P3773&lt;&gt;"Ajuste",P3773&lt;&gt;"Resultado trading"),"⚠ El monto debe ser positivo","✓")))))))))))))))</f>
        <v/>
      </c>
      <c r="P3773" s="52">
        <f>IF(OR(B3773="",G3773=""),"",IF(C3773="","Gasto",C3773))</f>
        <v/>
      </c>
      <c r="Q3773" s="52">
        <f>IF(P3773="","",IF(J3773&lt;&gt;"",J3773,CuentaPred&amp;""))</f>
        <v/>
      </c>
      <c r="R3773" s="52">
        <f>IF(P3773="","",IF(ISNUMBER(I3773),I3773,TasaUSD))</f>
        <v/>
      </c>
      <c r="S3773" s="53">
        <f>IF(P3773="","",IF(H3773="USD",G3773*R3773,G3773))</f>
        <v/>
      </c>
      <c r="T3773" s="53">
        <f>IF(P3773="","",IF(H3773="USD",G3773,IF(R3773&gt;0,G3773/R3773,0)))</f>
        <v/>
      </c>
      <c r="U3773" s="53">
        <f>IF(P3773="","",IF(P3773="Gasto",S3773,IF(P3773="Reembolso",-S3773,0)))</f>
        <v/>
      </c>
      <c r="V3773" s="53">
        <f>IF(P3773="","",IF(P3773="Ingreso",S3773,0))</f>
        <v/>
      </c>
      <c r="W3773" s="53">
        <f>IF(P3773="","",IF(P3773="Resultado trading",S3773,0))</f>
        <v/>
      </c>
      <c r="X3773" s="52">
        <f>IF(OR(P3773="Gasto",P3773="Reembolso"),IF(M3773&lt;&gt;"",M3773,IFERROR(INDEX(catClasif,MATCH(D3773&amp;"|"&amp;E3773,catClave,0))&amp;"","Variable")),"")</f>
        <v/>
      </c>
      <c r="Y3773" s="52">
        <f>IF(P3773="","",IFERROR(INDEX(catGrupo,MATCH(D3773&amp;"|"&amp;E3773,catClave,0))&amp;"",""))</f>
        <v/>
      </c>
      <c r="Z3773" s="52">
        <f>IF(P3773="","",WEEKDAY(B3773,2))</f>
        <v/>
      </c>
      <c r="AA3773" s="52">
        <f>IF(P3773="","",IF(AND(P3773="Gasto",X3773="Variable",D3773&lt;&gt;catTrading,S3773&gt;0,S3773&lt;=Umbral),1,0))</f>
        <v/>
      </c>
      <c r="AB3773" s="52">
        <f>IF(OR(P3773="",Q3773=""),"",IFERROR(IF(INDEX(ctaVinc,MATCH(Q3773,ctaNombre,0))&amp;""&lt;&gt;"",INDEX(ctaVinc,MATCH(Q3773,ctaNombre,0))&amp;"",Q3773),Q3773))</f>
        <v/>
      </c>
      <c r="AC3773" s="52">
        <f>IF(OR(K3773="",AND(P3773&lt;&gt;"Transferencia",P3773&lt;&gt;"Pago tarjeta")),"",IFERROR(IF(INDEX(ctaVinc,MATCH(K3773,ctaNombre,0))&amp;""&lt;&gt;"",INDEX(ctaVinc,MATCH(K3773,ctaNombre,0))&amp;"",K3773),K3773))</f>
        <v/>
      </c>
      <c r="AD3773" s="52">
        <f>IF(AB3773="","",IFERROR(INDEX(ctaTipo,MATCH(AB3773,ctaNombre,0))&amp;"",""))</f>
        <v/>
      </c>
      <c r="AE3773" s="52">
        <f>IF(AC3773="","",IFERROR(INDEX(ctaTipo,MATCH(AC3773,ctaNombre,0))&amp;"",""))</f>
        <v/>
      </c>
      <c r="AF3773" s="53">
        <f>IF(OR(P3773="",AB3773=""),"",IF(OR(P3773="Gasto",P3773="Transferencia",P3773="Pago tarjeta"),-1,1)*IF(IFERROR(INDEX(ctaMoneda,MATCH(AB3773,ctaNombre,0))&amp;"","DOP")="USD",T3773,S3773))</f>
        <v/>
      </c>
      <c r="AG3773" s="53">
        <f>IF(AC3773="","",IF(IFERROR(INDEX(ctaMoneda,MATCH(AC3773,ctaNombre,0))&amp;"","DOP")="USD",T3773,S3773))</f>
        <v/>
      </c>
      <c r="AH3773" s="53">
        <f>IF(P3773="","",IF(AND(AD3773&lt;&gt;"",COUNTIFS(tcTipo,AD3773,tcLiq,"Sí")&gt;0),IF(OR(P3773="Gasto",P3773="Transferencia",P3773="Pago tarjeta"),-1,1)*S3773,0)+IF(AND(AE3773&lt;&gt;"",COUNTIFS(tcTipo,AE3773,tcLiq,"Sí")&gt;0),S3773,0))</f>
        <v/>
      </c>
      <c r="AI3773" s="52">
        <f>IF(OR(L3773="",P3773=""),"",IF(COUNTIFS(L$6:L3773,L3773,P$6:P3773,"?*")=1,MAX(AI$5:AI3772)+1,""))</f>
        <v/>
      </c>
    </row>
    <row r="3774">
      <c r="B3774" s="47" t="n"/>
      <c r="C3774" s="48" t="n"/>
      <c r="D3774" s="48" t="n"/>
      <c r="E3774" s="48" t="n"/>
      <c r="F3774" s="48" t="n"/>
      <c r="G3774" s="49" t="n"/>
      <c r="H3774" s="48" t="n"/>
      <c r="I3774" s="50" t="n"/>
      <c r="J3774" s="48" t="n"/>
      <c r="K3774" s="48" t="n"/>
      <c r="L3774" s="48" t="n"/>
      <c r="M3774" s="48" t="n"/>
      <c r="N3774" s="48" t="n"/>
      <c r="O3774" s="51">
        <f>IF(AND(B3774="",G3774="",C3774="",D3774="",J3774=""),"",IF(B3774="","⚠ Falta fecha",IF(G3774="","⚠ Falta monto",IF(Q3774="","⚠ Falta cuenta",IF(ISNA(MATCH(Q3774,ctaNombre,0)),"⚠ Cuenta no registrada",IF(AND(OR(P3774="Gasto",P3774="Reembolso"),D3774=""),"⚠ Falta categoría",IF(AND(D3774&lt;&gt;"",E3774&lt;&gt;"",ISNA(MATCH(D3774&amp;"|"&amp;E3774,catClave,0))),"⚠ Subcategoría no corresponde",IF(AND(OR(P3774="Transferencia",P3774="Pago tarjeta"),K3774=""),"⚠ Falta cuenta destino",IF(AND(K3774&lt;&gt;"",P3774&lt;&gt;"Transferencia",P3774&lt;&gt;"Pago tarjeta"),"⚠ Destino solo aplica a transferencias",IF(AND(K3774&lt;&gt;"",K3774=Q3774),"⚠ Origen igual a destino",IF(AND(K3774&lt;&gt;"",ISNA(MATCH(K3774,ctaNombre,0))),"⚠ Destino no registrado",IF(AND(P3774="Pago tarjeta",AE3774&lt;&gt;"Tarjeta de crédito"),"⚠ El destino debe ser tarjeta de crédito",IF(AND(P3774="Gasto",E3774="Depósitos y retiros"),"⚠ Usa tipo Transferencia",IF(AND(P3774="Resultado trading",AD3774&lt;&gt;"Cuenta de trading"),"⚠ Usa una cuenta de trading",IF(AND(G3774&lt;=0,P3774&lt;&gt;"Ajuste",P3774&lt;&gt;"Resultado trading"),"⚠ El monto debe ser positivo","✓")))))))))))))))</f>
        <v/>
      </c>
      <c r="P3774" s="52">
        <f>IF(OR(B3774="",G3774=""),"",IF(C3774="","Gasto",C3774))</f>
        <v/>
      </c>
      <c r="Q3774" s="52">
        <f>IF(P3774="","",IF(J3774&lt;&gt;"",J3774,CuentaPred&amp;""))</f>
        <v/>
      </c>
      <c r="R3774" s="52">
        <f>IF(P3774="","",IF(ISNUMBER(I3774),I3774,TasaUSD))</f>
        <v/>
      </c>
      <c r="S3774" s="53">
        <f>IF(P3774="","",IF(H3774="USD",G3774*R3774,G3774))</f>
        <v/>
      </c>
      <c r="T3774" s="53">
        <f>IF(P3774="","",IF(H3774="USD",G3774,IF(R3774&gt;0,G3774/R3774,0)))</f>
        <v/>
      </c>
      <c r="U3774" s="53">
        <f>IF(P3774="","",IF(P3774="Gasto",S3774,IF(P3774="Reembolso",-S3774,0)))</f>
        <v/>
      </c>
      <c r="V3774" s="53">
        <f>IF(P3774="","",IF(P3774="Ingreso",S3774,0))</f>
        <v/>
      </c>
      <c r="W3774" s="53">
        <f>IF(P3774="","",IF(P3774="Resultado trading",S3774,0))</f>
        <v/>
      </c>
      <c r="X3774" s="52">
        <f>IF(OR(P3774="Gasto",P3774="Reembolso"),IF(M3774&lt;&gt;"",M3774,IFERROR(INDEX(catClasif,MATCH(D3774&amp;"|"&amp;E3774,catClave,0))&amp;"","Variable")),"")</f>
        <v/>
      </c>
      <c r="Y3774" s="52">
        <f>IF(P3774="","",IFERROR(INDEX(catGrupo,MATCH(D3774&amp;"|"&amp;E3774,catClave,0))&amp;"",""))</f>
        <v/>
      </c>
      <c r="Z3774" s="52">
        <f>IF(P3774="","",WEEKDAY(B3774,2))</f>
        <v/>
      </c>
      <c r="AA3774" s="52">
        <f>IF(P3774="","",IF(AND(P3774="Gasto",X3774="Variable",D3774&lt;&gt;catTrading,S3774&gt;0,S3774&lt;=Umbral),1,0))</f>
        <v/>
      </c>
      <c r="AB3774" s="52">
        <f>IF(OR(P3774="",Q3774=""),"",IFERROR(IF(INDEX(ctaVinc,MATCH(Q3774,ctaNombre,0))&amp;""&lt;&gt;"",INDEX(ctaVinc,MATCH(Q3774,ctaNombre,0))&amp;"",Q3774),Q3774))</f>
        <v/>
      </c>
      <c r="AC3774" s="52">
        <f>IF(OR(K3774="",AND(P3774&lt;&gt;"Transferencia",P3774&lt;&gt;"Pago tarjeta")),"",IFERROR(IF(INDEX(ctaVinc,MATCH(K3774,ctaNombre,0))&amp;""&lt;&gt;"",INDEX(ctaVinc,MATCH(K3774,ctaNombre,0))&amp;"",K3774),K3774))</f>
        <v/>
      </c>
      <c r="AD3774" s="52">
        <f>IF(AB3774="","",IFERROR(INDEX(ctaTipo,MATCH(AB3774,ctaNombre,0))&amp;"",""))</f>
        <v/>
      </c>
      <c r="AE3774" s="52">
        <f>IF(AC3774="","",IFERROR(INDEX(ctaTipo,MATCH(AC3774,ctaNombre,0))&amp;"",""))</f>
        <v/>
      </c>
      <c r="AF3774" s="53">
        <f>IF(OR(P3774="",AB3774=""),"",IF(OR(P3774="Gasto",P3774="Transferencia",P3774="Pago tarjeta"),-1,1)*IF(IFERROR(INDEX(ctaMoneda,MATCH(AB3774,ctaNombre,0))&amp;"","DOP")="USD",T3774,S3774))</f>
        <v/>
      </c>
      <c r="AG3774" s="53">
        <f>IF(AC3774="","",IF(IFERROR(INDEX(ctaMoneda,MATCH(AC3774,ctaNombre,0))&amp;"","DOP")="USD",T3774,S3774))</f>
        <v/>
      </c>
      <c r="AH3774" s="53">
        <f>IF(P3774="","",IF(AND(AD3774&lt;&gt;"",COUNTIFS(tcTipo,AD3774,tcLiq,"Sí")&gt;0),IF(OR(P3774="Gasto",P3774="Transferencia",P3774="Pago tarjeta"),-1,1)*S3774,0)+IF(AND(AE3774&lt;&gt;"",COUNTIFS(tcTipo,AE3774,tcLiq,"Sí")&gt;0),S3774,0))</f>
        <v/>
      </c>
      <c r="AI3774" s="52">
        <f>IF(OR(L3774="",P3774=""),"",IF(COUNTIFS(L$6:L3774,L3774,P$6:P3774,"?*")=1,MAX(AI$5:AI3773)+1,""))</f>
        <v/>
      </c>
    </row>
    <row r="3775">
      <c r="B3775" s="47" t="n"/>
      <c r="C3775" s="48" t="n"/>
      <c r="D3775" s="48" t="n"/>
      <c r="E3775" s="48" t="n"/>
      <c r="F3775" s="48" t="n"/>
      <c r="G3775" s="49" t="n"/>
      <c r="H3775" s="48" t="n"/>
      <c r="I3775" s="50" t="n"/>
      <c r="J3775" s="48" t="n"/>
      <c r="K3775" s="48" t="n"/>
      <c r="L3775" s="48" t="n"/>
      <c r="M3775" s="48" t="n"/>
      <c r="N3775" s="48" t="n"/>
      <c r="O3775" s="51">
        <f>IF(AND(B3775="",G3775="",C3775="",D3775="",J3775=""),"",IF(B3775="","⚠ Falta fecha",IF(G3775="","⚠ Falta monto",IF(Q3775="","⚠ Falta cuenta",IF(ISNA(MATCH(Q3775,ctaNombre,0)),"⚠ Cuenta no registrada",IF(AND(OR(P3775="Gasto",P3775="Reembolso"),D3775=""),"⚠ Falta categoría",IF(AND(D3775&lt;&gt;"",E3775&lt;&gt;"",ISNA(MATCH(D3775&amp;"|"&amp;E3775,catClave,0))),"⚠ Subcategoría no corresponde",IF(AND(OR(P3775="Transferencia",P3775="Pago tarjeta"),K3775=""),"⚠ Falta cuenta destino",IF(AND(K3775&lt;&gt;"",P3775&lt;&gt;"Transferencia",P3775&lt;&gt;"Pago tarjeta"),"⚠ Destino solo aplica a transferencias",IF(AND(K3775&lt;&gt;"",K3775=Q3775),"⚠ Origen igual a destino",IF(AND(K3775&lt;&gt;"",ISNA(MATCH(K3775,ctaNombre,0))),"⚠ Destino no registrado",IF(AND(P3775="Pago tarjeta",AE3775&lt;&gt;"Tarjeta de crédito"),"⚠ El destino debe ser tarjeta de crédito",IF(AND(P3775="Gasto",E3775="Depósitos y retiros"),"⚠ Usa tipo Transferencia",IF(AND(P3775="Resultado trading",AD3775&lt;&gt;"Cuenta de trading"),"⚠ Usa una cuenta de trading",IF(AND(G3775&lt;=0,P3775&lt;&gt;"Ajuste",P3775&lt;&gt;"Resultado trading"),"⚠ El monto debe ser positivo","✓")))))))))))))))</f>
        <v/>
      </c>
      <c r="P3775" s="52">
        <f>IF(OR(B3775="",G3775=""),"",IF(C3775="","Gasto",C3775))</f>
        <v/>
      </c>
      <c r="Q3775" s="52">
        <f>IF(P3775="","",IF(J3775&lt;&gt;"",J3775,CuentaPred&amp;""))</f>
        <v/>
      </c>
      <c r="R3775" s="52">
        <f>IF(P3775="","",IF(ISNUMBER(I3775),I3775,TasaUSD))</f>
        <v/>
      </c>
      <c r="S3775" s="53">
        <f>IF(P3775="","",IF(H3775="USD",G3775*R3775,G3775))</f>
        <v/>
      </c>
      <c r="T3775" s="53">
        <f>IF(P3775="","",IF(H3775="USD",G3775,IF(R3775&gt;0,G3775/R3775,0)))</f>
        <v/>
      </c>
      <c r="U3775" s="53">
        <f>IF(P3775="","",IF(P3775="Gasto",S3775,IF(P3775="Reembolso",-S3775,0)))</f>
        <v/>
      </c>
      <c r="V3775" s="53">
        <f>IF(P3775="","",IF(P3775="Ingreso",S3775,0))</f>
        <v/>
      </c>
      <c r="W3775" s="53">
        <f>IF(P3775="","",IF(P3775="Resultado trading",S3775,0))</f>
        <v/>
      </c>
      <c r="X3775" s="52">
        <f>IF(OR(P3775="Gasto",P3775="Reembolso"),IF(M3775&lt;&gt;"",M3775,IFERROR(INDEX(catClasif,MATCH(D3775&amp;"|"&amp;E3775,catClave,0))&amp;"","Variable")),"")</f>
        <v/>
      </c>
      <c r="Y3775" s="52">
        <f>IF(P3775="","",IFERROR(INDEX(catGrupo,MATCH(D3775&amp;"|"&amp;E3775,catClave,0))&amp;"",""))</f>
        <v/>
      </c>
      <c r="Z3775" s="52">
        <f>IF(P3775="","",WEEKDAY(B3775,2))</f>
        <v/>
      </c>
      <c r="AA3775" s="52">
        <f>IF(P3775="","",IF(AND(P3775="Gasto",X3775="Variable",D3775&lt;&gt;catTrading,S3775&gt;0,S3775&lt;=Umbral),1,0))</f>
        <v/>
      </c>
      <c r="AB3775" s="52">
        <f>IF(OR(P3775="",Q3775=""),"",IFERROR(IF(INDEX(ctaVinc,MATCH(Q3775,ctaNombre,0))&amp;""&lt;&gt;"",INDEX(ctaVinc,MATCH(Q3775,ctaNombre,0))&amp;"",Q3775),Q3775))</f>
        <v/>
      </c>
      <c r="AC3775" s="52">
        <f>IF(OR(K3775="",AND(P3775&lt;&gt;"Transferencia",P3775&lt;&gt;"Pago tarjeta")),"",IFERROR(IF(INDEX(ctaVinc,MATCH(K3775,ctaNombre,0))&amp;""&lt;&gt;"",INDEX(ctaVinc,MATCH(K3775,ctaNombre,0))&amp;"",K3775),K3775))</f>
        <v/>
      </c>
      <c r="AD3775" s="52">
        <f>IF(AB3775="","",IFERROR(INDEX(ctaTipo,MATCH(AB3775,ctaNombre,0))&amp;"",""))</f>
        <v/>
      </c>
      <c r="AE3775" s="52">
        <f>IF(AC3775="","",IFERROR(INDEX(ctaTipo,MATCH(AC3775,ctaNombre,0))&amp;"",""))</f>
        <v/>
      </c>
      <c r="AF3775" s="53">
        <f>IF(OR(P3775="",AB3775=""),"",IF(OR(P3775="Gasto",P3775="Transferencia",P3775="Pago tarjeta"),-1,1)*IF(IFERROR(INDEX(ctaMoneda,MATCH(AB3775,ctaNombre,0))&amp;"","DOP")="USD",T3775,S3775))</f>
        <v/>
      </c>
      <c r="AG3775" s="53">
        <f>IF(AC3775="","",IF(IFERROR(INDEX(ctaMoneda,MATCH(AC3775,ctaNombre,0))&amp;"","DOP")="USD",T3775,S3775))</f>
        <v/>
      </c>
      <c r="AH3775" s="53">
        <f>IF(P3775="","",IF(AND(AD3775&lt;&gt;"",COUNTIFS(tcTipo,AD3775,tcLiq,"Sí")&gt;0),IF(OR(P3775="Gasto",P3775="Transferencia",P3775="Pago tarjeta"),-1,1)*S3775,0)+IF(AND(AE3775&lt;&gt;"",COUNTIFS(tcTipo,AE3775,tcLiq,"Sí")&gt;0),S3775,0))</f>
        <v/>
      </c>
      <c r="AI3775" s="52">
        <f>IF(OR(L3775="",P3775=""),"",IF(COUNTIFS(L$6:L3775,L3775,P$6:P3775,"?*")=1,MAX(AI$5:AI3774)+1,""))</f>
        <v/>
      </c>
    </row>
    <row r="3776">
      <c r="B3776" s="47" t="n"/>
      <c r="C3776" s="48" t="n"/>
      <c r="D3776" s="48" t="n"/>
      <c r="E3776" s="48" t="n"/>
      <c r="F3776" s="48" t="n"/>
      <c r="G3776" s="49" t="n"/>
      <c r="H3776" s="48" t="n"/>
      <c r="I3776" s="50" t="n"/>
      <c r="J3776" s="48" t="n"/>
      <c r="K3776" s="48" t="n"/>
      <c r="L3776" s="48" t="n"/>
      <c r="M3776" s="48" t="n"/>
      <c r="N3776" s="48" t="n"/>
      <c r="O3776" s="51">
        <f>IF(AND(B3776="",G3776="",C3776="",D3776="",J3776=""),"",IF(B3776="","⚠ Falta fecha",IF(G3776="","⚠ Falta monto",IF(Q3776="","⚠ Falta cuenta",IF(ISNA(MATCH(Q3776,ctaNombre,0)),"⚠ Cuenta no registrada",IF(AND(OR(P3776="Gasto",P3776="Reembolso"),D3776=""),"⚠ Falta categoría",IF(AND(D3776&lt;&gt;"",E3776&lt;&gt;"",ISNA(MATCH(D3776&amp;"|"&amp;E3776,catClave,0))),"⚠ Subcategoría no corresponde",IF(AND(OR(P3776="Transferencia",P3776="Pago tarjeta"),K3776=""),"⚠ Falta cuenta destino",IF(AND(K3776&lt;&gt;"",P3776&lt;&gt;"Transferencia",P3776&lt;&gt;"Pago tarjeta"),"⚠ Destino solo aplica a transferencias",IF(AND(K3776&lt;&gt;"",K3776=Q3776),"⚠ Origen igual a destino",IF(AND(K3776&lt;&gt;"",ISNA(MATCH(K3776,ctaNombre,0))),"⚠ Destino no registrado",IF(AND(P3776="Pago tarjeta",AE3776&lt;&gt;"Tarjeta de crédito"),"⚠ El destino debe ser tarjeta de crédito",IF(AND(P3776="Gasto",E3776="Depósitos y retiros"),"⚠ Usa tipo Transferencia",IF(AND(P3776="Resultado trading",AD3776&lt;&gt;"Cuenta de trading"),"⚠ Usa una cuenta de trading",IF(AND(G3776&lt;=0,P3776&lt;&gt;"Ajuste",P3776&lt;&gt;"Resultado trading"),"⚠ El monto debe ser positivo","✓")))))))))))))))</f>
        <v/>
      </c>
      <c r="P3776" s="52">
        <f>IF(OR(B3776="",G3776=""),"",IF(C3776="","Gasto",C3776))</f>
        <v/>
      </c>
      <c r="Q3776" s="52">
        <f>IF(P3776="","",IF(J3776&lt;&gt;"",J3776,CuentaPred&amp;""))</f>
        <v/>
      </c>
      <c r="R3776" s="52">
        <f>IF(P3776="","",IF(ISNUMBER(I3776),I3776,TasaUSD))</f>
        <v/>
      </c>
      <c r="S3776" s="53">
        <f>IF(P3776="","",IF(H3776="USD",G3776*R3776,G3776))</f>
        <v/>
      </c>
      <c r="T3776" s="53">
        <f>IF(P3776="","",IF(H3776="USD",G3776,IF(R3776&gt;0,G3776/R3776,0)))</f>
        <v/>
      </c>
      <c r="U3776" s="53">
        <f>IF(P3776="","",IF(P3776="Gasto",S3776,IF(P3776="Reembolso",-S3776,0)))</f>
        <v/>
      </c>
      <c r="V3776" s="53">
        <f>IF(P3776="","",IF(P3776="Ingreso",S3776,0))</f>
        <v/>
      </c>
      <c r="W3776" s="53">
        <f>IF(P3776="","",IF(P3776="Resultado trading",S3776,0))</f>
        <v/>
      </c>
      <c r="X3776" s="52">
        <f>IF(OR(P3776="Gasto",P3776="Reembolso"),IF(M3776&lt;&gt;"",M3776,IFERROR(INDEX(catClasif,MATCH(D3776&amp;"|"&amp;E3776,catClave,0))&amp;"","Variable")),"")</f>
        <v/>
      </c>
      <c r="Y3776" s="52">
        <f>IF(P3776="","",IFERROR(INDEX(catGrupo,MATCH(D3776&amp;"|"&amp;E3776,catClave,0))&amp;"",""))</f>
        <v/>
      </c>
      <c r="Z3776" s="52">
        <f>IF(P3776="","",WEEKDAY(B3776,2))</f>
        <v/>
      </c>
      <c r="AA3776" s="52">
        <f>IF(P3776="","",IF(AND(P3776="Gasto",X3776="Variable",D3776&lt;&gt;catTrading,S3776&gt;0,S3776&lt;=Umbral),1,0))</f>
        <v/>
      </c>
      <c r="AB3776" s="52">
        <f>IF(OR(P3776="",Q3776=""),"",IFERROR(IF(INDEX(ctaVinc,MATCH(Q3776,ctaNombre,0))&amp;""&lt;&gt;"",INDEX(ctaVinc,MATCH(Q3776,ctaNombre,0))&amp;"",Q3776),Q3776))</f>
        <v/>
      </c>
      <c r="AC3776" s="52">
        <f>IF(OR(K3776="",AND(P3776&lt;&gt;"Transferencia",P3776&lt;&gt;"Pago tarjeta")),"",IFERROR(IF(INDEX(ctaVinc,MATCH(K3776,ctaNombre,0))&amp;""&lt;&gt;"",INDEX(ctaVinc,MATCH(K3776,ctaNombre,0))&amp;"",K3776),K3776))</f>
        <v/>
      </c>
      <c r="AD3776" s="52">
        <f>IF(AB3776="","",IFERROR(INDEX(ctaTipo,MATCH(AB3776,ctaNombre,0))&amp;"",""))</f>
        <v/>
      </c>
      <c r="AE3776" s="52">
        <f>IF(AC3776="","",IFERROR(INDEX(ctaTipo,MATCH(AC3776,ctaNombre,0))&amp;"",""))</f>
        <v/>
      </c>
      <c r="AF3776" s="53">
        <f>IF(OR(P3776="",AB3776=""),"",IF(OR(P3776="Gasto",P3776="Transferencia",P3776="Pago tarjeta"),-1,1)*IF(IFERROR(INDEX(ctaMoneda,MATCH(AB3776,ctaNombre,0))&amp;"","DOP")="USD",T3776,S3776))</f>
        <v/>
      </c>
      <c r="AG3776" s="53">
        <f>IF(AC3776="","",IF(IFERROR(INDEX(ctaMoneda,MATCH(AC3776,ctaNombre,0))&amp;"","DOP")="USD",T3776,S3776))</f>
        <v/>
      </c>
      <c r="AH3776" s="53">
        <f>IF(P3776="","",IF(AND(AD3776&lt;&gt;"",COUNTIFS(tcTipo,AD3776,tcLiq,"Sí")&gt;0),IF(OR(P3776="Gasto",P3776="Transferencia",P3776="Pago tarjeta"),-1,1)*S3776,0)+IF(AND(AE3776&lt;&gt;"",COUNTIFS(tcTipo,AE3776,tcLiq,"Sí")&gt;0),S3776,0))</f>
        <v/>
      </c>
      <c r="AI3776" s="52">
        <f>IF(OR(L3776="",P3776=""),"",IF(COUNTIFS(L$6:L3776,L3776,P$6:P3776,"?*")=1,MAX(AI$5:AI3775)+1,""))</f>
        <v/>
      </c>
    </row>
    <row r="3777">
      <c r="B3777" s="47" t="n"/>
      <c r="C3777" s="48" t="n"/>
      <c r="D3777" s="48" t="n"/>
      <c r="E3777" s="48" t="n"/>
      <c r="F3777" s="48" t="n"/>
      <c r="G3777" s="49" t="n"/>
      <c r="H3777" s="48" t="n"/>
      <c r="I3777" s="50" t="n"/>
      <c r="J3777" s="48" t="n"/>
      <c r="K3777" s="48" t="n"/>
      <c r="L3777" s="48" t="n"/>
      <c r="M3777" s="48" t="n"/>
      <c r="N3777" s="48" t="n"/>
      <c r="O3777" s="51">
        <f>IF(AND(B3777="",G3777="",C3777="",D3777="",J3777=""),"",IF(B3777="","⚠ Falta fecha",IF(G3777="","⚠ Falta monto",IF(Q3777="","⚠ Falta cuenta",IF(ISNA(MATCH(Q3777,ctaNombre,0)),"⚠ Cuenta no registrada",IF(AND(OR(P3777="Gasto",P3777="Reembolso"),D3777=""),"⚠ Falta categoría",IF(AND(D3777&lt;&gt;"",E3777&lt;&gt;"",ISNA(MATCH(D3777&amp;"|"&amp;E3777,catClave,0))),"⚠ Subcategoría no corresponde",IF(AND(OR(P3777="Transferencia",P3777="Pago tarjeta"),K3777=""),"⚠ Falta cuenta destino",IF(AND(K3777&lt;&gt;"",P3777&lt;&gt;"Transferencia",P3777&lt;&gt;"Pago tarjeta"),"⚠ Destino solo aplica a transferencias",IF(AND(K3777&lt;&gt;"",K3777=Q3777),"⚠ Origen igual a destino",IF(AND(K3777&lt;&gt;"",ISNA(MATCH(K3777,ctaNombre,0))),"⚠ Destino no registrado",IF(AND(P3777="Pago tarjeta",AE3777&lt;&gt;"Tarjeta de crédito"),"⚠ El destino debe ser tarjeta de crédito",IF(AND(P3777="Gasto",E3777="Depósitos y retiros"),"⚠ Usa tipo Transferencia",IF(AND(P3777="Resultado trading",AD3777&lt;&gt;"Cuenta de trading"),"⚠ Usa una cuenta de trading",IF(AND(G3777&lt;=0,P3777&lt;&gt;"Ajuste",P3777&lt;&gt;"Resultado trading"),"⚠ El monto debe ser positivo","✓")))))))))))))))</f>
        <v/>
      </c>
      <c r="P3777" s="52">
        <f>IF(OR(B3777="",G3777=""),"",IF(C3777="","Gasto",C3777))</f>
        <v/>
      </c>
      <c r="Q3777" s="52">
        <f>IF(P3777="","",IF(J3777&lt;&gt;"",J3777,CuentaPred&amp;""))</f>
        <v/>
      </c>
      <c r="R3777" s="52">
        <f>IF(P3777="","",IF(ISNUMBER(I3777),I3777,TasaUSD))</f>
        <v/>
      </c>
      <c r="S3777" s="53">
        <f>IF(P3777="","",IF(H3777="USD",G3777*R3777,G3777))</f>
        <v/>
      </c>
      <c r="T3777" s="53">
        <f>IF(P3777="","",IF(H3777="USD",G3777,IF(R3777&gt;0,G3777/R3777,0)))</f>
        <v/>
      </c>
      <c r="U3777" s="53">
        <f>IF(P3777="","",IF(P3777="Gasto",S3777,IF(P3777="Reembolso",-S3777,0)))</f>
        <v/>
      </c>
      <c r="V3777" s="53">
        <f>IF(P3777="","",IF(P3777="Ingreso",S3777,0))</f>
        <v/>
      </c>
      <c r="W3777" s="53">
        <f>IF(P3777="","",IF(P3777="Resultado trading",S3777,0))</f>
        <v/>
      </c>
      <c r="X3777" s="52">
        <f>IF(OR(P3777="Gasto",P3777="Reembolso"),IF(M3777&lt;&gt;"",M3777,IFERROR(INDEX(catClasif,MATCH(D3777&amp;"|"&amp;E3777,catClave,0))&amp;"","Variable")),"")</f>
        <v/>
      </c>
      <c r="Y3777" s="52">
        <f>IF(P3777="","",IFERROR(INDEX(catGrupo,MATCH(D3777&amp;"|"&amp;E3777,catClave,0))&amp;"",""))</f>
        <v/>
      </c>
      <c r="Z3777" s="52">
        <f>IF(P3777="","",WEEKDAY(B3777,2))</f>
        <v/>
      </c>
      <c r="AA3777" s="52">
        <f>IF(P3777="","",IF(AND(P3777="Gasto",X3777="Variable",D3777&lt;&gt;catTrading,S3777&gt;0,S3777&lt;=Umbral),1,0))</f>
        <v/>
      </c>
      <c r="AB3777" s="52">
        <f>IF(OR(P3777="",Q3777=""),"",IFERROR(IF(INDEX(ctaVinc,MATCH(Q3777,ctaNombre,0))&amp;""&lt;&gt;"",INDEX(ctaVinc,MATCH(Q3777,ctaNombre,0))&amp;"",Q3777),Q3777))</f>
        <v/>
      </c>
      <c r="AC3777" s="52">
        <f>IF(OR(K3777="",AND(P3777&lt;&gt;"Transferencia",P3777&lt;&gt;"Pago tarjeta")),"",IFERROR(IF(INDEX(ctaVinc,MATCH(K3777,ctaNombre,0))&amp;""&lt;&gt;"",INDEX(ctaVinc,MATCH(K3777,ctaNombre,0))&amp;"",K3777),K3777))</f>
        <v/>
      </c>
      <c r="AD3777" s="52">
        <f>IF(AB3777="","",IFERROR(INDEX(ctaTipo,MATCH(AB3777,ctaNombre,0))&amp;"",""))</f>
        <v/>
      </c>
      <c r="AE3777" s="52">
        <f>IF(AC3777="","",IFERROR(INDEX(ctaTipo,MATCH(AC3777,ctaNombre,0))&amp;"",""))</f>
        <v/>
      </c>
      <c r="AF3777" s="53">
        <f>IF(OR(P3777="",AB3777=""),"",IF(OR(P3777="Gasto",P3777="Transferencia",P3777="Pago tarjeta"),-1,1)*IF(IFERROR(INDEX(ctaMoneda,MATCH(AB3777,ctaNombre,0))&amp;"","DOP")="USD",T3777,S3777))</f>
        <v/>
      </c>
      <c r="AG3777" s="53">
        <f>IF(AC3777="","",IF(IFERROR(INDEX(ctaMoneda,MATCH(AC3777,ctaNombre,0))&amp;"","DOP")="USD",T3777,S3777))</f>
        <v/>
      </c>
      <c r="AH3777" s="53">
        <f>IF(P3777="","",IF(AND(AD3777&lt;&gt;"",COUNTIFS(tcTipo,AD3777,tcLiq,"Sí")&gt;0),IF(OR(P3777="Gasto",P3777="Transferencia",P3777="Pago tarjeta"),-1,1)*S3777,0)+IF(AND(AE3777&lt;&gt;"",COUNTIFS(tcTipo,AE3777,tcLiq,"Sí")&gt;0),S3777,0))</f>
        <v/>
      </c>
      <c r="AI3777" s="52">
        <f>IF(OR(L3777="",P3777=""),"",IF(COUNTIFS(L$6:L3777,L3777,P$6:P3777,"?*")=1,MAX(AI$5:AI3776)+1,""))</f>
        <v/>
      </c>
    </row>
    <row r="3778">
      <c r="B3778" s="47" t="n"/>
      <c r="C3778" s="48" t="n"/>
      <c r="D3778" s="48" t="n"/>
      <c r="E3778" s="48" t="n"/>
      <c r="F3778" s="48" t="n"/>
      <c r="G3778" s="49" t="n"/>
      <c r="H3778" s="48" t="n"/>
      <c r="I3778" s="50" t="n"/>
      <c r="J3778" s="48" t="n"/>
      <c r="K3778" s="48" t="n"/>
      <c r="L3778" s="48" t="n"/>
      <c r="M3778" s="48" t="n"/>
      <c r="N3778" s="48" t="n"/>
      <c r="O3778" s="51">
        <f>IF(AND(B3778="",G3778="",C3778="",D3778="",J3778=""),"",IF(B3778="","⚠ Falta fecha",IF(G3778="","⚠ Falta monto",IF(Q3778="","⚠ Falta cuenta",IF(ISNA(MATCH(Q3778,ctaNombre,0)),"⚠ Cuenta no registrada",IF(AND(OR(P3778="Gasto",P3778="Reembolso"),D3778=""),"⚠ Falta categoría",IF(AND(D3778&lt;&gt;"",E3778&lt;&gt;"",ISNA(MATCH(D3778&amp;"|"&amp;E3778,catClave,0))),"⚠ Subcategoría no corresponde",IF(AND(OR(P3778="Transferencia",P3778="Pago tarjeta"),K3778=""),"⚠ Falta cuenta destino",IF(AND(K3778&lt;&gt;"",P3778&lt;&gt;"Transferencia",P3778&lt;&gt;"Pago tarjeta"),"⚠ Destino solo aplica a transferencias",IF(AND(K3778&lt;&gt;"",K3778=Q3778),"⚠ Origen igual a destino",IF(AND(K3778&lt;&gt;"",ISNA(MATCH(K3778,ctaNombre,0))),"⚠ Destino no registrado",IF(AND(P3778="Pago tarjeta",AE3778&lt;&gt;"Tarjeta de crédito"),"⚠ El destino debe ser tarjeta de crédito",IF(AND(P3778="Gasto",E3778="Depósitos y retiros"),"⚠ Usa tipo Transferencia",IF(AND(P3778="Resultado trading",AD3778&lt;&gt;"Cuenta de trading"),"⚠ Usa una cuenta de trading",IF(AND(G3778&lt;=0,P3778&lt;&gt;"Ajuste",P3778&lt;&gt;"Resultado trading"),"⚠ El monto debe ser positivo","✓")))))))))))))))</f>
        <v/>
      </c>
      <c r="P3778" s="52">
        <f>IF(OR(B3778="",G3778=""),"",IF(C3778="","Gasto",C3778))</f>
        <v/>
      </c>
      <c r="Q3778" s="52">
        <f>IF(P3778="","",IF(J3778&lt;&gt;"",J3778,CuentaPred&amp;""))</f>
        <v/>
      </c>
      <c r="R3778" s="52">
        <f>IF(P3778="","",IF(ISNUMBER(I3778),I3778,TasaUSD))</f>
        <v/>
      </c>
      <c r="S3778" s="53">
        <f>IF(P3778="","",IF(H3778="USD",G3778*R3778,G3778))</f>
        <v/>
      </c>
      <c r="T3778" s="53">
        <f>IF(P3778="","",IF(H3778="USD",G3778,IF(R3778&gt;0,G3778/R3778,0)))</f>
        <v/>
      </c>
      <c r="U3778" s="53">
        <f>IF(P3778="","",IF(P3778="Gasto",S3778,IF(P3778="Reembolso",-S3778,0)))</f>
        <v/>
      </c>
      <c r="V3778" s="53">
        <f>IF(P3778="","",IF(P3778="Ingreso",S3778,0))</f>
        <v/>
      </c>
      <c r="W3778" s="53">
        <f>IF(P3778="","",IF(P3778="Resultado trading",S3778,0))</f>
        <v/>
      </c>
      <c r="X3778" s="52">
        <f>IF(OR(P3778="Gasto",P3778="Reembolso"),IF(M3778&lt;&gt;"",M3778,IFERROR(INDEX(catClasif,MATCH(D3778&amp;"|"&amp;E3778,catClave,0))&amp;"","Variable")),"")</f>
        <v/>
      </c>
      <c r="Y3778" s="52">
        <f>IF(P3778="","",IFERROR(INDEX(catGrupo,MATCH(D3778&amp;"|"&amp;E3778,catClave,0))&amp;"",""))</f>
        <v/>
      </c>
      <c r="Z3778" s="52">
        <f>IF(P3778="","",WEEKDAY(B3778,2))</f>
        <v/>
      </c>
      <c r="AA3778" s="52">
        <f>IF(P3778="","",IF(AND(P3778="Gasto",X3778="Variable",D3778&lt;&gt;catTrading,S3778&gt;0,S3778&lt;=Umbral),1,0))</f>
        <v/>
      </c>
      <c r="AB3778" s="52">
        <f>IF(OR(P3778="",Q3778=""),"",IFERROR(IF(INDEX(ctaVinc,MATCH(Q3778,ctaNombre,0))&amp;""&lt;&gt;"",INDEX(ctaVinc,MATCH(Q3778,ctaNombre,0))&amp;"",Q3778),Q3778))</f>
        <v/>
      </c>
      <c r="AC3778" s="52">
        <f>IF(OR(K3778="",AND(P3778&lt;&gt;"Transferencia",P3778&lt;&gt;"Pago tarjeta")),"",IFERROR(IF(INDEX(ctaVinc,MATCH(K3778,ctaNombre,0))&amp;""&lt;&gt;"",INDEX(ctaVinc,MATCH(K3778,ctaNombre,0))&amp;"",K3778),K3778))</f>
        <v/>
      </c>
      <c r="AD3778" s="52">
        <f>IF(AB3778="","",IFERROR(INDEX(ctaTipo,MATCH(AB3778,ctaNombre,0))&amp;"",""))</f>
        <v/>
      </c>
      <c r="AE3778" s="52">
        <f>IF(AC3778="","",IFERROR(INDEX(ctaTipo,MATCH(AC3778,ctaNombre,0))&amp;"",""))</f>
        <v/>
      </c>
      <c r="AF3778" s="53">
        <f>IF(OR(P3778="",AB3778=""),"",IF(OR(P3778="Gasto",P3778="Transferencia",P3778="Pago tarjeta"),-1,1)*IF(IFERROR(INDEX(ctaMoneda,MATCH(AB3778,ctaNombre,0))&amp;"","DOP")="USD",T3778,S3778))</f>
        <v/>
      </c>
      <c r="AG3778" s="53">
        <f>IF(AC3778="","",IF(IFERROR(INDEX(ctaMoneda,MATCH(AC3778,ctaNombre,0))&amp;"","DOP")="USD",T3778,S3778))</f>
        <v/>
      </c>
      <c r="AH3778" s="53">
        <f>IF(P3778="","",IF(AND(AD3778&lt;&gt;"",COUNTIFS(tcTipo,AD3778,tcLiq,"Sí")&gt;0),IF(OR(P3778="Gasto",P3778="Transferencia",P3778="Pago tarjeta"),-1,1)*S3778,0)+IF(AND(AE3778&lt;&gt;"",COUNTIFS(tcTipo,AE3778,tcLiq,"Sí")&gt;0),S3778,0))</f>
        <v/>
      </c>
      <c r="AI3778" s="52">
        <f>IF(OR(L3778="",P3778=""),"",IF(COUNTIFS(L$6:L3778,L3778,P$6:P3778,"?*")=1,MAX(AI$5:AI3777)+1,""))</f>
        <v/>
      </c>
    </row>
    <row r="3779">
      <c r="B3779" s="47" t="n"/>
      <c r="C3779" s="48" t="n"/>
      <c r="D3779" s="48" t="n"/>
      <c r="E3779" s="48" t="n"/>
      <c r="F3779" s="48" t="n"/>
      <c r="G3779" s="49" t="n"/>
      <c r="H3779" s="48" t="n"/>
      <c r="I3779" s="50" t="n"/>
      <c r="J3779" s="48" t="n"/>
      <c r="K3779" s="48" t="n"/>
      <c r="L3779" s="48" t="n"/>
      <c r="M3779" s="48" t="n"/>
      <c r="N3779" s="48" t="n"/>
      <c r="O3779" s="51">
        <f>IF(AND(B3779="",G3779="",C3779="",D3779="",J3779=""),"",IF(B3779="","⚠ Falta fecha",IF(G3779="","⚠ Falta monto",IF(Q3779="","⚠ Falta cuenta",IF(ISNA(MATCH(Q3779,ctaNombre,0)),"⚠ Cuenta no registrada",IF(AND(OR(P3779="Gasto",P3779="Reembolso"),D3779=""),"⚠ Falta categoría",IF(AND(D3779&lt;&gt;"",E3779&lt;&gt;"",ISNA(MATCH(D3779&amp;"|"&amp;E3779,catClave,0))),"⚠ Subcategoría no corresponde",IF(AND(OR(P3779="Transferencia",P3779="Pago tarjeta"),K3779=""),"⚠ Falta cuenta destino",IF(AND(K3779&lt;&gt;"",P3779&lt;&gt;"Transferencia",P3779&lt;&gt;"Pago tarjeta"),"⚠ Destino solo aplica a transferencias",IF(AND(K3779&lt;&gt;"",K3779=Q3779),"⚠ Origen igual a destino",IF(AND(K3779&lt;&gt;"",ISNA(MATCH(K3779,ctaNombre,0))),"⚠ Destino no registrado",IF(AND(P3779="Pago tarjeta",AE3779&lt;&gt;"Tarjeta de crédito"),"⚠ El destino debe ser tarjeta de crédito",IF(AND(P3779="Gasto",E3779="Depósitos y retiros"),"⚠ Usa tipo Transferencia",IF(AND(P3779="Resultado trading",AD3779&lt;&gt;"Cuenta de trading"),"⚠ Usa una cuenta de trading",IF(AND(G3779&lt;=0,P3779&lt;&gt;"Ajuste",P3779&lt;&gt;"Resultado trading"),"⚠ El monto debe ser positivo","✓")))))))))))))))</f>
        <v/>
      </c>
      <c r="P3779" s="52">
        <f>IF(OR(B3779="",G3779=""),"",IF(C3779="","Gasto",C3779))</f>
        <v/>
      </c>
      <c r="Q3779" s="52">
        <f>IF(P3779="","",IF(J3779&lt;&gt;"",J3779,CuentaPred&amp;""))</f>
        <v/>
      </c>
      <c r="R3779" s="52">
        <f>IF(P3779="","",IF(ISNUMBER(I3779),I3779,TasaUSD))</f>
        <v/>
      </c>
      <c r="S3779" s="53">
        <f>IF(P3779="","",IF(H3779="USD",G3779*R3779,G3779))</f>
        <v/>
      </c>
      <c r="T3779" s="53">
        <f>IF(P3779="","",IF(H3779="USD",G3779,IF(R3779&gt;0,G3779/R3779,0)))</f>
        <v/>
      </c>
      <c r="U3779" s="53">
        <f>IF(P3779="","",IF(P3779="Gasto",S3779,IF(P3779="Reembolso",-S3779,0)))</f>
        <v/>
      </c>
      <c r="V3779" s="53">
        <f>IF(P3779="","",IF(P3779="Ingreso",S3779,0))</f>
        <v/>
      </c>
      <c r="W3779" s="53">
        <f>IF(P3779="","",IF(P3779="Resultado trading",S3779,0))</f>
        <v/>
      </c>
      <c r="X3779" s="52">
        <f>IF(OR(P3779="Gasto",P3779="Reembolso"),IF(M3779&lt;&gt;"",M3779,IFERROR(INDEX(catClasif,MATCH(D3779&amp;"|"&amp;E3779,catClave,0))&amp;"","Variable")),"")</f>
        <v/>
      </c>
      <c r="Y3779" s="52">
        <f>IF(P3779="","",IFERROR(INDEX(catGrupo,MATCH(D3779&amp;"|"&amp;E3779,catClave,0))&amp;"",""))</f>
        <v/>
      </c>
      <c r="Z3779" s="52">
        <f>IF(P3779="","",WEEKDAY(B3779,2))</f>
        <v/>
      </c>
      <c r="AA3779" s="52">
        <f>IF(P3779="","",IF(AND(P3779="Gasto",X3779="Variable",D3779&lt;&gt;catTrading,S3779&gt;0,S3779&lt;=Umbral),1,0))</f>
        <v/>
      </c>
      <c r="AB3779" s="52">
        <f>IF(OR(P3779="",Q3779=""),"",IFERROR(IF(INDEX(ctaVinc,MATCH(Q3779,ctaNombre,0))&amp;""&lt;&gt;"",INDEX(ctaVinc,MATCH(Q3779,ctaNombre,0))&amp;"",Q3779),Q3779))</f>
        <v/>
      </c>
      <c r="AC3779" s="52">
        <f>IF(OR(K3779="",AND(P3779&lt;&gt;"Transferencia",P3779&lt;&gt;"Pago tarjeta")),"",IFERROR(IF(INDEX(ctaVinc,MATCH(K3779,ctaNombre,0))&amp;""&lt;&gt;"",INDEX(ctaVinc,MATCH(K3779,ctaNombre,0))&amp;"",K3779),K3779))</f>
        <v/>
      </c>
      <c r="AD3779" s="52">
        <f>IF(AB3779="","",IFERROR(INDEX(ctaTipo,MATCH(AB3779,ctaNombre,0))&amp;"",""))</f>
        <v/>
      </c>
      <c r="AE3779" s="52">
        <f>IF(AC3779="","",IFERROR(INDEX(ctaTipo,MATCH(AC3779,ctaNombre,0))&amp;"",""))</f>
        <v/>
      </c>
      <c r="AF3779" s="53">
        <f>IF(OR(P3779="",AB3779=""),"",IF(OR(P3779="Gasto",P3779="Transferencia",P3779="Pago tarjeta"),-1,1)*IF(IFERROR(INDEX(ctaMoneda,MATCH(AB3779,ctaNombre,0))&amp;"","DOP")="USD",T3779,S3779))</f>
        <v/>
      </c>
      <c r="AG3779" s="53">
        <f>IF(AC3779="","",IF(IFERROR(INDEX(ctaMoneda,MATCH(AC3779,ctaNombre,0))&amp;"","DOP")="USD",T3779,S3779))</f>
        <v/>
      </c>
      <c r="AH3779" s="53">
        <f>IF(P3779="","",IF(AND(AD3779&lt;&gt;"",COUNTIFS(tcTipo,AD3779,tcLiq,"Sí")&gt;0),IF(OR(P3779="Gasto",P3779="Transferencia",P3779="Pago tarjeta"),-1,1)*S3779,0)+IF(AND(AE3779&lt;&gt;"",COUNTIFS(tcTipo,AE3779,tcLiq,"Sí")&gt;0),S3779,0))</f>
        <v/>
      </c>
      <c r="AI3779" s="52">
        <f>IF(OR(L3779="",P3779=""),"",IF(COUNTIFS(L$6:L3779,L3779,P$6:P3779,"?*")=1,MAX(AI$5:AI3778)+1,""))</f>
        <v/>
      </c>
    </row>
    <row r="3780">
      <c r="B3780" s="47" t="n"/>
      <c r="C3780" s="48" t="n"/>
      <c r="D3780" s="48" t="n"/>
      <c r="E3780" s="48" t="n"/>
      <c r="F3780" s="48" t="n"/>
      <c r="G3780" s="49" t="n"/>
      <c r="H3780" s="48" t="n"/>
      <c r="I3780" s="50" t="n"/>
      <c r="J3780" s="48" t="n"/>
      <c r="K3780" s="48" t="n"/>
      <c r="L3780" s="48" t="n"/>
      <c r="M3780" s="48" t="n"/>
      <c r="N3780" s="48" t="n"/>
      <c r="O3780" s="51">
        <f>IF(AND(B3780="",G3780="",C3780="",D3780="",J3780=""),"",IF(B3780="","⚠ Falta fecha",IF(G3780="","⚠ Falta monto",IF(Q3780="","⚠ Falta cuenta",IF(ISNA(MATCH(Q3780,ctaNombre,0)),"⚠ Cuenta no registrada",IF(AND(OR(P3780="Gasto",P3780="Reembolso"),D3780=""),"⚠ Falta categoría",IF(AND(D3780&lt;&gt;"",E3780&lt;&gt;"",ISNA(MATCH(D3780&amp;"|"&amp;E3780,catClave,0))),"⚠ Subcategoría no corresponde",IF(AND(OR(P3780="Transferencia",P3780="Pago tarjeta"),K3780=""),"⚠ Falta cuenta destino",IF(AND(K3780&lt;&gt;"",P3780&lt;&gt;"Transferencia",P3780&lt;&gt;"Pago tarjeta"),"⚠ Destino solo aplica a transferencias",IF(AND(K3780&lt;&gt;"",K3780=Q3780),"⚠ Origen igual a destino",IF(AND(K3780&lt;&gt;"",ISNA(MATCH(K3780,ctaNombre,0))),"⚠ Destino no registrado",IF(AND(P3780="Pago tarjeta",AE3780&lt;&gt;"Tarjeta de crédito"),"⚠ El destino debe ser tarjeta de crédito",IF(AND(P3780="Gasto",E3780="Depósitos y retiros"),"⚠ Usa tipo Transferencia",IF(AND(P3780="Resultado trading",AD3780&lt;&gt;"Cuenta de trading"),"⚠ Usa una cuenta de trading",IF(AND(G3780&lt;=0,P3780&lt;&gt;"Ajuste",P3780&lt;&gt;"Resultado trading"),"⚠ El monto debe ser positivo","✓")))))))))))))))</f>
        <v/>
      </c>
      <c r="P3780" s="52">
        <f>IF(OR(B3780="",G3780=""),"",IF(C3780="","Gasto",C3780))</f>
        <v/>
      </c>
      <c r="Q3780" s="52">
        <f>IF(P3780="","",IF(J3780&lt;&gt;"",J3780,CuentaPred&amp;""))</f>
        <v/>
      </c>
      <c r="R3780" s="52">
        <f>IF(P3780="","",IF(ISNUMBER(I3780),I3780,TasaUSD))</f>
        <v/>
      </c>
      <c r="S3780" s="53">
        <f>IF(P3780="","",IF(H3780="USD",G3780*R3780,G3780))</f>
        <v/>
      </c>
      <c r="T3780" s="53">
        <f>IF(P3780="","",IF(H3780="USD",G3780,IF(R3780&gt;0,G3780/R3780,0)))</f>
        <v/>
      </c>
      <c r="U3780" s="53">
        <f>IF(P3780="","",IF(P3780="Gasto",S3780,IF(P3780="Reembolso",-S3780,0)))</f>
        <v/>
      </c>
      <c r="V3780" s="53">
        <f>IF(P3780="","",IF(P3780="Ingreso",S3780,0))</f>
        <v/>
      </c>
      <c r="W3780" s="53">
        <f>IF(P3780="","",IF(P3780="Resultado trading",S3780,0))</f>
        <v/>
      </c>
      <c r="X3780" s="52">
        <f>IF(OR(P3780="Gasto",P3780="Reembolso"),IF(M3780&lt;&gt;"",M3780,IFERROR(INDEX(catClasif,MATCH(D3780&amp;"|"&amp;E3780,catClave,0))&amp;"","Variable")),"")</f>
        <v/>
      </c>
      <c r="Y3780" s="52">
        <f>IF(P3780="","",IFERROR(INDEX(catGrupo,MATCH(D3780&amp;"|"&amp;E3780,catClave,0))&amp;"",""))</f>
        <v/>
      </c>
      <c r="Z3780" s="52">
        <f>IF(P3780="","",WEEKDAY(B3780,2))</f>
        <v/>
      </c>
      <c r="AA3780" s="52">
        <f>IF(P3780="","",IF(AND(P3780="Gasto",X3780="Variable",D3780&lt;&gt;catTrading,S3780&gt;0,S3780&lt;=Umbral),1,0))</f>
        <v/>
      </c>
      <c r="AB3780" s="52">
        <f>IF(OR(P3780="",Q3780=""),"",IFERROR(IF(INDEX(ctaVinc,MATCH(Q3780,ctaNombre,0))&amp;""&lt;&gt;"",INDEX(ctaVinc,MATCH(Q3780,ctaNombre,0))&amp;"",Q3780),Q3780))</f>
        <v/>
      </c>
      <c r="AC3780" s="52">
        <f>IF(OR(K3780="",AND(P3780&lt;&gt;"Transferencia",P3780&lt;&gt;"Pago tarjeta")),"",IFERROR(IF(INDEX(ctaVinc,MATCH(K3780,ctaNombre,0))&amp;""&lt;&gt;"",INDEX(ctaVinc,MATCH(K3780,ctaNombre,0))&amp;"",K3780),K3780))</f>
        <v/>
      </c>
      <c r="AD3780" s="52">
        <f>IF(AB3780="","",IFERROR(INDEX(ctaTipo,MATCH(AB3780,ctaNombre,0))&amp;"",""))</f>
        <v/>
      </c>
      <c r="AE3780" s="52">
        <f>IF(AC3780="","",IFERROR(INDEX(ctaTipo,MATCH(AC3780,ctaNombre,0))&amp;"",""))</f>
        <v/>
      </c>
      <c r="AF3780" s="53">
        <f>IF(OR(P3780="",AB3780=""),"",IF(OR(P3780="Gasto",P3780="Transferencia",P3780="Pago tarjeta"),-1,1)*IF(IFERROR(INDEX(ctaMoneda,MATCH(AB3780,ctaNombre,0))&amp;"","DOP")="USD",T3780,S3780))</f>
        <v/>
      </c>
      <c r="AG3780" s="53">
        <f>IF(AC3780="","",IF(IFERROR(INDEX(ctaMoneda,MATCH(AC3780,ctaNombre,0))&amp;"","DOP")="USD",T3780,S3780))</f>
        <v/>
      </c>
      <c r="AH3780" s="53">
        <f>IF(P3780="","",IF(AND(AD3780&lt;&gt;"",COUNTIFS(tcTipo,AD3780,tcLiq,"Sí")&gt;0),IF(OR(P3780="Gasto",P3780="Transferencia",P3780="Pago tarjeta"),-1,1)*S3780,0)+IF(AND(AE3780&lt;&gt;"",COUNTIFS(tcTipo,AE3780,tcLiq,"Sí")&gt;0),S3780,0))</f>
        <v/>
      </c>
      <c r="AI3780" s="52">
        <f>IF(OR(L3780="",P3780=""),"",IF(COUNTIFS(L$6:L3780,L3780,P$6:P3780,"?*")=1,MAX(AI$5:AI3779)+1,""))</f>
        <v/>
      </c>
    </row>
    <row r="3781">
      <c r="B3781" s="47" t="n"/>
      <c r="C3781" s="48" t="n"/>
      <c r="D3781" s="48" t="n"/>
      <c r="E3781" s="48" t="n"/>
      <c r="F3781" s="48" t="n"/>
      <c r="G3781" s="49" t="n"/>
      <c r="H3781" s="48" t="n"/>
      <c r="I3781" s="50" t="n"/>
      <c r="J3781" s="48" t="n"/>
      <c r="K3781" s="48" t="n"/>
      <c r="L3781" s="48" t="n"/>
      <c r="M3781" s="48" t="n"/>
      <c r="N3781" s="48" t="n"/>
      <c r="O3781" s="51">
        <f>IF(AND(B3781="",G3781="",C3781="",D3781="",J3781=""),"",IF(B3781="","⚠ Falta fecha",IF(G3781="","⚠ Falta monto",IF(Q3781="","⚠ Falta cuenta",IF(ISNA(MATCH(Q3781,ctaNombre,0)),"⚠ Cuenta no registrada",IF(AND(OR(P3781="Gasto",P3781="Reembolso"),D3781=""),"⚠ Falta categoría",IF(AND(D3781&lt;&gt;"",E3781&lt;&gt;"",ISNA(MATCH(D3781&amp;"|"&amp;E3781,catClave,0))),"⚠ Subcategoría no corresponde",IF(AND(OR(P3781="Transferencia",P3781="Pago tarjeta"),K3781=""),"⚠ Falta cuenta destino",IF(AND(K3781&lt;&gt;"",P3781&lt;&gt;"Transferencia",P3781&lt;&gt;"Pago tarjeta"),"⚠ Destino solo aplica a transferencias",IF(AND(K3781&lt;&gt;"",K3781=Q3781),"⚠ Origen igual a destino",IF(AND(K3781&lt;&gt;"",ISNA(MATCH(K3781,ctaNombre,0))),"⚠ Destino no registrado",IF(AND(P3781="Pago tarjeta",AE3781&lt;&gt;"Tarjeta de crédito"),"⚠ El destino debe ser tarjeta de crédito",IF(AND(P3781="Gasto",E3781="Depósitos y retiros"),"⚠ Usa tipo Transferencia",IF(AND(P3781="Resultado trading",AD3781&lt;&gt;"Cuenta de trading"),"⚠ Usa una cuenta de trading",IF(AND(G3781&lt;=0,P3781&lt;&gt;"Ajuste",P3781&lt;&gt;"Resultado trading"),"⚠ El monto debe ser positivo","✓")))))))))))))))</f>
        <v/>
      </c>
      <c r="P3781" s="52">
        <f>IF(OR(B3781="",G3781=""),"",IF(C3781="","Gasto",C3781))</f>
        <v/>
      </c>
      <c r="Q3781" s="52">
        <f>IF(P3781="","",IF(J3781&lt;&gt;"",J3781,CuentaPred&amp;""))</f>
        <v/>
      </c>
      <c r="R3781" s="52">
        <f>IF(P3781="","",IF(ISNUMBER(I3781),I3781,TasaUSD))</f>
        <v/>
      </c>
      <c r="S3781" s="53">
        <f>IF(P3781="","",IF(H3781="USD",G3781*R3781,G3781))</f>
        <v/>
      </c>
      <c r="T3781" s="53">
        <f>IF(P3781="","",IF(H3781="USD",G3781,IF(R3781&gt;0,G3781/R3781,0)))</f>
        <v/>
      </c>
      <c r="U3781" s="53">
        <f>IF(P3781="","",IF(P3781="Gasto",S3781,IF(P3781="Reembolso",-S3781,0)))</f>
        <v/>
      </c>
      <c r="V3781" s="53">
        <f>IF(P3781="","",IF(P3781="Ingreso",S3781,0))</f>
        <v/>
      </c>
      <c r="W3781" s="53">
        <f>IF(P3781="","",IF(P3781="Resultado trading",S3781,0))</f>
        <v/>
      </c>
      <c r="X3781" s="52">
        <f>IF(OR(P3781="Gasto",P3781="Reembolso"),IF(M3781&lt;&gt;"",M3781,IFERROR(INDEX(catClasif,MATCH(D3781&amp;"|"&amp;E3781,catClave,0))&amp;"","Variable")),"")</f>
        <v/>
      </c>
      <c r="Y3781" s="52">
        <f>IF(P3781="","",IFERROR(INDEX(catGrupo,MATCH(D3781&amp;"|"&amp;E3781,catClave,0))&amp;"",""))</f>
        <v/>
      </c>
      <c r="Z3781" s="52">
        <f>IF(P3781="","",WEEKDAY(B3781,2))</f>
        <v/>
      </c>
      <c r="AA3781" s="52">
        <f>IF(P3781="","",IF(AND(P3781="Gasto",X3781="Variable",D3781&lt;&gt;catTrading,S3781&gt;0,S3781&lt;=Umbral),1,0))</f>
        <v/>
      </c>
      <c r="AB3781" s="52">
        <f>IF(OR(P3781="",Q3781=""),"",IFERROR(IF(INDEX(ctaVinc,MATCH(Q3781,ctaNombre,0))&amp;""&lt;&gt;"",INDEX(ctaVinc,MATCH(Q3781,ctaNombre,0))&amp;"",Q3781),Q3781))</f>
        <v/>
      </c>
      <c r="AC3781" s="52">
        <f>IF(OR(K3781="",AND(P3781&lt;&gt;"Transferencia",P3781&lt;&gt;"Pago tarjeta")),"",IFERROR(IF(INDEX(ctaVinc,MATCH(K3781,ctaNombre,0))&amp;""&lt;&gt;"",INDEX(ctaVinc,MATCH(K3781,ctaNombre,0))&amp;"",K3781),K3781))</f>
        <v/>
      </c>
      <c r="AD3781" s="52">
        <f>IF(AB3781="","",IFERROR(INDEX(ctaTipo,MATCH(AB3781,ctaNombre,0))&amp;"",""))</f>
        <v/>
      </c>
      <c r="AE3781" s="52">
        <f>IF(AC3781="","",IFERROR(INDEX(ctaTipo,MATCH(AC3781,ctaNombre,0))&amp;"",""))</f>
        <v/>
      </c>
      <c r="AF3781" s="53">
        <f>IF(OR(P3781="",AB3781=""),"",IF(OR(P3781="Gasto",P3781="Transferencia",P3781="Pago tarjeta"),-1,1)*IF(IFERROR(INDEX(ctaMoneda,MATCH(AB3781,ctaNombre,0))&amp;"","DOP")="USD",T3781,S3781))</f>
        <v/>
      </c>
      <c r="AG3781" s="53">
        <f>IF(AC3781="","",IF(IFERROR(INDEX(ctaMoneda,MATCH(AC3781,ctaNombre,0))&amp;"","DOP")="USD",T3781,S3781))</f>
        <v/>
      </c>
      <c r="AH3781" s="53">
        <f>IF(P3781="","",IF(AND(AD3781&lt;&gt;"",COUNTIFS(tcTipo,AD3781,tcLiq,"Sí")&gt;0),IF(OR(P3781="Gasto",P3781="Transferencia",P3781="Pago tarjeta"),-1,1)*S3781,0)+IF(AND(AE3781&lt;&gt;"",COUNTIFS(tcTipo,AE3781,tcLiq,"Sí")&gt;0),S3781,0))</f>
        <v/>
      </c>
      <c r="AI3781" s="52">
        <f>IF(OR(L3781="",P3781=""),"",IF(COUNTIFS(L$6:L3781,L3781,P$6:P3781,"?*")=1,MAX(AI$5:AI3780)+1,""))</f>
        <v/>
      </c>
    </row>
    <row r="3782">
      <c r="B3782" s="47" t="n"/>
      <c r="C3782" s="48" t="n"/>
      <c r="D3782" s="48" t="n"/>
      <c r="E3782" s="48" t="n"/>
      <c r="F3782" s="48" t="n"/>
      <c r="G3782" s="49" t="n"/>
      <c r="H3782" s="48" t="n"/>
      <c r="I3782" s="50" t="n"/>
      <c r="J3782" s="48" t="n"/>
      <c r="K3782" s="48" t="n"/>
      <c r="L3782" s="48" t="n"/>
      <c r="M3782" s="48" t="n"/>
      <c r="N3782" s="48" t="n"/>
      <c r="O3782" s="51">
        <f>IF(AND(B3782="",G3782="",C3782="",D3782="",J3782=""),"",IF(B3782="","⚠ Falta fecha",IF(G3782="","⚠ Falta monto",IF(Q3782="","⚠ Falta cuenta",IF(ISNA(MATCH(Q3782,ctaNombre,0)),"⚠ Cuenta no registrada",IF(AND(OR(P3782="Gasto",P3782="Reembolso"),D3782=""),"⚠ Falta categoría",IF(AND(D3782&lt;&gt;"",E3782&lt;&gt;"",ISNA(MATCH(D3782&amp;"|"&amp;E3782,catClave,0))),"⚠ Subcategoría no corresponde",IF(AND(OR(P3782="Transferencia",P3782="Pago tarjeta"),K3782=""),"⚠ Falta cuenta destino",IF(AND(K3782&lt;&gt;"",P3782&lt;&gt;"Transferencia",P3782&lt;&gt;"Pago tarjeta"),"⚠ Destino solo aplica a transferencias",IF(AND(K3782&lt;&gt;"",K3782=Q3782),"⚠ Origen igual a destino",IF(AND(K3782&lt;&gt;"",ISNA(MATCH(K3782,ctaNombre,0))),"⚠ Destino no registrado",IF(AND(P3782="Pago tarjeta",AE3782&lt;&gt;"Tarjeta de crédito"),"⚠ El destino debe ser tarjeta de crédito",IF(AND(P3782="Gasto",E3782="Depósitos y retiros"),"⚠ Usa tipo Transferencia",IF(AND(P3782="Resultado trading",AD3782&lt;&gt;"Cuenta de trading"),"⚠ Usa una cuenta de trading",IF(AND(G3782&lt;=0,P3782&lt;&gt;"Ajuste",P3782&lt;&gt;"Resultado trading"),"⚠ El monto debe ser positivo","✓")))))))))))))))</f>
        <v/>
      </c>
      <c r="P3782" s="52">
        <f>IF(OR(B3782="",G3782=""),"",IF(C3782="","Gasto",C3782))</f>
        <v/>
      </c>
      <c r="Q3782" s="52">
        <f>IF(P3782="","",IF(J3782&lt;&gt;"",J3782,CuentaPred&amp;""))</f>
        <v/>
      </c>
      <c r="R3782" s="52">
        <f>IF(P3782="","",IF(ISNUMBER(I3782),I3782,TasaUSD))</f>
        <v/>
      </c>
      <c r="S3782" s="53">
        <f>IF(P3782="","",IF(H3782="USD",G3782*R3782,G3782))</f>
        <v/>
      </c>
      <c r="T3782" s="53">
        <f>IF(P3782="","",IF(H3782="USD",G3782,IF(R3782&gt;0,G3782/R3782,0)))</f>
        <v/>
      </c>
      <c r="U3782" s="53">
        <f>IF(P3782="","",IF(P3782="Gasto",S3782,IF(P3782="Reembolso",-S3782,0)))</f>
        <v/>
      </c>
      <c r="V3782" s="53">
        <f>IF(P3782="","",IF(P3782="Ingreso",S3782,0))</f>
        <v/>
      </c>
      <c r="W3782" s="53">
        <f>IF(P3782="","",IF(P3782="Resultado trading",S3782,0))</f>
        <v/>
      </c>
      <c r="X3782" s="52">
        <f>IF(OR(P3782="Gasto",P3782="Reembolso"),IF(M3782&lt;&gt;"",M3782,IFERROR(INDEX(catClasif,MATCH(D3782&amp;"|"&amp;E3782,catClave,0))&amp;"","Variable")),"")</f>
        <v/>
      </c>
      <c r="Y3782" s="52">
        <f>IF(P3782="","",IFERROR(INDEX(catGrupo,MATCH(D3782&amp;"|"&amp;E3782,catClave,0))&amp;"",""))</f>
        <v/>
      </c>
      <c r="Z3782" s="52">
        <f>IF(P3782="","",WEEKDAY(B3782,2))</f>
        <v/>
      </c>
      <c r="AA3782" s="52">
        <f>IF(P3782="","",IF(AND(P3782="Gasto",X3782="Variable",D3782&lt;&gt;catTrading,S3782&gt;0,S3782&lt;=Umbral),1,0))</f>
        <v/>
      </c>
      <c r="AB3782" s="52">
        <f>IF(OR(P3782="",Q3782=""),"",IFERROR(IF(INDEX(ctaVinc,MATCH(Q3782,ctaNombre,0))&amp;""&lt;&gt;"",INDEX(ctaVinc,MATCH(Q3782,ctaNombre,0))&amp;"",Q3782),Q3782))</f>
        <v/>
      </c>
      <c r="AC3782" s="52">
        <f>IF(OR(K3782="",AND(P3782&lt;&gt;"Transferencia",P3782&lt;&gt;"Pago tarjeta")),"",IFERROR(IF(INDEX(ctaVinc,MATCH(K3782,ctaNombre,0))&amp;""&lt;&gt;"",INDEX(ctaVinc,MATCH(K3782,ctaNombre,0))&amp;"",K3782),K3782))</f>
        <v/>
      </c>
      <c r="AD3782" s="52">
        <f>IF(AB3782="","",IFERROR(INDEX(ctaTipo,MATCH(AB3782,ctaNombre,0))&amp;"",""))</f>
        <v/>
      </c>
      <c r="AE3782" s="52">
        <f>IF(AC3782="","",IFERROR(INDEX(ctaTipo,MATCH(AC3782,ctaNombre,0))&amp;"",""))</f>
        <v/>
      </c>
      <c r="AF3782" s="53">
        <f>IF(OR(P3782="",AB3782=""),"",IF(OR(P3782="Gasto",P3782="Transferencia",P3782="Pago tarjeta"),-1,1)*IF(IFERROR(INDEX(ctaMoneda,MATCH(AB3782,ctaNombre,0))&amp;"","DOP")="USD",T3782,S3782))</f>
        <v/>
      </c>
      <c r="AG3782" s="53">
        <f>IF(AC3782="","",IF(IFERROR(INDEX(ctaMoneda,MATCH(AC3782,ctaNombre,0))&amp;"","DOP")="USD",T3782,S3782))</f>
        <v/>
      </c>
      <c r="AH3782" s="53">
        <f>IF(P3782="","",IF(AND(AD3782&lt;&gt;"",COUNTIFS(tcTipo,AD3782,tcLiq,"Sí")&gt;0),IF(OR(P3782="Gasto",P3782="Transferencia",P3782="Pago tarjeta"),-1,1)*S3782,0)+IF(AND(AE3782&lt;&gt;"",COUNTIFS(tcTipo,AE3782,tcLiq,"Sí")&gt;0),S3782,0))</f>
        <v/>
      </c>
      <c r="AI3782" s="52">
        <f>IF(OR(L3782="",P3782=""),"",IF(COUNTIFS(L$6:L3782,L3782,P$6:P3782,"?*")=1,MAX(AI$5:AI3781)+1,""))</f>
        <v/>
      </c>
    </row>
    <row r="3783">
      <c r="B3783" s="47" t="n"/>
      <c r="C3783" s="48" t="n"/>
      <c r="D3783" s="48" t="n"/>
      <c r="E3783" s="48" t="n"/>
      <c r="F3783" s="48" t="n"/>
      <c r="G3783" s="49" t="n"/>
      <c r="H3783" s="48" t="n"/>
      <c r="I3783" s="50" t="n"/>
      <c r="J3783" s="48" t="n"/>
      <c r="K3783" s="48" t="n"/>
      <c r="L3783" s="48" t="n"/>
      <c r="M3783" s="48" t="n"/>
      <c r="N3783" s="48" t="n"/>
      <c r="O3783" s="51">
        <f>IF(AND(B3783="",G3783="",C3783="",D3783="",J3783=""),"",IF(B3783="","⚠ Falta fecha",IF(G3783="","⚠ Falta monto",IF(Q3783="","⚠ Falta cuenta",IF(ISNA(MATCH(Q3783,ctaNombre,0)),"⚠ Cuenta no registrada",IF(AND(OR(P3783="Gasto",P3783="Reembolso"),D3783=""),"⚠ Falta categoría",IF(AND(D3783&lt;&gt;"",E3783&lt;&gt;"",ISNA(MATCH(D3783&amp;"|"&amp;E3783,catClave,0))),"⚠ Subcategoría no corresponde",IF(AND(OR(P3783="Transferencia",P3783="Pago tarjeta"),K3783=""),"⚠ Falta cuenta destino",IF(AND(K3783&lt;&gt;"",P3783&lt;&gt;"Transferencia",P3783&lt;&gt;"Pago tarjeta"),"⚠ Destino solo aplica a transferencias",IF(AND(K3783&lt;&gt;"",K3783=Q3783),"⚠ Origen igual a destino",IF(AND(K3783&lt;&gt;"",ISNA(MATCH(K3783,ctaNombre,0))),"⚠ Destino no registrado",IF(AND(P3783="Pago tarjeta",AE3783&lt;&gt;"Tarjeta de crédito"),"⚠ El destino debe ser tarjeta de crédito",IF(AND(P3783="Gasto",E3783="Depósitos y retiros"),"⚠ Usa tipo Transferencia",IF(AND(P3783="Resultado trading",AD3783&lt;&gt;"Cuenta de trading"),"⚠ Usa una cuenta de trading",IF(AND(G3783&lt;=0,P3783&lt;&gt;"Ajuste",P3783&lt;&gt;"Resultado trading"),"⚠ El monto debe ser positivo","✓")))))))))))))))</f>
        <v/>
      </c>
      <c r="P3783" s="52">
        <f>IF(OR(B3783="",G3783=""),"",IF(C3783="","Gasto",C3783))</f>
        <v/>
      </c>
      <c r="Q3783" s="52">
        <f>IF(P3783="","",IF(J3783&lt;&gt;"",J3783,CuentaPred&amp;""))</f>
        <v/>
      </c>
      <c r="R3783" s="52">
        <f>IF(P3783="","",IF(ISNUMBER(I3783),I3783,TasaUSD))</f>
        <v/>
      </c>
      <c r="S3783" s="53">
        <f>IF(P3783="","",IF(H3783="USD",G3783*R3783,G3783))</f>
        <v/>
      </c>
      <c r="T3783" s="53">
        <f>IF(P3783="","",IF(H3783="USD",G3783,IF(R3783&gt;0,G3783/R3783,0)))</f>
        <v/>
      </c>
      <c r="U3783" s="53">
        <f>IF(P3783="","",IF(P3783="Gasto",S3783,IF(P3783="Reembolso",-S3783,0)))</f>
        <v/>
      </c>
      <c r="V3783" s="53">
        <f>IF(P3783="","",IF(P3783="Ingreso",S3783,0))</f>
        <v/>
      </c>
      <c r="W3783" s="53">
        <f>IF(P3783="","",IF(P3783="Resultado trading",S3783,0))</f>
        <v/>
      </c>
      <c r="X3783" s="52">
        <f>IF(OR(P3783="Gasto",P3783="Reembolso"),IF(M3783&lt;&gt;"",M3783,IFERROR(INDEX(catClasif,MATCH(D3783&amp;"|"&amp;E3783,catClave,0))&amp;"","Variable")),"")</f>
        <v/>
      </c>
      <c r="Y3783" s="52">
        <f>IF(P3783="","",IFERROR(INDEX(catGrupo,MATCH(D3783&amp;"|"&amp;E3783,catClave,0))&amp;"",""))</f>
        <v/>
      </c>
      <c r="Z3783" s="52">
        <f>IF(P3783="","",WEEKDAY(B3783,2))</f>
        <v/>
      </c>
      <c r="AA3783" s="52">
        <f>IF(P3783="","",IF(AND(P3783="Gasto",X3783="Variable",D3783&lt;&gt;catTrading,S3783&gt;0,S3783&lt;=Umbral),1,0))</f>
        <v/>
      </c>
      <c r="AB3783" s="52">
        <f>IF(OR(P3783="",Q3783=""),"",IFERROR(IF(INDEX(ctaVinc,MATCH(Q3783,ctaNombre,0))&amp;""&lt;&gt;"",INDEX(ctaVinc,MATCH(Q3783,ctaNombre,0))&amp;"",Q3783),Q3783))</f>
        <v/>
      </c>
      <c r="AC3783" s="52">
        <f>IF(OR(K3783="",AND(P3783&lt;&gt;"Transferencia",P3783&lt;&gt;"Pago tarjeta")),"",IFERROR(IF(INDEX(ctaVinc,MATCH(K3783,ctaNombre,0))&amp;""&lt;&gt;"",INDEX(ctaVinc,MATCH(K3783,ctaNombre,0))&amp;"",K3783),K3783))</f>
        <v/>
      </c>
      <c r="AD3783" s="52">
        <f>IF(AB3783="","",IFERROR(INDEX(ctaTipo,MATCH(AB3783,ctaNombre,0))&amp;"",""))</f>
        <v/>
      </c>
      <c r="AE3783" s="52">
        <f>IF(AC3783="","",IFERROR(INDEX(ctaTipo,MATCH(AC3783,ctaNombre,0))&amp;"",""))</f>
        <v/>
      </c>
      <c r="AF3783" s="53">
        <f>IF(OR(P3783="",AB3783=""),"",IF(OR(P3783="Gasto",P3783="Transferencia",P3783="Pago tarjeta"),-1,1)*IF(IFERROR(INDEX(ctaMoneda,MATCH(AB3783,ctaNombre,0))&amp;"","DOP")="USD",T3783,S3783))</f>
        <v/>
      </c>
      <c r="AG3783" s="53">
        <f>IF(AC3783="","",IF(IFERROR(INDEX(ctaMoneda,MATCH(AC3783,ctaNombre,0))&amp;"","DOP")="USD",T3783,S3783))</f>
        <v/>
      </c>
      <c r="AH3783" s="53">
        <f>IF(P3783="","",IF(AND(AD3783&lt;&gt;"",COUNTIFS(tcTipo,AD3783,tcLiq,"Sí")&gt;0),IF(OR(P3783="Gasto",P3783="Transferencia",P3783="Pago tarjeta"),-1,1)*S3783,0)+IF(AND(AE3783&lt;&gt;"",COUNTIFS(tcTipo,AE3783,tcLiq,"Sí")&gt;0),S3783,0))</f>
        <v/>
      </c>
      <c r="AI3783" s="52">
        <f>IF(OR(L3783="",P3783=""),"",IF(COUNTIFS(L$6:L3783,L3783,P$6:P3783,"?*")=1,MAX(AI$5:AI3782)+1,""))</f>
        <v/>
      </c>
    </row>
    <row r="3784">
      <c r="B3784" s="47" t="n"/>
      <c r="C3784" s="48" t="n"/>
      <c r="D3784" s="48" t="n"/>
      <c r="E3784" s="48" t="n"/>
      <c r="F3784" s="48" t="n"/>
      <c r="G3784" s="49" t="n"/>
      <c r="H3784" s="48" t="n"/>
      <c r="I3784" s="50" t="n"/>
      <c r="J3784" s="48" t="n"/>
      <c r="K3784" s="48" t="n"/>
      <c r="L3784" s="48" t="n"/>
      <c r="M3784" s="48" t="n"/>
      <c r="N3784" s="48" t="n"/>
      <c r="O3784" s="51">
        <f>IF(AND(B3784="",G3784="",C3784="",D3784="",J3784=""),"",IF(B3784="","⚠ Falta fecha",IF(G3784="","⚠ Falta monto",IF(Q3784="","⚠ Falta cuenta",IF(ISNA(MATCH(Q3784,ctaNombre,0)),"⚠ Cuenta no registrada",IF(AND(OR(P3784="Gasto",P3784="Reembolso"),D3784=""),"⚠ Falta categoría",IF(AND(D3784&lt;&gt;"",E3784&lt;&gt;"",ISNA(MATCH(D3784&amp;"|"&amp;E3784,catClave,0))),"⚠ Subcategoría no corresponde",IF(AND(OR(P3784="Transferencia",P3784="Pago tarjeta"),K3784=""),"⚠ Falta cuenta destino",IF(AND(K3784&lt;&gt;"",P3784&lt;&gt;"Transferencia",P3784&lt;&gt;"Pago tarjeta"),"⚠ Destino solo aplica a transferencias",IF(AND(K3784&lt;&gt;"",K3784=Q3784),"⚠ Origen igual a destino",IF(AND(K3784&lt;&gt;"",ISNA(MATCH(K3784,ctaNombre,0))),"⚠ Destino no registrado",IF(AND(P3784="Pago tarjeta",AE3784&lt;&gt;"Tarjeta de crédito"),"⚠ El destino debe ser tarjeta de crédito",IF(AND(P3784="Gasto",E3784="Depósitos y retiros"),"⚠ Usa tipo Transferencia",IF(AND(P3784="Resultado trading",AD3784&lt;&gt;"Cuenta de trading"),"⚠ Usa una cuenta de trading",IF(AND(G3784&lt;=0,P3784&lt;&gt;"Ajuste",P3784&lt;&gt;"Resultado trading"),"⚠ El monto debe ser positivo","✓")))))))))))))))</f>
        <v/>
      </c>
      <c r="P3784" s="52">
        <f>IF(OR(B3784="",G3784=""),"",IF(C3784="","Gasto",C3784))</f>
        <v/>
      </c>
      <c r="Q3784" s="52">
        <f>IF(P3784="","",IF(J3784&lt;&gt;"",J3784,CuentaPred&amp;""))</f>
        <v/>
      </c>
      <c r="R3784" s="52">
        <f>IF(P3784="","",IF(ISNUMBER(I3784),I3784,TasaUSD))</f>
        <v/>
      </c>
      <c r="S3784" s="53">
        <f>IF(P3784="","",IF(H3784="USD",G3784*R3784,G3784))</f>
        <v/>
      </c>
      <c r="T3784" s="53">
        <f>IF(P3784="","",IF(H3784="USD",G3784,IF(R3784&gt;0,G3784/R3784,0)))</f>
        <v/>
      </c>
      <c r="U3784" s="53">
        <f>IF(P3784="","",IF(P3784="Gasto",S3784,IF(P3784="Reembolso",-S3784,0)))</f>
        <v/>
      </c>
      <c r="V3784" s="53">
        <f>IF(P3784="","",IF(P3784="Ingreso",S3784,0))</f>
        <v/>
      </c>
      <c r="W3784" s="53">
        <f>IF(P3784="","",IF(P3784="Resultado trading",S3784,0))</f>
        <v/>
      </c>
      <c r="X3784" s="52">
        <f>IF(OR(P3784="Gasto",P3784="Reembolso"),IF(M3784&lt;&gt;"",M3784,IFERROR(INDEX(catClasif,MATCH(D3784&amp;"|"&amp;E3784,catClave,0))&amp;"","Variable")),"")</f>
        <v/>
      </c>
      <c r="Y3784" s="52">
        <f>IF(P3784="","",IFERROR(INDEX(catGrupo,MATCH(D3784&amp;"|"&amp;E3784,catClave,0))&amp;"",""))</f>
        <v/>
      </c>
      <c r="Z3784" s="52">
        <f>IF(P3784="","",WEEKDAY(B3784,2))</f>
        <v/>
      </c>
      <c r="AA3784" s="52">
        <f>IF(P3784="","",IF(AND(P3784="Gasto",X3784="Variable",D3784&lt;&gt;catTrading,S3784&gt;0,S3784&lt;=Umbral),1,0))</f>
        <v/>
      </c>
      <c r="AB3784" s="52">
        <f>IF(OR(P3784="",Q3784=""),"",IFERROR(IF(INDEX(ctaVinc,MATCH(Q3784,ctaNombre,0))&amp;""&lt;&gt;"",INDEX(ctaVinc,MATCH(Q3784,ctaNombre,0))&amp;"",Q3784),Q3784))</f>
        <v/>
      </c>
      <c r="AC3784" s="52">
        <f>IF(OR(K3784="",AND(P3784&lt;&gt;"Transferencia",P3784&lt;&gt;"Pago tarjeta")),"",IFERROR(IF(INDEX(ctaVinc,MATCH(K3784,ctaNombre,0))&amp;""&lt;&gt;"",INDEX(ctaVinc,MATCH(K3784,ctaNombre,0))&amp;"",K3784),K3784))</f>
        <v/>
      </c>
      <c r="AD3784" s="52">
        <f>IF(AB3784="","",IFERROR(INDEX(ctaTipo,MATCH(AB3784,ctaNombre,0))&amp;"",""))</f>
        <v/>
      </c>
      <c r="AE3784" s="52">
        <f>IF(AC3784="","",IFERROR(INDEX(ctaTipo,MATCH(AC3784,ctaNombre,0))&amp;"",""))</f>
        <v/>
      </c>
      <c r="AF3784" s="53">
        <f>IF(OR(P3784="",AB3784=""),"",IF(OR(P3784="Gasto",P3784="Transferencia",P3784="Pago tarjeta"),-1,1)*IF(IFERROR(INDEX(ctaMoneda,MATCH(AB3784,ctaNombre,0))&amp;"","DOP")="USD",T3784,S3784))</f>
        <v/>
      </c>
      <c r="AG3784" s="53">
        <f>IF(AC3784="","",IF(IFERROR(INDEX(ctaMoneda,MATCH(AC3784,ctaNombre,0))&amp;"","DOP")="USD",T3784,S3784))</f>
        <v/>
      </c>
      <c r="AH3784" s="53">
        <f>IF(P3784="","",IF(AND(AD3784&lt;&gt;"",COUNTIFS(tcTipo,AD3784,tcLiq,"Sí")&gt;0),IF(OR(P3784="Gasto",P3784="Transferencia",P3784="Pago tarjeta"),-1,1)*S3784,0)+IF(AND(AE3784&lt;&gt;"",COUNTIFS(tcTipo,AE3784,tcLiq,"Sí")&gt;0),S3784,0))</f>
        <v/>
      </c>
      <c r="AI3784" s="52">
        <f>IF(OR(L3784="",P3784=""),"",IF(COUNTIFS(L$6:L3784,L3784,P$6:P3784,"?*")=1,MAX(AI$5:AI3783)+1,""))</f>
        <v/>
      </c>
    </row>
    <row r="3785">
      <c r="B3785" s="47" t="n"/>
      <c r="C3785" s="48" t="n"/>
      <c r="D3785" s="48" t="n"/>
      <c r="E3785" s="48" t="n"/>
      <c r="F3785" s="48" t="n"/>
      <c r="G3785" s="49" t="n"/>
      <c r="H3785" s="48" t="n"/>
      <c r="I3785" s="50" t="n"/>
      <c r="J3785" s="48" t="n"/>
      <c r="K3785" s="48" t="n"/>
      <c r="L3785" s="48" t="n"/>
      <c r="M3785" s="48" t="n"/>
      <c r="N3785" s="48" t="n"/>
      <c r="O3785" s="51">
        <f>IF(AND(B3785="",G3785="",C3785="",D3785="",J3785=""),"",IF(B3785="","⚠ Falta fecha",IF(G3785="","⚠ Falta monto",IF(Q3785="","⚠ Falta cuenta",IF(ISNA(MATCH(Q3785,ctaNombre,0)),"⚠ Cuenta no registrada",IF(AND(OR(P3785="Gasto",P3785="Reembolso"),D3785=""),"⚠ Falta categoría",IF(AND(D3785&lt;&gt;"",E3785&lt;&gt;"",ISNA(MATCH(D3785&amp;"|"&amp;E3785,catClave,0))),"⚠ Subcategoría no corresponde",IF(AND(OR(P3785="Transferencia",P3785="Pago tarjeta"),K3785=""),"⚠ Falta cuenta destino",IF(AND(K3785&lt;&gt;"",P3785&lt;&gt;"Transferencia",P3785&lt;&gt;"Pago tarjeta"),"⚠ Destino solo aplica a transferencias",IF(AND(K3785&lt;&gt;"",K3785=Q3785),"⚠ Origen igual a destino",IF(AND(K3785&lt;&gt;"",ISNA(MATCH(K3785,ctaNombre,0))),"⚠ Destino no registrado",IF(AND(P3785="Pago tarjeta",AE3785&lt;&gt;"Tarjeta de crédito"),"⚠ El destino debe ser tarjeta de crédito",IF(AND(P3785="Gasto",E3785="Depósitos y retiros"),"⚠ Usa tipo Transferencia",IF(AND(P3785="Resultado trading",AD3785&lt;&gt;"Cuenta de trading"),"⚠ Usa una cuenta de trading",IF(AND(G3785&lt;=0,P3785&lt;&gt;"Ajuste",P3785&lt;&gt;"Resultado trading"),"⚠ El monto debe ser positivo","✓")))))))))))))))</f>
        <v/>
      </c>
      <c r="P3785" s="52">
        <f>IF(OR(B3785="",G3785=""),"",IF(C3785="","Gasto",C3785))</f>
        <v/>
      </c>
      <c r="Q3785" s="52">
        <f>IF(P3785="","",IF(J3785&lt;&gt;"",J3785,CuentaPred&amp;""))</f>
        <v/>
      </c>
      <c r="R3785" s="52">
        <f>IF(P3785="","",IF(ISNUMBER(I3785),I3785,TasaUSD))</f>
        <v/>
      </c>
      <c r="S3785" s="53">
        <f>IF(P3785="","",IF(H3785="USD",G3785*R3785,G3785))</f>
        <v/>
      </c>
      <c r="T3785" s="53">
        <f>IF(P3785="","",IF(H3785="USD",G3785,IF(R3785&gt;0,G3785/R3785,0)))</f>
        <v/>
      </c>
      <c r="U3785" s="53">
        <f>IF(P3785="","",IF(P3785="Gasto",S3785,IF(P3785="Reembolso",-S3785,0)))</f>
        <v/>
      </c>
      <c r="V3785" s="53">
        <f>IF(P3785="","",IF(P3785="Ingreso",S3785,0))</f>
        <v/>
      </c>
      <c r="W3785" s="53">
        <f>IF(P3785="","",IF(P3785="Resultado trading",S3785,0))</f>
        <v/>
      </c>
      <c r="X3785" s="52">
        <f>IF(OR(P3785="Gasto",P3785="Reembolso"),IF(M3785&lt;&gt;"",M3785,IFERROR(INDEX(catClasif,MATCH(D3785&amp;"|"&amp;E3785,catClave,0))&amp;"","Variable")),"")</f>
        <v/>
      </c>
      <c r="Y3785" s="52">
        <f>IF(P3785="","",IFERROR(INDEX(catGrupo,MATCH(D3785&amp;"|"&amp;E3785,catClave,0))&amp;"",""))</f>
        <v/>
      </c>
      <c r="Z3785" s="52">
        <f>IF(P3785="","",WEEKDAY(B3785,2))</f>
        <v/>
      </c>
      <c r="AA3785" s="52">
        <f>IF(P3785="","",IF(AND(P3785="Gasto",X3785="Variable",D3785&lt;&gt;catTrading,S3785&gt;0,S3785&lt;=Umbral),1,0))</f>
        <v/>
      </c>
      <c r="AB3785" s="52">
        <f>IF(OR(P3785="",Q3785=""),"",IFERROR(IF(INDEX(ctaVinc,MATCH(Q3785,ctaNombre,0))&amp;""&lt;&gt;"",INDEX(ctaVinc,MATCH(Q3785,ctaNombre,0))&amp;"",Q3785),Q3785))</f>
        <v/>
      </c>
      <c r="AC3785" s="52">
        <f>IF(OR(K3785="",AND(P3785&lt;&gt;"Transferencia",P3785&lt;&gt;"Pago tarjeta")),"",IFERROR(IF(INDEX(ctaVinc,MATCH(K3785,ctaNombre,0))&amp;""&lt;&gt;"",INDEX(ctaVinc,MATCH(K3785,ctaNombre,0))&amp;"",K3785),K3785))</f>
        <v/>
      </c>
      <c r="AD3785" s="52">
        <f>IF(AB3785="","",IFERROR(INDEX(ctaTipo,MATCH(AB3785,ctaNombre,0))&amp;"",""))</f>
        <v/>
      </c>
      <c r="AE3785" s="52">
        <f>IF(AC3785="","",IFERROR(INDEX(ctaTipo,MATCH(AC3785,ctaNombre,0))&amp;"",""))</f>
        <v/>
      </c>
      <c r="AF3785" s="53">
        <f>IF(OR(P3785="",AB3785=""),"",IF(OR(P3785="Gasto",P3785="Transferencia",P3785="Pago tarjeta"),-1,1)*IF(IFERROR(INDEX(ctaMoneda,MATCH(AB3785,ctaNombre,0))&amp;"","DOP")="USD",T3785,S3785))</f>
        <v/>
      </c>
      <c r="AG3785" s="53">
        <f>IF(AC3785="","",IF(IFERROR(INDEX(ctaMoneda,MATCH(AC3785,ctaNombre,0))&amp;"","DOP")="USD",T3785,S3785))</f>
        <v/>
      </c>
      <c r="AH3785" s="53">
        <f>IF(P3785="","",IF(AND(AD3785&lt;&gt;"",COUNTIFS(tcTipo,AD3785,tcLiq,"Sí")&gt;0),IF(OR(P3785="Gasto",P3785="Transferencia",P3785="Pago tarjeta"),-1,1)*S3785,0)+IF(AND(AE3785&lt;&gt;"",COUNTIFS(tcTipo,AE3785,tcLiq,"Sí")&gt;0),S3785,0))</f>
        <v/>
      </c>
      <c r="AI3785" s="52">
        <f>IF(OR(L3785="",P3785=""),"",IF(COUNTIFS(L$6:L3785,L3785,P$6:P3785,"?*")=1,MAX(AI$5:AI3784)+1,""))</f>
        <v/>
      </c>
    </row>
    <row r="3786">
      <c r="B3786" s="47" t="n"/>
      <c r="C3786" s="48" t="n"/>
      <c r="D3786" s="48" t="n"/>
      <c r="E3786" s="48" t="n"/>
      <c r="F3786" s="48" t="n"/>
      <c r="G3786" s="49" t="n"/>
      <c r="H3786" s="48" t="n"/>
      <c r="I3786" s="50" t="n"/>
      <c r="J3786" s="48" t="n"/>
      <c r="K3786" s="48" t="n"/>
      <c r="L3786" s="48" t="n"/>
      <c r="M3786" s="48" t="n"/>
      <c r="N3786" s="48" t="n"/>
      <c r="O3786" s="51">
        <f>IF(AND(B3786="",G3786="",C3786="",D3786="",J3786=""),"",IF(B3786="","⚠ Falta fecha",IF(G3786="","⚠ Falta monto",IF(Q3786="","⚠ Falta cuenta",IF(ISNA(MATCH(Q3786,ctaNombre,0)),"⚠ Cuenta no registrada",IF(AND(OR(P3786="Gasto",P3786="Reembolso"),D3786=""),"⚠ Falta categoría",IF(AND(D3786&lt;&gt;"",E3786&lt;&gt;"",ISNA(MATCH(D3786&amp;"|"&amp;E3786,catClave,0))),"⚠ Subcategoría no corresponde",IF(AND(OR(P3786="Transferencia",P3786="Pago tarjeta"),K3786=""),"⚠ Falta cuenta destino",IF(AND(K3786&lt;&gt;"",P3786&lt;&gt;"Transferencia",P3786&lt;&gt;"Pago tarjeta"),"⚠ Destino solo aplica a transferencias",IF(AND(K3786&lt;&gt;"",K3786=Q3786),"⚠ Origen igual a destino",IF(AND(K3786&lt;&gt;"",ISNA(MATCH(K3786,ctaNombre,0))),"⚠ Destino no registrado",IF(AND(P3786="Pago tarjeta",AE3786&lt;&gt;"Tarjeta de crédito"),"⚠ El destino debe ser tarjeta de crédito",IF(AND(P3786="Gasto",E3786="Depósitos y retiros"),"⚠ Usa tipo Transferencia",IF(AND(P3786="Resultado trading",AD3786&lt;&gt;"Cuenta de trading"),"⚠ Usa una cuenta de trading",IF(AND(G3786&lt;=0,P3786&lt;&gt;"Ajuste",P3786&lt;&gt;"Resultado trading"),"⚠ El monto debe ser positivo","✓")))))))))))))))</f>
        <v/>
      </c>
      <c r="P3786" s="52">
        <f>IF(OR(B3786="",G3786=""),"",IF(C3786="","Gasto",C3786))</f>
        <v/>
      </c>
      <c r="Q3786" s="52">
        <f>IF(P3786="","",IF(J3786&lt;&gt;"",J3786,CuentaPred&amp;""))</f>
        <v/>
      </c>
      <c r="R3786" s="52">
        <f>IF(P3786="","",IF(ISNUMBER(I3786),I3786,TasaUSD))</f>
        <v/>
      </c>
      <c r="S3786" s="53">
        <f>IF(P3786="","",IF(H3786="USD",G3786*R3786,G3786))</f>
        <v/>
      </c>
      <c r="T3786" s="53">
        <f>IF(P3786="","",IF(H3786="USD",G3786,IF(R3786&gt;0,G3786/R3786,0)))</f>
        <v/>
      </c>
      <c r="U3786" s="53">
        <f>IF(P3786="","",IF(P3786="Gasto",S3786,IF(P3786="Reembolso",-S3786,0)))</f>
        <v/>
      </c>
      <c r="V3786" s="53">
        <f>IF(P3786="","",IF(P3786="Ingreso",S3786,0))</f>
        <v/>
      </c>
      <c r="W3786" s="53">
        <f>IF(P3786="","",IF(P3786="Resultado trading",S3786,0))</f>
        <v/>
      </c>
      <c r="X3786" s="52">
        <f>IF(OR(P3786="Gasto",P3786="Reembolso"),IF(M3786&lt;&gt;"",M3786,IFERROR(INDEX(catClasif,MATCH(D3786&amp;"|"&amp;E3786,catClave,0))&amp;"","Variable")),"")</f>
        <v/>
      </c>
      <c r="Y3786" s="52">
        <f>IF(P3786="","",IFERROR(INDEX(catGrupo,MATCH(D3786&amp;"|"&amp;E3786,catClave,0))&amp;"",""))</f>
        <v/>
      </c>
      <c r="Z3786" s="52">
        <f>IF(P3786="","",WEEKDAY(B3786,2))</f>
        <v/>
      </c>
      <c r="AA3786" s="52">
        <f>IF(P3786="","",IF(AND(P3786="Gasto",X3786="Variable",D3786&lt;&gt;catTrading,S3786&gt;0,S3786&lt;=Umbral),1,0))</f>
        <v/>
      </c>
      <c r="AB3786" s="52">
        <f>IF(OR(P3786="",Q3786=""),"",IFERROR(IF(INDEX(ctaVinc,MATCH(Q3786,ctaNombre,0))&amp;""&lt;&gt;"",INDEX(ctaVinc,MATCH(Q3786,ctaNombre,0))&amp;"",Q3786),Q3786))</f>
        <v/>
      </c>
      <c r="AC3786" s="52">
        <f>IF(OR(K3786="",AND(P3786&lt;&gt;"Transferencia",P3786&lt;&gt;"Pago tarjeta")),"",IFERROR(IF(INDEX(ctaVinc,MATCH(K3786,ctaNombre,0))&amp;""&lt;&gt;"",INDEX(ctaVinc,MATCH(K3786,ctaNombre,0))&amp;"",K3786),K3786))</f>
        <v/>
      </c>
      <c r="AD3786" s="52">
        <f>IF(AB3786="","",IFERROR(INDEX(ctaTipo,MATCH(AB3786,ctaNombre,0))&amp;"",""))</f>
        <v/>
      </c>
      <c r="AE3786" s="52">
        <f>IF(AC3786="","",IFERROR(INDEX(ctaTipo,MATCH(AC3786,ctaNombre,0))&amp;"",""))</f>
        <v/>
      </c>
      <c r="AF3786" s="53">
        <f>IF(OR(P3786="",AB3786=""),"",IF(OR(P3786="Gasto",P3786="Transferencia",P3786="Pago tarjeta"),-1,1)*IF(IFERROR(INDEX(ctaMoneda,MATCH(AB3786,ctaNombre,0))&amp;"","DOP")="USD",T3786,S3786))</f>
        <v/>
      </c>
      <c r="AG3786" s="53">
        <f>IF(AC3786="","",IF(IFERROR(INDEX(ctaMoneda,MATCH(AC3786,ctaNombre,0))&amp;"","DOP")="USD",T3786,S3786))</f>
        <v/>
      </c>
      <c r="AH3786" s="53">
        <f>IF(P3786="","",IF(AND(AD3786&lt;&gt;"",COUNTIFS(tcTipo,AD3786,tcLiq,"Sí")&gt;0),IF(OR(P3786="Gasto",P3786="Transferencia",P3786="Pago tarjeta"),-1,1)*S3786,0)+IF(AND(AE3786&lt;&gt;"",COUNTIFS(tcTipo,AE3786,tcLiq,"Sí")&gt;0),S3786,0))</f>
        <v/>
      </c>
      <c r="AI3786" s="52">
        <f>IF(OR(L3786="",P3786=""),"",IF(COUNTIFS(L$6:L3786,L3786,P$6:P3786,"?*")=1,MAX(AI$5:AI3785)+1,""))</f>
        <v/>
      </c>
    </row>
    <row r="3787">
      <c r="B3787" s="47" t="n"/>
      <c r="C3787" s="48" t="n"/>
      <c r="D3787" s="48" t="n"/>
      <c r="E3787" s="48" t="n"/>
      <c r="F3787" s="48" t="n"/>
      <c r="G3787" s="49" t="n"/>
      <c r="H3787" s="48" t="n"/>
      <c r="I3787" s="50" t="n"/>
      <c r="J3787" s="48" t="n"/>
      <c r="K3787" s="48" t="n"/>
      <c r="L3787" s="48" t="n"/>
      <c r="M3787" s="48" t="n"/>
      <c r="N3787" s="48" t="n"/>
      <c r="O3787" s="51">
        <f>IF(AND(B3787="",G3787="",C3787="",D3787="",J3787=""),"",IF(B3787="","⚠ Falta fecha",IF(G3787="","⚠ Falta monto",IF(Q3787="","⚠ Falta cuenta",IF(ISNA(MATCH(Q3787,ctaNombre,0)),"⚠ Cuenta no registrada",IF(AND(OR(P3787="Gasto",P3787="Reembolso"),D3787=""),"⚠ Falta categoría",IF(AND(D3787&lt;&gt;"",E3787&lt;&gt;"",ISNA(MATCH(D3787&amp;"|"&amp;E3787,catClave,0))),"⚠ Subcategoría no corresponde",IF(AND(OR(P3787="Transferencia",P3787="Pago tarjeta"),K3787=""),"⚠ Falta cuenta destino",IF(AND(K3787&lt;&gt;"",P3787&lt;&gt;"Transferencia",P3787&lt;&gt;"Pago tarjeta"),"⚠ Destino solo aplica a transferencias",IF(AND(K3787&lt;&gt;"",K3787=Q3787),"⚠ Origen igual a destino",IF(AND(K3787&lt;&gt;"",ISNA(MATCH(K3787,ctaNombre,0))),"⚠ Destino no registrado",IF(AND(P3787="Pago tarjeta",AE3787&lt;&gt;"Tarjeta de crédito"),"⚠ El destino debe ser tarjeta de crédito",IF(AND(P3787="Gasto",E3787="Depósitos y retiros"),"⚠ Usa tipo Transferencia",IF(AND(P3787="Resultado trading",AD3787&lt;&gt;"Cuenta de trading"),"⚠ Usa una cuenta de trading",IF(AND(G3787&lt;=0,P3787&lt;&gt;"Ajuste",P3787&lt;&gt;"Resultado trading"),"⚠ El monto debe ser positivo","✓")))))))))))))))</f>
        <v/>
      </c>
      <c r="P3787" s="52">
        <f>IF(OR(B3787="",G3787=""),"",IF(C3787="","Gasto",C3787))</f>
        <v/>
      </c>
      <c r="Q3787" s="52">
        <f>IF(P3787="","",IF(J3787&lt;&gt;"",J3787,CuentaPred&amp;""))</f>
        <v/>
      </c>
      <c r="R3787" s="52">
        <f>IF(P3787="","",IF(ISNUMBER(I3787),I3787,TasaUSD))</f>
        <v/>
      </c>
      <c r="S3787" s="53">
        <f>IF(P3787="","",IF(H3787="USD",G3787*R3787,G3787))</f>
        <v/>
      </c>
      <c r="T3787" s="53">
        <f>IF(P3787="","",IF(H3787="USD",G3787,IF(R3787&gt;0,G3787/R3787,0)))</f>
        <v/>
      </c>
      <c r="U3787" s="53">
        <f>IF(P3787="","",IF(P3787="Gasto",S3787,IF(P3787="Reembolso",-S3787,0)))</f>
        <v/>
      </c>
      <c r="V3787" s="53">
        <f>IF(P3787="","",IF(P3787="Ingreso",S3787,0))</f>
        <v/>
      </c>
      <c r="W3787" s="53">
        <f>IF(P3787="","",IF(P3787="Resultado trading",S3787,0))</f>
        <v/>
      </c>
      <c r="X3787" s="52">
        <f>IF(OR(P3787="Gasto",P3787="Reembolso"),IF(M3787&lt;&gt;"",M3787,IFERROR(INDEX(catClasif,MATCH(D3787&amp;"|"&amp;E3787,catClave,0))&amp;"","Variable")),"")</f>
        <v/>
      </c>
      <c r="Y3787" s="52">
        <f>IF(P3787="","",IFERROR(INDEX(catGrupo,MATCH(D3787&amp;"|"&amp;E3787,catClave,0))&amp;"",""))</f>
        <v/>
      </c>
      <c r="Z3787" s="52">
        <f>IF(P3787="","",WEEKDAY(B3787,2))</f>
        <v/>
      </c>
      <c r="AA3787" s="52">
        <f>IF(P3787="","",IF(AND(P3787="Gasto",X3787="Variable",D3787&lt;&gt;catTrading,S3787&gt;0,S3787&lt;=Umbral),1,0))</f>
        <v/>
      </c>
      <c r="AB3787" s="52">
        <f>IF(OR(P3787="",Q3787=""),"",IFERROR(IF(INDEX(ctaVinc,MATCH(Q3787,ctaNombre,0))&amp;""&lt;&gt;"",INDEX(ctaVinc,MATCH(Q3787,ctaNombre,0))&amp;"",Q3787),Q3787))</f>
        <v/>
      </c>
      <c r="AC3787" s="52">
        <f>IF(OR(K3787="",AND(P3787&lt;&gt;"Transferencia",P3787&lt;&gt;"Pago tarjeta")),"",IFERROR(IF(INDEX(ctaVinc,MATCH(K3787,ctaNombre,0))&amp;""&lt;&gt;"",INDEX(ctaVinc,MATCH(K3787,ctaNombre,0))&amp;"",K3787),K3787))</f>
        <v/>
      </c>
      <c r="AD3787" s="52">
        <f>IF(AB3787="","",IFERROR(INDEX(ctaTipo,MATCH(AB3787,ctaNombre,0))&amp;"",""))</f>
        <v/>
      </c>
      <c r="AE3787" s="52">
        <f>IF(AC3787="","",IFERROR(INDEX(ctaTipo,MATCH(AC3787,ctaNombre,0))&amp;"",""))</f>
        <v/>
      </c>
      <c r="AF3787" s="53">
        <f>IF(OR(P3787="",AB3787=""),"",IF(OR(P3787="Gasto",P3787="Transferencia",P3787="Pago tarjeta"),-1,1)*IF(IFERROR(INDEX(ctaMoneda,MATCH(AB3787,ctaNombre,0))&amp;"","DOP")="USD",T3787,S3787))</f>
        <v/>
      </c>
      <c r="AG3787" s="53">
        <f>IF(AC3787="","",IF(IFERROR(INDEX(ctaMoneda,MATCH(AC3787,ctaNombre,0))&amp;"","DOP")="USD",T3787,S3787))</f>
        <v/>
      </c>
      <c r="AH3787" s="53">
        <f>IF(P3787="","",IF(AND(AD3787&lt;&gt;"",COUNTIFS(tcTipo,AD3787,tcLiq,"Sí")&gt;0),IF(OR(P3787="Gasto",P3787="Transferencia",P3787="Pago tarjeta"),-1,1)*S3787,0)+IF(AND(AE3787&lt;&gt;"",COUNTIFS(tcTipo,AE3787,tcLiq,"Sí")&gt;0),S3787,0))</f>
        <v/>
      </c>
      <c r="AI3787" s="52">
        <f>IF(OR(L3787="",P3787=""),"",IF(COUNTIFS(L$6:L3787,L3787,P$6:P3787,"?*")=1,MAX(AI$5:AI3786)+1,""))</f>
        <v/>
      </c>
    </row>
    <row r="3788">
      <c r="B3788" s="47" t="n"/>
      <c r="C3788" s="48" t="n"/>
      <c r="D3788" s="48" t="n"/>
      <c r="E3788" s="48" t="n"/>
      <c r="F3788" s="48" t="n"/>
      <c r="G3788" s="49" t="n"/>
      <c r="H3788" s="48" t="n"/>
      <c r="I3788" s="50" t="n"/>
      <c r="J3788" s="48" t="n"/>
      <c r="K3788" s="48" t="n"/>
      <c r="L3788" s="48" t="n"/>
      <c r="M3788" s="48" t="n"/>
      <c r="N3788" s="48" t="n"/>
      <c r="O3788" s="51">
        <f>IF(AND(B3788="",G3788="",C3788="",D3788="",J3788=""),"",IF(B3788="","⚠ Falta fecha",IF(G3788="","⚠ Falta monto",IF(Q3788="","⚠ Falta cuenta",IF(ISNA(MATCH(Q3788,ctaNombre,0)),"⚠ Cuenta no registrada",IF(AND(OR(P3788="Gasto",P3788="Reembolso"),D3788=""),"⚠ Falta categoría",IF(AND(D3788&lt;&gt;"",E3788&lt;&gt;"",ISNA(MATCH(D3788&amp;"|"&amp;E3788,catClave,0))),"⚠ Subcategoría no corresponde",IF(AND(OR(P3788="Transferencia",P3788="Pago tarjeta"),K3788=""),"⚠ Falta cuenta destino",IF(AND(K3788&lt;&gt;"",P3788&lt;&gt;"Transferencia",P3788&lt;&gt;"Pago tarjeta"),"⚠ Destino solo aplica a transferencias",IF(AND(K3788&lt;&gt;"",K3788=Q3788),"⚠ Origen igual a destino",IF(AND(K3788&lt;&gt;"",ISNA(MATCH(K3788,ctaNombre,0))),"⚠ Destino no registrado",IF(AND(P3788="Pago tarjeta",AE3788&lt;&gt;"Tarjeta de crédito"),"⚠ El destino debe ser tarjeta de crédito",IF(AND(P3788="Gasto",E3788="Depósitos y retiros"),"⚠ Usa tipo Transferencia",IF(AND(P3788="Resultado trading",AD3788&lt;&gt;"Cuenta de trading"),"⚠ Usa una cuenta de trading",IF(AND(G3788&lt;=0,P3788&lt;&gt;"Ajuste",P3788&lt;&gt;"Resultado trading"),"⚠ El monto debe ser positivo","✓")))))))))))))))</f>
        <v/>
      </c>
      <c r="P3788" s="52">
        <f>IF(OR(B3788="",G3788=""),"",IF(C3788="","Gasto",C3788))</f>
        <v/>
      </c>
      <c r="Q3788" s="52">
        <f>IF(P3788="","",IF(J3788&lt;&gt;"",J3788,CuentaPred&amp;""))</f>
        <v/>
      </c>
      <c r="R3788" s="52">
        <f>IF(P3788="","",IF(ISNUMBER(I3788),I3788,TasaUSD))</f>
        <v/>
      </c>
      <c r="S3788" s="53">
        <f>IF(P3788="","",IF(H3788="USD",G3788*R3788,G3788))</f>
        <v/>
      </c>
      <c r="T3788" s="53">
        <f>IF(P3788="","",IF(H3788="USD",G3788,IF(R3788&gt;0,G3788/R3788,0)))</f>
        <v/>
      </c>
      <c r="U3788" s="53">
        <f>IF(P3788="","",IF(P3788="Gasto",S3788,IF(P3788="Reembolso",-S3788,0)))</f>
        <v/>
      </c>
      <c r="V3788" s="53">
        <f>IF(P3788="","",IF(P3788="Ingreso",S3788,0))</f>
        <v/>
      </c>
      <c r="W3788" s="53">
        <f>IF(P3788="","",IF(P3788="Resultado trading",S3788,0))</f>
        <v/>
      </c>
      <c r="X3788" s="52">
        <f>IF(OR(P3788="Gasto",P3788="Reembolso"),IF(M3788&lt;&gt;"",M3788,IFERROR(INDEX(catClasif,MATCH(D3788&amp;"|"&amp;E3788,catClave,0))&amp;"","Variable")),"")</f>
        <v/>
      </c>
      <c r="Y3788" s="52">
        <f>IF(P3788="","",IFERROR(INDEX(catGrupo,MATCH(D3788&amp;"|"&amp;E3788,catClave,0))&amp;"",""))</f>
        <v/>
      </c>
      <c r="Z3788" s="52">
        <f>IF(P3788="","",WEEKDAY(B3788,2))</f>
        <v/>
      </c>
      <c r="AA3788" s="52">
        <f>IF(P3788="","",IF(AND(P3788="Gasto",X3788="Variable",D3788&lt;&gt;catTrading,S3788&gt;0,S3788&lt;=Umbral),1,0))</f>
        <v/>
      </c>
      <c r="AB3788" s="52">
        <f>IF(OR(P3788="",Q3788=""),"",IFERROR(IF(INDEX(ctaVinc,MATCH(Q3788,ctaNombre,0))&amp;""&lt;&gt;"",INDEX(ctaVinc,MATCH(Q3788,ctaNombre,0))&amp;"",Q3788),Q3788))</f>
        <v/>
      </c>
      <c r="AC3788" s="52">
        <f>IF(OR(K3788="",AND(P3788&lt;&gt;"Transferencia",P3788&lt;&gt;"Pago tarjeta")),"",IFERROR(IF(INDEX(ctaVinc,MATCH(K3788,ctaNombre,0))&amp;""&lt;&gt;"",INDEX(ctaVinc,MATCH(K3788,ctaNombre,0))&amp;"",K3788),K3788))</f>
        <v/>
      </c>
      <c r="AD3788" s="52">
        <f>IF(AB3788="","",IFERROR(INDEX(ctaTipo,MATCH(AB3788,ctaNombre,0))&amp;"",""))</f>
        <v/>
      </c>
      <c r="AE3788" s="52">
        <f>IF(AC3788="","",IFERROR(INDEX(ctaTipo,MATCH(AC3788,ctaNombre,0))&amp;"",""))</f>
        <v/>
      </c>
      <c r="AF3788" s="53">
        <f>IF(OR(P3788="",AB3788=""),"",IF(OR(P3788="Gasto",P3788="Transferencia",P3788="Pago tarjeta"),-1,1)*IF(IFERROR(INDEX(ctaMoneda,MATCH(AB3788,ctaNombre,0))&amp;"","DOP")="USD",T3788,S3788))</f>
        <v/>
      </c>
      <c r="AG3788" s="53">
        <f>IF(AC3788="","",IF(IFERROR(INDEX(ctaMoneda,MATCH(AC3788,ctaNombre,0))&amp;"","DOP")="USD",T3788,S3788))</f>
        <v/>
      </c>
      <c r="AH3788" s="53">
        <f>IF(P3788="","",IF(AND(AD3788&lt;&gt;"",COUNTIFS(tcTipo,AD3788,tcLiq,"Sí")&gt;0),IF(OR(P3788="Gasto",P3788="Transferencia",P3788="Pago tarjeta"),-1,1)*S3788,0)+IF(AND(AE3788&lt;&gt;"",COUNTIFS(tcTipo,AE3788,tcLiq,"Sí")&gt;0),S3788,0))</f>
        <v/>
      </c>
      <c r="AI3788" s="52">
        <f>IF(OR(L3788="",P3788=""),"",IF(COUNTIFS(L$6:L3788,L3788,P$6:P3788,"?*")=1,MAX(AI$5:AI3787)+1,""))</f>
        <v/>
      </c>
    </row>
    <row r="3789">
      <c r="B3789" s="47" t="n"/>
      <c r="C3789" s="48" t="n"/>
      <c r="D3789" s="48" t="n"/>
      <c r="E3789" s="48" t="n"/>
      <c r="F3789" s="48" t="n"/>
      <c r="G3789" s="49" t="n"/>
      <c r="H3789" s="48" t="n"/>
      <c r="I3789" s="50" t="n"/>
      <c r="J3789" s="48" t="n"/>
      <c r="K3789" s="48" t="n"/>
      <c r="L3789" s="48" t="n"/>
      <c r="M3789" s="48" t="n"/>
      <c r="N3789" s="48" t="n"/>
      <c r="O3789" s="51">
        <f>IF(AND(B3789="",G3789="",C3789="",D3789="",J3789=""),"",IF(B3789="","⚠ Falta fecha",IF(G3789="","⚠ Falta monto",IF(Q3789="","⚠ Falta cuenta",IF(ISNA(MATCH(Q3789,ctaNombre,0)),"⚠ Cuenta no registrada",IF(AND(OR(P3789="Gasto",P3789="Reembolso"),D3789=""),"⚠ Falta categoría",IF(AND(D3789&lt;&gt;"",E3789&lt;&gt;"",ISNA(MATCH(D3789&amp;"|"&amp;E3789,catClave,0))),"⚠ Subcategoría no corresponde",IF(AND(OR(P3789="Transferencia",P3789="Pago tarjeta"),K3789=""),"⚠ Falta cuenta destino",IF(AND(K3789&lt;&gt;"",P3789&lt;&gt;"Transferencia",P3789&lt;&gt;"Pago tarjeta"),"⚠ Destino solo aplica a transferencias",IF(AND(K3789&lt;&gt;"",K3789=Q3789),"⚠ Origen igual a destino",IF(AND(K3789&lt;&gt;"",ISNA(MATCH(K3789,ctaNombre,0))),"⚠ Destino no registrado",IF(AND(P3789="Pago tarjeta",AE3789&lt;&gt;"Tarjeta de crédito"),"⚠ El destino debe ser tarjeta de crédito",IF(AND(P3789="Gasto",E3789="Depósitos y retiros"),"⚠ Usa tipo Transferencia",IF(AND(P3789="Resultado trading",AD3789&lt;&gt;"Cuenta de trading"),"⚠ Usa una cuenta de trading",IF(AND(G3789&lt;=0,P3789&lt;&gt;"Ajuste",P3789&lt;&gt;"Resultado trading"),"⚠ El monto debe ser positivo","✓")))))))))))))))</f>
        <v/>
      </c>
      <c r="P3789" s="52">
        <f>IF(OR(B3789="",G3789=""),"",IF(C3789="","Gasto",C3789))</f>
        <v/>
      </c>
      <c r="Q3789" s="52">
        <f>IF(P3789="","",IF(J3789&lt;&gt;"",J3789,CuentaPred&amp;""))</f>
        <v/>
      </c>
      <c r="R3789" s="52">
        <f>IF(P3789="","",IF(ISNUMBER(I3789),I3789,TasaUSD))</f>
        <v/>
      </c>
      <c r="S3789" s="53">
        <f>IF(P3789="","",IF(H3789="USD",G3789*R3789,G3789))</f>
        <v/>
      </c>
      <c r="T3789" s="53">
        <f>IF(P3789="","",IF(H3789="USD",G3789,IF(R3789&gt;0,G3789/R3789,0)))</f>
        <v/>
      </c>
      <c r="U3789" s="53">
        <f>IF(P3789="","",IF(P3789="Gasto",S3789,IF(P3789="Reembolso",-S3789,0)))</f>
        <v/>
      </c>
      <c r="V3789" s="53">
        <f>IF(P3789="","",IF(P3789="Ingreso",S3789,0))</f>
        <v/>
      </c>
      <c r="W3789" s="53">
        <f>IF(P3789="","",IF(P3789="Resultado trading",S3789,0))</f>
        <v/>
      </c>
      <c r="X3789" s="52">
        <f>IF(OR(P3789="Gasto",P3789="Reembolso"),IF(M3789&lt;&gt;"",M3789,IFERROR(INDEX(catClasif,MATCH(D3789&amp;"|"&amp;E3789,catClave,0))&amp;"","Variable")),"")</f>
        <v/>
      </c>
      <c r="Y3789" s="52">
        <f>IF(P3789="","",IFERROR(INDEX(catGrupo,MATCH(D3789&amp;"|"&amp;E3789,catClave,0))&amp;"",""))</f>
        <v/>
      </c>
      <c r="Z3789" s="52">
        <f>IF(P3789="","",WEEKDAY(B3789,2))</f>
        <v/>
      </c>
      <c r="AA3789" s="52">
        <f>IF(P3789="","",IF(AND(P3789="Gasto",X3789="Variable",D3789&lt;&gt;catTrading,S3789&gt;0,S3789&lt;=Umbral),1,0))</f>
        <v/>
      </c>
      <c r="AB3789" s="52">
        <f>IF(OR(P3789="",Q3789=""),"",IFERROR(IF(INDEX(ctaVinc,MATCH(Q3789,ctaNombre,0))&amp;""&lt;&gt;"",INDEX(ctaVinc,MATCH(Q3789,ctaNombre,0))&amp;"",Q3789),Q3789))</f>
        <v/>
      </c>
      <c r="AC3789" s="52">
        <f>IF(OR(K3789="",AND(P3789&lt;&gt;"Transferencia",P3789&lt;&gt;"Pago tarjeta")),"",IFERROR(IF(INDEX(ctaVinc,MATCH(K3789,ctaNombre,0))&amp;""&lt;&gt;"",INDEX(ctaVinc,MATCH(K3789,ctaNombre,0))&amp;"",K3789),K3789))</f>
        <v/>
      </c>
      <c r="AD3789" s="52">
        <f>IF(AB3789="","",IFERROR(INDEX(ctaTipo,MATCH(AB3789,ctaNombre,0))&amp;"",""))</f>
        <v/>
      </c>
      <c r="AE3789" s="52">
        <f>IF(AC3789="","",IFERROR(INDEX(ctaTipo,MATCH(AC3789,ctaNombre,0))&amp;"",""))</f>
        <v/>
      </c>
      <c r="AF3789" s="53">
        <f>IF(OR(P3789="",AB3789=""),"",IF(OR(P3789="Gasto",P3789="Transferencia",P3789="Pago tarjeta"),-1,1)*IF(IFERROR(INDEX(ctaMoneda,MATCH(AB3789,ctaNombre,0))&amp;"","DOP")="USD",T3789,S3789))</f>
        <v/>
      </c>
      <c r="AG3789" s="53">
        <f>IF(AC3789="","",IF(IFERROR(INDEX(ctaMoneda,MATCH(AC3789,ctaNombre,0))&amp;"","DOP")="USD",T3789,S3789))</f>
        <v/>
      </c>
      <c r="AH3789" s="53">
        <f>IF(P3789="","",IF(AND(AD3789&lt;&gt;"",COUNTIFS(tcTipo,AD3789,tcLiq,"Sí")&gt;0),IF(OR(P3789="Gasto",P3789="Transferencia",P3789="Pago tarjeta"),-1,1)*S3789,0)+IF(AND(AE3789&lt;&gt;"",COUNTIFS(tcTipo,AE3789,tcLiq,"Sí")&gt;0),S3789,0))</f>
        <v/>
      </c>
      <c r="AI3789" s="52">
        <f>IF(OR(L3789="",P3789=""),"",IF(COUNTIFS(L$6:L3789,L3789,P$6:P3789,"?*")=1,MAX(AI$5:AI3788)+1,""))</f>
        <v/>
      </c>
    </row>
    <row r="3790">
      <c r="B3790" s="47" t="n"/>
      <c r="C3790" s="48" t="n"/>
      <c r="D3790" s="48" t="n"/>
      <c r="E3790" s="48" t="n"/>
      <c r="F3790" s="48" t="n"/>
      <c r="G3790" s="49" t="n"/>
      <c r="H3790" s="48" t="n"/>
      <c r="I3790" s="50" t="n"/>
      <c r="J3790" s="48" t="n"/>
      <c r="K3790" s="48" t="n"/>
      <c r="L3790" s="48" t="n"/>
      <c r="M3790" s="48" t="n"/>
      <c r="N3790" s="48" t="n"/>
      <c r="O3790" s="51">
        <f>IF(AND(B3790="",G3790="",C3790="",D3790="",J3790=""),"",IF(B3790="","⚠ Falta fecha",IF(G3790="","⚠ Falta monto",IF(Q3790="","⚠ Falta cuenta",IF(ISNA(MATCH(Q3790,ctaNombre,0)),"⚠ Cuenta no registrada",IF(AND(OR(P3790="Gasto",P3790="Reembolso"),D3790=""),"⚠ Falta categoría",IF(AND(D3790&lt;&gt;"",E3790&lt;&gt;"",ISNA(MATCH(D3790&amp;"|"&amp;E3790,catClave,0))),"⚠ Subcategoría no corresponde",IF(AND(OR(P3790="Transferencia",P3790="Pago tarjeta"),K3790=""),"⚠ Falta cuenta destino",IF(AND(K3790&lt;&gt;"",P3790&lt;&gt;"Transferencia",P3790&lt;&gt;"Pago tarjeta"),"⚠ Destino solo aplica a transferencias",IF(AND(K3790&lt;&gt;"",K3790=Q3790),"⚠ Origen igual a destino",IF(AND(K3790&lt;&gt;"",ISNA(MATCH(K3790,ctaNombre,0))),"⚠ Destino no registrado",IF(AND(P3790="Pago tarjeta",AE3790&lt;&gt;"Tarjeta de crédito"),"⚠ El destino debe ser tarjeta de crédito",IF(AND(P3790="Gasto",E3790="Depósitos y retiros"),"⚠ Usa tipo Transferencia",IF(AND(P3790="Resultado trading",AD3790&lt;&gt;"Cuenta de trading"),"⚠ Usa una cuenta de trading",IF(AND(G3790&lt;=0,P3790&lt;&gt;"Ajuste",P3790&lt;&gt;"Resultado trading"),"⚠ El monto debe ser positivo","✓")))))))))))))))</f>
        <v/>
      </c>
      <c r="P3790" s="52">
        <f>IF(OR(B3790="",G3790=""),"",IF(C3790="","Gasto",C3790))</f>
        <v/>
      </c>
      <c r="Q3790" s="52">
        <f>IF(P3790="","",IF(J3790&lt;&gt;"",J3790,CuentaPred&amp;""))</f>
        <v/>
      </c>
      <c r="R3790" s="52">
        <f>IF(P3790="","",IF(ISNUMBER(I3790),I3790,TasaUSD))</f>
        <v/>
      </c>
      <c r="S3790" s="53">
        <f>IF(P3790="","",IF(H3790="USD",G3790*R3790,G3790))</f>
        <v/>
      </c>
      <c r="T3790" s="53">
        <f>IF(P3790="","",IF(H3790="USD",G3790,IF(R3790&gt;0,G3790/R3790,0)))</f>
        <v/>
      </c>
      <c r="U3790" s="53">
        <f>IF(P3790="","",IF(P3790="Gasto",S3790,IF(P3790="Reembolso",-S3790,0)))</f>
        <v/>
      </c>
      <c r="V3790" s="53">
        <f>IF(P3790="","",IF(P3790="Ingreso",S3790,0))</f>
        <v/>
      </c>
      <c r="W3790" s="53">
        <f>IF(P3790="","",IF(P3790="Resultado trading",S3790,0))</f>
        <v/>
      </c>
      <c r="X3790" s="52">
        <f>IF(OR(P3790="Gasto",P3790="Reembolso"),IF(M3790&lt;&gt;"",M3790,IFERROR(INDEX(catClasif,MATCH(D3790&amp;"|"&amp;E3790,catClave,0))&amp;"","Variable")),"")</f>
        <v/>
      </c>
      <c r="Y3790" s="52">
        <f>IF(P3790="","",IFERROR(INDEX(catGrupo,MATCH(D3790&amp;"|"&amp;E3790,catClave,0))&amp;"",""))</f>
        <v/>
      </c>
      <c r="Z3790" s="52">
        <f>IF(P3790="","",WEEKDAY(B3790,2))</f>
        <v/>
      </c>
      <c r="AA3790" s="52">
        <f>IF(P3790="","",IF(AND(P3790="Gasto",X3790="Variable",D3790&lt;&gt;catTrading,S3790&gt;0,S3790&lt;=Umbral),1,0))</f>
        <v/>
      </c>
      <c r="AB3790" s="52">
        <f>IF(OR(P3790="",Q3790=""),"",IFERROR(IF(INDEX(ctaVinc,MATCH(Q3790,ctaNombre,0))&amp;""&lt;&gt;"",INDEX(ctaVinc,MATCH(Q3790,ctaNombre,0))&amp;"",Q3790),Q3790))</f>
        <v/>
      </c>
      <c r="AC3790" s="52">
        <f>IF(OR(K3790="",AND(P3790&lt;&gt;"Transferencia",P3790&lt;&gt;"Pago tarjeta")),"",IFERROR(IF(INDEX(ctaVinc,MATCH(K3790,ctaNombre,0))&amp;""&lt;&gt;"",INDEX(ctaVinc,MATCH(K3790,ctaNombre,0))&amp;"",K3790),K3790))</f>
        <v/>
      </c>
      <c r="AD3790" s="52">
        <f>IF(AB3790="","",IFERROR(INDEX(ctaTipo,MATCH(AB3790,ctaNombre,0))&amp;"",""))</f>
        <v/>
      </c>
      <c r="AE3790" s="52">
        <f>IF(AC3790="","",IFERROR(INDEX(ctaTipo,MATCH(AC3790,ctaNombre,0))&amp;"",""))</f>
        <v/>
      </c>
      <c r="AF3790" s="53">
        <f>IF(OR(P3790="",AB3790=""),"",IF(OR(P3790="Gasto",P3790="Transferencia",P3790="Pago tarjeta"),-1,1)*IF(IFERROR(INDEX(ctaMoneda,MATCH(AB3790,ctaNombre,0))&amp;"","DOP")="USD",T3790,S3790))</f>
        <v/>
      </c>
      <c r="AG3790" s="53">
        <f>IF(AC3790="","",IF(IFERROR(INDEX(ctaMoneda,MATCH(AC3790,ctaNombre,0))&amp;"","DOP")="USD",T3790,S3790))</f>
        <v/>
      </c>
      <c r="AH3790" s="53">
        <f>IF(P3790="","",IF(AND(AD3790&lt;&gt;"",COUNTIFS(tcTipo,AD3790,tcLiq,"Sí")&gt;0),IF(OR(P3790="Gasto",P3790="Transferencia",P3790="Pago tarjeta"),-1,1)*S3790,0)+IF(AND(AE3790&lt;&gt;"",COUNTIFS(tcTipo,AE3790,tcLiq,"Sí")&gt;0),S3790,0))</f>
        <v/>
      </c>
      <c r="AI3790" s="52">
        <f>IF(OR(L3790="",P3790=""),"",IF(COUNTIFS(L$6:L3790,L3790,P$6:P3790,"?*")=1,MAX(AI$5:AI3789)+1,""))</f>
        <v/>
      </c>
    </row>
    <row r="3791">
      <c r="B3791" s="47" t="n"/>
      <c r="C3791" s="48" t="n"/>
      <c r="D3791" s="48" t="n"/>
      <c r="E3791" s="48" t="n"/>
      <c r="F3791" s="48" t="n"/>
      <c r="G3791" s="49" t="n"/>
      <c r="H3791" s="48" t="n"/>
      <c r="I3791" s="50" t="n"/>
      <c r="J3791" s="48" t="n"/>
      <c r="K3791" s="48" t="n"/>
      <c r="L3791" s="48" t="n"/>
      <c r="M3791" s="48" t="n"/>
      <c r="N3791" s="48" t="n"/>
      <c r="O3791" s="51">
        <f>IF(AND(B3791="",G3791="",C3791="",D3791="",J3791=""),"",IF(B3791="","⚠ Falta fecha",IF(G3791="","⚠ Falta monto",IF(Q3791="","⚠ Falta cuenta",IF(ISNA(MATCH(Q3791,ctaNombre,0)),"⚠ Cuenta no registrada",IF(AND(OR(P3791="Gasto",P3791="Reembolso"),D3791=""),"⚠ Falta categoría",IF(AND(D3791&lt;&gt;"",E3791&lt;&gt;"",ISNA(MATCH(D3791&amp;"|"&amp;E3791,catClave,0))),"⚠ Subcategoría no corresponde",IF(AND(OR(P3791="Transferencia",P3791="Pago tarjeta"),K3791=""),"⚠ Falta cuenta destino",IF(AND(K3791&lt;&gt;"",P3791&lt;&gt;"Transferencia",P3791&lt;&gt;"Pago tarjeta"),"⚠ Destino solo aplica a transferencias",IF(AND(K3791&lt;&gt;"",K3791=Q3791),"⚠ Origen igual a destino",IF(AND(K3791&lt;&gt;"",ISNA(MATCH(K3791,ctaNombre,0))),"⚠ Destino no registrado",IF(AND(P3791="Pago tarjeta",AE3791&lt;&gt;"Tarjeta de crédito"),"⚠ El destino debe ser tarjeta de crédito",IF(AND(P3791="Gasto",E3791="Depósitos y retiros"),"⚠ Usa tipo Transferencia",IF(AND(P3791="Resultado trading",AD3791&lt;&gt;"Cuenta de trading"),"⚠ Usa una cuenta de trading",IF(AND(G3791&lt;=0,P3791&lt;&gt;"Ajuste",P3791&lt;&gt;"Resultado trading"),"⚠ El monto debe ser positivo","✓")))))))))))))))</f>
        <v/>
      </c>
      <c r="P3791" s="52">
        <f>IF(OR(B3791="",G3791=""),"",IF(C3791="","Gasto",C3791))</f>
        <v/>
      </c>
      <c r="Q3791" s="52">
        <f>IF(P3791="","",IF(J3791&lt;&gt;"",J3791,CuentaPred&amp;""))</f>
        <v/>
      </c>
      <c r="R3791" s="52">
        <f>IF(P3791="","",IF(ISNUMBER(I3791),I3791,TasaUSD))</f>
        <v/>
      </c>
      <c r="S3791" s="53">
        <f>IF(P3791="","",IF(H3791="USD",G3791*R3791,G3791))</f>
        <v/>
      </c>
      <c r="T3791" s="53">
        <f>IF(P3791="","",IF(H3791="USD",G3791,IF(R3791&gt;0,G3791/R3791,0)))</f>
        <v/>
      </c>
      <c r="U3791" s="53">
        <f>IF(P3791="","",IF(P3791="Gasto",S3791,IF(P3791="Reembolso",-S3791,0)))</f>
        <v/>
      </c>
      <c r="V3791" s="53">
        <f>IF(P3791="","",IF(P3791="Ingreso",S3791,0))</f>
        <v/>
      </c>
      <c r="W3791" s="53">
        <f>IF(P3791="","",IF(P3791="Resultado trading",S3791,0))</f>
        <v/>
      </c>
      <c r="X3791" s="52">
        <f>IF(OR(P3791="Gasto",P3791="Reembolso"),IF(M3791&lt;&gt;"",M3791,IFERROR(INDEX(catClasif,MATCH(D3791&amp;"|"&amp;E3791,catClave,0))&amp;"","Variable")),"")</f>
        <v/>
      </c>
      <c r="Y3791" s="52">
        <f>IF(P3791="","",IFERROR(INDEX(catGrupo,MATCH(D3791&amp;"|"&amp;E3791,catClave,0))&amp;"",""))</f>
        <v/>
      </c>
      <c r="Z3791" s="52">
        <f>IF(P3791="","",WEEKDAY(B3791,2))</f>
        <v/>
      </c>
      <c r="AA3791" s="52">
        <f>IF(P3791="","",IF(AND(P3791="Gasto",X3791="Variable",D3791&lt;&gt;catTrading,S3791&gt;0,S3791&lt;=Umbral),1,0))</f>
        <v/>
      </c>
      <c r="AB3791" s="52">
        <f>IF(OR(P3791="",Q3791=""),"",IFERROR(IF(INDEX(ctaVinc,MATCH(Q3791,ctaNombre,0))&amp;""&lt;&gt;"",INDEX(ctaVinc,MATCH(Q3791,ctaNombre,0))&amp;"",Q3791),Q3791))</f>
        <v/>
      </c>
      <c r="AC3791" s="52">
        <f>IF(OR(K3791="",AND(P3791&lt;&gt;"Transferencia",P3791&lt;&gt;"Pago tarjeta")),"",IFERROR(IF(INDEX(ctaVinc,MATCH(K3791,ctaNombre,0))&amp;""&lt;&gt;"",INDEX(ctaVinc,MATCH(K3791,ctaNombre,0))&amp;"",K3791),K3791))</f>
        <v/>
      </c>
      <c r="AD3791" s="52">
        <f>IF(AB3791="","",IFERROR(INDEX(ctaTipo,MATCH(AB3791,ctaNombre,0))&amp;"",""))</f>
        <v/>
      </c>
      <c r="AE3791" s="52">
        <f>IF(AC3791="","",IFERROR(INDEX(ctaTipo,MATCH(AC3791,ctaNombre,0))&amp;"",""))</f>
        <v/>
      </c>
      <c r="AF3791" s="53">
        <f>IF(OR(P3791="",AB3791=""),"",IF(OR(P3791="Gasto",P3791="Transferencia",P3791="Pago tarjeta"),-1,1)*IF(IFERROR(INDEX(ctaMoneda,MATCH(AB3791,ctaNombre,0))&amp;"","DOP")="USD",T3791,S3791))</f>
        <v/>
      </c>
      <c r="AG3791" s="53">
        <f>IF(AC3791="","",IF(IFERROR(INDEX(ctaMoneda,MATCH(AC3791,ctaNombre,0))&amp;"","DOP")="USD",T3791,S3791))</f>
        <v/>
      </c>
      <c r="AH3791" s="53">
        <f>IF(P3791="","",IF(AND(AD3791&lt;&gt;"",COUNTIFS(tcTipo,AD3791,tcLiq,"Sí")&gt;0),IF(OR(P3791="Gasto",P3791="Transferencia",P3791="Pago tarjeta"),-1,1)*S3791,0)+IF(AND(AE3791&lt;&gt;"",COUNTIFS(tcTipo,AE3791,tcLiq,"Sí")&gt;0),S3791,0))</f>
        <v/>
      </c>
      <c r="AI3791" s="52">
        <f>IF(OR(L3791="",P3791=""),"",IF(COUNTIFS(L$6:L3791,L3791,P$6:P3791,"?*")=1,MAX(AI$5:AI3790)+1,""))</f>
        <v/>
      </c>
    </row>
    <row r="3792">
      <c r="B3792" s="47" t="n"/>
      <c r="C3792" s="48" t="n"/>
      <c r="D3792" s="48" t="n"/>
      <c r="E3792" s="48" t="n"/>
      <c r="F3792" s="48" t="n"/>
      <c r="G3792" s="49" t="n"/>
      <c r="H3792" s="48" t="n"/>
      <c r="I3792" s="50" t="n"/>
      <c r="J3792" s="48" t="n"/>
      <c r="K3792" s="48" t="n"/>
      <c r="L3792" s="48" t="n"/>
      <c r="M3792" s="48" t="n"/>
      <c r="N3792" s="48" t="n"/>
      <c r="O3792" s="51">
        <f>IF(AND(B3792="",G3792="",C3792="",D3792="",J3792=""),"",IF(B3792="","⚠ Falta fecha",IF(G3792="","⚠ Falta monto",IF(Q3792="","⚠ Falta cuenta",IF(ISNA(MATCH(Q3792,ctaNombre,0)),"⚠ Cuenta no registrada",IF(AND(OR(P3792="Gasto",P3792="Reembolso"),D3792=""),"⚠ Falta categoría",IF(AND(D3792&lt;&gt;"",E3792&lt;&gt;"",ISNA(MATCH(D3792&amp;"|"&amp;E3792,catClave,0))),"⚠ Subcategoría no corresponde",IF(AND(OR(P3792="Transferencia",P3792="Pago tarjeta"),K3792=""),"⚠ Falta cuenta destino",IF(AND(K3792&lt;&gt;"",P3792&lt;&gt;"Transferencia",P3792&lt;&gt;"Pago tarjeta"),"⚠ Destino solo aplica a transferencias",IF(AND(K3792&lt;&gt;"",K3792=Q3792),"⚠ Origen igual a destino",IF(AND(K3792&lt;&gt;"",ISNA(MATCH(K3792,ctaNombre,0))),"⚠ Destino no registrado",IF(AND(P3792="Pago tarjeta",AE3792&lt;&gt;"Tarjeta de crédito"),"⚠ El destino debe ser tarjeta de crédito",IF(AND(P3792="Gasto",E3792="Depósitos y retiros"),"⚠ Usa tipo Transferencia",IF(AND(P3792="Resultado trading",AD3792&lt;&gt;"Cuenta de trading"),"⚠ Usa una cuenta de trading",IF(AND(G3792&lt;=0,P3792&lt;&gt;"Ajuste",P3792&lt;&gt;"Resultado trading"),"⚠ El monto debe ser positivo","✓")))))))))))))))</f>
        <v/>
      </c>
      <c r="P3792" s="52">
        <f>IF(OR(B3792="",G3792=""),"",IF(C3792="","Gasto",C3792))</f>
        <v/>
      </c>
      <c r="Q3792" s="52">
        <f>IF(P3792="","",IF(J3792&lt;&gt;"",J3792,CuentaPred&amp;""))</f>
        <v/>
      </c>
      <c r="R3792" s="52">
        <f>IF(P3792="","",IF(ISNUMBER(I3792),I3792,TasaUSD))</f>
        <v/>
      </c>
      <c r="S3792" s="53">
        <f>IF(P3792="","",IF(H3792="USD",G3792*R3792,G3792))</f>
        <v/>
      </c>
      <c r="T3792" s="53">
        <f>IF(P3792="","",IF(H3792="USD",G3792,IF(R3792&gt;0,G3792/R3792,0)))</f>
        <v/>
      </c>
      <c r="U3792" s="53">
        <f>IF(P3792="","",IF(P3792="Gasto",S3792,IF(P3792="Reembolso",-S3792,0)))</f>
        <v/>
      </c>
      <c r="V3792" s="53">
        <f>IF(P3792="","",IF(P3792="Ingreso",S3792,0))</f>
        <v/>
      </c>
      <c r="W3792" s="53">
        <f>IF(P3792="","",IF(P3792="Resultado trading",S3792,0))</f>
        <v/>
      </c>
      <c r="X3792" s="52">
        <f>IF(OR(P3792="Gasto",P3792="Reembolso"),IF(M3792&lt;&gt;"",M3792,IFERROR(INDEX(catClasif,MATCH(D3792&amp;"|"&amp;E3792,catClave,0))&amp;"","Variable")),"")</f>
        <v/>
      </c>
      <c r="Y3792" s="52">
        <f>IF(P3792="","",IFERROR(INDEX(catGrupo,MATCH(D3792&amp;"|"&amp;E3792,catClave,0))&amp;"",""))</f>
        <v/>
      </c>
      <c r="Z3792" s="52">
        <f>IF(P3792="","",WEEKDAY(B3792,2))</f>
        <v/>
      </c>
      <c r="AA3792" s="52">
        <f>IF(P3792="","",IF(AND(P3792="Gasto",X3792="Variable",D3792&lt;&gt;catTrading,S3792&gt;0,S3792&lt;=Umbral),1,0))</f>
        <v/>
      </c>
      <c r="AB3792" s="52">
        <f>IF(OR(P3792="",Q3792=""),"",IFERROR(IF(INDEX(ctaVinc,MATCH(Q3792,ctaNombre,0))&amp;""&lt;&gt;"",INDEX(ctaVinc,MATCH(Q3792,ctaNombre,0))&amp;"",Q3792),Q3792))</f>
        <v/>
      </c>
      <c r="AC3792" s="52">
        <f>IF(OR(K3792="",AND(P3792&lt;&gt;"Transferencia",P3792&lt;&gt;"Pago tarjeta")),"",IFERROR(IF(INDEX(ctaVinc,MATCH(K3792,ctaNombre,0))&amp;""&lt;&gt;"",INDEX(ctaVinc,MATCH(K3792,ctaNombre,0))&amp;"",K3792),K3792))</f>
        <v/>
      </c>
      <c r="AD3792" s="52">
        <f>IF(AB3792="","",IFERROR(INDEX(ctaTipo,MATCH(AB3792,ctaNombre,0))&amp;"",""))</f>
        <v/>
      </c>
      <c r="AE3792" s="52">
        <f>IF(AC3792="","",IFERROR(INDEX(ctaTipo,MATCH(AC3792,ctaNombre,0))&amp;"",""))</f>
        <v/>
      </c>
      <c r="AF3792" s="53">
        <f>IF(OR(P3792="",AB3792=""),"",IF(OR(P3792="Gasto",P3792="Transferencia",P3792="Pago tarjeta"),-1,1)*IF(IFERROR(INDEX(ctaMoneda,MATCH(AB3792,ctaNombre,0))&amp;"","DOP")="USD",T3792,S3792))</f>
        <v/>
      </c>
      <c r="AG3792" s="53">
        <f>IF(AC3792="","",IF(IFERROR(INDEX(ctaMoneda,MATCH(AC3792,ctaNombre,0))&amp;"","DOP")="USD",T3792,S3792))</f>
        <v/>
      </c>
      <c r="AH3792" s="53">
        <f>IF(P3792="","",IF(AND(AD3792&lt;&gt;"",COUNTIFS(tcTipo,AD3792,tcLiq,"Sí")&gt;0),IF(OR(P3792="Gasto",P3792="Transferencia",P3792="Pago tarjeta"),-1,1)*S3792,0)+IF(AND(AE3792&lt;&gt;"",COUNTIFS(tcTipo,AE3792,tcLiq,"Sí")&gt;0),S3792,0))</f>
        <v/>
      </c>
      <c r="AI3792" s="52">
        <f>IF(OR(L3792="",P3792=""),"",IF(COUNTIFS(L$6:L3792,L3792,P$6:P3792,"?*")=1,MAX(AI$5:AI3791)+1,""))</f>
        <v/>
      </c>
    </row>
    <row r="3793">
      <c r="B3793" s="47" t="n"/>
      <c r="C3793" s="48" t="n"/>
      <c r="D3793" s="48" t="n"/>
      <c r="E3793" s="48" t="n"/>
      <c r="F3793" s="48" t="n"/>
      <c r="G3793" s="49" t="n"/>
      <c r="H3793" s="48" t="n"/>
      <c r="I3793" s="50" t="n"/>
      <c r="J3793" s="48" t="n"/>
      <c r="K3793" s="48" t="n"/>
      <c r="L3793" s="48" t="n"/>
      <c r="M3793" s="48" t="n"/>
      <c r="N3793" s="48" t="n"/>
      <c r="O3793" s="51">
        <f>IF(AND(B3793="",G3793="",C3793="",D3793="",J3793=""),"",IF(B3793="","⚠ Falta fecha",IF(G3793="","⚠ Falta monto",IF(Q3793="","⚠ Falta cuenta",IF(ISNA(MATCH(Q3793,ctaNombre,0)),"⚠ Cuenta no registrada",IF(AND(OR(P3793="Gasto",P3793="Reembolso"),D3793=""),"⚠ Falta categoría",IF(AND(D3793&lt;&gt;"",E3793&lt;&gt;"",ISNA(MATCH(D3793&amp;"|"&amp;E3793,catClave,0))),"⚠ Subcategoría no corresponde",IF(AND(OR(P3793="Transferencia",P3793="Pago tarjeta"),K3793=""),"⚠ Falta cuenta destino",IF(AND(K3793&lt;&gt;"",P3793&lt;&gt;"Transferencia",P3793&lt;&gt;"Pago tarjeta"),"⚠ Destino solo aplica a transferencias",IF(AND(K3793&lt;&gt;"",K3793=Q3793),"⚠ Origen igual a destino",IF(AND(K3793&lt;&gt;"",ISNA(MATCH(K3793,ctaNombre,0))),"⚠ Destino no registrado",IF(AND(P3793="Pago tarjeta",AE3793&lt;&gt;"Tarjeta de crédito"),"⚠ El destino debe ser tarjeta de crédito",IF(AND(P3793="Gasto",E3793="Depósitos y retiros"),"⚠ Usa tipo Transferencia",IF(AND(P3793="Resultado trading",AD3793&lt;&gt;"Cuenta de trading"),"⚠ Usa una cuenta de trading",IF(AND(G3793&lt;=0,P3793&lt;&gt;"Ajuste",P3793&lt;&gt;"Resultado trading"),"⚠ El monto debe ser positivo","✓")))))))))))))))</f>
        <v/>
      </c>
      <c r="P3793" s="52">
        <f>IF(OR(B3793="",G3793=""),"",IF(C3793="","Gasto",C3793))</f>
        <v/>
      </c>
      <c r="Q3793" s="52">
        <f>IF(P3793="","",IF(J3793&lt;&gt;"",J3793,CuentaPred&amp;""))</f>
        <v/>
      </c>
      <c r="R3793" s="52">
        <f>IF(P3793="","",IF(ISNUMBER(I3793),I3793,TasaUSD))</f>
        <v/>
      </c>
      <c r="S3793" s="53">
        <f>IF(P3793="","",IF(H3793="USD",G3793*R3793,G3793))</f>
        <v/>
      </c>
      <c r="T3793" s="53">
        <f>IF(P3793="","",IF(H3793="USD",G3793,IF(R3793&gt;0,G3793/R3793,0)))</f>
        <v/>
      </c>
      <c r="U3793" s="53">
        <f>IF(P3793="","",IF(P3793="Gasto",S3793,IF(P3793="Reembolso",-S3793,0)))</f>
        <v/>
      </c>
      <c r="V3793" s="53">
        <f>IF(P3793="","",IF(P3793="Ingreso",S3793,0))</f>
        <v/>
      </c>
      <c r="W3793" s="53">
        <f>IF(P3793="","",IF(P3793="Resultado trading",S3793,0))</f>
        <v/>
      </c>
      <c r="X3793" s="52">
        <f>IF(OR(P3793="Gasto",P3793="Reembolso"),IF(M3793&lt;&gt;"",M3793,IFERROR(INDEX(catClasif,MATCH(D3793&amp;"|"&amp;E3793,catClave,0))&amp;"","Variable")),"")</f>
        <v/>
      </c>
      <c r="Y3793" s="52">
        <f>IF(P3793="","",IFERROR(INDEX(catGrupo,MATCH(D3793&amp;"|"&amp;E3793,catClave,0))&amp;"",""))</f>
        <v/>
      </c>
      <c r="Z3793" s="52">
        <f>IF(P3793="","",WEEKDAY(B3793,2))</f>
        <v/>
      </c>
      <c r="AA3793" s="52">
        <f>IF(P3793="","",IF(AND(P3793="Gasto",X3793="Variable",D3793&lt;&gt;catTrading,S3793&gt;0,S3793&lt;=Umbral),1,0))</f>
        <v/>
      </c>
      <c r="AB3793" s="52">
        <f>IF(OR(P3793="",Q3793=""),"",IFERROR(IF(INDEX(ctaVinc,MATCH(Q3793,ctaNombre,0))&amp;""&lt;&gt;"",INDEX(ctaVinc,MATCH(Q3793,ctaNombre,0))&amp;"",Q3793),Q3793))</f>
        <v/>
      </c>
      <c r="AC3793" s="52">
        <f>IF(OR(K3793="",AND(P3793&lt;&gt;"Transferencia",P3793&lt;&gt;"Pago tarjeta")),"",IFERROR(IF(INDEX(ctaVinc,MATCH(K3793,ctaNombre,0))&amp;""&lt;&gt;"",INDEX(ctaVinc,MATCH(K3793,ctaNombre,0))&amp;"",K3793),K3793))</f>
        <v/>
      </c>
      <c r="AD3793" s="52">
        <f>IF(AB3793="","",IFERROR(INDEX(ctaTipo,MATCH(AB3793,ctaNombre,0))&amp;"",""))</f>
        <v/>
      </c>
      <c r="AE3793" s="52">
        <f>IF(AC3793="","",IFERROR(INDEX(ctaTipo,MATCH(AC3793,ctaNombre,0))&amp;"",""))</f>
        <v/>
      </c>
      <c r="AF3793" s="53">
        <f>IF(OR(P3793="",AB3793=""),"",IF(OR(P3793="Gasto",P3793="Transferencia",P3793="Pago tarjeta"),-1,1)*IF(IFERROR(INDEX(ctaMoneda,MATCH(AB3793,ctaNombre,0))&amp;"","DOP")="USD",T3793,S3793))</f>
        <v/>
      </c>
      <c r="AG3793" s="53">
        <f>IF(AC3793="","",IF(IFERROR(INDEX(ctaMoneda,MATCH(AC3793,ctaNombre,0))&amp;"","DOP")="USD",T3793,S3793))</f>
        <v/>
      </c>
      <c r="AH3793" s="53">
        <f>IF(P3793="","",IF(AND(AD3793&lt;&gt;"",COUNTIFS(tcTipo,AD3793,tcLiq,"Sí")&gt;0),IF(OR(P3793="Gasto",P3793="Transferencia",P3793="Pago tarjeta"),-1,1)*S3793,0)+IF(AND(AE3793&lt;&gt;"",COUNTIFS(tcTipo,AE3793,tcLiq,"Sí")&gt;0),S3793,0))</f>
        <v/>
      </c>
      <c r="AI3793" s="52">
        <f>IF(OR(L3793="",P3793=""),"",IF(COUNTIFS(L$6:L3793,L3793,P$6:P3793,"?*")=1,MAX(AI$5:AI3792)+1,""))</f>
        <v/>
      </c>
    </row>
    <row r="3794">
      <c r="B3794" s="47" t="n"/>
      <c r="C3794" s="48" t="n"/>
      <c r="D3794" s="48" t="n"/>
      <c r="E3794" s="48" t="n"/>
      <c r="F3794" s="48" t="n"/>
      <c r="G3794" s="49" t="n"/>
      <c r="H3794" s="48" t="n"/>
      <c r="I3794" s="50" t="n"/>
      <c r="J3794" s="48" t="n"/>
      <c r="K3794" s="48" t="n"/>
      <c r="L3794" s="48" t="n"/>
      <c r="M3794" s="48" t="n"/>
      <c r="N3794" s="48" t="n"/>
      <c r="O3794" s="51">
        <f>IF(AND(B3794="",G3794="",C3794="",D3794="",J3794=""),"",IF(B3794="","⚠ Falta fecha",IF(G3794="","⚠ Falta monto",IF(Q3794="","⚠ Falta cuenta",IF(ISNA(MATCH(Q3794,ctaNombre,0)),"⚠ Cuenta no registrada",IF(AND(OR(P3794="Gasto",P3794="Reembolso"),D3794=""),"⚠ Falta categoría",IF(AND(D3794&lt;&gt;"",E3794&lt;&gt;"",ISNA(MATCH(D3794&amp;"|"&amp;E3794,catClave,0))),"⚠ Subcategoría no corresponde",IF(AND(OR(P3794="Transferencia",P3794="Pago tarjeta"),K3794=""),"⚠ Falta cuenta destino",IF(AND(K3794&lt;&gt;"",P3794&lt;&gt;"Transferencia",P3794&lt;&gt;"Pago tarjeta"),"⚠ Destino solo aplica a transferencias",IF(AND(K3794&lt;&gt;"",K3794=Q3794),"⚠ Origen igual a destino",IF(AND(K3794&lt;&gt;"",ISNA(MATCH(K3794,ctaNombre,0))),"⚠ Destino no registrado",IF(AND(P3794="Pago tarjeta",AE3794&lt;&gt;"Tarjeta de crédito"),"⚠ El destino debe ser tarjeta de crédito",IF(AND(P3794="Gasto",E3794="Depósitos y retiros"),"⚠ Usa tipo Transferencia",IF(AND(P3794="Resultado trading",AD3794&lt;&gt;"Cuenta de trading"),"⚠ Usa una cuenta de trading",IF(AND(G3794&lt;=0,P3794&lt;&gt;"Ajuste",P3794&lt;&gt;"Resultado trading"),"⚠ El monto debe ser positivo","✓")))))))))))))))</f>
        <v/>
      </c>
      <c r="P3794" s="52">
        <f>IF(OR(B3794="",G3794=""),"",IF(C3794="","Gasto",C3794))</f>
        <v/>
      </c>
      <c r="Q3794" s="52">
        <f>IF(P3794="","",IF(J3794&lt;&gt;"",J3794,CuentaPred&amp;""))</f>
        <v/>
      </c>
      <c r="R3794" s="52">
        <f>IF(P3794="","",IF(ISNUMBER(I3794),I3794,TasaUSD))</f>
        <v/>
      </c>
      <c r="S3794" s="53">
        <f>IF(P3794="","",IF(H3794="USD",G3794*R3794,G3794))</f>
        <v/>
      </c>
      <c r="T3794" s="53">
        <f>IF(P3794="","",IF(H3794="USD",G3794,IF(R3794&gt;0,G3794/R3794,0)))</f>
        <v/>
      </c>
      <c r="U3794" s="53">
        <f>IF(P3794="","",IF(P3794="Gasto",S3794,IF(P3794="Reembolso",-S3794,0)))</f>
        <v/>
      </c>
      <c r="V3794" s="53">
        <f>IF(P3794="","",IF(P3794="Ingreso",S3794,0))</f>
        <v/>
      </c>
      <c r="W3794" s="53">
        <f>IF(P3794="","",IF(P3794="Resultado trading",S3794,0))</f>
        <v/>
      </c>
      <c r="X3794" s="52">
        <f>IF(OR(P3794="Gasto",P3794="Reembolso"),IF(M3794&lt;&gt;"",M3794,IFERROR(INDEX(catClasif,MATCH(D3794&amp;"|"&amp;E3794,catClave,0))&amp;"","Variable")),"")</f>
        <v/>
      </c>
      <c r="Y3794" s="52">
        <f>IF(P3794="","",IFERROR(INDEX(catGrupo,MATCH(D3794&amp;"|"&amp;E3794,catClave,0))&amp;"",""))</f>
        <v/>
      </c>
      <c r="Z3794" s="52">
        <f>IF(P3794="","",WEEKDAY(B3794,2))</f>
        <v/>
      </c>
      <c r="AA3794" s="52">
        <f>IF(P3794="","",IF(AND(P3794="Gasto",X3794="Variable",D3794&lt;&gt;catTrading,S3794&gt;0,S3794&lt;=Umbral),1,0))</f>
        <v/>
      </c>
      <c r="AB3794" s="52">
        <f>IF(OR(P3794="",Q3794=""),"",IFERROR(IF(INDEX(ctaVinc,MATCH(Q3794,ctaNombre,0))&amp;""&lt;&gt;"",INDEX(ctaVinc,MATCH(Q3794,ctaNombre,0))&amp;"",Q3794),Q3794))</f>
        <v/>
      </c>
      <c r="AC3794" s="52">
        <f>IF(OR(K3794="",AND(P3794&lt;&gt;"Transferencia",P3794&lt;&gt;"Pago tarjeta")),"",IFERROR(IF(INDEX(ctaVinc,MATCH(K3794,ctaNombre,0))&amp;""&lt;&gt;"",INDEX(ctaVinc,MATCH(K3794,ctaNombre,0))&amp;"",K3794),K3794))</f>
        <v/>
      </c>
      <c r="AD3794" s="52">
        <f>IF(AB3794="","",IFERROR(INDEX(ctaTipo,MATCH(AB3794,ctaNombre,0))&amp;"",""))</f>
        <v/>
      </c>
      <c r="AE3794" s="52">
        <f>IF(AC3794="","",IFERROR(INDEX(ctaTipo,MATCH(AC3794,ctaNombre,0))&amp;"",""))</f>
        <v/>
      </c>
      <c r="AF3794" s="53">
        <f>IF(OR(P3794="",AB3794=""),"",IF(OR(P3794="Gasto",P3794="Transferencia",P3794="Pago tarjeta"),-1,1)*IF(IFERROR(INDEX(ctaMoneda,MATCH(AB3794,ctaNombre,0))&amp;"","DOP")="USD",T3794,S3794))</f>
        <v/>
      </c>
      <c r="AG3794" s="53">
        <f>IF(AC3794="","",IF(IFERROR(INDEX(ctaMoneda,MATCH(AC3794,ctaNombre,0))&amp;"","DOP")="USD",T3794,S3794))</f>
        <v/>
      </c>
      <c r="AH3794" s="53">
        <f>IF(P3794="","",IF(AND(AD3794&lt;&gt;"",COUNTIFS(tcTipo,AD3794,tcLiq,"Sí")&gt;0),IF(OR(P3794="Gasto",P3794="Transferencia",P3794="Pago tarjeta"),-1,1)*S3794,0)+IF(AND(AE3794&lt;&gt;"",COUNTIFS(tcTipo,AE3794,tcLiq,"Sí")&gt;0),S3794,0))</f>
        <v/>
      </c>
      <c r="AI3794" s="52">
        <f>IF(OR(L3794="",P3794=""),"",IF(COUNTIFS(L$6:L3794,L3794,P$6:P3794,"?*")=1,MAX(AI$5:AI3793)+1,""))</f>
        <v/>
      </c>
    </row>
    <row r="3795">
      <c r="B3795" s="47" t="n"/>
      <c r="C3795" s="48" t="n"/>
      <c r="D3795" s="48" t="n"/>
      <c r="E3795" s="48" t="n"/>
      <c r="F3795" s="48" t="n"/>
      <c r="G3795" s="49" t="n"/>
      <c r="H3795" s="48" t="n"/>
      <c r="I3795" s="50" t="n"/>
      <c r="J3795" s="48" t="n"/>
      <c r="K3795" s="48" t="n"/>
      <c r="L3795" s="48" t="n"/>
      <c r="M3795" s="48" t="n"/>
      <c r="N3795" s="48" t="n"/>
      <c r="O3795" s="51">
        <f>IF(AND(B3795="",G3795="",C3795="",D3795="",J3795=""),"",IF(B3795="","⚠ Falta fecha",IF(G3795="","⚠ Falta monto",IF(Q3795="","⚠ Falta cuenta",IF(ISNA(MATCH(Q3795,ctaNombre,0)),"⚠ Cuenta no registrada",IF(AND(OR(P3795="Gasto",P3795="Reembolso"),D3795=""),"⚠ Falta categoría",IF(AND(D3795&lt;&gt;"",E3795&lt;&gt;"",ISNA(MATCH(D3795&amp;"|"&amp;E3795,catClave,0))),"⚠ Subcategoría no corresponde",IF(AND(OR(P3795="Transferencia",P3795="Pago tarjeta"),K3795=""),"⚠ Falta cuenta destino",IF(AND(K3795&lt;&gt;"",P3795&lt;&gt;"Transferencia",P3795&lt;&gt;"Pago tarjeta"),"⚠ Destino solo aplica a transferencias",IF(AND(K3795&lt;&gt;"",K3795=Q3795),"⚠ Origen igual a destino",IF(AND(K3795&lt;&gt;"",ISNA(MATCH(K3795,ctaNombre,0))),"⚠ Destino no registrado",IF(AND(P3795="Pago tarjeta",AE3795&lt;&gt;"Tarjeta de crédito"),"⚠ El destino debe ser tarjeta de crédito",IF(AND(P3795="Gasto",E3795="Depósitos y retiros"),"⚠ Usa tipo Transferencia",IF(AND(P3795="Resultado trading",AD3795&lt;&gt;"Cuenta de trading"),"⚠ Usa una cuenta de trading",IF(AND(G3795&lt;=0,P3795&lt;&gt;"Ajuste",P3795&lt;&gt;"Resultado trading"),"⚠ El monto debe ser positivo","✓")))))))))))))))</f>
        <v/>
      </c>
      <c r="P3795" s="52">
        <f>IF(OR(B3795="",G3795=""),"",IF(C3795="","Gasto",C3795))</f>
        <v/>
      </c>
      <c r="Q3795" s="52">
        <f>IF(P3795="","",IF(J3795&lt;&gt;"",J3795,CuentaPred&amp;""))</f>
        <v/>
      </c>
      <c r="R3795" s="52">
        <f>IF(P3795="","",IF(ISNUMBER(I3795),I3795,TasaUSD))</f>
        <v/>
      </c>
      <c r="S3795" s="53">
        <f>IF(P3795="","",IF(H3795="USD",G3795*R3795,G3795))</f>
        <v/>
      </c>
      <c r="T3795" s="53">
        <f>IF(P3795="","",IF(H3795="USD",G3795,IF(R3795&gt;0,G3795/R3795,0)))</f>
        <v/>
      </c>
      <c r="U3795" s="53">
        <f>IF(P3795="","",IF(P3795="Gasto",S3795,IF(P3795="Reembolso",-S3795,0)))</f>
        <v/>
      </c>
      <c r="V3795" s="53">
        <f>IF(P3795="","",IF(P3795="Ingreso",S3795,0))</f>
        <v/>
      </c>
      <c r="W3795" s="53">
        <f>IF(P3795="","",IF(P3795="Resultado trading",S3795,0))</f>
        <v/>
      </c>
      <c r="X3795" s="52">
        <f>IF(OR(P3795="Gasto",P3795="Reembolso"),IF(M3795&lt;&gt;"",M3795,IFERROR(INDEX(catClasif,MATCH(D3795&amp;"|"&amp;E3795,catClave,0))&amp;"","Variable")),"")</f>
        <v/>
      </c>
      <c r="Y3795" s="52">
        <f>IF(P3795="","",IFERROR(INDEX(catGrupo,MATCH(D3795&amp;"|"&amp;E3795,catClave,0))&amp;"",""))</f>
        <v/>
      </c>
      <c r="Z3795" s="52">
        <f>IF(P3795="","",WEEKDAY(B3795,2))</f>
        <v/>
      </c>
      <c r="AA3795" s="52">
        <f>IF(P3795="","",IF(AND(P3795="Gasto",X3795="Variable",D3795&lt;&gt;catTrading,S3795&gt;0,S3795&lt;=Umbral),1,0))</f>
        <v/>
      </c>
      <c r="AB3795" s="52">
        <f>IF(OR(P3795="",Q3795=""),"",IFERROR(IF(INDEX(ctaVinc,MATCH(Q3795,ctaNombre,0))&amp;""&lt;&gt;"",INDEX(ctaVinc,MATCH(Q3795,ctaNombre,0))&amp;"",Q3795),Q3795))</f>
        <v/>
      </c>
      <c r="AC3795" s="52">
        <f>IF(OR(K3795="",AND(P3795&lt;&gt;"Transferencia",P3795&lt;&gt;"Pago tarjeta")),"",IFERROR(IF(INDEX(ctaVinc,MATCH(K3795,ctaNombre,0))&amp;""&lt;&gt;"",INDEX(ctaVinc,MATCH(K3795,ctaNombre,0))&amp;"",K3795),K3795))</f>
        <v/>
      </c>
      <c r="AD3795" s="52">
        <f>IF(AB3795="","",IFERROR(INDEX(ctaTipo,MATCH(AB3795,ctaNombre,0))&amp;"",""))</f>
        <v/>
      </c>
      <c r="AE3795" s="52">
        <f>IF(AC3795="","",IFERROR(INDEX(ctaTipo,MATCH(AC3795,ctaNombre,0))&amp;"",""))</f>
        <v/>
      </c>
      <c r="AF3795" s="53">
        <f>IF(OR(P3795="",AB3795=""),"",IF(OR(P3795="Gasto",P3795="Transferencia",P3795="Pago tarjeta"),-1,1)*IF(IFERROR(INDEX(ctaMoneda,MATCH(AB3795,ctaNombre,0))&amp;"","DOP")="USD",T3795,S3795))</f>
        <v/>
      </c>
      <c r="AG3795" s="53">
        <f>IF(AC3795="","",IF(IFERROR(INDEX(ctaMoneda,MATCH(AC3795,ctaNombre,0))&amp;"","DOP")="USD",T3795,S3795))</f>
        <v/>
      </c>
      <c r="AH3795" s="53">
        <f>IF(P3795="","",IF(AND(AD3795&lt;&gt;"",COUNTIFS(tcTipo,AD3795,tcLiq,"Sí")&gt;0),IF(OR(P3795="Gasto",P3795="Transferencia",P3795="Pago tarjeta"),-1,1)*S3795,0)+IF(AND(AE3795&lt;&gt;"",COUNTIFS(tcTipo,AE3795,tcLiq,"Sí")&gt;0),S3795,0))</f>
        <v/>
      </c>
      <c r="AI3795" s="52">
        <f>IF(OR(L3795="",P3795=""),"",IF(COUNTIFS(L$6:L3795,L3795,P$6:P3795,"?*")=1,MAX(AI$5:AI3794)+1,""))</f>
        <v/>
      </c>
    </row>
    <row r="3796">
      <c r="B3796" s="47" t="n"/>
      <c r="C3796" s="48" t="n"/>
      <c r="D3796" s="48" t="n"/>
      <c r="E3796" s="48" t="n"/>
      <c r="F3796" s="48" t="n"/>
      <c r="G3796" s="49" t="n"/>
      <c r="H3796" s="48" t="n"/>
      <c r="I3796" s="50" t="n"/>
      <c r="J3796" s="48" t="n"/>
      <c r="K3796" s="48" t="n"/>
      <c r="L3796" s="48" t="n"/>
      <c r="M3796" s="48" t="n"/>
      <c r="N3796" s="48" t="n"/>
      <c r="O3796" s="51">
        <f>IF(AND(B3796="",G3796="",C3796="",D3796="",J3796=""),"",IF(B3796="","⚠ Falta fecha",IF(G3796="","⚠ Falta monto",IF(Q3796="","⚠ Falta cuenta",IF(ISNA(MATCH(Q3796,ctaNombre,0)),"⚠ Cuenta no registrada",IF(AND(OR(P3796="Gasto",P3796="Reembolso"),D3796=""),"⚠ Falta categoría",IF(AND(D3796&lt;&gt;"",E3796&lt;&gt;"",ISNA(MATCH(D3796&amp;"|"&amp;E3796,catClave,0))),"⚠ Subcategoría no corresponde",IF(AND(OR(P3796="Transferencia",P3796="Pago tarjeta"),K3796=""),"⚠ Falta cuenta destino",IF(AND(K3796&lt;&gt;"",P3796&lt;&gt;"Transferencia",P3796&lt;&gt;"Pago tarjeta"),"⚠ Destino solo aplica a transferencias",IF(AND(K3796&lt;&gt;"",K3796=Q3796),"⚠ Origen igual a destino",IF(AND(K3796&lt;&gt;"",ISNA(MATCH(K3796,ctaNombre,0))),"⚠ Destino no registrado",IF(AND(P3796="Pago tarjeta",AE3796&lt;&gt;"Tarjeta de crédito"),"⚠ El destino debe ser tarjeta de crédito",IF(AND(P3796="Gasto",E3796="Depósitos y retiros"),"⚠ Usa tipo Transferencia",IF(AND(P3796="Resultado trading",AD3796&lt;&gt;"Cuenta de trading"),"⚠ Usa una cuenta de trading",IF(AND(G3796&lt;=0,P3796&lt;&gt;"Ajuste",P3796&lt;&gt;"Resultado trading"),"⚠ El monto debe ser positivo","✓")))))))))))))))</f>
        <v/>
      </c>
      <c r="P3796" s="52">
        <f>IF(OR(B3796="",G3796=""),"",IF(C3796="","Gasto",C3796))</f>
        <v/>
      </c>
      <c r="Q3796" s="52">
        <f>IF(P3796="","",IF(J3796&lt;&gt;"",J3796,CuentaPred&amp;""))</f>
        <v/>
      </c>
      <c r="R3796" s="52">
        <f>IF(P3796="","",IF(ISNUMBER(I3796),I3796,TasaUSD))</f>
        <v/>
      </c>
      <c r="S3796" s="53">
        <f>IF(P3796="","",IF(H3796="USD",G3796*R3796,G3796))</f>
        <v/>
      </c>
      <c r="T3796" s="53">
        <f>IF(P3796="","",IF(H3796="USD",G3796,IF(R3796&gt;0,G3796/R3796,0)))</f>
        <v/>
      </c>
      <c r="U3796" s="53">
        <f>IF(P3796="","",IF(P3796="Gasto",S3796,IF(P3796="Reembolso",-S3796,0)))</f>
        <v/>
      </c>
      <c r="V3796" s="53">
        <f>IF(P3796="","",IF(P3796="Ingreso",S3796,0))</f>
        <v/>
      </c>
      <c r="W3796" s="53">
        <f>IF(P3796="","",IF(P3796="Resultado trading",S3796,0))</f>
        <v/>
      </c>
      <c r="X3796" s="52">
        <f>IF(OR(P3796="Gasto",P3796="Reembolso"),IF(M3796&lt;&gt;"",M3796,IFERROR(INDEX(catClasif,MATCH(D3796&amp;"|"&amp;E3796,catClave,0))&amp;"","Variable")),"")</f>
        <v/>
      </c>
      <c r="Y3796" s="52">
        <f>IF(P3796="","",IFERROR(INDEX(catGrupo,MATCH(D3796&amp;"|"&amp;E3796,catClave,0))&amp;"",""))</f>
        <v/>
      </c>
      <c r="Z3796" s="52">
        <f>IF(P3796="","",WEEKDAY(B3796,2))</f>
        <v/>
      </c>
      <c r="AA3796" s="52">
        <f>IF(P3796="","",IF(AND(P3796="Gasto",X3796="Variable",D3796&lt;&gt;catTrading,S3796&gt;0,S3796&lt;=Umbral),1,0))</f>
        <v/>
      </c>
      <c r="AB3796" s="52">
        <f>IF(OR(P3796="",Q3796=""),"",IFERROR(IF(INDEX(ctaVinc,MATCH(Q3796,ctaNombre,0))&amp;""&lt;&gt;"",INDEX(ctaVinc,MATCH(Q3796,ctaNombre,0))&amp;"",Q3796),Q3796))</f>
        <v/>
      </c>
      <c r="AC3796" s="52">
        <f>IF(OR(K3796="",AND(P3796&lt;&gt;"Transferencia",P3796&lt;&gt;"Pago tarjeta")),"",IFERROR(IF(INDEX(ctaVinc,MATCH(K3796,ctaNombre,0))&amp;""&lt;&gt;"",INDEX(ctaVinc,MATCH(K3796,ctaNombre,0))&amp;"",K3796),K3796))</f>
        <v/>
      </c>
      <c r="AD3796" s="52">
        <f>IF(AB3796="","",IFERROR(INDEX(ctaTipo,MATCH(AB3796,ctaNombre,0))&amp;"",""))</f>
        <v/>
      </c>
      <c r="AE3796" s="52">
        <f>IF(AC3796="","",IFERROR(INDEX(ctaTipo,MATCH(AC3796,ctaNombre,0))&amp;"",""))</f>
        <v/>
      </c>
      <c r="AF3796" s="53">
        <f>IF(OR(P3796="",AB3796=""),"",IF(OR(P3796="Gasto",P3796="Transferencia",P3796="Pago tarjeta"),-1,1)*IF(IFERROR(INDEX(ctaMoneda,MATCH(AB3796,ctaNombre,0))&amp;"","DOP")="USD",T3796,S3796))</f>
        <v/>
      </c>
      <c r="AG3796" s="53">
        <f>IF(AC3796="","",IF(IFERROR(INDEX(ctaMoneda,MATCH(AC3796,ctaNombre,0))&amp;"","DOP")="USD",T3796,S3796))</f>
        <v/>
      </c>
      <c r="AH3796" s="53">
        <f>IF(P3796="","",IF(AND(AD3796&lt;&gt;"",COUNTIFS(tcTipo,AD3796,tcLiq,"Sí")&gt;0),IF(OR(P3796="Gasto",P3796="Transferencia",P3796="Pago tarjeta"),-1,1)*S3796,0)+IF(AND(AE3796&lt;&gt;"",COUNTIFS(tcTipo,AE3796,tcLiq,"Sí")&gt;0),S3796,0))</f>
        <v/>
      </c>
      <c r="AI3796" s="52">
        <f>IF(OR(L3796="",P3796=""),"",IF(COUNTIFS(L$6:L3796,L3796,P$6:P3796,"?*")=1,MAX(AI$5:AI3795)+1,""))</f>
        <v/>
      </c>
    </row>
    <row r="3797">
      <c r="B3797" s="47" t="n"/>
      <c r="C3797" s="48" t="n"/>
      <c r="D3797" s="48" t="n"/>
      <c r="E3797" s="48" t="n"/>
      <c r="F3797" s="48" t="n"/>
      <c r="G3797" s="49" t="n"/>
      <c r="H3797" s="48" t="n"/>
      <c r="I3797" s="50" t="n"/>
      <c r="J3797" s="48" t="n"/>
      <c r="K3797" s="48" t="n"/>
      <c r="L3797" s="48" t="n"/>
      <c r="M3797" s="48" t="n"/>
      <c r="N3797" s="48" t="n"/>
      <c r="O3797" s="51">
        <f>IF(AND(B3797="",G3797="",C3797="",D3797="",J3797=""),"",IF(B3797="","⚠ Falta fecha",IF(G3797="","⚠ Falta monto",IF(Q3797="","⚠ Falta cuenta",IF(ISNA(MATCH(Q3797,ctaNombre,0)),"⚠ Cuenta no registrada",IF(AND(OR(P3797="Gasto",P3797="Reembolso"),D3797=""),"⚠ Falta categoría",IF(AND(D3797&lt;&gt;"",E3797&lt;&gt;"",ISNA(MATCH(D3797&amp;"|"&amp;E3797,catClave,0))),"⚠ Subcategoría no corresponde",IF(AND(OR(P3797="Transferencia",P3797="Pago tarjeta"),K3797=""),"⚠ Falta cuenta destino",IF(AND(K3797&lt;&gt;"",P3797&lt;&gt;"Transferencia",P3797&lt;&gt;"Pago tarjeta"),"⚠ Destino solo aplica a transferencias",IF(AND(K3797&lt;&gt;"",K3797=Q3797),"⚠ Origen igual a destino",IF(AND(K3797&lt;&gt;"",ISNA(MATCH(K3797,ctaNombre,0))),"⚠ Destino no registrado",IF(AND(P3797="Pago tarjeta",AE3797&lt;&gt;"Tarjeta de crédito"),"⚠ El destino debe ser tarjeta de crédito",IF(AND(P3797="Gasto",E3797="Depósitos y retiros"),"⚠ Usa tipo Transferencia",IF(AND(P3797="Resultado trading",AD3797&lt;&gt;"Cuenta de trading"),"⚠ Usa una cuenta de trading",IF(AND(G3797&lt;=0,P3797&lt;&gt;"Ajuste",P3797&lt;&gt;"Resultado trading"),"⚠ El monto debe ser positivo","✓")))))))))))))))</f>
        <v/>
      </c>
      <c r="P3797" s="52">
        <f>IF(OR(B3797="",G3797=""),"",IF(C3797="","Gasto",C3797))</f>
        <v/>
      </c>
      <c r="Q3797" s="52">
        <f>IF(P3797="","",IF(J3797&lt;&gt;"",J3797,CuentaPred&amp;""))</f>
        <v/>
      </c>
      <c r="R3797" s="52">
        <f>IF(P3797="","",IF(ISNUMBER(I3797),I3797,TasaUSD))</f>
        <v/>
      </c>
      <c r="S3797" s="53">
        <f>IF(P3797="","",IF(H3797="USD",G3797*R3797,G3797))</f>
        <v/>
      </c>
      <c r="T3797" s="53">
        <f>IF(P3797="","",IF(H3797="USD",G3797,IF(R3797&gt;0,G3797/R3797,0)))</f>
        <v/>
      </c>
      <c r="U3797" s="53">
        <f>IF(P3797="","",IF(P3797="Gasto",S3797,IF(P3797="Reembolso",-S3797,0)))</f>
        <v/>
      </c>
      <c r="V3797" s="53">
        <f>IF(P3797="","",IF(P3797="Ingreso",S3797,0))</f>
        <v/>
      </c>
      <c r="W3797" s="53">
        <f>IF(P3797="","",IF(P3797="Resultado trading",S3797,0))</f>
        <v/>
      </c>
      <c r="X3797" s="52">
        <f>IF(OR(P3797="Gasto",P3797="Reembolso"),IF(M3797&lt;&gt;"",M3797,IFERROR(INDEX(catClasif,MATCH(D3797&amp;"|"&amp;E3797,catClave,0))&amp;"","Variable")),"")</f>
        <v/>
      </c>
      <c r="Y3797" s="52">
        <f>IF(P3797="","",IFERROR(INDEX(catGrupo,MATCH(D3797&amp;"|"&amp;E3797,catClave,0))&amp;"",""))</f>
        <v/>
      </c>
      <c r="Z3797" s="52">
        <f>IF(P3797="","",WEEKDAY(B3797,2))</f>
        <v/>
      </c>
      <c r="AA3797" s="52">
        <f>IF(P3797="","",IF(AND(P3797="Gasto",X3797="Variable",D3797&lt;&gt;catTrading,S3797&gt;0,S3797&lt;=Umbral),1,0))</f>
        <v/>
      </c>
      <c r="AB3797" s="52">
        <f>IF(OR(P3797="",Q3797=""),"",IFERROR(IF(INDEX(ctaVinc,MATCH(Q3797,ctaNombre,0))&amp;""&lt;&gt;"",INDEX(ctaVinc,MATCH(Q3797,ctaNombre,0))&amp;"",Q3797),Q3797))</f>
        <v/>
      </c>
      <c r="AC3797" s="52">
        <f>IF(OR(K3797="",AND(P3797&lt;&gt;"Transferencia",P3797&lt;&gt;"Pago tarjeta")),"",IFERROR(IF(INDEX(ctaVinc,MATCH(K3797,ctaNombre,0))&amp;""&lt;&gt;"",INDEX(ctaVinc,MATCH(K3797,ctaNombre,0))&amp;"",K3797),K3797))</f>
        <v/>
      </c>
      <c r="AD3797" s="52">
        <f>IF(AB3797="","",IFERROR(INDEX(ctaTipo,MATCH(AB3797,ctaNombre,0))&amp;"",""))</f>
        <v/>
      </c>
      <c r="AE3797" s="52">
        <f>IF(AC3797="","",IFERROR(INDEX(ctaTipo,MATCH(AC3797,ctaNombre,0))&amp;"",""))</f>
        <v/>
      </c>
      <c r="AF3797" s="53">
        <f>IF(OR(P3797="",AB3797=""),"",IF(OR(P3797="Gasto",P3797="Transferencia",P3797="Pago tarjeta"),-1,1)*IF(IFERROR(INDEX(ctaMoneda,MATCH(AB3797,ctaNombre,0))&amp;"","DOP")="USD",T3797,S3797))</f>
        <v/>
      </c>
      <c r="AG3797" s="53">
        <f>IF(AC3797="","",IF(IFERROR(INDEX(ctaMoneda,MATCH(AC3797,ctaNombre,0))&amp;"","DOP")="USD",T3797,S3797))</f>
        <v/>
      </c>
      <c r="AH3797" s="53">
        <f>IF(P3797="","",IF(AND(AD3797&lt;&gt;"",COUNTIFS(tcTipo,AD3797,tcLiq,"Sí")&gt;0),IF(OR(P3797="Gasto",P3797="Transferencia",P3797="Pago tarjeta"),-1,1)*S3797,0)+IF(AND(AE3797&lt;&gt;"",COUNTIFS(tcTipo,AE3797,tcLiq,"Sí")&gt;0),S3797,0))</f>
        <v/>
      </c>
      <c r="AI3797" s="52">
        <f>IF(OR(L3797="",P3797=""),"",IF(COUNTIFS(L$6:L3797,L3797,P$6:P3797,"?*")=1,MAX(AI$5:AI3796)+1,""))</f>
        <v/>
      </c>
    </row>
    <row r="3798">
      <c r="B3798" s="47" t="n"/>
      <c r="C3798" s="48" t="n"/>
      <c r="D3798" s="48" t="n"/>
      <c r="E3798" s="48" t="n"/>
      <c r="F3798" s="48" t="n"/>
      <c r="G3798" s="49" t="n"/>
      <c r="H3798" s="48" t="n"/>
      <c r="I3798" s="50" t="n"/>
      <c r="J3798" s="48" t="n"/>
      <c r="K3798" s="48" t="n"/>
      <c r="L3798" s="48" t="n"/>
      <c r="M3798" s="48" t="n"/>
      <c r="N3798" s="48" t="n"/>
      <c r="O3798" s="51">
        <f>IF(AND(B3798="",G3798="",C3798="",D3798="",J3798=""),"",IF(B3798="","⚠ Falta fecha",IF(G3798="","⚠ Falta monto",IF(Q3798="","⚠ Falta cuenta",IF(ISNA(MATCH(Q3798,ctaNombre,0)),"⚠ Cuenta no registrada",IF(AND(OR(P3798="Gasto",P3798="Reembolso"),D3798=""),"⚠ Falta categoría",IF(AND(D3798&lt;&gt;"",E3798&lt;&gt;"",ISNA(MATCH(D3798&amp;"|"&amp;E3798,catClave,0))),"⚠ Subcategoría no corresponde",IF(AND(OR(P3798="Transferencia",P3798="Pago tarjeta"),K3798=""),"⚠ Falta cuenta destino",IF(AND(K3798&lt;&gt;"",P3798&lt;&gt;"Transferencia",P3798&lt;&gt;"Pago tarjeta"),"⚠ Destino solo aplica a transferencias",IF(AND(K3798&lt;&gt;"",K3798=Q3798),"⚠ Origen igual a destino",IF(AND(K3798&lt;&gt;"",ISNA(MATCH(K3798,ctaNombre,0))),"⚠ Destino no registrado",IF(AND(P3798="Pago tarjeta",AE3798&lt;&gt;"Tarjeta de crédito"),"⚠ El destino debe ser tarjeta de crédito",IF(AND(P3798="Gasto",E3798="Depósitos y retiros"),"⚠ Usa tipo Transferencia",IF(AND(P3798="Resultado trading",AD3798&lt;&gt;"Cuenta de trading"),"⚠ Usa una cuenta de trading",IF(AND(G3798&lt;=0,P3798&lt;&gt;"Ajuste",P3798&lt;&gt;"Resultado trading"),"⚠ El monto debe ser positivo","✓")))))))))))))))</f>
        <v/>
      </c>
      <c r="P3798" s="52">
        <f>IF(OR(B3798="",G3798=""),"",IF(C3798="","Gasto",C3798))</f>
        <v/>
      </c>
      <c r="Q3798" s="52">
        <f>IF(P3798="","",IF(J3798&lt;&gt;"",J3798,CuentaPred&amp;""))</f>
        <v/>
      </c>
      <c r="R3798" s="52">
        <f>IF(P3798="","",IF(ISNUMBER(I3798),I3798,TasaUSD))</f>
        <v/>
      </c>
      <c r="S3798" s="53">
        <f>IF(P3798="","",IF(H3798="USD",G3798*R3798,G3798))</f>
        <v/>
      </c>
      <c r="T3798" s="53">
        <f>IF(P3798="","",IF(H3798="USD",G3798,IF(R3798&gt;0,G3798/R3798,0)))</f>
        <v/>
      </c>
      <c r="U3798" s="53">
        <f>IF(P3798="","",IF(P3798="Gasto",S3798,IF(P3798="Reembolso",-S3798,0)))</f>
        <v/>
      </c>
      <c r="V3798" s="53">
        <f>IF(P3798="","",IF(P3798="Ingreso",S3798,0))</f>
        <v/>
      </c>
      <c r="W3798" s="53">
        <f>IF(P3798="","",IF(P3798="Resultado trading",S3798,0))</f>
        <v/>
      </c>
      <c r="X3798" s="52">
        <f>IF(OR(P3798="Gasto",P3798="Reembolso"),IF(M3798&lt;&gt;"",M3798,IFERROR(INDEX(catClasif,MATCH(D3798&amp;"|"&amp;E3798,catClave,0))&amp;"","Variable")),"")</f>
        <v/>
      </c>
      <c r="Y3798" s="52">
        <f>IF(P3798="","",IFERROR(INDEX(catGrupo,MATCH(D3798&amp;"|"&amp;E3798,catClave,0))&amp;"",""))</f>
        <v/>
      </c>
      <c r="Z3798" s="52">
        <f>IF(P3798="","",WEEKDAY(B3798,2))</f>
        <v/>
      </c>
      <c r="AA3798" s="52">
        <f>IF(P3798="","",IF(AND(P3798="Gasto",X3798="Variable",D3798&lt;&gt;catTrading,S3798&gt;0,S3798&lt;=Umbral),1,0))</f>
        <v/>
      </c>
      <c r="AB3798" s="52">
        <f>IF(OR(P3798="",Q3798=""),"",IFERROR(IF(INDEX(ctaVinc,MATCH(Q3798,ctaNombre,0))&amp;""&lt;&gt;"",INDEX(ctaVinc,MATCH(Q3798,ctaNombre,0))&amp;"",Q3798),Q3798))</f>
        <v/>
      </c>
      <c r="AC3798" s="52">
        <f>IF(OR(K3798="",AND(P3798&lt;&gt;"Transferencia",P3798&lt;&gt;"Pago tarjeta")),"",IFERROR(IF(INDEX(ctaVinc,MATCH(K3798,ctaNombre,0))&amp;""&lt;&gt;"",INDEX(ctaVinc,MATCH(K3798,ctaNombre,0))&amp;"",K3798),K3798))</f>
        <v/>
      </c>
      <c r="AD3798" s="52">
        <f>IF(AB3798="","",IFERROR(INDEX(ctaTipo,MATCH(AB3798,ctaNombre,0))&amp;"",""))</f>
        <v/>
      </c>
      <c r="AE3798" s="52">
        <f>IF(AC3798="","",IFERROR(INDEX(ctaTipo,MATCH(AC3798,ctaNombre,0))&amp;"",""))</f>
        <v/>
      </c>
      <c r="AF3798" s="53">
        <f>IF(OR(P3798="",AB3798=""),"",IF(OR(P3798="Gasto",P3798="Transferencia",P3798="Pago tarjeta"),-1,1)*IF(IFERROR(INDEX(ctaMoneda,MATCH(AB3798,ctaNombre,0))&amp;"","DOP")="USD",T3798,S3798))</f>
        <v/>
      </c>
      <c r="AG3798" s="53">
        <f>IF(AC3798="","",IF(IFERROR(INDEX(ctaMoneda,MATCH(AC3798,ctaNombre,0))&amp;"","DOP")="USD",T3798,S3798))</f>
        <v/>
      </c>
      <c r="AH3798" s="53">
        <f>IF(P3798="","",IF(AND(AD3798&lt;&gt;"",COUNTIFS(tcTipo,AD3798,tcLiq,"Sí")&gt;0),IF(OR(P3798="Gasto",P3798="Transferencia",P3798="Pago tarjeta"),-1,1)*S3798,0)+IF(AND(AE3798&lt;&gt;"",COUNTIFS(tcTipo,AE3798,tcLiq,"Sí")&gt;0),S3798,0))</f>
        <v/>
      </c>
      <c r="AI3798" s="52">
        <f>IF(OR(L3798="",P3798=""),"",IF(COUNTIFS(L$6:L3798,L3798,P$6:P3798,"?*")=1,MAX(AI$5:AI3797)+1,""))</f>
        <v/>
      </c>
    </row>
    <row r="3799">
      <c r="B3799" s="47" t="n"/>
      <c r="C3799" s="48" t="n"/>
      <c r="D3799" s="48" t="n"/>
      <c r="E3799" s="48" t="n"/>
      <c r="F3799" s="48" t="n"/>
      <c r="G3799" s="49" t="n"/>
      <c r="H3799" s="48" t="n"/>
      <c r="I3799" s="50" t="n"/>
      <c r="J3799" s="48" t="n"/>
      <c r="K3799" s="48" t="n"/>
      <c r="L3799" s="48" t="n"/>
      <c r="M3799" s="48" t="n"/>
      <c r="N3799" s="48" t="n"/>
      <c r="O3799" s="51">
        <f>IF(AND(B3799="",G3799="",C3799="",D3799="",J3799=""),"",IF(B3799="","⚠ Falta fecha",IF(G3799="","⚠ Falta monto",IF(Q3799="","⚠ Falta cuenta",IF(ISNA(MATCH(Q3799,ctaNombre,0)),"⚠ Cuenta no registrada",IF(AND(OR(P3799="Gasto",P3799="Reembolso"),D3799=""),"⚠ Falta categoría",IF(AND(D3799&lt;&gt;"",E3799&lt;&gt;"",ISNA(MATCH(D3799&amp;"|"&amp;E3799,catClave,0))),"⚠ Subcategoría no corresponde",IF(AND(OR(P3799="Transferencia",P3799="Pago tarjeta"),K3799=""),"⚠ Falta cuenta destino",IF(AND(K3799&lt;&gt;"",P3799&lt;&gt;"Transferencia",P3799&lt;&gt;"Pago tarjeta"),"⚠ Destino solo aplica a transferencias",IF(AND(K3799&lt;&gt;"",K3799=Q3799),"⚠ Origen igual a destino",IF(AND(K3799&lt;&gt;"",ISNA(MATCH(K3799,ctaNombre,0))),"⚠ Destino no registrado",IF(AND(P3799="Pago tarjeta",AE3799&lt;&gt;"Tarjeta de crédito"),"⚠ El destino debe ser tarjeta de crédito",IF(AND(P3799="Gasto",E3799="Depósitos y retiros"),"⚠ Usa tipo Transferencia",IF(AND(P3799="Resultado trading",AD3799&lt;&gt;"Cuenta de trading"),"⚠ Usa una cuenta de trading",IF(AND(G3799&lt;=0,P3799&lt;&gt;"Ajuste",P3799&lt;&gt;"Resultado trading"),"⚠ El monto debe ser positivo","✓")))))))))))))))</f>
        <v/>
      </c>
      <c r="P3799" s="52">
        <f>IF(OR(B3799="",G3799=""),"",IF(C3799="","Gasto",C3799))</f>
        <v/>
      </c>
      <c r="Q3799" s="52">
        <f>IF(P3799="","",IF(J3799&lt;&gt;"",J3799,CuentaPred&amp;""))</f>
        <v/>
      </c>
      <c r="R3799" s="52">
        <f>IF(P3799="","",IF(ISNUMBER(I3799),I3799,TasaUSD))</f>
        <v/>
      </c>
      <c r="S3799" s="53">
        <f>IF(P3799="","",IF(H3799="USD",G3799*R3799,G3799))</f>
        <v/>
      </c>
      <c r="T3799" s="53">
        <f>IF(P3799="","",IF(H3799="USD",G3799,IF(R3799&gt;0,G3799/R3799,0)))</f>
        <v/>
      </c>
      <c r="U3799" s="53">
        <f>IF(P3799="","",IF(P3799="Gasto",S3799,IF(P3799="Reembolso",-S3799,0)))</f>
        <v/>
      </c>
      <c r="V3799" s="53">
        <f>IF(P3799="","",IF(P3799="Ingreso",S3799,0))</f>
        <v/>
      </c>
      <c r="W3799" s="53">
        <f>IF(P3799="","",IF(P3799="Resultado trading",S3799,0))</f>
        <v/>
      </c>
      <c r="X3799" s="52">
        <f>IF(OR(P3799="Gasto",P3799="Reembolso"),IF(M3799&lt;&gt;"",M3799,IFERROR(INDEX(catClasif,MATCH(D3799&amp;"|"&amp;E3799,catClave,0))&amp;"","Variable")),"")</f>
        <v/>
      </c>
      <c r="Y3799" s="52">
        <f>IF(P3799="","",IFERROR(INDEX(catGrupo,MATCH(D3799&amp;"|"&amp;E3799,catClave,0))&amp;"",""))</f>
        <v/>
      </c>
      <c r="Z3799" s="52">
        <f>IF(P3799="","",WEEKDAY(B3799,2))</f>
        <v/>
      </c>
      <c r="AA3799" s="52">
        <f>IF(P3799="","",IF(AND(P3799="Gasto",X3799="Variable",D3799&lt;&gt;catTrading,S3799&gt;0,S3799&lt;=Umbral),1,0))</f>
        <v/>
      </c>
      <c r="AB3799" s="52">
        <f>IF(OR(P3799="",Q3799=""),"",IFERROR(IF(INDEX(ctaVinc,MATCH(Q3799,ctaNombre,0))&amp;""&lt;&gt;"",INDEX(ctaVinc,MATCH(Q3799,ctaNombre,0))&amp;"",Q3799),Q3799))</f>
        <v/>
      </c>
      <c r="AC3799" s="52">
        <f>IF(OR(K3799="",AND(P3799&lt;&gt;"Transferencia",P3799&lt;&gt;"Pago tarjeta")),"",IFERROR(IF(INDEX(ctaVinc,MATCH(K3799,ctaNombre,0))&amp;""&lt;&gt;"",INDEX(ctaVinc,MATCH(K3799,ctaNombre,0))&amp;"",K3799),K3799))</f>
        <v/>
      </c>
      <c r="AD3799" s="52">
        <f>IF(AB3799="","",IFERROR(INDEX(ctaTipo,MATCH(AB3799,ctaNombre,0))&amp;"",""))</f>
        <v/>
      </c>
      <c r="AE3799" s="52">
        <f>IF(AC3799="","",IFERROR(INDEX(ctaTipo,MATCH(AC3799,ctaNombre,0))&amp;"",""))</f>
        <v/>
      </c>
      <c r="AF3799" s="53">
        <f>IF(OR(P3799="",AB3799=""),"",IF(OR(P3799="Gasto",P3799="Transferencia",P3799="Pago tarjeta"),-1,1)*IF(IFERROR(INDEX(ctaMoneda,MATCH(AB3799,ctaNombre,0))&amp;"","DOP")="USD",T3799,S3799))</f>
        <v/>
      </c>
      <c r="AG3799" s="53">
        <f>IF(AC3799="","",IF(IFERROR(INDEX(ctaMoneda,MATCH(AC3799,ctaNombre,0))&amp;"","DOP")="USD",T3799,S3799))</f>
        <v/>
      </c>
      <c r="AH3799" s="53">
        <f>IF(P3799="","",IF(AND(AD3799&lt;&gt;"",COUNTIFS(tcTipo,AD3799,tcLiq,"Sí")&gt;0),IF(OR(P3799="Gasto",P3799="Transferencia",P3799="Pago tarjeta"),-1,1)*S3799,0)+IF(AND(AE3799&lt;&gt;"",COUNTIFS(tcTipo,AE3799,tcLiq,"Sí")&gt;0),S3799,0))</f>
        <v/>
      </c>
      <c r="AI3799" s="52">
        <f>IF(OR(L3799="",P3799=""),"",IF(COUNTIFS(L$6:L3799,L3799,P$6:P3799,"?*")=1,MAX(AI$5:AI3798)+1,""))</f>
        <v/>
      </c>
    </row>
    <row r="3800">
      <c r="B3800" s="47" t="n"/>
      <c r="C3800" s="48" t="n"/>
      <c r="D3800" s="48" t="n"/>
      <c r="E3800" s="48" t="n"/>
      <c r="F3800" s="48" t="n"/>
      <c r="G3800" s="49" t="n"/>
      <c r="H3800" s="48" t="n"/>
      <c r="I3800" s="50" t="n"/>
      <c r="J3800" s="48" t="n"/>
      <c r="K3800" s="48" t="n"/>
      <c r="L3800" s="48" t="n"/>
      <c r="M3800" s="48" t="n"/>
      <c r="N3800" s="48" t="n"/>
      <c r="O3800" s="51">
        <f>IF(AND(B3800="",G3800="",C3800="",D3800="",J3800=""),"",IF(B3800="","⚠ Falta fecha",IF(G3800="","⚠ Falta monto",IF(Q3800="","⚠ Falta cuenta",IF(ISNA(MATCH(Q3800,ctaNombre,0)),"⚠ Cuenta no registrada",IF(AND(OR(P3800="Gasto",P3800="Reembolso"),D3800=""),"⚠ Falta categoría",IF(AND(D3800&lt;&gt;"",E3800&lt;&gt;"",ISNA(MATCH(D3800&amp;"|"&amp;E3800,catClave,0))),"⚠ Subcategoría no corresponde",IF(AND(OR(P3800="Transferencia",P3800="Pago tarjeta"),K3800=""),"⚠ Falta cuenta destino",IF(AND(K3800&lt;&gt;"",P3800&lt;&gt;"Transferencia",P3800&lt;&gt;"Pago tarjeta"),"⚠ Destino solo aplica a transferencias",IF(AND(K3800&lt;&gt;"",K3800=Q3800),"⚠ Origen igual a destino",IF(AND(K3800&lt;&gt;"",ISNA(MATCH(K3800,ctaNombre,0))),"⚠ Destino no registrado",IF(AND(P3800="Pago tarjeta",AE3800&lt;&gt;"Tarjeta de crédito"),"⚠ El destino debe ser tarjeta de crédito",IF(AND(P3800="Gasto",E3800="Depósitos y retiros"),"⚠ Usa tipo Transferencia",IF(AND(P3800="Resultado trading",AD3800&lt;&gt;"Cuenta de trading"),"⚠ Usa una cuenta de trading",IF(AND(G3800&lt;=0,P3800&lt;&gt;"Ajuste",P3800&lt;&gt;"Resultado trading"),"⚠ El monto debe ser positivo","✓")))))))))))))))</f>
        <v/>
      </c>
      <c r="P3800" s="52">
        <f>IF(OR(B3800="",G3800=""),"",IF(C3800="","Gasto",C3800))</f>
        <v/>
      </c>
      <c r="Q3800" s="52">
        <f>IF(P3800="","",IF(J3800&lt;&gt;"",J3800,CuentaPred&amp;""))</f>
        <v/>
      </c>
      <c r="R3800" s="52">
        <f>IF(P3800="","",IF(ISNUMBER(I3800),I3800,TasaUSD))</f>
        <v/>
      </c>
      <c r="S3800" s="53">
        <f>IF(P3800="","",IF(H3800="USD",G3800*R3800,G3800))</f>
        <v/>
      </c>
      <c r="T3800" s="53">
        <f>IF(P3800="","",IF(H3800="USD",G3800,IF(R3800&gt;0,G3800/R3800,0)))</f>
        <v/>
      </c>
      <c r="U3800" s="53">
        <f>IF(P3800="","",IF(P3800="Gasto",S3800,IF(P3800="Reembolso",-S3800,0)))</f>
        <v/>
      </c>
      <c r="V3800" s="53">
        <f>IF(P3800="","",IF(P3800="Ingreso",S3800,0))</f>
        <v/>
      </c>
      <c r="W3800" s="53">
        <f>IF(P3800="","",IF(P3800="Resultado trading",S3800,0))</f>
        <v/>
      </c>
      <c r="X3800" s="52">
        <f>IF(OR(P3800="Gasto",P3800="Reembolso"),IF(M3800&lt;&gt;"",M3800,IFERROR(INDEX(catClasif,MATCH(D3800&amp;"|"&amp;E3800,catClave,0))&amp;"","Variable")),"")</f>
        <v/>
      </c>
      <c r="Y3800" s="52">
        <f>IF(P3800="","",IFERROR(INDEX(catGrupo,MATCH(D3800&amp;"|"&amp;E3800,catClave,0))&amp;"",""))</f>
        <v/>
      </c>
      <c r="Z3800" s="52">
        <f>IF(P3800="","",WEEKDAY(B3800,2))</f>
        <v/>
      </c>
      <c r="AA3800" s="52">
        <f>IF(P3800="","",IF(AND(P3800="Gasto",X3800="Variable",D3800&lt;&gt;catTrading,S3800&gt;0,S3800&lt;=Umbral),1,0))</f>
        <v/>
      </c>
      <c r="AB3800" s="52">
        <f>IF(OR(P3800="",Q3800=""),"",IFERROR(IF(INDEX(ctaVinc,MATCH(Q3800,ctaNombre,0))&amp;""&lt;&gt;"",INDEX(ctaVinc,MATCH(Q3800,ctaNombre,0))&amp;"",Q3800),Q3800))</f>
        <v/>
      </c>
      <c r="AC3800" s="52">
        <f>IF(OR(K3800="",AND(P3800&lt;&gt;"Transferencia",P3800&lt;&gt;"Pago tarjeta")),"",IFERROR(IF(INDEX(ctaVinc,MATCH(K3800,ctaNombre,0))&amp;""&lt;&gt;"",INDEX(ctaVinc,MATCH(K3800,ctaNombre,0))&amp;"",K3800),K3800))</f>
        <v/>
      </c>
      <c r="AD3800" s="52">
        <f>IF(AB3800="","",IFERROR(INDEX(ctaTipo,MATCH(AB3800,ctaNombre,0))&amp;"",""))</f>
        <v/>
      </c>
      <c r="AE3800" s="52">
        <f>IF(AC3800="","",IFERROR(INDEX(ctaTipo,MATCH(AC3800,ctaNombre,0))&amp;"",""))</f>
        <v/>
      </c>
      <c r="AF3800" s="53">
        <f>IF(OR(P3800="",AB3800=""),"",IF(OR(P3800="Gasto",P3800="Transferencia",P3800="Pago tarjeta"),-1,1)*IF(IFERROR(INDEX(ctaMoneda,MATCH(AB3800,ctaNombre,0))&amp;"","DOP")="USD",T3800,S3800))</f>
        <v/>
      </c>
      <c r="AG3800" s="53">
        <f>IF(AC3800="","",IF(IFERROR(INDEX(ctaMoneda,MATCH(AC3800,ctaNombre,0))&amp;"","DOP")="USD",T3800,S3800))</f>
        <v/>
      </c>
      <c r="AH3800" s="53">
        <f>IF(P3800="","",IF(AND(AD3800&lt;&gt;"",COUNTIFS(tcTipo,AD3800,tcLiq,"Sí")&gt;0),IF(OR(P3800="Gasto",P3800="Transferencia",P3800="Pago tarjeta"),-1,1)*S3800,0)+IF(AND(AE3800&lt;&gt;"",COUNTIFS(tcTipo,AE3800,tcLiq,"Sí")&gt;0),S3800,0))</f>
        <v/>
      </c>
      <c r="AI3800" s="52">
        <f>IF(OR(L3800="",P3800=""),"",IF(COUNTIFS(L$6:L3800,L3800,P$6:P3800,"?*")=1,MAX(AI$5:AI3799)+1,""))</f>
        <v/>
      </c>
    </row>
    <row r="3801">
      <c r="B3801" s="47" t="n"/>
      <c r="C3801" s="48" t="n"/>
      <c r="D3801" s="48" t="n"/>
      <c r="E3801" s="48" t="n"/>
      <c r="F3801" s="48" t="n"/>
      <c r="G3801" s="49" t="n"/>
      <c r="H3801" s="48" t="n"/>
      <c r="I3801" s="50" t="n"/>
      <c r="J3801" s="48" t="n"/>
      <c r="K3801" s="48" t="n"/>
      <c r="L3801" s="48" t="n"/>
      <c r="M3801" s="48" t="n"/>
      <c r="N3801" s="48" t="n"/>
      <c r="O3801" s="51">
        <f>IF(AND(B3801="",G3801="",C3801="",D3801="",J3801=""),"",IF(B3801="","⚠ Falta fecha",IF(G3801="","⚠ Falta monto",IF(Q3801="","⚠ Falta cuenta",IF(ISNA(MATCH(Q3801,ctaNombre,0)),"⚠ Cuenta no registrada",IF(AND(OR(P3801="Gasto",P3801="Reembolso"),D3801=""),"⚠ Falta categoría",IF(AND(D3801&lt;&gt;"",E3801&lt;&gt;"",ISNA(MATCH(D3801&amp;"|"&amp;E3801,catClave,0))),"⚠ Subcategoría no corresponde",IF(AND(OR(P3801="Transferencia",P3801="Pago tarjeta"),K3801=""),"⚠ Falta cuenta destino",IF(AND(K3801&lt;&gt;"",P3801&lt;&gt;"Transferencia",P3801&lt;&gt;"Pago tarjeta"),"⚠ Destino solo aplica a transferencias",IF(AND(K3801&lt;&gt;"",K3801=Q3801),"⚠ Origen igual a destino",IF(AND(K3801&lt;&gt;"",ISNA(MATCH(K3801,ctaNombre,0))),"⚠ Destino no registrado",IF(AND(P3801="Pago tarjeta",AE3801&lt;&gt;"Tarjeta de crédito"),"⚠ El destino debe ser tarjeta de crédito",IF(AND(P3801="Gasto",E3801="Depósitos y retiros"),"⚠ Usa tipo Transferencia",IF(AND(P3801="Resultado trading",AD3801&lt;&gt;"Cuenta de trading"),"⚠ Usa una cuenta de trading",IF(AND(G3801&lt;=0,P3801&lt;&gt;"Ajuste",P3801&lt;&gt;"Resultado trading"),"⚠ El monto debe ser positivo","✓")))))))))))))))</f>
        <v/>
      </c>
      <c r="P3801" s="52">
        <f>IF(OR(B3801="",G3801=""),"",IF(C3801="","Gasto",C3801))</f>
        <v/>
      </c>
      <c r="Q3801" s="52">
        <f>IF(P3801="","",IF(J3801&lt;&gt;"",J3801,CuentaPred&amp;""))</f>
        <v/>
      </c>
      <c r="R3801" s="52">
        <f>IF(P3801="","",IF(ISNUMBER(I3801),I3801,TasaUSD))</f>
        <v/>
      </c>
      <c r="S3801" s="53">
        <f>IF(P3801="","",IF(H3801="USD",G3801*R3801,G3801))</f>
        <v/>
      </c>
      <c r="T3801" s="53">
        <f>IF(P3801="","",IF(H3801="USD",G3801,IF(R3801&gt;0,G3801/R3801,0)))</f>
        <v/>
      </c>
      <c r="U3801" s="53">
        <f>IF(P3801="","",IF(P3801="Gasto",S3801,IF(P3801="Reembolso",-S3801,0)))</f>
        <v/>
      </c>
      <c r="V3801" s="53">
        <f>IF(P3801="","",IF(P3801="Ingreso",S3801,0))</f>
        <v/>
      </c>
      <c r="W3801" s="53">
        <f>IF(P3801="","",IF(P3801="Resultado trading",S3801,0))</f>
        <v/>
      </c>
      <c r="X3801" s="52">
        <f>IF(OR(P3801="Gasto",P3801="Reembolso"),IF(M3801&lt;&gt;"",M3801,IFERROR(INDEX(catClasif,MATCH(D3801&amp;"|"&amp;E3801,catClave,0))&amp;"","Variable")),"")</f>
        <v/>
      </c>
      <c r="Y3801" s="52">
        <f>IF(P3801="","",IFERROR(INDEX(catGrupo,MATCH(D3801&amp;"|"&amp;E3801,catClave,0))&amp;"",""))</f>
        <v/>
      </c>
      <c r="Z3801" s="52">
        <f>IF(P3801="","",WEEKDAY(B3801,2))</f>
        <v/>
      </c>
      <c r="AA3801" s="52">
        <f>IF(P3801="","",IF(AND(P3801="Gasto",X3801="Variable",D3801&lt;&gt;catTrading,S3801&gt;0,S3801&lt;=Umbral),1,0))</f>
        <v/>
      </c>
      <c r="AB3801" s="52">
        <f>IF(OR(P3801="",Q3801=""),"",IFERROR(IF(INDEX(ctaVinc,MATCH(Q3801,ctaNombre,0))&amp;""&lt;&gt;"",INDEX(ctaVinc,MATCH(Q3801,ctaNombre,0))&amp;"",Q3801),Q3801))</f>
        <v/>
      </c>
      <c r="AC3801" s="52">
        <f>IF(OR(K3801="",AND(P3801&lt;&gt;"Transferencia",P3801&lt;&gt;"Pago tarjeta")),"",IFERROR(IF(INDEX(ctaVinc,MATCH(K3801,ctaNombre,0))&amp;""&lt;&gt;"",INDEX(ctaVinc,MATCH(K3801,ctaNombre,0))&amp;"",K3801),K3801))</f>
        <v/>
      </c>
      <c r="AD3801" s="52">
        <f>IF(AB3801="","",IFERROR(INDEX(ctaTipo,MATCH(AB3801,ctaNombre,0))&amp;"",""))</f>
        <v/>
      </c>
      <c r="AE3801" s="52">
        <f>IF(AC3801="","",IFERROR(INDEX(ctaTipo,MATCH(AC3801,ctaNombre,0))&amp;"",""))</f>
        <v/>
      </c>
      <c r="AF3801" s="53">
        <f>IF(OR(P3801="",AB3801=""),"",IF(OR(P3801="Gasto",P3801="Transferencia",P3801="Pago tarjeta"),-1,1)*IF(IFERROR(INDEX(ctaMoneda,MATCH(AB3801,ctaNombre,0))&amp;"","DOP")="USD",T3801,S3801))</f>
        <v/>
      </c>
      <c r="AG3801" s="53">
        <f>IF(AC3801="","",IF(IFERROR(INDEX(ctaMoneda,MATCH(AC3801,ctaNombre,0))&amp;"","DOP")="USD",T3801,S3801))</f>
        <v/>
      </c>
      <c r="AH3801" s="53">
        <f>IF(P3801="","",IF(AND(AD3801&lt;&gt;"",COUNTIFS(tcTipo,AD3801,tcLiq,"Sí")&gt;0),IF(OR(P3801="Gasto",P3801="Transferencia",P3801="Pago tarjeta"),-1,1)*S3801,0)+IF(AND(AE3801&lt;&gt;"",COUNTIFS(tcTipo,AE3801,tcLiq,"Sí")&gt;0),S3801,0))</f>
        <v/>
      </c>
      <c r="AI3801" s="52">
        <f>IF(OR(L3801="",P3801=""),"",IF(COUNTIFS(L$6:L3801,L3801,P$6:P3801,"?*")=1,MAX(AI$5:AI3800)+1,""))</f>
        <v/>
      </c>
    </row>
    <row r="3802">
      <c r="B3802" s="47" t="n"/>
      <c r="C3802" s="48" t="n"/>
      <c r="D3802" s="48" t="n"/>
      <c r="E3802" s="48" t="n"/>
      <c r="F3802" s="48" t="n"/>
      <c r="G3802" s="49" t="n"/>
      <c r="H3802" s="48" t="n"/>
      <c r="I3802" s="50" t="n"/>
      <c r="J3802" s="48" t="n"/>
      <c r="K3802" s="48" t="n"/>
      <c r="L3802" s="48" t="n"/>
      <c r="M3802" s="48" t="n"/>
      <c r="N3802" s="48" t="n"/>
      <c r="O3802" s="51">
        <f>IF(AND(B3802="",G3802="",C3802="",D3802="",J3802=""),"",IF(B3802="","⚠ Falta fecha",IF(G3802="","⚠ Falta monto",IF(Q3802="","⚠ Falta cuenta",IF(ISNA(MATCH(Q3802,ctaNombre,0)),"⚠ Cuenta no registrada",IF(AND(OR(P3802="Gasto",P3802="Reembolso"),D3802=""),"⚠ Falta categoría",IF(AND(D3802&lt;&gt;"",E3802&lt;&gt;"",ISNA(MATCH(D3802&amp;"|"&amp;E3802,catClave,0))),"⚠ Subcategoría no corresponde",IF(AND(OR(P3802="Transferencia",P3802="Pago tarjeta"),K3802=""),"⚠ Falta cuenta destino",IF(AND(K3802&lt;&gt;"",P3802&lt;&gt;"Transferencia",P3802&lt;&gt;"Pago tarjeta"),"⚠ Destino solo aplica a transferencias",IF(AND(K3802&lt;&gt;"",K3802=Q3802),"⚠ Origen igual a destino",IF(AND(K3802&lt;&gt;"",ISNA(MATCH(K3802,ctaNombre,0))),"⚠ Destino no registrado",IF(AND(P3802="Pago tarjeta",AE3802&lt;&gt;"Tarjeta de crédito"),"⚠ El destino debe ser tarjeta de crédito",IF(AND(P3802="Gasto",E3802="Depósitos y retiros"),"⚠ Usa tipo Transferencia",IF(AND(P3802="Resultado trading",AD3802&lt;&gt;"Cuenta de trading"),"⚠ Usa una cuenta de trading",IF(AND(G3802&lt;=0,P3802&lt;&gt;"Ajuste",P3802&lt;&gt;"Resultado trading"),"⚠ El monto debe ser positivo","✓")))))))))))))))</f>
        <v/>
      </c>
      <c r="P3802" s="52">
        <f>IF(OR(B3802="",G3802=""),"",IF(C3802="","Gasto",C3802))</f>
        <v/>
      </c>
      <c r="Q3802" s="52">
        <f>IF(P3802="","",IF(J3802&lt;&gt;"",J3802,CuentaPred&amp;""))</f>
        <v/>
      </c>
      <c r="R3802" s="52">
        <f>IF(P3802="","",IF(ISNUMBER(I3802),I3802,TasaUSD))</f>
        <v/>
      </c>
      <c r="S3802" s="53">
        <f>IF(P3802="","",IF(H3802="USD",G3802*R3802,G3802))</f>
        <v/>
      </c>
      <c r="T3802" s="53">
        <f>IF(P3802="","",IF(H3802="USD",G3802,IF(R3802&gt;0,G3802/R3802,0)))</f>
        <v/>
      </c>
      <c r="U3802" s="53">
        <f>IF(P3802="","",IF(P3802="Gasto",S3802,IF(P3802="Reembolso",-S3802,0)))</f>
        <v/>
      </c>
      <c r="V3802" s="53">
        <f>IF(P3802="","",IF(P3802="Ingreso",S3802,0))</f>
        <v/>
      </c>
      <c r="W3802" s="53">
        <f>IF(P3802="","",IF(P3802="Resultado trading",S3802,0))</f>
        <v/>
      </c>
      <c r="X3802" s="52">
        <f>IF(OR(P3802="Gasto",P3802="Reembolso"),IF(M3802&lt;&gt;"",M3802,IFERROR(INDEX(catClasif,MATCH(D3802&amp;"|"&amp;E3802,catClave,0))&amp;"","Variable")),"")</f>
        <v/>
      </c>
      <c r="Y3802" s="52">
        <f>IF(P3802="","",IFERROR(INDEX(catGrupo,MATCH(D3802&amp;"|"&amp;E3802,catClave,0))&amp;"",""))</f>
        <v/>
      </c>
      <c r="Z3802" s="52">
        <f>IF(P3802="","",WEEKDAY(B3802,2))</f>
        <v/>
      </c>
      <c r="AA3802" s="52">
        <f>IF(P3802="","",IF(AND(P3802="Gasto",X3802="Variable",D3802&lt;&gt;catTrading,S3802&gt;0,S3802&lt;=Umbral),1,0))</f>
        <v/>
      </c>
      <c r="AB3802" s="52">
        <f>IF(OR(P3802="",Q3802=""),"",IFERROR(IF(INDEX(ctaVinc,MATCH(Q3802,ctaNombre,0))&amp;""&lt;&gt;"",INDEX(ctaVinc,MATCH(Q3802,ctaNombre,0))&amp;"",Q3802),Q3802))</f>
        <v/>
      </c>
      <c r="AC3802" s="52">
        <f>IF(OR(K3802="",AND(P3802&lt;&gt;"Transferencia",P3802&lt;&gt;"Pago tarjeta")),"",IFERROR(IF(INDEX(ctaVinc,MATCH(K3802,ctaNombre,0))&amp;""&lt;&gt;"",INDEX(ctaVinc,MATCH(K3802,ctaNombre,0))&amp;"",K3802),K3802))</f>
        <v/>
      </c>
      <c r="AD3802" s="52">
        <f>IF(AB3802="","",IFERROR(INDEX(ctaTipo,MATCH(AB3802,ctaNombre,0))&amp;"",""))</f>
        <v/>
      </c>
      <c r="AE3802" s="52">
        <f>IF(AC3802="","",IFERROR(INDEX(ctaTipo,MATCH(AC3802,ctaNombre,0))&amp;"",""))</f>
        <v/>
      </c>
      <c r="AF3802" s="53">
        <f>IF(OR(P3802="",AB3802=""),"",IF(OR(P3802="Gasto",P3802="Transferencia",P3802="Pago tarjeta"),-1,1)*IF(IFERROR(INDEX(ctaMoneda,MATCH(AB3802,ctaNombre,0))&amp;"","DOP")="USD",T3802,S3802))</f>
        <v/>
      </c>
      <c r="AG3802" s="53">
        <f>IF(AC3802="","",IF(IFERROR(INDEX(ctaMoneda,MATCH(AC3802,ctaNombre,0))&amp;"","DOP")="USD",T3802,S3802))</f>
        <v/>
      </c>
      <c r="AH3802" s="53">
        <f>IF(P3802="","",IF(AND(AD3802&lt;&gt;"",COUNTIFS(tcTipo,AD3802,tcLiq,"Sí")&gt;0),IF(OR(P3802="Gasto",P3802="Transferencia",P3802="Pago tarjeta"),-1,1)*S3802,0)+IF(AND(AE3802&lt;&gt;"",COUNTIFS(tcTipo,AE3802,tcLiq,"Sí")&gt;0),S3802,0))</f>
        <v/>
      </c>
      <c r="AI3802" s="52">
        <f>IF(OR(L3802="",P3802=""),"",IF(COUNTIFS(L$6:L3802,L3802,P$6:P3802,"?*")=1,MAX(AI$5:AI3801)+1,""))</f>
        <v/>
      </c>
    </row>
    <row r="3803">
      <c r="B3803" s="47" t="n"/>
      <c r="C3803" s="48" t="n"/>
      <c r="D3803" s="48" t="n"/>
      <c r="E3803" s="48" t="n"/>
      <c r="F3803" s="48" t="n"/>
      <c r="G3803" s="49" t="n"/>
      <c r="H3803" s="48" t="n"/>
      <c r="I3803" s="50" t="n"/>
      <c r="J3803" s="48" t="n"/>
      <c r="K3803" s="48" t="n"/>
      <c r="L3803" s="48" t="n"/>
      <c r="M3803" s="48" t="n"/>
      <c r="N3803" s="48" t="n"/>
      <c r="O3803" s="51">
        <f>IF(AND(B3803="",G3803="",C3803="",D3803="",J3803=""),"",IF(B3803="","⚠ Falta fecha",IF(G3803="","⚠ Falta monto",IF(Q3803="","⚠ Falta cuenta",IF(ISNA(MATCH(Q3803,ctaNombre,0)),"⚠ Cuenta no registrada",IF(AND(OR(P3803="Gasto",P3803="Reembolso"),D3803=""),"⚠ Falta categoría",IF(AND(D3803&lt;&gt;"",E3803&lt;&gt;"",ISNA(MATCH(D3803&amp;"|"&amp;E3803,catClave,0))),"⚠ Subcategoría no corresponde",IF(AND(OR(P3803="Transferencia",P3803="Pago tarjeta"),K3803=""),"⚠ Falta cuenta destino",IF(AND(K3803&lt;&gt;"",P3803&lt;&gt;"Transferencia",P3803&lt;&gt;"Pago tarjeta"),"⚠ Destino solo aplica a transferencias",IF(AND(K3803&lt;&gt;"",K3803=Q3803),"⚠ Origen igual a destino",IF(AND(K3803&lt;&gt;"",ISNA(MATCH(K3803,ctaNombre,0))),"⚠ Destino no registrado",IF(AND(P3803="Pago tarjeta",AE3803&lt;&gt;"Tarjeta de crédito"),"⚠ El destino debe ser tarjeta de crédito",IF(AND(P3803="Gasto",E3803="Depósitos y retiros"),"⚠ Usa tipo Transferencia",IF(AND(P3803="Resultado trading",AD3803&lt;&gt;"Cuenta de trading"),"⚠ Usa una cuenta de trading",IF(AND(G3803&lt;=0,P3803&lt;&gt;"Ajuste",P3803&lt;&gt;"Resultado trading"),"⚠ El monto debe ser positivo","✓")))))))))))))))</f>
        <v/>
      </c>
      <c r="P3803" s="52">
        <f>IF(OR(B3803="",G3803=""),"",IF(C3803="","Gasto",C3803))</f>
        <v/>
      </c>
      <c r="Q3803" s="52">
        <f>IF(P3803="","",IF(J3803&lt;&gt;"",J3803,CuentaPred&amp;""))</f>
        <v/>
      </c>
      <c r="R3803" s="52">
        <f>IF(P3803="","",IF(ISNUMBER(I3803),I3803,TasaUSD))</f>
        <v/>
      </c>
      <c r="S3803" s="53">
        <f>IF(P3803="","",IF(H3803="USD",G3803*R3803,G3803))</f>
        <v/>
      </c>
      <c r="T3803" s="53">
        <f>IF(P3803="","",IF(H3803="USD",G3803,IF(R3803&gt;0,G3803/R3803,0)))</f>
        <v/>
      </c>
      <c r="U3803" s="53">
        <f>IF(P3803="","",IF(P3803="Gasto",S3803,IF(P3803="Reembolso",-S3803,0)))</f>
        <v/>
      </c>
      <c r="V3803" s="53">
        <f>IF(P3803="","",IF(P3803="Ingreso",S3803,0))</f>
        <v/>
      </c>
      <c r="W3803" s="53">
        <f>IF(P3803="","",IF(P3803="Resultado trading",S3803,0))</f>
        <v/>
      </c>
      <c r="X3803" s="52">
        <f>IF(OR(P3803="Gasto",P3803="Reembolso"),IF(M3803&lt;&gt;"",M3803,IFERROR(INDEX(catClasif,MATCH(D3803&amp;"|"&amp;E3803,catClave,0))&amp;"","Variable")),"")</f>
        <v/>
      </c>
      <c r="Y3803" s="52">
        <f>IF(P3803="","",IFERROR(INDEX(catGrupo,MATCH(D3803&amp;"|"&amp;E3803,catClave,0))&amp;"",""))</f>
        <v/>
      </c>
      <c r="Z3803" s="52">
        <f>IF(P3803="","",WEEKDAY(B3803,2))</f>
        <v/>
      </c>
      <c r="AA3803" s="52">
        <f>IF(P3803="","",IF(AND(P3803="Gasto",X3803="Variable",D3803&lt;&gt;catTrading,S3803&gt;0,S3803&lt;=Umbral),1,0))</f>
        <v/>
      </c>
      <c r="AB3803" s="52">
        <f>IF(OR(P3803="",Q3803=""),"",IFERROR(IF(INDEX(ctaVinc,MATCH(Q3803,ctaNombre,0))&amp;""&lt;&gt;"",INDEX(ctaVinc,MATCH(Q3803,ctaNombre,0))&amp;"",Q3803),Q3803))</f>
        <v/>
      </c>
      <c r="AC3803" s="52">
        <f>IF(OR(K3803="",AND(P3803&lt;&gt;"Transferencia",P3803&lt;&gt;"Pago tarjeta")),"",IFERROR(IF(INDEX(ctaVinc,MATCH(K3803,ctaNombre,0))&amp;""&lt;&gt;"",INDEX(ctaVinc,MATCH(K3803,ctaNombre,0))&amp;"",K3803),K3803))</f>
        <v/>
      </c>
      <c r="AD3803" s="52">
        <f>IF(AB3803="","",IFERROR(INDEX(ctaTipo,MATCH(AB3803,ctaNombre,0))&amp;"",""))</f>
        <v/>
      </c>
      <c r="AE3803" s="52">
        <f>IF(AC3803="","",IFERROR(INDEX(ctaTipo,MATCH(AC3803,ctaNombre,0))&amp;"",""))</f>
        <v/>
      </c>
      <c r="AF3803" s="53">
        <f>IF(OR(P3803="",AB3803=""),"",IF(OR(P3803="Gasto",P3803="Transferencia",P3803="Pago tarjeta"),-1,1)*IF(IFERROR(INDEX(ctaMoneda,MATCH(AB3803,ctaNombre,0))&amp;"","DOP")="USD",T3803,S3803))</f>
        <v/>
      </c>
      <c r="AG3803" s="53">
        <f>IF(AC3803="","",IF(IFERROR(INDEX(ctaMoneda,MATCH(AC3803,ctaNombre,0))&amp;"","DOP")="USD",T3803,S3803))</f>
        <v/>
      </c>
      <c r="AH3803" s="53">
        <f>IF(P3803="","",IF(AND(AD3803&lt;&gt;"",COUNTIFS(tcTipo,AD3803,tcLiq,"Sí")&gt;0),IF(OR(P3803="Gasto",P3803="Transferencia",P3803="Pago tarjeta"),-1,1)*S3803,0)+IF(AND(AE3803&lt;&gt;"",COUNTIFS(tcTipo,AE3803,tcLiq,"Sí")&gt;0),S3803,0))</f>
        <v/>
      </c>
      <c r="AI3803" s="52">
        <f>IF(OR(L3803="",P3803=""),"",IF(COUNTIFS(L$6:L3803,L3803,P$6:P3803,"?*")=1,MAX(AI$5:AI3802)+1,""))</f>
        <v/>
      </c>
    </row>
    <row r="3804">
      <c r="B3804" s="47" t="n"/>
      <c r="C3804" s="48" t="n"/>
      <c r="D3804" s="48" t="n"/>
      <c r="E3804" s="48" t="n"/>
      <c r="F3804" s="48" t="n"/>
      <c r="G3804" s="49" t="n"/>
      <c r="H3804" s="48" t="n"/>
      <c r="I3804" s="50" t="n"/>
      <c r="J3804" s="48" t="n"/>
      <c r="K3804" s="48" t="n"/>
      <c r="L3804" s="48" t="n"/>
      <c r="M3804" s="48" t="n"/>
      <c r="N3804" s="48" t="n"/>
      <c r="O3804" s="51">
        <f>IF(AND(B3804="",G3804="",C3804="",D3804="",J3804=""),"",IF(B3804="","⚠ Falta fecha",IF(G3804="","⚠ Falta monto",IF(Q3804="","⚠ Falta cuenta",IF(ISNA(MATCH(Q3804,ctaNombre,0)),"⚠ Cuenta no registrada",IF(AND(OR(P3804="Gasto",P3804="Reembolso"),D3804=""),"⚠ Falta categoría",IF(AND(D3804&lt;&gt;"",E3804&lt;&gt;"",ISNA(MATCH(D3804&amp;"|"&amp;E3804,catClave,0))),"⚠ Subcategoría no corresponde",IF(AND(OR(P3804="Transferencia",P3804="Pago tarjeta"),K3804=""),"⚠ Falta cuenta destino",IF(AND(K3804&lt;&gt;"",P3804&lt;&gt;"Transferencia",P3804&lt;&gt;"Pago tarjeta"),"⚠ Destino solo aplica a transferencias",IF(AND(K3804&lt;&gt;"",K3804=Q3804),"⚠ Origen igual a destino",IF(AND(K3804&lt;&gt;"",ISNA(MATCH(K3804,ctaNombre,0))),"⚠ Destino no registrado",IF(AND(P3804="Pago tarjeta",AE3804&lt;&gt;"Tarjeta de crédito"),"⚠ El destino debe ser tarjeta de crédito",IF(AND(P3804="Gasto",E3804="Depósitos y retiros"),"⚠ Usa tipo Transferencia",IF(AND(P3804="Resultado trading",AD3804&lt;&gt;"Cuenta de trading"),"⚠ Usa una cuenta de trading",IF(AND(G3804&lt;=0,P3804&lt;&gt;"Ajuste",P3804&lt;&gt;"Resultado trading"),"⚠ El monto debe ser positivo","✓")))))))))))))))</f>
        <v/>
      </c>
      <c r="P3804" s="52">
        <f>IF(OR(B3804="",G3804=""),"",IF(C3804="","Gasto",C3804))</f>
        <v/>
      </c>
      <c r="Q3804" s="52">
        <f>IF(P3804="","",IF(J3804&lt;&gt;"",J3804,CuentaPred&amp;""))</f>
        <v/>
      </c>
      <c r="R3804" s="52">
        <f>IF(P3804="","",IF(ISNUMBER(I3804),I3804,TasaUSD))</f>
        <v/>
      </c>
      <c r="S3804" s="53">
        <f>IF(P3804="","",IF(H3804="USD",G3804*R3804,G3804))</f>
        <v/>
      </c>
      <c r="T3804" s="53">
        <f>IF(P3804="","",IF(H3804="USD",G3804,IF(R3804&gt;0,G3804/R3804,0)))</f>
        <v/>
      </c>
      <c r="U3804" s="53">
        <f>IF(P3804="","",IF(P3804="Gasto",S3804,IF(P3804="Reembolso",-S3804,0)))</f>
        <v/>
      </c>
      <c r="V3804" s="53">
        <f>IF(P3804="","",IF(P3804="Ingreso",S3804,0))</f>
        <v/>
      </c>
      <c r="W3804" s="53">
        <f>IF(P3804="","",IF(P3804="Resultado trading",S3804,0))</f>
        <v/>
      </c>
      <c r="X3804" s="52">
        <f>IF(OR(P3804="Gasto",P3804="Reembolso"),IF(M3804&lt;&gt;"",M3804,IFERROR(INDEX(catClasif,MATCH(D3804&amp;"|"&amp;E3804,catClave,0))&amp;"","Variable")),"")</f>
        <v/>
      </c>
      <c r="Y3804" s="52">
        <f>IF(P3804="","",IFERROR(INDEX(catGrupo,MATCH(D3804&amp;"|"&amp;E3804,catClave,0))&amp;"",""))</f>
        <v/>
      </c>
      <c r="Z3804" s="52">
        <f>IF(P3804="","",WEEKDAY(B3804,2))</f>
        <v/>
      </c>
      <c r="AA3804" s="52">
        <f>IF(P3804="","",IF(AND(P3804="Gasto",X3804="Variable",D3804&lt;&gt;catTrading,S3804&gt;0,S3804&lt;=Umbral),1,0))</f>
        <v/>
      </c>
      <c r="AB3804" s="52">
        <f>IF(OR(P3804="",Q3804=""),"",IFERROR(IF(INDEX(ctaVinc,MATCH(Q3804,ctaNombre,0))&amp;""&lt;&gt;"",INDEX(ctaVinc,MATCH(Q3804,ctaNombre,0))&amp;"",Q3804),Q3804))</f>
        <v/>
      </c>
      <c r="AC3804" s="52">
        <f>IF(OR(K3804="",AND(P3804&lt;&gt;"Transferencia",P3804&lt;&gt;"Pago tarjeta")),"",IFERROR(IF(INDEX(ctaVinc,MATCH(K3804,ctaNombre,0))&amp;""&lt;&gt;"",INDEX(ctaVinc,MATCH(K3804,ctaNombre,0))&amp;"",K3804),K3804))</f>
        <v/>
      </c>
      <c r="AD3804" s="52">
        <f>IF(AB3804="","",IFERROR(INDEX(ctaTipo,MATCH(AB3804,ctaNombre,0))&amp;"",""))</f>
        <v/>
      </c>
      <c r="AE3804" s="52">
        <f>IF(AC3804="","",IFERROR(INDEX(ctaTipo,MATCH(AC3804,ctaNombre,0))&amp;"",""))</f>
        <v/>
      </c>
      <c r="AF3804" s="53">
        <f>IF(OR(P3804="",AB3804=""),"",IF(OR(P3804="Gasto",P3804="Transferencia",P3804="Pago tarjeta"),-1,1)*IF(IFERROR(INDEX(ctaMoneda,MATCH(AB3804,ctaNombre,0))&amp;"","DOP")="USD",T3804,S3804))</f>
        <v/>
      </c>
      <c r="AG3804" s="53">
        <f>IF(AC3804="","",IF(IFERROR(INDEX(ctaMoneda,MATCH(AC3804,ctaNombre,0))&amp;"","DOP")="USD",T3804,S3804))</f>
        <v/>
      </c>
      <c r="AH3804" s="53">
        <f>IF(P3804="","",IF(AND(AD3804&lt;&gt;"",COUNTIFS(tcTipo,AD3804,tcLiq,"Sí")&gt;0),IF(OR(P3804="Gasto",P3804="Transferencia",P3804="Pago tarjeta"),-1,1)*S3804,0)+IF(AND(AE3804&lt;&gt;"",COUNTIFS(tcTipo,AE3804,tcLiq,"Sí")&gt;0),S3804,0))</f>
        <v/>
      </c>
      <c r="AI3804" s="52">
        <f>IF(OR(L3804="",P3804=""),"",IF(COUNTIFS(L$6:L3804,L3804,P$6:P3804,"?*")=1,MAX(AI$5:AI3803)+1,""))</f>
        <v/>
      </c>
    </row>
    <row r="3805">
      <c r="B3805" s="47" t="n"/>
      <c r="C3805" s="48" t="n"/>
      <c r="D3805" s="48" t="n"/>
      <c r="E3805" s="48" t="n"/>
      <c r="F3805" s="48" t="n"/>
      <c r="G3805" s="49" t="n"/>
      <c r="H3805" s="48" t="n"/>
      <c r="I3805" s="50" t="n"/>
      <c r="J3805" s="48" t="n"/>
      <c r="K3805" s="48" t="n"/>
      <c r="L3805" s="48" t="n"/>
      <c r="M3805" s="48" t="n"/>
      <c r="N3805" s="48" t="n"/>
      <c r="O3805" s="51">
        <f>IF(AND(B3805="",G3805="",C3805="",D3805="",J3805=""),"",IF(B3805="","⚠ Falta fecha",IF(G3805="","⚠ Falta monto",IF(Q3805="","⚠ Falta cuenta",IF(ISNA(MATCH(Q3805,ctaNombre,0)),"⚠ Cuenta no registrada",IF(AND(OR(P3805="Gasto",P3805="Reembolso"),D3805=""),"⚠ Falta categoría",IF(AND(D3805&lt;&gt;"",E3805&lt;&gt;"",ISNA(MATCH(D3805&amp;"|"&amp;E3805,catClave,0))),"⚠ Subcategoría no corresponde",IF(AND(OR(P3805="Transferencia",P3805="Pago tarjeta"),K3805=""),"⚠ Falta cuenta destino",IF(AND(K3805&lt;&gt;"",P3805&lt;&gt;"Transferencia",P3805&lt;&gt;"Pago tarjeta"),"⚠ Destino solo aplica a transferencias",IF(AND(K3805&lt;&gt;"",K3805=Q3805),"⚠ Origen igual a destino",IF(AND(K3805&lt;&gt;"",ISNA(MATCH(K3805,ctaNombre,0))),"⚠ Destino no registrado",IF(AND(P3805="Pago tarjeta",AE3805&lt;&gt;"Tarjeta de crédito"),"⚠ El destino debe ser tarjeta de crédito",IF(AND(P3805="Gasto",E3805="Depósitos y retiros"),"⚠ Usa tipo Transferencia",IF(AND(P3805="Resultado trading",AD3805&lt;&gt;"Cuenta de trading"),"⚠ Usa una cuenta de trading",IF(AND(G3805&lt;=0,P3805&lt;&gt;"Ajuste",P3805&lt;&gt;"Resultado trading"),"⚠ El monto debe ser positivo","✓")))))))))))))))</f>
        <v/>
      </c>
      <c r="P3805" s="52">
        <f>IF(OR(B3805="",G3805=""),"",IF(C3805="","Gasto",C3805))</f>
        <v/>
      </c>
      <c r="Q3805" s="52">
        <f>IF(P3805="","",IF(J3805&lt;&gt;"",J3805,CuentaPred&amp;""))</f>
        <v/>
      </c>
      <c r="R3805" s="52">
        <f>IF(P3805="","",IF(ISNUMBER(I3805),I3805,TasaUSD))</f>
        <v/>
      </c>
      <c r="S3805" s="53">
        <f>IF(P3805="","",IF(H3805="USD",G3805*R3805,G3805))</f>
        <v/>
      </c>
      <c r="T3805" s="53">
        <f>IF(P3805="","",IF(H3805="USD",G3805,IF(R3805&gt;0,G3805/R3805,0)))</f>
        <v/>
      </c>
      <c r="U3805" s="53">
        <f>IF(P3805="","",IF(P3805="Gasto",S3805,IF(P3805="Reembolso",-S3805,0)))</f>
        <v/>
      </c>
      <c r="V3805" s="53">
        <f>IF(P3805="","",IF(P3805="Ingreso",S3805,0))</f>
        <v/>
      </c>
      <c r="W3805" s="53">
        <f>IF(P3805="","",IF(P3805="Resultado trading",S3805,0))</f>
        <v/>
      </c>
      <c r="X3805" s="52">
        <f>IF(OR(P3805="Gasto",P3805="Reembolso"),IF(M3805&lt;&gt;"",M3805,IFERROR(INDEX(catClasif,MATCH(D3805&amp;"|"&amp;E3805,catClave,0))&amp;"","Variable")),"")</f>
        <v/>
      </c>
      <c r="Y3805" s="52">
        <f>IF(P3805="","",IFERROR(INDEX(catGrupo,MATCH(D3805&amp;"|"&amp;E3805,catClave,0))&amp;"",""))</f>
        <v/>
      </c>
      <c r="Z3805" s="52">
        <f>IF(P3805="","",WEEKDAY(B3805,2))</f>
        <v/>
      </c>
      <c r="AA3805" s="52">
        <f>IF(P3805="","",IF(AND(P3805="Gasto",X3805="Variable",D3805&lt;&gt;catTrading,S3805&gt;0,S3805&lt;=Umbral),1,0))</f>
        <v/>
      </c>
      <c r="AB3805" s="52">
        <f>IF(OR(P3805="",Q3805=""),"",IFERROR(IF(INDEX(ctaVinc,MATCH(Q3805,ctaNombre,0))&amp;""&lt;&gt;"",INDEX(ctaVinc,MATCH(Q3805,ctaNombre,0))&amp;"",Q3805),Q3805))</f>
        <v/>
      </c>
      <c r="AC3805" s="52">
        <f>IF(OR(K3805="",AND(P3805&lt;&gt;"Transferencia",P3805&lt;&gt;"Pago tarjeta")),"",IFERROR(IF(INDEX(ctaVinc,MATCH(K3805,ctaNombre,0))&amp;""&lt;&gt;"",INDEX(ctaVinc,MATCH(K3805,ctaNombre,0))&amp;"",K3805),K3805))</f>
        <v/>
      </c>
      <c r="AD3805" s="52">
        <f>IF(AB3805="","",IFERROR(INDEX(ctaTipo,MATCH(AB3805,ctaNombre,0))&amp;"",""))</f>
        <v/>
      </c>
      <c r="AE3805" s="52">
        <f>IF(AC3805="","",IFERROR(INDEX(ctaTipo,MATCH(AC3805,ctaNombre,0))&amp;"",""))</f>
        <v/>
      </c>
      <c r="AF3805" s="53">
        <f>IF(OR(P3805="",AB3805=""),"",IF(OR(P3805="Gasto",P3805="Transferencia",P3805="Pago tarjeta"),-1,1)*IF(IFERROR(INDEX(ctaMoneda,MATCH(AB3805,ctaNombre,0))&amp;"","DOP")="USD",T3805,S3805))</f>
        <v/>
      </c>
      <c r="AG3805" s="53">
        <f>IF(AC3805="","",IF(IFERROR(INDEX(ctaMoneda,MATCH(AC3805,ctaNombre,0))&amp;"","DOP")="USD",T3805,S3805))</f>
        <v/>
      </c>
      <c r="AH3805" s="53">
        <f>IF(P3805="","",IF(AND(AD3805&lt;&gt;"",COUNTIFS(tcTipo,AD3805,tcLiq,"Sí")&gt;0),IF(OR(P3805="Gasto",P3805="Transferencia",P3805="Pago tarjeta"),-1,1)*S3805,0)+IF(AND(AE3805&lt;&gt;"",COUNTIFS(tcTipo,AE3805,tcLiq,"Sí")&gt;0),S3805,0))</f>
        <v/>
      </c>
      <c r="AI3805" s="52">
        <f>IF(OR(L3805="",P3805=""),"",IF(COUNTIFS(L$6:L3805,L3805,P$6:P3805,"?*")=1,MAX(AI$5:AI3804)+1,""))</f>
        <v/>
      </c>
    </row>
    <row r="3806">
      <c r="B3806" s="47" t="n"/>
      <c r="C3806" s="48" t="n"/>
      <c r="D3806" s="48" t="n"/>
      <c r="E3806" s="48" t="n"/>
      <c r="F3806" s="48" t="n"/>
      <c r="G3806" s="49" t="n"/>
      <c r="H3806" s="48" t="n"/>
      <c r="I3806" s="50" t="n"/>
      <c r="J3806" s="48" t="n"/>
      <c r="K3806" s="48" t="n"/>
      <c r="L3806" s="48" t="n"/>
      <c r="M3806" s="48" t="n"/>
      <c r="N3806" s="48" t="n"/>
      <c r="O3806" s="51">
        <f>IF(AND(B3806="",G3806="",C3806="",D3806="",J3806=""),"",IF(B3806="","⚠ Falta fecha",IF(G3806="","⚠ Falta monto",IF(Q3806="","⚠ Falta cuenta",IF(ISNA(MATCH(Q3806,ctaNombre,0)),"⚠ Cuenta no registrada",IF(AND(OR(P3806="Gasto",P3806="Reembolso"),D3806=""),"⚠ Falta categoría",IF(AND(D3806&lt;&gt;"",E3806&lt;&gt;"",ISNA(MATCH(D3806&amp;"|"&amp;E3806,catClave,0))),"⚠ Subcategoría no corresponde",IF(AND(OR(P3806="Transferencia",P3806="Pago tarjeta"),K3806=""),"⚠ Falta cuenta destino",IF(AND(K3806&lt;&gt;"",P3806&lt;&gt;"Transferencia",P3806&lt;&gt;"Pago tarjeta"),"⚠ Destino solo aplica a transferencias",IF(AND(K3806&lt;&gt;"",K3806=Q3806),"⚠ Origen igual a destino",IF(AND(K3806&lt;&gt;"",ISNA(MATCH(K3806,ctaNombre,0))),"⚠ Destino no registrado",IF(AND(P3806="Pago tarjeta",AE3806&lt;&gt;"Tarjeta de crédito"),"⚠ El destino debe ser tarjeta de crédito",IF(AND(P3806="Gasto",E3806="Depósitos y retiros"),"⚠ Usa tipo Transferencia",IF(AND(P3806="Resultado trading",AD3806&lt;&gt;"Cuenta de trading"),"⚠ Usa una cuenta de trading",IF(AND(G3806&lt;=0,P3806&lt;&gt;"Ajuste",P3806&lt;&gt;"Resultado trading"),"⚠ El monto debe ser positivo","✓")))))))))))))))</f>
        <v/>
      </c>
      <c r="P3806" s="52">
        <f>IF(OR(B3806="",G3806=""),"",IF(C3806="","Gasto",C3806))</f>
        <v/>
      </c>
      <c r="Q3806" s="52">
        <f>IF(P3806="","",IF(J3806&lt;&gt;"",J3806,CuentaPred&amp;""))</f>
        <v/>
      </c>
      <c r="R3806" s="52">
        <f>IF(P3806="","",IF(ISNUMBER(I3806),I3806,TasaUSD))</f>
        <v/>
      </c>
      <c r="S3806" s="53">
        <f>IF(P3806="","",IF(H3806="USD",G3806*R3806,G3806))</f>
        <v/>
      </c>
      <c r="T3806" s="53">
        <f>IF(P3806="","",IF(H3806="USD",G3806,IF(R3806&gt;0,G3806/R3806,0)))</f>
        <v/>
      </c>
      <c r="U3806" s="53">
        <f>IF(P3806="","",IF(P3806="Gasto",S3806,IF(P3806="Reembolso",-S3806,0)))</f>
        <v/>
      </c>
      <c r="V3806" s="53">
        <f>IF(P3806="","",IF(P3806="Ingreso",S3806,0))</f>
        <v/>
      </c>
      <c r="W3806" s="53">
        <f>IF(P3806="","",IF(P3806="Resultado trading",S3806,0))</f>
        <v/>
      </c>
      <c r="X3806" s="52">
        <f>IF(OR(P3806="Gasto",P3806="Reembolso"),IF(M3806&lt;&gt;"",M3806,IFERROR(INDEX(catClasif,MATCH(D3806&amp;"|"&amp;E3806,catClave,0))&amp;"","Variable")),"")</f>
        <v/>
      </c>
      <c r="Y3806" s="52">
        <f>IF(P3806="","",IFERROR(INDEX(catGrupo,MATCH(D3806&amp;"|"&amp;E3806,catClave,0))&amp;"",""))</f>
        <v/>
      </c>
      <c r="Z3806" s="52">
        <f>IF(P3806="","",WEEKDAY(B3806,2))</f>
        <v/>
      </c>
      <c r="AA3806" s="52">
        <f>IF(P3806="","",IF(AND(P3806="Gasto",X3806="Variable",D3806&lt;&gt;catTrading,S3806&gt;0,S3806&lt;=Umbral),1,0))</f>
        <v/>
      </c>
      <c r="AB3806" s="52">
        <f>IF(OR(P3806="",Q3806=""),"",IFERROR(IF(INDEX(ctaVinc,MATCH(Q3806,ctaNombre,0))&amp;""&lt;&gt;"",INDEX(ctaVinc,MATCH(Q3806,ctaNombre,0))&amp;"",Q3806),Q3806))</f>
        <v/>
      </c>
      <c r="AC3806" s="52">
        <f>IF(OR(K3806="",AND(P3806&lt;&gt;"Transferencia",P3806&lt;&gt;"Pago tarjeta")),"",IFERROR(IF(INDEX(ctaVinc,MATCH(K3806,ctaNombre,0))&amp;""&lt;&gt;"",INDEX(ctaVinc,MATCH(K3806,ctaNombre,0))&amp;"",K3806),K3806))</f>
        <v/>
      </c>
      <c r="AD3806" s="52">
        <f>IF(AB3806="","",IFERROR(INDEX(ctaTipo,MATCH(AB3806,ctaNombre,0))&amp;"",""))</f>
        <v/>
      </c>
      <c r="AE3806" s="52">
        <f>IF(AC3806="","",IFERROR(INDEX(ctaTipo,MATCH(AC3806,ctaNombre,0))&amp;"",""))</f>
        <v/>
      </c>
      <c r="AF3806" s="53">
        <f>IF(OR(P3806="",AB3806=""),"",IF(OR(P3806="Gasto",P3806="Transferencia",P3806="Pago tarjeta"),-1,1)*IF(IFERROR(INDEX(ctaMoneda,MATCH(AB3806,ctaNombre,0))&amp;"","DOP")="USD",T3806,S3806))</f>
        <v/>
      </c>
      <c r="AG3806" s="53">
        <f>IF(AC3806="","",IF(IFERROR(INDEX(ctaMoneda,MATCH(AC3806,ctaNombre,0))&amp;"","DOP")="USD",T3806,S3806))</f>
        <v/>
      </c>
      <c r="AH3806" s="53">
        <f>IF(P3806="","",IF(AND(AD3806&lt;&gt;"",COUNTIFS(tcTipo,AD3806,tcLiq,"Sí")&gt;0),IF(OR(P3806="Gasto",P3806="Transferencia",P3806="Pago tarjeta"),-1,1)*S3806,0)+IF(AND(AE3806&lt;&gt;"",COUNTIFS(tcTipo,AE3806,tcLiq,"Sí")&gt;0),S3806,0))</f>
        <v/>
      </c>
      <c r="AI3806" s="52">
        <f>IF(OR(L3806="",P3806=""),"",IF(COUNTIFS(L$6:L3806,L3806,P$6:P3806,"?*")=1,MAX(AI$5:AI3805)+1,""))</f>
        <v/>
      </c>
    </row>
    <row r="3807">
      <c r="B3807" s="47" t="n"/>
      <c r="C3807" s="48" t="n"/>
      <c r="D3807" s="48" t="n"/>
      <c r="E3807" s="48" t="n"/>
      <c r="F3807" s="48" t="n"/>
      <c r="G3807" s="49" t="n"/>
      <c r="H3807" s="48" t="n"/>
      <c r="I3807" s="50" t="n"/>
      <c r="J3807" s="48" t="n"/>
      <c r="K3807" s="48" t="n"/>
      <c r="L3807" s="48" t="n"/>
      <c r="M3807" s="48" t="n"/>
      <c r="N3807" s="48" t="n"/>
      <c r="O3807" s="51">
        <f>IF(AND(B3807="",G3807="",C3807="",D3807="",J3807=""),"",IF(B3807="","⚠ Falta fecha",IF(G3807="","⚠ Falta monto",IF(Q3807="","⚠ Falta cuenta",IF(ISNA(MATCH(Q3807,ctaNombre,0)),"⚠ Cuenta no registrada",IF(AND(OR(P3807="Gasto",P3807="Reembolso"),D3807=""),"⚠ Falta categoría",IF(AND(D3807&lt;&gt;"",E3807&lt;&gt;"",ISNA(MATCH(D3807&amp;"|"&amp;E3807,catClave,0))),"⚠ Subcategoría no corresponde",IF(AND(OR(P3807="Transferencia",P3807="Pago tarjeta"),K3807=""),"⚠ Falta cuenta destino",IF(AND(K3807&lt;&gt;"",P3807&lt;&gt;"Transferencia",P3807&lt;&gt;"Pago tarjeta"),"⚠ Destino solo aplica a transferencias",IF(AND(K3807&lt;&gt;"",K3807=Q3807),"⚠ Origen igual a destino",IF(AND(K3807&lt;&gt;"",ISNA(MATCH(K3807,ctaNombre,0))),"⚠ Destino no registrado",IF(AND(P3807="Pago tarjeta",AE3807&lt;&gt;"Tarjeta de crédito"),"⚠ El destino debe ser tarjeta de crédito",IF(AND(P3807="Gasto",E3807="Depósitos y retiros"),"⚠ Usa tipo Transferencia",IF(AND(P3807="Resultado trading",AD3807&lt;&gt;"Cuenta de trading"),"⚠ Usa una cuenta de trading",IF(AND(G3807&lt;=0,P3807&lt;&gt;"Ajuste",P3807&lt;&gt;"Resultado trading"),"⚠ El monto debe ser positivo","✓")))))))))))))))</f>
        <v/>
      </c>
      <c r="P3807" s="52">
        <f>IF(OR(B3807="",G3807=""),"",IF(C3807="","Gasto",C3807))</f>
        <v/>
      </c>
      <c r="Q3807" s="52">
        <f>IF(P3807="","",IF(J3807&lt;&gt;"",J3807,CuentaPred&amp;""))</f>
        <v/>
      </c>
      <c r="R3807" s="52">
        <f>IF(P3807="","",IF(ISNUMBER(I3807),I3807,TasaUSD))</f>
        <v/>
      </c>
      <c r="S3807" s="53">
        <f>IF(P3807="","",IF(H3807="USD",G3807*R3807,G3807))</f>
        <v/>
      </c>
      <c r="T3807" s="53">
        <f>IF(P3807="","",IF(H3807="USD",G3807,IF(R3807&gt;0,G3807/R3807,0)))</f>
        <v/>
      </c>
      <c r="U3807" s="53">
        <f>IF(P3807="","",IF(P3807="Gasto",S3807,IF(P3807="Reembolso",-S3807,0)))</f>
        <v/>
      </c>
      <c r="V3807" s="53">
        <f>IF(P3807="","",IF(P3807="Ingreso",S3807,0))</f>
        <v/>
      </c>
      <c r="W3807" s="53">
        <f>IF(P3807="","",IF(P3807="Resultado trading",S3807,0))</f>
        <v/>
      </c>
      <c r="X3807" s="52">
        <f>IF(OR(P3807="Gasto",P3807="Reembolso"),IF(M3807&lt;&gt;"",M3807,IFERROR(INDEX(catClasif,MATCH(D3807&amp;"|"&amp;E3807,catClave,0))&amp;"","Variable")),"")</f>
        <v/>
      </c>
      <c r="Y3807" s="52">
        <f>IF(P3807="","",IFERROR(INDEX(catGrupo,MATCH(D3807&amp;"|"&amp;E3807,catClave,0))&amp;"",""))</f>
        <v/>
      </c>
      <c r="Z3807" s="52">
        <f>IF(P3807="","",WEEKDAY(B3807,2))</f>
        <v/>
      </c>
      <c r="AA3807" s="52">
        <f>IF(P3807="","",IF(AND(P3807="Gasto",X3807="Variable",D3807&lt;&gt;catTrading,S3807&gt;0,S3807&lt;=Umbral),1,0))</f>
        <v/>
      </c>
      <c r="AB3807" s="52">
        <f>IF(OR(P3807="",Q3807=""),"",IFERROR(IF(INDEX(ctaVinc,MATCH(Q3807,ctaNombre,0))&amp;""&lt;&gt;"",INDEX(ctaVinc,MATCH(Q3807,ctaNombre,0))&amp;"",Q3807),Q3807))</f>
        <v/>
      </c>
      <c r="AC3807" s="52">
        <f>IF(OR(K3807="",AND(P3807&lt;&gt;"Transferencia",P3807&lt;&gt;"Pago tarjeta")),"",IFERROR(IF(INDEX(ctaVinc,MATCH(K3807,ctaNombre,0))&amp;""&lt;&gt;"",INDEX(ctaVinc,MATCH(K3807,ctaNombre,0))&amp;"",K3807),K3807))</f>
        <v/>
      </c>
      <c r="AD3807" s="52">
        <f>IF(AB3807="","",IFERROR(INDEX(ctaTipo,MATCH(AB3807,ctaNombre,0))&amp;"",""))</f>
        <v/>
      </c>
      <c r="AE3807" s="52">
        <f>IF(AC3807="","",IFERROR(INDEX(ctaTipo,MATCH(AC3807,ctaNombre,0))&amp;"",""))</f>
        <v/>
      </c>
      <c r="AF3807" s="53">
        <f>IF(OR(P3807="",AB3807=""),"",IF(OR(P3807="Gasto",P3807="Transferencia",P3807="Pago tarjeta"),-1,1)*IF(IFERROR(INDEX(ctaMoneda,MATCH(AB3807,ctaNombre,0))&amp;"","DOP")="USD",T3807,S3807))</f>
        <v/>
      </c>
      <c r="AG3807" s="53">
        <f>IF(AC3807="","",IF(IFERROR(INDEX(ctaMoneda,MATCH(AC3807,ctaNombre,0))&amp;"","DOP")="USD",T3807,S3807))</f>
        <v/>
      </c>
      <c r="AH3807" s="53">
        <f>IF(P3807="","",IF(AND(AD3807&lt;&gt;"",COUNTIFS(tcTipo,AD3807,tcLiq,"Sí")&gt;0),IF(OR(P3807="Gasto",P3807="Transferencia",P3807="Pago tarjeta"),-1,1)*S3807,0)+IF(AND(AE3807&lt;&gt;"",COUNTIFS(tcTipo,AE3807,tcLiq,"Sí")&gt;0),S3807,0))</f>
        <v/>
      </c>
      <c r="AI3807" s="52">
        <f>IF(OR(L3807="",P3807=""),"",IF(COUNTIFS(L$6:L3807,L3807,P$6:P3807,"?*")=1,MAX(AI$5:AI3806)+1,""))</f>
        <v/>
      </c>
    </row>
    <row r="3808">
      <c r="B3808" s="47" t="n"/>
      <c r="C3808" s="48" t="n"/>
      <c r="D3808" s="48" t="n"/>
      <c r="E3808" s="48" t="n"/>
      <c r="F3808" s="48" t="n"/>
      <c r="G3808" s="49" t="n"/>
      <c r="H3808" s="48" t="n"/>
      <c r="I3808" s="50" t="n"/>
      <c r="J3808" s="48" t="n"/>
      <c r="K3808" s="48" t="n"/>
      <c r="L3808" s="48" t="n"/>
      <c r="M3808" s="48" t="n"/>
      <c r="N3808" s="48" t="n"/>
      <c r="O3808" s="51">
        <f>IF(AND(B3808="",G3808="",C3808="",D3808="",J3808=""),"",IF(B3808="","⚠ Falta fecha",IF(G3808="","⚠ Falta monto",IF(Q3808="","⚠ Falta cuenta",IF(ISNA(MATCH(Q3808,ctaNombre,0)),"⚠ Cuenta no registrada",IF(AND(OR(P3808="Gasto",P3808="Reembolso"),D3808=""),"⚠ Falta categoría",IF(AND(D3808&lt;&gt;"",E3808&lt;&gt;"",ISNA(MATCH(D3808&amp;"|"&amp;E3808,catClave,0))),"⚠ Subcategoría no corresponde",IF(AND(OR(P3808="Transferencia",P3808="Pago tarjeta"),K3808=""),"⚠ Falta cuenta destino",IF(AND(K3808&lt;&gt;"",P3808&lt;&gt;"Transferencia",P3808&lt;&gt;"Pago tarjeta"),"⚠ Destino solo aplica a transferencias",IF(AND(K3808&lt;&gt;"",K3808=Q3808),"⚠ Origen igual a destino",IF(AND(K3808&lt;&gt;"",ISNA(MATCH(K3808,ctaNombre,0))),"⚠ Destino no registrado",IF(AND(P3808="Pago tarjeta",AE3808&lt;&gt;"Tarjeta de crédito"),"⚠ El destino debe ser tarjeta de crédito",IF(AND(P3808="Gasto",E3808="Depósitos y retiros"),"⚠ Usa tipo Transferencia",IF(AND(P3808="Resultado trading",AD3808&lt;&gt;"Cuenta de trading"),"⚠ Usa una cuenta de trading",IF(AND(G3808&lt;=0,P3808&lt;&gt;"Ajuste",P3808&lt;&gt;"Resultado trading"),"⚠ El monto debe ser positivo","✓")))))))))))))))</f>
        <v/>
      </c>
      <c r="P3808" s="52">
        <f>IF(OR(B3808="",G3808=""),"",IF(C3808="","Gasto",C3808))</f>
        <v/>
      </c>
      <c r="Q3808" s="52">
        <f>IF(P3808="","",IF(J3808&lt;&gt;"",J3808,CuentaPred&amp;""))</f>
        <v/>
      </c>
      <c r="R3808" s="52">
        <f>IF(P3808="","",IF(ISNUMBER(I3808),I3808,TasaUSD))</f>
        <v/>
      </c>
      <c r="S3808" s="53">
        <f>IF(P3808="","",IF(H3808="USD",G3808*R3808,G3808))</f>
        <v/>
      </c>
      <c r="T3808" s="53">
        <f>IF(P3808="","",IF(H3808="USD",G3808,IF(R3808&gt;0,G3808/R3808,0)))</f>
        <v/>
      </c>
      <c r="U3808" s="53">
        <f>IF(P3808="","",IF(P3808="Gasto",S3808,IF(P3808="Reembolso",-S3808,0)))</f>
        <v/>
      </c>
      <c r="V3808" s="53">
        <f>IF(P3808="","",IF(P3808="Ingreso",S3808,0))</f>
        <v/>
      </c>
      <c r="W3808" s="53">
        <f>IF(P3808="","",IF(P3808="Resultado trading",S3808,0))</f>
        <v/>
      </c>
      <c r="X3808" s="52">
        <f>IF(OR(P3808="Gasto",P3808="Reembolso"),IF(M3808&lt;&gt;"",M3808,IFERROR(INDEX(catClasif,MATCH(D3808&amp;"|"&amp;E3808,catClave,0))&amp;"","Variable")),"")</f>
        <v/>
      </c>
      <c r="Y3808" s="52">
        <f>IF(P3808="","",IFERROR(INDEX(catGrupo,MATCH(D3808&amp;"|"&amp;E3808,catClave,0))&amp;"",""))</f>
        <v/>
      </c>
      <c r="Z3808" s="52">
        <f>IF(P3808="","",WEEKDAY(B3808,2))</f>
        <v/>
      </c>
      <c r="AA3808" s="52">
        <f>IF(P3808="","",IF(AND(P3808="Gasto",X3808="Variable",D3808&lt;&gt;catTrading,S3808&gt;0,S3808&lt;=Umbral),1,0))</f>
        <v/>
      </c>
      <c r="AB3808" s="52">
        <f>IF(OR(P3808="",Q3808=""),"",IFERROR(IF(INDEX(ctaVinc,MATCH(Q3808,ctaNombre,0))&amp;""&lt;&gt;"",INDEX(ctaVinc,MATCH(Q3808,ctaNombre,0))&amp;"",Q3808),Q3808))</f>
        <v/>
      </c>
      <c r="AC3808" s="52">
        <f>IF(OR(K3808="",AND(P3808&lt;&gt;"Transferencia",P3808&lt;&gt;"Pago tarjeta")),"",IFERROR(IF(INDEX(ctaVinc,MATCH(K3808,ctaNombre,0))&amp;""&lt;&gt;"",INDEX(ctaVinc,MATCH(K3808,ctaNombre,0))&amp;"",K3808),K3808))</f>
        <v/>
      </c>
      <c r="AD3808" s="52">
        <f>IF(AB3808="","",IFERROR(INDEX(ctaTipo,MATCH(AB3808,ctaNombre,0))&amp;"",""))</f>
        <v/>
      </c>
      <c r="AE3808" s="52">
        <f>IF(AC3808="","",IFERROR(INDEX(ctaTipo,MATCH(AC3808,ctaNombre,0))&amp;"",""))</f>
        <v/>
      </c>
      <c r="AF3808" s="53">
        <f>IF(OR(P3808="",AB3808=""),"",IF(OR(P3808="Gasto",P3808="Transferencia",P3808="Pago tarjeta"),-1,1)*IF(IFERROR(INDEX(ctaMoneda,MATCH(AB3808,ctaNombre,0))&amp;"","DOP")="USD",T3808,S3808))</f>
        <v/>
      </c>
      <c r="AG3808" s="53">
        <f>IF(AC3808="","",IF(IFERROR(INDEX(ctaMoneda,MATCH(AC3808,ctaNombre,0))&amp;"","DOP")="USD",T3808,S3808))</f>
        <v/>
      </c>
      <c r="AH3808" s="53">
        <f>IF(P3808="","",IF(AND(AD3808&lt;&gt;"",COUNTIFS(tcTipo,AD3808,tcLiq,"Sí")&gt;0),IF(OR(P3808="Gasto",P3808="Transferencia",P3808="Pago tarjeta"),-1,1)*S3808,0)+IF(AND(AE3808&lt;&gt;"",COUNTIFS(tcTipo,AE3808,tcLiq,"Sí")&gt;0),S3808,0))</f>
        <v/>
      </c>
      <c r="AI3808" s="52">
        <f>IF(OR(L3808="",P3808=""),"",IF(COUNTIFS(L$6:L3808,L3808,P$6:P3808,"?*")=1,MAX(AI$5:AI3807)+1,""))</f>
        <v/>
      </c>
    </row>
    <row r="3809">
      <c r="B3809" s="47" t="n"/>
      <c r="C3809" s="48" t="n"/>
      <c r="D3809" s="48" t="n"/>
      <c r="E3809" s="48" t="n"/>
      <c r="F3809" s="48" t="n"/>
      <c r="G3809" s="49" t="n"/>
      <c r="H3809" s="48" t="n"/>
      <c r="I3809" s="50" t="n"/>
      <c r="J3809" s="48" t="n"/>
      <c r="K3809" s="48" t="n"/>
      <c r="L3809" s="48" t="n"/>
      <c r="M3809" s="48" t="n"/>
      <c r="N3809" s="48" t="n"/>
      <c r="O3809" s="51">
        <f>IF(AND(B3809="",G3809="",C3809="",D3809="",J3809=""),"",IF(B3809="","⚠ Falta fecha",IF(G3809="","⚠ Falta monto",IF(Q3809="","⚠ Falta cuenta",IF(ISNA(MATCH(Q3809,ctaNombre,0)),"⚠ Cuenta no registrada",IF(AND(OR(P3809="Gasto",P3809="Reembolso"),D3809=""),"⚠ Falta categoría",IF(AND(D3809&lt;&gt;"",E3809&lt;&gt;"",ISNA(MATCH(D3809&amp;"|"&amp;E3809,catClave,0))),"⚠ Subcategoría no corresponde",IF(AND(OR(P3809="Transferencia",P3809="Pago tarjeta"),K3809=""),"⚠ Falta cuenta destino",IF(AND(K3809&lt;&gt;"",P3809&lt;&gt;"Transferencia",P3809&lt;&gt;"Pago tarjeta"),"⚠ Destino solo aplica a transferencias",IF(AND(K3809&lt;&gt;"",K3809=Q3809),"⚠ Origen igual a destino",IF(AND(K3809&lt;&gt;"",ISNA(MATCH(K3809,ctaNombre,0))),"⚠ Destino no registrado",IF(AND(P3809="Pago tarjeta",AE3809&lt;&gt;"Tarjeta de crédito"),"⚠ El destino debe ser tarjeta de crédito",IF(AND(P3809="Gasto",E3809="Depósitos y retiros"),"⚠ Usa tipo Transferencia",IF(AND(P3809="Resultado trading",AD3809&lt;&gt;"Cuenta de trading"),"⚠ Usa una cuenta de trading",IF(AND(G3809&lt;=0,P3809&lt;&gt;"Ajuste",P3809&lt;&gt;"Resultado trading"),"⚠ El monto debe ser positivo","✓")))))))))))))))</f>
        <v/>
      </c>
      <c r="P3809" s="52">
        <f>IF(OR(B3809="",G3809=""),"",IF(C3809="","Gasto",C3809))</f>
        <v/>
      </c>
      <c r="Q3809" s="52">
        <f>IF(P3809="","",IF(J3809&lt;&gt;"",J3809,CuentaPred&amp;""))</f>
        <v/>
      </c>
      <c r="R3809" s="52">
        <f>IF(P3809="","",IF(ISNUMBER(I3809),I3809,TasaUSD))</f>
        <v/>
      </c>
      <c r="S3809" s="53">
        <f>IF(P3809="","",IF(H3809="USD",G3809*R3809,G3809))</f>
        <v/>
      </c>
      <c r="T3809" s="53">
        <f>IF(P3809="","",IF(H3809="USD",G3809,IF(R3809&gt;0,G3809/R3809,0)))</f>
        <v/>
      </c>
      <c r="U3809" s="53">
        <f>IF(P3809="","",IF(P3809="Gasto",S3809,IF(P3809="Reembolso",-S3809,0)))</f>
        <v/>
      </c>
      <c r="V3809" s="53">
        <f>IF(P3809="","",IF(P3809="Ingreso",S3809,0))</f>
        <v/>
      </c>
      <c r="W3809" s="53">
        <f>IF(P3809="","",IF(P3809="Resultado trading",S3809,0))</f>
        <v/>
      </c>
      <c r="X3809" s="52">
        <f>IF(OR(P3809="Gasto",P3809="Reembolso"),IF(M3809&lt;&gt;"",M3809,IFERROR(INDEX(catClasif,MATCH(D3809&amp;"|"&amp;E3809,catClave,0))&amp;"","Variable")),"")</f>
        <v/>
      </c>
      <c r="Y3809" s="52">
        <f>IF(P3809="","",IFERROR(INDEX(catGrupo,MATCH(D3809&amp;"|"&amp;E3809,catClave,0))&amp;"",""))</f>
        <v/>
      </c>
      <c r="Z3809" s="52">
        <f>IF(P3809="","",WEEKDAY(B3809,2))</f>
        <v/>
      </c>
      <c r="AA3809" s="52">
        <f>IF(P3809="","",IF(AND(P3809="Gasto",X3809="Variable",D3809&lt;&gt;catTrading,S3809&gt;0,S3809&lt;=Umbral),1,0))</f>
        <v/>
      </c>
      <c r="AB3809" s="52">
        <f>IF(OR(P3809="",Q3809=""),"",IFERROR(IF(INDEX(ctaVinc,MATCH(Q3809,ctaNombre,0))&amp;""&lt;&gt;"",INDEX(ctaVinc,MATCH(Q3809,ctaNombre,0))&amp;"",Q3809),Q3809))</f>
        <v/>
      </c>
      <c r="AC3809" s="52">
        <f>IF(OR(K3809="",AND(P3809&lt;&gt;"Transferencia",P3809&lt;&gt;"Pago tarjeta")),"",IFERROR(IF(INDEX(ctaVinc,MATCH(K3809,ctaNombre,0))&amp;""&lt;&gt;"",INDEX(ctaVinc,MATCH(K3809,ctaNombre,0))&amp;"",K3809),K3809))</f>
        <v/>
      </c>
      <c r="AD3809" s="52">
        <f>IF(AB3809="","",IFERROR(INDEX(ctaTipo,MATCH(AB3809,ctaNombre,0))&amp;"",""))</f>
        <v/>
      </c>
      <c r="AE3809" s="52">
        <f>IF(AC3809="","",IFERROR(INDEX(ctaTipo,MATCH(AC3809,ctaNombre,0))&amp;"",""))</f>
        <v/>
      </c>
      <c r="AF3809" s="53">
        <f>IF(OR(P3809="",AB3809=""),"",IF(OR(P3809="Gasto",P3809="Transferencia",P3809="Pago tarjeta"),-1,1)*IF(IFERROR(INDEX(ctaMoneda,MATCH(AB3809,ctaNombre,0))&amp;"","DOP")="USD",T3809,S3809))</f>
        <v/>
      </c>
      <c r="AG3809" s="53">
        <f>IF(AC3809="","",IF(IFERROR(INDEX(ctaMoneda,MATCH(AC3809,ctaNombre,0))&amp;"","DOP")="USD",T3809,S3809))</f>
        <v/>
      </c>
      <c r="AH3809" s="53">
        <f>IF(P3809="","",IF(AND(AD3809&lt;&gt;"",COUNTIFS(tcTipo,AD3809,tcLiq,"Sí")&gt;0),IF(OR(P3809="Gasto",P3809="Transferencia",P3809="Pago tarjeta"),-1,1)*S3809,0)+IF(AND(AE3809&lt;&gt;"",COUNTIFS(tcTipo,AE3809,tcLiq,"Sí")&gt;0),S3809,0))</f>
        <v/>
      </c>
      <c r="AI3809" s="52">
        <f>IF(OR(L3809="",P3809=""),"",IF(COUNTIFS(L$6:L3809,L3809,P$6:P3809,"?*")=1,MAX(AI$5:AI3808)+1,""))</f>
        <v/>
      </c>
    </row>
    <row r="3810">
      <c r="B3810" s="47" t="n"/>
      <c r="C3810" s="48" t="n"/>
      <c r="D3810" s="48" t="n"/>
      <c r="E3810" s="48" t="n"/>
      <c r="F3810" s="48" t="n"/>
      <c r="G3810" s="49" t="n"/>
      <c r="H3810" s="48" t="n"/>
      <c r="I3810" s="50" t="n"/>
      <c r="J3810" s="48" t="n"/>
      <c r="K3810" s="48" t="n"/>
      <c r="L3810" s="48" t="n"/>
      <c r="M3810" s="48" t="n"/>
      <c r="N3810" s="48" t="n"/>
      <c r="O3810" s="51">
        <f>IF(AND(B3810="",G3810="",C3810="",D3810="",J3810=""),"",IF(B3810="","⚠ Falta fecha",IF(G3810="","⚠ Falta monto",IF(Q3810="","⚠ Falta cuenta",IF(ISNA(MATCH(Q3810,ctaNombre,0)),"⚠ Cuenta no registrada",IF(AND(OR(P3810="Gasto",P3810="Reembolso"),D3810=""),"⚠ Falta categoría",IF(AND(D3810&lt;&gt;"",E3810&lt;&gt;"",ISNA(MATCH(D3810&amp;"|"&amp;E3810,catClave,0))),"⚠ Subcategoría no corresponde",IF(AND(OR(P3810="Transferencia",P3810="Pago tarjeta"),K3810=""),"⚠ Falta cuenta destino",IF(AND(K3810&lt;&gt;"",P3810&lt;&gt;"Transferencia",P3810&lt;&gt;"Pago tarjeta"),"⚠ Destino solo aplica a transferencias",IF(AND(K3810&lt;&gt;"",K3810=Q3810),"⚠ Origen igual a destino",IF(AND(K3810&lt;&gt;"",ISNA(MATCH(K3810,ctaNombre,0))),"⚠ Destino no registrado",IF(AND(P3810="Pago tarjeta",AE3810&lt;&gt;"Tarjeta de crédito"),"⚠ El destino debe ser tarjeta de crédito",IF(AND(P3810="Gasto",E3810="Depósitos y retiros"),"⚠ Usa tipo Transferencia",IF(AND(P3810="Resultado trading",AD3810&lt;&gt;"Cuenta de trading"),"⚠ Usa una cuenta de trading",IF(AND(G3810&lt;=0,P3810&lt;&gt;"Ajuste",P3810&lt;&gt;"Resultado trading"),"⚠ El monto debe ser positivo","✓")))))))))))))))</f>
        <v/>
      </c>
      <c r="P3810" s="52">
        <f>IF(OR(B3810="",G3810=""),"",IF(C3810="","Gasto",C3810))</f>
        <v/>
      </c>
      <c r="Q3810" s="52">
        <f>IF(P3810="","",IF(J3810&lt;&gt;"",J3810,CuentaPred&amp;""))</f>
        <v/>
      </c>
      <c r="R3810" s="52">
        <f>IF(P3810="","",IF(ISNUMBER(I3810),I3810,TasaUSD))</f>
        <v/>
      </c>
      <c r="S3810" s="53">
        <f>IF(P3810="","",IF(H3810="USD",G3810*R3810,G3810))</f>
        <v/>
      </c>
      <c r="T3810" s="53">
        <f>IF(P3810="","",IF(H3810="USD",G3810,IF(R3810&gt;0,G3810/R3810,0)))</f>
        <v/>
      </c>
      <c r="U3810" s="53">
        <f>IF(P3810="","",IF(P3810="Gasto",S3810,IF(P3810="Reembolso",-S3810,0)))</f>
        <v/>
      </c>
      <c r="V3810" s="53">
        <f>IF(P3810="","",IF(P3810="Ingreso",S3810,0))</f>
        <v/>
      </c>
      <c r="W3810" s="53">
        <f>IF(P3810="","",IF(P3810="Resultado trading",S3810,0))</f>
        <v/>
      </c>
      <c r="X3810" s="52">
        <f>IF(OR(P3810="Gasto",P3810="Reembolso"),IF(M3810&lt;&gt;"",M3810,IFERROR(INDEX(catClasif,MATCH(D3810&amp;"|"&amp;E3810,catClave,0))&amp;"","Variable")),"")</f>
        <v/>
      </c>
      <c r="Y3810" s="52">
        <f>IF(P3810="","",IFERROR(INDEX(catGrupo,MATCH(D3810&amp;"|"&amp;E3810,catClave,0))&amp;"",""))</f>
        <v/>
      </c>
      <c r="Z3810" s="52">
        <f>IF(P3810="","",WEEKDAY(B3810,2))</f>
        <v/>
      </c>
      <c r="AA3810" s="52">
        <f>IF(P3810="","",IF(AND(P3810="Gasto",X3810="Variable",D3810&lt;&gt;catTrading,S3810&gt;0,S3810&lt;=Umbral),1,0))</f>
        <v/>
      </c>
      <c r="AB3810" s="52">
        <f>IF(OR(P3810="",Q3810=""),"",IFERROR(IF(INDEX(ctaVinc,MATCH(Q3810,ctaNombre,0))&amp;""&lt;&gt;"",INDEX(ctaVinc,MATCH(Q3810,ctaNombre,0))&amp;"",Q3810),Q3810))</f>
        <v/>
      </c>
      <c r="AC3810" s="52">
        <f>IF(OR(K3810="",AND(P3810&lt;&gt;"Transferencia",P3810&lt;&gt;"Pago tarjeta")),"",IFERROR(IF(INDEX(ctaVinc,MATCH(K3810,ctaNombre,0))&amp;""&lt;&gt;"",INDEX(ctaVinc,MATCH(K3810,ctaNombre,0))&amp;"",K3810),K3810))</f>
        <v/>
      </c>
      <c r="AD3810" s="52">
        <f>IF(AB3810="","",IFERROR(INDEX(ctaTipo,MATCH(AB3810,ctaNombre,0))&amp;"",""))</f>
        <v/>
      </c>
      <c r="AE3810" s="52">
        <f>IF(AC3810="","",IFERROR(INDEX(ctaTipo,MATCH(AC3810,ctaNombre,0))&amp;"",""))</f>
        <v/>
      </c>
      <c r="AF3810" s="53">
        <f>IF(OR(P3810="",AB3810=""),"",IF(OR(P3810="Gasto",P3810="Transferencia",P3810="Pago tarjeta"),-1,1)*IF(IFERROR(INDEX(ctaMoneda,MATCH(AB3810,ctaNombre,0))&amp;"","DOP")="USD",T3810,S3810))</f>
        <v/>
      </c>
      <c r="AG3810" s="53">
        <f>IF(AC3810="","",IF(IFERROR(INDEX(ctaMoneda,MATCH(AC3810,ctaNombre,0))&amp;"","DOP")="USD",T3810,S3810))</f>
        <v/>
      </c>
      <c r="AH3810" s="53">
        <f>IF(P3810="","",IF(AND(AD3810&lt;&gt;"",COUNTIFS(tcTipo,AD3810,tcLiq,"Sí")&gt;0),IF(OR(P3810="Gasto",P3810="Transferencia",P3810="Pago tarjeta"),-1,1)*S3810,0)+IF(AND(AE3810&lt;&gt;"",COUNTIFS(tcTipo,AE3810,tcLiq,"Sí")&gt;0),S3810,0))</f>
        <v/>
      </c>
      <c r="AI3810" s="52">
        <f>IF(OR(L3810="",P3810=""),"",IF(COUNTIFS(L$6:L3810,L3810,P$6:P3810,"?*")=1,MAX(AI$5:AI3809)+1,""))</f>
        <v/>
      </c>
    </row>
    <row r="3811">
      <c r="B3811" s="47" t="n"/>
      <c r="C3811" s="48" t="n"/>
      <c r="D3811" s="48" t="n"/>
      <c r="E3811" s="48" t="n"/>
      <c r="F3811" s="48" t="n"/>
      <c r="G3811" s="49" t="n"/>
      <c r="H3811" s="48" t="n"/>
      <c r="I3811" s="50" t="n"/>
      <c r="J3811" s="48" t="n"/>
      <c r="K3811" s="48" t="n"/>
      <c r="L3811" s="48" t="n"/>
      <c r="M3811" s="48" t="n"/>
      <c r="N3811" s="48" t="n"/>
      <c r="O3811" s="51">
        <f>IF(AND(B3811="",G3811="",C3811="",D3811="",J3811=""),"",IF(B3811="","⚠ Falta fecha",IF(G3811="","⚠ Falta monto",IF(Q3811="","⚠ Falta cuenta",IF(ISNA(MATCH(Q3811,ctaNombre,0)),"⚠ Cuenta no registrada",IF(AND(OR(P3811="Gasto",P3811="Reembolso"),D3811=""),"⚠ Falta categoría",IF(AND(D3811&lt;&gt;"",E3811&lt;&gt;"",ISNA(MATCH(D3811&amp;"|"&amp;E3811,catClave,0))),"⚠ Subcategoría no corresponde",IF(AND(OR(P3811="Transferencia",P3811="Pago tarjeta"),K3811=""),"⚠ Falta cuenta destino",IF(AND(K3811&lt;&gt;"",P3811&lt;&gt;"Transferencia",P3811&lt;&gt;"Pago tarjeta"),"⚠ Destino solo aplica a transferencias",IF(AND(K3811&lt;&gt;"",K3811=Q3811),"⚠ Origen igual a destino",IF(AND(K3811&lt;&gt;"",ISNA(MATCH(K3811,ctaNombre,0))),"⚠ Destino no registrado",IF(AND(P3811="Pago tarjeta",AE3811&lt;&gt;"Tarjeta de crédito"),"⚠ El destino debe ser tarjeta de crédito",IF(AND(P3811="Gasto",E3811="Depósitos y retiros"),"⚠ Usa tipo Transferencia",IF(AND(P3811="Resultado trading",AD3811&lt;&gt;"Cuenta de trading"),"⚠ Usa una cuenta de trading",IF(AND(G3811&lt;=0,P3811&lt;&gt;"Ajuste",P3811&lt;&gt;"Resultado trading"),"⚠ El monto debe ser positivo","✓")))))))))))))))</f>
        <v/>
      </c>
      <c r="P3811" s="52">
        <f>IF(OR(B3811="",G3811=""),"",IF(C3811="","Gasto",C3811))</f>
        <v/>
      </c>
      <c r="Q3811" s="52">
        <f>IF(P3811="","",IF(J3811&lt;&gt;"",J3811,CuentaPred&amp;""))</f>
        <v/>
      </c>
      <c r="R3811" s="52">
        <f>IF(P3811="","",IF(ISNUMBER(I3811),I3811,TasaUSD))</f>
        <v/>
      </c>
      <c r="S3811" s="53">
        <f>IF(P3811="","",IF(H3811="USD",G3811*R3811,G3811))</f>
        <v/>
      </c>
      <c r="T3811" s="53">
        <f>IF(P3811="","",IF(H3811="USD",G3811,IF(R3811&gt;0,G3811/R3811,0)))</f>
        <v/>
      </c>
      <c r="U3811" s="53">
        <f>IF(P3811="","",IF(P3811="Gasto",S3811,IF(P3811="Reembolso",-S3811,0)))</f>
        <v/>
      </c>
      <c r="V3811" s="53">
        <f>IF(P3811="","",IF(P3811="Ingreso",S3811,0))</f>
        <v/>
      </c>
      <c r="W3811" s="53">
        <f>IF(P3811="","",IF(P3811="Resultado trading",S3811,0))</f>
        <v/>
      </c>
      <c r="X3811" s="52">
        <f>IF(OR(P3811="Gasto",P3811="Reembolso"),IF(M3811&lt;&gt;"",M3811,IFERROR(INDEX(catClasif,MATCH(D3811&amp;"|"&amp;E3811,catClave,0))&amp;"","Variable")),"")</f>
        <v/>
      </c>
      <c r="Y3811" s="52">
        <f>IF(P3811="","",IFERROR(INDEX(catGrupo,MATCH(D3811&amp;"|"&amp;E3811,catClave,0))&amp;"",""))</f>
        <v/>
      </c>
      <c r="Z3811" s="52">
        <f>IF(P3811="","",WEEKDAY(B3811,2))</f>
        <v/>
      </c>
      <c r="AA3811" s="52">
        <f>IF(P3811="","",IF(AND(P3811="Gasto",X3811="Variable",D3811&lt;&gt;catTrading,S3811&gt;0,S3811&lt;=Umbral),1,0))</f>
        <v/>
      </c>
      <c r="AB3811" s="52">
        <f>IF(OR(P3811="",Q3811=""),"",IFERROR(IF(INDEX(ctaVinc,MATCH(Q3811,ctaNombre,0))&amp;""&lt;&gt;"",INDEX(ctaVinc,MATCH(Q3811,ctaNombre,0))&amp;"",Q3811),Q3811))</f>
        <v/>
      </c>
      <c r="AC3811" s="52">
        <f>IF(OR(K3811="",AND(P3811&lt;&gt;"Transferencia",P3811&lt;&gt;"Pago tarjeta")),"",IFERROR(IF(INDEX(ctaVinc,MATCH(K3811,ctaNombre,0))&amp;""&lt;&gt;"",INDEX(ctaVinc,MATCH(K3811,ctaNombre,0))&amp;"",K3811),K3811))</f>
        <v/>
      </c>
      <c r="AD3811" s="52">
        <f>IF(AB3811="","",IFERROR(INDEX(ctaTipo,MATCH(AB3811,ctaNombre,0))&amp;"",""))</f>
        <v/>
      </c>
      <c r="AE3811" s="52">
        <f>IF(AC3811="","",IFERROR(INDEX(ctaTipo,MATCH(AC3811,ctaNombre,0))&amp;"",""))</f>
        <v/>
      </c>
      <c r="AF3811" s="53">
        <f>IF(OR(P3811="",AB3811=""),"",IF(OR(P3811="Gasto",P3811="Transferencia",P3811="Pago tarjeta"),-1,1)*IF(IFERROR(INDEX(ctaMoneda,MATCH(AB3811,ctaNombre,0))&amp;"","DOP")="USD",T3811,S3811))</f>
        <v/>
      </c>
      <c r="AG3811" s="53">
        <f>IF(AC3811="","",IF(IFERROR(INDEX(ctaMoneda,MATCH(AC3811,ctaNombre,0))&amp;"","DOP")="USD",T3811,S3811))</f>
        <v/>
      </c>
      <c r="AH3811" s="53">
        <f>IF(P3811="","",IF(AND(AD3811&lt;&gt;"",COUNTIFS(tcTipo,AD3811,tcLiq,"Sí")&gt;0),IF(OR(P3811="Gasto",P3811="Transferencia",P3811="Pago tarjeta"),-1,1)*S3811,0)+IF(AND(AE3811&lt;&gt;"",COUNTIFS(tcTipo,AE3811,tcLiq,"Sí")&gt;0),S3811,0))</f>
        <v/>
      </c>
      <c r="AI3811" s="52">
        <f>IF(OR(L3811="",P3811=""),"",IF(COUNTIFS(L$6:L3811,L3811,P$6:P3811,"?*")=1,MAX(AI$5:AI3810)+1,""))</f>
        <v/>
      </c>
    </row>
    <row r="3812">
      <c r="B3812" s="47" t="n"/>
      <c r="C3812" s="48" t="n"/>
      <c r="D3812" s="48" t="n"/>
      <c r="E3812" s="48" t="n"/>
      <c r="F3812" s="48" t="n"/>
      <c r="G3812" s="49" t="n"/>
      <c r="H3812" s="48" t="n"/>
      <c r="I3812" s="50" t="n"/>
      <c r="J3812" s="48" t="n"/>
      <c r="K3812" s="48" t="n"/>
      <c r="L3812" s="48" t="n"/>
      <c r="M3812" s="48" t="n"/>
      <c r="N3812" s="48" t="n"/>
      <c r="O3812" s="51">
        <f>IF(AND(B3812="",G3812="",C3812="",D3812="",J3812=""),"",IF(B3812="","⚠ Falta fecha",IF(G3812="","⚠ Falta monto",IF(Q3812="","⚠ Falta cuenta",IF(ISNA(MATCH(Q3812,ctaNombre,0)),"⚠ Cuenta no registrada",IF(AND(OR(P3812="Gasto",P3812="Reembolso"),D3812=""),"⚠ Falta categoría",IF(AND(D3812&lt;&gt;"",E3812&lt;&gt;"",ISNA(MATCH(D3812&amp;"|"&amp;E3812,catClave,0))),"⚠ Subcategoría no corresponde",IF(AND(OR(P3812="Transferencia",P3812="Pago tarjeta"),K3812=""),"⚠ Falta cuenta destino",IF(AND(K3812&lt;&gt;"",P3812&lt;&gt;"Transferencia",P3812&lt;&gt;"Pago tarjeta"),"⚠ Destino solo aplica a transferencias",IF(AND(K3812&lt;&gt;"",K3812=Q3812),"⚠ Origen igual a destino",IF(AND(K3812&lt;&gt;"",ISNA(MATCH(K3812,ctaNombre,0))),"⚠ Destino no registrado",IF(AND(P3812="Pago tarjeta",AE3812&lt;&gt;"Tarjeta de crédito"),"⚠ El destino debe ser tarjeta de crédito",IF(AND(P3812="Gasto",E3812="Depósitos y retiros"),"⚠ Usa tipo Transferencia",IF(AND(P3812="Resultado trading",AD3812&lt;&gt;"Cuenta de trading"),"⚠ Usa una cuenta de trading",IF(AND(G3812&lt;=0,P3812&lt;&gt;"Ajuste",P3812&lt;&gt;"Resultado trading"),"⚠ El monto debe ser positivo","✓")))))))))))))))</f>
        <v/>
      </c>
      <c r="P3812" s="52">
        <f>IF(OR(B3812="",G3812=""),"",IF(C3812="","Gasto",C3812))</f>
        <v/>
      </c>
      <c r="Q3812" s="52">
        <f>IF(P3812="","",IF(J3812&lt;&gt;"",J3812,CuentaPred&amp;""))</f>
        <v/>
      </c>
      <c r="R3812" s="52">
        <f>IF(P3812="","",IF(ISNUMBER(I3812),I3812,TasaUSD))</f>
        <v/>
      </c>
      <c r="S3812" s="53">
        <f>IF(P3812="","",IF(H3812="USD",G3812*R3812,G3812))</f>
        <v/>
      </c>
      <c r="T3812" s="53">
        <f>IF(P3812="","",IF(H3812="USD",G3812,IF(R3812&gt;0,G3812/R3812,0)))</f>
        <v/>
      </c>
      <c r="U3812" s="53">
        <f>IF(P3812="","",IF(P3812="Gasto",S3812,IF(P3812="Reembolso",-S3812,0)))</f>
        <v/>
      </c>
      <c r="V3812" s="53">
        <f>IF(P3812="","",IF(P3812="Ingreso",S3812,0))</f>
        <v/>
      </c>
      <c r="W3812" s="53">
        <f>IF(P3812="","",IF(P3812="Resultado trading",S3812,0))</f>
        <v/>
      </c>
      <c r="X3812" s="52">
        <f>IF(OR(P3812="Gasto",P3812="Reembolso"),IF(M3812&lt;&gt;"",M3812,IFERROR(INDEX(catClasif,MATCH(D3812&amp;"|"&amp;E3812,catClave,0))&amp;"","Variable")),"")</f>
        <v/>
      </c>
      <c r="Y3812" s="52">
        <f>IF(P3812="","",IFERROR(INDEX(catGrupo,MATCH(D3812&amp;"|"&amp;E3812,catClave,0))&amp;"",""))</f>
        <v/>
      </c>
      <c r="Z3812" s="52">
        <f>IF(P3812="","",WEEKDAY(B3812,2))</f>
        <v/>
      </c>
      <c r="AA3812" s="52">
        <f>IF(P3812="","",IF(AND(P3812="Gasto",X3812="Variable",D3812&lt;&gt;catTrading,S3812&gt;0,S3812&lt;=Umbral),1,0))</f>
        <v/>
      </c>
      <c r="AB3812" s="52">
        <f>IF(OR(P3812="",Q3812=""),"",IFERROR(IF(INDEX(ctaVinc,MATCH(Q3812,ctaNombre,0))&amp;""&lt;&gt;"",INDEX(ctaVinc,MATCH(Q3812,ctaNombre,0))&amp;"",Q3812),Q3812))</f>
        <v/>
      </c>
      <c r="AC3812" s="52">
        <f>IF(OR(K3812="",AND(P3812&lt;&gt;"Transferencia",P3812&lt;&gt;"Pago tarjeta")),"",IFERROR(IF(INDEX(ctaVinc,MATCH(K3812,ctaNombre,0))&amp;""&lt;&gt;"",INDEX(ctaVinc,MATCH(K3812,ctaNombre,0))&amp;"",K3812),K3812))</f>
        <v/>
      </c>
      <c r="AD3812" s="52">
        <f>IF(AB3812="","",IFERROR(INDEX(ctaTipo,MATCH(AB3812,ctaNombre,0))&amp;"",""))</f>
        <v/>
      </c>
      <c r="AE3812" s="52">
        <f>IF(AC3812="","",IFERROR(INDEX(ctaTipo,MATCH(AC3812,ctaNombre,0))&amp;"",""))</f>
        <v/>
      </c>
      <c r="AF3812" s="53">
        <f>IF(OR(P3812="",AB3812=""),"",IF(OR(P3812="Gasto",P3812="Transferencia",P3812="Pago tarjeta"),-1,1)*IF(IFERROR(INDEX(ctaMoneda,MATCH(AB3812,ctaNombre,0))&amp;"","DOP")="USD",T3812,S3812))</f>
        <v/>
      </c>
      <c r="AG3812" s="53">
        <f>IF(AC3812="","",IF(IFERROR(INDEX(ctaMoneda,MATCH(AC3812,ctaNombre,0))&amp;"","DOP")="USD",T3812,S3812))</f>
        <v/>
      </c>
      <c r="AH3812" s="53">
        <f>IF(P3812="","",IF(AND(AD3812&lt;&gt;"",COUNTIFS(tcTipo,AD3812,tcLiq,"Sí")&gt;0),IF(OR(P3812="Gasto",P3812="Transferencia",P3812="Pago tarjeta"),-1,1)*S3812,0)+IF(AND(AE3812&lt;&gt;"",COUNTIFS(tcTipo,AE3812,tcLiq,"Sí")&gt;0),S3812,0))</f>
        <v/>
      </c>
      <c r="AI3812" s="52">
        <f>IF(OR(L3812="",P3812=""),"",IF(COUNTIFS(L$6:L3812,L3812,P$6:P3812,"?*")=1,MAX(AI$5:AI3811)+1,""))</f>
        <v/>
      </c>
    </row>
    <row r="3813">
      <c r="B3813" s="47" t="n"/>
      <c r="C3813" s="48" t="n"/>
      <c r="D3813" s="48" t="n"/>
      <c r="E3813" s="48" t="n"/>
      <c r="F3813" s="48" t="n"/>
      <c r="G3813" s="49" t="n"/>
      <c r="H3813" s="48" t="n"/>
      <c r="I3813" s="50" t="n"/>
      <c r="J3813" s="48" t="n"/>
      <c r="K3813" s="48" t="n"/>
      <c r="L3813" s="48" t="n"/>
      <c r="M3813" s="48" t="n"/>
      <c r="N3813" s="48" t="n"/>
      <c r="O3813" s="51">
        <f>IF(AND(B3813="",G3813="",C3813="",D3813="",J3813=""),"",IF(B3813="","⚠ Falta fecha",IF(G3813="","⚠ Falta monto",IF(Q3813="","⚠ Falta cuenta",IF(ISNA(MATCH(Q3813,ctaNombre,0)),"⚠ Cuenta no registrada",IF(AND(OR(P3813="Gasto",P3813="Reembolso"),D3813=""),"⚠ Falta categoría",IF(AND(D3813&lt;&gt;"",E3813&lt;&gt;"",ISNA(MATCH(D3813&amp;"|"&amp;E3813,catClave,0))),"⚠ Subcategoría no corresponde",IF(AND(OR(P3813="Transferencia",P3813="Pago tarjeta"),K3813=""),"⚠ Falta cuenta destino",IF(AND(K3813&lt;&gt;"",P3813&lt;&gt;"Transferencia",P3813&lt;&gt;"Pago tarjeta"),"⚠ Destino solo aplica a transferencias",IF(AND(K3813&lt;&gt;"",K3813=Q3813),"⚠ Origen igual a destino",IF(AND(K3813&lt;&gt;"",ISNA(MATCH(K3813,ctaNombre,0))),"⚠ Destino no registrado",IF(AND(P3813="Pago tarjeta",AE3813&lt;&gt;"Tarjeta de crédito"),"⚠ El destino debe ser tarjeta de crédito",IF(AND(P3813="Gasto",E3813="Depósitos y retiros"),"⚠ Usa tipo Transferencia",IF(AND(P3813="Resultado trading",AD3813&lt;&gt;"Cuenta de trading"),"⚠ Usa una cuenta de trading",IF(AND(G3813&lt;=0,P3813&lt;&gt;"Ajuste",P3813&lt;&gt;"Resultado trading"),"⚠ El monto debe ser positivo","✓")))))))))))))))</f>
        <v/>
      </c>
      <c r="P3813" s="52">
        <f>IF(OR(B3813="",G3813=""),"",IF(C3813="","Gasto",C3813))</f>
        <v/>
      </c>
      <c r="Q3813" s="52">
        <f>IF(P3813="","",IF(J3813&lt;&gt;"",J3813,CuentaPred&amp;""))</f>
        <v/>
      </c>
      <c r="R3813" s="52">
        <f>IF(P3813="","",IF(ISNUMBER(I3813),I3813,TasaUSD))</f>
        <v/>
      </c>
      <c r="S3813" s="53">
        <f>IF(P3813="","",IF(H3813="USD",G3813*R3813,G3813))</f>
        <v/>
      </c>
      <c r="T3813" s="53">
        <f>IF(P3813="","",IF(H3813="USD",G3813,IF(R3813&gt;0,G3813/R3813,0)))</f>
        <v/>
      </c>
      <c r="U3813" s="53">
        <f>IF(P3813="","",IF(P3813="Gasto",S3813,IF(P3813="Reembolso",-S3813,0)))</f>
        <v/>
      </c>
      <c r="V3813" s="53">
        <f>IF(P3813="","",IF(P3813="Ingreso",S3813,0))</f>
        <v/>
      </c>
      <c r="W3813" s="53">
        <f>IF(P3813="","",IF(P3813="Resultado trading",S3813,0))</f>
        <v/>
      </c>
      <c r="X3813" s="52">
        <f>IF(OR(P3813="Gasto",P3813="Reembolso"),IF(M3813&lt;&gt;"",M3813,IFERROR(INDEX(catClasif,MATCH(D3813&amp;"|"&amp;E3813,catClave,0))&amp;"","Variable")),"")</f>
        <v/>
      </c>
      <c r="Y3813" s="52">
        <f>IF(P3813="","",IFERROR(INDEX(catGrupo,MATCH(D3813&amp;"|"&amp;E3813,catClave,0))&amp;"",""))</f>
        <v/>
      </c>
      <c r="Z3813" s="52">
        <f>IF(P3813="","",WEEKDAY(B3813,2))</f>
        <v/>
      </c>
      <c r="AA3813" s="52">
        <f>IF(P3813="","",IF(AND(P3813="Gasto",X3813="Variable",D3813&lt;&gt;catTrading,S3813&gt;0,S3813&lt;=Umbral),1,0))</f>
        <v/>
      </c>
      <c r="AB3813" s="52">
        <f>IF(OR(P3813="",Q3813=""),"",IFERROR(IF(INDEX(ctaVinc,MATCH(Q3813,ctaNombre,0))&amp;""&lt;&gt;"",INDEX(ctaVinc,MATCH(Q3813,ctaNombre,0))&amp;"",Q3813),Q3813))</f>
        <v/>
      </c>
      <c r="AC3813" s="52">
        <f>IF(OR(K3813="",AND(P3813&lt;&gt;"Transferencia",P3813&lt;&gt;"Pago tarjeta")),"",IFERROR(IF(INDEX(ctaVinc,MATCH(K3813,ctaNombre,0))&amp;""&lt;&gt;"",INDEX(ctaVinc,MATCH(K3813,ctaNombre,0))&amp;"",K3813),K3813))</f>
        <v/>
      </c>
      <c r="AD3813" s="52">
        <f>IF(AB3813="","",IFERROR(INDEX(ctaTipo,MATCH(AB3813,ctaNombre,0))&amp;"",""))</f>
        <v/>
      </c>
      <c r="AE3813" s="52">
        <f>IF(AC3813="","",IFERROR(INDEX(ctaTipo,MATCH(AC3813,ctaNombre,0))&amp;"",""))</f>
        <v/>
      </c>
      <c r="AF3813" s="53">
        <f>IF(OR(P3813="",AB3813=""),"",IF(OR(P3813="Gasto",P3813="Transferencia",P3813="Pago tarjeta"),-1,1)*IF(IFERROR(INDEX(ctaMoneda,MATCH(AB3813,ctaNombre,0))&amp;"","DOP")="USD",T3813,S3813))</f>
        <v/>
      </c>
      <c r="AG3813" s="53">
        <f>IF(AC3813="","",IF(IFERROR(INDEX(ctaMoneda,MATCH(AC3813,ctaNombre,0))&amp;"","DOP")="USD",T3813,S3813))</f>
        <v/>
      </c>
      <c r="AH3813" s="53">
        <f>IF(P3813="","",IF(AND(AD3813&lt;&gt;"",COUNTIFS(tcTipo,AD3813,tcLiq,"Sí")&gt;0),IF(OR(P3813="Gasto",P3813="Transferencia",P3813="Pago tarjeta"),-1,1)*S3813,0)+IF(AND(AE3813&lt;&gt;"",COUNTIFS(tcTipo,AE3813,tcLiq,"Sí")&gt;0),S3813,0))</f>
        <v/>
      </c>
      <c r="AI3813" s="52">
        <f>IF(OR(L3813="",P3813=""),"",IF(COUNTIFS(L$6:L3813,L3813,P$6:P3813,"?*")=1,MAX(AI$5:AI3812)+1,""))</f>
        <v/>
      </c>
    </row>
    <row r="3814">
      <c r="B3814" s="47" t="n"/>
      <c r="C3814" s="48" t="n"/>
      <c r="D3814" s="48" t="n"/>
      <c r="E3814" s="48" t="n"/>
      <c r="F3814" s="48" t="n"/>
      <c r="G3814" s="49" t="n"/>
      <c r="H3814" s="48" t="n"/>
      <c r="I3814" s="50" t="n"/>
      <c r="J3814" s="48" t="n"/>
      <c r="K3814" s="48" t="n"/>
      <c r="L3814" s="48" t="n"/>
      <c r="M3814" s="48" t="n"/>
      <c r="N3814" s="48" t="n"/>
      <c r="O3814" s="51">
        <f>IF(AND(B3814="",G3814="",C3814="",D3814="",J3814=""),"",IF(B3814="","⚠ Falta fecha",IF(G3814="","⚠ Falta monto",IF(Q3814="","⚠ Falta cuenta",IF(ISNA(MATCH(Q3814,ctaNombre,0)),"⚠ Cuenta no registrada",IF(AND(OR(P3814="Gasto",P3814="Reembolso"),D3814=""),"⚠ Falta categoría",IF(AND(D3814&lt;&gt;"",E3814&lt;&gt;"",ISNA(MATCH(D3814&amp;"|"&amp;E3814,catClave,0))),"⚠ Subcategoría no corresponde",IF(AND(OR(P3814="Transferencia",P3814="Pago tarjeta"),K3814=""),"⚠ Falta cuenta destino",IF(AND(K3814&lt;&gt;"",P3814&lt;&gt;"Transferencia",P3814&lt;&gt;"Pago tarjeta"),"⚠ Destino solo aplica a transferencias",IF(AND(K3814&lt;&gt;"",K3814=Q3814),"⚠ Origen igual a destino",IF(AND(K3814&lt;&gt;"",ISNA(MATCH(K3814,ctaNombre,0))),"⚠ Destino no registrado",IF(AND(P3814="Pago tarjeta",AE3814&lt;&gt;"Tarjeta de crédito"),"⚠ El destino debe ser tarjeta de crédito",IF(AND(P3814="Gasto",E3814="Depósitos y retiros"),"⚠ Usa tipo Transferencia",IF(AND(P3814="Resultado trading",AD3814&lt;&gt;"Cuenta de trading"),"⚠ Usa una cuenta de trading",IF(AND(G3814&lt;=0,P3814&lt;&gt;"Ajuste",P3814&lt;&gt;"Resultado trading"),"⚠ El monto debe ser positivo","✓")))))))))))))))</f>
        <v/>
      </c>
      <c r="P3814" s="52">
        <f>IF(OR(B3814="",G3814=""),"",IF(C3814="","Gasto",C3814))</f>
        <v/>
      </c>
      <c r="Q3814" s="52">
        <f>IF(P3814="","",IF(J3814&lt;&gt;"",J3814,CuentaPred&amp;""))</f>
        <v/>
      </c>
      <c r="R3814" s="52">
        <f>IF(P3814="","",IF(ISNUMBER(I3814),I3814,TasaUSD))</f>
        <v/>
      </c>
      <c r="S3814" s="53">
        <f>IF(P3814="","",IF(H3814="USD",G3814*R3814,G3814))</f>
        <v/>
      </c>
      <c r="T3814" s="53">
        <f>IF(P3814="","",IF(H3814="USD",G3814,IF(R3814&gt;0,G3814/R3814,0)))</f>
        <v/>
      </c>
      <c r="U3814" s="53">
        <f>IF(P3814="","",IF(P3814="Gasto",S3814,IF(P3814="Reembolso",-S3814,0)))</f>
        <v/>
      </c>
      <c r="V3814" s="53">
        <f>IF(P3814="","",IF(P3814="Ingreso",S3814,0))</f>
        <v/>
      </c>
      <c r="W3814" s="53">
        <f>IF(P3814="","",IF(P3814="Resultado trading",S3814,0))</f>
        <v/>
      </c>
      <c r="X3814" s="52">
        <f>IF(OR(P3814="Gasto",P3814="Reembolso"),IF(M3814&lt;&gt;"",M3814,IFERROR(INDEX(catClasif,MATCH(D3814&amp;"|"&amp;E3814,catClave,0))&amp;"","Variable")),"")</f>
        <v/>
      </c>
      <c r="Y3814" s="52">
        <f>IF(P3814="","",IFERROR(INDEX(catGrupo,MATCH(D3814&amp;"|"&amp;E3814,catClave,0))&amp;"",""))</f>
        <v/>
      </c>
      <c r="Z3814" s="52">
        <f>IF(P3814="","",WEEKDAY(B3814,2))</f>
        <v/>
      </c>
      <c r="AA3814" s="52">
        <f>IF(P3814="","",IF(AND(P3814="Gasto",X3814="Variable",D3814&lt;&gt;catTrading,S3814&gt;0,S3814&lt;=Umbral),1,0))</f>
        <v/>
      </c>
      <c r="AB3814" s="52">
        <f>IF(OR(P3814="",Q3814=""),"",IFERROR(IF(INDEX(ctaVinc,MATCH(Q3814,ctaNombre,0))&amp;""&lt;&gt;"",INDEX(ctaVinc,MATCH(Q3814,ctaNombre,0))&amp;"",Q3814),Q3814))</f>
        <v/>
      </c>
      <c r="AC3814" s="52">
        <f>IF(OR(K3814="",AND(P3814&lt;&gt;"Transferencia",P3814&lt;&gt;"Pago tarjeta")),"",IFERROR(IF(INDEX(ctaVinc,MATCH(K3814,ctaNombre,0))&amp;""&lt;&gt;"",INDEX(ctaVinc,MATCH(K3814,ctaNombre,0))&amp;"",K3814),K3814))</f>
        <v/>
      </c>
      <c r="AD3814" s="52">
        <f>IF(AB3814="","",IFERROR(INDEX(ctaTipo,MATCH(AB3814,ctaNombre,0))&amp;"",""))</f>
        <v/>
      </c>
      <c r="AE3814" s="52">
        <f>IF(AC3814="","",IFERROR(INDEX(ctaTipo,MATCH(AC3814,ctaNombre,0))&amp;"",""))</f>
        <v/>
      </c>
      <c r="AF3814" s="53">
        <f>IF(OR(P3814="",AB3814=""),"",IF(OR(P3814="Gasto",P3814="Transferencia",P3814="Pago tarjeta"),-1,1)*IF(IFERROR(INDEX(ctaMoneda,MATCH(AB3814,ctaNombre,0))&amp;"","DOP")="USD",T3814,S3814))</f>
        <v/>
      </c>
      <c r="AG3814" s="53">
        <f>IF(AC3814="","",IF(IFERROR(INDEX(ctaMoneda,MATCH(AC3814,ctaNombre,0))&amp;"","DOP")="USD",T3814,S3814))</f>
        <v/>
      </c>
      <c r="AH3814" s="53">
        <f>IF(P3814="","",IF(AND(AD3814&lt;&gt;"",COUNTIFS(tcTipo,AD3814,tcLiq,"Sí")&gt;0),IF(OR(P3814="Gasto",P3814="Transferencia",P3814="Pago tarjeta"),-1,1)*S3814,0)+IF(AND(AE3814&lt;&gt;"",COUNTIFS(tcTipo,AE3814,tcLiq,"Sí")&gt;0),S3814,0))</f>
        <v/>
      </c>
      <c r="AI3814" s="52">
        <f>IF(OR(L3814="",P3814=""),"",IF(COUNTIFS(L$6:L3814,L3814,P$6:P3814,"?*")=1,MAX(AI$5:AI3813)+1,""))</f>
        <v/>
      </c>
    </row>
    <row r="3815">
      <c r="B3815" s="47" t="n"/>
      <c r="C3815" s="48" t="n"/>
      <c r="D3815" s="48" t="n"/>
      <c r="E3815" s="48" t="n"/>
      <c r="F3815" s="48" t="n"/>
      <c r="G3815" s="49" t="n"/>
      <c r="H3815" s="48" t="n"/>
      <c r="I3815" s="50" t="n"/>
      <c r="J3815" s="48" t="n"/>
      <c r="K3815" s="48" t="n"/>
      <c r="L3815" s="48" t="n"/>
      <c r="M3815" s="48" t="n"/>
      <c r="N3815" s="48" t="n"/>
      <c r="O3815" s="51">
        <f>IF(AND(B3815="",G3815="",C3815="",D3815="",J3815=""),"",IF(B3815="","⚠ Falta fecha",IF(G3815="","⚠ Falta monto",IF(Q3815="","⚠ Falta cuenta",IF(ISNA(MATCH(Q3815,ctaNombre,0)),"⚠ Cuenta no registrada",IF(AND(OR(P3815="Gasto",P3815="Reembolso"),D3815=""),"⚠ Falta categoría",IF(AND(D3815&lt;&gt;"",E3815&lt;&gt;"",ISNA(MATCH(D3815&amp;"|"&amp;E3815,catClave,0))),"⚠ Subcategoría no corresponde",IF(AND(OR(P3815="Transferencia",P3815="Pago tarjeta"),K3815=""),"⚠ Falta cuenta destino",IF(AND(K3815&lt;&gt;"",P3815&lt;&gt;"Transferencia",P3815&lt;&gt;"Pago tarjeta"),"⚠ Destino solo aplica a transferencias",IF(AND(K3815&lt;&gt;"",K3815=Q3815),"⚠ Origen igual a destino",IF(AND(K3815&lt;&gt;"",ISNA(MATCH(K3815,ctaNombre,0))),"⚠ Destino no registrado",IF(AND(P3815="Pago tarjeta",AE3815&lt;&gt;"Tarjeta de crédito"),"⚠ El destino debe ser tarjeta de crédito",IF(AND(P3815="Gasto",E3815="Depósitos y retiros"),"⚠ Usa tipo Transferencia",IF(AND(P3815="Resultado trading",AD3815&lt;&gt;"Cuenta de trading"),"⚠ Usa una cuenta de trading",IF(AND(G3815&lt;=0,P3815&lt;&gt;"Ajuste",P3815&lt;&gt;"Resultado trading"),"⚠ El monto debe ser positivo","✓")))))))))))))))</f>
        <v/>
      </c>
      <c r="P3815" s="52">
        <f>IF(OR(B3815="",G3815=""),"",IF(C3815="","Gasto",C3815))</f>
        <v/>
      </c>
      <c r="Q3815" s="52">
        <f>IF(P3815="","",IF(J3815&lt;&gt;"",J3815,CuentaPred&amp;""))</f>
        <v/>
      </c>
      <c r="R3815" s="52">
        <f>IF(P3815="","",IF(ISNUMBER(I3815),I3815,TasaUSD))</f>
        <v/>
      </c>
      <c r="S3815" s="53">
        <f>IF(P3815="","",IF(H3815="USD",G3815*R3815,G3815))</f>
        <v/>
      </c>
      <c r="T3815" s="53">
        <f>IF(P3815="","",IF(H3815="USD",G3815,IF(R3815&gt;0,G3815/R3815,0)))</f>
        <v/>
      </c>
      <c r="U3815" s="53">
        <f>IF(P3815="","",IF(P3815="Gasto",S3815,IF(P3815="Reembolso",-S3815,0)))</f>
        <v/>
      </c>
      <c r="V3815" s="53">
        <f>IF(P3815="","",IF(P3815="Ingreso",S3815,0))</f>
        <v/>
      </c>
      <c r="W3815" s="53">
        <f>IF(P3815="","",IF(P3815="Resultado trading",S3815,0))</f>
        <v/>
      </c>
      <c r="X3815" s="52">
        <f>IF(OR(P3815="Gasto",P3815="Reembolso"),IF(M3815&lt;&gt;"",M3815,IFERROR(INDEX(catClasif,MATCH(D3815&amp;"|"&amp;E3815,catClave,0))&amp;"","Variable")),"")</f>
        <v/>
      </c>
      <c r="Y3815" s="52">
        <f>IF(P3815="","",IFERROR(INDEX(catGrupo,MATCH(D3815&amp;"|"&amp;E3815,catClave,0))&amp;"",""))</f>
        <v/>
      </c>
      <c r="Z3815" s="52">
        <f>IF(P3815="","",WEEKDAY(B3815,2))</f>
        <v/>
      </c>
      <c r="AA3815" s="52">
        <f>IF(P3815="","",IF(AND(P3815="Gasto",X3815="Variable",D3815&lt;&gt;catTrading,S3815&gt;0,S3815&lt;=Umbral),1,0))</f>
        <v/>
      </c>
      <c r="AB3815" s="52">
        <f>IF(OR(P3815="",Q3815=""),"",IFERROR(IF(INDEX(ctaVinc,MATCH(Q3815,ctaNombre,0))&amp;""&lt;&gt;"",INDEX(ctaVinc,MATCH(Q3815,ctaNombre,0))&amp;"",Q3815),Q3815))</f>
        <v/>
      </c>
      <c r="AC3815" s="52">
        <f>IF(OR(K3815="",AND(P3815&lt;&gt;"Transferencia",P3815&lt;&gt;"Pago tarjeta")),"",IFERROR(IF(INDEX(ctaVinc,MATCH(K3815,ctaNombre,0))&amp;""&lt;&gt;"",INDEX(ctaVinc,MATCH(K3815,ctaNombre,0))&amp;"",K3815),K3815))</f>
        <v/>
      </c>
      <c r="AD3815" s="52">
        <f>IF(AB3815="","",IFERROR(INDEX(ctaTipo,MATCH(AB3815,ctaNombre,0))&amp;"",""))</f>
        <v/>
      </c>
      <c r="AE3815" s="52">
        <f>IF(AC3815="","",IFERROR(INDEX(ctaTipo,MATCH(AC3815,ctaNombre,0))&amp;"",""))</f>
        <v/>
      </c>
      <c r="AF3815" s="53">
        <f>IF(OR(P3815="",AB3815=""),"",IF(OR(P3815="Gasto",P3815="Transferencia",P3815="Pago tarjeta"),-1,1)*IF(IFERROR(INDEX(ctaMoneda,MATCH(AB3815,ctaNombre,0))&amp;"","DOP")="USD",T3815,S3815))</f>
        <v/>
      </c>
      <c r="AG3815" s="53">
        <f>IF(AC3815="","",IF(IFERROR(INDEX(ctaMoneda,MATCH(AC3815,ctaNombre,0))&amp;"","DOP")="USD",T3815,S3815))</f>
        <v/>
      </c>
      <c r="AH3815" s="53">
        <f>IF(P3815="","",IF(AND(AD3815&lt;&gt;"",COUNTIFS(tcTipo,AD3815,tcLiq,"Sí")&gt;0),IF(OR(P3815="Gasto",P3815="Transferencia",P3815="Pago tarjeta"),-1,1)*S3815,0)+IF(AND(AE3815&lt;&gt;"",COUNTIFS(tcTipo,AE3815,tcLiq,"Sí")&gt;0),S3815,0))</f>
        <v/>
      </c>
      <c r="AI3815" s="52">
        <f>IF(OR(L3815="",P3815=""),"",IF(COUNTIFS(L$6:L3815,L3815,P$6:P3815,"?*")=1,MAX(AI$5:AI3814)+1,""))</f>
        <v/>
      </c>
    </row>
    <row r="3816">
      <c r="B3816" s="47" t="n"/>
      <c r="C3816" s="48" t="n"/>
      <c r="D3816" s="48" t="n"/>
      <c r="E3816" s="48" t="n"/>
      <c r="F3816" s="48" t="n"/>
      <c r="G3816" s="49" t="n"/>
      <c r="H3816" s="48" t="n"/>
      <c r="I3816" s="50" t="n"/>
      <c r="J3816" s="48" t="n"/>
      <c r="K3816" s="48" t="n"/>
      <c r="L3816" s="48" t="n"/>
      <c r="M3816" s="48" t="n"/>
      <c r="N3816" s="48" t="n"/>
      <c r="O3816" s="51">
        <f>IF(AND(B3816="",G3816="",C3816="",D3816="",J3816=""),"",IF(B3816="","⚠ Falta fecha",IF(G3816="","⚠ Falta monto",IF(Q3816="","⚠ Falta cuenta",IF(ISNA(MATCH(Q3816,ctaNombre,0)),"⚠ Cuenta no registrada",IF(AND(OR(P3816="Gasto",P3816="Reembolso"),D3816=""),"⚠ Falta categoría",IF(AND(D3816&lt;&gt;"",E3816&lt;&gt;"",ISNA(MATCH(D3816&amp;"|"&amp;E3816,catClave,0))),"⚠ Subcategoría no corresponde",IF(AND(OR(P3816="Transferencia",P3816="Pago tarjeta"),K3816=""),"⚠ Falta cuenta destino",IF(AND(K3816&lt;&gt;"",P3816&lt;&gt;"Transferencia",P3816&lt;&gt;"Pago tarjeta"),"⚠ Destino solo aplica a transferencias",IF(AND(K3816&lt;&gt;"",K3816=Q3816),"⚠ Origen igual a destino",IF(AND(K3816&lt;&gt;"",ISNA(MATCH(K3816,ctaNombre,0))),"⚠ Destino no registrado",IF(AND(P3816="Pago tarjeta",AE3816&lt;&gt;"Tarjeta de crédito"),"⚠ El destino debe ser tarjeta de crédito",IF(AND(P3816="Gasto",E3816="Depósitos y retiros"),"⚠ Usa tipo Transferencia",IF(AND(P3816="Resultado trading",AD3816&lt;&gt;"Cuenta de trading"),"⚠ Usa una cuenta de trading",IF(AND(G3816&lt;=0,P3816&lt;&gt;"Ajuste",P3816&lt;&gt;"Resultado trading"),"⚠ El monto debe ser positivo","✓")))))))))))))))</f>
        <v/>
      </c>
      <c r="P3816" s="52">
        <f>IF(OR(B3816="",G3816=""),"",IF(C3816="","Gasto",C3816))</f>
        <v/>
      </c>
      <c r="Q3816" s="52">
        <f>IF(P3816="","",IF(J3816&lt;&gt;"",J3816,CuentaPred&amp;""))</f>
        <v/>
      </c>
      <c r="R3816" s="52">
        <f>IF(P3816="","",IF(ISNUMBER(I3816),I3816,TasaUSD))</f>
        <v/>
      </c>
      <c r="S3816" s="53">
        <f>IF(P3816="","",IF(H3816="USD",G3816*R3816,G3816))</f>
        <v/>
      </c>
      <c r="T3816" s="53">
        <f>IF(P3816="","",IF(H3816="USD",G3816,IF(R3816&gt;0,G3816/R3816,0)))</f>
        <v/>
      </c>
      <c r="U3816" s="53">
        <f>IF(P3816="","",IF(P3816="Gasto",S3816,IF(P3816="Reembolso",-S3816,0)))</f>
        <v/>
      </c>
      <c r="V3816" s="53">
        <f>IF(P3816="","",IF(P3816="Ingreso",S3816,0))</f>
        <v/>
      </c>
      <c r="W3816" s="53">
        <f>IF(P3816="","",IF(P3816="Resultado trading",S3816,0))</f>
        <v/>
      </c>
      <c r="X3816" s="52">
        <f>IF(OR(P3816="Gasto",P3816="Reembolso"),IF(M3816&lt;&gt;"",M3816,IFERROR(INDEX(catClasif,MATCH(D3816&amp;"|"&amp;E3816,catClave,0))&amp;"","Variable")),"")</f>
        <v/>
      </c>
      <c r="Y3816" s="52">
        <f>IF(P3816="","",IFERROR(INDEX(catGrupo,MATCH(D3816&amp;"|"&amp;E3816,catClave,0))&amp;"",""))</f>
        <v/>
      </c>
      <c r="Z3816" s="52">
        <f>IF(P3816="","",WEEKDAY(B3816,2))</f>
        <v/>
      </c>
      <c r="AA3816" s="52">
        <f>IF(P3816="","",IF(AND(P3816="Gasto",X3816="Variable",D3816&lt;&gt;catTrading,S3816&gt;0,S3816&lt;=Umbral),1,0))</f>
        <v/>
      </c>
      <c r="AB3816" s="52">
        <f>IF(OR(P3816="",Q3816=""),"",IFERROR(IF(INDEX(ctaVinc,MATCH(Q3816,ctaNombre,0))&amp;""&lt;&gt;"",INDEX(ctaVinc,MATCH(Q3816,ctaNombre,0))&amp;"",Q3816),Q3816))</f>
        <v/>
      </c>
      <c r="AC3816" s="52">
        <f>IF(OR(K3816="",AND(P3816&lt;&gt;"Transferencia",P3816&lt;&gt;"Pago tarjeta")),"",IFERROR(IF(INDEX(ctaVinc,MATCH(K3816,ctaNombre,0))&amp;""&lt;&gt;"",INDEX(ctaVinc,MATCH(K3816,ctaNombre,0))&amp;"",K3816),K3816))</f>
        <v/>
      </c>
      <c r="AD3816" s="52">
        <f>IF(AB3816="","",IFERROR(INDEX(ctaTipo,MATCH(AB3816,ctaNombre,0))&amp;"",""))</f>
        <v/>
      </c>
      <c r="AE3816" s="52">
        <f>IF(AC3816="","",IFERROR(INDEX(ctaTipo,MATCH(AC3816,ctaNombre,0))&amp;"",""))</f>
        <v/>
      </c>
      <c r="AF3816" s="53">
        <f>IF(OR(P3816="",AB3816=""),"",IF(OR(P3816="Gasto",P3816="Transferencia",P3816="Pago tarjeta"),-1,1)*IF(IFERROR(INDEX(ctaMoneda,MATCH(AB3816,ctaNombre,0))&amp;"","DOP")="USD",T3816,S3816))</f>
        <v/>
      </c>
      <c r="AG3816" s="53">
        <f>IF(AC3816="","",IF(IFERROR(INDEX(ctaMoneda,MATCH(AC3816,ctaNombre,0))&amp;"","DOP")="USD",T3816,S3816))</f>
        <v/>
      </c>
      <c r="AH3816" s="53">
        <f>IF(P3816="","",IF(AND(AD3816&lt;&gt;"",COUNTIFS(tcTipo,AD3816,tcLiq,"Sí")&gt;0),IF(OR(P3816="Gasto",P3816="Transferencia",P3816="Pago tarjeta"),-1,1)*S3816,0)+IF(AND(AE3816&lt;&gt;"",COUNTIFS(tcTipo,AE3816,tcLiq,"Sí")&gt;0),S3816,0))</f>
        <v/>
      </c>
      <c r="AI3816" s="52">
        <f>IF(OR(L3816="",P3816=""),"",IF(COUNTIFS(L$6:L3816,L3816,P$6:P3816,"?*")=1,MAX(AI$5:AI3815)+1,""))</f>
        <v/>
      </c>
    </row>
    <row r="3817">
      <c r="B3817" s="47" t="n"/>
      <c r="C3817" s="48" t="n"/>
      <c r="D3817" s="48" t="n"/>
      <c r="E3817" s="48" t="n"/>
      <c r="F3817" s="48" t="n"/>
      <c r="G3817" s="49" t="n"/>
      <c r="H3817" s="48" t="n"/>
      <c r="I3817" s="50" t="n"/>
      <c r="J3817" s="48" t="n"/>
      <c r="K3817" s="48" t="n"/>
      <c r="L3817" s="48" t="n"/>
      <c r="M3817" s="48" t="n"/>
      <c r="N3817" s="48" t="n"/>
      <c r="O3817" s="51">
        <f>IF(AND(B3817="",G3817="",C3817="",D3817="",J3817=""),"",IF(B3817="","⚠ Falta fecha",IF(G3817="","⚠ Falta monto",IF(Q3817="","⚠ Falta cuenta",IF(ISNA(MATCH(Q3817,ctaNombre,0)),"⚠ Cuenta no registrada",IF(AND(OR(P3817="Gasto",P3817="Reembolso"),D3817=""),"⚠ Falta categoría",IF(AND(D3817&lt;&gt;"",E3817&lt;&gt;"",ISNA(MATCH(D3817&amp;"|"&amp;E3817,catClave,0))),"⚠ Subcategoría no corresponde",IF(AND(OR(P3817="Transferencia",P3817="Pago tarjeta"),K3817=""),"⚠ Falta cuenta destino",IF(AND(K3817&lt;&gt;"",P3817&lt;&gt;"Transferencia",P3817&lt;&gt;"Pago tarjeta"),"⚠ Destino solo aplica a transferencias",IF(AND(K3817&lt;&gt;"",K3817=Q3817),"⚠ Origen igual a destino",IF(AND(K3817&lt;&gt;"",ISNA(MATCH(K3817,ctaNombre,0))),"⚠ Destino no registrado",IF(AND(P3817="Pago tarjeta",AE3817&lt;&gt;"Tarjeta de crédito"),"⚠ El destino debe ser tarjeta de crédito",IF(AND(P3817="Gasto",E3817="Depósitos y retiros"),"⚠ Usa tipo Transferencia",IF(AND(P3817="Resultado trading",AD3817&lt;&gt;"Cuenta de trading"),"⚠ Usa una cuenta de trading",IF(AND(G3817&lt;=0,P3817&lt;&gt;"Ajuste",P3817&lt;&gt;"Resultado trading"),"⚠ El monto debe ser positivo","✓")))))))))))))))</f>
        <v/>
      </c>
      <c r="P3817" s="52">
        <f>IF(OR(B3817="",G3817=""),"",IF(C3817="","Gasto",C3817))</f>
        <v/>
      </c>
      <c r="Q3817" s="52">
        <f>IF(P3817="","",IF(J3817&lt;&gt;"",J3817,CuentaPred&amp;""))</f>
        <v/>
      </c>
      <c r="R3817" s="52">
        <f>IF(P3817="","",IF(ISNUMBER(I3817),I3817,TasaUSD))</f>
        <v/>
      </c>
      <c r="S3817" s="53">
        <f>IF(P3817="","",IF(H3817="USD",G3817*R3817,G3817))</f>
        <v/>
      </c>
      <c r="T3817" s="53">
        <f>IF(P3817="","",IF(H3817="USD",G3817,IF(R3817&gt;0,G3817/R3817,0)))</f>
        <v/>
      </c>
      <c r="U3817" s="53">
        <f>IF(P3817="","",IF(P3817="Gasto",S3817,IF(P3817="Reembolso",-S3817,0)))</f>
        <v/>
      </c>
      <c r="V3817" s="53">
        <f>IF(P3817="","",IF(P3817="Ingreso",S3817,0))</f>
        <v/>
      </c>
      <c r="W3817" s="53">
        <f>IF(P3817="","",IF(P3817="Resultado trading",S3817,0))</f>
        <v/>
      </c>
      <c r="X3817" s="52">
        <f>IF(OR(P3817="Gasto",P3817="Reembolso"),IF(M3817&lt;&gt;"",M3817,IFERROR(INDEX(catClasif,MATCH(D3817&amp;"|"&amp;E3817,catClave,0))&amp;"","Variable")),"")</f>
        <v/>
      </c>
      <c r="Y3817" s="52">
        <f>IF(P3817="","",IFERROR(INDEX(catGrupo,MATCH(D3817&amp;"|"&amp;E3817,catClave,0))&amp;"",""))</f>
        <v/>
      </c>
      <c r="Z3817" s="52">
        <f>IF(P3817="","",WEEKDAY(B3817,2))</f>
        <v/>
      </c>
      <c r="AA3817" s="52">
        <f>IF(P3817="","",IF(AND(P3817="Gasto",X3817="Variable",D3817&lt;&gt;catTrading,S3817&gt;0,S3817&lt;=Umbral),1,0))</f>
        <v/>
      </c>
      <c r="AB3817" s="52">
        <f>IF(OR(P3817="",Q3817=""),"",IFERROR(IF(INDEX(ctaVinc,MATCH(Q3817,ctaNombre,0))&amp;""&lt;&gt;"",INDEX(ctaVinc,MATCH(Q3817,ctaNombre,0))&amp;"",Q3817),Q3817))</f>
        <v/>
      </c>
      <c r="AC3817" s="52">
        <f>IF(OR(K3817="",AND(P3817&lt;&gt;"Transferencia",P3817&lt;&gt;"Pago tarjeta")),"",IFERROR(IF(INDEX(ctaVinc,MATCH(K3817,ctaNombre,0))&amp;""&lt;&gt;"",INDEX(ctaVinc,MATCH(K3817,ctaNombre,0))&amp;"",K3817),K3817))</f>
        <v/>
      </c>
      <c r="AD3817" s="52">
        <f>IF(AB3817="","",IFERROR(INDEX(ctaTipo,MATCH(AB3817,ctaNombre,0))&amp;"",""))</f>
        <v/>
      </c>
      <c r="AE3817" s="52">
        <f>IF(AC3817="","",IFERROR(INDEX(ctaTipo,MATCH(AC3817,ctaNombre,0))&amp;"",""))</f>
        <v/>
      </c>
      <c r="AF3817" s="53">
        <f>IF(OR(P3817="",AB3817=""),"",IF(OR(P3817="Gasto",P3817="Transferencia",P3817="Pago tarjeta"),-1,1)*IF(IFERROR(INDEX(ctaMoneda,MATCH(AB3817,ctaNombre,0))&amp;"","DOP")="USD",T3817,S3817))</f>
        <v/>
      </c>
      <c r="AG3817" s="53">
        <f>IF(AC3817="","",IF(IFERROR(INDEX(ctaMoneda,MATCH(AC3817,ctaNombre,0))&amp;"","DOP")="USD",T3817,S3817))</f>
        <v/>
      </c>
      <c r="AH3817" s="53">
        <f>IF(P3817="","",IF(AND(AD3817&lt;&gt;"",COUNTIFS(tcTipo,AD3817,tcLiq,"Sí")&gt;0),IF(OR(P3817="Gasto",P3817="Transferencia",P3817="Pago tarjeta"),-1,1)*S3817,0)+IF(AND(AE3817&lt;&gt;"",COUNTIFS(tcTipo,AE3817,tcLiq,"Sí")&gt;0),S3817,0))</f>
        <v/>
      </c>
      <c r="AI3817" s="52">
        <f>IF(OR(L3817="",P3817=""),"",IF(COUNTIFS(L$6:L3817,L3817,P$6:P3817,"?*")=1,MAX(AI$5:AI3816)+1,""))</f>
        <v/>
      </c>
    </row>
    <row r="3818">
      <c r="B3818" s="47" t="n"/>
      <c r="C3818" s="48" t="n"/>
      <c r="D3818" s="48" t="n"/>
      <c r="E3818" s="48" t="n"/>
      <c r="F3818" s="48" t="n"/>
      <c r="G3818" s="49" t="n"/>
      <c r="H3818" s="48" t="n"/>
      <c r="I3818" s="50" t="n"/>
      <c r="J3818" s="48" t="n"/>
      <c r="K3818" s="48" t="n"/>
      <c r="L3818" s="48" t="n"/>
      <c r="M3818" s="48" t="n"/>
      <c r="N3818" s="48" t="n"/>
      <c r="O3818" s="51">
        <f>IF(AND(B3818="",G3818="",C3818="",D3818="",J3818=""),"",IF(B3818="","⚠ Falta fecha",IF(G3818="","⚠ Falta monto",IF(Q3818="","⚠ Falta cuenta",IF(ISNA(MATCH(Q3818,ctaNombre,0)),"⚠ Cuenta no registrada",IF(AND(OR(P3818="Gasto",P3818="Reembolso"),D3818=""),"⚠ Falta categoría",IF(AND(D3818&lt;&gt;"",E3818&lt;&gt;"",ISNA(MATCH(D3818&amp;"|"&amp;E3818,catClave,0))),"⚠ Subcategoría no corresponde",IF(AND(OR(P3818="Transferencia",P3818="Pago tarjeta"),K3818=""),"⚠ Falta cuenta destino",IF(AND(K3818&lt;&gt;"",P3818&lt;&gt;"Transferencia",P3818&lt;&gt;"Pago tarjeta"),"⚠ Destino solo aplica a transferencias",IF(AND(K3818&lt;&gt;"",K3818=Q3818),"⚠ Origen igual a destino",IF(AND(K3818&lt;&gt;"",ISNA(MATCH(K3818,ctaNombre,0))),"⚠ Destino no registrado",IF(AND(P3818="Pago tarjeta",AE3818&lt;&gt;"Tarjeta de crédito"),"⚠ El destino debe ser tarjeta de crédito",IF(AND(P3818="Gasto",E3818="Depósitos y retiros"),"⚠ Usa tipo Transferencia",IF(AND(P3818="Resultado trading",AD3818&lt;&gt;"Cuenta de trading"),"⚠ Usa una cuenta de trading",IF(AND(G3818&lt;=0,P3818&lt;&gt;"Ajuste",P3818&lt;&gt;"Resultado trading"),"⚠ El monto debe ser positivo","✓")))))))))))))))</f>
        <v/>
      </c>
      <c r="P3818" s="52">
        <f>IF(OR(B3818="",G3818=""),"",IF(C3818="","Gasto",C3818))</f>
        <v/>
      </c>
      <c r="Q3818" s="52">
        <f>IF(P3818="","",IF(J3818&lt;&gt;"",J3818,CuentaPred&amp;""))</f>
        <v/>
      </c>
      <c r="R3818" s="52">
        <f>IF(P3818="","",IF(ISNUMBER(I3818),I3818,TasaUSD))</f>
        <v/>
      </c>
      <c r="S3818" s="53">
        <f>IF(P3818="","",IF(H3818="USD",G3818*R3818,G3818))</f>
        <v/>
      </c>
      <c r="T3818" s="53">
        <f>IF(P3818="","",IF(H3818="USD",G3818,IF(R3818&gt;0,G3818/R3818,0)))</f>
        <v/>
      </c>
      <c r="U3818" s="53">
        <f>IF(P3818="","",IF(P3818="Gasto",S3818,IF(P3818="Reembolso",-S3818,0)))</f>
        <v/>
      </c>
      <c r="V3818" s="53">
        <f>IF(P3818="","",IF(P3818="Ingreso",S3818,0))</f>
        <v/>
      </c>
      <c r="W3818" s="53">
        <f>IF(P3818="","",IF(P3818="Resultado trading",S3818,0))</f>
        <v/>
      </c>
      <c r="X3818" s="52">
        <f>IF(OR(P3818="Gasto",P3818="Reembolso"),IF(M3818&lt;&gt;"",M3818,IFERROR(INDEX(catClasif,MATCH(D3818&amp;"|"&amp;E3818,catClave,0))&amp;"","Variable")),"")</f>
        <v/>
      </c>
      <c r="Y3818" s="52">
        <f>IF(P3818="","",IFERROR(INDEX(catGrupo,MATCH(D3818&amp;"|"&amp;E3818,catClave,0))&amp;"",""))</f>
        <v/>
      </c>
      <c r="Z3818" s="52">
        <f>IF(P3818="","",WEEKDAY(B3818,2))</f>
        <v/>
      </c>
      <c r="AA3818" s="52">
        <f>IF(P3818="","",IF(AND(P3818="Gasto",X3818="Variable",D3818&lt;&gt;catTrading,S3818&gt;0,S3818&lt;=Umbral),1,0))</f>
        <v/>
      </c>
      <c r="AB3818" s="52">
        <f>IF(OR(P3818="",Q3818=""),"",IFERROR(IF(INDEX(ctaVinc,MATCH(Q3818,ctaNombre,0))&amp;""&lt;&gt;"",INDEX(ctaVinc,MATCH(Q3818,ctaNombre,0))&amp;"",Q3818),Q3818))</f>
        <v/>
      </c>
      <c r="AC3818" s="52">
        <f>IF(OR(K3818="",AND(P3818&lt;&gt;"Transferencia",P3818&lt;&gt;"Pago tarjeta")),"",IFERROR(IF(INDEX(ctaVinc,MATCH(K3818,ctaNombre,0))&amp;""&lt;&gt;"",INDEX(ctaVinc,MATCH(K3818,ctaNombre,0))&amp;"",K3818),K3818))</f>
        <v/>
      </c>
      <c r="AD3818" s="52">
        <f>IF(AB3818="","",IFERROR(INDEX(ctaTipo,MATCH(AB3818,ctaNombre,0))&amp;"",""))</f>
        <v/>
      </c>
      <c r="AE3818" s="52">
        <f>IF(AC3818="","",IFERROR(INDEX(ctaTipo,MATCH(AC3818,ctaNombre,0))&amp;"",""))</f>
        <v/>
      </c>
      <c r="AF3818" s="53">
        <f>IF(OR(P3818="",AB3818=""),"",IF(OR(P3818="Gasto",P3818="Transferencia",P3818="Pago tarjeta"),-1,1)*IF(IFERROR(INDEX(ctaMoneda,MATCH(AB3818,ctaNombre,0))&amp;"","DOP")="USD",T3818,S3818))</f>
        <v/>
      </c>
      <c r="AG3818" s="53">
        <f>IF(AC3818="","",IF(IFERROR(INDEX(ctaMoneda,MATCH(AC3818,ctaNombre,0))&amp;"","DOP")="USD",T3818,S3818))</f>
        <v/>
      </c>
      <c r="AH3818" s="53">
        <f>IF(P3818="","",IF(AND(AD3818&lt;&gt;"",COUNTIFS(tcTipo,AD3818,tcLiq,"Sí")&gt;0),IF(OR(P3818="Gasto",P3818="Transferencia",P3818="Pago tarjeta"),-1,1)*S3818,0)+IF(AND(AE3818&lt;&gt;"",COUNTIFS(tcTipo,AE3818,tcLiq,"Sí")&gt;0),S3818,0))</f>
        <v/>
      </c>
      <c r="AI3818" s="52">
        <f>IF(OR(L3818="",P3818=""),"",IF(COUNTIFS(L$6:L3818,L3818,P$6:P3818,"?*")=1,MAX(AI$5:AI3817)+1,""))</f>
        <v/>
      </c>
    </row>
    <row r="3819">
      <c r="B3819" s="47" t="n"/>
      <c r="C3819" s="48" t="n"/>
      <c r="D3819" s="48" t="n"/>
      <c r="E3819" s="48" t="n"/>
      <c r="F3819" s="48" t="n"/>
      <c r="G3819" s="49" t="n"/>
      <c r="H3819" s="48" t="n"/>
      <c r="I3819" s="50" t="n"/>
      <c r="J3819" s="48" t="n"/>
      <c r="K3819" s="48" t="n"/>
      <c r="L3819" s="48" t="n"/>
      <c r="M3819" s="48" t="n"/>
      <c r="N3819" s="48" t="n"/>
      <c r="O3819" s="51">
        <f>IF(AND(B3819="",G3819="",C3819="",D3819="",J3819=""),"",IF(B3819="","⚠ Falta fecha",IF(G3819="","⚠ Falta monto",IF(Q3819="","⚠ Falta cuenta",IF(ISNA(MATCH(Q3819,ctaNombre,0)),"⚠ Cuenta no registrada",IF(AND(OR(P3819="Gasto",P3819="Reembolso"),D3819=""),"⚠ Falta categoría",IF(AND(D3819&lt;&gt;"",E3819&lt;&gt;"",ISNA(MATCH(D3819&amp;"|"&amp;E3819,catClave,0))),"⚠ Subcategoría no corresponde",IF(AND(OR(P3819="Transferencia",P3819="Pago tarjeta"),K3819=""),"⚠ Falta cuenta destino",IF(AND(K3819&lt;&gt;"",P3819&lt;&gt;"Transferencia",P3819&lt;&gt;"Pago tarjeta"),"⚠ Destino solo aplica a transferencias",IF(AND(K3819&lt;&gt;"",K3819=Q3819),"⚠ Origen igual a destino",IF(AND(K3819&lt;&gt;"",ISNA(MATCH(K3819,ctaNombre,0))),"⚠ Destino no registrado",IF(AND(P3819="Pago tarjeta",AE3819&lt;&gt;"Tarjeta de crédito"),"⚠ El destino debe ser tarjeta de crédito",IF(AND(P3819="Gasto",E3819="Depósitos y retiros"),"⚠ Usa tipo Transferencia",IF(AND(P3819="Resultado trading",AD3819&lt;&gt;"Cuenta de trading"),"⚠ Usa una cuenta de trading",IF(AND(G3819&lt;=0,P3819&lt;&gt;"Ajuste",P3819&lt;&gt;"Resultado trading"),"⚠ El monto debe ser positivo","✓")))))))))))))))</f>
        <v/>
      </c>
      <c r="P3819" s="52">
        <f>IF(OR(B3819="",G3819=""),"",IF(C3819="","Gasto",C3819))</f>
        <v/>
      </c>
      <c r="Q3819" s="52">
        <f>IF(P3819="","",IF(J3819&lt;&gt;"",J3819,CuentaPred&amp;""))</f>
        <v/>
      </c>
      <c r="R3819" s="52">
        <f>IF(P3819="","",IF(ISNUMBER(I3819),I3819,TasaUSD))</f>
        <v/>
      </c>
      <c r="S3819" s="53">
        <f>IF(P3819="","",IF(H3819="USD",G3819*R3819,G3819))</f>
        <v/>
      </c>
      <c r="T3819" s="53">
        <f>IF(P3819="","",IF(H3819="USD",G3819,IF(R3819&gt;0,G3819/R3819,0)))</f>
        <v/>
      </c>
      <c r="U3819" s="53">
        <f>IF(P3819="","",IF(P3819="Gasto",S3819,IF(P3819="Reembolso",-S3819,0)))</f>
        <v/>
      </c>
      <c r="V3819" s="53">
        <f>IF(P3819="","",IF(P3819="Ingreso",S3819,0))</f>
        <v/>
      </c>
      <c r="W3819" s="53">
        <f>IF(P3819="","",IF(P3819="Resultado trading",S3819,0))</f>
        <v/>
      </c>
      <c r="X3819" s="52">
        <f>IF(OR(P3819="Gasto",P3819="Reembolso"),IF(M3819&lt;&gt;"",M3819,IFERROR(INDEX(catClasif,MATCH(D3819&amp;"|"&amp;E3819,catClave,0))&amp;"","Variable")),"")</f>
        <v/>
      </c>
      <c r="Y3819" s="52">
        <f>IF(P3819="","",IFERROR(INDEX(catGrupo,MATCH(D3819&amp;"|"&amp;E3819,catClave,0))&amp;"",""))</f>
        <v/>
      </c>
      <c r="Z3819" s="52">
        <f>IF(P3819="","",WEEKDAY(B3819,2))</f>
        <v/>
      </c>
      <c r="AA3819" s="52">
        <f>IF(P3819="","",IF(AND(P3819="Gasto",X3819="Variable",D3819&lt;&gt;catTrading,S3819&gt;0,S3819&lt;=Umbral),1,0))</f>
        <v/>
      </c>
      <c r="AB3819" s="52">
        <f>IF(OR(P3819="",Q3819=""),"",IFERROR(IF(INDEX(ctaVinc,MATCH(Q3819,ctaNombre,0))&amp;""&lt;&gt;"",INDEX(ctaVinc,MATCH(Q3819,ctaNombre,0))&amp;"",Q3819),Q3819))</f>
        <v/>
      </c>
      <c r="AC3819" s="52">
        <f>IF(OR(K3819="",AND(P3819&lt;&gt;"Transferencia",P3819&lt;&gt;"Pago tarjeta")),"",IFERROR(IF(INDEX(ctaVinc,MATCH(K3819,ctaNombre,0))&amp;""&lt;&gt;"",INDEX(ctaVinc,MATCH(K3819,ctaNombre,0))&amp;"",K3819),K3819))</f>
        <v/>
      </c>
      <c r="AD3819" s="52">
        <f>IF(AB3819="","",IFERROR(INDEX(ctaTipo,MATCH(AB3819,ctaNombre,0))&amp;"",""))</f>
        <v/>
      </c>
      <c r="AE3819" s="52">
        <f>IF(AC3819="","",IFERROR(INDEX(ctaTipo,MATCH(AC3819,ctaNombre,0))&amp;"",""))</f>
        <v/>
      </c>
      <c r="AF3819" s="53">
        <f>IF(OR(P3819="",AB3819=""),"",IF(OR(P3819="Gasto",P3819="Transferencia",P3819="Pago tarjeta"),-1,1)*IF(IFERROR(INDEX(ctaMoneda,MATCH(AB3819,ctaNombre,0))&amp;"","DOP")="USD",T3819,S3819))</f>
        <v/>
      </c>
      <c r="AG3819" s="53">
        <f>IF(AC3819="","",IF(IFERROR(INDEX(ctaMoneda,MATCH(AC3819,ctaNombre,0))&amp;"","DOP")="USD",T3819,S3819))</f>
        <v/>
      </c>
      <c r="AH3819" s="53">
        <f>IF(P3819="","",IF(AND(AD3819&lt;&gt;"",COUNTIFS(tcTipo,AD3819,tcLiq,"Sí")&gt;0),IF(OR(P3819="Gasto",P3819="Transferencia",P3819="Pago tarjeta"),-1,1)*S3819,0)+IF(AND(AE3819&lt;&gt;"",COUNTIFS(tcTipo,AE3819,tcLiq,"Sí")&gt;0),S3819,0))</f>
        <v/>
      </c>
      <c r="AI3819" s="52">
        <f>IF(OR(L3819="",P3819=""),"",IF(COUNTIFS(L$6:L3819,L3819,P$6:P3819,"?*")=1,MAX(AI$5:AI3818)+1,""))</f>
        <v/>
      </c>
    </row>
    <row r="3820">
      <c r="B3820" s="47" t="n"/>
      <c r="C3820" s="48" t="n"/>
      <c r="D3820" s="48" t="n"/>
      <c r="E3820" s="48" t="n"/>
      <c r="F3820" s="48" t="n"/>
      <c r="G3820" s="49" t="n"/>
      <c r="H3820" s="48" t="n"/>
      <c r="I3820" s="50" t="n"/>
      <c r="J3820" s="48" t="n"/>
      <c r="K3820" s="48" t="n"/>
      <c r="L3820" s="48" t="n"/>
      <c r="M3820" s="48" t="n"/>
      <c r="N3820" s="48" t="n"/>
      <c r="O3820" s="51">
        <f>IF(AND(B3820="",G3820="",C3820="",D3820="",J3820=""),"",IF(B3820="","⚠ Falta fecha",IF(G3820="","⚠ Falta monto",IF(Q3820="","⚠ Falta cuenta",IF(ISNA(MATCH(Q3820,ctaNombre,0)),"⚠ Cuenta no registrada",IF(AND(OR(P3820="Gasto",P3820="Reembolso"),D3820=""),"⚠ Falta categoría",IF(AND(D3820&lt;&gt;"",E3820&lt;&gt;"",ISNA(MATCH(D3820&amp;"|"&amp;E3820,catClave,0))),"⚠ Subcategoría no corresponde",IF(AND(OR(P3820="Transferencia",P3820="Pago tarjeta"),K3820=""),"⚠ Falta cuenta destino",IF(AND(K3820&lt;&gt;"",P3820&lt;&gt;"Transferencia",P3820&lt;&gt;"Pago tarjeta"),"⚠ Destino solo aplica a transferencias",IF(AND(K3820&lt;&gt;"",K3820=Q3820),"⚠ Origen igual a destino",IF(AND(K3820&lt;&gt;"",ISNA(MATCH(K3820,ctaNombre,0))),"⚠ Destino no registrado",IF(AND(P3820="Pago tarjeta",AE3820&lt;&gt;"Tarjeta de crédito"),"⚠ El destino debe ser tarjeta de crédito",IF(AND(P3820="Gasto",E3820="Depósitos y retiros"),"⚠ Usa tipo Transferencia",IF(AND(P3820="Resultado trading",AD3820&lt;&gt;"Cuenta de trading"),"⚠ Usa una cuenta de trading",IF(AND(G3820&lt;=0,P3820&lt;&gt;"Ajuste",P3820&lt;&gt;"Resultado trading"),"⚠ El monto debe ser positivo","✓")))))))))))))))</f>
        <v/>
      </c>
      <c r="P3820" s="52">
        <f>IF(OR(B3820="",G3820=""),"",IF(C3820="","Gasto",C3820))</f>
        <v/>
      </c>
      <c r="Q3820" s="52">
        <f>IF(P3820="","",IF(J3820&lt;&gt;"",J3820,CuentaPred&amp;""))</f>
        <v/>
      </c>
      <c r="R3820" s="52">
        <f>IF(P3820="","",IF(ISNUMBER(I3820),I3820,TasaUSD))</f>
        <v/>
      </c>
      <c r="S3820" s="53">
        <f>IF(P3820="","",IF(H3820="USD",G3820*R3820,G3820))</f>
        <v/>
      </c>
      <c r="T3820" s="53">
        <f>IF(P3820="","",IF(H3820="USD",G3820,IF(R3820&gt;0,G3820/R3820,0)))</f>
        <v/>
      </c>
      <c r="U3820" s="53">
        <f>IF(P3820="","",IF(P3820="Gasto",S3820,IF(P3820="Reembolso",-S3820,0)))</f>
        <v/>
      </c>
      <c r="V3820" s="53">
        <f>IF(P3820="","",IF(P3820="Ingreso",S3820,0))</f>
        <v/>
      </c>
      <c r="W3820" s="53">
        <f>IF(P3820="","",IF(P3820="Resultado trading",S3820,0))</f>
        <v/>
      </c>
      <c r="X3820" s="52">
        <f>IF(OR(P3820="Gasto",P3820="Reembolso"),IF(M3820&lt;&gt;"",M3820,IFERROR(INDEX(catClasif,MATCH(D3820&amp;"|"&amp;E3820,catClave,0))&amp;"","Variable")),"")</f>
        <v/>
      </c>
      <c r="Y3820" s="52">
        <f>IF(P3820="","",IFERROR(INDEX(catGrupo,MATCH(D3820&amp;"|"&amp;E3820,catClave,0))&amp;"",""))</f>
        <v/>
      </c>
      <c r="Z3820" s="52">
        <f>IF(P3820="","",WEEKDAY(B3820,2))</f>
        <v/>
      </c>
      <c r="AA3820" s="52">
        <f>IF(P3820="","",IF(AND(P3820="Gasto",X3820="Variable",D3820&lt;&gt;catTrading,S3820&gt;0,S3820&lt;=Umbral),1,0))</f>
        <v/>
      </c>
      <c r="AB3820" s="52">
        <f>IF(OR(P3820="",Q3820=""),"",IFERROR(IF(INDEX(ctaVinc,MATCH(Q3820,ctaNombre,0))&amp;""&lt;&gt;"",INDEX(ctaVinc,MATCH(Q3820,ctaNombre,0))&amp;"",Q3820),Q3820))</f>
        <v/>
      </c>
      <c r="AC3820" s="52">
        <f>IF(OR(K3820="",AND(P3820&lt;&gt;"Transferencia",P3820&lt;&gt;"Pago tarjeta")),"",IFERROR(IF(INDEX(ctaVinc,MATCH(K3820,ctaNombre,0))&amp;""&lt;&gt;"",INDEX(ctaVinc,MATCH(K3820,ctaNombre,0))&amp;"",K3820),K3820))</f>
        <v/>
      </c>
      <c r="AD3820" s="52">
        <f>IF(AB3820="","",IFERROR(INDEX(ctaTipo,MATCH(AB3820,ctaNombre,0))&amp;"",""))</f>
        <v/>
      </c>
      <c r="AE3820" s="52">
        <f>IF(AC3820="","",IFERROR(INDEX(ctaTipo,MATCH(AC3820,ctaNombre,0))&amp;"",""))</f>
        <v/>
      </c>
      <c r="AF3820" s="53">
        <f>IF(OR(P3820="",AB3820=""),"",IF(OR(P3820="Gasto",P3820="Transferencia",P3820="Pago tarjeta"),-1,1)*IF(IFERROR(INDEX(ctaMoneda,MATCH(AB3820,ctaNombre,0))&amp;"","DOP")="USD",T3820,S3820))</f>
        <v/>
      </c>
      <c r="AG3820" s="53">
        <f>IF(AC3820="","",IF(IFERROR(INDEX(ctaMoneda,MATCH(AC3820,ctaNombre,0))&amp;"","DOP")="USD",T3820,S3820))</f>
        <v/>
      </c>
      <c r="AH3820" s="53">
        <f>IF(P3820="","",IF(AND(AD3820&lt;&gt;"",COUNTIFS(tcTipo,AD3820,tcLiq,"Sí")&gt;0),IF(OR(P3820="Gasto",P3820="Transferencia",P3820="Pago tarjeta"),-1,1)*S3820,0)+IF(AND(AE3820&lt;&gt;"",COUNTIFS(tcTipo,AE3820,tcLiq,"Sí")&gt;0),S3820,0))</f>
        <v/>
      </c>
      <c r="AI3820" s="52">
        <f>IF(OR(L3820="",P3820=""),"",IF(COUNTIFS(L$6:L3820,L3820,P$6:P3820,"?*")=1,MAX(AI$5:AI3819)+1,""))</f>
        <v/>
      </c>
    </row>
    <row r="3821">
      <c r="B3821" s="47" t="n"/>
      <c r="C3821" s="48" t="n"/>
      <c r="D3821" s="48" t="n"/>
      <c r="E3821" s="48" t="n"/>
      <c r="F3821" s="48" t="n"/>
      <c r="G3821" s="49" t="n"/>
      <c r="H3821" s="48" t="n"/>
      <c r="I3821" s="50" t="n"/>
      <c r="J3821" s="48" t="n"/>
      <c r="K3821" s="48" t="n"/>
      <c r="L3821" s="48" t="n"/>
      <c r="M3821" s="48" t="n"/>
      <c r="N3821" s="48" t="n"/>
      <c r="O3821" s="51">
        <f>IF(AND(B3821="",G3821="",C3821="",D3821="",J3821=""),"",IF(B3821="","⚠ Falta fecha",IF(G3821="","⚠ Falta monto",IF(Q3821="","⚠ Falta cuenta",IF(ISNA(MATCH(Q3821,ctaNombre,0)),"⚠ Cuenta no registrada",IF(AND(OR(P3821="Gasto",P3821="Reembolso"),D3821=""),"⚠ Falta categoría",IF(AND(D3821&lt;&gt;"",E3821&lt;&gt;"",ISNA(MATCH(D3821&amp;"|"&amp;E3821,catClave,0))),"⚠ Subcategoría no corresponde",IF(AND(OR(P3821="Transferencia",P3821="Pago tarjeta"),K3821=""),"⚠ Falta cuenta destino",IF(AND(K3821&lt;&gt;"",P3821&lt;&gt;"Transferencia",P3821&lt;&gt;"Pago tarjeta"),"⚠ Destino solo aplica a transferencias",IF(AND(K3821&lt;&gt;"",K3821=Q3821),"⚠ Origen igual a destino",IF(AND(K3821&lt;&gt;"",ISNA(MATCH(K3821,ctaNombre,0))),"⚠ Destino no registrado",IF(AND(P3821="Pago tarjeta",AE3821&lt;&gt;"Tarjeta de crédito"),"⚠ El destino debe ser tarjeta de crédito",IF(AND(P3821="Gasto",E3821="Depósitos y retiros"),"⚠ Usa tipo Transferencia",IF(AND(P3821="Resultado trading",AD3821&lt;&gt;"Cuenta de trading"),"⚠ Usa una cuenta de trading",IF(AND(G3821&lt;=0,P3821&lt;&gt;"Ajuste",P3821&lt;&gt;"Resultado trading"),"⚠ El monto debe ser positivo","✓")))))))))))))))</f>
        <v/>
      </c>
      <c r="P3821" s="52">
        <f>IF(OR(B3821="",G3821=""),"",IF(C3821="","Gasto",C3821))</f>
        <v/>
      </c>
      <c r="Q3821" s="52">
        <f>IF(P3821="","",IF(J3821&lt;&gt;"",J3821,CuentaPred&amp;""))</f>
        <v/>
      </c>
      <c r="R3821" s="52">
        <f>IF(P3821="","",IF(ISNUMBER(I3821),I3821,TasaUSD))</f>
        <v/>
      </c>
      <c r="S3821" s="53">
        <f>IF(P3821="","",IF(H3821="USD",G3821*R3821,G3821))</f>
        <v/>
      </c>
      <c r="T3821" s="53">
        <f>IF(P3821="","",IF(H3821="USD",G3821,IF(R3821&gt;0,G3821/R3821,0)))</f>
        <v/>
      </c>
      <c r="U3821" s="53">
        <f>IF(P3821="","",IF(P3821="Gasto",S3821,IF(P3821="Reembolso",-S3821,0)))</f>
        <v/>
      </c>
      <c r="V3821" s="53">
        <f>IF(P3821="","",IF(P3821="Ingreso",S3821,0))</f>
        <v/>
      </c>
      <c r="W3821" s="53">
        <f>IF(P3821="","",IF(P3821="Resultado trading",S3821,0))</f>
        <v/>
      </c>
      <c r="X3821" s="52">
        <f>IF(OR(P3821="Gasto",P3821="Reembolso"),IF(M3821&lt;&gt;"",M3821,IFERROR(INDEX(catClasif,MATCH(D3821&amp;"|"&amp;E3821,catClave,0))&amp;"","Variable")),"")</f>
        <v/>
      </c>
      <c r="Y3821" s="52">
        <f>IF(P3821="","",IFERROR(INDEX(catGrupo,MATCH(D3821&amp;"|"&amp;E3821,catClave,0))&amp;"",""))</f>
        <v/>
      </c>
      <c r="Z3821" s="52">
        <f>IF(P3821="","",WEEKDAY(B3821,2))</f>
        <v/>
      </c>
      <c r="AA3821" s="52">
        <f>IF(P3821="","",IF(AND(P3821="Gasto",X3821="Variable",D3821&lt;&gt;catTrading,S3821&gt;0,S3821&lt;=Umbral),1,0))</f>
        <v/>
      </c>
      <c r="AB3821" s="52">
        <f>IF(OR(P3821="",Q3821=""),"",IFERROR(IF(INDEX(ctaVinc,MATCH(Q3821,ctaNombre,0))&amp;""&lt;&gt;"",INDEX(ctaVinc,MATCH(Q3821,ctaNombre,0))&amp;"",Q3821),Q3821))</f>
        <v/>
      </c>
      <c r="AC3821" s="52">
        <f>IF(OR(K3821="",AND(P3821&lt;&gt;"Transferencia",P3821&lt;&gt;"Pago tarjeta")),"",IFERROR(IF(INDEX(ctaVinc,MATCH(K3821,ctaNombre,0))&amp;""&lt;&gt;"",INDEX(ctaVinc,MATCH(K3821,ctaNombre,0))&amp;"",K3821),K3821))</f>
        <v/>
      </c>
      <c r="AD3821" s="52">
        <f>IF(AB3821="","",IFERROR(INDEX(ctaTipo,MATCH(AB3821,ctaNombre,0))&amp;"",""))</f>
        <v/>
      </c>
      <c r="AE3821" s="52">
        <f>IF(AC3821="","",IFERROR(INDEX(ctaTipo,MATCH(AC3821,ctaNombre,0))&amp;"",""))</f>
        <v/>
      </c>
      <c r="AF3821" s="53">
        <f>IF(OR(P3821="",AB3821=""),"",IF(OR(P3821="Gasto",P3821="Transferencia",P3821="Pago tarjeta"),-1,1)*IF(IFERROR(INDEX(ctaMoneda,MATCH(AB3821,ctaNombre,0))&amp;"","DOP")="USD",T3821,S3821))</f>
        <v/>
      </c>
      <c r="AG3821" s="53">
        <f>IF(AC3821="","",IF(IFERROR(INDEX(ctaMoneda,MATCH(AC3821,ctaNombre,0))&amp;"","DOP")="USD",T3821,S3821))</f>
        <v/>
      </c>
      <c r="AH3821" s="53">
        <f>IF(P3821="","",IF(AND(AD3821&lt;&gt;"",COUNTIFS(tcTipo,AD3821,tcLiq,"Sí")&gt;0),IF(OR(P3821="Gasto",P3821="Transferencia",P3821="Pago tarjeta"),-1,1)*S3821,0)+IF(AND(AE3821&lt;&gt;"",COUNTIFS(tcTipo,AE3821,tcLiq,"Sí")&gt;0),S3821,0))</f>
        <v/>
      </c>
      <c r="AI3821" s="52">
        <f>IF(OR(L3821="",P3821=""),"",IF(COUNTIFS(L$6:L3821,L3821,P$6:P3821,"?*")=1,MAX(AI$5:AI3820)+1,""))</f>
        <v/>
      </c>
    </row>
    <row r="3822">
      <c r="B3822" s="47" t="n"/>
      <c r="C3822" s="48" t="n"/>
      <c r="D3822" s="48" t="n"/>
      <c r="E3822" s="48" t="n"/>
      <c r="F3822" s="48" t="n"/>
      <c r="G3822" s="49" t="n"/>
      <c r="H3822" s="48" t="n"/>
      <c r="I3822" s="50" t="n"/>
      <c r="J3822" s="48" t="n"/>
      <c r="K3822" s="48" t="n"/>
      <c r="L3822" s="48" t="n"/>
      <c r="M3822" s="48" t="n"/>
      <c r="N3822" s="48" t="n"/>
      <c r="O3822" s="51">
        <f>IF(AND(B3822="",G3822="",C3822="",D3822="",J3822=""),"",IF(B3822="","⚠ Falta fecha",IF(G3822="","⚠ Falta monto",IF(Q3822="","⚠ Falta cuenta",IF(ISNA(MATCH(Q3822,ctaNombre,0)),"⚠ Cuenta no registrada",IF(AND(OR(P3822="Gasto",P3822="Reembolso"),D3822=""),"⚠ Falta categoría",IF(AND(D3822&lt;&gt;"",E3822&lt;&gt;"",ISNA(MATCH(D3822&amp;"|"&amp;E3822,catClave,0))),"⚠ Subcategoría no corresponde",IF(AND(OR(P3822="Transferencia",P3822="Pago tarjeta"),K3822=""),"⚠ Falta cuenta destino",IF(AND(K3822&lt;&gt;"",P3822&lt;&gt;"Transferencia",P3822&lt;&gt;"Pago tarjeta"),"⚠ Destino solo aplica a transferencias",IF(AND(K3822&lt;&gt;"",K3822=Q3822),"⚠ Origen igual a destino",IF(AND(K3822&lt;&gt;"",ISNA(MATCH(K3822,ctaNombre,0))),"⚠ Destino no registrado",IF(AND(P3822="Pago tarjeta",AE3822&lt;&gt;"Tarjeta de crédito"),"⚠ El destino debe ser tarjeta de crédito",IF(AND(P3822="Gasto",E3822="Depósitos y retiros"),"⚠ Usa tipo Transferencia",IF(AND(P3822="Resultado trading",AD3822&lt;&gt;"Cuenta de trading"),"⚠ Usa una cuenta de trading",IF(AND(G3822&lt;=0,P3822&lt;&gt;"Ajuste",P3822&lt;&gt;"Resultado trading"),"⚠ El monto debe ser positivo","✓")))))))))))))))</f>
        <v/>
      </c>
      <c r="P3822" s="52">
        <f>IF(OR(B3822="",G3822=""),"",IF(C3822="","Gasto",C3822))</f>
        <v/>
      </c>
      <c r="Q3822" s="52">
        <f>IF(P3822="","",IF(J3822&lt;&gt;"",J3822,CuentaPred&amp;""))</f>
        <v/>
      </c>
      <c r="R3822" s="52">
        <f>IF(P3822="","",IF(ISNUMBER(I3822),I3822,TasaUSD))</f>
        <v/>
      </c>
      <c r="S3822" s="53">
        <f>IF(P3822="","",IF(H3822="USD",G3822*R3822,G3822))</f>
        <v/>
      </c>
      <c r="T3822" s="53">
        <f>IF(P3822="","",IF(H3822="USD",G3822,IF(R3822&gt;0,G3822/R3822,0)))</f>
        <v/>
      </c>
      <c r="U3822" s="53">
        <f>IF(P3822="","",IF(P3822="Gasto",S3822,IF(P3822="Reembolso",-S3822,0)))</f>
        <v/>
      </c>
      <c r="V3822" s="53">
        <f>IF(P3822="","",IF(P3822="Ingreso",S3822,0))</f>
        <v/>
      </c>
      <c r="W3822" s="53">
        <f>IF(P3822="","",IF(P3822="Resultado trading",S3822,0))</f>
        <v/>
      </c>
      <c r="X3822" s="52">
        <f>IF(OR(P3822="Gasto",P3822="Reembolso"),IF(M3822&lt;&gt;"",M3822,IFERROR(INDEX(catClasif,MATCH(D3822&amp;"|"&amp;E3822,catClave,0))&amp;"","Variable")),"")</f>
        <v/>
      </c>
      <c r="Y3822" s="52">
        <f>IF(P3822="","",IFERROR(INDEX(catGrupo,MATCH(D3822&amp;"|"&amp;E3822,catClave,0))&amp;"",""))</f>
        <v/>
      </c>
      <c r="Z3822" s="52">
        <f>IF(P3822="","",WEEKDAY(B3822,2))</f>
        <v/>
      </c>
      <c r="AA3822" s="52">
        <f>IF(P3822="","",IF(AND(P3822="Gasto",X3822="Variable",D3822&lt;&gt;catTrading,S3822&gt;0,S3822&lt;=Umbral),1,0))</f>
        <v/>
      </c>
      <c r="AB3822" s="52">
        <f>IF(OR(P3822="",Q3822=""),"",IFERROR(IF(INDEX(ctaVinc,MATCH(Q3822,ctaNombre,0))&amp;""&lt;&gt;"",INDEX(ctaVinc,MATCH(Q3822,ctaNombre,0))&amp;"",Q3822),Q3822))</f>
        <v/>
      </c>
      <c r="AC3822" s="52">
        <f>IF(OR(K3822="",AND(P3822&lt;&gt;"Transferencia",P3822&lt;&gt;"Pago tarjeta")),"",IFERROR(IF(INDEX(ctaVinc,MATCH(K3822,ctaNombre,0))&amp;""&lt;&gt;"",INDEX(ctaVinc,MATCH(K3822,ctaNombre,0))&amp;"",K3822),K3822))</f>
        <v/>
      </c>
      <c r="AD3822" s="52">
        <f>IF(AB3822="","",IFERROR(INDEX(ctaTipo,MATCH(AB3822,ctaNombre,0))&amp;"",""))</f>
        <v/>
      </c>
      <c r="AE3822" s="52">
        <f>IF(AC3822="","",IFERROR(INDEX(ctaTipo,MATCH(AC3822,ctaNombre,0))&amp;"",""))</f>
        <v/>
      </c>
      <c r="AF3822" s="53">
        <f>IF(OR(P3822="",AB3822=""),"",IF(OR(P3822="Gasto",P3822="Transferencia",P3822="Pago tarjeta"),-1,1)*IF(IFERROR(INDEX(ctaMoneda,MATCH(AB3822,ctaNombre,0))&amp;"","DOP")="USD",T3822,S3822))</f>
        <v/>
      </c>
      <c r="AG3822" s="53">
        <f>IF(AC3822="","",IF(IFERROR(INDEX(ctaMoneda,MATCH(AC3822,ctaNombre,0))&amp;"","DOP")="USD",T3822,S3822))</f>
        <v/>
      </c>
      <c r="AH3822" s="53">
        <f>IF(P3822="","",IF(AND(AD3822&lt;&gt;"",COUNTIFS(tcTipo,AD3822,tcLiq,"Sí")&gt;0),IF(OR(P3822="Gasto",P3822="Transferencia",P3822="Pago tarjeta"),-1,1)*S3822,0)+IF(AND(AE3822&lt;&gt;"",COUNTIFS(tcTipo,AE3822,tcLiq,"Sí")&gt;0),S3822,0))</f>
        <v/>
      </c>
      <c r="AI3822" s="52">
        <f>IF(OR(L3822="",P3822=""),"",IF(COUNTIFS(L$6:L3822,L3822,P$6:P3822,"?*")=1,MAX(AI$5:AI3821)+1,""))</f>
        <v/>
      </c>
    </row>
    <row r="3823">
      <c r="B3823" s="47" t="n"/>
      <c r="C3823" s="48" t="n"/>
      <c r="D3823" s="48" t="n"/>
      <c r="E3823" s="48" t="n"/>
      <c r="F3823" s="48" t="n"/>
      <c r="G3823" s="49" t="n"/>
      <c r="H3823" s="48" t="n"/>
      <c r="I3823" s="50" t="n"/>
      <c r="J3823" s="48" t="n"/>
      <c r="K3823" s="48" t="n"/>
      <c r="L3823" s="48" t="n"/>
      <c r="M3823" s="48" t="n"/>
      <c r="N3823" s="48" t="n"/>
      <c r="O3823" s="51">
        <f>IF(AND(B3823="",G3823="",C3823="",D3823="",J3823=""),"",IF(B3823="","⚠ Falta fecha",IF(G3823="","⚠ Falta monto",IF(Q3823="","⚠ Falta cuenta",IF(ISNA(MATCH(Q3823,ctaNombre,0)),"⚠ Cuenta no registrada",IF(AND(OR(P3823="Gasto",P3823="Reembolso"),D3823=""),"⚠ Falta categoría",IF(AND(D3823&lt;&gt;"",E3823&lt;&gt;"",ISNA(MATCH(D3823&amp;"|"&amp;E3823,catClave,0))),"⚠ Subcategoría no corresponde",IF(AND(OR(P3823="Transferencia",P3823="Pago tarjeta"),K3823=""),"⚠ Falta cuenta destino",IF(AND(K3823&lt;&gt;"",P3823&lt;&gt;"Transferencia",P3823&lt;&gt;"Pago tarjeta"),"⚠ Destino solo aplica a transferencias",IF(AND(K3823&lt;&gt;"",K3823=Q3823),"⚠ Origen igual a destino",IF(AND(K3823&lt;&gt;"",ISNA(MATCH(K3823,ctaNombre,0))),"⚠ Destino no registrado",IF(AND(P3823="Pago tarjeta",AE3823&lt;&gt;"Tarjeta de crédito"),"⚠ El destino debe ser tarjeta de crédito",IF(AND(P3823="Gasto",E3823="Depósitos y retiros"),"⚠ Usa tipo Transferencia",IF(AND(P3823="Resultado trading",AD3823&lt;&gt;"Cuenta de trading"),"⚠ Usa una cuenta de trading",IF(AND(G3823&lt;=0,P3823&lt;&gt;"Ajuste",P3823&lt;&gt;"Resultado trading"),"⚠ El monto debe ser positivo","✓")))))))))))))))</f>
        <v/>
      </c>
      <c r="P3823" s="52">
        <f>IF(OR(B3823="",G3823=""),"",IF(C3823="","Gasto",C3823))</f>
        <v/>
      </c>
      <c r="Q3823" s="52">
        <f>IF(P3823="","",IF(J3823&lt;&gt;"",J3823,CuentaPred&amp;""))</f>
        <v/>
      </c>
      <c r="R3823" s="52">
        <f>IF(P3823="","",IF(ISNUMBER(I3823),I3823,TasaUSD))</f>
        <v/>
      </c>
      <c r="S3823" s="53">
        <f>IF(P3823="","",IF(H3823="USD",G3823*R3823,G3823))</f>
        <v/>
      </c>
      <c r="T3823" s="53">
        <f>IF(P3823="","",IF(H3823="USD",G3823,IF(R3823&gt;0,G3823/R3823,0)))</f>
        <v/>
      </c>
      <c r="U3823" s="53">
        <f>IF(P3823="","",IF(P3823="Gasto",S3823,IF(P3823="Reembolso",-S3823,0)))</f>
        <v/>
      </c>
      <c r="V3823" s="53">
        <f>IF(P3823="","",IF(P3823="Ingreso",S3823,0))</f>
        <v/>
      </c>
      <c r="W3823" s="53">
        <f>IF(P3823="","",IF(P3823="Resultado trading",S3823,0))</f>
        <v/>
      </c>
      <c r="X3823" s="52">
        <f>IF(OR(P3823="Gasto",P3823="Reembolso"),IF(M3823&lt;&gt;"",M3823,IFERROR(INDEX(catClasif,MATCH(D3823&amp;"|"&amp;E3823,catClave,0))&amp;"","Variable")),"")</f>
        <v/>
      </c>
      <c r="Y3823" s="52">
        <f>IF(P3823="","",IFERROR(INDEX(catGrupo,MATCH(D3823&amp;"|"&amp;E3823,catClave,0))&amp;"",""))</f>
        <v/>
      </c>
      <c r="Z3823" s="52">
        <f>IF(P3823="","",WEEKDAY(B3823,2))</f>
        <v/>
      </c>
      <c r="AA3823" s="52">
        <f>IF(P3823="","",IF(AND(P3823="Gasto",X3823="Variable",D3823&lt;&gt;catTrading,S3823&gt;0,S3823&lt;=Umbral),1,0))</f>
        <v/>
      </c>
      <c r="AB3823" s="52">
        <f>IF(OR(P3823="",Q3823=""),"",IFERROR(IF(INDEX(ctaVinc,MATCH(Q3823,ctaNombre,0))&amp;""&lt;&gt;"",INDEX(ctaVinc,MATCH(Q3823,ctaNombre,0))&amp;"",Q3823),Q3823))</f>
        <v/>
      </c>
      <c r="AC3823" s="52">
        <f>IF(OR(K3823="",AND(P3823&lt;&gt;"Transferencia",P3823&lt;&gt;"Pago tarjeta")),"",IFERROR(IF(INDEX(ctaVinc,MATCH(K3823,ctaNombre,0))&amp;""&lt;&gt;"",INDEX(ctaVinc,MATCH(K3823,ctaNombre,0))&amp;"",K3823),K3823))</f>
        <v/>
      </c>
      <c r="AD3823" s="52">
        <f>IF(AB3823="","",IFERROR(INDEX(ctaTipo,MATCH(AB3823,ctaNombre,0))&amp;"",""))</f>
        <v/>
      </c>
      <c r="AE3823" s="52">
        <f>IF(AC3823="","",IFERROR(INDEX(ctaTipo,MATCH(AC3823,ctaNombre,0))&amp;"",""))</f>
        <v/>
      </c>
      <c r="AF3823" s="53">
        <f>IF(OR(P3823="",AB3823=""),"",IF(OR(P3823="Gasto",P3823="Transferencia",P3823="Pago tarjeta"),-1,1)*IF(IFERROR(INDEX(ctaMoneda,MATCH(AB3823,ctaNombre,0))&amp;"","DOP")="USD",T3823,S3823))</f>
        <v/>
      </c>
      <c r="AG3823" s="53">
        <f>IF(AC3823="","",IF(IFERROR(INDEX(ctaMoneda,MATCH(AC3823,ctaNombre,0))&amp;"","DOP")="USD",T3823,S3823))</f>
        <v/>
      </c>
      <c r="AH3823" s="53">
        <f>IF(P3823="","",IF(AND(AD3823&lt;&gt;"",COUNTIFS(tcTipo,AD3823,tcLiq,"Sí")&gt;0),IF(OR(P3823="Gasto",P3823="Transferencia",P3823="Pago tarjeta"),-1,1)*S3823,0)+IF(AND(AE3823&lt;&gt;"",COUNTIFS(tcTipo,AE3823,tcLiq,"Sí")&gt;0),S3823,0))</f>
        <v/>
      </c>
      <c r="AI3823" s="52">
        <f>IF(OR(L3823="",P3823=""),"",IF(COUNTIFS(L$6:L3823,L3823,P$6:P3823,"?*")=1,MAX(AI$5:AI3822)+1,""))</f>
        <v/>
      </c>
    </row>
    <row r="3824">
      <c r="B3824" s="47" t="n"/>
      <c r="C3824" s="48" t="n"/>
      <c r="D3824" s="48" t="n"/>
      <c r="E3824" s="48" t="n"/>
      <c r="F3824" s="48" t="n"/>
      <c r="G3824" s="49" t="n"/>
      <c r="H3824" s="48" t="n"/>
      <c r="I3824" s="50" t="n"/>
      <c r="J3824" s="48" t="n"/>
      <c r="K3824" s="48" t="n"/>
      <c r="L3824" s="48" t="n"/>
      <c r="M3824" s="48" t="n"/>
      <c r="N3824" s="48" t="n"/>
      <c r="O3824" s="51">
        <f>IF(AND(B3824="",G3824="",C3824="",D3824="",J3824=""),"",IF(B3824="","⚠ Falta fecha",IF(G3824="","⚠ Falta monto",IF(Q3824="","⚠ Falta cuenta",IF(ISNA(MATCH(Q3824,ctaNombre,0)),"⚠ Cuenta no registrada",IF(AND(OR(P3824="Gasto",P3824="Reembolso"),D3824=""),"⚠ Falta categoría",IF(AND(D3824&lt;&gt;"",E3824&lt;&gt;"",ISNA(MATCH(D3824&amp;"|"&amp;E3824,catClave,0))),"⚠ Subcategoría no corresponde",IF(AND(OR(P3824="Transferencia",P3824="Pago tarjeta"),K3824=""),"⚠ Falta cuenta destino",IF(AND(K3824&lt;&gt;"",P3824&lt;&gt;"Transferencia",P3824&lt;&gt;"Pago tarjeta"),"⚠ Destino solo aplica a transferencias",IF(AND(K3824&lt;&gt;"",K3824=Q3824),"⚠ Origen igual a destino",IF(AND(K3824&lt;&gt;"",ISNA(MATCH(K3824,ctaNombre,0))),"⚠ Destino no registrado",IF(AND(P3824="Pago tarjeta",AE3824&lt;&gt;"Tarjeta de crédito"),"⚠ El destino debe ser tarjeta de crédito",IF(AND(P3824="Gasto",E3824="Depósitos y retiros"),"⚠ Usa tipo Transferencia",IF(AND(P3824="Resultado trading",AD3824&lt;&gt;"Cuenta de trading"),"⚠ Usa una cuenta de trading",IF(AND(G3824&lt;=0,P3824&lt;&gt;"Ajuste",P3824&lt;&gt;"Resultado trading"),"⚠ El monto debe ser positivo","✓")))))))))))))))</f>
        <v/>
      </c>
      <c r="P3824" s="52">
        <f>IF(OR(B3824="",G3824=""),"",IF(C3824="","Gasto",C3824))</f>
        <v/>
      </c>
      <c r="Q3824" s="52">
        <f>IF(P3824="","",IF(J3824&lt;&gt;"",J3824,CuentaPred&amp;""))</f>
        <v/>
      </c>
      <c r="R3824" s="52">
        <f>IF(P3824="","",IF(ISNUMBER(I3824),I3824,TasaUSD))</f>
        <v/>
      </c>
      <c r="S3824" s="53">
        <f>IF(P3824="","",IF(H3824="USD",G3824*R3824,G3824))</f>
        <v/>
      </c>
      <c r="T3824" s="53">
        <f>IF(P3824="","",IF(H3824="USD",G3824,IF(R3824&gt;0,G3824/R3824,0)))</f>
        <v/>
      </c>
      <c r="U3824" s="53">
        <f>IF(P3824="","",IF(P3824="Gasto",S3824,IF(P3824="Reembolso",-S3824,0)))</f>
        <v/>
      </c>
      <c r="V3824" s="53">
        <f>IF(P3824="","",IF(P3824="Ingreso",S3824,0))</f>
        <v/>
      </c>
      <c r="W3824" s="53">
        <f>IF(P3824="","",IF(P3824="Resultado trading",S3824,0))</f>
        <v/>
      </c>
      <c r="X3824" s="52">
        <f>IF(OR(P3824="Gasto",P3824="Reembolso"),IF(M3824&lt;&gt;"",M3824,IFERROR(INDEX(catClasif,MATCH(D3824&amp;"|"&amp;E3824,catClave,0))&amp;"","Variable")),"")</f>
        <v/>
      </c>
      <c r="Y3824" s="52">
        <f>IF(P3824="","",IFERROR(INDEX(catGrupo,MATCH(D3824&amp;"|"&amp;E3824,catClave,0))&amp;"",""))</f>
        <v/>
      </c>
      <c r="Z3824" s="52">
        <f>IF(P3824="","",WEEKDAY(B3824,2))</f>
        <v/>
      </c>
      <c r="AA3824" s="52">
        <f>IF(P3824="","",IF(AND(P3824="Gasto",X3824="Variable",D3824&lt;&gt;catTrading,S3824&gt;0,S3824&lt;=Umbral),1,0))</f>
        <v/>
      </c>
      <c r="AB3824" s="52">
        <f>IF(OR(P3824="",Q3824=""),"",IFERROR(IF(INDEX(ctaVinc,MATCH(Q3824,ctaNombre,0))&amp;""&lt;&gt;"",INDEX(ctaVinc,MATCH(Q3824,ctaNombre,0))&amp;"",Q3824),Q3824))</f>
        <v/>
      </c>
      <c r="AC3824" s="52">
        <f>IF(OR(K3824="",AND(P3824&lt;&gt;"Transferencia",P3824&lt;&gt;"Pago tarjeta")),"",IFERROR(IF(INDEX(ctaVinc,MATCH(K3824,ctaNombre,0))&amp;""&lt;&gt;"",INDEX(ctaVinc,MATCH(K3824,ctaNombre,0))&amp;"",K3824),K3824))</f>
        <v/>
      </c>
      <c r="AD3824" s="52">
        <f>IF(AB3824="","",IFERROR(INDEX(ctaTipo,MATCH(AB3824,ctaNombre,0))&amp;"",""))</f>
        <v/>
      </c>
      <c r="AE3824" s="52">
        <f>IF(AC3824="","",IFERROR(INDEX(ctaTipo,MATCH(AC3824,ctaNombre,0))&amp;"",""))</f>
        <v/>
      </c>
      <c r="AF3824" s="53">
        <f>IF(OR(P3824="",AB3824=""),"",IF(OR(P3824="Gasto",P3824="Transferencia",P3824="Pago tarjeta"),-1,1)*IF(IFERROR(INDEX(ctaMoneda,MATCH(AB3824,ctaNombre,0))&amp;"","DOP")="USD",T3824,S3824))</f>
        <v/>
      </c>
      <c r="AG3824" s="53">
        <f>IF(AC3824="","",IF(IFERROR(INDEX(ctaMoneda,MATCH(AC3824,ctaNombre,0))&amp;"","DOP")="USD",T3824,S3824))</f>
        <v/>
      </c>
      <c r="AH3824" s="53">
        <f>IF(P3824="","",IF(AND(AD3824&lt;&gt;"",COUNTIFS(tcTipo,AD3824,tcLiq,"Sí")&gt;0),IF(OR(P3824="Gasto",P3824="Transferencia",P3824="Pago tarjeta"),-1,1)*S3824,0)+IF(AND(AE3824&lt;&gt;"",COUNTIFS(tcTipo,AE3824,tcLiq,"Sí")&gt;0),S3824,0))</f>
        <v/>
      </c>
      <c r="AI3824" s="52">
        <f>IF(OR(L3824="",P3824=""),"",IF(COUNTIFS(L$6:L3824,L3824,P$6:P3824,"?*")=1,MAX(AI$5:AI3823)+1,""))</f>
        <v/>
      </c>
    </row>
    <row r="3825">
      <c r="B3825" s="47" t="n"/>
      <c r="C3825" s="48" t="n"/>
      <c r="D3825" s="48" t="n"/>
      <c r="E3825" s="48" t="n"/>
      <c r="F3825" s="48" t="n"/>
      <c r="G3825" s="49" t="n"/>
      <c r="H3825" s="48" t="n"/>
      <c r="I3825" s="50" t="n"/>
      <c r="J3825" s="48" t="n"/>
      <c r="K3825" s="48" t="n"/>
      <c r="L3825" s="48" t="n"/>
      <c r="M3825" s="48" t="n"/>
      <c r="N3825" s="48" t="n"/>
      <c r="O3825" s="51">
        <f>IF(AND(B3825="",G3825="",C3825="",D3825="",J3825=""),"",IF(B3825="","⚠ Falta fecha",IF(G3825="","⚠ Falta monto",IF(Q3825="","⚠ Falta cuenta",IF(ISNA(MATCH(Q3825,ctaNombre,0)),"⚠ Cuenta no registrada",IF(AND(OR(P3825="Gasto",P3825="Reembolso"),D3825=""),"⚠ Falta categoría",IF(AND(D3825&lt;&gt;"",E3825&lt;&gt;"",ISNA(MATCH(D3825&amp;"|"&amp;E3825,catClave,0))),"⚠ Subcategoría no corresponde",IF(AND(OR(P3825="Transferencia",P3825="Pago tarjeta"),K3825=""),"⚠ Falta cuenta destino",IF(AND(K3825&lt;&gt;"",P3825&lt;&gt;"Transferencia",P3825&lt;&gt;"Pago tarjeta"),"⚠ Destino solo aplica a transferencias",IF(AND(K3825&lt;&gt;"",K3825=Q3825),"⚠ Origen igual a destino",IF(AND(K3825&lt;&gt;"",ISNA(MATCH(K3825,ctaNombre,0))),"⚠ Destino no registrado",IF(AND(P3825="Pago tarjeta",AE3825&lt;&gt;"Tarjeta de crédito"),"⚠ El destino debe ser tarjeta de crédito",IF(AND(P3825="Gasto",E3825="Depósitos y retiros"),"⚠ Usa tipo Transferencia",IF(AND(P3825="Resultado trading",AD3825&lt;&gt;"Cuenta de trading"),"⚠ Usa una cuenta de trading",IF(AND(G3825&lt;=0,P3825&lt;&gt;"Ajuste",P3825&lt;&gt;"Resultado trading"),"⚠ El monto debe ser positivo","✓")))))))))))))))</f>
        <v/>
      </c>
      <c r="P3825" s="52">
        <f>IF(OR(B3825="",G3825=""),"",IF(C3825="","Gasto",C3825))</f>
        <v/>
      </c>
      <c r="Q3825" s="52">
        <f>IF(P3825="","",IF(J3825&lt;&gt;"",J3825,CuentaPred&amp;""))</f>
        <v/>
      </c>
      <c r="R3825" s="52">
        <f>IF(P3825="","",IF(ISNUMBER(I3825),I3825,TasaUSD))</f>
        <v/>
      </c>
      <c r="S3825" s="53">
        <f>IF(P3825="","",IF(H3825="USD",G3825*R3825,G3825))</f>
        <v/>
      </c>
      <c r="T3825" s="53">
        <f>IF(P3825="","",IF(H3825="USD",G3825,IF(R3825&gt;0,G3825/R3825,0)))</f>
        <v/>
      </c>
      <c r="U3825" s="53">
        <f>IF(P3825="","",IF(P3825="Gasto",S3825,IF(P3825="Reembolso",-S3825,0)))</f>
        <v/>
      </c>
      <c r="V3825" s="53">
        <f>IF(P3825="","",IF(P3825="Ingreso",S3825,0))</f>
        <v/>
      </c>
      <c r="W3825" s="53">
        <f>IF(P3825="","",IF(P3825="Resultado trading",S3825,0))</f>
        <v/>
      </c>
      <c r="X3825" s="52">
        <f>IF(OR(P3825="Gasto",P3825="Reembolso"),IF(M3825&lt;&gt;"",M3825,IFERROR(INDEX(catClasif,MATCH(D3825&amp;"|"&amp;E3825,catClave,0))&amp;"","Variable")),"")</f>
        <v/>
      </c>
      <c r="Y3825" s="52">
        <f>IF(P3825="","",IFERROR(INDEX(catGrupo,MATCH(D3825&amp;"|"&amp;E3825,catClave,0))&amp;"",""))</f>
        <v/>
      </c>
      <c r="Z3825" s="52">
        <f>IF(P3825="","",WEEKDAY(B3825,2))</f>
        <v/>
      </c>
      <c r="AA3825" s="52">
        <f>IF(P3825="","",IF(AND(P3825="Gasto",X3825="Variable",D3825&lt;&gt;catTrading,S3825&gt;0,S3825&lt;=Umbral),1,0))</f>
        <v/>
      </c>
      <c r="AB3825" s="52">
        <f>IF(OR(P3825="",Q3825=""),"",IFERROR(IF(INDEX(ctaVinc,MATCH(Q3825,ctaNombre,0))&amp;""&lt;&gt;"",INDEX(ctaVinc,MATCH(Q3825,ctaNombre,0))&amp;"",Q3825),Q3825))</f>
        <v/>
      </c>
      <c r="AC3825" s="52">
        <f>IF(OR(K3825="",AND(P3825&lt;&gt;"Transferencia",P3825&lt;&gt;"Pago tarjeta")),"",IFERROR(IF(INDEX(ctaVinc,MATCH(K3825,ctaNombre,0))&amp;""&lt;&gt;"",INDEX(ctaVinc,MATCH(K3825,ctaNombre,0))&amp;"",K3825),K3825))</f>
        <v/>
      </c>
      <c r="AD3825" s="52">
        <f>IF(AB3825="","",IFERROR(INDEX(ctaTipo,MATCH(AB3825,ctaNombre,0))&amp;"",""))</f>
        <v/>
      </c>
      <c r="AE3825" s="52">
        <f>IF(AC3825="","",IFERROR(INDEX(ctaTipo,MATCH(AC3825,ctaNombre,0))&amp;"",""))</f>
        <v/>
      </c>
      <c r="AF3825" s="53">
        <f>IF(OR(P3825="",AB3825=""),"",IF(OR(P3825="Gasto",P3825="Transferencia",P3825="Pago tarjeta"),-1,1)*IF(IFERROR(INDEX(ctaMoneda,MATCH(AB3825,ctaNombre,0))&amp;"","DOP")="USD",T3825,S3825))</f>
        <v/>
      </c>
      <c r="AG3825" s="53">
        <f>IF(AC3825="","",IF(IFERROR(INDEX(ctaMoneda,MATCH(AC3825,ctaNombre,0))&amp;"","DOP")="USD",T3825,S3825))</f>
        <v/>
      </c>
      <c r="AH3825" s="53">
        <f>IF(P3825="","",IF(AND(AD3825&lt;&gt;"",COUNTIFS(tcTipo,AD3825,tcLiq,"Sí")&gt;0),IF(OR(P3825="Gasto",P3825="Transferencia",P3825="Pago tarjeta"),-1,1)*S3825,0)+IF(AND(AE3825&lt;&gt;"",COUNTIFS(tcTipo,AE3825,tcLiq,"Sí")&gt;0),S3825,0))</f>
        <v/>
      </c>
      <c r="AI3825" s="52">
        <f>IF(OR(L3825="",P3825=""),"",IF(COUNTIFS(L$6:L3825,L3825,P$6:P3825,"?*")=1,MAX(AI$5:AI3824)+1,""))</f>
        <v/>
      </c>
    </row>
    <row r="3826">
      <c r="B3826" s="47" t="n"/>
      <c r="C3826" s="48" t="n"/>
      <c r="D3826" s="48" t="n"/>
      <c r="E3826" s="48" t="n"/>
      <c r="F3826" s="48" t="n"/>
      <c r="G3826" s="49" t="n"/>
      <c r="H3826" s="48" t="n"/>
      <c r="I3826" s="50" t="n"/>
      <c r="J3826" s="48" t="n"/>
      <c r="K3826" s="48" t="n"/>
      <c r="L3826" s="48" t="n"/>
      <c r="M3826" s="48" t="n"/>
      <c r="N3826" s="48" t="n"/>
      <c r="O3826" s="51">
        <f>IF(AND(B3826="",G3826="",C3826="",D3826="",J3826=""),"",IF(B3826="","⚠ Falta fecha",IF(G3826="","⚠ Falta monto",IF(Q3826="","⚠ Falta cuenta",IF(ISNA(MATCH(Q3826,ctaNombre,0)),"⚠ Cuenta no registrada",IF(AND(OR(P3826="Gasto",P3826="Reembolso"),D3826=""),"⚠ Falta categoría",IF(AND(D3826&lt;&gt;"",E3826&lt;&gt;"",ISNA(MATCH(D3826&amp;"|"&amp;E3826,catClave,0))),"⚠ Subcategoría no corresponde",IF(AND(OR(P3826="Transferencia",P3826="Pago tarjeta"),K3826=""),"⚠ Falta cuenta destino",IF(AND(K3826&lt;&gt;"",P3826&lt;&gt;"Transferencia",P3826&lt;&gt;"Pago tarjeta"),"⚠ Destino solo aplica a transferencias",IF(AND(K3826&lt;&gt;"",K3826=Q3826),"⚠ Origen igual a destino",IF(AND(K3826&lt;&gt;"",ISNA(MATCH(K3826,ctaNombre,0))),"⚠ Destino no registrado",IF(AND(P3826="Pago tarjeta",AE3826&lt;&gt;"Tarjeta de crédito"),"⚠ El destino debe ser tarjeta de crédito",IF(AND(P3826="Gasto",E3826="Depósitos y retiros"),"⚠ Usa tipo Transferencia",IF(AND(P3826="Resultado trading",AD3826&lt;&gt;"Cuenta de trading"),"⚠ Usa una cuenta de trading",IF(AND(G3826&lt;=0,P3826&lt;&gt;"Ajuste",P3826&lt;&gt;"Resultado trading"),"⚠ El monto debe ser positivo","✓")))))))))))))))</f>
        <v/>
      </c>
      <c r="P3826" s="52">
        <f>IF(OR(B3826="",G3826=""),"",IF(C3826="","Gasto",C3826))</f>
        <v/>
      </c>
      <c r="Q3826" s="52">
        <f>IF(P3826="","",IF(J3826&lt;&gt;"",J3826,CuentaPred&amp;""))</f>
        <v/>
      </c>
      <c r="R3826" s="52">
        <f>IF(P3826="","",IF(ISNUMBER(I3826),I3826,TasaUSD))</f>
        <v/>
      </c>
      <c r="S3826" s="53">
        <f>IF(P3826="","",IF(H3826="USD",G3826*R3826,G3826))</f>
        <v/>
      </c>
      <c r="T3826" s="53">
        <f>IF(P3826="","",IF(H3826="USD",G3826,IF(R3826&gt;0,G3826/R3826,0)))</f>
        <v/>
      </c>
      <c r="U3826" s="53">
        <f>IF(P3826="","",IF(P3826="Gasto",S3826,IF(P3826="Reembolso",-S3826,0)))</f>
        <v/>
      </c>
      <c r="V3826" s="53">
        <f>IF(P3826="","",IF(P3826="Ingreso",S3826,0))</f>
        <v/>
      </c>
      <c r="W3826" s="53">
        <f>IF(P3826="","",IF(P3826="Resultado trading",S3826,0))</f>
        <v/>
      </c>
      <c r="X3826" s="52">
        <f>IF(OR(P3826="Gasto",P3826="Reembolso"),IF(M3826&lt;&gt;"",M3826,IFERROR(INDEX(catClasif,MATCH(D3826&amp;"|"&amp;E3826,catClave,0))&amp;"","Variable")),"")</f>
        <v/>
      </c>
      <c r="Y3826" s="52">
        <f>IF(P3826="","",IFERROR(INDEX(catGrupo,MATCH(D3826&amp;"|"&amp;E3826,catClave,0))&amp;"",""))</f>
        <v/>
      </c>
      <c r="Z3826" s="52">
        <f>IF(P3826="","",WEEKDAY(B3826,2))</f>
        <v/>
      </c>
      <c r="AA3826" s="52">
        <f>IF(P3826="","",IF(AND(P3826="Gasto",X3826="Variable",D3826&lt;&gt;catTrading,S3826&gt;0,S3826&lt;=Umbral),1,0))</f>
        <v/>
      </c>
      <c r="AB3826" s="52">
        <f>IF(OR(P3826="",Q3826=""),"",IFERROR(IF(INDEX(ctaVinc,MATCH(Q3826,ctaNombre,0))&amp;""&lt;&gt;"",INDEX(ctaVinc,MATCH(Q3826,ctaNombre,0))&amp;"",Q3826),Q3826))</f>
        <v/>
      </c>
      <c r="AC3826" s="52">
        <f>IF(OR(K3826="",AND(P3826&lt;&gt;"Transferencia",P3826&lt;&gt;"Pago tarjeta")),"",IFERROR(IF(INDEX(ctaVinc,MATCH(K3826,ctaNombre,0))&amp;""&lt;&gt;"",INDEX(ctaVinc,MATCH(K3826,ctaNombre,0))&amp;"",K3826),K3826))</f>
        <v/>
      </c>
      <c r="AD3826" s="52">
        <f>IF(AB3826="","",IFERROR(INDEX(ctaTipo,MATCH(AB3826,ctaNombre,0))&amp;"",""))</f>
        <v/>
      </c>
      <c r="AE3826" s="52">
        <f>IF(AC3826="","",IFERROR(INDEX(ctaTipo,MATCH(AC3826,ctaNombre,0))&amp;"",""))</f>
        <v/>
      </c>
      <c r="AF3826" s="53">
        <f>IF(OR(P3826="",AB3826=""),"",IF(OR(P3826="Gasto",P3826="Transferencia",P3826="Pago tarjeta"),-1,1)*IF(IFERROR(INDEX(ctaMoneda,MATCH(AB3826,ctaNombre,0))&amp;"","DOP")="USD",T3826,S3826))</f>
        <v/>
      </c>
      <c r="AG3826" s="53">
        <f>IF(AC3826="","",IF(IFERROR(INDEX(ctaMoneda,MATCH(AC3826,ctaNombre,0))&amp;"","DOP")="USD",T3826,S3826))</f>
        <v/>
      </c>
      <c r="AH3826" s="53">
        <f>IF(P3826="","",IF(AND(AD3826&lt;&gt;"",COUNTIFS(tcTipo,AD3826,tcLiq,"Sí")&gt;0),IF(OR(P3826="Gasto",P3826="Transferencia",P3826="Pago tarjeta"),-1,1)*S3826,0)+IF(AND(AE3826&lt;&gt;"",COUNTIFS(tcTipo,AE3826,tcLiq,"Sí")&gt;0),S3826,0))</f>
        <v/>
      </c>
      <c r="AI3826" s="52">
        <f>IF(OR(L3826="",P3826=""),"",IF(COUNTIFS(L$6:L3826,L3826,P$6:P3826,"?*")=1,MAX(AI$5:AI3825)+1,""))</f>
        <v/>
      </c>
    </row>
    <row r="3827">
      <c r="B3827" s="47" t="n"/>
      <c r="C3827" s="48" t="n"/>
      <c r="D3827" s="48" t="n"/>
      <c r="E3827" s="48" t="n"/>
      <c r="F3827" s="48" t="n"/>
      <c r="G3827" s="49" t="n"/>
      <c r="H3827" s="48" t="n"/>
      <c r="I3827" s="50" t="n"/>
      <c r="J3827" s="48" t="n"/>
      <c r="K3827" s="48" t="n"/>
      <c r="L3827" s="48" t="n"/>
      <c r="M3827" s="48" t="n"/>
      <c r="N3827" s="48" t="n"/>
      <c r="O3827" s="51">
        <f>IF(AND(B3827="",G3827="",C3827="",D3827="",J3827=""),"",IF(B3827="","⚠ Falta fecha",IF(G3827="","⚠ Falta monto",IF(Q3827="","⚠ Falta cuenta",IF(ISNA(MATCH(Q3827,ctaNombre,0)),"⚠ Cuenta no registrada",IF(AND(OR(P3827="Gasto",P3827="Reembolso"),D3827=""),"⚠ Falta categoría",IF(AND(D3827&lt;&gt;"",E3827&lt;&gt;"",ISNA(MATCH(D3827&amp;"|"&amp;E3827,catClave,0))),"⚠ Subcategoría no corresponde",IF(AND(OR(P3827="Transferencia",P3827="Pago tarjeta"),K3827=""),"⚠ Falta cuenta destino",IF(AND(K3827&lt;&gt;"",P3827&lt;&gt;"Transferencia",P3827&lt;&gt;"Pago tarjeta"),"⚠ Destino solo aplica a transferencias",IF(AND(K3827&lt;&gt;"",K3827=Q3827),"⚠ Origen igual a destino",IF(AND(K3827&lt;&gt;"",ISNA(MATCH(K3827,ctaNombre,0))),"⚠ Destino no registrado",IF(AND(P3827="Pago tarjeta",AE3827&lt;&gt;"Tarjeta de crédito"),"⚠ El destino debe ser tarjeta de crédito",IF(AND(P3827="Gasto",E3827="Depósitos y retiros"),"⚠ Usa tipo Transferencia",IF(AND(P3827="Resultado trading",AD3827&lt;&gt;"Cuenta de trading"),"⚠ Usa una cuenta de trading",IF(AND(G3827&lt;=0,P3827&lt;&gt;"Ajuste",P3827&lt;&gt;"Resultado trading"),"⚠ El monto debe ser positivo","✓")))))))))))))))</f>
        <v/>
      </c>
      <c r="P3827" s="52">
        <f>IF(OR(B3827="",G3827=""),"",IF(C3827="","Gasto",C3827))</f>
        <v/>
      </c>
      <c r="Q3827" s="52">
        <f>IF(P3827="","",IF(J3827&lt;&gt;"",J3827,CuentaPred&amp;""))</f>
        <v/>
      </c>
      <c r="R3827" s="52">
        <f>IF(P3827="","",IF(ISNUMBER(I3827),I3827,TasaUSD))</f>
        <v/>
      </c>
      <c r="S3827" s="53">
        <f>IF(P3827="","",IF(H3827="USD",G3827*R3827,G3827))</f>
        <v/>
      </c>
      <c r="T3827" s="53">
        <f>IF(P3827="","",IF(H3827="USD",G3827,IF(R3827&gt;0,G3827/R3827,0)))</f>
        <v/>
      </c>
      <c r="U3827" s="53">
        <f>IF(P3827="","",IF(P3827="Gasto",S3827,IF(P3827="Reembolso",-S3827,0)))</f>
        <v/>
      </c>
      <c r="V3827" s="53">
        <f>IF(P3827="","",IF(P3827="Ingreso",S3827,0))</f>
        <v/>
      </c>
      <c r="W3827" s="53">
        <f>IF(P3827="","",IF(P3827="Resultado trading",S3827,0))</f>
        <v/>
      </c>
      <c r="X3827" s="52">
        <f>IF(OR(P3827="Gasto",P3827="Reembolso"),IF(M3827&lt;&gt;"",M3827,IFERROR(INDEX(catClasif,MATCH(D3827&amp;"|"&amp;E3827,catClave,0))&amp;"","Variable")),"")</f>
        <v/>
      </c>
      <c r="Y3827" s="52">
        <f>IF(P3827="","",IFERROR(INDEX(catGrupo,MATCH(D3827&amp;"|"&amp;E3827,catClave,0))&amp;"",""))</f>
        <v/>
      </c>
      <c r="Z3827" s="52">
        <f>IF(P3827="","",WEEKDAY(B3827,2))</f>
        <v/>
      </c>
      <c r="AA3827" s="52">
        <f>IF(P3827="","",IF(AND(P3827="Gasto",X3827="Variable",D3827&lt;&gt;catTrading,S3827&gt;0,S3827&lt;=Umbral),1,0))</f>
        <v/>
      </c>
      <c r="AB3827" s="52">
        <f>IF(OR(P3827="",Q3827=""),"",IFERROR(IF(INDEX(ctaVinc,MATCH(Q3827,ctaNombre,0))&amp;""&lt;&gt;"",INDEX(ctaVinc,MATCH(Q3827,ctaNombre,0))&amp;"",Q3827),Q3827))</f>
        <v/>
      </c>
      <c r="AC3827" s="52">
        <f>IF(OR(K3827="",AND(P3827&lt;&gt;"Transferencia",P3827&lt;&gt;"Pago tarjeta")),"",IFERROR(IF(INDEX(ctaVinc,MATCH(K3827,ctaNombre,0))&amp;""&lt;&gt;"",INDEX(ctaVinc,MATCH(K3827,ctaNombre,0))&amp;"",K3827),K3827))</f>
        <v/>
      </c>
      <c r="AD3827" s="52">
        <f>IF(AB3827="","",IFERROR(INDEX(ctaTipo,MATCH(AB3827,ctaNombre,0))&amp;"",""))</f>
        <v/>
      </c>
      <c r="AE3827" s="52">
        <f>IF(AC3827="","",IFERROR(INDEX(ctaTipo,MATCH(AC3827,ctaNombre,0))&amp;"",""))</f>
        <v/>
      </c>
      <c r="AF3827" s="53">
        <f>IF(OR(P3827="",AB3827=""),"",IF(OR(P3827="Gasto",P3827="Transferencia",P3827="Pago tarjeta"),-1,1)*IF(IFERROR(INDEX(ctaMoneda,MATCH(AB3827,ctaNombre,0))&amp;"","DOP")="USD",T3827,S3827))</f>
        <v/>
      </c>
      <c r="AG3827" s="53">
        <f>IF(AC3827="","",IF(IFERROR(INDEX(ctaMoneda,MATCH(AC3827,ctaNombre,0))&amp;"","DOP")="USD",T3827,S3827))</f>
        <v/>
      </c>
      <c r="AH3827" s="53">
        <f>IF(P3827="","",IF(AND(AD3827&lt;&gt;"",COUNTIFS(tcTipo,AD3827,tcLiq,"Sí")&gt;0),IF(OR(P3827="Gasto",P3827="Transferencia",P3827="Pago tarjeta"),-1,1)*S3827,0)+IF(AND(AE3827&lt;&gt;"",COUNTIFS(tcTipo,AE3827,tcLiq,"Sí")&gt;0),S3827,0))</f>
        <v/>
      </c>
      <c r="AI3827" s="52">
        <f>IF(OR(L3827="",P3827=""),"",IF(COUNTIFS(L$6:L3827,L3827,P$6:P3827,"?*")=1,MAX(AI$5:AI3826)+1,""))</f>
        <v/>
      </c>
    </row>
    <row r="3828">
      <c r="B3828" s="47" t="n"/>
      <c r="C3828" s="48" t="n"/>
      <c r="D3828" s="48" t="n"/>
      <c r="E3828" s="48" t="n"/>
      <c r="F3828" s="48" t="n"/>
      <c r="G3828" s="49" t="n"/>
      <c r="H3828" s="48" t="n"/>
      <c r="I3828" s="50" t="n"/>
      <c r="J3828" s="48" t="n"/>
      <c r="K3828" s="48" t="n"/>
      <c r="L3828" s="48" t="n"/>
      <c r="M3828" s="48" t="n"/>
      <c r="N3828" s="48" t="n"/>
      <c r="O3828" s="51">
        <f>IF(AND(B3828="",G3828="",C3828="",D3828="",J3828=""),"",IF(B3828="","⚠ Falta fecha",IF(G3828="","⚠ Falta monto",IF(Q3828="","⚠ Falta cuenta",IF(ISNA(MATCH(Q3828,ctaNombre,0)),"⚠ Cuenta no registrada",IF(AND(OR(P3828="Gasto",P3828="Reembolso"),D3828=""),"⚠ Falta categoría",IF(AND(D3828&lt;&gt;"",E3828&lt;&gt;"",ISNA(MATCH(D3828&amp;"|"&amp;E3828,catClave,0))),"⚠ Subcategoría no corresponde",IF(AND(OR(P3828="Transferencia",P3828="Pago tarjeta"),K3828=""),"⚠ Falta cuenta destino",IF(AND(K3828&lt;&gt;"",P3828&lt;&gt;"Transferencia",P3828&lt;&gt;"Pago tarjeta"),"⚠ Destino solo aplica a transferencias",IF(AND(K3828&lt;&gt;"",K3828=Q3828),"⚠ Origen igual a destino",IF(AND(K3828&lt;&gt;"",ISNA(MATCH(K3828,ctaNombre,0))),"⚠ Destino no registrado",IF(AND(P3828="Pago tarjeta",AE3828&lt;&gt;"Tarjeta de crédito"),"⚠ El destino debe ser tarjeta de crédito",IF(AND(P3828="Gasto",E3828="Depósitos y retiros"),"⚠ Usa tipo Transferencia",IF(AND(P3828="Resultado trading",AD3828&lt;&gt;"Cuenta de trading"),"⚠ Usa una cuenta de trading",IF(AND(G3828&lt;=0,P3828&lt;&gt;"Ajuste",P3828&lt;&gt;"Resultado trading"),"⚠ El monto debe ser positivo","✓")))))))))))))))</f>
        <v/>
      </c>
      <c r="P3828" s="52">
        <f>IF(OR(B3828="",G3828=""),"",IF(C3828="","Gasto",C3828))</f>
        <v/>
      </c>
      <c r="Q3828" s="52">
        <f>IF(P3828="","",IF(J3828&lt;&gt;"",J3828,CuentaPred&amp;""))</f>
        <v/>
      </c>
      <c r="R3828" s="52">
        <f>IF(P3828="","",IF(ISNUMBER(I3828),I3828,TasaUSD))</f>
        <v/>
      </c>
      <c r="S3828" s="53">
        <f>IF(P3828="","",IF(H3828="USD",G3828*R3828,G3828))</f>
        <v/>
      </c>
      <c r="T3828" s="53">
        <f>IF(P3828="","",IF(H3828="USD",G3828,IF(R3828&gt;0,G3828/R3828,0)))</f>
        <v/>
      </c>
      <c r="U3828" s="53">
        <f>IF(P3828="","",IF(P3828="Gasto",S3828,IF(P3828="Reembolso",-S3828,0)))</f>
        <v/>
      </c>
      <c r="V3828" s="53">
        <f>IF(P3828="","",IF(P3828="Ingreso",S3828,0))</f>
        <v/>
      </c>
      <c r="W3828" s="53">
        <f>IF(P3828="","",IF(P3828="Resultado trading",S3828,0))</f>
        <v/>
      </c>
      <c r="X3828" s="52">
        <f>IF(OR(P3828="Gasto",P3828="Reembolso"),IF(M3828&lt;&gt;"",M3828,IFERROR(INDEX(catClasif,MATCH(D3828&amp;"|"&amp;E3828,catClave,0))&amp;"","Variable")),"")</f>
        <v/>
      </c>
      <c r="Y3828" s="52">
        <f>IF(P3828="","",IFERROR(INDEX(catGrupo,MATCH(D3828&amp;"|"&amp;E3828,catClave,0))&amp;"",""))</f>
        <v/>
      </c>
      <c r="Z3828" s="52">
        <f>IF(P3828="","",WEEKDAY(B3828,2))</f>
        <v/>
      </c>
      <c r="AA3828" s="52">
        <f>IF(P3828="","",IF(AND(P3828="Gasto",X3828="Variable",D3828&lt;&gt;catTrading,S3828&gt;0,S3828&lt;=Umbral),1,0))</f>
        <v/>
      </c>
      <c r="AB3828" s="52">
        <f>IF(OR(P3828="",Q3828=""),"",IFERROR(IF(INDEX(ctaVinc,MATCH(Q3828,ctaNombre,0))&amp;""&lt;&gt;"",INDEX(ctaVinc,MATCH(Q3828,ctaNombre,0))&amp;"",Q3828),Q3828))</f>
        <v/>
      </c>
      <c r="AC3828" s="52">
        <f>IF(OR(K3828="",AND(P3828&lt;&gt;"Transferencia",P3828&lt;&gt;"Pago tarjeta")),"",IFERROR(IF(INDEX(ctaVinc,MATCH(K3828,ctaNombre,0))&amp;""&lt;&gt;"",INDEX(ctaVinc,MATCH(K3828,ctaNombre,0))&amp;"",K3828),K3828))</f>
        <v/>
      </c>
      <c r="AD3828" s="52">
        <f>IF(AB3828="","",IFERROR(INDEX(ctaTipo,MATCH(AB3828,ctaNombre,0))&amp;"",""))</f>
        <v/>
      </c>
      <c r="AE3828" s="52">
        <f>IF(AC3828="","",IFERROR(INDEX(ctaTipo,MATCH(AC3828,ctaNombre,0))&amp;"",""))</f>
        <v/>
      </c>
      <c r="AF3828" s="53">
        <f>IF(OR(P3828="",AB3828=""),"",IF(OR(P3828="Gasto",P3828="Transferencia",P3828="Pago tarjeta"),-1,1)*IF(IFERROR(INDEX(ctaMoneda,MATCH(AB3828,ctaNombre,0))&amp;"","DOP")="USD",T3828,S3828))</f>
        <v/>
      </c>
      <c r="AG3828" s="53">
        <f>IF(AC3828="","",IF(IFERROR(INDEX(ctaMoneda,MATCH(AC3828,ctaNombre,0))&amp;"","DOP")="USD",T3828,S3828))</f>
        <v/>
      </c>
      <c r="AH3828" s="53">
        <f>IF(P3828="","",IF(AND(AD3828&lt;&gt;"",COUNTIFS(tcTipo,AD3828,tcLiq,"Sí")&gt;0),IF(OR(P3828="Gasto",P3828="Transferencia",P3828="Pago tarjeta"),-1,1)*S3828,0)+IF(AND(AE3828&lt;&gt;"",COUNTIFS(tcTipo,AE3828,tcLiq,"Sí")&gt;0),S3828,0))</f>
        <v/>
      </c>
      <c r="AI3828" s="52">
        <f>IF(OR(L3828="",P3828=""),"",IF(COUNTIFS(L$6:L3828,L3828,P$6:P3828,"?*")=1,MAX(AI$5:AI3827)+1,""))</f>
        <v/>
      </c>
    </row>
    <row r="3829">
      <c r="B3829" s="47" t="n"/>
      <c r="C3829" s="48" t="n"/>
      <c r="D3829" s="48" t="n"/>
      <c r="E3829" s="48" t="n"/>
      <c r="F3829" s="48" t="n"/>
      <c r="G3829" s="49" t="n"/>
      <c r="H3829" s="48" t="n"/>
      <c r="I3829" s="50" t="n"/>
      <c r="J3829" s="48" t="n"/>
      <c r="K3829" s="48" t="n"/>
      <c r="L3829" s="48" t="n"/>
      <c r="M3829" s="48" t="n"/>
      <c r="N3829" s="48" t="n"/>
      <c r="O3829" s="51">
        <f>IF(AND(B3829="",G3829="",C3829="",D3829="",J3829=""),"",IF(B3829="","⚠ Falta fecha",IF(G3829="","⚠ Falta monto",IF(Q3829="","⚠ Falta cuenta",IF(ISNA(MATCH(Q3829,ctaNombre,0)),"⚠ Cuenta no registrada",IF(AND(OR(P3829="Gasto",P3829="Reembolso"),D3829=""),"⚠ Falta categoría",IF(AND(D3829&lt;&gt;"",E3829&lt;&gt;"",ISNA(MATCH(D3829&amp;"|"&amp;E3829,catClave,0))),"⚠ Subcategoría no corresponde",IF(AND(OR(P3829="Transferencia",P3829="Pago tarjeta"),K3829=""),"⚠ Falta cuenta destino",IF(AND(K3829&lt;&gt;"",P3829&lt;&gt;"Transferencia",P3829&lt;&gt;"Pago tarjeta"),"⚠ Destino solo aplica a transferencias",IF(AND(K3829&lt;&gt;"",K3829=Q3829),"⚠ Origen igual a destino",IF(AND(K3829&lt;&gt;"",ISNA(MATCH(K3829,ctaNombre,0))),"⚠ Destino no registrado",IF(AND(P3829="Pago tarjeta",AE3829&lt;&gt;"Tarjeta de crédito"),"⚠ El destino debe ser tarjeta de crédito",IF(AND(P3829="Gasto",E3829="Depósitos y retiros"),"⚠ Usa tipo Transferencia",IF(AND(P3829="Resultado trading",AD3829&lt;&gt;"Cuenta de trading"),"⚠ Usa una cuenta de trading",IF(AND(G3829&lt;=0,P3829&lt;&gt;"Ajuste",P3829&lt;&gt;"Resultado trading"),"⚠ El monto debe ser positivo","✓")))))))))))))))</f>
        <v/>
      </c>
      <c r="P3829" s="52">
        <f>IF(OR(B3829="",G3829=""),"",IF(C3829="","Gasto",C3829))</f>
        <v/>
      </c>
      <c r="Q3829" s="52">
        <f>IF(P3829="","",IF(J3829&lt;&gt;"",J3829,CuentaPred&amp;""))</f>
        <v/>
      </c>
      <c r="R3829" s="52">
        <f>IF(P3829="","",IF(ISNUMBER(I3829),I3829,TasaUSD))</f>
        <v/>
      </c>
      <c r="S3829" s="53">
        <f>IF(P3829="","",IF(H3829="USD",G3829*R3829,G3829))</f>
        <v/>
      </c>
      <c r="T3829" s="53">
        <f>IF(P3829="","",IF(H3829="USD",G3829,IF(R3829&gt;0,G3829/R3829,0)))</f>
        <v/>
      </c>
      <c r="U3829" s="53">
        <f>IF(P3829="","",IF(P3829="Gasto",S3829,IF(P3829="Reembolso",-S3829,0)))</f>
        <v/>
      </c>
      <c r="V3829" s="53">
        <f>IF(P3829="","",IF(P3829="Ingreso",S3829,0))</f>
        <v/>
      </c>
      <c r="W3829" s="53">
        <f>IF(P3829="","",IF(P3829="Resultado trading",S3829,0))</f>
        <v/>
      </c>
      <c r="X3829" s="52">
        <f>IF(OR(P3829="Gasto",P3829="Reembolso"),IF(M3829&lt;&gt;"",M3829,IFERROR(INDEX(catClasif,MATCH(D3829&amp;"|"&amp;E3829,catClave,0))&amp;"","Variable")),"")</f>
        <v/>
      </c>
      <c r="Y3829" s="52">
        <f>IF(P3829="","",IFERROR(INDEX(catGrupo,MATCH(D3829&amp;"|"&amp;E3829,catClave,0))&amp;"",""))</f>
        <v/>
      </c>
      <c r="Z3829" s="52">
        <f>IF(P3829="","",WEEKDAY(B3829,2))</f>
        <v/>
      </c>
      <c r="AA3829" s="52">
        <f>IF(P3829="","",IF(AND(P3829="Gasto",X3829="Variable",D3829&lt;&gt;catTrading,S3829&gt;0,S3829&lt;=Umbral),1,0))</f>
        <v/>
      </c>
      <c r="AB3829" s="52">
        <f>IF(OR(P3829="",Q3829=""),"",IFERROR(IF(INDEX(ctaVinc,MATCH(Q3829,ctaNombre,0))&amp;""&lt;&gt;"",INDEX(ctaVinc,MATCH(Q3829,ctaNombre,0))&amp;"",Q3829),Q3829))</f>
        <v/>
      </c>
      <c r="AC3829" s="52">
        <f>IF(OR(K3829="",AND(P3829&lt;&gt;"Transferencia",P3829&lt;&gt;"Pago tarjeta")),"",IFERROR(IF(INDEX(ctaVinc,MATCH(K3829,ctaNombre,0))&amp;""&lt;&gt;"",INDEX(ctaVinc,MATCH(K3829,ctaNombre,0))&amp;"",K3829),K3829))</f>
        <v/>
      </c>
      <c r="AD3829" s="52">
        <f>IF(AB3829="","",IFERROR(INDEX(ctaTipo,MATCH(AB3829,ctaNombre,0))&amp;"",""))</f>
        <v/>
      </c>
      <c r="AE3829" s="52">
        <f>IF(AC3829="","",IFERROR(INDEX(ctaTipo,MATCH(AC3829,ctaNombre,0))&amp;"",""))</f>
        <v/>
      </c>
      <c r="AF3829" s="53">
        <f>IF(OR(P3829="",AB3829=""),"",IF(OR(P3829="Gasto",P3829="Transferencia",P3829="Pago tarjeta"),-1,1)*IF(IFERROR(INDEX(ctaMoneda,MATCH(AB3829,ctaNombre,0))&amp;"","DOP")="USD",T3829,S3829))</f>
        <v/>
      </c>
      <c r="AG3829" s="53">
        <f>IF(AC3829="","",IF(IFERROR(INDEX(ctaMoneda,MATCH(AC3829,ctaNombre,0))&amp;"","DOP")="USD",T3829,S3829))</f>
        <v/>
      </c>
      <c r="AH3829" s="53">
        <f>IF(P3829="","",IF(AND(AD3829&lt;&gt;"",COUNTIFS(tcTipo,AD3829,tcLiq,"Sí")&gt;0),IF(OR(P3829="Gasto",P3829="Transferencia",P3829="Pago tarjeta"),-1,1)*S3829,0)+IF(AND(AE3829&lt;&gt;"",COUNTIFS(tcTipo,AE3829,tcLiq,"Sí")&gt;0),S3829,0))</f>
        <v/>
      </c>
      <c r="AI3829" s="52">
        <f>IF(OR(L3829="",P3829=""),"",IF(COUNTIFS(L$6:L3829,L3829,P$6:P3829,"?*")=1,MAX(AI$5:AI3828)+1,""))</f>
        <v/>
      </c>
    </row>
    <row r="3830">
      <c r="B3830" s="47" t="n"/>
      <c r="C3830" s="48" t="n"/>
      <c r="D3830" s="48" t="n"/>
      <c r="E3830" s="48" t="n"/>
      <c r="F3830" s="48" t="n"/>
      <c r="G3830" s="49" t="n"/>
      <c r="H3830" s="48" t="n"/>
      <c r="I3830" s="50" t="n"/>
      <c r="J3830" s="48" t="n"/>
      <c r="K3830" s="48" t="n"/>
      <c r="L3830" s="48" t="n"/>
      <c r="M3830" s="48" t="n"/>
      <c r="N3830" s="48" t="n"/>
      <c r="O3830" s="51">
        <f>IF(AND(B3830="",G3830="",C3830="",D3830="",J3830=""),"",IF(B3830="","⚠ Falta fecha",IF(G3830="","⚠ Falta monto",IF(Q3830="","⚠ Falta cuenta",IF(ISNA(MATCH(Q3830,ctaNombre,0)),"⚠ Cuenta no registrada",IF(AND(OR(P3830="Gasto",P3830="Reembolso"),D3830=""),"⚠ Falta categoría",IF(AND(D3830&lt;&gt;"",E3830&lt;&gt;"",ISNA(MATCH(D3830&amp;"|"&amp;E3830,catClave,0))),"⚠ Subcategoría no corresponde",IF(AND(OR(P3830="Transferencia",P3830="Pago tarjeta"),K3830=""),"⚠ Falta cuenta destino",IF(AND(K3830&lt;&gt;"",P3830&lt;&gt;"Transferencia",P3830&lt;&gt;"Pago tarjeta"),"⚠ Destino solo aplica a transferencias",IF(AND(K3830&lt;&gt;"",K3830=Q3830),"⚠ Origen igual a destino",IF(AND(K3830&lt;&gt;"",ISNA(MATCH(K3830,ctaNombre,0))),"⚠ Destino no registrado",IF(AND(P3830="Pago tarjeta",AE3830&lt;&gt;"Tarjeta de crédito"),"⚠ El destino debe ser tarjeta de crédito",IF(AND(P3830="Gasto",E3830="Depósitos y retiros"),"⚠ Usa tipo Transferencia",IF(AND(P3830="Resultado trading",AD3830&lt;&gt;"Cuenta de trading"),"⚠ Usa una cuenta de trading",IF(AND(G3830&lt;=0,P3830&lt;&gt;"Ajuste",P3830&lt;&gt;"Resultado trading"),"⚠ El monto debe ser positivo","✓")))))))))))))))</f>
        <v/>
      </c>
      <c r="P3830" s="52">
        <f>IF(OR(B3830="",G3830=""),"",IF(C3830="","Gasto",C3830))</f>
        <v/>
      </c>
      <c r="Q3830" s="52">
        <f>IF(P3830="","",IF(J3830&lt;&gt;"",J3830,CuentaPred&amp;""))</f>
        <v/>
      </c>
      <c r="R3830" s="52">
        <f>IF(P3830="","",IF(ISNUMBER(I3830),I3830,TasaUSD))</f>
        <v/>
      </c>
      <c r="S3830" s="53">
        <f>IF(P3830="","",IF(H3830="USD",G3830*R3830,G3830))</f>
        <v/>
      </c>
      <c r="T3830" s="53">
        <f>IF(P3830="","",IF(H3830="USD",G3830,IF(R3830&gt;0,G3830/R3830,0)))</f>
        <v/>
      </c>
      <c r="U3830" s="53">
        <f>IF(P3830="","",IF(P3830="Gasto",S3830,IF(P3830="Reembolso",-S3830,0)))</f>
        <v/>
      </c>
      <c r="V3830" s="53">
        <f>IF(P3830="","",IF(P3830="Ingreso",S3830,0))</f>
        <v/>
      </c>
      <c r="W3830" s="53">
        <f>IF(P3830="","",IF(P3830="Resultado trading",S3830,0))</f>
        <v/>
      </c>
      <c r="X3830" s="52">
        <f>IF(OR(P3830="Gasto",P3830="Reembolso"),IF(M3830&lt;&gt;"",M3830,IFERROR(INDEX(catClasif,MATCH(D3830&amp;"|"&amp;E3830,catClave,0))&amp;"","Variable")),"")</f>
        <v/>
      </c>
      <c r="Y3830" s="52">
        <f>IF(P3830="","",IFERROR(INDEX(catGrupo,MATCH(D3830&amp;"|"&amp;E3830,catClave,0))&amp;"",""))</f>
        <v/>
      </c>
      <c r="Z3830" s="52">
        <f>IF(P3830="","",WEEKDAY(B3830,2))</f>
        <v/>
      </c>
      <c r="AA3830" s="52">
        <f>IF(P3830="","",IF(AND(P3830="Gasto",X3830="Variable",D3830&lt;&gt;catTrading,S3830&gt;0,S3830&lt;=Umbral),1,0))</f>
        <v/>
      </c>
      <c r="AB3830" s="52">
        <f>IF(OR(P3830="",Q3830=""),"",IFERROR(IF(INDEX(ctaVinc,MATCH(Q3830,ctaNombre,0))&amp;""&lt;&gt;"",INDEX(ctaVinc,MATCH(Q3830,ctaNombre,0))&amp;"",Q3830),Q3830))</f>
        <v/>
      </c>
      <c r="AC3830" s="52">
        <f>IF(OR(K3830="",AND(P3830&lt;&gt;"Transferencia",P3830&lt;&gt;"Pago tarjeta")),"",IFERROR(IF(INDEX(ctaVinc,MATCH(K3830,ctaNombre,0))&amp;""&lt;&gt;"",INDEX(ctaVinc,MATCH(K3830,ctaNombre,0))&amp;"",K3830),K3830))</f>
        <v/>
      </c>
      <c r="AD3830" s="52">
        <f>IF(AB3830="","",IFERROR(INDEX(ctaTipo,MATCH(AB3830,ctaNombre,0))&amp;"",""))</f>
        <v/>
      </c>
      <c r="AE3830" s="52">
        <f>IF(AC3830="","",IFERROR(INDEX(ctaTipo,MATCH(AC3830,ctaNombre,0))&amp;"",""))</f>
        <v/>
      </c>
      <c r="AF3830" s="53">
        <f>IF(OR(P3830="",AB3830=""),"",IF(OR(P3830="Gasto",P3830="Transferencia",P3830="Pago tarjeta"),-1,1)*IF(IFERROR(INDEX(ctaMoneda,MATCH(AB3830,ctaNombre,0))&amp;"","DOP")="USD",T3830,S3830))</f>
        <v/>
      </c>
      <c r="AG3830" s="53">
        <f>IF(AC3830="","",IF(IFERROR(INDEX(ctaMoneda,MATCH(AC3830,ctaNombre,0))&amp;"","DOP")="USD",T3830,S3830))</f>
        <v/>
      </c>
      <c r="AH3830" s="53">
        <f>IF(P3830="","",IF(AND(AD3830&lt;&gt;"",COUNTIFS(tcTipo,AD3830,tcLiq,"Sí")&gt;0),IF(OR(P3830="Gasto",P3830="Transferencia",P3830="Pago tarjeta"),-1,1)*S3830,0)+IF(AND(AE3830&lt;&gt;"",COUNTIFS(tcTipo,AE3830,tcLiq,"Sí")&gt;0),S3830,0))</f>
        <v/>
      </c>
      <c r="AI3830" s="52">
        <f>IF(OR(L3830="",P3830=""),"",IF(COUNTIFS(L$6:L3830,L3830,P$6:P3830,"?*")=1,MAX(AI$5:AI3829)+1,""))</f>
        <v/>
      </c>
    </row>
    <row r="3831">
      <c r="B3831" s="47" t="n"/>
      <c r="C3831" s="48" t="n"/>
      <c r="D3831" s="48" t="n"/>
      <c r="E3831" s="48" t="n"/>
      <c r="F3831" s="48" t="n"/>
      <c r="G3831" s="49" t="n"/>
      <c r="H3831" s="48" t="n"/>
      <c r="I3831" s="50" t="n"/>
      <c r="J3831" s="48" t="n"/>
      <c r="K3831" s="48" t="n"/>
      <c r="L3831" s="48" t="n"/>
      <c r="M3831" s="48" t="n"/>
      <c r="N3831" s="48" t="n"/>
      <c r="O3831" s="51">
        <f>IF(AND(B3831="",G3831="",C3831="",D3831="",J3831=""),"",IF(B3831="","⚠ Falta fecha",IF(G3831="","⚠ Falta monto",IF(Q3831="","⚠ Falta cuenta",IF(ISNA(MATCH(Q3831,ctaNombre,0)),"⚠ Cuenta no registrada",IF(AND(OR(P3831="Gasto",P3831="Reembolso"),D3831=""),"⚠ Falta categoría",IF(AND(D3831&lt;&gt;"",E3831&lt;&gt;"",ISNA(MATCH(D3831&amp;"|"&amp;E3831,catClave,0))),"⚠ Subcategoría no corresponde",IF(AND(OR(P3831="Transferencia",P3831="Pago tarjeta"),K3831=""),"⚠ Falta cuenta destino",IF(AND(K3831&lt;&gt;"",P3831&lt;&gt;"Transferencia",P3831&lt;&gt;"Pago tarjeta"),"⚠ Destino solo aplica a transferencias",IF(AND(K3831&lt;&gt;"",K3831=Q3831),"⚠ Origen igual a destino",IF(AND(K3831&lt;&gt;"",ISNA(MATCH(K3831,ctaNombre,0))),"⚠ Destino no registrado",IF(AND(P3831="Pago tarjeta",AE3831&lt;&gt;"Tarjeta de crédito"),"⚠ El destino debe ser tarjeta de crédito",IF(AND(P3831="Gasto",E3831="Depósitos y retiros"),"⚠ Usa tipo Transferencia",IF(AND(P3831="Resultado trading",AD3831&lt;&gt;"Cuenta de trading"),"⚠ Usa una cuenta de trading",IF(AND(G3831&lt;=0,P3831&lt;&gt;"Ajuste",P3831&lt;&gt;"Resultado trading"),"⚠ El monto debe ser positivo","✓")))))))))))))))</f>
        <v/>
      </c>
      <c r="P3831" s="52">
        <f>IF(OR(B3831="",G3831=""),"",IF(C3831="","Gasto",C3831))</f>
        <v/>
      </c>
      <c r="Q3831" s="52">
        <f>IF(P3831="","",IF(J3831&lt;&gt;"",J3831,CuentaPred&amp;""))</f>
        <v/>
      </c>
      <c r="R3831" s="52">
        <f>IF(P3831="","",IF(ISNUMBER(I3831),I3831,TasaUSD))</f>
        <v/>
      </c>
      <c r="S3831" s="53">
        <f>IF(P3831="","",IF(H3831="USD",G3831*R3831,G3831))</f>
        <v/>
      </c>
      <c r="T3831" s="53">
        <f>IF(P3831="","",IF(H3831="USD",G3831,IF(R3831&gt;0,G3831/R3831,0)))</f>
        <v/>
      </c>
      <c r="U3831" s="53">
        <f>IF(P3831="","",IF(P3831="Gasto",S3831,IF(P3831="Reembolso",-S3831,0)))</f>
        <v/>
      </c>
      <c r="V3831" s="53">
        <f>IF(P3831="","",IF(P3831="Ingreso",S3831,0))</f>
        <v/>
      </c>
      <c r="W3831" s="53">
        <f>IF(P3831="","",IF(P3831="Resultado trading",S3831,0))</f>
        <v/>
      </c>
      <c r="X3831" s="52">
        <f>IF(OR(P3831="Gasto",P3831="Reembolso"),IF(M3831&lt;&gt;"",M3831,IFERROR(INDEX(catClasif,MATCH(D3831&amp;"|"&amp;E3831,catClave,0))&amp;"","Variable")),"")</f>
        <v/>
      </c>
      <c r="Y3831" s="52">
        <f>IF(P3831="","",IFERROR(INDEX(catGrupo,MATCH(D3831&amp;"|"&amp;E3831,catClave,0))&amp;"",""))</f>
        <v/>
      </c>
      <c r="Z3831" s="52">
        <f>IF(P3831="","",WEEKDAY(B3831,2))</f>
        <v/>
      </c>
      <c r="AA3831" s="52">
        <f>IF(P3831="","",IF(AND(P3831="Gasto",X3831="Variable",D3831&lt;&gt;catTrading,S3831&gt;0,S3831&lt;=Umbral),1,0))</f>
        <v/>
      </c>
      <c r="AB3831" s="52">
        <f>IF(OR(P3831="",Q3831=""),"",IFERROR(IF(INDEX(ctaVinc,MATCH(Q3831,ctaNombre,0))&amp;""&lt;&gt;"",INDEX(ctaVinc,MATCH(Q3831,ctaNombre,0))&amp;"",Q3831),Q3831))</f>
        <v/>
      </c>
      <c r="AC3831" s="52">
        <f>IF(OR(K3831="",AND(P3831&lt;&gt;"Transferencia",P3831&lt;&gt;"Pago tarjeta")),"",IFERROR(IF(INDEX(ctaVinc,MATCH(K3831,ctaNombre,0))&amp;""&lt;&gt;"",INDEX(ctaVinc,MATCH(K3831,ctaNombre,0))&amp;"",K3831),K3831))</f>
        <v/>
      </c>
      <c r="AD3831" s="52">
        <f>IF(AB3831="","",IFERROR(INDEX(ctaTipo,MATCH(AB3831,ctaNombre,0))&amp;"",""))</f>
        <v/>
      </c>
      <c r="AE3831" s="52">
        <f>IF(AC3831="","",IFERROR(INDEX(ctaTipo,MATCH(AC3831,ctaNombre,0))&amp;"",""))</f>
        <v/>
      </c>
      <c r="AF3831" s="53">
        <f>IF(OR(P3831="",AB3831=""),"",IF(OR(P3831="Gasto",P3831="Transferencia",P3831="Pago tarjeta"),-1,1)*IF(IFERROR(INDEX(ctaMoneda,MATCH(AB3831,ctaNombre,0))&amp;"","DOP")="USD",T3831,S3831))</f>
        <v/>
      </c>
      <c r="AG3831" s="53">
        <f>IF(AC3831="","",IF(IFERROR(INDEX(ctaMoneda,MATCH(AC3831,ctaNombre,0))&amp;"","DOP")="USD",T3831,S3831))</f>
        <v/>
      </c>
      <c r="AH3831" s="53">
        <f>IF(P3831="","",IF(AND(AD3831&lt;&gt;"",COUNTIFS(tcTipo,AD3831,tcLiq,"Sí")&gt;0),IF(OR(P3831="Gasto",P3831="Transferencia",P3831="Pago tarjeta"),-1,1)*S3831,0)+IF(AND(AE3831&lt;&gt;"",COUNTIFS(tcTipo,AE3831,tcLiq,"Sí")&gt;0),S3831,0))</f>
        <v/>
      </c>
      <c r="AI3831" s="52">
        <f>IF(OR(L3831="",P3831=""),"",IF(COUNTIFS(L$6:L3831,L3831,P$6:P3831,"?*")=1,MAX(AI$5:AI3830)+1,""))</f>
        <v/>
      </c>
    </row>
    <row r="3832">
      <c r="B3832" s="47" t="n"/>
      <c r="C3832" s="48" t="n"/>
      <c r="D3832" s="48" t="n"/>
      <c r="E3832" s="48" t="n"/>
      <c r="F3832" s="48" t="n"/>
      <c r="G3832" s="49" t="n"/>
      <c r="H3832" s="48" t="n"/>
      <c r="I3832" s="50" t="n"/>
      <c r="J3832" s="48" t="n"/>
      <c r="K3832" s="48" t="n"/>
      <c r="L3832" s="48" t="n"/>
      <c r="M3832" s="48" t="n"/>
      <c r="N3832" s="48" t="n"/>
      <c r="O3832" s="51">
        <f>IF(AND(B3832="",G3832="",C3832="",D3832="",J3832=""),"",IF(B3832="","⚠ Falta fecha",IF(G3832="","⚠ Falta monto",IF(Q3832="","⚠ Falta cuenta",IF(ISNA(MATCH(Q3832,ctaNombre,0)),"⚠ Cuenta no registrada",IF(AND(OR(P3832="Gasto",P3832="Reembolso"),D3832=""),"⚠ Falta categoría",IF(AND(D3832&lt;&gt;"",E3832&lt;&gt;"",ISNA(MATCH(D3832&amp;"|"&amp;E3832,catClave,0))),"⚠ Subcategoría no corresponde",IF(AND(OR(P3832="Transferencia",P3832="Pago tarjeta"),K3832=""),"⚠ Falta cuenta destino",IF(AND(K3832&lt;&gt;"",P3832&lt;&gt;"Transferencia",P3832&lt;&gt;"Pago tarjeta"),"⚠ Destino solo aplica a transferencias",IF(AND(K3832&lt;&gt;"",K3832=Q3832),"⚠ Origen igual a destino",IF(AND(K3832&lt;&gt;"",ISNA(MATCH(K3832,ctaNombre,0))),"⚠ Destino no registrado",IF(AND(P3832="Pago tarjeta",AE3832&lt;&gt;"Tarjeta de crédito"),"⚠ El destino debe ser tarjeta de crédito",IF(AND(P3832="Gasto",E3832="Depósitos y retiros"),"⚠ Usa tipo Transferencia",IF(AND(P3832="Resultado trading",AD3832&lt;&gt;"Cuenta de trading"),"⚠ Usa una cuenta de trading",IF(AND(G3832&lt;=0,P3832&lt;&gt;"Ajuste",P3832&lt;&gt;"Resultado trading"),"⚠ El monto debe ser positivo","✓")))))))))))))))</f>
        <v/>
      </c>
      <c r="P3832" s="52">
        <f>IF(OR(B3832="",G3832=""),"",IF(C3832="","Gasto",C3832))</f>
        <v/>
      </c>
      <c r="Q3832" s="52">
        <f>IF(P3832="","",IF(J3832&lt;&gt;"",J3832,CuentaPred&amp;""))</f>
        <v/>
      </c>
      <c r="R3832" s="52">
        <f>IF(P3832="","",IF(ISNUMBER(I3832),I3832,TasaUSD))</f>
        <v/>
      </c>
      <c r="S3832" s="53">
        <f>IF(P3832="","",IF(H3832="USD",G3832*R3832,G3832))</f>
        <v/>
      </c>
      <c r="T3832" s="53">
        <f>IF(P3832="","",IF(H3832="USD",G3832,IF(R3832&gt;0,G3832/R3832,0)))</f>
        <v/>
      </c>
      <c r="U3832" s="53">
        <f>IF(P3832="","",IF(P3832="Gasto",S3832,IF(P3832="Reembolso",-S3832,0)))</f>
        <v/>
      </c>
      <c r="V3832" s="53">
        <f>IF(P3832="","",IF(P3832="Ingreso",S3832,0))</f>
        <v/>
      </c>
      <c r="W3832" s="53">
        <f>IF(P3832="","",IF(P3832="Resultado trading",S3832,0))</f>
        <v/>
      </c>
      <c r="X3832" s="52">
        <f>IF(OR(P3832="Gasto",P3832="Reembolso"),IF(M3832&lt;&gt;"",M3832,IFERROR(INDEX(catClasif,MATCH(D3832&amp;"|"&amp;E3832,catClave,0))&amp;"","Variable")),"")</f>
        <v/>
      </c>
      <c r="Y3832" s="52">
        <f>IF(P3832="","",IFERROR(INDEX(catGrupo,MATCH(D3832&amp;"|"&amp;E3832,catClave,0))&amp;"",""))</f>
        <v/>
      </c>
      <c r="Z3832" s="52">
        <f>IF(P3832="","",WEEKDAY(B3832,2))</f>
        <v/>
      </c>
      <c r="AA3832" s="52">
        <f>IF(P3832="","",IF(AND(P3832="Gasto",X3832="Variable",D3832&lt;&gt;catTrading,S3832&gt;0,S3832&lt;=Umbral),1,0))</f>
        <v/>
      </c>
      <c r="AB3832" s="52">
        <f>IF(OR(P3832="",Q3832=""),"",IFERROR(IF(INDEX(ctaVinc,MATCH(Q3832,ctaNombre,0))&amp;""&lt;&gt;"",INDEX(ctaVinc,MATCH(Q3832,ctaNombre,0))&amp;"",Q3832),Q3832))</f>
        <v/>
      </c>
      <c r="AC3832" s="52">
        <f>IF(OR(K3832="",AND(P3832&lt;&gt;"Transferencia",P3832&lt;&gt;"Pago tarjeta")),"",IFERROR(IF(INDEX(ctaVinc,MATCH(K3832,ctaNombre,0))&amp;""&lt;&gt;"",INDEX(ctaVinc,MATCH(K3832,ctaNombre,0))&amp;"",K3832),K3832))</f>
        <v/>
      </c>
      <c r="AD3832" s="52">
        <f>IF(AB3832="","",IFERROR(INDEX(ctaTipo,MATCH(AB3832,ctaNombre,0))&amp;"",""))</f>
        <v/>
      </c>
      <c r="AE3832" s="52">
        <f>IF(AC3832="","",IFERROR(INDEX(ctaTipo,MATCH(AC3832,ctaNombre,0))&amp;"",""))</f>
        <v/>
      </c>
      <c r="AF3832" s="53">
        <f>IF(OR(P3832="",AB3832=""),"",IF(OR(P3832="Gasto",P3832="Transferencia",P3832="Pago tarjeta"),-1,1)*IF(IFERROR(INDEX(ctaMoneda,MATCH(AB3832,ctaNombre,0))&amp;"","DOP")="USD",T3832,S3832))</f>
        <v/>
      </c>
      <c r="AG3832" s="53">
        <f>IF(AC3832="","",IF(IFERROR(INDEX(ctaMoneda,MATCH(AC3832,ctaNombre,0))&amp;"","DOP")="USD",T3832,S3832))</f>
        <v/>
      </c>
      <c r="AH3832" s="53">
        <f>IF(P3832="","",IF(AND(AD3832&lt;&gt;"",COUNTIFS(tcTipo,AD3832,tcLiq,"Sí")&gt;0),IF(OR(P3832="Gasto",P3832="Transferencia",P3832="Pago tarjeta"),-1,1)*S3832,0)+IF(AND(AE3832&lt;&gt;"",COUNTIFS(tcTipo,AE3832,tcLiq,"Sí")&gt;0),S3832,0))</f>
        <v/>
      </c>
      <c r="AI3832" s="52">
        <f>IF(OR(L3832="",P3832=""),"",IF(COUNTIFS(L$6:L3832,L3832,P$6:P3832,"?*")=1,MAX(AI$5:AI3831)+1,""))</f>
        <v/>
      </c>
    </row>
    <row r="3833">
      <c r="B3833" s="47" t="n"/>
      <c r="C3833" s="48" t="n"/>
      <c r="D3833" s="48" t="n"/>
      <c r="E3833" s="48" t="n"/>
      <c r="F3833" s="48" t="n"/>
      <c r="G3833" s="49" t="n"/>
      <c r="H3833" s="48" t="n"/>
      <c r="I3833" s="50" t="n"/>
      <c r="J3833" s="48" t="n"/>
      <c r="K3833" s="48" t="n"/>
      <c r="L3833" s="48" t="n"/>
      <c r="M3833" s="48" t="n"/>
      <c r="N3833" s="48" t="n"/>
      <c r="O3833" s="51">
        <f>IF(AND(B3833="",G3833="",C3833="",D3833="",J3833=""),"",IF(B3833="","⚠ Falta fecha",IF(G3833="","⚠ Falta monto",IF(Q3833="","⚠ Falta cuenta",IF(ISNA(MATCH(Q3833,ctaNombre,0)),"⚠ Cuenta no registrada",IF(AND(OR(P3833="Gasto",P3833="Reembolso"),D3833=""),"⚠ Falta categoría",IF(AND(D3833&lt;&gt;"",E3833&lt;&gt;"",ISNA(MATCH(D3833&amp;"|"&amp;E3833,catClave,0))),"⚠ Subcategoría no corresponde",IF(AND(OR(P3833="Transferencia",P3833="Pago tarjeta"),K3833=""),"⚠ Falta cuenta destino",IF(AND(K3833&lt;&gt;"",P3833&lt;&gt;"Transferencia",P3833&lt;&gt;"Pago tarjeta"),"⚠ Destino solo aplica a transferencias",IF(AND(K3833&lt;&gt;"",K3833=Q3833),"⚠ Origen igual a destino",IF(AND(K3833&lt;&gt;"",ISNA(MATCH(K3833,ctaNombre,0))),"⚠ Destino no registrado",IF(AND(P3833="Pago tarjeta",AE3833&lt;&gt;"Tarjeta de crédito"),"⚠ El destino debe ser tarjeta de crédito",IF(AND(P3833="Gasto",E3833="Depósitos y retiros"),"⚠ Usa tipo Transferencia",IF(AND(P3833="Resultado trading",AD3833&lt;&gt;"Cuenta de trading"),"⚠ Usa una cuenta de trading",IF(AND(G3833&lt;=0,P3833&lt;&gt;"Ajuste",P3833&lt;&gt;"Resultado trading"),"⚠ El monto debe ser positivo","✓")))))))))))))))</f>
        <v/>
      </c>
      <c r="P3833" s="52">
        <f>IF(OR(B3833="",G3833=""),"",IF(C3833="","Gasto",C3833))</f>
        <v/>
      </c>
      <c r="Q3833" s="52">
        <f>IF(P3833="","",IF(J3833&lt;&gt;"",J3833,CuentaPred&amp;""))</f>
        <v/>
      </c>
      <c r="R3833" s="52">
        <f>IF(P3833="","",IF(ISNUMBER(I3833),I3833,TasaUSD))</f>
        <v/>
      </c>
      <c r="S3833" s="53">
        <f>IF(P3833="","",IF(H3833="USD",G3833*R3833,G3833))</f>
        <v/>
      </c>
      <c r="T3833" s="53">
        <f>IF(P3833="","",IF(H3833="USD",G3833,IF(R3833&gt;0,G3833/R3833,0)))</f>
        <v/>
      </c>
      <c r="U3833" s="53">
        <f>IF(P3833="","",IF(P3833="Gasto",S3833,IF(P3833="Reembolso",-S3833,0)))</f>
        <v/>
      </c>
      <c r="V3833" s="53">
        <f>IF(P3833="","",IF(P3833="Ingreso",S3833,0))</f>
        <v/>
      </c>
      <c r="W3833" s="53">
        <f>IF(P3833="","",IF(P3833="Resultado trading",S3833,0))</f>
        <v/>
      </c>
      <c r="X3833" s="52">
        <f>IF(OR(P3833="Gasto",P3833="Reembolso"),IF(M3833&lt;&gt;"",M3833,IFERROR(INDEX(catClasif,MATCH(D3833&amp;"|"&amp;E3833,catClave,0))&amp;"","Variable")),"")</f>
        <v/>
      </c>
      <c r="Y3833" s="52">
        <f>IF(P3833="","",IFERROR(INDEX(catGrupo,MATCH(D3833&amp;"|"&amp;E3833,catClave,0))&amp;"",""))</f>
        <v/>
      </c>
      <c r="Z3833" s="52">
        <f>IF(P3833="","",WEEKDAY(B3833,2))</f>
        <v/>
      </c>
      <c r="AA3833" s="52">
        <f>IF(P3833="","",IF(AND(P3833="Gasto",X3833="Variable",D3833&lt;&gt;catTrading,S3833&gt;0,S3833&lt;=Umbral),1,0))</f>
        <v/>
      </c>
      <c r="AB3833" s="52">
        <f>IF(OR(P3833="",Q3833=""),"",IFERROR(IF(INDEX(ctaVinc,MATCH(Q3833,ctaNombre,0))&amp;""&lt;&gt;"",INDEX(ctaVinc,MATCH(Q3833,ctaNombre,0))&amp;"",Q3833),Q3833))</f>
        <v/>
      </c>
      <c r="AC3833" s="52">
        <f>IF(OR(K3833="",AND(P3833&lt;&gt;"Transferencia",P3833&lt;&gt;"Pago tarjeta")),"",IFERROR(IF(INDEX(ctaVinc,MATCH(K3833,ctaNombre,0))&amp;""&lt;&gt;"",INDEX(ctaVinc,MATCH(K3833,ctaNombre,0))&amp;"",K3833),K3833))</f>
        <v/>
      </c>
      <c r="AD3833" s="52">
        <f>IF(AB3833="","",IFERROR(INDEX(ctaTipo,MATCH(AB3833,ctaNombre,0))&amp;"",""))</f>
        <v/>
      </c>
      <c r="AE3833" s="52">
        <f>IF(AC3833="","",IFERROR(INDEX(ctaTipo,MATCH(AC3833,ctaNombre,0))&amp;"",""))</f>
        <v/>
      </c>
      <c r="AF3833" s="53">
        <f>IF(OR(P3833="",AB3833=""),"",IF(OR(P3833="Gasto",P3833="Transferencia",P3833="Pago tarjeta"),-1,1)*IF(IFERROR(INDEX(ctaMoneda,MATCH(AB3833,ctaNombre,0))&amp;"","DOP")="USD",T3833,S3833))</f>
        <v/>
      </c>
      <c r="AG3833" s="53">
        <f>IF(AC3833="","",IF(IFERROR(INDEX(ctaMoneda,MATCH(AC3833,ctaNombre,0))&amp;"","DOP")="USD",T3833,S3833))</f>
        <v/>
      </c>
      <c r="AH3833" s="53">
        <f>IF(P3833="","",IF(AND(AD3833&lt;&gt;"",COUNTIFS(tcTipo,AD3833,tcLiq,"Sí")&gt;0),IF(OR(P3833="Gasto",P3833="Transferencia",P3833="Pago tarjeta"),-1,1)*S3833,0)+IF(AND(AE3833&lt;&gt;"",COUNTIFS(tcTipo,AE3833,tcLiq,"Sí")&gt;0),S3833,0))</f>
        <v/>
      </c>
      <c r="AI3833" s="52">
        <f>IF(OR(L3833="",P3833=""),"",IF(COUNTIFS(L$6:L3833,L3833,P$6:P3833,"?*")=1,MAX(AI$5:AI3832)+1,""))</f>
        <v/>
      </c>
    </row>
    <row r="3834">
      <c r="B3834" s="47" t="n"/>
      <c r="C3834" s="48" t="n"/>
      <c r="D3834" s="48" t="n"/>
      <c r="E3834" s="48" t="n"/>
      <c r="F3834" s="48" t="n"/>
      <c r="G3834" s="49" t="n"/>
      <c r="H3834" s="48" t="n"/>
      <c r="I3834" s="50" t="n"/>
      <c r="J3834" s="48" t="n"/>
      <c r="K3834" s="48" t="n"/>
      <c r="L3834" s="48" t="n"/>
      <c r="M3834" s="48" t="n"/>
      <c r="N3834" s="48" t="n"/>
      <c r="O3834" s="51">
        <f>IF(AND(B3834="",G3834="",C3834="",D3834="",J3834=""),"",IF(B3834="","⚠ Falta fecha",IF(G3834="","⚠ Falta monto",IF(Q3834="","⚠ Falta cuenta",IF(ISNA(MATCH(Q3834,ctaNombre,0)),"⚠ Cuenta no registrada",IF(AND(OR(P3834="Gasto",P3834="Reembolso"),D3834=""),"⚠ Falta categoría",IF(AND(D3834&lt;&gt;"",E3834&lt;&gt;"",ISNA(MATCH(D3834&amp;"|"&amp;E3834,catClave,0))),"⚠ Subcategoría no corresponde",IF(AND(OR(P3834="Transferencia",P3834="Pago tarjeta"),K3834=""),"⚠ Falta cuenta destino",IF(AND(K3834&lt;&gt;"",P3834&lt;&gt;"Transferencia",P3834&lt;&gt;"Pago tarjeta"),"⚠ Destino solo aplica a transferencias",IF(AND(K3834&lt;&gt;"",K3834=Q3834),"⚠ Origen igual a destino",IF(AND(K3834&lt;&gt;"",ISNA(MATCH(K3834,ctaNombre,0))),"⚠ Destino no registrado",IF(AND(P3834="Pago tarjeta",AE3834&lt;&gt;"Tarjeta de crédito"),"⚠ El destino debe ser tarjeta de crédito",IF(AND(P3834="Gasto",E3834="Depósitos y retiros"),"⚠ Usa tipo Transferencia",IF(AND(P3834="Resultado trading",AD3834&lt;&gt;"Cuenta de trading"),"⚠ Usa una cuenta de trading",IF(AND(G3834&lt;=0,P3834&lt;&gt;"Ajuste",P3834&lt;&gt;"Resultado trading"),"⚠ El monto debe ser positivo","✓")))))))))))))))</f>
        <v/>
      </c>
      <c r="P3834" s="52">
        <f>IF(OR(B3834="",G3834=""),"",IF(C3834="","Gasto",C3834))</f>
        <v/>
      </c>
      <c r="Q3834" s="52">
        <f>IF(P3834="","",IF(J3834&lt;&gt;"",J3834,CuentaPred&amp;""))</f>
        <v/>
      </c>
      <c r="R3834" s="52">
        <f>IF(P3834="","",IF(ISNUMBER(I3834),I3834,TasaUSD))</f>
        <v/>
      </c>
      <c r="S3834" s="53">
        <f>IF(P3834="","",IF(H3834="USD",G3834*R3834,G3834))</f>
        <v/>
      </c>
      <c r="T3834" s="53">
        <f>IF(P3834="","",IF(H3834="USD",G3834,IF(R3834&gt;0,G3834/R3834,0)))</f>
        <v/>
      </c>
      <c r="U3834" s="53">
        <f>IF(P3834="","",IF(P3834="Gasto",S3834,IF(P3834="Reembolso",-S3834,0)))</f>
        <v/>
      </c>
      <c r="V3834" s="53">
        <f>IF(P3834="","",IF(P3834="Ingreso",S3834,0))</f>
        <v/>
      </c>
      <c r="W3834" s="53">
        <f>IF(P3834="","",IF(P3834="Resultado trading",S3834,0))</f>
        <v/>
      </c>
      <c r="X3834" s="52">
        <f>IF(OR(P3834="Gasto",P3834="Reembolso"),IF(M3834&lt;&gt;"",M3834,IFERROR(INDEX(catClasif,MATCH(D3834&amp;"|"&amp;E3834,catClave,0))&amp;"","Variable")),"")</f>
        <v/>
      </c>
      <c r="Y3834" s="52">
        <f>IF(P3834="","",IFERROR(INDEX(catGrupo,MATCH(D3834&amp;"|"&amp;E3834,catClave,0))&amp;"",""))</f>
        <v/>
      </c>
      <c r="Z3834" s="52">
        <f>IF(P3834="","",WEEKDAY(B3834,2))</f>
        <v/>
      </c>
      <c r="AA3834" s="52">
        <f>IF(P3834="","",IF(AND(P3834="Gasto",X3834="Variable",D3834&lt;&gt;catTrading,S3834&gt;0,S3834&lt;=Umbral),1,0))</f>
        <v/>
      </c>
      <c r="AB3834" s="52">
        <f>IF(OR(P3834="",Q3834=""),"",IFERROR(IF(INDEX(ctaVinc,MATCH(Q3834,ctaNombre,0))&amp;""&lt;&gt;"",INDEX(ctaVinc,MATCH(Q3834,ctaNombre,0))&amp;"",Q3834),Q3834))</f>
        <v/>
      </c>
      <c r="AC3834" s="52">
        <f>IF(OR(K3834="",AND(P3834&lt;&gt;"Transferencia",P3834&lt;&gt;"Pago tarjeta")),"",IFERROR(IF(INDEX(ctaVinc,MATCH(K3834,ctaNombre,0))&amp;""&lt;&gt;"",INDEX(ctaVinc,MATCH(K3834,ctaNombre,0))&amp;"",K3834),K3834))</f>
        <v/>
      </c>
      <c r="AD3834" s="52">
        <f>IF(AB3834="","",IFERROR(INDEX(ctaTipo,MATCH(AB3834,ctaNombre,0))&amp;"",""))</f>
        <v/>
      </c>
      <c r="AE3834" s="52">
        <f>IF(AC3834="","",IFERROR(INDEX(ctaTipo,MATCH(AC3834,ctaNombre,0))&amp;"",""))</f>
        <v/>
      </c>
      <c r="AF3834" s="53">
        <f>IF(OR(P3834="",AB3834=""),"",IF(OR(P3834="Gasto",P3834="Transferencia",P3834="Pago tarjeta"),-1,1)*IF(IFERROR(INDEX(ctaMoneda,MATCH(AB3834,ctaNombre,0))&amp;"","DOP")="USD",T3834,S3834))</f>
        <v/>
      </c>
      <c r="AG3834" s="53">
        <f>IF(AC3834="","",IF(IFERROR(INDEX(ctaMoneda,MATCH(AC3834,ctaNombre,0))&amp;"","DOP")="USD",T3834,S3834))</f>
        <v/>
      </c>
      <c r="AH3834" s="53">
        <f>IF(P3834="","",IF(AND(AD3834&lt;&gt;"",COUNTIFS(tcTipo,AD3834,tcLiq,"Sí")&gt;0),IF(OR(P3834="Gasto",P3834="Transferencia",P3834="Pago tarjeta"),-1,1)*S3834,0)+IF(AND(AE3834&lt;&gt;"",COUNTIFS(tcTipo,AE3834,tcLiq,"Sí")&gt;0),S3834,0))</f>
        <v/>
      </c>
      <c r="AI3834" s="52">
        <f>IF(OR(L3834="",P3834=""),"",IF(COUNTIFS(L$6:L3834,L3834,P$6:P3834,"?*")=1,MAX(AI$5:AI3833)+1,""))</f>
        <v/>
      </c>
    </row>
    <row r="3835">
      <c r="B3835" s="47" t="n"/>
      <c r="C3835" s="48" t="n"/>
      <c r="D3835" s="48" t="n"/>
      <c r="E3835" s="48" t="n"/>
      <c r="F3835" s="48" t="n"/>
      <c r="G3835" s="49" t="n"/>
      <c r="H3835" s="48" t="n"/>
      <c r="I3835" s="50" t="n"/>
      <c r="J3835" s="48" t="n"/>
      <c r="K3835" s="48" t="n"/>
      <c r="L3835" s="48" t="n"/>
      <c r="M3835" s="48" t="n"/>
      <c r="N3835" s="48" t="n"/>
      <c r="O3835" s="51">
        <f>IF(AND(B3835="",G3835="",C3835="",D3835="",J3835=""),"",IF(B3835="","⚠ Falta fecha",IF(G3835="","⚠ Falta monto",IF(Q3835="","⚠ Falta cuenta",IF(ISNA(MATCH(Q3835,ctaNombre,0)),"⚠ Cuenta no registrada",IF(AND(OR(P3835="Gasto",P3835="Reembolso"),D3835=""),"⚠ Falta categoría",IF(AND(D3835&lt;&gt;"",E3835&lt;&gt;"",ISNA(MATCH(D3835&amp;"|"&amp;E3835,catClave,0))),"⚠ Subcategoría no corresponde",IF(AND(OR(P3835="Transferencia",P3835="Pago tarjeta"),K3835=""),"⚠ Falta cuenta destino",IF(AND(K3835&lt;&gt;"",P3835&lt;&gt;"Transferencia",P3835&lt;&gt;"Pago tarjeta"),"⚠ Destino solo aplica a transferencias",IF(AND(K3835&lt;&gt;"",K3835=Q3835),"⚠ Origen igual a destino",IF(AND(K3835&lt;&gt;"",ISNA(MATCH(K3835,ctaNombre,0))),"⚠ Destino no registrado",IF(AND(P3835="Pago tarjeta",AE3835&lt;&gt;"Tarjeta de crédito"),"⚠ El destino debe ser tarjeta de crédito",IF(AND(P3835="Gasto",E3835="Depósitos y retiros"),"⚠ Usa tipo Transferencia",IF(AND(P3835="Resultado trading",AD3835&lt;&gt;"Cuenta de trading"),"⚠ Usa una cuenta de trading",IF(AND(G3835&lt;=0,P3835&lt;&gt;"Ajuste",P3835&lt;&gt;"Resultado trading"),"⚠ El monto debe ser positivo","✓")))))))))))))))</f>
        <v/>
      </c>
      <c r="P3835" s="52">
        <f>IF(OR(B3835="",G3835=""),"",IF(C3835="","Gasto",C3835))</f>
        <v/>
      </c>
      <c r="Q3835" s="52">
        <f>IF(P3835="","",IF(J3835&lt;&gt;"",J3835,CuentaPred&amp;""))</f>
        <v/>
      </c>
      <c r="R3835" s="52">
        <f>IF(P3835="","",IF(ISNUMBER(I3835),I3835,TasaUSD))</f>
        <v/>
      </c>
      <c r="S3835" s="53">
        <f>IF(P3835="","",IF(H3835="USD",G3835*R3835,G3835))</f>
        <v/>
      </c>
      <c r="T3835" s="53">
        <f>IF(P3835="","",IF(H3835="USD",G3835,IF(R3835&gt;0,G3835/R3835,0)))</f>
        <v/>
      </c>
      <c r="U3835" s="53">
        <f>IF(P3835="","",IF(P3835="Gasto",S3835,IF(P3835="Reembolso",-S3835,0)))</f>
        <v/>
      </c>
      <c r="V3835" s="53">
        <f>IF(P3835="","",IF(P3835="Ingreso",S3835,0))</f>
        <v/>
      </c>
      <c r="W3835" s="53">
        <f>IF(P3835="","",IF(P3835="Resultado trading",S3835,0))</f>
        <v/>
      </c>
      <c r="X3835" s="52">
        <f>IF(OR(P3835="Gasto",P3835="Reembolso"),IF(M3835&lt;&gt;"",M3835,IFERROR(INDEX(catClasif,MATCH(D3835&amp;"|"&amp;E3835,catClave,0))&amp;"","Variable")),"")</f>
        <v/>
      </c>
      <c r="Y3835" s="52">
        <f>IF(P3835="","",IFERROR(INDEX(catGrupo,MATCH(D3835&amp;"|"&amp;E3835,catClave,0))&amp;"",""))</f>
        <v/>
      </c>
      <c r="Z3835" s="52">
        <f>IF(P3835="","",WEEKDAY(B3835,2))</f>
        <v/>
      </c>
      <c r="AA3835" s="52">
        <f>IF(P3835="","",IF(AND(P3835="Gasto",X3835="Variable",D3835&lt;&gt;catTrading,S3835&gt;0,S3835&lt;=Umbral),1,0))</f>
        <v/>
      </c>
      <c r="AB3835" s="52">
        <f>IF(OR(P3835="",Q3835=""),"",IFERROR(IF(INDEX(ctaVinc,MATCH(Q3835,ctaNombre,0))&amp;""&lt;&gt;"",INDEX(ctaVinc,MATCH(Q3835,ctaNombre,0))&amp;"",Q3835),Q3835))</f>
        <v/>
      </c>
      <c r="AC3835" s="52">
        <f>IF(OR(K3835="",AND(P3835&lt;&gt;"Transferencia",P3835&lt;&gt;"Pago tarjeta")),"",IFERROR(IF(INDEX(ctaVinc,MATCH(K3835,ctaNombre,0))&amp;""&lt;&gt;"",INDEX(ctaVinc,MATCH(K3835,ctaNombre,0))&amp;"",K3835),K3835))</f>
        <v/>
      </c>
      <c r="AD3835" s="52">
        <f>IF(AB3835="","",IFERROR(INDEX(ctaTipo,MATCH(AB3835,ctaNombre,0))&amp;"",""))</f>
        <v/>
      </c>
      <c r="AE3835" s="52">
        <f>IF(AC3835="","",IFERROR(INDEX(ctaTipo,MATCH(AC3835,ctaNombre,0))&amp;"",""))</f>
        <v/>
      </c>
      <c r="AF3835" s="53">
        <f>IF(OR(P3835="",AB3835=""),"",IF(OR(P3835="Gasto",P3835="Transferencia",P3835="Pago tarjeta"),-1,1)*IF(IFERROR(INDEX(ctaMoneda,MATCH(AB3835,ctaNombre,0))&amp;"","DOP")="USD",T3835,S3835))</f>
        <v/>
      </c>
      <c r="AG3835" s="53">
        <f>IF(AC3835="","",IF(IFERROR(INDEX(ctaMoneda,MATCH(AC3835,ctaNombre,0))&amp;"","DOP")="USD",T3835,S3835))</f>
        <v/>
      </c>
      <c r="AH3835" s="53">
        <f>IF(P3835="","",IF(AND(AD3835&lt;&gt;"",COUNTIFS(tcTipo,AD3835,tcLiq,"Sí")&gt;0),IF(OR(P3835="Gasto",P3835="Transferencia",P3835="Pago tarjeta"),-1,1)*S3835,0)+IF(AND(AE3835&lt;&gt;"",COUNTIFS(tcTipo,AE3835,tcLiq,"Sí")&gt;0),S3835,0))</f>
        <v/>
      </c>
      <c r="AI3835" s="52">
        <f>IF(OR(L3835="",P3835=""),"",IF(COUNTIFS(L$6:L3835,L3835,P$6:P3835,"?*")=1,MAX(AI$5:AI3834)+1,""))</f>
        <v/>
      </c>
    </row>
    <row r="3836">
      <c r="B3836" s="47" t="n"/>
      <c r="C3836" s="48" t="n"/>
      <c r="D3836" s="48" t="n"/>
      <c r="E3836" s="48" t="n"/>
      <c r="F3836" s="48" t="n"/>
      <c r="G3836" s="49" t="n"/>
      <c r="H3836" s="48" t="n"/>
      <c r="I3836" s="50" t="n"/>
      <c r="J3836" s="48" t="n"/>
      <c r="K3836" s="48" t="n"/>
      <c r="L3836" s="48" t="n"/>
      <c r="M3836" s="48" t="n"/>
      <c r="N3836" s="48" t="n"/>
      <c r="O3836" s="51">
        <f>IF(AND(B3836="",G3836="",C3836="",D3836="",J3836=""),"",IF(B3836="","⚠ Falta fecha",IF(G3836="","⚠ Falta monto",IF(Q3836="","⚠ Falta cuenta",IF(ISNA(MATCH(Q3836,ctaNombre,0)),"⚠ Cuenta no registrada",IF(AND(OR(P3836="Gasto",P3836="Reembolso"),D3836=""),"⚠ Falta categoría",IF(AND(D3836&lt;&gt;"",E3836&lt;&gt;"",ISNA(MATCH(D3836&amp;"|"&amp;E3836,catClave,0))),"⚠ Subcategoría no corresponde",IF(AND(OR(P3836="Transferencia",P3836="Pago tarjeta"),K3836=""),"⚠ Falta cuenta destino",IF(AND(K3836&lt;&gt;"",P3836&lt;&gt;"Transferencia",P3836&lt;&gt;"Pago tarjeta"),"⚠ Destino solo aplica a transferencias",IF(AND(K3836&lt;&gt;"",K3836=Q3836),"⚠ Origen igual a destino",IF(AND(K3836&lt;&gt;"",ISNA(MATCH(K3836,ctaNombre,0))),"⚠ Destino no registrado",IF(AND(P3836="Pago tarjeta",AE3836&lt;&gt;"Tarjeta de crédito"),"⚠ El destino debe ser tarjeta de crédito",IF(AND(P3836="Gasto",E3836="Depósitos y retiros"),"⚠ Usa tipo Transferencia",IF(AND(P3836="Resultado trading",AD3836&lt;&gt;"Cuenta de trading"),"⚠ Usa una cuenta de trading",IF(AND(G3836&lt;=0,P3836&lt;&gt;"Ajuste",P3836&lt;&gt;"Resultado trading"),"⚠ El monto debe ser positivo","✓")))))))))))))))</f>
        <v/>
      </c>
      <c r="P3836" s="52">
        <f>IF(OR(B3836="",G3836=""),"",IF(C3836="","Gasto",C3836))</f>
        <v/>
      </c>
      <c r="Q3836" s="52">
        <f>IF(P3836="","",IF(J3836&lt;&gt;"",J3836,CuentaPred&amp;""))</f>
        <v/>
      </c>
      <c r="R3836" s="52">
        <f>IF(P3836="","",IF(ISNUMBER(I3836),I3836,TasaUSD))</f>
        <v/>
      </c>
      <c r="S3836" s="53">
        <f>IF(P3836="","",IF(H3836="USD",G3836*R3836,G3836))</f>
        <v/>
      </c>
      <c r="T3836" s="53">
        <f>IF(P3836="","",IF(H3836="USD",G3836,IF(R3836&gt;0,G3836/R3836,0)))</f>
        <v/>
      </c>
      <c r="U3836" s="53">
        <f>IF(P3836="","",IF(P3836="Gasto",S3836,IF(P3836="Reembolso",-S3836,0)))</f>
        <v/>
      </c>
      <c r="V3836" s="53">
        <f>IF(P3836="","",IF(P3836="Ingreso",S3836,0))</f>
        <v/>
      </c>
      <c r="W3836" s="53">
        <f>IF(P3836="","",IF(P3836="Resultado trading",S3836,0))</f>
        <v/>
      </c>
      <c r="X3836" s="52">
        <f>IF(OR(P3836="Gasto",P3836="Reembolso"),IF(M3836&lt;&gt;"",M3836,IFERROR(INDEX(catClasif,MATCH(D3836&amp;"|"&amp;E3836,catClave,0))&amp;"","Variable")),"")</f>
        <v/>
      </c>
      <c r="Y3836" s="52">
        <f>IF(P3836="","",IFERROR(INDEX(catGrupo,MATCH(D3836&amp;"|"&amp;E3836,catClave,0))&amp;"",""))</f>
        <v/>
      </c>
      <c r="Z3836" s="52">
        <f>IF(P3836="","",WEEKDAY(B3836,2))</f>
        <v/>
      </c>
      <c r="AA3836" s="52">
        <f>IF(P3836="","",IF(AND(P3836="Gasto",X3836="Variable",D3836&lt;&gt;catTrading,S3836&gt;0,S3836&lt;=Umbral),1,0))</f>
        <v/>
      </c>
      <c r="AB3836" s="52">
        <f>IF(OR(P3836="",Q3836=""),"",IFERROR(IF(INDEX(ctaVinc,MATCH(Q3836,ctaNombre,0))&amp;""&lt;&gt;"",INDEX(ctaVinc,MATCH(Q3836,ctaNombre,0))&amp;"",Q3836),Q3836))</f>
        <v/>
      </c>
      <c r="AC3836" s="52">
        <f>IF(OR(K3836="",AND(P3836&lt;&gt;"Transferencia",P3836&lt;&gt;"Pago tarjeta")),"",IFERROR(IF(INDEX(ctaVinc,MATCH(K3836,ctaNombre,0))&amp;""&lt;&gt;"",INDEX(ctaVinc,MATCH(K3836,ctaNombre,0))&amp;"",K3836),K3836))</f>
        <v/>
      </c>
      <c r="AD3836" s="52">
        <f>IF(AB3836="","",IFERROR(INDEX(ctaTipo,MATCH(AB3836,ctaNombre,0))&amp;"",""))</f>
        <v/>
      </c>
      <c r="AE3836" s="52">
        <f>IF(AC3836="","",IFERROR(INDEX(ctaTipo,MATCH(AC3836,ctaNombre,0))&amp;"",""))</f>
        <v/>
      </c>
      <c r="AF3836" s="53">
        <f>IF(OR(P3836="",AB3836=""),"",IF(OR(P3836="Gasto",P3836="Transferencia",P3836="Pago tarjeta"),-1,1)*IF(IFERROR(INDEX(ctaMoneda,MATCH(AB3836,ctaNombre,0))&amp;"","DOP")="USD",T3836,S3836))</f>
        <v/>
      </c>
      <c r="AG3836" s="53">
        <f>IF(AC3836="","",IF(IFERROR(INDEX(ctaMoneda,MATCH(AC3836,ctaNombre,0))&amp;"","DOP")="USD",T3836,S3836))</f>
        <v/>
      </c>
      <c r="AH3836" s="53">
        <f>IF(P3836="","",IF(AND(AD3836&lt;&gt;"",COUNTIFS(tcTipo,AD3836,tcLiq,"Sí")&gt;0),IF(OR(P3836="Gasto",P3836="Transferencia",P3836="Pago tarjeta"),-1,1)*S3836,0)+IF(AND(AE3836&lt;&gt;"",COUNTIFS(tcTipo,AE3836,tcLiq,"Sí")&gt;0),S3836,0))</f>
        <v/>
      </c>
      <c r="AI3836" s="52">
        <f>IF(OR(L3836="",P3836=""),"",IF(COUNTIFS(L$6:L3836,L3836,P$6:P3836,"?*")=1,MAX(AI$5:AI3835)+1,""))</f>
        <v/>
      </c>
    </row>
    <row r="3837">
      <c r="B3837" s="47" t="n"/>
      <c r="C3837" s="48" t="n"/>
      <c r="D3837" s="48" t="n"/>
      <c r="E3837" s="48" t="n"/>
      <c r="F3837" s="48" t="n"/>
      <c r="G3837" s="49" t="n"/>
      <c r="H3837" s="48" t="n"/>
      <c r="I3837" s="50" t="n"/>
      <c r="J3837" s="48" t="n"/>
      <c r="K3837" s="48" t="n"/>
      <c r="L3837" s="48" t="n"/>
      <c r="M3837" s="48" t="n"/>
      <c r="N3837" s="48" t="n"/>
      <c r="O3837" s="51">
        <f>IF(AND(B3837="",G3837="",C3837="",D3837="",J3837=""),"",IF(B3837="","⚠ Falta fecha",IF(G3837="","⚠ Falta monto",IF(Q3837="","⚠ Falta cuenta",IF(ISNA(MATCH(Q3837,ctaNombre,0)),"⚠ Cuenta no registrada",IF(AND(OR(P3837="Gasto",P3837="Reembolso"),D3837=""),"⚠ Falta categoría",IF(AND(D3837&lt;&gt;"",E3837&lt;&gt;"",ISNA(MATCH(D3837&amp;"|"&amp;E3837,catClave,0))),"⚠ Subcategoría no corresponde",IF(AND(OR(P3837="Transferencia",P3837="Pago tarjeta"),K3837=""),"⚠ Falta cuenta destino",IF(AND(K3837&lt;&gt;"",P3837&lt;&gt;"Transferencia",P3837&lt;&gt;"Pago tarjeta"),"⚠ Destino solo aplica a transferencias",IF(AND(K3837&lt;&gt;"",K3837=Q3837),"⚠ Origen igual a destino",IF(AND(K3837&lt;&gt;"",ISNA(MATCH(K3837,ctaNombre,0))),"⚠ Destino no registrado",IF(AND(P3837="Pago tarjeta",AE3837&lt;&gt;"Tarjeta de crédito"),"⚠ El destino debe ser tarjeta de crédito",IF(AND(P3837="Gasto",E3837="Depósitos y retiros"),"⚠ Usa tipo Transferencia",IF(AND(P3837="Resultado trading",AD3837&lt;&gt;"Cuenta de trading"),"⚠ Usa una cuenta de trading",IF(AND(G3837&lt;=0,P3837&lt;&gt;"Ajuste",P3837&lt;&gt;"Resultado trading"),"⚠ El monto debe ser positivo","✓")))))))))))))))</f>
        <v/>
      </c>
      <c r="P3837" s="52">
        <f>IF(OR(B3837="",G3837=""),"",IF(C3837="","Gasto",C3837))</f>
        <v/>
      </c>
      <c r="Q3837" s="52">
        <f>IF(P3837="","",IF(J3837&lt;&gt;"",J3837,CuentaPred&amp;""))</f>
        <v/>
      </c>
      <c r="R3837" s="52">
        <f>IF(P3837="","",IF(ISNUMBER(I3837),I3837,TasaUSD))</f>
        <v/>
      </c>
      <c r="S3837" s="53">
        <f>IF(P3837="","",IF(H3837="USD",G3837*R3837,G3837))</f>
        <v/>
      </c>
      <c r="T3837" s="53">
        <f>IF(P3837="","",IF(H3837="USD",G3837,IF(R3837&gt;0,G3837/R3837,0)))</f>
        <v/>
      </c>
      <c r="U3837" s="53">
        <f>IF(P3837="","",IF(P3837="Gasto",S3837,IF(P3837="Reembolso",-S3837,0)))</f>
        <v/>
      </c>
      <c r="V3837" s="53">
        <f>IF(P3837="","",IF(P3837="Ingreso",S3837,0))</f>
        <v/>
      </c>
      <c r="W3837" s="53">
        <f>IF(P3837="","",IF(P3837="Resultado trading",S3837,0))</f>
        <v/>
      </c>
      <c r="X3837" s="52">
        <f>IF(OR(P3837="Gasto",P3837="Reembolso"),IF(M3837&lt;&gt;"",M3837,IFERROR(INDEX(catClasif,MATCH(D3837&amp;"|"&amp;E3837,catClave,0))&amp;"","Variable")),"")</f>
        <v/>
      </c>
      <c r="Y3837" s="52">
        <f>IF(P3837="","",IFERROR(INDEX(catGrupo,MATCH(D3837&amp;"|"&amp;E3837,catClave,0))&amp;"",""))</f>
        <v/>
      </c>
      <c r="Z3837" s="52">
        <f>IF(P3837="","",WEEKDAY(B3837,2))</f>
        <v/>
      </c>
      <c r="AA3837" s="52">
        <f>IF(P3837="","",IF(AND(P3837="Gasto",X3837="Variable",D3837&lt;&gt;catTrading,S3837&gt;0,S3837&lt;=Umbral),1,0))</f>
        <v/>
      </c>
      <c r="AB3837" s="52">
        <f>IF(OR(P3837="",Q3837=""),"",IFERROR(IF(INDEX(ctaVinc,MATCH(Q3837,ctaNombre,0))&amp;""&lt;&gt;"",INDEX(ctaVinc,MATCH(Q3837,ctaNombre,0))&amp;"",Q3837),Q3837))</f>
        <v/>
      </c>
      <c r="AC3837" s="52">
        <f>IF(OR(K3837="",AND(P3837&lt;&gt;"Transferencia",P3837&lt;&gt;"Pago tarjeta")),"",IFERROR(IF(INDEX(ctaVinc,MATCH(K3837,ctaNombre,0))&amp;""&lt;&gt;"",INDEX(ctaVinc,MATCH(K3837,ctaNombre,0))&amp;"",K3837),K3837))</f>
        <v/>
      </c>
      <c r="AD3837" s="52">
        <f>IF(AB3837="","",IFERROR(INDEX(ctaTipo,MATCH(AB3837,ctaNombre,0))&amp;"",""))</f>
        <v/>
      </c>
      <c r="AE3837" s="52">
        <f>IF(AC3837="","",IFERROR(INDEX(ctaTipo,MATCH(AC3837,ctaNombre,0))&amp;"",""))</f>
        <v/>
      </c>
      <c r="AF3837" s="53">
        <f>IF(OR(P3837="",AB3837=""),"",IF(OR(P3837="Gasto",P3837="Transferencia",P3837="Pago tarjeta"),-1,1)*IF(IFERROR(INDEX(ctaMoneda,MATCH(AB3837,ctaNombre,0))&amp;"","DOP")="USD",T3837,S3837))</f>
        <v/>
      </c>
      <c r="AG3837" s="53">
        <f>IF(AC3837="","",IF(IFERROR(INDEX(ctaMoneda,MATCH(AC3837,ctaNombre,0))&amp;"","DOP")="USD",T3837,S3837))</f>
        <v/>
      </c>
      <c r="AH3837" s="53">
        <f>IF(P3837="","",IF(AND(AD3837&lt;&gt;"",COUNTIFS(tcTipo,AD3837,tcLiq,"Sí")&gt;0),IF(OR(P3837="Gasto",P3837="Transferencia",P3837="Pago tarjeta"),-1,1)*S3837,0)+IF(AND(AE3837&lt;&gt;"",COUNTIFS(tcTipo,AE3837,tcLiq,"Sí")&gt;0),S3837,0))</f>
        <v/>
      </c>
      <c r="AI3837" s="52">
        <f>IF(OR(L3837="",P3837=""),"",IF(COUNTIFS(L$6:L3837,L3837,P$6:P3837,"?*")=1,MAX(AI$5:AI3836)+1,""))</f>
        <v/>
      </c>
    </row>
    <row r="3838">
      <c r="B3838" s="47" t="n"/>
      <c r="C3838" s="48" t="n"/>
      <c r="D3838" s="48" t="n"/>
      <c r="E3838" s="48" t="n"/>
      <c r="F3838" s="48" t="n"/>
      <c r="G3838" s="49" t="n"/>
      <c r="H3838" s="48" t="n"/>
      <c r="I3838" s="50" t="n"/>
      <c r="J3838" s="48" t="n"/>
      <c r="K3838" s="48" t="n"/>
      <c r="L3838" s="48" t="n"/>
      <c r="M3838" s="48" t="n"/>
      <c r="N3838" s="48" t="n"/>
      <c r="O3838" s="51">
        <f>IF(AND(B3838="",G3838="",C3838="",D3838="",J3838=""),"",IF(B3838="","⚠ Falta fecha",IF(G3838="","⚠ Falta monto",IF(Q3838="","⚠ Falta cuenta",IF(ISNA(MATCH(Q3838,ctaNombre,0)),"⚠ Cuenta no registrada",IF(AND(OR(P3838="Gasto",P3838="Reembolso"),D3838=""),"⚠ Falta categoría",IF(AND(D3838&lt;&gt;"",E3838&lt;&gt;"",ISNA(MATCH(D3838&amp;"|"&amp;E3838,catClave,0))),"⚠ Subcategoría no corresponde",IF(AND(OR(P3838="Transferencia",P3838="Pago tarjeta"),K3838=""),"⚠ Falta cuenta destino",IF(AND(K3838&lt;&gt;"",P3838&lt;&gt;"Transferencia",P3838&lt;&gt;"Pago tarjeta"),"⚠ Destino solo aplica a transferencias",IF(AND(K3838&lt;&gt;"",K3838=Q3838),"⚠ Origen igual a destino",IF(AND(K3838&lt;&gt;"",ISNA(MATCH(K3838,ctaNombre,0))),"⚠ Destino no registrado",IF(AND(P3838="Pago tarjeta",AE3838&lt;&gt;"Tarjeta de crédito"),"⚠ El destino debe ser tarjeta de crédito",IF(AND(P3838="Gasto",E3838="Depósitos y retiros"),"⚠ Usa tipo Transferencia",IF(AND(P3838="Resultado trading",AD3838&lt;&gt;"Cuenta de trading"),"⚠ Usa una cuenta de trading",IF(AND(G3838&lt;=0,P3838&lt;&gt;"Ajuste",P3838&lt;&gt;"Resultado trading"),"⚠ El monto debe ser positivo","✓")))))))))))))))</f>
        <v/>
      </c>
      <c r="P3838" s="52">
        <f>IF(OR(B3838="",G3838=""),"",IF(C3838="","Gasto",C3838))</f>
        <v/>
      </c>
      <c r="Q3838" s="52">
        <f>IF(P3838="","",IF(J3838&lt;&gt;"",J3838,CuentaPred&amp;""))</f>
        <v/>
      </c>
      <c r="R3838" s="52">
        <f>IF(P3838="","",IF(ISNUMBER(I3838),I3838,TasaUSD))</f>
        <v/>
      </c>
      <c r="S3838" s="53">
        <f>IF(P3838="","",IF(H3838="USD",G3838*R3838,G3838))</f>
        <v/>
      </c>
      <c r="T3838" s="53">
        <f>IF(P3838="","",IF(H3838="USD",G3838,IF(R3838&gt;0,G3838/R3838,0)))</f>
        <v/>
      </c>
      <c r="U3838" s="53">
        <f>IF(P3838="","",IF(P3838="Gasto",S3838,IF(P3838="Reembolso",-S3838,0)))</f>
        <v/>
      </c>
      <c r="V3838" s="53">
        <f>IF(P3838="","",IF(P3838="Ingreso",S3838,0))</f>
        <v/>
      </c>
      <c r="W3838" s="53">
        <f>IF(P3838="","",IF(P3838="Resultado trading",S3838,0))</f>
        <v/>
      </c>
      <c r="X3838" s="52">
        <f>IF(OR(P3838="Gasto",P3838="Reembolso"),IF(M3838&lt;&gt;"",M3838,IFERROR(INDEX(catClasif,MATCH(D3838&amp;"|"&amp;E3838,catClave,0))&amp;"","Variable")),"")</f>
        <v/>
      </c>
      <c r="Y3838" s="52">
        <f>IF(P3838="","",IFERROR(INDEX(catGrupo,MATCH(D3838&amp;"|"&amp;E3838,catClave,0))&amp;"",""))</f>
        <v/>
      </c>
      <c r="Z3838" s="52">
        <f>IF(P3838="","",WEEKDAY(B3838,2))</f>
        <v/>
      </c>
      <c r="AA3838" s="52">
        <f>IF(P3838="","",IF(AND(P3838="Gasto",X3838="Variable",D3838&lt;&gt;catTrading,S3838&gt;0,S3838&lt;=Umbral),1,0))</f>
        <v/>
      </c>
      <c r="AB3838" s="52">
        <f>IF(OR(P3838="",Q3838=""),"",IFERROR(IF(INDEX(ctaVinc,MATCH(Q3838,ctaNombre,0))&amp;""&lt;&gt;"",INDEX(ctaVinc,MATCH(Q3838,ctaNombre,0))&amp;"",Q3838),Q3838))</f>
        <v/>
      </c>
      <c r="AC3838" s="52">
        <f>IF(OR(K3838="",AND(P3838&lt;&gt;"Transferencia",P3838&lt;&gt;"Pago tarjeta")),"",IFERROR(IF(INDEX(ctaVinc,MATCH(K3838,ctaNombre,0))&amp;""&lt;&gt;"",INDEX(ctaVinc,MATCH(K3838,ctaNombre,0))&amp;"",K3838),K3838))</f>
        <v/>
      </c>
      <c r="AD3838" s="52">
        <f>IF(AB3838="","",IFERROR(INDEX(ctaTipo,MATCH(AB3838,ctaNombre,0))&amp;"",""))</f>
        <v/>
      </c>
      <c r="AE3838" s="52">
        <f>IF(AC3838="","",IFERROR(INDEX(ctaTipo,MATCH(AC3838,ctaNombre,0))&amp;"",""))</f>
        <v/>
      </c>
      <c r="AF3838" s="53">
        <f>IF(OR(P3838="",AB3838=""),"",IF(OR(P3838="Gasto",P3838="Transferencia",P3838="Pago tarjeta"),-1,1)*IF(IFERROR(INDEX(ctaMoneda,MATCH(AB3838,ctaNombre,0))&amp;"","DOP")="USD",T3838,S3838))</f>
        <v/>
      </c>
      <c r="AG3838" s="53">
        <f>IF(AC3838="","",IF(IFERROR(INDEX(ctaMoneda,MATCH(AC3838,ctaNombre,0))&amp;"","DOP")="USD",T3838,S3838))</f>
        <v/>
      </c>
      <c r="AH3838" s="53">
        <f>IF(P3838="","",IF(AND(AD3838&lt;&gt;"",COUNTIFS(tcTipo,AD3838,tcLiq,"Sí")&gt;0),IF(OR(P3838="Gasto",P3838="Transferencia",P3838="Pago tarjeta"),-1,1)*S3838,0)+IF(AND(AE3838&lt;&gt;"",COUNTIFS(tcTipo,AE3838,tcLiq,"Sí")&gt;0),S3838,0))</f>
        <v/>
      </c>
      <c r="AI3838" s="52">
        <f>IF(OR(L3838="",P3838=""),"",IF(COUNTIFS(L$6:L3838,L3838,P$6:P3838,"?*")=1,MAX(AI$5:AI3837)+1,""))</f>
        <v/>
      </c>
    </row>
    <row r="3839">
      <c r="B3839" s="47" t="n"/>
      <c r="C3839" s="48" t="n"/>
      <c r="D3839" s="48" t="n"/>
      <c r="E3839" s="48" t="n"/>
      <c r="F3839" s="48" t="n"/>
      <c r="G3839" s="49" t="n"/>
      <c r="H3839" s="48" t="n"/>
      <c r="I3839" s="50" t="n"/>
      <c r="J3839" s="48" t="n"/>
      <c r="K3839" s="48" t="n"/>
      <c r="L3839" s="48" t="n"/>
      <c r="M3839" s="48" t="n"/>
      <c r="N3839" s="48" t="n"/>
      <c r="O3839" s="51">
        <f>IF(AND(B3839="",G3839="",C3839="",D3839="",J3839=""),"",IF(B3839="","⚠ Falta fecha",IF(G3839="","⚠ Falta monto",IF(Q3839="","⚠ Falta cuenta",IF(ISNA(MATCH(Q3839,ctaNombre,0)),"⚠ Cuenta no registrada",IF(AND(OR(P3839="Gasto",P3839="Reembolso"),D3839=""),"⚠ Falta categoría",IF(AND(D3839&lt;&gt;"",E3839&lt;&gt;"",ISNA(MATCH(D3839&amp;"|"&amp;E3839,catClave,0))),"⚠ Subcategoría no corresponde",IF(AND(OR(P3839="Transferencia",P3839="Pago tarjeta"),K3839=""),"⚠ Falta cuenta destino",IF(AND(K3839&lt;&gt;"",P3839&lt;&gt;"Transferencia",P3839&lt;&gt;"Pago tarjeta"),"⚠ Destino solo aplica a transferencias",IF(AND(K3839&lt;&gt;"",K3839=Q3839),"⚠ Origen igual a destino",IF(AND(K3839&lt;&gt;"",ISNA(MATCH(K3839,ctaNombre,0))),"⚠ Destino no registrado",IF(AND(P3839="Pago tarjeta",AE3839&lt;&gt;"Tarjeta de crédito"),"⚠ El destino debe ser tarjeta de crédito",IF(AND(P3839="Gasto",E3839="Depósitos y retiros"),"⚠ Usa tipo Transferencia",IF(AND(P3839="Resultado trading",AD3839&lt;&gt;"Cuenta de trading"),"⚠ Usa una cuenta de trading",IF(AND(G3839&lt;=0,P3839&lt;&gt;"Ajuste",P3839&lt;&gt;"Resultado trading"),"⚠ El monto debe ser positivo","✓")))))))))))))))</f>
        <v/>
      </c>
      <c r="P3839" s="52">
        <f>IF(OR(B3839="",G3839=""),"",IF(C3839="","Gasto",C3839))</f>
        <v/>
      </c>
      <c r="Q3839" s="52">
        <f>IF(P3839="","",IF(J3839&lt;&gt;"",J3839,CuentaPred&amp;""))</f>
        <v/>
      </c>
      <c r="R3839" s="52">
        <f>IF(P3839="","",IF(ISNUMBER(I3839),I3839,TasaUSD))</f>
        <v/>
      </c>
      <c r="S3839" s="53">
        <f>IF(P3839="","",IF(H3839="USD",G3839*R3839,G3839))</f>
        <v/>
      </c>
      <c r="T3839" s="53">
        <f>IF(P3839="","",IF(H3839="USD",G3839,IF(R3839&gt;0,G3839/R3839,0)))</f>
        <v/>
      </c>
      <c r="U3839" s="53">
        <f>IF(P3839="","",IF(P3839="Gasto",S3839,IF(P3839="Reembolso",-S3839,0)))</f>
        <v/>
      </c>
      <c r="V3839" s="53">
        <f>IF(P3839="","",IF(P3839="Ingreso",S3839,0))</f>
        <v/>
      </c>
      <c r="W3839" s="53">
        <f>IF(P3839="","",IF(P3839="Resultado trading",S3839,0))</f>
        <v/>
      </c>
      <c r="X3839" s="52">
        <f>IF(OR(P3839="Gasto",P3839="Reembolso"),IF(M3839&lt;&gt;"",M3839,IFERROR(INDEX(catClasif,MATCH(D3839&amp;"|"&amp;E3839,catClave,0))&amp;"","Variable")),"")</f>
        <v/>
      </c>
      <c r="Y3839" s="52">
        <f>IF(P3839="","",IFERROR(INDEX(catGrupo,MATCH(D3839&amp;"|"&amp;E3839,catClave,0))&amp;"",""))</f>
        <v/>
      </c>
      <c r="Z3839" s="52">
        <f>IF(P3839="","",WEEKDAY(B3839,2))</f>
        <v/>
      </c>
      <c r="AA3839" s="52">
        <f>IF(P3839="","",IF(AND(P3839="Gasto",X3839="Variable",D3839&lt;&gt;catTrading,S3839&gt;0,S3839&lt;=Umbral),1,0))</f>
        <v/>
      </c>
      <c r="AB3839" s="52">
        <f>IF(OR(P3839="",Q3839=""),"",IFERROR(IF(INDEX(ctaVinc,MATCH(Q3839,ctaNombre,0))&amp;""&lt;&gt;"",INDEX(ctaVinc,MATCH(Q3839,ctaNombre,0))&amp;"",Q3839),Q3839))</f>
        <v/>
      </c>
      <c r="AC3839" s="52">
        <f>IF(OR(K3839="",AND(P3839&lt;&gt;"Transferencia",P3839&lt;&gt;"Pago tarjeta")),"",IFERROR(IF(INDEX(ctaVinc,MATCH(K3839,ctaNombre,0))&amp;""&lt;&gt;"",INDEX(ctaVinc,MATCH(K3839,ctaNombre,0))&amp;"",K3839),K3839))</f>
        <v/>
      </c>
      <c r="AD3839" s="52">
        <f>IF(AB3839="","",IFERROR(INDEX(ctaTipo,MATCH(AB3839,ctaNombre,0))&amp;"",""))</f>
        <v/>
      </c>
      <c r="AE3839" s="52">
        <f>IF(AC3839="","",IFERROR(INDEX(ctaTipo,MATCH(AC3839,ctaNombre,0))&amp;"",""))</f>
        <v/>
      </c>
      <c r="AF3839" s="53">
        <f>IF(OR(P3839="",AB3839=""),"",IF(OR(P3839="Gasto",P3839="Transferencia",P3839="Pago tarjeta"),-1,1)*IF(IFERROR(INDEX(ctaMoneda,MATCH(AB3839,ctaNombre,0))&amp;"","DOP")="USD",T3839,S3839))</f>
        <v/>
      </c>
      <c r="AG3839" s="53">
        <f>IF(AC3839="","",IF(IFERROR(INDEX(ctaMoneda,MATCH(AC3839,ctaNombre,0))&amp;"","DOP")="USD",T3839,S3839))</f>
        <v/>
      </c>
      <c r="AH3839" s="53">
        <f>IF(P3839="","",IF(AND(AD3839&lt;&gt;"",COUNTIFS(tcTipo,AD3839,tcLiq,"Sí")&gt;0),IF(OR(P3839="Gasto",P3839="Transferencia",P3839="Pago tarjeta"),-1,1)*S3839,0)+IF(AND(AE3839&lt;&gt;"",COUNTIFS(tcTipo,AE3839,tcLiq,"Sí")&gt;0),S3839,0))</f>
        <v/>
      </c>
      <c r="AI3839" s="52">
        <f>IF(OR(L3839="",P3839=""),"",IF(COUNTIFS(L$6:L3839,L3839,P$6:P3839,"?*")=1,MAX(AI$5:AI3838)+1,""))</f>
        <v/>
      </c>
    </row>
    <row r="3840">
      <c r="B3840" s="47" t="n"/>
      <c r="C3840" s="48" t="n"/>
      <c r="D3840" s="48" t="n"/>
      <c r="E3840" s="48" t="n"/>
      <c r="F3840" s="48" t="n"/>
      <c r="G3840" s="49" t="n"/>
      <c r="H3840" s="48" t="n"/>
      <c r="I3840" s="50" t="n"/>
      <c r="J3840" s="48" t="n"/>
      <c r="K3840" s="48" t="n"/>
      <c r="L3840" s="48" t="n"/>
      <c r="M3840" s="48" t="n"/>
      <c r="N3840" s="48" t="n"/>
      <c r="O3840" s="51">
        <f>IF(AND(B3840="",G3840="",C3840="",D3840="",J3840=""),"",IF(B3840="","⚠ Falta fecha",IF(G3840="","⚠ Falta monto",IF(Q3840="","⚠ Falta cuenta",IF(ISNA(MATCH(Q3840,ctaNombre,0)),"⚠ Cuenta no registrada",IF(AND(OR(P3840="Gasto",P3840="Reembolso"),D3840=""),"⚠ Falta categoría",IF(AND(D3840&lt;&gt;"",E3840&lt;&gt;"",ISNA(MATCH(D3840&amp;"|"&amp;E3840,catClave,0))),"⚠ Subcategoría no corresponde",IF(AND(OR(P3840="Transferencia",P3840="Pago tarjeta"),K3840=""),"⚠ Falta cuenta destino",IF(AND(K3840&lt;&gt;"",P3840&lt;&gt;"Transferencia",P3840&lt;&gt;"Pago tarjeta"),"⚠ Destino solo aplica a transferencias",IF(AND(K3840&lt;&gt;"",K3840=Q3840),"⚠ Origen igual a destino",IF(AND(K3840&lt;&gt;"",ISNA(MATCH(K3840,ctaNombre,0))),"⚠ Destino no registrado",IF(AND(P3840="Pago tarjeta",AE3840&lt;&gt;"Tarjeta de crédito"),"⚠ El destino debe ser tarjeta de crédito",IF(AND(P3840="Gasto",E3840="Depósitos y retiros"),"⚠ Usa tipo Transferencia",IF(AND(P3840="Resultado trading",AD3840&lt;&gt;"Cuenta de trading"),"⚠ Usa una cuenta de trading",IF(AND(G3840&lt;=0,P3840&lt;&gt;"Ajuste",P3840&lt;&gt;"Resultado trading"),"⚠ El monto debe ser positivo","✓")))))))))))))))</f>
        <v/>
      </c>
      <c r="P3840" s="52">
        <f>IF(OR(B3840="",G3840=""),"",IF(C3840="","Gasto",C3840))</f>
        <v/>
      </c>
      <c r="Q3840" s="52">
        <f>IF(P3840="","",IF(J3840&lt;&gt;"",J3840,CuentaPred&amp;""))</f>
        <v/>
      </c>
      <c r="R3840" s="52">
        <f>IF(P3840="","",IF(ISNUMBER(I3840),I3840,TasaUSD))</f>
        <v/>
      </c>
      <c r="S3840" s="53">
        <f>IF(P3840="","",IF(H3840="USD",G3840*R3840,G3840))</f>
        <v/>
      </c>
      <c r="T3840" s="53">
        <f>IF(P3840="","",IF(H3840="USD",G3840,IF(R3840&gt;0,G3840/R3840,0)))</f>
        <v/>
      </c>
      <c r="U3840" s="53">
        <f>IF(P3840="","",IF(P3840="Gasto",S3840,IF(P3840="Reembolso",-S3840,0)))</f>
        <v/>
      </c>
      <c r="V3840" s="53">
        <f>IF(P3840="","",IF(P3840="Ingreso",S3840,0))</f>
        <v/>
      </c>
      <c r="W3840" s="53">
        <f>IF(P3840="","",IF(P3840="Resultado trading",S3840,0))</f>
        <v/>
      </c>
      <c r="X3840" s="52">
        <f>IF(OR(P3840="Gasto",P3840="Reembolso"),IF(M3840&lt;&gt;"",M3840,IFERROR(INDEX(catClasif,MATCH(D3840&amp;"|"&amp;E3840,catClave,0))&amp;"","Variable")),"")</f>
        <v/>
      </c>
      <c r="Y3840" s="52">
        <f>IF(P3840="","",IFERROR(INDEX(catGrupo,MATCH(D3840&amp;"|"&amp;E3840,catClave,0))&amp;"",""))</f>
        <v/>
      </c>
      <c r="Z3840" s="52">
        <f>IF(P3840="","",WEEKDAY(B3840,2))</f>
        <v/>
      </c>
      <c r="AA3840" s="52">
        <f>IF(P3840="","",IF(AND(P3840="Gasto",X3840="Variable",D3840&lt;&gt;catTrading,S3840&gt;0,S3840&lt;=Umbral),1,0))</f>
        <v/>
      </c>
      <c r="AB3840" s="52">
        <f>IF(OR(P3840="",Q3840=""),"",IFERROR(IF(INDEX(ctaVinc,MATCH(Q3840,ctaNombre,0))&amp;""&lt;&gt;"",INDEX(ctaVinc,MATCH(Q3840,ctaNombre,0))&amp;"",Q3840),Q3840))</f>
        <v/>
      </c>
      <c r="AC3840" s="52">
        <f>IF(OR(K3840="",AND(P3840&lt;&gt;"Transferencia",P3840&lt;&gt;"Pago tarjeta")),"",IFERROR(IF(INDEX(ctaVinc,MATCH(K3840,ctaNombre,0))&amp;""&lt;&gt;"",INDEX(ctaVinc,MATCH(K3840,ctaNombre,0))&amp;"",K3840),K3840))</f>
        <v/>
      </c>
      <c r="AD3840" s="52">
        <f>IF(AB3840="","",IFERROR(INDEX(ctaTipo,MATCH(AB3840,ctaNombre,0))&amp;"",""))</f>
        <v/>
      </c>
      <c r="AE3840" s="52">
        <f>IF(AC3840="","",IFERROR(INDEX(ctaTipo,MATCH(AC3840,ctaNombre,0))&amp;"",""))</f>
        <v/>
      </c>
      <c r="AF3840" s="53">
        <f>IF(OR(P3840="",AB3840=""),"",IF(OR(P3840="Gasto",P3840="Transferencia",P3840="Pago tarjeta"),-1,1)*IF(IFERROR(INDEX(ctaMoneda,MATCH(AB3840,ctaNombre,0))&amp;"","DOP")="USD",T3840,S3840))</f>
        <v/>
      </c>
      <c r="AG3840" s="53">
        <f>IF(AC3840="","",IF(IFERROR(INDEX(ctaMoneda,MATCH(AC3840,ctaNombre,0))&amp;"","DOP")="USD",T3840,S3840))</f>
        <v/>
      </c>
      <c r="AH3840" s="53">
        <f>IF(P3840="","",IF(AND(AD3840&lt;&gt;"",COUNTIFS(tcTipo,AD3840,tcLiq,"Sí")&gt;0),IF(OR(P3840="Gasto",P3840="Transferencia",P3840="Pago tarjeta"),-1,1)*S3840,0)+IF(AND(AE3840&lt;&gt;"",COUNTIFS(tcTipo,AE3840,tcLiq,"Sí")&gt;0),S3840,0))</f>
        <v/>
      </c>
      <c r="AI3840" s="52">
        <f>IF(OR(L3840="",P3840=""),"",IF(COUNTIFS(L$6:L3840,L3840,P$6:P3840,"?*")=1,MAX(AI$5:AI3839)+1,""))</f>
        <v/>
      </c>
    </row>
    <row r="3841">
      <c r="B3841" s="47" t="n"/>
      <c r="C3841" s="48" t="n"/>
      <c r="D3841" s="48" t="n"/>
      <c r="E3841" s="48" t="n"/>
      <c r="F3841" s="48" t="n"/>
      <c r="G3841" s="49" t="n"/>
      <c r="H3841" s="48" t="n"/>
      <c r="I3841" s="50" t="n"/>
      <c r="J3841" s="48" t="n"/>
      <c r="K3841" s="48" t="n"/>
      <c r="L3841" s="48" t="n"/>
      <c r="M3841" s="48" t="n"/>
      <c r="N3841" s="48" t="n"/>
      <c r="O3841" s="51">
        <f>IF(AND(B3841="",G3841="",C3841="",D3841="",J3841=""),"",IF(B3841="","⚠ Falta fecha",IF(G3841="","⚠ Falta monto",IF(Q3841="","⚠ Falta cuenta",IF(ISNA(MATCH(Q3841,ctaNombre,0)),"⚠ Cuenta no registrada",IF(AND(OR(P3841="Gasto",P3841="Reembolso"),D3841=""),"⚠ Falta categoría",IF(AND(D3841&lt;&gt;"",E3841&lt;&gt;"",ISNA(MATCH(D3841&amp;"|"&amp;E3841,catClave,0))),"⚠ Subcategoría no corresponde",IF(AND(OR(P3841="Transferencia",P3841="Pago tarjeta"),K3841=""),"⚠ Falta cuenta destino",IF(AND(K3841&lt;&gt;"",P3841&lt;&gt;"Transferencia",P3841&lt;&gt;"Pago tarjeta"),"⚠ Destino solo aplica a transferencias",IF(AND(K3841&lt;&gt;"",K3841=Q3841),"⚠ Origen igual a destino",IF(AND(K3841&lt;&gt;"",ISNA(MATCH(K3841,ctaNombre,0))),"⚠ Destino no registrado",IF(AND(P3841="Pago tarjeta",AE3841&lt;&gt;"Tarjeta de crédito"),"⚠ El destino debe ser tarjeta de crédito",IF(AND(P3841="Gasto",E3841="Depósitos y retiros"),"⚠ Usa tipo Transferencia",IF(AND(P3841="Resultado trading",AD3841&lt;&gt;"Cuenta de trading"),"⚠ Usa una cuenta de trading",IF(AND(G3841&lt;=0,P3841&lt;&gt;"Ajuste",P3841&lt;&gt;"Resultado trading"),"⚠ El monto debe ser positivo","✓")))))))))))))))</f>
        <v/>
      </c>
      <c r="P3841" s="52">
        <f>IF(OR(B3841="",G3841=""),"",IF(C3841="","Gasto",C3841))</f>
        <v/>
      </c>
      <c r="Q3841" s="52">
        <f>IF(P3841="","",IF(J3841&lt;&gt;"",J3841,CuentaPred&amp;""))</f>
        <v/>
      </c>
      <c r="R3841" s="52">
        <f>IF(P3841="","",IF(ISNUMBER(I3841),I3841,TasaUSD))</f>
        <v/>
      </c>
      <c r="S3841" s="53">
        <f>IF(P3841="","",IF(H3841="USD",G3841*R3841,G3841))</f>
        <v/>
      </c>
      <c r="T3841" s="53">
        <f>IF(P3841="","",IF(H3841="USD",G3841,IF(R3841&gt;0,G3841/R3841,0)))</f>
        <v/>
      </c>
      <c r="U3841" s="53">
        <f>IF(P3841="","",IF(P3841="Gasto",S3841,IF(P3841="Reembolso",-S3841,0)))</f>
        <v/>
      </c>
      <c r="V3841" s="53">
        <f>IF(P3841="","",IF(P3841="Ingreso",S3841,0))</f>
        <v/>
      </c>
      <c r="W3841" s="53">
        <f>IF(P3841="","",IF(P3841="Resultado trading",S3841,0))</f>
        <v/>
      </c>
      <c r="X3841" s="52">
        <f>IF(OR(P3841="Gasto",P3841="Reembolso"),IF(M3841&lt;&gt;"",M3841,IFERROR(INDEX(catClasif,MATCH(D3841&amp;"|"&amp;E3841,catClave,0))&amp;"","Variable")),"")</f>
        <v/>
      </c>
      <c r="Y3841" s="52">
        <f>IF(P3841="","",IFERROR(INDEX(catGrupo,MATCH(D3841&amp;"|"&amp;E3841,catClave,0))&amp;"",""))</f>
        <v/>
      </c>
      <c r="Z3841" s="52">
        <f>IF(P3841="","",WEEKDAY(B3841,2))</f>
        <v/>
      </c>
      <c r="AA3841" s="52">
        <f>IF(P3841="","",IF(AND(P3841="Gasto",X3841="Variable",D3841&lt;&gt;catTrading,S3841&gt;0,S3841&lt;=Umbral),1,0))</f>
        <v/>
      </c>
      <c r="AB3841" s="52">
        <f>IF(OR(P3841="",Q3841=""),"",IFERROR(IF(INDEX(ctaVinc,MATCH(Q3841,ctaNombre,0))&amp;""&lt;&gt;"",INDEX(ctaVinc,MATCH(Q3841,ctaNombre,0))&amp;"",Q3841),Q3841))</f>
        <v/>
      </c>
      <c r="AC3841" s="52">
        <f>IF(OR(K3841="",AND(P3841&lt;&gt;"Transferencia",P3841&lt;&gt;"Pago tarjeta")),"",IFERROR(IF(INDEX(ctaVinc,MATCH(K3841,ctaNombre,0))&amp;""&lt;&gt;"",INDEX(ctaVinc,MATCH(K3841,ctaNombre,0))&amp;"",K3841),K3841))</f>
        <v/>
      </c>
      <c r="AD3841" s="52">
        <f>IF(AB3841="","",IFERROR(INDEX(ctaTipo,MATCH(AB3841,ctaNombre,0))&amp;"",""))</f>
        <v/>
      </c>
      <c r="AE3841" s="52">
        <f>IF(AC3841="","",IFERROR(INDEX(ctaTipo,MATCH(AC3841,ctaNombre,0))&amp;"",""))</f>
        <v/>
      </c>
      <c r="AF3841" s="53">
        <f>IF(OR(P3841="",AB3841=""),"",IF(OR(P3841="Gasto",P3841="Transferencia",P3841="Pago tarjeta"),-1,1)*IF(IFERROR(INDEX(ctaMoneda,MATCH(AB3841,ctaNombre,0))&amp;"","DOP")="USD",T3841,S3841))</f>
        <v/>
      </c>
      <c r="AG3841" s="53">
        <f>IF(AC3841="","",IF(IFERROR(INDEX(ctaMoneda,MATCH(AC3841,ctaNombre,0))&amp;"","DOP")="USD",T3841,S3841))</f>
        <v/>
      </c>
      <c r="AH3841" s="53">
        <f>IF(P3841="","",IF(AND(AD3841&lt;&gt;"",COUNTIFS(tcTipo,AD3841,tcLiq,"Sí")&gt;0),IF(OR(P3841="Gasto",P3841="Transferencia",P3841="Pago tarjeta"),-1,1)*S3841,0)+IF(AND(AE3841&lt;&gt;"",COUNTIFS(tcTipo,AE3841,tcLiq,"Sí")&gt;0),S3841,0))</f>
        <v/>
      </c>
      <c r="AI3841" s="52">
        <f>IF(OR(L3841="",P3841=""),"",IF(COUNTIFS(L$6:L3841,L3841,P$6:P3841,"?*")=1,MAX(AI$5:AI3840)+1,""))</f>
        <v/>
      </c>
    </row>
    <row r="3842">
      <c r="B3842" s="47" t="n"/>
      <c r="C3842" s="48" t="n"/>
      <c r="D3842" s="48" t="n"/>
      <c r="E3842" s="48" t="n"/>
      <c r="F3842" s="48" t="n"/>
      <c r="G3842" s="49" t="n"/>
      <c r="H3842" s="48" t="n"/>
      <c r="I3842" s="50" t="n"/>
      <c r="J3842" s="48" t="n"/>
      <c r="K3842" s="48" t="n"/>
      <c r="L3842" s="48" t="n"/>
      <c r="M3842" s="48" t="n"/>
      <c r="N3842" s="48" t="n"/>
      <c r="O3842" s="51">
        <f>IF(AND(B3842="",G3842="",C3842="",D3842="",J3842=""),"",IF(B3842="","⚠ Falta fecha",IF(G3842="","⚠ Falta monto",IF(Q3842="","⚠ Falta cuenta",IF(ISNA(MATCH(Q3842,ctaNombre,0)),"⚠ Cuenta no registrada",IF(AND(OR(P3842="Gasto",P3842="Reembolso"),D3842=""),"⚠ Falta categoría",IF(AND(D3842&lt;&gt;"",E3842&lt;&gt;"",ISNA(MATCH(D3842&amp;"|"&amp;E3842,catClave,0))),"⚠ Subcategoría no corresponde",IF(AND(OR(P3842="Transferencia",P3842="Pago tarjeta"),K3842=""),"⚠ Falta cuenta destino",IF(AND(K3842&lt;&gt;"",P3842&lt;&gt;"Transferencia",P3842&lt;&gt;"Pago tarjeta"),"⚠ Destino solo aplica a transferencias",IF(AND(K3842&lt;&gt;"",K3842=Q3842),"⚠ Origen igual a destino",IF(AND(K3842&lt;&gt;"",ISNA(MATCH(K3842,ctaNombre,0))),"⚠ Destino no registrado",IF(AND(P3842="Pago tarjeta",AE3842&lt;&gt;"Tarjeta de crédito"),"⚠ El destino debe ser tarjeta de crédito",IF(AND(P3842="Gasto",E3842="Depósitos y retiros"),"⚠ Usa tipo Transferencia",IF(AND(P3842="Resultado trading",AD3842&lt;&gt;"Cuenta de trading"),"⚠ Usa una cuenta de trading",IF(AND(G3842&lt;=0,P3842&lt;&gt;"Ajuste",P3842&lt;&gt;"Resultado trading"),"⚠ El monto debe ser positivo","✓")))))))))))))))</f>
        <v/>
      </c>
      <c r="P3842" s="52">
        <f>IF(OR(B3842="",G3842=""),"",IF(C3842="","Gasto",C3842))</f>
        <v/>
      </c>
      <c r="Q3842" s="52">
        <f>IF(P3842="","",IF(J3842&lt;&gt;"",J3842,CuentaPred&amp;""))</f>
        <v/>
      </c>
      <c r="R3842" s="52">
        <f>IF(P3842="","",IF(ISNUMBER(I3842),I3842,TasaUSD))</f>
        <v/>
      </c>
      <c r="S3842" s="53">
        <f>IF(P3842="","",IF(H3842="USD",G3842*R3842,G3842))</f>
        <v/>
      </c>
      <c r="T3842" s="53">
        <f>IF(P3842="","",IF(H3842="USD",G3842,IF(R3842&gt;0,G3842/R3842,0)))</f>
        <v/>
      </c>
      <c r="U3842" s="53">
        <f>IF(P3842="","",IF(P3842="Gasto",S3842,IF(P3842="Reembolso",-S3842,0)))</f>
        <v/>
      </c>
      <c r="V3842" s="53">
        <f>IF(P3842="","",IF(P3842="Ingreso",S3842,0))</f>
        <v/>
      </c>
      <c r="W3842" s="53">
        <f>IF(P3842="","",IF(P3842="Resultado trading",S3842,0))</f>
        <v/>
      </c>
      <c r="X3842" s="52">
        <f>IF(OR(P3842="Gasto",P3842="Reembolso"),IF(M3842&lt;&gt;"",M3842,IFERROR(INDEX(catClasif,MATCH(D3842&amp;"|"&amp;E3842,catClave,0))&amp;"","Variable")),"")</f>
        <v/>
      </c>
      <c r="Y3842" s="52">
        <f>IF(P3842="","",IFERROR(INDEX(catGrupo,MATCH(D3842&amp;"|"&amp;E3842,catClave,0))&amp;"",""))</f>
        <v/>
      </c>
      <c r="Z3842" s="52">
        <f>IF(P3842="","",WEEKDAY(B3842,2))</f>
        <v/>
      </c>
      <c r="AA3842" s="52">
        <f>IF(P3842="","",IF(AND(P3842="Gasto",X3842="Variable",D3842&lt;&gt;catTrading,S3842&gt;0,S3842&lt;=Umbral),1,0))</f>
        <v/>
      </c>
      <c r="AB3842" s="52">
        <f>IF(OR(P3842="",Q3842=""),"",IFERROR(IF(INDEX(ctaVinc,MATCH(Q3842,ctaNombre,0))&amp;""&lt;&gt;"",INDEX(ctaVinc,MATCH(Q3842,ctaNombre,0))&amp;"",Q3842),Q3842))</f>
        <v/>
      </c>
      <c r="AC3842" s="52">
        <f>IF(OR(K3842="",AND(P3842&lt;&gt;"Transferencia",P3842&lt;&gt;"Pago tarjeta")),"",IFERROR(IF(INDEX(ctaVinc,MATCH(K3842,ctaNombre,0))&amp;""&lt;&gt;"",INDEX(ctaVinc,MATCH(K3842,ctaNombre,0))&amp;"",K3842),K3842))</f>
        <v/>
      </c>
      <c r="AD3842" s="52">
        <f>IF(AB3842="","",IFERROR(INDEX(ctaTipo,MATCH(AB3842,ctaNombre,0))&amp;"",""))</f>
        <v/>
      </c>
      <c r="AE3842" s="52">
        <f>IF(AC3842="","",IFERROR(INDEX(ctaTipo,MATCH(AC3842,ctaNombre,0))&amp;"",""))</f>
        <v/>
      </c>
      <c r="AF3842" s="53">
        <f>IF(OR(P3842="",AB3842=""),"",IF(OR(P3842="Gasto",P3842="Transferencia",P3842="Pago tarjeta"),-1,1)*IF(IFERROR(INDEX(ctaMoneda,MATCH(AB3842,ctaNombre,0))&amp;"","DOP")="USD",T3842,S3842))</f>
        <v/>
      </c>
      <c r="AG3842" s="53">
        <f>IF(AC3842="","",IF(IFERROR(INDEX(ctaMoneda,MATCH(AC3842,ctaNombre,0))&amp;"","DOP")="USD",T3842,S3842))</f>
        <v/>
      </c>
      <c r="AH3842" s="53">
        <f>IF(P3842="","",IF(AND(AD3842&lt;&gt;"",COUNTIFS(tcTipo,AD3842,tcLiq,"Sí")&gt;0),IF(OR(P3842="Gasto",P3842="Transferencia",P3842="Pago tarjeta"),-1,1)*S3842,0)+IF(AND(AE3842&lt;&gt;"",COUNTIFS(tcTipo,AE3842,tcLiq,"Sí")&gt;0),S3842,0))</f>
        <v/>
      </c>
      <c r="AI3842" s="52">
        <f>IF(OR(L3842="",P3842=""),"",IF(COUNTIFS(L$6:L3842,L3842,P$6:P3842,"?*")=1,MAX(AI$5:AI3841)+1,""))</f>
        <v/>
      </c>
    </row>
    <row r="3843">
      <c r="B3843" s="47" t="n"/>
      <c r="C3843" s="48" t="n"/>
      <c r="D3843" s="48" t="n"/>
      <c r="E3843" s="48" t="n"/>
      <c r="F3843" s="48" t="n"/>
      <c r="G3843" s="49" t="n"/>
      <c r="H3843" s="48" t="n"/>
      <c r="I3843" s="50" t="n"/>
      <c r="J3843" s="48" t="n"/>
      <c r="K3843" s="48" t="n"/>
      <c r="L3843" s="48" t="n"/>
      <c r="M3843" s="48" t="n"/>
      <c r="N3843" s="48" t="n"/>
      <c r="O3843" s="51">
        <f>IF(AND(B3843="",G3843="",C3843="",D3843="",J3843=""),"",IF(B3843="","⚠ Falta fecha",IF(G3843="","⚠ Falta monto",IF(Q3843="","⚠ Falta cuenta",IF(ISNA(MATCH(Q3843,ctaNombre,0)),"⚠ Cuenta no registrada",IF(AND(OR(P3843="Gasto",P3843="Reembolso"),D3843=""),"⚠ Falta categoría",IF(AND(D3843&lt;&gt;"",E3843&lt;&gt;"",ISNA(MATCH(D3843&amp;"|"&amp;E3843,catClave,0))),"⚠ Subcategoría no corresponde",IF(AND(OR(P3843="Transferencia",P3843="Pago tarjeta"),K3843=""),"⚠ Falta cuenta destino",IF(AND(K3843&lt;&gt;"",P3843&lt;&gt;"Transferencia",P3843&lt;&gt;"Pago tarjeta"),"⚠ Destino solo aplica a transferencias",IF(AND(K3843&lt;&gt;"",K3843=Q3843),"⚠ Origen igual a destino",IF(AND(K3843&lt;&gt;"",ISNA(MATCH(K3843,ctaNombre,0))),"⚠ Destino no registrado",IF(AND(P3843="Pago tarjeta",AE3843&lt;&gt;"Tarjeta de crédito"),"⚠ El destino debe ser tarjeta de crédito",IF(AND(P3843="Gasto",E3843="Depósitos y retiros"),"⚠ Usa tipo Transferencia",IF(AND(P3843="Resultado trading",AD3843&lt;&gt;"Cuenta de trading"),"⚠ Usa una cuenta de trading",IF(AND(G3843&lt;=0,P3843&lt;&gt;"Ajuste",P3843&lt;&gt;"Resultado trading"),"⚠ El monto debe ser positivo","✓")))))))))))))))</f>
        <v/>
      </c>
      <c r="P3843" s="52">
        <f>IF(OR(B3843="",G3843=""),"",IF(C3843="","Gasto",C3843))</f>
        <v/>
      </c>
      <c r="Q3843" s="52">
        <f>IF(P3843="","",IF(J3843&lt;&gt;"",J3843,CuentaPred&amp;""))</f>
        <v/>
      </c>
      <c r="R3843" s="52">
        <f>IF(P3843="","",IF(ISNUMBER(I3843),I3843,TasaUSD))</f>
        <v/>
      </c>
      <c r="S3843" s="53">
        <f>IF(P3843="","",IF(H3843="USD",G3843*R3843,G3843))</f>
        <v/>
      </c>
      <c r="T3843" s="53">
        <f>IF(P3843="","",IF(H3843="USD",G3843,IF(R3843&gt;0,G3843/R3843,0)))</f>
        <v/>
      </c>
      <c r="U3843" s="53">
        <f>IF(P3843="","",IF(P3843="Gasto",S3843,IF(P3843="Reembolso",-S3843,0)))</f>
        <v/>
      </c>
      <c r="V3843" s="53">
        <f>IF(P3843="","",IF(P3843="Ingreso",S3843,0))</f>
        <v/>
      </c>
      <c r="W3843" s="53">
        <f>IF(P3843="","",IF(P3843="Resultado trading",S3843,0))</f>
        <v/>
      </c>
      <c r="X3843" s="52">
        <f>IF(OR(P3843="Gasto",P3843="Reembolso"),IF(M3843&lt;&gt;"",M3843,IFERROR(INDEX(catClasif,MATCH(D3843&amp;"|"&amp;E3843,catClave,0))&amp;"","Variable")),"")</f>
        <v/>
      </c>
      <c r="Y3843" s="52">
        <f>IF(P3843="","",IFERROR(INDEX(catGrupo,MATCH(D3843&amp;"|"&amp;E3843,catClave,0))&amp;"",""))</f>
        <v/>
      </c>
      <c r="Z3843" s="52">
        <f>IF(P3843="","",WEEKDAY(B3843,2))</f>
        <v/>
      </c>
      <c r="AA3843" s="52">
        <f>IF(P3843="","",IF(AND(P3843="Gasto",X3843="Variable",D3843&lt;&gt;catTrading,S3843&gt;0,S3843&lt;=Umbral),1,0))</f>
        <v/>
      </c>
      <c r="AB3843" s="52">
        <f>IF(OR(P3843="",Q3843=""),"",IFERROR(IF(INDEX(ctaVinc,MATCH(Q3843,ctaNombre,0))&amp;""&lt;&gt;"",INDEX(ctaVinc,MATCH(Q3843,ctaNombre,0))&amp;"",Q3843),Q3843))</f>
        <v/>
      </c>
      <c r="AC3843" s="52">
        <f>IF(OR(K3843="",AND(P3843&lt;&gt;"Transferencia",P3843&lt;&gt;"Pago tarjeta")),"",IFERROR(IF(INDEX(ctaVinc,MATCH(K3843,ctaNombre,0))&amp;""&lt;&gt;"",INDEX(ctaVinc,MATCH(K3843,ctaNombre,0))&amp;"",K3843),K3843))</f>
        <v/>
      </c>
      <c r="AD3843" s="52">
        <f>IF(AB3843="","",IFERROR(INDEX(ctaTipo,MATCH(AB3843,ctaNombre,0))&amp;"",""))</f>
        <v/>
      </c>
      <c r="AE3843" s="52">
        <f>IF(AC3843="","",IFERROR(INDEX(ctaTipo,MATCH(AC3843,ctaNombre,0))&amp;"",""))</f>
        <v/>
      </c>
      <c r="AF3843" s="53">
        <f>IF(OR(P3843="",AB3843=""),"",IF(OR(P3843="Gasto",P3843="Transferencia",P3843="Pago tarjeta"),-1,1)*IF(IFERROR(INDEX(ctaMoneda,MATCH(AB3843,ctaNombre,0))&amp;"","DOP")="USD",T3843,S3843))</f>
        <v/>
      </c>
      <c r="AG3843" s="53">
        <f>IF(AC3843="","",IF(IFERROR(INDEX(ctaMoneda,MATCH(AC3843,ctaNombre,0))&amp;"","DOP")="USD",T3843,S3843))</f>
        <v/>
      </c>
      <c r="AH3843" s="53">
        <f>IF(P3843="","",IF(AND(AD3843&lt;&gt;"",COUNTIFS(tcTipo,AD3843,tcLiq,"Sí")&gt;0),IF(OR(P3843="Gasto",P3843="Transferencia",P3843="Pago tarjeta"),-1,1)*S3843,0)+IF(AND(AE3843&lt;&gt;"",COUNTIFS(tcTipo,AE3843,tcLiq,"Sí")&gt;0),S3843,0))</f>
        <v/>
      </c>
      <c r="AI3843" s="52">
        <f>IF(OR(L3843="",P3843=""),"",IF(COUNTIFS(L$6:L3843,L3843,P$6:P3843,"?*")=1,MAX(AI$5:AI3842)+1,""))</f>
        <v/>
      </c>
    </row>
    <row r="3844">
      <c r="B3844" s="47" t="n"/>
      <c r="C3844" s="48" t="n"/>
      <c r="D3844" s="48" t="n"/>
      <c r="E3844" s="48" t="n"/>
      <c r="F3844" s="48" t="n"/>
      <c r="G3844" s="49" t="n"/>
      <c r="H3844" s="48" t="n"/>
      <c r="I3844" s="50" t="n"/>
      <c r="J3844" s="48" t="n"/>
      <c r="K3844" s="48" t="n"/>
      <c r="L3844" s="48" t="n"/>
      <c r="M3844" s="48" t="n"/>
      <c r="N3844" s="48" t="n"/>
      <c r="O3844" s="51">
        <f>IF(AND(B3844="",G3844="",C3844="",D3844="",J3844=""),"",IF(B3844="","⚠ Falta fecha",IF(G3844="","⚠ Falta monto",IF(Q3844="","⚠ Falta cuenta",IF(ISNA(MATCH(Q3844,ctaNombre,0)),"⚠ Cuenta no registrada",IF(AND(OR(P3844="Gasto",P3844="Reembolso"),D3844=""),"⚠ Falta categoría",IF(AND(D3844&lt;&gt;"",E3844&lt;&gt;"",ISNA(MATCH(D3844&amp;"|"&amp;E3844,catClave,0))),"⚠ Subcategoría no corresponde",IF(AND(OR(P3844="Transferencia",P3844="Pago tarjeta"),K3844=""),"⚠ Falta cuenta destino",IF(AND(K3844&lt;&gt;"",P3844&lt;&gt;"Transferencia",P3844&lt;&gt;"Pago tarjeta"),"⚠ Destino solo aplica a transferencias",IF(AND(K3844&lt;&gt;"",K3844=Q3844),"⚠ Origen igual a destino",IF(AND(K3844&lt;&gt;"",ISNA(MATCH(K3844,ctaNombre,0))),"⚠ Destino no registrado",IF(AND(P3844="Pago tarjeta",AE3844&lt;&gt;"Tarjeta de crédito"),"⚠ El destino debe ser tarjeta de crédito",IF(AND(P3844="Gasto",E3844="Depósitos y retiros"),"⚠ Usa tipo Transferencia",IF(AND(P3844="Resultado trading",AD3844&lt;&gt;"Cuenta de trading"),"⚠ Usa una cuenta de trading",IF(AND(G3844&lt;=0,P3844&lt;&gt;"Ajuste",P3844&lt;&gt;"Resultado trading"),"⚠ El monto debe ser positivo","✓")))))))))))))))</f>
        <v/>
      </c>
      <c r="P3844" s="52">
        <f>IF(OR(B3844="",G3844=""),"",IF(C3844="","Gasto",C3844))</f>
        <v/>
      </c>
      <c r="Q3844" s="52">
        <f>IF(P3844="","",IF(J3844&lt;&gt;"",J3844,CuentaPred&amp;""))</f>
        <v/>
      </c>
      <c r="R3844" s="52">
        <f>IF(P3844="","",IF(ISNUMBER(I3844),I3844,TasaUSD))</f>
        <v/>
      </c>
      <c r="S3844" s="53">
        <f>IF(P3844="","",IF(H3844="USD",G3844*R3844,G3844))</f>
        <v/>
      </c>
      <c r="T3844" s="53">
        <f>IF(P3844="","",IF(H3844="USD",G3844,IF(R3844&gt;0,G3844/R3844,0)))</f>
        <v/>
      </c>
      <c r="U3844" s="53">
        <f>IF(P3844="","",IF(P3844="Gasto",S3844,IF(P3844="Reembolso",-S3844,0)))</f>
        <v/>
      </c>
      <c r="V3844" s="53">
        <f>IF(P3844="","",IF(P3844="Ingreso",S3844,0))</f>
        <v/>
      </c>
      <c r="W3844" s="53">
        <f>IF(P3844="","",IF(P3844="Resultado trading",S3844,0))</f>
        <v/>
      </c>
      <c r="X3844" s="52">
        <f>IF(OR(P3844="Gasto",P3844="Reembolso"),IF(M3844&lt;&gt;"",M3844,IFERROR(INDEX(catClasif,MATCH(D3844&amp;"|"&amp;E3844,catClave,0))&amp;"","Variable")),"")</f>
        <v/>
      </c>
      <c r="Y3844" s="52">
        <f>IF(P3844="","",IFERROR(INDEX(catGrupo,MATCH(D3844&amp;"|"&amp;E3844,catClave,0))&amp;"",""))</f>
        <v/>
      </c>
      <c r="Z3844" s="52">
        <f>IF(P3844="","",WEEKDAY(B3844,2))</f>
        <v/>
      </c>
      <c r="AA3844" s="52">
        <f>IF(P3844="","",IF(AND(P3844="Gasto",X3844="Variable",D3844&lt;&gt;catTrading,S3844&gt;0,S3844&lt;=Umbral),1,0))</f>
        <v/>
      </c>
      <c r="AB3844" s="52">
        <f>IF(OR(P3844="",Q3844=""),"",IFERROR(IF(INDEX(ctaVinc,MATCH(Q3844,ctaNombre,0))&amp;""&lt;&gt;"",INDEX(ctaVinc,MATCH(Q3844,ctaNombre,0))&amp;"",Q3844),Q3844))</f>
        <v/>
      </c>
      <c r="AC3844" s="52">
        <f>IF(OR(K3844="",AND(P3844&lt;&gt;"Transferencia",P3844&lt;&gt;"Pago tarjeta")),"",IFERROR(IF(INDEX(ctaVinc,MATCH(K3844,ctaNombre,0))&amp;""&lt;&gt;"",INDEX(ctaVinc,MATCH(K3844,ctaNombre,0))&amp;"",K3844),K3844))</f>
        <v/>
      </c>
      <c r="AD3844" s="52">
        <f>IF(AB3844="","",IFERROR(INDEX(ctaTipo,MATCH(AB3844,ctaNombre,0))&amp;"",""))</f>
        <v/>
      </c>
      <c r="AE3844" s="52">
        <f>IF(AC3844="","",IFERROR(INDEX(ctaTipo,MATCH(AC3844,ctaNombre,0))&amp;"",""))</f>
        <v/>
      </c>
      <c r="AF3844" s="53">
        <f>IF(OR(P3844="",AB3844=""),"",IF(OR(P3844="Gasto",P3844="Transferencia",P3844="Pago tarjeta"),-1,1)*IF(IFERROR(INDEX(ctaMoneda,MATCH(AB3844,ctaNombre,0))&amp;"","DOP")="USD",T3844,S3844))</f>
        <v/>
      </c>
      <c r="AG3844" s="53">
        <f>IF(AC3844="","",IF(IFERROR(INDEX(ctaMoneda,MATCH(AC3844,ctaNombre,0))&amp;"","DOP")="USD",T3844,S3844))</f>
        <v/>
      </c>
      <c r="AH3844" s="53">
        <f>IF(P3844="","",IF(AND(AD3844&lt;&gt;"",COUNTIFS(tcTipo,AD3844,tcLiq,"Sí")&gt;0),IF(OR(P3844="Gasto",P3844="Transferencia",P3844="Pago tarjeta"),-1,1)*S3844,0)+IF(AND(AE3844&lt;&gt;"",COUNTIFS(tcTipo,AE3844,tcLiq,"Sí")&gt;0),S3844,0))</f>
        <v/>
      </c>
      <c r="AI3844" s="52">
        <f>IF(OR(L3844="",P3844=""),"",IF(COUNTIFS(L$6:L3844,L3844,P$6:P3844,"?*")=1,MAX(AI$5:AI3843)+1,""))</f>
        <v/>
      </c>
    </row>
    <row r="3845">
      <c r="B3845" s="47" t="n"/>
      <c r="C3845" s="48" t="n"/>
      <c r="D3845" s="48" t="n"/>
      <c r="E3845" s="48" t="n"/>
      <c r="F3845" s="48" t="n"/>
      <c r="G3845" s="49" t="n"/>
      <c r="H3845" s="48" t="n"/>
      <c r="I3845" s="50" t="n"/>
      <c r="J3845" s="48" t="n"/>
      <c r="K3845" s="48" t="n"/>
      <c r="L3845" s="48" t="n"/>
      <c r="M3845" s="48" t="n"/>
      <c r="N3845" s="48" t="n"/>
      <c r="O3845" s="51">
        <f>IF(AND(B3845="",G3845="",C3845="",D3845="",J3845=""),"",IF(B3845="","⚠ Falta fecha",IF(G3845="","⚠ Falta monto",IF(Q3845="","⚠ Falta cuenta",IF(ISNA(MATCH(Q3845,ctaNombre,0)),"⚠ Cuenta no registrada",IF(AND(OR(P3845="Gasto",P3845="Reembolso"),D3845=""),"⚠ Falta categoría",IF(AND(D3845&lt;&gt;"",E3845&lt;&gt;"",ISNA(MATCH(D3845&amp;"|"&amp;E3845,catClave,0))),"⚠ Subcategoría no corresponde",IF(AND(OR(P3845="Transferencia",P3845="Pago tarjeta"),K3845=""),"⚠ Falta cuenta destino",IF(AND(K3845&lt;&gt;"",P3845&lt;&gt;"Transferencia",P3845&lt;&gt;"Pago tarjeta"),"⚠ Destino solo aplica a transferencias",IF(AND(K3845&lt;&gt;"",K3845=Q3845),"⚠ Origen igual a destino",IF(AND(K3845&lt;&gt;"",ISNA(MATCH(K3845,ctaNombre,0))),"⚠ Destino no registrado",IF(AND(P3845="Pago tarjeta",AE3845&lt;&gt;"Tarjeta de crédito"),"⚠ El destino debe ser tarjeta de crédito",IF(AND(P3845="Gasto",E3845="Depósitos y retiros"),"⚠ Usa tipo Transferencia",IF(AND(P3845="Resultado trading",AD3845&lt;&gt;"Cuenta de trading"),"⚠ Usa una cuenta de trading",IF(AND(G3845&lt;=0,P3845&lt;&gt;"Ajuste",P3845&lt;&gt;"Resultado trading"),"⚠ El monto debe ser positivo","✓")))))))))))))))</f>
        <v/>
      </c>
      <c r="P3845" s="52">
        <f>IF(OR(B3845="",G3845=""),"",IF(C3845="","Gasto",C3845))</f>
        <v/>
      </c>
      <c r="Q3845" s="52">
        <f>IF(P3845="","",IF(J3845&lt;&gt;"",J3845,CuentaPred&amp;""))</f>
        <v/>
      </c>
      <c r="R3845" s="52">
        <f>IF(P3845="","",IF(ISNUMBER(I3845),I3845,TasaUSD))</f>
        <v/>
      </c>
      <c r="S3845" s="53">
        <f>IF(P3845="","",IF(H3845="USD",G3845*R3845,G3845))</f>
        <v/>
      </c>
      <c r="T3845" s="53">
        <f>IF(P3845="","",IF(H3845="USD",G3845,IF(R3845&gt;0,G3845/R3845,0)))</f>
        <v/>
      </c>
      <c r="U3845" s="53">
        <f>IF(P3845="","",IF(P3845="Gasto",S3845,IF(P3845="Reembolso",-S3845,0)))</f>
        <v/>
      </c>
      <c r="V3845" s="53">
        <f>IF(P3845="","",IF(P3845="Ingreso",S3845,0))</f>
        <v/>
      </c>
      <c r="W3845" s="53">
        <f>IF(P3845="","",IF(P3845="Resultado trading",S3845,0))</f>
        <v/>
      </c>
      <c r="X3845" s="52">
        <f>IF(OR(P3845="Gasto",P3845="Reembolso"),IF(M3845&lt;&gt;"",M3845,IFERROR(INDEX(catClasif,MATCH(D3845&amp;"|"&amp;E3845,catClave,0))&amp;"","Variable")),"")</f>
        <v/>
      </c>
      <c r="Y3845" s="52">
        <f>IF(P3845="","",IFERROR(INDEX(catGrupo,MATCH(D3845&amp;"|"&amp;E3845,catClave,0))&amp;"",""))</f>
        <v/>
      </c>
      <c r="Z3845" s="52">
        <f>IF(P3845="","",WEEKDAY(B3845,2))</f>
        <v/>
      </c>
      <c r="AA3845" s="52">
        <f>IF(P3845="","",IF(AND(P3845="Gasto",X3845="Variable",D3845&lt;&gt;catTrading,S3845&gt;0,S3845&lt;=Umbral),1,0))</f>
        <v/>
      </c>
      <c r="AB3845" s="52">
        <f>IF(OR(P3845="",Q3845=""),"",IFERROR(IF(INDEX(ctaVinc,MATCH(Q3845,ctaNombre,0))&amp;""&lt;&gt;"",INDEX(ctaVinc,MATCH(Q3845,ctaNombre,0))&amp;"",Q3845),Q3845))</f>
        <v/>
      </c>
      <c r="AC3845" s="52">
        <f>IF(OR(K3845="",AND(P3845&lt;&gt;"Transferencia",P3845&lt;&gt;"Pago tarjeta")),"",IFERROR(IF(INDEX(ctaVinc,MATCH(K3845,ctaNombre,0))&amp;""&lt;&gt;"",INDEX(ctaVinc,MATCH(K3845,ctaNombre,0))&amp;"",K3845),K3845))</f>
        <v/>
      </c>
      <c r="AD3845" s="52">
        <f>IF(AB3845="","",IFERROR(INDEX(ctaTipo,MATCH(AB3845,ctaNombre,0))&amp;"",""))</f>
        <v/>
      </c>
      <c r="AE3845" s="52">
        <f>IF(AC3845="","",IFERROR(INDEX(ctaTipo,MATCH(AC3845,ctaNombre,0))&amp;"",""))</f>
        <v/>
      </c>
      <c r="AF3845" s="53">
        <f>IF(OR(P3845="",AB3845=""),"",IF(OR(P3845="Gasto",P3845="Transferencia",P3845="Pago tarjeta"),-1,1)*IF(IFERROR(INDEX(ctaMoneda,MATCH(AB3845,ctaNombre,0))&amp;"","DOP")="USD",T3845,S3845))</f>
        <v/>
      </c>
      <c r="AG3845" s="53">
        <f>IF(AC3845="","",IF(IFERROR(INDEX(ctaMoneda,MATCH(AC3845,ctaNombre,0))&amp;"","DOP")="USD",T3845,S3845))</f>
        <v/>
      </c>
      <c r="AH3845" s="53">
        <f>IF(P3845="","",IF(AND(AD3845&lt;&gt;"",COUNTIFS(tcTipo,AD3845,tcLiq,"Sí")&gt;0),IF(OR(P3845="Gasto",P3845="Transferencia",P3845="Pago tarjeta"),-1,1)*S3845,0)+IF(AND(AE3845&lt;&gt;"",COUNTIFS(tcTipo,AE3845,tcLiq,"Sí")&gt;0),S3845,0))</f>
        <v/>
      </c>
      <c r="AI3845" s="52">
        <f>IF(OR(L3845="",P3845=""),"",IF(COUNTIFS(L$6:L3845,L3845,P$6:P3845,"?*")=1,MAX(AI$5:AI3844)+1,""))</f>
        <v/>
      </c>
    </row>
    <row r="3846">
      <c r="B3846" s="47" t="n"/>
      <c r="C3846" s="48" t="n"/>
      <c r="D3846" s="48" t="n"/>
      <c r="E3846" s="48" t="n"/>
      <c r="F3846" s="48" t="n"/>
      <c r="G3846" s="49" t="n"/>
      <c r="H3846" s="48" t="n"/>
      <c r="I3846" s="50" t="n"/>
      <c r="J3846" s="48" t="n"/>
      <c r="K3846" s="48" t="n"/>
      <c r="L3846" s="48" t="n"/>
      <c r="M3846" s="48" t="n"/>
      <c r="N3846" s="48" t="n"/>
      <c r="O3846" s="51">
        <f>IF(AND(B3846="",G3846="",C3846="",D3846="",J3846=""),"",IF(B3846="","⚠ Falta fecha",IF(G3846="","⚠ Falta monto",IF(Q3846="","⚠ Falta cuenta",IF(ISNA(MATCH(Q3846,ctaNombre,0)),"⚠ Cuenta no registrada",IF(AND(OR(P3846="Gasto",P3846="Reembolso"),D3846=""),"⚠ Falta categoría",IF(AND(D3846&lt;&gt;"",E3846&lt;&gt;"",ISNA(MATCH(D3846&amp;"|"&amp;E3846,catClave,0))),"⚠ Subcategoría no corresponde",IF(AND(OR(P3846="Transferencia",P3846="Pago tarjeta"),K3846=""),"⚠ Falta cuenta destino",IF(AND(K3846&lt;&gt;"",P3846&lt;&gt;"Transferencia",P3846&lt;&gt;"Pago tarjeta"),"⚠ Destino solo aplica a transferencias",IF(AND(K3846&lt;&gt;"",K3846=Q3846),"⚠ Origen igual a destino",IF(AND(K3846&lt;&gt;"",ISNA(MATCH(K3846,ctaNombre,0))),"⚠ Destino no registrado",IF(AND(P3846="Pago tarjeta",AE3846&lt;&gt;"Tarjeta de crédito"),"⚠ El destino debe ser tarjeta de crédito",IF(AND(P3846="Gasto",E3846="Depósitos y retiros"),"⚠ Usa tipo Transferencia",IF(AND(P3846="Resultado trading",AD3846&lt;&gt;"Cuenta de trading"),"⚠ Usa una cuenta de trading",IF(AND(G3846&lt;=0,P3846&lt;&gt;"Ajuste",P3846&lt;&gt;"Resultado trading"),"⚠ El monto debe ser positivo","✓")))))))))))))))</f>
        <v/>
      </c>
      <c r="P3846" s="52">
        <f>IF(OR(B3846="",G3846=""),"",IF(C3846="","Gasto",C3846))</f>
        <v/>
      </c>
      <c r="Q3846" s="52">
        <f>IF(P3846="","",IF(J3846&lt;&gt;"",J3846,CuentaPred&amp;""))</f>
        <v/>
      </c>
      <c r="R3846" s="52">
        <f>IF(P3846="","",IF(ISNUMBER(I3846),I3846,TasaUSD))</f>
        <v/>
      </c>
      <c r="S3846" s="53">
        <f>IF(P3846="","",IF(H3846="USD",G3846*R3846,G3846))</f>
        <v/>
      </c>
      <c r="T3846" s="53">
        <f>IF(P3846="","",IF(H3846="USD",G3846,IF(R3846&gt;0,G3846/R3846,0)))</f>
        <v/>
      </c>
      <c r="U3846" s="53">
        <f>IF(P3846="","",IF(P3846="Gasto",S3846,IF(P3846="Reembolso",-S3846,0)))</f>
        <v/>
      </c>
      <c r="V3846" s="53">
        <f>IF(P3846="","",IF(P3846="Ingreso",S3846,0))</f>
        <v/>
      </c>
      <c r="W3846" s="53">
        <f>IF(P3846="","",IF(P3846="Resultado trading",S3846,0))</f>
        <v/>
      </c>
      <c r="X3846" s="52">
        <f>IF(OR(P3846="Gasto",P3846="Reembolso"),IF(M3846&lt;&gt;"",M3846,IFERROR(INDEX(catClasif,MATCH(D3846&amp;"|"&amp;E3846,catClave,0))&amp;"","Variable")),"")</f>
        <v/>
      </c>
      <c r="Y3846" s="52">
        <f>IF(P3846="","",IFERROR(INDEX(catGrupo,MATCH(D3846&amp;"|"&amp;E3846,catClave,0))&amp;"",""))</f>
        <v/>
      </c>
      <c r="Z3846" s="52">
        <f>IF(P3846="","",WEEKDAY(B3846,2))</f>
        <v/>
      </c>
      <c r="AA3846" s="52">
        <f>IF(P3846="","",IF(AND(P3846="Gasto",X3846="Variable",D3846&lt;&gt;catTrading,S3846&gt;0,S3846&lt;=Umbral),1,0))</f>
        <v/>
      </c>
      <c r="AB3846" s="52">
        <f>IF(OR(P3846="",Q3846=""),"",IFERROR(IF(INDEX(ctaVinc,MATCH(Q3846,ctaNombre,0))&amp;""&lt;&gt;"",INDEX(ctaVinc,MATCH(Q3846,ctaNombre,0))&amp;"",Q3846),Q3846))</f>
        <v/>
      </c>
      <c r="AC3846" s="52">
        <f>IF(OR(K3846="",AND(P3846&lt;&gt;"Transferencia",P3846&lt;&gt;"Pago tarjeta")),"",IFERROR(IF(INDEX(ctaVinc,MATCH(K3846,ctaNombre,0))&amp;""&lt;&gt;"",INDEX(ctaVinc,MATCH(K3846,ctaNombre,0))&amp;"",K3846),K3846))</f>
        <v/>
      </c>
      <c r="AD3846" s="52">
        <f>IF(AB3846="","",IFERROR(INDEX(ctaTipo,MATCH(AB3846,ctaNombre,0))&amp;"",""))</f>
        <v/>
      </c>
      <c r="AE3846" s="52">
        <f>IF(AC3846="","",IFERROR(INDEX(ctaTipo,MATCH(AC3846,ctaNombre,0))&amp;"",""))</f>
        <v/>
      </c>
      <c r="AF3846" s="53">
        <f>IF(OR(P3846="",AB3846=""),"",IF(OR(P3846="Gasto",P3846="Transferencia",P3846="Pago tarjeta"),-1,1)*IF(IFERROR(INDEX(ctaMoneda,MATCH(AB3846,ctaNombre,0))&amp;"","DOP")="USD",T3846,S3846))</f>
        <v/>
      </c>
      <c r="AG3846" s="53">
        <f>IF(AC3846="","",IF(IFERROR(INDEX(ctaMoneda,MATCH(AC3846,ctaNombre,0))&amp;"","DOP")="USD",T3846,S3846))</f>
        <v/>
      </c>
      <c r="AH3846" s="53">
        <f>IF(P3846="","",IF(AND(AD3846&lt;&gt;"",COUNTIFS(tcTipo,AD3846,tcLiq,"Sí")&gt;0),IF(OR(P3846="Gasto",P3846="Transferencia",P3846="Pago tarjeta"),-1,1)*S3846,0)+IF(AND(AE3846&lt;&gt;"",COUNTIFS(tcTipo,AE3846,tcLiq,"Sí")&gt;0),S3846,0))</f>
        <v/>
      </c>
      <c r="AI3846" s="52">
        <f>IF(OR(L3846="",P3846=""),"",IF(COUNTIFS(L$6:L3846,L3846,P$6:P3846,"?*")=1,MAX(AI$5:AI3845)+1,""))</f>
        <v/>
      </c>
    </row>
    <row r="3847">
      <c r="B3847" s="47" t="n"/>
      <c r="C3847" s="48" t="n"/>
      <c r="D3847" s="48" t="n"/>
      <c r="E3847" s="48" t="n"/>
      <c r="F3847" s="48" t="n"/>
      <c r="G3847" s="49" t="n"/>
      <c r="H3847" s="48" t="n"/>
      <c r="I3847" s="50" t="n"/>
      <c r="J3847" s="48" t="n"/>
      <c r="K3847" s="48" t="n"/>
      <c r="L3847" s="48" t="n"/>
      <c r="M3847" s="48" t="n"/>
      <c r="N3847" s="48" t="n"/>
      <c r="O3847" s="51">
        <f>IF(AND(B3847="",G3847="",C3847="",D3847="",J3847=""),"",IF(B3847="","⚠ Falta fecha",IF(G3847="","⚠ Falta monto",IF(Q3847="","⚠ Falta cuenta",IF(ISNA(MATCH(Q3847,ctaNombre,0)),"⚠ Cuenta no registrada",IF(AND(OR(P3847="Gasto",P3847="Reembolso"),D3847=""),"⚠ Falta categoría",IF(AND(D3847&lt;&gt;"",E3847&lt;&gt;"",ISNA(MATCH(D3847&amp;"|"&amp;E3847,catClave,0))),"⚠ Subcategoría no corresponde",IF(AND(OR(P3847="Transferencia",P3847="Pago tarjeta"),K3847=""),"⚠ Falta cuenta destino",IF(AND(K3847&lt;&gt;"",P3847&lt;&gt;"Transferencia",P3847&lt;&gt;"Pago tarjeta"),"⚠ Destino solo aplica a transferencias",IF(AND(K3847&lt;&gt;"",K3847=Q3847),"⚠ Origen igual a destino",IF(AND(K3847&lt;&gt;"",ISNA(MATCH(K3847,ctaNombre,0))),"⚠ Destino no registrado",IF(AND(P3847="Pago tarjeta",AE3847&lt;&gt;"Tarjeta de crédito"),"⚠ El destino debe ser tarjeta de crédito",IF(AND(P3847="Gasto",E3847="Depósitos y retiros"),"⚠ Usa tipo Transferencia",IF(AND(P3847="Resultado trading",AD3847&lt;&gt;"Cuenta de trading"),"⚠ Usa una cuenta de trading",IF(AND(G3847&lt;=0,P3847&lt;&gt;"Ajuste",P3847&lt;&gt;"Resultado trading"),"⚠ El monto debe ser positivo","✓")))))))))))))))</f>
        <v/>
      </c>
      <c r="P3847" s="52">
        <f>IF(OR(B3847="",G3847=""),"",IF(C3847="","Gasto",C3847))</f>
        <v/>
      </c>
      <c r="Q3847" s="52">
        <f>IF(P3847="","",IF(J3847&lt;&gt;"",J3847,CuentaPred&amp;""))</f>
        <v/>
      </c>
      <c r="R3847" s="52">
        <f>IF(P3847="","",IF(ISNUMBER(I3847),I3847,TasaUSD))</f>
        <v/>
      </c>
      <c r="S3847" s="53">
        <f>IF(P3847="","",IF(H3847="USD",G3847*R3847,G3847))</f>
        <v/>
      </c>
      <c r="T3847" s="53">
        <f>IF(P3847="","",IF(H3847="USD",G3847,IF(R3847&gt;0,G3847/R3847,0)))</f>
        <v/>
      </c>
      <c r="U3847" s="53">
        <f>IF(P3847="","",IF(P3847="Gasto",S3847,IF(P3847="Reembolso",-S3847,0)))</f>
        <v/>
      </c>
      <c r="V3847" s="53">
        <f>IF(P3847="","",IF(P3847="Ingreso",S3847,0))</f>
        <v/>
      </c>
      <c r="W3847" s="53">
        <f>IF(P3847="","",IF(P3847="Resultado trading",S3847,0))</f>
        <v/>
      </c>
      <c r="X3847" s="52">
        <f>IF(OR(P3847="Gasto",P3847="Reembolso"),IF(M3847&lt;&gt;"",M3847,IFERROR(INDEX(catClasif,MATCH(D3847&amp;"|"&amp;E3847,catClave,0))&amp;"","Variable")),"")</f>
        <v/>
      </c>
      <c r="Y3847" s="52">
        <f>IF(P3847="","",IFERROR(INDEX(catGrupo,MATCH(D3847&amp;"|"&amp;E3847,catClave,0))&amp;"",""))</f>
        <v/>
      </c>
      <c r="Z3847" s="52">
        <f>IF(P3847="","",WEEKDAY(B3847,2))</f>
        <v/>
      </c>
      <c r="AA3847" s="52">
        <f>IF(P3847="","",IF(AND(P3847="Gasto",X3847="Variable",D3847&lt;&gt;catTrading,S3847&gt;0,S3847&lt;=Umbral),1,0))</f>
        <v/>
      </c>
      <c r="AB3847" s="52">
        <f>IF(OR(P3847="",Q3847=""),"",IFERROR(IF(INDEX(ctaVinc,MATCH(Q3847,ctaNombre,0))&amp;""&lt;&gt;"",INDEX(ctaVinc,MATCH(Q3847,ctaNombre,0))&amp;"",Q3847),Q3847))</f>
        <v/>
      </c>
      <c r="AC3847" s="52">
        <f>IF(OR(K3847="",AND(P3847&lt;&gt;"Transferencia",P3847&lt;&gt;"Pago tarjeta")),"",IFERROR(IF(INDEX(ctaVinc,MATCH(K3847,ctaNombre,0))&amp;""&lt;&gt;"",INDEX(ctaVinc,MATCH(K3847,ctaNombre,0))&amp;"",K3847),K3847))</f>
        <v/>
      </c>
      <c r="AD3847" s="52">
        <f>IF(AB3847="","",IFERROR(INDEX(ctaTipo,MATCH(AB3847,ctaNombre,0))&amp;"",""))</f>
        <v/>
      </c>
      <c r="AE3847" s="52">
        <f>IF(AC3847="","",IFERROR(INDEX(ctaTipo,MATCH(AC3847,ctaNombre,0))&amp;"",""))</f>
        <v/>
      </c>
      <c r="AF3847" s="53">
        <f>IF(OR(P3847="",AB3847=""),"",IF(OR(P3847="Gasto",P3847="Transferencia",P3847="Pago tarjeta"),-1,1)*IF(IFERROR(INDEX(ctaMoneda,MATCH(AB3847,ctaNombre,0))&amp;"","DOP")="USD",T3847,S3847))</f>
        <v/>
      </c>
      <c r="AG3847" s="53">
        <f>IF(AC3847="","",IF(IFERROR(INDEX(ctaMoneda,MATCH(AC3847,ctaNombre,0))&amp;"","DOP")="USD",T3847,S3847))</f>
        <v/>
      </c>
      <c r="AH3847" s="53">
        <f>IF(P3847="","",IF(AND(AD3847&lt;&gt;"",COUNTIFS(tcTipo,AD3847,tcLiq,"Sí")&gt;0),IF(OR(P3847="Gasto",P3847="Transferencia",P3847="Pago tarjeta"),-1,1)*S3847,0)+IF(AND(AE3847&lt;&gt;"",COUNTIFS(tcTipo,AE3847,tcLiq,"Sí")&gt;0),S3847,0))</f>
        <v/>
      </c>
      <c r="AI3847" s="52">
        <f>IF(OR(L3847="",P3847=""),"",IF(COUNTIFS(L$6:L3847,L3847,P$6:P3847,"?*")=1,MAX(AI$5:AI3846)+1,""))</f>
        <v/>
      </c>
    </row>
    <row r="3848">
      <c r="B3848" s="47" t="n"/>
      <c r="C3848" s="48" t="n"/>
      <c r="D3848" s="48" t="n"/>
      <c r="E3848" s="48" t="n"/>
      <c r="F3848" s="48" t="n"/>
      <c r="G3848" s="49" t="n"/>
      <c r="H3848" s="48" t="n"/>
      <c r="I3848" s="50" t="n"/>
      <c r="J3848" s="48" t="n"/>
      <c r="K3848" s="48" t="n"/>
      <c r="L3848" s="48" t="n"/>
      <c r="M3848" s="48" t="n"/>
      <c r="N3848" s="48" t="n"/>
      <c r="O3848" s="51">
        <f>IF(AND(B3848="",G3848="",C3848="",D3848="",J3848=""),"",IF(B3848="","⚠ Falta fecha",IF(G3848="","⚠ Falta monto",IF(Q3848="","⚠ Falta cuenta",IF(ISNA(MATCH(Q3848,ctaNombre,0)),"⚠ Cuenta no registrada",IF(AND(OR(P3848="Gasto",P3848="Reembolso"),D3848=""),"⚠ Falta categoría",IF(AND(D3848&lt;&gt;"",E3848&lt;&gt;"",ISNA(MATCH(D3848&amp;"|"&amp;E3848,catClave,0))),"⚠ Subcategoría no corresponde",IF(AND(OR(P3848="Transferencia",P3848="Pago tarjeta"),K3848=""),"⚠ Falta cuenta destino",IF(AND(K3848&lt;&gt;"",P3848&lt;&gt;"Transferencia",P3848&lt;&gt;"Pago tarjeta"),"⚠ Destino solo aplica a transferencias",IF(AND(K3848&lt;&gt;"",K3848=Q3848),"⚠ Origen igual a destino",IF(AND(K3848&lt;&gt;"",ISNA(MATCH(K3848,ctaNombre,0))),"⚠ Destino no registrado",IF(AND(P3848="Pago tarjeta",AE3848&lt;&gt;"Tarjeta de crédito"),"⚠ El destino debe ser tarjeta de crédito",IF(AND(P3848="Gasto",E3848="Depósitos y retiros"),"⚠ Usa tipo Transferencia",IF(AND(P3848="Resultado trading",AD3848&lt;&gt;"Cuenta de trading"),"⚠ Usa una cuenta de trading",IF(AND(G3848&lt;=0,P3848&lt;&gt;"Ajuste",P3848&lt;&gt;"Resultado trading"),"⚠ El monto debe ser positivo","✓")))))))))))))))</f>
        <v/>
      </c>
      <c r="P3848" s="52">
        <f>IF(OR(B3848="",G3848=""),"",IF(C3848="","Gasto",C3848))</f>
        <v/>
      </c>
      <c r="Q3848" s="52">
        <f>IF(P3848="","",IF(J3848&lt;&gt;"",J3848,CuentaPred&amp;""))</f>
        <v/>
      </c>
      <c r="R3848" s="52">
        <f>IF(P3848="","",IF(ISNUMBER(I3848),I3848,TasaUSD))</f>
        <v/>
      </c>
      <c r="S3848" s="53">
        <f>IF(P3848="","",IF(H3848="USD",G3848*R3848,G3848))</f>
        <v/>
      </c>
      <c r="T3848" s="53">
        <f>IF(P3848="","",IF(H3848="USD",G3848,IF(R3848&gt;0,G3848/R3848,0)))</f>
        <v/>
      </c>
      <c r="U3848" s="53">
        <f>IF(P3848="","",IF(P3848="Gasto",S3848,IF(P3848="Reembolso",-S3848,0)))</f>
        <v/>
      </c>
      <c r="V3848" s="53">
        <f>IF(P3848="","",IF(P3848="Ingreso",S3848,0))</f>
        <v/>
      </c>
      <c r="W3848" s="53">
        <f>IF(P3848="","",IF(P3848="Resultado trading",S3848,0))</f>
        <v/>
      </c>
      <c r="X3848" s="52">
        <f>IF(OR(P3848="Gasto",P3848="Reembolso"),IF(M3848&lt;&gt;"",M3848,IFERROR(INDEX(catClasif,MATCH(D3848&amp;"|"&amp;E3848,catClave,0))&amp;"","Variable")),"")</f>
        <v/>
      </c>
      <c r="Y3848" s="52">
        <f>IF(P3848="","",IFERROR(INDEX(catGrupo,MATCH(D3848&amp;"|"&amp;E3848,catClave,0))&amp;"",""))</f>
        <v/>
      </c>
      <c r="Z3848" s="52">
        <f>IF(P3848="","",WEEKDAY(B3848,2))</f>
        <v/>
      </c>
      <c r="AA3848" s="52">
        <f>IF(P3848="","",IF(AND(P3848="Gasto",X3848="Variable",D3848&lt;&gt;catTrading,S3848&gt;0,S3848&lt;=Umbral),1,0))</f>
        <v/>
      </c>
      <c r="AB3848" s="52">
        <f>IF(OR(P3848="",Q3848=""),"",IFERROR(IF(INDEX(ctaVinc,MATCH(Q3848,ctaNombre,0))&amp;""&lt;&gt;"",INDEX(ctaVinc,MATCH(Q3848,ctaNombre,0))&amp;"",Q3848),Q3848))</f>
        <v/>
      </c>
      <c r="AC3848" s="52">
        <f>IF(OR(K3848="",AND(P3848&lt;&gt;"Transferencia",P3848&lt;&gt;"Pago tarjeta")),"",IFERROR(IF(INDEX(ctaVinc,MATCH(K3848,ctaNombre,0))&amp;""&lt;&gt;"",INDEX(ctaVinc,MATCH(K3848,ctaNombre,0))&amp;"",K3848),K3848))</f>
        <v/>
      </c>
      <c r="AD3848" s="52">
        <f>IF(AB3848="","",IFERROR(INDEX(ctaTipo,MATCH(AB3848,ctaNombre,0))&amp;"",""))</f>
        <v/>
      </c>
      <c r="AE3848" s="52">
        <f>IF(AC3848="","",IFERROR(INDEX(ctaTipo,MATCH(AC3848,ctaNombre,0))&amp;"",""))</f>
        <v/>
      </c>
      <c r="AF3848" s="53">
        <f>IF(OR(P3848="",AB3848=""),"",IF(OR(P3848="Gasto",P3848="Transferencia",P3848="Pago tarjeta"),-1,1)*IF(IFERROR(INDEX(ctaMoneda,MATCH(AB3848,ctaNombre,0))&amp;"","DOP")="USD",T3848,S3848))</f>
        <v/>
      </c>
      <c r="AG3848" s="53">
        <f>IF(AC3848="","",IF(IFERROR(INDEX(ctaMoneda,MATCH(AC3848,ctaNombre,0))&amp;"","DOP")="USD",T3848,S3848))</f>
        <v/>
      </c>
      <c r="AH3848" s="53">
        <f>IF(P3848="","",IF(AND(AD3848&lt;&gt;"",COUNTIFS(tcTipo,AD3848,tcLiq,"Sí")&gt;0),IF(OR(P3848="Gasto",P3848="Transferencia",P3848="Pago tarjeta"),-1,1)*S3848,0)+IF(AND(AE3848&lt;&gt;"",COUNTIFS(tcTipo,AE3848,tcLiq,"Sí")&gt;0),S3848,0))</f>
        <v/>
      </c>
      <c r="AI3848" s="52">
        <f>IF(OR(L3848="",P3848=""),"",IF(COUNTIFS(L$6:L3848,L3848,P$6:P3848,"?*")=1,MAX(AI$5:AI3847)+1,""))</f>
        <v/>
      </c>
    </row>
    <row r="3849">
      <c r="B3849" s="47" t="n"/>
      <c r="C3849" s="48" t="n"/>
      <c r="D3849" s="48" t="n"/>
      <c r="E3849" s="48" t="n"/>
      <c r="F3849" s="48" t="n"/>
      <c r="G3849" s="49" t="n"/>
      <c r="H3849" s="48" t="n"/>
      <c r="I3849" s="50" t="n"/>
      <c r="J3849" s="48" t="n"/>
      <c r="K3849" s="48" t="n"/>
      <c r="L3849" s="48" t="n"/>
      <c r="M3849" s="48" t="n"/>
      <c r="N3849" s="48" t="n"/>
      <c r="O3849" s="51">
        <f>IF(AND(B3849="",G3849="",C3849="",D3849="",J3849=""),"",IF(B3849="","⚠ Falta fecha",IF(G3849="","⚠ Falta monto",IF(Q3849="","⚠ Falta cuenta",IF(ISNA(MATCH(Q3849,ctaNombre,0)),"⚠ Cuenta no registrada",IF(AND(OR(P3849="Gasto",P3849="Reembolso"),D3849=""),"⚠ Falta categoría",IF(AND(D3849&lt;&gt;"",E3849&lt;&gt;"",ISNA(MATCH(D3849&amp;"|"&amp;E3849,catClave,0))),"⚠ Subcategoría no corresponde",IF(AND(OR(P3849="Transferencia",P3849="Pago tarjeta"),K3849=""),"⚠ Falta cuenta destino",IF(AND(K3849&lt;&gt;"",P3849&lt;&gt;"Transferencia",P3849&lt;&gt;"Pago tarjeta"),"⚠ Destino solo aplica a transferencias",IF(AND(K3849&lt;&gt;"",K3849=Q3849),"⚠ Origen igual a destino",IF(AND(K3849&lt;&gt;"",ISNA(MATCH(K3849,ctaNombre,0))),"⚠ Destino no registrado",IF(AND(P3849="Pago tarjeta",AE3849&lt;&gt;"Tarjeta de crédito"),"⚠ El destino debe ser tarjeta de crédito",IF(AND(P3849="Gasto",E3849="Depósitos y retiros"),"⚠ Usa tipo Transferencia",IF(AND(P3849="Resultado trading",AD3849&lt;&gt;"Cuenta de trading"),"⚠ Usa una cuenta de trading",IF(AND(G3849&lt;=0,P3849&lt;&gt;"Ajuste",P3849&lt;&gt;"Resultado trading"),"⚠ El monto debe ser positivo","✓")))))))))))))))</f>
        <v/>
      </c>
      <c r="P3849" s="52">
        <f>IF(OR(B3849="",G3849=""),"",IF(C3849="","Gasto",C3849))</f>
        <v/>
      </c>
      <c r="Q3849" s="52">
        <f>IF(P3849="","",IF(J3849&lt;&gt;"",J3849,CuentaPred&amp;""))</f>
        <v/>
      </c>
      <c r="R3849" s="52">
        <f>IF(P3849="","",IF(ISNUMBER(I3849),I3849,TasaUSD))</f>
        <v/>
      </c>
      <c r="S3849" s="53">
        <f>IF(P3849="","",IF(H3849="USD",G3849*R3849,G3849))</f>
        <v/>
      </c>
      <c r="T3849" s="53">
        <f>IF(P3849="","",IF(H3849="USD",G3849,IF(R3849&gt;0,G3849/R3849,0)))</f>
        <v/>
      </c>
      <c r="U3849" s="53">
        <f>IF(P3849="","",IF(P3849="Gasto",S3849,IF(P3849="Reembolso",-S3849,0)))</f>
        <v/>
      </c>
      <c r="V3849" s="53">
        <f>IF(P3849="","",IF(P3849="Ingreso",S3849,0))</f>
        <v/>
      </c>
      <c r="W3849" s="53">
        <f>IF(P3849="","",IF(P3849="Resultado trading",S3849,0))</f>
        <v/>
      </c>
      <c r="X3849" s="52">
        <f>IF(OR(P3849="Gasto",P3849="Reembolso"),IF(M3849&lt;&gt;"",M3849,IFERROR(INDEX(catClasif,MATCH(D3849&amp;"|"&amp;E3849,catClave,0))&amp;"","Variable")),"")</f>
        <v/>
      </c>
      <c r="Y3849" s="52">
        <f>IF(P3849="","",IFERROR(INDEX(catGrupo,MATCH(D3849&amp;"|"&amp;E3849,catClave,0))&amp;"",""))</f>
        <v/>
      </c>
      <c r="Z3849" s="52">
        <f>IF(P3849="","",WEEKDAY(B3849,2))</f>
        <v/>
      </c>
      <c r="AA3849" s="52">
        <f>IF(P3849="","",IF(AND(P3849="Gasto",X3849="Variable",D3849&lt;&gt;catTrading,S3849&gt;0,S3849&lt;=Umbral),1,0))</f>
        <v/>
      </c>
      <c r="AB3849" s="52">
        <f>IF(OR(P3849="",Q3849=""),"",IFERROR(IF(INDEX(ctaVinc,MATCH(Q3849,ctaNombre,0))&amp;""&lt;&gt;"",INDEX(ctaVinc,MATCH(Q3849,ctaNombre,0))&amp;"",Q3849),Q3849))</f>
        <v/>
      </c>
      <c r="AC3849" s="52">
        <f>IF(OR(K3849="",AND(P3849&lt;&gt;"Transferencia",P3849&lt;&gt;"Pago tarjeta")),"",IFERROR(IF(INDEX(ctaVinc,MATCH(K3849,ctaNombre,0))&amp;""&lt;&gt;"",INDEX(ctaVinc,MATCH(K3849,ctaNombre,0))&amp;"",K3849),K3849))</f>
        <v/>
      </c>
      <c r="AD3849" s="52">
        <f>IF(AB3849="","",IFERROR(INDEX(ctaTipo,MATCH(AB3849,ctaNombre,0))&amp;"",""))</f>
        <v/>
      </c>
      <c r="AE3849" s="52">
        <f>IF(AC3849="","",IFERROR(INDEX(ctaTipo,MATCH(AC3849,ctaNombre,0))&amp;"",""))</f>
        <v/>
      </c>
      <c r="AF3849" s="53">
        <f>IF(OR(P3849="",AB3849=""),"",IF(OR(P3849="Gasto",P3849="Transferencia",P3849="Pago tarjeta"),-1,1)*IF(IFERROR(INDEX(ctaMoneda,MATCH(AB3849,ctaNombre,0))&amp;"","DOP")="USD",T3849,S3849))</f>
        <v/>
      </c>
      <c r="AG3849" s="53">
        <f>IF(AC3849="","",IF(IFERROR(INDEX(ctaMoneda,MATCH(AC3849,ctaNombre,0))&amp;"","DOP")="USD",T3849,S3849))</f>
        <v/>
      </c>
      <c r="AH3849" s="53">
        <f>IF(P3849="","",IF(AND(AD3849&lt;&gt;"",COUNTIFS(tcTipo,AD3849,tcLiq,"Sí")&gt;0),IF(OR(P3849="Gasto",P3849="Transferencia",P3849="Pago tarjeta"),-1,1)*S3849,0)+IF(AND(AE3849&lt;&gt;"",COUNTIFS(tcTipo,AE3849,tcLiq,"Sí")&gt;0),S3849,0))</f>
        <v/>
      </c>
      <c r="AI3849" s="52">
        <f>IF(OR(L3849="",P3849=""),"",IF(COUNTIFS(L$6:L3849,L3849,P$6:P3849,"?*")=1,MAX(AI$5:AI3848)+1,""))</f>
        <v/>
      </c>
    </row>
    <row r="3850">
      <c r="B3850" s="47" t="n"/>
      <c r="C3850" s="48" t="n"/>
      <c r="D3850" s="48" t="n"/>
      <c r="E3850" s="48" t="n"/>
      <c r="F3850" s="48" t="n"/>
      <c r="G3850" s="49" t="n"/>
      <c r="H3850" s="48" t="n"/>
      <c r="I3850" s="50" t="n"/>
      <c r="J3850" s="48" t="n"/>
      <c r="K3850" s="48" t="n"/>
      <c r="L3850" s="48" t="n"/>
      <c r="M3850" s="48" t="n"/>
      <c r="N3850" s="48" t="n"/>
      <c r="O3850" s="51">
        <f>IF(AND(B3850="",G3850="",C3850="",D3850="",J3850=""),"",IF(B3850="","⚠ Falta fecha",IF(G3850="","⚠ Falta monto",IF(Q3850="","⚠ Falta cuenta",IF(ISNA(MATCH(Q3850,ctaNombre,0)),"⚠ Cuenta no registrada",IF(AND(OR(P3850="Gasto",P3850="Reembolso"),D3850=""),"⚠ Falta categoría",IF(AND(D3850&lt;&gt;"",E3850&lt;&gt;"",ISNA(MATCH(D3850&amp;"|"&amp;E3850,catClave,0))),"⚠ Subcategoría no corresponde",IF(AND(OR(P3850="Transferencia",P3850="Pago tarjeta"),K3850=""),"⚠ Falta cuenta destino",IF(AND(K3850&lt;&gt;"",P3850&lt;&gt;"Transferencia",P3850&lt;&gt;"Pago tarjeta"),"⚠ Destino solo aplica a transferencias",IF(AND(K3850&lt;&gt;"",K3850=Q3850),"⚠ Origen igual a destino",IF(AND(K3850&lt;&gt;"",ISNA(MATCH(K3850,ctaNombre,0))),"⚠ Destino no registrado",IF(AND(P3850="Pago tarjeta",AE3850&lt;&gt;"Tarjeta de crédito"),"⚠ El destino debe ser tarjeta de crédito",IF(AND(P3850="Gasto",E3850="Depósitos y retiros"),"⚠ Usa tipo Transferencia",IF(AND(P3850="Resultado trading",AD3850&lt;&gt;"Cuenta de trading"),"⚠ Usa una cuenta de trading",IF(AND(G3850&lt;=0,P3850&lt;&gt;"Ajuste",P3850&lt;&gt;"Resultado trading"),"⚠ El monto debe ser positivo","✓")))))))))))))))</f>
        <v/>
      </c>
      <c r="P3850" s="52">
        <f>IF(OR(B3850="",G3850=""),"",IF(C3850="","Gasto",C3850))</f>
        <v/>
      </c>
      <c r="Q3850" s="52">
        <f>IF(P3850="","",IF(J3850&lt;&gt;"",J3850,CuentaPred&amp;""))</f>
        <v/>
      </c>
      <c r="R3850" s="52">
        <f>IF(P3850="","",IF(ISNUMBER(I3850),I3850,TasaUSD))</f>
        <v/>
      </c>
      <c r="S3850" s="53">
        <f>IF(P3850="","",IF(H3850="USD",G3850*R3850,G3850))</f>
        <v/>
      </c>
      <c r="T3850" s="53">
        <f>IF(P3850="","",IF(H3850="USD",G3850,IF(R3850&gt;0,G3850/R3850,0)))</f>
        <v/>
      </c>
      <c r="U3850" s="53">
        <f>IF(P3850="","",IF(P3850="Gasto",S3850,IF(P3850="Reembolso",-S3850,0)))</f>
        <v/>
      </c>
      <c r="V3850" s="53">
        <f>IF(P3850="","",IF(P3850="Ingreso",S3850,0))</f>
        <v/>
      </c>
      <c r="W3850" s="53">
        <f>IF(P3850="","",IF(P3850="Resultado trading",S3850,0))</f>
        <v/>
      </c>
      <c r="X3850" s="52">
        <f>IF(OR(P3850="Gasto",P3850="Reembolso"),IF(M3850&lt;&gt;"",M3850,IFERROR(INDEX(catClasif,MATCH(D3850&amp;"|"&amp;E3850,catClave,0))&amp;"","Variable")),"")</f>
        <v/>
      </c>
      <c r="Y3850" s="52">
        <f>IF(P3850="","",IFERROR(INDEX(catGrupo,MATCH(D3850&amp;"|"&amp;E3850,catClave,0))&amp;"",""))</f>
        <v/>
      </c>
      <c r="Z3850" s="52">
        <f>IF(P3850="","",WEEKDAY(B3850,2))</f>
        <v/>
      </c>
      <c r="AA3850" s="52">
        <f>IF(P3850="","",IF(AND(P3850="Gasto",X3850="Variable",D3850&lt;&gt;catTrading,S3850&gt;0,S3850&lt;=Umbral),1,0))</f>
        <v/>
      </c>
      <c r="AB3850" s="52">
        <f>IF(OR(P3850="",Q3850=""),"",IFERROR(IF(INDEX(ctaVinc,MATCH(Q3850,ctaNombre,0))&amp;""&lt;&gt;"",INDEX(ctaVinc,MATCH(Q3850,ctaNombre,0))&amp;"",Q3850),Q3850))</f>
        <v/>
      </c>
      <c r="AC3850" s="52">
        <f>IF(OR(K3850="",AND(P3850&lt;&gt;"Transferencia",P3850&lt;&gt;"Pago tarjeta")),"",IFERROR(IF(INDEX(ctaVinc,MATCH(K3850,ctaNombre,0))&amp;""&lt;&gt;"",INDEX(ctaVinc,MATCH(K3850,ctaNombre,0))&amp;"",K3850),K3850))</f>
        <v/>
      </c>
      <c r="AD3850" s="52">
        <f>IF(AB3850="","",IFERROR(INDEX(ctaTipo,MATCH(AB3850,ctaNombre,0))&amp;"",""))</f>
        <v/>
      </c>
      <c r="AE3850" s="52">
        <f>IF(AC3850="","",IFERROR(INDEX(ctaTipo,MATCH(AC3850,ctaNombre,0))&amp;"",""))</f>
        <v/>
      </c>
      <c r="AF3850" s="53">
        <f>IF(OR(P3850="",AB3850=""),"",IF(OR(P3850="Gasto",P3850="Transferencia",P3850="Pago tarjeta"),-1,1)*IF(IFERROR(INDEX(ctaMoneda,MATCH(AB3850,ctaNombre,0))&amp;"","DOP")="USD",T3850,S3850))</f>
        <v/>
      </c>
      <c r="AG3850" s="53">
        <f>IF(AC3850="","",IF(IFERROR(INDEX(ctaMoneda,MATCH(AC3850,ctaNombre,0))&amp;"","DOP")="USD",T3850,S3850))</f>
        <v/>
      </c>
      <c r="AH3850" s="53">
        <f>IF(P3850="","",IF(AND(AD3850&lt;&gt;"",COUNTIFS(tcTipo,AD3850,tcLiq,"Sí")&gt;0),IF(OR(P3850="Gasto",P3850="Transferencia",P3850="Pago tarjeta"),-1,1)*S3850,0)+IF(AND(AE3850&lt;&gt;"",COUNTIFS(tcTipo,AE3850,tcLiq,"Sí")&gt;0),S3850,0))</f>
        <v/>
      </c>
      <c r="AI3850" s="52">
        <f>IF(OR(L3850="",P3850=""),"",IF(COUNTIFS(L$6:L3850,L3850,P$6:P3850,"?*")=1,MAX(AI$5:AI3849)+1,""))</f>
        <v/>
      </c>
    </row>
    <row r="3851">
      <c r="B3851" s="47" t="n"/>
      <c r="C3851" s="48" t="n"/>
      <c r="D3851" s="48" t="n"/>
      <c r="E3851" s="48" t="n"/>
      <c r="F3851" s="48" t="n"/>
      <c r="G3851" s="49" t="n"/>
      <c r="H3851" s="48" t="n"/>
      <c r="I3851" s="50" t="n"/>
      <c r="J3851" s="48" t="n"/>
      <c r="K3851" s="48" t="n"/>
      <c r="L3851" s="48" t="n"/>
      <c r="M3851" s="48" t="n"/>
      <c r="N3851" s="48" t="n"/>
      <c r="O3851" s="51">
        <f>IF(AND(B3851="",G3851="",C3851="",D3851="",J3851=""),"",IF(B3851="","⚠ Falta fecha",IF(G3851="","⚠ Falta monto",IF(Q3851="","⚠ Falta cuenta",IF(ISNA(MATCH(Q3851,ctaNombre,0)),"⚠ Cuenta no registrada",IF(AND(OR(P3851="Gasto",P3851="Reembolso"),D3851=""),"⚠ Falta categoría",IF(AND(D3851&lt;&gt;"",E3851&lt;&gt;"",ISNA(MATCH(D3851&amp;"|"&amp;E3851,catClave,0))),"⚠ Subcategoría no corresponde",IF(AND(OR(P3851="Transferencia",P3851="Pago tarjeta"),K3851=""),"⚠ Falta cuenta destino",IF(AND(K3851&lt;&gt;"",P3851&lt;&gt;"Transferencia",P3851&lt;&gt;"Pago tarjeta"),"⚠ Destino solo aplica a transferencias",IF(AND(K3851&lt;&gt;"",K3851=Q3851),"⚠ Origen igual a destino",IF(AND(K3851&lt;&gt;"",ISNA(MATCH(K3851,ctaNombre,0))),"⚠ Destino no registrado",IF(AND(P3851="Pago tarjeta",AE3851&lt;&gt;"Tarjeta de crédito"),"⚠ El destino debe ser tarjeta de crédito",IF(AND(P3851="Gasto",E3851="Depósitos y retiros"),"⚠ Usa tipo Transferencia",IF(AND(P3851="Resultado trading",AD3851&lt;&gt;"Cuenta de trading"),"⚠ Usa una cuenta de trading",IF(AND(G3851&lt;=0,P3851&lt;&gt;"Ajuste",P3851&lt;&gt;"Resultado trading"),"⚠ El monto debe ser positivo","✓")))))))))))))))</f>
        <v/>
      </c>
      <c r="P3851" s="52">
        <f>IF(OR(B3851="",G3851=""),"",IF(C3851="","Gasto",C3851))</f>
        <v/>
      </c>
      <c r="Q3851" s="52">
        <f>IF(P3851="","",IF(J3851&lt;&gt;"",J3851,CuentaPred&amp;""))</f>
        <v/>
      </c>
      <c r="R3851" s="52">
        <f>IF(P3851="","",IF(ISNUMBER(I3851),I3851,TasaUSD))</f>
        <v/>
      </c>
      <c r="S3851" s="53">
        <f>IF(P3851="","",IF(H3851="USD",G3851*R3851,G3851))</f>
        <v/>
      </c>
      <c r="T3851" s="53">
        <f>IF(P3851="","",IF(H3851="USD",G3851,IF(R3851&gt;0,G3851/R3851,0)))</f>
        <v/>
      </c>
      <c r="U3851" s="53">
        <f>IF(P3851="","",IF(P3851="Gasto",S3851,IF(P3851="Reembolso",-S3851,0)))</f>
        <v/>
      </c>
      <c r="V3851" s="53">
        <f>IF(P3851="","",IF(P3851="Ingreso",S3851,0))</f>
        <v/>
      </c>
      <c r="W3851" s="53">
        <f>IF(P3851="","",IF(P3851="Resultado trading",S3851,0))</f>
        <v/>
      </c>
      <c r="X3851" s="52">
        <f>IF(OR(P3851="Gasto",P3851="Reembolso"),IF(M3851&lt;&gt;"",M3851,IFERROR(INDEX(catClasif,MATCH(D3851&amp;"|"&amp;E3851,catClave,0))&amp;"","Variable")),"")</f>
        <v/>
      </c>
      <c r="Y3851" s="52">
        <f>IF(P3851="","",IFERROR(INDEX(catGrupo,MATCH(D3851&amp;"|"&amp;E3851,catClave,0))&amp;"",""))</f>
        <v/>
      </c>
      <c r="Z3851" s="52">
        <f>IF(P3851="","",WEEKDAY(B3851,2))</f>
        <v/>
      </c>
      <c r="AA3851" s="52">
        <f>IF(P3851="","",IF(AND(P3851="Gasto",X3851="Variable",D3851&lt;&gt;catTrading,S3851&gt;0,S3851&lt;=Umbral),1,0))</f>
        <v/>
      </c>
      <c r="AB3851" s="52">
        <f>IF(OR(P3851="",Q3851=""),"",IFERROR(IF(INDEX(ctaVinc,MATCH(Q3851,ctaNombre,0))&amp;""&lt;&gt;"",INDEX(ctaVinc,MATCH(Q3851,ctaNombre,0))&amp;"",Q3851),Q3851))</f>
        <v/>
      </c>
      <c r="AC3851" s="52">
        <f>IF(OR(K3851="",AND(P3851&lt;&gt;"Transferencia",P3851&lt;&gt;"Pago tarjeta")),"",IFERROR(IF(INDEX(ctaVinc,MATCH(K3851,ctaNombre,0))&amp;""&lt;&gt;"",INDEX(ctaVinc,MATCH(K3851,ctaNombre,0))&amp;"",K3851),K3851))</f>
        <v/>
      </c>
      <c r="AD3851" s="52">
        <f>IF(AB3851="","",IFERROR(INDEX(ctaTipo,MATCH(AB3851,ctaNombre,0))&amp;"",""))</f>
        <v/>
      </c>
      <c r="AE3851" s="52">
        <f>IF(AC3851="","",IFERROR(INDEX(ctaTipo,MATCH(AC3851,ctaNombre,0))&amp;"",""))</f>
        <v/>
      </c>
      <c r="AF3851" s="53">
        <f>IF(OR(P3851="",AB3851=""),"",IF(OR(P3851="Gasto",P3851="Transferencia",P3851="Pago tarjeta"),-1,1)*IF(IFERROR(INDEX(ctaMoneda,MATCH(AB3851,ctaNombre,0))&amp;"","DOP")="USD",T3851,S3851))</f>
        <v/>
      </c>
      <c r="AG3851" s="53">
        <f>IF(AC3851="","",IF(IFERROR(INDEX(ctaMoneda,MATCH(AC3851,ctaNombre,0))&amp;"","DOP")="USD",T3851,S3851))</f>
        <v/>
      </c>
      <c r="AH3851" s="53">
        <f>IF(P3851="","",IF(AND(AD3851&lt;&gt;"",COUNTIFS(tcTipo,AD3851,tcLiq,"Sí")&gt;0),IF(OR(P3851="Gasto",P3851="Transferencia",P3851="Pago tarjeta"),-1,1)*S3851,0)+IF(AND(AE3851&lt;&gt;"",COUNTIFS(tcTipo,AE3851,tcLiq,"Sí")&gt;0),S3851,0))</f>
        <v/>
      </c>
      <c r="AI3851" s="52">
        <f>IF(OR(L3851="",P3851=""),"",IF(COUNTIFS(L$6:L3851,L3851,P$6:P3851,"?*")=1,MAX(AI$5:AI3850)+1,""))</f>
        <v/>
      </c>
    </row>
    <row r="3852">
      <c r="B3852" s="47" t="n"/>
      <c r="C3852" s="48" t="n"/>
      <c r="D3852" s="48" t="n"/>
      <c r="E3852" s="48" t="n"/>
      <c r="F3852" s="48" t="n"/>
      <c r="G3852" s="49" t="n"/>
      <c r="H3852" s="48" t="n"/>
      <c r="I3852" s="50" t="n"/>
      <c r="J3852" s="48" t="n"/>
      <c r="K3852" s="48" t="n"/>
      <c r="L3852" s="48" t="n"/>
      <c r="M3852" s="48" t="n"/>
      <c r="N3852" s="48" t="n"/>
      <c r="O3852" s="51">
        <f>IF(AND(B3852="",G3852="",C3852="",D3852="",J3852=""),"",IF(B3852="","⚠ Falta fecha",IF(G3852="","⚠ Falta monto",IF(Q3852="","⚠ Falta cuenta",IF(ISNA(MATCH(Q3852,ctaNombre,0)),"⚠ Cuenta no registrada",IF(AND(OR(P3852="Gasto",P3852="Reembolso"),D3852=""),"⚠ Falta categoría",IF(AND(D3852&lt;&gt;"",E3852&lt;&gt;"",ISNA(MATCH(D3852&amp;"|"&amp;E3852,catClave,0))),"⚠ Subcategoría no corresponde",IF(AND(OR(P3852="Transferencia",P3852="Pago tarjeta"),K3852=""),"⚠ Falta cuenta destino",IF(AND(K3852&lt;&gt;"",P3852&lt;&gt;"Transferencia",P3852&lt;&gt;"Pago tarjeta"),"⚠ Destino solo aplica a transferencias",IF(AND(K3852&lt;&gt;"",K3852=Q3852),"⚠ Origen igual a destino",IF(AND(K3852&lt;&gt;"",ISNA(MATCH(K3852,ctaNombre,0))),"⚠ Destino no registrado",IF(AND(P3852="Pago tarjeta",AE3852&lt;&gt;"Tarjeta de crédito"),"⚠ El destino debe ser tarjeta de crédito",IF(AND(P3852="Gasto",E3852="Depósitos y retiros"),"⚠ Usa tipo Transferencia",IF(AND(P3852="Resultado trading",AD3852&lt;&gt;"Cuenta de trading"),"⚠ Usa una cuenta de trading",IF(AND(G3852&lt;=0,P3852&lt;&gt;"Ajuste",P3852&lt;&gt;"Resultado trading"),"⚠ El monto debe ser positivo","✓")))))))))))))))</f>
        <v/>
      </c>
      <c r="P3852" s="52">
        <f>IF(OR(B3852="",G3852=""),"",IF(C3852="","Gasto",C3852))</f>
        <v/>
      </c>
      <c r="Q3852" s="52">
        <f>IF(P3852="","",IF(J3852&lt;&gt;"",J3852,CuentaPred&amp;""))</f>
        <v/>
      </c>
      <c r="R3852" s="52">
        <f>IF(P3852="","",IF(ISNUMBER(I3852),I3852,TasaUSD))</f>
        <v/>
      </c>
      <c r="S3852" s="53">
        <f>IF(P3852="","",IF(H3852="USD",G3852*R3852,G3852))</f>
        <v/>
      </c>
      <c r="T3852" s="53">
        <f>IF(P3852="","",IF(H3852="USD",G3852,IF(R3852&gt;0,G3852/R3852,0)))</f>
        <v/>
      </c>
      <c r="U3852" s="53">
        <f>IF(P3852="","",IF(P3852="Gasto",S3852,IF(P3852="Reembolso",-S3852,0)))</f>
        <v/>
      </c>
      <c r="V3852" s="53">
        <f>IF(P3852="","",IF(P3852="Ingreso",S3852,0))</f>
        <v/>
      </c>
      <c r="W3852" s="53">
        <f>IF(P3852="","",IF(P3852="Resultado trading",S3852,0))</f>
        <v/>
      </c>
      <c r="X3852" s="52">
        <f>IF(OR(P3852="Gasto",P3852="Reembolso"),IF(M3852&lt;&gt;"",M3852,IFERROR(INDEX(catClasif,MATCH(D3852&amp;"|"&amp;E3852,catClave,0))&amp;"","Variable")),"")</f>
        <v/>
      </c>
      <c r="Y3852" s="52">
        <f>IF(P3852="","",IFERROR(INDEX(catGrupo,MATCH(D3852&amp;"|"&amp;E3852,catClave,0))&amp;"",""))</f>
        <v/>
      </c>
      <c r="Z3852" s="52">
        <f>IF(P3852="","",WEEKDAY(B3852,2))</f>
        <v/>
      </c>
      <c r="AA3852" s="52">
        <f>IF(P3852="","",IF(AND(P3852="Gasto",X3852="Variable",D3852&lt;&gt;catTrading,S3852&gt;0,S3852&lt;=Umbral),1,0))</f>
        <v/>
      </c>
      <c r="AB3852" s="52">
        <f>IF(OR(P3852="",Q3852=""),"",IFERROR(IF(INDEX(ctaVinc,MATCH(Q3852,ctaNombre,0))&amp;""&lt;&gt;"",INDEX(ctaVinc,MATCH(Q3852,ctaNombre,0))&amp;"",Q3852),Q3852))</f>
        <v/>
      </c>
      <c r="AC3852" s="52">
        <f>IF(OR(K3852="",AND(P3852&lt;&gt;"Transferencia",P3852&lt;&gt;"Pago tarjeta")),"",IFERROR(IF(INDEX(ctaVinc,MATCH(K3852,ctaNombre,0))&amp;""&lt;&gt;"",INDEX(ctaVinc,MATCH(K3852,ctaNombre,0))&amp;"",K3852),K3852))</f>
        <v/>
      </c>
      <c r="AD3852" s="52">
        <f>IF(AB3852="","",IFERROR(INDEX(ctaTipo,MATCH(AB3852,ctaNombre,0))&amp;"",""))</f>
        <v/>
      </c>
      <c r="AE3852" s="52">
        <f>IF(AC3852="","",IFERROR(INDEX(ctaTipo,MATCH(AC3852,ctaNombre,0))&amp;"",""))</f>
        <v/>
      </c>
      <c r="AF3852" s="53">
        <f>IF(OR(P3852="",AB3852=""),"",IF(OR(P3852="Gasto",P3852="Transferencia",P3852="Pago tarjeta"),-1,1)*IF(IFERROR(INDEX(ctaMoneda,MATCH(AB3852,ctaNombre,0))&amp;"","DOP")="USD",T3852,S3852))</f>
        <v/>
      </c>
      <c r="AG3852" s="53">
        <f>IF(AC3852="","",IF(IFERROR(INDEX(ctaMoneda,MATCH(AC3852,ctaNombre,0))&amp;"","DOP")="USD",T3852,S3852))</f>
        <v/>
      </c>
      <c r="AH3852" s="53">
        <f>IF(P3852="","",IF(AND(AD3852&lt;&gt;"",COUNTIFS(tcTipo,AD3852,tcLiq,"Sí")&gt;0),IF(OR(P3852="Gasto",P3852="Transferencia",P3852="Pago tarjeta"),-1,1)*S3852,0)+IF(AND(AE3852&lt;&gt;"",COUNTIFS(tcTipo,AE3852,tcLiq,"Sí")&gt;0),S3852,0))</f>
        <v/>
      </c>
      <c r="AI3852" s="52">
        <f>IF(OR(L3852="",P3852=""),"",IF(COUNTIFS(L$6:L3852,L3852,P$6:P3852,"?*")=1,MAX(AI$5:AI3851)+1,""))</f>
        <v/>
      </c>
    </row>
    <row r="3853">
      <c r="B3853" s="47" t="n"/>
      <c r="C3853" s="48" t="n"/>
      <c r="D3853" s="48" t="n"/>
      <c r="E3853" s="48" t="n"/>
      <c r="F3853" s="48" t="n"/>
      <c r="G3853" s="49" t="n"/>
      <c r="H3853" s="48" t="n"/>
      <c r="I3853" s="50" t="n"/>
      <c r="J3853" s="48" t="n"/>
      <c r="K3853" s="48" t="n"/>
      <c r="L3853" s="48" t="n"/>
      <c r="M3853" s="48" t="n"/>
      <c r="N3853" s="48" t="n"/>
      <c r="O3853" s="51">
        <f>IF(AND(B3853="",G3853="",C3853="",D3853="",J3853=""),"",IF(B3853="","⚠ Falta fecha",IF(G3853="","⚠ Falta monto",IF(Q3853="","⚠ Falta cuenta",IF(ISNA(MATCH(Q3853,ctaNombre,0)),"⚠ Cuenta no registrada",IF(AND(OR(P3853="Gasto",P3853="Reembolso"),D3853=""),"⚠ Falta categoría",IF(AND(D3853&lt;&gt;"",E3853&lt;&gt;"",ISNA(MATCH(D3853&amp;"|"&amp;E3853,catClave,0))),"⚠ Subcategoría no corresponde",IF(AND(OR(P3853="Transferencia",P3853="Pago tarjeta"),K3853=""),"⚠ Falta cuenta destino",IF(AND(K3853&lt;&gt;"",P3853&lt;&gt;"Transferencia",P3853&lt;&gt;"Pago tarjeta"),"⚠ Destino solo aplica a transferencias",IF(AND(K3853&lt;&gt;"",K3853=Q3853),"⚠ Origen igual a destino",IF(AND(K3853&lt;&gt;"",ISNA(MATCH(K3853,ctaNombre,0))),"⚠ Destino no registrado",IF(AND(P3853="Pago tarjeta",AE3853&lt;&gt;"Tarjeta de crédito"),"⚠ El destino debe ser tarjeta de crédito",IF(AND(P3853="Gasto",E3853="Depósitos y retiros"),"⚠ Usa tipo Transferencia",IF(AND(P3853="Resultado trading",AD3853&lt;&gt;"Cuenta de trading"),"⚠ Usa una cuenta de trading",IF(AND(G3853&lt;=0,P3853&lt;&gt;"Ajuste",P3853&lt;&gt;"Resultado trading"),"⚠ El monto debe ser positivo","✓")))))))))))))))</f>
        <v/>
      </c>
      <c r="P3853" s="52">
        <f>IF(OR(B3853="",G3853=""),"",IF(C3853="","Gasto",C3853))</f>
        <v/>
      </c>
      <c r="Q3853" s="52">
        <f>IF(P3853="","",IF(J3853&lt;&gt;"",J3853,CuentaPred&amp;""))</f>
        <v/>
      </c>
      <c r="R3853" s="52">
        <f>IF(P3853="","",IF(ISNUMBER(I3853),I3853,TasaUSD))</f>
        <v/>
      </c>
      <c r="S3853" s="53">
        <f>IF(P3853="","",IF(H3853="USD",G3853*R3853,G3853))</f>
        <v/>
      </c>
      <c r="T3853" s="53">
        <f>IF(P3853="","",IF(H3853="USD",G3853,IF(R3853&gt;0,G3853/R3853,0)))</f>
        <v/>
      </c>
      <c r="U3853" s="53">
        <f>IF(P3853="","",IF(P3853="Gasto",S3853,IF(P3853="Reembolso",-S3853,0)))</f>
        <v/>
      </c>
      <c r="V3853" s="53">
        <f>IF(P3853="","",IF(P3853="Ingreso",S3853,0))</f>
        <v/>
      </c>
      <c r="W3853" s="53">
        <f>IF(P3853="","",IF(P3853="Resultado trading",S3853,0))</f>
        <v/>
      </c>
      <c r="X3853" s="52">
        <f>IF(OR(P3853="Gasto",P3853="Reembolso"),IF(M3853&lt;&gt;"",M3853,IFERROR(INDEX(catClasif,MATCH(D3853&amp;"|"&amp;E3853,catClave,0))&amp;"","Variable")),"")</f>
        <v/>
      </c>
      <c r="Y3853" s="52">
        <f>IF(P3853="","",IFERROR(INDEX(catGrupo,MATCH(D3853&amp;"|"&amp;E3853,catClave,0))&amp;"",""))</f>
        <v/>
      </c>
      <c r="Z3853" s="52">
        <f>IF(P3853="","",WEEKDAY(B3853,2))</f>
        <v/>
      </c>
      <c r="AA3853" s="52">
        <f>IF(P3853="","",IF(AND(P3853="Gasto",X3853="Variable",D3853&lt;&gt;catTrading,S3853&gt;0,S3853&lt;=Umbral),1,0))</f>
        <v/>
      </c>
      <c r="AB3853" s="52">
        <f>IF(OR(P3853="",Q3853=""),"",IFERROR(IF(INDEX(ctaVinc,MATCH(Q3853,ctaNombre,0))&amp;""&lt;&gt;"",INDEX(ctaVinc,MATCH(Q3853,ctaNombre,0))&amp;"",Q3853),Q3853))</f>
        <v/>
      </c>
      <c r="AC3853" s="52">
        <f>IF(OR(K3853="",AND(P3853&lt;&gt;"Transferencia",P3853&lt;&gt;"Pago tarjeta")),"",IFERROR(IF(INDEX(ctaVinc,MATCH(K3853,ctaNombre,0))&amp;""&lt;&gt;"",INDEX(ctaVinc,MATCH(K3853,ctaNombre,0))&amp;"",K3853),K3853))</f>
        <v/>
      </c>
      <c r="AD3853" s="52">
        <f>IF(AB3853="","",IFERROR(INDEX(ctaTipo,MATCH(AB3853,ctaNombre,0))&amp;"",""))</f>
        <v/>
      </c>
      <c r="AE3853" s="52">
        <f>IF(AC3853="","",IFERROR(INDEX(ctaTipo,MATCH(AC3853,ctaNombre,0))&amp;"",""))</f>
        <v/>
      </c>
      <c r="AF3853" s="53">
        <f>IF(OR(P3853="",AB3853=""),"",IF(OR(P3853="Gasto",P3853="Transferencia",P3853="Pago tarjeta"),-1,1)*IF(IFERROR(INDEX(ctaMoneda,MATCH(AB3853,ctaNombre,0))&amp;"","DOP")="USD",T3853,S3853))</f>
        <v/>
      </c>
      <c r="AG3853" s="53">
        <f>IF(AC3853="","",IF(IFERROR(INDEX(ctaMoneda,MATCH(AC3853,ctaNombre,0))&amp;"","DOP")="USD",T3853,S3853))</f>
        <v/>
      </c>
      <c r="AH3853" s="53">
        <f>IF(P3853="","",IF(AND(AD3853&lt;&gt;"",COUNTIFS(tcTipo,AD3853,tcLiq,"Sí")&gt;0),IF(OR(P3853="Gasto",P3853="Transferencia",P3853="Pago tarjeta"),-1,1)*S3853,0)+IF(AND(AE3853&lt;&gt;"",COUNTIFS(tcTipo,AE3853,tcLiq,"Sí")&gt;0),S3853,0))</f>
        <v/>
      </c>
      <c r="AI3853" s="52">
        <f>IF(OR(L3853="",P3853=""),"",IF(COUNTIFS(L$6:L3853,L3853,P$6:P3853,"?*")=1,MAX(AI$5:AI3852)+1,""))</f>
        <v/>
      </c>
    </row>
    <row r="3854">
      <c r="B3854" s="47" t="n"/>
      <c r="C3854" s="48" t="n"/>
      <c r="D3854" s="48" t="n"/>
      <c r="E3854" s="48" t="n"/>
      <c r="F3854" s="48" t="n"/>
      <c r="G3854" s="49" t="n"/>
      <c r="H3854" s="48" t="n"/>
      <c r="I3854" s="50" t="n"/>
      <c r="J3854" s="48" t="n"/>
      <c r="K3854" s="48" t="n"/>
      <c r="L3854" s="48" t="n"/>
      <c r="M3854" s="48" t="n"/>
      <c r="N3854" s="48" t="n"/>
      <c r="O3854" s="51">
        <f>IF(AND(B3854="",G3854="",C3854="",D3854="",J3854=""),"",IF(B3854="","⚠ Falta fecha",IF(G3854="","⚠ Falta monto",IF(Q3854="","⚠ Falta cuenta",IF(ISNA(MATCH(Q3854,ctaNombre,0)),"⚠ Cuenta no registrada",IF(AND(OR(P3854="Gasto",P3854="Reembolso"),D3854=""),"⚠ Falta categoría",IF(AND(D3854&lt;&gt;"",E3854&lt;&gt;"",ISNA(MATCH(D3854&amp;"|"&amp;E3854,catClave,0))),"⚠ Subcategoría no corresponde",IF(AND(OR(P3854="Transferencia",P3854="Pago tarjeta"),K3854=""),"⚠ Falta cuenta destino",IF(AND(K3854&lt;&gt;"",P3854&lt;&gt;"Transferencia",P3854&lt;&gt;"Pago tarjeta"),"⚠ Destino solo aplica a transferencias",IF(AND(K3854&lt;&gt;"",K3854=Q3854),"⚠ Origen igual a destino",IF(AND(K3854&lt;&gt;"",ISNA(MATCH(K3854,ctaNombre,0))),"⚠ Destino no registrado",IF(AND(P3854="Pago tarjeta",AE3854&lt;&gt;"Tarjeta de crédito"),"⚠ El destino debe ser tarjeta de crédito",IF(AND(P3854="Gasto",E3854="Depósitos y retiros"),"⚠ Usa tipo Transferencia",IF(AND(P3854="Resultado trading",AD3854&lt;&gt;"Cuenta de trading"),"⚠ Usa una cuenta de trading",IF(AND(G3854&lt;=0,P3854&lt;&gt;"Ajuste",P3854&lt;&gt;"Resultado trading"),"⚠ El monto debe ser positivo","✓")))))))))))))))</f>
        <v/>
      </c>
      <c r="P3854" s="52">
        <f>IF(OR(B3854="",G3854=""),"",IF(C3854="","Gasto",C3854))</f>
        <v/>
      </c>
      <c r="Q3854" s="52">
        <f>IF(P3854="","",IF(J3854&lt;&gt;"",J3854,CuentaPred&amp;""))</f>
        <v/>
      </c>
      <c r="R3854" s="52">
        <f>IF(P3854="","",IF(ISNUMBER(I3854),I3854,TasaUSD))</f>
        <v/>
      </c>
      <c r="S3854" s="53">
        <f>IF(P3854="","",IF(H3854="USD",G3854*R3854,G3854))</f>
        <v/>
      </c>
      <c r="T3854" s="53">
        <f>IF(P3854="","",IF(H3854="USD",G3854,IF(R3854&gt;0,G3854/R3854,0)))</f>
        <v/>
      </c>
      <c r="U3854" s="53">
        <f>IF(P3854="","",IF(P3854="Gasto",S3854,IF(P3854="Reembolso",-S3854,0)))</f>
        <v/>
      </c>
      <c r="V3854" s="53">
        <f>IF(P3854="","",IF(P3854="Ingreso",S3854,0))</f>
        <v/>
      </c>
      <c r="W3854" s="53">
        <f>IF(P3854="","",IF(P3854="Resultado trading",S3854,0))</f>
        <v/>
      </c>
      <c r="X3854" s="52">
        <f>IF(OR(P3854="Gasto",P3854="Reembolso"),IF(M3854&lt;&gt;"",M3854,IFERROR(INDEX(catClasif,MATCH(D3854&amp;"|"&amp;E3854,catClave,0))&amp;"","Variable")),"")</f>
        <v/>
      </c>
      <c r="Y3854" s="52">
        <f>IF(P3854="","",IFERROR(INDEX(catGrupo,MATCH(D3854&amp;"|"&amp;E3854,catClave,0))&amp;"",""))</f>
        <v/>
      </c>
      <c r="Z3854" s="52">
        <f>IF(P3854="","",WEEKDAY(B3854,2))</f>
        <v/>
      </c>
      <c r="AA3854" s="52">
        <f>IF(P3854="","",IF(AND(P3854="Gasto",X3854="Variable",D3854&lt;&gt;catTrading,S3854&gt;0,S3854&lt;=Umbral),1,0))</f>
        <v/>
      </c>
      <c r="AB3854" s="52">
        <f>IF(OR(P3854="",Q3854=""),"",IFERROR(IF(INDEX(ctaVinc,MATCH(Q3854,ctaNombre,0))&amp;""&lt;&gt;"",INDEX(ctaVinc,MATCH(Q3854,ctaNombre,0))&amp;"",Q3854),Q3854))</f>
        <v/>
      </c>
      <c r="AC3854" s="52">
        <f>IF(OR(K3854="",AND(P3854&lt;&gt;"Transferencia",P3854&lt;&gt;"Pago tarjeta")),"",IFERROR(IF(INDEX(ctaVinc,MATCH(K3854,ctaNombre,0))&amp;""&lt;&gt;"",INDEX(ctaVinc,MATCH(K3854,ctaNombre,0))&amp;"",K3854),K3854))</f>
        <v/>
      </c>
      <c r="AD3854" s="52">
        <f>IF(AB3854="","",IFERROR(INDEX(ctaTipo,MATCH(AB3854,ctaNombre,0))&amp;"",""))</f>
        <v/>
      </c>
      <c r="AE3854" s="52">
        <f>IF(AC3854="","",IFERROR(INDEX(ctaTipo,MATCH(AC3854,ctaNombre,0))&amp;"",""))</f>
        <v/>
      </c>
      <c r="AF3854" s="53">
        <f>IF(OR(P3854="",AB3854=""),"",IF(OR(P3854="Gasto",P3854="Transferencia",P3854="Pago tarjeta"),-1,1)*IF(IFERROR(INDEX(ctaMoneda,MATCH(AB3854,ctaNombre,0))&amp;"","DOP")="USD",T3854,S3854))</f>
        <v/>
      </c>
      <c r="AG3854" s="53">
        <f>IF(AC3854="","",IF(IFERROR(INDEX(ctaMoneda,MATCH(AC3854,ctaNombre,0))&amp;"","DOP")="USD",T3854,S3854))</f>
        <v/>
      </c>
      <c r="AH3854" s="53">
        <f>IF(P3854="","",IF(AND(AD3854&lt;&gt;"",COUNTIFS(tcTipo,AD3854,tcLiq,"Sí")&gt;0),IF(OR(P3854="Gasto",P3854="Transferencia",P3854="Pago tarjeta"),-1,1)*S3854,0)+IF(AND(AE3854&lt;&gt;"",COUNTIFS(tcTipo,AE3854,tcLiq,"Sí")&gt;0),S3854,0))</f>
        <v/>
      </c>
      <c r="AI3854" s="52">
        <f>IF(OR(L3854="",P3854=""),"",IF(COUNTIFS(L$6:L3854,L3854,P$6:P3854,"?*")=1,MAX(AI$5:AI3853)+1,""))</f>
        <v/>
      </c>
    </row>
    <row r="3855">
      <c r="B3855" s="47" t="n"/>
      <c r="C3855" s="48" t="n"/>
      <c r="D3855" s="48" t="n"/>
      <c r="E3855" s="48" t="n"/>
      <c r="F3855" s="48" t="n"/>
      <c r="G3855" s="49" t="n"/>
      <c r="H3855" s="48" t="n"/>
      <c r="I3855" s="50" t="n"/>
      <c r="J3855" s="48" t="n"/>
      <c r="K3855" s="48" t="n"/>
      <c r="L3855" s="48" t="n"/>
      <c r="M3855" s="48" t="n"/>
      <c r="N3855" s="48" t="n"/>
      <c r="O3855" s="51">
        <f>IF(AND(B3855="",G3855="",C3855="",D3855="",J3855=""),"",IF(B3855="","⚠ Falta fecha",IF(G3855="","⚠ Falta monto",IF(Q3855="","⚠ Falta cuenta",IF(ISNA(MATCH(Q3855,ctaNombre,0)),"⚠ Cuenta no registrada",IF(AND(OR(P3855="Gasto",P3855="Reembolso"),D3855=""),"⚠ Falta categoría",IF(AND(D3855&lt;&gt;"",E3855&lt;&gt;"",ISNA(MATCH(D3855&amp;"|"&amp;E3855,catClave,0))),"⚠ Subcategoría no corresponde",IF(AND(OR(P3855="Transferencia",P3855="Pago tarjeta"),K3855=""),"⚠ Falta cuenta destino",IF(AND(K3855&lt;&gt;"",P3855&lt;&gt;"Transferencia",P3855&lt;&gt;"Pago tarjeta"),"⚠ Destino solo aplica a transferencias",IF(AND(K3855&lt;&gt;"",K3855=Q3855),"⚠ Origen igual a destino",IF(AND(K3855&lt;&gt;"",ISNA(MATCH(K3855,ctaNombre,0))),"⚠ Destino no registrado",IF(AND(P3855="Pago tarjeta",AE3855&lt;&gt;"Tarjeta de crédito"),"⚠ El destino debe ser tarjeta de crédito",IF(AND(P3855="Gasto",E3855="Depósitos y retiros"),"⚠ Usa tipo Transferencia",IF(AND(P3855="Resultado trading",AD3855&lt;&gt;"Cuenta de trading"),"⚠ Usa una cuenta de trading",IF(AND(G3855&lt;=0,P3855&lt;&gt;"Ajuste",P3855&lt;&gt;"Resultado trading"),"⚠ El monto debe ser positivo","✓")))))))))))))))</f>
        <v/>
      </c>
      <c r="P3855" s="52">
        <f>IF(OR(B3855="",G3855=""),"",IF(C3855="","Gasto",C3855))</f>
        <v/>
      </c>
      <c r="Q3855" s="52">
        <f>IF(P3855="","",IF(J3855&lt;&gt;"",J3855,CuentaPred&amp;""))</f>
        <v/>
      </c>
      <c r="R3855" s="52">
        <f>IF(P3855="","",IF(ISNUMBER(I3855),I3855,TasaUSD))</f>
        <v/>
      </c>
      <c r="S3855" s="53">
        <f>IF(P3855="","",IF(H3855="USD",G3855*R3855,G3855))</f>
        <v/>
      </c>
      <c r="T3855" s="53">
        <f>IF(P3855="","",IF(H3855="USD",G3855,IF(R3855&gt;0,G3855/R3855,0)))</f>
        <v/>
      </c>
      <c r="U3855" s="53">
        <f>IF(P3855="","",IF(P3855="Gasto",S3855,IF(P3855="Reembolso",-S3855,0)))</f>
        <v/>
      </c>
      <c r="V3855" s="53">
        <f>IF(P3855="","",IF(P3855="Ingreso",S3855,0))</f>
        <v/>
      </c>
      <c r="W3855" s="53">
        <f>IF(P3855="","",IF(P3855="Resultado trading",S3855,0))</f>
        <v/>
      </c>
      <c r="X3855" s="52">
        <f>IF(OR(P3855="Gasto",P3855="Reembolso"),IF(M3855&lt;&gt;"",M3855,IFERROR(INDEX(catClasif,MATCH(D3855&amp;"|"&amp;E3855,catClave,0))&amp;"","Variable")),"")</f>
        <v/>
      </c>
      <c r="Y3855" s="52">
        <f>IF(P3855="","",IFERROR(INDEX(catGrupo,MATCH(D3855&amp;"|"&amp;E3855,catClave,0))&amp;"",""))</f>
        <v/>
      </c>
      <c r="Z3855" s="52">
        <f>IF(P3855="","",WEEKDAY(B3855,2))</f>
        <v/>
      </c>
      <c r="AA3855" s="52">
        <f>IF(P3855="","",IF(AND(P3855="Gasto",X3855="Variable",D3855&lt;&gt;catTrading,S3855&gt;0,S3855&lt;=Umbral),1,0))</f>
        <v/>
      </c>
      <c r="AB3855" s="52">
        <f>IF(OR(P3855="",Q3855=""),"",IFERROR(IF(INDEX(ctaVinc,MATCH(Q3855,ctaNombre,0))&amp;""&lt;&gt;"",INDEX(ctaVinc,MATCH(Q3855,ctaNombre,0))&amp;"",Q3855),Q3855))</f>
        <v/>
      </c>
      <c r="AC3855" s="52">
        <f>IF(OR(K3855="",AND(P3855&lt;&gt;"Transferencia",P3855&lt;&gt;"Pago tarjeta")),"",IFERROR(IF(INDEX(ctaVinc,MATCH(K3855,ctaNombre,0))&amp;""&lt;&gt;"",INDEX(ctaVinc,MATCH(K3855,ctaNombre,0))&amp;"",K3855),K3855))</f>
        <v/>
      </c>
      <c r="AD3855" s="52">
        <f>IF(AB3855="","",IFERROR(INDEX(ctaTipo,MATCH(AB3855,ctaNombre,0))&amp;"",""))</f>
        <v/>
      </c>
      <c r="AE3855" s="52">
        <f>IF(AC3855="","",IFERROR(INDEX(ctaTipo,MATCH(AC3855,ctaNombre,0))&amp;"",""))</f>
        <v/>
      </c>
      <c r="AF3855" s="53">
        <f>IF(OR(P3855="",AB3855=""),"",IF(OR(P3855="Gasto",P3855="Transferencia",P3855="Pago tarjeta"),-1,1)*IF(IFERROR(INDEX(ctaMoneda,MATCH(AB3855,ctaNombre,0))&amp;"","DOP")="USD",T3855,S3855))</f>
        <v/>
      </c>
      <c r="AG3855" s="53">
        <f>IF(AC3855="","",IF(IFERROR(INDEX(ctaMoneda,MATCH(AC3855,ctaNombre,0))&amp;"","DOP")="USD",T3855,S3855))</f>
        <v/>
      </c>
      <c r="AH3855" s="53">
        <f>IF(P3855="","",IF(AND(AD3855&lt;&gt;"",COUNTIFS(tcTipo,AD3855,tcLiq,"Sí")&gt;0),IF(OR(P3855="Gasto",P3855="Transferencia",P3855="Pago tarjeta"),-1,1)*S3855,0)+IF(AND(AE3855&lt;&gt;"",COUNTIFS(tcTipo,AE3855,tcLiq,"Sí")&gt;0),S3855,0))</f>
        <v/>
      </c>
      <c r="AI3855" s="52">
        <f>IF(OR(L3855="",P3855=""),"",IF(COUNTIFS(L$6:L3855,L3855,P$6:P3855,"?*")=1,MAX(AI$5:AI3854)+1,""))</f>
        <v/>
      </c>
    </row>
    <row r="3856">
      <c r="B3856" s="47" t="n"/>
      <c r="C3856" s="48" t="n"/>
      <c r="D3856" s="48" t="n"/>
      <c r="E3856" s="48" t="n"/>
      <c r="F3856" s="48" t="n"/>
      <c r="G3856" s="49" t="n"/>
      <c r="H3856" s="48" t="n"/>
      <c r="I3856" s="50" t="n"/>
      <c r="J3856" s="48" t="n"/>
      <c r="K3856" s="48" t="n"/>
      <c r="L3856" s="48" t="n"/>
      <c r="M3856" s="48" t="n"/>
      <c r="N3856" s="48" t="n"/>
      <c r="O3856" s="51">
        <f>IF(AND(B3856="",G3856="",C3856="",D3856="",J3856=""),"",IF(B3856="","⚠ Falta fecha",IF(G3856="","⚠ Falta monto",IF(Q3856="","⚠ Falta cuenta",IF(ISNA(MATCH(Q3856,ctaNombre,0)),"⚠ Cuenta no registrada",IF(AND(OR(P3856="Gasto",P3856="Reembolso"),D3856=""),"⚠ Falta categoría",IF(AND(D3856&lt;&gt;"",E3856&lt;&gt;"",ISNA(MATCH(D3856&amp;"|"&amp;E3856,catClave,0))),"⚠ Subcategoría no corresponde",IF(AND(OR(P3856="Transferencia",P3856="Pago tarjeta"),K3856=""),"⚠ Falta cuenta destino",IF(AND(K3856&lt;&gt;"",P3856&lt;&gt;"Transferencia",P3856&lt;&gt;"Pago tarjeta"),"⚠ Destino solo aplica a transferencias",IF(AND(K3856&lt;&gt;"",K3856=Q3856),"⚠ Origen igual a destino",IF(AND(K3856&lt;&gt;"",ISNA(MATCH(K3856,ctaNombre,0))),"⚠ Destino no registrado",IF(AND(P3856="Pago tarjeta",AE3856&lt;&gt;"Tarjeta de crédito"),"⚠ El destino debe ser tarjeta de crédito",IF(AND(P3856="Gasto",E3856="Depósitos y retiros"),"⚠ Usa tipo Transferencia",IF(AND(P3856="Resultado trading",AD3856&lt;&gt;"Cuenta de trading"),"⚠ Usa una cuenta de trading",IF(AND(G3856&lt;=0,P3856&lt;&gt;"Ajuste",P3856&lt;&gt;"Resultado trading"),"⚠ El monto debe ser positivo","✓")))))))))))))))</f>
        <v/>
      </c>
      <c r="P3856" s="52">
        <f>IF(OR(B3856="",G3856=""),"",IF(C3856="","Gasto",C3856))</f>
        <v/>
      </c>
      <c r="Q3856" s="52">
        <f>IF(P3856="","",IF(J3856&lt;&gt;"",J3856,CuentaPred&amp;""))</f>
        <v/>
      </c>
      <c r="R3856" s="52">
        <f>IF(P3856="","",IF(ISNUMBER(I3856),I3856,TasaUSD))</f>
        <v/>
      </c>
      <c r="S3856" s="53">
        <f>IF(P3856="","",IF(H3856="USD",G3856*R3856,G3856))</f>
        <v/>
      </c>
      <c r="T3856" s="53">
        <f>IF(P3856="","",IF(H3856="USD",G3856,IF(R3856&gt;0,G3856/R3856,0)))</f>
        <v/>
      </c>
      <c r="U3856" s="53">
        <f>IF(P3856="","",IF(P3856="Gasto",S3856,IF(P3856="Reembolso",-S3856,0)))</f>
        <v/>
      </c>
      <c r="V3856" s="53">
        <f>IF(P3856="","",IF(P3856="Ingreso",S3856,0))</f>
        <v/>
      </c>
      <c r="W3856" s="53">
        <f>IF(P3856="","",IF(P3856="Resultado trading",S3856,0))</f>
        <v/>
      </c>
      <c r="X3856" s="52">
        <f>IF(OR(P3856="Gasto",P3856="Reembolso"),IF(M3856&lt;&gt;"",M3856,IFERROR(INDEX(catClasif,MATCH(D3856&amp;"|"&amp;E3856,catClave,0))&amp;"","Variable")),"")</f>
        <v/>
      </c>
      <c r="Y3856" s="52">
        <f>IF(P3856="","",IFERROR(INDEX(catGrupo,MATCH(D3856&amp;"|"&amp;E3856,catClave,0))&amp;"",""))</f>
        <v/>
      </c>
      <c r="Z3856" s="52">
        <f>IF(P3856="","",WEEKDAY(B3856,2))</f>
        <v/>
      </c>
      <c r="AA3856" s="52">
        <f>IF(P3856="","",IF(AND(P3856="Gasto",X3856="Variable",D3856&lt;&gt;catTrading,S3856&gt;0,S3856&lt;=Umbral),1,0))</f>
        <v/>
      </c>
      <c r="AB3856" s="52">
        <f>IF(OR(P3856="",Q3856=""),"",IFERROR(IF(INDEX(ctaVinc,MATCH(Q3856,ctaNombre,0))&amp;""&lt;&gt;"",INDEX(ctaVinc,MATCH(Q3856,ctaNombre,0))&amp;"",Q3856),Q3856))</f>
        <v/>
      </c>
      <c r="AC3856" s="52">
        <f>IF(OR(K3856="",AND(P3856&lt;&gt;"Transferencia",P3856&lt;&gt;"Pago tarjeta")),"",IFERROR(IF(INDEX(ctaVinc,MATCH(K3856,ctaNombre,0))&amp;""&lt;&gt;"",INDEX(ctaVinc,MATCH(K3856,ctaNombre,0))&amp;"",K3856),K3856))</f>
        <v/>
      </c>
      <c r="AD3856" s="52">
        <f>IF(AB3856="","",IFERROR(INDEX(ctaTipo,MATCH(AB3856,ctaNombre,0))&amp;"",""))</f>
        <v/>
      </c>
      <c r="AE3856" s="52">
        <f>IF(AC3856="","",IFERROR(INDEX(ctaTipo,MATCH(AC3856,ctaNombre,0))&amp;"",""))</f>
        <v/>
      </c>
      <c r="AF3856" s="53">
        <f>IF(OR(P3856="",AB3856=""),"",IF(OR(P3856="Gasto",P3856="Transferencia",P3856="Pago tarjeta"),-1,1)*IF(IFERROR(INDEX(ctaMoneda,MATCH(AB3856,ctaNombre,0))&amp;"","DOP")="USD",T3856,S3856))</f>
        <v/>
      </c>
      <c r="AG3856" s="53">
        <f>IF(AC3856="","",IF(IFERROR(INDEX(ctaMoneda,MATCH(AC3856,ctaNombre,0))&amp;"","DOP")="USD",T3856,S3856))</f>
        <v/>
      </c>
      <c r="AH3856" s="53">
        <f>IF(P3856="","",IF(AND(AD3856&lt;&gt;"",COUNTIFS(tcTipo,AD3856,tcLiq,"Sí")&gt;0),IF(OR(P3856="Gasto",P3856="Transferencia",P3856="Pago tarjeta"),-1,1)*S3856,0)+IF(AND(AE3856&lt;&gt;"",COUNTIFS(tcTipo,AE3856,tcLiq,"Sí")&gt;0),S3856,0))</f>
        <v/>
      </c>
      <c r="AI3856" s="52">
        <f>IF(OR(L3856="",P3856=""),"",IF(COUNTIFS(L$6:L3856,L3856,P$6:P3856,"?*")=1,MAX(AI$5:AI3855)+1,""))</f>
        <v/>
      </c>
    </row>
    <row r="3857">
      <c r="B3857" s="47" t="n"/>
      <c r="C3857" s="48" t="n"/>
      <c r="D3857" s="48" t="n"/>
      <c r="E3857" s="48" t="n"/>
      <c r="F3857" s="48" t="n"/>
      <c r="G3857" s="49" t="n"/>
      <c r="H3857" s="48" t="n"/>
      <c r="I3857" s="50" t="n"/>
      <c r="J3857" s="48" t="n"/>
      <c r="K3857" s="48" t="n"/>
      <c r="L3857" s="48" t="n"/>
      <c r="M3857" s="48" t="n"/>
      <c r="N3857" s="48" t="n"/>
      <c r="O3857" s="51">
        <f>IF(AND(B3857="",G3857="",C3857="",D3857="",J3857=""),"",IF(B3857="","⚠ Falta fecha",IF(G3857="","⚠ Falta monto",IF(Q3857="","⚠ Falta cuenta",IF(ISNA(MATCH(Q3857,ctaNombre,0)),"⚠ Cuenta no registrada",IF(AND(OR(P3857="Gasto",P3857="Reembolso"),D3857=""),"⚠ Falta categoría",IF(AND(D3857&lt;&gt;"",E3857&lt;&gt;"",ISNA(MATCH(D3857&amp;"|"&amp;E3857,catClave,0))),"⚠ Subcategoría no corresponde",IF(AND(OR(P3857="Transferencia",P3857="Pago tarjeta"),K3857=""),"⚠ Falta cuenta destino",IF(AND(K3857&lt;&gt;"",P3857&lt;&gt;"Transferencia",P3857&lt;&gt;"Pago tarjeta"),"⚠ Destino solo aplica a transferencias",IF(AND(K3857&lt;&gt;"",K3857=Q3857),"⚠ Origen igual a destino",IF(AND(K3857&lt;&gt;"",ISNA(MATCH(K3857,ctaNombre,0))),"⚠ Destino no registrado",IF(AND(P3857="Pago tarjeta",AE3857&lt;&gt;"Tarjeta de crédito"),"⚠ El destino debe ser tarjeta de crédito",IF(AND(P3857="Gasto",E3857="Depósitos y retiros"),"⚠ Usa tipo Transferencia",IF(AND(P3857="Resultado trading",AD3857&lt;&gt;"Cuenta de trading"),"⚠ Usa una cuenta de trading",IF(AND(G3857&lt;=0,P3857&lt;&gt;"Ajuste",P3857&lt;&gt;"Resultado trading"),"⚠ El monto debe ser positivo","✓")))))))))))))))</f>
        <v/>
      </c>
      <c r="P3857" s="52">
        <f>IF(OR(B3857="",G3857=""),"",IF(C3857="","Gasto",C3857))</f>
        <v/>
      </c>
      <c r="Q3857" s="52">
        <f>IF(P3857="","",IF(J3857&lt;&gt;"",J3857,CuentaPred&amp;""))</f>
        <v/>
      </c>
      <c r="R3857" s="52">
        <f>IF(P3857="","",IF(ISNUMBER(I3857),I3857,TasaUSD))</f>
        <v/>
      </c>
      <c r="S3857" s="53">
        <f>IF(P3857="","",IF(H3857="USD",G3857*R3857,G3857))</f>
        <v/>
      </c>
      <c r="T3857" s="53">
        <f>IF(P3857="","",IF(H3857="USD",G3857,IF(R3857&gt;0,G3857/R3857,0)))</f>
        <v/>
      </c>
      <c r="U3857" s="53">
        <f>IF(P3857="","",IF(P3857="Gasto",S3857,IF(P3857="Reembolso",-S3857,0)))</f>
        <v/>
      </c>
      <c r="V3857" s="53">
        <f>IF(P3857="","",IF(P3857="Ingreso",S3857,0))</f>
        <v/>
      </c>
      <c r="W3857" s="53">
        <f>IF(P3857="","",IF(P3857="Resultado trading",S3857,0))</f>
        <v/>
      </c>
      <c r="X3857" s="52">
        <f>IF(OR(P3857="Gasto",P3857="Reembolso"),IF(M3857&lt;&gt;"",M3857,IFERROR(INDEX(catClasif,MATCH(D3857&amp;"|"&amp;E3857,catClave,0))&amp;"","Variable")),"")</f>
        <v/>
      </c>
      <c r="Y3857" s="52">
        <f>IF(P3857="","",IFERROR(INDEX(catGrupo,MATCH(D3857&amp;"|"&amp;E3857,catClave,0))&amp;"",""))</f>
        <v/>
      </c>
      <c r="Z3857" s="52">
        <f>IF(P3857="","",WEEKDAY(B3857,2))</f>
        <v/>
      </c>
      <c r="AA3857" s="52">
        <f>IF(P3857="","",IF(AND(P3857="Gasto",X3857="Variable",D3857&lt;&gt;catTrading,S3857&gt;0,S3857&lt;=Umbral),1,0))</f>
        <v/>
      </c>
      <c r="AB3857" s="52">
        <f>IF(OR(P3857="",Q3857=""),"",IFERROR(IF(INDEX(ctaVinc,MATCH(Q3857,ctaNombre,0))&amp;""&lt;&gt;"",INDEX(ctaVinc,MATCH(Q3857,ctaNombre,0))&amp;"",Q3857),Q3857))</f>
        <v/>
      </c>
      <c r="AC3857" s="52">
        <f>IF(OR(K3857="",AND(P3857&lt;&gt;"Transferencia",P3857&lt;&gt;"Pago tarjeta")),"",IFERROR(IF(INDEX(ctaVinc,MATCH(K3857,ctaNombre,0))&amp;""&lt;&gt;"",INDEX(ctaVinc,MATCH(K3857,ctaNombre,0))&amp;"",K3857),K3857))</f>
        <v/>
      </c>
      <c r="AD3857" s="52">
        <f>IF(AB3857="","",IFERROR(INDEX(ctaTipo,MATCH(AB3857,ctaNombre,0))&amp;"",""))</f>
        <v/>
      </c>
      <c r="AE3857" s="52">
        <f>IF(AC3857="","",IFERROR(INDEX(ctaTipo,MATCH(AC3857,ctaNombre,0))&amp;"",""))</f>
        <v/>
      </c>
      <c r="AF3857" s="53">
        <f>IF(OR(P3857="",AB3857=""),"",IF(OR(P3857="Gasto",P3857="Transferencia",P3857="Pago tarjeta"),-1,1)*IF(IFERROR(INDEX(ctaMoneda,MATCH(AB3857,ctaNombre,0))&amp;"","DOP")="USD",T3857,S3857))</f>
        <v/>
      </c>
      <c r="AG3857" s="53">
        <f>IF(AC3857="","",IF(IFERROR(INDEX(ctaMoneda,MATCH(AC3857,ctaNombre,0))&amp;"","DOP")="USD",T3857,S3857))</f>
        <v/>
      </c>
      <c r="AH3857" s="53">
        <f>IF(P3857="","",IF(AND(AD3857&lt;&gt;"",COUNTIFS(tcTipo,AD3857,tcLiq,"Sí")&gt;0),IF(OR(P3857="Gasto",P3857="Transferencia",P3857="Pago tarjeta"),-1,1)*S3857,0)+IF(AND(AE3857&lt;&gt;"",COUNTIFS(tcTipo,AE3857,tcLiq,"Sí")&gt;0),S3857,0))</f>
        <v/>
      </c>
      <c r="AI3857" s="52">
        <f>IF(OR(L3857="",P3857=""),"",IF(COUNTIFS(L$6:L3857,L3857,P$6:P3857,"?*")=1,MAX(AI$5:AI3856)+1,""))</f>
        <v/>
      </c>
    </row>
    <row r="3858">
      <c r="B3858" s="47" t="n"/>
      <c r="C3858" s="48" t="n"/>
      <c r="D3858" s="48" t="n"/>
      <c r="E3858" s="48" t="n"/>
      <c r="F3858" s="48" t="n"/>
      <c r="G3858" s="49" t="n"/>
      <c r="H3858" s="48" t="n"/>
      <c r="I3858" s="50" t="n"/>
      <c r="J3858" s="48" t="n"/>
      <c r="K3858" s="48" t="n"/>
      <c r="L3858" s="48" t="n"/>
      <c r="M3858" s="48" t="n"/>
      <c r="N3858" s="48" t="n"/>
      <c r="O3858" s="51">
        <f>IF(AND(B3858="",G3858="",C3858="",D3858="",J3858=""),"",IF(B3858="","⚠ Falta fecha",IF(G3858="","⚠ Falta monto",IF(Q3858="","⚠ Falta cuenta",IF(ISNA(MATCH(Q3858,ctaNombre,0)),"⚠ Cuenta no registrada",IF(AND(OR(P3858="Gasto",P3858="Reembolso"),D3858=""),"⚠ Falta categoría",IF(AND(D3858&lt;&gt;"",E3858&lt;&gt;"",ISNA(MATCH(D3858&amp;"|"&amp;E3858,catClave,0))),"⚠ Subcategoría no corresponde",IF(AND(OR(P3858="Transferencia",P3858="Pago tarjeta"),K3858=""),"⚠ Falta cuenta destino",IF(AND(K3858&lt;&gt;"",P3858&lt;&gt;"Transferencia",P3858&lt;&gt;"Pago tarjeta"),"⚠ Destino solo aplica a transferencias",IF(AND(K3858&lt;&gt;"",K3858=Q3858),"⚠ Origen igual a destino",IF(AND(K3858&lt;&gt;"",ISNA(MATCH(K3858,ctaNombre,0))),"⚠ Destino no registrado",IF(AND(P3858="Pago tarjeta",AE3858&lt;&gt;"Tarjeta de crédito"),"⚠ El destino debe ser tarjeta de crédito",IF(AND(P3858="Gasto",E3858="Depósitos y retiros"),"⚠ Usa tipo Transferencia",IF(AND(P3858="Resultado trading",AD3858&lt;&gt;"Cuenta de trading"),"⚠ Usa una cuenta de trading",IF(AND(G3858&lt;=0,P3858&lt;&gt;"Ajuste",P3858&lt;&gt;"Resultado trading"),"⚠ El monto debe ser positivo","✓")))))))))))))))</f>
        <v/>
      </c>
      <c r="P3858" s="52">
        <f>IF(OR(B3858="",G3858=""),"",IF(C3858="","Gasto",C3858))</f>
        <v/>
      </c>
      <c r="Q3858" s="52">
        <f>IF(P3858="","",IF(J3858&lt;&gt;"",J3858,CuentaPred&amp;""))</f>
        <v/>
      </c>
      <c r="R3858" s="52">
        <f>IF(P3858="","",IF(ISNUMBER(I3858),I3858,TasaUSD))</f>
        <v/>
      </c>
      <c r="S3858" s="53">
        <f>IF(P3858="","",IF(H3858="USD",G3858*R3858,G3858))</f>
        <v/>
      </c>
      <c r="T3858" s="53">
        <f>IF(P3858="","",IF(H3858="USD",G3858,IF(R3858&gt;0,G3858/R3858,0)))</f>
        <v/>
      </c>
      <c r="U3858" s="53">
        <f>IF(P3858="","",IF(P3858="Gasto",S3858,IF(P3858="Reembolso",-S3858,0)))</f>
        <v/>
      </c>
      <c r="V3858" s="53">
        <f>IF(P3858="","",IF(P3858="Ingreso",S3858,0))</f>
        <v/>
      </c>
      <c r="W3858" s="53">
        <f>IF(P3858="","",IF(P3858="Resultado trading",S3858,0))</f>
        <v/>
      </c>
      <c r="X3858" s="52">
        <f>IF(OR(P3858="Gasto",P3858="Reembolso"),IF(M3858&lt;&gt;"",M3858,IFERROR(INDEX(catClasif,MATCH(D3858&amp;"|"&amp;E3858,catClave,0))&amp;"","Variable")),"")</f>
        <v/>
      </c>
      <c r="Y3858" s="52">
        <f>IF(P3858="","",IFERROR(INDEX(catGrupo,MATCH(D3858&amp;"|"&amp;E3858,catClave,0))&amp;"",""))</f>
        <v/>
      </c>
      <c r="Z3858" s="52">
        <f>IF(P3858="","",WEEKDAY(B3858,2))</f>
        <v/>
      </c>
      <c r="AA3858" s="52">
        <f>IF(P3858="","",IF(AND(P3858="Gasto",X3858="Variable",D3858&lt;&gt;catTrading,S3858&gt;0,S3858&lt;=Umbral),1,0))</f>
        <v/>
      </c>
      <c r="AB3858" s="52">
        <f>IF(OR(P3858="",Q3858=""),"",IFERROR(IF(INDEX(ctaVinc,MATCH(Q3858,ctaNombre,0))&amp;""&lt;&gt;"",INDEX(ctaVinc,MATCH(Q3858,ctaNombre,0))&amp;"",Q3858),Q3858))</f>
        <v/>
      </c>
      <c r="AC3858" s="52">
        <f>IF(OR(K3858="",AND(P3858&lt;&gt;"Transferencia",P3858&lt;&gt;"Pago tarjeta")),"",IFERROR(IF(INDEX(ctaVinc,MATCH(K3858,ctaNombre,0))&amp;""&lt;&gt;"",INDEX(ctaVinc,MATCH(K3858,ctaNombre,0))&amp;"",K3858),K3858))</f>
        <v/>
      </c>
      <c r="AD3858" s="52">
        <f>IF(AB3858="","",IFERROR(INDEX(ctaTipo,MATCH(AB3858,ctaNombre,0))&amp;"",""))</f>
        <v/>
      </c>
      <c r="AE3858" s="52">
        <f>IF(AC3858="","",IFERROR(INDEX(ctaTipo,MATCH(AC3858,ctaNombre,0))&amp;"",""))</f>
        <v/>
      </c>
      <c r="AF3858" s="53">
        <f>IF(OR(P3858="",AB3858=""),"",IF(OR(P3858="Gasto",P3858="Transferencia",P3858="Pago tarjeta"),-1,1)*IF(IFERROR(INDEX(ctaMoneda,MATCH(AB3858,ctaNombre,0))&amp;"","DOP")="USD",T3858,S3858))</f>
        <v/>
      </c>
      <c r="AG3858" s="53">
        <f>IF(AC3858="","",IF(IFERROR(INDEX(ctaMoneda,MATCH(AC3858,ctaNombre,0))&amp;"","DOP")="USD",T3858,S3858))</f>
        <v/>
      </c>
      <c r="AH3858" s="53">
        <f>IF(P3858="","",IF(AND(AD3858&lt;&gt;"",COUNTIFS(tcTipo,AD3858,tcLiq,"Sí")&gt;0),IF(OR(P3858="Gasto",P3858="Transferencia",P3858="Pago tarjeta"),-1,1)*S3858,0)+IF(AND(AE3858&lt;&gt;"",COUNTIFS(tcTipo,AE3858,tcLiq,"Sí")&gt;0),S3858,0))</f>
        <v/>
      </c>
      <c r="AI3858" s="52">
        <f>IF(OR(L3858="",P3858=""),"",IF(COUNTIFS(L$6:L3858,L3858,P$6:P3858,"?*")=1,MAX(AI$5:AI3857)+1,""))</f>
        <v/>
      </c>
    </row>
    <row r="3859">
      <c r="B3859" s="47" t="n"/>
      <c r="C3859" s="48" t="n"/>
      <c r="D3859" s="48" t="n"/>
      <c r="E3859" s="48" t="n"/>
      <c r="F3859" s="48" t="n"/>
      <c r="G3859" s="49" t="n"/>
      <c r="H3859" s="48" t="n"/>
      <c r="I3859" s="50" t="n"/>
      <c r="J3859" s="48" t="n"/>
      <c r="K3859" s="48" t="n"/>
      <c r="L3859" s="48" t="n"/>
      <c r="M3859" s="48" t="n"/>
      <c r="N3859" s="48" t="n"/>
      <c r="O3859" s="51">
        <f>IF(AND(B3859="",G3859="",C3859="",D3859="",J3859=""),"",IF(B3859="","⚠ Falta fecha",IF(G3859="","⚠ Falta monto",IF(Q3859="","⚠ Falta cuenta",IF(ISNA(MATCH(Q3859,ctaNombre,0)),"⚠ Cuenta no registrada",IF(AND(OR(P3859="Gasto",P3859="Reembolso"),D3859=""),"⚠ Falta categoría",IF(AND(D3859&lt;&gt;"",E3859&lt;&gt;"",ISNA(MATCH(D3859&amp;"|"&amp;E3859,catClave,0))),"⚠ Subcategoría no corresponde",IF(AND(OR(P3859="Transferencia",P3859="Pago tarjeta"),K3859=""),"⚠ Falta cuenta destino",IF(AND(K3859&lt;&gt;"",P3859&lt;&gt;"Transferencia",P3859&lt;&gt;"Pago tarjeta"),"⚠ Destino solo aplica a transferencias",IF(AND(K3859&lt;&gt;"",K3859=Q3859),"⚠ Origen igual a destino",IF(AND(K3859&lt;&gt;"",ISNA(MATCH(K3859,ctaNombre,0))),"⚠ Destino no registrado",IF(AND(P3859="Pago tarjeta",AE3859&lt;&gt;"Tarjeta de crédito"),"⚠ El destino debe ser tarjeta de crédito",IF(AND(P3859="Gasto",E3859="Depósitos y retiros"),"⚠ Usa tipo Transferencia",IF(AND(P3859="Resultado trading",AD3859&lt;&gt;"Cuenta de trading"),"⚠ Usa una cuenta de trading",IF(AND(G3859&lt;=0,P3859&lt;&gt;"Ajuste",P3859&lt;&gt;"Resultado trading"),"⚠ El monto debe ser positivo","✓")))))))))))))))</f>
        <v/>
      </c>
      <c r="P3859" s="52">
        <f>IF(OR(B3859="",G3859=""),"",IF(C3859="","Gasto",C3859))</f>
        <v/>
      </c>
      <c r="Q3859" s="52">
        <f>IF(P3859="","",IF(J3859&lt;&gt;"",J3859,CuentaPred&amp;""))</f>
        <v/>
      </c>
      <c r="R3859" s="52">
        <f>IF(P3859="","",IF(ISNUMBER(I3859),I3859,TasaUSD))</f>
        <v/>
      </c>
      <c r="S3859" s="53">
        <f>IF(P3859="","",IF(H3859="USD",G3859*R3859,G3859))</f>
        <v/>
      </c>
      <c r="T3859" s="53">
        <f>IF(P3859="","",IF(H3859="USD",G3859,IF(R3859&gt;0,G3859/R3859,0)))</f>
        <v/>
      </c>
      <c r="U3859" s="53">
        <f>IF(P3859="","",IF(P3859="Gasto",S3859,IF(P3859="Reembolso",-S3859,0)))</f>
        <v/>
      </c>
      <c r="V3859" s="53">
        <f>IF(P3859="","",IF(P3859="Ingreso",S3859,0))</f>
        <v/>
      </c>
      <c r="W3859" s="53">
        <f>IF(P3859="","",IF(P3859="Resultado trading",S3859,0))</f>
        <v/>
      </c>
      <c r="X3859" s="52">
        <f>IF(OR(P3859="Gasto",P3859="Reembolso"),IF(M3859&lt;&gt;"",M3859,IFERROR(INDEX(catClasif,MATCH(D3859&amp;"|"&amp;E3859,catClave,0))&amp;"","Variable")),"")</f>
        <v/>
      </c>
      <c r="Y3859" s="52">
        <f>IF(P3859="","",IFERROR(INDEX(catGrupo,MATCH(D3859&amp;"|"&amp;E3859,catClave,0))&amp;"",""))</f>
        <v/>
      </c>
      <c r="Z3859" s="52">
        <f>IF(P3859="","",WEEKDAY(B3859,2))</f>
        <v/>
      </c>
      <c r="AA3859" s="52">
        <f>IF(P3859="","",IF(AND(P3859="Gasto",X3859="Variable",D3859&lt;&gt;catTrading,S3859&gt;0,S3859&lt;=Umbral),1,0))</f>
        <v/>
      </c>
      <c r="AB3859" s="52">
        <f>IF(OR(P3859="",Q3859=""),"",IFERROR(IF(INDEX(ctaVinc,MATCH(Q3859,ctaNombre,0))&amp;""&lt;&gt;"",INDEX(ctaVinc,MATCH(Q3859,ctaNombre,0))&amp;"",Q3859),Q3859))</f>
        <v/>
      </c>
      <c r="AC3859" s="52">
        <f>IF(OR(K3859="",AND(P3859&lt;&gt;"Transferencia",P3859&lt;&gt;"Pago tarjeta")),"",IFERROR(IF(INDEX(ctaVinc,MATCH(K3859,ctaNombre,0))&amp;""&lt;&gt;"",INDEX(ctaVinc,MATCH(K3859,ctaNombre,0))&amp;"",K3859),K3859))</f>
        <v/>
      </c>
      <c r="AD3859" s="52">
        <f>IF(AB3859="","",IFERROR(INDEX(ctaTipo,MATCH(AB3859,ctaNombre,0))&amp;"",""))</f>
        <v/>
      </c>
      <c r="AE3859" s="52">
        <f>IF(AC3859="","",IFERROR(INDEX(ctaTipo,MATCH(AC3859,ctaNombre,0))&amp;"",""))</f>
        <v/>
      </c>
      <c r="AF3859" s="53">
        <f>IF(OR(P3859="",AB3859=""),"",IF(OR(P3859="Gasto",P3859="Transferencia",P3859="Pago tarjeta"),-1,1)*IF(IFERROR(INDEX(ctaMoneda,MATCH(AB3859,ctaNombre,0))&amp;"","DOP")="USD",T3859,S3859))</f>
        <v/>
      </c>
      <c r="AG3859" s="53">
        <f>IF(AC3859="","",IF(IFERROR(INDEX(ctaMoneda,MATCH(AC3859,ctaNombre,0))&amp;"","DOP")="USD",T3859,S3859))</f>
        <v/>
      </c>
      <c r="AH3859" s="53">
        <f>IF(P3859="","",IF(AND(AD3859&lt;&gt;"",COUNTIFS(tcTipo,AD3859,tcLiq,"Sí")&gt;0),IF(OR(P3859="Gasto",P3859="Transferencia",P3859="Pago tarjeta"),-1,1)*S3859,0)+IF(AND(AE3859&lt;&gt;"",COUNTIFS(tcTipo,AE3859,tcLiq,"Sí")&gt;0),S3859,0))</f>
        <v/>
      </c>
      <c r="AI3859" s="52">
        <f>IF(OR(L3859="",P3859=""),"",IF(COUNTIFS(L$6:L3859,L3859,P$6:P3859,"?*")=1,MAX(AI$5:AI3858)+1,""))</f>
        <v/>
      </c>
    </row>
    <row r="3860">
      <c r="B3860" s="47" t="n"/>
      <c r="C3860" s="48" t="n"/>
      <c r="D3860" s="48" t="n"/>
      <c r="E3860" s="48" t="n"/>
      <c r="F3860" s="48" t="n"/>
      <c r="G3860" s="49" t="n"/>
      <c r="H3860" s="48" t="n"/>
      <c r="I3860" s="50" t="n"/>
      <c r="J3860" s="48" t="n"/>
      <c r="K3860" s="48" t="n"/>
      <c r="L3860" s="48" t="n"/>
      <c r="M3860" s="48" t="n"/>
      <c r="N3860" s="48" t="n"/>
      <c r="O3860" s="51">
        <f>IF(AND(B3860="",G3860="",C3860="",D3860="",J3860=""),"",IF(B3860="","⚠ Falta fecha",IF(G3860="","⚠ Falta monto",IF(Q3860="","⚠ Falta cuenta",IF(ISNA(MATCH(Q3860,ctaNombre,0)),"⚠ Cuenta no registrada",IF(AND(OR(P3860="Gasto",P3860="Reembolso"),D3860=""),"⚠ Falta categoría",IF(AND(D3860&lt;&gt;"",E3860&lt;&gt;"",ISNA(MATCH(D3860&amp;"|"&amp;E3860,catClave,0))),"⚠ Subcategoría no corresponde",IF(AND(OR(P3860="Transferencia",P3860="Pago tarjeta"),K3860=""),"⚠ Falta cuenta destino",IF(AND(K3860&lt;&gt;"",P3860&lt;&gt;"Transferencia",P3860&lt;&gt;"Pago tarjeta"),"⚠ Destino solo aplica a transferencias",IF(AND(K3860&lt;&gt;"",K3860=Q3860),"⚠ Origen igual a destino",IF(AND(K3860&lt;&gt;"",ISNA(MATCH(K3860,ctaNombre,0))),"⚠ Destino no registrado",IF(AND(P3860="Pago tarjeta",AE3860&lt;&gt;"Tarjeta de crédito"),"⚠ El destino debe ser tarjeta de crédito",IF(AND(P3860="Gasto",E3860="Depósitos y retiros"),"⚠ Usa tipo Transferencia",IF(AND(P3860="Resultado trading",AD3860&lt;&gt;"Cuenta de trading"),"⚠ Usa una cuenta de trading",IF(AND(G3860&lt;=0,P3860&lt;&gt;"Ajuste",P3860&lt;&gt;"Resultado trading"),"⚠ El monto debe ser positivo","✓")))))))))))))))</f>
        <v/>
      </c>
      <c r="P3860" s="52">
        <f>IF(OR(B3860="",G3860=""),"",IF(C3860="","Gasto",C3860))</f>
        <v/>
      </c>
      <c r="Q3860" s="52">
        <f>IF(P3860="","",IF(J3860&lt;&gt;"",J3860,CuentaPred&amp;""))</f>
        <v/>
      </c>
      <c r="R3860" s="52">
        <f>IF(P3860="","",IF(ISNUMBER(I3860),I3860,TasaUSD))</f>
        <v/>
      </c>
      <c r="S3860" s="53">
        <f>IF(P3860="","",IF(H3860="USD",G3860*R3860,G3860))</f>
        <v/>
      </c>
      <c r="T3860" s="53">
        <f>IF(P3860="","",IF(H3860="USD",G3860,IF(R3860&gt;0,G3860/R3860,0)))</f>
        <v/>
      </c>
      <c r="U3860" s="53">
        <f>IF(P3860="","",IF(P3860="Gasto",S3860,IF(P3860="Reembolso",-S3860,0)))</f>
        <v/>
      </c>
      <c r="V3860" s="53">
        <f>IF(P3860="","",IF(P3860="Ingreso",S3860,0))</f>
        <v/>
      </c>
      <c r="W3860" s="53">
        <f>IF(P3860="","",IF(P3860="Resultado trading",S3860,0))</f>
        <v/>
      </c>
      <c r="X3860" s="52">
        <f>IF(OR(P3860="Gasto",P3860="Reembolso"),IF(M3860&lt;&gt;"",M3860,IFERROR(INDEX(catClasif,MATCH(D3860&amp;"|"&amp;E3860,catClave,0))&amp;"","Variable")),"")</f>
        <v/>
      </c>
      <c r="Y3860" s="52">
        <f>IF(P3860="","",IFERROR(INDEX(catGrupo,MATCH(D3860&amp;"|"&amp;E3860,catClave,0))&amp;"",""))</f>
        <v/>
      </c>
      <c r="Z3860" s="52">
        <f>IF(P3860="","",WEEKDAY(B3860,2))</f>
        <v/>
      </c>
      <c r="AA3860" s="52">
        <f>IF(P3860="","",IF(AND(P3860="Gasto",X3860="Variable",D3860&lt;&gt;catTrading,S3860&gt;0,S3860&lt;=Umbral),1,0))</f>
        <v/>
      </c>
      <c r="AB3860" s="52">
        <f>IF(OR(P3860="",Q3860=""),"",IFERROR(IF(INDEX(ctaVinc,MATCH(Q3860,ctaNombre,0))&amp;""&lt;&gt;"",INDEX(ctaVinc,MATCH(Q3860,ctaNombre,0))&amp;"",Q3860),Q3860))</f>
        <v/>
      </c>
      <c r="AC3860" s="52">
        <f>IF(OR(K3860="",AND(P3860&lt;&gt;"Transferencia",P3860&lt;&gt;"Pago tarjeta")),"",IFERROR(IF(INDEX(ctaVinc,MATCH(K3860,ctaNombre,0))&amp;""&lt;&gt;"",INDEX(ctaVinc,MATCH(K3860,ctaNombre,0))&amp;"",K3860),K3860))</f>
        <v/>
      </c>
      <c r="AD3860" s="52">
        <f>IF(AB3860="","",IFERROR(INDEX(ctaTipo,MATCH(AB3860,ctaNombre,0))&amp;"",""))</f>
        <v/>
      </c>
      <c r="AE3860" s="52">
        <f>IF(AC3860="","",IFERROR(INDEX(ctaTipo,MATCH(AC3860,ctaNombre,0))&amp;"",""))</f>
        <v/>
      </c>
      <c r="AF3860" s="53">
        <f>IF(OR(P3860="",AB3860=""),"",IF(OR(P3860="Gasto",P3860="Transferencia",P3860="Pago tarjeta"),-1,1)*IF(IFERROR(INDEX(ctaMoneda,MATCH(AB3860,ctaNombre,0))&amp;"","DOP")="USD",T3860,S3860))</f>
        <v/>
      </c>
      <c r="AG3860" s="53">
        <f>IF(AC3860="","",IF(IFERROR(INDEX(ctaMoneda,MATCH(AC3860,ctaNombre,0))&amp;"","DOP")="USD",T3860,S3860))</f>
        <v/>
      </c>
      <c r="AH3860" s="53">
        <f>IF(P3860="","",IF(AND(AD3860&lt;&gt;"",COUNTIFS(tcTipo,AD3860,tcLiq,"Sí")&gt;0),IF(OR(P3860="Gasto",P3860="Transferencia",P3860="Pago tarjeta"),-1,1)*S3860,0)+IF(AND(AE3860&lt;&gt;"",COUNTIFS(tcTipo,AE3860,tcLiq,"Sí")&gt;0),S3860,0))</f>
        <v/>
      </c>
      <c r="AI3860" s="52">
        <f>IF(OR(L3860="",P3860=""),"",IF(COUNTIFS(L$6:L3860,L3860,P$6:P3860,"?*")=1,MAX(AI$5:AI3859)+1,""))</f>
        <v/>
      </c>
    </row>
    <row r="3861">
      <c r="B3861" s="47" t="n"/>
      <c r="C3861" s="48" t="n"/>
      <c r="D3861" s="48" t="n"/>
      <c r="E3861" s="48" t="n"/>
      <c r="F3861" s="48" t="n"/>
      <c r="G3861" s="49" t="n"/>
      <c r="H3861" s="48" t="n"/>
      <c r="I3861" s="50" t="n"/>
      <c r="J3861" s="48" t="n"/>
      <c r="K3861" s="48" t="n"/>
      <c r="L3861" s="48" t="n"/>
      <c r="M3861" s="48" t="n"/>
      <c r="N3861" s="48" t="n"/>
      <c r="O3861" s="51">
        <f>IF(AND(B3861="",G3861="",C3861="",D3861="",J3861=""),"",IF(B3861="","⚠ Falta fecha",IF(G3861="","⚠ Falta monto",IF(Q3861="","⚠ Falta cuenta",IF(ISNA(MATCH(Q3861,ctaNombre,0)),"⚠ Cuenta no registrada",IF(AND(OR(P3861="Gasto",P3861="Reembolso"),D3861=""),"⚠ Falta categoría",IF(AND(D3861&lt;&gt;"",E3861&lt;&gt;"",ISNA(MATCH(D3861&amp;"|"&amp;E3861,catClave,0))),"⚠ Subcategoría no corresponde",IF(AND(OR(P3861="Transferencia",P3861="Pago tarjeta"),K3861=""),"⚠ Falta cuenta destino",IF(AND(K3861&lt;&gt;"",P3861&lt;&gt;"Transferencia",P3861&lt;&gt;"Pago tarjeta"),"⚠ Destino solo aplica a transferencias",IF(AND(K3861&lt;&gt;"",K3861=Q3861),"⚠ Origen igual a destino",IF(AND(K3861&lt;&gt;"",ISNA(MATCH(K3861,ctaNombre,0))),"⚠ Destino no registrado",IF(AND(P3861="Pago tarjeta",AE3861&lt;&gt;"Tarjeta de crédito"),"⚠ El destino debe ser tarjeta de crédito",IF(AND(P3861="Gasto",E3861="Depósitos y retiros"),"⚠ Usa tipo Transferencia",IF(AND(P3861="Resultado trading",AD3861&lt;&gt;"Cuenta de trading"),"⚠ Usa una cuenta de trading",IF(AND(G3861&lt;=0,P3861&lt;&gt;"Ajuste",P3861&lt;&gt;"Resultado trading"),"⚠ El monto debe ser positivo","✓")))))))))))))))</f>
        <v/>
      </c>
      <c r="P3861" s="52">
        <f>IF(OR(B3861="",G3861=""),"",IF(C3861="","Gasto",C3861))</f>
        <v/>
      </c>
      <c r="Q3861" s="52">
        <f>IF(P3861="","",IF(J3861&lt;&gt;"",J3861,CuentaPred&amp;""))</f>
        <v/>
      </c>
      <c r="R3861" s="52">
        <f>IF(P3861="","",IF(ISNUMBER(I3861),I3861,TasaUSD))</f>
        <v/>
      </c>
      <c r="S3861" s="53">
        <f>IF(P3861="","",IF(H3861="USD",G3861*R3861,G3861))</f>
        <v/>
      </c>
      <c r="T3861" s="53">
        <f>IF(P3861="","",IF(H3861="USD",G3861,IF(R3861&gt;0,G3861/R3861,0)))</f>
        <v/>
      </c>
      <c r="U3861" s="53">
        <f>IF(P3861="","",IF(P3861="Gasto",S3861,IF(P3861="Reembolso",-S3861,0)))</f>
        <v/>
      </c>
      <c r="V3861" s="53">
        <f>IF(P3861="","",IF(P3861="Ingreso",S3861,0))</f>
        <v/>
      </c>
      <c r="W3861" s="53">
        <f>IF(P3861="","",IF(P3861="Resultado trading",S3861,0))</f>
        <v/>
      </c>
      <c r="X3861" s="52">
        <f>IF(OR(P3861="Gasto",P3861="Reembolso"),IF(M3861&lt;&gt;"",M3861,IFERROR(INDEX(catClasif,MATCH(D3861&amp;"|"&amp;E3861,catClave,0))&amp;"","Variable")),"")</f>
        <v/>
      </c>
      <c r="Y3861" s="52">
        <f>IF(P3861="","",IFERROR(INDEX(catGrupo,MATCH(D3861&amp;"|"&amp;E3861,catClave,0))&amp;"",""))</f>
        <v/>
      </c>
      <c r="Z3861" s="52">
        <f>IF(P3861="","",WEEKDAY(B3861,2))</f>
        <v/>
      </c>
      <c r="AA3861" s="52">
        <f>IF(P3861="","",IF(AND(P3861="Gasto",X3861="Variable",D3861&lt;&gt;catTrading,S3861&gt;0,S3861&lt;=Umbral),1,0))</f>
        <v/>
      </c>
      <c r="AB3861" s="52">
        <f>IF(OR(P3861="",Q3861=""),"",IFERROR(IF(INDEX(ctaVinc,MATCH(Q3861,ctaNombre,0))&amp;""&lt;&gt;"",INDEX(ctaVinc,MATCH(Q3861,ctaNombre,0))&amp;"",Q3861),Q3861))</f>
        <v/>
      </c>
      <c r="AC3861" s="52">
        <f>IF(OR(K3861="",AND(P3861&lt;&gt;"Transferencia",P3861&lt;&gt;"Pago tarjeta")),"",IFERROR(IF(INDEX(ctaVinc,MATCH(K3861,ctaNombre,0))&amp;""&lt;&gt;"",INDEX(ctaVinc,MATCH(K3861,ctaNombre,0))&amp;"",K3861),K3861))</f>
        <v/>
      </c>
      <c r="AD3861" s="52">
        <f>IF(AB3861="","",IFERROR(INDEX(ctaTipo,MATCH(AB3861,ctaNombre,0))&amp;"",""))</f>
        <v/>
      </c>
      <c r="AE3861" s="52">
        <f>IF(AC3861="","",IFERROR(INDEX(ctaTipo,MATCH(AC3861,ctaNombre,0))&amp;"",""))</f>
        <v/>
      </c>
      <c r="AF3861" s="53">
        <f>IF(OR(P3861="",AB3861=""),"",IF(OR(P3861="Gasto",P3861="Transferencia",P3861="Pago tarjeta"),-1,1)*IF(IFERROR(INDEX(ctaMoneda,MATCH(AB3861,ctaNombre,0))&amp;"","DOP")="USD",T3861,S3861))</f>
        <v/>
      </c>
      <c r="AG3861" s="53">
        <f>IF(AC3861="","",IF(IFERROR(INDEX(ctaMoneda,MATCH(AC3861,ctaNombre,0))&amp;"","DOP")="USD",T3861,S3861))</f>
        <v/>
      </c>
      <c r="AH3861" s="53">
        <f>IF(P3861="","",IF(AND(AD3861&lt;&gt;"",COUNTIFS(tcTipo,AD3861,tcLiq,"Sí")&gt;0),IF(OR(P3861="Gasto",P3861="Transferencia",P3861="Pago tarjeta"),-1,1)*S3861,0)+IF(AND(AE3861&lt;&gt;"",COUNTIFS(tcTipo,AE3861,tcLiq,"Sí")&gt;0),S3861,0))</f>
        <v/>
      </c>
      <c r="AI3861" s="52">
        <f>IF(OR(L3861="",P3861=""),"",IF(COUNTIFS(L$6:L3861,L3861,P$6:P3861,"?*")=1,MAX(AI$5:AI3860)+1,""))</f>
        <v/>
      </c>
    </row>
    <row r="3862">
      <c r="B3862" s="47" t="n"/>
      <c r="C3862" s="48" t="n"/>
      <c r="D3862" s="48" t="n"/>
      <c r="E3862" s="48" t="n"/>
      <c r="F3862" s="48" t="n"/>
      <c r="G3862" s="49" t="n"/>
      <c r="H3862" s="48" t="n"/>
      <c r="I3862" s="50" t="n"/>
      <c r="J3862" s="48" t="n"/>
      <c r="K3862" s="48" t="n"/>
      <c r="L3862" s="48" t="n"/>
      <c r="M3862" s="48" t="n"/>
      <c r="N3862" s="48" t="n"/>
      <c r="O3862" s="51">
        <f>IF(AND(B3862="",G3862="",C3862="",D3862="",J3862=""),"",IF(B3862="","⚠ Falta fecha",IF(G3862="","⚠ Falta monto",IF(Q3862="","⚠ Falta cuenta",IF(ISNA(MATCH(Q3862,ctaNombre,0)),"⚠ Cuenta no registrada",IF(AND(OR(P3862="Gasto",P3862="Reembolso"),D3862=""),"⚠ Falta categoría",IF(AND(D3862&lt;&gt;"",E3862&lt;&gt;"",ISNA(MATCH(D3862&amp;"|"&amp;E3862,catClave,0))),"⚠ Subcategoría no corresponde",IF(AND(OR(P3862="Transferencia",P3862="Pago tarjeta"),K3862=""),"⚠ Falta cuenta destino",IF(AND(K3862&lt;&gt;"",P3862&lt;&gt;"Transferencia",P3862&lt;&gt;"Pago tarjeta"),"⚠ Destino solo aplica a transferencias",IF(AND(K3862&lt;&gt;"",K3862=Q3862),"⚠ Origen igual a destino",IF(AND(K3862&lt;&gt;"",ISNA(MATCH(K3862,ctaNombre,0))),"⚠ Destino no registrado",IF(AND(P3862="Pago tarjeta",AE3862&lt;&gt;"Tarjeta de crédito"),"⚠ El destino debe ser tarjeta de crédito",IF(AND(P3862="Gasto",E3862="Depósitos y retiros"),"⚠ Usa tipo Transferencia",IF(AND(P3862="Resultado trading",AD3862&lt;&gt;"Cuenta de trading"),"⚠ Usa una cuenta de trading",IF(AND(G3862&lt;=0,P3862&lt;&gt;"Ajuste",P3862&lt;&gt;"Resultado trading"),"⚠ El monto debe ser positivo","✓")))))))))))))))</f>
        <v/>
      </c>
      <c r="P3862" s="52">
        <f>IF(OR(B3862="",G3862=""),"",IF(C3862="","Gasto",C3862))</f>
        <v/>
      </c>
      <c r="Q3862" s="52">
        <f>IF(P3862="","",IF(J3862&lt;&gt;"",J3862,CuentaPred&amp;""))</f>
        <v/>
      </c>
      <c r="R3862" s="52">
        <f>IF(P3862="","",IF(ISNUMBER(I3862),I3862,TasaUSD))</f>
        <v/>
      </c>
      <c r="S3862" s="53">
        <f>IF(P3862="","",IF(H3862="USD",G3862*R3862,G3862))</f>
        <v/>
      </c>
      <c r="T3862" s="53">
        <f>IF(P3862="","",IF(H3862="USD",G3862,IF(R3862&gt;0,G3862/R3862,0)))</f>
        <v/>
      </c>
      <c r="U3862" s="53">
        <f>IF(P3862="","",IF(P3862="Gasto",S3862,IF(P3862="Reembolso",-S3862,0)))</f>
        <v/>
      </c>
      <c r="V3862" s="53">
        <f>IF(P3862="","",IF(P3862="Ingreso",S3862,0))</f>
        <v/>
      </c>
      <c r="W3862" s="53">
        <f>IF(P3862="","",IF(P3862="Resultado trading",S3862,0))</f>
        <v/>
      </c>
      <c r="X3862" s="52">
        <f>IF(OR(P3862="Gasto",P3862="Reembolso"),IF(M3862&lt;&gt;"",M3862,IFERROR(INDEX(catClasif,MATCH(D3862&amp;"|"&amp;E3862,catClave,0))&amp;"","Variable")),"")</f>
        <v/>
      </c>
      <c r="Y3862" s="52">
        <f>IF(P3862="","",IFERROR(INDEX(catGrupo,MATCH(D3862&amp;"|"&amp;E3862,catClave,0))&amp;"",""))</f>
        <v/>
      </c>
      <c r="Z3862" s="52">
        <f>IF(P3862="","",WEEKDAY(B3862,2))</f>
        <v/>
      </c>
      <c r="AA3862" s="52">
        <f>IF(P3862="","",IF(AND(P3862="Gasto",X3862="Variable",D3862&lt;&gt;catTrading,S3862&gt;0,S3862&lt;=Umbral),1,0))</f>
        <v/>
      </c>
      <c r="AB3862" s="52">
        <f>IF(OR(P3862="",Q3862=""),"",IFERROR(IF(INDEX(ctaVinc,MATCH(Q3862,ctaNombre,0))&amp;""&lt;&gt;"",INDEX(ctaVinc,MATCH(Q3862,ctaNombre,0))&amp;"",Q3862),Q3862))</f>
        <v/>
      </c>
      <c r="AC3862" s="52">
        <f>IF(OR(K3862="",AND(P3862&lt;&gt;"Transferencia",P3862&lt;&gt;"Pago tarjeta")),"",IFERROR(IF(INDEX(ctaVinc,MATCH(K3862,ctaNombre,0))&amp;""&lt;&gt;"",INDEX(ctaVinc,MATCH(K3862,ctaNombre,0))&amp;"",K3862),K3862))</f>
        <v/>
      </c>
      <c r="AD3862" s="52">
        <f>IF(AB3862="","",IFERROR(INDEX(ctaTipo,MATCH(AB3862,ctaNombre,0))&amp;"",""))</f>
        <v/>
      </c>
      <c r="AE3862" s="52">
        <f>IF(AC3862="","",IFERROR(INDEX(ctaTipo,MATCH(AC3862,ctaNombre,0))&amp;"",""))</f>
        <v/>
      </c>
      <c r="AF3862" s="53">
        <f>IF(OR(P3862="",AB3862=""),"",IF(OR(P3862="Gasto",P3862="Transferencia",P3862="Pago tarjeta"),-1,1)*IF(IFERROR(INDEX(ctaMoneda,MATCH(AB3862,ctaNombre,0))&amp;"","DOP")="USD",T3862,S3862))</f>
        <v/>
      </c>
      <c r="AG3862" s="53">
        <f>IF(AC3862="","",IF(IFERROR(INDEX(ctaMoneda,MATCH(AC3862,ctaNombre,0))&amp;"","DOP")="USD",T3862,S3862))</f>
        <v/>
      </c>
      <c r="AH3862" s="53">
        <f>IF(P3862="","",IF(AND(AD3862&lt;&gt;"",COUNTIFS(tcTipo,AD3862,tcLiq,"Sí")&gt;0),IF(OR(P3862="Gasto",P3862="Transferencia",P3862="Pago tarjeta"),-1,1)*S3862,0)+IF(AND(AE3862&lt;&gt;"",COUNTIFS(tcTipo,AE3862,tcLiq,"Sí")&gt;0),S3862,0))</f>
        <v/>
      </c>
      <c r="AI3862" s="52">
        <f>IF(OR(L3862="",P3862=""),"",IF(COUNTIFS(L$6:L3862,L3862,P$6:P3862,"?*")=1,MAX(AI$5:AI3861)+1,""))</f>
        <v/>
      </c>
    </row>
    <row r="3863">
      <c r="B3863" s="47" t="n"/>
      <c r="C3863" s="48" t="n"/>
      <c r="D3863" s="48" t="n"/>
      <c r="E3863" s="48" t="n"/>
      <c r="F3863" s="48" t="n"/>
      <c r="G3863" s="49" t="n"/>
      <c r="H3863" s="48" t="n"/>
      <c r="I3863" s="50" t="n"/>
      <c r="J3863" s="48" t="n"/>
      <c r="K3863" s="48" t="n"/>
      <c r="L3863" s="48" t="n"/>
      <c r="M3863" s="48" t="n"/>
      <c r="N3863" s="48" t="n"/>
      <c r="O3863" s="51">
        <f>IF(AND(B3863="",G3863="",C3863="",D3863="",J3863=""),"",IF(B3863="","⚠ Falta fecha",IF(G3863="","⚠ Falta monto",IF(Q3863="","⚠ Falta cuenta",IF(ISNA(MATCH(Q3863,ctaNombre,0)),"⚠ Cuenta no registrada",IF(AND(OR(P3863="Gasto",P3863="Reembolso"),D3863=""),"⚠ Falta categoría",IF(AND(D3863&lt;&gt;"",E3863&lt;&gt;"",ISNA(MATCH(D3863&amp;"|"&amp;E3863,catClave,0))),"⚠ Subcategoría no corresponde",IF(AND(OR(P3863="Transferencia",P3863="Pago tarjeta"),K3863=""),"⚠ Falta cuenta destino",IF(AND(K3863&lt;&gt;"",P3863&lt;&gt;"Transferencia",P3863&lt;&gt;"Pago tarjeta"),"⚠ Destino solo aplica a transferencias",IF(AND(K3863&lt;&gt;"",K3863=Q3863),"⚠ Origen igual a destino",IF(AND(K3863&lt;&gt;"",ISNA(MATCH(K3863,ctaNombre,0))),"⚠ Destino no registrado",IF(AND(P3863="Pago tarjeta",AE3863&lt;&gt;"Tarjeta de crédito"),"⚠ El destino debe ser tarjeta de crédito",IF(AND(P3863="Gasto",E3863="Depósitos y retiros"),"⚠ Usa tipo Transferencia",IF(AND(P3863="Resultado trading",AD3863&lt;&gt;"Cuenta de trading"),"⚠ Usa una cuenta de trading",IF(AND(G3863&lt;=0,P3863&lt;&gt;"Ajuste",P3863&lt;&gt;"Resultado trading"),"⚠ El monto debe ser positivo","✓")))))))))))))))</f>
        <v/>
      </c>
      <c r="P3863" s="52">
        <f>IF(OR(B3863="",G3863=""),"",IF(C3863="","Gasto",C3863))</f>
        <v/>
      </c>
      <c r="Q3863" s="52">
        <f>IF(P3863="","",IF(J3863&lt;&gt;"",J3863,CuentaPred&amp;""))</f>
        <v/>
      </c>
      <c r="R3863" s="52">
        <f>IF(P3863="","",IF(ISNUMBER(I3863),I3863,TasaUSD))</f>
        <v/>
      </c>
      <c r="S3863" s="53">
        <f>IF(P3863="","",IF(H3863="USD",G3863*R3863,G3863))</f>
        <v/>
      </c>
      <c r="T3863" s="53">
        <f>IF(P3863="","",IF(H3863="USD",G3863,IF(R3863&gt;0,G3863/R3863,0)))</f>
        <v/>
      </c>
      <c r="U3863" s="53">
        <f>IF(P3863="","",IF(P3863="Gasto",S3863,IF(P3863="Reembolso",-S3863,0)))</f>
        <v/>
      </c>
      <c r="V3863" s="53">
        <f>IF(P3863="","",IF(P3863="Ingreso",S3863,0))</f>
        <v/>
      </c>
      <c r="W3863" s="53">
        <f>IF(P3863="","",IF(P3863="Resultado trading",S3863,0))</f>
        <v/>
      </c>
      <c r="X3863" s="52">
        <f>IF(OR(P3863="Gasto",P3863="Reembolso"),IF(M3863&lt;&gt;"",M3863,IFERROR(INDEX(catClasif,MATCH(D3863&amp;"|"&amp;E3863,catClave,0))&amp;"","Variable")),"")</f>
        <v/>
      </c>
      <c r="Y3863" s="52">
        <f>IF(P3863="","",IFERROR(INDEX(catGrupo,MATCH(D3863&amp;"|"&amp;E3863,catClave,0))&amp;"",""))</f>
        <v/>
      </c>
      <c r="Z3863" s="52">
        <f>IF(P3863="","",WEEKDAY(B3863,2))</f>
        <v/>
      </c>
      <c r="AA3863" s="52">
        <f>IF(P3863="","",IF(AND(P3863="Gasto",X3863="Variable",D3863&lt;&gt;catTrading,S3863&gt;0,S3863&lt;=Umbral),1,0))</f>
        <v/>
      </c>
      <c r="AB3863" s="52">
        <f>IF(OR(P3863="",Q3863=""),"",IFERROR(IF(INDEX(ctaVinc,MATCH(Q3863,ctaNombre,0))&amp;""&lt;&gt;"",INDEX(ctaVinc,MATCH(Q3863,ctaNombre,0))&amp;"",Q3863),Q3863))</f>
        <v/>
      </c>
      <c r="AC3863" s="52">
        <f>IF(OR(K3863="",AND(P3863&lt;&gt;"Transferencia",P3863&lt;&gt;"Pago tarjeta")),"",IFERROR(IF(INDEX(ctaVinc,MATCH(K3863,ctaNombre,0))&amp;""&lt;&gt;"",INDEX(ctaVinc,MATCH(K3863,ctaNombre,0))&amp;"",K3863),K3863))</f>
        <v/>
      </c>
      <c r="AD3863" s="52">
        <f>IF(AB3863="","",IFERROR(INDEX(ctaTipo,MATCH(AB3863,ctaNombre,0))&amp;"",""))</f>
        <v/>
      </c>
      <c r="AE3863" s="52">
        <f>IF(AC3863="","",IFERROR(INDEX(ctaTipo,MATCH(AC3863,ctaNombre,0))&amp;"",""))</f>
        <v/>
      </c>
      <c r="AF3863" s="53">
        <f>IF(OR(P3863="",AB3863=""),"",IF(OR(P3863="Gasto",P3863="Transferencia",P3863="Pago tarjeta"),-1,1)*IF(IFERROR(INDEX(ctaMoneda,MATCH(AB3863,ctaNombre,0))&amp;"","DOP")="USD",T3863,S3863))</f>
        <v/>
      </c>
      <c r="AG3863" s="53">
        <f>IF(AC3863="","",IF(IFERROR(INDEX(ctaMoneda,MATCH(AC3863,ctaNombre,0))&amp;"","DOP")="USD",T3863,S3863))</f>
        <v/>
      </c>
      <c r="AH3863" s="53">
        <f>IF(P3863="","",IF(AND(AD3863&lt;&gt;"",COUNTIFS(tcTipo,AD3863,tcLiq,"Sí")&gt;0),IF(OR(P3863="Gasto",P3863="Transferencia",P3863="Pago tarjeta"),-1,1)*S3863,0)+IF(AND(AE3863&lt;&gt;"",COUNTIFS(tcTipo,AE3863,tcLiq,"Sí")&gt;0),S3863,0))</f>
        <v/>
      </c>
      <c r="AI3863" s="52">
        <f>IF(OR(L3863="",P3863=""),"",IF(COUNTIFS(L$6:L3863,L3863,P$6:P3863,"?*")=1,MAX(AI$5:AI3862)+1,""))</f>
        <v/>
      </c>
    </row>
    <row r="3864">
      <c r="B3864" s="47" t="n"/>
      <c r="C3864" s="48" t="n"/>
      <c r="D3864" s="48" t="n"/>
      <c r="E3864" s="48" t="n"/>
      <c r="F3864" s="48" t="n"/>
      <c r="G3864" s="49" t="n"/>
      <c r="H3864" s="48" t="n"/>
      <c r="I3864" s="50" t="n"/>
      <c r="J3864" s="48" t="n"/>
      <c r="K3864" s="48" t="n"/>
      <c r="L3864" s="48" t="n"/>
      <c r="M3864" s="48" t="n"/>
      <c r="N3864" s="48" t="n"/>
      <c r="O3864" s="51">
        <f>IF(AND(B3864="",G3864="",C3864="",D3864="",J3864=""),"",IF(B3864="","⚠ Falta fecha",IF(G3864="","⚠ Falta monto",IF(Q3864="","⚠ Falta cuenta",IF(ISNA(MATCH(Q3864,ctaNombre,0)),"⚠ Cuenta no registrada",IF(AND(OR(P3864="Gasto",P3864="Reembolso"),D3864=""),"⚠ Falta categoría",IF(AND(D3864&lt;&gt;"",E3864&lt;&gt;"",ISNA(MATCH(D3864&amp;"|"&amp;E3864,catClave,0))),"⚠ Subcategoría no corresponde",IF(AND(OR(P3864="Transferencia",P3864="Pago tarjeta"),K3864=""),"⚠ Falta cuenta destino",IF(AND(K3864&lt;&gt;"",P3864&lt;&gt;"Transferencia",P3864&lt;&gt;"Pago tarjeta"),"⚠ Destino solo aplica a transferencias",IF(AND(K3864&lt;&gt;"",K3864=Q3864),"⚠ Origen igual a destino",IF(AND(K3864&lt;&gt;"",ISNA(MATCH(K3864,ctaNombre,0))),"⚠ Destino no registrado",IF(AND(P3864="Pago tarjeta",AE3864&lt;&gt;"Tarjeta de crédito"),"⚠ El destino debe ser tarjeta de crédito",IF(AND(P3864="Gasto",E3864="Depósitos y retiros"),"⚠ Usa tipo Transferencia",IF(AND(P3864="Resultado trading",AD3864&lt;&gt;"Cuenta de trading"),"⚠ Usa una cuenta de trading",IF(AND(G3864&lt;=0,P3864&lt;&gt;"Ajuste",P3864&lt;&gt;"Resultado trading"),"⚠ El monto debe ser positivo","✓")))))))))))))))</f>
        <v/>
      </c>
      <c r="P3864" s="52">
        <f>IF(OR(B3864="",G3864=""),"",IF(C3864="","Gasto",C3864))</f>
        <v/>
      </c>
      <c r="Q3864" s="52">
        <f>IF(P3864="","",IF(J3864&lt;&gt;"",J3864,CuentaPred&amp;""))</f>
        <v/>
      </c>
      <c r="R3864" s="52">
        <f>IF(P3864="","",IF(ISNUMBER(I3864),I3864,TasaUSD))</f>
        <v/>
      </c>
      <c r="S3864" s="53">
        <f>IF(P3864="","",IF(H3864="USD",G3864*R3864,G3864))</f>
        <v/>
      </c>
      <c r="T3864" s="53">
        <f>IF(P3864="","",IF(H3864="USD",G3864,IF(R3864&gt;0,G3864/R3864,0)))</f>
        <v/>
      </c>
      <c r="U3864" s="53">
        <f>IF(P3864="","",IF(P3864="Gasto",S3864,IF(P3864="Reembolso",-S3864,0)))</f>
        <v/>
      </c>
      <c r="V3864" s="53">
        <f>IF(P3864="","",IF(P3864="Ingreso",S3864,0))</f>
        <v/>
      </c>
      <c r="W3864" s="53">
        <f>IF(P3864="","",IF(P3864="Resultado trading",S3864,0))</f>
        <v/>
      </c>
      <c r="X3864" s="52">
        <f>IF(OR(P3864="Gasto",P3864="Reembolso"),IF(M3864&lt;&gt;"",M3864,IFERROR(INDEX(catClasif,MATCH(D3864&amp;"|"&amp;E3864,catClave,0))&amp;"","Variable")),"")</f>
        <v/>
      </c>
      <c r="Y3864" s="52">
        <f>IF(P3864="","",IFERROR(INDEX(catGrupo,MATCH(D3864&amp;"|"&amp;E3864,catClave,0))&amp;"",""))</f>
        <v/>
      </c>
      <c r="Z3864" s="52">
        <f>IF(P3864="","",WEEKDAY(B3864,2))</f>
        <v/>
      </c>
      <c r="AA3864" s="52">
        <f>IF(P3864="","",IF(AND(P3864="Gasto",X3864="Variable",D3864&lt;&gt;catTrading,S3864&gt;0,S3864&lt;=Umbral),1,0))</f>
        <v/>
      </c>
      <c r="AB3864" s="52">
        <f>IF(OR(P3864="",Q3864=""),"",IFERROR(IF(INDEX(ctaVinc,MATCH(Q3864,ctaNombre,0))&amp;""&lt;&gt;"",INDEX(ctaVinc,MATCH(Q3864,ctaNombre,0))&amp;"",Q3864),Q3864))</f>
        <v/>
      </c>
      <c r="AC3864" s="52">
        <f>IF(OR(K3864="",AND(P3864&lt;&gt;"Transferencia",P3864&lt;&gt;"Pago tarjeta")),"",IFERROR(IF(INDEX(ctaVinc,MATCH(K3864,ctaNombre,0))&amp;""&lt;&gt;"",INDEX(ctaVinc,MATCH(K3864,ctaNombre,0))&amp;"",K3864),K3864))</f>
        <v/>
      </c>
      <c r="AD3864" s="52">
        <f>IF(AB3864="","",IFERROR(INDEX(ctaTipo,MATCH(AB3864,ctaNombre,0))&amp;"",""))</f>
        <v/>
      </c>
      <c r="AE3864" s="52">
        <f>IF(AC3864="","",IFERROR(INDEX(ctaTipo,MATCH(AC3864,ctaNombre,0))&amp;"",""))</f>
        <v/>
      </c>
      <c r="AF3864" s="53">
        <f>IF(OR(P3864="",AB3864=""),"",IF(OR(P3864="Gasto",P3864="Transferencia",P3864="Pago tarjeta"),-1,1)*IF(IFERROR(INDEX(ctaMoneda,MATCH(AB3864,ctaNombre,0))&amp;"","DOP")="USD",T3864,S3864))</f>
        <v/>
      </c>
      <c r="AG3864" s="53">
        <f>IF(AC3864="","",IF(IFERROR(INDEX(ctaMoneda,MATCH(AC3864,ctaNombre,0))&amp;"","DOP")="USD",T3864,S3864))</f>
        <v/>
      </c>
      <c r="AH3864" s="53">
        <f>IF(P3864="","",IF(AND(AD3864&lt;&gt;"",COUNTIFS(tcTipo,AD3864,tcLiq,"Sí")&gt;0),IF(OR(P3864="Gasto",P3864="Transferencia",P3864="Pago tarjeta"),-1,1)*S3864,0)+IF(AND(AE3864&lt;&gt;"",COUNTIFS(tcTipo,AE3864,tcLiq,"Sí")&gt;0),S3864,0))</f>
        <v/>
      </c>
      <c r="AI3864" s="52">
        <f>IF(OR(L3864="",P3864=""),"",IF(COUNTIFS(L$6:L3864,L3864,P$6:P3864,"?*")=1,MAX(AI$5:AI3863)+1,""))</f>
        <v/>
      </c>
    </row>
    <row r="3865">
      <c r="B3865" s="47" t="n"/>
      <c r="C3865" s="48" t="n"/>
      <c r="D3865" s="48" t="n"/>
      <c r="E3865" s="48" t="n"/>
      <c r="F3865" s="48" t="n"/>
      <c r="G3865" s="49" t="n"/>
      <c r="H3865" s="48" t="n"/>
      <c r="I3865" s="50" t="n"/>
      <c r="J3865" s="48" t="n"/>
      <c r="K3865" s="48" t="n"/>
      <c r="L3865" s="48" t="n"/>
      <c r="M3865" s="48" t="n"/>
      <c r="N3865" s="48" t="n"/>
      <c r="O3865" s="51">
        <f>IF(AND(B3865="",G3865="",C3865="",D3865="",J3865=""),"",IF(B3865="","⚠ Falta fecha",IF(G3865="","⚠ Falta monto",IF(Q3865="","⚠ Falta cuenta",IF(ISNA(MATCH(Q3865,ctaNombre,0)),"⚠ Cuenta no registrada",IF(AND(OR(P3865="Gasto",P3865="Reembolso"),D3865=""),"⚠ Falta categoría",IF(AND(D3865&lt;&gt;"",E3865&lt;&gt;"",ISNA(MATCH(D3865&amp;"|"&amp;E3865,catClave,0))),"⚠ Subcategoría no corresponde",IF(AND(OR(P3865="Transferencia",P3865="Pago tarjeta"),K3865=""),"⚠ Falta cuenta destino",IF(AND(K3865&lt;&gt;"",P3865&lt;&gt;"Transferencia",P3865&lt;&gt;"Pago tarjeta"),"⚠ Destino solo aplica a transferencias",IF(AND(K3865&lt;&gt;"",K3865=Q3865),"⚠ Origen igual a destino",IF(AND(K3865&lt;&gt;"",ISNA(MATCH(K3865,ctaNombre,0))),"⚠ Destino no registrado",IF(AND(P3865="Pago tarjeta",AE3865&lt;&gt;"Tarjeta de crédito"),"⚠ El destino debe ser tarjeta de crédito",IF(AND(P3865="Gasto",E3865="Depósitos y retiros"),"⚠ Usa tipo Transferencia",IF(AND(P3865="Resultado trading",AD3865&lt;&gt;"Cuenta de trading"),"⚠ Usa una cuenta de trading",IF(AND(G3865&lt;=0,P3865&lt;&gt;"Ajuste",P3865&lt;&gt;"Resultado trading"),"⚠ El monto debe ser positivo","✓")))))))))))))))</f>
        <v/>
      </c>
      <c r="P3865" s="52">
        <f>IF(OR(B3865="",G3865=""),"",IF(C3865="","Gasto",C3865))</f>
        <v/>
      </c>
      <c r="Q3865" s="52">
        <f>IF(P3865="","",IF(J3865&lt;&gt;"",J3865,CuentaPred&amp;""))</f>
        <v/>
      </c>
      <c r="R3865" s="52">
        <f>IF(P3865="","",IF(ISNUMBER(I3865),I3865,TasaUSD))</f>
        <v/>
      </c>
      <c r="S3865" s="53">
        <f>IF(P3865="","",IF(H3865="USD",G3865*R3865,G3865))</f>
        <v/>
      </c>
      <c r="T3865" s="53">
        <f>IF(P3865="","",IF(H3865="USD",G3865,IF(R3865&gt;0,G3865/R3865,0)))</f>
        <v/>
      </c>
      <c r="U3865" s="53">
        <f>IF(P3865="","",IF(P3865="Gasto",S3865,IF(P3865="Reembolso",-S3865,0)))</f>
        <v/>
      </c>
      <c r="V3865" s="53">
        <f>IF(P3865="","",IF(P3865="Ingreso",S3865,0))</f>
        <v/>
      </c>
      <c r="W3865" s="53">
        <f>IF(P3865="","",IF(P3865="Resultado trading",S3865,0))</f>
        <v/>
      </c>
      <c r="X3865" s="52">
        <f>IF(OR(P3865="Gasto",P3865="Reembolso"),IF(M3865&lt;&gt;"",M3865,IFERROR(INDEX(catClasif,MATCH(D3865&amp;"|"&amp;E3865,catClave,0))&amp;"","Variable")),"")</f>
        <v/>
      </c>
      <c r="Y3865" s="52">
        <f>IF(P3865="","",IFERROR(INDEX(catGrupo,MATCH(D3865&amp;"|"&amp;E3865,catClave,0))&amp;"",""))</f>
        <v/>
      </c>
      <c r="Z3865" s="52">
        <f>IF(P3865="","",WEEKDAY(B3865,2))</f>
        <v/>
      </c>
      <c r="AA3865" s="52">
        <f>IF(P3865="","",IF(AND(P3865="Gasto",X3865="Variable",D3865&lt;&gt;catTrading,S3865&gt;0,S3865&lt;=Umbral),1,0))</f>
        <v/>
      </c>
      <c r="AB3865" s="52">
        <f>IF(OR(P3865="",Q3865=""),"",IFERROR(IF(INDEX(ctaVinc,MATCH(Q3865,ctaNombre,0))&amp;""&lt;&gt;"",INDEX(ctaVinc,MATCH(Q3865,ctaNombre,0))&amp;"",Q3865),Q3865))</f>
        <v/>
      </c>
      <c r="AC3865" s="52">
        <f>IF(OR(K3865="",AND(P3865&lt;&gt;"Transferencia",P3865&lt;&gt;"Pago tarjeta")),"",IFERROR(IF(INDEX(ctaVinc,MATCH(K3865,ctaNombre,0))&amp;""&lt;&gt;"",INDEX(ctaVinc,MATCH(K3865,ctaNombre,0))&amp;"",K3865),K3865))</f>
        <v/>
      </c>
      <c r="AD3865" s="52">
        <f>IF(AB3865="","",IFERROR(INDEX(ctaTipo,MATCH(AB3865,ctaNombre,0))&amp;"",""))</f>
        <v/>
      </c>
      <c r="AE3865" s="52">
        <f>IF(AC3865="","",IFERROR(INDEX(ctaTipo,MATCH(AC3865,ctaNombre,0))&amp;"",""))</f>
        <v/>
      </c>
      <c r="AF3865" s="53">
        <f>IF(OR(P3865="",AB3865=""),"",IF(OR(P3865="Gasto",P3865="Transferencia",P3865="Pago tarjeta"),-1,1)*IF(IFERROR(INDEX(ctaMoneda,MATCH(AB3865,ctaNombre,0))&amp;"","DOP")="USD",T3865,S3865))</f>
        <v/>
      </c>
      <c r="AG3865" s="53">
        <f>IF(AC3865="","",IF(IFERROR(INDEX(ctaMoneda,MATCH(AC3865,ctaNombre,0))&amp;"","DOP")="USD",T3865,S3865))</f>
        <v/>
      </c>
      <c r="AH3865" s="53">
        <f>IF(P3865="","",IF(AND(AD3865&lt;&gt;"",COUNTIFS(tcTipo,AD3865,tcLiq,"Sí")&gt;0),IF(OR(P3865="Gasto",P3865="Transferencia",P3865="Pago tarjeta"),-1,1)*S3865,0)+IF(AND(AE3865&lt;&gt;"",COUNTIFS(tcTipo,AE3865,tcLiq,"Sí")&gt;0),S3865,0))</f>
        <v/>
      </c>
      <c r="AI3865" s="52">
        <f>IF(OR(L3865="",P3865=""),"",IF(COUNTIFS(L$6:L3865,L3865,P$6:P3865,"?*")=1,MAX(AI$5:AI3864)+1,""))</f>
        <v/>
      </c>
    </row>
    <row r="3866">
      <c r="B3866" s="47" t="n"/>
      <c r="C3866" s="48" t="n"/>
      <c r="D3866" s="48" t="n"/>
      <c r="E3866" s="48" t="n"/>
      <c r="F3866" s="48" t="n"/>
      <c r="G3866" s="49" t="n"/>
      <c r="H3866" s="48" t="n"/>
      <c r="I3866" s="50" t="n"/>
      <c r="J3866" s="48" t="n"/>
      <c r="K3866" s="48" t="n"/>
      <c r="L3866" s="48" t="n"/>
      <c r="M3866" s="48" t="n"/>
      <c r="N3866" s="48" t="n"/>
      <c r="O3866" s="51">
        <f>IF(AND(B3866="",G3866="",C3866="",D3866="",J3866=""),"",IF(B3866="","⚠ Falta fecha",IF(G3866="","⚠ Falta monto",IF(Q3866="","⚠ Falta cuenta",IF(ISNA(MATCH(Q3866,ctaNombre,0)),"⚠ Cuenta no registrada",IF(AND(OR(P3866="Gasto",P3866="Reembolso"),D3866=""),"⚠ Falta categoría",IF(AND(D3866&lt;&gt;"",E3866&lt;&gt;"",ISNA(MATCH(D3866&amp;"|"&amp;E3866,catClave,0))),"⚠ Subcategoría no corresponde",IF(AND(OR(P3866="Transferencia",P3866="Pago tarjeta"),K3866=""),"⚠ Falta cuenta destino",IF(AND(K3866&lt;&gt;"",P3866&lt;&gt;"Transferencia",P3866&lt;&gt;"Pago tarjeta"),"⚠ Destino solo aplica a transferencias",IF(AND(K3866&lt;&gt;"",K3866=Q3866),"⚠ Origen igual a destino",IF(AND(K3866&lt;&gt;"",ISNA(MATCH(K3866,ctaNombre,0))),"⚠ Destino no registrado",IF(AND(P3866="Pago tarjeta",AE3866&lt;&gt;"Tarjeta de crédito"),"⚠ El destino debe ser tarjeta de crédito",IF(AND(P3866="Gasto",E3866="Depósitos y retiros"),"⚠ Usa tipo Transferencia",IF(AND(P3866="Resultado trading",AD3866&lt;&gt;"Cuenta de trading"),"⚠ Usa una cuenta de trading",IF(AND(G3866&lt;=0,P3866&lt;&gt;"Ajuste",P3866&lt;&gt;"Resultado trading"),"⚠ El monto debe ser positivo","✓")))))))))))))))</f>
        <v/>
      </c>
      <c r="P3866" s="52">
        <f>IF(OR(B3866="",G3866=""),"",IF(C3866="","Gasto",C3866))</f>
        <v/>
      </c>
      <c r="Q3866" s="52">
        <f>IF(P3866="","",IF(J3866&lt;&gt;"",J3866,CuentaPred&amp;""))</f>
        <v/>
      </c>
      <c r="R3866" s="52">
        <f>IF(P3866="","",IF(ISNUMBER(I3866),I3866,TasaUSD))</f>
        <v/>
      </c>
      <c r="S3866" s="53">
        <f>IF(P3866="","",IF(H3866="USD",G3866*R3866,G3866))</f>
        <v/>
      </c>
      <c r="T3866" s="53">
        <f>IF(P3866="","",IF(H3866="USD",G3866,IF(R3866&gt;0,G3866/R3866,0)))</f>
        <v/>
      </c>
      <c r="U3866" s="53">
        <f>IF(P3866="","",IF(P3866="Gasto",S3866,IF(P3866="Reembolso",-S3866,0)))</f>
        <v/>
      </c>
      <c r="V3866" s="53">
        <f>IF(P3866="","",IF(P3866="Ingreso",S3866,0))</f>
        <v/>
      </c>
      <c r="W3866" s="53">
        <f>IF(P3866="","",IF(P3866="Resultado trading",S3866,0))</f>
        <v/>
      </c>
      <c r="X3866" s="52">
        <f>IF(OR(P3866="Gasto",P3866="Reembolso"),IF(M3866&lt;&gt;"",M3866,IFERROR(INDEX(catClasif,MATCH(D3866&amp;"|"&amp;E3866,catClave,0))&amp;"","Variable")),"")</f>
        <v/>
      </c>
      <c r="Y3866" s="52">
        <f>IF(P3866="","",IFERROR(INDEX(catGrupo,MATCH(D3866&amp;"|"&amp;E3866,catClave,0))&amp;"",""))</f>
        <v/>
      </c>
      <c r="Z3866" s="52">
        <f>IF(P3866="","",WEEKDAY(B3866,2))</f>
        <v/>
      </c>
      <c r="AA3866" s="52">
        <f>IF(P3866="","",IF(AND(P3866="Gasto",X3866="Variable",D3866&lt;&gt;catTrading,S3866&gt;0,S3866&lt;=Umbral),1,0))</f>
        <v/>
      </c>
      <c r="AB3866" s="52">
        <f>IF(OR(P3866="",Q3866=""),"",IFERROR(IF(INDEX(ctaVinc,MATCH(Q3866,ctaNombre,0))&amp;""&lt;&gt;"",INDEX(ctaVinc,MATCH(Q3866,ctaNombre,0))&amp;"",Q3866),Q3866))</f>
        <v/>
      </c>
      <c r="AC3866" s="52">
        <f>IF(OR(K3866="",AND(P3866&lt;&gt;"Transferencia",P3866&lt;&gt;"Pago tarjeta")),"",IFERROR(IF(INDEX(ctaVinc,MATCH(K3866,ctaNombre,0))&amp;""&lt;&gt;"",INDEX(ctaVinc,MATCH(K3866,ctaNombre,0))&amp;"",K3866),K3866))</f>
        <v/>
      </c>
      <c r="AD3866" s="52">
        <f>IF(AB3866="","",IFERROR(INDEX(ctaTipo,MATCH(AB3866,ctaNombre,0))&amp;"",""))</f>
        <v/>
      </c>
      <c r="AE3866" s="52">
        <f>IF(AC3866="","",IFERROR(INDEX(ctaTipo,MATCH(AC3866,ctaNombre,0))&amp;"",""))</f>
        <v/>
      </c>
      <c r="AF3866" s="53">
        <f>IF(OR(P3866="",AB3866=""),"",IF(OR(P3866="Gasto",P3866="Transferencia",P3866="Pago tarjeta"),-1,1)*IF(IFERROR(INDEX(ctaMoneda,MATCH(AB3866,ctaNombre,0))&amp;"","DOP")="USD",T3866,S3866))</f>
        <v/>
      </c>
      <c r="AG3866" s="53">
        <f>IF(AC3866="","",IF(IFERROR(INDEX(ctaMoneda,MATCH(AC3866,ctaNombre,0))&amp;"","DOP")="USD",T3866,S3866))</f>
        <v/>
      </c>
      <c r="AH3866" s="53">
        <f>IF(P3866="","",IF(AND(AD3866&lt;&gt;"",COUNTIFS(tcTipo,AD3866,tcLiq,"Sí")&gt;0),IF(OR(P3866="Gasto",P3866="Transferencia",P3866="Pago tarjeta"),-1,1)*S3866,0)+IF(AND(AE3866&lt;&gt;"",COUNTIFS(tcTipo,AE3866,tcLiq,"Sí")&gt;0),S3866,0))</f>
        <v/>
      </c>
      <c r="AI3866" s="52">
        <f>IF(OR(L3866="",P3866=""),"",IF(COUNTIFS(L$6:L3866,L3866,P$6:P3866,"?*")=1,MAX(AI$5:AI3865)+1,""))</f>
        <v/>
      </c>
    </row>
    <row r="3867">
      <c r="B3867" s="47" t="n"/>
      <c r="C3867" s="48" t="n"/>
      <c r="D3867" s="48" t="n"/>
      <c r="E3867" s="48" t="n"/>
      <c r="F3867" s="48" t="n"/>
      <c r="G3867" s="49" t="n"/>
      <c r="H3867" s="48" t="n"/>
      <c r="I3867" s="50" t="n"/>
      <c r="J3867" s="48" t="n"/>
      <c r="K3867" s="48" t="n"/>
      <c r="L3867" s="48" t="n"/>
      <c r="M3867" s="48" t="n"/>
      <c r="N3867" s="48" t="n"/>
      <c r="O3867" s="51">
        <f>IF(AND(B3867="",G3867="",C3867="",D3867="",J3867=""),"",IF(B3867="","⚠ Falta fecha",IF(G3867="","⚠ Falta monto",IF(Q3867="","⚠ Falta cuenta",IF(ISNA(MATCH(Q3867,ctaNombre,0)),"⚠ Cuenta no registrada",IF(AND(OR(P3867="Gasto",P3867="Reembolso"),D3867=""),"⚠ Falta categoría",IF(AND(D3867&lt;&gt;"",E3867&lt;&gt;"",ISNA(MATCH(D3867&amp;"|"&amp;E3867,catClave,0))),"⚠ Subcategoría no corresponde",IF(AND(OR(P3867="Transferencia",P3867="Pago tarjeta"),K3867=""),"⚠ Falta cuenta destino",IF(AND(K3867&lt;&gt;"",P3867&lt;&gt;"Transferencia",P3867&lt;&gt;"Pago tarjeta"),"⚠ Destino solo aplica a transferencias",IF(AND(K3867&lt;&gt;"",K3867=Q3867),"⚠ Origen igual a destino",IF(AND(K3867&lt;&gt;"",ISNA(MATCH(K3867,ctaNombre,0))),"⚠ Destino no registrado",IF(AND(P3867="Pago tarjeta",AE3867&lt;&gt;"Tarjeta de crédito"),"⚠ El destino debe ser tarjeta de crédito",IF(AND(P3867="Gasto",E3867="Depósitos y retiros"),"⚠ Usa tipo Transferencia",IF(AND(P3867="Resultado trading",AD3867&lt;&gt;"Cuenta de trading"),"⚠ Usa una cuenta de trading",IF(AND(G3867&lt;=0,P3867&lt;&gt;"Ajuste",P3867&lt;&gt;"Resultado trading"),"⚠ El monto debe ser positivo","✓")))))))))))))))</f>
        <v/>
      </c>
      <c r="P3867" s="52">
        <f>IF(OR(B3867="",G3867=""),"",IF(C3867="","Gasto",C3867))</f>
        <v/>
      </c>
      <c r="Q3867" s="52">
        <f>IF(P3867="","",IF(J3867&lt;&gt;"",J3867,CuentaPred&amp;""))</f>
        <v/>
      </c>
      <c r="R3867" s="52">
        <f>IF(P3867="","",IF(ISNUMBER(I3867),I3867,TasaUSD))</f>
        <v/>
      </c>
      <c r="S3867" s="53">
        <f>IF(P3867="","",IF(H3867="USD",G3867*R3867,G3867))</f>
        <v/>
      </c>
      <c r="T3867" s="53">
        <f>IF(P3867="","",IF(H3867="USD",G3867,IF(R3867&gt;0,G3867/R3867,0)))</f>
        <v/>
      </c>
      <c r="U3867" s="53">
        <f>IF(P3867="","",IF(P3867="Gasto",S3867,IF(P3867="Reembolso",-S3867,0)))</f>
        <v/>
      </c>
      <c r="V3867" s="53">
        <f>IF(P3867="","",IF(P3867="Ingreso",S3867,0))</f>
        <v/>
      </c>
      <c r="W3867" s="53">
        <f>IF(P3867="","",IF(P3867="Resultado trading",S3867,0))</f>
        <v/>
      </c>
      <c r="X3867" s="52">
        <f>IF(OR(P3867="Gasto",P3867="Reembolso"),IF(M3867&lt;&gt;"",M3867,IFERROR(INDEX(catClasif,MATCH(D3867&amp;"|"&amp;E3867,catClave,0))&amp;"","Variable")),"")</f>
        <v/>
      </c>
      <c r="Y3867" s="52">
        <f>IF(P3867="","",IFERROR(INDEX(catGrupo,MATCH(D3867&amp;"|"&amp;E3867,catClave,0))&amp;"",""))</f>
        <v/>
      </c>
      <c r="Z3867" s="52">
        <f>IF(P3867="","",WEEKDAY(B3867,2))</f>
        <v/>
      </c>
      <c r="AA3867" s="52">
        <f>IF(P3867="","",IF(AND(P3867="Gasto",X3867="Variable",D3867&lt;&gt;catTrading,S3867&gt;0,S3867&lt;=Umbral),1,0))</f>
        <v/>
      </c>
      <c r="AB3867" s="52">
        <f>IF(OR(P3867="",Q3867=""),"",IFERROR(IF(INDEX(ctaVinc,MATCH(Q3867,ctaNombre,0))&amp;""&lt;&gt;"",INDEX(ctaVinc,MATCH(Q3867,ctaNombre,0))&amp;"",Q3867),Q3867))</f>
        <v/>
      </c>
      <c r="AC3867" s="52">
        <f>IF(OR(K3867="",AND(P3867&lt;&gt;"Transferencia",P3867&lt;&gt;"Pago tarjeta")),"",IFERROR(IF(INDEX(ctaVinc,MATCH(K3867,ctaNombre,0))&amp;""&lt;&gt;"",INDEX(ctaVinc,MATCH(K3867,ctaNombre,0))&amp;"",K3867),K3867))</f>
        <v/>
      </c>
      <c r="AD3867" s="52">
        <f>IF(AB3867="","",IFERROR(INDEX(ctaTipo,MATCH(AB3867,ctaNombre,0))&amp;"",""))</f>
        <v/>
      </c>
      <c r="AE3867" s="52">
        <f>IF(AC3867="","",IFERROR(INDEX(ctaTipo,MATCH(AC3867,ctaNombre,0))&amp;"",""))</f>
        <v/>
      </c>
      <c r="AF3867" s="53">
        <f>IF(OR(P3867="",AB3867=""),"",IF(OR(P3867="Gasto",P3867="Transferencia",P3867="Pago tarjeta"),-1,1)*IF(IFERROR(INDEX(ctaMoneda,MATCH(AB3867,ctaNombre,0))&amp;"","DOP")="USD",T3867,S3867))</f>
        <v/>
      </c>
      <c r="AG3867" s="53">
        <f>IF(AC3867="","",IF(IFERROR(INDEX(ctaMoneda,MATCH(AC3867,ctaNombre,0))&amp;"","DOP")="USD",T3867,S3867))</f>
        <v/>
      </c>
      <c r="AH3867" s="53">
        <f>IF(P3867="","",IF(AND(AD3867&lt;&gt;"",COUNTIFS(tcTipo,AD3867,tcLiq,"Sí")&gt;0),IF(OR(P3867="Gasto",P3867="Transferencia",P3867="Pago tarjeta"),-1,1)*S3867,0)+IF(AND(AE3867&lt;&gt;"",COUNTIFS(tcTipo,AE3867,tcLiq,"Sí")&gt;0),S3867,0))</f>
        <v/>
      </c>
      <c r="AI3867" s="52">
        <f>IF(OR(L3867="",P3867=""),"",IF(COUNTIFS(L$6:L3867,L3867,P$6:P3867,"?*")=1,MAX(AI$5:AI3866)+1,""))</f>
        <v/>
      </c>
    </row>
    <row r="3868">
      <c r="B3868" s="47" t="n"/>
      <c r="C3868" s="48" t="n"/>
      <c r="D3868" s="48" t="n"/>
      <c r="E3868" s="48" t="n"/>
      <c r="F3868" s="48" t="n"/>
      <c r="G3868" s="49" t="n"/>
      <c r="H3868" s="48" t="n"/>
      <c r="I3868" s="50" t="n"/>
      <c r="J3868" s="48" t="n"/>
      <c r="K3868" s="48" t="n"/>
      <c r="L3868" s="48" t="n"/>
      <c r="M3868" s="48" t="n"/>
      <c r="N3868" s="48" t="n"/>
      <c r="O3868" s="51">
        <f>IF(AND(B3868="",G3868="",C3868="",D3868="",J3868=""),"",IF(B3868="","⚠ Falta fecha",IF(G3868="","⚠ Falta monto",IF(Q3868="","⚠ Falta cuenta",IF(ISNA(MATCH(Q3868,ctaNombre,0)),"⚠ Cuenta no registrada",IF(AND(OR(P3868="Gasto",P3868="Reembolso"),D3868=""),"⚠ Falta categoría",IF(AND(D3868&lt;&gt;"",E3868&lt;&gt;"",ISNA(MATCH(D3868&amp;"|"&amp;E3868,catClave,0))),"⚠ Subcategoría no corresponde",IF(AND(OR(P3868="Transferencia",P3868="Pago tarjeta"),K3868=""),"⚠ Falta cuenta destino",IF(AND(K3868&lt;&gt;"",P3868&lt;&gt;"Transferencia",P3868&lt;&gt;"Pago tarjeta"),"⚠ Destino solo aplica a transferencias",IF(AND(K3868&lt;&gt;"",K3868=Q3868),"⚠ Origen igual a destino",IF(AND(K3868&lt;&gt;"",ISNA(MATCH(K3868,ctaNombre,0))),"⚠ Destino no registrado",IF(AND(P3868="Pago tarjeta",AE3868&lt;&gt;"Tarjeta de crédito"),"⚠ El destino debe ser tarjeta de crédito",IF(AND(P3868="Gasto",E3868="Depósitos y retiros"),"⚠ Usa tipo Transferencia",IF(AND(P3868="Resultado trading",AD3868&lt;&gt;"Cuenta de trading"),"⚠ Usa una cuenta de trading",IF(AND(G3868&lt;=0,P3868&lt;&gt;"Ajuste",P3868&lt;&gt;"Resultado trading"),"⚠ El monto debe ser positivo","✓")))))))))))))))</f>
        <v/>
      </c>
      <c r="P3868" s="52">
        <f>IF(OR(B3868="",G3868=""),"",IF(C3868="","Gasto",C3868))</f>
        <v/>
      </c>
      <c r="Q3868" s="52">
        <f>IF(P3868="","",IF(J3868&lt;&gt;"",J3868,CuentaPred&amp;""))</f>
        <v/>
      </c>
      <c r="R3868" s="52">
        <f>IF(P3868="","",IF(ISNUMBER(I3868),I3868,TasaUSD))</f>
        <v/>
      </c>
      <c r="S3868" s="53">
        <f>IF(P3868="","",IF(H3868="USD",G3868*R3868,G3868))</f>
        <v/>
      </c>
      <c r="T3868" s="53">
        <f>IF(P3868="","",IF(H3868="USD",G3868,IF(R3868&gt;0,G3868/R3868,0)))</f>
        <v/>
      </c>
      <c r="U3868" s="53">
        <f>IF(P3868="","",IF(P3868="Gasto",S3868,IF(P3868="Reembolso",-S3868,0)))</f>
        <v/>
      </c>
      <c r="V3868" s="53">
        <f>IF(P3868="","",IF(P3868="Ingreso",S3868,0))</f>
        <v/>
      </c>
      <c r="W3868" s="53">
        <f>IF(P3868="","",IF(P3868="Resultado trading",S3868,0))</f>
        <v/>
      </c>
      <c r="X3868" s="52">
        <f>IF(OR(P3868="Gasto",P3868="Reembolso"),IF(M3868&lt;&gt;"",M3868,IFERROR(INDEX(catClasif,MATCH(D3868&amp;"|"&amp;E3868,catClave,0))&amp;"","Variable")),"")</f>
        <v/>
      </c>
      <c r="Y3868" s="52">
        <f>IF(P3868="","",IFERROR(INDEX(catGrupo,MATCH(D3868&amp;"|"&amp;E3868,catClave,0))&amp;"",""))</f>
        <v/>
      </c>
      <c r="Z3868" s="52">
        <f>IF(P3868="","",WEEKDAY(B3868,2))</f>
        <v/>
      </c>
      <c r="AA3868" s="52">
        <f>IF(P3868="","",IF(AND(P3868="Gasto",X3868="Variable",D3868&lt;&gt;catTrading,S3868&gt;0,S3868&lt;=Umbral),1,0))</f>
        <v/>
      </c>
      <c r="AB3868" s="52">
        <f>IF(OR(P3868="",Q3868=""),"",IFERROR(IF(INDEX(ctaVinc,MATCH(Q3868,ctaNombre,0))&amp;""&lt;&gt;"",INDEX(ctaVinc,MATCH(Q3868,ctaNombre,0))&amp;"",Q3868),Q3868))</f>
        <v/>
      </c>
      <c r="AC3868" s="52">
        <f>IF(OR(K3868="",AND(P3868&lt;&gt;"Transferencia",P3868&lt;&gt;"Pago tarjeta")),"",IFERROR(IF(INDEX(ctaVinc,MATCH(K3868,ctaNombre,0))&amp;""&lt;&gt;"",INDEX(ctaVinc,MATCH(K3868,ctaNombre,0))&amp;"",K3868),K3868))</f>
        <v/>
      </c>
      <c r="AD3868" s="52">
        <f>IF(AB3868="","",IFERROR(INDEX(ctaTipo,MATCH(AB3868,ctaNombre,0))&amp;"",""))</f>
        <v/>
      </c>
      <c r="AE3868" s="52">
        <f>IF(AC3868="","",IFERROR(INDEX(ctaTipo,MATCH(AC3868,ctaNombre,0))&amp;"",""))</f>
        <v/>
      </c>
      <c r="AF3868" s="53">
        <f>IF(OR(P3868="",AB3868=""),"",IF(OR(P3868="Gasto",P3868="Transferencia",P3868="Pago tarjeta"),-1,1)*IF(IFERROR(INDEX(ctaMoneda,MATCH(AB3868,ctaNombre,0))&amp;"","DOP")="USD",T3868,S3868))</f>
        <v/>
      </c>
      <c r="AG3868" s="53">
        <f>IF(AC3868="","",IF(IFERROR(INDEX(ctaMoneda,MATCH(AC3868,ctaNombre,0))&amp;"","DOP")="USD",T3868,S3868))</f>
        <v/>
      </c>
      <c r="AH3868" s="53">
        <f>IF(P3868="","",IF(AND(AD3868&lt;&gt;"",COUNTIFS(tcTipo,AD3868,tcLiq,"Sí")&gt;0),IF(OR(P3868="Gasto",P3868="Transferencia",P3868="Pago tarjeta"),-1,1)*S3868,0)+IF(AND(AE3868&lt;&gt;"",COUNTIFS(tcTipo,AE3868,tcLiq,"Sí")&gt;0),S3868,0))</f>
        <v/>
      </c>
      <c r="AI3868" s="52">
        <f>IF(OR(L3868="",P3868=""),"",IF(COUNTIFS(L$6:L3868,L3868,P$6:P3868,"?*")=1,MAX(AI$5:AI3867)+1,""))</f>
        <v/>
      </c>
    </row>
    <row r="3869">
      <c r="B3869" s="47" t="n"/>
      <c r="C3869" s="48" t="n"/>
      <c r="D3869" s="48" t="n"/>
      <c r="E3869" s="48" t="n"/>
      <c r="F3869" s="48" t="n"/>
      <c r="G3869" s="49" t="n"/>
      <c r="H3869" s="48" t="n"/>
      <c r="I3869" s="50" t="n"/>
      <c r="J3869" s="48" t="n"/>
      <c r="K3869" s="48" t="n"/>
      <c r="L3869" s="48" t="n"/>
      <c r="M3869" s="48" t="n"/>
      <c r="N3869" s="48" t="n"/>
      <c r="O3869" s="51">
        <f>IF(AND(B3869="",G3869="",C3869="",D3869="",J3869=""),"",IF(B3869="","⚠ Falta fecha",IF(G3869="","⚠ Falta monto",IF(Q3869="","⚠ Falta cuenta",IF(ISNA(MATCH(Q3869,ctaNombre,0)),"⚠ Cuenta no registrada",IF(AND(OR(P3869="Gasto",P3869="Reembolso"),D3869=""),"⚠ Falta categoría",IF(AND(D3869&lt;&gt;"",E3869&lt;&gt;"",ISNA(MATCH(D3869&amp;"|"&amp;E3869,catClave,0))),"⚠ Subcategoría no corresponde",IF(AND(OR(P3869="Transferencia",P3869="Pago tarjeta"),K3869=""),"⚠ Falta cuenta destino",IF(AND(K3869&lt;&gt;"",P3869&lt;&gt;"Transferencia",P3869&lt;&gt;"Pago tarjeta"),"⚠ Destino solo aplica a transferencias",IF(AND(K3869&lt;&gt;"",K3869=Q3869),"⚠ Origen igual a destino",IF(AND(K3869&lt;&gt;"",ISNA(MATCH(K3869,ctaNombre,0))),"⚠ Destino no registrado",IF(AND(P3869="Pago tarjeta",AE3869&lt;&gt;"Tarjeta de crédito"),"⚠ El destino debe ser tarjeta de crédito",IF(AND(P3869="Gasto",E3869="Depósitos y retiros"),"⚠ Usa tipo Transferencia",IF(AND(P3869="Resultado trading",AD3869&lt;&gt;"Cuenta de trading"),"⚠ Usa una cuenta de trading",IF(AND(G3869&lt;=0,P3869&lt;&gt;"Ajuste",P3869&lt;&gt;"Resultado trading"),"⚠ El monto debe ser positivo","✓")))))))))))))))</f>
        <v/>
      </c>
      <c r="P3869" s="52">
        <f>IF(OR(B3869="",G3869=""),"",IF(C3869="","Gasto",C3869))</f>
        <v/>
      </c>
      <c r="Q3869" s="52">
        <f>IF(P3869="","",IF(J3869&lt;&gt;"",J3869,CuentaPred&amp;""))</f>
        <v/>
      </c>
      <c r="R3869" s="52">
        <f>IF(P3869="","",IF(ISNUMBER(I3869),I3869,TasaUSD))</f>
        <v/>
      </c>
      <c r="S3869" s="53">
        <f>IF(P3869="","",IF(H3869="USD",G3869*R3869,G3869))</f>
        <v/>
      </c>
      <c r="T3869" s="53">
        <f>IF(P3869="","",IF(H3869="USD",G3869,IF(R3869&gt;0,G3869/R3869,0)))</f>
        <v/>
      </c>
      <c r="U3869" s="53">
        <f>IF(P3869="","",IF(P3869="Gasto",S3869,IF(P3869="Reembolso",-S3869,0)))</f>
        <v/>
      </c>
      <c r="V3869" s="53">
        <f>IF(P3869="","",IF(P3869="Ingreso",S3869,0))</f>
        <v/>
      </c>
      <c r="W3869" s="53">
        <f>IF(P3869="","",IF(P3869="Resultado trading",S3869,0))</f>
        <v/>
      </c>
      <c r="X3869" s="52">
        <f>IF(OR(P3869="Gasto",P3869="Reembolso"),IF(M3869&lt;&gt;"",M3869,IFERROR(INDEX(catClasif,MATCH(D3869&amp;"|"&amp;E3869,catClave,0))&amp;"","Variable")),"")</f>
        <v/>
      </c>
      <c r="Y3869" s="52">
        <f>IF(P3869="","",IFERROR(INDEX(catGrupo,MATCH(D3869&amp;"|"&amp;E3869,catClave,0))&amp;"",""))</f>
        <v/>
      </c>
      <c r="Z3869" s="52">
        <f>IF(P3869="","",WEEKDAY(B3869,2))</f>
        <v/>
      </c>
      <c r="AA3869" s="52">
        <f>IF(P3869="","",IF(AND(P3869="Gasto",X3869="Variable",D3869&lt;&gt;catTrading,S3869&gt;0,S3869&lt;=Umbral),1,0))</f>
        <v/>
      </c>
      <c r="AB3869" s="52">
        <f>IF(OR(P3869="",Q3869=""),"",IFERROR(IF(INDEX(ctaVinc,MATCH(Q3869,ctaNombre,0))&amp;""&lt;&gt;"",INDEX(ctaVinc,MATCH(Q3869,ctaNombre,0))&amp;"",Q3869),Q3869))</f>
        <v/>
      </c>
      <c r="AC3869" s="52">
        <f>IF(OR(K3869="",AND(P3869&lt;&gt;"Transferencia",P3869&lt;&gt;"Pago tarjeta")),"",IFERROR(IF(INDEX(ctaVinc,MATCH(K3869,ctaNombre,0))&amp;""&lt;&gt;"",INDEX(ctaVinc,MATCH(K3869,ctaNombre,0))&amp;"",K3869),K3869))</f>
        <v/>
      </c>
      <c r="AD3869" s="52">
        <f>IF(AB3869="","",IFERROR(INDEX(ctaTipo,MATCH(AB3869,ctaNombre,0))&amp;"",""))</f>
        <v/>
      </c>
      <c r="AE3869" s="52">
        <f>IF(AC3869="","",IFERROR(INDEX(ctaTipo,MATCH(AC3869,ctaNombre,0))&amp;"",""))</f>
        <v/>
      </c>
      <c r="AF3869" s="53">
        <f>IF(OR(P3869="",AB3869=""),"",IF(OR(P3869="Gasto",P3869="Transferencia",P3869="Pago tarjeta"),-1,1)*IF(IFERROR(INDEX(ctaMoneda,MATCH(AB3869,ctaNombre,0))&amp;"","DOP")="USD",T3869,S3869))</f>
        <v/>
      </c>
      <c r="AG3869" s="53">
        <f>IF(AC3869="","",IF(IFERROR(INDEX(ctaMoneda,MATCH(AC3869,ctaNombre,0))&amp;"","DOP")="USD",T3869,S3869))</f>
        <v/>
      </c>
      <c r="AH3869" s="53">
        <f>IF(P3869="","",IF(AND(AD3869&lt;&gt;"",COUNTIFS(tcTipo,AD3869,tcLiq,"Sí")&gt;0),IF(OR(P3869="Gasto",P3869="Transferencia",P3869="Pago tarjeta"),-1,1)*S3869,0)+IF(AND(AE3869&lt;&gt;"",COUNTIFS(tcTipo,AE3869,tcLiq,"Sí")&gt;0),S3869,0))</f>
        <v/>
      </c>
      <c r="AI3869" s="52">
        <f>IF(OR(L3869="",P3869=""),"",IF(COUNTIFS(L$6:L3869,L3869,P$6:P3869,"?*")=1,MAX(AI$5:AI3868)+1,""))</f>
        <v/>
      </c>
    </row>
    <row r="3870">
      <c r="B3870" s="47" t="n"/>
      <c r="C3870" s="48" t="n"/>
      <c r="D3870" s="48" t="n"/>
      <c r="E3870" s="48" t="n"/>
      <c r="F3870" s="48" t="n"/>
      <c r="G3870" s="49" t="n"/>
      <c r="H3870" s="48" t="n"/>
      <c r="I3870" s="50" t="n"/>
      <c r="J3870" s="48" t="n"/>
      <c r="K3870" s="48" t="n"/>
      <c r="L3870" s="48" t="n"/>
      <c r="M3870" s="48" t="n"/>
      <c r="N3870" s="48" t="n"/>
      <c r="O3870" s="51">
        <f>IF(AND(B3870="",G3870="",C3870="",D3870="",J3870=""),"",IF(B3870="","⚠ Falta fecha",IF(G3870="","⚠ Falta monto",IF(Q3870="","⚠ Falta cuenta",IF(ISNA(MATCH(Q3870,ctaNombre,0)),"⚠ Cuenta no registrada",IF(AND(OR(P3870="Gasto",P3870="Reembolso"),D3870=""),"⚠ Falta categoría",IF(AND(D3870&lt;&gt;"",E3870&lt;&gt;"",ISNA(MATCH(D3870&amp;"|"&amp;E3870,catClave,0))),"⚠ Subcategoría no corresponde",IF(AND(OR(P3870="Transferencia",P3870="Pago tarjeta"),K3870=""),"⚠ Falta cuenta destino",IF(AND(K3870&lt;&gt;"",P3870&lt;&gt;"Transferencia",P3870&lt;&gt;"Pago tarjeta"),"⚠ Destino solo aplica a transferencias",IF(AND(K3870&lt;&gt;"",K3870=Q3870),"⚠ Origen igual a destino",IF(AND(K3870&lt;&gt;"",ISNA(MATCH(K3870,ctaNombre,0))),"⚠ Destino no registrado",IF(AND(P3870="Pago tarjeta",AE3870&lt;&gt;"Tarjeta de crédito"),"⚠ El destino debe ser tarjeta de crédito",IF(AND(P3870="Gasto",E3870="Depósitos y retiros"),"⚠ Usa tipo Transferencia",IF(AND(P3870="Resultado trading",AD3870&lt;&gt;"Cuenta de trading"),"⚠ Usa una cuenta de trading",IF(AND(G3870&lt;=0,P3870&lt;&gt;"Ajuste",P3870&lt;&gt;"Resultado trading"),"⚠ El monto debe ser positivo","✓")))))))))))))))</f>
        <v/>
      </c>
      <c r="P3870" s="52">
        <f>IF(OR(B3870="",G3870=""),"",IF(C3870="","Gasto",C3870))</f>
        <v/>
      </c>
      <c r="Q3870" s="52">
        <f>IF(P3870="","",IF(J3870&lt;&gt;"",J3870,CuentaPred&amp;""))</f>
        <v/>
      </c>
      <c r="R3870" s="52">
        <f>IF(P3870="","",IF(ISNUMBER(I3870),I3870,TasaUSD))</f>
        <v/>
      </c>
      <c r="S3870" s="53">
        <f>IF(P3870="","",IF(H3870="USD",G3870*R3870,G3870))</f>
        <v/>
      </c>
      <c r="T3870" s="53">
        <f>IF(P3870="","",IF(H3870="USD",G3870,IF(R3870&gt;0,G3870/R3870,0)))</f>
        <v/>
      </c>
      <c r="U3870" s="53">
        <f>IF(P3870="","",IF(P3870="Gasto",S3870,IF(P3870="Reembolso",-S3870,0)))</f>
        <v/>
      </c>
      <c r="V3870" s="53">
        <f>IF(P3870="","",IF(P3870="Ingreso",S3870,0))</f>
        <v/>
      </c>
      <c r="W3870" s="53">
        <f>IF(P3870="","",IF(P3870="Resultado trading",S3870,0))</f>
        <v/>
      </c>
      <c r="X3870" s="52">
        <f>IF(OR(P3870="Gasto",P3870="Reembolso"),IF(M3870&lt;&gt;"",M3870,IFERROR(INDEX(catClasif,MATCH(D3870&amp;"|"&amp;E3870,catClave,0))&amp;"","Variable")),"")</f>
        <v/>
      </c>
      <c r="Y3870" s="52">
        <f>IF(P3870="","",IFERROR(INDEX(catGrupo,MATCH(D3870&amp;"|"&amp;E3870,catClave,0))&amp;"",""))</f>
        <v/>
      </c>
      <c r="Z3870" s="52">
        <f>IF(P3870="","",WEEKDAY(B3870,2))</f>
        <v/>
      </c>
      <c r="AA3870" s="52">
        <f>IF(P3870="","",IF(AND(P3870="Gasto",X3870="Variable",D3870&lt;&gt;catTrading,S3870&gt;0,S3870&lt;=Umbral),1,0))</f>
        <v/>
      </c>
      <c r="AB3870" s="52">
        <f>IF(OR(P3870="",Q3870=""),"",IFERROR(IF(INDEX(ctaVinc,MATCH(Q3870,ctaNombre,0))&amp;""&lt;&gt;"",INDEX(ctaVinc,MATCH(Q3870,ctaNombre,0))&amp;"",Q3870),Q3870))</f>
        <v/>
      </c>
      <c r="AC3870" s="52">
        <f>IF(OR(K3870="",AND(P3870&lt;&gt;"Transferencia",P3870&lt;&gt;"Pago tarjeta")),"",IFERROR(IF(INDEX(ctaVinc,MATCH(K3870,ctaNombre,0))&amp;""&lt;&gt;"",INDEX(ctaVinc,MATCH(K3870,ctaNombre,0))&amp;"",K3870),K3870))</f>
        <v/>
      </c>
      <c r="AD3870" s="52">
        <f>IF(AB3870="","",IFERROR(INDEX(ctaTipo,MATCH(AB3870,ctaNombre,0))&amp;"",""))</f>
        <v/>
      </c>
      <c r="AE3870" s="52">
        <f>IF(AC3870="","",IFERROR(INDEX(ctaTipo,MATCH(AC3870,ctaNombre,0))&amp;"",""))</f>
        <v/>
      </c>
      <c r="AF3870" s="53">
        <f>IF(OR(P3870="",AB3870=""),"",IF(OR(P3870="Gasto",P3870="Transferencia",P3870="Pago tarjeta"),-1,1)*IF(IFERROR(INDEX(ctaMoneda,MATCH(AB3870,ctaNombre,0))&amp;"","DOP")="USD",T3870,S3870))</f>
        <v/>
      </c>
      <c r="AG3870" s="53">
        <f>IF(AC3870="","",IF(IFERROR(INDEX(ctaMoneda,MATCH(AC3870,ctaNombre,0))&amp;"","DOP")="USD",T3870,S3870))</f>
        <v/>
      </c>
      <c r="AH3870" s="53">
        <f>IF(P3870="","",IF(AND(AD3870&lt;&gt;"",COUNTIFS(tcTipo,AD3870,tcLiq,"Sí")&gt;0),IF(OR(P3870="Gasto",P3870="Transferencia",P3870="Pago tarjeta"),-1,1)*S3870,0)+IF(AND(AE3870&lt;&gt;"",COUNTIFS(tcTipo,AE3870,tcLiq,"Sí")&gt;0),S3870,0))</f>
        <v/>
      </c>
      <c r="AI3870" s="52">
        <f>IF(OR(L3870="",P3870=""),"",IF(COUNTIFS(L$6:L3870,L3870,P$6:P3870,"?*")=1,MAX(AI$5:AI3869)+1,""))</f>
        <v/>
      </c>
    </row>
    <row r="3871">
      <c r="B3871" s="47" t="n"/>
      <c r="C3871" s="48" t="n"/>
      <c r="D3871" s="48" t="n"/>
      <c r="E3871" s="48" t="n"/>
      <c r="F3871" s="48" t="n"/>
      <c r="G3871" s="49" t="n"/>
      <c r="H3871" s="48" t="n"/>
      <c r="I3871" s="50" t="n"/>
      <c r="J3871" s="48" t="n"/>
      <c r="K3871" s="48" t="n"/>
      <c r="L3871" s="48" t="n"/>
      <c r="M3871" s="48" t="n"/>
      <c r="N3871" s="48" t="n"/>
      <c r="O3871" s="51">
        <f>IF(AND(B3871="",G3871="",C3871="",D3871="",J3871=""),"",IF(B3871="","⚠ Falta fecha",IF(G3871="","⚠ Falta monto",IF(Q3871="","⚠ Falta cuenta",IF(ISNA(MATCH(Q3871,ctaNombre,0)),"⚠ Cuenta no registrada",IF(AND(OR(P3871="Gasto",P3871="Reembolso"),D3871=""),"⚠ Falta categoría",IF(AND(D3871&lt;&gt;"",E3871&lt;&gt;"",ISNA(MATCH(D3871&amp;"|"&amp;E3871,catClave,0))),"⚠ Subcategoría no corresponde",IF(AND(OR(P3871="Transferencia",P3871="Pago tarjeta"),K3871=""),"⚠ Falta cuenta destino",IF(AND(K3871&lt;&gt;"",P3871&lt;&gt;"Transferencia",P3871&lt;&gt;"Pago tarjeta"),"⚠ Destino solo aplica a transferencias",IF(AND(K3871&lt;&gt;"",K3871=Q3871),"⚠ Origen igual a destino",IF(AND(K3871&lt;&gt;"",ISNA(MATCH(K3871,ctaNombre,0))),"⚠ Destino no registrado",IF(AND(P3871="Pago tarjeta",AE3871&lt;&gt;"Tarjeta de crédito"),"⚠ El destino debe ser tarjeta de crédito",IF(AND(P3871="Gasto",E3871="Depósitos y retiros"),"⚠ Usa tipo Transferencia",IF(AND(P3871="Resultado trading",AD3871&lt;&gt;"Cuenta de trading"),"⚠ Usa una cuenta de trading",IF(AND(G3871&lt;=0,P3871&lt;&gt;"Ajuste",P3871&lt;&gt;"Resultado trading"),"⚠ El monto debe ser positivo","✓")))))))))))))))</f>
        <v/>
      </c>
      <c r="P3871" s="52">
        <f>IF(OR(B3871="",G3871=""),"",IF(C3871="","Gasto",C3871))</f>
        <v/>
      </c>
      <c r="Q3871" s="52">
        <f>IF(P3871="","",IF(J3871&lt;&gt;"",J3871,CuentaPred&amp;""))</f>
        <v/>
      </c>
      <c r="R3871" s="52">
        <f>IF(P3871="","",IF(ISNUMBER(I3871),I3871,TasaUSD))</f>
        <v/>
      </c>
      <c r="S3871" s="53">
        <f>IF(P3871="","",IF(H3871="USD",G3871*R3871,G3871))</f>
        <v/>
      </c>
      <c r="T3871" s="53">
        <f>IF(P3871="","",IF(H3871="USD",G3871,IF(R3871&gt;0,G3871/R3871,0)))</f>
        <v/>
      </c>
      <c r="U3871" s="53">
        <f>IF(P3871="","",IF(P3871="Gasto",S3871,IF(P3871="Reembolso",-S3871,0)))</f>
        <v/>
      </c>
      <c r="V3871" s="53">
        <f>IF(P3871="","",IF(P3871="Ingreso",S3871,0))</f>
        <v/>
      </c>
      <c r="W3871" s="53">
        <f>IF(P3871="","",IF(P3871="Resultado trading",S3871,0))</f>
        <v/>
      </c>
      <c r="X3871" s="52">
        <f>IF(OR(P3871="Gasto",P3871="Reembolso"),IF(M3871&lt;&gt;"",M3871,IFERROR(INDEX(catClasif,MATCH(D3871&amp;"|"&amp;E3871,catClave,0))&amp;"","Variable")),"")</f>
        <v/>
      </c>
      <c r="Y3871" s="52">
        <f>IF(P3871="","",IFERROR(INDEX(catGrupo,MATCH(D3871&amp;"|"&amp;E3871,catClave,0))&amp;"",""))</f>
        <v/>
      </c>
      <c r="Z3871" s="52">
        <f>IF(P3871="","",WEEKDAY(B3871,2))</f>
        <v/>
      </c>
      <c r="AA3871" s="52">
        <f>IF(P3871="","",IF(AND(P3871="Gasto",X3871="Variable",D3871&lt;&gt;catTrading,S3871&gt;0,S3871&lt;=Umbral),1,0))</f>
        <v/>
      </c>
      <c r="AB3871" s="52">
        <f>IF(OR(P3871="",Q3871=""),"",IFERROR(IF(INDEX(ctaVinc,MATCH(Q3871,ctaNombre,0))&amp;""&lt;&gt;"",INDEX(ctaVinc,MATCH(Q3871,ctaNombre,0))&amp;"",Q3871),Q3871))</f>
        <v/>
      </c>
      <c r="AC3871" s="52">
        <f>IF(OR(K3871="",AND(P3871&lt;&gt;"Transferencia",P3871&lt;&gt;"Pago tarjeta")),"",IFERROR(IF(INDEX(ctaVinc,MATCH(K3871,ctaNombre,0))&amp;""&lt;&gt;"",INDEX(ctaVinc,MATCH(K3871,ctaNombre,0))&amp;"",K3871),K3871))</f>
        <v/>
      </c>
      <c r="AD3871" s="52">
        <f>IF(AB3871="","",IFERROR(INDEX(ctaTipo,MATCH(AB3871,ctaNombre,0))&amp;"",""))</f>
        <v/>
      </c>
      <c r="AE3871" s="52">
        <f>IF(AC3871="","",IFERROR(INDEX(ctaTipo,MATCH(AC3871,ctaNombre,0))&amp;"",""))</f>
        <v/>
      </c>
      <c r="AF3871" s="53">
        <f>IF(OR(P3871="",AB3871=""),"",IF(OR(P3871="Gasto",P3871="Transferencia",P3871="Pago tarjeta"),-1,1)*IF(IFERROR(INDEX(ctaMoneda,MATCH(AB3871,ctaNombre,0))&amp;"","DOP")="USD",T3871,S3871))</f>
        <v/>
      </c>
      <c r="AG3871" s="53">
        <f>IF(AC3871="","",IF(IFERROR(INDEX(ctaMoneda,MATCH(AC3871,ctaNombre,0))&amp;"","DOP")="USD",T3871,S3871))</f>
        <v/>
      </c>
      <c r="AH3871" s="53">
        <f>IF(P3871="","",IF(AND(AD3871&lt;&gt;"",COUNTIFS(tcTipo,AD3871,tcLiq,"Sí")&gt;0),IF(OR(P3871="Gasto",P3871="Transferencia",P3871="Pago tarjeta"),-1,1)*S3871,0)+IF(AND(AE3871&lt;&gt;"",COUNTIFS(tcTipo,AE3871,tcLiq,"Sí")&gt;0),S3871,0))</f>
        <v/>
      </c>
      <c r="AI3871" s="52">
        <f>IF(OR(L3871="",P3871=""),"",IF(COUNTIFS(L$6:L3871,L3871,P$6:P3871,"?*")=1,MAX(AI$5:AI3870)+1,""))</f>
        <v/>
      </c>
    </row>
    <row r="3872">
      <c r="B3872" s="47" t="n"/>
      <c r="C3872" s="48" t="n"/>
      <c r="D3872" s="48" t="n"/>
      <c r="E3872" s="48" t="n"/>
      <c r="F3872" s="48" t="n"/>
      <c r="G3872" s="49" t="n"/>
      <c r="H3872" s="48" t="n"/>
      <c r="I3872" s="50" t="n"/>
      <c r="J3872" s="48" t="n"/>
      <c r="K3872" s="48" t="n"/>
      <c r="L3872" s="48" t="n"/>
      <c r="M3872" s="48" t="n"/>
      <c r="N3872" s="48" t="n"/>
      <c r="O3872" s="51">
        <f>IF(AND(B3872="",G3872="",C3872="",D3872="",J3872=""),"",IF(B3872="","⚠ Falta fecha",IF(G3872="","⚠ Falta monto",IF(Q3872="","⚠ Falta cuenta",IF(ISNA(MATCH(Q3872,ctaNombre,0)),"⚠ Cuenta no registrada",IF(AND(OR(P3872="Gasto",P3872="Reembolso"),D3872=""),"⚠ Falta categoría",IF(AND(D3872&lt;&gt;"",E3872&lt;&gt;"",ISNA(MATCH(D3872&amp;"|"&amp;E3872,catClave,0))),"⚠ Subcategoría no corresponde",IF(AND(OR(P3872="Transferencia",P3872="Pago tarjeta"),K3872=""),"⚠ Falta cuenta destino",IF(AND(K3872&lt;&gt;"",P3872&lt;&gt;"Transferencia",P3872&lt;&gt;"Pago tarjeta"),"⚠ Destino solo aplica a transferencias",IF(AND(K3872&lt;&gt;"",K3872=Q3872),"⚠ Origen igual a destino",IF(AND(K3872&lt;&gt;"",ISNA(MATCH(K3872,ctaNombre,0))),"⚠ Destino no registrado",IF(AND(P3872="Pago tarjeta",AE3872&lt;&gt;"Tarjeta de crédito"),"⚠ El destino debe ser tarjeta de crédito",IF(AND(P3872="Gasto",E3872="Depósitos y retiros"),"⚠ Usa tipo Transferencia",IF(AND(P3872="Resultado trading",AD3872&lt;&gt;"Cuenta de trading"),"⚠ Usa una cuenta de trading",IF(AND(G3872&lt;=0,P3872&lt;&gt;"Ajuste",P3872&lt;&gt;"Resultado trading"),"⚠ El monto debe ser positivo","✓")))))))))))))))</f>
        <v/>
      </c>
      <c r="P3872" s="52">
        <f>IF(OR(B3872="",G3872=""),"",IF(C3872="","Gasto",C3872))</f>
        <v/>
      </c>
      <c r="Q3872" s="52">
        <f>IF(P3872="","",IF(J3872&lt;&gt;"",J3872,CuentaPred&amp;""))</f>
        <v/>
      </c>
      <c r="R3872" s="52">
        <f>IF(P3872="","",IF(ISNUMBER(I3872),I3872,TasaUSD))</f>
        <v/>
      </c>
      <c r="S3872" s="53">
        <f>IF(P3872="","",IF(H3872="USD",G3872*R3872,G3872))</f>
        <v/>
      </c>
      <c r="T3872" s="53">
        <f>IF(P3872="","",IF(H3872="USD",G3872,IF(R3872&gt;0,G3872/R3872,0)))</f>
        <v/>
      </c>
      <c r="U3872" s="53">
        <f>IF(P3872="","",IF(P3872="Gasto",S3872,IF(P3872="Reembolso",-S3872,0)))</f>
        <v/>
      </c>
      <c r="V3872" s="53">
        <f>IF(P3872="","",IF(P3872="Ingreso",S3872,0))</f>
        <v/>
      </c>
      <c r="W3872" s="53">
        <f>IF(P3872="","",IF(P3872="Resultado trading",S3872,0))</f>
        <v/>
      </c>
      <c r="X3872" s="52">
        <f>IF(OR(P3872="Gasto",P3872="Reembolso"),IF(M3872&lt;&gt;"",M3872,IFERROR(INDEX(catClasif,MATCH(D3872&amp;"|"&amp;E3872,catClave,0))&amp;"","Variable")),"")</f>
        <v/>
      </c>
      <c r="Y3872" s="52">
        <f>IF(P3872="","",IFERROR(INDEX(catGrupo,MATCH(D3872&amp;"|"&amp;E3872,catClave,0))&amp;"",""))</f>
        <v/>
      </c>
      <c r="Z3872" s="52">
        <f>IF(P3872="","",WEEKDAY(B3872,2))</f>
        <v/>
      </c>
      <c r="AA3872" s="52">
        <f>IF(P3872="","",IF(AND(P3872="Gasto",X3872="Variable",D3872&lt;&gt;catTrading,S3872&gt;0,S3872&lt;=Umbral),1,0))</f>
        <v/>
      </c>
      <c r="AB3872" s="52">
        <f>IF(OR(P3872="",Q3872=""),"",IFERROR(IF(INDEX(ctaVinc,MATCH(Q3872,ctaNombre,0))&amp;""&lt;&gt;"",INDEX(ctaVinc,MATCH(Q3872,ctaNombre,0))&amp;"",Q3872),Q3872))</f>
        <v/>
      </c>
      <c r="AC3872" s="52">
        <f>IF(OR(K3872="",AND(P3872&lt;&gt;"Transferencia",P3872&lt;&gt;"Pago tarjeta")),"",IFERROR(IF(INDEX(ctaVinc,MATCH(K3872,ctaNombre,0))&amp;""&lt;&gt;"",INDEX(ctaVinc,MATCH(K3872,ctaNombre,0))&amp;"",K3872),K3872))</f>
        <v/>
      </c>
      <c r="AD3872" s="52">
        <f>IF(AB3872="","",IFERROR(INDEX(ctaTipo,MATCH(AB3872,ctaNombre,0))&amp;"",""))</f>
        <v/>
      </c>
      <c r="AE3872" s="52">
        <f>IF(AC3872="","",IFERROR(INDEX(ctaTipo,MATCH(AC3872,ctaNombre,0))&amp;"",""))</f>
        <v/>
      </c>
      <c r="AF3872" s="53">
        <f>IF(OR(P3872="",AB3872=""),"",IF(OR(P3872="Gasto",P3872="Transferencia",P3872="Pago tarjeta"),-1,1)*IF(IFERROR(INDEX(ctaMoneda,MATCH(AB3872,ctaNombre,0))&amp;"","DOP")="USD",T3872,S3872))</f>
        <v/>
      </c>
      <c r="AG3872" s="53">
        <f>IF(AC3872="","",IF(IFERROR(INDEX(ctaMoneda,MATCH(AC3872,ctaNombre,0))&amp;"","DOP")="USD",T3872,S3872))</f>
        <v/>
      </c>
      <c r="AH3872" s="53">
        <f>IF(P3872="","",IF(AND(AD3872&lt;&gt;"",COUNTIFS(tcTipo,AD3872,tcLiq,"Sí")&gt;0),IF(OR(P3872="Gasto",P3872="Transferencia",P3872="Pago tarjeta"),-1,1)*S3872,0)+IF(AND(AE3872&lt;&gt;"",COUNTIFS(tcTipo,AE3872,tcLiq,"Sí")&gt;0),S3872,0))</f>
        <v/>
      </c>
      <c r="AI3872" s="52">
        <f>IF(OR(L3872="",P3872=""),"",IF(COUNTIFS(L$6:L3872,L3872,P$6:P3872,"?*")=1,MAX(AI$5:AI3871)+1,""))</f>
        <v/>
      </c>
    </row>
    <row r="3873">
      <c r="B3873" s="47" t="n"/>
      <c r="C3873" s="48" t="n"/>
      <c r="D3873" s="48" t="n"/>
      <c r="E3873" s="48" t="n"/>
      <c r="F3873" s="48" t="n"/>
      <c r="G3873" s="49" t="n"/>
      <c r="H3873" s="48" t="n"/>
      <c r="I3873" s="50" t="n"/>
      <c r="J3873" s="48" t="n"/>
      <c r="K3873" s="48" t="n"/>
      <c r="L3873" s="48" t="n"/>
      <c r="M3873" s="48" t="n"/>
      <c r="N3873" s="48" t="n"/>
      <c r="O3873" s="51">
        <f>IF(AND(B3873="",G3873="",C3873="",D3873="",J3873=""),"",IF(B3873="","⚠ Falta fecha",IF(G3873="","⚠ Falta monto",IF(Q3873="","⚠ Falta cuenta",IF(ISNA(MATCH(Q3873,ctaNombre,0)),"⚠ Cuenta no registrada",IF(AND(OR(P3873="Gasto",P3873="Reembolso"),D3873=""),"⚠ Falta categoría",IF(AND(D3873&lt;&gt;"",E3873&lt;&gt;"",ISNA(MATCH(D3873&amp;"|"&amp;E3873,catClave,0))),"⚠ Subcategoría no corresponde",IF(AND(OR(P3873="Transferencia",P3873="Pago tarjeta"),K3873=""),"⚠ Falta cuenta destino",IF(AND(K3873&lt;&gt;"",P3873&lt;&gt;"Transferencia",P3873&lt;&gt;"Pago tarjeta"),"⚠ Destino solo aplica a transferencias",IF(AND(K3873&lt;&gt;"",K3873=Q3873),"⚠ Origen igual a destino",IF(AND(K3873&lt;&gt;"",ISNA(MATCH(K3873,ctaNombre,0))),"⚠ Destino no registrado",IF(AND(P3873="Pago tarjeta",AE3873&lt;&gt;"Tarjeta de crédito"),"⚠ El destino debe ser tarjeta de crédito",IF(AND(P3873="Gasto",E3873="Depósitos y retiros"),"⚠ Usa tipo Transferencia",IF(AND(P3873="Resultado trading",AD3873&lt;&gt;"Cuenta de trading"),"⚠ Usa una cuenta de trading",IF(AND(G3873&lt;=0,P3873&lt;&gt;"Ajuste",P3873&lt;&gt;"Resultado trading"),"⚠ El monto debe ser positivo","✓")))))))))))))))</f>
        <v/>
      </c>
      <c r="P3873" s="52">
        <f>IF(OR(B3873="",G3873=""),"",IF(C3873="","Gasto",C3873))</f>
        <v/>
      </c>
      <c r="Q3873" s="52">
        <f>IF(P3873="","",IF(J3873&lt;&gt;"",J3873,CuentaPred&amp;""))</f>
        <v/>
      </c>
      <c r="R3873" s="52">
        <f>IF(P3873="","",IF(ISNUMBER(I3873),I3873,TasaUSD))</f>
        <v/>
      </c>
      <c r="S3873" s="53">
        <f>IF(P3873="","",IF(H3873="USD",G3873*R3873,G3873))</f>
        <v/>
      </c>
      <c r="T3873" s="53">
        <f>IF(P3873="","",IF(H3873="USD",G3873,IF(R3873&gt;0,G3873/R3873,0)))</f>
        <v/>
      </c>
      <c r="U3873" s="53">
        <f>IF(P3873="","",IF(P3873="Gasto",S3873,IF(P3873="Reembolso",-S3873,0)))</f>
        <v/>
      </c>
      <c r="V3873" s="53">
        <f>IF(P3873="","",IF(P3873="Ingreso",S3873,0))</f>
        <v/>
      </c>
      <c r="W3873" s="53">
        <f>IF(P3873="","",IF(P3873="Resultado trading",S3873,0))</f>
        <v/>
      </c>
      <c r="X3873" s="52">
        <f>IF(OR(P3873="Gasto",P3873="Reembolso"),IF(M3873&lt;&gt;"",M3873,IFERROR(INDEX(catClasif,MATCH(D3873&amp;"|"&amp;E3873,catClave,0))&amp;"","Variable")),"")</f>
        <v/>
      </c>
      <c r="Y3873" s="52">
        <f>IF(P3873="","",IFERROR(INDEX(catGrupo,MATCH(D3873&amp;"|"&amp;E3873,catClave,0))&amp;"",""))</f>
        <v/>
      </c>
      <c r="Z3873" s="52">
        <f>IF(P3873="","",WEEKDAY(B3873,2))</f>
        <v/>
      </c>
      <c r="AA3873" s="52">
        <f>IF(P3873="","",IF(AND(P3873="Gasto",X3873="Variable",D3873&lt;&gt;catTrading,S3873&gt;0,S3873&lt;=Umbral),1,0))</f>
        <v/>
      </c>
      <c r="AB3873" s="52">
        <f>IF(OR(P3873="",Q3873=""),"",IFERROR(IF(INDEX(ctaVinc,MATCH(Q3873,ctaNombre,0))&amp;""&lt;&gt;"",INDEX(ctaVinc,MATCH(Q3873,ctaNombre,0))&amp;"",Q3873),Q3873))</f>
        <v/>
      </c>
      <c r="AC3873" s="52">
        <f>IF(OR(K3873="",AND(P3873&lt;&gt;"Transferencia",P3873&lt;&gt;"Pago tarjeta")),"",IFERROR(IF(INDEX(ctaVinc,MATCH(K3873,ctaNombre,0))&amp;""&lt;&gt;"",INDEX(ctaVinc,MATCH(K3873,ctaNombre,0))&amp;"",K3873),K3873))</f>
        <v/>
      </c>
      <c r="AD3873" s="52">
        <f>IF(AB3873="","",IFERROR(INDEX(ctaTipo,MATCH(AB3873,ctaNombre,0))&amp;"",""))</f>
        <v/>
      </c>
      <c r="AE3873" s="52">
        <f>IF(AC3873="","",IFERROR(INDEX(ctaTipo,MATCH(AC3873,ctaNombre,0))&amp;"",""))</f>
        <v/>
      </c>
      <c r="AF3873" s="53">
        <f>IF(OR(P3873="",AB3873=""),"",IF(OR(P3873="Gasto",P3873="Transferencia",P3873="Pago tarjeta"),-1,1)*IF(IFERROR(INDEX(ctaMoneda,MATCH(AB3873,ctaNombre,0))&amp;"","DOP")="USD",T3873,S3873))</f>
        <v/>
      </c>
      <c r="AG3873" s="53">
        <f>IF(AC3873="","",IF(IFERROR(INDEX(ctaMoneda,MATCH(AC3873,ctaNombre,0))&amp;"","DOP")="USD",T3873,S3873))</f>
        <v/>
      </c>
      <c r="AH3873" s="53">
        <f>IF(P3873="","",IF(AND(AD3873&lt;&gt;"",COUNTIFS(tcTipo,AD3873,tcLiq,"Sí")&gt;0),IF(OR(P3873="Gasto",P3873="Transferencia",P3873="Pago tarjeta"),-1,1)*S3873,0)+IF(AND(AE3873&lt;&gt;"",COUNTIFS(tcTipo,AE3873,tcLiq,"Sí")&gt;0),S3873,0))</f>
        <v/>
      </c>
      <c r="AI3873" s="52">
        <f>IF(OR(L3873="",P3873=""),"",IF(COUNTIFS(L$6:L3873,L3873,P$6:P3873,"?*")=1,MAX(AI$5:AI3872)+1,""))</f>
        <v/>
      </c>
    </row>
    <row r="3874">
      <c r="B3874" s="47" t="n"/>
      <c r="C3874" s="48" t="n"/>
      <c r="D3874" s="48" t="n"/>
      <c r="E3874" s="48" t="n"/>
      <c r="F3874" s="48" t="n"/>
      <c r="G3874" s="49" t="n"/>
      <c r="H3874" s="48" t="n"/>
      <c r="I3874" s="50" t="n"/>
      <c r="J3874" s="48" t="n"/>
      <c r="K3874" s="48" t="n"/>
      <c r="L3874" s="48" t="n"/>
      <c r="M3874" s="48" t="n"/>
      <c r="N3874" s="48" t="n"/>
      <c r="O3874" s="51">
        <f>IF(AND(B3874="",G3874="",C3874="",D3874="",J3874=""),"",IF(B3874="","⚠ Falta fecha",IF(G3874="","⚠ Falta monto",IF(Q3874="","⚠ Falta cuenta",IF(ISNA(MATCH(Q3874,ctaNombre,0)),"⚠ Cuenta no registrada",IF(AND(OR(P3874="Gasto",P3874="Reembolso"),D3874=""),"⚠ Falta categoría",IF(AND(D3874&lt;&gt;"",E3874&lt;&gt;"",ISNA(MATCH(D3874&amp;"|"&amp;E3874,catClave,0))),"⚠ Subcategoría no corresponde",IF(AND(OR(P3874="Transferencia",P3874="Pago tarjeta"),K3874=""),"⚠ Falta cuenta destino",IF(AND(K3874&lt;&gt;"",P3874&lt;&gt;"Transferencia",P3874&lt;&gt;"Pago tarjeta"),"⚠ Destino solo aplica a transferencias",IF(AND(K3874&lt;&gt;"",K3874=Q3874),"⚠ Origen igual a destino",IF(AND(K3874&lt;&gt;"",ISNA(MATCH(K3874,ctaNombre,0))),"⚠ Destino no registrado",IF(AND(P3874="Pago tarjeta",AE3874&lt;&gt;"Tarjeta de crédito"),"⚠ El destino debe ser tarjeta de crédito",IF(AND(P3874="Gasto",E3874="Depósitos y retiros"),"⚠ Usa tipo Transferencia",IF(AND(P3874="Resultado trading",AD3874&lt;&gt;"Cuenta de trading"),"⚠ Usa una cuenta de trading",IF(AND(G3874&lt;=0,P3874&lt;&gt;"Ajuste",P3874&lt;&gt;"Resultado trading"),"⚠ El monto debe ser positivo","✓")))))))))))))))</f>
        <v/>
      </c>
      <c r="P3874" s="52">
        <f>IF(OR(B3874="",G3874=""),"",IF(C3874="","Gasto",C3874))</f>
        <v/>
      </c>
      <c r="Q3874" s="52">
        <f>IF(P3874="","",IF(J3874&lt;&gt;"",J3874,CuentaPred&amp;""))</f>
        <v/>
      </c>
      <c r="R3874" s="52">
        <f>IF(P3874="","",IF(ISNUMBER(I3874),I3874,TasaUSD))</f>
        <v/>
      </c>
      <c r="S3874" s="53">
        <f>IF(P3874="","",IF(H3874="USD",G3874*R3874,G3874))</f>
        <v/>
      </c>
      <c r="T3874" s="53">
        <f>IF(P3874="","",IF(H3874="USD",G3874,IF(R3874&gt;0,G3874/R3874,0)))</f>
        <v/>
      </c>
      <c r="U3874" s="53">
        <f>IF(P3874="","",IF(P3874="Gasto",S3874,IF(P3874="Reembolso",-S3874,0)))</f>
        <v/>
      </c>
      <c r="V3874" s="53">
        <f>IF(P3874="","",IF(P3874="Ingreso",S3874,0))</f>
        <v/>
      </c>
      <c r="W3874" s="53">
        <f>IF(P3874="","",IF(P3874="Resultado trading",S3874,0))</f>
        <v/>
      </c>
      <c r="X3874" s="52">
        <f>IF(OR(P3874="Gasto",P3874="Reembolso"),IF(M3874&lt;&gt;"",M3874,IFERROR(INDEX(catClasif,MATCH(D3874&amp;"|"&amp;E3874,catClave,0))&amp;"","Variable")),"")</f>
        <v/>
      </c>
      <c r="Y3874" s="52">
        <f>IF(P3874="","",IFERROR(INDEX(catGrupo,MATCH(D3874&amp;"|"&amp;E3874,catClave,0))&amp;"",""))</f>
        <v/>
      </c>
      <c r="Z3874" s="52">
        <f>IF(P3874="","",WEEKDAY(B3874,2))</f>
        <v/>
      </c>
      <c r="AA3874" s="52">
        <f>IF(P3874="","",IF(AND(P3874="Gasto",X3874="Variable",D3874&lt;&gt;catTrading,S3874&gt;0,S3874&lt;=Umbral),1,0))</f>
        <v/>
      </c>
      <c r="AB3874" s="52">
        <f>IF(OR(P3874="",Q3874=""),"",IFERROR(IF(INDEX(ctaVinc,MATCH(Q3874,ctaNombre,0))&amp;""&lt;&gt;"",INDEX(ctaVinc,MATCH(Q3874,ctaNombre,0))&amp;"",Q3874),Q3874))</f>
        <v/>
      </c>
      <c r="AC3874" s="52">
        <f>IF(OR(K3874="",AND(P3874&lt;&gt;"Transferencia",P3874&lt;&gt;"Pago tarjeta")),"",IFERROR(IF(INDEX(ctaVinc,MATCH(K3874,ctaNombre,0))&amp;""&lt;&gt;"",INDEX(ctaVinc,MATCH(K3874,ctaNombre,0))&amp;"",K3874),K3874))</f>
        <v/>
      </c>
      <c r="AD3874" s="52">
        <f>IF(AB3874="","",IFERROR(INDEX(ctaTipo,MATCH(AB3874,ctaNombre,0))&amp;"",""))</f>
        <v/>
      </c>
      <c r="AE3874" s="52">
        <f>IF(AC3874="","",IFERROR(INDEX(ctaTipo,MATCH(AC3874,ctaNombre,0))&amp;"",""))</f>
        <v/>
      </c>
      <c r="AF3874" s="53">
        <f>IF(OR(P3874="",AB3874=""),"",IF(OR(P3874="Gasto",P3874="Transferencia",P3874="Pago tarjeta"),-1,1)*IF(IFERROR(INDEX(ctaMoneda,MATCH(AB3874,ctaNombre,0))&amp;"","DOP")="USD",T3874,S3874))</f>
        <v/>
      </c>
      <c r="AG3874" s="53">
        <f>IF(AC3874="","",IF(IFERROR(INDEX(ctaMoneda,MATCH(AC3874,ctaNombre,0))&amp;"","DOP")="USD",T3874,S3874))</f>
        <v/>
      </c>
      <c r="AH3874" s="53">
        <f>IF(P3874="","",IF(AND(AD3874&lt;&gt;"",COUNTIFS(tcTipo,AD3874,tcLiq,"Sí")&gt;0),IF(OR(P3874="Gasto",P3874="Transferencia",P3874="Pago tarjeta"),-1,1)*S3874,0)+IF(AND(AE3874&lt;&gt;"",COUNTIFS(tcTipo,AE3874,tcLiq,"Sí")&gt;0),S3874,0))</f>
        <v/>
      </c>
      <c r="AI3874" s="52">
        <f>IF(OR(L3874="",P3874=""),"",IF(COUNTIFS(L$6:L3874,L3874,P$6:P3874,"?*")=1,MAX(AI$5:AI3873)+1,""))</f>
        <v/>
      </c>
    </row>
    <row r="3875">
      <c r="B3875" s="47" t="n"/>
      <c r="C3875" s="48" t="n"/>
      <c r="D3875" s="48" t="n"/>
      <c r="E3875" s="48" t="n"/>
      <c r="F3875" s="48" t="n"/>
      <c r="G3875" s="49" t="n"/>
      <c r="H3875" s="48" t="n"/>
      <c r="I3875" s="50" t="n"/>
      <c r="J3875" s="48" t="n"/>
      <c r="K3875" s="48" t="n"/>
      <c r="L3875" s="48" t="n"/>
      <c r="M3875" s="48" t="n"/>
      <c r="N3875" s="48" t="n"/>
      <c r="O3875" s="51">
        <f>IF(AND(B3875="",G3875="",C3875="",D3875="",J3875=""),"",IF(B3875="","⚠ Falta fecha",IF(G3875="","⚠ Falta monto",IF(Q3875="","⚠ Falta cuenta",IF(ISNA(MATCH(Q3875,ctaNombre,0)),"⚠ Cuenta no registrada",IF(AND(OR(P3875="Gasto",P3875="Reembolso"),D3875=""),"⚠ Falta categoría",IF(AND(D3875&lt;&gt;"",E3875&lt;&gt;"",ISNA(MATCH(D3875&amp;"|"&amp;E3875,catClave,0))),"⚠ Subcategoría no corresponde",IF(AND(OR(P3875="Transferencia",P3875="Pago tarjeta"),K3875=""),"⚠ Falta cuenta destino",IF(AND(K3875&lt;&gt;"",P3875&lt;&gt;"Transferencia",P3875&lt;&gt;"Pago tarjeta"),"⚠ Destino solo aplica a transferencias",IF(AND(K3875&lt;&gt;"",K3875=Q3875),"⚠ Origen igual a destino",IF(AND(K3875&lt;&gt;"",ISNA(MATCH(K3875,ctaNombre,0))),"⚠ Destino no registrado",IF(AND(P3875="Pago tarjeta",AE3875&lt;&gt;"Tarjeta de crédito"),"⚠ El destino debe ser tarjeta de crédito",IF(AND(P3875="Gasto",E3875="Depósitos y retiros"),"⚠ Usa tipo Transferencia",IF(AND(P3875="Resultado trading",AD3875&lt;&gt;"Cuenta de trading"),"⚠ Usa una cuenta de trading",IF(AND(G3875&lt;=0,P3875&lt;&gt;"Ajuste",P3875&lt;&gt;"Resultado trading"),"⚠ El monto debe ser positivo","✓")))))))))))))))</f>
        <v/>
      </c>
      <c r="P3875" s="52">
        <f>IF(OR(B3875="",G3875=""),"",IF(C3875="","Gasto",C3875))</f>
        <v/>
      </c>
      <c r="Q3875" s="52">
        <f>IF(P3875="","",IF(J3875&lt;&gt;"",J3875,CuentaPred&amp;""))</f>
        <v/>
      </c>
      <c r="R3875" s="52">
        <f>IF(P3875="","",IF(ISNUMBER(I3875),I3875,TasaUSD))</f>
        <v/>
      </c>
      <c r="S3875" s="53">
        <f>IF(P3875="","",IF(H3875="USD",G3875*R3875,G3875))</f>
        <v/>
      </c>
      <c r="T3875" s="53">
        <f>IF(P3875="","",IF(H3875="USD",G3875,IF(R3875&gt;0,G3875/R3875,0)))</f>
        <v/>
      </c>
      <c r="U3875" s="53">
        <f>IF(P3875="","",IF(P3875="Gasto",S3875,IF(P3875="Reembolso",-S3875,0)))</f>
        <v/>
      </c>
      <c r="V3875" s="53">
        <f>IF(P3875="","",IF(P3875="Ingreso",S3875,0))</f>
        <v/>
      </c>
      <c r="W3875" s="53">
        <f>IF(P3875="","",IF(P3875="Resultado trading",S3875,0))</f>
        <v/>
      </c>
      <c r="X3875" s="52">
        <f>IF(OR(P3875="Gasto",P3875="Reembolso"),IF(M3875&lt;&gt;"",M3875,IFERROR(INDEX(catClasif,MATCH(D3875&amp;"|"&amp;E3875,catClave,0))&amp;"","Variable")),"")</f>
        <v/>
      </c>
      <c r="Y3875" s="52">
        <f>IF(P3875="","",IFERROR(INDEX(catGrupo,MATCH(D3875&amp;"|"&amp;E3875,catClave,0))&amp;"",""))</f>
        <v/>
      </c>
      <c r="Z3875" s="52">
        <f>IF(P3875="","",WEEKDAY(B3875,2))</f>
        <v/>
      </c>
      <c r="AA3875" s="52">
        <f>IF(P3875="","",IF(AND(P3875="Gasto",X3875="Variable",D3875&lt;&gt;catTrading,S3875&gt;0,S3875&lt;=Umbral),1,0))</f>
        <v/>
      </c>
      <c r="AB3875" s="52">
        <f>IF(OR(P3875="",Q3875=""),"",IFERROR(IF(INDEX(ctaVinc,MATCH(Q3875,ctaNombre,0))&amp;""&lt;&gt;"",INDEX(ctaVinc,MATCH(Q3875,ctaNombre,0))&amp;"",Q3875),Q3875))</f>
        <v/>
      </c>
      <c r="AC3875" s="52">
        <f>IF(OR(K3875="",AND(P3875&lt;&gt;"Transferencia",P3875&lt;&gt;"Pago tarjeta")),"",IFERROR(IF(INDEX(ctaVinc,MATCH(K3875,ctaNombre,0))&amp;""&lt;&gt;"",INDEX(ctaVinc,MATCH(K3875,ctaNombre,0))&amp;"",K3875),K3875))</f>
        <v/>
      </c>
      <c r="AD3875" s="52">
        <f>IF(AB3875="","",IFERROR(INDEX(ctaTipo,MATCH(AB3875,ctaNombre,0))&amp;"",""))</f>
        <v/>
      </c>
      <c r="AE3875" s="52">
        <f>IF(AC3875="","",IFERROR(INDEX(ctaTipo,MATCH(AC3875,ctaNombre,0))&amp;"",""))</f>
        <v/>
      </c>
      <c r="AF3875" s="53">
        <f>IF(OR(P3875="",AB3875=""),"",IF(OR(P3875="Gasto",P3875="Transferencia",P3875="Pago tarjeta"),-1,1)*IF(IFERROR(INDEX(ctaMoneda,MATCH(AB3875,ctaNombre,0))&amp;"","DOP")="USD",T3875,S3875))</f>
        <v/>
      </c>
      <c r="AG3875" s="53">
        <f>IF(AC3875="","",IF(IFERROR(INDEX(ctaMoneda,MATCH(AC3875,ctaNombre,0))&amp;"","DOP")="USD",T3875,S3875))</f>
        <v/>
      </c>
      <c r="AH3875" s="53">
        <f>IF(P3875="","",IF(AND(AD3875&lt;&gt;"",COUNTIFS(tcTipo,AD3875,tcLiq,"Sí")&gt;0),IF(OR(P3875="Gasto",P3875="Transferencia",P3875="Pago tarjeta"),-1,1)*S3875,0)+IF(AND(AE3875&lt;&gt;"",COUNTIFS(tcTipo,AE3875,tcLiq,"Sí")&gt;0),S3875,0))</f>
        <v/>
      </c>
      <c r="AI3875" s="52">
        <f>IF(OR(L3875="",P3875=""),"",IF(COUNTIFS(L$6:L3875,L3875,P$6:P3875,"?*")=1,MAX(AI$5:AI3874)+1,""))</f>
        <v/>
      </c>
    </row>
    <row r="3876">
      <c r="B3876" s="47" t="n"/>
      <c r="C3876" s="48" t="n"/>
      <c r="D3876" s="48" t="n"/>
      <c r="E3876" s="48" t="n"/>
      <c r="F3876" s="48" t="n"/>
      <c r="G3876" s="49" t="n"/>
      <c r="H3876" s="48" t="n"/>
      <c r="I3876" s="50" t="n"/>
      <c r="J3876" s="48" t="n"/>
      <c r="K3876" s="48" t="n"/>
      <c r="L3876" s="48" t="n"/>
      <c r="M3876" s="48" t="n"/>
      <c r="N3876" s="48" t="n"/>
      <c r="O3876" s="51">
        <f>IF(AND(B3876="",G3876="",C3876="",D3876="",J3876=""),"",IF(B3876="","⚠ Falta fecha",IF(G3876="","⚠ Falta monto",IF(Q3876="","⚠ Falta cuenta",IF(ISNA(MATCH(Q3876,ctaNombre,0)),"⚠ Cuenta no registrada",IF(AND(OR(P3876="Gasto",P3876="Reembolso"),D3876=""),"⚠ Falta categoría",IF(AND(D3876&lt;&gt;"",E3876&lt;&gt;"",ISNA(MATCH(D3876&amp;"|"&amp;E3876,catClave,0))),"⚠ Subcategoría no corresponde",IF(AND(OR(P3876="Transferencia",P3876="Pago tarjeta"),K3876=""),"⚠ Falta cuenta destino",IF(AND(K3876&lt;&gt;"",P3876&lt;&gt;"Transferencia",P3876&lt;&gt;"Pago tarjeta"),"⚠ Destino solo aplica a transferencias",IF(AND(K3876&lt;&gt;"",K3876=Q3876),"⚠ Origen igual a destino",IF(AND(K3876&lt;&gt;"",ISNA(MATCH(K3876,ctaNombre,0))),"⚠ Destino no registrado",IF(AND(P3876="Pago tarjeta",AE3876&lt;&gt;"Tarjeta de crédito"),"⚠ El destino debe ser tarjeta de crédito",IF(AND(P3876="Gasto",E3876="Depósitos y retiros"),"⚠ Usa tipo Transferencia",IF(AND(P3876="Resultado trading",AD3876&lt;&gt;"Cuenta de trading"),"⚠ Usa una cuenta de trading",IF(AND(G3876&lt;=0,P3876&lt;&gt;"Ajuste",P3876&lt;&gt;"Resultado trading"),"⚠ El monto debe ser positivo","✓")))))))))))))))</f>
        <v/>
      </c>
      <c r="P3876" s="52">
        <f>IF(OR(B3876="",G3876=""),"",IF(C3876="","Gasto",C3876))</f>
        <v/>
      </c>
      <c r="Q3876" s="52">
        <f>IF(P3876="","",IF(J3876&lt;&gt;"",J3876,CuentaPred&amp;""))</f>
        <v/>
      </c>
      <c r="R3876" s="52">
        <f>IF(P3876="","",IF(ISNUMBER(I3876),I3876,TasaUSD))</f>
        <v/>
      </c>
      <c r="S3876" s="53">
        <f>IF(P3876="","",IF(H3876="USD",G3876*R3876,G3876))</f>
        <v/>
      </c>
      <c r="T3876" s="53">
        <f>IF(P3876="","",IF(H3876="USD",G3876,IF(R3876&gt;0,G3876/R3876,0)))</f>
        <v/>
      </c>
      <c r="U3876" s="53">
        <f>IF(P3876="","",IF(P3876="Gasto",S3876,IF(P3876="Reembolso",-S3876,0)))</f>
        <v/>
      </c>
      <c r="V3876" s="53">
        <f>IF(P3876="","",IF(P3876="Ingreso",S3876,0))</f>
        <v/>
      </c>
      <c r="W3876" s="53">
        <f>IF(P3876="","",IF(P3876="Resultado trading",S3876,0))</f>
        <v/>
      </c>
      <c r="X3876" s="52">
        <f>IF(OR(P3876="Gasto",P3876="Reembolso"),IF(M3876&lt;&gt;"",M3876,IFERROR(INDEX(catClasif,MATCH(D3876&amp;"|"&amp;E3876,catClave,0))&amp;"","Variable")),"")</f>
        <v/>
      </c>
      <c r="Y3876" s="52">
        <f>IF(P3876="","",IFERROR(INDEX(catGrupo,MATCH(D3876&amp;"|"&amp;E3876,catClave,0))&amp;"",""))</f>
        <v/>
      </c>
      <c r="Z3876" s="52">
        <f>IF(P3876="","",WEEKDAY(B3876,2))</f>
        <v/>
      </c>
      <c r="AA3876" s="52">
        <f>IF(P3876="","",IF(AND(P3876="Gasto",X3876="Variable",D3876&lt;&gt;catTrading,S3876&gt;0,S3876&lt;=Umbral),1,0))</f>
        <v/>
      </c>
      <c r="AB3876" s="52">
        <f>IF(OR(P3876="",Q3876=""),"",IFERROR(IF(INDEX(ctaVinc,MATCH(Q3876,ctaNombre,0))&amp;""&lt;&gt;"",INDEX(ctaVinc,MATCH(Q3876,ctaNombre,0))&amp;"",Q3876),Q3876))</f>
        <v/>
      </c>
      <c r="AC3876" s="52">
        <f>IF(OR(K3876="",AND(P3876&lt;&gt;"Transferencia",P3876&lt;&gt;"Pago tarjeta")),"",IFERROR(IF(INDEX(ctaVinc,MATCH(K3876,ctaNombre,0))&amp;""&lt;&gt;"",INDEX(ctaVinc,MATCH(K3876,ctaNombre,0))&amp;"",K3876),K3876))</f>
        <v/>
      </c>
      <c r="AD3876" s="52">
        <f>IF(AB3876="","",IFERROR(INDEX(ctaTipo,MATCH(AB3876,ctaNombre,0))&amp;"",""))</f>
        <v/>
      </c>
      <c r="AE3876" s="52">
        <f>IF(AC3876="","",IFERROR(INDEX(ctaTipo,MATCH(AC3876,ctaNombre,0))&amp;"",""))</f>
        <v/>
      </c>
      <c r="AF3876" s="53">
        <f>IF(OR(P3876="",AB3876=""),"",IF(OR(P3876="Gasto",P3876="Transferencia",P3876="Pago tarjeta"),-1,1)*IF(IFERROR(INDEX(ctaMoneda,MATCH(AB3876,ctaNombre,0))&amp;"","DOP")="USD",T3876,S3876))</f>
        <v/>
      </c>
      <c r="AG3876" s="53">
        <f>IF(AC3876="","",IF(IFERROR(INDEX(ctaMoneda,MATCH(AC3876,ctaNombre,0))&amp;"","DOP")="USD",T3876,S3876))</f>
        <v/>
      </c>
      <c r="AH3876" s="53">
        <f>IF(P3876="","",IF(AND(AD3876&lt;&gt;"",COUNTIFS(tcTipo,AD3876,tcLiq,"Sí")&gt;0),IF(OR(P3876="Gasto",P3876="Transferencia",P3876="Pago tarjeta"),-1,1)*S3876,0)+IF(AND(AE3876&lt;&gt;"",COUNTIFS(tcTipo,AE3876,tcLiq,"Sí")&gt;0),S3876,0))</f>
        <v/>
      </c>
      <c r="AI3876" s="52">
        <f>IF(OR(L3876="",P3876=""),"",IF(COUNTIFS(L$6:L3876,L3876,P$6:P3876,"?*")=1,MAX(AI$5:AI3875)+1,""))</f>
        <v/>
      </c>
    </row>
    <row r="3877">
      <c r="B3877" s="47" t="n"/>
      <c r="C3877" s="48" t="n"/>
      <c r="D3877" s="48" t="n"/>
      <c r="E3877" s="48" t="n"/>
      <c r="F3877" s="48" t="n"/>
      <c r="G3877" s="49" t="n"/>
      <c r="H3877" s="48" t="n"/>
      <c r="I3877" s="50" t="n"/>
      <c r="J3877" s="48" t="n"/>
      <c r="K3877" s="48" t="n"/>
      <c r="L3877" s="48" t="n"/>
      <c r="M3877" s="48" t="n"/>
      <c r="N3877" s="48" t="n"/>
      <c r="O3877" s="51">
        <f>IF(AND(B3877="",G3877="",C3877="",D3877="",J3877=""),"",IF(B3877="","⚠ Falta fecha",IF(G3877="","⚠ Falta monto",IF(Q3877="","⚠ Falta cuenta",IF(ISNA(MATCH(Q3877,ctaNombre,0)),"⚠ Cuenta no registrada",IF(AND(OR(P3877="Gasto",P3877="Reembolso"),D3877=""),"⚠ Falta categoría",IF(AND(D3877&lt;&gt;"",E3877&lt;&gt;"",ISNA(MATCH(D3877&amp;"|"&amp;E3877,catClave,0))),"⚠ Subcategoría no corresponde",IF(AND(OR(P3877="Transferencia",P3877="Pago tarjeta"),K3877=""),"⚠ Falta cuenta destino",IF(AND(K3877&lt;&gt;"",P3877&lt;&gt;"Transferencia",P3877&lt;&gt;"Pago tarjeta"),"⚠ Destino solo aplica a transferencias",IF(AND(K3877&lt;&gt;"",K3877=Q3877),"⚠ Origen igual a destino",IF(AND(K3877&lt;&gt;"",ISNA(MATCH(K3877,ctaNombre,0))),"⚠ Destino no registrado",IF(AND(P3877="Pago tarjeta",AE3877&lt;&gt;"Tarjeta de crédito"),"⚠ El destino debe ser tarjeta de crédito",IF(AND(P3877="Gasto",E3877="Depósitos y retiros"),"⚠ Usa tipo Transferencia",IF(AND(P3877="Resultado trading",AD3877&lt;&gt;"Cuenta de trading"),"⚠ Usa una cuenta de trading",IF(AND(G3877&lt;=0,P3877&lt;&gt;"Ajuste",P3877&lt;&gt;"Resultado trading"),"⚠ El monto debe ser positivo","✓")))))))))))))))</f>
        <v/>
      </c>
      <c r="P3877" s="52">
        <f>IF(OR(B3877="",G3877=""),"",IF(C3877="","Gasto",C3877))</f>
        <v/>
      </c>
      <c r="Q3877" s="52">
        <f>IF(P3877="","",IF(J3877&lt;&gt;"",J3877,CuentaPred&amp;""))</f>
        <v/>
      </c>
      <c r="R3877" s="52">
        <f>IF(P3877="","",IF(ISNUMBER(I3877),I3877,TasaUSD))</f>
        <v/>
      </c>
      <c r="S3877" s="53">
        <f>IF(P3877="","",IF(H3877="USD",G3877*R3877,G3877))</f>
        <v/>
      </c>
      <c r="T3877" s="53">
        <f>IF(P3877="","",IF(H3877="USD",G3877,IF(R3877&gt;0,G3877/R3877,0)))</f>
        <v/>
      </c>
      <c r="U3877" s="53">
        <f>IF(P3877="","",IF(P3877="Gasto",S3877,IF(P3877="Reembolso",-S3877,0)))</f>
        <v/>
      </c>
      <c r="V3877" s="53">
        <f>IF(P3877="","",IF(P3877="Ingreso",S3877,0))</f>
        <v/>
      </c>
      <c r="W3877" s="53">
        <f>IF(P3877="","",IF(P3877="Resultado trading",S3877,0))</f>
        <v/>
      </c>
      <c r="X3877" s="52">
        <f>IF(OR(P3877="Gasto",P3877="Reembolso"),IF(M3877&lt;&gt;"",M3877,IFERROR(INDEX(catClasif,MATCH(D3877&amp;"|"&amp;E3877,catClave,0))&amp;"","Variable")),"")</f>
        <v/>
      </c>
      <c r="Y3877" s="52">
        <f>IF(P3877="","",IFERROR(INDEX(catGrupo,MATCH(D3877&amp;"|"&amp;E3877,catClave,0))&amp;"",""))</f>
        <v/>
      </c>
      <c r="Z3877" s="52">
        <f>IF(P3877="","",WEEKDAY(B3877,2))</f>
        <v/>
      </c>
      <c r="AA3877" s="52">
        <f>IF(P3877="","",IF(AND(P3877="Gasto",X3877="Variable",D3877&lt;&gt;catTrading,S3877&gt;0,S3877&lt;=Umbral),1,0))</f>
        <v/>
      </c>
      <c r="AB3877" s="52">
        <f>IF(OR(P3877="",Q3877=""),"",IFERROR(IF(INDEX(ctaVinc,MATCH(Q3877,ctaNombre,0))&amp;""&lt;&gt;"",INDEX(ctaVinc,MATCH(Q3877,ctaNombre,0))&amp;"",Q3877),Q3877))</f>
        <v/>
      </c>
      <c r="AC3877" s="52">
        <f>IF(OR(K3877="",AND(P3877&lt;&gt;"Transferencia",P3877&lt;&gt;"Pago tarjeta")),"",IFERROR(IF(INDEX(ctaVinc,MATCH(K3877,ctaNombre,0))&amp;""&lt;&gt;"",INDEX(ctaVinc,MATCH(K3877,ctaNombre,0))&amp;"",K3877),K3877))</f>
        <v/>
      </c>
      <c r="AD3877" s="52">
        <f>IF(AB3877="","",IFERROR(INDEX(ctaTipo,MATCH(AB3877,ctaNombre,0))&amp;"",""))</f>
        <v/>
      </c>
      <c r="AE3877" s="52">
        <f>IF(AC3877="","",IFERROR(INDEX(ctaTipo,MATCH(AC3877,ctaNombre,0))&amp;"",""))</f>
        <v/>
      </c>
      <c r="AF3877" s="53">
        <f>IF(OR(P3877="",AB3877=""),"",IF(OR(P3877="Gasto",P3877="Transferencia",P3877="Pago tarjeta"),-1,1)*IF(IFERROR(INDEX(ctaMoneda,MATCH(AB3877,ctaNombre,0))&amp;"","DOP")="USD",T3877,S3877))</f>
        <v/>
      </c>
      <c r="AG3877" s="53">
        <f>IF(AC3877="","",IF(IFERROR(INDEX(ctaMoneda,MATCH(AC3877,ctaNombre,0))&amp;"","DOP")="USD",T3877,S3877))</f>
        <v/>
      </c>
      <c r="AH3877" s="53">
        <f>IF(P3877="","",IF(AND(AD3877&lt;&gt;"",COUNTIFS(tcTipo,AD3877,tcLiq,"Sí")&gt;0),IF(OR(P3877="Gasto",P3877="Transferencia",P3877="Pago tarjeta"),-1,1)*S3877,0)+IF(AND(AE3877&lt;&gt;"",COUNTIFS(tcTipo,AE3877,tcLiq,"Sí")&gt;0),S3877,0))</f>
        <v/>
      </c>
      <c r="AI3877" s="52">
        <f>IF(OR(L3877="",P3877=""),"",IF(COUNTIFS(L$6:L3877,L3877,P$6:P3877,"?*")=1,MAX(AI$5:AI3876)+1,""))</f>
        <v/>
      </c>
    </row>
    <row r="3878">
      <c r="B3878" s="47" t="n"/>
      <c r="C3878" s="48" t="n"/>
      <c r="D3878" s="48" t="n"/>
      <c r="E3878" s="48" t="n"/>
      <c r="F3878" s="48" t="n"/>
      <c r="G3878" s="49" t="n"/>
      <c r="H3878" s="48" t="n"/>
      <c r="I3878" s="50" t="n"/>
      <c r="J3878" s="48" t="n"/>
      <c r="K3878" s="48" t="n"/>
      <c r="L3878" s="48" t="n"/>
      <c r="M3878" s="48" t="n"/>
      <c r="N3878" s="48" t="n"/>
      <c r="O3878" s="51">
        <f>IF(AND(B3878="",G3878="",C3878="",D3878="",J3878=""),"",IF(B3878="","⚠ Falta fecha",IF(G3878="","⚠ Falta monto",IF(Q3878="","⚠ Falta cuenta",IF(ISNA(MATCH(Q3878,ctaNombre,0)),"⚠ Cuenta no registrada",IF(AND(OR(P3878="Gasto",P3878="Reembolso"),D3878=""),"⚠ Falta categoría",IF(AND(D3878&lt;&gt;"",E3878&lt;&gt;"",ISNA(MATCH(D3878&amp;"|"&amp;E3878,catClave,0))),"⚠ Subcategoría no corresponde",IF(AND(OR(P3878="Transferencia",P3878="Pago tarjeta"),K3878=""),"⚠ Falta cuenta destino",IF(AND(K3878&lt;&gt;"",P3878&lt;&gt;"Transferencia",P3878&lt;&gt;"Pago tarjeta"),"⚠ Destino solo aplica a transferencias",IF(AND(K3878&lt;&gt;"",K3878=Q3878),"⚠ Origen igual a destino",IF(AND(K3878&lt;&gt;"",ISNA(MATCH(K3878,ctaNombre,0))),"⚠ Destino no registrado",IF(AND(P3878="Pago tarjeta",AE3878&lt;&gt;"Tarjeta de crédito"),"⚠ El destino debe ser tarjeta de crédito",IF(AND(P3878="Gasto",E3878="Depósitos y retiros"),"⚠ Usa tipo Transferencia",IF(AND(P3878="Resultado trading",AD3878&lt;&gt;"Cuenta de trading"),"⚠ Usa una cuenta de trading",IF(AND(G3878&lt;=0,P3878&lt;&gt;"Ajuste",P3878&lt;&gt;"Resultado trading"),"⚠ El monto debe ser positivo","✓")))))))))))))))</f>
        <v/>
      </c>
      <c r="P3878" s="52">
        <f>IF(OR(B3878="",G3878=""),"",IF(C3878="","Gasto",C3878))</f>
        <v/>
      </c>
      <c r="Q3878" s="52">
        <f>IF(P3878="","",IF(J3878&lt;&gt;"",J3878,CuentaPred&amp;""))</f>
        <v/>
      </c>
      <c r="R3878" s="52">
        <f>IF(P3878="","",IF(ISNUMBER(I3878),I3878,TasaUSD))</f>
        <v/>
      </c>
      <c r="S3878" s="53">
        <f>IF(P3878="","",IF(H3878="USD",G3878*R3878,G3878))</f>
        <v/>
      </c>
      <c r="T3878" s="53">
        <f>IF(P3878="","",IF(H3878="USD",G3878,IF(R3878&gt;0,G3878/R3878,0)))</f>
        <v/>
      </c>
      <c r="U3878" s="53">
        <f>IF(P3878="","",IF(P3878="Gasto",S3878,IF(P3878="Reembolso",-S3878,0)))</f>
        <v/>
      </c>
      <c r="V3878" s="53">
        <f>IF(P3878="","",IF(P3878="Ingreso",S3878,0))</f>
        <v/>
      </c>
      <c r="W3878" s="53">
        <f>IF(P3878="","",IF(P3878="Resultado trading",S3878,0))</f>
        <v/>
      </c>
      <c r="X3878" s="52">
        <f>IF(OR(P3878="Gasto",P3878="Reembolso"),IF(M3878&lt;&gt;"",M3878,IFERROR(INDEX(catClasif,MATCH(D3878&amp;"|"&amp;E3878,catClave,0))&amp;"","Variable")),"")</f>
        <v/>
      </c>
      <c r="Y3878" s="52">
        <f>IF(P3878="","",IFERROR(INDEX(catGrupo,MATCH(D3878&amp;"|"&amp;E3878,catClave,0))&amp;"",""))</f>
        <v/>
      </c>
      <c r="Z3878" s="52">
        <f>IF(P3878="","",WEEKDAY(B3878,2))</f>
        <v/>
      </c>
      <c r="AA3878" s="52">
        <f>IF(P3878="","",IF(AND(P3878="Gasto",X3878="Variable",D3878&lt;&gt;catTrading,S3878&gt;0,S3878&lt;=Umbral),1,0))</f>
        <v/>
      </c>
      <c r="AB3878" s="52">
        <f>IF(OR(P3878="",Q3878=""),"",IFERROR(IF(INDEX(ctaVinc,MATCH(Q3878,ctaNombre,0))&amp;""&lt;&gt;"",INDEX(ctaVinc,MATCH(Q3878,ctaNombre,0))&amp;"",Q3878),Q3878))</f>
        <v/>
      </c>
      <c r="AC3878" s="52">
        <f>IF(OR(K3878="",AND(P3878&lt;&gt;"Transferencia",P3878&lt;&gt;"Pago tarjeta")),"",IFERROR(IF(INDEX(ctaVinc,MATCH(K3878,ctaNombre,0))&amp;""&lt;&gt;"",INDEX(ctaVinc,MATCH(K3878,ctaNombre,0))&amp;"",K3878),K3878))</f>
        <v/>
      </c>
      <c r="AD3878" s="52">
        <f>IF(AB3878="","",IFERROR(INDEX(ctaTipo,MATCH(AB3878,ctaNombre,0))&amp;"",""))</f>
        <v/>
      </c>
      <c r="AE3878" s="52">
        <f>IF(AC3878="","",IFERROR(INDEX(ctaTipo,MATCH(AC3878,ctaNombre,0))&amp;"",""))</f>
        <v/>
      </c>
      <c r="AF3878" s="53">
        <f>IF(OR(P3878="",AB3878=""),"",IF(OR(P3878="Gasto",P3878="Transferencia",P3878="Pago tarjeta"),-1,1)*IF(IFERROR(INDEX(ctaMoneda,MATCH(AB3878,ctaNombre,0))&amp;"","DOP")="USD",T3878,S3878))</f>
        <v/>
      </c>
      <c r="AG3878" s="53">
        <f>IF(AC3878="","",IF(IFERROR(INDEX(ctaMoneda,MATCH(AC3878,ctaNombre,0))&amp;"","DOP")="USD",T3878,S3878))</f>
        <v/>
      </c>
      <c r="AH3878" s="53">
        <f>IF(P3878="","",IF(AND(AD3878&lt;&gt;"",COUNTIFS(tcTipo,AD3878,tcLiq,"Sí")&gt;0),IF(OR(P3878="Gasto",P3878="Transferencia",P3878="Pago tarjeta"),-1,1)*S3878,0)+IF(AND(AE3878&lt;&gt;"",COUNTIFS(tcTipo,AE3878,tcLiq,"Sí")&gt;0),S3878,0))</f>
        <v/>
      </c>
      <c r="AI3878" s="52">
        <f>IF(OR(L3878="",P3878=""),"",IF(COUNTIFS(L$6:L3878,L3878,P$6:P3878,"?*")=1,MAX(AI$5:AI3877)+1,""))</f>
        <v/>
      </c>
    </row>
    <row r="3879">
      <c r="B3879" s="47" t="n"/>
      <c r="C3879" s="48" t="n"/>
      <c r="D3879" s="48" t="n"/>
      <c r="E3879" s="48" t="n"/>
      <c r="F3879" s="48" t="n"/>
      <c r="G3879" s="49" t="n"/>
      <c r="H3879" s="48" t="n"/>
      <c r="I3879" s="50" t="n"/>
      <c r="J3879" s="48" t="n"/>
      <c r="K3879" s="48" t="n"/>
      <c r="L3879" s="48" t="n"/>
      <c r="M3879" s="48" t="n"/>
      <c r="N3879" s="48" t="n"/>
      <c r="O3879" s="51">
        <f>IF(AND(B3879="",G3879="",C3879="",D3879="",J3879=""),"",IF(B3879="","⚠ Falta fecha",IF(G3879="","⚠ Falta monto",IF(Q3879="","⚠ Falta cuenta",IF(ISNA(MATCH(Q3879,ctaNombre,0)),"⚠ Cuenta no registrada",IF(AND(OR(P3879="Gasto",P3879="Reembolso"),D3879=""),"⚠ Falta categoría",IF(AND(D3879&lt;&gt;"",E3879&lt;&gt;"",ISNA(MATCH(D3879&amp;"|"&amp;E3879,catClave,0))),"⚠ Subcategoría no corresponde",IF(AND(OR(P3879="Transferencia",P3879="Pago tarjeta"),K3879=""),"⚠ Falta cuenta destino",IF(AND(K3879&lt;&gt;"",P3879&lt;&gt;"Transferencia",P3879&lt;&gt;"Pago tarjeta"),"⚠ Destino solo aplica a transferencias",IF(AND(K3879&lt;&gt;"",K3879=Q3879),"⚠ Origen igual a destino",IF(AND(K3879&lt;&gt;"",ISNA(MATCH(K3879,ctaNombre,0))),"⚠ Destino no registrado",IF(AND(P3879="Pago tarjeta",AE3879&lt;&gt;"Tarjeta de crédito"),"⚠ El destino debe ser tarjeta de crédito",IF(AND(P3879="Gasto",E3879="Depósitos y retiros"),"⚠ Usa tipo Transferencia",IF(AND(P3879="Resultado trading",AD3879&lt;&gt;"Cuenta de trading"),"⚠ Usa una cuenta de trading",IF(AND(G3879&lt;=0,P3879&lt;&gt;"Ajuste",P3879&lt;&gt;"Resultado trading"),"⚠ El monto debe ser positivo","✓")))))))))))))))</f>
        <v/>
      </c>
      <c r="P3879" s="52">
        <f>IF(OR(B3879="",G3879=""),"",IF(C3879="","Gasto",C3879))</f>
        <v/>
      </c>
      <c r="Q3879" s="52">
        <f>IF(P3879="","",IF(J3879&lt;&gt;"",J3879,CuentaPred&amp;""))</f>
        <v/>
      </c>
      <c r="R3879" s="52">
        <f>IF(P3879="","",IF(ISNUMBER(I3879),I3879,TasaUSD))</f>
        <v/>
      </c>
      <c r="S3879" s="53">
        <f>IF(P3879="","",IF(H3879="USD",G3879*R3879,G3879))</f>
        <v/>
      </c>
      <c r="T3879" s="53">
        <f>IF(P3879="","",IF(H3879="USD",G3879,IF(R3879&gt;0,G3879/R3879,0)))</f>
        <v/>
      </c>
      <c r="U3879" s="53">
        <f>IF(P3879="","",IF(P3879="Gasto",S3879,IF(P3879="Reembolso",-S3879,0)))</f>
        <v/>
      </c>
      <c r="V3879" s="53">
        <f>IF(P3879="","",IF(P3879="Ingreso",S3879,0))</f>
        <v/>
      </c>
      <c r="W3879" s="53">
        <f>IF(P3879="","",IF(P3879="Resultado trading",S3879,0))</f>
        <v/>
      </c>
      <c r="X3879" s="52">
        <f>IF(OR(P3879="Gasto",P3879="Reembolso"),IF(M3879&lt;&gt;"",M3879,IFERROR(INDEX(catClasif,MATCH(D3879&amp;"|"&amp;E3879,catClave,0))&amp;"","Variable")),"")</f>
        <v/>
      </c>
      <c r="Y3879" s="52">
        <f>IF(P3879="","",IFERROR(INDEX(catGrupo,MATCH(D3879&amp;"|"&amp;E3879,catClave,0))&amp;"",""))</f>
        <v/>
      </c>
      <c r="Z3879" s="52">
        <f>IF(P3879="","",WEEKDAY(B3879,2))</f>
        <v/>
      </c>
      <c r="AA3879" s="52">
        <f>IF(P3879="","",IF(AND(P3879="Gasto",X3879="Variable",D3879&lt;&gt;catTrading,S3879&gt;0,S3879&lt;=Umbral),1,0))</f>
        <v/>
      </c>
      <c r="AB3879" s="52">
        <f>IF(OR(P3879="",Q3879=""),"",IFERROR(IF(INDEX(ctaVinc,MATCH(Q3879,ctaNombre,0))&amp;""&lt;&gt;"",INDEX(ctaVinc,MATCH(Q3879,ctaNombre,0))&amp;"",Q3879),Q3879))</f>
        <v/>
      </c>
      <c r="AC3879" s="52">
        <f>IF(OR(K3879="",AND(P3879&lt;&gt;"Transferencia",P3879&lt;&gt;"Pago tarjeta")),"",IFERROR(IF(INDEX(ctaVinc,MATCH(K3879,ctaNombre,0))&amp;""&lt;&gt;"",INDEX(ctaVinc,MATCH(K3879,ctaNombre,0))&amp;"",K3879),K3879))</f>
        <v/>
      </c>
      <c r="AD3879" s="52">
        <f>IF(AB3879="","",IFERROR(INDEX(ctaTipo,MATCH(AB3879,ctaNombre,0))&amp;"",""))</f>
        <v/>
      </c>
      <c r="AE3879" s="52">
        <f>IF(AC3879="","",IFERROR(INDEX(ctaTipo,MATCH(AC3879,ctaNombre,0))&amp;"",""))</f>
        <v/>
      </c>
      <c r="AF3879" s="53">
        <f>IF(OR(P3879="",AB3879=""),"",IF(OR(P3879="Gasto",P3879="Transferencia",P3879="Pago tarjeta"),-1,1)*IF(IFERROR(INDEX(ctaMoneda,MATCH(AB3879,ctaNombre,0))&amp;"","DOP")="USD",T3879,S3879))</f>
        <v/>
      </c>
      <c r="AG3879" s="53">
        <f>IF(AC3879="","",IF(IFERROR(INDEX(ctaMoneda,MATCH(AC3879,ctaNombre,0))&amp;"","DOP")="USD",T3879,S3879))</f>
        <v/>
      </c>
      <c r="AH3879" s="53">
        <f>IF(P3879="","",IF(AND(AD3879&lt;&gt;"",COUNTIFS(tcTipo,AD3879,tcLiq,"Sí")&gt;0),IF(OR(P3879="Gasto",P3879="Transferencia",P3879="Pago tarjeta"),-1,1)*S3879,0)+IF(AND(AE3879&lt;&gt;"",COUNTIFS(tcTipo,AE3879,tcLiq,"Sí")&gt;0),S3879,0))</f>
        <v/>
      </c>
      <c r="AI3879" s="52">
        <f>IF(OR(L3879="",P3879=""),"",IF(COUNTIFS(L$6:L3879,L3879,P$6:P3879,"?*")=1,MAX(AI$5:AI3878)+1,""))</f>
        <v/>
      </c>
    </row>
    <row r="3880">
      <c r="B3880" s="47" t="n"/>
      <c r="C3880" s="48" t="n"/>
      <c r="D3880" s="48" t="n"/>
      <c r="E3880" s="48" t="n"/>
      <c r="F3880" s="48" t="n"/>
      <c r="G3880" s="49" t="n"/>
      <c r="H3880" s="48" t="n"/>
      <c r="I3880" s="50" t="n"/>
      <c r="J3880" s="48" t="n"/>
      <c r="K3880" s="48" t="n"/>
      <c r="L3880" s="48" t="n"/>
      <c r="M3880" s="48" t="n"/>
      <c r="N3880" s="48" t="n"/>
      <c r="O3880" s="51">
        <f>IF(AND(B3880="",G3880="",C3880="",D3880="",J3880=""),"",IF(B3880="","⚠ Falta fecha",IF(G3880="","⚠ Falta monto",IF(Q3880="","⚠ Falta cuenta",IF(ISNA(MATCH(Q3880,ctaNombre,0)),"⚠ Cuenta no registrada",IF(AND(OR(P3880="Gasto",P3880="Reembolso"),D3880=""),"⚠ Falta categoría",IF(AND(D3880&lt;&gt;"",E3880&lt;&gt;"",ISNA(MATCH(D3880&amp;"|"&amp;E3880,catClave,0))),"⚠ Subcategoría no corresponde",IF(AND(OR(P3880="Transferencia",P3880="Pago tarjeta"),K3880=""),"⚠ Falta cuenta destino",IF(AND(K3880&lt;&gt;"",P3880&lt;&gt;"Transferencia",P3880&lt;&gt;"Pago tarjeta"),"⚠ Destino solo aplica a transferencias",IF(AND(K3880&lt;&gt;"",K3880=Q3880),"⚠ Origen igual a destino",IF(AND(K3880&lt;&gt;"",ISNA(MATCH(K3880,ctaNombre,0))),"⚠ Destino no registrado",IF(AND(P3880="Pago tarjeta",AE3880&lt;&gt;"Tarjeta de crédito"),"⚠ El destino debe ser tarjeta de crédito",IF(AND(P3880="Gasto",E3880="Depósitos y retiros"),"⚠ Usa tipo Transferencia",IF(AND(P3880="Resultado trading",AD3880&lt;&gt;"Cuenta de trading"),"⚠ Usa una cuenta de trading",IF(AND(G3880&lt;=0,P3880&lt;&gt;"Ajuste",P3880&lt;&gt;"Resultado trading"),"⚠ El monto debe ser positivo","✓")))))))))))))))</f>
        <v/>
      </c>
      <c r="P3880" s="52">
        <f>IF(OR(B3880="",G3880=""),"",IF(C3880="","Gasto",C3880))</f>
        <v/>
      </c>
      <c r="Q3880" s="52">
        <f>IF(P3880="","",IF(J3880&lt;&gt;"",J3880,CuentaPred&amp;""))</f>
        <v/>
      </c>
      <c r="R3880" s="52">
        <f>IF(P3880="","",IF(ISNUMBER(I3880),I3880,TasaUSD))</f>
        <v/>
      </c>
      <c r="S3880" s="53">
        <f>IF(P3880="","",IF(H3880="USD",G3880*R3880,G3880))</f>
        <v/>
      </c>
      <c r="T3880" s="53">
        <f>IF(P3880="","",IF(H3880="USD",G3880,IF(R3880&gt;0,G3880/R3880,0)))</f>
        <v/>
      </c>
      <c r="U3880" s="53">
        <f>IF(P3880="","",IF(P3880="Gasto",S3880,IF(P3880="Reembolso",-S3880,0)))</f>
        <v/>
      </c>
      <c r="V3880" s="53">
        <f>IF(P3880="","",IF(P3880="Ingreso",S3880,0))</f>
        <v/>
      </c>
      <c r="W3880" s="53">
        <f>IF(P3880="","",IF(P3880="Resultado trading",S3880,0))</f>
        <v/>
      </c>
      <c r="X3880" s="52">
        <f>IF(OR(P3880="Gasto",P3880="Reembolso"),IF(M3880&lt;&gt;"",M3880,IFERROR(INDEX(catClasif,MATCH(D3880&amp;"|"&amp;E3880,catClave,0))&amp;"","Variable")),"")</f>
        <v/>
      </c>
      <c r="Y3880" s="52">
        <f>IF(P3880="","",IFERROR(INDEX(catGrupo,MATCH(D3880&amp;"|"&amp;E3880,catClave,0))&amp;"",""))</f>
        <v/>
      </c>
      <c r="Z3880" s="52">
        <f>IF(P3880="","",WEEKDAY(B3880,2))</f>
        <v/>
      </c>
      <c r="AA3880" s="52">
        <f>IF(P3880="","",IF(AND(P3880="Gasto",X3880="Variable",D3880&lt;&gt;catTrading,S3880&gt;0,S3880&lt;=Umbral),1,0))</f>
        <v/>
      </c>
      <c r="AB3880" s="52">
        <f>IF(OR(P3880="",Q3880=""),"",IFERROR(IF(INDEX(ctaVinc,MATCH(Q3880,ctaNombre,0))&amp;""&lt;&gt;"",INDEX(ctaVinc,MATCH(Q3880,ctaNombre,0))&amp;"",Q3880),Q3880))</f>
        <v/>
      </c>
      <c r="AC3880" s="52">
        <f>IF(OR(K3880="",AND(P3880&lt;&gt;"Transferencia",P3880&lt;&gt;"Pago tarjeta")),"",IFERROR(IF(INDEX(ctaVinc,MATCH(K3880,ctaNombre,0))&amp;""&lt;&gt;"",INDEX(ctaVinc,MATCH(K3880,ctaNombre,0))&amp;"",K3880),K3880))</f>
        <v/>
      </c>
      <c r="AD3880" s="52">
        <f>IF(AB3880="","",IFERROR(INDEX(ctaTipo,MATCH(AB3880,ctaNombre,0))&amp;"",""))</f>
        <v/>
      </c>
      <c r="AE3880" s="52">
        <f>IF(AC3880="","",IFERROR(INDEX(ctaTipo,MATCH(AC3880,ctaNombre,0))&amp;"",""))</f>
        <v/>
      </c>
      <c r="AF3880" s="53">
        <f>IF(OR(P3880="",AB3880=""),"",IF(OR(P3880="Gasto",P3880="Transferencia",P3880="Pago tarjeta"),-1,1)*IF(IFERROR(INDEX(ctaMoneda,MATCH(AB3880,ctaNombre,0))&amp;"","DOP")="USD",T3880,S3880))</f>
        <v/>
      </c>
      <c r="AG3880" s="53">
        <f>IF(AC3880="","",IF(IFERROR(INDEX(ctaMoneda,MATCH(AC3880,ctaNombre,0))&amp;"","DOP")="USD",T3880,S3880))</f>
        <v/>
      </c>
      <c r="AH3880" s="53">
        <f>IF(P3880="","",IF(AND(AD3880&lt;&gt;"",COUNTIFS(tcTipo,AD3880,tcLiq,"Sí")&gt;0),IF(OR(P3880="Gasto",P3880="Transferencia",P3880="Pago tarjeta"),-1,1)*S3880,0)+IF(AND(AE3880&lt;&gt;"",COUNTIFS(tcTipo,AE3880,tcLiq,"Sí")&gt;0),S3880,0))</f>
        <v/>
      </c>
      <c r="AI3880" s="52">
        <f>IF(OR(L3880="",P3880=""),"",IF(COUNTIFS(L$6:L3880,L3880,P$6:P3880,"?*")=1,MAX(AI$5:AI3879)+1,""))</f>
        <v/>
      </c>
    </row>
    <row r="3881">
      <c r="B3881" s="47" t="n"/>
      <c r="C3881" s="48" t="n"/>
      <c r="D3881" s="48" t="n"/>
      <c r="E3881" s="48" t="n"/>
      <c r="F3881" s="48" t="n"/>
      <c r="G3881" s="49" t="n"/>
      <c r="H3881" s="48" t="n"/>
      <c r="I3881" s="50" t="n"/>
      <c r="J3881" s="48" t="n"/>
      <c r="K3881" s="48" t="n"/>
      <c r="L3881" s="48" t="n"/>
      <c r="M3881" s="48" t="n"/>
      <c r="N3881" s="48" t="n"/>
      <c r="O3881" s="51">
        <f>IF(AND(B3881="",G3881="",C3881="",D3881="",J3881=""),"",IF(B3881="","⚠ Falta fecha",IF(G3881="","⚠ Falta monto",IF(Q3881="","⚠ Falta cuenta",IF(ISNA(MATCH(Q3881,ctaNombre,0)),"⚠ Cuenta no registrada",IF(AND(OR(P3881="Gasto",P3881="Reembolso"),D3881=""),"⚠ Falta categoría",IF(AND(D3881&lt;&gt;"",E3881&lt;&gt;"",ISNA(MATCH(D3881&amp;"|"&amp;E3881,catClave,0))),"⚠ Subcategoría no corresponde",IF(AND(OR(P3881="Transferencia",P3881="Pago tarjeta"),K3881=""),"⚠ Falta cuenta destino",IF(AND(K3881&lt;&gt;"",P3881&lt;&gt;"Transferencia",P3881&lt;&gt;"Pago tarjeta"),"⚠ Destino solo aplica a transferencias",IF(AND(K3881&lt;&gt;"",K3881=Q3881),"⚠ Origen igual a destino",IF(AND(K3881&lt;&gt;"",ISNA(MATCH(K3881,ctaNombre,0))),"⚠ Destino no registrado",IF(AND(P3881="Pago tarjeta",AE3881&lt;&gt;"Tarjeta de crédito"),"⚠ El destino debe ser tarjeta de crédito",IF(AND(P3881="Gasto",E3881="Depósitos y retiros"),"⚠ Usa tipo Transferencia",IF(AND(P3881="Resultado trading",AD3881&lt;&gt;"Cuenta de trading"),"⚠ Usa una cuenta de trading",IF(AND(G3881&lt;=0,P3881&lt;&gt;"Ajuste",P3881&lt;&gt;"Resultado trading"),"⚠ El monto debe ser positivo","✓")))))))))))))))</f>
        <v/>
      </c>
      <c r="P3881" s="52">
        <f>IF(OR(B3881="",G3881=""),"",IF(C3881="","Gasto",C3881))</f>
        <v/>
      </c>
      <c r="Q3881" s="52">
        <f>IF(P3881="","",IF(J3881&lt;&gt;"",J3881,CuentaPred&amp;""))</f>
        <v/>
      </c>
      <c r="R3881" s="52">
        <f>IF(P3881="","",IF(ISNUMBER(I3881),I3881,TasaUSD))</f>
        <v/>
      </c>
      <c r="S3881" s="53">
        <f>IF(P3881="","",IF(H3881="USD",G3881*R3881,G3881))</f>
        <v/>
      </c>
      <c r="T3881" s="53">
        <f>IF(P3881="","",IF(H3881="USD",G3881,IF(R3881&gt;0,G3881/R3881,0)))</f>
        <v/>
      </c>
      <c r="U3881" s="53">
        <f>IF(P3881="","",IF(P3881="Gasto",S3881,IF(P3881="Reembolso",-S3881,0)))</f>
        <v/>
      </c>
      <c r="V3881" s="53">
        <f>IF(P3881="","",IF(P3881="Ingreso",S3881,0))</f>
        <v/>
      </c>
      <c r="W3881" s="53">
        <f>IF(P3881="","",IF(P3881="Resultado trading",S3881,0))</f>
        <v/>
      </c>
      <c r="X3881" s="52">
        <f>IF(OR(P3881="Gasto",P3881="Reembolso"),IF(M3881&lt;&gt;"",M3881,IFERROR(INDEX(catClasif,MATCH(D3881&amp;"|"&amp;E3881,catClave,0))&amp;"","Variable")),"")</f>
        <v/>
      </c>
      <c r="Y3881" s="52">
        <f>IF(P3881="","",IFERROR(INDEX(catGrupo,MATCH(D3881&amp;"|"&amp;E3881,catClave,0))&amp;"",""))</f>
        <v/>
      </c>
      <c r="Z3881" s="52">
        <f>IF(P3881="","",WEEKDAY(B3881,2))</f>
        <v/>
      </c>
      <c r="AA3881" s="52">
        <f>IF(P3881="","",IF(AND(P3881="Gasto",X3881="Variable",D3881&lt;&gt;catTrading,S3881&gt;0,S3881&lt;=Umbral),1,0))</f>
        <v/>
      </c>
      <c r="AB3881" s="52">
        <f>IF(OR(P3881="",Q3881=""),"",IFERROR(IF(INDEX(ctaVinc,MATCH(Q3881,ctaNombre,0))&amp;""&lt;&gt;"",INDEX(ctaVinc,MATCH(Q3881,ctaNombre,0))&amp;"",Q3881),Q3881))</f>
        <v/>
      </c>
      <c r="AC3881" s="52">
        <f>IF(OR(K3881="",AND(P3881&lt;&gt;"Transferencia",P3881&lt;&gt;"Pago tarjeta")),"",IFERROR(IF(INDEX(ctaVinc,MATCH(K3881,ctaNombre,0))&amp;""&lt;&gt;"",INDEX(ctaVinc,MATCH(K3881,ctaNombre,0))&amp;"",K3881),K3881))</f>
        <v/>
      </c>
      <c r="AD3881" s="52">
        <f>IF(AB3881="","",IFERROR(INDEX(ctaTipo,MATCH(AB3881,ctaNombre,0))&amp;"",""))</f>
        <v/>
      </c>
      <c r="AE3881" s="52">
        <f>IF(AC3881="","",IFERROR(INDEX(ctaTipo,MATCH(AC3881,ctaNombre,0))&amp;"",""))</f>
        <v/>
      </c>
      <c r="AF3881" s="53">
        <f>IF(OR(P3881="",AB3881=""),"",IF(OR(P3881="Gasto",P3881="Transferencia",P3881="Pago tarjeta"),-1,1)*IF(IFERROR(INDEX(ctaMoneda,MATCH(AB3881,ctaNombre,0))&amp;"","DOP")="USD",T3881,S3881))</f>
        <v/>
      </c>
      <c r="AG3881" s="53">
        <f>IF(AC3881="","",IF(IFERROR(INDEX(ctaMoneda,MATCH(AC3881,ctaNombre,0))&amp;"","DOP")="USD",T3881,S3881))</f>
        <v/>
      </c>
      <c r="AH3881" s="53">
        <f>IF(P3881="","",IF(AND(AD3881&lt;&gt;"",COUNTIFS(tcTipo,AD3881,tcLiq,"Sí")&gt;0),IF(OR(P3881="Gasto",P3881="Transferencia",P3881="Pago tarjeta"),-1,1)*S3881,0)+IF(AND(AE3881&lt;&gt;"",COUNTIFS(tcTipo,AE3881,tcLiq,"Sí")&gt;0),S3881,0))</f>
        <v/>
      </c>
      <c r="AI3881" s="52">
        <f>IF(OR(L3881="",P3881=""),"",IF(COUNTIFS(L$6:L3881,L3881,P$6:P3881,"?*")=1,MAX(AI$5:AI3880)+1,""))</f>
        <v/>
      </c>
    </row>
    <row r="3882">
      <c r="B3882" s="47" t="n"/>
      <c r="C3882" s="48" t="n"/>
      <c r="D3882" s="48" t="n"/>
      <c r="E3882" s="48" t="n"/>
      <c r="F3882" s="48" t="n"/>
      <c r="G3882" s="49" t="n"/>
      <c r="H3882" s="48" t="n"/>
      <c r="I3882" s="50" t="n"/>
      <c r="J3882" s="48" t="n"/>
      <c r="K3882" s="48" t="n"/>
      <c r="L3882" s="48" t="n"/>
      <c r="M3882" s="48" t="n"/>
      <c r="N3882" s="48" t="n"/>
      <c r="O3882" s="51">
        <f>IF(AND(B3882="",G3882="",C3882="",D3882="",J3882=""),"",IF(B3882="","⚠ Falta fecha",IF(G3882="","⚠ Falta monto",IF(Q3882="","⚠ Falta cuenta",IF(ISNA(MATCH(Q3882,ctaNombre,0)),"⚠ Cuenta no registrada",IF(AND(OR(P3882="Gasto",P3882="Reembolso"),D3882=""),"⚠ Falta categoría",IF(AND(D3882&lt;&gt;"",E3882&lt;&gt;"",ISNA(MATCH(D3882&amp;"|"&amp;E3882,catClave,0))),"⚠ Subcategoría no corresponde",IF(AND(OR(P3882="Transferencia",P3882="Pago tarjeta"),K3882=""),"⚠ Falta cuenta destino",IF(AND(K3882&lt;&gt;"",P3882&lt;&gt;"Transferencia",P3882&lt;&gt;"Pago tarjeta"),"⚠ Destino solo aplica a transferencias",IF(AND(K3882&lt;&gt;"",K3882=Q3882),"⚠ Origen igual a destino",IF(AND(K3882&lt;&gt;"",ISNA(MATCH(K3882,ctaNombre,0))),"⚠ Destino no registrado",IF(AND(P3882="Pago tarjeta",AE3882&lt;&gt;"Tarjeta de crédito"),"⚠ El destino debe ser tarjeta de crédito",IF(AND(P3882="Gasto",E3882="Depósitos y retiros"),"⚠ Usa tipo Transferencia",IF(AND(P3882="Resultado trading",AD3882&lt;&gt;"Cuenta de trading"),"⚠ Usa una cuenta de trading",IF(AND(G3882&lt;=0,P3882&lt;&gt;"Ajuste",P3882&lt;&gt;"Resultado trading"),"⚠ El monto debe ser positivo","✓")))))))))))))))</f>
        <v/>
      </c>
      <c r="P3882" s="52">
        <f>IF(OR(B3882="",G3882=""),"",IF(C3882="","Gasto",C3882))</f>
        <v/>
      </c>
      <c r="Q3882" s="52">
        <f>IF(P3882="","",IF(J3882&lt;&gt;"",J3882,CuentaPred&amp;""))</f>
        <v/>
      </c>
      <c r="R3882" s="52">
        <f>IF(P3882="","",IF(ISNUMBER(I3882),I3882,TasaUSD))</f>
        <v/>
      </c>
      <c r="S3882" s="53">
        <f>IF(P3882="","",IF(H3882="USD",G3882*R3882,G3882))</f>
        <v/>
      </c>
      <c r="T3882" s="53">
        <f>IF(P3882="","",IF(H3882="USD",G3882,IF(R3882&gt;0,G3882/R3882,0)))</f>
        <v/>
      </c>
      <c r="U3882" s="53">
        <f>IF(P3882="","",IF(P3882="Gasto",S3882,IF(P3882="Reembolso",-S3882,0)))</f>
        <v/>
      </c>
      <c r="V3882" s="53">
        <f>IF(P3882="","",IF(P3882="Ingreso",S3882,0))</f>
        <v/>
      </c>
      <c r="W3882" s="53">
        <f>IF(P3882="","",IF(P3882="Resultado trading",S3882,0))</f>
        <v/>
      </c>
      <c r="X3882" s="52">
        <f>IF(OR(P3882="Gasto",P3882="Reembolso"),IF(M3882&lt;&gt;"",M3882,IFERROR(INDEX(catClasif,MATCH(D3882&amp;"|"&amp;E3882,catClave,0))&amp;"","Variable")),"")</f>
        <v/>
      </c>
      <c r="Y3882" s="52">
        <f>IF(P3882="","",IFERROR(INDEX(catGrupo,MATCH(D3882&amp;"|"&amp;E3882,catClave,0))&amp;"",""))</f>
        <v/>
      </c>
      <c r="Z3882" s="52">
        <f>IF(P3882="","",WEEKDAY(B3882,2))</f>
        <v/>
      </c>
      <c r="AA3882" s="52">
        <f>IF(P3882="","",IF(AND(P3882="Gasto",X3882="Variable",D3882&lt;&gt;catTrading,S3882&gt;0,S3882&lt;=Umbral),1,0))</f>
        <v/>
      </c>
      <c r="AB3882" s="52">
        <f>IF(OR(P3882="",Q3882=""),"",IFERROR(IF(INDEX(ctaVinc,MATCH(Q3882,ctaNombre,0))&amp;""&lt;&gt;"",INDEX(ctaVinc,MATCH(Q3882,ctaNombre,0))&amp;"",Q3882),Q3882))</f>
        <v/>
      </c>
      <c r="AC3882" s="52">
        <f>IF(OR(K3882="",AND(P3882&lt;&gt;"Transferencia",P3882&lt;&gt;"Pago tarjeta")),"",IFERROR(IF(INDEX(ctaVinc,MATCH(K3882,ctaNombre,0))&amp;""&lt;&gt;"",INDEX(ctaVinc,MATCH(K3882,ctaNombre,0))&amp;"",K3882),K3882))</f>
        <v/>
      </c>
      <c r="AD3882" s="52">
        <f>IF(AB3882="","",IFERROR(INDEX(ctaTipo,MATCH(AB3882,ctaNombre,0))&amp;"",""))</f>
        <v/>
      </c>
      <c r="AE3882" s="52">
        <f>IF(AC3882="","",IFERROR(INDEX(ctaTipo,MATCH(AC3882,ctaNombre,0))&amp;"",""))</f>
        <v/>
      </c>
      <c r="AF3882" s="53">
        <f>IF(OR(P3882="",AB3882=""),"",IF(OR(P3882="Gasto",P3882="Transferencia",P3882="Pago tarjeta"),-1,1)*IF(IFERROR(INDEX(ctaMoneda,MATCH(AB3882,ctaNombre,0))&amp;"","DOP")="USD",T3882,S3882))</f>
        <v/>
      </c>
      <c r="AG3882" s="53">
        <f>IF(AC3882="","",IF(IFERROR(INDEX(ctaMoneda,MATCH(AC3882,ctaNombre,0))&amp;"","DOP")="USD",T3882,S3882))</f>
        <v/>
      </c>
      <c r="AH3882" s="53">
        <f>IF(P3882="","",IF(AND(AD3882&lt;&gt;"",COUNTIFS(tcTipo,AD3882,tcLiq,"Sí")&gt;0),IF(OR(P3882="Gasto",P3882="Transferencia",P3882="Pago tarjeta"),-1,1)*S3882,0)+IF(AND(AE3882&lt;&gt;"",COUNTIFS(tcTipo,AE3882,tcLiq,"Sí")&gt;0),S3882,0))</f>
        <v/>
      </c>
      <c r="AI3882" s="52">
        <f>IF(OR(L3882="",P3882=""),"",IF(COUNTIFS(L$6:L3882,L3882,P$6:P3882,"?*")=1,MAX(AI$5:AI3881)+1,""))</f>
        <v/>
      </c>
    </row>
    <row r="3883">
      <c r="B3883" s="47" t="n"/>
      <c r="C3883" s="48" t="n"/>
      <c r="D3883" s="48" t="n"/>
      <c r="E3883" s="48" t="n"/>
      <c r="F3883" s="48" t="n"/>
      <c r="G3883" s="49" t="n"/>
      <c r="H3883" s="48" t="n"/>
      <c r="I3883" s="50" t="n"/>
      <c r="J3883" s="48" t="n"/>
      <c r="K3883" s="48" t="n"/>
      <c r="L3883" s="48" t="n"/>
      <c r="M3883" s="48" t="n"/>
      <c r="N3883" s="48" t="n"/>
      <c r="O3883" s="51">
        <f>IF(AND(B3883="",G3883="",C3883="",D3883="",J3883=""),"",IF(B3883="","⚠ Falta fecha",IF(G3883="","⚠ Falta monto",IF(Q3883="","⚠ Falta cuenta",IF(ISNA(MATCH(Q3883,ctaNombre,0)),"⚠ Cuenta no registrada",IF(AND(OR(P3883="Gasto",P3883="Reembolso"),D3883=""),"⚠ Falta categoría",IF(AND(D3883&lt;&gt;"",E3883&lt;&gt;"",ISNA(MATCH(D3883&amp;"|"&amp;E3883,catClave,0))),"⚠ Subcategoría no corresponde",IF(AND(OR(P3883="Transferencia",P3883="Pago tarjeta"),K3883=""),"⚠ Falta cuenta destino",IF(AND(K3883&lt;&gt;"",P3883&lt;&gt;"Transferencia",P3883&lt;&gt;"Pago tarjeta"),"⚠ Destino solo aplica a transferencias",IF(AND(K3883&lt;&gt;"",K3883=Q3883),"⚠ Origen igual a destino",IF(AND(K3883&lt;&gt;"",ISNA(MATCH(K3883,ctaNombre,0))),"⚠ Destino no registrado",IF(AND(P3883="Pago tarjeta",AE3883&lt;&gt;"Tarjeta de crédito"),"⚠ El destino debe ser tarjeta de crédito",IF(AND(P3883="Gasto",E3883="Depósitos y retiros"),"⚠ Usa tipo Transferencia",IF(AND(P3883="Resultado trading",AD3883&lt;&gt;"Cuenta de trading"),"⚠ Usa una cuenta de trading",IF(AND(G3883&lt;=0,P3883&lt;&gt;"Ajuste",P3883&lt;&gt;"Resultado trading"),"⚠ El monto debe ser positivo","✓")))))))))))))))</f>
        <v/>
      </c>
      <c r="P3883" s="52">
        <f>IF(OR(B3883="",G3883=""),"",IF(C3883="","Gasto",C3883))</f>
        <v/>
      </c>
      <c r="Q3883" s="52">
        <f>IF(P3883="","",IF(J3883&lt;&gt;"",J3883,CuentaPred&amp;""))</f>
        <v/>
      </c>
      <c r="R3883" s="52">
        <f>IF(P3883="","",IF(ISNUMBER(I3883),I3883,TasaUSD))</f>
        <v/>
      </c>
      <c r="S3883" s="53">
        <f>IF(P3883="","",IF(H3883="USD",G3883*R3883,G3883))</f>
        <v/>
      </c>
      <c r="T3883" s="53">
        <f>IF(P3883="","",IF(H3883="USD",G3883,IF(R3883&gt;0,G3883/R3883,0)))</f>
        <v/>
      </c>
      <c r="U3883" s="53">
        <f>IF(P3883="","",IF(P3883="Gasto",S3883,IF(P3883="Reembolso",-S3883,0)))</f>
        <v/>
      </c>
      <c r="V3883" s="53">
        <f>IF(P3883="","",IF(P3883="Ingreso",S3883,0))</f>
        <v/>
      </c>
      <c r="W3883" s="53">
        <f>IF(P3883="","",IF(P3883="Resultado trading",S3883,0))</f>
        <v/>
      </c>
      <c r="X3883" s="52">
        <f>IF(OR(P3883="Gasto",P3883="Reembolso"),IF(M3883&lt;&gt;"",M3883,IFERROR(INDEX(catClasif,MATCH(D3883&amp;"|"&amp;E3883,catClave,0))&amp;"","Variable")),"")</f>
        <v/>
      </c>
      <c r="Y3883" s="52">
        <f>IF(P3883="","",IFERROR(INDEX(catGrupo,MATCH(D3883&amp;"|"&amp;E3883,catClave,0))&amp;"",""))</f>
        <v/>
      </c>
      <c r="Z3883" s="52">
        <f>IF(P3883="","",WEEKDAY(B3883,2))</f>
        <v/>
      </c>
      <c r="AA3883" s="52">
        <f>IF(P3883="","",IF(AND(P3883="Gasto",X3883="Variable",D3883&lt;&gt;catTrading,S3883&gt;0,S3883&lt;=Umbral),1,0))</f>
        <v/>
      </c>
      <c r="AB3883" s="52">
        <f>IF(OR(P3883="",Q3883=""),"",IFERROR(IF(INDEX(ctaVinc,MATCH(Q3883,ctaNombre,0))&amp;""&lt;&gt;"",INDEX(ctaVinc,MATCH(Q3883,ctaNombre,0))&amp;"",Q3883),Q3883))</f>
        <v/>
      </c>
      <c r="AC3883" s="52">
        <f>IF(OR(K3883="",AND(P3883&lt;&gt;"Transferencia",P3883&lt;&gt;"Pago tarjeta")),"",IFERROR(IF(INDEX(ctaVinc,MATCH(K3883,ctaNombre,0))&amp;""&lt;&gt;"",INDEX(ctaVinc,MATCH(K3883,ctaNombre,0))&amp;"",K3883),K3883))</f>
        <v/>
      </c>
      <c r="AD3883" s="52">
        <f>IF(AB3883="","",IFERROR(INDEX(ctaTipo,MATCH(AB3883,ctaNombre,0))&amp;"",""))</f>
        <v/>
      </c>
      <c r="AE3883" s="52">
        <f>IF(AC3883="","",IFERROR(INDEX(ctaTipo,MATCH(AC3883,ctaNombre,0))&amp;"",""))</f>
        <v/>
      </c>
      <c r="AF3883" s="53">
        <f>IF(OR(P3883="",AB3883=""),"",IF(OR(P3883="Gasto",P3883="Transferencia",P3883="Pago tarjeta"),-1,1)*IF(IFERROR(INDEX(ctaMoneda,MATCH(AB3883,ctaNombre,0))&amp;"","DOP")="USD",T3883,S3883))</f>
        <v/>
      </c>
      <c r="AG3883" s="53">
        <f>IF(AC3883="","",IF(IFERROR(INDEX(ctaMoneda,MATCH(AC3883,ctaNombre,0))&amp;"","DOP")="USD",T3883,S3883))</f>
        <v/>
      </c>
      <c r="AH3883" s="53">
        <f>IF(P3883="","",IF(AND(AD3883&lt;&gt;"",COUNTIFS(tcTipo,AD3883,tcLiq,"Sí")&gt;0),IF(OR(P3883="Gasto",P3883="Transferencia",P3883="Pago tarjeta"),-1,1)*S3883,0)+IF(AND(AE3883&lt;&gt;"",COUNTIFS(tcTipo,AE3883,tcLiq,"Sí")&gt;0),S3883,0))</f>
        <v/>
      </c>
      <c r="AI3883" s="52">
        <f>IF(OR(L3883="",P3883=""),"",IF(COUNTIFS(L$6:L3883,L3883,P$6:P3883,"?*")=1,MAX(AI$5:AI3882)+1,""))</f>
        <v/>
      </c>
    </row>
    <row r="3884">
      <c r="B3884" s="47" t="n"/>
      <c r="C3884" s="48" t="n"/>
      <c r="D3884" s="48" t="n"/>
      <c r="E3884" s="48" t="n"/>
      <c r="F3884" s="48" t="n"/>
      <c r="G3884" s="49" t="n"/>
      <c r="H3884" s="48" t="n"/>
      <c r="I3884" s="50" t="n"/>
      <c r="J3884" s="48" t="n"/>
      <c r="K3884" s="48" t="n"/>
      <c r="L3884" s="48" t="n"/>
      <c r="M3884" s="48" t="n"/>
      <c r="N3884" s="48" t="n"/>
      <c r="O3884" s="51">
        <f>IF(AND(B3884="",G3884="",C3884="",D3884="",J3884=""),"",IF(B3884="","⚠ Falta fecha",IF(G3884="","⚠ Falta monto",IF(Q3884="","⚠ Falta cuenta",IF(ISNA(MATCH(Q3884,ctaNombre,0)),"⚠ Cuenta no registrada",IF(AND(OR(P3884="Gasto",P3884="Reembolso"),D3884=""),"⚠ Falta categoría",IF(AND(D3884&lt;&gt;"",E3884&lt;&gt;"",ISNA(MATCH(D3884&amp;"|"&amp;E3884,catClave,0))),"⚠ Subcategoría no corresponde",IF(AND(OR(P3884="Transferencia",P3884="Pago tarjeta"),K3884=""),"⚠ Falta cuenta destino",IF(AND(K3884&lt;&gt;"",P3884&lt;&gt;"Transferencia",P3884&lt;&gt;"Pago tarjeta"),"⚠ Destino solo aplica a transferencias",IF(AND(K3884&lt;&gt;"",K3884=Q3884),"⚠ Origen igual a destino",IF(AND(K3884&lt;&gt;"",ISNA(MATCH(K3884,ctaNombre,0))),"⚠ Destino no registrado",IF(AND(P3884="Pago tarjeta",AE3884&lt;&gt;"Tarjeta de crédito"),"⚠ El destino debe ser tarjeta de crédito",IF(AND(P3884="Gasto",E3884="Depósitos y retiros"),"⚠ Usa tipo Transferencia",IF(AND(P3884="Resultado trading",AD3884&lt;&gt;"Cuenta de trading"),"⚠ Usa una cuenta de trading",IF(AND(G3884&lt;=0,P3884&lt;&gt;"Ajuste",P3884&lt;&gt;"Resultado trading"),"⚠ El monto debe ser positivo","✓")))))))))))))))</f>
        <v/>
      </c>
      <c r="P3884" s="52">
        <f>IF(OR(B3884="",G3884=""),"",IF(C3884="","Gasto",C3884))</f>
        <v/>
      </c>
      <c r="Q3884" s="52">
        <f>IF(P3884="","",IF(J3884&lt;&gt;"",J3884,CuentaPred&amp;""))</f>
        <v/>
      </c>
      <c r="R3884" s="52">
        <f>IF(P3884="","",IF(ISNUMBER(I3884),I3884,TasaUSD))</f>
        <v/>
      </c>
      <c r="S3884" s="53">
        <f>IF(P3884="","",IF(H3884="USD",G3884*R3884,G3884))</f>
        <v/>
      </c>
      <c r="T3884" s="53">
        <f>IF(P3884="","",IF(H3884="USD",G3884,IF(R3884&gt;0,G3884/R3884,0)))</f>
        <v/>
      </c>
      <c r="U3884" s="53">
        <f>IF(P3884="","",IF(P3884="Gasto",S3884,IF(P3884="Reembolso",-S3884,0)))</f>
        <v/>
      </c>
      <c r="V3884" s="53">
        <f>IF(P3884="","",IF(P3884="Ingreso",S3884,0))</f>
        <v/>
      </c>
      <c r="W3884" s="53">
        <f>IF(P3884="","",IF(P3884="Resultado trading",S3884,0))</f>
        <v/>
      </c>
      <c r="X3884" s="52">
        <f>IF(OR(P3884="Gasto",P3884="Reembolso"),IF(M3884&lt;&gt;"",M3884,IFERROR(INDEX(catClasif,MATCH(D3884&amp;"|"&amp;E3884,catClave,0))&amp;"","Variable")),"")</f>
        <v/>
      </c>
      <c r="Y3884" s="52">
        <f>IF(P3884="","",IFERROR(INDEX(catGrupo,MATCH(D3884&amp;"|"&amp;E3884,catClave,0))&amp;"",""))</f>
        <v/>
      </c>
      <c r="Z3884" s="52">
        <f>IF(P3884="","",WEEKDAY(B3884,2))</f>
        <v/>
      </c>
      <c r="AA3884" s="52">
        <f>IF(P3884="","",IF(AND(P3884="Gasto",X3884="Variable",D3884&lt;&gt;catTrading,S3884&gt;0,S3884&lt;=Umbral),1,0))</f>
        <v/>
      </c>
      <c r="AB3884" s="52">
        <f>IF(OR(P3884="",Q3884=""),"",IFERROR(IF(INDEX(ctaVinc,MATCH(Q3884,ctaNombre,0))&amp;""&lt;&gt;"",INDEX(ctaVinc,MATCH(Q3884,ctaNombre,0))&amp;"",Q3884),Q3884))</f>
        <v/>
      </c>
      <c r="AC3884" s="52">
        <f>IF(OR(K3884="",AND(P3884&lt;&gt;"Transferencia",P3884&lt;&gt;"Pago tarjeta")),"",IFERROR(IF(INDEX(ctaVinc,MATCH(K3884,ctaNombre,0))&amp;""&lt;&gt;"",INDEX(ctaVinc,MATCH(K3884,ctaNombre,0))&amp;"",K3884),K3884))</f>
        <v/>
      </c>
      <c r="AD3884" s="52">
        <f>IF(AB3884="","",IFERROR(INDEX(ctaTipo,MATCH(AB3884,ctaNombre,0))&amp;"",""))</f>
        <v/>
      </c>
      <c r="AE3884" s="52">
        <f>IF(AC3884="","",IFERROR(INDEX(ctaTipo,MATCH(AC3884,ctaNombre,0))&amp;"",""))</f>
        <v/>
      </c>
      <c r="AF3884" s="53">
        <f>IF(OR(P3884="",AB3884=""),"",IF(OR(P3884="Gasto",P3884="Transferencia",P3884="Pago tarjeta"),-1,1)*IF(IFERROR(INDEX(ctaMoneda,MATCH(AB3884,ctaNombre,0))&amp;"","DOP")="USD",T3884,S3884))</f>
        <v/>
      </c>
      <c r="AG3884" s="53">
        <f>IF(AC3884="","",IF(IFERROR(INDEX(ctaMoneda,MATCH(AC3884,ctaNombre,0))&amp;"","DOP")="USD",T3884,S3884))</f>
        <v/>
      </c>
      <c r="AH3884" s="53">
        <f>IF(P3884="","",IF(AND(AD3884&lt;&gt;"",COUNTIFS(tcTipo,AD3884,tcLiq,"Sí")&gt;0),IF(OR(P3884="Gasto",P3884="Transferencia",P3884="Pago tarjeta"),-1,1)*S3884,0)+IF(AND(AE3884&lt;&gt;"",COUNTIFS(tcTipo,AE3884,tcLiq,"Sí")&gt;0),S3884,0))</f>
        <v/>
      </c>
      <c r="AI3884" s="52">
        <f>IF(OR(L3884="",P3884=""),"",IF(COUNTIFS(L$6:L3884,L3884,P$6:P3884,"?*")=1,MAX(AI$5:AI3883)+1,""))</f>
        <v/>
      </c>
    </row>
    <row r="3885">
      <c r="B3885" s="47" t="n"/>
      <c r="C3885" s="48" t="n"/>
      <c r="D3885" s="48" t="n"/>
      <c r="E3885" s="48" t="n"/>
      <c r="F3885" s="48" t="n"/>
      <c r="G3885" s="49" t="n"/>
      <c r="H3885" s="48" t="n"/>
      <c r="I3885" s="50" t="n"/>
      <c r="J3885" s="48" t="n"/>
      <c r="K3885" s="48" t="n"/>
      <c r="L3885" s="48" t="n"/>
      <c r="M3885" s="48" t="n"/>
      <c r="N3885" s="48" t="n"/>
      <c r="O3885" s="51">
        <f>IF(AND(B3885="",G3885="",C3885="",D3885="",J3885=""),"",IF(B3885="","⚠ Falta fecha",IF(G3885="","⚠ Falta monto",IF(Q3885="","⚠ Falta cuenta",IF(ISNA(MATCH(Q3885,ctaNombre,0)),"⚠ Cuenta no registrada",IF(AND(OR(P3885="Gasto",P3885="Reembolso"),D3885=""),"⚠ Falta categoría",IF(AND(D3885&lt;&gt;"",E3885&lt;&gt;"",ISNA(MATCH(D3885&amp;"|"&amp;E3885,catClave,0))),"⚠ Subcategoría no corresponde",IF(AND(OR(P3885="Transferencia",P3885="Pago tarjeta"),K3885=""),"⚠ Falta cuenta destino",IF(AND(K3885&lt;&gt;"",P3885&lt;&gt;"Transferencia",P3885&lt;&gt;"Pago tarjeta"),"⚠ Destino solo aplica a transferencias",IF(AND(K3885&lt;&gt;"",K3885=Q3885),"⚠ Origen igual a destino",IF(AND(K3885&lt;&gt;"",ISNA(MATCH(K3885,ctaNombre,0))),"⚠ Destino no registrado",IF(AND(P3885="Pago tarjeta",AE3885&lt;&gt;"Tarjeta de crédito"),"⚠ El destino debe ser tarjeta de crédito",IF(AND(P3885="Gasto",E3885="Depósitos y retiros"),"⚠ Usa tipo Transferencia",IF(AND(P3885="Resultado trading",AD3885&lt;&gt;"Cuenta de trading"),"⚠ Usa una cuenta de trading",IF(AND(G3885&lt;=0,P3885&lt;&gt;"Ajuste",P3885&lt;&gt;"Resultado trading"),"⚠ El monto debe ser positivo","✓")))))))))))))))</f>
        <v/>
      </c>
      <c r="P3885" s="52">
        <f>IF(OR(B3885="",G3885=""),"",IF(C3885="","Gasto",C3885))</f>
        <v/>
      </c>
      <c r="Q3885" s="52">
        <f>IF(P3885="","",IF(J3885&lt;&gt;"",J3885,CuentaPred&amp;""))</f>
        <v/>
      </c>
      <c r="R3885" s="52">
        <f>IF(P3885="","",IF(ISNUMBER(I3885),I3885,TasaUSD))</f>
        <v/>
      </c>
      <c r="S3885" s="53">
        <f>IF(P3885="","",IF(H3885="USD",G3885*R3885,G3885))</f>
        <v/>
      </c>
      <c r="T3885" s="53">
        <f>IF(P3885="","",IF(H3885="USD",G3885,IF(R3885&gt;0,G3885/R3885,0)))</f>
        <v/>
      </c>
      <c r="U3885" s="53">
        <f>IF(P3885="","",IF(P3885="Gasto",S3885,IF(P3885="Reembolso",-S3885,0)))</f>
        <v/>
      </c>
      <c r="V3885" s="53">
        <f>IF(P3885="","",IF(P3885="Ingreso",S3885,0))</f>
        <v/>
      </c>
      <c r="W3885" s="53">
        <f>IF(P3885="","",IF(P3885="Resultado trading",S3885,0))</f>
        <v/>
      </c>
      <c r="X3885" s="52">
        <f>IF(OR(P3885="Gasto",P3885="Reembolso"),IF(M3885&lt;&gt;"",M3885,IFERROR(INDEX(catClasif,MATCH(D3885&amp;"|"&amp;E3885,catClave,0))&amp;"","Variable")),"")</f>
        <v/>
      </c>
      <c r="Y3885" s="52">
        <f>IF(P3885="","",IFERROR(INDEX(catGrupo,MATCH(D3885&amp;"|"&amp;E3885,catClave,0))&amp;"",""))</f>
        <v/>
      </c>
      <c r="Z3885" s="52">
        <f>IF(P3885="","",WEEKDAY(B3885,2))</f>
        <v/>
      </c>
      <c r="AA3885" s="52">
        <f>IF(P3885="","",IF(AND(P3885="Gasto",X3885="Variable",D3885&lt;&gt;catTrading,S3885&gt;0,S3885&lt;=Umbral),1,0))</f>
        <v/>
      </c>
      <c r="AB3885" s="52">
        <f>IF(OR(P3885="",Q3885=""),"",IFERROR(IF(INDEX(ctaVinc,MATCH(Q3885,ctaNombre,0))&amp;""&lt;&gt;"",INDEX(ctaVinc,MATCH(Q3885,ctaNombre,0))&amp;"",Q3885),Q3885))</f>
        <v/>
      </c>
      <c r="AC3885" s="52">
        <f>IF(OR(K3885="",AND(P3885&lt;&gt;"Transferencia",P3885&lt;&gt;"Pago tarjeta")),"",IFERROR(IF(INDEX(ctaVinc,MATCH(K3885,ctaNombre,0))&amp;""&lt;&gt;"",INDEX(ctaVinc,MATCH(K3885,ctaNombre,0))&amp;"",K3885),K3885))</f>
        <v/>
      </c>
      <c r="AD3885" s="52">
        <f>IF(AB3885="","",IFERROR(INDEX(ctaTipo,MATCH(AB3885,ctaNombre,0))&amp;"",""))</f>
        <v/>
      </c>
      <c r="AE3885" s="52">
        <f>IF(AC3885="","",IFERROR(INDEX(ctaTipo,MATCH(AC3885,ctaNombre,0))&amp;"",""))</f>
        <v/>
      </c>
      <c r="AF3885" s="53">
        <f>IF(OR(P3885="",AB3885=""),"",IF(OR(P3885="Gasto",P3885="Transferencia",P3885="Pago tarjeta"),-1,1)*IF(IFERROR(INDEX(ctaMoneda,MATCH(AB3885,ctaNombre,0))&amp;"","DOP")="USD",T3885,S3885))</f>
        <v/>
      </c>
      <c r="AG3885" s="53">
        <f>IF(AC3885="","",IF(IFERROR(INDEX(ctaMoneda,MATCH(AC3885,ctaNombre,0))&amp;"","DOP")="USD",T3885,S3885))</f>
        <v/>
      </c>
      <c r="AH3885" s="53">
        <f>IF(P3885="","",IF(AND(AD3885&lt;&gt;"",COUNTIFS(tcTipo,AD3885,tcLiq,"Sí")&gt;0),IF(OR(P3885="Gasto",P3885="Transferencia",P3885="Pago tarjeta"),-1,1)*S3885,0)+IF(AND(AE3885&lt;&gt;"",COUNTIFS(tcTipo,AE3885,tcLiq,"Sí")&gt;0),S3885,0))</f>
        <v/>
      </c>
      <c r="AI3885" s="52">
        <f>IF(OR(L3885="",P3885=""),"",IF(COUNTIFS(L$6:L3885,L3885,P$6:P3885,"?*")=1,MAX(AI$5:AI3884)+1,""))</f>
        <v/>
      </c>
    </row>
    <row r="3886">
      <c r="B3886" s="47" t="n"/>
      <c r="C3886" s="48" t="n"/>
      <c r="D3886" s="48" t="n"/>
      <c r="E3886" s="48" t="n"/>
      <c r="F3886" s="48" t="n"/>
      <c r="G3886" s="49" t="n"/>
      <c r="H3886" s="48" t="n"/>
      <c r="I3886" s="50" t="n"/>
      <c r="J3886" s="48" t="n"/>
      <c r="K3886" s="48" t="n"/>
      <c r="L3886" s="48" t="n"/>
      <c r="M3886" s="48" t="n"/>
      <c r="N3886" s="48" t="n"/>
      <c r="O3886" s="51">
        <f>IF(AND(B3886="",G3886="",C3886="",D3886="",J3886=""),"",IF(B3886="","⚠ Falta fecha",IF(G3886="","⚠ Falta monto",IF(Q3886="","⚠ Falta cuenta",IF(ISNA(MATCH(Q3886,ctaNombre,0)),"⚠ Cuenta no registrada",IF(AND(OR(P3886="Gasto",P3886="Reembolso"),D3886=""),"⚠ Falta categoría",IF(AND(D3886&lt;&gt;"",E3886&lt;&gt;"",ISNA(MATCH(D3886&amp;"|"&amp;E3886,catClave,0))),"⚠ Subcategoría no corresponde",IF(AND(OR(P3886="Transferencia",P3886="Pago tarjeta"),K3886=""),"⚠ Falta cuenta destino",IF(AND(K3886&lt;&gt;"",P3886&lt;&gt;"Transferencia",P3886&lt;&gt;"Pago tarjeta"),"⚠ Destino solo aplica a transferencias",IF(AND(K3886&lt;&gt;"",K3886=Q3886),"⚠ Origen igual a destino",IF(AND(K3886&lt;&gt;"",ISNA(MATCH(K3886,ctaNombre,0))),"⚠ Destino no registrado",IF(AND(P3886="Pago tarjeta",AE3886&lt;&gt;"Tarjeta de crédito"),"⚠ El destino debe ser tarjeta de crédito",IF(AND(P3886="Gasto",E3886="Depósitos y retiros"),"⚠ Usa tipo Transferencia",IF(AND(P3886="Resultado trading",AD3886&lt;&gt;"Cuenta de trading"),"⚠ Usa una cuenta de trading",IF(AND(G3886&lt;=0,P3886&lt;&gt;"Ajuste",P3886&lt;&gt;"Resultado trading"),"⚠ El monto debe ser positivo","✓")))))))))))))))</f>
        <v/>
      </c>
      <c r="P3886" s="52">
        <f>IF(OR(B3886="",G3886=""),"",IF(C3886="","Gasto",C3886))</f>
        <v/>
      </c>
      <c r="Q3886" s="52">
        <f>IF(P3886="","",IF(J3886&lt;&gt;"",J3886,CuentaPred&amp;""))</f>
        <v/>
      </c>
      <c r="R3886" s="52">
        <f>IF(P3886="","",IF(ISNUMBER(I3886),I3886,TasaUSD))</f>
        <v/>
      </c>
      <c r="S3886" s="53">
        <f>IF(P3886="","",IF(H3886="USD",G3886*R3886,G3886))</f>
        <v/>
      </c>
      <c r="T3886" s="53">
        <f>IF(P3886="","",IF(H3886="USD",G3886,IF(R3886&gt;0,G3886/R3886,0)))</f>
        <v/>
      </c>
      <c r="U3886" s="53">
        <f>IF(P3886="","",IF(P3886="Gasto",S3886,IF(P3886="Reembolso",-S3886,0)))</f>
        <v/>
      </c>
      <c r="V3886" s="53">
        <f>IF(P3886="","",IF(P3886="Ingreso",S3886,0))</f>
        <v/>
      </c>
      <c r="W3886" s="53">
        <f>IF(P3886="","",IF(P3886="Resultado trading",S3886,0))</f>
        <v/>
      </c>
      <c r="X3886" s="52">
        <f>IF(OR(P3886="Gasto",P3886="Reembolso"),IF(M3886&lt;&gt;"",M3886,IFERROR(INDEX(catClasif,MATCH(D3886&amp;"|"&amp;E3886,catClave,0))&amp;"","Variable")),"")</f>
        <v/>
      </c>
      <c r="Y3886" s="52">
        <f>IF(P3886="","",IFERROR(INDEX(catGrupo,MATCH(D3886&amp;"|"&amp;E3886,catClave,0))&amp;"",""))</f>
        <v/>
      </c>
      <c r="Z3886" s="52">
        <f>IF(P3886="","",WEEKDAY(B3886,2))</f>
        <v/>
      </c>
      <c r="AA3886" s="52">
        <f>IF(P3886="","",IF(AND(P3886="Gasto",X3886="Variable",D3886&lt;&gt;catTrading,S3886&gt;0,S3886&lt;=Umbral),1,0))</f>
        <v/>
      </c>
      <c r="AB3886" s="52">
        <f>IF(OR(P3886="",Q3886=""),"",IFERROR(IF(INDEX(ctaVinc,MATCH(Q3886,ctaNombre,0))&amp;""&lt;&gt;"",INDEX(ctaVinc,MATCH(Q3886,ctaNombre,0))&amp;"",Q3886),Q3886))</f>
        <v/>
      </c>
      <c r="AC3886" s="52">
        <f>IF(OR(K3886="",AND(P3886&lt;&gt;"Transferencia",P3886&lt;&gt;"Pago tarjeta")),"",IFERROR(IF(INDEX(ctaVinc,MATCH(K3886,ctaNombre,0))&amp;""&lt;&gt;"",INDEX(ctaVinc,MATCH(K3886,ctaNombre,0))&amp;"",K3886),K3886))</f>
        <v/>
      </c>
      <c r="AD3886" s="52">
        <f>IF(AB3886="","",IFERROR(INDEX(ctaTipo,MATCH(AB3886,ctaNombre,0))&amp;"",""))</f>
        <v/>
      </c>
      <c r="AE3886" s="52">
        <f>IF(AC3886="","",IFERROR(INDEX(ctaTipo,MATCH(AC3886,ctaNombre,0))&amp;"",""))</f>
        <v/>
      </c>
      <c r="AF3886" s="53">
        <f>IF(OR(P3886="",AB3886=""),"",IF(OR(P3886="Gasto",P3886="Transferencia",P3886="Pago tarjeta"),-1,1)*IF(IFERROR(INDEX(ctaMoneda,MATCH(AB3886,ctaNombre,0))&amp;"","DOP")="USD",T3886,S3886))</f>
        <v/>
      </c>
      <c r="AG3886" s="53">
        <f>IF(AC3886="","",IF(IFERROR(INDEX(ctaMoneda,MATCH(AC3886,ctaNombre,0))&amp;"","DOP")="USD",T3886,S3886))</f>
        <v/>
      </c>
      <c r="AH3886" s="53">
        <f>IF(P3886="","",IF(AND(AD3886&lt;&gt;"",COUNTIFS(tcTipo,AD3886,tcLiq,"Sí")&gt;0),IF(OR(P3886="Gasto",P3886="Transferencia",P3886="Pago tarjeta"),-1,1)*S3886,0)+IF(AND(AE3886&lt;&gt;"",COUNTIFS(tcTipo,AE3886,tcLiq,"Sí")&gt;0),S3886,0))</f>
        <v/>
      </c>
      <c r="AI3886" s="52">
        <f>IF(OR(L3886="",P3886=""),"",IF(COUNTIFS(L$6:L3886,L3886,P$6:P3886,"?*")=1,MAX(AI$5:AI3885)+1,""))</f>
        <v/>
      </c>
    </row>
    <row r="3887">
      <c r="B3887" s="47" t="n"/>
      <c r="C3887" s="48" t="n"/>
      <c r="D3887" s="48" t="n"/>
      <c r="E3887" s="48" t="n"/>
      <c r="F3887" s="48" t="n"/>
      <c r="G3887" s="49" t="n"/>
      <c r="H3887" s="48" t="n"/>
      <c r="I3887" s="50" t="n"/>
      <c r="J3887" s="48" t="n"/>
      <c r="K3887" s="48" t="n"/>
      <c r="L3887" s="48" t="n"/>
      <c r="M3887" s="48" t="n"/>
      <c r="N3887" s="48" t="n"/>
      <c r="O3887" s="51">
        <f>IF(AND(B3887="",G3887="",C3887="",D3887="",J3887=""),"",IF(B3887="","⚠ Falta fecha",IF(G3887="","⚠ Falta monto",IF(Q3887="","⚠ Falta cuenta",IF(ISNA(MATCH(Q3887,ctaNombre,0)),"⚠ Cuenta no registrada",IF(AND(OR(P3887="Gasto",P3887="Reembolso"),D3887=""),"⚠ Falta categoría",IF(AND(D3887&lt;&gt;"",E3887&lt;&gt;"",ISNA(MATCH(D3887&amp;"|"&amp;E3887,catClave,0))),"⚠ Subcategoría no corresponde",IF(AND(OR(P3887="Transferencia",P3887="Pago tarjeta"),K3887=""),"⚠ Falta cuenta destino",IF(AND(K3887&lt;&gt;"",P3887&lt;&gt;"Transferencia",P3887&lt;&gt;"Pago tarjeta"),"⚠ Destino solo aplica a transferencias",IF(AND(K3887&lt;&gt;"",K3887=Q3887),"⚠ Origen igual a destino",IF(AND(K3887&lt;&gt;"",ISNA(MATCH(K3887,ctaNombre,0))),"⚠ Destino no registrado",IF(AND(P3887="Pago tarjeta",AE3887&lt;&gt;"Tarjeta de crédito"),"⚠ El destino debe ser tarjeta de crédito",IF(AND(P3887="Gasto",E3887="Depósitos y retiros"),"⚠ Usa tipo Transferencia",IF(AND(P3887="Resultado trading",AD3887&lt;&gt;"Cuenta de trading"),"⚠ Usa una cuenta de trading",IF(AND(G3887&lt;=0,P3887&lt;&gt;"Ajuste",P3887&lt;&gt;"Resultado trading"),"⚠ El monto debe ser positivo","✓")))))))))))))))</f>
        <v/>
      </c>
      <c r="P3887" s="52">
        <f>IF(OR(B3887="",G3887=""),"",IF(C3887="","Gasto",C3887))</f>
        <v/>
      </c>
      <c r="Q3887" s="52">
        <f>IF(P3887="","",IF(J3887&lt;&gt;"",J3887,CuentaPred&amp;""))</f>
        <v/>
      </c>
      <c r="R3887" s="52">
        <f>IF(P3887="","",IF(ISNUMBER(I3887),I3887,TasaUSD))</f>
        <v/>
      </c>
      <c r="S3887" s="53">
        <f>IF(P3887="","",IF(H3887="USD",G3887*R3887,G3887))</f>
        <v/>
      </c>
      <c r="T3887" s="53">
        <f>IF(P3887="","",IF(H3887="USD",G3887,IF(R3887&gt;0,G3887/R3887,0)))</f>
        <v/>
      </c>
      <c r="U3887" s="53">
        <f>IF(P3887="","",IF(P3887="Gasto",S3887,IF(P3887="Reembolso",-S3887,0)))</f>
        <v/>
      </c>
      <c r="V3887" s="53">
        <f>IF(P3887="","",IF(P3887="Ingreso",S3887,0))</f>
        <v/>
      </c>
      <c r="W3887" s="53">
        <f>IF(P3887="","",IF(P3887="Resultado trading",S3887,0))</f>
        <v/>
      </c>
      <c r="X3887" s="52">
        <f>IF(OR(P3887="Gasto",P3887="Reembolso"),IF(M3887&lt;&gt;"",M3887,IFERROR(INDEX(catClasif,MATCH(D3887&amp;"|"&amp;E3887,catClave,0))&amp;"","Variable")),"")</f>
        <v/>
      </c>
      <c r="Y3887" s="52">
        <f>IF(P3887="","",IFERROR(INDEX(catGrupo,MATCH(D3887&amp;"|"&amp;E3887,catClave,0))&amp;"",""))</f>
        <v/>
      </c>
      <c r="Z3887" s="52">
        <f>IF(P3887="","",WEEKDAY(B3887,2))</f>
        <v/>
      </c>
      <c r="AA3887" s="52">
        <f>IF(P3887="","",IF(AND(P3887="Gasto",X3887="Variable",D3887&lt;&gt;catTrading,S3887&gt;0,S3887&lt;=Umbral),1,0))</f>
        <v/>
      </c>
      <c r="AB3887" s="52">
        <f>IF(OR(P3887="",Q3887=""),"",IFERROR(IF(INDEX(ctaVinc,MATCH(Q3887,ctaNombre,0))&amp;""&lt;&gt;"",INDEX(ctaVinc,MATCH(Q3887,ctaNombre,0))&amp;"",Q3887),Q3887))</f>
        <v/>
      </c>
      <c r="AC3887" s="52">
        <f>IF(OR(K3887="",AND(P3887&lt;&gt;"Transferencia",P3887&lt;&gt;"Pago tarjeta")),"",IFERROR(IF(INDEX(ctaVinc,MATCH(K3887,ctaNombre,0))&amp;""&lt;&gt;"",INDEX(ctaVinc,MATCH(K3887,ctaNombre,0))&amp;"",K3887),K3887))</f>
        <v/>
      </c>
      <c r="AD3887" s="52">
        <f>IF(AB3887="","",IFERROR(INDEX(ctaTipo,MATCH(AB3887,ctaNombre,0))&amp;"",""))</f>
        <v/>
      </c>
      <c r="AE3887" s="52">
        <f>IF(AC3887="","",IFERROR(INDEX(ctaTipo,MATCH(AC3887,ctaNombre,0))&amp;"",""))</f>
        <v/>
      </c>
      <c r="AF3887" s="53">
        <f>IF(OR(P3887="",AB3887=""),"",IF(OR(P3887="Gasto",P3887="Transferencia",P3887="Pago tarjeta"),-1,1)*IF(IFERROR(INDEX(ctaMoneda,MATCH(AB3887,ctaNombre,0))&amp;"","DOP")="USD",T3887,S3887))</f>
        <v/>
      </c>
      <c r="AG3887" s="53">
        <f>IF(AC3887="","",IF(IFERROR(INDEX(ctaMoneda,MATCH(AC3887,ctaNombre,0))&amp;"","DOP")="USD",T3887,S3887))</f>
        <v/>
      </c>
      <c r="AH3887" s="53">
        <f>IF(P3887="","",IF(AND(AD3887&lt;&gt;"",COUNTIFS(tcTipo,AD3887,tcLiq,"Sí")&gt;0),IF(OR(P3887="Gasto",P3887="Transferencia",P3887="Pago tarjeta"),-1,1)*S3887,0)+IF(AND(AE3887&lt;&gt;"",COUNTIFS(tcTipo,AE3887,tcLiq,"Sí")&gt;0),S3887,0))</f>
        <v/>
      </c>
      <c r="AI3887" s="52">
        <f>IF(OR(L3887="",P3887=""),"",IF(COUNTIFS(L$6:L3887,L3887,P$6:P3887,"?*")=1,MAX(AI$5:AI3886)+1,""))</f>
        <v/>
      </c>
    </row>
    <row r="3888">
      <c r="B3888" s="47" t="n"/>
      <c r="C3888" s="48" t="n"/>
      <c r="D3888" s="48" t="n"/>
      <c r="E3888" s="48" t="n"/>
      <c r="F3888" s="48" t="n"/>
      <c r="G3888" s="49" t="n"/>
      <c r="H3888" s="48" t="n"/>
      <c r="I3888" s="50" t="n"/>
      <c r="J3888" s="48" t="n"/>
      <c r="K3888" s="48" t="n"/>
      <c r="L3888" s="48" t="n"/>
      <c r="M3888" s="48" t="n"/>
      <c r="N3888" s="48" t="n"/>
      <c r="O3888" s="51">
        <f>IF(AND(B3888="",G3888="",C3888="",D3888="",J3888=""),"",IF(B3888="","⚠ Falta fecha",IF(G3888="","⚠ Falta monto",IF(Q3888="","⚠ Falta cuenta",IF(ISNA(MATCH(Q3888,ctaNombre,0)),"⚠ Cuenta no registrada",IF(AND(OR(P3888="Gasto",P3888="Reembolso"),D3888=""),"⚠ Falta categoría",IF(AND(D3888&lt;&gt;"",E3888&lt;&gt;"",ISNA(MATCH(D3888&amp;"|"&amp;E3888,catClave,0))),"⚠ Subcategoría no corresponde",IF(AND(OR(P3888="Transferencia",P3888="Pago tarjeta"),K3888=""),"⚠ Falta cuenta destino",IF(AND(K3888&lt;&gt;"",P3888&lt;&gt;"Transferencia",P3888&lt;&gt;"Pago tarjeta"),"⚠ Destino solo aplica a transferencias",IF(AND(K3888&lt;&gt;"",K3888=Q3888),"⚠ Origen igual a destino",IF(AND(K3888&lt;&gt;"",ISNA(MATCH(K3888,ctaNombre,0))),"⚠ Destino no registrado",IF(AND(P3888="Pago tarjeta",AE3888&lt;&gt;"Tarjeta de crédito"),"⚠ El destino debe ser tarjeta de crédito",IF(AND(P3888="Gasto",E3888="Depósitos y retiros"),"⚠ Usa tipo Transferencia",IF(AND(P3888="Resultado trading",AD3888&lt;&gt;"Cuenta de trading"),"⚠ Usa una cuenta de trading",IF(AND(G3888&lt;=0,P3888&lt;&gt;"Ajuste",P3888&lt;&gt;"Resultado trading"),"⚠ El monto debe ser positivo","✓")))))))))))))))</f>
        <v/>
      </c>
      <c r="P3888" s="52">
        <f>IF(OR(B3888="",G3888=""),"",IF(C3888="","Gasto",C3888))</f>
        <v/>
      </c>
      <c r="Q3888" s="52">
        <f>IF(P3888="","",IF(J3888&lt;&gt;"",J3888,CuentaPred&amp;""))</f>
        <v/>
      </c>
      <c r="R3888" s="52">
        <f>IF(P3888="","",IF(ISNUMBER(I3888),I3888,TasaUSD))</f>
        <v/>
      </c>
      <c r="S3888" s="53">
        <f>IF(P3888="","",IF(H3888="USD",G3888*R3888,G3888))</f>
        <v/>
      </c>
      <c r="T3888" s="53">
        <f>IF(P3888="","",IF(H3888="USD",G3888,IF(R3888&gt;0,G3888/R3888,0)))</f>
        <v/>
      </c>
      <c r="U3888" s="53">
        <f>IF(P3888="","",IF(P3888="Gasto",S3888,IF(P3888="Reembolso",-S3888,0)))</f>
        <v/>
      </c>
      <c r="V3888" s="53">
        <f>IF(P3888="","",IF(P3888="Ingreso",S3888,0))</f>
        <v/>
      </c>
      <c r="W3888" s="53">
        <f>IF(P3888="","",IF(P3888="Resultado trading",S3888,0))</f>
        <v/>
      </c>
      <c r="X3888" s="52">
        <f>IF(OR(P3888="Gasto",P3888="Reembolso"),IF(M3888&lt;&gt;"",M3888,IFERROR(INDEX(catClasif,MATCH(D3888&amp;"|"&amp;E3888,catClave,0))&amp;"","Variable")),"")</f>
        <v/>
      </c>
      <c r="Y3888" s="52">
        <f>IF(P3888="","",IFERROR(INDEX(catGrupo,MATCH(D3888&amp;"|"&amp;E3888,catClave,0))&amp;"",""))</f>
        <v/>
      </c>
      <c r="Z3888" s="52">
        <f>IF(P3888="","",WEEKDAY(B3888,2))</f>
        <v/>
      </c>
      <c r="AA3888" s="52">
        <f>IF(P3888="","",IF(AND(P3888="Gasto",X3888="Variable",D3888&lt;&gt;catTrading,S3888&gt;0,S3888&lt;=Umbral),1,0))</f>
        <v/>
      </c>
      <c r="AB3888" s="52">
        <f>IF(OR(P3888="",Q3888=""),"",IFERROR(IF(INDEX(ctaVinc,MATCH(Q3888,ctaNombre,0))&amp;""&lt;&gt;"",INDEX(ctaVinc,MATCH(Q3888,ctaNombre,0))&amp;"",Q3888),Q3888))</f>
        <v/>
      </c>
      <c r="AC3888" s="52">
        <f>IF(OR(K3888="",AND(P3888&lt;&gt;"Transferencia",P3888&lt;&gt;"Pago tarjeta")),"",IFERROR(IF(INDEX(ctaVinc,MATCH(K3888,ctaNombre,0))&amp;""&lt;&gt;"",INDEX(ctaVinc,MATCH(K3888,ctaNombre,0))&amp;"",K3888),K3888))</f>
        <v/>
      </c>
      <c r="AD3888" s="52">
        <f>IF(AB3888="","",IFERROR(INDEX(ctaTipo,MATCH(AB3888,ctaNombre,0))&amp;"",""))</f>
        <v/>
      </c>
      <c r="AE3888" s="52">
        <f>IF(AC3888="","",IFERROR(INDEX(ctaTipo,MATCH(AC3888,ctaNombre,0))&amp;"",""))</f>
        <v/>
      </c>
      <c r="AF3888" s="53">
        <f>IF(OR(P3888="",AB3888=""),"",IF(OR(P3888="Gasto",P3888="Transferencia",P3888="Pago tarjeta"),-1,1)*IF(IFERROR(INDEX(ctaMoneda,MATCH(AB3888,ctaNombre,0))&amp;"","DOP")="USD",T3888,S3888))</f>
        <v/>
      </c>
      <c r="AG3888" s="53">
        <f>IF(AC3888="","",IF(IFERROR(INDEX(ctaMoneda,MATCH(AC3888,ctaNombre,0))&amp;"","DOP")="USD",T3888,S3888))</f>
        <v/>
      </c>
      <c r="AH3888" s="53">
        <f>IF(P3888="","",IF(AND(AD3888&lt;&gt;"",COUNTIFS(tcTipo,AD3888,tcLiq,"Sí")&gt;0),IF(OR(P3888="Gasto",P3888="Transferencia",P3888="Pago tarjeta"),-1,1)*S3888,0)+IF(AND(AE3888&lt;&gt;"",COUNTIFS(tcTipo,AE3888,tcLiq,"Sí")&gt;0),S3888,0))</f>
        <v/>
      </c>
      <c r="AI3888" s="52">
        <f>IF(OR(L3888="",P3888=""),"",IF(COUNTIFS(L$6:L3888,L3888,P$6:P3888,"?*")=1,MAX(AI$5:AI3887)+1,""))</f>
        <v/>
      </c>
    </row>
    <row r="3889">
      <c r="B3889" s="47" t="n"/>
      <c r="C3889" s="48" t="n"/>
      <c r="D3889" s="48" t="n"/>
      <c r="E3889" s="48" t="n"/>
      <c r="F3889" s="48" t="n"/>
      <c r="G3889" s="49" t="n"/>
      <c r="H3889" s="48" t="n"/>
      <c r="I3889" s="50" t="n"/>
      <c r="J3889" s="48" t="n"/>
      <c r="K3889" s="48" t="n"/>
      <c r="L3889" s="48" t="n"/>
      <c r="M3889" s="48" t="n"/>
      <c r="N3889" s="48" t="n"/>
      <c r="O3889" s="51">
        <f>IF(AND(B3889="",G3889="",C3889="",D3889="",J3889=""),"",IF(B3889="","⚠ Falta fecha",IF(G3889="","⚠ Falta monto",IF(Q3889="","⚠ Falta cuenta",IF(ISNA(MATCH(Q3889,ctaNombre,0)),"⚠ Cuenta no registrada",IF(AND(OR(P3889="Gasto",P3889="Reembolso"),D3889=""),"⚠ Falta categoría",IF(AND(D3889&lt;&gt;"",E3889&lt;&gt;"",ISNA(MATCH(D3889&amp;"|"&amp;E3889,catClave,0))),"⚠ Subcategoría no corresponde",IF(AND(OR(P3889="Transferencia",P3889="Pago tarjeta"),K3889=""),"⚠ Falta cuenta destino",IF(AND(K3889&lt;&gt;"",P3889&lt;&gt;"Transferencia",P3889&lt;&gt;"Pago tarjeta"),"⚠ Destino solo aplica a transferencias",IF(AND(K3889&lt;&gt;"",K3889=Q3889),"⚠ Origen igual a destino",IF(AND(K3889&lt;&gt;"",ISNA(MATCH(K3889,ctaNombre,0))),"⚠ Destino no registrado",IF(AND(P3889="Pago tarjeta",AE3889&lt;&gt;"Tarjeta de crédito"),"⚠ El destino debe ser tarjeta de crédito",IF(AND(P3889="Gasto",E3889="Depósitos y retiros"),"⚠ Usa tipo Transferencia",IF(AND(P3889="Resultado trading",AD3889&lt;&gt;"Cuenta de trading"),"⚠ Usa una cuenta de trading",IF(AND(G3889&lt;=0,P3889&lt;&gt;"Ajuste",P3889&lt;&gt;"Resultado trading"),"⚠ El monto debe ser positivo","✓")))))))))))))))</f>
        <v/>
      </c>
      <c r="P3889" s="52">
        <f>IF(OR(B3889="",G3889=""),"",IF(C3889="","Gasto",C3889))</f>
        <v/>
      </c>
      <c r="Q3889" s="52">
        <f>IF(P3889="","",IF(J3889&lt;&gt;"",J3889,CuentaPred&amp;""))</f>
        <v/>
      </c>
      <c r="R3889" s="52">
        <f>IF(P3889="","",IF(ISNUMBER(I3889),I3889,TasaUSD))</f>
        <v/>
      </c>
      <c r="S3889" s="53">
        <f>IF(P3889="","",IF(H3889="USD",G3889*R3889,G3889))</f>
        <v/>
      </c>
      <c r="T3889" s="53">
        <f>IF(P3889="","",IF(H3889="USD",G3889,IF(R3889&gt;0,G3889/R3889,0)))</f>
        <v/>
      </c>
      <c r="U3889" s="53">
        <f>IF(P3889="","",IF(P3889="Gasto",S3889,IF(P3889="Reembolso",-S3889,0)))</f>
        <v/>
      </c>
      <c r="V3889" s="53">
        <f>IF(P3889="","",IF(P3889="Ingreso",S3889,0))</f>
        <v/>
      </c>
      <c r="W3889" s="53">
        <f>IF(P3889="","",IF(P3889="Resultado trading",S3889,0))</f>
        <v/>
      </c>
      <c r="X3889" s="52">
        <f>IF(OR(P3889="Gasto",P3889="Reembolso"),IF(M3889&lt;&gt;"",M3889,IFERROR(INDEX(catClasif,MATCH(D3889&amp;"|"&amp;E3889,catClave,0))&amp;"","Variable")),"")</f>
        <v/>
      </c>
      <c r="Y3889" s="52">
        <f>IF(P3889="","",IFERROR(INDEX(catGrupo,MATCH(D3889&amp;"|"&amp;E3889,catClave,0))&amp;"",""))</f>
        <v/>
      </c>
      <c r="Z3889" s="52">
        <f>IF(P3889="","",WEEKDAY(B3889,2))</f>
        <v/>
      </c>
      <c r="AA3889" s="52">
        <f>IF(P3889="","",IF(AND(P3889="Gasto",X3889="Variable",D3889&lt;&gt;catTrading,S3889&gt;0,S3889&lt;=Umbral),1,0))</f>
        <v/>
      </c>
      <c r="AB3889" s="52">
        <f>IF(OR(P3889="",Q3889=""),"",IFERROR(IF(INDEX(ctaVinc,MATCH(Q3889,ctaNombre,0))&amp;""&lt;&gt;"",INDEX(ctaVinc,MATCH(Q3889,ctaNombre,0))&amp;"",Q3889),Q3889))</f>
        <v/>
      </c>
      <c r="AC3889" s="52">
        <f>IF(OR(K3889="",AND(P3889&lt;&gt;"Transferencia",P3889&lt;&gt;"Pago tarjeta")),"",IFERROR(IF(INDEX(ctaVinc,MATCH(K3889,ctaNombre,0))&amp;""&lt;&gt;"",INDEX(ctaVinc,MATCH(K3889,ctaNombre,0))&amp;"",K3889),K3889))</f>
        <v/>
      </c>
      <c r="AD3889" s="52">
        <f>IF(AB3889="","",IFERROR(INDEX(ctaTipo,MATCH(AB3889,ctaNombre,0))&amp;"",""))</f>
        <v/>
      </c>
      <c r="AE3889" s="52">
        <f>IF(AC3889="","",IFERROR(INDEX(ctaTipo,MATCH(AC3889,ctaNombre,0))&amp;"",""))</f>
        <v/>
      </c>
      <c r="AF3889" s="53">
        <f>IF(OR(P3889="",AB3889=""),"",IF(OR(P3889="Gasto",P3889="Transferencia",P3889="Pago tarjeta"),-1,1)*IF(IFERROR(INDEX(ctaMoneda,MATCH(AB3889,ctaNombre,0))&amp;"","DOP")="USD",T3889,S3889))</f>
        <v/>
      </c>
      <c r="AG3889" s="53">
        <f>IF(AC3889="","",IF(IFERROR(INDEX(ctaMoneda,MATCH(AC3889,ctaNombre,0))&amp;"","DOP")="USD",T3889,S3889))</f>
        <v/>
      </c>
      <c r="AH3889" s="53">
        <f>IF(P3889="","",IF(AND(AD3889&lt;&gt;"",COUNTIFS(tcTipo,AD3889,tcLiq,"Sí")&gt;0),IF(OR(P3889="Gasto",P3889="Transferencia",P3889="Pago tarjeta"),-1,1)*S3889,0)+IF(AND(AE3889&lt;&gt;"",COUNTIFS(tcTipo,AE3889,tcLiq,"Sí")&gt;0),S3889,0))</f>
        <v/>
      </c>
      <c r="AI3889" s="52">
        <f>IF(OR(L3889="",P3889=""),"",IF(COUNTIFS(L$6:L3889,L3889,P$6:P3889,"?*")=1,MAX(AI$5:AI3888)+1,""))</f>
        <v/>
      </c>
    </row>
    <row r="3890">
      <c r="B3890" s="47" t="n"/>
      <c r="C3890" s="48" t="n"/>
      <c r="D3890" s="48" t="n"/>
      <c r="E3890" s="48" t="n"/>
      <c r="F3890" s="48" t="n"/>
      <c r="G3890" s="49" t="n"/>
      <c r="H3890" s="48" t="n"/>
      <c r="I3890" s="50" t="n"/>
      <c r="J3890" s="48" t="n"/>
      <c r="K3890" s="48" t="n"/>
      <c r="L3890" s="48" t="n"/>
      <c r="M3890" s="48" t="n"/>
      <c r="N3890" s="48" t="n"/>
      <c r="O3890" s="51">
        <f>IF(AND(B3890="",G3890="",C3890="",D3890="",J3890=""),"",IF(B3890="","⚠ Falta fecha",IF(G3890="","⚠ Falta monto",IF(Q3890="","⚠ Falta cuenta",IF(ISNA(MATCH(Q3890,ctaNombre,0)),"⚠ Cuenta no registrada",IF(AND(OR(P3890="Gasto",P3890="Reembolso"),D3890=""),"⚠ Falta categoría",IF(AND(D3890&lt;&gt;"",E3890&lt;&gt;"",ISNA(MATCH(D3890&amp;"|"&amp;E3890,catClave,0))),"⚠ Subcategoría no corresponde",IF(AND(OR(P3890="Transferencia",P3890="Pago tarjeta"),K3890=""),"⚠ Falta cuenta destino",IF(AND(K3890&lt;&gt;"",P3890&lt;&gt;"Transferencia",P3890&lt;&gt;"Pago tarjeta"),"⚠ Destino solo aplica a transferencias",IF(AND(K3890&lt;&gt;"",K3890=Q3890),"⚠ Origen igual a destino",IF(AND(K3890&lt;&gt;"",ISNA(MATCH(K3890,ctaNombre,0))),"⚠ Destino no registrado",IF(AND(P3890="Pago tarjeta",AE3890&lt;&gt;"Tarjeta de crédito"),"⚠ El destino debe ser tarjeta de crédito",IF(AND(P3890="Gasto",E3890="Depósitos y retiros"),"⚠ Usa tipo Transferencia",IF(AND(P3890="Resultado trading",AD3890&lt;&gt;"Cuenta de trading"),"⚠ Usa una cuenta de trading",IF(AND(G3890&lt;=0,P3890&lt;&gt;"Ajuste",P3890&lt;&gt;"Resultado trading"),"⚠ El monto debe ser positivo","✓")))))))))))))))</f>
        <v/>
      </c>
      <c r="P3890" s="52">
        <f>IF(OR(B3890="",G3890=""),"",IF(C3890="","Gasto",C3890))</f>
        <v/>
      </c>
      <c r="Q3890" s="52">
        <f>IF(P3890="","",IF(J3890&lt;&gt;"",J3890,CuentaPred&amp;""))</f>
        <v/>
      </c>
      <c r="R3890" s="52">
        <f>IF(P3890="","",IF(ISNUMBER(I3890),I3890,TasaUSD))</f>
        <v/>
      </c>
      <c r="S3890" s="53">
        <f>IF(P3890="","",IF(H3890="USD",G3890*R3890,G3890))</f>
        <v/>
      </c>
      <c r="T3890" s="53">
        <f>IF(P3890="","",IF(H3890="USD",G3890,IF(R3890&gt;0,G3890/R3890,0)))</f>
        <v/>
      </c>
      <c r="U3890" s="53">
        <f>IF(P3890="","",IF(P3890="Gasto",S3890,IF(P3890="Reembolso",-S3890,0)))</f>
        <v/>
      </c>
      <c r="V3890" s="53">
        <f>IF(P3890="","",IF(P3890="Ingreso",S3890,0))</f>
        <v/>
      </c>
      <c r="W3890" s="53">
        <f>IF(P3890="","",IF(P3890="Resultado trading",S3890,0))</f>
        <v/>
      </c>
      <c r="X3890" s="52">
        <f>IF(OR(P3890="Gasto",P3890="Reembolso"),IF(M3890&lt;&gt;"",M3890,IFERROR(INDEX(catClasif,MATCH(D3890&amp;"|"&amp;E3890,catClave,0))&amp;"","Variable")),"")</f>
        <v/>
      </c>
      <c r="Y3890" s="52">
        <f>IF(P3890="","",IFERROR(INDEX(catGrupo,MATCH(D3890&amp;"|"&amp;E3890,catClave,0))&amp;"",""))</f>
        <v/>
      </c>
      <c r="Z3890" s="52">
        <f>IF(P3890="","",WEEKDAY(B3890,2))</f>
        <v/>
      </c>
      <c r="AA3890" s="52">
        <f>IF(P3890="","",IF(AND(P3890="Gasto",X3890="Variable",D3890&lt;&gt;catTrading,S3890&gt;0,S3890&lt;=Umbral),1,0))</f>
        <v/>
      </c>
      <c r="AB3890" s="52">
        <f>IF(OR(P3890="",Q3890=""),"",IFERROR(IF(INDEX(ctaVinc,MATCH(Q3890,ctaNombre,0))&amp;""&lt;&gt;"",INDEX(ctaVinc,MATCH(Q3890,ctaNombre,0))&amp;"",Q3890),Q3890))</f>
        <v/>
      </c>
      <c r="AC3890" s="52">
        <f>IF(OR(K3890="",AND(P3890&lt;&gt;"Transferencia",P3890&lt;&gt;"Pago tarjeta")),"",IFERROR(IF(INDEX(ctaVinc,MATCH(K3890,ctaNombre,0))&amp;""&lt;&gt;"",INDEX(ctaVinc,MATCH(K3890,ctaNombre,0))&amp;"",K3890),K3890))</f>
        <v/>
      </c>
      <c r="AD3890" s="52">
        <f>IF(AB3890="","",IFERROR(INDEX(ctaTipo,MATCH(AB3890,ctaNombre,0))&amp;"",""))</f>
        <v/>
      </c>
      <c r="AE3890" s="52">
        <f>IF(AC3890="","",IFERROR(INDEX(ctaTipo,MATCH(AC3890,ctaNombre,0))&amp;"",""))</f>
        <v/>
      </c>
      <c r="AF3890" s="53">
        <f>IF(OR(P3890="",AB3890=""),"",IF(OR(P3890="Gasto",P3890="Transferencia",P3890="Pago tarjeta"),-1,1)*IF(IFERROR(INDEX(ctaMoneda,MATCH(AB3890,ctaNombre,0))&amp;"","DOP")="USD",T3890,S3890))</f>
        <v/>
      </c>
      <c r="AG3890" s="53">
        <f>IF(AC3890="","",IF(IFERROR(INDEX(ctaMoneda,MATCH(AC3890,ctaNombre,0))&amp;"","DOP")="USD",T3890,S3890))</f>
        <v/>
      </c>
      <c r="AH3890" s="53">
        <f>IF(P3890="","",IF(AND(AD3890&lt;&gt;"",COUNTIFS(tcTipo,AD3890,tcLiq,"Sí")&gt;0),IF(OR(P3890="Gasto",P3890="Transferencia",P3890="Pago tarjeta"),-1,1)*S3890,0)+IF(AND(AE3890&lt;&gt;"",COUNTIFS(tcTipo,AE3890,tcLiq,"Sí")&gt;0),S3890,0))</f>
        <v/>
      </c>
      <c r="AI3890" s="52">
        <f>IF(OR(L3890="",P3890=""),"",IF(COUNTIFS(L$6:L3890,L3890,P$6:P3890,"?*")=1,MAX(AI$5:AI3889)+1,""))</f>
        <v/>
      </c>
    </row>
    <row r="3891">
      <c r="B3891" s="47" t="n"/>
      <c r="C3891" s="48" t="n"/>
      <c r="D3891" s="48" t="n"/>
      <c r="E3891" s="48" t="n"/>
      <c r="F3891" s="48" t="n"/>
      <c r="G3891" s="49" t="n"/>
      <c r="H3891" s="48" t="n"/>
      <c r="I3891" s="50" t="n"/>
      <c r="J3891" s="48" t="n"/>
      <c r="K3891" s="48" t="n"/>
      <c r="L3891" s="48" t="n"/>
      <c r="M3891" s="48" t="n"/>
      <c r="N3891" s="48" t="n"/>
      <c r="O3891" s="51">
        <f>IF(AND(B3891="",G3891="",C3891="",D3891="",J3891=""),"",IF(B3891="","⚠ Falta fecha",IF(G3891="","⚠ Falta monto",IF(Q3891="","⚠ Falta cuenta",IF(ISNA(MATCH(Q3891,ctaNombre,0)),"⚠ Cuenta no registrada",IF(AND(OR(P3891="Gasto",P3891="Reembolso"),D3891=""),"⚠ Falta categoría",IF(AND(D3891&lt;&gt;"",E3891&lt;&gt;"",ISNA(MATCH(D3891&amp;"|"&amp;E3891,catClave,0))),"⚠ Subcategoría no corresponde",IF(AND(OR(P3891="Transferencia",P3891="Pago tarjeta"),K3891=""),"⚠ Falta cuenta destino",IF(AND(K3891&lt;&gt;"",P3891&lt;&gt;"Transferencia",P3891&lt;&gt;"Pago tarjeta"),"⚠ Destino solo aplica a transferencias",IF(AND(K3891&lt;&gt;"",K3891=Q3891),"⚠ Origen igual a destino",IF(AND(K3891&lt;&gt;"",ISNA(MATCH(K3891,ctaNombre,0))),"⚠ Destino no registrado",IF(AND(P3891="Pago tarjeta",AE3891&lt;&gt;"Tarjeta de crédito"),"⚠ El destino debe ser tarjeta de crédito",IF(AND(P3891="Gasto",E3891="Depósitos y retiros"),"⚠ Usa tipo Transferencia",IF(AND(P3891="Resultado trading",AD3891&lt;&gt;"Cuenta de trading"),"⚠ Usa una cuenta de trading",IF(AND(G3891&lt;=0,P3891&lt;&gt;"Ajuste",P3891&lt;&gt;"Resultado trading"),"⚠ El monto debe ser positivo","✓")))))))))))))))</f>
        <v/>
      </c>
      <c r="P3891" s="52">
        <f>IF(OR(B3891="",G3891=""),"",IF(C3891="","Gasto",C3891))</f>
        <v/>
      </c>
      <c r="Q3891" s="52">
        <f>IF(P3891="","",IF(J3891&lt;&gt;"",J3891,CuentaPred&amp;""))</f>
        <v/>
      </c>
      <c r="R3891" s="52">
        <f>IF(P3891="","",IF(ISNUMBER(I3891),I3891,TasaUSD))</f>
        <v/>
      </c>
      <c r="S3891" s="53">
        <f>IF(P3891="","",IF(H3891="USD",G3891*R3891,G3891))</f>
        <v/>
      </c>
      <c r="T3891" s="53">
        <f>IF(P3891="","",IF(H3891="USD",G3891,IF(R3891&gt;0,G3891/R3891,0)))</f>
        <v/>
      </c>
      <c r="U3891" s="53">
        <f>IF(P3891="","",IF(P3891="Gasto",S3891,IF(P3891="Reembolso",-S3891,0)))</f>
        <v/>
      </c>
      <c r="V3891" s="53">
        <f>IF(P3891="","",IF(P3891="Ingreso",S3891,0))</f>
        <v/>
      </c>
      <c r="W3891" s="53">
        <f>IF(P3891="","",IF(P3891="Resultado trading",S3891,0))</f>
        <v/>
      </c>
      <c r="X3891" s="52">
        <f>IF(OR(P3891="Gasto",P3891="Reembolso"),IF(M3891&lt;&gt;"",M3891,IFERROR(INDEX(catClasif,MATCH(D3891&amp;"|"&amp;E3891,catClave,0))&amp;"","Variable")),"")</f>
        <v/>
      </c>
      <c r="Y3891" s="52">
        <f>IF(P3891="","",IFERROR(INDEX(catGrupo,MATCH(D3891&amp;"|"&amp;E3891,catClave,0))&amp;"",""))</f>
        <v/>
      </c>
      <c r="Z3891" s="52">
        <f>IF(P3891="","",WEEKDAY(B3891,2))</f>
        <v/>
      </c>
      <c r="AA3891" s="52">
        <f>IF(P3891="","",IF(AND(P3891="Gasto",X3891="Variable",D3891&lt;&gt;catTrading,S3891&gt;0,S3891&lt;=Umbral),1,0))</f>
        <v/>
      </c>
      <c r="AB3891" s="52">
        <f>IF(OR(P3891="",Q3891=""),"",IFERROR(IF(INDEX(ctaVinc,MATCH(Q3891,ctaNombre,0))&amp;""&lt;&gt;"",INDEX(ctaVinc,MATCH(Q3891,ctaNombre,0))&amp;"",Q3891),Q3891))</f>
        <v/>
      </c>
      <c r="AC3891" s="52">
        <f>IF(OR(K3891="",AND(P3891&lt;&gt;"Transferencia",P3891&lt;&gt;"Pago tarjeta")),"",IFERROR(IF(INDEX(ctaVinc,MATCH(K3891,ctaNombre,0))&amp;""&lt;&gt;"",INDEX(ctaVinc,MATCH(K3891,ctaNombre,0))&amp;"",K3891),K3891))</f>
        <v/>
      </c>
      <c r="AD3891" s="52">
        <f>IF(AB3891="","",IFERROR(INDEX(ctaTipo,MATCH(AB3891,ctaNombre,0))&amp;"",""))</f>
        <v/>
      </c>
      <c r="AE3891" s="52">
        <f>IF(AC3891="","",IFERROR(INDEX(ctaTipo,MATCH(AC3891,ctaNombre,0))&amp;"",""))</f>
        <v/>
      </c>
      <c r="AF3891" s="53">
        <f>IF(OR(P3891="",AB3891=""),"",IF(OR(P3891="Gasto",P3891="Transferencia",P3891="Pago tarjeta"),-1,1)*IF(IFERROR(INDEX(ctaMoneda,MATCH(AB3891,ctaNombre,0))&amp;"","DOP")="USD",T3891,S3891))</f>
        <v/>
      </c>
      <c r="AG3891" s="53">
        <f>IF(AC3891="","",IF(IFERROR(INDEX(ctaMoneda,MATCH(AC3891,ctaNombre,0))&amp;"","DOP")="USD",T3891,S3891))</f>
        <v/>
      </c>
      <c r="AH3891" s="53">
        <f>IF(P3891="","",IF(AND(AD3891&lt;&gt;"",COUNTIFS(tcTipo,AD3891,tcLiq,"Sí")&gt;0),IF(OR(P3891="Gasto",P3891="Transferencia",P3891="Pago tarjeta"),-1,1)*S3891,0)+IF(AND(AE3891&lt;&gt;"",COUNTIFS(tcTipo,AE3891,tcLiq,"Sí")&gt;0),S3891,0))</f>
        <v/>
      </c>
      <c r="AI3891" s="52">
        <f>IF(OR(L3891="",P3891=""),"",IF(COUNTIFS(L$6:L3891,L3891,P$6:P3891,"?*")=1,MAX(AI$5:AI3890)+1,""))</f>
        <v/>
      </c>
    </row>
    <row r="3892">
      <c r="B3892" s="47" t="n"/>
      <c r="C3892" s="48" t="n"/>
      <c r="D3892" s="48" t="n"/>
      <c r="E3892" s="48" t="n"/>
      <c r="F3892" s="48" t="n"/>
      <c r="G3892" s="49" t="n"/>
      <c r="H3892" s="48" t="n"/>
      <c r="I3892" s="50" t="n"/>
      <c r="J3892" s="48" t="n"/>
      <c r="K3892" s="48" t="n"/>
      <c r="L3892" s="48" t="n"/>
      <c r="M3892" s="48" t="n"/>
      <c r="N3892" s="48" t="n"/>
      <c r="O3892" s="51">
        <f>IF(AND(B3892="",G3892="",C3892="",D3892="",J3892=""),"",IF(B3892="","⚠ Falta fecha",IF(G3892="","⚠ Falta monto",IF(Q3892="","⚠ Falta cuenta",IF(ISNA(MATCH(Q3892,ctaNombre,0)),"⚠ Cuenta no registrada",IF(AND(OR(P3892="Gasto",P3892="Reembolso"),D3892=""),"⚠ Falta categoría",IF(AND(D3892&lt;&gt;"",E3892&lt;&gt;"",ISNA(MATCH(D3892&amp;"|"&amp;E3892,catClave,0))),"⚠ Subcategoría no corresponde",IF(AND(OR(P3892="Transferencia",P3892="Pago tarjeta"),K3892=""),"⚠ Falta cuenta destino",IF(AND(K3892&lt;&gt;"",P3892&lt;&gt;"Transferencia",P3892&lt;&gt;"Pago tarjeta"),"⚠ Destino solo aplica a transferencias",IF(AND(K3892&lt;&gt;"",K3892=Q3892),"⚠ Origen igual a destino",IF(AND(K3892&lt;&gt;"",ISNA(MATCH(K3892,ctaNombre,0))),"⚠ Destino no registrado",IF(AND(P3892="Pago tarjeta",AE3892&lt;&gt;"Tarjeta de crédito"),"⚠ El destino debe ser tarjeta de crédito",IF(AND(P3892="Gasto",E3892="Depósitos y retiros"),"⚠ Usa tipo Transferencia",IF(AND(P3892="Resultado trading",AD3892&lt;&gt;"Cuenta de trading"),"⚠ Usa una cuenta de trading",IF(AND(G3892&lt;=0,P3892&lt;&gt;"Ajuste",P3892&lt;&gt;"Resultado trading"),"⚠ El monto debe ser positivo","✓")))))))))))))))</f>
        <v/>
      </c>
      <c r="P3892" s="52">
        <f>IF(OR(B3892="",G3892=""),"",IF(C3892="","Gasto",C3892))</f>
        <v/>
      </c>
      <c r="Q3892" s="52">
        <f>IF(P3892="","",IF(J3892&lt;&gt;"",J3892,CuentaPred&amp;""))</f>
        <v/>
      </c>
      <c r="R3892" s="52">
        <f>IF(P3892="","",IF(ISNUMBER(I3892),I3892,TasaUSD))</f>
        <v/>
      </c>
      <c r="S3892" s="53">
        <f>IF(P3892="","",IF(H3892="USD",G3892*R3892,G3892))</f>
        <v/>
      </c>
      <c r="T3892" s="53">
        <f>IF(P3892="","",IF(H3892="USD",G3892,IF(R3892&gt;0,G3892/R3892,0)))</f>
        <v/>
      </c>
      <c r="U3892" s="53">
        <f>IF(P3892="","",IF(P3892="Gasto",S3892,IF(P3892="Reembolso",-S3892,0)))</f>
        <v/>
      </c>
      <c r="V3892" s="53">
        <f>IF(P3892="","",IF(P3892="Ingreso",S3892,0))</f>
        <v/>
      </c>
      <c r="W3892" s="53">
        <f>IF(P3892="","",IF(P3892="Resultado trading",S3892,0))</f>
        <v/>
      </c>
      <c r="X3892" s="52">
        <f>IF(OR(P3892="Gasto",P3892="Reembolso"),IF(M3892&lt;&gt;"",M3892,IFERROR(INDEX(catClasif,MATCH(D3892&amp;"|"&amp;E3892,catClave,0))&amp;"","Variable")),"")</f>
        <v/>
      </c>
      <c r="Y3892" s="52">
        <f>IF(P3892="","",IFERROR(INDEX(catGrupo,MATCH(D3892&amp;"|"&amp;E3892,catClave,0))&amp;"",""))</f>
        <v/>
      </c>
      <c r="Z3892" s="52">
        <f>IF(P3892="","",WEEKDAY(B3892,2))</f>
        <v/>
      </c>
      <c r="AA3892" s="52">
        <f>IF(P3892="","",IF(AND(P3892="Gasto",X3892="Variable",D3892&lt;&gt;catTrading,S3892&gt;0,S3892&lt;=Umbral),1,0))</f>
        <v/>
      </c>
      <c r="AB3892" s="52">
        <f>IF(OR(P3892="",Q3892=""),"",IFERROR(IF(INDEX(ctaVinc,MATCH(Q3892,ctaNombre,0))&amp;""&lt;&gt;"",INDEX(ctaVinc,MATCH(Q3892,ctaNombre,0))&amp;"",Q3892),Q3892))</f>
        <v/>
      </c>
      <c r="AC3892" s="52">
        <f>IF(OR(K3892="",AND(P3892&lt;&gt;"Transferencia",P3892&lt;&gt;"Pago tarjeta")),"",IFERROR(IF(INDEX(ctaVinc,MATCH(K3892,ctaNombre,0))&amp;""&lt;&gt;"",INDEX(ctaVinc,MATCH(K3892,ctaNombre,0))&amp;"",K3892),K3892))</f>
        <v/>
      </c>
      <c r="AD3892" s="52">
        <f>IF(AB3892="","",IFERROR(INDEX(ctaTipo,MATCH(AB3892,ctaNombre,0))&amp;"",""))</f>
        <v/>
      </c>
      <c r="AE3892" s="52">
        <f>IF(AC3892="","",IFERROR(INDEX(ctaTipo,MATCH(AC3892,ctaNombre,0))&amp;"",""))</f>
        <v/>
      </c>
      <c r="AF3892" s="53">
        <f>IF(OR(P3892="",AB3892=""),"",IF(OR(P3892="Gasto",P3892="Transferencia",P3892="Pago tarjeta"),-1,1)*IF(IFERROR(INDEX(ctaMoneda,MATCH(AB3892,ctaNombre,0))&amp;"","DOP")="USD",T3892,S3892))</f>
        <v/>
      </c>
      <c r="AG3892" s="53">
        <f>IF(AC3892="","",IF(IFERROR(INDEX(ctaMoneda,MATCH(AC3892,ctaNombre,0))&amp;"","DOP")="USD",T3892,S3892))</f>
        <v/>
      </c>
      <c r="AH3892" s="53">
        <f>IF(P3892="","",IF(AND(AD3892&lt;&gt;"",COUNTIFS(tcTipo,AD3892,tcLiq,"Sí")&gt;0),IF(OR(P3892="Gasto",P3892="Transferencia",P3892="Pago tarjeta"),-1,1)*S3892,0)+IF(AND(AE3892&lt;&gt;"",COUNTIFS(tcTipo,AE3892,tcLiq,"Sí")&gt;0),S3892,0))</f>
        <v/>
      </c>
      <c r="AI3892" s="52">
        <f>IF(OR(L3892="",P3892=""),"",IF(COUNTIFS(L$6:L3892,L3892,P$6:P3892,"?*")=1,MAX(AI$5:AI3891)+1,""))</f>
        <v/>
      </c>
    </row>
    <row r="3893">
      <c r="B3893" s="47" t="n"/>
      <c r="C3893" s="48" t="n"/>
      <c r="D3893" s="48" t="n"/>
      <c r="E3893" s="48" t="n"/>
      <c r="F3893" s="48" t="n"/>
      <c r="G3893" s="49" t="n"/>
      <c r="H3893" s="48" t="n"/>
      <c r="I3893" s="50" t="n"/>
      <c r="J3893" s="48" t="n"/>
      <c r="K3893" s="48" t="n"/>
      <c r="L3893" s="48" t="n"/>
      <c r="M3893" s="48" t="n"/>
      <c r="N3893" s="48" t="n"/>
      <c r="O3893" s="51">
        <f>IF(AND(B3893="",G3893="",C3893="",D3893="",J3893=""),"",IF(B3893="","⚠ Falta fecha",IF(G3893="","⚠ Falta monto",IF(Q3893="","⚠ Falta cuenta",IF(ISNA(MATCH(Q3893,ctaNombre,0)),"⚠ Cuenta no registrada",IF(AND(OR(P3893="Gasto",P3893="Reembolso"),D3893=""),"⚠ Falta categoría",IF(AND(D3893&lt;&gt;"",E3893&lt;&gt;"",ISNA(MATCH(D3893&amp;"|"&amp;E3893,catClave,0))),"⚠ Subcategoría no corresponde",IF(AND(OR(P3893="Transferencia",P3893="Pago tarjeta"),K3893=""),"⚠ Falta cuenta destino",IF(AND(K3893&lt;&gt;"",P3893&lt;&gt;"Transferencia",P3893&lt;&gt;"Pago tarjeta"),"⚠ Destino solo aplica a transferencias",IF(AND(K3893&lt;&gt;"",K3893=Q3893),"⚠ Origen igual a destino",IF(AND(K3893&lt;&gt;"",ISNA(MATCH(K3893,ctaNombre,0))),"⚠ Destino no registrado",IF(AND(P3893="Pago tarjeta",AE3893&lt;&gt;"Tarjeta de crédito"),"⚠ El destino debe ser tarjeta de crédito",IF(AND(P3893="Gasto",E3893="Depósitos y retiros"),"⚠ Usa tipo Transferencia",IF(AND(P3893="Resultado trading",AD3893&lt;&gt;"Cuenta de trading"),"⚠ Usa una cuenta de trading",IF(AND(G3893&lt;=0,P3893&lt;&gt;"Ajuste",P3893&lt;&gt;"Resultado trading"),"⚠ El monto debe ser positivo","✓")))))))))))))))</f>
        <v/>
      </c>
      <c r="P3893" s="52">
        <f>IF(OR(B3893="",G3893=""),"",IF(C3893="","Gasto",C3893))</f>
        <v/>
      </c>
      <c r="Q3893" s="52">
        <f>IF(P3893="","",IF(J3893&lt;&gt;"",J3893,CuentaPred&amp;""))</f>
        <v/>
      </c>
      <c r="R3893" s="52">
        <f>IF(P3893="","",IF(ISNUMBER(I3893),I3893,TasaUSD))</f>
        <v/>
      </c>
      <c r="S3893" s="53">
        <f>IF(P3893="","",IF(H3893="USD",G3893*R3893,G3893))</f>
        <v/>
      </c>
      <c r="T3893" s="53">
        <f>IF(P3893="","",IF(H3893="USD",G3893,IF(R3893&gt;0,G3893/R3893,0)))</f>
        <v/>
      </c>
      <c r="U3893" s="53">
        <f>IF(P3893="","",IF(P3893="Gasto",S3893,IF(P3893="Reembolso",-S3893,0)))</f>
        <v/>
      </c>
      <c r="V3893" s="53">
        <f>IF(P3893="","",IF(P3893="Ingreso",S3893,0))</f>
        <v/>
      </c>
      <c r="W3893" s="53">
        <f>IF(P3893="","",IF(P3893="Resultado trading",S3893,0))</f>
        <v/>
      </c>
      <c r="X3893" s="52">
        <f>IF(OR(P3893="Gasto",P3893="Reembolso"),IF(M3893&lt;&gt;"",M3893,IFERROR(INDEX(catClasif,MATCH(D3893&amp;"|"&amp;E3893,catClave,0))&amp;"","Variable")),"")</f>
        <v/>
      </c>
      <c r="Y3893" s="52">
        <f>IF(P3893="","",IFERROR(INDEX(catGrupo,MATCH(D3893&amp;"|"&amp;E3893,catClave,0))&amp;"",""))</f>
        <v/>
      </c>
      <c r="Z3893" s="52">
        <f>IF(P3893="","",WEEKDAY(B3893,2))</f>
        <v/>
      </c>
      <c r="AA3893" s="52">
        <f>IF(P3893="","",IF(AND(P3893="Gasto",X3893="Variable",D3893&lt;&gt;catTrading,S3893&gt;0,S3893&lt;=Umbral),1,0))</f>
        <v/>
      </c>
      <c r="AB3893" s="52">
        <f>IF(OR(P3893="",Q3893=""),"",IFERROR(IF(INDEX(ctaVinc,MATCH(Q3893,ctaNombre,0))&amp;""&lt;&gt;"",INDEX(ctaVinc,MATCH(Q3893,ctaNombre,0))&amp;"",Q3893),Q3893))</f>
        <v/>
      </c>
      <c r="AC3893" s="52">
        <f>IF(OR(K3893="",AND(P3893&lt;&gt;"Transferencia",P3893&lt;&gt;"Pago tarjeta")),"",IFERROR(IF(INDEX(ctaVinc,MATCH(K3893,ctaNombre,0))&amp;""&lt;&gt;"",INDEX(ctaVinc,MATCH(K3893,ctaNombre,0))&amp;"",K3893),K3893))</f>
        <v/>
      </c>
      <c r="AD3893" s="52">
        <f>IF(AB3893="","",IFERROR(INDEX(ctaTipo,MATCH(AB3893,ctaNombre,0))&amp;"",""))</f>
        <v/>
      </c>
      <c r="AE3893" s="52">
        <f>IF(AC3893="","",IFERROR(INDEX(ctaTipo,MATCH(AC3893,ctaNombre,0))&amp;"",""))</f>
        <v/>
      </c>
      <c r="AF3893" s="53">
        <f>IF(OR(P3893="",AB3893=""),"",IF(OR(P3893="Gasto",P3893="Transferencia",P3893="Pago tarjeta"),-1,1)*IF(IFERROR(INDEX(ctaMoneda,MATCH(AB3893,ctaNombre,0))&amp;"","DOP")="USD",T3893,S3893))</f>
        <v/>
      </c>
      <c r="AG3893" s="53">
        <f>IF(AC3893="","",IF(IFERROR(INDEX(ctaMoneda,MATCH(AC3893,ctaNombre,0))&amp;"","DOP")="USD",T3893,S3893))</f>
        <v/>
      </c>
      <c r="AH3893" s="53">
        <f>IF(P3893="","",IF(AND(AD3893&lt;&gt;"",COUNTIFS(tcTipo,AD3893,tcLiq,"Sí")&gt;0),IF(OR(P3893="Gasto",P3893="Transferencia",P3893="Pago tarjeta"),-1,1)*S3893,0)+IF(AND(AE3893&lt;&gt;"",COUNTIFS(tcTipo,AE3893,tcLiq,"Sí")&gt;0),S3893,0))</f>
        <v/>
      </c>
      <c r="AI3893" s="52">
        <f>IF(OR(L3893="",P3893=""),"",IF(COUNTIFS(L$6:L3893,L3893,P$6:P3893,"?*")=1,MAX(AI$5:AI3892)+1,""))</f>
        <v/>
      </c>
    </row>
    <row r="3894">
      <c r="B3894" s="47" t="n"/>
      <c r="C3894" s="48" t="n"/>
      <c r="D3894" s="48" t="n"/>
      <c r="E3894" s="48" t="n"/>
      <c r="F3894" s="48" t="n"/>
      <c r="G3894" s="49" t="n"/>
      <c r="H3894" s="48" t="n"/>
      <c r="I3894" s="50" t="n"/>
      <c r="J3894" s="48" t="n"/>
      <c r="K3894" s="48" t="n"/>
      <c r="L3894" s="48" t="n"/>
      <c r="M3894" s="48" t="n"/>
      <c r="N3894" s="48" t="n"/>
      <c r="O3894" s="51">
        <f>IF(AND(B3894="",G3894="",C3894="",D3894="",J3894=""),"",IF(B3894="","⚠ Falta fecha",IF(G3894="","⚠ Falta monto",IF(Q3894="","⚠ Falta cuenta",IF(ISNA(MATCH(Q3894,ctaNombre,0)),"⚠ Cuenta no registrada",IF(AND(OR(P3894="Gasto",P3894="Reembolso"),D3894=""),"⚠ Falta categoría",IF(AND(D3894&lt;&gt;"",E3894&lt;&gt;"",ISNA(MATCH(D3894&amp;"|"&amp;E3894,catClave,0))),"⚠ Subcategoría no corresponde",IF(AND(OR(P3894="Transferencia",P3894="Pago tarjeta"),K3894=""),"⚠ Falta cuenta destino",IF(AND(K3894&lt;&gt;"",P3894&lt;&gt;"Transferencia",P3894&lt;&gt;"Pago tarjeta"),"⚠ Destino solo aplica a transferencias",IF(AND(K3894&lt;&gt;"",K3894=Q3894),"⚠ Origen igual a destino",IF(AND(K3894&lt;&gt;"",ISNA(MATCH(K3894,ctaNombre,0))),"⚠ Destino no registrado",IF(AND(P3894="Pago tarjeta",AE3894&lt;&gt;"Tarjeta de crédito"),"⚠ El destino debe ser tarjeta de crédito",IF(AND(P3894="Gasto",E3894="Depósitos y retiros"),"⚠ Usa tipo Transferencia",IF(AND(P3894="Resultado trading",AD3894&lt;&gt;"Cuenta de trading"),"⚠ Usa una cuenta de trading",IF(AND(G3894&lt;=0,P3894&lt;&gt;"Ajuste",P3894&lt;&gt;"Resultado trading"),"⚠ El monto debe ser positivo","✓")))))))))))))))</f>
        <v/>
      </c>
      <c r="P3894" s="52">
        <f>IF(OR(B3894="",G3894=""),"",IF(C3894="","Gasto",C3894))</f>
        <v/>
      </c>
      <c r="Q3894" s="52">
        <f>IF(P3894="","",IF(J3894&lt;&gt;"",J3894,CuentaPred&amp;""))</f>
        <v/>
      </c>
      <c r="R3894" s="52">
        <f>IF(P3894="","",IF(ISNUMBER(I3894),I3894,TasaUSD))</f>
        <v/>
      </c>
      <c r="S3894" s="53">
        <f>IF(P3894="","",IF(H3894="USD",G3894*R3894,G3894))</f>
        <v/>
      </c>
      <c r="T3894" s="53">
        <f>IF(P3894="","",IF(H3894="USD",G3894,IF(R3894&gt;0,G3894/R3894,0)))</f>
        <v/>
      </c>
      <c r="U3894" s="53">
        <f>IF(P3894="","",IF(P3894="Gasto",S3894,IF(P3894="Reembolso",-S3894,0)))</f>
        <v/>
      </c>
      <c r="V3894" s="53">
        <f>IF(P3894="","",IF(P3894="Ingreso",S3894,0))</f>
        <v/>
      </c>
      <c r="W3894" s="53">
        <f>IF(P3894="","",IF(P3894="Resultado trading",S3894,0))</f>
        <v/>
      </c>
      <c r="X3894" s="52">
        <f>IF(OR(P3894="Gasto",P3894="Reembolso"),IF(M3894&lt;&gt;"",M3894,IFERROR(INDEX(catClasif,MATCH(D3894&amp;"|"&amp;E3894,catClave,0))&amp;"","Variable")),"")</f>
        <v/>
      </c>
      <c r="Y3894" s="52">
        <f>IF(P3894="","",IFERROR(INDEX(catGrupo,MATCH(D3894&amp;"|"&amp;E3894,catClave,0))&amp;"",""))</f>
        <v/>
      </c>
      <c r="Z3894" s="52">
        <f>IF(P3894="","",WEEKDAY(B3894,2))</f>
        <v/>
      </c>
      <c r="AA3894" s="52">
        <f>IF(P3894="","",IF(AND(P3894="Gasto",X3894="Variable",D3894&lt;&gt;catTrading,S3894&gt;0,S3894&lt;=Umbral),1,0))</f>
        <v/>
      </c>
      <c r="AB3894" s="52">
        <f>IF(OR(P3894="",Q3894=""),"",IFERROR(IF(INDEX(ctaVinc,MATCH(Q3894,ctaNombre,0))&amp;""&lt;&gt;"",INDEX(ctaVinc,MATCH(Q3894,ctaNombre,0))&amp;"",Q3894),Q3894))</f>
        <v/>
      </c>
      <c r="AC3894" s="52">
        <f>IF(OR(K3894="",AND(P3894&lt;&gt;"Transferencia",P3894&lt;&gt;"Pago tarjeta")),"",IFERROR(IF(INDEX(ctaVinc,MATCH(K3894,ctaNombre,0))&amp;""&lt;&gt;"",INDEX(ctaVinc,MATCH(K3894,ctaNombre,0))&amp;"",K3894),K3894))</f>
        <v/>
      </c>
      <c r="AD3894" s="52">
        <f>IF(AB3894="","",IFERROR(INDEX(ctaTipo,MATCH(AB3894,ctaNombre,0))&amp;"",""))</f>
        <v/>
      </c>
      <c r="AE3894" s="52">
        <f>IF(AC3894="","",IFERROR(INDEX(ctaTipo,MATCH(AC3894,ctaNombre,0))&amp;"",""))</f>
        <v/>
      </c>
      <c r="AF3894" s="53">
        <f>IF(OR(P3894="",AB3894=""),"",IF(OR(P3894="Gasto",P3894="Transferencia",P3894="Pago tarjeta"),-1,1)*IF(IFERROR(INDEX(ctaMoneda,MATCH(AB3894,ctaNombre,0))&amp;"","DOP")="USD",T3894,S3894))</f>
        <v/>
      </c>
      <c r="AG3894" s="53">
        <f>IF(AC3894="","",IF(IFERROR(INDEX(ctaMoneda,MATCH(AC3894,ctaNombre,0))&amp;"","DOP")="USD",T3894,S3894))</f>
        <v/>
      </c>
      <c r="AH3894" s="53">
        <f>IF(P3894="","",IF(AND(AD3894&lt;&gt;"",COUNTIFS(tcTipo,AD3894,tcLiq,"Sí")&gt;0),IF(OR(P3894="Gasto",P3894="Transferencia",P3894="Pago tarjeta"),-1,1)*S3894,0)+IF(AND(AE3894&lt;&gt;"",COUNTIFS(tcTipo,AE3894,tcLiq,"Sí")&gt;0),S3894,0))</f>
        <v/>
      </c>
      <c r="AI3894" s="52">
        <f>IF(OR(L3894="",P3894=""),"",IF(COUNTIFS(L$6:L3894,L3894,P$6:P3894,"?*")=1,MAX(AI$5:AI3893)+1,""))</f>
        <v/>
      </c>
    </row>
    <row r="3895">
      <c r="B3895" s="47" t="n"/>
      <c r="C3895" s="48" t="n"/>
      <c r="D3895" s="48" t="n"/>
      <c r="E3895" s="48" t="n"/>
      <c r="F3895" s="48" t="n"/>
      <c r="G3895" s="49" t="n"/>
      <c r="H3895" s="48" t="n"/>
      <c r="I3895" s="50" t="n"/>
      <c r="J3895" s="48" t="n"/>
      <c r="K3895" s="48" t="n"/>
      <c r="L3895" s="48" t="n"/>
      <c r="M3895" s="48" t="n"/>
      <c r="N3895" s="48" t="n"/>
      <c r="O3895" s="51">
        <f>IF(AND(B3895="",G3895="",C3895="",D3895="",J3895=""),"",IF(B3895="","⚠ Falta fecha",IF(G3895="","⚠ Falta monto",IF(Q3895="","⚠ Falta cuenta",IF(ISNA(MATCH(Q3895,ctaNombre,0)),"⚠ Cuenta no registrada",IF(AND(OR(P3895="Gasto",P3895="Reembolso"),D3895=""),"⚠ Falta categoría",IF(AND(D3895&lt;&gt;"",E3895&lt;&gt;"",ISNA(MATCH(D3895&amp;"|"&amp;E3895,catClave,0))),"⚠ Subcategoría no corresponde",IF(AND(OR(P3895="Transferencia",P3895="Pago tarjeta"),K3895=""),"⚠ Falta cuenta destino",IF(AND(K3895&lt;&gt;"",P3895&lt;&gt;"Transferencia",P3895&lt;&gt;"Pago tarjeta"),"⚠ Destino solo aplica a transferencias",IF(AND(K3895&lt;&gt;"",K3895=Q3895),"⚠ Origen igual a destino",IF(AND(K3895&lt;&gt;"",ISNA(MATCH(K3895,ctaNombre,0))),"⚠ Destino no registrado",IF(AND(P3895="Pago tarjeta",AE3895&lt;&gt;"Tarjeta de crédito"),"⚠ El destino debe ser tarjeta de crédito",IF(AND(P3895="Gasto",E3895="Depósitos y retiros"),"⚠ Usa tipo Transferencia",IF(AND(P3895="Resultado trading",AD3895&lt;&gt;"Cuenta de trading"),"⚠ Usa una cuenta de trading",IF(AND(G3895&lt;=0,P3895&lt;&gt;"Ajuste",P3895&lt;&gt;"Resultado trading"),"⚠ El monto debe ser positivo","✓")))))))))))))))</f>
        <v/>
      </c>
      <c r="P3895" s="52">
        <f>IF(OR(B3895="",G3895=""),"",IF(C3895="","Gasto",C3895))</f>
        <v/>
      </c>
      <c r="Q3895" s="52">
        <f>IF(P3895="","",IF(J3895&lt;&gt;"",J3895,CuentaPred&amp;""))</f>
        <v/>
      </c>
      <c r="R3895" s="52">
        <f>IF(P3895="","",IF(ISNUMBER(I3895),I3895,TasaUSD))</f>
        <v/>
      </c>
      <c r="S3895" s="53">
        <f>IF(P3895="","",IF(H3895="USD",G3895*R3895,G3895))</f>
        <v/>
      </c>
      <c r="T3895" s="53">
        <f>IF(P3895="","",IF(H3895="USD",G3895,IF(R3895&gt;0,G3895/R3895,0)))</f>
        <v/>
      </c>
      <c r="U3895" s="53">
        <f>IF(P3895="","",IF(P3895="Gasto",S3895,IF(P3895="Reembolso",-S3895,0)))</f>
        <v/>
      </c>
      <c r="V3895" s="53">
        <f>IF(P3895="","",IF(P3895="Ingreso",S3895,0))</f>
        <v/>
      </c>
      <c r="W3895" s="53">
        <f>IF(P3895="","",IF(P3895="Resultado trading",S3895,0))</f>
        <v/>
      </c>
      <c r="X3895" s="52">
        <f>IF(OR(P3895="Gasto",P3895="Reembolso"),IF(M3895&lt;&gt;"",M3895,IFERROR(INDEX(catClasif,MATCH(D3895&amp;"|"&amp;E3895,catClave,0))&amp;"","Variable")),"")</f>
        <v/>
      </c>
      <c r="Y3895" s="52">
        <f>IF(P3895="","",IFERROR(INDEX(catGrupo,MATCH(D3895&amp;"|"&amp;E3895,catClave,0))&amp;"",""))</f>
        <v/>
      </c>
      <c r="Z3895" s="52">
        <f>IF(P3895="","",WEEKDAY(B3895,2))</f>
        <v/>
      </c>
      <c r="AA3895" s="52">
        <f>IF(P3895="","",IF(AND(P3895="Gasto",X3895="Variable",D3895&lt;&gt;catTrading,S3895&gt;0,S3895&lt;=Umbral),1,0))</f>
        <v/>
      </c>
      <c r="AB3895" s="52">
        <f>IF(OR(P3895="",Q3895=""),"",IFERROR(IF(INDEX(ctaVinc,MATCH(Q3895,ctaNombre,0))&amp;""&lt;&gt;"",INDEX(ctaVinc,MATCH(Q3895,ctaNombre,0))&amp;"",Q3895),Q3895))</f>
        <v/>
      </c>
      <c r="AC3895" s="52">
        <f>IF(OR(K3895="",AND(P3895&lt;&gt;"Transferencia",P3895&lt;&gt;"Pago tarjeta")),"",IFERROR(IF(INDEX(ctaVinc,MATCH(K3895,ctaNombre,0))&amp;""&lt;&gt;"",INDEX(ctaVinc,MATCH(K3895,ctaNombre,0))&amp;"",K3895),K3895))</f>
        <v/>
      </c>
      <c r="AD3895" s="52">
        <f>IF(AB3895="","",IFERROR(INDEX(ctaTipo,MATCH(AB3895,ctaNombre,0))&amp;"",""))</f>
        <v/>
      </c>
      <c r="AE3895" s="52">
        <f>IF(AC3895="","",IFERROR(INDEX(ctaTipo,MATCH(AC3895,ctaNombre,0))&amp;"",""))</f>
        <v/>
      </c>
      <c r="AF3895" s="53">
        <f>IF(OR(P3895="",AB3895=""),"",IF(OR(P3895="Gasto",P3895="Transferencia",P3895="Pago tarjeta"),-1,1)*IF(IFERROR(INDEX(ctaMoneda,MATCH(AB3895,ctaNombre,0))&amp;"","DOP")="USD",T3895,S3895))</f>
        <v/>
      </c>
      <c r="AG3895" s="53">
        <f>IF(AC3895="","",IF(IFERROR(INDEX(ctaMoneda,MATCH(AC3895,ctaNombre,0))&amp;"","DOP")="USD",T3895,S3895))</f>
        <v/>
      </c>
      <c r="AH3895" s="53">
        <f>IF(P3895="","",IF(AND(AD3895&lt;&gt;"",COUNTIFS(tcTipo,AD3895,tcLiq,"Sí")&gt;0),IF(OR(P3895="Gasto",P3895="Transferencia",P3895="Pago tarjeta"),-1,1)*S3895,0)+IF(AND(AE3895&lt;&gt;"",COUNTIFS(tcTipo,AE3895,tcLiq,"Sí")&gt;0),S3895,0))</f>
        <v/>
      </c>
      <c r="AI3895" s="52">
        <f>IF(OR(L3895="",P3895=""),"",IF(COUNTIFS(L$6:L3895,L3895,P$6:P3895,"?*")=1,MAX(AI$5:AI3894)+1,""))</f>
        <v/>
      </c>
    </row>
    <row r="3896">
      <c r="B3896" s="47" t="n"/>
      <c r="C3896" s="48" t="n"/>
      <c r="D3896" s="48" t="n"/>
      <c r="E3896" s="48" t="n"/>
      <c r="F3896" s="48" t="n"/>
      <c r="G3896" s="49" t="n"/>
      <c r="H3896" s="48" t="n"/>
      <c r="I3896" s="50" t="n"/>
      <c r="J3896" s="48" t="n"/>
      <c r="K3896" s="48" t="n"/>
      <c r="L3896" s="48" t="n"/>
      <c r="M3896" s="48" t="n"/>
      <c r="N3896" s="48" t="n"/>
      <c r="O3896" s="51">
        <f>IF(AND(B3896="",G3896="",C3896="",D3896="",J3896=""),"",IF(B3896="","⚠ Falta fecha",IF(G3896="","⚠ Falta monto",IF(Q3896="","⚠ Falta cuenta",IF(ISNA(MATCH(Q3896,ctaNombre,0)),"⚠ Cuenta no registrada",IF(AND(OR(P3896="Gasto",P3896="Reembolso"),D3896=""),"⚠ Falta categoría",IF(AND(D3896&lt;&gt;"",E3896&lt;&gt;"",ISNA(MATCH(D3896&amp;"|"&amp;E3896,catClave,0))),"⚠ Subcategoría no corresponde",IF(AND(OR(P3896="Transferencia",P3896="Pago tarjeta"),K3896=""),"⚠ Falta cuenta destino",IF(AND(K3896&lt;&gt;"",P3896&lt;&gt;"Transferencia",P3896&lt;&gt;"Pago tarjeta"),"⚠ Destino solo aplica a transferencias",IF(AND(K3896&lt;&gt;"",K3896=Q3896),"⚠ Origen igual a destino",IF(AND(K3896&lt;&gt;"",ISNA(MATCH(K3896,ctaNombre,0))),"⚠ Destino no registrado",IF(AND(P3896="Pago tarjeta",AE3896&lt;&gt;"Tarjeta de crédito"),"⚠ El destino debe ser tarjeta de crédito",IF(AND(P3896="Gasto",E3896="Depósitos y retiros"),"⚠ Usa tipo Transferencia",IF(AND(P3896="Resultado trading",AD3896&lt;&gt;"Cuenta de trading"),"⚠ Usa una cuenta de trading",IF(AND(G3896&lt;=0,P3896&lt;&gt;"Ajuste",P3896&lt;&gt;"Resultado trading"),"⚠ El monto debe ser positivo","✓")))))))))))))))</f>
        <v/>
      </c>
      <c r="P3896" s="52">
        <f>IF(OR(B3896="",G3896=""),"",IF(C3896="","Gasto",C3896))</f>
        <v/>
      </c>
      <c r="Q3896" s="52">
        <f>IF(P3896="","",IF(J3896&lt;&gt;"",J3896,CuentaPred&amp;""))</f>
        <v/>
      </c>
      <c r="R3896" s="52">
        <f>IF(P3896="","",IF(ISNUMBER(I3896),I3896,TasaUSD))</f>
        <v/>
      </c>
      <c r="S3896" s="53">
        <f>IF(P3896="","",IF(H3896="USD",G3896*R3896,G3896))</f>
        <v/>
      </c>
      <c r="T3896" s="53">
        <f>IF(P3896="","",IF(H3896="USD",G3896,IF(R3896&gt;0,G3896/R3896,0)))</f>
        <v/>
      </c>
      <c r="U3896" s="53">
        <f>IF(P3896="","",IF(P3896="Gasto",S3896,IF(P3896="Reembolso",-S3896,0)))</f>
        <v/>
      </c>
      <c r="V3896" s="53">
        <f>IF(P3896="","",IF(P3896="Ingreso",S3896,0))</f>
        <v/>
      </c>
      <c r="W3896" s="53">
        <f>IF(P3896="","",IF(P3896="Resultado trading",S3896,0))</f>
        <v/>
      </c>
      <c r="X3896" s="52">
        <f>IF(OR(P3896="Gasto",P3896="Reembolso"),IF(M3896&lt;&gt;"",M3896,IFERROR(INDEX(catClasif,MATCH(D3896&amp;"|"&amp;E3896,catClave,0))&amp;"","Variable")),"")</f>
        <v/>
      </c>
      <c r="Y3896" s="52">
        <f>IF(P3896="","",IFERROR(INDEX(catGrupo,MATCH(D3896&amp;"|"&amp;E3896,catClave,0))&amp;"",""))</f>
        <v/>
      </c>
      <c r="Z3896" s="52">
        <f>IF(P3896="","",WEEKDAY(B3896,2))</f>
        <v/>
      </c>
      <c r="AA3896" s="52">
        <f>IF(P3896="","",IF(AND(P3896="Gasto",X3896="Variable",D3896&lt;&gt;catTrading,S3896&gt;0,S3896&lt;=Umbral),1,0))</f>
        <v/>
      </c>
      <c r="AB3896" s="52">
        <f>IF(OR(P3896="",Q3896=""),"",IFERROR(IF(INDEX(ctaVinc,MATCH(Q3896,ctaNombre,0))&amp;""&lt;&gt;"",INDEX(ctaVinc,MATCH(Q3896,ctaNombre,0))&amp;"",Q3896),Q3896))</f>
        <v/>
      </c>
      <c r="AC3896" s="52">
        <f>IF(OR(K3896="",AND(P3896&lt;&gt;"Transferencia",P3896&lt;&gt;"Pago tarjeta")),"",IFERROR(IF(INDEX(ctaVinc,MATCH(K3896,ctaNombre,0))&amp;""&lt;&gt;"",INDEX(ctaVinc,MATCH(K3896,ctaNombre,0))&amp;"",K3896),K3896))</f>
        <v/>
      </c>
      <c r="AD3896" s="52">
        <f>IF(AB3896="","",IFERROR(INDEX(ctaTipo,MATCH(AB3896,ctaNombre,0))&amp;"",""))</f>
        <v/>
      </c>
      <c r="AE3896" s="52">
        <f>IF(AC3896="","",IFERROR(INDEX(ctaTipo,MATCH(AC3896,ctaNombre,0))&amp;"",""))</f>
        <v/>
      </c>
      <c r="AF3896" s="53">
        <f>IF(OR(P3896="",AB3896=""),"",IF(OR(P3896="Gasto",P3896="Transferencia",P3896="Pago tarjeta"),-1,1)*IF(IFERROR(INDEX(ctaMoneda,MATCH(AB3896,ctaNombre,0))&amp;"","DOP")="USD",T3896,S3896))</f>
        <v/>
      </c>
      <c r="AG3896" s="53">
        <f>IF(AC3896="","",IF(IFERROR(INDEX(ctaMoneda,MATCH(AC3896,ctaNombre,0))&amp;"","DOP")="USD",T3896,S3896))</f>
        <v/>
      </c>
      <c r="AH3896" s="53">
        <f>IF(P3896="","",IF(AND(AD3896&lt;&gt;"",COUNTIFS(tcTipo,AD3896,tcLiq,"Sí")&gt;0),IF(OR(P3896="Gasto",P3896="Transferencia",P3896="Pago tarjeta"),-1,1)*S3896,0)+IF(AND(AE3896&lt;&gt;"",COUNTIFS(tcTipo,AE3896,tcLiq,"Sí")&gt;0),S3896,0))</f>
        <v/>
      </c>
      <c r="AI3896" s="52">
        <f>IF(OR(L3896="",P3896=""),"",IF(COUNTIFS(L$6:L3896,L3896,P$6:P3896,"?*")=1,MAX(AI$5:AI3895)+1,""))</f>
        <v/>
      </c>
    </row>
    <row r="3897">
      <c r="B3897" s="47" t="n"/>
      <c r="C3897" s="48" t="n"/>
      <c r="D3897" s="48" t="n"/>
      <c r="E3897" s="48" t="n"/>
      <c r="F3897" s="48" t="n"/>
      <c r="G3897" s="49" t="n"/>
      <c r="H3897" s="48" t="n"/>
      <c r="I3897" s="50" t="n"/>
      <c r="J3897" s="48" t="n"/>
      <c r="K3897" s="48" t="n"/>
      <c r="L3897" s="48" t="n"/>
      <c r="M3897" s="48" t="n"/>
      <c r="N3897" s="48" t="n"/>
      <c r="O3897" s="51">
        <f>IF(AND(B3897="",G3897="",C3897="",D3897="",J3897=""),"",IF(B3897="","⚠ Falta fecha",IF(G3897="","⚠ Falta monto",IF(Q3897="","⚠ Falta cuenta",IF(ISNA(MATCH(Q3897,ctaNombre,0)),"⚠ Cuenta no registrada",IF(AND(OR(P3897="Gasto",P3897="Reembolso"),D3897=""),"⚠ Falta categoría",IF(AND(D3897&lt;&gt;"",E3897&lt;&gt;"",ISNA(MATCH(D3897&amp;"|"&amp;E3897,catClave,0))),"⚠ Subcategoría no corresponde",IF(AND(OR(P3897="Transferencia",P3897="Pago tarjeta"),K3897=""),"⚠ Falta cuenta destino",IF(AND(K3897&lt;&gt;"",P3897&lt;&gt;"Transferencia",P3897&lt;&gt;"Pago tarjeta"),"⚠ Destino solo aplica a transferencias",IF(AND(K3897&lt;&gt;"",K3897=Q3897),"⚠ Origen igual a destino",IF(AND(K3897&lt;&gt;"",ISNA(MATCH(K3897,ctaNombre,0))),"⚠ Destino no registrado",IF(AND(P3897="Pago tarjeta",AE3897&lt;&gt;"Tarjeta de crédito"),"⚠ El destino debe ser tarjeta de crédito",IF(AND(P3897="Gasto",E3897="Depósitos y retiros"),"⚠ Usa tipo Transferencia",IF(AND(P3897="Resultado trading",AD3897&lt;&gt;"Cuenta de trading"),"⚠ Usa una cuenta de trading",IF(AND(G3897&lt;=0,P3897&lt;&gt;"Ajuste",P3897&lt;&gt;"Resultado trading"),"⚠ El monto debe ser positivo","✓")))))))))))))))</f>
        <v/>
      </c>
      <c r="P3897" s="52">
        <f>IF(OR(B3897="",G3897=""),"",IF(C3897="","Gasto",C3897))</f>
        <v/>
      </c>
      <c r="Q3897" s="52">
        <f>IF(P3897="","",IF(J3897&lt;&gt;"",J3897,CuentaPred&amp;""))</f>
        <v/>
      </c>
      <c r="R3897" s="52">
        <f>IF(P3897="","",IF(ISNUMBER(I3897),I3897,TasaUSD))</f>
        <v/>
      </c>
      <c r="S3897" s="53">
        <f>IF(P3897="","",IF(H3897="USD",G3897*R3897,G3897))</f>
        <v/>
      </c>
      <c r="T3897" s="53">
        <f>IF(P3897="","",IF(H3897="USD",G3897,IF(R3897&gt;0,G3897/R3897,0)))</f>
        <v/>
      </c>
      <c r="U3897" s="53">
        <f>IF(P3897="","",IF(P3897="Gasto",S3897,IF(P3897="Reembolso",-S3897,0)))</f>
        <v/>
      </c>
      <c r="V3897" s="53">
        <f>IF(P3897="","",IF(P3897="Ingreso",S3897,0))</f>
        <v/>
      </c>
      <c r="W3897" s="53">
        <f>IF(P3897="","",IF(P3897="Resultado trading",S3897,0))</f>
        <v/>
      </c>
      <c r="X3897" s="52">
        <f>IF(OR(P3897="Gasto",P3897="Reembolso"),IF(M3897&lt;&gt;"",M3897,IFERROR(INDEX(catClasif,MATCH(D3897&amp;"|"&amp;E3897,catClave,0))&amp;"","Variable")),"")</f>
        <v/>
      </c>
      <c r="Y3897" s="52">
        <f>IF(P3897="","",IFERROR(INDEX(catGrupo,MATCH(D3897&amp;"|"&amp;E3897,catClave,0))&amp;"",""))</f>
        <v/>
      </c>
      <c r="Z3897" s="52">
        <f>IF(P3897="","",WEEKDAY(B3897,2))</f>
        <v/>
      </c>
      <c r="AA3897" s="52">
        <f>IF(P3897="","",IF(AND(P3897="Gasto",X3897="Variable",D3897&lt;&gt;catTrading,S3897&gt;0,S3897&lt;=Umbral),1,0))</f>
        <v/>
      </c>
      <c r="AB3897" s="52">
        <f>IF(OR(P3897="",Q3897=""),"",IFERROR(IF(INDEX(ctaVinc,MATCH(Q3897,ctaNombre,0))&amp;""&lt;&gt;"",INDEX(ctaVinc,MATCH(Q3897,ctaNombre,0))&amp;"",Q3897),Q3897))</f>
        <v/>
      </c>
      <c r="AC3897" s="52">
        <f>IF(OR(K3897="",AND(P3897&lt;&gt;"Transferencia",P3897&lt;&gt;"Pago tarjeta")),"",IFERROR(IF(INDEX(ctaVinc,MATCH(K3897,ctaNombre,0))&amp;""&lt;&gt;"",INDEX(ctaVinc,MATCH(K3897,ctaNombre,0))&amp;"",K3897),K3897))</f>
        <v/>
      </c>
      <c r="AD3897" s="52">
        <f>IF(AB3897="","",IFERROR(INDEX(ctaTipo,MATCH(AB3897,ctaNombre,0))&amp;"",""))</f>
        <v/>
      </c>
      <c r="AE3897" s="52">
        <f>IF(AC3897="","",IFERROR(INDEX(ctaTipo,MATCH(AC3897,ctaNombre,0))&amp;"",""))</f>
        <v/>
      </c>
      <c r="AF3897" s="53">
        <f>IF(OR(P3897="",AB3897=""),"",IF(OR(P3897="Gasto",P3897="Transferencia",P3897="Pago tarjeta"),-1,1)*IF(IFERROR(INDEX(ctaMoneda,MATCH(AB3897,ctaNombre,0))&amp;"","DOP")="USD",T3897,S3897))</f>
        <v/>
      </c>
      <c r="AG3897" s="53">
        <f>IF(AC3897="","",IF(IFERROR(INDEX(ctaMoneda,MATCH(AC3897,ctaNombre,0))&amp;"","DOP")="USD",T3897,S3897))</f>
        <v/>
      </c>
      <c r="AH3897" s="53">
        <f>IF(P3897="","",IF(AND(AD3897&lt;&gt;"",COUNTIFS(tcTipo,AD3897,tcLiq,"Sí")&gt;0),IF(OR(P3897="Gasto",P3897="Transferencia",P3897="Pago tarjeta"),-1,1)*S3897,0)+IF(AND(AE3897&lt;&gt;"",COUNTIFS(tcTipo,AE3897,tcLiq,"Sí")&gt;0),S3897,0))</f>
        <v/>
      </c>
      <c r="AI3897" s="52">
        <f>IF(OR(L3897="",P3897=""),"",IF(COUNTIFS(L$6:L3897,L3897,P$6:P3897,"?*")=1,MAX(AI$5:AI3896)+1,""))</f>
        <v/>
      </c>
    </row>
    <row r="3898">
      <c r="B3898" s="47" t="n"/>
      <c r="C3898" s="48" t="n"/>
      <c r="D3898" s="48" t="n"/>
      <c r="E3898" s="48" t="n"/>
      <c r="F3898" s="48" t="n"/>
      <c r="G3898" s="49" t="n"/>
      <c r="H3898" s="48" t="n"/>
      <c r="I3898" s="50" t="n"/>
      <c r="J3898" s="48" t="n"/>
      <c r="K3898" s="48" t="n"/>
      <c r="L3898" s="48" t="n"/>
      <c r="M3898" s="48" t="n"/>
      <c r="N3898" s="48" t="n"/>
      <c r="O3898" s="51">
        <f>IF(AND(B3898="",G3898="",C3898="",D3898="",J3898=""),"",IF(B3898="","⚠ Falta fecha",IF(G3898="","⚠ Falta monto",IF(Q3898="","⚠ Falta cuenta",IF(ISNA(MATCH(Q3898,ctaNombre,0)),"⚠ Cuenta no registrada",IF(AND(OR(P3898="Gasto",P3898="Reembolso"),D3898=""),"⚠ Falta categoría",IF(AND(D3898&lt;&gt;"",E3898&lt;&gt;"",ISNA(MATCH(D3898&amp;"|"&amp;E3898,catClave,0))),"⚠ Subcategoría no corresponde",IF(AND(OR(P3898="Transferencia",P3898="Pago tarjeta"),K3898=""),"⚠ Falta cuenta destino",IF(AND(K3898&lt;&gt;"",P3898&lt;&gt;"Transferencia",P3898&lt;&gt;"Pago tarjeta"),"⚠ Destino solo aplica a transferencias",IF(AND(K3898&lt;&gt;"",K3898=Q3898),"⚠ Origen igual a destino",IF(AND(K3898&lt;&gt;"",ISNA(MATCH(K3898,ctaNombre,0))),"⚠ Destino no registrado",IF(AND(P3898="Pago tarjeta",AE3898&lt;&gt;"Tarjeta de crédito"),"⚠ El destino debe ser tarjeta de crédito",IF(AND(P3898="Gasto",E3898="Depósitos y retiros"),"⚠ Usa tipo Transferencia",IF(AND(P3898="Resultado trading",AD3898&lt;&gt;"Cuenta de trading"),"⚠ Usa una cuenta de trading",IF(AND(G3898&lt;=0,P3898&lt;&gt;"Ajuste",P3898&lt;&gt;"Resultado trading"),"⚠ El monto debe ser positivo","✓")))))))))))))))</f>
        <v/>
      </c>
      <c r="P3898" s="52">
        <f>IF(OR(B3898="",G3898=""),"",IF(C3898="","Gasto",C3898))</f>
        <v/>
      </c>
      <c r="Q3898" s="52">
        <f>IF(P3898="","",IF(J3898&lt;&gt;"",J3898,CuentaPred&amp;""))</f>
        <v/>
      </c>
      <c r="R3898" s="52">
        <f>IF(P3898="","",IF(ISNUMBER(I3898),I3898,TasaUSD))</f>
        <v/>
      </c>
      <c r="S3898" s="53">
        <f>IF(P3898="","",IF(H3898="USD",G3898*R3898,G3898))</f>
        <v/>
      </c>
      <c r="T3898" s="53">
        <f>IF(P3898="","",IF(H3898="USD",G3898,IF(R3898&gt;0,G3898/R3898,0)))</f>
        <v/>
      </c>
      <c r="U3898" s="53">
        <f>IF(P3898="","",IF(P3898="Gasto",S3898,IF(P3898="Reembolso",-S3898,0)))</f>
        <v/>
      </c>
      <c r="V3898" s="53">
        <f>IF(P3898="","",IF(P3898="Ingreso",S3898,0))</f>
        <v/>
      </c>
      <c r="W3898" s="53">
        <f>IF(P3898="","",IF(P3898="Resultado trading",S3898,0))</f>
        <v/>
      </c>
      <c r="X3898" s="52">
        <f>IF(OR(P3898="Gasto",P3898="Reembolso"),IF(M3898&lt;&gt;"",M3898,IFERROR(INDEX(catClasif,MATCH(D3898&amp;"|"&amp;E3898,catClave,0))&amp;"","Variable")),"")</f>
        <v/>
      </c>
      <c r="Y3898" s="52">
        <f>IF(P3898="","",IFERROR(INDEX(catGrupo,MATCH(D3898&amp;"|"&amp;E3898,catClave,0))&amp;"",""))</f>
        <v/>
      </c>
      <c r="Z3898" s="52">
        <f>IF(P3898="","",WEEKDAY(B3898,2))</f>
        <v/>
      </c>
      <c r="AA3898" s="52">
        <f>IF(P3898="","",IF(AND(P3898="Gasto",X3898="Variable",D3898&lt;&gt;catTrading,S3898&gt;0,S3898&lt;=Umbral),1,0))</f>
        <v/>
      </c>
      <c r="AB3898" s="52">
        <f>IF(OR(P3898="",Q3898=""),"",IFERROR(IF(INDEX(ctaVinc,MATCH(Q3898,ctaNombre,0))&amp;""&lt;&gt;"",INDEX(ctaVinc,MATCH(Q3898,ctaNombre,0))&amp;"",Q3898),Q3898))</f>
        <v/>
      </c>
      <c r="AC3898" s="52">
        <f>IF(OR(K3898="",AND(P3898&lt;&gt;"Transferencia",P3898&lt;&gt;"Pago tarjeta")),"",IFERROR(IF(INDEX(ctaVinc,MATCH(K3898,ctaNombre,0))&amp;""&lt;&gt;"",INDEX(ctaVinc,MATCH(K3898,ctaNombre,0))&amp;"",K3898),K3898))</f>
        <v/>
      </c>
      <c r="AD3898" s="52">
        <f>IF(AB3898="","",IFERROR(INDEX(ctaTipo,MATCH(AB3898,ctaNombre,0))&amp;"",""))</f>
        <v/>
      </c>
      <c r="AE3898" s="52">
        <f>IF(AC3898="","",IFERROR(INDEX(ctaTipo,MATCH(AC3898,ctaNombre,0))&amp;"",""))</f>
        <v/>
      </c>
      <c r="AF3898" s="53">
        <f>IF(OR(P3898="",AB3898=""),"",IF(OR(P3898="Gasto",P3898="Transferencia",P3898="Pago tarjeta"),-1,1)*IF(IFERROR(INDEX(ctaMoneda,MATCH(AB3898,ctaNombre,0))&amp;"","DOP")="USD",T3898,S3898))</f>
        <v/>
      </c>
      <c r="AG3898" s="53">
        <f>IF(AC3898="","",IF(IFERROR(INDEX(ctaMoneda,MATCH(AC3898,ctaNombre,0))&amp;"","DOP")="USD",T3898,S3898))</f>
        <v/>
      </c>
      <c r="AH3898" s="53">
        <f>IF(P3898="","",IF(AND(AD3898&lt;&gt;"",COUNTIFS(tcTipo,AD3898,tcLiq,"Sí")&gt;0),IF(OR(P3898="Gasto",P3898="Transferencia",P3898="Pago tarjeta"),-1,1)*S3898,0)+IF(AND(AE3898&lt;&gt;"",COUNTIFS(tcTipo,AE3898,tcLiq,"Sí")&gt;0),S3898,0))</f>
        <v/>
      </c>
      <c r="AI3898" s="52">
        <f>IF(OR(L3898="",P3898=""),"",IF(COUNTIFS(L$6:L3898,L3898,P$6:P3898,"?*")=1,MAX(AI$5:AI3897)+1,""))</f>
        <v/>
      </c>
    </row>
    <row r="3899">
      <c r="B3899" s="47" t="n"/>
      <c r="C3899" s="48" t="n"/>
      <c r="D3899" s="48" t="n"/>
      <c r="E3899" s="48" t="n"/>
      <c r="F3899" s="48" t="n"/>
      <c r="G3899" s="49" t="n"/>
      <c r="H3899" s="48" t="n"/>
      <c r="I3899" s="50" t="n"/>
      <c r="J3899" s="48" t="n"/>
      <c r="K3899" s="48" t="n"/>
      <c r="L3899" s="48" t="n"/>
      <c r="M3899" s="48" t="n"/>
      <c r="N3899" s="48" t="n"/>
      <c r="O3899" s="51">
        <f>IF(AND(B3899="",G3899="",C3899="",D3899="",J3899=""),"",IF(B3899="","⚠ Falta fecha",IF(G3899="","⚠ Falta monto",IF(Q3899="","⚠ Falta cuenta",IF(ISNA(MATCH(Q3899,ctaNombre,0)),"⚠ Cuenta no registrada",IF(AND(OR(P3899="Gasto",P3899="Reembolso"),D3899=""),"⚠ Falta categoría",IF(AND(D3899&lt;&gt;"",E3899&lt;&gt;"",ISNA(MATCH(D3899&amp;"|"&amp;E3899,catClave,0))),"⚠ Subcategoría no corresponde",IF(AND(OR(P3899="Transferencia",P3899="Pago tarjeta"),K3899=""),"⚠ Falta cuenta destino",IF(AND(K3899&lt;&gt;"",P3899&lt;&gt;"Transferencia",P3899&lt;&gt;"Pago tarjeta"),"⚠ Destino solo aplica a transferencias",IF(AND(K3899&lt;&gt;"",K3899=Q3899),"⚠ Origen igual a destino",IF(AND(K3899&lt;&gt;"",ISNA(MATCH(K3899,ctaNombre,0))),"⚠ Destino no registrado",IF(AND(P3899="Pago tarjeta",AE3899&lt;&gt;"Tarjeta de crédito"),"⚠ El destino debe ser tarjeta de crédito",IF(AND(P3899="Gasto",E3899="Depósitos y retiros"),"⚠ Usa tipo Transferencia",IF(AND(P3899="Resultado trading",AD3899&lt;&gt;"Cuenta de trading"),"⚠ Usa una cuenta de trading",IF(AND(G3899&lt;=0,P3899&lt;&gt;"Ajuste",P3899&lt;&gt;"Resultado trading"),"⚠ El monto debe ser positivo","✓")))))))))))))))</f>
        <v/>
      </c>
      <c r="P3899" s="52">
        <f>IF(OR(B3899="",G3899=""),"",IF(C3899="","Gasto",C3899))</f>
        <v/>
      </c>
      <c r="Q3899" s="52">
        <f>IF(P3899="","",IF(J3899&lt;&gt;"",J3899,CuentaPred&amp;""))</f>
        <v/>
      </c>
      <c r="R3899" s="52">
        <f>IF(P3899="","",IF(ISNUMBER(I3899),I3899,TasaUSD))</f>
        <v/>
      </c>
      <c r="S3899" s="53">
        <f>IF(P3899="","",IF(H3899="USD",G3899*R3899,G3899))</f>
        <v/>
      </c>
      <c r="T3899" s="53">
        <f>IF(P3899="","",IF(H3899="USD",G3899,IF(R3899&gt;0,G3899/R3899,0)))</f>
        <v/>
      </c>
      <c r="U3899" s="53">
        <f>IF(P3899="","",IF(P3899="Gasto",S3899,IF(P3899="Reembolso",-S3899,0)))</f>
        <v/>
      </c>
      <c r="V3899" s="53">
        <f>IF(P3899="","",IF(P3899="Ingreso",S3899,0))</f>
        <v/>
      </c>
      <c r="W3899" s="53">
        <f>IF(P3899="","",IF(P3899="Resultado trading",S3899,0))</f>
        <v/>
      </c>
      <c r="X3899" s="52">
        <f>IF(OR(P3899="Gasto",P3899="Reembolso"),IF(M3899&lt;&gt;"",M3899,IFERROR(INDEX(catClasif,MATCH(D3899&amp;"|"&amp;E3899,catClave,0))&amp;"","Variable")),"")</f>
        <v/>
      </c>
      <c r="Y3899" s="52">
        <f>IF(P3899="","",IFERROR(INDEX(catGrupo,MATCH(D3899&amp;"|"&amp;E3899,catClave,0))&amp;"",""))</f>
        <v/>
      </c>
      <c r="Z3899" s="52">
        <f>IF(P3899="","",WEEKDAY(B3899,2))</f>
        <v/>
      </c>
      <c r="AA3899" s="52">
        <f>IF(P3899="","",IF(AND(P3899="Gasto",X3899="Variable",D3899&lt;&gt;catTrading,S3899&gt;0,S3899&lt;=Umbral),1,0))</f>
        <v/>
      </c>
      <c r="AB3899" s="52">
        <f>IF(OR(P3899="",Q3899=""),"",IFERROR(IF(INDEX(ctaVinc,MATCH(Q3899,ctaNombre,0))&amp;""&lt;&gt;"",INDEX(ctaVinc,MATCH(Q3899,ctaNombre,0))&amp;"",Q3899),Q3899))</f>
        <v/>
      </c>
      <c r="AC3899" s="52">
        <f>IF(OR(K3899="",AND(P3899&lt;&gt;"Transferencia",P3899&lt;&gt;"Pago tarjeta")),"",IFERROR(IF(INDEX(ctaVinc,MATCH(K3899,ctaNombre,0))&amp;""&lt;&gt;"",INDEX(ctaVinc,MATCH(K3899,ctaNombre,0))&amp;"",K3899),K3899))</f>
        <v/>
      </c>
      <c r="AD3899" s="52">
        <f>IF(AB3899="","",IFERROR(INDEX(ctaTipo,MATCH(AB3899,ctaNombre,0))&amp;"",""))</f>
        <v/>
      </c>
      <c r="AE3899" s="52">
        <f>IF(AC3899="","",IFERROR(INDEX(ctaTipo,MATCH(AC3899,ctaNombre,0))&amp;"",""))</f>
        <v/>
      </c>
      <c r="AF3899" s="53">
        <f>IF(OR(P3899="",AB3899=""),"",IF(OR(P3899="Gasto",P3899="Transferencia",P3899="Pago tarjeta"),-1,1)*IF(IFERROR(INDEX(ctaMoneda,MATCH(AB3899,ctaNombre,0))&amp;"","DOP")="USD",T3899,S3899))</f>
        <v/>
      </c>
      <c r="AG3899" s="53">
        <f>IF(AC3899="","",IF(IFERROR(INDEX(ctaMoneda,MATCH(AC3899,ctaNombre,0))&amp;"","DOP")="USD",T3899,S3899))</f>
        <v/>
      </c>
      <c r="AH3899" s="53">
        <f>IF(P3899="","",IF(AND(AD3899&lt;&gt;"",COUNTIFS(tcTipo,AD3899,tcLiq,"Sí")&gt;0),IF(OR(P3899="Gasto",P3899="Transferencia",P3899="Pago tarjeta"),-1,1)*S3899,0)+IF(AND(AE3899&lt;&gt;"",COUNTIFS(tcTipo,AE3899,tcLiq,"Sí")&gt;0),S3899,0))</f>
        <v/>
      </c>
      <c r="AI3899" s="52">
        <f>IF(OR(L3899="",P3899=""),"",IF(COUNTIFS(L$6:L3899,L3899,P$6:P3899,"?*")=1,MAX(AI$5:AI3898)+1,""))</f>
        <v/>
      </c>
    </row>
    <row r="3900">
      <c r="B3900" s="47" t="n"/>
      <c r="C3900" s="48" t="n"/>
      <c r="D3900" s="48" t="n"/>
      <c r="E3900" s="48" t="n"/>
      <c r="F3900" s="48" t="n"/>
      <c r="G3900" s="49" t="n"/>
      <c r="H3900" s="48" t="n"/>
      <c r="I3900" s="50" t="n"/>
      <c r="J3900" s="48" t="n"/>
      <c r="K3900" s="48" t="n"/>
      <c r="L3900" s="48" t="n"/>
      <c r="M3900" s="48" t="n"/>
      <c r="N3900" s="48" t="n"/>
      <c r="O3900" s="51">
        <f>IF(AND(B3900="",G3900="",C3900="",D3900="",J3900=""),"",IF(B3900="","⚠ Falta fecha",IF(G3900="","⚠ Falta monto",IF(Q3900="","⚠ Falta cuenta",IF(ISNA(MATCH(Q3900,ctaNombre,0)),"⚠ Cuenta no registrada",IF(AND(OR(P3900="Gasto",P3900="Reembolso"),D3900=""),"⚠ Falta categoría",IF(AND(D3900&lt;&gt;"",E3900&lt;&gt;"",ISNA(MATCH(D3900&amp;"|"&amp;E3900,catClave,0))),"⚠ Subcategoría no corresponde",IF(AND(OR(P3900="Transferencia",P3900="Pago tarjeta"),K3900=""),"⚠ Falta cuenta destino",IF(AND(K3900&lt;&gt;"",P3900&lt;&gt;"Transferencia",P3900&lt;&gt;"Pago tarjeta"),"⚠ Destino solo aplica a transferencias",IF(AND(K3900&lt;&gt;"",K3900=Q3900),"⚠ Origen igual a destino",IF(AND(K3900&lt;&gt;"",ISNA(MATCH(K3900,ctaNombre,0))),"⚠ Destino no registrado",IF(AND(P3900="Pago tarjeta",AE3900&lt;&gt;"Tarjeta de crédito"),"⚠ El destino debe ser tarjeta de crédito",IF(AND(P3900="Gasto",E3900="Depósitos y retiros"),"⚠ Usa tipo Transferencia",IF(AND(P3900="Resultado trading",AD3900&lt;&gt;"Cuenta de trading"),"⚠ Usa una cuenta de trading",IF(AND(G3900&lt;=0,P3900&lt;&gt;"Ajuste",P3900&lt;&gt;"Resultado trading"),"⚠ El monto debe ser positivo","✓")))))))))))))))</f>
        <v/>
      </c>
      <c r="P3900" s="52">
        <f>IF(OR(B3900="",G3900=""),"",IF(C3900="","Gasto",C3900))</f>
        <v/>
      </c>
      <c r="Q3900" s="52">
        <f>IF(P3900="","",IF(J3900&lt;&gt;"",J3900,CuentaPred&amp;""))</f>
        <v/>
      </c>
      <c r="R3900" s="52">
        <f>IF(P3900="","",IF(ISNUMBER(I3900),I3900,TasaUSD))</f>
        <v/>
      </c>
      <c r="S3900" s="53">
        <f>IF(P3900="","",IF(H3900="USD",G3900*R3900,G3900))</f>
        <v/>
      </c>
      <c r="T3900" s="53">
        <f>IF(P3900="","",IF(H3900="USD",G3900,IF(R3900&gt;0,G3900/R3900,0)))</f>
        <v/>
      </c>
      <c r="U3900" s="53">
        <f>IF(P3900="","",IF(P3900="Gasto",S3900,IF(P3900="Reembolso",-S3900,0)))</f>
        <v/>
      </c>
      <c r="V3900" s="53">
        <f>IF(P3900="","",IF(P3900="Ingreso",S3900,0))</f>
        <v/>
      </c>
      <c r="W3900" s="53">
        <f>IF(P3900="","",IF(P3900="Resultado trading",S3900,0))</f>
        <v/>
      </c>
      <c r="X3900" s="52">
        <f>IF(OR(P3900="Gasto",P3900="Reembolso"),IF(M3900&lt;&gt;"",M3900,IFERROR(INDEX(catClasif,MATCH(D3900&amp;"|"&amp;E3900,catClave,0))&amp;"","Variable")),"")</f>
        <v/>
      </c>
      <c r="Y3900" s="52">
        <f>IF(P3900="","",IFERROR(INDEX(catGrupo,MATCH(D3900&amp;"|"&amp;E3900,catClave,0))&amp;"",""))</f>
        <v/>
      </c>
      <c r="Z3900" s="52">
        <f>IF(P3900="","",WEEKDAY(B3900,2))</f>
        <v/>
      </c>
      <c r="AA3900" s="52">
        <f>IF(P3900="","",IF(AND(P3900="Gasto",X3900="Variable",D3900&lt;&gt;catTrading,S3900&gt;0,S3900&lt;=Umbral),1,0))</f>
        <v/>
      </c>
      <c r="AB3900" s="52">
        <f>IF(OR(P3900="",Q3900=""),"",IFERROR(IF(INDEX(ctaVinc,MATCH(Q3900,ctaNombre,0))&amp;""&lt;&gt;"",INDEX(ctaVinc,MATCH(Q3900,ctaNombre,0))&amp;"",Q3900),Q3900))</f>
        <v/>
      </c>
      <c r="AC3900" s="52">
        <f>IF(OR(K3900="",AND(P3900&lt;&gt;"Transferencia",P3900&lt;&gt;"Pago tarjeta")),"",IFERROR(IF(INDEX(ctaVinc,MATCH(K3900,ctaNombre,0))&amp;""&lt;&gt;"",INDEX(ctaVinc,MATCH(K3900,ctaNombre,0))&amp;"",K3900),K3900))</f>
        <v/>
      </c>
      <c r="AD3900" s="52">
        <f>IF(AB3900="","",IFERROR(INDEX(ctaTipo,MATCH(AB3900,ctaNombre,0))&amp;"",""))</f>
        <v/>
      </c>
      <c r="AE3900" s="52">
        <f>IF(AC3900="","",IFERROR(INDEX(ctaTipo,MATCH(AC3900,ctaNombre,0))&amp;"",""))</f>
        <v/>
      </c>
      <c r="AF3900" s="53">
        <f>IF(OR(P3900="",AB3900=""),"",IF(OR(P3900="Gasto",P3900="Transferencia",P3900="Pago tarjeta"),-1,1)*IF(IFERROR(INDEX(ctaMoneda,MATCH(AB3900,ctaNombre,0))&amp;"","DOP")="USD",T3900,S3900))</f>
        <v/>
      </c>
      <c r="AG3900" s="53">
        <f>IF(AC3900="","",IF(IFERROR(INDEX(ctaMoneda,MATCH(AC3900,ctaNombre,0))&amp;"","DOP")="USD",T3900,S3900))</f>
        <v/>
      </c>
      <c r="AH3900" s="53">
        <f>IF(P3900="","",IF(AND(AD3900&lt;&gt;"",COUNTIFS(tcTipo,AD3900,tcLiq,"Sí")&gt;0),IF(OR(P3900="Gasto",P3900="Transferencia",P3900="Pago tarjeta"),-1,1)*S3900,0)+IF(AND(AE3900&lt;&gt;"",COUNTIFS(tcTipo,AE3900,tcLiq,"Sí")&gt;0),S3900,0))</f>
        <v/>
      </c>
      <c r="AI3900" s="52">
        <f>IF(OR(L3900="",P3900=""),"",IF(COUNTIFS(L$6:L3900,L3900,P$6:P3900,"?*")=1,MAX(AI$5:AI3899)+1,""))</f>
        <v/>
      </c>
    </row>
    <row r="3901">
      <c r="B3901" s="47" t="n"/>
      <c r="C3901" s="48" t="n"/>
      <c r="D3901" s="48" t="n"/>
      <c r="E3901" s="48" t="n"/>
      <c r="F3901" s="48" t="n"/>
      <c r="G3901" s="49" t="n"/>
      <c r="H3901" s="48" t="n"/>
      <c r="I3901" s="50" t="n"/>
      <c r="J3901" s="48" t="n"/>
      <c r="K3901" s="48" t="n"/>
      <c r="L3901" s="48" t="n"/>
      <c r="M3901" s="48" t="n"/>
      <c r="N3901" s="48" t="n"/>
      <c r="O3901" s="51">
        <f>IF(AND(B3901="",G3901="",C3901="",D3901="",J3901=""),"",IF(B3901="","⚠ Falta fecha",IF(G3901="","⚠ Falta monto",IF(Q3901="","⚠ Falta cuenta",IF(ISNA(MATCH(Q3901,ctaNombre,0)),"⚠ Cuenta no registrada",IF(AND(OR(P3901="Gasto",P3901="Reembolso"),D3901=""),"⚠ Falta categoría",IF(AND(D3901&lt;&gt;"",E3901&lt;&gt;"",ISNA(MATCH(D3901&amp;"|"&amp;E3901,catClave,0))),"⚠ Subcategoría no corresponde",IF(AND(OR(P3901="Transferencia",P3901="Pago tarjeta"),K3901=""),"⚠ Falta cuenta destino",IF(AND(K3901&lt;&gt;"",P3901&lt;&gt;"Transferencia",P3901&lt;&gt;"Pago tarjeta"),"⚠ Destino solo aplica a transferencias",IF(AND(K3901&lt;&gt;"",K3901=Q3901),"⚠ Origen igual a destino",IF(AND(K3901&lt;&gt;"",ISNA(MATCH(K3901,ctaNombre,0))),"⚠ Destino no registrado",IF(AND(P3901="Pago tarjeta",AE3901&lt;&gt;"Tarjeta de crédito"),"⚠ El destino debe ser tarjeta de crédito",IF(AND(P3901="Gasto",E3901="Depósitos y retiros"),"⚠ Usa tipo Transferencia",IF(AND(P3901="Resultado trading",AD3901&lt;&gt;"Cuenta de trading"),"⚠ Usa una cuenta de trading",IF(AND(G3901&lt;=0,P3901&lt;&gt;"Ajuste",P3901&lt;&gt;"Resultado trading"),"⚠ El monto debe ser positivo","✓")))))))))))))))</f>
        <v/>
      </c>
      <c r="P3901" s="52">
        <f>IF(OR(B3901="",G3901=""),"",IF(C3901="","Gasto",C3901))</f>
        <v/>
      </c>
      <c r="Q3901" s="52">
        <f>IF(P3901="","",IF(J3901&lt;&gt;"",J3901,CuentaPred&amp;""))</f>
        <v/>
      </c>
      <c r="R3901" s="52">
        <f>IF(P3901="","",IF(ISNUMBER(I3901),I3901,TasaUSD))</f>
        <v/>
      </c>
      <c r="S3901" s="53">
        <f>IF(P3901="","",IF(H3901="USD",G3901*R3901,G3901))</f>
        <v/>
      </c>
      <c r="T3901" s="53">
        <f>IF(P3901="","",IF(H3901="USD",G3901,IF(R3901&gt;0,G3901/R3901,0)))</f>
        <v/>
      </c>
      <c r="U3901" s="53">
        <f>IF(P3901="","",IF(P3901="Gasto",S3901,IF(P3901="Reembolso",-S3901,0)))</f>
        <v/>
      </c>
      <c r="V3901" s="53">
        <f>IF(P3901="","",IF(P3901="Ingreso",S3901,0))</f>
        <v/>
      </c>
      <c r="W3901" s="53">
        <f>IF(P3901="","",IF(P3901="Resultado trading",S3901,0))</f>
        <v/>
      </c>
      <c r="X3901" s="52">
        <f>IF(OR(P3901="Gasto",P3901="Reembolso"),IF(M3901&lt;&gt;"",M3901,IFERROR(INDEX(catClasif,MATCH(D3901&amp;"|"&amp;E3901,catClave,0))&amp;"","Variable")),"")</f>
        <v/>
      </c>
      <c r="Y3901" s="52">
        <f>IF(P3901="","",IFERROR(INDEX(catGrupo,MATCH(D3901&amp;"|"&amp;E3901,catClave,0))&amp;"",""))</f>
        <v/>
      </c>
      <c r="Z3901" s="52">
        <f>IF(P3901="","",WEEKDAY(B3901,2))</f>
        <v/>
      </c>
      <c r="AA3901" s="52">
        <f>IF(P3901="","",IF(AND(P3901="Gasto",X3901="Variable",D3901&lt;&gt;catTrading,S3901&gt;0,S3901&lt;=Umbral),1,0))</f>
        <v/>
      </c>
      <c r="AB3901" s="52">
        <f>IF(OR(P3901="",Q3901=""),"",IFERROR(IF(INDEX(ctaVinc,MATCH(Q3901,ctaNombre,0))&amp;""&lt;&gt;"",INDEX(ctaVinc,MATCH(Q3901,ctaNombre,0))&amp;"",Q3901),Q3901))</f>
        <v/>
      </c>
      <c r="AC3901" s="52">
        <f>IF(OR(K3901="",AND(P3901&lt;&gt;"Transferencia",P3901&lt;&gt;"Pago tarjeta")),"",IFERROR(IF(INDEX(ctaVinc,MATCH(K3901,ctaNombre,0))&amp;""&lt;&gt;"",INDEX(ctaVinc,MATCH(K3901,ctaNombre,0))&amp;"",K3901),K3901))</f>
        <v/>
      </c>
      <c r="AD3901" s="52">
        <f>IF(AB3901="","",IFERROR(INDEX(ctaTipo,MATCH(AB3901,ctaNombre,0))&amp;"",""))</f>
        <v/>
      </c>
      <c r="AE3901" s="52">
        <f>IF(AC3901="","",IFERROR(INDEX(ctaTipo,MATCH(AC3901,ctaNombre,0))&amp;"",""))</f>
        <v/>
      </c>
      <c r="AF3901" s="53">
        <f>IF(OR(P3901="",AB3901=""),"",IF(OR(P3901="Gasto",P3901="Transferencia",P3901="Pago tarjeta"),-1,1)*IF(IFERROR(INDEX(ctaMoneda,MATCH(AB3901,ctaNombre,0))&amp;"","DOP")="USD",T3901,S3901))</f>
        <v/>
      </c>
      <c r="AG3901" s="53">
        <f>IF(AC3901="","",IF(IFERROR(INDEX(ctaMoneda,MATCH(AC3901,ctaNombre,0))&amp;"","DOP")="USD",T3901,S3901))</f>
        <v/>
      </c>
      <c r="AH3901" s="53">
        <f>IF(P3901="","",IF(AND(AD3901&lt;&gt;"",COUNTIFS(tcTipo,AD3901,tcLiq,"Sí")&gt;0),IF(OR(P3901="Gasto",P3901="Transferencia",P3901="Pago tarjeta"),-1,1)*S3901,0)+IF(AND(AE3901&lt;&gt;"",COUNTIFS(tcTipo,AE3901,tcLiq,"Sí")&gt;0),S3901,0))</f>
        <v/>
      </c>
      <c r="AI3901" s="52">
        <f>IF(OR(L3901="",P3901=""),"",IF(COUNTIFS(L$6:L3901,L3901,P$6:P3901,"?*")=1,MAX(AI$5:AI3900)+1,""))</f>
        <v/>
      </c>
    </row>
    <row r="3902">
      <c r="B3902" s="47" t="n"/>
      <c r="C3902" s="48" t="n"/>
      <c r="D3902" s="48" t="n"/>
      <c r="E3902" s="48" t="n"/>
      <c r="F3902" s="48" t="n"/>
      <c r="G3902" s="49" t="n"/>
      <c r="H3902" s="48" t="n"/>
      <c r="I3902" s="50" t="n"/>
      <c r="J3902" s="48" t="n"/>
      <c r="K3902" s="48" t="n"/>
      <c r="L3902" s="48" t="n"/>
      <c r="M3902" s="48" t="n"/>
      <c r="N3902" s="48" t="n"/>
      <c r="O3902" s="51">
        <f>IF(AND(B3902="",G3902="",C3902="",D3902="",J3902=""),"",IF(B3902="","⚠ Falta fecha",IF(G3902="","⚠ Falta monto",IF(Q3902="","⚠ Falta cuenta",IF(ISNA(MATCH(Q3902,ctaNombre,0)),"⚠ Cuenta no registrada",IF(AND(OR(P3902="Gasto",P3902="Reembolso"),D3902=""),"⚠ Falta categoría",IF(AND(D3902&lt;&gt;"",E3902&lt;&gt;"",ISNA(MATCH(D3902&amp;"|"&amp;E3902,catClave,0))),"⚠ Subcategoría no corresponde",IF(AND(OR(P3902="Transferencia",P3902="Pago tarjeta"),K3902=""),"⚠ Falta cuenta destino",IF(AND(K3902&lt;&gt;"",P3902&lt;&gt;"Transferencia",P3902&lt;&gt;"Pago tarjeta"),"⚠ Destino solo aplica a transferencias",IF(AND(K3902&lt;&gt;"",K3902=Q3902),"⚠ Origen igual a destino",IF(AND(K3902&lt;&gt;"",ISNA(MATCH(K3902,ctaNombre,0))),"⚠ Destino no registrado",IF(AND(P3902="Pago tarjeta",AE3902&lt;&gt;"Tarjeta de crédito"),"⚠ El destino debe ser tarjeta de crédito",IF(AND(P3902="Gasto",E3902="Depósitos y retiros"),"⚠ Usa tipo Transferencia",IF(AND(P3902="Resultado trading",AD3902&lt;&gt;"Cuenta de trading"),"⚠ Usa una cuenta de trading",IF(AND(G3902&lt;=0,P3902&lt;&gt;"Ajuste",P3902&lt;&gt;"Resultado trading"),"⚠ El monto debe ser positivo","✓")))))))))))))))</f>
        <v/>
      </c>
      <c r="P3902" s="52">
        <f>IF(OR(B3902="",G3902=""),"",IF(C3902="","Gasto",C3902))</f>
        <v/>
      </c>
      <c r="Q3902" s="52">
        <f>IF(P3902="","",IF(J3902&lt;&gt;"",J3902,CuentaPred&amp;""))</f>
        <v/>
      </c>
      <c r="R3902" s="52">
        <f>IF(P3902="","",IF(ISNUMBER(I3902),I3902,TasaUSD))</f>
        <v/>
      </c>
      <c r="S3902" s="53">
        <f>IF(P3902="","",IF(H3902="USD",G3902*R3902,G3902))</f>
        <v/>
      </c>
      <c r="T3902" s="53">
        <f>IF(P3902="","",IF(H3902="USD",G3902,IF(R3902&gt;0,G3902/R3902,0)))</f>
        <v/>
      </c>
      <c r="U3902" s="53">
        <f>IF(P3902="","",IF(P3902="Gasto",S3902,IF(P3902="Reembolso",-S3902,0)))</f>
        <v/>
      </c>
      <c r="V3902" s="53">
        <f>IF(P3902="","",IF(P3902="Ingreso",S3902,0))</f>
        <v/>
      </c>
      <c r="W3902" s="53">
        <f>IF(P3902="","",IF(P3902="Resultado trading",S3902,0))</f>
        <v/>
      </c>
      <c r="X3902" s="52">
        <f>IF(OR(P3902="Gasto",P3902="Reembolso"),IF(M3902&lt;&gt;"",M3902,IFERROR(INDEX(catClasif,MATCH(D3902&amp;"|"&amp;E3902,catClave,0))&amp;"","Variable")),"")</f>
        <v/>
      </c>
      <c r="Y3902" s="52">
        <f>IF(P3902="","",IFERROR(INDEX(catGrupo,MATCH(D3902&amp;"|"&amp;E3902,catClave,0))&amp;"",""))</f>
        <v/>
      </c>
      <c r="Z3902" s="52">
        <f>IF(P3902="","",WEEKDAY(B3902,2))</f>
        <v/>
      </c>
      <c r="AA3902" s="52">
        <f>IF(P3902="","",IF(AND(P3902="Gasto",X3902="Variable",D3902&lt;&gt;catTrading,S3902&gt;0,S3902&lt;=Umbral),1,0))</f>
        <v/>
      </c>
      <c r="AB3902" s="52">
        <f>IF(OR(P3902="",Q3902=""),"",IFERROR(IF(INDEX(ctaVinc,MATCH(Q3902,ctaNombre,0))&amp;""&lt;&gt;"",INDEX(ctaVinc,MATCH(Q3902,ctaNombre,0))&amp;"",Q3902),Q3902))</f>
        <v/>
      </c>
      <c r="AC3902" s="52">
        <f>IF(OR(K3902="",AND(P3902&lt;&gt;"Transferencia",P3902&lt;&gt;"Pago tarjeta")),"",IFERROR(IF(INDEX(ctaVinc,MATCH(K3902,ctaNombre,0))&amp;""&lt;&gt;"",INDEX(ctaVinc,MATCH(K3902,ctaNombre,0))&amp;"",K3902),K3902))</f>
        <v/>
      </c>
      <c r="AD3902" s="52">
        <f>IF(AB3902="","",IFERROR(INDEX(ctaTipo,MATCH(AB3902,ctaNombre,0))&amp;"",""))</f>
        <v/>
      </c>
      <c r="AE3902" s="52">
        <f>IF(AC3902="","",IFERROR(INDEX(ctaTipo,MATCH(AC3902,ctaNombre,0))&amp;"",""))</f>
        <v/>
      </c>
      <c r="AF3902" s="53">
        <f>IF(OR(P3902="",AB3902=""),"",IF(OR(P3902="Gasto",P3902="Transferencia",P3902="Pago tarjeta"),-1,1)*IF(IFERROR(INDEX(ctaMoneda,MATCH(AB3902,ctaNombre,0))&amp;"","DOP")="USD",T3902,S3902))</f>
        <v/>
      </c>
      <c r="AG3902" s="53">
        <f>IF(AC3902="","",IF(IFERROR(INDEX(ctaMoneda,MATCH(AC3902,ctaNombre,0))&amp;"","DOP")="USD",T3902,S3902))</f>
        <v/>
      </c>
      <c r="AH3902" s="53">
        <f>IF(P3902="","",IF(AND(AD3902&lt;&gt;"",COUNTIFS(tcTipo,AD3902,tcLiq,"Sí")&gt;0),IF(OR(P3902="Gasto",P3902="Transferencia",P3902="Pago tarjeta"),-1,1)*S3902,0)+IF(AND(AE3902&lt;&gt;"",COUNTIFS(tcTipo,AE3902,tcLiq,"Sí")&gt;0),S3902,0))</f>
        <v/>
      </c>
      <c r="AI3902" s="52">
        <f>IF(OR(L3902="",P3902=""),"",IF(COUNTIFS(L$6:L3902,L3902,P$6:P3902,"?*")=1,MAX(AI$5:AI3901)+1,""))</f>
        <v/>
      </c>
    </row>
    <row r="3903">
      <c r="B3903" s="47" t="n"/>
      <c r="C3903" s="48" t="n"/>
      <c r="D3903" s="48" t="n"/>
      <c r="E3903" s="48" t="n"/>
      <c r="F3903" s="48" t="n"/>
      <c r="G3903" s="49" t="n"/>
      <c r="H3903" s="48" t="n"/>
      <c r="I3903" s="50" t="n"/>
      <c r="J3903" s="48" t="n"/>
      <c r="K3903" s="48" t="n"/>
      <c r="L3903" s="48" t="n"/>
      <c r="M3903" s="48" t="n"/>
      <c r="N3903" s="48" t="n"/>
      <c r="O3903" s="51">
        <f>IF(AND(B3903="",G3903="",C3903="",D3903="",J3903=""),"",IF(B3903="","⚠ Falta fecha",IF(G3903="","⚠ Falta monto",IF(Q3903="","⚠ Falta cuenta",IF(ISNA(MATCH(Q3903,ctaNombre,0)),"⚠ Cuenta no registrada",IF(AND(OR(P3903="Gasto",P3903="Reembolso"),D3903=""),"⚠ Falta categoría",IF(AND(D3903&lt;&gt;"",E3903&lt;&gt;"",ISNA(MATCH(D3903&amp;"|"&amp;E3903,catClave,0))),"⚠ Subcategoría no corresponde",IF(AND(OR(P3903="Transferencia",P3903="Pago tarjeta"),K3903=""),"⚠ Falta cuenta destino",IF(AND(K3903&lt;&gt;"",P3903&lt;&gt;"Transferencia",P3903&lt;&gt;"Pago tarjeta"),"⚠ Destino solo aplica a transferencias",IF(AND(K3903&lt;&gt;"",K3903=Q3903),"⚠ Origen igual a destino",IF(AND(K3903&lt;&gt;"",ISNA(MATCH(K3903,ctaNombre,0))),"⚠ Destino no registrado",IF(AND(P3903="Pago tarjeta",AE3903&lt;&gt;"Tarjeta de crédito"),"⚠ El destino debe ser tarjeta de crédito",IF(AND(P3903="Gasto",E3903="Depósitos y retiros"),"⚠ Usa tipo Transferencia",IF(AND(P3903="Resultado trading",AD3903&lt;&gt;"Cuenta de trading"),"⚠ Usa una cuenta de trading",IF(AND(G3903&lt;=0,P3903&lt;&gt;"Ajuste",P3903&lt;&gt;"Resultado trading"),"⚠ El monto debe ser positivo","✓")))))))))))))))</f>
        <v/>
      </c>
      <c r="P3903" s="52">
        <f>IF(OR(B3903="",G3903=""),"",IF(C3903="","Gasto",C3903))</f>
        <v/>
      </c>
      <c r="Q3903" s="52">
        <f>IF(P3903="","",IF(J3903&lt;&gt;"",J3903,CuentaPred&amp;""))</f>
        <v/>
      </c>
      <c r="R3903" s="52">
        <f>IF(P3903="","",IF(ISNUMBER(I3903),I3903,TasaUSD))</f>
        <v/>
      </c>
      <c r="S3903" s="53">
        <f>IF(P3903="","",IF(H3903="USD",G3903*R3903,G3903))</f>
        <v/>
      </c>
      <c r="T3903" s="53">
        <f>IF(P3903="","",IF(H3903="USD",G3903,IF(R3903&gt;0,G3903/R3903,0)))</f>
        <v/>
      </c>
      <c r="U3903" s="53">
        <f>IF(P3903="","",IF(P3903="Gasto",S3903,IF(P3903="Reembolso",-S3903,0)))</f>
        <v/>
      </c>
      <c r="V3903" s="53">
        <f>IF(P3903="","",IF(P3903="Ingreso",S3903,0))</f>
        <v/>
      </c>
      <c r="W3903" s="53">
        <f>IF(P3903="","",IF(P3903="Resultado trading",S3903,0))</f>
        <v/>
      </c>
      <c r="X3903" s="52">
        <f>IF(OR(P3903="Gasto",P3903="Reembolso"),IF(M3903&lt;&gt;"",M3903,IFERROR(INDEX(catClasif,MATCH(D3903&amp;"|"&amp;E3903,catClave,0))&amp;"","Variable")),"")</f>
        <v/>
      </c>
      <c r="Y3903" s="52">
        <f>IF(P3903="","",IFERROR(INDEX(catGrupo,MATCH(D3903&amp;"|"&amp;E3903,catClave,0))&amp;"",""))</f>
        <v/>
      </c>
      <c r="Z3903" s="52">
        <f>IF(P3903="","",WEEKDAY(B3903,2))</f>
        <v/>
      </c>
      <c r="AA3903" s="52">
        <f>IF(P3903="","",IF(AND(P3903="Gasto",X3903="Variable",D3903&lt;&gt;catTrading,S3903&gt;0,S3903&lt;=Umbral),1,0))</f>
        <v/>
      </c>
      <c r="AB3903" s="52">
        <f>IF(OR(P3903="",Q3903=""),"",IFERROR(IF(INDEX(ctaVinc,MATCH(Q3903,ctaNombre,0))&amp;""&lt;&gt;"",INDEX(ctaVinc,MATCH(Q3903,ctaNombre,0))&amp;"",Q3903),Q3903))</f>
        <v/>
      </c>
      <c r="AC3903" s="52">
        <f>IF(OR(K3903="",AND(P3903&lt;&gt;"Transferencia",P3903&lt;&gt;"Pago tarjeta")),"",IFERROR(IF(INDEX(ctaVinc,MATCH(K3903,ctaNombre,0))&amp;""&lt;&gt;"",INDEX(ctaVinc,MATCH(K3903,ctaNombre,0))&amp;"",K3903),K3903))</f>
        <v/>
      </c>
      <c r="AD3903" s="52">
        <f>IF(AB3903="","",IFERROR(INDEX(ctaTipo,MATCH(AB3903,ctaNombre,0))&amp;"",""))</f>
        <v/>
      </c>
      <c r="AE3903" s="52">
        <f>IF(AC3903="","",IFERROR(INDEX(ctaTipo,MATCH(AC3903,ctaNombre,0))&amp;"",""))</f>
        <v/>
      </c>
      <c r="AF3903" s="53">
        <f>IF(OR(P3903="",AB3903=""),"",IF(OR(P3903="Gasto",P3903="Transferencia",P3903="Pago tarjeta"),-1,1)*IF(IFERROR(INDEX(ctaMoneda,MATCH(AB3903,ctaNombre,0))&amp;"","DOP")="USD",T3903,S3903))</f>
        <v/>
      </c>
      <c r="AG3903" s="53">
        <f>IF(AC3903="","",IF(IFERROR(INDEX(ctaMoneda,MATCH(AC3903,ctaNombre,0))&amp;"","DOP")="USD",T3903,S3903))</f>
        <v/>
      </c>
      <c r="AH3903" s="53">
        <f>IF(P3903="","",IF(AND(AD3903&lt;&gt;"",COUNTIFS(tcTipo,AD3903,tcLiq,"Sí")&gt;0),IF(OR(P3903="Gasto",P3903="Transferencia",P3903="Pago tarjeta"),-1,1)*S3903,0)+IF(AND(AE3903&lt;&gt;"",COUNTIFS(tcTipo,AE3903,tcLiq,"Sí")&gt;0),S3903,0))</f>
        <v/>
      </c>
      <c r="AI3903" s="52">
        <f>IF(OR(L3903="",P3903=""),"",IF(COUNTIFS(L$6:L3903,L3903,P$6:P3903,"?*")=1,MAX(AI$5:AI3902)+1,""))</f>
        <v/>
      </c>
    </row>
    <row r="3904">
      <c r="B3904" s="47" t="n"/>
      <c r="C3904" s="48" t="n"/>
      <c r="D3904" s="48" t="n"/>
      <c r="E3904" s="48" t="n"/>
      <c r="F3904" s="48" t="n"/>
      <c r="G3904" s="49" t="n"/>
      <c r="H3904" s="48" t="n"/>
      <c r="I3904" s="50" t="n"/>
      <c r="J3904" s="48" t="n"/>
      <c r="K3904" s="48" t="n"/>
      <c r="L3904" s="48" t="n"/>
      <c r="M3904" s="48" t="n"/>
      <c r="N3904" s="48" t="n"/>
      <c r="O3904" s="51">
        <f>IF(AND(B3904="",G3904="",C3904="",D3904="",J3904=""),"",IF(B3904="","⚠ Falta fecha",IF(G3904="","⚠ Falta monto",IF(Q3904="","⚠ Falta cuenta",IF(ISNA(MATCH(Q3904,ctaNombre,0)),"⚠ Cuenta no registrada",IF(AND(OR(P3904="Gasto",P3904="Reembolso"),D3904=""),"⚠ Falta categoría",IF(AND(D3904&lt;&gt;"",E3904&lt;&gt;"",ISNA(MATCH(D3904&amp;"|"&amp;E3904,catClave,0))),"⚠ Subcategoría no corresponde",IF(AND(OR(P3904="Transferencia",P3904="Pago tarjeta"),K3904=""),"⚠ Falta cuenta destino",IF(AND(K3904&lt;&gt;"",P3904&lt;&gt;"Transferencia",P3904&lt;&gt;"Pago tarjeta"),"⚠ Destino solo aplica a transferencias",IF(AND(K3904&lt;&gt;"",K3904=Q3904),"⚠ Origen igual a destino",IF(AND(K3904&lt;&gt;"",ISNA(MATCH(K3904,ctaNombre,0))),"⚠ Destino no registrado",IF(AND(P3904="Pago tarjeta",AE3904&lt;&gt;"Tarjeta de crédito"),"⚠ El destino debe ser tarjeta de crédito",IF(AND(P3904="Gasto",E3904="Depósitos y retiros"),"⚠ Usa tipo Transferencia",IF(AND(P3904="Resultado trading",AD3904&lt;&gt;"Cuenta de trading"),"⚠ Usa una cuenta de trading",IF(AND(G3904&lt;=0,P3904&lt;&gt;"Ajuste",P3904&lt;&gt;"Resultado trading"),"⚠ El monto debe ser positivo","✓")))))))))))))))</f>
        <v/>
      </c>
      <c r="P3904" s="52">
        <f>IF(OR(B3904="",G3904=""),"",IF(C3904="","Gasto",C3904))</f>
        <v/>
      </c>
      <c r="Q3904" s="52">
        <f>IF(P3904="","",IF(J3904&lt;&gt;"",J3904,CuentaPred&amp;""))</f>
        <v/>
      </c>
      <c r="R3904" s="52">
        <f>IF(P3904="","",IF(ISNUMBER(I3904),I3904,TasaUSD))</f>
        <v/>
      </c>
      <c r="S3904" s="53">
        <f>IF(P3904="","",IF(H3904="USD",G3904*R3904,G3904))</f>
        <v/>
      </c>
      <c r="T3904" s="53">
        <f>IF(P3904="","",IF(H3904="USD",G3904,IF(R3904&gt;0,G3904/R3904,0)))</f>
        <v/>
      </c>
      <c r="U3904" s="53">
        <f>IF(P3904="","",IF(P3904="Gasto",S3904,IF(P3904="Reembolso",-S3904,0)))</f>
        <v/>
      </c>
      <c r="V3904" s="53">
        <f>IF(P3904="","",IF(P3904="Ingreso",S3904,0))</f>
        <v/>
      </c>
      <c r="W3904" s="53">
        <f>IF(P3904="","",IF(P3904="Resultado trading",S3904,0))</f>
        <v/>
      </c>
      <c r="X3904" s="52">
        <f>IF(OR(P3904="Gasto",P3904="Reembolso"),IF(M3904&lt;&gt;"",M3904,IFERROR(INDEX(catClasif,MATCH(D3904&amp;"|"&amp;E3904,catClave,0))&amp;"","Variable")),"")</f>
        <v/>
      </c>
      <c r="Y3904" s="52">
        <f>IF(P3904="","",IFERROR(INDEX(catGrupo,MATCH(D3904&amp;"|"&amp;E3904,catClave,0))&amp;"",""))</f>
        <v/>
      </c>
      <c r="Z3904" s="52">
        <f>IF(P3904="","",WEEKDAY(B3904,2))</f>
        <v/>
      </c>
      <c r="AA3904" s="52">
        <f>IF(P3904="","",IF(AND(P3904="Gasto",X3904="Variable",D3904&lt;&gt;catTrading,S3904&gt;0,S3904&lt;=Umbral),1,0))</f>
        <v/>
      </c>
      <c r="AB3904" s="52">
        <f>IF(OR(P3904="",Q3904=""),"",IFERROR(IF(INDEX(ctaVinc,MATCH(Q3904,ctaNombre,0))&amp;""&lt;&gt;"",INDEX(ctaVinc,MATCH(Q3904,ctaNombre,0))&amp;"",Q3904),Q3904))</f>
        <v/>
      </c>
      <c r="AC3904" s="52">
        <f>IF(OR(K3904="",AND(P3904&lt;&gt;"Transferencia",P3904&lt;&gt;"Pago tarjeta")),"",IFERROR(IF(INDEX(ctaVinc,MATCH(K3904,ctaNombre,0))&amp;""&lt;&gt;"",INDEX(ctaVinc,MATCH(K3904,ctaNombre,0))&amp;"",K3904),K3904))</f>
        <v/>
      </c>
      <c r="AD3904" s="52">
        <f>IF(AB3904="","",IFERROR(INDEX(ctaTipo,MATCH(AB3904,ctaNombre,0))&amp;"",""))</f>
        <v/>
      </c>
      <c r="AE3904" s="52">
        <f>IF(AC3904="","",IFERROR(INDEX(ctaTipo,MATCH(AC3904,ctaNombre,0))&amp;"",""))</f>
        <v/>
      </c>
      <c r="AF3904" s="53">
        <f>IF(OR(P3904="",AB3904=""),"",IF(OR(P3904="Gasto",P3904="Transferencia",P3904="Pago tarjeta"),-1,1)*IF(IFERROR(INDEX(ctaMoneda,MATCH(AB3904,ctaNombre,0))&amp;"","DOP")="USD",T3904,S3904))</f>
        <v/>
      </c>
      <c r="AG3904" s="53">
        <f>IF(AC3904="","",IF(IFERROR(INDEX(ctaMoneda,MATCH(AC3904,ctaNombre,0))&amp;"","DOP")="USD",T3904,S3904))</f>
        <v/>
      </c>
      <c r="AH3904" s="53">
        <f>IF(P3904="","",IF(AND(AD3904&lt;&gt;"",COUNTIFS(tcTipo,AD3904,tcLiq,"Sí")&gt;0),IF(OR(P3904="Gasto",P3904="Transferencia",P3904="Pago tarjeta"),-1,1)*S3904,0)+IF(AND(AE3904&lt;&gt;"",COUNTIFS(tcTipo,AE3904,tcLiq,"Sí")&gt;0),S3904,0))</f>
        <v/>
      </c>
      <c r="AI3904" s="52">
        <f>IF(OR(L3904="",P3904=""),"",IF(COUNTIFS(L$6:L3904,L3904,P$6:P3904,"?*")=1,MAX(AI$5:AI3903)+1,""))</f>
        <v/>
      </c>
    </row>
    <row r="3905">
      <c r="B3905" s="47" t="n"/>
      <c r="C3905" s="48" t="n"/>
      <c r="D3905" s="48" t="n"/>
      <c r="E3905" s="48" t="n"/>
      <c r="F3905" s="48" t="n"/>
      <c r="G3905" s="49" t="n"/>
      <c r="H3905" s="48" t="n"/>
      <c r="I3905" s="50" t="n"/>
      <c r="J3905" s="48" t="n"/>
      <c r="K3905" s="48" t="n"/>
      <c r="L3905" s="48" t="n"/>
      <c r="M3905" s="48" t="n"/>
      <c r="N3905" s="48" t="n"/>
      <c r="O3905" s="51">
        <f>IF(AND(B3905="",G3905="",C3905="",D3905="",J3905=""),"",IF(B3905="","⚠ Falta fecha",IF(G3905="","⚠ Falta monto",IF(Q3905="","⚠ Falta cuenta",IF(ISNA(MATCH(Q3905,ctaNombre,0)),"⚠ Cuenta no registrada",IF(AND(OR(P3905="Gasto",P3905="Reembolso"),D3905=""),"⚠ Falta categoría",IF(AND(D3905&lt;&gt;"",E3905&lt;&gt;"",ISNA(MATCH(D3905&amp;"|"&amp;E3905,catClave,0))),"⚠ Subcategoría no corresponde",IF(AND(OR(P3905="Transferencia",P3905="Pago tarjeta"),K3905=""),"⚠ Falta cuenta destino",IF(AND(K3905&lt;&gt;"",P3905&lt;&gt;"Transferencia",P3905&lt;&gt;"Pago tarjeta"),"⚠ Destino solo aplica a transferencias",IF(AND(K3905&lt;&gt;"",K3905=Q3905),"⚠ Origen igual a destino",IF(AND(K3905&lt;&gt;"",ISNA(MATCH(K3905,ctaNombre,0))),"⚠ Destino no registrado",IF(AND(P3905="Pago tarjeta",AE3905&lt;&gt;"Tarjeta de crédito"),"⚠ El destino debe ser tarjeta de crédito",IF(AND(P3905="Gasto",E3905="Depósitos y retiros"),"⚠ Usa tipo Transferencia",IF(AND(P3905="Resultado trading",AD3905&lt;&gt;"Cuenta de trading"),"⚠ Usa una cuenta de trading",IF(AND(G3905&lt;=0,P3905&lt;&gt;"Ajuste",P3905&lt;&gt;"Resultado trading"),"⚠ El monto debe ser positivo","✓")))))))))))))))</f>
        <v/>
      </c>
      <c r="P3905" s="52">
        <f>IF(OR(B3905="",G3905=""),"",IF(C3905="","Gasto",C3905))</f>
        <v/>
      </c>
      <c r="Q3905" s="52">
        <f>IF(P3905="","",IF(J3905&lt;&gt;"",J3905,CuentaPred&amp;""))</f>
        <v/>
      </c>
      <c r="R3905" s="52">
        <f>IF(P3905="","",IF(ISNUMBER(I3905),I3905,TasaUSD))</f>
        <v/>
      </c>
      <c r="S3905" s="53">
        <f>IF(P3905="","",IF(H3905="USD",G3905*R3905,G3905))</f>
        <v/>
      </c>
      <c r="T3905" s="53">
        <f>IF(P3905="","",IF(H3905="USD",G3905,IF(R3905&gt;0,G3905/R3905,0)))</f>
        <v/>
      </c>
      <c r="U3905" s="53">
        <f>IF(P3905="","",IF(P3905="Gasto",S3905,IF(P3905="Reembolso",-S3905,0)))</f>
        <v/>
      </c>
      <c r="V3905" s="53">
        <f>IF(P3905="","",IF(P3905="Ingreso",S3905,0))</f>
        <v/>
      </c>
      <c r="W3905" s="53">
        <f>IF(P3905="","",IF(P3905="Resultado trading",S3905,0))</f>
        <v/>
      </c>
      <c r="X3905" s="52">
        <f>IF(OR(P3905="Gasto",P3905="Reembolso"),IF(M3905&lt;&gt;"",M3905,IFERROR(INDEX(catClasif,MATCH(D3905&amp;"|"&amp;E3905,catClave,0))&amp;"","Variable")),"")</f>
        <v/>
      </c>
      <c r="Y3905" s="52">
        <f>IF(P3905="","",IFERROR(INDEX(catGrupo,MATCH(D3905&amp;"|"&amp;E3905,catClave,0))&amp;"",""))</f>
        <v/>
      </c>
      <c r="Z3905" s="52">
        <f>IF(P3905="","",WEEKDAY(B3905,2))</f>
        <v/>
      </c>
      <c r="AA3905" s="52">
        <f>IF(P3905="","",IF(AND(P3905="Gasto",X3905="Variable",D3905&lt;&gt;catTrading,S3905&gt;0,S3905&lt;=Umbral),1,0))</f>
        <v/>
      </c>
      <c r="AB3905" s="52">
        <f>IF(OR(P3905="",Q3905=""),"",IFERROR(IF(INDEX(ctaVinc,MATCH(Q3905,ctaNombre,0))&amp;""&lt;&gt;"",INDEX(ctaVinc,MATCH(Q3905,ctaNombre,0))&amp;"",Q3905),Q3905))</f>
        <v/>
      </c>
      <c r="AC3905" s="52">
        <f>IF(OR(K3905="",AND(P3905&lt;&gt;"Transferencia",P3905&lt;&gt;"Pago tarjeta")),"",IFERROR(IF(INDEX(ctaVinc,MATCH(K3905,ctaNombre,0))&amp;""&lt;&gt;"",INDEX(ctaVinc,MATCH(K3905,ctaNombre,0))&amp;"",K3905),K3905))</f>
        <v/>
      </c>
      <c r="AD3905" s="52">
        <f>IF(AB3905="","",IFERROR(INDEX(ctaTipo,MATCH(AB3905,ctaNombre,0))&amp;"",""))</f>
        <v/>
      </c>
      <c r="AE3905" s="52">
        <f>IF(AC3905="","",IFERROR(INDEX(ctaTipo,MATCH(AC3905,ctaNombre,0))&amp;"",""))</f>
        <v/>
      </c>
      <c r="AF3905" s="53">
        <f>IF(OR(P3905="",AB3905=""),"",IF(OR(P3905="Gasto",P3905="Transferencia",P3905="Pago tarjeta"),-1,1)*IF(IFERROR(INDEX(ctaMoneda,MATCH(AB3905,ctaNombre,0))&amp;"","DOP")="USD",T3905,S3905))</f>
        <v/>
      </c>
      <c r="AG3905" s="53">
        <f>IF(AC3905="","",IF(IFERROR(INDEX(ctaMoneda,MATCH(AC3905,ctaNombre,0))&amp;"","DOP")="USD",T3905,S3905))</f>
        <v/>
      </c>
      <c r="AH3905" s="53">
        <f>IF(P3905="","",IF(AND(AD3905&lt;&gt;"",COUNTIFS(tcTipo,AD3905,tcLiq,"Sí")&gt;0),IF(OR(P3905="Gasto",P3905="Transferencia",P3905="Pago tarjeta"),-1,1)*S3905,0)+IF(AND(AE3905&lt;&gt;"",COUNTIFS(tcTipo,AE3905,tcLiq,"Sí")&gt;0),S3905,0))</f>
        <v/>
      </c>
      <c r="AI3905" s="52">
        <f>IF(OR(L3905="",P3905=""),"",IF(COUNTIFS(L$6:L3905,L3905,P$6:P3905,"?*")=1,MAX(AI$5:AI3904)+1,""))</f>
        <v/>
      </c>
    </row>
    <row r="3906">
      <c r="B3906" s="47" t="n"/>
      <c r="C3906" s="48" t="n"/>
      <c r="D3906" s="48" t="n"/>
      <c r="E3906" s="48" t="n"/>
      <c r="F3906" s="48" t="n"/>
      <c r="G3906" s="49" t="n"/>
      <c r="H3906" s="48" t="n"/>
      <c r="I3906" s="50" t="n"/>
      <c r="J3906" s="48" t="n"/>
      <c r="K3906" s="48" t="n"/>
      <c r="L3906" s="48" t="n"/>
      <c r="M3906" s="48" t="n"/>
      <c r="N3906" s="48" t="n"/>
      <c r="O3906" s="51">
        <f>IF(AND(B3906="",G3906="",C3906="",D3906="",J3906=""),"",IF(B3906="","⚠ Falta fecha",IF(G3906="","⚠ Falta monto",IF(Q3906="","⚠ Falta cuenta",IF(ISNA(MATCH(Q3906,ctaNombre,0)),"⚠ Cuenta no registrada",IF(AND(OR(P3906="Gasto",P3906="Reembolso"),D3906=""),"⚠ Falta categoría",IF(AND(D3906&lt;&gt;"",E3906&lt;&gt;"",ISNA(MATCH(D3906&amp;"|"&amp;E3906,catClave,0))),"⚠ Subcategoría no corresponde",IF(AND(OR(P3906="Transferencia",P3906="Pago tarjeta"),K3906=""),"⚠ Falta cuenta destino",IF(AND(K3906&lt;&gt;"",P3906&lt;&gt;"Transferencia",P3906&lt;&gt;"Pago tarjeta"),"⚠ Destino solo aplica a transferencias",IF(AND(K3906&lt;&gt;"",K3906=Q3906),"⚠ Origen igual a destino",IF(AND(K3906&lt;&gt;"",ISNA(MATCH(K3906,ctaNombre,0))),"⚠ Destino no registrado",IF(AND(P3906="Pago tarjeta",AE3906&lt;&gt;"Tarjeta de crédito"),"⚠ El destino debe ser tarjeta de crédito",IF(AND(P3906="Gasto",E3906="Depósitos y retiros"),"⚠ Usa tipo Transferencia",IF(AND(P3906="Resultado trading",AD3906&lt;&gt;"Cuenta de trading"),"⚠ Usa una cuenta de trading",IF(AND(G3906&lt;=0,P3906&lt;&gt;"Ajuste",P3906&lt;&gt;"Resultado trading"),"⚠ El monto debe ser positivo","✓")))))))))))))))</f>
        <v/>
      </c>
      <c r="P3906" s="52">
        <f>IF(OR(B3906="",G3906=""),"",IF(C3906="","Gasto",C3906))</f>
        <v/>
      </c>
      <c r="Q3906" s="52">
        <f>IF(P3906="","",IF(J3906&lt;&gt;"",J3906,CuentaPred&amp;""))</f>
        <v/>
      </c>
      <c r="R3906" s="52">
        <f>IF(P3906="","",IF(ISNUMBER(I3906),I3906,TasaUSD))</f>
        <v/>
      </c>
      <c r="S3906" s="53">
        <f>IF(P3906="","",IF(H3906="USD",G3906*R3906,G3906))</f>
        <v/>
      </c>
      <c r="T3906" s="53">
        <f>IF(P3906="","",IF(H3906="USD",G3906,IF(R3906&gt;0,G3906/R3906,0)))</f>
        <v/>
      </c>
      <c r="U3906" s="53">
        <f>IF(P3906="","",IF(P3906="Gasto",S3906,IF(P3906="Reembolso",-S3906,0)))</f>
        <v/>
      </c>
      <c r="V3906" s="53">
        <f>IF(P3906="","",IF(P3906="Ingreso",S3906,0))</f>
        <v/>
      </c>
      <c r="W3906" s="53">
        <f>IF(P3906="","",IF(P3906="Resultado trading",S3906,0))</f>
        <v/>
      </c>
      <c r="X3906" s="52">
        <f>IF(OR(P3906="Gasto",P3906="Reembolso"),IF(M3906&lt;&gt;"",M3906,IFERROR(INDEX(catClasif,MATCH(D3906&amp;"|"&amp;E3906,catClave,0))&amp;"","Variable")),"")</f>
        <v/>
      </c>
      <c r="Y3906" s="52">
        <f>IF(P3906="","",IFERROR(INDEX(catGrupo,MATCH(D3906&amp;"|"&amp;E3906,catClave,0))&amp;"",""))</f>
        <v/>
      </c>
      <c r="Z3906" s="52">
        <f>IF(P3906="","",WEEKDAY(B3906,2))</f>
        <v/>
      </c>
      <c r="AA3906" s="52">
        <f>IF(P3906="","",IF(AND(P3906="Gasto",X3906="Variable",D3906&lt;&gt;catTrading,S3906&gt;0,S3906&lt;=Umbral),1,0))</f>
        <v/>
      </c>
      <c r="AB3906" s="52">
        <f>IF(OR(P3906="",Q3906=""),"",IFERROR(IF(INDEX(ctaVinc,MATCH(Q3906,ctaNombre,0))&amp;""&lt;&gt;"",INDEX(ctaVinc,MATCH(Q3906,ctaNombre,0))&amp;"",Q3906),Q3906))</f>
        <v/>
      </c>
      <c r="AC3906" s="52">
        <f>IF(OR(K3906="",AND(P3906&lt;&gt;"Transferencia",P3906&lt;&gt;"Pago tarjeta")),"",IFERROR(IF(INDEX(ctaVinc,MATCH(K3906,ctaNombre,0))&amp;""&lt;&gt;"",INDEX(ctaVinc,MATCH(K3906,ctaNombre,0))&amp;"",K3906),K3906))</f>
        <v/>
      </c>
      <c r="AD3906" s="52">
        <f>IF(AB3906="","",IFERROR(INDEX(ctaTipo,MATCH(AB3906,ctaNombre,0))&amp;"",""))</f>
        <v/>
      </c>
      <c r="AE3906" s="52">
        <f>IF(AC3906="","",IFERROR(INDEX(ctaTipo,MATCH(AC3906,ctaNombre,0))&amp;"",""))</f>
        <v/>
      </c>
      <c r="AF3906" s="53">
        <f>IF(OR(P3906="",AB3906=""),"",IF(OR(P3906="Gasto",P3906="Transferencia",P3906="Pago tarjeta"),-1,1)*IF(IFERROR(INDEX(ctaMoneda,MATCH(AB3906,ctaNombre,0))&amp;"","DOP")="USD",T3906,S3906))</f>
        <v/>
      </c>
      <c r="AG3906" s="53">
        <f>IF(AC3906="","",IF(IFERROR(INDEX(ctaMoneda,MATCH(AC3906,ctaNombre,0))&amp;"","DOP")="USD",T3906,S3906))</f>
        <v/>
      </c>
      <c r="AH3906" s="53">
        <f>IF(P3906="","",IF(AND(AD3906&lt;&gt;"",COUNTIFS(tcTipo,AD3906,tcLiq,"Sí")&gt;0),IF(OR(P3906="Gasto",P3906="Transferencia",P3906="Pago tarjeta"),-1,1)*S3906,0)+IF(AND(AE3906&lt;&gt;"",COUNTIFS(tcTipo,AE3906,tcLiq,"Sí")&gt;0),S3906,0))</f>
        <v/>
      </c>
      <c r="AI3906" s="52">
        <f>IF(OR(L3906="",P3906=""),"",IF(COUNTIFS(L$6:L3906,L3906,P$6:P3906,"?*")=1,MAX(AI$5:AI3905)+1,""))</f>
        <v/>
      </c>
    </row>
    <row r="3907">
      <c r="B3907" s="47" t="n"/>
      <c r="C3907" s="48" t="n"/>
      <c r="D3907" s="48" t="n"/>
      <c r="E3907" s="48" t="n"/>
      <c r="F3907" s="48" t="n"/>
      <c r="G3907" s="49" t="n"/>
      <c r="H3907" s="48" t="n"/>
      <c r="I3907" s="50" t="n"/>
      <c r="J3907" s="48" t="n"/>
      <c r="K3907" s="48" t="n"/>
      <c r="L3907" s="48" t="n"/>
      <c r="M3907" s="48" t="n"/>
      <c r="N3907" s="48" t="n"/>
      <c r="O3907" s="51">
        <f>IF(AND(B3907="",G3907="",C3907="",D3907="",J3907=""),"",IF(B3907="","⚠ Falta fecha",IF(G3907="","⚠ Falta monto",IF(Q3907="","⚠ Falta cuenta",IF(ISNA(MATCH(Q3907,ctaNombre,0)),"⚠ Cuenta no registrada",IF(AND(OR(P3907="Gasto",P3907="Reembolso"),D3907=""),"⚠ Falta categoría",IF(AND(D3907&lt;&gt;"",E3907&lt;&gt;"",ISNA(MATCH(D3907&amp;"|"&amp;E3907,catClave,0))),"⚠ Subcategoría no corresponde",IF(AND(OR(P3907="Transferencia",P3907="Pago tarjeta"),K3907=""),"⚠ Falta cuenta destino",IF(AND(K3907&lt;&gt;"",P3907&lt;&gt;"Transferencia",P3907&lt;&gt;"Pago tarjeta"),"⚠ Destino solo aplica a transferencias",IF(AND(K3907&lt;&gt;"",K3907=Q3907),"⚠ Origen igual a destino",IF(AND(K3907&lt;&gt;"",ISNA(MATCH(K3907,ctaNombre,0))),"⚠ Destino no registrado",IF(AND(P3907="Pago tarjeta",AE3907&lt;&gt;"Tarjeta de crédito"),"⚠ El destino debe ser tarjeta de crédito",IF(AND(P3907="Gasto",E3907="Depósitos y retiros"),"⚠ Usa tipo Transferencia",IF(AND(P3907="Resultado trading",AD3907&lt;&gt;"Cuenta de trading"),"⚠ Usa una cuenta de trading",IF(AND(G3907&lt;=0,P3907&lt;&gt;"Ajuste",P3907&lt;&gt;"Resultado trading"),"⚠ El monto debe ser positivo","✓")))))))))))))))</f>
        <v/>
      </c>
      <c r="P3907" s="52">
        <f>IF(OR(B3907="",G3907=""),"",IF(C3907="","Gasto",C3907))</f>
        <v/>
      </c>
      <c r="Q3907" s="52">
        <f>IF(P3907="","",IF(J3907&lt;&gt;"",J3907,CuentaPred&amp;""))</f>
        <v/>
      </c>
      <c r="R3907" s="52">
        <f>IF(P3907="","",IF(ISNUMBER(I3907),I3907,TasaUSD))</f>
        <v/>
      </c>
      <c r="S3907" s="53">
        <f>IF(P3907="","",IF(H3907="USD",G3907*R3907,G3907))</f>
        <v/>
      </c>
      <c r="T3907" s="53">
        <f>IF(P3907="","",IF(H3907="USD",G3907,IF(R3907&gt;0,G3907/R3907,0)))</f>
        <v/>
      </c>
      <c r="U3907" s="53">
        <f>IF(P3907="","",IF(P3907="Gasto",S3907,IF(P3907="Reembolso",-S3907,0)))</f>
        <v/>
      </c>
      <c r="V3907" s="53">
        <f>IF(P3907="","",IF(P3907="Ingreso",S3907,0))</f>
        <v/>
      </c>
      <c r="W3907" s="53">
        <f>IF(P3907="","",IF(P3907="Resultado trading",S3907,0))</f>
        <v/>
      </c>
      <c r="X3907" s="52">
        <f>IF(OR(P3907="Gasto",P3907="Reembolso"),IF(M3907&lt;&gt;"",M3907,IFERROR(INDEX(catClasif,MATCH(D3907&amp;"|"&amp;E3907,catClave,0))&amp;"","Variable")),"")</f>
        <v/>
      </c>
      <c r="Y3907" s="52">
        <f>IF(P3907="","",IFERROR(INDEX(catGrupo,MATCH(D3907&amp;"|"&amp;E3907,catClave,0))&amp;"",""))</f>
        <v/>
      </c>
      <c r="Z3907" s="52">
        <f>IF(P3907="","",WEEKDAY(B3907,2))</f>
        <v/>
      </c>
      <c r="AA3907" s="52">
        <f>IF(P3907="","",IF(AND(P3907="Gasto",X3907="Variable",D3907&lt;&gt;catTrading,S3907&gt;0,S3907&lt;=Umbral),1,0))</f>
        <v/>
      </c>
      <c r="AB3907" s="52">
        <f>IF(OR(P3907="",Q3907=""),"",IFERROR(IF(INDEX(ctaVinc,MATCH(Q3907,ctaNombre,0))&amp;""&lt;&gt;"",INDEX(ctaVinc,MATCH(Q3907,ctaNombre,0))&amp;"",Q3907),Q3907))</f>
        <v/>
      </c>
      <c r="AC3907" s="52">
        <f>IF(OR(K3907="",AND(P3907&lt;&gt;"Transferencia",P3907&lt;&gt;"Pago tarjeta")),"",IFERROR(IF(INDEX(ctaVinc,MATCH(K3907,ctaNombre,0))&amp;""&lt;&gt;"",INDEX(ctaVinc,MATCH(K3907,ctaNombre,0))&amp;"",K3907),K3907))</f>
        <v/>
      </c>
      <c r="AD3907" s="52">
        <f>IF(AB3907="","",IFERROR(INDEX(ctaTipo,MATCH(AB3907,ctaNombre,0))&amp;"",""))</f>
        <v/>
      </c>
      <c r="AE3907" s="52">
        <f>IF(AC3907="","",IFERROR(INDEX(ctaTipo,MATCH(AC3907,ctaNombre,0))&amp;"",""))</f>
        <v/>
      </c>
      <c r="AF3907" s="53">
        <f>IF(OR(P3907="",AB3907=""),"",IF(OR(P3907="Gasto",P3907="Transferencia",P3907="Pago tarjeta"),-1,1)*IF(IFERROR(INDEX(ctaMoneda,MATCH(AB3907,ctaNombre,0))&amp;"","DOP")="USD",T3907,S3907))</f>
        <v/>
      </c>
      <c r="AG3907" s="53">
        <f>IF(AC3907="","",IF(IFERROR(INDEX(ctaMoneda,MATCH(AC3907,ctaNombre,0))&amp;"","DOP")="USD",T3907,S3907))</f>
        <v/>
      </c>
      <c r="AH3907" s="53">
        <f>IF(P3907="","",IF(AND(AD3907&lt;&gt;"",COUNTIFS(tcTipo,AD3907,tcLiq,"Sí")&gt;0),IF(OR(P3907="Gasto",P3907="Transferencia",P3907="Pago tarjeta"),-1,1)*S3907,0)+IF(AND(AE3907&lt;&gt;"",COUNTIFS(tcTipo,AE3907,tcLiq,"Sí")&gt;0),S3907,0))</f>
        <v/>
      </c>
      <c r="AI3907" s="52">
        <f>IF(OR(L3907="",P3907=""),"",IF(COUNTIFS(L$6:L3907,L3907,P$6:P3907,"?*")=1,MAX(AI$5:AI3906)+1,""))</f>
        <v/>
      </c>
    </row>
    <row r="3908">
      <c r="B3908" s="47" t="n"/>
      <c r="C3908" s="48" t="n"/>
      <c r="D3908" s="48" t="n"/>
      <c r="E3908" s="48" t="n"/>
      <c r="F3908" s="48" t="n"/>
      <c r="G3908" s="49" t="n"/>
      <c r="H3908" s="48" t="n"/>
      <c r="I3908" s="50" t="n"/>
      <c r="J3908" s="48" t="n"/>
      <c r="K3908" s="48" t="n"/>
      <c r="L3908" s="48" t="n"/>
      <c r="M3908" s="48" t="n"/>
      <c r="N3908" s="48" t="n"/>
      <c r="O3908" s="51">
        <f>IF(AND(B3908="",G3908="",C3908="",D3908="",J3908=""),"",IF(B3908="","⚠ Falta fecha",IF(G3908="","⚠ Falta monto",IF(Q3908="","⚠ Falta cuenta",IF(ISNA(MATCH(Q3908,ctaNombre,0)),"⚠ Cuenta no registrada",IF(AND(OR(P3908="Gasto",P3908="Reembolso"),D3908=""),"⚠ Falta categoría",IF(AND(D3908&lt;&gt;"",E3908&lt;&gt;"",ISNA(MATCH(D3908&amp;"|"&amp;E3908,catClave,0))),"⚠ Subcategoría no corresponde",IF(AND(OR(P3908="Transferencia",P3908="Pago tarjeta"),K3908=""),"⚠ Falta cuenta destino",IF(AND(K3908&lt;&gt;"",P3908&lt;&gt;"Transferencia",P3908&lt;&gt;"Pago tarjeta"),"⚠ Destino solo aplica a transferencias",IF(AND(K3908&lt;&gt;"",K3908=Q3908),"⚠ Origen igual a destino",IF(AND(K3908&lt;&gt;"",ISNA(MATCH(K3908,ctaNombre,0))),"⚠ Destino no registrado",IF(AND(P3908="Pago tarjeta",AE3908&lt;&gt;"Tarjeta de crédito"),"⚠ El destino debe ser tarjeta de crédito",IF(AND(P3908="Gasto",E3908="Depósitos y retiros"),"⚠ Usa tipo Transferencia",IF(AND(P3908="Resultado trading",AD3908&lt;&gt;"Cuenta de trading"),"⚠ Usa una cuenta de trading",IF(AND(G3908&lt;=0,P3908&lt;&gt;"Ajuste",P3908&lt;&gt;"Resultado trading"),"⚠ El monto debe ser positivo","✓")))))))))))))))</f>
        <v/>
      </c>
      <c r="P3908" s="52">
        <f>IF(OR(B3908="",G3908=""),"",IF(C3908="","Gasto",C3908))</f>
        <v/>
      </c>
      <c r="Q3908" s="52">
        <f>IF(P3908="","",IF(J3908&lt;&gt;"",J3908,CuentaPred&amp;""))</f>
        <v/>
      </c>
      <c r="R3908" s="52">
        <f>IF(P3908="","",IF(ISNUMBER(I3908),I3908,TasaUSD))</f>
        <v/>
      </c>
      <c r="S3908" s="53">
        <f>IF(P3908="","",IF(H3908="USD",G3908*R3908,G3908))</f>
        <v/>
      </c>
      <c r="T3908" s="53">
        <f>IF(P3908="","",IF(H3908="USD",G3908,IF(R3908&gt;0,G3908/R3908,0)))</f>
        <v/>
      </c>
      <c r="U3908" s="53">
        <f>IF(P3908="","",IF(P3908="Gasto",S3908,IF(P3908="Reembolso",-S3908,0)))</f>
        <v/>
      </c>
      <c r="V3908" s="53">
        <f>IF(P3908="","",IF(P3908="Ingreso",S3908,0))</f>
        <v/>
      </c>
      <c r="W3908" s="53">
        <f>IF(P3908="","",IF(P3908="Resultado trading",S3908,0))</f>
        <v/>
      </c>
      <c r="X3908" s="52">
        <f>IF(OR(P3908="Gasto",P3908="Reembolso"),IF(M3908&lt;&gt;"",M3908,IFERROR(INDEX(catClasif,MATCH(D3908&amp;"|"&amp;E3908,catClave,0))&amp;"","Variable")),"")</f>
        <v/>
      </c>
      <c r="Y3908" s="52">
        <f>IF(P3908="","",IFERROR(INDEX(catGrupo,MATCH(D3908&amp;"|"&amp;E3908,catClave,0))&amp;"",""))</f>
        <v/>
      </c>
      <c r="Z3908" s="52">
        <f>IF(P3908="","",WEEKDAY(B3908,2))</f>
        <v/>
      </c>
      <c r="AA3908" s="52">
        <f>IF(P3908="","",IF(AND(P3908="Gasto",X3908="Variable",D3908&lt;&gt;catTrading,S3908&gt;0,S3908&lt;=Umbral),1,0))</f>
        <v/>
      </c>
      <c r="AB3908" s="52">
        <f>IF(OR(P3908="",Q3908=""),"",IFERROR(IF(INDEX(ctaVinc,MATCH(Q3908,ctaNombre,0))&amp;""&lt;&gt;"",INDEX(ctaVinc,MATCH(Q3908,ctaNombre,0))&amp;"",Q3908),Q3908))</f>
        <v/>
      </c>
      <c r="AC3908" s="52">
        <f>IF(OR(K3908="",AND(P3908&lt;&gt;"Transferencia",P3908&lt;&gt;"Pago tarjeta")),"",IFERROR(IF(INDEX(ctaVinc,MATCH(K3908,ctaNombre,0))&amp;""&lt;&gt;"",INDEX(ctaVinc,MATCH(K3908,ctaNombre,0))&amp;"",K3908),K3908))</f>
        <v/>
      </c>
      <c r="AD3908" s="52">
        <f>IF(AB3908="","",IFERROR(INDEX(ctaTipo,MATCH(AB3908,ctaNombre,0))&amp;"",""))</f>
        <v/>
      </c>
      <c r="AE3908" s="52">
        <f>IF(AC3908="","",IFERROR(INDEX(ctaTipo,MATCH(AC3908,ctaNombre,0))&amp;"",""))</f>
        <v/>
      </c>
      <c r="AF3908" s="53">
        <f>IF(OR(P3908="",AB3908=""),"",IF(OR(P3908="Gasto",P3908="Transferencia",P3908="Pago tarjeta"),-1,1)*IF(IFERROR(INDEX(ctaMoneda,MATCH(AB3908,ctaNombre,0))&amp;"","DOP")="USD",T3908,S3908))</f>
        <v/>
      </c>
      <c r="AG3908" s="53">
        <f>IF(AC3908="","",IF(IFERROR(INDEX(ctaMoneda,MATCH(AC3908,ctaNombre,0))&amp;"","DOP")="USD",T3908,S3908))</f>
        <v/>
      </c>
      <c r="AH3908" s="53">
        <f>IF(P3908="","",IF(AND(AD3908&lt;&gt;"",COUNTIFS(tcTipo,AD3908,tcLiq,"Sí")&gt;0),IF(OR(P3908="Gasto",P3908="Transferencia",P3908="Pago tarjeta"),-1,1)*S3908,0)+IF(AND(AE3908&lt;&gt;"",COUNTIFS(tcTipo,AE3908,tcLiq,"Sí")&gt;0),S3908,0))</f>
        <v/>
      </c>
      <c r="AI3908" s="52">
        <f>IF(OR(L3908="",P3908=""),"",IF(COUNTIFS(L$6:L3908,L3908,P$6:P3908,"?*")=1,MAX(AI$5:AI3907)+1,""))</f>
        <v/>
      </c>
    </row>
    <row r="3909">
      <c r="B3909" s="47" t="n"/>
      <c r="C3909" s="48" t="n"/>
      <c r="D3909" s="48" t="n"/>
      <c r="E3909" s="48" t="n"/>
      <c r="F3909" s="48" t="n"/>
      <c r="G3909" s="49" t="n"/>
      <c r="H3909" s="48" t="n"/>
      <c r="I3909" s="50" t="n"/>
      <c r="J3909" s="48" t="n"/>
      <c r="K3909" s="48" t="n"/>
      <c r="L3909" s="48" t="n"/>
      <c r="M3909" s="48" t="n"/>
      <c r="N3909" s="48" t="n"/>
      <c r="O3909" s="51">
        <f>IF(AND(B3909="",G3909="",C3909="",D3909="",J3909=""),"",IF(B3909="","⚠ Falta fecha",IF(G3909="","⚠ Falta monto",IF(Q3909="","⚠ Falta cuenta",IF(ISNA(MATCH(Q3909,ctaNombre,0)),"⚠ Cuenta no registrada",IF(AND(OR(P3909="Gasto",P3909="Reembolso"),D3909=""),"⚠ Falta categoría",IF(AND(D3909&lt;&gt;"",E3909&lt;&gt;"",ISNA(MATCH(D3909&amp;"|"&amp;E3909,catClave,0))),"⚠ Subcategoría no corresponde",IF(AND(OR(P3909="Transferencia",P3909="Pago tarjeta"),K3909=""),"⚠ Falta cuenta destino",IF(AND(K3909&lt;&gt;"",P3909&lt;&gt;"Transferencia",P3909&lt;&gt;"Pago tarjeta"),"⚠ Destino solo aplica a transferencias",IF(AND(K3909&lt;&gt;"",K3909=Q3909),"⚠ Origen igual a destino",IF(AND(K3909&lt;&gt;"",ISNA(MATCH(K3909,ctaNombre,0))),"⚠ Destino no registrado",IF(AND(P3909="Pago tarjeta",AE3909&lt;&gt;"Tarjeta de crédito"),"⚠ El destino debe ser tarjeta de crédito",IF(AND(P3909="Gasto",E3909="Depósitos y retiros"),"⚠ Usa tipo Transferencia",IF(AND(P3909="Resultado trading",AD3909&lt;&gt;"Cuenta de trading"),"⚠ Usa una cuenta de trading",IF(AND(G3909&lt;=0,P3909&lt;&gt;"Ajuste",P3909&lt;&gt;"Resultado trading"),"⚠ El monto debe ser positivo","✓")))))))))))))))</f>
        <v/>
      </c>
      <c r="P3909" s="52">
        <f>IF(OR(B3909="",G3909=""),"",IF(C3909="","Gasto",C3909))</f>
        <v/>
      </c>
      <c r="Q3909" s="52">
        <f>IF(P3909="","",IF(J3909&lt;&gt;"",J3909,CuentaPred&amp;""))</f>
        <v/>
      </c>
      <c r="R3909" s="52">
        <f>IF(P3909="","",IF(ISNUMBER(I3909),I3909,TasaUSD))</f>
        <v/>
      </c>
      <c r="S3909" s="53">
        <f>IF(P3909="","",IF(H3909="USD",G3909*R3909,G3909))</f>
        <v/>
      </c>
      <c r="T3909" s="53">
        <f>IF(P3909="","",IF(H3909="USD",G3909,IF(R3909&gt;0,G3909/R3909,0)))</f>
        <v/>
      </c>
      <c r="U3909" s="53">
        <f>IF(P3909="","",IF(P3909="Gasto",S3909,IF(P3909="Reembolso",-S3909,0)))</f>
        <v/>
      </c>
      <c r="V3909" s="53">
        <f>IF(P3909="","",IF(P3909="Ingreso",S3909,0))</f>
        <v/>
      </c>
      <c r="W3909" s="53">
        <f>IF(P3909="","",IF(P3909="Resultado trading",S3909,0))</f>
        <v/>
      </c>
      <c r="X3909" s="52">
        <f>IF(OR(P3909="Gasto",P3909="Reembolso"),IF(M3909&lt;&gt;"",M3909,IFERROR(INDEX(catClasif,MATCH(D3909&amp;"|"&amp;E3909,catClave,0))&amp;"","Variable")),"")</f>
        <v/>
      </c>
      <c r="Y3909" s="52">
        <f>IF(P3909="","",IFERROR(INDEX(catGrupo,MATCH(D3909&amp;"|"&amp;E3909,catClave,0))&amp;"",""))</f>
        <v/>
      </c>
      <c r="Z3909" s="52">
        <f>IF(P3909="","",WEEKDAY(B3909,2))</f>
        <v/>
      </c>
      <c r="AA3909" s="52">
        <f>IF(P3909="","",IF(AND(P3909="Gasto",X3909="Variable",D3909&lt;&gt;catTrading,S3909&gt;0,S3909&lt;=Umbral),1,0))</f>
        <v/>
      </c>
      <c r="AB3909" s="52">
        <f>IF(OR(P3909="",Q3909=""),"",IFERROR(IF(INDEX(ctaVinc,MATCH(Q3909,ctaNombre,0))&amp;""&lt;&gt;"",INDEX(ctaVinc,MATCH(Q3909,ctaNombre,0))&amp;"",Q3909),Q3909))</f>
        <v/>
      </c>
      <c r="AC3909" s="52">
        <f>IF(OR(K3909="",AND(P3909&lt;&gt;"Transferencia",P3909&lt;&gt;"Pago tarjeta")),"",IFERROR(IF(INDEX(ctaVinc,MATCH(K3909,ctaNombre,0))&amp;""&lt;&gt;"",INDEX(ctaVinc,MATCH(K3909,ctaNombre,0))&amp;"",K3909),K3909))</f>
        <v/>
      </c>
      <c r="AD3909" s="52">
        <f>IF(AB3909="","",IFERROR(INDEX(ctaTipo,MATCH(AB3909,ctaNombre,0))&amp;"",""))</f>
        <v/>
      </c>
      <c r="AE3909" s="52">
        <f>IF(AC3909="","",IFERROR(INDEX(ctaTipo,MATCH(AC3909,ctaNombre,0))&amp;"",""))</f>
        <v/>
      </c>
      <c r="AF3909" s="53">
        <f>IF(OR(P3909="",AB3909=""),"",IF(OR(P3909="Gasto",P3909="Transferencia",P3909="Pago tarjeta"),-1,1)*IF(IFERROR(INDEX(ctaMoneda,MATCH(AB3909,ctaNombre,0))&amp;"","DOP")="USD",T3909,S3909))</f>
        <v/>
      </c>
      <c r="AG3909" s="53">
        <f>IF(AC3909="","",IF(IFERROR(INDEX(ctaMoneda,MATCH(AC3909,ctaNombre,0))&amp;"","DOP")="USD",T3909,S3909))</f>
        <v/>
      </c>
      <c r="AH3909" s="53">
        <f>IF(P3909="","",IF(AND(AD3909&lt;&gt;"",COUNTIFS(tcTipo,AD3909,tcLiq,"Sí")&gt;0),IF(OR(P3909="Gasto",P3909="Transferencia",P3909="Pago tarjeta"),-1,1)*S3909,0)+IF(AND(AE3909&lt;&gt;"",COUNTIFS(tcTipo,AE3909,tcLiq,"Sí")&gt;0),S3909,0))</f>
        <v/>
      </c>
      <c r="AI3909" s="52">
        <f>IF(OR(L3909="",P3909=""),"",IF(COUNTIFS(L$6:L3909,L3909,P$6:P3909,"?*")=1,MAX(AI$5:AI3908)+1,""))</f>
        <v/>
      </c>
    </row>
    <row r="3910">
      <c r="B3910" s="47" t="n"/>
      <c r="C3910" s="48" t="n"/>
      <c r="D3910" s="48" t="n"/>
      <c r="E3910" s="48" t="n"/>
      <c r="F3910" s="48" t="n"/>
      <c r="G3910" s="49" t="n"/>
      <c r="H3910" s="48" t="n"/>
      <c r="I3910" s="50" t="n"/>
      <c r="J3910" s="48" t="n"/>
      <c r="K3910" s="48" t="n"/>
      <c r="L3910" s="48" t="n"/>
      <c r="M3910" s="48" t="n"/>
      <c r="N3910" s="48" t="n"/>
      <c r="O3910" s="51">
        <f>IF(AND(B3910="",G3910="",C3910="",D3910="",J3910=""),"",IF(B3910="","⚠ Falta fecha",IF(G3910="","⚠ Falta monto",IF(Q3910="","⚠ Falta cuenta",IF(ISNA(MATCH(Q3910,ctaNombre,0)),"⚠ Cuenta no registrada",IF(AND(OR(P3910="Gasto",P3910="Reembolso"),D3910=""),"⚠ Falta categoría",IF(AND(D3910&lt;&gt;"",E3910&lt;&gt;"",ISNA(MATCH(D3910&amp;"|"&amp;E3910,catClave,0))),"⚠ Subcategoría no corresponde",IF(AND(OR(P3910="Transferencia",P3910="Pago tarjeta"),K3910=""),"⚠ Falta cuenta destino",IF(AND(K3910&lt;&gt;"",P3910&lt;&gt;"Transferencia",P3910&lt;&gt;"Pago tarjeta"),"⚠ Destino solo aplica a transferencias",IF(AND(K3910&lt;&gt;"",K3910=Q3910),"⚠ Origen igual a destino",IF(AND(K3910&lt;&gt;"",ISNA(MATCH(K3910,ctaNombre,0))),"⚠ Destino no registrado",IF(AND(P3910="Pago tarjeta",AE3910&lt;&gt;"Tarjeta de crédito"),"⚠ El destino debe ser tarjeta de crédito",IF(AND(P3910="Gasto",E3910="Depósitos y retiros"),"⚠ Usa tipo Transferencia",IF(AND(P3910="Resultado trading",AD3910&lt;&gt;"Cuenta de trading"),"⚠ Usa una cuenta de trading",IF(AND(G3910&lt;=0,P3910&lt;&gt;"Ajuste",P3910&lt;&gt;"Resultado trading"),"⚠ El monto debe ser positivo","✓")))))))))))))))</f>
        <v/>
      </c>
      <c r="P3910" s="52">
        <f>IF(OR(B3910="",G3910=""),"",IF(C3910="","Gasto",C3910))</f>
        <v/>
      </c>
      <c r="Q3910" s="52">
        <f>IF(P3910="","",IF(J3910&lt;&gt;"",J3910,CuentaPred&amp;""))</f>
        <v/>
      </c>
      <c r="R3910" s="52">
        <f>IF(P3910="","",IF(ISNUMBER(I3910),I3910,TasaUSD))</f>
        <v/>
      </c>
      <c r="S3910" s="53">
        <f>IF(P3910="","",IF(H3910="USD",G3910*R3910,G3910))</f>
        <v/>
      </c>
      <c r="T3910" s="53">
        <f>IF(P3910="","",IF(H3910="USD",G3910,IF(R3910&gt;0,G3910/R3910,0)))</f>
        <v/>
      </c>
      <c r="U3910" s="53">
        <f>IF(P3910="","",IF(P3910="Gasto",S3910,IF(P3910="Reembolso",-S3910,0)))</f>
        <v/>
      </c>
      <c r="V3910" s="53">
        <f>IF(P3910="","",IF(P3910="Ingreso",S3910,0))</f>
        <v/>
      </c>
      <c r="W3910" s="53">
        <f>IF(P3910="","",IF(P3910="Resultado trading",S3910,0))</f>
        <v/>
      </c>
      <c r="X3910" s="52">
        <f>IF(OR(P3910="Gasto",P3910="Reembolso"),IF(M3910&lt;&gt;"",M3910,IFERROR(INDEX(catClasif,MATCH(D3910&amp;"|"&amp;E3910,catClave,0))&amp;"","Variable")),"")</f>
        <v/>
      </c>
      <c r="Y3910" s="52">
        <f>IF(P3910="","",IFERROR(INDEX(catGrupo,MATCH(D3910&amp;"|"&amp;E3910,catClave,0))&amp;"",""))</f>
        <v/>
      </c>
      <c r="Z3910" s="52">
        <f>IF(P3910="","",WEEKDAY(B3910,2))</f>
        <v/>
      </c>
      <c r="AA3910" s="52">
        <f>IF(P3910="","",IF(AND(P3910="Gasto",X3910="Variable",D3910&lt;&gt;catTrading,S3910&gt;0,S3910&lt;=Umbral),1,0))</f>
        <v/>
      </c>
      <c r="AB3910" s="52">
        <f>IF(OR(P3910="",Q3910=""),"",IFERROR(IF(INDEX(ctaVinc,MATCH(Q3910,ctaNombre,0))&amp;""&lt;&gt;"",INDEX(ctaVinc,MATCH(Q3910,ctaNombre,0))&amp;"",Q3910),Q3910))</f>
        <v/>
      </c>
      <c r="AC3910" s="52">
        <f>IF(OR(K3910="",AND(P3910&lt;&gt;"Transferencia",P3910&lt;&gt;"Pago tarjeta")),"",IFERROR(IF(INDEX(ctaVinc,MATCH(K3910,ctaNombre,0))&amp;""&lt;&gt;"",INDEX(ctaVinc,MATCH(K3910,ctaNombre,0))&amp;"",K3910),K3910))</f>
        <v/>
      </c>
      <c r="AD3910" s="52">
        <f>IF(AB3910="","",IFERROR(INDEX(ctaTipo,MATCH(AB3910,ctaNombre,0))&amp;"",""))</f>
        <v/>
      </c>
      <c r="AE3910" s="52">
        <f>IF(AC3910="","",IFERROR(INDEX(ctaTipo,MATCH(AC3910,ctaNombre,0))&amp;"",""))</f>
        <v/>
      </c>
      <c r="AF3910" s="53">
        <f>IF(OR(P3910="",AB3910=""),"",IF(OR(P3910="Gasto",P3910="Transferencia",P3910="Pago tarjeta"),-1,1)*IF(IFERROR(INDEX(ctaMoneda,MATCH(AB3910,ctaNombre,0))&amp;"","DOP")="USD",T3910,S3910))</f>
        <v/>
      </c>
      <c r="AG3910" s="53">
        <f>IF(AC3910="","",IF(IFERROR(INDEX(ctaMoneda,MATCH(AC3910,ctaNombre,0))&amp;"","DOP")="USD",T3910,S3910))</f>
        <v/>
      </c>
      <c r="AH3910" s="53">
        <f>IF(P3910="","",IF(AND(AD3910&lt;&gt;"",COUNTIFS(tcTipo,AD3910,tcLiq,"Sí")&gt;0),IF(OR(P3910="Gasto",P3910="Transferencia",P3910="Pago tarjeta"),-1,1)*S3910,0)+IF(AND(AE3910&lt;&gt;"",COUNTIFS(tcTipo,AE3910,tcLiq,"Sí")&gt;0),S3910,0))</f>
        <v/>
      </c>
      <c r="AI3910" s="52">
        <f>IF(OR(L3910="",P3910=""),"",IF(COUNTIFS(L$6:L3910,L3910,P$6:P3910,"?*")=1,MAX(AI$5:AI3909)+1,""))</f>
        <v/>
      </c>
    </row>
    <row r="3911">
      <c r="B3911" s="47" t="n"/>
      <c r="C3911" s="48" t="n"/>
      <c r="D3911" s="48" t="n"/>
      <c r="E3911" s="48" t="n"/>
      <c r="F3911" s="48" t="n"/>
      <c r="G3911" s="49" t="n"/>
      <c r="H3911" s="48" t="n"/>
      <c r="I3911" s="50" t="n"/>
      <c r="J3911" s="48" t="n"/>
      <c r="K3911" s="48" t="n"/>
      <c r="L3911" s="48" t="n"/>
      <c r="M3911" s="48" t="n"/>
      <c r="N3911" s="48" t="n"/>
      <c r="O3911" s="51">
        <f>IF(AND(B3911="",G3911="",C3911="",D3911="",J3911=""),"",IF(B3911="","⚠ Falta fecha",IF(G3911="","⚠ Falta monto",IF(Q3911="","⚠ Falta cuenta",IF(ISNA(MATCH(Q3911,ctaNombre,0)),"⚠ Cuenta no registrada",IF(AND(OR(P3911="Gasto",P3911="Reembolso"),D3911=""),"⚠ Falta categoría",IF(AND(D3911&lt;&gt;"",E3911&lt;&gt;"",ISNA(MATCH(D3911&amp;"|"&amp;E3911,catClave,0))),"⚠ Subcategoría no corresponde",IF(AND(OR(P3911="Transferencia",P3911="Pago tarjeta"),K3911=""),"⚠ Falta cuenta destino",IF(AND(K3911&lt;&gt;"",P3911&lt;&gt;"Transferencia",P3911&lt;&gt;"Pago tarjeta"),"⚠ Destino solo aplica a transferencias",IF(AND(K3911&lt;&gt;"",K3911=Q3911),"⚠ Origen igual a destino",IF(AND(K3911&lt;&gt;"",ISNA(MATCH(K3911,ctaNombre,0))),"⚠ Destino no registrado",IF(AND(P3911="Pago tarjeta",AE3911&lt;&gt;"Tarjeta de crédito"),"⚠ El destino debe ser tarjeta de crédito",IF(AND(P3911="Gasto",E3911="Depósitos y retiros"),"⚠ Usa tipo Transferencia",IF(AND(P3911="Resultado trading",AD3911&lt;&gt;"Cuenta de trading"),"⚠ Usa una cuenta de trading",IF(AND(G3911&lt;=0,P3911&lt;&gt;"Ajuste",P3911&lt;&gt;"Resultado trading"),"⚠ El monto debe ser positivo","✓")))))))))))))))</f>
        <v/>
      </c>
      <c r="P3911" s="52">
        <f>IF(OR(B3911="",G3911=""),"",IF(C3911="","Gasto",C3911))</f>
        <v/>
      </c>
      <c r="Q3911" s="52">
        <f>IF(P3911="","",IF(J3911&lt;&gt;"",J3911,CuentaPred&amp;""))</f>
        <v/>
      </c>
      <c r="R3911" s="52">
        <f>IF(P3911="","",IF(ISNUMBER(I3911),I3911,TasaUSD))</f>
        <v/>
      </c>
      <c r="S3911" s="53">
        <f>IF(P3911="","",IF(H3911="USD",G3911*R3911,G3911))</f>
        <v/>
      </c>
      <c r="T3911" s="53">
        <f>IF(P3911="","",IF(H3911="USD",G3911,IF(R3911&gt;0,G3911/R3911,0)))</f>
        <v/>
      </c>
      <c r="U3911" s="53">
        <f>IF(P3911="","",IF(P3911="Gasto",S3911,IF(P3911="Reembolso",-S3911,0)))</f>
        <v/>
      </c>
      <c r="V3911" s="53">
        <f>IF(P3911="","",IF(P3911="Ingreso",S3911,0))</f>
        <v/>
      </c>
      <c r="W3911" s="53">
        <f>IF(P3911="","",IF(P3911="Resultado trading",S3911,0))</f>
        <v/>
      </c>
      <c r="X3911" s="52">
        <f>IF(OR(P3911="Gasto",P3911="Reembolso"),IF(M3911&lt;&gt;"",M3911,IFERROR(INDEX(catClasif,MATCH(D3911&amp;"|"&amp;E3911,catClave,0))&amp;"","Variable")),"")</f>
        <v/>
      </c>
      <c r="Y3911" s="52">
        <f>IF(P3911="","",IFERROR(INDEX(catGrupo,MATCH(D3911&amp;"|"&amp;E3911,catClave,0))&amp;"",""))</f>
        <v/>
      </c>
      <c r="Z3911" s="52">
        <f>IF(P3911="","",WEEKDAY(B3911,2))</f>
        <v/>
      </c>
      <c r="AA3911" s="52">
        <f>IF(P3911="","",IF(AND(P3911="Gasto",X3911="Variable",D3911&lt;&gt;catTrading,S3911&gt;0,S3911&lt;=Umbral),1,0))</f>
        <v/>
      </c>
      <c r="AB3911" s="52">
        <f>IF(OR(P3911="",Q3911=""),"",IFERROR(IF(INDEX(ctaVinc,MATCH(Q3911,ctaNombre,0))&amp;""&lt;&gt;"",INDEX(ctaVinc,MATCH(Q3911,ctaNombre,0))&amp;"",Q3911),Q3911))</f>
        <v/>
      </c>
      <c r="AC3911" s="52">
        <f>IF(OR(K3911="",AND(P3911&lt;&gt;"Transferencia",P3911&lt;&gt;"Pago tarjeta")),"",IFERROR(IF(INDEX(ctaVinc,MATCH(K3911,ctaNombre,0))&amp;""&lt;&gt;"",INDEX(ctaVinc,MATCH(K3911,ctaNombre,0))&amp;"",K3911),K3911))</f>
        <v/>
      </c>
      <c r="AD3911" s="52">
        <f>IF(AB3911="","",IFERROR(INDEX(ctaTipo,MATCH(AB3911,ctaNombre,0))&amp;"",""))</f>
        <v/>
      </c>
      <c r="AE3911" s="52">
        <f>IF(AC3911="","",IFERROR(INDEX(ctaTipo,MATCH(AC3911,ctaNombre,0))&amp;"",""))</f>
        <v/>
      </c>
      <c r="AF3911" s="53">
        <f>IF(OR(P3911="",AB3911=""),"",IF(OR(P3911="Gasto",P3911="Transferencia",P3911="Pago tarjeta"),-1,1)*IF(IFERROR(INDEX(ctaMoneda,MATCH(AB3911,ctaNombre,0))&amp;"","DOP")="USD",T3911,S3911))</f>
        <v/>
      </c>
      <c r="AG3911" s="53">
        <f>IF(AC3911="","",IF(IFERROR(INDEX(ctaMoneda,MATCH(AC3911,ctaNombre,0))&amp;"","DOP")="USD",T3911,S3911))</f>
        <v/>
      </c>
      <c r="AH3911" s="53">
        <f>IF(P3911="","",IF(AND(AD3911&lt;&gt;"",COUNTIFS(tcTipo,AD3911,tcLiq,"Sí")&gt;0),IF(OR(P3911="Gasto",P3911="Transferencia",P3911="Pago tarjeta"),-1,1)*S3911,0)+IF(AND(AE3911&lt;&gt;"",COUNTIFS(tcTipo,AE3911,tcLiq,"Sí")&gt;0),S3911,0))</f>
        <v/>
      </c>
      <c r="AI3911" s="52">
        <f>IF(OR(L3911="",P3911=""),"",IF(COUNTIFS(L$6:L3911,L3911,P$6:P3911,"?*")=1,MAX(AI$5:AI3910)+1,""))</f>
        <v/>
      </c>
    </row>
    <row r="3912">
      <c r="B3912" s="47" t="n"/>
      <c r="C3912" s="48" t="n"/>
      <c r="D3912" s="48" t="n"/>
      <c r="E3912" s="48" t="n"/>
      <c r="F3912" s="48" t="n"/>
      <c r="G3912" s="49" t="n"/>
      <c r="H3912" s="48" t="n"/>
      <c r="I3912" s="50" t="n"/>
      <c r="J3912" s="48" t="n"/>
      <c r="K3912" s="48" t="n"/>
      <c r="L3912" s="48" t="n"/>
      <c r="M3912" s="48" t="n"/>
      <c r="N3912" s="48" t="n"/>
      <c r="O3912" s="51">
        <f>IF(AND(B3912="",G3912="",C3912="",D3912="",J3912=""),"",IF(B3912="","⚠ Falta fecha",IF(G3912="","⚠ Falta monto",IF(Q3912="","⚠ Falta cuenta",IF(ISNA(MATCH(Q3912,ctaNombre,0)),"⚠ Cuenta no registrada",IF(AND(OR(P3912="Gasto",P3912="Reembolso"),D3912=""),"⚠ Falta categoría",IF(AND(D3912&lt;&gt;"",E3912&lt;&gt;"",ISNA(MATCH(D3912&amp;"|"&amp;E3912,catClave,0))),"⚠ Subcategoría no corresponde",IF(AND(OR(P3912="Transferencia",P3912="Pago tarjeta"),K3912=""),"⚠ Falta cuenta destino",IF(AND(K3912&lt;&gt;"",P3912&lt;&gt;"Transferencia",P3912&lt;&gt;"Pago tarjeta"),"⚠ Destino solo aplica a transferencias",IF(AND(K3912&lt;&gt;"",K3912=Q3912),"⚠ Origen igual a destino",IF(AND(K3912&lt;&gt;"",ISNA(MATCH(K3912,ctaNombre,0))),"⚠ Destino no registrado",IF(AND(P3912="Pago tarjeta",AE3912&lt;&gt;"Tarjeta de crédito"),"⚠ El destino debe ser tarjeta de crédito",IF(AND(P3912="Gasto",E3912="Depósitos y retiros"),"⚠ Usa tipo Transferencia",IF(AND(P3912="Resultado trading",AD3912&lt;&gt;"Cuenta de trading"),"⚠ Usa una cuenta de trading",IF(AND(G3912&lt;=0,P3912&lt;&gt;"Ajuste",P3912&lt;&gt;"Resultado trading"),"⚠ El monto debe ser positivo","✓")))))))))))))))</f>
        <v/>
      </c>
      <c r="P3912" s="52">
        <f>IF(OR(B3912="",G3912=""),"",IF(C3912="","Gasto",C3912))</f>
        <v/>
      </c>
      <c r="Q3912" s="52">
        <f>IF(P3912="","",IF(J3912&lt;&gt;"",J3912,CuentaPred&amp;""))</f>
        <v/>
      </c>
      <c r="R3912" s="52">
        <f>IF(P3912="","",IF(ISNUMBER(I3912),I3912,TasaUSD))</f>
        <v/>
      </c>
      <c r="S3912" s="53">
        <f>IF(P3912="","",IF(H3912="USD",G3912*R3912,G3912))</f>
        <v/>
      </c>
      <c r="T3912" s="53">
        <f>IF(P3912="","",IF(H3912="USD",G3912,IF(R3912&gt;0,G3912/R3912,0)))</f>
        <v/>
      </c>
      <c r="U3912" s="53">
        <f>IF(P3912="","",IF(P3912="Gasto",S3912,IF(P3912="Reembolso",-S3912,0)))</f>
        <v/>
      </c>
      <c r="V3912" s="53">
        <f>IF(P3912="","",IF(P3912="Ingreso",S3912,0))</f>
        <v/>
      </c>
      <c r="W3912" s="53">
        <f>IF(P3912="","",IF(P3912="Resultado trading",S3912,0))</f>
        <v/>
      </c>
      <c r="X3912" s="52">
        <f>IF(OR(P3912="Gasto",P3912="Reembolso"),IF(M3912&lt;&gt;"",M3912,IFERROR(INDEX(catClasif,MATCH(D3912&amp;"|"&amp;E3912,catClave,0))&amp;"","Variable")),"")</f>
        <v/>
      </c>
      <c r="Y3912" s="52">
        <f>IF(P3912="","",IFERROR(INDEX(catGrupo,MATCH(D3912&amp;"|"&amp;E3912,catClave,0))&amp;"",""))</f>
        <v/>
      </c>
      <c r="Z3912" s="52">
        <f>IF(P3912="","",WEEKDAY(B3912,2))</f>
        <v/>
      </c>
      <c r="AA3912" s="52">
        <f>IF(P3912="","",IF(AND(P3912="Gasto",X3912="Variable",D3912&lt;&gt;catTrading,S3912&gt;0,S3912&lt;=Umbral),1,0))</f>
        <v/>
      </c>
      <c r="AB3912" s="52">
        <f>IF(OR(P3912="",Q3912=""),"",IFERROR(IF(INDEX(ctaVinc,MATCH(Q3912,ctaNombre,0))&amp;""&lt;&gt;"",INDEX(ctaVinc,MATCH(Q3912,ctaNombre,0))&amp;"",Q3912),Q3912))</f>
        <v/>
      </c>
      <c r="AC3912" s="52">
        <f>IF(OR(K3912="",AND(P3912&lt;&gt;"Transferencia",P3912&lt;&gt;"Pago tarjeta")),"",IFERROR(IF(INDEX(ctaVinc,MATCH(K3912,ctaNombre,0))&amp;""&lt;&gt;"",INDEX(ctaVinc,MATCH(K3912,ctaNombre,0))&amp;"",K3912),K3912))</f>
        <v/>
      </c>
      <c r="AD3912" s="52">
        <f>IF(AB3912="","",IFERROR(INDEX(ctaTipo,MATCH(AB3912,ctaNombre,0))&amp;"",""))</f>
        <v/>
      </c>
      <c r="AE3912" s="52">
        <f>IF(AC3912="","",IFERROR(INDEX(ctaTipo,MATCH(AC3912,ctaNombre,0))&amp;"",""))</f>
        <v/>
      </c>
      <c r="AF3912" s="53">
        <f>IF(OR(P3912="",AB3912=""),"",IF(OR(P3912="Gasto",P3912="Transferencia",P3912="Pago tarjeta"),-1,1)*IF(IFERROR(INDEX(ctaMoneda,MATCH(AB3912,ctaNombre,0))&amp;"","DOP")="USD",T3912,S3912))</f>
        <v/>
      </c>
      <c r="AG3912" s="53">
        <f>IF(AC3912="","",IF(IFERROR(INDEX(ctaMoneda,MATCH(AC3912,ctaNombre,0))&amp;"","DOP")="USD",T3912,S3912))</f>
        <v/>
      </c>
      <c r="AH3912" s="53">
        <f>IF(P3912="","",IF(AND(AD3912&lt;&gt;"",COUNTIFS(tcTipo,AD3912,tcLiq,"Sí")&gt;0),IF(OR(P3912="Gasto",P3912="Transferencia",P3912="Pago tarjeta"),-1,1)*S3912,0)+IF(AND(AE3912&lt;&gt;"",COUNTIFS(tcTipo,AE3912,tcLiq,"Sí")&gt;0),S3912,0))</f>
        <v/>
      </c>
      <c r="AI3912" s="52">
        <f>IF(OR(L3912="",P3912=""),"",IF(COUNTIFS(L$6:L3912,L3912,P$6:P3912,"?*")=1,MAX(AI$5:AI3911)+1,""))</f>
        <v/>
      </c>
    </row>
    <row r="3913">
      <c r="B3913" s="47" t="n"/>
      <c r="C3913" s="48" t="n"/>
      <c r="D3913" s="48" t="n"/>
      <c r="E3913" s="48" t="n"/>
      <c r="F3913" s="48" t="n"/>
      <c r="G3913" s="49" t="n"/>
      <c r="H3913" s="48" t="n"/>
      <c r="I3913" s="50" t="n"/>
      <c r="J3913" s="48" t="n"/>
      <c r="K3913" s="48" t="n"/>
      <c r="L3913" s="48" t="n"/>
      <c r="M3913" s="48" t="n"/>
      <c r="N3913" s="48" t="n"/>
      <c r="O3913" s="51">
        <f>IF(AND(B3913="",G3913="",C3913="",D3913="",J3913=""),"",IF(B3913="","⚠ Falta fecha",IF(G3913="","⚠ Falta monto",IF(Q3913="","⚠ Falta cuenta",IF(ISNA(MATCH(Q3913,ctaNombre,0)),"⚠ Cuenta no registrada",IF(AND(OR(P3913="Gasto",P3913="Reembolso"),D3913=""),"⚠ Falta categoría",IF(AND(D3913&lt;&gt;"",E3913&lt;&gt;"",ISNA(MATCH(D3913&amp;"|"&amp;E3913,catClave,0))),"⚠ Subcategoría no corresponde",IF(AND(OR(P3913="Transferencia",P3913="Pago tarjeta"),K3913=""),"⚠ Falta cuenta destino",IF(AND(K3913&lt;&gt;"",P3913&lt;&gt;"Transferencia",P3913&lt;&gt;"Pago tarjeta"),"⚠ Destino solo aplica a transferencias",IF(AND(K3913&lt;&gt;"",K3913=Q3913),"⚠ Origen igual a destino",IF(AND(K3913&lt;&gt;"",ISNA(MATCH(K3913,ctaNombre,0))),"⚠ Destino no registrado",IF(AND(P3913="Pago tarjeta",AE3913&lt;&gt;"Tarjeta de crédito"),"⚠ El destino debe ser tarjeta de crédito",IF(AND(P3913="Gasto",E3913="Depósitos y retiros"),"⚠ Usa tipo Transferencia",IF(AND(P3913="Resultado trading",AD3913&lt;&gt;"Cuenta de trading"),"⚠ Usa una cuenta de trading",IF(AND(G3913&lt;=0,P3913&lt;&gt;"Ajuste",P3913&lt;&gt;"Resultado trading"),"⚠ El monto debe ser positivo","✓")))))))))))))))</f>
        <v/>
      </c>
      <c r="P3913" s="52">
        <f>IF(OR(B3913="",G3913=""),"",IF(C3913="","Gasto",C3913))</f>
        <v/>
      </c>
      <c r="Q3913" s="52">
        <f>IF(P3913="","",IF(J3913&lt;&gt;"",J3913,CuentaPred&amp;""))</f>
        <v/>
      </c>
      <c r="R3913" s="52">
        <f>IF(P3913="","",IF(ISNUMBER(I3913),I3913,TasaUSD))</f>
        <v/>
      </c>
      <c r="S3913" s="53">
        <f>IF(P3913="","",IF(H3913="USD",G3913*R3913,G3913))</f>
        <v/>
      </c>
      <c r="T3913" s="53">
        <f>IF(P3913="","",IF(H3913="USD",G3913,IF(R3913&gt;0,G3913/R3913,0)))</f>
        <v/>
      </c>
      <c r="U3913" s="53">
        <f>IF(P3913="","",IF(P3913="Gasto",S3913,IF(P3913="Reembolso",-S3913,0)))</f>
        <v/>
      </c>
      <c r="V3913" s="53">
        <f>IF(P3913="","",IF(P3913="Ingreso",S3913,0))</f>
        <v/>
      </c>
      <c r="W3913" s="53">
        <f>IF(P3913="","",IF(P3913="Resultado trading",S3913,0))</f>
        <v/>
      </c>
      <c r="X3913" s="52">
        <f>IF(OR(P3913="Gasto",P3913="Reembolso"),IF(M3913&lt;&gt;"",M3913,IFERROR(INDEX(catClasif,MATCH(D3913&amp;"|"&amp;E3913,catClave,0))&amp;"","Variable")),"")</f>
        <v/>
      </c>
      <c r="Y3913" s="52">
        <f>IF(P3913="","",IFERROR(INDEX(catGrupo,MATCH(D3913&amp;"|"&amp;E3913,catClave,0))&amp;"",""))</f>
        <v/>
      </c>
      <c r="Z3913" s="52">
        <f>IF(P3913="","",WEEKDAY(B3913,2))</f>
        <v/>
      </c>
      <c r="AA3913" s="52">
        <f>IF(P3913="","",IF(AND(P3913="Gasto",X3913="Variable",D3913&lt;&gt;catTrading,S3913&gt;0,S3913&lt;=Umbral),1,0))</f>
        <v/>
      </c>
      <c r="AB3913" s="52">
        <f>IF(OR(P3913="",Q3913=""),"",IFERROR(IF(INDEX(ctaVinc,MATCH(Q3913,ctaNombre,0))&amp;""&lt;&gt;"",INDEX(ctaVinc,MATCH(Q3913,ctaNombre,0))&amp;"",Q3913),Q3913))</f>
        <v/>
      </c>
      <c r="AC3913" s="52">
        <f>IF(OR(K3913="",AND(P3913&lt;&gt;"Transferencia",P3913&lt;&gt;"Pago tarjeta")),"",IFERROR(IF(INDEX(ctaVinc,MATCH(K3913,ctaNombre,0))&amp;""&lt;&gt;"",INDEX(ctaVinc,MATCH(K3913,ctaNombre,0))&amp;"",K3913),K3913))</f>
        <v/>
      </c>
      <c r="AD3913" s="52">
        <f>IF(AB3913="","",IFERROR(INDEX(ctaTipo,MATCH(AB3913,ctaNombre,0))&amp;"",""))</f>
        <v/>
      </c>
      <c r="AE3913" s="52">
        <f>IF(AC3913="","",IFERROR(INDEX(ctaTipo,MATCH(AC3913,ctaNombre,0))&amp;"",""))</f>
        <v/>
      </c>
      <c r="AF3913" s="53">
        <f>IF(OR(P3913="",AB3913=""),"",IF(OR(P3913="Gasto",P3913="Transferencia",P3913="Pago tarjeta"),-1,1)*IF(IFERROR(INDEX(ctaMoneda,MATCH(AB3913,ctaNombre,0))&amp;"","DOP")="USD",T3913,S3913))</f>
        <v/>
      </c>
      <c r="AG3913" s="53">
        <f>IF(AC3913="","",IF(IFERROR(INDEX(ctaMoneda,MATCH(AC3913,ctaNombre,0))&amp;"","DOP")="USD",T3913,S3913))</f>
        <v/>
      </c>
      <c r="AH3913" s="53">
        <f>IF(P3913="","",IF(AND(AD3913&lt;&gt;"",COUNTIFS(tcTipo,AD3913,tcLiq,"Sí")&gt;0),IF(OR(P3913="Gasto",P3913="Transferencia",P3913="Pago tarjeta"),-1,1)*S3913,0)+IF(AND(AE3913&lt;&gt;"",COUNTIFS(tcTipo,AE3913,tcLiq,"Sí")&gt;0),S3913,0))</f>
        <v/>
      </c>
      <c r="AI3913" s="52">
        <f>IF(OR(L3913="",P3913=""),"",IF(COUNTIFS(L$6:L3913,L3913,P$6:P3913,"?*")=1,MAX(AI$5:AI3912)+1,""))</f>
        <v/>
      </c>
    </row>
    <row r="3914">
      <c r="B3914" s="47" t="n"/>
      <c r="C3914" s="48" t="n"/>
      <c r="D3914" s="48" t="n"/>
      <c r="E3914" s="48" t="n"/>
      <c r="F3914" s="48" t="n"/>
      <c r="G3914" s="49" t="n"/>
      <c r="H3914" s="48" t="n"/>
      <c r="I3914" s="50" t="n"/>
      <c r="J3914" s="48" t="n"/>
      <c r="K3914" s="48" t="n"/>
      <c r="L3914" s="48" t="n"/>
      <c r="M3914" s="48" t="n"/>
      <c r="N3914" s="48" t="n"/>
      <c r="O3914" s="51">
        <f>IF(AND(B3914="",G3914="",C3914="",D3914="",J3914=""),"",IF(B3914="","⚠ Falta fecha",IF(G3914="","⚠ Falta monto",IF(Q3914="","⚠ Falta cuenta",IF(ISNA(MATCH(Q3914,ctaNombre,0)),"⚠ Cuenta no registrada",IF(AND(OR(P3914="Gasto",P3914="Reembolso"),D3914=""),"⚠ Falta categoría",IF(AND(D3914&lt;&gt;"",E3914&lt;&gt;"",ISNA(MATCH(D3914&amp;"|"&amp;E3914,catClave,0))),"⚠ Subcategoría no corresponde",IF(AND(OR(P3914="Transferencia",P3914="Pago tarjeta"),K3914=""),"⚠ Falta cuenta destino",IF(AND(K3914&lt;&gt;"",P3914&lt;&gt;"Transferencia",P3914&lt;&gt;"Pago tarjeta"),"⚠ Destino solo aplica a transferencias",IF(AND(K3914&lt;&gt;"",K3914=Q3914),"⚠ Origen igual a destino",IF(AND(K3914&lt;&gt;"",ISNA(MATCH(K3914,ctaNombre,0))),"⚠ Destino no registrado",IF(AND(P3914="Pago tarjeta",AE3914&lt;&gt;"Tarjeta de crédito"),"⚠ El destino debe ser tarjeta de crédito",IF(AND(P3914="Gasto",E3914="Depósitos y retiros"),"⚠ Usa tipo Transferencia",IF(AND(P3914="Resultado trading",AD3914&lt;&gt;"Cuenta de trading"),"⚠ Usa una cuenta de trading",IF(AND(G3914&lt;=0,P3914&lt;&gt;"Ajuste",P3914&lt;&gt;"Resultado trading"),"⚠ El monto debe ser positivo","✓")))))))))))))))</f>
        <v/>
      </c>
      <c r="P3914" s="52">
        <f>IF(OR(B3914="",G3914=""),"",IF(C3914="","Gasto",C3914))</f>
        <v/>
      </c>
      <c r="Q3914" s="52">
        <f>IF(P3914="","",IF(J3914&lt;&gt;"",J3914,CuentaPred&amp;""))</f>
        <v/>
      </c>
      <c r="R3914" s="52">
        <f>IF(P3914="","",IF(ISNUMBER(I3914),I3914,TasaUSD))</f>
        <v/>
      </c>
      <c r="S3914" s="53">
        <f>IF(P3914="","",IF(H3914="USD",G3914*R3914,G3914))</f>
        <v/>
      </c>
      <c r="T3914" s="53">
        <f>IF(P3914="","",IF(H3914="USD",G3914,IF(R3914&gt;0,G3914/R3914,0)))</f>
        <v/>
      </c>
      <c r="U3914" s="53">
        <f>IF(P3914="","",IF(P3914="Gasto",S3914,IF(P3914="Reembolso",-S3914,0)))</f>
        <v/>
      </c>
      <c r="V3914" s="53">
        <f>IF(P3914="","",IF(P3914="Ingreso",S3914,0))</f>
        <v/>
      </c>
      <c r="W3914" s="53">
        <f>IF(P3914="","",IF(P3914="Resultado trading",S3914,0))</f>
        <v/>
      </c>
      <c r="X3914" s="52">
        <f>IF(OR(P3914="Gasto",P3914="Reembolso"),IF(M3914&lt;&gt;"",M3914,IFERROR(INDEX(catClasif,MATCH(D3914&amp;"|"&amp;E3914,catClave,0))&amp;"","Variable")),"")</f>
        <v/>
      </c>
      <c r="Y3914" s="52">
        <f>IF(P3914="","",IFERROR(INDEX(catGrupo,MATCH(D3914&amp;"|"&amp;E3914,catClave,0))&amp;"",""))</f>
        <v/>
      </c>
      <c r="Z3914" s="52">
        <f>IF(P3914="","",WEEKDAY(B3914,2))</f>
        <v/>
      </c>
      <c r="AA3914" s="52">
        <f>IF(P3914="","",IF(AND(P3914="Gasto",X3914="Variable",D3914&lt;&gt;catTrading,S3914&gt;0,S3914&lt;=Umbral),1,0))</f>
        <v/>
      </c>
      <c r="AB3914" s="52">
        <f>IF(OR(P3914="",Q3914=""),"",IFERROR(IF(INDEX(ctaVinc,MATCH(Q3914,ctaNombre,0))&amp;""&lt;&gt;"",INDEX(ctaVinc,MATCH(Q3914,ctaNombre,0))&amp;"",Q3914),Q3914))</f>
        <v/>
      </c>
      <c r="AC3914" s="52">
        <f>IF(OR(K3914="",AND(P3914&lt;&gt;"Transferencia",P3914&lt;&gt;"Pago tarjeta")),"",IFERROR(IF(INDEX(ctaVinc,MATCH(K3914,ctaNombre,0))&amp;""&lt;&gt;"",INDEX(ctaVinc,MATCH(K3914,ctaNombre,0))&amp;"",K3914),K3914))</f>
        <v/>
      </c>
      <c r="AD3914" s="52">
        <f>IF(AB3914="","",IFERROR(INDEX(ctaTipo,MATCH(AB3914,ctaNombre,0))&amp;"",""))</f>
        <v/>
      </c>
      <c r="AE3914" s="52">
        <f>IF(AC3914="","",IFERROR(INDEX(ctaTipo,MATCH(AC3914,ctaNombre,0))&amp;"",""))</f>
        <v/>
      </c>
      <c r="AF3914" s="53">
        <f>IF(OR(P3914="",AB3914=""),"",IF(OR(P3914="Gasto",P3914="Transferencia",P3914="Pago tarjeta"),-1,1)*IF(IFERROR(INDEX(ctaMoneda,MATCH(AB3914,ctaNombre,0))&amp;"","DOP")="USD",T3914,S3914))</f>
        <v/>
      </c>
      <c r="AG3914" s="53">
        <f>IF(AC3914="","",IF(IFERROR(INDEX(ctaMoneda,MATCH(AC3914,ctaNombre,0))&amp;"","DOP")="USD",T3914,S3914))</f>
        <v/>
      </c>
      <c r="AH3914" s="53">
        <f>IF(P3914="","",IF(AND(AD3914&lt;&gt;"",COUNTIFS(tcTipo,AD3914,tcLiq,"Sí")&gt;0),IF(OR(P3914="Gasto",P3914="Transferencia",P3914="Pago tarjeta"),-1,1)*S3914,0)+IF(AND(AE3914&lt;&gt;"",COUNTIFS(tcTipo,AE3914,tcLiq,"Sí")&gt;0),S3914,0))</f>
        <v/>
      </c>
      <c r="AI3914" s="52">
        <f>IF(OR(L3914="",P3914=""),"",IF(COUNTIFS(L$6:L3914,L3914,P$6:P3914,"?*")=1,MAX(AI$5:AI3913)+1,""))</f>
        <v/>
      </c>
    </row>
    <row r="3915">
      <c r="B3915" s="47" t="n"/>
      <c r="C3915" s="48" t="n"/>
      <c r="D3915" s="48" t="n"/>
      <c r="E3915" s="48" t="n"/>
      <c r="F3915" s="48" t="n"/>
      <c r="G3915" s="49" t="n"/>
      <c r="H3915" s="48" t="n"/>
      <c r="I3915" s="50" t="n"/>
      <c r="J3915" s="48" t="n"/>
      <c r="K3915" s="48" t="n"/>
      <c r="L3915" s="48" t="n"/>
      <c r="M3915" s="48" t="n"/>
      <c r="N3915" s="48" t="n"/>
      <c r="O3915" s="51">
        <f>IF(AND(B3915="",G3915="",C3915="",D3915="",J3915=""),"",IF(B3915="","⚠ Falta fecha",IF(G3915="","⚠ Falta monto",IF(Q3915="","⚠ Falta cuenta",IF(ISNA(MATCH(Q3915,ctaNombre,0)),"⚠ Cuenta no registrada",IF(AND(OR(P3915="Gasto",P3915="Reembolso"),D3915=""),"⚠ Falta categoría",IF(AND(D3915&lt;&gt;"",E3915&lt;&gt;"",ISNA(MATCH(D3915&amp;"|"&amp;E3915,catClave,0))),"⚠ Subcategoría no corresponde",IF(AND(OR(P3915="Transferencia",P3915="Pago tarjeta"),K3915=""),"⚠ Falta cuenta destino",IF(AND(K3915&lt;&gt;"",P3915&lt;&gt;"Transferencia",P3915&lt;&gt;"Pago tarjeta"),"⚠ Destino solo aplica a transferencias",IF(AND(K3915&lt;&gt;"",K3915=Q3915),"⚠ Origen igual a destino",IF(AND(K3915&lt;&gt;"",ISNA(MATCH(K3915,ctaNombre,0))),"⚠ Destino no registrado",IF(AND(P3915="Pago tarjeta",AE3915&lt;&gt;"Tarjeta de crédito"),"⚠ El destino debe ser tarjeta de crédito",IF(AND(P3915="Gasto",E3915="Depósitos y retiros"),"⚠ Usa tipo Transferencia",IF(AND(P3915="Resultado trading",AD3915&lt;&gt;"Cuenta de trading"),"⚠ Usa una cuenta de trading",IF(AND(G3915&lt;=0,P3915&lt;&gt;"Ajuste",P3915&lt;&gt;"Resultado trading"),"⚠ El monto debe ser positivo","✓")))))))))))))))</f>
        <v/>
      </c>
      <c r="P3915" s="52">
        <f>IF(OR(B3915="",G3915=""),"",IF(C3915="","Gasto",C3915))</f>
        <v/>
      </c>
      <c r="Q3915" s="52">
        <f>IF(P3915="","",IF(J3915&lt;&gt;"",J3915,CuentaPred&amp;""))</f>
        <v/>
      </c>
      <c r="R3915" s="52">
        <f>IF(P3915="","",IF(ISNUMBER(I3915),I3915,TasaUSD))</f>
        <v/>
      </c>
      <c r="S3915" s="53">
        <f>IF(P3915="","",IF(H3915="USD",G3915*R3915,G3915))</f>
        <v/>
      </c>
      <c r="T3915" s="53">
        <f>IF(P3915="","",IF(H3915="USD",G3915,IF(R3915&gt;0,G3915/R3915,0)))</f>
        <v/>
      </c>
      <c r="U3915" s="53">
        <f>IF(P3915="","",IF(P3915="Gasto",S3915,IF(P3915="Reembolso",-S3915,0)))</f>
        <v/>
      </c>
      <c r="V3915" s="53">
        <f>IF(P3915="","",IF(P3915="Ingreso",S3915,0))</f>
        <v/>
      </c>
      <c r="W3915" s="53">
        <f>IF(P3915="","",IF(P3915="Resultado trading",S3915,0))</f>
        <v/>
      </c>
      <c r="X3915" s="52">
        <f>IF(OR(P3915="Gasto",P3915="Reembolso"),IF(M3915&lt;&gt;"",M3915,IFERROR(INDEX(catClasif,MATCH(D3915&amp;"|"&amp;E3915,catClave,0))&amp;"","Variable")),"")</f>
        <v/>
      </c>
      <c r="Y3915" s="52">
        <f>IF(P3915="","",IFERROR(INDEX(catGrupo,MATCH(D3915&amp;"|"&amp;E3915,catClave,0))&amp;"",""))</f>
        <v/>
      </c>
      <c r="Z3915" s="52">
        <f>IF(P3915="","",WEEKDAY(B3915,2))</f>
        <v/>
      </c>
      <c r="AA3915" s="52">
        <f>IF(P3915="","",IF(AND(P3915="Gasto",X3915="Variable",D3915&lt;&gt;catTrading,S3915&gt;0,S3915&lt;=Umbral),1,0))</f>
        <v/>
      </c>
      <c r="AB3915" s="52">
        <f>IF(OR(P3915="",Q3915=""),"",IFERROR(IF(INDEX(ctaVinc,MATCH(Q3915,ctaNombre,0))&amp;""&lt;&gt;"",INDEX(ctaVinc,MATCH(Q3915,ctaNombre,0))&amp;"",Q3915),Q3915))</f>
        <v/>
      </c>
      <c r="AC3915" s="52">
        <f>IF(OR(K3915="",AND(P3915&lt;&gt;"Transferencia",P3915&lt;&gt;"Pago tarjeta")),"",IFERROR(IF(INDEX(ctaVinc,MATCH(K3915,ctaNombre,0))&amp;""&lt;&gt;"",INDEX(ctaVinc,MATCH(K3915,ctaNombre,0))&amp;"",K3915),K3915))</f>
        <v/>
      </c>
      <c r="AD3915" s="52">
        <f>IF(AB3915="","",IFERROR(INDEX(ctaTipo,MATCH(AB3915,ctaNombre,0))&amp;"",""))</f>
        <v/>
      </c>
      <c r="AE3915" s="52">
        <f>IF(AC3915="","",IFERROR(INDEX(ctaTipo,MATCH(AC3915,ctaNombre,0))&amp;"",""))</f>
        <v/>
      </c>
      <c r="AF3915" s="53">
        <f>IF(OR(P3915="",AB3915=""),"",IF(OR(P3915="Gasto",P3915="Transferencia",P3915="Pago tarjeta"),-1,1)*IF(IFERROR(INDEX(ctaMoneda,MATCH(AB3915,ctaNombre,0))&amp;"","DOP")="USD",T3915,S3915))</f>
        <v/>
      </c>
      <c r="AG3915" s="53">
        <f>IF(AC3915="","",IF(IFERROR(INDEX(ctaMoneda,MATCH(AC3915,ctaNombre,0))&amp;"","DOP")="USD",T3915,S3915))</f>
        <v/>
      </c>
      <c r="AH3915" s="53">
        <f>IF(P3915="","",IF(AND(AD3915&lt;&gt;"",COUNTIFS(tcTipo,AD3915,tcLiq,"Sí")&gt;0),IF(OR(P3915="Gasto",P3915="Transferencia",P3915="Pago tarjeta"),-1,1)*S3915,0)+IF(AND(AE3915&lt;&gt;"",COUNTIFS(tcTipo,AE3915,tcLiq,"Sí")&gt;0),S3915,0))</f>
        <v/>
      </c>
      <c r="AI3915" s="52">
        <f>IF(OR(L3915="",P3915=""),"",IF(COUNTIFS(L$6:L3915,L3915,P$6:P3915,"?*")=1,MAX(AI$5:AI3914)+1,""))</f>
        <v/>
      </c>
    </row>
    <row r="3916">
      <c r="B3916" s="47" t="n"/>
      <c r="C3916" s="48" t="n"/>
      <c r="D3916" s="48" t="n"/>
      <c r="E3916" s="48" t="n"/>
      <c r="F3916" s="48" t="n"/>
      <c r="G3916" s="49" t="n"/>
      <c r="H3916" s="48" t="n"/>
      <c r="I3916" s="50" t="n"/>
      <c r="J3916" s="48" t="n"/>
      <c r="K3916" s="48" t="n"/>
      <c r="L3916" s="48" t="n"/>
      <c r="M3916" s="48" t="n"/>
      <c r="N3916" s="48" t="n"/>
      <c r="O3916" s="51">
        <f>IF(AND(B3916="",G3916="",C3916="",D3916="",J3916=""),"",IF(B3916="","⚠ Falta fecha",IF(G3916="","⚠ Falta monto",IF(Q3916="","⚠ Falta cuenta",IF(ISNA(MATCH(Q3916,ctaNombre,0)),"⚠ Cuenta no registrada",IF(AND(OR(P3916="Gasto",P3916="Reembolso"),D3916=""),"⚠ Falta categoría",IF(AND(D3916&lt;&gt;"",E3916&lt;&gt;"",ISNA(MATCH(D3916&amp;"|"&amp;E3916,catClave,0))),"⚠ Subcategoría no corresponde",IF(AND(OR(P3916="Transferencia",P3916="Pago tarjeta"),K3916=""),"⚠ Falta cuenta destino",IF(AND(K3916&lt;&gt;"",P3916&lt;&gt;"Transferencia",P3916&lt;&gt;"Pago tarjeta"),"⚠ Destino solo aplica a transferencias",IF(AND(K3916&lt;&gt;"",K3916=Q3916),"⚠ Origen igual a destino",IF(AND(K3916&lt;&gt;"",ISNA(MATCH(K3916,ctaNombre,0))),"⚠ Destino no registrado",IF(AND(P3916="Pago tarjeta",AE3916&lt;&gt;"Tarjeta de crédito"),"⚠ El destino debe ser tarjeta de crédito",IF(AND(P3916="Gasto",E3916="Depósitos y retiros"),"⚠ Usa tipo Transferencia",IF(AND(P3916="Resultado trading",AD3916&lt;&gt;"Cuenta de trading"),"⚠ Usa una cuenta de trading",IF(AND(G3916&lt;=0,P3916&lt;&gt;"Ajuste",P3916&lt;&gt;"Resultado trading"),"⚠ El monto debe ser positivo","✓")))))))))))))))</f>
        <v/>
      </c>
      <c r="P3916" s="52">
        <f>IF(OR(B3916="",G3916=""),"",IF(C3916="","Gasto",C3916))</f>
        <v/>
      </c>
      <c r="Q3916" s="52">
        <f>IF(P3916="","",IF(J3916&lt;&gt;"",J3916,CuentaPred&amp;""))</f>
        <v/>
      </c>
      <c r="R3916" s="52">
        <f>IF(P3916="","",IF(ISNUMBER(I3916),I3916,TasaUSD))</f>
        <v/>
      </c>
      <c r="S3916" s="53">
        <f>IF(P3916="","",IF(H3916="USD",G3916*R3916,G3916))</f>
        <v/>
      </c>
      <c r="T3916" s="53">
        <f>IF(P3916="","",IF(H3916="USD",G3916,IF(R3916&gt;0,G3916/R3916,0)))</f>
        <v/>
      </c>
      <c r="U3916" s="53">
        <f>IF(P3916="","",IF(P3916="Gasto",S3916,IF(P3916="Reembolso",-S3916,0)))</f>
        <v/>
      </c>
      <c r="V3916" s="53">
        <f>IF(P3916="","",IF(P3916="Ingreso",S3916,0))</f>
        <v/>
      </c>
      <c r="W3916" s="53">
        <f>IF(P3916="","",IF(P3916="Resultado trading",S3916,0))</f>
        <v/>
      </c>
      <c r="X3916" s="52">
        <f>IF(OR(P3916="Gasto",P3916="Reembolso"),IF(M3916&lt;&gt;"",M3916,IFERROR(INDEX(catClasif,MATCH(D3916&amp;"|"&amp;E3916,catClave,0))&amp;"","Variable")),"")</f>
        <v/>
      </c>
      <c r="Y3916" s="52">
        <f>IF(P3916="","",IFERROR(INDEX(catGrupo,MATCH(D3916&amp;"|"&amp;E3916,catClave,0))&amp;"",""))</f>
        <v/>
      </c>
      <c r="Z3916" s="52">
        <f>IF(P3916="","",WEEKDAY(B3916,2))</f>
        <v/>
      </c>
      <c r="AA3916" s="52">
        <f>IF(P3916="","",IF(AND(P3916="Gasto",X3916="Variable",D3916&lt;&gt;catTrading,S3916&gt;0,S3916&lt;=Umbral),1,0))</f>
        <v/>
      </c>
      <c r="AB3916" s="52">
        <f>IF(OR(P3916="",Q3916=""),"",IFERROR(IF(INDEX(ctaVinc,MATCH(Q3916,ctaNombre,0))&amp;""&lt;&gt;"",INDEX(ctaVinc,MATCH(Q3916,ctaNombre,0))&amp;"",Q3916),Q3916))</f>
        <v/>
      </c>
      <c r="AC3916" s="52">
        <f>IF(OR(K3916="",AND(P3916&lt;&gt;"Transferencia",P3916&lt;&gt;"Pago tarjeta")),"",IFERROR(IF(INDEX(ctaVinc,MATCH(K3916,ctaNombre,0))&amp;""&lt;&gt;"",INDEX(ctaVinc,MATCH(K3916,ctaNombre,0))&amp;"",K3916),K3916))</f>
        <v/>
      </c>
      <c r="AD3916" s="52">
        <f>IF(AB3916="","",IFERROR(INDEX(ctaTipo,MATCH(AB3916,ctaNombre,0))&amp;"",""))</f>
        <v/>
      </c>
      <c r="AE3916" s="52">
        <f>IF(AC3916="","",IFERROR(INDEX(ctaTipo,MATCH(AC3916,ctaNombre,0))&amp;"",""))</f>
        <v/>
      </c>
      <c r="AF3916" s="53">
        <f>IF(OR(P3916="",AB3916=""),"",IF(OR(P3916="Gasto",P3916="Transferencia",P3916="Pago tarjeta"),-1,1)*IF(IFERROR(INDEX(ctaMoneda,MATCH(AB3916,ctaNombre,0))&amp;"","DOP")="USD",T3916,S3916))</f>
        <v/>
      </c>
      <c r="AG3916" s="53">
        <f>IF(AC3916="","",IF(IFERROR(INDEX(ctaMoneda,MATCH(AC3916,ctaNombre,0))&amp;"","DOP")="USD",T3916,S3916))</f>
        <v/>
      </c>
      <c r="AH3916" s="53">
        <f>IF(P3916="","",IF(AND(AD3916&lt;&gt;"",COUNTIFS(tcTipo,AD3916,tcLiq,"Sí")&gt;0),IF(OR(P3916="Gasto",P3916="Transferencia",P3916="Pago tarjeta"),-1,1)*S3916,0)+IF(AND(AE3916&lt;&gt;"",COUNTIFS(tcTipo,AE3916,tcLiq,"Sí")&gt;0),S3916,0))</f>
        <v/>
      </c>
      <c r="AI3916" s="52">
        <f>IF(OR(L3916="",P3916=""),"",IF(COUNTIFS(L$6:L3916,L3916,P$6:P3916,"?*")=1,MAX(AI$5:AI3915)+1,""))</f>
        <v/>
      </c>
    </row>
    <row r="3917">
      <c r="B3917" s="47" t="n"/>
      <c r="C3917" s="48" t="n"/>
      <c r="D3917" s="48" t="n"/>
      <c r="E3917" s="48" t="n"/>
      <c r="F3917" s="48" t="n"/>
      <c r="G3917" s="49" t="n"/>
      <c r="H3917" s="48" t="n"/>
      <c r="I3917" s="50" t="n"/>
      <c r="J3917" s="48" t="n"/>
      <c r="K3917" s="48" t="n"/>
      <c r="L3917" s="48" t="n"/>
      <c r="M3917" s="48" t="n"/>
      <c r="N3917" s="48" t="n"/>
      <c r="O3917" s="51">
        <f>IF(AND(B3917="",G3917="",C3917="",D3917="",J3917=""),"",IF(B3917="","⚠ Falta fecha",IF(G3917="","⚠ Falta monto",IF(Q3917="","⚠ Falta cuenta",IF(ISNA(MATCH(Q3917,ctaNombre,0)),"⚠ Cuenta no registrada",IF(AND(OR(P3917="Gasto",P3917="Reembolso"),D3917=""),"⚠ Falta categoría",IF(AND(D3917&lt;&gt;"",E3917&lt;&gt;"",ISNA(MATCH(D3917&amp;"|"&amp;E3917,catClave,0))),"⚠ Subcategoría no corresponde",IF(AND(OR(P3917="Transferencia",P3917="Pago tarjeta"),K3917=""),"⚠ Falta cuenta destino",IF(AND(K3917&lt;&gt;"",P3917&lt;&gt;"Transferencia",P3917&lt;&gt;"Pago tarjeta"),"⚠ Destino solo aplica a transferencias",IF(AND(K3917&lt;&gt;"",K3917=Q3917),"⚠ Origen igual a destino",IF(AND(K3917&lt;&gt;"",ISNA(MATCH(K3917,ctaNombre,0))),"⚠ Destino no registrado",IF(AND(P3917="Pago tarjeta",AE3917&lt;&gt;"Tarjeta de crédito"),"⚠ El destino debe ser tarjeta de crédito",IF(AND(P3917="Gasto",E3917="Depósitos y retiros"),"⚠ Usa tipo Transferencia",IF(AND(P3917="Resultado trading",AD3917&lt;&gt;"Cuenta de trading"),"⚠ Usa una cuenta de trading",IF(AND(G3917&lt;=0,P3917&lt;&gt;"Ajuste",P3917&lt;&gt;"Resultado trading"),"⚠ El monto debe ser positivo","✓")))))))))))))))</f>
        <v/>
      </c>
      <c r="P3917" s="52">
        <f>IF(OR(B3917="",G3917=""),"",IF(C3917="","Gasto",C3917))</f>
        <v/>
      </c>
      <c r="Q3917" s="52">
        <f>IF(P3917="","",IF(J3917&lt;&gt;"",J3917,CuentaPred&amp;""))</f>
        <v/>
      </c>
      <c r="R3917" s="52">
        <f>IF(P3917="","",IF(ISNUMBER(I3917),I3917,TasaUSD))</f>
        <v/>
      </c>
      <c r="S3917" s="53">
        <f>IF(P3917="","",IF(H3917="USD",G3917*R3917,G3917))</f>
        <v/>
      </c>
      <c r="T3917" s="53">
        <f>IF(P3917="","",IF(H3917="USD",G3917,IF(R3917&gt;0,G3917/R3917,0)))</f>
        <v/>
      </c>
      <c r="U3917" s="53">
        <f>IF(P3917="","",IF(P3917="Gasto",S3917,IF(P3917="Reembolso",-S3917,0)))</f>
        <v/>
      </c>
      <c r="V3917" s="53">
        <f>IF(P3917="","",IF(P3917="Ingreso",S3917,0))</f>
        <v/>
      </c>
      <c r="W3917" s="53">
        <f>IF(P3917="","",IF(P3917="Resultado trading",S3917,0))</f>
        <v/>
      </c>
      <c r="X3917" s="52">
        <f>IF(OR(P3917="Gasto",P3917="Reembolso"),IF(M3917&lt;&gt;"",M3917,IFERROR(INDEX(catClasif,MATCH(D3917&amp;"|"&amp;E3917,catClave,0))&amp;"","Variable")),"")</f>
        <v/>
      </c>
      <c r="Y3917" s="52">
        <f>IF(P3917="","",IFERROR(INDEX(catGrupo,MATCH(D3917&amp;"|"&amp;E3917,catClave,0))&amp;"",""))</f>
        <v/>
      </c>
      <c r="Z3917" s="52">
        <f>IF(P3917="","",WEEKDAY(B3917,2))</f>
        <v/>
      </c>
      <c r="AA3917" s="52">
        <f>IF(P3917="","",IF(AND(P3917="Gasto",X3917="Variable",D3917&lt;&gt;catTrading,S3917&gt;0,S3917&lt;=Umbral),1,0))</f>
        <v/>
      </c>
      <c r="AB3917" s="52">
        <f>IF(OR(P3917="",Q3917=""),"",IFERROR(IF(INDEX(ctaVinc,MATCH(Q3917,ctaNombre,0))&amp;""&lt;&gt;"",INDEX(ctaVinc,MATCH(Q3917,ctaNombre,0))&amp;"",Q3917),Q3917))</f>
        <v/>
      </c>
      <c r="AC3917" s="52">
        <f>IF(OR(K3917="",AND(P3917&lt;&gt;"Transferencia",P3917&lt;&gt;"Pago tarjeta")),"",IFERROR(IF(INDEX(ctaVinc,MATCH(K3917,ctaNombre,0))&amp;""&lt;&gt;"",INDEX(ctaVinc,MATCH(K3917,ctaNombre,0))&amp;"",K3917),K3917))</f>
        <v/>
      </c>
      <c r="AD3917" s="52">
        <f>IF(AB3917="","",IFERROR(INDEX(ctaTipo,MATCH(AB3917,ctaNombre,0))&amp;"",""))</f>
        <v/>
      </c>
      <c r="AE3917" s="52">
        <f>IF(AC3917="","",IFERROR(INDEX(ctaTipo,MATCH(AC3917,ctaNombre,0))&amp;"",""))</f>
        <v/>
      </c>
      <c r="AF3917" s="53">
        <f>IF(OR(P3917="",AB3917=""),"",IF(OR(P3917="Gasto",P3917="Transferencia",P3917="Pago tarjeta"),-1,1)*IF(IFERROR(INDEX(ctaMoneda,MATCH(AB3917,ctaNombre,0))&amp;"","DOP")="USD",T3917,S3917))</f>
        <v/>
      </c>
      <c r="AG3917" s="53">
        <f>IF(AC3917="","",IF(IFERROR(INDEX(ctaMoneda,MATCH(AC3917,ctaNombre,0))&amp;"","DOP")="USD",T3917,S3917))</f>
        <v/>
      </c>
      <c r="AH3917" s="53">
        <f>IF(P3917="","",IF(AND(AD3917&lt;&gt;"",COUNTIFS(tcTipo,AD3917,tcLiq,"Sí")&gt;0),IF(OR(P3917="Gasto",P3917="Transferencia",P3917="Pago tarjeta"),-1,1)*S3917,0)+IF(AND(AE3917&lt;&gt;"",COUNTIFS(tcTipo,AE3917,tcLiq,"Sí")&gt;0),S3917,0))</f>
        <v/>
      </c>
      <c r="AI3917" s="52">
        <f>IF(OR(L3917="",P3917=""),"",IF(COUNTIFS(L$6:L3917,L3917,P$6:P3917,"?*")=1,MAX(AI$5:AI3916)+1,""))</f>
        <v/>
      </c>
    </row>
    <row r="3918">
      <c r="B3918" s="47" t="n"/>
      <c r="C3918" s="48" t="n"/>
      <c r="D3918" s="48" t="n"/>
      <c r="E3918" s="48" t="n"/>
      <c r="F3918" s="48" t="n"/>
      <c r="G3918" s="49" t="n"/>
      <c r="H3918" s="48" t="n"/>
      <c r="I3918" s="50" t="n"/>
      <c r="J3918" s="48" t="n"/>
      <c r="K3918" s="48" t="n"/>
      <c r="L3918" s="48" t="n"/>
      <c r="M3918" s="48" t="n"/>
      <c r="N3918" s="48" t="n"/>
      <c r="O3918" s="51">
        <f>IF(AND(B3918="",G3918="",C3918="",D3918="",J3918=""),"",IF(B3918="","⚠ Falta fecha",IF(G3918="","⚠ Falta monto",IF(Q3918="","⚠ Falta cuenta",IF(ISNA(MATCH(Q3918,ctaNombre,0)),"⚠ Cuenta no registrada",IF(AND(OR(P3918="Gasto",P3918="Reembolso"),D3918=""),"⚠ Falta categoría",IF(AND(D3918&lt;&gt;"",E3918&lt;&gt;"",ISNA(MATCH(D3918&amp;"|"&amp;E3918,catClave,0))),"⚠ Subcategoría no corresponde",IF(AND(OR(P3918="Transferencia",P3918="Pago tarjeta"),K3918=""),"⚠ Falta cuenta destino",IF(AND(K3918&lt;&gt;"",P3918&lt;&gt;"Transferencia",P3918&lt;&gt;"Pago tarjeta"),"⚠ Destino solo aplica a transferencias",IF(AND(K3918&lt;&gt;"",K3918=Q3918),"⚠ Origen igual a destino",IF(AND(K3918&lt;&gt;"",ISNA(MATCH(K3918,ctaNombre,0))),"⚠ Destino no registrado",IF(AND(P3918="Pago tarjeta",AE3918&lt;&gt;"Tarjeta de crédito"),"⚠ El destino debe ser tarjeta de crédito",IF(AND(P3918="Gasto",E3918="Depósitos y retiros"),"⚠ Usa tipo Transferencia",IF(AND(P3918="Resultado trading",AD3918&lt;&gt;"Cuenta de trading"),"⚠ Usa una cuenta de trading",IF(AND(G3918&lt;=0,P3918&lt;&gt;"Ajuste",P3918&lt;&gt;"Resultado trading"),"⚠ El monto debe ser positivo","✓")))))))))))))))</f>
        <v/>
      </c>
      <c r="P3918" s="52">
        <f>IF(OR(B3918="",G3918=""),"",IF(C3918="","Gasto",C3918))</f>
        <v/>
      </c>
      <c r="Q3918" s="52">
        <f>IF(P3918="","",IF(J3918&lt;&gt;"",J3918,CuentaPred&amp;""))</f>
        <v/>
      </c>
      <c r="R3918" s="52">
        <f>IF(P3918="","",IF(ISNUMBER(I3918),I3918,TasaUSD))</f>
        <v/>
      </c>
      <c r="S3918" s="53">
        <f>IF(P3918="","",IF(H3918="USD",G3918*R3918,G3918))</f>
        <v/>
      </c>
      <c r="T3918" s="53">
        <f>IF(P3918="","",IF(H3918="USD",G3918,IF(R3918&gt;0,G3918/R3918,0)))</f>
        <v/>
      </c>
      <c r="U3918" s="53">
        <f>IF(P3918="","",IF(P3918="Gasto",S3918,IF(P3918="Reembolso",-S3918,0)))</f>
        <v/>
      </c>
      <c r="V3918" s="53">
        <f>IF(P3918="","",IF(P3918="Ingreso",S3918,0))</f>
        <v/>
      </c>
      <c r="W3918" s="53">
        <f>IF(P3918="","",IF(P3918="Resultado trading",S3918,0))</f>
        <v/>
      </c>
      <c r="X3918" s="52">
        <f>IF(OR(P3918="Gasto",P3918="Reembolso"),IF(M3918&lt;&gt;"",M3918,IFERROR(INDEX(catClasif,MATCH(D3918&amp;"|"&amp;E3918,catClave,0))&amp;"","Variable")),"")</f>
        <v/>
      </c>
      <c r="Y3918" s="52">
        <f>IF(P3918="","",IFERROR(INDEX(catGrupo,MATCH(D3918&amp;"|"&amp;E3918,catClave,0))&amp;"",""))</f>
        <v/>
      </c>
      <c r="Z3918" s="52">
        <f>IF(P3918="","",WEEKDAY(B3918,2))</f>
        <v/>
      </c>
      <c r="AA3918" s="52">
        <f>IF(P3918="","",IF(AND(P3918="Gasto",X3918="Variable",D3918&lt;&gt;catTrading,S3918&gt;0,S3918&lt;=Umbral),1,0))</f>
        <v/>
      </c>
      <c r="AB3918" s="52">
        <f>IF(OR(P3918="",Q3918=""),"",IFERROR(IF(INDEX(ctaVinc,MATCH(Q3918,ctaNombre,0))&amp;""&lt;&gt;"",INDEX(ctaVinc,MATCH(Q3918,ctaNombre,0))&amp;"",Q3918),Q3918))</f>
        <v/>
      </c>
      <c r="AC3918" s="52">
        <f>IF(OR(K3918="",AND(P3918&lt;&gt;"Transferencia",P3918&lt;&gt;"Pago tarjeta")),"",IFERROR(IF(INDEX(ctaVinc,MATCH(K3918,ctaNombre,0))&amp;""&lt;&gt;"",INDEX(ctaVinc,MATCH(K3918,ctaNombre,0))&amp;"",K3918),K3918))</f>
        <v/>
      </c>
      <c r="AD3918" s="52">
        <f>IF(AB3918="","",IFERROR(INDEX(ctaTipo,MATCH(AB3918,ctaNombre,0))&amp;"",""))</f>
        <v/>
      </c>
      <c r="AE3918" s="52">
        <f>IF(AC3918="","",IFERROR(INDEX(ctaTipo,MATCH(AC3918,ctaNombre,0))&amp;"",""))</f>
        <v/>
      </c>
      <c r="AF3918" s="53">
        <f>IF(OR(P3918="",AB3918=""),"",IF(OR(P3918="Gasto",P3918="Transferencia",P3918="Pago tarjeta"),-1,1)*IF(IFERROR(INDEX(ctaMoneda,MATCH(AB3918,ctaNombre,0))&amp;"","DOP")="USD",T3918,S3918))</f>
        <v/>
      </c>
      <c r="AG3918" s="53">
        <f>IF(AC3918="","",IF(IFERROR(INDEX(ctaMoneda,MATCH(AC3918,ctaNombre,0))&amp;"","DOP")="USD",T3918,S3918))</f>
        <v/>
      </c>
      <c r="AH3918" s="53">
        <f>IF(P3918="","",IF(AND(AD3918&lt;&gt;"",COUNTIFS(tcTipo,AD3918,tcLiq,"Sí")&gt;0),IF(OR(P3918="Gasto",P3918="Transferencia",P3918="Pago tarjeta"),-1,1)*S3918,0)+IF(AND(AE3918&lt;&gt;"",COUNTIFS(tcTipo,AE3918,tcLiq,"Sí")&gt;0),S3918,0))</f>
        <v/>
      </c>
      <c r="AI3918" s="52">
        <f>IF(OR(L3918="",P3918=""),"",IF(COUNTIFS(L$6:L3918,L3918,P$6:P3918,"?*")=1,MAX(AI$5:AI3917)+1,""))</f>
        <v/>
      </c>
    </row>
    <row r="3919">
      <c r="B3919" s="47" t="n"/>
      <c r="C3919" s="48" t="n"/>
      <c r="D3919" s="48" t="n"/>
      <c r="E3919" s="48" t="n"/>
      <c r="F3919" s="48" t="n"/>
      <c r="G3919" s="49" t="n"/>
      <c r="H3919" s="48" t="n"/>
      <c r="I3919" s="50" t="n"/>
      <c r="J3919" s="48" t="n"/>
      <c r="K3919" s="48" t="n"/>
      <c r="L3919" s="48" t="n"/>
      <c r="M3919" s="48" t="n"/>
      <c r="N3919" s="48" t="n"/>
      <c r="O3919" s="51">
        <f>IF(AND(B3919="",G3919="",C3919="",D3919="",J3919=""),"",IF(B3919="","⚠ Falta fecha",IF(G3919="","⚠ Falta monto",IF(Q3919="","⚠ Falta cuenta",IF(ISNA(MATCH(Q3919,ctaNombre,0)),"⚠ Cuenta no registrada",IF(AND(OR(P3919="Gasto",P3919="Reembolso"),D3919=""),"⚠ Falta categoría",IF(AND(D3919&lt;&gt;"",E3919&lt;&gt;"",ISNA(MATCH(D3919&amp;"|"&amp;E3919,catClave,0))),"⚠ Subcategoría no corresponde",IF(AND(OR(P3919="Transferencia",P3919="Pago tarjeta"),K3919=""),"⚠ Falta cuenta destino",IF(AND(K3919&lt;&gt;"",P3919&lt;&gt;"Transferencia",P3919&lt;&gt;"Pago tarjeta"),"⚠ Destino solo aplica a transferencias",IF(AND(K3919&lt;&gt;"",K3919=Q3919),"⚠ Origen igual a destino",IF(AND(K3919&lt;&gt;"",ISNA(MATCH(K3919,ctaNombre,0))),"⚠ Destino no registrado",IF(AND(P3919="Pago tarjeta",AE3919&lt;&gt;"Tarjeta de crédito"),"⚠ El destino debe ser tarjeta de crédito",IF(AND(P3919="Gasto",E3919="Depósitos y retiros"),"⚠ Usa tipo Transferencia",IF(AND(P3919="Resultado trading",AD3919&lt;&gt;"Cuenta de trading"),"⚠ Usa una cuenta de trading",IF(AND(G3919&lt;=0,P3919&lt;&gt;"Ajuste",P3919&lt;&gt;"Resultado trading"),"⚠ El monto debe ser positivo","✓")))))))))))))))</f>
        <v/>
      </c>
      <c r="P3919" s="52">
        <f>IF(OR(B3919="",G3919=""),"",IF(C3919="","Gasto",C3919))</f>
        <v/>
      </c>
      <c r="Q3919" s="52">
        <f>IF(P3919="","",IF(J3919&lt;&gt;"",J3919,CuentaPred&amp;""))</f>
        <v/>
      </c>
      <c r="R3919" s="52">
        <f>IF(P3919="","",IF(ISNUMBER(I3919),I3919,TasaUSD))</f>
        <v/>
      </c>
      <c r="S3919" s="53">
        <f>IF(P3919="","",IF(H3919="USD",G3919*R3919,G3919))</f>
        <v/>
      </c>
      <c r="T3919" s="53">
        <f>IF(P3919="","",IF(H3919="USD",G3919,IF(R3919&gt;0,G3919/R3919,0)))</f>
        <v/>
      </c>
      <c r="U3919" s="53">
        <f>IF(P3919="","",IF(P3919="Gasto",S3919,IF(P3919="Reembolso",-S3919,0)))</f>
        <v/>
      </c>
      <c r="V3919" s="53">
        <f>IF(P3919="","",IF(P3919="Ingreso",S3919,0))</f>
        <v/>
      </c>
      <c r="W3919" s="53">
        <f>IF(P3919="","",IF(P3919="Resultado trading",S3919,0))</f>
        <v/>
      </c>
      <c r="X3919" s="52">
        <f>IF(OR(P3919="Gasto",P3919="Reembolso"),IF(M3919&lt;&gt;"",M3919,IFERROR(INDEX(catClasif,MATCH(D3919&amp;"|"&amp;E3919,catClave,0))&amp;"","Variable")),"")</f>
        <v/>
      </c>
      <c r="Y3919" s="52">
        <f>IF(P3919="","",IFERROR(INDEX(catGrupo,MATCH(D3919&amp;"|"&amp;E3919,catClave,0))&amp;"",""))</f>
        <v/>
      </c>
      <c r="Z3919" s="52">
        <f>IF(P3919="","",WEEKDAY(B3919,2))</f>
        <v/>
      </c>
      <c r="AA3919" s="52">
        <f>IF(P3919="","",IF(AND(P3919="Gasto",X3919="Variable",D3919&lt;&gt;catTrading,S3919&gt;0,S3919&lt;=Umbral),1,0))</f>
        <v/>
      </c>
      <c r="AB3919" s="52">
        <f>IF(OR(P3919="",Q3919=""),"",IFERROR(IF(INDEX(ctaVinc,MATCH(Q3919,ctaNombre,0))&amp;""&lt;&gt;"",INDEX(ctaVinc,MATCH(Q3919,ctaNombre,0))&amp;"",Q3919),Q3919))</f>
        <v/>
      </c>
      <c r="AC3919" s="52">
        <f>IF(OR(K3919="",AND(P3919&lt;&gt;"Transferencia",P3919&lt;&gt;"Pago tarjeta")),"",IFERROR(IF(INDEX(ctaVinc,MATCH(K3919,ctaNombre,0))&amp;""&lt;&gt;"",INDEX(ctaVinc,MATCH(K3919,ctaNombre,0))&amp;"",K3919),K3919))</f>
        <v/>
      </c>
      <c r="AD3919" s="52">
        <f>IF(AB3919="","",IFERROR(INDEX(ctaTipo,MATCH(AB3919,ctaNombre,0))&amp;"",""))</f>
        <v/>
      </c>
      <c r="AE3919" s="52">
        <f>IF(AC3919="","",IFERROR(INDEX(ctaTipo,MATCH(AC3919,ctaNombre,0))&amp;"",""))</f>
        <v/>
      </c>
      <c r="AF3919" s="53">
        <f>IF(OR(P3919="",AB3919=""),"",IF(OR(P3919="Gasto",P3919="Transferencia",P3919="Pago tarjeta"),-1,1)*IF(IFERROR(INDEX(ctaMoneda,MATCH(AB3919,ctaNombre,0))&amp;"","DOP")="USD",T3919,S3919))</f>
        <v/>
      </c>
      <c r="AG3919" s="53">
        <f>IF(AC3919="","",IF(IFERROR(INDEX(ctaMoneda,MATCH(AC3919,ctaNombre,0))&amp;"","DOP")="USD",T3919,S3919))</f>
        <v/>
      </c>
      <c r="AH3919" s="53">
        <f>IF(P3919="","",IF(AND(AD3919&lt;&gt;"",COUNTIFS(tcTipo,AD3919,tcLiq,"Sí")&gt;0),IF(OR(P3919="Gasto",P3919="Transferencia",P3919="Pago tarjeta"),-1,1)*S3919,0)+IF(AND(AE3919&lt;&gt;"",COUNTIFS(tcTipo,AE3919,tcLiq,"Sí")&gt;0),S3919,0))</f>
        <v/>
      </c>
      <c r="AI3919" s="52">
        <f>IF(OR(L3919="",P3919=""),"",IF(COUNTIFS(L$6:L3919,L3919,P$6:P3919,"?*")=1,MAX(AI$5:AI3918)+1,""))</f>
        <v/>
      </c>
    </row>
    <row r="3920">
      <c r="B3920" s="47" t="n"/>
      <c r="C3920" s="48" t="n"/>
      <c r="D3920" s="48" t="n"/>
      <c r="E3920" s="48" t="n"/>
      <c r="F3920" s="48" t="n"/>
      <c r="G3920" s="49" t="n"/>
      <c r="H3920" s="48" t="n"/>
      <c r="I3920" s="50" t="n"/>
      <c r="J3920" s="48" t="n"/>
      <c r="K3920" s="48" t="n"/>
      <c r="L3920" s="48" t="n"/>
      <c r="M3920" s="48" t="n"/>
      <c r="N3920" s="48" t="n"/>
      <c r="O3920" s="51">
        <f>IF(AND(B3920="",G3920="",C3920="",D3920="",J3920=""),"",IF(B3920="","⚠ Falta fecha",IF(G3920="","⚠ Falta monto",IF(Q3920="","⚠ Falta cuenta",IF(ISNA(MATCH(Q3920,ctaNombre,0)),"⚠ Cuenta no registrada",IF(AND(OR(P3920="Gasto",P3920="Reembolso"),D3920=""),"⚠ Falta categoría",IF(AND(D3920&lt;&gt;"",E3920&lt;&gt;"",ISNA(MATCH(D3920&amp;"|"&amp;E3920,catClave,0))),"⚠ Subcategoría no corresponde",IF(AND(OR(P3920="Transferencia",P3920="Pago tarjeta"),K3920=""),"⚠ Falta cuenta destino",IF(AND(K3920&lt;&gt;"",P3920&lt;&gt;"Transferencia",P3920&lt;&gt;"Pago tarjeta"),"⚠ Destino solo aplica a transferencias",IF(AND(K3920&lt;&gt;"",K3920=Q3920),"⚠ Origen igual a destino",IF(AND(K3920&lt;&gt;"",ISNA(MATCH(K3920,ctaNombre,0))),"⚠ Destino no registrado",IF(AND(P3920="Pago tarjeta",AE3920&lt;&gt;"Tarjeta de crédito"),"⚠ El destino debe ser tarjeta de crédito",IF(AND(P3920="Gasto",E3920="Depósitos y retiros"),"⚠ Usa tipo Transferencia",IF(AND(P3920="Resultado trading",AD3920&lt;&gt;"Cuenta de trading"),"⚠ Usa una cuenta de trading",IF(AND(G3920&lt;=0,P3920&lt;&gt;"Ajuste",P3920&lt;&gt;"Resultado trading"),"⚠ El monto debe ser positivo","✓")))))))))))))))</f>
        <v/>
      </c>
      <c r="P3920" s="52">
        <f>IF(OR(B3920="",G3920=""),"",IF(C3920="","Gasto",C3920))</f>
        <v/>
      </c>
      <c r="Q3920" s="52">
        <f>IF(P3920="","",IF(J3920&lt;&gt;"",J3920,CuentaPred&amp;""))</f>
        <v/>
      </c>
      <c r="R3920" s="52">
        <f>IF(P3920="","",IF(ISNUMBER(I3920),I3920,TasaUSD))</f>
        <v/>
      </c>
      <c r="S3920" s="53">
        <f>IF(P3920="","",IF(H3920="USD",G3920*R3920,G3920))</f>
        <v/>
      </c>
      <c r="T3920" s="53">
        <f>IF(P3920="","",IF(H3920="USD",G3920,IF(R3920&gt;0,G3920/R3920,0)))</f>
        <v/>
      </c>
      <c r="U3920" s="53">
        <f>IF(P3920="","",IF(P3920="Gasto",S3920,IF(P3920="Reembolso",-S3920,0)))</f>
        <v/>
      </c>
      <c r="V3920" s="53">
        <f>IF(P3920="","",IF(P3920="Ingreso",S3920,0))</f>
        <v/>
      </c>
      <c r="W3920" s="53">
        <f>IF(P3920="","",IF(P3920="Resultado trading",S3920,0))</f>
        <v/>
      </c>
      <c r="X3920" s="52">
        <f>IF(OR(P3920="Gasto",P3920="Reembolso"),IF(M3920&lt;&gt;"",M3920,IFERROR(INDEX(catClasif,MATCH(D3920&amp;"|"&amp;E3920,catClave,0))&amp;"","Variable")),"")</f>
        <v/>
      </c>
      <c r="Y3920" s="52">
        <f>IF(P3920="","",IFERROR(INDEX(catGrupo,MATCH(D3920&amp;"|"&amp;E3920,catClave,0))&amp;"",""))</f>
        <v/>
      </c>
      <c r="Z3920" s="52">
        <f>IF(P3920="","",WEEKDAY(B3920,2))</f>
        <v/>
      </c>
      <c r="AA3920" s="52">
        <f>IF(P3920="","",IF(AND(P3920="Gasto",X3920="Variable",D3920&lt;&gt;catTrading,S3920&gt;0,S3920&lt;=Umbral),1,0))</f>
        <v/>
      </c>
      <c r="AB3920" s="52">
        <f>IF(OR(P3920="",Q3920=""),"",IFERROR(IF(INDEX(ctaVinc,MATCH(Q3920,ctaNombre,0))&amp;""&lt;&gt;"",INDEX(ctaVinc,MATCH(Q3920,ctaNombre,0))&amp;"",Q3920),Q3920))</f>
        <v/>
      </c>
      <c r="AC3920" s="52">
        <f>IF(OR(K3920="",AND(P3920&lt;&gt;"Transferencia",P3920&lt;&gt;"Pago tarjeta")),"",IFERROR(IF(INDEX(ctaVinc,MATCH(K3920,ctaNombre,0))&amp;""&lt;&gt;"",INDEX(ctaVinc,MATCH(K3920,ctaNombre,0))&amp;"",K3920),K3920))</f>
        <v/>
      </c>
      <c r="AD3920" s="52">
        <f>IF(AB3920="","",IFERROR(INDEX(ctaTipo,MATCH(AB3920,ctaNombre,0))&amp;"",""))</f>
        <v/>
      </c>
      <c r="AE3920" s="52">
        <f>IF(AC3920="","",IFERROR(INDEX(ctaTipo,MATCH(AC3920,ctaNombre,0))&amp;"",""))</f>
        <v/>
      </c>
      <c r="AF3920" s="53">
        <f>IF(OR(P3920="",AB3920=""),"",IF(OR(P3920="Gasto",P3920="Transferencia",P3920="Pago tarjeta"),-1,1)*IF(IFERROR(INDEX(ctaMoneda,MATCH(AB3920,ctaNombre,0))&amp;"","DOP")="USD",T3920,S3920))</f>
        <v/>
      </c>
      <c r="AG3920" s="53">
        <f>IF(AC3920="","",IF(IFERROR(INDEX(ctaMoneda,MATCH(AC3920,ctaNombre,0))&amp;"","DOP")="USD",T3920,S3920))</f>
        <v/>
      </c>
      <c r="AH3920" s="53">
        <f>IF(P3920="","",IF(AND(AD3920&lt;&gt;"",COUNTIFS(tcTipo,AD3920,tcLiq,"Sí")&gt;0),IF(OR(P3920="Gasto",P3920="Transferencia",P3920="Pago tarjeta"),-1,1)*S3920,0)+IF(AND(AE3920&lt;&gt;"",COUNTIFS(tcTipo,AE3920,tcLiq,"Sí")&gt;0),S3920,0))</f>
        <v/>
      </c>
      <c r="AI3920" s="52">
        <f>IF(OR(L3920="",P3920=""),"",IF(COUNTIFS(L$6:L3920,L3920,P$6:P3920,"?*")=1,MAX(AI$5:AI3919)+1,""))</f>
        <v/>
      </c>
    </row>
    <row r="3921">
      <c r="B3921" s="47" t="n"/>
      <c r="C3921" s="48" t="n"/>
      <c r="D3921" s="48" t="n"/>
      <c r="E3921" s="48" t="n"/>
      <c r="F3921" s="48" t="n"/>
      <c r="G3921" s="49" t="n"/>
      <c r="H3921" s="48" t="n"/>
      <c r="I3921" s="50" t="n"/>
      <c r="J3921" s="48" t="n"/>
      <c r="K3921" s="48" t="n"/>
      <c r="L3921" s="48" t="n"/>
      <c r="M3921" s="48" t="n"/>
      <c r="N3921" s="48" t="n"/>
      <c r="O3921" s="51">
        <f>IF(AND(B3921="",G3921="",C3921="",D3921="",J3921=""),"",IF(B3921="","⚠ Falta fecha",IF(G3921="","⚠ Falta monto",IF(Q3921="","⚠ Falta cuenta",IF(ISNA(MATCH(Q3921,ctaNombre,0)),"⚠ Cuenta no registrada",IF(AND(OR(P3921="Gasto",P3921="Reembolso"),D3921=""),"⚠ Falta categoría",IF(AND(D3921&lt;&gt;"",E3921&lt;&gt;"",ISNA(MATCH(D3921&amp;"|"&amp;E3921,catClave,0))),"⚠ Subcategoría no corresponde",IF(AND(OR(P3921="Transferencia",P3921="Pago tarjeta"),K3921=""),"⚠ Falta cuenta destino",IF(AND(K3921&lt;&gt;"",P3921&lt;&gt;"Transferencia",P3921&lt;&gt;"Pago tarjeta"),"⚠ Destino solo aplica a transferencias",IF(AND(K3921&lt;&gt;"",K3921=Q3921),"⚠ Origen igual a destino",IF(AND(K3921&lt;&gt;"",ISNA(MATCH(K3921,ctaNombre,0))),"⚠ Destino no registrado",IF(AND(P3921="Pago tarjeta",AE3921&lt;&gt;"Tarjeta de crédito"),"⚠ El destino debe ser tarjeta de crédito",IF(AND(P3921="Gasto",E3921="Depósitos y retiros"),"⚠ Usa tipo Transferencia",IF(AND(P3921="Resultado trading",AD3921&lt;&gt;"Cuenta de trading"),"⚠ Usa una cuenta de trading",IF(AND(G3921&lt;=0,P3921&lt;&gt;"Ajuste",P3921&lt;&gt;"Resultado trading"),"⚠ El monto debe ser positivo","✓")))))))))))))))</f>
        <v/>
      </c>
      <c r="P3921" s="52">
        <f>IF(OR(B3921="",G3921=""),"",IF(C3921="","Gasto",C3921))</f>
        <v/>
      </c>
      <c r="Q3921" s="52">
        <f>IF(P3921="","",IF(J3921&lt;&gt;"",J3921,CuentaPred&amp;""))</f>
        <v/>
      </c>
      <c r="R3921" s="52">
        <f>IF(P3921="","",IF(ISNUMBER(I3921),I3921,TasaUSD))</f>
        <v/>
      </c>
      <c r="S3921" s="53">
        <f>IF(P3921="","",IF(H3921="USD",G3921*R3921,G3921))</f>
        <v/>
      </c>
      <c r="T3921" s="53">
        <f>IF(P3921="","",IF(H3921="USD",G3921,IF(R3921&gt;0,G3921/R3921,0)))</f>
        <v/>
      </c>
      <c r="U3921" s="53">
        <f>IF(P3921="","",IF(P3921="Gasto",S3921,IF(P3921="Reembolso",-S3921,0)))</f>
        <v/>
      </c>
      <c r="V3921" s="53">
        <f>IF(P3921="","",IF(P3921="Ingreso",S3921,0))</f>
        <v/>
      </c>
      <c r="W3921" s="53">
        <f>IF(P3921="","",IF(P3921="Resultado trading",S3921,0))</f>
        <v/>
      </c>
      <c r="X3921" s="52">
        <f>IF(OR(P3921="Gasto",P3921="Reembolso"),IF(M3921&lt;&gt;"",M3921,IFERROR(INDEX(catClasif,MATCH(D3921&amp;"|"&amp;E3921,catClave,0))&amp;"","Variable")),"")</f>
        <v/>
      </c>
      <c r="Y3921" s="52">
        <f>IF(P3921="","",IFERROR(INDEX(catGrupo,MATCH(D3921&amp;"|"&amp;E3921,catClave,0))&amp;"",""))</f>
        <v/>
      </c>
      <c r="Z3921" s="52">
        <f>IF(P3921="","",WEEKDAY(B3921,2))</f>
        <v/>
      </c>
      <c r="AA3921" s="52">
        <f>IF(P3921="","",IF(AND(P3921="Gasto",X3921="Variable",D3921&lt;&gt;catTrading,S3921&gt;0,S3921&lt;=Umbral),1,0))</f>
        <v/>
      </c>
      <c r="AB3921" s="52">
        <f>IF(OR(P3921="",Q3921=""),"",IFERROR(IF(INDEX(ctaVinc,MATCH(Q3921,ctaNombre,0))&amp;""&lt;&gt;"",INDEX(ctaVinc,MATCH(Q3921,ctaNombre,0))&amp;"",Q3921),Q3921))</f>
        <v/>
      </c>
      <c r="AC3921" s="52">
        <f>IF(OR(K3921="",AND(P3921&lt;&gt;"Transferencia",P3921&lt;&gt;"Pago tarjeta")),"",IFERROR(IF(INDEX(ctaVinc,MATCH(K3921,ctaNombre,0))&amp;""&lt;&gt;"",INDEX(ctaVinc,MATCH(K3921,ctaNombre,0))&amp;"",K3921),K3921))</f>
        <v/>
      </c>
      <c r="AD3921" s="52">
        <f>IF(AB3921="","",IFERROR(INDEX(ctaTipo,MATCH(AB3921,ctaNombre,0))&amp;"",""))</f>
        <v/>
      </c>
      <c r="AE3921" s="52">
        <f>IF(AC3921="","",IFERROR(INDEX(ctaTipo,MATCH(AC3921,ctaNombre,0))&amp;"",""))</f>
        <v/>
      </c>
      <c r="AF3921" s="53">
        <f>IF(OR(P3921="",AB3921=""),"",IF(OR(P3921="Gasto",P3921="Transferencia",P3921="Pago tarjeta"),-1,1)*IF(IFERROR(INDEX(ctaMoneda,MATCH(AB3921,ctaNombre,0))&amp;"","DOP")="USD",T3921,S3921))</f>
        <v/>
      </c>
      <c r="AG3921" s="53">
        <f>IF(AC3921="","",IF(IFERROR(INDEX(ctaMoneda,MATCH(AC3921,ctaNombre,0))&amp;"","DOP")="USD",T3921,S3921))</f>
        <v/>
      </c>
      <c r="AH3921" s="53">
        <f>IF(P3921="","",IF(AND(AD3921&lt;&gt;"",COUNTIFS(tcTipo,AD3921,tcLiq,"Sí")&gt;0),IF(OR(P3921="Gasto",P3921="Transferencia",P3921="Pago tarjeta"),-1,1)*S3921,0)+IF(AND(AE3921&lt;&gt;"",COUNTIFS(tcTipo,AE3921,tcLiq,"Sí")&gt;0),S3921,0))</f>
        <v/>
      </c>
      <c r="AI3921" s="52">
        <f>IF(OR(L3921="",P3921=""),"",IF(COUNTIFS(L$6:L3921,L3921,P$6:P3921,"?*")=1,MAX(AI$5:AI3920)+1,""))</f>
        <v/>
      </c>
    </row>
    <row r="3922">
      <c r="B3922" s="47" t="n"/>
      <c r="C3922" s="48" t="n"/>
      <c r="D3922" s="48" t="n"/>
      <c r="E3922" s="48" t="n"/>
      <c r="F3922" s="48" t="n"/>
      <c r="G3922" s="49" t="n"/>
      <c r="H3922" s="48" t="n"/>
      <c r="I3922" s="50" t="n"/>
      <c r="J3922" s="48" t="n"/>
      <c r="K3922" s="48" t="n"/>
      <c r="L3922" s="48" t="n"/>
      <c r="M3922" s="48" t="n"/>
      <c r="N3922" s="48" t="n"/>
      <c r="O3922" s="51">
        <f>IF(AND(B3922="",G3922="",C3922="",D3922="",J3922=""),"",IF(B3922="","⚠ Falta fecha",IF(G3922="","⚠ Falta monto",IF(Q3922="","⚠ Falta cuenta",IF(ISNA(MATCH(Q3922,ctaNombre,0)),"⚠ Cuenta no registrada",IF(AND(OR(P3922="Gasto",P3922="Reembolso"),D3922=""),"⚠ Falta categoría",IF(AND(D3922&lt;&gt;"",E3922&lt;&gt;"",ISNA(MATCH(D3922&amp;"|"&amp;E3922,catClave,0))),"⚠ Subcategoría no corresponde",IF(AND(OR(P3922="Transferencia",P3922="Pago tarjeta"),K3922=""),"⚠ Falta cuenta destino",IF(AND(K3922&lt;&gt;"",P3922&lt;&gt;"Transferencia",P3922&lt;&gt;"Pago tarjeta"),"⚠ Destino solo aplica a transferencias",IF(AND(K3922&lt;&gt;"",K3922=Q3922),"⚠ Origen igual a destino",IF(AND(K3922&lt;&gt;"",ISNA(MATCH(K3922,ctaNombre,0))),"⚠ Destino no registrado",IF(AND(P3922="Pago tarjeta",AE3922&lt;&gt;"Tarjeta de crédito"),"⚠ El destino debe ser tarjeta de crédito",IF(AND(P3922="Gasto",E3922="Depósitos y retiros"),"⚠ Usa tipo Transferencia",IF(AND(P3922="Resultado trading",AD3922&lt;&gt;"Cuenta de trading"),"⚠ Usa una cuenta de trading",IF(AND(G3922&lt;=0,P3922&lt;&gt;"Ajuste",P3922&lt;&gt;"Resultado trading"),"⚠ El monto debe ser positivo","✓")))))))))))))))</f>
        <v/>
      </c>
      <c r="P3922" s="52">
        <f>IF(OR(B3922="",G3922=""),"",IF(C3922="","Gasto",C3922))</f>
        <v/>
      </c>
      <c r="Q3922" s="52">
        <f>IF(P3922="","",IF(J3922&lt;&gt;"",J3922,CuentaPred&amp;""))</f>
        <v/>
      </c>
      <c r="R3922" s="52">
        <f>IF(P3922="","",IF(ISNUMBER(I3922),I3922,TasaUSD))</f>
        <v/>
      </c>
      <c r="S3922" s="53">
        <f>IF(P3922="","",IF(H3922="USD",G3922*R3922,G3922))</f>
        <v/>
      </c>
      <c r="T3922" s="53">
        <f>IF(P3922="","",IF(H3922="USD",G3922,IF(R3922&gt;0,G3922/R3922,0)))</f>
        <v/>
      </c>
      <c r="U3922" s="53">
        <f>IF(P3922="","",IF(P3922="Gasto",S3922,IF(P3922="Reembolso",-S3922,0)))</f>
        <v/>
      </c>
      <c r="V3922" s="53">
        <f>IF(P3922="","",IF(P3922="Ingreso",S3922,0))</f>
        <v/>
      </c>
      <c r="W3922" s="53">
        <f>IF(P3922="","",IF(P3922="Resultado trading",S3922,0))</f>
        <v/>
      </c>
      <c r="X3922" s="52">
        <f>IF(OR(P3922="Gasto",P3922="Reembolso"),IF(M3922&lt;&gt;"",M3922,IFERROR(INDEX(catClasif,MATCH(D3922&amp;"|"&amp;E3922,catClave,0))&amp;"","Variable")),"")</f>
        <v/>
      </c>
      <c r="Y3922" s="52">
        <f>IF(P3922="","",IFERROR(INDEX(catGrupo,MATCH(D3922&amp;"|"&amp;E3922,catClave,0))&amp;"",""))</f>
        <v/>
      </c>
      <c r="Z3922" s="52">
        <f>IF(P3922="","",WEEKDAY(B3922,2))</f>
        <v/>
      </c>
      <c r="AA3922" s="52">
        <f>IF(P3922="","",IF(AND(P3922="Gasto",X3922="Variable",D3922&lt;&gt;catTrading,S3922&gt;0,S3922&lt;=Umbral),1,0))</f>
        <v/>
      </c>
      <c r="AB3922" s="52">
        <f>IF(OR(P3922="",Q3922=""),"",IFERROR(IF(INDEX(ctaVinc,MATCH(Q3922,ctaNombre,0))&amp;""&lt;&gt;"",INDEX(ctaVinc,MATCH(Q3922,ctaNombre,0))&amp;"",Q3922),Q3922))</f>
        <v/>
      </c>
      <c r="AC3922" s="52">
        <f>IF(OR(K3922="",AND(P3922&lt;&gt;"Transferencia",P3922&lt;&gt;"Pago tarjeta")),"",IFERROR(IF(INDEX(ctaVinc,MATCH(K3922,ctaNombre,0))&amp;""&lt;&gt;"",INDEX(ctaVinc,MATCH(K3922,ctaNombre,0))&amp;"",K3922),K3922))</f>
        <v/>
      </c>
      <c r="AD3922" s="52">
        <f>IF(AB3922="","",IFERROR(INDEX(ctaTipo,MATCH(AB3922,ctaNombre,0))&amp;"",""))</f>
        <v/>
      </c>
      <c r="AE3922" s="52">
        <f>IF(AC3922="","",IFERROR(INDEX(ctaTipo,MATCH(AC3922,ctaNombre,0))&amp;"",""))</f>
        <v/>
      </c>
      <c r="AF3922" s="53">
        <f>IF(OR(P3922="",AB3922=""),"",IF(OR(P3922="Gasto",P3922="Transferencia",P3922="Pago tarjeta"),-1,1)*IF(IFERROR(INDEX(ctaMoneda,MATCH(AB3922,ctaNombre,0))&amp;"","DOP")="USD",T3922,S3922))</f>
        <v/>
      </c>
      <c r="AG3922" s="53">
        <f>IF(AC3922="","",IF(IFERROR(INDEX(ctaMoneda,MATCH(AC3922,ctaNombre,0))&amp;"","DOP")="USD",T3922,S3922))</f>
        <v/>
      </c>
      <c r="AH3922" s="53">
        <f>IF(P3922="","",IF(AND(AD3922&lt;&gt;"",COUNTIFS(tcTipo,AD3922,tcLiq,"Sí")&gt;0),IF(OR(P3922="Gasto",P3922="Transferencia",P3922="Pago tarjeta"),-1,1)*S3922,0)+IF(AND(AE3922&lt;&gt;"",COUNTIFS(tcTipo,AE3922,tcLiq,"Sí")&gt;0),S3922,0))</f>
        <v/>
      </c>
      <c r="AI3922" s="52">
        <f>IF(OR(L3922="",P3922=""),"",IF(COUNTIFS(L$6:L3922,L3922,P$6:P3922,"?*")=1,MAX(AI$5:AI3921)+1,""))</f>
        <v/>
      </c>
    </row>
    <row r="3923">
      <c r="B3923" s="47" t="n"/>
      <c r="C3923" s="48" t="n"/>
      <c r="D3923" s="48" t="n"/>
      <c r="E3923" s="48" t="n"/>
      <c r="F3923" s="48" t="n"/>
      <c r="G3923" s="49" t="n"/>
      <c r="H3923" s="48" t="n"/>
      <c r="I3923" s="50" t="n"/>
      <c r="J3923" s="48" t="n"/>
      <c r="K3923" s="48" t="n"/>
      <c r="L3923" s="48" t="n"/>
      <c r="M3923" s="48" t="n"/>
      <c r="N3923" s="48" t="n"/>
      <c r="O3923" s="51">
        <f>IF(AND(B3923="",G3923="",C3923="",D3923="",J3923=""),"",IF(B3923="","⚠ Falta fecha",IF(G3923="","⚠ Falta monto",IF(Q3923="","⚠ Falta cuenta",IF(ISNA(MATCH(Q3923,ctaNombre,0)),"⚠ Cuenta no registrada",IF(AND(OR(P3923="Gasto",P3923="Reembolso"),D3923=""),"⚠ Falta categoría",IF(AND(D3923&lt;&gt;"",E3923&lt;&gt;"",ISNA(MATCH(D3923&amp;"|"&amp;E3923,catClave,0))),"⚠ Subcategoría no corresponde",IF(AND(OR(P3923="Transferencia",P3923="Pago tarjeta"),K3923=""),"⚠ Falta cuenta destino",IF(AND(K3923&lt;&gt;"",P3923&lt;&gt;"Transferencia",P3923&lt;&gt;"Pago tarjeta"),"⚠ Destino solo aplica a transferencias",IF(AND(K3923&lt;&gt;"",K3923=Q3923),"⚠ Origen igual a destino",IF(AND(K3923&lt;&gt;"",ISNA(MATCH(K3923,ctaNombre,0))),"⚠ Destino no registrado",IF(AND(P3923="Pago tarjeta",AE3923&lt;&gt;"Tarjeta de crédito"),"⚠ El destino debe ser tarjeta de crédito",IF(AND(P3923="Gasto",E3923="Depósitos y retiros"),"⚠ Usa tipo Transferencia",IF(AND(P3923="Resultado trading",AD3923&lt;&gt;"Cuenta de trading"),"⚠ Usa una cuenta de trading",IF(AND(G3923&lt;=0,P3923&lt;&gt;"Ajuste",P3923&lt;&gt;"Resultado trading"),"⚠ El monto debe ser positivo","✓")))))))))))))))</f>
        <v/>
      </c>
      <c r="P3923" s="52">
        <f>IF(OR(B3923="",G3923=""),"",IF(C3923="","Gasto",C3923))</f>
        <v/>
      </c>
      <c r="Q3923" s="52">
        <f>IF(P3923="","",IF(J3923&lt;&gt;"",J3923,CuentaPred&amp;""))</f>
        <v/>
      </c>
      <c r="R3923" s="52">
        <f>IF(P3923="","",IF(ISNUMBER(I3923),I3923,TasaUSD))</f>
        <v/>
      </c>
      <c r="S3923" s="53">
        <f>IF(P3923="","",IF(H3923="USD",G3923*R3923,G3923))</f>
        <v/>
      </c>
      <c r="T3923" s="53">
        <f>IF(P3923="","",IF(H3923="USD",G3923,IF(R3923&gt;0,G3923/R3923,0)))</f>
        <v/>
      </c>
      <c r="U3923" s="53">
        <f>IF(P3923="","",IF(P3923="Gasto",S3923,IF(P3923="Reembolso",-S3923,0)))</f>
        <v/>
      </c>
      <c r="V3923" s="53">
        <f>IF(P3923="","",IF(P3923="Ingreso",S3923,0))</f>
        <v/>
      </c>
      <c r="W3923" s="53">
        <f>IF(P3923="","",IF(P3923="Resultado trading",S3923,0))</f>
        <v/>
      </c>
      <c r="X3923" s="52">
        <f>IF(OR(P3923="Gasto",P3923="Reembolso"),IF(M3923&lt;&gt;"",M3923,IFERROR(INDEX(catClasif,MATCH(D3923&amp;"|"&amp;E3923,catClave,0))&amp;"","Variable")),"")</f>
        <v/>
      </c>
      <c r="Y3923" s="52">
        <f>IF(P3923="","",IFERROR(INDEX(catGrupo,MATCH(D3923&amp;"|"&amp;E3923,catClave,0))&amp;"",""))</f>
        <v/>
      </c>
      <c r="Z3923" s="52">
        <f>IF(P3923="","",WEEKDAY(B3923,2))</f>
        <v/>
      </c>
      <c r="AA3923" s="52">
        <f>IF(P3923="","",IF(AND(P3923="Gasto",X3923="Variable",D3923&lt;&gt;catTrading,S3923&gt;0,S3923&lt;=Umbral),1,0))</f>
        <v/>
      </c>
      <c r="AB3923" s="52">
        <f>IF(OR(P3923="",Q3923=""),"",IFERROR(IF(INDEX(ctaVinc,MATCH(Q3923,ctaNombre,0))&amp;""&lt;&gt;"",INDEX(ctaVinc,MATCH(Q3923,ctaNombre,0))&amp;"",Q3923),Q3923))</f>
        <v/>
      </c>
      <c r="AC3923" s="52">
        <f>IF(OR(K3923="",AND(P3923&lt;&gt;"Transferencia",P3923&lt;&gt;"Pago tarjeta")),"",IFERROR(IF(INDEX(ctaVinc,MATCH(K3923,ctaNombre,0))&amp;""&lt;&gt;"",INDEX(ctaVinc,MATCH(K3923,ctaNombre,0))&amp;"",K3923),K3923))</f>
        <v/>
      </c>
      <c r="AD3923" s="52">
        <f>IF(AB3923="","",IFERROR(INDEX(ctaTipo,MATCH(AB3923,ctaNombre,0))&amp;"",""))</f>
        <v/>
      </c>
      <c r="AE3923" s="52">
        <f>IF(AC3923="","",IFERROR(INDEX(ctaTipo,MATCH(AC3923,ctaNombre,0))&amp;"",""))</f>
        <v/>
      </c>
      <c r="AF3923" s="53">
        <f>IF(OR(P3923="",AB3923=""),"",IF(OR(P3923="Gasto",P3923="Transferencia",P3923="Pago tarjeta"),-1,1)*IF(IFERROR(INDEX(ctaMoneda,MATCH(AB3923,ctaNombre,0))&amp;"","DOP")="USD",T3923,S3923))</f>
        <v/>
      </c>
      <c r="AG3923" s="53">
        <f>IF(AC3923="","",IF(IFERROR(INDEX(ctaMoneda,MATCH(AC3923,ctaNombre,0))&amp;"","DOP")="USD",T3923,S3923))</f>
        <v/>
      </c>
      <c r="AH3923" s="53">
        <f>IF(P3923="","",IF(AND(AD3923&lt;&gt;"",COUNTIFS(tcTipo,AD3923,tcLiq,"Sí")&gt;0),IF(OR(P3923="Gasto",P3923="Transferencia",P3923="Pago tarjeta"),-1,1)*S3923,0)+IF(AND(AE3923&lt;&gt;"",COUNTIFS(tcTipo,AE3923,tcLiq,"Sí")&gt;0),S3923,0))</f>
        <v/>
      </c>
      <c r="AI3923" s="52">
        <f>IF(OR(L3923="",P3923=""),"",IF(COUNTIFS(L$6:L3923,L3923,P$6:P3923,"?*")=1,MAX(AI$5:AI3922)+1,""))</f>
        <v/>
      </c>
    </row>
    <row r="3924">
      <c r="B3924" s="47" t="n"/>
      <c r="C3924" s="48" t="n"/>
      <c r="D3924" s="48" t="n"/>
      <c r="E3924" s="48" t="n"/>
      <c r="F3924" s="48" t="n"/>
      <c r="G3924" s="49" t="n"/>
      <c r="H3924" s="48" t="n"/>
      <c r="I3924" s="50" t="n"/>
      <c r="J3924" s="48" t="n"/>
      <c r="K3924" s="48" t="n"/>
      <c r="L3924" s="48" t="n"/>
      <c r="M3924" s="48" t="n"/>
      <c r="N3924" s="48" t="n"/>
      <c r="O3924" s="51">
        <f>IF(AND(B3924="",G3924="",C3924="",D3924="",J3924=""),"",IF(B3924="","⚠ Falta fecha",IF(G3924="","⚠ Falta monto",IF(Q3924="","⚠ Falta cuenta",IF(ISNA(MATCH(Q3924,ctaNombre,0)),"⚠ Cuenta no registrada",IF(AND(OR(P3924="Gasto",P3924="Reembolso"),D3924=""),"⚠ Falta categoría",IF(AND(D3924&lt;&gt;"",E3924&lt;&gt;"",ISNA(MATCH(D3924&amp;"|"&amp;E3924,catClave,0))),"⚠ Subcategoría no corresponde",IF(AND(OR(P3924="Transferencia",P3924="Pago tarjeta"),K3924=""),"⚠ Falta cuenta destino",IF(AND(K3924&lt;&gt;"",P3924&lt;&gt;"Transferencia",P3924&lt;&gt;"Pago tarjeta"),"⚠ Destino solo aplica a transferencias",IF(AND(K3924&lt;&gt;"",K3924=Q3924),"⚠ Origen igual a destino",IF(AND(K3924&lt;&gt;"",ISNA(MATCH(K3924,ctaNombre,0))),"⚠ Destino no registrado",IF(AND(P3924="Pago tarjeta",AE3924&lt;&gt;"Tarjeta de crédito"),"⚠ El destino debe ser tarjeta de crédito",IF(AND(P3924="Gasto",E3924="Depósitos y retiros"),"⚠ Usa tipo Transferencia",IF(AND(P3924="Resultado trading",AD3924&lt;&gt;"Cuenta de trading"),"⚠ Usa una cuenta de trading",IF(AND(G3924&lt;=0,P3924&lt;&gt;"Ajuste",P3924&lt;&gt;"Resultado trading"),"⚠ El monto debe ser positivo","✓")))))))))))))))</f>
        <v/>
      </c>
      <c r="P3924" s="52">
        <f>IF(OR(B3924="",G3924=""),"",IF(C3924="","Gasto",C3924))</f>
        <v/>
      </c>
      <c r="Q3924" s="52">
        <f>IF(P3924="","",IF(J3924&lt;&gt;"",J3924,CuentaPred&amp;""))</f>
        <v/>
      </c>
      <c r="R3924" s="52">
        <f>IF(P3924="","",IF(ISNUMBER(I3924),I3924,TasaUSD))</f>
        <v/>
      </c>
      <c r="S3924" s="53">
        <f>IF(P3924="","",IF(H3924="USD",G3924*R3924,G3924))</f>
        <v/>
      </c>
      <c r="T3924" s="53">
        <f>IF(P3924="","",IF(H3924="USD",G3924,IF(R3924&gt;0,G3924/R3924,0)))</f>
        <v/>
      </c>
      <c r="U3924" s="53">
        <f>IF(P3924="","",IF(P3924="Gasto",S3924,IF(P3924="Reembolso",-S3924,0)))</f>
        <v/>
      </c>
      <c r="V3924" s="53">
        <f>IF(P3924="","",IF(P3924="Ingreso",S3924,0))</f>
        <v/>
      </c>
      <c r="W3924" s="53">
        <f>IF(P3924="","",IF(P3924="Resultado trading",S3924,0))</f>
        <v/>
      </c>
      <c r="X3924" s="52">
        <f>IF(OR(P3924="Gasto",P3924="Reembolso"),IF(M3924&lt;&gt;"",M3924,IFERROR(INDEX(catClasif,MATCH(D3924&amp;"|"&amp;E3924,catClave,0))&amp;"","Variable")),"")</f>
        <v/>
      </c>
      <c r="Y3924" s="52">
        <f>IF(P3924="","",IFERROR(INDEX(catGrupo,MATCH(D3924&amp;"|"&amp;E3924,catClave,0))&amp;"",""))</f>
        <v/>
      </c>
      <c r="Z3924" s="52">
        <f>IF(P3924="","",WEEKDAY(B3924,2))</f>
        <v/>
      </c>
      <c r="AA3924" s="52">
        <f>IF(P3924="","",IF(AND(P3924="Gasto",X3924="Variable",D3924&lt;&gt;catTrading,S3924&gt;0,S3924&lt;=Umbral),1,0))</f>
        <v/>
      </c>
      <c r="AB3924" s="52">
        <f>IF(OR(P3924="",Q3924=""),"",IFERROR(IF(INDEX(ctaVinc,MATCH(Q3924,ctaNombre,0))&amp;""&lt;&gt;"",INDEX(ctaVinc,MATCH(Q3924,ctaNombre,0))&amp;"",Q3924),Q3924))</f>
        <v/>
      </c>
      <c r="AC3924" s="52">
        <f>IF(OR(K3924="",AND(P3924&lt;&gt;"Transferencia",P3924&lt;&gt;"Pago tarjeta")),"",IFERROR(IF(INDEX(ctaVinc,MATCH(K3924,ctaNombre,0))&amp;""&lt;&gt;"",INDEX(ctaVinc,MATCH(K3924,ctaNombre,0))&amp;"",K3924),K3924))</f>
        <v/>
      </c>
      <c r="AD3924" s="52">
        <f>IF(AB3924="","",IFERROR(INDEX(ctaTipo,MATCH(AB3924,ctaNombre,0))&amp;"",""))</f>
        <v/>
      </c>
      <c r="AE3924" s="52">
        <f>IF(AC3924="","",IFERROR(INDEX(ctaTipo,MATCH(AC3924,ctaNombre,0))&amp;"",""))</f>
        <v/>
      </c>
      <c r="AF3924" s="53">
        <f>IF(OR(P3924="",AB3924=""),"",IF(OR(P3924="Gasto",P3924="Transferencia",P3924="Pago tarjeta"),-1,1)*IF(IFERROR(INDEX(ctaMoneda,MATCH(AB3924,ctaNombre,0))&amp;"","DOP")="USD",T3924,S3924))</f>
        <v/>
      </c>
      <c r="AG3924" s="53">
        <f>IF(AC3924="","",IF(IFERROR(INDEX(ctaMoneda,MATCH(AC3924,ctaNombre,0))&amp;"","DOP")="USD",T3924,S3924))</f>
        <v/>
      </c>
      <c r="AH3924" s="53">
        <f>IF(P3924="","",IF(AND(AD3924&lt;&gt;"",COUNTIFS(tcTipo,AD3924,tcLiq,"Sí")&gt;0),IF(OR(P3924="Gasto",P3924="Transferencia",P3924="Pago tarjeta"),-1,1)*S3924,0)+IF(AND(AE3924&lt;&gt;"",COUNTIFS(tcTipo,AE3924,tcLiq,"Sí")&gt;0),S3924,0))</f>
        <v/>
      </c>
      <c r="AI3924" s="52">
        <f>IF(OR(L3924="",P3924=""),"",IF(COUNTIFS(L$6:L3924,L3924,P$6:P3924,"?*")=1,MAX(AI$5:AI3923)+1,""))</f>
        <v/>
      </c>
    </row>
    <row r="3925">
      <c r="B3925" s="47" t="n"/>
      <c r="C3925" s="48" t="n"/>
      <c r="D3925" s="48" t="n"/>
      <c r="E3925" s="48" t="n"/>
      <c r="F3925" s="48" t="n"/>
      <c r="G3925" s="49" t="n"/>
      <c r="H3925" s="48" t="n"/>
      <c r="I3925" s="50" t="n"/>
      <c r="J3925" s="48" t="n"/>
      <c r="K3925" s="48" t="n"/>
      <c r="L3925" s="48" t="n"/>
      <c r="M3925" s="48" t="n"/>
      <c r="N3925" s="48" t="n"/>
      <c r="O3925" s="51">
        <f>IF(AND(B3925="",G3925="",C3925="",D3925="",J3925=""),"",IF(B3925="","⚠ Falta fecha",IF(G3925="","⚠ Falta monto",IF(Q3925="","⚠ Falta cuenta",IF(ISNA(MATCH(Q3925,ctaNombre,0)),"⚠ Cuenta no registrada",IF(AND(OR(P3925="Gasto",P3925="Reembolso"),D3925=""),"⚠ Falta categoría",IF(AND(D3925&lt;&gt;"",E3925&lt;&gt;"",ISNA(MATCH(D3925&amp;"|"&amp;E3925,catClave,0))),"⚠ Subcategoría no corresponde",IF(AND(OR(P3925="Transferencia",P3925="Pago tarjeta"),K3925=""),"⚠ Falta cuenta destino",IF(AND(K3925&lt;&gt;"",P3925&lt;&gt;"Transferencia",P3925&lt;&gt;"Pago tarjeta"),"⚠ Destino solo aplica a transferencias",IF(AND(K3925&lt;&gt;"",K3925=Q3925),"⚠ Origen igual a destino",IF(AND(K3925&lt;&gt;"",ISNA(MATCH(K3925,ctaNombre,0))),"⚠ Destino no registrado",IF(AND(P3925="Pago tarjeta",AE3925&lt;&gt;"Tarjeta de crédito"),"⚠ El destino debe ser tarjeta de crédito",IF(AND(P3925="Gasto",E3925="Depósitos y retiros"),"⚠ Usa tipo Transferencia",IF(AND(P3925="Resultado trading",AD3925&lt;&gt;"Cuenta de trading"),"⚠ Usa una cuenta de trading",IF(AND(G3925&lt;=0,P3925&lt;&gt;"Ajuste",P3925&lt;&gt;"Resultado trading"),"⚠ El monto debe ser positivo","✓")))))))))))))))</f>
        <v/>
      </c>
      <c r="P3925" s="52">
        <f>IF(OR(B3925="",G3925=""),"",IF(C3925="","Gasto",C3925))</f>
        <v/>
      </c>
      <c r="Q3925" s="52">
        <f>IF(P3925="","",IF(J3925&lt;&gt;"",J3925,CuentaPred&amp;""))</f>
        <v/>
      </c>
      <c r="R3925" s="52">
        <f>IF(P3925="","",IF(ISNUMBER(I3925),I3925,TasaUSD))</f>
        <v/>
      </c>
      <c r="S3925" s="53">
        <f>IF(P3925="","",IF(H3925="USD",G3925*R3925,G3925))</f>
        <v/>
      </c>
      <c r="T3925" s="53">
        <f>IF(P3925="","",IF(H3925="USD",G3925,IF(R3925&gt;0,G3925/R3925,0)))</f>
        <v/>
      </c>
      <c r="U3925" s="53">
        <f>IF(P3925="","",IF(P3925="Gasto",S3925,IF(P3925="Reembolso",-S3925,0)))</f>
        <v/>
      </c>
      <c r="V3925" s="53">
        <f>IF(P3925="","",IF(P3925="Ingreso",S3925,0))</f>
        <v/>
      </c>
      <c r="W3925" s="53">
        <f>IF(P3925="","",IF(P3925="Resultado trading",S3925,0))</f>
        <v/>
      </c>
      <c r="X3925" s="52">
        <f>IF(OR(P3925="Gasto",P3925="Reembolso"),IF(M3925&lt;&gt;"",M3925,IFERROR(INDEX(catClasif,MATCH(D3925&amp;"|"&amp;E3925,catClave,0))&amp;"","Variable")),"")</f>
        <v/>
      </c>
      <c r="Y3925" s="52">
        <f>IF(P3925="","",IFERROR(INDEX(catGrupo,MATCH(D3925&amp;"|"&amp;E3925,catClave,0))&amp;"",""))</f>
        <v/>
      </c>
      <c r="Z3925" s="52">
        <f>IF(P3925="","",WEEKDAY(B3925,2))</f>
        <v/>
      </c>
      <c r="AA3925" s="52">
        <f>IF(P3925="","",IF(AND(P3925="Gasto",X3925="Variable",D3925&lt;&gt;catTrading,S3925&gt;0,S3925&lt;=Umbral),1,0))</f>
        <v/>
      </c>
      <c r="AB3925" s="52">
        <f>IF(OR(P3925="",Q3925=""),"",IFERROR(IF(INDEX(ctaVinc,MATCH(Q3925,ctaNombre,0))&amp;""&lt;&gt;"",INDEX(ctaVinc,MATCH(Q3925,ctaNombre,0))&amp;"",Q3925),Q3925))</f>
        <v/>
      </c>
      <c r="AC3925" s="52">
        <f>IF(OR(K3925="",AND(P3925&lt;&gt;"Transferencia",P3925&lt;&gt;"Pago tarjeta")),"",IFERROR(IF(INDEX(ctaVinc,MATCH(K3925,ctaNombre,0))&amp;""&lt;&gt;"",INDEX(ctaVinc,MATCH(K3925,ctaNombre,0))&amp;"",K3925),K3925))</f>
        <v/>
      </c>
      <c r="AD3925" s="52">
        <f>IF(AB3925="","",IFERROR(INDEX(ctaTipo,MATCH(AB3925,ctaNombre,0))&amp;"",""))</f>
        <v/>
      </c>
      <c r="AE3925" s="52">
        <f>IF(AC3925="","",IFERROR(INDEX(ctaTipo,MATCH(AC3925,ctaNombre,0))&amp;"",""))</f>
        <v/>
      </c>
      <c r="AF3925" s="53">
        <f>IF(OR(P3925="",AB3925=""),"",IF(OR(P3925="Gasto",P3925="Transferencia",P3925="Pago tarjeta"),-1,1)*IF(IFERROR(INDEX(ctaMoneda,MATCH(AB3925,ctaNombre,0))&amp;"","DOP")="USD",T3925,S3925))</f>
        <v/>
      </c>
      <c r="AG3925" s="53">
        <f>IF(AC3925="","",IF(IFERROR(INDEX(ctaMoneda,MATCH(AC3925,ctaNombre,0))&amp;"","DOP")="USD",T3925,S3925))</f>
        <v/>
      </c>
      <c r="AH3925" s="53">
        <f>IF(P3925="","",IF(AND(AD3925&lt;&gt;"",COUNTIFS(tcTipo,AD3925,tcLiq,"Sí")&gt;0),IF(OR(P3925="Gasto",P3925="Transferencia",P3925="Pago tarjeta"),-1,1)*S3925,0)+IF(AND(AE3925&lt;&gt;"",COUNTIFS(tcTipo,AE3925,tcLiq,"Sí")&gt;0),S3925,0))</f>
        <v/>
      </c>
      <c r="AI3925" s="52">
        <f>IF(OR(L3925="",P3925=""),"",IF(COUNTIFS(L$6:L3925,L3925,P$6:P3925,"?*")=1,MAX(AI$5:AI3924)+1,""))</f>
        <v/>
      </c>
    </row>
    <row r="3926">
      <c r="B3926" s="47" t="n"/>
      <c r="C3926" s="48" t="n"/>
      <c r="D3926" s="48" t="n"/>
      <c r="E3926" s="48" t="n"/>
      <c r="F3926" s="48" t="n"/>
      <c r="G3926" s="49" t="n"/>
      <c r="H3926" s="48" t="n"/>
      <c r="I3926" s="50" t="n"/>
      <c r="J3926" s="48" t="n"/>
      <c r="K3926" s="48" t="n"/>
      <c r="L3926" s="48" t="n"/>
      <c r="M3926" s="48" t="n"/>
      <c r="N3926" s="48" t="n"/>
      <c r="O3926" s="51">
        <f>IF(AND(B3926="",G3926="",C3926="",D3926="",J3926=""),"",IF(B3926="","⚠ Falta fecha",IF(G3926="","⚠ Falta monto",IF(Q3926="","⚠ Falta cuenta",IF(ISNA(MATCH(Q3926,ctaNombre,0)),"⚠ Cuenta no registrada",IF(AND(OR(P3926="Gasto",P3926="Reembolso"),D3926=""),"⚠ Falta categoría",IF(AND(D3926&lt;&gt;"",E3926&lt;&gt;"",ISNA(MATCH(D3926&amp;"|"&amp;E3926,catClave,0))),"⚠ Subcategoría no corresponde",IF(AND(OR(P3926="Transferencia",P3926="Pago tarjeta"),K3926=""),"⚠ Falta cuenta destino",IF(AND(K3926&lt;&gt;"",P3926&lt;&gt;"Transferencia",P3926&lt;&gt;"Pago tarjeta"),"⚠ Destino solo aplica a transferencias",IF(AND(K3926&lt;&gt;"",K3926=Q3926),"⚠ Origen igual a destino",IF(AND(K3926&lt;&gt;"",ISNA(MATCH(K3926,ctaNombre,0))),"⚠ Destino no registrado",IF(AND(P3926="Pago tarjeta",AE3926&lt;&gt;"Tarjeta de crédito"),"⚠ El destino debe ser tarjeta de crédito",IF(AND(P3926="Gasto",E3926="Depósitos y retiros"),"⚠ Usa tipo Transferencia",IF(AND(P3926="Resultado trading",AD3926&lt;&gt;"Cuenta de trading"),"⚠ Usa una cuenta de trading",IF(AND(G3926&lt;=0,P3926&lt;&gt;"Ajuste",P3926&lt;&gt;"Resultado trading"),"⚠ El monto debe ser positivo","✓")))))))))))))))</f>
        <v/>
      </c>
      <c r="P3926" s="52">
        <f>IF(OR(B3926="",G3926=""),"",IF(C3926="","Gasto",C3926))</f>
        <v/>
      </c>
      <c r="Q3926" s="52">
        <f>IF(P3926="","",IF(J3926&lt;&gt;"",J3926,CuentaPred&amp;""))</f>
        <v/>
      </c>
      <c r="R3926" s="52">
        <f>IF(P3926="","",IF(ISNUMBER(I3926),I3926,TasaUSD))</f>
        <v/>
      </c>
      <c r="S3926" s="53">
        <f>IF(P3926="","",IF(H3926="USD",G3926*R3926,G3926))</f>
        <v/>
      </c>
      <c r="T3926" s="53">
        <f>IF(P3926="","",IF(H3926="USD",G3926,IF(R3926&gt;0,G3926/R3926,0)))</f>
        <v/>
      </c>
      <c r="U3926" s="53">
        <f>IF(P3926="","",IF(P3926="Gasto",S3926,IF(P3926="Reembolso",-S3926,0)))</f>
        <v/>
      </c>
      <c r="V3926" s="53">
        <f>IF(P3926="","",IF(P3926="Ingreso",S3926,0))</f>
        <v/>
      </c>
      <c r="W3926" s="53">
        <f>IF(P3926="","",IF(P3926="Resultado trading",S3926,0))</f>
        <v/>
      </c>
      <c r="X3926" s="52">
        <f>IF(OR(P3926="Gasto",P3926="Reembolso"),IF(M3926&lt;&gt;"",M3926,IFERROR(INDEX(catClasif,MATCH(D3926&amp;"|"&amp;E3926,catClave,0))&amp;"","Variable")),"")</f>
        <v/>
      </c>
      <c r="Y3926" s="52">
        <f>IF(P3926="","",IFERROR(INDEX(catGrupo,MATCH(D3926&amp;"|"&amp;E3926,catClave,0))&amp;"",""))</f>
        <v/>
      </c>
      <c r="Z3926" s="52">
        <f>IF(P3926="","",WEEKDAY(B3926,2))</f>
        <v/>
      </c>
      <c r="AA3926" s="52">
        <f>IF(P3926="","",IF(AND(P3926="Gasto",X3926="Variable",D3926&lt;&gt;catTrading,S3926&gt;0,S3926&lt;=Umbral),1,0))</f>
        <v/>
      </c>
      <c r="AB3926" s="52">
        <f>IF(OR(P3926="",Q3926=""),"",IFERROR(IF(INDEX(ctaVinc,MATCH(Q3926,ctaNombre,0))&amp;""&lt;&gt;"",INDEX(ctaVinc,MATCH(Q3926,ctaNombre,0))&amp;"",Q3926),Q3926))</f>
        <v/>
      </c>
      <c r="AC3926" s="52">
        <f>IF(OR(K3926="",AND(P3926&lt;&gt;"Transferencia",P3926&lt;&gt;"Pago tarjeta")),"",IFERROR(IF(INDEX(ctaVinc,MATCH(K3926,ctaNombre,0))&amp;""&lt;&gt;"",INDEX(ctaVinc,MATCH(K3926,ctaNombre,0))&amp;"",K3926),K3926))</f>
        <v/>
      </c>
      <c r="AD3926" s="52">
        <f>IF(AB3926="","",IFERROR(INDEX(ctaTipo,MATCH(AB3926,ctaNombre,0))&amp;"",""))</f>
        <v/>
      </c>
      <c r="AE3926" s="52">
        <f>IF(AC3926="","",IFERROR(INDEX(ctaTipo,MATCH(AC3926,ctaNombre,0))&amp;"",""))</f>
        <v/>
      </c>
      <c r="AF3926" s="53">
        <f>IF(OR(P3926="",AB3926=""),"",IF(OR(P3926="Gasto",P3926="Transferencia",P3926="Pago tarjeta"),-1,1)*IF(IFERROR(INDEX(ctaMoneda,MATCH(AB3926,ctaNombre,0))&amp;"","DOP")="USD",T3926,S3926))</f>
        <v/>
      </c>
      <c r="AG3926" s="53">
        <f>IF(AC3926="","",IF(IFERROR(INDEX(ctaMoneda,MATCH(AC3926,ctaNombre,0))&amp;"","DOP")="USD",T3926,S3926))</f>
        <v/>
      </c>
      <c r="AH3926" s="53">
        <f>IF(P3926="","",IF(AND(AD3926&lt;&gt;"",COUNTIFS(tcTipo,AD3926,tcLiq,"Sí")&gt;0),IF(OR(P3926="Gasto",P3926="Transferencia",P3926="Pago tarjeta"),-1,1)*S3926,0)+IF(AND(AE3926&lt;&gt;"",COUNTIFS(tcTipo,AE3926,tcLiq,"Sí")&gt;0),S3926,0))</f>
        <v/>
      </c>
      <c r="AI3926" s="52">
        <f>IF(OR(L3926="",P3926=""),"",IF(COUNTIFS(L$6:L3926,L3926,P$6:P3926,"?*")=1,MAX(AI$5:AI3925)+1,""))</f>
        <v/>
      </c>
    </row>
    <row r="3927">
      <c r="B3927" s="47" t="n"/>
      <c r="C3927" s="48" t="n"/>
      <c r="D3927" s="48" t="n"/>
      <c r="E3927" s="48" t="n"/>
      <c r="F3927" s="48" t="n"/>
      <c r="G3927" s="49" t="n"/>
      <c r="H3927" s="48" t="n"/>
      <c r="I3927" s="50" t="n"/>
      <c r="J3927" s="48" t="n"/>
      <c r="K3927" s="48" t="n"/>
      <c r="L3927" s="48" t="n"/>
      <c r="M3927" s="48" t="n"/>
      <c r="N3927" s="48" t="n"/>
      <c r="O3927" s="51">
        <f>IF(AND(B3927="",G3927="",C3927="",D3927="",J3927=""),"",IF(B3927="","⚠ Falta fecha",IF(G3927="","⚠ Falta monto",IF(Q3927="","⚠ Falta cuenta",IF(ISNA(MATCH(Q3927,ctaNombre,0)),"⚠ Cuenta no registrada",IF(AND(OR(P3927="Gasto",P3927="Reembolso"),D3927=""),"⚠ Falta categoría",IF(AND(D3927&lt;&gt;"",E3927&lt;&gt;"",ISNA(MATCH(D3927&amp;"|"&amp;E3927,catClave,0))),"⚠ Subcategoría no corresponde",IF(AND(OR(P3927="Transferencia",P3927="Pago tarjeta"),K3927=""),"⚠ Falta cuenta destino",IF(AND(K3927&lt;&gt;"",P3927&lt;&gt;"Transferencia",P3927&lt;&gt;"Pago tarjeta"),"⚠ Destino solo aplica a transferencias",IF(AND(K3927&lt;&gt;"",K3927=Q3927),"⚠ Origen igual a destino",IF(AND(K3927&lt;&gt;"",ISNA(MATCH(K3927,ctaNombre,0))),"⚠ Destino no registrado",IF(AND(P3927="Pago tarjeta",AE3927&lt;&gt;"Tarjeta de crédito"),"⚠ El destino debe ser tarjeta de crédito",IF(AND(P3927="Gasto",E3927="Depósitos y retiros"),"⚠ Usa tipo Transferencia",IF(AND(P3927="Resultado trading",AD3927&lt;&gt;"Cuenta de trading"),"⚠ Usa una cuenta de trading",IF(AND(G3927&lt;=0,P3927&lt;&gt;"Ajuste",P3927&lt;&gt;"Resultado trading"),"⚠ El monto debe ser positivo","✓")))))))))))))))</f>
        <v/>
      </c>
      <c r="P3927" s="52">
        <f>IF(OR(B3927="",G3927=""),"",IF(C3927="","Gasto",C3927))</f>
        <v/>
      </c>
      <c r="Q3927" s="52">
        <f>IF(P3927="","",IF(J3927&lt;&gt;"",J3927,CuentaPred&amp;""))</f>
        <v/>
      </c>
      <c r="R3927" s="52">
        <f>IF(P3927="","",IF(ISNUMBER(I3927),I3927,TasaUSD))</f>
        <v/>
      </c>
      <c r="S3927" s="53">
        <f>IF(P3927="","",IF(H3927="USD",G3927*R3927,G3927))</f>
        <v/>
      </c>
      <c r="T3927" s="53">
        <f>IF(P3927="","",IF(H3927="USD",G3927,IF(R3927&gt;0,G3927/R3927,0)))</f>
        <v/>
      </c>
      <c r="U3927" s="53">
        <f>IF(P3927="","",IF(P3927="Gasto",S3927,IF(P3927="Reembolso",-S3927,0)))</f>
        <v/>
      </c>
      <c r="V3927" s="53">
        <f>IF(P3927="","",IF(P3927="Ingreso",S3927,0))</f>
        <v/>
      </c>
      <c r="W3927" s="53">
        <f>IF(P3927="","",IF(P3927="Resultado trading",S3927,0))</f>
        <v/>
      </c>
      <c r="X3927" s="52">
        <f>IF(OR(P3927="Gasto",P3927="Reembolso"),IF(M3927&lt;&gt;"",M3927,IFERROR(INDEX(catClasif,MATCH(D3927&amp;"|"&amp;E3927,catClave,0))&amp;"","Variable")),"")</f>
        <v/>
      </c>
      <c r="Y3927" s="52">
        <f>IF(P3927="","",IFERROR(INDEX(catGrupo,MATCH(D3927&amp;"|"&amp;E3927,catClave,0))&amp;"",""))</f>
        <v/>
      </c>
      <c r="Z3927" s="52">
        <f>IF(P3927="","",WEEKDAY(B3927,2))</f>
        <v/>
      </c>
      <c r="AA3927" s="52">
        <f>IF(P3927="","",IF(AND(P3927="Gasto",X3927="Variable",D3927&lt;&gt;catTrading,S3927&gt;0,S3927&lt;=Umbral),1,0))</f>
        <v/>
      </c>
      <c r="AB3927" s="52">
        <f>IF(OR(P3927="",Q3927=""),"",IFERROR(IF(INDEX(ctaVinc,MATCH(Q3927,ctaNombre,0))&amp;""&lt;&gt;"",INDEX(ctaVinc,MATCH(Q3927,ctaNombre,0))&amp;"",Q3927),Q3927))</f>
        <v/>
      </c>
      <c r="AC3927" s="52">
        <f>IF(OR(K3927="",AND(P3927&lt;&gt;"Transferencia",P3927&lt;&gt;"Pago tarjeta")),"",IFERROR(IF(INDEX(ctaVinc,MATCH(K3927,ctaNombre,0))&amp;""&lt;&gt;"",INDEX(ctaVinc,MATCH(K3927,ctaNombre,0))&amp;"",K3927),K3927))</f>
        <v/>
      </c>
      <c r="AD3927" s="52">
        <f>IF(AB3927="","",IFERROR(INDEX(ctaTipo,MATCH(AB3927,ctaNombre,0))&amp;"",""))</f>
        <v/>
      </c>
      <c r="AE3927" s="52">
        <f>IF(AC3927="","",IFERROR(INDEX(ctaTipo,MATCH(AC3927,ctaNombre,0))&amp;"",""))</f>
        <v/>
      </c>
      <c r="AF3927" s="53">
        <f>IF(OR(P3927="",AB3927=""),"",IF(OR(P3927="Gasto",P3927="Transferencia",P3927="Pago tarjeta"),-1,1)*IF(IFERROR(INDEX(ctaMoneda,MATCH(AB3927,ctaNombre,0))&amp;"","DOP")="USD",T3927,S3927))</f>
        <v/>
      </c>
      <c r="AG3927" s="53">
        <f>IF(AC3927="","",IF(IFERROR(INDEX(ctaMoneda,MATCH(AC3927,ctaNombre,0))&amp;"","DOP")="USD",T3927,S3927))</f>
        <v/>
      </c>
      <c r="AH3927" s="53">
        <f>IF(P3927="","",IF(AND(AD3927&lt;&gt;"",COUNTIFS(tcTipo,AD3927,tcLiq,"Sí")&gt;0),IF(OR(P3927="Gasto",P3927="Transferencia",P3927="Pago tarjeta"),-1,1)*S3927,0)+IF(AND(AE3927&lt;&gt;"",COUNTIFS(tcTipo,AE3927,tcLiq,"Sí")&gt;0),S3927,0))</f>
        <v/>
      </c>
      <c r="AI3927" s="52">
        <f>IF(OR(L3927="",P3927=""),"",IF(COUNTIFS(L$6:L3927,L3927,P$6:P3927,"?*")=1,MAX(AI$5:AI3926)+1,""))</f>
        <v/>
      </c>
    </row>
    <row r="3928">
      <c r="B3928" s="47" t="n"/>
      <c r="C3928" s="48" t="n"/>
      <c r="D3928" s="48" t="n"/>
      <c r="E3928" s="48" t="n"/>
      <c r="F3928" s="48" t="n"/>
      <c r="G3928" s="49" t="n"/>
      <c r="H3928" s="48" t="n"/>
      <c r="I3928" s="50" t="n"/>
      <c r="J3928" s="48" t="n"/>
      <c r="K3928" s="48" t="n"/>
      <c r="L3928" s="48" t="n"/>
      <c r="M3928" s="48" t="n"/>
      <c r="N3928" s="48" t="n"/>
      <c r="O3928" s="51">
        <f>IF(AND(B3928="",G3928="",C3928="",D3928="",J3928=""),"",IF(B3928="","⚠ Falta fecha",IF(G3928="","⚠ Falta monto",IF(Q3928="","⚠ Falta cuenta",IF(ISNA(MATCH(Q3928,ctaNombre,0)),"⚠ Cuenta no registrada",IF(AND(OR(P3928="Gasto",P3928="Reembolso"),D3928=""),"⚠ Falta categoría",IF(AND(D3928&lt;&gt;"",E3928&lt;&gt;"",ISNA(MATCH(D3928&amp;"|"&amp;E3928,catClave,0))),"⚠ Subcategoría no corresponde",IF(AND(OR(P3928="Transferencia",P3928="Pago tarjeta"),K3928=""),"⚠ Falta cuenta destino",IF(AND(K3928&lt;&gt;"",P3928&lt;&gt;"Transferencia",P3928&lt;&gt;"Pago tarjeta"),"⚠ Destino solo aplica a transferencias",IF(AND(K3928&lt;&gt;"",K3928=Q3928),"⚠ Origen igual a destino",IF(AND(K3928&lt;&gt;"",ISNA(MATCH(K3928,ctaNombre,0))),"⚠ Destino no registrado",IF(AND(P3928="Pago tarjeta",AE3928&lt;&gt;"Tarjeta de crédito"),"⚠ El destino debe ser tarjeta de crédito",IF(AND(P3928="Gasto",E3928="Depósitos y retiros"),"⚠ Usa tipo Transferencia",IF(AND(P3928="Resultado trading",AD3928&lt;&gt;"Cuenta de trading"),"⚠ Usa una cuenta de trading",IF(AND(G3928&lt;=0,P3928&lt;&gt;"Ajuste",P3928&lt;&gt;"Resultado trading"),"⚠ El monto debe ser positivo","✓")))))))))))))))</f>
        <v/>
      </c>
      <c r="P3928" s="52">
        <f>IF(OR(B3928="",G3928=""),"",IF(C3928="","Gasto",C3928))</f>
        <v/>
      </c>
      <c r="Q3928" s="52">
        <f>IF(P3928="","",IF(J3928&lt;&gt;"",J3928,CuentaPred&amp;""))</f>
        <v/>
      </c>
      <c r="R3928" s="52">
        <f>IF(P3928="","",IF(ISNUMBER(I3928),I3928,TasaUSD))</f>
        <v/>
      </c>
      <c r="S3928" s="53">
        <f>IF(P3928="","",IF(H3928="USD",G3928*R3928,G3928))</f>
        <v/>
      </c>
      <c r="T3928" s="53">
        <f>IF(P3928="","",IF(H3928="USD",G3928,IF(R3928&gt;0,G3928/R3928,0)))</f>
        <v/>
      </c>
      <c r="U3928" s="53">
        <f>IF(P3928="","",IF(P3928="Gasto",S3928,IF(P3928="Reembolso",-S3928,0)))</f>
        <v/>
      </c>
      <c r="V3928" s="53">
        <f>IF(P3928="","",IF(P3928="Ingreso",S3928,0))</f>
        <v/>
      </c>
      <c r="W3928" s="53">
        <f>IF(P3928="","",IF(P3928="Resultado trading",S3928,0))</f>
        <v/>
      </c>
      <c r="X3928" s="52">
        <f>IF(OR(P3928="Gasto",P3928="Reembolso"),IF(M3928&lt;&gt;"",M3928,IFERROR(INDEX(catClasif,MATCH(D3928&amp;"|"&amp;E3928,catClave,0))&amp;"","Variable")),"")</f>
        <v/>
      </c>
      <c r="Y3928" s="52">
        <f>IF(P3928="","",IFERROR(INDEX(catGrupo,MATCH(D3928&amp;"|"&amp;E3928,catClave,0))&amp;"",""))</f>
        <v/>
      </c>
      <c r="Z3928" s="52">
        <f>IF(P3928="","",WEEKDAY(B3928,2))</f>
        <v/>
      </c>
      <c r="AA3928" s="52">
        <f>IF(P3928="","",IF(AND(P3928="Gasto",X3928="Variable",D3928&lt;&gt;catTrading,S3928&gt;0,S3928&lt;=Umbral),1,0))</f>
        <v/>
      </c>
      <c r="AB3928" s="52">
        <f>IF(OR(P3928="",Q3928=""),"",IFERROR(IF(INDEX(ctaVinc,MATCH(Q3928,ctaNombre,0))&amp;""&lt;&gt;"",INDEX(ctaVinc,MATCH(Q3928,ctaNombre,0))&amp;"",Q3928),Q3928))</f>
        <v/>
      </c>
      <c r="AC3928" s="52">
        <f>IF(OR(K3928="",AND(P3928&lt;&gt;"Transferencia",P3928&lt;&gt;"Pago tarjeta")),"",IFERROR(IF(INDEX(ctaVinc,MATCH(K3928,ctaNombre,0))&amp;""&lt;&gt;"",INDEX(ctaVinc,MATCH(K3928,ctaNombre,0))&amp;"",K3928),K3928))</f>
        <v/>
      </c>
      <c r="AD3928" s="52">
        <f>IF(AB3928="","",IFERROR(INDEX(ctaTipo,MATCH(AB3928,ctaNombre,0))&amp;"",""))</f>
        <v/>
      </c>
      <c r="AE3928" s="52">
        <f>IF(AC3928="","",IFERROR(INDEX(ctaTipo,MATCH(AC3928,ctaNombre,0))&amp;"",""))</f>
        <v/>
      </c>
      <c r="AF3928" s="53">
        <f>IF(OR(P3928="",AB3928=""),"",IF(OR(P3928="Gasto",P3928="Transferencia",P3928="Pago tarjeta"),-1,1)*IF(IFERROR(INDEX(ctaMoneda,MATCH(AB3928,ctaNombre,0))&amp;"","DOP")="USD",T3928,S3928))</f>
        <v/>
      </c>
      <c r="AG3928" s="53">
        <f>IF(AC3928="","",IF(IFERROR(INDEX(ctaMoneda,MATCH(AC3928,ctaNombre,0))&amp;"","DOP")="USD",T3928,S3928))</f>
        <v/>
      </c>
      <c r="AH3928" s="53">
        <f>IF(P3928="","",IF(AND(AD3928&lt;&gt;"",COUNTIFS(tcTipo,AD3928,tcLiq,"Sí")&gt;0),IF(OR(P3928="Gasto",P3928="Transferencia",P3928="Pago tarjeta"),-1,1)*S3928,0)+IF(AND(AE3928&lt;&gt;"",COUNTIFS(tcTipo,AE3928,tcLiq,"Sí")&gt;0),S3928,0))</f>
        <v/>
      </c>
      <c r="AI3928" s="52">
        <f>IF(OR(L3928="",P3928=""),"",IF(COUNTIFS(L$6:L3928,L3928,P$6:P3928,"?*")=1,MAX(AI$5:AI3927)+1,""))</f>
        <v/>
      </c>
    </row>
    <row r="3929">
      <c r="B3929" s="47" t="n"/>
      <c r="C3929" s="48" t="n"/>
      <c r="D3929" s="48" t="n"/>
      <c r="E3929" s="48" t="n"/>
      <c r="F3929" s="48" t="n"/>
      <c r="G3929" s="49" t="n"/>
      <c r="H3929" s="48" t="n"/>
      <c r="I3929" s="50" t="n"/>
      <c r="J3929" s="48" t="n"/>
      <c r="K3929" s="48" t="n"/>
      <c r="L3929" s="48" t="n"/>
      <c r="M3929" s="48" t="n"/>
      <c r="N3929" s="48" t="n"/>
      <c r="O3929" s="51">
        <f>IF(AND(B3929="",G3929="",C3929="",D3929="",J3929=""),"",IF(B3929="","⚠ Falta fecha",IF(G3929="","⚠ Falta monto",IF(Q3929="","⚠ Falta cuenta",IF(ISNA(MATCH(Q3929,ctaNombre,0)),"⚠ Cuenta no registrada",IF(AND(OR(P3929="Gasto",P3929="Reembolso"),D3929=""),"⚠ Falta categoría",IF(AND(D3929&lt;&gt;"",E3929&lt;&gt;"",ISNA(MATCH(D3929&amp;"|"&amp;E3929,catClave,0))),"⚠ Subcategoría no corresponde",IF(AND(OR(P3929="Transferencia",P3929="Pago tarjeta"),K3929=""),"⚠ Falta cuenta destino",IF(AND(K3929&lt;&gt;"",P3929&lt;&gt;"Transferencia",P3929&lt;&gt;"Pago tarjeta"),"⚠ Destino solo aplica a transferencias",IF(AND(K3929&lt;&gt;"",K3929=Q3929),"⚠ Origen igual a destino",IF(AND(K3929&lt;&gt;"",ISNA(MATCH(K3929,ctaNombre,0))),"⚠ Destino no registrado",IF(AND(P3929="Pago tarjeta",AE3929&lt;&gt;"Tarjeta de crédito"),"⚠ El destino debe ser tarjeta de crédito",IF(AND(P3929="Gasto",E3929="Depósitos y retiros"),"⚠ Usa tipo Transferencia",IF(AND(P3929="Resultado trading",AD3929&lt;&gt;"Cuenta de trading"),"⚠ Usa una cuenta de trading",IF(AND(G3929&lt;=0,P3929&lt;&gt;"Ajuste",P3929&lt;&gt;"Resultado trading"),"⚠ El monto debe ser positivo","✓")))))))))))))))</f>
        <v/>
      </c>
      <c r="P3929" s="52">
        <f>IF(OR(B3929="",G3929=""),"",IF(C3929="","Gasto",C3929))</f>
        <v/>
      </c>
      <c r="Q3929" s="52">
        <f>IF(P3929="","",IF(J3929&lt;&gt;"",J3929,CuentaPred&amp;""))</f>
        <v/>
      </c>
      <c r="R3929" s="52">
        <f>IF(P3929="","",IF(ISNUMBER(I3929),I3929,TasaUSD))</f>
        <v/>
      </c>
      <c r="S3929" s="53">
        <f>IF(P3929="","",IF(H3929="USD",G3929*R3929,G3929))</f>
        <v/>
      </c>
      <c r="T3929" s="53">
        <f>IF(P3929="","",IF(H3929="USD",G3929,IF(R3929&gt;0,G3929/R3929,0)))</f>
        <v/>
      </c>
      <c r="U3929" s="53">
        <f>IF(P3929="","",IF(P3929="Gasto",S3929,IF(P3929="Reembolso",-S3929,0)))</f>
        <v/>
      </c>
      <c r="V3929" s="53">
        <f>IF(P3929="","",IF(P3929="Ingreso",S3929,0))</f>
        <v/>
      </c>
      <c r="W3929" s="53">
        <f>IF(P3929="","",IF(P3929="Resultado trading",S3929,0))</f>
        <v/>
      </c>
      <c r="X3929" s="52">
        <f>IF(OR(P3929="Gasto",P3929="Reembolso"),IF(M3929&lt;&gt;"",M3929,IFERROR(INDEX(catClasif,MATCH(D3929&amp;"|"&amp;E3929,catClave,0))&amp;"","Variable")),"")</f>
        <v/>
      </c>
      <c r="Y3929" s="52">
        <f>IF(P3929="","",IFERROR(INDEX(catGrupo,MATCH(D3929&amp;"|"&amp;E3929,catClave,0))&amp;"",""))</f>
        <v/>
      </c>
      <c r="Z3929" s="52">
        <f>IF(P3929="","",WEEKDAY(B3929,2))</f>
        <v/>
      </c>
      <c r="AA3929" s="52">
        <f>IF(P3929="","",IF(AND(P3929="Gasto",X3929="Variable",D3929&lt;&gt;catTrading,S3929&gt;0,S3929&lt;=Umbral),1,0))</f>
        <v/>
      </c>
      <c r="AB3929" s="52">
        <f>IF(OR(P3929="",Q3929=""),"",IFERROR(IF(INDEX(ctaVinc,MATCH(Q3929,ctaNombre,0))&amp;""&lt;&gt;"",INDEX(ctaVinc,MATCH(Q3929,ctaNombre,0))&amp;"",Q3929),Q3929))</f>
        <v/>
      </c>
      <c r="AC3929" s="52">
        <f>IF(OR(K3929="",AND(P3929&lt;&gt;"Transferencia",P3929&lt;&gt;"Pago tarjeta")),"",IFERROR(IF(INDEX(ctaVinc,MATCH(K3929,ctaNombre,0))&amp;""&lt;&gt;"",INDEX(ctaVinc,MATCH(K3929,ctaNombre,0))&amp;"",K3929),K3929))</f>
        <v/>
      </c>
      <c r="AD3929" s="52">
        <f>IF(AB3929="","",IFERROR(INDEX(ctaTipo,MATCH(AB3929,ctaNombre,0))&amp;"",""))</f>
        <v/>
      </c>
      <c r="AE3929" s="52">
        <f>IF(AC3929="","",IFERROR(INDEX(ctaTipo,MATCH(AC3929,ctaNombre,0))&amp;"",""))</f>
        <v/>
      </c>
      <c r="AF3929" s="53">
        <f>IF(OR(P3929="",AB3929=""),"",IF(OR(P3929="Gasto",P3929="Transferencia",P3929="Pago tarjeta"),-1,1)*IF(IFERROR(INDEX(ctaMoneda,MATCH(AB3929,ctaNombre,0))&amp;"","DOP")="USD",T3929,S3929))</f>
        <v/>
      </c>
      <c r="AG3929" s="53">
        <f>IF(AC3929="","",IF(IFERROR(INDEX(ctaMoneda,MATCH(AC3929,ctaNombre,0))&amp;"","DOP")="USD",T3929,S3929))</f>
        <v/>
      </c>
      <c r="AH3929" s="53">
        <f>IF(P3929="","",IF(AND(AD3929&lt;&gt;"",COUNTIFS(tcTipo,AD3929,tcLiq,"Sí")&gt;0),IF(OR(P3929="Gasto",P3929="Transferencia",P3929="Pago tarjeta"),-1,1)*S3929,0)+IF(AND(AE3929&lt;&gt;"",COUNTIFS(tcTipo,AE3929,tcLiq,"Sí")&gt;0),S3929,0))</f>
        <v/>
      </c>
      <c r="AI3929" s="52">
        <f>IF(OR(L3929="",P3929=""),"",IF(COUNTIFS(L$6:L3929,L3929,P$6:P3929,"?*")=1,MAX(AI$5:AI3928)+1,""))</f>
        <v/>
      </c>
    </row>
    <row r="3930">
      <c r="B3930" s="47" t="n"/>
      <c r="C3930" s="48" t="n"/>
      <c r="D3930" s="48" t="n"/>
      <c r="E3930" s="48" t="n"/>
      <c r="F3930" s="48" t="n"/>
      <c r="G3930" s="49" t="n"/>
      <c r="H3930" s="48" t="n"/>
      <c r="I3930" s="50" t="n"/>
      <c r="J3930" s="48" t="n"/>
      <c r="K3930" s="48" t="n"/>
      <c r="L3930" s="48" t="n"/>
      <c r="M3930" s="48" t="n"/>
      <c r="N3930" s="48" t="n"/>
      <c r="O3930" s="51">
        <f>IF(AND(B3930="",G3930="",C3930="",D3930="",J3930=""),"",IF(B3930="","⚠ Falta fecha",IF(G3930="","⚠ Falta monto",IF(Q3930="","⚠ Falta cuenta",IF(ISNA(MATCH(Q3930,ctaNombre,0)),"⚠ Cuenta no registrada",IF(AND(OR(P3930="Gasto",P3930="Reembolso"),D3930=""),"⚠ Falta categoría",IF(AND(D3930&lt;&gt;"",E3930&lt;&gt;"",ISNA(MATCH(D3930&amp;"|"&amp;E3930,catClave,0))),"⚠ Subcategoría no corresponde",IF(AND(OR(P3930="Transferencia",P3930="Pago tarjeta"),K3930=""),"⚠ Falta cuenta destino",IF(AND(K3930&lt;&gt;"",P3930&lt;&gt;"Transferencia",P3930&lt;&gt;"Pago tarjeta"),"⚠ Destino solo aplica a transferencias",IF(AND(K3930&lt;&gt;"",K3930=Q3930),"⚠ Origen igual a destino",IF(AND(K3930&lt;&gt;"",ISNA(MATCH(K3930,ctaNombre,0))),"⚠ Destino no registrado",IF(AND(P3930="Pago tarjeta",AE3930&lt;&gt;"Tarjeta de crédito"),"⚠ El destino debe ser tarjeta de crédito",IF(AND(P3930="Gasto",E3930="Depósitos y retiros"),"⚠ Usa tipo Transferencia",IF(AND(P3930="Resultado trading",AD3930&lt;&gt;"Cuenta de trading"),"⚠ Usa una cuenta de trading",IF(AND(G3930&lt;=0,P3930&lt;&gt;"Ajuste",P3930&lt;&gt;"Resultado trading"),"⚠ El monto debe ser positivo","✓")))))))))))))))</f>
        <v/>
      </c>
      <c r="P3930" s="52">
        <f>IF(OR(B3930="",G3930=""),"",IF(C3930="","Gasto",C3930))</f>
        <v/>
      </c>
      <c r="Q3930" s="52">
        <f>IF(P3930="","",IF(J3930&lt;&gt;"",J3930,CuentaPred&amp;""))</f>
        <v/>
      </c>
      <c r="R3930" s="52">
        <f>IF(P3930="","",IF(ISNUMBER(I3930),I3930,TasaUSD))</f>
        <v/>
      </c>
      <c r="S3930" s="53">
        <f>IF(P3930="","",IF(H3930="USD",G3930*R3930,G3930))</f>
        <v/>
      </c>
      <c r="T3930" s="53">
        <f>IF(P3930="","",IF(H3930="USD",G3930,IF(R3930&gt;0,G3930/R3930,0)))</f>
        <v/>
      </c>
      <c r="U3930" s="53">
        <f>IF(P3930="","",IF(P3930="Gasto",S3930,IF(P3930="Reembolso",-S3930,0)))</f>
        <v/>
      </c>
      <c r="V3930" s="53">
        <f>IF(P3930="","",IF(P3930="Ingreso",S3930,0))</f>
        <v/>
      </c>
      <c r="W3930" s="53">
        <f>IF(P3930="","",IF(P3930="Resultado trading",S3930,0))</f>
        <v/>
      </c>
      <c r="X3930" s="52">
        <f>IF(OR(P3930="Gasto",P3930="Reembolso"),IF(M3930&lt;&gt;"",M3930,IFERROR(INDEX(catClasif,MATCH(D3930&amp;"|"&amp;E3930,catClave,0))&amp;"","Variable")),"")</f>
        <v/>
      </c>
      <c r="Y3930" s="52">
        <f>IF(P3930="","",IFERROR(INDEX(catGrupo,MATCH(D3930&amp;"|"&amp;E3930,catClave,0))&amp;"",""))</f>
        <v/>
      </c>
      <c r="Z3930" s="52">
        <f>IF(P3930="","",WEEKDAY(B3930,2))</f>
        <v/>
      </c>
      <c r="AA3930" s="52">
        <f>IF(P3930="","",IF(AND(P3930="Gasto",X3930="Variable",D3930&lt;&gt;catTrading,S3930&gt;0,S3930&lt;=Umbral),1,0))</f>
        <v/>
      </c>
      <c r="AB3930" s="52">
        <f>IF(OR(P3930="",Q3930=""),"",IFERROR(IF(INDEX(ctaVinc,MATCH(Q3930,ctaNombre,0))&amp;""&lt;&gt;"",INDEX(ctaVinc,MATCH(Q3930,ctaNombre,0))&amp;"",Q3930),Q3930))</f>
        <v/>
      </c>
      <c r="AC3930" s="52">
        <f>IF(OR(K3930="",AND(P3930&lt;&gt;"Transferencia",P3930&lt;&gt;"Pago tarjeta")),"",IFERROR(IF(INDEX(ctaVinc,MATCH(K3930,ctaNombre,0))&amp;""&lt;&gt;"",INDEX(ctaVinc,MATCH(K3930,ctaNombre,0))&amp;"",K3930),K3930))</f>
        <v/>
      </c>
      <c r="AD3930" s="52">
        <f>IF(AB3930="","",IFERROR(INDEX(ctaTipo,MATCH(AB3930,ctaNombre,0))&amp;"",""))</f>
        <v/>
      </c>
      <c r="AE3930" s="52">
        <f>IF(AC3930="","",IFERROR(INDEX(ctaTipo,MATCH(AC3930,ctaNombre,0))&amp;"",""))</f>
        <v/>
      </c>
      <c r="AF3930" s="53">
        <f>IF(OR(P3930="",AB3930=""),"",IF(OR(P3930="Gasto",P3930="Transferencia",P3930="Pago tarjeta"),-1,1)*IF(IFERROR(INDEX(ctaMoneda,MATCH(AB3930,ctaNombre,0))&amp;"","DOP")="USD",T3930,S3930))</f>
        <v/>
      </c>
      <c r="AG3930" s="53">
        <f>IF(AC3930="","",IF(IFERROR(INDEX(ctaMoneda,MATCH(AC3930,ctaNombre,0))&amp;"","DOP")="USD",T3930,S3930))</f>
        <v/>
      </c>
      <c r="AH3930" s="53">
        <f>IF(P3930="","",IF(AND(AD3930&lt;&gt;"",COUNTIFS(tcTipo,AD3930,tcLiq,"Sí")&gt;0),IF(OR(P3930="Gasto",P3930="Transferencia",P3930="Pago tarjeta"),-1,1)*S3930,0)+IF(AND(AE3930&lt;&gt;"",COUNTIFS(tcTipo,AE3930,tcLiq,"Sí")&gt;0),S3930,0))</f>
        <v/>
      </c>
      <c r="AI3930" s="52">
        <f>IF(OR(L3930="",P3930=""),"",IF(COUNTIFS(L$6:L3930,L3930,P$6:P3930,"?*")=1,MAX(AI$5:AI3929)+1,""))</f>
        <v/>
      </c>
    </row>
    <row r="3931">
      <c r="B3931" s="47" t="n"/>
      <c r="C3931" s="48" t="n"/>
      <c r="D3931" s="48" t="n"/>
      <c r="E3931" s="48" t="n"/>
      <c r="F3931" s="48" t="n"/>
      <c r="G3931" s="49" t="n"/>
      <c r="H3931" s="48" t="n"/>
      <c r="I3931" s="50" t="n"/>
      <c r="J3931" s="48" t="n"/>
      <c r="K3931" s="48" t="n"/>
      <c r="L3931" s="48" t="n"/>
      <c r="M3931" s="48" t="n"/>
      <c r="N3931" s="48" t="n"/>
      <c r="O3931" s="51">
        <f>IF(AND(B3931="",G3931="",C3931="",D3931="",J3931=""),"",IF(B3931="","⚠ Falta fecha",IF(G3931="","⚠ Falta monto",IF(Q3931="","⚠ Falta cuenta",IF(ISNA(MATCH(Q3931,ctaNombre,0)),"⚠ Cuenta no registrada",IF(AND(OR(P3931="Gasto",P3931="Reembolso"),D3931=""),"⚠ Falta categoría",IF(AND(D3931&lt;&gt;"",E3931&lt;&gt;"",ISNA(MATCH(D3931&amp;"|"&amp;E3931,catClave,0))),"⚠ Subcategoría no corresponde",IF(AND(OR(P3931="Transferencia",P3931="Pago tarjeta"),K3931=""),"⚠ Falta cuenta destino",IF(AND(K3931&lt;&gt;"",P3931&lt;&gt;"Transferencia",P3931&lt;&gt;"Pago tarjeta"),"⚠ Destino solo aplica a transferencias",IF(AND(K3931&lt;&gt;"",K3931=Q3931),"⚠ Origen igual a destino",IF(AND(K3931&lt;&gt;"",ISNA(MATCH(K3931,ctaNombre,0))),"⚠ Destino no registrado",IF(AND(P3931="Pago tarjeta",AE3931&lt;&gt;"Tarjeta de crédito"),"⚠ El destino debe ser tarjeta de crédito",IF(AND(P3931="Gasto",E3931="Depósitos y retiros"),"⚠ Usa tipo Transferencia",IF(AND(P3931="Resultado trading",AD3931&lt;&gt;"Cuenta de trading"),"⚠ Usa una cuenta de trading",IF(AND(G3931&lt;=0,P3931&lt;&gt;"Ajuste",P3931&lt;&gt;"Resultado trading"),"⚠ El monto debe ser positivo","✓")))))))))))))))</f>
        <v/>
      </c>
      <c r="P3931" s="52">
        <f>IF(OR(B3931="",G3931=""),"",IF(C3931="","Gasto",C3931))</f>
        <v/>
      </c>
      <c r="Q3931" s="52">
        <f>IF(P3931="","",IF(J3931&lt;&gt;"",J3931,CuentaPred&amp;""))</f>
        <v/>
      </c>
      <c r="R3931" s="52">
        <f>IF(P3931="","",IF(ISNUMBER(I3931),I3931,TasaUSD))</f>
        <v/>
      </c>
      <c r="S3931" s="53">
        <f>IF(P3931="","",IF(H3931="USD",G3931*R3931,G3931))</f>
        <v/>
      </c>
      <c r="T3931" s="53">
        <f>IF(P3931="","",IF(H3931="USD",G3931,IF(R3931&gt;0,G3931/R3931,0)))</f>
        <v/>
      </c>
      <c r="U3931" s="53">
        <f>IF(P3931="","",IF(P3931="Gasto",S3931,IF(P3931="Reembolso",-S3931,0)))</f>
        <v/>
      </c>
      <c r="V3931" s="53">
        <f>IF(P3931="","",IF(P3931="Ingreso",S3931,0))</f>
        <v/>
      </c>
      <c r="W3931" s="53">
        <f>IF(P3931="","",IF(P3931="Resultado trading",S3931,0))</f>
        <v/>
      </c>
      <c r="X3931" s="52">
        <f>IF(OR(P3931="Gasto",P3931="Reembolso"),IF(M3931&lt;&gt;"",M3931,IFERROR(INDEX(catClasif,MATCH(D3931&amp;"|"&amp;E3931,catClave,0))&amp;"","Variable")),"")</f>
        <v/>
      </c>
      <c r="Y3931" s="52">
        <f>IF(P3931="","",IFERROR(INDEX(catGrupo,MATCH(D3931&amp;"|"&amp;E3931,catClave,0))&amp;"",""))</f>
        <v/>
      </c>
      <c r="Z3931" s="52">
        <f>IF(P3931="","",WEEKDAY(B3931,2))</f>
        <v/>
      </c>
      <c r="AA3931" s="52">
        <f>IF(P3931="","",IF(AND(P3931="Gasto",X3931="Variable",D3931&lt;&gt;catTrading,S3931&gt;0,S3931&lt;=Umbral),1,0))</f>
        <v/>
      </c>
      <c r="AB3931" s="52">
        <f>IF(OR(P3931="",Q3931=""),"",IFERROR(IF(INDEX(ctaVinc,MATCH(Q3931,ctaNombre,0))&amp;""&lt;&gt;"",INDEX(ctaVinc,MATCH(Q3931,ctaNombre,0))&amp;"",Q3931),Q3931))</f>
        <v/>
      </c>
      <c r="AC3931" s="52">
        <f>IF(OR(K3931="",AND(P3931&lt;&gt;"Transferencia",P3931&lt;&gt;"Pago tarjeta")),"",IFERROR(IF(INDEX(ctaVinc,MATCH(K3931,ctaNombre,0))&amp;""&lt;&gt;"",INDEX(ctaVinc,MATCH(K3931,ctaNombre,0))&amp;"",K3931),K3931))</f>
        <v/>
      </c>
      <c r="AD3931" s="52">
        <f>IF(AB3931="","",IFERROR(INDEX(ctaTipo,MATCH(AB3931,ctaNombre,0))&amp;"",""))</f>
        <v/>
      </c>
      <c r="AE3931" s="52">
        <f>IF(AC3931="","",IFERROR(INDEX(ctaTipo,MATCH(AC3931,ctaNombre,0))&amp;"",""))</f>
        <v/>
      </c>
      <c r="AF3931" s="53">
        <f>IF(OR(P3931="",AB3931=""),"",IF(OR(P3931="Gasto",P3931="Transferencia",P3931="Pago tarjeta"),-1,1)*IF(IFERROR(INDEX(ctaMoneda,MATCH(AB3931,ctaNombre,0))&amp;"","DOP")="USD",T3931,S3931))</f>
        <v/>
      </c>
      <c r="AG3931" s="53">
        <f>IF(AC3931="","",IF(IFERROR(INDEX(ctaMoneda,MATCH(AC3931,ctaNombre,0))&amp;"","DOP")="USD",T3931,S3931))</f>
        <v/>
      </c>
      <c r="AH3931" s="53">
        <f>IF(P3931="","",IF(AND(AD3931&lt;&gt;"",COUNTIFS(tcTipo,AD3931,tcLiq,"Sí")&gt;0),IF(OR(P3931="Gasto",P3931="Transferencia",P3931="Pago tarjeta"),-1,1)*S3931,0)+IF(AND(AE3931&lt;&gt;"",COUNTIFS(tcTipo,AE3931,tcLiq,"Sí")&gt;0),S3931,0))</f>
        <v/>
      </c>
      <c r="AI3931" s="52">
        <f>IF(OR(L3931="",P3931=""),"",IF(COUNTIFS(L$6:L3931,L3931,P$6:P3931,"?*")=1,MAX(AI$5:AI3930)+1,""))</f>
        <v/>
      </c>
    </row>
    <row r="3932">
      <c r="B3932" s="47" t="n"/>
      <c r="C3932" s="48" t="n"/>
      <c r="D3932" s="48" t="n"/>
      <c r="E3932" s="48" t="n"/>
      <c r="F3932" s="48" t="n"/>
      <c r="G3932" s="49" t="n"/>
      <c r="H3932" s="48" t="n"/>
      <c r="I3932" s="50" t="n"/>
      <c r="J3932" s="48" t="n"/>
      <c r="K3932" s="48" t="n"/>
      <c r="L3932" s="48" t="n"/>
      <c r="M3932" s="48" t="n"/>
      <c r="N3932" s="48" t="n"/>
      <c r="O3932" s="51">
        <f>IF(AND(B3932="",G3932="",C3932="",D3932="",J3932=""),"",IF(B3932="","⚠ Falta fecha",IF(G3932="","⚠ Falta monto",IF(Q3932="","⚠ Falta cuenta",IF(ISNA(MATCH(Q3932,ctaNombre,0)),"⚠ Cuenta no registrada",IF(AND(OR(P3932="Gasto",P3932="Reembolso"),D3932=""),"⚠ Falta categoría",IF(AND(D3932&lt;&gt;"",E3932&lt;&gt;"",ISNA(MATCH(D3932&amp;"|"&amp;E3932,catClave,0))),"⚠ Subcategoría no corresponde",IF(AND(OR(P3932="Transferencia",P3932="Pago tarjeta"),K3932=""),"⚠ Falta cuenta destino",IF(AND(K3932&lt;&gt;"",P3932&lt;&gt;"Transferencia",P3932&lt;&gt;"Pago tarjeta"),"⚠ Destino solo aplica a transferencias",IF(AND(K3932&lt;&gt;"",K3932=Q3932),"⚠ Origen igual a destino",IF(AND(K3932&lt;&gt;"",ISNA(MATCH(K3932,ctaNombre,0))),"⚠ Destino no registrado",IF(AND(P3932="Pago tarjeta",AE3932&lt;&gt;"Tarjeta de crédito"),"⚠ El destino debe ser tarjeta de crédito",IF(AND(P3932="Gasto",E3932="Depósitos y retiros"),"⚠ Usa tipo Transferencia",IF(AND(P3932="Resultado trading",AD3932&lt;&gt;"Cuenta de trading"),"⚠ Usa una cuenta de trading",IF(AND(G3932&lt;=0,P3932&lt;&gt;"Ajuste",P3932&lt;&gt;"Resultado trading"),"⚠ El monto debe ser positivo","✓")))))))))))))))</f>
        <v/>
      </c>
      <c r="P3932" s="52">
        <f>IF(OR(B3932="",G3932=""),"",IF(C3932="","Gasto",C3932))</f>
        <v/>
      </c>
      <c r="Q3932" s="52">
        <f>IF(P3932="","",IF(J3932&lt;&gt;"",J3932,CuentaPred&amp;""))</f>
        <v/>
      </c>
      <c r="R3932" s="52">
        <f>IF(P3932="","",IF(ISNUMBER(I3932),I3932,TasaUSD))</f>
        <v/>
      </c>
      <c r="S3932" s="53">
        <f>IF(P3932="","",IF(H3932="USD",G3932*R3932,G3932))</f>
        <v/>
      </c>
      <c r="T3932" s="53">
        <f>IF(P3932="","",IF(H3932="USD",G3932,IF(R3932&gt;0,G3932/R3932,0)))</f>
        <v/>
      </c>
      <c r="U3932" s="53">
        <f>IF(P3932="","",IF(P3932="Gasto",S3932,IF(P3932="Reembolso",-S3932,0)))</f>
        <v/>
      </c>
      <c r="V3932" s="53">
        <f>IF(P3932="","",IF(P3932="Ingreso",S3932,0))</f>
        <v/>
      </c>
      <c r="W3932" s="53">
        <f>IF(P3932="","",IF(P3932="Resultado trading",S3932,0))</f>
        <v/>
      </c>
      <c r="X3932" s="52">
        <f>IF(OR(P3932="Gasto",P3932="Reembolso"),IF(M3932&lt;&gt;"",M3932,IFERROR(INDEX(catClasif,MATCH(D3932&amp;"|"&amp;E3932,catClave,0))&amp;"","Variable")),"")</f>
        <v/>
      </c>
      <c r="Y3932" s="52">
        <f>IF(P3932="","",IFERROR(INDEX(catGrupo,MATCH(D3932&amp;"|"&amp;E3932,catClave,0))&amp;"",""))</f>
        <v/>
      </c>
      <c r="Z3932" s="52">
        <f>IF(P3932="","",WEEKDAY(B3932,2))</f>
        <v/>
      </c>
      <c r="AA3932" s="52">
        <f>IF(P3932="","",IF(AND(P3932="Gasto",X3932="Variable",D3932&lt;&gt;catTrading,S3932&gt;0,S3932&lt;=Umbral),1,0))</f>
        <v/>
      </c>
      <c r="AB3932" s="52">
        <f>IF(OR(P3932="",Q3932=""),"",IFERROR(IF(INDEX(ctaVinc,MATCH(Q3932,ctaNombre,0))&amp;""&lt;&gt;"",INDEX(ctaVinc,MATCH(Q3932,ctaNombre,0))&amp;"",Q3932),Q3932))</f>
        <v/>
      </c>
      <c r="AC3932" s="52">
        <f>IF(OR(K3932="",AND(P3932&lt;&gt;"Transferencia",P3932&lt;&gt;"Pago tarjeta")),"",IFERROR(IF(INDEX(ctaVinc,MATCH(K3932,ctaNombre,0))&amp;""&lt;&gt;"",INDEX(ctaVinc,MATCH(K3932,ctaNombre,0))&amp;"",K3932),K3932))</f>
        <v/>
      </c>
      <c r="AD3932" s="52">
        <f>IF(AB3932="","",IFERROR(INDEX(ctaTipo,MATCH(AB3932,ctaNombre,0))&amp;"",""))</f>
        <v/>
      </c>
      <c r="AE3932" s="52">
        <f>IF(AC3932="","",IFERROR(INDEX(ctaTipo,MATCH(AC3932,ctaNombre,0))&amp;"",""))</f>
        <v/>
      </c>
      <c r="AF3932" s="53">
        <f>IF(OR(P3932="",AB3932=""),"",IF(OR(P3932="Gasto",P3932="Transferencia",P3932="Pago tarjeta"),-1,1)*IF(IFERROR(INDEX(ctaMoneda,MATCH(AB3932,ctaNombre,0))&amp;"","DOP")="USD",T3932,S3932))</f>
        <v/>
      </c>
      <c r="AG3932" s="53">
        <f>IF(AC3932="","",IF(IFERROR(INDEX(ctaMoneda,MATCH(AC3932,ctaNombre,0))&amp;"","DOP")="USD",T3932,S3932))</f>
        <v/>
      </c>
      <c r="AH3932" s="53">
        <f>IF(P3932="","",IF(AND(AD3932&lt;&gt;"",COUNTIFS(tcTipo,AD3932,tcLiq,"Sí")&gt;0),IF(OR(P3932="Gasto",P3932="Transferencia",P3932="Pago tarjeta"),-1,1)*S3932,0)+IF(AND(AE3932&lt;&gt;"",COUNTIFS(tcTipo,AE3932,tcLiq,"Sí")&gt;0),S3932,0))</f>
        <v/>
      </c>
      <c r="AI3932" s="52">
        <f>IF(OR(L3932="",P3932=""),"",IF(COUNTIFS(L$6:L3932,L3932,P$6:P3932,"?*")=1,MAX(AI$5:AI3931)+1,""))</f>
        <v/>
      </c>
    </row>
    <row r="3933">
      <c r="B3933" s="47" t="n"/>
      <c r="C3933" s="48" t="n"/>
      <c r="D3933" s="48" t="n"/>
      <c r="E3933" s="48" t="n"/>
      <c r="F3933" s="48" t="n"/>
      <c r="G3933" s="49" t="n"/>
      <c r="H3933" s="48" t="n"/>
      <c r="I3933" s="50" t="n"/>
      <c r="J3933" s="48" t="n"/>
      <c r="K3933" s="48" t="n"/>
      <c r="L3933" s="48" t="n"/>
      <c r="M3933" s="48" t="n"/>
      <c r="N3933" s="48" t="n"/>
      <c r="O3933" s="51">
        <f>IF(AND(B3933="",G3933="",C3933="",D3933="",J3933=""),"",IF(B3933="","⚠ Falta fecha",IF(G3933="","⚠ Falta monto",IF(Q3933="","⚠ Falta cuenta",IF(ISNA(MATCH(Q3933,ctaNombre,0)),"⚠ Cuenta no registrada",IF(AND(OR(P3933="Gasto",P3933="Reembolso"),D3933=""),"⚠ Falta categoría",IF(AND(D3933&lt;&gt;"",E3933&lt;&gt;"",ISNA(MATCH(D3933&amp;"|"&amp;E3933,catClave,0))),"⚠ Subcategoría no corresponde",IF(AND(OR(P3933="Transferencia",P3933="Pago tarjeta"),K3933=""),"⚠ Falta cuenta destino",IF(AND(K3933&lt;&gt;"",P3933&lt;&gt;"Transferencia",P3933&lt;&gt;"Pago tarjeta"),"⚠ Destino solo aplica a transferencias",IF(AND(K3933&lt;&gt;"",K3933=Q3933),"⚠ Origen igual a destino",IF(AND(K3933&lt;&gt;"",ISNA(MATCH(K3933,ctaNombre,0))),"⚠ Destino no registrado",IF(AND(P3933="Pago tarjeta",AE3933&lt;&gt;"Tarjeta de crédito"),"⚠ El destino debe ser tarjeta de crédito",IF(AND(P3933="Gasto",E3933="Depósitos y retiros"),"⚠ Usa tipo Transferencia",IF(AND(P3933="Resultado trading",AD3933&lt;&gt;"Cuenta de trading"),"⚠ Usa una cuenta de trading",IF(AND(G3933&lt;=0,P3933&lt;&gt;"Ajuste",P3933&lt;&gt;"Resultado trading"),"⚠ El monto debe ser positivo","✓")))))))))))))))</f>
        <v/>
      </c>
      <c r="P3933" s="52">
        <f>IF(OR(B3933="",G3933=""),"",IF(C3933="","Gasto",C3933))</f>
        <v/>
      </c>
      <c r="Q3933" s="52">
        <f>IF(P3933="","",IF(J3933&lt;&gt;"",J3933,CuentaPred&amp;""))</f>
        <v/>
      </c>
      <c r="R3933" s="52">
        <f>IF(P3933="","",IF(ISNUMBER(I3933),I3933,TasaUSD))</f>
        <v/>
      </c>
      <c r="S3933" s="53">
        <f>IF(P3933="","",IF(H3933="USD",G3933*R3933,G3933))</f>
        <v/>
      </c>
      <c r="T3933" s="53">
        <f>IF(P3933="","",IF(H3933="USD",G3933,IF(R3933&gt;0,G3933/R3933,0)))</f>
        <v/>
      </c>
      <c r="U3933" s="53">
        <f>IF(P3933="","",IF(P3933="Gasto",S3933,IF(P3933="Reembolso",-S3933,0)))</f>
        <v/>
      </c>
      <c r="V3933" s="53">
        <f>IF(P3933="","",IF(P3933="Ingreso",S3933,0))</f>
        <v/>
      </c>
      <c r="W3933" s="53">
        <f>IF(P3933="","",IF(P3933="Resultado trading",S3933,0))</f>
        <v/>
      </c>
      <c r="X3933" s="52">
        <f>IF(OR(P3933="Gasto",P3933="Reembolso"),IF(M3933&lt;&gt;"",M3933,IFERROR(INDEX(catClasif,MATCH(D3933&amp;"|"&amp;E3933,catClave,0))&amp;"","Variable")),"")</f>
        <v/>
      </c>
      <c r="Y3933" s="52">
        <f>IF(P3933="","",IFERROR(INDEX(catGrupo,MATCH(D3933&amp;"|"&amp;E3933,catClave,0))&amp;"",""))</f>
        <v/>
      </c>
      <c r="Z3933" s="52">
        <f>IF(P3933="","",WEEKDAY(B3933,2))</f>
        <v/>
      </c>
      <c r="AA3933" s="52">
        <f>IF(P3933="","",IF(AND(P3933="Gasto",X3933="Variable",D3933&lt;&gt;catTrading,S3933&gt;0,S3933&lt;=Umbral),1,0))</f>
        <v/>
      </c>
      <c r="AB3933" s="52">
        <f>IF(OR(P3933="",Q3933=""),"",IFERROR(IF(INDEX(ctaVinc,MATCH(Q3933,ctaNombre,0))&amp;""&lt;&gt;"",INDEX(ctaVinc,MATCH(Q3933,ctaNombre,0))&amp;"",Q3933),Q3933))</f>
        <v/>
      </c>
      <c r="AC3933" s="52">
        <f>IF(OR(K3933="",AND(P3933&lt;&gt;"Transferencia",P3933&lt;&gt;"Pago tarjeta")),"",IFERROR(IF(INDEX(ctaVinc,MATCH(K3933,ctaNombre,0))&amp;""&lt;&gt;"",INDEX(ctaVinc,MATCH(K3933,ctaNombre,0))&amp;"",K3933),K3933))</f>
        <v/>
      </c>
      <c r="AD3933" s="52">
        <f>IF(AB3933="","",IFERROR(INDEX(ctaTipo,MATCH(AB3933,ctaNombre,0))&amp;"",""))</f>
        <v/>
      </c>
      <c r="AE3933" s="52">
        <f>IF(AC3933="","",IFERROR(INDEX(ctaTipo,MATCH(AC3933,ctaNombre,0))&amp;"",""))</f>
        <v/>
      </c>
      <c r="AF3933" s="53">
        <f>IF(OR(P3933="",AB3933=""),"",IF(OR(P3933="Gasto",P3933="Transferencia",P3933="Pago tarjeta"),-1,1)*IF(IFERROR(INDEX(ctaMoneda,MATCH(AB3933,ctaNombre,0))&amp;"","DOP")="USD",T3933,S3933))</f>
        <v/>
      </c>
      <c r="AG3933" s="53">
        <f>IF(AC3933="","",IF(IFERROR(INDEX(ctaMoneda,MATCH(AC3933,ctaNombre,0))&amp;"","DOP")="USD",T3933,S3933))</f>
        <v/>
      </c>
      <c r="AH3933" s="53">
        <f>IF(P3933="","",IF(AND(AD3933&lt;&gt;"",COUNTIFS(tcTipo,AD3933,tcLiq,"Sí")&gt;0),IF(OR(P3933="Gasto",P3933="Transferencia",P3933="Pago tarjeta"),-1,1)*S3933,0)+IF(AND(AE3933&lt;&gt;"",COUNTIFS(tcTipo,AE3933,tcLiq,"Sí")&gt;0),S3933,0))</f>
        <v/>
      </c>
      <c r="AI3933" s="52">
        <f>IF(OR(L3933="",P3933=""),"",IF(COUNTIFS(L$6:L3933,L3933,P$6:P3933,"?*")=1,MAX(AI$5:AI3932)+1,""))</f>
        <v/>
      </c>
    </row>
    <row r="3934">
      <c r="B3934" s="47" t="n"/>
      <c r="C3934" s="48" t="n"/>
      <c r="D3934" s="48" t="n"/>
      <c r="E3934" s="48" t="n"/>
      <c r="F3934" s="48" t="n"/>
      <c r="G3934" s="49" t="n"/>
      <c r="H3934" s="48" t="n"/>
      <c r="I3934" s="50" t="n"/>
      <c r="J3934" s="48" t="n"/>
      <c r="K3934" s="48" t="n"/>
      <c r="L3934" s="48" t="n"/>
      <c r="M3934" s="48" t="n"/>
      <c r="N3934" s="48" t="n"/>
      <c r="O3934" s="51">
        <f>IF(AND(B3934="",G3934="",C3934="",D3934="",J3934=""),"",IF(B3934="","⚠ Falta fecha",IF(G3934="","⚠ Falta monto",IF(Q3934="","⚠ Falta cuenta",IF(ISNA(MATCH(Q3934,ctaNombre,0)),"⚠ Cuenta no registrada",IF(AND(OR(P3934="Gasto",P3934="Reembolso"),D3934=""),"⚠ Falta categoría",IF(AND(D3934&lt;&gt;"",E3934&lt;&gt;"",ISNA(MATCH(D3934&amp;"|"&amp;E3934,catClave,0))),"⚠ Subcategoría no corresponde",IF(AND(OR(P3934="Transferencia",P3934="Pago tarjeta"),K3934=""),"⚠ Falta cuenta destino",IF(AND(K3934&lt;&gt;"",P3934&lt;&gt;"Transferencia",P3934&lt;&gt;"Pago tarjeta"),"⚠ Destino solo aplica a transferencias",IF(AND(K3934&lt;&gt;"",K3934=Q3934),"⚠ Origen igual a destino",IF(AND(K3934&lt;&gt;"",ISNA(MATCH(K3934,ctaNombre,0))),"⚠ Destino no registrado",IF(AND(P3934="Pago tarjeta",AE3934&lt;&gt;"Tarjeta de crédito"),"⚠ El destino debe ser tarjeta de crédito",IF(AND(P3934="Gasto",E3934="Depósitos y retiros"),"⚠ Usa tipo Transferencia",IF(AND(P3934="Resultado trading",AD3934&lt;&gt;"Cuenta de trading"),"⚠ Usa una cuenta de trading",IF(AND(G3934&lt;=0,P3934&lt;&gt;"Ajuste",P3934&lt;&gt;"Resultado trading"),"⚠ El monto debe ser positivo","✓")))))))))))))))</f>
        <v/>
      </c>
      <c r="P3934" s="52">
        <f>IF(OR(B3934="",G3934=""),"",IF(C3934="","Gasto",C3934))</f>
        <v/>
      </c>
      <c r="Q3934" s="52">
        <f>IF(P3934="","",IF(J3934&lt;&gt;"",J3934,CuentaPred&amp;""))</f>
        <v/>
      </c>
      <c r="R3934" s="52">
        <f>IF(P3934="","",IF(ISNUMBER(I3934),I3934,TasaUSD))</f>
        <v/>
      </c>
      <c r="S3934" s="53">
        <f>IF(P3934="","",IF(H3934="USD",G3934*R3934,G3934))</f>
        <v/>
      </c>
      <c r="T3934" s="53">
        <f>IF(P3934="","",IF(H3934="USD",G3934,IF(R3934&gt;0,G3934/R3934,0)))</f>
        <v/>
      </c>
      <c r="U3934" s="53">
        <f>IF(P3934="","",IF(P3934="Gasto",S3934,IF(P3934="Reembolso",-S3934,0)))</f>
        <v/>
      </c>
      <c r="V3934" s="53">
        <f>IF(P3934="","",IF(P3934="Ingreso",S3934,0))</f>
        <v/>
      </c>
      <c r="W3934" s="53">
        <f>IF(P3934="","",IF(P3934="Resultado trading",S3934,0))</f>
        <v/>
      </c>
      <c r="X3934" s="52">
        <f>IF(OR(P3934="Gasto",P3934="Reembolso"),IF(M3934&lt;&gt;"",M3934,IFERROR(INDEX(catClasif,MATCH(D3934&amp;"|"&amp;E3934,catClave,0))&amp;"","Variable")),"")</f>
        <v/>
      </c>
      <c r="Y3934" s="52">
        <f>IF(P3934="","",IFERROR(INDEX(catGrupo,MATCH(D3934&amp;"|"&amp;E3934,catClave,0))&amp;"",""))</f>
        <v/>
      </c>
      <c r="Z3934" s="52">
        <f>IF(P3934="","",WEEKDAY(B3934,2))</f>
        <v/>
      </c>
      <c r="AA3934" s="52">
        <f>IF(P3934="","",IF(AND(P3934="Gasto",X3934="Variable",D3934&lt;&gt;catTrading,S3934&gt;0,S3934&lt;=Umbral),1,0))</f>
        <v/>
      </c>
      <c r="AB3934" s="52">
        <f>IF(OR(P3934="",Q3934=""),"",IFERROR(IF(INDEX(ctaVinc,MATCH(Q3934,ctaNombre,0))&amp;""&lt;&gt;"",INDEX(ctaVinc,MATCH(Q3934,ctaNombre,0))&amp;"",Q3934),Q3934))</f>
        <v/>
      </c>
      <c r="AC3934" s="52">
        <f>IF(OR(K3934="",AND(P3934&lt;&gt;"Transferencia",P3934&lt;&gt;"Pago tarjeta")),"",IFERROR(IF(INDEX(ctaVinc,MATCH(K3934,ctaNombre,0))&amp;""&lt;&gt;"",INDEX(ctaVinc,MATCH(K3934,ctaNombre,0))&amp;"",K3934),K3934))</f>
        <v/>
      </c>
      <c r="AD3934" s="52">
        <f>IF(AB3934="","",IFERROR(INDEX(ctaTipo,MATCH(AB3934,ctaNombre,0))&amp;"",""))</f>
        <v/>
      </c>
      <c r="AE3934" s="52">
        <f>IF(AC3934="","",IFERROR(INDEX(ctaTipo,MATCH(AC3934,ctaNombre,0))&amp;"",""))</f>
        <v/>
      </c>
      <c r="AF3934" s="53">
        <f>IF(OR(P3934="",AB3934=""),"",IF(OR(P3934="Gasto",P3934="Transferencia",P3934="Pago tarjeta"),-1,1)*IF(IFERROR(INDEX(ctaMoneda,MATCH(AB3934,ctaNombre,0))&amp;"","DOP")="USD",T3934,S3934))</f>
        <v/>
      </c>
      <c r="AG3934" s="53">
        <f>IF(AC3934="","",IF(IFERROR(INDEX(ctaMoneda,MATCH(AC3934,ctaNombre,0))&amp;"","DOP")="USD",T3934,S3934))</f>
        <v/>
      </c>
      <c r="AH3934" s="53">
        <f>IF(P3934="","",IF(AND(AD3934&lt;&gt;"",COUNTIFS(tcTipo,AD3934,tcLiq,"Sí")&gt;0),IF(OR(P3934="Gasto",P3934="Transferencia",P3934="Pago tarjeta"),-1,1)*S3934,0)+IF(AND(AE3934&lt;&gt;"",COUNTIFS(tcTipo,AE3934,tcLiq,"Sí")&gt;0),S3934,0))</f>
        <v/>
      </c>
      <c r="AI3934" s="52">
        <f>IF(OR(L3934="",P3934=""),"",IF(COUNTIFS(L$6:L3934,L3934,P$6:P3934,"?*")=1,MAX(AI$5:AI3933)+1,""))</f>
        <v/>
      </c>
    </row>
    <row r="3935">
      <c r="B3935" s="47" t="n"/>
      <c r="C3935" s="48" t="n"/>
      <c r="D3935" s="48" t="n"/>
      <c r="E3935" s="48" t="n"/>
      <c r="F3935" s="48" t="n"/>
      <c r="G3935" s="49" t="n"/>
      <c r="H3935" s="48" t="n"/>
      <c r="I3935" s="50" t="n"/>
      <c r="J3935" s="48" t="n"/>
      <c r="K3935" s="48" t="n"/>
      <c r="L3935" s="48" t="n"/>
      <c r="M3935" s="48" t="n"/>
      <c r="N3935" s="48" t="n"/>
      <c r="O3935" s="51">
        <f>IF(AND(B3935="",G3935="",C3935="",D3935="",J3935=""),"",IF(B3935="","⚠ Falta fecha",IF(G3935="","⚠ Falta monto",IF(Q3935="","⚠ Falta cuenta",IF(ISNA(MATCH(Q3935,ctaNombre,0)),"⚠ Cuenta no registrada",IF(AND(OR(P3935="Gasto",P3935="Reembolso"),D3935=""),"⚠ Falta categoría",IF(AND(D3935&lt;&gt;"",E3935&lt;&gt;"",ISNA(MATCH(D3935&amp;"|"&amp;E3935,catClave,0))),"⚠ Subcategoría no corresponde",IF(AND(OR(P3935="Transferencia",P3935="Pago tarjeta"),K3935=""),"⚠ Falta cuenta destino",IF(AND(K3935&lt;&gt;"",P3935&lt;&gt;"Transferencia",P3935&lt;&gt;"Pago tarjeta"),"⚠ Destino solo aplica a transferencias",IF(AND(K3935&lt;&gt;"",K3935=Q3935),"⚠ Origen igual a destino",IF(AND(K3935&lt;&gt;"",ISNA(MATCH(K3935,ctaNombre,0))),"⚠ Destino no registrado",IF(AND(P3935="Pago tarjeta",AE3935&lt;&gt;"Tarjeta de crédito"),"⚠ El destino debe ser tarjeta de crédito",IF(AND(P3935="Gasto",E3935="Depósitos y retiros"),"⚠ Usa tipo Transferencia",IF(AND(P3935="Resultado trading",AD3935&lt;&gt;"Cuenta de trading"),"⚠ Usa una cuenta de trading",IF(AND(G3935&lt;=0,P3935&lt;&gt;"Ajuste",P3935&lt;&gt;"Resultado trading"),"⚠ El monto debe ser positivo","✓")))))))))))))))</f>
        <v/>
      </c>
      <c r="P3935" s="52">
        <f>IF(OR(B3935="",G3935=""),"",IF(C3935="","Gasto",C3935))</f>
        <v/>
      </c>
      <c r="Q3935" s="52">
        <f>IF(P3935="","",IF(J3935&lt;&gt;"",J3935,CuentaPred&amp;""))</f>
        <v/>
      </c>
      <c r="R3935" s="52">
        <f>IF(P3935="","",IF(ISNUMBER(I3935),I3935,TasaUSD))</f>
        <v/>
      </c>
      <c r="S3935" s="53">
        <f>IF(P3935="","",IF(H3935="USD",G3935*R3935,G3935))</f>
        <v/>
      </c>
      <c r="T3935" s="53">
        <f>IF(P3935="","",IF(H3935="USD",G3935,IF(R3935&gt;0,G3935/R3935,0)))</f>
        <v/>
      </c>
      <c r="U3935" s="53">
        <f>IF(P3935="","",IF(P3935="Gasto",S3935,IF(P3935="Reembolso",-S3935,0)))</f>
        <v/>
      </c>
      <c r="V3935" s="53">
        <f>IF(P3935="","",IF(P3935="Ingreso",S3935,0))</f>
        <v/>
      </c>
      <c r="W3935" s="53">
        <f>IF(P3935="","",IF(P3935="Resultado trading",S3935,0))</f>
        <v/>
      </c>
      <c r="X3935" s="52">
        <f>IF(OR(P3935="Gasto",P3935="Reembolso"),IF(M3935&lt;&gt;"",M3935,IFERROR(INDEX(catClasif,MATCH(D3935&amp;"|"&amp;E3935,catClave,0))&amp;"","Variable")),"")</f>
        <v/>
      </c>
      <c r="Y3935" s="52">
        <f>IF(P3935="","",IFERROR(INDEX(catGrupo,MATCH(D3935&amp;"|"&amp;E3935,catClave,0))&amp;"",""))</f>
        <v/>
      </c>
      <c r="Z3935" s="52">
        <f>IF(P3935="","",WEEKDAY(B3935,2))</f>
        <v/>
      </c>
      <c r="AA3935" s="52">
        <f>IF(P3935="","",IF(AND(P3935="Gasto",X3935="Variable",D3935&lt;&gt;catTrading,S3935&gt;0,S3935&lt;=Umbral),1,0))</f>
        <v/>
      </c>
      <c r="AB3935" s="52">
        <f>IF(OR(P3935="",Q3935=""),"",IFERROR(IF(INDEX(ctaVinc,MATCH(Q3935,ctaNombre,0))&amp;""&lt;&gt;"",INDEX(ctaVinc,MATCH(Q3935,ctaNombre,0))&amp;"",Q3935),Q3935))</f>
        <v/>
      </c>
      <c r="AC3935" s="52">
        <f>IF(OR(K3935="",AND(P3935&lt;&gt;"Transferencia",P3935&lt;&gt;"Pago tarjeta")),"",IFERROR(IF(INDEX(ctaVinc,MATCH(K3935,ctaNombre,0))&amp;""&lt;&gt;"",INDEX(ctaVinc,MATCH(K3935,ctaNombre,0))&amp;"",K3935),K3935))</f>
        <v/>
      </c>
      <c r="AD3935" s="52">
        <f>IF(AB3935="","",IFERROR(INDEX(ctaTipo,MATCH(AB3935,ctaNombre,0))&amp;"",""))</f>
        <v/>
      </c>
      <c r="AE3935" s="52">
        <f>IF(AC3935="","",IFERROR(INDEX(ctaTipo,MATCH(AC3935,ctaNombre,0))&amp;"",""))</f>
        <v/>
      </c>
      <c r="AF3935" s="53">
        <f>IF(OR(P3935="",AB3935=""),"",IF(OR(P3935="Gasto",P3935="Transferencia",P3935="Pago tarjeta"),-1,1)*IF(IFERROR(INDEX(ctaMoneda,MATCH(AB3935,ctaNombre,0))&amp;"","DOP")="USD",T3935,S3935))</f>
        <v/>
      </c>
      <c r="AG3935" s="53">
        <f>IF(AC3935="","",IF(IFERROR(INDEX(ctaMoneda,MATCH(AC3935,ctaNombre,0))&amp;"","DOP")="USD",T3935,S3935))</f>
        <v/>
      </c>
      <c r="AH3935" s="53">
        <f>IF(P3935="","",IF(AND(AD3935&lt;&gt;"",COUNTIFS(tcTipo,AD3935,tcLiq,"Sí")&gt;0),IF(OR(P3935="Gasto",P3935="Transferencia",P3935="Pago tarjeta"),-1,1)*S3935,0)+IF(AND(AE3935&lt;&gt;"",COUNTIFS(tcTipo,AE3935,tcLiq,"Sí")&gt;0),S3935,0))</f>
        <v/>
      </c>
      <c r="AI3935" s="52">
        <f>IF(OR(L3935="",P3935=""),"",IF(COUNTIFS(L$6:L3935,L3935,P$6:P3935,"?*")=1,MAX(AI$5:AI3934)+1,""))</f>
        <v/>
      </c>
    </row>
    <row r="3936">
      <c r="B3936" s="47" t="n"/>
      <c r="C3936" s="48" t="n"/>
      <c r="D3936" s="48" t="n"/>
      <c r="E3936" s="48" t="n"/>
      <c r="F3936" s="48" t="n"/>
      <c r="G3936" s="49" t="n"/>
      <c r="H3936" s="48" t="n"/>
      <c r="I3936" s="50" t="n"/>
      <c r="J3936" s="48" t="n"/>
      <c r="K3936" s="48" t="n"/>
      <c r="L3936" s="48" t="n"/>
      <c r="M3936" s="48" t="n"/>
      <c r="N3936" s="48" t="n"/>
      <c r="O3936" s="51">
        <f>IF(AND(B3936="",G3936="",C3936="",D3936="",J3936=""),"",IF(B3936="","⚠ Falta fecha",IF(G3936="","⚠ Falta monto",IF(Q3936="","⚠ Falta cuenta",IF(ISNA(MATCH(Q3936,ctaNombre,0)),"⚠ Cuenta no registrada",IF(AND(OR(P3936="Gasto",P3936="Reembolso"),D3936=""),"⚠ Falta categoría",IF(AND(D3936&lt;&gt;"",E3936&lt;&gt;"",ISNA(MATCH(D3936&amp;"|"&amp;E3936,catClave,0))),"⚠ Subcategoría no corresponde",IF(AND(OR(P3936="Transferencia",P3936="Pago tarjeta"),K3936=""),"⚠ Falta cuenta destino",IF(AND(K3936&lt;&gt;"",P3936&lt;&gt;"Transferencia",P3936&lt;&gt;"Pago tarjeta"),"⚠ Destino solo aplica a transferencias",IF(AND(K3936&lt;&gt;"",K3936=Q3936),"⚠ Origen igual a destino",IF(AND(K3936&lt;&gt;"",ISNA(MATCH(K3936,ctaNombre,0))),"⚠ Destino no registrado",IF(AND(P3936="Pago tarjeta",AE3936&lt;&gt;"Tarjeta de crédito"),"⚠ El destino debe ser tarjeta de crédito",IF(AND(P3936="Gasto",E3936="Depósitos y retiros"),"⚠ Usa tipo Transferencia",IF(AND(P3936="Resultado trading",AD3936&lt;&gt;"Cuenta de trading"),"⚠ Usa una cuenta de trading",IF(AND(G3936&lt;=0,P3936&lt;&gt;"Ajuste",P3936&lt;&gt;"Resultado trading"),"⚠ El monto debe ser positivo","✓")))))))))))))))</f>
        <v/>
      </c>
      <c r="P3936" s="52">
        <f>IF(OR(B3936="",G3936=""),"",IF(C3936="","Gasto",C3936))</f>
        <v/>
      </c>
      <c r="Q3936" s="52">
        <f>IF(P3936="","",IF(J3936&lt;&gt;"",J3936,CuentaPred&amp;""))</f>
        <v/>
      </c>
      <c r="R3936" s="52">
        <f>IF(P3936="","",IF(ISNUMBER(I3936),I3936,TasaUSD))</f>
        <v/>
      </c>
      <c r="S3936" s="53">
        <f>IF(P3936="","",IF(H3936="USD",G3936*R3936,G3936))</f>
        <v/>
      </c>
      <c r="T3936" s="53">
        <f>IF(P3936="","",IF(H3936="USD",G3936,IF(R3936&gt;0,G3936/R3936,0)))</f>
        <v/>
      </c>
      <c r="U3936" s="53">
        <f>IF(P3936="","",IF(P3936="Gasto",S3936,IF(P3936="Reembolso",-S3936,0)))</f>
        <v/>
      </c>
      <c r="V3936" s="53">
        <f>IF(P3936="","",IF(P3936="Ingreso",S3936,0))</f>
        <v/>
      </c>
      <c r="W3936" s="53">
        <f>IF(P3936="","",IF(P3936="Resultado trading",S3936,0))</f>
        <v/>
      </c>
      <c r="X3936" s="52">
        <f>IF(OR(P3936="Gasto",P3936="Reembolso"),IF(M3936&lt;&gt;"",M3936,IFERROR(INDEX(catClasif,MATCH(D3936&amp;"|"&amp;E3936,catClave,0))&amp;"","Variable")),"")</f>
        <v/>
      </c>
      <c r="Y3936" s="52">
        <f>IF(P3936="","",IFERROR(INDEX(catGrupo,MATCH(D3936&amp;"|"&amp;E3936,catClave,0))&amp;"",""))</f>
        <v/>
      </c>
      <c r="Z3936" s="52">
        <f>IF(P3936="","",WEEKDAY(B3936,2))</f>
        <v/>
      </c>
      <c r="AA3936" s="52">
        <f>IF(P3936="","",IF(AND(P3936="Gasto",X3936="Variable",D3936&lt;&gt;catTrading,S3936&gt;0,S3936&lt;=Umbral),1,0))</f>
        <v/>
      </c>
      <c r="AB3936" s="52">
        <f>IF(OR(P3936="",Q3936=""),"",IFERROR(IF(INDEX(ctaVinc,MATCH(Q3936,ctaNombre,0))&amp;""&lt;&gt;"",INDEX(ctaVinc,MATCH(Q3936,ctaNombre,0))&amp;"",Q3936),Q3936))</f>
        <v/>
      </c>
      <c r="AC3936" s="52">
        <f>IF(OR(K3936="",AND(P3936&lt;&gt;"Transferencia",P3936&lt;&gt;"Pago tarjeta")),"",IFERROR(IF(INDEX(ctaVinc,MATCH(K3936,ctaNombre,0))&amp;""&lt;&gt;"",INDEX(ctaVinc,MATCH(K3936,ctaNombre,0))&amp;"",K3936),K3936))</f>
        <v/>
      </c>
      <c r="AD3936" s="52">
        <f>IF(AB3936="","",IFERROR(INDEX(ctaTipo,MATCH(AB3936,ctaNombre,0))&amp;"",""))</f>
        <v/>
      </c>
      <c r="AE3936" s="52">
        <f>IF(AC3936="","",IFERROR(INDEX(ctaTipo,MATCH(AC3936,ctaNombre,0))&amp;"",""))</f>
        <v/>
      </c>
      <c r="AF3936" s="53">
        <f>IF(OR(P3936="",AB3936=""),"",IF(OR(P3936="Gasto",P3936="Transferencia",P3936="Pago tarjeta"),-1,1)*IF(IFERROR(INDEX(ctaMoneda,MATCH(AB3936,ctaNombre,0))&amp;"","DOP")="USD",T3936,S3936))</f>
        <v/>
      </c>
      <c r="AG3936" s="53">
        <f>IF(AC3936="","",IF(IFERROR(INDEX(ctaMoneda,MATCH(AC3936,ctaNombre,0))&amp;"","DOP")="USD",T3936,S3936))</f>
        <v/>
      </c>
      <c r="AH3936" s="53">
        <f>IF(P3936="","",IF(AND(AD3936&lt;&gt;"",COUNTIFS(tcTipo,AD3936,tcLiq,"Sí")&gt;0),IF(OR(P3936="Gasto",P3936="Transferencia",P3936="Pago tarjeta"),-1,1)*S3936,0)+IF(AND(AE3936&lt;&gt;"",COUNTIFS(tcTipo,AE3936,tcLiq,"Sí")&gt;0),S3936,0))</f>
        <v/>
      </c>
      <c r="AI3936" s="52">
        <f>IF(OR(L3936="",P3936=""),"",IF(COUNTIFS(L$6:L3936,L3936,P$6:P3936,"?*")=1,MAX(AI$5:AI3935)+1,""))</f>
        <v/>
      </c>
    </row>
    <row r="3937">
      <c r="B3937" s="47" t="n"/>
      <c r="C3937" s="48" t="n"/>
      <c r="D3937" s="48" t="n"/>
      <c r="E3937" s="48" t="n"/>
      <c r="F3937" s="48" t="n"/>
      <c r="G3937" s="49" t="n"/>
      <c r="H3937" s="48" t="n"/>
      <c r="I3937" s="50" t="n"/>
      <c r="J3937" s="48" t="n"/>
      <c r="K3937" s="48" t="n"/>
      <c r="L3937" s="48" t="n"/>
      <c r="M3937" s="48" t="n"/>
      <c r="N3937" s="48" t="n"/>
      <c r="O3937" s="51">
        <f>IF(AND(B3937="",G3937="",C3937="",D3937="",J3937=""),"",IF(B3937="","⚠ Falta fecha",IF(G3937="","⚠ Falta monto",IF(Q3937="","⚠ Falta cuenta",IF(ISNA(MATCH(Q3937,ctaNombre,0)),"⚠ Cuenta no registrada",IF(AND(OR(P3937="Gasto",P3937="Reembolso"),D3937=""),"⚠ Falta categoría",IF(AND(D3937&lt;&gt;"",E3937&lt;&gt;"",ISNA(MATCH(D3937&amp;"|"&amp;E3937,catClave,0))),"⚠ Subcategoría no corresponde",IF(AND(OR(P3937="Transferencia",P3937="Pago tarjeta"),K3937=""),"⚠ Falta cuenta destino",IF(AND(K3937&lt;&gt;"",P3937&lt;&gt;"Transferencia",P3937&lt;&gt;"Pago tarjeta"),"⚠ Destino solo aplica a transferencias",IF(AND(K3937&lt;&gt;"",K3937=Q3937),"⚠ Origen igual a destino",IF(AND(K3937&lt;&gt;"",ISNA(MATCH(K3937,ctaNombre,0))),"⚠ Destino no registrado",IF(AND(P3937="Pago tarjeta",AE3937&lt;&gt;"Tarjeta de crédito"),"⚠ El destino debe ser tarjeta de crédito",IF(AND(P3937="Gasto",E3937="Depósitos y retiros"),"⚠ Usa tipo Transferencia",IF(AND(P3937="Resultado trading",AD3937&lt;&gt;"Cuenta de trading"),"⚠ Usa una cuenta de trading",IF(AND(G3937&lt;=0,P3937&lt;&gt;"Ajuste",P3937&lt;&gt;"Resultado trading"),"⚠ El monto debe ser positivo","✓")))))))))))))))</f>
        <v/>
      </c>
      <c r="P3937" s="52">
        <f>IF(OR(B3937="",G3937=""),"",IF(C3937="","Gasto",C3937))</f>
        <v/>
      </c>
      <c r="Q3937" s="52">
        <f>IF(P3937="","",IF(J3937&lt;&gt;"",J3937,CuentaPred&amp;""))</f>
        <v/>
      </c>
      <c r="R3937" s="52">
        <f>IF(P3937="","",IF(ISNUMBER(I3937),I3937,TasaUSD))</f>
        <v/>
      </c>
      <c r="S3937" s="53">
        <f>IF(P3937="","",IF(H3937="USD",G3937*R3937,G3937))</f>
        <v/>
      </c>
      <c r="T3937" s="53">
        <f>IF(P3937="","",IF(H3937="USD",G3937,IF(R3937&gt;0,G3937/R3937,0)))</f>
        <v/>
      </c>
      <c r="U3937" s="53">
        <f>IF(P3937="","",IF(P3937="Gasto",S3937,IF(P3937="Reembolso",-S3937,0)))</f>
        <v/>
      </c>
      <c r="V3937" s="53">
        <f>IF(P3937="","",IF(P3937="Ingreso",S3937,0))</f>
        <v/>
      </c>
      <c r="W3937" s="53">
        <f>IF(P3937="","",IF(P3937="Resultado trading",S3937,0))</f>
        <v/>
      </c>
      <c r="X3937" s="52">
        <f>IF(OR(P3937="Gasto",P3937="Reembolso"),IF(M3937&lt;&gt;"",M3937,IFERROR(INDEX(catClasif,MATCH(D3937&amp;"|"&amp;E3937,catClave,0))&amp;"","Variable")),"")</f>
        <v/>
      </c>
      <c r="Y3937" s="52">
        <f>IF(P3937="","",IFERROR(INDEX(catGrupo,MATCH(D3937&amp;"|"&amp;E3937,catClave,0))&amp;"",""))</f>
        <v/>
      </c>
      <c r="Z3937" s="52">
        <f>IF(P3937="","",WEEKDAY(B3937,2))</f>
        <v/>
      </c>
      <c r="AA3937" s="52">
        <f>IF(P3937="","",IF(AND(P3937="Gasto",X3937="Variable",D3937&lt;&gt;catTrading,S3937&gt;0,S3937&lt;=Umbral),1,0))</f>
        <v/>
      </c>
      <c r="AB3937" s="52">
        <f>IF(OR(P3937="",Q3937=""),"",IFERROR(IF(INDEX(ctaVinc,MATCH(Q3937,ctaNombre,0))&amp;""&lt;&gt;"",INDEX(ctaVinc,MATCH(Q3937,ctaNombre,0))&amp;"",Q3937),Q3937))</f>
        <v/>
      </c>
      <c r="AC3937" s="52">
        <f>IF(OR(K3937="",AND(P3937&lt;&gt;"Transferencia",P3937&lt;&gt;"Pago tarjeta")),"",IFERROR(IF(INDEX(ctaVinc,MATCH(K3937,ctaNombre,0))&amp;""&lt;&gt;"",INDEX(ctaVinc,MATCH(K3937,ctaNombre,0))&amp;"",K3937),K3937))</f>
        <v/>
      </c>
      <c r="AD3937" s="52">
        <f>IF(AB3937="","",IFERROR(INDEX(ctaTipo,MATCH(AB3937,ctaNombre,0))&amp;"",""))</f>
        <v/>
      </c>
      <c r="AE3937" s="52">
        <f>IF(AC3937="","",IFERROR(INDEX(ctaTipo,MATCH(AC3937,ctaNombre,0))&amp;"",""))</f>
        <v/>
      </c>
      <c r="AF3937" s="53">
        <f>IF(OR(P3937="",AB3937=""),"",IF(OR(P3937="Gasto",P3937="Transferencia",P3937="Pago tarjeta"),-1,1)*IF(IFERROR(INDEX(ctaMoneda,MATCH(AB3937,ctaNombre,0))&amp;"","DOP")="USD",T3937,S3937))</f>
        <v/>
      </c>
      <c r="AG3937" s="53">
        <f>IF(AC3937="","",IF(IFERROR(INDEX(ctaMoneda,MATCH(AC3937,ctaNombre,0))&amp;"","DOP")="USD",T3937,S3937))</f>
        <v/>
      </c>
      <c r="AH3937" s="53">
        <f>IF(P3937="","",IF(AND(AD3937&lt;&gt;"",COUNTIFS(tcTipo,AD3937,tcLiq,"Sí")&gt;0),IF(OR(P3937="Gasto",P3937="Transferencia",P3937="Pago tarjeta"),-1,1)*S3937,0)+IF(AND(AE3937&lt;&gt;"",COUNTIFS(tcTipo,AE3937,tcLiq,"Sí")&gt;0),S3937,0))</f>
        <v/>
      </c>
      <c r="AI3937" s="52">
        <f>IF(OR(L3937="",P3937=""),"",IF(COUNTIFS(L$6:L3937,L3937,P$6:P3937,"?*")=1,MAX(AI$5:AI3936)+1,""))</f>
        <v/>
      </c>
    </row>
    <row r="3938">
      <c r="B3938" s="47" t="n"/>
      <c r="C3938" s="48" t="n"/>
      <c r="D3938" s="48" t="n"/>
      <c r="E3938" s="48" t="n"/>
      <c r="F3938" s="48" t="n"/>
      <c r="G3938" s="49" t="n"/>
      <c r="H3938" s="48" t="n"/>
      <c r="I3938" s="50" t="n"/>
      <c r="J3938" s="48" t="n"/>
      <c r="K3938" s="48" t="n"/>
      <c r="L3938" s="48" t="n"/>
      <c r="M3938" s="48" t="n"/>
      <c r="N3938" s="48" t="n"/>
      <c r="O3938" s="51">
        <f>IF(AND(B3938="",G3938="",C3938="",D3938="",J3938=""),"",IF(B3938="","⚠ Falta fecha",IF(G3938="","⚠ Falta monto",IF(Q3938="","⚠ Falta cuenta",IF(ISNA(MATCH(Q3938,ctaNombre,0)),"⚠ Cuenta no registrada",IF(AND(OR(P3938="Gasto",P3938="Reembolso"),D3938=""),"⚠ Falta categoría",IF(AND(D3938&lt;&gt;"",E3938&lt;&gt;"",ISNA(MATCH(D3938&amp;"|"&amp;E3938,catClave,0))),"⚠ Subcategoría no corresponde",IF(AND(OR(P3938="Transferencia",P3938="Pago tarjeta"),K3938=""),"⚠ Falta cuenta destino",IF(AND(K3938&lt;&gt;"",P3938&lt;&gt;"Transferencia",P3938&lt;&gt;"Pago tarjeta"),"⚠ Destino solo aplica a transferencias",IF(AND(K3938&lt;&gt;"",K3938=Q3938),"⚠ Origen igual a destino",IF(AND(K3938&lt;&gt;"",ISNA(MATCH(K3938,ctaNombre,0))),"⚠ Destino no registrado",IF(AND(P3938="Pago tarjeta",AE3938&lt;&gt;"Tarjeta de crédito"),"⚠ El destino debe ser tarjeta de crédito",IF(AND(P3938="Gasto",E3938="Depósitos y retiros"),"⚠ Usa tipo Transferencia",IF(AND(P3938="Resultado trading",AD3938&lt;&gt;"Cuenta de trading"),"⚠ Usa una cuenta de trading",IF(AND(G3938&lt;=0,P3938&lt;&gt;"Ajuste",P3938&lt;&gt;"Resultado trading"),"⚠ El monto debe ser positivo","✓")))))))))))))))</f>
        <v/>
      </c>
      <c r="P3938" s="52">
        <f>IF(OR(B3938="",G3938=""),"",IF(C3938="","Gasto",C3938))</f>
        <v/>
      </c>
      <c r="Q3938" s="52">
        <f>IF(P3938="","",IF(J3938&lt;&gt;"",J3938,CuentaPred&amp;""))</f>
        <v/>
      </c>
      <c r="R3938" s="52">
        <f>IF(P3938="","",IF(ISNUMBER(I3938),I3938,TasaUSD))</f>
        <v/>
      </c>
      <c r="S3938" s="53">
        <f>IF(P3938="","",IF(H3938="USD",G3938*R3938,G3938))</f>
        <v/>
      </c>
      <c r="T3938" s="53">
        <f>IF(P3938="","",IF(H3938="USD",G3938,IF(R3938&gt;0,G3938/R3938,0)))</f>
        <v/>
      </c>
      <c r="U3938" s="53">
        <f>IF(P3938="","",IF(P3938="Gasto",S3938,IF(P3938="Reembolso",-S3938,0)))</f>
        <v/>
      </c>
      <c r="V3938" s="53">
        <f>IF(P3938="","",IF(P3938="Ingreso",S3938,0))</f>
        <v/>
      </c>
      <c r="W3938" s="53">
        <f>IF(P3938="","",IF(P3938="Resultado trading",S3938,0))</f>
        <v/>
      </c>
      <c r="X3938" s="52">
        <f>IF(OR(P3938="Gasto",P3938="Reembolso"),IF(M3938&lt;&gt;"",M3938,IFERROR(INDEX(catClasif,MATCH(D3938&amp;"|"&amp;E3938,catClave,0))&amp;"","Variable")),"")</f>
        <v/>
      </c>
      <c r="Y3938" s="52">
        <f>IF(P3938="","",IFERROR(INDEX(catGrupo,MATCH(D3938&amp;"|"&amp;E3938,catClave,0))&amp;"",""))</f>
        <v/>
      </c>
      <c r="Z3938" s="52">
        <f>IF(P3938="","",WEEKDAY(B3938,2))</f>
        <v/>
      </c>
      <c r="AA3938" s="52">
        <f>IF(P3938="","",IF(AND(P3938="Gasto",X3938="Variable",D3938&lt;&gt;catTrading,S3938&gt;0,S3938&lt;=Umbral),1,0))</f>
        <v/>
      </c>
      <c r="AB3938" s="52">
        <f>IF(OR(P3938="",Q3938=""),"",IFERROR(IF(INDEX(ctaVinc,MATCH(Q3938,ctaNombre,0))&amp;""&lt;&gt;"",INDEX(ctaVinc,MATCH(Q3938,ctaNombre,0))&amp;"",Q3938),Q3938))</f>
        <v/>
      </c>
      <c r="AC3938" s="52">
        <f>IF(OR(K3938="",AND(P3938&lt;&gt;"Transferencia",P3938&lt;&gt;"Pago tarjeta")),"",IFERROR(IF(INDEX(ctaVinc,MATCH(K3938,ctaNombre,0))&amp;""&lt;&gt;"",INDEX(ctaVinc,MATCH(K3938,ctaNombre,0))&amp;"",K3938),K3938))</f>
        <v/>
      </c>
      <c r="AD3938" s="52">
        <f>IF(AB3938="","",IFERROR(INDEX(ctaTipo,MATCH(AB3938,ctaNombre,0))&amp;"",""))</f>
        <v/>
      </c>
      <c r="AE3938" s="52">
        <f>IF(AC3938="","",IFERROR(INDEX(ctaTipo,MATCH(AC3938,ctaNombre,0))&amp;"",""))</f>
        <v/>
      </c>
      <c r="AF3938" s="53">
        <f>IF(OR(P3938="",AB3938=""),"",IF(OR(P3938="Gasto",P3938="Transferencia",P3938="Pago tarjeta"),-1,1)*IF(IFERROR(INDEX(ctaMoneda,MATCH(AB3938,ctaNombre,0))&amp;"","DOP")="USD",T3938,S3938))</f>
        <v/>
      </c>
      <c r="AG3938" s="53">
        <f>IF(AC3938="","",IF(IFERROR(INDEX(ctaMoneda,MATCH(AC3938,ctaNombre,0))&amp;"","DOP")="USD",T3938,S3938))</f>
        <v/>
      </c>
      <c r="AH3938" s="53">
        <f>IF(P3938="","",IF(AND(AD3938&lt;&gt;"",COUNTIFS(tcTipo,AD3938,tcLiq,"Sí")&gt;0),IF(OR(P3938="Gasto",P3938="Transferencia",P3938="Pago tarjeta"),-1,1)*S3938,0)+IF(AND(AE3938&lt;&gt;"",COUNTIFS(tcTipo,AE3938,tcLiq,"Sí")&gt;0),S3938,0))</f>
        <v/>
      </c>
      <c r="AI3938" s="52">
        <f>IF(OR(L3938="",P3938=""),"",IF(COUNTIFS(L$6:L3938,L3938,P$6:P3938,"?*")=1,MAX(AI$5:AI3937)+1,""))</f>
        <v/>
      </c>
    </row>
    <row r="3939">
      <c r="B3939" s="47" t="n"/>
      <c r="C3939" s="48" t="n"/>
      <c r="D3939" s="48" t="n"/>
      <c r="E3939" s="48" t="n"/>
      <c r="F3939" s="48" t="n"/>
      <c r="G3939" s="49" t="n"/>
      <c r="H3939" s="48" t="n"/>
      <c r="I3939" s="50" t="n"/>
      <c r="J3939" s="48" t="n"/>
      <c r="K3939" s="48" t="n"/>
      <c r="L3939" s="48" t="n"/>
      <c r="M3939" s="48" t="n"/>
      <c r="N3939" s="48" t="n"/>
      <c r="O3939" s="51">
        <f>IF(AND(B3939="",G3939="",C3939="",D3939="",J3939=""),"",IF(B3939="","⚠ Falta fecha",IF(G3939="","⚠ Falta monto",IF(Q3939="","⚠ Falta cuenta",IF(ISNA(MATCH(Q3939,ctaNombre,0)),"⚠ Cuenta no registrada",IF(AND(OR(P3939="Gasto",P3939="Reembolso"),D3939=""),"⚠ Falta categoría",IF(AND(D3939&lt;&gt;"",E3939&lt;&gt;"",ISNA(MATCH(D3939&amp;"|"&amp;E3939,catClave,0))),"⚠ Subcategoría no corresponde",IF(AND(OR(P3939="Transferencia",P3939="Pago tarjeta"),K3939=""),"⚠ Falta cuenta destino",IF(AND(K3939&lt;&gt;"",P3939&lt;&gt;"Transferencia",P3939&lt;&gt;"Pago tarjeta"),"⚠ Destino solo aplica a transferencias",IF(AND(K3939&lt;&gt;"",K3939=Q3939),"⚠ Origen igual a destino",IF(AND(K3939&lt;&gt;"",ISNA(MATCH(K3939,ctaNombre,0))),"⚠ Destino no registrado",IF(AND(P3939="Pago tarjeta",AE3939&lt;&gt;"Tarjeta de crédito"),"⚠ El destino debe ser tarjeta de crédito",IF(AND(P3939="Gasto",E3939="Depósitos y retiros"),"⚠ Usa tipo Transferencia",IF(AND(P3939="Resultado trading",AD3939&lt;&gt;"Cuenta de trading"),"⚠ Usa una cuenta de trading",IF(AND(G3939&lt;=0,P3939&lt;&gt;"Ajuste",P3939&lt;&gt;"Resultado trading"),"⚠ El monto debe ser positivo","✓")))))))))))))))</f>
        <v/>
      </c>
      <c r="P3939" s="52">
        <f>IF(OR(B3939="",G3939=""),"",IF(C3939="","Gasto",C3939))</f>
        <v/>
      </c>
      <c r="Q3939" s="52">
        <f>IF(P3939="","",IF(J3939&lt;&gt;"",J3939,CuentaPred&amp;""))</f>
        <v/>
      </c>
      <c r="R3939" s="52">
        <f>IF(P3939="","",IF(ISNUMBER(I3939),I3939,TasaUSD))</f>
        <v/>
      </c>
      <c r="S3939" s="53">
        <f>IF(P3939="","",IF(H3939="USD",G3939*R3939,G3939))</f>
        <v/>
      </c>
      <c r="T3939" s="53">
        <f>IF(P3939="","",IF(H3939="USD",G3939,IF(R3939&gt;0,G3939/R3939,0)))</f>
        <v/>
      </c>
      <c r="U3939" s="53">
        <f>IF(P3939="","",IF(P3939="Gasto",S3939,IF(P3939="Reembolso",-S3939,0)))</f>
        <v/>
      </c>
      <c r="V3939" s="53">
        <f>IF(P3939="","",IF(P3939="Ingreso",S3939,0))</f>
        <v/>
      </c>
      <c r="W3939" s="53">
        <f>IF(P3939="","",IF(P3939="Resultado trading",S3939,0))</f>
        <v/>
      </c>
      <c r="X3939" s="52">
        <f>IF(OR(P3939="Gasto",P3939="Reembolso"),IF(M3939&lt;&gt;"",M3939,IFERROR(INDEX(catClasif,MATCH(D3939&amp;"|"&amp;E3939,catClave,0))&amp;"","Variable")),"")</f>
        <v/>
      </c>
      <c r="Y3939" s="52">
        <f>IF(P3939="","",IFERROR(INDEX(catGrupo,MATCH(D3939&amp;"|"&amp;E3939,catClave,0))&amp;"",""))</f>
        <v/>
      </c>
      <c r="Z3939" s="52">
        <f>IF(P3939="","",WEEKDAY(B3939,2))</f>
        <v/>
      </c>
      <c r="AA3939" s="52">
        <f>IF(P3939="","",IF(AND(P3939="Gasto",X3939="Variable",D3939&lt;&gt;catTrading,S3939&gt;0,S3939&lt;=Umbral),1,0))</f>
        <v/>
      </c>
      <c r="AB3939" s="52">
        <f>IF(OR(P3939="",Q3939=""),"",IFERROR(IF(INDEX(ctaVinc,MATCH(Q3939,ctaNombre,0))&amp;""&lt;&gt;"",INDEX(ctaVinc,MATCH(Q3939,ctaNombre,0))&amp;"",Q3939),Q3939))</f>
        <v/>
      </c>
      <c r="AC3939" s="52">
        <f>IF(OR(K3939="",AND(P3939&lt;&gt;"Transferencia",P3939&lt;&gt;"Pago tarjeta")),"",IFERROR(IF(INDEX(ctaVinc,MATCH(K3939,ctaNombre,0))&amp;""&lt;&gt;"",INDEX(ctaVinc,MATCH(K3939,ctaNombre,0))&amp;"",K3939),K3939))</f>
        <v/>
      </c>
      <c r="AD3939" s="52">
        <f>IF(AB3939="","",IFERROR(INDEX(ctaTipo,MATCH(AB3939,ctaNombre,0))&amp;"",""))</f>
        <v/>
      </c>
      <c r="AE3939" s="52">
        <f>IF(AC3939="","",IFERROR(INDEX(ctaTipo,MATCH(AC3939,ctaNombre,0))&amp;"",""))</f>
        <v/>
      </c>
      <c r="AF3939" s="53">
        <f>IF(OR(P3939="",AB3939=""),"",IF(OR(P3939="Gasto",P3939="Transferencia",P3939="Pago tarjeta"),-1,1)*IF(IFERROR(INDEX(ctaMoneda,MATCH(AB3939,ctaNombre,0))&amp;"","DOP")="USD",T3939,S3939))</f>
        <v/>
      </c>
      <c r="AG3939" s="53">
        <f>IF(AC3939="","",IF(IFERROR(INDEX(ctaMoneda,MATCH(AC3939,ctaNombre,0))&amp;"","DOP")="USD",T3939,S3939))</f>
        <v/>
      </c>
      <c r="AH3939" s="53">
        <f>IF(P3939="","",IF(AND(AD3939&lt;&gt;"",COUNTIFS(tcTipo,AD3939,tcLiq,"Sí")&gt;0),IF(OR(P3939="Gasto",P3939="Transferencia",P3939="Pago tarjeta"),-1,1)*S3939,0)+IF(AND(AE3939&lt;&gt;"",COUNTIFS(tcTipo,AE3939,tcLiq,"Sí")&gt;0),S3939,0))</f>
        <v/>
      </c>
      <c r="AI3939" s="52">
        <f>IF(OR(L3939="",P3939=""),"",IF(COUNTIFS(L$6:L3939,L3939,P$6:P3939,"?*")=1,MAX(AI$5:AI3938)+1,""))</f>
        <v/>
      </c>
    </row>
    <row r="3940">
      <c r="B3940" s="47" t="n"/>
      <c r="C3940" s="48" t="n"/>
      <c r="D3940" s="48" t="n"/>
      <c r="E3940" s="48" t="n"/>
      <c r="F3940" s="48" t="n"/>
      <c r="G3940" s="49" t="n"/>
      <c r="H3940" s="48" t="n"/>
      <c r="I3940" s="50" t="n"/>
      <c r="J3940" s="48" t="n"/>
      <c r="K3940" s="48" t="n"/>
      <c r="L3940" s="48" t="n"/>
      <c r="M3940" s="48" t="n"/>
      <c r="N3940" s="48" t="n"/>
      <c r="O3940" s="51">
        <f>IF(AND(B3940="",G3940="",C3940="",D3940="",J3940=""),"",IF(B3940="","⚠ Falta fecha",IF(G3940="","⚠ Falta monto",IF(Q3940="","⚠ Falta cuenta",IF(ISNA(MATCH(Q3940,ctaNombre,0)),"⚠ Cuenta no registrada",IF(AND(OR(P3940="Gasto",P3940="Reembolso"),D3940=""),"⚠ Falta categoría",IF(AND(D3940&lt;&gt;"",E3940&lt;&gt;"",ISNA(MATCH(D3940&amp;"|"&amp;E3940,catClave,0))),"⚠ Subcategoría no corresponde",IF(AND(OR(P3940="Transferencia",P3940="Pago tarjeta"),K3940=""),"⚠ Falta cuenta destino",IF(AND(K3940&lt;&gt;"",P3940&lt;&gt;"Transferencia",P3940&lt;&gt;"Pago tarjeta"),"⚠ Destino solo aplica a transferencias",IF(AND(K3940&lt;&gt;"",K3940=Q3940),"⚠ Origen igual a destino",IF(AND(K3940&lt;&gt;"",ISNA(MATCH(K3940,ctaNombre,0))),"⚠ Destino no registrado",IF(AND(P3940="Pago tarjeta",AE3940&lt;&gt;"Tarjeta de crédito"),"⚠ El destino debe ser tarjeta de crédito",IF(AND(P3940="Gasto",E3940="Depósitos y retiros"),"⚠ Usa tipo Transferencia",IF(AND(P3940="Resultado trading",AD3940&lt;&gt;"Cuenta de trading"),"⚠ Usa una cuenta de trading",IF(AND(G3940&lt;=0,P3940&lt;&gt;"Ajuste",P3940&lt;&gt;"Resultado trading"),"⚠ El monto debe ser positivo","✓")))))))))))))))</f>
        <v/>
      </c>
      <c r="P3940" s="52">
        <f>IF(OR(B3940="",G3940=""),"",IF(C3940="","Gasto",C3940))</f>
        <v/>
      </c>
      <c r="Q3940" s="52">
        <f>IF(P3940="","",IF(J3940&lt;&gt;"",J3940,CuentaPred&amp;""))</f>
        <v/>
      </c>
      <c r="R3940" s="52">
        <f>IF(P3940="","",IF(ISNUMBER(I3940),I3940,TasaUSD))</f>
        <v/>
      </c>
      <c r="S3940" s="53">
        <f>IF(P3940="","",IF(H3940="USD",G3940*R3940,G3940))</f>
        <v/>
      </c>
      <c r="T3940" s="53">
        <f>IF(P3940="","",IF(H3940="USD",G3940,IF(R3940&gt;0,G3940/R3940,0)))</f>
        <v/>
      </c>
      <c r="U3940" s="53">
        <f>IF(P3940="","",IF(P3940="Gasto",S3940,IF(P3940="Reembolso",-S3940,0)))</f>
        <v/>
      </c>
      <c r="V3940" s="53">
        <f>IF(P3940="","",IF(P3940="Ingreso",S3940,0))</f>
        <v/>
      </c>
      <c r="W3940" s="53">
        <f>IF(P3940="","",IF(P3940="Resultado trading",S3940,0))</f>
        <v/>
      </c>
      <c r="X3940" s="52">
        <f>IF(OR(P3940="Gasto",P3940="Reembolso"),IF(M3940&lt;&gt;"",M3940,IFERROR(INDEX(catClasif,MATCH(D3940&amp;"|"&amp;E3940,catClave,0))&amp;"","Variable")),"")</f>
        <v/>
      </c>
      <c r="Y3940" s="52">
        <f>IF(P3940="","",IFERROR(INDEX(catGrupo,MATCH(D3940&amp;"|"&amp;E3940,catClave,0))&amp;"",""))</f>
        <v/>
      </c>
      <c r="Z3940" s="52">
        <f>IF(P3940="","",WEEKDAY(B3940,2))</f>
        <v/>
      </c>
      <c r="AA3940" s="52">
        <f>IF(P3940="","",IF(AND(P3940="Gasto",X3940="Variable",D3940&lt;&gt;catTrading,S3940&gt;0,S3940&lt;=Umbral),1,0))</f>
        <v/>
      </c>
      <c r="AB3940" s="52">
        <f>IF(OR(P3940="",Q3940=""),"",IFERROR(IF(INDEX(ctaVinc,MATCH(Q3940,ctaNombre,0))&amp;""&lt;&gt;"",INDEX(ctaVinc,MATCH(Q3940,ctaNombre,0))&amp;"",Q3940),Q3940))</f>
        <v/>
      </c>
      <c r="AC3940" s="52">
        <f>IF(OR(K3940="",AND(P3940&lt;&gt;"Transferencia",P3940&lt;&gt;"Pago tarjeta")),"",IFERROR(IF(INDEX(ctaVinc,MATCH(K3940,ctaNombre,0))&amp;""&lt;&gt;"",INDEX(ctaVinc,MATCH(K3940,ctaNombre,0))&amp;"",K3940),K3940))</f>
        <v/>
      </c>
      <c r="AD3940" s="52">
        <f>IF(AB3940="","",IFERROR(INDEX(ctaTipo,MATCH(AB3940,ctaNombre,0))&amp;"",""))</f>
        <v/>
      </c>
      <c r="AE3940" s="52">
        <f>IF(AC3940="","",IFERROR(INDEX(ctaTipo,MATCH(AC3940,ctaNombre,0))&amp;"",""))</f>
        <v/>
      </c>
      <c r="AF3940" s="53">
        <f>IF(OR(P3940="",AB3940=""),"",IF(OR(P3940="Gasto",P3940="Transferencia",P3940="Pago tarjeta"),-1,1)*IF(IFERROR(INDEX(ctaMoneda,MATCH(AB3940,ctaNombre,0))&amp;"","DOP")="USD",T3940,S3940))</f>
        <v/>
      </c>
      <c r="AG3940" s="53">
        <f>IF(AC3940="","",IF(IFERROR(INDEX(ctaMoneda,MATCH(AC3940,ctaNombre,0))&amp;"","DOP")="USD",T3940,S3940))</f>
        <v/>
      </c>
      <c r="AH3940" s="53">
        <f>IF(P3940="","",IF(AND(AD3940&lt;&gt;"",COUNTIFS(tcTipo,AD3940,tcLiq,"Sí")&gt;0),IF(OR(P3940="Gasto",P3940="Transferencia",P3940="Pago tarjeta"),-1,1)*S3940,0)+IF(AND(AE3940&lt;&gt;"",COUNTIFS(tcTipo,AE3940,tcLiq,"Sí")&gt;0),S3940,0))</f>
        <v/>
      </c>
      <c r="AI3940" s="52">
        <f>IF(OR(L3940="",P3940=""),"",IF(COUNTIFS(L$6:L3940,L3940,P$6:P3940,"?*")=1,MAX(AI$5:AI3939)+1,""))</f>
        <v/>
      </c>
    </row>
    <row r="3941">
      <c r="B3941" s="47" t="n"/>
      <c r="C3941" s="48" t="n"/>
      <c r="D3941" s="48" t="n"/>
      <c r="E3941" s="48" t="n"/>
      <c r="F3941" s="48" t="n"/>
      <c r="G3941" s="49" t="n"/>
      <c r="H3941" s="48" t="n"/>
      <c r="I3941" s="50" t="n"/>
      <c r="J3941" s="48" t="n"/>
      <c r="K3941" s="48" t="n"/>
      <c r="L3941" s="48" t="n"/>
      <c r="M3941" s="48" t="n"/>
      <c r="N3941" s="48" t="n"/>
      <c r="O3941" s="51">
        <f>IF(AND(B3941="",G3941="",C3941="",D3941="",J3941=""),"",IF(B3941="","⚠ Falta fecha",IF(G3941="","⚠ Falta monto",IF(Q3941="","⚠ Falta cuenta",IF(ISNA(MATCH(Q3941,ctaNombre,0)),"⚠ Cuenta no registrada",IF(AND(OR(P3941="Gasto",P3941="Reembolso"),D3941=""),"⚠ Falta categoría",IF(AND(D3941&lt;&gt;"",E3941&lt;&gt;"",ISNA(MATCH(D3941&amp;"|"&amp;E3941,catClave,0))),"⚠ Subcategoría no corresponde",IF(AND(OR(P3941="Transferencia",P3941="Pago tarjeta"),K3941=""),"⚠ Falta cuenta destino",IF(AND(K3941&lt;&gt;"",P3941&lt;&gt;"Transferencia",P3941&lt;&gt;"Pago tarjeta"),"⚠ Destino solo aplica a transferencias",IF(AND(K3941&lt;&gt;"",K3941=Q3941),"⚠ Origen igual a destino",IF(AND(K3941&lt;&gt;"",ISNA(MATCH(K3941,ctaNombre,0))),"⚠ Destino no registrado",IF(AND(P3941="Pago tarjeta",AE3941&lt;&gt;"Tarjeta de crédito"),"⚠ El destino debe ser tarjeta de crédito",IF(AND(P3941="Gasto",E3941="Depósitos y retiros"),"⚠ Usa tipo Transferencia",IF(AND(P3941="Resultado trading",AD3941&lt;&gt;"Cuenta de trading"),"⚠ Usa una cuenta de trading",IF(AND(G3941&lt;=0,P3941&lt;&gt;"Ajuste",P3941&lt;&gt;"Resultado trading"),"⚠ El monto debe ser positivo","✓")))))))))))))))</f>
        <v/>
      </c>
      <c r="P3941" s="52">
        <f>IF(OR(B3941="",G3941=""),"",IF(C3941="","Gasto",C3941))</f>
        <v/>
      </c>
      <c r="Q3941" s="52">
        <f>IF(P3941="","",IF(J3941&lt;&gt;"",J3941,CuentaPred&amp;""))</f>
        <v/>
      </c>
      <c r="R3941" s="52">
        <f>IF(P3941="","",IF(ISNUMBER(I3941),I3941,TasaUSD))</f>
        <v/>
      </c>
      <c r="S3941" s="53">
        <f>IF(P3941="","",IF(H3941="USD",G3941*R3941,G3941))</f>
        <v/>
      </c>
      <c r="T3941" s="53">
        <f>IF(P3941="","",IF(H3941="USD",G3941,IF(R3941&gt;0,G3941/R3941,0)))</f>
        <v/>
      </c>
      <c r="U3941" s="53">
        <f>IF(P3941="","",IF(P3941="Gasto",S3941,IF(P3941="Reembolso",-S3941,0)))</f>
        <v/>
      </c>
      <c r="V3941" s="53">
        <f>IF(P3941="","",IF(P3941="Ingreso",S3941,0))</f>
        <v/>
      </c>
      <c r="W3941" s="53">
        <f>IF(P3941="","",IF(P3941="Resultado trading",S3941,0))</f>
        <v/>
      </c>
      <c r="X3941" s="52">
        <f>IF(OR(P3941="Gasto",P3941="Reembolso"),IF(M3941&lt;&gt;"",M3941,IFERROR(INDEX(catClasif,MATCH(D3941&amp;"|"&amp;E3941,catClave,0))&amp;"","Variable")),"")</f>
        <v/>
      </c>
      <c r="Y3941" s="52">
        <f>IF(P3941="","",IFERROR(INDEX(catGrupo,MATCH(D3941&amp;"|"&amp;E3941,catClave,0))&amp;"",""))</f>
        <v/>
      </c>
      <c r="Z3941" s="52">
        <f>IF(P3941="","",WEEKDAY(B3941,2))</f>
        <v/>
      </c>
      <c r="AA3941" s="52">
        <f>IF(P3941="","",IF(AND(P3941="Gasto",X3941="Variable",D3941&lt;&gt;catTrading,S3941&gt;0,S3941&lt;=Umbral),1,0))</f>
        <v/>
      </c>
      <c r="AB3941" s="52">
        <f>IF(OR(P3941="",Q3941=""),"",IFERROR(IF(INDEX(ctaVinc,MATCH(Q3941,ctaNombre,0))&amp;""&lt;&gt;"",INDEX(ctaVinc,MATCH(Q3941,ctaNombre,0))&amp;"",Q3941),Q3941))</f>
        <v/>
      </c>
      <c r="AC3941" s="52">
        <f>IF(OR(K3941="",AND(P3941&lt;&gt;"Transferencia",P3941&lt;&gt;"Pago tarjeta")),"",IFERROR(IF(INDEX(ctaVinc,MATCH(K3941,ctaNombre,0))&amp;""&lt;&gt;"",INDEX(ctaVinc,MATCH(K3941,ctaNombre,0))&amp;"",K3941),K3941))</f>
        <v/>
      </c>
      <c r="AD3941" s="52">
        <f>IF(AB3941="","",IFERROR(INDEX(ctaTipo,MATCH(AB3941,ctaNombre,0))&amp;"",""))</f>
        <v/>
      </c>
      <c r="AE3941" s="52">
        <f>IF(AC3941="","",IFERROR(INDEX(ctaTipo,MATCH(AC3941,ctaNombre,0))&amp;"",""))</f>
        <v/>
      </c>
      <c r="AF3941" s="53">
        <f>IF(OR(P3941="",AB3941=""),"",IF(OR(P3941="Gasto",P3941="Transferencia",P3941="Pago tarjeta"),-1,1)*IF(IFERROR(INDEX(ctaMoneda,MATCH(AB3941,ctaNombre,0))&amp;"","DOP")="USD",T3941,S3941))</f>
        <v/>
      </c>
      <c r="AG3941" s="53">
        <f>IF(AC3941="","",IF(IFERROR(INDEX(ctaMoneda,MATCH(AC3941,ctaNombre,0))&amp;"","DOP")="USD",T3941,S3941))</f>
        <v/>
      </c>
      <c r="AH3941" s="53">
        <f>IF(P3941="","",IF(AND(AD3941&lt;&gt;"",COUNTIFS(tcTipo,AD3941,tcLiq,"Sí")&gt;0),IF(OR(P3941="Gasto",P3941="Transferencia",P3941="Pago tarjeta"),-1,1)*S3941,0)+IF(AND(AE3941&lt;&gt;"",COUNTIFS(tcTipo,AE3941,tcLiq,"Sí")&gt;0),S3941,0))</f>
        <v/>
      </c>
      <c r="AI3941" s="52">
        <f>IF(OR(L3941="",P3941=""),"",IF(COUNTIFS(L$6:L3941,L3941,P$6:P3941,"?*")=1,MAX(AI$5:AI3940)+1,""))</f>
        <v/>
      </c>
    </row>
    <row r="3942">
      <c r="B3942" s="47" t="n"/>
      <c r="C3942" s="48" t="n"/>
      <c r="D3942" s="48" t="n"/>
      <c r="E3942" s="48" t="n"/>
      <c r="F3942" s="48" t="n"/>
      <c r="G3942" s="49" t="n"/>
      <c r="H3942" s="48" t="n"/>
      <c r="I3942" s="50" t="n"/>
      <c r="J3942" s="48" t="n"/>
      <c r="K3942" s="48" t="n"/>
      <c r="L3942" s="48" t="n"/>
      <c r="M3942" s="48" t="n"/>
      <c r="N3942" s="48" t="n"/>
      <c r="O3942" s="51">
        <f>IF(AND(B3942="",G3942="",C3942="",D3942="",J3942=""),"",IF(B3942="","⚠ Falta fecha",IF(G3942="","⚠ Falta monto",IF(Q3942="","⚠ Falta cuenta",IF(ISNA(MATCH(Q3942,ctaNombre,0)),"⚠ Cuenta no registrada",IF(AND(OR(P3942="Gasto",P3942="Reembolso"),D3942=""),"⚠ Falta categoría",IF(AND(D3942&lt;&gt;"",E3942&lt;&gt;"",ISNA(MATCH(D3942&amp;"|"&amp;E3942,catClave,0))),"⚠ Subcategoría no corresponde",IF(AND(OR(P3942="Transferencia",P3942="Pago tarjeta"),K3942=""),"⚠ Falta cuenta destino",IF(AND(K3942&lt;&gt;"",P3942&lt;&gt;"Transferencia",P3942&lt;&gt;"Pago tarjeta"),"⚠ Destino solo aplica a transferencias",IF(AND(K3942&lt;&gt;"",K3942=Q3942),"⚠ Origen igual a destino",IF(AND(K3942&lt;&gt;"",ISNA(MATCH(K3942,ctaNombre,0))),"⚠ Destino no registrado",IF(AND(P3942="Pago tarjeta",AE3942&lt;&gt;"Tarjeta de crédito"),"⚠ El destino debe ser tarjeta de crédito",IF(AND(P3942="Gasto",E3942="Depósitos y retiros"),"⚠ Usa tipo Transferencia",IF(AND(P3942="Resultado trading",AD3942&lt;&gt;"Cuenta de trading"),"⚠ Usa una cuenta de trading",IF(AND(G3942&lt;=0,P3942&lt;&gt;"Ajuste",P3942&lt;&gt;"Resultado trading"),"⚠ El monto debe ser positivo","✓")))))))))))))))</f>
        <v/>
      </c>
      <c r="P3942" s="52">
        <f>IF(OR(B3942="",G3942=""),"",IF(C3942="","Gasto",C3942))</f>
        <v/>
      </c>
      <c r="Q3942" s="52">
        <f>IF(P3942="","",IF(J3942&lt;&gt;"",J3942,CuentaPred&amp;""))</f>
        <v/>
      </c>
      <c r="R3942" s="52">
        <f>IF(P3942="","",IF(ISNUMBER(I3942),I3942,TasaUSD))</f>
        <v/>
      </c>
      <c r="S3942" s="53">
        <f>IF(P3942="","",IF(H3942="USD",G3942*R3942,G3942))</f>
        <v/>
      </c>
      <c r="T3942" s="53">
        <f>IF(P3942="","",IF(H3942="USD",G3942,IF(R3942&gt;0,G3942/R3942,0)))</f>
        <v/>
      </c>
      <c r="U3942" s="53">
        <f>IF(P3942="","",IF(P3942="Gasto",S3942,IF(P3942="Reembolso",-S3942,0)))</f>
        <v/>
      </c>
      <c r="V3942" s="53">
        <f>IF(P3942="","",IF(P3942="Ingreso",S3942,0))</f>
        <v/>
      </c>
      <c r="W3942" s="53">
        <f>IF(P3942="","",IF(P3942="Resultado trading",S3942,0))</f>
        <v/>
      </c>
      <c r="X3942" s="52">
        <f>IF(OR(P3942="Gasto",P3942="Reembolso"),IF(M3942&lt;&gt;"",M3942,IFERROR(INDEX(catClasif,MATCH(D3942&amp;"|"&amp;E3942,catClave,0))&amp;"","Variable")),"")</f>
        <v/>
      </c>
      <c r="Y3942" s="52">
        <f>IF(P3942="","",IFERROR(INDEX(catGrupo,MATCH(D3942&amp;"|"&amp;E3942,catClave,0))&amp;"",""))</f>
        <v/>
      </c>
      <c r="Z3942" s="52">
        <f>IF(P3942="","",WEEKDAY(B3942,2))</f>
        <v/>
      </c>
      <c r="AA3942" s="52">
        <f>IF(P3942="","",IF(AND(P3942="Gasto",X3942="Variable",D3942&lt;&gt;catTrading,S3942&gt;0,S3942&lt;=Umbral),1,0))</f>
        <v/>
      </c>
      <c r="AB3942" s="52">
        <f>IF(OR(P3942="",Q3942=""),"",IFERROR(IF(INDEX(ctaVinc,MATCH(Q3942,ctaNombre,0))&amp;""&lt;&gt;"",INDEX(ctaVinc,MATCH(Q3942,ctaNombre,0))&amp;"",Q3942),Q3942))</f>
        <v/>
      </c>
      <c r="AC3942" s="52">
        <f>IF(OR(K3942="",AND(P3942&lt;&gt;"Transferencia",P3942&lt;&gt;"Pago tarjeta")),"",IFERROR(IF(INDEX(ctaVinc,MATCH(K3942,ctaNombre,0))&amp;""&lt;&gt;"",INDEX(ctaVinc,MATCH(K3942,ctaNombre,0))&amp;"",K3942),K3942))</f>
        <v/>
      </c>
      <c r="AD3942" s="52">
        <f>IF(AB3942="","",IFERROR(INDEX(ctaTipo,MATCH(AB3942,ctaNombre,0))&amp;"",""))</f>
        <v/>
      </c>
      <c r="AE3942" s="52">
        <f>IF(AC3942="","",IFERROR(INDEX(ctaTipo,MATCH(AC3942,ctaNombre,0))&amp;"",""))</f>
        <v/>
      </c>
      <c r="AF3942" s="53">
        <f>IF(OR(P3942="",AB3942=""),"",IF(OR(P3942="Gasto",P3942="Transferencia",P3942="Pago tarjeta"),-1,1)*IF(IFERROR(INDEX(ctaMoneda,MATCH(AB3942,ctaNombre,0))&amp;"","DOP")="USD",T3942,S3942))</f>
        <v/>
      </c>
      <c r="AG3942" s="53">
        <f>IF(AC3942="","",IF(IFERROR(INDEX(ctaMoneda,MATCH(AC3942,ctaNombre,0))&amp;"","DOP")="USD",T3942,S3942))</f>
        <v/>
      </c>
      <c r="AH3942" s="53">
        <f>IF(P3942="","",IF(AND(AD3942&lt;&gt;"",COUNTIFS(tcTipo,AD3942,tcLiq,"Sí")&gt;0),IF(OR(P3942="Gasto",P3942="Transferencia",P3942="Pago tarjeta"),-1,1)*S3942,0)+IF(AND(AE3942&lt;&gt;"",COUNTIFS(tcTipo,AE3942,tcLiq,"Sí")&gt;0),S3942,0))</f>
        <v/>
      </c>
      <c r="AI3942" s="52">
        <f>IF(OR(L3942="",P3942=""),"",IF(COUNTIFS(L$6:L3942,L3942,P$6:P3942,"?*")=1,MAX(AI$5:AI3941)+1,""))</f>
        <v/>
      </c>
    </row>
    <row r="3943">
      <c r="B3943" s="47" t="n"/>
      <c r="C3943" s="48" t="n"/>
      <c r="D3943" s="48" t="n"/>
      <c r="E3943" s="48" t="n"/>
      <c r="F3943" s="48" t="n"/>
      <c r="G3943" s="49" t="n"/>
      <c r="H3943" s="48" t="n"/>
      <c r="I3943" s="50" t="n"/>
      <c r="J3943" s="48" t="n"/>
      <c r="K3943" s="48" t="n"/>
      <c r="L3943" s="48" t="n"/>
      <c r="M3943" s="48" t="n"/>
      <c r="N3943" s="48" t="n"/>
      <c r="O3943" s="51">
        <f>IF(AND(B3943="",G3943="",C3943="",D3943="",J3943=""),"",IF(B3943="","⚠ Falta fecha",IF(G3943="","⚠ Falta monto",IF(Q3943="","⚠ Falta cuenta",IF(ISNA(MATCH(Q3943,ctaNombre,0)),"⚠ Cuenta no registrada",IF(AND(OR(P3943="Gasto",P3943="Reembolso"),D3943=""),"⚠ Falta categoría",IF(AND(D3943&lt;&gt;"",E3943&lt;&gt;"",ISNA(MATCH(D3943&amp;"|"&amp;E3943,catClave,0))),"⚠ Subcategoría no corresponde",IF(AND(OR(P3943="Transferencia",P3943="Pago tarjeta"),K3943=""),"⚠ Falta cuenta destino",IF(AND(K3943&lt;&gt;"",P3943&lt;&gt;"Transferencia",P3943&lt;&gt;"Pago tarjeta"),"⚠ Destino solo aplica a transferencias",IF(AND(K3943&lt;&gt;"",K3943=Q3943),"⚠ Origen igual a destino",IF(AND(K3943&lt;&gt;"",ISNA(MATCH(K3943,ctaNombre,0))),"⚠ Destino no registrado",IF(AND(P3943="Pago tarjeta",AE3943&lt;&gt;"Tarjeta de crédito"),"⚠ El destino debe ser tarjeta de crédito",IF(AND(P3943="Gasto",E3943="Depósitos y retiros"),"⚠ Usa tipo Transferencia",IF(AND(P3943="Resultado trading",AD3943&lt;&gt;"Cuenta de trading"),"⚠ Usa una cuenta de trading",IF(AND(G3943&lt;=0,P3943&lt;&gt;"Ajuste",P3943&lt;&gt;"Resultado trading"),"⚠ El monto debe ser positivo","✓")))))))))))))))</f>
        <v/>
      </c>
      <c r="P3943" s="52">
        <f>IF(OR(B3943="",G3943=""),"",IF(C3943="","Gasto",C3943))</f>
        <v/>
      </c>
      <c r="Q3943" s="52">
        <f>IF(P3943="","",IF(J3943&lt;&gt;"",J3943,CuentaPred&amp;""))</f>
        <v/>
      </c>
      <c r="R3943" s="52">
        <f>IF(P3943="","",IF(ISNUMBER(I3943),I3943,TasaUSD))</f>
        <v/>
      </c>
      <c r="S3943" s="53">
        <f>IF(P3943="","",IF(H3943="USD",G3943*R3943,G3943))</f>
        <v/>
      </c>
      <c r="T3943" s="53">
        <f>IF(P3943="","",IF(H3943="USD",G3943,IF(R3943&gt;0,G3943/R3943,0)))</f>
        <v/>
      </c>
      <c r="U3943" s="53">
        <f>IF(P3943="","",IF(P3943="Gasto",S3943,IF(P3943="Reembolso",-S3943,0)))</f>
        <v/>
      </c>
      <c r="V3943" s="53">
        <f>IF(P3943="","",IF(P3943="Ingreso",S3943,0))</f>
        <v/>
      </c>
      <c r="W3943" s="53">
        <f>IF(P3943="","",IF(P3943="Resultado trading",S3943,0))</f>
        <v/>
      </c>
      <c r="X3943" s="52">
        <f>IF(OR(P3943="Gasto",P3943="Reembolso"),IF(M3943&lt;&gt;"",M3943,IFERROR(INDEX(catClasif,MATCH(D3943&amp;"|"&amp;E3943,catClave,0))&amp;"","Variable")),"")</f>
        <v/>
      </c>
      <c r="Y3943" s="52">
        <f>IF(P3943="","",IFERROR(INDEX(catGrupo,MATCH(D3943&amp;"|"&amp;E3943,catClave,0))&amp;"",""))</f>
        <v/>
      </c>
      <c r="Z3943" s="52">
        <f>IF(P3943="","",WEEKDAY(B3943,2))</f>
        <v/>
      </c>
      <c r="AA3943" s="52">
        <f>IF(P3943="","",IF(AND(P3943="Gasto",X3943="Variable",D3943&lt;&gt;catTrading,S3943&gt;0,S3943&lt;=Umbral),1,0))</f>
        <v/>
      </c>
      <c r="AB3943" s="52">
        <f>IF(OR(P3943="",Q3943=""),"",IFERROR(IF(INDEX(ctaVinc,MATCH(Q3943,ctaNombre,0))&amp;""&lt;&gt;"",INDEX(ctaVinc,MATCH(Q3943,ctaNombre,0))&amp;"",Q3943),Q3943))</f>
        <v/>
      </c>
      <c r="AC3943" s="52">
        <f>IF(OR(K3943="",AND(P3943&lt;&gt;"Transferencia",P3943&lt;&gt;"Pago tarjeta")),"",IFERROR(IF(INDEX(ctaVinc,MATCH(K3943,ctaNombre,0))&amp;""&lt;&gt;"",INDEX(ctaVinc,MATCH(K3943,ctaNombre,0))&amp;"",K3943),K3943))</f>
        <v/>
      </c>
      <c r="AD3943" s="52">
        <f>IF(AB3943="","",IFERROR(INDEX(ctaTipo,MATCH(AB3943,ctaNombre,0))&amp;"",""))</f>
        <v/>
      </c>
      <c r="AE3943" s="52">
        <f>IF(AC3943="","",IFERROR(INDEX(ctaTipo,MATCH(AC3943,ctaNombre,0))&amp;"",""))</f>
        <v/>
      </c>
      <c r="AF3943" s="53">
        <f>IF(OR(P3943="",AB3943=""),"",IF(OR(P3943="Gasto",P3943="Transferencia",P3943="Pago tarjeta"),-1,1)*IF(IFERROR(INDEX(ctaMoneda,MATCH(AB3943,ctaNombre,0))&amp;"","DOP")="USD",T3943,S3943))</f>
        <v/>
      </c>
      <c r="AG3943" s="53">
        <f>IF(AC3943="","",IF(IFERROR(INDEX(ctaMoneda,MATCH(AC3943,ctaNombre,0))&amp;"","DOP")="USD",T3943,S3943))</f>
        <v/>
      </c>
      <c r="AH3943" s="53">
        <f>IF(P3943="","",IF(AND(AD3943&lt;&gt;"",COUNTIFS(tcTipo,AD3943,tcLiq,"Sí")&gt;0),IF(OR(P3943="Gasto",P3943="Transferencia",P3943="Pago tarjeta"),-1,1)*S3943,0)+IF(AND(AE3943&lt;&gt;"",COUNTIFS(tcTipo,AE3943,tcLiq,"Sí")&gt;0),S3943,0))</f>
        <v/>
      </c>
      <c r="AI3943" s="52">
        <f>IF(OR(L3943="",P3943=""),"",IF(COUNTIFS(L$6:L3943,L3943,P$6:P3943,"?*")=1,MAX(AI$5:AI3942)+1,""))</f>
        <v/>
      </c>
    </row>
    <row r="3944">
      <c r="B3944" s="47" t="n"/>
      <c r="C3944" s="48" t="n"/>
      <c r="D3944" s="48" t="n"/>
      <c r="E3944" s="48" t="n"/>
      <c r="F3944" s="48" t="n"/>
      <c r="G3944" s="49" t="n"/>
      <c r="H3944" s="48" t="n"/>
      <c r="I3944" s="50" t="n"/>
      <c r="J3944" s="48" t="n"/>
      <c r="K3944" s="48" t="n"/>
      <c r="L3944" s="48" t="n"/>
      <c r="M3944" s="48" t="n"/>
      <c r="N3944" s="48" t="n"/>
      <c r="O3944" s="51">
        <f>IF(AND(B3944="",G3944="",C3944="",D3944="",J3944=""),"",IF(B3944="","⚠ Falta fecha",IF(G3944="","⚠ Falta monto",IF(Q3944="","⚠ Falta cuenta",IF(ISNA(MATCH(Q3944,ctaNombre,0)),"⚠ Cuenta no registrada",IF(AND(OR(P3944="Gasto",P3944="Reembolso"),D3944=""),"⚠ Falta categoría",IF(AND(D3944&lt;&gt;"",E3944&lt;&gt;"",ISNA(MATCH(D3944&amp;"|"&amp;E3944,catClave,0))),"⚠ Subcategoría no corresponde",IF(AND(OR(P3944="Transferencia",P3944="Pago tarjeta"),K3944=""),"⚠ Falta cuenta destino",IF(AND(K3944&lt;&gt;"",P3944&lt;&gt;"Transferencia",P3944&lt;&gt;"Pago tarjeta"),"⚠ Destino solo aplica a transferencias",IF(AND(K3944&lt;&gt;"",K3944=Q3944),"⚠ Origen igual a destino",IF(AND(K3944&lt;&gt;"",ISNA(MATCH(K3944,ctaNombre,0))),"⚠ Destino no registrado",IF(AND(P3944="Pago tarjeta",AE3944&lt;&gt;"Tarjeta de crédito"),"⚠ El destino debe ser tarjeta de crédito",IF(AND(P3944="Gasto",E3944="Depósitos y retiros"),"⚠ Usa tipo Transferencia",IF(AND(P3944="Resultado trading",AD3944&lt;&gt;"Cuenta de trading"),"⚠ Usa una cuenta de trading",IF(AND(G3944&lt;=0,P3944&lt;&gt;"Ajuste",P3944&lt;&gt;"Resultado trading"),"⚠ El monto debe ser positivo","✓")))))))))))))))</f>
        <v/>
      </c>
      <c r="P3944" s="52">
        <f>IF(OR(B3944="",G3944=""),"",IF(C3944="","Gasto",C3944))</f>
        <v/>
      </c>
      <c r="Q3944" s="52">
        <f>IF(P3944="","",IF(J3944&lt;&gt;"",J3944,CuentaPred&amp;""))</f>
        <v/>
      </c>
      <c r="R3944" s="52">
        <f>IF(P3944="","",IF(ISNUMBER(I3944),I3944,TasaUSD))</f>
        <v/>
      </c>
      <c r="S3944" s="53">
        <f>IF(P3944="","",IF(H3944="USD",G3944*R3944,G3944))</f>
        <v/>
      </c>
      <c r="T3944" s="53">
        <f>IF(P3944="","",IF(H3944="USD",G3944,IF(R3944&gt;0,G3944/R3944,0)))</f>
        <v/>
      </c>
      <c r="U3944" s="53">
        <f>IF(P3944="","",IF(P3944="Gasto",S3944,IF(P3944="Reembolso",-S3944,0)))</f>
        <v/>
      </c>
      <c r="V3944" s="53">
        <f>IF(P3944="","",IF(P3944="Ingreso",S3944,0))</f>
        <v/>
      </c>
      <c r="W3944" s="53">
        <f>IF(P3944="","",IF(P3944="Resultado trading",S3944,0))</f>
        <v/>
      </c>
      <c r="X3944" s="52">
        <f>IF(OR(P3944="Gasto",P3944="Reembolso"),IF(M3944&lt;&gt;"",M3944,IFERROR(INDEX(catClasif,MATCH(D3944&amp;"|"&amp;E3944,catClave,0))&amp;"","Variable")),"")</f>
        <v/>
      </c>
      <c r="Y3944" s="52">
        <f>IF(P3944="","",IFERROR(INDEX(catGrupo,MATCH(D3944&amp;"|"&amp;E3944,catClave,0))&amp;"",""))</f>
        <v/>
      </c>
      <c r="Z3944" s="52">
        <f>IF(P3944="","",WEEKDAY(B3944,2))</f>
        <v/>
      </c>
      <c r="AA3944" s="52">
        <f>IF(P3944="","",IF(AND(P3944="Gasto",X3944="Variable",D3944&lt;&gt;catTrading,S3944&gt;0,S3944&lt;=Umbral),1,0))</f>
        <v/>
      </c>
      <c r="AB3944" s="52">
        <f>IF(OR(P3944="",Q3944=""),"",IFERROR(IF(INDEX(ctaVinc,MATCH(Q3944,ctaNombre,0))&amp;""&lt;&gt;"",INDEX(ctaVinc,MATCH(Q3944,ctaNombre,0))&amp;"",Q3944),Q3944))</f>
        <v/>
      </c>
      <c r="AC3944" s="52">
        <f>IF(OR(K3944="",AND(P3944&lt;&gt;"Transferencia",P3944&lt;&gt;"Pago tarjeta")),"",IFERROR(IF(INDEX(ctaVinc,MATCH(K3944,ctaNombre,0))&amp;""&lt;&gt;"",INDEX(ctaVinc,MATCH(K3944,ctaNombre,0))&amp;"",K3944),K3944))</f>
        <v/>
      </c>
      <c r="AD3944" s="52">
        <f>IF(AB3944="","",IFERROR(INDEX(ctaTipo,MATCH(AB3944,ctaNombre,0))&amp;"",""))</f>
        <v/>
      </c>
      <c r="AE3944" s="52">
        <f>IF(AC3944="","",IFERROR(INDEX(ctaTipo,MATCH(AC3944,ctaNombre,0))&amp;"",""))</f>
        <v/>
      </c>
      <c r="AF3944" s="53">
        <f>IF(OR(P3944="",AB3944=""),"",IF(OR(P3944="Gasto",P3944="Transferencia",P3944="Pago tarjeta"),-1,1)*IF(IFERROR(INDEX(ctaMoneda,MATCH(AB3944,ctaNombre,0))&amp;"","DOP")="USD",T3944,S3944))</f>
        <v/>
      </c>
      <c r="AG3944" s="53">
        <f>IF(AC3944="","",IF(IFERROR(INDEX(ctaMoneda,MATCH(AC3944,ctaNombre,0))&amp;"","DOP")="USD",T3944,S3944))</f>
        <v/>
      </c>
      <c r="AH3944" s="53">
        <f>IF(P3944="","",IF(AND(AD3944&lt;&gt;"",COUNTIFS(tcTipo,AD3944,tcLiq,"Sí")&gt;0),IF(OR(P3944="Gasto",P3944="Transferencia",P3944="Pago tarjeta"),-1,1)*S3944,0)+IF(AND(AE3944&lt;&gt;"",COUNTIFS(tcTipo,AE3944,tcLiq,"Sí")&gt;0),S3944,0))</f>
        <v/>
      </c>
      <c r="AI3944" s="52">
        <f>IF(OR(L3944="",P3944=""),"",IF(COUNTIFS(L$6:L3944,L3944,P$6:P3944,"?*")=1,MAX(AI$5:AI3943)+1,""))</f>
        <v/>
      </c>
    </row>
    <row r="3945">
      <c r="B3945" s="47" t="n"/>
      <c r="C3945" s="48" t="n"/>
      <c r="D3945" s="48" t="n"/>
      <c r="E3945" s="48" t="n"/>
      <c r="F3945" s="48" t="n"/>
      <c r="G3945" s="49" t="n"/>
      <c r="H3945" s="48" t="n"/>
      <c r="I3945" s="50" t="n"/>
      <c r="J3945" s="48" t="n"/>
      <c r="K3945" s="48" t="n"/>
      <c r="L3945" s="48" t="n"/>
      <c r="M3945" s="48" t="n"/>
      <c r="N3945" s="48" t="n"/>
      <c r="O3945" s="51">
        <f>IF(AND(B3945="",G3945="",C3945="",D3945="",J3945=""),"",IF(B3945="","⚠ Falta fecha",IF(G3945="","⚠ Falta monto",IF(Q3945="","⚠ Falta cuenta",IF(ISNA(MATCH(Q3945,ctaNombre,0)),"⚠ Cuenta no registrada",IF(AND(OR(P3945="Gasto",P3945="Reembolso"),D3945=""),"⚠ Falta categoría",IF(AND(D3945&lt;&gt;"",E3945&lt;&gt;"",ISNA(MATCH(D3945&amp;"|"&amp;E3945,catClave,0))),"⚠ Subcategoría no corresponde",IF(AND(OR(P3945="Transferencia",P3945="Pago tarjeta"),K3945=""),"⚠ Falta cuenta destino",IF(AND(K3945&lt;&gt;"",P3945&lt;&gt;"Transferencia",P3945&lt;&gt;"Pago tarjeta"),"⚠ Destino solo aplica a transferencias",IF(AND(K3945&lt;&gt;"",K3945=Q3945),"⚠ Origen igual a destino",IF(AND(K3945&lt;&gt;"",ISNA(MATCH(K3945,ctaNombre,0))),"⚠ Destino no registrado",IF(AND(P3945="Pago tarjeta",AE3945&lt;&gt;"Tarjeta de crédito"),"⚠ El destino debe ser tarjeta de crédito",IF(AND(P3945="Gasto",E3945="Depósitos y retiros"),"⚠ Usa tipo Transferencia",IF(AND(P3945="Resultado trading",AD3945&lt;&gt;"Cuenta de trading"),"⚠ Usa una cuenta de trading",IF(AND(G3945&lt;=0,P3945&lt;&gt;"Ajuste",P3945&lt;&gt;"Resultado trading"),"⚠ El monto debe ser positivo","✓")))))))))))))))</f>
        <v/>
      </c>
      <c r="P3945" s="52">
        <f>IF(OR(B3945="",G3945=""),"",IF(C3945="","Gasto",C3945))</f>
        <v/>
      </c>
      <c r="Q3945" s="52">
        <f>IF(P3945="","",IF(J3945&lt;&gt;"",J3945,CuentaPred&amp;""))</f>
        <v/>
      </c>
      <c r="R3945" s="52">
        <f>IF(P3945="","",IF(ISNUMBER(I3945),I3945,TasaUSD))</f>
        <v/>
      </c>
      <c r="S3945" s="53">
        <f>IF(P3945="","",IF(H3945="USD",G3945*R3945,G3945))</f>
        <v/>
      </c>
      <c r="T3945" s="53">
        <f>IF(P3945="","",IF(H3945="USD",G3945,IF(R3945&gt;0,G3945/R3945,0)))</f>
        <v/>
      </c>
      <c r="U3945" s="53">
        <f>IF(P3945="","",IF(P3945="Gasto",S3945,IF(P3945="Reembolso",-S3945,0)))</f>
        <v/>
      </c>
      <c r="V3945" s="53">
        <f>IF(P3945="","",IF(P3945="Ingreso",S3945,0))</f>
        <v/>
      </c>
      <c r="W3945" s="53">
        <f>IF(P3945="","",IF(P3945="Resultado trading",S3945,0))</f>
        <v/>
      </c>
      <c r="X3945" s="52">
        <f>IF(OR(P3945="Gasto",P3945="Reembolso"),IF(M3945&lt;&gt;"",M3945,IFERROR(INDEX(catClasif,MATCH(D3945&amp;"|"&amp;E3945,catClave,0))&amp;"","Variable")),"")</f>
        <v/>
      </c>
      <c r="Y3945" s="52">
        <f>IF(P3945="","",IFERROR(INDEX(catGrupo,MATCH(D3945&amp;"|"&amp;E3945,catClave,0))&amp;"",""))</f>
        <v/>
      </c>
      <c r="Z3945" s="52">
        <f>IF(P3945="","",WEEKDAY(B3945,2))</f>
        <v/>
      </c>
      <c r="AA3945" s="52">
        <f>IF(P3945="","",IF(AND(P3945="Gasto",X3945="Variable",D3945&lt;&gt;catTrading,S3945&gt;0,S3945&lt;=Umbral),1,0))</f>
        <v/>
      </c>
      <c r="AB3945" s="52">
        <f>IF(OR(P3945="",Q3945=""),"",IFERROR(IF(INDEX(ctaVinc,MATCH(Q3945,ctaNombre,0))&amp;""&lt;&gt;"",INDEX(ctaVinc,MATCH(Q3945,ctaNombre,0))&amp;"",Q3945),Q3945))</f>
        <v/>
      </c>
      <c r="AC3945" s="52">
        <f>IF(OR(K3945="",AND(P3945&lt;&gt;"Transferencia",P3945&lt;&gt;"Pago tarjeta")),"",IFERROR(IF(INDEX(ctaVinc,MATCH(K3945,ctaNombre,0))&amp;""&lt;&gt;"",INDEX(ctaVinc,MATCH(K3945,ctaNombre,0))&amp;"",K3945),K3945))</f>
        <v/>
      </c>
      <c r="AD3945" s="52">
        <f>IF(AB3945="","",IFERROR(INDEX(ctaTipo,MATCH(AB3945,ctaNombre,0))&amp;"",""))</f>
        <v/>
      </c>
      <c r="AE3945" s="52">
        <f>IF(AC3945="","",IFERROR(INDEX(ctaTipo,MATCH(AC3945,ctaNombre,0))&amp;"",""))</f>
        <v/>
      </c>
      <c r="AF3945" s="53">
        <f>IF(OR(P3945="",AB3945=""),"",IF(OR(P3945="Gasto",P3945="Transferencia",P3945="Pago tarjeta"),-1,1)*IF(IFERROR(INDEX(ctaMoneda,MATCH(AB3945,ctaNombre,0))&amp;"","DOP")="USD",T3945,S3945))</f>
        <v/>
      </c>
      <c r="AG3945" s="53">
        <f>IF(AC3945="","",IF(IFERROR(INDEX(ctaMoneda,MATCH(AC3945,ctaNombre,0))&amp;"","DOP")="USD",T3945,S3945))</f>
        <v/>
      </c>
      <c r="AH3945" s="53">
        <f>IF(P3945="","",IF(AND(AD3945&lt;&gt;"",COUNTIFS(tcTipo,AD3945,tcLiq,"Sí")&gt;0),IF(OR(P3945="Gasto",P3945="Transferencia",P3945="Pago tarjeta"),-1,1)*S3945,0)+IF(AND(AE3945&lt;&gt;"",COUNTIFS(tcTipo,AE3945,tcLiq,"Sí")&gt;0),S3945,0))</f>
        <v/>
      </c>
      <c r="AI3945" s="52">
        <f>IF(OR(L3945="",P3945=""),"",IF(COUNTIFS(L$6:L3945,L3945,P$6:P3945,"?*")=1,MAX(AI$5:AI3944)+1,""))</f>
        <v/>
      </c>
    </row>
    <row r="3946">
      <c r="B3946" s="47" t="n"/>
      <c r="C3946" s="48" t="n"/>
      <c r="D3946" s="48" t="n"/>
      <c r="E3946" s="48" t="n"/>
      <c r="F3946" s="48" t="n"/>
      <c r="G3946" s="49" t="n"/>
      <c r="H3946" s="48" t="n"/>
      <c r="I3946" s="50" t="n"/>
      <c r="J3946" s="48" t="n"/>
      <c r="K3946" s="48" t="n"/>
      <c r="L3946" s="48" t="n"/>
      <c r="M3946" s="48" t="n"/>
      <c r="N3946" s="48" t="n"/>
      <c r="O3946" s="51">
        <f>IF(AND(B3946="",G3946="",C3946="",D3946="",J3946=""),"",IF(B3946="","⚠ Falta fecha",IF(G3946="","⚠ Falta monto",IF(Q3946="","⚠ Falta cuenta",IF(ISNA(MATCH(Q3946,ctaNombre,0)),"⚠ Cuenta no registrada",IF(AND(OR(P3946="Gasto",P3946="Reembolso"),D3946=""),"⚠ Falta categoría",IF(AND(D3946&lt;&gt;"",E3946&lt;&gt;"",ISNA(MATCH(D3946&amp;"|"&amp;E3946,catClave,0))),"⚠ Subcategoría no corresponde",IF(AND(OR(P3946="Transferencia",P3946="Pago tarjeta"),K3946=""),"⚠ Falta cuenta destino",IF(AND(K3946&lt;&gt;"",P3946&lt;&gt;"Transferencia",P3946&lt;&gt;"Pago tarjeta"),"⚠ Destino solo aplica a transferencias",IF(AND(K3946&lt;&gt;"",K3946=Q3946),"⚠ Origen igual a destino",IF(AND(K3946&lt;&gt;"",ISNA(MATCH(K3946,ctaNombre,0))),"⚠ Destino no registrado",IF(AND(P3946="Pago tarjeta",AE3946&lt;&gt;"Tarjeta de crédito"),"⚠ El destino debe ser tarjeta de crédito",IF(AND(P3946="Gasto",E3946="Depósitos y retiros"),"⚠ Usa tipo Transferencia",IF(AND(P3946="Resultado trading",AD3946&lt;&gt;"Cuenta de trading"),"⚠ Usa una cuenta de trading",IF(AND(G3946&lt;=0,P3946&lt;&gt;"Ajuste",P3946&lt;&gt;"Resultado trading"),"⚠ El monto debe ser positivo","✓")))))))))))))))</f>
        <v/>
      </c>
      <c r="P3946" s="52">
        <f>IF(OR(B3946="",G3946=""),"",IF(C3946="","Gasto",C3946))</f>
        <v/>
      </c>
      <c r="Q3946" s="52">
        <f>IF(P3946="","",IF(J3946&lt;&gt;"",J3946,CuentaPred&amp;""))</f>
        <v/>
      </c>
      <c r="R3946" s="52">
        <f>IF(P3946="","",IF(ISNUMBER(I3946),I3946,TasaUSD))</f>
        <v/>
      </c>
      <c r="S3946" s="53">
        <f>IF(P3946="","",IF(H3946="USD",G3946*R3946,G3946))</f>
        <v/>
      </c>
      <c r="T3946" s="53">
        <f>IF(P3946="","",IF(H3946="USD",G3946,IF(R3946&gt;0,G3946/R3946,0)))</f>
        <v/>
      </c>
      <c r="U3946" s="53">
        <f>IF(P3946="","",IF(P3946="Gasto",S3946,IF(P3946="Reembolso",-S3946,0)))</f>
        <v/>
      </c>
      <c r="V3946" s="53">
        <f>IF(P3946="","",IF(P3946="Ingreso",S3946,0))</f>
        <v/>
      </c>
      <c r="W3946" s="53">
        <f>IF(P3946="","",IF(P3946="Resultado trading",S3946,0))</f>
        <v/>
      </c>
      <c r="X3946" s="52">
        <f>IF(OR(P3946="Gasto",P3946="Reembolso"),IF(M3946&lt;&gt;"",M3946,IFERROR(INDEX(catClasif,MATCH(D3946&amp;"|"&amp;E3946,catClave,0))&amp;"","Variable")),"")</f>
        <v/>
      </c>
      <c r="Y3946" s="52">
        <f>IF(P3946="","",IFERROR(INDEX(catGrupo,MATCH(D3946&amp;"|"&amp;E3946,catClave,0))&amp;"",""))</f>
        <v/>
      </c>
      <c r="Z3946" s="52">
        <f>IF(P3946="","",WEEKDAY(B3946,2))</f>
        <v/>
      </c>
      <c r="AA3946" s="52">
        <f>IF(P3946="","",IF(AND(P3946="Gasto",X3946="Variable",D3946&lt;&gt;catTrading,S3946&gt;0,S3946&lt;=Umbral),1,0))</f>
        <v/>
      </c>
      <c r="AB3946" s="52">
        <f>IF(OR(P3946="",Q3946=""),"",IFERROR(IF(INDEX(ctaVinc,MATCH(Q3946,ctaNombre,0))&amp;""&lt;&gt;"",INDEX(ctaVinc,MATCH(Q3946,ctaNombre,0))&amp;"",Q3946),Q3946))</f>
        <v/>
      </c>
      <c r="AC3946" s="52">
        <f>IF(OR(K3946="",AND(P3946&lt;&gt;"Transferencia",P3946&lt;&gt;"Pago tarjeta")),"",IFERROR(IF(INDEX(ctaVinc,MATCH(K3946,ctaNombre,0))&amp;""&lt;&gt;"",INDEX(ctaVinc,MATCH(K3946,ctaNombre,0))&amp;"",K3946),K3946))</f>
        <v/>
      </c>
      <c r="AD3946" s="52">
        <f>IF(AB3946="","",IFERROR(INDEX(ctaTipo,MATCH(AB3946,ctaNombre,0))&amp;"",""))</f>
        <v/>
      </c>
      <c r="AE3946" s="52">
        <f>IF(AC3946="","",IFERROR(INDEX(ctaTipo,MATCH(AC3946,ctaNombre,0))&amp;"",""))</f>
        <v/>
      </c>
      <c r="AF3946" s="53">
        <f>IF(OR(P3946="",AB3946=""),"",IF(OR(P3946="Gasto",P3946="Transferencia",P3946="Pago tarjeta"),-1,1)*IF(IFERROR(INDEX(ctaMoneda,MATCH(AB3946,ctaNombre,0))&amp;"","DOP")="USD",T3946,S3946))</f>
        <v/>
      </c>
      <c r="AG3946" s="53">
        <f>IF(AC3946="","",IF(IFERROR(INDEX(ctaMoneda,MATCH(AC3946,ctaNombre,0))&amp;"","DOP")="USD",T3946,S3946))</f>
        <v/>
      </c>
      <c r="AH3946" s="53">
        <f>IF(P3946="","",IF(AND(AD3946&lt;&gt;"",COUNTIFS(tcTipo,AD3946,tcLiq,"Sí")&gt;0),IF(OR(P3946="Gasto",P3946="Transferencia",P3946="Pago tarjeta"),-1,1)*S3946,0)+IF(AND(AE3946&lt;&gt;"",COUNTIFS(tcTipo,AE3946,tcLiq,"Sí")&gt;0),S3946,0))</f>
        <v/>
      </c>
      <c r="AI3946" s="52">
        <f>IF(OR(L3946="",P3946=""),"",IF(COUNTIFS(L$6:L3946,L3946,P$6:P3946,"?*")=1,MAX(AI$5:AI3945)+1,""))</f>
        <v/>
      </c>
    </row>
    <row r="3947">
      <c r="B3947" s="47" t="n"/>
      <c r="C3947" s="48" t="n"/>
      <c r="D3947" s="48" t="n"/>
      <c r="E3947" s="48" t="n"/>
      <c r="F3947" s="48" t="n"/>
      <c r="G3947" s="49" t="n"/>
      <c r="H3947" s="48" t="n"/>
      <c r="I3947" s="50" t="n"/>
      <c r="J3947" s="48" t="n"/>
      <c r="K3947" s="48" t="n"/>
      <c r="L3947" s="48" t="n"/>
      <c r="M3947" s="48" t="n"/>
      <c r="N3947" s="48" t="n"/>
      <c r="O3947" s="51">
        <f>IF(AND(B3947="",G3947="",C3947="",D3947="",J3947=""),"",IF(B3947="","⚠ Falta fecha",IF(G3947="","⚠ Falta monto",IF(Q3947="","⚠ Falta cuenta",IF(ISNA(MATCH(Q3947,ctaNombre,0)),"⚠ Cuenta no registrada",IF(AND(OR(P3947="Gasto",P3947="Reembolso"),D3947=""),"⚠ Falta categoría",IF(AND(D3947&lt;&gt;"",E3947&lt;&gt;"",ISNA(MATCH(D3947&amp;"|"&amp;E3947,catClave,0))),"⚠ Subcategoría no corresponde",IF(AND(OR(P3947="Transferencia",P3947="Pago tarjeta"),K3947=""),"⚠ Falta cuenta destino",IF(AND(K3947&lt;&gt;"",P3947&lt;&gt;"Transferencia",P3947&lt;&gt;"Pago tarjeta"),"⚠ Destino solo aplica a transferencias",IF(AND(K3947&lt;&gt;"",K3947=Q3947),"⚠ Origen igual a destino",IF(AND(K3947&lt;&gt;"",ISNA(MATCH(K3947,ctaNombre,0))),"⚠ Destino no registrado",IF(AND(P3947="Pago tarjeta",AE3947&lt;&gt;"Tarjeta de crédito"),"⚠ El destino debe ser tarjeta de crédito",IF(AND(P3947="Gasto",E3947="Depósitos y retiros"),"⚠ Usa tipo Transferencia",IF(AND(P3947="Resultado trading",AD3947&lt;&gt;"Cuenta de trading"),"⚠ Usa una cuenta de trading",IF(AND(G3947&lt;=0,P3947&lt;&gt;"Ajuste",P3947&lt;&gt;"Resultado trading"),"⚠ El monto debe ser positivo","✓")))))))))))))))</f>
        <v/>
      </c>
      <c r="P3947" s="52">
        <f>IF(OR(B3947="",G3947=""),"",IF(C3947="","Gasto",C3947))</f>
        <v/>
      </c>
      <c r="Q3947" s="52">
        <f>IF(P3947="","",IF(J3947&lt;&gt;"",J3947,CuentaPred&amp;""))</f>
        <v/>
      </c>
      <c r="R3947" s="52">
        <f>IF(P3947="","",IF(ISNUMBER(I3947),I3947,TasaUSD))</f>
        <v/>
      </c>
      <c r="S3947" s="53">
        <f>IF(P3947="","",IF(H3947="USD",G3947*R3947,G3947))</f>
        <v/>
      </c>
      <c r="T3947" s="53">
        <f>IF(P3947="","",IF(H3947="USD",G3947,IF(R3947&gt;0,G3947/R3947,0)))</f>
        <v/>
      </c>
      <c r="U3947" s="53">
        <f>IF(P3947="","",IF(P3947="Gasto",S3947,IF(P3947="Reembolso",-S3947,0)))</f>
        <v/>
      </c>
      <c r="V3947" s="53">
        <f>IF(P3947="","",IF(P3947="Ingreso",S3947,0))</f>
        <v/>
      </c>
      <c r="W3947" s="53">
        <f>IF(P3947="","",IF(P3947="Resultado trading",S3947,0))</f>
        <v/>
      </c>
      <c r="X3947" s="52">
        <f>IF(OR(P3947="Gasto",P3947="Reembolso"),IF(M3947&lt;&gt;"",M3947,IFERROR(INDEX(catClasif,MATCH(D3947&amp;"|"&amp;E3947,catClave,0))&amp;"","Variable")),"")</f>
        <v/>
      </c>
      <c r="Y3947" s="52">
        <f>IF(P3947="","",IFERROR(INDEX(catGrupo,MATCH(D3947&amp;"|"&amp;E3947,catClave,0))&amp;"",""))</f>
        <v/>
      </c>
      <c r="Z3947" s="52">
        <f>IF(P3947="","",WEEKDAY(B3947,2))</f>
        <v/>
      </c>
      <c r="AA3947" s="52">
        <f>IF(P3947="","",IF(AND(P3947="Gasto",X3947="Variable",D3947&lt;&gt;catTrading,S3947&gt;0,S3947&lt;=Umbral),1,0))</f>
        <v/>
      </c>
      <c r="AB3947" s="52">
        <f>IF(OR(P3947="",Q3947=""),"",IFERROR(IF(INDEX(ctaVinc,MATCH(Q3947,ctaNombre,0))&amp;""&lt;&gt;"",INDEX(ctaVinc,MATCH(Q3947,ctaNombre,0))&amp;"",Q3947),Q3947))</f>
        <v/>
      </c>
      <c r="AC3947" s="52">
        <f>IF(OR(K3947="",AND(P3947&lt;&gt;"Transferencia",P3947&lt;&gt;"Pago tarjeta")),"",IFERROR(IF(INDEX(ctaVinc,MATCH(K3947,ctaNombre,0))&amp;""&lt;&gt;"",INDEX(ctaVinc,MATCH(K3947,ctaNombre,0))&amp;"",K3947),K3947))</f>
        <v/>
      </c>
      <c r="AD3947" s="52">
        <f>IF(AB3947="","",IFERROR(INDEX(ctaTipo,MATCH(AB3947,ctaNombre,0))&amp;"",""))</f>
        <v/>
      </c>
      <c r="AE3947" s="52">
        <f>IF(AC3947="","",IFERROR(INDEX(ctaTipo,MATCH(AC3947,ctaNombre,0))&amp;"",""))</f>
        <v/>
      </c>
      <c r="AF3947" s="53">
        <f>IF(OR(P3947="",AB3947=""),"",IF(OR(P3947="Gasto",P3947="Transferencia",P3947="Pago tarjeta"),-1,1)*IF(IFERROR(INDEX(ctaMoneda,MATCH(AB3947,ctaNombre,0))&amp;"","DOP")="USD",T3947,S3947))</f>
        <v/>
      </c>
      <c r="AG3947" s="53">
        <f>IF(AC3947="","",IF(IFERROR(INDEX(ctaMoneda,MATCH(AC3947,ctaNombre,0))&amp;"","DOP")="USD",T3947,S3947))</f>
        <v/>
      </c>
      <c r="AH3947" s="53">
        <f>IF(P3947="","",IF(AND(AD3947&lt;&gt;"",COUNTIFS(tcTipo,AD3947,tcLiq,"Sí")&gt;0),IF(OR(P3947="Gasto",P3947="Transferencia",P3947="Pago tarjeta"),-1,1)*S3947,0)+IF(AND(AE3947&lt;&gt;"",COUNTIFS(tcTipo,AE3947,tcLiq,"Sí")&gt;0),S3947,0))</f>
        <v/>
      </c>
      <c r="AI3947" s="52">
        <f>IF(OR(L3947="",P3947=""),"",IF(COUNTIFS(L$6:L3947,L3947,P$6:P3947,"?*")=1,MAX(AI$5:AI3946)+1,""))</f>
        <v/>
      </c>
    </row>
    <row r="3948">
      <c r="B3948" s="47" t="n"/>
      <c r="C3948" s="48" t="n"/>
      <c r="D3948" s="48" t="n"/>
      <c r="E3948" s="48" t="n"/>
      <c r="F3948" s="48" t="n"/>
      <c r="G3948" s="49" t="n"/>
      <c r="H3948" s="48" t="n"/>
      <c r="I3948" s="50" t="n"/>
      <c r="J3948" s="48" t="n"/>
      <c r="K3948" s="48" t="n"/>
      <c r="L3948" s="48" t="n"/>
      <c r="M3948" s="48" t="n"/>
      <c r="N3948" s="48" t="n"/>
      <c r="O3948" s="51">
        <f>IF(AND(B3948="",G3948="",C3948="",D3948="",J3948=""),"",IF(B3948="","⚠ Falta fecha",IF(G3948="","⚠ Falta monto",IF(Q3948="","⚠ Falta cuenta",IF(ISNA(MATCH(Q3948,ctaNombre,0)),"⚠ Cuenta no registrada",IF(AND(OR(P3948="Gasto",P3948="Reembolso"),D3948=""),"⚠ Falta categoría",IF(AND(D3948&lt;&gt;"",E3948&lt;&gt;"",ISNA(MATCH(D3948&amp;"|"&amp;E3948,catClave,0))),"⚠ Subcategoría no corresponde",IF(AND(OR(P3948="Transferencia",P3948="Pago tarjeta"),K3948=""),"⚠ Falta cuenta destino",IF(AND(K3948&lt;&gt;"",P3948&lt;&gt;"Transferencia",P3948&lt;&gt;"Pago tarjeta"),"⚠ Destino solo aplica a transferencias",IF(AND(K3948&lt;&gt;"",K3948=Q3948),"⚠ Origen igual a destino",IF(AND(K3948&lt;&gt;"",ISNA(MATCH(K3948,ctaNombre,0))),"⚠ Destino no registrado",IF(AND(P3948="Pago tarjeta",AE3948&lt;&gt;"Tarjeta de crédito"),"⚠ El destino debe ser tarjeta de crédito",IF(AND(P3948="Gasto",E3948="Depósitos y retiros"),"⚠ Usa tipo Transferencia",IF(AND(P3948="Resultado trading",AD3948&lt;&gt;"Cuenta de trading"),"⚠ Usa una cuenta de trading",IF(AND(G3948&lt;=0,P3948&lt;&gt;"Ajuste",P3948&lt;&gt;"Resultado trading"),"⚠ El monto debe ser positivo","✓")))))))))))))))</f>
        <v/>
      </c>
      <c r="P3948" s="52">
        <f>IF(OR(B3948="",G3948=""),"",IF(C3948="","Gasto",C3948))</f>
        <v/>
      </c>
      <c r="Q3948" s="52">
        <f>IF(P3948="","",IF(J3948&lt;&gt;"",J3948,CuentaPred&amp;""))</f>
        <v/>
      </c>
      <c r="R3948" s="52">
        <f>IF(P3948="","",IF(ISNUMBER(I3948),I3948,TasaUSD))</f>
        <v/>
      </c>
      <c r="S3948" s="53">
        <f>IF(P3948="","",IF(H3948="USD",G3948*R3948,G3948))</f>
        <v/>
      </c>
      <c r="T3948" s="53">
        <f>IF(P3948="","",IF(H3948="USD",G3948,IF(R3948&gt;0,G3948/R3948,0)))</f>
        <v/>
      </c>
      <c r="U3948" s="53">
        <f>IF(P3948="","",IF(P3948="Gasto",S3948,IF(P3948="Reembolso",-S3948,0)))</f>
        <v/>
      </c>
      <c r="V3948" s="53">
        <f>IF(P3948="","",IF(P3948="Ingreso",S3948,0))</f>
        <v/>
      </c>
      <c r="W3948" s="53">
        <f>IF(P3948="","",IF(P3948="Resultado trading",S3948,0))</f>
        <v/>
      </c>
      <c r="X3948" s="52">
        <f>IF(OR(P3948="Gasto",P3948="Reembolso"),IF(M3948&lt;&gt;"",M3948,IFERROR(INDEX(catClasif,MATCH(D3948&amp;"|"&amp;E3948,catClave,0))&amp;"","Variable")),"")</f>
        <v/>
      </c>
      <c r="Y3948" s="52">
        <f>IF(P3948="","",IFERROR(INDEX(catGrupo,MATCH(D3948&amp;"|"&amp;E3948,catClave,0))&amp;"",""))</f>
        <v/>
      </c>
      <c r="Z3948" s="52">
        <f>IF(P3948="","",WEEKDAY(B3948,2))</f>
        <v/>
      </c>
      <c r="AA3948" s="52">
        <f>IF(P3948="","",IF(AND(P3948="Gasto",X3948="Variable",D3948&lt;&gt;catTrading,S3948&gt;0,S3948&lt;=Umbral),1,0))</f>
        <v/>
      </c>
      <c r="AB3948" s="52">
        <f>IF(OR(P3948="",Q3948=""),"",IFERROR(IF(INDEX(ctaVinc,MATCH(Q3948,ctaNombre,0))&amp;""&lt;&gt;"",INDEX(ctaVinc,MATCH(Q3948,ctaNombre,0))&amp;"",Q3948),Q3948))</f>
        <v/>
      </c>
      <c r="AC3948" s="52">
        <f>IF(OR(K3948="",AND(P3948&lt;&gt;"Transferencia",P3948&lt;&gt;"Pago tarjeta")),"",IFERROR(IF(INDEX(ctaVinc,MATCH(K3948,ctaNombre,0))&amp;""&lt;&gt;"",INDEX(ctaVinc,MATCH(K3948,ctaNombre,0))&amp;"",K3948),K3948))</f>
        <v/>
      </c>
      <c r="AD3948" s="52">
        <f>IF(AB3948="","",IFERROR(INDEX(ctaTipo,MATCH(AB3948,ctaNombre,0))&amp;"",""))</f>
        <v/>
      </c>
      <c r="AE3948" s="52">
        <f>IF(AC3948="","",IFERROR(INDEX(ctaTipo,MATCH(AC3948,ctaNombre,0))&amp;"",""))</f>
        <v/>
      </c>
      <c r="AF3948" s="53">
        <f>IF(OR(P3948="",AB3948=""),"",IF(OR(P3948="Gasto",P3948="Transferencia",P3948="Pago tarjeta"),-1,1)*IF(IFERROR(INDEX(ctaMoneda,MATCH(AB3948,ctaNombre,0))&amp;"","DOP")="USD",T3948,S3948))</f>
        <v/>
      </c>
      <c r="AG3948" s="53">
        <f>IF(AC3948="","",IF(IFERROR(INDEX(ctaMoneda,MATCH(AC3948,ctaNombre,0))&amp;"","DOP")="USD",T3948,S3948))</f>
        <v/>
      </c>
      <c r="AH3948" s="53">
        <f>IF(P3948="","",IF(AND(AD3948&lt;&gt;"",COUNTIFS(tcTipo,AD3948,tcLiq,"Sí")&gt;0),IF(OR(P3948="Gasto",P3948="Transferencia",P3948="Pago tarjeta"),-1,1)*S3948,0)+IF(AND(AE3948&lt;&gt;"",COUNTIFS(tcTipo,AE3948,tcLiq,"Sí")&gt;0),S3948,0))</f>
        <v/>
      </c>
      <c r="AI3948" s="52">
        <f>IF(OR(L3948="",P3948=""),"",IF(COUNTIFS(L$6:L3948,L3948,P$6:P3948,"?*")=1,MAX(AI$5:AI3947)+1,""))</f>
        <v/>
      </c>
    </row>
    <row r="3949">
      <c r="B3949" s="47" t="n"/>
      <c r="C3949" s="48" t="n"/>
      <c r="D3949" s="48" t="n"/>
      <c r="E3949" s="48" t="n"/>
      <c r="F3949" s="48" t="n"/>
      <c r="G3949" s="49" t="n"/>
      <c r="H3949" s="48" t="n"/>
      <c r="I3949" s="50" t="n"/>
      <c r="J3949" s="48" t="n"/>
      <c r="K3949" s="48" t="n"/>
      <c r="L3949" s="48" t="n"/>
      <c r="M3949" s="48" t="n"/>
      <c r="N3949" s="48" t="n"/>
      <c r="O3949" s="51">
        <f>IF(AND(B3949="",G3949="",C3949="",D3949="",J3949=""),"",IF(B3949="","⚠ Falta fecha",IF(G3949="","⚠ Falta monto",IF(Q3949="","⚠ Falta cuenta",IF(ISNA(MATCH(Q3949,ctaNombre,0)),"⚠ Cuenta no registrada",IF(AND(OR(P3949="Gasto",P3949="Reembolso"),D3949=""),"⚠ Falta categoría",IF(AND(D3949&lt;&gt;"",E3949&lt;&gt;"",ISNA(MATCH(D3949&amp;"|"&amp;E3949,catClave,0))),"⚠ Subcategoría no corresponde",IF(AND(OR(P3949="Transferencia",P3949="Pago tarjeta"),K3949=""),"⚠ Falta cuenta destino",IF(AND(K3949&lt;&gt;"",P3949&lt;&gt;"Transferencia",P3949&lt;&gt;"Pago tarjeta"),"⚠ Destino solo aplica a transferencias",IF(AND(K3949&lt;&gt;"",K3949=Q3949),"⚠ Origen igual a destino",IF(AND(K3949&lt;&gt;"",ISNA(MATCH(K3949,ctaNombre,0))),"⚠ Destino no registrado",IF(AND(P3949="Pago tarjeta",AE3949&lt;&gt;"Tarjeta de crédito"),"⚠ El destino debe ser tarjeta de crédito",IF(AND(P3949="Gasto",E3949="Depósitos y retiros"),"⚠ Usa tipo Transferencia",IF(AND(P3949="Resultado trading",AD3949&lt;&gt;"Cuenta de trading"),"⚠ Usa una cuenta de trading",IF(AND(G3949&lt;=0,P3949&lt;&gt;"Ajuste",P3949&lt;&gt;"Resultado trading"),"⚠ El monto debe ser positivo","✓")))))))))))))))</f>
        <v/>
      </c>
      <c r="P3949" s="52">
        <f>IF(OR(B3949="",G3949=""),"",IF(C3949="","Gasto",C3949))</f>
        <v/>
      </c>
      <c r="Q3949" s="52">
        <f>IF(P3949="","",IF(J3949&lt;&gt;"",J3949,CuentaPred&amp;""))</f>
        <v/>
      </c>
      <c r="R3949" s="52">
        <f>IF(P3949="","",IF(ISNUMBER(I3949),I3949,TasaUSD))</f>
        <v/>
      </c>
      <c r="S3949" s="53">
        <f>IF(P3949="","",IF(H3949="USD",G3949*R3949,G3949))</f>
        <v/>
      </c>
      <c r="T3949" s="53">
        <f>IF(P3949="","",IF(H3949="USD",G3949,IF(R3949&gt;0,G3949/R3949,0)))</f>
        <v/>
      </c>
      <c r="U3949" s="53">
        <f>IF(P3949="","",IF(P3949="Gasto",S3949,IF(P3949="Reembolso",-S3949,0)))</f>
        <v/>
      </c>
      <c r="V3949" s="53">
        <f>IF(P3949="","",IF(P3949="Ingreso",S3949,0))</f>
        <v/>
      </c>
      <c r="W3949" s="53">
        <f>IF(P3949="","",IF(P3949="Resultado trading",S3949,0))</f>
        <v/>
      </c>
      <c r="X3949" s="52">
        <f>IF(OR(P3949="Gasto",P3949="Reembolso"),IF(M3949&lt;&gt;"",M3949,IFERROR(INDEX(catClasif,MATCH(D3949&amp;"|"&amp;E3949,catClave,0))&amp;"","Variable")),"")</f>
        <v/>
      </c>
      <c r="Y3949" s="52">
        <f>IF(P3949="","",IFERROR(INDEX(catGrupo,MATCH(D3949&amp;"|"&amp;E3949,catClave,0))&amp;"",""))</f>
        <v/>
      </c>
      <c r="Z3949" s="52">
        <f>IF(P3949="","",WEEKDAY(B3949,2))</f>
        <v/>
      </c>
      <c r="AA3949" s="52">
        <f>IF(P3949="","",IF(AND(P3949="Gasto",X3949="Variable",D3949&lt;&gt;catTrading,S3949&gt;0,S3949&lt;=Umbral),1,0))</f>
        <v/>
      </c>
      <c r="AB3949" s="52">
        <f>IF(OR(P3949="",Q3949=""),"",IFERROR(IF(INDEX(ctaVinc,MATCH(Q3949,ctaNombre,0))&amp;""&lt;&gt;"",INDEX(ctaVinc,MATCH(Q3949,ctaNombre,0))&amp;"",Q3949),Q3949))</f>
        <v/>
      </c>
      <c r="AC3949" s="52">
        <f>IF(OR(K3949="",AND(P3949&lt;&gt;"Transferencia",P3949&lt;&gt;"Pago tarjeta")),"",IFERROR(IF(INDEX(ctaVinc,MATCH(K3949,ctaNombre,0))&amp;""&lt;&gt;"",INDEX(ctaVinc,MATCH(K3949,ctaNombre,0))&amp;"",K3949),K3949))</f>
        <v/>
      </c>
      <c r="AD3949" s="52">
        <f>IF(AB3949="","",IFERROR(INDEX(ctaTipo,MATCH(AB3949,ctaNombre,0))&amp;"",""))</f>
        <v/>
      </c>
      <c r="AE3949" s="52">
        <f>IF(AC3949="","",IFERROR(INDEX(ctaTipo,MATCH(AC3949,ctaNombre,0))&amp;"",""))</f>
        <v/>
      </c>
      <c r="AF3949" s="53">
        <f>IF(OR(P3949="",AB3949=""),"",IF(OR(P3949="Gasto",P3949="Transferencia",P3949="Pago tarjeta"),-1,1)*IF(IFERROR(INDEX(ctaMoneda,MATCH(AB3949,ctaNombre,0))&amp;"","DOP")="USD",T3949,S3949))</f>
        <v/>
      </c>
      <c r="AG3949" s="53">
        <f>IF(AC3949="","",IF(IFERROR(INDEX(ctaMoneda,MATCH(AC3949,ctaNombre,0))&amp;"","DOP")="USD",T3949,S3949))</f>
        <v/>
      </c>
      <c r="AH3949" s="53">
        <f>IF(P3949="","",IF(AND(AD3949&lt;&gt;"",COUNTIFS(tcTipo,AD3949,tcLiq,"Sí")&gt;0),IF(OR(P3949="Gasto",P3949="Transferencia",P3949="Pago tarjeta"),-1,1)*S3949,0)+IF(AND(AE3949&lt;&gt;"",COUNTIFS(tcTipo,AE3949,tcLiq,"Sí")&gt;0),S3949,0))</f>
        <v/>
      </c>
      <c r="AI3949" s="52">
        <f>IF(OR(L3949="",P3949=""),"",IF(COUNTIFS(L$6:L3949,L3949,P$6:P3949,"?*")=1,MAX(AI$5:AI3948)+1,""))</f>
        <v/>
      </c>
    </row>
    <row r="3950">
      <c r="B3950" s="47" t="n"/>
      <c r="C3950" s="48" t="n"/>
      <c r="D3950" s="48" t="n"/>
      <c r="E3950" s="48" t="n"/>
      <c r="F3950" s="48" t="n"/>
      <c r="G3950" s="49" t="n"/>
      <c r="H3950" s="48" t="n"/>
      <c r="I3950" s="50" t="n"/>
      <c r="J3950" s="48" t="n"/>
      <c r="K3950" s="48" t="n"/>
      <c r="L3950" s="48" t="n"/>
      <c r="M3950" s="48" t="n"/>
      <c r="N3950" s="48" t="n"/>
      <c r="O3950" s="51">
        <f>IF(AND(B3950="",G3950="",C3950="",D3950="",J3950=""),"",IF(B3950="","⚠ Falta fecha",IF(G3950="","⚠ Falta monto",IF(Q3950="","⚠ Falta cuenta",IF(ISNA(MATCH(Q3950,ctaNombre,0)),"⚠ Cuenta no registrada",IF(AND(OR(P3950="Gasto",P3950="Reembolso"),D3950=""),"⚠ Falta categoría",IF(AND(D3950&lt;&gt;"",E3950&lt;&gt;"",ISNA(MATCH(D3950&amp;"|"&amp;E3950,catClave,0))),"⚠ Subcategoría no corresponde",IF(AND(OR(P3950="Transferencia",P3950="Pago tarjeta"),K3950=""),"⚠ Falta cuenta destino",IF(AND(K3950&lt;&gt;"",P3950&lt;&gt;"Transferencia",P3950&lt;&gt;"Pago tarjeta"),"⚠ Destino solo aplica a transferencias",IF(AND(K3950&lt;&gt;"",K3950=Q3950),"⚠ Origen igual a destino",IF(AND(K3950&lt;&gt;"",ISNA(MATCH(K3950,ctaNombre,0))),"⚠ Destino no registrado",IF(AND(P3950="Pago tarjeta",AE3950&lt;&gt;"Tarjeta de crédito"),"⚠ El destino debe ser tarjeta de crédito",IF(AND(P3950="Gasto",E3950="Depósitos y retiros"),"⚠ Usa tipo Transferencia",IF(AND(P3950="Resultado trading",AD3950&lt;&gt;"Cuenta de trading"),"⚠ Usa una cuenta de trading",IF(AND(G3950&lt;=0,P3950&lt;&gt;"Ajuste",P3950&lt;&gt;"Resultado trading"),"⚠ El monto debe ser positivo","✓")))))))))))))))</f>
        <v/>
      </c>
      <c r="P3950" s="52">
        <f>IF(OR(B3950="",G3950=""),"",IF(C3950="","Gasto",C3950))</f>
        <v/>
      </c>
      <c r="Q3950" s="52">
        <f>IF(P3950="","",IF(J3950&lt;&gt;"",J3950,CuentaPred&amp;""))</f>
        <v/>
      </c>
      <c r="R3950" s="52">
        <f>IF(P3950="","",IF(ISNUMBER(I3950),I3950,TasaUSD))</f>
        <v/>
      </c>
      <c r="S3950" s="53">
        <f>IF(P3950="","",IF(H3950="USD",G3950*R3950,G3950))</f>
        <v/>
      </c>
      <c r="T3950" s="53">
        <f>IF(P3950="","",IF(H3950="USD",G3950,IF(R3950&gt;0,G3950/R3950,0)))</f>
        <v/>
      </c>
      <c r="U3950" s="53">
        <f>IF(P3950="","",IF(P3950="Gasto",S3950,IF(P3950="Reembolso",-S3950,0)))</f>
        <v/>
      </c>
      <c r="V3950" s="53">
        <f>IF(P3950="","",IF(P3950="Ingreso",S3950,0))</f>
        <v/>
      </c>
      <c r="W3950" s="53">
        <f>IF(P3950="","",IF(P3950="Resultado trading",S3950,0))</f>
        <v/>
      </c>
      <c r="X3950" s="52">
        <f>IF(OR(P3950="Gasto",P3950="Reembolso"),IF(M3950&lt;&gt;"",M3950,IFERROR(INDEX(catClasif,MATCH(D3950&amp;"|"&amp;E3950,catClave,0))&amp;"","Variable")),"")</f>
        <v/>
      </c>
      <c r="Y3950" s="52">
        <f>IF(P3950="","",IFERROR(INDEX(catGrupo,MATCH(D3950&amp;"|"&amp;E3950,catClave,0))&amp;"",""))</f>
        <v/>
      </c>
      <c r="Z3950" s="52">
        <f>IF(P3950="","",WEEKDAY(B3950,2))</f>
        <v/>
      </c>
      <c r="AA3950" s="52">
        <f>IF(P3950="","",IF(AND(P3950="Gasto",X3950="Variable",D3950&lt;&gt;catTrading,S3950&gt;0,S3950&lt;=Umbral),1,0))</f>
        <v/>
      </c>
      <c r="AB3950" s="52">
        <f>IF(OR(P3950="",Q3950=""),"",IFERROR(IF(INDEX(ctaVinc,MATCH(Q3950,ctaNombre,0))&amp;""&lt;&gt;"",INDEX(ctaVinc,MATCH(Q3950,ctaNombre,0))&amp;"",Q3950),Q3950))</f>
        <v/>
      </c>
      <c r="AC3950" s="52">
        <f>IF(OR(K3950="",AND(P3950&lt;&gt;"Transferencia",P3950&lt;&gt;"Pago tarjeta")),"",IFERROR(IF(INDEX(ctaVinc,MATCH(K3950,ctaNombre,0))&amp;""&lt;&gt;"",INDEX(ctaVinc,MATCH(K3950,ctaNombre,0))&amp;"",K3950),K3950))</f>
        <v/>
      </c>
      <c r="AD3950" s="52">
        <f>IF(AB3950="","",IFERROR(INDEX(ctaTipo,MATCH(AB3950,ctaNombre,0))&amp;"",""))</f>
        <v/>
      </c>
      <c r="AE3950" s="52">
        <f>IF(AC3950="","",IFERROR(INDEX(ctaTipo,MATCH(AC3950,ctaNombre,0))&amp;"",""))</f>
        <v/>
      </c>
      <c r="AF3950" s="53">
        <f>IF(OR(P3950="",AB3950=""),"",IF(OR(P3950="Gasto",P3950="Transferencia",P3950="Pago tarjeta"),-1,1)*IF(IFERROR(INDEX(ctaMoneda,MATCH(AB3950,ctaNombre,0))&amp;"","DOP")="USD",T3950,S3950))</f>
        <v/>
      </c>
      <c r="AG3950" s="53">
        <f>IF(AC3950="","",IF(IFERROR(INDEX(ctaMoneda,MATCH(AC3950,ctaNombre,0))&amp;"","DOP")="USD",T3950,S3950))</f>
        <v/>
      </c>
      <c r="AH3950" s="53">
        <f>IF(P3950="","",IF(AND(AD3950&lt;&gt;"",COUNTIFS(tcTipo,AD3950,tcLiq,"Sí")&gt;0),IF(OR(P3950="Gasto",P3950="Transferencia",P3950="Pago tarjeta"),-1,1)*S3950,0)+IF(AND(AE3950&lt;&gt;"",COUNTIFS(tcTipo,AE3950,tcLiq,"Sí")&gt;0),S3950,0))</f>
        <v/>
      </c>
      <c r="AI3950" s="52">
        <f>IF(OR(L3950="",P3950=""),"",IF(COUNTIFS(L$6:L3950,L3950,P$6:P3950,"?*")=1,MAX(AI$5:AI3949)+1,""))</f>
        <v/>
      </c>
    </row>
    <row r="3951">
      <c r="B3951" s="47" t="n"/>
      <c r="C3951" s="48" t="n"/>
      <c r="D3951" s="48" t="n"/>
      <c r="E3951" s="48" t="n"/>
      <c r="F3951" s="48" t="n"/>
      <c r="G3951" s="49" t="n"/>
      <c r="H3951" s="48" t="n"/>
      <c r="I3951" s="50" t="n"/>
      <c r="J3951" s="48" t="n"/>
      <c r="K3951" s="48" t="n"/>
      <c r="L3951" s="48" t="n"/>
      <c r="M3951" s="48" t="n"/>
      <c r="N3951" s="48" t="n"/>
      <c r="O3951" s="51">
        <f>IF(AND(B3951="",G3951="",C3951="",D3951="",J3951=""),"",IF(B3951="","⚠ Falta fecha",IF(G3951="","⚠ Falta monto",IF(Q3951="","⚠ Falta cuenta",IF(ISNA(MATCH(Q3951,ctaNombre,0)),"⚠ Cuenta no registrada",IF(AND(OR(P3951="Gasto",P3951="Reembolso"),D3951=""),"⚠ Falta categoría",IF(AND(D3951&lt;&gt;"",E3951&lt;&gt;"",ISNA(MATCH(D3951&amp;"|"&amp;E3951,catClave,0))),"⚠ Subcategoría no corresponde",IF(AND(OR(P3951="Transferencia",P3951="Pago tarjeta"),K3951=""),"⚠ Falta cuenta destino",IF(AND(K3951&lt;&gt;"",P3951&lt;&gt;"Transferencia",P3951&lt;&gt;"Pago tarjeta"),"⚠ Destino solo aplica a transferencias",IF(AND(K3951&lt;&gt;"",K3951=Q3951),"⚠ Origen igual a destino",IF(AND(K3951&lt;&gt;"",ISNA(MATCH(K3951,ctaNombre,0))),"⚠ Destino no registrado",IF(AND(P3951="Pago tarjeta",AE3951&lt;&gt;"Tarjeta de crédito"),"⚠ El destino debe ser tarjeta de crédito",IF(AND(P3951="Gasto",E3951="Depósitos y retiros"),"⚠ Usa tipo Transferencia",IF(AND(P3951="Resultado trading",AD3951&lt;&gt;"Cuenta de trading"),"⚠ Usa una cuenta de trading",IF(AND(G3951&lt;=0,P3951&lt;&gt;"Ajuste",P3951&lt;&gt;"Resultado trading"),"⚠ El monto debe ser positivo","✓")))))))))))))))</f>
        <v/>
      </c>
      <c r="P3951" s="52">
        <f>IF(OR(B3951="",G3951=""),"",IF(C3951="","Gasto",C3951))</f>
        <v/>
      </c>
      <c r="Q3951" s="52">
        <f>IF(P3951="","",IF(J3951&lt;&gt;"",J3951,CuentaPred&amp;""))</f>
        <v/>
      </c>
      <c r="R3951" s="52">
        <f>IF(P3951="","",IF(ISNUMBER(I3951),I3951,TasaUSD))</f>
        <v/>
      </c>
      <c r="S3951" s="53">
        <f>IF(P3951="","",IF(H3951="USD",G3951*R3951,G3951))</f>
        <v/>
      </c>
      <c r="T3951" s="53">
        <f>IF(P3951="","",IF(H3951="USD",G3951,IF(R3951&gt;0,G3951/R3951,0)))</f>
        <v/>
      </c>
      <c r="U3951" s="53">
        <f>IF(P3951="","",IF(P3951="Gasto",S3951,IF(P3951="Reembolso",-S3951,0)))</f>
        <v/>
      </c>
      <c r="V3951" s="53">
        <f>IF(P3951="","",IF(P3951="Ingreso",S3951,0))</f>
        <v/>
      </c>
      <c r="W3951" s="53">
        <f>IF(P3951="","",IF(P3951="Resultado trading",S3951,0))</f>
        <v/>
      </c>
      <c r="X3951" s="52">
        <f>IF(OR(P3951="Gasto",P3951="Reembolso"),IF(M3951&lt;&gt;"",M3951,IFERROR(INDEX(catClasif,MATCH(D3951&amp;"|"&amp;E3951,catClave,0))&amp;"","Variable")),"")</f>
        <v/>
      </c>
      <c r="Y3951" s="52">
        <f>IF(P3951="","",IFERROR(INDEX(catGrupo,MATCH(D3951&amp;"|"&amp;E3951,catClave,0))&amp;"",""))</f>
        <v/>
      </c>
      <c r="Z3951" s="52">
        <f>IF(P3951="","",WEEKDAY(B3951,2))</f>
        <v/>
      </c>
      <c r="AA3951" s="52">
        <f>IF(P3951="","",IF(AND(P3951="Gasto",X3951="Variable",D3951&lt;&gt;catTrading,S3951&gt;0,S3951&lt;=Umbral),1,0))</f>
        <v/>
      </c>
      <c r="AB3951" s="52">
        <f>IF(OR(P3951="",Q3951=""),"",IFERROR(IF(INDEX(ctaVinc,MATCH(Q3951,ctaNombre,0))&amp;""&lt;&gt;"",INDEX(ctaVinc,MATCH(Q3951,ctaNombre,0))&amp;"",Q3951),Q3951))</f>
        <v/>
      </c>
      <c r="AC3951" s="52">
        <f>IF(OR(K3951="",AND(P3951&lt;&gt;"Transferencia",P3951&lt;&gt;"Pago tarjeta")),"",IFERROR(IF(INDEX(ctaVinc,MATCH(K3951,ctaNombre,0))&amp;""&lt;&gt;"",INDEX(ctaVinc,MATCH(K3951,ctaNombre,0))&amp;"",K3951),K3951))</f>
        <v/>
      </c>
      <c r="AD3951" s="52">
        <f>IF(AB3951="","",IFERROR(INDEX(ctaTipo,MATCH(AB3951,ctaNombre,0))&amp;"",""))</f>
        <v/>
      </c>
      <c r="AE3951" s="52">
        <f>IF(AC3951="","",IFERROR(INDEX(ctaTipo,MATCH(AC3951,ctaNombre,0))&amp;"",""))</f>
        <v/>
      </c>
      <c r="AF3951" s="53">
        <f>IF(OR(P3951="",AB3951=""),"",IF(OR(P3951="Gasto",P3951="Transferencia",P3951="Pago tarjeta"),-1,1)*IF(IFERROR(INDEX(ctaMoneda,MATCH(AB3951,ctaNombre,0))&amp;"","DOP")="USD",T3951,S3951))</f>
        <v/>
      </c>
      <c r="AG3951" s="53">
        <f>IF(AC3951="","",IF(IFERROR(INDEX(ctaMoneda,MATCH(AC3951,ctaNombre,0))&amp;"","DOP")="USD",T3951,S3951))</f>
        <v/>
      </c>
      <c r="AH3951" s="53">
        <f>IF(P3951="","",IF(AND(AD3951&lt;&gt;"",COUNTIFS(tcTipo,AD3951,tcLiq,"Sí")&gt;0),IF(OR(P3951="Gasto",P3951="Transferencia",P3951="Pago tarjeta"),-1,1)*S3951,0)+IF(AND(AE3951&lt;&gt;"",COUNTIFS(tcTipo,AE3951,tcLiq,"Sí")&gt;0),S3951,0))</f>
        <v/>
      </c>
      <c r="AI3951" s="52">
        <f>IF(OR(L3951="",P3951=""),"",IF(COUNTIFS(L$6:L3951,L3951,P$6:P3951,"?*")=1,MAX(AI$5:AI3950)+1,""))</f>
        <v/>
      </c>
    </row>
    <row r="3952">
      <c r="B3952" s="47" t="n"/>
      <c r="C3952" s="48" t="n"/>
      <c r="D3952" s="48" t="n"/>
      <c r="E3952" s="48" t="n"/>
      <c r="F3952" s="48" t="n"/>
      <c r="G3952" s="49" t="n"/>
      <c r="H3952" s="48" t="n"/>
      <c r="I3952" s="50" t="n"/>
      <c r="J3952" s="48" t="n"/>
      <c r="K3952" s="48" t="n"/>
      <c r="L3952" s="48" t="n"/>
      <c r="M3952" s="48" t="n"/>
      <c r="N3952" s="48" t="n"/>
      <c r="O3952" s="51">
        <f>IF(AND(B3952="",G3952="",C3952="",D3952="",J3952=""),"",IF(B3952="","⚠ Falta fecha",IF(G3952="","⚠ Falta monto",IF(Q3952="","⚠ Falta cuenta",IF(ISNA(MATCH(Q3952,ctaNombre,0)),"⚠ Cuenta no registrada",IF(AND(OR(P3952="Gasto",P3952="Reembolso"),D3952=""),"⚠ Falta categoría",IF(AND(D3952&lt;&gt;"",E3952&lt;&gt;"",ISNA(MATCH(D3952&amp;"|"&amp;E3952,catClave,0))),"⚠ Subcategoría no corresponde",IF(AND(OR(P3952="Transferencia",P3952="Pago tarjeta"),K3952=""),"⚠ Falta cuenta destino",IF(AND(K3952&lt;&gt;"",P3952&lt;&gt;"Transferencia",P3952&lt;&gt;"Pago tarjeta"),"⚠ Destino solo aplica a transferencias",IF(AND(K3952&lt;&gt;"",K3952=Q3952),"⚠ Origen igual a destino",IF(AND(K3952&lt;&gt;"",ISNA(MATCH(K3952,ctaNombre,0))),"⚠ Destino no registrado",IF(AND(P3952="Pago tarjeta",AE3952&lt;&gt;"Tarjeta de crédito"),"⚠ El destino debe ser tarjeta de crédito",IF(AND(P3952="Gasto",E3952="Depósitos y retiros"),"⚠ Usa tipo Transferencia",IF(AND(P3952="Resultado trading",AD3952&lt;&gt;"Cuenta de trading"),"⚠ Usa una cuenta de trading",IF(AND(G3952&lt;=0,P3952&lt;&gt;"Ajuste",P3952&lt;&gt;"Resultado trading"),"⚠ El monto debe ser positivo","✓")))))))))))))))</f>
        <v/>
      </c>
      <c r="P3952" s="52">
        <f>IF(OR(B3952="",G3952=""),"",IF(C3952="","Gasto",C3952))</f>
        <v/>
      </c>
      <c r="Q3952" s="52">
        <f>IF(P3952="","",IF(J3952&lt;&gt;"",J3952,CuentaPred&amp;""))</f>
        <v/>
      </c>
      <c r="R3952" s="52">
        <f>IF(P3952="","",IF(ISNUMBER(I3952),I3952,TasaUSD))</f>
        <v/>
      </c>
      <c r="S3952" s="53">
        <f>IF(P3952="","",IF(H3952="USD",G3952*R3952,G3952))</f>
        <v/>
      </c>
      <c r="T3952" s="53">
        <f>IF(P3952="","",IF(H3952="USD",G3952,IF(R3952&gt;0,G3952/R3952,0)))</f>
        <v/>
      </c>
      <c r="U3952" s="53">
        <f>IF(P3952="","",IF(P3952="Gasto",S3952,IF(P3952="Reembolso",-S3952,0)))</f>
        <v/>
      </c>
      <c r="V3952" s="53">
        <f>IF(P3952="","",IF(P3952="Ingreso",S3952,0))</f>
        <v/>
      </c>
      <c r="W3952" s="53">
        <f>IF(P3952="","",IF(P3952="Resultado trading",S3952,0))</f>
        <v/>
      </c>
      <c r="X3952" s="52">
        <f>IF(OR(P3952="Gasto",P3952="Reembolso"),IF(M3952&lt;&gt;"",M3952,IFERROR(INDEX(catClasif,MATCH(D3952&amp;"|"&amp;E3952,catClave,0))&amp;"","Variable")),"")</f>
        <v/>
      </c>
      <c r="Y3952" s="52">
        <f>IF(P3952="","",IFERROR(INDEX(catGrupo,MATCH(D3952&amp;"|"&amp;E3952,catClave,0))&amp;"",""))</f>
        <v/>
      </c>
      <c r="Z3952" s="52">
        <f>IF(P3952="","",WEEKDAY(B3952,2))</f>
        <v/>
      </c>
      <c r="AA3952" s="52">
        <f>IF(P3952="","",IF(AND(P3952="Gasto",X3952="Variable",D3952&lt;&gt;catTrading,S3952&gt;0,S3952&lt;=Umbral),1,0))</f>
        <v/>
      </c>
      <c r="AB3952" s="52">
        <f>IF(OR(P3952="",Q3952=""),"",IFERROR(IF(INDEX(ctaVinc,MATCH(Q3952,ctaNombre,0))&amp;""&lt;&gt;"",INDEX(ctaVinc,MATCH(Q3952,ctaNombre,0))&amp;"",Q3952),Q3952))</f>
        <v/>
      </c>
      <c r="AC3952" s="52">
        <f>IF(OR(K3952="",AND(P3952&lt;&gt;"Transferencia",P3952&lt;&gt;"Pago tarjeta")),"",IFERROR(IF(INDEX(ctaVinc,MATCH(K3952,ctaNombre,0))&amp;""&lt;&gt;"",INDEX(ctaVinc,MATCH(K3952,ctaNombre,0))&amp;"",K3952),K3952))</f>
        <v/>
      </c>
      <c r="AD3952" s="52">
        <f>IF(AB3952="","",IFERROR(INDEX(ctaTipo,MATCH(AB3952,ctaNombre,0))&amp;"",""))</f>
        <v/>
      </c>
      <c r="AE3952" s="52">
        <f>IF(AC3952="","",IFERROR(INDEX(ctaTipo,MATCH(AC3952,ctaNombre,0))&amp;"",""))</f>
        <v/>
      </c>
      <c r="AF3952" s="53">
        <f>IF(OR(P3952="",AB3952=""),"",IF(OR(P3952="Gasto",P3952="Transferencia",P3952="Pago tarjeta"),-1,1)*IF(IFERROR(INDEX(ctaMoneda,MATCH(AB3952,ctaNombre,0))&amp;"","DOP")="USD",T3952,S3952))</f>
        <v/>
      </c>
      <c r="AG3952" s="53">
        <f>IF(AC3952="","",IF(IFERROR(INDEX(ctaMoneda,MATCH(AC3952,ctaNombre,0))&amp;"","DOP")="USD",T3952,S3952))</f>
        <v/>
      </c>
      <c r="AH3952" s="53">
        <f>IF(P3952="","",IF(AND(AD3952&lt;&gt;"",COUNTIFS(tcTipo,AD3952,tcLiq,"Sí")&gt;0),IF(OR(P3952="Gasto",P3952="Transferencia",P3952="Pago tarjeta"),-1,1)*S3952,0)+IF(AND(AE3952&lt;&gt;"",COUNTIFS(tcTipo,AE3952,tcLiq,"Sí")&gt;0),S3952,0))</f>
        <v/>
      </c>
      <c r="AI3952" s="52">
        <f>IF(OR(L3952="",P3952=""),"",IF(COUNTIFS(L$6:L3952,L3952,P$6:P3952,"?*")=1,MAX(AI$5:AI3951)+1,""))</f>
        <v/>
      </c>
    </row>
    <row r="3953">
      <c r="B3953" s="47" t="n"/>
      <c r="C3953" s="48" t="n"/>
      <c r="D3953" s="48" t="n"/>
      <c r="E3953" s="48" t="n"/>
      <c r="F3953" s="48" t="n"/>
      <c r="G3953" s="49" t="n"/>
      <c r="H3953" s="48" t="n"/>
      <c r="I3953" s="50" t="n"/>
      <c r="J3953" s="48" t="n"/>
      <c r="K3953" s="48" t="n"/>
      <c r="L3953" s="48" t="n"/>
      <c r="M3953" s="48" t="n"/>
      <c r="N3953" s="48" t="n"/>
      <c r="O3953" s="51">
        <f>IF(AND(B3953="",G3953="",C3953="",D3953="",J3953=""),"",IF(B3953="","⚠ Falta fecha",IF(G3953="","⚠ Falta monto",IF(Q3953="","⚠ Falta cuenta",IF(ISNA(MATCH(Q3953,ctaNombre,0)),"⚠ Cuenta no registrada",IF(AND(OR(P3953="Gasto",P3953="Reembolso"),D3953=""),"⚠ Falta categoría",IF(AND(D3953&lt;&gt;"",E3953&lt;&gt;"",ISNA(MATCH(D3953&amp;"|"&amp;E3953,catClave,0))),"⚠ Subcategoría no corresponde",IF(AND(OR(P3953="Transferencia",P3953="Pago tarjeta"),K3953=""),"⚠ Falta cuenta destino",IF(AND(K3953&lt;&gt;"",P3953&lt;&gt;"Transferencia",P3953&lt;&gt;"Pago tarjeta"),"⚠ Destino solo aplica a transferencias",IF(AND(K3953&lt;&gt;"",K3953=Q3953),"⚠ Origen igual a destino",IF(AND(K3953&lt;&gt;"",ISNA(MATCH(K3953,ctaNombre,0))),"⚠ Destino no registrado",IF(AND(P3953="Pago tarjeta",AE3953&lt;&gt;"Tarjeta de crédito"),"⚠ El destino debe ser tarjeta de crédito",IF(AND(P3953="Gasto",E3953="Depósitos y retiros"),"⚠ Usa tipo Transferencia",IF(AND(P3953="Resultado trading",AD3953&lt;&gt;"Cuenta de trading"),"⚠ Usa una cuenta de trading",IF(AND(G3953&lt;=0,P3953&lt;&gt;"Ajuste",P3953&lt;&gt;"Resultado trading"),"⚠ El monto debe ser positivo","✓")))))))))))))))</f>
        <v/>
      </c>
      <c r="P3953" s="52">
        <f>IF(OR(B3953="",G3953=""),"",IF(C3953="","Gasto",C3953))</f>
        <v/>
      </c>
      <c r="Q3953" s="52">
        <f>IF(P3953="","",IF(J3953&lt;&gt;"",J3953,CuentaPred&amp;""))</f>
        <v/>
      </c>
      <c r="R3953" s="52">
        <f>IF(P3953="","",IF(ISNUMBER(I3953),I3953,TasaUSD))</f>
        <v/>
      </c>
      <c r="S3953" s="53">
        <f>IF(P3953="","",IF(H3953="USD",G3953*R3953,G3953))</f>
        <v/>
      </c>
      <c r="T3953" s="53">
        <f>IF(P3953="","",IF(H3953="USD",G3953,IF(R3953&gt;0,G3953/R3953,0)))</f>
        <v/>
      </c>
      <c r="U3953" s="53">
        <f>IF(P3953="","",IF(P3953="Gasto",S3953,IF(P3953="Reembolso",-S3953,0)))</f>
        <v/>
      </c>
      <c r="V3953" s="53">
        <f>IF(P3953="","",IF(P3953="Ingreso",S3953,0))</f>
        <v/>
      </c>
      <c r="W3953" s="53">
        <f>IF(P3953="","",IF(P3953="Resultado trading",S3953,0))</f>
        <v/>
      </c>
      <c r="X3953" s="52">
        <f>IF(OR(P3953="Gasto",P3953="Reembolso"),IF(M3953&lt;&gt;"",M3953,IFERROR(INDEX(catClasif,MATCH(D3953&amp;"|"&amp;E3953,catClave,0))&amp;"","Variable")),"")</f>
        <v/>
      </c>
      <c r="Y3953" s="52">
        <f>IF(P3953="","",IFERROR(INDEX(catGrupo,MATCH(D3953&amp;"|"&amp;E3953,catClave,0))&amp;"",""))</f>
        <v/>
      </c>
      <c r="Z3953" s="52">
        <f>IF(P3953="","",WEEKDAY(B3953,2))</f>
        <v/>
      </c>
      <c r="AA3953" s="52">
        <f>IF(P3953="","",IF(AND(P3953="Gasto",X3953="Variable",D3953&lt;&gt;catTrading,S3953&gt;0,S3953&lt;=Umbral),1,0))</f>
        <v/>
      </c>
      <c r="AB3953" s="52">
        <f>IF(OR(P3953="",Q3953=""),"",IFERROR(IF(INDEX(ctaVinc,MATCH(Q3953,ctaNombre,0))&amp;""&lt;&gt;"",INDEX(ctaVinc,MATCH(Q3953,ctaNombre,0))&amp;"",Q3953),Q3953))</f>
        <v/>
      </c>
      <c r="AC3953" s="52">
        <f>IF(OR(K3953="",AND(P3953&lt;&gt;"Transferencia",P3953&lt;&gt;"Pago tarjeta")),"",IFERROR(IF(INDEX(ctaVinc,MATCH(K3953,ctaNombre,0))&amp;""&lt;&gt;"",INDEX(ctaVinc,MATCH(K3953,ctaNombre,0))&amp;"",K3953),K3953))</f>
        <v/>
      </c>
      <c r="AD3953" s="52">
        <f>IF(AB3953="","",IFERROR(INDEX(ctaTipo,MATCH(AB3953,ctaNombre,0))&amp;"",""))</f>
        <v/>
      </c>
      <c r="AE3953" s="52">
        <f>IF(AC3953="","",IFERROR(INDEX(ctaTipo,MATCH(AC3953,ctaNombre,0))&amp;"",""))</f>
        <v/>
      </c>
      <c r="AF3953" s="53">
        <f>IF(OR(P3953="",AB3953=""),"",IF(OR(P3953="Gasto",P3953="Transferencia",P3953="Pago tarjeta"),-1,1)*IF(IFERROR(INDEX(ctaMoneda,MATCH(AB3953,ctaNombre,0))&amp;"","DOP")="USD",T3953,S3953))</f>
        <v/>
      </c>
      <c r="AG3953" s="53">
        <f>IF(AC3953="","",IF(IFERROR(INDEX(ctaMoneda,MATCH(AC3953,ctaNombre,0))&amp;"","DOP")="USD",T3953,S3953))</f>
        <v/>
      </c>
      <c r="AH3953" s="53">
        <f>IF(P3953="","",IF(AND(AD3953&lt;&gt;"",COUNTIFS(tcTipo,AD3953,tcLiq,"Sí")&gt;0),IF(OR(P3953="Gasto",P3953="Transferencia",P3953="Pago tarjeta"),-1,1)*S3953,0)+IF(AND(AE3953&lt;&gt;"",COUNTIFS(tcTipo,AE3953,tcLiq,"Sí")&gt;0),S3953,0))</f>
        <v/>
      </c>
      <c r="AI3953" s="52">
        <f>IF(OR(L3953="",P3953=""),"",IF(COUNTIFS(L$6:L3953,L3953,P$6:P3953,"?*")=1,MAX(AI$5:AI3952)+1,""))</f>
        <v/>
      </c>
    </row>
    <row r="3954">
      <c r="B3954" s="47" t="n"/>
      <c r="C3954" s="48" t="n"/>
      <c r="D3954" s="48" t="n"/>
      <c r="E3954" s="48" t="n"/>
      <c r="F3954" s="48" t="n"/>
      <c r="G3954" s="49" t="n"/>
      <c r="H3954" s="48" t="n"/>
      <c r="I3954" s="50" t="n"/>
      <c r="J3954" s="48" t="n"/>
      <c r="K3954" s="48" t="n"/>
      <c r="L3954" s="48" t="n"/>
      <c r="M3954" s="48" t="n"/>
      <c r="N3954" s="48" t="n"/>
      <c r="O3954" s="51">
        <f>IF(AND(B3954="",G3954="",C3954="",D3954="",J3954=""),"",IF(B3954="","⚠ Falta fecha",IF(G3954="","⚠ Falta monto",IF(Q3954="","⚠ Falta cuenta",IF(ISNA(MATCH(Q3954,ctaNombre,0)),"⚠ Cuenta no registrada",IF(AND(OR(P3954="Gasto",P3954="Reembolso"),D3954=""),"⚠ Falta categoría",IF(AND(D3954&lt;&gt;"",E3954&lt;&gt;"",ISNA(MATCH(D3954&amp;"|"&amp;E3954,catClave,0))),"⚠ Subcategoría no corresponde",IF(AND(OR(P3954="Transferencia",P3954="Pago tarjeta"),K3954=""),"⚠ Falta cuenta destino",IF(AND(K3954&lt;&gt;"",P3954&lt;&gt;"Transferencia",P3954&lt;&gt;"Pago tarjeta"),"⚠ Destino solo aplica a transferencias",IF(AND(K3954&lt;&gt;"",K3954=Q3954),"⚠ Origen igual a destino",IF(AND(K3954&lt;&gt;"",ISNA(MATCH(K3954,ctaNombre,0))),"⚠ Destino no registrado",IF(AND(P3954="Pago tarjeta",AE3954&lt;&gt;"Tarjeta de crédito"),"⚠ El destino debe ser tarjeta de crédito",IF(AND(P3954="Gasto",E3954="Depósitos y retiros"),"⚠ Usa tipo Transferencia",IF(AND(P3954="Resultado trading",AD3954&lt;&gt;"Cuenta de trading"),"⚠ Usa una cuenta de trading",IF(AND(G3954&lt;=0,P3954&lt;&gt;"Ajuste",P3954&lt;&gt;"Resultado trading"),"⚠ El monto debe ser positivo","✓")))))))))))))))</f>
        <v/>
      </c>
      <c r="P3954" s="52">
        <f>IF(OR(B3954="",G3954=""),"",IF(C3954="","Gasto",C3954))</f>
        <v/>
      </c>
      <c r="Q3954" s="52">
        <f>IF(P3954="","",IF(J3954&lt;&gt;"",J3954,CuentaPred&amp;""))</f>
        <v/>
      </c>
      <c r="R3954" s="52">
        <f>IF(P3954="","",IF(ISNUMBER(I3954),I3954,TasaUSD))</f>
        <v/>
      </c>
      <c r="S3954" s="53">
        <f>IF(P3954="","",IF(H3954="USD",G3954*R3954,G3954))</f>
        <v/>
      </c>
      <c r="T3954" s="53">
        <f>IF(P3954="","",IF(H3954="USD",G3954,IF(R3954&gt;0,G3954/R3954,0)))</f>
        <v/>
      </c>
      <c r="U3954" s="53">
        <f>IF(P3954="","",IF(P3954="Gasto",S3954,IF(P3954="Reembolso",-S3954,0)))</f>
        <v/>
      </c>
      <c r="V3954" s="53">
        <f>IF(P3954="","",IF(P3954="Ingreso",S3954,0))</f>
        <v/>
      </c>
      <c r="W3954" s="53">
        <f>IF(P3954="","",IF(P3954="Resultado trading",S3954,0))</f>
        <v/>
      </c>
      <c r="X3954" s="52">
        <f>IF(OR(P3954="Gasto",P3954="Reembolso"),IF(M3954&lt;&gt;"",M3954,IFERROR(INDEX(catClasif,MATCH(D3954&amp;"|"&amp;E3954,catClave,0))&amp;"","Variable")),"")</f>
        <v/>
      </c>
      <c r="Y3954" s="52">
        <f>IF(P3954="","",IFERROR(INDEX(catGrupo,MATCH(D3954&amp;"|"&amp;E3954,catClave,0))&amp;"",""))</f>
        <v/>
      </c>
      <c r="Z3954" s="52">
        <f>IF(P3954="","",WEEKDAY(B3954,2))</f>
        <v/>
      </c>
      <c r="AA3954" s="52">
        <f>IF(P3954="","",IF(AND(P3954="Gasto",X3954="Variable",D3954&lt;&gt;catTrading,S3954&gt;0,S3954&lt;=Umbral),1,0))</f>
        <v/>
      </c>
      <c r="AB3954" s="52">
        <f>IF(OR(P3954="",Q3954=""),"",IFERROR(IF(INDEX(ctaVinc,MATCH(Q3954,ctaNombre,0))&amp;""&lt;&gt;"",INDEX(ctaVinc,MATCH(Q3954,ctaNombre,0))&amp;"",Q3954),Q3954))</f>
        <v/>
      </c>
      <c r="AC3954" s="52">
        <f>IF(OR(K3954="",AND(P3954&lt;&gt;"Transferencia",P3954&lt;&gt;"Pago tarjeta")),"",IFERROR(IF(INDEX(ctaVinc,MATCH(K3954,ctaNombre,0))&amp;""&lt;&gt;"",INDEX(ctaVinc,MATCH(K3954,ctaNombre,0))&amp;"",K3954),K3954))</f>
        <v/>
      </c>
      <c r="AD3954" s="52">
        <f>IF(AB3954="","",IFERROR(INDEX(ctaTipo,MATCH(AB3954,ctaNombre,0))&amp;"",""))</f>
        <v/>
      </c>
      <c r="AE3954" s="52">
        <f>IF(AC3954="","",IFERROR(INDEX(ctaTipo,MATCH(AC3954,ctaNombre,0))&amp;"",""))</f>
        <v/>
      </c>
      <c r="AF3954" s="53">
        <f>IF(OR(P3954="",AB3954=""),"",IF(OR(P3954="Gasto",P3954="Transferencia",P3954="Pago tarjeta"),-1,1)*IF(IFERROR(INDEX(ctaMoneda,MATCH(AB3954,ctaNombre,0))&amp;"","DOP")="USD",T3954,S3954))</f>
        <v/>
      </c>
      <c r="AG3954" s="53">
        <f>IF(AC3954="","",IF(IFERROR(INDEX(ctaMoneda,MATCH(AC3954,ctaNombre,0))&amp;"","DOP")="USD",T3954,S3954))</f>
        <v/>
      </c>
      <c r="AH3954" s="53">
        <f>IF(P3954="","",IF(AND(AD3954&lt;&gt;"",COUNTIFS(tcTipo,AD3954,tcLiq,"Sí")&gt;0),IF(OR(P3954="Gasto",P3954="Transferencia",P3954="Pago tarjeta"),-1,1)*S3954,0)+IF(AND(AE3954&lt;&gt;"",COUNTIFS(tcTipo,AE3954,tcLiq,"Sí")&gt;0),S3954,0))</f>
        <v/>
      </c>
      <c r="AI3954" s="52">
        <f>IF(OR(L3954="",P3954=""),"",IF(COUNTIFS(L$6:L3954,L3954,P$6:P3954,"?*")=1,MAX(AI$5:AI3953)+1,""))</f>
        <v/>
      </c>
    </row>
    <row r="3955">
      <c r="B3955" s="47" t="n"/>
      <c r="C3955" s="48" t="n"/>
      <c r="D3955" s="48" t="n"/>
      <c r="E3955" s="48" t="n"/>
      <c r="F3955" s="48" t="n"/>
      <c r="G3955" s="49" t="n"/>
      <c r="H3955" s="48" t="n"/>
      <c r="I3955" s="50" t="n"/>
      <c r="J3955" s="48" t="n"/>
      <c r="K3955" s="48" t="n"/>
      <c r="L3955" s="48" t="n"/>
      <c r="M3955" s="48" t="n"/>
      <c r="N3955" s="48" t="n"/>
      <c r="O3955" s="51">
        <f>IF(AND(B3955="",G3955="",C3955="",D3955="",J3955=""),"",IF(B3955="","⚠ Falta fecha",IF(G3955="","⚠ Falta monto",IF(Q3955="","⚠ Falta cuenta",IF(ISNA(MATCH(Q3955,ctaNombre,0)),"⚠ Cuenta no registrada",IF(AND(OR(P3955="Gasto",P3955="Reembolso"),D3955=""),"⚠ Falta categoría",IF(AND(D3955&lt;&gt;"",E3955&lt;&gt;"",ISNA(MATCH(D3955&amp;"|"&amp;E3955,catClave,0))),"⚠ Subcategoría no corresponde",IF(AND(OR(P3955="Transferencia",P3955="Pago tarjeta"),K3955=""),"⚠ Falta cuenta destino",IF(AND(K3955&lt;&gt;"",P3955&lt;&gt;"Transferencia",P3955&lt;&gt;"Pago tarjeta"),"⚠ Destino solo aplica a transferencias",IF(AND(K3955&lt;&gt;"",K3955=Q3955),"⚠ Origen igual a destino",IF(AND(K3955&lt;&gt;"",ISNA(MATCH(K3955,ctaNombre,0))),"⚠ Destino no registrado",IF(AND(P3955="Pago tarjeta",AE3955&lt;&gt;"Tarjeta de crédito"),"⚠ El destino debe ser tarjeta de crédito",IF(AND(P3955="Gasto",E3955="Depósitos y retiros"),"⚠ Usa tipo Transferencia",IF(AND(P3955="Resultado trading",AD3955&lt;&gt;"Cuenta de trading"),"⚠ Usa una cuenta de trading",IF(AND(G3955&lt;=0,P3955&lt;&gt;"Ajuste",P3955&lt;&gt;"Resultado trading"),"⚠ El monto debe ser positivo","✓")))))))))))))))</f>
        <v/>
      </c>
      <c r="P3955" s="52">
        <f>IF(OR(B3955="",G3955=""),"",IF(C3955="","Gasto",C3955))</f>
        <v/>
      </c>
      <c r="Q3955" s="52">
        <f>IF(P3955="","",IF(J3955&lt;&gt;"",J3955,CuentaPred&amp;""))</f>
        <v/>
      </c>
      <c r="R3955" s="52">
        <f>IF(P3955="","",IF(ISNUMBER(I3955),I3955,TasaUSD))</f>
        <v/>
      </c>
      <c r="S3955" s="53">
        <f>IF(P3955="","",IF(H3955="USD",G3955*R3955,G3955))</f>
        <v/>
      </c>
      <c r="T3955" s="53">
        <f>IF(P3955="","",IF(H3955="USD",G3955,IF(R3955&gt;0,G3955/R3955,0)))</f>
        <v/>
      </c>
      <c r="U3955" s="53">
        <f>IF(P3955="","",IF(P3955="Gasto",S3955,IF(P3955="Reembolso",-S3955,0)))</f>
        <v/>
      </c>
      <c r="V3955" s="53">
        <f>IF(P3955="","",IF(P3955="Ingreso",S3955,0))</f>
        <v/>
      </c>
      <c r="W3955" s="53">
        <f>IF(P3955="","",IF(P3955="Resultado trading",S3955,0))</f>
        <v/>
      </c>
      <c r="X3955" s="52">
        <f>IF(OR(P3955="Gasto",P3955="Reembolso"),IF(M3955&lt;&gt;"",M3955,IFERROR(INDEX(catClasif,MATCH(D3955&amp;"|"&amp;E3955,catClave,0))&amp;"","Variable")),"")</f>
        <v/>
      </c>
      <c r="Y3955" s="52">
        <f>IF(P3955="","",IFERROR(INDEX(catGrupo,MATCH(D3955&amp;"|"&amp;E3955,catClave,0))&amp;"",""))</f>
        <v/>
      </c>
      <c r="Z3955" s="52">
        <f>IF(P3955="","",WEEKDAY(B3955,2))</f>
        <v/>
      </c>
      <c r="AA3955" s="52">
        <f>IF(P3955="","",IF(AND(P3955="Gasto",X3955="Variable",D3955&lt;&gt;catTrading,S3955&gt;0,S3955&lt;=Umbral),1,0))</f>
        <v/>
      </c>
      <c r="AB3955" s="52">
        <f>IF(OR(P3955="",Q3955=""),"",IFERROR(IF(INDEX(ctaVinc,MATCH(Q3955,ctaNombre,0))&amp;""&lt;&gt;"",INDEX(ctaVinc,MATCH(Q3955,ctaNombre,0))&amp;"",Q3955),Q3955))</f>
        <v/>
      </c>
      <c r="AC3955" s="52">
        <f>IF(OR(K3955="",AND(P3955&lt;&gt;"Transferencia",P3955&lt;&gt;"Pago tarjeta")),"",IFERROR(IF(INDEX(ctaVinc,MATCH(K3955,ctaNombre,0))&amp;""&lt;&gt;"",INDEX(ctaVinc,MATCH(K3955,ctaNombre,0))&amp;"",K3955),K3955))</f>
        <v/>
      </c>
      <c r="AD3955" s="52">
        <f>IF(AB3955="","",IFERROR(INDEX(ctaTipo,MATCH(AB3955,ctaNombre,0))&amp;"",""))</f>
        <v/>
      </c>
      <c r="AE3955" s="52">
        <f>IF(AC3955="","",IFERROR(INDEX(ctaTipo,MATCH(AC3955,ctaNombre,0))&amp;"",""))</f>
        <v/>
      </c>
      <c r="AF3955" s="53">
        <f>IF(OR(P3955="",AB3955=""),"",IF(OR(P3955="Gasto",P3955="Transferencia",P3955="Pago tarjeta"),-1,1)*IF(IFERROR(INDEX(ctaMoneda,MATCH(AB3955,ctaNombre,0))&amp;"","DOP")="USD",T3955,S3955))</f>
        <v/>
      </c>
      <c r="AG3955" s="53">
        <f>IF(AC3955="","",IF(IFERROR(INDEX(ctaMoneda,MATCH(AC3955,ctaNombre,0))&amp;"","DOP")="USD",T3955,S3955))</f>
        <v/>
      </c>
      <c r="AH3955" s="53">
        <f>IF(P3955="","",IF(AND(AD3955&lt;&gt;"",COUNTIFS(tcTipo,AD3955,tcLiq,"Sí")&gt;0),IF(OR(P3955="Gasto",P3955="Transferencia",P3955="Pago tarjeta"),-1,1)*S3955,0)+IF(AND(AE3955&lt;&gt;"",COUNTIFS(tcTipo,AE3955,tcLiq,"Sí")&gt;0),S3955,0))</f>
        <v/>
      </c>
      <c r="AI3955" s="52">
        <f>IF(OR(L3955="",P3955=""),"",IF(COUNTIFS(L$6:L3955,L3955,P$6:P3955,"?*")=1,MAX(AI$5:AI3954)+1,""))</f>
        <v/>
      </c>
    </row>
    <row r="3956">
      <c r="B3956" s="47" t="n"/>
      <c r="C3956" s="48" t="n"/>
      <c r="D3956" s="48" t="n"/>
      <c r="E3956" s="48" t="n"/>
      <c r="F3956" s="48" t="n"/>
      <c r="G3956" s="49" t="n"/>
      <c r="H3956" s="48" t="n"/>
      <c r="I3956" s="50" t="n"/>
      <c r="J3956" s="48" t="n"/>
      <c r="K3956" s="48" t="n"/>
      <c r="L3956" s="48" t="n"/>
      <c r="M3956" s="48" t="n"/>
      <c r="N3956" s="48" t="n"/>
      <c r="O3956" s="51">
        <f>IF(AND(B3956="",G3956="",C3956="",D3956="",J3956=""),"",IF(B3956="","⚠ Falta fecha",IF(G3956="","⚠ Falta monto",IF(Q3956="","⚠ Falta cuenta",IF(ISNA(MATCH(Q3956,ctaNombre,0)),"⚠ Cuenta no registrada",IF(AND(OR(P3956="Gasto",P3956="Reembolso"),D3956=""),"⚠ Falta categoría",IF(AND(D3956&lt;&gt;"",E3956&lt;&gt;"",ISNA(MATCH(D3956&amp;"|"&amp;E3956,catClave,0))),"⚠ Subcategoría no corresponde",IF(AND(OR(P3956="Transferencia",P3956="Pago tarjeta"),K3956=""),"⚠ Falta cuenta destino",IF(AND(K3956&lt;&gt;"",P3956&lt;&gt;"Transferencia",P3956&lt;&gt;"Pago tarjeta"),"⚠ Destino solo aplica a transferencias",IF(AND(K3956&lt;&gt;"",K3956=Q3956),"⚠ Origen igual a destino",IF(AND(K3956&lt;&gt;"",ISNA(MATCH(K3956,ctaNombre,0))),"⚠ Destino no registrado",IF(AND(P3956="Pago tarjeta",AE3956&lt;&gt;"Tarjeta de crédito"),"⚠ El destino debe ser tarjeta de crédito",IF(AND(P3956="Gasto",E3956="Depósitos y retiros"),"⚠ Usa tipo Transferencia",IF(AND(P3956="Resultado trading",AD3956&lt;&gt;"Cuenta de trading"),"⚠ Usa una cuenta de trading",IF(AND(G3956&lt;=0,P3956&lt;&gt;"Ajuste",P3956&lt;&gt;"Resultado trading"),"⚠ El monto debe ser positivo","✓")))))))))))))))</f>
        <v/>
      </c>
      <c r="P3956" s="52">
        <f>IF(OR(B3956="",G3956=""),"",IF(C3956="","Gasto",C3956))</f>
        <v/>
      </c>
      <c r="Q3956" s="52">
        <f>IF(P3956="","",IF(J3956&lt;&gt;"",J3956,CuentaPred&amp;""))</f>
        <v/>
      </c>
      <c r="R3956" s="52">
        <f>IF(P3956="","",IF(ISNUMBER(I3956),I3956,TasaUSD))</f>
        <v/>
      </c>
      <c r="S3956" s="53">
        <f>IF(P3956="","",IF(H3956="USD",G3956*R3956,G3956))</f>
        <v/>
      </c>
      <c r="T3956" s="53">
        <f>IF(P3956="","",IF(H3956="USD",G3956,IF(R3956&gt;0,G3956/R3956,0)))</f>
        <v/>
      </c>
      <c r="U3956" s="53">
        <f>IF(P3956="","",IF(P3956="Gasto",S3956,IF(P3956="Reembolso",-S3956,0)))</f>
        <v/>
      </c>
      <c r="V3956" s="53">
        <f>IF(P3956="","",IF(P3956="Ingreso",S3956,0))</f>
        <v/>
      </c>
      <c r="W3956" s="53">
        <f>IF(P3956="","",IF(P3956="Resultado trading",S3956,0))</f>
        <v/>
      </c>
      <c r="X3956" s="52">
        <f>IF(OR(P3956="Gasto",P3956="Reembolso"),IF(M3956&lt;&gt;"",M3956,IFERROR(INDEX(catClasif,MATCH(D3956&amp;"|"&amp;E3956,catClave,0))&amp;"","Variable")),"")</f>
        <v/>
      </c>
      <c r="Y3956" s="52">
        <f>IF(P3956="","",IFERROR(INDEX(catGrupo,MATCH(D3956&amp;"|"&amp;E3956,catClave,0))&amp;"",""))</f>
        <v/>
      </c>
      <c r="Z3956" s="52">
        <f>IF(P3956="","",WEEKDAY(B3956,2))</f>
        <v/>
      </c>
      <c r="AA3956" s="52">
        <f>IF(P3956="","",IF(AND(P3956="Gasto",X3956="Variable",D3956&lt;&gt;catTrading,S3956&gt;0,S3956&lt;=Umbral),1,0))</f>
        <v/>
      </c>
      <c r="AB3956" s="52">
        <f>IF(OR(P3956="",Q3956=""),"",IFERROR(IF(INDEX(ctaVinc,MATCH(Q3956,ctaNombre,0))&amp;""&lt;&gt;"",INDEX(ctaVinc,MATCH(Q3956,ctaNombre,0))&amp;"",Q3956),Q3956))</f>
        <v/>
      </c>
      <c r="AC3956" s="52">
        <f>IF(OR(K3956="",AND(P3956&lt;&gt;"Transferencia",P3956&lt;&gt;"Pago tarjeta")),"",IFERROR(IF(INDEX(ctaVinc,MATCH(K3956,ctaNombre,0))&amp;""&lt;&gt;"",INDEX(ctaVinc,MATCH(K3956,ctaNombre,0))&amp;"",K3956),K3956))</f>
        <v/>
      </c>
      <c r="AD3956" s="52">
        <f>IF(AB3956="","",IFERROR(INDEX(ctaTipo,MATCH(AB3956,ctaNombre,0))&amp;"",""))</f>
        <v/>
      </c>
      <c r="AE3956" s="52">
        <f>IF(AC3956="","",IFERROR(INDEX(ctaTipo,MATCH(AC3956,ctaNombre,0))&amp;"",""))</f>
        <v/>
      </c>
      <c r="AF3956" s="53">
        <f>IF(OR(P3956="",AB3956=""),"",IF(OR(P3956="Gasto",P3956="Transferencia",P3956="Pago tarjeta"),-1,1)*IF(IFERROR(INDEX(ctaMoneda,MATCH(AB3956,ctaNombre,0))&amp;"","DOP")="USD",T3956,S3956))</f>
        <v/>
      </c>
      <c r="AG3956" s="53">
        <f>IF(AC3956="","",IF(IFERROR(INDEX(ctaMoneda,MATCH(AC3956,ctaNombre,0))&amp;"","DOP")="USD",T3956,S3956))</f>
        <v/>
      </c>
      <c r="AH3956" s="53">
        <f>IF(P3956="","",IF(AND(AD3956&lt;&gt;"",COUNTIFS(tcTipo,AD3956,tcLiq,"Sí")&gt;0),IF(OR(P3956="Gasto",P3956="Transferencia",P3956="Pago tarjeta"),-1,1)*S3956,0)+IF(AND(AE3956&lt;&gt;"",COUNTIFS(tcTipo,AE3956,tcLiq,"Sí")&gt;0),S3956,0))</f>
        <v/>
      </c>
      <c r="AI3956" s="52">
        <f>IF(OR(L3956="",P3956=""),"",IF(COUNTIFS(L$6:L3956,L3956,P$6:P3956,"?*")=1,MAX(AI$5:AI3955)+1,""))</f>
        <v/>
      </c>
    </row>
    <row r="3957">
      <c r="B3957" s="47" t="n"/>
      <c r="C3957" s="48" t="n"/>
      <c r="D3957" s="48" t="n"/>
      <c r="E3957" s="48" t="n"/>
      <c r="F3957" s="48" t="n"/>
      <c r="G3957" s="49" t="n"/>
      <c r="H3957" s="48" t="n"/>
      <c r="I3957" s="50" t="n"/>
      <c r="J3957" s="48" t="n"/>
      <c r="K3957" s="48" t="n"/>
      <c r="L3957" s="48" t="n"/>
      <c r="M3957" s="48" t="n"/>
      <c r="N3957" s="48" t="n"/>
      <c r="O3957" s="51">
        <f>IF(AND(B3957="",G3957="",C3957="",D3957="",J3957=""),"",IF(B3957="","⚠ Falta fecha",IF(G3957="","⚠ Falta monto",IF(Q3957="","⚠ Falta cuenta",IF(ISNA(MATCH(Q3957,ctaNombre,0)),"⚠ Cuenta no registrada",IF(AND(OR(P3957="Gasto",P3957="Reembolso"),D3957=""),"⚠ Falta categoría",IF(AND(D3957&lt;&gt;"",E3957&lt;&gt;"",ISNA(MATCH(D3957&amp;"|"&amp;E3957,catClave,0))),"⚠ Subcategoría no corresponde",IF(AND(OR(P3957="Transferencia",P3957="Pago tarjeta"),K3957=""),"⚠ Falta cuenta destino",IF(AND(K3957&lt;&gt;"",P3957&lt;&gt;"Transferencia",P3957&lt;&gt;"Pago tarjeta"),"⚠ Destino solo aplica a transferencias",IF(AND(K3957&lt;&gt;"",K3957=Q3957),"⚠ Origen igual a destino",IF(AND(K3957&lt;&gt;"",ISNA(MATCH(K3957,ctaNombre,0))),"⚠ Destino no registrado",IF(AND(P3957="Pago tarjeta",AE3957&lt;&gt;"Tarjeta de crédito"),"⚠ El destino debe ser tarjeta de crédito",IF(AND(P3957="Gasto",E3957="Depósitos y retiros"),"⚠ Usa tipo Transferencia",IF(AND(P3957="Resultado trading",AD3957&lt;&gt;"Cuenta de trading"),"⚠ Usa una cuenta de trading",IF(AND(G3957&lt;=0,P3957&lt;&gt;"Ajuste",P3957&lt;&gt;"Resultado trading"),"⚠ El monto debe ser positivo","✓")))))))))))))))</f>
        <v/>
      </c>
      <c r="P3957" s="52">
        <f>IF(OR(B3957="",G3957=""),"",IF(C3957="","Gasto",C3957))</f>
        <v/>
      </c>
      <c r="Q3957" s="52">
        <f>IF(P3957="","",IF(J3957&lt;&gt;"",J3957,CuentaPred&amp;""))</f>
        <v/>
      </c>
      <c r="R3957" s="52">
        <f>IF(P3957="","",IF(ISNUMBER(I3957),I3957,TasaUSD))</f>
        <v/>
      </c>
      <c r="S3957" s="53">
        <f>IF(P3957="","",IF(H3957="USD",G3957*R3957,G3957))</f>
        <v/>
      </c>
      <c r="T3957" s="53">
        <f>IF(P3957="","",IF(H3957="USD",G3957,IF(R3957&gt;0,G3957/R3957,0)))</f>
        <v/>
      </c>
      <c r="U3957" s="53">
        <f>IF(P3957="","",IF(P3957="Gasto",S3957,IF(P3957="Reembolso",-S3957,0)))</f>
        <v/>
      </c>
      <c r="V3957" s="53">
        <f>IF(P3957="","",IF(P3957="Ingreso",S3957,0))</f>
        <v/>
      </c>
      <c r="W3957" s="53">
        <f>IF(P3957="","",IF(P3957="Resultado trading",S3957,0))</f>
        <v/>
      </c>
      <c r="X3957" s="52">
        <f>IF(OR(P3957="Gasto",P3957="Reembolso"),IF(M3957&lt;&gt;"",M3957,IFERROR(INDEX(catClasif,MATCH(D3957&amp;"|"&amp;E3957,catClave,0))&amp;"","Variable")),"")</f>
        <v/>
      </c>
      <c r="Y3957" s="52">
        <f>IF(P3957="","",IFERROR(INDEX(catGrupo,MATCH(D3957&amp;"|"&amp;E3957,catClave,0))&amp;"",""))</f>
        <v/>
      </c>
      <c r="Z3957" s="52">
        <f>IF(P3957="","",WEEKDAY(B3957,2))</f>
        <v/>
      </c>
      <c r="AA3957" s="52">
        <f>IF(P3957="","",IF(AND(P3957="Gasto",X3957="Variable",D3957&lt;&gt;catTrading,S3957&gt;0,S3957&lt;=Umbral),1,0))</f>
        <v/>
      </c>
      <c r="AB3957" s="52">
        <f>IF(OR(P3957="",Q3957=""),"",IFERROR(IF(INDEX(ctaVinc,MATCH(Q3957,ctaNombre,0))&amp;""&lt;&gt;"",INDEX(ctaVinc,MATCH(Q3957,ctaNombre,0))&amp;"",Q3957),Q3957))</f>
        <v/>
      </c>
      <c r="AC3957" s="52">
        <f>IF(OR(K3957="",AND(P3957&lt;&gt;"Transferencia",P3957&lt;&gt;"Pago tarjeta")),"",IFERROR(IF(INDEX(ctaVinc,MATCH(K3957,ctaNombre,0))&amp;""&lt;&gt;"",INDEX(ctaVinc,MATCH(K3957,ctaNombre,0))&amp;"",K3957),K3957))</f>
        <v/>
      </c>
      <c r="AD3957" s="52">
        <f>IF(AB3957="","",IFERROR(INDEX(ctaTipo,MATCH(AB3957,ctaNombre,0))&amp;"",""))</f>
        <v/>
      </c>
      <c r="AE3957" s="52">
        <f>IF(AC3957="","",IFERROR(INDEX(ctaTipo,MATCH(AC3957,ctaNombre,0))&amp;"",""))</f>
        <v/>
      </c>
      <c r="AF3957" s="53">
        <f>IF(OR(P3957="",AB3957=""),"",IF(OR(P3957="Gasto",P3957="Transferencia",P3957="Pago tarjeta"),-1,1)*IF(IFERROR(INDEX(ctaMoneda,MATCH(AB3957,ctaNombre,0))&amp;"","DOP")="USD",T3957,S3957))</f>
        <v/>
      </c>
      <c r="AG3957" s="53">
        <f>IF(AC3957="","",IF(IFERROR(INDEX(ctaMoneda,MATCH(AC3957,ctaNombre,0))&amp;"","DOP")="USD",T3957,S3957))</f>
        <v/>
      </c>
      <c r="AH3957" s="53">
        <f>IF(P3957="","",IF(AND(AD3957&lt;&gt;"",COUNTIFS(tcTipo,AD3957,tcLiq,"Sí")&gt;0),IF(OR(P3957="Gasto",P3957="Transferencia",P3957="Pago tarjeta"),-1,1)*S3957,0)+IF(AND(AE3957&lt;&gt;"",COUNTIFS(tcTipo,AE3957,tcLiq,"Sí")&gt;0),S3957,0))</f>
        <v/>
      </c>
      <c r="AI3957" s="52">
        <f>IF(OR(L3957="",P3957=""),"",IF(COUNTIFS(L$6:L3957,L3957,P$6:P3957,"?*")=1,MAX(AI$5:AI3956)+1,""))</f>
        <v/>
      </c>
    </row>
    <row r="3958">
      <c r="B3958" s="47" t="n"/>
      <c r="C3958" s="48" t="n"/>
      <c r="D3958" s="48" t="n"/>
      <c r="E3958" s="48" t="n"/>
      <c r="F3958" s="48" t="n"/>
      <c r="G3958" s="49" t="n"/>
      <c r="H3958" s="48" t="n"/>
      <c r="I3958" s="50" t="n"/>
      <c r="J3958" s="48" t="n"/>
      <c r="K3958" s="48" t="n"/>
      <c r="L3958" s="48" t="n"/>
      <c r="M3958" s="48" t="n"/>
      <c r="N3958" s="48" t="n"/>
      <c r="O3958" s="51">
        <f>IF(AND(B3958="",G3958="",C3958="",D3958="",J3958=""),"",IF(B3958="","⚠ Falta fecha",IF(G3958="","⚠ Falta monto",IF(Q3958="","⚠ Falta cuenta",IF(ISNA(MATCH(Q3958,ctaNombre,0)),"⚠ Cuenta no registrada",IF(AND(OR(P3958="Gasto",P3958="Reembolso"),D3958=""),"⚠ Falta categoría",IF(AND(D3958&lt;&gt;"",E3958&lt;&gt;"",ISNA(MATCH(D3958&amp;"|"&amp;E3958,catClave,0))),"⚠ Subcategoría no corresponde",IF(AND(OR(P3958="Transferencia",P3958="Pago tarjeta"),K3958=""),"⚠ Falta cuenta destino",IF(AND(K3958&lt;&gt;"",P3958&lt;&gt;"Transferencia",P3958&lt;&gt;"Pago tarjeta"),"⚠ Destino solo aplica a transferencias",IF(AND(K3958&lt;&gt;"",K3958=Q3958),"⚠ Origen igual a destino",IF(AND(K3958&lt;&gt;"",ISNA(MATCH(K3958,ctaNombre,0))),"⚠ Destino no registrado",IF(AND(P3958="Pago tarjeta",AE3958&lt;&gt;"Tarjeta de crédito"),"⚠ El destino debe ser tarjeta de crédito",IF(AND(P3958="Gasto",E3958="Depósitos y retiros"),"⚠ Usa tipo Transferencia",IF(AND(P3958="Resultado trading",AD3958&lt;&gt;"Cuenta de trading"),"⚠ Usa una cuenta de trading",IF(AND(G3958&lt;=0,P3958&lt;&gt;"Ajuste",P3958&lt;&gt;"Resultado trading"),"⚠ El monto debe ser positivo","✓")))))))))))))))</f>
        <v/>
      </c>
      <c r="P3958" s="52">
        <f>IF(OR(B3958="",G3958=""),"",IF(C3958="","Gasto",C3958))</f>
        <v/>
      </c>
      <c r="Q3958" s="52">
        <f>IF(P3958="","",IF(J3958&lt;&gt;"",J3958,CuentaPred&amp;""))</f>
        <v/>
      </c>
      <c r="R3958" s="52">
        <f>IF(P3958="","",IF(ISNUMBER(I3958),I3958,TasaUSD))</f>
        <v/>
      </c>
      <c r="S3958" s="53">
        <f>IF(P3958="","",IF(H3958="USD",G3958*R3958,G3958))</f>
        <v/>
      </c>
      <c r="T3958" s="53">
        <f>IF(P3958="","",IF(H3958="USD",G3958,IF(R3958&gt;0,G3958/R3958,0)))</f>
        <v/>
      </c>
      <c r="U3958" s="53">
        <f>IF(P3958="","",IF(P3958="Gasto",S3958,IF(P3958="Reembolso",-S3958,0)))</f>
        <v/>
      </c>
      <c r="V3958" s="53">
        <f>IF(P3958="","",IF(P3958="Ingreso",S3958,0))</f>
        <v/>
      </c>
      <c r="W3958" s="53">
        <f>IF(P3958="","",IF(P3958="Resultado trading",S3958,0))</f>
        <v/>
      </c>
      <c r="X3958" s="52">
        <f>IF(OR(P3958="Gasto",P3958="Reembolso"),IF(M3958&lt;&gt;"",M3958,IFERROR(INDEX(catClasif,MATCH(D3958&amp;"|"&amp;E3958,catClave,0))&amp;"","Variable")),"")</f>
        <v/>
      </c>
      <c r="Y3958" s="52">
        <f>IF(P3958="","",IFERROR(INDEX(catGrupo,MATCH(D3958&amp;"|"&amp;E3958,catClave,0))&amp;"",""))</f>
        <v/>
      </c>
      <c r="Z3958" s="52">
        <f>IF(P3958="","",WEEKDAY(B3958,2))</f>
        <v/>
      </c>
      <c r="AA3958" s="52">
        <f>IF(P3958="","",IF(AND(P3958="Gasto",X3958="Variable",D3958&lt;&gt;catTrading,S3958&gt;0,S3958&lt;=Umbral),1,0))</f>
        <v/>
      </c>
      <c r="AB3958" s="52">
        <f>IF(OR(P3958="",Q3958=""),"",IFERROR(IF(INDEX(ctaVinc,MATCH(Q3958,ctaNombre,0))&amp;""&lt;&gt;"",INDEX(ctaVinc,MATCH(Q3958,ctaNombre,0))&amp;"",Q3958),Q3958))</f>
        <v/>
      </c>
      <c r="AC3958" s="52">
        <f>IF(OR(K3958="",AND(P3958&lt;&gt;"Transferencia",P3958&lt;&gt;"Pago tarjeta")),"",IFERROR(IF(INDEX(ctaVinc,MATCH(K3958,ctaNombre,0))&amp;""&lt;&gt;"",INDEX(ctaVinc,MATCH(K3958,ctaNombre,0))&amp;"",K3958),K3958))</f>
        <v/>
      </c>
      <c r="AD3958" s="52">
        <f>IF(AB3958="","",IFERROR(INDEX(ctaTipo,MATCH(AB3958,ctaNombre,0))&amp;"",""))</f>
        <v/>
      </c>
      <c r="AE3958" s="52">
        <f>IF(AC3958="","",IFERROR(INDEX(ctaTipo,MATCH(AC3958,ctaNombre,0))&amp;"",""))</f>
        <v/>
      </c>
      <c r="AF3958" s="53">
        <f>IF(OR(P3958="",AB3958=""),"",IF(OR(P3958="Gasto",P3958="Transferencia",P3958="Pago tarjeta"),-1,1)*IF(IFERROR(INDEX(ctaMoneda,MATCH(AB3958,ctaNombre,0))&amp;"","DOP")="USD",T3958,S3958))</f>
        <v/>
      </c>
      <c r="AG3958" s="53">
        <f>IF(AC3958="","",IF(IFERROR(INDEX(ctaMoneda,MATCH(AC3958,ctaNombre,0))&amp;"","DOP")="USD",T3958,S3958))</f>
        <v/>
      </c>
      <c r="AH3958" s="53">
        <f>IF(P3958="","",IF(AND(AD3958&lt;&gt;"",COUNTIFS(tcTipo,AD3958,tcLiq,"Sí")&gt;0),IF(OR(P3958="Gasto",P3958="Transferencia",P3958="Pago tarjeta"),-1,1)*S3958,0)+IF(AND(AE3958&lt;&gt;"",COUNTIFS(tcTipo,AE3958,tcLiq,"Sí")&gt;0),S3958,0))</f>
        <v/>
      </c>
      <c r="AI3958" s="52">
        <f>IF(OR(L3958="",P3958=""),"",IF(COUNTIFS(L$6:L3958,L3958,P$6:P3958,"?*")=1,MAX(AI$5:AI3957)+1,""))</f>
        <v/>
      </c>
    </row>
    <row r="3959">
      <c r="B3959" s="47" t="n"/>
      <c r="C3959" s="48" t="n"/>
      <c r="D3959" s="48" t="n"/>
      <c r="E3959" s="48" t="n"/>
      <c r="F3959" s="48" t="n"/>
      <c r="G3959" s="49" t="n"/>
      <c r="H3959" s="48" t="n"/>
      <c r="I3959" s="50" t="n"/>
      <c r="J3959" s="48" t="n"/>
      <c r="K3959" s="48" t="n"/>
      <c r="L3959" s="48" t="n"/>
      <c r="M3959" s="48" t="n"/>
      <c r="N3959" s="48" t="n"/>
      <c r="O3959" s="51">
        <f>IF(AND(B3959="",G3959="",C3959="",D3959="",J3959=""),"",IF(B3959="","⚠ Falta fecha",IF(G3959="","⚠ Falta monto",IF(Q3959="","⚠ Falta cuenta",IF(ISNA(MATCH(Q3959,ctaNombre,0)),"⚠ Cuenta no registrada",IF(AND(OR(P3959="Gasto",P3959="Reembolso"),D3959=""),"⚠ Falta categoría",IF(AND(D3959&lt;&gt;"",E3959&lt;&gt;"",ISNA(MATCH(D3959&amp;"|"&amp;E3959,catClave,0))),"⚠ Subcategoría no corresponde",IF(AND(OR(P3959="Transferencia",P3959="Pago tarjeta"),K3959=""),"⚠ Falta cuenta destino",IF(AND(K3959&lt;&gt;"",P3959&lt;&gt;"Transferencia",P3959&lt;&gt;"Pago tarjeta"),"⚠ Destino solo aplica a transferencias",IF(AND(K3959&lt;&gt;"",K3959=Q3959),"⚠ Origen igual a destino",IF(AND(K3959&lt;&gt;"",ISNA(MATCH(K3959,ctaNombre,0))),"⚠ Destino no registrado",IF(AND(P3959="Pago tarjeta",AE3959&lt;&gt;"Tarjeta de crédito"),"⚠ El destino debe ser tarjeta de crédito",IF(AND(P3959="Gasto",E3959="Depósitos y retiros"),"⚠ Usa tipo Transferencia",IF(AND(P3959="Resultado trading",AD3959&lt;&gt;"Cuenta de trading"),"⚠ Usa una cuenta de trading",IF(AND(G3959&lt;=0,P3959&lt;&gt;"Ajuste",P3959&lt;&gt;"Resultado trading"),"⚠ El monto debe ser positivo","✓")))))))))))))))</f>
        <v/>
      </c>
      <c r="P3959" s="52">
        <f>IF(OR(B3959="",G3959=""),"",IF(C3959="","Gasto",C3959))</f>
        <v/>
      </c>
      <c r="Q3959" s="52">
        <f>IF(P3959="","",IF(J3959&lt;&gt;"",J3959,CuentaPred&amp;""))</f>
        <v/>
      </c>
      <c r="R3959" s="52">
        <f>IF(P3959="","",IF(ISNUMBER(I3959),I3959,TasaUSD))</f>
        <v/>
      </c>
      <c r="S3959" s="53">
        <f>IF(P3959="","",IF(H3959="USD",G3959*R3959,G3959))</f>
        <v/>
      </c>
      <c r="T3959" s="53">
        <f>IF(P3959="","",IF(H3959="USD",G3959,IF(R3959&gt;0,G3959/R3959,0)))</f>
        <v/>
      </c>
      <c r="U3959" s="53">
        <f>IF(P3959="","",IF(P3959="Gasto",S3959,IF(P3959="Reembolso",-S3959,0)))</f>
        <v/>
      </c>
      <c r="V3959" s="53">
        <f>IF(P3959="","",IF(P3959="Ingreso",S3959,0))</f>
        <v/>
      </c>
      <c r="W3959" s="53">
        <f>IF(P3959="","",IF(P3959="Resultado trading",S3959,0))</f>
        <v/>
      </c>
      <c r="X3959" s="52">
        <f>IF(OR(P3959="Gasto",P3959="Reembolso"),IF(M3959&lt;&gt;"",M3959,IFERROR(INDEX(catClasif,MATCH(D3959&amp;"|"&amp;E3959,catClave,0))&amp;"","Variable")),"")</f>
        <v/>
      </c>
      <c r="Y3959" s="52">
        <f>IF(P3959="","",IFERROR(INDEX(catGrupo,MATCH(D3959&amp;"|"&amp;E3959,catClave,0))&amp;"",""))</f>
        <v/>
      </c>
      <c r="Z3959" s="52">
        <f>IF(P3959="","",WEEKDAY(B3959,2))</f>
        <v/>
      </c>
      <c r="AA3959" s="52">
        <f>IF(P3959="","",IF(AND(P3959="Gasto",X3959="Variable",D3959&lt;&gt;catTrading,S3959&gt;0,S3959&lt;=Umbral),1,0))</f>
        <v/>
      </c>
      <c r="AB3959" s="52">
        <f>IF(OR(P3959="",Q3959=""),"",IFERROR(IF(INDEX(ctaVinc,MATCH(Q3959,ctaNombre,0))&amp;""&lt;&gt;"",INDEX(ctaVinc,MATCH(Q3959,ctaNombre,0))&amp;"",Q3959),Q3959))</f>
        <v/>
      </c>
      <c r="AC3959" s="52">
        <f>IF(OR(K3959="",AND(P3959&lt;&gt;"Transferencia",P3959&lt;&gt;"Pago tarjeta")),"",IFERROR(IF(INDEX(ctaVinc,MATCH(K3959,ctaNombre,0))&amp;""&lt;&gt;"",INDEX(ctaVinc,MATCH(K3959,ctaNombre,0))&amp;"",K3959),K3959))</f>
        <v/>
      </c>
      <c r="AD3959" s="52">
        <f>IF(AB3959="","",IFERROR(INDEX(ctaTipo,MATCH(AB3959,ctaNombre,0))&amp;"",""))</f>
        <v/>
      </c>
      <c r="AE3959" s="52">
        <f>IF(AC3959="","",IFERROR(INDEX(ctaTipo,MATCH(AC3959,ctaNombre,0))&amp;"",""))</f>
        <v/>
      </c>
      <c r="AF3959" s="53">
        <f>IF(OR(P3959="",AB3959=""),"",IF(OR(P3959="Gasto",P3959="Transferencia",P3959="Pago tarjeta"),-1,1)*IF(IFERROR(INDEX(ctaMoneda,MATCH(AB3959,ctaNombre,0))&amp;"","DOP")="USD",T3959,S3959))</f>
        <v/>
      </c>
      <c r="AG3959" s="53">
        <f>IF(AC3959="","",IF(IFERROR(INDEX(ctaMoneda,MATCH(AC3959,ctaNombre,0))&amp;"","DOP")="USD",T3959,S3959))</f>
        <v/>
      </c>
      <c r="AH3959" s="53">
        <f>IF(P3959="","",IF(AND(AD3959&lt;&gt;"",COUNTIFS(tcTipo,AD3959,tcLiq,"Sí")&gt;0),IF(OR(P3959="Gasto",P3959="Transferencia",P3959="Pago tarjeta"),-1,1)*S3959,0)+IF(AND(AE3959&lt;&gt;"",COUNTIFS(tcTipo,AE3959,tcLiq,"Sí")&gt;0),S3959,0))</f>
        <v/>
      </c>
      <c r="AI3959" s="52">
        <f>IF(OR(L3959="",P3959=""),"",IF(COUNTIFS(L$6:L3959,L3959,P$6:P3959,"?*")=1,MAX(AI$5:AI3958)+1,""))</f>
        <v/>
      </c>
    </row>
    <row r="3960">
      <c r="B3960" s="47" t="n"/>
      <c r="C3960" s="48" t="n"/>
      <c r="D3960" s="48" t="n"/>
      <c r="E3960" s="48" t="n"/>
      <c r="F3960" s="48" t="n"/>
      <c r="G3960" s="49" t="n"/>
      <c r="H3960" s="48" t="n"/>
      <c r="I3960" s="50" t="n"/>
      <c r="J3960" s="48" t="n"/>
      <c r="K3960" s="48" t="n"/>
      <c r="L3960" s="48" t="n"/>
      <c r="M3960" s="48" t="n"/>
      <c r="N3960" s="48" t="n"/>
      <c r="O3960" s="51">
        <f>IF(AND(B3960="",G3960="",C3960="",D3960="",J3960=""),"",IF(B3960="","⚠ Falta fecha",IF(G3960="","⚠ Falta monto",IF(Q3960="","⚠ Falta cuenta",IF(ISNA(MATCH(Q3960,ctaNombre,0)),"⚠ Cuenta no registrada",IF(AND(OR(P3960="Gasto",P3960="Reembolso"),D3960=""),"⚠ Falta categoría",IF(AND(D3960&lt;&gt;"",E3960&lt;&gt;"",ISNA(MATCH(D3960&amp;"|"&amp;E3960,catClave,0))),"⚠ Subcategoría no corresponde",IF(AND(OR(P3960="Transferencia",P3960="Pago tarjeta"),K3960=""),"⚠ Falta cuenta destino",IF(AND(K3960&lt;&gt;"",P3960&lt;&gt;"Transferencia",P3960&lt;&gt;"Pago tarjeta"),"⚠ Destino solo aplica a transferencias",IF(AND(K3960&lt;&gt;"",K3960=Q3960),"⚠ Origen igual a destino",IF(AND(K3960&lt;&gt;"",ISNA(MATCH(K3960,ctaNombre,0))),"⚠ Destino no registrado",IF(AND(P3960="Pago tarjeta",AE3960&lt;&gt;"Tarjeta de crédito"),"⚠ El destino debe ser tarjeta de crédito",IF(AND(P3960="Gasto",E3960="Depósitos y retiros"),"⚠ Usa tipo Transferencia",IF(AND(P3960="Resultado trading",AD3960&lt;&gt;"Cuenta de trading"),"⚠ Usa una cuenta de trading",IF(AND(G3960&lt;=0,P3960&lt;&gt;"Ajuste",P3960&lt;&gt;"Resultado trading"),"⚠ El monto debe ser positivo","✓")))))))))))))))</f>
        <v/>
      </c>
      <c r="P3960" s="52">
        <f>IF(OR(B3960="",G3960=""),"",IF(C3960="","Gasto",C3960))</f>
        <v/>
      </c>
      <c r="Q3960" s="52">
        <f>IF(P3960="","",IF(J3960&lt;&gt;"",J3960,CuentaPred&amp;""))</f>
        <v/>
      </c>
      <c r="R3960" s="52">
        <f>IF(P3960="","",IF(ISNUMBER(I3960),I3960,TasaUSD))</f>
        <v/>
      </c>
      <c r="S3960" s="53">
        <f>IF(P3960="","",IF(H3960="USD",G3960*R3960,G3960))</f>
        <v/>
      </c>
      <c r="T3960" s="53">
        <f>IF(P3960="","",IF(H3960="USD",G3960,IF(R3960&gt;0,G3960/R3960,0)))</f>
        <v/>
      </c>
      <c r="U3960" s="53">
        <f>IF(P3960="","",IF(P3960="Gasto",S3960,IF(P3960="Reembolso",-S3960,0)))</f>
        <v/>
      </c>
      <c r="V3960" s="53">
        <f>IF(P3960="","",IF(P3960="Ingreso",S3960,0))</f>
        <v/>
      </c>
      <c r="W3960" s="53">
        <f>IF(P3960="","",IF(P3960="Resultado trading",S3960,0))</f>
        <v/>
      </c>
      <c r="X3960" s="52">
        <f>IF(OR(P3960="Gasto",P3960="Reembolso"),IF(M3960&lt;&gt;"",M3960,IFERROR(INDEX(catClasif,MATCH(D3960&amp;"|"&amp;E3960,catClave,0))&amp;"","Variable")),"")</f>
        <v/>
      </c>
      <c r="Y3960" s="52">
        <f>IF(P3960="","",IFERROR(INDEX(catGrupo,MATCH(D3960&amp;"|"&amp;E3960,catClave,0))&amp;"",""))</f>
        <v/>
      </c>
      <c r="Z3960" s="52">
        <f>IF(P3960="","",WEEKDAY(B3960,2))</f>
        <v/>
      </c>
      <c r="AA3960" s="52">
        <f>IF(P3960="","",IF(AND(P3960="Gasto",X3960="Variable",D3960&lt;&gt;catTrading,S3960&gt;0,S3960&lt;=Umbral),1,0))</f>
        <v/>
      </c>
      <c r="AB3960" s="52">
        <f>IF(OR(P3960="",Q3960=""),"",IFERROR(IF(INDEX(ctaVinc,MATCH(Q3960,ctaNombre,0))&amp;""&lt;&gt;"",INDEX(ctaVinc,MATCH(Q3960,ctaNombre,0))&amp;"",Q3960),Q3960))</f>
        <v/>
      </c>
      <c r="AC3960" s="52">
        <f>IF(OR(K3960="",AND(P3960&lt;&gt;"Transferencia",P3960&lt;&gt;"Pago tarjeta")),"",IFERROR(IF(INDEX(ctaVinc,MATCH(K3960,ctaNombre,0))&amp;""&lt;&gt;"",INDEX(ctaVinc,MATCH(K3960,ctaNombre,0))&amp;"",K3960),K3960))</f>
        <v/>
      </c>
      <c r="AD3960" s="52">
        <f>IF(AB3960="","",IFERROR(INDEX(ctaTipo,MATCH(AB3960,ctaNombre,0))&amp;"",""))</f>
        <v/>
      </c>
      <c r="AE3960" s="52">
        <f>IF(AC3960="","",IFERROR(INDEX(ctaTipo,MATCH(AC3960,ctaNombre,0))&amp;"",""))</f>
        <v/>
      </c>
      <c r="AF3960" s="53">
        <f>IF(OR(P3960="",AB3960=""),"",IF(OR(P3960="Gasto",P3960="Transferencia",P3960="Pago tarjeta"),-1,1)*IF(IFERROR(INDEX(ctaMoneda,MATCH(AB3960,ctaNombre,0))&amp;"","DOP")="USD",T3960,S3960))</f>
        <v/>
      </c>
      <c r="AG3960" s="53">
        <f>IF(AC3960="","",IF(IFERROR(INDEX(ctaMoneda,MATCH(AC3960,ctaNombre,0))&amp;"","DOP")="USD",T3960,S3960))</f>
        <v/>
      </c>
      <c r="AH3960" s="53">
        <f>IF(P3960="","",IF(AND(AD3960&lt;&gt;"",COUNTIFS(tcTipo,AD3960,tcLiq,"Sí")&gt;0),IF(OR(P3960="Gasto",P3960="Transferencia",P3960="Pago tarjeta"),-1,1)*S3960,0)+IF(AND(AE3960&lt;&gt;"",COUNTIFS(tcTipo,AE3960,tcLiq,"Sí")&gt;0),S3960,0))</f>
        <v/>
      </c>
      <c r="AI3960" s="52">
        <f>IF(OR(L3960="",P3960=""),"",IF(COUNTIFS(L$6:L3960,L3960,P$6:P3960,"?*")=1,MAX(AI$5:AI3959)+1,""))</f>
        <v/>
      </c>
    </row>
    <row r="3961">
      <c r="B3961" s="47" t="n"/>
      <c r="C3961" s="48" t="n"/>
      <c r="D3961" s="48" t="n"/>
      <c r="E3961" s="48" t="n"/>
      <c r="F3961" s="48" t="n"/>
      <c r="G3961" s="49" t="n"/>
      <c r="H3961" s="48" t="n"/>
      <c r="I3961" s="50" t="n"/>
      <c r="J3961" s="48" t="n"/>
      <c r="K3961" s="48" t="n"/>
      <c r="L3961" s="48" t="n"/>
      <c r="M3961" s="48" t="n"/>
      <c r="N3961" s="48" t="n"/>
      <c r="O3961" s="51">
        <f>IF(AND(B3961="",G3961="",C3961="",D3961="",J3961=""),"",IF(B3961="","⚠ Falta fecha",IF(G3961="","⚠ Falta monto",IF(Q3961="","⚠ Falta cuenta",IF(ISNA(MATCH(Q3961,ctaNombre,0)),"⚠ Cuenta no registrada",IF(AND(OR(P3961="Gasto",P3961="Reembolso"),D3961=""),"⚠ Falta categoría",IF(AND(D3961&lt;&gt;"",E3961&lt;&gt;"",ISNA(MATCH(D3961&amp;"|"&amp;E3961,catClave,0))),"⚠ Subcategoría no corresponde",IF(AND(OR(P3961="Transferencia",P3961="Pago tarjeta"),K3961=""),"⚠ Falta cuenta destino",IF(AND(K3961&lt;&gt;"",P3961&lt;&gt;"Transferencia",P3961&lt;&gt;"Pago tarjeta"),"⚠ Destino solo aplica a transferencias",IF(AND(K3961&lt;&gt;"",K3961=Q3961),"⚠ Origen igual a destino",IF(AND(K3961&lt;&gt;"",ISNA(MATCH(K3961,ctaNombre,0))),"⚠ Destino no registrado",IF(AND(P3961="Pago tarjeta",AE3961&lt;&gt;"Tarjeta de crédito"),"⚠ El destino debe ser tarjeta de crédito",IF(AND(P3961="Gasto",E3961="Depósitos y retiros"),"⚠ Usa tipo Transferencia",IF(AND(P3961="Resultado trading",AD3961&lt;&gt;"Cuenta de trading"),"⚠ Usa una cuenta de trading",IF(AND(G3961&lt;=0,P3961&lt;&gt;"Ajuste",P3961&lt;&gt;"Resultado trading"),"⚠ El monto debe ser positivo","✓")))))))))))))))</f>
        <v/>
      </c>
      <c r="P3961" s="52">
        <f>IF(OR(B3961="",G3961=""),"",IF(C3961="","Gasto",C3961))</f>
        <v/>
      </c>
      <c r="Q3961" s="52">
        <f>IF(P3961="","",IF(J3961&lt;&gt;"",J3961,CuentaPred&amp;""))</f>
        <v/>
      </c>
      <c r="R3961" s="52">
        <f>IF(P3961="","",IF(ISNUMBER(I3961),I3961,TasaUSD))</f>
        <v/>
      </c>
      <c r="S3961" s="53">
        <f>IF(P3961="","",IF(H3961="USD",G3961*R3961,G3961))</f>
        <v/>
      </c>
      <c r="T3961" s="53">
        <f>IF(P3961="","",IF(H3961="USD",G3961,IF(R3961&gt;0,G3961/R3961,0)))</f>
        <v/>
      </c>
      <c r="U3961" s="53">
        <f>IF(P3961="","",IF(P3961="Gasto",S3961,IF(P3961="Reembolso",-S3961,0)))</f>
        <v/>
      </c>
      <c r="V3961" s="53">
        <f>IF(P3961="","",IF(P3961="Ingreso",S3961,0))</f>
        <v/>
      </c>
      <c r="W3961" s="53">
        <f>IF(P3961="","",IF(P3961="Resultado trading",S3961,0))</f>
        <v/>
      </c>
      <c r="X3961" s="52">
        <f>IF(OR(P3961="Gasto",P3961="Reembolso"),IF(M3961&lt;&gt;"",M3961,IFERROR(INDEX(catClasif,MATCH(D3961&amp;"|"&amp;E3961,catClave,0))&amp;"","Variable")),"")</f>
        <v/>
      </c>
      <c r="Y3961" s="52">
        <f>IF(P3961="","",IFERROR(INDEX(catGrupo,MATCH(D3961&amp;"|"&amp;E3961,catClave,0))&amp;"",""))</f>
        <v/>
      </c>
      <c r="Z3961" s="52">
        <f>IF(P3961="","",WEEKDAY(B3961,2))</f>
        <v/>
      </c>
      <c r="AA3961" s="52">
        <f>IF(P3961="","",IF(AND(P3961="Gasto",X3961="Variable",D3961&lt;&gt;catTrading,S3961&gt;0,S3961&lt;=Umbral),1,0))</f>
        <v/>
      </c>
      <c r="AB3961" s="52">
        <f>IF(OR(P3961="",Q3961=""),"",IFERROR(IF(INDEX(ctaVinc,MATCH(Q3961,ctaNombre,0))&amp;""&lt;&gt;"",INDEX(ctaVinc,MATCH(Q3961,ctaNombre,0))&amp;"",Q3961),Q3961))</f>
        <v/>
      </c>
      <c r="AC3961" s="52">
        <f>IF(OR(K3961="",AND(P3961&lt;&gt;"Transferencia",P3961&lt;&gt;"Pago tarjeta")),"",IFERROR(IF(INDEX(ctaVinc,MATCH(K3961,ctaNombre,0))&amp;""&lt;&gt;"",INDEX(ctaVinc,MATCH(K3961,ctaNombre,0))&amp;"",K3961),K3961))</f>
        <v/>
      </c>
      <c r="AD3961" s="52">
        <f>IF(AB3961="","",IFERROR(INDEX(ctaTipo,MATCH(AB3961,ctaNombre,0))&amp;"",""))</f>
        <v/>
      </c>
      <c r="AE3961" s="52">
        <f>IF(AC3961="","",IFERROR(INDEX(ctaTipo,MATCH(AC3961,ctaNombre,0))&amp;"",""))</f>
        <v/>
      </c>
      <c r="AF3961" s="53">
        <f>IF(OR(P3961="",AB3961=""),"",IF(OR(P3961="Gasto",P3961="Transferencia",P3961="Pago tarjeta"),-1,1)*IF(IFERROR(INDEX(ctaMoneda,MATCH(AB3961,ctaNombre,0))&amp;"","DOP")="USD",T3961,S3961))</f>
        <v/>
      </c>
      <c r="AG3961" s="53">
        <f>IF(AC3961="","",IF(IFERROR(INDEX(ctaMoneda,MATCH(AC3961,ctaNombre,0))&amp;"","DOP")="USD",T3961,S3961))</f>
        <v/>
      </c>
      <c r="AH3961" s="53">
        <f>IF(P3961="","",IF(AND(AD3961&lt;&gt;"",COUNTIFS(tcTipo,AD3961,tcLiq,"Sí")&gt;0),IF(OR(P3961="Gasto",P3961="Transferencia",P3961="Pago tarjeta"),-1,1)*S3961,0)+IF(AND(AE3961&lt;&gt;"",COUNTIFS(tcTipo,AE3961,tcLiq,"Sí")&gt;0),S3961,0))</f>
        <v/>
      </c>
      <c r="AI3961" s="52">
        <f>IF(OR(L3961="",P3961=""),"",IF(COUNTIFS(L$6:L3961,L3961,P$6:P3961,"?*")=1,MAX(AI$5:AI3960)+1,""))</f>
        <v/>
      </c>
    </row>
    <row r="3962">
      <c r="B3962" s="47" t="n"/>
      <c r="C3962" s="48" t="n"/>
      <c r="D3962" s="48" t="n"/>
      <c r="E3962" s="48" t="n"/>
      <c r="F3962" s="48" t="n"/>
      <c r="G3962" s="49" t="n"/>
      <c r="H3962" s="48" t="n"/>
      <c r="I3962" s="50" t="n"/>
      <c r="J3962" s="48" t="n"/>
      <c r="K3962" s="48" t="n"/>
      <c r="L3962" s="48" t="n"/>
      <c r="M3962" s="48" t="n"/>
      <c r="N3962" s="48" t="n"/>
      <c r="O3962" s="51">
        <f>IF(AND(B3962="",G3962="",C3962="",D3962="",J3962=""),"",IF(B3962="","⚠ Falta fecha",IF(G3962="","⚠ Falta monto",IF(Q3962="","⚠ Falta cuenta",IF(ISNA(MATCH(Q3962,ctaNombre,0)),"⚠ Cuenta no registrada",IF(AND(OR(P3962="Gasto",P3962="Reembolso"),D3962=""),"⚠ Falta categoría",IF(AND(D3962&lt;&gt;"",E3962&lt;&gt;"",ISNA(MATCH(D3962&amp;"|"&amp;E3962,catClave,0))),"⚠ Subcategoría no corresponde",IF(AND(OR(P3962="Transferencia",P3962="Pago tarjeta"),K3962=""),"⚠ Falta cuenta destino",IF(AND(K3962&lt;&gt;"",P3962&lt;&gt;"Transferencia",P3962&lt;&gt;"Pago tarjeta"),"⚠ Destino solo aplica a transferencias",IF(AND(K3962&lt;&gt;"",K3962=Q3962),"⚠ Origen igual a destino",IF(AND(K3962&lt;&gt;"",ISNA(MATCH(K3962,ctaNombre,0))),"⚠ Destino no registrado",IF(AND(P3962="Pago tarjeta",AE3962&lt;&gt;"Tarjeta de crédito"),"⚠ El destino debe ser tarjeta de crédito",IF(AND(P3962="Gasto",E3962="Depósitos y retiros"),"⚠ Usa tipo Transferencia",IF(AND(P3962="Resultado trading",AD3962&lt;&gt;"Cuenta de trading"),"⚠ Usa una cuenta de trading",IF(AND(G3962&lt;=0,P3962&lt;&gt;"Ajuste",P3962&lt;&gt;"Resultado trading"),"⚠ El monto debe ser positivo","✓")))))))))))))))</f>
        <v/>
      </c>
      <c r="P3962" s="52">
        <f>IF(OR(B3962="",G3962=""),"",IF(C3962="","Gasto",C3962))</f>
        <v/>
      </c>
      <c r="Q3962" s="52">
        <f>IF(P3962="","",IF(J3962&lt;&gt;"",J3962,CuentaPred&amp;""))</f>
        <v/>
      </c>
      <c r="R3962" s="52">
        <f>IF(P3962="","",IF(ISNUMBER(I3962),I3962,TasaUSD))</f>
        <v/>
      </c>
      <c r="S3962" s="53">
        <f>IF(P3962="","",IF(H3962="USD",G3962*R3962,G3962))</f>
        <v/>
      </c>
      <c r="T3962" s="53">
        <f>IF(P3962="","",IF(H3962="USD",G3962,IF(R3962&gt;0,G3962/R3962,0)))</f>
        <v/>
      </c>
      <c r="U3962" s="53">
        <f>IF(P3962="","",IF(P3962="Gasto",S3962,IF(P3962="Reembolso",-S3962,0)))</f>
        <v/>
      </c>
      <c r="V3962" s="53">
        <f>IF(P3962="","",IF(P3962="Ingreso",S3962,0))</f>
        <v/>
      </c>
      <c r="W3962" s="53">
        <f>IF(P3962="","",IF(P3962="Resultado trading",S3962,0))</f>
        <v/>
      </c>
      <c r="X3962" s="52">
        <f>IF(OR(P3962="Gasto",P3962="Reembolso"),IF(M3962&lt;&gt;"",M3962,IFERROR(INDEX(catClasif,MATCH(D3962&amp;"|"&amp;E3962,catClave,0))&amp;"","Variable")),"")</f>
        <v/>
      </c>
      <c r="Y3962" s="52">
        <f>IF(P3962="","",IFERROR(INDEX(catGrupo,MATCH(D3962&amp;"|"&amp;E3962,catClave,0))&amp;"",""))</f>
        <v/>
      </c>
      <c r="Z3962" s="52">
        <f>IF(P3962="","",WEEKDAY(B3962,2))</f>
        <v/>
      </c>
      <c r="AA3962" s="52">
        <f>IF(P3962="","",IF(AND(P3962="Gasto",X3962="Variable",D3962&lt;&gt;catTrading,S3962&gt;0,S3962&lt;=Umbral),1,0))</f>
        <v/>
      </c>
      <c r="AB3962" s="52">
        <f>IF(OR(P3962="",Q3962=""),"",IFERROR(IF(INDEX(ctaVinc,MATCH(Q3962,ctaNombre,0))&amp;""&lt;&gt;"",INDEX(ctaVinc,MATCH(Q3962,ctaNombre,0))&amp;"",Q3962),Q3962))</f>
        <v/>
      </c>
      <c r="AC3962" s="52">
        <f>IF(OR(K3962="",AND(P3962&lt;&gt;"Transferencia",P3962&lt;&gt;"Pago tarjeta")),"",IFERROR(IF(INDEX(ctaVinc,MATCH(K3962,ctaNombre,0))&amp;""&lt;&gt;"",INDEX(ctaVinc,MATCH(K3962,ctaNombre,0))&amp;"",K3962),K3962))</f>
        <v/>
      </c>
      <c r="AD3962" s="52">
        <f>IF(AB3962="","",IFERROR(INDEX(ctaTipo,MATCH(AB3962,ctaNombre,0))&amp;"",""))</f>
        <v/>
      </c>
      <c r="AE3962" s="52">
        <f>IF(AC3962="","",IFERROR(INDEX(ctaTipo,MATCH(AC3962,ctaNombre,0))&amp;"",""))</f>
        <v/>
      </c>
      <c r="AF3962" s="53">
        <f>IF(OR(P3962="",AB3962=""),"",IF(OR(P3962="Gasto",P3962="Transferencia",P3962="Pago tarjeta"),-1,1)*IF(IFERROR(INDEX(ctaMoneda,MATCH(AB3962,ctaNombre,0))&amp;"","DOP")="USD",T3962,S3962))</f>
        <v/>
      </c>
      <c r="AG3962" s="53">
        <f>IF(AC3962="","",IF(IFERROR(INDEX(ctaMoneda,MATCH(AC3962,ctaNombre,0))&amp;"","DOP")="USD",T3962,S3962))</f>
        <v/>
      </c>
      <c r="AH3962" s="53">
        <f>IF(P3962="","",IF(AND(AD3962&lt;&gt;"",COUNTIFS(tcTipo,AD3962,tcLiq,"Sí")&gt;0),IF(OR(P3962="Gasto",P3962="Transferencia",P3962="Pago tarjeta"),-1,1)*S3962,0)+IF(AND(AE3962&lt;&gt;"",COUNTIFS(tcTipo,AE3962,tcLiq,"Sí")&gt;0),S3962,0))</f>
        <v/>
      </c>
      <c r="AI3962" s="52">
        <f>IF(OR(L3962="",P3962=""),"",IF(COUNTIFS(L$6:L3962,L3962,P$6:P3962,"?*")=1,MAX(AI$5:AI3961)+1,""))</f>
        <v/>
      </c>
    </row>
    <row r="3963">
      <c r="B3963" s="47" t="n"/>
      <c r="C3963" s="48" t="n"/>
      <c r="D3963" s="48" t="n"/>
      <c r="E3963" s="48" t="n"/>
      <c r="F3963" s="48" t="n"/>
      <c r="G3963" s="49" t="n"/>
      <c r="H3963" s="48" t="n"/>
      <c r="I3963" s="50" t="n"/>
      <c r="J3963" s="48" t="n"/>
      <c r="K3963" s="48" t="n"/>
      <c r="L3963" s="48" t="n"/>
      <c r="M3963" s="48" t="n"/>
      <c r="N3963" s="48" t="n"/>
      <c r="O3963" s="51">
        <f>IF(AND(B3963="",G3963="",C3963="",D3963="",J3963=""),"",IF(B3963="","⚠ Falta fecha",IF(G3963="","⚠ Falta monto",IF(Q3963="","⚠ Falta cuenta",IF(ISNA(MATCH(Q3963,ctaNombre,0)),"⚠ Cuenta no registrada",IF(AND(OR(P3963="Gasto",P3963="Reembolso"),D3963=""),"⚠ Falta categoría",IF(AND(D3963&lt;&gt;"",E3963&lt;&gt;"",ISNA(MATCH(D3963&amp;"|"&amp;E3963,catClave,0))),"⚠ Subcategoría no corresponde",IF(AND(OR(P3963="Transferencia",P3963="Pago tarjeta"),K3963=""),"⚠ Falta cuenta destino",IF(AND(K3963&lt;&gt;"",P3963&lt;&gt;"Transferencia",P3963&lt;&gt;"Pago tarjeta"),"⚠ Destino solo aplica a transferencias",IF(AND(K3963&lt;&gt;"",K3963=Q3963),"⚠ Origen igual a destino",IF(AND(K3963&lt;&gt;"",ISNA(MATCH(K3963,ctaNombre,0))),"⚠ Destino no registrado",IF(AND(P3963="Pago tarjeta",AE3963&lt;&gt;"Tarjeta de crédito"),"⚠ El destino debe ser tarjeta de crédito",IF(AND(P3963="Gasto",E3963="Depósitos y retiros"),"⚠ Usa tipo Transferencia",IF(AND(P3963="Resultado trading",AD3963&lt;&gt;"Cuenta de trading"),"⚠ Usa una cuenta de trading",IF(AND(G3963&lt;=0,P3963&lt;&gt;"Ajuste",P3963&lt;&gt;"Resultado trading"),"⚠ El monto debe ser positivo","✓")))))))))))))))</f>
        <v/>
      </c>
      <c r="P3963" s="52">
        <f>IF(OR(B3963="",G3963=""),"",IF(C3963="","Gasto",C3963))</f>
        <v/>
      </c>
      <c r="Q3963" s="52">
        <f>IF(P3963="","",IF(J3963&lt;&gt;"",J3963,CuentaPred&amp;""))</f>
        <v/>
      </c>
      <c r="R3963" s="52">
        <f>IF(P3963="","",IF(ISNUMBER(I3963),I3963,TasaUSD))</f>
        <v/>
      </c>
      <c r="S3963" s="53">
        <f>IF(P3963="","",IF(H3963="USD",G3963*R3963,G3963))</f>
        <v/>
      </c>
      <c r="T3963" s="53">
        <f>IF(P3963="","",IF(H3963="USD",G3963,IF(R3963&gt;0,G3963/R3963,0)))</f>
        <v/>
      </c>
      <c r="U3963" s="53">
        <f>IF(P3963="","",IF(P3963="Gasto",S3963,IF(P3963="Reembolso",-S3963,0)))</f>
        <v/>
      </c>
      <c r="V3963" s="53">
        <f>IF(P3963="","",IF(P3963="Ingreso",S3963,0))</f>
        <v/>
      </c>
      <c r="W3963" s="53">
        <f>IF(P3963="","",IF(P3963="Resultado trading",S3963,0))</f>
        <v/>
      </c>
      <c r="X3963" s="52">
        <f>IF(OR(P3963="Gasto",P3963="Reembolso"),IF(M3963&lt;&gt;"",M3963,IFERROR(INDEX(catClasif,MATCH(D3963&amp;"|"&amp;E3963,catClave,0))&amp;"","Variable")),"")</f>
        <v/>
      </c>
      <c r="Y3963" s="52">
        <f>IF(P3963="","",IFERROR(INDEX(catGrupo,MATCH(D3963&amp;"|"&amp;E3963,catClave,0))&amp;"",""))</f>
        <v/>
      </c>
      <c r="Z3963" s="52">
        <f>IF(P3963="","",WEEKDAY(B3963,2))</f>
        <v/>
      </c>
      <c r="AA3963" s="52">
        <f>IF(P3963="","",IF(AND(P3963="Gasto",X3963="Variable",D3963&lt;&gt;catTrading,S3963&gt;0,S3963&lt;=Umbral),1,0))</f>
        <v/>
      </c>
      <c r="AB3963" s="52">
        <f>IF(OR(P3963="",Q3963=""),"",IFERROR(IF(INDEX(ctaVinc,MATCH(Q3963,ctaNombre,0))&amp;""&lt;&gt;"",INDEX(ctaVinc,MATCH(Q3963,ctaNombre,0))&amp;"",Q3963),Q3963))</f>
        <v/>
      </c>
      <c r="AC3963" s="52">
        <f>IF(OR(K3963="",AND(P3963&lt;&gt;"Transferencia",P3963&lt;&gt;"Pago tarjeta")),"",IFERROR(IF(INDEX(ctaVinc,MATCH(K3963,ctaNombre,0))&amp;""&lt;&gt;"",INDEX(ctaVinc,MATCH(K3963,ctaNombre,0))&amp;"",K3963),K3963))</f>
        <v/>
      </c>
      <c r="AD3963" s="52">
        <f>IF(AB3963="","",IFERROR(INDEX(ctaTipo,MATCH(AB3963,ctaNombre,0))&amp;"",""))</f>
        <v/>
      </c>
      <c r="AE3963" s="52">
        <f>IF(AC3963="","",IFERROR(INDEX(ctaTipo,MATCH(AC3963,ctaNombre,0))&amp;"",""))</f>
        <v/>
      </c>
      <c r="AF3963" s="53">
        <f>IF(OR(P3963="",AB3963=""),"",IF(OR(P3963="Gasto",P3963="Transferencia",P3963="Pago tarjeta"),-1,1)*IF(IFERROR(INDEX(ctaMoneda,MATCH(AB3963,ctaNombre,0))&amp;"","DOP")="USD",T3963,S3963))</f>
        <v/>
      </c>
      <c r="AG3963" s="53">
        <f>IF(AC3963="","",IF(IFERROR(INDEX(ctaMoneda,MATCH(AC3963,ctaNombre,0))&amp;"","DOP")="USD",T3963,S3963))</f>
        <v/>
      </c>
      <c r="AH3963" s="53">
        <f>IF(P3963="","",IF(AND(AD3963&lt;&gt;"",COUNTIFS(tcTipo,AD3963,tcLiq,"Sí")&gt;0),IF(OR(P3963="Gasto",P3963="Transferencia",P3963="Pago tarjeta"),-1,1)*S3963,0)+IF(AND(AE3963&lt;&gt;"",COUNTIFS(tcTipo,AE3963,tcLiq,"Sí")&gt;0),S3963,0))</f>
        <v/>
      </c>
      <c r="AI3963" s="52">
        <f>IF(OR(L3963="",P3963=""),"",IF(COUNTIFS(L$6:L3963,L3963,P$6:P3963,"?*")=1,MAX(AI$5:AI3962)+1,""))</f>
        <v/>
      </c>
    </row>
    <row r="3964">
      <c r="B3964" s="47" t="n"/>
      <c r="C3964" s="48" t="n"/>
      <c r="D3964" s="48" t="n"/>
      <c r="E3964" s="48" t="n"/>
      <c r="F3964" s="48" t="n"/>
      <c r="G3964" s="49" t="n"/>
      <c r="H3964" s="48" t="n"/>
      <c r="I3964" s="50" t="n"/>
      <c r="J3964" s="48" t="n"/>
      <c r="K3964" s="48" t="n"/>
      <c r="L3964" s="48" t="n"/>
      <c r="M3964" s="48" t="n"/>
      <c r="N3964" s="48" t="n"/>
      <c r="O3964" s="51">
        <f>IF(AND(B3964="",G3964="",C3964="",D3964="",J3964=""),"",IF(B3964="","⚠ Falta fecha",IF(G3964="","⚠ Falta monto",IF(Q3964="","⚠ Falta cuenta",IF(ISNA(MATCH(Q3964,ctaNombre,0)),"⚠ Cuenta no registrada",IF(AND(OR(P3964="Gasto",P3964="Reembolso"),D3964=""),"⚠ Falta categoría",IF(AND(D3964&lt;&gt;"",E3964&lt;&gt;"",ISNA(MATCH(D3964&amp;"|"&amp;E3964,catClave,0))),"⚠ Subcategoría no corresponde",IF(AND(OR(P3964="Transferencia",P3964="Pago tarjeta"),K3964=""),"⚠ Falta cuenta destino",IF(AND(K3964&lt;&gt;"",P3964&lt;&gt;"Transferencia",P3964&lt;&gt;"Pago tarjeta"),"⚠ Destino solo aplica a transferencias",IF(AND(K3964&lt;&gt;"",K3964=Q3964),"⚠ Origen igual a destino",IF(AND(K3964&lt;&gt;"",ISNA(MATCH(K3964,ctaNombre,0))),"⚠ Destino no registrado",IF(AND(P3964="Pago tarjeta",AE3964&lt;&gt;"Tarjeta de crédito"),"⚠ El destino debe ser tarjeta de crédito",IF(AND(P3964="Gasto",E3964="Depósitos y retiros"),"⚠ Usa tipo Transferencia",IF(AND(P3964="Resultado trading",AD3964&lt;&gt;"Cuenta de trading"),"⚠ Usa una cuenta de trading",IF(AND(G3964&lt;=0,P3964&lt;&gt;"Ajuste",P3964&lt;&gt;"Resultado trading"),"⚠ El monto debe ser positivo","✓")))))))))))))))</f>
        <v/>
      </c>
      <c r="P3964" s="52">
        <f>IF(OR(B3964="",G3964=""),"",IF(C3964="","Gasto",C3964))</f>
        <v/>
      </c>
      <c r="Q3964" s="52">
        <f>IF(P3964="","",IF(J3964&lt;&gt;"",J3964,CuentaPred&amp;""))</f>
        <v/>
      </c>
      <c r="R3964" s="52">
        <f>IF(P3964="","",IF(ISNUMBER(I3964),I3964,TasaUSD))</f>
        <v/>
      </c>
      <c r="S3964" s="53">
        <f>IF(P3964="","",IF(H3964="USD",G3964*R3964,G3964))</f>
        <v/>
      </c>
      <c r="T3964" s="53">
        <f>IF(P3964="","",IF(H3964="USD",G3964,IF(R3964&gt;0,G3964/R3964,0)))</f>
        <v/>
      </c>
      <c r="U3964" s="53">
        <f>IF(P3964="","",IF(P3964="Gasto",S3964,IF(P3964="Reembolso",-S3964,0)))</f>
        <v/>
      </c>
      <c r="V3964" s="53">
        <f>IF(P3964="","",IF(P3964="Ingreso",S3964,0))</f>
        <v/>
      </c>
      <c r="W3964" s="53">
        <f>IF(P3964="","",IF(P3964="Resultado trading",S3964,0))</f>
        <v/>
      </c>
      <c r="X3964" s="52">
        <f>IF(OR(P3964="Gasto",P3964="Reembolso"),IF(M3964&lt;&gt;"",M3964,IFERROR(INDEX(catClasif,MATCH(D3964&amp;"|"&amp;E3964,catClave,0))&amp;"","Variable")),"")</f>
        <v/>
      </c>
      <c r="Y3964" s="52">
        <f>IF(P3964="","",IFERROR(INDEX(catGrupo,MATCH(D3964&amp;"|"&amp;E3964,catClave,0))&amp;"",""))</f>
        <v/>
      </c>
      <c r="Z3964" s="52">
        <f>IF(P3964="","",WEEKDAY(B3964,2))</f>
        <v/>
      </c>
      <c r="AA3964" s="52">
        <f>IF(P3964="","",IF(AND(P3964="Gasto",X3964="Variable",D3964&lt;&gt;catTrading,S3964&gt;0,S3964&lt;=Umbral),1,0))</f>
        <v/>
      </c>
      <c r="AB3964" s="52">
        <f>IF(OR(P3964="",Q3964=""),"",IFERROR(IF(INDEX(ctaVinc,MATCH(Q3964,ctaNombre,0))&amp;""&lt;&gt;"",INDEX(ctaVinc,MATCH(Q3964,ctaNombre,0))&amp;"",Q3964),Q3964))</f>
        <v/>
      </c>
      <c r="AC3964" s="52">
        <f>IF(OR(K3964="",AND(P3964&lt;&gt;"Transferencia",P3964&lt;&gt;"Pago tarjeta")),"",IFERROR(IF(INDEX(ctaVinc,MATCH(K3964,ctaNombre,0))&amp;""&lt;&gt;"",INDEX(ctaVinc,MATCH(K3964,ctaNombre,0))&amp;"",K3964),K3964))</f>
        <v/>
      </c>
      <c r="AD3964" s="52">
        <f>IF(AB3964="","",IFERROR(INDEX(ctaTipo,MATCH(AB3964,ctaNombre,0))&amp;"",""))</f>
        <v/>
      </c>
      <c r="AE3964" s="52">
        <f>IF(AC3964="","",IFERROR(INDEX(ctaTipo,MATCH(AC3964,ctaNombre,0))&amp;"",""))</f>
        <v/>
      </c>
      <c r="AF3964" s="53">
        <f>IF(OR(P3964="",AB3964=""),"",IF(OR(P3964="Gasto",P3964="Transferencia",P3964="Pago tarjeta"),-1,1)*IF(IFERROR(INDEX(ctaMoneda,MATCH(AB3964,ctaNombre,0))&amp;"","DOP")="USD",T3964,S3964))</f>
        <v/>
      </c>
      <c r="AG3964" s="53">
        <f>IF(AC3964="","",IF(IFERROR(INDEX(ctaMoneda,MATCH(AC3964,ctaNombre,0))&amp;"","DOP")="USD",T3964,S3964))</f>
        <v/>
      </c>
      <c r="AH3964" s="53">
        <f>IF(P3964="","",IF(AND(AD3964&lt;&gt;"",COUNTIFS(tcTipo,AD3964,tcLiq,"Sí")&gt;0),IF(OR(P3964="Gasto",P3964="Transferencia",P3964="Pago tarjeta"),-1,1)*S3964,0)+IF(AND(AE3964&lt;&gt;"",COUNTIFS(tcTipo,AE3964,tcLiq,"Sí")&gt;0),S3964,0))</f>
        <v/>
      </c>
      <c r="AI3964" s="52">
        <f>IF(OR(L3964="",P3964=""),"",IF(COUNTIFS(L$6:L3964,L3964,P$6:P3964,"?*")=1,MAX(AI$5:AI3963)+1,""))</f>
        <v/>
      </c>
    </row>
    <row r="3965">
      <c r="B3965" s="47" t="n"/>
      <c r="C3965" s="48" t="n"/>
      <c r="D3965" s="48" t="n"/>
      <c r="E3965" s="48" t="n"/>
      <c r="F3965" s="48" t="n"/>
      <c r="G3965" s="49" t="n"/>
      <c r="H3965" s="48" t="n"/>
      <c r="I3965" s="50" t="n"/>
      <c r="J3965" s="48" t="n"/>
      <c r="K3965" s="48" t="n"/>
      <c r="L3965" s="48" t="n"/>
      <c r="M3965" s="48" t="n"/>
      <c r="N3965" s="48" t="n"/>
      <c r="O3965" s="51">
        <f>IF(AND(B3965="",G3965="",C3965="",D3965="",J3965=""),"",IF(B3965="","⚠ Falta fecha",IF(G3965="","⚠ Falta monto",IF(Q3965="","⚠ Falta cuenta",IF(ISNA(MATCH(Q3965,ctaNombre,0)),"⚠ Cuenta no registrada",IF(AND(OR(P3965="Gasto",P3965="Reembolso"),D3965=""),"⚠ Falta categoría",IF(AND(D3965&lt;&gt;"",E3965&lt;&gt;"",ISNA(MATCH(D3965&amp;"|"&amp;E3965,catClave,0))),"⚠ Subcategoría no corresponde",IF(AND(OR(P3965="Transferencia",P3965="Pago tarjeta"),K3965=""),"⚠ Falta cuenta destino",IF(AND(K3965&lt;&gt;"",P3965&lt;&gt;"Transferencia",P3965&lt;&gt;"Pago tarjeta"),"⚠ Destino solo aplica a transferencias",IF(AND(K3965&lt;&gt;"",K3965=Q3965),"⚠ Origen igual a destino",IF(AND(K3965&lt;&gt;"",ISNA(MATCH(K3965,ctaNombre,0))),"⚠ Destino no registrado",IF(AND(P3965="Pago tarjeta",AE3965&lt;&gt;"Tarjeta de crédito"),"⚠ El destino debe ser tarjeta de crédito",IF(AND(P3965="Gasto",E3965="Depósitos y retiros"),"⚠ Usa tipo Transferencia",IF(AND(P3965="Resultado trading",AD3965&lt;&gt;"Cuenta de trading"),"⚠ Usa una cuenta de trading",IF(AND(G3965&lt;=0,P3965&lt;&gt;"Ajuste",P3965&lt;&gt;"Resultado trading"),"⚠ El monto debe ser positivo","✓")))))))))))))))</f>
        <v/>
      </c>
      <c r="P3965" s="52">
        <f>IF(OR(B3965="",G3965=""),"",IF(C3965="","Gasto",C3965))</f>
        <v/>
      </c>
      <c r="Q3965" s="52">
        <f>IF(P3965="","",IF(J3965&lt;&gt;"",J3965,CuentaPred&amp;""))</f>
        <v/>
      </c>
      <c r="R3965" s="52">
        <f>IF(P3965="","",IF(ISNUMBER(I3965),I3965,TasaUSD))</f>
        <v/>
      </c>
      <c r="S3965" s="53">
        <f>IF(P3965="","",IF(H3965="USD",G3965*R3965,G3965))</f>
        <v/>
      </c>
      <c r="T3965" s="53">
        <f>IF(P3965="","",IF(H3965="USD",G3965,IF(R3965&gt;0,G3965/R3965,0)))</f>
        <v/>
      </c>
      <c r="U3965" s="53">
        <f>IF(P3965="","",IF(P3965="Gasto",S3965,IF(P3965="Reembolso",-S3965,0)))</f>
        <v/>
      </c>
      <c r="V3965" s="53">
        <f>IF(P3965="","",IF(P3965="Ingreso",S3965,0))</f>
        <v/>
      </c>
      <c r="W3965" s="53">
        <f>IF(P3965="","",IF(P3965="Resultado trading",S3965,0))</f>
        <v/>
      </c>
      <c r="X3965" s="52">
        <f>IF(OR(P3965="Gasto",P3965="Reembolso"),IF(M3965&lt;&gt;"",M3965,IFERROR(INDEX(catClasif,MATCH(D3965&amp;"|"&amp;E3965,catClave,0))&amp;"","Variable")),"")</f>
        <v/>
      </c>
      <c r="Y3965" s="52">
        <f>IF(P3965="","",IFERROR(INDEX(catGrupo,MATCH(D3965&amp;"|"&amp;E3965,catClave,0))&amp;"",""))</f>
        <v/>
      </c>
      <c r="Z3965" s="52">
        <f>IF(P3965="","",WEEKDAY(B3965,2))</f>
        <v/>
      </c>
      <c r="AA3965" s="52">
        <f>IF(P3965="","",IF(AND(P3965="Gasto",X3965="Variable",D3965&lt;&gt;catTrading,S3965&gt;0,S3965&lt;=Umbral),1,0))</f>
        <v/>
      </c>
      <c r="AB3965" s="52">
        <f>IF(OR(P3965="",Q3965=""),"",IFERROR(IF(INDEX(ctaVinc,MATCH(Q3965,ctaNombre,0))&amp;""&lt;&gt;"",INDEX(ctaVinc,MATCH(Q3965,ctaNombre,0))&amp;"",Q3965),Q3965))</f>
        <v/>
      </c>
      <c r="AC3965" s="52">
        <f>IF(OR(K3965="",AND(P3965&lt;&gt;"Transferencia",P3965&lt;&gt;"Pago tarjeta")),"",IFERROR(IF(INDEX(ctaVinc,MATCH(K3965,ctaNombre,0))&amp;""&lt;&gt;"",INDEX(ctaVinc,MATCH(K3965,ctaNombre,0))&amp;"",K3965),K3965))</f>
        <v/>
      </c>
      <c r="AD3965" s="52">
        <f>IF(AB3965="","",IFERROR(INDEX(ctaTipo,MATCH(AB3965,ctaNombre,0))&amp;"",""))</f>
        <v/>
      </c>
      <c r="AE3965" s="52">
        <f>IF(AC3965="","",IFERROR(INDEX(ctaTipo,MATCH(AC3965,ctaNombre,0))&amp;"",""))</f>
        <v/>
      </c>
      <c r="AF3965" s="53">
        <f>IF(OR(P3965="",AB3965=""),"",IF(OR(P3965="Gasto",P3965="Transferencia",P3965="Pago tarjeta"),-1,1)*IF(IFERROR(INDEX(ctaMoneda,MATCH(AB3965,ctaNombre,0))&amp;"","DOP")="USD",T3965,S3965))</f>
        <v/>
      </c>
      <c r="AG3965" s="53">
        <f>IF(AC3965="","",IF(IFERROR(INDEX(ctaMoneda,MATCH(AC3965,ctaNombre,0))&amp;"","DOP")="USD",T3965,S3965))</f>
        <v/>
      </c>
      <c r="AH3965" s="53">
        <f>IF(P3965="","",IF(AND(AD3965&lt;&gt;"",COUNTIFS(tcTipo,AD3965,tcLiq,"Sí")&gt;0),IF(OR(P3965="Gasto",P3965="Transferencia",P3965="Pago tarjeta"),-1,1)*S3965,0)+IF(AND(AE3965&lt;&gt;"",COUNTIFS(tcTipo,AE3965,tcLiq,"Sí")&gt;0),S3965,0))</f>
        <v/>
      </c>
      <c r="AI3965" s="52">
        <f>IF(OR(L3965="",P3965=""),"",IF(COUNTIFS(L$6:L3965,L3965,P$6:P3965,"?*")=1,MAX(AI$5:AI3964)+1,""))</f>
        <v/>
      </c>
    </row>
    <row r="3966">
      <c r="B3966" s="47" t="n"/>
      <c r="C3966" s="48" t="n"/>
      <c r="D3966" s="48" t="n"/>
      <c r="E3966" s="48" t="n"/>
      <c r="F3966" s="48" t="n"/>
      <c r="G3966" s="49" t="n"/>
      <c r="H3966" s="48" t="n"/>
      <c r="I3966" s="50" t="n"/>
      <c r="J3966" s="48" t="n"/>
      <c r="K3966" s="48" t="n"/>
      <c r="L3966" s="48" t="n"/>
      <c r="M3966" s="48" t="n"/>
      <c r="N3966" s="48" t="n"/>
      <c r="O3966" s="51">
        <f>IF(AND(B3966="",G3966="",C3966="",D3966="",J3966=""),"",IF(B3966="","⚠ Falta fecha",IF(G3966="","⚠ Falta monto",IF(Q3966="","⚠ Falta cuenta",IF(ISNA(MATCH(Q3966,ctaNombre,0)),"⚠ Cuenta no registrada",IF(AND(OR(P3966="Gasto",P3966="Reembolso"),D3966=""),"⚠ Falta categoría",IF(AND(D3966&lt;&gt;"",E3966&lt;&gt;"",ISNA(MATCH(D3966&amp;"|"&amp;E3966,catClave,0))),"⚠ Subcategoría no corresponde",IF(AND(OR(P3966="Transferencia",P3966="Pago tarjeta"),K3966=""),"⚠ Falta cuenta destino",IF(AND(K3966&lt;&gt;"",P3966&lt;&gt;"Transferencia",P3966&lt;&gt;"Pago tarjeta"),"⚠ Destino solo aplica a transferencias",IF(AND(K3966&lt;&gt;"",K3966=Q3966),"⚠ Origen igual a destino",IF(AND(K3966&lt;&gt;"",ISNA(MATCH(K3966,ctaNombre,0))),"⚠ Destino no registrado",IF(AND(P3966="Pago tarjeta",AE3966&lt;&gt;"Tarjeta de crédito"),"⚠ El destino debe ser tarjeta de crédito",IF(AND(P3966="Gasto",E3966="Depósitos y retiros"),"⚠ Usa tipo Transferencia",IF(AND(P3966="Resultado trading",AD3966&lt;&gt;"Cuenta de trading"),"⚠ Usa una cuenta de trading",IF(AND(G3966&lt;=0,P3966&lt;&gt;"Ajuste",P3966&lt;&gt;"Resultado trading"),"⚠ El monto debe ser positivo","✓")))))))))))))))</f>
        <v/>
      </c>
      <c r="P3966" s="52">
        <f>IF(OR(B3966="",G3966=""),"",IF(C3966="","Gasto",C3966))</f>
        <v/>
      </c>
      <c r="Q3966" s="52">
        <f>IF(P3966="","",IF(J3966&lt;&gt;"",J3966,CuentaPred&amp;""))</f>
        <v/>
      </c>
      <c r="R3966" s="52">
        <f>IF(P3966="","",IF(ISNUMBER(I3966),I3966,TasaUSD))</f>
        <v/>
      </c>
      <c r="S3966" s="53">
        <f>IF(P3966="","",IF(H3966="USD",G3966*R3966,G3966))</f>
        <v/>
      </c>
      <c r="T3966" s="53">
        <f>IF(P3966="","",IF(H3966="USD",G3966,IF(R3966&gt;0,G3966/R3966,0)))</f>
        <v/>
      </c>
      <c r="U3966" s="53">
        <f>IF(P3966="","",IF(P3966="Gasto",S3966,IF(P3966="Reembolso",-S3966,0)))</f>
        <v/>
      </c>
      <c r="V3966" s="53">
        <f>IF(P3966="","",IF(P3966="Ingreso",S3966,0))</f>
        <v/>
      </c>
      <c r="W3966" s="53">
        <f>IF(P3966="","",IF(P3966="Resultado trading",S3966,0))</f>
        <v/>
      </c>
      <c r="X3966" s="52">
        <f>IF(OR(P3966="Gasto",P3966="Reembolso"),IF(M3966&lt;&gt;"",M3966,IFERROR(INDEX(catClasif,MATCH(D3966&amp;"|"&amp;E3966,catClave,0))&amp;"","Variable")),"")</f>
        <v/>
      </c>
      <c r="Y3966" s="52">
        <f>IF(P3966="","",IFERROR(INDEX(catGrupo,MATCH(D3966&amp;"|"&amp;E3966,catClave,0))&amp;"",""))</f>
        <v/>
      </c>
      <c r="Z3966" s="52">
        <f>IF(P3966="","",WEEKDAY(B3966,2))</f>
        <v/>
      </c>
      <c r="AA3966" s="52">
        <f>IF(P3966="","",IF(AND(P3966="Gasto",X3966="Variable",D3966&lt;&gt;catTrading,S3966&gt;0,S3966&lt;=Umbral),1,0))</f>
        <v/>
      </c>
      <c r="AB3966" s="52">
        <f>IF(OR(P3966="",Q3966=""),"",IFERROR(IF(INDEX(ctaVinc,MATCH(Q3966,ctaNombre,0))&amp;""&lt;&gt;"",INDEX(ctaVinc,MATCH(Q3966,ctaNombre,0))&amp;"",Q3966),Q3966))</f>
        <v/>
      </c>
      <c r="AC3966" s="52">
        <f>IF(OR(K3966="",AND(P3966&lt;&gt;"Transferencia",P3966&lt;&gt;"Pago tarjeta")),"",IFERROR(IF(INDEX(ctaVinc,MATCH(K3966,ctaNombre,0))&amp;""&lt;&gt;"",INDEX(ctaVinc,MATCH(K3966,ctaNombre,0))&amp;"",K3966),K3966))</f>
        <v/>
      </c>
      <c r="AD3966" s="52">
        <f>IF(AB3966="","",IFERROR(INDEX(ctaTipo,MATCH(AB3966,ctaNombre,0))&amp;"",""))</f>
        <v/>
      </c>
      <c r="AE3966" s="52">
        <f>IF(AC3966="","",IFERROR(INDEX(ctaTipo,MATCH(AC3966,ctaNombre,0))&amp;"",""))</f>
        <v/>
      </c>
      <c r="AF3966" s="53">
        <f>IF(OR(P3966="",AB3966=""),"",IF(OR(P3966="Gasto",P3966="Transferencia",P3966="Pago tarjeta"),-1,1)*IF(IFERROR(INDEX(ctaMoneda,MATCH(AB3966,ctaNombre,0))&amp;"","DOP")="USD",T3966,S3966))</f>
        <v/>
      </c>
      <c r="AG3966" s="53">
        <f>IF(AC3966="","",IF(IFERROR(INDEX(ctaMoneda,MATCH(AC3966,ctaNombre,0))&amp;"","DOP")="USD",T3966,S3966))</f>
        <v/>
      </c>
      <c r="AH3966" s="53">
        <f>IF(P3966="","",IF(AND(AD3966&lt;&gt;"",COUNTIFS(tcTipo,AD3966,tcLiq,"Sí")&gt;0),IF(OR(P3966="Gasto",P3966="Transferencia",P3966="Pago tarjeta"),-1,1)*S3966,0)+IF(AND(AE3966&lt;&gt;"",COUNTIFS(tcTipo,AE3966,tcLiq,"Sí")&gt;0),S3966,0))</f>
        <v/>
      </c>
      <c r="AI3966" s="52">
        <f>IF(OR(L3966="",P3966=""),"",IF(COUNTIFS(L$6:L3966,L3966,P$6:P3966,"?*")=1,MAX(AI$5:AI3965)+1,""))</f>
        <v/>
      </c>
    </row>
    <row r="3967">
      <c r="B3967" s="47" t="n"/>
      <c r="C3967" s="48" t="n"/>
      <c r="D3967" s="48" t="n"/>
      <c r="E3967" s="48" t="n"/>
      <c r="F3967" s="48" t="n"/>
      <c r="G3967" s="49" t="n"/>
      <c r="H3967" s="48" t="n"/>
      <c r="I3967" s="50" t="n"/>
      <c r="J3967" s="48" t="n"/>
      <c r="K3967" s="48" t="n"/>
      <c r="L3967" s="48" t="n"/>
      <c r="M3967" s="48" t="n"/>
      <c r="N3967" s="48" t="n"/>
      <c r="O3967" s="51">
        <f>IF(AND(B3967="",G3967="",C3967="",D3967="",J3967=""),"",IF(B3967="","⚠ Falta fecha",IF(G3967="","⚠ Falta monto",IF(Q3967="","⚠ Falta cuenta",IF(ISNA(MATCH(Q3967,ctaNombre,0)),"⚠ Cuenta no registrada",IF(AND(OR(P3967="Gasto",P3967="Reembolso"),D3967=""),"⚠ Falta categoría",IF(AND(D3967&lt;&gt;"",E3967&lt;&gt;"",ISNA(MATCH(D3967&amp;"|"&amp;E3967,catClave,0))),"⚠ Subcategoría no corresponde",IF(AND(OR(P3967="Transferencia",P3967="Pago tarjeta"),K3967=""),"⚠ Falta cuenta destino",IF(AND(K3967&lt;&gt;"",P3967&lt;&gt;"Transferencia",P3967&lt;&gt;"Pago tarjeta"),"⚠ Destino solo aplica a transferencias",IF(AND(K3967&lt;&gt;"",K3967=Q3967),"⚠ Origen igual a destino",IF(AND(K3967&lt;&gt;"",ISNA(MATCH(K3967,ctaNombre,0))),"⚠ Destino no registrado",IF(AND(P3967="Pago tarjeta",AE3967&lt;&gt;"Tarjeta de crédito"),"⚠ El destino debe ser tarjeta de crédito",IF(AND(P3967="Gasto",E3967="Depósitos y retiros"),"⚠ Usa tipo Transferencia",IF(AND(P3967="Resultado trading",AD3967&lt;&gt;"Cuenta de trading"),"⚠ Usa una cuenta de trading",IF(AND(G3967&lt;=0,P3967&lt;&gt;"Ajuste",P3967&lt;&gt;"Resultado trading"),"⚠ El monto debe ser positivo","✓")))))))))))))))</f>
        <v/>
      </c>
      <c r="P3967" s="52">
        <f>IF(OR(B3967="",G3967=""),"",IF(C3967="","Gasto",C3967))</f>
        <v/>
      </c>
      <c r="Q3967" s="52">
        <f>IF(P3967="","",IF(J3967&lt;&gt;"",J3967,CuentaPred&amp;""))</f>
        <v/>
      </c>
      <c r="R3967" s="52">
        <f>IF(P3967="","",IF(ISNUMBER(I3967),I3967,TasaUSD))</f>
        <v/>
      </c>
      <c r="S3967" s="53">
        <f>IF(P3967="","",IF(H3967="USD",G3967*R3967,G3967))</f>
        <v/>
      </c>
      <c r="T3967" s="53">
        <f>IF(P3967="","",IF(H3967="USD",G3967,IF(R3967&gt;0,G3967/R3967,0)))</f>
        <v/>
      </c>
      <c r="U3967" s="53">
        <f>IF(P3967="","",IF(P3967="Gasto",S3967,IF(P3967="Reembolso",-S3967,0)))</f>
        <v/>
      </c>
      <c r="V3967" s="53">
        <f>IF(P3967="","",IF(P3967="Ingreso",S3967,0))</f>
        <v/>
      </c>
      <c r="W3967" s="53">
        <f>IF(P3967="","",IF(P3967="Resultado trading",S3967,0))</f>
        <v/>
      </c>
      <c r="X3967" s="52">
        <f>IF(OR(P3967="Gasto",P3967="Reembolso"),IF(M3967&lt;&gt;"",M3967,IFERROR(INDEX(catClasif,MATCH(D3967&amp;"|"&amp;E3967,catClave,0))&amp;"","Variable")),"")</f>
        <v/>
      </c>
      <c r="Y3967" s="52">
        <f>IF(P3967="","",IFERROR(INDEX(catGrupo,MATCH(D3967&amp;"|"&amp;E3967,catClave,0))&amp;"",""))</f>
        <v/>
      </c>
      <c r="Z3967" s="52">
        <f>IF(P3967="","",WEEKDAY(B3967,2))</f>
        <v/>
      </c>
      <c r="AA3967" s="52">
        <f>IF(P3967="","",IF(AND(P3967="Gasto",X3967="Variable",D3967&lt;&gt;catTrading,S3967&gt;0,S3967&lt;=Umbral),1,0))</f>
        <v/>
      </c>
      <c r="AB3967" s="52">
        <f>IF(OR(P3967="",Q3967=""),"",IFERROR(IF(INDEX(ctaVinc,MATCH(Q3967,ctaNombre,0))&amp;""&lt;&gt;"",INDEX(ctaVinc,MATCH(Q3967,ctaNombre,0))&amp;"",Q3967),Q3967))</f>
        <v/>
      </c>
      <c r="AC3967" s="52">
        <f>IF(OR(K3967="",AND(P3967&lt;&gt;"Transferencia",P3967&lt;&gt;"Pago tarjeta")),"",IFERROR(IF(INDEX(ctaVinc,MATCH(K3967,ctaNombre,0))&amp;""&lt;&gt;"",INDEX(ctaVinc,MATCH(K3967,ctaNombre,0))&amp;"",K3967),K3967))</f>
        <v/>
      </c>
      <c r="AD3967" s="52">
        <f>IF(AB3967="","",IFERROR(INDEX(ctaTipo,MATCH(AB3967,ctaNombre,0))&amp;"",""))</f>
        <v/>
      </c>
      <c r="AE3967" s="52">
        <f>IF(AC3967="","",IFERROR(INDEX(ctaTipo,MATCH(AC3967,ctaNombre,0))&amp;"",""))</f>
        <v/>
      </c>
      <c r="AF3967" s="53">
        <f>IF(OR(P3967="",AB3967=""),"",IF(OR(P3967="Gasto",P3967="Transferencia",P3967="Pago tarjeta"),-1,1)*IF(IFERROR(INDEX(ctaMoneda,MATCH(AB3967,ctaNombre,0))&amp;"","DOP")="USD",T3967,S3967))</f>
        <v/>
      </c>
      <c r="AG3967" s="53">
        <f>IF(AC3967="","",IF(IFERROR(INDEX(ctaMoneda,MATCH(AC3967,ctaNombre,0))&amp;"","DOP")="USD",T3967,S3967))</f>
        <v/>
      </c>
      <c r="AH3967" s="53">
        <f>IF(P3967="","",IF(AND(AD3967&lt;&gt;"",COUNTIFS(tcTipo,AD3967,tcLiq,"Sí")&gt;0),IF(OR(P3967="Gasto",P3967="Transferencia",P3967="Pago tarjeta"),-1,1)*S3967,0)+IF(AND(AE3967&lt;&gt;"",COUNTIFS(tcTipo,AE3967,tcLiq,"Sí")&gt;0),S3967,0))</f>
        <v/>
      </c>
      <c r="AI3967" s="52">
        <f>IF(OR(L3967="",P3967=""),"",IF(COUNTIFS(L$6:L3967,L3967,P$6:P3967,"?*")=1,MAX(AI$5:AI3966)+1,""))</f>
        <v/>
      </c>
    </row>
    <row r="3968">
      <c r="B3968" s="47" t="n"/>
      <c r="C3968" s="48" t="n"/>
      <c r="D3968" s="48" t="n"/>
      <c r="E3968" s="48" t="n"/>
      <c r="F3968" s="48" t="n"/>
      <c r="G3968" s="49" t="n"/>
      <c r="H3968" s="48" t="n"/>
      <c r="I3968" s="50" t="n"/>
      <c r="J3968" s="48" t="n"/>
      <c r="K3968" s="48" t="n"/>
      <c r="L3968" s="48" t="n"/>
      <c r="M3968" s="48" t="n"/>
      <c r="N3968" s="48" t="n"/>
      <c r="O3968" s="51">
        <f>IF(AND(B3968="",G3968="",C3968="",D3968="",J3968=""),"",IF(B3968="","⚠ Falta fecha",IF(G3968="","⚠ Falta monto",IF(Q3968="","⚠ Falta cuenta",IF(ISNA(MATCH(Q3968,ctaNombre,0)),"⚠ Cuenta no registrada",IF(AND(OR(P3968="Gasto",P3968="Reembolso"),D3968=""),"⚠ Falta categoría",IF(AND(D3968&lt;&gt;"",E3968&lt;&gt;"",ISNA(MATCH(D3968&amp;"|"&amp;E3968,catClave,0))),"⚠ Subcategoría no corresponde",IF(AND(OR(P3968="Transferencia",P3968="Pago tarjeta"),K3968=""),"⚠ Falta cuenta destino",IF(AND(K3968&lt;&gt;"",P3968&lt;&gt;"Transferencia",P3968&lt;&gt;"Pago tarjeta"),"⚠ Destino solo aplica a transferencias",IF(AND(K3968&lt;&gt;"",K3968=Q3968),"⚠ Origen igual a destino",IF(AND(K3968&lt;&gt;"",ISNA(MATCH(K3968,ctaNombre,0))),"⚠ Destino no registrado",IF(AND(P3968="Pago tarjeta",AE3968&lt;&gt;"Tarjeta de crédito"),"⚠ El destino debe ser tarjeta de crédito",IF(AND(P3968="Gasto",E3968="Depósitos y retiros"),"⚠ Usa tipo Transferencia",IF(AND(P3968="Resultado trading",AD3968&lt;&gt;"Cuenta de trading"),"⚠ Usa una cuenta de trading",IF(AND(G3968&lt;=0,P3968&lt;&gt;"Ajuste",P3968&lt;&gt;"Resultado trading"),"⚠ El monto debe ser positivo","✓")))))))))))))))</f>
        <v/>
      </c>
      <c r="P3968" s="52">
        <f>IF(OR(B3968="",G3968=""),"",IF(C3968="","Gasto",C3968))</f>
        <v/>
      </c>
      <c r="Q3968" s="52">
        <f>IF(P3968="","",IF(J3968&lt;&gt;"",J3968,CuentaPred&amp;""))</f>
        <v/>
      </c>
      <c r="R3968" s="52">
        <f>IF(P3968="","",IF(ISNUMBER(I3968),I3968,TasaUSD))</f>
        <v/>
      </c>
      <c r="S3968" s="53">
        <f>IF(P3968="","",IF(H3968="USD",G3968*R3968,G3968))</f>
        <v/>
      </c>
      <c r="T3968" s="53">
        <f>IF(P3968="","",IF(H3968="USD",G3968,IF(R3968&gt;0,G3968/R3968,0)))</f>
        <v/>
      </c>
      <c r="U3968" s="53">
        <f>IF(P3968="","",IF(P3968="Gasto",S3968,IF(P3968="Reembolso",-S3968,0)))</f>
        <v/>
      </c>
      <c r="V3968" s="53">
        <f>IF(P3968="","",IF(P3968="Ingreso",S3968,0))</f>
        <v/>
      </c>
      <c r="W3968" s="53">
        <f>IF(P3968="","",IF(P3968="Resultado trading",S3968,0))</f>
        <v/>
      </c>
      <c r="X3968" s="52">
        <f>IF(OR(P3968="Gasto",P3968="Reembolso"),IF(M3968&lt;&gt;"",M3968,IFERROR(INDEX(catClasif,MATCH(D3968&amp;"|"&amp;E3968,catClave,0))&amp;"","Variable")),"")</f>
        <v/>
      </c>
      <c r="Y3968" s="52">
        <f>IF(P3968="","",IFERROR(INDEX(catGrupo,MATCH(D3968&amp;"|"&amp;E3968,catClave,0))&amp;"",""))</f>
        <v/>
      </c>
      <c r="Z3968" s="52">
        <f>IF(P3968="","",WEEKDAY(B3968,2))</f>
        <v/>
      </c>
      <c r="AA3968" s="52">
        <f>IF(P3968="","",IF(AND(P3968="Gasto",X3968="Variable",D3968&lt;&gt;catTrading,S3968&gt;0,S3968&lt;=Umbral),1,0))</f>
        <v/>
      </c>
      <c r="AB3968" s="52">
        <f>IF(OR(P3968="",Q3968=""),"",IFERROR(IF(INDEX(ctaVinc,MATCH(Q3968,ctaNombre,0))&amp;""&lt;&gt;"",INDEX(ctaVinc,MATCH(Q3968,ctaNombre,0))&amp;"",Q3968),Q3968))</f>
        <v/>
      </c>
      <c r="AC3968" s="52">
        <f>IF(OR(K3968="",AND(P3968&lt;&gt;"Transferencia",P3968&lt;&gt;"Pago tarjeta")),"",IFERROR(IF(INDEX(ctaVinc,MATCH(K3968,ctaNombre,0))&amp;""&lt;&gt;"",INDEX(ctaVinc,MATCH(K3968,ctaNombre,0))&amp;"",K3968),K3968))</f>
        <v/>
      </c>
      <c r="AD3968" s="52">
        <f>IF(AB3968="","",IFERROR(INDEX(ctaTipo,MATCH(AB3968,ctaNombre,0))&amp;"",""))</f>
        <v/>
      </c>
      <c r="AE3968" s="52">
        <f>IF(AC3968="","",IFERROR(INDEX(ctaTipo,MATCH(AC3968,ctaNombre,0))&amp;"",""))</f>
        <v/>
      </c>
      <c r="AF3968" s="53">
        <f>IF(OR(P3968="",AB3968=""),"",IF(OR(P3968="Gasto",P3968="Transferencia",P3968="Pago tarjeta"),-1,1)*IF(IFERROR(INDEX(ctaMoneda,MATCH(AB3968,ctaNombre,0))&amp;"","DOP")="USD",T3968,S3968))</f>
        <v/>
      </c>
      <c r="AG3968" s="53">
        <f>IF(AC3968="","",IF(IFERROR(INDEX(ctaMoneda,MATCH(AC3968,ctaNombre,0))&amp;"","DOP")="USD",T3968,S3968))</f>
        <v/>
      </c>
      <c r="AH3968" s="53">
        <f>IF(P3968="","",IF(AND(AD3968&lt;&gt;"",COUNTIFS(tcTipo,AD3968,tcLiq,"Sí")&gt;0),IF(OR(P3968="Gasto",P3968="Transferencia",P3968="Pago tarjeta"),-1,1)*S3968,0)+IF(AND(AE3968&lt;&gt;"",COUNTIFS(tcTipo,AE3968,tcLiq,"Sí")&gt;0),S3968,0))</f>
        <v/>
      </c>
      <c r="AI3968" s="52">
        <f>IF(OR(L3968="",P3968=""),"",IF(COUNTIFS(L$6:L3968,L3968,P$6:P3968,"?*")=1,MAX(AI$5:AI3967)+1,""))</f>
        <v/>
      </c>
    </row>
    <row r="3969">
      <c r="B3969" s="47" t="n"/>
      <c r="C3969" s="48" t="n"/>
      <c r="D3969" s="48" t="n"/>
      <c r="E3969" s="48" t="n"/>
      <c r="F3969" s="48" t="n"/>
      <c r="G3969" s="49" t="n"/>
      <c r="H3969" s="48" t="n"/>
      <c r="I3969" s="50" t="n"/>
      <c r="J3969" s="48" t="n"/>
      <c r="K3969" s="48" t="n"/>
      <c r="L3969" s="48" t="n"/>
      <c r="M3969" s="48" t="n"/>
      <c r="N3969" s="48" t="n"/>
      <c r="O3969" s="51">
        <f>IF(AND(B3969="",G3969="",C3969="",D3969="",J3969=""),"",IF(B3969="","⚠ Falta fecha",IF(G3969="","⚠ Falta monto",IF(Q3969="","⚠ Falta cuenta",IF(ISNA(MATCH(Q3969,ctaNombre,0)),"⚠ Cuenta no registrada",IF(AND(OR(P3969="Gasto",P3969="Reembolso"),D3969=""),"⚠ Falta categoría",IF(AND(D3969&lt;&gt;"",E3969&lt;&gt;"",ISNA(MATCH(D3969&amp;"|"&amp;E3969,catClave,0))),"⚠ Subcategoría no corresponde",IF(AND(OR(P3969="Transferencia",P3969="Pago tarjeta"),K3969=""),"⚠ Falta cuenta destino",IF(AND(K3969&lt;&gt;"",P3969&lt;&gt;"Transferencia",P3969&lt;&gt;"Pago tarjeta"),"⚠ Destino solo aplica a transferencias",IF(AND(K3969&lt;&gt;"",K3969=Q3969),"⚠ Origen igual a destino",IF(AND(K3969&lt;&gt;"",ISNA(MATCH(K3969,ctaNombre,0))),"⚠ Destino no registrado",IF(AND(P3969="Pago tarjeta",AE3969&lt;&gt;"Tarjeta de crédito"),"⚠ El destino debe ser tarjeta de crédito",IF(AND(P3969="Gasto",E3969="Depósitos y retiros"),"⚠ Usa tipo Transferencia",IF(AND(P3969="Resultado trading",AD3969&lt;&gt;"Cuenta de trading"),"⚠ Usa una cuenta de trading",IF(AND(G3969&lt;=0,P3969&lt;&gt;"Ajuste",P3969&lt;&gt;"Resultado trading"),"⚠ El monto debe ser positivo","✓")))))))))))))))</f>
        <v/>
      </c>
      <c r="P3969" s="52">
        <f>IF(OR(B3969="",G3969=""),"",IF(C3969="","Gasto",C3969))</f>
        <v/>
      </c>
      <c r="Q3969" s="52">
        <f>IF(P3969="","",IF(J3969&lt;&gt;"",J3969,CuentaPred&amp;""))</f>
        <v/>
      </c>
      <c r="R3969" s="52">
        <f>IF(P3969="","",IF(ISNUMBER(I3969),I3969,TasaUSD))</f>
        <v/>
      </c>
      <c r="S3969" s="53">
        <f>IF(P3969="","",IF(H3969="USD",G3969*R3969,G3969))</f>
        <v/>
      </c>
      <c r="T3969" s="53">
        <f>IF(P3969="","",IF(H3969="USD",G3969,IF(R3969&gt;0,G3969/R3969,0)))</f>
        <v/>
      </c>
      <c r="U3969" s="53">
        <f>IF(P3969="","",IF(P3969="Gasto",S3969,IF(P3969="Reembolso",-S3969,0)))</f>
        <v/>
      </c>
      <c r="V3969" s="53">
        <f>IF(P3969="","",IF(P3969="Ingreso",S3969,0))</f>
        <v/>
      </c>
      <c r="W3969" s="53">
        <f>IF(P3969="","",IF(P3969="Resultado trading",S3969,0))</f>
        <v/>
      </c>
      <c r="X3969" s="52">
        <f>IF(OR(P3969="Gasto",P3969="Reembolso"),IF(M3969&lt;&gt;"",M3969,IFERROR(INDEX(catClasif,MATCH(D3969&amp;"|"&amp;E3969,catClave,0))&amp;"","Variable")),"")</f>
        <v/>
      </c>
      <c r="Y3969" s="52">
        <f>IF(P3969="","",IFERROR(INDEX(catGrupo,MATCH(D3969&amp;"|"&amp;E3969,catClave,0))&amp;"",""))</f>
        <v/>
      </c>
      <c r="Z3969" s="52">
        <f>IF(P3969="","",WEEKDAY(B3969,2))</f>
        <v/>
      </c>
      <c r="AA3969" s="52">
        <f>IF(P3969="","",IF(AND(P3969="Gasto",X3969="Variable",D3969&lt;&gt;catTrading,S3969&gt;0,S3969&lt;=Umbral),1,0))</f>
        <v/>
      </c>
      <c r="AB3969" s="52">
        <f>IF(OR(P3969="",Q3969=""),"",IFERROR(IF(INDEX(ctaVinc,MATCH(Q3969,ctaNombre,0))&amp;""&lt;&gt;"",INDEX(ctaVinc,MATCH(Q3969,ctaNombre,0))&amp;"",Q3969),Q3969))</f>
        <v/>
      </c>
      <c r="AC3969" s="52">
        <f>IF(OR(K3969="",AND(P3969&lt;&gt;"Transferencia",P3969&lt;&gt;"Pago tarjeta")),"",IFERROR(IF(INDEX(ctaVinc,MATCH(K3969,ctaNombre,0))&amp;""&lt;&gt;"",INDEX(ctaVinc,MATCH(K3969,ctaNombre,0))&amp;"",K3969),K3969))</f>
        <v/>
      </c>
      <c r="AD3969" s="52">
        <f>IF(AB3969="","",IFERROR(INDEX(ctaTipo,MATCH(AB3969,ctaNombre,0))&amp;"",""))</f>
        <v/>
      </c>
      <c r="AE3969" s="52">
        <f>IF(AC3969="","",IFERROR(INDEX(ctaTipo,MATCH(AC3969,ctaNombre,0))&amp;"",""))</f>
        <v/>
      </c>
      <c r="AF3969" s="53">
        <f>IF(OR(P3969="",AB3969=""),"",IF(OR(P3969="Gasto",P3969="Transferencia",P3969="Pago tarjeta"),-1,1)*IF(IFERROR(INDEX(ctaMoneda,MATCH(AB3969,ctaNombre,0))&amp;"","DOP")="USD",T3969,S3969))</f>
        <v/>
      </c>
      <c r="AG3969" s="53">
        <f>IF(AC3969="","",IF(IFERROR(INDEX(ctaMoneda,MATCH(AC3969,ctaNombre,0))&amp;"","DOP")="USD",T3969,S3969))</f>
        <v/>
      </c>
      <c r="AH3969" s="53">
        <f>IF(P3969="","",IF(AND(AD3969&lt;&gt;"",COUNTIFS(tcTipo,AD3969,tcLiq,"Sí")&gt;0),IF(OR(P3969="Gasto",P3969="Transferencia",P3969="Pago tarjeta"),-1,1)*S3969,0)+IF(AND(AE3969&lt;&gt;"",COUNTIFS(tcTipo,AE3969,tcLiq,"Sí")&gt;0),S3969,0))</f>
        <v/>
      </c>
      <c r="AI3969" s="52">
        <f>IF(OR(L3969="",P3969=""),"",IF(COUNTIFS(L$6:L3969,L3969,P$6:P3969,"?*")=1,MAX(AI$5:AI3968)+1,""))</f>
        <v/>
      </c>
    </row>
    <row r="3970">
      <c r="B3970" s="47" t="n"/>
      <c r="C3970" s="48" t="n"/>
      <c r="D3970" s="48" t="n"/>
      <c r="E3970" s="48" t="n"/>
      <c r="F3970" s="48" t="n"/>
      <c r="G3970" s="49" t="n"/>
      <c r="H3970" s="48" t="n"/>
      <c r="I3970" s="50" t="n"/>
      <c r="J3970" s="48" t="n"/>
      <c r="K3970" s="48" t="n"/>
      <c r="L3970" s="48" t="n"/>
      <c r="M3970" s="48" t="n"/>
      <c r="N3970" s="48" t="n"/>
      <c r="O3970" s="51">
        <f>IF(AND(B3970="",G3970="",C3970="",D3970="",J3970=""),"",IF(B3970="","⚠ Falta fecha",IF(G3970="","⚠ Falta monto",IF(Q3970="","⚠ Falta cuenta",IF(ISNA(MATCH(Q3970,ctaNombre,0)),"⚠ Cuenta no registrada",IF(AND(OR(P3970="Gasto",P3970="Reembolso"),D3970=""),"⚠ Falta categoría",IF(AND(D3970&lt;&gt;"",E3970&lt;&gt;"",ISNA(MATCH(D3970&amp;"|"&amp;E3970,catClave,0))),"⚠ Subcategoría no corresponde",IF(AND(OR(P3970="Transferencia",P3970="Pago tarjeta"),K3970=""),"⚠ Falta cuenta destino",IF(AND(K3970&lt;&gt;"",P3970&lt;&gt;"Transferencia",P3970&lt;&gt;"Pago tarjeta"),"⚠ Destino solo aplica a transferencias",IF(AND(K3970&lt;&gt;"",K3970=Q3970),"⚠ Origen igual a destino",IF(AND(K3970&lt;&gt;"",ISNA(MATCH(K3970,ctaNombre,0))),"⚠ Destino no registrado",IF(AND(P3970="Pago tarjeta",AE3970&lt;&gt;"Tarjeta de crédito"),"⚠ El destino debe ser tarjeta de crédito",IF(AND(P3970="Gasto",E3970="Depósitos y retiros"),"⚠ Usa tipo Transferencia",IF(AND(P3970="Resultado trading",AD3970&lt;&gt;"Cuenta de trading"),"⚠ Usa una cuenta de trading",IF(AND(G3970&lt;=0,P3970&lt;&gt;"Ajuste",P3970&lt;&gt;"Resultado trading"),"⚠ El monto debe ser positivo","✓")))))))))))))))</f>
        <v/>
      </c>
      <c r="P3970" s="52">
        <f>IF(OR(B3970="",G3970=""),"",IF(C3970="","Gasto",C3970))</f>
        <v/>
      </c>
      <c r="Q3970" s="52">
        <f>IF(P3970="","",IF(J3970&lt;&gt;"",J3970,CuentaPred&amp;""))</f>
        <v/>
      </c>
      <c r="R3970" s="52">
        <f>IF(P3970="","",IF(ISNUMBER(I3970),I3970,TasaUSD))</f>
        <v/>
      </c>
      <c r="S3970" s="53">
        <f>IF(P3970="","",IF(H3970="USD",G3970*R3970,G3970))</f>
        <v/>
      </c>
      <c r="T3970" s="53">
        <f>IF(P3970="","",IF(H3970="USD",G3970,IF(R3970&gt;0,G3970/R3970,0)))</f>
        <v/>
      </c>
      <c r="U3970" s="53">
        <f>IF(P3970="","",IF(P3970="Gasto",S3970,IF(P3970="Reembolso",-S3970,0)))</f>
        <v/>
      </c>
      <c r="V3970" s="53">
        <f>IF(P3970="","",IF(P3970="Ingreso",S3970,0))</f>
        <v/>
      </c>
      <c r="W3970" s="53">
        <f>IF(P3970="","",IF(P3970="Resultado trading",S3970,0))</f>
        <v/>
      </c>
      <c r="X3970" s="52">
        <f>IF(OR(P3970="Gasto",P3970="Reembolso"),IF(M3970&lt;&gt;"",M3970,IFERROR(INDEX(catClasif,MATCH(D3970&amp;"|"&amp;E3970,catClave,0))&amp;"","Variable")),"")</f>
        <v/>
      </c>
      <c r="Y3970" s="52">
        <f>IF(P3970="","",IFERROR(INDEX(catGrupo,MATCH(D3970&amp;"|"&amp;E3970,catClave,0))&amp;"",""))</f>
        <v/>
      </c>
      <c r="Z3970" s="52">
        <f>IF(P3970="","",WEEKDAY(B3970,2))</f>
        <v/>
      </c>
      <c r="AA3970" s="52">
        <f>IF(P3970="","",IF(AND(P3970="Gasto",X3970="Variable",D3970&lt;&gt;catTrading,S3970&gt;0,S3970&lt;=Umbral),1,0))</f>
        <v/>
      </c>
      <c r="AB3970" s="52">
        <f>IF(OR(P3970="",Q3970=""),"",IFERROR(IF(INDEX(ctaVinc,MATCH(Q3970,ctaNombre,0))&amp;""&lt;&gt;"",INDEX(ctaVinc,MATCH(Q3970,ctaNombre,0))&amp;"",Q3970),Q3970))</f>
        <v/>
      </c>
      <c r="AC3970" s="52">
        <f>IF(OR(K3970="",AND(P3970&lt;&gt;"Transferencia",P3970&lt;&gt;"Pago tarjeta")),"",IFERROR(IF(INDEX(ctaVinc,MATCH(K3970,ctaNombre,0))&amp;""&lt;&gt;"",INDEX(ctaVinc,MATCH(K3970,ctaNombre,0))&amp;"",K3970),K3970))</f>
        <v/>
      </c>
      <c r="AD3970" s="52">
        <f>IF(AB3970="","",IFERROR(INDEX(ctaTipo,MATCH(AB3970,ctaNombre,0))&amp;"",""))</f>
        <v/>
      </c>
      <c r="AE3970" s="52">
        <f>IF(AC3970="","",IFERROR(INDEX(ctaTipo,MATCH(AC3970,ctaNombre,0))&amp;"",""))</f>
        <v/>
      </c>
      <c r="AF3970" s="53">
        <f>IF(OR(P3970="",AB3970=""),"",IF(OR(P3970="Gasto",P3970="Transferencia",P3970="Pago tarjeta"),-1,1)*IF(IFERROR(INDEX(ctaMoneda,MATCH(AB3970,ctaNombre,0))&amp;"","DOP")="USD",T3970,S3970))</f>
        <v/>
      </c>
      <c r="AG3970" s="53">
        <f>IF(AC3970="","",IF(IFERROR(INDEX(ctaMoneda,MATCH(AC3970,ctaNombre,0))&amp;"","DOP")="USD",T3970,S3970))</f>
        <v/>
      </c>
      <c r="AH3970" s="53">
        <f>IF(P3970="","",IF(AND(AD3970&lt;&gt;"",COUNTIFS(tcTipo,AD3970,tcLiq,"Sí")&gt;0),IF(OR(P3970="Gasto",P3970="Transferencia",P3970="Pago tarjeta"),-1,1)*S3970,0)+IF(AND(AE3970&lt;&gt;"",COUNTIFS(tcTipo,AE3970,tcLiq,"Sí")&gt;0),S3970,0))</f>
        <v/>
      </c>
      <c r="AI3970" s="52">
        <f>IF(OR(L3970="",P3970=""),"",IF(COUNTIFS(L$6:L3970,L3970,P$6:P3970,"?*")=1,MAX(AI$5:AI3969)+1,""))</f>
        <v/>
      </c>
    </row>
    <row r="3971">
      <c r="B3971" s="47" t="n"/>
      <c r="C3971" s="48" t="n"/>
      <c r="D3971" s="48" t="n"/>
      <c r="E3971" s="48" t="n"/>
      <c r="F3971" s="48" t="n"/>
      <c r="G3971" s="49" t="n"/>
      <c r="H3971" s="48" t="n"/>
      <c r="I3971" s="50" t="n"/>
      <c r="J3971" s="48" t="n"/>
      <c r="K3971" s="48" t="n"/>
      <c r="L3971" s="48" t="n"/>
      <c r="M3971" s="48" t="n"/>
      <c r="N3971" s="48" t="n"/>
      <c r="O3971" s="51">
        <f>IF(AND(B3971="",G3971="",C3971="",D3971="",J3971=""),"",IF(B3971="","⚠ Falta fecha",IF(G3971="","⚠ Falta monto",IF(Q3971="","⚠ Falta cuenta",IF(ISNA(MATCH(Q3971,ctaNombre,0)),"⚠ Cuenta no registrada",IF(AND(OR(P3971="Gasto",P3971="Reembolso"),D3971=""),"⚠ Falta categoría",IF(AND(D3971&lt;&gt;"",E3971&lt;&gt;"",ISNA(MATCH(D3971&amp;"|"&amp;E3971,catClave,0))),"⚠ Subcategoría no corresponde",IF(AND(OR(P3971="Transferencia",P3971="Pago tarjeta"),K3971=""),"⚠ Falta cuenta destino",IF(AND(K3971&lt;&gt;"",P3971&lt;&gt;"Transferencia",P3971&lt;&gt;"Pago tarjeta"),"⚠ Destino solo aplica a transferencias",IF(AND(K3971&lt;&gt;"",K3971=Q3971),"⚠ Origen igual a destino",IF(AND(K3971&lt;&gt;"",ISNA(MATCH(K3971,ctaNombre,0))),"⚠ Destino no registrado",IF(AND(P3971="Pago tarjeta",AE3971&lt;&gt;"Tarjeta de crédito"),"⚠ El destino debe ser tarjeta de crédito",IF(AND(P3971="Gasto",E3971="Depósitos y retiros"),"⚠ Usa tipo Transferencia",IF(AND(P3971="Resultado trading",AD3971&lt;&gt;"Cuenta de trading"),"⚠ Usa una cuenta de trading",IF(AND(G3971&lt;=0,P3971&lt;&gt;"Ajuste",P3971&lt;&gt;"Resultado trading"),"⚠ El monto debe ser positivo","✓")))))))))))))))</f>
        <v/>
      </c>
      <c r="P3971" s="52">
        <f>IF(OR(B3971="",G3971=""),"",IF(C3971="","Gasto",C3971))</f>
        <v/>
      </c>
      <c r="Q3971" s="52">
        <f>IF(P3971="","",IF(J3971&lt;&gt;"",J3971,CuentaPred&amp;""))</f>
        <v/>
      </c>
      <c r="R3971" s="52">
        <f>IF(P3971="","",IF(ISNUMBER(I3971),I3971,TasaUSD))</f>
        <v/>
      </c>
      <c r="S3971" s="53">
        <f>IF(P3971="","",IF(H3971="USD",G3971*R3971,G3971))</f>
        <v/>
      </c>
      <c r="T3971" s="53">
        <f>IF(P3971="","",IF(H3971="USD",G3971,IF(R3971&gt;0,G3971/R3971,0)))</f>
        <v/>
      </c>
      <c r="U3971" s="53">
        <f>IF(P3971="","",IF(P3971="Gasto",S3971,IF(P3971="Reembolso",-S3971,0)))</f>
        <v/>
      </c>
      <c r="V3971" s="53">
        <f>IF(P3971="","",IF(P3971="Ingreso",S3971,0))</f>
        <v/>
      </c>
      <c r="W3971" s="53">
        <f>IF(P3971="","",IF(P3971="Resultado trading",S3971,0))</f>
        <v/>
      </c>
      <c r="X3971" s="52">
        <f>IF(OR(P3971="Gasto",P3971="Reembolso"),IF(M3971&lt;&gt;"",M3971,IFERROR(INDEX(catClasif,MATCH(D3971&amp;"|"&amp;E3971,catClave,0))&amp;"","Variable")),"")</f>
        <v/>
      </c>
      <c r="Y3971" s="52">
        <f>IF(P3971="","",IFERROR(INDEX(catGrupo,MATCH(D3971&amp;"|"&amp;E3971,catClave,0))&amp;"",""))</f>
        <v/>
      </c>
      <c r="Z3971" s="52">
        <f>IF(P3971="","",WEEKDAY(B3971,2))</f>
        <v/>
      </c>
      <c r="AA3971" s="52">
        <f>IF(P3971="","",IF(AND(P3971="Gasto",X3971="Variable",D3971&lt;&gt;catTrading,S3971&gt;0,S3971&lt;=Umbral),1,0))</f>
        <v/>
      </c>
      <c r="AB3971" s="52">
        <f>IF(OR(P3971="",Q3971=""),"",IFERROR(IF(INDEX(ctaVinc,MATCH(Q3971,ctaNombre,0))&amp;""&lt;&gt;"",INDEX(ctaVinc,MATCH(Q3971,ctaNombre,0))&amp;"",Q3971),Q3971))</f>
        <v/>
      </c>
      <c r="AC3971" s="52">
        <f>IF(OR(K3971="",AND(P3971&lt;&gt;"Transferencia",P3971&lt;&gt;"Pago tarjeta")),"",IFERROR(IF(INDEX(ctaVinc,MATCH(K3971,ctaNombre,0))&amp;""&lt;&gt;"",INDEX(ctaVinc,MATCH(K3971,ctaNombre,0))&amp;"",K3971),K3971))</f>
        <v/>
      </c>
      <c r="AD3971" s="52">
        <f>IF(AB3971="","",IFERROR(INDEX(ctaTipo,MATCH(AB3971,ctaNombre,0))&amp;"",""))</f>
        <v/>
      </c>
      <c r="AE3971" s="52">
        <f>IF(AC3971="","",IFERROR(INDEX(ctaTipo,MATCH(AC3971,ctaNombre,0))&amp;"",""))</f>
        <v/>
      </c>
      <c r="AF3971" s="53">
        <f>IF(OR(P3971="",AB3971=""),"",IF(OR(P3971="Gasto",P3971="Transferencia",P3971="Pago tarjeta"),-1,1)*IF(IFERROR(INDEX(ctaMoneda,MATCH(AB3971,ctaNombre,0))&amp;"","DOP")="USD",T3971,S3971))</f>
        <v/>
      </c>
      <c r="AG3971" s="53">
        <f>IF(AC3971="","",IF(IFERROR(INDEX(ctaMoneda,MATCH(AC3971,ctaNombre,0))&amp;"","DOP")="USD",T3971,S3971))</f>
        <v/>
      </c>
      <c r="AH3971" s="53">
        <f>IF(P3971="","",IF(AND(AD3971&lt;&gt;"",COUNTIFS(tcTipo,AD3971,tcLiq,"Sí")&gt;0),IF(OR(P3971="Gasto",P3971="Transferencia",P3971="Pago tarjeta"),-1,1)*S3971,0)+IF(AND(AE3971&lt;&gt;"",COUNTIFS(tcTipo,AE3971,tcLiq,"Sí")&gt;0),S3971,0))</f>
        <v/>
      </c>
      <c r="AI3971" s="52">
        <f>IF(OR(L3971="",P3971=""),"",IF(COUNTIFS(L$6:L3971,L3971,P$6:P3971,"?*")=1,MAX(AI$5:AI3970)+1,""))</f>
        <v/>
      </c>
    </row>
    <row r="3972">
      <c r="B3972" s="47" t="n"/>
      <c r="C3972" s="48" t="n"/>
      <c r="D3972" s="48" t="n"/>
      <c r="E3972" s="48" t="n"/>
      <c r="F3972" s="48" t="n"/>
      <c r="G3972" s="49" t="n"/>
      <c r="H3972" s="48" t="n"/>
      <c r="I3972" s="50" t="n"/>
      <c r="J3972" s="48" t="n"/>
      <c r="K3972" s="48" t="n"/>
      <c r="L3972" s="48" t="n"/>
      <c r="M3972" s="48" t="n"/>
      <c r="N3972" s="48" t="n"/>
      <c r="O3972" s="51">
        <f>IF(AND(B3972="",G3972="",C3972="",D3972="",J3972=""),"",IF(B3972="","⚠ Falta fecha",IF(G3972="","⚠ Falta monto",IF(Q3972="","⚠ Falta cuenta",IF(ISNA(MATCH(Q3972,ctaNombre,0)),"⚠ Cuenta no registrada",IF(AND(OR(P3972="Gasto",P3972="Reembolso"),D3972=""),"⚠ Falta categoría",IF(AND(D3972&lt;&gt;"",E3972&lt;&gt;"",ISNA(MATCH(D3972&amp;"|"&amp;E3972,catClave,0))),"⚠ Subcategoría no corresponde",IF(AND(OR(P3972="Transferencia",P3972="Pago tarjeta"),K3972=""),"⚠ Falta cuenta destino",IF(AND(K3972&lt;&gt;"",P3972&lt;&gt;"Transferencia",P3972&lt;&gt;"Pago tarjeta"),"⚠ Destino solo aplica a transferencias",IF(AND(K3972&lt;&gt;"",K3972=Q3972),"⚠ Origen igual a destino",IF(AND(K3972&lt;&gt;"",ISNA(MATCH(K3972,ctaNombre,0))),"⚠ Destino no registrado",IF(AND(P3972="Pago tarjeta",AE3972&lt;&gt;"Tarjeta de crédito"),"⚠ El destino debe ser tarjeta de crédito",IF(AND(P3972="Gasto",E3972="Depósitos y retiros"),"⚠ Usa tipo Transferencia",IF(AND(P3972="Resultado trading",AD3972&lt;&gt;"Cuenta de trading"),"⚠ Usa una cuenta de trading",IF(AND(G3972&lt;=0,P3972&lt;&gt;"Ajuste",P3972&lt;&gt;"Resultado trading"),"⚠ El monto debe ser positivo","✓")))))))))))))))</f>
        <v/>
      </c>
      <c r="P3972" s="52">
        <f>IF(OR(B3972="",G3972=""),"",IF(C3972="","Gasto",C3972))</f>
        <v/>
      </c>
      <c r="Q3972" s="52">
        <f>IF(P3972="","",IF(J3972&lt;&gt;"",J3972,CuentaPred&amp;""))</f>
        <v/>
      </c>
      <c r="R3972" s="52">
        <f>IF(P3972="","",IF(ISNUMBER(I3972),I3972,TasaUSD))</f>
        <v/>
      </c>
      <c r="S3972" s="53">
        <f>IF(P3972="","",IF(H3972="USD",G3972*R3972,G3972))</f>
        <v/>
      </c>
      <c r="T3972" s="53">
        <f>IF(P3972="","",IF(H3972="USD",G3972,IF(R3972&gt;0,G3972/R3972,0)))</f>
        <v/>
      </c>
      <c r="U3972" s="53">
        <f>IF(P3972="","",IF(P3972="Gasto",S3972,IF(P3972="Reembolso",-S3972,0)))</f>
        <v/>
      </c>
      <c r="V3972" s="53">
        <f>IF(P3972="","",IF(P3972="Ingreso",S3972,0))</f>
        <v/>
      </c>
      <c r="W3972" s="53">
        <f>IF(P3972="","",IF(P3972="Resultado trading",S3972,0))</f>
        <v/>
      </c>
      <c r="X3972" s="52">
        <f>IF(OR(P3972="Gasto",P3972="Reembolso"),IF(M3972&lt;&gt;"",M3972,IFERROR(INDEX(catClasif,MATCH(D3972&amp;"|"&amp;E3972,catClave,0))&amp;"","Variable")),"")</f>
        <v/>
      </c>
      <c r="Y3972" s="52">
        <f>IF(P3972="","",IFERROR(INDEX(catGrupo,MATCH(D3972&amp;"|"&amp;E3972,catClave,0))&amp;"",""))</f>
        <v/>
      </c>
      <c r="Z3972" s="52">
        <f>IF(P3972="","",WEEKDAY(B3972,2))</f>
        <v/>
      </c>
      <c r="AA3972" s="52">
        <f>IF(P3972="","",IF(AND(P3972="Gasto",X3972="Variable",D3972&lt;&gt;catTrading,S3972&gt;0,S3972&lt;=Umbral),1,0))</f>
        <v/>
      </c>
      <c r="AB3972" s="52">
        <f>IF(OR(P3972="",Q3972=""),"",IFERROR(IF(INDEX(ctaVinc,MATCH(Q3972,ctaNombre,0))&amp;""&lt;&gt;"",INDEX(ctaVinc,MATCH(Q3972,ctaNombre,0))&amp;"",Q3972),Q3972))</f>
        <v/>
      </c>
      <c r="AC3972" s="52">
        <f>IF(OR(K3972="",AND(P3972&lt;&gt;"Transferencia",P3972&lt;&gt;"Pago tarjeta")),"",IFERROR(IF(INDEX(ctaVinc,MATCH(K3972,ctaNombre,0))&amp;""&lt;&gt;"",INDEX(ctaVinc,MATCH(K3972,ctaNombre,0))&amp;"",K3972),K3972))</f>
        <v/>
      </c>
      <c r="AD3972" s="52">
        <f>IF(AB3972="","",IFERROR(INDEX(ctaTipo,MATCH(AB3972,ctaNombre,0))&amp;"",""))</f>
        <v/>
      </c>
      <c r="AE3972" s="52">
        <f>IF(AC3972="","",IFERROR(INDEX(ctaTipo,MATCH(AC3972,ctaNombre,0))&amp;"",""))</f>
        <v/>
      </c>
      <c r="AF3972" s="53">
        <f>IF(OR(P3972="",AB3972=""),"",IF(OR(P3972="Gasto",P3972="Transferencia",P3972="Pago tarjeta"),-1,1)*IF(IFERROR(INDEX(ctaMoneda,MATCH(AB3972,ctaNombre,0))&amp;"","DOP")="USD",T3972,S3972))</f>
        <v/>
      </c>
      <c r="AG3972" s="53">
        <f>IF(AC3972="","",IF(IFERROR(INDEX(ctaMoneda,MATCH(AC3972,ctaNombre,0))&amp;"","DOP")="USD",T3972,S3972))</f>
        <v/>
      </c>
      <c r="AH3972" s="53">
        <f>IF(P3972="","",IF(AND(AD3972&lt;&gt;"",COUNTIFS(tcTipo,AD3972,tcLiq,"Sí")&gt;0),IF(OR(P3972="Gasto",P3972="Transferencia",P3972="Pago tarjeta"),-1,1)*S3972,0)+IF(AND(AE3972&lt;&gt;"",COUNTIFS(tcTipo,AE3972,tcLiq,"Sí")&gt;0),S3972,0))</f>
        <v/>
      </c>
      <c r="AI3972" s="52">
        <f>IF(OR(L3972="",P3972=""),"",IF(COUNTIFS(L$6:L3972,L3972,P$6:P3972,"?*")=1,MAX(AI$5:AI3971)+1,""))</f>
        <v/>
      </c>
    </row>
    <row r="3973">
      <c r="B3973" s="47" t="n"/>
      <c r="C3973" s="48" t="n"/>
      <c r="D3973" s="48" t="n"/>
      <c r="E3973" s="48" t="n"/>
      <c r="F3973" s="48" t="n"/>
      <c r="G3973" s="49" t="n"/>
      <c r="H3973" s="48" t="n"/>
      <c r="I3973" s="50" t="n"/>
      <c r="J3973" s="48" t="n"/>
      <c r="K3973" s="48" t="n"/>
      <c r="L3973" s="48" t="n"/>
      <c r="M3973" s="48" t="n"/>
      <c r="N3973" s="48" t="n"/>
      <c r="O3973" s="51">
        <f>IF(AND(B3973="",G3973="",C3973="",D3973="",J3973=""),"",IF(B3973="","⚠ Falta fecha",IF(G3973="","⚠ Falta monto",IF(Q3973="","⚠ Falta cuenta",IF(ISNA(MATCH(Q3973,ctaNombre,0)),"⚠ Cuenta no registrada",IF(AND(OR(P3973="Gasto",P3973="Reembolso"),D3973=""),"⚠ Falta categoría",IF(AND(D3973&lt;&gt;"",E3973&lt;&gt;"",ISNA(MATCH(D3973&amp;"|"&amp;E3973,catClave,0))),"⚠ Subcategoría no corresponde",IF(AND(OR(P3973="Transferencia",P3973="Pago tarjeta"),K3973=""),"⚠ Falta cuenta destino",IF(AND(K3973&lt;&gt;"",P3973&lt;&gt;"Transferencia",P3973&lt;&gt;"Pago tarjeta"),"⚠ Destino solo aplica a transferencias",IF(AND(K3973&lt;&gt;"",K3973=Q3973),"⚠ Origen igual a destino",IF(AND(K3973&lt;&gt;"",ISNA(MATCH(K3973,ctaNombre,0))),"⚠ Destino no registrado",IF(AND(P3973="Pago tarjeta",AE3973&lt;&gt;"Tarjeta de crédito"),"⚠ El destino debe ser tarjeta de crédito",IF(AND(P3973="Gasto",E3973="Depósitos y retiros"),"⚠ Usa tipo Transferencia",IF(AND(P3973="Resultado trading",AD3973&lt;&gt;"Cuenta de trading"),"⚠ Usa una cuenta de trading",IF(AND(G3973&lt;=0,P3973&lt;&gt;"Ajuste",P3973&lt;&gt;"Resultado trading"),"⚠ El monto debe ser positivo","✓")))))))))))))))</f>
        <v/>
      </c>
      <c r="P3973" s="52">
        <f>IF(OR(B3973="",G3973=""),"",IF(C3973="","Gasto",C3973))</f>
        <v/>
      </c>
      <c r="Q3973" s="52">
        <f>IF(P3973="","",IF(J3973&lt;&gt;"",J3973,CuentaPred&amp;""))</f>
        <v/>
      </c>
      <c r="R3973" s="52">
        <f>IF(P3973="","",IF(ISNUMBER(I3973),I3973,TasaUSD))</f>
        <v/>
      </c>
      <c r="S3973" s="53">
        <f>IF(P3973="","",IF(H3973="USD",G3973*R3973,G3973))</f>
        <v/>
      </c>
      <c r="T3973" s="53">
        <f>IF(P3973="","",IF(H3973="USD",G3973,IF(R3973&gt;0,G3973/R3973,0)))</f>
        <v/>
      </c>
      <c r="U3973" s="53">
        <f>IF(P3973="","",IF(P3973="Gasto",S3973,IF(P3973="Reembolso",-S3973,0)))</f>
        <v/>
      </c>
      <c r="V3973" s="53">
        <f>IF(P3973="","",IF(P3973="Ingreso",S3973,0))</f>
        <v/>
      </c>
      <c r="W3973" s="53">
        <f>IF(P3973="","",IF(P3973="Resultado trading",S3973,0))</f>
        <v/>
      </c>
      <c r="X3973" s="52">
        <f>IF(OR(P3973="Gasto",P3973="Reembolso"),IF(M3973&lt;&gt;"",M3973,IFERROR(INDEX(catClasif,MATCH(D3973&amp;"|"&amp;E3973,catClave,0))&amp;"","Variable")),"")</f>
        <v/>
      </c>
      <c r="Y3973" s="52">
        <f>IF(P3973="","",IFERROR(INDEX(catGrupo,MATCH(D3973&amp;"|"&amp;E3973,catClave,0))&amp;"",""))</f>
        <v/>
      </c>
      <c r="Z3973" s="52">
        <f>IF(P3973="","",WEEKDAY(B3973,2))</f>
        <v/>
      </c>
      <c r="AA3973" s="52">
        <f>IF(P3973="","",IF(AND(P3973="Gasto",X3973="Variable",D3973&lt;&gt;catTrading,S3973&gt;0,S3973&lt;=Umbral),1,0))</f>
        <v/>
      </c>
      <c r="AB3973" s="52">
        <f>IF(OR(P3973="",Q3973=""),"",IFERROR(IF(INDEX(ctaVinc,MATCH(Q3973,ctaNombre,0))&amp;""&lt;&gt;"",INDEX(ctaVinc,MATCH(Q3973,ctaNombre,0))&amp;"",Q3973),Q3973))</f>
        <v/>
      </c>
      <c r="AC3973" s="52">
        <f>IF(OR(K3973="",AND(P3973&lt;&gt;"Transferencia",P3973&lt;&gt;"Pago tarjeta")),"",IFERROR(IF(INDEX(ctaVinc,MATCH(K3973,ctaNombre,0))&amp;""&lt;&gt;"",INDEX(ctaVinc,MATCH(K3973,ctaNombre,0))&amp;"",K3973),K3973))</f>
        <v/>
      </c>
      <c r="AD3973" s="52">
        <f>IF(AB3973="","",IFERROR(INDEX(ctaTipo,MATCH(AB3973,ctaNombre,0))&amp;"",""))</f>
        <v/>
      </c>
      <c r="AE3973" s="52">
        <f>IF(AC3973="","",IFERROR(INDEX(ctaTipo,MATCH(AC3973,ctaNombre,0))&amp;"",""))</f>
        <v/>
      </c>
      <c r="AF3973" s="53">
        <f>IF(OR(P3973="",AB3973=""),"",IF(OR(P3973="Gasto",P3973="Transferencia",P3973="Pago tarjeta"),-1,1)*IF(IFERROR(INDEX(ctaMoneda,MATCH(AB3973,ctaNombre,0))&amp;"","DOP")="USD",T3973,S3973))</f>
        <v/>
      </c>
      <c r="AG3973" s="53">
        <f>IF(AC3973="","",IF(IFERROR(INDEX(ctaMoneda,MATCH(AC3973,ctaNombre,0))&amp;"","DOP")="USD",T3973,S3973))</f>
        <v/>
      </c>
      <c r="AH3973" s="53">
        <f>IF(P3973="","",IF(AND(AD3973&lt;&gt;"",COUNTIFS(tcTipo,AD3973,tcLiq,"Sí")&gt;0),IF(OR(P3973="Gasto",P3973="Transferencia",P3973="Pago tarjeta"),-1,1)*S3973,0)+IF(AND(AE3973&lt;&gt;"",COUNTIFS(tcTipo,AE3973,tcLiq,"Sí")&gt;0),S3973,0))</f>
        <v/>
      </c>
      <c r="AI3973" s="52">
        <f>IF(OR(L3973="",P3973=""),"",IF(COUNTIFS(L$6:L3973,L3973,P$6:P3973,"?*")=1,MAX(AI$5:AI3972)+1,""))</f>
        <v/>
      </c>
    </row>
    <row r="3974">
      <c r="B3974" s="47" t="n"/>
      <c r="C3974" s="48" t="n"/>
      <c r="D3974" s="48" t="n"/>
      <c r="E3974" s="48" t="n"/>
      <c r="F3974" s="48" t="n"/>
      <c r="G3974" s="49" t="n"/>
      <c r="H3974" s="48" t="n"/>
      <c r="I3974" s="50" t="n"/>
      <c r="J3974" s="48" t="n"/>
      <c r="K3974" s="48" t="n"/>
      <c r="L3974" s="48" t="n"/>
      <c r="M3974" s="48" t="n"/>
      <c r="N3974" s="48" t="n"/>
      <c r="O3974" s="51">
        <f>IF(AND(B3974="",G3974="",C3974="",D3974="",J3974=""),"",IF(B3974="","⚠ Falta fecha",IF(G3974="","⚠ Falta monto",IF(Q3974="","⚠ Falta cuenta",IF(ISNA(MATCH(Q3974,ctaNombre,0)),"⚠ Cuenta no registrada",IF(AND(OR(P3974="Gasto",P3974="Reembolso"),D3974=""),"⚠ Falta categoría",IF(AND(D3974&lt;&gt;"",E3974&lt;&gt;"",ISNA(MATCH(D3974&amp;"|"&amp;E3974,catClave,0))),"⚠ Subcategoría no corresponde",IF(AND(OR(P3974="Transferencia",P3974="Pago tarjeta"),K3974=""),"⚠ Falta cuenta destino",IF(AND(K3974&lt;&gt;"",P3974&lt;&gt;"Transferencia",P3974&lt;&gt;"Pago tarjeta"),"⚠ Destino solo aplica a transferencias",IF(AND(K3974&lt;&gt;"",K3974=Q3974),"⚠ Origen igual a destino",IF(AND(K3974&lt;&gt;"",ISNA(MATCH(K3974,ctaNombre,0))),"⚠ Destino no registrado",IF(AND(P3974="Pago tarjeta",AE3974&lt;&gt;"Tarjeta de crédito"),"⚠ El destino debe ser tarjeta de crédito",IF(AND(P3974="Gasto",E3974="Depósitos y retiros"),"⚠ Usa tipo Transferencia",IF(AND(P3974="Resultado trading",AD3974&lt;&gt;"Cuenta de trading"),"⚠ Usa una cuenta de trading",IF(AND(G3974&lt;=0,P3974&lt;&gt;"Ajuste",P3974&lt;&gt;"Resultado trading"),"⚠ El monto debe ser positivo","✓")))))))))))))))</f>
        <v/>
      </c>
      <c r="P3974" s="52">
        <f>IF(OR(B3974="",G3974=""),"",IF(C3974="","Gasto",C3974))</f>
        <v/>
      </c>
      <c r="Q3974" s="52">
        <f>IF(P3974="","",IF(J3974&lt;&gt;"",J3974,CuentaPred&amp;""))</f>
        <v/>
      </c>
      <c r="R3974" s="52">
        <f>IF(P3974="","",IF(ISNUMBER(I3974),I3974,TasaUSD))</f>
        <v/>
      </c>
      <c r="S3974" s="53">
        <f>IF(P3974="","",IF(H3974="USD",G3974*R3974,G3974))</f>
        <v/>
      </c>
      <c r="T3974" s="53">
        <f>IF(P3974="","",IF(H3974="USD",G3974,IF(R3974&gt;0,G3974/R3974,0)))</f>
        <v/>
      </c>
      <c r="U3974" s="53">
        <f>IF(P3974="","",IF(P3974="Gasto",S3974,IF(P3974="Reembolso",-S3974,0)))</f>
        <v/>
      </c>
      <c r="V3974" s="53">
        <f>IF(P3974="","",IF(P3974="Ingreso",S3974,0))</f>
        <v/>
      </c>
      <c r="W3974" s="53">
        <f>IF(P3974="","",IF(P3974="Resultado trading",S3974,0))</f>
        <v/>
      </c>
      <c r="X3974" s="52">
        <f>IF(OR(P3974="Gasto",P3974="Reembolso"),IF(M3974&lt;&gt;"",M3974,IFERROR(INDEX(catClasif,MATCH(D3974&amp;"|"&amp;E3974,catClave,0))&amp;"","Variable")),"")</f>
        <v/>
      </c>
      <c r="Y3974" s="52">
        <f>IF(P3974="","",IFERROR(INDEX(catGrupo,MATCH(D3974&amp;"|"&amp;E3974,catClave,0))&amp;"",""))</f>
        <v/>
      </c>
      <c r="Z3974" s="52">
        <f>IF(P3974="","",WEEKDAY(B3974,2))</f>
        <v/>
      </c>
      <c r="AA3974" s="52">
        <f>IF(P3974="","",IF(AND(P3974="Gasto",X3974="Variable",D3974&lt;&gt;catTrading,S3974&gt;0,S3974&lt;=Umbral),1,0))</f>
        <v/>
      </c>
      <c r="AB3974" s="52">
        <f>IF(OR(P3974="",Q3974=""),"",IFERROR(IF(INDEX(ctaVinc,MATCH(Q3974,ctaNombre,0))&amp;""&lt;&gt;"",INDEX(ctaVinc,MATCH(Q3974,ctaNombre,0))&amp;"",Q3974),Q3974))</f>
        <v/>
      </c>
      <c r="AC3974" s="52">
        <f>IF(OR(K3974="",AND(P3974&lt;&gt;"Transferencia",P3974&lt;&gt;"Pago tarjeta")),"",IFERROR(IF(INDEX(ctaVinc,MATCH(K3974,ctaNombre,0))&amp;""&lt;&gt;"",INDEX(ctaVinc,MATCH(K3974,ctaNombre,0))&amp;"",K3974),K3974))</f>
        <v/>
      </c>
      <c r="AD3974" s="52">
        <f>IF(AB3974="","",IFERROR(INDEX(ctaTipo,MATCH(AB3974,ctaNombre,0))&amp;"",""))</f>
        <v/>
      </c>
      <c r="AE3974" s="52">
        <f>IF(AC3974="","",IFERROR(INDEX(ctaTipo,MATCH(AC3974,ctaNombre,0))&amp;"",""))</f>
        <v/>
      </c>
      <c r="AF3974" s="53">
        <f>IF(OR(P3974="",AB3974=""),"",IF(OR(P3974="Gasto",P3974="Transferencia",P3974="Pago tarjeta"),-1,1)*IF(IFERROR(INDEX(ctaMoneda,MATCH(AB3974,ctaNombre,0))&amp;"","DOP")="USD",T3974,S3974))</f>
        <v/>
      </c>
      <c r="AG3974" s="53">
        <f>IF(AC3974="","",IF(IFERROR(INDEX(ctaMoneda,MATCH(AC3974,ctaNombre,0))&amp;"","DOP")="USD",T3974,S3974))</f>
        <v/>
      </c>
      <c r="AH3974" s="53">
        <f>IF(P3974="","",IF(AND(AD3974&lt;&gt;"",COUNTIFS(tcTipo,AD3974,tcLiq,"Sí")&gt;0),IF(OR(P3974="Gasto",P3974="Transferencia",P3974="Pago tarjeta"),-1,1)*S3974,0)+IF(AND(AE3974&lt;&gt;"",COUNTIFS(tcTipo,AE3974,tcLiq,"Sí")&gt;0),S3974,0))</f>
        <v/>
      </c>
      <c r="AI3974" s="52">
        <f>IF(OR(L3974="",P3974=""),"",IF(COUNTIFS(L$6:L3974,L3974,P$6:P3974,"?*")=1,MAX(AI$5:AI3973)+1,""))</f>
        <v/>
      </c>
    </row>
    <row r="3975">
      <c r="B3975" s="47" t="n"/>
      <c r="C3975" s="48" t="n"/>
      <c r="D3975" s="48" t="n"/>
      <c r="E3975" s="48" t="n"/>
      <c r="F3975" s="48" t="n"/>
      <c r="G3975" s="49" t="n"/>
      <c r="H3975" s="48" t="n"/>
      <c r="I3975" s="50" t="n"/>
      <c r="J3975" s="48" t="n"/>
      <c r="K3975" s="48" t="n"/>
      <c r="L3975" s="48" t="n"/>
      <c r="M3975" s="48" t="n"/>
      <c r="N3975" s="48" t="n"/>
      <c r="O3975" s="51">
        <f>IF(AND(B3975="",G3975="",C3975="",D3975="",J3975=""),"",IF(B3975="","⚠ Falta fecha",IF(G3975="","⚠ Falta monto",IF(Q3975="","⚠ Falta cuenta",IF(ISNA(MATCH(Q3975,ctaNombre,0)),"⚠ Cuenta no registrada",IF(AND(OR(P3975="Gasto",P3975="Reembolso"),D3975=""),"⚠ Falta categoría",IF(AND(D3975&lt;&gt;"",E3975&lt;&gt;"",ISNA(MATCH(D3975&amp;"|"&amp;E3975,catClave,0))),"⚠ Subcategoría no corresponde",IF(AND(OR(P3975="Transferencia",P3975="Pago tarjeta"),K3975=""),"⚠ Falta cuenta destino",IF(AND(K3975&lt;&gt;"",P3975&lt;&gt;"Transferencia",P3975&lt;&gt;"Pago tarjeta"),"⚠ Destino solo aplica a transferencias",IF(AND(K3975&lt;&gt;"",K3975=Q3975),"⚠ Origen igual a destino",IF(AND(K3975&lt;&gt;"",ISNA(MATCH(K3975,ctaNombre,0))),"⚠ Destino no registrado",IF(AND(P3975="Pago tarjeta",AE3975&lt;&gt;"Tarjeta de crédito"),"⚠ El destino debe ser tarjeta de crédito",IF(AND(P3975="Gasto",E3975="Depósitos y retiros"),"⚠ Usa tipo Transferencia",IF(AND(P3975="Resultado trading",AD3975&lt;&gt;"Cuenta de trading"),"⚠ Usa una cuenta de trading",IF(AND(G3975&lt;=0,P3975&lt;&gt;"Ajuste",P3975&lt;&gt;"Resultado trading"),"⚠ El monto debe ser positivo","✓")))))))))))))))</f>
        <v/>
      </c>
      <c r="P3975" s="52">
        <f>IF(OR(B3975="",G3975=""),"",IF(C3975="","Gasto",C3975))</f>
        <v/>
      </c>
      <c r="Q3975" s="52">
        <f>IF(P3975="","",IF(J3975&lt;&gt;"",J3975,CuentaPred&amp;""))</f>
        <v/>
      </c>
      <c r="R3975" s="52">
        <f>IF(P3975="","",IF(ISNUMBER(I3975),I3975,TasaUSD))</f>
        <v/>
      </c>
      <c r="S3975" s="53">
        <f>IF(P3975="","",IF(H3975="USD",G3975*R3975,G3975))</f>
        <v/>
      </c>
      <c r="T3975" s="53">
        <f>IF(P3975="","",IF(H3975="USD",G3975,IF(R3975&gt;0,G3975/R3975,0)))</f>
        <v/>
      </c>
      <c r="U3975" s="53">
        <f>IF(P3975="","",IF(P3975="Gasto",S3975,IF(P3975="Reembolso",-S3975,0)))</f>
        <v/>
      </c>
      <c r="V3975" s="53">
        <f>IF(P3975="","",IF(P3975="Ingreso",S3975,0))</f>
        <v/>
      </c>
      <c r="W3975" s="53">
        <f>IF(P3975="","",IF(P3975="Resultado trading",S3975,0))</f>
        <v/>
      </c>
      <c r="X3975" s="52">
        <f>IF(OR(P3975="Gasto",P3975="Reembolso"),IF(M3975&lt;&gt;"",M3975,IFERROR(INDEX(catClasif,MATCH(D3975&amp;"|"&amp;E3975,catClave,0))&amp;"","Variable")),"")</f>
        <v/>
      </c>
      <c r="Y3975" s="52">
        <f>IF(P3975="","",IFERROR(INDEX(catGrupo,MATCH(D3975&amp;"|"&amp;E3975,catClave,0))&amp;"",""))</f>
        <v/>
      </c>
      <c r="Z3975" s="52">
        <f>IF(P3975="","",WEEKDAY(B3975,2))</f>
        <v/>
      </c>
      <c r="AA3975" s="52">
        <f>IF(P3975="","",IF(AND(P3975="Gasto",X3975="Variable",D3975&lt;&gt;catTrading,S3975&gt;0,S3975&lt;=Umbral),1,0))</f>
        <v/>
      </c>
      <c r="AB3975" s="52">
        <f>IF(OR(P3975="",Q3975=""),"",IFERROR(IF(INDEX(ctaVinc,MATCH(Q3975,ctaNombre,0))&amp;""&lt;&gt;"",INDEX(ctaVinc,MATCH(Q3975,ctaNombre,0))&amp;"",Q3975),Q3975))</f>
        <v/>
      </c>
      <c r="AC3975" s="52">
        <f>IF(OR(K3975="",AND(P3975&lt;&gt;"Transferencia",P3975&lt;&gt;"Pago tarjeta")),"",IFERROR(IF(INDEX(ctaVinc,MATCH(K3975,ctaNombre,0))&amp;""&lt;&gt;"",INDEX(ctaVinc,MATCH(K3975,ctaNombre,0))&amp;"",K3975),K3975))</f>
        <v/>
      </c>
      <c r="AD3975" s="52">
        <f>IF(AB3975="","",IFERROR(INDEX(ctaTipo,MATCH(AB3975,ctaNombre,0))&amp;"",""))</f>
        <v/>
      </c>
      <c r="AE3975" s="52">
        <f>IF(AC3975="","",IFERROR(INDEX(ctaTipo,MATCH(AC3975,ctaNombre,0))&amp;"",""))</f>
        <v/>
      </c>
      <c r="AF3975" s="53">
        <f>IF(OR(P3975="",AB3975=""),"",IF(OR(P3975="Gasto",P3975="Transferencia",P3975="Pago tarjeta"),-1,1)*IF(IFERROR(INDEX(ctaMoneda,MATCH(AB3975,ctaNombre,0))&amp;"","DOP")="USD",T3975,S3975))</f>
        <v/>
      </c>
      <c r="AG3975" s="53">
        <f>IF(AC3975="","",IF(IFERROR(INDEX(ctaMoneda,MATCH(AC3975,ctaNombre,0))&amp;"","DOP")="USD",T3975,S3975))</f>
        <v/>
      </c>
      <c r="AH3975" s="53">
        <f>IF(P3975="","",IF(AND(AD3975&lt;&gt;"",COUNTIFS(tcTipo,AD3975,tcLiq,"Sí")&gt;0),IF(OR(P3975="Gasto",P3975="Transferencia",P3975="Pago tarjeta"),-1,1)*S3975,0)+IF(AND(AE3975&lt;&gt;"",COUNTIFS(tcTipo,AE3975,tcLiq,"Sí")&gt;0),S3975,0))</f>
        <v/>
      </c>
      <c r="AI3975" s="52">
        <f>IF(OR(L3975="",P3975=""),"",IF(COUNTIFS(L$6:L3975,L3975,P$6:P3975,"?*")=1,MAX(AI$5:AI3974)+1,""))</f>
        <v/>
      </c>
    </row>
    <row r="3976">
      <c r="B3976" s="47" t="n"/>
      <c r="C3976" s="48" t="n"/>
      <c r="D3976" s="48" t="n"/>
      <c r="E3976" s="48" t="n"/>
      <c r="F3976" s="48" t="n"/>
      <c r="G3976" s="49" t="n"/>
      <c r="H3976" s="48" t="n"/>
      <c r="I3976" s="50" t="n"/>
      <c r="J3976" s="48" t="n"/>
      <c r="K3976" s="48" t="n"/>
      <c r="L3976" s="48" t="n"/>
      <c r="M3976" s="48" t="n"/>
      <c r="N3976" s="48" t="n"/>
      <c r="O3976" s="51">
        <f>IF(AND(B3976="",G3976="",C3976="",D3976="",J3976=""),"",IF(B3976="","⚠ Falta fecha",IF(G3976="","⚠ Falta monto",IF(Q3976="","⚠ Falta cuenta",IF(ISNA(MATCH(Q3976,ctaNombre,0)),"⚠ Cuenta no registrada",IF(AND(OR(P3976="Gasto",P3976="Reembolso"),D3976=""),"⚠ Falta categoría",IF(AND(D3976&lt;&gt;"",E3976&lt;&gt;"",ISNA(MATCH(D3976&amp;"|"&amp;E3976,catClave,0))),"⚠ Subcategoría no corresponde",IF(AND(OR(P3976="Transferencia",P3976="Pago tarjeta"),K3976=""),"⚠ Falta cuenta destino",IF(AND(K3976&lt;&gt;"",P3976&lt;&gt;"Transferencia",P3976&lt;&gt;"Pago tarjeta"),"⚠ Destino solo aplica a transferencias",IF(AND(K3976&lt;&gt;"",K3976=Q3976),"⚠ Origen igual a destino",IF(AND(K3976&lt;&gt;"",ISNA(MATCH(K3976,ctaNombre,0))),"⚠ Destino no registrado",IF(AND(P3976="Pago tarjeta",AE3976&lt;&gt;"Tarjeta de crédito"),"⚠ El destino debe ser tarjeta de crédito",IF(AND(P3976="Gasto",E3976="Depósitos y retiros"),"⚠ Usa tipo Transferencia",IF(AND(P3976="Resultado trading",AD3976&lt;&gt;"Cuenta de trading"),"⚠ Usa una cuenta de trading",IF(AND(G3976&lt;=0,P3976&lt;&gt;"Ajuste",P3976&lt;&gt;"Resultado trading"),"⚠ El monto debe ser positivo","✓")))))))))))))))</f>
        <v/>
      </c>
      <c r="P3976" s="52">
        <f>IF(OR(B3976="",G3976=""),"",IF(C3976="","Gasto",C3976))</f>
        <v/>
      </c>
      <c r="Q3976" s="52">
        <f>IF(P3976="","",IF(J3976&lt;&gt;"",J3976,CuentaPred&amp;""))</f>
        <v/>
      </c>
      <c r="R3976" s="52">
        <f>IF(P3976="","",IF(ISNUMBER(I3976),I3976,TasaUSD))</f>
        <v/>
      </c>
      <c r="S3976" s="53">
        <f>IF(P3976="","",IF(H3976="USD",G3976*R3976,G3976))</f>
        <v/>
      </c>
      <c r="T3976" s="53">
        <f>IF(P3976="","",IF(H3976="USD",G3976,IF(R3976&gt;0,G3976/R3976,0)))</f>
        <v/>
      </c>
      <c r="U3976" s="53">
        <f>IF(P3976="","",IF(P3976="Gasto",S3976,IF(P3976="Reembolso",-S3976,0)))</f>
        <v/>
      </c>
      <c r="V3976" s="53">
        <f>IF(P3976="","",IF(P3976="Ingreso",S3976,0))</f>
        <v/>
      </c>
      <c r="W3976" s="53">
        <f>IF(P3976="","",IF(P3976="Resultado trading",S3976,0))</f>
        <v/>
      </c>
      <c r="X3976" s="52">
        <f>IF(OR(P3976="Gasto",P3976="Reembolso"),IF(M3976&lt;&gt;"",M3976,IFERROR(INDEX(catClasif,MATCH(D3976&amp;"|"&amp;E3976,catClave,0))&amp;"","Variable")),"")</f>
        <v/>
      </c>
      <c r="Y3976" s="52">
        <f>IF(P3976="","",IFERROR(INDEX(catGrupo,MATCH(D3976&amp;"|"&amp;E3976,catClave,0))&amp;"",""))</f>
        <v/>
      </c>
      <c r="Z3976" s="52">
        <f>IF(P3976="","",WEEKDAY(B3976,2))</f>
        <v/>
      </c>
      <c r="AA3976" s="52">
        <f>IF(P3976="","",IF(AND(P3976="Gasto",X3976="Variable",D3976&lt;&gt;catTrading,S3976&gt;0,S3976&lt;=Umbral),1,0))</f>
        <v/>
      </c>
      <c r="AB3976" s="52">
        <f>IF(OR(P3976="",Q3976=""),"",IFERROR(IF(INDEX(ctaVinc,MATCH(Q3976,ctaNombre,0))&amp;""&lt;&gt;"",INDEX(ctaVinc,MATCH(Q3976,ctaNombre,0))&amp;"",Q3976),Q3976))</f>
        <v/>
      </c>
      <c r="AC3976" s="52">
        <f>IF(OR(K3976="",AND(P3976&lt;&gt;"Transferencia",P3976&lt;&gt;"Pago tarjeta")),"",IFERROR(IF(INDEX(ctaVinc,MATCH(K3976,ctaNombre,0))&amp;""&lt;&gt;"",INDEX(ctaVinc,MATCH(K3976,ctaNombre,0))&amp;"",K3976),K3976))</f>
        <v/>
      </c>
      <c r="AD3976" s="52">
        <f>IF(AB3976="","",IFERROR(INDEX(ctaTipo,MATCH(AB3976,ctaNombre,0))&amp;"",""))</f>
        <v/>
      </c>
      <c r="AE3976" s="52">
        <f>IF(AC3976="","",IFERROR(INDEX(ctaTipo,MATCH(AC3976,ctaNombre,0))&amp;"",""))</f>
        <v/>
      </c>
      <c r="AF3976" s="53">
        <f>IF(OR(P3976="",AB3976=""),"",IF(OR(P3976="Gasto",P3976="Transferencia",P3976="Pago tarjeta"),-1,1)*IF(IFERROR(INDEX(ctaMoneda,MATCH(AB3976,ctaNombre,0))&amp;"","DOP")="USD",T3976,S3976))</f>
        <v/>
      </c>
      <c r="AG3976" s="53">
        <f>IF(AC3976="","",IF(IFERROR(INDEX(ctaMoneda,MATCH(AC3976,ctaNombre,0))&amp;"","DOP")="USD",T3976,S3976))</f>
        <v/>
      </c>
      <c r="AH3976" s="53">
        <f>IF(P3976="","",IF(AND(AD3976&lt;&gt;"",COUNTIFS(tcTipo,AD3976,tcLiq,"Sí")&gt;0),IF(OR(P3976="Gasto",P3976="Transferencia",P3976="Pago tarjeta"),-1,1)*S3976,0)+IF(AND(AE3976&lt;&gt;"",COUNTIFS(tcTipo,AE3976,tcLiq,"Sí")&gt;0),S3976,0))</f>
        <v/>
      </c>
      <c r="AI3976" s="52">
        <f>IF(OR(L3976="",P3976=""),"",IF(COUNTIFS(L$6:L3976,L3976,P$6:P3976,"?*")=1,MAX(AI$5:AI3975)+1,""))</f>
        <v/>
      </c>
    </row>
    <row r="3977">
      <c r="B3977" s="47" t="n"/>
      <c r="C3977" s="48" t="n"/>
      <c r="D3977" s="48" t="n"/>
      <c r="E3977" s="48" t="n"/>
      <c r="F3977" s="48" t="n"/>
      <c r="G3977" s="49" t="n"/>
      <c r="H3977" s="48" t="n"/>
      <c r="I3977" s="50" t="n"/>
      <c r="J3977" s="48" t="n"/>
      <c r="K3977" s="48" t="n"/>
      <c r="L3977" s="48" t="n"/>
      <c r="M3977" s="48" t="n"/>
      <c r="N3977" s="48" t="n"/>
      <c r="O3977" s="51">
        <f>IF(AND(B3977="",G3977="",C3977="",D3977="",J3977=""),"",IF(B3977="","⚠ Falta fecha",IF(G3977="","⚠ Falta monto",IF(Q3977="","⚠ Falta cuenta",IF(ISNA(MATCH(Q3977,ctaNombre,0)),"⚠ Cuenta no registrada",IF(AND(OR(P3977="Gasto",P3977="Reembolso"),D3977=""),"⚠ Falta categoría",IF(AND(D3977&lt;&gt;"",E3977&lt;&gt;"",ISNA(MATCH(D3977&amp;"|"&amp;E3977,catClave,0))),"⚠ Subcategoría no corresponde",IF(AND(OR(P3977="Transferencia",P3977="Pago tarjeta"),K3977=""),"⚠ Falta cuenta destino",IF(AND(K3977&lt;&gt;"",P3977&lt;&gt;"Transferencia",P3977&lt;&gt;"Pago tarjeta"),"⚠ Destino solo aplica a transferencias",IF(AND(K3977&lt;&gt;"",K3977=Q3977),"⚠ Origen igual a destino",IF(AND(K3977&lt;&gt;"",ISNA(MATCH(K3977,ctaNombre,0))),"⚠ Destino no registrado",IF(AND(P3977="Pago tarjeta",AE3977&lt;&gt;"Tarjeta de crédito"),"⚠ El destino debe ser tarjeta de crédito",IF(AND(P3977="Gasto",E3977="Depósitos y retiros"),"⚠ Usa tipo Transferencia",IF(AND(P3977="Resultado trading",AD3977&lt;&gt;"Cuenta de trading"),"⚠ Usa una cuenta de trading",IF(AND(G3977&lt;=0,P3977&lt;&gt;"Ajuste",P3977&lt;&gt;"Resultado trading"),"⚠ El monto debe ser positivo","✓")))))))))))))))</f>
        <v/>
      </c>
      <c r="P3977" s="52">
        <f>IF(OR(B3977="",G3977=""),"",IF(C3977="","Gasto",C3977))</f>
        <v/>
      </c>
      <c r="Q3977" s="52">
        <f>IF(P3977="","",IF(J3977&lt;&gt;"",J3977,CuentaPred&amp;""))</f>
        <v/>
      </c>
      <c r="R3977" s="52">
        <f>IF(P3977="","",IF(ISNUMBER(I3977),I3977,TasaUSD))</f>
        <v/>
      </c>
      <c r="S3977" s="53">
        <f>IF(P3977="","",IF(H3977="USD",G3977*R3977,G3977))</f>
        <v/>
      </c>
      <c r="T3977" s="53">
        <f>IF(P3977="","",IF(H3977="USD",G3977,IF(R3977&gt;0,G3977/R3977,0)))</f>
        <v/>
      </c>
      <c r="U3977" s="53">
        <f>IF(P3977="","",IF(P3977="Gasto",S3977,IF(P3977="Reembolso",-S3977,0)))</f>
        <v/>
      </c>
      <c r="V3977" s="53">
        <f>IF(P3977="","",IF(P3977="Ingreso",S3977,0))</f>
        <v/>
      </c>
      <c r="W3977" s="53">
        <f>IF(P3977="","",IF(P3977="Resultado trading",S3977,0))</f>
        <v/>
      </c>
      <c r="X3977" s="52">
        <f>IF(OR(P3977="Gasto",P3977="Reembolso"),IF(M3977&lt;&gt;"",M3977,IFERROR(INDEX(catClasif,MATCH(D3977&amp;"|"&amp;E3977,catClave,0))&amp;"","Variable")),"")</f>
        <v/>
      </c>
      <c r="Y3977" s="52">
        <f>IF(P3977="","",IFERROR(INDEX(catGrupo,MATCH(D3977&amp;"|"&amp;E3977,catClave,0))&amp;"",""))</f>
        <v/>
      </c>
      <c r="Z3977" s="52">
        <f>IF(P3977="","",WEEKDAY(B3977,2))</f>
        <v/>
      </c>
      <c r="AA3977" s="52">
        <f>IF(P3977="","",IF(AND(P3977="Gasto",X3977="Variable",D3977&lt;&gt;catTrading,S3977&gt;0,S3977&lt;=Umbral),1,0))</f>
        <v/>
      </c>
      <c r="AB3977" s="52">
        <f>IF(OR(P3977="",Q3977=""),"",IFERROR(IF(INDEX(ctaVinc,MATCH(Q3977,ctaNombre,0))&amp;""&lt;&gt;"",INDEX(ctaVinc,MATCH(Q3977,ctaNombre,0))&amp;"",Q3977),Q3977))</f>
        <v/>
      </c>
      <c r="AC3977" s="52">
        <f>IF(OR(K3977="",AND(P3977&lt;&gt;"Transferencia",P3977&lt;&gt;"Pago tarjeta")),"",IFERROR(IF(INDEX(ctaVinc,MATCH(K3977,ctaNombre,0))&amp;""&lt;&gt;"",INDEX(ctaVinc,MATCH(K3977,ctaNombre,0))&amp;"",K3977),K3977))</f>
        <v/>
      </c>
      <c r="AD3977" s="52">
        <f>IF(AB3977="","",IFERROR(INDEX(ctaTipo,MATCH(AB3977,ctaNombre,0))&amp;"",""))</f>
        <v/>
      </c>
      <c r="AE3977" s="52">
        <f>IF(AC3977="","",IFERROR(INDEX(ctaTipo,MATCH(AC3977,ctaNombre,0))&amp;"",""))</f>
        <v/>
      </c>
      <c r="AF3977" s="53">
        <f>IF(OR(P3977="",AB3977=""),"",IF(OR(P3977="Gasto",P3977="Transferencia",P3977="Pago tarjeta"),-1,1)*IF(IFERROR(INDEX(ctaMoneda,MATCH(AB3977,ctaNombre,0))&amp;"","DOP")="USD",T3977,S3977))</f>
        <v/>
      </c>
      <c r="AG3977" s="53">
        <f>IF(AC3977="","",IF(IFERROR(INDEX(ctaMoneda,MATCH(AC3977,ctaNombre,0))&amp;"","DOP")="USD",T3977,S3977))</f>
        <v/>
      </c>
      <c r="AH3977" s="53">
        <f>IF(P3977="","",IF(AND(AD3977&lt;&gt;"",COUNTIFS(tcTipo,AD3977,tcLiq,"Sí")&gt;0),IF(OR(P3977="Gasto",P3977="Transferencia",P3977="Pago tarjeta"),-1,1)*S3977,0)+IF(AND(AE3977&lt;&gt;"",COUNTIFS(tcTipo,AE3977,tcLiq,"Sí")&gt;0),S3977,0))</f>
        <v/>
      </c>
      <c r="AI3977" s="52">
        <f>IF(OR(L3977="",P3977=""),"",IF(COUNTIFS(L$6:L3977,L3977,P$6:P3977,"?*")=1,MAX(AI$5:AI3976)+1,""))</f>
        <v/>
      </c>
    </row>
    <row r="3978">
      <c r="B3978" s="47" t="n"/>
      <c r="C3978" s="48" t="n"/>
      <c r="D3978" s="48" t="n"/>
      <c r="E3978" s="48" t="n"/>
      <c r="F3978" s="48" t="n"/>
      <c r="G3978" s="49" t="n"/>
      <c r="H3978" s="48" t="n"/>
      <c r="I3978" s="50" t="n"/>
      <c r="J3978" s="48" t="n"/>
      <c r="K3978" s="48" t="n"/>
      <c r="L3978" s="48" t="n"/>
      <c r="M3978" s="48" t="n"/>
      <c r="N3978" s="48" t="n"/>
      <c r="O3978" s="51">
        <f>IF(AND(B3978="",G3978="",C3978="",D3978="",J3978=""),"",IF(B3978="","⚠ Falta fecha",IF(G3978="","⚠ Falta monto",IF(Q3978="","⚠ Falta cuenta",IF(ISNA(MATCH(Q3978,ctaNombre,0)),"⚠ Cuenta no registrada",IF(AND(OR(P3978="Gasto",P3978="Reembolso"),D3978=""),"⚠ Falta categoría",IF(AND(D3978&lt;&gt;"",E3978&lt;&gt;"",ISNA(MATCH(D3978&amp;"|"&amp;E3978,catClave,0))),"⚠ Subcategoría no corresponde",IF(AND(OR(P3978="Transferencia",P3978="Pago tarjeta"),K3978=""),"⚠ Falta cuenta destino",IF(AND(K3978&lt;&gt;"",P3978&lt;&gt;"Transferencia",P3978&lt;&gt;"Pago tarjeta"),"⚠ Destino solo aplica a transferencias",IF(AND(K3978&lt;&gt;"",K3978=Q3978),"⚠ Origen igual a destino",IF(AND(K3978&lt;&gt;"",ISNA(MATCH(K3978,ctaNombre,0))),"⚠ Destino no registrado",IF(AND(P3978="Pago tarjeta",AE3978&lt;&gt;"Tarjeta de crédito"),"⚠ El destino debe ser tarjeta de crédito",IF(AND(P3978="Gasto",E3978="Depósitos y retiros"),"⚠ Usa tipo Transferencia",IF(AND(P3978="Resultado trading",AD3978&lt;&gt;"Cuenta de trading"),"⚠ Usa una cuenta de trading",IF(AND(G3978&lt;=0,P3978&lt;&gt;"Ajuste",P3978&lt;&gt;"Resultado trading"),"⚠ El monto debe ser positivo","✓")))))))))))))))</f>
        <v/>
      </c>
      <c r="P3978" s="52">
        <f>IF(OR(B3978="",G3978=""),"",IF(C3978="","Gasto",C3978))</f>
        <v/>
      </c>
      <c r="Q3978" s="52">
        <f>IF(P3978="","",IF(J3978&lt;&gt;"",J3978,CuentaPred&amp;""))</f>
        <v/>
      </c>
      <c r="R3978" s="52">
        <f>IF(P3978="","",IF(ISNUMBER(I3978),I3978,TasaUSD))</f>
        <v/>
      </c>
      <c r="S3978" s="53">
        <f>IF(P3978="","",IF(H3978="USD",G3978*R3978,G3978))</f>
        <v/>
      </c>
      <c r="T3978" s="53">
        <f>IF(P3978="","",IF(H3978="USD",G3978,IF(R3978&gt;0,G3978/R3978,0)))</f>
        <v/>
      </c>
      <c r="U3978" s="53">
        <f>IF(P3978="","",IF(P3978="Gasto",S3978,IF(P3978="Reembolso",-S3978,0)))</f>
        <v/>
      </c>
      <c r="V3978" s="53">
        <f>IF(P3978="","",IF(P3978="Ingreso",S3978,0))</f>
        <v/>
      </c>
      <c r="W3978" s="53">
        <f>IF(P3978="","",IF(P3978="Resultado trading",S3978,0))</f>
        <v/>
      </c>
      <c r="X3978" s="52">
        <f>IF(OR(P3978="Gasto",P3978="Reembolso"),IF(M3978&lt;&gt;"",M3978,IFERROR(INDEX(catClasif,MATCH(D3978&amp;"|"&amp;E3978,catClave,0))&amp;"","Variable")),"")</f>
        <v/>
      </c>
      <c r="Y3978" s="52">
        <f>IF(P3978="","",IFERROR(INDEX(catGrupo,MATCH(D3978&amp;"|"&amp;E3978,catClave,0))&amp;"",""))</f>
        <v/>
      </c>
      <c r="Z3978" s="52">
        <f>IF(P3978="","",WEEKDAY(B3978,2))</f>
        <v/>
      </c>
      <c r="AA3978" s="52">
        <f>IF(P3978="","",IF(AND(P3978="Gasto",X3978="Variable",D3978&lt;&gt;catTrading,S3978&gt;0,S3978&lt;=Umbral),1,0))</f>
        <v/>
      </c>
      <c r="AB3978" s="52">
        <f>IF(OR(P3978="",Q3978=""),"",IFERROR(IF(INDEX(ctaVinc,MATCH(Q3978,ctaNombre,0))&amp;""&lt;&gt;"",INDEX(ctaVinc,MATCH(Q3978,ctaNombre,0))&amp;"",Q3978),Q3978))</f>
        <v/>
      </c>
      <c r="AC3978" s="52">
        <f>IF(OR(K3978="",AND(P3978&lt;&gt;"Transferencia",P3978&lt;&gt;"Pago tarjeta")),"",IFERROR(IF(INDEX(ctaVinc,MATCH(K3978,ctaNombre,0))&amp;""&lt;&gt;"",INDEX(ctaVinc,MATCH(K3978,ctaNombre,0))&amp;"",K3978),K3978))</f>
        <v/>
      </c>
      <c r="AD3978" s="52">
        <f>IF(AB3978="","",IFERROR(INDEX(ctaTipo,MATCH(AB3978,ctaNombre,0))&amp;"",""))</f>
        <v/>
      </c>
      <c r="AE3978" s="52">
        <f>IF(AC3978="","",IFERROR(INDEX(ctaTipo,MATCH(AC3978,ctaNombre,0))&amp;"",""))</f>
        <v/>
      </c>
      <c r="AF3978" s="53">
        <f>IF(OR(P3978="",AB3978=""),"",IF(OR(P3978="Gasto",P3978="Transferencia",P3978="Pago tarjeta"),-1,1)*IF(IFERROR(INDEX(ctaMoneda,MATCH(AB3978,ctaNombre,0))&amp;"","DOP")="USD",T3978,S3978))</f>
        <v/>
      </c>
      <c r="AG3978" s="53">
        <f>IF(AC3978="","",IF(IFERROR(INDEX(ctaMoneda,MATCH(AC3978,ctaNombre,0))&amp;"","DOP")="USD",T3978,S3978))</f>
        <v/>
      </c>
      <c r="AH3978" s="53">
        <f>IF(P3978="","",IF(AND(AD3978&lt;&gt;"",COUNTIFS(tcTipo,AD3978,tcLiq,"Sí")&gt;0),IF(OR(P3978="Gasto",P3978="Transferencia",P3978="Pago tarjeta"),-1,1)*S3978,0)+IF(AND(AE3978&lt;&gt;"",COUNTIFS(tcTipo,AE3978,tcLiq,"Sí")&gt;0),S3978,0))</f>
        <v/>
      </c>
      <c r="AI3978" s="52">
        <f>IF(OR(L3978="",P3978=""),"",IF(COUNTIFS(L$6:L3978,L3978,P$6:P3978,"?*")=1,MAX(AI$5:AI3977)+1,""))</f>
        <v/>
      </c>
    </row>
    <row r="3979">
      <c r="B3979" s="47" t="n"/>
      <c r="C3979" s="48" t="n"/>
      <c r="D3979" s="48" t="n"/>
      <c r="E3979" s="48" t="n"/>
      <c r="F3979" s="48" t="n"/>
      <c r="G3979" s="49" t="n"/>
      <c r="H3979" s="48" t="n"/>
      <c r="I3979" s="50" t="n"/>
      <c r="J3979" s="48" t="n"/>
      <c r="K3979" s="48" t="n"/>
      <c r="L3979" s="48" t="n"/>
      <c r="M3979" s="48" t="n"/>
      <c r="N3979" s="48" t="n"/>
      <c r="O3979" s="51">
        <f>IF(AND(B3979="",G3979="",C3979="",D3979="",J3979=""),"",IF(B3979="","⚠ Falta fecha",IF(G3979="","⚠ Falta monto",IF(Q3979="","⚠ Falta cuenta",IF(ISNA(MATCH(Q3979,ctaNombre,0)),"⚠ Cuenta no registrada",IF(AND(OR(P3979="Gasto",P3979="Reembolso"),D3979=""),"⚠ Falta categoría",IF(AND(D3979&lt;&gt;"",E3979&lt;&gt;"",ISNA(MATCH(D3979&amp;"|"&amp;E3979,catClave,0))),"⚠ Subcategoría no corresponde",IF(AND(OR(P3979="Transferencia",P3979="Pago tarjeta"),K3979=""),"⚠ Falta cuenta destino",IF(AND(K3979&lt;&gt;"",P3979&lt;&gt;"Transferencia",P3979&lt;&gt;"Pago tarjeta"),"⚠ Destino solo aplica a transferencias",IF(AND(K3979&lt;&gt;"",K3979=Q3979),"⚠ Origen igual a destino",IF(AND(K3979&lt;&gt;"",ISNA(MATCH(K3979,ctaNombre,0))),"⚠ Destino no registrado",IF(AND(P3979="Pago tarjeta",AE3979&lt;&gt;"Tarjeta de crédito"),"⚠ El destino debe ser tarjeta de crédito",IF(AND(P3979="Gasto",E3979="Depósitos y retiros"),"⚠ Usa tipo Transferencia",IF(AND(P3979="Resultado trading",AD3979&lt;&gt;"Cuenta de trading"),"⚠ Usa una cuenta de trading",IF(AND(G3979&lt;=0,P3979&lt;&gt;"Ajuste",P3979&lt;&gt;"Resultado trading"),"⚠ El monto debe ser positivo","✓")))))))))))))))</f>
        <v/>
      </c>
      <c r="P3979" s="52">
        <f>IF(OR(B3979="",G3979=""),"",IF(C3979="","Gasto",C3979))</f>
        <v/>
      </c>
      <c r="Q3979" s="52">
        <f>IF(P3979="","",IF(J3979&lt;&gt;"",J3979,CuentaPred&amp;""))</f>
        <v/>
      </c>
      <c r="R3979" s="52">
        <f>IF(P3979="","",IF(ISNUMBER(I3979),I3979,TasaUSD))</f>
        <v/>
      </c>
      <c r="S3979" s="53">
        <f>IF(P3979="","",IF(H3979="USD",G3979*R3979,G3979))</f>
        <v/>
      </c>
      <c r="T3979" s="53">
        <f>IF(P3979="","",IF(H3979="USD",G3979,IF(R3979&gt;0,G3979/R3979,0)))</f>
        <v/>
      </c>
      <c r="U3979" s="53">
        <f>IF(P3979="","",IF(P3979="Gasto",S3979,IF(P3979="Reembolso",-S3979,0)))</f>
        <v/>
      </c>
      <c r="V3979" s="53">
        <f>IF(P3979="","",IF(P3979="Ingreso",S3979,0))</f>
        <v/>
      </c>
      <c r="W3979" s="53">
        <f>IF(P3979="","",IF(P3979="Resultado trading",S3979,0))</f>
        <v/>
      </c>
      <c r="X3979" s="52">
        <f>IF(OR(P3979="Gasto",P3979="Reembolso"),IF(M3979&lt;&gt;"",M3979,IFERROR(INDEX(catClasif,MATCH(D3979&amp;"|"&amp;E3979,catClave,0))&amp;"","Variable")),"")</f>
        <v/>
      </c>
      <c r="Y3979" s="52">
        <f>IF(P3979="","",IFERROR(INDEX(catGrupo,MATCH(D3979&amp;"|"&amp;E3979,catClave,0))&amp;"",""))</f>
        <v/>
      </c>
      <c r="Z3979" s="52">
        <f>IF(P3979="","",WEEKDAY(B3979,2))</f>
        <v/>
      </c>
      <c r="AA3979" s="52">
        <f>IF(P3979="","",IF(AND(P3979="Gasto",X3979="Variable",D3979&lt;&gt;catTrading,S3979&gt;0,S3979&lt;=Umbral),1,0))</f>
        <v/>
      </c>
      <c r="AB3979" s="52">
        <f>IF(OR(P3979="",Q3979=""),"",IFERROR(IF(INDEX(ctaVinc,MATCH(Q3979,ctaNombre,0))&amp;""&lt;&gt;"",INDEX(ctaVinc,MATCH(Q3979,ctaNombre,0))&amp;"",Q3979),Q3979))</f>
        <v/>
      </c>
      <c r="AC3979" s="52">
        <f>IF(OR(K3979="",AND(P3979&lt;&gt;"Transferencia",P3979&lt;&gt;"Pago tarjeta")),"",IFERROR(IF(INDEX(ctaVinc,MATCH(K3979,ctaNombre,0))&amp;""&lt;&gt;"",INDEX(ctaVinc,MATCH(K3979,ctaNombre,0))&amp;"",K3979),K3979))</f>
        <v/>
      </c>
      <c r="AD3979" s="52">
        <f>IF(AB3979="","",IFERROR(INDEX(ctaTipo,MATCH(AB3979,ctaNombre,0))&amp;"",""))</f>
        <v/>
      </c>
      <c r="AE3979" s="52">
        <f>IF(AC3979="","",IFERROR(INDEX(ctaTipo,MATCH(AC3979,ctaNombre,0))&amp;"",""))</f>
        <v/>
      </c>
      <c r="AF3979" s="53">
        <f>IF(OR(P3979="",AB3979=""),"",IF(OR(P3979="Gasto",P3979="Transferencia",P3979="Pago tarjeta"),-1,1)*IF(IFERROR(INDEX(ctaMoneda,MATCH(AB3979,ctaNombre,0))&amp;"","DOP")="USD",T3979,S3979))</f>
        <v/>
      </c>
      <c r="AG3979" s="53">
        <f>IF(AC3979="","",IF(IFERROR(INDEX(ctaMoneda,MATCH(AC3979,ctaNombre,0))&amp;"","DOP")="USD",T3979,S3979))</f>
        <v/>
      </c>
      <c r="AH3979" s="53">
        <f>IF(P3979="","",IF(AND(AD3979&lt;&gt;"",COUNTIFS(tcTipo,AD3979,tcLiq,"Sí")&gt;0),IF(OR(P3979="Gasto",P3979="Transferencia",P3979="Pago tarjeta"),-1,1)*S3979,0)+IF(AND(AE3979&lt;&gt;"",COUNTIFS(tcTipo,AE3979,tcLiq,"Sí")&gt;0),S3979,0))</f>
        <v/>
      </c>
      <c r="AI3979" s="52">
        <f>IF(OR(L3979="",P3979=""),"",IF(COUNTIFS(L$6:L3979,L3979,P$6:P3979,"?*")=1,MAX(AI$5:AI3978)+1,""))</f>
        <v/>
      </c>
    </row>
    <row r="3980">
      <c r="B3980" s="47" t="n"/>
      <c r="C3980" s="48" t="n"/>
      <c r="D3980" s="48" t="n"/>
      <c r="E3980" s="48" t="n"/>
      <c r="F3980" s="48" t="n"/>
      <c r="G3980" s="49" t="n"/>
      <c r="H3980" s="48" t="n"/>
      <c r="I3980" s="50" t="n"/>
      <c r="J3980" s="48" t="n"/>
      <c r="K3980" s="48" t="n"/>
      <c r="L3980" s="48" t="n"/>
      <c r="M3980" s="48" t="n"/>
      <c r="N3980" s="48" t="n"/>
      <c r="O3980" s="51">
        <f>IF(AND(B3980="",G3980="",C3980="",D3980="",J3980=""),"",IF(B3980="","⚠ Falta fecha",IF(G3980="","⚠ Falta monto",IF(Q3980="","⚠ Falta cuenta",IF(ISNA(MATCH(Q3980,ctaNombre,0)),"⚠ Cuenta no registrada",IF(AND(OR(P3980="Gasto",P3980="Reembolso"),D3980=""),"⚠ Falta categoría",IF(AND(D3980&lt;&gt;"",E3980&lt;&gt;"",ISNA(MATCH(D3980&amp;"|"&amp;E3980,catClave,0))),"⚠ Subcategoría no corresponde",IF(AND(OR(P3980="Transferencia",P3980="Pago tarjeta"),K3980=""),"⚠ Falta cuenta destino",IF(AND(K3980&lt;&gt;"",P3980&lt;&gt;"Transferencia",P3980&lt;&gt;"Pago tarjeta"),"⚠ Destino solo aplica a transferencias",IF(AND(K3980&lt;&gt;"",K3980=Q3980),"⚠ Origen igual a destino",IF(AND(K3980&lt;&gt;"",ISNA(MATCH(K3980,ctaNombre,0))),"⚠ Destino no registrado",IF(AND(P3980="Pago tarjeta",AE3980&lt;&gt;"Tarjeta de crédito"),"⚠ El destino debe ser tarjeta de crédito",IF(AND(P3980="Gasto",E3980="Depósitos y retiros"),"⚠ Usa tipo Transferencia",IF(AND(P3980="Resultado trading",AD3980&lt;&gt;"Cuenta de trading"),"⚠ Usa una cuenta de trading",IF(AND(G3980&lt;=0,P3980&lt;&gt;"Ajuste",P3980&lt;&gt;"Resultado trading"),"⚠ El monto debe ser positivo","✓")))))))))))))))</f>
        <v/>
      </c>
      <c r="P3980" s="52">
        <f>IF(OR(B3980="",G3980=""),"",IF(C3980="","Gasto",C3980))</f>
        <v/>
      </c>
      <c r="Q3980" s="52">
        <f>IF(P3980="","",IF(J3980&lt;&gt;"",J3980,CuentaPred&amp;""))</f>
        <v/>
      </c>
      <c r="R3980" s="52">
        <f>IF(P3980="","",IF(ISNUMBER(I3980),I3980,TasaUSD))</f>
        <v/>
      </c>
      <c r="S3980" s="53">
        <f>IF(P3980="","",IF(H3980="USD",G3980*R3980,G3980))</f>
        <v/>
      </c>
      <c r="T3980" s="53">
        <f>IF(P3980="","",IF(H3980="USD",G3980,IF(R3980&gt;0,G3980/R3980,0)))</f>
        <v/>
      </c>
      <c r="U3980" s="53">
        <f>IF(P3980="","",IF(P3980="Gasto",S3980,IF(P3980="Reembolso",-S3980,0)))</f>
        <v/>
      </c>
      <c r="V3980" s="53">
        <f>IF(P3980="","",IF(P3980="Ingreso",S3980,0))</f>
        <v/>
      </c>
      <c r="W3980" s="53">
        <f>IF(P3980="","",IF(P3980="Resultado trading",S3980,0))</f>
        <v/>
      </c>
      <c r="X3980" s="52">
        <f>IF(OR(P3980="Gasto",P3980="Reembolso"),IF(M3980&lt;&gt;"",M3980,IFERROR(INDEX(catClasif,MATCH(D3980&amp;"|"&amp;E3980,catClave,0))&amp;"","Variable")),"")</f>
        <v/>
      </c>
      <c r="Y3980" s="52">
        <f>IF(P3980="","",IFERROR(INDEX(catGrupo,MATCH(D3980&amp;"|"&amp;E3980,catClave,0))&amp;"",""))</f>
        <v/>
      </c>
      <c r="Z3980" s="52">
        <f>IF(P3980="","",WEEKDAY(B3980,2))</f>
        <v/>
      </c>
      <c r="AA3980" s="52">
        <f>IF(P3980="","",IF(AND(P3980="Gasto",X3980="Variable",D3980&lt;&gt;catTrading,S3980&gt;0,S3980&lt;=Umbral),1,0))</f>
        <v/>
      </c>
      <c r="AB3980" s="52">
        <f>IF(OR(P3980="",Q3980=""),"",IFERROR(IF(INDEX(ctaVinc,MATCH(Q3980,ctaNombre,0))&amp;""&lt;&gt;"",INDEX(ctaVinc,MATCH(Q3980,ctaNombre,0))&amp;"",Q3980),Q3980))</f>
        <v/>
      </c>
      <c r="AC3980" s="52">
        <f>IF(OR(K3980="",AND(P3980&lt;&gt;"Transferencia",P3980&lt;&gt;"Pago tarjeta")),"",IFERROR(IF(INDEX(ctaVinc,MATCH(K3980,ctaNombre,0))&amp;""&lt;&gt;"",INDEX(ctaVinc,MATCH(K3980,ctaNombre,0))&amp;"",K3980),K3980))</f>
        <v/>
      </c>
      <c r="AD3980" s="52">
        <f>IF(AB3980="","",IFERROR(INDEX(ctaTipo,MATCH(AB3980,ctaNombre,0))&amp;"",""))</f>
        <v/>
      </c>
      <c r="AE3980" s="52">
        <f>IF(AC3980="","",IFERROR(INDEX(ctaTipo,MATCH(AC3980,ctaNombre,0))&amp;"",""))</f>
        <v/>
      </c>
      <c r="AF3980" s="53">
        <f>IF(OR(P3980="",AB3980=""),"",IF(OR(P3980="Gasto",P3980="Transferencia",P3980="Pago tarjeta"),-1,1)*IF(IFERROR(INDEX(ctaMoneda,MATCH(AB3980,ctaNombre,0))&amp;"","DOP")="USD",T3980,S3980))</f>
        <v/>
      </c>
      <c r="AG3980" s="53">
        <f>IF(AC3980="","",IF(IFERROR(INDEX(ctaMoneda,MATCH(AC3980,ctaNombre,0))&amp;"","DOP")="USD",T3980,S3980))</f>
        <v/>
      </c>
      <c r="AH3980" s="53">
        <f>IF(P3980="","",IF(AND(AD3980&lt;&gt;"",COUNTIFS(tcTipo,AD3980,tcLiq,"Sí")&gt;0),IF(OR(P3980="Gasto",P3980="Transferencia",P3980="Pago tarjeta"),-1,1)*S3980,0)+IF(AND(AE3980&lt;&gt;"",COUNTIFS(tcTipo,AE3980,tcLiq,"Sí")&gt;0),S3980,0))</f>
        <v/>
      </c>
      <c r="AI3980" s="52">
        <f>IF(OR(L3980="",P3980=""),"",IF(COUNTIFS(L$6:L3980,L3980,P$6:P3980,"?*")=1,MAX(AI$5:AI3979)+1,""))</f>
        <v/>
      </c>
    </row>
    <row r="3981">
      <c r="B3981" s="47" t="n"/>
      <c r="C3981" s="48" t="n"/>
      <c r="D3981" s="48" t="n"/>
      <c r="E3981" s="48" t="n"/>
      <c r="F3981" s="48" t="n"/>
      <c r="G3981" s="49" t="n"/>
      <c r="H3981" s="48" t="n"/>
      <c r="I3981" s="50" t="n"/>
      <c r="J3981" s="48" t="n"/>
      <c r="K3981" s="48" t="n"/>
      <c r="L3981" s="48" t="n"/>
      <c r="M3981" s="48" t="n"/>
      <c r="N3981" s="48" t="n"/>
      <c r="O3981" s="51">
        <f>IF(AND(B3981="",G3981="",C3981="",D3981="",J3981=""),"",IF(B3981="","⚠ Falta fecha",IF(G3981="","⚠ Falta monto",IF(Q3981="","⚠ Falta cuenta",IF(ISNA(MATCH(Q3981,ctaNombre,0)),"⚠ Cuenta no registrada",IF(AND(OR(P3981="Gasto",P3981="Reembolso"),D3981=""),"⚠ Falta categoría",IF(AND(D3981&lt;&gt;"",E3981&lt;&gt;"",ISNA(MATCH(D3981&amp;"|"&amp;E3981,catClave,0))),"⚠ Subcategoría no corresponde",IF(AND(OR(P3981="Transferencia",P3981="Pago tarjeta"),K3981=""),"⚠ Falta cuenta destino",IF(AND(K3981&lt;&gt;"",P3981&lt;&gt;"Transferencia",P3981&lt;&gt;"Pago tarjeta"),"⚠ Destino solo aplica a transferencias",IF(AND(K3981&lt;&gt;"",K3981=Q3981),"⚠ Origen igual a destino",IF(AND(K3981&lt;&gt;"",ISNA(MATCH(K3981,ctaNombre,0))),"⚠ Destino no registrado",IF(AND(P3981="Pago tarjeta",AE3981&lt;&gt;"Tarjeta de crédito"),"⚠ El destino debe ser tarjeta de crédito",IF(AND(P3981="Gasto",E3981="Depósitos y retiros"),"⚠ Usa tipo Transferencia",IF(AND(P3981="Resultado trading",AD3981&lt;&gt;"Cuenta de trading"),"⚠ Usa una cuenta de trading",IF(AND(G3981&lt;=0,P3981&lt;&gt;"Ajuste",P3981&lt;&gt;"Resultado trading"),"⚠ El monto debe ser positivo","✓")))))))))))))))</f>
        <v/>
      </c>
      <c r="P3981" s="52">
        <f>IF(OR(B3981="",G3981=""),"",IF(C3981="","Gasto",C3981))</f>
        <v/>
      </c>
      <c r="Q3981" s="52">
        <f>IF(P3981="","",IF(J3981&lt;&gt;"",J3981,CuentaPred&amp;""))</f>
        <v/>
      </c>
      <c r="R3981" s="52">
        <f>IF(P3981="","",IF(ISNUMBER(I3981),I3981,TasaUSD))</f>
        <v/>
      </c>
      <c r="S3981" s="53">
        <f>IF(P3981="","",IF(H3981="USD",G3981*R3981,G3981))</f>
        <v/>
      </c>
      <c r="T3981" s="53">
        <f>IF(P3981="","",IF(H3981="USD",G3981,IF(R3981&gt;0,G3981/R3981,0)))</f>
        <v/>
      </c>
      <c r="U3981" s="53">
        <f>IF(P3981="","",IF(P3981="Gasto",S3981,IF(P3981="Reembolso",-S3981,0)))</f>
        <v/>
      </c>
      <c r="V3981" s="53">
        <f>IF(P3981="","",IF(P3981="Ingreso",S3981,0))</f>
        <v/>
      </c>
      <c r="W3981" s="53">
        <f>IF(P3981="","",IF(P3981="Resultado trading",S3981,0))</f>
        <v/>
      </c>
      <c r="X3981" s="52">
        <f>IF(OR(P3981="Gasto",P3981="Reembolso"),IF(M3981&lt;&gt;"",M3981,IFERROR(INDEX(catClasif,MATCH(D3981&amp;"|"&amp;E3981,catClave,0))&amp;"","Variable")),"")</f>
        <v/>
      </c>
      <c r="Y3981" s="52">
        <f>IF(P3981="","",IFERROR(INDEX(catGrupo,MATCH(D3981&amp;"|"&amp;E3981,catClave,0))&amp;"",""))</f>
        <v/>
      </c>
      <c r="Z3981" s="52">
        <f>IF(P3981="","",WEEKDAY(B3981,2))</f>
        <v/>
      </c>
      <c r="AA3981" s="52">
        <f>IF(P3981="","",IF(AND(P3981="Gasto",X3981="Variable",D3981&lt;&gt;catTrading,S3981&gt;0,S3981&lt;=Umbral),1,0))</f>
        <v/>
      </c>
      <c r="AB3981" s="52">
        <f>IF(OR(P3981="",Q3981=""),"",IFERROR(IF(INDEX(ctaVinc,MATCH(Q3981,ctaNombre,0))&amp;""&lt;&gt;"",INDEX(ctaVinc,MATCH(Q3981,ctaNombre,0))&amp;"",Q3981),Q3981))</f>
        <v/>
      </c>
      <c r="AC3981" s="52">
        <f>IF(OR(K3981="",AND(P3981&lt;&gt;"Transferencia",P3981&lt;&gt;"Pago tarjeta")),"",IFERROR(IF(INDEX(ctaVinc,MATCH(K3981,ctaNombre,0))&amp;""&lt;&gt;"",INDEX(ctaVinc,MATCH(K3981,ctaNombre,0))&amp;"",K3981),K3981))</f>
        <v/>
      </c>
      <c r="AD3981" s="52">
        <f>IF(AB3981="","",IFERROR(INDEX(ctaTipo,MATCH(AB3981,ctaNombre,0))&amp;"",""))</f>
        <v/>
      </c>
      <c r="AE3981" s="52">
        <f>IF(AC3981="","",IFERROR(INDEX(ctaTipo,MATCH(AC3981,ctaNombre,0))&amp;"",""))</f>
        <v/>
      </c>
      <c r="AF3981" s="53">
        <f>IF(OR(P3981="",AB3981=""),"",IF(OR(P3981="Gasto",P3981="Transferencia",P3981="Pago tarjeta"),-1,1)*IF(IFERROR(INDEX(ctaMoneda,MATCH(AB3981,ctaNombre,0))&amp;"","DOP")="USD",T3981,S3981))</f>
        <v/>
      </c>
      <c r="AG3981" s="53">
        <f>IF(AC3981="","",IF(IFERROR(INDEX(ctaMoneda,MATCH(AC3981,ctaNombre,0))&amp;"","DOP")="USD",T3981,S3981))</f>
        <v/>
      </c>
      <c r="AH3981" s="53">
        <f>IF(P3981="","",IF(AND(AD3981&lt;&gt;"",COUNTIFS(tcTipo,AD3981,tcLiq,"Sí")&gt;0),IF(OR(P3981="Gasto",P3981="Transferencia",P3981="Pago tarjeta"),-1,1)*S3981,0)+IF(AND(AE3981&lt;&gt;"",COUNTIFS(tcTipo,AE3981,tcLiq,"Sí")&gt;0),S3981,0))</f>
        <v/>
      </c>
      <c r="AI3981" s="52">
        <f>IF(OR(L3981="",P3981=""),"",IF(COUNTIFS(L$6:L3981,L3981,P$6:P3981,"?*")=1,MAX(AI$5:AI3980)+1,""))</f>
        <v/>
      </c>
    </row>
    <row r="3982">
      <c r="B3982" s="47" t="n"/>
      <c r="C3982" s="48" t="n"/>
      <c r="D3982" s="48" t="n"/>
      <c r="E3982" s="48" t="n"/>
      <c r="F3982" s="48" t="n"/>
      <c r="G3982" s="49" t="n"/>
      <c r="H3982" s="48" t="n"/>
      <c r="I3982" s="50" t="n"/>
      <c r="J3982" s="48" t="n"/>
      <c r="K3982" s="48" t="n"/>
      <c r="L3982" s="48" t="n"/>
      <c r="M3982" s="48" t="n"/>
      <c r="N3982" s="48" t="n"/>
      <c r="O3982" s="51">
        <f>IF(AND(B3982="",G3982="",C3982="",D3982="",J3982=""),"",IF(B3982="","⚠ Falta fecha",IF(G3982="","⚠ Falta monto",IF(Q3982="","⚠ Falta cuenta",IF(ISNA(MATCH(Q3982,ctaNombre,0)),"⚠ Cuenta no registrada",IF(AND(OR(P3982="Gasto",P3982="Reembolso"),D3982=""),"⚠ Falta categoría",IF(AND(D3982&lt;&gt;"",E3982&lt;&gt;"",ISNA(MATCH(D3982&amp;"|"&amp;E3982,catClave,0))),"⚠ Subcategoría no corresponde",IF(AND(OR(P3982="Transferencia",P3982="Pago tarjeta"),K3982=""),"⚠ Falta cuenta destino",IF(AND(K3982&lt;&gt;"",P3982&lt;&gt;"Transferencia",P3982&lt;&gt;"Pago tarjeta"),"⚠ Destino solo aplica a transferencias",IF(AND(K3982&lt;&gt;"",K3982=Q3982),"⚠ Origen igual a destino",IF(AND(K3982&lt;&gt;"",ISNA(MATCH(K3982,ctaNombre,0))),"⚠ Destino no registrado",IF(AND(P3982="Pago tarjeta",AE3982&lt;&gt;"Tarjeta de crédito"),"⚠ El destino debe ser tarjeta de crédito",IF(AND(P3982="Gasto",E3982="Depósitos y retiros"),"⚠ Usa tipo Transferencia",IF(AND(P3982="Resultado trading",AD3982&lt;&gt;"Cuenta de trading"),"⚠ Usa una cuenta de trading",IF(AND(G3982&lt;=0,P3982&lt;&gt;"Ajuste",P3982&lt;&gt;"Resultado trading"),"⚠ El monto debe ser positivo","✓")))))))))))))))</f>
        <v/>
      </c>
      <c r="P3982" s="52">
        <f>IF(OR(B3982="",G3982=""),"",IF(C3982="","Gasto",C3982))</f>
        <v/>
      </c>
      <c r="Q3982" s="52">
        <f>IF(P3982="","",IF(J3982&lt;&gt;"",J3982,CuentaPred&amp;""))</f>
        <v/>
      </c>
      <c r="R3982" s="52">
        <f>IF(P3982="","",IF(ISNUMBER(I3982),I3982,TasaUSD))</f>
        <v/>
      </c>
      <c r="S3982" s="53">
        <f>IF(P3982="","",IF(H3982="USD",G3982*R3982,G3982))</f>
        <v/>
      </c>
      <c r="T3982" s="53">
        <f>IF(P3982="","",IF(H3982="USD",G3982,IF(R3982&gt;0,G3982/R3982,0)))</f>
        <v/>
      </c>
      <c r="U3982" s="53">
        <f>IF(P3982="","",IF(P3982="Gasto",S3982,IF(P3982="Reembolso",-S3982,0)))</f>
        <v/>
      </c>
      <c r="V3982" s="53">
        <f>IF(P3982="","",IF(P3982="Ingreso",S3982,0))</f>
        <v/>
      </c>
      <c r="W3982" s="53">
        <f>IF(P3982="","",IF(P3982="Resultado trading",S3982,0))</f>
        <v/>
      </c>
      <c r="X3982" s="52">
        <f>IF(OR(P3982="Gasto",P3982="Reembolso"),IF(M3982&lt;&gt;"",M3982,IFERROR(INDEX(catClasif,MATCH(D3982&amp;"|"&amp;E3982,catClave,0))&amp;"","Variable")),"")</f>
        <v/>
      </c>
      <c r="Y3982" s="52">
        <f>IF(P3982="","",IFERROR(INDEX(catGrupo,MATCH(D3982&amp;"|"&amp;E3982,catClave,0))&amp;"",""))</f>
        <v/>
      </c>
      <c r="Z3982" s="52">
        <f>IF(P3982="","",WEEKDAY(B3982,2))</f>
        <v/>
      </c>
      <c r="AA3982" s="52">
        <f>IF(P3982="","",IF(AND(P3982="Gasto",X3982="Variable",D3982&lt;&gt;catTrading,S3982&gt;0,S3982&lt;=Umbral),1,0))</f>
        <v/>
      </c>
      <c r="AB3982" s="52">
        <f>IF(OR(P3982="",Q3982=""),"",IFERROR(IF(INDEX(ctaVinc,MATCH(Q3982,ctaNombre,0))&amp;""&lt;&gt;"",INDEX(ctaVinc,MATCH(Q3982,ctaNombre,0))&amp;"",Q3982),Q3982))</f>
        <v/>
      </c>
      <c r="AC3982" s="52">
        <f>IF(OR(K3982="",AND(P3982&lt;&gt;"Transferencia",P3982&lt;&gt;"Pago tarjeta")),"",IFERROR(IF(INDEX(ctaVinc,MATCH(K3982,ctaNombre,0))&amp;""&lt;&gt;"",INDEX(ctaVinc,MATCH(K3982,ctaNombre,0))&amp;"",K3982),K3982))</f>
        <v/>
      </c>
      <c r="AD3982" s="52">
        <f>IF(AB3982="","",IFERROR(INDEX(ctaTipo,MATCH(AB3982,ctaNombre,0))&amp;"",""))</f>
        <v/>
      </c>
      <c r="AE3982" s="52">
        <f>IF(AC3982="","",IFERROR(INDEX(ctaTipo,MATCH(AC3982,ctaNombre,0))&amp;"",""))</f>
        <v/>
      </c>
      <c r="AF3982" s="53">
        <f>IF(OR(P3982="",AB3982=""),"",IF(OR(P3982="Gasto",P3982="Transferencia",P3982="Pago tarjeta"),-1,1)*IF(IFERROR(INDEX(ctaMoneda,MATCH(AB3982,ctaNombre,0))&amp;"","DOP")="USD",T3982,S3982))</f>
        <v/>
      </c>
      <c r="AG3982" s="53">
        <f>IF(AC3982="","",IF(IFERROR(INDEX(ctaMoneda,MATCH(AC3982,ctaNombre,0))&amp;"","DOP")="USD",T3982,S3982))</f>
        <v/>
      </c>
      <c r="AH3982" s="53">
        <f>IF(P3982="","",IF(AND(AD3982&lt;&gt;"",COUNTIFS(tcTipo,AD3982,tcLiq,"Sí")&gt;0),IF(OR(P3982="Gasto",P3982="Transferencia",P3982="Pago tarjeta"),-1,1)*S3982,0)+IF(AND(AE3982&lt;&gt;"",COUNTIFS(tcTipo,AE3982,tcLiq,"Sí")&gt;0),S3982,0))</f>
        <v/>
      </c>
      <c r="AI3982" s="52">
        <f>IF(OR(L3982="",P3982=""),"",IF(COUNTIFS(L$6:L3982,L3982,P$6:P3982,"?*")=1,MAX(AI$5:AI3981)+1,""))</f>
        <v/>
      </c>
    </row>
    <row r="3983">
      <c r="B3983" s="47" t="n"/>
      <c r="C3983" s="48" t="n"/>
      <c r="D3983" s="48" t="n"/>
      <c r="E3983" s="48" t="n"/>
      <c r="F3983" s="48" t="n"/>
      <c r="G3983" s="49" t="n"/>
      <c r="H3983" s="48" t="n"/>
      <c r="I3983" s="50" t="n"/>
      <c r="J3983" s="48" t="n"/>
      <c r="K3983" s="48" t="n"/>
      <c r="L3983" s="48" t="n"/>
      <c r="M3983" s="48" t="n"/>
      <c r="N3983" s="48" t="n"/>
      <c r="O3983" s="51">
        <f>IF(AND(B3983="",G3983="",C3983="",D3983="",J3983=""),"",IF(B3983="","⚠ Falta fecha",IF(G3983="","⚠ Falta monto",IF(Q3983="","⚠ Falta cuenta",IF(ISNA(MATCH(Q3983,ctaNombre,0)),"⚠ Cuenta no registrada",IF(AND(OR(P3983="Gasto",P3983="Reembolso"),D3983=""),"⚠ Falta categoría",IF(AND(D3983&lt;&gt;"",E3983&lt;&gt;"",ISNA(MATCH(D3983&amp;"|"&amp;E3983,catClave,0))),"⚠ Subcategoría no corresponde",IF(AND(OR(P3983="Transferencia",P3983="Pago tarjeta"),K3983=""),"⚠ Falta cuenta destino",IF(AND(K3983&lt;&gt;"",P3983&lt;&gt;"Transferencia",P3983&lt;&gt;"Pago tarjeta"),"⚠ Destino solo aplica a transferencias",IF(AND(K3983&lt;&gt;"",K3983=Q3983),"⚠ Origen igual a destino",IF(AND(K3983&lt;&gt;"",ISNA(MATCH(K3983,ctaNombre,0))),"⚠ Destino no registrado",IF(AND(P3983="Pago tarjeta",AE3983&lt;&gt;"Tarjeta de crédito"),"⚠ El destino debe ser tarjeta de crédito",IF(AND(P3983="Gasto",E3983="Depósitos y retiros"),"⚠ Usa tipo Transferencia",IF(AND(P3983="Resultado trading",AD3983&lt;&gt;"Cuenta de trading"),"⚠ Usa una cuenta de trading",IF(AND(G3983&lt;=0,P3983&lt;&gt;"Ajuste",P3983&lt;&gt;"Resultado trading"),"⚠ El monto debe ser positivo","✓")))))))))))))))</f>
        <v/>
      </c>
      <c r="P3983" s="52">
        <f>IF(OR(B3983="",G3983=""),"",IF(C3983="","Gasto",C3983))</f>
        <v/>
      </c>
      <c r="Q3983" s="52">
        <f>IF(P3983="","",IF(J3983&lt;&gt;"",J3983,CuentaPred&amp;""))</f>
        <v/>
      </c>
      <c r="R3983" s="52">
        <f>IF(P3983="","",IF(ISNUMBER(I3983),I3983,TasaUSD))</f>
        <v/>
      </c>
      <c r="S3983" s="53">
        <f>IF(P3983="","",IF(H3983="USD",G3983*R3983,G3983))</f>
        <v/>
      </c>
      <c r="T3983" s="53">
        <f>IF(P3983="","",IF(H3983="USD",G3983,IF(R3983&gt;0,G3983/R3983,0)))</f>
        <v/>
      </c>
      <c r="U3983" s="53">
        <f>IF(P3983="","",IF(P3983="Gasto",S3983,IF(P3983="Reembolso",-S3983,0)))</f>
        <v/>
      </c>
      <c r="V3983" s="53">
        <f>IF(P3983="","",IF(P3983="Ingreso",S3983,0))</f>
        <v/>
      </c>
      <c r="W3983" s="53">
        <f>IF(P3983="","",IF(P3983="Resultado trading",S3983,0))</f>
        <v/>
      </c>
      <c r="X3983" s="52">
        <f>IF(OR(P3983="Gasto",P3983="Reembolso"),IF(M3983&lt;&gt;"",M3983,IFERROR(INDEX(catClasif,MATCH(D3983&amp;"|"&amp;E3983,catClave,0))&amp;"","Variable")),"")</f>
        <v/>
      </c>
      <c r="Y3983" s="52">
        <f>IF(P3983="","",IFERROR(INDEX(catGrupo,MATCH(D3983&amp;"|"&amp;E3983,catClave,0))&amp;"",""))</f>
        <v/>
      </c>
      <c r="Z3983" s="52">
        <f>IF(P3983="","",WEEKDAY(B3983,2))</f>
        <v/>
      </c>
      <c r="AA3983" s="52">
        <f>IF(P3983="","",IF(AND(P3983="Gasto",X3983="Variable",D3983&lt;&gt;catTrading,S3983&gt;0,S3983&lt;=Umbral),1,0))</f>
        <v/>
      </c>
      <c r="AB3983" s="52">
        <f>IF(OR(P3983="",Q3983=""),"",IFERROR(IF(INDEX(ctaVinc,MATCH(Q3983,ctaNombre,0))&amp;""&lt;&gt;"",INDEX(ctaVinc,MATCH(Q3983,ctaNombre,0))&amp;"",Q3983),Q3983))</f>
        <v/>
      </c>
      <c r="AC3983" s="52">
        <f>IF(OR(K3983="",AND(P3983&lt;&gt;"Transferencia",P3983&lt;&gt;"Pago tarjeta")),"",IFERROR(IF(INDEX(ctaVinc,MATCH(K3983,ctaNombre,0))&amp;""&lt;&gt;"",INDEX(ctaVinc,MATCH(K3983,ctaNombre,0))&amp;"",K3983),K3983))</f>
        <v/>
      </c>
      <c r="AD3983" s="52">
        <f>IF(AB3983="","",IFERROR(INDEX(ctaTipo,MATCH(AB3983,ctaNombre,0))&amp;"",""))</f>
        <v/>
      </c>
      <c r="AE3983" s="52">
        <f>IF(AC3983="","",IFERROR(INDEX(ctaTipo,MATCH(AC3983,ctaNombre,0))&amp;"",""))</f>
        <v/>
      </c>
      <c r="AF3983" s="53">
        <f>IF(OR(P3983="",AB3983=""),"",IF(OR(P3983="Gasto",P3983="Transferencia",P3983="Pago tarjeta"),-1,1)*IF(IFERROR(INDEX(ctaMoneda,MATCH(AB3983,ctaNombre,0))&amp;"","DOP")="USD",T3983,S3983))</f>
        <v/>
      </c>
      <c r="AG3983" s="53">
        <f>IF(AC3983="","",IF(IFERROR(INDEX(ctaMoneda,MATCH(AC3983,ctaNombre,0))&amp;"","DOP")="USD",T3983,S3983))</f>
        <v/>
      </c>
      <c r="AH3983" s="53">
        <f>IF(P3983="","",IF(AND(AD3983&lt;&gt;"",COUNTIFS(tcTipo,AD3983,tcLiq,"Sí")&gt;0),IF(OR(P3983="Gasto",P3983="Transferencia",P3983="Pago tarjeta"),-1,1)*S3983,0)+IF(AND(AE3983&lt;&gt;"",COUNTIFS(tcTipo,AE3983,tcLiq,"Sí")&gt;0),S3983,0))</f>
        <v/>
      </c>
      <c r="AI3983" s="52">
        <f>IF(OR(L3983="",P3983=""),"",IF(COUNTIFS(L$6:L3983,L3983,P$6:P3983,"?*")=1,MAX(AI$5:AI3982)+1,""))</f>
        <v/>
      </c>
    </row>
    <row r="3984">
      <c r="B3984" s="47" t="n"/>
      <c r="C3984" s="48" t="n"/>
      <c r="D3984" s="48" t="n"/>
      <c r="E3984" s="48" t="n"/>
      <c r="F3984" s="48" t="n"/>
      <c r="G3984" s="49" t="n"/>
      <c r="H3984" s="48" t="n"/>
      <c r="I3984" s="50" t="n"/>
      <c r="J3984" s="48" t="n"/>
      <c r="K3984" s="48" t="n"/>
      <c r="L3984" s="48" t="n"/>
      <c r="M3984" s="48" t="n"/>
      <c r="N3984" s="48" t="n"/>
      <c r="O3984" s="51">
        <f>IF(AND(B3984="",G3984="",C3984="",D3984="",J3984=""),"",IF(B3984="","⚠ Falta fecha",IF(G3984="","⚠ Falta monto",IF(Q3984="","⚠ Falta cuenta",IF(ISNA(MATCH(Q3984,ctaNombre,0)),"⚠ Cuenta no registrada",IF(AND(OR(P3984="Gasto",P3984="Reembolso"),D3984=""),"⚠ Falta categoría",IF(AND(D3984&lt;&gt;"",E3984&lt;&gt;"",ISNA(MATCH(D3984&amp;"|"&amp;E3984,catClave,0))),"⚠ Subcategoría no corresponde",IF(AND(OR(P3984="Transferencia",P3984="Pago tarjeta"),K3984=""),"⚠ Falta cuenta destino",IF(AND(K3984&lt;&gt;"",P3984&lt;&gt;"Transferencia",P3984&lt;&gt;"Pago tarjeta"),"⚠ Destino solo aplica a transferencias",IF(AND(K3984&lt;&gt;"",K3984=Q3984),"⚠ Origen igual a destino",IF(AND(K3984&lt;&gt;"",ISNA(MATCH(K3984,ctaNombre,0))),"⚠ Destino no registrado",IF(AND(P3984="Pago tarjeta",AE3984&lt;&gt;"Tarjeta de crédito"),"⚠ El destino debe ser tarjeta de crédito",IF(AND(P3984="Gasto",E3984="Depósitos y retiros"),"⚠ Usa tipo Transferencia",IF(AND(P3984="Resultado trading",AD3984&lt;&gt;"Cuenta de trading"),"⚠ Usa una cuenta de trading",IF(AND(G3984&lt;=0,P3984&lt;&gt;"Ajuste",P3984&lt;&gt;"Resultado trading"),"⚠ El monto debe ser positivo","✓")))))))))))))))</f>
        <v/>
      </c>
      <c r="P3984" s="52">
        <f>IF(OR(B3984="",G3984=""),"",IF(C3984="","Gasto",C3984))</f>
        <v/>
      </c>
      <c r="Q3984" s="52">
        <f>IF(P3984="","",IF(J3984&lt;&gt;"",J3984,CuentaPred&amp;""))</f>
        <v/>
      </c>
      <c r="R3984" s="52">
        <f>IF(P3984="","",IF(ISNUMBER(I3984),I3984,TasaUSD))</f>
        <v/>
      </c>
      <c r="S3984" s="53">
        <f>IF(P3984="","",IF(H3984="USD",G3984*R3984,G3984))</f>
        <v/>
      </c>
      <c r="T3984" s="53">
        <f>IF(P3984="","",IF(H3984="USD",G3984,IF(R3984&gt;0,G3984/R3984,0)))</f>
        <v/>
      </c>
      <c r="U3984" s="53">
        <f>IF(P3984="","",IF(P3984="Gasto",S3984,IF(P3984="Reembolso",-S3984,0)))</f>
        <v/>
      </c>
      <c r="V3984" s="53">
        <f>IF(P3984="","",IF(P3984="Ingreso",S3984,0))</f>
        <v/>
      </c>
      <c r="W3984" s="53">
        <f>IF(P3984="","",IF(P3984="Resultado trading",S3984,0))</f>
        <v/>
      </c>
      <c r="X3984" s="52">
        <f>IF(OR(P3984="Gasto",P3984="Reembolso"),IF(M3984&lt;&gt;"",M3984,IFERROR(INDEX(catClasif,MATCH(D3984&amp;"|"&amp;E3984,catClave,0))&amp;"","Variable")),"")</f>
        <v/>
      </c>
      <c r="Y3984" s="52">
        <f>IF(P3984="","",IFERROR(INDEX(catGrupo,MATCH(D3984&amp;"|"&amp;E3984,catClave,0))&amp;"",""))</f>
        <v/>
      </c>
      <c r="Z3984" s="52">
        <f>IF(P3984="","",WEEKDAY(B3984,2))</f>
        <v/>
      </c>
      <c r="AA3984" s="52">
        <f>IF(P3984="","",IF(AND(P3984="Gasto",X3984="Variable",D3984&lt;&gt;catTrading,S3984&gt;0,S3984&lt;=Umbral),1,0))</f>
        <v/>
      </c>
      <c r="AB3984" s="52">
        <f>IF(OR(P3984="",Q3984=""),"",IFERROR(IF(INDEX(ctaVinc,MATCH(Q3984,ctaNombre,0))&amp;""&lt;&gt;"",INDEX(ctaVinc,MATCH(Q3984,ctaNombre,0))&amp;"",Q3984),Q3984))</f>
        <v/>
      </c>
      <c r="AC3984" s="52">
        <f>IF(OR(K3984="",AND(P3984&lt;&gt;"Transferencia",P3984&lt;&gt;"Pago tarjeta")),"",IFERROR(IF(INDEX(ctaVinc,MATCH(K3984,ctaNombre,0))&amp;""&lt;&gt;"",INDEX(ctaVinc,MATCH(K3984,ctaNombre,0))&amp;"",K3984),K3984))</f>
        <v/>
      </c>
      <c r="AD3984" s="52">
        <f>IF(AB3984="","",IFERROR(INDEX(ctaTipo,MATCH(AB3984,ctaNombre,0))&amp;"",""))</f>
        <v/>
      </c>
      <c r="AE3984" s="52">
        <f>IF(AC3984="","",IFERROR(INDEX(ctaTipo,MATCH(AC3984,ctaNombre,0))&amp;"",""))</f>
        <v/>
      </c>
      <c r="AF3984" s="53">
        <f>IF(OR(P3984="",AB3984=""),"",IF(OR(P3984="Gasto",P3984="Transferencia",P3984="Pago tarjeta"),-1,1)*IF(IFERROR(INDEX(ctaMoneda,MATCH(AB3984,ctaNombre,0))&amp;"","DOP")="USD",T3984,S3984))</f>
        <v/>
      </c>
      <c r="AG3984" s="53">
        <f>IF(AC3984="","",IF(IFERROR(INDEX(ctaMoneda,MATCH(AC3984,ctaNombre,0))&amp;"","DOP")="USD",T3984,S3984))</f>
        <v/>
      </c>
      <c r="AH3984" s="53">
        <f>IF(P3984="","",IF(AND(AD3984&lt;&gt;"",COUNTIFS(tcTipo,AD3984,tcLiq,"Sí")&gt;0),IF(OR(P3984="Gasto",P3984="Transferencia",P3984="Pago tarjeta"),-1,1)*S3984,0)+IF(AND(AE3984&lt;&gt;"",COUNTIFS(tcTipo,AE3984,tcLiq,"Sí")&gt;0),S3984,0))</f>
        <v/>
      </c>
      <c r="AI3984" s="52">
        <f>IF(OR(L3984="",P3984=""),"",IF(COUNTIFS(L$6:L3984,L3984,P$6:P3984,"?*")=1,MAX(AI$5:AI3983)+1,""))</f>
        <v/>
      </c>
    </row>
    <row r="3985">
      <c r="B3985" s="47" t="n"/>
      <c r="C3985" s="48" t="n"/>
      <c r="D3985" s="48" t="n"/>
      <c r="E3985" s="48" t="n"/>
      <c r="F3985" s="48" t="n"/>
      <c r="G3985" s="49" t="n"/>
      <c r="H3985" s="48" t="n"/>
      <c r="I3985" s="50" t="n"/>
      <c r="J3985" s="48" t="n"/>
      <c r="K3985" s="48" t="n"/>
      <c r="L3985" s="48" t="n"/>
      <c r="M3985" s="48" t="n"/>
      <c r="N3985" s="48" t="n"/>
      <c r="O3985" s="51">
        <f>IF(AND(B3985="",G3985="",C3985="",D3985="",J3985=""),"",IF(B3985="","⚠ Falta fecha",IF(G3985="","⚠ Falta monto",IF(Q3985="","⚠ Falta cuenta",IF(ISNA(MATCH(Q3985,ctaNombre,0)),"⚠ Cuenta no registrada",IF(AND(OR(P3985="Gasto",P3985="Reembolso"),D3985=""),"⚠ Falta categoría",IF(AND(D3985&lt;&gt;"",E3985&lt;&gt;"",ISNA(MATCH(D3985&amp;"|"&amp;E3985,catClave,0))),"⚠ Subcategoría no corresponde",IF(AND(OR(P3985="Transferencia",P3985="Pago tarjeta"),K3985=""),"⚠ Falta cuenta destino",IF(AND(K3985&lt;&gt;"",P3985&lt;&gt;"Transferencia",P3985&lt;&gt;"Pago tarjeta"),"⚠ Destino solo aplica a transferencias",IF(AND(K3985&lt;&gt;"",K3985=Q3985),"⚠ Origen igual a destino",IF(AND(K3985&lt;&gt;"",ISNA(MATCH(K3985,ctaNombre,0))),"⚠ Destino no registrado",IF(AND(P3985="Pago tarjeta",AE3985&lt;&gt;"Tarjeta de crédito"),"⚠ El destino debe ser tarjeta de crédito",IF(AND(P3985="Gasto",E3985="Depósitos y retiros"),"⚠ Usa tipo Transferencia",IF(AND(P3985="Resultado trading",AD3985&lt;&gt;"Cuenta de trading"),"⚠ Usa una cuenta de trading",IF(AND(G3985&lt;=0,P3985&lt;&gt;"Ajuste",P3985&lt;&gt;"Resultado trading"),"⚠ El monto debe ser positivo","✓")))))))))))))))</f>
        <v/>
      </c>
      <c r="P3985" s="52">
        <f>IF(OR(B3985="",G3985=""),"",IF(C3985="","Gasto",C3985))</f>
        <v/>
      </c>
      <c r="Q3985" s="52">
        <f>IF(P3985="","",IF(J3985&lt;&gt;"",J3985,CuentaPred&amp;""))</f>
        <v/>
      </c>
      <c r="R3985" s="52">
        <f>IF(P3985="","",IF(ISNUMBER(I3985),I3985,TasaUSD))</f>
        <v/>
      </c>
      <c r="S3985" s="53">
        <f>IF(P3985="","",IF(H3985="USD",G3985*R3985,G3985))</f>
        <v/>
      </c>
      <c r="T3985" s="53">
        <f>IF(P3985="","",IF(H3985="USD",G3985,IF(R3985&gt;0,G3985/R3985,0)))</f>
        <v/>
      </c>
      <c r="U3985" s="53">
        <f>IF(P3985="","",IF(P3985="Gasto",S3985,IF(P3985="Reembolso",-S3985,0)))</f>
        <v/>
      </c>
      <c r="V3985" s="53">
        <f>IF(P3985="","",IF(P3985="Ingreso",S3985,0))</f>
        <v/>
      </c>
      <c r="W3985" s="53">
        <f>IF(P3985="","",IF(P3985="Resultado trading",S3985,0))</f>
        <v/>
      </c>
      <c r="X3985" s="52">
        <f>IF(OR(P3985="Gasto",P3985="Reembolso"),IF(M3985&lt;&gt;"",M3985,IFERROR(INDEX(catClasif,MATCH(D3985&amp;"|"&amp;E3985,catClave,0))&amp;"","Variable")),"")</f>
        <v/>
      </c>
      <c r="Y3985" s="52">
        <f>IF(P3985="","",IFERROR(INDEX(catGrupo,MATCH(D3985&amp;"|"&amp;E3985,catClave,0))&amp;"",""))</f>
        <v/>
      </c>
      <c r="Z3985" s="52">
        <f>IF(P3985="","",WEEKDAY(B3985,2))</f>
        <v/>
      </c>
      <c r="AA3985" s="52">
        <f>IF(P3985="","",IF(AND(P3985="Gasto",X3985="Variable",D3985&lt;&gt;catTrading,S3985&gt;0,S3985&lt;=Umbral),1,0))</f>
        <v/>
      </c>
      <c r="AB3985" s="52">
        <f>IF(OR(P3985="",Q3985=""),"",IFERROR(IF(INDEX(ctaVinc,MATCH(Q3985,ctaNombre,0))&amp;""&lt;&gt;"",INDEX(ctaVinc,MATCH(Q3985,ctaNombre,0))&amp;"",Q3985),Q3985))</f>
        <v/>
      </c>
      <c r="AC3985" s="52">
        <f>IF(OR(K3985="",AND(P3985&lt;&gt;"Transferencia",P3985&lt;&gt;"Pago tarjeta")),"",IFERROR(IF(INDEX(ctaVinc,MATCH(K3985,ctaNombre,0))&amp;""&lt;&gt;"",INDEX(ctaVinc,MATCH(K3985,ctaNombre,0))&amp;"",K3985),K3985))</f>
        <v/>
      </c>
      <c r="AD3985" s="52">
        <f>IF(AB3985="","",IFERROR(INDEX(ctaTipo,MATCH(AB3985,ctaNombre,0))&amp;"",""))</f>
        <v/>
      </c>
      <c r="AE3985" s="52">
        <f>IF(AC3985="","",IFERROR(INDEX(ctaTipo,MATCH(AC3985,ctaNombre,0))&amp;"",""))</f>
        <v/>
      </c>
      <c r="AF3985" s="53">
        <f>IF(OR(P3985="",AB3985=""),"",IF(OR(P3985="Gasto",P3985="Transferencia",P3985="Pago tarjeta"),-1,1)*IF(IFERROR(INDEX(ctaMoneda,MATCH(AB3985,ctaNombre,0))&amp;"","DOP")="USD",T3985,S3985))</f>
        <v/>
      </c>
      <c r="AG3985" s="53">
        <f>IF(AC3985="","",IF(IFERROR(INDEX(ctaMoneda,MATCH(AC3985,ctaNombre,0))&amp;"","DOP")="USD",T3985,S3985))</f>
        <v/>
      </c>
      <c r="AH3985" s="53">
        <f>IF(P3985="","",IF(AND(AD3985&lt;&gt;"",COUNTIFS(tcTipo,AD3985,tcLiq,"Sí")&gt;0),IF(OR(P3985="Gasto",P3985="Transferencia",P3985="Pago tarjeta"),-1,1)*S3985,0)+IF(AND(AE3985&lt;&gt;"",COUNTIFS(tcTipo,AE3985,tcLiq,"Sí")&gt;0),S3985,0))</f>
        <v/>
      </c>
      <c r="AI3985" s="52">
        <f>IF(OR(L3985="",P3985=""),"",IF(COUNTIFS(L$6:L3985,L3985,P$6:P3985,"?*")=1,MAX(AI$5:AI3984)+1,""))</f>
        <v/>
      </c>
    </row>
    <row r="3986">
      <c r="B3986" s="47" t="n"/>
      <c r="C3986" s="48" t="n"/>
      <c r="D3986" s="48" t="n"/>
      <c r="E3986" s="48" t="n"/>
      <c r="F3986" s="48" t="n"/>
      <c r="G3986" s="49" t="n"/>
      <c r="H3986" s="48" t="n"/>
      <c r="I3986" s="50" t="n"/>
      <c r="J3986" s="48" t="n"/>
      <c r="K3986" s="48" t="n"/>
      <c r="L3986" s="48" t="n"/>
      <c r="M3986" s="48" t="n"/>
      <c r="N3986" s="48" t="n"/>
      <c r="O3986" s="51">
        <f>IF(AND(B3986="",G3986="",C3986="",D3986="",J3986=""),"",IF(B3986="","⚠ Falta fecha",IF(G3986="","⚠ Falta monto",IF(Q3986="","⚠ Falta cuenta",IF(ISNA(MATCH(Q3986,ctaNombre,0)),"⚠ Cuenta no registrada",IF(AND(OR(P3986="Gasto",P3986="Reembolso"),D3986=""),"⚠ Falta categoría",IF(AND(D3986&lt;&gt;"",E3986&lt;&gt;"",ISNA(MATCH(D3986&amp;"|"&amp;E3986,catClave,0))),"⚠ Subcategoría no corresponde",IF(AND(OR(P3986="Transferencia",P3986="Pago tarjeta"),K3986=""),"⚠ Falta cuenta destino",IF(AND(K3986&lt;&gt;"",P3986&lt;&gt;"Transferencia",P3986&lt;&gt;"Pago tarjeta"),"⚠ Destino solo aplica a transferencias",IF(AND(K3986&lt;&gt;"",K3986=Q3986),"⚠ Origen igual a destino",IF(AND(K3986&lt;&gt;"",ISNA(MATCH(K3986,ctaNombre,0))),"⚠ Destino no registrado",IF(AND(P3986="Pago tarjeta",AE3986&lt;&gt;"Tarjeta de crédito"),"⚠ El destino debe ser tarjeta de crédito",IF(AND(P3986="Gasto",E3986="Depósitos y retiros"),"⚠ Usa tipo Transferencia",IF(AND(P3986="Resultado trading",AD3986&lt;&gt;"Cuenta de trading"),"⚠ Usa una cuenta de trading",IF(AND(G3986&lt;=0,P3986&lt;&gt;"Ajuste",P3986&lt;&gt;"Resultado trading"),"⚠ El monto debe ser positivo","✓")))))))))))))))</f>
        <v/>
      </c>
      <c r="P3986" s="52">
        <f>IF(OR(B3986="",G3986=""),"",IF(C3986="","Gasto",C3986))</f>
        <v/>
      </c>
      <c r="Q3986" s="52">
        <f>IF(P3986="","",IF(J3986&lt;&gt;"",J3986,CuentaPred&amp;""))</f>
        <v/>
      </c>
      <c r="R3986" s="52">
        <f>IF(P3986="","",IF(ISNUMBER(I3986),I3986,TasaUSD))</f>
        <v/>
      </c>
      <c r="S3986" s="53">
        <f>IF(P3986="","",IF(H3986="USD",G3986*R3986,G3986))</f>
        <v/>
      </c>
      <c r="T3986" s="53">
        <f>IF(P3986="","",IF(H3986="USD",G3986,IF(R3986&gt;0,G3986/R3986,0)))</f>
        <v/>
      </c>
      <c r="U3986" s="53">
        <f>IF(P3986="","",IF(P3986="Gasto",S3986,IF(P3986="Reembolso",-S3986,0)))</f>
        <v/>
      </c>
      <c r="V3986" s="53">
        <f>IF(P3986="","",IF(P3986="Ingreso",S3986,0))</f>
        <v/>
      </c>
      <c r="W3986" s="53">
        <f>IF(P3986="","",IF(P3986="Resultado trading",S3986,0))</f>
        <v/>
      </c>
      <c r="X3986" s="52">
        <f>IF(OR(P3986="Gasto",P3986="Reembolso"),IF(M3986&lt;&gt;"",M3986,IFERROR(INDEX(catClasif,MATCH(D3986&amp;"|"&amp;E3986,catClave,0))&amp;"","Variable")),"")</f>
        <v/>
      </c>
      <c r="Y3986" s="52">
        <f>IF(P3986="","",IFERROR(INDEX(catGrupo,MATCH(D3986&amp;"|"&amp;E3986,catClave,0))&amp;"",""))</f>
        <v/>
      </c>
      <c r="Z3986" s="52">
        <f>IF(P3986="","",WEEKDAY(B3986,2))</f>
        <v/>
      </c>
      <c r="AA3986" s="52">
        <f>IF(P3986="","",IF(AND(P3986="Gasto",X3986="Variable",D3986&lt;&gt;catTrading,S3986&gt;0,S3986&lt;=Umbral),1,0))</f>
        <v/>
      </c>
      <c r="AB3986" s="52">
        <f>IF(OR(P3986="",Q3986=""),"",IFERROR(IF(INDEX(ctaVinc,MATCH(Q3986,ctaNombre,0))&amp;""&lt;&gt;"",INDEX(ctaVinc,MATCH(Q3986,ctaNombre,0))&amp;"",Q3986),Q3986))</f>
        <v/>
      </c>
      <c r="AC3986" s="52">
        <f>IF(OR(K3986="",AND(P3986&lt;&gt;"Transferencia",P3986&lt;&gt;"Pago tarjeta")),"",IFERROR(IF(INDEX(ctaVinc,MATCH(K3986,ctaNombre,0))&amp;""&lt;&gt;"",INDEX(ctaVinc,MATCH(K3986,ctaNombre,0))&amp;"",K3986),K3986))</f>
        <v/>
      </c>
      <c r="AD3986" s="52">
        <f>IF(AB3986="","",IFERROR(INDEX(ctaTipo,MATCH(AB3986,ctaNombre,0))&amp;"",""))</f>
        <v/>
      </c>
      <c r="AE3986" s="52">
        <f>IF(AC3986="","",IFERROR(INDEX(ctaTipo,MATCH(AC3986,ctaNombre,0))&amp;"",""))</f>
        <v/>
      </c>
      <c r="AF3986" s="53">
        <f>IF(OR(P3986="",AB3986=""),"",IF(OR(P3986="Gasto",P3986="Transferencia",P3986="Pago tarjeta"),-1,1)*IF(IFERROR(INDEX(ctaMoneda,MATCH(AB3986,ctaNombre,0))&amp;"","DOP")="USD",T3986,S3986))</f>
        <v/>
      </c>
      <c r="AG3986" s="53">
        <f>IF(AC3986="","",IF(IFERROR(INDEX(ctaMoneda,MATCH(AC3986,ctaNombre,0))&amp;"","DOP")="USD",T3986,S3986))</f>
        <v/>
      </c>
      <c r="AH3986" s="53">
        <f>IF(P3986="","",IF(AND(AD3986&lt;&gt;"",COUNTIFS(tcTipo,AD3986,tcLiq,"Sí")&gt;0),IF(OR(P3986="Gasto",P3986="Transferencia",P3986="Pago tarjeta"),-1,1)*S3986,0)+IF(AND(AE3986&lt;&gt;"",COUNTIFS(tcTipo,AE3986,tcLiq,"Sí")&gt;0),S3986,0))</f>
        <v/>
      </c>
      <c r="AI3986" s="52">
        <f>IF(OR(L3986="",P3986=""),"",IF(COUNTIFS(L$6:L3986,L3986,P$6:P3986,"?*")=1,MAX(AI$5:AI3985)+1,""))</f>
        <v/>
      </c>
    </row>
    <row r="3987">
      <c r="B3987" s="47" t="n"/>
      <c r="C3987" s="48" t="n"/>
      <c r="D3987" s="48" t="n"/>
      <c r="E3987" s="48" t="n"/>
      <c r="F3987" s="48" t="n"/>
      <c r="G3987" s="49" t="n"/>
      <c r="H3987" s="48" t="n"/>
      <c r="I3987" s="50" t="n"/>
      <c r="J3987" s="48" t="n"/>
      <c r="K3987" s="48" t="n"/>
      <c r="L3987" s="48" t="n"/>
      <c r="M3987" s="48" t="n"/>
      <c r="N3987" s="48" t="n"/>
      <c r="O3987" s="51">
        <f>IF(AND(B3987="",G3987="",C3987="",D3987="",J3987=""),"",IF(B3987="","⚠ Falta fecha",IF(G3987="","⚠ Falta monto",IF(Q3987="","⚠ Falta cuenta",IF(ISNA(MATCH(Q3987,ctaNombre,0)),"⚠ Cuenta no registrada",IF(AND(OR(P3987="Gasto",P3987="Reembolso"),D3987=""),"⚠ Falta categoría",IF(AND(D3987&lt;&gt;"",E3987&lt;&gt;"",ISNA(MATCH(D3987&amp;"|"&amp;E3987,catClave,0))),"⚠ Subcategoría no corresponde",IF(AND(OR(P3987="Transferencia",P3987="Pago tarjeta"),K3987=""),"⚠ Falta cuenta destino",IF(AND(K3987&lt;&gt;"",P3987&lt;&gt;"Transferencia",P3987&lt;&gt;"Pago tarjeta"),"⚠ Destino solo aplica a transferencias",IF(AND(K3987&lt;&gt;"",K3987=Q3987),"⚠ Origen igual a destino",IF(AND(K3987&lt;&gt;"",ISNA(MATCH(K3987,ctaNombre,0))),"⚠ Destino no registrado",IF(AND(P3987="Pago tarjeta",AE3987&lt;&gt;"Tarjeta de crédito"),"⚠ El destino debe ser tarjeta de crédito",IF(AND(P3987="Gasto",E3987="Depósitos y retiros"),"⚠ Usa tipo Transferencia",IF(AND(P3987="Resultado trading",AD3987&lt;&gt;"Cuenta de trading"),"⚠ Usa una cuenta de trading",IF(AND(G3987&lt;=0,P3987&lt;&gt;"Ajuste",P3987&lt;&gt;"Resultado trading"),"⚠ El monto debe ser positivo","✓")))))))))))))))</f>
        <v/>
      </c>
      <c r="P3987" s="52">
        <f>IF(OR(B3987="",G3987=""),"",IF(C3987="","Gasto",C3987))</f>
        <v/>
      </c>
      <c r="Q3987" s="52">
        <f>IF(P3987="","",IF(J3987&lt;&gt;"",J3987,CuentaPred&amp;""))</f>
        <v/>
      </c>
      <c r="R3987" s="52">
        <f>IF(P3987="","",IF(ISNUMBER(I3987),I3987,TasaUSD))</f>
        <v/>
      </c>
      <c r="S3987" s="53">
        <f>IF(P3987="","",IF(H3987="USD",G3987*R3987,G3987))</f>
        <v/>
      </c>
      <c r="T3987" s="53">
        <f>IF(P3987="","",IF(H3987="USD",G3987,IF(R3987&gt;0,G3987/R3987,0)))</f>
        <v/>
      </c>
      <c r="U3987" s="53">
        <f>IF(P3987="","",IF(P3987="Gasto",S3987,IF(P3987="Reembolso",-S3987,0)))</f>
        <v/>
      </c>
      <c r="V3987" s="53">
        <f>IF(P3987="","",IF(P3987="Ingreso",S3987,0))</f>
        <v/>
      </c>
      <c r="W3987" s="53">
        <f>IF(P3987="","",IF(P3987="Resultado trading",S3987,0))</f>
        <v/>
      </c>
      <c r="X3987" s="52">
        <f>IF(OR(P3987="Gasto",P3987="Reembolso"),IF(M3987&lt;&gt;"",M3987,IFERROR(INDEX(catClasif,MATCH(D3987&amp;"|"&amp;E3987,catClave,0))&amp;"","Variable")),"")</f>
        <v/>
      </c>
      <c r="Y3987" s="52">
        <f>IF(P3987="","",IFERROR(INDEX(catGrupo,MATCH(D3987&amp;"|"&amp;E3987,catClave,0))&amp;"",""))</f>
        <v/>
      </c>
      <c r="Z3987" s="52">
        <f>IF(P3987="","",WEEKDAY(B3987,2))</f>
        <v/>
      </c>
      <c r="AA3987" s="52">
        <f>IF(P3987="","",IF(AND(P3987="Gasto",X3987="Variable",D3987&lt;&gt;catTrading,S3987&gt;0,S3987&lt;=Umbral),1,0))</f>
        <v/>
      </c>
      <c r="AB3987" s="52">
        <f>IF(OR(P3987="",Q3987=""),"",IFERROR(IF(INDEX(ctaVinc,MATCH(Q3987,ctaNombre,0))&amp;""&lt;&gt;"",INDEX(ctaVinc,MATCH(Q3987,ctaNombre,0))&amp;"",Q3987),Q3987))</f>
        <v/>
      </c>
      <c r="AC3987" s="52">
        <f>IF(OR(K3987="",AND(P3987&lt;&gt;"Transferencia",P3987&lt;&gt;"Pago tarjeta")),"",IFERROR(IF(INDEX(ctaVinc,MATCH(K3987,ctaNombre,0))&amp;""&lt;&gt;"",INDEX(ctaVinc,MATCH(K3987,ctaNombre,0))&amp;"",K3987),K3987))</f>
        <v/>
      </c>
      <c r="AD3987" s="52">
        <f>IF(AB3987="","",IFERROR(INDEX(ctaTipo,MATCH(AB3987,ctaNombre,0))&amp;"",""))</f>
        <v/>
      </c>
      <c r="AE3987" s="52">
        <f>IF(AC3987="","",IFERROR(INDEX(ctaTipo,MATCH(AC3987,ctaNombre,0))&amp;"",""))</f>
        <v/>
      </c>
      <c r="AF3987" s="53">
        <f>IF(OR(P3987="",AB3987=""),"",IF(OR(P3987="Gasto",P3987="Transferencia",P3987="Pago tarjeta"),-1,1)*IF(IFERROR(INDEX(ctaMoneda,MATCH(AB3987,ctaNombre,0))&amp;"","DOP")="USD",T3987,S3987))</f>
        <v/>
      </c>
      <c r="AG3987" s="53">
        <f>IF(AC3987="","",IF(IFERROR(INDEX(ctaMoneda,MATCH(AC3987,ctaNombre,0))&amp;"","DOP")="USD",T3987,S3987))</f>
        <v/>
      </c>
      <c r="AH3987" s="53">
        <f>IF(P3987="","",IF(AND(AD3987&lt;&gt;"",COUNTIFS(tcTipo,AD3987,tcLiq,"Sí")&gt;0),IF(OR(P3987="Gasto",P3987="Transferencia",P3987="Pago tarjeta"),-1,1)*S3987,0)+IF(AND(AE3987&lt;&gt;"",COUNTIFS(tcTipo,AE3987,tcLiq,"Sí")&gt;0),S3987,0))</f>
        <v/>
      </c>
      <c r="AI3987" s="52">
        <f>IF(OR(L3987="",P3987=""),"",IF(COUNTIFS(L$6:L3987,L3987,P$6:P3987,"?*")=1,MAX(AI$5:AI3986)+1,""))</f>
        <v/>
      </c>
    </row>
    <row r="3988">
      <c r="B3988" s="47" t="n"/>
      <c r="C3988" s="48" t="n"/>
      <c r="D3988" s="48" t="n"/>
      <c r="E3988" s="48" t="n"/>
      <c r="F3988" s="48" t="n"/>
      <c r="G3988" s="49" t="n"/>
      <c r="H3988" s="48" t="n"/>
      <c r="I3988" s="50" t="n"/>
      <c r="J3988" s="48" t="n"/>
      <c r="K3988" s="48" t="n"/>
      <c r="L3988" s="48" t="n"/>
      <c r="M3988" s="48" t="n"/>
      <c r="N3988" s="48" t="n"/>
      <c r="O3988" s="51">
        <f>IF(AND(B3988="",G3988="",C3988="",D3988="",J3988=""),"",IF(B3988="","⚠ Falta fecha",IF(G3988="","⚠ Falta monto",IF(Q3988="","⚠ Falta cuenta",IF(ISNA(MATCH(Q3988,ctaNombre,0)),"⚠ Cuenta no registrada",IF(AND(OR(P3988="Gasto",P3988="Reembolso"),D3988=""),"⚠ Falta categoría",IF(AND(D3988&lt;&gt;"",E3988&lt;&gt;"",ISNA(MATCH(D3988&amp;"|"&amp;E3988,catClave,0))),"⚠ Subcategoría no corresponde",IF(AND(OR(P3988="Transferencia",P3988="Pago tarjeta"),K3988=""),"⚠ Falta cuenta destino",IF(AND(K3988&lt;&gt;"",P3988&lt;&gt;"Transferencia",P3988&lt;&gt;"Pago tarjeta"),"⚠ Destino solo aplica a transferencias",IF(AND(K3988&lt;&gt;"",K3988=Q3988),"⚠ Origen igual a destino",IF(AND(K3988&lt;&gt;"",ISNA(MATCH(K3988,ctaNombre,0))),"⚠ Destino no registrado",IF(AND(P3988="Pago tarjeta",AE3988&lt;&gt;"Tarjeta de crédito"),"⚠ El destino debe ser tarjeta de crédito",IF(AND(P3988="Gasto",E3988="Depósitos y retiros"),"⚠ Usa tipo Transferencia",IF(AND(P3988="Resultado trading",AD3988&lt;&gt;"Cuenta de trading"),"⚠ Usa una cuenta de trading",IF(AND(G3988&lt;=0,P3988&lt;&gt;"Ajuste",P3988&lt;&gt;"Resultado trading"),"⚠ El monto debe ser positivo","✓")))))))))))))))</f>
        <v/>
      </c>
      <c r="P3988" s="52">
        <f>IF(OR(B3988="",G3988=""),"",IF(C3988="","Gasto",C3988))</f>
        <v/>
      </c>
      <c r="Q3988" s="52">
        <f>IF(P3988="","",IF(J3988&lt;&gt;"",J3988,CuentaPred&amp;""))</f>
        <v/>
      </c>
      <c r="R3988" s="52">
        <f>IF(P3988="","",IF(ISNUMBER(I3988),I3988,TasaUSD))</f>
        <v/>
      </c>
      <c r="S3988" s="53">
        <f>IF(P3988="","",IF(H3988="USD",G3988*R3988,G3988))</f>
        <v/>
      </c>
      <c r="T3988" s="53">
        <f>IF(P3988="","",IF(H3988="USD",G3988,IF(R3988&gt;0,G3988/R3988,0)))</f>
        <v/>
      </c>
      <c r="U3988" s="53">
        <f>IF(P3988="","",IF(P3988="Gasto",S3988,IF(P3988="Reembolso",-S3988,0)))</f>
        <v/>
      </c>
      <c r="V3988" s="53">
        <f>IF(P3988="","",IF(P3988="Ingreso",S3988,0))</f>
        <v/>
      </c>
      <c r="W3988" s="53">
        <f>IF(P3988="","",IF(P3988="Resultado trading",S3988,0))</f>
        <v/>
      </c>
      <c r="X3988" s="52">
        <f>IF(OR(P3988="Gasto",P3988="Reembolso"),IF(M3988&lt;&gt;"",M3988,IFERROR(INDEX(catClasif,MATCH(D3988&amp;"|"&amp;E3988,catClave,0))&amp;"","Variable")),"")</f>
        <v/>
      </c>
      <c r="Y3988" s="52">
        <f>IF(P3988="","",IFERROR(INDEX(catGrupo,MATCH(D3988&amp;"|"&amp;E3988,catClave,0))&amp;"",""))</f>
        <v/>
      </c>
      <c r="Z3988" s="52">
        <f>IF(P3988="","",WEEKDAY(B3988,2))</f>
        <v/>
      </c>
      <c r="AA3988" s="52">
        <f>IF(P3988="","",IF(AND(P3988="Gasto",X3988="Variable",D3988&lt;&gt;catTrading,S3988&gt;0,S3988&lt;=Umbral),1,0))</f>
        <v/>
      </c>
      <c r="AB3988" s="52">
        <f>IF(OR(P3988="",Q3988=""),"",IFERROR(IF(INDEX(ctaVinc,MATCH(Q3988,ctaNombre,0))&amp;""&lt;&gt;"",INDEX(ctaVinc,MATCH(Q3988,ctaNombre,0))&amp;"",Q3988),Q3988))</f>
        <v/>
      </c>
      <c r="AC3988" s="52">
        <f>IF(OR(K3988="",AND(P3988&lt;&gt;"Transferencia",P3988&lt;&gt;"Pago tarjeta")),"",IFERROR(IF(INDEX(ctaVinc,MATCH(K3988,ctaNombre,0))&amp;""&lt;&gt;"",INDEX(ctaVinc,MATCH(K3988,ctaNombre,0))&amp;"",K3988),K3988))</f>
        <v/>
      </c>
      <c r="AD3988" s="52">
        <f>IF(AB3988="","",IFERROR(INDEX(ctaTipo,MATCH(AB3988,ctaNombre,0))&amp;"",""))</f>
        <v/>
      </c>
      <c r="AE3988" s="52">
        <f>IF(AC3988="","",IFERROR(INDEX(ctaTipo,MATCH(AC3988,ctaNombre,0))&amp;"",""))</f>
        <v/>
      </c>
      <c r="AF3988" s="53">
        <f>IF(OR(P3988="",AB3988=""),"",IF(OR(P3988="Gasto",P3988="Transferencia",P3988="Pago tarjeta"),-1,1)*IF(IFERROR(INDEX(ctaMoneda,MATCH(AB3988,ctaNombre,0))&amp;"","DOP")="USD",T3988,S3988))</f>
        <v/>
      </c>
      <c r="AG3988" s="53">
        <f>IF(AC3988="","",IF(IFERROR(INDEX(ctaMoneda,MATCH(AC3988,ctaNombre,0))&amp;"","DOP")="USD",T3988,S3988))</f>
        <v/>
      </c>
      <c r="AH3988" s="53">
        <f>IF(P3988="","",IF(AND(AD3988&lt;&gt;"",COUNTIFS(tcTipo,AD3988,tcLiq,"Sí")&gt;0),IF(OR(P3988="Gasto",P3988="Transferencia",P3988="Pago tarjeta"),-1,1)*S3988,0)+IF(AND(AE3988&lt;&gt;"",COUNTIFS(tcTipo,AE3988,tcLiq,"Sí")&gt;0),S3988,0))</f>
        <v/>
      </c>
      <c r="AI3988" s="52">
        <f>IF(OR(L3988="",P3988=""),"",IF(COUNTIFS(L$6:L3988,L3988,P$6:P3988,"?*")=1,MAX(AI$5:AI3987)+1,""))</f>
        <v/>
      </c>
    </row>
    <row r="3989">
      <c r="B3989" s="47" t="n"/>
      <c r="C3989" s="48" t="n"/>
      <c r="D3989" s="48" t="n"/>
      <c r="E3989" s="48" t="n"/>
      <c r="F3989" s="48" t="n"/>
      <c r="G3989" s="49" t="n"/>
      <c r="H3989" s="48" t="n"/>
      <c r="I3989" s="50" t="n"/>
      <c r="J3989" s="48" t="n"/>
      <c r="K3989" s="48" t="n"/>
      <c r="L3989" s="48" t="n"/>
      <c r="M3989" s="48" t="n"/>
      <c r="N3989" s="48" t="n"/>
      <c r="O3989" s="51">
        <f>IF(AND(B3989="",G3989="",C3989="",D3989="",J3989=""),"",IF(B3989="","⚠ Falta fecha",IF(G3989="","⚠ Falta monto",IF(Q3989="","⚠ Falta cuenta",IF(ISNA(MATCH(Q3989,ctaNombre,0)),"⚠ Cuenta no registrada",IF(AND(OR(P3989="Gasto",P3989="Reembolso"),D3989=""),"⚠ Falta categoría",IF(AND(D3989&lt;&gt;"",E3989&lt;&gt;"",ISNA(MATCH(D3989&amp;"|"&amp;E3989,catClave,0))),"⚠ Subcategoría no corresponde",IF(AND(OR(P3989="Transferencia",P3989="Pago tarjeta"),K3989=""),"⚠ Falta cuenta destino",IF(AND(K3989&lt;&gt;"",P3989&lt;&gt;"Transferencia",P3989&lt;&gt;"Pago tarjeta"),"⚠ Destino solo aplica a transferencias",IF(AND(K3989&lt;&gt;"",K3989=Q3989),"⚠ Origen igual a destino",IF(AND(K3989&lt;&gt;"",ISNA(MATCH(K3989,ctaNombre,0))),"⚠ Destino no registrado",IF(AND(P3989="Pago tarjeta",AE3989&lt;&gt;"Tarjeta de crédito"),"⚠ El destino debe ser tarjeta de crédito",IF(AND(P3989="Gasto",E3989="Depósitos y retiros"),"⚠ Usa tipo Transferencia",IF(AND(P3989="Resultado trading",AD3989&lt;&gt;"Cuenta de trading"),"⚠ Usa una cuenta de trading",IF(AND(G3989&lt;=0,P3989&lt;&gt;"Ajuste",P3989&lt;&gt;"Resultado trading"),"⚠ El monto debe ser positivo","✓")))))))))))))))</f>
        <v/>
      </c>
      <c r="P3989" s="52">
        <f>IF(OR(B3989="",G3989=""),"",IF(C3989="","Gasto",C3989))</f>
        <v/>
      </c>
      <c r="Q3989" s="52">
        <f>IF(P3989="","",IF(J3989&lt;&gt;"",J3989,CuentaPred&amp;""))</f>
        <v/>
      </c>
      <c r="R3989" s="52">
        <f>IF(P3989="","",IF(ISNUMBER(I3989),I3989,TasaUSD))</f>
        <v/>
      </c>
      <c r="S3989" s="53">
        <f>IF(P3989="","",IF(H3989="USD",G3989*R3989,G3989))</f>
        <v/>
      </c>
      <c r="T3989" s="53">
        <f>IF(P3989="","",IF(H3989="USD",G3989,IF(R3989&gt;0,G3989/R3989,0)))</f>
        <v/>
      </c>
      <c r="U3989" s="53">
        <f>IF(P3989="","",IF(P3989="Gasto",S3989,IF(P3989="Reembolso",-S3989,0)))</f>
        <v/>
      </c>
      <c r="V3989" s="53">
        <f>IF(P3989="","",IF(P3989="Ingreso",S3989,0))</f>
        <v/>
      </c>
      <c r="W3989" s="53">
        <f>IF(P3989="","",IF(P3989="Resultado trading",S3989,0))</f>
        <v/>
      </c>
      <c r="X3989" s="52">
        <f>IF(OR(P3989="Gasto",P3989="Reembolso"),IF(M3989&lt;&gt;"",M3989,IFERROR(INDEX(catClasif,MATCH(D3989&amp;"|"&amp;E3989,catClave,0))&amp;"","Variable")),"")</f>
        <v/>
      </c>
      <c r="Y3989" s="52">
        <f>IF(P3989="","",IFERROR(INDEX(catGrupo,MATCH(D3989&amp;"|"&amp;E3989,catClave,0))&amp;"",""))</f>
        <v/>
      </c>
      <c r="Z3989" s="52">
        <f>IF(P3989="","",WEEKDAY(B3989,2))</f>
        <v/>
      </c>
      <c r="AA3989" s="52">
        <f>IF(P3989="","",IF(AND(P3989="Gasto",X3989="Variable",D3989&lt;&gt;catTrading,S3989&gt;0,S3989&lt;=Umbral),1,0))</f>
        <v/>
      </c>
      <c r="AB3989" s="52">
        <f>IF(OR(P3989="",Q3989=""),"",IFERROR(IF(INDEX(ctaVinc,MATCH(Q3989,ctaNombre,0))&amp;""&lt;&gt;"",INDEX(ctaVinc,MATCH(Q3989,ctaNombre,0))&amp;"",Q3989),Q3989))</f>
        <v/>
      </c>
      <c r="AC3989" s="52">
        <f>IF(OR(K3989="",AND(P3989&lt;&gt;"Transferencia",P3989&lt;&gt;"Pago tarjeta")),"",IFERROR(IF(INDEX(ctaVinc,MATCH(K3989,ctaNombre,0))&amp;""&lt;&gt;"",INDEX(ctaVinc,MATCH(K3989,ctaNombre,0))&amp;"",K3989),K3989))</f>
        <v/>
      </c>
      <c r="AD3989" s="52">
        <f>IF(AB3989="","",IFERROR(INDEX(ctaTipo,MATCH(AB3989,ctaNombre,0))&amp;"",""))</f>
        <v/>
      </c>
      <c r="AE3989" s="52">
        <f>IF(AC3989="","",IFERROR(INDEX(ctaTipo,MATCH(AC3989,ctaNombre,0))&amp;"",""))</f>
        <v/>
      </c>
      <c r="AF3989" s="53">
        <f>IF(OR(P3989="",AB3989=""),"",IF(OR(P3989="Gasto",P3989="Transferencia",P3989="Pago tarjeta"),-1,1)*IF(IFERROR(INDEX(ctaMoneda,MATCH(AB3989,ctaNombre,0))&amp;"","DOP")="USD",T3989,S3989))</f>
        <v/>
      </c>
      <c r="AG3989" s="53">
        <f>IF(AC3989="","",IF(IFERROR(INDEX(ctaMoneda,MATCH(AC3989,ctaNombre,0))&amp;"","DOP")="USD",T3989,S3989))</f>
        <v/>
      </c>
      <c r="AH3989" s="53">
        <f>IF(P3989="","",IF(AND(AD3989&lt;&gt;"",COUNTIFS(tcTipo,AD3989,tcLiq,"Sí")&gt;0),IF(OR(P3989="Gasto",P3989="Transferencia",P3989="Pago tarjeta"),-1,1)*S3989,0)+IF(AND(AE3989&lt;&gt;"",COUNTIFS(tcTipo,AE3989,tcLiq,"Sí")&gt;0),S3989,0))</f>
        <v/>
      </c>
      <c r="AI3989" s="52">
        <f>IF(OR(L3989="",P3989=""),"",IF(COUNTIFS(L$6:L3989,L3989,P$6:P3989,"?*")=1,MAX(AI$5:AI3988)+1,""))</f>
        <v/>
      </c>
    </row>
    <row r="3990">
      <c r="B3990" s="47" t="n"/>
      <c r="C3990" s="48" t="n"/>
      <c r="D3990" s="48" t="n"/>
      <c r="E3990" s="48" t="n"/>
      <c r="F3990" s="48" t="n"/>
      <c r="G3990" s="49" t="n"/>
      <c r="H3990" s="48" t="n"/>
      <c r="I3990" s="50" t="n"/>
      <c r="J3990" s="48" t="n"/>
      <c r="K3990" s="48" t="n"/>
      <c r="L3990" s="48" t="n"/>
      <c r="M3990" s="48" t="n"/>
      <c r="N3990" s="48" t="n"/>
      <c r="O3990" s="51">
        <f>IF(AND(B3990="",G3990="",C3990="",D3990="",J3990=""),"",IF(B3990="","⚠ Falta fecha",IF(G3990="","⚠ Falta monto",IF(Q3990="","⚠ Falta cuenta",IF(ISNA(MATCH(Q3990,ctaNombre,0)),"⚠ Cuenta no registrada",IF(AND(OR(P3990="Gasto",P3990="Reembolso"),D3990=""),"⚠ Falta categoría",IF(AND(D3990&lt;&gt;"",E3990&lt;&gt;"",ISNA(MATCH(D3990&amp;"|"&amp;E3990,catClave,0))),"⚠ Subcategoría no corresponde",IF(AND(OR(P3990="Transferencia",P3990="Pago tarjeta"),K3990=""),"⚠ Falta cuenta destino",IF(AND(K3990&lt;&gt;"",P3990&lt;&gt;"Transferencia",P3990&lt;&gt;"Pago tarjeta"),"⚠ Destino solo aplica a transferencias",IF(AND(K3990&lt;&gt;"",K3990=Q3990),"⚠ Origen igual a destino",IF(AND(K3990&lt;&gt;"",ISNA(MATCH(K3990,ctaNombre,0))),"⚠ Destino no registrado",IF(AND(P3990="Pago tarjeta",AE3990&lt;&gt;"Tarjeta de crédito"),"⚠ El destino debe ser tarjeta de crédito",IF(AND(P3990="Gasto",E3990="Depósitos y retiros"),"⚠ Usa tipo Transferencia",IF(AND(P3990="Resultado trading",AD3990&lt;&gt;"Cuenta de trading"),"⚠ Usa una cuenta de trading",IF(AND(G3990&lt;=0,P3990&lt;&gt;"Ajuste",P3990&lt;&gt;"Resultado trading"),"⚠ El monto debe ser positivo","✓")))))))))))))))</f>
        <v/>
      </c>
      <c r="P3990" s="52">
        <f>IF(OR(B3990="",G3990=""),"",IF(C3990="","Gasto",C3990))</f>
        <v/>
      </c>
      <c r="Q3990" s="52">
        <f>IF(P3990="","",IF(J3990&lt;&gt;"",J3990,CuentaPred&amp;""))</f>
        <v/>
      </c>
      <c r="R3990" s="52">
        <f>IF(P3990="","",IF(ISNUMBER(I3990),I3990,TasaUSD))</f>
        <v/>
      </c>
      <c r="S3990" s="53">
        <f>IF(P3990="","",IF(H3990="USD",G3990*R3990,G3990))</f>
        <v/>
      </c>
      <c r="T3990" s="53">
        <f>IF(P3990="","",IF(H3990="USD",G3990,IF(R3990&gt;0,G3990/R3990,0)))</f>
        <v/>
      </c>
      <c r="U3990" s="53">
        <f>IF(P3990="","",IF(P3990="Gasto",S3990,IF(P3990="Reembolso",-S3990,0)))</f>
        <v/>
      </c>
      <c r="V3990" s="53">
        <f>IF(P3990="","",IF(P3990="Ingreso",S3990,0))</f>
        <v/>
      </c>
      <c r="W3990" s="53">
        <f>IF(P3990="","",IF(P3990="Resultado trading",S3990,0))</f>
        <v/>
      </c>
      <c r="X3990" s="52">
        <f>IF(OR(P3990="Gasto",P3990="Reembolso"),IF(M3990&lt;&gt;"",M3990,IFERROR(INDEX(catClasif,MATCH(D3990&amp;"|"&amp;E3990,catClave,0))&amp;"","Variable")),"")</f>
        <v/>
      </c>
      <c r="Y3990" s="52">
        <f>IF(P3990="","",IFERROR(INDEX(catGrupo,MATCH(D3990&amp;"|"&amp;E3990,catClave,0))&amp;"",""))</f>
        <v/>
      </c>
      <c r="Z3990" s="52">
        <f>IF(P3990="","",WEEKDAY(B3990,2))</f>
        <v/>
      </c>
      <c r="AA3990" s="52">
        <f>IF(P3990="","",IF(AND(P3990="Gasto",X3990="Variable",D3990&lt;&gt;catTrading,S3990&gt;0,S3990&lt;=Umbral),1,0))</f>
        <v/>
      </c>
      <c r="AB3990" s="52">
        <f>IF(OR(P3990="",Q3990=""),"",IFERROR(IF(INDEX(ctaVinc,MATCH(Q3990,ctaNombre,0))&amp;""&lt;&gt;"",INDEX(ctaVinc,MATCH(Q3990,ctaNombre,0))&amp;"",Q3990),Q3990))</f>
        <v/>
      </c>
      <c r="AC3990" s="52">
        <f>IF(OR(K3990="",AND(P3990&lt;&gt;"Transferencia",P3990&lt;&gt;"Pago tarjeta")),"",IFERROR(IF(INDEX(ctaVinc,MATCH(K3990,ctaNombre,0))&amp;""&lt;&gt;"",INDEX(ctaVinc,MATCH(K3990,ctaNombre,0))&amp;"",K3990),K3990))</f>
        <v/>
      </c>
      <c r="AD3990" s="52">
        <f>IF(AB3990="","",IFERROR(INDEX(ctaTipo,MATCH(AB3990,ctaNombre,0))&amp;"",""))</f>
        <v/>
      </c>
      <c r="AE3990" s="52">
        <f>IF(AC3990="","",IFERROR(INDEX(ctaTipo,MATCH(AC3990,ctaNombre,0))&amp;"",""))</f>
        <v/>
      </c>
      <c r="AF3990" s="53">
        <f>IF(OR(P3990="",AB3990=""),"",IF(OR(P3990="Gasto",P3990="Transferencia",P3990="Pago tarjeta"),-1,1)*IF(IFERROR(INDEX(ctaMoneda,MATCH(AB3990,ctaNombre,0))&amp;"","DOP")="USD",T3990,S3990))</f>
        <v/>
      </c>
      <c r="AG3990" s="53">
        <f>IF(AC3990="","",IF(IFERROR(INDEX(ctaMoneda,MATCH(AC3990,ctaNombre,0))&amp;"","DOP")="USD",T3990,S3990))</f>
        <v/>
      </c>
      <c r="AH3990" s="53">
        <f>IF(P3990="","",IF(AND(AD3990&lt;&gt;"",COUNTIFS(tcTipo,AD3990,tcLiq,"Sí")&gt;0),IF(OR(P3990="Gasto",P3990="Transferencia",P3990="Pago tarjeta"),-1,1)*S3990,0)+IF(AND(AE3990&lt;&gt;"",COUNTIFS(tcTipo,AE3990,tcLiq,"Sí")&gt;0),S3990,0))</f>
        <v/>
      </c>
      <c r="AI3990" s="52">
        <f>IF(OR(L3990="",P3990=""),"",IF(COUNTIFS(L$6:L3990,L3990,P$6:P3990,"?*")=1,MAX(AI$5:AI3989)+1,""))</f>
        <v/>
      </c>
    </row>
    <row r="3991">
      <c r="B3991" s="47" t="n"/>
      <c r="C3991" s="48" t="n"/>
      <c r="D3991" s="48" t="n"/>
      <c r="E3991" s="48" t="n"/>
      <c r="F3991" s="48" t="n"/>
      <c r="G3991" s="49" t="n"/>
      <c r="H3991" s="48" t="n"/>
      <c r="I3991" s="50" t="n"/>
      <c r="J3991" s="48" t="n"/>
      <c r="K3991" s="48" t="n"/>
      <c r="L3991" s="48" t="n"/>
      <c r="M3991" s="48" t="n"/>
      <c r="N3991" s="48" t="n"/>
      <c r="O3991" s="51">
        <f>IF(AND(B3991="",G3991="",C3991="",D3991="",J3991=""),"",IF(B3991="","⚠ Falta fecha",IF(G3991="","⚠ Falta monto",IF(Q3991="","⚠ Falta cuenta",IF(ISNA(MATCH(Q3991,ctaNombre,0)),"⚠ Cuenta no registrada",IF(AND(OR(P3991="Gasto",P3991="Reembolso"),D3991=""),"⚠ Falta categoría",IF(AND(D3991&lt;&gt;"",E3991&lt;&gt;"",ISNA(MATCH(D3991&amp;"|"&amp;E3991,catClave,0))),"⚠ Subcategoría no corresponde",IF(AND(OR(P3991="Transferencia",P3991="Pago tarjeta"),K3991=""),"⚠ Falta cuenta destino",IF(AND(K3991&lt;&gt;"",P3991&lt;&gt;"Transferencia",P3991&lt;&gt;"Pago tarjeta"),"⚠ Destino solo aplica a transferencias",IF(AND(K3991&lt;&gt;"",K3991=Q3991),"⚠ Origen igual a destino",IF(AND(K3991&lt;&gt;"",ISNA(MATCH(K3991,ctaNombre,0))),"⚠ Destino no registrado",IF(AND(P3991="Pago tarjeta",AE3991&lt;&gt;"Tarjeta de crédito"),"⚠ El destino debe ser tarjeta de crédito",IF(AND(P3991="Gasto",E3991="Depósitos y retiros"),"⚠ Usa tipo Transferencia",IF(AND(P3991="Resultado trading",AD3991&lt;&gt;"Cuenta de trading"),"⚠ Usa una cuenta de trading",IF(AND(G3991&lt;=0,P3991&lt;&gt;"Ajuste",P3991&lt;&gt;"Resultado trading"),"⚠ El monto debe ser positivo","✓")))))))))))))))</f>
        <v/>
      </c>
      <c r="P3991" s="52">
        <f>IF(OR(B3991="",G3991=""),"",IF(C3991="","Gasto",C3991))</f>
        <v/>
      </c>
      <c r="Q3991" s="52">
        <f>IF(P3991="","",IF(J3991&lt;&gt;"",J3991,CuentaPred&amp;""))</f>
        <v/>
      </c>
      <c r="R3991" s="52">
        <f>IF(P3991="","",IF(ISNUMBER(I3991),I3991,TasaUSD))</f>
        <v/>
      </c>
      <c r="S3991" s="53">
        <f>IF(P3991="","",IF(H3991="USD",G3991*R3991,G3991))</f>
        <v/>
      </c>
      <c r="T3991" s="53">
        <f>IF(P3991="","",IF(H3991="USD",G3991,IF(R3991&gt;0,G3991/R3991,0)))</f>
        <v/>
      </c>
      <c r="U3991" s="53">
        <f>IF(P3991="","",IF(P3991="Gasto",S3991,IF(P3991="Reembolso",-S3991,0)))</f>
        <v/>
      </c>
      <c r="V3991" s="53">
        <f>IF(P3991="","",IF(P3991="Ingreso",S3991,0))</f>
        <v/>
      </c>
      <c r="W3991" s="53">
        <f>IF(P3991="","",IF(P3991="Resultado trading",S3991,0))</f>
        <v/>
      </c>
      <c r="X3991" s="52">
        <f>IF(OR(P3991="Gasto",P3991="Reembolso"),IF(M3991&lt;&gt;"",M3991,IFERROR(INDEX(catClasif,MATCH(D3991&amp;"|"&amp;E3991,catClave,0))&amp;"","Variable")),"")</f>
        <v/>
      </c>
      <c r="Y3991" s="52">
        <f>IF(P3991="","",IFERROR(INDEX(catGrupo,MATCH(D3991&amp;"|"&amp;E3991,catClave,0))&amp;"",""))</f>
        <v/>
      </c>
      <c r="Z3991" s="52">
        <f>IF(P3991="","",WEEKDAY(B3991,2))</f>
        <v/>
      </c>
      <c r="AA3991" s="52">
        <f>IF(P3991="","",IF(AND(P3991="Gasto",X3991="Variable",D3991&lt;&gt;catTrading,S3991&gt;0,S3991&lt;=Umbral),1,0))</f>
        <v/>
      </c>
      <c r="AB3991" s="52">
        <f>IF(OR(P3991="",Q3991=""),"",IFERROR(IF(INDEX(ctaVinc,MATCH(Q3991,ctaNombre,0))&amp;""&lt;&gt;"",INDEX(ctaVinc,MATCH(Q3991,ctaNombre,0))&amp;"",Q3991),Q3991))</f>
        <v/>
      </c>
      <c r="AC3991" s="52">
        <f>IF(OR(K3991="",AND(P3991&lt;&gt;"Transferencia",P3991&lt;&gt;"Pago tarjeta")),"",IFERROR(IF(INDEX(ctaVinc,MATCH(K3991,ctaNombre,0))&amp;""&lt;&gt;"",INDEX(ctaVinc,MATCH(K3991,ctaNombre,0))&amp;"",K3991),K3991))</f>
        <v/>
      </c>
      <c r="AD3991" s="52">
        <f>IF(AB3991="","",IFERROR(INDEX(ctaTipo,MATCH(AB3991,ctaNombre,0))&amp;"",""))</f>
        <v/>
      </c>
      <c r="AE3991" s="52">
        <f>IF(AC3991="","",IFERROR(INDEX(ctaTipo,MATCH(AC3991,ctaNombre,0))&amp;"",""))</f>
        <v/>
      </c>
      <c r="AF3991" s="53">
        <f>IF(OR(P3991="",AB3991=""),"",IF(OR(P3991="Gasto",P3991="Transferencia",P3991="Pago tarjeta"),-1,1)*IF(IFERROR(INDEX(ctaMoneda,MATCH(AB3991,ctaNombre,0))&amp;"","DOP")="USD",T3991,S3991))</f>
        <v/>
      </c>
      <c r="AG3991" s="53">
        <f>IF(AC3991="","",IF(IFERROR(INDEX(ctaMoneda,MATCH(AC3991,ctaNombre,0))&amp;"","DOP")="USD",T3991,S3991))</f>
        <v/>
      </c>
      <c r="AH3991" s="53">
        <f>IF(P3991="","",IF(AND(AD3991&lt;&gt;"",COUNTIFS(tcTipo,AD3991,tcLiq,"Sí")&gt;0),IF(OR(P3991="Gasto",P3991="Transferencia",P3991="Pago tarjeta"),-1,1)*S3991,0)+IF(AND(AE3991&lt;&gt;"",COUNTIFS(tcTipo,AE3991,tcLiq,"Sí")&gt;0),S3991,0))</f>
        <v/>
      </c>
      <c r="AI3991" s="52">
        <f>IF(OR(L3991="",P3991=""),"",IF(COUNTIFS(L$6:L3991,L3991,P$6:P3991,"?*")=1,MAX(AI$5:AI3990)+1,""))</f>
        <v/>
      </c>
    </row>
    <row r="3992">
      <c r="B3992" s="47" t="n"/>
      <c r="C3992" s="48" t="n"/>
      <c r="D3992" s="48" t="n"/>
      <c r="E3992" s="48" t="n"/>
      <c r="F3992" s="48" t="n"/>
      <c r="G3992" s="49" t="n"/>
      <c r="H3992" s="48" t="n"/>
      <c r="I3992" s="50" t="n"/>
      <c r="J3992" s="48" t="n"/>
      <c r="K3992" s="48" t="n"/>
      <c r="L3992" s="48" t="n"/>
      <c r="M3992" s="48" t="n"/>
      <c r="N3992" s="48" t="n"/>
      <c r="O3992" s="51">
        <f>IF(AND(B3992="",G3992="",C3992="",D3992="",J3992=""),"",IF(B3992="","⚠ Falta fecha",IF(G3992="","⚠ Falta monto",IF(Q3992="","⚠ Falta cuenta",IF(ISNA(MATCH(Q3992,ctaNombre,0)),"⚠ Cuenta no registrada",IF(AND(OR(P3992="Gasto",P3992="Reembolso"),D3992=""),"⚠ Falta categoría",IF(AND(D3992&lt;&gt;"",E3992&lt;&gt;"",ISNA(MATCH(D3992&amp;"|"&amp;E3992,catClave,0))),"⚠ Subcategoría no corresponde",IF(AND(OR(P3992="Transferencia",P3992="Pago tarjeta"),K3992=""),"⚠ Falta cuenta destino",IF(AND(K3992&lt;&gt;"",P3992&lt;&gt;"Transferencia",P3992&lt;&gt;"Pago tarjeta"),"⚠ Destino solo aplica a transferencias",IF(AND(K3992&lt;&gt;"",K3992=Q3992),"⚠ Origen igual a destino",IF(AND(K3992&lt;&gt;"",ISNA(MATCH(K3992,ctaNombre,0))),"⚠ Destino no registrado",IF(AND(P3992="Pago tarjeta",AE3992&lt;&gt;"Tarjeta de crédito"),"⚠ El destino debe ser tarjeta de crédito",IF(AND(P3992="Gasto",E3992="Depósitos y retiros"),"⚠ Usa tipo Transferencia",IF(AND(P3992="Resultado trading",AD3992&lt;&gt;"Cuenta de trading"),"⚠ Usa una cuenta de trading",IF(AND(G3992&lt;=0,P3992&lt;&gt;"Ajuste",P3992&lt;&gt;"Resultado trading"),"⚠ El monto debe ser positivo","✓")))))))))))))))</f>
        <v/>
      </c>
      <c r="P3992" s="52">
        <f>IF(OR(B3992="",G3992=""),"",IF(C3992="","Gasto",C3992))</f>
        <v/>
      </c>
      <c r="Q3992" s="52">
        <f>IF(P3992="","",IF(J3992&lt;&gt;"",J3992,CuentaPred&amp;""))</f>
        <v/>
      </c>
      <c r="R3992" s="52">
        <f>IF(P3992="","",IF(ISNUMBER(I3992),I3992,TasaUSD))</f>
        <v/>
      </c>
      <c r="S3992" s="53">
        <f>IF(P3992="","",IF(H3992="USD",G3992*R3992,G3992))</f>
        <v/>
      </c>
      <c r="T3992" s="53">
        <f>IF(P3992="","",IF(H3992="USD",G3992,IF(R3992&gt;0,G3992/R3992,0)))</f>
        <v/>
      </c>
      <c r="U3992" s="53">
        <f>IF(P3992="","",IF(P3992="Gasto",S3992,IF(P3992="Reembolso",-S3992,0)))</f>
        <v/>
      </c>
      <c r="V3992" s="53">
        <f>IF(P3992="","",IF(P3992="Ingreso",S3992,0))</f>
        <v/>
      </c>
      <c r="W3992" s="53">
        <f>IF(P3992="","",IF(P3992="Resultado trading",S3992,0))</f>
        <v/>
      </c>
      <c r="X3992" s="52">
        <f>IF(OR(P3992="Gasto",P3992="Reembolso"),IF(M3992&lt;&gt;"",M3992,IFERROR(INDEX(catClasif,MATCH(D3992&amp;"|"&amp;E3992,catClave,0))&amp;"","Variable")),"")</f>
        <v/>
      </c>
      <c r="Y3992" s="52">
        <f>IF(P3992="","",IFERROR(INDEX(catGrupo,MATCH(D3992&amp;"|"&amp;E3992,catClave,0))&amp;"",""))</f>
        <v/>
      </c>
      <c r="Z3992" s="52">
        <f>IF(P3992="","",WEEKDAY(B3992,2))</f>
        <v/>
      </c>
      <c r="AA3992" s="52">
        <f>IF(P3992="","",IF(AND(P3992="Gasto",X3992="Variable",D3992&lt;&gt;catTrading,S3992&gt;0,S3992&lt;=Umbral),1,0))</f>
        <v/>
      </c>
      <c r="AB3992" s="52">
        <f>IF(OR(P3992="",Q3992=""),"",IFERROR(IF(INDEX(ctaVinc,MATCH(Q3992,ctaNombre,0))&amp;""&lt;&gt;"",INDEX(ctaVinc,MATCH(Q3992,ctaNombre,0))&amp;"",Q3992),Q3992))</f>
        <v/>
      </c>
      <c r="AC3992" s="52">
        <f>IF(OR(K3992="",AND(P3992&lt;&gt;"Transferencia",P3992&lt;&gt;"Pago tarjeta")),"",IFERROR(IF(INDEX(ctaVinc,MATCH(K3992,ctaNombre,0))&amp;""&lt;&gt;"",INDEX(ctaVinc,MATCH(K3992,ctaNombre,0))&amp;"",K3992),K3992))</f>
        <v/>
      </c>
      <c r="AD3992" s="52">
        <f>IF(AB3992="","",IFERROR(INDEX(ctaTipo,MATCH(AB3992,ctaNombre,0))&amp;"",""))</f>
        <v/>
      </c>
      <c r="AE3992" s="52">
        <f>IF(AC3992="","",IFERROR(INDEX(ctaTipo,MATCH(AC3992,ctaNombre,0))&amp;"",""))</f>
        <v/>
      </c>
      <c r="AF3992" s="53">
        <f>IF(OR(P3992="",AB3992=""),"",IF(OR(P3992="Gasto",P3992="Transferencia",P3992="Pago tarjeta"),-1,1)*IF(IFERROR(INDEX(ctaMoneda,MATCH(AB3992,ctaNombre,0))&amp;"","DOP")="USD",T3992,S3992))</f>
        <v/>
      </c>
      <c r="AG3992" s="53">
        <f>IF(AC3992="","",IF(IFERROR(INDEX(ctaMoneda,MATCH(AC3992,ctaNombre,0))&amp;"","DOP")="USD",T3992,S3992))</f>
        <v/>
      </c>
      <c r="AH3992" s="53">
        <f>IF(P3992="","",IF(AND(AD3992&lt;&gt;"",COUNTIFS(tcTipo,AD3992,tcLiq,"Sí")&gt;0),IF(OR(P3992="Gasto",P3992="Transferencia",P3992="Pago tarjeta"),-1,1)*S3992,0)+IF(AND(AE3992&lt;&gt;"",COUNTIFS(tcTipo,AE3992,tcLiq,"Sí")&gt;0),S3992,0))</f>
        <v/>
      </c>
      <c r="AI3992" s="52">
        <f>IF(OR(L3992="",P3992=""),"",IF(COUNTIFS(L$6:L3992,L3992,P$6:P3992,"?*")=1,MAX(AI$5:AI3991)+1,""))</f>
        <v/>
      </c>
    </row>
    <row r="3993">
      <c r="B3993" s="47" t="n"/>
      <c r="C3993" s="48" t="n"/>
      <c r="D3993" s="48" t="n"/>
      <c r="E3993" s="48" t="n"/>
      <c r="F3993" s="48" t="n"/>
      <c r="G3993" s="49" t="n"/>
      <c r="H3993" s="48" t="n"/>
      <c r="I3993" s="50" t="n"/>
      <c r="J3993" s="48" t="n"/>
      <c r="K3993" s="48" t="n"/>
      <c r="L3993" s="48" t="n"/>
      <c r="M3993" s="48" t="n"/>
      <c r="N3993" s="48" t="n"/>
      <c r="O3993" s="51">
        <f>IF(AND(B3993="",G3993="",C3993="",D3993="",J3993=""),"",IF(B3993="","⚠ Falta fecha",IF(G3993="","⚠ Falta monto",IF(Q3993="","⚠ Falta cuenta",IF(ISNA(MATCH(Q3993,ctaNombre,0)),"⚠ Cuenta no registrada",IF(AND(OR(P3993="Gasto",P3993="Reembolso"),D3993=""),"⚠ Falta categoría",IF(AND(D3993&lt;&gt;"",E3993&lt;&gt;"",ISNA(MATCH(D3993&amp;"|"&amp;E3993,catClave,0))),"⚠ Subcategoría no corresponde",IF(AND(OR(P3993="Transferencia",P3993="Pago tarjeta"),K3993=""),"⚠ Falta cuenta destino",IF(AND(K3993&lt;&gt;"",P3993&lt;&gt;"Transferencia",P3993&lt;&gt;"Pago tarjeta"),"⚠ Destino solo aplica a transferencias",IF(AND(K3993&lt;&gt;"",K3993=Q3993),"⚠ Origen igual a destino",IF(AND(K3993&lt;&gt;"",ISNA(MATCH(K3993,ctaNombre,0))),"⚠ Destino no registrado",IF(AND(P3993="Pago tarjeta",AE3993&lt;&gt;"Tarjeta de crédito"),"⚠ El destino debe ser tarjeta de crédito",IF(AND(P3993="Gasto",E3993="Depósitos y retiros"),"⚠ Usa tipo Transferencia",IF(AND(P3993="Resultado trading",AD3993&lt;&gt;"Cuenta de trading"),"⚠ Usa una cuenta de trading",IF(AND(G3993&lt;=0,P3993&lt;&gt;"Ajuste",P3993&lt;&gt;"Resultado trading"),"⚠ El monto debe ser positivo","✓")))))))))))))))</f>
        <v/>
      </c>
      <c r="P3993" s="52">
        <f>IF(OR(B3993="",G3993=""),"",IF(C3993="","Gasto",C3993))</f>
        <v/>
      </c>
      <c r="Q3993" s="52">
        <f>IF(P3993="","",IF(J3993&lt;&gt;"",J3993,CuentaPred&amp;""))</f>
        <v/>
      </c>
      <c r="R3993" s="52">
        <f>IF(P3993="","",IF(ISNUMBER(I3993),I3993,TasaUSD))</f>
        <v/>
      </c>
      <c r="S3993" s="53">
        <f>IF(P3993="","",IF(H3993="USD",G3993*R3993,G3993))</f>
        <v/>
      </c>
      <c r="T3993" s="53">
        <f>IF(P3993="","",IF(H3993="USD",G3993,IF(R3993&gt;0,G3993/R3993,0)))</f>
        <v/>
      </c>
      <c r="U3993" s="53">
        <f>IF(P3993="","",IF(P3993="Gasto",S3993,IF(P3993="Reembolso",-S3993,0)))</f>
        <v/>
      </c>
      <c r="V3993" s="53">
        <f>IF(P3993="","",IF(P3993="Ingreso",S3993,0))</f>
        <v/>
      </c>
      <c r="W3993" s="53">
        <f>IF(P3993="","",IF(P3993="Resultado trading",S3993,0))</f>
        <v/>
      </c>
      <c r="X3993" s="52">
        <f>IF(OR(P3993="Gasto",P3993="Reembolso"),IF(M3993&lt;&gt;"",M3993,IFERROR(INDEX(catClasif,MATCH(D3993&amp;"|"&amp;E3993,catClave,0))&amp;"","Variable")),"")</f>
        <v/>
      </c>
      <c r="Y3993" s="52">
        <f>IF(P3993="","",IFERROR(INDEX(catGrupo,MATCH(D3993&amp;"|"&amp;E3993,catClave,0))&amp;"",""))</f>
        <v/>
      </c>
      <c r="Z3993" s="52">
        <f>IF(P3993="","",WEEKDAY(B3993,2))</f>
        <v/>
      </c>
      <c r="AA3993" s="52">
        <f>IF(P3993="","",IF(AND(P3993="Gasto",X3993="Variable",D3993&lt;&gt;catTrading,S3993&gt;0,S3993&lt;=Umbral),1,0))</f>
        <v/>
      </c>
      <c r="AB3993" s="52">
        <f>IF(OR(P3993="",Q3993=""),"",IFERROR(IF(INDEX(ctaVinc,MATCH(Q3993,ctaNombre,0))&amp;""&lt;&gt;"",INDEX(ctaVinc,MATCH(Q3993,ctaNombre,0))&amp;"",Q3993),Q3993))</f>
        <v/>
      </c>
      <c r="AC3993" s="52">
        <f>IF(OR(K3993="",AND(P3993&lt;&gt;"Transferencia",P3993&lt;&gt;"Pago tarjeta")),"",IFERROR(IF(INDEX(ctaVinc,MATCH(K3993,ctaNombre,0))&amp;""&lt;&gt;"",INDEX(ctaVinc,MATCH(K3993,ctaNombre,0))&amp;"",K3993),K3993))</f>
        <v/>
      </c>
      <c r="AD3993" s="52">
        <f>IF(AB3993="","",IFERROR(INDEX(ctaTipo,MATCH(AB3993,ctaNombre,0))&amp;"",""))</f>
        <v/>
      </c>
      <c r="AE3993" s="52">
        <f>IF(AC3993="","",IFERROR(INDEX(ctaTipo,MATCH(AC3993,ctaNombre,0))&amp;"",""))</f>
        <v/>
      </c>
      <c r="AF3993" s="53">
        <f>IF(OR(P3993="",AB3993=""),"",IF(OR(P3993="Gasto",P3993="Transferencia",P3993="Pago tarjeta"),-1,1)*IF(IFERROR(INDEX(ctaMoneda,MATCH(AB3993,ctaNombre,0))&amp;"","DOP")="USD",T3993,S3993))</f>
        <v/>
      </c>
      <c r="AG3993" s="53">
        <f>IF(AC3993="","",IF(IFERROR(INDEX(ctaMoneda,MATCH(AC3993,ctaNombre,0))&amp;"","DOP")="USD",T3993,S3993))</f>
        <v/>
      </c>
      <c r="AH3993" s="53">
        <f>IF(P3993="","",IF(AND(AD3993&lt;&gt;"",COUNTIFS(tcTipo,AD3993,tcLiq,"Sí")&gt;0),IF(OR(P3993="Gasto",P3993="Transferencia",P3993="Pago tarjeta"),-1,1)*S3993,0)+IF(AND(AE3993&lt;&gt;"",COUNTIFS(tcTipo,AE3993,tcLiq,"Sí")&gt;0),S3993,0))</f>
        <v/>
      </c>
      <c r="AI3993" s="52">
        <f>IF(OR(L3993="",P3993=""),"",IF(COUNTIFS(L$6:L3993,L3993,P$6:P3993,"?*")=1,MAX(AI$5:AI3992)+1,""))</f>
        <v/>
      </c>
    </row>
    <row r="3994">
      <c r="B3994" s="47" t="n"/>
      <c r="C3994" s="48" t="n"/>
      <c r="D3994" s="48" t="n"/>
      <c r="E3994" s="48" t="n"/>
      <c r="F3994" s="48" t="n"/>
      <c r="G3994" s="49" t="n"/>
      <c r="H3994" s="48" t="n"/>
      <c r="I3994" s="50" t="n"/>
      <c r="J3994" s="48" t="n"/>
      <c r="K3994" s="48" t="n"/>
      <c r="L3994" s="48" t="n"/>
      <c r="M3994" s="48" t="n"/>
      <c r="N3994" s="48" t="n"/>
      <c r="O3994" s="51">
        <f>IF(AND(B3994="",G3994="",C3994="",D3994="",J3994=""),"",IF(B3994="","⚠ Falta fecha",IF(G3994="","⚠ Falta monto",IF(Q3994="","⚠ Falta cuenta",IF(ISNA(MATCH(Q3994,ctaNombre,0)),"⚠ Cuenta no registrada",IF(AND(OR(P3994="Gasto",P3994="Reembolso"),D3994=""),"⚠ Falta categoría",IF(AND(D3994&lt;&gt;"",E3994&lt;&gt;"",ISNA(MATCH(D3994&amp;"|"&amp;E3994,catClave,0))),"⚠ Subcategoría no corresponde",IF(AND(OR(P3994="Transferencia",P3994="Pago tarjeta"),K3994=""),"⚠ Falta cuenta destino",IF(AND(K3994&lt;&gt;"",P3994&lt;&gt;"Transferencia",P3994&lt;&gt;"Pago tarjeta"),"⚠ Destino solo aplica a transferencias",IF(AND(K3994&lt;&gt;"",K3994=Q3994),"⚠ Origen igual a destino",IF(AND(K3994&lt;&gt;"",ISNA(MATCH(K3994,ctaNombre,0))),"⚠ Destino no registrado",IF(AND(P3994="Pago tarjeta",AE3994&lt;&gt;"Tarjeta de crédito"),"⚠ El destino debe ser tarjeta de crédito",IF(AND(P3994="Gasto",E3994="Depósitos y retiros"),"⚠ Usa tipo Transferencia",IF(AND(P3994="Resultado trading",AD3994&lt;&gt;"Cuenta de trading"),"⚠ Usa una cuenta de trading",IF(AND(G3994&lt;=0,P3994&lt;&gt;"Ajuste",P3994&lt;&gt;"Resultado trading"),"⚠ El monto debe ser positivo","✓")))))))))))))))</f>
        <v/>
      </c>
      <c r="P3994" s="52">
        <f>IF(OR(B3994="",G3994=""),"",IF(C3994="","Gasto",C3994))</f>
        <v/>
      </c>
      <c r="Q3994" s="52">
        <f>IF(P3994="","",IF(J3994&lt;&gt;"",J3994,CuentaPred&amp;""))</f>
        <v/>
      </c>
      <c r="R3994" s="52">
        <f>IF(P3994="","",IF(ISNUMBER(I3994),I3994,TasaUSD))</f>
        <v/>
      </c>
      <c r="S3994" s="53">
        <f>IF(P3994="","",IF(H3994="USD",G3994*R3994,G3994))</f>
        <v/>
      </c>
      <c r="T3994" s="53">
        <f>IF(P3994="","",IF(H3994="USD",G3994,IF(R3994&gt;0,G3994/R3994,0)))</f>
        <v/>
      </c>
      <c r="U3994" s="53">
        <f>IF(P3994="","",IF(P3994="Gasto",S3994,IF(P3994="Reembolso",-S3994,0)))</f>
        <v/>
      </c>
      <c r="V3994" s="53">
        <f>IF(P3994="","",IF(P3994="Ingreso",S3994,0))</f>
        <v/>
      </c>
      <c r="W3994" s="53">
        <f>IF(P3994="","",IF(P3994="Resultado trading",S3994,0))</f>
        <v/>
      </c>
      <c r="X3994" s="52">
        <f>IF(OR(P3994="Gasto",P3994="Reembolso"),IF(M3994&lt;&gt;"",M3994,IFERROR(INDEX(catClasif,MATCH(D3994&amp;"|"&amp;E3994,catClave,0))&amp;"","Variable")),"")</f>
        <v/>
      </c>
      <c r="Y3994" s="52">
        <f>IF(P3994="","",IFERROR(INDEX(catGrupo,MATCH(D3994&amp;"|"&amp;E3994,catClave,0))&amp;"",""))</f>
        <v/>
      </c>
      <c r="Z3994" s="52">
        <f>IF(P3994="","",WEEKDAY(B3994,2))</f>
        <v/>
      </c>
      <c r="AA3994" s="52">
        <f>IF(P3994="","",IF(AND(P3994="Gasto",X3994="Variable",D3994&lt;&gt;catTrading,S3994&gt;0,S3994&lt;=Umbral),1,0))</f>
        <v/>
      </c>
      <c r="AB3994" s="52">
        <f>IF(OR(P3994="",Q3994=""),"",IFERROR(IF(INDEX(ctaVinc,MATCH(Q3994,ctaNombre,0))&amp;""&lt;&gt;"",INDEX(ctaVinc,MATCH(Q3994,ctaNombre,0))&amp;"",Q3994),Q3994))</f>
        <v/>
      </c>
      <c r="AC3994" s="52">
        <f>IF(OR(K3994="",AND(P3994&lt;&gt;"Transferencia",P3994&lt;&gt;"Pago tarjeta")),"",IFERROR(IF(INDEX(ctaVinc,MATCH(K3994,ctaNombre,0))&amp;""&lt;&gt;"",INDEX(ctaVinc,MATCH(K3994,ctaNombre,0))&amp;"",K3994),K3994))</f>
        <v/>
      </c>
      <c r="AD3994" s="52">
        <f>IF(AB3994="","",IFERROR(INDEX(ctaTipo,MATCH(AB3994,ctaNombre,0))&amp;"",""))</f>
        <v/>
      </c>
      <c r="AE3994" s="52">
        <f>IF(AC3994="","",IFERROR(INDEX(ctaTipo,MATCH(AC3994,ctaNombre,0))&amp;"",""))</f>
        <v/>
      </c>
      <c r="AF3994" s="53">
        <f>IF(OR(P3994="",AB3994=""),"",IF(OR(P3994="Gasto",P3994="Transferencia",P3994="Pago tarjeta"),-1,1)*IF(IFERROR(INDEX(ctaMoneda,MATCH(AB3994,ctaNombre,0))&amp;"","DOP")="USD",T3994,S3994))</f>
        <v/>
      </c>
      <c r="AG3994" s="53">
        <f>IF(AC3994="","",IF(IFERROR(INDEX(ctaMoneda,MATCH(AC3994,ctaNombre,0))&amp;"","DOP")="USD",T3994,S3994))</f>
        <v/>
      </c>
      <c r="AH3994" s="53">
        <f>IF(P3994="","",IF(AND(AD3994&lt;&gt;"",COUNTIFS(tcTipo,AD3994,tcLiq,"Sí")&gt;0),IF(OR(P3994="Gasto",P3994="Transferencia",P3994="Pago tarjeta"),-1,1)*S3994,0)+IF(AND(AE3994&lt;&gt;"",COUNTIFS(tcTipo,AE3994,tcLiq,"Sí")&gt;0),S3994,0))</f>
        <v/>
      </c>
      <c r="AI3994" s="52">
        <f>IF(OR(L3994="",P3994=""),"",IF(COUNTIFS(L$6:L3994,L3994,P$6:P3994,"?*")=1,MAX(AI$5:AI3993)+1,""))</f>
        <v/>
      </c>
    </row>
    <row r="3995">
      <c r="B3995" s="47" t="n"/>
      <c r="C3995" s="48" t="n"/>
      <c r="D3995" s="48" t="n"/>
      <c r="E3995" s="48" t="n"/>
      <c r="F3995" s="48" t="n"/>
      <c r="G3995" s="49" t="n"/>
      <c r="H3995" s="48" t="n"/>
      <c r="I3995" s="50" t="n"/>
      <c r="J3995" s="48" t="n"/>
      <c r="K3995" s="48" t="n"/>
      <c r="L3995" s="48" t="n"/>
      <c r="M3995" s="48" t="n"/>
      <c r="N3995" s="48" t="n"/>
      <c r="O3995" s="51">
        <f>IF(AND(B3995="",G3995="",C3995="",D3995="",J3995=""),"",IF(B3995="","⚠ Falta fecha",IF(G3995="","⚠ Falta monto",IF(Q3995="","⚠ Falta cuenta",IF(ISNA(MATCH(Q3995,ctaNombre,0)),"⚠ Cuenta no registrada",IF(AND(OR(P3995="Gasto",P3995="Reembolso"),D3995=""),"⚠ Falta categoría",IF(AND(D3995&lt;&gt;"",E3995&lt;&gt;"",ISNA(MATCH(D3995&amp;"|"&amp;E3995,catClave,0))),"⚠ Subcategoría no corresponde",IF(AND(OR(P3995="Transferencia",P3995="Pago tarjeta"),K3995=""),"⚠ Falta cuenta destino",IF(AND(K3995&lt;&gt;"",P3995&lt;&gt;"Transferencia",P3995&lt;&gt;"Pago tarjeta"),"⚠ Destino solo aplica a transferencias",IF(AND(K3995&lt;&gt;"",K3995=Q3995),"⚠ Origen igual a destino",IF(AND(K3995&lt;&gt;"",ISNA(MATCH(K3995,ctaNombre,0))),"⚠ Destino no registrado",IF(AND(P3995="Pago tarjeta",AE3995&lt;&gt;"Tarjeta de crédito"),"⚠ El destino debe ser tarjeta de crédito",IF(AND(P3995="Gasto",E3995="Depósitos y retiros"),"⚠ Usa tipo Transferencia",IF(AND(P3995="Resultado trading",AD3995&lt;&gt;"Cuenta de trading"),"⚠ Usa una cuenta de trading",IF(AND(G3995&lt;=0,P3995&lt;&gt;"Ajuste",P3995&lt;&gt;"Resultado trading"),"⚠ El monto debe ser positivo","✓")))))))))))))))</f>
        <v/>
      </c>
      <c r="P3995" s="52">
        <f>IF(OR(B3995="",G3995=""),"",IF(C3995="","Gasto",C3995))</f>
        <v/>
      </c>
      <c r="Q3995" s="52">
        <f>IF(P3995="","",IF(J3995&lt;&gt;"",J3995,CuentaPred&amp;""))</f>
        <v/>
      </c>
      <c r="R3995" s="52">
        <f>IF(P3995="","",IF(ISNUMBER(I3995),I3995,TasaUSD))</f>
        <v/>
      </c>
      <c r="S3995" s="53">
        <f>IF(P3995="","",IF(H3995="USD",G3995*R3995,G3995))</f>
        <v/>
      </c>
      <c r="T3995" s="53">
        <f>IF(P3995="","",IF(H3995="USD",G3995,IF(R3995&gt;0,G3995/R3995,0)))</f>
        <v/>
      </c>
      <c r="U3995" s="53">
        <f>IF(P3995="","",IF(P3995="Gasto",S3995,IF(P3995="Reembolso",-S3995,0)))</f>
        <v/>
      </c>
      <c r="V3995" s="53">
        <f>IF(P3995="","",IF(P3995="Ingreso",S3995,0))</f>
        <v/>
      </c>
      <c r="W3995" s="53">
        <f>IF(P3995="","",IF(P3995="Resultado trading",S3995,0))</f>
        <v/>
      </c>
      <c r="X3995" s="52">
        <f>IF(OR(P3995="Gasto",P3995="Reembolso"),IF(M3995&lt;&gt;"",M3995,IFERROR(INDEX(catClasif,MATCH(D3995&amp;"|"&amp;E3995,catClave,0))&amp;"","Variable")),"")</f>
        <v/>
      </c>
      <c r="Y3995" s="52">
        <f>IF(P3995="","",IFERROR(INDEX(catGrupo,MATCH(D3995&amp;"|"&amp;E3995,catClave,0))&amp;"",""))</f>
        <v/>
      </c>
      <c r="Z3995" s="52">
        <f>IF(P3995="","",WEEKDAY(B3995,2))</f>
        <v/>
      </c>
      <c r="AA3995" s="52">
        <f>IF(P3995="","",IF(AND(P3995="Gasto",X3995="Variable",D3995&lt;&gt;catTrading,S3995&gt;0,S3995&lt;=Umbral),1,0))</f>
        <v/>
      </c>
      <c r="AB3995" s="52">
        <f>IF(OR(P3995="",Q3995=""),"",IFERROR(IF(INDEX(ctaVinc,MATCH(Q3995,ctaNombre,0))&amp;""&lt;&gt;"",INDEX(ctaVinc,MATCH(Q3995,ctaNombre,0))&amp;"",Q3995),Q3995))</f>
        <v/>
      </c>
      <c r="AC3995" s="52">
        <f>IF(OR(K3995="",AND(P3995&lt;&gt;"Transferencia",P3995&lt;&gt;"Pago tarjeta")),"",IFERROR(IF(INDEX(ctaVinc,MATCH(K3995,ctaNombre,0))&amp;""&lt;&gt;"",INDEX(ctaVinc,MATCH(K3995,ctaNombre,0))&amp;"",K3995),K3995))</f>
        <v/>
      </c>
      <c r="AD3995" s="52">
        <f>IF(AB3995="","",IFERROR(INDEX(ctaTipo,MATCH(AB3995,ctaNombre,0))&amp;"",""))</f>
        <v/>
      </c>
      <c r="AE3995" s="52">
        <f>IF(AC3995="","",IFERROR(INDEX(ctaTipo,MATCH(AC3995,ctaNombre,0))&amp;"",""))</f>
        <v/>
      </c>
      <c r="AF3995" s="53">
        <f>IF(OR(P3995="",AB3995=""),"",IF(OR(P3995="Gasto",P3995="Transferencia",P3995="Pago tarjeta"),-1,1)*IF(IFERROR(INDEX(ctaMoneda,MATCH(AB3995,ctaNombre,0))&amp;"","DOP")="USD",T3995,S3995))</f>
        <v/>
      </c>
      <c r="AG3995" s="53">
        <f>IF(AC3995="","",IF(IFERROR(INDEX(ctaMoneda,MATCH(AC3995,ctaNombre,0))&amp;"","DOP")="USD",T3995,S3995))</f>
        <v/>
      </c>
      <c r="AH3995" s="53">
        <f>IF(P3995="","",IF(AND(AD3995&lt;&gt;"",COUNTIFS(tcTipo,AD3995,tcLiq,"Sí")&gt;0),IF(OR(P3995="Gasto",P3995="Transferencia",P3995="Pago tarjeta"),-1,1)*S3995,0)+IF(AND(AE3995&lt;&gt;"",COUNTIFS(tcTipo,AE3995,tcLiq,"Sí")&gt;0),S3995,0))</f>
        <v/>
      </c>
      <c r="AI3995" s="52">
        <f>IF(OR(L3995="",P3995=""),"",IF(COUNTIFS(L$6:L3995,L3995,P$6:P3995,"?*")=1,MAX(AI$5:AI3994)+1,""))</f>
        <v/>
      </c>
    </row>
    <row r="3996">
      <c r="B3996" s="47" t="n"/>
      <c r="C3996" s="48" t="n"/>
      <c r="D3996" s="48" t="n"/>
      <c r="E3996" s="48" t="n"/>
      <c r="F3996" s="48" t="n"/>
      <c r="G3996" s="49" t="n"/>
      <c r="H3996" s="48" t="n"/>
      <c r="I3996" s="50" t="n"/>
      <c r="J3996" s="48" t="n"/>
      <c r="K3996" s="48" t="n"/>
      <c r="L3996" s="48" t="n"/>
      <c r="M3996" s="48" t="n"/>
      <c r="N3996" s="48" t="n"/>
      <c r="O3996" s="51">
        <f>IF(AND(B3996="",G3996="",C3996="",D3996="",J3996=""),"",IF(B3996="","⚠ Falta fecha",IF(G3996="","⚠ Falta monto",IF(Q3996="","⚠ Falta cuenta",IF(ISNA(MATCH(Q3996,ctaNombre,0)),"⚠ Cuenta no registrada",IF(AND(OR(P3996="Gasto",P3996="Reembolso"),D3996=""),"⚠ Falta categoría",IF(AND(D3996&lt;&gt;"",E3996&lt;&gt;"",ISNA(MATCH(D3996&amp;"|"&amp;E3996,catClave,0))),"⚠ Subcategoría no corresponde",IF(AND(OR(P3996="Transferencia",P3996="Pago tarjeta"),K3996=""),"⚠ Falta cuenta destino",IF(AND(K3996&lt;&gt;"",P3996&lt;&gt;"Transferencia",P3996&lt;&gt;"Pago tarjeta"),"⚠ Destino solo aplica a transferencias",IF(AND(K3996&lt;&gt;"",K3996=Q3996),"⚠ Origen igual a destino",IF(AND(K3996&lt;&gt;"",ISNA(MATCH(K3996,ctaNombre,0))),"⚠ Destino no registrado",IF(AND(P3996="Pago tarjeta",AE3996&lt;&gt;"Tarjeta de crédito"),"⚠ El destino debe ser tarjeta de crédito",IF(AND(P3996="Gasto",E3996="Depósitos y retiros"),"⚠ Usa tipo Transferencia",IF(AND(P3996="Resultado trading",AD3996&lt;&gt;"Cuenta de trading"),"⚠ Usa una cuenta de trading",IF(AND(G3996&lt;=0,P3996&lt;&gt;"Ajuste",P3996&lt;&gt;"Resultado trading"),"⚠ El monto debe ser positivo","✓")))))))))))))))</f>
        <v/>
      </c>
      <c r="P3996" s="52">
        <f>IF(OR(B3996="",G3996=""),"",IF(C3996="","Gasto",C3996))</f>
        <v/>
      </c>
      <c r="Q3996" s="52">
        <f>IF(P3996="","",IF(J3996&lt;&gt;"",J3996,CuentaPred&amp;""))</f>
        <v/>
      </c>
      <c r="R3996" s="52">
        <f>IF(P3996="","",IF(ISNUMBER(I3996),I3996,TasaUSD))</f>
        <v/>
      </c>
      <c r="S3996" s="53">
        <f>IF(P3996="","",IF(H3996="USD",G3996*R3996,G3996))</f>
        <v/>
      </c>
      <c r="T3996" s="53">
        <f>IF(P3996="","",IF(H3996="USD",G3996,IF(R3996&gt;0,G3996/R3996,0)))</f>
        <v/>
      </c>
      <c r="U3996" s="53">
        <f>IF(P3996="","",IF(P3996="Gasto",S3996,IF(P3996="Reembolso",-S3996,0)))</f>
        <v/>
      </c>
      <c r="V3996" s="53">
        <f>IF(P3996="","",IF(P3996="Ingreso",S3996,0))</f>
        <v/>
      </c>
      <c r="W3996" s="53">
        <f>IF(P3996="","",IF(P3996="Resultado trading",S3996,0))</f>
        <v/>
      </c>
      <c r="X3996" s="52">
        <f>IF(OR(P3996="Gasto",P3996="Reembolso"),IF(M3996&lt;&gt;"",M3996,IFERROR(INDEX(catClasif,MATCH(D3996&amp;"|"&amp;E3996,catClave,0))&amp;"","Variable")),"")</f>
        <v/>
      </c>
      <c r="Y3996" s="52">
        <f>IF(P3996="","",IFERROR(INDEX(catGrupo,MATCH(D3996&amp;"|"&amp;E3996,catClave,0))&amp;"",""))</f>
        <v/>
      </c>
      <c r="Z3996" s="52">
        <f>IF(P3996="","",WEEKDAY(B3996,2))</f>
        <v/>
      </c>
      <c r="AA3996" s="52">
        <f>IF(P3996="","",IF(AND(P3996="Gasto",X3996="Variable",D3996&lt;&gt;catTrading,S3996&gt;0,S3996&lt;=Umbral),1,0))</f>
        <v/>
      </c>
      <c r="AB3996" s="52">
        <f>IF(OR(P3996="",Q3996=""),"",IFERROR(IF(INDEX(ctaVinc,MATCH(Q3996,ctaNombre,0))&amp;""&lt;&gt;"",INDEX(ctaVinc,MATCH(Q3996,ctaNombre,0))&amp;"",Q3996),Q3996))</f>
        <v/>
      </c>
      <c r="AC3996" s="52">
        <f>IF(OR(K3996="",AND(P3996&lt;&gt;"Transferencia",P3996&lt;&gt;"Pago tarjeta")),"",IFERROR(IF(INDEX(ctaVinc,MATCH(K3996,ctaNombre,0))&amp;""&lt;&gt;"",INDEX(ctaVinc,MATCH(K3996,ctaNombre,0))&amp;"",K3996),K3996))</f>
        <v/>
      </c>
      <c r="AD3996" s="52">
        <f>IF(AB3996="","",IFERROR(INDEX(ctaTipo,MATCH(AB3996,ctaNombre,0))&amp;"",""))</f>
        <v/>
      </c>
      <c r="AE3996" s="52">
        <f>IF(AC3996="","",IFERROR(INDEX(ctaTipo,MATCH(AC3996,ctaNombre,0))&amp;"",""))</f>
        <v/>
      </c>
      <c r="AF3996" s="53">
        <f>IF(OR(P3996="",AB3996=""),"",IF(OR(P3996="Gasto",P3996="Transferencia",P3996="Pago tarjeta"),-1,1)*IF(IFERROR(INDEX(ctaMoneda,MATCH(AB3996,ctaNombre,0))&amp;"","DOP")="USD",T3996,S3996))</f>
        <v/>
      </c>
      <c r="AG3996" s="53">
        <f>IF(AC3996="","",IF(IFERROR(INDEX(ctaMoneda,MATCH(AC3996,ctaNombre,0))&amp;"","DOP")="USD",T3996,S3996))</f>
        <v/>
      </c>
      <c r="AH3996" s="53">
        <f>IF(P3996="","",IF(AND(AD3996&lt;&gt;"",COUNTIFS(tcTipo,AD3996,tcLiq,"Sí")&gt;0),IF(OR(P3996="Gasto",P3996="Transferencia",P3996="Pago tarjeta"),-1,1)*S3996,0)+IF(AND(AE3996&lt;&gt;"",COUNTIFS(tcTipo,AE3996,tcLiq,"Sí")&gt;0),S3996,0))</f>
        <v/>
      </c>
      <c r="AI3996" s="52">
        <f>IF(OR(L3996="",P3996=""),"",IF(COUNTIFS(L$6:L3996,L3996,P$6:P3996,"?*")=1,MAX(AI$5:AI3995)+1,""))</f>
        <v/>
      </c>
    </row>
    <row r="3997">
      <c r="B3997" s="47" t="n"/>
      <c r="C3997" s="48" t="n"/>
      <c r="D3997" s="48" t="n"/>
      <c r="E3997" s="48" t="n"/>
      <c r="F3997" s="48" t="n"/>
      <c r="G3997" s="49" t="n"/>
      <c r="H3997" s="48" t="n"/>
      <c r="I3997" s="50" t="n"/>
      <c r="J3997" s="48" t="n"/>
      <c r="K3997" s="48" t="n"/>
      <c r="L3997" s="48" t="n"/>
      <c r="M3997" s="48" t="n"/>
      <c r="N3997" s="48" t="n"/>
      <c r="O3997" s="51">
        <f>IF(AND(B3997="",G3997="",C3997="",D3997="",J3997=""),"",IF(B3997="","⚠ Falta fecha",IF(G3997="","⚠ Falta monto",IF(Q3997="","⚠ Falta cuenta",IF(ISNA(MATCH(Q3997,ctaNombre,0)),"⚠ Cuenta no registrada",IF(AND(OR(P3997="Gasto",P3997="Reembolso"),D3997=""),"⚠ Falta categoría",IF(AND(D3997&lt;&gt;"",E3997&lt;&gt;"",ISNA(MATCH(D3997&amp;"|"&amp;E3997,catClave,0))),"⚠ Subcategoría no corresponde",IF(AND(OR(P3997="Transferencia",P3997="Pago tarjeta"),K3997=""),"⚠ Falta cuenta destino",IF(AND(K3997&lt;&gt;"",P3997&lt;&gt;"Transferencia",P3997&lt;&gt;"Pago tarjeta"),"⚠ Destino solo aplica a transferencias",IF(AND(K3997&lt;&gt;"",K3997=Q3997),"⚠ Origen igual a destino",IF(AND(K3997&lt;&gt;"",ISNA(MATCH(K3997,ctaNombre,0))),"⚠ Destino no registrado",IF(AND(P3997="Pago tarjeta",AE3997&lt;&gt;"Tarjeta de crédito"),"⚠ El destino debe ser tarjeta de crédito",IF(AND(P3997="Gasto",E3997="Depósitos y retiros"),"⚠ Usa tipo Transferencia",IF(AND(P3997="Resultado trading",AD3997&lt;&gt;"Cuenta de trading"),"⚠ Usa una cuenta de trading",IF(AND(G3997&lt;=0,P3997&lt;&gt;"Ajuste",P3997&lt;&gt;"Resultado trading"),"⚠ El monto debe ser positivo","✓")))))))))))))))</f>
        <v/>
      </c>
      <c r="P3997" s="52">
        <f>IF(OR(B3997="",G3997=""),"",IF(C3997="","Gasto",C3997))</f>
        <v/>
      </c>
      <c r="Q3997" s="52">
        <f>IF(P3997="","",IF(J3997&lt;&gt;"",J3997,CuentaPred&amp;""))</f>
        <v/>
      </c>
      <c r="R3997" s="52">
        <f>IF(P3997="","",IF(ISNUMBER(I3997),I3997,TasaUSD))</f>
        <v/>
      </c>
      <c r="S3997" s="53">
        <f>IF(P3997="","",IF(H3997="USD",G3997*R3997,G3997))</f>
        <v/>
      </c>
      <c r="T3997" s="53">
        <f>IF(P3997="","",IF(H3997="USD",G3997,IF(R3997&gt;0,G3997/R3997,0)))</f>
        <v/>
      </c>
      <c r="U3997" s="53">
        <f>IF(P3997="","",IF(P3997="Gasto",S3997,IF(P3997="Reembolso",-S3997,0)))</f>
        <v/>
      </c>
      <c r="V3997" s="53">
        <f>IF(P3997="","",IF(P3997="Ingreso",S3997,0))</f>
        <v/>
      </c>
      <c r="W3997" s="53">
        <f>IF(P3997="","",IF(P3997="Resultado trading",S3997,0))</f>
        <v/>
      </c>
      <c r="X3997" s="52">
        <f>IF(OR(P3997="Gasto",P3997="Reembolso"),IF(M3997&lt;&gt;"",M3997,IFERROR(INDEX(catClasif,MATCH(D3997&amp;"|"&amp;E3997,catClave,0))&amp;"","Variable")),"")</f>
        <v/>
      </c>
      <c r="Y3997" s="52">
        <f>IF(P3997="","",IFERROR(INDEX(catGrupo,MATCH(D3997&amp;"|"&amp;E3997,catClave,0))&amp;"",""))</f>
        <v/>
      </c>
      <c r="Z3997" s="52">
        <f>IF(P3997="","",WEEKDAY(B3997,2))</f>
        <v/>
      </c>
      <c r="AA3997" s="52">
        <f>IF(P3997="","",IF(AND(P3997="Gasto",X3997="Variable",D3997&lt;&gt;catTrading,S3997&gt;0,S3997&lt;=Umbral),1,0))</f>
        <v/>
      </c>
      <c r="AB3997" s="52">
        <f>IF(OR(P3997="",Q3997=""),"",IFERROR(IF(INDEX(ctaVinc,MATCH(Q3997,ctaNombre,0))&amp;""&lt;&gt;"",INDEX(ctaVinc,MATCH(Q3997,ctaNombre,0))&amp;"",Q3997),Q3997))</f>
        <v/>
      </c>
      <c r="AC3997" s="52">
        <f>IF(OR(K3997="",AND(P3997&lt;&gt;"Transferencia",P3997&lt;&gt;"Pago tarjeta")),"",IFERROR(IF(INDEX(ctaVinc,MATCH(K3997,ctaNombre,0))&amp;""&lt;&gt;"",INDEX(ctaVinc,MATCH(K3997,ctaNombre,0))&amp;"",K3997),K3997))</f>
        <v/>
      </c>
      <c r="AD3997" s="52">
        <f>IF(AB3997="","",IFERROR(INDEX(ctaTipo,MATCH(AB3997,ctaNombre,0))&amp;"",""))</f>
        <v/>
      </c>
      <c r="AE3997" s="52">
        <f>IF(AC3997="","",IFERROR(INDEX(ctaTipo,MATCH(AC3997,ctaNombre,0))&amp;"",""))</f>
        <v/>
      </c>
      <c r="AF3997" s="53">
        <f>IF(OR(P3997="",AB3997=""),"",IF(OR(P3997="Gasto",P3997="Transferencia",P3997="Pago tarjeta"),-1,1)*IF(IFERROR(INDEX(ctaMoneda,MATCH(AB3997,ctaNombre,0))&amp;"","DOP")="USD",T3997,S3997))</f>
        <v/>
      </c>
      <c r="AG3997" s="53">
        <f>IF(AC3997="","",IF(IFERROR(INDEX(ctaMoneda,MATCH(AC3997,ctaNombre,0))&amp;"","DOP")="USD",T3997,S3997))</f>
        <v/>
      </c>
      <c r="AH3997" s="53">
        <f>IF(P3997="","",IF(AND(AD3997&lt;&gt;"",COUNTIFS(tcTipo,AD3997,tcLiq,"Sí")&gt;0),IF(OR(P3997="Gasto",P3997="Transferencia",P3997="Pago tarjeta"),-1,1)*S3997,0)+IF(AND(AE3997&lt;&gt;"",COUNTIFS(tcTipo,AE3997,tcLiq,"Sí")&gt;0),S3997,0))</f>
        <v/>
      </c>
      <c r="AI3997" s="52">
        <f>IF(OR(L3997="",P3997=""),"",IF(COUNTIFS(L$6:L3997,L3997,P$6:P3997,"?*")=1,MAX(AI$5:AI3996)+1,""))</f>
        <v/>
      </c>
    </row>
    <row r="3998">
      <c r="B3998" s="47" t="n"/>
      <c r="C3998" s="48" t="n"/>
      <c r="D3998" s="48" t="n"/>
      <c r="E3998" s="48" t="n"/>
      <c r="F3998" s="48" t="n"/>
      <c r="G3998" s="49" t="n"/>
      <c r="H3998" s="48" t="n"/>
      <c r="I3998" s="50" t="n"/>
      <c r="J3998" s="48" t="n"/>
      <c r="K3998" s="48" t="n"/>
      <c r="L3998" s="48" t="n"/>
      <c r="M3998" s="48" t="n"/>
      <c r="N3998" s="48" t="n"/>
      <c r="O3998" s="51">
        <f>IF(AND(B3998="",G3998="",C3998="",D3998="",J3998=""),"",IF(B3998="","⚠ Falta fecha",IF(G3998="","⚠ Falta monto",IF(Q3998="","⚠ Falta cuenta",IF(ISNA(MATCH(Q3998,ctaNombre,0)),"⚠ Cuenta no registrada",IF(AND(OR(P3998="Gasto",P3998="Reembolso"),D3998=""),"⚠ Falta categoría",IF(AND(D3998&lt;&gt;"",E3998&lt;&gt;"",ISNA(MATCH(D3998&amp;"|"&amp;E3998,catClave,0))),"⚠ Subcategoría no corresponde",IF(AND(OR(P3998="Transferencia",P3998="Pago tarjeta"),K3998=""),"⚠ Falta cuenta destino",IF(AND(K3998&lt;&gt;"",P3998&lt;&gt;"Transferencia",P3998&lt;&gt;"Pago tarjeta"),"⚠ Destino solo aplica a transferencias",IF(AND(K3998&lt;&gt;"",K3998=Q3998),"⚠ Origen igual a destino",IF(AND(K3998&lt;&gt;"",ISNA(MATCH(K3998,ctaNombre,0))),"⚠ Destino no registrado",IF(AND(P3998="Pago tarjeta",AE3998&lt;&gt;"Tarjeta de crédito"),"⚠ El destino debe ser tarjeta de crédito",IF(AND(P3998="Gasto",E3998="Depósitos y retiros"),"⚠ Usa tipo Transferencia",IF(AND(P3998="Resultado trading",AD3998&lt;&gt;"Cuenta de trading"),"⚠ Usa una cuenta de trading",IF(AND(G3998&lt;=0,P3998&lt;&gt;"Ajuste",P3998&lt;&gt;"Resultado trading"),"⚠ El monto debe ser positivo","✓")))))))))))))))</f>
        <v/>
      </c>
      <c r="P3998" s="52">
        <f>IF(OR(B3998="",G3998=""),"",IF(C3998="","Gasto",C3998))</f>
        <v/>
      </c>
      <c r="Q3998" s="52">
        <f>IF(P3998="","",IF(J3998&lt;&gt;"",J3998,CuentaPred&amp;""))</f>
        <v/>
      </c>
      <c r="R3998" s="52">
        <f>IF(P3998="","",IF(ISNUMBER(I3998),I3998,TasaUSD))</f>
        <v/>
      </c>
      <c r="S3998" s="53">
        <f>IF(P3998="","",IF(H3998="USD",G3998*R3998,G3998))</f>
        <v/>
      </c>
      <c r="T3998" s="53">
        <f>IF(P3998="","",IF(H3998="USD",G3998,IF(R3998&gt;0,G3998/R3998,0)))</f>
        <v/>
      </c>
      <c r="U3998" s="53">
        <f>IF(P3998="","",IF(P3998="Gasto",S3998,IF(P3998="Reembolso",-S3998,0)))</f>
        <v/>
      </c>
      <c r="V3998" s="53">
        <f>IF(P3998="","",IF(P3998="Ingreso",S3998,0))</f>
        <v/>
      </c>
      <c r="W3998" s="53">
        <f>IF(P3998="","",IF(P3998="Resultado trading",S3998,0))</f>
        <v/>
      </c>
      <c r="X3998" s="52">
        <f>IF(OR(P3998="Gasto",P3998="Reembolso"),IF(M3998&lt;&gt;"",M3998,IFERROR(INDEX(catClasif,MATCH(D3998&amp;"|"&amp;E3998,catClave,0))&amp;"","Variable")),"")</f>
        <v/>
      </c>
      <c r="Y3998" s="52">
        <f>IF(P3998="","",IFERROR(INDEX(catGrupo,MATCH(D3998&amp;"|"&amp;E3998,catClave,0))&amp;"",""))</f>
        <v/>
      </c>
      <c r="Z3998" s="52">
        <f>IF(P3998="","",WEEKDAY(B3998,2))</f>
        <v/>
      </c>
      <c r="AA3998" s="52">
        <f>IF(P3998="","",IF(AND(P3998="Gasto",X3998="Variable",D3998&lt;&gt;catTrading,S3998&gt;0,S3998&lt;=Umbral),1,0))</f>
        <v/>
      </c>
      <c r="AB3998" s="52">
        <f>IF(OR(P3998="",Q3998=""),"",IFERROR(IF(INDEX(ctaVinc,MATCH(Q3998,ctaNombre,0))&amp;""&lt;&gt;"",INDEX(ctaVinc,MATCH(Q3998,ctaNombre,0))&amp;"",Q3998),Q3998))</f>
        <v/>
      </c>
      <c r="AC3998" s="52">
        <f>IF(OR(K3998="",AND(P3998&lt;&gt;"Transferencia",P3998&lt;&gt;"Pago tarjeta")),"",IFERROR(IF(INDEX(ctaVinc,MATCH(K3998,ctaNombre,0))&amp;""&lt;&gt;"",INDEX(ctaVinc,MATCH(K3998,ctaNombre,0))&amp;"",K3998),K3998))</f>
        <v/>
      </c>
      <c r="AD3998" s="52">
        <f>IF(AB3998="","",IFERROR(INDEX(ctaTipo,MATCH(AB3998,ctaNombre,0))&amp;"",""))</f>
        <v/>
      </c>
      <c r="AE3998" s="52">
        <f>IF(AC3998="","",IFERROR(INDEX(ctaTipo,MATCH(AC3998,ctaNombre,0))&amp;"",""))</f>
        <v/>
      </c>
      <c r="AF3998" s="53">
        <f>IF(OR(P3998="",AB3998=""),"",IF(OR(P3998="Gasto",P3998="Transferencia",P3998="Pago tarjeta"),-1,1)*IF(IFERROR(INDEX(ctaMoneda,MATCH(AB3998,ctaNombre,0))&amp;"","DOP")="USD",T3998,S3998))</f>
        <v/>
      </c>
      <c r="AG3998" s="53">
        <f>IF(AC3998="","",IF(IFERROR(INDEX(ctaMoneda,MATCH(AC3998,ctaNombre,0))&amp;"","DOP")="USD",T3998,S3998))</f>
        <v/>
      </c>
      <c r="AH3998" s="53">
        <f>IF(P3998="","",IF(AND(AD3998&lt;&gt;"",COUNTIFS(tcTipo,AD3998,tcLiq,"Sí")&gt;0),IF(OR(P3998="Gasto",P3998="Transferencia",P3998="Pago tarjeta"),-1,1)*S3998,0)+IF(AND(AE3998&lt;&gt;"",COUNTIFS(tcTipo,AE3998,tcLiq,"Sí")&gt;0),S3998,0))</f>
        <v/>
      </c>
      <c r="AI3998" s="52">
        <f>IF(OR(L3998="",P3998=""),"",IF(COUNTIFS(L$6:L3998,L3998,P$6:P3998,"?*")=1,MAX(AI$5:AI3997)+1,""))</f>
        <v/>
      </c>
    </row>
    <row r="3999">
      <c r="B3999" s="47" t="n"/>
      <c r="C3999" s="48" t="n"/>
      <c r="D3999" s="48" t="n"/>
      <c r="E3999" s="48" t="n"/>
      <c r="F3999" s="48" t="n"/>
      <c r="G3999" s="49" t="n"/>
      <c r="H3999" s="48" t="n"/>
      <c r="I3999" s="50" t="n"/>
      <c r="J3999" s="48" t="n"/>
      <c r="K3999" s="48" t="n"/>
      <c r="L3999" s="48" t="n"/>
      <c r="M3999" s="48" t="n"/>
      <c r="N3999" s="48" t="n"/>
      <c r="O3999" s="51">
        <f>IF(AND(B3999="",G3999="",C3999="",D3999="",J3999=""),"",IF(B3999="","⚠ Falta fecha",IF(G3999="","⚠ Falta monto",IF(Q3999="","⚠ Falta cuenta",IF(ISNA(MATCH(Q3999,ctaNombre,0)),"⚠ Cuenta no registrada",IF(AND(OR(P3999="Gasto",P3999="Reembolso"),D3999=""),"⚠ Falta categoría",IF(AND(D3999&lt;&gt;"",E3999&lt;&gt;"",ISNA(MATCH(D3999&amp;"|"&amp;E3999,catClave,0))),"⚠ Subcategoría no corresponde",IF(AND(OR(P3999="Transferencia",P3999="Pago tarjeta"),K3999=""),"⚠ Falta cuenta destino",IF(AND(K3999&lt;&gt;"",P3999&lt;&gt;"Transferencia",P3999&lt;&gt;"Pago tarjeta"),"⚠ Destino solo aplica a transferencias",IF(AND(K3999&lt;&gt;"",K3999=Q3999),"⚠ Origen igual a destino",IF(AND(K3999&lt;&gt;"",ISNA(MATCH(K3999,ctaNombre,0))),"⚠ Destino no registrado",IF(AND(P3999="Pago tarjeta",AE3999&lt;&gt;"Tarjeta de crédito"),"⚠ El destino debe ser tarjeta de crédito",IF(AND(P3999="Gasto",E3999="Depósitos y retiros"),"⚠ Usa tipo Transferencia",IF(AND(P3999="Resultado trading",AD3999&lt;&gt;"Cuenta de trading"),"⚠ Usa una cuenta de trading",IF(AND(G3999&lt;=0,P3999&lt;&gt;"Ajuste",P3999&lt;&gt;"Resultado trading"),"⚠ El monto debe ser positivo","✓")))))))))))))))</f>
        <v/>
      </c>
      <c r="P3999" s="52">
        <f>IF(OR(B3999="",G3999=""),"",IF(C3999="","Gasto",C3999))</f>
        <v/>
      </c>
      <c r="Q3999" s="52">
        <f>IF(P3999="","",IF(J3999&lt;&gt;"",J3999,CuentaPred&amp;""))</f>
        <v/>
      </c>
      <c r="R3999" s="52">
        <f>IF(P3999="","",IF(ISNUMBER(I3999),I3999,TasaUSD))</f>
        <v/>
      </c>
      <c r="S3999" s="53">
        <f>IF(P3999="","",IF(H3999="USD",G3999*R3999,G3999))</f>
        <v/>
      </c>
      <c r="T3999" s="53">
        <f>IF(P3999="","",IF(H3999="USD",G3999,IF(R3999&gt;0,G3999/R3999,0)))</f>
        <v/>
      </c>
      <c r="U3999" s="53">
        <f>IF(P3999="","",IF(P3999="Gasto",S3999,IF(P3999="Reembolso",-S3999,0)))</f>
        <v/>
      </c>
      <c r="V3999" s="53">
        <f>IF(P3999="","",IF(P3999="Ingreso",S3999,0))</f>
        <v/>
      </c>
      <c r="W3999" s="53">
        <f>IF(P3999="","",IF(P3999="Resultado trading",S3999,0))</f>
        <v/>
      </c>
      <c r="X3999" s="52">
        <f>IF(OR(P3999="Gasto",P3999="Reembolso"),IF(M3999&lt;&gt;"",M3999,IFERROR(INDEX(catClasif,MATCH(D3999&amp;"|"&amp;E3999,catClave,0))&amp;"","Variable")),"")</f>
        <v/>
      </c>
      <c r="Y3999" s="52">
        <f>IF(P3999="","",IFERROR(INDEX(catGrupo,MATCH(D3999&amp;"|"&amp;E3999,catClave,0))&amp;"",""))</f>
        <v/>
      </c>
      <c r="Z3999" s="52">
        <f>IF(P3999="","",WEEKDAY(B3999,2))</f>
        <v/>
      </c>
      <c r="AA3999" s="52">
        <f>IF(P3999="","",IF(AND(P3999="Gasto",X3999="Variable",D3999&lt;&gt;catTrading,S3999&gt;0,S3999&lt;=Umbral),1,0))</f>
        <v/>
      </c>
      <c r="AB3999" s="52">
        <f>IF(OR(P3999="",Q3999=""),"",IFERROR(IF(INDEX(ctaVinc,MATCH(Q3999,ctaNombre,0))&amp;""&lt;&gt;"",INDEX(ctaVinc,MATCH(Q3999,ctaNombre,0))&amp;"",Q3999),Q3999))</f>
        <v/>
      </c>
      <c r="AC3999" s="52">
        <f>IF(OR(K3999="",AND(P3999&lt;&gt;"Transferencia",P3999&lt;&gt;"Pago tarjeta")),"",IFERROR(IF(INDEX(ctaVinc,MATCH(K3999,ctaNombre,0))&amp;""&lt;&gt;"",INDEX(ctaVinc,MATCH(K3999,ctaNombre,0))&amp;"",K3999),K3999))</f>
        <v/>
      </c>
      <c r="AD3999" s="52">
        <f>IF(AB3999="","",IFERROR(INDEX(ctaTipo,MATCH(AB3999,ctaNombre,0))&amp;"",""))</f>
        <v/>
      </c>
      <c r="AE3999" s="52">
        <f>IF(AC3999="","",IFERROR(INDEX(ctaTipo,MATCH(AC3999,ctaNombre,0))&amp;"",""))</f>
        <v/>
      </c>
      <c r="AF3999" s="53">
        <f>IF(OR(P3999="",AB3999=""),"",IF(OR(P3999="Gasto",P3999="Transferencia",P3999="Pago tarjeta"),-1,1)*IF(IFERROR(INDEX(ctaMoneda,MATCH(AB3999,ctaNombre,0))&amp;"","DOP")="USD",T3999,S3999))</f>
        <v/>
      </c>
      <c r="AG3999" s="53">
        <f>IF(AC3999="","",IF(IFERROR(INDEX(ctaMoneda,MATCH(AC3999,ctaNombre,0))&amp;"","DOP")="USD",T3999,S3999))</f>
        <v/>
      </c>
      <c r="AH3999" s="53">
        <f>IF(P3999="","",IF(AND(AD3999&lt;&gt;"",COUNTIFS(tcTipo,AD3999,tcLiq,"Sí")&gt;0),IF(OR(P3999="Gasto",P3999="Transferencia",P3999="Pago tarjeta"),-1,1)*S3999,0)+IF(AND(AE3999&lt;&gt;"",COUNTIFS(tcTipo,AE3999,tcLiq,"Sí")&gt;0),S3999,0))</f>
        <v/>
      </c>
      <c r="AI3999" s="52">
        <f>IF(OR(L3999="",P3999=""),"",IF(COUNTIFS(L$6:L3999,L3999,P$6:P3999,"?*")=1,MAX(AI$5:AI3998)+1,""))</f>
        <v/>
      </c>
    </row>
    <row r="4000">
      <c r="B4000" s="47" t="n"/>
      <c r="C4000" s="48" t="n"/>
      <c r="D4000" s="48" t="n"/>
      <c r="E4000" s="48" t="n"/>
      <c r="F4000" s="48" t="n"/>
      <c r="G4000" s="49" t="n"/>
      <c r="H4000" s="48" t="n"/>
      <c r="I4000" s="50" t="n"/>
      <c r="J4000" s="48" t="n"/>
      <c r="K4000" s="48" t="n"/>
      <c r="L4000" s="48" t="n"/>
      <c r="M4000" s="48" t="n"/>
      <c r="N4000" s="48" t="n"/>
      <c r="O4000" s="51">
        <f>IF(AND(B4000="",G4000="",C4000="",D4000="",J4000=""),"",IF(B4000="","⚠ Falta fecha",IF(G4000="","⚠ Falta monto",IF(Q4000="","⚠ Falta cuenta",IF(ISNA(MATCH(Q4000,ctaNombre,0)),"⚠ Cuenta no registrada",IF(AND(OR(P4000="Gasto",P4000="Reembolso"),D4000=""),"⚠ Falta categoría",IF(AND(D4000&lt;&gt;"",E4000&lt;&gt;"",ISNA(MATCH(D4000&amp;"|"&amp;E4000,catClave,0))),"⚠ Subcategoría no corresponde",IF(AND(OR(P4000="Transferencia",P4000="Pago tarjeta"),K4000=""),"⚠ Falta cuenta destino",IF(AND(K4000&lt;&gt;"",P4000&lt;&gt;"Transferencia",P4000&lt;&gt;"Pago tarjeta"),"⚠ Destino solo aplica a transferencias",IF(AND(K4000&lt;&gt;"",K4000=Q4000),"⚠ Origen igual a destino",IF(AND(K4000&lt;&gt;"",ISNA(MATCH(K4000,ctaNombre,0))),"⚠ Destino no registrado",IF(AND(P4000="Pago tarjeta",AE4000&lt;&gt;"Tarjeta de crédito"),"⚠ El destino debe ser tarjeta de crédito",IF(AND(P4000="Gasto",E4000="Depósitos y retiros"),"⚠ Usa tipo Transferencia",IF(AND(P4000="Resultado trading",AD4000&lt;&gt;"Cuenta de trading"),"⚠ Usa una cuenta de trading",IF(AND(G4000&lt;=0,P4000&lt;&gt;"Ajuste",P4000&lt;&gt;"Resultado trading"),"⚠ El monto debe ser positivo","✓")))))))))))))))</f>
        <v/>
      </c>
      <c r="P4000" s="52">
        <f>IF(OR(B4000="",G4000=""),"",IF(C4000="","Gasto",C4000))</f>
        <v/>
      </c>
      <c r="Q4000" s="52">
        <f>IF(P4000="","",IF(J4000&lt;&gt;"",J4000,CuentaPred&amp;""))</f>
        <v/>
      </c>
      <c r="R4000" s="52">
        <f>IF(P4000="","",IF(ISNUMBER(I4000),I4000,TasaUSD))</f>
        <v/>
      </c>
      <c r="S4000" s="53">
        <f>IF(P4000="","",IF(H4000="USD",G4000*R4000,G4000))</f>
        <v/>
      </c>
      <c r="T4000" s="53">
        <f>IF(P4000="","",IF(H4000="USD",G4000,IF(R4000&gt;0,G4000/R4000,0)))</f>
        <v/>
      </c>
      <c r="U4000" s="53">
        <f>IF(P4000="","",IF(P4000="Gasto",S4000,IF(P4000="Reembolso",-S4000,0)))</f>
        <v/>
      </c>
      <c r="V4000" s="53">
        <f>IF(P4000="","",IF(P4000="Ingreso",S4000,0))</f>
        <v/>
      </c>
      <c r="W4000" s="53">
        <f>IF(P4000="","",IF(P4000="Resultado trading",S4000,0))</f>
        <v/>
      </c>
      <c r="X4000" s="52">
        <f>IF(OR(P4000="Gasto",P4000="Reembolso"),IF(M4000&lt;&gt;"",M4000,IFERROR(INDEX(catClasif,MATCH(D4000&amp;"|"&amp;E4000,catClave,0))&amp;"","Variable")),"")</f>
        <v/>
      </c>
      <c r="Y4000" s="52">
        <f>IF(P4000="","",IFERROR(INDEX(catGrupo,MATCH(D4000&amp;"|"&amp;E4000,catClave,0))&amp;"",""))</f>
        <v/>
      </c>
      <c r="Z4000" s="52">
        <f>IF(P4000="","",WEEKDAY(B4000,2))</f>
        <v/>
      </c>
      <c r="AA4000" s="52">
        <f>IF(P4000="","",IF(AND(P4000="Gasto",X4000="Variable",D4000&lt;&gt;catTrading,S4000&gt;0,S4000&lt;=Umbral),1,0))</f>
        <v/>
      </c>
      <c r="AB4000" s="52">
        <f>IF(OR(P4000="",Q4000=""),"",IFERROR(IF(INDEX(ctaVinc,MATCH(Q4000,ctaNombre,0))&amp;""&lt;&gt;"",INDEX(ctaVinc,MATCH(Q4000,ctaNombre,0))&amp;"",Q4000),Q4000))</f>
        <v/>
      </c>
      <c r="AC4000" s="52">
        <f>IF(OR(K4000="",AND(P4000&lt;&gt;"Transferencia",P4000&lt;&gt;"Pago tarjeta")),"",IFERROR(IF(INDEX(ctaVinc,MATCH(K4000,ctaNombre,0))&amp;""&lt;&gt;"",INDEX(ctaVinc,MATCH(K4000,ctaNombre,0))&amp;"",K4000),K4000))</f>
        <v/>
      </c>
      <c r="AD4000" s="52">
        <f>IF(AB4000="","",IFERROR(INDEX(ctaTipo,MATCH(AB4000,ctaNombre,0))&amp;"",""))</f>
        <v/>
      </c>
      <c r="AE4000" s="52">
        <f>IF(AC4000="","",IFERROR(INDEX(ctaTipo,MATCH(AC4000,ctaNombre,0))&amp;"",""))</f>
        <v/>
      </c>
      <c r="AF4000" s="53">
        <f>IF(OR(P4000="",AB4000=""),"",IF(OR(P4000="Gasto",P4000="Transferencia",P4000="Pago tarjeta"),-1,1)*IF(IFERROR(INDEX(ctaMoneda,MATCH(AB4000,ctaNombre,0))&amp;"","DOP")="USD",T4000,S4000))</f>
        <v/>
      </c>
      <c r="AG4000" s="53">
        <f>IF(AC4000="","",IF(IFERROR(INDEX(ctaMoneda,MATCH(AC4000,ctaNombre,0))&amp;"","DOP")="USD",T4000,S4000))</f>
        <v/>
      </c>
      <c r="AH4000" s="53">
        <f>IF(P4000="","",IF(AND(AD4000&lt;&gt;"",COUNTIFS(tcTipo,AD4000,tcLiq,"Sí")&gt;0),IF(OR(P4000="Gasto",P4000="Transferencia",P4000="Pago tarjeta"),-1,1)*S4000,0)+IF(AND(AE4000&lt;&gt;"",COUNTIFS(tcTipo,AE4000,tcLiq,"Sí")&gt;0),S4000,0))</f>
        <v/>
      </c>
      <c r="AI4000" s="52">
        <f>IF(OR(L4000="",P4000=""),"",IF(COUNTIFS(L$6:L4000,L4000,P$6:P4000,"?*")=1,MAX(AI$5:AI3999)+1,""))</f>
        <v/>
      </c>
    </row>
    <row r="4001">
      <c r="B4001" s="47" t="n"/>
      <c r="C4001" s="48" t="n"/>
      <c r="D4001" s="48" t="n"/>
      <c r="E4001" s="48" t="n"/>
      <c r="F4001" s="48" t="n"/>
      <c r="G4001" s="49" t="n"/>
      <c r="H4001" s="48" t="n"/>
      <c r="I4001" s="50" t="n"/>
      <c r="J4001" s="48" t="n"/>
      <c r="K4001" s="48" t="n"/>
      <c r="L4001" s="48" t="n"/>
      <c r="M4001" s="48" t="n"/>
      <c r="N4001" s="48" t="n"/>
      <c r="O4001" s="51">
        <f>IF(AND(B4001="",G4001="",C4001="",D4001="",J4001=""),"",IF(B4001="","⚠ Falta fecha",IF(G4001="","⚠ Falta monto",IF(Q4001="","⚠ Falta cuenta",IF(ISNA(MATCH(Q4001,ctaNombre,0)),"⚠ Cuenta no registrada",IF(AND(OR(P4001="Gasto",P4001="Reembolso"),D4001=""),"⚠ Falta categoría",IF(AND(D4001&lt;&gt;"",E4001&lt;&gt;"",ISNA(MATCH(D4001&amp;"|"&amp;E4001,catClave,0))),"⚠ Subcategoría no corresponde",IF(AND(OR(P4001="Transferencia",P4001="Pago tarjeta"),K4001=""),"⚠ Falta cuenta destino",IF(AND(K4001&lt;&gt;"",P4001&lt;&gt;"Transferencia",P4001&lt;&gt;"Pago tarjeta"),"⚠ Destino solo aplica a transferencias",IF(AND(K4001&lt;&gt;"",K4001=Q4001),"⚠ Origen igual a destino",IF(AND(K4001&lt;&gt;"",ISNA(MATCH(K4001,ctaNombre,0))),"⚠ Destino no registrado",IF(AND(P4001="Pago tarjeta",AE4001&lt;&gt;"Tarjeta de crédito"),"⚠ El destino debe ser tarjeta de crédito",IF(AND(P4001="Gasto",E4001="Depósitos y retiros"),"⚠ Usa tipo Transferencia",IF(AND(P4001="Resultado trading",AD4001&lt;&gt;"Cuenta de trading"),"⚠ Usa una cuenta de trading",IF(AND(G4001&lt;=0,P4001&lt;&gt;"Ajuste",P4001&lt;&gt;"Resultado trading"),"⚠ El monto debe ser positivo","✓")))))))))))))))</f>
        <v/>
      </c>
      <c r="P4001" s="52">
        <f>IF(OR(B4001="",G4001=""),"",IF(C4001="","Gasto",C4001))</f>
        <v/>
      </c>
      <c r="Q4001" s="52">
        <f>IF(P4001="","",IF(J4001&lt;&gt;"",J4001,CuentaPred&amp;""))</f>
        <v/>
      </c>
      <c r="R4001" s="52">
        <f>IF(P4001="","",IF(ISNUMBER(I4001),I4001,TasaUSD))</f>
        <v/>
      </c>
      <c r="S4001" s="53">
        <f>IF(P4001="","",IF(H4001="USD",G4001*R4001,G4001))</f>
        <v/>
      </c>
      <c r="T4001" s="53">
        <f>IF(P4001="","",IF(H4001="USD",G4001,IF(R4001&gt;0,G4001/R4001,0)))</f>
        <v/>
      </c>
      <c r="U4001" s="53">
        <f>IF(P4001="","",IF(P4001="Gasto",S4001,IF(P4001="Reembolso",-S4001,0)))</f>
        <v/>
      </c>
      <c r="V4001" s="53">
        <f>IF(P4001="","",IF(P4001="Ingreso",S4001,0))</f>
        <v/>
      </c>
      <c r="W4001" s="53">
        <f>IF(P4001="","",IF(P4001="Resultado trading",S4001,0))</f>
        <v/>
      </c>
      <c r="X4001" s="52">
        <f>IF(OR(P4001="Gasto",P4001="Reembolso"),IF(M4001&lt;&gt;"",M4001,IFERROR(INDEX(catClasif,MATCH(D4001&amp;"|"&amp;E4001,catClave,0))&amp;"","Variable")),"")</f>
        <v/>
      </c>
      <c r="Y4001" s="52">
        <f>IF(P4001="","",IFERROR(INDEX(catGrupo,MATCH(D4001&amp;"|"&amp;E4001,catClave,0))&amp;"",""))</f>
        <v/>
      </c>
      <c r="Z4001" s="52">
        <f>IF(P4001="","",WEEKDAY(B4001,2))</f>
        <v/>
      </c>
      <c r="AA4001" s="52">
        <f>IF(P4001="","",IF(AND(P4001="Gasto",X4001="Variable",D4001&lt;&gt;catTrading,S4001&gt;0,S4001&lt;=Umbral),1,0))</f>
        <v/>
      </c>
      <c r="AB4001" s="52">
        <f>IF(OR(P4001="",Q4001=""),"",IFERROR(IF(INDEX(ctaVinc,MATCH(Q4001,ctaNombre,0))&amp;""&lt;&gt;"",INDEX(ctaVinc,MATCH(Q4001,ctaNombre,0))&amp;"",Q4001),Q4001))</f>
        <v/>
      </c>
      <c r="AC4001" s="52">
        <f>IF(OR(K4001="",AND(P4001&lt;&gt;"Transferencia",P4001&lt;&gt;"Pago tarjeta")),"",IFERROR(IF(INDEX(ctaVinc,MATCH(K4001,ctaNombre,0))&amp;""&lt;&gt;"",INDEX(ctaVinc,MATCH(K4001,ctaNombre,0))&amp;"",K4001),K4001))</f>
        <v/>
      </c>
      <c r="AD4001" s="52">
        <f>IF(AB4001="","",IFERROR(INDEX(ctaTipo,MATCH(AB4001,ctaNombre,0))&amp;"",""))</f>
        <v/>
      </c>
      <c r="AE4001" s="52">
        <f>IF(AC4001="","",IFERROR(INDEX(ctaTipo,MATCH(AC4001,ctaNombre,0))&amp;"",""))</f>
        <v/>
      </c>
      <c r="AF4001" s="53">
        <f>IF(OR(P4001="",AB4001=""),"",IF(OR(P4001="Gasto",P4001="Transferencia",P4001="Pago tarjeta"),-1,1)*IF(IFERROR(INDEX(ctaMoneda,MATCH(AB4001,ctaNombre,0))&amp;"","DOP")="USD",T4001,S4001))</f>
        <v/>
      </c>
      <c r="AG4001" s="53">
        <f>IF(AC4001="","",IF(IFERROR(INDEX(ctaMoneda,MATCH(AC4001,ctaNombre,0))&amp;"","DOP")="USD",T4001,S4001))</f>
        <v/>
      </c>
      <c r="AH4001" s="53">
        <f>IF(P4001="","",IF(AND(AD4001&lt;&gt;"",COUNTIFS(tcTipo,AD4001,tcLiq,"Sí")&gt;0),IF(OR(P4001="Gasto",P4001="Transferencia",P4001="Pago tarjeta"),-1,1)*S4001,0)+IF(AND(AE4001&lt;&gt;"",COUNTIFS(tcTipo,AE4001,tcLiq,"Sí")&gt;0),S4001,0))</f>
        <v/>
      </c>
      <c r="AI4001" s="52">
        <f>IF(OR(L4001="",P4001=""),"",IF(COUNTIFS(L$6:L4001,L4001,P$6:P4001,"?*")=1,MAX(AI$5:AI4000)+1,""))</f>
        <v/>
      </c>
    </row>
    <row r="4002">
      <c r="B4002" s="47" t="n"/>
      <c r="C4002" s="48" t="n"/>
      <c r="D4002" s="48" t="n"/>
      <c r="E4002" s="48" t="n"/>
      <c r="F4002" s="48" t="n"/>
      <c r="G4002" s="49" t="n"/>
      <c r="H4002" s="48" t="n"/>
      <c r="I4002" s="50" t="n"/>
      <c r="J4002" s="48" t="n"/>
      <c r="K4002" s="48" t="n"/>
      <c r="L4002" s="48" t="n"/>
      <c r="M4002" s="48" t="n"/>
      <c r="N4002" s="48" t="n"/>
      <c r="O4002" s="51">
        <f>IF(AND(B4002="",G4002="",C4002="",D4002="",J4002=""),"",IF(B4002="","⚠ Falta fecha",IF(G4002="","⚠ Falta monto",IF(Q4002="","⚠ Falta cuenta",IF(ISNA(MATCH(Q4002,ctaNombre,0)),"⚠ Cuenta no registrada",IF(AND(OR(P4002="Gasto",P4002="Reembolso"),D4002=""),"⚠ Falta categoría",IF(AND(D4002&lt;&gt;"",E4002&lt;&gt;"",ISNA(MATCH(D4002&amp;"|"&amp;E4002,catClave,0))),"⚠ Subcategoría no corresponde",IF(AND(OR(P4002="Transferencia",P4002="Pago tarjeta"),K4002=""),"⚠ Falta cuenta destino",IF(AND(K4002&lt;&gt;"",P4002&lt;&gt;"Transferencia",P4002&lt;&gt;"Pago tarjeta"),"⚠ Destino solo aplica a transferencias",IF(AND(K4002&lt;&gt;"",K4002=Q4002),"⚠ Origen igual a destino",IF(AND(K4002&lt;&gt;"",ISNA(MATCH(K4002,ctaNombre,0))),"⚠ Destino no registrado",IF(AND(P4002="Pago tarjeta",AE4002&lt;&gt;"Tarjeta de crédito"),"⚠ El destino debe ser tarjeta de crédito",IF(AND(P4002="Gasto",E4002="Depósitos y retiros"),"⚠ Usa tipo Transferencia",IF(AND(P4002="Resultado trading",AD4002&lt;&gt;"Cuenta de trading"),"⚠ Usa una cuenta de trading",IF(AND(G4002&lt;=0,P4002&lt;&gt;"Ajuste",P4002&lt;&gt;"Resultado trading"),"⚠ El monto debe ser positivo","✓")))))))))))))))</f>
        <v/>
      </c>
      <c r="P4002" s="52">
        <f>IF(OR(B4002="",G4002=""),"",IF(C4002="","Gasto",C4002))</f>
        <v/>
      </c>
      <c r="Q4002" s="52">
        <f>IF(P4002="","",IF(J4002&lt;&gt;"",J4002,CuentaPred&amp;""))</f>
        <v/>
      </c>
      <c r="R4002" s="52">
        <f>IF(P4002="","",IF(ISNUMBER(I4002),I4002,TasaUSD))</f>
        <v/>
      </c>
      <c r="S4002" s="53">
        <f>IF(P4002="","",IF(H4002="USD",G4002*R4002,G4002))</f>
        <v/>
      </c>
      <c r="T4002" s="53">
        <f>IF(P4002="","",IF(H4002="USD",G4002,IF(R4002&gt;0,G4002/R4002,0)))</f>
        <v/>
      </c>
      <c r="U4002" s="53">
        <f>IF(P4002="","",IF(P4002="Gasto",S4002,IF(P4002="Reembolso",-S4002,0)))</f>
        <v/>
      </c>
      <c r="V4002" s="53">
        <f>IF(P4002="","",IF(P4002="Ingreso",S4002,0))</f>
        <v/>
      </c>
      <c r="W4002" s="53">
        <f>IF(P4002="","",IF(P4002="Resultado trading",S4002,0))</f>
        <v/>
      </c>
      <c r="X4002" s="52">
        <f>IF(OR(P4002="Gasto",P4002="Reembolso"),IF(M4002&lt;&gt;"",M4002,IFERROR(INDEX(catClasif,MATCH(D4002&amp;"|"&amp;E4002,catClave,0))&amp;"","Variable")),"")</f>
        <v/>
      </c>
      <c r="Y4002" s="52">
        <f>IF(P4002="","",IFERROR(INDEX(catGrupo,MATCH(D4002&amp;"|"&amp;E4002,catClave,0))&amp;"",""))</f>
        <v/>
      </c>
      <c r="Z4002" s="52">
        <f>IF(P4002="","",WEEKDAY(B4002,2))</f>
        <v/>
      </c>
      <c r="AA4002" s="52">
        <f>IF(P4002="","",IF(AND(P4002="Gasto",X4002="Variable",D4002&lt;&gt;catTrading,S4002&gt;0,S4002&lt;=Umbral),1,0))</f>
        <v/>
      </c>
      <c r="AB4002" s="52">
        <f>IF(OR(P4002="",Q4002=""),"",IFERROR(IF(INDEX(ctaVinc,MATCH(Q4002,ctaNombre,0))&amp;""&lt;&gt;"",INDEX(ctaVinc,MATCH(Q4002,ctaNombre,0))&amp;"",Q4002),Q4002))</f>
        <v/>
      </c>
      <c r="AC4002" s="52">
        <f>IF(OR(K4002="",AND(P4002&lt;&gt;"Transferencia",P4002&lt;&gt;"Pago tarjeta")),"",IFERROR(IF(INDEX(ctaVinc,MATCH(K4002,ctaNombre,0))&amp;""&lt;&gt;"",INDEX(ctaVinc,MATCH(K4002,ctaNombre,0))&amp;"",K4002),K4002))</f>
        <v/>
      </c>
      <c r="AD4002" s="52">
        <f>IF(AB4002="","",IFERROR(INDEX(ctaTipo,MATCH(AB4002,ctaNombre,0))&amp;"",""))</f>
        <v/>
      </c>
      <c r="AE4002" s="52">
        <f>IF(AC4002="","",IFERROR(INDEX(ctaTipo,MATCH(AC4002,ctaNombre,0))&amp;"",""))</f>
        <v/>
      </c>
      <c r="AF4002" s="53">
        <f>IF(OR(P4002="",AB4002=""),"",IF(OR(P4002="Gasto",P4002="Transferencia",P4002="Pago tarjeta"),-1,1)*IF(IFERROR(INDEX(ctaMoneda,MATCH(AB4002,ctaNombre,0))&amp;"","DOP")="USD",T4002,S4002))</f>
        <v/>
      </c>
      <c r="AG4002" s="53">
        <f>IF(AC4002="","",IF(IFERROR(INDEX(ctaMoneda,MATCH(AC4002,ctaNombre,0))&amp;"","DOP")="USD",T4002,S4002))</f>
        <v/>
      </c>
      <c r="AH4002" s="53">
        <f>IF(P4002="","",IF(AND(AD4002&lt;&gt;"",COUNTIFS(tcTipo,AD4002,tcLiq,"Sí")&gt;0),IF(OR(P4002="Gasto",P4002="Transferencia",P4002="Pago tarjeta"),-1,1)*S4002,0)+IF(AND(AE4002&lt;&gt;"",COUNTIFS(tcTipo,AE4002,tcLiq,"Sí")&gt;0),S4002,0))</f>
        <v/>
      </c>
      <c r="AI4002" s="52">
        <f>IF(OR(L4002="",P4002=""),"",IF(COUNTIFS(L$6:L4002,L4002,P$6:P4002,"?*")=1,MAX(AI$5:AI4001)+1,""))</f>
        <v/>
      </c>
    </row>
    <row r="4003">
      <c r="B4003" s="47" t="n"/>
      <c r="C4003" s="48" t="n"/>
      <c r="D4003" s="48" t="n"/>
      <c r="E4003" s="48" t="n"/>
      <c r="F4003" s="48" t="n"/>
      <c r="G4003" s="49" t="n"/>
      <c r="H4003" s="48" t="n"/>
      <c r="I4003" s="50" t="n"/>
      <c r="J4003" s="48" t="n"/>
      <c r="K4003" s="48" t="n"/>
      <c r="L4003" s="48" t="n"/>
      <c r="M4003" s="48" t="n"/>
      <c r="N4003" s="48" t="n"/>
      <c r="O4003" s="51">
        <f>IF(AND(B4003="",G4003="",C4003="",D4003="",J4003=""),"",IF(B4003="","⚠ Falta fecha",IF(G4003="","⚠ Falta monto",IF(Q4003="","⚠ Falta cuenta",IF(ISNA(MATCH(Q4003,ctaNombre,0)),"⚠ Cuenta no registrada",IF(AND(OR(P4003="Gasto",P4003="Reembolso"),D4003=""),"⚠ Falta categoría",IF(AND(D4003&lt;&gt;"",E4003&lt;&gt;"",ISNA(MATCH(D4003&amp;"|"&amp;E4003,catClave,0))),"⚠ Subcategoría no corresponde",IF(AND(OR(P4003="Transferencia",P4003="Pago tarjeta"),K4003=""),"⚠ Falta cuenta destino",IF(AND(K4003&lt;&gt;"",P4003&lt;&gt;"Transferencia",P4003&lt;&gt;"Pago tarjeta"),"⚠ Destino solo aplica a transferencias",IF(AND(K4003&lt;&gt;"",K4003=Q4003),"⚠ Origen igual a destino",IF(AND(K4003&lt;&gt;"",ISNA(MATCH(K4003,ctaNombre,0))),"⚠ Destino no registrado",IF(AND(P4003="Pago tarjeta",AE4003&lt;&gt;"Tarjeta de crédito"),"⚠ El destino debe ser tarjeta de crédito",IF(AND(P4003="Gasto",E4003="Depósitos y retiros"),"⚠ Usa tipo Transferencia",IF(AND(P4003="Resultado trading",AD4003&lt;&gt;"Cuenta de trading"),"⚠ Usa una cuenta de trading",IF(AND(G4003&lt;=0,P4003&lt;&gt;"Ajuste",P4003&lt;&gt;"Resultado trading"),"⚠ El monto debe ser positivo","✓")))))))))))))))</f>
        <v/>
      </c>
      <c r="P4003" s="52">
        <f>IF(OR(B4003="",G4003=""),"",IF(C4003="","Gasto",C4003))</f>
        <v/>
      </c>
      <c r="Q4003" s="52">
        <f>IF(P4003="","",IF(J4003&lt;&gt;"",J4003,CuentaPred&amp;""))</f>
        <v/>
      </c>
      <c r="R4003" s="52">
        <f>IF(P4003="","",IF(ISNUMBER(I4003),I4003,TasaUSD))</f>
        <v/>
      </c>
      <c r="S4003" s="53">
        <f>IF(P4003="","",IF(H4003="USD",G4003*R4003,G4003))</f>
        <v/>
      </c>
      <c r="T4003" s="53">
        <f>IF(P4003="","",IF(H4003="USD",G4003,IF(R4003&gt;0,G4003/R4003,0)))</f>
        <v/>
      </c>
      <c r="U4003" s="53">
        <f>IF(P4003="","",IF(P4003="Gasto",S4003,IF(P4003="Reembolso",-S4003,0)))</f>
        <v/>
      </c>
      <c r="V4003" s="53">
        <f>IF(P4003="","",IF(P4003="Ingreso",S4003,0))</f>
        <v/>
      </c>
      <c r="W4003" s="53">
        <f>IF(P4003="","",IF(P4003="Resultado trading",S4003,0))</f>
        <v/>
      </c>
      <c r="X4003" s="52">
        <f>IF(OR(P4003="Gasto",P4003="Reembolso"),IF(M4003&lt;&gt;"",M4003,IFERROR(INDEX(catClasif,MATCH(D4003&amp;"|"&amp;E4003,catClave,0))&amp;"","Variable")),"")</f>
        <v/>
      </c>
      <c r="Y4003" s="52">
        <f>IF(P4003="","",IFERROR(INDEX(catGrupo,MATCH(D4003&amp;"|"&amp;E4003,catClave,0))&amp;"",""))</f>
        <v/>
      </c>
      <c r="Z4003" s="52">
        <f>IF(P4003="","",WEEKDAY(B4003,2))</f>
        <v/>
      </c>
      <c r="AA4003" s="52">
        <f>IF(P4003="","",IF(AND(P4003="Gasto",X4003="Variable",D4003&lt;&gt;catTrading,S4003&gt;0,S4003&lt;=Umbral),1,0))</f>
        <v/>
      </c>
      <c r="AB4003" s="52">
        <f>IF(OR(P4003="",Q4003=""),"",IFERROR(IF(INDEX(ctaVinc,MATCH(Q4003,ctaNombre,0))&amp;""&lt;&gt;"",INDEX(ctaVinc,MATCH(Q4003,ctaNombre,0))&amp;"",Q4003),Q4003))</f>
        <v/>
      </c>
      <c r="AC4003" s="52">
        <f>IF(OR(K4003="",AND(P4003&lt;&gt;"Transferencia",P4003&lt;&gt;"Pago tarjeta")),"",IFERROR(IF(INDEX(ctaVinc,MATCH(K4003,ctaNombre,0))&amp;""&lt;&gt;"",INDEX(ctaVinc,MATCH(K4003,ctaNombre,0))&amp;"",K4003),K4003))</f>
        <v/>
      </c>
      <c r="AD4003" s="52">
        <f>IF(AB4003="","",IFERROR(INDEX(ctaTipo,MATCH(AB4003,ctaNombre,0))&amp;"",""))</f>
        <v/>
      </c>
      <c r="AE4003" s="52">
        <f>IF(AC4003="","",IFERROR(INDEX(ctaTipo,MATCH(AC4003,ctaNombre,0))&amp;"",""))</f>
        <v/>
      </c>
      <c r="AF4003" s="53">
        <f>IF(OR(P4003="",AB4003=""),"",IF(OR(P4003="Gasto",P4003="Transferencia",P4003="Pago tarjeta"),-1,1)*IF(IFERROR(INDEX(ctaMoneda,MATCH(AB4003,ctaNombre,0))&amp;"","DOP")="USD",T4003,S4003))</f>
        <v/>
      </c>
      <c r="AG4003" s="53">
        <f>IF(AC4003="","",IF(IFERROR(INDEX(ctaMoneda,MATCH(AC4003,ctaNombre,0))&amp;"","DOP")="USD",T4003,S4003))</f>
        <v/>
      </c>
      <c r="AH4003" s="53">
        <f>IF(P4003="","",IF(AND(AD4003&lt;&gt;"",COUNTIFS(tcTipo,AD4003,tcLiq,"Sí")&gt;0),IF(OR(P4003="Gasto",P4003="Transferencia",P4003="Pago tarjeta"),-1,1)*S4003,0)+IF(AND(AE4003&lt;&gt;"",COUNTIFS(tcTipo,AE4003,tcLiq,"Sí")&gt;0),S4003,0))</f>
        <v/>
      </c>
      <c r="AI4003" s="52">
        <f>IF(OR(L4003="",P4003=""),"",IF(COUNTIFS(L$6:L4003,L4003,P$6:P4003,"?*")=1,MAX(AI$5:AI4002)+1,""))</f>
        <v/>
      </c>
    </row>
    <row r="4004">
      <c r="B4004" s="47" t="n"/>
      <c r="C4004" s="48" t="n"/>
      <c r="D4004" s="48" t="n"/>
      <c r="E4004" s="48" t="n"/>
      <c r="F4004" s="48" t="n"/>
      <c r="G4004" s="49" t="n"/>
      <c r="H4004" s="48" t="n"/>
      <c r="I4004" s="50" t="n"/>
      <c r="J4004" s="48" t="n"/>
      <c r="K4004" s="48" t="n"/>
      <c r="L4004" s="48" t="n"/>
      <c r="M4004" s="48" t="n"/>
      <c r="N4004" s="48" t="n"/>
      <c r="O4004" s="51">
        <f>IF(AND(B4004="",G4004="",C4004="",D4004="",J4004=""),"",IF(B4004="","⚠ Falta fecha",IF(G4004="","⚠ Falta monto",IF(Q4004="","⚠ Falta cuenta",IF(ISNA(MATCH(Q4004,ctaNombre,0)),"⚠ Cuenta no registrada",IF(AND(OR(P4004="Gasto",P4004="Reembolso"),D4004=""),"⚠ Falta categoría",IF(AND(D4004&lt;&gt;"",E4004&lt;&gt;"",ISNA(MATCH(D4004&amp;"|"&amp;E4004,catClave,0))),"⚠ Subcategoría no corresponde",IF(AND(OR(P4004="Transferencia",P4004="Pago tarjeta"),K4004=""),"⚠ Falta cuenta destino",IF(AND(K4004&lt;&gt;"",P4004&lt;&gt;"Transferencia",P4004&lt;&gt;"Pago tarjeta"),"⚠ Destino solo aplica a transferencias",IF(AND(K4004&lt;&gt;"",K4004=Q4004),"⚠ Origen igual a destino",IF(AND(K4004&lt;&gt;"",ISNA(MATCH(K4004,ctaNombre,0))),"⚠ Destino no registrado",IF(AND(P4004="Pago tarjeta",AE4004&lt;&gt;"Tarjeta de crédito"),"⚠ El destino debe ser tarjeta de crédito",IF(AND(P4004="Gasto",E4004="Depósitos y retiros"),"⚠ Usa tipo Transferencia",IF(AND(P4004="Resultado trading",AD4004&lt;&gt;"Cuenta de trading"),"⚠ Usa una cuenta de trading",IF(AND(G4004&lt;=0,P4004&lt;&gt;"Ajuste",P4004&lt;&gt;"Resultado trading"),"⚠ El monto debe ser positivo","✓")))))))))))))))</f>
        <v/>
      </c>
      <c r="P4004" s="52">
        <f>IF(OR(B4004="",G4004=""),"",IF(C4004="","Gasto",C4004))</f>
        <v/>
      </c>
      <c r="Q4004" s="52">
        <f>IF(P4004="","",IF(J4004&lt;&gt;"",J4004,CuentaPred&amp;""))</f>
        <v/>
      </c>
      <c r="R4004" s="52">
        <f>IF(P4004="","",IF(ISNUMBER(I4004),I4004,TasaUSD))</f>
        <v/>
      </c>
      <c r="S4004" s="53">
        <f>IF(P4004="","",IF(H4004="USD",G4004*R4004,G4004))</f>
        <v/>
      </c>
      <c r="T4004" s="53">
        <f>IF(P4004="","",IF(H4004="USD",G4004,IF(R4004&gt;0,G4004/R4004,0)))</f>
        <v/>
      </c>
      <c r="U4004" s="53">
        <f>IF(P4004="","",IF(P4004="Gasto",S4004,IF(P4004="Reembolso",-S4004,0)))</f>
        <v/>
      </c>
      <c r="V4004" s="53">
        <f>IF(P4004="","",IF(P4004="Ingreso",S4004,0))</f>
        <v/>
      </c>
      <c r="W4004" s="53">
        <f>IF(P4004="","",IF(P4004="Resultado trading",S4004,0))</f>
        <v/>
      </c>
      <c r="X4004" s="52">
        <f>IF(OR(P4004="Gasto",P4004="Reembolso"),IF(M4004&lt;&gt;"",M4004,IFERROR(INDEX(catClasif,MATCH(D4004&amp;"|"&amp;E4004,catClave,0))&amp;"","Variable")),"")</f>
        <v/>
      </c>
      <c r="Y4004" s="52">
        <f>IF(P4004="","",IFERROR(INDEX(catGrupo,MATCH(D4004&amp;"|"&amp;E4004,catClave,0))&amp;"",""))</f>
        <v/>
      </c>
      <c r="Z4004" s="52">
        <f>IF(P4004="","",WEEKDAY(B4004,2))</f>
        <v/>
      </c>
      <c r="AA4004" s="52">
        <f>IF(P4004="","",IF(AND(P4004="Gasto",X4004="Variable",D4004&lt;&gt;catTrading,S4004&gt;0,S4004&lt;=Umbral),1,0))</f>
        <v/>
      </c>
      <c r="AB4004" s="52">
        <f>IF(OR(P4004="",Q4004=""),"",IFERROR(IF(INDEX(ctaVinc,MATCH(Q4004,ctaNombre,0))&amp;""&lt;&gt;"",INDEX(ctaVinc,MATCH(Q4004,ctaNombre,0))&amp;"",Q4004),Q4004))</f>
        <v/>
      </c>
      <c r="AC4004" s="52">
        <f>IF(OR(K4004="",AND(P4004&lt;&gt;"Transferencia",P4004&lt;&gt;"Pago tarjeta")),"",IFERROR(IF(INDEX(ctaVinc,MATCH(K4004,ctaNombre,0))&amp;""&lt;&gt;"",INDEX(ctaVinc,MATCH(K4004,ctaNombre,0))&amp;"",K4004),K4004))</f>
        <v/>
      </c>
      <c r="AD4004" s="52">
        <f>IF(AB4004="","",IFERROR(INDEX(ctaTipo,MATCH(AB4004,ctaNombre,0))&amp;"",""))</f>
        <v/>
      </c>
      <c r="AE4004" s="52">
        <f>IF(AC4004="","",IFERROR(INDEX(ctaTipo,MATCH(AC4004,ctaNombre,0))&amp;"",""))</f>
        <v/>
      </c>
      <c r="AF4004" s="53">
        <f>IF(OR(P4004="",AB4004=""),"",IF(OR(P4004="Gasto",P4004="Transferencia",P4004="Pago tarjeta"),-1,1)*IF(IFERROR(INDEX(ctaMoneda,MATCH(AB4004,ctaNombre,0))&amp;"","DOP")="USD",T4004,S4004))</f>
        <v/>
      </c>
      <c r="AG4004" s="53">
        <f>IF(AC4004="","",IF(IFERROR(INDEX(ctaMoneda,MATCH(AC4004,ctaNombre,0))&amp;"","DOP")="USD",T4004,S4004))</f>
        <v/>
      </c>
      <c r="AH4004" s="53">
        <f>IF(P4004="","",IF(AND(AD4004&lt;&gt;"",COUNTIFS(tcTipo,AD4004,tcLiq,"Sí")&gt;0),IF(OR(P4004="Gasto",P4004="Transferencia",P4004="Pago tarjeta"),-1,1)*S4004,0)+IF(AND(AE4004&lt;&gt;"",COUNTIFS(tcTipo,AE4004,tcLiq,"Sí")&gt;0),S4004,0))</f>
        <v/>
      </c>
      <c r="AI4004" s="52">
        <f>IF(OR(L4004="",P4004=""),"",IF(COUNTIFS(L$6:L4004,L4004,P$6:P4004,"?*")=1,MAX(AI$5:AI4003)+1,""))</f>
        <v/>
      </c>
    </row>
    <row r="4005">
      <c r="B4005" s="47" t="n"/>
      <c r="C4005" s="48" t="n"/>
      <c r="D4005" s="48" t="n"/>
      <c r="E4005" s="48" t="n"/>
      <c r="F4005" s="48" t="n"/>
      <c r="G4005" s="49" t="n"/>
      <c r="H4005" s="48" t="n"/>
      <c r="I4005" s="50" t="n"/>
      <c r="J4005" s="48" t="n"/>
      <c r="K4005" s="48" t="n"/>
      <c r="L4005" s="48" t="n"/>
      <c r="M4005" s="48" t="n"/>
      <c r="N4005" s="48" t="n"/>
      <c r="O4005" s="51">
        <f>IF(AND(B4005="",G4005="",C4005="",D4005="",J4005=""),"",IF(B4005="","⚠ Falta fecha",IF(G4005="","⚠ Falta monto",IF(Q4005="","⚠ Falta cuenta",IF(ISNA(MATCH(Q4005,ctaNombre,0)),"⚠ Cuenta no registrada",IF(AND(OR(P4005="Gasto",P4005="Reembolso"),D4005=""),"⚠ Falta categoría",IF(AND(D4005&lt;&gt;"",E4005&lt;&gt;"",ISNA(MATCH(D4005&amp;"|"&amp;E4005,catClave,0))),"⚠ Subcategoría no corresponde",IF(AND(OR(P4005="Transferencia",P4005="Pago tarjeta"),K4005=""),"⚠ Falta cuenta destino",IF(AND(K4005&lt;&gt;"",P4005&lt;&gt;"Transferencia",P4005&lt;&gt;"Pago tarjeta"),"⚠ Destino solo aplica a transferencias",IF(AND(K4005&lt;&gt;"",K4005=Q4005),"⚠ Origen igual a destino",IF(AND(K4005&lt;&gt;"",ISNA(MATCH(K4005,ctaNombre,0))),"⚠ Destino no registrado",IF(AND(P4005="Pago tarjeta",AE4005&lt;&gt;"Tarjeta de crédito"),"⚠ El destino debe ser tarjeta de crédito",IF(AND(P4005="Gasto",E4005="Depósitos y retiros"),"⚠ Usa tipo Transferencia",IF(AND(P4005="Resultado trading",AD4005&lt;&gt;"Cuenta de trading"),"⚠ Usa una cuenta de trading",IF(AND(G4005&lt;=0,P4005&lt;&gt;"Ajuste",P4005&lt;&gt;"Resultado trading"),"⚠ El monto debe ser positivo","✓")))))))))))))))</f>
        <v/>
      </c>
      <c r="P4005" s="52">
        <f>IF(OR(B4005="",G4005=""),"",IF(C4005="","Gasto",C4005))</f>
        <v/>
      </c>
      <c r="Q4005" s="52">
        <f>IF(P4005="","",IF(J4005&lt;&gt;"",J4005,CuentaPred&amp;""))</f>
        <v/>
      </c>
      <c r="R4005" s="52">
        <f>IF(P4005="","",IF(ISNUMBER(I4005),I4005,TasaUSD))</f>
        <v/>
      </c>
      <c r="S4005" s="53">
        <f>IF(P4005="","",IF(H4005="USD",G4005*R4005,G4005))</f>
        <v/>
      </c>
      <c r="T4005" s="53">
        <f>IF(P4005="","",IF(H4005="USD",G4005,IF(R4005&gt;0,G4005/R4005,0)))</f>
        <v/>
      </c>
      <c r="U4005" s="53">
        <f>IF(P4005="","",IF(P4005="Gasto",S4005,IF(P4005="Reembolso",-S4005,0)))</f>
        <v/>
      </c>
      <c r="V4005" s="53">
        <f>IF(P4005="","",IF(P4005="Ingreso",S4005,0))</f>
        <v/>
      </c>
      <c r="W4005" s="53">
        <f>IF(P4005="","",IF(P4005="Resultado trading",S4005,0))</f>
        <v/>
      </c>
      <c r="X4005" s="52">
        <f>IF(OR(P4005="Gasto",P4005="Reembolso"),IF(M4005&lt;&gt;"",M4005,IFERROR(INDEX(catClasif,MATCH(D4005&amp;"|"&amp;E4005,catClave,0))&amp;"","Variable")),"")</f>
        <v/>
      </c>
      <c r="Y4005" s="52">
        <f>IF(P4005="","",IFERROR(INDEX(catGrupo,MATCH(D4005&amp;"|"&amp;E4005,catClave,0))&amp;"",""))</f>
        <v/>
      </c>
      <c r="Z4005" s="52">
        <f>IF(P4005="","",WEEKDAY(B4005,2))</f>
        <v/>
      </c>
      <c r="AA4005" s="52">
        <f>IF(P4005="","",IF(AND(P4005="Gasto",X4005="Variable",D4005&lt;&gt;catTrading,S4005&gt;0,S4005&lt;=Umbral),1,0))</f>
        <v/>
      </c>
      <c r="AB4005" s="52">
        <f>IF(OR(P4005="",Q4005=""),"",IFERROR(IF(INDEX(ctaVinc,MATCH(Q4005,ctaNombre,0))&amp;""&lt;&gt;"",INDEX(ctaVinc,MATCH(Q4005,ctaNombre,0))&amp;"",Q4005),Q4005))</f>
        <v/>
      </c>
      <c r="AC4005" s="52">
        <f>IF(OR(K4005="",AND(P4005&lt;&gt;"Transferencia",P4005&lt;&gt;"Pago tarjeta")),"",IFERROR(IF(INDEX(ctaVinc,MATCH(K4005,ctaNombre,0))&amp;""&lt;&gt;"",INDEX(ctaVinc,MATCH(K4005,ctaNombre,0))&amp;"",K4005),K4005))</f>
        <v/>
      </c>
      <c r="AD4005" s="52">
        <f>IF(AB4005="","",IFERROR(INDEX(ctaTipo,MATCH(AB4005,ctaNombre,0))&amp;"",""))</f>
        <v/>
      </c>
      <c r="AE4005" s="52">
        <f>IF(AC4005="","",IFERROR(INDEX(ctaTipo,MATCH(AC4005,ctaNombre,0))&amp;"",""))</f>
        <v/>
      </c>
      <c r="AF4005" s="53">
        <f>IF(OR(P4005="",AB4005=""),"",IF(OR(P4005="Gasto",P4005="Transferencia",P4005="Pago tarjeta"),-1,1)*IF(IFERROR(INDEX(ctaMoneda,MATCH(AB4005,ctaNombre,0))&amp;"","DOP")="USD",T4005,S4005))</f>
        <v/>
      </c>
      <c r="AG4005" s="53">
        <f>IF(AC4005="","",IF(IFERROR(INDEX(ctaMoneda,MATCH(AC4005,ctaNombre,0))&amp;"","DOP")="USD",T4005,S4005))</f>
        <v/>
      </c>
      <c r="AH4005" s="53">
        <f>IF(P4005="","",IF(AND(AD4005&lt;&gt;"",COUNTIFS(tcTipo,AD4005,tcLiq,"Sí")&gt;0),IF(OR(P4005="Gasto",P4005="Transferencia",P4005="Pago tarjeta"),-1,1)*S4005,0)+IF(AND(AE4005&lt;&gt;"",COUNTIFS(tcTipo,AE4005,tcLiq,"Sí")&gt;0),S4005,0))</f>
        <v/>
      </c>
      <c r="AI4005" s="52">
        <f>IF(OR(L4005="",P4005=""),"",IF(COUNTIFS(L$6:L4005,L4005,P$6:P4005,"?*")=1,MAX(AI$5:AI4004)+1,""))</f>
        <v/>
      </c>
    </row>
    <row r="4006">
      <c r="B4006" s="47" t="n"/>
      <c r="C4006" s="48" t="n"/>
      <c r="D4006" s="48" t="n"/>
      <c r="E4006" s="48" t="n"/>
      <c r="F4006" s="48" t="n"/>
      <c r="G4006" s="49" t="n"/>
      <c r="H4006" s="48" t="n"/>
      <c r="I4006" s="50" t="n"/>
      <c r="J4006" s="48" t="n"/>
      <c r="K4006" s="48" t="n"/>
      <c r="L4006" s="48" t="n"/>
      <c r="M4006" s="48" t="n"/>
      <c r="N4006" s="48" t="n"/>
      <c r="O4006" s="51">
        <f>IF(AND(B4006="",G4006="",C4006="",D4006="",J4006=""),"",IF(B4006="","⚠ Falta fecha",IF(G4006="","⚠ Falta monto",IF(Q4006="","⚠ Falta cuenta",IF(ISNA(MATCH(Q4006,ctaNombre,0)),"⚠ Cuenta no registrada",IF(AND(OR(P4006="Gasto",P4006="Reembolso"),D4006=""),"⚠ Falta categoría",IF(AND(D4006&lt;&gt;"",E4006&lt;&gt;"",ISNA(MATCH(D4006&amp;"|"&amp;E4006,catClave,0))),"⚠ Subcategoría no corresponde",IF(AND(OR(P4006="Transferencia",P4006="Pago tarjeta"),K4006=""),"⚠ Falta cuenta destino",IF(AND(K4006&lt;&gt;"",P4006&lt;&gt;"Transferencia",P4006&lt;&gt;"Pago tarjeta"),"⚠ Destino solo aplica a transferencias",IF(AND(K4006&lt;&gt;"",K4006=Q4006),"⚠ Origen igual a destino",IF(AND(K4006&lt;&gt;"",ISNA(MATCH(K4006,ctaNombre,0))),"⚠ Destino no registrado",IF(AND(P4006="Pago tarjeta",AE4006&lt;&gt;"Tarjeta de crédito"),"⚠ El destino debe ser tarjeta de crédito",IF(AND(P4006="Gasto",E4006="Depósitos y retiros"),"⚠ Usa tipo Transferencia",IF(AND(P4006="Resultado trading",AD4006&lt;&gt;"Cuenta de trading"),"⚠ Usa una cuenta de trading",IF(AND(G4006&lt;=0,P4006&lt;&gt;"Ajuste",P4006&lt;&gt;"Resultado trading"),"⚠ El monto debe ser positivo","✓")))))))))))))))</f>
        <v/>
      </c>
      <c r="P4006" s="52">
        <f>IF(OR(B4006="",G4006=""),"",IF(C4006="","Gasto",C4006))</f>
        <v/>
      </c>
      <c r="Q4006" s="52">
        <f>IF(P4006="","",IF(J4006&lt;&gt;"",J4006,CuentaPred&amp;""))</f>
        <v/>
      </c>
      <c r="R4006" s="52">
        <f>IF(P4006="","",IF(ISNUMBER(I4006),I4006,TasaUSD))</f>
        <v/>
      </c>
      <c r="S4006" s="53">
        <f>IF(P4006="","",IF(H4006="USD",G4006*R4006,G4006))</f>
        <v/>
      </c>
      <c r="T4006" s="53">
        <f>IF(P4006="","",IF(H4006="USD",G4006,IF(R4006&gt;0,G4006/R4006,0)))</f>
        <v/>
      </c>
      <c r="U4006" s="53">
        <f>IF(P4006="","",IF(P4006="Gasto",S4006,IF(P4006="Reembolso",-S4006,0)))</f>
        <v/>
      </c>
      <c r="V4006" s="53">
        <f>IF(P4006="","",IF(P4006="Ingreso",S4006,0))</f>
        <v/>
      </c>
      <c r="W4006" s="53">
        <f>IF(P4006="","",IF(P4006="Resultado trading",S4006,0))</f>
        <v/>
      </c>
      <c r="X4006" s="52">
        <f>IF(OR(P4006="Gasto",P4006="Reembolso"),IF(M4006&lt;&gt;"",M4006,IFERROR(INDEX(catClasif,MATCH(D4006&amp;"|"&amp;E4006,catClave,0))&amp;"","Variable")),"")</f>
        <v/>
      </c>
      <c r="Y4006" s="52">
        <f>IF(P4006="","",IFERROR(INDEX(catGrupo,MATCH(D4006&amp;"|"&amp;E4006,catClave,0))&amp;"",""))</f>
        <v/>
      </c>
      <c r="Z4006" s="52">
        <f>IF(P4006="","",WEEKDAY(B4006,2))</f>
        <v/>
      </c>
      <c r="AA4006" s="52">
        <f>IF(P4006="","",IF(AND(P4006="Gasto",X4006="Variable",D4006&lt;&gt;catTrading,S4006&gt;0,S4006&lt;=Umbral),1,0))</f>
        <v/>
      </c>
      <c r="AB4006" s="52">
        <f>IF(OR(P4006="",Q4006=""),"",IFERROR(IF(INDEX(ctaVinc,MATCH(Q4006,ctaNombre,0))&amp;""&lt;&gt;"",INDEX(ctaVinc,MATCH(Q4006,ctaNombre,0))&amp;"",Q4006),Q4006))</f>
        <v/>
      </c>
      <c r="AC4006" s="52">
        <f>IF(OR(K4006="",AND(P4006&lt;&gt;"Transferencia",P4006&lt;&gt;"Pago tarjeta")),"",IFERROR(IF(INDEX(ctaVinc,MATCH(K4006,ctaNombre,0))&amp;""&lt;&gt;"",INDEX(ctaVinc,MATCH(K4006,ctaNombre,0))&amp;"",K4006),K4006))</f>
        <v/>
      </c>
      <c r="AD4006" s="52">
        <f>IF(AB4006="","",IFERROR(INDEX(ctaTipo,MATCH(AB4006,ctaNombre,0))&amp;"",""))</f>
        <v/>
      </c>
      <c r="AE4006" s="52">
        <f>IF(AC4006="","",IFERROR(INDEX(ctaTipo,MATCH(AC4006,ctaNombre,0))&amp;"",""))</f>
        <v/>
      </c>
      <c r="AF4006" s="53">
        <f>IF(OR(P4006="",AB4006=""),"",IF(OR(P4006="Gasto",P4006="Transferencia",P4006="Pago tarjeta"),-1,1)*IF(IFERROR(INDEX(ctaMoneda,MATCH(AB4006,ctaNombre,0))&amp;"","DOP")="USD",T4006,S4006))</f>
        <v/>
      </c>
      <c r="AG4006" s="53">
        <f>IF(AC4006="","",IF(IFERROR(INDEX(ctaMoneda,MATCH(AC4006,ctaNombre,0))&amp;"","DOP")="USD",T4006,S4006))</f>
        <v/>
      </c>
      <c r="AH4006" s="53">
        <f>IF(P4006="","",IF(AND(AD4006&lt;&gt;"",COUNTIFS(tcTipo,AD4006,tcLiq,"Sí")&gt;0),IF(OR(P4006="Gasto",P4006="Transferencia",P4006="Pago tarjeta"),-1,1)*S4006,0)+IF(AND(AE4006&lt;&gt;"",COUNTIFS(tcTipo,AE4006,tcLiq,"Sí")&gt;0),S4006,0))</f>
        <v/>
      </c>
      <c r="AI4006" s="52">
        <f>IF(OR(L4006="",P4006=""),"",IF(COUNTIFS(L$6:L4006,L4006,P$6:P4006,"?*")=1,MAX(AI$5:AI4005)+1,""))</f>
        <v/>
      </c>
    </row>
    <row r="4007">
      <c r="B4007" s="47" t="n"/>
      <c r="C4007" s="48" t="n"/>
      <c r="D4007" s="48" t="n"/>
      <c r="E4007" s="48" t="n"/>
      <c r="F4007" s="48" t="n"/>
      <c r="G4007" s="49" t="n"/>
      <c r="H4007" s="48" t="n"/>
      <c r="I4007" s="50" t="n"/>
      <c r="J4007" s="48" t="n"/>
      <c r="K4007" s="48" t="n"/>
      <c r="L4007" s="48" t="n"/>
      <c r="M4007" s="48" t="n"/>
      <c r="N4007" s="48" t="n"/>
      <c r="O4007" s="51">
        <f>IF(AND(B4007="",G4007="",C4007="",D4007="",J4007=""),"",IF(B4007="","⚠ Falta fecha",IF(G4007="","⚠ Falta monto",IF(Q4007="","⚠ Falta cuenta",IF(ISNA(MATCH(Q4007,ctaNombre,0)),"⚠ Cuenta no registrada",IF(AND(OR(P4007="Gasto",P4007="Reembolso"),D4007=""),"⚠ Falta categoría",IF(AND(D4007&lt;&gt;"",E4007&lt;&gt;"",ISNA(MATCH(D4007&amp;"|"&amp;E4007,catClave,0))),"⚠ Subcategoría no corresponde",IF(AND(OR(P4007="Transferencia",P4007="Pago tarjeta"),K4007=""),"⚠ Falta cuenta destino",IF(AND(K4007&lt;&gt;"",P4007&lt;&gt;"Transferencia",P4007&lt;&gt;"Pago tarjeta"),"⚠ Destino solo aplica a transferencias",IF(AND(K4007&lt;&gt;"",K4007=Q4007),"⚠ Origen igual a destino",IF(AND(K4007&lt;&gt;"",ISNA(MATCH(K4007,ctaNombre,0))),"⚠ Destino no registrado",IF(AND(P4007="Pago tarjeta",AE4007&lt;&gt;"Tarjeta de crédito"),"⚠ El destino debe ser tarjeta de crédito",IF(AND(P4007="Gasto",E4007="Depósitos y retiros"),"⚠ Usa tipo Transferencia",IF(AND(P4007="Resultado trading",AD4007&lt;&gt;"Cuenta de trading"),"⚠ Usa una cuenta de trading",IF(AND(G4007&lt;=0,P4007&lt;&gt;"Ajuste",P4007&lt;&gt;"Resultado trading"),"⚠ El monto debe ser positivo","✓")))))))))))))))</f>
        <v/>
      </c>
      <c r="P4007" s="52">
        <f>IF(OR(B4007="",G4007=""),"",IF(C4007="","Gasto",C4007))</f>
        <v/>
      </c>
      <c r="Q4007" s="52">
        <f>IF(P4007="","",IF(J4007&lt;&gt;"",J4007,CuentaPred&amp;""))</f>
        <v/>
      </c>
      <c r="R4007" s="52">
        <f>IF(P4007="","",IF(ISNUMBER(I4007),I4007,TasaUSD))</f>
        <v/>
      </c>
      <c r="S4007" s="53">
        <f>IF(P4007="","",IF(H4007="USD",G4007*R4007,G4007))</f>
        <v/>
      </c>
      <c r="T4007" s="53">
        <f>IF(P4007="","",IF(H4007="USD",G4007,IF(R4007&gt;0,G4007/R4007,0)))</f>
        <v/>
      </c>
      <c r="U4007" s="53">
        <f>IF(P4007="","",IF(P4007="Gasto",S4007,IF(P4007="Reembolso",-S4007,0)))</f>
        <v/>
      </c>
      <c r="V4007" s="53">
        <f>IF(P4007="","",IF(P4007="Ingreso",S4007,0))</f>
        <v/>
      </c>
      <c r="W4007" s="53">
        <f>IF(P4007="","",IF(P4007="Resultado trading",S4007,0))</f>
        <v/>
      </c>
      <c r="X4007" s="52">
        <f>IF(OR(P4007="Gasto",P4007="Reembolso"),IF(M4007&lt;&gt;"",M4007,IFERROR(INDEX(catClasif,MATCH(D4007&amp;"|"&amp;E4007,catClave,0))&amp;"","Variable")),"")</f>
        <v/>
      </c>
      <c r="Y4007" s="52">
        <f>IF(P4007="","",IFERROR(INDEX(catGrupo,MATCH(D4007&amp;"|"&amp;E4007,catClave,0))&amp;"",""))</f>
        <v/>
      </c>
      <c r="Z4007" s="52">
        <f>IF(P4007="","",WEEKDAY(B4007,2))</f>
        <v/>
      </c>
      <c r="AA4007" s="52">
        <f>IF(P4007="","",IF(AND(P4007="Gasto",X4007="Variable",D4007&lt;&gt;catTrading,S4007&gt;0,S4007&lt;=Umbral),1,0))</f>
        <v/>
      </c>
      <c r="AB4007" s="52">
        <f>IF(OR(P4007="",Q4007=""),"",IFERROR(IF(INDEX(ctaVinc,MATCH(Q4007,ctaNombre,0))&amp;""&lt;&gt;"",INDEX(ctaVinc,MATCH(Q4007,ctaNombre,0))&amp;"",Q4007),Q4007))</f>
        <v/>
      </c>
      <c r="AC4007" s="52">
        <f>IF(OR(K4007="",AND(P4007&lt;&gt;"Transferencia",P4007&lt;&gt;"Pago tarjeta")),"",IFERROR(IF(INDEX(ctaVinc,MATCH(K4007,ctaNombre,0))&amp;""&lt;&gt;"",INDEX(ctaVinc,MATCH(K4007,ctaNombre,0))&amp;"",K4007),K4007))</f>
        <v/>
      </c>
      <c r="AD4007" s="52">
        <f>IF(AB4007="","",IFERROR(INDEX(ctaTipo,MATCH(AB4007,ctaNombre,0))&amp;"",""))</f>
        <v/>
      </c>
      <c r="AE4007" s="52">
        <f>IF(AC4007="","",IFERROR(INDEX(ctaTipo,MATCH(AC4007,ctaNombre,0))&amp;"",""))</f>
        <v/>
      </c>
      <c r="AF4007" s="53">
        <f>IF(OR(P4007="",AB4007=""),"",IF(OR(P4007="Gasto",P4007="Transferencia",P4007="Pago tarjeta"),-1,1)*IF(IFERROR(INDEX(ctaMoneda,MATCH(AB4007,ctaNombre,0))&amp;"","DOP")="USD",T4007,S4007))</f>
        <v/>
      </c>
      <c r="AG4007" s="53">
        <f>IF(AC4007="","",IF(IFERROR(INDEX(ctaMoneda,MATCH(AC4007,ctaNombre,0))&amp;"","DOP")="USD",T4007,S4007))</f>
        <v/>
      </c>
      <c r="AH4007" s="53">
        <f>IF(P4007="","",IF(AND(AD4007&lt;&gt;"",COUNTIFS(tcTipo,AD4007,tcLiq,"Sí")&gt;0),IF(OR(P4007="Gasto",P4007="Transferencia",P4007="Pago tarjeta"),-1,1)*S4007,0)+IF(AND(AE4007&lt;&gt;"",COUNTIFS(tcTipo,AE4007,tcLiq,"Sí")&gt;0),S4007,0))</f>
        <v/>
      </c>
      <c r="AI4007" s="52">
        <f>IF(OR(L4007="",P4007=""),"",IF(COUNTIFS(L$6:L4007,L4007,P$6:P4007,"?*")=1,MAX(AI$5:AI4006)+1,""))</f>
        <v/>
      </c>
    </row>
    <row r="4008">
      <c r="B4008" s="47" t="n"/>
      <c r="C4008" s="48" t="n"/>
      <c r="D4008" s="48" t="n"/>
      <c r="E4008" s="48" t="n"/>
      <c r="F4008" s="48" t="n"/>
      <c r="G4008" s="49" t="n"/>
      <c r="H4008" s="48" t="n"/>
      <c r="I4008" s="50" t="n"/>
      <c r="J4008" s="48" t="n"/>
      <c r="K4008" s="48" t="n"/>
      <c r="L4008" s="48" t="n"/>
      <c r="M4008" s="48" t="n"/>
      <c r="N4008" s="48" t="n"/>
      <c r="O4008" s="51">
        <f>IF(AND(B4008="",G4008="",C4008="",D4008="",J4008=""),"",IF(B4008="","⚠ Falta fecha",IF(G4008="","⚠ Falta monto",IF(Q4008="","⚠ Falta cuenta",IF(ISNA(MATCH(Q4008,ctaNombre,0)),"⚠ Cuenta no registrada",IF(AND(OR(P4008="Gasto",P4008="Reembolso"),D4008=""),"⚠ Falta categoría",IF(AND(D4008&lt;&gt;"",E4008&lt;&gt;"",ISNA(MATCH(D4008&amp;"|"&amp;E4008,catClave,0))),"⚠ Subcategoría no corresponde",IF(AND(OR(P4008="Transferencia",P4008="Pago tarjeta"),K4008=""),"⚠ Falta cuenta destino",IF(AND(K4008&lt;&gt;"",P4008&lt;&gt;"Transferencia",P4008&lt;&gt;"Pago tarjeta"),"⚠ Destino solo aplica a transferencias",IF(AND(K4008&lt;&gt;"",K4008=Q4008),"⚠ Origen igual a destino",IF(AND(K4008&lt;&gt;"",ISNA(MATCH(K4008,ctaNombre,0))),"⚠ Destino no registrado",IF(AND(P4008="Pago tarjeta",AE4008&lt;&gt;"Tarjeta de crédito"),"⚠ El destino debe ser tarjeta de crédito",IF(AND(P4008="Gasto",E4008="Depósitos y retiros"),"⚠ Usa tipo Transferencia",IF(AND(P4008="Resultado trading",AD4008&lt;&gt;"Cuenta de trading"),"⚠ Usa una cuenta de trading",IF(AND(G4008&lt;=0,P4008&lt;&gt;"Ajuste",P4008&lt;&gt;"Resultado trading"),"⚠ El monto debe ser positivo","✓")))))))))))))))</f>
        <v/>
      </c>
      <c r="P4008" s="52">
        <f>IF(OR(B4008="",G4008=""),"",IF(C4008="","Gasto",C4008))</f>
        <v/>
      </c>
      <c r="Q4008" s="52">
        <f>IF(P4008="","",IF(J4008&lt;&gt;"",J4008,CuentaPred&amp;""))</f>
        <v/>
      </c>
      <c r="R4008" s="52">
        <f>IF(P4008="","",IF(ISNUMBER(I4008),I4008,TasaUSD))</f>
        <v/>
      </c>
      <c r="S4008" s="53">
        <f>IF(P4008="","",IF(H4008="USD",G4008*R4008,G4008))</f>
        <v/>
      </c>
      <c r="T4008" s="53">
        <f>IF(P4008="","",IF(H4008="USD",G4008,IF(R4008&gt;0,G4008/R4008,0)))</f>
        <v/>
      </c>
      <c r="U4008" s="53">
        <f>IF(P4008="","",IF(P4008="Gasto",S4008,IF(P4008="Reembolso",-S4008,0)))</f>
        <v/>
      </c>
      <c r="V4008" s="53">
        <f>IF(P4008="","",IF(P4008="Ingreso",S4008,0))</f>
        <v/>
      </c>
      <c r="W4008" s="53">
        <f>IF(P4008="","",IF(P4008="Resultado trading",S4008,0))</f>
        <v/>
      </c>
      <c r="X4008" s="52">
        <f>IF(OR(P4008="Gasto",P4008="Reembolso"),IF(M4008&lt;&gt;"",M4008,IFERROR(INDEX(catClasif,MATCH(D4008&amp;"|"&amp;E4008,catClave,0))&amp;"","Variable")),"")</f>
        <v/>
      </c>
      <c r="Y4008" s="52">
        <f>IF(P4008="","",IFERROR(INDEX(catGrupo,MATCH(D4008&amp;"|"&amp;E4008,catClave,0))&amp;"",""))</f>
        <v/>
      </c>
      <c r="Z4008" s="52">
        <f>IF(P4008="","",WEEKDAY(B4008,2))</f>
        <v/>
      </c>
      <c r="AA4008" s="52">
        <f>IF(P4008="","",IF(AND(P4008="Gasto",X4008="Variable",D4008&lt;&gt;catTrading,S4008&gt;0,S4008&lt;=Umbral),1,0))</f>
        <v/>
      </c>
      <c r="AB4008" s="52">
        <f>IF(OR(P4008="",Q4008=""),"",IFERROR(IF(INDEX(ctaVinc,MATCH(Q4008,ctaNombre,0))&amp;""&lt;&gt;"",INDEX(ctaVinc,MATCH(Q4008,ctaNombre,0))&amp;"",Q4008),Q4008))</f>
        <v/>
      </c>
      <c r="AC4008" s="52">
        <f>IF(OR(K4008="",AND(P4008&lt;&gt;"Transferencia",P4008&lt;&gt;"Pago tarjeta")),"",IFERROR(IF(INDEX(ctaVinc,MATCH(K4008,ctaNombre,0))&amp;""&lt;&gt;"",INDEX(ctaVinc,MATCH(K4008,ctaNombre,0))&amp;"",K4008),K4008))</f>
        <v/>
      </c>
      <c r="AD4008" s="52">
        <f>IF(AB4008="","",IFERROR(INDEX(ctaTipo,MATCH(AB4008,ctaNombre,0))&amp;"",""))</f>
        <v/>
      </c>
      <c r="AE4008" s="52">
        <f>IF(AC4008="","",IFERROR(INDEX(ctaTipo,MATCH(AC4008,ctaNombre,0))&amp;"",""))</f>
        <v/>
      </c>
      <c r="AF4008" s="53">
        <f>IF(OR(P4008="",AB4008=""),"",IF(OR(P4008="Gasto",P4008="Transferencia",P4008="Pago tarjeta"),-1,1)*IF(IFERROR(INDEX(ctaMoneda,MATCH(AB4008,ctaNombre,0))&amp;"","DOP")="USD",T4008,S4008))</f>
        <v/>
      </c>
      <c r="AG4008" s="53">
        <f>IF(AC4008="","",IF(IFERROR(INDEX(ctaMoneda,MATCH(AC4008,ctaNombre,0))&amp;"","DOP")="USD",T4008,S4008))</f>
        <v/>
      </c>
      <c r="AH4008" s="53">
        <f>IF(P4008="","",IF(AND(AD4008&lt;&gt;"",COUNTIFS(tcTipo,AD4008,tcLiq,"Sí")&gt;0),IF(OR(P4008="Gasto",P4008="Transferencia",P4008="Pago tarjeta"),-1,1)*S4008,0)+IF(AND(AE4008&lt;&gt;"",COUNTIFS(tcTipo,AE4008,tcLiq,"Sí")&gt;0),S4008,0))</f>
        <v/>
      </c>
      <c r="AI4008" s="52">
        <f>IF(OR(L4008="",P4008=""),"",IF(COUNTIFS(L$6:L4008,L4008,P$6:P4008,"?*")=1,MAX(AI$5:AI4007)+1,""))</f>
        <v/>
      </c>
    </row>
    <row r="4009">
      <c r="B4009" s="47" t="n"/>
      <c r="C4009" s="48" t="n"/>
      <c r="D4009" s="48" t="n"/>
      <c r="E4009" s="48" t="n"/>
      <c r="F4009" s="48" t="n"/>
      <c r="G4009" s="49" t="n"/>
      <c r="H4009" s="48" t="n"/>
      <c r="I4009" s="50" t="n"/>
      <c r="J4009" s="48" t="n"/>
      <c r="K4009" s="48" t="n"/>
      <c r="L4009" s="48" t="n"/>
      <c r="M4009" s="48" t="n"/>
      <c r="N4009" s="48" t="n"/>
      <c r="O4009" s="51">
        <f>IF(AND(B4009="",G4009="",C4009="",D4009="",J4009=""),"",IF(B4009="","⚠ Falta fecha",IF(G4009="","⚠ Falta monto",IF(Q4009="","⚠ Falta cuenta",IF(ISNA(MATCH(Q4009,ctaNombre,0)),"⚠ Cuenta no registrada",IF(AND(OR(P4009="Gasto",P4009="Reembolso"),D4009=""),"⚠ Falta categoría",IF(AND(D4009&lt;&gt;"",E4009&lt;&gt;"",ISNA(MATCH(D4009&amp;"|"&amp;E4009,catClave,0))),"⚠ Subcategoría no corresponde",IF(AND(OR(P4009="Transferencia",P4009="Pago tarjeta"),K4009=""),"⚠ Falta cuenta destino",IF(AND(K4009&lt;&gt;"",P4009&lt;&gt;"Transferencia",P4009&lt;&gt;"Pago tarjeta"),"⚠ Destino solo aplica a transferencias",IF(AND(K4009&lt;&gt;"",K4009=Q4009),"⚠ Origen igual a destino",IF(AND(K4009&lt;&gt;"",ISNA(MATCH(K4009,ctaNombre,0))),"⚠ Destino no registrado",IF(AND(P4009="Pago tarjeta",AE4009&lt;&gt;"Tarjeta de crédito"),"⚠ El destino debe ser tarjeta de crédito",IF(AND(P4009="Gasto",E4009="Depósitos y retiros"),"⚠ Usa tipo Transferencia",IF(AND(P4009="Resultado trading",AD4009&lt;&gt;"Cuenta de trading"),"⚠ Usa una cuenta de trading",IF(AND(G4009&lt;=0,P4009&lt;&gt;"Ajuste",P4009&lt;&gt;"Resultado trading"),"⚠ El monto debe ser positivo","✓")))))))))))))))</f>
        <v/>
      </c>
      <c r="P4009" s="52">
        <f>IF(OR(B4009="",G4009=""),"",IF(C4009="","Gasto",C4009))</f>
        <v/>
      </c>
      <c r="Q4009" s="52">
        <f>IF(P4009="","",IF(J4009&lt;&gt;"",J4009,CuentaPred&amp;""))</f>
        <v/>
      </c>
      <c r="R4009" s="52">
        <f>IF(P4009="","",IF(ISNUMBER(I4009),I4009,TasaUSD))</f>
        <v/>
      </c>
      <c r="S4009" s="53">
        <f>IF(P4009="","",IF(H4009="USD",G4009*R4009,G4009))</f>
        <v/>
      </c>
      <c r="T4009" s="53">
        <f>IF(P4009="","",IF(H4009="USD",G4009,IF(R4009&gt;0,G4009/R4009,0)))</f>
        <v/>
      </c>
      <c r="U4009" s="53">
        <f>IF(P4009="","",IF(P4009="Gasto",S4009,IF(P4009="Reembolso",-S4009,0)))</f>
        <v/>
      </c>
      <c r="V4009" s="53">
        <f>IF(P4009="","",IF(P4009="Ingreso",S4009,0))</f>
        <v/>
      </c>
      <c r="W4009" s="53">
        <f>IF(P4009="","",IF(P4009="Resultado trading",S4009,0))</f>
        <v/>
      </c>
      <c r="X4009" s="52">
        <f>IF(OR(P4009="Gasto",P4009="Reembolso"),IF(M4009&lt;&gt;"",M4009,IFERROR(INDEX(catClasif,MATCH(D4009&amp;"|"&amp;E4009,catClave,0))&amp;"","Variable")),"")</f>
        <v/>
      </c>
      <c r="Y4009" s="52">
        <f>IF(P4009="","",IFERROR(INDEX(catGrupo,MATCH(D4009&amp;"|"&amp;E4009,catClave,0))&amp;"",""))</f>
        <v/>
      </c>
      <c r="Z4009" s="52">
        <f>IF(P4009="","",WEEKDAY(B4009,2))</f>
        <v/>
      </c>
      <c r="AA4009" s="52">
        <f>IF(P4009="","",IF(AND(P4009="Gasto",X4009="Variable",D4009&lt;&gt;catTrading,S4009&gt;0,S4009&lt;=Umbral),1,0))</f>
        <v/>
      </c>
      <c r="AB4009" s="52">
        <f>IF(OR(P4009="",Q4009=""),"",IFERROR(IF(INDEX(ctaVinc,MATCH(Q4009,ctaNombre,0))&amp;""&lt;&gt;"",INDEX(ctaVinc,MATCH(Q4009,ctaNombre,0))&amp;"",Q4009),Q4009))</f>
        <v/>
      </c>
      <c r="AC4009" s="52">
        <f>IF(OR(K4009="",AND(P4009&lt;&gt;"Transferencia",P4009&lt;&gt;"Pago tarjeta")),"",IFERROR(IF(INDEX(ctaVinc,MATCH(K4009,ctaNombre,0))&amp;""&lt;&gt;"",INDEX(ctaVinc,MATCH(K4009,ctaNombre,0))&amp;"",K4009),K4009))</f>
        <v/>
      </c>
      <c r="AD4009" s="52">
        <f>IF(AB4009="","",IFERROR(INDEX(ctaTipo,MATCH(AB4009,ctaNombre,0))&amp;"",""))</f>
        <v/>
      </c>
      <c r="AE4009" s="52">
        <f>IF(AC4009="","",IFERROR(INDEX(ctaTipo,MATCH(AC4009,ctaNombre,0))&amp;"",""))</f>
        <v/>
      </c>
      <c r="AF4009" s="53">
        <f>IF(OR(P4009="",AB4009=""),"",IF(OR(P4009="Gasto",P4009="Transferencia",P4009="Pago tarjeta"),-1,1)*IF(IFERROR(INDEX(ctaMoneda,MATCH(AB4009,ctaNombre,0))&amp;"","DOP")="USD",T4009,S4009))</f>
        <v/>
      </c>
      <c r="AG4009" s="53">
        <f>IF(AC4009="","",IF(IFERROR(INDEX(ctaMoneda,MATCH(AC4009,ctaNombre,0))&amp;"","DOP")="USD",T4009,S4009))</f>
        <v/>
      </c>
      <c r="AH4009" s="53">
        <f>IF(P4009="","",IF(AND(AD4009&lt;&gt;"",COUNTIFS(tcTipo,AD4009,tcLiq,"Sí")&gt;0),IF(OR(P4009="Gasto",P4009="Transferencia",P4009="Pago tarjeta"),-1,1)*S4009,0)+IF(AND(AE4009&lt;&gt;"",COUNTIFS(tcTipo,AE4009,tcLiq,"Sí")&gt;0),S4009,0))</f>
        <v/>
      </c>
      <c r="AI4009" s="52">
        <f>IF(OR(L4009="",P4009=""),"",IF(COUNTIFS(L$6:L4009,L4009,P$6:P4009,"?*")=1,MAX(AI$5:AI4008)+1,""))</f>
        <v/>
      </c>
    </row>
    <row r="4010">
      <c r="B4010" s="47" t="n"/>
      <c r="C4010" s="48" t="n"/>
      <c r="D4010" s="48" t="n"/>
      <c r="E4010" s="48" t="n"/>
      <c r="F4010" s="48" t="n"/>
      <c r="G4010" s="49" t="n"/>
      <c r="H4010" s="48" t="n"/>
      <c r="I4010" s="50" t="n"/>
      <c r="J4010" s="48" t="n"/>
      <c r="K4010" s="48" t="n"/>
      <c r="L4010" s="48" t="n"/>
      <c r="M4010" s="48" t="n"/>
      <c r="N4010" s="48" t="n"/>
      <c r="O4010" s="51">
        <f>IF(AND(B4010="",G4010="",C4010="",D4010="",J4010=""),"",IF(B4010="","⚠ Falta fecha",IF(G4010="","⚠ Falta monto",IF(Q4010="","⚠ Falta cuenta",IF(ISNA(MATCH(Q4010,ctaNombre,0)),"⚠ Cuenta no registrada",IF(AND(OR(P4010="Gasto",P4010="Reembolso"),D4010=""),"⚠ Falta categoría",IF(AND(D4010&lt;&gt;"",E4010&lt;&gt;"",ISNA(MATCH(D4010&amp;"|"&amp;E4010,catClave,0))),"⚠ Subcategoría no corresponde",IF(AND(OR(P4010="Transferencia",P4010="Pago tarjeta"),K4010=""),"⚠ Falta cuenta destino",IF(AND(K4010&lt;&gt;"",P4010&lt;&gt;"Transferencia",P4010&lt;&gt;"Pago tarjeta"),"⚠ Destino solo aplica a transferencias",IF(AND(K4010&lt;&gt;"",K4010=Q4010),"⚠ Origen igual a destino",IF(AND(K4010&lt;&gt;"",ISNA(MATCH(K4010,ctaNombre,0))),"⚠ Destino no registrado",IF(AND(P4010="Pago tarjeta",AE4010&lt;&gt;"Tarjeta de crédito"),"⚠ El destino debe ser tarjeta de crédito",IF(AND(P4010="Gasto",E4010="Depósitos y retiros"),"⚠ Usa tipo Transferencia",IF(AND(P4010="Resultado trading",AD4010&lt;&gt;"Cuenta de trading"),"⚠ Usa una cuenta de trading",IF(AND(G4010&lt;=0,P4010&lt;&gt;"Ajuste",P4010&lt;&gt;"Resultado trading"),"⚠ El monto debe ser positivo","✓")))))))))))))))</f>
        <v/>
      </c>
      <c r="P4010" s="52">
        <f>IF(OR(B4010="",G4010=""),"",IF(C4010="","Gasto",C4010))</f>
        <v/>
      </c>
      <c r="Q4010" s="52">
        <f>IF(P4010="","",IF(J4010&lt;&gt;"",J4010,CuentaPred&amp;""))</f>
        <v/>
      </c>
      <c r="R4010" s="52">
        <f>IF(P4010="","",IF(ISNUMBER(I4010),I4010,TasaUSD))</f>
        <v/>
      </c>
      <c r="S4010" s="53">
        <f>IF(P4010="","",IF(H4010="USD",G4010*R4010,G4010))</f>
        <v/>
      </c>
      <c r="T4010" s="53">
        <f>IF(P4010="","",IF(H4010="USD",G4010,IF(R4010&gt;0,G4010/R4010,0)))</f>
        <v/>
      </c>
      <c r="U4010" s="53">
        <f>IF(P4010="","",IF(P4010="Gasto",S4010,IF(P4010="Reembolso",-S4010,0)))</f>
        <v/>
      </c>
      <c r="V4010" s="53">
        <f>IF(P4010="","",IF(P4010="Ingreso",S4010,0))</f>
        <v/>
      </c>
      <c r="W4010" s="53">
        <f>IF(P4010="","",IF(P4010="Resultado trading",S4010,0))</f>
        <v/>
      </c>
      <c r="X4010" s="52">
        <f>IF(OR(P4010="Gasto",P4010="Reembolso"),IF(M4010&lt;&gt;"",M4010,IFERROR(INDEX(catClasif,MATCH(D4010&amp;"|"&amp;E4010,catClave,0))&amp;"","Variable")),"")</f>
        <v/>
      </c>
      <c r="Y4010" s="52">
        <f>IF(P4010="","",IFERROR(INDEX(catGrupo,MATCH(D4010&amp;"|"&amp;E4010,catClave,0))&amp;"",""))</f>
        <v/>
      </c>
      <c r="Z4010" s="52">
        <f>IF(P4010="","",WEEKDAY(B4010,2))</f>
        <v/>
      </c>
      <c r="AA4010" s="52">
        <f>IF(P4010="","",IF(AND(P4010="Gasto",X4010="Variable",D4010&lt;&gt;catTrading,S4010&gt;0,S4010&lt;=Umbral),1,0))</f>
        <v/>
      </c>
      <c r="AB4010" s="52">
        <f>IF(OR(P4010="",Q4010=""),"",IFERROR(IF(INDEX(ctaVinc,MATCH(Q4010,ctaNombre,0))&amp;""&lt;&gt;"",INDEX(ctaVinc,MATCH(Q4010,ctaNombre,0))&amp;"",Q4010),Q4010))</f>
        <v/>
      </c>
      <c r="AC4010" s="52">
        <f>IF(OR(K4010="",AND(P4010&lt;&gt;"Transferencia",P4010&lt;&gt;"Pago tarjeta")),"",IFERROR(IF(INDEX(ctaVinc,MATCH(K4010,ctaNombre,0))&amp;""&lt;&gt;"",INDEX(ctaVinc,MATCH(K4010,ctaNombre,0))&amp;"",K4010),K4010))</f>
        <v/>
      </c>
      <c r="AD4010" s="52">
        <f>IF(AB4010="","",IFERROR(INDEX(ctaTipo,MATCH(AB4010,ctaNombre,0))&amp;"",""))</f>
        <v/>
      </c>
      <c r="AE4010" s="52">
        <f>IF(AC4010="","",IFERROR(INDEX(ctaTipo,MATCH(AC4010,ctaNombre,0))&amp;"",""))</f>
        <v/>
      </c>
      <c r="AF4010" s="53">
        <f>IF(OR(P4010="",AB4010=""),"",IF(OR(P4010="Gasto",P4010="Transferencia",P4010="Pago tarjeta"),-1,1)*IF(IFERROR(INDEX(ctaMoneda,MATCH(AB4010,ctaNombre,0))&amp;"","DOP")="USD",T4010,S4010))</f>
        <v/>
      </c>
      <c r="AG4010" s="53">
        <f>IF(AC4010="","",IF(IFERROR(INDEX(ctaMoneda,MATCH(AC4010,ctaNombre,0))&amp;"","DOP")="USD",T4010,S4010))</f>
        <v/>
      </c>
      <c r="AH4010" s="53">
        <f>IF(P4010="","",IF(AND(AD4010&lt;&gt;"",COUNTIFS(tcTipo,AD4010,tcLiq,"Sí")&gt;0),IF(OR(P4010="Gasto",P4010="Transferencia",P4010="Pago tarjeta"),-1,1)*S4010,0)+IF(AND(AE4010&lt;&gt;"",COUNTIFS(tcTipo,AE4010,tcLiq,"Sí")&gt;0),S4010,0))</f>
        <v/>
      </c>
      <c r="AI4010" s="52">
        <f>IF(OR(L4010="",P4010=""),"",IF(COUNTIFS(L$6:L4010,L4010,P$6:P4010,"?*")=1,MAX(AI$5:AI4009)+1,""))</f>
        <v/>
      </c>
    </row>
    <row r="4011">
      <c r="B4011" s="47" t="n"/>
      <c r="C4011" s="48" t="n"/>
      <c r="D4011" s="48" t="n"/>
      <c r="E4011" s="48" t="n"/>
      <c r="F4011" s="48" t="n"/>
      <c r="G4011" s="49" t="n"/>
      <c r="H4011" s="48" t="n"/>
      <c r="I4011" s="50" t="n"/>
      <c r="J4011" s="48" t="n"/>
      <c r="K4011" s="48" t="n"/>
      <c r="L4011" s="48" t="n"/>
      <c r="M4011" s="48" t="n"/>
      <c r="N4011" s="48" t="n"/>
      <c r="O4011" s="51">
        <f>IF(AND(B4011="",G4011="",C4011="",D4011="",J4011=""),"",IF(B4011="","⚠ Falta fecha",IF(G4011="","⚠ Falta monto",IF(Q4011="","⚠ Falta cuenta",IF(ISNA(MATCH(Q4011,ctaNombre,0)),"⚠ Cuenta no registrada",IF(AND(OR(P4011="Gasto",P4011="Reembolso"),D4011=""),"⚠ Falta categoría",IF(AND(D4011&lt;&gt;"",E4011&lt;&gt;"",ISNA(MATCH(D4011&amp;"|"&amp;E4011,catClave,0))),"⚠ Subcategoría no corresponde",IF(AND(OR(P4011="Transferencia",P4011="Pago tarjeta"),K4011=""),"⚠ Falta cuenta destino",IF(AND(K4011&lt;&gt;"",P4011&lt;&gt;"Transferencia",P4011&lt;&gt;"Pago tarjeta"),"⚠ Destino solo aplica a transferencias",IF(AND(K4011&lt;&gt;"",K4011=Q4011),"⚠ Origen igual a destino",IF(AND(K4011&lt;&gt;"",ISNA(MATCH(K4011,ctaNombre,0))),"⚠ Destino no registrado",IF(AND(P4011="Pago tarjeta",AE4011&lt;&gt;"Tarjeta de crédito"),"⚠ El destino debe ser tarjeta de crédito",IF(AND(P4011="Gasto",E4011="Depósitos y retiros"),"⚠ Usa tipo Transferencia",IF(AND(P4011="Resultado trading",AD4011&lt;&gt;"Cuenta de trading"),"⚠ Usa una cuenta de trading",IF(AND(G4011&lt;=0,P4011&lt;&gt;"Ajuste",P4011&lt;&gt;"Resultado trading"),"⚠ El monto debe ser positivo","✓")))))))))))))))</f>
        <v/>
      </c>
      <c r="P4011" s="52">
        <f>IF(OR(B4011="",G4011=""),"",IF(C4011="","Gasto",C4011))</f>
        <v/>
      </c>
      <c r="Q4011" s="52">
        <f>IF(P4011="","",IF(J4011&lt;&gt;"",J4011,CuentaPred&amp;""))</f>
        <v/>
      </c>
      <c r="R4011" s="52">
        <f>IF(P4011="","",IF(ISNUMBER(I4011),I4011,TasaUSD))</f>
        <v/>
      </c>
      <c r="S4011" s="53">
        <f>IF(P4011="","",IF(H4011="USD",G4011*R4011,G4011))</f>
        <v/>
      </c>
      <c r="T4011" s="53">
        <f>IF(P4011="","",IF(H4011="USD",G4011,IF(R4011&gt;0,G4011/R4011,0)))</f>
        <v/>
      </c>
      <c r="U4011" s="53">
        <f>IF(P4011="","",IF(P4011="Gasto",S4011,IF(P4011="Reembolso",-S4011,0)))</f>
        <v/>
      </c>
      <c r="V4011" s="53">
        <f>IF(P4011="","",IF(P4011="Ingreso",S4011,0))</f>
        <v/>
      </c>
      <c r="W4011" s="53">
        <f>IF(P4011="","",IF(P4011="Resultado trading",S4011,0))</f>
        <v/>
      </c>
      <c r="X4011" s="52">
        <f>IF(OR(P4011="Gasto",P4011="Reembolso"),IF(M4011&lt;&gt;"",M4011,IFERROR(INDEX(catClasif,MATCH(D4011&amp;"|"&amp;E4011,catClave,0))&amp;"","Variable")),"")</f>
        <v/>
      </c>
      <c r="Y4011" s="52">
        <f>IF(P4011="","",IFERROR(INDEX(catGrupo,MATCH(D4011&amp;"|"&amp;E4011,catClave,0))&amp;"",""))</f>
        <v/>
      </c>
      <c r="Z4011" s="52">
        <f>IF(P4011="","",WEEKDAY(B4011,2))</f>
        <v/>
      </c>
      <c r="AA4011" s="52">
        <f>IF(P4011="","",IF(AND(P4011="Gasto",X4011="Variable",D4011&lt;&gt;catTrading,S4011&gt;0,S4011&lt;=Umbral),1,0))</f>
        <v/>
      </c>
      <c r="AB4011" s="52">
        <f>IF(OR(P4011="",Q4011=""),"",IFERROR(IF(INDEX(ctaVinc,MATCH(Q4011,ctaNombre,0))&amp;""&lt;&gt;"",INDEX(ctaVinc,MATCH(Q4011,ctaNombre,0))&amp;"",Q4011),Q4011))</f>
        <v/>
      </c>
      <c r="AC4011" s="52">
        <f>IF(OR(K4011="",AND(P4011&lt;&gt;"Transferencia",P4011&lt;&gt;"Pago tarjeta")),"",IFERROR(IF(INDEX(ctaVinc,MATCH(K4011,ctaNombre,0))&amp;""&lt;&gt;"",INDEX(ctaVinc,MATCH(K4011,ctaNombre,0))&amp;"",K4011),K4011))</f>
        <v/>
      </c>
      <c r="AD4011" s="52">
        <f>IF(AB4011="","",IFERROR(INDEX(ctaTipo,MATCH(AB4011,ctaNombre,0))&amp;"",""))</f>
        <v/>
      </c>
      <c r="AE4011" s="52">
        <f>IF(AC4011="","",IFERROR(INDEX(ctaTipo,MATCH(AC4011,ctaNombre,0))&amp;"",""))</f>
        <v/>
      </c>
      <c r="AF4011" s="53">
        <f>IF(OR(P4011="",AB4011=""),"",IF(OR(P4011="Gasto",P4011="Transferencia",P4011="Pago tarjeta"),-1,1)*IF(IFERROR(INDEX(ctaMoneda,MATCH(AB4011,ctaNombre,0))&amp;"","DOP")="USD",T4011,S4011))</f>
        <v/>
      </c>
      <c r="AG4011" s="53">
        <f>IF(AC4011="","",IF(IFERROR(INDEX(ctaMoneda,MATCH(AC4011,ctaNombre,0))&amp;"","DOP")="USD",T4011,S4011))</f>
        <v/>
      </c>
      <c r="AH4011" s="53">
        <f>IF(P4011="","",IF(AND(AD4011&lt;&gt;"",COUNTIFS(tcTipo,AD4011,tcLiq,"Sí")&gt;0),IF(OR(P4011="Gasto",P4011="Transferencia",P4011="Pago tarjeta"),-1,1)*S4011,0)+IF(AND(AE4011&lt;&gt;"",COUNTIFS(tcTipo,AE4011,tcLiq,"Sí")&gt;0),S4011,0))</f>
        <v/>
      </c>
      <c r="AI4011" s="52">
        <f>IF(OR(L4011="",P4011=""),"",IF(COUNTIFS(L$6:L4011,L4011,P$6:P4011,"?*")=1,MAX(AI$5:AI4010)+1,""))</f>
        <v/>
      </c>
    </row>
    <row r="4012">
      <c r="B4012" s="47" t="n"/>
      <c r="C4012" s="48" t="n"/>
      <c r="D4012" s="48" t="n"/>
      <c r="E4012" s="48" t="n"/>
      <c r="F4012" s="48" t="n"/>
      <c r="G4012" s="49" t="n"/>
      <c r="H4012" s="48" t="n"/>
      <c r="I4012" s="50" t="n"/>
      <c r="J4012" s="48" t="n"/>
      <c r="K4012" s="48" t="n"/>
      <c r="L4012" s="48" t="n"/>
      <c r="M4012" s="48" t="n"/>
      <c r="N4012" s="48" t="n"/>
      <c r="O4012" s="51">
        <f>IF(AND(B4012="",G4012="",C4012="",D4012="",J4012=""),"",IF(B4012="","⚠ Falta fecha",IF(G4012="","⚠ Falta monto",IF(Q4012="","⚠ Falta cuenta",IF(ISNA(MATCH(Q4012,ctaNombre,0)),"⚠ Cuenta no registrada",IF(AND(OR(P4012="Gasto",P4012="Reembolso"),D4012=""),"⚠ Falta categoría",IF(AND(D4012&lt;&gt;"",E4012&lt;&gt;"",ISNA(MATCH(D4012&amp;"|"&amp;E4012,catClave,0))),"⚠ Subcategoría no corresponde",IF(AND(OR(P4012="Transferencia",P4012="Pago tarjeta"),K4012=""),"⚠ Falta cuenta destino",IF(AND(K4012&lt;&gt;"",P4012&lt;&gt;"Transferencia",P4012&lt;&gt;"Pago tarjeta"),"⚠ Destino solo aplica a transferencias",IF(AND(K4012&lt;&gt;"",K4012=Q4012),"⚠ Origen igual a destino",IF(AND(K4012&lt;&gt;"",ISNA(MATCH(K4012,ctaNombre,0))),"⚠ Destino no registrado",IF(AND(P4012="Pago tarjeta",AE4012&lt;&gt;"Tarjeta de crédito"),"⚠ El destino debe ser tarjeta de crédito",IF(AND(P4012="Gasto",E4012="Depósitos y retiros"),"⚠ Usa tipo Transferencia",IF(AND(P4012="Resultado trading",AD4012&lt;&gt;"Cuenta de trading"),"⚠ Usa una cuenta de trading",IF(AND(G4012&lt;=0,P4012&lt;&gt;"Ajuste",P4012&lt;&gt;"Resultado trading"),"⚠ El monto debe ser positivo","✓")))))))))))))))</f>
        <v/>
      </c>
      <c r="P4012" s="52">
        <f>IF(OR(B4012="",G4012=""),"",IF(C4012="","Gasto",C4012))</f>
        <v/>
      </c>
      <c r="Q4012" s="52">
        <f>IF(P4012="","",IF(J4012&lt;&gt;"",J4012,CuentaPred&amp;""))</f>
        <v/>
      </c>
      <c r="R4012" s="52">
        <f>IF(P4012="","",IF(ISNUMBER(I4012),I4012,TasaUSD))</f>
        <v/>
      </c>
      <c r="S4012" s="53">
        <f>IF(P4012="","",IF(H4012="USD",G4012*R4012,G4012))</f>
        <v/>
      </c>
      <c r="T4012" s="53">
        <f>IF(P4012="","",IF(H4012="USD",G4012,IF(R4012&gt;0,G4012/R4012,0)))</f>
        <v/>
      </c>
      <c r="U4012" s="53">
        <f>IF(P4012="","",IF(P4012="Gasto",S4012,IF(P4012="Reembolso",-S4012,0)))</f>
        <v/>
      </c>
      <c r="V4012" s="53">
        <f>IF(P4012="","",IF(P4012="Ingreso",S4012,0))</f>
        <v/>
      </c>
      <c r="W4012" s="53">
        <f>IF(P4012="","",IF(P4012="Resultado trading",S4012,0))</f>
        <v/>
      </c>
      <c r="X4012" s="52">
        <f>IF(OR(P4012="Gasto",P4012="Reembolso"),IF(M4012&lt;&gt;"",M4012,IFERROR(INDEX(catClasif,MATCH(D4012&amp;"|"&amp;E4012,catClave,0))&amp;"","Variable")),"")</f>
        <v/>
      </c>
      <c r="Y4012" s="52">
        <f>IF(P4012="","",IFERROR(INDEX(catGrupo,MATCH(D4012&amp;"|"&amp;E4012,catClave,0))&amp;"",""))</f>
        <v/>
      </c>
      <c r="Z4012" s="52">
        <f>IF(P4012="","",WEEKDAY(B4012,2))</f>
        <v/>
      </c>
      <c r="AA4012" s="52">
        <f>IF(P4012="","",IF(AND(P4012="Gasto",X4012="Variable",D4012&lt;&gt;catTrading,S4012&gt;0,S4012&lt;=Umbral),1,0))</f>
        <v/>
      </c>
      <c r="AB4012" s="52">
        <f>IF(OR(P4012="",Q4012=""),"",IFERROR(IF(INDEX(ctaVinc,MATCH(Q4012,ctaNombre,0))&amp;""&lt;&gt;"",INDEX(ctaVinc,MATCH(Q4012,ctaNombre,0))&amp;"",Q4012),Q4012))</f>
        <v/>
      </c>
      <c r="AC4012" s="52">
        <f>IF(OR(K4012="",AND(P4012&lt;&gt;"Transferencia",P4012&lt;&gt;"Pago tarjeta")),"",IFERROR(IF(INDEX(ctaVinc,MATCH(K4012,ctaNombre,0))&amp;""&lt;&gt;"",INDEX(ctaVinc,MATCH(K4012,ctaNombre,0))&amp;"",K4012),K4012))</f>
        <v/>
      </c>
      <c r="AD4012" s="52">
        <f>IF(AB4012="","",IFERROR(INDEX(ctaTipo,MATCH(AB4012,ctaNombre,0))&amp;"",""))</f>
        <v/>
      </c>
      <c r="AE4012" s="52">
        <f>IF(AC4012="","",IFERROR(INDEX(ctaTipo,MATCH(AC4012,ctaNombre,0))&amp;"",""))</f>
        <v/>
      </c>
      <c r="AF4012" s="53">
        <f>IF(OR(P4012="",AB4012=""),"",IF(OR(P4012="Gasto",P4012="Transferencia",P4012="Pago tarjeta"),-1,1)*IF(IFERROR(INDEX(ctaMoneda,MATCH(AB4012,ctaNombre,0))&amp;"","DOP")="USD",T4012,S4012))</f>
        <v/>
      </c>
      <c r="AG4012" s="53">
        <f>IF(AC4012="","",IF(IFERROR(INDEX(ctaMoneda,MATCH(AC4012,ctaNombre,0))&amp;"","DOP")="USD",T4012,S4012))</f>
        <v/>
      </c>
      <c r="AH4012" s="53">
        <f>IF(P4012="","",IF(AND(AD4012&lt;&gt;"",COUNTIFS(tcTipo,AD4012,tcLiq,"Sí")&gt;0),IF(OR(P4012="Gasto",P4012="Transferencia",P4012="Pago tarjeta"),-1,1)*S4012,0)+IF(AND(AE4012&lt;&gt;"",COUNTIFS(tcTipo,AE4012,tcLiq,"Sí")&gt;0),S4012,0))</f>
        <v/>
      </c>
      <c r="AI4012" s="52">
        <f>IF(OR(L4012="",P4012=""),"",IF(COUNTIFS(L$6:L4012,L4012,P$6:P4012,"?*")=1,MAX(AI$5:AI4011)+1,""))</f>
        <v/>
      </c>
    </row>
    <row r="4013">
      <c r="B4013" s="47" t="n"/>
      <c r="C4013" s="48" t="n"/>
      <c r="D4013" s="48" t="n"/>
      <c r="E4013" s="48" t="n"/>
      <c r="F4013" s="48" t="n"/>
      <c r="G4013" s="49" t="n"/>
      <c r="H4013" s="48" t="n"/>
      <c r="I4013" s="50" t="n"/>
      <c r="J4013" s="48" t="n"/>
      <c r="K4013" s="48" t="n"/>
      <c r="L4013" s="48" t="n"/>
      <c r="M4013" s="48" t="n"/>
      <c r="N4013" s="48" t="n"/>
      <c r="O4013" s="51">
        <f>IF(AND(B4013="",G4013="",C4013="",D4013="",J4013=""),"",IF(B4013="","⚠ Falta fecha",IF(G4013="","⚠ Falta monto",IF(Q4013="","⚠ Falta cuenta",IF(ISNA(MATCH(Q4013,ctaNombre,0)),"⚠ Cuenta no registrada",IF(AND(OR(P4013="Gasto",P4013="Reembolso"),D4013=""),"⚠ Falta categoría",IF(AND(D4013&lt;&gt;"",E4013&lt;&gt;"",ISNA(MATCH(D4013&amp;"|"&amp;E4013,catClave,0))),"⚠ Subcategoría no corresponde",IF(AND(OR(P4013="Transferencia",P4013="Pago tarjeta"),K4013=""),"⚠ Falta cuenta destino",IF(AND(K4013&lt;&gt;"",P4013&lt;&gt;"Transferencia",P4013&lt;&gt;"Pago tarjeta"),"⚠ Destino solo aplica a transferencias",IF(AND(K4013&lt;&gt;"",K4013=Q4013),"⚠ Origen igual a destino",IF(AND(K4013&lt;&gt;"",ISNA(MATCH(K4013,ctaNombre,0))),"⚠ Destino no registrado",IF(AND(P4013="Pago tarjeta",AE4013&lt;&gt;"Tarjeta de crédito"),"⚠ El destino debe ser tarjeta de crédito",IF(AND(P4013="Gasto",E4013="Depósitos y retiros"),"⚠ Usa tipo Transferencia",IF(AND(P4013="Resultado trading",AD4013&lt;&gt;"Cuenta de trading"),"⚠ Usa una cuenta de trading",IF(AND(G4013&lt;=0,P4013&lt;&gt;"Ajuste",P4013&lt;&gt;"Resultado trading"),"⚠ El monto debe ser positivo","✓")))))))))))))))</f>
        <v/>
      </c>
      <c r="P4013" s="52">
        <f>IF(OR(B4013="",G4013=""),"",IF(C4013="","Gasto",C4013))</f>
        <v/>
      </c>
      <c r="Q4013" s="52">
        <f>IF(P4013="","",IF(J4013&lt;&gt;"",J4013,CuentaPred&amp;""))</f>
        <v/>
      </c>
      <c r="R4013" s="52">
        <f>IF(P4013="","",IF(ISNUMBER(I4013),I4013,TasaUSD))</f>
        <v/>
      </c>
      <c r="S4013" s="53">
        <f>IF(P4013="","",IF(H4013="USD",G4013*R4013,G4013))</f>
        <v/>
      </c>
      <c r="T4013" s="53">
        <f>IF(P4013="","",IF(H4013="USD",G4013,IF(R4013&gt;0,G4013/R4013,0)))</f>
        <v/>
      </c>
      <c r="U4013" s="53">
        <f>IF(P4013="","",IF(P4013="Gasto",S4013,IF(P4013="Reembolso",-S4013,0)))</f>
        <v/>
      </c>
      <c r="V4013" s="53">
        <f>IF(P4013="","",IF(P4013="Ingreso",S4013,0))</f>
        <v/>
      </c>
      <c r="W4013" s="53">
        <f>IF(P4013="","",IF(P4013="Resultado trading",S4013,0))</f>
        <v/>
      </c>
      <c r="X4013" s="52">
        <f>IF(OR(P4013="Gasto",P4013="Reembolso"),IF(M4013&lt;&gt;"",M4013,IFERROR(INDEX(catClasif,MATCH(D4013&amp;"|"&amp;E4013,catClave,0))&amp;"","Variable")),"")</f>
        <v/>
      </c>
      <c r="Y4013" s="52">
        <f>IF(P4013="","",IFERROR(INDEX(catGrupo,MATCH(D4013&amp;"|"&amp;E4013,catClave,0))&amp;"",""))</f>
        <v/>
      </c>
      <c r="Z4013" s="52">
        <f>IF(P4013="","",WEEKDAY(B4013,2))</f>
        <v/>
      </c>
      <c r="AA4013" s="52">
        <f>IF(P4013="","",IF(AND(P4013="Gasto",X4013="Variable",D4013&lt;&gt;catTrading,S4013&gt;0,S4013&lt;=Umbral),1,0))</f>
        <v/>
      </c>
      <c r="AB4013" s="52">
        <f>IF(OR(P4013="",Q4013=""),"",IFERROR(IF(INDEX(ctaVinc,MATCH(Q4013,ctaNombre,0))&amp;""&lt;&gt;"",INDEX(ctaVinc,MATCH(Q4013,ctaNombre,0))&amp;"",Q4013),Q4013))</f>
        <v/>
      </c>
      <c r="AC4013" s="52">
        <f>IF(OR(K4013="",AND(P4013&lt;&gt;"Transferencia",P4013&lt;&gt;"Pago tarjeta")),"",IFERROR(IF(INDEX(ctaVinc,MATCH(K4013,ctaNombre,0))&amp;""&lt;&gt;"",INDEX(ctaVinc,MATCH(K4013,ctaNombre,0))&amp;"",K4013),K4013))</f>
        <v/>
      </c>
      <c r="AD4013" s="52">
        <f>IF(AB4013="","",IFERROR(INDEX(ctaTipo,MATCH(AB4013,ctaNombre,0))&amp;"",""))</f>
        <v/>
      </c>
      <c r="AE4013" s="52">
        <f>IF(AC4013="","",IFERROR(INDEX(ctaTipo,MATCH(AC4013,ctaNombre,0))&amp;"",""))</f>
        <v/>
      </c>
      <c r="AF4013" s="53">
        <f>IF(OR(P4013="",AB4013=""),"",IF(OR(P4013="Gasto",P4013="Transferencia",P4013="Pago tarjeta"),-1,1)*IF(IFERROR(INDEX(ctaMoneda,MATCH(AB4013,ctaNombre,0))&amp;"","DOP")="USD",T4013,S4013))</f>
        <v/>
      </c>
      <c r="AG4013" s="53">
        <f>IF(AC4013="","",IF(IFERROR(INDEX(ctaMoneda,MATCH(AC4013,ctaNombre,0))&amp;"","DOP")="USD",T4013,S4013))</f>
        <v/>
      </c>
      <c r="AH4013" s="53">
        <f>IF(P4013="","",IF(AND(AD4013&lt;&gt;"",COUNTIFS(tcTipo,AD4013,tcLiq,"Sí")&gt;0),IF(OR(P4013="Gasto",P4013="Transferencia",P4013="Pago tarjeta"),-1,1)*S4013,0)+IF(AND(AE4013&lt;&gt;"",COUNTIFS(tcTipo,AE4013,tcLiq,"Sí")&gt;0),S4013,0))</f>
        <v/>
      </c>
      <c r="AI4013" s="52">
        <f>IF(OR(L4013="",P4013=""),"",IF(COUNTIFS(L$6:L4013,L4013,P$6:P4013,"?*")=1,MAX(AI$5:AI4012)+1,""))</f>
        <v/>
      </c>
    </row>
    <row r="4014">
      <c r="B4014" s="47" t="n"/>
      <c r="C4014" s="48" t="n"/>
      <c r="D4014" s="48" t="n"/>
      <c r="E4014" s="48" t="n"/>
      <c r="F4014" s="48" t="n"/>
      <c r="G4014" s="49" t="n"/>
      <c r="H4014" s="48" t="n"/>
      <c r="I4014" s="50" t="n"/>
      <c r="J4014" s="48" t="n"/>
      <c r="K4014" s="48" t="n"/>
      <c r="L4014" s="48" t="n"/>
      <c r="M4014" s="48" t="n"/>
      <c r="N4014" s="48" t="n"/>
      <c r="O4014" s="51">
        <f>IF(AND(B4014="",G4014="",C4014="",D4014="",J4014=""),"",IF(B4014="","⚠ Falta fecha",IF(G4014="","⚠ Falta monto",IF(Q4014="","⚠ Falta cuenta",IF(ISNA(MATCH(Q4014,ctaNombre,0)),"⚠ Cuenta no registrada",IF(AND(OR(P4014="Gasto",P4014="Reembolso"),D4014=""),"⚠ Falta categoría",IF(AND(D4014&lt;&gt;"",E4014&lt;&gt;"",ISNA(MATCH(D4014&amp;"|"&amp;E4014,catClave,0))),"⚠ Subcategoría no corresponde",IF(AND(OR(P4014="Transferencia",P4014="Pago tarjeta"),K4014=""),"⚠ Falta cuenta destino",IF(AND(K4014&lt;&gt;"",P4014&lt;&gt;"Transferencia",P4014&lt;&gt;"Pago tarjeta"),"⚠ Destino solo aplica a transferencias",IF(AND(K4014&lt;&gt;"",K4014=Q4014),"⚠ Origen igual a destino",IF(AND(K4014&lt;&gt;"",ISNA(MATCH(K4014,ctaNombre,0))),"⚠ Destino no registrado",IF(AND(P4014="Pago tarjeta",AE4014&lt;&gt;"Tarjeta de crédito"),"⚠ El destino debe ser tarjeta de crédito",IF(AND(P4014="Gasto",E4014="Depósitos y retiros"),"⚠ Usa tipo Transferencia",IF(AND(P4014="Resultado trading",AD4014&lt;&gt;"Cuenta de trading"),"⚠ Usa una cuenta de trading",IF(AND(G4014&lt;=0,P4014&lt;&gt;"Ajuste",P4014&lt;&gt;"Resultado trading"),"⚠ El monto debe ser positivo","✓")))))))))))))))</f>
        <v/>
      </c>
      <c r="P4014" s="52">
        <f>IF(OR(B4014="",G4014=""),"",IF(C4014="","Gasto",C4014))</f>
        <v/>
      </c>
      <c r="Q4014" s="52">
        <f>IF(P4014="","",IF(J4014&lt;&gt;"",J4014,CuentaPred&amp;""))</f>
        <v/>
      </c>
      <c r="R4014" s="52">
        <f>IF(P4014="","",IF(ISNUMBER(I4014),I4014,TasaUSD))</f>
        <v/>
      </c>
      <c r="S4014" s="53">
        <f>IF(P4014="","",IF(H4014="USD",G4014*R4014,G4014))</f>
        <v/>
      </c>
      <c r="T4014" s="53">
        <f>IF(P4014="","",IF(H4014="USD",G4014,IF(R4014&gt;0,G4014/R4014,0)))</f>
        <v/>
      </c>
      <c r="U4014" s="53">
        <f>IF(P4014="","",IF(P4014="Gasto",S4014,IF(P4014="Reembolso",-S4014,0)))</f>
        <v/>
      </c>
      <c r="V4014" s="53">
        <f>IF(P4014="","",IF(P4014="Ingreso",S4014,0))</f>
        <v/>
      </c>
      <c r="W4014" s="53">
        <f>IF(P4014="","",IF(P4014="Resultado trading",S4014,0))</f>
        <v/>
      </c>
      <c r="X4014" s="52">
        <f>IF(OR(P4014="Gasto",P4014="Reembolso"),IF(M4014&lt;&gt;"",M4014,IFERROR(INDEX(catClasif,MATCH(D4014&amp;"|"&amp;E4014,catClave,0))&amp;"","Variable")),"")</f>
        <v/>
      </c>
      <c r="Y4014" s="52">
        <f>IF(P4014="","",IFERROR(INDEX(catGrupo,MATCH(D4014&amp;"|"&amp;E4014,catClave,0))&amp;"",""))</f>
        <v/>
      </c>
      <c r="Z4014" s="52">
        <f>IF(P4014="","",WEEKDAY(B4014,2))</f>
        <v/>
      </c>
      <c r="AA4014" s="52">
        <f>IF(P4014="","",IF(AND(P4014="Gasto",X4014="Variable",D4014&lt;&gt;catTrading,S4014&gt;0,S4014&lt;=Umbral),1,0))</f>
        <v/>
      </c>
      <c r="AB4014" s="52">
        <f>IF(OR(P4014="",Q4014=""),"",IFERROR(IF(INDEX(ctaVinc,MATCH(Q4014,ctaNombre,0))&amp;""&lt;&gt;"",INDEX(ctaVinc,MATCH(Q4014,ctaNombre,0))&amp;"",Q4014),Q4014))</f>
        <v/>
      </c>
      <c r="AC4014" s="52">
        <f>IF(OR(K4014="",AND(P4014&lt;&gt;"Transferencia",P4014&lt;&gt;"Pago tarjeta")),"",IFERROR(IF(INDEX(ctaVinc,MATCH(K4014,ctaNombre,0))&amp;""&lt;&gt;"",INDEX(ctaVinc,MATCH(K4014,ctaNombre,0))&amp;"",K4014),K4014))</f>
        <v/>
      </c>
      <c r="AD4014" s="52">
        <f>IF(AB4014="","",IFERROR(INDEX(ctaTipo,MATCH(AB4014,ctaNombre,0))&amp;"",""))</f>
        <v/>
      </c>
      <c r="AE4014" s="52">
        <f>IF(AC4014="","",IFERROR(INDEX(ctaTipo,MATCH(AC4014,ctaNombre,0))&amp;"",""))</f>
        <v/>
      </c>
      <c r="AF4014" s="53">
        <f>IF(OR(P4014="",AB4014=""),"",IF(OR(P4014="Gasto",P4014="Transferencia",P4014="Pago tarjeta"),-1,1)*IF(IFERROR(INDEX(ctaMoneda,MATCH(AB4014,ctaNombre,0))&amp;"","DOP")="USD",T4014,S4014))</f>
        <v/>
      </c>
      <c r="AG4014" s="53">
        <f>IF(AC4014="","",IF(IFERROR(INDEX(ctaMoneda,MATCH(AC4014,ctaNombre,0))&amp;"","DOP")="USD",T4014,S4014))</f>
        <v/>
      </c>
      <c r="AH4014" s="53">
        <f>IF(P4014="","",IF(AND(AD4014&lt;&gt;"",COUNTIFS(tcTipo,AD4014,tcLiq,"Sí")&gt;0),IF(OR(P4014="Gasto",P4014="Transferencia",P4014="Pago tarjeta"),-1,1)*S4014,0)+IF(AND(AE4014&lt;&gt;"",COUNTIFS(tcTipo,AE4014,tcLiq,"Sí")&gt;0),S4014,0))</f>
        <v/>
      </c>
      <c r="AI4014" s="52">
        <f>IF(OR(L4014="",P4014=""),"",IF(COUNTIFS(L$6:L4014,L4014,P$6:P4014,"?*")=1,MAX(AI$5:AI4013)+1,""))</f>
        <v/>
      </c>
    </row>
    <row r="4015">
      <c r="B4015" s="47" t="n"/>
      <c r="C4015" s="48" t="n"/>
      <c r="D4015" s="48" t="n"/>
      <c r="E4015" s="48" t="n"/>
      <c r="F4015" s="48" t="n"/>
      <c r="G4015" s="49" t="n"/>
      <c r="H4015" s="48" t="n"/>
      <c r="I4015" s="50" t="n"/>
      <c r="J4015" s="48" t="n"/>
      <c r="K4015" s="48" t="n"/>
      <c r="L4015" s="48" t="n"/>
      <c r="M4015" s="48" t="n"/>
      <c r="N4015" s="48" t="n"/>
      <c r="O4015" s="51">
        <f>IF(AND(B4015="",G4015="",C4015="",D4015="",J4015=""),"",IF(B4015="","⚠ Falta fecha",IF(G4015="","⚠ Falta monto",IF(Q4015="","⚠ Falta cuenta",IF(ISNA(MATCH(Q4015,ctaNombre,0)),"⚠ Cuenta no registrada",IF(AND(OR(P4015="Gasto",P4015="Reembolso"),D4015=""),"⚠ Falta categoría",IF(AND(D4015&lt;&gt;"",E4015&lt;&gt;"",ISNA(MATCH(D4015&amp;"|"&amp;E4015,catClave,0))),"⚠ Subcategoría no corresponde",IF(AND(OR(P4015="Transferencia",P4015="Pago tarjeta"),K4015=""),"⚠ Falta cuenta destino",IF(AND(K4015&lt;&gt;"",P4015&lt;&gt;"Transferencia",P4015&lt;&gt;"Pago tarjeta"),"⚠ Destino solo aplica a transferencias",IF(AND(K4015&lt;&gt;"",K4015=Q4015),"⚠ Origen igual a destino",IF(AND(K4015&lt;&gt;"",ISNA(MATCH(K4015,ctaNombre,0))),"⚠ Destino no registrado",IF(AND(P4015="Pago tarjeta",AE4015&lt;&gt;"Tarjeta de crédito"),"⚠ El destino debe ser tarjeta de crédito",IF(AND(P4015="Gasto",E4015="Depósitos y retiros"),"⚠ Usa tipo Transferencia",IF(AND(P4015="Resultado trading",AD4015&lt;&gt;"Cuenta de trading"),"⚠ Usa una cuenta de trading",IF(AND(G4015&lt;=0,P4015&lt;&gt;"Ajuste",P4015&lt;&gt;"Resultado trading"),"⚠ El monto debe ser positivo","✓")))))))))))))))</f>
        <v/>
      </c>
      <c r="P4015" s="52">
        <f>IF(OR(B4015="",G4015=""),"",IF(C4015="","Gasto",C4015))</f>
        <v/>
      </c>
      <c r="Q4015" s="52">
        <f>IF(P4015="","",IF(J4015&lt;&gt;"",J4015,CuentaPred&amp;""))</f>
        <v/>
      </c>
      <c r="R4015" s="52">
        <f>IF(P4015="","",IF(ISNUMBER(I4015),I4015,TasaUSD))</f>
        <v/>
      </c>
      <c r="S4015" s="53">
        <f>IF(P4015="","",IF(H4015="USD",G4015*R4015,G4015))</f>
        <v/>
      </c>
      <c r="T4015" s="53">
        <f>IF(P4015="","",IF(H4015="USD",G4015,IF(R4015&gt;0,G4015/R4015,0)))</f>
        <v/>
      </c>
      <c r="U4015" s="53">
        <f>IF(P4015="","",IF(P4015="Gasto",S4015,IF(P4015="Reembolso",-S4015,0)))</f>
        <v/>
      </c>
      <c r="V4015" s="53">
        <f>IF(P4015="","",IF(P4015="Ingreso",S4015,0))</f>
        <v/>
      </c>
      <c r="W4015" s="53">
        <f>IF(P4015="","",IF(P4015="Resultado trading",S4015,0))</f>
        <v/>
      </c>
      <c r="X4015" s="52">
        <f>IF(OR(P4015="Gasto",P4015="Reembolso"),IF(M4015&lt;&gt;"",M4015,IFERROR(INDEX(catClasif,MATCH(D4015&amp;"|"&amp;E4015,catClave,0))&amp;"","Variable")),"")</f>
        <v/>
      </c>
      <c r="Y4015" s="52">
        <f>IF(P4015="","",IFERROR(INDEX(catGrupo,MATCH(D4015&amp;"|"&amp;E4015,catClave,0))&amp;"",""))</f>
        <v/>
      </c>
      <c r="Z4015" s="52">
        <f>IF(P4015="","",WEEKDAY(B4015,2))</f>
        <v/>
      </c>
      <c r="AA4015" s="52">
        <f>IF(P4015="","",IF(AND(P4015="Gasto",X4015="Variable",D4015&lt;&gt;catTrading,S4015&gt;0,S4015&lt;=Umbral),1,0))</f>
        <v/>
      </c>
      <c r="AB4015" s="52">
        <f>IF(OR(P4015="",Q4015=""),"",IFERROR(IF(INDEX(ctaVinc,MATCH(Q4015,ctaNombre,0))&amp;""&lt;&gt;"",INDEX(ctaVinc,MATCH(Q4015,ctaNombre,0))&amp;"",Q4015),Q4015))</f>
        <v/>
      </c>
      <c r="AC4015" s="52">
        <f>IF(OR(K4015="",AND(P4015&lt;&gt;"Transferencia",P4015&lt;&gt;"Pago tarjeta")),"",IFERROR(IF(INDEX(ctaVinc,MATCH(K4015,ctaNombre,0))&amp;""&lt;&gt;"",INDEX(ctaVinc,MATCH(K4015,ctaNombre,0))&amp;"",K4015),K4015))</f>
        <v/>
      </c>
      <c r="AD4015" s="52">
        <f>IF(AB4015="","",IFERROR(INDEX(ctaTipo,MATCH(AB4015,ctaNombre,0))&amp;"",""))</f>
        <v/>
      </c>
      <c r="AE4015" s="52">
        <f>IF(AC4015="","",IFERROR(INDEX(ctaTipo,MATCH(AC4015,ctaNombre,0))&amp;"",""))</f>
        <v/>
      </c>
      <c r="AF4015" s="53">
        <f>IF(OR(P4015="",AB4015=""),"",IF(OR(P4015="Gasto",P4015="Transferencia",P4015="Pago tarjeta"),-1,1)*IF(IFERROR(INDEX(ctaMoneda,MATCH(AB4015,ctaNombre,0))&amp;"","DOP")="USD",T4015,S4015))</f>
        <v/>
      </c>
      <c r="AG4015" s="53">
        <f>IF(AC4015="","",IF(IFERROR(INDEX(ctaMoneda,MATCH(AC4015,ctaNombre,0))&amp;"","DOP")="USD",T4015,S4015))</f>
        <v/>
      </c>
      <c r="AH4015" s="53">
        <f>IF(P4015="","",IF(AND(AD4015&lt;&gt;"",COUNTIFS(tcTipo,AD4015,tcLiq,"Sí")&gt;0),IF(OR(P4015="Gasto",P4015="Transferencia",P4015="Pago tarjeta"),-1,1)*S4015,0)+IF(AND(AE4015&lt;&gt;"",COUNTIFS(tcTipo,AE4015,tcLiq,"Sí")&gt;0),S4015,0))</f>
        <v/>
      </c>
      <c r="AI4015" s="52">
        <f>IF(OR(L4015="",P4015=""),"",IF(COUNTIFS(L$6:L4015,L4015,P$6:P4015,"?*")=1,MAX(AI$5:AI4014)+1,""))</f>
        <v/>
      </c>
    </row>
    <row r="4016">
      <c r="B4016" s="47" t="n"/>
      <c r="C4016" s="48" t="n"/>
      <c r="D4016" s="48" t="n"/>
      <c r="E4016" s="48" t="n"/>
      <c r="F4016" s="48" t="n"/>
      <c r="G4016" s="49" t="n"/>
      <c r="H4016" s="48" t="n"/>
      <c r="I4016" s="50" t="n"/>
      <c r="J4016" s="48" t="n"/>
      <c r="K4016" s="48" t="n"/>
      <c r="L4016" s="48" t="n"/>
      <c r="M4016" s="48" t="n"/>
      <c r="N4016" s="48" t="n"/>
      <c r="O4016" s="51">
        <f>IF(AND(B4016="",G4016="",C4016="",D4016="",J4016=""),"",IF(B4016="","⚠ Falta fecha",IF(G4016="","⚠ Falta monto",IF(Q4016="","⚠ Falta cuenta",IF(ISNA(MATCH(Q4016,ctaNombre,0)),"⚠ Cuenta no registrada",IF(AND(OR(P4016="Gasto",P4016="Reembolso"),D4016=""),"⚠ Falta categoría",IF(AND(D4016&lt;&gt;"",E4016&lt;&gt;"",ISNA(MATCH(D4016&amp;"|"&amp;E4016,catClave,0))),"⚠ Subcategoría no corresponde",IF(AND(OR(P4016="Transferencia",P4016="Pago tarjeta"),K4016=""),"⚠ Falta cuenta destino",IF(AND(K4016&lt;&gt;"",P4016&lt;&gt;"Transferencia",P4016&lt;&gt;"Pago tarjeta"),"⚠ Destino solo aplica a transferencias",IF(AND(K4016&lt;&gt;"",K4016=Q4016),"⚠ Origen igual a destino",IF(AND(K4016&lt;&gt;"",ISNA(MATCH(K4016,ctaNombre,0))),"⚠ Destino no registrado",IF(AND(P4016="Pago tarjeta",AE4016&lt;&gt;"Tarjeta de crédito"),"⚠ El destino debe ser tarjeta de crédito",IF(AND(P4016="Gasto",E4016="Depósitos y retiros"),"⚠ Usa tipo Transferencia",IF(AND(P4016="Resultado trading",AD4016&lt;&gt;"Cuenta de trading"),"⚠ Usa una cuenta de trading",IF(AND(G4016&lt;=0,P4016&lt;&gt;"Ajuste",P4016&lt;&gt;"Resultado trading"),"⚠ El monto debe ser positivo","✓")))))))))))))))</f>
        <v/>
      </c>
      <c r="P4016" s="52">
        <f>IF(OR(B4016="",G4016=""),"",IF(C4016="","Gasto",C4016))</f>
        <v/>
      </c>
      <c r="Q4016" s="52">
        <f>IF(P4016="","",IF(J4016&lt;&gt;"",J4016,CuentaPred&amp;""))</f>
        <v/>
      </c>
      <c r="R4016" s="52">
        <f>IF(P4016="","",IF(ISNUMBER(I4016),I4016,TasaUSD))</f>
        <v/>
      </c>
      <c r="S4016" s="53">
        <f>IF(P4016="","",IF(H4016="USD",G4016*R4016,G4016))</f>
        <v/>
      </c>
      <c r="T4016" s="53">
        <f>IF(P4016="","",IF(H4016="USD",G4016,IF(R4016&gt;0,G4016/R4016,0)))</f>
        <v/>
      </c>
      <c r="U4016" s="53">
        <f>IF(P4016="","",IF(P4016="Gasto",S4016,IF(P4016="Reembolso",-S4016,0)))</f>
        <v/>
      </c>
      <c r="V4016" s="53">
        <f>IF(P4016="","",IF(P4016="Ingreso",S4016,0))</f>
        <v/>
      </c>
      <c r="W4016" s="53">
        <f>IF(P4016="","",IF(P4016="Resultado trading",S4016,0))</f>
        <v/>
      </c>
      <c r="X4016" s="52">
        <f>IF(OR(P4016="Gasto",P4016="Reembolso"),IF(M4016&lt;&gt;"",M4016,IFERROR(INDEX(catClasif,MATCH(D4016&amp;"|"&amp;E4016,catClave,0))&amp;"","Variable")),"")</f>
        <v/>
      </c>
      <c r="Y4016" s="52">
        <f>IF(P4016="","",IFERROR(INDEX(catGrupo,MATCH(D4016&amp;"|"&amp;E4016,catClave,0))&amp;"",""))</f>
        <v/>
      </c>
      <c r="Z4016" s="52">
        <f>IF(P4016="","",WEEKDAY(B4016,2))</f>
        <v/>
      </c>
      <c r="AA4016" s="52">
        <f>IF(P4016="","",IF(AND(P4016="Gasto",X4016="Variable",D4016&lt;&gt;catTrading,S4016&gt;0,S4016&lt;=Umbral),1,0))</f>
        <v/>
      </c>
      <c r="AB4016" s="52">
        <f>IF(OR(P4016="",Q4016=""),"",IFERROR(IF(INDEX(ctaVinc,MATCH(Q4016,ctaNombre,0))&amp;""&lt;&gt;"",INDEX(ctaVinc,MATCH(Q4016,ctaNombre,0))&amp;"",Q4016),Q4016))</f>
        <v/>
      </c>
      <c r="AC4016" s="52">
        <f>IF(OR(K4016="",AND(P4016&lt;&gt;"Transferencia",P4016&lt;&gt;"Pago tarjeta")),"",IFERROR(IF(INDEX(ctaVinc,MATCH(K4016,ctaNombre,0))&amp;""&lt;&gt;"",INDEX(ctaVinc,MATCH(K4016,ctaNombre,0))&amp;"",K4016),K4016))</f>
        <v/>
      </c>
      <c r="AD4016" s="52">
        <f>IF(AB4016="","",IFERROR(INDEX(ctaTipo,MATCH(AB4016,ctaNombre,0))&amp;"",""))</f>
        <v/>
      </c>
      <c r="AE4016" s="52">
        <f>IF(AC4016="","",IFERROR(INDEX(ctaTipo,MATCH(AC4016,ctaNombre,0))&amp;"",""))</f>
        <v/>
      </c>
      <c r="AF4016" s="53">
        <f>IF(OR(P4016="",AB4016=""),"",IF(OR(P4016="Gasto",P4016="Transferencia",P4016="Pago tarjeta"),-1,1)*IF(IFERROR(INDEX(ctaMoneda,MATCH(AB4016,ctaNombre,0))&amp;"","DOP")="USD",T4016,S4016))</f>
        <v/>
      </c>
      <c r="AG4016" s="53">
        <f>IF(AC4016="","",IF(IFERROR(INDEX(ctaMoneda,MATCH(AC4016,ctaNombre,0))&amp;"","DOP")="USD",T4016,S4016))</f>
        <v/>
      </c>
      <c r="AH4016" s="53">
        <f>IF(P4016="","",IF(AND(AD4016&lt;&gt;"",COUNTIFS(tcTipo,AD4016,tcLiq,"Sí")&gt;0),IF(OR(P4016="Gasto",P4016="Transferencia",P4016="Pago tarjeta"),-1,1)*S4016,0)+IF(AND(AE4016&lt;&gt;"",COUNTIFS(tcTipo,AE4016,tcLiq,"Sí")&gt;0),S4016,0))</f>
        <v/>
      </c>
      <c r="AI4016" s="52">
        <f>IF(OR(L4016="",P4016=""),"",IF(COUNTIFS(L$6:L4016,L4016,P$6:P4016,"?*")=1,MAX(AI$5:AI4015)+1,""))</f>
        <v/>
      </c>
    </row>
    <row r="4017">
      <c r="B4017" s="47" t="n"/>
      <c r="C4017" s="48" t="n"/>
      <c r="D4017" s="48" t="n"/>
      <c r="E4017" s="48" t="n"/>
      <c r="F4017" s="48" t="n"/>
      <c r="G4017" s="49" t="n"/>
      <c r="H4017" s="48" t="n"/>
      <c r="I4017" s="50" t="n"/>
      <c r="J4017" s="48" t="n"/>
      <c r="K4017" s="48" t="n"/>
      <c r="L4017" s="48" t="n"/>
      <c r="M4017" s="48" t="n"/>
      <c r="N4017" s="48" t="n"/>
      <c r="O4017" s="51">
        <f>IF(AND(B4017="",G4017="",C4017="",D4017="",J4017=""),"",IF(B4017="","⚠ Falta fecha",IF(G4017="","⚠ Falta monto",IF(Q4017="","⚠ Falta cuenta",IF(ISNA(MATCH(Q4017,ctaNombre,0)),"⚠ Cuenta no registrada",IF(AND(OR(P4017="Gasto",P4017="Reembolso"),D4017=""),"⚠ Falta categoría",IF(AND(D4017&lt;&gt;"",E4017&lt;&gt;"",ISNA(MATCH(D4017&amp;"|"&amp;E4017,catClave,0))),"⚠ Subcategoría no corresponde",IF(AND(OR(P4017="Transferencia",P4017="Pago tarjeta"),K4017=""),"⚠ Falta cuenta destino",IF(AND(K4017&lt;&gt;"",P4017&lt;&gt;"Transferencia",P4017&lt;&gt;"Pago tarjeta"),"⚠ Destino solo aplica a transferencias",IF(AND(K4017&lt;&gt;"",K4017=Q4017),"⚠ Origen igual a destino",IF(AND(K4017&lt;&gt;"",ISNA(MATCH(K4017,ctaNombre,0))),"⚠ Destino no registrado",IF(AND(P4017="Pago tarjeta",AE4017&lt;&gt;"Tarjeta de crédito"),"⚠ El destino debe ser tarjeta de crédito",IF(AND(P4017="Gasto",E4017="Depósitos y retiros"),"⚠ Usa tipo Transferencia",IF(AND(P4017="Resultado trading",AD4017&lt;&gt;"Cuenta de trading"),"⚠ Usa una cuenta de trading",IF(AND(G4017&lt;=0,P4017&lt;&gt;"Ajuste",P4017&lt;&gt;"Resultado trading"),"⚠ El monto debe ser positivo","✓")))))))))))))))</f>
        <v/>
      </c>
      <c r="P4017" s="52">
        <f>IF(OR(B4017="",G4017=""),"",IF(C4017="","Gasto",C4017))</f>
        <v/>
      </c>
      <c r="Q4017" s="52">
        <f>IF(P4017="","",IF(J4017&lt;&gt;"",J4017,CuentaPred&amp;""))</f>
        <v/>
      </c>
      <c r="R4017" s="52">
        <f>IF(P4017="","",IF(ISNUMBER(I4017),I4017,TasaUSD))</f>
        <v/>
      </c>
      <c r="S4017" s="53">
        <f>IF(P4017="","",IF(H4017="USD",G4017*R4017,G4017))</f>
        <v/>
      </c>
      <c r="T4017" s="53">
        <f>IF(P4017="","",IF(H4017="USD",G4017,IF(R4017&gt;0,G4017/R4017,0)))</f>
        <v/>
      </c>
      <c r="U4017" s="53">
        <f>IF(P4017="","",IF(P4017="Gasto",S4017,IF(P4017="Reembolso",-S4017,0)))</f>
        <v/>
      </c>
      <c r="V4017" s="53">
        <f>IF(P4017="","",IF(P4017="Ingreso",S4017,0))</f>
        <v/>
      </c>
      <c r="W4017" s="53">
        <f>IF(P4017="","",IF(P4017="Resultado trading",S4017,0))</f>
        <v/>
      </c>
      <c r="X4017" s="52">
        <f>IF(OR(P4017="Gasto",P4017="Reembolso"),IF(M4017&lt;&gt;"",M4017,IFERROR(INDEX(catClasif,MATCH(D4017&amp;"|"&amp;E4017,catClave,0))&amp;"","Variable")),"")</f>
        <v/>
      </c>
      <c r="Y4017" s="52">
        <f>IF(P4017="","",IFERROR(INDEX(catGrupo,MATCH(D4017&amp;"|"&amp;E4017,catClave,0))&amp;"",""))</f>
        <v/>
      </c>
      <c r="Z4017" s="52">
        <f>IF(P4017="","",WEEKDAY(B4017,2))</f>
        <v/>
      </c>
      <c r="AA4017" s="52">
        <f>IF(P4017="","",IF(AND(P4017="Gasto",X4017="Variable",D4017&lt;&gt;catTrading,S4017&gt;0,S4017&lt;=Umbral),1,0))</f>
        <v/>
      </c>
      <c r="AB4017" s="52">
        <f>IF(OR(P4017="",Q4017=""),"",IFERROR(IF(INDEX(ctaVinc,MATCH(Q4017,ctaNombre,0))&amp;""&lt;&gt;"",INDEX(ctaVinc,MATCH(Q4017,ctaNombre,0))&amp;"",Q4017),Q4017))</f>
        <v/>
      </c>
      <c r="AC4017" s="52">
        <f>IF(OR(K4017="",AND(P4017&lt;&gt;"Transferencia",P4017&lt;&gt;"Pago tarjeta")),"",IFERROR(IF(INDEX(ctaVinc,MATCH(K4017,ctaNombre,0))&amp;""&lt;&gt;"",INDEX(ctaVinc,MATCH(K4017,ctaNombre,0))&amp;"",K4017),K4017))</f>
        <v/>
      </c>
      <c r="AD4017" s="52">
        <f>IF(AB4017="","",IFERROR(INDEX(ctaTipo,MATCH(AB4017,ctaNombre,0))&amp;"",""))</f>
        <v/>
      </c>
      <c r="AE4017" s="52">
        <f>IF(AC4017="","",IFERROR(INDEX(ctaTipo,MATCH(AC4017,ctaNombre,0))&amp;"",""))</f>
        <v/>
      </c>
      <c r="AF4017" s="53">
        <f>IF(OR(P4017="",AB4017=""),"",IF(OR(P4017="Gasto",P4017="Transferencia",P4017="Pago tarjeta"),-1,1)*IF(IFERROR(INDEX(ctaMoneda,MATCH(AB4017,ctaNombre,0))&amp;"","DOP")="USD",T4017,S4017))</f>
        <v/>
      </c>
      <c r="AG4017" s="53">
        <f>IF(AC4017="","",IF(IFERROR(INDEX(ctaMoneda,MATCH(AC4017,ctaNombre,0))&amp;"","DOP")="USD",T4017,S4017))</f>
        <v/>
      </c>
      <c r="AH4017" s="53">
        <f>IF(P4017="","",IF(AND(AD4017&lt;&gt;"",COUNTIFS(tcTipo,AD4017,tcLiq,"Sí")&gt;0),IF(OR(P4017="Gasto",P4017="Transferencia",P4017="Pago tarjeta"),-1,1)*S4017,0)+IF(AND(AE4017&lt;&gt;"",COUNTIFS(tcTipo,AE4017,tcLiq,"Sí")&gt;0),S4017,0))</f>
        <v/>
      </c>
      <c r="AI4017" s="52">
        <f>IF(OR(L4017="",P4017=""),"",IF(COUNTIFS(L$6:L4017,L4017,P$6:P4017,"?*")=1,MAX(AI$5:AI4016)+1,""))</f>
        <v/>
      </c>
    </row>
    <row r="4018">
      <c r="B4018" s="47" t="n"/>
      <c r="C4018" s="48" t="n"/>
      <c r="D4018" s="48" t="n"/>
      <c r="E4018" s="48" t="n"/>
      <c r="F4018" s="48" t="n"/>
      <c r="G4018" s="49" t="n"/>
      <c r="H4018" s="48" t="n"/>
      <c r="I4018" s="50" t="n"/>
      <c r="J4018" s="48" t="n"/>
      <c r="K4018" s="48" t="n"/>
      <c r="L4018" s="48" t="n"/>
      <c r="M4018" s="48" t="n"/>
      <c r="N4018" s="48" t="n"/>
      <c r="O4018" s="51">
        <f>IF(AND(B4018="",G4018="",C4018="",D4018="",J4018=""),"",IF(B4018="","⚠ Falta fecha",IF(G4018="","⚠ Falta monto",IF(Q4018="","⚠ Falta cuenta",IF(ISNA(MATCH(Q4018,ctaNombre,0)),"⚠ Cuenta no registrada",IF(AND(OR(P4018="Gasto",P4018="Reembolso"),D4018=""),"⚠ Falta categoría",IF(AND(D4018&lt;&gt;"",E4018&lt;&gt;"",ISNA(MATCH(D4018&amp;"|"&amp;E4018,catClave,0))),"⚠ Subcategoría no corresponde",IF(AND(OR(P4018="Transferencia",P4018="Pago tarjeta"),K4018=""),"⚠ Falta cuenta destino",IF(AND(K4018&lt;&gt;"",P4018&lt;&gt;"Transferencia",P4018&lt;&gt;"Pago tarjeta"),"⚠ Destino solo aplica a transferencias",IF(AND(K4018&lt;&gt;"",K4018=Q4018),"⚠ Origen igual a destino",IF(AND(K4018&lt;&gt;"",ISNA(MATCH(K4018,ctaNombre,0))),"⚠ Destino no registrado",IF(AND(P4018="Pago tarjeta",AE4018&lt;&gt;"Tarjeta de crédito"),"⚠ El destino debe ser tarjeta de crédito",IF(AND(P4018="Gasto",E4018="Depósitos y retiros"),"⚠ Usa tipo Transferencia",IF(AND(P4018="Resultado trading",AD4018&lt;&gt;"Cuenta de trading"),"⚠ Usa una cuenta de trading",IF(AND(G4018&lt;=0,P4018&lt;&gt;"Ajuste",P4018&lt;&gt;"Resultado trading"),"⚠ El monto debe ser positivo","✓")))))))))))))))</f>
        <v/>
      </c>
      <c r="P4018" s="52">
        <f>IF(OR(B4018="",G4018=""),"",IF(C4018="","Gasto",C4018))</f>
        <v/>
      </c>
      <c r="Q4018" s="52">
        <f>IF(P4018="","",IF(J4018&lt;&gt;"",J4018,CuentaPred&amp;""))</f>
        <v/>
      </c>
      <c r="R4018" s="52">
        <f>IF(P4018="","",IF(ISNUMBER(I4018),I4018,TasaUSD))</f>
        <v/>
      </c>
      <c r="S4018" s="53">
        <f>IF(P4018="","",IF(H4018="USD",G4018*R4018,G4018))</f>
        <v/>
      </c>
      <c r="T4018" s="53">
        <f>IF(P4018="","",IF(H4018="USD",G4018,IF(R4018&gt;0,G4018/R4018,0)))</f>
        <v/>
      </c>
      <c r="U4018" s="53">
        <f>IF(P4018="","",IF(P4018="Gasto",S4018,IF(P4018="Reembolso",-S4018,0)))</f>
        <v/>
      </c>
      <c r="V4018" s="53">
        <f>IF(P4018="","",IF(P4018="Ingreso",S4018,0))</f>
        <v/>
      </c>
      <c r="W4018" s="53">
        <f>IF(P4018="","",IF(P4018="Resultado trading",S4018,0))</f>
        <v/>
      </c>
      <c r="X4018" s="52">
        <f>IF(OR(P4018="Gasto",P4018="Reembolso"),IF(M4018&lt;&gt;"",M4018,IFERROR(INDEX(catClasif,MATCH(D4018&amp;"|"&amp;E4018,catClave,0))&amp;"","Variable")),"")</f>
        <v/>
      </c>
      <c r="Y4018" s="52">
        <f>IF(P4018="","",IFERROR(INDEX(catGrupo,MATCH(D4018&amp;"|"&amp;E4018,catClave,0))&amp;"",""))</f>
        <v/>
      </c>
      <c r="Z4018" s="52">
        <f>IF(P4018="","",WEEKDAY(B4018,2))</f>
        <v/>
      </c>
      <c r="AA4018" s="52">
        <f>IF(P4018="","",IF(AND(P4018="Gasto",X4018="Variable",D4018&lt;&gt;catTrading,S4018&gt;0,S4018&lt;=Umbral),1,0))</f>
        <v/>
      </c>
      <c r="AB4018" s="52">
        <f>IF(OR(P4018="",Q4018=""),"",IFERROR(IF(INDEX(ctaVinc,MATCH(Q4018,ctaNombre,0))&amp;""&lt;&gt;"",INDEX(ctaVinc,MATCH(Q4018,ctaNombre,0))&amp;"",Q4018),Q4018))</f>
        <v/>
      </c>
      <c r="AC4018" s="52">
        <f>IF(OR(K4018="",AND(P4018&lt;&gt;"Transferencia",P4018&lt;&gt;"Pago tarjeta")),"",IFERROR(IF(INDEX(ctaVinc,MATCH(K4018,ctaNombre,0))&amp;""&lt;&gt;"",INDEX(ctaVinc,MATCH(K4018,ctaNombre,0))&amp;"",K4018),K4018))</f>
        <v/>
      </c>
      <c r="AD4018" s="52">
        <f>IF(AB4018="","",IFERROR(INDEX(ctaTipo,MATCH(AB4018,ctaNombre,0))&amp;"",""))</f>
        <v/>
      </c>
      <c r="AE4018" s="52">
        <f>IF(AC4018="","",IFERROR(INDEX(ctaTipo,MATCH(AC4018,ctaNombre,0))&amp;"",""))</f>
        <v/>
      </c>
      <c r="AF4018" s="53">
        <f>IF(OR(P4018="",AB4018=""),"",IF(OR(P4018="Gasto",P4018="Transferencia",P4018="Pago tarjeta"),-1,1)*IF(IFERROR(INDEX(ctaMoneda,MATCH(AB4018,ctaNombre,0))&amp;"","DOP")="USD",T4018,S4018))</f>
        <v/>
      </c>
      <c r="AG4018" s="53">
        <f>IF(AC4018="","",IF(IFERROR(INDEX(ctaMoneda,MATCH(AC4018,ctaNombre,0))&amp;"","DOP")="USD",T4018,S4018))</f>
        <v/>
      </c>
      <c r="AH4018" s="53">
        <f>IF(P4018="","",IF(AND(AD4018&lt;&gt;"",COUNTIFS(tcTipo,AD4018,tcLiq,"Sí")&gt;0),IF(OR(P4018="Gasto",P4018="Transferencia",P4018="Pago tarjeta"),-1,1)*S4018,0)+IF(AND(AE4018&lt;&gt;"",COUNTIFS(tcTipo,AE4018,tcLiq,"Sí")&gt;0),S4018,0))</f>
        <v/>
      </c>
      <c r="AI4018" s="52">
        <f>IF(OR(L4018="",P4018=""),"",IF(COUNTIFS(L$6:L4018,L4018,P$6:P4018,"?*")=1,MAX(AI$5:AI4017)+1,""))</f>
        <v/>
      </c>
    </row>
    <row r="4019">
      <c r="B4019" s="47" t="n"/>
      <c r="C4019" s="48" t="n"/>
      <c r="D4019" s="48" t="n"/>
      <c r="E4019" s="48" t="n"/>
      <c r="F4019" s="48" t="n"/>
      <c r="G4019" s="49" t="n"/>
      <c r="H4019" s="48" t="n"/>
      <c r="I4019" s="50" t="n"/>
      <c r="J4019" s="48" t="n"/>
      <c r="K4019" s="48" t="n"/>
      <c r="L4019" s="48" t="n"/>
      <c r="M4019" s="48" t="n"/>
      <c r="N4019" s="48" t="n"/>
      <c r="O4019" s="51">
        <f>IF(AND(B4019="",G4019="",C4019="",D4019="",J4019=""),"",IF(B4019="","⚠ Falta fecha",IF(G4019="","⚠ Falta monto",IF(Q4019="","⚠ Falta cuenta",IF(ISNA(MATCH(Q4019,ctaNombre,0)),"⚠ Cuenta no registrada",IF(AND(OR(P4019="Gasto",P4019="Reembolso"),D4019=""),"⚠ Falta categoría",IF(AND(D4019&lt;&gt;"",E4019&lt;&gt;"",ISNA(MATCH(D4019&amp;"|"&amp;E4019,catClave,0))),"⚠ Subcategoría no corresponde",IF(AND(OR(P4019="Transferencia",P4019="Pago tarjeta"),K4019=""),"⚠ Falta cuenta destino",IF(AND(K4019&lt;&gt;"",P4019&lt;&gt;"Transferencia",P4019&lt;&gt;"Pago tarjeta"),"⚠ Destino solo aplica a transferencias",IF(AND(K4019&lt;&gt;"",K4019=Q4019),"⚠ Origen igual a destino",IF(AND(K4019&lt;&gt;"",ISNA(MATCH(K4019,ctaNombre,0))),"⚠ Destino no registrado",IF(AND(P4019="Pago tarjeta",AE4019&lt;&gt;"Tarjeta de crédito"),"⚠ El destino debe ser tarjeta de crédito",IF(AND(P4019="Gasto",E4019="Depósitos y retiros"),"⚠ Usa tipo Transferencia",IF(AND(P4019="Resultado trading",AD4019&lt;&gt;"Cuenta de trading"),"⚠ Usa una cuenta de trading",IF(AND(G4019&lt;=0,P4019&lt;&gt;"Ajuste",P4019&lt;&gt;"Resultado trading"),"⚠ El monto debe ser positivo","✓")))))))))))))))</f>
        <v/>
      </c>
      <c r="P4019" s="52">
        <f>IF(OR(B4019="",G4019=""),"",IF(C4019="","Gasto",C4019))</f>
        <v/>
      </c>
      <c r="Q4019" s="52">
        <f>IF(P4019="","",IF(J4019&lt;&gt;"",J4019,CuentaPred&amp;""))</f>
        <v/>
      </c>
      <c r="R4019" s="52">
        <f>IF(P4019="","",IF(ISNUMBER(I4019),I4019,TasaUSD))</f>
        <v/>
      </c>
      <c r="S4019" s="53">
        <f>IF(P4019="","",IF(H4019="USD",G4019*R4019,G4019))</f>
        <v/>
      </c>
      <c r="T4019" s="53">
        <f>IF(P4019="","",IF(H4019="USD",G4019,IF(R4019&gt;0,G4019/R4019,0)))</f>
        <v/>
      </c>
      <c r="U4019" s="53">
        <f>IF(P4019="","",IF(P4019="Gasto",S4019,IF(P4019="Reembolso",-S4019,0)))</f>
        <v/>
      </c>
      <c r="V4019" s="53">
        <f>IF(P4019="","",IF(P4019="Ingreso",S4019,0))</f>
        <v/>
      </c>
      <c r="W4019" s="53">
        <f>IF(P4019="","",IF(P4019="Resultado trading",S4019,0))</f>
        <v/>
      </c>
      <c r="X4019" s="52">
        <f>IF(OR(P4019="Gasto",P4019="Reembolso"),IF(M4019&lt;&gt;"",M4019,IFERROR(INDEX(catClasif,MATCH(D4019&amp;"|"&amp;E4019,catClave,0))&amp;"","Variable")),"")</f>
        <v/>
      </c>
      <c r="Y4019" s="52">
        <f>IF(P4019="","",IFERROR(INDEX(catGrupo,MATCH(D4019&amp;"|"&amp;E4019,catClave,0))&amp;"",""))</f>
        <v/>
      </c>
      <c r="Z4019" s="52">
        <f>IF(P4019="","",WEEKDAY(B4019,2))</f>
        <v/>
      </c>
      <c r="AA4019" s="52">
        <f>IF(P4019="","",IF(AND(P4019="Gasto",X4019="Variable",D4019&lt;&gt;catTrading,S4019&gt;0,S4019&lt;=Umbral),1,0))</f>
        <v/>
      </c>
      <c r="AB4019" s="52">
        <f>IF(OR(P4019="",Q4019=""),"",IFERROR(IF(INDEX(ctaVinc,MATCH(Q4019,ctaNombre,0))&amp;""&lt;&gt;"",INDEX(ctaVinc,MATCH(Q4019,ctaNombre,0))&amp;"",Q4019),Q4019))</f>
        <v/>
      </c>
      <c r="AC4019" s="52">
        <f>IF(OR(K4019="",AND(P4019&lt;&gt;"Transferencia",P4019&lt;&gt;"Pago tarjeta")),"",IFERROR(IF(INDEX(ctaVinc,MATCH(K4019,ctaNombre,0))&amp;""&lt;&gt;"",INDEX(ctaVinc,MATCH(K4019,ctaNombre,0))&amp;"",K4019),K4019))</f>
        <v/>
      </c>
      <c r="AD4019" s="52">
        <f>IF(AB4019="","",IFERROR(INDEX(ctaTipo,MATCH(AB4019,ctaNombre,0))&amp;"",""))</f>
        <v/>
      </c>
      <c r="AE4019" s="52">
        <f>IF(AC4019="","",IFERROR(INDEX(ctaTipo,MATCH(AC4019,ctaNombre,0))&amp;"",""))</f>
        <v/>
      </c>
      <c r="AF4019" s="53">
        <f>IF(OR(P4019="",AB4019=""),"",IF(OR(P4019="Gasto",P4019="Transferencia",P4019="Pago tarjeta"),-1,1)*IF(IFERROR(INDEX(ctaMoneda,MATCH(AB4019,ctaNombre,0))&amp;"","DOP")="USD",T4019,S4019))</f>
        <v/>
      </c>
      <c r="AG4019" s="53">
        <f>IF(AC4019="","",IF(IFERROR(INDEX(ctaMoneda,MATCH(AC4019,ctaNombre,0))&amp;"","DOP")="USD",T4019,S4019))</f>
        <v/>
      </c>
      <c r="AH4019" s="53">
        <f>IF(P4019="","",IF(AND(AD4019&lt;&gt;"",COUNTIFS(tcTipo,AD4019,tcLiq,"Sí")&gt;0),IF(OR(P4019="Gasto",P4019="Transferencia",P4019="Pago tarjeta"),-1,1)*S4019,0)+IF(AND(AE4019&lt;&gt;"",COUNTIFS(tcTipo,AE4019,tcLiq,"Sí")&gt;0),S4019,0))</f>
        <v/>
      </c>
      <c r="AI4019" s="52">
        <f>IF(OR(L4019="",P4019=""),"",IF(COUNTIFS(L$6:L4019,L4019,P$6:P4019,"?*")=1,MAX(AI$5:AI4018)+1,""))</f>
        <v/>
      </c>
    </row>
    <row r="4020">
      <c r="B4020" s="47" t="n"/>
      <c r="C4020" s="48" t="n"/>
      <c r="D4020" s="48" t="n"/>
      <c r="E4020" s="48" t="n"/>
      <c r="F4020" s="48" t="n"/>
      <c r="G4020" s="49" t="n"/>
      <c r="H4020" s="48" t="n"/>
      <c r="I4020" s="50" t="n"/>
      <c r="J4020" s="48" t="n"/>
      <c r="K4020" s="48" t="n"/>
      <c r="L4020" s="48" t="n"/>
      <c r="M4020" s="48" t="n"/>
      <c r="N4020" s="48" t="n"/>
      <c r="O4020" s="51">
        <f>IF(AND(B4020="",G4020="",C4020="",D4020="",J4020=""),"",IF(B4020="","⚠ Falta fecha",IF(G4020="","⚠ Falta monto",IF(Q4020="","⚠ Falta cuenta",IF(ISNA(MATCH(Q4020,ctaNombre,0)),"⚠ Cuenta no registrada",IF(AND(OR(P4020="Gasto",P4020="Reembolso"),D4020=""),"⚠ Falta categoría",IF(AND(D4020&lt;&gt;"",E4020&lt;&gt;"",ISNA(MATCH(D4020&amp;"|"&amp;E4020,catClave,0))),"⚠ Subcategoría no corresponde",IF(AND(OR(P4020="Transferencia",P4020="Pago tarjeta"),K4020=""),"⚠ Falta cuenta destino",IF(AND(K4020&lt;&gt;"",P4020&lt;&gt;"Transferencia",P4020&lt;&gt;"Pago tarjeta"),"⚠ Destino solo aplica a transferencias",IF(AND(K4020&lt;&gt;"",K4020=Q4020),"⚠ Origen igual a destino",IF(AND(K4020&lt;&gt;"",ISNA(MATCH(K4020,ctaNombre,0))),"⚠ Destino no registrado",IF(AND(P4020="Pago tarjeta",AE4020&lt;&gt;"Tarjeta de crédito"),"⚠ El destino debe ser tarjeta de crédito",IF(AND(P4020="Gasto",E4020="Depósitos y retiros"),"⚠ Usa tipo Transferencia",IF(AND(P4020="Resultado trading",AD4020&lt;&gt;"Cuenta de trading"),"⚠ Usa una cuenta de trading",IF(AND(G4020&lt;=0,P4020&lt;&gt;"Ajuste",P4020&lt;&gt;"Resultado trading"),"⚠ El monto debe ser positivo","✓")))))))))))))))</f>
        <v/>
      </c>
      <c r="P4020" s="52">
        <f>IF(OR(B4020="",G4020=""),"",IF(C4020="","Gasto",C4020))</f>
        <v/>
      </c>
      <c r="Q4020" s="52">
        <f>IF(P4020="","",IF(J4020&lt;&gt;"",J4020,CuentaPred&amp;""))</f>
        <v/>
      </c>
      <c r="R4020" s="52">
        <f>IF(P4020="","",IF(ISNUMBER(I4020),I4020,TasaUSD))</f>
        <v/>
      </c>
      <c r="S4020" s="53">
        <f>IF(P4020="","",IF(H4020="USD",G4020*R4020,G4020))</f>
        <v/>
      </c>
      <c r="T4020" s="53">
        <f>IF(P4020="","",IF(H4020="USD",G4020,IF(R4020&gt;0,G4020/R4020,0)))</f>
        <v/>
      </c>
      <c r="U4020" s="53">
        <f>IF(P4020="","",IF(P4020="Gasto",S4020,IF(P4020="Reembolso",-S4020,0)))</f>
        <v/>
      </c>
      <c r="V4020" s="53">
        <f>IF(P4020="","",IF(P4020="Ingreso",S4020,0))</f>
        <v/>
      </c>
      <c r="W4020" s="53">
        <f>IF(P4020="","",IF(P4020="Resultado trading",S4020,0))</f>
        <v/>
      </c>
      <c r="X4020" s="52">
        <f>IF(OR(P4020="Gasto",P4020="Reembolso"),IF(M4020&lt;&gt;"",M4020,IFERROR(INDEX(catClasif,MATCH(D4020&amp;"|"&amp;E4020,catClave,0))&amp;"","Variable")),"")</f>
        <v/>
      </c>
      <c r="Y4020" s="52">
        <f>IF(P4020="","",IFERROR(INDEX(catGrupo,MATCH(D4020&amp;"|"&amp;E4020,catClave,0))&amp;"",""))</f>
        <v/>
      </c>
      <c r="Z4020" s="52">
        <f>IF(P4020="","",WEEKDAY(B4020,2))</f>
        <v/>
      </c>
      <c r="AA4020" s="52">
        <f>IF(P4020="","",IF(AND(P4020="Gasto",X4020="Variable",D4020&lt;&gt;catTrading,S4020&gt;0,S4020&lt;=Umbral),1,0))</f>
        <v/>
      </c>
      <c r="AB4020" s="52">
        <f>IF(OR(P4020="",Q4020=""),"",IFERROR(IF(INDEX(ctaVinc,MATCH(Q4020,ctaNombre,0))&amp;""&lt;&gt;"",INDEX(ctaVinc,MATCH(Q4020,ctaNombre,0))&amp;"",Q4020),Q4020))</f>
        <v/>
      </c>
      <c r="AC4020" s="52">
        <f>IF(OR(K4020="",AND(P4020&lt;&gt;"Transferencia",P4020&lt;&gt;"Pago tarjeta")),"",IFERROR(IF(INDEX(ctaVinc,MATCH(K4020,ctaNombre,0))&amp;""&lt;&gt;"",INDEX(ctaVinc,MATCH(K4020,ctaNombre,0))&amp;"",K4020),K4020))</f>
        <v/>
      </c>
      <c r="AD4020" s="52">
        <f>IF(AB4020="","",IFERROR(INDEX(ctaTipo,MATCH(AB4020,ctaNombre,0))&amp;"",""))</f>
        <v/>
      </c>
      <c r="AE4020" s="52">
        <f>IF(AC4020="","",IFERROR(INDEX(ctaTipo,MATCH(AC4020,ctaNombre,0))&amp;"",""))</f>
        <v/>
      </c>
      <c r="AF4020" s="53">
        <f>IF(OR(P4020="",AB4020=""),"",IF(OR(P4020="Gasto",P4020="Transferencia",P4020="Pago tarjeta"),-1,1)*IF(IFERROR(INDEX(ctaMoneda,MATCH(AB4020,ctaNombre,0))&amp;"","DOP")="USD",T4020,S4020))</f>
        <v/>
      </c>
      <c r="AG4020" s="53">
        <f>IF(AC4020="","",IF(IFERROR(INDEX(ctaMoneda,MATCH(AC4020,ctaNombre,0))&amp;"","DOP")="USD",T4020,S4020))</f>
        <v/>
      </c>
      <c r="AH4020" s="53">
        <f>IF(P4020="","",IF(AND(AD4020&lt;&gt;"",COUNTIFS(tcTipo,AD4020,tcLiq,"Sí")&gt;0),IF(OR(P4020="Gasto",P4020="Transferencia",P4020="Pago tarjeta"),-1,1)*S4020,0)+IF(AND(AE4020&lt;&gt;"",COUNTIFS(tcTipo,AE4020,tcLiq,"Sí")&gt;0),S4020,0))</f>
        <v/>
      </c>
      <c r="AI4020" s="52">
        <f>IF(OR(L4020="",P4020=""),"",IF(COUNTIFS(L$6:L4020,L4020,P$6:P4020,"?*")=1,MAX(AI$5:AI4019)+1,""))</f>
        <v/>
      </c>
    </row>
    <row r="4021">
      <c r="B4021" s="47" t="n"/>
      <c r="C4021" s="48" t="n"/>
      <c r="D4021" s="48" t="n"/>
      <c r="E4021" s="48" t="n"/>
      <c r="F4021" s="48" t="n"/>
      <c r="G4021" s="49" t="n"/>
      <c r="H4021" s="48" t="n"/>
      <c r="I4021" s="50" t="n"/>
      <c r="J4021" s="48" t="n"/>
      <c r="K4021" s="48" t="n"/>
      <c r="L4021" s="48" t="n"/>
      <c r="M4021" s="48" t="n"/>
      <c r="N4021" s="48" t="n"/>
      <c r="O4021" s="51">
        <f>IF(AND(B4021="",G4021="",C4021="",D4021="",J4021=""),"",IF(B4021="","⚠ Falta fecha",IF(G4021="","⚠ Falta monto",IF(Q4021="","⚠ Falta cuenta",IF(ISNA(MATCH(Q4021,ctaNombre,0)),"⚠ Cuenta no registrada",IF(AND(OR(P4021="Gasto",P4021="Reembolso"),D4021=""),"⚠ Falta categoría",IF(AND(D4021&lt;&gt;"",E4021&lt;&gt;"",ISNA(MATCH(D4021&amp;"|"&amp;E4021,catClave,0))),"⚠ Subcategoría no corresponde",IF(AND(OR(P4021="Transferencia",P4021="Pago tarjeta"),K4021=""),"⚠ Falta cuenta destino",IF(AND(K4021&lt;&gt;"",P4021&lt;&gt;"Transferencia",P4021&lt;&gt;"Pago tarjeta"),"⚠ Destino solo aplica a transferencias",IF(AND(K4021&lt;&gt;"",K4021=Q4021),"⚠ Origen igual a destino",IF(AND(K4021&lt;&gt;"",ISNA(MATCH(K4021,ctaNombre,0))),"⚠ Destino no registrado",IF(AND(P4021="Pago tarjeta",AE4021&lt;&gt;"Tarjeta de crédito"),"⚠ El destino debe ser tarjeta de crédito",IF(AND(P4021="Gasto",E4021="Depósitos y retiros"),"⚠ Usa tipo Transferencia",IF(AND(P4021="Resultado trading",AD4021&lt;&gt;"Cuenta de trading"),"⚠ Usa una cuenta de trading",IF(AND(G4021&lt;=0,P4021&lt;&gt;"Ajuste",P4021&lt;&gt;"Resultado trading"),"⚠ El monto debe ser positivo","✓")))))))))))))))</f>
        <v/>
      </c>
      <c r="P4021" s="52">
        <f>IF(OR(B4021="",G4021=""),"",IF(C4021="","Gasto",C4021))</f>
        <v/>
      </c>
      <c r="Q4021" s="52">
        <f>IF(P4021="","",IF(J4021&lt;&gt;"",J4021,CuentaPred&amp;""))</f>
        <v/>
      </c>
      <c r="R4021" s="52">
        <f>IF(P4021="","",IF(ISNUMBER(I4021),I4021,TasaUSD))</f>
        <v/>
      </c>
      <c r="S4021" s="53">
        <f>IF(P4021="","",IF(H4021="USD",G4021*R4021,G4021))</f>
        <v/>
      </c>
      <c r="T4021" s="53">
        <f>IF(P4021="","",IF(H4021="USD",G4021,IF(R4021&gt;0,G4021/R4021,0)))</f>
        <v/>
      </c>
      <c r="U4021" s="53">
        <f>IF(P4021="","",IF(P4021="Gasto",S4021,IF(P4021="Reembolso",-S4021,0)))</f>
        <v/>
      </c>
      <c r="V4021" s="53">
        <f>IF(P4021="","",IF(P4021="Ingreso",S4021,0))</f>
        <v/>
      </c>
      <c r="W4021" s="53">
        <f>IF(P4021="","",IF(P4021="Resultado trading",S4021,0))</f>
        <v/>
      </c>
      <c r="X4021" s="52">
        <f>IF(OR(P4021="Gasto",P4021="Reembolso"),IF(M4021&lt;&gt;"",M4021,IFERROR(INDEX(catClasif,MATCH(D4021&amp;"|"&amp;E4021,catClave,0))&amp;"","Variable")),"")</f>
        <v/>
      </c>
      <c r="Y4021" s="52">
        <f>IF(P4021="","",IFERROR(INDEX(catGrupo,MATCH(D4021&amp;"|"&amp;E4021,catClave,0))&amp;"",""))</f>
        <v/>
      </c>
      <c r="Z4021" s="52">
        <f>IF(P4021="","",WEEKDAY(B4021,2))</f>
        <v/>
      </c>
      <c r="AA4021" s="52">
        <f>IF(P4021="","",IF(AND(P4021="Gasto",X4021="Variable",D4021&lt;&gt;catTrading,S4021&gt;0,S4021&lt;=Umbral),1,0))</f>
        <v/>
      </c>
      <c r="AB4021" s="52">
        <f>IF(OR(P4021="",Q4021=""),"",IFERROR(IF(INDEX(ctaVinc,MATCH(Q4021,ctaNombre,0))&amp;""&lt;&gt;"",INDEX(ctaVinc,MATCH(Q4021,ctaNombre,0))&amp;"",Q4021),Q4021))</f>
        <v/>
      </c>
      <c r="AC4021" s="52">
        <f>IF(OR(K4021="",AND(P4021&lt;&gt;"Transferencia",P4021&lt;&gt;"Pago tarjeta")),"",IFERROR(IF(INDEX(ctaVinc,MATCH(K4021,ctaNombre,0))&amp;""&lt;&gt;"",INDEX(ctaVinc,MATCH(K4021,ctaNombre,0))&amp;"",K4021),K4021))</f>
        <v/>
      </c>
      <c r="AD4021" s="52">
        <f>IF(AB4021="","",IFERROR(INDEX(ctaTipo,MATCH(AB4021,ctaNombre,0))&amp;"",""))</f>
        <v/>
      </c>
      <c r="AE4021" s="52">
        <f>IF(AC4021="","",IFERROR(INDEX(ctaTipo,MATCH(AC4021,ctaNombre,0))&amp;"",""))</f>
        <v/>
      </c>
      <c r="AF4021" s="53">
        <f>IF(OR(P4021="",AB4021=""),"",IF(OR(P4021="Gasto",P4021="Transferencia",P4021="Pago tarjeta"),-1,1)*IF(IFERROR(INDEX(ctaMoneda,MATCH(AB4021,ctaNombre,0))&amp;"","DOP")="USD",T4021,S4021))</f>
        <v/>
      </c>
      <c r="AG4021" s="53">
        <f>IF(AC4021="","",IF(IFERROR(INDEX(ctaMoneda,MATCH(AC4021,ctaNombre,0))&amp;"","DOP")="USD",T4021,S4021))</f>
        <v/>
      </c>
      <c r="AH4021" s="53">
        <f>IF(P4021="","",IF(AND(AD4021&lt;&gt;"",COUNTIFS(tcTipo,AD4021,tcLiq,"Sí")&gt;0),IF(OR(P4021="Gasto",P4021="Transferencia",P4021="Pago tarjeta"),-1,1)*S4021,0)+IF(AND(AE4021&lt;&gt;"",COUNTIFS(tcTipo,AE4021,tcLiq,"Sí")&gt;0),S4021,0))</f>
        <v/>
      </c>
      <c r="AI4021" s="52">
        <f>IF(OR(L4021="",P4021=""),"",IF(COUNTIFS(L$6:L4021,L4021,P$6:P4021,"?*")=1,MAX(AI$5:AI4020)+1,""))</f>
        <v/>
      </c>
    </row>
    <row r="4022">
      <c r="B4022" s="47" t="n"/>
      <c r="C4022" s="48" t="n"/>
      <c r="D4022" s="48" t="n"/>
      <c r="E4022" s="48" t="n"/>
      <c r="F4022" s="48" t="n"/>
      <c r="G4022" s="49" t="n"/>
      <c r="H4022" s="48" t="n"/>
      <c r="I4022" s="50" t="n"/>
      <c r="J4022" s="48" t="n"/>
      <c r="K4022" s="48" t="n"/>
      <c r="L4022" s="48" t="n"/>
      <c r="M4022" s="48" t="n"/>
      <c r="N4022" s="48" t="n"/>
      <c r="O4022" s="51">
        <f>IF(AND(B4022="",G4022="",C4022="",D4022="",J4022=""),"",IF(B4022="","⚠ Falta fecha",IF(G4022="","⚠ Falta monto",IF(Q4022="","⚠ Falta cuenta",IF(ISNA(MATCH(Q4022,ctaNombre,0)),"⚠ Cuenta no registrada",IF(AND(OR(P4022="Gasto",P4022="Reembolso"),D4022=""),"⚠ Falta categoría",IF(AND(D4022&lt;&gt;"",E4022&lt;&gt;"",ISNA(MATCH(D4022&amp;"|"&amp;E4022,catClave,0))),"⚠ Subcategoría no corresponde",IF(AND(OR(P4022="Transferencia",P4022="Pago tarjeta"),K4022=""),"⚠ Falta cuenta destino",IF(AND(K4022&lt;&gt;"",P4022&lt;&gt;"Transferencia",P4022&lt;&gt;"Pago tarjeta"),"⚠ Destino solo aplica a transferencias",IF(AND(K4022&lt;&gt;"",K4022=Q4022),"⚠ Origen igual a destino",IF(AND(K4022&lt;&gt;"",ISNA(MATCH(K4022,ctaNombre,0))),"⚠ Destino no registrado",IF(AND(P4022="Pago tarjeta",AE4022&lt;&gt;"Tarjeta de crédito"),"⚠ El destino debe ser tarjeta de crédito",IF(AND(P4022="Gasto",E4022="Depósitos y retiros"),"⚠ Usa tipo Transferencia",IF(AND(P4022="Resultado trading",AD4022&lt;&gt;"Cuenta de trading"),"⚠ Usa una cuenta de trading",IF(AND(G4022&lt;=0,P4022&lt;&gt;"Ajuste",P4022&lt;&gt;"Resultado trading"),"⚠ El monto debe ser positivo","✓")))))))))))))))</f>
        <v/>
      </c>
      <c r="P4022" s="52">
        <f>IF(OR(B4022="",G4022=""),"",IF(C4022="","Gasto",C4022))</f>
        <v/>
      </c>
      <c r="Q4022" s="52">
        <f>IF(P4022="","",IF(J4022&lt;&gt;"",J4022,CuentaPred&amp;""))</f>
        <v/>
      </c>
      <c r="R4022" s="52">
        <f>IF(P4022="","",IF(ISNUMBER(I4022),I4022,TasaUSD))</f>
        <v/>
      </c>
      <c r="S4022" s="53">
        <f>IF(P4022="","",IF(H4022="USD",G4022*R4022,G4022))</f>
        <v/>
      </c>
      <c r="T4022" s="53">
        <f>IF(P4022="","",IF(H4022="USD",G4022,IF(R4022&gt;0,G4022/R4022,0)))</f>
        <v/>
      </c>
      <c r="U4022" s="53">
        <f>IF(P4022="","",IF(P4022="Gasto",S4022,IF(P4022="Reembolso",-S4022,0)))</f>
        <v/>
      </c>
      <c r="V4022" s="53">
        <f>IF(P4022="","",IF(P4022="Ingreso",S4022,0))</f>
        <v/>
      </c>
      <c r="W4022" s="53">
        <f>IF(P4022="","",IF(P4022="Resultado trading",S4022,0))</f>
        <v/>
      </c>
      <c r="X4022" s="52">
        <f>IF(OR(P4022="Gasto",P4022="Reembolso"),IF(M4022&lt;&gt;"",M4022,IFERROR(INDEX(catClasif,MATCH(D4022&amp;"|"&amp;E4022,catClave,0))&amp;"","Variable")),"")</f>
        <v/>
      </c>
      <c r="Y4022" s="52">
        <f>IF(P4022="","",IFERROR(INDEX(catGrupo,MATCH(D4022&amp;"|"&amp;E4022,catClave,0))&amp;"",""))</f>
        <v/>
      </c>
      <c r="Z4022" s="52">
        <f>IF(P4022="","",WEEKDAY(B4022,2))</f>
        <v/>
      </c>
      <c r="AA4022" s="52">
        <f>IF(P4022="","",IF(AND(P4022="Gasto",X4022="Variable",D4022&lt;&gt;catTrading,S4022&gt;0,S4022&lt;=Umbral),1,0))</f>
        <v/>
      </c>
      <c r="AB4022" s="52">
        <f>IF(OR(P4022="",Q4022=""),"",IFERROR(IF(INDEX(ctaVinc,MATCH(Q4022,ctaNombre,0))&amp;""&lt;&gt;"",INDEX(ctaVinc,MATCH(Q4022,ctaNombre,0))&amp;"",Q4022),Q4022))</f>
        <v/>
      </c>
      <c r="AC4022" s="52">
        <f>IF(OR(K4022="",AND(P4022&lt;&gt;"Transferencia",P4022&lt;&gt;"Pago tarjeta")),"",IFERROR(IF(INDEX(ctaVinc,MATCH(K4022,ctaNombre,0))&amp;""&lt;&gt;"",INDEX(ctaVinc,MATCH(K4022,ctaNombre,0))&amp;"",K4022),K4022))</f>
        <v/>
      </c>
      <c r="AD4022" s="52">
        <f>IF(AB4022="","",IFERROR(INDEX(ctaTipo,MATCH(AB4022,ctaNombre,0))&amp;"",""))</f>
        <v/>
      </c>
      <c r="AE4022" s="52">
        <f>IF(AC4022="","",IFERROR(INDEX(ctaTipo,MATCH(AC4022,ctaNombre,0))&amp;"",""))</f>
        <v/>
      </c>
      <c r="AF4022" s="53">
        <f>IF(OR(P4022="",AB4022=""),"",IF(OR(P4022="Gasto",P4022="Transferencia",P4022="Pago tarjeta"),-1,1)*IF(IFERROR(INDEX(ctaMoneda,MATCH(AB4022,ctaNombre,0))&amp;"","DOP")="USD",T4022,S4022))</f>
        <v/>
      </c>
      <c r="AG4022" s="53">
        <f>IF(AC4022="","",IF(IFERROR(INDEX(ctaMoneda,MATCH(AC4022,ctaNombre,0))&amp;"","DOP")="USD",T4022,S4022))</f>
        <v/>
      </c>
      <c r="AH4022" s="53">
        <f>IF(P4022="","",IF(AND(AD4022&lt;&gt;"",COUNTIFS(tcTipo,AD4022,tcLiq,"Sí")&gt;0),IF(OR(P4022="Gasto",P4022="Transferencia",P4022="Pago tarjeta"),-1,1)*S4022,0)+IF(AND(AE4022&lt;&gt;"",COUNTIFS(tcTipo,AE4022,tcLiq,"Sí")&gt;0),S4022,0))</f>
        <v/>
      </c>
      <c r="AI4022" s="52">
        <f>IF(OR(L4022="",P4022=""),"",IF(COUNTIFS(L$6:L4022,L4022,P$6:P4022,"?*")=1,MAX(AI$5:AI4021)+1,""))</f>
        <v/>
      </c>
    </row>
    <row r="4023">
      <c r="B4023" s="47" t="n"/>
      <c r="C4023" s="48" t="n"/>
      <c r="D4023" s="48" t="n"/>
      <c r="E4023" s="48" t="n"/>
      <c r="F4023" s="48" t="n"/>
      <c r="G4023" s="49" t="n"/>
      <c r="H4023" s="48" t="n"/>
      <c r="I4023" s="50" t="n"/>
      <c r="J4023" s="48" t="n"/>
      <c r="K4023" s="48" t="n"/>
      <c r="L4023" s="48" t="n"/>
      <c r="M4023" s="48" t="n"/>
      <c r="N4023" s="48" t="n"/>
      <c r="O4023" s="51">
        <f>IF(AND(B4023="",G4023="",C4023="",D4023="",J4023=""),"",IF(B4023="","⚠ Falta fecha",IF(G4023="","⚠ Falta monto",IF(Q4023="","⚠ Falta cuenta",IF(ISNA(MATCH(Q4023,ctaNombre,0)),"⚠ Cuenta no registrada",IF(AND(OR(P4023="Gasto",P4023="Reembolso"),D4023=""),"⚠ Falta categoría",IF(AND(D4023&lt;&gt;"",E4023&lt;&gt;"",ISNA(MATCH(D4023&amp;"|"&amp;E4023,catClave,0))),"⚠ Subcategoría no corresponde",IF(AND(OR(P4023="Transferencia",P4023="Pago tarjeta"),K4023=""),"⚠ Falta cuenta destino",IF(AND(K4023&lt;&gt;"",P4023&lt;&gt;"Transferencia",P4023&lt;&gt;"Pago tarjeta"),"⚠ Destino solo aplica a transferencias",IF(AND(K4023&lt;&gt;"",K4023=Q4023),"⚠ Origen igual a destino",IF(AND(K4023&lt;&gt;"",ISNA(MATCH(K4023,ctaNombre,0))),"⚠ Destino no registrado",IF(AND(P4023="Pago tarjeta",AE4023&lt;&gt;"Tarjeta de crédito"),"⚠ El destino debe ser tarjeta de crédito",IF(AND(P4023="Gasto",E4023="Depósitos y retiros"),"⚠ Usa tipo Transferencia",IF(AND(P4023="Resultado trading",AD4023&lt;&gt;"Cuenta de trading"),"⚠ Usa una cuenta de trading",IF(AND(G4023&lt;=0,P4023&lt;&gt;"Ajuste",P4023&lt;&gt;"Resultado trading"),"⚠ El monto debe ser positivo","✓")))))))))))))))</f>
        <v/>
      </c>
      <c r="P4023" s="52">
        <f>IF(OR(B4023="",G4023=""),"",IF(C4023="","Gasto",C4023))</f>
        <v/>
      </c>
      <c r="Q4023" s="52">
        <f>IF(P4023="","",IF(J4023&lt;&gt;"",J4023,CuentaPred&amp;""))</f>
        <v/>
      </c>
      <c r="R4023" s="52">
        <f>IF(P4023="","",IF(ISNUMBER(I4023),I4023,TasaUSD))</f>
        <v/>
      </c>
      <c r="S4023" s="53">
        <f>IF(P4023="","",IF(H4023="USD",G4023*R4023,G4023))</f>
        <v/>
      </c>
      <c r="T4023" s="53">
        <f>IF(P4023="","",IF(H4023="USD",G4023,IF(R4023&gt;0,G4023/R4023,0)))</f>
        <v/>
      </c>
      <c r="U4023" s="53">
        <f>IF(P4023="","",IF(P4023="Gasto",S4023,IF(P4023="Reembolso",-S4023,0)))</f>
        <v/>
      </c>
      <c r="V4023" s="53">
        <f>IF(P4023="","",IF(P4023="Ingreso",S4023,0))</f>
        <v/>
      </c>
      <c r="W4023" s="53">
        <f>IF(P4023="","",IF(P4023="Resultado trading",S4023,0))</f>
        <v/>
      </c>
      <c r="X4023" s="52">
        <f>IF(OR(P4023="Gasto",P4023="Reembolso"),IF(M4023&lt;&gt;"",M4023,IFERROR(INDEX(catClasif,MATCH(D4023&amp;"|"&amp;E4023,catClave,0))&amp;"","Variable")),"")</f>
        <v/>
      </c>
      <c r="Y4023" s="52">
        <f>IF(P4023="","",IFERROR(INDEX(catGrupo,MATCH(D4023&amp;"|"&amp;E4023,catClave,0))&amp;"",""))</f>
        <v/>
      </c>
      <c r="Z4023" s="52">
        <f>IF(P4023="","",WEEKDAY(B4023,2))</f>
        <v/>
      </c>
      <c r="AA4023" s="52">
        <f>IF(P4023="","",IF(AND(P4023="Gasto",X4023="Variable",D4023&lt;&gt;catTrading,S4023&gt;0,S4023&lt;=Umbral),1,0))</f>
        <v/>
      </c>
      <c r="AB4023" s="52">
        <f>IF(OR(P4023="",Q4023=""),"",IFERROR(IF(INDEX(ctaVinc,MATCH(Q4023,ctaNombre,0))&amp;""&lt;&gt;"",INDEX(ctaVinc,MATCH(Q4023,ctaNombre,0))&amp;"",Q4023),Q4023))</f>
        <v/>
      </c>
      <c r="AC4023" s="52">
        <f>IF(OR(K4023="",AND(P4023&lt;&gt;"Transferencia",P4023&lt;&gt;"Pago tarjeta")),"",IFERROR(IF(INDEX(ctaVinc,MATCH(K4023,ctaNombre,0))&amp;""&lt;&gt;"",INDEX(ctaVinc,MATCH(K4023,ctaNombre,0))&amp;"",K4023),K4023))</f>
        <v/>
      </c>
      <c r="AD4023" s="52">
        <f>IF(AB4023="","",IFERROR(INDEX(ctaTipo,MATCH(AB4023,ctaNombre,0))&amp;"",""))</f>
        <v/>
      </c>
      <c r="AE4023" s="52">
        <f>IF(AC4023="","",IFERROR(INDEX(ctaTipo,MATCH(AC4023,ctaNombre,0))&amp;"",""))</f>
        <v/>
      </c>
      <c r="AF4023" s="53">
        <f>IF(OR(P4023="",AB4023=""),"",IF(OR(P4023="Gasto",P4023="Transferencia",P4023="Pago tarjeta"),-1,1)*IF(IFERROR(INDEX(ctaMoneda,MATCH(AB4023,ctaNombre,0))&amp;"","DOP")="USD",T4023,S4023))</f>
        <v/>
      </c>
      <c r="AG4023" s="53">
        <f>IF(AC4023="","",IF(IFERROR(INDEX(ctaMoneda,MATCH(AC4023,ctaNombre,0))&amp;"","DOP")="USD",T4023,S4023))</f>
        <v/>
      </c>
      <c r="AH4023" s="53">
        <f>IF(P4023="","",IF(AND(AD4023&lt;&gt;"",COUNTIFS(tcTipo,AD4023,tcLiq,"Sí")&gt;0),IF(OR(P4023="Gasto",P4023="Transferencia",P4023="Pago tarjeta"),-1,1)*S4023,0)+IF(AND(AE4023&lt;&gt;"",COUNTIFS(tcTipo,AE4023,tcLiq,"Sí")&gt;0),S4023,0))</f>
        <v/>
      </c>
      <c r="AI4023" s="52">
        <f>IF(OR(L4023="",P4023=""),"",IF(COUNTIFS(L$6:L4023,L4023,P$6:P4023,"?*")=1,MAX(AI$5:AI4022)+1,""))</f>
        <v/>
      </c>
    </row>
    <row r="4024">
      <c r="B4024" s="47" t="n"/>
      <c r="C4024" s="48" t="n"/>
      <c r="D4024" s="48" t="n"/>
      <c r="E4024" s="48" t="n"/>
      <c r="F4024" s="48" t="n"/>
      <c r="G4024" s="49" t="n"/>
      <c r="H4024" s="48" t="n"/>
      <c r="I4024" s="50" t="n"/>
      <c r="J4024" s="48" t="n"/>
      <c r="K4024" s="48" t="n"/>
      <c r="L4024" s="48" t="n"/>
      <c r="M4024" s="48" t="n"/>
      <c r="N4024" s="48" t="n"/>
      <c r="O4024" s="51">
        <f>IF(AND(B4024="",G4024="",C4024="",D4024="",J4024=""),"",IF(B4024="","⚠ Falta fecha",IF(G4024="","⚠ Falta monto",IF(Q4024="","⚠ Falta cuenta",IF(ISNA(MATCH(Q4024,ctaNombre,0)),"⚠ Cuenta no registrada",IF(AND(OR(P4024="Gasto",P4024="Reembolso"),D4024=""),"⚠ Falta categoría",IF(AND(D4024&lt;&gt;"",E4024&lt;&gt;"",ISNA(MATCH(D4024&amp;"|"&amp;E4024,catClave,0))),"⚠ Subcategoría no corresponde",IF(AND(OR(P4024="Transferencia",P4024="Pago tarjeta"),K4024=""),"⚠ Falta cuenta destino",IF(AND(K4024&lt;&gt;"",P4024&lt;&gt;"Transferencia",P4024&lt;&gt;"Pago tarjeta"),"⚠ Destino solo aplica a transferencias",IF(AND(K4024&lt;&gt;"",K4024=Q4024),"⚠ Origen igual a destino",IF(AND(K4024&lt;&gt;"",ISNA(MATCH(K4024,ctaNombre,0))),"⚠ Destino no registrado",IF(AND(P4024="Pago tarjeta",AE4024&lt;&gt;"Tarjeta de crédito"),"⚠ El destino debe ser tarjeta de crédito",IF(AND(P4024="Gasto",E4024="Depósitos y retiros"),"⚠ Usa tipo Transferencia",IF(AND(P4024="Resultado trading",AD4024&lt;&gt;"Cuenta de trading"),"⚠ Usa una cuenta de trading",IF(AND(G4024&lt;=0,P4024&lt;&gt;"Ajuste",P4024&lt;&gt;"Resultado trading"),"⚠ El monto debe ser positivo","✓")))))))))))))))</f>
        <v/>
      </c>
      <c r="P4024" s="52">
        <f>IF(OR(B4024="",G4024=""),"",IF(C4024="","Gasto",C4024))</f>
        <v/>
      </c>
      <c r="Q4024" s="52">
        <f>IF(P4024="","",IF(J4024&lt;&gt;"",J4024,CuentaPred&amp;""))</f>
        <v/>
      </c>
      <c r="R4024" s="52">
        <f>IF(P4024="","",IF(ISNUMBER(I4024),I4024,TasaUSD))</f>
        <v/>
      </c>
      <c r="S4024" s="53">
        <f>IF(P4024="","",IF(H4024="USD",G4024*R4024,G4024))</f>
        <v/>
      </c>
      <c r="T4024" s="53">
        <f>IF(P4024="","",IF(H4024="USD",G4024,IF(R4024&gt;0,G4024/R4024,0)))</f>
        <v/>
      </c>
      <c r="U4024" s="53">
        <f>IF(P4024="","",IF(P4024="Gasto",S4024,IF(P4024="Reembolso",-S4024,0)))</f>
        <v/>
      </c>
      <c r="V4024" s="53">
        <f>IF(P4024="","",IF(P4024="Ingreso",S4024,0))</f>
        <v/>
      </c>
      <c r="W4024" s="53">
        <f>IF(P4024="","",IF(P4024="Resultado trading",S4024,0))</f>
        <v/>
      </c>
      <c r="X4024" s="52">
        <f>IF(OR(P4024="Gasto",P4024="Reembolso"),IF(M4024&lt;&gt;"",M4024,IFERROR(INDEX(catClasif,MATCH(D4024&amp;"|"&amp;E4024,catClave,0))&amp;"","Variable")),"")</f>
        <v/>
      </c>
      <c r="Y4024" s="52">
        <f>IF(P4024="","",IFERROR(INDEX(catGrupo,MATCH(D4024&amp;"|"&amp;E4024,catClave,0))&amp;"",""))</f>
        <v/>
      </c>
      <c r="Z4024" s="52">
        <f>IF(P4024="","",WEEKDAY(B4024,2))</f>
        <v/>
      </c>
      <c r="AA4024" s="52">
        <f>IF(P4024="","",IF(AND(P4024="Gasto",X4024="Variable",D4024&lt;&gt;catTrading,S4024&gt;0,S4024&lt;=Umbral),1,0))</f>
        <v/>
      </c>
      <c r="AB4024" s="52">
        <f>IF(OR(P4024="",Q4024=""),"",IFERROR(IF(INDEX(ctaVinc,MATCH(Q4024,ctaNombre,0))&amp;""&lt;&gt;"",INDEX(ctaVinc,MATCH(Q4024,ctaNombre,0))&amp;"",Q4024),Q4024))</f>
        <v/>
      </c>
      <c r="AC4024" s="52">
        <f>IF(OR(K4024="",AND(P4024&lt;&gt;"Transferencia",P4024&lt;&gt;"Pago tarjeta")),"",IFERROR(IF(INDEX(ctaVinc,MATCH(K4024,ctaNombre,0))&amp;""&lt;&gt;"",INDEX(ctaVinc,MATCH(K4024,ctaNombre,0))&amp;"",K4024),K4024))</f>
        <v/>
      </c>
      <c r="AD4024" s="52">
        <f>IF(AB4024="","",IFERROR(INDEX(ctaTipo,MATCH(AB4024,ctaNombre,0))&amp;"",""))</f>
        <v/>
      </c>
      <c r="AE4024" s="52">
        <f>IF(AC4024="","",IFERROR(INDEX(ctaTipo,MATCH(AC4024,ctaNombre,0))&amp;"",""))</f>
        <v/>
      </c>
      <c r="AF4024" s="53">
        <f>IF(OR(P4024="",AB4024=""),"",IF(OR(P4024="Gasto",P4024="Transferencia",P4024="Pago tarjeta"),-1,1)*IF(IFERROR(INDEX(ctaMoneda,MATCH(AB4024,ctaNombre,0))&amp;"","DOP")="USD",T4024,S4024))</f>
        <v/>
      </c>
      <c r="AG4024" s="53">
        <f>IF(AC4024="","",IF(IFERROR(INDEX(ctaMoneda,MATCH(AC4024,ctaNombre,0))&amp;"","DOP")="USD",T4024,S4024))</f>
        <v/>
      </c>
      <c r="AH4024" s="53">
        <f>IF(P4024="","",IF(AND(AD4024&lt;&gt;"",COUNTIFS(tcTipo,AD4024,tcLiq,"Sí")&gt;0),IF(OR(P4024="Gasto",P4024="Transferencia",P4024="Pago tarjeta"),-1,1)*S4024,0)+IF(AND(AE4024&lt;&gt;"",COUNTIFS(tcTipo,AE4024,tcLiq,"Sí")&gt;0),S4024,0))</f>
        <v/>
      </c>
      <c r="AI4024" s="52">
        <f>IF(OR(L4024="",P4024=""),"",IF(COUNTIFS(L$6:L4024,L4024,P$6:P4024,"?*")=1,MAX(AI$5:AI4023)+1,""))</f>
        <v/>
      </c>
    </row>
    <row r="4025">
      <c r="B4025" s="47" t="n"/>
      <c r="C4025" s="48" t="n"/>
      <c r="D4025" s="48" t="n"/>
      <c r="E4025" s="48" t="n"/>
      <c r="F4025" s="48" t="n"/>
      <c r="G4025" s="49" t="n"/>
      <c r="H4025" s="48" t="n"/>
      <c r="I4025" s="50" t="n"/>
      <c r="J4025" s="48" t="n"/>
      <c r="K4025" s="48" t="n"/>
      <c r="L4025" s="48" t="n"/>
      <c r="M4025" s="48" t="n"/>
      <c r="N4025" s="48" t="n"/>
      <c r="O4025" s="51">
        <f>IF(AND(B4025="",G4025="",C4025="",D4025="",J4025=""),"",IF(B4025="","⚠ Falta fecha",IF(G4025="","⚠ Falta monto",IF(Q4025="","⚠ Falta cuenta",IF(ISNA(MATCH(Q4025,ctaNombre,0)),"⚠ Cuenta no registrada",IF(AND(OR(P4025="Gasto",P4025="Reembolso"),D4025=""),"⚠ Falta categoría",IF(AND(D4025&lt;&gt;"",E4025&lt;&gt;"",ISNA(MATCH(D4025&amp;"|"&amp;E4025,catClave,0))),"⚠ Subcategoría no corresponde",IF(AND(OR(P4025="Transferencia",P4025="Pago tarjeta"),K4025=""),"⚠ Falta cuenta destino",IF(AND(K4025&lt;&gt;"",P4025&lt;&gt;"Transferencia",P4025&lt;&gt;"Pago tarjeta"),"⚠ Destino solo aplica a transferencias",IF(AND(K4025&lt;&gt;"",K4025=Q4025),"⚠ Origen igual a destino",IF(AND(K4025&lt;&gt;"",ISNA(MATCH(K4025,ctaNombre,0))),"⚠ Destino no registrado",IF(AND(P4025="Pago tarjeta",AE4025&lt;&gt;"Tarjeta de crédito"),"⚠ El destino debe ser tarjeta de crédito",IF(AND(P4025="Gasto",E4025="Depósitos y retiros"),"⚠ Usa tipo Transferencia",IF(AND(P4025="Resultado trading",AD4025&lt;&gt;"Cuenta de trading"),"⚠ Usa una cuenta de trading",IF(AND(G4025&lt;=0,P4025&lt;&gt;"Ajuste",P4025&lt;&gt;"Resultado trading"),"⚠ El monto debe ser positivo","✓")))))))))))))))</f>
        <v/>
      </c>
      <c r="P4025" s="52">
        <f>IF(OR(B4025="",G4025=""),"",IF(C4025="","Gasto",C4025))</f>
        <v/>
      </c>
      <c r="Q4025" s="52">
        <f>IF(P4025="","",IF(J4025&lt;&gt;"",J4025,CuentaPred&amp;""))</f>
        <v/>
      </c>
      <c r="R4025" s="52">
        <f>IF(P4025="","",IF(ISNUMBER(I4025),I4025,TasaUSD))</f>
        <v/>
      </c>
      <c r="S4025" s="53">
        <f>IF(P4025="","",IF(H4025="USD",G4025*R4025,G4025))</f>
        <v/>
      </c>
      <c r="T4025" s="53">
        <f>IF(P4025="","",IF(H4025="USD",G4025,IF(R4025&gt;0,G4025/R4025,0)))</f>
        <v/>
      </c>
      <c r="U4025" s="53">
        <f>IF(P4025="","",IF(P4025="Gasto",S4025,IF(P4025="Reembolso",-S4025,0)))</f>
        <v/>
      </c>
      <c r="V4025" s="53">
        <f>IF(P4025="","",IF(P4025="Ingreso",S4025,0))</f>
        <v/>
      </c>
      <c r="W4025" s="53">
        <f>IF(P4025="","",IF(P4025="Resultado trading",S4025,0))</f>
        <v/>
      </c>
      <c r="X4025" s="52">
        <f>IF(OR(P4025="Gasto",P4025="Reembolso"),IF(M4025&lt;&gt;"",M4025,IFERROR(INDEX(catClasif,MATCH(D4025&amp;"|"&amp;E4025,catClave,0))&amp;"","Variable")),"")</f>
        <v/>
      </c>
      <c r="Y4025" s="52">
        <f>IF(P4025="","",IFERROR(INDEX(catGrupo,MATCH(D4025&amp;"|"&amp;E4025,catClave,0))&amp;"",""))</f>
        <v/>
      </c>
      <c r="Z4025" s="52">
        <f>IF(P4025="","",WEEKDAY(B4025,2))</f>
        <v/>
      </c>
      <c r="AA4025" s="52">
        <f>IF(P4025="","",IF(AND(P4025="Gasto",X4025="Variable",D4025&lt;&gt;catTrading,S4025&gt;0,S4025&lt;=Umbral),1,0))</f>
        <v/>
      </c>
      <c r="AB4025" s="52">
        <f>IF(OR(P4025="",Q4025=""),"",IFERROR(IF(INDEX(ctaVinc,MATCH(Q4025,ctaNombre,0))&amp;""&lt;&gt;"",INDEX(ctaVinc,MATCH(Q4025,ctaNombre,0))&amp;"",Q4025),Q4025))</f>
        <v/>
      </c>
      <c r="AC4025" s="52">
        <f>IF(OR(K4025="",AND(P4025&lt;&gt;"Transferencia",P4025&lt;&gt;"Pago tarjeta")),"",IFERROR(IF(INDEX(ctaVinc,MATCH(K4025,ctaNombre,0))&amp;""&lt;&gt;"",INDEX(ctaVinc,MATCH(K4025,ctaNombre,0))&amp;"",K4025),K4025))</f>
        <v/>
      </c>
      <c r="AD4025" s="52">
        <f>IF(AB4025="","",IFERROR(INDEX(ctaTipo,MATCH(AB4025,ctaNombre,0))&amp;"",""))</f>
        <v/>
      </c>
      <c r="AE4025" s="52">
        <f>IF(AC4025="","",IFERROR(INDEX(ctaTipo,MATCH(AC4025,ctaNombre,0))&amp;"",""))</f>
        <v/>
      </c>
      <c r="AF4025" s="53">
        <f>IF(OR(P4025="",AB4025=""),"",IF(OR(P4025="Gasto",P4025="Transferencia",P4025="Pago tarjeta"),-1,1)*IF(IFERROR(INDEX(ctaMoneda,MATCH(AB4025,ctaNombre,0))&amp;"","DOP")="USD",T4025,S4025))</f>
        <v/>
      </c>
      <c r="AG4025" s="53">
        <f>IF(AC4025="","",IF(IFERROR(INDEX(ctaMoneda,MATCH(AC4025,ctaNombre,0))&amp;"","DOP")="USD",T4025,S4025))</f>
        <v/>
      </c>
      <c r="AH4025" s="53">
        <f>IF(P4025="","",IF(AND(AD4025&lt;&gt;"",COUNTIFS(tcTipo,AD4025,tcLiq,"Sí")&gt;0),IF(OR(P4025="Gasto",P4025="Transferencia",P4025="Pago tarjeta"),-1,1)*S4025,0)+IF(AND(AE4025&lt;&gt;"",COUNTIFS(tcTipo,AE4025,tcLiq,"Sí")&gt;0),S4025,0))</f>
        <v/>
      </c>
      <c r="AI4025" s="52">
        <f>IF(OR(L4025="",P4025=""),"",IF(COUNTIFS(L$6:L4025,L4025,P$6:P4025,"?*")=1,MAX(AI$5:AI4024)+1,""))</f>
        <v/>
      </c>
    </row>
    <row r="4026">
      <c r="B4026" s="47" t="n"/>
      <c r="C4026" s="48" t="n"/>
      <c r="D4026" s="48" t="n"/>
      <c r="E4026" s="48" t="n"/>
      <c r="F4026" s="48" t="n"/>
      <c r="G4026" s="49" t="n"/>
      <c r="H4026" s="48" t="n"/>
      <c r="I4026" s="50" t="n"/>
      <c r="J4026" s="48" t="n"/>
      <c r="K4026" s="48" t="n"/>
      <c r="L4026" s="48" t="n"/>
      <c r="M4026" s="48" t="n"/>
      <c r="N4026" s="48" t="n"/>
      <c r="O4026" s="51">
        <f>IF(AND(B4026="",G4026="",C4026="",D4026="",J4026=""),"",IF(B4026="","⚠ Falta fecha",IF(G4026="","⚠ Falta monto",IF(Q4026="","⚠ Falta cuenta",IF(ISNA(MATCH(Q4026,ctaNombre,0)),"⚠ Cuenta no registrada",IF(AND(OR(P4026="Gasto",P4026="Reembolso"),D4026=""),"⚠ Falta categoría",IF(AND(D4026&lt;&gt;"",E4026&lt;&gt;"",ISNA(MATCH(D4026&amp;"|"&amp;E4026,catClave,0))),"⚠ Subcategoría no corresponde",IF(AND(OR(P4026="Transferencia",P4026="Pago tarjeta"),K4026=""),"⚠ Falta cuenta destino",IF(AND(K4026&lt;&gt;"",P4026&lt;&gt;"Transferencia",P4026&lt;&gt;"Pago tarjeta"),"⚠ Destino solo aplica a transferencias",IF(AND(K4026&lt;&gt;"",K4026=Q4026),"⚠ Origen igual a destino",IF(AND(K4026&lt;&gt;"",ISNA(MATCH(K4026,ctaNombre,0))),"⚠ Destino no registrado",IF(AND(P4026="Pago tarjeta",AE4026&lt;&gt;"Tarjeta de crédito"),"⚠ El destino debe ser tarjeta de crédito",IF(AND(P4026="Gasto",E4026="Depósitos y retiros"),"⚠ Usa tipo Transferencia",IF(AND(P4026="Resultado trading",AD4026&lt;&gt;"Cuenta de trading"),"⚠ Usa una cuenta de trading",IF(AND(G4026&lt;=0,P4026&lt;&gt;"Ajuste",P4026&lt;&gt;"Resultado trading"),"⚠ El monto debe ser positivo","✓")))))))))))))))</f>
        <v/>
      </c>
      <c r="P4026" s="52">
        <f>IF(OR(B4026="",G4026=""),"",IF(C4026="","Gasto",C4026))</f>
        <v/>
      </c>
      <c r="Q4026" s="52">
        <f>IF(P4026="","",IF(J4026&lt;&gt;"",J4026,CuentaPred&amp;""))</f>
        <v/>
      </c>
      <c r="R4026" s="52">
        <f>IF(P4026="","",IF(ISNUMBER(I4026),I4026,TasaUSD))</f>
        <v/>
      </c>
      <c r="S4026" s="53">
        <f>IF(P4026="","",IF(H4026="USD",G4026*R4026,G4026))</f>
        <v/>
      </c>
      <c r="T4026" s="53">
        <f>IF(P4026="","",IF(H4026="USD",G4026,IF(R4026&gt;0,G4026/R4026,0)))</f>
        <v/>
      </c>
      <c r="U4026" s="53">
        <f>IF(P4026="","",IF(P4026="Gasto",S4026,IF(P4026="Reembolso",-S4026,0)))</f>
        <v/>
      </c>
      <c r="V4026" s="53">
        <f>IF(P4026="","",IF(P4026="Ingreso",S4026,0))</f>
        <v/>
      </c>
      <c r="W4026" s="53">
        <f>IF(P4026="","",IF(P4026="Resultado trading",S4026,0))</f>
        <v/>
      </c>
      <c r="X4026" s="52">
        <f>IF(OR(P4026="Gasto",P4026="Reembolso"),IF(M4026&lt;&gt;"",M4026,IFERROR(INDEX(catClasif,MATCH(D4026&amp;"|"&amp;E4026,catClave,0))&amp;"","Variable")),"")</f>
        <v/>
      </c>
      <c r="Y4026" s="52">
        <f>IF(P4026="","",IFERROR(INDEX(catGrupo,MATCH(D4026&amp;"|"&amp;E4026,catClave,0))&amp;"",""))</f>
        <v/>
      </c>
      <c r="Z4026" s="52">
        <f>IF(P4026="","",WEEKDAY(B4026,2))</f>
        <v/>
      </c>
      <c r="AA4026" s="52">
        <f>IF(P4026="","",IF(AND(P4026="Gasto",X4026="Variable",D4026&lt;&gt;catTrading,S4026&gt;0,S4026&lt;=Umbral),1,0))</f>
        <v/>
      </c>
      <c r="AB4026" s="52">
        <f>IF(OR(P4026="",Q4026=""),"",IFERROR(IF(INDEX(ctaVinc,MATCH(Q4026,ctaNombre,0))&amp;""&lt;&gt;"",INDEX(ctaVinc,MATCH(Q4026,ctaNombre,0))&amp;"",Q4026),Q4026))</f>
        <v/>
      </c>
      <c r="AC4026" s="52">
        <f>IF(OR(K4026="",AND(P4026&lt;&gt;"Transferencia",P4026&lt;&gt;"Pago tarjeta")),"",IFERROR(IF(INDEX(ctaVinc,MATCH(K4026,ctaNombre,0))&amp;""&lt;&gt;"",INDEX(ctaVinc,MATCH(K4026,ctaNombre,0))&amp;"",K4026),K4026))</f>
        <v/>
      </c>
      <c r="AD4026" s="52">
        <f>IF(AB4026="","",IFERROR(INDEX(ctaTipo,MATCH(AB4026,ctaNombre,0))&amp;"",""))</f>
        <v/>
      </c>
      <c r="AE4026" s="52">
        <f>IF(AC4026="","",IFERROR(INDEX(ctaTipo,MATCH(AC4026,ctaNombre,0))&amp;"",""))</f>
        <v/>
      </c>
      <c r="AF4026" s="53">
        <f>IF(OR(P4026="",AB4026=""),"",IF(OR(P4026="Gasto",P4026="Transferencia",P4026="Pago tarjeta"),-1,1)*IF(IFERROR(INDEX(ctaMoneda,MATCH(AB4026,ctaNombre,0))&amp;"","DOP")="USD",T4026,S4026))</f>
        <v/>
      </c>
      <c r="AG4026" s="53">
        <f>IF(AC4026="","",IF(IFERROR(INDEX(ctaMoneda,MATCH(AC4026,ctaNombre,0))&amp;"","DOP")="USD",T4026,S4026))</f>
        <v/>
      </c>
      <c r="AH4026" s="53">
        <f>IF(P4026="","",IF(AND(AD4026&lt;&gt;"",COUNTIFS(tcTipo,AD4026,tcLiq,"Sí")&gt;0),IF(OR(P4026="Gasto",P4026="Transferencia",P4026="Pago tarjeta"),-1,1)*S4026,0)+IF(AND(AE4026&lt;&gt;"",COUNTIFS(tcTipo,AE4026,tcLiq,"Sí")&gt;0),S4026,0))</f>
        <v/>
      </c>
      <c r="AI4026" s="52">
        <f>IF(OR(L4026="",P4026=""),"",IF(COUNTIFS(L$6:L4026,L4026,P$6:P4026,"?*")=1,MAX(AI$5:AI4025)+1,""))</f>
        <v/>
      </c>
    </row>
    <row r="4027">
      <c r="B4027" s="47" t="n"/>
      <c r="C4027" s="48" t="n"/>
      <c r="D4027" s="48" t="n"/>
      <c r="E4027" s="48" t="n"/>
      <c r="F4027" s="48" t="n"/>
      <c r="G4027" s="49" t="n"/>
      <c r="H4027" s="48" t="n"/>
      <c r="I4027" s="50" t="n"/>
      <c r="J4027" s="48" t="n"/>
      <c r="K4027" s="48" t="n"/>
      <c r="L4027" s="48" t="n"/>
      <c r="M4027" s="48" t="n"/>
      <c r="N4027" s="48" t="n"/>
      <c r="O4027" s="51">
        <f>IF(AND(B4027="",G4027="",C4027="",D4027="",J4027=""),"",IF(B4027="","⚠ Falta fecha",IF(G4027="","⚠ Falta monto",IF(Q4027="","⚠ Falta cuenta",IF(ISNA(MATCH(Q4027,ctaNombre,0)),"⚠ Cuenta no registrada",IF(AND(OR(P4027="Gasto",P4027="Reembolso"),D4027=""),"⚠ Falta categoría",IF(AND(D4027&lt;&gt;"",E4027&lt;&gt;"",ISNA(MATCH(D4027&amp;"|"&amp;E4027,catClave,0))),"⚠ Subcategoría no corresponde",IF(AND(OR(P4027="Transferencia",P4027="Pago tarjeta"),K4027=""),"⚠ Falta cuenta destino",IF(AND(K4027&lt;&gt;"",P4027&lt;&gt;"Transferencia",P4027&lt;&gt;"Pago tarjeta"),"⚠ Destino solo aplica a transferencias",IF(AND(K4027&lt;&gt;"",K4027=Q4027),"⚠ Origen igual a destino",IF(AND(K4027&lt;&gt;"",ISNA(MATCH(K4027,ctaNombre,0))),"⚠ Destino no registrado",IF(AND(P4027="Pago tarjeta",AE4027&lt;&gt;"Tarjeta de crédito"),"⚠ El destino debe ser tarjeta de crédito",IF(AND(P4027="Gasto",E4027="Depósitos y retiros"),"⚠ Usa tipo Transferencia",IF(AND(P4027="Resultado trading",AD4027&lt;&gt;"Cuenta de trading"),"⚠ Usa una cuenta de trading",IF(AND(G4027&lt;=0,P4027&lt;&gt;"Ajuste",P4027&lt;&gt;"Resultado trading"),"⚠ El monto debe ser positivo","✓")))))))))))))))</f>
        <v/>
      </c>
      <c r="P4027" s="52">
        <f>IF(OR(B4027="",G4027=""),"",IF(C4027="","Gasto",C4027))</f>
        <v/>
      </c>
      <c r="Q4027" s="52">
        <f>IF(P4027="","",IF(J4027&lt;&gt;"",J4027,CuentaPred&amp;""))</f>
        <v/>
      </c>
      <c r="R4027" s="52">
        <f>IF(P4027="","",IF(ISNUMBER(I4027),I4027,TasaUSD))</f>
        <v/>
      </c>
      <c r="S4027" s="53">
        <f>IF(P4027="","",IF(H4027="USD",G4027*R4027,G4027))</f>
        <v/>
      </c>
      <c r="T4027" s="53">
        <f>IF(P4027="","",IF(H4027="USD",G4027,IF(R4027&gt;0,G4027/R4027,0)))</f>
        <v/>
      </c>
      <c r="U4027" s="53">
        <f>IF(P4027="","",IF(P4027="Gasto",S4027,IF(P4027="Reembolso",-S4027,0)))</f>
        <v/>
      </c>
      <c r="V4027" s="53">
        <f>IF(P4027="","",IF(P4027="Ingreso",S4027,0))</f>
        <v/>
      </c>
      <c r="W4027" s="53">
        <f>IF(P4027="","",IF(P4027="Resultado trading",S4027,0))</f>
        <v/>
      </c>
      <c r="X4027" s="52">
        <f>IF(OR(P4027="Gasto",P4027="Reembolso"),IF(M4027&lt;&gt;"",M4027,IFERROR(INDEX(catClasif,MATCH(D4027&amp;"|"&amp;E4027,catClave,0))&amp;"","Variable")),"")</f>
        <v/>
      </c>
      <c r="Y4027" s="52">
        <f>IF(P4027="","",IFERROR(INDEX(catGrupo,MATCH(D4027&amp;"|"&amp;E4027,catClave,0))&amp;"",""))</f>
        <v/>
      </c>
      <c r="Z4027" s="52">
        <f>IF(P4027="","",WEEKDAY(B4027,2))</f>
        <v/>
      </c>
      <c r="AA4027" s="52">
        <f>IF(P4027="","",IF(AND(P4027="Gasto",X4027="Variable",D4027&lt;&gt;catTrading,S4027&gt;0,S4027&lt;=Umbral),1,0))</f>
        <v/>
      </c>
      <c r="AB4027" s="52">
        <f>IF(OR(P4027="",Q4027=""),"",IFERROR(IF(INDEX(ctaVinc,MATCH(Q4027,ctaNombre,0))&amp;""&lt;&gt;"",INDEX(ctaVinc,MATCH(Q4027,ctaNombre,0))&amp;"",Q4027),Q4027))</f>
        <v/>
      </c>
      <c r="AC4027" s="52">
        <f>IF(OR(K4027="",AND(P4027&lt;&gt;"Transferencia",P4027&lt;&gt;"Pago tarjeta")),"",IFERROR(IF(INDEX(ctaVinc,MATCH(K4027,ctaNombre,0))&amp;""&lt;&gt;"",INDEX(ctaVinc,MATCH(K4027,ctaNombre,0))&amp;"",K4027),K4027))</f>
        <v/>
      </c>
      <c r="AD4027" s="52">
        <f>IF(AB4027="","",IFERROR(INDEX(ctaTipo,MATCH(AB4027,ctaNombre,0))&amp;"",""))</f>
        <v/>
      </c>
      <c r="AE4027" s="52">
        <f>IF(AC4027="","",IFERROR(INDEX(ctaTipo,MATCH(AC4027,ctaNombre,0))&amp;"",""))</f>
        <v/>
      </c>
      <c r="AF4027" s="53">
        <f>IF(OR(P4027="",AB4027=""),"",IF(OR(P4027="Gasto",P4027="Transferencia",P4027="Pago tarjeta"),-1,1)*IF(IFERROR(INDEX(ctaMoneda,MATCH(AB4027,ctaNombre,0))&amp;"","DOP")="USD",T4027,S4027))</f>
        <v/>
      </c>
      <c r="AG4027" s="53">
        <f>IF(AC4027="","",IF(IFERROR(INDEX(ctaMoneda,MATCH(AC4027,ctaNombre,0))&amp;"","DOP")="USD",T4027,S4027))</f>
        <v/>
      </c>
      <c r="AH4027" s="53">
        <f>IF(P4027="","",IF(AND(AD4027&lt;&gt;"",COUNTIFS(tcTipo,AD4027,tcLiq,"Sí")&gt;0),IF(OR(P4027="Gasto",P4027="Transferencia",P4027="Pago tarjeta"),-1,1)*S4027,0)+IF(AND(AE4027&lt;&gt;"",COUNTIFS(tcTipo,AE4027,tcLiq,"Sí")&gt;0),S4027,0))</f>
        <v/>
      </c>
      <c r="AI4027" s="52">
        <f>IF(OR(L4027="",P4027=""),"",IF(COUNTIFS(L$6:L4027,L4027,P$6:P4027,"?*")=1,MAX(AI$5:AI4026)+1,""))</f>
        <v/>
      </c>
    </row>
    <row r="4028">
      <c r="B4028" s="47" t="n"/>
      <c r="C4028" s="48" t="n"/>
      <c r="D4028" s="48" t="n"/>
      <c r="E4028" s="48" t="n"/>
      <c r="F4028" s="48" t="n"/>
      <c r="G4028" s="49" t="n"/>
      <c r="H4028" s="48" t="n"/>
      <c r="I4028" s="50" t="n"/>
      <c r="J4028" s="48" t="n"/>
      <c r="K4028" s="48" t="n"/>
      <c r="L4028" s="48" t="n"/>
      <c r="M4028" s="48" t="n"/>
      <c r="N4028" s="48" t="n"/>
      <c r="O4028" s="51">
        <f>IF(AND(B4028="",G4028="",C4028="",D4028="",J4028=""),"",IF(B4028="","⚠ Falta fecha",IF(G4028="","⚠ Falta monto",IF(Q4028="","⚠ Falta cuenta",IF(ISNA(MATCH(Q4028,ctaNombre,0)),"⚠ Cuenta no registrada",IF(AND(OR(P4028="Gasto",P4028="Reembolso"),D4028=""),"⚠ Falta categoría",IF(AND(D4028&lt;&gt;"",E4028&lt;&gt;"",ISNA(MATCH(D4028&amp;"|"&amp;E4028,catClave,0))),"⚠ Subcategoría no corresponde",IF(AND(OR(P4028="Transferencia",P4028="Pago tarjeta"),K4028=""),"⚠ Falta cuenta destino",IF(AND(K4028&lt;&gt;"",P4028&lt;&gt;"Transferencia",P4028&lt;&gt;"Pago tarjeta"),"⚠ Destino solo aplica a transferencias",IF(AND(K4028&lt;&gt;"",K4028=Q4028),"⚠ Origen igual a destino",IF(AND(K4028&lt;&gt;"",ISNA(MATCH(K4028,ctaNombre,0))),"⚠ Destino no registrado",IF(AND(P4028="Pago tarjeta",AE4028&lt;&gt;"Tarjeta de crédito"),"⚠ El destino debe ser tarjeta de crédito",IF(AND(P4028="Gasto",E4028="Depósitos y retiros"),"⚠ Usa tipo Transferencia",IF(AND(P4028="Resultado trading",AD4028&lt;&gt;"Cuenta de trading"),"⚠ Usa una cuenta de trading",IF(AND(G4028&lt;=0,P4028&lt;&gt;"Ajuste",P4028&lt;&gt;"Resultado trading"),"⚠ El monto debe ser positivo","✓")))))))))))))))</f>
        <v/>
      </c>
      <c r="P4028" s="52">
        <f>IF(OR(B4028="",G4028=""),"",IF(C4028="","Gasto",C4028))</f>
        <v/>
      </c>
      <c r="Q4028" s="52">
        <f>IF(P4028="","",IF(J4028&lt;&gt;"",J4028,CuentaPred&amp;""))</f>
        <v/>
      </c>
      <c r="R4028" s="52">
        <f>IF(P4028="","",IF(ISNUMBER(I4028),I4028,TasaUSD))</f>
        <v/>
      </c>
      <c r="S4028" s="53">
        <f>IF(P4028="","",IF(H4028="USD",G4028*R4028,G4028))</f>
        <v/>
      </c>
      <c r="T4028" s="53">
        <f>IF(P4028="","",IF(H4028="USD",G4028,IF(R4028&gt;0,G4028/R4028,0)))</f>
        <v/>
      </c>
      <c r="U4028" s="53">
        <f>IF(P4028="","",IF(P4028="Gasto",S4028,IF(P4028="Reembolso",-S4028,0)))</f>
        <v/>
      </c>
      <c r="V4028" s="53">
        <f>IF(P4028="","",IF(P4028="Ingreso",S4028,0))</f>
        <v/>
      </c>
      <c r="W4028" s="53">
        <f>IF(P4028="","",IF(P4028="Resultado trading",S4028,0))</f>
        <v/>
      </c>
      <c r="X4028" s="52">
        <f>IF(OR(P4028="Gasto",P4028="Reembolso"),IF(M4028&lt;&gt;"",M4028,IFERROR(INDEX(catClasif,MATCH(D4028&amp;"|"&amp;E4028,catClave,0))&amp;"","Variable")),"")</f>
        <v/>
      </c>
      <c r="Y4028" s="52">
        <f>IF(P4028="","",IFERROR(INDEX(catGrupo,MATCH(D4028&amp;"|"&amp;E4028,catClave,0))&amp;"",""))</f>
        <v/>
      </c>
      <c r="Z4028" s="52">
        <f>IF(P4028="","",WEEKDAY(B4028,2))</f>
        <v/>
      </c>
      <c r="AA4028" s="52">
        <f>IF(P4028="","",IF(AND(P4028="Gasto",X4028="Variable",D4028&lt;&gt;catTrading,S4028&gt;0,S4028&lt;=Umbral),1,0))</f>
        <v/>
      </c>
      <c r="AB4028" s="52">
        <f>IF(OR(P4028="",Q4028=""),"",IFERROR(IF(INDEX(ctaVinc,MATCH(Q4028,ctaNombre,0))&amp;""&lt;&gt;"",INDEX(ctaVinc,MATCH(Q4028,ctaNombre,0))&amp;"",Q4028),Q4028))</f>
        <v/>
      </c>
      <c r="AC4028" s="52">
        <f>IF(OR(K4028="",AND(P4028&lt;&gt;"Transferencia",P4028&lt;&gt;"Pago tarjeta")),"",IFERROR(IF(INDEX(ctaVinc,MATCH(K4028,ctaNombre,0))&amp;""&lt;&gt;"",INDEX(ctaVinc,MATCH(K4028,ctaNombre,0))&amp;"",K4028),K4028))</f>
        <v/>
      </c>
      <c r="AD4028" s="52">
        <f>IF(AB4028="","",IFERROR(INDEX(ctaTipo,MATCH(AB4028,ctaNombre,0))&amp;"",""))</f>
        <v/>
      </c>
      <c r="AE4028" s="52">
        <f>IF(AC4028="","",IFERROR(INDEX(ctaTipo,MATCH(AC4028,ctaNombre,0))&amp;"",""))</f>
        <v/>
      </c>
      <c r="AF4028" s="53">
        <f>IF(OR(P4028="",AB4028=""),"",IF(OR(P4028="Gasto",P4028="Transferencia",P4028="Pago tarjeta"),-1,1)*IF(IFERROR(INDEX(ctaMoneda,MATCH(AB4028,ctaNombre,0))&amp;"","DOP")="USD",T4028,S4028))</f>
        <v/>
      </c>
      <c r="AG4028" s="53">
        <f>IF(AC4028="","",IF(IFERROR(INDEX(ctaMoneda,MATCH(AC4028,ctaNombre,0))&amp;"","DOP")="USD",T4028,S4028))</f>
        <v/>
      </c>
      <c r="AH4028" s="53">
        <f>IF(P4028="","",IF(AND(AD4028&lt;&gt;"",COUNTIFS(tcTipo,AD4028,tcLiq,"Sí")&gt;0),IF(OR(P4028="Gasto",P4028="Transferencia",P4028="Pago tarjeta"),-1,1)*S4028,0)+IF(AND(AE4028&lt;&gt;"",COUNTIFS(tcTipo,AE4028,tcLiq,"Sí")&gt;0),S4028,0))</f>
        <v/>
      </c>
      <c r="AI4028" s="52">
        <f>IF(OR(L4028="",P4028=""),"",IF(COUNTIFS(L$6:L4028,L4028,P$6:P4028,"?*")=1,MAX(AI$5:AI4027)+1,""))</f>
        <v/>
      </c>
    </row>
    <row r="4029">
      <c r="B4029" s="47" t="n"/>
      <c r="C4029" s="48" t="n"/>
      <c r="D4029" s="48" t="n"/>
      <c r="E4029" s="48" t="n"/>
      <c r="F4029" s="48" t="n"/>
      <c r="G4029" s="49" t="n"/>
      <c r="H4029" s="48" t="n"/>
      <c r="I4029" s="50" t="n"/>
      <c r="J4029" s="48" t="n"/>
      <c r="K4029" s="48" t="n"/>
      <c r="L4029" s="48" t="n"/>
      <c r="M4029" s="48" t="n"/>
      <c r="N4029" s="48" t="n"/>
      <c r="O4029" s="51">
        <f>IF(AND(B4029="",G4029="",C4029="",D4029="",J4029=""),"",IF(B4029="","⚠ Falta fecha",IF(G4029="","⚠ Falta monto",IF(Q4029="","⚠ Falta cuenta",IF(ISNA(MATCH(Q4029,ctaNombre,0)),"⚠ Cuenta no registrada",IF(AND(OR(P4029="Gasto",P4029="Reembolso"),D4029=""),"⚠ Falta categoría",IF(AND(D4029&lt;&gt;"",E4029&lt;&gt;"",ISNA(MATCH(D4029&amp;"|"&amp;E4029,catClave,0))),"⚠ Subcategoría no corresponde",IF(AND(OR(P4029="Transferencia",P4029="Pago tarjeta"),K4029=""),"⚠ Falta cuenta destino",IF(AND(K4029&lt;&gt;"",P4029&lt;&gt;"Transferencia",P4029&lt;&gt;"Pago tarjeta"),"⚠ Destino solo aplica a transferencias",IF(AND(K4029&lt;&gt;"",K4029=Q4029),"⚠ Origen igual a destino",IF(AND(K4029&lt;&gt;"",ISNA(MATCH(K4029,ctaNombre,0))),"⚠ Destino no registrado",IF(AND(P4029="Pago tarjeta",AE4029&lt;&gt;"Tarjeta de crédito"),"⚠ El destino debe ser tarjeta de crédito",IF(AND(P4029="Gasto",E4029="Depósitos y retiros"),"⚠ Usa tipo Transferencia",IF(AND(P4029="Resultado trading",AD4029&lt;&gt;"Cuenta de trading"),"⚠ Usa una cuenta de trading",IF(AND(G4029&lt;=0,P4029&lt;&gt;"Ajuste",P4029&lt;&gt;"Resultado trading"),"⚠ El monto debe ser positivo","✓")))))))))))))))</f>
        <v/>
      </c>
      <c r="P4029" s="52">
        <f>IF(OR(B4029="",G4029=""),"",IF(C4029="","Gasto",C4029))</f>
        <v/>
      </c>
      <c r="Q4029" s="52">
        <f>IF(P4029="","",IF(J4029&lt;&gt;"",J4029,CuentaPred&amp;""))</f>
        <v/>
      </c>
      <c r="R4029" s="52">
        <f>IF(P4029="","",IF(ISNUMBER(I4029),I4029,TasaUSD))</f>
        <v/>
      </c>
      <c r="S4029" s="53">
        <f>IF(P4029="","",IF(H4029="USD",G4029*R4029,G4029))</f>
        <v/>
      </c>
      <c r="T4029" s="53">
        <f>IF(P4029="","",IF(H4029="USD",G4029,IF(R4029&gt;0,G4029/R4029,0)))</f>
        <v/>
      </c>
      <c r="U4029" s="53">
        <f>IF(P4029="","",IF(P4029="Gasto",S4029,IF(P4029="Reembolso",-S4029,0)))</f>
        <v/>
      </c>
      <c r="V4029" s="53">
        <f>IF(P4029="","",IF(P4029="Ingreso",S4029,0))</f>
        <v/>
      </c>
      <c r="W4029" s="53">
        <f>IF(P4029="","",IF(P4029="Resultado trading",S4029,0))</f>
        <v/>
      </c>
      <c r="X4029" s="52">
        <f>IF(OR(P4029="Gasto",P4029="Reembolso"),IF(M4029&lt;&gt;"",M4029,IFERROR(INDEX(catClasif,MATCH(D4029&amp;"|"&amp;E4029,catClave,0))&amp;"","Variable")),"")</f>
        <v/>
      </c>
      <c r="Y4029" s="52">
        <f>IF(P4029="","",IFERROR(INDEX(catGrupo,MATCH(D4029&amp;"|"&amp;E4029,catClave,0))&amp;"",""))</f>
        <v/>
      </c>
      <c r="Z4029" s="52">
        <f>IF(P4029="","",WEEKDAY(B4029,2))</f>
        <v/>
      </c>
      <c r="AA4029" s="52">
        <f>IF(P4029="","",IF(AND(P4029="Gasto",X4029="Variable",D4029&lt;&gt;catTrading,S4029&gt;0,S4029&lt;=Umbral),1,0))</f>
        <v/>
      </c>
      <c r="AB4029" s="52">
        <f>IF(OR(P4029="",Q4029=""),"",IFERROR(IF(INDEX(ctaVinc,MATCH(Q4029,ctaNombre,0))&amp;""&lt;&gt;"",INDEX(ctaVinc,MATCH(Q4029,ctaNombre,0))&amp;"",Q4029),Q4029))</f>
        <v/>
      </c>
      <c r="AC4029" s="52">
        <f>IF(OR(K4029="",AND(P4029&lt;&gt;"Transferencia",P4029&lt;&gt;"Pago tarjeta")),"",IFERROR(IF(INDEX(ctaVinc,MATCH(K4029,ctaNombre,0))&amp;""&lt;&gt;"",INDEX(ctaVinc,MATCH(K4029,ctaNombre,0))&amp;"",K4029),K4029))</f>
        <v/>
      </c>
      <c r="AD4029" s="52">
        <f>IF(AB4029="","",IFERROR(INDEX(ctaTipo,MATCH(AB4029,ctaNombre,0))&amp;"",""))</f>
        <v/>
      </c>
      <c r="AE4029" s="52">
        <f>IF(AC4029="","",IFERROR(INDEX(ctaTipo,MATCH(AC4029,ctaNombre,0))&amp;"",""))</f>
        <v/>
      </c>
      <c r="AF4029" s="53">
        <f>IF(OR(P4029="",AB4029=""),"",IF(OR(P4029="Gasto",P4029="Transferencia",P4029="Pago tarjeta"),-1,1)*IF(IFERROR(INDEX(ctaMoneda,MATCH(AB4029,ctaNombre,0))&amp;"","DOP")="USD",T4029,S4029))</f>
        <v/>
      </c>
      <c r="AG4029" s="53">
        <f>IF(AC4029="","",IF(IFERROR(INDEX(ctaMoneda,MATCH(AC4029,ctaNombre,0))&amp;"","DOP")="USD",T4029,S4029))</f>
        <v/>
      </c>
      <c r="AH4029" s="53">
        <f>IF(P4029="","",IF(AND(AD4029&lt;&gt;"",COUNTIFS(tcTipo,AD4029,tcLiq,"Sí")&gt;0),IF(OR(P4029="Gasto",P4029="Transferencia",P4029="Pago tarjeta"),-1,1)*S4029,0)+IF(AND(AE4029&lt;&gt;"",COUNTIFS(tcTipo,AE4029,tcLiq,"Sí")&gt;0),S4029,0))</f>
        <v/>
      </c>
      <c r="AI4029" s="52">
        <f>IF(OR(L4029="",P4029=""),"",IF(COUNTIFS(L$6:L4029,L4029,P$6:P4029,"?*")=1,MAX(AI$5:AI4028)+1,""))</f>
        <v/>
      </c>
    </row>
    <row r="4030">
      <c r="B4030" s="47" t="n"/>
      <c r="C4030" s="48" t="n"/>
      <c r="D4030" s="48" t="n"/>
      <c r="E4030" s="48" t="n"/>
      <c r="F4030" s="48" t="n"/>
      <c r="G4030" s="49" t="n"/>
      <c r="H4030" s="48" t="n"/>
      <c r="I4030" s="50" t="n"/>
      <c r="J4030" s="48" t="n"/>
      <c r="K4030" s="48" t="n"/>
      <c r="L4030" s="48" t="n"/>
      <c r="M4030" s="48" t="n"/>
      <c r="N4030" s="48" t="n"/>
      <c r="O4030" s="51">
        <f>IF(AND(B4030="",G4030="",C4030="",D4030="",J4030=""),"",IF(B4030="","⚠ Falta fecha",IF(G4030="","⚠ Falta monto",IF(Q4030="","⚠ Falta cuenta",IF(ISNA(MATCH(Q4030,ctaNombre,0)),"⚠ Cuenta no registrada",IF(AND(OR(P4030="Gasto",P4030="Reembolso"),D4030=""),"⚠ Falta categoría",IF(AND(D4030&lt;&gt;"",E4030&lt;&gt;"",ISNA(MATCH(D4030&amp;"|"&amp;E4030,catClave,0))),"⚠ Subcategoría no corresponde",IF(AND(OR(P4030="Transferencia",P4030="Pago tarjeta"),K4030=""),"⚠ Falta cuenta destino",IF(AND(K4030&lt;&gt;"",P4030&lt;&gt;"Transferencia",P4030&lt;&gt;"Pago tarjeta"),"⚠ Destino solo aplica a transferencias",IF(AND(K4030&lt;&gt;"",K4030=Q4030),"⚠ Origen igual a destino",IF(AND(K4030&lt;&gt;"",ISNA(MATCH(K4030,ctaNombre,0))),"⚠ Destino no registrado",IF(AND(P4030="Pago tarjeta",AE4030&lt;&gt;"Tarjeta de crédito"),"⚠ El destino debe ser tarjeta de crédito",IF(AND(P4030="Gasto",E4030="Depósitos y retiros"),"⚠ Usa tipo Transferencia",IF(AND(P4030="Resultado trading",AD4030&lt;&gt;"Cuenta de trading"),"⚠ Usa una cuenta de trading",IF(AND(G4030&lt;=0,P4030&lt;&gt;"Ajuste",P4030&lt;&gt;"Resultado trading"),"⚠ El monto debe ser positivo","✓")))))))))))))))</f>
        <v/>
      </c>
      <c r="P4030" s="52">
        <f>IF(OR(B4030="",G4030=""),"",IF(C4030="","Gasto",C4030))</f>
        <v/>
      </c>
      <c r="Q4030" s="52">
        <f>IF(P4030="","",IF(J4030&lt;&gt;"",J4030,CuentaPred&amp;""))</f>
        <v/>
      </c>
      <c r="R4030" s="52">
        <f>IF(P4030="","",IF(ISNUMBER(I4030),I4030,TasaUSD))</f>
        <v/>
      </c>
      <c r="S4030" s="53">
        <f>IF(P4030="","",IF(H4030="USD",G4030*R4030,G4030))</f>
        <v/>
      </c>
      <c r="T4030" s="53">
        <f>IF(P4030="","",IF(H4030="USD",G4030,IF(R4030&gt;0,G4030/R4030,0)))</f>
        <v/>
      </c>
      <c r="U4030" s="53">
        <f>IF(P4030="","",IF(P4030="Gasto",S4030,IF(P4030="Reembolso",-S4030,0)))</f>
        <v/>
      </c>
      <c r="V4030" s="53">
        <f>IF(P4030="","",IF(P4030="Ingreso",S4030,0))</f>
        <v/>
      </c>
      <c r="W4030" s="53">
        <f>IF(P4030="","",IF(P4030="Resultado trading",S4030,0))</f>
        <v/>
      </c>
      <c r="X4030" s="52">
        <f>IF(OR(P4030="Gasto",P4030="Reembolso"),IF(M4030&lt;&gt;"",M4030,IFERROR(INDEX(catClasif,MATCH(D4030&amp;"|"&amp;E4030,catClave,0))&amp;"","Variable")),"")</f>
        <v/>
      </c>
      <c r="Y4030" s="52">
        <f>IF(P4030="","",IFERROR(INDEX(catGrupo,MATCH(D4030&amp;"|"&amp;E4030,catClave,0))&amp;"",""))</f>
        <v/>
      </c>
      <c r="Z4030" s="52">
        <f>IF(P4030="","",WEEKDAY(B4030,2))</f>
        <v/>
      </c>
      <c r="AA4030" s="52">
        <f>IF(P4030="","",IF(AND(P4030="Gasto",X4030="Variable",D4030&lt;&gt;catTrading,S4030&gt;0,S4030&lt;=Umbral),1,0))</f>
        <v/>
      </c>
      <c r="AB4030" s="52">
        <f>IF(OR(P4030="",Q4030=""),"",IFERROR(IF(INDEX(ctaVinc,MATCH(Q4030,ctaNombre,0))&amp;""&lt;&gt;"",INDEX(ctaVinc,MATCH(Q4030,ctaNombre,0))&amp;"",Q4030),Q4030))</f>
        <v/>
      </c>
      <c r="AC4030" s="52">
        <f>IF(OR(K4030="",AND(P4030&lt;&gt;"Transferencia",P4030&lt;&gt;"Pago tarjeta")),"",IFERROR(IF(INDEX(ctaVinc,MATCH(K4030,ctaNombre,0))&amp;""&lt;&gt;"",INDEX(ctaVinc,MATCH(K4030,ctaNombre,0))&amp;"",K4030),K4030))</f>
        <v/>
      </c>
      <c r="AD4030" s="52">
        <f>IF(AB4030="","",IFERROR(INDEX(ctaTipo,MATCH(AB4030,ctaNombre,0))&amp;"",""))</f>
        <v/>
      </c>
      <c r="AE4030" s="52">
        <f>IF(AC4030="","",IFERROR(INDEX(ctaTipo,MATCH(AC4030,ctaNombre,0))&amp;"",""))</f>
        <v/>
      </c>
      <c r="AF4030" s="53">
        <f>IF(OR(P4030="",AB4030=""),"",IF(OR(P4030="Gasto",P4030="Transferencia",P4030="Pago tarjeta"),-1,1)*IF(IFERROR(INDEX(ctaMoneda,MATCH(AB4030,ctaNombre,0))&amp;"","DOP")="USD",T4030,S4030))</f>
        <v/>
      </c>
      <c r="AG4030" s="53">
        <f>IF(AC4030="","",IF(IFERROR(INDEX(ctaMoneda,MATCH(AC4030,ctaNombre,0))&amp;"","DOP")="USD",T4030,S4030))</f>
        <v/>
      </c>
      <c r="AH4030" s="53">
        <f>IF(P4030="","",IF(AND(AD4030&lt;&gt;"",COUNTIFS(tcTipo,AD4030,tcLiq,"Sí")&gt;0),IF(OR(P4030="Gasto",P4030="Transferencia",P4030="Pago tarjeta"),-1,1)*S4030,0)+IF(AND(AE4030&lt;&gt;"",COUNTIFS(tcTipo,AE4030,tcLiq,"Sí")&gt;0),S4030,0))</f>
        <v/>
      </c>
      <c r="AI4030" s="52">
        <f>IF(OR(L4030="",P4030=""),"",IF(COUNTIFS(L$6:L4030,L4030,P$6:P4030,"?*")=1,MAX(AI$5:AI4029)+1,""))</f>
        <v/>
      </c>
    </row>
    <row r="4031">
      <c r="B4031" s="47" t="n"/>
      <c r="C4031" s="48" t="n"/>
      <c r="D4031" s="48" t="n"/>
      <c r="E4031" s="48" t="n"/>
      <c r="F4031" s="48" t="n"/>
      <c r="G4031" s="49" t="n"/>
      <c r="H4031" s="48" t="n"/>
      <c r="I4031" s="50" t="n"/>
      <c r="J4031" s="48" t="n"/>
      <c r="K4031" s="48" t="n"/>
      <c r="L4031" s="48" t="n"/>
      <c r="M4031" s="48" t="n"/>
      <c r="N4031" s="48" t="n"/>
      <c r="O4031" s="51">
        <f>IF(AND(B4031="",G4031="",C4031="",D4031="",J4031=""),"",IF(B4031="","⚠ Falta fecha",IF(G4031="","⚠ Falta monto",IF(Q4031="","⚠ Falta cuenta",IF(ISNA(MATCH(Q4031,ctaNombre,0)),"⚠ Cuenta no registrada",IF(AND(OR(P4031="Gasto",P4031="Reembolso"),D4031=""),"⚠ Falta categoría",IF(AND(D4031&lt;&gt;"",E4031&lt;&gt;"",ISNA(MATCH(D4031&amp;"|"&amp;E4031,catClave,0))),"⚠ Subcategoría no corresponde",IF(AND(OR(P4031="Transferencia",P4031="Pago tarjeta"),K4031=""),"⚠ Falta cuenta destino",IF(AND(K4031&lt;&gt;"",P4031&lt;&gt;"Transferencia",P4031&lt;&gt;"Pago tarjeta"),"⚠ Destino solo aplica a transferencias",IF(AND(K4031&lt;&gt;"",K4031=Q4031),"⚠ Origen igual a destino",IF(AND(K4031&lt;&gt;"",ISNA(MATCH(K4031,ctaNombre,0))),"⚠ Destino no registrado",IF(AND(P4031="Pago tarjeta",AE4031&lt;&gt;"Tarjeta de crédito"),"⚠ El destino debe ser tarjeta de crédito",IF(AND(P4031="Gasto",E4031="Depósitos y retiros"),"⚠ Usa tipo Transferencia",IF(AND(P4031="Resultado trading",AD4031&lt;&gt;"Cuenta de trading"),"⚠ Usa una cuenta de trading",IF(AND(G4031&lt;=0,P4031&lt;&gt;"Ajuste",P4031&lt;&gt;"Resultado trading"),"⚠ El monto debe ser positivo","✓")))))))))))))))</f>
        <v/>
      </c>
      <c r="P4031" s="52">
        <f>IF(OR(B4031="",G4031=""),"",IF(C4031="","Gasto",C4031))</f>
        <v/>
      </c>
      <c r="Q4031" s="52">
        <f>IF(P4031="","",IF(J4031&lt;&gt;"",J4031,CuentaPred&amp;""))</f>
        <v/>
      </c>
      <c r="R4031" s="52">
        <f>IF(P4031="","",IF(ISNUMBER(I4031),I4031,TasaUSD))</f>
        <v/>
      </c>
      <c r="S4031" s="53">
        <f>IF(P4031="","",IF(H4031="USD",G4031*R4031,G4031))</f>
        <v/>
      </c>
      <c r="T4031" s="53">
        <f>IF(P4031="","",IF(H4031="USD",G4031,IF(R4031&gt;0,G4031/R4031,0)))</f>
        <v/>
      </c>
      <c r="U4031" s="53">
        <f>IF(P4031="","",IF(P4031="Gasto",S4031,IF(P4031="Reembolso",-S4031,0)))</f>
        <v/>
      </c>
      <c r="V4031" s="53">
        <f>IF(P4031="","",IF(P4031="Ingreso",S4031,0))</f>
        <v/>
      </c>
      <c r="W4031" s="53">
        <f>IF(P4031="","",IF(P4031="Resultado trading",S4031,0))</f>
        <v/>
      </c>
      <c r="X4031" s="52">
        <f>IF(OR(P4031="Gasto",P4031="Reembolso"),IF(M4031&lt;&gt;"",M4031,IFERROR(INDEX(catClasif,MATCH(D4031&amp;"|"&amp;E4031,catClave,0))&amp;"","Variable")),"")</f>
        <v/>
      </c>
      <c r="Y4031" s="52">
        <f>IF(P4031="","",IFERROR(INDEX(catGrupo,MATCH(D4031&amp;"|"&amp;E4031,catClave,0))&amp;"",""))</f>
        <v/>
      </c>
      <c r="Z4031" s="52">
        <f>IF(P4031="","",WEEKDAY(B4031,2))</f>
        <v/>
      </c>
      <c r="AA4031" s="52">
        <f>IF(P4031="","",IF(AND(P4031="Gasto",X4031="Variable",D4031&lt;&gt;catTrading,S4031&gt;0,S4031&lt;=Umbral),1,0))</f>
        <v/>
      </c>
      <c r="AB4031" s="52">
        <f>IF(OR(P4031="",Q4031=""),"",IFERROR(IF(INDEX(ctaVinc,MATCH(Q4031,ctaNombre,0))&amp;""&lt;&gt;"",INDEX(ctaVinc,MATCH(Q4031,ctaNombre,0))&amp;"",Q4031),Q4031))</f>
        <v/>
      </c>
      <c r="AC4031" s="52">
        <f>IF(OR(K4031="",AND(P4031&lt;&gt;"Transferencia",P4031&lt;&gt;"Pago tarjeta")),"",IFERROR(IF(INDEX(ctaVinc,MATCH(K4031,ctaNombre,0))&amp;""&lt;&gt;"",INDEX(ctaVinc,MATCH(K4031,ctaNombre,0))&amp;"",K4031),K4031))</f>
        <v/>
      </c>
      <c r="AD4031" s="52">
        <f>IF(AB4031="","",IFERROR(INDEX(ctaTipo,MATCH(AB4031,ctaNombre,0))&amp;"",""))</f>
        <v/>
      </c>
      <c r="AE4031" s="52">
        <f>IF(AC4031="","",IFERROR(INDEX(ctaTipo,MATCH(AC4031,ctaNombre,0))&amp;"",""))</f>
        <v/>
      </c>
      <c r="AF4031" s="53">
        <f>IF(OR(P4031="",AB4031=""),"",IF(OR(P4031="Gasto",P4031="Transferencia",P4031="Pago tarjeta"),-1,1)*IF(IFERROR(INDEX(ctaMoneda,MATCH(AB4031,ctaNombre,0))&amp;"","DOP")="USD",T4031,S4031))</f>
        <v/>
      </c>
      <c r="AG4031" s="53">
        <f>IF(AC4031="","",IF(IFERROR(INDEX(ctaMoneda,MATCH(AC4031,ctaNombre,0))&amp;"","DOP")="USD",T4031,S4031))</f>
        <v/>
      </c>
      <c r="AH4031" s="53">
        <f>IF(P4031="","",IF(AND(AD4031&lt;&gt;"",COUNTIFS(tcTipo,AD4031,tcLiq,"Sí")&gt;0),IF(OR(P4031="Gasto",P4031="Transferencia",P4031="Pago tarjeta"),-1,1)*S4031,0)+IF(AND(AE4031&lt;&gt;"",COUNTIFS(tcTipo,AE4031,tcLiq,"Sí")&gt;0),S4031,0))</f>
        <v/>
      </c>
      <c r="AI4031" s="52">
        <f>IF(OR(L4031="",P4031=""),"",IF(COUNTIFS(L$6:L4031,L4031,P$6:P4031,"?*")=1,MAX(AI$5:AI4030)+1,""))</f>
        <v/>
      </c>
    </row>
    <row r="4032">
      <c r="B4032" s="47" t="n"/>
      <c r="C4032" s="48" t="n"/>
      <c r="D4032" s="48" t="n"/>
      <c r="E4032" s="48" t="n"/>
      <c r="F4032" s="48" t="n"/>
      <c r="G4032" s="49" t="n"/>
      <c r="H4032" s="48" t="n"/>
      <c r="I4032" s="50" t="n"/>
      <c r="J4032" s="48" t="n"/>
      <c r="K4032" s="48" t="n"/>
      <c r="L4032" s="48" t="n"/>
      <c r="M4032" s="48" t="n"/>
      <c r="N4032" s="48" t="n"/>
      <c r="O4032" s="51">
        <f>IF(AND(B4032="",G4032="",C4032="",D4032="",J4032=""),"",IF(B4032="","⚠ Falta fecha",IF(G4032="","⚠ Falta monto",IF(Q4032="","⚠ Falta cuenta",IF(ISNA(MATCH(Q4032,ctaNombre,0)),"⚠ Cuenta no registrada",IF(AND(OR(P4032="Gasto",P4032="Reembolso"),D4032=""),"⚠ Falta categoría",IF(AND(D4032&lt;&gt;"",E4032&lt;&gt;"",ISNA(MATCH(D4032&amp;"|"&amp;E4032,catClave,0))),"⚠ Subcategoría no corresponde",IF(AND(OR(P4032="Transferencia",P4032="Pago tarjeta"),K4032=""),"⚠ Falta cuenta destino",IF(AND(K4032&lt;&gt;"",P4032&lt;&gt;"Transferencia",P4032&lt;&gt;"Pago tarjeta"),"⚠ Destino solo aplica a transferencias",IF(AND(K4032&lt;&gt;"",K4032=Q4032),"⚠ Origen igual a destino",IF(AND(K4032&lt;&gt;"",ISNA(MATCH(K4032,ctaNombre,0))),"⚠ Destino no registrado",IF(AND(P4032="Pago tarjeta",AE4032&lt;&gt;"Tarjeta de crédito"),"⚠ El destino debe ser tarjeta de crédito",IF(AND(P4032="Gasto",E4032="Depósitos y retiros"),"⚠ Usa tipo Transferencia",IF(AND(P4032="Resultado trading",AD4032&lt;&gt;"Cuenta de trading"),"⚠ Usa una cuenta de trading",IF(AND(G4032&lt;=0,P4032&lt;&gt;"Ajuste",P4032&lt;&gt;"Resultado trading"),"⚠ El monto debe ser positivo","✓")))))))))))))))</f>
        <v/>
      </c>
      <c r="P4032" s="52">
        <f>IF(OR(B4032="",G4032=""),"",IF(C4032="","Gasto",C4032))</f>
        <v/>
      </c>
      <c r="Q4032" s="52">
        <f>IF(P4032="","",IF(J4032&lt;&gt;"",J4032,CuentaPred&amp;""))</f>
        <v/>
      </c>
      <c r="R4032" s="52">
        <f>IF(P4032="","",IF(ISNUMBER(I4032),I4032,TasaUSD))</f>
        <v/>
      </c>
      <c r="S4032" s="53">
        <f>IF(P4032="","",IF(H4032="USD",G4032*R4032,G4032))</f>
        <v/>
      </c>
      <c r="T4032" s="53">
        <f>IF(P4032="","",IF(H4032="USD",G4032,IF(R4032&gt;0,G4032/R4032,0)))</f>
        <v/>
      </c>
      <c r="U4032" s="53">
        <f>IF(P4032="","",IF(P4032="Gasto",S4032,IF(P4032="Reembolso",-S4032,0)))</f>
        <v/>
      </c>
      <c r="V4032" s="53">
        <f>IF(P4032="","",IF(P4032="Ingreso",S4032,0))</f>
        <v/>
      </c>
      <c r="W4032" s="53">
        <f>IF(P4032="","",IF(P4032="Resultado trading",S4032,0))</f>
        <v/>
      </c>
      <c r="X4032" s="52">
        <f>IF(OR(P4032="Gasto",P4032="Reembolso"),IF(M4032&lt;&gt;"",M4032,IFERROR(INDEX(catClasif,MATCH(D4032&amp;"|"&amp;E4032,catClave,0))&amp;"","Variable")),"")</f>
        <v/>
      </c>
      <c r="Y4032" s="52">
        <f>IF(P4032="","",IFERROR(INDEX(catGrupo,MATCH(D4032&amp;"|"&amp;E4032,catClave,0))&amp;"",""))</f>
        <v/>
      </c>
      <c r="Z4032" s="52">
        <f>IF(P4032="","",WEEKDAY(B4032,2))</f>
        <v/>
      </c>
      <c r="AA4032" s="52">
        <f>IF(P4032="","",IF(AND(P4032="Gasto",X4032="Variable",D4032&lt;&gt;catTrading,S4032&gt;0,S4032&lt;=Umbral),1,0))</f>
        <v/>
      </c>
      <c r="AB4032" s="52">
        <f>IF(OR(P4032="",Q4032=""),"",IFERROR(IF(INDEX(ctaVinc,MATCH(Q4032,ctaNombre,0))&amp;""&lt;&gt;"",INDEX(ctaVinc,MATCH(Q4032,ctaNombre,0))&amp;"",Q4032),Q4032))</f>
        <v/>
      </c>
      <c r="AC4032" s="52">
        <f>IF(OR(K4032="",AND(P4032&lt;&gt;"Transferencia",P4032&lt;&gt;"Pago tarjeta")),"",IFERROR(IF(INDEX(ctaVinc,MATCH(K4032,ctaNombre,0))&amp;""&lt;&gt;"",INDEX(ctaVinc,MATCH(K4032,ctaNombre,0))&amp;"",K4032),K4032))</f>
        <v/>
      </c>
      <c r="AD4032" s="52">
        <f>IF(AB4032="","",IFERROR(INDEX(ctaTipo,MATCH(AB4032,ctaNombre,0))&amp;"",""))</f>
        <v/>
      </c>
      <c r="AE4032" s="52">
        <f>IF(AC4032="","",IFERROR(INDEX(ctaTipo,MATCH(AC4032,ctaNombre,0))&amp;"",""))</f>
        <v/>
      </c>
      <c r="AF4032" s="53">
        <f>IF(OR(P4032="",AB4032=""),"",IF(OR(P4032="Gasto",P4032="Transferencia",P4032="Pago tarjeta"),-1,1)*IF(IFERROR(INDEX(ctaMoneda,MATCH(AB4032,ctaNombre,0))&amp;"","DOP")="USD",T4032,S4032))</f>
        <v/>
      </c>
      <c r="AG4032" s="53">
        <f>IF(AC4032="","",IF(IFERROR(INDEX(ctaMoneda,MATCH(AC4032,ctaNombre,0))&amp;"","DOP")="USD",T4032,S4032))</f>
        <v/>
      </c>
      <c r="AH4032" s="53">
        <f>IF(P4032="","",IF(AND(AD4032&lt;&gt;"",COUNTIFS(tcTipo,AD4032,tcLiq,"Sí")&gt;0),IF(OR(P4032="Gasto",P4032="Transferencia",P4032="Pago tarjeta"),-1,1)*S4032,0)+IF(AND(AE4032&lt;&gt;"",COUNTIFS(tcTipo,AE4032,tcLiq,"Sí")&gt;0),S4032,0))</f>
        <v/>
      </c>
      <c r="AI4032" s="52">
        <f>IF(OR(L4032="",P4032=""),"",IF(COUNTIFS(L$6:L4032,L4032,P$6:P4032,"?*")=1,MAX(AI$5:AI4031)+1,""))</f>
        <v/>
      </c>
    </row>
    <row r="4033">
      <c r="B4033" s="47" t="n"/>
      <c r="C4033" s="48" t="n"/>
      <c r="D4033" s="48" t="n"/>
      <c r="E4033" s="48" t="n"/>
      <c r="F4033" s="48" t="n"/>
      <c r="G4033" s="49" t="n"/>
      <c r="H4033" s="48" t="n"/>
      <c r="I4033" s="50" t="n"/>
      <c r="J4033" s="48" t="n"/>
      <c r="K4033" s="48" t="n"/>
      <c r="L4033" s="48" t="n"/>
      <c r="M4033" s="48" t="n"/>
      <c r="N4033" s="48" t="n"/>
      <c r="O4033" s="51">
        <f>IF(AND(B4033="",G4033="",C4033="",D4033="",J4033=""),"",IF(B4033="","⚠ Falta fecha",IF(G4033="","⚠ Falta monto",IF(Q4033="","⚠ Falta cuenta",IF(ISNA(MATCH(Q4033,ctaNombre,0)),"⚠ Cuenta no registrada",IF(AND(OR(P4033="Gasto",P4033="Reembolso"),D4033=""),"⚠ Falta categoría",IF(AND(D4033&lt;&gt;"",E4033&lt;&gt;"",ISNA(MATCH(D4033&amp;"|"&amp;E4033,catClave,0))),"⚠ Subcategoría no corresponde",IF(AND(OR(P4033="Transferencia",P4033="Pago tarjeta"),K4033=""),"⚠ Falta cuenta destino",IF(AND(K4033&lt;&gt;"",P4033&lt;&gt;"Transferencia",P4033&lt;&gt;"Pago tarjeta"),"⚠ Destino solo aplica a transferencias",IF(AND(K4033&lt;&gt;"",K4033=Q4033),"⚠ Origen igual a destino",IF(AND(K4033&lt;&gt;"",ISNA(MATCH(K4033,ctaNombre,0))),"⚠ Destino no registrado",IF(AND(P4033="Pago tarjeta",AE4033&lt;&gt;"Tarjeta de crédito"),"⚠ El destino debe ser tarjeta de crédito",IF(AND(P4033="Gasto",E4033="Depósitos y retiros"),"⚠ Usa tipo Transferencia",IF(AND(P4033="Resultado trading",AD4033&lt;&gt;"Cuenta de trading"),"⚠ Usa una cuenta de trading",IF(AND(G4033&lt;=0,P4033&lt;&gt;"Ajuste",P4033&lt;&gt;"Resultado trading"),"⚠ El monto debe ser positivo","✓")))))))))))))))</f>
        <v/>
      </c>
      <c r="P4033" s="52">
        <f>IF(OR(B4033="",G4033=""),"",IF(C4033="","Gasto",C4033))</f>
        <v/>
      </c>
      <c r="Q4033" s="52">
        <f>IF(P4033="","",IF(J4033&lt;&gt;"",J4033,CuentaPred&amp;""))</f>
        <v/>
      </c>
      <c r="R4033" s="52">
        <f>IF(P4033="","",IF(ISNUMBER(I4033),I4033,TasaUSD))</f>
        <v/>
      </c>
      <c r="S4033" s="53">
        <f>IF(P4033="","",IF(H4033="USD",G4033*R4033,G4033))</f>
        <v/>
      </c>
      <c r="T4033" s="53">
        <f>IF(P4033="","",IF(H4033="USD",G4033,IF(R4033&gt;0,G4033/R4033,0)))</f>
        <v/>
      </c>
      <c r="U4033" s="53">
        <f>IF(P4033="","",IF(P4033="Gasto",S4033,IF(P4033="Reembolso",-S4033,0)))</f>
        <v/>
      </c>
      <c r="V4033" s="53">
        <f>IF(P4033="","",IF(P4033="Ingreso",S4033,0))</f>
        <v/>
      </c>
      <c r="W4033" s="53">
        <f>IF(P4033="","",IF(P4033="Resultado trading",S4033,0))</f>
        <v/>
      </c>
      <c r="X4033" s="52">
        <f>IF(OR(P4033="Gasto",P4033="Reembolso"),IF(M4033&lt;&gt;"",M4033,IFERROR(INDEX(catClasif,MATCH(D4033&amp;"|"&amp;E4033,catClave,0))&amp;"","Variable")),"")</f>
        <v/>
      </c>
      <c r="Y4033" s="52">
        <f>IF(P4033="","",IFERROR(INDEX(catGrupo,MATCH(D4033&amp;"|"&amp;E4033,catClave,0))&amp;"",""))</f>
        <v/>
      </c>
      <c r="Z4033" s="52">
        <f>IF(P4033="","",WEEKDAY(B4033,2))</f>
        <v/>
      </c>
      <c r="AA4033" s="52">
        <f>IF(P4033="","",IF(AND(P4033="Gasto",X4033="Variable",D4033&lt;&gt;catTrading,S4033&gt;0,S4033&lt;=Umbral),1,0))</f>
        <v/>
      </c>
      <c r="AB4033" s="52">
        <f>IF(OR(P4033="",Q4033=""),"",IFERROR(IF(INDEX(ctaVinc,MATCH(Q4033,ctaNombre,0))&amp;""&lt;&gt;"",INDEX(ctaVinc,MATCH(Q4033,ctaNombre,0))&amp;"",Q4033),Q4033))</f>
        <v/>
      </c>
      <c r="AC4033" s="52">
        <f>IF(OR(K4033="",AND(P4033&lt;&gt;"Transferencia",P4033&lt;&gt;"Pago tarjeta")),"",IFERROR(IF(INDEX(ctaVinc,MATCH(K4033,ctaNombre,0))&amp;""&lt;&gt;"",INDEX(ctaVinc,MATCH(K4033,ctaNombre,0))&amp;"",K4033),K4033))</f>
        <v/>
      </c>
      <c r="AD4033" s="52">
        <f>IF(AB4033="","",IFERROR(INDEX(ctaTipo,MATCH(AB4033,ctaNombre,0))&amp;"",""))</f>
        <v/>
      </c>
      <c r="AE4033" s="52">
        <f>IF(AC4033="","",IFERROR(INDEX(ctaTipo,MATCH(AC4033,ctaNombre,0))&amp;"",""))</f>
        <v/>
      </c>
      <c r="AF4033" s="53">
        <f>IF(OR(P4033="",AB4033=""),"",IF(OR(P4033="Gasto",P4033="Transferencia",P4033="Pago tarjeta"),-1,1)*IF(IFERROR(INDEX(ctaMoneda,MATCH(AB4033,ctaNombre,0))&amp;"","DOP")="USD",T4033,S4033))</f>
        <v/>
      </c>
      <c r="AG4033" s="53">
        <f>IF(AC4033="","",IF(IFERROR(INDEX(ctaMoneda,MATCH(AC4033,ctaNombre,0))&amp;"","DOP")="USD",T4033,S4033))</f>
        <v/>
      </c>
      <c r="AH4033" s="53">
        <f>IF(P4033="","",IF(AND(AD4033&lt;&gt;"",COUNTIFS(tcTipo,AD4033,tcLiq,"Sí")&gt;0),IF(OR(P4033="Gasto",P4033="Transferencia",P4033="Pago tarjeta"),-1,1)*S4033,0)+IF(AND(AE4033&lt;&gt;"",COUNTIFS(tcTipo,AE4033,tcLiq,"Sí")&gt;0),S4033,0))</f>
        <v/>
      </c>
      <c r="AI4033" s="52">
        <f>IF(OR(L4033="",P4033=""),"",IF(COUNTIFS(L$6:L4033,L4033,P$6:P4033,"?*")=1,MAX(AI$5:AI4032)+1,""))</f>
        <v/>
      </c>
    </row>
    <row r="4034">
      <c r="B4034" s="47" t="n"/>
      <c r="C4034" s="48" t="n"/>
      <c r="D4034" s="48" t="n"/>
      <c r="E4034" s="48" t="n"/>
      <c r="F4034" s="48" t="n"/>
      <c r="G4034" s="49" t="n"/>
      <c r="H4034" s="48" t="n"/>
      <c r="I4034" s="50" t="n"/>
      <c r="J4034" s="48" t="n"/>
      <c r="K4034" s="48" t="n"/>
      <c r="L4034" s="48" t="n"/>
      <c r="M4034" s="48" t="n"/>
      <c r="N4034" s="48" t="n"/>
      <c r="O4034" s="51">
        <f>IF(AND(B4034="",G4034="",C4034="",D4034="",J4034=""),"",IF(B4034="","⚠ Falta fecha",IF(G4034="","⚠ Falta monto",IF(Q4034="","⚠ Falta cuenta",IF(ISNA(MATCH(Q4034,ctaNombre,0)),"⚠ Cuenta no registrada",IF(AND(OR(P4034="Gasto",P4034="Reembolso"),D4034=""),"⚠ Falta categoría",IF(AND(D4034&lt;&gt;"",E4034&lt;&gt;"",ISNA(MATCH(D4034&amp;"|"&amp;E4034,catClave,0))),"⚠ Subcategoría no corresponde",IF(AND(OR(P4034="Transferencia",P4034="Pago tarjeta"),K4034=""),"⚠ Falta cuenta destino",IF(AND(K4034&lt;&gt;"",P4034&lt;&gt;"Transferencia",P4034&lt;&gt;"Pago tarjeta"),"⚠ Destino solo aplica a transferencias",IF(AND(K4034&lt;&gt;"",K4034=Q4034),"⚠ Origen igual a destino",IF(AND(K4034&lt;&gt;"",ISNA(MATCH(K4034,ctaNombre,0))),"⚠ Destino no registrado",IF(AND(P4034="Pago tarjeta",AE4034&lt;&gt;"Tarjeta de crédito"),"⚠ El destino debe ser tarjeta de crédito",IF(AND(P4034="Gasto",E4034="Depósitos y retiros"),"⚠ Usa tipo Transferencia",IF(AND(P4034="Resultado trading",AD4034&lt;&gt;"Cuenta de trading"),"⚠ Usa una cuenta de trading",IF(AND(G4034&lt;=0,P4034&lt;&gt;"Ajuste",P4034&lt;&gt;"Resultado trading"),"⚠ El monto debe ser positivo","✓")))))))))))))))</f>
        <v/>
      </c>
      <c r="P4034" s="52">
        <f>IF(OR(B4034="",G4034=""),"",IF(C4034="","Gasto",C4034))</f>
        <v/>
      </c>
      <c r="Q4034" s="52">
        <f>IF(P4034="","",IF(J4034&lt;&gt;"",J4034,CuentaPred&amp;""))</f>
        <v/>
      </c>
      <c r="R4034" s="52">
        <f>IF(P4034="","",IF(ISNUMBER(I4034),I4034,TasaUSD))</f>
        <v/>
      </c>
      <c r="S4034" s="53">
        <f>IF(P4034="","",IF(H4034="USD",G4034*R4034,G4034))</f>
        <v/>
      </c>
      <c r="T4034" s="53">
        <f>IF(P4034="","",IF(H4034="USD",G4034,IF(R4034&gt;0,G4034/R4034,0)))</f>
        <v/>
      </c>
      <c r="U4034" s="53">
        <f>IF(P4034="","",IF(P4034="Gasto",S4034,IF(P4034="Reembolso",-S4034,0)))</f>
        <v/>
      </c>
      <c r="V4034" s="53">
        <f>IF(P4034="","",IF(P4034="Ingreso",S4034,0))</f>
        <v/>
      </c>
      <c r="W4034" s="53">
        <f>IF(P4034="","",IF(P4034="Resultado trading",S4034,0))</f>
        <v/>
      </c>
      <c r="X4034" s="52">
        <f>IF(OR(P4034="Gasto",P4034="Reembolso"),IF(M4034&lt;&gt;"",M4034,IFERROR(INDEX(catClasif,MATCH(D4034&amp;"|"&amp;E4034,catClave,0))&amp;"","Variable")),"")</f>
        <v/>
      </c>
      <c r="Y4034" s="52">
        <f>IF(P4034="","",IFERROR(INDEX(catGrupo,MATCH(D4034&amp;"|"&amp;E4034,catClave,0))&amp;"",""))</f>
        <v/>
      </c>
      <c r="Z4034" s="52">
        <f>IF(P4034="","",WEEKDAY(B4034,2))</f>
        <v/>
      </c>
      <c r="AA4034" s="52">
        <f>IF(P4034="","",IF(AND(P4034="Gasto",X4034="Variable",D4034&lt;&gt;catTrading,S4034&gt;0,S4034&lt;=Umbral),1,0))</f>
        <v/>
      </c>
      <c r="AB4034" s="52">
        <f>IF(OR(P4034="",Q4034=""),"",IFERROR(IF(INDEX(ctaVinc,MATCH(Q4034,ctaNombre,0))&amp;""&lt;&gt;"",INDEX(ctaVinc,MATCH(Q4034,ctaNombre,0))&amp;"",Q4034),Q4034))</f>
        <v/>
      </c>
      <c r="AC4034" s="52">
        <f>IF(OR(K4034="",AND(P4034&lt;&gt;"Transferencia",P4034&lt;&gt;"Pago tarjeta")),"",IFERROR(IF(INDEX(ctaVinc,MATCH(K4034,ctaNombre,0))&amp;""&lt;&gt;"",INDEX(ctaVinc,MATCH(K4034,ctaNombre,0))&amp;"",K4034),K4034))</f>
        <v/>
      </c>
      <c r="AD4034" s="52">
        <f>IF(AB4034="","",IFERROR(INDEX(ctaTipo,MATCH(AB4034,ctaNombre,0))&amp;"",""))</f>
        <v/>
      </c>
      <c r="AE4034" s="52">
        <f>IF(AC4034="","",IFERROR(INDEX(ctaTipo,MATCH(AC4034,ctaNombre,0))&amp;"",""))</f>
        <v/>
      </c>
      <c r="AF4034" s="53">
        <f>IF(OR(P4034="",AB4034=""),"",IF(OR(P4034="Gasto",P4034="Transferencia",P4034="Pago tarjeta"),-1,1)*IF(IFERROR(INDEX(ctaMoneda,MATCH(AB4034,ctaNombre,0))&amp;"","DOP")="USD",T4034,S4034))</f>
        <v/>
      </c>
      <c r="AG4034" s="53">
        <f>IF(AC4034="","",IF(IFERROR(INDEX(ctaMoneda,MATCH(AC4034,ctaNombre,0))&amp;"","DOP")="USD",T4034,S4034))</f>
        <v/>
      </c>
      <c r="AH4034" s="53">
        <f>IF(P4034="","",IF(AND(AD4034&lt;&gt;"",COUNTIFS(tcTipo,AD4034,tcLiq,"Sí")&gt;0),IF(OR(P4034="Gasto",P4034="Transferencia",P4034="Pago tarjeta"),-1,1)*S4034,0)+IF(AND(AE4034&lt;&gt;"",COUNTIFS(tcTipo,AE4034,tcLiq,"Sí")&gt;0),S4034,0))</f>
        <v/>
      </c>
      <c r="AI4034" s="52">
        <f>IF(OR(L4034="",P4034=""),"",IF(COUNTIFS(L$6:L4034,L4034,P$6:P4034,"?*")=1,MAX(AI$5:AI4033)+1,""))</f>
        <v/>
      </c>
    </row>
    <row r="4035">
      <c r="B4035" s="47" t="n"/>
      <c r="C4035" s="48" t="n"/>
      <c r="D4035" s="48" t="n"/>
      <c r="E4035" s="48" t="n"/>
      <c r="F4035" s="48" t="n"/>
      <c r="G4035" s="49" t="n"/>
      <c r="H4035" s="48" t="n"/>
      <c r="I4035" s="50" t="n"/>
      <c r="J4035" s="48" t="n"/>
      <c r="K4035" s="48" t="n"/>
      <c r="L4035" s="48" t="n"/>
      <c r="M4035" s="48" t="n"/>
      <c r="N4035" s="48" t="n"/>
      <c r="O4035" s="51">
        <f>IF(AND(B4035="",G4035="",C4035="",D4035="",J4035=""),"",IF(B4035="","⚠ Falta fecha",IF(G4035="","⚠ Falta monto",IF(Q4035="","⚠ Falta cuenta",IF(ISNA(MATCH(Q4035,ctaNombre,0)),"⚠ Cuenta no registrada",IF(AND(OR(P4035="Gasto",P4035="Reembolso"),D4035=""),"⚠ Falta categoría",IF(AND(D4035&lt;&gt;"",E4035&lt;&gt;"",ISNA(MATCH(D4035&amp;"|"&amp;E4035,catClave,0))),"⚠ Subcategoría no corresponde",IF(AND(OR(P4035="Transferencia",P4035="Pago tarjeta"),K4035=""),"⚠ Falta cuenta destino",IF(AND(K4035&lt;&gt;"",P4035&lt;&gt;"Transferencia",P4035&lt;&gt;"Pago tarjeta"),"⚠ Destino solo aplica a transferencias",IF(AND(K4035&lt;&gt;"",K4035=Q4035),"⚠ Origen igual a destino",IF(AND(K4035&lt;&gt;"",ISNA(MATCH(K4035,ctaNombre,0))),"⚠ Destino no registrado",IF(AND(P4035="Pago tarjeta",AE4035&lt;&gt;"Tarjeta de crédito"),"⚠ El destino debe ser tarjeta de crédito",IF(AND(P4035="Gasto",E4035="Depósitos y retiros"),"⚠ Usa tipo Transferencia",IF(AND(P4035="Resultado trading",AD4035&lt;&gt;"Cuenta de trading"),"⚠ Usa una cuenta de trading",IF(AND(G4035&lt;=0,P4035&lt;&gt;"Ajuste",P4035&lt;&gt;"Resultado trading"),"⚠ El monto debe ser positivo","✓")))))))))))))))</f>
        <v/>
      </c>
      <c r="P4035" s="52">
        <f>IF(OR(B4035="",G4035=""),"",IF(C4035="","Gasto",C4035))</f>
        <v/>
      </c>
      <c r="Q4035" s="52">
        <f>IF(P4035="","",IF(J4035&lt;&gt;"",J4035,CuentaPred&amp;""))</f>
        <v/>
      </c>
      <c r="R4035" s="52">
        <f>IF(P4035="","",IF(ISNUMBER(I4035),I4035,TasaUSD))</f>
        <v/>
      </c>
      <c r="S4035" s="53">
        <f>IF(P4035="","",IF(H4035="USD",G4035*R4035,G4035))</f>
        <v/>
      </c>
      <c r="T4035" s="53">
        <f>IF(P4035="","",IF(H4035="USD",G4035,IF(R4035&gt;0,G4035/R4035,0)))</f>
        <v/>
      </c>
      <c r="U4035" s="53">
        <f>IF(P4035="","",IF(P4035="Gasto",S4035,IF(P4035="Reembolso",-S4035,0)))</f>
        <v/>
      </c>
      <c r="V4035" s="53">
        <f>IF(P4035="","",IF(P4035="Ingreso",S4035,0))</f>
        <v/>
      </c>
      <c r="W4035" s="53">
        <f>IF(P4035="","",IF(P4035="Resultado trading",S4035,0))</f>
        <v/>
      </c>
      <c r="X4035" s="52">
        <f>IF(OR(P4035="Gasto",P4035="Reembolso"),IF(M4035&lt;&gt;"",M4035,IFERROR(INDEX(catClasif,MATCH(D4035&amp;"|"&amp;E4035,catClave,0))&amp;"","Variable")),"")</f>
        <v/>
      </c>
      <c r="Y4035" s="52">
        <f>IF(P4035="","",IFERROR(INDEX(catGrupo,MATCH(D4035&amp;"|"&amp;E4035,catClave,0))&amp;"",""))</f>
        <v/>
      </c>
      <c r="Z4035" s="52">
        <f>IF(P4035="","",WEEKDAY(B4035,2))</f>
        <v/>
      </c>
      <c r="AA4035" s="52">
        <f>IF(P4035="","",IF(AND(P4035="Gasto",X4035="Variable",D4035&lt;&gt;catTrading,S4035&gt;0,S4035&lt;=Umbral),1,0))</f>
        <v/>
      </c>
      <c r="AB4035" s="52">
        <f>IF(OR(P4035="",Q4035=""),"",IFERROR(IF(INDEX(ctaVinc,MATCH(Q4035,ctaNombre,0))&amp;""&lt;&gt;"",INDEX(ctaVinc,MATCH(Q4035,ctaNombre,0))&amp;"",Q4035),Q4035))</f>
        <v/>
      </c>
      <c r="AC4035" s="52">
        <f>IF(OR(K4035="",AND(P4035&lt;&gt;"Transferencia",P4035&lt;&gt;"Pago tarjeta")),"",IFERROR(IF(INDEX(ctaVinc,MATCH(K4035,ctaNombre,0))&amp;""&lt;&gt;"",INDEX(ctaVinc,MATCH(K4035,ctaNombre,0))&amp;"",K4035),K4035))</f>
        <v/>
      </c>
      <c r="AD4035" s="52">
        <f>IF(AB4035="","",IFERROR(INDEX(ctaTipo,MATCH(AB4035,ctaNombre,0))&amp;"",""))</f>
        <v/>
      </c>
      <c r="AE4035" s="52">
        <f>IF(AC4035="","",IFERROR(INDEX(ctaTipo,MATCH(AC4035,ctaNombre,0))&amp;"",""))</f>
        <v/>
      </c>
      <c r="AF4035" s="53">
        <f>IF(OR(P4035="",AB4035=""),"",IF(OR(P4035="Gasto",P4035="Transferencia",P4035="Pago tarjeta"),-1,1)*IF(IFERROR(INDEX(ctaMoneda,MATCH(AB4035,ctaNombre,0))&amp;"","DOP")="USD",T4035,S4035))</f>
        <v/>
      </c>
      <c r="AG4035" s="53">
        <f>IF(AC4035="","",IF(IFERROR(INDEX(ctaMoneda,MATCH(AC4035,ctaNombre,0))&amp;"","DOP")="USD",T4035,S4035))</f>
        <v/>
      </c>
      <c r="AH4035" s="53">
        <f>IF(P4035="","",IF(AND(AD4035&lt;&gt;"",COUNTIFS(tcTipo,AD4035,tcLiq,"Sí")&gt;0),IF(OR(P4035="Gasto",P4035="Transferencia",P4035="Pago tarjeta"),-1,1)*S4035,0)+IF(AND(AE4035&lt;&gt;"",COUNTIFS(tcTipo,AE4035,tcLiq,"Sí")&gt;0),S4035,0))</f>
        <v/>
      </c>
      <c r="AI4035" s="52">
        <f>IF(OR(L4035="",P4035=""),"",IF(COUNTIFS(L$6:L4035,L4035,P$6:P4035,"?*")=1,MAX(AI$5:AI4034)+1,""))</f>
        <v/>
      </c>
    </row>
    <row r="4036">
      <c r="B4036" s="47" t="n"/>
      <c r="C4036" s="48" t="n"/>
      <c r="D4036" s="48" t="n"/>
      <c r="E4036" s="48" t="n"/>
      <c r="F4036" s="48" t="n"/>
      <c r="G4036" s="49" t="n"/>
      <c r="H4036" s="48" t="n"/>
      <c r="I4036" s="50" t="n"/>
      <c r="J4036" s="48" t="n"/>
      <c r="K4036" s="48" t="n"/>
      <c r="L4036" s="48" t="n"/>
      <c r="M4036" s="48" t="n"/>
      <c r="N4036" s="48" t="n"/>
      <c r="O4036" s="51">
        <f>IF(AND(B4036="",G4036="",C4036="",D4036="",J4036=""),"",IF(B4036="","⚠ Falta fecha",IF(G4036="","⚠ Falta monto",IF(Q4036="","⚠ Falta cuenta",IF(ISNA(MATCH(Q4036,ctaNombre,0)),"⚠ Cuenta no registrada",IF(AND(OR(P4036="Gasto",P4036="Reembolso"),D4036=""),"⚠ Falta categoría",IF(AND(D4036&lt;&gt;"",E4036&lt;&gt;"",ISNA(MATCH(D4036&amp;"|"&amp;E4036,catClave,0))),"⚠ Subcategoría no corresponde",IF(AND(OR(P4036="Transferencia",P4036="Pago tarjeta"),K4036=""),"⚠ Falta cuenta destino",IF(AND(K4036&lt;&gt;"",P4036&lt;&gt;"Transferencia",P4036&lt;&gt;"Pago tarjeta"),"⚠ Destino solo aplica a transferencias",IF(AND(K4036&lt;&gt;"",K4036=Q4036),"⚠ Origen igual a destino",IF(AND(K4036&lt;&gt;"",ISNA(MATCH(K4036,ctaNombre,0))),"⚠ Destino no registrado",IF(AND(P4036="Pago tarjeta",AE4036&lt;&gt;"Tarjeta de crédito"),"⚠ El destino debe ser tarjeta de crédito",IF(AND(P4036="Gasto",E4036="Depósitos y retiros"),"⚠ Usa tipo Transferencia",IF(AND(P4036="Resultado trading",AD4036&lt;&gt;"Cuenta de trading"),"⚠ Usa una cuenta de trading",IF(AND(G4036&lt;=0,P4036&lt;&gt;"Ajuste",P4036&lt;&gt;"Resultado trading"),"⚠ El monto debe ser positivo","✓")))))))))))))))</f>
        <v/>
      </c>
      <c r="P4036" s="52">
        <f>IF(OR(B4036="",G4036=""),"",IF(C4036="","Gasto",C4036))</f>
        <v/>
      </c>
      <c r="Q4036" s="52">
        <f>IF(P4036="","",IF(J4036&lt;&gt;"",J4036,CuentaPred&amp;""))</f>
        <v/>
      </c>
      <c r="R4036" s="52">
        <f>IF(P4036="","",IF(ISNUMBER(I4036),I4036,TasaUSD))</f>
        <v/>
      </c>
      <c r="S4036" s="53">
        <f>IF(P4036="","",IF(H4036="USD",G4036*R4036,G4036))</f>
        <v/>
      </c>
      <c r="T4036" s="53">
        <f>IF(P4036="","",IF(H4036="USD",G4036,IF(R4036&gt;0,G4036/R4036,0)))</f>
        <v/>
      </c>
      <c r="U4036" s="53">
        <f>IF(P4036="","",IF(P4036="Gasto",S4036,IF(P4036="Reembolso",-S4036,0)))</f>
        <v/>
      </c>
      <c r="V4036" s="53">
        <f>IF(P4036="","",IF(P4036="Ingreso",S4036,0))</f>
        <v/>
      </c>
      <c r="W4036" s="53">
        <f>IF(P4036="","",IF(P4036="Resultado trading",S4036,0))</f>
        <v/>
      </c>
      <c r="X4036" s="52">
        <f>IF(OR(P4036="Gasto",P4036="Reembolso"),IF(M4036&lt;&gt;"",M4036,IFERROR(INDEX(catClasif,MATCH(D4036&amp;"|"&amp;E4036,catClave,0))&amp;"","Variable")),"")</f>
        <v/>
      </c>
      <c r="Y4036" s="52">
        <f>IF(P4036="","",IFERROR(INDEX(catGrupo,MATCH(D4036&amp;"|"&amp;E4036,catClave,0))&amp;"",""))</f>
        <v/>
      </c>
      <c r="Z4036" s="52">
        <f>IF(P4036="","",WEEKDAY(B4036,2))</f>
        <v/>
      </c>
      <c r="AA4036" s="52">
        <f>IF(P4036="","",IF(AND(P4036="Gasto",X4036="Variable",D4036&lt;&gt;catTrading,S4036&gt;0,S4036&lt;=Umbral),1,0))</f>
        <v/>
      </c>
      <c r="AB4036" s="52">
        <f>IF(OR(P4036="",Q4036=""),"",IFERROR(IF(INDEX(ctaVinc,MATCH(Q4036,ctaNombre,0))&amp;""&lt;&gt;"",INDEX(ctaVinc,MATCH(Q4036,ctaNombre,0))&amp;"",Q4036),Q4036))</f>
        <v/>
      </c>
      <c r="AC4036" s="52">
        <f>IF(OR(K4036="",AND(P4036&lt;&gt;"Transferencia",P4036&lt;&gt;"Pago tarjeta")),"",IFERROR(IF(INDEX(ctaVinc,MATCH(K4036,ctaNombre,0))&amp;""&lt;&gt;"",INDEX(ctaVinc,MATCH(K4036,ctaNombre,0))&amp;"",K4036),K4036))</f>
        <v/>
      </c>
      <c r="AD4036" s="52">
        <f>IF(AB4036="","",IFERROR(INDEX(ctaTipo,MATCH(AB4036,ctaNombre,0))&amp;"",""))</f>
        <v/>
      </c>
      <c r="AE4036" s="52">
        <f>IF(AC4036="","",IFERROR(INDEX(ctaTipo,MATCH(AC4036,ctaNombre,0))&amp;"",""))</f>
        <v/>
      </c>
      <c r="AF4036" s="53">
        <f>IF(OR(P4036="",AB4036=""),"",IF(OR(P4036="Gasto",P4036="Transferencia",P4036="Pago tarjeta"),-1,1)*IF(IFERROR(INDEX(ctaMoneda,MATCH(AB4036,ctaNombre,0))&amp;"","DOP")="USD",T4036,S4036))</f>
        <v/>
      </c>
      <c r="AG4036" s="53">
        <f>IF(AC4036="","",IF(IFERROR(INDEX(ctaMoneda,MATCH(AC4036,ctaNombre,0))&amp;"","DOP")="USD",T4036,S4036))</f>
        <v/>
      </c>
      <c r="AH4036" s="53">
        <f>IF(P4036="","",IF(AND(AD4036&lt;&gt;"",COUNTIFS(tcTipo,AD4036,tcLiq,"Sí")&gt;0),IF(OR(P4036="Gasto",P4036="Transferencia",P4036="Pago tarjeta"),-1,1)*S4036,0)+IF(AND(AE4036&lt;&gt;"",COUNTIFS(tcTipo,AE4036,tcLiq,"Sí")&gt;0),S4036,0))</f>
        <v/>
      </c>
      <c r="AI4036" s="52">
        <f>IF(OR(L4036="",P4036=""),"",IF(COUNTIFS(L$6:L4036,L4036,P$6:P4036,"?*")=1,MAX(AI$5:AI4035)+1,""))</f>
        <v/>
      </c>
    </row>
    <row r="4037">
      <c r="B4037" s="47" t="n"/>
      <c r="C4037" s="48" t="n"/>
      <c r="D4037" s="48" t="n"/>
      <c r="E4037" s="48" t="n"/>
      <c r="F4037" s="48" t="n"/>
      <c r="G4037" s="49" t="n"/>
      <c r="H4037" s="48" t="n"/>
      <c r="I4037" s="50" t="n"/>
      <c r="J4037" s="48" t="n"/>
      <c r="K4037" s="48" t="n"/>
      <c r="L4037" s="48" t="n"/>
      <c r="M4037" s="48" t="n"/>
      <c r="N4037" s="48" t="n"/>
      <c r="O4037" s="51">
        <f>IF(AND(B4037="",G4037="",C4037="",D4037="",J4037=""),"",IF(B4037="","⚠ Falta fecha",IF(G4037="","⚠ Falta monto",IF(Q4037="","⚠ Falta cuenta",IF(ISNA(MATCH(Q4037,ctaNombre,0)),"⚠ Cuenta no registrada",IF(AND(OR(P4037="Gasto",P4037="Reembolso"),D4037=""),"⚠ Falta categoría",IF(AND(D4037&lt;&gt;"",E4037&lt;&gt;"",ISNA(MATCH(D4037&amp;"|"&amp;E4037,catClave,0))),"⚠ Subcategoría no corresponde",IF(AND(OR(P4037="Transferencia",P4037="Pago tarjeta"),K4037=""),"⚠ Falta cuenta destino",IF(AND(K4037&lt;&gt;"",P4037&lt;&gt;"Transferencia",P4037&lt;&gt;"Pago tarjeta"),"⚠ Destino solo aplica a transferencias",IF(AND(K4037&lt;&gt;"",K4037=Q4037),"⚠ Origen igual a destino",IF(AND(K4037&lt;&gt;"",ISNA(MATCH(K4037,ctaNombre,0))),"⚠ Destino no registrado",IF(AND(P4037="Pago tarjeta",AE4037&lt;&gt;"Tarjeta de crédito"),"⚠ El destino debe ser tarjeta de crédito",IF(AND(P4037="Gasto",E4037="Depósitos y retiros"),"⚠ Usa tipo Transferencia",IF(AND(P4037="Resultado trading",AD4037&lt;&gt;"Cuenta de trading"),"⚠ Usa una cuenta de trading",IF(AND(G4037&lt;=0,P4037&lt;&gt;"Ajuste",P4037&lt;&gt;"Resultado trading"),"⚠ El monto debe ser positivo","✓")))))))))))))))</f>
        <v/>
      </c>
      <c r="P4037" s="52">
        <f>IF(OR(B4037="",G4037=""),"",IF(C4037="","Gasto",C4037))</f>
        <v/>
      </c>
      <c r="Q4037" s="52">
        <f>IF(P4037="","",IF(J4037&lt;&gt;"",J4037,CuentaPred&amp;""))</f>
        <v/>
      </c>
      <c r="R4037" s="52">
        <f>IF(P4037="","",IF(ISNUMBER(I4037),I4037,TasaUSD))</f>
        <v/>
      </c>
      <c r="S4037" s="53">
        <f>IF(P4037="","",IF(H4037="USD",G4037*R4037,G4037))</f>
        <v/>
      </c>
      <c r="T4037" s="53">
        <f>IF(P4037="","",IF(H4037="USD",G4037,IF(R4037&gt;0,G4037/R4037,0)))</f>
        <v/>
      </c>
      <c r="U4037" s="53">
        <f>IF(P4037="","",IF(P4037="Gasto",S4037,IF(P4037="Reembolso",-S4037,0)))</f>
        <v/>
      </c>
      <c r="V4037" s="53">
        <f>IF(P4037="","",IF(P4037="Ingreso",S4037,0))</f>
        <v/>
      </c>
      <c r="W4037" s="53">
        <f>IF(P4037="","",IF(P4037="Resultado trading",S4037,0))</f>
        <v/>
      </c>
      <c r="X4037" s="52">
        <f>IF(OR(P4037="Gasto",P4037="Reembolso"),IF(M4037&lt;&gt;"",M4037,IFERROR(INDEX(catClasif,MATCH(D4037&amp;"|"&amp;E4037,catClave,0))&amp;"","Variable")),"")</f>
        <v/>
      </c>
      <c r="Y4037" s="52">
        <f>IF(P4037="","",IFERROR(INDEX(catGrupo,MATCH(D4037&amp;"|"&amp;E4037,catClave,0))&amp;"",""))</f>
        <v/>
      </c>
      <c r="Z4037" s="52">
        <f>IF(P4037="","",WEEKDAY(B4037,2))</f>
        <v/>
      </c>
      <c r="AA4037" s="52">
        <f>IF(P4037="","",IF(AND(P4037="Gasto",X4037="Variable",D4037&lt;&gt;catTrading,S4037&gt;0,S4037&lt;=Umbral),1,0))</f>
        <v/>
      </c>
      <c r="AB4037" s="52">
        <f>IF(OR(P4037="",Q4037=""),"",IFERROR(IF(INDEX(ctaVinc,MATCH(Q4037,ctaNombre,0))&amp;""&lt;&gt;"",INDEX(ctaVinc,MATCH(Q4037,ctaNombre,0))&amp;"",Q4037),Q4037))</f>
        <v/>
      </c>
      <c r="AC4037" s="52">
        <f>IF(OR(K4037="",AND(P4037&lt;&gt;"Transferencia",P4037&lt;&gt;"Pago tarjeta")),"",IFERROR(IF(INDEX(ctaVinc,MATCH(K4037,ctaNombre,0))&amp;""&lt;&gt;"",INDEX(ctaVinc,MATCH(K4037,ctaNombre,0))&amp;"",K4037),K4037))</f>
        <v/>
      </c>
      <c r="AD4037" s="52">
        <f>IF(AB4037="","",IFERROR(INDEX(ctaTipo,MATCH(AB4037,ctaNombre,0))&amp;"",""))</f>
        <v/>
      </c>
      <c r="AE4037" s="52">
        <f>IF(AC4037="","",IFERROR(INDEX(ctaTipo,MATCH(AC4037,ctaNombre,0))&amp;"",""))</f>
        <v/>
      </c>
      <c r="AF4037" s="53">
        <f>IF(OR(P4037="",AB4037=""),"",IF(OR(P4037="Gasto",P4037="Transferencia",P4037="Pago tarjeta"),-1,1)*IF(IFERROR(INDEX(ctaMoneda,MATCH(AB4037,ctaNombre,0))&amp;"","DOP")="USD",T4037,S4037))</f>
        <v/>
      </c>
      <c r="AG4037" s="53">
        <f>IF(AC4037="","",IF(IFERROR(INDEX(ctaMoneda,MATCH(AC4037,ctaNombre,0))&amp;"","DOP")="USD",T4037,S4037))</f>
        <v/>
      </c>
      <c r="AH4037" s="53">
        <f>IF(P4037="","",IF(AND(AD4037&lt;&gt;"",COUNTIFS(tcTipo,AD4037,tcLiq,"Sí")&gt;0),IF(OR(P4037="Gasto",P4037="Transferencia",P4037="Pago tarjeta"),-1,1)*S4037,0)+IF(AND(AE4037&lt;&gt;"",COUNTIFS(tcTipo,AE4037,tcLiq,"Sí")&gt;0),S4037,0))</f>
        <v/>
      </c>
      <c r="AI4037" s="52">
        <f>IF(OR(L4037="",P4037=""),"",IF(COUNTIFS(L$6:L4037,L4037,P$6:P4037,"?*")=1,MAX(AI$5:AI4036)+1,""))</f>
        <v/>
      </c>
    </row>
    <row r="4038">
      <c r="B4038" s="47" t="n"/>
      <c r="C4038" s="48" t="n"/>
      <c r="D4038" s="48" t="n"/>
      <c r="E4038" s="48" t="n"/>
      <c r="F4038" s="48" t="n"/>
      <c r="G4038" s="49" t="n"/>
      <c r="H4038" s="48" t="n"/>
      <c r="I4038" s="50" t="n"/>
      <c r="J4038" s="48" t="n"/>
      <c r="K4038" s="48" t="n"/>
      <c r="L4038" s="48" t="n"/>
      <c r="M4038" s="48" t="n"/>
      <c r="N4038" s="48" t="n"/>
      <c r="O4038" s="51">
        <f>IF(AND(B4038="",G4038="",C4038="",D4038="",J4038=""),"",IF(B4038="","⚠ Falta fecha",IF(G4038="","⚠ Falta monto",IF(Q4038="","⚠ Falta cuenta",IF(ISNA(MATCH(Q4038,ctaNombre,0)),"⚠ Cuenta no registrada",IF(AND(OR(P4038="Gasto",P4038="Reembolso"),D4038=""),"⚠ Falta categoría",IF(AND(D4038&lt;&gt;"",E4038&lt;&gt;"",ISNA(MATCH(D4038&amp;"|"&amp;E4038,catClave,0))),"⚠ Subcategoría no corresponde",IF(AND(OR(P4038="Transferencia",P4038="Pago tarjeta"),K4038=""),"⚠ Falta cuenta destino",IF(AND(K4038&lt;&gt;"",P4038&lt;&gt;"Transferencia",P4038&lt;&gt;"Pago tarjeta"),"⚠ Destino solo aplica a transferencias",IF(AND(K4038&lt;&gt;"",K4038=Q4038),"⚠ Origen igual a destino",IF(AND(K4038&lt;&gt;"",ISNA(MATCH(K4038,ctaNombre,0))),"⚠ Destino no registrado",IF(AND(P4038="Pago tarjeta",AE4038&lt;&gt;"Tarjeta de crédito"),"⚠ El destino debe ser tarjeta de crédito",IF(AND(P4038="Gasto",E4038="Depósitos y retiros"),"⚠ Usa tipo Transferencia",IF(AND(P4038="Resultado trading",AD4038&lt;&gt;"Cuenta de trading"),"⚠ Usa una cuenta de trading",IF(AND(G4038&lt;=0,P4038&lt;&gt;"Ajuste",P4038&lt;&gt;"Resultado trading"),"⚠ El monto debe ser positivo","✓")))))))))))))))</f>
        <v/>
      </c>
      <c r="P4038" s="52">
        <f>IF(OR(B4038="",G4038=""),"",IF(C4038="","Gasto",C4038))</f>
        <v/>
      </c>
      <c r="Q4038" s="52">
        <f>IF(P4038="","",IF(J4038&lt;&gt;"",J4038,CuentaPred&amp;""))</f>
        <v/>
      </c>
      <c r="R4038" s="52">
        <f>IF(P4038="","",IF(ISNUMBER(I4038),I4038,TasaUSD))</f>
        <v/>
      </c>
      <c r="S4038" s="53">
        <f>IF(P4038="","",IF(H4038="USD",G4038*R4038,G4038))</f>
        <v/>
      </c>
      <c r="T4038" s="53">
        <f>IF(P4038="","",IF(H4038="USD",G4038,IF(R4038&gt;0,G4038/R4038,0)))</f>
        <v/>
      </c>
      <c r="U4038" s="53">
        <f>IF(P4038="","",IF(P4038="Gasto",S4038,IF(P4038="Reembolso",-S4038,0)))</f>
        <v/>
      </c>
      <c r="V4038" s="53">
        <f>IF(P4038="","",IF(P4038="Ingreso",S4038,0))</f>
        <v/>
      </c>
      <c r="W4038" s="53">
        <f>IF(P4038="","",IF(P4038="Resultado trading",S4038,0))</f>
        <v/>
      </c>
      <c r="X4038" s="52">
        <f>IF(OR(P4038="Gasto",P4038="Reembolso"),IF(M4038&lt;&gt;"",M4038,IFERROR(INDEX(catClasif,MATCH(D4038&amp;"|"&amp;E4038,catClave,0))&amp;"","Variable")),"")</f>
        <v/>
      </c>
      <c r="Y4038" s="52">
        <f>IF(P4038="","",IFERROR(INDEX(catGrupo,MATCH(D4038&amp;"|"&amp;E4038,catClave,0))&amp;"",""))</f>
        <v/>
      </c>
      <c r="Z4038" s="52">
        <f>IF(P4038="","",WEEKDAY(B4038,2))</f>
        <v/>
      </c>
      <c r="AA4038" s="52">
        <f>IF(P4038="","",IF(AND(P4038="Gasto",X4038="Variable",D4038&lt;&gt;catTrading,S4038&gt;0,S4038&lt;=Umbral),1,0))</f>
        <v/>
      </c>
      <c r="AB4038" s="52">
        <f>IF(OR(P4038="",Q4038=""),"",IFERROR(IF(INDEX(ctaVinc,MATCH(Q4038,ctaNombre,0))&amp;""&lt;&gt;"",INDEX(ctaVinc,MATCH(Q4038,ctaNombre,0))&amp;"",Q4038),Q4038))</f>
        <v/>
      </c>
      <c r="AC4038" s="52">
        <f>IF(OR(K4038="",AND(P4038&lt;&gt;"Transferencia",P4038&lt;&gt;"Pago tarjeta")),"",IFERROR(IF(INDEX(ctaVinc,MATCH(K4038,ctaNombre,0))&amp;""&lt;&gt;"",INDEX(ctaVinc,MATCH(K4038,ctaNombre,0))&amp;"",K4038),K4038))</f>
        <v/>
      </c>
      <c r="AD4038" s="52">
        <f>IF(AB4038="","",IFERROR(INDEX(ctaTipo,MATCH(AB4038,ctaNombre,0))&amp;"",""))</f>
        <v/>
      </c>
      <c r="AE4038" s="52">
        <f>IF(AC4038="","",IFERROR(INDEX(ctaTipo,MATCH(AC4038,ctaNombre,0))&amp;"",""))</f>
        <v/>
      </c>
      <c r="AF4038" s="53">
        <f>IF(OR(P4038="",AB4038=""),"",IF(OR(P4038="Gasto",P4038="Transferencia",P4038="Pago tarjeta"),-1,1)*IF(IFERROR(INDEX(ctaMoneda,MATCH(AB4038,ctaNombre,0))&amp;"","DOP")="USD",T4038,S4038))</f>
        <v/>
      </c>
      <c r="AG4038" s="53">
        <f>IF(AC4038="","",IF(IFERROR(INDEX(ctaMoneda,MATCH(AC4038,ctaNombre,0))&amp;"","DOP")="USD",T4038,S4038))</f>
        <v/>
      </c>
      <c r="AH4038" s="53">
        <f>IF(P4038="","",IF(AND(AD4038&lt;&gt;"",COUNTIFS(tcTipo,AD4038,tcLiq,"Sí")&gt;0),IF(OR(P4038="Gasto",P4038="Transferencia",P4038="Pago tarjeta"),-1,1)*S4038,0)+IF(AND(AE4038&lt;&gt;"",COUNTIFS(tcTipo,AE4038,tcLiq,"Sí")&gt;0),S4038,0))</f>
        <v/>
      </c>
      <c r="AI4038" s="52">
        <f>IF(OR(L4038="",P4038=""),"",IF(COUNTIFS(L$6:L4038,L4038,P$6:P4038,"?*")=1,MAX(AI$5:AI4037)+1,""))</f>
        <v/>
      </c>
    </row>
    <row r="4039">
      <c r="B4039" s="47" t="n"/>
      <c r="C4039" s="48" t="n"/>
      <c r="D4039" s="48" t="n"/>
      <c r="E4039" s="48" t="n"/>
      <c r="F4039" s="48" t="n"/>
      <c r="G4039" s="49" t="n"/>
      <c r="H4039" s="48" t="n"/>
      <c r="I4039" s="50" t="n"/>
      <c r="J4039" s="48" t="n"/>
      <c r="K4039" s="48" t="n"/>
      <c r="L4039" s="48" t="n"/>
      <c r="M4039" s="48" t="n"/>
      <c r="N4039" s="48" t="n"/>
      <c r="O4039" s="51">
        <f>IF(AND(B4039="",G4039="",C4039="",D4039="",J4039=""),"",IF(B4039="","⚠ Falta fecha",IF(G4039="","⚠ Falta monto",IF(Q4039="","⚠ Falta cuenta",IF(ISNA(MATCH(Q4039,ctaNombre,0)),"⚠ Cuenta no registrada",IF(AND(OR(P4039="Gasto",P4039="Reembolso"),D4039=""),"⚠ Falta categoría",IF(AND(D4039&lt;&gt;"",E4039&lt;&gt;"",ISNA(MATCH(D4039&amp;"|"&amp;E4039,catClave,0))),"⚠ Subcategoría no corresponde",IF(AND(OR(P4039="Transferencia",P4039="Pago tarjeta"),K4039=""),"⚠ Falta cuenta destino",IF(AND(K4039&lt;&gt;"",P4039&lt;&gt;"Transferencia",P4039&lt;&gt;"Pago tarjeta"),"⚠ Destino solo aplica a transferencias",IF(AND(K4039&lt;&gt;"",K4039=Q4039),"⚠ Origen igual a destino",IF(AND(K4039&lt;&gt;"",ISNA(MATCH(K4039,ctaNombre,0))),"⚠ Destino no registrado",IF(AND(P4039="Pago tarjeta",AE4039&lt;&gt;"Tarjeta de crédito"),"⚠ El destino debe ser tarjeta de crédito",IF(AND(P4039="Gasto",E4039="Depósitos y retiros"),"⚠ Usa tipo Transferencia",IF(AND(P4039="Resultado trading",AD4039&lt;&gt;"Cuenta de trading"),"⚠ Usa una cuenta de trading",IF(AND(G4039&lt;=0,P4039&lt;&gt;"Ajuste",P4039&lt;&gt;"Resultado trading"),"⚠ El monto debe ser positivo","✓")))))))))))))))</f>
        <v/>
      </c>
      <c r="P4039" s="52">
        <f>IF(OR(B4039="",G4039=""),"",IF(C4039="","Gasto",C4039))</f>
        <v/>
      </c>
      <c r="Q4039" s="52">
        <f>IF(P4039="","",IF(J4039&lt;&gt;"",J4039,CuentaPred&amp;""))</f>
        <v/>
      </c>
      <c r="R4039" s="52">
        <f>IF(P4039="","",IF(ISNUMBER(I4039),I4039,TasaUSD))</f>
        <v/>
      </c>
      <c r="S4039" s="53">
        <f>IF(P4039="","",IF(H4039="USD",G4039*R4039,G4039))</f>
        <v/>
      </c>
      <c r="T4039" s="53">
        <f>IF(P4039="","",IF(H4039="USD",G4039,IF(R4039&gt;0,G4039/R4039,0)))</f>
        <v/>
      </c>
      <c r="U4039" s="53">
        <f>IF(P4039="","",IF(P4039="Gasto",S4039,IF(P4039="Reembolso",-S4039,0)))</f>
        <v/>
      </c>
      <c r="V4039" s="53">
        <f>IF(P4039="","",IF(P4039="Ingreso",S4039,0))</f>
        <v/>
      </c>
      <c r="W4039" s="53">
        <f>IF(P4039="","",IF(P4039="Resultado trading",S4039,0))</f>
        <v/>
      </c>
      <c r="X4039" s="52">
        <f>IF(OR(P4039="Gasto",P4039="Reembolso"),IF(M4039&lt;&gt;"",M4039,IFERROR(INDEX(catClasif,MATCH(D4039&amp;"|"&amp;E4039,catClave,0))&amp;"","Variable")),"")</f>
        <v/>
      </c>
      <c r="Y4039" s="52">
        <f>IF(P4039="","",IFERROR(INDEX(catGrupo,MATCH(D4039&amp;"|"&amp;E4039,catClave,0))&amp;"",""))</f>
        <v/>
      </c>
      <c r="Z4039" s="52">
        <f>IF(P4039="","",WEEKDAY(B4039,2))</f>
        <v/>
      </c>
      <c r="AA4039" s="52">
        <f>IF(P4039="","",IF(AND(P4039="Gasto",X4039="Variable",D4039&lt;&gt;catTrading,S4039&gt;0,S4039&lt;=Umbral),1,0))</f>
        <v/>
      </c>
      <c r="AB4039" s="52">
        <f>IF(OR(P4039="",Q4039=""),"",IFERROR(IF(INDEX(ctaVinc,MATCH(Q4039,ctaNombre,0))&amp;""&lt;&gt;"",INDEX(ctaVinc,MATCH(Q4039,ctaNombre,0))&amp;"",Q4039),Q4039))</f>
        <v/>
      </c>
      <c r="AC4039" s="52">
        <f>IF(OR(K4039="",AND(P4039&lt;&gt;"Transferencia",P4039&lt;&gt;"Pago tarjeta")),"",IFERROR(IF(INDEX(ctaVinc,MATCH(K4039,ctaNombre,0))&amp;""&lt;&gt;"",INDEX(ctaVinc,MATCH(K4039,ctaNombre,0))&amp;"",K4039),K4039))</f>
        <v/>
      </c>
      <c r="AD4039" s="52">
        <f>IF(AB4039="","",IFERROR(INDEX(ctaTipo,MATCH(AB4039,ctaNombre,0))&amp;"",""))</f>
        <v/>
      </c>
      <c r="AE4039" s="52">
        <f>IF(AC4039="","",IFERROR(INDEX(ctaTipo,MATCH(AC4039,ctaNombre,0))&amp;"",""))</f>
        <v/>
      </c>
      <c r="AF4039" s="53">
        <f>IF(OR(P4039="",AB4039=""),"",IF(OR(P4039="Gasto",P4039="Transferencia",P4039="Pago tarjeta"),-1,1)*IF(IFERROR(INDEX(ctaMoneda,MATCH(AB4039,ctaNombre,0))&amp;"","DOP")="USD",T4039,S4039))</f>
        <v/>
      </c>
      <c r="AG4039" s="53">
        <f>IF(AC4039="","",IF(IFERROR(INDEX(ctaMoneda,MATCH(AC4039,ctaNombre,0))&amp;"","DOP")="USD",T4039,S4039))</f>
        <v/>
      </c>
      <c r="AH4039" s="53">
        <f>IF(P4039="","",IF(AND(AD4039&lt;&gt;"",COUNTIFS(tcTipo,AD4039,tcLiq,"Sí")&gt;0),IF(OR(P4039="Gasto",P4039="Transferencia",P4039="Pago tarjeta"),-1,1)*S4039,0)+IF(AND(AE4039&lt;&gt;"",COUNTIFS(tcTipo,AE4039,tcLiq,"Sí")&gt;0),S4039,0))</f>
        <v/>
      </c>
      <c r="AI4039" s="52">
        <f>IF(OR(L4039="",P4039=""),"",IF(COUNTIFS(L$6:L4039,L4039,P$6:P4039,"?*")=1,MAX(AI$5:AI4038)+1,""))</f>
        <v/>
      </c>
    </row>
    <row r="4040">
      <c r="B4040" s="47" t="n"/>
      <c r="C4040" s="48" t="n"/>
      <c r="D4040" s="48" t="n"/>
      <c r="E4040" s="48" t="n"/>
      <c r="F4040" s="48" t="n"/>
      <c r="G4040" s="49" t="n"/>
      <c r="H4040" s="48" t="n"/>
      <c r="I4040" s="50" t="n"/>
      <c r="J4040" s="48" t="n"/>
      <c r="K4040" s="48" t="n"/>
      <c r="L4040" s="48" t="n"/>
      <c r="M4040" s="48" t="n"/>
      <c r="N4040" s="48" t="n"/>
      <c r="O4040" s="51">
        <f>IF(AND(B4040="",G4040="",C4040="",D4040="",J4040=""),"",IF(B4040="","⚠ Falta fecha",IF(G4040="","⚠ Falta monto",IF(Q4040="","⚠ Falta cuenta",IF(ISNA(MATCH(Q4040,ctaNombre,0)),"⚠ Cuenta no registrada",IF(AND(OR(P4040="Gasto",P4040="Reembolso"),D4040=""),"⚠ Falta categoría",IF(AND(D4040&lt;&gt;"",E4040&lt;&gt;"",ISNA(MATCH(D4040&amp;"|"&amp;E4040,catClave,0))),"⚠ Subcategoría no corresponde",IF(AND(OR(P4040="Transferencia",P4040="Pago tarjeta"),K4040=""),"⚠ Falta cuenta destino",IF(AND(K4040&lt;&gt;"",P4040&lt;&gt;"Transferencia",P4040&lt;&gt;"Pago tarjeta"),"⚠ Destino solo aplica a transferencias",IF(AND(K4040&lt;&gt;"",K4040=Q4040),"⚠ Origen igual a destino",IF(AND(K4040&lt;&gt;"",ISNA(MATCH(K4040,ctaNombre,0))),"⚠ Destino no registrado",IF(AND(P4040="Pago tarjeta",AE4040&lt;&gt;"Tarjeta de crédito"),"⚠ El destino debe ser tarjeta de crédito",IF(AND(P4040="Gasto",E4040="Depósitos y retiros"),"⚠ Usa tipo Transferencia",IF(AND(P4040="Resultado trading",AD4040&lt;&gt;"Cuenta de trading"),"⚠ Usa una cuenta de trading",IF(AND(G4040&lt;=0,P4040&lt;&gt;"Ajuste",P4040&lt;&gt;"Resultado trading"),"⚠ El monto debe ser positivo","✓")))))))))))))))</f>
        <v/>
      </c>
      <c r="P4040" s="52">
        <f>IF(OR(B4040="",G4040=""),"",IF(C4040="","Gasto",C4040))</f>
        <v/>
      </c>
      <c r="Q4040" s="52">
        <f>IF(P4040="","",IF(J4040&lt;&gt;"",J4040,CuentaPred&amp;""))</f>
        <v/>
      </c>
      <c r="R4040" s="52">
        <f>IF(P4040="","",IF(ISNUMBER(I4040),I4040,TasaUSD))</f>
        <v/>
      </c>
      <c r="S4040" s="53">
        <f>IF(P4040="","",IF(H4040="USD",G4040*R4040,G4040))</f>
        <v/>
      </c>
      <c r="T4040" s="53">
        <f>IF(P4040="","",IF(H4040="USD",G4040,IF(R4040&gt;0,G4040/R4040,0)))</f>
        <v/>
      </c>
      <c r="U4040" s="53">
        <f>IF(P4040="","",IF(P4040="Gasto",S4040,IF(P4040="Reembolso",-S4040,0)))</f>
        <v/>
      </c>
      <c r="V4040" s="53">
        <f>IF(P4040="","",IF(P4040="Ingreso",S4040,0))</f>
        <v/>
      </c>
      <c r="W4040" s="53">
        <f>IF(P4040="","",IF(P4040="Resultado trading",S4040,0))</f>
        <v/>
      </c>
      <c r="X4040" s="52">
        <f>IF(OR(P4040="Gasto",P4040="Reembolso"),IF(M4040&lt;&gt;"",M4040,IFERROR(INDEX(catClasif,MATCH(D4040&amp;"|"&amp;E4040,catClave,0))&amp;"","Variable")),"")</f>
        <v/>
      </c>
      <c r="Y4040" s="52">
        <f>IF(P4040="","",IFERROR(INDEX(catGrupo,MATCH(D4040&amp;"|"&amp;E4040,catClave,0))&amp;"",""))</f>
        <v/>
      </c>
      <c r="Z4040" s="52">
        <f>IF(P4040="","",WEEKDAY(B4040,2))</f>
        <v/>
      </c>
      <c r="AA4040" s="52">
        <f>IF(P4040="","",IF(AND(P4040="Gasto",X4040="Variable",D4040&lt;&gt;catTrading,S4040&gt;0,S4040&lt;=Umbral),1,0))</f>
        <v/>
      </c>
      <c r="AB4040" s="52">
        <f>IF(OR(P4040="",Q4040=""),"",IFERROR(IF(INDEX(ctaVinc,MATCH(Q4040,ctaNombre,0))&amp;""&lt;&gt;"",INDEX(ctaVinc,MATCH(Q4040,ctaNombre,0))&amp;"",Q4040),Q4040))</f>
        <v/>
      </c>
      <c r="AC4040" s="52">
        <f>IF(OR(K4040="",AND(P4040&lt;&gt;"Transferencia",P4040&lt;&gt;"Pago tarjeta")),"",IFERROR(IF(INDEX(ctaVinc,MATCH(K4040,ctaNombre,0))&amp;""&lt;&gt;"",INDEX(ctaVinc,MATCH(K4040,ctaNombre,0))&amp;"",K4040),K4040))</f>
        <v/>
      </c>
      <c r="AD4040" s="52">
        <f>IF(AB4040="","",IFERROR(INDEX(ctaTipo,MATCH(AB4040,ctaNombre,0))&amp;"",""))</f>
        <v/>
      </c>
      <c r="AE4040" s="52">
        <f>IF(AC4040="","",IFERROR(INDEX(ctaTipo,MATCH(AC4040,ctaNombre,0))&amp;"",""))</f>
        <v/>
      </c>
      <c r="AF4040" s="53">
        <f>IF(OR(P4040="",AB4040=""),"",IF(OR(P4040="Gasto",P4040="Transferencia",P4040="Pago tarjeta"),-1,1)*IF(IFERROR(INDEX(ctaMoneda,MATCH(AB4040,ctaNombre,0))&amp;"","DOP")="USD",T4040,S4040))</f>
        <v/>
      </c>
      <c r="AG4040" s="53">
        <f>IF(AC4040="","",IF(IFERROR(INDEX(ctaMoneda,MATCH(AC4040,ctaNombre,0))&amp;"","DOP")="USD",T4040,S4040))</f>
        <v/>
      </c>
      <c r="AH4040" s="53">
        <f>IF(P4040="","",IF(AND(AD4040&lt;&gt;"",COUNTIFS(tcTipo,AD4040,tcLiq,"Sí")&gt;0),IF(OR(P4040="Gasto",P4040="Transferencia",P4040="Pago tarjeta"),-1,1)*S4040,0)+IF(AND(AE4040&lt;&gt;"",COUNTIFS(tcTipo,AE4040,tcLiq,"Sí")&gt;0),S4040,0))</f>
        <v/>
      </c>
      <c r="AI4040" s="52">
        <f>IF(OR(L4040="",P4040=""),"",IF(COUNTIFS(L$6:L4040,L4040,P$6:P4040,"?*")=1,MAX(AI$5:AI4039)+1,""))</f>
        <v/>
      </c>
    </row>
    <row r="4041">
      <c r="B4041" s="47" t="n"/>
      <c r="C4041" s="48" t="n"/>
      <c r="D4041" s="48" t="n"/>
      <c r="E4041" s="48" t="n"/>
      <c r="F4041" s="48" t="n"/>
      <c r="G4041" s="49" t="n"/>
      <c r="H4041" s="48" t="n"/>
      <c r="I4041" s="50" t="n"/>
      <c r="J4041" s="48" t="n"/>
      <c r="K4041" s="48" t="n"/>
      <c r="L4041" s="48" t="n"/>
      <c r="M4041" s="48" t="n"/>
      <c r="N4041" s="48" t="n"/>
      <c r="O4041" s="51">
        <f>IF(AND(B4041="",G4041="",C4041="",D4041="",J4041=""),"",IF(B4041="","⚠ Falta fecha",IF(G4041="","⚠ Falta monto",IF(Q4041="","⚠ Falta cuenta",IF(ISNA(MATCH(Q4041,ctaNombre,0)),"⚠ Cuenta no registrada",IF(AND(OR(P4041="Gasto",P4041="Reembolso"),D4041=""),"⚠ Falta categoría",IF(AND(D4041&lt;&gt;"",E4041&lt;&gt;"",ISNA(MATCH(D4041&amp;"|"&amp;E4041,catClave,0))),"⚠ Subcategoría no corresponde",IF(AND(OR(P4041="Transferencia",P4041="Pago tarjeta"),K4041=""),"⚠ Falta cuenta destino",IF(AND(K4041&lt;&gt;"",P4041&lt;&gt;"Transferencia",P4041&lt;&gt;"Pago tarjeta"),"⚠ Destino solo aplica a transferencias",IF(AND(K4041&lt;&gt;"",K4041=Q4041),"⚠ Origen igual a destino",IF(AND(K4041&lt;&gt;"",ISNA(MATCH(K4041,ctaNombre,0))),"⚠ Destino no registrado",IF(AND(P4041="Pago tarjeta",AE4041&lt;&gt;"Tarjeta de crédito"),"⚠ El destino debe ser tarjeta de crédito",IF(AND(P4041="Gasto",E4041="Depósitos y retiros"),"⚠ Usa tipo Transferencia",IF(AND(P4041="Resultado trading",AD4041&lt;&gt;"Cuenta de trading"),"⚠ Usa una cuenta de trading",IF(AND(G4041&lt;=0,P4041&lt;&gt;"Ajuste",P4041&lt;&gt;"Resultado trading"),"⚠ El monto debe ser positivo","✓")))))))))))))))</f>
        <v/>
      </c>
      <c r="P4041" s="52">
        <f>IF(OR(B4041="",G4041=""),"",IF(C4041="","Gasto",C4041))</f>
        <v/>
      </c>
      <c r="Q4041" s="52">
        <f>IF(P4041="","",IF(J4041&lt;&gt;"",J4041,CuentaPred&amp;""))</f>
        <v/>
      </c>
      <c r="R4041" s="52">
        <f>IF(P4041="","",IF(ISNUMBER(I4041),I4041,TasaUSD))</f>
        <v/>
      </c>
      <c r="S4041" s="53">
        <f>IF(P4041="","",IF(H4041="USD",G4041*R4041,G4041))</f>
        <v/>
      </c>
      <c r="T4041" s="53">
        <f>IF(P4041="","",IF(H4041="USD",G4041,IF(R4041&gt;0,G4041/R4041,0)))</f>
        <v/>
      </c>
      <c r="U4041" s="53">
        <f>IF(P4041="","",IF(P4041="Gasto",S4041,IF(P4041="Reembolso",-S4041,0)))</f>
        <v/>
      </c>
      <c r="V4041" s="53">
        <f>IF(P4041="","",IF(P4041="Ingreso",S4041,0))</f>
        <v/>
      </c>
      <c r="W4041" s="53">
        <f>IF(P4041="","",IF(P4041="Resultado trading",S4041,0))</f>
        <v/>
      </c>
      <c r="X4041" s="52">
        <f>IF(OR(P4041="Gasto",P4041="Reembolso"),IF(M4041&lt;&gt;"",M4041,IFERROR(INDEX(catClasif,MATCH(D4041&amp;"|"&amp;E4041,catClave,0))&amp;"","Variable")),"")</f>
        <v/>
      </c>
      <c r="Y4041" s="52">
        <f>IF(P4041="","",IFERROR(INDEX(catGrupo,MATCH(D4041&amp;"|"&amp;E4041,catClave,0))&amp;"",""))</f>
        <v/>
      </c>
      <c r="Z4041" s="52">
        <f>IF(P4041="","",WEEKDAY(B4041,2))</f>
        <v/>
      </c>
      <c r="AA4041" s="52">
        <f>IF(P4041="","",IF(AND(P4041="Gasto",X4041="Variable",D4041&lt;&gt;catTrading,S4041&gt;0,S4041&lt;=Umbral),1,0))</f>
        <v/>
      </c>
      <c r="AB4041" s="52">
        <f>IF(OR(P4041="",Q4041=""),"",IFERROR(IF(INDEX(ctaVinc,MATCH(Q4041,ctaNombre,0))&amp;""&lt;&gt;"",INDEX(ctaVinc,MATCH(Q4041,ctaNombre,0))&amp;"",Q4041),Q4041))</f>
        <v/>
      </c>
      <c r="AC4041" s="52">
        <f>IF(OR(K4041="",AND(P4041&lt;&gt;"Transferencia",P4041&lt;&gt;"Pago tarjeta")),"",IFERROR(IF(INDEX(ctaVinc,MATCH(K4041,ctaNombre,0))&amp;""&lt;&gt;"",INDEX(ctaVinc,MATCH(K4041,ctaNombre,0))&amp;"",K4041),K4041))</f>
        <v/>
      </c>
      <c r="AD4041" s="52">
        <f>IF(AB4041="","",IFERROR(INDEX(ctaTipo,MATCH(AB4041,ctaNombre,0))&amp;"",""))</f>
        <v/>
      </c>
      <c r="AE4041" s="52">
        <f>IF(AC4041="","",IFERROR(INDEX(ctaTipo,MATCH(AC4041,ctaNombre,0))&amp;"",""))</f>
        <v/>
      </c>
      <c r="AF4041" s="53">
        <f>IF(OR(P4041="",AB4041=""),"",IF(OR(P4041="Gasto",P4041="Transferencia",P4041="Pago tarjeta"),-1,1)*IF(IFERROR(INDEX(ctaMoneda,MATCH(AB4041,ctaNombre,0))&amp;"","DOP")="USD",T4041,S4041))</f>
        <v/>
      </c>
      <c r="AG4041" s="53">
        <f>IF(AC4041="","",IF(IFERROR(INDEX(ctaMoneda,MATCH(AC4041,ctaNombre,0))&amp;"","DOP")="USD",T4041,S4041))</f>
        <v/>
      </c>
      <c r="AH4041" s="53">
        <f>IF(P4041="","",IF(AND(AD4041&lt;&gt;"",COUNTIFS(tcTipo,AD4041,tcLiq,"Sí")&gt;0),IF(OR(P4041="Gasto",P4041="Transferencia",P4041="Pago tarjeta"),-1,1)*S4041,0)+IF(AND(AE4041&lt;&gt;"",COUNTIFS(tcTipo,AE4041,tcLiq,"Sí")&gt;0),S4041,0))</f>
        <v/>
      </c>
      <c r="AI4041" s="52">
        <f>IF(OR(L4041="",P4041=""),"",IF(COUNTIFS(L$6:L4041,L4041,P$6:P4041,"?*")=1,MAX(AI$5:AI4040)+1,""))</f>
        <v/>
      </c>
    </row>
    <row r="4042">
      <c r="B4042" s="47" t="n"/>
      <c r="C4042" s="48" t="n"/>
      <c r="D4042" s="48" t="n"/>
      <c r="E4042" s="48" t="n"/>
      <c r="F4042" s="48" t="n"/>
      <c r="G4042" s="49" t="n"/>
      <c r="H4042" s="48" t="n"/>
      <c r="I4042" s="50" t="n"/>
      <c r="J4042" s="48" t="n"/>
      <c r="K4042" s="48" t="n"/>
      <c r="L4042" s="48" t="n"/>
      <c r="M4042" s="48" t="n"/>
      <c r="N4042" s="48" t="n"/>
      <c r="O4042" s="51">
        <f>IF(AND(B4042="",G4042="",C4042="",D4042="",J4042=""),"",IF(B4042="","⚠ Falta fecha",IF(G4042="","⚠ Falta monto",IF(Q4042="","⚠ Falta cuenta",IF(ISNA(MATCH(Q4042,ctaNombre,0)),"⚠ Cuenta no registrada",IF(AND(OR(P4042="Gasto",P4042="Reembolso"),D4042=""),"⚠ Falta categoría",IF(AND(D4042&lt;&gt;"",E4042&lt;&gt;"",ISNA(MATCH(D4042&amp;"|"&amp;E4042,catClave,0))),"⚠ Subcategoría no corresponde",IF(AND(OR(P4042="Transferencia",P4042="Pago tarjeta"),K4042=""),"⚠ Falta cuenta destino",IF(AND(K4042&lt;&gt;"",P4042&lt;&gt;"Transferencia",P4042&lt;&gt;"Pago tarjeta"),"⚠ Destino solo aplica a transferencias",IF(AND(K4042&lt;&gt;"",K4042=Q4042),"⚠ Origen igual a destino",IF(AND(K4042&lt;&gt;"",ISNA(MATCH(K4042,ctaNombre,0))),"⚠ Destino no registrado",IF(AND(P4042="Pago tarjeta",AE4042&lt;&gt;"Tarjeta de crédito"),"⚠ El destino debe ser tarjeta de crédito",IF(AND(P4042="Gasto",E4042="Depósitos y retiros"),"⚠ Usa tipo Transferencia",IF(AND(P4042="Resultado trading",AD4042&lt;&gt;"Cuenta de trading"),"⚠ Usa una cuenta de trading",IF(AND(G4042&lt;=0,P4042&lt;&gt;"Ajuste",P4042&lt;&gt;"Resultado trading"),"⚠ El monto debe ser positivo","✓")))))))))))))))</f>
        <v/>
      </c>
      <c r="P4042" s="52">
        <f>IF(OR(B4042="",G4042=""),"",IF(C4042="","Gasto",C4042))</f>
        <v/>
      </c>
      <c r="Q4042" s="52">
        <f>IF(P4042="","",IF(J4042&lt;&gt;"",J4042,CuentaPred&amp;""))</f>
        <v/>
      </c>
      <c r="R4042" s="52">
        <f>IF(P4042="","",IF(ISNUMBER(I4042),I4042,TasaUSD))</f>
        <v/>
      </c>
      <c r="S4042" s="53">
        <f>IF(P4042="","",IF(H4042="USD",G4042*R4042,G4042))</f>
        <v/>
      </c>
      <c r="T4042" s="53">
        <f>IF(P4042="","",IF(H4042="USD",G4042,IF(R4042&gt;0,G4042/R4042,0)))</f>
        <v/>
      </c>
      <c r="U4042" s="53">
        <f>IF(P4042="","",IF(P4042="Gasto",S4042,IF(P4042="Reembolso",-S4042,0)))</f>
        <v/>
      </c>
      <c r="V4042" s="53">
        <f>IF(P4042="","",IF(P4042="Ingreso",S4042,0))</f>
        <v/>
      </c>
      <c r="W4042" s="53">
        <f>IF(P4042="","",IF(P4042="Resultado trading",S4042,0))</f>
        <v/>
      </c>
      <c r="X4042" s="52">
        <f>IF(OR(P4042="Gasto",P4042="Reembolso"),IF(M4042&lt;&gt;"",M4042,IFERROR(INDEX(catClasif,MATCH(D4042&amp;"|"&amp;E4042,catClave,0))&amp;"","Variable")),"")</f>
        <v/>
      </c>
      <c r="Y4042" s="52">
        <f>IF(P4042="","",IFERROR(INDEX(catGrupo,MATCH(D4042&amp;"|"&amp;E4042,catClave,0))&amp;"",""))</f>
        <v/>
      </c>
      <c r="Z4042" s="52">
        <f>IF(P4042="","",WEEKDAY(B4042,2))</f>
        <v/>
      </c>
      <c r="AA4042" s="52">
        <f>IF(P4042="","",IF(AND(P4042="Gasto",X4042="Variable",D4042&lt;&gt;catTrading,S4042&gt;0,S4042&lt;=Umbral),1,0))</f>
        <v/>
      </c>
      <c r="AB4042" s="52">
        <f>IF(OR(P4042="",Q4042=""),"",IFERROR(IF(INDEX(ctaVinc,MATCH(Q4042,ctaNombre,0))&amp;""&lt;&gt;"",INDEX(ctaVinc,MATCH(Q4042,ctaNombre,0))&amp;"",Q4042),Q4042))</f>
        <v/>
      </c>
      <c r="AC4042" s="52">
        <f>IF(OR(K4042="",AND(P4042&lt;&gt;"Transferencia",P4042&lt;&gt;"Pago tarjeta")),"",IFERROR(IF(INDEX(ctaVinc,MATCH(K4042,ctaNombre,0))&amp;""&lt;&gt;"",INDEX(ctaVinc,MATCH(K4042,ctaNombre,0))&amp;"",K4042),K4042))</f>
        <v/>
      </c>
      <c r="AD4042" s="52">
        <f>IF(AB4042="","",IFERROR(INDEX(ctaTipo,MATCH(AB4042,ctaNombre,0))&amp;"",""))</f>
        <v/>
      </c>
      <c r="AE4042" s="52">
        <f>IF(AC4042="","",IFERROR(INDEX(ctaTipo,MATCH(AC4042,ctaNombre,0))&amp;"",""))</f>
        <v/>
      </c>
      <c r="AF4042" s="53">
        <f>IF(OR(P4042="",AB4042=""),"",IF(OR(P4042="Gasto",P4042="Transferencia",P4042="Pago tarjeta"),-1,1)*IF(IFERROR(INDEX(ctaMoneda,MATCH(AB4042,ctaNombre,0))&amp;"","DOP")="USD",T4042,S4042))</f>
        <v/>
      </c>
      <c r="AG4042" s="53">
        <f>IF(AC4042="","",IF(IFERROR(INDEX(ctaMoneda,MATCH(AC4042,ctaNombre,0))&amp;"","DOP")="USD",T4042,S4042))</f>
        <v/>
      </c>
      <c r="AH4042" s="53">
        <f>IF(P4042="","",IF(AND(AD4042&lt;&gt;"",COUNTIFS(tcTipo,AD4042,tcLiq,"Sí")&gt;0),IF(OR(P4042="Gasto",P4042="Transferencia",P4042="Pago tarjeta"),-1,1)*S4042,0)+IF(AND(AE4042&lt;&gt;"",COUNTIFS(tcTipo,AE4042,tcLiq,"Sí")&gt;0),S4042,0))</f>
        <v/>
      </c>
      <c r="AI4042" s="52">
        <f>IF(OR(L4042="",P4042=""),"",IF(COUNTIFS(L$6:L4042,L4042,P$6:P4042,"?*")=1,MAX(AI$5:AI4041)+1,""))</f>
        <v/>
      </c>
    </row>
    <row r="4043">
      <c r="B4043" s="47" t="n"/>
      <c r="C4043" s="48" t="n"/>
      <c r="D4043" s="48" t="n"/>
      <c r="E4043" s="48" t="n"/>
      <c r="F4043" s="48" t="n"/>
      <c r="G4043" s="49" t="n"/>
      <c r="H4043" s="48" t="n"/>
      <c r="I4043" s="50" t="n"/>
      <c r="J4043" s="48" t="n"/>
      <c r="K4043" s="48" t="n"/>
      <c r="L4043" s="48" t="n"/>
      <c r="M4043" s="48" t="n"/>
      <c r="N4043" s="48" t="n"/>
      <c r="O4043" s="51">
        <f>IF(AND(B4043="",G4043="",C4043="",D4043="",J4043=""),"",IF(B4043="","⚠ Falta fecha",IF(G4043="","⚠ Falta monto",IF(Q4043="","⚠ Falta cuenta",IF(ISNA(MATCH(Q4043,ctaNombre,0)),"⚠ Cuenta no registrada",IF(AND(OR(P4043="Gasto",P4043="Reembolso"),D4043=""),"⚠ Falta categoría",IF(AND(D4043&lt;&gt;"",E4043&lt;&gt;"",ISNA(MATCH(D4043&amp;"|"&amp;E4043,catClave,0))),"⚠ Subcategoría no corresponde",IF(AND(OR(P4043="Transferencia",P4043="Pago tarjeta"),K4043=""),"⚠ Falta cuenta destino",IF(AND(K4043&lt;&gt;"",P4043&lt;&gt;"Transferencia",P4043&lt;&gt;"Pago tarjeta"),"⚠ Destino solo aplica a transferencias",IF(AND(K4043&lt;&gt;"",K4043=Q4043),"⚠ Origen igual a destino",IF(AND(K4043&lt;&gt;"",ISNA(MATCH(K4043,ctaNombre,0))),"⚠ Destino no registrado",IF(AND(P4043="Pago tarjeta",AE4043&lt;&gt;"Tarjeta de crédito"),"⚠ El destino debe ser tarjeta de crédito",IF(AND(P4043="Gasto",E4043="Depósitos y retiros"),"⚠ Usa tipo Transferencia",IF(AND(P4043="Resultado trading",AD4043&lt;&gt;"Cuenta de trading"),"⚠ Usa una cuenta de trading",IF(AND(G4043&lt;=0,P4043&lt;&gt;"Ajuste",P4043&lt;&gt;"Resultado trading"),"⚠ El monto debe ser positivo","✓")))))))))))))))</f>
        <v/>
      </c>
      <c r="P4043" s="52">
        <f>IF(OR(B4043="",G4043=""),"",IF(C4043="","Gasto",C4043))</f>
        <v/>
      </c>
      <c r="Q4043" s="52">
        <f>IF(P4043="","",IF(J4043&lt;&gt;"",J4043,CuentaPred&amp;""))</f>
        <v/>
      </c>
      <c r="R4043" s="52">
        <f>IF(P4043="","",IF(ISNUMBER(I4043),I4043,TasaUSD))</f>
        <v/>
      </c>
      <c r="S4043" s="53">
        <f>IF(P4043="","",IF(H4043="USD",G4043*R4043,G4043))</f>
        <v/>
      </c>
      <c r="T4043" s="53">
        <f>IF(P4043="","",IF(H4043="USD",G4043,IF(R4043&gt;0,G4043/R4043,0)))</f>
        <v/>
      </c>
      <c r="U4043" s="53">
        <f>IF(P4043="","",IF(P4043="Gasto",S4043,IF(P4043="Reembolso",-S4043,0)))</f>
        <v/>
      </c>
      <c r="V4043" s="53">
        <f>IF(P4043="","",IF(P4043="Ingreso",S4043,0))</f>
        <v/>
      </c>
      <c r="W4043" s="53">
        <f>IF(P4043="","",IF(P4043="Resultado trading",S4043,0))</f>
        <v/>
      </c>
      <c r="X4043" s="52">
        <f>IF(OR(P4043="Gasto",P4043="Reembolso"),IF(M4043&lt;&gt;"",M4043,IFERROR(INDEX(catClasif,MATCH(D4043&amp;"|"&amp;E4043,catClave,0))&amp;"","Variable")),"")</f>
        <v/>
      </c>
      <c r="Y4043" s="52">
        <f>IF(P4043="","",IFERROR(INDEX(catGrupo,MATCH(D4043&amp;"|"&amp;E4043,catClave,0))&amp;"",""))</f>
        <v/>
      </c>
      <c r="Z4043" s="52">
        <f>IF(P4043="","",WEEKDAY(B4043,2))</f>
        <v/>
      </c>
      <c r="AA4043" s="52">
        <f>IF(P4043="","",IF(AND(P4043="Gasto",X4043="Variable",D4043&lt;&gt;catTrading,S4043&gt;0,S4043&lt;=Umbral),1,0))</f>
        <v/>
      </c>
      <c r="AB4043" s="52">
        <f>IF(OR(P4043="",Q4043=""),"",IFERROR(IF(INDEX(ctaVinc,MATCH(Q4043,ctaNombre,0))&amp;""&lt;&gt;"",INDEX(ctaVinc,MATCH(Q4043,ctaNombre,0))&amp;"",Q4043),Q4043))</f>
        <v/>
      </c>
      <c r="AC4043" s="52">
        <f>IF(OR(K4043="",AND(P4043&lt;&gt;"Transferencia",P4043&lt;&gt;"Pago tarjeta")),"",IFERROR(IF(INDEX(ctaVinc,MATCH(K4043,ctaNombre,0))&amp;""&lt;&gt;"",INDEX(ctaVinc,MATCH(K4043,ctaNombre,0))&amp;"",K4043),K4043))</f>
        <v/>
      </c>
      <c r="AD4043" s="52">
        <f>IF(AB4043="","",IFERROR(INDEX(ctaTipo,MATCH(AB4043,ctaNombre,0))&amp;"",""))</f>
        <v/>
      </c>
      <c r="AE4043" s="52">
        <f>IF(AC4043="","",IFERROR(INDEX(ctaTipo,MATCH(AC4043,ctaNombre,0))&amp;"",""))</f>
        <v/>
      </c>
      <c r="AF4043" s="53">
        <f>IF(OR(P4043="",AB4043=""),"",IF(OR(P4043="Gasto",P4043="Transferencia",P4043="Pago tarjeta"),-1,1)*IF(IFERROR(INDEX(ctaMoneda,MATCH(AB4043,ctaNombre,0))&amp;"","DOP")="USD",T4043,S4043))</f>
        <v/>
      </c>
      <c r="AG4043" s="53">
        <f>IF(AC4043="","",IF(IFERROR(INDEX(ctaMoneda,MATCH(AC4043,ctaNombre,0))&amp;"","DOP")="USD",T4043,S4043))</f>
        <v/>
      </c>
      <c r="AH4043" s="53">
        <f>IF(P4043="","",IF(AND(AD4043&lt;&gt;"",COUNTIFS(tcTipo,AD4043,tcLiq,"Sí")&gt;0),IF(OR(P4043="Gasto",P4043="Transferencia",P4043="Pago tarjeta"),-1,1)*S4043,0)+IF(AND(AE4043&lt;&gt;"",COUNTIFS(tcTipo,AE4043,tcLiq,"Sí")&gt;0),S4043,0))</f>
        <v/>
      </c>
      <c r="AI4043" s="52">
        <f>IF(OR(L4043="",P4043=""),"",IF(COUNTIFS(L$6:L4043,L4043,P$6:P4043,"?*")=1,MAX(AI$5:AI4042)+1,""))</f>
        <v/>
      </c>
    </row>
    <row r="4044">
      <c r="B4044" s="47" t="n"/>
      <c r="C4044" s="48" t="n"/>
      <c r="D4044" s="48" t="n"/>
      <c r="E4044" s="48" t="n"/>
      <c r="F4044" s="48" t="n"/>
      <c r="G4044" s="49" t="n"/>
      <c r="H4044" s="48" t="n"/>
      <c r="I4044" s="50" t="n"/>
      <c r="J4044" s="48" t="n"/>
      <c r="K4044" s="48" t="n"/>
      <c r="L4044" s="48" t="n"/>
      <c r="M4044" s="48" t="n"/>
      <c r="N4044" s="48" t="n"/>
      <c r="O4044" s="51">
        <f>IF(AND(B4044="",G4044="",C4044="",D4044="",J4044=""),"",IF(B4044="","⚠ Falta fecha",IF(G4044="","⚠ Falta monto",IF(Q4044="","⚠ Falta cuenta",IF(ISNA(MATCH(Q4044,ctaNombre,0)),"⚠ Cuenta no registrada",IF(AND(OR(P4044="Gasto",P4044="Reembolso"),D4044=""),"⚠ Falta categoría",IF(AND(D4044&lt;&gt;"",E4044&lt;&gt;"",ISNA(MATCH(D4044&amp;"|"&amp;E4044,catClave,0))),"⚠ Subcategoría no corresponde",IF(AND(OR(P4044="Transferencia",P4044="Pago tarjeta"),K4044=""),"⚠ Falta cuenta destino",IF(AND(K4044&lt;&gt;"",P4044&lt;&gt;"Transferencia",P4044&lt;&gt;"Pago tarjeta"),"⚠ Destino solo aplica a transferencias",IF(AND(K4044&lt;&gt;"",K4044=Q4044),"⚠ Origen igual a destino",IF(AND(K4044&lt;&gt;"",ISNA(MATCH(K4044,ctaNombre,0))),"⚠ Destino no registrado",IF(AND(P4044="Pago tarjeta",AE4044&lt;&gt;"Tarjeta de crédito"),"⚠ El destino debe ser tarjeta de crédito",IF(AND(P4044="Gasto",E4044="Depósitos y retiros"),"⚠ Usa tipo Transferencia",IF(AND(P4044="Resultado trading",AD4044&lt;&gt;"Cuenta de trading"),"⚠ Usa una cuenta de trading",IF(AND(G4044&lt;=0,P4044&lt;&gt;"Ajuste",P4044&lt;&gt;"Resultado trading"),"⚠ El monto debe ser positivo","✓")))))))))))))))</f>
        <v/>
      </c>
      <c r="P4044" s="52">
        <f>IF(OR(B4044="",G4044=""),"",IF(C4044="","Gasto",C4044))</f>
        <v/>
      </c>
      <c r="Q4044" s="52">
        <f>IF(P4044="","",IF(J4044&lt;&gt;"",J4044,CuentaPred&amp;""))</f>
        <v/>
      </c>
      <c r="R4044" s="52">
        <f>IF(P4044="","",IF(ISNUMBER(I4044),I4044,TasaUSD))</f>
        <v/>
      </c>
      <c r="S4044" s="53">
        <f>IF(P4044="","",IF(H4044="USD",G4044*R4044,G4044))</f>
        <v/>
      </c>
      <c r="T4044" s="53">
        <f>IF(P4044="","",IF(H4044="USD",G4044,IF(R4044&gt;0,G4044/R4044,0)))</f>
        <v/>
      </c>
      <c r="U4044" s="53">
        <f>IF(P4044="","",IF(P4044="Gasto",S4044,IF(P4044="Reembolso",-S4044,0)))</f>
        <v/>
      </c>
      <c r="V4044" s="53">
        <f>IF(P4044="","",IF(P4044="Ingreso",S4044,0))</f>
        <v/>
      </c>
      <c r="W4044" s="53">
        <f>IF(P4044="","",IF(P4044="Resultado trading",S4044,0))</f>
        <v/>
      </c>
      <c r="X4044" s="52">
        <f>IF(OR(P4044="Gasto",P4044="Reembolso"),IF(M4044&lt;&gt;"",M4044,IFERROR(INDEX(catClasif,MATCH(D4044&amp;"|"&amp;E4044,catClave,0))&amp;"","Variable")),"")</f>
        <v/>
      </c>
      <c r="Y4044" s="52">
        <f>IF(P4044="","",IFERROR(INDEX(catGrupo,MATCH(D4044&amp;"|"&amp;E4044,catClave,0))&amp;"",""))</f>
        <v/>
      </c>
      <c r="Z4044" s="52">
        <f>IF(P4044="","",WEEKDAY(B4044,2))</f>
        <v/>
      </c>
      <c r="AA4044" s="52">
        <f>IF(P4044="","",IF(AND(P4044="Gasto",X4044="Variable",D4044&lt;&gt;catTrading,S4044&gt;0,S4044&lt;=Umbral),1,0))</f>
        <v/>
      </c>
      <c r="AB4044" s="52">
        <f>IF(OR(P4044="",Q4044=""),"",IFERROR(IF(INDEX(ctaVinc,MATCH(Q4044,ctaNombre,0))&amp;""&lt;&gt;"",INDEX(ctaVinc,MATCH(Q4044,ctaNombre,0))&amp;"",Q4044),Q4044))</f>
        <v/>
      </c>
      <c r="AC4044" s="52">
        <f>IF(OR(K4044="",AND(P4044&lt;&gt;"Transferencia",P4044&lt;&gt;"Pago tarjeta")),"",IFERROR(IF(INDEX(ctaVinc,MATCH(K4044,ctaNombre,0))&amp;""&lt;&gt;"",INDEX(ctaVinc,MATCH(K4044,ctaNombre,0))&amp;"",K4044),K4044))</f>
        <v/>
      </c>
      <c r="AD4044" s="52">
        <f>IF(AB4044="","",IFERROR(INDEX(ctaTipo,MATCH(AB4044,ctaNombre,0))&amp;"",""))</f>
        <v/>
      </c>
      <c r="AE4044" s="52">
        <f>IF(AC4044="","",IFERROR(INDEX(ctaTipo,MATCH(AC4044,ctaNombre,0))&amp;"",""))</f>
        <v/>
      </c>
      <c r="AF4044" s="53">
        <f>IF(OR(P4044="",AB4044=""),"",IF(OR(P4044="Gasto",P4044="Transferencia",P4044="Pago tarjeta"),-1,1)*IF(IFERROR(INDEX(ctaMoneda,MATCH(AB4044,ctaNombre,0))&amp;"","DOP")="USD",T4044,S4044))</f>
        <v/>
      </c>
      <c r="AG4044" s="53">
        <f>IF(AC4044="","",IF(IFERROR(INDEX(ctaMoneda,MATCH(AC4044,ctaNombre,0))&amp;"","DOP")="USD",T4044,S4044))</f>
        <v/>
      </c>
      <c r="AH4044" s="53">
        <f>IF(P4044="","",IF(AND(AD4044&lt;&gt;"",COUNTIFS(tcTipo,AD4044,tcLiq,"Sí")&gt;0),IF(OR(P4044="Gasto",P4044="Transferencia",P4044="Pago tarjeta"),-1,1)*S4044,0)+IF(AND(AE4044&lt;&gt;"",COUNTIFS(tcTipo,AE4044,tcLiq,"Sí")&gt;0),S4044,0))</f>
        <v/>
      </c>
      <c r="AI4044" s="52">
        <f>IF(OR(L4044="",P4044=""),"",IF(COUNTIFS(L$6:L4044,L4044,P$6:P4044,"?*")=1,MAX(AI$5:AI4043)+1,""))</f>
        <v/>
      </c>
    </row>
    <row r="4045">
      <c r="B4045" s="47" t="n"/>
      <c r="C4045" s="48" t="n"/>
      <c r="D4045" s="48" t="n"/>
      <c r="E4045" s="48" t="n"/>
      <c r="F4045" s="48" t="n"/>
      <c r="G4045" s="49" t="n"/>
      <c r="H4045" s="48" t="n"/>
      <c r="I4045" s="50" t="n"/>
      <c r="J4045" s="48" t="n"/>
      <c r="K4045" s="48" t="n"/>
      <c r="L4045" s="48" t="n"/>
      <c r="M4045" s="48" t="n"/>
      <c r="N4045" s="48" t="n"/>
      <c r="O4045" s="51">
        <f>IF(AND(B4045="",G4045="",C4045="",D4045="",J4045=""),"",IF(B4045="","⚠ Falta fecha",IF(G4045="","⚠ Falta monto",IF(Q4045="","⚠ Falta cuenta",IF(ISNA(MATCH(Q4045,ctaNombre,0)),"⚠ Cuenta no registrada",IF(AND(OR(P4045="Gasto",P4045="Reembolso"),D4045=""),"⚠ Falta categoría",IF(AND(D4045&lt;&gt;"",E4045&lt;&gt;"",ISNA(MATCH(D4045&amp;"|"&amp;E4045,catClave,0))),"⚠ Subcategoría no corresponde",IF(AND(OR(P4045="Transferencia",P4045="Pago tarjeta"),K4045=""),"⚠ Falta cuenta destino",IF(AND(K4045&lt;&gt;"",P4045&lt;&gt;"Transferencia",P4045&lt;&gt;"Pago tarjeta"),"⚠ Destino solo aplica a transferencias",IF(AND(K4045&lt;&gt;"",K4045=Q4045),"⚠ Origen igual a destino",IF(AND(K4045&lt;&gt;"",ISNA(MATCH(K4045,ctaNombre,0))),"⚠ Destino no registrado",IF(AND(P4045="Pago tarjeta",AE4045&lt;&gt;"Tarjeta de crédito"),"⚠ El destino debe ser tarjeta de crédito",IF(AND(P4045="Gasto",E4045="Depósitos y retiros"),"⚠ Usa tipo Transferencia",IF(AND(P4045="Resultado trading",AD4045&lt;&gt;"Cuenta de trading"),"⚠ Usa una cuenta de trading",IF(AND(G4045&lt;=0,P4045&lt;&gt;"Ajuste",P4045&lt;&gt;"Resultado trading"),"⚠ El monto debe ser positivo","✓")))))))))))))))</f>
        <v/>
      </c>
      <c r="P4045" s="52">
        <f>IF(OR(B4045="",G4045=""),"",IF(C4045="","Gasto",C4045))</f>
        <v/>
      </c>
      <c r="Q4045" s="52">
        <f>IF(P4045="","",IF(J4045&lt;&gt;"",J4045,CuentaPred&amp;""))</f>
        <v/>
      </c>
      <c r="R4045" s="52">
        <f>IF(P4045="","",IF(ISNUMBER(I4045),I4045,TasaUSD))</f>
        <v/>
      </c>
      <c r="S4045" s="53">
        <f>IF(P4045="","",IF(H4045="USD",G4045*R4045,G4045))</f>
        <v/>
      </c>
      <c r="T4045" s="53">
        <f>IF(P4045="","",IF(H4045="USD",G4045,IF(R4045&gt;0,G4045/R4045,0)))</f>
        <v/>
      </c>
      <c r="U4045" s="53">
        <f>IF(P4045="","",IF(P4045="Gasto",S4045,IF(P4045="Reembolso",-S4045,0)))</f>
        <v/>
      </c>
      <c r="V4045" s="53">
        <f>IF(P4045="","",IF(P4045="Ingreso",S4045,0))</f>
        <v/>
      </c>
      <c r="W4045" s="53">
        <f>IF(P4045="","",IF(P4045="Resultado trading",S4045,0))</f>
        <v/>
      </c>
      <c r="X4045" s="52">
        <f>IF(OR(P4045="Gasto",P4045="Reembolso"),IF(M4045&lt;&gt;"",M4045,IFERROR(INDEX(catClasif,MATCH(D4045&amp;"|"&amp;E4045,catClave,0))&amp;"","Variable")),"")</f>
        <v/>
      </c>
      <c r="Y4045" s="52">
        <f>IF(P4045="","",IFERROR(INDEX(catGrupo,MATCH(D4045&amp;"|"&amp;E4045,catClave,0))&amp;"",""))</f>
        <v/>
      </c>
      <c r="Z4045" s="52">
        <f>IF(P4045="","",WEEKDAY(B4045,2))</f>
        <v/>
      </c>
      <c r="AA4045" s="52">
        <f>IF(P4045="","",IF(AND(P4045="Gasto",X4045="Variable",D4045&lt;&gt;catTrading,S4045&gt;0,S4045&lt;=Umbral),1,0))</f>
        <v/>
      </c>
      <c r="AB4045" s="52">
        <f>IF(OR(P4045="",Q4045=""),"",IFERROR(IF(INDEX(ctaVinc,MATCH(Q4045,ctaNombre,0))&amp;""&lt;&gt;"",INDEX(ctaVinc,MATCH(Q4045,ctaNombre,0))&amp;"",Q4045),Q4045))</f>
        <v/>
      </c>
      <c r="AC4045" s="52">
        <f>IF(OR(K4045="",AND(P4045&lt;&gt;"Transferencia",P4045&lt;&gt;"Pago tarjeta")),"",IFERROR(IF(INDEX(ctaVinc,MATCH(K4045,ctaNombre,0))&amp;""&lt;&gt;"",INDEX(ctaVinc,MATCH(K4045,ctaNombre,0))&amp;"",K4045),K4045))</f>
        <v/>
      </c>
      <c r="AD4045" s="52">
        <f>IF(AB4045="","",IFERROR(INDEX(ctaTipo,MATCH(AB4045,ctaNombre,0))&amp;"",""))</f>
        <v/>
      </c>
      <c r="AE4045" s="52">
        <f>IF(AC4045="","",IFERROR(INDEX(ctaTipo,MATCH(AC4045,ctaNombre,0))&amp;"",""))</f>
        <v/>
      </c>
      <c r="AF4045" s="53">
        <f>IF(OR(P4045="",AB4045=""),"",IF(OR(P4045="Gasto",P4045="Transferencia",P4045="Pago tarjeta"),-1,1)*IF(IFERROR(INDEX(ctaMoneda,MATCH(AB4045,ctaNombre,0))&amp;"","DOP")="USD",T4045,S4045))</f>
        <v/>
      </c>
      <c r="AG4045" s="53">
        <f>IF(AC4045="","",IF(IFERROR(INDEX(ctaMoneda,MATCH(AC4045,ctaNombre,0))&amp;"","DOP")="USD",T4045,S4045))</f>
        <v/>
      </c>
      <c r="AH4045" s="53">
        <f>IF(P4045="","",IF(AND(AD4045&lt;&gt;"",COUNTIFS(tcTipo,AD4045,tcLiq,"Sí")&gt;0),IF(OR(P4045="Gasto",P4045="Transferencia",P4045="Pago tarjeta"),-1,1)*S4045,0)+IF(AND(AE4045&lt;&gt;"",COUNTIFS(tcTipo,AE4045,tcLiq,"Sí")&gt;0),S4045,0))</f>
        <v/>
      </c>
      <c r="AI4045" s="52">
        <f>IF(OR(L4045="",P4045=""),"",IF(COUNTIFS(L$6:L4045,L4045,P$6:P4045,"?*")=1,MAX(AI$5:AI4044)+1,""))</f>
        <v/>
      </c>
    </row>
    <row r="4046">
      <c r="B4046" s="47" t="n"/>
      <c r="C4046" s="48" t="n"/>
      <c r="D4046" s="48" t="n"/>
      <c r="E4046" s="48" t="n"/>
      <c r="F4046" s="48" t="n"/>
      <c r="G4046" s="49" t="n"/>
      <c r="H4046" s="48" t="n"/>
      <c r="I4046" s="50" t="n"/>
      <c r="J4046" s="48" t="n"/>
      <c r="K4046" s="48" t="n"/>
      <c r="L4046" s="48" t="n"/>
      <c r="M4046" s="48" t="n"/>
      <c r="N4046" s="48" t="n"/>
      <c r="O4046" s="51">
        <f>IF(AND(B4046="",G4046="",C4046="",D4046="",J4046=""),"",IF(B4046="","⚠ Falta fecha",IF(G4046="","⚠ Falta monto",IF(Q4046="","⚠ Falta cuenta",IF(ISNA(MATCH(Q4046,ctaNombre,0)),"⚠ Cuenta no registrada",IF(AND(OR(P4046="Gasto",P4046="Reembolso"),D4046=""),"⚠ Falta categoría",IF(AND(D4046&lt;&gt;"",E4046&lt;&gt;"",ISNA(MATCH(D4046&amp;"|"&amp;E4046,catClave,0))),"⚠ Subcategoría no corresponde",IF(AND(OR(P4046="Transferencia",P4046="Pago tarjeta"),K4046=""),"⚠ Falta cuenta destino",IF(AND(K4046&lt;&gt;"",P4046&lt;&gt;"Transferencia",P4046&lt;&gt;"Pago tarjeta"),"⚠ Destino solo aplica a transferencias",IF(AND(K4046&lt;&gt;"",K4046=Q4046),"⚠ Origen igual a destino",IF(AND(K4046&lt;&gt;"",ISNA(MATCH(K4046,ctaNombre,0))),"⚠ Destino no registrado",IF(AND(P4046="Pago tarjeta",AE4046&lt;&gt;"Tarjeta de crédito"),"⚠ El destino debe ser tarjeta de crédito",IF(AND(P4046="Gasto",E4046="Depósitos y retiros"),"⚠ Usa tipo Transferencia",IF(AND(P4046="Resultado trading",AD4046&lt;&gt;"Cuenta de trading"),"⚠ Usa una cuenta de trading",IF(AND(G4046&lt;=0,P4046&lt;&gt;"Ajuste",P4046&lt;&gt;"Resultado trading"),"⚠ El monto debe ser positivo","✓")))))))))))))))</f>
        <v/>
      </c>
      <c r="P4046" s="52">
        <f>IF(OR(B4046="",G4046=""),"",IF(C4046="","Gasto",C4046))</f>
        <v/>
      </c>
      <c r="Q4046" s="52">
        <f>IF(P4046="","",IF(J4046&lt;&gt;"",J4046,CuentaPred&amp;""))</f>
        <v/>
      </c>
      <c r="R4046" s="52">
        <f>IF(P4046="","",IF(ISNUMBER(I4046),I4046,TasaUSD))</f>
        <v/>
      </c>
      <c r="S4046" s="53">
        <f>IF(P4046="","",IF(H4046="USD",G4046*R4046,G4046))</f>
        <v/>
      </c>
      <c r="T4046" s="53">
        <f>IF(P4046="","",IF(H4046="USD",G4046,IF(R4046&gt;0,G4046/R4046,0)))</f>
        <v/>
      </c>
      <c r="U4046" s="53">
        <f>IF(P4046="","",IF(P4046="Gasto",S4046,IF(P4046="Reembolso",-S4046,0)))</f>
        <v/>
      </c>
      <c r="V4046" s="53">
        <f>IF(P4046="","",IF(P4046="Ingreso",S4046,0))</f>
        <v/>
      </c>
      <c r="W4046" s="53">
        <f>IF(P4046="","",IF(P4046="Resultado trading",S4046,0))</f>
        <v/>
      </c>
      <c r="X4046" s="52">
        <f>IF(OR(P4046="Gasto",P4046="Reembolso"),IF(M4046&lt;&gt;"",M4046,IFERROR(INDEX(catClasif,MATCH(D4046&amp;"|"&amp;E4046,catClave,0))&amp;"","Variable")),"")</f>
        <v/>
      </c>
      <c r="Y4046" s="52">
        <f>IF(P4046="","",IFERROR(INDEX(catGrupo,MATCH(D4046&amp;"|"&amp;E4046,catClave,0))&amp;"",""))</f>
        <v/>
      </c>
      <c r="Z4046" s="52">
        <f>IF(P4046="","",WEEKDAY(B4046,2))</f>
        <v/>
      </c>
      <c r="AA4046" s="52">
        <f>IF(P4046="","",IF(AND(P4046="Gasto",X4046="Variable",D4046&lt;&gt;catTrading,S4046&gt;0,S4046&lt;=Umbral),1,0))</f>
        <v/>
      </c>
      <c r="AB4046" s="52">
        <f>IF(OR(P4046="",Q4046=""),"",IFERROR(IF(INDEX(ctaVinc,MATCH(Q4046,ctaNombre,0))&amp;""&lt;&gt;"",INDEX(ctaVinc,MATCH(Q4046,ctaNombre,0))&amp;"",Q4046),Q4046))</f>
        <v/>
      </c>
      <c r="AC4046" s="52">
        <f>IF(OR(K4046="",AND(P4046&lt;&gt;"Transferencia",P4046&lt;&gt;"Pago tarjeta")),"",IFERROR(IF(INDEX(ctaVinc,MATCH(K4046,ctaNombre,0))&amp;""&lt;&gt;"",INDEX(ctaVinc,MATCH(K4046,ctaNombre,0))&amp;"",K4046),K4046))</f>
        <v/>
      </c>
      <c r="AD4046" s="52">
        <f>IF(AB4046="","",IFERROR(INDEX(ctaTipo,MATCH(AB4046,ctaNombre,0))&amp;"",""))</f>
        <v/>
      </c>
      <c r="AE4046" s="52">
        <f>IF(AC4046="","",IFERROR(INDEX(ctaTipo,MATCH(AC4046,ctaNombre,0))&amp;"",""))</f>
        <v/>
      </c>
      <c r="AF4046" s="53">
        <f>IF(OR(P4046="",AB4046=""),"",IF(OR(P4046="Gasto",P4046="Transferencia",P4046="Pago tarjeta"),-1,1)*IF(IFERROR(INDEX(ctaMoneda,MATCH(AB4046,ctaNombre,0))&amp;"","DOP")="USD",T4046,S4046))</f>
        <v/>
      </c>
      <c r="AG4046" s="53">
        <f>IF(AC4046="","",IF(IFERROR(INDEX(ctaMoneda,MATCH(AC4046,ctaNombre,0))&amp;"","DOP")="USD",T4046,S4046))</f>
        <v/>
      </c>
      <c r="AH4046" s="53">
        <f>IF(P4046="","",IF(AND(AD4046&lt;&gt;"",COUNTIFS(tcTipo,AD4046,tcLiq,"Sí")&gt;0),IF(OR(P4046="Gasto",P4046="Transferencia",P4046="Pago tarjeta"),-1,1)*S4046,0)+IF(AND(AE4046&lt;&gt;"",COUNTIFS(tcTipo,AE4046,tcLiq,"Sí")&gt;0),S4046,0))</f>
        <v/>
      </c>
      <c r="AI4046" s="52">
        <f>IF(OR(L4046="",P4046=""),"",IF(COUNTIFS(L$6:L4046,L4046,P$6:P4046,"?*")=1,MAX(AI$5:AI4045)+1,""))</f>
        <v/>
      </c>
    </row>
    <row r="4047">
      <c r="B4047" s="47" t="n"/>
      <c r="C4047" s="48" t="n"/>
      <c r="D4047" s="48" t="n"/>
      <c r="E4047" s="48" t="n"/>
      <c r="F4047" s="48" t="n"/>
      <c r="G4047" s="49" t="n"/>
      <c r="H4047" s="48" t="n"/>
      <c r="I4047" s="50" t="n"/>
      <c r="J4047" s="48" t="n"/>
      <c r="K4047" s="48" t="n"/>
      <c r="L4047" s="48" t="n"/>
      <c r="M4047" s="48" t="n"/>
      <c r="N4047" s="48" t="n"/>
      <c r="O4047" s="51">
        <f>IF(AND(B4047="",G4047="",C4047="",D4047="",J4047=""),"",IF(B4047="","⚠ Falta fecha",IF(G4047="","⚠ Falta monto",IF(Q4047="","⚠ Falta cuenta",IF(ISNA(MATCH(Q4047,ctaNombre,0)),"⚠ Cuenta no registrada",IF(AND(OR(P4047="Gasto",P4047="Reembolso"),D4047=""),"⚠ Falta categoría",IF(AND(D4047&lt;&gt;"",E4047&lt;&gt;"",ISNA(MATCH(D4047&amp;"|"&amp;E4047,catClave,0))),"⚠ Subcategoría no corresponde",IF(AND(OR(P4047="Transferencia",P4047="Pago tarjeta"),K4047=""),"⚠ Falta cuenta destino",IF(AND(K4047&lt;&gt;"",P4047&lt;&gt;"Transferencia",P4047&lt;&gt;"Pago tarjeta"),"⚠ Destino solo aplica a transferencias",IF(AND(K4047&lt;&gt;"",K4047=Q4047),"⚠ Origen igual a destino",IF(AND(K4047&lt;&gt;"",ISNA(MATCH(K4047,ctaNombre,0))),"⚠ Destino no registrado",IF(AND(P4047="Pago tarjeta",AE4047&lt;&gt;"Tarjeta de crédito"),"⚠ El destino debe ser tarjeta de crédito",IF(AND(P4047="Gasto",E4047="Depósitos y retiros"),"⚠ Usa tipo Transferencia",IF(AND(P4047="Resultado trading",AD4047&lt;&gt;"Cuenta de trading"),"⚠ Usa una cuenta de trading",IF(AND(G4047&lt;=0,P4047&lt;&gt;"Ajuste",P4047&lt;&gt;"Resultado trading"),"⚠ El monto debe ser positivo","✓")))))))))))))))</f>
        <v/>
      </c>
      <c r="P4047" s="52">
        <f>IF(OR(B4047="",G4047=""),"",IF(C4047="","Gasto",C4047))</f>
        <v/>
      </c>
      <c r="Q4047" s="52">
        <f>IF(P4047="","",IF(J4047&lt;&gt;"",J4047,CuentaPred&amp;""))</f>
        <v/>
      </c>
      <c r="R4047" s="52">
        <f>IF(P4047="","",IF(ISNUMBER(I4047),I4047,TasaUSD))</f>
        <v/>
      </c>
      <c r="S4047" s="53">
        <f>IF(P4047="","",IF(H4047="USD",G4047*R4047,G4047))</f>
        <v/>
      </c>
      <c r="T4047" s="53">
        <f>IF(P4047="","",IF(H4047="USD",G4047,IF(R4047&gt;0,G4047/R4047,0)))</f>
        <v/>
      </c>
      <c r="U4047" s="53">
        <f>IF(P4047="","",IF(P4047="Gasto",S4047,IF(P4047="Reembolso",-S4047,0)))</f>
        <v/>
      </c>
      <c r="V4047" s="53">
        <f>IF(P4047="","",IF(P4047="Ingreso",S4047,0))</f>
        <v/>
      </c>
      <c r="W4047" s="53">
        <f>IF(P4047="","",IF(P4047="Resultado trading",S4047,0))</f>
        <v/>
      </c>
      <c r="X4047" s="52">
        <f>IF(OR(P4047="Gasto",P4047="Reembolso"),IF(M4047&lt;&gt;"",M4047,IFERROR(INDEX(catClasif,MATCH(D4047&amp;"|"&amp;E4047,catClave,0))&amp;"","Variable")),"")</f>
        <v/>
      </c>
      <c r="Y4047" s="52">
        <f>IF(P4047="","",IFERROR(INDEX(catGrupo,MATCH(D4047&amp;"|"&amp;E4047,catClave,0))&amp;"",""))</f>
        <v/>
      </c>
      <c r="Z4047" s="52">
        <f>IF(P4047="","",WEEKDAY(B4047,2))</f>
        <v/>
      </c>
      <c r="AA4047" s="52">
        <f>IF(P4047="","",IF(AND(P4047="Gasto",X4047="Variable",D4047&lt;&gt;catTrading,S4047&gt;0,S4047&lt;=Umbral),1,0))</f>
        <v/>
      </c>
      <c r="AB4047" s="52">
        <f>IF(OR(P4047="",Q4047=""),"",IFERROR(IF(INDEX(ctaVinc,MATCH(Q4047,ctaNombre,0))&amp;""&lt;&gt;"",INDEX(ctaVinc,MATCH(Q4047,ctaNombre,0))&amp;"",Q4047),Q4047))</f>
        <v/>
      </c>
      <c r="AC4047" s="52">
        <f>IF(OR(K4047="",AND(P4047&lt;&gt;"Transferencia",P4047&lt;&gt;"Pago tarjeta")),"",IFERROR(IF(INDEX(ctaVinc,MATCH(K4047,ctaNombre,0))&amp;""&lt;&gt;"",INDEX(ctaVinc,MATCH(K4047,ctaNombre,0))&amp;"",K4047),K4047))</f>
        <v/>
      </c>
      <c r="AD4047" s="52">
        <f>IF(AB4047="","",IFERROR(INDEX(ctaTipo,MATCH(AB4047,ctaNombre,0))&amp;"",""))</f>
        <v/>
      </c>
      <c r="AE4047" s="52">
        <f>IF(AC4047="","",IFERROR(INDEX(ctaTipo,MATCH(AC4047,ctaNombre,0))&amp;"",""))</f>
        <v/>
      </c>
      <c r="AF4047" s="53">
        <f>IF(OR(P4047="",AB4047=""),"",IF(OR(P4047="Gasto",P4047="Transferencia",P4047="Pago tarjeta"),-1,1)*IF(IFERROR(INDEX(ctaMoneda,MATCH(AB4047,ctaNombre,0))&amp;"","DOP")="USD",T4047,S4047))</f>
        <v/>
      </c>
      <c r="AG4047" s="53">
        <f>IF(AC4047="","",IF(IFERROR(INDEX(ctaMoneda,MATCH(AC4047,ctaNombre,0))&amp;"","DOP")="USD",T4047,S4047))</f>
        <v/>
      </c>
      <c r="AH4047" s="53">
        <f>IF(P4047="","",IF(AND(AD4047&lt;&gt;"",COUNTIFS(tcTipo,AD4047,tcLiq,"Sí")&gt;0),IF(OR(P4047="Gasto",P4047="Transferencia",P4047="Pago tarjeta"),-1,1)*S4047,0)+IF(AND(AE4047&lt;&gt;"",COUNTIFS(tcTipo,AE4047,tcLiq,"Sí")&gt;0),S4047,0))</f>
        <v/>
      </c>
      <c r="AI4047" s="52">
        <f>IF(OR(L4047="",P4047=""),"",IF(COUNTIFS(L$6:L4047,L4047,P$6:P4047,"?*")=1,MAX(AI$5:AI4046)+1,""))</f>
        <v/>
      </c>
    </row>
    <row r="4048">
      <c r="B4048" s="47" t="n"/>
      <c r="C4048" s="48" t="n"/>
      <c r="D4048" s="48" t="n"/>
      <c r="E4048" s="48" t="n"/>
      <c r="F4048" s="48" t="n"/>
      <c r="G4048" s="49" t="n"/>
      <c r="H4048" s="48" t="n"/>
      <c r="I4048" s="50" t="n"/>
      <c r="J4048" s="48" t="n"/>
      <c r="K4048" s="48" t="n"/>
      <c r="L4048" s="48" t="n"/>
      <c r="M4048" s="48" t="n"/>
      <c r="N4048" s="48" t="n"/>
      <c r="O4048" s="51">
        <f>IF(AND(B4048="",G4048="",C4048="",D4048="",J4048=""),"",IF(B4048="","⚠ Falta fecha",IF(G4048="","⚠ Falta monto",IF(Q4048="","⚠ Falta cuenta",IF(ISNA(MATCH(Q4048,ctaNombre,0)),"⚠ Cuenta no registrada",IF(AND(OR(P4048="Gasto",P4048="Reembolso"),D4048=""),"⚠ Falta categoría",IF(AND(D4048&lt;&gt;"",E4048&lt;&gt;"",ISNA(MATCH(D4048&amp;"|"&amp;E4048,catClave,0))),"⚠ Subcategoría no corresponde",IF(AND(OR(P4048="Transferencia",P4048="Pago tarjeta"),K4048=""),"⚠ Falta cuenta destino",IF(AND(K4048&lt;&gt;"",P4048&lt;&gt;"Transferencia",P4048&lt;&gt;"Pago tarjeta"),"⚠ Destino solo aplica a transferencias",IF(AND(K4048&lt;&gt;"",K4048=Q4048),"⚠ Origen igual a destino",IF(AND(K4048&lt;&gt;"",ISNA(MATCH(K4048,ctaNombre,0))),"⚠ Destino no registrado",IF(AND(P4048="Pago tarjeta",AE4048&lt;&gt;"Tarjeta de crédito"),"⚠ El destino debe ser tarjeta de crédito",IF(AND(P4048="Gasto",E4048="Depósitos y retiros"),"⚠ Usa tipo Transferencia",IF(AND(P4048="Resultado trading",AD4048&lt;&gt;"Cuenta de trading"),"⚠ Usa una cuenta de trading",IF(AND(G4048&lt;=0,P4048&lt;&gt;"Ajuste",P4048&lt;&gt;"Resultado trading"),"⚠ El monto debe ser positivo","✓")))))))))))))))</f>
        <v/>
      </c>
      <c r="P4048" s="52">
        <f>IF(OR(B4048="",G4048=""),"",IF(C4048="","Gasto",C4048))</f>
        <v/>
      </c>
      <c r="Q4048" s="52">
        <f>IF(P4048="","",IF(J4048&lt;&gt;"",J4048,CuentaPred&amp;""))</f>
        <v/>
      </c>
      <c r="R4048" s="52">
        <f>IF(P4048="","",IF(ISNUMBER(I4048),I4048,TasaUSD))</f>
        <v/>
      </c>
      <c r="S4048" s="53">
        <f>IF(P4048="","",IF(H4048="USD",G4048*R4048,G4048))</f>
        <v/>
      </c>
      <c r="T4048" s="53">
        <f>IF(P4048="","",IF(H4048="USD",G4048,IF(R4048&gt;0,G4048/R4048,0)))</f>
        <v/>
      </c>
      <c r="U4048" s="53">
        <f>IF(P4048="","",IF(P4048="Gasto",S4048,IF(P4048="Reembolso",-S4048,0)))</f>
        <v/>
      </c>
      <c r="V4048" s="53">
        <f>IF(P4048="","",IF(P4048="Ingreso",S4048,0))</f>
        <v/>
      </c>
      <c r="W4048" s="53">
        <f>IF(P4048="","",IF(P4048="Resultado trading",S4048,0))</f>
        <v/>
      </c>
      <c r="X4048" s="52">
        <f>IF(OR(P4048="Gasto",P4048="Reembolso"),IF(M4048&lt;&gt;"",M4048,IFERROR(INDEX(catClasif,MATCH(D4048&amp;"|"&amp;E4048,catClave,0))&amp;"","Variable")),"")</f>
        <v/>
      </c>
      <c r="Y4048" s="52">
        <f>IF(P4048="","",IFERROR(INDEX(catGrupo,MATCH(D4048&amp;"|"&amp;E4048,catClave,0))&amp;"",""))</f>
        <v/>
      </c>
      <c r="Z4048" s="52">
        <f>IF(P4048="","",WEEKDAY(B4048,2))</f>
        <v/>
      </c>
      <c r="AA4048" s="52">
        <f>IF(P4048="","",IF(AND(P4048="Gasto",X4048="Variable",D4048&lt;&gt;catTrading,S4048&gt;0,S4048&lt;=Umbral),1,0))</f>
        <v/>
      </c>
      <c r="AB4048" s="52">
        <f>IF(OR(P4048="",Q4048=""),"",IFERROR(IF(INDEX(ctaVinc,MATCH(Q4048,ctaNombre,0))&amp;""&lt;&gt;"",INDEX(ctaVinc,MATCH(Q4048,ctaNombre,0))&amp;"",Q4048),Q4048))</f>
        <v/>
      </c>
      <c r="AC4048" s="52">
        <f>IF(OR(K4048="",AND(P4048&lt;&gt;"Transferencia",P4048&lt;&gt;"Pago tarjeta")),"",IFERROR(IF(INDEX(ctaVinc,MATCH(K4048,ctaNombre,0))&amp;""&lt;&gt;"",INDEX(ctaVinc,MATCH(K4048,ctaNombre,0))&amp;"",K4048),K4048))</f>
        <v/>
      </c>
      <c r="AD4048" s="52">
        <f>IF(AB4048="","",IFERROR(INDEX(ctaTipo,MATCH(AB4048,ctaNombre,0))&amp;"",""))</f>
        <v/>
      </c>
      <c r="AE4048" s="52">
        <f>IF(AC4048="","",IFERROR(INDEX(ctaTipo,MATCH(AC4048,ctaNombre,0))&amp;"",""))</f>
        <v/>
      </c>
      <c r="AF4048" s="53">
        <f>IF(OR(P4048="",AB4048=""),"",IF(OR(P4048="Gasto",P4048="Transferencia",P4048="Pago tarjeta"),-1,1)*IF(IFERROR(INDEX(ctaMoneda,MATCH(AB4048,ctaNombre,0))&amp;"","DOP")="USD",T4048,S4048))</f>
        <v/>
      </c>
      <c r="AG4048" s="53">
        <f>IF(AC4048="","",IF(IFERROR(INDEX(ctaMoneda,MATCH(AC4048,ctaNombre,0))&amp;"","DOP")="USD",T4048,S4048))</f>
        <v/>
      </c>
      <c r="AH4048" s="53">
        <f>IF(P4048="","",IF(AND(AD4048&lt;&gt;"",COUNTIFS(tcTipo,AD4048,tcLiq,"Sí")&gt;0),IF(OR(P4048="Gasto",P4048="Transferencia",P4048="Pago tarjeta"),-1,1)*S4048,0)+IF(AND(AE4048&lt;&gt;"",COUNTIFS(tcTipo,AE4048,tcLiq,"Sí")&gt;0),S4048,0))</f>
        <v/>
      </c>
      <c r="AI4048" s="52">
        <f>IF(OR(L4048="",P4048=""),"",IF(COUNTIFS(L$6:L4048,L4048,P$6:P4048,"?*")=1,MAX(AI$5:AI4047)+1,""))</f>
        <v/>
      </c>
    </row>
    <row r="4049">
      <c r="B4049" s="47" t="n"/>
      <c r="C4049" s="48" t="n"/>
      <c r="D4049" s="48" t="n"/>
      <c r="E4049" s="48" t="n"/>
      <c r="F4049" s="48" t="n"/>
      <c r="G4049" s="49" t="n"/>
      <c r="H4049" s="48" t="n"/>
      <c r="I4049" s="50" t="n"/>
      <c r="J4049" s="48" t="n"/>
      <c r="K4049" s="48" t="n"/>
      <c r="L4049" s="48" t="n"/>
      <c r="M4049" s="48" t="n"/>
      <c r="N4049" s="48" t="n"/>
      <c r="O4049" s="51">
        <f>IF(AND(B4049="",G4049="",C4049="",D4049="",J4049=""),"",IF(B4049="","⚠ Falta fecha",IF(G4049="","⚠ Falta monto",IF(Q4049="","⚠ Falta cuenta",IF(ISNA(MATCH(Q4049,ctaNombre,0)),"⚠ Cuenta no registrada",IF(AND(OR(P4049="Gasto",P4049="Reembolso"),D4049=""),"⚠ Falta categoría",IF(AND(D4049&lt;&gt;"",E4049&lt;&gt;"",ISNA(MATCH(D4049&amp;"|"&amp;E4049,catClave,0))),"⚠ Subcategoría no corresponde",IF(AND(OR(P4049="Transferencia",P4049="Pago tarjeta"),K4049=""),"⚠ Falta cuenta destino",IF(AND(K4049&lt;&gt;"",P4049&lt;&gt;"Transferencia",P4049&lt;&gt;"Pago tarjeta"),"⚠ Destino solo aplica a transferencias",IF(AND(K4049&lt;&gt;"",K4049=Q4049),"⚠ Origen igual a destino",IF(AND(K4049&lt;&gt;"",ISNA(MATCH(K4049,ctaNombre,0))),"⚠ Destino no registrado",IF(AND(P4049="Pago tarjeta",AE4049&lt;&gt;"Tarjeta de crédito"),"⚠ El destino debe ser tarjeta de crédito",IF(AND(P4049="Gasto",E4049="Depósitos y retiros"),"⚠ Usa tipo Transferencia",IF(AND(P4049="Resultado trading",AD4049&lt;&gt;"Cuenta de trading"),"⚠ Usa una cuenta de trading",IF(AND(G4049&lt;=0,P4049&lt;&gt;"Ajuste",P4049&lt;&gt;"Resultado trading"),"⚠ El monto debe ser positivo","✓")))))))))))))))</f>
        <v/>
      </c>
      <c r="P4049" s="52">
        <f>IF(OR(B4049="",G4049=""),"",IF(C4049="","Gasto",C4049))</f>
        <v/>
      </c>
      <c r="Q4049" s="52">
        <f>IF(P4049="","",IF(J4049&lt;&gt;"",J4049,CuentaPred&amp;""))</f>
        <v/>
      </c>
      <c r="R4049" s="52">
        <f>IF(P4049="","",IF(ISNUMBER(I4049),I4049,TasaUSD))</f>
        <v/>
      </c>
      <c r="S4049" s="53">
        <f>IF(P4049="","",IF(H4049="USD",G4049*R4049,G4049))</f>
        <v/>
      </c>
      <c r="T4049" s="53">
        <f>IF(P4049="","",IF(H4049="USD",G4049,IF(R4049&gt;0,G4049/R4049,0)))</f>
        <v/>
      </c>
      <c r="U4049" s="53">
        <f>IF(P4049="","",IF(P4049="Gasto",S4049,IF(P4049="Reembolso",-S4049,0)))</f>
        <v/>
      </c>
      <c r="V4049" s="53">
        <f>IF(P4049="","",IF(P4049="Ingreso",S4049,0))</f>
        <v/>
      </c>
      <c r="W4049" s="53">
        <f>IF(P4049="","",IF(P4049="Resultado trading",S4049,0))</f>
        <v/>
      </c>
      <c r="X4049" s="52">
        <f>IF(OR(P4049="Gasto",P4049="Reembolso"),IF(M4049&lt;&gt;"",M4049,IFERROR(INDEX(catClasif,MATCH(D4049&amp;"|"&amp;E4049,catClave,0))&amp;"","Variable")),"")</f>
        <v/>
      </c>
      <c r="Y4049" s="52">
        <f>IF(P4049="","",IFERROR(INDEX(catGrupo,MATCH(D4049&amp;"|"&amp;E4049,catClave,0))&amp;"",""))</f>
        <v/>
      </c>
      <c r="Z4049" s="52">
        <f>IF(P4049="","",WEEKDAY(B4049,2))</f>
        <v/>
      </c>
      <c r="AA4049" s="52">
        <f>IF(P4049="","",IF(AND(P4049="Gasto",X4049="Variable",D4049&lt;&gt;catTrading,S4049&gt;0,S4049&lt;=Umbral),1,0))</f>
        <v/>
      </c>
      <c r="AB4049" s="52">
        <f>IF(OR(P4049="",Q4049=""),"",IFERROR(IF(INDEX(ctaVinc,MATCH(Q4049,ctaNombre,0))&amp;""&lt;&gt;"",INDEX(ctaVinc,MATCH(Q4049,ctaNombre,0))&amp;"",Q4049),Q4049))</f>
        <v/>
      </c>
      <c r="AC4049" s="52">
        <f>IF(OR(K4049="",AND(P4049&lt;&gt;"Transferencia",P4049&lt;&gt;"Pago tarjeta")),"",IFERROR(IF(INDEX(ctaVinc,MATCH(K4049,ctaNombre,0))&amp;""&lt;&gt;"",INDEX(ctaVinc,MATCH(K4049,ctaNombre,0))&amp;"",K4049),K4049))</f>
        <v/>
      </c>
      <c r="AD4049" s="52">
        <f>IF(AB4049="","",IFERROR(INDEX(ctaTipo,MATCH(AB4049,ctaNombre,0))&amp;"",""))</f>
        <v/>
      </c>
      <c r="AE4049" s="52">
        <f>IF(AC4049="","",IFERROR(INDEX(ctaTipo,MATCH(AC4049,ctaNombre,0))&amp;"",""))</f>
        <v/>
      </c>
      <c r="AF4049" s="53">
        <f>IF(OR(P4049="",AB4049=""),"",IF(OR(P4049="Gasto",P4049="Transferencia",P4049="Pago tarjeta"),-1,1)*IF(IFERROR(INDEX(ctaMoneda,MATCH(AB4049,ctaNombre,0))&amp;"","DOP")="USD",T4049,S4049))</f>
        <v/>
      </c>
      <c r="AG4049" s="53">
        <f>IF(AC4049="","",IF(IFERROR(INDEX(ctaMoneda,MATCH(AC4049,ctaNombre,0))&amp;"","DOP")="USD",T4049,S4049))</f>
        <v/>
      </c>
      <c r="AH4049" s="53">
        <f>IF(P4049="","",IF(AND(AD4049&lt;&gt;"",COUNTIFS(tcTipo,AD4049,tcLiq,"Sí")&gt;0),IF(OR(P4049="Gasto",P4049="Transferencia",P4049="Pago tarjeta"),-1,1)*S4049,0)+IF(AND(AE4049&lt;&gt;"",COUNTIFS(tcTipo,AE4049,tcLiq,"Sí")&gt;0),S4049,0))</f>
        <v/>
      </c>
      <c r="AI4049" s="52">
        <f>IF(OR(L4049="",P4049=""),"",IF(COUNTIFS(L$6:L4049,L4049,P$6:P4049,"?*")=1,MAX(AI$5:AI4048)+1,""))</f>
        <v/>
      </c>
    </row>
    <row r="4050">
      <c r="B4050" s="47" t="n"/>
      <c r="C4050" s="48" t="n"/>
      <c r="D4050" s="48" t="n"/>
      <c r="E4050" s="48" t="n"/>
      <c r="F4050" s="48" t="n"/>
      <c r="G4050" s="49" t="n"/>
      <c r="H4050" s="48" t="n"/>
      <c r="I4050" s="50" t="n"/>
      <c r="J4050" s="48" t="n"/>
      <c r="K4050" s="48" t="n"/>
      <c r="L4050" s="48" t="n"/>
      <c r="M4050" s="48" t="n"/>
      <c r="N4050" s="48" t="n"/>
      <c r="O4050" s="51">
        <f>IF(AND(B4050="",G4050="",C4050="",D4050="",J4050=""),"",IF(B4050="","⚠ Falta fecha",IF(G4050="","⚠ Falta monto",IF(Q4050="","⚠ Falta cuenta",IF(ISNA(MATCH(Q4050,ctaNombre,0)),"⚠ Cuenta no registrada",IF(AND(OR(P4050="Gasto",P4050="Reembolso"),D4050=""),"⚠ Falta categoría",IF(AND(D4050&lt;&gt;"",E4050&lt;&gt;"",ISNA(MATCH(D4050&amp;"|"&amp;E4050,catClave,0))),"⚠ Subcategoría no corresponde",IF(AND(OR(P4050="Transferencia",P4050="Pago tarjeta"),K4050=""),"⚠ Falta cuenta destino",IF(AND(K4050&lt;&gt;"",P4050&lt;&gt;"Transferencia",P4050&lt;&gt;"Pago tarjeta"),"⚠ Destino solo aplica a transferencias",IF(AND(K4050&lt;&gt;"",K4050=Q4050),"⚠ Origen igual a destino",IF(AND(K4050&lt;&gt;"",ISNA(MATCH(K4050,ctaNombre,0))),"⚠ Destino no registrado",IF(AND(P4050="Pago tarjeta",AE4050&lt;&gt;"Tarjeta de crédito"),"⚠ El destino debe ser tarjeta de crédito",IF(AND(P4050="Gasto",E4050="Depósitos y retiros"),"⚠ Usa tipo Transferencia",IF(AND(P4050="Resultado trading",AD4050&lt;&gt;"Cuenta de trading"),"⚠ Usa una cuenta de trading",IF(AND(G4050&lt;=0,P4050&lt;&gt;"Ajuste",P4050&lt;&gt;"Resultado trading"),"⚠ El monto debe ser positivo","✓")))))))))))))))</f>
        <v/>
      </c>
      <c r="P4050" s="52">
        <f>IF(OR(B4050="",G4050=""),"",IF(C4050="","Gasto",C4050))</f>
        <v/>
      </c>
      <c r="Q4050" s="52">
        <f>IF(P4050="","",IF(J4050&lt;&gt;"",J4050,CuentaPred&amp;""))</f>
        <v/>
      </c>
      <c r="R4050" s="52">
        <f>IF(P4050="","",IF(ISNUMBER(I4050),I4050,TasaUSD))</f>
        <v/>
      </c>
      <c r="S4050" s="53">
        <f>IF(P4050="","",IF(H4050="USD",G4050*R4050,G4050))</f>
        <v/>
      </c>
      <c r="T4050" s="53">
        <f>IF(P4050="","",IF(H4050="USD",G4050,IF(R4050&gt;0,G4050/R4050,0)))</f>
        <v/>
      </c>
      <c r="U4050" s="53">
        <f>IF(P4050="","",IF(P4050="Gasto",S4050,IF(P4050="Reembolso",-S4050,0)))</f>
        <v/>
      </c>
      <c r="V4050" s="53">
        <f>IF(P4050="","",IF(P4050="Ingreso",S4050,0))</f>
        <v/>
      </c>
      <c r="W4050" s="53">
        <f>IF(P4050="","",IF(P4050="Resultado trading",S4050,0))</f>
        <v/>
      </c>
      <c r="X4050" s="52">
        <f>IF(OR(P4050="Gasto",P4050="Reembolso"),IF(M4050&lt;&gt;"",M4050,IFERROR(INDEX(catClasif,MATCH(D4050&amp;"|"&amp;E4050,catClave,0))&amp;"","Variable")),"")</f>
        <v/>
      </c>
      <c r="Y4050" s="52">
        <f>IF(P4050="","",IFERROR(INDEX(catGrupo,MATCH(D4050&amp;"|"&amp;E4050,catClave,0))&amp;"",""))</f>
        <v/>
      </c>
      <c r="Z4050" s="52">
        <f>IF(P4050="","",WEEKDAY(B4050,2))</f>
        <v/>
      </c>
      <c r="AA4050" s="52">
        <f>IF(P4050="","",IF(AND(P4050="Gasto",X4050="Variable",D4050&lt;&gt;catTrading,S4050&gt;0,S4050&lt;=Umbral),1,0))</f>
        <v/>
      </c>
      <c r="AB4050" s="52">
        <f>IF(OR(P4050="",Q4050=""),"",IFERROR(IF(INDEX(ctaVinc,MATCH(Q4050,ctaNombre,0))&amp;""&lt;&gt;"",INDEX(ctaVinc,MATCH(Q4050,ctaNombre,0))&amp;"",Q4050),Q4050))</f>
        <v/>
      </c>
      <c r="AC4050" s="52">
        <f>IF(OR(K4050="",AND(P4050&lt;&gt;"Transferencia",P4050&lt;&gt;"Pago tarjeta")),"",IFERROR(IF(INDEX(ctaVinc,MATCH(K4050,ctaNombre,0))&amp;""&lt;&gt;"",INDEX(ctaVinc,MATCH(K4050,ctaNombre,0))&amp;"",K4050),K4050))</f>
        <v/>
      </c>
      <c r="AD4050" s="52">
        <f>IF(AB4050="","",IFERROR(INDEX(ctaTipo,MATCH(AB4050,ctaNombre,0))&amp;"",""))</f>
        <v/>
      </c>
      <c r="AE4050" s="52">
        <f>IF(AC4050="","",IFERROR(INDEX(ctaTipo,MATCH(AC4050,ctaNombre,0))&amp;"",""))</f>
        <v/>
      </c>
      <c r="AF4050" s="53">
        <f>IF(OR(P4050="",AB4050=""),"",IF(OR(P4050="Gasto",P4050="Transferencia",P4050="Pago tarjeta"),-1,1)*IF(IFERROR(INDEX(ctaMoneda,MATCH(AB4050,ctaNombre,0))&amp;"","DOP")="USD",T4050,S4050))</f>
        <v/>
      </c>
      <c r="AG4050" s="53">
        <f>IF(AC4050="","",IF(IFERROR(INDEX(ctaMoneda,MATCH(AC4050,ctaNombre,0))&amp;"","DOP")="USD",T4050,S4050))</f>
        <v/>
      </c>
      <c r="AH4050" s="53">
        <f>IF(P4050="","",IF(AND(AD4050&lt;&gt;"",COUNTIFS(tcTipo,AD4050,tcLiq,"Sí")&gt;0),IF(OR(P4050="Gasto",P4050="Transferencia",P4050="Pago tarjeta"),-1,1)*S4050,0)+IF(AND(AE4050&lt;&gt;"",COUNTIFS(tcTipo,AE4050,tcLiq,"Sí")&gt;0),S4050,0))</f>
        <v/>
      </c>
      <c r="AI4050" s="52">
        <f>IF(OR(L4050="",P4050=""),"",IF(COUNTIFS(L$6:L4050,L4050,P$6:P4050,"?*")=1,MAX(AI$5:AI4049)+1,""))</f>
        <v/>
      </c>
    </row>
    <row r="4051">
      <c r="B4051" s="47" t="n"/>
      <c r="C4051" s="48" t="n"/>
      <c r="D4051" s="48" t="n"/>
      <c r="E4051" s="48" t="n"/>
      <c r="F4051" s="48" t="n"/>
      <c r="G4051" s="49" t="n"/>
      <c r="H4051" s="48" t="n"/>
      <c r="I4051" s="50" t="n"/>
      <c r="J4051" s="48" t="n"/>
      <c r="K4051" s="48" t="n"/>
      <c r="L4051" s="48" t="n"/>
      <c r="M4051" s="48" t="n"/>
      <c r="N4051" s="48" t="n"/>
      <c r="O4051" s="51">
        <f>IF(AND(B4051="",G4051="",C4051="",D4051="",J4051=""),"",IF(B4051="","⚠ Falta fecha",IF(G4051="","⚠ Falta monto",IF(Q4051="","⚠ Falta cuenta",IF(ISNA(MATCH(Q4051,ctaNombre,0)),"⚠ Cuenta no registrada",IF(AND(OR(P4051="Gasto",P4051="Reembolso"),D4051=""),"⚠ Falta categoría",IF(AND(D4051&lt;&gt;"",E4051&lt;&gt;"",ISNA(MATCH(D4051&amp;"|"&amp;E4051,catClave,0))),"⚠ Subcategoría no corresponde",IF(AND(OR(P4051="Transferencia",P4051="Pago tarjeta"),K4051=""),"⚠ Falta cuenta destino",IF(AND(K4051&lt;&gt;"",P4051&lt;&gt;"Transferencia",P4051&lt;&gt;"Pago tarjeta"),"⚠ Destino solo aplica a transferencias",IF(AND(K4051&lt;&gt;"",K4051=Q4051),"⚠ Origen igual a destino",IF(AND(K4051&lt;&gt;"",ISNA(MATCH(K4051,ctaNombre,0))),"⚠ Destino no registrado",IF(AND(P4051="Pago tarjeta",AE4051&lt;&gt;"Tarjeta de crédito"),"⚠ El destino debe ser tarjeta de crédito",IF(AND(P4051="Gasto",E4051="Depósitos y retiros"),"⚠ Usa tipo Transferencia",IF(AND(P4051="Resultado trading",AD4051&lt;&gt;"Cuenta de trading"),"⚠ Usa una cuenta de trading",IF(AND(G4051&lt;=0,P4051&lt;&gt;"Ajuste",P4051&lt;&gt;"Resultado trading"),"⚠ El monto debe ser positivo","✓")))))))))))))))</f>
        <v/>
      </c>
      <c r="P4051" s="52">
        <f>IF(OR(B4051="",G4051=""),"",IF(C4051="","Gasto",C4051))</f>
        <v/>
      </c>
      <c r="Q4051" s="52">
        <f>IF(P4051="","",IF(J4051&lt;&gt;"",J4051,CuentaPred&amp;""))</f>
        <v/>
      </c>
      <c r="R4051" s="52">
        <f>IF(P4051="","",IF(ISNUMBER(I4051),I4051,TasaUSD))</f>
        <v/>
      </c>
      <c r="S4051" s="53">
        <f>IF(P4051="","",IF(H4051="USD",G4051*R4051,G4051))</f>
        <v/>
      </c>
      <c r="T4051" s="53">
        <f>IF(P4051="","",IF(H4051="USD",G4051,IF(R4051&gt;0,G4051/R4051,0)))</f>
        <v/>
      </c>
      <c r="U4051" s="53">
        <f>IF(P4051="","",IF(P4051="Gasto",S4051,IF(P4051="Reembolso",-S4051,0)))</f>
        <v/>
      </c>
      <c r="V4051" s="53">
        <f>IF(P4051="","",IF(P4051="Ingreso",S4051,0))</f>
        <v/>
      </c>
      <c r="W4051" s="53">
        <f>IF(P4051="","",IF(P4051="Resultado trading",S4051,0))</f>
        <v/>
      </c>
      <c r="X4051" s="52">
        <f>IF(OR(P4051="Gasto",P4051="Reembolso"),IF(M4051&lt;&gt;"",M4051,IFERROR(INDEX(catClasif,MATCH(D4051&amp;"|"&amp;E4051,catClave,0))&amp;"","Variable")),"")</f>
        <v/>
      </c>
      <c r="Y4051" s="52">
        <f>IF(P4051="","",IFERROR(INDEX(catGrupo,MATCH(D4051&amp;"|"&amp;E4051,catClave,0))&amp;"",""))</f>
        <v/>
      </c>
      <c r="Z4051" s="52">
        <f>IF(P4051="","",WEEKDAY(B4051,2))</f>
        <v/>
      </c>
      <c r="AA4051" s="52">
        <f>IF(P4051="","",IF(AND(P4051="Gasto",X4051="Variable",D4051&lt;&gt;catTrading,S4051&gt;0,S4051&lt;=Umbral),1,0))</f>
        <v/>
      </c>
      <c r="AB4051" s="52">
        <f>IF(OR(P4051="",Q4051=""),"",IFERROR(IF(INDEX(ctaVinc,MATCH(Q4051,ctaNombre,0))&amp;""&lt;&gt;"",INDEX(ctaVinc,MATCH(Q4051,ctaNombre,0))&amp;"",Q4051),Q4051))</f>
        <v/>
      </c>
      <c r="AC4051" s="52">
        <f>IF(OR(K4051="",AND(P4051&lt;&gt;"Transferencia",P4051&lt;&gt;"Pago tarjeta")),"",IFERROR(IF(INDEX(ctaVinc,MATCH(K4051,ctaNombre,0))&amp;""&lt;&gt;"",INDEX(ctaVinc,MATCH(K4051,ctaNombre,0))&amp;"",K4051),K4051))</f>
        <v/>
      </c>
      <c r="AD4051" s="52">
        <f>IF(AB4051="","",IFERROR(INDEX(ctaTipo,MATCH(AB4051,ctaNombre,0))&amp;"",""))</f>
        <v/>
      </c>
      <c r="AE4051" s="52">
        <f>IF(AC4051="","",IFERROR(INDEX(ctaTipo,MATCH(AC4051,ctaNombre,0))&amp;"",""))</f>
        <v/>
      </c>
      <c r="AF4051" s="53">
        <f>IF(OR(P4051="",AB4051=""),"",IF(OR(P4051="Gasto",P4051="Transferencia",P4051="Pago tarjeta"),-1,1)*IF(IFERROR(INDEX(ctaMoneda,MATCH(AB4051,ctaNombre,0))&amp;"","DOP")="USD",T4051,S4051))</f>
        <v/>
      </c>
      <c r="AG4051" s="53">
        <f>IF(AC4051="","",IF(IFERROR(INDEX(ctaMoneda,MATCH(AC4051,ctaNombre,0))&amp;"","DOP")="USD",T4051,S4051))</f>
        <v/>
      </c>
      <c r="AH4051" s="53">
        <f>IF(P4051="","",IF(AND(AD4051&lt;&gt;"",COUNTIFS(tcTipo,AD4051,tcLiq,"Sí")&gt;0),IF(OR(P4051="Gasto",P4051="Transferencia",P4051="Pago tarjeta"),-1,1)*S4051,0)+IF(AND(AE4051&lt;&gt;"",COUNTIFS(tcTipo,AE4051,tcLiq,"Sí")&gt;0),S4051,0))</f>
        <v/>
      </c>
      <c r="AI4051" s="52">
        <f>IF(OR(L4051="",P4051=""),"",IF(COUNTIFS(L$6:L4051,L4051,P$6:P4051,"?*")=1,MAX(AI$5:AI4050)+1,""))</f>
        <v/>
      </c>
    </row>
    <row r="4052">
      <c r="B4052" s="47" t="n"/>
      <c r="C4052" s="48" t="n"/>
      <c r="D4052" s="48" t="n"/>
      <c r="E4052" s="48" t="n"/>
      <c r="F4052" s="48" t="n"/>
      <c r="G4052" s="49" t="n"/>
      <c r="H4052" s="48" t="n"/>
      <c r="I4052" s="50" t="n"/>
      <c r="J4052" s="48" t="n"/>
      <c r="K4052" s="48" t="n"/>
      <c r="L4052" s="48" t="n"/>
      <c r="M4052" s="48" t="n"/>
      <c r="N4052" s="48" t="n"/>
      <c r="O4052" s="51">
        <f>IF(AND(B4052="",G4052="",C4052="",D4052="",J4052=""),"",IF(B4052="","⚠ Falta fecha",IF(G4052="","⚠ Falta monto",IF(Q4052="","⚠ Falta cuenta",IF(ISNA(MATCH(Q4052,ctaNombre,0)),"⚠ Cuenta no registrada",IF(AND(OR(P4052="Gasto",P4052="Reembolso"),D4052=""),"⚠ Falta categoría",IF(AND(D4052&lt;&gt;"",E4052&lt;&gt;"",ISNA(MATCH(D4052&amp;"|"&amp;E4052,catClave,0))),"⚠ Subcategoría no corresponde",IF(AND(OR(P4052="Transferencia",P4052="Pago tarjeta"),K4052=""),"⚠ Falta cuenta destino",IF(AND(K4052&lt;&gt;"",P4052&lt;&gt;"Transferencia",P4052&lt;&gt;"Pago tarjeta"),"⚠ Destino solo aplica a transferencias",IF(AND(K4052&lt;&gt;"",K4052=Q4052),"⚠ Origen igual a destino",IF(AND(K4052&lt;&gt;"",ISNA(MATCH(K4052,ctaNombre,0))),"⚠ Destino no registrado",IF(AND(P4052="Pago tarjeta",AE4052&lt;&gt;"Tarjeta de crédito"),"⚠ El destino debe ser tarjeta de crédito",IF(AND(P4052="Gasto",E4052="Depósitos y retiros"),"⚠ Usa tipo Transferencia",IF(AND(P4052="Resultado trading",AD4052&lt;&gt;"Cuenta de trading"),"⚠ Usa una cuenta de trading",IF(AND(G4052&lt;=0,P4052&lt;&gt;"Ajuste",P4052&lt;&gt;"Resultado trading"),"⚠ El monto debe ser positivo","✓")))))))))))))))</f>
        <v/>
      </c>
      <c r="P4052" s="52">
        <f>IF(OR(B4052="",G4052=""),"",IF(C4052="","Gasto",C4052))</f>
        <v/>
      </c>
      <c r="Q4052" s="52">
        <f>IF(P4052="","",IF(J4052&lt;&gt;"",J4052,CuentaPred&amp;""))</f>
        <v/>
      </c>
      <c r="R4052" s="52">
        <f>IF(P4052="","",IF(ISNUMBER(I4052),I4052,TasaUSD))</f>
        <v/>
      </c>
      <c r="S4052" s="53">
        <f>IF(P4052="","",IF(H4052="USD",G4052*R4052,G4052))</f>
        <v/>
      </c>
      <c r="T4052" s="53">
        <f>IF(P4052="","",IF(H4052="USD",G4052,IF(R4052&gt;0,G4052/R4052,0)))</f>
        <v/>
      </c>
      <c r="U4052" s="53">
        <f>IF(P4052="","",IF(P4052="Gasto",S4052,IF(P4052="Reembolso",-S4052,0)))</f>
        <v/>
      </c>
      <c r="V4052" s="53">
        <f>IF(P4052="","",IF(P4052="Ingreso",S4052,0))</f>
        <v/>
      </c>
      <c r="W4052" s="53">
        <f>IF(P4052="","",IF(P4052="Resultado trading",S4052,0))</f>
        <v/>
      </c>
      <c r="X4052" s="52">
        <f>IF(OR(P4052="Gasto",P4052="Reembolso"),IF(M4052&lt;&gt;"",M4052,IFERROR(INDEX(catClasif,MATCH(D4052&amp;"|"&amp;E4052,catClave,0))&amp;"","Variable")),"")</f>
        <v/>
      </c>
      <c r="Y4052" s="52">
        <f>IF(P4052="","",IFERROR(INDEX(catGrupo,MATCH(D4052&amp;"|"&amp;E4052,catClave,0))&amp;"",""))</f>
        <v/>
      </c>
      <c r="Z4052" s="52">
        <f>IF(P4052="","",WEEKDAY(B4052,2))</f>
        <v/>
      </c>
      <c r="AA4052" s="52">
        <f>IF(P4052="","",IF(AND(P4052="Gasto",X4052="Variable",D4052&lt;&gt;catTrading,S4052&gt;0,S4052&lt;=Umbral),1,0))</f>
        <v/>
      </c>
      <c r="AB4052" s="52">
        <f>IF(OR(P4052="",Q4052=""),"",IFERROR(IF(INDEX(ctaVinc,MATCH(Q4052,ctaNombre,0))&amp;""&lt;&gt;"",INDEX(ctaVinc,MATCH(Q4052,ctaNombre,0))&amp;"",Q4052),Q4052))</f>
        <v/>
      </c>
      <c r="AC4052" s="52">
        <f>IF(OR(K4052="",AND(P4052&lt;&gt;"Transferencia",P4052&lt;&gt;"Pago tarjeta")),"",IFERROR(IF(INDEX(ctaVinc,MATCH(K4052,ctaNombre,0))&amp;""&lt;&gt;"",INDEX(ctaVinc,MATCH(K4052,ctaNombre,0))&amp;"",K4052),K4052))</f>
        <v/>
      </c>
      <c r="AD4052" s="52">
        <f>IF(AB4052="","",IFERROR(INDEX(ctaTipo,MATCH(AB4052,ctaNombre,0))&amp;"",""))</f>
        <v/>
      </c>
      <c r="AE4052" s="52">
        <f>IF(AC4052="","",IFERROR(INDEX(ctaTipo,MATCH(AC4052,ctaNombre,0))&amp;"",""))</f>
        <v/>
      </c>
      <c r="AF4052" s="53">
        <f>IF(OR(P4052="",AB4052=""),"",IF(OR(P4052="Gasto",P4052="Transferencia",P4052="Pago tarjeta"),-1,1)*IF(IFERROR(INDEX(ctaMoneda,MATCH(AB4052,ctaNombre,0))&amp;"","DOP")="USD",T4052,S4052))</f>
        <v/>
      </c>
      <c r="AG4052" s="53">
        <f>IF(AC4052="","",IF(IFERROR(INDEX(ctaMoneda,MATCH(AC4052,ctaNombre,0))&amp;"","DOP")="USD",T4052,S4052))</f>
        <v/>
      </c>
      <c r="AH4052" s="53">
        <f>IF(P4052="","",IF(AND(AD4052&lt;&gt;"",COUNTIFS(tcTipo,AD4052,tcLiq,"Sí")&gt;0),IF(OR(P4052="Gasto",P4052="Transferencia",P4052="Pago tarjeta"),-1,1)*S4052,0)+IF(AND(AE4052&lt;&gt;"",COUNTIFS(tcTipo,AE4052,tcLiq,"Sí")&gt;0),S4052,0))</f>
        <v/>
      </c>
      <c r="AI4052" s="52">
        <f>IF(OR(L4052="",P4052=""),"",IF(COUNTIFS(L$6:L4052,L4052,P$6:P4052,"?*")=1,MAX(AI$5:AI4051)+1,""))</f>
        <v/>
      </c>
    </row>
    <row r="4053">
      <c r="B4053" s="47" t="n"/>
      <c r="C4053" s="48" t="n"/>
      <c r="D4053" s="48" t="n"/>
      <c r="E4053" s="48" t="n"/>
      <c r="F4053" s="48" t="n"/>
      <c r="G4053" s="49" t="n"/>
      <c r="H4053" s="48" t="n"/>
      <c r="I4053" s="50" t="n"/>
      <c r="J4053" s="48" t="n"/>
      <c r="K4053" s="48" t="n"/>
      <c r="L4053" s="48" t="n"/>
      <c r="M4053" s="48" t="n"/>
      <c r="N4053" s="48" t="n"/>
      <c r="O4053" s="51">
        <f>IF(AND(B4053="",G4053="",C4053="",D4053="",J4053=""),"",IF(B4053="","⚠ Falta fecha",IF(G4053="","⚠ Falta monto",IF(Q4053="","⚠ Falta cuenta",IF(ISNA(MATCH(Q4053,ctaNombre,0)),"⚠ Cuenta no registrada",IF(AND(OR(P4053="Gasto",P4053="Reembolso"),D4053=""),"⚠ Falta categoría",IF(AND(D4053&lt;&gt;"",E4053&lt;&gt;"",ISNA(MATCH(D4053&amp;"|"&amp;E4053,catClave,0))),"⚠ Subcategoría no corresponde",IF(AND(OR(P4053="Transferencia",P4053="Pago tarjeta"),K4053=""),"⚠ Falta cuenta destino",IF(AND(K4053&lt;&gt;"",P4053&lt;&gt;"Transferencia",P4053&lt;&gt;"Pago tarjeta"),"⚠ Destino solo aplica a transferencias",IF(AND(K4053&lt;&gt;"",K4053=Q4053),"⚠ Origen igual a destino",IF(AND(K4053&lt;&gt;"",ISNA(MATCH(K4053,ctaNombre,0))),"⚠ Destino no registrado",IF(AND(P4053="Pago tarjeta",AE4053&lt;&gt;"Tarjeta de crédito"),"⚠ El destino debe ser tarjeta de crédito",IF(AND(P4053="Gasto",E4053="Depósitos y retiros"),"⚠ Usa tipo Transferencia",IF(AND(P4053="Resultado trading",AD4053&lt;&gt;"Cuenta de trading"),"⚠ Usa una cuenta de trading",IF(AND(G4053&lt;=0,P4053&lt;&gt;"Ajuste",P4053&lt;&gt;"Resultado trading"),"⚠ El monto debe ser positivo","✓")))))))))))))))</f>
        <v/>
      </c>
      <c r="P4053" s="52">
        <f>IF(OR(B4053="",G4053=""),"",IF(C4053="","Gasto",C4053))</f>
        <v/>
      </c>
      <c r="Q4053" s="52">
        <f>IF(P4053="","",IF(J4053&lt;&gt;"",J4053,CuentaPred&amp;""))</f>
        <v/>
      </c>
      <c r="R4053" s="52">
        <f>IF(P4053="","",IF(ISNUMBER(I4053),I4053,TasaUSD))</f>
        <v/>
      </c>
      <c r="S4053" s="53">
        <f>IF(P4053="","",IF(H4053="USD",G4053*R4053,G4053))</f>
        <v/>
      </c>
      <c r="T4053" s="53">
        <f>IF(P4053="","",IF(H4053="USD",G4053,IF(R4053&gt;0,G4053/R4053,0)))</f>
        <v/>
      </c>
      <c r="U4053" s="53">
        <f>IF(P4053="","",IF(P4053="Gasto",S4053,IF(P4053="Reembolso",-S4053,0)))</f>
        <v/>
      </c>
      <c r="V4053" s="53">
        <f>IF(P4053="","",IF(P4053="Ingreso",S4053,0))</f>
        <v/>
      </c>
      <c r="W4053" s="53">
        <f>IF(P4053="","",IF(P4053="Resultado trading",S4053,0))</f>
        <v/>
      </c>
      <c r="X4053" s="52">
        <f>IF(OR(P4053="Gasto",P4053="Reembolso"),IF(M4053&lt;&gt;"",M4053,IFERROR(INDEX(catClasif,MATCH(D4053&amp;"|"&amp;E4053,catClave,0))&amp;"","Variable")),"")</f>
        <v/>
      </c>
      <c r="Y4053" s="52">
        <f>IF(P4053="","",IFERROR(INDEX(catGrupo,MATCH(D4053&amp;"|"&amp;E4053,catClave,0))&amp;"",""))</f>
        <v/>
      </c>
      <c r="Z4053" s="52">
        <f>IF(P4053="","",WEEKDAY(B4053,2))</f>
        <v/>
      </c>
      <c r="AA4053" s="52">
        <f>IF(P4053="","",IF(AND(P4053="Gasto",X4053="Variable",D4053&lt;&gt;catTrading,S4053&gt;0,S4053&lt;=Umbral),1,0))</f>
        <v/>
      </c>
      <c r="AB4053" s="52">
        <f>IF(OR(P4053="",Q4053=""),"",IFERROR(IF(INDEX(ctaVinc,MATCH(Q4053,ctaNombre,0))&amp;""&lt;&gt;"",INDEX(ctaVinc,MATCH(Q4053,ctaNombre,0))&amp;"",Q4053),Q4053))</f>
        <v/>
      </c>
      <c r="AC4053" s="52">
        <f>IF(OR(K4053="",AND(P4053&lt;&gt;"Transferencia",P4053&lt;&gt;"Pago tarjeta")),"",IFERROR(IF(INDEX(ctaVinc,MATCH(K4053,ctaNombre,0))&amp;""&lt;&gt;"",INDEX(ctaVinc,MATCH(K4053,ctaNombre,0))&amp;"",K4053),K4053))</f>
        <v/>
      </c>
      <c r="AD4053" s="52">
        <f>IF(AB4053="","",IFERROR(INDEX(ctaTipo,MATCH(AB4053,ctaNombre,0))&amp;"",""))</f>
        <v/>
      </c>
      <c r="AE4053" s="52">
        <f>IF(AC4053="","",IFERROR(INDEX(ctaTipo,MATCH(AC4053,ctaNombre,0))&amp;"",""))</f>
        <v/>
      </c>
      <c r="AF4053" s="53">
        <f>IF(OR(P4053="",AB4053=""),"",IF(OR(P4053="Gasto",P4053="Transferencia",P4053="Pago tarjeta"),-1,1)*IF(IFERROR(INDEX(ctaMoneda,MATCH(AB4053,ctaNombre,0))&amp;"","DOP")="USD",T4053,S4053))</f>
        <v/>
      </c>
      <c r="AG4053" s="53">
        <f>IF(AC4053="","",IF(IFERROR(INDEX(ctaMoneda,MATCH(AC4053,ctaNombre,0))&amp;"","DOP")="USD",T4053,S4053))</f>
        <v/>
      </c>
      <c r="AH4053" s="53">
        <f>IF(P4053="","",IF(AND(AD4053&lt;&gt;"",COUNTIFS(tcTipo,AD4053,tcLiq,"Sí")&gt;0),IF(OR(P4053="Gasto",P4053="Transferencia",P4053="Pago tarjeta"),-1,1)*S4053,0)+IF(AND(AE4053&lt;&gt;"",COUNTIFS(tcTipo,AE4053,tcLiq,"Sí")&gt;0),S4053,0))</f>
        <v/>
      </c>
      <c r="AI4053" s="52">
        <f>IF(OR(L4053="",P4053=""),"",IF(COUNTIFS(L$6:L4053,L4053,P$6:P4053,"?*")=1,MAX(AI$5:AI4052)+1,""))</f>
        <v/>
      </c>
    </row>
    <row r="4054">
      <c r="B4054" s="47" t="n"/>
      <c r="C4054" s="48" t="n"/>
      <c r="D4054" s="48" t="n"/>
      <c r="E4054" s="48" t="n"/>
      <c r="F4054" s="48" t="n"/>
      <c r="G4054" s="49" t="n"/>
      <c r="H4054" s="48" t="n"/>
      <c r="I4054" s="50" t="n"/>
      <c r="J4054" s="48" t="n"/>
      <c r="K4054" s="48" t="n"/>
      <c r="L4054" s="48" t="n"/>
      <c r="M4054" s="48" t="n"/>
      <c r="N4054" s="48" t="n"/>
      <c r="O4054" s="51">
        <f>IF(AND(B4054="",G4054="",C4054="",D4054="",J4054=""),"",IF(B4054="","⚠ Falta fecha",IF(G4054="","⚠ Falta monto",IF(Q4054="","⚠ Falta cuenta",IF(ISNA(MATCH(Q4054,ctaNombre,0)),"⚠ Cuenta no registrada",IF(AND(OR(P4054="Gasto",P4054="Reembolso"),D4054=""),"⚠ Falta categoría",IF(AND(D4054&lt;&gt;"",E4054&lt;&gt;"",ISNA(MATCH(D4054&amp;"|"&amp;E4054,catClave,0))),"⚠ Subcategoría no corresponde",IF(AND(OR(P4054="Transferencia",P4054="Pago tarjeta"),K4054=""),"⚠ Falta cuenta destino",IF(AND(K4054&lt;&gt;"",P4054&lt;&gt;"Transferencia",P4054&lt;&gt;"Pago tarjeta"),"⚠ Destino solo aplica a transferencias",IF(AND(K4054&lt;&gt;"",K4054=Q4054),"⚠ Origen igual a destino",IF(AND(K4054&lt;&gt;"",ISNA(MATCH(K4054,ctaNombre,0))),"⚠ Destino no registrado",IF(AND(P4054="Pago tarjeta",AE4054&lt;&gt;"Tarjeta de crédito"),"⚠ El destino debe ser tarjeta de crédito",IF(AND(P4054="Gasto",E4054="Depósitos y retiros"),"⚠ Usa tipo Transferencia",IF(AND(P4054="Resultado trading",AD4054&lt;&gt;"Cuenta de trading"),"⚠ Usa una cuenta de trading",IF(AND(G4054&lt;=0,P4054&lt;&gt;"Ajuste",P4054&lt;&gt;"Resultado trading"),"⚠ El monto debe ser positivo","✓")))))))))))))))</f>
        <v/>
      </c>
      <c r="P4054" s="52">
        <f>IF(OR(B4054="",G4054=""),"",IF(C4054="","Gasto",C4054))</f>
        <v/>
      </c>
      <c r="Q4054" s="52">
        <f>IF(P4054="","",IF(J4054&lt;&gt;"",J4054,CuentaPred&amp;""))</f>
        <v/>
      </c>
      <c r="R4054" s="52">
        <f>IF(P4054="","",IF(ISNUMBER(I4054),I4054,TasaUSD))</f>
        <v/>
      </c>
      <c r="S4054" s="53">
        <f>IF(P4054="","",IF(H4054="USD",G4054*R4054,G4054))</f>
        <v/>
      </c>
      <c r="T4054" s="53">
        <f>IF(P4054="","",IF(H4054="USD",G4054,IF(R4054&gt;0,G4054/R4054,0)))</f>
        <v/>
      </c>
      <c r="U4054" s="53">
        <f>IF(P4054="","",IF(P4054="Gasto",S4054,IF(P4054="Reembolso",-S4054,0)))</f>
        <v/>
      </c>
      <c r="V4054" s="53">
        <f>IF(P4054="","",IF(P4054="Ingreso",S4054,0))</f>
        <v/>
      </c>
      <c r="W4054" s="53">
        <f>IF(P4054="","",IF(P4054="Resultado trading",S4054,0))</f>
        <v/>
      </c>
      <c r="X4054" s="52">
        <f>IF(OR(P4054="Gasto",P4054="Reembolso"),IF(M4054&lt;&gt;"",M4054,IFERROR(INDEX(catClasif,MATCH(D4054&amp;"|"&amp;E4054,catClave,0))&amp;"","Variable")),"")</f>
        <v/>
      </c>
      <c r="Y4054" s="52">
        <f>IF(P4054="","",IFERROR(INDEX(catGrupo,MATCH(D4054&amp;"|"&amp;E4054,catClave,0))&amp;"",""))</f>
        <v/>
      </c>
      <c r="Z4054" s="52">
        <f>IF(P4054="","",WEEKDAY(B4054,2))</f>
        <v/>
      </c>
      <c r="AA4054" s="52">
        <f>IF(P4054="","",IF(AND(P4054="Gasto",X4054="Variable",D4054&lt;&gt;catTrading,S4054&gt;0,S4054&lt;=Umbral),1,0))</f>
        <v/>
      </c>
      <c r="AB4054" s="52">
        <f>IF(OR(P4054="",Q4054=""),"",IFERROR(IF(INDEX(ctaVinc,MATCH(Q4054,ctaNombre,0))&amp;""&lt;&gt;"",INDEX(ctaVinc,MATCH(Q4054,ctaNombre,0))&amp;"",Q4054),Q4054))</f>
        <v/>
      </c>
      <c r="AC4054" s="52">
        <f>IF(OR(K4054="",AND(P4054&lt;&gt;"Transferencia",P4054&lt;&gt;"Pago tarjeta")),"",IFERROR(IF(INDEX(ctaVinc,MATCH(K4054,ctaNombre,0))&amp;""&lt;&gt;"",INDEX(ctaVinc,MATCH(K4054,ctaNombre,0))&amp;"",K4054),K4054))</f>
        <v/>
      </c>
      <c r="AD4054" s="52">
        <f>IF(AB4054="","",IFERROR(INDEX(ctaTipo,MATCH(AB4054,ctaNombre,0))&amp;"",""))</f>
        <v/>
      </c>
      <c r="AE4054" s="52">
        <f>IF(AC4054="","",IFERROR(INDEX(ctaTipo,MATCH(AC4054,ctaNombre,0))&amp;"",""))</f>
        <v/>
      </c>
      <c r="AF4054" s="53">
        <f>IF(OR(P4054="",AB4054=""),"",IF(OR(P4054="Gasto",P4054="Transferencia",P4054="Pago tarjeta"),-1,1)*IF(IFERROR(INDEX(ctaMoneda,MATCH(AB4054,ctaNombre,0))&amp;"","DOP")="USD",T4054,S4054))</f>
        <v/>
      </c>
      <c r="AG4054" s="53">
        <f>IF(AC4054="","",IF(IFERROR(INDEX(ctaMoneda,MATCH(AC4054,ctaNombre,0))&amp;"","DOP")="USD",T4054,S4054))</f>
        <v/>
      </c>
      <c r="AH4054" s="53">
        <f>IF(P4054="","",IF(AND(AD4054&lt;&gt;"",COUNTIFS(tcTipo,AD4054,tcLiq,"Sí")&gt;0),IF(OR(P4054="Gasto",P4054="Transferencia",P4054="Pago tarjeta"),-1,1)*S4054,0)+IF(AND(AE4054&lt;&gt;"",COUNTIFS(tcTipo,AE4054,tcLiq,"Sí")&gt;0),S4054,0))</f>
        <v/>
      </c>
      <c r="AI4054" s="52">
        <f>IF(OR(L4054="",P4054=""),"",IF(COUNTIFS(L$6:L4054,L4054,P$6:P4054,"?*")=1,MAX(AI$5:AI4053)+1,""))</f>
        <v/>
      </c>
    </row>
    <row r="4055">
      <c r="B4055" s="47" t="n"/>
      <c r="C4055" s="48" t="n"/>
      <c r="D4055" s="48" t="n"/>
      <c r="E4055" s="48" t="n"/>
      <c r="F4055" s="48" t="n"/>
      <c r="G4055" s="49" t="n"/>
      <c r="H4055" s="48" t="n"/>
      <c r="I4055" s="50" t="n"/>
      <c r="J4055" s="48" t="n"/>
      <c r="K4055" s="48" t="n"/>
      <c r="L4055" s="48" t="n"/>
      <c r="M4055" s="48" t="n"/>
      <c r="N4055" s="48" t="n"/>
      <c r="O4055" s="51">
        <f>IF(AND(B4055="",G4055="",C4055="",D4055="",J4055=""),"",IF(B4055="","⚠ Falta fecha",IF(G4055="","⚠ Falta monto",IF(Q4055="","⚠ Falta cuenta",IF(ISNA(MATCH(Q4055,ctaNombre,0)),"⚠ Cuenta no registrada",IF(AND(OR(P4055="Gasto",P4055="Reembolso"),D4055=""),"⚠ Falta categoría",IF(AND(D4055&lt;&gt;"",E4055&lt;&gt;"",ISNA(MATCH(D4055&amp;"|"&amp;E4055,catClave,0))),"⚠ Subcategoría no corresponde",IF(AND(OR(P4055="Transferencia",P4055="Pago tarjeta"),K4055=""),"⚠ Falta cuenta destino",IF(AND(K4055&lt;&gt;"",P4055&lt;&gt;"Transferencia",P4055&lt;&gt;"Pago tarjeta"),"⚠ Destino solo aplica a transferencias",IF(AND(K4055&lt;&gt;"",K4055=Q4055),"⚠ Origen igual a destino",IF(AND(K4055&lt;&gt;"",ISNA(MATCH(K4055,ctaNombre,0))),"⚠ Destino no registrado",IF(AND(P4055="Pago tarjeta",AE4055&lt;&gt;"Tarjeta de crédito"),"⚠ El destino debe ser tarjeta de crédito",IF(AND(P4055="Gasto",E4055="Depósitos y retiros"),"⚠ Usa tipo Transferencia",IF(AND(P4055="Resultado trading",AD4055&lt;&gt;"Cuenta de trading"),"⚠ Usa una cuenta de trading",IF(AND(G4055&lt;=0,P4055&lt;&gt;"Ajuste",P4055&lt;&gt;"Resultado trading"),"⚠ El monto debe ser positivo","✓")))))))))))))))</f>
        <v/>
      </c>
      <c r="P4055" s="52">
        <f>IF(OR(B4055="",G4055=""),"",IF(C4055="","Gasto",C4055))</f>
        <v/>
      </c>
      <c r="Q4055" s="52">
        <f>IF(P4055="","",IF(J4055&lt;&gt;"",J4055,CuentaPred&amp;""))</f>
        <v/>
      </c>
      <c r="R4055" s="52">
        <f>IF(P4055="","",IF(ISNUMBER(I4055),I4055,TasaUSD))</f>
        <v/>
      </c>
      <c r="S4055" s="53">
        <f>IF(P4055="","",IF(H4055="USD",G4055*R4055,G4055))</f>
        <v/>
      </c>
      <c r="T4055" s="53">
        <f>IF(P4055="","",IF(H4055="USD",G4055,IF(R4055&gt;0,G4055/R4055,0)))</f>
        <v/>
      </c>
      <c r="U4055" s="53">
        <f>IF(P4055="","",IF(P4055="Gasto",S4055,IF(P4055="Reembolso",-S4055,0)))</f>
        <v/>
      </c>
      <c r="V4055" s="53">
        <f>IF(P4055="","",IF(P4055="Ingreso",S4055,0))</f>
        <v/>
      </c>
      <c r="W4055" s="53">
        <f>IF(P4055="","",IF(P4055="Resultado trading",S4055,0))</f>
        <v/>
      </c>
      <c r="X4055" s="52">
        <f>IF(OR(P4055="Gasto",P4055="Reembolso"),IF(M4055&lt;&gt;"",M4055,IFERROR(INDEX(catClasif,MATCH(D4055&amp;"|"&amp;E4055,catClave,0))&amp;"","Variable")),"")</f>
        <v/>
      </c>
      <c r="Y4055" s="52">
        <f>IF(P4055="","",IFERROR(INDEX(catGrupo,MATCH(D4055&amp;"|"&amp;E4055,catClave,0))&amp;"",""))</f>
        <v/>
      </c>
      <c r="Z4055" s="52">
        <f>IF(P4055="","",WEEKDAY(B4055,2))</f>
        <v/>
      </c>
      <c r="AA4055" s="52">
        <f>IF(P4055="","",IF(AND(P4055="Gasto",X4055="Variable",D4055&lt;&gt;catTrading,S4055&gt;0,S4055&lt;=Umbral),1,0))</f>
        <v/>
      </c>
      <c r="AB4055" s="52">
        <f>IF(OR(P4055="",Q4055=""),"",IFERROR(IF(INDEX(ctaVinc,MATCH(Q4055,ctaNombre,0))&amp;""&lt;&gt;"",INDEX(ctaVinc,MATCH(Q4055,ctaNombre,0))&amp;"",Q4055),Q4055))</f>
        <v/>
      </c>
      <c r="AC4055" s="52">
        <f>IF(OR(K4055="",AND(P4055&lt;&gt;"Transferencia",P4055&lt;&gt;"Pago tarjeta")),"",IFERROR(IF(INDEX(ctaVinc,MATCH(K4055,ctaNombre,0))&amp;""&lt;&gt;"",INDEX(ctaVinc,MATCH(K4055,ctaNombre,0))&amp;"",K4055),K4055))</f>
        <v/>
      </c>
      <c r="AD4055" s="52">
        <f>IF(AB4055="","",IFERROR(INDEX(ctaTipo,MATCH(AB4055,ctaNombre,0))&amp;"",""))</f>
        <v/>
      </c>
      <c r="AE4055" s="52">
        <f>IF(AC4055="","",IFERROR(INDEX(ctaTipo,MATCH(AC4055,ctaNombre,0))&amp;"",""))</f>
        <v/>
      </c>
      <c r="AF4055" s="53">
        <f>IF(OR(P4055="",AB4055=""),"",IF(OR(P4055="Gasto",P4055="Transferencia",P4055="Pago tarjeta"),-1,1)*IF(IFERROR(INDEX(ctaMoneda,MATCH(AB4055,ctaNombre,0))&amp;"","DOP")="USD",T4055,S4055))</f>
        <v/>
      </c>
      <c r="AG4055" s="53">
        <f>IF(AC4055="","",IF(IFERROR(INDEX(ctaMoneda,MATCH(AC4055,ctaNombre,0))&amp;"","DOP")="USD",T4055,S4055))</f>
        <v/>
      </c>
      <c r="AH4055" s="53">
        <f>IF(P4055="","",IF(AND(AD4055&lt;&gt;"",COUNTIFS(tcTipo,AD4055,tcLiq,"Sí")&gt;0),IF(OR(P4055="Gasto",P4055="Transferencia",P4055="Pago tarjeta"),-1,1)*S4055,0)+IF(AND(AE4055&lt;&gt;"",COUNTIFS(tcTipo,AE4055,tcLiq,"Sí")&gt;0),S4055,0))</f>
        <v/>
      </c>
      <c r="AI4055" s="52">
        <f>IF(OR(L4055="",P4055=""),"",IF(COUNTIFS(L$6:L4055,L4055,P$6:P4055,"?*")=1,MAX(AI$5:AI4054)+1,""))</f>
        <v/>
      </c>
    </row>
    <row r="4056">
      <c r="B4056" s="47" t="n"/>
      <c r="C4056" s="48" t="n"/>
      <c r="D4056" s="48" t="n"/>
      <c r="E4056" s="48" t="n"/>
      <c r="F4056" s="48" t="n"/>
      <c r="G4056" s="49" t="n"/>
      <c r="H4056" s="48" t="n"/>
      <c r="I4056" s="50" t="n"/>
      <c r="J4056" s="48" t="n"/>
      <c r="K4056" s="48" t="n"/>
      <c r="L4056" s="48" t="n"/>
      <c r="M4056" s="48" t="n"/>
      <c r="N4056" s="48" t="n"/>
      <c r="O4056" s="51">
        <f>IF(AND(B4056="",G4056="",C4056="",D4056="",J4056=""),"",IF(B4056="","⚠ Falta fecha",IF(G4056="","⚠ Falta monto",IF(Q4056="","⚠ Falta cuenta",IF(ISNA(MATCH(Q4056,ctaNombre,0)),"⚠ Cuenta no registrada",IF(AND(OR(P4056="Gasto",P4056="Reembolso"),D4056=""),"⚠ Falta categoría",IF(AND(D4056&lt;&gt;"",E4056&lt;&gt;"",ISNA(MATCH(D4056&amp;"|"&amp;E4056,catClave,0))),"⚠ Subcategoría no corresponde",IF(AND(OR(P4056="Transferencia",P4056="Pago tarjeta"),K4056=""),"⚠ Falta cuenta destino",IF(AND(K4056&lt;&gt;"",P4056&lt;&gt;"Transferencia",P4056&lt;&gt;"Pago tarjeta"),"⚠ Destino solo aplica a transferencias",IF(AND(K4056&lt;&gt;"",K4056=Q4056),"⚠ Origen igual a destino",IF(AND(K4056&lt;&gt;"",ISNA(MATCH(K4056,ctaNombre,0))),"⚠ Destino no registrado",IF(AND(P4056="Pago tarjeta",AE4056&lt;&gt;"Tarjeta de crédito"),"⚠ El destino debe ser tarjeta de crédito",IF(AND(P4056="Gasto",E4056="Depósitos y retiros"),"⚠ Usa tipo Transferencia",IF(AND(P4056="Resultado trading",AD4056&lt;&gt;"Cuenta de trading"),"⚠ Usa una cuenta de trading",IF(AND(G4056&lt;=0,P4056&lt;&gt;"Ajuste",P4056&lt;&gt;"Resultado trading"),"⚠ El monto debe ser positivo","✓")))))))))))))))</f>
        <v/>
      </c>
      <c r="P4056" s="52">
        <f>IF(OR(B4056="",G4056=""),"",IF(C4056="","Gasto",C4056))</f>
        <v/>
      </c>
      <c r="Q4056" s="52">
        <f>IF(P4056="","",IF(J4056&lt;&gt;"",J4056,CuentaPred&amp;""))</f>
        <v/>
      </c>
      <c r="R4056" s="52">
        <f>IF(P4056="","",IF(ISNUMBER(I4056),I4056,TasaUSD))</f>
        <v/>
      </c>
      <c r="S4056" s="53">
        <f>IF(P4056="","",IF(H4056="USD",G4056*R4056,G4056))</f>
        <v/>
      </c>
      <c r="T4056" s="53">
        <f>IF(P4056="","",IF(H4056="USD",G4056,IF(R4056&gt;0,G4056/R4056,0)))</f>
        <v/>
      </c>
      <c r="U4056" s="53">
        <f>IF(P4056="","",IF(P4056="Gasto",S4056,IF(P4056="Reembolso",-S4056,0)))</f>
        <v/>
      </c>
      <c r="V4056" s="53">
        <f>IF(P4056="","",IF(P4056="Ingreso",S4056,0))</f>
        <v/>
      </c>
      <c r="W4056" s="53">
        <f>IF(P4056="","",IF(P4056="Resultado trading",S4056,0))</f>
        <v/>
      </c>
      <c r="X4056" s="52">
        <f>IF(OR(P4056="Gasto",P4056="Reembolso"),IF(M4056&lt;&gt;"",M4056,IFERROR(INDEX(catClasif,MATCH(D4056&amp;"|"&amp;E4056,catClave,0))&amp;"","Variable")),"")</f>
        <v/>
      </c>
      <c r="Y4056" s="52">
        <f>IF(P4056="","",IFERROR(INDEX(catGrupo,MATCH(D4056&amp;"|"&amp;E4056,catClave,0))&amp;"",""))</f>
        <v/>
      </c>
      <c r="Z4056" s="52">
        <f>IF(P4056="","",WEEKDAY(B4056,2))</f>
        <v/>
      </c>
      <c r="AA4056" s="52">
        <f>IF(P4056="","",IF(AND(P4056="Gasto",X4056="Variable",D4056&lt;&gt;catTrading,S4056&gt;0,S4056&lt;=Umbral),1,0))</f>
        <v/>
      </c>
      <c r="AB4056" s="52">
        <f>IF(OR(P4056="",Q4056=""),"",IFERROR(IF(INDEX(ctaVinc,MATCH(Q4056,ctaNombre,0))&amp;""&lt;&gt;"",INDEX(ctaVinc,MATCH(Q4056,ctaNombre,0))&amp;"",Q4056),Q4056))</f>
        <v/>
      </c>
      <c r="AC4056" s="52">
        <f>IF(OR(K4056="",AND(P4056&lt;&gt;"Transferencia",P4056&lt;&gt;"Pago tarjeta")),"",IFERROR(IF(INDEX(ctaVinc,MATCH(K4056,ctaNombre,0))&amp;""&lt;&gt;"",INDEX(ctaVinc,MATCH(K4056,ctaNombre,0))&amp;"",K4056),K4056))</f>
        <v/>
      </c>
      <c r="AD4056" s="52">
        <f>IF(AB4056="","",IFERROR(INDEX(ctaTipo,MATCH(AB4056,ctaNombre,0))&amp;"",""))</f>
        <v/>
      </c>
      <c r="AE4056" s="52">
        <f>IF(AC4056="","",IFERROR(INDEX(ctaTipo,MATCH(AC4056,ctaNombre,0))&amp;"",""))</f>
        <v/>
      </c>
      <c r="AF4056" s="53">
        <f>IF(OR(P4056="",AB4056=""),"",IF(OR(P4056="Gasto",P4056="Transferencia",P4056="Pago tarjeta"),-1,1)*IF(IFERROR(INDEX(ctaMoneda,MATCH(AB4056,ctaNombre,0))&amp;"","DOP")="USD",T4056,S4056))</f>
        <v/>
      </c>
      <c r="AG4056" s="53">
        <f>IF(AC4056="","",IF(IFERROR(INDEX(ctaMoneda,MATCH(AC4056,ctaNombre,0))&amp;"","DOP")="USD",T4056,S4056))</f>
        <v/>
      </c>
      <c r="AH4056" s="53">
        <f>IF(P4056="","",IF(AND(AD4056&lt;&gt;"",COUNTIFS(tcTipo,AD4056,tcLiq,"Sí")&gt;0),IF(OR(P4056="Gasto",P4056="Transferencia",P4056="Pago tarjeta"),-1,1)*S4056,0)+IF(AND(AE4056&lt;&gt;"",COUNTIFS(tcTipo,AE4056,tcLiq,"Sí")&gt;0),S4056,0))</f>
        <v/>
      </c>
      <c r="AI4056" s="52">
        <f>IF(OR(L4056="",P4056=""),"",IF(COUNTIFS(L$6:L4056,L4056,P$6:P4056,"?*")=1,MAX(AI$5:AI4055)+1,""))</f>
        <v/>
      </c>
    </row>
    <row r="4057">
      <c r="B4057" s="47" t="n"/>
      <c r="C4057" s="48" t="n"/>
      <c r="D4057" s="48" t="n"/>
      <c r="E4057" s="48" t="n"/>
      <c r="F4057" s="48" t="n"/>
      <c r="G4057" s="49" t="n"/>
      <c r="H4057" s="48" t="n"/>
      <c r="I4057" s="50" t="n"/>
      <c r="J4057" s="48" t="n"/>
      <c r="K4057" s="48" t="n"/>
      <c r="L4057" s="48" t="n"/>
      <c r="M4057" s="48" t="n"/>
      <c r="N4057" s="48" t="n"/>
      <c r="O4057" s="51">
        <f>IF(AND(B4057="",G4057="",C4057="",D4057="",J4057=""),"",IF(B4057="","⚠ Falta fecha",IF(G4057="","⚠ Falta monto",IF(Q4057="","⚠ Falta cuenta",IF(ISNA(MATCH(Q4057,ctaNombre,0)),"⚠ Cuenta no registrada",IF(AND(OR(P4057="Gasto",P4057="Reembolso"),D4057=""),"⚠ Falta categoría",IF(AND(D4057&lt;&gt;"",E4057&lt;&gt;"",ISNA(MATCH(D4057&amp;"|"&amp;E4057,catClave,0))),"⚠ Subcategoría no corresponde",IF(AND(OR(P4057="Transferencia",P4057="Pago tarjeta"),K4057=""),"⚠ Falta cuenta destino",IF(AND(K4057&lt;&gt;"",P4057&lt;&gt;"Transferencia",P4057&lt;&gt;"Pago tarjeta"),"⚠ Destino solo aplica a transferencias",IF(AND(K4057&lt;&gt;"",K4057=Q4057),"⚠ Origen igual a destino",IF(AND(K4057&lt;&gt;"",ISNA(MATCH(K4057,ctaNombre,0))),"⚠ Destino no registrado",IF(AND(P4057="Pago tarjeta",AE4057&lt;&gt;"Tarjeta de crédito"),"⚠ El destino debe ser tarjeta de crédito",IF(AND(P4057="Gasto",E4057="Depósitos y retiros"),"⚠ Usa tipo Transferencia",IF(AND(P4057="Resultado trading",AD4057&lt;&gt;"Cuenta de trading"),"⚠ Usa una cuenta de trading",IF(AND(G4057&lt;=0,P4057&lt;&gt;"Ajuste",P4057&lt;&gt;"Resultado trading"),"⚠ El monto debe ser positivo","✓")))))))))))))))</f>
        <v/>
      </c>
      <c r="P4057" s="52">
        <f>IF(OR(B4057="",G4057=""),"",IF(C4057="","Gasto",C4057))</f>
        <v/>
      </c>
      <c r="Q4057" s="52">
        <f>IF(P4057="","",IF(J4057&lt;&gt;"",J4057,CuentaPred&amp;""))</f>
        <v/>
      </c>
      <c r="R4057" s="52">
        <f>IF(P4057="","",IF(ISNUMBER(I4057),I4057,TasaUSD))</f>
        <v/>
      </c>
      <c r="S4057" s="53">
        <f>IF(P4057="","",IF(H4057="USD",G4057*R4057,G4057))</f>
        <v/>
      </c>
      <c r="T4057" s="53">
        <f>IF(P4057="","",IF(H4057="USD",G4057,IF(R4057&gt;0,G4057/R4057,0)))</f>
        <v/>
      </c>
      <c r="U4057" s="53">
        <f>IF(P4057="","",IF(P4057="Gasto",S4057,IF(P4057="Reembolso",-S4057,0)))</f>
        <v/>
      </c>
      <c r="V4057" s="53">
        <f>IF(P4057="","",IF(P4057="Ingreso",S4057,0))</f>
        <v/>
      </c>
      <c r="W4057" s="53">
        <f>IF(P4057="","",IF(P4057="Resultado trading",S4057,0))</f>
        <v/>
      </c>
      <c r="X4057" s="52">
        <f>IF(OR(P4057="Gasto",P4057="Reembolso"),IF(M4057&lt;&gt;"",M4057,IFERROR(INDEX(catClasif,MATCH(D4057&amp;"|"&amp;E4057,catClave,0))&amp;"","Variable")),"")</f>
        <v/>
      </c>
      <c r="Y4057" s="52">
        <f>IF(P4057="","",IFERROR(INDEX(catGrupo,MATCH(D4057&amp;"|"&amp;E4057,catClave,0))&amp;"",""))</f>
        <v/>
      </c>
      <c r="Z4057" s="52">
        <f>IF(P4057="","",WEEKDAY(B4057,2))</f>
        <v/>
      </c>
      <c r="AA4057" s="52">
        <f>IF(P4057="","",IF(AND(P4057="Gasto",X4057="Variable",D4057&lt;&gt;catTrading,S4057&gt;0,S4057&lt;=Umbral),1,0))</f>
        <v/>
      </c>
      <c r="AB4057" s="52">
        <f>IF(OR(P4057="",Q4057=""),"",IFERROR(IF(INDEX(ctaVinc,MATCH(Q4057,ctaNombre,0))&amp;""&lt;&gt;"",INDEX(ctaVinc,MATCH(Q4057,ctaNombre,0))&amp;"",Q4057),Q4057))</f>
        <v/>
      </c>
      <c r="AC4057" s="52">
        <f>IF(OR(K4057="",AND(P4057&lt;&gt;"Transferencia",P4057&lt;&gt;"Pago tarjeta")),"",IFERROR(IF(INDEX(ctaVinc,MATCH(K4057,ctaNombre,0))&amp;""&lt;&gt;"",INDEX(ctaVinc,MATCH(K4057,ctaNombre,0))&amp;"",K4057),K4057))</f>
        <v/>
      </c>
      <c r="AD4057" s="52">
        <f>IF(AB4057="","",IFERROR(INDEX(ctaTipo,MATCH(AB4057,ctaNombre,0))&amp;"",""))</f>
        <v/>
      </c>
      <c r="AE4057" s="52">
        <f>IF(AC4057="","",IFERROR(INDEX(ctaTipo,MATCH(AC4057,ctaNombre,0))&amp;"",""))</f>
        <v/>
      </c>
      <c r="AF4057" s="53">
        <f>IF(OR(P4057="",AB4057=""),"",IF(OR(P4057="Gasto",P4057="Transferencia",P4057="Pago tarjeta"),-1,1)*IF(IFERROR(INDEX(ctaMoneda,MATCH(AB4057,ctaNombre,0))&amp;"","DOP")="USD",T4057,S4057))</f>
        <v/>
      </c>
      <c r="AG4057" s="53">
        <f>IF(AC4057="","",IF(IFERROR(INDEX(ctaMoneda,MATCH(AC4057,ctaNombre,0))&amp;"","DOP")="USD",T4057,S4057))</f>
        <v/>
      </c>
      <c r="AH4057" s="53">
        <f>IF(P4057="","",IF(AND(AD4057&lt;&gt;"",COUNTIFS(tcTipo,AD4057,tcLiq,"Sí")&gt;0),IF(OR(P4057="Gasto",P4057="Transferencia",P4057="Pago tarjeta"),-1,1)*S4057,0)+IF(AND(AE4057&lt;&gt;"",COUNTIFS(tcTipo,AE4057,tcLiq,"Sí")&gt;0),S4057,0))</f>
        <v/>
      </c>
      <c r="AI4057" s="52">
        <f>IF(OR(L4057="",P4057=""),"",IF(COUNTIFS(L$6:L4057,L4057,P$6:P4057,"?*")=1,MAX(AI$5:AI4056)+1,""))</f>
        <v/>
      </c>
    </row>
    <row r="4058">
      <c r="B4058" s="47" t="n"/>
      <c r="C4058" s="48" t="n"/>
      <c r="D4058" s="48" t="n"/>
      <c r="E4058" s="48" t="n"/>
      <c r="F4058" s="48" t="n"/>
      <c r="G4058" s="49" t="n"/>
      <c r="H4058" s="48" t="n"/>
      <c r="I4058" s="50" t="n"/>
      <c r="J4058" s="48" t="n"/>
      <c r="K4058" s="48" t="n"/>
      <c r="L4058" s="48" t="n"/>
      <c r="M4058" s="48" t="n"/>
      <c r="N4058" s="48" t="n"/>
      <c r="O4058" s="51">
        <f>IF(AND(B4058="",G4058="",C4058="",D4058="",J4058=""),"",IF(B4058="","⚠ Falta fecha",IF(G4058="","⚠ Falta monto",IF(Q4058="","⚠ Falta cuenta",IF(ISNA(MATCH(Q4058,ctaNombre,0)),"⚠ Cuenta no registrada",IF(AND(OR(P4058="Gasto",P4058="Reembolso"),D4058=""),"⚠ Falta categoría",IF(AND(D4058&lt;&gt;"",E4058&lt;&gt;"",ISNA(MATCH(D4058&amp;"|"&amp;E4058,catClave,0))),"⚠ Subcategoría no corresponde",IF(AND(OR(P4058="Transferencia",P4058="Pago tarjeta"),K4058=""),"⚠ Falta cuenta destino",IF(AND(K4058&lt;&gt;"",P4058&lt;&gt;"Transferencia",P4058&lt;&gt;"Pago tarjeta"),"⚠ Destino solo aplica a transferencias",IF(AND(K4058&lt;&gt;"",K4058=Q4058),"⚠ Origen igual a destino",IF(AND(K4058&lt;&gt;"",ISNA(MATCH(K4058,ctaNombre,0))),"⚠ Destino no registrado",IF(AND(P4058="Pago tarjeta",AE4058&lt;&gt;"Tarjeta de crédito"),"⚠ El destino debe ser tarjeta de crédito",IF(AND(P4058="Gasto",E4058="Depósitos y retiros"),"⚠ Usa tipo Transferencia",IF(AND(P4058="Resultado trading",AD4058&lt;&gt;"Cuenta de trading"),"⚠ Usa una cuenta de trading",IF(AND(G4058&lt;=0,P4058&lt;&gt;"Ajuste",P4058&lt;&gt;"Resultado trading"),"⚠ El monto debe ser positivo","✓")))))))))))))))</f>
        <v/>
      </c>
      <c r="P4058" s="52">
        <f>IF(OR(B4058="",G4058=""),"",IF(C4058="","Gasto",C4058))</f>
        <v/>
      </c>
      <c r="Q4058" s="52">
        <f>IF(P4058="","",IF(J4058&lt;&gt;"",J4058,CuentaPred&amp;""))</f>
        <v/>
      </c>
      <c r="R4058" s="52">
        <f>IF(P4058="","",IF(ISNUMBER(I4058),I4058,TasaUSD))</f>
        <v/>
      </c>
      <c r="S4058" s="53">
        <f>IF(P4058="","",IF(H4058="USD",G4058*R4058,G4058))</f>
        <v/>
      </c>
      <c r="T4058" s="53">
        <f>IF(P4058="","",IF(H4058="USD",G4058,IF(R4058&gt;0,G4058/R4058,0)))</f>
        <v/>
      </c>
      <c r="U4058" s="53">
        <f>IF(P4058="","",IF(P4058="Gasto",S4058,IF(P4058="Reembolso",-S4058,0)))</f>
        <v/>
      </c>
      <c r="V4058" s="53">
        <f>IF(P4058="","",IF(P4058="Ingreso",S4058,0))</f>
        <v/>
      </c>
      <c r="W4058" s="53">
        <f>IF(P4058="","",IF(P4058="Resultado trading",S4058,0))</f>
        <v/>
      </c>
      <c r="X4058" s="52">
        <f>IF(OR(P4058="Gasto",P4058="Reembolso"),IF(M4058&lt;&gt;"",M4058,IFERROR(INDEX(catClasif,MATCH(D4058&amp;"|"&amp;E4058,catClave,0))&amp;"","Variable")),"")</f>
        <v/>
      </c>
      <c r="Y4058" s="52">
        <f>IF(P4058="","",IFERROR(INDEX(catGrupo,MATCH(D4058&amp;"|"&amp;E4058,catClave,0))&amp;"",""))</f>
        <v/>
      </c>
      <c r="Z4058" s="52">
        <f>IF(P4058="","",WEEKDAY(B4058,2))</f>
        <v/>
      </c>
      <c r="AA4058" s="52">
        <f>IF(P4058="","",IF(AND(P4058="Gasto",X4058="Variable",D4058&lt;&gt;catTrading,S4058&gt;0,S4058&lt;=Umbral),1,0))</f>
        <v/>
      </c>
      <c r="AB4058" s="52">
        <f>IF(OR(P4058="",Q4058=""),"",IFERROR(IF(INDEX(ctaVinc,MATCH(Q4058,ctaNombre,0))&amp;""&lt;&gt;"",INDEX(ctaVinc,MATCH(Q4058,ctaNombre,0))&amp;"",Q4058),Q4058))</f>
        <v/>
      </c>
      <c r="AC4058" s="52">
        <f>IF(OR(K4058="",AND(P4058&lt;&gt;"Transferencia",P4058&lt;&gt;"Pago tarjeta")),"",IFERROR(IF(INDEX(ctaVinc,MATCH(K4058,ctaNombre,0))&amp;""&lt;&gt;"",INDEX(ctaVinc,MATCH(K4058,ctaNombre,0))&amp;"",K4058),K4058))</f>
        <v/>
      </c>
      <c r="AD4058" s="52">
        <f>IF(AB4058="","",IFERROR(INDEX(ctaTipo,MATCH(AB4058,ctaNombre,0))&amp;"",""))</f>
        <v/>
      </c>
      <c r="AE4058" s="52">
        <f>IF(AC4058="","",IFERROR(INDEX(ctaTipo,MATCH(AC4058,ctaNombre,0))&amp;"",""))</f>
        <v/>
      </c>
      <c r="AF4058" s="53">
        <f>IF(OR(P4058="",AB4058=""),"",IF(OR(P4058="Gasto",P4058="Transferencia",P4058="Pago tarjeta"),-1,1)*IF(IFERROR(INDEX(ctaMoneda,MATCH(AB4058,ctaNombre,0))&amp;"","DOP")="USD",T4058,S4058))</f>
        <v/>
      </c>
      <c r="AG4058" s="53">
        <f>IF(AC4058="","",IF(IFERROR(INDEX(ctaMoneda,MATCH(AC4058,ctaNombre,0))&amp;"","DOP")="USD",T4058,S4058))</f>
        <v/>
      </c>
      <c r="AH4058" s="53">
        <f>IF(P4058="","",IF(AND(AD4058&lt;&gt;"",COUNTIFS(tcTipo,AD4058,tcLiq,"Sí")&gt;0),IF(OR(P4058="Gasto",P4058="Transferencia",P4058="Pago tarjeta"),-1,1)*S4058,0)+IF(AND(AE4058&lt;&gt;"",COUNTIFS(tcTipo,AE4058,tcLiq,"Sí")&gt;0),S4058,0))</f>
        <v/>
      </c>
      <c r="AI4058" s="52">
        <f>IF(OR(L4058="",P4058=""),"",IF(COUNTIFS(L$6:L4058,L4058,P$6:P4058,"?*")=1,MAX(AI$5:AI4057)+1,""))</f>
        <v/>
      </c>
    </row>
    <row r="4059">
      <c r="B4059" s="47" t="n"/>
      <c r="C4059" s="48" t="n"/>
      <c r="D4059" s="48" t="n"/>
      <c r="E4059" s="48" t="n"/>
      <c r="F4059" s="48" t="n"/>
      <c r="G4059" s="49" t="n"/>
      <c r="H4059" s="48" t="n"/>
      <c r="I4059" s="50" t="n"/>
      <c r="J4059" s="48" t="n"/>
      <c r="K4059" s="48" t="n"/>
      <c r="L4059" s="48" t="n"/>
      <c r="M4059" s="48" t="n"/>
      <c r="N4059" s="48" t="n"/>
      <c r="O4059" s="51">
        <f>IF(AND(B4059="",G4059="",C4059="",D4059="",J4059=""),"",IF(B4059="","⚠ Falta fecha",IF(G4059="","⚠ Falta monto",IF(Q4059="","⚠ Falta cuenta",IF(ISNA(MATCH(Q4059,ctaNombre,0)),"⚠ Cuenta no registrada",IF(AND(OR(P4059="Gasto",P4059="Reembolso"),D4059=""),"⚠ Falta categoría",IF(AND(D4059&lt;&gt;"",E4059&lt;&gt;"",ISNA(MATCH(D4059&amp;"|"&amp;E4059,catClave,0))),"⚠ Subcategoría no corresponde",IF(AND(OR(P4059="Transferencia",P4059="Pago tarjeta"),K4059=""),"⚠ Falta cuenta destino",IF(AND(K4059&lt;&gt;"",P4059&lt;&gt;"Transferencia",P4059&lt;&gt;"Pago tarjeta"),"⚠ Destino solo aplica a transferencias",IF(AND(K4059&lt;&gt;"",K4059=Q4059),"⚠ Origen igual a destino",IF(AND(K4059&lt;&gt;"",ISNA(MATCH(K4059,ctaNombre,0))),"⚠ Destino no registrado",IF(AND(P4059="Pago tarjeta",AE4059&lt;&gt;"Tarjeta de crédito"),"⚠ El destino debe ser tarjeta de crédito",IF(AND(P4059="Gasto",E4059="Depósitos y retiros"),"⚠ Usa tipo Transferencia",IF(AND(P4059="Resultado trading",AD4059&lt;&gt;"Cuenta de trading"),"⚠ Usa una cuenta de trading",IF(AND(G4059&lt;=0,P4059&lt;&gt;"Ajuste",P4059&lt;&gt;"Resultado trading"),"⚠ El monto debe ser positivo","✓")))))))))))))))</f>
        <v/>
      </c>
      <c r="P4059" s="52">
        <f>IF(OR(B4059="",G4059=""),"",IF(C4059="","Gasto",C4059))</f>
        <v/>
      </c>
      <c r="Q4059" s="52">
        <f>IF(P4059="","",IF(J4059&lt;&gt;"",J4059,CuentaPred&amp;""))</f>
        <v/>
      </c>
      <c r="R4059" s="52">
        <f>IF(P4059="","",IF(ISNUMBER(I4059),I4059,TasaUSD))</f>
        <v/>
      </c>
      <c r="S4059" s="53">
        <f>IF(P4059="","",IF(H4059="USD",G4059*R4059,G4059))</f>
        <v/>
      </c>
      <c r="T4059" s="53">
        <f>IF(P4059="","",IF(H4059="USD",G4059,IF(R4059&gt;0,G4059/R4059,0)))</f>
        <v/>
      </c>
      <c r="U4059" s="53">
        <f>IF(P4059="","",IF(P4059="Gasto",S4059,IF(P4059="Reembolso",-S4059,0)))</f>
        <v/>
      </c>
      <c r="V4059" s="53">
        <f>IF(P4059="","",IF(P4059="Ingreso",S4059,0))</f>
        <v/>
      </c>
      <c r="W4059" s="53">
        <f>IF(P4059="","",IF(P4059="Resultado trading",S4059,0))</f>
        <v/>
      </c>
      <c r="X4059" s="52">
        <f>IF(OR(P4059="Gasto",P4059="Reembolso"),IF(M4059&lt;&gt;"",M4059,IFERROR(INDEX(catClasif,MATCH(D4059&amp;"|"&amp;E4059,catClave,0))&amp;"","Variable")),"")</f>
        <v/>
      </c>
      <c r="Y4059" s="52">
        <f>IF(P4059="","",IFERROR(INDEX(catGrupo,MATCH(D4059&amp;"|"&amp;E4059,catClave,0))&amp;"",""))</f>
        <v/>
      </c>
      <c r="Z4059" s="52">
        <f>IF(P4059="","",WEEKDAY(B4059,2))</f>
        <v/>
      </c>
      <c r="AA4059" s="52">
        <f>IF(P4059="","",IF(AND(P4059="Gasto",X4059="Variable",D4059&lt;&gt;catTrading,S4059&gt;0,S4059&lt;=Umbral),1,0))</f>
        <v/>
      </c>
      <c r="AB4059" s="52">
        <f>IF(OR(P4059="",Q4059=""),"",IFERROR(IF(INDEX(ctaVinc,MATCH(Q4059,ctaNombre,0))&amp;""&lt;&gt;"",INDEX(ctaVinc,MATCH(Q4059,ctaNombre,0))&amp;"",Q4059),Q4059))</f>
        <v/>
      </c>
      <c r="AC4059" s="52">
        <f>IF(OR(K4059="",AND(P4059&lt;&gt;"Transferencia",P4059&lt;&gt;"Pago tarjeta")),"",IFERROR(IF(INDEX(ctaVinc,MATCH(K4059,ctaNombre,0))&amp;""&lt;&gt;"",INDEX(ctaVinc,MATCH(K4059,ctaNombre,0))&amp;"",K4059),K4059))</f>
        <v/>
      </c>
      <c r="AD4059" s="52">
        <f>IF(AB4059="","",IFERROR(INDEX(ctaTipo,MATCH(AB4059,ctaNombre,0))&amp;"",""))</f>
        <v/>
      </c>
      <c r="AE4059" s="52">
        <f>IF(AC4059="","",IFERROR(INDEX(ctaTipo,MATCH(AC4059,ctaNombre,0))&amp;"",""))</f>
        <v/>
      </c>
      <c r="AF4059" s="53">
        <f>IF(OR(P4059="",AB4059=""),"",IF(OR(P4059="Gasto",P4059="Transferencia",P4059="Pago tarjeta"),-1,1)*IF(IFERROR(INDEX(ctaMoneda,MATCH(AB4059,ctaNombre,0))&amp;"","DOP")="USD",T4059,S4059))</f>
        <v/>
      </c>
      <c r="AG4059" s="53">
        <f>IF(AC4059="","",IF(IFERROR(INDEX(ctaMoneda,MATCH(AC4059,ctaNombre,0))&amp;"","DOP")="USD",T4059,S4059))</f>
        <v/>
      </c>
      <c r="AH4059" s="53">
        <f>IF(P4059="","",IF(AND(AD4059&lt;&gt;"",COUNTIFS(tcTipo,AD4059,tcLiq,"Sí")&gt;0),IF(OR(P4059="Gasto",P4059="Transferencia",P4059="Pago tarjeta"),-1,1)*S4059,0)+IF(AND(AE4059&lt;&gt;"",COUNTIFS(tcTipo,AE4059,tcLiq,"Sí")&gt;0),S4059,0))</f>
        <v/>
      </c>
      <c r="AI4059" s="52">
        <f>IF(OR(L4059="",P4059=""),"",IF(COUNTIFS(L$6:L4059,L4059,P$6:P4059,"?*")=1,MAX(AI$5:AI4058)+1,""))</f>
        <v/>
      </c>
    </row>
    <row r="4060">
      <c r="B4060" s="47" t="n"/>
      <c r="C4060" s="48" t="n"/>
      <c r="D4060" s="48" t="n"/>
      <c r="E4060" s="48" t="n"/>
      <c r="F4060" s="48" t="n"/>
      <c r="G4060" s="49" t="n"/>
      <c r="H4060" s="48" t="n"/>
      <c r="I4060" s="50" t="n"/>
      <c r="J4060" s="48" t="n"/>
      <c r="K4060" s="48" t="n"/>
      <c r="L4060" s="48" t="n"/>
      <c r="M4060" s="48" t="n"/>
      <c r="N4060" s="48" t="n"/>
      <c r="O4060" s="51">
        <f>IF(AND(B4060="",G4060="",C4060="",D4060="",J4060=""),"",IF(B4060="","⚠ Falta fecha",IF(G4060="","⚠ Falta monto",IF(Q4060="","⚠ Falta cuenta",IF(ISNA(MATCH(Q4060,ctaNombre,0)),"⚠ Cuenta no registrada",IF(AND(OR(P4060="Gasto",P4060="Reembolso"),D4060=""),"⚠ Falta categoría",IF(AND(D4060&lt;&gt;"",E4060&lt;&gt;"",ISNA(MATCH(D4060&amp;"|"&amp;E4060,catClave,0))),"⚠ Subcategoría no corresponde",IF(AND(OR(P4060="Transferencia",P4060="Pago tarjeta"),K4060=""),"⚠ Falta cuenta destino",IF(AND(K4060&lt;&gt;"",P4060&lt;&gt;"Transferencia",P4060&lt;&gt;"Pago tarjeta"),"⚠ Destino solo aplica a transferencias",IF(AND(K4060&lt;&gt;"",K4060=Q4060),"⚠ Origen igual a destino",IF(AND(K4060&lt;&gt;"",ISNA(MATCH(K4060,ctaNombre,0))),"⚠ Destino no registrado",IF(AND(P4060="Pago tarjeta",AE4060&lt;&gt;"Tarjeta de crédito"),"⚠ El destino debe ser tarjeta de crédito",IF(AND(P4060="Gasto",E4060="Depósitos y retiros"),"⚠ Usa tipo Transferencia",IF(AND(P4060="Resultado trading",AD4060&lt;&gt;"Cuenta de trading"),"⚠ Usa una cuenta de trading",IF(AND(G4060&lt;=0,P4060&lt;&gt;"Ajuste",P4060&lt;&gt;"Resultado trading"),"⚠ El monto debe ser positivo","✓")))))))))))))))</f>
        <v/>
      </c>
      <c r="P4060" s="52">
        <f>IF(OR(B4060="",G4060=""),"",IF(C4060="","Gasto",C4060))</f>
        <v/>
      </c>
      <c r="Q4060" s="52">
        <f>IF(P4060="","",IF(J4060&lt;&gt;"",J4060,CuentaPred&amp;""))</f>
        <v/>
      </c>
      <c r="R4060" s="52">
        <f>IF(P4060="","",IF(ISNUMBER(I4060),I4060,TasaUSD))</f>
        <v/>
      </c>
      <c r="S4060" s="53">
        <f>IF(P4060="","",IF(H4060="USD",G4060*R4060,G4060))</f>
        <v/>
      </c>
      <c r="T4060" s="53">
        <f>IF(P4060="","",IF(H4060="USD",G4060,IF(R4060&gt;0,G4060/R4060,0)))</f>
        <v/>
      </c>
      <c r="U4060" s="53">
        <f>IF(P4060="","",IF(P4060="Gasto",S4060,IF(P4060="Reembolso",-S4060,0)))</f>
        <v/>
      </c>
      <c r="V4060" s="53">
        <f>IF(P4060="","",IF(P4060="Ingreso",S4060,0))</f>
        <v/>
      </c>
      <c r="W4060" s="53">
        <f>IF(P4060="","",IF(P4060="Resultado trading",S4060,0))</f>
        <v/>
      </c>
      <c r="X4060" s="52">
        <f>IF(OR(P4060="Gasto",P4060="Reembolso"),IF(M4060&lt;&gt;"",M4060,IFERROR(INDEX(catClasif,MATCH(D4060&amp;"|"&amp;E4060,catClave,0))&amp;"","Variable")),"")</f>
        <v/>
      </c>
      <c r="Y4060" s="52">
        <f>IF(P4060="","",IFERROR(INDEX(catGrupo,MATCH(D4060&amp;"|"&amp;E4060,catClave,0))&amp;"",""))</f>
        <v/>
      </c>
      <c r="Z4060" s="52">
        <f>IF(P4060="","",WEEKDAY(B4060,2))</f>
        <v/>
      </c>
      <c r="AA4060" s="52">
        <f>IF(P4060="","",IF(AND(P4060="Gasto",X4060="Variable",D4060&lt;&gt;catTrading,S4060&gt;0,S4060&lt;=Umbral),1,0))</f>
        <v/>
      </c>
      <c r="AB4060" s="52">
        <f>IF(OR(P4060="",Q4060=""),"",IFERROR(IF(INDEX(ctaVinc,MATCH(Q4060,ctaNombre,0))&amp;""&lt;&gt;"",INDEX(ctaVinc,MATCH(Q4060,ctaNombre,0))&amp;"",Q4060),Q4060))</f>
        <v/>
      </c>
      <c r="AC4060" s="52">
        <f>IF(OR(K4060="",AND(P4060&lt;&gt;"Transferencia",P4060&lt;&gt;"Pago tarjeta")),"",IFERROR(IF(INDEX(ctaVinc,MATCH(K4060,ctaNombre,0))&amp;""&lt;&gt;"",INDEX(ctaVinc,MATCH(K4060,ctaNombre,0))&amp;"",K4060),K4060))</f>
        <v/>
      </c>
      <c r="AD4060" s="52">
        <f>IF(AB4060="","",IFERROR(INDEX(ctaTipo,MATCH(AB4060,ctaNombre,0))&amp;"",""))</f>
        <v/>
      </c>
      <c r="AE4060" s="52">
        <f>IF(AC4060="","",IFERROR(INDEX(ctaTipo,MATCH(AC4060,ctaNombre,0))&amp;"",""))</f>
        <v/>
      </c>
      <c r="AF4060" s="53">
        <f>IF(OR(P4060="",AB4060=""),"",IF(OR(P4060="Gasto",P4060="Transferencia",P4060="Pago tarjeta"),-1,1)*IF(IFERROR(INDEX(ctaMoneda,MATCH(AB4060,ctaNombre,0))&amp;"","DOP")="USD",T4060,S4060))</f>
        <v/>
      </c>
      <c r="AG4060" s="53">
        <f>IF(AC4060="","",IF(IFERROR(INDEX(ctaMoneda,MATCH(AC4060,ctaNombre,0))&amp;"","DOP")="USD",T4060,S4060))</f>
        <v/>
      </c>
      <c r="AH4060" s="53">
        <f>IF(P4060="","",IF(AND(AD4060&lt;&gt;"",COUNTIFS(tcTipo,AD4060,tcLiq,"Sí")&gt;0),IF(OR(P4060="Gasto",P4060="Transferencia",P4060="Pago tarjeta"),-1,1)*S4060,0)+IF(AND(AE4060&lt;&gt;"",COUNTIFS(tcTipo,AE4060,tcLiq,"Sí")&gt;0),S4060,0))</f>
        <v/>
      </c>
      <c r="AI4060" s="52">
        <f>IF(OR(L4060="",P4060=""),"",IF(COUNTIFS(L$6:L4060,L4060,P$6:P4060,"?*")=1,MAX(AI$5:AI4059)+1,""))</f>
        <v/>
      </c>
    </row>
    <row r="4061">
      <c r="B4061" s="47" t="n"/>
      <c r="C4061" s="48" t="n"/>
      <c r="D4061" s="48" t="n"/>
      <c r="E4061" s="48" t="n"/>
      <c r="F4061" s="48" t="n"/>
      <c r="G4061" s="49" t="n"/>
      <c r="H4061" s="48" t="n"/>
      <c r="I4061" s="50" t="n"/>
      <c r="J4061" s="48" t="n"/>
      <c r="K4061" s="48" t="n"/>
      <c r="L4061" s="48" t="n"/>
      <c r="M4061" s="48" t="n"/>
      <c r="N4061" s="48" t="n"/>
      <c r="O4061" s="51">
        <f>IF(AND(B4061="",G4061="",C4061="",D4061="",J4061=""),"",IF(B4061="","⚠ Falta fecha",IF(G4061="","⚠ Falta monto",IF(Q4061="","⚠ Falta cuenta",IF(ISNA(MATCH(Q4061,ctaNombre,0)),"⚠ Cuenta no registrada",IF(AND(OR(P4061="Gasto",P4061="Reembolso"),D4061=""),"⚠ Falta categoría",IF(AND(D4061&lt;&gt;"",E4061&lt;&gt;"",ISNA(MATCH(D4061&amp;"|"&amp;E4061,catClave,0))),"⚠ Subcategoría no corresponde",IF(AND(OR(P4061="Transferencia",P4061="Pago tarjeta"),K4061=""),"⚠ Falta cuenta destino",IF(AND(K4061&lt;&gt;"",P4061&lt;&gt;"Transferencia",P4061&lt;&gt;"Pago tarjeta"),"⚠ Destino solo aplica a transferencias",IF(AND(K4061&lt;&gt;"",K4061=Q4061),"⚠ Origen igual a destino",IF(AND(K4061&lt;&gt;"",ISNA(MATCH(K4061,ctaNombre,0))),"⚠ Destino no registrado",IF(AND(P4061="Pago tarjeta",AE4061&lt;&gt;"Tarjeta de crédito"),"⚠ El destino debe ser tarjeta de crédito",IF(AND(P4061="Gasto",E4061="Depósitos y retiros"),"⚠ Usa tipo Transferencia",IF(AND(P4061="Resultado trading",AD4061&lt;&gt;"Cuenta de trading"),"⚠ Usa una cuenta de trading",IF(AND(G4061&lt;=0,P4061&lt;&gt;"Ajuste",P4061&lt;&gt;"Resultado trading"),"⚠ El monto debe ser positivo","✓")))))))))))))))</f>
        <v/>
      </c>
      <c r="P4061" s="52">
        <f>IF(OR(B4061="",G4061=""),"",IF(C4061="","Gasto",C4061))</f>
        <v/>
      </c>
      <c r="Q4061" s="52">
        <f>IF(P4061="","",IF(J4061&lt;&gt;"",J4061,CuentaPred&amp;""))</f>
        <v/>
      </c>
      <c r="R4061" s="52">
        <f>IF(P4061="","",IF(ISNUMBER(I4061),I4061,TasaUSD))</f>
        <v/>
      </c>
      <c r="S4061" s="53">
        <f>IF(P4061="","",IF(H4061="USD",G4061*R4061,G4061))</f>
        <v/>
      </c>
      <c r="T4061" s="53">
        <f>IF(P4061="","",IF(H4061="USD",G4061,IF(R4061&gt;0,G4061/R4061,0)))</f>
        <v/>
      </c>
      <c r="U4061" s="53">
        <f>IF(P4061="","",IF(P4061="Gasto",S4061,IF(P4061="Reembolso",-S4061,0)))</f>
        <v/>
      </c>
      <c r="V4061" s="53">
        <f>IF(P4061="","",IF(P4061="Ingreso",S4061,0))</f>
        <v/>
      </c>
      <c r="W4061" s="53">
        <f>IF(P4061="","",IF(P4061="Resultado trading",S4061,0))</f>
        <v/>
      </c>
      <c r="X4061" s="52">
        <f>IF(OR(P4061="Gasto",P4061="Reembolso"),IF(M4061&lt;&gt;"",M4061,IFERROR(INDEX(catClasif,MATCH(D4061&amp;"|"&amp;E4061,catClave,0))&amp;"","Variable")),"")</f>
        <v/>
      </c>
      <c r="Y4061" s="52">
        <f>IF(P4061="","",IFERROR(INDEX(catGrupo,MATCH(D4061&amp;"|"&amp;E4061,catClave,0))&amp;"",""))</f>
        <v/>
      </c>
      <c r="Z4061" s="52">
        <f>IF(P4061="","",WEEKDAY(B4061,2))</f>
        <v/>
      </c>
      <c r="AA4061" s="52">
        <f>IF(P4061="","",IF(AND(P4061="Gasto",X4061="Variable",D4061&lt;&gt;catTrading,S4061&gt;0,S4061&lt;=Umbral),1,0))</f>
        <v/>
      </c>
      <c r="AB4061" s="52">
        <f>IF(OR(P4061="",Q4061=""),"",IFERROR(IF(INDEX(ctaVinc,MATCH(Q4061,ctaNombre,0))&amp;""&lt;&gt;"",INDEX(ctaVinc,MATCH(Q4061,ctaNombre,0))&amp;"",Q4061),Q4061))</f>
        <v/>
      </c>
      <c r="AC4061" s="52">
        <f>IF(OR(K4061="",AND(P4061&lt;&gt;"Transferencia",P4061&lt;&gt;"Pago tarjeta")),"",IFERROR(IF(INDEX(ctaVinc,MATCH(K4061,ctaNombre,0))&amp;""&lt;&gt;"",INDEX(ctaVinc,MATCH(K4061,ctaNombre,0))&amp;"",K4061),K4061))</f>
        <v/>
      </c>
      <c r="AD4061" s="52">
        <f>IF(AB4061="","",IFERROR(INDEX(ctaTipo,MATCH(AB4061,ctaNombre,0))&amp;"",""))</f>
        <v/>
      </c>
      <c r="AE4061" s="52">
        <f>IF(AC4061="","",IFERROR(INDEX(ctaTipo,MATCH(AC4061,ctaNombre,0))&amp;"",""))</f>
        <v/>
      </c>
      <c r="AF4061" s="53">
        <f>IF(OR(P4061="",AB4061=""),"",IF(OR(P4061="Gasto",P4061="Transferencia",P4061="Pago tarjeta"),-1,1)*IF(IFERROR(INDEX(ctaMoneda,MATCH(AB4061,ctaNombre,0))&amp;"","DOP")="USD",T4061,S4061))</f>
        <v/>
      </c>
      <c r="AG4061" s="53">
        <f>IF(AC4061="","",IF(IFERROR(INDEX(ctaMoneda,MATCH(AC4061,ctaNombre,0))&amp;"","DOP")="USD",T4061,S4061))</f>
        <v/>
      </c>
      <c r="AH4061" s="53">
        <f>IF(P4061="","",IF(AND(AD4061&lt;&gt;"",COUNTIFS(tcTipo,AD4061,tcLiq,"Sí")&gt;0),IF(OR(P4061="Gasto",P4061="Transferencia",P4061="Pago tarjeta"),-1,1)*S4061,0)+IF(AND(AE4061&lt;&gt;"",COUNTIFS(tcTipo,AE4061,tcLiq,"Sí")&gt;0),S4061,0))</f>
        <v/>
      </c>
      <c r="AI4061" s="52">
        <f>IF(OR(L4061="",P4061=""),"",IF(COUNTIFS(L$6:L4061,L4061,P$6:P4061,"?*")=1,MAX(AI$5:AI4060)+1,""))</f>
        <v/>
      </c>
    </row>
    <row r="4062">
      <c r="B4062" s="47" t="n"/>
      <c r="C4062" s="48" t="n"/>
      <c r="D4062" s="48" t="n"/>
      <c r="E4062" s="48" t="n"/>
      <c r="F4062" s="48" t="n"/>
      <c r="G4062" s="49" t="n"/>
      <c r="H4062" s="48" t="n"/>
      <c r="I4062" s="50" t="n"/>
      <c r="J4062" s="48" t="n"/>
      <c r="K4062" s="48" t="n"/>
      <c r="L4062" s="48" t="n"/>
      <c r="M4062" s="48" t="n"/>
      <c r="N4062" s="48" t="n"/>
      <c r="O4062" s="51">
        <f>IF(AND(B4062="",G4062="",C4062="",D4062="",J4062=""),"",IF(B4062="","⚠ Falta fecha",IF(G4062="","⚠ Falta monto",IF(Q4062="","⚠ Falta cuenta",IF(ISNA(MATCH(Q4062,ctaNombre,0)),"⚠ Cuenta no registrada",IF(AND(OR(P4062="Gasto",P4062="Reembolso"),D4062=""),"⚠ Falta categoría",IF(AND(D4062&lt;&gt;"",E4062&lt;&gt;"",ISNA(MATCH(D4062&amp;"|"&amp;E4062,catClave,0))),"⚠ Subcategoría no corresponde",IF(AND(OR(P4062="Transferencia",P4062="Pago tarjeta"),K4062=""),"⚠ Falta cuenta destino",IF(AND(K4062&lt;&gt;"",P4062&lt;&gt;"Transferencia",P4062&lt;&gt;"Pago tarjeta"),"⚠ Destino solo aplica a transferencias",IF(AND(K4062&lt;&gt;"",K4062=Q4062),"⚠ Origen igual a destino",IF(AND(K4062&lt;&gt;"",ISNA(MATCH(K4062,ctaNombre,0))),"⚠ Destino no registrado",IF(AND(P4062="Pago tarjeta",AE4062&lt;&gt;"Tarjeta de crédito"),"⚠ El destino debe ser tarjeta de crédito",IF(AND(P4062="Gasto",E4062="Depósitos y retiros"),"⚠ Usa tipo Transferencia",IF(AND(P4062="Resultado trading",AD4062&lt;&gt;"Cuenta de trading"),"⚠ Usa una cuenta de trading",IF(AND(G4062&lt;=0,P4062&lt;&gt;"Ajuste",P4062&lt;&gt;"Resultado trading"),"⚠ El monto debe ser positivo","✓")))))))))))))))</f>
        <v/>
      </c>
      <c r="P4062" s="52">
        <f>IF(OR(B4062="",G4062=""),"",IF(C4062="","Gasto",C4062))</f>
        <v/>
      </c>
      <c r="Q4062" s="52">
        <f>IF(P4062="","",IF(J4062&lt;&gt;"",J4062,CuentaPred&amp;""))</f>
        <v/>
      </c>
      <c r="R4062" s="52">
        <f>IF(P4062="","",IF(ISNUMBER(I4062),I4062,TasaUSD))</f>
        <v/>
      </c>
      <c r="S4062" s="53">
        <f>IF(P4062="","",IF(H4062="USD",G4062*R4062,G4062))</f>
        <v/>
      </c>
      <c r="T4062" s="53">
        <f>IF(P4062="","",IF(H4062="USD",G4062,IF(R4062&gt;0,G4062/R4062,0)))</f>
        <v/>
      </c>
      <c r="U4062" s="53">
        <f>IF(P4062="","",IF(P4062="Gasto",S4062,IF(P4062="Reembolso",-S4062,0)))</f>
        <v/>
      </c>
      <c r="V4062" s="53">
        <f>IF(P4062="","",IF(P4062="Ingreso",S4062,0))</f>
        <v/>
      </c>
      <c r="W4062" s="53">
        <f>IF(P4062="","",IF(P4062="Resultado trading",S4062,0))</f>
        <v/>
      </c>
      <c r="X4062" s="52">
        <f>IF(OR(P4062="Gasto",P4062="Reembolso"),IF(M4062&lt;&gt;"",M4062,IFERROR(INDEX(catClasif,MATCH(D4062&amp;"|"&amp;E4062,catClave,0))&amp;"","Variable")),"")</f>
        <v/>
      </c>
      <c r="Y4062" s="52">
        <f>IF(P4062="","",IFERROR(INDEX(catGrupo,MATCH(D4062&amp;"|"&amp;E4062,catClave,0))&amp;"",""))</f>
        <v/>
      </c>
      <c r="Z4062" s="52">
        <f>IF(P4062="","",WEEKDAY(B4062,2))</f>
        <v/>
      </c>
      <c r="AA4062" s="52">
        <f>IF(P4062="","",IF(AND(P4062="Gasto",X4062="Variable",D4062&lt;&gt;catTrading,S4062&gt;0,S4062&lt;=Umbral),1,0))</f>
        <v/>
      </c>
      <c r="AB4062" s="52">
        <f>IF(OR(P4062="",Q4062=""),"",IFERROR(IF(INDEX(ctaVinc,MATCH(Q4062,ctaNombre,0))&amp;""&lt;&gt;"",INDEX(ctaVinc,MATCH(Q4062,ctaNombre,0))&amp;"",Q4062),Q4062))</f>
        <v/>
      </c>
      <c r="AC4062" s="52">
        <f>IF(OR(K4062="",AND(P4062&lt;&gt;"Transferencia",P4062&lt;&gt;"Pago tarjeta")),"",IFERROR(IF(INDEX(ctaVinc,MATCH(K4062,ctaNombre,0))&amp;""&lt;&gt;"",INDEX(ctaVinc,MATCH(K4062,ctaNombre,0))&amp;"",K4062),K4062))</f>
        <v/>
      </c>
      <c r="AD4062" s="52">
        <f>IF(AB4062="","",IFERROR(INDEX(ctaTipo,MATCH(AB4062,ctaNombre,0))&amp;"",""))</f>
        <v/>
      </c>
      <c r="AE4062" s="52">
        <f>IF(AC4062="","",IFERROR(INDEX(ctaTipo,MATCH(AC4062,ctaNombre,0))&amp;"",""))</f>
        <v/>
      </c>
      <c r="AF4062" s="53">
        <f>IF(OR(P4062="",AB4062=""),"",IF(OR(P4062="Gasto",P4062="Transferencia",P4062="Pago tarjeta"),-1,1)*IF(IFERROR(INDEX(ctaMoneda,MATCH(AB4062,ctaNombre,0))&amp;"","DOP")="USD",T4062,S4062))</f>
        <v/>
      </c>
      <c r="AG4062" s="53">
        <f>IF(AC4062="","",IF(IFERROR(INDEX(ctaMoneda,MATCH(AC4062,ctaNombre,0))&amp;"","DOP")="USD",T4062,S4062))</f>
        <v/>
      </c>
      <c r="AH4062" s="53">
        <f>IF(P4062="","",IF(AND(AD4062&lt;&gt;"",COUNTIFS(tcTipo,AD4062,tcLiq,"Sí")&gt;0),IF(OR(P4062="Gasto",P4062="Transferencia",P4062="Pago tarjeta"),-1,1)*S4062,0)+IF(AND(AE4062&lt;&gt;"",COUNTIFS(tcTipo,AE4062,tcLiq,"Sí")&gt;0),S4062,0))</f>
        <v/>
      </c>
      <c r="AI4062" s="52">
        <f>IF(OR(L4062="",P4062=""),"",IF(COUNTIFS(L$6:L4062,L4062,P$6:P4062,"?*")=1,MAX(AI$5:AI4061)+1,""))</f>
        <v/>
      </c>
    </row>
    <row r="4063">
      <c r="B4063" s="47" t="n"/>
      <c r="C4063" s="48" t="n"/>
      <c r="D4063" s="48" t="n"/>
      <c r="E4063" s="48" t="n"/>
      <c r="F4063" s="48" t="n"/>
      <c r="G4063" s="49" t="n"/>
      <c r="H4063" s="48" t="n"/>
      <c r="I4063" s="50" t="n"/>
      <c r="J4063" s="48" t="n"/>
      <c r="K4063" s="48" t="n"/>
      <c r="L4063" s="48" t="n"/>
      <c r="M4063" s="48" t="n"/>
      <c r="N4063" s="48" t="n"/>
      <c r="O4063" s="51">
        <f>IF(AND(B4063="",G4063="",C4063="",D4063="",J4063=""),"",IF(B4063="","⚠ Falta fecha",IF(G4063="","⚠ Falta monto",IF(Q4063="","⚠ Falta cuenta",IF(ISNA(MATCH(Q4063,ctaNombre,0)),"⚠ Cuenta no registrada",IF(AND(OR(P4063="Gasto",P4063="Reembolso"),D4063=""),"⚠ Falta categoría",IF(AND(D4063&lt;&gt;"",E4063&lt;&gt;"",ISNA(MATCH(D4063&amp;"|"&amp;E4063,catClave,0))),"⚠ Subcategoría no corresponde",IF(AND(OR(P4063="Transferencia",P4063="Pago tarjeta"),K4063=""),"⚠ Falta cuenta destino",IF(AND(K4063&lt;&gt;"",P4063&lt;&gt;"Transferencia",P4063&lt;&gt;"Pago tarjeta"),"⚠ Destino solo aplica a transferencias",IF(AND(K4063&lt;&gt;"",K4063=Q4063),"⚠ Origen igual a destino",IF(AND(K4063&lt;&gt;"",ISNA(MATCH(K4063,ctaNombre,0))),"⚠ Destino no registrado",IF(AND(P4063="Pago tarjeta",AE4063&lt;&gt;"Tarjeta de crédito"),"⚠ El destino debe ser tarjeta de crédito",IF(AND(P4063="Gasto",E4063="Depósitos y retiros"),"⚠ Usa tipo Transferencia",IF(AND(P4063="Resultado trading",AD4063&lt;&gt;"Cuenta de trading"),"⚠ Usa una cuenta de trading",IF(AND(G4063&lt;=0,P4063&lt;&gt;"Ajuste",P4063&lt;&gt;"Resultado trading"),"⚠ El monto debe ser positivo","✓")))))))))))))))</f>
        <v/>
      </c>
      <c r="P4063" s="52">
        <f>IF(OR(B4063="",G4063=""),"",IF(C4063="","Gasto",C4063))</f>
        <v/>
      </c>
      <c r="Q4063" s="52">
        <f>IF(P4063="","",IF(J4063&lt;&gt;"",J4063,CuentaPred&amp;""))</f>
        <v/>
      </c>
      <c r="R4063" s="52">
        <f>IF(P4063="","",IF(ISNUMBER(I4063),I4063,TasaUSD))</f>
        <v/>
      </c>
      <c r="S4063" s="53">
        <f>IF(P4063="","",IF(H4063="USD",G4063*R4063,G4063))</f>
        <v/>
      </c>
      <c r="T4063" s="53">
        <f>IF(P4063="","",IF(H4063="USD",G4063,IF(R4063&gt;0,G4063/R4063,0)))</f>
        <v/>
      </c>
      <c r="U4063" s="53">
        <f>IF(P4063="","",IF(P4063="Gasto",S4063,IF(P4063="Reembolso",-S4063,0)))</f>
        <v/>
      </c>
      <c r="V4063" s="53">
        <f>IF(P4063="","",IF(P4063="Ingreso",S4063,0))</f>
        <v/>
      </c>
      <c r="W4063" s="53">
        <f>IF(P4063="","",IF(P4063="Resultado trading",S4063,0))</f>
        <v/>
      </c>
      <c r="X4063" s="52">
        <f>IF(OR(P4063="Gasto",P4063="Reembolso"),IF(M4063&lt;&gt;"",M4063,IFERROR(INDEX(catClasif,MATCH(D4063&amp;"|"&amp;E4063,catClave,0))&amp;"","Variable")),"")</f>
        <v/>
      </c>
      <c r="Y4063" s="52">
        <f>IF(P4063="","",IFERROR(INDEX(catGrupo,MATCH(D4063&amp;"|"&amp;E4063,catClave,0))&amp;"",""))</f>
        <v/>
      </c>
      <c r="Z4063" s="52">
        <f>IF(P4063="","",WEEKDAY(B4063,2))</f>
        <v/>
      </c>
      <c r="AA4063" s="52">
        <f>IF(P4063="","",IF(AND(P4063="Gasto",X4063="Variable",D4063&lt;&gt;catTrading,S4063&gt;0,S4063&lt;=Umbral),1,0))</f>
        <v/>
      </c>
      <c r="AB4063" s="52">
        <f>IF(OR(P4063="",Q4063=""),"",IFERROR(IF(INDEX(ctaVinc,MATCH(Q4063,ctaNombre,0))&amp;""&lt;&gt;"",INDEX(ctaVinc,MATCH(Q4063,ctaNombre,0))&amp;"",Q4063),Q4063))</f>
        <v/>
      </c>
      <c r="AC4063" s="52">
        <f>IF(OR(K4063="",AND(P4063&lt;&gt;"Transferencia",P4063&lt;&gt;"Pago tarjeta")),"",IFERROR(IF(INDEX(ctaVinc,MATCH(K4063,ctaNombre,0))&amp;""&lt;&gt;"",INDEX(ctaVinc,MATCH(K4063,ctaNombre,0))&amp;"",K4063),K4063))</f>
        <v/>
      </c>
      <c r="AD4063" s="52">
        <f>IF(AB4063="","",IFERROR(INDEX(ctaTipo,MATCH(AB4063,ctaNombre,0))&amp;"",""))</f>
        <v/>
      </c>
      <c r="AE4063" s="52">
        <f>IF(AC4063="","",IFERROR(INDEX(ctaTipo,MATCH(AC4063,ctaNombre,0))&amp;"",""))</f>
        <v/>
      </c>
      <c r="AF4063" s="53">
        <f>IF(OR(P4063="",AB4063=""),"",IF(OR(P4063="Gasto",P4063="Transferencia",P4063="Pago tarjeta"),-1,1)*IF(IFERROR(INDEX(ctaMoneda,MATCH(AB4063,ctaNombre,0))&amp;"","DOP")="USD",T4063,S4063))</f>
        <v/>
      </c>
      <c r="AG4063" s="53">
        <f>IF(AC4063="","",IF(IFERROR(INDEX(ctaMoneda,MATCH(AC4063,ctaNombre,0))&amp;"","DOP")="USD",T4063,S4063))</f>
        <v/>
      </c>
      <c r="AH4063" s="53">
        <f>IF(P4063="","",IF(AND(AD4063&lt;&gt;"",COUNTIFS(tcTipo,AD4063,tcLiq,"Sí")&gt;0),IF(OR(P4063="Gasto",P4063="Transferencia",P4063="Pago tarjeta"),-1,1)*S4063,0)+IF(AND(AE4063&lt;&gt;"",COUNTIFS(tcTipo,AE4063,tcLiq,"Sí")&gt;0),S4063,0))</f>
        <v/>
      </c>
      <c r="AI4063" s="52">
        <f>IF(OR(L4063="",P4063=""),"",IF(COUNTIFS(L$6:L4063,L4063,P$6:P4063,"?*")=1,MAX(AI$5:AI4062)+1,""))</f>
        <v/>
      </c>
    </row>
    <row r="4064">
      <c r="B4064" s="47" t="n"/>
      <c r="C4064" s="48" t="n"/>
      <c r="D4064" s="48" t="n"/>
      <c r="E4064" s="48" t="n"/>
      <c r="F4064" s="48" t="n"/>
      <c r="G4064" s="49" t="n"/>
      <c r="H4064" s="48" t="n"/>
      <c r="I4064" s="50" t="n"/>
      <c r="J4064" s="48" t="n"/>
      <c r="K4064" s="48" t="n"/>
      <c r="L4064" s="48" t="n"/>
      <c r="M4064" s="48" t="n"/>
      <c r="N4064" s="48" t="n"/>
      <c r="O4064" s="51">
        <f>IF(AND(B4064="",G4064="",C4064="",D4064="",J4064=""),"",IF(B4064="","⚠ Falta fecha",IF(G4064="","⚠ Falta monto",IF(Q4064="","⚠ Falta cuenta",IF(ISNA(MATCH(Q4064,ctaNombre,0)),"⚠ Cuenta no registrada",IF(AND(OR(P4064="Gasto",P4064="Reembolso"),D4064=""),"⚠ Falta categoría",IF(AND(D4064&lt;&gt;"",E4064&lt;&gt;"",ISNA(MATCH(D4064&amp;"|"&amp;E4064,catClave,0))),"⚠ Subcategoría no corresponde",IF(AND(OR(P4064="Transferencia",P4064="Pago tarjeta"),K4064=""),"⚠ Falta cuenta destino",IF(AND(K4064&lt;&gt;"",P4064&lt;&gt;"Transferencia",P4064&lt;&gt;"Pago tarjeta"),"⚠ Destino solo aplica a transferencias",IF(AND(K4064&lt;&gt;"",K4064=Q4064),"⚠ Origen igual a destino",IF(AND(K4064&lt;&gt;"",ISNA(MATCH(K4064,ctaNombre,0))),"⚠ Destino no registrado",IF(AND(P4064="Pago tarjeta",AE4064&lt;&gt;"Tarjeta de crédito"),"⚠ El destino debe ser tarjeta de crédito",IF(AND(P4064="Gasto",E4064="Depósitos y retiros"),"⚠ Usa tipo Transferencia",IF(AND(P4064="Resultado trading",AD4064&lt;&gt;"Cuenta de trading"),"⚠ Usa una cuenta de trading",IF(AND(G4064&lt;=0,P4064&lt;&gt;"Ajuste",P4064&lt;&gt;"Resultado trading"),"⚠ El monto debe ser positivo","✓")))))))))))))))</f>
        <v/>
      </c>
      <c r="P4064" s="52">
        <f>IF(OR(B4064="",G4064=""),"",IF(C4064="","Gasto",C4064))</f>
        <v/>
      </c>
      <c r="Q4064" s="52">
        <f>IF(P4064="","",IF(J4064&lt;&gt;"",J4064,CuentaPred&amp;""))</f>
        <v/>
      </c>
      <c r="R4064" s="52">
        <f>IF(P4064="","",IF(ISNUMBER(I4064),I4064,TasaUSD))</f>
        <v/>
      </c>
      <c r="S4064" s="53">
        <f>IF(P4064="","",IF(H4064="USD",G4064*R4064,G4064))</f>
        <v/>
      </c>
      <c r="T4064" s="53">
        <f>IF(P4064="","",IF(H4064="USD",G4064,IF(R4064&gt;0,G4064/R4064,0)))</f>
        <v/>
      </c>
      <c r="U4064" s="53">
        <f>IF(P4064="","",IF(P4064="Gasto",S4064,IF(P4064="Reembolso",-S4064,0)))</f>
        <v/>
      </c>
      <c r="V4064" s="53">
        <f>IF(P4064="","",IF(P4064="Ingreso",S4064,0))</f>
        <v/>
      </c>
      <c r="W4064" s="53">
        <f>IF(P4064="","",IF(P4064="Resultado trading",S4064,0))</f>
        <v/>
      </c>
      <c r="X4064" s="52">
        <f>IF(OR(P4064="Gasto",P4064="Reembolso"),IF(M4064&lt;&gt;"",M4064,IFERROR(INDEX(catClasif,MATCH(D4064&amp;"|"&amp;E4064,catClave,0))&amp;"","Variable")),"")</f>
        <v/>
      </c>
      <c r="Y4064" s="52">
        <f>IF(P4064="","",IFERROR(INDEX(catGrupo,MATCH(D4064&amp;"|"&amp;E4064,catClave,0))&amp;"",""))</f>
        <v/>
      </c>
      <c r="Z4064" s="52">
        <f>IF(P4064="","",WEEKDAY(B4064,2))</f>
        <v/>
      </c>
      <c r="AA4064" s="52">
        <f>IF(P4064="","",IF(AND(P4064="Gasto",X4064="Variable",D4064&lt;&gt;catTrading,S4064&gt;0,S4064&lt;=Umbral),1,0))</f>
        <v/>
      </c>
      <c r="AB4064" s="52">
        <f>IF(OR(P4064="",Q4064=""),"",IFERROR(IF(INDEX(ctaVinc,MATCH(Q4064,ctaNombre,0))&amp;""&lt;&gt;"",INDEX(ctaVinc,MATCH(Q4064,ctaNombre,0))&amp;"",Q4064),Q4064))</f>
        <v/>
      </c>
      <c r="AC4064" s="52">
        <f>IF(OR(K4064="",AND(P4064&lt;&gt;"Transferencia",P4064&lt;&gt;"Pago tarjeta")),"",IFERROR(IF(INDEX(ctaVinc,MATCH(K4064,ctaNombre,0))&amp;""&lt;&gt;"",INDEX(ctaVinc,MATCH(K4064,ctaNombre,0))&amp;"",K4064),K4064))</f>
        <v/>
      </c>
      <c r="AD4064" s="52">
        <f>IF(AB4064="","",IFERROR(INDEX(ctaTipo,MATCH(AB4064,ctaNombre,0))&amp;"",""))</f>
        <v/>
      </c>
      <c r="AE4064" s="52">
        <f>IF(AC4064="","",IFERROR(INDEX(ctaTipo,MATCH(AC4064,ctaNombre,0))&amp;"",""))</f>
        <v/>
      </c>
      <c r="AF4064" s="53">
        <f>IF(OR(P4064="",AB4064=""),"",IF(OR(P4064="Gasto",P4064="Transferencia",P4064="Pago tarjeta"),-1,1)*IF(IFERROR(INDEX(ctaMoneda,MATCH(AB4064,ctaNombre,0))&amp;"","DOP")="USD",T4064,S4064))</f>
        <v/>
      </c>
      <c r="AG4064" s="53">
        <f>IF(AC4064="","",IF(IFERROR(INDEX(ctaMoneda,MATCH(AC4064,ctaNombre,0))&amp;"","DOP")="USD",T4064,S4064))</f>
        <v/>
      </c>
      <c r="AH4064" s="53">
        <f>IF(P4064="","",IF(AND(AD4064&lt;&gt;"",COUNTIFS(tcTipo,AD4064,tcLiq,"Sí")&gt;0),IF(OR(P4064="Gasto",P4064="Transferencia",P4064="Pago tarjeta"),-1,1)*S4064,0)+IF(AND(AE4064&lt;&gt;"",COUNTIFS(tcTipo,AE4064,tcLiq,"Sí")&gt;0),S4064,0))</f>
        <v/>
      </c>
      <c r="AI4064" s="52">
        <f>IF(OR(L4064="",P4064=""),"",IF(COUNTIFS(L$6:L4064,L4064,P$6:P4064,"?*")=1,MAX(AI$5:AI4063)+1,""))</f>
        <v/>
      </c>
    </row>
    <row r="4065">
      <c r="B4065" s="47" t="n"/>
      <c r="C4065" s="48" t="n"/>
      <c r="D4065" s="48" t="n"/>
      <c r="E4065" s="48" t="n"/>
      <c r="F4065" s="48" t="n"/>
      <c r="G4065" s="49" t="n"/>
      <c r="H4065" s="48" t="n"/>
      <c r="I4065" s="50" t="n"/>
      <c r="J4065" s="48" t="n"/>
      <c r="K4065" s="48" t="n"/>
      <c r="L4065" s="48" t="n"/>
      <c r="M4065" s="48" t="n"/>
      <c r="N4065" s="48" t="n"/>
      <c r="O4065" s="51">
        <f>IF(AND(B4065="",G4065="",C4065="",D4065="",J4065=""),"",IF(B4065="","⚠ Falta fecha",IF(G4065="","⚠ Falta monto",IF(Q4065="","⚠ Falta cuenta",IF(ISNA(MATCH(Q4065,ctaNombre,0)),"⚠ Cuenta no registrada",IF(AND(OR(P4065="Gasto",P4065="Reembolso"),D4065=""),"⚠ Falta categoría",IF(AND(D4065&lt;&gt;"",E4065&lt;&gt;"",ISNA(MATCH(D4065&amp;"|"&amp;E4065,catClave,0))),"⚠ Subcategoría no corresponde",IF(AND(OR(P4065="Transferencia",P4065="Pago tarjeta"),K4065=""),"⚠ Falta cuenta destino",IF(AND(K4065&lt;&gt;"",P4065&lt;&gt;"Transferencia",P4065&lt;&gt;"Pago tarjeta"),"⚠ Destino solo aplica a transferencias",IF(AND(K4065&lt;&gt;"",K4065=Q4065),"⚠ Origen igual a destino",IF(AND(K4065&lt;&gt;"",ISNA(MATCH(K4065,ctaNombre,0))),"⚠ Destino no registrado",IF(AND(P4065="Pago tarjeta",AE4065&lt;&gt;"Tarjeta de crédito"),"⚠ El destino debe ser tarjeta de crédito",IF(AND(P4065="Gasto",E4065="Depósitos y retiros"),"⚠ Usa tipo Transferencia",IF(AND(P4065="Resultado trading",AD4065&lt;&gt;"Cuenta de trading"),"⚠ Usa una cuenta de trading",IF(AND(G4065&lt;=0,P4065&lt;&gt;"Ajuste",P4065&lt;&gt;"Resultado trading"),"⚠ El monto debe ser positivo","✓")))))))))))))))</f>
        <v/>
      </c>
      <c r="P4065" s="52">
        <f>IF(OR(B4065="",G4065=""),"",IF(C4065="","Gasto",C4065))</f>
        <v/>
      </c>
      <c r="Q4065" s="52">
        <f>IF(P4065="","",IF(J4065&lt;&gt;"",J4065,CuentaPred&amp;""))</f>
        <v/>
      </c>
      <c r="R4065" s="52">
        <f>IF(P4065="","",IF(ISNUMBER(I4065),I4065,TasaUSD))</f>
        <v/>
      </c>
      <c r="S4065" s="53">
        <f>IF(P4065="","",IF(H4065="USD",G4065*R4065,G4065))</f>
        <v/>
      </c>
      <c r="T4065" s="53">
        <f>IF(P4065="","",IF(H4065="USD",G4065,IF(R4065&gt;0,G4065/R4065,0)))</f>
        <v/>
      </c>
      <c r="U4065" s="53">
        <f>IF(P4065="","",IF(P4065="Gasto",S4065,IF(P4065="Reembolso",-S4065,0)))</f>
        <v/>
      </c>
      <c r="V4065" s="53">
        <f>IF(P4065="","",IF(P4065="Ingreso",S4065,0))</f>
        <v/>
      </c>
      <c r="W4065" s="53">
        <f>IF(P4065="","",IF(P4065="Resultado trading",S4065,0))</f>
        <v/>
      </c>
      <c r="X4065" s="52">
        <f>IF(OR(P4065="Gasto",P4065="Reembolso"),IF(M4065&lt;&gt;"",M4065,IFERROR(INDEX(catClasif,MATCH(D4065&amp;"|"&amp;E4065,catClave,0))&amp;"","Variable")),"")</f>
        <v/>
      </c>
      <c r="Y4065" s="52">
        <f>IF(P4065="","",IFERROR(INDEX(catGrupo,MATCH(D4065&amp;"|"&amp;E4065,catClave,0))&amp;"",""))</f>
        <v/>
      </c>
      <c r="Z4065" s="52">
        <f>IF(P4065="","",WEEKDAY(B4065,2))</f>
        <v/>
      </c>
      <c r="AA4065" s="52">
        <f>IF(P4065="","",IF(AND(P4065="Gasto",X4065="Variable",D4065&lt;&gt;catTrading,S4065&gt;0,S4065&lt;=Umbral),1,0))</f>
        <v/>
      </c>
      <c r="AB4065" s="52">
        <f>IF(OR(P4065="",Q4065=""),"",IFERROR(IF(INDEX(ctaVinc,MATCH(Q4065,ctaNombre,0))&amp;""&lt;&gt;"",INDEX(ctaVinc,MATCH(Q4065,ctaNombre,0))&amp;"",Q4065),Q4065))</f>
        <v/>
      </c>
      <c r="AC4065" s="52">
        <f>IF(OR(K4065="",AND(P4065&lt;&gt;"Transferencia",P4065&lt;&gt;"Pago tarjeta")),"",IFERROR(IF(INDEX(ctaVinc,MATCH(K4065,ctaNombre,0))&amp;""&lt;&gt;"",INDEX(ctaVinc,MATCH(K4065,ctaNombre,0))&amp;"",K4065),K4065))</f>
        <v/>
      </c>
      <c r="AD4065" s="52">
        <f>IF(AB4065="","",IFERROR(INDEX(ctaTipo,MATCH(AB4065,ctaNombre,0))&amp;"",""))</f>
        <v/>
      </c>
      <c r="AE4065" s="52">
        <f>IF(AC4065="","",IFERROR(INDEX(ctaTipo,MATCH(AC4065,ctaNombre,0))&amp;"",""))</f>
        <v/>
      </c>
      <c r="AF4065" s="53">
        <f>IF(OR(P4065="",AB4065=""),"",IF(OR(P4065="Gasto",P4065="Transferencia",P4065="Pago tarjeta"),-1,1)*IF(IFERROR(INDEX(ctaMoneda,MATCH(AB4065,ctaNombre,0))&amp;"","DOP")="USD",T4065,S4065))</f>
        <v/>
      </c>
      <c r="AG4065" s="53">
        <f>IF(AC4065="","",IF(IFERROR(INDEX(ctaMoneda,MATCH(AC4065,ctaNombre,0))&amp;"","DOP")="USD",T4065,S4065))</f>
        <v/>
      </c>
      <c r="AH4065" s="53">
        <f>IF(P4065="","",IF(AND(AD4065&lt;&gt;"",COUNTIFS(tcTipo,AD4065,tcLiq,"Sí")&gt;0),IF(OR(P4065="Gasto",P4065="Transferencia",P4065="Pago tarjeta"),-1,1)*S4065,0)+IF(AND(AE4065&lt;&gt;"",COUNTIFS(tcTipo,AE4065,tcLiq,"Sí")&gt;0),S4065,0))</f>
        <v/>
      </c>
      <c r="AI4065" s="52">
        <f>IF(OR(L4065="",P4065=""),"",IF(COUNTIFS(L$6:L4065,L4065,P$6:P4065,"?*")=1,MAX(AI$5:AI4064)+1,""))</f>
        <v/>
      </c>
    </row>
    <row r="4066">
      <c r="B4066" s="47" t="n"/>
      <c r="C4066" s="48" t="n"/>
      <c r="D4066" s="48" t="n"/>
      <c r="E4066" s="48" t="n"/>
      <c r="F4066" s="48" t="n"/>
      <c r="G4066" s="49" t="n"/>
      <c r="H4066" s="48" t="n"/>
      <c r="I4066" s="50" t="n"/>
      <c r="J4066" s="48" t="n"/>
      <c r="K4066" s="48" t="n"/>
      <c r="L4066" s="48" t="n"/>
      <c r="M4066" s="48" t="n"/>
      <c r="N4066" s="48" t="n"/>
      <c r="O4066" s="51">
        <f>IF(AND(B4066="",G4066="",C4066="",D4066="",J4066=""),"",IF(B4066="","⚠ Falta fecha",IF(G4066="","⚠ Falta monto",IF(Q4066="","⚠ Falta cuenta",IF(ISNA(MATCH(Q4066,ctaNombre,0)),"⚠ Cuenta no registrada",IF(AND(OR(P4066="Gasto",P4066="Reembolso"),D4066=""),"⚠ Falta categoría",IF(AND(D4066&lt;&gt;"",E4066&lt;&gt;"",ISNA(MATCH(D4066&amp;"|"&amp;E4066,catClave,0))),"⚠ Subcategoría no corresponde",IF(AND(OR(P4066="Transferencia",P4066="Pago tarjeta"),K4066=""),"⚠ Falta cuenta destino",IF(AND(K4066&lt;&gt;"",P4066&lt;&gt;"Transferencia",P4066&lt;&gt;"Pago tarjeta"),"⚠ Destino solo aplica a transferencias",IF(AND(K4066&lt;&gt;"",K4066=Q4066),"⚠ Origen igual a destino",IF(AND(K4066&lt;&gt;"",ISNA(MATCH(K4066,ctaNombre,0))),"⚠ Destino no registrado",IF(AND(P4066="Pago tarjeta",AE4066&lt;&gt;"Tarjeta de crédito"),"⚠ El destino debe ser tarjeta de crédito",IF(AND(P4066="Gasto",E4066="Depósitos y retiros"),"⚠ Usa tipo Transferencia",IF(AND(P4066="Resultado trading",AD4066&lt;&gt;"Cuenta de trading"),"⚠ Usa una cuenta de trading",IF(AND(G4066&lt;=0,P4066&lt;&gt;"Ajuste",P4066&lt;&gt;"Resultado trading"),"⚠ El monto debe ser positivo","✓")))))))))))))))</f>
        <v/>
      </c>
      <c r="P4066" s="52">
        <f>IF(OR(B4066="",G4066=""),"",IF(C4066="","Gasto",C4066))</f>
        <v/>
      </c>
      <c r="Q4066" s="52">
        <f>IF(P4066="","",IF(J4066&lt;&gt;"",J4066,CuentaPred&amp;""))</f>
        <v/>
      </c>
      <c r="R4066" s="52">
        <f>IF(P4066="","",IF(ISNUMBER(I4066),I4066,TasaUSD))</f>
        <v/>
      </c>
      <c r="S4066" s="53">
        <f>IF(P4066="","",IF(H4066="USD",G4066*R4066,G4066))</f>
        <v/>
      </c>
      <c r="T4066" s="53">
        <f>IF(P4066="","",IF(H4066="USD",G4066,IF(R4066&gt;0,G4066/R4066,0)))</f>
        <v/>
      </c>
      <c r="U4066" s="53">
        <f>IF(P4066="","",IF(P4066="Gasto",S4066,IF(P4066="Reembolso",-S4066,0)))</f>
        <v/>
      </c>
      <c r="V4066" s="53">
        <f>IF(P4066="","",IF(P4066="Ingreso",S4066,0))</f>
        <v/>
      </c>
      <c r="W4066" s="53">
        <f>IF(P4066="","",IF(P4066="Resultado trading",S4066,0))</f>
        <v/>
      </c>
      <c r="X4066" s="52">
        <f>IF(OR(P4066="Gasto",P4066="Reembolso"),IF(M4066&lt;&gt;"",M4066,IFERROR(INDEX(catClasif,MATCH(D4066&amp;"|"&amp;E4066,catClave,0))&amp;"","Variable")),"")</f>
        <v/>
      </c>
      <c r="Y4066" s="52">
        <f>IF(P4066="","",IFERROR(INDEX(catGrupo,MATCH(D4066&amp;"|"&amp;E4066,catClave,0))&amp;"",""))</f>
        <v/>
      </c>
      <c r="Z4066" s="52">
        <f>IF(P4066="","",WEEKDAY(B4066,2))</f>
        <v/>
      </c>
      <c r="AA4066" s="52">
        <f>IF(P4066="","",IF(AND(P4066="Gasto",X4066="Variable",D4066&lt;&gt;catTrading,S4066&gt;0,S4066&lt;=Umbral),1,0))</f>
        <v/>
      </c>
      <c r="AB4066" s="52">
        <f>IF(OR(P4066="",Q4066=""),"",IFERROR(IF(INDEX(ctaVinc,MATCH(Q4066,ctaNombre,0))&amp;""&lt;&gt;"",INDEX(ctaVinc,MATCH(Q4066,ctaNombre,0))&amp;"",Q4066),Q4066))</f>
        <v/>
      </c>
      <c r="AC4066" s="52">
        <f>IF(OR(K4066="",AND(P4066&lt;&gt;"Transferencia",P4066&lt;&gt;"Pago tarjeta")),"",IFERROR(IF(INDEX(ctaVinc,MATCH(K4066,ctaNombre,0))&amp;""&lt;&gt;"",INDEX(ctaVinc,MATCH(K4066,ctaNombre,0))&amp;"",K4066),K4066))</f>
        <v/>
      </c>
      <c r="AD4066" s="52">
        <f>IF(AB4066="","",IFERROR(INDEX(ctaTipo,MATCH(AB4066,ctaNombre,0))&amp;"",""))</f>
        <v/>
      </c>
      <c r="AE4066" s="52">
        <f>IF(AC4066="","",IFERROR(INDEX(ctaTipo,MATCH(AC4066,ctaNombre,0))&amp;"",""))</f>
        <v/>
      </c>
      <c r="AF4066" s="53">
        <f>IF(OR(P4066="",AB4066=""),"",IF(OR(P4066="Gasto",P4066="Transferencia",P4066="Pago tarjeta"),-1,1)*IF(IFERROR(INDEX(ctaMoneda,MATCH(AB4066,ctaNombre,0))&amp;"","DOP")="USD",T4066,S4066))</f>
        <v/>
      </c>
      <c r="AG4066" s="53">
        <f>IF(AC4066="","",IF(IFERROR(INDEX(ctaMoneda,MATCH(AC4066,ctaNombre,0))&amp;"","DOP")="USD",T4066,S4066))</f>
        <v/>
      </c>
      <c r="AH4066" s="53">
        <f>IF(P4066="","",IF(AND(AD4066&lt;&gt;"",COUNTIFS(tcTipo,AD4066,tcLiq,"Sí")&gt;0),IF(OR(P4066="Gasto",P4066="Transferencia",P4066="Pago tarjeta"),-1,1)*S4066,0)+IF(AND(AE4066&lt;&gt;"",COUNTIFS(tcTipo,AE4066,tcLiq,"Sí")&gt;0),S4066,0))</f>
        <v/>
      </c>
      <c r="AI4066" s="52">
        <f>IF(OR(L4066="",P4066=""),"",IF(COUNTIFS(L$6:L4066,L4066,P$6:P4066,"?*")=1,MAX(AI$5:AI4065)+1,""))</f>
        <v/>
      </c>
    </row>
    <row r="4067">
      <c r="B4067" s="47" t="n"/>
      <c r="C4067" s="48" t="n"/>
      <c r="D4067" s="48" t="n"/>
      <c r="E4067" s="48" t="n"/>
      <c r="F4067" s="48" t="n"/>
      <c r="G4067" s="49" t="n"/>
      <c r="H4067" s="48" t="n"/>
      <c r="I4067" s="50" t="n"/>
      <c r="J4067" s="48" t="n"/>
      <c r="K4067" s="48" t="n"/>
      <c r="L4067" s="48" t="n"/>
      <c r="M4067" s="48" t="n"/>
      <c r="N4067" s="48" t="n"/>
      <c r="O4067" s="51">
        <f>IF(AND(B4067="",G4067="",C4067="",D4067="",J4067=""),"",IF(B4067="","⚠ Falta fecha",IF(G4067="","⚠ Falta monto",IF(Q4067="","⚠ Falta cuenta",IF(ISNA(MATCH(Q4067,ctaNombre,0)),"⚠ Cuenta no registrada",IF(AND(OR(P4067="Gasto",P4067="Reembolso"),D4067=""),"⚠ Falta categoría",IF(AND(D4067&lt;&gt;"",E4067&lt;&gt;"",ISNA(MATCH(D4067&amp;"|"&amp;E4067,catClave,0))),"⚠ Subcategoría no corresponde",IF(AND(OR(P4067="Transferencia",P4067="Pago tarjeta"),K4067=""),"⚠ Falta cuenta destino",IF(AND(K4067&lt;&gt;"",P4067&lt;&gt;"Transferencia",P4067&lt;&gt;"Pago tarjeta"),"⚠ Destino solo aplica a transferencias",IF(AND(K4067&lt;&gt;"",K4067=Q4067),"⚠ Origen igual a destino",IF(AND(K4067&lt;&gt;"",ISNA(MATCH(K4067,ctaNombre,0))),"⚠ Destino no registrado",IF(AND(P4067="Pago tarjeta",AE4067&lt;&gt;"Tarjeta de crédito"),"⚠ El destino debe ser tarjeta de crédito",IF(AND(P4067="Gasto",E4067="Depósitos y retiros"),"⚠ Usa tipo Transferencia",IF(AND(P4067="Resultado trading",AD4067&lt;&gt;"Cuenta de trading"),"⚠ Usa una cuenta de trading",IF(AND(G4067&lt;=0,P4067&lt;&gt;"Ajuste",P4067&lt;&gt;"Resultado trading"),"⚠ El monto debe ser positivo","✓")))))))))))))))</f>
        <v/>
      </c>
      <c r="P4067" s="52">
        <f>IF(OR(B4067="",G4067=""),"",IF(C4067="","Gasto",C4067))</f>
        <v/>
      </c>
      <c r="Q4067" s="52">
        <f>IF(P4067="","",IF(J4067&lt;&gt;"",J4067,CuentaPred&amp;""))</f>
        <v/>
      </c>
      <c r="R4067" s="52">
        <f>IF(P4067="","",IF(ISNUMBER(I4067),I4067,TasaUSD))</f>
        <v/>
      </c>
      <c r="S4067" s="53">
        <f>IF(P4067="","",IF(H4067="USD",G4067*R4067,G4067))</f>
        <v/>
      </c>
      <c r="T4067" s="53">
        <f>IF(P4067="","",IF(H4067="USD",G4067,IF(R4067&gt;0,G4067/R4067,0)))</f>
        <v/>
      </c>
      <c r="U4067" s="53">
        <f>IF(P4067="","",IF(P4067="Gasto",S4067,IF(P4067="Reembolso",-S4067,0)))</f>
        <v/>
      </c>
      <c r="V4067" s="53">
        <f>IF(P4067="","",IF(P4067="Ingreso",S4067,0))</f>
        <v/>
      </c>
      <c r="W4067" s="53">
        <f>IF(P4067="","",IF(P4067="Resultado trading",S4067,0))</f>
        <v/>
      </c>
      <c r="X4067" s="52">
        <f>IF(OR(P4067="Gasto",P4067="Reembolso"),IF(M4067&lt;&gt;"",M4067,IFERROR(INDEX(catClasif,MATCH(D4067&amp;"|"&amp;E4067,catClave,0))&amp;"","Variable")),"")</f>
        <v/>
      </c>
      <c r="Y4067" s="52">
        <f>IF(P4067="","",IFERROR(INDEX(catGrupo,MATCH(D4067&amp;"|"&amp;E4067,catClave,0))&amp;"",""))</f>
        <v/>
      </c>
      <c r="Z4067" s="52">
        <f>IF(P4067="","",WEEKDAY(B4067,2))</f>
        <v/>
      </c>
      <c r="AA4067" s="52">
        <f>IF(P4067="","",IF(AND(P4067="Gasto",X4067="Variable",D4067&lt;&gt;catTrading,S4067&gt;0,S4067&lt;=Umbral),1,0))</f>
        <v/>
      </c>
      <c r="AB4067" s="52">
        <f>IF(OR(P4067="",Q4067=""),"",IFERROR(IF(INDEX(ctaVinc,MATCH(Q4067,ctaNombre,0))&amp;""&lt;&gt;"",INDEX(ctaVinc,MATCH(Q4067,ctaNombre,0))&amp;"",Q4067),Q4067))</f>
        <v/>
      </c>
      <c r="AC4067" s="52">
        <f>IF(OR(K4067="",AND(P4067&lt;&gt;"Transferencia",P4067&lt;&gt;"Pago tarjeta")),"",IFERROR(IF(INDEX(ctaVinc,MATCH(K4067,ctaNombre,0))&amp;""&lt;&gt;"",INDEX(ctaVinc,MATCH(K4067,ctaNombre,0))&amp;"",K4067),K4067))</f>
        <v/>
      </c>
      <c r="AD4067" s="52">
        <f>IF(AB4067="","",IFERROR(INDEX(ctaTipo,MATCH(AB4067,ctaNombre,0))&amp;"",""))</f>
        <v/>
      </c>
      <c r="AE4067" s="52">
        <f>IF(AC4067="","",IFERROR(INDEX(ctaTipo,MATCH(AC4067,ctaNombre,0))&amp;"",""))</f>
        <v/>
      </c>
      <c r="AF4067" s="53">
        <f>IF(OR(P4067="",AB4067=""),"",IF(OR(P4067="Gasto",P4067="Transferencia",P4067="Pago tarjeta"),-1,1)*IF(IFERROR(INDEX(ctaMoneda,MATCH(AB4067,ctaNombre,0))&amp;"","DOP")="USD",T4067,S4067))</f>
        <v/>
      </c>
      <c r="AG4067" s="53">
        <f>IF(AC4067="","",IF(IFERROR(INDEX(ctaMoneda,MATCH(AC4067,ctaNombre,0))&amp;"","DOP")="USD",T4067,S4067))</f>
        <v/>
      </c>
      <c r="AH4067" s="53">
        <f>IF(P4067="","",IF(AND(AD4067&lt;&gt;"",COUNTIFS(tcTipo,AD4067,tcLiq,"Sí")&gt;0),IF(OR(P4067="Gasto",P4067="Transferencia",P4067="Pago tarjeta"),-1,1)*S4067,0)+IF(AND(AE4067&lt;&gt;"",COUNTIFS(tcTipo,AE4067,tcLiq,"Sí")&gt;0),S4067,0))</f>
        <v/>
      </c>
      <c r="AI4067" s="52">
        <f>IF(OR(L4067="",P4067=""),"",IF(COUNTIFS(L$6:L4067,L4067,P$6:P4067,"?*")=1,MAX(AI$5:AI4066)+1,""))</f>
        <v/>
      </c>
    </row>
    <row r="4068">
      <c r="B4068" s="47" t="n"/>
      <c r="C4068" s="48" t="n"/>
      <c r="D4068" s="48" t="n"/>
      <c r="E4068" s="48" t="n"/>
      <c r="F4068" s="48" t="n"/>
      <c r="G4068" s="49" t="n"/>
      <c r="H4068" s="48" t="n"/>
      <c r="I4068" s="50" t="n"/>
      <c r="J4068" s="48" t="n"/>
      <c r="K4068" s="48" t="n"/>
      <c r="L4068" s="48" t="n"/>
      <c r="M4068" s="48" t="n"/>
      <c r="N4068" s="48" t="n"/>
      <c r="O4068" s="51">
        <f>IF(AND(B4068="",G4068="",C4068="",D4068="",J4068=""),"",IF(B4068="","⚠ Falta fecha",IF(G4068="","⚠ Falta monto",IF(Q4068="","⚠ Falta cuenta",IF(ISNA(MATCH(Q4068,ctaNombre,0)),"⚠ Cuenta no registrada",IF(AND(OR(P4068="Gasto",P4068="Reembolso"),D4068=""),"⚠ Falta categoría",IF(AND(D4068&lt;&gt;"",E4068&lt;&gt;"",ISNA(MATCH(D4068&amp;"|"&amp;E4068,catClave,0))),"⚠ Subcategoría no corresponde",IF(AND(OR(P4068="Transferencia",P4068="Pago tarjeta"),K4068=""),"⚠ Falta cuenta destino",IF(AND(K4068&lt;&gt;"",P4068&lt;&gt;"Transferencia",P4068&lt;&gt;"Pago tarjeta"),"⚠ Destino solo aplica a transferencias",IF(AND(K4068&lt;&gt;"",K4068=Q4068),"⚠ Origen igual a destino",IF(AND(K4068&lt;&gt;"",ISNA(MATCH(K4068,ctaNombre,0))),"⚠ Destino no registrado",IF(AND(P4068="Pago tarjeta",AE4068&lt;&gt;"Tarjeta de crédito"),"⚠ El destino debe ser tarjeta de crédito",IF(AND(P4068="Gasto",E4068="Depósitos y retiros"),"⚠ Usa tipo Transferencia",IF(AND(P4068="Resultado trading",AD4068&lt;&gt;"Cuenta de trading"),"⚠ Usa una cuenta de trading",IF(AND(G4068&lt;=0,P4068&lt;&gt;"Ajuste",P4068&lt;&gt;"Resultado trading"),"⚠ El monto debe ser positivo","✓")))))))))))))))</f>
        <v/>
      </c>
      <c r="P4068" s="52">
        <f>IF(OR(B4068="",G4068=""),"",IF(C4068="","Gasto",C4068))</f>
        <v/>
      </c>
      <c r="Q4068" s="52">
        <f>IF(P4068="","",IF(J4068&lt;&gt;"",J4068,CuentaPred&amp;""))</f>
        <v/>
      </c>
      <c r="R4068" s="52">
        <f>IF(P4068="","",IF(ISNUMBER(I4068),I4068,TasaUSD))</f>
        <v/>
      </c>
      <c r="S4068" s="53">
        <f>IF(P4068="","",IF(H4068="USD",G4068*R4068,G4068))</f>
        <v/>
      </c>
      <c r="T4068" s="53">
        <f>IF(P4068="","",IF(H4068="USD",G4068,IF(R4068&gt;0,G4068/R4068,0)))</f>
        <v/>
      </c>
      <c r="U4068" s="53">
        <f>IF(P4068="","",IF(P4068="Gasto",S4068,IF(P4068="Reembolso",-S4068,0)))</f>
        <v/>
      </c>
      <c r="V4068" s="53">
        <f>IF(P4068="","",IF(P4068="Ingreso",S4068,0))</f>
        <v/>
      </c>
      <c r="W4068" s="53">
        <f>IF(P4068="","",IF(P4068="Resultado trading",S4068,0))</f>
        <v/>
      </c>
      <c r="X4068" s="52">
        <f>IF(OR(P4068="Gasto",P4068="Reembolso"),IF(M4068&lt;&gt;"",M4068,IFERROR(INDEX(catClasif,MATCH(D4068&amp;"|"&amp;E4068,catClave,0))&amp;"","Variable")),"")</f>
        <v/>
      </c>
      <c r="Y4068" s="52">
        <f>IF(P4068="","",IFERROR(INDEX(catGrupo,MATCH(D4068&amp;"|"&amp;E4068,catClave,0))&amp;"",""))</f>
        <v/>
      </c>
      <c r="Z4068" s="52">
        <f>IF(P4068="","",WEEKDAY(B4068,2))</f>
        <v/>
      </c>
      <c r="AA4068" s="52">
        <f>IF(P4068="","",IF(AND(P4068="Gasto",X4068="Variable",D4068&lt;&gt;catTrading,S4068&gt;0,S4068&lt;=Umbral),1,0))</f>
        <v/>
      </c>
      <c r="AB4068" s="52">
        <f>IF(OR(P4068="",Q4068=""),"",IFERROR(IF(INDEX(ctaVinc,MATCH(Q4068,ctaNombre,0))&amp;""&lt;&gt;"",INDEX(ctaVinc,MATCH(Q4068,ctaNombre,0))&amp;"",Q4068),Q4068))</f>
        <v/>
      </c>
      <c r="AC4068" s="52">
        <f>IF(OR(K4068="",AND(P4068&lt;&gt;"Transferencia",P4068&lt;&gt;"Pago tarjeta")),"",IFERROR(IF(INDEX(ctaVinc,MATCH(K4068,ctaNombre,0))&amp;""&lt;&gt;"",INDEX(ctaVinc,MATCH(K4068,ctaNombre,0))&amp;"",K4068),K4068))</f>
        <v/>
      </c>
      <c r="AD4068" s="52">
        <f>IF(AB4068="","",IFERROR(INDEX(ctaTipo,MATCH(AB4068,ctaNombre,0))&amp;"",""))</f>
        <v/>
      </c>
      <c r="AE4068" s="52">
        <f>IF(AC4068="","",IFERROR(INDEX(ctaTipo,MATCH(AC4068,ctaNombre,0))&amp;"",""))</f>
        <v/>
      </c>
      <c r="AF4068" s="53">
        <f>IF(OR(P4068="",AB4068=""),"",IF(OR(P4068="Gasto",P4068="Transferencia",P4068="Pago tarjeta"),-1,1)*IF(IFERROR(INDEX(ctaMoneda,MATCH(AB4068,ctaNombre,0))&amp;"","DOP")="USD",T4068,S4068))</f>
        <v/>
      </c>
      <c r="AG4068" s="53">
        <f>IF(AC4068="","",IF(IFERROR(INDEX(ctaMoneda,MATCH(AC4068,ctaNombre,0))&amp;"","DOP")="USD",T4068,S4068))</f>
        <v/>
      </c>
      <c r="AH4068" s="53">
        <f>IF(P4068="","",IF(AND(AD4068&lt;&gt;"",COUNTIFS(tcTipo,AD4068,tcLiq,"Sí")&gt;0),IF(OR(P4068="Gasto",P4068="Transferencia",P4068="Pago tarjeta"),-1,1)*S4068,0)+IF(AND(AE4068&lt;&gt;"",COUNTIFS(tcTipo,AE4068,tcLiq,"Sí")&gt;0),S4068,0))</f>
        <v/>
      </c>
      <c r="AI4068" s="52">
        <f>IF(OR(L4068="",P4068=""),"",IF(COUNTIFS(L$6:L4068,L4068,P$6:P4068,"?*")=1,MAX(AI$5:AI4067)+1,""))</f>
        <v/>
      </c>
    </row>
    <row r="4069">
      <c r="B4069" s="47" t="n"/>
      <c r="C4069" s="48" t="n"/>
      <c r="D4069" s="48" t="n"/>
      <c r="E4069" s="48" t="n"/>
      <c r="F4069" s="48" t="n"/>
      <c r="G4069" s="49" t="n"/>
      <c r="H4069" s="48" t="n"/>
      <c r="I4069" s="50" t="n"/>
      <c r="J4069" s="48" t="n"/>
      <c r="K4069" s="48" t="n"/>
      <c r="L4069" s="48" t="n"/>
      <c r="M4069" s="48" t="n"/>
      <c r="N4069" s="48" t="n"/>
      <c r="O4069" s="51">
        <f>IF(AND(B4069="",G4069="",C4069="",D4069="",J4069=""),"",IF(B4069="","⚠ Falta fecha",IF(G4069="","⚠ Falta monto",IF(Q4069="","⚠ Falta cuenta",IF(ISNA(MATCH(Q4069,ctaNombre,0)),"⚠ Cuenta no registrada",IF(AND(OR(P4069="Gasto",P4069="Reembolso"),D4069=""),"⚠ Falta categoría",IF(AND(D4069&lt;&gt;"",E4069&lt;&gt;"",ISNA(MATCH(D4069&amp;"|"&amp;E4069,catClave,0))),"⚠ Subcategoría no corresponde",IF(AND(OR(P4069="Transferencia",P4069="Pago tarjeta"),K4069=""),"⚠ Falta cuenta destino",IF(AND(K4069&lt;&gt;"",P4069&lt;&gt;"Transferencia",P4069&lt;&gt;"Pago tarjeta"),"⚠ Destino solo aplica a transferencias",IF(AND(K4069&lt;&gt;"",K4069=Q4069),"⚠ Origen igual a destino",IF(AND(K4069&lt;&gt;"",ISNA(MATCH(K4069,ctaNombre,0))),"⚠ Destino no registrado",IF(AND(P4069="Pago tarjeta",AE4069&lt;&gt;"Tarjeta de crédito"),"⚠ El destino debe ser tarjeta de crédito",IF(AND(P4069="Gasto",E4069="Depósitos y retiros"),"⚠ Usa tipo Transferencia",IF(AND(P4069="Resultado trading",AD4069&lt;&gt;"Cuenta de trading"),"⚠ Usa una cuenta de trading",IF(AND(G4069&lt;=0,P4069&lt;&gt;"Ajuste",P4069&lt;&gt;"Resultado trading"),"⚠ El monto debe ser positivo","✓")))))))))))))))</f>
        <v/>
      </c>
      <c r="P4069" s="52">
        <f>IF(OR(B4069="",G4069=""),"",IF(C4069="","Gasto",C4069))</f>
        <v/>
      </c>
      <c r="Q4069" s="52">
        <f>IF(P4069="","",IF(J4069&lt;&gt;"",J4069,CuentaPred&amp;""))</f>
        <v/>
      </c>
      <c r="R4069" s="52">
        <f>IF(P4069="","",IF(ISNUMBER(I4069),I4069,TasaUSD))</f>
        <v/>
      </c>
      <c r="S4069" s="53">
        <f>IF(P4069="","",IF(H4069="USD",G4069*R4069,G4069))</f>
        <v/>
      </c>
      <c r="T4069" s="53">
        <f>IF(P4069="","",IF(H4069="USD",G4069,IF(R4069&gt;0,G4069/R4069,0)))</f>
        <v/>
      </c>
      <c r="U4069" s="53">
        <f>IF(P4069="","",IF(P4069="Gasto",S4069,IF(P4069="Reembolso",-S4069,0)))</f>
        <v/>
      </c>
      <c r="V4069" s="53">
        <f>IF(P4069="","",IF(P4069="Ingreso",S4069,0))</f>
        <v/>
      </c>
      <c r="W4069" s="53">
        <f>IF(P4069="","",IF(P4069="Resultado trading",S4069,0))</f>
        <v/>
      </c>
      <c r="X4069" s="52">
        <f>IF(OR(P4069="Gasto",P4069="Reembolso"),IF(M4069&lt;&gt;"",M4069,IFERROR(INDEX(catClasif,MATCH(D4069&amp;"|"&amp;E4069,catClave,0))&amp;"","Variable")),"")</f>
        <v/>
      </c>
      <c r="Y4069" s="52">
        <f>IF(P4069="","",IFERROR(INDEX(catGrupo,MATCH(D4069&amp;"|"&amp;E4069,catClave,0))&amp;"",""))</f>
        <v/>
      </c>
      <c r="Z4069" s="52">
        <f>IF(P4069="","",WEEKDAY(B4069,2))</f>
        <v/>
      </c>
      <c r="AA4069" s="52">
        <f>IF(P4069="","",IF(AND(P4069="Gasto",X4069="Variable",D4069&lt;&gt;catTrading,S4069&gt;0,S4069&lt;=Umbral),1,0))</f>
        <v/>
      </c>
      <c r="AB4069" s="52">
        <f>IF(OR(P4069="",Q4069=""),"",IFERROR(IF(INDEX(ctaVinc,MATCH(Q4069,ctaNombre,0))&amp;""&lt;&gt;"",INDEX(ctaVinc,MATCH(Q4069,ctaNombre,0))&amp;"",Q4069),Q4069))</f>
        <v/>
      </c>
      <c r="AC4069" s="52">
        <f>IF(OR(K4069="",AND(P4069&lt;&gt;"Transferencia",P4069&lt;&gt;"Pago tarjeta")),"",IFERROR(IF(INDEX(ctaVinc,MATCH(K4069,ctaNombre,0))&amp;""&lt;&gt;"",INDEX(ctaVinc,MATCH(K4069,ctaNombre,0))&amp;"",K4069),K4069))</f>
        <v/>
      </c>
      <c r="AD4069" s="52">
        <f>IF(AB4069="","",IFERROR(INDEX(ctaTipo,MATCH(AB4069,ctaNombre,0))&amp;"",""))</f>
        <v/>
      </c>
      <c r="AE4069" s="52">
        <f>IF(AC4069="","",IFERROR(INDEX(ctaTipo,MATCH(AC4069,ctaNombre,0))&amp;"",""))</f>
        <v/>
      </c>
      <c r="AF4069" s="53">
        <f>IF(OR(P4069="",AB4069=""),"",IF(OR(P4069="Gasto",P4069="Transferencia",P4069="Pago tarjeta"),-1,1)*IF(IFERROR(INDEX(ctaMoneda,MATCH(AB4069,ctaNombre,0))&amp;"","DOP")="USD",T4069,S4069))</f>
        <v/>
      </c>
      <c r="AG4069" s="53">
        <f>IF(AC4069="","",IF(IFERROR(INDEX(ctaMoneda,MATCH(AC4069,ctaNombre,0))&amp;"","DOP")="USD",T4069,S4069))</f>
        <v/>
      </c>
      <c r="AH4069" s="53">
        <f>IF(P4069="","",IF(AND(AD4069&lt;&gt;"",COUNTIFS(tcTipo,AD4069,tcLiq,"Sí")&gt;0),IF(OR(P4069="Gasto",P4069="Transferencia",P4069="Pago tarjeta"),-1,1)*S4069,0)+IF(AND(AE4069&lt;&gt;"",COUNTIFS(tcTipo,AE4069,tcLiq,"Sí")&gt;0),S4069,0))</f>
        <v/>
      </c>
      <c r="AI4069" s="52">
        <f>IF(OR(L4069="",P4069=""),"",IF(COUNTIFS(L$6:L4069,L4069,P$6:P4069,"?*")=1,MAX(AI$5:AI4068)+1,""))</f>
        <v/>
      </c>
    </row>
    <row r="4070">
      <c r="B4070" s="47" t="n"/>
      <c r="C4070" s="48" t="n"/>
      <c r="D4070" s="48" t="n"/>
      <c r="E4070" s="48" t="n"/>
      <c r="F4070" s="48" t="n"/>
      <c r="G4070" s="49" t="n"/>
      <c r="H4070" s="48" t="n"/>
      <c r="I4070" s="50" t="n"/>
      <c r="J4070" s="48" t="n"/>
      <c r="K4070" s="48" t="n"/>
      <c r="L4070" s="48" t="n"/>
      <c r="M4070" s="48" t="n"/>
      <c r="N4070" s="48" t="n"/>
      <c r="O4070" s="51">
        <f>IF(AND(B4070="",G4070="",C4070="",D4070="",J4070=""),"",IF(B4070="","⚠ Falta fecha",IF(G4070="","⚠ Falta monto",IF(Q4070="","⚠ Falta cuenta",IF(ISNA(MATCH(Q4070,ctaNombre,0)),"⚠ Cuenta no registrada",IF(AND(OR(P4070="Gasto",P4070="Reembolso"),D4070=""),"⚠ Falta categoría",IF(AND(D4070&lt;&gt;"",E4070&lt;&gt;"",ISNA(MATCH(D4070&amp;"|"&amp;E4070,catClave,0))),"⚠ Subcategoría no corresponde",IF(AND(OR(P4070="Transferencia",P4070="Pago tarjeta"),K4070=""),"⚠ Falta cuenta destino",IF(AND(K4070&lt;&gt;"",P4070&lt;&gt;"Transferencia",P4070&lt;&gt;"Pago tarjeta"),"⚠ Destino solo aplica a transferencias",IF(AND(K4070&lt;&gt;"",K4070=Q4070),"⚠ Origen igual a destino",IF(AND(K4070&lt;&gt;"",ISNA(MATCH(K4070,ctaNombre,0))),"⚠ Destino no registrado",IF(AND(P4070="Pago tarjeta",AE4070&lt;&gt;"Tarjeta de crédito"),"⚠ El destino debe ser tarjeta de crédito",IF(AND(P4070="Gasto",E4070="Depósitos y retiros"),"⚠ Usa tipo Transferencia",IF(AND(P4070="Resultado trading",AD4070&lt;&gt;"Cuenta de trading"),"⚠ Usa una cuenta de trading",IF(AND(G4070&lt;=0,P4070&lt;&gt;"Ajuste",P4070&lt;&gt;"Resultado trading"),"⚠ El monto debe ser positivo","✓")))))))))))))))</f>
        <v/>
      </c>
      <c r="P4070" s="52">
        <f>IF(OR(B4070="",G4070=""),"",IF(C4070="","Gasto",C4070))</f>
        <v/>
      </c>
      <c r="Q4070" s="52">
        <f>IF(P4070="","",IF(J4070&lt;&gt;"",J4070,CuentaPred&amp;""))</f>
        <v/>
      </c>
      <c r="R4070" s="52">
        <f>IF(P4070="","",IF(ISNUMBER(I4070),I4070,TasaUSD))</f>
        <v/>
      </c>
      <c r="S4070" s="53">
        <f>IF(P4070="","",IF(H4070="USD",G4070*R4070,G4070))</f>
        <v/>
      </c>
      <c r="T4070" s="53">
        <f>IF(P4070="","",IF(H4070="USD",G4070,IF(R4070&gt;0,G4070/R4070,0)))</f>
        <v/>
      </c>
      <c r="U4070" s="53">
        <f>IF(P4070="","",IF(P4070="Gasto",S4070,IF(P4070="Reembolso",-S4070,0)))</f>
        <v/>
      </c>
      <c r="V4070" s="53">
        <f>IF(P4070="","",IF(P4070="Ingreso",S4070,0))</f>
        <v/>
      </c>
      <c r="W4070" s="53">
        <f>IF(P4070="","",IF(P4070="Resultado trading",S4070,0))</f>
        <v/>
      </c>
      <c r="X4070" s="52">
        <f>IF(OR(P4070="Gasto",P4070="Reembolso"),IF(M4070&lt;&gt;"",M4070,IFERROR(INDEX(catClasif,MATCH(D4070&amp;"|"&amp;E4070,catClave,0))&amp;"","Variable")),"")</f>
        <v/>
      </c>
      <c r="Y4070" s="52">
        <f>IF(P4070="","",IFERROR(INDEX(catGrupo,MATCH(D4070&amp;"|"&amp;E4070,catClave,0))&amp;"",""))</f>
        <v/>
      </c>
      <c r="Z4070" s="52">
        <f>IF(P4070="","",WEEKDAY(B4070,2))</f>
        <v/>
      </c>
      <c r="AA4070" s="52">
        <f>IF(P4070="","",IF(AND(P4070="Gasto",X4070="Variable",D4070&lt;&gt;catTrading,S4070&gt;0,S4070&lt;=Umbral),1,0))</f>
        <v/>
      </c>
      <c r="AB4070" s="52">
        <f>IF(OR(P4070="",Q4070=""),"",IFERROR(IF(INDEX(ctaVinc,MATCH(Q4070,ctaNombre,0))&amp;""&lt;&gt;"",INDEX(ctaVinc,MATCH(Q4070,ctaNombre,0))&amp;"",Q4070),Q4070))</f>
        <v/>
      </c>
      <c r="AC4070" s="52">
        <f>IF(OR(K4070="",AND(P4070&lt;&gt;"Transferencia",P4070&lt;&gt;"Pago tarjeta")),"",IFERROR(IF(INDEX(ctaVinc,MATCH(K4070,ctaNombre,0))&amp;""&lt;&gt;"",INDEX(ctaVinc,MATCH(K4070,ctaNombre,0))&amp;"",K4070),K4070))</f>
        <v/>
      </c>
      <c r="AD4070" s="52">
        <f>IF(AB4070="","",IFERROR(INDEX(ctaTipo,MATCH(AB4070,ctaNombre,0))&amp;"",""))</f>
        <v/>
      </c>
      <c r="AE4070" s="52">
        <f>IF(AC4070="","",IFERROR(INDEX(ctaTipo,MATCH(AC4070,ctaNombre,0))&amp;"",""))</f>
        <v/>
      </c>
      <c r="AF4070" s="53">
        <f>IF(OR(P4070="",AB4070=""),"",IF(OR(P4070="Gasto",P4070="Transferencia",P4070="Pago tarjeta"),-1,1)*IF(IFERROR(INDEX(ctaMoneda,MATCH(AB4070,ctaNombre,0))&amp;"","DOP")="USD",T4070,S4070))</f>
        <v/>
      </c>
      <c r="AG4070" s="53">
        <f>IF(AC4070="","",IF(IFERROR(INDEX(ctaMoneda,MATCH(AC4070,ctaNombre,0))&amp;"","DOP")="USD",T4070,S4070))</f>
        <v/>
      </c>
      <c r="AH4070" s="53">
        <f>IF(P4070="","",IF(AND(AD4070&lt;&gt;"",COUNTIFS(tcTipo,AD4070,tcLiq,"Sí")&gt;0),IF(OR(P4070="Gasto",P4070="Transferencia",P4070="Pago tarjeta"),-1,1)*S4070,0)+IF(AND(AE4070&lt;&gt;"",COUNTIFS(tcTipo,AE4070,tcLiq,"Sí")&gt;0),S4070,0))</f>
        <v/>
      </c>
      <c r="AI4070" s="52">
        <f>IF(OR(L4070="",P4070=""),"",IF(COUNTIFS(L$6:L4070,L4070,P$6:P4070,"?*")=1,MAX(AI$5:AI4069)+1,""))</f>
        <v/>
      </c>
    </row>
    <row r="4071">
      <c r="B4071" s="47" t="n"/>
      <c r="C4071" s="48" t="n"/>
      <c r="D4071" s="48" t="n"/>
      <c r="E4071" s="48" t="n"/>
      <c r="F4071" s="48" t="n"/>
      <c r="G4071" s="49" t="n"/>
      <c r="H4071" s="48" t="n"/>
      <c r="I4071" s="50" t="n"/>
      <c r="J4071" s="48" t="n"/>
      <c r="K4071" s="48" t="n"/>
      <c r="L4071" s="48" t="n"/>
      <c r="M4071" s="48" t="n"/>
      <c r="N4071" s="48" t="n"/>
      <c r="O4071" s="51">
        <f>IF(AND(B4071="",G4071="",C4071="",D4071="",J4071=""),"",IF(B4071="","⚠ Falta fecha",IF(G4071="","⚠ Falta monto",IF(Q4071="","⚠ Falta cuenta",IF(ISNA(MATCH(Q4071,ctaNombre,0)),"⚠ Cuenta no registrada",IF(AND(OR(P4071="Gasto",P4071="Reembolso"),D4071=""),"⚠ Falta categoría",IF(AND(D4071&lt;&gt;"",E4071&lt;&gt;"",ISNA(MATCH(D4071&amp;"|"&amp;E4071,catClave,0))),"⚠ Subcategoría no corresponde",IF(AND(OR(P4071="Transferencia",P4071="Pago tarjeta"),K4071=""),"⚠ Falta cuenta destino",IF(AND(K4071&lt;&gt;"",P4071&lt;&gt;"Transferencia",P4071&lt;&gt;"Pago tarjeta"),"⚠ Destino solo aplica a transferencias",IF(AND(K4071&lt;&gt;"",K4071=Q4071),"⚠ Origen igual a destino",IF(AND(K4071&lt;&gt;"",ISNA(MATCH(K4071,ctaNombre,0))),"⚠ Destino no registrado",IF(AND(P4071="Pago tarjeta",AE4071&lt;&gt;"Tarjeta de crédito"),"⚠ El destino debe ser tarjeta de crédito",IF(AND(P4071="Gasto",E4071="Depósitos y retiros"),"⚠ Usa tipo Transferencia",IF(AND(P4071="Resultado trading",AD4071&lt;&gt;"Cuenta de trading"),"⚠ Usa una cuenta de trading",IF(AND(G4071&lt;=0,P4071&lt;&gt;"Ajuste",P4071&lt;&gt;"Resultado trading"),"⚠ El monto debe ser positivo","✓")))))))))))))))</f>
        <v/>
      </c>
      <c r="P4071" s="52">
        <f>IF(OR(B4071="",G4071=""),"",IF(C4071="","Gasto",C4071))</f>
        <v/>
      </c>
      <c r="Q4071" s="52">
        <f>IF(P4071="","",IF(J4071&lt;&gt;"",J4071,CuentaPred&amp;""))</f>
        <v/>
      </c>
      <c r="R4071" s="52">
        <f>IF(P4071="","",IF(ISNUMBER(I4071),I4071,TasaUSD))</f>
        <v/>
      </c>
      <c r="S4071" s="53">
        <f>IF(P4071="","",IF(H4071="USD",G4071*R4071,G4071))</f>
        <v/>
      </c>
      <c r="T4071" s="53">
        <f>IF(P4071="","",IF(H4071="USD",G4071,IF(R4071&gt;0,G4071/R4071,0)))</f>
        <v/>
      </c>
      <c r="U4071" s="53">
        <f>IF(P4071="","",IF(P4071="Gasto",S4071,IF(P4071="Reembolso",-S4071,0)))</f>
        <v/>
      </c>
      <c r="V4071" s="53">
        <f>IF(P4071="","",IF(P4071="Ingreso",S4071,0))</f>
        <v/>
      </c>
      <c r="W4071" s="53">
        <f>IF(P4071="","",IF(P4071="Resultado trading",S4071,0))</f>
        <v/>
      </c>
      <c r="X4071" s="52">
        <f>IF(OR(P4071="Gasto",P4071="Reembolso"),IF(M4071&lt;&gt;"",M4071,IFERROR(INDEX(catClasif,MATCH(D4071&amp;"|"&amp;E4071,catClave,0))&amp;"","Variable")),"")</f>
        <v/>
      </c>
      <c r="Y4071" s="52">
        <f>IF(P4071="","",IFERROR(INDEX(catGrupo,MATCH(D4071&amp;"|"&amp;E4071,catClave,0))&amp;"",""))</f>
        <v/>
      </c>
      <c r="Z4071" s="52">
        <f>IF(P4071="","",WEEKDAY(B4071,2))</f>
        <v/>
      </c>
      <c r="AA4071" s="52">
        <f>IF(P4071="","",IF(AND(P4071="Gasto",X4071="Variable",D4071&lt;&gt;catTrading,S4071&gt;0,S4071&lt;=Umbral),1,0))</f>
        <v/>
      </c>
      <c r="AB4071" s="52">
        <f>IF(OR(P4071="",Q4071=""),"",IFERROR(IF(INDEX(ctaVinc,MATCH(Q4071,ctaNombre,0))&amp;""&lt;&gt;"",INDEX(ctaVinc,MATCH(Q4071,ctaNombre,0))&amp;"",Q4071),Q4071))</f>
        <v/>
      </c>
      <c r="AC4071" s="52">
        <f>IF(OR(K4071="",AND(P4071&lt;&gt;"Transferencia",P4071&lt;&gt;"Pago tarjeta")),"",IFERROR(IF(INDEX(ctaVinc,MATCH(K4071,ctaNombre,0))&amp;""&lt;&gt;"",INDEX(ctaVinc,MATCH(K4071,ctaNombre,0))&amp;"",K4071),K4071))</f>
        <v/>
      </c>
      <c r="AD4071" s="52">
        <f>IF(AB4071="","",IFERROR(INDEX(ctaTipo,MATCH(AB4071,ctaNombre,0))&amp;"",""))</f>
        <v/>
      </c>
      <c r="AE4071" s="52">
        <f>IF(AC4071="","",IFERROR(INDEX(ctaTipo,MATCH(AC4071,ctaNombre,0))&amp;"",""))</f>
        <v/>
      </c>
      <c r="AF4071" s="53">
        <f>IF(OR(P4071="",AB4071=""),"",IF(OR(P4071="Gasto",P4071="Transferencia",P4071="Pago tarjeta"),-1,1)*IF(IFERROR(INDEX(ctaMoneda,MATCH(AB4071,ctaNombre,0))&amp;"","DOP")="USD",T4071,S4071))</f>
        <v/>
      </c>
      <c r="AG4071" s="53">
        <f>IF(AC4071="","",IF(IFERROR(INDEX(ctaMoneda,MATCH(AC4071,ctaNombre,0))&amp;"","DOP")="USD",T4071,S4071))</f>
        <v/>
      </c>
      <c r="AH4071" s="53">
        <f>IF(P4071="","",IF(AND(AD4071&lt;&gt;"",COUNTIFS(tcTipo,AD4071,tcLiq,"Sí")&gt;0),IF(OR(P4071="Gasto",P4071="Transferencia",P4071="Pago tarjeta"),-1,1)*S4071,0)+IF(AND(AE4071&lt;&gt;"",COUNTIFS(tcTipo,AE4071,tcLiq,"Sí")&gt;0),S4071,0))</f>
        <v/>
      </c>
      <c r="AI4071" s="52">
        <f>IF(OR(L4071="",P4071=""),"",IF(COUNTIFS(L$6:L4071,L4071,P$6:P4071,"?*")=1,MAX(AI$5:AI4070)+1,""))</f>
        <v/>
      </c>
    </row>
    <row r="4072">
      <c r="B4072" s="47" t="n"/>
      <c r="C4072" s="48" t="n"/>
      <c r="D4072" s="48" t="n"/>
      <c r="E4072" s="48" t="n"/>
      <c r="F4072" s="48" t="n"/>
      <c r="G4072" s="49" t="n"/>
      <c r="H4072" s="48" t="n"/>
      <c r="I4072" s="50" t="n"/>
      <c r="J4072" s="48" t="n"/>
      <c r="K4072" s="48" t="n"/>
      <c r="L4072" s="48" t="n"/>
      <c r="M4072" s="48" t="n"/>
      <c r="N4072" s="48" t="n"/>
      <c r="O4072" s="51">
        <f>IF(AND(B4072="",G4072="",C4072="",D4072="",J4072=""),"",IF(B4072="","⚠ Falta fecha",IF(G4072="","⚠ Falta monto",IF(Q4072="","⚠ Falta cuenta",IF(ISNA(MATCH(Q4072,ctaNombre,0)),"⚠ Cuenta no registrada",IF(AND(OR(P4072="Gasto",P4072="Reembolso"),D4072=""),"⚠ Falta categoría",IF(AND(D4072&lt;&gt;"",E4072&lt;&gt;"",ISNA(MATCH(D4072&amp;"|"&amp;E4072,catClave,0))),"⚠ Subcategoría no corresponde",IF(AND(OR(P4072="Transferencia",P4072="Pago tarjeta"),K4072=""),"⚠ Falta cuenta destino",IF(AND(K4072&lt;&gt;"",P4072&lt;&gt;"Transferencia",P4072&lt;&gt;"Pago tarjeta"),"⚠ Destino solo aplica a transferencias",IF(AND(K4072&lt;&gt;"",K4072=Q4072),"⚠ Origen igual a destino",IF(AND(K4072&lt;&gt;"",ISNA(MATCH(K4072,ctaNombre,0))),"⚠ Destino no registrado",IF(AND(P4072="Pago tarjeta",AE4072&lt;&gt;"Tarjeta de crédito"),"⚠ El destino debe ser tarjeta de crédito",IF(AND(P4072="Gasto",E4072="Depósitos y retiros"),"⚠ Usa tipo Transferencia",IF(AND(P4072="Resultado trading",AD4072&lt;&gt;"Cuenta de trading"),"⚠ Usa una cuenta de trading",IF(AND(G4072&lt;=0,P4072&lt;&gt;"Ajuste",P4072&lt;&gt;"Resultado trading"),"⚠ El monto debe ser positivo","✓")))))))))))))))</f>
        <v/>
      </c>
      <c r="P4072" s="52">
        <f>IF(OR(B4072="",G4072=""),"",IF(C4072="","Gasto",C4072))</f>
        <v/>
      </c>
      <c r="Q4072" s="52">
        <f>IF(P4072="","",IF(J4072&lt;&gt;"",J4072,CuentaPred&amp;""))</f>
        <v/>
      </c>
      <c r="R4072" s="52">
        <f>IF(P4072="","",IF(ISNUMBER(I4072),I4072,TasaUSD))</f>
        <v/>
      </c>
      <c r="S4072" s="53">
        <f>IF(P4072="","",IF(H4072="USD",G4072*R4072,G4072))</f>
        <v/>
      </c>
      <c r="T4072" s="53">
        <f>IF(P4072="","",IF(H4072="USD",G4072,IF(R4072&gt;0,G4072/R4072,0)))</f>
        <v/>
      </c>
      <c r="U4072" s="53">
        <f>IF(P4072="","",IF(P4072="Gasto",S4072,IF(P4072="Reembolso",-S4072,0)))</f>
        <v/>
      </c>
      <c r="V4072" s="53">
        <f>IF(P4072="","",IF(P4072="Ingreso",S4072,0))</f>
        <v/>
      </c>
      <c r="W4072" s="53">
        <f>IF(P4072="","",IF(P4072="Resultado trading",S4072,0))</f>
        <v/>
      </c>
      <c r="X4072" s="52">
        <f>IF(OR(P4072="Gasto",P4072="Reembolso"),IF(M4072&lt;&gt;"",M4072,IFERROR(INDEX(catClasif,MATCH(D4072&amp;"|"&amp;E4072,catClave,0))&amp;"","Variable")),"")</f>
        <v/>
      </c>
      <c r="Y4072" s="52">
        <f>IF(P4072="","",IFERROR(INDEX(catGrupo,MATCH(D4072&amp;"|"&amp;E4072,catClave,0))&amp;"",""))</f>
        <v/>
      </c>
      <c r="Z4072" s="52">
        <f>IF(P4072="","",WEEKDAY(B4072,2))</f>
        <v/>
      </c>
      <c r="AA4072" s="52">
        <f>IF(P4072="","",IF(AND(P4072="Gasto",X4072="Variable",D4072&lt;&gt;catTrading,S4072&gt;0,S4072&lt;=Umbral),1,0))</f>
        <v/>
      </c>
      <c r="AB4072" s="52">
        <f>IF(OR(P4072="",Q4072=""),"",IFERROR(IF(INDEX(ctaVinc,MATCH(Q4072,ctaNombre,0))&amp;""&lt;&gt;"",INDEX(ctaVinc,MATCH(Q4072,ctaNombre,0))&amp;"",Q4072),Q4072))</f>
        <v/>
      </c>
      <c r="AC4072" s="52">
        <f>IF(OR(K4072="",AND(P4072&lt;&gt;"Transferencia",P4072&lt;&gt;"Pago tarjeta")),"",IFERROR(IF(INDEX(ctaVinc,MATCH(K4072,ctaNombre,0))&amp;""&lt;&gt;"",INDEX(ctaVinc,MATCH(K4072,ctaNombre,0))&amp;"",K4072),K4072))</f>
        <v/>
      </c>
      <c r="AD4072" s="52">
        <f>IF(AB4072="","",IFERROR(INDEX(ctaTipo,MATCH(AB4072,ctaNombre,0))&amp;"",""))</f>
        <v/>
      </c>
      <c r="AE4072" s="52">
        <f>IF(AC4072="","",IFERROR(INDEX(ctaTipo,MATCH(AC4072,ctaNombre,0))&amp;"",""))</f>
        <v/>
      </c>
      <c r="AF4072" s="53">
        <f>IF(OR(P4072="",AB4072=""),"",IF(OR(P4072="Gasto",P4072="Transferencia",P4072="Pago tarjeta"),-1,1)*IF(IFERROR(INDEX(ctaMoneda,MATCH(AB4072,ctaNombre,0))&amp;"","DOP")="USD",T4072,S4072))</f>
        <v/>
      </c>
      <c r="AG4072" s="53">
        <f>IF(AC4072="","",IF(IFERROR(INDEX(ctaMoneda,MATCH(AC4072,ctaNombre,0))&amp;"","DOP")="USD",T4072,S4072))</f>
        <v/>
      </c>
      <c r="AH4072" s="53">
        <f>IF(P4072="","",IF(AND(AD4072&lt;&gt;"",COUNTIFS(tcTipo,AD4072,tcLiq,"Sí")&gt;0),IF(OR(P4072="Gasto",P4072="Transferencia",P4072="Pago tarjeta"),-1,1)*S4072,0)+IF(AND(AE4072&lt;&gt;"",COUNTIFS(tcTipo,AE4072,tcLiq,"Sí")&gt;0),S4072,0))</f>
        <v/>
      </c>
      <c r="AI4072" s="52">
        <f>IF(OR(L4072="",P4072=""),"",IF(COUNTIFS(L$6:L4072,L4072,P$6:P4072,"?*")=1,MAX(AI$5:AI4071)+1,""))</f>
        <v/>
      </c>
    </row>
    <row r="4073">
      <c r="B4073" s="47" t="n"/>
      <c r="C4073" s="48" t="n"/>
      <c r="D4073" s="48" t="n"/>
      <c r="E4073" s="48" t="n"/>
      <c r="F4073" s="48" t="n"/>
      <c r="G4073" s="49" t="n"/>
      <c r="H4073" s="48" t="n"/>
      <c r="I4073" s="50" t="n"/>
      <c r="J4073" s="48" t="n"/>
      <c r="K4073" s="48" t="n"/>
      <c r="L4073" s="48" t="n"/>
      <c r="M4073" s="48" t="n"/>
      <c r="N4073" s="48" t="n"/>
      <c r="O4073" s="51">
        <f>IF(AND(B4073="",G4073="",C4073="",D4073="",J4073=""),"",IF(B4073="","⚠ Falta fecha",IF(G4073="","⚠ Falta monto",IF(Q4073="","⚠ Falta cuenta",IF(ISNA(MATCH(Q4073,ctaNombre,0)),"⚠ Cuenta no registrada",IF(AND(OR(P4073="Gasto",P4073="Reembolso"),D4073=""),"⚠ Falta categoría",IF(AND(D4073&lt;&gt;"",E4073&lt;&gt;"",ISNA(MATCH(D4073&amp;"|"&amp;E4073,catClave,0))),"⚠ Subcategoría no corresponde",IF(AND(OR(P4073="Transferencia",P4073="Pago tarjeta"),K4073=""),"⚠ Falta cuenta destino",IF(AND(K4073&lt;&gt;"",P4073&lt;&gt;"Transferencia",P4073&lt;&gt;"Pago tarjeta"),"⚠ Destino solo aplica a transferencias",IF(AND(K4073&lt;&gt;"",K4073=Q4073),"⚠ Origen igual a destino",IF(AND(K4073&lt;&gt;"",ISNA(MATCH(K4073,ctaNombre,0))),"⚠ Destino no registrado",IF(AND(P4073="Pago tarjeta",AE4073&lt;&gt;"Tarjeta de crédito"),"⚠ El destino debe ser tarjeta de crédito",IF(AND(P4073="Gasto",E4073="Depósitos y retiros"),"⚠ Usa tipo Transferencia",IF(AND(P4073="Resultado trading",AD4073&lt;&gt;"Cuenta de trading"),"⚠ Usa una cuenta de trading",IF(AND(G4073&lt;=0,P4073&lt;&gt;"Ajuste",P4073&lt;&gt;"Resultado trading"),"⚠ El monto debe ser positivo","✓")))))))))))))))</f>
        <v/>
      </c>
      <c r="P4073" s="52">
        <f>IF(OR(B4073="",G4073=""),"",IF(C4073="","Gasto",C4073))</f>
        <v/>
      </c>
      <c r="Q4073" s="52">
        <f>IF(P4073="","",IF(J4073&lt;&gt;"",J4073,CuentaPred&amp;""))</f>
        <v/>
      </c>
      <c r="R4073" s="52">
        <f>IF(P4073="","",IF(ISNUMBER(I4073),I4073,TasaUSD))</f>
        <v/>
      </c>
      <c r="S4073" s="53">
        <f>IF(P4073="","",IF(H4073="USD",G4073*R4073,G4073))</f>
        <v/>
      </c>
      <c r="T4073" s="53">
        <f>IF(P4073="","",IF(H4073="USD",G4073,IF(R4073&gt;0,G4073/R4073,0)))</f>
        <v/>
      </c>
      <c r="U4073" s="53">
        <f>IF(P4073="","",IF(P4073="Gasto",S4073,IF(P4073="Reembolso",-S4073,0)))</f>
        <v/>
      </c>
      <c r="V4073" s="53">
        <f>IF(P4073="","",IF(P4073="Ingreso",S4073,0))</f>
        <v/>
      </c>
      <c r="W4073" s="53">
        <f>IF(P4073="","",IF(P4073="Resultado trading",S4073,0))</f>
        <v/>
      </c>
      <c r="X4073" s="52">
        <f>IF(OR(P4073="Gasto",P4073="Reembolso"),IF(M4073&lt;&gt;"",M4073,IFERROR(INDEX(catClasif,MATCH(D4073&amp;"|"&amp;E4073,catClave,0))&amp;"","Variable")),"")</f>
        <v/>
      </c>
      <c r="Y4073" s="52">
        <f>IF(P4073="","",IFERROR(INDEX(catGrupo,MATCH(D4073&amp;"|"&amp;E4073,catClave,0))&amp;"",""))</f>
        <v/>
      </c>
      <c r="Z4073" s="52">
        <f>IF(P4073="","",WEEKDAY(B4073,2))</f>
        <v/>
      </c>
      <c r="AA4073" s="52">
        <f>IF(P4073="","",IF(AND(P4073="Gasto",X4073="Variable",D4073&lt;&gt;catTrading,S4073&gt;0,S4073&lt;=Umbral),1,0))</f>
        <v/>
      </c>
      <c r="AB4073" s="52">
        <f>IF(OR(P4073="",Q4073=""),"",IFERROR(IF(INDEX(ctaVinc,MATCH(Q4073,ctaNombre,0))&amp;""&lt;&gt;"",INDEX(ctaVinc,MATCH(Q4073,ctaNombre,0))&amp;"",Q4073),Q4073))</f>
        <v/>
      </c>
      <c r="AC4073" s="52">
        <f>IF(OR(K4073="",AND(P4073&lt;&gt;"Transferencia",P4073&lt;&gt;"Pago tarjeta")),"",IFERROR(IF(INDEX(ctaVinc,MATCH(K4073,ctaNombre,0))&amp;""&lt;&gt;"",INDEX(ctaVinc,MATCH(K4073,ctaNombre,0))&amp;"",K4073),K4073))</f>
        <v/>
      </c>
      <c r="AD4073" s="52">
        <f>IF(AB4073="","",IFERROR(INDEX(ctaTipo,MATCH(AB4073,ctaNombre,0))&amp;"",""))</f>
        <v/>
      </c>
      <c r="AE4073" s="52">
        <f>IF(AC4073="","",IFERROR(INDEX(ctaTipo,MATCH(AC4073,ctaNombre,0))&amp;"",""))</f>
        <v/>
      </c>
      <c r="AF4073" s="53">
        <f>IF(OR(P4073="",AB4073=""),"",IF(OR(P4073="Gasto",P4073="Transferencia",P4073="Pago tarjeta"),-1,1)*IF(IFERROR(INDEX(ctaMoneda,MATCH(AB4073,ctaNombre,0))&amp;"","DOP")="USD",T4073,S4073))</f>
        <v/>
      </c>
      <c r="AG4073" s="53">
        <f>IF(AC4073="","",IF(IFERROR(INDEX(ctaMoneda,MATCH(AC4073,ctaNombre,0))&amp;"","DOP")="USD",T4073,S4073))</f>
        <v/>
      </c>
      <c r="AH4073" s="53">
        <f>IF(P4073="","",IF(AND(AD4073&lt;&gt;"",COUNTIFS(tcTipo,AD4073,tcLiq,"Sí")&gt;0),IF(OR(P4073="Gasto",P4073="Transferencia",P4073="Pago tarjeta"),-1,1)*S4073,0)+IF(AND(AE4073&lt;&gt;"",COUNTIFS(tcTipo,AE4073,tcLiq,"Sí")&gt;0),S4073,0))</f>
        <v/>
      </c>
      <c r="AI4073" s="52">
        <f>IF(OR(L4073="",P4073=""),"",IF(COUNTIFS(L$6:L4073,L4073,P$6:P4073,"?*")=1,MAX(AI$5:AI4072)+1,""))</f>
        <v/>
      </c>
    </row>
    <row r="4074">
      <c r="B4074" s="47" t="n"/>
      <c r="C4074" s="48" t="n"/>
      <c r="D4074" s="48" t="n"/>
      <c r="E4074" s="48" t="n"/>
      <c r="F4074" s="48" t="n"/>
      <c r="G4074" s="49" t="n"/>
      <c r="H4074" s="48" t="n"/>
      <c r="I4074" s="50" t="n"/>
      <c r="J4074" s="48" t="n"/>
      <c r="K4074" s="48" t="n"/>
      <c r="L4074" s="48" t="n"/>
      <c r="M4074" s="48" t="n"/>
      <c r="N4074" s="48" t="n"/>
      <c r="O4074" s="51">
        <f>IF(AND(B4074="",G4074="",C4074="",D4074="",J4074=""),"",IF(B4074="","⚠ Falta fecha",IF(G4074="","⚠ Falta monto",IF(Q4074="","⚠ Falta cuenta",IF(ISNA(MATCH(Q4074,ctaNombre,0)),"⚠ Cuenta no registrada",IF(AND(OR(P4074="Gasto",P4074="Reembolso"),D4074=""),"⚠ Falta categoría",IF(AND(D4074&lt;&gt;"",E4074&lt;&gt;"",ISNA(MATCH(D4074&amp;"|"&amp;E4074,catClave,0))),"⚠ Subcategoría no corresponde",IF(AND(OR(P4074="Transferencia",P4074="Pago tarjeta"),K4074=""),"⚠ Falta cuenta destino",IF(AND(K4074&lt;&gt;"",P4074&lt;&gt;"Transferencia",P4074&lt;&gt;"Pago tarjeta"),"⚠ Destino solo aplica a transferencias",IF(AND(K4074&lt;&gt;"",K4074=Q4074),"⚠ Origen igual a destino",IF(AND(K4074&lt;&gt;"",ISNA(MATCH(K4074,ctaNombre,0))),"⚠ Destino no registrado",IF(AND(P4074="Pago tarjeta",AE4074&lt;&gt;"Tarjeta de crédito"),"⚠ El destino debe ser tarjeta de crédito",IF(AND(P4074="Gasto",E4074="Depósitos y retiros"),"⚠ Usa tipo Transferencia",IF(AND(P4074="Resultado trading",AD4074&lt;&gt;"Cuenta de trading"),"⚠ Usa una cuenta de trading",IF(AND(G4074&lt;=0,P4074&lt;&gt;"Ajuste",P4074&lt;&gt;"Resultado trading"),"⚠ El monto debe ser positivo","✓")))))))))))))))</f>
        <v/>
      </c>
      <c r="P4074" s="52">
        <f>IF(OR(B4074="",G4074=""),"",IF(C4074="","Gasto",C4074))</f>
        <v/>
      </c>
      <c r="Q4074" s="52">
        <f>IF(P4074="","",IF(J4074&lt;&gt;"",J4074,CuentaPred&amp;""))</f>
        <v/>
      </c>
      <c r="R4074" s="52">
        <f>IF(P4074="","",IF(ISNUMBER(I4074),I4074,TasaUSD))</f>
        <v/>
      </c>
      <c r="S4074" s="53">
        <f>IF(P4074="","",IF(H4074="USD",G4074*R4074,G4074))</f>
        <v/>
      </c>
      <c r="T4074" s="53">
        <f>IF(P4074="","",IF(H4074="USD",G4074,IF(R4074&gt;0,G4074/R4074,0)))</f>
        <v/>
      </c>
      <c r="U4074" s="53">
        <f>IF(P4074="","",IF(P4074="Gasto",S4074,IF(P4074="Reembolso",-S4074,0)))</f>
        <v/>
      </c>
      <c r="V4074" s="53">
        <f>IF(P4074="","",IF(P4074="Ingreso",S4074,0))</f>
        <v/>
      </c>
      <c r="W4074" s="53">
        <f>IF(P4074="","",IF(P4074="Resultado trading",S4074,0))</f>
        <v/>
      </c>
      <c r="X4074" s="52">
        <f>IF(OR(P4074="Gasto",P4074="Reembolso"),IF(M4074&lt;&gt;"",M4074,IFERROR(INDEX(catClasif,MATCH(D4074&amp;"|"&amp;E4074,catClave,0))&amp;"","Variable")),"")</f>
        <v/>
      </c>
      <c r="Y4074" s="52">
        <f>IF(P4074="","",IFERROR(INDEX(catGrupo,MATCH(D4074&amp;"|"&amp;E4074,catClave,0))&amp;"",""))</f>
        <v/>
      </c>
      <c r="Z4074" s="52">
        <f>IF(P4074="","",WEEKDAY(B4074,2))</f>
        <v/>
      </c>
      <c r="AA4074" s="52">
        <f>IF(P4074="","",IF(AND(P4074="Gasto",X4074="Variable",D4074&lt;&gt;catTrading,S4074&gt;0,S4074&lt;=Umbral),1,0))</f>
        <v/>
      </c>
      <c r="AB4074" s="52">
        <f>IF(OR(P4074="",Q4074=""),"",IFERROR(IF(INDEX(ctaVinc,MATCH(Q4074,ctaNombre,0))&amp;""&lt;&gt;"",INDEX(ctaVinc,MATCH(Q4074,ctaNombre,0))&amp;"",Q4074),Q4074))</f>
        <v/>
      </c>
      <c r="AC4074" s="52">
        <f>IF(OR(K4074="",AND(P4074&lt;&gt;"Transferencia",P4074&lt;&gt;"Pago tarjeta")),"",IFERROR(IF(INDEX(ctaVinc,MATCH(K4074,ctaNombre,0))&amp;""&lt;&gt;"",INDEX(ctaVinc,MATCH(K4074,ctaNombre,0))&amp;"",K4074),K4074))</f>
        <v/>
      </c>
      <c r="AD4074" s="52">
        <f>IF(AB4074="","",IFERROR(INDEX(ctaTipo,MATCH(AB4074,ctaNombre,0))&amp;"",""))</f>
        <v/>
      </c>
      <c r="AE4074" s="52">
        <f>IF(AC4074="","",IFERROR(INDEX(ctaTipo,MATCH(AC4074,ctaNombre,0))&amp;"",""))</f>
        <v/>
      </c>
      <c r="AF4074" s="53">
        <f>IF(OR(P4074="",AB4074=""),"",IF(OR(P4074="Gasto",P4074="Transferencia",P4074="Pago tarjeta"),-1,1)*IF(IFERROR(INDEX(ctaMoneda,MATCH(AB4074,ctaNombre,0))&amp;"","DOP")="USD",T4074,S4074))</f>
        <v/>
      </c>
      <c r="AG4074" s="53">
        <f>IF(AC4074="","",IF(IFERROR(INDEX(ctaMoneda,MATCH(AC4074,ctaNombre,0))&amp;"","DOP")="USD",T4074,S4074))</f>
        <v/>
      </c>
      <c r="AH4074" s="53">
        <f>IF(P4074="","",IF(AND(AD4074&lt;&gt;"",COUNTIFS(tcTipo,AD4074,tcLiq,"Sí")&gt;0),IF(OR(P4074="Gasto",P4074="Transferencia",P4074="Pago tarjeta"),-1,1)*S4074,0)+IF(AND(AE4074&lt;&gt;"",COUNTIFS(tcTipo,AE4074,tcLiq,"Sí")&gt;0),S4074,0))</f>
        <v/>
      </c>
      <c r="AI4074" s="52">
        <f>IF(OR(L4074="",P4074=""),"",IF(COUNTIFS(L$6:L4074,L4074,P$6:P4074,"?*")=1,MAX(AI$5:AI4073)+1,""))</f>
        <v/>
      </c>
    </row>
    <row r="4075">
      <c r="B4075" s="47" t="n"/>
      <c r="C4075" s="48" t="n"/>
      <c r="D4075" s="48" t="n"/>
      <c r="E4075" s="48" t="n"/>
      <c r="F4075" s="48" t="n"/>
      <c r="G4075" s="49" t="n"/>
      <c r="H4075" s="48" t="n"/>
      <c r="I4075" s="50" t="n"/>
      <c r="J4075" s="48" t="n"/>
      <c r="K4075" s="48" t="n"/>
      <c r="L4075" s="48" t="n"/>
      <c r="M4075" s="48" t="n"/>
      <c r="N4075" s="48" t="n"/>
      <c r="O4075" s="51">
        <f>IF(AND(B4075="",G4075="",C4075="",D4075="",J4075=""),"",IF(B4075="","⚠ Falta fecha",IF(G4075="","⚠ Falta monto",IF(Q4075="","⚠ Falta cuenta",IF(ISNA(MATCH(Q4075,ctaNombre,0)),"⚠ Cuenta no registrada",IF(AND(OR(P4075="Gasto",P4075="Reembolso"),D4075=""),"⚠ Falta categoría",IF(AND(D4075&lt;&gt;"",E4075&lt;&gt;"",ISNA(MATCH(D4075&amp;"|"&amp;E4075,catClave,0))),"⚠ Subcategoría no corresponde",IF(AND(OR(P4075="Transferencia",P4075="Pago tarjeta"),K4075=""),"⚠ Falta cuenta destino",IF(AND(K4075&lt;&gt;"",P4075&lt;&gt;"Transferencia",P4075&lt;&gt;"Pago tarjeta"),"⚠ Destino solo aplica a transferencias",IF(AND(K4075&lt;&gt;"",K4075=Q4075),"⚠ Origen igual a destino",IF(AND(K4075&lt;&gt;"",ISNA(MATCH(K4075,ctaNombre,0))),"⚠ Destino no registrado",IF(AND(P4075="Pago tarjeta",AE4075&lt;&gt;"Tarjeta de crédito"),"⚠ El destino debe ser tarjeta de crédito",IF(AND(P4075="Gasto",E4075="Depósitos y retiros"),"⚠ Usa tipo Transferencia",IF(AND(P4075="Resultado trading",AD4075&lt;&gt;"Cuenta de trading"),"⚠ Usa una cuenta de trading",IF(AND(G4075&lt;=0,P4075&lt;&gt;"Ajuste",P4075&lt;&gt;"Resultado trading"),"⚠ El monto debe ser positivo","✓")))))))))))))))</f>
        <v/>
      </c>
      <c r="P4075" s="52">
        <f>IF(OR(B4075="",G4075=""),"",IF(C4075="","Gasto",C4075))</f>
        <v/>
      </c>
      <c r="Q4075" s="52">
        <f>IF(P4075="","",IF(J4075&lt;&gt;"",J4075,CuentaPred&amp;""))</f>
        <v/>
      </c>
      <c r="R4075" s="52">
        <f>IF(P4075="","",IF(ISNUMBER(I4075),I4075,TasaUSD))</f>
        <v/>
      </c>
      <c r="S4075" s="53">
        <f>IF(P4075="","",IF(H4075="USD",G4075*R4075,G4075))</f>
        <v/>
      </c>
      <c r="T4075" s="53">
        <f>IF(P4075="","",IF(H4075="USD",G4075,IF(R4075&gt;0,G4075/R4075,0)))</f>
        <v/>
      </c>
      <c r="U4075" s="53">
        <f>IF(P4075="","",IF(P4075="Gasto",S4075,IF(P4075="Reembolso",-S4075,0)))</f>
        <v/>
      </c>
      <c r="V4075" s="53">
        <f>IF(P4075="","",IF(P4075="Ingreso",S4075,0))</f>
        <v/>
      </c>
      <c r="W4075" s="53">
        <f>IF(P4075="","",IF(P4075="Resultado trading",S4075,0))</f>
        <v/>
      </c>
      <c r="X4075" s="52">
        <f>IF(OR(P4075="Gasto",P4075="Reembolso"),IF(M4075&lt;&gt;"",M4075,IFERROR(INDEX(catClasif,MATCH(D4075&amp;"|"&amp;E4075,catClave,0))&amp;"","Variable")),"")</f>
        <v/>
      </c>
      <c r="Y4075" s="52">
        <f>IF(P4075="","",IFERROR(INDEX(catGrupo,MATCH(D4075&amp;"|"&amp;E4075,catClave,0))&amp;"",""))</f>
        <v/>
      </c>
      <c r="Z4075" s="52">
        <f>IF(P4075="","",WEEKDAY(B4075,2))</f>
        <v/>
      </c>
      <c r="AA4075" s="52">
        <f>IF(P4075="","",IF(AND(P4075="Gasto",X4075="Variable",D4075&lt;&gt;catTrading,S4075&gt;0,S4075&lt;=Umbral),1,0))</f>
        <v/>
      </c>
      <c r="AB4075" s="52">
        <f>IF(OR(P4075="",Q4075=""),"",IFERROR(IF(INDEX(ctaVinc,MATCH(Q4075,ctaNombre,0))&amp;""&lt;&gt;"",INDEX(ctaVinc,MATCH(Q4075,ctaNombre,0))&amp;"",Q4075),Q4075))</f>
        <v/>
      </c>
      <c r="AC4075" s="52">
        <f>IF(OR(K4075="",AND(P4075&lt;&gt;"Transferencia",P4075&lt;&gt;"Pago tarjeta")),"",IFERROR(IF(INDEX(ctaVinc,MATCH(K4075,ctaNombre,0))&amp;""&lt;&gt;"",INDEX(ctaVinc,MATCH(K4075,ctaNombre,0))&amp;"",K4075),K4075))</f>
        <v/>
      </c>
      <c r="AD4075" s="52">
        <f>IF(AB4075="","",IFERROR(INDEX(ctaTipo,MATCH(AB4075,ctaNombre,0))&amp;"",""))</f>
        <v/>
      </c>
      <c r="AE4075" s="52">
        <f>IF(AC4075="","",IFERROR(INDEX(ctaTipo,MATCH(AC4075,ctaNombre,0))&amp;"",""))</f>
        <v/>
      </c>
      <c r="AF4075" s="53">
        <f>IF(OR(P4075="",AB4075=""),"",IF(OR(P4075="Gasto",P4075="Transferencia",P4075="Pago tarjeta"),-1,1)*IF(IFERROR(INDEX(ctaMoneda,MATCH(AB4075,ctaNombre,0))&amp;"","DOP")="USD",T4075,S4075))</f>
        <v/>
      </c>
      <c r="AG4075" s="53">
        <f>IF(AC4075="","",IF(IFERROR(INDEX(ctaMoneda,MATCH(AC4075,ctaNombre,0))&amp;"","DOP")="USD",T4075,S4075))</f>
        <v/>
      </c>
      <c r="AH4075" s="53">
        <f>IF(P4075="","",IF(AND(AD4075&lt;&gt;"",COUNTIFS(tcTipo,AD4075,tcLiq,"Sí")&gt;0),IF(OR(P4075="Gasto",P4075="Transferencia",P4075="Pago tarjeta"),-1,1)*S4075,0)+IF(AND(AE4075&lt;&gt;"",COUNTIFS(tcTipo,AE4075,tcLiq,"Sí")&gt;0),S4075,0))</f>
        <v/>
      </c>
      <c r="AI4075" s="52">
        <f>IF(OR(L4075="",P4075=""),"",IF(COUNTIFS(L$6:L4075,L4075,P$6:P4075,"?*")=1,MAX(AI$5:AI4074)+1,""))</f>
        <v/>
      </c>
    </row>
    <row r="4076">
      <c r="B4076" s="47" t="n"/>
      <c r="C4076" s="48" t="n"/>
      <c r="D4076" s="48" t="n"/>
      <c r="E4076" s="48" t="n"/>
      <c r="F4076" s="48" t="n"/>
      <c r="G4076" s="49" t="n"/>
      <c r="H4076" s="48" t="n"/>
      <c r="I4076" s="50" t="n"/>
      <c r="J4076" s="48" t="n"/>
      <c r="K4076" s="48" t="n"/>
      <c r="L4076" s="48" t="n"/>
      <c r="M4076" s="48" t="n"/>
      <c r="N4076" s="48" t="n"/>
      <c r="O4076" s="51">
        <f>IF(AND(B4076="",G4076="",C4076="",D4076="",J4076=""),"",IF(B4076="","⚠ Falta fecha",IF(G4076="","⚠ Falta monto",IF(Q4076="","⚠ Falta cuenta",IF(ISNA(MATCH(Q4076,ctaNombre,0)),"⚠ Cuenta no registrada",IF(AND(OR(P4076="Gasto",P4076="Reembolso"),D4076=""),"⚠ Falta categoría",IF(AND(D4076&lt;&gt;"",E4076&lt;&gt;"",ISNA(MATCH(D4076&amp;"|"&amp;E4076,catClave,0))),"⚠ Subcategoría no corresponde",IF(AND(OR(P4076="Transferencia",P4076="Pago tarjeta"),K4076=""),"⚠ Falta cuenta destino",IF(AND(K4076&lt;&gt;"",P4076&lt;&gt;"Transferencia",P4076&lt;&gt;"Pago tarjeta"),"⚠ Destino solo aplica a transferencias",IF(AND(K4076&lt;&gt;"",K4076=Q4076),"⚠ Origen igual a destino",IF(AND(K4076&lt;&gt;"",ISNA(MATCH(K4076,ctaNombre,0))),"⚠ Destino no registrado",IF(AND(P4076="Pago tarjeta",AE4076&lt;&gt;"Tarjeta de crédito"),"⚠ El destino debe ser tarjeta de crédito",IF(AND(P4076="Gasto",E4076="Depósitos y retiros"),"⚠ Usa tipo Transferencia",IF(AND(P4076="Resultado trading",AD4076&lt;&gt;"Cuenta de trading"),"⚠ Usa una cuenta de trading",IF(AND(G4076&lt;=0,P4076&lt;&gt;"Ajuste",P4076&lt;&gt;"Resultado trading"),"⚠ El monto debe ser positivo","✓")))))))))))))))</f>
        <v/>
      </c>
      <c r="P4076" s="52">
        <f>IF(OR(B4076="",G4076=""),"",IF(C4076="","Gasto",C4076))</f>
        <v/>
      </c>
      <c r="Q4076" s="52">
        <f>IF(P4076="","",IF(J4076&lt;&gt;"",J4076,CuentaPred&amp;""))</f>
        <v/>
      </c>
      <c r="R4076" s="52">
        <f>IF(P4076="","",IF(ISNUMBER(I4076),I4076,TasaUSD))</f>
        <v/>
      </c>
      <c r="S4076" s="53">
        <f>IF(P4076="","",IF(H4076="USD",G4076*R4076,G4076))</f>
        <v/>
      </c>
      <c r="T4076" s="53">
        <f>IF(P4076="","",IF(H4076="USD",G4076,IF(R4076&gt;0,G4076/R4076,0)))</f>
        <v/>
      </c>
      <c r="U4076" s="53">
        <f>IF(P4076="","",IF(P4076="Gasto",S4076,IF(P4076="Reembolso",-S4076,0)))</f>
        <v/>
      </c>
      <c r="V4076" s="53">
        <f>IF(P4076="","",IF(P4076="Ingreso",S4076,0))</f>
        <v/>
      </c>
      <c r="W4076" s="53">
        <f>IF(P4076="","",IF(P4076="Resultado trading",S4076,0))</f>
        <v/>
      </c>
      <c r="X4076" s="52">
        <f>IF(OR(P4076="Gasto",P4076="Reembolso"),IF(M4076&lt;&gt;"",M4076,IFERROR(INDEX(catClasif,MATCH(D4076&amp;"|"&amp;E4076,catClave,0))&amp;"","Variable")),"")</f>
        <v/>
      </c>
      <c r="Y4076" s="52">
        <f>IF(P4076="","",IFERROR(INDEX(catGrupo,MATCH(D4076&amp;"|"&amp;E4076,catClave,0))&amp;"",""))</f>
        <v/>
      </c>
      <c r="Z4076" s="52">
        <f>IF(P4076="","",WEEKDAY(B4076,2))</f>
        <v/>
      </c>
      <c r="AA4076" s="52">
        <f>IF(P4076="","",IF(AND(P4076="Gasto",X4076="Variable",D4076&lt;&gt;catTrading,S4076&gt;0,S4076&lt;=Umbral),1,0))</f>
        <v/>
      </c>
      <c r="AB4076" s="52">
        <f>IF(OR(P4076="",Q4076=""),"",IFERROR(IF(INDEX(ctaVinc,MATCH(Q4076,ctaNombre,0))&amp;""&lt;&gt;"",INDEX(ctaVinc,MATCH(Q4076,ctaNombre,0))&amp;"",Q4076),Q4076))</f>
        <v/>
      </c>
      <c r="AC4076" s="52">
        <f>IF(OR(K4076="",AND(P4076&lt;&gt;"Transferencia",P4076&lt;&gt;"Pago tarjeta")),"",IFERROR(IF(INDEX(ctaVinc,MATCH(K4076,ctaNombre,0))&amp;""&lt;&gt;"",INDEX(ctaVinc,MATCH(K4076,ctaNombre,0))&amp;"",K4076),K4076))</f>
        <v/>
      </c>
      <c r="AD4076" s="52">
        <f>IF(AB4076="","",IFERROR(INDEX(ctaTipo,MATCH(AB4076,ctaNombre,0))&amp;"",""))</f>
        <v/>
      </c>
      <c r="AE4076" s="52">
        <f>IF(AC4076="","",IFERROR(INDEX(ctaTipo,MATCH(AC4076,ctaNombre,0))&amp;"",""))</f>
        <v/>
      </c>
      <c r="AF4076" s="53">
        <f>IF(OR(P4076="",AB4076=""),"",IF(OR(P4076="Gasto",P4076="Transferencia",P4076="Pago tarjeta"),-1,1)*IF(IFERROR(INDEX(ctaMoneda,MATCH(AB4076,ctaNombre,0))&amp;"","DOP")="USD",T4076,S4076))</f>
        <v/>
      </c>
      <c r="AG4076" s="53">
        <f>IF(AC4076="","",IF(IFERROR(INDEX(ctaMoneda,MATCH(AC4076,ctaNombre,0))&amp;"","DOP")="USD",T4076,S4076))</f>
        <v/>
      </c>
      <c r="AH4076" s="53">
        <f>IF(P4076="","",IF(AND(AD4076&lt;&gt;"",COUNTIFS(tcTipo,AD4076,tcLiq,"Sí")&gt;0),IF(OR(P4076="Gasto",P4076="Transferencia",P4076="Pago tarjeta"),-1,1)*S4076,0)+IF(AND(AE4076&lt;&gt;"",COUNTIFS(tcTipo,AE4076,tcLiq,"Sí")&gt;0),S4076,0))</f>
        <v/>
      </c>
      <c r="AI4076" s="52">
        <f>IF(OR(L4076="",P4076=""),"",IF(COUNTIFS(L$6:L4076,L4076,P$6:P4076,"?*")=1,MAX(AI$5:AI4075)+1,""))</f>
        <v/>
      </c>
    </row>
    <row r="4077">
      <c r="B4077" s="47" t="n"/>
      <c r="C4077" s="48" t="n"/>
      <c r="D4077" s="48" t="n"/>
      <c r="E4077" s="48" t="n"/>
      <c r="F4077" s="48" t="n"/>
      <c r="G4077" s="49" t="n"/>
      <c r="H4077" s="48" t="n"/>
      <c r="I4077" s="50" t="n"/>
      <c r="J4077" s="48" t="n"/>
      <c r="K4077" s="48" t="n"/>
      <c r="L4077" s="48" t="n"/>
      <c r="M4077" s="48" t="n"/>
      <c r="N4077" s="48" t="n"/>
      <c r="O4077" s="51">
        <f>IF(AND(B4077="",G4077="",C4077="",D4077="",J4077=""),"",IF(B4077="","⚠ Falta fecha",IF(G4077="","⚠ Falta monto",IF(Q4077="","⚠ Falta cuenta",IF(ISNA(MATCH(Q4077,ctaNombre,0)),"⚠ Cuenta no registrada",IF(AND(OR(P4077="Gasto",P4077="Reembolso"),D4077=""),"⚠ Falta categoría",IF(AND(D4077&lt;&gt;"",E4077&lt;&gt;"",ISNA(MATCH(D4077&amp;"|"&amp;E4077,catClave,0))),"⚠ Subcategoría no corresponde",IF(AND(OR(P4077="Transferencia",P4077="Pago tarjeta"),K4077=""),"⚠ Falta cuenta destino",IF(AND(K4077&lt;&gt;"",P4077&lt;&gt;"Transferencia",P4077&lt;&gt;"Pago tarjeta"),"⚠ Destino solo aplica a transferencias",IF(AND(K4077&lt;&gt;"",K4077=Q4077),"⚠ Origen igual a destino",IF(AND(K4077&lt;&gt;"",ISNA(MATCH(K4077,ctaNombre,0))),"⚠ Destino no registrado",IF(AND(P4077="Pago tarjeta",AE4077&lt;&gt;"Tarjeta de crédito"),"⚠ El destino debe ser tarjeta de crédito",IF(AND(P4077="Gasto",E4077="Depósitos y retiros"),"⚠ Usa tipo Transferencia",IF(AND(P4077="Resultado trading",AD4077&lt;&gt;"Cuenta de trading"),"⚠ Usa una cuenta de trading",IF(AND(G4077&lt;=0,P4077&lt;&gt;"Ajuste",P4077&lt;&gt;"Resultado trading"),"⚠ El monto debe ser positivo","✓")))))))))))))))</f>
        <v/>
      </c>
      <c r="P4077" s="52">
        <f>IF(OR(B4077="",G4077=""),"",IF(C4077="","Gasto",C4077))</f>
        <v/>
      </c>
      <c r="Q4077" s="52">
        <f>IF(P4077="","",IF(J4077&lt;&gt;"",J4077,CuentaPred&amp;""))</f>
        <v/>
      </c>
      <c r="R4077" s="52">
        <f>IF(P4077="","",IF(ISNUMBER(I4077),I4077,TasaUSD))</f>
        <v/>
      </c>
      <c r="S4077" s="53">
        <f>IF(P4077="","",IF(H4077="USD",G4077*R4077,G4077))</f>
        <v/>
      </c>
      <c r="T4077" s="53">
        <f>IF(P4077="","",IF(H4077="USD",G4077,IF(R4077&gt;0,G4077/R4077,0)))</f>
        <v/>
      </c>
      <c r="U4077" s="53">
        <f>IF(P4077="","",IF(P4077="Gasto",S4077,IF(P4077="Reembolso",-S4077,0)))</f>
        <v/>
      </c>
      <c r="V4077" s="53">
        <f>IF(P4077="","",IF(P4077="Ingreso",S4077,0))</f>
        <v/>
      </c>
      <c r="W4077" s="53">
        <f>IF(P4077="","",IF(P4077="Resultado trading",S4077,0))</f>
        <v/>
      </c>
      <c r="X4077" s="52">
        <f>IF(OR(P4077="Gasto",P4077="Reembolso"),IF(M4077&lt;&gt;"",M4077,IFERROR(INDEX(catClasif,MATCH(D4077&amp;"|"&amp;E4077,catClave,0))&amp;"","Variable")),"")</f>
        <v/>
      </c>
      <c r="Y4077" s="52">
        <f>IF(P4077="","",IFERROR(INDEX(catGrupo,MATCH(D4077&amp;"|"&amp;E4077,catClave,0))&amp;"",""))</f>
        <v/>
      </c>
      <c r="Z4077" s="52">
        <f>IF(P4077="","",WEEKDAY(B4077,2))</f>
        <v/>
      </c>
      <c r="AA4077" s="52">
        <f>IF(P4077="","",IF(AND(P4077="Gasto",X4077="Variable",D4077&lt;&gt;catTrading,S4077&gt;0,S4077&lt;=Umbral),1,0))</f>
        <v/>
      </c>
      <c r="AB4077" s="52">
        <f>IF(OR(P4077="",Q4077=""),"",IFERROR(IF(INDEX(ctaVinc,MATCH(Q4077,ctaNombre,0))&amp;""&lt;&gt;"",INDEX(ctaVinc,MATCH(Q4077,ctaNombre,0))&amp;"",Q4077),Q4077))</f>
        <v/>
      </c>
      <c r="AC4077" s="52">
        <f>IF(OR(K4077="",AND(P4077&lt;&gt;"Transferencia",P4077&lt;&gt;"Pago tarjeta")),"",IFERROR(IF(INDEX(ctaVinc,MATCH(K4077,ctaNombre,0))&amp;""&lt;&gt;"",INDEX(ctaVinc,MATCH(K4077,ctaNombre,0))&amp;"",K4077),K4077))</f>
        <v/>
      </c>
      <c r="AD4077" s="52">
        <f>IF(AB4077="","",IFERROR(INDEX(ctaTipo,MATCH(AB4077,ctaNombre,0))&amp;"",""))</f>
        <v/>
      </c>
      <c r="AE4077" s="52">
        <f>IF(AC4077="","",IFERROR(INDEX(ctaTipo,MATCH(AC4077,ctaNombre,0))&amp;"",""))</f>
        <v/>
      </c>
      <c r="AF4077" s="53">
        <f>IF(OR(P4077="",AB4077=""),"",IF(OR(P4077="Gasto",P4077="Transferencia",P4077="Pago tarjeta"),-1,1)*IF(IFERROR(INDEX(ctaMoneda,MATCH(AB4077,ctaNombre,0))&amp;"","DOP")="USD",T4077,S4077))</f>
        <v/>
      </c>
      <c r="AG4077" s="53">
        <f>IF(AC4077="","",IF(IFERROR(INDEX(ctaMoneda,MATCH(AC4077,ctaNombre,0))&amp;"","DOP")="USD",T4077,S4077))</f>
        <v/>
      </c>
      <c r="AH4077" s="53">
        <f>IF(P4077="","",IF(AND(AD4077&lt;&gt;"",COUNTIFS(tcTipo,AD4077,tcLiq,"Sí")&gt;0),IF(OR(P4077="Gasto",P4077="Transferencia",P4077="Pago tarjeta"),-1,1)*S4077,0)+IF(AND(AE4077&lt;&gt;"",COUNTIFS(tcTipo,AE4077,tcLiq,"Sí")&gt;0),S4077,0))</f>
        <v/>
      </c>
      <c r="AI4077" s="52">
        <f>IF(OR(L4077="",P4077=""),"",IF(COUNTIFS(L$6:L4077,L4077,P$6:P4077,"?*")=1,MAX(AI$5:AI4076)+1,""))</f>
        <v/>
      </c>
    </row>
    <row r="4078">
      <c r="B4078" s="47" t="n"/>
      <c r="C4078" s="48" t="n"/>
      <c r="D4078" s="48" t="n"/>
      <c r="E4078" s="48" t="n"/>
      <c r="F4078" s="48" t="n"/>
      <c r="G4078" s="49" t="n"/>
      <c r="H4078" s="48" t="n"/>
      <c r="I4078" s="50" t="n"/>
      <c r="J4078" s="48" t="n"/>
      <c r="K4078" s="48" t="n"/>
      <c r="L4078" s="48" t="n"/>
      <c r="M4078" s="48" t="n"/>
      <c r="N4078" s="48" t="n"/>
      <c r="O4078" s="51">
        <f>IF(AND(B4078="",G4078="",C4078="",D4078="",J4078=""),"",IF(B4078="","⚠ Falta fecha",IF(G4078="","⚠ Falta monto",IF(Q4078="","⚠ Falta cuenta",IF(ISNA(MATCH(Q4078,ctaNombre,0)),"⚠ Cuenta no registrada",IF(AND(OR(P4078="Gasto",P4078="Reembolso"),D4078=""),"⚠ Falta categoría",IF(AND(D4078&lt;&gt;"",E4078&lt;&gt;"",ISNA(MATCH(D4078&amp;"|"&amp;E4078,catClave,0))),"⚠ Subcategoría no corresponde",IF(AND(OR(P4078="Transferencia",P4078="Pago tarjeta"),K4078=""),"⚠ Falta cuenta destino",IF(AND(K4078&lt;&gt;"",P4078&lt;&gt;"Transferencia",P4078&lt;&gt;"Pago tarjeta"),"⚠ Destino solo aplica a transferencias",IF(AND(K4078&lt;&gt;"",K4078=Q4078),"⚠ Origen igual a destino",IF(AND(K4078&lt;&gt;"",ISNA(MATCH(K4078,ctaNombre,0))),"⚠ Destino no registrado",IF(AND(P4078="Pago tarjeta",AE4078&lt;&gt;"Tarjeta de crédito"),"⚠ El destino debe ser tarjeta de crédito",IF(AND(P4078="Gasto",E4078="Depósitos y retiros"),"⚠ Usa tipo Transferencia",IF(AND(P4078="Resultado trading",AD4078&lt;&gt;"Cuenta de trading"),"⚠ Usa una cuenta de trading",IF(AND(G4078&lt;=0,P4078&lt;&gt;"Ajuste",P4078&lt;&gt;"Resultado trading"),"⚠ El monto debe ser positivo","✓")))))))))))))))</f>
        <v/>
      </c>
      <c r="P4078" s="52">
        <f>IF(OR(B4078="",G4078=""),"",IF(C4078="","Gasto",C4078))</f>
        <v/>
      </c>
      <c r="Q4078" s="52">
        <f>IF(P4078="","",IF(J4078&lt;&gt;"",J4078,CuentaPred&amp;""))</f>
        <v/>
      </c>
      <c r="R4078" s="52">
        <f>IF(P4078="","",IF(ISNUMBER(I4078),I4078,TasaUSD))</f>
        <v/>
      </c>
      <c r="S4078" s="53">
        <f>IF(P4078="","",IF(H4078="USD",G4078*R4078,G4078))</f>
        <v/>
      </c>
      <c r="T4078" s="53">
        <f>IF(P4078="","",IF(H4078="USD",G4078,IF(R4078&gt;0,G4078/R4078,0)))</f>
        <v/>
      </c>
      <c r="U4078" s="53">
        <f>IF(P4078="","",IF(P4078="Gasto",S4078,IF(P4078="Reembolso",-S4078,0)))</f>
        <v/>
      </c>
      <c r="V4078" s="53">
        <f>IF(P4078="","",IF(P4078="Ingreso",S4078,0))</f>
        <v/>
      </c>
      <c r="W4078" s="53">
        <f>IF(P4078="","",IF(P4078="Resultado trading",S4078,0))</f>
        <v/>
      </c>
      <c r="X4078" s="52">
        <f>IF(OR(P4078="Gasto",P4078="Reembolso"),IF(M4078&lt;&gt;"",M4078,IFERROR(INDEX(catClasif,MATCH(D4078&amp;"|"&amp;E4078,catClave,0))&amp;"","Variable")),"")</f>
        <v/>
      </c>
      <c r="Y4078" s="52">
        <f>IF(P4078="","",IFERROR(INDEX(catGrupo,MATCH(D4078&amp;"|"&amp;E4078,catClave,0))&amp;"",""))</f>
        <v/>
      </c>
      <c r="Z4078" s="52">
        <f>IF(P4078="","",WEEKDAY(B4078,2))</f>
        <v/>
      </c>
      <c r="AA4078" s="52">
        <f>IF(P4078="","",IF(AND(P4078="Gasto",X4078="Variable",D4078&lt;&gt;catTrading,S4078&gt;0,S4078&lt;=Umbral),1,0))</f>
        <v/>
      </c>
      <c r="AB4078" s="52">
        <f>IF(OR(P4078="",Q4078=""),"",IFERROR(IF(INDEX(ctaVinc,MATCH(Q4078,ctaNombre,0))&amp;""&lt;&gt;"",INDEX(ctaVinc,MATCH(Q4078,ctaNombre,0))&amp;"",Q4078),Q4078))</f>
        <v/>
      </c>
      <c r="AC4078" s="52">
        <f>IF(OR(K4078="",AND(P4078&lt;&gt;"Transferencia",P4078&lt;&gt;"Pago tarjeta")),"",IFERROR(IF(INDEX(ctaVinc,MATCH(K4078,ctaNombre,0))&amp;""&lt;&gt;"",INDEX(ctaVinc,MATCH(K4078,ctaNombre,0))&amp;"",K4078),K4078))</f>
        <v/>
      </c>
      <c r="AD4078" s="52">
        <f>IF(AB4078="","",IFERROR(INDEX(ctaTipo,MATCH(AB4078,ctaNombre,0))&amp;"",""))</f>
        <v/>
      </c>
      <c r="AE4078" s="52">
        <f>IF(AC4078="","",IFERROR(INDEX(ctaTipo,MATCH(AC4078,ctaNombre,0))&amp;"",""))</f>
        <v/>
      </c>
      <c r="AF4078" s="53">
        <f>IF(OR(P4078="",AB4078=""),"",IF(OR(P4078="Gasto",P4078="Transferencia",P4078="Pago tarjeta"),-1,1)*IF(IFERROR(INDEX(ctaMoneda,MATCH(AB4078,ctaNombre,0))&amp;"","DOP")="USD",T4078,S4078))</f>
        <v/>
      </c>
      <c r="AG4078" s="53">
        <f>IF(AC4078="","",IF(IFERROR(INDEX(ctaMoneda,MATCH(AC4078,ctaNombre,0))&amp;"","DOP")="USD",T4078,S4078))</f>
        <v/>
      </c>
      <c r="AH4078" s="53">
        <f>IF(P4078="","",IF(AND(AD4078&lt;&gt;"",COUNTIFS(tcTipo,AD4078,tcLiq,"Sí")&gt;0),IF(OR(P4078="Gasto",P4078="Transferencia",P4078="Pago tarjeta"),-1,1)*S4078,0)+IF(AND(AE4078&lt;&gt;"",COUNTIFS(tcTipo,AE4078,tcLiq,"Sí")&gt;0),S4078,0))</f>
        <v/>
      </c>
      <c r="AI4078" s="52">
        <f>IF(OR(L4078="",P4078=""),"",IF(COUNTIFS(L$6:L4078,L4078,P$6:P4078,"?*")=1,MAX(AI$5:AI4077)+1,""))</f>
        <v/>
      </c>
    </row>
    <row r="4079">
      <c r="B4079" s="47" t="n"/>
      <c r="C4079" s="48" t="n"/>
      <c r="D4079" s="48" t="n"/>
      <c r="E4079" s="48" t="n"/>
      <c r="F4079" s="48" t="n"/>
      <c r="G4079" s="49" t="n"/>
      <c r="H4079" s="48" t="n"/>
      <c r="I4079" s="50" t="n"/>
      <c r="J4079" s="48" t="n"/>
      <c r="K4079" s="48" t="n"/>
      <c r="L4079" s="48" t="n"/>
      <c r="M4079" s="48" t="n"/>
      <c r="N4079" s="48" t="n"/>
      <c r="O4079" s="51">
        <f>IF(AND(B4079="",G4079="",C4079="",D4079="",J4079=""),"",IF(B4079="","⚠ Falta fecha",IF(G4079="","⚠ Falta monto",IF(Q4079="","⚠ Falta cuenta",IF(ISNA(MATCH(Q4079,ctaNombre,0)),"⚠ Cuenta no registrada",IF(AND(OR(P4079="Gasto",P4079="Reembolso"),D4079=""),"⚠ Falta categoría",IF(AND(D4079&lt;&gt;"",E4079&lt;&gt;"",ISNA(MATCH(D4079&amp;"|"&amp;E4079,catClave,0))),"⚠ Subcategoría no corresponde",IF(AND(OR(P4079="Transferencia",P4079="Pago tarjeta"),K4079=""),"⚠ Falta cuenta destino",IF(AND(K4079&lt;&gt;"",P4079&lt;&gt;"Transferencia",P4079&lt;&gt;"Pago tarjeta"),"⚠ Destino solo aplica a transferencias",IF(AND(K4079&lt;&gt;"",K4079=Q4079),"⚠ Origen igual a destino",IF(AND(K4079&lt;&gt;"",ISNA(MATCH(K4079,ctaNombre,0))),"⚠ Destino no registrado",IF(AND(P4079="Pago tarjeta",AE4079&lt;&gt;"Tarjeta de crédito"),"⚠ El destino debe ser tarjeta de crédito",IF(AND(P4079="Gasto",E4079="Depósitos y retiros"),"⚠ Usa tipo Transferencia",IF(AND(P4079="Resultado trading",AD4079&lt;&gt;"Cuenta de trading"),"⚠ Usa una cuenta de trading",IF(AND(G4079&lt;=0,P4079&lt;&gt;"Ajuste",P4079&lt;&gt;"Resultado trading"),"⚠ El monto debe ser positivo","✓")))))))))))))))</f>
        <v/>
      </c>
      <c r="P4079" s="52">
        <f>IF(OR(B4079="",G4079=""),"",IF(C4079="","Gasto",C4079))</f>
        <v/>
      </c>
      <c r="Q4079" s="52">
        <f>IF(P4079="","",IF(J4079&lt;&gt;"",J4079,CuentaPred&amp;""))</f>
        <v/>
      </c>
      <c r="R4079" s="52">
        <f>IF(P4079="","",IF(ISNUMBER(I4079),I4079,TasaUSD))</f>
        <v/>
      </c>
      <c r="S4079" s="53">
        <f>IF(P4079="","",IF(H4079="USD",G4079*R4079,G4079))</f>
        <v/>
      </c>
      <c r="T4079" s="53">
        <f>IF(P4079="","",IF(H4079="USD",G4079,IF(R4079&gt;0,G4079/R4079,0)))</f>
        <v/>
      </c>
      <c r="U4079" s="53">
        <f>IF(P4079="","",IF(P4079="Gasto",S4079,IF(P4079="Reembolso",-S4079,0)))</f>
        <v/>
      </c>
      <c r="V4079" s="53">
        <f>IF(P4079="","",IF(P4079="Ingreso",S4079,0))</f>
        <v/>
      </c>
      <c r="W4079" s="53">
        <f>IF(P4079="","",IF(P4079="Resultado trading",S4079,0))</f>
        <v/>
      </c>
      <c r="X4079" s="52">
        <f>IF(OR(P4079="Gasto",P4079="Reembolso"),IF(M4079&lt;&gt;"",M4079,IFERROR(INDEX(catClasif,MATCH(D4079&amp;"|"&amp;E4079,catClave,0))&amp;"","Variable")),"")</f>
        <v/>
      </c>
      <c r="Y4079" s="52">
        <f>IF(P4079="","",IFERROR(INDEX(catGrupo,MATCH(D4079&amp;"|"&amp;E4079,catClave,0))&amp;"",""))</f>
        <v/>
      </c>
      <c r="Z4079" s="52">
        <f>IF(P4079="","",WEEKDAY(B4079,2))</f>
        <v/>
      </c>
      <c r="AA4079" s="52">
        <f>IF(P4079="","",IF(AND(P4079="Gasto",X4079="Variable",D4079&lt;&gt;catTrading,S4079&gt;0,S4079&lt;=Umbral),1,0))</f>
        <v/>
      </c>
      <c r="AB4079" s="52">
        <f>IF(OR(P4079="",Q4079=""),"",IFERROR(IF(INDEX(ctaVinc,MATCH(Q4079,ctaNombre,0))&amp;""&lt;&gt;"",INDEX(ctaVinc,MATCH(Q4079,ctaNombre,0))&amp;"",Q4079),Q4079))</f>
        <v/>
      </c>
      <c r="AC4079" s="52">
        <f>IF(OR(K4079="",AND(P4079&lt;&gt;"Transferencia",P4079&lt;&gt;"Pago tarjeta")),"",IFERROR(IF(INDEX(ctaVinc,MATCH(K4079,ctaNombre,0))&amp;""&lt;&gt;"",INDEX(ctaVinc,MATCH(K4079,ctaNombre,0))&amp;"",K4079),K4079))</f>
        <v/>
      </c>
      <c r="AD4079" s="52">
        <f>IF(AB4079="","",IFERROR(INDEX(ctaTipo,MATCH(AB4079,ctaNombre,0))&amp;"",""))</f>
        <v/>
      </c>
      <c r="AE4079" s="52">
        <f>IF(AC4079="","",IFERROR(INDEX(ctaTipo,MATCH(AC4079,ctaNombre,0))&amp;"",""))</f>
        <v/>
      </c>
      <c r="AF4079" s="53">
        <f>IF(OR(P4079="",AB4079=""),"",IF(OR(P4079="Gasto",P4079="Transferencia",P4079="Pago tarjeta"),-1,1)*IF(IFERROR(INDEX(ctaMoneda,MATCH(AB4079,ctaNombre,0))&amp;"","DOP")="USD",T4079,S4079))</f>
        <v/>
      </c>
      <c r="AG4079" s="53">
        <f>IF(AC4079="","",IF(IFERROR(INDEX(ctaMoneda,MATCH(AC4079,ctaNombre,0))&amp;"","DOP")="USD",T4079,S4079))</f>
        <v/>
      </c>
      <c r="AH4079" s="53">
        <f>IF(P4079="","",IF(AND(AD4079&lt;&gt;"",COUNTIFS(tcTipo,AD4079,tcLiq,"Sí")&gt;0),IF(OR(P4079="Gasto",P4079="Transferencia",P4079="Pago tarjeta"),-1,1)*S4079,0)+IF(AND(AE4079&lt;&gt;"",COUNTIFS(tcTipo,AE4079,tcLiq,"Sí")&gt;0),S4079,0))</f>
        <v/>
      </c>
      <c r="AI4079" s="52">
        <f>IF(OR(L4079="",P4079=""),"",IF(COUNTIFS(L$6:L4079,L4079,P$6:P4079,"?*")=1,MAX(AI$5:AI4078)+1,""))</f>
        <v/>
      </c>
    </row>
    <row r="4080">
      <c r="B4080" s="47" t="n"/>
      <c r="C4080" s="48" t="n"/>
      <c r="D4080" s="48" t="n"/>
      <c r="E4080" s="48" t="n"/>
      <c r="F4080" s="48" t="n"/>
      <c r="G4080" s="49" t="n"/>
      <c r="H4080" s="48" t="n"/>
      <c r="I4080" s="50" t="n"/>
      <c r="J4080" s="48" t="n"/>
      <c r="K4080" s="48" t="n"/>
      <c r="L4080" s="48" t="n"/>
      <c r="M4080" s="48" t="n"/>
      <c r="N4080" s="48" t="n"/>
      <c r="O4080" s="51">
        <f>IF(AND(B4080="",G4080="",C4080="",D4080="",J4080=""),"",IF(B4080="","⚠ Falta fecha",IF(G4080="","⚠ Falta monto",IF(Q4080="","⚠ Falta cuenta",IF(ISNA(MATCH(Q4080,ctaNombre,0)),"⚠ Cuenta no registrada",IF(AND(OR(P4080="Gasto",P4080="Reembolso"),D4080=""),"⚠ Falta categoría",IF(AND(D4080&lt;&gt;"",E4080&lt;&gt;"",ISNA(MATCH(D4080&amp;"|"&amp;E4080,catClave,0))),"⚠ Subcategoría no corresponde",IF(AND(OR(P4080="Transferencia",P4080="Pago tarjeta"),K4080=""),"⚠ Falta cuenta destino",IF(AND(K4080&lt;&gt;"",P4080&lt;&gt;"Transferencia",P4080&lt;&gt;"Pago tarjeta"),"⚠ Destino solo aplica a transferencias",IF(AND(K4080&lt;&gt;"",K4080=Q4080),"⚠ Origen igual a destino",IF(AND(K4080&lt;&gt;"",ISNA(MATCH(K4080,ctaNombre,0))),"⚠ Destino no registrado",IF(AND(P4080="Pago tarjeta",AE4080&lt;&gt;"Tarjeta de crédito"),"⚠ El destino debe ser tarjeta de crédito",IF(AND(P4080="Gasto",E4080="Depósitos y retiros"),"⚠ Usa tipo Transferencia",IF(AND(P4080="Resultado trading",AD4080&lt;&gt;"Cuenta de trading"),"⚠ Usa una cuenta de trading",IF(AND(G4080&lt;=0,P4080&lt;&gt;"Ajuste",P4080&lt;&gt;"Resultado trading"),"⚠ El monto debe ser positivo","✓")))))))))))))))</f>
        <v/>
      </c>
      <c r="P4080" s="52">
        <f>IF(OR(B4080="",G4080=""),"",IF(C4080="","Gasto",C4080))</f>
        <v/>
      </c>
      <c r="Q4080" s="52">
        <f>IF(P4080="","",IF(J4080&lt;&gt;"",J4080,CuentaPred&amp;""))</f>
        <v/>
      </c>
      <c r="R4080" s="52">
        <f>IF(P4080="","",IF(ISNUMBER(I4080),I4080,TasaUSD))</f>
        <v/>
      </c>
      <c r="S4080" s="53">
        <f>IF(P4080="","",IF(H4080="USD",G4080*R4080,G4080))</f>
        <v/>
      </c>
      <c r="T4080" s="53">
        <f>IF(P4080="","",IF(H4080="USD",G4080,IF(R4080&gt;0,G4080/R4080,0)))</f>
        <v/>
      </c>
      <c r="U4080" s="53">
        <f>IF(P4080="","",IF(P4080="Gasto",S4080,IF(P4080="Reembolso",-S4080,0)))</f>
        <v/>
      </c>
      <c r="V4080" s="53">
        <f>IF(P4080="","",IF(P4080="Ingreso",S4080,0))</f>
        <v/>
      </c>
      <c r="W4080" s="53">
        <f>IF(P4080="","",IF(P4080="Resultado trading",S4080,0))</f>
        <v/>
      </c>
      <c r="X4080" s="52">
        <f>IF(OR(P4080="Gasto",P4080="Reembolso"),IF(M4080&lt;&gt;"",M4080,IFERROR(INDEX(catClasif,MATCH(D4080&amp;"|"&amp;E4080,catClave,0))&amp;"","Variable")),"")</f>
        <v/>
      </c>
      <c r="Y4080" s="52">
        <f>IF(P4080="","",IFERROR(INDEX(catGrupo,MATCH(D4080&amp;"|"&amp;E4080,catClave,0))&amp;"",""))</f>
        <v/>
      </c>
      <c r="Z4080" s="52">
        <f>IF(P4080="","",WEEKDAY(B4080,2))</f>
        <v/>
      </c>
      <c r="AA4080" s="52">
        <f>IF(P4080="","",IF(AND(P4080="Gasto",X4080="Variable",D4080&lt;&gt;catTrading,S4080&gt;0,S4080&lt;=Umbral),1,0))</f>
        <v/>
      </c>
      <c r="AB4080" s="52">
        <f>IF(OR(P4080="",Q4080=""),"",IFERROR(IF(INDEX(ctaVinc,MATCH(Q4080,ctaNombre,0))&amp;""&lt;&gt;"",INDEX(ctaVinc,MATCH(Q4080,ctaNombre,0))&amp;"",Q4080),Q4080))</f>
        <v/>
      </c>
      <c r="AC4080" s="52">
        <f>IF(OR(K4080="",AND(P4080&lt;&gt;"Transferencia",P4080&lt;&gt;"Pago tarjeta")),"",IFERROR(IF(INDEX(ctaVinc,MATCH(K4080,ctaNombre,0))&amp;""&lt;&gt;"",INDEX(ctaVinc,MATCH(K4080,ctaNombre,0))&amp;"",K4080),K4080))</f>
        <v/>
      </c>
      <c r="AD4080" s="52">
        <f>IF(AB4080="","",IFERROR(INDEX(ctaTipo,MATCH(AB4080,ctaNombre,0))&amp;"",""))</f>
        <v/>
      </c>
      <c r="AE4080" s="52">
        <f>IF(AC4080="","",IFERROR(INDEX(ctaTipo,MATCH(AC4080,ctaNombre,0))&amp;"",""))</f>
        <v/>
      </c>
      <c r="AF4080" s="53">
        <f>IF(OR(P4080="",AB4080=""),"",IF(OR(P4080="Gasto",P4080="Transferencia",P4080="Pago tarjeta"),-1,1)*IF(IFERROR(INDEX(ctaMoneda,MATCH(AB4080,ctaNombre,0))&amp;"","DOP")="USD",T4080,S4080))</f>
        <v/>
      </c>
      <c r="AG4080" s="53">
        <f>IF(AC4080="","",IF(IFERROR(INDEX(ctaMoneda,MATCH(AC4080,ctaNombre,0))&amp;"","DOP")="USD",T4080,S4080))</f>
        <v/>
      </c>
      <c r="AH4080" s="53">
        <f>IF(P4080="","",IF(AND(AD4080&lt;&gt;"",COUNTIFS(tcTipo,AD4080,tcLiq,"Sí")&gt;0),IF(OR(P4080="Gasto",P4080="Transferencia",P4080="Pago tarjeta"),-1,1)*S4080,0)+IF(AND(AE4080&lt;&gt;"",COUNTIFS(tcTipo,AE4080,tcLiq,"Sí")&gt;0),S4080,0))</f>
        <v/>
      </c>
      <c r="AI4080" s="52">
        <f>IF(OR(L4080="",P4080=""),"",IF(COUNTIFS(L$6:L4080,L4080,P$6:P4080,"?*")=1,MAX(AI$5:AI4079)+1,""))</f>
        <v/>
      </c>
    </row>
    <row r="4081">
      <c r="B4081" s="47" t="n"/>
      <c r="C4081" s="48" t="n"/>
      <c r="D4081" s="48" t="n"/>
      <c r="E4081" s="48" t="n"/>
      <c r="F4081" s="48" t="n"/>
      <c r="G4081" s="49" t="n"/>
      <c r="H4081" s="48" t="n"/>
      <c r="I4081" s="50" t="n"/>
      <c r="J4081" s="48" t="n"/>
      <c r="K4081" s="48" t="n"/>
      <c r="L4081" s="48" t="n"/>
      <c r="M4081" s="48" t="n"/>
      <c r="N4081" s="48" t="n"/>
      <c r="O4081" s="51">
        <f>IF(AND(B4081="",G4081="",C4081="",D4081="",J4081=""),"",IF(B4081="","⚠ Falta fecha",IF(G4081="","⚠ Falta monto",IF(Q4081="","⚠ Falta cuenta",IF(ISNA(MATCH(Q4081,ctaNombre,0)),"⚠ Cuenta no registrada",IF(AND(OR(P4081="Gasto",P4081="Reembolso"),D4081=""),"⚠ Falta categoría",IF(AND(D4081&lt;&gt;"",E4081&lt;&gt;"",ISNA(MATCH(D4081&amp;"|"&amp;E4081,catClave,0))),"⚠ Subcategoría no corresponde",IF(AND(OR(P4081="Transferencia",P4081="Pago tarjeta"),K4081=""),"⚠ Falta cuenta destino",IF(AND(K4081&lt;&gt;"",P4081&lt;&gt;"Transferencia",P4081&lt;&gt;"Pago tarjeta"),"⚠ Destino solo aplica a transferencias",IF(AND(K4081&lt;&gt;"",K4081=Q4081),"⚠ Origen igual a destino",IF(AND(K4081&lt;&gt;"",ISNA(MATCH(K4081,ctaNombre,0))),"⚠ Destino no registrado",IF(AND(P4081="Pago tarjeta",AE4081&lt;&gt;"Tarjeta de crédito"),"⚠ El destino debe ser tarjeta de crédito",IF(AND(P4081="Gasto",E4081="Depósitos y retiros"),"⚠ Usa tipo Transferencia",IF(AND(P4081="Resultado trading",AD4081&lt;&gt;"Cuenta de trading"),"⚠ Usa una cuenta de trading",IF(AND(G4081&lt;=0,P4081&lt;&gt;"Ajuste",P4081&lt;&gt;"Resultado trading"),"⚠ El monto debe ser positivo","✓")))))))))))))))</f>
        <v/>
      </c>
      <c r="P4081" s="52">
        <f>IF(OR(B4081="",G4081=""),"",IF(C4081="","Gasto",C4081))</f>
        <v/>
      </c>
      <c r="Q4081" s="52">
        <f>IF(P4081="","",IF(J4081&lt;&gt;"",J4081,CuentaPred&amp;""))</f>
        <v/>
      </c>
      <c r="R4081" s="52">
        <f>IF(P4081="","",IF(ISNUMBER(I4081),I4081,TasaUSD))</f>
        <v/>
      </c>
      <c r="S4081" s="53">
        <f>IF(P4081="","",IF(H4081="USD",G4081*R4081,G4081))</f>
        <v/>
      </c>
      <c r="T4081" s="53">
        <f>IF(P4081="","",IF(H4081="USD",G4081,IF(R4081&gt;0,G4081/R4081,0)))</f>
        <v/>
      </c>
      <c r="U4081" s="53">
        <f>IF(P4081="","",IF(P4081="Gasto",S4081,IF(P4081="Reembolso",-S4081,0)))</f>
        <v/>
      </c>
      <c r="V4081" s="53">
        <f>IF(P4081="","",IF(P4081="Ingreso",S4081,0))</f>
        <v/>
      </c>
      <c r="W4081" s="53">
        <f>IF(P4081="","",IF(P4081="Resultado trading",S4081,0))</f>
        <v/>
      </c>
      <c r="X4081" s="52">
        <f>IF(OR(P4081="Gasto",P4081="Reembolso"),IF(M4081&lt;&gt;"",M4081,IFERROR(INDEX(catClasif,MATCH(D4081&amp;"|"&amp;E4081,catClave,0))&amp;"","Variable")),"")</f>
        <v/>
      </c>
      <c r="Y4081" s="52">
        <f>IF(P4081="","",IFERROR(INDEX(catGrupo,MATCH(D4081&amp;"|"&amp;E4081,catClave,0))&amp;"",""))</f>
        <v/>
      </c>
      <c r="Z4081" s="52">
        <f>IF(P4081="","",WEEKDAY(B4081,2))</f>
        <v/>
      </c>
      <c r="AA4081" s="52">
        <f>IF(P4081="","",IF(AND(P4081="Gasto",X4081="Variable",D4081&lt;&gt;catTrading,S4081&gt;0,S4081&lt;=Umbral),1,0))</f>
        <v/>
      </c>
      <c r="AB4081" s="52">
        <f>IF(OR(P4081="",Q4081=""),"",IFERROR(IF(INDEX(ctaVinc,MATCH(Q4081,ctaNombre,0))&amp;""&lt;&gt;"",INDEX(ctaVinc,MATCH(Q4081,ctaNombre,0))&amp;"",Q4081),Q4081))</f>
        <v/>
      </c>
      <c r="AC4081" s="52">
        <f>IF(OR(K4081="",AND(P4081&lt;&gt;"Transferencia",P4081&lt;&gt;"Pago tarjeta")),"",IFERROR(IF(INDEX(ctaVinc,MATCH(K4081,ctaNombre,0))&amp;""&lt;&gt;"",INDEX(ctaVinc,MATCH(K4081,ctaNombre,0))&amp;"",K4081),K4081))</f>
        <v/>
      </c>
      <c r="AD4081" s="52">
        <f>IF(AB4081="","",IFERROR(INDEX(ctaTipo,MATCH(AB4081,ctaNombre,0))&amp;"",""))</f>
        <v/>
      </c>
      <c r="AE4081" s="52">
        <f>IF(AC4081="","",IFERROR(INDEX(ctaTipo,MATCH(AC4081,ctaNombre,0))&amp;"",""))</f>
        <v/>
      </c>
      <c r="AF4081" s="53">
        <f>IF(OR(P4081="",AB4081=""),"",IF(OR(P4081="Gasto",P4081="Transferencia",P4081="Pago tarjeta"),-1,1)*IF(IFERROR(INDEX(ctaMoneda,MATCH(AB4081,ctaNombre,0))&amp;"","DOP")="USD",T4081,S4081))</f>
        <v/>
      </c>
      <c r="AG4081" s="53">
        <f>IF(AC4081="","",IF(IFERROR(INDEX(ctaMoneda,MATCH(AC4081,ctaNombre,0))&amp;"","DOP")="USD",T4081,S4081))</f>
        <v/>
      </c>
      <c r="AH4081" s="53">
        <f>IF(P4081="","",IF(AND(AD4081&lt;&gt;"",COUNTIFS(tcTipo,AD4081,tcLiq,"Sí")&gt;0),IF(OR(P4081="Gasto",P4081="Transferencia",P4081="Pago tarjeta"),-1,1)*S4081,0)+IF(AND(AE4081&lt;&gt;"",COUNTIFS(tcTipo,AE4081,tcLiq,"Sí")&gt;0),S4081,0))</f>
        <v/>
      </c>
      <c r="AI4081" s="52">
        <f>IF(OR(L4081="",P4081=""),"",IF(COUNTIFS(L$6:L4081,L4081,P$6:P4081,"?*")=1,MAX(AI$5:AI4080)+1,""))</f>
        <v/>
      </c>
    </row>
    <row r="4082">
      <c r="B4082" s="47" t="n"/>
      <c r="C4082" s="48" t="n"/>
      <c r="D4082" s="48" t="n"/>
      <c r="E4082" s="48" t="n"/>
      <c r="F4082" s="48" t="n"/>
      <c r="G4082" s="49" t="n"/>
      <c r="H4082" s="48" t="n"/>
      <c r="I4082" s="50" t="n"/>
      <c r="J4082" s="48" t="n"/>
      <c r="K4082" s="48" t="n"/>
      <c r="L4082" s="48" t="n"/>
      <c r="M4082" s="48" t="n"/>
      <c r="N4082" s="48" t="n"/>
      <c r="O4082" s="51">
        <f>IF(AND(B4082="",G4082="",C4082="",D4082="",J4082=""),"",IF(B4082="","⚠ Falta fecha",IF(G4082="","⚠ Falta monto",IF(Q4082="","⚠ Falta cuenta",IF(ISNA(MATCH(Q4082,ctaNombre,0)),"⚠ Cuenta no registrada",IF(AND(OR(P4082="Gasto",P4082="Reembolso"),D4082=""),"⚠ Falta categoría",IF(AND(D4082&lt;&gt;"",E4082&lt;&gt;"",ISNA(MATCH(D4082&amp;"|"&amp;E4082,catClave,0))),"⚠ Subcategoría no corresponde",IF(AND(OR(P4082="Transferencia",P4082="Pago tarjeta"),K4082=""),"⚠ Falta cuenta destino",IF(AND(K4082&lt;&gt;"",P4082&lt;&gt;"Transferencia",P4082&lt;&gt;"Pago tarjeta"),"⚠ Destino solo aplica a transferencias",IF(AND(K4082&lt;&gt;"",K4082=Q4082),"⚠ Origen igual a destino",IF(AND(K4082&lt;&gt;"",ISNA(MATCH(K4082,ctaNombre,0))),"⚠ Destino no registrado",IF(AND(P4082="Pago tarjeta",AE4082&lt;&gt;"Tarjeta de crédito"),"⚠ El destino debe ser tarjeta de crédito",IF(AND(P4082="Gasto",E4082="Depósitos y retiros"),"⚠ Usa tipo Transferencia",IF(AND(P4082="Resultado trading",AD4082&lt;&gt;"Cuenta de trading"),"⚠ Usa una cuenta de trading",IF(AND(G4082&lt;=0,P4082&lt;&gt;"Ajuste",P4082&lt;&gt;"Resultado trading"),"⚠ El monto debe ser positivo","✓")))))))))))))))</f>
        <v/>
      </c>
      <c r="P4082" s="52">
        <f>IF(OR(B4082="",G4082=""),"",IF(C4082="","Gasto",C4082))</f>
        <v/>
      </c>
      <c r="Q4082" s="52">
        <f>IF(P4082="","",IF(J4082&lt;&gt;"",J4082,CuentaPred&amp;""))</f>
        <v/>
      </c>
      <c r="R4082" s="52">
        <f>IF(P4082="","",IF(ISNUMBER(I4082),I4082,TasaUSD))</f>
        <v/>
      </c>
      <c r="S4082" s="53">
        <f>IF(P4082="","",IF(H4082="USD",G4082*R4082,G4082))</f>
        <v/>
      </c>
      <c r="T4082" s="53">
        <f>IF(P4082="","",IF(H4082="USD",G4082,IF(R4082&gt;0,G4082/R4082,0)))</f>
        <v/>
      </c>
      <c r="U4082" s="53">
        <f>IF(P4082="","",IF(P4082="Gasto",S4082,IF(P4082="Reembolso",-S4082,0)))</f>
        <v/>
      </c>
      <c r="V4082" s="53">
        <f>IF(P4082="","",IF(P4082="Ingreso",S4082,0))</f>
        <v/>
      </c>
      <c r="W4082" s="53">
        <f>IF(P4082="","",IF(P4082="Resultado trading",S4082,0))</f>
        <v/>
      </c>
      <c r="X4082" s="52">
        <f>IF(OR(P4082="Gasto",P4082="Reembolso"),IF(M4082&lt;&gt;"",M4082,IFERROR(INDEX(catClasif,MATCH(D4082&amp;"|"&amp;E4082,catClave,0))&amp;"","Variable")),"")</f>
        <v/>
      </c>
      <c r="Y4082" s="52">
        <f>IF(P4082="","",IFERROR(INDEX(catGrupo,MATCH(D4082&amp;"|"&amp;E4082,catClave,0))&amp;"",""))</f>
        <v/>
      </c>
      <c r="Z4082" s="52">
        <f>IF(P4082="","",WEEKDAY(B4082,2))</f>
        <v/>
      </c>
      <c r="AA4082" s="52">
        <f>IF(P4082="","",IF(AND(P4082="Gasto",X4082="Variable",D4082&lt;&gt;catTrading,S4082&gt;0,S4082&lt;=Umbral),1,0))</f>
        <v/>
      </c>
      <c r="AB4082" s="52">
        <f>IF(OR(P4082="",Q4082=""),"",IFERROR(IF(INDEX(ctaVinc,MATCH(Q4082,ctaNombre,0))&amp;""&lt;&gt;"",INDEX(ctaVinc,MATCH(Q4082,ctaNombre,0))&amp;"",Q4082),Q4082))</f>
        <v/>
      </c>
      <c r="AC4082" s="52">
        <f>IF(OR(K4082="",AND(P4082&lt;&gt;"Transferencia",P4082&lt;&gt;"Pago tarjeta")),"",IFERROR(IF(INDEX(ctaVinc,MATCH(K4082,ctaNombre,0))&amp;""&lt;&gt;"",INDEX(ctaVinc,MATCH(K4082,ctaNombre,0))&amp;"",K4082),K4082))</f>
        <v/>
      </c>
      <c r="AD4082" s="52">
        <f>IF(AB4082="","",IFERROR(INDEX(ctaTipo,MATCH(AB4082,ctaNombre,0))&amp;"",""))</f>
        <v/>
      </c>
      <c r="AE4082" s="52">
        <f>IF(AC4082="","",IFERROR(INDEX(ctaTipo,MATCH(AC4082,ctaNombre,0))&amp;"",""))</f>
        <v/>
      </c>
      <c r="AF4082" s="53">
        <f>IF(OR(P4082="",AB4082=""),"",IF(OR(P4082="Gasto",P4082="Transferencia",P4082="Pago tarjeta"),-1,1)*IF(IFERROR(INDEX(ctaMoneda,MATCH(AB4082,ctaNombre,0))&amp;"","DOP")="USD",T4082,S4082))</f>
        <v/>
      </c>
      <c r="AG4082" s="53">
        <f>IF(AC4082="","",IF(IFERROR(INDEX(ctaMoneda,MATCH(AC4082,ctaNombre,0))&amp;"","DOP")="USD",T4082,S4082))</f>
        <v/>
      </c>
      <c r="AH4082" s="53">
        <f>IF(P4082="","",IF(AND(AD4082&lt;&gt;"",COUNTIFS(tcTipo,AD4082,tcLiq,"Sí")&gt;0),IF(OR(P4082="Gasto",P4082="Transferencia",P4082="Pago tarjeta"),-1,1)*S4082,0)+IF(AND(AE4082&lt;&gt;"",COUNTIFS(tcTipo,AE4082,tcLiq,"Sí")&gt;0),S4082,0))</f>
        <v/>
      </c>
      <c r="AI4082" s="52">
        <f>IF(OR(L4082="",P4082=""),"",IF(COUNTIFS(L$6:L4082,L4082,P$6:P4082,"?*")=1,MAX(AI$5:AI4081)+1,""))</f>
        <v/>
      </c>
    </row>
    <row r="4083">
      <c r="B4083" s="47" t="n"/>
      <c r="C4083" s="48" t="n"/>
      <c r="D4083" s="48" t="n"/>
      <c r="E4083" s="48" t="n"/>
      <c r="F4083" s="48" t="n"/>
      <c r="G4083" s="49" t="n"/>
      <c r="H4083" s="48" t="n"/>
      <c r="I4083" s="50" t="n"/>
      <c r="J4083" s="48" t="n"/>
      <c r="K4083" s="48" t="n"/>
      <c r="L4083" s="48" t="n"/>
      <c r="M4083" s="48" t="n"/>
      <c r="N4083" s="48" t="n"/>
      <c r="O4083" s="51">
        <f>IF(AND(B4083="",G4083="",C4083="",D4083="",J4083=""),"",IF(B4083="","⚠ Falta fecha",IF(G4083="","⚠ Falta monto",IF(Q4083="","⚠ Falta cuenta",IF(ISNA(MATCH(Q4083,ctaNombre,0)),"⚠ Cuenta no registrada",IF(AND(OR(P4083="Gasto",P4083="Reembolso"),D4083=""),"⚠ Falta categoría",IF(AND(D4083&lt;&gt;"",E4083&lt;&gt;"",ISNA(MATCH(D4083&amp;"|"&amp;E4083,catClave,0))),"⚠ Subcategoría no corresponde",IF(AND(OR(P4083="Transferencia",P4083="Pago tarjeta"),K4083=""),"⚠ Falta cuenta destino",IF(AND(K4083&lt;&gt;"",P4083&lt;&gt;"Transferencia",P4083&lt;&gt;"Pago tarjeta"),"⚠ Destino solo aplica a transferencias",IF(AND(K4083&lt;&gt;"",K4083=Q4083),"⚠ Origen igual a destino",IF(AND(K4083&lt;&gt;"",ISNA(MATCH(K4083,ctaNombre,0))),"⚠ Destino no registrado",IF(AND(P4083="Pago tarjeta",AE4083&lt;&gt;"Tarjeta de crédito"),"⚠ El destino debe ser tarjeta de crédito",IF(AND(P4083="Gasto",E4083="Depósitos y retiros"),"⚠ Usa tipo Transferencia",IF(AND(P4083="Resultado trading",AD4083&lt;&gt;"Cuenta de trading"),"⚠ Usa una cuenta de trading",IF(AND(G4083&lt;=0,P4083&lt;&gt;"Ajuste",P4083&lt;&gt;"Resultado trading"),"⚠ El monto debe ser positivo","✓")))))))))))))))</f>
        <v/>
      </c>
      <c r="P4083" s="52">
        <f>IF(OR(B4083="",G4083=""),"",IF(C4083="","Gasto",C4083))</f>
        <v/>
      </c>
      <c r="Q4083" s="52">
        <f>IF(P4083="","",IF(J4083&lt;&gt;"",J4083,CuentaPred&amp;""))</f>
        <v/>
      </c>
      <c r="R4083" s="52">
        <f>IF(P4083="","",IF(ISNUMBER(I4083),I4083,TasaUSD))</f>
        <v/>
      </c>
      <c r="S4083" s="53">
        <f>IF(P4083="","",IF(H4083="USD",G4083*R4083,G4083))</f>
        <v/>
      </c>
      <c r="T4083" s="53">
        <f>IF(P4083="","",IF(H4083="USD",G4083,IF(R4083&gt;0,G4083/R4083,0)))</f>
        <v/>
      </c>
      <c r="U4083" s="53">
        <f>IF(P4083="","",IF(P4083="Gasto",S4083,IF(P4083="Reembolso",-S4083,0)))</f>
        <v/>
      </c>
      <c r="V4083" s="53">
        <f>IF(P4083="","",IF(P4083="Ingreso",S4083,0))</f>
        <v/>
      </c>
      <c r="W4083" s="53">
        <f>IF(P4083="","",IF(P4083="Resultado trading",S4083,0))</f>
        <v/>
      </c>
      <c r="X4083" s="52">
        <f>IF(OR(P4083="Gasto",P4083="Reembolso"),IF(M4083&lt;&gt;"",M4083,IFERROR(INDEX(catClasif,MATCH(D4083&amp;"|"&amp;E4083,catClave,0))&amp;"","Variable")),"")</f>
        <v/>
      </c>
      <c r="Y4083" s="52">
        <f>IF(P4083="","",IFERROR(INDEX(catGrupo,MATCH(D4083&amp;"|"&amp;E4083,catClave,0))&amp;"",""))</f>
        <v/>
      </c>
      <c r="Z4083" s="52">
        <f>IF(P4083="","",WEEKDAY(B4083,2))</f>
        <v/>
      </c>
      <c r="AA4083" s="52">
        <f>IF(P4083="","",IF(AND(P4083="Gasto",X4083="Variable",D4083&lt;&gt;catTrading,S4083&gt;0,S4083&lt;=Umbral),1,0))</f>
        <v/>
      </c>
      <c r="AB4083" s="52">
        <f>IF(OR(P4083="",Q4083=""),"",IFERROR(IF(INDEX(ctaVinc,MATCH(Q4083,ctaNombre,0))&amp;""&lt;&gt;"",INDEX(ctaVinc,MATCH(Q4083,ctaNombre,0))&amp;"",Q4083),Q4083))</f>
        <v/>
      </c>
      <c r="AC4083" s="52">
        <f>IF(OR(K4083="",AND(P4083&lt;&gt;"Transferencia",P4083&lt;&gt;"Pago tarjeta")),"",IFERROR(IF(INDEX(ctaVinc,MATCH(K4083,ctaNombre,0))&amp;""&lt;&gt;"",INDEX(ctaVinc,MATCH(K4083,ctaNombre,0))&amp;"",K4083),K4083))</f>
        <v/>
      </c>
      <c r="AD4083" s="52">
        <f>IF(AB4083="","",IFERROR(INDEX(ctaTipo,MATCH(AB4083,ctaNombre,0))&amp;"",""))</f>
        <v/>
      </c>
      <c r="AE4083" s="52">
        <f>IF(AC4083="","",IFERROR(INDEX(ctaTipo,MATCH(AC4083,ctaNombre,0))&amp;"",""))</f>
        <v/>
      </c>
      <c r="AF4083" s="53">
        <f>IF(OR(P4083="",AB4083=""),"",IF(OR(P4083="Gasto",P4083="Transferencia",P4083="Pago tarjeta"),-1,1)*IF(IFERROR(INDEX(ctaMoneda,MATCH(AB4083,ctaNombre,0))&amp;"","DOP")="USD",T4083,S4083))</f>
        <v/>
      </c>
      <c r="AG4083" s="53">
        <f>IF(AC4083="","",IF(IFERROR(INDEX(ctaMoneda,MATCH(AC4083,ctaNombre,0))&amp;"","DOP")="USD",T4083,S4083))</f>
        <v/>
      </c>
      <c r="AH4083" s="53">
        <f>IF(P4083="","",IF(AND(AD4083&lt;&gt;"",COUNTIFS(tcTipo,AD4083,tcLiq,"Sí")&gt;0),IF(OR(P4083="Gasto",P4083="Transferencia",P4083="Pago tarjeta"),-1,1)*S4083,0)+IF(AND(AE4083&lt;&gt;"",COUNTIFS(tcTipo,AE4083,tcLiq,"Sí")&gt;0),S4083,0))</f>
        <v/>
      </c>
      <c r="AI4083" s="52">
        <f>IF(OR(L4083="",P4083=""),"",IF(COUNTIFS(L$6:L4083,L4083,P$6:P4083,"?*")=1,MAX(AI$5:AI4082)+1,""))</f>
        <v/>
      </c>
    </row>
    <row r="4084">
      <c r="B4084" s="47" t="n"/>
      <c r="C4084" s="48" t="n"/>
      <c r="D4084" s="48" t="n"/>
      <c r="E4084" s="48" t="n"/>
      <c r="F4084" s="48" t="n"/>
      <c r="G4084" s="49" t="n"/>
      <c r="H4084" s="48" t="n"/>
      <c r="I4084" s="50" t="n"/>
      <c r="J4084" s="48" t="n"/>
      <c r="K4084" s="48" t="n"/>
      <c r="L4084" s="48" t="n"/>
      <c r="M4084" s="48" t="n"/>
      <c r="N4084" s="48" t="n"/>
      <c r="O4084" s="51">
        <f>IF(AND(B4084="",G4084="",C4084="",D4084="",J4084=""),"",IF(B4084="","⚠ Falta fecha",IF(G4084="","⚠ Falta monto",IF(Q4084="","⚠ Falta cuenta",IF(ISNA(MATCH(Q4084,ctaNombre,0)),"⚠ Cuenta no registrada",IF(AND(OR(P4084="Gasto",P4084="Reembolso"),D4084=""),"⚠ Falta categoría",IF(AND(D4084&lt;&gt;"",E4084&lt;&gt;"",ISNA(MATCH(D4084&amp;"|"&amp;E4084,catClave,0))),"⚠ Subcategoría no corresponde",IF(AND(OR(P4084="Transferencia",P4084="Pago tarjeta"),K4084=""),"⚠ Falta cuenta destino",IF(AND(K4084&lt;&gt;"",P4084&lt;&gt;"Transferencia",P4084&lt;&gt;"Pago tarjeta"),"⚠ Destino solo aplica a transferencias",IF(AND(K4084&lt;&gt;"",K4084=Q4084),"⚠ Origen igual a destino",IF(AND(K4084&lt;&gt;"",ISNA(MATCH(K4084,ctaNombre,0))),"⚠ Destino no registrado",IF(AND(P4084="Pago tarjeta",AE4084&lt;&gt;"Tarjeta de crédito"),"⚠ El destino debe ser tarjeta de crédito",IF(AND(P4084="Gasto",E4084="Depósitos y retiros"),"⚠ Usa tipo Transferencia",IF(AND(P4084="Resultado trading",AD4084&lt;&gt;"Cuenta de trading"),"⚠ Usa una cuenta de trading",IF(AND(G4084&lt;=0,P4084&lt;&gt;"Ajuste",P4084&lt;&gt;"Resultado trading"),"⚠ El monto debe ser positivo","✓")))))))))))))))</f>
        <v/>
      </c>
      <c r="P4084" s="52">
        <f>IF(OR(B4084="",G4084=""),"",IF(C4084="","Gasto",C4084))</f>
        <v/>
      </c>
      <c r="Q4084" s="52">
        <f>IF(P4084="","",IF(J4084&lt;&gt;"",J4084,CuentaPred&amp;""))</f>
        <v/>
      </c>
      <c r="R4084" s="52">
        <f>IF(P4084="","",IF(ISNUMBER(I4084),I4084,TasaUSD))</f>
        <v/>
      </c>
      <c r="S4084" s="53">
        <f>IF(P4084="","",IF(H4084="USD",G4084*R4084,G4084))</f>
        <v/>
      </c>
      <c r="T4084" s="53">
        <f>IF(P4084="","",IF(H4084="USD",G4084,IF(R4084&gt;0,G4084/R4084,0)))</f>
        <v/>
      </c>
      <c r="U4084" s="53">
        <f>IF(P4084="","",IF(P4084="Gasto",S4084,IF(P4084="Reembolso",-S4084,0)))</f>
        <v/>
      </c>
      <c r="V4084" s="53">
        <f>IF(P4084="","",IF(P4084="Ingreso",S4084,0))</f>
        <v/>
      </c>
      <c r="W4084" s="53">
        <f>IF(P4084="","",IF(P4084="Resultado trading",S4084,0))</f>
        <v/>
      </c>
      <c r="X4084" s="52">
        <f>IF(OR(P4084="Gasto",P4084="Reembolso"),IF(M4084&lt;&gt;"",M4084,IFERROR(INDEX(catClasif,MATCH(D4084&amp;"|"&amp;E4084,catClave,0))&amp;"","Variable")),"")</f>
        <v/>
      </c>
      <c r="Y4084" s="52">
        <f>IF(P4084="","",IFERROR(INDEX(catGrupo,MATCH(D4084&amp;"|"&amp;E4084,catClave,0))&amp;"",""))</f>
        <v/>
      </c>
      <c r="Z4084" s="52">
        <f>IF(P4084="","",WEEKDAY(B4084,2))</f>
        <v/>
      </c>
      <c r="AA4084" s="52">
        <f>IF(P4084="","",IF(AND(P4084="Gasto",X4084="Variable",D4084&lt;&gt;catTrading,S4084&gt;0,S4084&lt;=Umbral),1,0))</f>
        <v/>
      </c>
      <c r="AB4084" s="52">
        <f>IF(OR(P4084="",Q4084=""),"",IFERROR(IF(INDEX(ctaVinc,MATCH(Q4084,ctaNombre,0))&amp;""&lt;&gt;"",INDEX(ctaVinc,MATCH(Q4084,ctaNombre,0))&amp;"",Q4084),Q4084))</f>
        <v/>
      </c>
      <c r="AC4084" s="52">
        <f>IF(OR(K4084="",AND(P4084&lt;&gt;"Transferencia",P4084&lt;&gt;"Pago tarjeta")),"",IFERROR(IF(INDEX(ctaVinc,MATCH(K4084,ctaNombre,0))&amp;""&lt;&gt;"",INDEX(ctaVinc,MATCH(K4084,ctaNombre,0))&amp;"",K4084),K4084))</f>
        <v/>
      </c>
      <c r="AD4084" s="52">
        <f>IF(AB4084="","",IFERROR(INDEX(ctaTipo,MATCH(AB4084,ctaNombre,0))&amp;"",""))</f>
        <v/>
      </c>
      <c r="AE4084" s="52">
        <f>IF(AC4084="","",IFERROR(INDEX(ctaTipo,MATCH(AC4084,ctaNombre,0))&amp;"",""))</f>
        <v/>
      </c>
      <c r="AF4084" s="53">
        <f>IF(OR(P4084="",AB4084=""),"",IF(OR(P4084="Gasto",P4084="Transferencia",P4084="Pago tarjeta"),-1,1)*IF(IFERROR(INDEX(ctaMoneda,MATCH(AB4084,ctaNombre,0))&amp;"","DOP")="USD",T4084,S4084))</f>
        <v/>
      </c>
      <c r="AG4084" s="53">
        <f>IF(AC4084="","",IF(IFERROR(INDEX(ctaMoneda,MATCH(AC4084,ctaNombre,0))&amp;"","DOP")="USD",T4084,S4084))</f>
        <v/>
      </c>
      <c r="AH4084" s="53">
        <f>IF(P4084="","",IF(AND(AD4084&lt;&gt;"",COUNTIFS(tcTipo,AD4084,tcLiq,"Sí")&gt;0),IF(OR(P4084="Gasto",P4084="Transferencia",P4084="Pago tarjeta"),-1,1)*S4084,0)+IF(AND(AE4084&lt;&gt;"",COUNTIFS(tcTipo,AE4084,tcLiq,"Sí")&gt;0),S4084,0))</f>
        <v/>
      </c>
      <c r="AI4084" s="52">
        <f>IF(OR(L4084="",P4084=""),"",IF(COUNTIFS(L$6:L4084,L4084,P$6:P4084,"?*")=1,MAX(AI$5:AI4083)+1,""))</f>
        <v/>
      </c>
    </row>
    <row r="4085">
      <c r="B4085" s="47" t="n"/>
      <c r="C4085" s="48" t="n"/>
      <c r="D4085" s="48" t="n"/>
      <c r="E4085" s="48" t="n"/>
      <c r="F4085" s="48" t="n"/>
      <c r="G4085" s="49" t="n"/>
      <c r="H4085" s="48" t="n"/>
      <c r="I4085" s="50" t="n"/>
      <c r="J4085" s="48" t="n"/>
      <c r="K4085" s="48" t="n"/>
      <c r="L4085" s="48" t="n"/>
      <c r="M4085" s="48" t="n"/>
      <c r="N4085" s="48" t="n"/>
      <c r="O4085" s="51">
        <f>IF(AND(B4085="",G4085="",C4085="",D4085="",J4085=""),"",IF(B4085="","⚠ Falta fecha",IF(G4085="","⚠ Falta monto",IF(Q4085="","⚠ Falta cuenta",IF(ISNA(MATCH(Q4085,ctaNombre,0)),"⚠ Cuenta no registrada",IF(AND(OR(P4085="Gasto",P4085="Reembolso"),D4085=""),"⚠ Falta categoría",IF(AND(D4085&lt;&gt;"",E4085&lt;&gt;"",ISNA(MATCH(D4085&amp;"|"&amp;E4085,catClave,0))),"⚠ Subcategoría no corresponde",IF(AND(OR(P4085="Transferencia",P4085="Pago tarjeta"),K4085=""),"⚠ Falta cuenta destino",IF(AND(K4085&lt;&gt;"",P4085&lt;&gt;"Transferencia",P4085&lt;&gt;"Pago tarjeta"),"⚠ Destino solo aplica a transferencias",IF(AND(K4085&lt;&gt;"",K4085=Q4085),"⚠ Origen igual a destino",IF(AND(K4085&lt;&gt;"",ISNA(MATCH(K4085,ctaNombre,0))),"⚠ Destino no registrado",IF(AND(P4085="Pago tarjeta",AE4085&lt;&gt;"Tarjeta de crédito"),"⚠ El destino debe ser tarjeta de crédito",IF(AND(P4085="Gasto",E4085="Depósitos y retiros"),"⚠ Usa tipo Transferencia",IF(AND(P4085="Resultado trading",AD4085&lt;&gt;"Cuenta de trading"),"⚠ Usa una cuenta de trading",IF(AND(G4085&lt;=0,P4085&lt;&gt;"Ajuste",P4085&lt;&gt;"Resultado trading"),"⚠ El monto debe ser positivo","✓")))))))))))))))</f>
        <v/>
      </c>
      <c r="P4085" s="52">
        <f>IF(OR(B4085="",G4085=""),"",IF(C4085="","Gasto",C4085))</f>
        <v/>
      </c>
      <c r="Q4085" s="52">
        <f>IF(P4085="","",IF(J4085&lt;&gt;"",J4085,CuentaPred&amp;""))</f>
        <v/>
      </c>
      <c r="R4085" s="52">
        <f>IF(P4085="","",IF(ISNUMBER(I4085),I4085,TasaUSD))</f>
        <v/>
      </c>
      <c r="S4085" s="53">
        <f>IF(P4085="","",IF(H4085="USD",G4085*R4085,G4085))</f>
        <v/>
      </c>
      <c r="T4085" s="53">
        <f>IF(P4085="","",IF(H4085="USD",G4085,IF(R4085&gt;0,G4085/R4085,0)))</f>
        <v/>
      </c>
      <c r="U4085" s="53">
        <f>IF(P4085="","",IF(P4085="Gasto",S4085,IF(P4085="Reembolso",-S4085,0)))</f>
        <v/>
      </c>
      <c r="V4085" s="53">
        <f>IF(P4085="","",IF(P4085="Ingreso",S4085,0))</f>
        <v/>
      </c>
      <c r="W4085" s="53">
        <f>IF(P4085="","",IF(P4085="Resultado trading",S4085,0))</f>
        <v/>
      </c>
      <c r="X4085" s="52">
        <f>IF(OR(P4085="Gasto",P4085="Reembolso"),IF(M4085&lt;&gt;"",M4085,IFERROR(INDEX(catClasif,MATCH(D4085&amp;"|"&amp;E4085,catClave,0))&amp;"","Variable")),"")</f>
        <v/>
      </c>
      <c r="Y4085" s="52">
        <f>IF(P4085="","",IFERROR(INDEX(catGrupo,MATCH(D4085&amp;"|"&amp;E4085,catClave,0))&amp;"",""))</f>
        <v/>
      </c>
      <c r="Z4085" s="52">
        <f>IF(P4085="","",WEEKDAY(B4085,2))</f>
        <v/>
      </c>
      <c r="AA4085" s="52">
        <f>IF(P4085="","",IF(AND(P4085="Gasto",X4085="Variable",D4085&lt;&gt;catTrading,S4085&gt;0,S4085&lt;=Umbral),1,0))</f>
        <v/>
      </c>
      <c r="AB4085" s="52">
        <f>IF(OR(P4085="",Q4085=""),"",IFERROR(IF(INDEX(ctaVinc,MATCH(Q4085,ctaNombre,0))&amp;""&lt;&gt;"",INDEX(ctaVinc,MATCH(Q4085,ctaNombre,0))&amp;"",Q4085),Q4085))</f>
        <v/>
      </c>
      <c r="AC4085" s="52">
        <f>IF(OR(K4085="",AND(P4085&lt;&gt;"Transferencia",P4085&lt;&gt;"Pago tarjeta")),"",IFERROR(IF(INDEX(ctaVinc,MATCH(K4085,ctaNombre,0))&amp;""&lt;&gt;"",INDEX(ctaVinc,MATCH(K4085,ctaNombre,0))&amp;"",K4085),K4085))</f>
        <v/>
      </c>
      <c r="AD4085" s="52">
        <f>IF(AB4085="","",IFERROR(INDEX(ctaTipo,MATCH(AB4085,ctaNombre,0))&amp;"",""))</f>
        <v/>
      </c>
      <c r="AE4085" s="52">
        <f>IF(AC4085="","",IFERROR(INDEX(ctaTipo,MATCH(AC4085,ctaNombre,0))&amp;"",""))</f>
        <v/>
      </c>
      <c r="AF4085" s="53">
        <f>IF(OR(P4085="",AB4085=""),"",IF(OR(P4085="Gasto",P4085="Transferencia",P4085="Pago tarjeta"),-1,1)*IF(IFERROR(INDEX(ctaMoneda,MATCH(AB4085,ctaNombre,0))&amp;"","DOP")="USD",T4085,S4085))</f>
        <v/>
      </c>
      <c r="AG4085" s="53">
        <f>IF(AC4085="","",IF(IFERROR(INDEX(ctaMoneda,MATCH(AC4085,ctaNombre,0))&amp;"","DOP")="USD",T4085,S4085))</f>
        <v/>
      </c>
      <c r="AH4085" s="53">
        <f>IF(P4085="","",IF(AND(AD4085&lt;&gt;"",COUNTIFS(tcTipo,AD4085,tcLiq,"Sí")&gt;0),IF(OR(P4085="Gasto",P4085="Transferencia",P4085="Pago tarjeta"),-1,1)*S4085,0)+IF(AND(AE4085&lt;&gt;"",COUNTIFS(tcTipo,AE4085,tcLiq,"Sí")&gt;0),S4085,0))</f>
        <v/>
      </c>
      <c r="AI4085" s="52">
        <f>IF(OR(L4085="",P4085=""),"",IF(COUNTIFS(L$6:L4085,L4085,P$6:P4085,"?*")=1,MAX(AI$5:AI4084)+1,""))</f>
        <v/>
      </c>
    </row>
    <row r="4086">
      <c r="B4086" s="47" t="n"/>
      <c r="C4086" s="48" t="n"/>
      <c r="D4086" s="48" t="n"/>
      <c r="E4086" s="48" t="n"/>
      <c r="F4086" s="48" t="n"/>
      <c r="G4086" s="49" t="n"/>
      <c r="H4086" s="48" t="n"/>
      <c r="I4086" s="50" t="n"/>
      <c r="J4086" s="48" t="n"/>
      <c r="K4086" s="48" t="n"/>
      <c r="L4086" s="48" t="n"/>
      <c r="M4086" s="48" t="n"/>
      <c r="N4086" s="48" t="n"/>
      <c r="O4086" s="51">
        <f>IF(AND(B4086="",G4086="",C4086="",D4086="",J4086=""),"",IF(B4086="","⚠ Falta fecha",IF(G4086="","⚠ Falta monto",IF(Q4086="","⚠ Falta cuenta",IF(ISNA(MATCH(Q4086,ctaNombre,0)),"⚠ Cuenta no registrada",IF(AND(OR(P4086="Gasto",P4086="Reembolso"),D4086=""),"⚠ Falta categoría",IF(AND(D4086&lt;&gt;"",E4086&lt;&gt;"",ISNA(MATCH(D4086&amp;"|"&amp;E4086,catClave,0))),"⚠ Subcategoría no corresponde",IF(AND(OR(P4086="Transferencia",P4086="Pago tarjeta"),K4086=""),"⚠ Falta cuenta destino",IF(AND(K4086&lt;&gt;"",P4086&lt;&gt;"Transferencia",P4086&lt;&gt;"Pago tarjeta"),"⚠ Destino solo aplica a transferencias",IF(AND(K4086&lt;&gt;"",K4086=Q4086),"⚠ Origen igual a destino",IF(AND(K4086&lt;&gt;"",ISNA(MATCH(K4086,ctaNombre,0))),"⚠ Destino no registrado",IF(AND(P4086="Pago tarjeta",AE4086&lt;&gt;"Tarjeta de crédito"),"⚠ El destino debe ser tarjeta de crédito",IF(AND(P4086="Gasto",E4086="Depósitos y retiros"),"⚠ Usa tipo Transferencia",IF(AND(P4086="Resultado trading",AD4086&lt;&gt;"Cuenta de trading"),"⚠ Usa una cuenta de trading",IF(AND(G4086&lt;=0,P4086&lt;&gt;"Ajuste",P4086&lt;&gt;"Resultado trading"),"⚠ El monto debe ser positivo","✓")))))))))))))))</f>
        <v/>
      </c>
      <c r="P4086" s="52">
        <f>IF(OR(B4086="",G4086=""),"",IF(C4086="","Gasto",C4086))</f>
        <v/>
      </c>
      <c r="Q4086" s="52">
        <f>IF(P4086="","",IF(J4086&lt;&gt;"",J4086,CuentaPred&amp;""))</f>
        <v/>
      </c>
      <c r="R4086" s="52">
        <f>IF(P4086="","",IF(ISNUMBER(I4086),I4086,TasaUSD))</f>
        <v/>
      </c>
      <c r="S4086" s="53">
        <f>IF(P4086="","",IF(H4086="USD",G4086*R4086,G4086))</f>
        <v/>
      </c>
      <c r="T4086" s="53">
        <f>IF(P4086="","",IF(H4086="USD",G4086,IF(R4086&gt;0,G4086/R4086,0)))</f>
        <v/>
      </c>
      <c r="U4086" s="53">
        <f>IF(P4086="","",IF(P4086="Gasto",S4086,IF(P4086="Reembolso",-S4086,0)))</f>
        <v/>
      </c>
      <c r="V4086" s="53">
        <f>IF(P4086="","",IF(P4086="Ingreso",S4086,0))</f>
        <v/>
      </c>
      <c r="W4086" s="53">
        <f>IF(P4086="","",IF(P4086="Resultado trading",S4086,0))</f>
        <v/>
      </c>
      <c r="X4086" s="52">
        <f>IF(OR(P4086="Gasto",P4086="Reembolso"),IF(M4086&lt;&gt;"",M4086,IFERROR(INDEX(catClasif,MATCH(D4086&amp;"|"&amp;E4086,catClave,0))&amp;"","Variable")),"")</f>
        <v/>
      </c>
      <c r="Y4086" s="52">
        <f>IF(P4086="","",IFERROR(INDEX(catGrupo,MATCH(D4086&amp;"|"&amp;E4086,catClave,0))&amp;"",""))</f>
        <v/>
      </c>
      <c r="Z4086" s="52">
        <f>IF(P4086="","",WEEKDAY(B4086,2))</f>
        <v/>
      </c>
      <c r="AA4086" s="52">
        <f>IF(P4086="","",IF(AND(P4086="Gasto",X4086="Variable",D4086&lt;&gt;catTrading,S4086&gt;0,S4086&lt;=Umbral),1,0))</f>
        <v/>
      </c>
      <c r="AB4086" s="52">
        <f>IF(OR(P4086="",Q4086=""),"",IFERROR(IF(INDEX(ctaVinc,MATCH(Q4086,ctaNombre,0))&amp;""&lt;&gt;"",INDEX(ctaVinc,MATCH(Q4086,ctaNombre,0))&amp;"",Q4086),Q4086))</f>
        <v/>
      </c>
      <c r="AC4086" s="52">
        <f>IF(OR(K4086="",AND(P4086&lt;&gt;"Transferencia",P4086&lt;&gt;"Pago tarjeta")),"",IFERROR(IF(INDEX(ctaVinc,MATCH(K4086,ctaNombre,0))&amp;""&lt;&gt;"",INDEX(ctaVinc,MATCH(K4086,ctaNombre,0))&amp;"",K4086),K4086))</f>
        <v/>
      </c>
      <c r="AD4086" s="52">
        <f>IF(AB4086="","",IFERROR(INDEX(ctaTipo,MATCH(AB4086,ctaNombre,0))&amp;"",""))</f>
        <v/>
      </c>
      <c r="AE4086" s="52">
        <f>IF(AC4086="","",IFERROR(INDEX(ctaTipo,MATCH(AC4086,ctaNombre,0))&amp;"",""))</f>
        <v/>
      </c>
      <c r="AF4086" s="53">
        <f>IF(OR(P4086="",AB4086=""),"",IF(OR(P4086="Gasto",P4086="Transferencia",P4086="Pago tarjeta"),-1,1)*IF(IFERROR(INDEX(ctaMoneda,MATCH(AB4086,ctaNombre,0))&amp;"","DOP")="USD",T4086,S4086))</f>
        <v/>
      </c>
      <c r="AG4086" s="53">
        <f>IF(AC4086="","",IF(IFERROR(INDEX(ctaMoneda,MATCH(AC4086,ctaNombre,0))&amp;"","DOP")="USD",T4086,S4086))</f>
        <v/>
      </c>
      <c r="AH4086" s="53">
        <f>IF(P4086="","",IF(AND(AD4086&lt;&gt;"",COUNTIFS(tcTipo,AD4086,tcLiq,"Sí")&gt;0),IF(OR(P4086="Gasto",P4086="Transferencia",P4086="Pago tarjeta"),-1,1)*S4086,0)+IF(AND(AE4086&lt;&gt;"",COUNTIFS(tcTipo,AE4086,tcLiq,"Sí")&gt;0),S4086,0))</f>
        <v/>
      </c>
      <c r="AI4086" s="52">
        <f>IF(OR(L4086="",P4086=""),"",IF(COUNTIFS(L$6:L4086,L4086,P$6:P4086,"?*")=1,MAX(AI$5:AI4085)+1,""))</f>
        <v/>
      </c>
    </row>
    <row r="4087">
      <c r="B4087" s="47" t="n"/>
      <c r="C4087" s="48" t="n"/>
      <c r="D4087" s="48" t="n"/>
      <c r="E4087" s="48" t="n"/>
      <c r="F4087" s="48" t="n"/>
      <c r="G4087" s="49" t="n"/>
      <c r="H4087" s="48" t="n"/>
      <c r="I4087" s="50" t="n"/>
      <c r="J4087" s="48" t="n"/>
      <c r="K4087" s="48" t="n"/>
      <c r="L4087" s="48" t="n"/>
      <c r="M4087" s="48" t="n"/>
      <c r="N4087" s="48" t="n"/>
      <c r="O4087" s="51">
        <f>IF(AND(B4087="",G4087="",C4087="",D4087="",J4087=""),"",IF(B4087="","⚠ Falta fecha",IF(G4087="","⚠ Falta monto",IF(Q4087="","⚠ Falta cuenta",IF(ISNA(MATCH(Q4087,ctaNombre,0)),"⚠ Cuenta no registrada",IF(AND(OR(P4087="Gasto",P4087="Reembolso"),D4087=""),"⚠ Falta categoría",IF(AND(D4087&lt;&gt;"",E4087&lt;&gt;"",ISNA(MATCH(D4087&amp;"|"&amp;E4087,catClave,0))),"⚠ Subcategoría no corresponde",IF(AND(OR(P4087="Transferencia",P4087="Pago tarjeta"),K4087=""),"⚠ Falta cuenta destino",IF(AND(K4087&lt;&gt;"",P4087&lt;&gt;"Transferencia",P4087&lt;&gt;"Pago tarjeta"),"⚠ Destino solo aplica a transferencias",IF(AND(K4087&lt;&gt;"",K4087=Q4087),"⚠ Origen igual a destino",IF(AND(K4087&lt;&gt;"",ISNA(MATCH(K4087,ctaNombre,0))),"⚠ Destino no registrado",IF(AND(P4087="Pago tarjeta",AE4087&lt;&gt;"Tarjeta de crédito"),"⚠ El destino debe ser tarjeta de crédito",IF(AND(P4087="Gasto",E4087="Depósitos y retiros"),"⚠ Usa tipo Transferencia",IF(AND(P4087="Resultado trading",AD4087&lt;&gt;"Cuenta de trading"),"⚠ Usa una cuenta de trading",IF(AND(G4087&lt;=0,P4087&lt;&gt;"Ajuste",P4087&lt;&gt;"Resultado trading"),"⚠ El monto debe ser positivo","✓")))))))))))))))</f>
        <v/>
      </c>
      <c r="P4087" s="52">
        <f>IF(OR(B4087="",G4087=""),"",IF(C4087="","Gasto",C4087))</f>
        <v/>
      </c>
      <c r="Q4087" s="52">
        <f>IF(P4087="","",IF(J4087&lt;&gt;"",J4087,CuentaPred&amp;""))</f>
        <v/>
      </c>
      <c r="R4087" s="52">
        <f>IF(P4087="","",IF(ISNUMBER(I4087),I4087,TasaUSD))</f>
        <v/>
      </c>
      <c r="S4087" s="53">
        <f>IF(P4087="","",IF(H4087="USD",G4087*R4087,G4087))</f>
        <v/>
      </c>
      <c r="T4087" s="53">
        <f>IF(P4087="","",IF(H4087="USD",G4087,IF(R4087&gt;0,G4087/R4087,0)))</f>
        <v/>
      </c>
      <c r="U4087" s="53">
        <f>IF(P4087="","",IF(P4087="Gasto",S4087,IF(P4087="Reembolso",-S4087,0)))</f>
        <v/>
      </c>
      <c r="V4087" s="53">
        <f>IF(P4087="","",IF(P4087="Ingreso",S4087,0))</f>
        <v/>
      </c>
      <c r="W4087" s="53">
        <f>IF(P4087="","",IF(P4087="Resultado trading",S4087,0))</f>
        <v/>
      </c>
      <c r="X4087" s="52">
        <f>IF(OR(P4087="Gasto",P4087="Reembolso"),IF(M4087&lt;&gt;"",M4087,IFERROR(INDEX(catClasif,MATCH(D4087&amp;"|"&amp;E4087,catClave,0))&amp;"","Variable")),"")</f>
        <v/>
      </c>
      <c r="Y4087" s="52">
        <f>IF(P4087="","",IFERROR(INDEX(catGrupo,MATCH(D4087&amp;"|"&amp;E4087,catClave,0))&amp;"",""))</f>
        <v/>
      </c>
      <c r="Z4087" s="52">
        <f>IF(P4087="","",WEEKDAY(B4087,2))</f>
        <v/>
      </c>
      <c r="AA4087" s="52">
        <f>IF(P4087="","",IF(AND(P4087="Gasto",X4087="Variable",D4087&lt;&gt;catTrading,S4087&gt;0,S4087&lt;=Umbral),1,0))</f>
        <v/>
      </c>
      <c r="AB4087" s="52">
        <f>IF(OR(P4087="",Q4087=""),"",IFERROR(IF(INDEX(ctaVinc,MATCH(Q4087,ctaNombre,0))&amp;""&lt;&gt;"",INDEX(ctaVinc,MATCH(Q4087,ctaNombre,0))&amp;"",Q4087),Q4087))</f>
        <v/>
      </c>
      <c r="AC4087" s="52">
        <f>IF(OR(K4087="",AND(P4087&lt;&gt;"Transferencia",P4087&lt;&gt;"Pago tarjeta")),"",IFERROR(IF(INDEX(ctaVinc,MATCH(K4087,ctaNombre,0))&amp;""&lt;&gt;"",INDEX(ctaVinc,MATCH(K4087,ctaNombre,0))&amp;"",K4087),K4087))</f>
        <v/>
      </c>
      <c r="AD4087" s="52">
        <f>IF(AB4087="","",IFERROR(INDEX(ctaTipo,MATCH(AB4087,ctaNombre,0))&amp;"",""))</f>
        <v/>
      </c>
      <c r="AE4087" s="52">
        <f>IF(AC4087="","",IFERROR(INDEX(ctaTipo,MATCH(AC4087,ctaNombre,0))&amp;"",""))</f>
        <v/>
      </c>
      <c r="AF4087" s="53">
        <f>IF(OR(P4087="",AB4087=""),"",IF(OR(P4087="Gasto",P4087="Transferencia",P4087="Pago tarjeta"),-1,1)*IF(IFERROR(INDEX(ctaMoneda,MATCH(AB4087,ctaNombre,0))&amp;"","DOP")="USD",T4087,S4087))</f>
        <v/>
      </c>
      <c r="AG4087" s="53">
        <f>IF(AC4087="","",IF(IFERROR(INDEX(ctaMoneda,MATCH(AC4087,ctaNombre,0))&amp;"","DOP")="USD",T4087,S4087))</f>
        <v/>
      </c>
      <c r="AH4087" s="53">
        <f>IF(P4087="","",IF(AND(AD4087&lt;&gt;"",COUNTIFS(tcTipo,AD4087,tcLiq,"Sí")&gt;0),IF(OR(P4087="Gasto",P4087="Transferencia",P4087="Pago tarjeta"),-1,1)*S4087,0)+IF(AND(AE4087&lt;&gt;"",COUNTIFS(tcTipo,AE4087,tcLiq,"Sí")&gt;0),S4087,0))</f>
        <v/>
      </c>
      <c r="AI4087" s="52">
        <f>IF(OR(L4087="",P4087=""),"",IF(COUNTIFS(L$6:L4087,L4087,P$6:P4087,"?*")=1,MAX(AI$5:AI4086)+1,""))</f>
        <v/>
      </c>
    </row>
    <row r="4088">
      <c r="B4088" s="47" t="n"/>
      <c r="C4088" s="48" t="n"/>
      <c r="D4088" s="48" t="n"/>
      <c r="E4088" s="48" t="n"/>
      <c r="F4088" s="48" t="n"/>
      <c r="G4088" s="49" t="n"/>
      <c r="H4088" s="48" t="n"/>
      <c r="I4088" s="50" t="n"/>
      <c r="J4088" s="48" t="n"/>
      <c r="K4088" s="48" t="n"/>
      <c r="L4088" s="48" t="n"/>
      <c r="M4088" s="48" t="n"/>
      <c r="N4088" s="48" t="n"/>
      <c r="O4088" s="51">
        <f>IF(AND(B4088="",G4088="",C4088="",D4088="",J4088=""),"",IF(B4088="","⚠ Falta fecha",IF(G4088="","⚠ Falta monto",IF(Q4088="","⚠ Falta cuenta",IF(ISNA(MATCH(Q4088,ctaNombre,0)),"⚠ Cuenta no registrada",IF(AND(OR(P4088="Gasto",P4088="Reembolso"),D4088=""),"⚠ Falta categoría",IF(AND(D4088&lt;&gt;"",E4088&lt;&gt;"",ISNA(MATCH(D4088&amp;"|"&amp;E4088,catClave,0))),"⚠ Subcategoría no corresponde",IF(AND(OR(P4088="Transferencia",P4088="Pago tarjeta"),K4088=""),"⚠ Falta cuenta destino",IF(AND(K4088&lt;&gt;"",P4088&lt;&gt;"Transferencia",P4088&lt;&gt;"Pago tarjeta"),"⚠ Destino solo aplica a transferencias",IF(AND(K4088&lt;&gt;"",K4088=Q4088),"⚠ Origen igual a destino",IF(AND(K4088&lt;&gt;"",ISNA(MATCH(K4088,ctaNombre,0))),"⚠ Destino no registrado",IF(AND(P4088="Pago tarjeta",AE4088&lt;&gt;"Tarjeta de crédito"),"⚠ El destino debe ser tarjeta de crédito",IF(AND(P4088="Gasto",E4088="Depósitos y retiros"),"⚠ Usa tipo Transferencia",IF(AND(P4088="Resultado trading",AD4088&lt;&gt;"Cuenta de trading"),"⚠ Usa una cuenta de trading",IF(AND(G4088&lt;=0,P4088&lt;&gt;"Ajuste",P4088&lt;&gt;"Resultado trading"),"⚠ El monto debe ser positivo","✓")))))))))))))))</f>
        <v/>
      </c>
      <c r="P4088" s="52">
        <f>IF(OR(B4088="",G4088=""),"",IF(C4088="","Gasto",C4088))</f>
        <v/>
      </c>
      <c r="Q4088" s="52">
        <f>IF(P4088="","",IF(J4088&lt;&gt;"",J4088,CuentaPred&amp;""))</f>
        <v/>
      </c>
      <c r="R4088" s="52">
        <f>IF(P4088="","",IF(ISNUMBER(I4088),I4088,TasaUSD))</f>
        <v/>
      </c>
      <c r="S4088" s="53">
        <f>IF(P4088="","",IF(H4088="USD",G4088*R4088,G4088))</f>
        <v/>
      </c>
      <c r="T4088" s="53">
        <f>IF(P4088="","",IF(H4088="USD",G4088,IF(R4088&gt;0,G4088/R4088,0)))</f>
        <v/>
      </c>
      <c r="U4088" s="53">
        <f>IF(P4088="","",IF(P4088="Gasto",S4088,IF(P4088="Reembolso",-S4088,0)))</f>
        <v/>
      </c>
      <c r="V4088" s="53">
        <f>IF(P4088="","",IF(P4088="Ingreso",S4088,0))</f>
        <v/>
      </c>
      <c r="W4088" s="53">
        <f>IF(P4088="","",IF(P4088="Resultado trading",S4088,0))</f>
        <v/>
      </c>
      <c r="X4088" s="52">
        <f>IF(OR(P4088="Gasto",P4088="Reembolso"),IF(M4088&lt;&gt;"",M4088,IFERROR(INDEX(catClasif,MATCH(D4088&amp;"|"&amp;E4088,catClave,0))&amp;"","Variable")),"")</f>
        <v/>
      </c>
      <c r="Y4088" s="52">
        <f>IF(P4088="","",IFERROR(INDEX(catGrupo,MATCH(D4088&amp;"|"&amp;E4088,catClave,0))&amp;"",""))</f>
        <v/>
      </c>
      <c r="Z4088" s="52">
        <f>IF(P4088="","",WEEKDAY(B4088,2))</f>
        <v/>
      </c>
      <c r="AA4088" s="52">
        <f>IF(P4088="","",IF(AND(P4088="Gasto",X4088="Variable",D4088&lt;&gt;catTrading,S4088&gt;0,S4088&lt;=Umbral),1,0))</f>
        <v/>
      </c>
      <c r="AB4088" s="52">
        <f>IF(OR(P4088="",Q4088=""),"",IFERROR(IF(INDEX(ctaVinc,MATCH(Q4088,ctaNombre,0))&amp;""&lt;&gt;"",INDEX(ctaVinc,MATCH(Q4088,ctaNombre,0))&amp;"",Q4088),Q4088))</f>
        <v/>
      </c>
      <c r="AC4088" s="52">
        <f>IF(OR(K4088="",AND(P4088&lt;&gt;"Transferencia",P4088&lt;&gt;"Pago tarjeta")),"",IFERROR(IF(INDEX(ctaVinc,MATCH(K4088,ctaNombre,0))&amp;""&lt;&gt;"",INDEX(ctaVinc,MATCH(K4088,ctaNombre,0))&amp;"",K4088),K4088))</f>
        <v/>
      </c>
      <c r="AD4088" s="52">
        <f>IF(AB4088="","",IFERROR(INDEX(ctaTipo,MATCH(AB4088,ctaNombre,0))&amp;"",""))</f>
        <v/>
      </c>
      <c r="AE4088" s="52">
        <f>IF(AC4088="","",IFERROR(INDEX(ctaTipo,MATCH(AC4088,ctaNombre,0))&amp;"",""))</f>
        <v/>
      </c>
      <c r="AF4088" s="53">
        <f>IF(OR(P4088="",AB4088=""),"",IF(OR(P4088="Gasto",P4088="Transferencia",P4088="Pago tarjeta"),-1,1)*IF(IFERROR(INDEX(ctaMoneda,MATCH(AB4088,ctaNombre,0))&amp;"","DOP")="USD",T4088,S4088))</f>
        <v/>
      </c>
      <c r="AG4088" s="53">
        <f>IF(AC4088="","",IF(IFERROR(INDEX(ctaMoneda,MATCH(AC4088,ctaNombre,0))&amp;"","DOP")="USD",T4088,S4088))</f>
        <v/>
      </c>
      <c r="AH4088" s="53">
        <f>IF(P4088="","",IF(AND(AD4088&lt;&gt;"",COUNTIFS(tcTipo,AD4088,tcLiq,"Sí")&gt;0),IF(OR(P4088="Gasto",P4088="Transferencia",P4088="Pago tarjeta"),-1,1)*S4088,0)+IF(AND(AE4088&lt;&gt;"",COUNTIFS(tcTipo,AE4088,tcLiq,"Sí")&gt;0),S4088,0))</f>
        <v/>
      </c>
      <c r="AI4088" s="52">
        <f>IF(OR(L4088="",P4088=""),"",IF(COUNTIFS(L$6:L4088,L4088,P$6:P4088,"?*")=1,MAX(AI$5:AI4087)+1,""))</f>
        <v/>
      </c>
    </row>
    <row r="4089">
      <c r="B4089" s="47" t="n"/>
      <c r="C4089" s="48" t="n"/>
      <c r="D4089" s="48" t="n"/>
      <c r="E4089" s="48" t="n"/>
      <c r="F4089" s="48" t="n"/>
      <c r="G4089" s="49" t="n"/>
      <c r="H4089" s="48" t="n"/>
      <c r="I4089" s="50" t="n"/>
      <c r="J4089" s="48" t="n"/>
      <c r="K4089" s="48" t="n"/>
      <c r="L4089" s="48" t="n"/>
      <c r="M4089" s="48" t="n"/>
      <c r="N4089" s="48" t="n"/>
      <c r="O4089" s="51">
        <f>IF(AND(B4089="",G4089="",C4089="",D4089="",J4089=""),"",IF(B4089="","⚠ Falta fecha",IF(G4089="","⚠ Falta monto",IF(Q4089="","⚠ Falta cuenta",IF(ISNA(MATCH(Q4089,ctaNombre,0)),"⚠ Cuenta no registrada",IF(AND(OR(P4089="Gasto",P4089="Reembolso"),D4089=""),"⚠ Falta categoría",IF(AND(D4089&lt;&gt;"",E4089&lt;&gt;"",ISNA(MATCH(D4089&amp;"|"&amp;E4089,catClave,0))),"⚠ Subcategoría no corresponde",IF(AND(OR(P4089="Transferencia",P4089="Pago tarjeta"),K4089=""),"⚠ Falta cuenta destino",IF(AND(K4089&lt;&gt;"",P4089&lt;&gt;"Transferencia",P4089&lt;&gt;"Pago tarjeta"),"⚠ Destino solo aplica a transferencias",IF(AND(K4089&lt;&gt;"",K4089=Q4089),"⚠ Origen igual a destino",IF(AND(K4089&lt;&gt;"",ISNA(MATCH(K4089,ctaNombre,0))),"⚠ Destino no registrado",IF(AND(P4089="Pago tarjeta",AE4089&lt;&gt;"Tarjeta de crédito"),"⚠ El destino debe ser tarjeta de crédito",IF(AND(P4089="Gasto",E4089="Depósitos y retiros"),"⚠ Usa tipo Transferencia",IF(AND(P4089="Resultado trading",AD4089&lt;&gt;"Cuenta de trading"),"⚠ Usa una cuenta de trading",IF(AND(G4089&lt;=0,P4089&lt;&gt;"Ajuste",P4089&lt;&gt;"Resultado trading"),"⚠ El monto debe ser positivo","✓")))))))))))))))</f>
        <v/>
      </c>
      <c r="P4089" s="52">
        <f>IF(OR(B4089="",G4089=""),"",IF(C4089="","Gasto",C4089))</f>
        <v/>
      </c>
      <c r="Q4089" s="52">
        <f>IF(P4089="","",IF(J4089&lt;&gt;"",J4089,CuentaPred&amp;""))</f>
        <v/>
      </c>
      <c r="R4089" s="52">
        <f>IF(P4089="","",IF(ISNUMBER(I4089),I4089,TasaUSD))</f>
        <v/>
      </c>
      <c r="S4089" s="53">
        <f>IF(P4089="","",IF(H4089="USD",G4089*R4089,G4089))</f>
        <v/>
      </c>
      <c r="T4089" s="53">
        <f>IF(P4089="","",IF(H4089="USD",G4089,IF(R4089&gt;0,G4089/R4089,0)))</f>
        <v/>
      </c>
      <c r="U4089" s="53">
        <f>IF(P4089="","",IF(P4089="Gasto",S4089,IF(P4089="Reembolso",-S4089,0)))</f>
        <v/>
      </c>
      <c r="V4089" s="53">
        <f>IF(P4089="","",IF(P4089="Ingreso",S4089,0))</f>
        <v/>
      </c>
      <c r="W4089" s="53">
        <f>IF(P4089="","",IF(P4089="Resultado trading",S4089,0))</f>
        <v/>
      </c>
      <c r="X4089" s="52">
        <f>IF(OR(P4089="Gasto",P4089="Reembolso"),IF(M4089&lt;&gt;"",M4089,IFERROR(INDEX(catClasif,MATCH(D4089&amp;"|"&amp;E4089,catClave,0))&amp;"","Variable")),"")</f>
        <v/>
      </c>
      <c r="Y4089" s="52">
        <f>IF(P4089="","",IFERROR(INDEX(catGrupo,MATCH(D4089&amp;"|"&amp;E4089,catClave,0))&amp;"",""))</f>
        <v/>
      </c>
      <c r="Z4089" s="52">
        <f>IF(P4089="","",WEEKDAY(B4089,2))</f>
        <v/>
      </c>
      <c r="AA4089" s="52">
        <f>IF(P4089="","",IF(AND(P4089="Gasto",X4089="Variable",D4089&lt;&gt;catTrading,S4089&gt;0,S4089&lt;=Umbral),1,0))</f>
        <v/>
      </c>
      <c r="AB4089" s="52">
        <f>IF(OR(P4089="",Q4089=""),"",IFERROR(IF(INDEX(ctaVinc,MATCH(Q4089,ctaNombre,0))&amp;""&lt;&gt;"",INDEX(ctaVinc,MATCH(Q4089,ctaNombre,0))&amp;"",Q4089),Q4089))</f>
        <v/>
      </c>
      <c r="AC4089" s="52">
        <f>IF(OR(K4089="",AND(P4089&lt;&gt;"Transferencia",P4089&lt;&gt;"Pago tarjeta")),"",IFERROR(IF(INDEX(ctaVinc,MATCH(K4089,ctaNombre,0))&amp;""&lt;&gt;"",INDEX(ctaVinc,MATCH(K4089,ctaNombre,0))&amp;"",K4089),K4089))</f>
        <v/>
      </c>
      <c r="AD4089" s="52">
        <f>IF(AB4089="","",IFERROR(INDEX(ctaTipo,MATCH(AB4089,ctaNombre,0))&amp;"",""))</f>
        <v/>
      </c>
      <c r="AE4089" s="52">
        <f>IF(AC4089="","",IFERROR(INDEX(ctaTipo,MATCH(AC4089,ctaNombre,0))&amp;"",""))</f>
        <v/>
      </c>
      <c r="AF4089" s="53">
        <f>IF(OR(P4089="",AB4089=""),"",IF(OR(P4089="Gasto",P4089="Transferencia",P4089="Pago tarjeta"),-1,1)*IF(IFERROR(INDEX(ctaMoneda,MATCH(AB4089,ctaNombre,0))&amp;"","DOP")="USD",T4089,S4089))</f>
        <v/>
      </c>
      <c r="AG4089" s="53">
        <f>IF(AC4089="","",IF(IFERROR(INDEX(ctaMoneda,MATCH(AC4089,ctaNombre,0))&amp;"","DOP")="USD",T4089,S4089))</f>
        <v/>
      </c>
      <c r="AH4089" s="53">
        <f>IF(P4089="","",IF(AND(AD4089&lt;&gt;"",COUNTIFS(tcTipo,AD4089,tcLiq,"Sí")&gt;0),IF(OR(P4089="Gasto",P4089="Transferencia",P4089="Pago tarjeta"),-1,1)*S4089,0)+IF(AND(AE4089&lt;&gt;"",COUNTIFS(tcTipo,AE4089,tcLiq,"Sí")&gt;0),S4089,0))</f>
        <v/>
      </c>
      <c r="AI4089" s="52">
        <f>IF(OR(L4089="",P4089=""),"",IF(COUNTIFS(L$6:L4089,L4089,P$6:P4089,"?*")=1,MAX(AI$5:AI4088)+1,""))</f>
        <v/>
      </c>
    </row>
    <row r="4090">
      <c r="B4090" s="47" t="n"/>
      <c r="C4090" s="48" t="n"/>
      <c r="D4090" s="48" t="n"/>
      <c r="E4090" s="48" t="n"/>
      <c r="F4090" s="48" t="n"/>
      <c r="G4090" s="49" t="n"/>
      <c r="H4090" s="48" t="n"/>
      <c r="I4090" s="50" t="n"/>
      <c r="J4090" s="48" t="n"/>
      <c r="K4090" s="48" t="n"/>
      <c r="L4090" s="48" t="n"/>
      <c r="M4090" s="48" t="n"/>
      <c r="N4090" s="48" t="n"/>
      <c r="O4090" s="51">
        <f>IF(AND(B4090="",G4090="",C4090="",D4090="",J4090=""),"",IF(B4090="","⚠ Falta fecha",IF(G4090="","⚠ Falta monto",IF(Q4090="","⚠ Falta cuenta",IF(ISNA(MATCH(Q4090,ctaNombre,0)),"⚠ Cuenta no registrada",IF(AND(OR(P4090="Gasto",P4090="Reembolso"),D4090=""),"⚠ Falta categoría",IF(AND(D4090&lt;&gt;"",E4090&lt;&gt;"",ISNA(MATCH(D4090&amp;"|"&amp;E4090,catClave,0))),"⚠ Subcategoría no corresponde",IF(AND(OR(P4090="Transferencia",P4090="Pago tarjeta"),K4090=""),"⚠ Falta cuenta destino",IF(AND(K4090&lt;&gt;"",P4090&lt;&gt;"Transferencia",P4090&lt;&gt;"Pago tarjeta"),"⚠ Destino solo aplica a transferencias",IF(AND(K4090&lt;&gt;"",K4090=Q4090),"⚠ Origen igual a destino",IF(AND(K4090&lt;&gt;"",ISNA(MATCH(K4090,ctaNombre,0))),"⚠ Destino no registrado",IF(AND(P4090="Pago tarjeta",AE4090&lt;&gt;"Tarjeta de crédito"),"⚠ El destino debe ser tarjeta de crédito",IF(AND(P4090="Gasto",E4090="Depósitos y retiros"),"⚠ Usa tipo Transferencia",IF(AND(P4090="Resultado trading",AD4090&lt;&gt;"Cuenta de trading"),"⚠ Usa una cuenta de trading",IF(AND(G4090&lt;=0,P4090&lt;&gt;"Ajuste",P4090&lt;&gt;"Resultado trading"),"⚠ El monto debe ser positivo","✓")))))))))))))))</f>
        <v/>
      </c>
      <c r="P4090" s="52">
        <f>IF(OR(B4090="",G4090=""),"",IF(C4090="","Gasto",C4090))</f>
        <v/>
      </c>
      <c r="Q4090" s="52">
        <f>IF(P4090="","",IF(J4090&lt;&gt;"",J4090,CuentaPred&amp;""))</f>
        <v/>
      </c>
      <c r="R4090" s="52">
        <f>IF(P4090="","",IF(ISNUMBER(I4090),I4090,TasaUSD))</f>
        <v/>
      </c>
      <c r="S4090" s="53">
        <f>IF(P4090="","",IF(H4090="USD",G4090*R4090,G4090))</f>
        <v/>
      </c>
      <c r="T4090" s="53">
        <f>IF(P4090="","",IF(H4090="USD",G4090,IF(R4090&gt;0,G4090/R4090,0)))</f>
        <v/>
      </c>
      <c r="U4090" s="53">
        <f>IF(P4090="","",IF(P4090="Gasto",S4090,IF(P4090="Reembolso",-S4090,0)))</f>
        <v/>
      </c>
      <c r="V4090" s="53">
        <f>IF(P4090="","",IF(P4090="Ingreso",S4090,0))</f>
        <v/>
      </c>
      <c r="W4090" s="53">
        <f>IF(P4090="","",IF(P4090="Resultado trading",S4090,0))</f>
        <v/>
      </c>
      <c r="X4090" s="52">
        <f>IF(OR(P4090="Gasto",P4090="Reembolso"),IF(M4090&lt;&gt;"",M4090,IFERROR(INDEX(catClasif,MATCH(D4090&amp;"|"&amp;E4090,catClave,0))&amp;"","Variable")),"")</f>
        <v/>
      </c>
      <c r="Y4090" s="52">
        <f>IF(P4090="","",IFERROR(INDEX(catGrupo,MATCH(D4090&amp;"|"&amp;E4090,catClave,0))&amp;"",""))</f>
        <v/>
      </c>
      <c r="Z4090" s="52">
        <f>IF(P4090="","",WEEKDAY(B4090,2))</f>
        <v/>
      </c>
      <c r="AA4090" s="52">
        <f>IF(P4090="","",IF(AND(P4090="Gasto",X4090="Variable",D4090&lt;&gt;catTrading,S4090&gt;0,S4090&lt;=Umbral),1,0))</f>
        <v/>
      </c>
      <c r="AB4090" s="52">
        <f>IF(OR(P4090="",Q4090=""),"",IFERROR(IF(INDEX(ctaVinc,MATCH(Q4090,ctaNombre,0))&amp;""&lt;&gt;"",INDEX(ctaVinc,MATCH(Q4090,ctaNombre,0))&amp;"",Q4090),Q4090))</f>
        <v/>
      </c>
      <c r="AC4090" s="52">
        <f>IF(OR(K4090="",AND(P4090&lt;&gt;"Transferencia",P4090&lt;&gt;"Pago tarjeta")),"",IFERROR(IF(INDEX(ctaVinc,MATCH(K4090,ctaNombre,0))&amp;""&lt;&gt;"",INDEX(ctaVinc,MATCH(K4090,ctaNombre,0))&amp;"",K4090),K4090))</f>
        <v/>
      </c>
      <c r="AD4090" s="52">
        <f>IF(AB4090="","",IFERROR(INDEX(ctaTipo,MATCH(AB4090,ctaNombre,0))&amp;"",""))</f>
        <v/>
      </c>
      <c r="AE4090" s="52">
        <f>IF(AC4090="","",IFERROR(INDEX(ctaTipo,MATCH(AC4090,ctaNombre,0))&amp;"",""))</f>
        <v/>
      </c>
      <c r="AF4090" s="53">
        <f>IF(OR(P4090="",AB4090=""),"",IF(OR(P4090="Gasto",P4090="Transferencia",P4090="Pago tarjeta"),-1,1)*IF(IFERROR(INDEX(ctaMoneda,MATCH(AB4090,ctaNombre,0))&amp;"","DOP")="USD",T4090,S4090))</f>
        <v/>
      </c>
      <c r="AG4090" s="53">
        <f>IF(AC4090="","",IF(IFERROR(INDEX(ctaMoneda,MATCH(AC4090,ctaNombre,0))&amp;"","DOP")="USD",T4090,S4090))</f>
        <v/>
      </c>
      <c r="AH4090" s="53">
        <f>IF(P4090="","",IF(AND(AD4090&lt;&gt;"",COUNTIFS(tcTipo,AD4090,tcLiq,"Sí")&gt;0),IF(OR(P4090="Gasto",P4090="Transferencia",P4090="Pago tarjeta"),-1,1)*S4090,0)+IF(AND(AE4090&lt;&gt;"",COUNTIFS(tcTipo,AE4090,tcLiq,"Sí")&gt;0),S4090,0))</f>
        <v/>
      </c>
      <c r="AI4090" s="52">
        <f>IF(OR(L4090="",P4090=""),"",IF(COUNTIFS(L$6:L4090,L4090,P$6:P4090,"?*")=1,MAX(AI$5:AI4089)+1,""))</f>
        <v/>
      </c>
    </row>
    <row r="4091">
      <c r="B4091" s="47" t="n"/>
      <c r="C4091" s="48" t="n"/>
      <c r="D4091" s="48" t="n"/>
      <c r="E4091" s="48" t="n"/>
      <c r="F4091" s="48" t="n"/>
      <c r="G4091" s="49" t="n"/>
      <c r="H4091" s="48" t="n"/>
      <c r="I4091" s="50" t="n"/>
      <c r="J4091" s="48" t="n"/>
      <c r="K4091" s="48" t="n"/>
      <c r="L4091" s="48" t="n"/>
      <c r="M4091" s="48" t="n"/>
      <c r="N4091" s="48" t="n"/>
      <c r="O4091" s="51">
        <f>IF(AND(B4091="",G4091="",C4091="",D4091="",J4091=""),"",IF(B4091="","⚠ Falta fecha",IF(G4091="","⚠ Falta monto",IF(Q4091="","⚠ Falta cuenta",IF(ISNA(MATCH(Q4091,ctaNombre,0)),"⚠ Cuenta no registrada",IF(AND(OR(P4091="Gasto",P4091="Reembolso"),D4091=""),"⚠ Falta categoría",IF(AND(D4091&lt;&gt;"",E4091&lt;&gt;"",ISNA(MATCH(D4091&amp;"|"&amp;E4091,catClave,0))),"⚠ Subcategoría no corresponde",IF(AND(OR(P4091="Transferencia",P4091="Pago tarjeta"),K4091=""),"⚠ Falta cuenta destino",IF(AND(K4091&lt;&gt;"",P4091&lt;&gt;"Transferencia",P4091&lt;&gt;"Pago tarjeta"),"⚠ Destino solo aplica a transferencias",IF(AND(K4091&lt;&gt;"",K4091=Q4091),"⚠ Origen igual a destino",IF(AND(K4091&lt;&gt;"",ISNA(MATCH(K4091,ctaNombre,0))),"⚠ Destino no registrado",IF(AND(P4091="Pago tarjeta",AE4091&lt;&gt;"Tarjeta de crédito"),"⚠ El destino debe ser tarjeta de crédito",IF(AND(P4091="Gasto",E4091="Depósitos y retiros"),"⚠ Usa tipo Transferencia",IF(AND(P4091="Resultado trading",AD4091&lt;&gt;"Cuenta de trading"),"⚠ Usa una cuenta de trading",IF(AND(G4091&lt;=0,P4091&lt;&gt;"Ajuste",P4091&lt;&gt;"Resultado trading"),"⚠ El monto debe ser positivo","✓")))))))))))))))</f>
        <v/>
      </c>
      <c r="P4091" s="52">
        <f>IF(OR(B4091="",G4091=""),"",IF(C4091="","Gasto",C4091))</f>
        <v/>
      </c>
      <c r="Q4091" s="52">
        <f>IF(P4091="","",IF(J4091&lt;&gt;"",J4091,CuentaPred&amp;""))</f>
        <v/>
      </c>
      <c r="R4091" s="52">
        <f>IF(P4091="","",IF(ISNUMBER(I4091),I4091,TasaUSD))</f>
        <v/>
      </c>
      <c r="S4091" s="53">
        <f>IF(P4091="","",IF(H4091="USD",G4091*R4091,G4091))</f>
        <v/>
      </c>
      <c r="T4091" s="53">
        <f>IF(P4091="","",IF(H4091="USD",G4091,IF(R4091&gt;0,G4091/R4091,0)))</f>
        <v/>
      </c>
      <c r="U4091" s="53">
        <f>IF(P4091="","",IF(P4091="Gasto",S4091,IF(P4091="Reembolso",-S4091,0)))</f>
        <v/>
      </c>
      <c r="V4091" s="53">
        <f>IF(P4091="","",IF(P4091="Ingreso",S4091,0))</f>
        <v/>
      </c>
      <c r="W4091" s="53">
        <f>IF(P4091="","",IF(P4091="Resultado trading",S4091,0))</f>
        <v/>
      </c>
      <c r="X4091" s="52">
        <f>IF(OR(P4091="Gasto",P4091="Reembolso"),IF(M4091&lt;&gt;"",M4091,IFERROR(INDEX(catClasif,MATCH(D4091&amp;"|"&amp;E4091,catClave,0))&amp;"","Variable")),"")</f>
        <v/>
      </c>
      <c r="Y4091" s="52">
        <f>IF(P4091="","",IFERROR(INDEX(catGrupo,MATCH(D4091&amp;"|"&amp;E4091,catClave,0))&amp;"",""))</f>
        <v/>
      </c>
      <c r="Z4091" s="52">
        <f>IF(P4091="","",WEEKDAY(B4091,2))</f>
        <v/>
      </c>
      <c r="AA4091" s="52">
        <f>IF(P4091="","",IF(AND(P4091="Gasto",X4091="Variable",D4091&lt;&gt;catTrading,S4091&gt;0,S4091&lt;=Umbral),1,0))</f>
        <v/>
      </c>
      <c r="AB4091" s="52">
        <f>IF(OR(P4091="",Q4091=""),"",IFERROR(IF(INDEX(ctaVinc,MATCH(Q4091,ctaNombre,0))&amp;""&lt;&gt;"",INDEX(ctaVinc,MATCH(Q4091,ctaNombre,0))&amp;"",Q4091),Q4091))</f>
        <v/>
      </c>
      <c r="AC4091" s="52">
        <f>IF(OR(K4091="",AND(P4091&lt;&gt;"Transferencia",P4091&lt;&gt;"Pago tarjeta")),"",IFERROR(IF(INDEX(ctaVinc,MATCH(K4091,ctaNombre,0))&amp;""&lt;&gt;"",INDEX(ctaVinc,MATCH(K4091,ctaNombre,0))&amp;"",K4091),K4091))</f>
        <v/>
      </c>
      <c r="AD4091" s="52">
        <f>IF(AB4091="","",IFERROR(INDEX(ctaTipo,MATCH(AB4091,ctaNombre,0))&amp;"",""))</f>
        <v/>
      </c>
      <c r="AE4091" s="52">
        <f>IF(AC4091="","",IFERROR(INDEX(ctaTipo,MATCH(AC4091,ctaNombre,0))&amp;"",""))</f>
        <v/>
      </c>
      <c r="AF4091" s="53">
        <f>IF(OR(P4091="",AB4091=""),"",IF(OR(P4091="Gasto",P4091="Transferencia",P4091="Pago tarjeta"),-1,1)*IF(IFERROR(INDEX(ctaMoneda,MATCH(AB4091,ctaNombre,0))&amp;"","DOP")="USD",T4091,S4091))</f>
        <v/>
      </c>
      <c r="AG4091" s="53">
        <f>IF(AC4091="","",IF(IFERROR(INDEX(ctaMoneda,MATCH(AC4091,ctaNombre,0))&amp;"","DOP")="USD",T4091,S4091))</f>
        <v/>
      </c>
      <c r="AH4091" s="53">
        <f>IF(P4091="","",IF(AND(AD4091&lt;&gt;"",COUNTIFS(tcTipo,AD4091,tcLiq,"Sí")&gt;0),IF(OR(P4091="Gasto",P4091="Transferencia",P4091="Pago tarjeta"),-1,1)*S4091,0)+IF(AND(AE4091&lt;&gt;"",COUNTIFS(tcTipo,AE4091,tcLiq,"Sí")&gt;0),S4091,0))</f>
        <v/>
      </c>
      <c r="AI4091" s="52">
        <f>IF(OR(L4091="",P4091=""),"",IF(COUNTIFS(L$6:L4091,L4091,P$6:P4091,"?*")=1,MAX(AI$5:AI4090)+1,""))</f>
        <v/>
      </c>
    </row>
    <row r="4092">
      <c r="B4092" s="47" t="n"/>
      <c r="C4092" s="48" t="n"/>
      <c r="D4092" s="48" t="n"/>
      <c r="E4092" s="48" t="n"/>
      <c r="F4092" s="48" t="n"/>
      <c r="G4092" s="49" t="n"/>
      <c r="H4092" s="48" t="n"/>
      <c r="I4092" s="50" t="n"/>
      <c r="J4092" s="48" t="n"/>
      <c r="K4092" s="48" t="n"/>
      <c r="L4092" s="48" t="n"/>
      <c r="M4092" s="48" t="n"/>
      <c r="N4092" s="48" t="n"/>
      <c r="O4092" s="51">
        <f>IF(AND(B4092="",G4092="",C4092="",D4092="",J4092=""),"",IF(B4092="","⚠ Falta fecha",IF(G4092="","⚠ Falta monto",IF(Q4092="","⚠ Falta cuenta",IF(ISNA(MATCH(Q4092,ctaNombre,0)),"⚠ Cuenta no registrada",IF(AND(OR(P4092="Gasto",P4092="Reembolso"),D4092=""),"⚠ Falta categoría",IF(AND(D4092&lt;&gt;"",E4092&lt;&gt;"",ISNA(MATCH(D4092&amp;"|"&amp;E4092,catClave,0))),"⚠ Subcategoría no corresponde",IF(AND(OR(P4092="Transferencia",P4092="Pago tarjeta"),K4092=""),"⚠ Falta cuenta destino",IF(AND(K4092&lt;&gt;"",P4092&lt;&gt;"Transferencia",P4092&lt;&gt;"Pago tarjeta"),"⚠ Destino solo aplica a transferencias",IF(AND(K4092&lt;&gt;"",K4092=Q4092),"⚠ Origen igual a destino",IF(AND(K4092&lt;&gt;"",ISNA(MATCH(K4092,ctaNombre,0))),"⚠ Destino no registrado",IF(AND(P4092="Pago tarjeta",AE4092&lt;&gt;"Tarjeta de crédito"),"⚠ El destino debe ser tarjeta de crédito",IF(AND(P4092="Gasto",E4092="Depósitos y retiros"),"⚠ Usa tipo Transferencia",IF(AND(P4092="Resultado trading",AD4092&lt;&gt;"Cuenta de trading"),"⚠ Usa una cuenta de trading",IF(AND(G4092&lt;=0,P4092&lt;&gt;"Ajuste",P4092&lt;&gt;"Resultado trading"),"⚠ El monto debe ser positivo","✓")))))))))))))))</f>
        <v/>
      </c>
      <c r="P4092" s="52">
        <f>IF(OR(B4092="",G4092=""),"",IF(C4092="","Gasto",C4092))</f>
        <v/>
      </c>
      <c r="Q4092" s="52">
        <f>IF(P4092="","",IF(J4092&lt;&gt;"",J4092,CuentaPred&amp;""))</f>
        <v/>
      </c>
      <c r="R4092" s="52">
        <f>IF(P4092="","",IF(ISNUMBER(I4092),I4092,TasaUSD))</f>
        <v/>
      </c>
      <c r="S4092" s="53">
        <f>IF(P4092="","",IF(H4092="USD",G4092*R4092,G4092))</f>
        <v/>
      </c>
      <c r="T4092" s="53">
        <f>IF(P4092="","",IF(H4092="USD",G4092,IF(R4092&gt;0,G4092/R4092,0)))</f>
        <v/>
      </c>
      <c r="U4092" s="53">
        <f>IF(P4092="","",IF(P4092="Gasto",S4092,IF(P4092="Reembolso",-S4092,0)))</f>
        <v/>
      </c>
      <c r="V4092" s="53">
        <f>IF(P4092="","",IF(P4092="Ingreso",S4092,0))</f>
        <v/>
      </c>
      <c r="W4092" s="53">
        <f>IF(P4092="","",IF(P4092="Resultado trading",S4092,0))</f>
        <v/>
      </c>
      <c r="X4092" s="52">
        <f>IF(OR(P4092="Gasto",P4092="Reembolso"),IF(M4092&lt;&gt;"",M4092,IFERROR(INDEX(catClasif,MATCH(D4092&amp;"|"&amp;E4092,catClave,0))&amp;"","Variable")),"")</f>
        <v/>
      </c>
      <c r="Y4092" s="52">
        <f>IF(P4092="","",IFERROR(INDEX(catGrupo,MATCH(D4092&amp;"|"&amp;E4092,catClave,0))&amp;"",""))</f>
        <v/>
      </c>
      <c r="Z4092" s="52">
        <f>IF(P4092="","",WEEKDAY(B4092,2))</f>
        <v/>
      </c>
      <c r="AA4092" s="52">
        <f>IF(P4092="","",IF(AND(P4092="Gasto",X4092="Variable",D4092&lt;&gt;catTrading,S4092&gt;0,S4092&lt;=Umbral),1,0))</f>
        <v/>
      </c>
      <c r="AB4092" s="52">
        <f>IF(OR(P4092="",Q4092=""),"",IFERROR(IF(INDEX(ctaVinc,MATCH(Q4092,ctaNombre,0))&amp;""&lt;&gt;"",INDEX(ctaVinc,MATCH(Q4092,ctaNombre,0))&amp;"",Q4092),Q4092))</f>
        <v/>
      </c>
      <c r="AC4092" s="52">
        <f>IF(OR(K4092="",AND(P4092&lt;&gt;"Transferencia",P4092&lt;&gt;"Pago tarjeta")),"",IFERROR(IF(INDEX(ctaVinc,MATCH(K4092,ctaNombre,0))&amp;""&lt;&gt;"",INDEX(ctaVinc,MATCH(K4092,ctaNombre,0))&amp;"",K4092),K4092))</f>
        <v/>
      </c>
      <c r="AD4092" s="52">
        <f>IF(AB4092="","",IFERROR(INDEX(ctaTipo,MATCH(AB4092,ctaNombre,0))&amp;"",""))</f>
        <v/>
      </c>
      <c r="AE4092" s="52">
        <f>IF(AC4092="","",IFERROR(INDEX(ctaTipo,MATCH(AC4092,ctaNombre,0))&amp;"",""))</f>
        <v/>
      </c>
      <c r="AF4092" s="53">
        <f>IF(OR(P4092="",AB4092=""),"",IF(OR(P4092="Gasto",P4092="Transferencia",P4092="Pago tarjeta"),-1,1)*IF(IFERROR(INDEX(ctaMoneda,MATCH(AB4092,ctaNombre,0))&amp;"","DOP")="USD",T4092,S4092))</f>
        <v/>
      </c>
      <c r="AG4092" s="53">
        <f>IF(AC4092="","",IF(IFERROR(INDEX(ctaMoneda,MATCH(AC4092,ctaNombre,0))&amp;"","DOP")="USD",T4092,S4092))</f>
        <v/>
      </c>
      <c r="AH4092" s="53">
        <f>IF(P4092="","",IF(AND(AD4092&lt;&gt;"",COUNTIFS(tcTipo,AD4092,tcLiq,"Sí")&gt;0),IF(OR(P4092="Gasto",P4092="Transferencia",P4092="Pago tarjeta"),-1,1)*S4092,0)+IF(AND(AE4092&lt;&gt;"",COUNTIFS(tcTipo,AE4092,tcLiq,"Sí")&gt;0),S4092,0))</f>
        <v/>
      </c>
      <c r="AI4092" s="52">
        <f>IF(OR(L4092="",P4092=""),"",IF(COUNTIFS(L$6:L4092,L4092,P$6:P4092,"?*")=1,MAX(AI$5:AI4091)+1,""))</f>
        <v/>
      </c>
    </row>
    <row r="4093">
      <c r="B4093" s="47" t="n"/>
      <c r="C4093" s="48" t="n"/>
      <c r="D4093" s="48" t="n"/>
      <c r="E4093" s="48" t="n"/>
      <c r="F4093" s="48" t="n"/>
      <c r="G4093" s="49" t="n"/>
      <c r="H4093" s="48" t="n"/>
      <c r="I4093" s="50" t="n"/>
      <c r="J4093" s="48" t="n"/>
      <c r="K4093" s="48" t="n"/>
      <c r="L4093" s="48" t="n"/>
      <c r="M4093" s="48" t="n"/>
      <c r="N4093" s="48" t="n"/>
      <c r="O4093" s="51">
        <f>IF(AND(B4093="",G4093="",C4093="",D4093="",J4093=""),"",IF(B4093="","⚠ Falta fecha",IF(G4093="","⚠ Falta monto",IF(Q4093="","⚠ Falta cuenta",IF(ISNA(MATCH(Q4093,ctaNombre,0)),"⚠ Cuenta no registrada",IF(AND(OR(P4093="Gasto",P4093="Reembolso"),D4093=""),"⚠ Falta categoría",IF(AND(D4093&lt;&gt;"",E4093&lt;&gt;"",ISNA(MATCH(D4093&amp;"|"&amp;E4093,catClave,0))),"⚠ Subcategoría no corresponde",IF(AND(OR(P4093="Transferencia",P4093="Pago tarjeta"),K4093=""),"⚠ Falta cuenta destino",IF(AND(K4093&lt;&gt;"",P4093&lt;&gt;"Transferencia",P4093&lt;&gt;"Pago tarjeta"),"⚠ Destino solo aplica a transferencias",IF(AND(K4093&lt;&gt;"",K4093=Q4093),"⚠ Origen igual a destino",IF(AND(K4093&lt;&gt;"",ISNA(MATCH(K4093,ctaNombre,0))),"⚠ Destino no registrado",IF(AND(P4093="Pago tarjeta",AE4093&lt;&gt;"Tarjeta de crédito"),"⚠ El destino debe ser tarjeta de crédito",IF(AND(P4093="Gasto",E4093="Depósitos y retiros"),"⚠ Usa tipo Transferencia",IF(AND(P4093="Resultado trading",AD4093&lt;&gt;"Cuenta de trading"),"⚠ Usa una cuenta de trading",IF(AND(G4093&lt;=0,P4093&lt;&gt;"Ajuste",P4093&lt;&gt;"Resultado trading"),"⚠ El monto debe ser positivo","✓")))))))))))))))</f>
        <v/>
      </c>
      <c r="P4093" s="52">
        <f>IF(OR(B4093="",G4093=""),"",IF(C4093="","Gasto",C4093))</f>
        <v/>
      </c>
      <c r="Q4093" s="52">
        <f>IF(P4093="","",IF(J4093&lt;&gt;"",J4093,CuentaPred&amp;""))</f>
        <v/>
      </c>
      <c r="R4093" s="52">
        <f>IF(P4093="","",IF(ISNUMBER(I4093),I4093,TasaUSD))</f>
        <v/>
      </c>
      <c r="S4093" s="53">
        <f>IF(P4093="","",IF(H4093="USD",G4093*R4093,G4093))</f>
        <v/>
      </c>
      <c r="T4093" s="53">
        <f>IF(P4093="","",IF(H4093="USD",G4093,IF(R4093&gt;0,G4093/R4093,0)))</f>
        <v/>
      </c>
      <c r="U4093" s="53">
        <f>IF(P4093="","",IF(P4093="Gasto",S4093,IF(P4093="Reembolso",-S4093,0)))</f>
        <v/>
      </c>
      <c r="V4093" s="53">
        <f>IF(P4093="","",IF(P4093="Ingreso",S4093,0))</f>
        <v/>
      </c>
      <c r="W4093" s="53">
        <f>IF(P4093="","",IF(P4093="Resultado trading",S4093,0))</f>
        <v/>
      </c>
      <c r="X4093" s="52">
        <f>IF(OR(P4093="Gasto",P4093="Reembolso"),IF(M4093&lt;&gt;"",M4093,IFERROR(INDEX(catClasif,MATCH(D4093&amp;"|"&amp;E4093,catClave,0))&amp;"","Variable")),"")</f>
        <v/>
      </c>
      <c r="Y4093" s="52">
        <f>IF(P4093="","",IFERROR(INDEX(catGrupo,MATCH(D4093&amp;"|"&amp;E4093,catClave,0))&amp;"",""))</f>
        <v/>
      </c>
      <c r="Z4093" s="52">
        <f>IF(P4093="","",WEEKDAY(B4093,2))</f>
        <v/>
      </c>
      <c r="AA4093" s="52">
        <f>IF(P4093="","",IF(AND(P4093="Gasto",X4093="Variable",D4093&lt;&gt;catTrading,S4093&gt;0,S4093&lt;=Umbral),1,0))</f>
        <v/>
      </c>
      <c r="AB4093" s="52">
        <f>IF(OR(P4093="",Q4093=""),"",IFERROR(IF(INDEX(ctaVinc,MATCH(Q4093,ctaNombre,0))&amp;""&lt;&gt;"",INDEX(ctaVinc,MATCH(Q4093,ctaNombre,0))&amp;"",Q4093),Q4093))</f>
        <v/>
      </c>
      <c r="AC4093" s="52">
        <f>IF(OR(K4093="",AND(P4093&lt;&gt;"Transferencia",P4093&lt;&gt;"Pago tarjeta")),"",IFERROR(IF(INDEX(ctaVinc,MATCH(K4093,ctaNombre,0))&amp;""&lt;&gt;"",INDEX(ctaVinc,MATCH(K4093,ctaNombre,0))&amp;"",K4093),K4093))</f>
        <v/>
      </c>
      <c r="AD4093" s="52">
        <f>IF(AB4093="","",IFERROR(INDEX(ctaTipo,MATCH(AB4093,ctaNombre,0))&amp;"",""))</f>
        <v/>
      </c>
      <c r="AE4093" s="52">
        <f>IF(AC4093="","",IFERROR(INDEX(ctaTipo,MATCH(AC4093,ctaNombre,0))&amp;"",""))</f>
        <v/>
      </c>
      <c r="AF4093" s="53">
        <f>IF(OR(P4093="",AB4093=""),"",IF(OR(P4093="Gasto",P4093="Transferencia",P4093="Pago tarjeta"),-1,1)*IF(IFERROR(INDEX(ctaMoneda,MATCH(AB4093,ctaNombre,0))&amp;"","DOP")="USD",T4093,S4093))</f>
        <v/>
      </c>
      <c r="AG4093" s="53">
        <f>IF(AC4093="","",IF(IFERROR(INDEX(ctaMoneda,MATCH(AC4093,ctaNombre,0))&amp;"","DOP")="USD",T4093,S4093))</f>
        <v/>
      </c>
      <c r="AH4093" s="53">
        <f>IF(P4093="","",IF(AND(AD4093&lt;&gt;"",COUNTIFS(tcTipo,AD4093,tcLiq,"Sí")&gt;0),IF(OR(P4093="Gasto",P4093="Transferencia",P4093="Pago tarjeta"),-1,1)*S4093,0)+IF(AND(AE4093&lt;&gt;"",COUNTIFS(tcTipo,AE4093,tcLiq,"Sí")&gt;0),S4093,0))</f>
        <v/>
      </c>
      <c r="AI4093" s="52">
        <f>IF(OR(L4093="",P4093=""),"",IF(COUNTIFS(L$6:L4093,L4093,P$6:P4093,"?*")=1,MAX(AI$5:AI4092)+1,""))</f>
        <v/>
      </c>
    </row>
    <row r="4094">
      <c r="B4094" s="47" t="n"/>
      <c r="C4094" s="48" t="n"/>
      <c r="D4094" s="48" t="n"/>
      <c r="E4094" s="48" t="n"/>
      <c r="F4094" s="48" t="n"/>
      <c r="G4094" s="49" t="n"/>
      <c r="H4094" s="48" t="n"/>
      <c r="I4094" s="50" t="n"/>
      <c r="J4094" s="48" t="n"/>
      <c r="K4094" s="48" t="n"/>
      <c r="L4094" s="48" t="n"/>
      <c r="M4094" s="48" t="n"/>
      <c r="N4094" s="48" t="n"/>
      <c r="O4094" s="51">
        <f>IF(AND(B4094="",G4094="",C4094="",D4094="",J4094=""),"",IF(B4094="","⚠ Falta fecha",IF(G4094="","⚠ Falta monto",IF(Q4094="","⚠ Falta cuenta",IF(ISNA(MATCH(Q4094,ctaNombre,0)),"⚠ Cuenta no registrada",IF(AND(OR(P4094="Gasto",P4094="Reembolso"),D4094=""),"⚠ Falta categoría",IF(AND(D4094&lt;&gt;"",E4094&lt;&gt;"",ISNA(MATCH(D4094&amp;"|"&amp;E4094,catClave,0))),"⚠ Subcategoría no corresponde",IF(AND(OR(P4094="Transferencia",P4094="Pago tarjeta"),K4094=""),"⚠ Falta cuenta destino",IF(AND(K4094&lt;&gt;"",P4094&lt;&gt;"Transferencia",P4094&lt;&gt;"Pago tarjeta"),"⚠ Destino solo aplica a transferencias",IF(AND(K4094&lt;&gt;"",K4094=Q4094),"⚠ Origen igual a destino",IF(AND(K4094&lt;&gt;"",ISNA(MATCH(K4094,ctaNombre,0))),"⚠ Destino no registrado",IF(AND(P4094="Pago tarjeta",AE4094&lt;&gt;"Tarjeta de crédito"),"⚠ El destino debe ser tarjeta de crédito",IF(AND(P4094="Gasto",E4094="Depósitos y retiros"),"⚠ Usa tipo Transferencia",IF(AND(P4094="Resultado trading",AD4094&lt;&gt;"Cuenta de trading"),"⚠ Usa una cuenta de trading",IF(AND(G4094&lt;=0,P4094&lt;&gt;"Ajuste",P4094&lt;&gt;"Resultado trading"),"⚠ El monto debe ser positivo","✓")))))))))))))))</f>
        <v/>
      </c>
      <c r="P4094" s="52">
        <f>IF(OR(B4094="",G4094=""),"",IF(C4094="","Gasto",C4094))</f>
        <v/>
      </c>
      <c r="Q4094" s="52">
        <f>IF(P4094="","",IF(J4094&lt;&gt;"",J4094,CuentaPred&amp;""))</f>
        <v/>
      </c>
      <c r="R4094" s="52">
        <f>IF(P4094="","",IF(ISNUMBER(I4094),I4094,TasaUSD))</f>
        <v/>
      </c>
      <c r="S4094" s="53">
        <f>IF(P4094="","",IF(H4094="USD",G4094*R4094,G4094))</f>
        <v/>
      </c>
      <c r="T4094" s="53">
        <f>IF(P4094="","",IF(H4094="USD",G4094,IF(R4094&gt;0,G4094/R4094,0)))</f>
        <v/>
      </c>
      <c r="U4094" s="53">
        <f>IF(P4094="","",IF(P4094="Gasto",S4094,IF(P4094="Reembolso",-S4094,0)))</f>
        <v/>
      </c>
      <c r="V4094" s="53">
        <f>IF(P4094="","",IF(P4094="Ingreso",S4094,0))</f>
        <v/>
      </c>
      <c r="W4094" s="53">
        <f>IF(P4094="","",IF(P4094="Resultado trading",S4094,0))</f>
        <v/>
      </c>
      <c r="X4094" s="52">
        <f>IF(OR(P4094="Gasto",P4094="Reembolso"),IF(M4094&lt;&gt;"",M4094,IFERROR(INDEX(catClasif,MATCH(D4094&amp;"|"&amp;E4094,catClave,0))&amp;"","Variable")),"")</f>
        <v/>
      </c>
      <c r="Y4094" s="52">
        <f>IF(P4094="","",IFERROR(INDEX(catGrupo,MATCH(D4094&amp;"|"&amp;E4094,catClave,0))&amp;"",""))</f>
        <v/>
      </c>
      <c r="Z4094" s="52">
        <f>IF(P4094="","",WEEKDAY(B4094,2))</f>
        <v/>
      </c>
      <c r="AA4094" s="52">
        <f>IF(P4094="","",IF(AND(P4094="Gasto",X4094="Variable",D4094&lt;&gt;catTrading,S4094&gt;0,S4094&lt;=Umbral),1,0))</f>
        <v/>
      </c>
      <c r="AB4094" s="52">
        <f>IF(OR(P4094="",Q4094=""),"",IFERROR(IF(INDEX(ctaVinc,MATCH(Q4094,ctaNombre,0))&amp;""&lt;&gt;"",INDEX(ctaVinc,MATCH(Q4094,ctaNombre,0))&amp;"",Q4094),Q4094))</f>
        <v/>
      </c>
      <c r="AC4094" s="52">
        <f>IF(OR(K4094="",AND(P4094&lt;&gt;"Transferencia",P4094&lt;&gt;"Pago tarjeta")),"",IFERROR(IF(INDEX(ctaVinc,MATCH(K4094,ctaNombre,0))&amp;""&lt;&gt;"",INDEX(ctaVinc,MATCH(K4094,ctaNombre,0))&amp;"",K4094),K4094))</f>
        <v/>
      </c>
      <c r="AD4094" s="52">
        <f>IF(AB4094="","",IFERROR(INDEX(ctaTipo,MATCH(AB4094,ctaNombre,0))&amp;"",""))</f>
        <v/>
      </c>
      <c r="AE4094" s="52">
        <f>IF(AC4094="","",IFERROR(INDEX(ctaTipo,MATCH(AC4094,ctaNombre,0))&amp;"",""))</f>
        <v/>
      </c>
      <c r="AF4094" s="53">
        <f>IF(OR(P4094="",AB4094=""),"",IF(OR(P4094="Gasto",P4094="Transferencia",P4094="Pago tarjeta"),-1,1)*IF(IFERROR(INDEX(ctaMoneda,MATCH(AB4094,ctaNombre,0))&amp;"","DOP")="USD",T4094,S4094))</f>
        <v/>
      </c>
      <c r="AG4094" s="53">
        <f>IF(AC4094="","",IF(IFERROR(INDEX(ctaMoneda,MATCH(AC4094,ctaNombre,0))&amp;"","DOP")="USD",T4094,S4094))</f>
        <v/>
      </c>
      <c r="AH4094" s="53">
        <f>IF(P4094="","",IF(AND(AD4094&lt;&gt;"",COUNTIFS(tcTipo,AD4094,tcLiq,"Sí")&gt;0),IF(OR(P4094="Gasto",P4094="Transferencia",P4094="Pago tarjeta"),-1,1)*S4094,0)+IF(AND(AE4094&lt;&gt;"",COUNTIFS(tcTipo,AE4094,tcLiq,"Sí")&gt;0),S4094,0))</f>
        <v/>
      </c>
      <c r="AI4094" s="52">
        <f>IF(OR(L4094="",P4094=""),"",IF(COUNTIFS(L$6:L4094,L4094,P$6:P4094,"?*")=1,MAX(AI$5:AI4093)+1,""))</f>
        <v/>
      </c>
    </row>
    <row r="4095">
      <c r="B4095" s="47" t="n"/>
      <c r="C4095" s="48" t="n"/>
      <c r="D4095" s="48" t="n"/>
      <c r="E4095" s="48" t="n"/>
      <c r="F4095" s="48" t="n"/>
      <c r="G4095" s="49" t="n"/>
      <c r="H4095" s="48" t="n"/>
      <c r="I4095" s="50" t="n"/>
      <c r="J4095" s="48" t="n"/>
      <c r="K4095" s="48" t="n"/>
      <c r="L4095" s="48" t="n"/>
      <c r="M4095" s="48" t="n"/>
      <c r="N4095" s="48" t="n"/>
      <c r="O4095" s="51">
        <f>IF(AND(B4095="",G4095="",C4095="",D4095="",J4095=""),"",IF(B4095="","⚠ Falta fecha",IF(G4095="","⚠ Falta monto",IF(Q4095="","⚠ Falta cuenta",IF(ISNA(MATCH(Q4095,ctaNombre,0)),"⚠ Cuenta no registrada",IF(AND(OR(P4095="Gasto",P4095="Reembolso"),D4095=""),"⚠ Falta categoría",IF(AND(D4095&lt;&gt;"",E4095&lt;&gt;"",ISNA(MATCH(D4095&amp;"|"&amp;E4095,catClave,0))),"⚠ Subcategoría no corresponde",IF(AND(OR(P4095="Transferencia",P4095="Pago tarjeta"),K4095=""),"⚠ Falta cuenta destino",IF(AND(K4095&lt;&gt;"",P4095&lt;&gt;"Transferencia",P4095&lt;&gt;"Pago tarjeta"),"⚠ Destino solo aplica a transferencias",IF(AND(K4095&lt;&gt;"",K4095=Q4095),"⚠ Origen igual a destino",IF(AND(K4095&lt;&gt;"",ISNA(MATCH(K4095,ctaNombre,0))),"⚠ Destino no registrado",IF(AND(P4095="Pago tarjeta",AE4095&lt;&gt;"Tarjeta de crédito"),"⚠ El destino debe ser tarjeta de crédito",IF(AND(P4095="Gasto",E4095="Depósitos y retiros"),"⚠ Usa tipo Transferencia",IF(AND(P4095="Resultado trading",AD4095&lt;&gt;"Cuenta de trading"),"⚠ Usa una cuenta de trading",IF(AND(G4095&lt;=0,P4095&lt;&gt;"Ajuste",P4095&lt;&gt;"Resultado trading"),"⚠ El monto debe ser positivo","✓")))))))))))))))</f>
        <v/>
      </c>
      <c r="P4095" s="52">
        <f>IF(OR(B4095="",G4095=""),"",IF(C4095="","Gasto",C4095))</f>
        <v/>
      </c>
      <c r="Q4095" s="52">
        <f>IF(P4095="","",IF(J4095&lt;&gt;"",J4095,CuentaPred&amp;""))</f>
        <v/>
      </c>
      <c r="R4095" s="52">
        <f>IF(P4095="","",IF(ISNUMBER(I4095),I4095,TasaUSD))</f>
        <v/>
      </c>
      <c r="S4095" s="53">
        <f>IF(P4095="","",IF(H4095="USD",G4095*R4095,G4095))</f>
        <v/>
      </c>
      <c r="T4095" s="53">
        <f>IF(P4095="","",IF(H4095="USD",G4095,IF(R4095&gt;0,G4095/R4095,0)))</f>
        <v/>
      </c>
      <c r="U4095" s="53">
        <f>IF(P4095="","",IF(P4095="Gasto",S4095,IF(P4095="Reembolso",-S4095,0)))</f>
        <v/>
      </c>
      <c r="V4095" s="53">
        <f>IF(P4095="","",IF(P4095="Ingreso",S4095,0))</f>
        <v/>
      </c>
      <c r="W4095" s="53">
        <f>IF(P4095="","",IF(P4095="Resultado trading",S4095,0))</f>
        <v/>
      </c>
      <c r="X4095" s="52">
        <f>IF(OR(P4095="Gasto",P4095="Reembolso"),IF(M4095&lt;&gt;"",M4095,IFERROR(INDEX(catClasif,MATCH(D4095&amp;"|"&amp;E4095,catClave,0))&amp;"","Variable")),"")</f>
        <v/>
      </c>
      <c r="Y4095" s="52">
        <f>IF(P4095="","",IFERROR(INDEX(catGrupo,MATCH(D4095&amp;"|"&amp;E4095,catClave,0))&amp;"",""))</f>
        <v/>
      </c>
      <c r="Z4095" s="52">
        <f>IF(P4095="","",WEEKDAY(B4095,2))</f>
        <v/>
      </c>
      <c r="AA4095" s="52">
        <f>IF(P4095="","",IF(AND(P4095="Gasto",X4095="Variable",D4095&lt;&gt;catTrading,S4095&gt;0,S4095&lt;=Umbral),1,0))</f>
        <v/>
      </c>
      <c r="AB4095" s="52">
        <f>IF(OR(P4095="",Q4095=""),"",IFERROR(IF(INDEX(ctaVinc,MATCH(Q4095,ctaNombre,0))&amp;""&lt;&gt;"",INDEX(ctaVinc,MATCH(Q4095,ctaNombre,0))&amp;"",Q4095),Q4095))</f>
        <v/>
      </c>
      <c r="AC4095" s="52">
        <f>IF(OR(K4095="",AND(P4095&lt;&gt;"Transferencia",P4095&lt;&gt;"Pago tarjeta")),"",IFERROR(IF(INDEX(ctaVinc,MATCH(K4095,ctaNombre,0))&amp;""&lt;&gt;"",INDEX(ctaVinc,MATCH(K4095,ctaNombre,0))&amp;"",K4095),K4095))</f>
        <v/>
      </c>
      <c r="AD4095" s="52">
        <f>IF(AB4095="","",IFERROR(INDEX(ctaTipo,MATCH(AB4095,ctaNombre,0))&amp;"",""))</f>
        <v/>
      </c>
      <c r="AE4095" s="52">
        <f>IF(AC4095="","",IFERROR(INDEX(ctaTipo,MATCH(AC4095,ctaNombre,0))&amp;"",""))</f>
        <v/>
      </c>
      <c r="AF4095" s="53">
        <f>IF(OR(P4095="",AB4095=""),"",IF(OR(P4095="Gasto",P4095="Transferencia",P4095="Pago tarjeta"),-1,1)*IF(IFERROR(INDEX(ctaMoneda,MATCH(AB4095,ctaNombre,0))&amp;"","DOP")="USD",T4095,S4095))</f>
        <v/>
      </c>
      <c r="AG4095" s="53">
        <f>IF(AC4095="","",IF(IFERROR(INDEX(ctaMoneda,MATCH(AC4095,ctaNombre,0))&amp;"","DOP")="USD",T4095,S4095))</f>
        <v/>
      </c>
      <c r="AH4095" s="53">
        <f>IF(P4095="","",IF(AND(AD4095&lt;&gt;"",COUNTIFS(tcTipo,AD4095,tcLiq,"Sí")&gt;0),IF(OR(P4095="Gasto",P4095="Transferencia",P4095="Pago tarjeta"),-1,1)*S4095,0)+IF(AND(AE4095&lt;&gt;"",COUNTIFS(tcTipo,AE4095,tcLiq,"Sí")&gt;0),S4095,0))</f>
        <v/>
      </c>
      <c r="AI4095" s="52">
        <f>IF(OR(L4095="",P4095=""),"",IF(COUNTIFS(L$6:L4095,L4095,P$6:P4095,"?*")=1,MAX(AI$5:AI4094)+1,""))</f>
        <v/>
      </c>
    </row>
    <row r="4096">
      <c r="B4096" s="47" t="n"/>
      <c r="C4096" s="48" t="n"/>
      <c r="D4096" s="48" t="n"/>
      <c r="E4096" s="48" t="n"/>
      <c r="F4096" s="48" t="n"/>
      <c r="G4096" s="49" t="n"/>
      <c r="H4096" s="48" t="n"/>
      <c r="I4096" s="50" t="n"/>
      <c r="J4096" s="48" t="n"/>
      <c r="K4096" s="48" t="n"/>
      <c r="L4096" s="48" t="n"/>
      <c r="M4096" s="48" t="n"/>
      <c r="N4096" s="48" t="n"/>
      <c r="O4096" s="51">
        <f>IF(AND(B4096="",G4096="",C4096="",D4096="",J4096=""),"",IF(B4096="","⚠ Falta fecha",IF(G4096="","⚠ Falta monto",IF(Q4096="","⚠ Falta cuenta",IF(ISNA(MATCH(Q4096,ctaNombre,0)),"⚠ Cuenta no registrada",IF(AND(OR(P4096="Gasto",P4096="Reembolso"),D4096=""),"⚠ Falta categoría",IF(AND(D4096&lt;&gt;"",E4096&lt;&gt;"",ISNA(MATCH(D4096&amp;"|"&amp;E4096,catClave,0))),"⚠ Subcategoría no corresponde",IF(AND(OR(P4096="Transferencia",P4096="Pago tarjeta"),K4096=""),"⚠ Falta cuenta destino",IF(AND(K4096&lt;&gt;"",P4096&lt;&gt;"Transferencia",P4096&lt;&gt;"Pago tarjeta"),"⚠ Destino solo aplica a transferencias",IF(AND(K4096&lt;&gt;"",K4096=Q4096),"⚠ Origen igual a destino",IF(AND(K4096&lt;&gt;"",ISNA(MATCH(K4096,ctaNombre,0))),"⚠ Destino no registrado",IF(AND(P4096="Pago tarjeta",AE4096&lt;&gt;"Tarjeta de crédito"),"⚠ El destino debe ser tarjeta de crédito",IF(AND(P4096="Gasto",E4096="Depósitos y retiros"),"⚠ Usa tipo Transferencia",IF(AND(P4096="Resultado trading",AD4096&lt;&gt;"Cuenta de trading"),"⚠ Usa una cuenta de trading",IF(AND(G4096&lt;=0,P4096&lt;&gt;"Ajuste",P4096&lt;&gt;"Resultado trading"),"⚠ El monto debe ser positivo","✓")))))))))))))))</f>
        <v/>
      </c>
      <c r="P4096" s="52">
        <f>IF(OR(B4096="",G4096=""),"",IF(C4096="","Gasto",C4096))</f>
        <v/>
      </c>
      <c r="Q4096" s="52">
        <f>IF(P4096="","",IF(J4096&lt;&gt;"",J4096,CuentaPred&amp;""))</f>
        <v/>
      </c>
      <c r="R4096" s="52">
        <f>IF(P4096="","",IF(ISNUMBER(I4096),I4096,TasaUSD))</f>
        <v/>
      </c>
      <c r="S4096" s="53">
        <f>IF(P4096="","",IF(H4096="USD",G4096*R4096,G4096))</f>
        <v/>
      </c>
      <c r="T4096" s="53">
        <f>IF(P4096="","",IF(H4096="USD",G4096,IF(R4096&gt;0,G4096/R4096,0)))</f>
        <v/>
      </c>
      <c r="U4096" s="53">
        <f>IF(P4096="","",IF(P4096="Gasto",S4096,IF(P4096="Reembolso",-S4096,0)))</f>
        <v/>
      </c>
      <c r="V4096" s="53">
        <f>IF(P4096="","",IF(P4096="Ingreso",S4096,0))</f>
        <v/>
      </c>
      <c r="W4096" s="53">
        <f>IF(P4096="","",IF(P4096="Resultado trading",S4096,0))</f>
        <v/>
      </c>
      <c r="X4096" s="52">
        <f>IF(OR(P4096="Gasto",P4096="Reembolso"),IF(M4096&lt;&gt;"",M4096,IFERROR(INDEX(catClasif,MATCH(D4096&amp;"|"&amp;E4096,catClave,0))&amp;"","Variable")),"")</f>
        <v/>
      </c>
      <c r="Y4096" s="52">
        <f>IF(P4096="","",IFERROR(INDEX(catGrupo,MATCH(D4096&amp;"|"&amp;E4096,catClave,0))&amp;"",""))</f>
        <v/>
      </c>
      <c r="Z4096" s="52">
        <f>IF(P4096="","",WEEKDAY(B4096,2))</f>
        <v/>
      </c>
      <c r="AA4096" s="52">
        <f>IF(P4096="","",IF(AND(P4096="Gasto",X4096="Variable",D4096&lt;&gt;catTrading,S4096&gt;0,S4096&lt;=Umbral),1,0))</f>
        <v/>
      </c>
      <c r="AB4096" s="52">
        <f>IF(OR(P4096="",Q4096=""),"",IFERROR(IF(INDEX(ctaVinc,MATCH(Q4096,ctaNombre,0))&amp;""&lt;&gt;"",INDEX(ctaVinc,MATCH(Q4096,ctaNombre,0))&amp;"",Q4096),Q4096))</f>
        <v/>
      </c>
      <c r="AC4096" s="52">
        <f>IF(OR(K4096="",AND(P4096&lt;&gt;"Transferencia",P4096&lt;&gt;"Pago tarjeta")),"",IFERROR(IF(INDEX(ctaVinc,MATCH(K4096,ctaNombre,0))&amp;""&lt;&gt;"",INDEX(ctaVinc,MATCH(K4096,ctaNombre,0))&amp;"",K4096),K4096))</f>
        <v/>
      </c>
      <c r="AD4096" s="52">
        <f>IF(AB4096="","",IFERROR(INDEX(ctaTipo,MATCH(AB4096,ctaNombre,0))&amp;"",""))</f>
        <v/>
      </c>
      <c r="AE4096" s="52">
        <f>IF(AC4096="","",IFERROR(INDEX(ctaTipo,MATCH(AC4096,ctaNombre,0))&amp;"",""))</f>
        <v/>
      </c>
      <c r="AF4096" s="53">
        <f>IF(OR(P4096="",AB4096=""),"",IF(OR(P4096="Gasto",P4096="Transferencia",P4096="Pago tarjeta"),-1,1)*IF(IFERROR(INDEX(ctaMoneda,MATCH(AB4096,ctaNombre,0))&amp;"","DOP")="USD",T4096,S4096))</f>
        <v/>
      </c>
      <c r="AG4096" s="53">
        <f>IF(AC4096="","",IF(IFERROR(INDEX(ctaMoneda,MATCH(AC4096,ctaNombre,0))&amp;"","DOP")="USD",T4096,S4096))</f>
        <v/>
      </c>
      <c r="AH4096" s="53">
        <f>IF(P4096="","",IF(AND(AD4096&lt;&gt;"",COUNTIFS(tcTipo,AD4096,tcLiq,"Sí")&gt;0),IF(OR(P4096="Gasto",P4096="Transferencia",P4096="Pago tarjeta"),-1,1)*S4096,0)+IF(AND(AE4096&lt;&gt;"",COUNTIFS(tcTipo,AE4096,tcLiq,"Sí")&gt;0),S4096,0))</f>
        <v/>
      </c>
      <c r="AI4096" s="52">
        <f>IF(OR(L4096="",P4096=""),"",IF(COUNTIFS(L$6:L4096,L4096,P$6:P4096,"?*")=1,MAX(AI$5:AI4095)+1,""))</f>
        <v/>
      </c>
    </row>
    <row r="4097">
      <c r="B4097" s="47" t="n"/>
      <c r="C4097" s="48" t="n"/>
      <c r="D4097" s="48" t="n"/>
      <c r="E4097" s="48" t="n"/>
      <c r="F4097" s="48" t="n"/>
      <c r="G4097" s="49" t="n"/>
      <c r="H4097" s="48" t="n"/>
      <c r="I4097" s="50" t="n"/>
      <c r="J4097" s="48" t="n"/>
      <c r="K4097" s="48" t="n"/>
      <c r="L4097" s="48" t="n"/>
      <c r="M4097" s="48" t="n"/>
      <c r="N4097" s="48" t="n"/>
      <c r="O4097" s="51">
        <f>IF(AND(B4097="",G4097="",C4097="",D4097="",J4097=""),"",IF(B4097="","⚠ Falta fecha",IF(G4097="","⚠ Falta monto",IF(Q4097="","⚠ Falta cuenta",IF(ISNA(MATCH(Q4097,ctaNombre,0)),"⚠ Cuenta no registrada",IF(AND(OR(P4097="Gasto",P4097="Reembolso"),D4097=""),"⚠ Falta categoría",IF(AND(D4097&lt;&gt;"",E4097&lt;&gt;"",ISNA(MATCH(D4097&amp;"|"&amp;E4097,catClave,0))),"⚠ Subcategoría no corresponde",IF(AND(OR(P4097="Transferencia",P4097="Pago tarjeta"),K4097=""),"⚠ Falta cuenta destino",IF(AND(K4097&lt;&gt;"",P4097&lt;&gt;"Transferencia",P4097&lt;&gt;"Pago tarjeta"),"⚠ Destino solo aplica a transferencias",IF(AND(K4097&lt;&gt;"",K4097=Q4097),"⚠ Origen igual a destino",IF(AND(K4097&lt;&gt;"",ISNA(MATCH(K4097,ctaNombre,0))),"⚠ Destino no registrado",IF(AND(P4097="Pago tarjeta",AE4097&lt;&gt;"Tarjeta de crédito"),"⚠ El destino debe ser tarjeta de crédito",IF(AND(P4097="Gasto",E4097="Depósitos y retiros"),"⚠ Usa tipo Transferencia",IF(AND(P4097="Resultado trading",AD4097&lt;&gt;"Cuenta de trading"),"⚠ Usa una cuenta de trading",IF(AND(G4097&lt;=0,P4097&lt;&gt;"Ajuste",P4097&lt;&gt;"Resultado trading"),"⚠ El monto debe ser positivo","✓")))))))))))))))</f>
        <v/>
      </c>
      <c r="P4097" s="52">
        <f>IF(OR(B4097="",G4097=""),"",IF(C4097="","Gasto",C4097))</f>
        <v/>
      </c>
      <c r="Q4097" s="52">
        <f>IF(P4097="","",IF(J4097&lt;&gt;"",J4097,CuentaPred&amp;""))</f>
        <v/>
      </c>
      <c r="R4097" s="52">
        <f>IF(P4097="","",IF(ISNUMBER(I4097),I4097,TasaUSD))</f>
        <v/>
      </c>
      <c r="S4097" s="53">
        <f>IF(P4097="","",IF(H4097="USD",G4097*R4097,G4097))</f>
        <v/>
      </c>
      <c r="T4097" s="53">
        <f>IF(P4097="","",IF(H4097="USD",G4097,IF(R4097&gt;0,G4097/R4097,0)))</f>
        <v/>
      </c>
      <c r="U4097" s="53">
        <f>IF(P4097="","",IF(P4097="Gasto",S4097,IF(P4097="Reembolso",-S4097,0)))</f>
        <v/>
      </c>
      <c r="V4097" s="53">
        <f>IF(P4097="","",IF(P4097="Ingreso",S4097,0))</f>
        <v/>
      </c>
      <c r="W4097" s="53">
        <f>IF(P4097="","",IF(P4097="Resultado trading",S4097,0))</f>
        <v/>
      </c>
      <c r="X4097" s="52">
        <f>IF(OR(P4097="Gasto",P4097="Reembolso"),IF(M4097&lt;&gt;"",M4097,IFERROR(INDEX(catClasif,MATCH(D4097&amp;"|"&amp;E4097,catClave,0))&amp;"","Variable")),"")</f>
        <v/>
      </c>
      <c r="Y4097" s="52">
        <f>IF(P4097="","",IFERROR(INDEX(catGrupo,MATCH(D4097&amp;"|"&amp;E4097,catClave,0))&amp;"",""))</f>
        <v/>
      </c>
      <c r="Z4097" s="52">
        <f>IF(P4097="","",WEEKDAY(B4097,2))</f>
        <v/>
      </c>
      <c r="AA4097" s="52">
        <f>IF(P4097="","",IF(AND(P4097="Gasto",X4097="Variable",D4097&lt;&gt;catTrading,S4097&gt;0,S4097&lt;=Umbral),1,0))</f>
        <v/>
      </c>
      <c r="AB4097" s="52">
        <f>IF(OR(P4097="",Q4097=""),"",IFERROR(IF(INDEX(ctaVinc,MATCH(Q4097,ctaNombre,0))&amp;""&lt;&gt;"",INDEX(ctaVinc,MATCH(Q4097,ctaNombre,0))&amp;"",Q4097),Q4097))</f>
        <v/>
      </c>
      <c r="AC4097" s="52">
        <f>IF(OR(K4097="",AND(P4097&lt;&gt;"Transferencia",P4097&lt;&gt;"Pago tarjeta")),"",IFERROR(IF(INDEX(ctaVinc,MATCH(K4097,ctaNombre,0))&amp;""&lt;&gt;"",INDEX(ctaVinc,MATCH(K4097,ctaNombre,0))&amp;"",K4097),K4097))</f>
        <v/>
      </c>
      <c r="AD4097" s="52">
        <f>IF(AB4097="","",IFERROR(INDEX(ctaTipo,MATCH(AB4097,ctaNombre,0))&amp;"",""))</f>
        <v/>
      </c>
      <c r="AE4097" s="52">
        <f>IF(AC4097="","",IFERROR(INDEX(ctaTipo,MATCH(AC4097,ctaNombre,0))&amp;"",""))</f>
        <v/>
      </c>
      <c r="AF4097" s="53">
        <f>IF(OR(P4097="",AB4097=""),"",IF(OR(P4097="Gasto",P4097="Transferencia",P4097="Pago tarjeta"),-1,1)*IF(IFERROR(INDEX(ctaMoneda,MATCH(AB4097,ctaNombre,0))&amp;"","DOP")="USD",T4097,S4097))</f>
        <v/>
      </c>
      <c r="AG4097" s="53">
        <f>IF(AC4097="","",IF(IFERROR(INDEX(ctaMoneda,MATCH(AC4097,ctaNombre,0))&amp;"","DOP")="USD",T4097,S4097))</f>
        <v/>
      </c>
      <c r="AH4097" s="53">
        <f>IF(P4097="","",IF(AND(AD4097&lt;&gt;"",COUNTIFS(tcTipo,AD4097,tcLiq,"Sí")&gt;0),IF(OR(P4097="Gasto",P4097="Transferencia",P4097="Pago tarjeta"),-1,1)*S4097,0)+IF(AND(AE4097&lt;&gt;"",COUNTIFS(tcTipo,AE4097,tcLiq,"Sí")&gt;0),S4097,0))</f>
        <v/>
      </c>
      <c r="AI4097" s="52">
        <f>IF(OR(L4097="",P4097=""),"",IF(COUNTIFS(L$6:L4097,L4097,P$6:P4097,"?*")=1,MAX(AI$5:AI4096)+1,""))</f>
        <v/>
      </c>
    </row>
    <row r="4098">
      <c r="B4098" s="47" t="n"/>
      <c r="C4098" s="48" t="n"/>
      <c r="D4098" s="48" t="n"/>
      <c r="E4098" s="48" t="n"/>
      <c r="F4098" s="48" t="n"/>
      <c r="G4098" s="49" t="n"/>
      <c r="H4098" s="48" t="n"/>
      <c r="I4098" s="50" t="n"/>
      <c r="J4098" s="48" t="n"/>
      <c r="K4098" s="48" t="n"/>
      <c r="L4098" s="48" t="n"/>
      <c r="M4098" s="48" t="n"/>
      <c r="N4098" s="48" t="n"/>
      <c r="O4098" s="51">
        <f>IF(AND(B4098="",G4098="",C4098="",D4098="",J4098=""),"",IF(B4098="","⚠ Falta fecha",IF(G4098="","⚠ Falta monto",IF(Q4098="","⚠ Falta cuenta",IF(ISNA(MATCH(Q4098,ctaNombre,0)),"⚠ Cuenta no registrada",IF(AND(OR(P4098="Gasto",P4098="Reembolso"),D4098=""),"⚠ Falta categoría",IF(AND(D4098&lt;&gt;"",E4098&lt;&gt;"",ISNA(MATCH(D4098&amp;"|"&amp;E4098,catClave,0))),"⚠ Subcategoría no corresponde",IF(AND(OR(P4098="Transferencia",P4098="Pago tarjeta"),K4098=""),"⚠ Falta cuenta destino",IF(AND(K4098&lt;&gt;"",P4098&lt;&gt;"Transferencia",P4098&lt;&gt;"Pago tarjeta"),"⚠ Destino solo aplica a transferencias",IF(AND(K4098&lt;&gt;"",K4098=Q4098),"⚠ Origen igual a destino",IF(AND(K4098&lt;&gt;"",ISNA(MATCH(K4098,ctaNombre,0))),"⚠ Destino no registrado",IF(AND(P4098="Pago tarjeta",AE4098&lt;&gt;"Tarjeta de crédito"),"⚠ El destino debe ser tarjeta de crédito",IF(AND(P4098="Gasto",E4098="Depósitos y retiros"),"⚠ Usa tipo Transferencia",IF(AND(P4098="Resultado trading",AD4098&lt;&gt;"Cuenta de trading"),"⚠ Usa una cuenta de trading",IF(AND(G4098&lt;=0,P4098&lt;&gt;"Ajuste",P4098&lt;&gt;"Resultado trading"),"⚠ El monto debe ser positivo","✓")))))))))))))))</f>
        <v/>
      </c>
      <c r="P4098" s="52">
        <f>IF(OR(B4098="",G4098=""),"",IF(C4098="","Gasto",C4098))</f>
        <v/>
      </c>
      <c r="Q4098" s="52">
        <f>IF(P4098="","",IF(J4098&lt;&gt;"",J4098,CuentaPred&amp;""))</f>
        <v/>
      </c>
      <c r="R4098" s="52">
        <f>IF(P4098="","",IF(ISNUMBER(I4098),I4098,TasaUSD))</f>
        <v/>
      </c>
      <c r="S4098" s="53">
        <f>IF(P4098="","",IF(H4098="USD",G4098*R4098,G4098))</f>
        <v/>
      </c>
      <c r="T4098" s="53">
        <f>IF(P4098="","",IF(H4098="USD",G4098,IF(R4098&gt;0,G4098/R4098,0)))</f>
        <v/>
      </c>
      <c r="U4098" s="53">
        <f>IF(P4098="","",IF(P4098="Gasto",S4098,IF(P4098="Reembolso",-S4098,0)))</f>
        <v/>
      </c>
      <c r="V4098" s="53">
        <f>IF(P4098="","",IF(P4098="Ingreso",S4098,0))</f>
        <v/>
      </c>
      <c r="W4098" s="53">
        <f>IF(P4098="","",IF(P4098="Resultado trading",S4098,0))</f>
        <v/>
      </c>
      <c r="X4098" s="52">
        <f>IF(OR(P4098="Gasto",P4098="Reembolso"),IF(M4098&lt;&gt;"",M4098,IFERROR(INDEX(catClasif,MATCH(D4098&amp;"|"&amp;E4098,catClave,0))&amp;"","Variable")),"")</f>
        <v/>
      </c>
      <c r="Y4098" s="52">
        <f>IF(P4098="","",IFERROR(INDEX(catGrupo,MATCH(D4098&amp;"|"&amp;E4098,catClave,0))&amp;"",""))</f>
        <v/>
      </c>
      <c r="Z4098" s="52">
        <f>IF(P4098="","",WEEKDAY(B4098,2))</f>
        <v/>
      </c>
      <c r="AA4098" s="52">
        <f>IF(P4098="","",IF(AND(P4098="Gasto",X4098="Variable",D4098&lt;&gt;catTrading,S4098&gt;0,S4098&lt;=Umbral),1,0))</f>
        <v/>
      </c>
      <c r="AB4098" s="52">
        <f>IF(OR(P4098="",Q4098=""),"",IFERROR(IF(INDEX(ctaVinc,MATCH(Q4098,ctaNombre,0))&amp;""&lt;&gt;"",INDEX(ctaVinc,MATCH(Q4098,ctaNombre,0))&amp;"",Q4098),Q4098))</f>
        <v/>
      </c>
      <c r="AC4098" s="52">
        <f>IF(OR(K4098="",AND(P4098&lt;&gt;"Transferencia",P4098&lt;&gt;"Pago tarjeta")),"",IFERROR(IF(INDEX(ctaVinc,MATCH(K4098,ctaNombre,0))&amp;""&lt;&gt;"",INDEX(ctaVinc,MATCH(K4098,ctaNombre,0))&amp;"",K4098),K4098))</f>
        <v/>
      </c>
      <c r="AD4098" s="52">
        <f>IF(AB4098="","",IFERROR(INDEX(ctaTipo,MATCH(AB4098,ctaNombre,0))&amp;"",""))</f>
        <v/>
      </c>
      <c r="AE4098" s="52">
        <f>IF(AC4098="","",IFERROR(INDEX(ctaTipo,MATCH(AC4098,ctaNombre,0))&amp;"",""))</f>
        <v/>
      </c>
      <c r="AF4098" s="53">
        <f>IF(OR(P4098="",AB4098=""),"",IF(OR(P4098="Gasto",P4098="Transferencia",P4098="Pago tarjeta"),-1,1)*IF(IFERROR(INDEX(ctaMoneda,MATCH(AB4098,ctaNombre,0))&amp;"","DOP")="USD",T4098,S4098))</f>
        <v/>
      </c>
      <c r="AG4098" s="53">
        <f>IF(AC4098="","",IF(IFERROR(INDEX(ctaMoneda,MATCH(AC4098,ctaNombre,0))&amp;"","DOP")="USD",T4098,S4098))</f>
        <v/>
      </c>
      <c r="AH4098" s="53">
        <f>IF(P4098="","",IF(AND(AD4098&lt;&gt;"",COUNTIFS(tcTipo,AD4098,tcLiq,"Sí")&gt;0),IF(OR(P4098="Gasto",P4098="Transferencia",P4098="Pago tarjeta"),-1,1)*S4098,0)+IF(AND(AE4098&lt;&gt;"",COUNTIFS(tcTipo,AE4098,tcLiq,"Sí")&gt;0),S4098,0))</f>
        <v/>
      </c>
      <c r="AI4098" s="52">
        <f>IF(OR(L4098="",P4098=""),"",IF(COUNTIFS(L$6:L4098,L4098,P$6:P4098,"?*")=1,MAX(AI$5:AI4097)+1,""))</f>
        <v/>
      </c>
    </row>
    <row r="4099">
      <c r="B4099" s="47" t="n"/>
      <c r="C4099" s="48" t="n"/>
      <c r="D4099" s="48" t="n"/>
      <c r="E4099" s="48" t="n"/>
      <c r="F4099" s="48" t="n"/>
      <c r="G4099" s="49" t="n"/>
      <c r="H4099" s="48" t="n"/>
      <c r="I4099" s="50" t="n"/>
      <c r="J4099" s="48" t="n"/>
      <c r="K4099" s="48" t="n"/>
      <c r="L4099" s="48" t="n"/>
      <c r="M4099" s="48" t="n"/>
      <c r="N4099" s="48" t="n"/>
      <c r="O4099" s="51">
        <f>IF(AND(B4099="",G4099="",C4099="",D4099="",J4099=""),"",IF(B4099="","⚠ Falta fecha",IF(G4099="","⚠ Falta monto",IF(Q4099="","⚠ Falta cuenta",IF(ISNA(MATCH(Q4099,ctaNombre,0)),"⚠ Cuenta no registrada",IF(AND(OR(P4099="Gasto",P4099="Reembolso"),D4099=""),"⚠ Falta categoría",IF(AND(D4099&lt;&gt;"",E4099&lt;&gt;"",ISNA(MATCH(D4099&amp;"|"&amp;E4099,catClave,0))),"⚠ Subcategoría no corresponde",IF(AND(OR(P4099="Transferencia",P4099="Pago tarjeta"),K4099=""),"⚠ Falta cuenta destino",IF(AND(K4099&lt;&gt;"",P4099&lt;&gt;"Transferencia",P4099&lt;&gt;"Pago tarjeta"),"⚠ Destino solo aplica a transferencias",IF(AND(K4099&lt;&gt;"",K4099=Q4099),"⚠ Origen igual a destino",IF(AND(K4099&lt;&gt;"",ISNA(MATCH(K4099,ctaNombre,0))),"⚠ Destino no registrado",IF(AND(P4099="Pago tarjeta",AE4099&lt;&gt;"Tarjeta de crédito"),"⚠ El destino debe ser tarjeta de crédito",IF(AND(P4099="Gasto",E4099="Depósitos y retiros"),"⚠ Usa tipo Transferencia",IF(AND(P4099="Resultado trading",AD4099&lt;&gt;"Cuenta de trading"),"⚠ Usa una cuenta de trading",IF(AND(G4099&lt;=0,P4099&lt;&gt;"Ajuste",P4099&lt;&gt;"Resultado trading"),"⚠ El monto debe ser positivo","✓")))))))))))))))</f>
        <v/>
      </c>
      <c r="P4099" s="52">
        <f>IF(OR(B4099="",G4099=""),"",IF(C4099="","Gasto",C4099))</f>
        <v/>
      </c>
      <c r="Q4099" s="52">
        <f>IF(P4099="","",IF(J4099&lt;&gt;"",J4099,CuentaPred&amp;""))</f>
        <v/>
      </c>
      <c r="R4099" s="52">
        <f>IF(P4099="","",IF(ISNUMBER(I4099),I4099,TasaUSD))</f>
        <v/>
      </c>
      <c r="S4099" s="53">
        <f>IF(P4099="","",IF(H4099="USD",G4099*R4099,G4099))</f>
        <v/>
      </c>
      <c r="T4099" s="53">
        <f>IF(P4099="","",IF(H4099="USD",G4099,IF(R4099&gt;0,G4099/R4099,0)))</f>
        <v/>
      </c>
      <c r="U4099" s="53">
        <f>IF(P4099="","",IF(P4099="Gasto",S4099,IF(P4099="Reembolso",-S4099,0)))</f>
        <v/>
      </c>
      <c r="V4099" s="53">
        <f>IF(P4099="","",IF(P4099="Ingreso",S4099,0))</f>
        <v/>
      </c>
      <c r="W4099" s="53">
        <f>IF(P4099="","",IF(P4099="Resultado trading",S4099,0))</f>
        <v/>
      </c>
      <c r="X4099" s="52">
        <f>IF(OR(P4099="Gasto",P4099="Reembolso"),IF(M4099&lt;&gt;"",M4099,IFERROR(INDEX(catClasif,MATCH(D4099&amp;"|"&amp;E4099,catClave,0))&amp;"","Variable")),"")</f>
        <v/>
      </c>
      <c r="Y4099" s="52">
        <f>IF(P4099="","",IFERROR(INDEX(catGrupo,MATCH(D4099&amp;"|"&amp;E4099,catClave,0))&amp;"",""))</f>
        <v/>
      </c>
      <c r="Z4099" s="52">
        <f>IF(P4099="","",WEEKDAY(B4099,2))</f>
        <v/>
      </c>
      <c r="AA4099" s="52">
        <f>IF(P4099="","",IF(AND(P4099="Gasto",X4099="Variable",D4099&lt;&gt;catTrading,S4099&gt;0,S4099&lt;=Umbral),1,0))</f>
        <v/>
      </c>
      <c r="AB4099" s="52">
        <f>IF(OR(P4099="",Q4099=""),"",IFERROR(IF(INDEX(ctaVinc,MATCH(Q4099,ctaNombre,0))&amp;""&lt;&gt;"",INDEX(ctaVinc,MATCH(Q4099,ctaNombre,0))&amp;"",Q4099),Q4099))</f>
        <v/>
      </c>
      <c r="AC4099" s="52">
        <f>IF(OR(K4099="",AND(P4099&lt;&gt;"Transferencia",P4099&lt;&gt;"Pago tarjeta")),"",IFERROR(IF(INDEX(ctaVinc,MATCH(K4099,ctaNombre,0))&amp;""&lt;&gt;"",INDEX(ctaVinc,MATCH(K4099,ctaNombre,0))&amp;"",K4099),K4099))</f>
        <v/>
      </c>
      <c r="AD4099" s="52">
        <f>IF(AB4099="","",IFERROR(INDEX(ctaTipo,MATCH(AB4099,ctaNombre,0))&amp;"",""))</f>
        <v/>
      </c>
      <c r="AE4099" s="52">
        <f>IF(AC4099="","",IFERROR(INDEX(ctaTipo,MATCH(AC4099,ctaNombre,0))&amp;"",""))</f>
        <v/>
      </c>
      <c r="AF4099" s="53">
        <f>IF(OR(P4099="",AB4099=""),"",IF(OR(P4099="Gasto",P4099="Transferencia",P4099="Pago tarjeta"),-1,1)*IF(IFERROR(INDEX(ctaMoneda,MATCH(AB4099,ctaNombre,0))&amp;"","DOP")="USD",T4099,S4099))</f>
        <v/>
      </c>
      <c r="AG4099" s="53">
        <f>IF(AC4099="","",IF(IFERROR(INDEX(ctaMoneda,MATCH(AC4099,ctaNombre,0))&amp;"","DOP")="USD",T4099,S4099))</f>
        <v/>
      </c>
      <c r="AH4099" s="53">
        <f>IF(P4099="","",IF(AND(AD4099&lt;&gt;"",COUNTIFS(tcTipo,AD4099,tcLiq,"Sí")&gt;0),IF(OR(P4099="Gasto",P4099="Transferencia",P4099="Pago tarjeta"),-1,1)*S4099,0)+IF(AND(AE4099&lt;&gt;"",COUNTIFS(tcTipo,AE4099,tcLiq,"Sí")&gt;0),S4099,0))</f>
        <v/>
      </c>
      <c r="AI4099" s="52">
        <f>IF(OR(L4099="",P4099=""),"",IF(COUNTIFS(L$6:L4099,L4099,P$6:P4099,"?*")=1,MAX(AI$5:AI4098)+1,""))</f>
        <v/>
      </c>
    </row>
    <row r="4100">
      <c r="B4100" s="47" t="n"/>
      <c r="C4100" s="48" t="n"/>
      <c r="D4100" s="48" t="n"/>
      <c r="E4100" s="48" t="n"/>
      <c r="F4100" s="48" t="n"/>
      <c r="G4100" s="49" t="n"/>
      <c r="H4100" s="48" t="n"/>
      <c r="I4100" s="50" t="n"/>
      <c r="J4100" s="48" t="n"/>
      <c r="K4100" s="48" t="n"/>
      <c r="L4100" s="48" t="n"/>
      <c r="M4100" s="48" t="n"/>
      <c r="N4100" s="48" t="n"/>
      <c r="O4100" s="51">
        <f>IF(AND(B4100="",G4100="",C4100="",D4100="",J4100=""),"",IF(B4100="","⚠ Falta fecha",IF(G4100="","⚠ Falta monto",IF(Q4100="","⚠ Falta cuenta",IF(ISNA(MATCH(Q4100,ctaNombre,0)),"⚠ Cuenta no registrada",IF(AND(OR(P4100="Gasto",P4100="Reembolso"),D4100=""),"⚠ Falta categoría",IF(AND(D4100&lt;&gt;"",E4100&lt;&gt;"",ISNA(MATCH(D4100&amp;"|"&amp;E4100,catClave,0))),"⚠ Subcategoría no corresponde",IF(AND(OR(P4100="Transferencia",P4100="Pago tarjeta"),K4100=""),"⚠ Falta cuenta destino",IF(AND(K4100&lt;&gt;"",P4100&lt;&gt;"Transferencia",P4100&lt;&gt;"Pago tarjeta"),"⚠ Destino solo aplica a transferencias",IF(AND(K4100&lt;&gt;"",K4100=Q4100),"⚠ Origen igual a destino",IF(AND(K4100&lt;&gt;"",ISNA(MATCH(K4100,ctaNombre,0))),"⚠ Destino no registrado",IF(AND(P4100="Pago tarjeta",AE4100&lt;&gt;"Tarjeta de crédito"),"⚠ El destino debe ser tarjeta de crédito",IF(AND(P4100="Gasto",E4100="Depósitos y retiros"),"⚠ Usa tipo Transferencia",IF(AND(P4100="Resultado trading",AD4100&lt;&gt;"Cuenta de trading"),"⚠ Usa una cuenta de trading",IF(AND(G4100&lt;=0,P4100&lt;&gt;"Ajuste",P4100&lt;&gt;"Resultado trading"),"⚠ El monto debe ser positivo","✓")))))))))))))))</f>
        <v/>
      </c>
      <c r="P4100" s="52">
        <f>IF(OR(B4100="",G4100=""),"",IF(C4100="","Gasto",C4100))</f>
        <v/>
      </c>
      <c r="Q4100" s="52">
        <f>IF(P4100="","",IF(J4100&lt;&gt;"",J4100,CuentaPred&amp;""))</f>
        <v/>
      </c>
      <c r="R4100" s="52">
        <f>IF(P4100="","",IF(ISNUMBER(I4100),I4100,TasaUSD))</f>
        <v/>
      </c>
      <c r="S4100" s="53">
        <f>IF(P4100="","",IF(H4100="USD",G4100*R4100,G4100))</f>
        <v/>
      </c>
      <c r="T4100" s="53">
        <f>IF(P4100="","",IF(H4100="USD",G4100,IF(R4100&gt;0,G4100/R4100,0)))</f>
        <v/>
      </c>
      <c r="U4100" s="53">
        <f>IF(P4100="","",IF(P4100="Gasto",S4100,IF(P4100="Reembolso",-S4100,0)))</f>
        <v/>
      </c>
      <c r="V4100" s="53">
        <f>IF(P4100="","",IF(P4100="Ingreso",S4100,0))</f>
        <v/>
      </c>
      <c r="W4100" s="53">
        <f>IF(P4100="","",IF(P4100="Resultado trading",S4100,0))</f>
        <v/>
      </c>
      <c r="X4100" s="52">
        <f>IF(OR(P4100="Gasto",P4100="Reembolso"),IF(M4100&lt;&gt;"",M4100,IFERROR(INDEX(catClasif,MATCH(D4100&amp;"|"&amp;E4100,catClave,0))&amp;"","Variable")),"")</f>
        <v/>
      </c>
      <c r="Y4100" s="52">
        <f>IF(P4100="","",IFERROR(INDEX(catGrupo,MATCH(D4100&amp;"|"&amp;E4100,catClave,0))&amp;"",""))</f>
        <v/>
      </c>
      <c r="Z4100" s="52">
        <f>IF(P4100="","",WEEKDAY(B4100,2))</f>
        <v/>
      </c>
      <c r="AA4100" s="52">
        <f>IF(P4100="","",IF(AND(P4100="Gasto",X4100="Variable",D4100&lt;&gt;catTrading,S4100&gt;0,S4100&lt;=Umbral),1,0))</f>
        <v/>
      </c>
      <c r="AB4100" s="52">
        <f>IF(OR(P4100="",Q4100=""),"",IFERROR(IF(INDEX(ctaVinc,MATCH(Q4100,ctaNombre,0))&amp;""&lt;&gt;"",INDEX(ctaVinc,MATCH(Q4100,ctaNombre,0))&amp;"",Q4100),Q4100))</f>
        <v/>
      </c>
      <c r="AC4100" s="52">
        <f>IF(OR(K4100="",AND(P4100&lt;&gt;"Transferencia",P4100&lt;&gt;"Pago tarjeta")),"",IFERROR(IF(INDEX(ctaVinc,MATCH(K4100,ctaNombre,0))&amp;""&lt;&gt;"",INDEX(ctaVinc,MATCH(K4100,ctaNombre,0))&amp;"",K4100),K4100))</f>
        <v/>
      </c>
      <c r="AD4100" s="52">
        <f>IF(AB4100="","",IFERROR(INDEX(ctaTipo,MATCH(AB4100,ctaNombre,0))&amp;"",""))</f>
        <v/>
      </c>
      <c r="AE4100" s="52">
        <f>IF(AC4100="","",IFERROR(INDEX(ctaTipo,MATCH(AC4100,ctaNombre,0))&amp;"",""))</f>
        <v/>
      </c>
      <c r="AF4100" s="53">
        <f>IF(OR(P4100="",AB4100=""),"",IF(OR(P4100="Gasto",P4100="Transferencia",P4100="Pago tarjeta"),-1,1)*IF(IFERROR(INDEX(ctaMoneda,MATCH(AB4100,ctaNombre,0))&amp;"","DOP")="USD",T4100,S4100))</f>
        <v/>
      </c>
      <c r="AG4100" s="53">
        <f>IF(AC4100="","",IF(IFERROR(INDEX(ctaMoneda,MATCH(AC4100,ctaNombre,0))&amp;"","DOP")="USD",T4100,S4100))</f>
        <v/>
      </c>
      <c r="AH4100" s="53">
        <f>IF(P4100="","",IF(AND(AD4100&lt;&gt;"",COUNTIFS(tcTipo,AD4100,tcLiq,"Sí")&gt;0),IF(OR(P4100="Gasto",P4100="Transferencia",P4100="Pago tarjeta"),-1,1)*S4100,0)+IF(AND(AE4100&lt;&gt;"",COUNTIFS(tcTipo,AE4100,tcLiq,"Sí")&gt;0),S4100,0))</f>
        <v/>
      </c>
      <c r="AI4100" s="52">
        <f>IF(OR(L4100="",P4100=""),"",IF(COUNTIFS(L$6:L4100,L4100,P$6:P4100,"?*")=1,MAX(AI$5:AI4099)+1,""))</f>
        <v/>
      </c>
    </row>
    <row r="4101">
      <c r="B4101" s="47" t="n"/>
      <c r="C4101" s="48" t="n"/>
      <c r="D4101" s="48" t="n"/>
      <c r="E4101" s="48" t="n"/>
      <c r="F4101" s="48" t="n"/>
      <c r="G4101" s="49" t="n"/>
      <c r="H4101" s="48" t="n"/>
      <c r="I4101" s="50" t="n"/>
      <c r="J4101" s="48" t="n"/>
      <c r="K4101" s="48" t="n"/>
      <c r="L4101" s="48" t="n"/>
      <c r="M4101" s="48" t="n"/>
      <c r="N4101" s="48" t="n"/>
      <c r="O4101" s="51">
        <f>IF(AND(B4101="",G4101="",C4101="",D4101="",J4101=""),"",IF(B4101="","⚠ Falta fecha",IF(G4101="","⚠ Falta monto",IF(Q4101="","⚠ Falta cuenta",IF(ISNA(MATCH(Q4101,ctaNombre,0)),"⚠ Cuenta no registrada",IF(AND(OR(P4101="Gasto",P4101="Reembolso"),D4101=""),"⚠ Falta categoría",IF(AND(D4101&lt;&gt;"",E4101&lt;&gt;"",ISNA(MATCH(D4101&amp;"|"&amp;E4101,catClave,0))),"⚠ Subcategoría no corresponde",IF(AND(OR(P4101="Transferencia",P4101="Pago tarjeta"),K4101=""),"⚠ Falta cuenta destino",IF(AND(K4101&lt;&gt;"",P4101&lt;&gt;"Transferencia",P4101&lt;&gt;"Pago tarjeta"),"⚠ Destino solo aplica a transferencias",IF(AND(K4101&lt;&gt;"",K4101=Q4101),"⚠ Origen igual a destino",IF(AND(K4101&lt;&gt;"",ISNA(MATCH(K4101,ctaNombre,0))),"⚠ Destino no registrado",IF(AND(P4101="Pago tarjeta",AE4101&lt;&gt;"Tarjeta de crédito"),"⚠ El destino debe ser tarjeta de crédito",IF(AND(P4101="Gasto",E4101="Depósitos y retiros"),"⚠ Usa tipo Transferencia",IF(AND(P4101="Resultado trading",AD4101&lt;&gt;"Cuenta de trading"),"⚠ Usa una cuenta de trading",IF(AND(G4101&lt;=0,P4101&lt;&gt;"Ajuste",P4101&lt;&gt;"Resultado trading"),"⚠ El monto debe ser positivo","✓")))))))))))))))</f>
        <v/>
      </c>
      <c r="P4101" s="52">
        <f>IF(OR(B4101="",G4101=""),"",IF(C4101="","Gasto",C4101))</f>
        <v/>
      </c>
      <c r="Q4101" s="52">
        <f>IF(P4101="","",IF(J4101&lt;&gt;"",J4101,CuentaPred&amp;""))</f>
        <v/>
      </c>
      <c r="R4101" s="52">
        <f>IF(P4101="","",IF(ISNUMBER(I4101),I4101,TasaUSD))</f>
        <v/>
      </c>
      <c r="S4101" s="53">
        <f>IF(P4101="","",IF(H4101="USD",G4101*R4101,G4101))</f>
        <v/>
      </c>
      <c r="T4101" s="53">
        <f>IF(P4101="","",IF(H4101="USD",G4101,IF(R4101&gt;0,G4101/R4101,0)))</f>
        <v/>
      </c>
      <c r="U4101" s="53">
        <f>IF(P4101="","",IF(P4101="Gasto",S4101,IF(P4101="Reembolso",-S4101,0)))</f>
        <v/>
      </c>
      <c r="V4101" s="53">
        <f>IF(P4101="","",IF(P4101="Ingreso",S4101,0))</f>
        <v/>
      </c>
      <c r="W4101" s="53">
        <f>IF(P4101="","",IF(P4101="Resultado trading",S4101,0))</f>
        <v/>
      </c>
      <c r="X4101" s="52">
        <f>IF(OR(P4101="Gasto",P4101="Reembolso"),IF(M4101&lt;&gt;"",M4101,IFERROR(INDEX(catClasif,MATCH(D4101&amp;"|"&amp;E4101,catClave,0))&amp;"","Variable")),"")</f>
        <v/>
      </c>
      <c r="Y4101" s="52">
        <f>IF(P4101="","",IFERROR(INDEX(catGrupo,MATCH(D4101&amp;"|"&amp;E4101,catClave,0))&amp;"",""))</f>
        <v/>
      </c>
      <c r="Z4101" s="52">
        <f>IF(P4101="","",WEEKDAY(B4101,2))</f>
        <v/>
      </c>
      <c r="AA4101" s="52">
        <f>IF(P4101="","",IF(AND(P4101="Gasto",X4101="Variable",D4101&lt;&gt;catTrading,S4101&gt;0,S4101&lt;=Umbral),1,0))</f>
        <v/>
      </c>
      <c r="AB4101" s="52">
        <f>IF(OR(P4101="",Q4101=""),"",IFERROR(IF(INDEX(ctaVinc,MATCH(Q4101,ctaNombre,0))&amp;""&lt;&gt;"",INDEX(ctaVinc,MATCH(Q4101,ctaNombre,0))&amp;"",Q4101),Q4101))</f>
        <v/>
      </c>
      <c r="AC4101" s="52">
        <f>IF(OR(K4101="",AND(P4101&lt;&gt;"Transferencia",P4101&lt;&gt;"Pago tarjeta")),"",IFERROR(IF(INDEX(ctaVinc,MATCH(K4101,ctaNombre,0))&amp;""&lt;&gt;"",INDEX(ctaVinc,MATCH(K4101,ctaNombre,0))&amp;"",K4101),K4101))</f>
        <v/>
      </c>
      <c r="AD4101" s="52">
        <f>IF(AB4101="","",IFERROR(INDEX(ctaTipo,MATCH(AB4101,ctaNombre,0))&amp;"",""))</f>
        <v/>
      </c>
      <c r="AE4101" s="52">
        <f>IF(AC4101="","",IFERROR(INDEX(ctaTipo,MATCH(AC4101,ctaNombre,0))&amp;"",""))</f>
        <v/>
      </c>
      <c r="AF4101" s="53">
        <f>IF(OR(P4101="",AB4101=""),"",IF(OR(P4101="Gasto",P4101="Transferencia",P4101="Pago tarjeta"),-1,1)*IF(IFERROR(INDEX(ctaMoneda,MATCH(AB4101,ctaNombre,0))&amp;"","DOP")="USD",T4101,S4101))</f>
        <v/>
      </c>
      <c r="AG4101" s="53">
        <f>IF(AC4101="","",IF(IFERROR(INDEX(ctaMoneda,MATCH(AC4101,ctaNombre,0))&amp;"","DOP")="USD",T4101,S4101))</f>
        <v/>
      </c>
      <c r="AH4101" s="53">
        <f>IF(P4101="","",IF(AND(AD4101&lt;&gt;"",COUNTIFS(tcTipo,AD4101,tcLiq,"Sí")&gt;0),IF(OR(P4101="Gasto",P4101="Transferencia",P4101="Pago tarjeta"),-1,1)*S4101,0)+IF(AND(AE4101&lt;&gt;"",COUNTIFS(tcTipo,AE4101,tcLiq,"Sí")&gt;0),S4101,0))</f>
        <v/>
      </c>
      <c r="AI4101" s="52">
        <f>IF(OR(L4101="",P4101=""),"",IF(COUNTIFS(L$6:L4101,L4101,P$6:P4101,"?*")=1,MAX(AI$5:AI4100)+1,""))</f>
        <v/>
      </c>
    </row>
    <row r="4102">
      <c r="B4102" s="47" t="n"/>
      <c r="C4102" s="48" t="n"/>
      <c r="D4102" s="48" t="n"/>
      <c r="E4102" s="48" t="n"/>
      <c r="F4102" s="48" t="n"/>
      <c r="G4102" s="49" t="n"/>
      <c r="H4102" s="48" t="n"/>
      <c r="I4102" s="50" t="n"/>
      <c r="J4102" s="48" t="n"/>
      <c r="K4102" s="48" t="n"/>
      <c r="L4102" s="48" t="n"/>
      <c r="M4102" s="48" t="n"/>
      <c r="N4102" s="48" t="n"/>
      <c r="O4102" s="51">
        <f>IF(AND(B4102="",G4102="",C4102="",D4102="",J4102=""),"",IF(B4102="","⚠ Falta fecha",IF(G4102="","⚠ Falta monto",IF(Q4102="","⚠ Falta cuenta",IF(ISNA(MATCH(Q4102,ctaNombre,0)),"⚠ Cuenta no registrada",IF(AND(OR(P4102="Gasto",P4102="Reembolso"),D4102=""),"⚠ Falta categoría",IF(AND(D4102&lt;&gt;"",E4102&lt;&gt;"",ISNA(MATCH(D4102&amp;"|"&amp;E4102,catClave,0))),"⚠ Subcategoría no corresponde",IF(AND(OR(P4102="Transferencia",P4102="Pago tarjeta"),K4102=""),"⚠ Falta cuenta destino",IF(AND(K4102&lt;&gt;"",P4102&lt;&gt;"Transferencia",P4102&lt;&gt;"Pago tarjeta"),"⚠ Destino solo aplica a transferencias",IF(AND(K4102&lt;&gt;"",K4102=Q4102),"⚠ Origen igual a destino",IF(AND(K4102&lt;&gt;"",ISNA(MATCH(K4102,ctaNombre,0))),"⚠ Destino no registrado",IF(AND(P4102="Pago tarjeta",AE4102&lt;&gt;"Tarjeta de crédito"),"⚠ El destino debe ser tarjeta de crédito",IF(AND(P4102="Gasto",E4102="Depósitos y retiros"),"⚠ Usa tipo Transferencia",IF(AND(P4102="Resultado trading",AD4102&lt;&gt;"Cuenta de trading"),"⚠ Usa una cuenta de trading",IF(AND(G4102&lt;=0,P4102&lt;&gt;"Ajuste",P4102&lt;&gt;"Resultado trading"),"⚠ El monto debe ser positivo","✓")))))))))))))))</f>
        <v/>
      </c>
      <c r="P4102" s="52">
        <f>IF(OR(B4102="",G4102=""),"",IF(C4102="","Gasto",C4102))</f>
        <v/>
      </c>
      <c r="Q4102" s="52">
        <f>IF(P4102="","",IF(J4102&lt;&gt;"",J4102,CuentaPred&amp;""))</f>
        <v/>
      </c>
      <c r="R4102" s="52">
        <f>IF(P4102="","",IF(ISNUMBER(I4102),I4102,TasaUSD))</f>
        <v/>
      </c>
      <c r="S4102" s="53">
        <f>IF(P4102="","",IF(H4102="USD",G4102*R4102,G4102))</f>
        <v/>
      </c>
      <c r="T4102" s="53">
        <f>IF(P4102="","",IF(H4102="USD",G4102,IF(R4102&gt;0,G4102/R4102,0)))</f>
        <v/>
      </c>
      <c r="U4102" s="53">
        <f>IF(P4102="","",IF(P4102="Gasto",S4102,IF(P4102="Reembolso",-S4102,0)))</f>
        <v/>
      </c>
      <c r="V4102" s="53">
        <f>IF(P4102="","",IF(P4102="Ingreso",S4102,0))</f>
        <v/>
      </c>
      <c r="W4102" s="53">
        <f>IF(P4102="","",IF(P4102="Resultado trading",S4102,0))</f>
        <v/>
      </c>
      <c r="X4102" s="52">
        <f>IF(OR(P4102="Gasto",P4102="Reembolso"),IF(M4102&lt;&gt;"",M4102,IFERROR(INDEX(catClasif,MATCH(D4102&amp;"|"&amp;E4102,catClave,0))&amp;"","Variable")),"")</f>
        <v/>
      </c>
      <c r="Y4102" s="52">
        <f>IF(P4102="","",IFERROR(INDEX(catGrupo,MATCH(D4102&amp;"|"&amp;E4102,catClave,0))&amp;"",""))</f>
        <v/>
      </c>
      <c r="Z4102" s="52">
        <f>IF(P4102="","",WEEKDAY(B4102,2))</f>
        <v/>
      </c>
      <c r="AA4102" s="52">
        <f>IF(P4102="","",IF(AND(P4102="Gasto",X4102="Variable",D4102&lt;&gt;catTrading,S4102&gt;0,S4102&lt;=Umbral),1,0))</f>
        <v/>
      </c>
      <c r="AB4102" s="52">
        <f>IF(OR(P4102="",Q4102=""),"",IFERROR(IF(INDEX(ctaVinc,MATCH(Q4102,ctaNombre,0))&amp;""&lt;&gt;"",INDEX(ctaVinc,MATCH(Q4102,ctaNombre,0))&amp;"",Q4102),Q4102))</f>
        <v/>
      </c>
      <c r="AC4102" s="52">
        <f>IF(OR(K4102="",AND(P4102&lt;&gt;"Transferencia",P4102&lt;&gt;"Pago tarjeta")),"",IFERROR(IF(INDEX(ctaVinc,MATCH(K4102,ctaNombre,0))&amp;""&lt;&gt;"",INDEX(ctaVinc,MATCH(K4102,ctaNombre,0))&amp;"",K4102),K4102))</f>
        <v/>
      </c>
      <c r="AD4102" s="52">
        <f>IF(AB4102="","",IFERROR(INDEX(ctaTipo,MATCH(AB4102,ctaNombre,0))&amp;"",""))</f>
        <v/>
      </c>
      <c r="AE4102" s="52">
        <f>IF(AC4102="","",IFERROR(INDEX(ctaTipo,MATCH(AC4102,ctaNombre,0))&amp;"",""))</f>
        <v/>
      </c>
      <c r="AF4102" s="53">
        <f>IF(OR(P4102="",AB4102=""),"",IF(OR(P4102="Gasto",P4102="Transferencia",P4102="Pago tarjeta"),-1,1)*IF(IFERROR(INDEX(ctaMoneda,MATCH(AB4102,ctaNombre,0))&amp;"","DOP")="USD",T4102,S4102))</f>
        <v/>
      </c>
      <c r="AG4102" s="53">
        <f>IF(AC4102="","",IF(IFERROR(INDEX(ctaMoneda,MATCH(AC4102,ctaNombre,0))&amp;"","DOP")="USD",T4102,S4102))</f>
        <v/>
      </c>
      <c r="AH4102" s="53">
        <f>IF(P4102="","",IF(AND(AD4102&lt;&gt;"",COUNTIFS(tcTipo,AD4102,tcLiq,"Sí")&gt;0),IF(OR(P4102="Gasto",P4102="Transferencia",P4102="Pago tarjeta"),-1,1)*S4102,0)+IF(AND(AE4102&lt;&gt;"",COUNTIFS(tcTipo,AE4102,tcLiq,"Sí")&gt;0),S4102,0))</f>
        <v/>
      </c>
      <c r="AI4102" s="52">
        <f>IF(OR(L4102="",P4102=""),"",IF(COUNTIFS(L$6:L4102,L4102,P$6:P4102,"?*")=1,MAX(AI$5:AI4101)+1,""))</f>
        <v/>
      </c>
    </row>
    <row r="4103">
      <c r="B4103" s="47" t="n"/>
      <c r="C4103" s="48" t="n"/>
      <c r="D4103" s="48" t="n"/>
      <c r="E4103" s="48" t="n"/>
      <c r="F4103" s="48" t="n"/>
      <c r="G4103" s="49" t="n"/>
      <c r="H4103" s="48" t="n"/>
      <c r="I4103" s="50" t="n"/>
      <c r="J4103" s="48" t="n"/>
      <c r="K4103" s="48" t="n"/>
      <c r="L4103" s="48" t="n"/>
      <c r="M4103" s="48" t="n"/>
      <c r="N4103" s="48" t="n"/>
      <c r="O4103" s="51">
        <f>IF(AND(B4103="",G4103="",C4103="",D4103="",J4103=""),"",IF(B4103="","⚠ Falta fecha",IF(G4103="","⚠ Falta monto",IF(Q4103="","⚠ Falta cuenta",IF(ISNA(MATCH(Q4103,ctaNombre,0)),"⚠ Cuenta no registrada",IF(AND(OR(P4103="Gasto",P4103="Reembolso"),D4103=""),"⚠ Falta categoría",IF(AND(D4103&lt;&gt;"",E4103&lt;&gt;"",ISNA(MATCH(D4103&amp;"|"&amp;E4103,catClave,0))),"⚠ Subcategoría no corresponde",IF(AND(OR(P4103="Transferencia",P4103="Pago tarjeta"),K4103=""),"⚠ Falta cuenta destino",IF(AND(K4103&lt;&gt;"",P4103&lt;&gt;"Transferencia",P4103&lt;&gt;"Pago tarjeta"),"⚠ Destino solo aplica a transferencias",IF(AND(K4103&lt;&gt;"",K4103=Q4103),"⚠ Origen igual a destino",IF(AND(K4103&lt;&gt;"",ISNA(MATCH(K4103,ctaNombre,0))),"⚠ Destino no registrado",IF(AND(P4103="Pago tarjeta",AE4103&lt;&gt;"Tarjeta de crédito"),"⚠ El destino debe ser tarjeta de crédito",IF(AND(P4103="Gasto",E4103="Depósitos y retiros"),"⚠ Usa tipo Transferencia",IF(AND(P4103="Resultado trading",AD4103&lt;&gt;"Cuenta de trading"),"⚠ Usa una cuenta de trading",IF(AND(G4103&lt;=0,P4103&lt;&gt;"Ajuste",P4103&lt;&gt;"Resultado trading"),"⚠ El monto debe ser positivo","✓")))))))))))))))</f>
        <v/>
      </c>
      <c r="P4103" s="52">
        <f>IF(OR(B4103="",G4103=""),"",IF(C4103="","Gasto",C4103))</f>
        <v/>
      </c>
      <c r="Q4103" s="52">
        <f>IF(P4103="","",IF(J4103&lt;&gt;"",J4103,CuentaPred&amp;""))</f>
        <v/>
      </c>
      <c r="R4103" s="52">
        <f>IF(P4103="","",IF(ISNUMBER(I4103),I4103,TasaUSD))</f>
        <v/>
      </c>
      <c r="S4103" s="53">
        <f>IF(P4103="","",IF(H4103="USD",G4103*R4103,G4103))</f>
        <v/>
      </c>
      <c r="T4103" s="53">
        <f>IF(P4103="","",IF(H4103="USD",G4103,IF(R4103&gt;0,G4103/R4103,0)))</f>
        <v/>
      </c>
      <c r="U4103" s="53">
        <f>IF(P4103="","",IF(P4103="Gasto",S4103,IF(P4103="Reembolso",-S4103,0)))</f>
        <v/>
      </c>
      <c r="V4103" s="53">
        <f>IF(P4103="","",IF(P4103="Ingreso",S4103,0))</f>
        <v/>
      </c>
      <c r="W4103" s="53">
        <f>IF(P4103="","",IF(P4103="Resultado trading",S4103,0))</f>
        <v/>
      </c>
      <c r="X4103" s="52">
        <f>IF(OR(P4103="Gasto",P4103="Reembolso"),IF(M4103&lt;&gt;"",M4103,IFERROR(INDEX(catClasif,MATCH(D4103&amp;"|"&amp;E4103,catClave,0))&amp;"","Variable")),"")</f>
        <v/>
      </c>
      <c r="Y4103" s="52">
        <f>IF(P4103="","",IFERROR(INDEX(catGrupo,MATCH(D4103&amp;"|"&amp;E4103,catClave,0))&amp;"",""))</f>
        <v/>
      </c>
      <c r="Z4103" s="52">
        <f>IF(P4103="","",WEEKDAY(B4103,2))</f>
        <v/>
      </c>
      <c r="AA4103" s="52">
        <f>IF(P4103="","",IF(AND(P4103="Gasto",X4103="Variable",D4103&lt;&gt;catTrading,S4103&gt;0,S4103&lt;=Umbral),1,0))</f>
        <v/>
      </c>
      <c r="AB4103" s="52">
        <f>IF(OR(P4103="",Q4103=""),"",IFERROR(IF(INDEX(ctaVinc,MATCH(Q4103,ctaNombre,0))&amp;""&lt;&gt;"",INDEX(ctaVinc,MATCH(Q4103,ctaNombre,0))&amp;"",Q4103),Q4103))</f>
        <v/>
      </c>
      <c r="AC4103" s="52">
        <f>IF(OR(K4103="",AND(P4103&lt;&gt;"Transferencia",P4103&lt;&gt;"Pago tarjeta")),"",IFERROR(IF(INDEX(ctaVinc,MATCH(K4103,ctaNombre,0))&amp;""&lt;&gt;"",INDEX(ctaVinc,MATCH(K4103,ctaNombre,0))&amp;"",K4103),K4103))</f>
        <v/>
      </c>
      <c r="AD4103" s="52">
        <f>IF(AB4103="","",IFERROR(INDEX(ctaTipo,MATCH(AB4103,ctaNombre,0))&amp;"",""))</f>
        <v/>
      </c>
      <c r="AE4103" s="52">
        <f>IF(AC4103="","",IFERROR(INDEX(ctaTipo,MATCH(AC4103,ctaNombre,0))&amp;"",""))</f>
        <v/>
      </c>
      <c r="AF4103" s="53">
        <f>IF(OR(P4103="",AB4103=""),"",IF(OR(P4103="Gasto",P4103="Transferencia",P4103="Pago tarjeta"),-1,1)*IF(IFERROR(INDEX(ctaMoneda,MATCH(AB4103,ctaNombre,0))&amp;"","DOP")="USD",T4103,S4103))</f>
        <v/>
      </c>
      <c r="AG4103" s="53">
        <f>IF(AC4103="","",IF(IFERROR(INDEX(ctaMoneda,MATCH(AC4103,ctaNombre,0))&amp;"","DOP")="USD",T4103,S4103))</f>
        <v/>
      </c>
      <c r="AH4103" s="53">
        <f>IF(P4103="","",IF(AND(AD4103&lt;&gt;"",COUNTIFS(tcTipo,AD4103,tcLiq,"Sí")&gt;0),IF(OR(P4103="Gasto",P4103="Transferencia",P4103="Pago tarjeta"),-1,1)*S4103,0)+IF(AND(AE4103&lt;&gt;"",COUNTIFS(tcTipo,AE4103,tcLiq,"Sí")&gt;0),S4103,0))</f>
        <v/>
      </c>
      <c r="AI4103" s="52">
        <f>IF(OR(L4103="",P4103=""),"",IF(COUNTIFS(L$6:L4103,L4103,P$6:P4103,"?*")=1,MAX(AI$5:AI4102)+1,""))</f>
        <v/>
      </c>
    </row>
    <row r="4104">
      <c r="B4104" s="47" t="n"/>
      <c r="C4104" s="48" t="n"/>
      <c r="D4104" s="48" t="n"/>
      <c r="E4104" s="48" t="n"/>
      <c r="F4104" s="48" t="n"/>
      <c r="G4104" s="49" t="n"/>
      <c r="H4104" s="48" t="n"/>
      <c r="I4104" s="50" t="n"/>
      <c r="J4104" s="48" t="n"/>
      <c r="K4104" s="48" t="n"/>
      <c r="L4104" s="48" t="n"/>
      <c r="M4104" s="48" t="n"/>
      <c r="N4104" s="48" t="n"/>
      <c r="O4104" s="51">
        <f>IF(AND(B4104="",G4104="",C4104="",D4104="",J4104=""),"",IF(B4104="","⚠ Falta fecha",IF(G4104="","⚠ Falta monto",IF(Q4104="","⚠ Falta cuenta",IF(ISNA(MATCH(Q4104,ctaNombre,0)),"⚠ Cuenta no registrada",IF(AND(OR(P4104="Gasto",P4104="Reembolso"),D4104=""),"⚠ Falta categoría",IF(AND(D4104&lt;&gt;"",E4104&lt;&gt;"",ISNA(MATCH(D4104&amp;"|"&amp;E4104,catClave,0))),"⚠ Subcategoría no corresponde",IF(AND(OR(P4104="Transferencia",P4104="Pago tarjeta"),K4104=""),"⚠ Falta cuenta destino",IF(AND(K4104&lt;&gt;"",P4104&lt;&gt;"Transferencia",P4104&lt;&gt;"Pago tarjeta"),"⚠ Destino solo aplica a transferencias",IF(AND(K4104&lt;&gt;"",K4104=Q4104),"⚠ Origen igual a destino",IF(AND(K4104&lt;&gt;"",ISNA(MATCH(K4104,ctaNombre,0))),"⚠ Destino no registrado",IF(AND(P4104="Pago tarjeta",AE4104&lt;&gt;"Tarjeta de crédito"),"⚠ El destino debe ser tarjeta de crédito",IF(AND(P4104="Gasto",E4104="Depósitos y retiros"),"⚠ Usa tipo Transferencia",IF(AND(P4104="Resultado trading",AD4104&lt;&gt;"Cuenta de trading"),"⚠ Usa una cuenta de trading",IF(AND(G4104&lt;=0,P4104&lt;&gt;"Ajuste",P4104&lt;&gt;"Resultado trading"),"⚠ El monto debe ser positivo","✓")))))))))))))))</f>
        <v/>
      </c>
      <c r="P4104" s="52">
        <f>IF(OR(B4104="",G4104=""),"",IF(C4104="","Gasto",C4104))</f>
        <v/>
      </c>
      <c r="Q4104" s="52">
        <f>IF(P4104="","",IF(J4104&lt;&gt;"",J4104,CuentaPred&amp;""))</f>
        <v/>
      </c>
      <c r="R4104" s="52">
        <f>IF(P4104="","",IF(ISNUMBER(I4104),I4104,TasaUSD))</f>
        <v/>
      </c>
      <c r="S4104" s="53">
        <f>IF(P4104="","",IF(H4104="USD",G4104*R4104,G4104))</f>
        <v/>
      </c>
      <c r="T4104" s="53">
        <f>IF(P4104="","",IF(H4104="USD",G4104,IF(R4104&gt;0,G4104/R4104,0)))</f>
        <v/>
      </c>
      <c r="U4104" s="53">
        <f>IF(P4104="","",IF(P4104="Gasto",S4104,IF(P4104="Reembolso",-S4104,0)))</f>
        <v/>
      </c>
      <c r="V4104" s="53">
        <f>IF(P4104="","",IF(P4104="Ingreso",S4104,0))</f>
        <v/>
      </c>
      <c r="W4104" s="53">
        <f>IF(P4104="","",IF(P4104="Resultado trading",S4104,0))</f>
        <v/>
      </c>
      <c r="X4104" s="52">
        <f>IF(OR(P4104="Gasto",P4104="Reembolso"),IF(M4104&lt;&gt;"",M4104,IFERROR(INDEX(catClasif,MATCH(D4104&amp;"|"&amp;E4104,catClave,0))&amp;"","Variable")),"")</f>
        <v/>
      </c>
      <c r="Y4104" s="52">
        <f>IF(P4104="","",IFERROR(INDEX(catGrupo,MATCH(D4104&amp;"|"&amp;E4104,catClave,0))&amp;"",""))</f>
        <v/>
      </c>
      <c r="Z4104" s="52">
        <f>IF(P4104="","",WEEKDAY(B4104,2))</f>
        <v/>
      </c>
      <c r="AA4104" s="52">
        <f>IF(P4104="","",IF(AND(P4104="Gasto",X4104="Variable",D4104&lt;&gt;catTrading,S4104&gt;0,S4104&lt;=Umbral),1,0))</f>
        <v/>
      </c>
      <c r="AB4104" s="52">
        <f>IF(OR(P4104="",Q4104=""),"",IFERROR(IF(INDEX(ctaVinc,MATCH(Q4104,ctaNombre,0))&amp;""&lt;&gt;"",INDEX(ctaVinc,MATCH(Q4104,ctaNombre,0))&amp;"",Q4104),Q4104))</f>
        <v/>
      </c>
      <c r="AC4104" s="52">
        <f>IF(OR(K4104="",AND(P4104&lt;&gt;"Transferencia",P4104&lt;&gt;"Pago tarjeta")),"",IFERROR(IF(INDEX(ctaVinc,MATCH(K4104,ctaNombre,0))&amp;""&lt;&gt;"",INDEX(ctaVinc,MATCH(K4104,ctaNombre,0))&amp;"",K4104),K4104))</f>
        <v/>
      </c>
      <c r="AD4104" s="52">
        <f>IF(AB4104="","",IFERROR(INDEX(ctaTipo,MATCH(AB4104,ctaNombre,0))&amp;"",""))</f>
        <v/>
      </c>
      <c r="AE4104" s="52">
        <f>IF(AC4104="","",IFERROR(INDEX(ctaTipo,MATCH(AC4104,ctaNombre,0))&amp;"",""))</f>
        <v/>
      </c>
      <c r="AF4104" s="53">
        <f>IF(OR(P4104="",AB4104=""),"",IF(OR(P4104="Gasto",P4104="Transferencia",P4104="Pago tarjeta"),-1,1)*IF(IFERROR(INDEX(ctaMoneda,MATCH(AB4104,ctaNombre,0))&amp;"","DOP")="USD",T4104,S4104))</f>
        <v/>
      </c>
      <c r="AG4104" s="53">
        <f>IF(AC4104="","",IF(IFERROR(INDEX(ctaMoneda,MATCH(AC4104,ctaNombre,0))&amp;"","DOP")="USD",T4104,S4104))</f>
        <v/>
      </c>
      <c r="AH4104" s="53">
        <f>IF(P4104="","",IF(AND(AD4104&lt;&gt;"",COUNTIFS(tcTipo,AD4104,tcLiq,"Sí")&gt;0),IF(OR(P4104="Gasto",P4104="Transferencia",P4104="Pago tarjeta"),-1,1)*S4104,0)+IF(AND(AE4104&lt;&gt;"",COUNTIFS(tcTipo,AE4104,tcLiq,"Sí")&gt;0),S4104,0))</f>
        <v/>
      </c>
      <c r="AI4104" s="52">
        <f>IF(OR(L4104="",P4104=""),"",IF(COUNTIFS(L$6:L4104,L4104,P$6:P4104,"?*")=1,MAX(AI$5:AI4103)+1,""))</f>
        <v/>
      </c>
    </row>
    <row r="4105">
      <c r="B4105" s="47" t="n"/>
      <c r="C4105" s="48" t="n"/>
      <c r="D4105" s="48" t="n"/>
      <c r="E4105" s="48" t="n"/>
      <c r="F4105" s="48" t="n"/>
      <c r="G4105" s="49" t="n"/>
      <c r="H4105" s="48" t="n"/>
      <c r="I4105" s="50" t="n"/>
      <c r="J4105" s="48" t="n"/>
      <c r="K4105" s="48" t="n"/>
      <c r="L4105" s="48" t="n"/>
      <c r="M4105" s="48" t="n"/>
      <c r="N4105" s="48" t="n"/>
      <c r="O4105" s="51">
        <f>IF(AND(B4105="",G4105="",C4105="",D4105="",J4105=""),"",IF(B4105="","⚠ Falta fecha",IF(G4105="","⚠ Falta monto",IF(Q4105="","⚠ Falta cuenta",IF(ISNA(MATCH(Q4105,ctaNombre,0)),"⚠ Cuenta no registrada",IF(AND(OR(P4105="Gasto",P4105="Reembolso"),D4105=""),"⚠ Falta categoría",IF(AND(D4105&lt;&gt;"",E4105&lt;&gt;"",ISNA(MATCH(D4105&amp;"|"&amp;E4105,catClave,0))),"⚠ Subcategoría no corresponde",IF(AND(OR(P4105="Transferencia",P4105="Pago tarjeta"),K4105=""),"⚠ Falta cuenta destino",IF(AND(K4105&lt;&gt;"",P4105&lt;&gt;"Transferencia",P4105&lt;&gt;"Pago tarjeta"),"⚠ Destino solo aplica a transferencias",IF(AND(K4105&lt;&gt;"",K4105=Q4105),"⚠ Origen igual a destino",IF(AND(K4105&lt;&gt;"",ISNA(MATCH(K4105,ctaNombre,0))),"⚠ Destino no registrado",IF(AND(P4105="Pago tarjeta",AE4105&lt;&gt;"Tarjeta de crédito"),"⚠ El destino debe ser tarjeta de crédito",IF(AND(P4105="Gasto",E4105="Depósitos y retiros"),"⚠ Usa tipo Transferencia",IF(AND(P4105="Resultado trading",AD4105&lt;&gt;"Cuenta de trading"),"⚠ Usa una cuenta de trading",IF(AND(G4105&lt;=0,P4105&lt;&gt;"Ajuste",P4105&lt;&gt;"Resultado trading"),"⚠ El monto debe ser positivo","✓")))))))))))))))</f>
        <v/>
      </c>
      <c r="P4105" s="52">
        <f>IF(OR(B4105="",G4105=""),"",IF(C4105="","Gasto",C4105))</f>
        <v/>
      </c>
      <c r="Q4105" s="52">
        <f>IF(P4105="","",IF(J4105&lt;&gt;"",J4105,CuentaPred&amp;""))</f>
        <v/>
      </c>
      <c r="R4105" s="52">
        <f>IF(P4105="","",IF(ISNUMBER(I4105),I4105,TasaUSD))</f>
        <v/>
      </c>
      <c r="S4105" s="53">
        <f>IF(P4105="","",IF(H4105="USD",G4105*R4105,G4105))</f>
        <v/>
      </c>
      <c r="T4105" s="53">
        <f>IF(P4105="","",IF(H4105="USD",G4105,IF(R4105&gt;0,G4105/R4105,0)))</f>
        <v/>
      </c>
      <c r="U4105" s="53">
        <f>IF(P4105="","",IF(P4105="Gasto",S4105,IF(P4105="Reembolso",-S4105,0)))</f>
        <v/>
      </c>
      <c r="V4105" s="53">
        <f>IF(P4105="","",IF(P4105="Ingreso",S4105,0))</f>
        <v/>
      </c>
      <c r="W4105" s="53">
        <f>IF(P4105="","",IF(P4105="Resultado trading",S4105,0))</f>
        <v/>
      </c>
      <c r="X4105" s="52">
        <f>IF(OR(P4105="Gasto",P4105="Reembolso"),IF(M4105&lt;&gt;"",M4105,IFERROR(INDEX(catClasif,MATCH(D4105&amp;"|"&amp;E4105,catClave,0))&amp;"","Variable")),"")</f>
        <v/>
      </c>
      <c r="Y4105" s="52">
        <f>IF(P4105="","",IFERROR(INDEX(catGrupo,MATCH(D4105&amp;"|"&amp;E4105,catClave,0))&amp;"",""))</f>
        <v/>
      </c>
      <c r="Z4105" s="52">
        <f>IF(P4105="","",WEEKDAY(B4105,2))</f>
        <v/>
      </c>
      <c r="AA4105" s="52">
        <f>IF(P4105="","",IF(AND(P4105="Gasto",X4105="Variable",D4105&lt;&gt;catTrading,S4105&gt;0,S4105&lt;=Umbral),1,0))</f>
        <v/>
      </c>
      <c r="AB4105" s="52">
        <f>IF(OR(P4105="",Q4105=""),"",IFERROR(IF(INDEX(ctaVinc,MATCH(Q4105,ctaNombre,0))&amp;""&lt;&gt;"",INDEX(ctaVinc,MATCH(Q4105,ctaNombre,0))&amp;"",Q4105),Q4105))</f>
        <v/>
      </c>
      <c r="AC4105" s="52">
        <f>IF(OR(K4105="",AND(P4105&lt;&gt;"Transferencia",P4105&lt;&gt;"Pago tarjeta")),"",IFERROR(IF(INDEX(ctaVinc,MATCH(K4105,ctaNombre,0))&amp;""&lt;&gt;"",INDEX(ctaVinc,MATCH(K4105,ctaNombre,0))&amp;"",K4105),K4105))</f>
        <v/>
      </c>
      <c r="AD4105" s="52">
        <f>IF(AB4105="","",IFERROR(INDEX(ctaTipo,MATCH(AB4105,ctaNombre,0))&amp;"",""))</f>
        <v/>
      </c>
      <c r="AE4105" s="52">
        <f>IF(AC4105="","",IFERROR(INDEX(ctaTipo,MATCH(AC4105,ctaNombre,0))&amp;"",""))</f>
        <v/>
      </c>
      <c r="AF4105" s="53">
        <f>IF(OR(P4105="",AB4105=""),"",IF(OR(P4105="Gasto",P4105="Transferencia",P4105="Pago tarjeta"),-1,1)*IF(IFERROR(INDEX(ctaMoneda,MATCH(AB4105,ctaNombre,0))&amp;"","DOP")="USD",T4105,S4105))</f>
        <v/>
      </c>
      <c r="AG4105" s="53">
        <f>IF(AC4105="","",IF(IFERROR(INDEX(ctaMoneda,MATCH(AC4105,ctaNombre,0))&amp;"","DOP")="USD",T4105,S4105))</f>
        <v/>
      </c>
      <c r="AH4105" s="53">
        <f>IF(P4105="","",IF(AND(AD4105&lt;&gt;"",COUNTIFS(tcTipo,AD4105,tcLiq,"Sí")&gt;0),IF(OR(P4105="Gasto",P4105="Transferencia",P4105="Pago tarjeta"),-1,1)*S4105,0)+IF(AND(AE4105&lt;&gt;"",COUNTIFS(tcTipo,AE4105,tcLiq,"Sí")&gt;0),S4105,0))</f>
        <v/>
      </c>
      <c r="AI4105" s="52">
        <f>IF(OR(L4105="",P4105=""),"",IF(COUNTIFS(L$6:L4105,L4105,P$6:P4105,"?*")=1,MAX(AI$5:AI4104)+1,""))</f>
        <v/>
      </c>
    </row>
    <row r="4106">
      <c r="B4106" s="47" t="n"/>
      <c r="C4106" s="48" t="n"/>
      <c r="D4106" s="48" t="n"/>
      <c r="E4106" s="48" t="n"/>
      <c r="F4106" s="48" t="n"/>
      <c r="G4106" s="49" t="n"/>
      <c r="H4106" s="48" t="n"/>
      <c r="I4106" s="50" t="n"/>
      <c r="J4106" s="48" t="n"/>
      <c r="K4106" s="48" t="n"/>
      <c r="L4106" s="48" t="n"/>
      <c r="M4106" s="48" t="n"/>
      <c r="N4106" s="48" t="n"/>
      <c r="O4106" s="51">
        <f>IF(AND(B4106="",G4106="",C4106="",D4106="",J4106=""),"",IF(B4106="","⚠ Falta fecha",IF(G4106="","⚠ Falta monto",IF(Q4106="","⚠ Falta cuenta",IF(ISNA(MATCH(Q4106,ctaNombre,0)),"⚠ Cuenta no registrada",IF(AND(OR(P4106="Gasto",P4106="Reembolso"),D4106=""),"⚠ Falta categoría",IF(AND(D4106&lt;&gt;"",E4106&lt;&gt;"",ISNA(MATCH(D4106&amp;"|"&amp;E4106,catClave,0))),"⚠ Subcategoría no corresponde",IF(AND(OR(P4106="Transferencia",P4106="Pago tarjeta"),K4106=""),"⚠ Falta cuenta destino",IF(AND(K4106&lt;&gt;"",P4106&lt;&gt;"Transferencia",P4106&lt;&gt;"Pago tarjeta"),"⚠ Destino solo aplica a transferencias",IF(AND(K4106&lt;&gt;"",K4106=Q4106),"⚠ Origen igual a destino",IF(AND(K4106&lt;&gt;"",ISNA(MATCH(K4106,ctaNombre,0))),"⚠ Destino no registrado",IF(AND(P4106="Pago tarjeta",AE4106&lt;&gt;"Tarjeta de crédito"),"⚠ El destino debe ser tarjeta de crédito",IF(AND(P4106="Gasto",E4106="Depósitos y retiros"),"⚠ Usa tipo Transferencia",IF(AND(P4106="Resultado trading",AD4106&lt;&gt;"Cuenta de trading"),"⚠ Usa una cuenta de trading",IF(AND(G4106&lt;=0,P4106&lt;&gt;"Ajuste",P4106&lt;&gt;"Resultado trading"),"⚠ El monto debe ser positivo","✓")))))))))))))))</f>
        <v/>
      </c>
      <c r="P4106" s="52">
        <f>IF(OR(B4106="",G4106=""),"",IF(C4106="","Gasto",C4106))</f>
        <v/>
      </c>
      <c r="Q4106" s="52">
        <f>IF(P4106="","",IF(J4106&lt;&gt;"",J4106,CuentaPred&amp;""))</f>
        <v/>
      </c>
      <c r="R4106" s="52">
        <f>IF(P4106="","",IF(ISNUMBER(I4106),I4106,TasaUSD))</f>
        <v/>
      </c>
      <c r="S4106" s="53">
        <f>IF(P4106="","",IF(H4106="USD",G4106*R4106,G4106))</f>
        <v/>
      </c>
      <c r="T4106" s="53">
        <f>IF(P4106="","",IF(H4106="USD",G4106,IF(R4106&gt;0,G4106/R4106,0)))</f>
        <v/>
      </c>
      <c r="U4106" s="53">
        <f>IF(P4106="","",IF(P4106="Gasto",S4106,IF(P4106="Reembolso",-S4106,0)))</f>
        <v/>
      </c>
      <c r="V4106" s="53">
        <f>IF(P4106="","",IF(P4106="Ingreso",S4106,0))</f>
        <v/>
      </c>
      <c r="W4106" s="53">
        <f>IF(P4106="","",IF(P4106="Resultado trading",S4106,0))</f>
        <v/>
      </c>
      <c r="X4106" s="52">
        <f>IF(OR(P4106="Gasto",P4106="Reembolso"),IF(M4106&lt;&gt;"",M4106,IFERROR(INDEX(catClasif,MATCH(D4106&amp;"|"&amp;E4106,catClave,0))&amp;"","Variable")),"")</f>
        <v/>
      </c>
      <c r="Y4106" s="52">
        <f>IF(P4106="","",IFERROR(INDEX(catGrupo,MATCH(D4106&amp;"|"&amp;E4106,catClave,0))&amp;"",""))</f>
        <v/>
      </c>
      <c r="Z4106" s="52">
        <f>IF(P4106="","",WEEKDAY(B4106,2))</f>
        <v/>
      </c>
      <c r="AA4106" s="52">
        <f>IF(P4106="","",IF(AND(P4106="Gasto",X4106="Variable",D4106&lt;&gt;catTrading,S4106&gt;0,S4106&lt;=Umbral),1,0))</f>
        <v/>
      </c>
      <c r="AB4106" s="52">
        <f>IF(OR(P4106="",Q4106=""),"",IFERROR(IF(INDEX(ctaVinc,MATCH(Q4106,ctaNombre,0))&amp;""&lt;&gt;"",INDEX(ctaVinc,MATCH(Q4106,ctaNombre,0))&amp;"",Q4106),Q4106))</f>
        <v/>
      </c>
      <c r="AC4106" s="52">
        <f>IF(OR(K4106="",AND(P4106&lt;&gt;"Transferencia",P4106&lt;&gt;"Pago tarjeta")),"",IFERROR(IF(INDEX(ctaVinc,MATCH(K4106,ctaNombre,0))&amp;""&lt;&gt;"",INDEX(ctaVinc,MATCH(K4106,ctaNombre,0))&amp;"",K4106),K4106))</f>
        <v/>
      </c>
      <c r="AD4106" s="52">
        <f>IF(AB4106="","",IFERROR(INDEX(ctaTipo,MATCH(AB4106,ctaNombre,0))&amp;"",""))</f>
        <v/>
      </c>
      <c r="AE4106" s="52">
        <f>IF(AC4106="","",IFERROR(INDEX(ctaTipo,MATCH(AC4106,ctaNombre,0))&amp;"",""))</f>
        <v/>
      </c>
      <c r="AF4106" s="53">
        <f>IF(OR(P4106="",AB4106=""),"",IF(OR(P4106="Gasto",P4106="Transferencia",P4106="Pago tarjeta"),-1,1)*IF(IFERROR(INDEX(ctaMoneda,MATCH(AB4106,ctaNombre,0))&amp;"","DOP")="USD",T4106,S4106))</f>
        <v/>
      </c>
      <c r="AG4106" s="53">
        <f>IF(AC4106="","",IF(IFERROR(INDEX(ctaMoneda,MATCH(AC4106,ctaNombre,0))&amp;"","DOP")="USD",T4106,S4106))</f>
        <v/>
      </c>
      <c r="AH4106" s="53">
        <f>IF(P4106="","",IF(AND(AD4106&lt;&gt;"",COUNTIFS(tcTipo,AD4106,tcLiq,"Sí")&gt;0),IF(OR(P4106="Gasto",P4106="Transferencia",P4106="Pago tarjeta"),-1,1)*S4106,0)+IF(AND(AE4106&lt;&gt;"",COUNTIFS(tcTipo,AE4106,tcLiq,"Sí")&gt;0),S4106,0))</f>
        <v/>
      </c>
      <c r="AI4106" s="52">
        <f>IF(OR(L4106="",P4106=""),"",IF(COUNTIFS(L$6:L4106,L4106,P$6:P4106,"?*")=1,MAX(AI$5:AI4105)+1,""))</f>
        <v/>
      </c>
    </row>
    <row r="4107">
      <c r="B4107" s="47" t="n"/>
      <c r="C4107" s="48" t="n"/>
      <c r="D4107" s="48" t="n"/>
      <c r="E4107" s="48" t="n"/>
      <c r="F4107" s="48" t="n"/>
      <c r="G4107" s="49" t="n"/>
      <c r="H4107" s="48" t="n"/>
      <c r="I4107" s="50" t="n"/>
      <c r="J4107" s="48" t="n"/>
      <c r="K4107" s="48" t="n"/>
      <c r="L4107" s="48" t="n"/>
      <c r="M4107" s="48" t="n"/>
      <c r="N4107" s="48" t="n"/>
      <c r="O4107" s="51">
        <f>IF(AND(B4107="",G4107="",C4107="",D4107="",J4107=""),"",IF(B4107="","⚠ Falta fecha",IF(G4107="","⚠ Falta monto",IF(Q4107="","⚠ Falta cuenta",IF(ISNA(MATCH(Q4107,ctaNombre,0)),"⚠ Cuenta no registrada",IF(AND(OR(P4107="Gasto",P4107="Reembolso"),D4107=""),"⚠ Falta categoría",IF(AND(D4107&lt;&gt;"",E4107&lt;&gt;"",ISNA(MATCH(D4107&amp;"|"&amp;E4107,catClave,0))),"⚠ Subcategoría no corresponde",IF(AND(OR(P4107="Transferencia",P4107="Pago tarjeta"),K4107=""),"⚠ Falta cuenta destino",IF(AND(K4107&lt;&gt;"",P4107&lt;&gt;"Transferencia",P4107&lt;&gt;"Pago tarjeta"),"⚠ Destino solo aplica a transferencias",IF(AND(K4107&lt;&gt;"",K4107=Q4107),"⚠ Origen igual a destino",IF(AND(K4107&lt;&gt;"",ISNA(MATCH(K4107,ctaNombre,0))),"⚠ Destino no registrado",IF(AND(P4107="Pago tarjeta",AE4107&lt;&gt;"Tarjeta de crédito"),"⚠ El destino debe ser tarjeta de crédito",IF(AND(P4107="Gasto",E4107="Depósitos y retiros"),"⚠ Usa tipo Transferencia",IF(AND(P4107="Resultado trading",AD4107&lt;&gt;"Cuenta de trading"),"⚠ Usa una cuenta de trading",IF(AND(G4107&lt;=0,P4107&lt;&gt;"Ajuste",P4107&lt;&gt;"Resultado trading"),"⚠ El monto debe ser positivo","✓")))))))))))))))</f>
        <v/>
      </c>
      <c r="P4107" s="52">
        <f>IF(OR(B4107="",G4107=""),"",IF(C4107="","Gasto",C4107))</f>
        <v/>
      </c>
      <c r="Q4107" s="52">
        <f>IF(P4107="","",IF(J4107&lt;&gt;"",J4107,CuentaPred&amp;""))</f>
        <v/>
      </c>
      <c r="R4107" s="52">
        <f>IF(P4107="","",IF(ISNUMBER(I4107),I4107,TasaUSD))</f>
        <v/>
      </c>
      <c r="S4107" s="53">
        <f>IF(P4107="","",IF(H4107="USD",G4107*R4107,G4107))</f>
        <v/>
      </c>
      <c r="T4107" s="53">
        <f>IF(P4107="","",IF(H4107="USD",G4107,IF(R4107&gt;0,G4107/R4107,0)))</f>
        <v/>
      </c>
      <c r="U4107" s="53">
        <f>IF(P4107="","",IF(P4107="Gasto",S4107,IF(P4107="Reembolso",-S4107,0)))</f>
        <v/>
      </c>
      <c r="V4107" s="53">
        <f>IF(P4107="","",IF(P4107="Ingreso",S4107,0))</f>
        <v/>
      </c>
      <c r="W4107" s="53">
        <f>IF(P4107="","",IF(P4107="Resultado trading",S4107,0))</f>
        <v/>
      </c>
      <c r="X4107" s="52">
        <f>IF(OR(P4107="Gasto",P4107="Reembolso"),IF(M4107&lt;&gt;"",M4107,IFERROR(INDEX(catClasif,MATCH(D4107&amp;"|"&amp;E4107,catClave,0))&amp;"","Variable")),"")</f>
        <v/>
      </c>
      <c r="Y4107" s="52">
        <f>IF(P4107="","",IFERROR(INDEX(catGrupo,MATCH(D4107&amp;"|"&amp;E4107,catClave,0))&amp;"",""))</f>
        <v/>
      </c>
      <c r="Z4107" s="52">
        <f>IF(P4107="","",WEEKDAY(B4107,2))</f>
        <v/>
      </c>
      <c r="AA4107" s="52">
        <f>IF(P4107="","",IF(AND(P4107="Gasto",X4107="Variable",D4107&lt;&gt;catTrading,S4107&gt;0,S4107&lt;=Umbral),1,0))</f>
        <v/>
      </c>
      <c r="AB4107" s="52">
        <f>IF(OR(P4107="",Q4107=""),"",IFERROR(IF(INDEX(ctaVinc,MATCH(Q4107,ctaNombre,0))&amp;""&lt;&gt;"",INDEX(ctaVinc,MATCH(Q4107,ctaNombre,0))&amp;"",Q4107),Q4107))</f>
        <v/>
      </c>
      <c r="AC4107" s="52">
        <f>IF(OR(K4107="",AND(P4107&lt;&gt;"Transferencia",P4107&lt;&gt;"Pago tarjeta")),"",IFERROR(IF(INDEX(ctaVinc,MATCH(K4107,ctaNombre,0))&amp;""&lt;&gt;"",INDEX(ctaVinc,MATCH(K4107,ctaNombre,0))&amp;"",K4107),K4107))</f>
        <v/>
      </c>
      <c r="AD4107" s="52">
        <f>IF(AB4107="","",IFERROR(INDEX(ctaTipo,MATCH(AB4107,ctaNombre,0))&amp;"",""))</f>
        <v/>
      </c>
      <c r="AE4107" s="52">
        <f>IF(AC4107="","",IFERROR(INDEX(ctaTipo,MATCH(AC4107,ctaNombre,0))&amp;"",""))</f>
        <v/>
      </c>
      <c r="AF4107" s="53">
        <f>IF(OR(P4107="",AB4107=""),"",IF(OR(P4107="Gasto",P4107="Transferencia",P4107="Pago tarjeta"),-1,1)*IF(IFERROR(INDEX(ctaMoneda,MATCH(AB4107,ctaNombre,0))&amp;"","DOP")="USD",T4107,S4107))</f>
        <v/>
      </c>
      <c r="AG4107" s="53">
        <f>IF(AC4107="","",IF(IFERROR(INDEX(ctaMoneda,MATCH(AC4107,ctaNombre,0))&amp;"","DOP")="USD",T4107,S4107))</f>
        <v/>
      </c>
      <c r="AH4107" s="53">
        <f>IF(P4107="","",IF(AND(AD4107&lt;&gt;"",COUNTIFS(tcTipo,AD4107,tcLiq,"Sí")&gt;0),IF(OR(P4107="Gasto",P4107="Transferencia",P4107="Pago tarjeta"),-1,1)*S4107,0)+IF(AND(AE4107&lt;&gt;"",COUNTIFS(tcTipo,AE4107,tcLiq,"Sí")&gt;0),S4107,0))</f>
        <v/>
      </c>
      <c r="AI4107" s="52">
        <f>IF(OR(L4107="",P4107=""),"",IF(COUNTIFS(L$6:L4107,L4107,P$6:P4107,"?*")=1,MAX(AI$5:AI4106)+1,""))</f>
        <v/>
      </c>
    </row>
    <row r="4108">
      <c r="B4108" s="47" t="n"/>
      <c r="C4108" s="48" t="n"/>
      <c r="D4108" s="48" t="n"/>
      <c r="E4108" s="48" t="n"/>
      <c r="F4108" s="48" t="n"/>
      <c r="G4108" s="49" t="n"/>
      <c r="H4108" s="48" t="n"/>
      <c r="I4108" s="50" t="n"/>
      <c r="J4108" s="48" t="n"/>
      <c r="K4108" s="48" t="n"/>
      <c r="L4108" s="48" t="n"/>
      <c r="M4108" s="48" t="n"/>
      <c r="N4108" s="48" t="n"/>
      <c r="O4108" s="51">
        <f>IF(AND(B4108="",G4108="",C4108="",D4108="",J4108=""),"",IF(B4108="","⚠ Falta fecha",IF(G4108="","⚠ Falta monto",IF(Q4108="","⚠ Falta cuenta",IF(ISNA(MATCH(Q4108,ctaNombre,0)),"⚠ Cuenta no registrada",IF(AND(OR(P4108="Gasto",P4108="Reembolso"),D4108=""),"⚠ Falta categoría",IF(AND(D4108&lt;&gt;"",E4108&lt;&gt;"",ISNA(MATCH(D4108&amp;"|"&amp;E4108,catClave,0))),"⚠ Subcategoría no corresponde",IF(AND(OR(P4108="Transferencia",P4108="Pago tarjeta"),K4108=""),"⚠ Falta cuenta destino",IF(AND(K4108&lt;&gt;"",P4108&lt;&gt;"Transferencia",P4108&lt;&gt;"Pago tarjeta"),"⚠ Destino solo aplica a transferencias",IF(AND(K4108&lt;&gt;"",K4108=Q4108),"⚠ Origen igual a destino",IF(AND(K4108&lt;&gt;"",ISNA(MATCH(K4108,ctaNombre,0))),"⚠ Destino no registrado",IF(AND(P4108="Pago tarjeta",AE4108&lt;&gt;"Tarjeta de crédito"),"⚠ El destino debe ser tarjeta de crédito",IF(AND(P4108="Gasto",E4108="Depósitos y retiros"),"⚠ Usa tipo Transferencia",IF(AND(P4108="Resultado trading",AD4108&lt;&gt;"Cuenta de trading"),"⚠ Usa una cuenta de trading",IF(AND(G4108&lt;=0,P4108&lt;&gt;"Ajuste",P4108&lt;&gt;"Resultado trading"),"⚠ El monto debe ser positivo","✓")))))))))))))))</f>
        <v/>
      </c>
      <c r="P4108" s="52">
        <f>IF(OR(B4108="",G4108=""),"",IF(C4108="","Gasto",C4108))</f>
        <v/>
      </c>
      <c r="Q4108" s="52">
        <f>IF(P4108="","",IF(J4108&lt;&gt;"",J4108,CuentaPred&amp;""))</f>
        <v/>
      </c>
      <c r="R4108" s="52">
        <f>IF(P4108="","",IF(ISNUMBER(I4108),I4108,TasaUSD))</f>
        <v/>
      </c>
      <c r="S4108" s="53">
        <f>IF(P4108="","",IF(H4108="USD",G4108*R4108,G4108))</f>
        <v/>
      </c>
      <c r="T4108" s="53">
        <f>IF(P4108="","",IF(H4108="USD",G4108,IF(R4108&gt;0,G4108/R4108,0)))</f>
        <v/>
      </c>
      <c r="U4108" s="53">
        <f>IF(P4108="","",IF(P4108="Gasto",S4108,IF(P4108="Reembolso",-S4108,0)))</f>
        <v/>
      </c>
      <c r="V4108" s="53">
        <f>IF(P4108="","",IF(P4108="Ingreso",S4108,0))</f>
        <v/>
      </c>
      <c r="W4108" s="53">
        <f>IF(P4108="","",IF(P4108="Resultado trading",S4108,0))</f>
        <v/>
      </c>
      <c r="X4108" s="52">
        <f>IF(OR(P4108="Gasto",P4108="Reembolso"),IF(M4108&lt;&gt;"",M4108,IFERROR(INDEX(catClasif,MATCH(D4108&amp;"|"&amp;E4108,catClave,0))&amp;"","Variable")),"")</f>
        <v/>
      </c>
      <c r="Y4108" s="52">
        <f>IF(P4108="","",IFERROR(INDEX(catGrupo,MATCH(D4108&amp;"|"&amp;E4108,catClave,0))&amp;"",""))</f>
        <v/>
      </c>
      <c r="Z4108" s="52">
        <f>IF(P4108="","",WEEKDAY(B4108,2))</f>
        <v/>
      </c>
      <c r="AA4108" s="52">
        <f>IF(P4108="","",IF(AND(P4108="Gasto",X4108="Variable",D4108&lt;&gt;catTrading,S4108&gt;0,S4108&lt;=Umbral),1,0))</f>
        <v/>
      </c>
      <c r="AB4108" s="52">
        <f>IF(OR(P4108="",Q4108=""),"",IFERROR(IF(INDEX(ctaVinc,MATCH(Q4108,ctaNombre,0))&amp;""&lt;&gt;"",INDEX(ctaVinc,MATCH(Q4108,ctaNombre,0))&amp;"",Q4108),Q4108))</f>
        <v/>
      </c>
      <c r="AC4108" s="52">
        <f>IF(OR(K4108="",AND(P4108&lt;&gt;"Transferencia",P4108&lt;&gt;"Pago tarjeta")),"",IFERROR(IF(INDEX(ctaVinc,MATCH(K4108,ctaNombre,0))&amp;""&lt;&gt;"",INDEX(ctaVinc,MATCH(K4108,ctaNombre,0))&amp;"",K4108),K4108))</f>
        <v/>
      </c>
      <c r="AD4108" s="52">
        <f>IF(AB4108="","",IFERROR(INDEX(ctaTipo,MATCH(AB4108,ctaNombre,0))&amp;"",""))</f>
        <v/>
      </c>
      <c r="AE4108" s="52">
        <f>IF(AC4108="","",IFERROR(INDEX(ctaTipo,MATCH(AC4108,ctaNombre,0))&amp;"",""))</f>
        <v/>
      </c>
      <c r="AF4108" s="53">
        <f>IF(OR(P4108="",AB4108=""),"",IF(OR(P4108="Gasto",P4108="Transferencia",P4108="Pago tarjeta"),-1,1)*IF(IFERROR(INDEX(ctaMoneda,MATCH(AB4108,ctaNombre,0))&amp;"","DOP")="USD",T4108,S4108))</f>
        <v/>
      </c>
      <c r="AG4108" s="53">
        <f>IF(AC4108="","",IF(IFERROR(INDEX(ctaMoneda,MATCH(AC4108,ctaNombre,0))&amp;"","DOP")="USD",T4108,S4108))</f>
        <v/>
      </c>
      <c r="AH4108" s="53">
        <f>IF(P4108="","",IF(AND(AD4108&lt;&gt;"",COUNTIFS(tcTipo,AD4108,tcLiq,"Sí")&gt;0),IF(OR(P4108="Gasto",P4108="Transferencia",P4108="Pago tarjeta"),-1,1)*S4108,0)+IF(AND(AE4108&lt;&gt;"",COUNTIFS(tcTipo,AE4108,tcLiq,"Sí")&gt;0),S4108,0))</f>
        <v/>
      </c>
      <c r="AI4108" s="52">
        <f>IF(OR(L4108="",P4108=""),"",IF(COUNTIFS(L$6:L4108,L4108,P$6:P4108,"?*")=1,MAX(AI$5:AI4107)+1,""))</f>
        <v/>
      </c>
    </row>
    <row r="4109">
      <c r="B4109" s="47" t="n"/>
      <c r="C4109" s="48" t="n"/>
      <c r="D4109" s="48" t="n"/>
      <c r="E4109" s="48" t="n"/>
      <c r="F4109" s="48" t="n"/>
      <c r="G4109" s="49" t="n"/>
      <c r="H4109" s="48" t="n"/>
      <c r="I4109" s="50" t="n"/>
      <c r="J4109" s="48" t="n"/>
      <c r="K4109" s="48" t="n"/>
      <c r="L4109" s="48" t="n"/>
      <c r="M4109" s="48" t="n"/>
      <c r="N4109" s="48" t="n"/>
      <c r="O4109" s="51">
        <f>IF(AND(B4109="",G4109="",C4109="",D4109="",J4109=""),"",IF(B4109="","⚠ Falta fecha",IF(G4109="","⚠ Falta monto",IF(Q4109="","⚠ Falta cuenta",IF(ISNA(MATCH(Q4109,ctaNombre,0)),"⚠ Cuenta no registrada",IF(AND(OR(P4109="Gasto",P4109="Reembolso"),D4109=""),"⚠ Falta categoría",IF(AND(D4109&lt;&gt;"",E4109&lt;&gt;"",ISNA(MATCH(D4109&amp;"|"&amp;E4109,catClave,0))),"⚠ Subcategoría no corresponde",IF(AND(OR(P4109="Transferencia",P4109="Pago tarjeta"),K4109=""),"⚠ Falta cuenta destino",IF(AND(K4109&lt;&gt;"",P4109&lt;&gt;"Transferencia",P4109&lt;&gt;"Pago tarjeta"),"⚠ Destino solo aplica a transferencias",IF(AND(K4109&lt;&gt;"",K4109=Q4109),"⚠ Origen igual a destino",IF(AND(K4109&lt;&gt;"",ISNA(MATCH(K4109,ctaNombre,0))),"⚠ Destino no registrado",IF(AND(P4109="Pago tarjeta",AE4109&lt;&gt;"Tarjeta de crédito"),"⚠ El destino debe ser tarjeta de crédito",IF(AND(P4109="Gasto",E4109="Depósitos y retiros"),"⚠ Usa tipo Transferencia",IF(AND(P4109="Resultado trading",AD4109&lt;&gt;"Cuenta de trading"),"⚠ Usa una cuenta de trading",IF(AND(G4109&lt;=0,P4109&lt;&gt;"Ajuste",P4109&lt;&gt;"Resultado trading"),"⚠ El monto debe ser positivo","✓")))))))))))))))</f>
        <v/>
      </c>
      <c r="P4109" s="52">
        <f>IF(OR(B4109="",G4109=""),"",IF(C4109="","Gasto",C4109))</f>
        <v/>
      </c>
      <c r="Q4109" s="52">
        <f>IF(P4109="","",IF(J4109&lt;&gt;"",J4109,CuentaPred&amp;""))</f>
        <v/>
      </c>
      <c r="R4109" s="52">
        <f>IF(P4109="","",IF(ISNUMBER(I4109),I4109,TasaUSD))</f>
        <v/>
      </c>
      <c r="S4109" s="53">
        <f>IF(P4109="","",IF(H4109="USD",G4109*R4109,G4109))</f>
        <v/>
      </c>
      <c r="T4109" s="53">
        <f>IF(P4109="","",IF(H4109="USD",G4109,IF(R4109&gt;0,G4109/R4109,0)))</f>
        <v/>
      </c>
      <c r="U4109" s="53">
        <f>IF(P4109="","",IF(P4109="Gasto",S4109,IF(P4109="Reembolso",-S4109,0)))</f>
        <v/>
      </c>
      <c r="V4109" s="53">
        <f>IF(P4109="","",IF(P4109="Ingreso",S4109,0))</f>
        <v/>
      </c>
      <c r="W4109" s="53">
        <f>IF(P4109="","",IF(P4109="Resultado trading",S4109,0))</f>
        <v/>
      </c>
      <c r="X4109" s="52">
        <f>IF(OR(P4109="Gasto",P4109="Reembolso"),IF(M4109&lt;&gt;"",M4109,IFERROR(INDEX(catClasif,MATCH(D4109&amp;"|"&amp;E4109,catClave,0))&amp;"","Variable")),"")</f>
        <v/>
      </c>
      <c r="Y4109" s="52">
        <f>IF(P4109="","",IFERROR(INDEX(catGrupo,MATCH(D4109&amp;"|"&amp;E4109,catClave,0))&amp;"",""))</f>
        <v/>
      </c>
      <c r="Z4109" s="52">
        <f>IF(P4109="","",WEEKDAY(B4109,2))</f>
        <v/>
      </c>
      <c r="AA4109" s="52">
        <f>IF(P4109="","",IF(AND(P4109="Gasto",X4109="Variable",D4109&lt;&gt;catTrading,S4109&gt;0,S4109&lt;=Umbral),1,0))</f>
        <v/>
      </c>
      <c r="AB4109" s="52">
        <f>IF(OR(P4109="",Q4109=""),"",IFERROR(IF(INDEX(ctaVinc,MATCH(Q4109,ctaNombre,0))&amp;""&lt;&gt;"",INDEX(ctaVinc,MATCH(Q4109,ctaNombre,0))&amp;"",Q4109),Q4109))</f>
        <v/>
      </c>
      <c r="AC4109" s="52">
        <f>IF(OR(K4109="",AND(P4109&lt;&gt;"Transferencia",P4109&lt;&gt;"Pago tarjeta")),"",IFERROR(IF(INDEX(ctaVinc,MATCH(K4109,ctaNombre,0))&amp;""&lt;&gt;"",INDEX(ctaVinc,MATCH(K4109,ctaNombre,0))&amp;"",K4109),K4109))</f>
        <v/>
      </c>
      <c r="AD4109" s="52">
        <f>IF(AB4109="","",IFERROR(INDEX(ctaTipo,MATCH(AB4109,ctaNombre,0))&amp;"",""))</f>
        <v/>
      </c>
      <c r="AE4109" s="52">
        <f>IF(AC4109="","",IFERROR(INDEX(ctaTipo,MATCH(AC4109,ctaNombre,0))&amp;"",""))</f>
        <v/>
      </c>
      <c r="AF4109" s="53">
        <f>IF(OR(P4109="",AB4109=""),"",IF(OR(P4109="Gasto",P4109="Transferencia",P4109="Pago tarjeta"),-1,1)*IF(IFERROR(INDEX(ctaMoneda,MATCH(AB4109,ctaNombre,0))&amp;"","DOP")="USD",T4109,S4109))</f>
        <v/>
      </c>
      <c r="AG4109" s="53">
        <f>IF(AC4109="","",IF(IFERROR(INDEX(ctaMoneda,MATCH(AC4109,ctaNombre,0))&amp;"","DOP")="USD",T4109,S4109))</f>
        <v/>
      </c>
      <c r="AH4109" s="53">
        <f>IF(P4109="","",IF(AND(AD4109&lt;&gt;"",COUNTIFS(tcTipo,AD4109,tcLiq,"Sí")&gt;0),IF(OR(P4109="Gasto",P4109="Transferencia",P4109="Pago tarjeta"),-1,1)*S4109,0)+IF(AND(AE4109&lt;&gt;"",COUNTIFS(tcTipo,AE4109,tcLiq,"Sí")&gt;0),S4109,0))</f>
        <v/>
      </c>
      <c r="AI4109" s="52">
        <f>IF(OR(L4109="",P4109=""),"",IF(COUNTIFS(L$6:L4109,L4109,P$6:P4109,"?*")=1,MAX(AI$5:AI4108)+1,""))</f>
        <v/>
      </c>
    </row>
    <row r="4110">
      <c r="B4110" s="47" t="n"/>
      <c r="C4110" s="48" t="n"/>
      <c r="D4110" s="48" t="n"/>
      <c r="E4110" s="48" t="n"/>
      <c r="F4110" s="48" t="n"/>
      <c r="G4110" s="49" t="n"/>
      <c r="H4110" s="48" t="n"/>
      <c r="I4110" s="50" t="n"/>
      <c r="J4110" s="48" t="n"/>
      <c r="K4110" s="48" t="n"/>
      <c r="L4110" s="48" t="n"/>
      <c r="M4110" s="48" t="n"/>
      <c r="N4110" s="48" t="n"/>
      <c r="O4110" s="51">
        <f>IF(AND(B4110="",G4110="",C4110="",D4110="",J4110=""),"",IF(B4110="","⚠ Falta fecha",IF(G4110="","⚠ Falta monto",IF(Q4110="","⚠ Falta cuenta",IF(ISNA(MATCH(Q4110,ctaNombre,0)),"⚠ Cuenta no registrada",IF(AND(OR(P4110="Gasto",P4110="Reembolso"),D4110=""),"⚠ Falta categoría",IF(AND(D4110&lt;&gt;"",E4110&lt;&gt;"",ISNA(MATCH(D4110&amp;"|"&amp;E4110,catClave,0))),"⚠ Subcategoría no corresponde",IF(AND(OR(P4110="Transferencia",P4110="Pago tarjeta"),K4110=""),"⚠ Falta cuenta destino",IF(AND(K4110&lt;&gt;"",P4110&lt;&gt;"Transferencia",P4110&lt;&gt;"Pago tarjeta"),"⚠ Destino solo aplica a transferencias",IF(AND(K4110&lt;&gt;"",K4110=Q4110),"⚠ Origen igual a destino",IF(AND(K4110&lt;&gt;"",ISNA(MATCH(K4110,ctaNombre,0))),"⚠ Destino no registrado",IF(AND(P4110="Pago tarjeta",AE4110&lt;&gt;"Tarjeta de crédito"),"⚠ El destino debe ser tarjeta de crédito",IF(AND(P4110="Gasto",E4110="Depósitos y retiros"),"⚠ Usa tipo Transferencia",IF(AND(P4110="Resultado trading",AD4110&lt;&gt;"Cuenta de trading"),"⚠ Usa una cuenta de trading",IF(AND(G4110&lt;=0,P4110&lt;&gt;"Ajuste",P4110&lt;&gt;"Resultado trading"),"⚠ El monto debe ser positivo","✓")))))))))))))))</f>
        <v/>
      </c>
      <c r="P4110" s="52">
        <f>IF(OR(B4110="",G4110=""),"",IF(C4110="","Gasto",C4110))</f>
        <v/>
      </c>
      <c r="Q4110" s="52">
        <f>IF(P4110="","",IF(J4110&lt;&gt;"",J4110,CuentaPred&amp;""))</f>
        <v/>
      </c>
      <c r="R4110" s="52">
        <f>IF(P4110="","",IF(ISNUMBER(I4110),I4110,TasaUSD))</f>
        <v/>
      </c>
      <c r="S4110" s="53">
        <f>IF(P4110="","",IF(H4110="USD",G4110*R4110,G4110))</f>
        <v/>
      </c>
      <c r="T4110" s="53">
        <f>IF(P4110="","",IF(H4110="USD",G4110,IF(R4110&gt;0,G4110/R4110,0)))</f>
        <v/>
      </c>
      <c r="U4110" s="53">
        <f>IF(P4110="","",IF(P4110="Gasto",S4110,IF(P4110="Reembolso",-S4110,0)))</f>
        <v/>
      </c>
      <c r="V4110" s="53">
        <f>IF(P4110="","",IF(P4110="Ingreso",S4110,0))</f>
        <v/>
      </c>
      <c r="W4110" s="53">
        <f>IF(P4110="","",IF(P4110="Resultado trading",S4110,0))</f>
        <v/>
      </c>
      <c r="X4110" s="52">
        <f>IF(OR(P4110="Gasto",P4110="Reembolso"),IF(M4110&lt;&gt;"",M4110,IFERROR(INDEX(catClasif,MATCH(D4110&amp;"|"&amp;E4110,catClave,0))&amp;"","Variable")),"")</f>
        <v/>
      </c>
      <c r="Y4110" s="52">
        <f>IF(P4110="","",IFERROR(INDEX(catGrupo,MATCH(D4110&amp;"|"&amp;E4110,catClave,0))&amp;"",""))</f>
        <v/>
      </c>
      <c r="Z4110" s="52">
        <f>IF(P4110="","",WEEKDAY(B4110,2))</f>
        <v/>
      </c>
      <c r="AA4110" s="52">
        <f>IF(P4110="","",IF(AND(P4110="Gasto",X4110="Variable",D4110&lt;&gt;catTrading,S4110&gt;0,S4110&lt;=Umbral),1,0))</f>
        <v/>
      </c>
      <c r="AB4110" s="52">
        <f>IF(OR(P4110="",Q4110=""),"",IFERROR(IF(INDEX(ctaVinc,MATCH(Q4110,ctaNombre,0))&amp;""&lt;&gt;"",INDEX(ctaVinc,MATCH(Q4110,ctaNombre,0))&amp;"",Q4110),Q4110))</f>
        <v/>
      </c>
      <c r="AC4110" s="52">
        <f>IF(OR(K4110="",AND(P4110&lt;&gt;"Transferencia",P4110&lt;&gt;"Pago tarjeta")),"",IFERROR(IF(INDEX(ctaVinc,MATCH(K4110,ctaNombre,0))&amp;""&lt;&gt;"",INDEX(ctaVinc,MATCH(K4110,ctaNombre,0))&amp;"",K4110),K4110))</f>
        <v/>
      </c>
      <c r="AD4110" s="52">
        <f>IF(AB4110="","",IFERROR(INDEX(ctaTipo,MATCH(AB4110,ctaNombre,0))&amp;"",""))</f>
        <v/>
      </c>
      <c r="AE4110" s="52">
        <f>IF(AC4110="","",IFERROR(INDEX(ctaTipo,MATCH(AC4110,ctaNombre,0))&amp;"",""))</f>
        <v/>
      </c>
      <c r="AF4110" s="53">
        <f>IF(OR(P4110="",AB4110=""),"",IF(OR(P4110="Gasto",P4110="Transferencia",P4110="Pago tarjeta"),-1,1)*IF(IFERROR(INDEX(ctaMoneda,MATCH(AB4110,ctaNombre,0))&amp;"","DOP")="USD",T4110,S4110))</f>
        <v/>
      </c>
      <c r="AG4110" s="53">
        <f>IF(AC4110="","",IF(IFERROR(INDEX(ctaMoneda,MATCH(AC4110,ctaNombre,0))&amp;"","DOP")="USD",T4110,S4110))</f>
        <v/>
      </c>
      <c r="AH4110" s="53">
        <f>IF(P4110="","",IF(AND(AD4110&lt;&gt;"",COUNTIFS(tcTipo,AD4110,tcLiq,"Sí")&gt;0),IF(OR(P4110="Gasto",P4110="Transferencia",P4110="Pago tarjeta"),-1,1)*S4110,0)+IF(AND(AE4110&lt;&gt;"",COUNTIFS(tcTipo,AE4110,tcLiq,"Sí")&gt;0),S4110,0))</f>
        <v/>
      </c>
      <c r="AI4110" s="52">
        <f>IF(OR(L4110="",P4110=""),"",IF(COUNTIFS(L$6:L4110,L4110,P$6:P4110,"?*")=1,MAX(AI$5:AI4109)+1,""))</f>
        <v/>
      </c>
    </row>
    <row r="4111">
      <c r="B4111" s="47" t="n"/>
      <c r="C4111" s="48" t="n"/>
      <c r="D4111" s="48" t="n"/>
      <c r="E4111" s="48" t="n"/>
      <c r="F4111" s="48" t="n"/>
      <c r="G4111" s="49" t="n"/>
      <c r="H4111" s="48" t="n"/>
      <c r="I4111" s="50" t="n"/>
      <c r="J4111" s="48" t="n"/>
      <c r="K4111" s="48" t="n"/>
      <c r="L4111" s="48" t="n"/>
      <c r="M4111" s="48" t="n"/>
      <c r="N4111" s="48" t="n"/>
      <c r="O4111" s="51">
        <f>IF(AND(B4111="",G4111="",C4111="",D4111="",J4111=""),"",IF(B4111="","⚠ Falta fecha",IF(G4111="","⚠ Falta monto",IF(Q4111="","⚠ Falta cuenta",IF(ISNA(MATCH(Q4111,ctaNombre,0)),"⚠ Cuenta no registrada",IF(AND(OR(P4111="Gasto",P4111="Reembolso"),D4111=""),"⚠ Falta categoría",IF(AND(D4111&lt;&gt;"",E4111&lt;&gt;"",ISNA(MATCH(D4111&amp;"|"&amp;E4111,catClave,0))),"⚠ Subcategoría no corresponde",IF(AND(OR(P4111="Transferencia",P4111="Pago tarjeta"),K4111=""),"⚠ Falta cuenta destino",IF(AND(K4111&lt;&gt;"",P4111&lt;&gt;"Transferencia",P4111&lt;&gt;"Pago tarjeta"),"⚠ Destino solo aplica a transferencias",IF(AND(K4111&lt;&gt;"",K4111=Q4111),"⚠ Origen igual a destino",IF(AND(K4111&lt;&gt;"",ISNA(MATCH(K4111,ctaNombre,0))),"⚠ Destino no registrado",IF(AND(P4111="Pago tarjeta",AE4111&lt;&gt;"Tarjeta de crédito"),"⚠ El destino debe ser tarjeta de crédito",IF(AND(P4111="Gasto",E4111="Depósitos y retiros"),"⚠ Usa tipo Transferencia",IF(AND(P4111="Resultado trading",AD4111&lt;&gt;"Cuenta de trading"),"⚠ Usa una cuenta de trading",IF(AND(G4111&lt;=0,P4111&lt;&gt;"Ajuste",P4111&lt;&gt;"Resultado trading"),"⚠ El monto debe ser positivo","✓")))))))))))))))</f>
        <v/>
      </c>
      <c r="P4111" s="52">
        <f>IF(OR(B4111="",G4111=""),"",IF(C4111="","Gasto",C4111))</f>
        <v/>
      </c>
      <c r="Q4111" s="52">
        <f>IF(P4111="","",IF(J4111&lt;&gt;"",J4111,CuentaPred&amp;""))</f>
        <v/>
      </c>
      <c r="R4111" s="52">
        <f>IF(P4111="","",IF(ISNUMBER(I4111),I4111,TasaUSD))</f>
        <v/>
      </c>
      <c r="S4111" s="53">
        <f>IF(P4111="","",IF(H4111="USD",G4111*R4111,G4111))</f>
        <v/>
      </c>
      <c r="T4111" s="53">
        <f>IF(P4111="","",IF(H4111="USD",G4111,IF(R4111&gt;0,G4111/R4111,0)))</f>
        <v/>
      </c>
      <c r="U4111" s="53">
        <f>IF(P4111="","",IF(P4111="Gasto",S4111,IF(P4111="Reembolso",-S4111,0)))</f>
        <v/>
      </c>
      <c r="V4111" s="53">
        <f>IF(P4111="","",IF(P4111="Ingreso",S4111,0))</f>
        <v/>
      </c>
      <c r="W4111" s="53">
        <f>IF(P4111="","",IF(P4111="Resultado trading",S4111,0))</f>
        <v/>
      </c>
      <c r="X4111" s="52">
        <f>IF(OR(P4111="Gasto",P4111="Reembolso"),IF(M4111&lt;&gt;"",M4111,IFERROR(INDEX(catClasif,MATCH(D4111&amp;"|"&amp;E4111,catClave,0))&amp;"","Variable")),"")</f>
        <v/>
      </c>
      <c r="Y4111" s="52">
        <f>IF(P4111="","",IFERROR(INDEX(catGrupo,MATCH(D4111&amp;"|"&amp;E4111,catClave,0))&amp;"",""))</f>
        <v/>
      </c>
      <c r="Z4111" s="52">
        <f>IF(P4111="","",WEEKDAY(B4111,2))</f>
        <v/>
      </c>
      <c r="AA4111" s="52">
        <f>IF(P4111="","",IF(AND(P4111="Gasto",X4111="Variable",D4111&lt;&gt;catTrading,S4111&gt;0,S4111&lt;=Umbral),1,0))</f>
        <v/>
      </c>
      <c r="AB4111" s="52">
        <f>IF(OR(P4111="",Q4111=""),"",IFERROR(IF(INDEX(ctaVinc,MATCH(Q4111,ctaNombre,0))&amp;""&lt;&gt;"",INDEX(ctaVinc,MATCH(Q4111,ctaNombre,0))&amp;"",Q4111),Q4111))</f>
        <v/>
      </c>
      <c r="AC4111" s="52">
        <f>IF(OR(K4111="",AND(P4111&lt;&gt;"Transferencia",P4111&lt;&gt;"Pago tarjeta")),"",IFERROR(IF(INDEX(ctaVinc,MATCH(K4111,ctaNombre,0))&amp;""&lt;&gt;"",INDEX(ctaVinc,MATCH(K4111,ctaNombre,0))&amp;"",K4111),K4111))</f>
        <v/>
      </c>
      <c r="AD4111" s="52">
        <f>IF(AB4111="","",IFERROR(INDEX(ctaTipo,MATCH(AB4111,ctaNombre,0))&amp;"",""))</f>
        <v/>
      </c>
      <c r="AE4111" s="52">
        <f>IF(AC4111="","",IFERROR(INDEX(ctaTipo,MATCH(AC4111,ctaNombre,0))&amp;"",""))</f>
        <v/>
      </c>
      <c r="AF4111" s="53">
        <f>IF(OR(P4111="",AB4111=""),"",IF(OR(P4111="Gasto",P4111="Transferencia",P4111="Pago tarjeta"),-1,1)*IF(IFERROR(INDEX(ctaMoneda,MATCH(AB4111,ctaNombre,0))&amp;"","DOP")="USD",T4111,S4111))</f>
        <v/>
      </c>
      <c r="AG4111" s="53">
        <f>IF(AC4111="","",IF(IFERROR(INDEX(ctaMoneda,MATCH(AC4111,ctaNombre,0))&amp;"","DOP")="USD",T4111,S4111))</f>
        <v/>
      </c>
      <c r="AH4111" s="53">
        <f>IF(P4111="","",IF(AND(AD4111&lt;&gt;"",COUNTIFS(tcTipo,AD4111,tcLiq,"Sí")&gt;0),IF(OR(P4111="Gasto",P4111="Transferencia",P4111="Pago tarjeta"),-1,1)*S4111,0)+IF(AND(AE4111&lt;&gt;"",COUNTIFS(tcTipo,AE4111,tcLiq,"Sí")&gt;0),S4111,0))</f>
        <v/>
      </c>
      <c r="AI4111" s="52">
        <f>IF(OR(L4111="",P4111=""),"",IF(COUNTIFS(L$6:L4111,L4111,P$6:P4111,"?*")=1,MAX(AI$5:AI4110)+1,""))</f>
        <v/>
      </c>
    </row>
    <row r="4112">
      <c r="B4112" s="47" t="n"/>
      <c r="C4112" s="48" t="n"/>
      <c r="D4112" s="48" t="n"/>
      <c r="E4112" s="48" t="n"/>
      <c r="F4112" s="48" t="n"/>
      <c r="G4112" s="49" t="n"/>
      <c r="H4112" s="48" t="n"/>
      <c r="I4112" s="50" t="n"/>
      <c r="J4112" s="48" t="n"/>
      <c r="K4112" s="48" t="n"/>
      <c r="L4112" s="48" t="n"/>
      <c r="M4112" s="48" t="n"/>
      <c r="N4112" s="48" t="n"/>
      <c r="O4112" s="51">
        <f>IF(AND(B4112="",G4112="",C4112="",D4112="",J4112=""),"",IF(B4112="","⚠ Falta fecha",IF(G4112="","⚠ Falta monto",IF(Q4112="","⚠ Falta cuenta",IF(ISNA(MATCH(Q4112,ctaNombre,0)),"⚠ Cuenta no registrada",IF(AND(OR(P4112="Gasto",P4112="Reembolso"),D4112=""),"⚠ Falta categoría",IF(AND(D4112&lt;&gt;"",E4112&lt;&gt;"",ISNA(MATCH(D4112&amp;"|"&amp;E4112,catClave,0))),"⚠ Subcategoría no corresponde",IF(AND(OR(P4112="Transferencia",P4112="Pago tarjeta"),K4112=""),"⚠ Falta cuenta destino",IF(AND(K4112&lt;&gt;"",P4112&lt;&gt;"Transferencia",P4112&lt;&gt;"Pago tarjeta"),"⚠ Destino solo aplica a transferencias",IF(AND(K4112&lt;&gt;"",K4112=Q4112),"⚠ Origen igual a destino",IF(AND(K4112&lt;&gt;"",ISNA(MATCH(K4112,ctaNombre,0))),"⚠ Destino no registrado",IF(AND(P4112="Pago tarjeta",AE4112&lt;&gt;"Tarjeta de crédito"),"⚠ El destino debe ser tarjeta de crédito",IF(AND(P4112="Gasto",E4112="Depósitos y retiros"),"⚠ Usa tipo Transferencia",IF(AND(P4112="Resultado trading",AD4112&lt;&gt;"Cuenta de trading"),"⚠ Usa una cuenta de trading",IF(AND(G4112&lt;=0,P4112&lt;&gt;"Ajuste",P4112&lt;&gt;"Resultado trading"),"⚠ El monto debe ser positivo","✓")))))))))))))))</f>
        <v/>
      </c>
      <c r="P4112" s="52">
        <f>IF(OR(B4112="",G4112=""),"",IF(C4112="","Gasto",C4112))</f>
        <v/>
      </c>
      <c r="Q4112" s="52">
        <f>IF(P4112="","",IF(J4112&lt;&gt;"",J4112,CuentaPred&amp;""))</f>
        <v/>
      </c>
      <c r="R4112" s="52">
        <f>IF(P4112="","",IF(ISNUMBER(I4112),I4112,TasaUSD))</f>
        <v/>
      </c>
      <c r="S4112" s="53">
        <f>IF(P4112="","",IF(H4112="USD",G4112*R4112,G4112))</f>
        <v/>
      </c>
      <c r="T4112" s="53">
        <f>IF(P4112="","",IF(H4112="USD",G4112,IF(R4112&gt;0,G4112/R4112,0)))</f>
        <v/>
      </c>
      <c r="U4112" s="53">
        <f>IF(P4112="","",IF(P4112="Gasto",S4112,IF(P4112="Reembolso",-S4112,0)))</f>
        <v/>
      </c>
      <c r="V4112" s="53">
        <f>IF(P4112="","",IF(P4112="Ingreso",S4112,0))</f>
        <v/>
      </c>
      <c r="W4112" s="53">
        <f>IF(P4112="","",IF(P4112="Resultado trading",S4112,0))</f>
        <v/>
      </c>
      <c r="X4112" s="52">
        <f>IF(OR(P4112="Gasto",P4112="Reembolso"),IF(M4112&lt;&gt;"",M4112,IFERROR(INDEX(catClasif,MATCH(D4112&amp;"|"&amp;E4112,catClave,0))&amp;"","Variable")),"")</f>
        <v/>
      </c>
      <c r="Y4112" s="52">
        <f>IF(P4112="","",IFERROR(INDEX(catGrupo,MATCH(D4112&amp;"|"&amp;E4112,catClave,0))&amp;"",""))</f>
        <v/>
      </c>
      <c r="Z4112" s="52">
        <f>IF(P4112="","",WEEKDAY(B4112,2))</f>
        <v/>
      </c>
      <c r="AA4112" s="52">
        <f>IF(P4112="","",IF(AND(P4112="Gasto",X4112="Variable",D4112&lt;&gt;catTrading,S4112&gt;0,S4112&lt;=Umbral),1,0))</f>
        <v/>
      </c>
      <c r="AB4112" s="52">
        <f>IF(OR(P4112="",Q4112=""),"",IFERROR(IF(INDEX(ctaVinc,MATCH(Q4112,ctaNombre,0))&amp;""&lt;&gt;"",INDEX(ctaVinc,MATCH(Q4112,ctaNombre,0))&amp;"",Q4112),Q4112))</f>
        <v/>
      </c>
      <c r="AC4112" s="52">
        <f>IF(OR(K4112="",AND(P4112&lt;&gt;"Transferencia",P4112&lt;&gt;"Pago tarjeta")),"",IFERROR(IF(INDEX(ctaVinc,MATCH(K4112,ctaNombre,0))&amp;""&lt;&gt;"",INDEX(ctaVinc,MATCH(K4112,ctaNombre,0))&amp;"",K4112),K4112))</f>
        <v/>
      </c>
      <c r="AD4112" s="52">
        <f>IF(AB4112="","",IFERROR(INDEX(ctaTipo,MATCH(AB4112,ctaNombre,0))&amp;"",""))</f>
        <v/>
      </c>
      <c r="AE4112" s="52">
        <f>IF(AC4112="","",IFERROR(INDEX(ctaTipo,MATCH(AC4112,ctaNombre,0))&amp;"",""))</f>
        <v/>
      </c>
      <c r="AF4112" s="53">
        <f>IF(OR(P4112="",AB4112=""),"",IF(OR(P4112="Gasto",P4112="Transferencia",P4112="Pago tarjeta"),-1,1)*IF(IFERROR(INDEX(ctaMoneda,MATCH(AB4112,ctaNombre,0))&amp;"","DOP")="USD",T4112,S4112))</f>
        <v/>
      </c>
      <c r="AG4112" s="53">
        <f>IF(AC4112="","",IF(IFERROR(INDEX(ctaMoneda,MATCH(AC4112,ctaNombre,0))&amp;"","DOP")="USD",T4112,S4112))</f>
        <v/>
      </c>
      <c r="AH4112" s="53">
        <f>IF(P4112="","",IF(AND(AD4112&lt;&gt;"",COUNTIFS(tcTipo,AD4112,tcLiq,"Sí")&gt;0),IF(OR(P4112="Gasto",P4112="Transferencia",P4112="Pago tarjeta"),-1,1)*S4112,0)+IF(AND(AE4112&lt;&gt;"",COUNTIFS(tcTipo,AE4112,tcLiq,"Sí")&gt;0),S4112,0))</f>
        <v/>
      </c>
      <c r="AI4112" s="52">
        <f>IF(OR(L4112="",P4112=""),"",IF(COUNTIFS(L$6:L4112,L4112,P$6:P4112,"?*")=1,MAX(AI$5:AI4111)+1,""))</f>
        <v/>
      </c>
    </row>
    <row r="4113">
      <c r="B4113" s="47" t="n"/>
      <c r="C4113" s="48" t="n"/>
      <c r="D4113" s="48" t="n"/>
      <c r="E4113" s="48" t="n"/>
      <c r="F4113" s="48" t="n"/>
      <c r="G4113" s="49" t="n"/>
      <c r="H4113" s="48" t="n"/>
      <c r="I4113" s="50" t="n"/>
      <c r="J4113" s="48" t="n"/>
      <c r="K4113" s="48" t="n"/>
      <c r="L4113" s="48" t="n"/>
      <c r="M4113" s="48" t="n"/>
      <c r="N4113" s="48" t="n"/>
      <c r="O4113" s="51">
        <f>IF(AND(B4113="",G4113="",C4113="",D4113="",J4113=""),"",IF(B4113="","⚠ Falta fecha",IF(G4113="","⚠ Falta monto",IF(Q4113="","⚠ Falta cuenta",IF(ISNA(MATCH(Q4113,ctaNombre,0)),"⚠ Cuenta no registrada",IF(AND(OR(P4113="Gasto",P4113="Reembolso"),D4113=""),"⚠ Falta categoría",IF(AND(D4113&lt;&gt;"",E4113&lt;&gt;"",ISNA(MATCH(D4113&amp;"|"&amp;E4113,catClave,0))),"⚠ Subcategoría no corresponde",IF(AND(OR(P4113="Transferencia",P4113="Pago tarjeta"),K4113=""),"⚠ Falta cuenta destino",IF(AND(K4113&lt;&gt;"",P4113&lt;&gt;"Transferencia",P4113&lt;&gt;"Pago tarjeta"),"⚠ Destino solo aplica a transferencias",IF(AND(K4113&lt;&gt;"",K4113=Q4113),"⚠ Origen igual a destino",IF(AND(K4113&lt;&gt;"",ISNA(MATCH(K4113,ctaNombre,0))),"⚠ Destino no registrado",IF(AND(P4113="Pago tarjeta",AE4113&lt;&gt;"Tarjeta de crédito"),"⚠ El destino debe ser tarjeta de crédito",IF(AND(P4113="Gasto",E4113="Depósitos y retiros"),"⚠ Usa tipo Transferencia",IF(AND(P4113="Resultado trading",AD4113&lt;&gt;"Cuenta de trading"),"⚠ Usa una cuenta de trading",IF(AND(G4113&lt;=0,P4113&lt;&gt;"Ajuste",P4113&lt;&gt;"Resultado trading"),"⚠ El monto debe ser positivo","✓")))))))))))))))</f>
        <v/>
      </c>
      <c r="P4113" s="52">
        <f>IF(OR(B4113="",G4113=""),"",IF(C4113="","Gasto",C4113))</f>
        <v/>
      </c>
      <c r="Q4113" s="52">
        <f>IF(P4113="","",IF(J4113&lt;&gt;"",J4113,CuentaPred&amp;""))</f>
        <v/>
      </c>
      <c r="R4113" s="52">
        <f>IF(P4113="","",IF(ISNUMBER(I4113),I4113,TasaUSD))</f>
        <v/>
      </c>
      <c r="S4113" s="53">
        <f>IF(P4113="","",IF(H4113="USD",G4113*R4113,G4113))</f>
        <v/>
      </c>
      <c r="T4113" s="53">
        <f>IF(P4113="","",IF(H4113="USD",G4113,IF(R4113&gt;0,G4113/R4113,0)))</f>
        <v/>
      </c>
      <c r="U4113" s="53">
        <f>IF(P4113="","",IF(P4113="Gasto",S4113,IF(P4113="Reembolso",-S4113,0)))</f>
        <v/>
      </c>
      <c r="V4113" s="53">
        <f>IF(P4113="","",IF(P4113="Ingreso",S4113,0))</f>
        <v/>
      </c>
      <c r="W4113" s="53">
        <f>IF(P4113="","",IF(P4113="Resultado trading",S4113,0))</f>
        <v/>
      </c>
      <c r="X4113" s="52">
        <f>IF(OR(P4113="Gasto",P4113="Reembolso"),IF(M4113&lt;&gt;"",M4113,IFERROR(INDEX(catClasif,MATCH(D4113&amp;"|"&amp;E4113,catClave,0))&amp;"","Variable")),"")</f>
        <v/>
      </c>
      <c r="Y4113" s="52">
        <f>IF(P4113="","",IFERROR(INDEX(catGrupo,MATCH(D4113&amp;"|"&amp;E4113,catClave,0))&amp;"",""))</f>
        <v/>
      </c>
      <c r="Z4113" s="52">
        <f>IF(P4113="","",WEEKDAY(B4113,2))</f>
        <v/>
      </c>
      <c r="AA4113" s="52">
        <f>IF(P4113="","",IF(AND(P4113="Gasto",X4113="Variable",D4113&lt;&gt;catTrading,S4113&gt;0,S4113&lt;=Umbral),1,0))</f>
        <v/>
      </c>
      <c r="AB4113" s="52">
        <f>IF(OR(P4113="",Q4113=""),"",IFERROR(IF(INDEX(ctaVinc,MATCH(Q4113,ctaNombre,0))&amp;""&lt;&gt;"",INDEX(ctaVinc,MATCH(Q4113,ctaNombre,0))&amp;"",Q4113),Q4113))</f>
        <v/>
      </c>
      <c r="AC4113" s="52">
        <f>IF(OR(K4113="",AND(P4113&lt;&gt;"Transferencia",P4113&lt;&gt;"Pago tarjeta")),"",IFERROR(IF(INDEX(ctaVinc,MATCH(K4113,ctaNombre,0))&amp;""&lt;&gt;"",INDEX(ctaVinc,MATCH(K4113,ctaNombre,0))&amp;"",K4113),K4113))</f>
        <v/>
      </c>
      <c r="AD4113" s="52">
        <f>IF(AB4113="","",IFERROR(INDEX(ctaTipo,MATCH(AB4113,ctaNombre,0))&amp;"",""))</f>
        <v/>
      </c>
      <c r="AE4113" s="52">
        <f>IF(AC4113="","",IFERROR(INDEX(ctaTipo,MATCH(AC4113,ctaNombre,0))&amp;"",""))</f>
        <v/>
      </c>
      <c r="AF4113" s="53">
        <f>IF(OR(P4113="",AB4113=""),"",IF(OR(P4113="Gasto",P4113="Transferencia",P4113="Pago tarjeta"),-1,1)*IF(IFERROR(INDEX(ctaMoneda,MATCH(AB4113,ctaNombre,0))&amp;"","DOP")="USD",T4113,S4113))</f>
        <v/>
      </c>
      <c r="AG4113" s="53">
        <f>IF(AC4113="","",IF(IFERROR(INDEX(ctaMoneda,MATCH(AC4113,ctaNombre,0))&amp;"","DOP")="USD",T4113,S4113))</f>
        <v/>
      </c>
      <c r="AH4113" s="53">
        <f>IF(P4113="","",IF(AND(AD4113&lt;&gt;"",COUNTIFS(tcTipo,AD4113,tcLiq,"Sí")&gt;0),IF(OR(P4113="Gasto",P4113="Transferencia",P4113="Pago tarjeta"),-1,1)*S4113,0)+IF(AND(AE4113&lt;&gt;"",COUNTIFS(tcTipo,AE4113,tcLiq,"Sí")&gt;0),S4113,0))</f>
        <v/>
      </c>
      <c r="AI4113" s="52">
        <f>IF(OR(L4113="",P4113=""),"",IF(COUNTIFS(L$6:L4113,L4113,P$6:P4113,"?*")=1,MAX(AI$5:AI4112)+1,""))</f>
        <v/>
      </c>
    </row>
    <row r="4114">
      <c r="B4114" s="47" t="n"/>
      <c r="C4114" s="48" t="n"/>
      <c r="D4114" s="48" t="n"/>
      <c r="E4114" s="48" t="n"/>
      <c r="F4114" s="48" t="n"/>
      <c r="G4114" s="49" t="n"/>
      <c r="H4114" s="48" t="n"/>
      <c r="I4114" s="50" t="n"/>
      <c r="J4114" s="48" t="n"/>
      <c r="K4114" s="48" t="n"/>
      <c r="L4114" s="48" t="n"/>
      <c r="M4114" s="48" t="n"/>
      <c r="N4114" s="48" t="n"/>
      <c r="O4114" s="51">
        <f>IF(AND(B4114="",G4114="",C4114="",D4114="",J4114=""),"",IF(B4114="","⚠ Falta fecha",IF(G4114="","⚠ Falta monto",IF(Q4114="","⚠ Falta cuenta",IF(ISNA(MATCH(Q4114,ctaNombre,0)),"⚠ Cuenta no registrada",IF(AND(OR(P4114="Gasto",P4114="Reembolso"),D4114=""),"⚠ Falta categoría",IF(AND(D4114&lt;&gt;"",E4114&lt;&gt;"",ISNA(MATCH(D4114&amp;"|"&amp;E4114,catClave,0))),"⚠ Subcategoría no corresponde",IF(AND(OR(P4114="Transferencia",P4114="Pago tarjeta"),K4114=""),"⚠ Falta cuenta destino",IF(AND(K4114&lt;&gt;"",P4114&lt;&gt;"Transferencia",P4114&lt;&gt;"Pago tarjeta"),"⚠ Destino solo aplica a transferencias",IF(AND(K4114&lt;&gt;"",K4114=Q4114),"⚠ Origen igual a destino",IF(AND(K4114&lt;&gt;"",ISNA(MATCH(K4114,ctaNombre,0))),"⚠ Destino no registrado",IF(AND(P4114="Pago tarjeta",AE4114&lt;&gt;"Tarjeta de crédito"),"⚠ El destino debe ser tarjeta de crédito",IF(AND(P4114="Gasto",E4114="Depósitos y retiros"),"⚠ Usa tipo Transferencia",IF(AND(P4114="Resultado trading",AD4114&lt;&gt;"Cuenta de trading"),"⚠ Usa una cuenta de trading",IF(AND(G4114&lt;=0,P4114&lt;&gt;"Ajuste",P4114&lt;&gt;"Resultado trading"),"⚠ El monto debe ser positivo","✓")))))))))))))))</f>
        <v/>
      </c>
      <c r="P4114" s="52">
        <f>IF(OR(B4114="",G4114=""),"",IF(C4114="","Gasto",C4114))</f>
        <v/>
      </c>
      <c r="Q4114" s="52">
        <f>IF(P4114="","",IF(J4114&lt;&gt;"",J4114,CuentaPred&amp;""))</f>
        <v/>
      </c>
      <c r="R4114" s="52">
        <f>IF(P4114="","",IF(ISNUMBER(I4114),I4114,TasaUSD))</f>
        <v/>
      </c>
      <c r="S4114" s="53">
        <f>IF(P4114="","",IF(H4114="USD",G4114*R4114,G4114))</f>
        <v/>
      </c>
      <c r="T4114" s="53">
        <f>IF(P4114="","",IF(H4114="USD",G4114,IF(R4114&gt;0,G4114/R4114,0)))</f>
        <v/>
      </c>
      <c r="U4114" s="53">
        <f>IF(P4114="","",IF(P4114="Gasto",S4114,IF(P4114="Reembolso",-S4114,0)))</f>
        <v/>
      </c>
      <c r="V4114" s="53">
        <f>IF(P4114="","",IF(P4114="Ingreso",S4114,0))</f>
        <v/>
      </c>
      <c r="W4114" s="53">
        <f>IF(P4114="","",IF(P4114="Resultado trading",S4114,0))</f>
        <v/>
      </c>
      <c r="X4114" s="52">
        <f>IF(OR(P4114="Gasto",P4114="Reembolso"),IF(M4114&lt;&gt;"",M4114,IFERROR(INDEX(catClasif,MATCH(D4114&amp;"|"&amp;E4114,catClave,0))&amp;"","Variable")),"")</f>
        <v/>
      </c>
      <c r="Y4114" s="52">
        <f>IF(P4114="","",IFERROR(INDEX(catGrupo,MATCH(D4114&amp;"|"&amp;E4114,catClave,0))&amp;"",""))</f>
        <v/>
      </c>
      <c r="Z4114" s="52">
        <f>IF(P4114="","",WEEKDAY(B4114,2))</f>
        <v/>
      </c>
      <c r="AA4114" s="52">
        <f>IF(P4114="","",IF(AND(P4114="Gasto",X4114="Variable",D4114&lt;&gt;catTrading,S4114&gt;0,S4114&lt;=Umbral),1,0))</f>
        <v/>
      </c>
      <c r="AB4114" s="52">
        <f>IF(OR(P4114="",Q4114=""),"",IFERROR(IF(INDEX(ctaVinc,MATCH(Q4114,ctaNombre,0))&amp;""&lt;&gt;"",INDEX(ctaVinc,MATCH(Q4114,ctaNombre,0))&amp;"",Q4114),Q4114))</f>
        <v/>
      </c>
      <c r="AC4114" s="52">
        <f>IF(OR(K4114="",AND(P4114&lt;&gt;"Transferencia",P4114&lt;&gt;"Pago tarjeta")),"",IFERROR(IF(INDEX(ctaVinc,MATCH(K4114,ctaNombre,0))&amp;""&lt;&gt;"",INDEX(ctaVinc,MATCH(K4114,ctaNombre,0))&amp;"",K4114),K4114))</f>
        <v/>
      </c>
      <c r="AD4114" s="52">
        <f>IF(AB4114="","",IFERROR(INDEX(ctaTipo,MATCH(AB4114,ctaNombre,0))&amp;"",""))</f>
        <v/>
      </c>
      <c r="AE4114" s="52">
        <f>IF(AC4114="","",IFERROR(INDEX(ctaTipo,MATCH(AC4114,ctaNombre,0))&amp;"",""))</f>
        <v/>
      </c>
      <c r="AF4114" s="53">
        <f>IF(OR(P4114="",AB4114=""),"",IF(OR(P4114="Gasto",P4114="Transferencia",P4114="Pago tarjeta"),-1,1)*IF(IFERROR(INDEX(ctaMoneda,MATCH(AB4114,ctaNombre,0))&amp;"","DOP")="USD",T4114,S4114))</f>
        <v/>
      </c>
      <c r="AG4114" s="53">
        <f>IF(AC4114="","",IF(IFERROR(INDEX(ctaMoneda,MATCH(AC4114,ctaNombre,0))&amp;"","DOP")="USD",T4114,S4114))</f>
        <v/>
      </c>
      <c r="AH4114" s="53">
        <f>IF(P4114="","",IF(AND(AD4114&lt;&gt;"",COUNTIFS(tcTipo,AD4114,tcLiq,"Sí")&gt;0),IF(OR(P4114="Gasto",P4114="Transferencia",P4114="Pago tarjeta"),-1,1)*S4114,0)+IF(AND(AE4114&lt;&gt;"",COUNTIFS(tcTipo,AE4114,tcLiq,"Sí")&gt;0),S4114,0))</f>
        <v/>
      </c>
      <c r="AI4114" s="52">
        <f>IF(OR(L4114="",P4114=""),"",IF(COUNTIFS(L$6:L4114,L4114,P$6:P4114,"?*")=1,MAX(AI$5:AI4113)+1,""))</f>
        <v/>
      </c>
    </row>
    <row r="4115">
      <c r="B4115" s="47" t="n"/>
      <c r="C4115" s="48" t="n"/>
      <c r="D4115" s="48" t="n"/>
      <c r="E4115" s="48" t="n"/>
      <c r="F4115" s="48" t="n"/>
      <c r="G4115" s="49" t="n"/>
      <c r="H4115" s="48" t="n"/>
      <c r="I4115" s="50" t="n"/>
      <c r="J4115" s="48" t="n"/>
      <c r="K4115" s="48" t="n"/>
      <c r="L4115" s="48" t="n"/>
      <c r="M4115" s="48" t="n"/>
      <c r="N4115" s="48" t="n"/>
      <c r="O4115" s="51">
        <f>IF(AND(B4115="",G4115="",C4115="",D4115="",J4115=""),"",IF(B4115="","⚠ Falta fecha",IF(G4115="","⚠ Falta monto",IF(Q4115="","⚠ Falta cuenta",IF(ISNA(MATCH(Q4115,ctaNombre,0)),"⚠ Cuenta no registrada",IF(AND(OR(P4115="Gasto",P4115="Reembolso"),D4115=""),"⚠ Falta categoría",IF(AND(D4115&lt;&gt;"",E4115&lt;&gt;"",ISNA(MATCH(D4115&amp;"|"&amp;E4115,catClave,0))),"⚠ Subcategoría no corresponde",IF(AND(OR(P4115="Transferencia",P4115="Pago tarjeta"),K4115=""),"⚠ Falta cuenta destino",IF(AND(K4115&lt;&gt;"",P4115&lt;&gt;"Transferencia",P4115&lt;&gt;"Pago tarjeta"),"⚠ Destino solo aplica a transferencias",IF(AND(K4115&lt;&gt;"",K4115=Q4115),"⚠ Origen igual a destino",IF(AND(K4115&lt;&gt;"",ISNA(MATCH(K4115,ctaNombre,0))),"⚠ Destino no registrado",IF(AND(P4115="Pago tarjeta",AE4115&lt;&gt;"Tarjeta de crédito"),"⚠ El destino debe ser tarjeta de crédito",IF(AND(P4115="Gasto",E4115="Depósitos y retiros"),"⚠ Usa tipo Transferencia",IF(AND(P4115="Resultado trading",AD4115&lt;&gt;"Cuenta de trading"),"⚠ Usa una cuenta de trading",IF(AND(G4115&lt;=0,P4115&lt;&gt;"Ajuste",P4115&lt;&gt;"Resultado trading"),"⚠ El monto debe ser positivo","✓")))))))))))))))</f>
        <v/>
      </c>
      <c r="P4115" s="52">
        <f>IF(OR(B4115="",G4115=""),"",IF(C4115="","Gasto",C4115))</f>
        <v/>
      </c>
      <c r="Q4115" s="52">
        <f>IF(P4115="","",IF(J4115&lt;&gt;"",J4115,CuentaPred&amp;""))</f>
        <v/>
      </c>
      <c r="R4115" s="52">
        <f>IF(P4115="","",IF(ISNUMBER(I4115),I4115,TasaUSD))</f>
        <v/>
      </c>
      <c r="S4115" s="53">
        <f>IF(P4115="","",IF(H4115="USD",G4115*R4115,G4115))</f>
        <v/>
      </c>
      <c r="T4115" s="53">
        <f>IF(P4115="","",IF(H4115="USD",G4115,IF(R4115&gt;0,G4115/R4115,0)))</f>
        <v/>
      </c>
      <c r="U4115" s="53">
        <f>IF(P4115="","",IF(P4115="Gasto",S4115,IF(P4115="Reembolso",-S4115,0)))</f>
        <v/>
      </c>
      <c r="V4115" s="53">
        <f>IF(P4115="","",IF(P4115="Ingreso",S4115,0))</f>
        <v/>
      </c>
      <c r="W4115" s="53">
        <f>IF(P4115="","",IF(P4115="Resultado trading",S4115,0))</f>
        <v/>
      </c>
      <c r="X4115" s="52">
        <f>IF(OR(P4115="Gasto",P4115="Reembolso"),IF(M4115&lt;&gt;"",M4115,IFERROR(INDEX(catClasif,MATCH(D4115&amp;"|"&amp;E4115,catClave,0))&amp;"","Variable")),"")</f>
        <v/>
      </c>
      <c r="Y4115" s="52">
        <f>IF(P4115="","",IFERROR(INDEX(catGrupo,MATCH(D4115&amp;"|"&amp;E4115,catClave,0))&amp;"",""))</f>
        <v/>
      </c>
      <c r="Z4115" s="52">
        <f>IF(P4115="","",WEEKDAY(B4115,2))</f>
        <v/>
      </c>
      <c r="AA4115" s="52">
        <f>IF(P4115="","",IF(AND(P4115="Gasto",X4115="Variable",D4115&lt;&gt;catTrading,S4115&gt;0,S4115&lt;=Umbral),1,0))</f>
        <v/>
      </c>
      <c r="AB4115" s="52">
        <f>IF(OR(P4115="",Q4115=""),"",IFERROR(IF(INDEX(ctaVinc,MATCH(Q4115,ctaNombre,0))&amp;""&lt;&gt;"",INDEX(ctaVinc,MATCH(Q4115,ctaNombre,0))&amp;"",Q4115),Q4115))</f>
        <v/>
      </c>
      <c r="AC4115" s="52">
        <f>IF(OR(K4115="",AND(P4115&lt;&gt;"Transferencia",P4115&lt;&gt;"Pago tarjeta")),"",IFERROR(IF(INDEX(ctaVinc,MATCH(K4115,ctaNombre,0))&amp;""&lt;&gt;"",INDEX(ctaVinc,MATCH(K4115,ctaNombre,0))&amp;"",K4115),K4115))</f>
        <v/>
      </c>
      <c r="AD4115" s="52">
        <f>IF(AB4115="","",IFERROR(INDEX(ctaTipo,MATCH(AB4115,ctaNombre,0))&amp;"",""))</f>
        <v/>
      </c>
      <c r="AE4115" s="52">
        <f>IF(AC4115="","",IFERROR(INDEX(ctaTipo,MATCH(AC4115,ctaNombre,0))&amp;"",""))</f>
        <v/>
      </c>
      <c r="AF4115" s="53">
        <f>IF(OR(P4115="",AB4115=""),"",IF(OR(P4115="Gasto",P4115="Transferencia",P4115="Pago tarjeta"),-1,1)*IF(IFERROR(INDEX(ctaMoneda,MATCH(AB4115,ctaNombre,0))&amp;"","DOP")="USD",T4115,S4115))</f>
        <v/>
      </c>
      <c r="AG4115" s="53">
        <f>IF(AC4115="","",IF(IFERROR(INDEX(ctaMoneda,MATCH(AC4115,ctaNombre,0))&amp;"","DOP")="USD",T4115,S4115))</f>
        <v/>
      </c>
      <c r="AH4115" s="53">
        <f>IF(P4115="","",IF(AND(AD4115&lt;&gt;"",COUNTIFS(tcTipo,AD4115,tcLiq,"Sí")&gt;0),IF(OR(P4115="Gasto",P4115="Transferencia",P4115="Pago tarjeta"),-1,1)*S4115,0)+IF(AND(AE4115&lt;&gt;"",COUNTIFS(tcTipo,AE4115,tcLiq,"Sí")&gt;0),S4115,0))</f>
        <v/>
      </c>
      <c r="AI4115" s="52">
        <f>IF(OR(L4115="",P4115=""),"",IF(COUNTIFS(L$6:L4115,L4115,P$6:P4115,"?*")=1,MAX(AI$5:AI4114)+1,""))</f>
        <v/>
      </c>
    </row>
    <row r="4116">
      <c r="B4116" s="47" t="n"/>
      <c r="C4116" s="48" t="n"/>
      <c r="D4116" s="48" t="n"/>
      <c r="E4116" s="48" t="n"/>
      <c r="F4116" s="48" t="n"/>
      <c r="G4116" s="49" t="n"/>
      <c r="H4116" s="48" t="n"/>
      <c r="I4116" s="50" t="n"/>
      <c r="J4116" s="48" t="n"/>
      <c r="K4116" s="48" t="n"/>
      <c r="L4116" s="48" t="n"/>
      <c r="M4116" s="48" t="n"/>
      <c r="N4116" s="48" t="n"/>
      <c r="O4116" s="51">
        <f>IF(AND(B4116="",G4116="",C4116="",D4116="",J4116=""),"",IF(B4116="","⚠ Falta fecha",IF(G4116="","⚠ Falta monto",IF(Q4116="","⚠ Falta cuenta",IF(ISNA(MATCH(Q4116,ctaNombre,0)),"⚠ Cuenta no registrada",IF(AND(OR(P4116="Gasto",P4116="Reembolso"),D4116=""),"⚠ Falta categoría",IF(AND(D4116&lt;&gt;"",E4116&lt;&gt;"",ISNA(MATCH(D4116&amp;"|"&amp;E4116,catClave,0))),"⚠ Subcategoría no corresponde",IF(AND(OR(P4116="Transferencia",P4116="Pago tarjeta"),K4116=""),"⚠ Falta cuenta destino",IF(AND(K4116&lt;&gt;"",P4116&lt;&gt;"Transferencia",P4116&lt;&gt;"Pago tarjeta"),"⚠ Destino solo aplica a transferencias",IF(AND(K4116&lt;&gt;"",K4116=Q4116),"⚠ Origen igual a destino",IF(AND(K4116&lt;&gt;"",ISNA(MATCH(K4116,ctaNombre,0))),"⚠ Destino no registrado",IF(AND(P4116="Pago tarjeta",AE4116&lt;&gt;"Tarjeta de crédito"),"⚠ El destino debe ser tarjeta de crédito",IF(AND(P4116="Gasto",E4116="Depósitos y retiros"),"⚠ Usa tipo Transferencia",IF(AND(P4116="Resultado trading",AD4116&lt;&gt;"Cuenta de trading"),"⚠ Usa una cuenta de trading",IF(AND(G4116&lt;=0,P4116&lt;&gt;"Ajuste",P4116&lt;&gt;"Resultado trading"),"⚠ El monto debe ser positivo","✓")))))))))))))))</f>
        <v/>
      </c>
      <c r="P4116" s="52">
        <f>IF(OR(B4116="",G4116=""),"",IF(C4116="","Gasto",C4116))</f>
        <v/>
      </c>
      <c r="Q4116" s="52">
        <f>IF(P4116="","",IF(J4116&lt;&gt;"",J4116,CuentaPred&amp;""))</f>
        <v/>
      </c>
      <c r="R4116" s="52">
        <f>IF(P4116="","",IF(ISNUMBER(I4116),I4116,TasaUSD))</f>
        <v/>
      </c>
      <c r="S4116" s="53">
        <f>IF(P4116="","",IF(H4116="USD",G4116*R4116,G4116))</f>
        <v/>
      </c>
      <c r="T4116" s="53">
        <f>IF(P4116="","",IF(H4116="USD",G4116,IF(R4116&gt;0,G4116/R4116,0)))</f>
        <v/>
      </c>
      <c r="U4116" s="53">
        <f>IF(P4116="","",IF(P4116="Gasto",S4116,IF(P4116="Reembolso",-S4116,0)))</f>
        <v/>
      </c>
      <c r="V4116" s="53">
        <f>IF(P4116="","",IF(P4116="Ingreso",S4116,0))</f>
        <v/>
      </c>
      <c r="W4116" s="53">
        <f>IF(P4116="","",IF(P4116="Resultado trading",S4116,0))</f>
        <v/>
      </c>
      <c r="X4116" s="52">
        <f>IF(OR(P4116="Gasto",P4116="Reembolso"),IF(M4116&lt;&gt;"",M4116,IFERROR(INDEX(catClasif,MATCH(D4116&amp;"|"&amp;E4116,catClave,0))&amp;"","Variable")),"")</f>
        <v/>
      </c>
      <c r="Y4116" s="52">
        <f>IF(P4116="","",IFERROR(INDEX(catGrupo,MATCH(D4116&amp;"|"&amp;E4116,catClave,0))&amp;"",""))</f>
        <v/>
      </c>
      <c r="Z4116" s="52">
        <f>IF(P4116="","",WEEKDAY(B4116,2))</f>
        <v/>
      </c>
      <c r="AA4116" s="52">
        <f>IF(P4116="","",IF(AND(P4116="Gasto",X4116="Variable",D4116&lt;&gt;catTrading,S4116&gt;0,S4116&lt;=Umbral),1,0))</f>
        <v/>
      </c>
      <c r="AB4116" s="52">
        <f>IF(OR(P4116="",Q4116=""),"",IFERROR(IF(INDEX(ctaVinc,MATCH(Q4116,ctaNombre,0))&amp;""&lt;&gt;"",INDEX(ctaVinc,MATCH(Q4116,ctaNombre,0))&amp;"",Q4116),Q4116))</f>
        <v/>
      </c>
      <c r="AC4116" s="52">
        <f>IF(OR(K4116="",AND(P4116&lt;&gt;"Transferencia",P4116&lt;&gt;"Pago tarjeta")),"",IFERROR(IF(INDEX(ctaVinc,MATCH(K4116,ctaNombre,0))&amp;""&lt;&gt;"",INDEX(ctaVinc,MATCH(K4116,ctaNombre,0))&amp;"",K4116),K4116))</f>
        <v/>
      </c>
      <c r="AD4116" s="52">
        <f>IF(AB4116="","",IFERROR(INDEX(ctaTipo,MATCH(AB4116,ctaNombre,0))&amp;"",""))</f>
        <v/>
      </c>
      <c r="AE4116" s="52">
        <f>IF(AC4116="","",IFERROR(INDEX(ctaTipo,MATCH(AC4116,ctaNombre,0))&amp;"",""))</f>
        <v/>
      </c>
      <c r="AF4116" s="53">
        <f>IF(OR(P4116="",AB4116=""),"",IF(OR(P4116="Gasto",P4116="Transferencia",P4116="Pago tarjeta"),-1,1)*IF(IFERROR(INDEX(ctaMoneda,MATCH(AB4116,ctaNombre,0))&amp;"","DOP")="USD",T4116,S4116))</f>
        <v/>
      </c>
      <c r="AG4116" s="53">
        <f>IF(AC4116="","",IF(IFERROR(INDEX(ctaMoneda,MATCH(AC4116,ctaNombre,0))&amp;"","DOP")="USD",T4116,S4116))</f>
        <v/>
      </c>
      <c r="AH4116" s="53">
        <f>IF(P4116="","",IF(AND(AD4116&lt;&gt;"",COUNTIFS(tcTipo,AD4116,tcLiq,"Sí")&gt;0),IF(OR(P4116="Gasto",P4116="Transferencia",P4116="Pago tarjeta"),-1,1)*S4116,0)+IF(AND(AE4116&lt;&gt;"",COUNTIFS(tcTipo,AE4116,tcLiq,"Sí")&gt;0),S4116,0))</f>
        <v/>
      </c>
      <c r="AI4116" s="52">
        <f>IF(OR(L4116="",P4116=""),"",IF(COUNTIFS(L$6:L4116,L4116,P$6:P4116,"?*")=1,MAX(AI$5:AI4115)+1,""))</f>
        <v/>
      </c>
    </row>
    <row r="4117">
      <c r="B4117" s="47" t="n"/>
      <c r="C4117" s="48" t="n"/>
      <c r="D4117" s="48" t="n"/>
      <c r="E4117" s="48" t="n"/>
      <c r="F4117" s="48" t="n"/>
      <c r="G4117" s="49" t="n"/>
      <c r="H4117" s="48" t="n"/>
      <c r="I4117" s="50" t="n"/>
      <c r="J4117" s="48" t="n"/>
      <c r="K4117" s="48" t="n"/>
      <c r="L4117" s="48" t="n"/>
      <c r="M4117" s="48" t="n"/>
      <c r="N4117" s="48" t="n"/>
      <c r="O4117" s="51">
        <f>IF(AND(B4117="",G4117="",C4117="",D4117="",J4117=""),"",IF(B4117="","⚠ Falta fecha",IF(G4117="","⚠ Falta monto",IF(Q4117="","⚠ Falta cuenta",IF(ISNA(MATCH(Q4117,ctaNombre,0)),"⚠ Cuenta no registrada",IF(AND(OR(P4117="Gasto",P4117="Reembolso"),D4117=""),"⚠ Falta categoría",IF(AND(D4117&lt;&gt;"",E4117&lt;&gt;"",ISNA(MATCH(D4117&amp;"|"&amp;E4117,catClave,0))),"⚠ Subcategoría no corresponde",IF(AND(OR(P4117="Transferencia",P4117="Pago tarjeta"),K4117=""),"⚠ Falta cuenta destino",IF(AND(K4117&lt;&gt;"",P4117&lt;&gt;"Transferencia",P4117&lt;&gt;"Pago tarjeta"),"⚠ Destino solo aplica a transferencias",IF(AND(K4117&lt;&gt;"",K4117=Q4117),"⚠ Origen igual a destino",IF(AND(K4117&lt;&gt;"",ISNA(MATCH(K4117,ctaNombre,0))),"⚠ Destino no registrado",IF(AND(P4117="Pago tarjeta",AE4117&lt;&gt;"Tarjeta de crédito"),"⚠ El destino debe ser tarjeta de crédito",IF(AND(P4117="Gasto",E4117="Depósitos y retiros"),"⚠ Usa tipo Transferencia",IF(AND(P4117="Resultado trading",AD4117&lt;&gt;"Cuenta de trading"),"⚠ Usa una cuenta de trading",IF(AND(G4117&lt;=0,P4117&lt;&gt;"Ajuste",P4117&lt;&gt;"Resultado trading"),"⚠ El monto debe ser positivo","✓")))))))))))))))</f>
        <v/>
      </c>
      <c r="P4117" s="52">
        <f>IF(OR(B4117="",G4117=""),"",IF(C4117="","Gasto",C4117))</f>
        <v/>
      </c>
      <c r="Q4117" s="52">
        <f>IF(P4117="","",IF(J4117&lt;&gt;"",J4117,CuentaPred&amp;""))</f>
        <v/>
      </c>
      <c r="R4117" s="52">
        <f>IF(P4117="","",IF(ISNUMBER(I4117),I4117,TasaUSD))</f>
        <v/>
      </c>
      <c r="S4117" s="53">
        <f>IF(P4117="","",IF(H4117="USD",G4117*R4117,G4117))</f>
        <v/>
      </c>
      <c r="T4117" s="53">
        <f>IF(P4117="","",IF(H4117="USD",G4117,IF(R4117&gt;0,G4117/R4117,0)))</f>
        <v/>
      </c>
      <c r="U4117" s="53">
        <f>IF(P4117="","",IF(P4117="Gasto",S4117,IF(P4117="Reembolso",-S4117,0)))</f>
        <v/>
      </c>
      <c r="V4117" s="53">
        <f>IF(P4117="","",IF(P4117="Ingreso",S4117,0))</f>
        <v/>
      </c>
      <c r="W4117" s="53">
        <f>IF(P4117="","",IF(P4117="Resultado trading",S4117,0))</f>
        <v/>
      </c>
      <c r="X4117" s="52">
        <f>IF(OR(P4117="Gasto",P4117="Reembolso"),IF(M4117&lt;&gt;"",M4117,IFERROR(INDEX(catClasif,MATCH(D4117&amp;"|"&amp;E4117,catClave,0))&amp;"","Variable")),"")</f>
        <v/>
      </c>
      <c r="Y4117" s="52">
        <f>IF(P4117="","",IFERROR(INDEX(catGrupo,MATCH(D4117&amp;"|"&amp;E4117,catClave,0))&amp;"",""))</f>
        <v/>
      </c>
      <c r="Z4117" s="52">
        <f>IF(P4117="","",WEEKDAY(B4117,2))</f>
        <v/>
      </c>
      <c r="AA4117" s="52">
        <f>IF(P4117="","",IF(AND(P4117="Gasto",X4117="Variable",D4117&lt;&gt;catTrading,S4117&gt;0,S4117&lt;=Umbral),1,0))</f>
        <v/>
      </c>
      <c r="AB4117" s="52">
        <f>IF(OR(P4117="",Q4117=""),"",IFERROR(IF(INDEX(ctaVinc,MATCH(Q4117,ctaNombre,0))&amp;""&lt;&gt;"",INDEX(ctaVinc,MATCH(Q4117,ctaNombre,0))&amp;"",Q4117),Q4117))</f>
        <v/>
      </c>
      <c r="AC4117" s="52">
        <f>IF(OR(K4117="",AND(P4117&lt;&gt;"Transferencia",P4117&lt;&gt;"Pago tarjeta")),"",IFERROR(IF(INDEX(ctaVinc,MATCH(K4117,ctaNombre,0))&amp;""&lt;&gt;"",INDEX(ctaVinc,MATCH(K4117,ctaNombre,0))&amp;"",K4117),K4117))</f>
        <v/>
      </c>
      <c r="AD4117" s="52">
        <f>IF(AB4117="","",IFERROR(INDEX(ctaTipo,MATCH(AB4117,ctaNombre,0))&amp;"",""))</f>
        <v/>
      </c>
      <c r="AE4117" s="52">
        <f>IF(AC4117="","",IFERROR(INDEX(ctaTipo,MATCH(AC4117,ctaNombre,0))&amp;"",""))</f>
        <v/>
      </c>
      <c r="AF4117" s="53">
        <f>IF(OR(P4117="",AB4117=""),"",IF(OR(P4117="Gasto",P4117="Transferencia",P4117="Pago tarjeta"),-1,1)*IF(IFERROR(INDEX(ctaMoneda,MATCH(AB4117,ctaNombre,0))&amp;"","DOP")="USD",T4117,S4117))</f>
        <v/>
      </c>
      <c r="AG4117" s="53">
        <f>IF(AC4117="","",IF(IFERROR(INDEX(ctaMoneda,MATCH(AC4117,ctaNombre,0))&amp;"","DOP")="USD",T4117,S4117))</f>
        <v/>
      </c>
      <c r="AH4117" s="53">
        <f>IF(P4117="","",IF(AND(AD4117&lt;&gt;"",COUNTIFS(tcTipo,AD4117,tcLiq,"Sí")&gt;0),IF(OR(P4117="Gasto",P4117="Transferencia",P4117="Pago tarjeta"),-1,1)*S4117,0)+IF(AND(AE4117&lt;&gt;"",COUNTIFS(tcTipo,AE4117,tcLiq,"Sí")&gt;0),S4117,0))</f>
        <v/>
      </c>
      <c r="AI4117" s="52">
        <f>IF(OR(L4117="",P4117=""),"",IF(COUNTIFS(L$6:L4117,L4117,P$6:P4117,"?*")=1,MAX(AI$5:AI4116)+1,""))</f>
        <v/>
      </c>
    </row>
    <row r="4118">
      <c r="B4118" s="47" t="n"/>
      <c r="C4118" s="48" t="n"/>
      <c r="D4118" s="48" t="n"/>
      <c r="E4118" s="48" t="n"/>
      <c r="F4118" s="48" t="n"/>
      <c r="G4118" s="49" t="n"/>
      <c r="H4118" s="48" t="n"/>
      <c r="I4118" s="50" t="n"/>
      <c r="J4118" s="48" t="n"/>
      <c r="K4118" s="48" t="n"/>
      <c r="L4118" s="48" t="n"/>
      <c r="M4118" s="48" t="n"/>
      <c r="N4118" s="48" t="n"/>
      <c r="O4118" s="51">
        <f>IF(AND(B4118="",G4118="",C4118="",D4118="",J4118=""),"",IF(B4118="","⚠ Falta fecha",IF(G4118="","⚠ Falta monto",IF(Q4118="","⚠ Falta cuenta",IF(ISNA(MATCH(Q4118,ctaNombre,0)),"⚠ Cuenta no registrada",IF(AND(OR(P4118="Gasto",P4118="Reembolso"),D4118=""),"⚠ Falta categoría",IF(AND(D4118&lt;&gt;"",E4118&lt;&gt;"",ISNA(MATCH(D4118&amp;"|"&amp;E4118,catClave,0))),"⚠ Subcategoría no corresponde",IF(AND(OR(P4118="Transferencia",P4118="Pago tarjeta"),K4118=""),"⚠ Falta cuenta destino",IF(AND(K4118&lt;&gt;"",P4118&lt;&gt;"Transferencia",P4118&lt;&gt;"Pago tarjeta"),"⚠ Destino solo aplica a transferencias",IF(AND(K4118&lt;&gt;"",K4118=Q4118),"⚠ Origen igual a destino",IF(AND(K4118&lt;&gt;"",ISNA(MATCH(K4118,ctaNombre,0))),"⚠ Destino no registrado",IF(AND(P4118="Pago tarjeta",AE4118&lt;&gt;"Tarjeta de crédito"),"⚠ El destino debe ser tarjeta de crédito",IF(AND(P4118="Gasto",E4118="Depósitos y retiros"),"⚠ Usa tipo Transferencia",IF(AND(P4118="Resultado trading",AD4118&lt;&gt;"Cuenta de trading"),"⚠ Usa una cuenta de trading",IF(AND(G4118&lt;=0,P4118&lt;&gt;"Ajuste",P4118&lt;&gt;"Resultado trading"),"⚠ El monto debe ser positivo","✓")))))))))))))))</f>
        <v/>
      </c>
      <c r="P4118" s="52">
        <f>IF(OR(B4118="",G4118=""),"",IF(C4118="","Gasto",C4118))</f>
        <v/>
      </c>
      <c r="Q4118" s="52">
        <f>IF(P4118="","",IF(J4118&lt;&gt;"",J4118,CuentaPred&amp;""))</f>
        <v/>
      </c>
      <c r="R4118" s="52">
        <f>IF(P4118="","",IF(ISNUMBER(I4118),I4118,TasaUSD))</f>
        <v/>
      </c>
      <c r="S4118" s="53">
        <f>IF(P4118="","",IF(H4118="USD",G4118*R4118,G4118))</f>
        <v/>
      </c>
      <c r="T4118" s="53">
        <f>IF(P4118="","",IF(H4118="USD",G4118,IF(R4118&gt;0,G4118/R4118,0)))</f>
        <v/>
      </c>
      <c r="U4118" s="53">
        <f>IF(P4118="","",IF(P4118="Gasto",S4118,IF(P4118="Reembolso",-S4118,0)))</f>
        <v/>
      </c>
      <c r="V4118" s="53">
        <f>IF(P4118="","",IF(P4118="Ingreso",S4118,0))</f>
        <v/>
      </c>
      <c r="W4118" s="53">
        <f>IF(P4118="","",IF(P4118="Resultado trading",S4118,0))</f>
        <v/>
      </c>
      <c r="X4118" s="52">
        <f>IF(OR(P4118="Gasto",P4118="Reembolso"),IF(M4118&lt;&gt;"",M4118,IFERROR(INDEX(catClasif,MATCH(D4118&amp;"|"&amp;E4118,catClave,0))&amp;"","Variable")),"")</f>
        <v/>
      </c>
      <c r="Y4118" s="52">
        <f>IF(P4118="","",IFERROR(INDEX(catGrupo,MATCH(D4118&amp;"|"&amp;E4118,catClave,0))&amp;"",""))</f>
        <v/>
      </c>
      <c r="Z4118" s="52">
        <f>IF(P4118="","",WEEKDAY(B4118,2))</f>
        <v/>
      </c>
      <c r="AA4118" s="52">
        <f>IF(P4118="","",IF(AND(P4118="Gasto",X4118="Variable",D4118&lt;&gt;catTrading,S4118&gt;0,S4118&lt;=Umbral),1,0))</f>
        <v/>
      </c>
      <c r="AB4118" s="52">
        <f>IF(OR(P4118="",Q4118=""),"",IFERROR(IF(INDEX(ctaVinc,MATCH(Q4118,ctaNombre,0))&amp;""&lt;&gt;"",INDEX(ctaVinc,MATCH(Q4118,ctaNombre,0))&amp;"",Q4118),Q4118))</f>
        <v/>
      </c>
      <c r="AC4118" s="52">
        <f>IF(OR(K4118="",AND(P4118&lt;&gt;"Transferencia",P4118&lt;&gt;"Pago tarjeta")),"",IFERROR(IF(INDEX(ctaVinc,MATCH(K4118,ctaNombre,0))&amp;""&lt;&gt;"",INDEX(ctaVinc,MATCH(K4118,ctaNombre,0))&amp;"",K4118),K4118))</f>
        <v/>
      </c>
      <c r="AD4118" s="52">
        <f>IF(AB4118="","",IFERROR(INDEX(ctaTipo,MATCH(AB4118,ctaNombre,0))&amp;"",""))</f>
        <v/>
      </c>
      <c r="AE4118" s="52">
        <f>IF(AC4118="","",IFERROR(INDEX(ctaTipo,MATCH(AC4118,ctaNombre,0))&amp;"",""))</f>
        <v/>
      </c>
      <c r="AF4118" s="53">
        <f>IF(OR(P4118="",AB4118=""),"",IF(OR(P4118="Gasto",P4118="Transferencia",P4118="Pago tarjeta"),-1,1)*IF(IFERROR(INDEX(ctaMoneda,MATCH(AB4118,ctaNombre,0))&amp;"","DOP")="USD",T4118,S4118))</f>
        <v/>
      </c>
      <c r="AG4118" s="53">
        <f>IF(AC4118="","",IF(IFERROR(INDEX(ctaMoneda,MATCH(AC4118,ctaNombre,0))&amp;"","DOP")="USD",T4118,S4118))</f>
        <v/>
      </c>
      <c r="AH4118" s="53">
        <f>IF(P4118="","",IF(AND(AD4118&lt;&gt;"",COUNTIFS(tcTipo,AD4118,tcLiq,"Sí")&gt;0),IF(OR(P4118="Gasto",P4118="Transferencia",P4118="Pago tarjeta"),-1,1)*S4118,0)+IF(AND(AE4118&lt;&gt;"",COUNTIFS(tcTipo,AE4118,tcLiq,"Sí")&gt;0),S4118,0))</f>
        <v/>
      </c>
      <c r="AI4118" s="52">
        <f>IF(OR(L4118="",P4118=""),"",IF(COUNTIFS(L$6:L4118,L4118,P$6:P4118,"?*")=1,MAX(AI$5:AI4117)+1,""))</f>
        <v/>
      </c>
    </row>
    <row r="4119">
      <c r="B4119" s="47" t="n"/>
      <c r="C4119" s="48" t="n"/>
      <c r="D4119" s="48" t="n"/>
      <c r="E4119" s="48" t="n"/>
      <c r="F4119" s="48" t="n"/>
      <c r="G4119" s="49" t="n"/>
      <c r="H4119" s="48" t="n"/>
      <c r="I4119" s="50" t="n"/>
      <c r="J4119" s="48" t="n"/>
      <c r="K4119" s="48" t="n"/>
      <c r="L4119" s="48" t="n"/>
      <c r="M4119" s="48" t="n"/>
      <c r="N4119" s="48" t="n"/>
      <c r="O4119" s="51">
        <f>IF(AND(B4119="",G4119="",C4119="",D4119="",J4119=""),"",IF(B4119="","⚠ Falta fecha",IF(G4119="","⚠ Falta monto",IF(Q4119="","⚠ Falta cuenta",IF(ISNA(MATCH(Q4119,ctaNombre,0)),"⚠ Cuenta no registrada",IF(AND(OR(P4119="Gasto",P4119="Reembolso"),D4119=""),"⚠ Falta categoría",IF(AND(D4119&lt;&gt;"",E4119&lt;&gt;"",ISNA(MATCH(D4119&amp;"|"&amp;E4119,catClave,0))),"⚠ Subcategoría no corresponde",IF(AND(OR(P4119="Transferencia",P4119="Pago tarjeta"),K4119=""),"⚠ Falta cuenta destino",IF(AND(K4119&lt;&gt;"",P4119&lt;&gt;"Transferencia",P4119&lt;&gt;"Pago tarjeta"),"⚠ Destino solo aplica a transferencias",IF(AND(K4119&lt;&gt;"",K4119=Q4119),"⚠ Origen igual a destino",IF(AND(K4119&lt;&gt;"",ISNA(MATCH(K4119,ctaNombre,0))),"⚠ Destino no registrado",IF(AND(P4119="Pago tarjeta",AE4119&lt;&gt;"Tarjeta de crédito"),"⚠ El destino debe ser tarjeta de crédito",IF(AND(P4119="Gasto",E4119="Depósitos y retiros"),"⚠ Usa tipo Transferencia",IF(AND(P4119="Resultado trading",AD4119&lt;&gt;"Cuenta de trading"),"⚠ Usa una cuenta de trading",IF(AND(G4119&lt;=0,P4119&lt;&gt;"Ajuste",P4119&lt;&gt;"Resultado trading"),"⚠ El monto debe ser positivo","✓")))))))))))))))</f>
        <v/>
      </c>
      <c r="P4119" s="52">
        <f>IF(OR(B4119="",G4119=""),"",IF(C4119="","Gasto",C4119))</f>
        <v/>
      </c>
      <c r="Q4119" s="52">
        <f>IF(P4119="","",IF(J4119&lt;&gt;"",J4119,CuentaPred&amp;""))</f>
        <v/>
      </c>
      <c r="R4119" s="52">
        <f>IF(P4119="","",IF(ISNUMBER(I4119),I4119,TasaUSD))</f>
        <v/>
      </c>
      <c r="S4119" s="53">
        <f>IF(P4119="","",IF(H4119="USD",G4119*R4119,G4119))</f>
        <v/>
      </c>
      <c r="T4119" s="53">
        <f>IF(P4119="","",IF(H4119="USD",G4119,IF(R4119&gt;0,G4119/R4119,0)))</f>
        <v/>
      </c>
      <c r="U4119" s="53">
        <f>IF(P4119="","",IF(P4119="Gasto",S4119,IF(P4119="Reembolso",-S4119,0)))</f>
        <v/>
      </c>
      <c r="V4119" s="53">
        <f>IF(P4119="","",IF(P4119="Ingreso",S4119,0))</f>
        <v/>
      </c>
      <c r="W4119" s="53">
        <f>IF(P4119="","",IF(P4119="Resultado trading",S4119,0))</f>
        <v/>
      </c>
      <c r="X4119" s="52">
        <f>IF(OR(P4119="Gasto",P4119="Reembolso"),IF(M4119&lt;&gt;"",M4119,IFERROR(INDEX(catClasif,MATCH(D4119&amp;"|"&amp;E4119,catClave,0))&amp;"","Variable")),"")</f>
        <v/>
      </c>
      <c r="Y4119" s="52">
        <f>IF(P4119="","",IFERROR(INDEX(catGrupo,MATCH(D4119&amp;"|"&amp;E4119,catClave,0))&amp;"",""))</f>
        <v/>
      </c>
      <c r="Z4119" s="52">
        <f>IF(P4119="","",WEEKDAY(B4119,2))</f>
        <v/>
      </c>
      <c r="AA4119" s="52">
        <f>IF(P4119="","",IF(AND(P4119="Gasto",X4119="Variable",D4119&lt;&gt;catTrading,S4119&gt;0,S4119&lt;=Umbral),1,0))</f>
        <v/>
      </c>
      <c r="AB4119" s="52">
        <f>IF(OR(P4119="",Q4119=""),"",IFERROR(IF(INDEX(ctaVinc,MATCH(Q4119,ctaNombre,0))&amp;""&lt;&gt;"",INDEX(ctaVinc,MATCH(Q4119,ctaNombre,0))&amp;"",Q4119),Q4119))</f>
        <v/>
      </c>
      <c r="AC4119" s="52">
        <f>IF(OR(K4119="",AND(P4119&lt;&gt;"Transferencia",P4119&lt;&gt;"Pago tarjeta")),"",IFERROR(IF(INDEX(ctaVinc,MATCH(K4119,ctaNombre,0))&amp;""&lt;&gt;"",INDEX(ctaVinc,MATCH(K4119,ctaNombre,0))&amp;"",K4119),K4119))</f>
        <v/>
      </c>
      <c r="AD4119" s="52">
        <f>IF(AB4119="","",IFERROR(INDEX(ctaTipo,MATCH(AB4119,ctaNombre,0))&amp;"",""))</f>
        <v/>
      </c>
      <c r="AE4119" s="52">
        <f>IF(AC4119="","",IFERROR(INDEX(ctaTipo,MATCH(AC4119,ctaNombre,0))&amp;"",""))</f>
        <v/>
      </c>
      <c r="AF4119" s="53">
        <f>IF(OR(P4119="",AB4119=""),"",IF(OR(P4119="Gasto",P4119="Transferencia",P4119="Pago tarjeta"),-1,1)*IF(IFERROR(INDEX(ctaMoneda,MATCH(AB4119,ctaNombre,0))&amp;"","DOP")="USD",T4119,S4119))</f>
        <v/>
      </c>
      <c r="AG4119" s="53">
        <f>IF(AC4119="","",IF(IFERROR(INDEX(ctaMoneda,MATCH(AC4119,ctaNombre,0))&amp;"","DOP")="USD",T4119,S4119))</f>
        <v/>
      </c>
      <c r="AH4119" s="53">
        <f>IF(P4119="","",IF(AND(AD4119&lt;&gt;"",COUNTIFS(tcTipo,AD4119,tcLiq,"Sí")&gt;0),IF(OR(P4119="Gasto",P4119="Transferencia",P4119="Pago tarjeta"),-1,1)*S4119,0)+IF(AND(AE4119&lt;&gt;"",COUNTIFS(tcTipo,AE4119,tcLiq,"Sí")&gt;0),S4119,0))</f>
        <v/>
      </c>
      <c r="AI4119" s="52">
        <f>IF(OR(L4119="",P4119=""),"",IF(COUNTIFS(L$6:L4119,L4119,P$6:P4119,"?*")=1,MAX(AI$5:AI4118)+1,""))</f>
        <v/>
      </c>
    </row>
    <row r="4120">
      <c r="B4120" s="47" t="n"/>
      <c r="C4120" s="48" t="n"/>
      <c r="D4120" s="48" t="n"/>
      <c r="E4120" s="48" t="n"/>
      <c r="F4120" s="48" t="n"/>
      <c r="G4120" s="49" t="n"/>
      <c r="H4120" s="48" t="n"/>
      <c r="I4120" s="50" t="n"/>
      <c r="J4120" s="48" t="n"/>
      <c r="K4120" s="48" t="n"/>
      <c r="L4120" s="48" t="n"/>
      <c r="M4120" s="48" t="n"/>
      <c r="N4120" s="48" t="n"/>
      <c r="O4120" s="51">
        <f>IF(AND(B4120="",G4120="",C4120="",D4120="",J4120=""),"",IF(B4120="","⚠ Falta fecha",IF(G4120="","⚠ Falta monto",IF(Q4120="","⚠ Falta cuenta",IF(ISNA(MATCH(Q4120,ctaNombre,0)),"⚠ Cuenta no registrada",IF(AND(OR(P4120="Gasto",P4120="Reembolso"),D4120=""),"⚠ Falta categoría",IF(AND(D4120&lt;&gt;"",E4120&lt;&gt;"",ISNA(MATCH(D4120&amp;"|"&amp;E4120,catClave,0))),"⚠ Subcategoría no corresponde",IF(AND(OR(P4120="Transferencia",P4120="Pago tarjeta"),K4120=""),"⚠ Falta cuenta destino",IF(AND(K4120&lt;&gt;"",P4120&lt;&gt;"Transferencia",P4120&lt;&gt;"Pago tarjeta"),"⚠ Destino solo aplica a transferencias",IF(AND(K4120&lt;&gt;"",K4120=Q4120),"⚠ Origen igual a destino",IF(AND(K4120&lt;&gt;"",ISNA(MATCH(K4120,ctaNombre,0))),"⚠ Destino no registrado",IF(AND(P4120="Pago tarjeta",AE4120&lt;&gt;"Tarjeta de crédito"),"⚠ El destino debe ser tarjeta de crédito",IF(AND(P4120="Gasto",E4120="Depósitos y retiros"),"⚠ Usa tipo Transferencia",IF(AND(P4120="Resultado trading",AD4120&lt;&gt;"Cuenta de trading"),"⚠ Usa una cuenta de trading",IF(AND(G4120&lt;=0,P4120&lt;&gt;"Ajuste",P4120&lt;&gt;"Resultado trading"),"⚠ El monto debe ser positivo","✓")))))))))))))))</f>
        <v/>
      </c>
      <c r="P4120" s="52">
        <f>IF(OR(B4120="",G4120=""),"",IF(C4120="","Gasto",C4120))</f>
        <v/>
      </c>
      <c r="Q4120" s="52">
        <f>IF(P4120="","",IF(J4120&lt;&gt;"",J4120,CuentaPred&amp;""))</f>
        <v/>
      </c>
      <c r="R4120" s="52">
        <f>IF(P4120="","",IF(ISNUMBER(I4120),I4120,TasaUSD))</f>
        <v/>
      </c>
      <c r="S4120" s="53">
        <f>IF(P4120="","",IF(H4120="USD",G4120*R4120,G4120))</f>
        <v/>
      </c>
      <c r="T4120" s="53">
        <f>IF(P4120="","",IF(H4120="USD",G4120,IF(R4120&gt;0,G4120/R4120,0)))</f>
        <v/>
      </c>
      <c r="U4120" s="53">
        <f>IF(P4120="","",IF(P4120="Gasto",S4120,IF(P4120="Reembolso",-S4120,0)))</f>
        <v/>
      </c>
      <c r="V4120" s="53">
        <f>IF(P4120="","",IF(P4120="Ingreso",S4120,0))</f>
        <v/>
      </c>
      <c r="W4120" s="53">
        <f>IF(P4120="","",IF(P4120="Resultado trading",S4120,0))</f>
        <v/>
      </c>
      <c r="X4120" s="52">
        <f>IF(OR(P4120="Gasto",P4120="Reembolso"),IF(M4120&lt;&gt;"",M4120,IFERROR(INDEX(catClasif,MATCH(D4120&amp;"|"&amp;E4120,catClave,0))&amp;"","Variable")),"")</f>
        <v/>
      </c>
      <c r="Y4120" s="52">
        <f>IF(P4120="","",IFERROR(INDEX(catGrupo,MATCH(D4120&amp;"|"&amp;E4120,catClave,0))&amp;"",""))</f>
        <v/>
      </c>
      <c r="Z4120" s="52">
        <f>IF(P4120="","",WEEKDAY(B4120,2))</f>
        <v/>
      </c>
      <c r="AA4120" s="52">
        <f>IF(P4120="","",IF(AND(P4120="Gasto",X4120="Variable",D4120&lt;&gt;catTrading,S4120&gt;0,S4120&lt;=Umbral),1,0))</f>
        <v/>
      </c>
      <c r="AB4120" s="52">
        <f>IF(OR(P4120="",Q4120=""),"",IFERROR(IF(INDEX(ctaVinc,MATCH(Q4120,ctaNombre,0))&amp;""&lt;&gt;"",INDEX(ctaVinc,MATCH(Q4120,ctaNombre,0))&amp;"",Q4120),Q4120))</f>
        <v/>
      </c>
      <c r="AC4120" s="52">
        <f>IF(OR(K4120="",AND(P4120&lt;&gt;"Transferencia",P4120&lt;&gt;"Pago tarjeta")),"",IFERROR(IF(INDEX(ctaVinc,MATCH(K4120,ctaNombre,0))&amp;""&lt;&gt;"",INDEX(ctaVinc,MATCH(K4120,ctaNombre,0))&amp;"",K4120),K4120))</f>
        <v/>
      </c>
      <c r="AD4120" s="52">
        <f>IF(AB4120="","",IFERROR(INDEX(ctaTipo,MATCH(AB4120,ctaNombre,0))&amp;"",""))</f>
        <v/>
      </c>
      <c r="AE4120" s="52">
        <f>IF(AC4120="","",IFERROR(INDEX(ctaTipo,MATCH(AC4120,ctaNombre,0))&amp;"",""))</f>
        <v/>
      </c>
      <c r="AF4120" s="53">
        <f>IF(OR(P4120="",AB4120=""),"",IF(OR(P4120="Gasto",P4120="Transferencia",P4120="Pago tarjeta"),-1,1)*IF(IFERROR(INDEX(ctaMoneda,MATCH(AB4120,ctaNombre,0))&amp;"","DOP")="USD",T4120,S4120))</f>
        <v/>
      </c>
      <c r="AG4120" s="53">
        <f>IF(AC4120="","",IF(IFERROR(INDEX(ctaMoneda,MATCH(AC4120,ctaNombre,0))&amp;"","DOP")="USD",T4120,S4120))</f>
        <v/>
      </c>
      <c r="AH4120" s="53">
        <f>IF(P4120="","",IF(AND(AD4120&lt;&gt;"",COUNTIFS(tcTipo,AD4120,tcLiq,"Sí")&gt;0),IF(OR(P4120="Gasto",P4120="Transferencia",P4120="Pago tarjeta"),-1,1)*S4120,0)+IF(AND(AE4120&lt;&gt;"",COUNTIFS(tcTipo,AE4120,tcLiq,"Sí")&gt;0),S4120,0))</f>
        <v/>
      </c>
      <c r="AI4120" s="52">
        <f>IF(OR(L4120="",P4120=""),"",IF(COUNTIFS(L$6:L4120,L4120,P$6:P4120,"?*")=1,MAX(AI$5:AI4119)+1,""))</f>
        <v/>
      </c>
    </row>
    <row r="4121">
      <c r="B4121" s="47" t="n"/>
      <c r="C4121" s="48" t="n"/>
      <c r="D4121" s="48" t="n"/>
      <c r="E4121" s="48" t="n"/>
      <c r="F4121" s="48" t="n"/>
      <c r="G4121" s="49" t="n"/>
      <c r="H4121" s="48" t="n"/>
      <c r="I4121" s="50" t="n"/>
      <c r="J4121" s="48" t="n"/>
      <c r="K4121" s="48" t="n"/>
      <c r="L4121" s="48" t="n"/>
      <c r="M4121" s="48" t="n"/>
      <c r="N4121" s="48" t="n"/>
      <c r="O4121" s="51">
        <f>IF(AND(B4121="",G4121="",C4121="",D4121="",J4121=""),"",IF(B4121="","⚠ Falta fecha",IF(G4121="","⚠ Falta monto",IF(Q4121="","⚠ Falta cuenta",IF(ISNA(MATCH(Q4121,ctaNombre,0)),"⚠ Cuenta no registrada",IF(AND(OR(P4121="Gasto",P4121="Reembolso"),D4121=""),"⚠ Falta categoría",IF(AND(D4121&lt;&gt;"",E4121&lt;&gt;"",ISNA(MATCH(D4121&amp;"|"&amp;E4121,catClave,0))),"⚠ Subcategoría no corresponde",IF(AND(OR(P4121="Transferencia",P4121="Pago tarjeta"),K4121=""),"⚠ Falta cuenta destino",IF(AND(K4121&lt;&gt;"",P4121&lt;&gt;"Transferencia",P4121&lt;&gt;"Pago tarjeta"),"⚠ Destino solo aplica a transferencias",IF(AND(K4121&lt;&gt;"",K4121=Q4121),"⚠ Origen igual a destino",IF(AND(K4121&lt;&gt;"",ISNA(MATCH(K4121,ctaNombre,0))),"⚠ Destino no registrado",IF(AND(P4121="Pago tarjeta",AE4121&lt;&gt;"Tarjeta de crédito"),"⚠ El destino debe ser tarjeta de crédito",IF(AND(P4121="Gasto",E4121="Depósitos y retiros"),"⚠ Usa tipo Transferencia",IF(AND(P4121="Resultado trading",AD4121&lt;&gt;"Cuenta de trading"),"⚠ Usa una cuenta de trading",IF(AND(G4121&lt;=0,P4121&lt;&gt;"Ajuste",P4121&lt;&gt;"Resultado trading"),"⚠ El monto debe ser positivo","✓")))))))))))))))</f>
        <v/>
      </c>
      <c r="P4121" s="52">
        <f>IF(OR(B4121="",G4121=""),"",IF(C4121="","Gasto",C4121))</f>
        <v/>
      </c>
      <c r="Q4121" s="52">
        <f>IF(P4121="","",IF(J4121&lt;&gt;"",J4121,CuentaPred&amp;""))</f>
        <v/>
      </c>
      <c r="R4121" s="52">
        <f>IF(P4121="","",IF(ISNUMBER(I4121),I4121,TasaUSD))</f>
        <v/>
      </c>
      <c r="S4121" s="53">
        <f>IF(P4121="","",IF(H4121="USD",G4121*R4121,G4121))</f>
        <v/>
      </c>
      <c r="T4121" s="53">
        <f>IF(P4121="","",IF(H4121="USD",G4121,IF(R4121&gt;0,G4121/R4121,0)))</f>
        <v/>
      </c>
      <c r="U4121" s="53">
        <f>IF(P4121="","",IF(P4121="Gasto",S4121,IF(P4121="Reembolso",-S4121,0)))</f>
        <v/>
      </c>
      <c r="V4121" s="53">
        <f>IF(P4121="","",IF(P4121="Ingreso",S4121,0))</f>
        <v/>
      </c>
      <c r="W4121" s="53">
        <f>IF(P4121="","",IF(P4121="Resultado trading",S4121,0))</f>
        <v/>
      </c>
      <c r="X4121" s="52">
        <f>IF(OR(P4121="Gasto",P4121="Reembolso"),IF(M4121&lt;&gt;"",M4121,IFERROR(INDEX(catClasif,MATCH(D4121&amp;"|"&amp;E4121,catClave,0))&amp;"","Variable")),"")</f>
        <v/>
      </c>
      <c r="Y4121" s="52">
        <f>IF(P4121="","",IFERROR(INDEX(catGrupo,MATCH(D4121&amp;"|"&amp;E4121,catClave,0))&amp;"",""))</f>
        <v/>
      </c>
      <c r="Z4121" s="52">
        <f>IF(P4121="","",WEEKDAY(B4121,2))</f>
        <v/>
      </c>
      <c r="AA4121" s="52">
        <f>IF(P4121="","",IF(AND(P4121="Gasto",X4121="Variable",D4121&lt;&gt;catTrading,S4121&gt;0,S4121&lt;=Umbral),1,0))</f>
        <v/>
      </c>
      <c r="AB4121" s="52">
        <f>IF(OR(P4121="",Q4121=""),"",IFERROR(IF(INDEX(ctaVinc,MATCH(Q4121,ctaNombre,0))&amp;""&lt;&gt;"",INDEX(ctaVinc,MATCH(Q4121,ctaNombre,0))&amp;"",Q4121),Q4121))</f>
        <v/>
      </c>
      <c r="AC4121" s="52">
        <f>IF(OR(K4121="",AND(P4121&lt;&gt;"Transferencia",P4121&lt;&gt;"Pago tarjeta")),"",IFERROR(IF(INDEX(ctaVinc,MATCH(K4121,ctaNombre,0))&amp;""&lt;&gt;"",INDEX(ctaVinc,MATCH(K4121,ctaNombre,0))&amp;"",K4121),K4121))</f>
        <v/>
      </c>
      <c r="AD4121" s="52">
        <f>IF(AB4121="","",IFERROR(INDEX(ctaTipo,MATCH(AB4121,ctaNombre,0))&amp;"",""))</f>
        <v/>
      </c>
      <c r="AE4121" s="52">
        <f>IF(AC4121="","",IFERROR(INDEX(ctaTipo,MATCH(AC4121,ctaNombre,0))&amp;"",""))</f>
        <v/>
      </c>
      <c r="AF4121" s="53">
        <f>IF(OR(P4121="",AB4121=""),"",IF(OR(P4121="Gasto",P4121="Transferencia",P4121="Pago tarjeta"),-1,1)*IF(IFERROR(INDEX(ctaMoneda,MATCH(AB4121,ctaNombre,0))&amp;"","DOP")="USD",T4121,S4121))</f>
        <v/>
      </c>
      <c r="AG4121" s="53">
        <f>IF(AC4121="","",IF(IFERROR(INDEX(ctaMoneda,MATCH(AC4121,ctaNombre,0))&amp;"","DOP")="USD",T4121,S4121))</f>
        <v/>
      </c>
      <c r="AH4121" s="53">
        <f>IF(P4121="","",IF(AND(AD4121&lt;&gt;"",COUNTIFS(tcTipo,AD4121,tcLiq,"Sí")&gt;0),IF(OR(P4121="Gasto",P4121="Transferencia",P4121="Pago tarjeta"),-1,1)*S4121,0)+IF(AND(AE4121&lt;&gt;"",COUNTIFS(tcTipo,AE4121,tcLiq,"Sí")&gt;0),S4121,0))</f>
        <v/>
      </c>
      <c r="AI4121" s="52">
        <f>IF(OR(L4121="",P4121=""),"",IF(COUNTIFS(L$6:L4121,L4121,P$6:P4121,"?*")=1,MAX(AI$5:AI4120)+1,""))</f>
        <v/>
      </c>
    </row>
    <row r="4122">
      <c r="B4122" s="47" t="n"/>
      <c r="C4122" s="48" t="n"/>
      <c r="D4122" s="48" t="n"/>
      <c r="E4122" s="48" t="n"/>
      <c r="F4122" s="48" t="n"/>
      <c r="G4122" s="49" t="n"/>
      <c r="H4122" s="48" t="n"/>
      <c r="I4122" s="50" t="n"/>
      <c r="J4122" s="48" t="n"/>
      <c r="K4122" s="48" t="n"/>
      <c r="L4122" s="48" t="n"/>
      <c r="M4122" s="48" t="n"/>
      <c r="N4122" s="48" t="n"/>
      <c r="O4122" s="51">
        <f>IF(AND(B4122="",G4122="",C4122="",D4122="",J4122=""),"",IF(B4122="","⚠ Falta fecha",IF(G4122="","⚠ Falta monto",IF(Q4122="","⚠ Falta cuenta",IF(ISNA(MATCH(Q4122,ctaNombre,0)),"⚠ Cuenta no registrada",IF(AND(OR(P4122="Gasto",P4122="Reembolso"),D4122=""),"⚠ Falta categoría",IF(AND(D4122&lt;&gt;"",E4122&lt;&gt;"",ISNA(MATCH(D4122&amp;"|"&amp;E4122,catClave,0))),"⚠ Subcategoría no corresponde",IF(AND(OR(P4122="Transferencia",P4122="Pago tarjeta"),K4122=""),"⚠ Falta cuenta destino",IF(AND(K4122&lt;&gt;"",P4122&lt;&gt;"Transferencia",P4122&lt;&gt;"Pago tarjeta"),"⚠ Destino solo aplica a transferencias",IF(AND(K4122&lt;&gt;"",K4122=Q4122),"⚠ Origen igual a destino",IF(AND(K4122&lt;&gt;"",ISNA(MATCH(K4122,ctaNombre,0))),"⚠ Destino no registrado",IF(AND(P4122="Pago tarjeta",AE4122&lt;&gt;"Tarjeta de crédito"),"⚠ El destino debe ser tarjeta de crédito",IF(AND(P4122="Gasto",E4122="Depósitos y retiros"),"⚠ Usa tipo Transferencia",IF(AND(P4122="Resultado trading",AD4122&lt;&gt;"Cuenta de trading"),"⚠ Usa una cuenta de trading",IF(AND(G4122&lt;=0,P4122&lt;&gt;"Ajuste",P4122&lt;&gt;"Resultado trading"),"⚠ El monto debe ser positivo","✓")))))))))))))))</f>
        <v/>
      </c>
      <c r="P4122" s="52">
        <f>IF(OR(B4122="",G4122=""),"",IF(C4122="","Gasto",C4122))</f>
        <v/>
      </c>
      <c r="Q4122" s="52">
        <f>IF(P4122="","",IF(J4122&lt;&gt;"",J4122,CuentaPred&amp;""))</f>
        <v/>
      </c>
      <c r="R4122" s="52">
        <f>IF(P4122="","",IF(ISNUMBER(I4122),I4122,TasaUSD))</f>
        <v/>
      </c>
      <c r="S4122" s="53">
        <f>IF(P4122="","",IF(H4122="USD",G4122*R4122,G4122))</f>
        <v/>
      </c>
      <c r="T4122" s="53">
        <f>IF(P4122="","",IF(H4122="USD",G4122,IF(R4122&gt;0,G4122/R4122,0)))</f>
        <v/>
      </c>
      <c r="U4122" s="53">
        <f>IF(P4122="","",IF(P4122="Gasto",S4122,IF(P4122="Reembolso",-S4122,0)))</f>
        <v/>
      </c>
      <c r="V4122" s="53">
        <f>IF(P4122="","",IF(P4122="Ingreso",S4122,0))</f>
        <v/>
      </c>
      <c r="W4122" s="53">
        <f>IF(P4122="","",IF(P4122="Resultado trading",S4122,0))</f>
        <v/>
      </c>
      <c r="X4122" s="52">
        <f>IF(OR(P4122="Gasto",P4122="Reembolso"),IF(M4122&lt;&gt;"",M4122,IFERROR(INDEX(catClasif,MATCH(D4122&amp;"|"&amp;E4122,catClave,0))&amp;"","Variable")),"")</f>
        <v/>
      </c>
      <c r="Y4122" s="52">
        <f>IF(P4122="","",IFERROR(INDEX(catGrupo,MATCH(D4122&amp;"|"&amp;E4122,catClave,0))&amp;"",""))</f>
        <v/>
      </c>
      <c r="Z4122" s="52">
        <f>IF(P4122="","",WEEKDAY(B4122,2))</f>
        <v/>
      </c>
      <c r="AA4122" s="52">
        <f>IF(P4122="","",IF(AND(P4122="Gasto",X4122="Variable",D4122&lt;&gt;catTrading,S4122&gt;0,S4122&lt;=Umbral),1,0))</f>
        <v/>
      </c>
      <c r="AB4122" s="52">
        <f>IF(OR(P4122="",Q4122=""),"",IFERROR(IF(INDEX(ctaVinc,MATCH(Q4122,ctaNombre,0))&amp;""&lt;&gt;"",INDEX(ctaVinc,MATCH(Q4122,ctaNombre,0))&amp;"",Q4122),Q4122))</f>
        <v/>
      </c>
      <c r="AC4122" s="52">
        <f>IF(OR(K4122="",AND(P4122&lt;&gt;"Transferencia",P4122&lt;&gt;"Pago tarjeta")),"",IFERROR(IF(INDEX(ctaVinc,MATCH(K4122,ctaNombre,0))&amp;""&lt;&gt;"",INDEX(ctaVinc,MATCH(K4122,ctaNombre,0))&amp;"",K4122),K4122))</f>
        <v/>
      </c>
      <c r="AD4122" s="52">
        <f>IF(AB4122="","",IFERROR(INDEX(ctaTipo,MATCH(AB4122,ctaNombre,0))&amp;"",""))</f>
        <v/>
      </c>
      <c r="AE4122" s="52">
        <f>IF(AC4122="","",IFERROR(INDEX(ctaTipo,MATCH(AC4122,ctaNombre,0))&amp;"",""))</f>
        <v/>
      </c>
      <c r="AF4122" s="53">
        <f>IF(OR(P4122="",AB4122=""),"",IF(OR(P4122="Gasto",P4122="Transferencia",P4122="Pago tarjeta"),-1,1)*IF(IFERROR(INDEX(ctaMoneda,MATCH(AB4122,ctaNombre,0))&amp;"","DOP")="USD",T4122,S4122))</f>
        <v/>
      </c>
      <c r="AG4122" s="53">
        <f>IF(AC4122="","",IF(IFERROR(INDEX(ctaMoneda,MATCH(AC4122,ctaNombre,0))&amp;"","DOP")="USD",T4122,S4122))</f>
        <v/>
      </c>
      <c r="AH4122" s="53">
        <f>IF(P4122="","",IF(AND(AD4122&lt;&gt;"",COUNTIFS(tcTipo,AD4122,tcLiq,"Sí")&gt;0),IF(OR(P4122="Gasto",P4122="Transferencia",P4122="Pago tarjeta"),-1,1)*S4122,0)+IF(AND(AE4122&lt;&gt;"",COUNTIFS(tcTipo,AE4122,tcLiq,"Sí")&gt;0),S4122,0))</f>
        <v/>
      </c>
      <c r="AI4122" s="52">
        <f>IF(OR(L4122="",P4122=""),"",IF(COUNTIFS(L$6:L4122,L4122,P$6:P4122,"?*")=1,MAX(AI$5:AI4121)+1,""))</f>
        <v/>
      </c>
    </row>
    <row r="4123">
      <c r="B4123" s="47" t="n"/>
      <c r="C4123" s="48" t="n"/>
      <c r="D4123" s="48" t="n"/>
      <c r="E4123" s="48" t="n"/>
      <c r="F4123" s="48" t="n"/>
      <c r="G4123" s="49" t="n"/>
      <c r="H4123" s="48" t="n"/>
      <c r="I4123" s="50" t="n"/>
      <c r="J4123" s="48" t="n"/>
      <c r="K4123" s="48" t="n"/>
      <c r="L4123" s="48" t="n"/>
      <c r="M4123" s="48" t="n"/>
      <c r="N4123" s="48" t="n"/>
      <c r="O4123" s="51">
        <f>IF(AND(B4123="",G4123="",C4123="",D4123="",J4123=""),"",IF(B4123="","⚠ Falta fecha",IF(G4123="","⚠ Falta monto",IF(Q4123="","⚠ Falta cuenta",IF(ISNA(MATCH(Q4123,ctaNombre,0)),"⚠ Cuenta no registrada",IF(AND(OR(P4123="Gasto",P4123="Reembolso"),D4123=""),"⚠ Falta categoría",IF(AND(D4123&lt;&gt;"",E4123&lt;&gt;"",ISNA(MATCH(D4123&amp;"|"&amp;E4123,catClave,0))),"⚠ Subcategoría no corresponde",IF(AND(OR(P4123="Transferencia",P4123="Pago tarjeta"),K4123=""),"⚠ Falta cuenta destino",IF(AND(K4123&lt;&gt;"",P4123&lt;&gt;"Transferencia",P4123&lt;&gt;"Pago tarjeta"),"⚠ Destino solo aplica a transferencias",IF(AND(K4123&lt;&gt;"",K4123=Q4123),"⚠ Origen igual a destino",IF(AND(K4123&lt;&gt;"",ISNA(MATCH(K4123,ctaNombre,0))),"⚠ Destino no registrado",IF(AND(P4123="Pago tarjeta",AE4123&lt;&gt;"Tarjeta de crédito"),"⚠ El destino debe ser tarjeta de crédito",IF(AND(P4123="Gasto",E4123="Depósitos y retiros"),"⚠ Usa tipo Transferencia",IF(AND(P4123="Resultado trading",AD4123&lt;&gt;"Cuenta de trading"),"⚠ Usa una cuenta de trading",IF(AND(G4123&lt;=0,P4123&lt;&gt;"Ajuste",P4123&lt;&gt;"Resultado trading"),"⚠ El monto debe ser positivo","✓")))))))))))))))</f>
        <v/>
      </c>
      <c r="P4123" s="52">
        <f>IF(OR(B4123="",G4123=""),"",IF(C4123="","Gasto",C4123))</f>
        <v/>
      </c>
      <c r="Q4123" s="52">
        <f>IF(P4123="","",IF(J4123&lt;&gt;"",J4123,CuentaPred&amp;""))</f>
        <v/>
      </c>
      <c r="R4123" s="52">
        <f>IF(P4123="","",IF(ISNUMBER(I4123),I4123,TasaUSD))</f>
        <v/>
      </c>
      <c r="S4123" s="53">
        <f>IF(P4123="","",IF(H4123="USD",G4123*R4123,G4123))</f>
        <v/>
      </c>
      <c r="T4123" s="53">
        <f>IF(P4123="","",IF(H4123="USD",G4123,IF(R4123&gt;0,G4123/R4123,0)))</f>
        <v/>
      </c>
      <c r="U4123" s="53">
        <f>IF(P4123="","",IF(P4123="Gasto",S4123,IF(P4123="Reembolso",-S4123,0)))</f>
        <v/>
      </c>
      <c r="V4123" s="53">
        <f>IF(P4123="","",IF(P4123="Ingreso",S4123,0))</f>
        <v/>
      </c>
      <c r="W4123" s="53">
        <f>IF(P4123="","",IF(P4123="Resultado trading",S4123,0))</f>
        <v/>
      </c>
      <c r="X4123" s="52">
        <f>IF(OR(P4123="Gasto",P4123="Reembolso"),IF(M4123&lt;&gt;"",M4123,IFERROR(INDEX(catClasif,MATCH(D4123&amp;"|"&amp;E4123,catClave,0))&amp;"","Variable")),"")</f>
        <v/>
      </c>
      <c r="Y4123" s="52">
        <f>IF(P4123="","",IFERROR(INDEX(catGrupo,MATCH(D4123&amp;"|"&amp;E4123,catClave,0))&amp;"",""))</f>
        <v/>
      </c>
      <c r="Z4123" s="52">
        <f>IF(P4123="","",WEEKDAY(B4123,2))</f>
        <v/>
      </c>
      <c r="AA4123" s="52">
        <f>IF(P4123="","",IF(AND(P4123="Gasto",X4123="Variable",D4123&lt;&gt;catTrading,S4123&gt;0,S4123&lt;=Umbral),1,0))</f>
        <v/>
      </c>
      <c r="AB4123" s="52">
        <f>IF(OR(P4123="",Q4123=""),"",IFERROR(IF(INDEX(ctaVinc,MATCH(Q4123,ctaNombre,0))&amp;""&lt;&gt;"",INDEX(ctaVinc,MATCH(Q4123,ctaNombre,0))&amp;"",Q4123),Q4123))</f>
        <v/>
      </c>
      <c r="AC4123" s="52">
        <f>IF(OR(K4123="",AND(P4123&lt;&gt;"Transferencia",P4123&lt;&gt;"Pago tarjeta")),"",IFERROR(IF(INDEX(ctaVinc,MATCH(K4123,ctaNombre,0))&amp;""&lt;&gt;"",INDEX(ctaVinc,MATCH(K4123,ctaNombre,0))&amp;"",K4123),K4123))</f>
        <v/>
      </c>
      <c r="AD4123" s="52">
        <f>IF(AB4123="","",IFERROR(INDEX(ctaTipo,MATCH(AB4123,ctaNombre,0))&amp;"",""))</f>
        <v/>
      </c>
      <c r="AE4123" s="52">
        <f>IF(AC4123="","",IFERROR(INDEX(ctaTipo,MATCH(AC4123,ctaNombre,0))&amp;"",""))</f>
        <v/>
      </c>
      <c r="AF4123" s="53">
        <f>IF(OR(P4123="",AB4123=""),"",IF(OR(P4123="Gasto",P4123="Transferencia",P4123="Pago tarjeta"),-1,1)*IF(IFERROR(INDEX(ctaMoneda,MATCH(AB4123,ctaNombre,0))&amp;"","DOP")="USD",T4123,S4123))</f>
        <v/>
      </c>
      <c r="AG4123" s="53">
        <f>IF(AC4123="","",IF(IFERROR(INDEX(ctaMoneda,MATCH(AC4123,ctaNombre,0))&amp;"","DOP")="USD",T4123,S4123))</f>
        <v/>
      </c>
      <c r="AH4123" s="53">
        <f>IF(P4123="","",IF(AND(AD4123&lt;&gt;"",COUNTIFS(tcTipo,AD4123,tcLiq,"Sí")&gt;0),IF(OR(P4123="Gasto",P4123="Transferencia",P4123="Pago tarjeta"),-1,1)*S4123,0)+IF(AND(AE4123&lt;&gt;"",COUNTIFS(tcTipo,AE4123,tcLiq,"Sí")&gt;0),S4123,0))</f>
        <v/>
      </c>
      <c r="AI4123" s="52">
        <f>IF(OR(L4123="",P4123=""),"",IF(COUNTIFS(L$6:L4123,L4123,P$6:P4123,"?*")=1,MAX(AI$5:AI4122)+1,""))</f>
        <v/>
      </c>
    </row>
    <row r="4124">
      <c r="B4124" s="47" t="n"/>
      <c r="C4124" s="48" t="n"/>
      <c r="D4124" s="48" t="n"/>
      <c r="E4124" s="48" t="n"/>
      <c r="F4124" s="48" t="n"/>
      <c r="G4124" s="49" t="n"/>
      <c r="H4124" s="48" t="n"/>
      <c r="I4124" s="50" t="n"/>
      <c r="J4124" s="48" t="n"/>
      <c r="K4124" s="48" t="n"/>
      <c r="L4124" s="48" t="n"/>
      <c r="M4124" s="48" t="n"/>
      <c r="N4124" s="48" t="n"/>
      <c r="O4124" s="51">
        <f>IF(AND(B4124="",G4124="",C4124="",D4124="",J4124=""),"",IF(B4124="","⚠ Falta fecha",IF(G4124="","⚠ Falta monto",IF(Q4124="","⚠ Falta cuenta",IF(ISNA(MATCH(Q4124,ctaNombre,0)),"⚠ Cuenta no registrada",IF(AND(OR(P4124="Gasto",P4124="Reembolso"),D4124=""),"⚠ Falta categoría",IF(AND(D4124&lt;&gt;"",E4124&lt;&gt;"",ISNA(MATCH(D4124&amp;"|"&amp;E4124,catClave,0))),"⚠ Subcategoría no corresponde",IF(AND(OR(P4124="Transferencia",P4124="Pago tarjeta"),K4124=""),"⚠ Falta cuenta destino",IF(AND(K4124&lt;&gt;"",P4124&lt;&gt;"Transferencia",P4124&lt;&gt;"Pago tarjeta"),"⚠ Destino solo aplica a transferencias",IF(AND(K4124&lt;&gt;"",K4124=Q4124),"⚠ Origen igual a destino",IF(AND(K4124&lt;&gt;"",ISNA(MATCH(K4124,ctaNombre,0))),"⚠ Destino no registrado",IF(AND(P4124="Pago tarjeta",AE4124&lt;&gt;"Tarjeta de crédito"),"⚠ El destino debe ser tarjeta de crédito",IF(AND(P4124="Gasto",E4124="Depósitos y retiros"),"⚠ Usa tipo Transferencia",IF(AND(P4124="Resultado trading",AD4124&lt;&gt;"Cuenta de trading"),"⚠ Usa una cuenta de trading",IF(AND(G4124&lt;=0,P4124&lt;&gt;"Ajuste",P4124&lt;&gt;"Resultado trading"),"⚠ El monto debe ser positivo","✓")))))))))))))))</f>
        <v/>
      </c>
      <c r="P4124" s="52">
        <f>IF(OR(B4124="",G4124=""),"",IF(C4124="","Gasto",C4124))</f>
        <v/>
      </c>
      <c r="Q4124" s="52">
        <f>IF(P4124="","",IF(J4124&lt;&gt;"",J4124,CuentaPred&amp;""))</f>
        <v/>
      </c>
      <c r="R4124" s="52">
        <f>IF(P4124="","",IF(ISNUMBER(I4124),I4124,TasaUSD))</f>
        <v/>
      </c>
      <c r="S4124" s="53">
        <f>IF(P4124="","",IF(H4124="USD",G4124*R4124,G4124))</f>
        <v/>
      </c>
      <c r="T4124" s="53">
        <f>IF(P4124="","",IF(H4124="USD",G4124,IF(R4124&gt;0,G4124/R4124,0)))</f>
        <v/>
      </c>
      <c r="U4124" s="53">
        <f>IF(P4124="","",IF(P4124="Gasto",S4124,IF(P4124="Reembolso",-S4124,0)))</f>
        <v/>
      </c>
      <c r="V4124" s="53">
        <f>IF(P4124="","",IF(P4124="Ingreso",S4124,0))</f>
        <v/>
      </c>
      <c r="W4124" s="53">
        <f>IF(P4124="","",IF(P4124="Resultado trading",S4124,0))</f>
        <v/>
      </c>
      <c r="X4124" s="52">
        <f>IF(OR(P4124="Gasto",P4124="Reembolso"),IF(M4124&lt;&gt;"",M4124,IFERROR(INDEX(catClasif,MATCH(D4124&amp;"|"&amp;E4124,catClave,0))&amp;"","Variable")),"")</f>
        <v/>
      </c>
      <c r="Y4124" s="52">
        <f>IF(P4124="","",IFERROR(INDEX(catGrupo,MATCH(D4124&amp;"|"&amp;E4124,catClave,0))&amp;"",""))</f>
        <v/>
      </c>
      <c r="Z4124" s="52">
        <f>IF(P4124="","",WEEKDAY(B4124,2))</f>
        <v/>
      </c>
      <c r="AA4124" s="52">
        <f>IF(P4124="","",IF(AND(P4124="Gasto",X4124="Variable",D4124&lt;&gt;catTrading,S4124&gt;0,S4124&lt;=Umbral),1,0))</f>
        <v/>
      </c>
      <c r="AB4124" s="52">
        <f>IF(OR(P4124="",Q4124=""),"",IFERROR(IF(INDEX(ctaVinc,MATCH(Q4124,ctaNombre,0))&amp;""&lt;&gt;"",INDEX(ctaVinc,MATCH(Q4124,ctaNombre,0))&amp;"",Q4124),Q4124))</f>
        <v/>
      </c>
      <c r="AC4124" s="52">
        <f>IF(OR(K4124="",AND(P4124&lt;&gt;"Transferencia",P4124&lt;&gt;"Pago tarjeta")),"",IFERROR(IF(INDEX(ctaVinc,MATCH(K4124,ctaNombre,0))&amp;""&lt;&gt;"",INDEX(ctaVinc,MATCH(K4124,ctaNombre,0))&amp;"",K4124),K4124))</f>
        <v/>
      </c>
      <c r="AD4124" s="52">
        <f>IF(AB4124="","",IFERROR(INDEX(ctaTipo,MATCH(AB4124,ctaNombre,0))&amp;"",""))</f>
        <v/>
      </c>
      <c r="AE4124" s="52">
        <f>IF(AC4124="","",IFERROR(INDEX(ctaTipo,MATCH(AC4124,ctaNombre,0))&amp;"",""))</f>
        <v/>
      </c>
      <c r="AF4124" s="53">
        <f>IF(OR(P4124="",AB4124=""),"",IF(OR(P4124="Gasto",P4124="Transferencia",P4124="Pago tarjeta"),-1,1)*IF(IFERROR(INDEX(ctaMoneda,MATCH(AB4124,ctaNombre,0))&amp;"","DOP")="USD",T4124,S4124))</f>
        <v/>
      </c>
      <c r="AG4124" s="53">
        <f>IF(AC4124="","",IF(IFERROR(INDEX(ctaMoneda,MATCH(AC4124,ctaNombre,0))&amp;"","DOP")="USD",T4124,S4124))</f>
        <v/>
      </c>
      <c r="AH4124" s="53">
        <f>IF(P4124="","",IF(AND(AD4124&lt;&gt;"",COUNTIFS(tcTipo,AD4124,tcLiq,"Sí")&gt;0),IF(OR(P4124="Gasto",P4124="Transferencia",P4124="Pago tarjeta"),-1,1)*S4124,0)+IF(AND(AE4124&lt;&gt;"",COUNTIFS(tcTipo,AE4124,tcLiq,"Sí")&gt;0),S4124,0))</f>
        <v/>
      </c>
      <c r="AI4124" s="52">
        <f>IF(OR(L4124="",P4124=""),"",IF(COUNTIFS(L$6:L4124,L4124,P$6:P4124,"?*")=1,MAX(AI$5:AI4123)+1,""))</f>
        <v/>
      </c>
    </row>
    <row r="4125">
      <c r="B4125" s="47" t="n"/>
      <c r="C4125" s="48" t="n"/>
      <c r="D4125" s="48" t="n"/>
      <c r="E4125" s="48" t="n"/>
      <c r="F4125" s="48" t="n"/>
      <c r="G4125" s="49" t="n"/>
      <c r="H4125" s="48" t="n"/>
      <c r="I4125" s="50" t="n"/>
      <c r="J4125" s="48" t="n"/>
      <c r="K4125" s="48" t="n"/>
      <c r="L4125" s="48" t="n"/>
      <c r="M4125" s="48" t="n"/>
      <c r="N4125" s="48" t="n"/>
      <c r="O4125" s="51">
        <f>IF(AND(B4125="",G4125="",C4125="",D4125="",J4125=""),"",IF(B4125="","⚠ Falta fecha",IF(G4125="","⚠ Falta monto",IF(Q4125="","⚠ Falta cuenta",IF(ISNA(MATCH(Q4125,ctaNombre,0)),"⚠ Cuenta no registrada",IF(AND(OR(P4125="Gasto",P4125="Reembolso"),D4125=""),"⚠ Falta categoría",IF(AND(D4125&lt;&gt;"",E4125&lt;&gt;"",ISNA(MATCH(D4125&amp;"|"&amp;E4125,catClave,0))),"⚠ Subcategoría no corresponde",IF(AND(OR(P4125="Transferencia",P4125="Pago tarjeta"),K4125=""),"⚠ Falta cuenta destino",IF(AND(K4125&lt;&gt;"",P4125&lt;&gt;"Transferencia",P4125&lt;&gt;"Pago tarjeta"),"⚠ Destino solo aplica a transferencias",IF(AND(K4125&lt;&gt;"",K4125=Q4125),"⚠ Origen igual a destino",IF(AND(K4125&lt;&gt;"",ISNA(MATCH(K4125,ctaNombre,0))),"⚠ Destino no registrado",IF(AND(P4125="Pago tarjeta",AE4125&lt;&gt;"Tarjeta de crédito"),"⚠ El destino debe ser tarjeta de crédito",IF(AND(P4125="Gasto",E4125="Depósitos y retiros"),"⚠ Usa tipo Transferencia",IF(AND(P4125="Resultado trading",AD4125&lt;&gt;"Cuenta de trading"),"⚠ Usa una cuenta de trading",IF(AND(G4125&lt;=0,P4125&lt;&gt;"Ajuste",P4125&lt;&gt;"Resultado trading"),"⚠ El monto debe ser positivo","✓")))))))))))))))</f>
        <v/>
      </c>
      <c r="P4125" s="52">
        <f>IF(OR(B4125="",G4125=""),"",IF(C4125="","Gasto",C4125))</f>
        <v/>
      </c>
      <c r="Q4125" s="52">
        <f>IF(P4125="","",IF(J4125&lt;&gt;"",J4125,CuentaPred&amp;""))</f>
        <v/>
      </c>
      <c r="R4125" s="52">
        <f>IF(P4125="","",IF(ISNUMBER(I4125),I4125,TasaUSD))</f>
        <v/>
      </c>
      <c r="S4125" s="53">
        <f>IF(P4125="","",IF(H4125="USD",G4125*R4125,G4125))</f>
        <v/>
      </c>
      <c r="T4125" s="53">
        <f>IF(P4125="","",IF(H4125="USD",G4125,IF(R4125&gt;0,G4125/R4125,0)))</f>
        <v/>
      </c>
      <c r="U4125" s="53">
        <f>IF(P4125="","",IF(P4125="Gasto",S4125,IF(P4125="Reembolso",-S4125,0)))</f>
        <v/>
      </c>
      <c r="V4125" s="53">
        <f>IF(P4125="","",IF(P4125="Ingreso",S4125,0))</f>
        <v/>
      </c>
      <c r="W4125" s="53">
        <f>IF(P4125="","",IF(P4125="Resultado trading",S4125,0))</f>
        <v/>
      </c>
      <c r="X4125" s="52">
        <f>IF(OR(P4125="Gasto",P4125="Reembolso"),IF(M4125&lt;&gt;"",M4125,IFERROR(INDEX(catClasif,MATCH(D4125&amp;"|"&amp;E4125,catClave,0))&amp;"","Variable")),"")</f>
        <v/>
      </c>
      <c r="Y4125" s="52">
        <f>IF(P4125="","",IFERROR(INDEX(catGrupo,MATCH(D4125&amp;"|"&amp;E4125,catClave,0))&amp;"",""))</f>
        <v/>
      </c>
      <c r="Z4125" s="52">
        <f>IF(P4125="","",WEEKDAY(B4125,2))</f>
        <v/>
      </c>
      <c r="AA4125" s="52">
        <f>IF(P4125="","",IF(AND(P4125="Gasto",X4125="Variable",D4125&lt;&gt;catTrading,S4125&gt;0,S4125&lt;=Umbral),1,0))</f>
        <v/>
      </c>
      <c r="AB4125" s="52">
        <f>IF(OR(P4125="",Q4125=""),"",IFERROR(IF(INDEX(ctaVinc,MATCH(Q4125,ctaNombre,0))&amp;""&lt;&gt;"",INDEX(ctaVinc,MATCH(Q4125,ctaNombre,0))&amp;"",Q4125),Q4125))</f>
        <v/>
      </c>
      <c r="AC4125" s="52">
        <f>IF(OR(K4125="",AND(P4125&lt;&gt;"Transferencia",P4125&lt;&gt;"Pago tarjeta")),"",IFERROR(IF(INDEX(ctaVinc,MATCH(K4125,ctaNombre,0))&amp;""&lt;&gt;"",INDEX(ctaVinc,MATCH(K4125,ctaNombre,0))&amp;"",K4125),K4125))</f>
        <v/>
      </c>
      <c r="AD4125" s="52">
        <f>IF(AB4125="","",IFERROR(INDEX(ctaTipo,MATCH(AB4125,ctaNombre,0))&amp;"",""))</f>
        <v/>
      </c>
      <c r="AE4125" s="52">
        <f>IF(AC4125="","",IFERROR(INDEX(ctaTipo,MATCH(AC4125,ctaNombre,0))&amp;"",""))</f>
        <v/>
      </c>
      <c r="AF4125" s="53">
        <f>IF(OR(P4125="",AB4125=""),"",IF(OR(P4125="Gasto",P4125="Transferencia",P4125="Pago tarjeta"),-1,1)*IF(IFERROR(INDEX(ctaMoneda,MATCH(AB4125,ctaNombre,0))&amp;"","DOP")="USD",T4125,S4125))</f>
        <v/>
      </c>
      <c r="AG4125" s="53">
        <f>IF(AC4125="","",IF(IFERROR(INDEX(ctaMoneda,MATCH(AC4125,ctaNombre,0))&amp;"","DOP")="USD",T4125,S4125))</f>
        <v/>
      </c>
      <c r="AH4125" s="53">
        <f>IF(P4125="","",IF(AND(AD4125&lt;&gt;"",COUNTIFS(tcTipo,AD4125,tcLiq,"Sí")&gt;0),IF(OR(P4125="Gasto",P4125="Transferencia",P4125="Pago tarjeta"),-1,1)*S4125,0)+IF(AND(AE4125&lt;&gt;"",COUNTIFS(tcTipo,AE4125,tcLiq,"Sí")&gt;0),S4125,0))</f>
        <v/>
      </c>
      <c r="AI4125" s="52">
        <f>IF(OR(L4125="",P4125=""),"",IF(COUNTIFS(L$6:L4125,L4125,P$6:P4125,"?*")=1,MAX(AI$5:AI4124)+1,""))</f>
        <v/>
      </c>
    </row>
    <row r="4126">
      <c r="B4126" s="47" t="n"/>
      <c r="C4126" s="48" t="n"/>
      <c r="D4126" s="48" t="n"/>
      <c r="E4126" s="48" t="n"/>
      <c r="F4126" s="48" t="n"/>
      <c r="G4126" s="49" t="n"/>
      <c r="H4126" s="48" t="n"/>
      <c r="I4126" s="50" t="n"/>
      <c r="J4126" s="48" t="n"/>
      <c r="K4126" s="48" t="n"/>
      <c r="L4126" s="48" t="n"/>
      <c r="M4126" s="48" t="n"/>
      <c r="N4126" s="48" t="n"/>
      <c r="O4126" s="51">
        <f>IF(AND(B4126="",G4126="",C4126="",D4126="",J4126=""),"",IF(B4126="","⚠ Falta fecha",IF(G4126="","⚠ Falta monto",IF(Q4126="","⚠ Falta cuenta",IF(ISNA(MATCH(Q4126,ctaNombre,0)),"⚠ Cuenta no registrada",IF(AND(OR(P4126="Gasto",P4126="Reembolso"),D4126=""),"⚠ Falta categoría",IF(AND(D4126&lt;&gt;"",E4126&lt;&gt;"",ISNA(MATCH(D4126&amp;"|"&amp;E4126,catClave,0))),"⚠ Subcategoría no corresponde",IF(AND(OR(P4126="Transferencia",P4126="Pago tarjeta"),K4126=""),"⚠ Falta cuenta destino",IF(AND(K4126&lt;&gt;"",P4126&lt;&gt;"Transferencia",P4126&lt;&gt;"Pago tarjeta"),"⚠ Destino solo aplica a transferencias",IF(AND(K4126&lt;&gt;"",K4126=Q4126),"⚠ Origen igual a destino",IF(AND(K4126&lt;&gt;"",ISNA(MATCH(K4126,ctaNombre,0))),"⚠ Destino no registrado",IF(AND(P4126="Pago tarjeta",AE4126&lt;&gt;"Tarjeta de crédito"),"⚠ El destino debe ser tarjeta de crédito",IF(AND(P4126="Gasto",E4126="Depósitos y retiros"),"⚠ Usa tipo Transferencia",IF(AND(P4126="Resultado trading",AD4126&lt;&gt;"Cuenta de trading"),"⚠ Usa una cuenta de trading",IF(AND(G4126&lt;=0,P4126&lt;&gt;"Ajuste",P4126&lt;&gt;"Resultado trading"),"⚠ El monto debe ser positivo","✓")))))))))))))))</f>
        <v/>
      </c>
      <c r="P4126" s="52">
        <f>IF(OR(B4126="",G4126=""),"",IF(C4126="","Gasto",C4126))</f>
        <v/>
      </c>
      <c r="Q4126" s="52">
        <f>IF(P4126="","",IF(J4126&lt;&gt;"",J4126,CuentaPred&amp;""))</f>
        <v/>
      </c>
      <c r="R4126" s="52">
        <f>IF(P4126="","",IF(ISNUMBER(I4126),I4126,TasaUSD))</f>
        <v/>
      </c>
      <c r="S4126" s="53">
        <f>IF(P4126="","",IF(H4126="USD",G4126*R4126,G4126))</f>
        <v/>
      </c>
      <c r="T4126" s="53">
        <f>IF(P4126="","",IF(H4126="USD",G4126,IF(R4126&gt;0,G4126/R4126,0)))</f>
        <v/>
      </c>
      <c r="U4126" s="53">
        <f>IF(P4126="","",IF(P4126="Gasto",S4126,IF(P4126="Reembolso",-S4126,0)))</f>
        <v/>
      </c>
      <c r="V4126" s="53">
        <f>IF(P4126="","",IF(P4126="Ingreso",S4126,0))</f>
        <v/>
      </c>
      <c r="W4126" s="53">
        <f>IF(P4126="","",IF(P4126="Resultado trading",S4126,0))</f>
        <v/>
      </c>
      <c r="X4126" s="52">
        <f>IF(OR(P4126="Gasto",P4126="Reembolso"),IF(M4126&lt;&gt;"",M4126,IFERROR(INDEX(catClasif,MATCH(D4126&amp;"|"&amp;E4126,catClave,0))&amp;"","Variable")),"")</f>
        <v/>
      </c>
      <c r="Y4126" s="52">
        <f>IF(P4126="","",IFERROR(INDEX(catGrupo,MATCH(D4126&amp;"|"&amp;E4126,catClave,0))&amp;"",""))</f>
        <v/>
      </c>
      <c r="Z4126" s="52">
        <f>IF(P4126="","",WEEKDAY(B4126,2))</f>
        <v/>
      </c>
      <c r="AA4126" s="52">
        <f>IF(P4126="","",IF(AND(P4126="Gasto",X4126="Variable",D4126&lt;&gt;catTrading,S4126&gt;0,S4126&lt;=Umbral),1,0))</f>
        <v/>
      </c>
      <c r="AB4126" s="52">
        <f>IF(OR(P4126="",Q4126=""),"",IFERROR(IF(INDEX(ctaVinc,MATCH(Q4126,ctaNombre,0))&amp;""&lt;&gt;"",INDEX(ctaVinc,MATCH(Q4126,ctaNombre,0))&amp;"",Q4126),Q4126))</f>
        <v/>
      </c>
      <c r="AC4126" s="52">
        <f>IF(OR(K4126="",AND(P4126&lt;&gt;"Transferencia",P4126&lt;&gt;"Pago tarjeta")),"",IFERROR(IF(INDEX(ctaVinc,MATCH(K4126,ctaNombre,0))&amp;""&lt;&gt;"",INDEX(ctaVinc,MATCH(K4126,ctaNombre,0))&amp;"",K4126),K4126))</f>
        <v/>
      </c>
      <c r="AD4126" s="52">
        <f>IF(AB4126="","",IFERROR(INDEX(ctaTipo,MATCH(AB4126,ctaNombre,0))&amp;"",""))</f>
        <v/>
      </c>
      <c r="AE4126" s="52">
        <f>IF(AC4126="","",IFERROR(INDEX(ctaTipo,MATCH(AC4126,ctaNombre,0))&amp;"",""))</f>
        <v/>
      </c>
      <c r="AF4126" s="53">
        <f>IF(OR(P4126="",AB4126=""),"",IF(OR(P4126="Gasto",P4126="Transferencia",P4126="Pago tarjeta"),-1,1)*IF(IFERROR(INDEX(ctaMoneda,MATCH(AB4126,ctaNombre,0))&amp;"","DOP")="USD",T4126,S4126))</f>
        <v/>
      </c>
      <c r="AG4126" s="53">
        <f>IF(AC4126="","",IF(IFERROR(INDEX(ctaMoneda,MATCH(AC4126,ctaNombre,0))&amp;"","DOP")="USD",T4126,S4126))</f>
        <v/>
      </c>
      <c r="AH4126" s="53">
        <f>IF(P4126="","",IF(AND(AD4126&lt;&gt;"",COUNTIFS(tcTipo,AD4126,tcLiq,"Sí")&gt;0),IF(OR(P4126="Gasto",P4126="Transferencia",P4126="Pago tarjeta"),-1,1)*S4126,0)+IF(AND(AE4126&lt;&gt;"",COUNTIFS(tcTipo,AE4126,tcLiq,"Sí")&gt;0),S4126,0))</f>
        <v/>
      </c>
      <c r="AI4126" s="52">
        <f>IF(OR(L4126="",P4126=""),"",IF(COUNTIFS(L$6:L4126,L4126,P$6:P4126,"?*")=1,MAX(AI$5:AI4125)+1,""))</f>
        <v/>
      </c>
    </row>
    <row r="4127">
      <c r="B4127" s="47" t="n"/>
      <c r="C4127" s="48" t="n"/>
      <c r="D4127" s="48" t="n"/>
      <c r="E4127" s="48" t="n"/>
      <c r="F4127" s="48" t="n"/>
      <c r="G4127" s="49" t="n"/>
      <c r="H4127" s="48" t="n"/>
      <c r="I4127" s="50" t="n"/>
      <c r="J4127" s="48" t="n"/>
      <c r="K4127" s="48" t="n"/>
      <c r="L4127" s="48" t="n"/>
      <c r="M4127" s="48" t="n"/>
      <c r="N4127" s="48" t="n"/>
      <c r="O4127" s="51">
        <f>IF(AND(B4127="",G4127="",C4127="",D4127="",J4127=""),"",IF(B4127="","⚠ Falta fecha",IF(G4127="","⚠ Falta monto",IF(Q4127="","⚠ Falta cuenta",IF(ISNA(MATCH(Q4127,ctaNombre,0)),"⚠ Cuenta no registrada",IF(AND(OR(P4127="Gasto",P4127="Reembolso"),D4127=""),"⚠ Falta categoría",IF(AND(D4127&lt;&gt;"",E4127&lt;&gt;"",ISNA(MATCH(D4127&amp;"|"&amp;E4127,catClave,0))),"⚠ Subcategoría no corresponde",IF(AND(OR(P4127="Transferencia",P4127="Pago tarjeta"),K4127=""),"⚠ Falta cuenta destino",IF(AND(K4127&lt;&gt;"",P4127&lt;&gt;"Transferencia",P4127&lt;&gt;"Pago tarjeta"),"⚠ Destino solo aplica a transferencias",IF(AND(K4127&lt;&gt;"",K4127=Q4127),"⚠ Origen igual a destino",IF(AND(K4127&lt;&gt;"",ISNA(MATCH(K4127,ctaNombre,0))),"⚠ Destino no registrado",IF(AND(P4127="Pago tarjeta",AE4127&lt;&gt;"Tarjeta de crédito"),"⚠ El destino debe ser tarjeta de crédito",IF(AND(P4127="Gasto",E4127="Depósitos y retiros"),"⚠ Usa tipo Transferencia",IF(AND(P4127="Resultado trading",AD4127&lt;&gt;"Cuenta de trading"),"⚠ Usa una cuenta de trading",IF(AND(G4127&lt;=0,P4127&lt;&gt;"Ajuste",P4127&lt;&gt;"Resultado trading"),"⚠ El monto debe ser positivo","✓")))))))))))))))</f>
        <v/>
      </c>
      <c r="P4127" s="52">
        <f>IF(OR(B4127="",G4127=""),"",IF(C4127="","Gasto",C4127))</f>
        <v/>
      </c>
      <c r="Q4127" s="52">
        <f>IF(P4127="","",IF(J4127&lt;&gt;"",J4127,CuentaPred&amp;""))</f>
        <v/>
      </c>
      <c r="R4127" s="52">
        <f>IF(P4127="","",IF(ISNUMBER(I4127),I4127,TasaUSD))</f>
        <v/>
      </c>
      <c r="S4127" s="53">
        <f>IF(P4127="","",IF(H4127="USD",G4127*R4127,G4127))</f>
        <v/>
      </c>
      <c r="T4127" s="53">
        <f>IF(P4127="","",IF(H4127="USD",G4127,IF(R4127&gt;0,G4127/R4127,0)))</f>
        <v/>
      </c>
      <c r="U4127" s="53">
        <f>IF(P4127="","",IF(P4127="Gasto",S4127,IF(P4127="Reembolso",-S4127,0)))</f>
        <v/>
      </c>
      <c r="V4127" s="53">
        <f>IF(P4127="","",IF(P4127="Ingreso",S4127,0))</f>
        <v/>
      </c>
      <c r="W4127" s="53">
        <f>IF(P4127="","",IF(P4127="Resultado trading",S4127,0))</f>
        <v/>
      </c>
      <c r="X4127" s="52">
        <f>IF(OR(P4127="Gasto",P4127="Reembolso"),IF(M4127&lt;&gt;"",M4127,IFERROR(INDEX(catClasif,MATCH(D4127&amp;"|"&amp;E4127,catClave,0))&amp;"","Variable")),"")</f>
        <v/>
      </c>
      <c r="Y4127" s="52">
        <f>IF(P4127="","",IFERROR(INDEX(catGrupo,MATCH(D4127&amp;"|"&amp;E4127,catClave,0))&amp;"",""))</f>
        <v/>
      </c>
      <c r="Z4127" s="52">
        <f>IF(P4127="","",WEEKDAY(B4127,2))</f>
        <v/>
      </c>
      <c r="AA4127" s="52">
        <f>IF(P4127="","",IF(AND(P4127="Gasto",X4127="Variable",D4127&lt;&gt;catTrading,S4127&gt;0,S4127&lt;=Umbral),1,0))</f>
        <v/>
      </c>
      <c r="AB4127" s="52">
        <f>IF(OR(P4127="",Q4127=""),"",IFERROR(IF(INDEX(ctaVinc,MATCH(Q4127,ctaNombre,0))&amp;""&lt;&gt;"",INDEX(ctaVinc,MATCH(Q4127,ctaNombre,0))&amp;"",Q4127),Q4127))</f>
        <v/>
      </c>
      <c r="AC4127" s="52">
        <f>IF(OR(K4127="",AND(P4127&lt;&gt;"Transferencia",P4127&lt;&gt;"Pago tarjeta")),"",IFERROR(IF(INDEX(ctaVinc,MATCH(K4127,ctaNombre,0))&amp;""&lt;&gt;"",INDEX(ctaVinc,MATCH(K4127,ctaNombre,0))&amp;"",K4127),K4127))</f>
        <v/>
      </c>
      <c r="AD4127" s="52">
        <f>IF(AB4127="","",IFERROR(INDEX(ctaTipo,MATCH(AB4127,ctaNombre,0))&amp;"",""))</f>
        <v/>
      </c>
      <c r="AE4127" s="52">
        <f>IF(AC4127="","",IFERROR(INDEX(ctaTipo,MATCH(AC4127,ctaNombre,0))&amp;"",""))</f>
        <v/>
      </c>
      <c r="AF4127" s="53">
        <f>IF(OR(P4127="",AB4127=""),"",IF(OR(P4127="Gasto",P4127="Transferencia",P4127="Pago tarjeta"),-1,1)*IF(IFERROR(INDEX(ctaMoneda,MATCH(AB4127,ctaNombre,0))&amp;"","DOP")="USD",T4127,S4127))</f>
        <v/>
      </c>
      <c r="AG4127" s="53">
        <f>IF(AC4127="","",IF(IFERROR(INDEX(ctaMoneda,MATCH(AC4127,ctaNombre,0))&amp;"","DOP")="USD",T4127,S4127))</f>
        <v/>
      </c>
      <c r="AH4127" s="53">
        <f>IF(P4127="","",IF(AND(AD4127&lt;&gt;"",COUNTIFS(tcTipo,AD4127,tcLiq,"Sí")&gt;0),IF(OR(P4127="Gasto",P4127="Transferencia",P4127="Pago tarjeta"),-1,1)*S4127,0)+IF(AND(AE4127&lt;&gt;"",COUNTIFS(tcTipo,AE4127,tcLiq,"Sí")&gt;0),S4127,0))</f>
        <v/>
      </c>
      <c r="AI4127" s="52">
        <f>IF(OR(L4127="",P4127=""),"",IF(COUNTIFS(L$6:L4127,L4127,P$6:P4127,"?*")=1,MAX(AI$5:AI4126)+1,""))</f>
        <v/>
      </c>
    </row>
    <row r="4128">
      <c r="B4128" s="47" t="n"/>
      <c r="C4128" s="48" t="n"/>
      <c r="D4128" s="48" t="n"/>
      <c r="E4128" s="48" t="n"/>
      <c r="F4128" s="48" t="n"/>
      <c r="G4128" s="49" t="n"/>
      <c r="H4128" s="48" t="n"/>
      <c r="I4128" s="50" t="n"/>
      <c r="J4128" s="48" t="n"/>
      <c r="K4128" s="48" t="n"/>
      <c r="L4128" s="48" t="n"/>
      <c r="M4128" s="48" t="n"/>
      <c r="N4128" s="48" t="n"/>
      <c r="O4128" s="51">
        <f>IF(AND(B4128="",G4128="",C4128="",D4128="",J4128=""),"",IF(B4128="","⚠ Falta fecha",IF(G4128="","⚠ Falta monto",IF(Q4128="","⚠ Falta cuenta",IF(ISNA(MATCH(Q4128,ctaNombre,0)),"⚠ Cuenta no registrada",IF(AND(OR(P4128="Gasto",P4128="Reembolso"),D4128=""),"⚠ Falta categoría",IF(AND(D4128&lt;&gt;"",E4128&lt;&gt;"",ISNA(MATCH(D4128&amp;"|"&amp;E4128,catClave,0))),"⚠ Subcategoría no corresponde",IF(AND(OR(P4128="Transferencia",P4128="Pago tarjeta"),K4128=""),"⚠ Falta cuenta destino",IF(AND(K4128&lt;&gt;"",P4128&lt;&gt;"Transferencia",P4128&lt;&gt;"Pago tarjeta"),"⚠ Destino solo aplica a transferencias",IF(AND(K4128&lt;&gt;"",K4128=Q4128),"⚠ Origen igual a destino",IF(AND(K4128&lt;&gt;"",ISNA(MATCH(K4128,ctaNombre,0))),"⚠ Destino no registrado",IF(AND(P4128="Pago tarjeta",AE4128&lt;&gt;"Tarjeta de crédito"),"⚠ El destino debe ser tarjeta de crédito",IF(AND(P4128="Gasto",E4128="Depósitos y retiros"),"⚠ Usa tipo Transferencia",IF(AND(P4128="Resultado trading",AD4128&lt;&gt;"Cuenta de trading"),"⚠ Usa una cuenta de trading",IF(AND(G4128&lt;=0,P4128&lt;&gt;"Ajuste",P4128&lt;&gt;"Resultado trading"),"⚠ El monto debe ser positivo","✓")))))))))))))))</f>
        <v/>
      </c>
      <c r="P4128" s="52">
        <f>IF(OR(B4128="",G4128=""),"",IF(C4128="","Gasto",C4128))</f>
        <v/>
      </c>
      <c r="Q4128" s="52">
        <f>IF(P4128="","",IF(J4128&lt;&gt;"",J4128,CuentaPred&amp;""))</f>
        <v/>
      </c>
      <c r="R4128" s="52">
        <f>IF(P4128="","",IF(ISNUMBER(I4128),I4128,TasaUSD))</f>
        <v/>
      </c>
      <c r="S4128" s="53">
        <f>IF(P4128="","",IF(H4128="USD",G4128*R4128,G4128))</f>
        <v/>
      </c>
      <c r="T4128" s="53">
        <f>IF(P4128="","",IF(H4128="USD",G4128,IF(R4128&gt;0,G4128/R4128,0)))</f>
        <v/>
      </c>
      <c r="U4128" s="53">
        <f>IF(P4128="","",IF(P4128="Gasto",S4128,IF(P4128="Reembolso",-S4128,0)))</f>
        <v/>
      </c>
      <c r="V4128" s="53">
        <f>IF(P4128="","",IF(P4128="Ingreso",S4128,0))</f>
        <v/>
      </c>
      <c r="W4128" s="53">
        <f>IF(P4128="","",IF(P4128="Resultado trading",S4128,0))</f>
        <v/>
      </c>
      <c r="X4128" s="52">
        <f>IF(OR(P4128="Gasto",P4128="Reembolso"),IF(M4128&lt;&gt;"",M4128,IFERROR(INDEX(catClasif,MATCH(D4128&amp;"|"&amp;E4128,catClave,0))&amp;"","Variable")),"")</f>
        <v/>
      </c>
      <c r="Y4128" s="52">
        <f>IF(P4128="","",IFERROR(INDEX(catGrupo,MATCH(D4128&amp;"|"&amp;E4128,catClave,0))&amp;"",""))</f>
        <v/>
      </c>
      <c r="Z4128" s="52">
        <f>IF(P4128="","",WEEKDAY(B4128,2))</f>
        <v/>
      </c>
      <c r="AA4128" s="52">
        <f>IF(P4128="","",IF(AND(P4128="Gasto",X4128="Variable",D4128&lt;&gt;catTrading,S4128&gt;0,S4128&lt;=Umbral),1,0))</f>
        <v/>
      </c>
      <c r="AB4128" s="52">
        <f>IF(OR(P4128="",Q4128=""),"",IFERROR(IF(INDEX(ctaVinc,MATCH(Q4128,ctaNombre,0))&amp;""&lt;&gt;"",INDEX(ctaVinc,MATCH(Q4128,ctaNombre,0))&amp;"",Q4128),Q4128))</f>
        <v/>
      </c>
      <c r="AC4128" s="52">
        <f>IF(OR(K4128="",AND(P4128&lt;&gt;"Transferencia",P4128&lt;&gt;"Pago tarjeta")),"",IFERROR(IF(INDEX(ctaVinc,MATCH(K4128,ctaNombre,0))&amp;""&lt;&gt;"",INDEX(ctaVinc,MATCH(K4128,ctaNombre,0))&amp;"",K4128),K4128))</f>
        <v/>
      </c>
      <c r="AD4128" s="52">
        <f>IF(AB4128="","",IFERROR(INDEX(ctaTipo,MATCH(AB4128,ctaNombre,0))&amp;"",""))</f>
        <v/>
      </c>
      <c r="AE4128" s="52">
        <f>IF(AC4128="","",IFERROR(INDEX(ctaTipo,MATCH(AC4128,ctaNombre,0))&amp;"",""))</f>
        <v/>
      </c>
      <c r="AF4128" s="53">
        <f>IF(OR(P4128="",AB4128=""),"",IF(OR(P4128="Gasto",P4128="Transferencia",P4128="Pago tarjeta"),-1,1)*IF(IFERROR(INDEX(ctaMoneda,MATCH(AB4128,ctaNombre,0))&amp;"","DOP")="USD",T4128,S4128))</f>
        <v/>
      </c>
      <c r="AG4128" s="53">
        <f>IF(AC4128="","",IF(IFERROR(INDEX(ctaMoneda,MATCH(AC4128,ctaNombre,0))&amp;"","DOP")="USD",T4128,S4128))</f>
        <v/>
      </c>
      <c r="AH4128" s="53">
        <f>IF(P4128="","",IF(AND(AD4128&lt;&gt;"",COUNTIFS(tcTipo,AD4128,tcLiq,"Sí")&gt;0),IF(OR(P4128="Gasto",P4128="Transferencia",P4128="Pago tarjeta"),-1,1)*S4128,0)+IF(AND(AE4128&lt;&gt;"",COUNTIFS(tcTipo,AE4128,tcLiq,"Sí")&gt;0),S4128,0))</f>
        <v/>
      </c>
      <c r="AI4128" s="52">
        <f>IF(OR(L4128="",P4128=""),"",IF(COUNTIFS(L$6:L4128,L4128,P$6:P4128,"?*")=1,MAX(AI$5:AI4127)+1,""))</f>
        <v/>
      </c>
    </row>
    <row r="4129">
      <c r="B4129" s="47" t="n"/>
      <c r="C4129" s="48" t="n"/>
      <c r="D4129" s="48" t="n"/>
      <c r="E4129" s="48" t="n"/>
      <c r="F4129" s="48" t="n"/>
      <c r="G4129" s="49" t="n"/>
      <c r="H4129" s="48" t="n"/>
      <c r="I4129" s="50" t="n"/>
      <c r="J4129" s="48" t="n"/>
      <c r="K4129" s="48" t="n"/>
      <c r="L4129" s="48" t="n"/>
      <c r="M4129" s="48" t="n"/>
      <c r="N4129" s="48" t="n"/>
      <c r="O4129" s="51">
        <f>IF(AND(B4129="",G4129="",C4129="",D4129="",J4129=""),"",IF(B4129="","⚠ Falta fecha",IF(G4129="","⚠ Falta monto",IF(Q4129="","⚠ Falta cuenta",IF(ISNA(MATCH(Q4129,ctaNombre,0)),"⚠ Cuenta no registrada",IF(AND(OR(P4129="Gasto",P4129="Reembolso"),D4129=""),"⚠ Falta categoría",IF(AND(D4129&lt;&gt;"",E4129&lt;&gt;"",ISNA(MATCH(D4129&amp;"|"&amp;E4129,catClave,0))),"⚠ Subcategoría no corresponde",IF(AND(OR(P4129="Transferencia",P4129="Pago tarjeta"),K4129=""),"⚠ Falta cuenta destino",IF(AND(K4129&lt;&gt;"",P4129&lt;&gt;"Transferencia",P4129&lt;&gt;"Pago tarjeta"),"⚠ Destino solo aplica a transferencias",IF(AND(K4129&lt;&gt;"",K4129=Q4129),"⚠ Origen igual a destino",IF(AND(K4129&lt;&gt;"",ISNA(MATCH(K4129,ctaNombre,0))),"⚠ Destino no registrado",IF(AND(P4129="Pago tarjeta",AE4129&lt;&gt;"Tarjeta de crédito"),"⚠ El destino debe ser tarjeta de crédito",IF(AND(P4129="Gasto",E4129="Depósitos y retiros"),"⚠ Usa tipo Transferencia",IF(AND(P4129="Resultado trading",AD4129&lt;&gt;"Cuenta de trading"),"⚠ Usa una cuenta de trading",IF(AND(G4129&lt;=0,P4129&lt;&gt;"Ajuste",P4129&lt;&gt;"Resultado trading"),"⚠ El monto debe ser positivo","✓")))))))))))))))</f>
        <v/>
      </c>
      <c r="P4129" s="52">
        <f>IF(OR(B4129="",G4129=""),"",IF(C4129="","Gasto",C4129))</f>
        <v/>
      </c>
      <c r="Q4129" s="52">
        <f>IF(P4129="","",IF(J4129&lt;&gt;"",J4129,CuentaPred&amp;""))</f>
        <v/>
      </c>
      <c r="R4129" s="52">
        <f>IF(P4129="","",IF(ISNUMBER(I4129),I4129,TasaUSD))</f>
        <v/>
      </c>
      <c r="S4129" s="53">
        <f>IF(P4129="","",IF(H4129="USD",G4129*R4129,G4129))</f>
        <v/>
      </c>
      <c r="T4129" s="53">
        <f>IF(P4129="","",IF(H4129="USD",G4129,IF(R4129&gt;0,G4129/R4129,0)))</f>
        <v/>
      </c>
      <c r="U4129" s="53">
        <f>IF(P4129="","",IF(P4129="Gasto",S4129,IF(P4129="Reembolso",-S4129,0)))</f>
        <v/>
      </c>
      <c r="V4129" s="53">
        <f>IF(P4129="","",IF(P4129="Ingreso",S4129,0))</f>
        <v/>
      </c>
      <c r="W4129" s="53">
        <f>IF(P4129="","",IF(P4129="Resultado trading",S4129,0))</f>
        <v/>
      </c>
      <c r="X4129" s="52">
        <f>IF(OR(P4129="Gasto",P4129="Reembolso"),IF(M4129&lt;&gt;"",M4129,IFERROR(INDEX(catClasif,MATCH(D4129&amp;"|"&amp;E4129,catClave,0))&amp;"","Variable")),"")</f>
        <v/>
      </c>
      <c r="Y4129" s="52">
        <f>IF(P4129="","",IFERROR(INDEX(catGrupo,MATCH(D4129&amp;"|"&amp;E4129,catClave,0))&amp;"",""))</f>
        <v/>
      </c>
      <c r="Z4129" s="52">
        <f>IF(P4129="","",WEEKDAY(B4129,2))</f>
        <v/>
      </c>
      <c r="AA4129" s="52">
        <f>IF(P4129="","",IF(AND(P4129="Gasto",X4129="Variable",D4129&lt;&gt;catTrading,S4129&gt;0,S4129&lt;=Umbral),1,0))</f>
        <v/>
      </c>
      <c r="AB4129" s="52">
        <f>IF(OR(P4129="",Q4129=""),"",IFERROR(IF(INDEX(ctaVinc,MATCH(Q4129,ctaNombre,0))&amp;""&lt;&gt;"",INDEX(ctaVinc,MATCH(Q4129,ctaNombre,0))&amp;"",Q4129),Q4129))</f>
        <v/>
      </c>
      <c r="AC4129" s="52">
        <f>IF(OR(K4129="",AND(P4129&lt;&gt;"Transferencia",P4129&lt;&gt;"Pago tarjeta")),"",IFERROR(IF(INDEX(ctaVinc,MATCH(K4129,ctaNombre,0))&amp;""&lt;&gt;"",INDEX(ctaVinc,MATCH(K4129,ctaNombre,0))&amp;"",K4129),K4129))</f>
        <v/>
      </c>
      <c r="AD4129" s="52">
        <f>IF(AB4129="","",IFERROR(INDEX(ctaTipo,MATCH(AB4129,ctaNombre,0))&amp;"",""))</f>
        <v/>
      </c>
      <c r="AE4129" s="52">
        <f>IF(AC4129="","",IFERROR(INDEX(ctaTipo,MATCH(AC4129,ctaNombre,0))&amp;"",""))</f>
        <v/>
      </c>
      <c r="AF4129" s="53">
        <f>IF(OR(P4129="",AB4129=""),"",IF(OR(P4129="Gasto",P4129="Transferencia",P4129="Pago tarjeta"),-1,1)*IF(IFERROR(INDEX(ctaMoneda,MATCH(AB4129,ctaNombre,0))&amp;"","DOP")="USD",T4129,S4129))</f>
        <v/>
      </c>
      <c r="AG4129" s="53">
        <f>IF(AC4129="","",IF(IFERROR(INDEX(ctaMoneda,MATCH(AC4129,ctaNombre,0))&amp;"","DOP")="USD",T4129,S4129))</f>
        <v/>
      </c>
      <c r="AH4129" s="53">
        <f>IF(P4129="","",IF(AND(AD4129&lt;&gt;"",COUNTIFS(tcTipo,AD4129,tcLiq,"Sí")&gt;0),IF(OR(P4129="Gasto",P4129="Transferencia",P4129="Pago tarjeta"),-1,1)*S4129,0)+IF(AND(AE4129&lt;&gt;"",COUNTIFS(tcTipo,AE4129,tcLiq,"Sí")&gt;0),S4129,0))</f>
        <v/>
      </c>
      <c r="AI4129" s="52">
        <f>IF(OR(L4129="",P4129=""),"",IF(COUNTIFS(L$6:L4129,L4129,P$6:P4129,"?*")=1,MAX(AI$5:AI4128)+1,""))</f>
        <v/>
      </c>
    </row>
    <row r="4130">
      <c r="B4130" s="47" t="n"/>
      <c r="C4130" s="48" t="n"/>
      <c r="D4130" s="48" t="n"/>
      <c r="E4130" s="48" t="n"/>
      <c r="F4130" s="48" t="n"/>
      <c r="G4130" s="49" t="n"/>
      <c r="H4130" s="48" t="n"/>
      <c r="I4130" s="50" t="n"/>
      <c r="J4130" s="48" t="n"/>
      <c r="K4130" s="48" t="n"/>
      <c r="L4130" s="48" t="n"/>
      <c r="M4130" s="48" t="n"/>
      <c r="N4130" s="48" t="n"/>
      <c r="O4130" s="51">
        <f>IF(AND(B4130="",G4130="",C4130="",D4130="",J4130=""),"",IF(B4130="","⚠ Falta fecha",IF(G4130="","⚠ Falta monto",IF(Q4130="","⚠ Falta cuenta",IF(ISNA(MATCH(Q4130,ctaNombre,0)),"⚠ Cuenta no registrada",IF(AND(OR(P4130="Gasto",P4130="Reembolso"),D4130=""),"⚠ Falta categoría",IF(AND(D4130&lt;&gt;"",E4130&lt;&gt;"",ISNA(MATCH(D4130&amp;"|"&amp;E4130,catClave,0))),"⚠ Subcategoría no corresponde",IF(AND(OR(P4130="Transferencia",P4130="Pago tarjeta"),K4130=""),"⚠ Falta cuenta destino",IF(AND(K4130&lt;&gt;"",P4130&lt;&gt;"Transferencia",P4130&lt;&gt;"Pago tarjeta"),"⚠ Destino solo aplica a transferencias",IF(AND(K4130&lt;&gt;"",K4130=Q4130),"⚠ Origen igual a destino",IF(AND(K4130&lt;&gt;"",ISNA(MATCH(K4130,ctaNombre,0))),"⚠ Destino no registrado",IF(AND(P4130="Pago tarjeta",AE4130&lt;&gt;"Tarjeta de crédito"),"⚠ El destino debe ser tarjeta de crédito",IF(AND(P4130="Gasto",E4130="Depósitos y retiros"),"⚠ Usa tipo Transferencia",IF(AND(P4130="Resultado trading",AD4130&lt;&gt;"Cuenta de trading"),"⚠ Usa una cuenta de trading",IF(AND(G4130&lt;=0,P4130&lt;&gt;"Ajuste",P4130&lt;&gt;"Resultado trading"),"⚠ El monto debe ser positivo","✓")))))))))))))))</f>
        <v/>
      </c>
      <c r="P4130" s="52">
        <f>IF(OR(B4130="",G4130=""),"",IF(C4130="","Gasto",C4130))</f>
        <v/>
      </c>
      <c r="Q4130" s="52">
        <f>IF(P4130="","",IF(J4130&lt;&gt;"",J4130,CuentaPred&amp;""))</f>
        <v/>
      </c>
      <c r="R4130" s="52">
        <f>IF(P4130="","",IF(ISNUMBER(I4130),I4130,TasaUSD))</f>
        <v/>
      </c>
      <c r="S4130" s="53">
        <f>IF(P4130="","",IF(H4130="USD",G4130*R4130,G4130))</f>
        <v/>
      </c>
      <c r="T4130" s="53">
        <f>IF(P4130="","",IF(H4130="USD",G4130,IF(R4130&gt;0,G4130/R4130,0)))</f>
        <v/>
      </c>
      <c r="U4130" s="53">
        <f>IF(P4130="","",IF(P4130="Gasto",S4130,IF(P4130="Reembolso",-S4130,0)))</f>
        <v/>
      </c>
      <c r="V4130" s="53">
        <f>IF(P4130="","",IF(P4130="Ingreso",S4130,0))</f>
        <v/>
      </c>
      <c r="W4130" s="53">
        <f>IF(P4130="","",IF(P4130="Resultado trading",S4130,0))</f>
        <v/>
      </c>
      <c r="X4130" s="52">
        <f>IF(OR(P4130="Gasto",P4130="Reembolso"),IF(M4130&lt;&gt;"",M4130,IFERROR(INDEX(catClasif,MATCH(D4130&amp;"|"&amp;E4130,catClave,0))&amp;"","Variable")),"")</f>
        <v/>
      </c>
      <c r="Y4130" s="52">
        <f>IF(P4130="","",IFERROR(INDEX(catGrupo,MATCH(D4130&amp;"|"&amp;E4130,catClave,0))&amp;"",""))</f>
        <v/>
      </c>
      <c r="Z4130" s="52">
        <f>IF(P4130="","",WEEKDAY(B4130,2))</f>
        <v/>
      </c>
      <c r="AA4130" s="52">
        <f>IF(P4130="","",IF(AND(P4130="Gasto",X4130="Variable",D4130&lt;&gt;catTrading,S4130&gt;0,S4130&lt;=Umbral),1,0))</f>
        <v/>
      </c>
      <c r="AB4130" s="52">
        <f>IF(OR(P4130="",Q4130=""),"",IFERROR(IF(INDEX(ctaVinc,MATCH(Q4130,ctaNombre,0))&amp;""&lt;&gt;"",INDEX(ctaVinc,MATCH(Q4130,ctaNombre,0))&amp;"",Q4130),Q4130))</f>
        <v/>
      </c>
      <c r="AC4130" s="52">
        <f>IF(OR(K4130="",AND(P4130&lt;&gt;"Transferencia",P4130&lt;&gt;"Pago tarjeta")),"",IFERROR(IF(INDEX(ctaVinc,MATCH(K4130,ctaNombre,0))&amp;""&lt;&gt;"",INDEX(ctaVinc,MATCH(K4130,ctaNombre,0))&amp;"",K4130),K4130))</f>
        <v/>
      </c>
      <c r="AD4130" s="52">
        <f>IF(AB4130="","",IFERROR(INDEX(ctaTipo,MATCH(AB4130,ctaNombre,0))&amp;"",""))</f>
        <v/>
      </c>
      <c r="AE4130" s="52">
        <f>IF(AC4130="","",IFERROR(INDEX(ctaTipo,MATCH(AC4130,ctaNombre,0))&amp;"",""))</f>
        <v/>
      </c>
      <c r="AF4130" s="53">
        <f>IF(OR(P4130="",AB4130=""),"",IF(OR(P4130="Gasto",P4130="Transferencia",P4130="Pago tarjeta"),-1,1)*IF(IFERROR(INDEX(ctaMoneda,MATCH(AB4130,ctaNombre,0))&amp;"","DOP")="USD",T4130,S4130))</f>
        <v/>
      </c>
      <c r="AG4130" s="53">
        <f>IF(AC4130="","",IF(IFERROR(INDEX(ctaMoneda,MATCH(AC4130,ctaNombre,0))&amp;"","DOP")="USD",T4130,S4130))</f>
        <v/>
      </c>
      <c r="AH4130" s="53">
        <f>IF(P4130="","",IF(AND(AD4130&lt;&gt;"",COUNTIFS(tcTipo,AD4130,tcLiq,"Sí")&gt;0),IF(OR(P4130="Gasto",P4130="Transferencia",P4130="Pago tarjeta"),-1,1)*S4130,0)+IF(AND(AE4130&lt;&gt;"",COUNTIFS(tcTipo,AE4130,tcLiq,"Sí")&gt;0),S4130,0))</f>
        <v/>
      </c>
      <c r="AI4130" s="52">
        <f>IF(OR(L4130="",P4130=""),"",IF(COUNTIFS(L$6:L4130,L4130,P$6:P4130,"?*")=1,MAX(AI$5:AI4129)+1,""))</f>
        <v/>
      </c>
    </row>
    <row r="4131">
      <c r="B4131" s="47" t="n"/>
      <c r="C4131" s="48" t="n"/>
      <c r="D4131" s="48" t="n"/>
      <c r="E4131" s="48" t="n"/>
      <c r="F4131" s="48" t="n"/>
      <c r="G4131" s="49" t="n"/>
      <c r="H4131" s="48" t="n"/>
      <c r="I4131" s="50" t="n"/>
      <c r="J4131" s="48" t="n"/>
      <c r="K4131" s="48" t="n"/>
      <c r="L4131" s="48" t="n"/>
      <c r="M4131" s="48" t="n"/>
      <c r="N4131" s="48" t="n"/>
      <c r="O4131" s="51">
        <f>IF(AND(B4131="",G4131="",C4131="",D4131="",J4131=""),"",IF(B4131="","⚠ Falta fecha",IF(G4131="","⚠ Falta monto",IF(Q4131="","⚠ Falta cuenta",IF(ISNA(MATCH(Q4131,ctaNombre,0)),"⚠ Cuenta no registrada",IF(AND(OR(P4131="Gasto",P4131="Reembolso"),D4131=""),"⚠ Falta categoría",IF(AND(D4131&lt;&gt;"",E4131&lt;&gt;"",ISNA(MATCH(D4131&amp;"|"&amp;E4131,catClave,0))),"⚠ Subcategoría no corresponde",IF(AND(OR(P4131="Transferencia",P4131="Pago tarjeta"),K4131=""),"⚠ Falta cuenta destino",IF(AND(K4131&lt;&gt;"",P4131&lt;&gt;"Transferencia",P4131&lt;&gt;"Pago tarjeta"),"⚠ Destino solo aplica a transferencias",IF(AND(K4131&lt;&gt;"",K4131=Q4131),"⚠ Origen igual a destino",IF(AND(K4131&lt;&gt;"",ISNA(MATCH(K4131,ctaNombre,0))),"⚠ Destino no registrado",IF(AND(P4131="Pago tarjeta",AE4131&lt;&gt;"Tarjeta de crédito"),"⚠ El destino debe ser tarjeta de crédito",IF(AND(P4131="Gasto",E4131="Depósitos y retiros"),"⚠ Usa tipo Transferencia",IF(AND(P4131="Resultado trading",AD4131&lt;&gt;"Cuenta de trading"),"⚠ Usa una cuenta de trading",IF(AND(G4131&lt;=0,P4131&lt;&gt;"Ajuste",P4131&lt;&gt;"Resultado trading"),"⚠ El monto debe ser positivo","✓")))))))))))))))</f>
        <v/>
      </c>
      <c r="P4131" s="52">
        <f>IF(OR(B4131="",G4131=""),"",IF(C4131="","Gasto",C4131))</f>
        <v/>
      </c>
      <c r="Q4131" s="52">
        <f>IF(P4131="","",IF(J4131&lt;&gt;"",J4131,CuentaPred&amp;""))</f>
        <v/>
      </c>
      <c r="R4131" s="52">
        <f>IF(P4131="","",IF(ISNUMBER(I4131),I4131,TasaUSD))</f>
        <v/>
      </c>
      <c r="S4131" s="53">
        <f>IF(P4131="","",IF(H4131="USD",G4131*R4131,G4131))</f>
        <v/>
      </c>
      <c r="T4131" s="53">
        <f>IF(P4131="","",IF(H4131="USD",G4131,IF(R4131&gt;0,G4131/R4131,0)))</f>
        <v/>
      </c>
      <c r="U4131" s="53">
        <f>IF(P4131="","",IF(P4131="Gasto",S4131,IF(P4131="Reembolso",-S4131,0)))</f>
        <v/>
      </c>
      <c r="V4131" s="53">
        <f>IF(P4131="","",IF(P4131="Ingreso",S4131,0))</f>
        <v/>
      </c>
      <c r="W4131" s="53">
        <f>IF(P4131="","",IF(P4131="Resultado trading",S4131,0))</f>
        <v/>
      </c>
      <c r="X4131" s="52">
        <f>IF(OR(P4131="Gasto",P4131="Reembolso"),IF(M4131&lt;&gt;"",M4131,IFERROR(INDEX(catClasif,MATCH(D4131&amp;"|"&amp;E4131,catClave,0))&amp;"","Variable")),"")</f>
        <v/>
      </c>
      <c r="Y4131" s="52">
        <f>IF(P4131="","",IFERROR(INDEX(catGrupo,MATCH(D4131&amp;"|"&amp;E4131,catClave,0))&amp;"",""))</f>
        <v/>
      </c>
      <c r="Z4131" s="52">
        <f>IF(P4131="","",WEEKDAY(B4131,2))</f>
        <v/>
      </c>
      <c r="AA4131" s="52">
        <f>IF(P4131="","",IF(AND(P4131="Gasto",X4131="Variable",D4131&lt;&gt;catTrading,S4131&gt;0,S4131&lt;=Umbral),1,0))</f>
        <v/>
      </c>
      <c r="AB4131" s="52">
        <f>IF(OR(P4131="",Q4131=""),"",IFERROR(IF(INDEX(ctaVinc,MATCH(Q4131,ctaNombre,0))&amp;""&lt;&gt;"",INDEX(ctaVinc,MATCH(Q4131,ctaNombre,0))&amp;"",Q4131),Q4131))</f>
        <v/>
      </c>
      <c r="AC4131" s="52">
        <f>IF(OR(K4131="",AND(P4131&lt;&gt;"Transferencia",P4131&lt;&gt;"Pago tarjeta")),"",IFERROR(IF(INDEX(ctaVinc,MATCH(K4131,ctaNombre,0))&amp;""&lt;&gt;"",INDEX(ctaVinc,MATCH(K4131,ctaNombre,0))&amp;"",K4131),K4131))</f>
        <v/>
      </c>
      <c r="AD4131" s="52">
        <f>IF(AB4131="","",IFERROR(INDEX(ctaTipo,MATCH(AB4131,ctaNombre,0))&amp;"",""))</f>
        <v/>
      </c>
      <c r="AE4131" s="52">
        <f>IF(AC4131="","",IFERROR(INDEX(ctaTipo,MATCH(AC4131,ctaNombre,0))&amp;"",""))</f>
        <v/>
      </c>
      <c r="AF4131" s="53">
        <f>IF(OR(P4131="",AB4131=""),"",IF(OR(P4131="Gasto",P4131="Transferencia",P4131="Pago tarjeta"),-1,1)*IF(IFERROR(INDEX(ctaMoneda,MATCH(AB4131,ctaNombre,0))&amp;"","DOP")="USD",T4131,S4131))</f>
        <v/>
      </c>
      <c r="AG4131" s="53">
        <f>IF(AC4131="","",IF(IFERROR(INDEX(ctaMoneda,MATCH(AC4131,ctaNombre,0))&amp;"","DOP")="USD",T4131,S4131))</f>
        <v/>
      </c>
      <c r="AH4131" s="53">
        <f>IF(P4131="","",IF(AND(AD4131&lt;&gt;"",COUNTIFS(tcTipo,AD4131,tcLiq,"Sí")&gt;0),IF(OR(P4131="Gasto",P4131="Transferencia",P4131="Pago tarjeta"),-1,1)*S4131,0)+IF(AND(AE4131&lt;&gt;"",COUNTIFS(tcTipo,AE4131,tcLiq,"Sí")&gt;0),S4131,0))</f>
        <v/>
      </c>
      <c r="AI4131" s="52">
        <f>IF(OR(L4131="",P4131=""),"",IF(COUNTIFS(L$6:L4131,L4131,P$6:P4131,"?*")=1,MAX(AI$5:AI4130)+1,""))</f>
        <v/>
      </c>
    </row>
    <row r="4132">
      <c r="B4132" s="47" t="n"/>
      <c r="C4132" s="48" t="n"/>
      <c r="D4132" s="48" t="n"/>
      <c r="E4132" s="48" t="n"/>
      <c r="F4132" s="48" t="n"/>
      <c r="G4132" s="49" t="n"/>
      <c r="H4132" s="48" t="n"/>
      <c r="I4132" s="50" t="n"/>
      <c r="J4132" s="48" t="n"/>
      <c r="K4132" s="48" t="n"/>
      <c r="L4132" s="48" t="n"/>
      <c r="M4132" s="48" t="n"/>
      <c r="N4132" s="48" t="n"/>
      <c r="O4132" s="51">
        <f>IF(AND(B4132="",G4132="",C4132="",D4132="",J4132=""),"",IF(B4132="","⚠ Falta fecha",IF(G4132="","⚠ Falta monto",IF(Q4132="","⚠ Falta cuenta",IF(ISNA(MATCH(Q4132,ctaNombre,0)),"⚠ Cuenta no registrada",IF(AND(OR(P4132="Gasto",P4132="Reembolso"),D4132=""),"⚠ Falta categoría",IF(AND(D4132&lt;&gt;"",E4132&lt;&gt;"",ISNA(MATCH(D4132&amp;"|"&amp;E4132,catClave,0))),"⚠ Subcategoría no corresponde",IF(AND(OR(P4132="Transferencia",P4132="Pago tarjeta"),K4132=""),"⚠ Falta cuenta destino",IF(AND(K4132&lt;&gt;"",P4132&lt;&gt;"Transferencia",P4132&lt;&gt;"Pago tarjeta"),"⚠ Destino solo aplica a transferencias",IF(AND(K4132&lt;&gt;"",K4132=Q4132),"⚠ Origen igual a destino",IF(AND(K4132&lt;&gt;"",ISNA(MATCH(K4132,ctaNombre,0))),"⚠ Destino no registrado",IF(AND(P4132="Pago tarjeta",AE4132&lt;&gt;"Tarjeta de crédito"),"⚠ El destino debe ser tarjeta de crédito",IF(AND(P4132="Gasto",E4132="Depósitos y retiros"),"⚠ Usa tipo Transferencia",IF(AND(P4132="Resultado trading",AD4132&lt;&gt;"Cuenta de trading"),"⚠ Usa una cuenta de trading",IF(AND(G4132&lt;=0,P4132&lt;&gt;"Ajuste",P4132&lt;&gt;"Resultado trading"),"⚠ El monto debe ser positivo","✓")))))))))))))))</f>
        <v/>
      </c>
      <c r="P4132" s="52">
        <f>IF(OR(B4132="",G4132=""),"",IF(C4132="","Gasto",C4132))</f>
        <v/>
      </c>
      <c r="Q4132" s="52">
        <f>IF(P4132="","",IF(J4132&lt;&gt;"",J4132,CuentaPred&amp;""))</f>
        <v/>
      </c>
      <c r="R4132" s="52">
        <f>IF(P4132="","",IF(ISNUMBER(I4132),I4132,TasaUSD))</f>
        <v/>
      </c>
      <c r="S4132" s="53">
        <f>IF(P4132="","",IF(H4132="USD",G4132*R4132,G4132))</f>
        <v/>
      </c>
      <c r="T4132" s="53">
        <f>IF(P4132="","",IF(H4132="USD",G4132,IF(R4132&gt;0,G4132/R4132,0)))</f>
        <v/>
      </c>
      <c r="U4132" s="53">
        <f>IF(P4132="","",IF(P4132="Gasto",S4132,IF(P4132="Reembolso",-S4132,0)))</f>
        <v/>
      </c>
      <c r="V4132" s="53">
        <f>IF(P4132="","",IF(P4132="Ingreso",S4132,0))</f>
        <v/>
      </c>
      <c r="W4132" s="53">
        <f>IF(P4132="","",IF(P4132="Resultado trading",S4132,0))</f>
        <v/>
      </c>
      <c r="X4132" s="52">
        <f>IF(OR(P4132="Gasto",P4132="Reembolso"),IF(M4132&lt;&gt;"",M4132,IFERROR(INDEX(catClasif,MATCH(D4132&amp;"|"&amp;E4132,catClave,0))&amp;"","Variable")),"")</f>
        <v/>
      </c>
      <c r="Y4132" s="52">
        <f>IF(P4132="","",IFERROR(INDEX(catGrupo,MATCH(D4132&amp;"|"&amp;E4132,catClave,0))&amp;"",""))</f>
        <v/>
      </c>
      <c r="Z4132" s="52">
        <f>IF(P4132="","",WEEKDAY(B4132,2))</f>
        <v/>
      </c>
      <c r="AA4132" s="52">
        <f>IF(P4132="","",IF(AND(P4132="Gasto",X4132="Variable",D4132&lt;&gt;catTrading,S4132&gt;0,S4132&lt;=Umbral),1,0))</f>
        <v/>
      </c>
      <c r="AB4132" s="52">
        <f>IF(OR(P4132="",Q4132=""),"",IFERROR(IF(INDEX(ctaVinc,MATCH(Q4132,ctaNombre,0))&amp;""&lt;&gt;"",INDEX(ctaVinc,MATCH(Q4132,ctaNombre,0))&amp;"",Q4132),Q4132))</f>
        <v/>
      </c>
      <c r="AC4132" s="52">
        <f>IF(OR(K4132="",AND(P4132&lt;&gt;"Transferencia",P4132&lt;&gt;"Pago tarjeta")),"",IFERROR(IF(INDEX(ctaVinc,MATCH(K4132,ctaNombre,0))&amp;""&lt;&gt;"",INDEX(ctaVinc,MATCH(K4132,ctaNombre,0))&amp;"",K4132),K4132))</f>
        <v/>
      </c>
      <c r="AD4132" s="52">
        <f>IF(AB4132="","",IFERROR(INDEX(ctaTipo,MATCH(AB4132,ctaNombre,0))&amp;"",""))</f>
        <v/>
      </c>
      <c r="AE4132" s="52">
        <f>IF(AC4132="","",IFERROR(INDEX(ctaTipo,MATCH(AC4132,ctaNombre,0))&amp;"",""))</f>
        <v/>
      </c>
      <c r="AF4132" s="53">
        <f>IF(OR(P4132="",AB4132=""),"",IF(OR(P4132="Gasto",P4132="Transferencia",P4132="Pago tarjeta"),-1,1)*IF(IFERROR(INDEX(ctaMoneda,MATCH(AB4132,ctaNombre,0))&amp;"","DOP")="USD",T4132,S4132))</f>
        <v/>
      </c>
      <c r="AG4132" s="53">
        <f>IF(AC4132="","",IF(IFERROR(INDEX(ctaMoneda,MATCH(AC4132,ctaNombre,0))&amp;"","DOP")="USD",T4132,S4132))</f>
        <v/>
      </c>
      <c r="AH4132" s="53">
        <f>IF(P4132="","",IF(AND(AD4132&lt;&gt;"",COUNTIFS(tcTipo,AD4132,tcLiq,"Sí")&gt;0),IF(OR(P4132="Gasto",P4132="Transferencia",P4132="Pago tarjeta"),-1,1)*S4132,0)+IF(AND(AE4132&lt;&gt;"",COUNTIFS(tcTipo,AE4132,tcLiq,"Sí")&gt;0),S4132,0))</f>
        <v/>
      </c>
      <c r="AI4132" s="52">
        <f>IF(OR(L4132="",P4132=""),"",IF(COUNTIFS(L$6:L4132,L4132,P$6:P4132,"?*")=1,MAX(AI$5:AI4131)+1,""))</f>
        <v/>
      </c>
    </row>
    <row r="4133">
      <c r="B4133" s="47" t="n"/>
      <c r="C4133" s="48" t="n"/>
      <c r="D4133" s="48" t="n"/>
      <c r="E4133" s="48" t="n"/>
      <c r="F4133" s="48" t="n"/>
      <c r="G4133" s="49" t="n"/>
      <c r="H4133" s="48" t="n"/>
      <c r="I4133" s="50" t="n"/>
      <c r="J4133" s="48" t="n"/>
      <c r="K4133" s="48" t="n"/>
      <c r="L4133" s="48" t="n"/>
      <c r="M4133" s="48" t="n"/>
      <c r="N4133" s="48" t="n"/>
      <c r="O4133" s="51">
        <f>IF(AND(B4133="",G4133="",C4133="",D4133="",J4133=""),"",IF(B4133="","⚠ Falta fecha",IF(G4133="","⚠ Falta monto",IF(Q4133="","⚠ Falta cuenta",IF(ISNA(MATCH(Q4133,ctaNombre,0)),"⚠ Cuenta no registrada",IF(AND(OR(P4133="Gasto",P4133="Reembolso"),D4133=""),"⚠ Falta categoría",IF(AND(D4133&lt;&gt;"",E4133&lt;&gt;"",ISNA(MATCH(D4133&amp;"|"&amp;E4133,catClave,0))),"⚠ Subcategoría no corresponde",IF(AND(OR(P4133="Transferencia",P4133="Pago tarjeta"),K4133=""),"⚠ Falta cuenta destino",IF(AND(K4133&lt;&gt;"",P4133&lt;&gt;"Transferencia",P4133&lt;&gt;"Pago tarjeta"),"⚠ Destino solo aplica a transferencias",IF(AND(K4133&lt;&gt;"",K4133=Q4133),"⚠ Origen igual a destino",IF(AND(K4133&lt;&gt;"",ISNA(MATCH(K4133,ctaNombre,0))),"⚠ Destino no registrado",IF(AND(P4133="Pago tarjeta",AE4133&lt;&gt;"Tarjeta de crédito"),"⚠ El destino debe ser tarjeta de crédito",IF(AND(P4133="Gasto",E4133="Depósitos y retiros"),"⚠ Usa tipo Transferencia",IF(AND(P4133="Resultado trading",AD4133&lt;&gt;"Cuenta de trading"),"⚠ Usa una cuenta de trading",IF(AND(G4133&lt;=0,P4133&lt;&gt;"Ajuste",P4133&lt;&gt;"Resultado trading"),"⚠ El monto debe ser positivo","✓")))))))))))))))</f>
        <v/>
      </c>
      <c r="P4133" s="52">
        <f>IF(OR(B4133="",G4133=""),"",IF(C4133="","Gasto",C4133))</f>
        <v/>
      </c>
      <c r="Q4133" s="52">
        <f>IF(P4133="","",IF(J4133&lt;&gt;"",J4133,CuentaPred&amp;""))</f>
        <v/>
      </c>
      <c r="R4133" s="52">
        <f>IF(P4133="","",IF(ISNUMBER(I4133),I4133,TasaUSD))</f>
        <v/>
      </c>
      <c r="S4133" s="53">
        <f>IF(P4133="","",IF(H4133="USD",G4133*R4133,G4133))</f>
        <v/>
      </c>
      <c r="T4133" s="53">
        <f>IF(P4133="","",IF(H4133="USD",G4133,IF(R4133&gt;0,G4133/R4133,0)))</f>
        <v/>
      </c>
      <c r="U4133" s="53">
        <f>IF(P4133="","",IF(P4133="Gasto",S4133,IF(P4133="Reembolso",-S4133,0)))</f>
        <v/>
      </c>
      <c r="V4133" s="53">
        <f>IF(P4133="","",IF(P4133="Ingreso",S4133,0))</f>
        <v/>
      </c>
      <c r="W4133" s="53">
        <f>IF(P4133="","",IF(P4133="Resultado trading",S4133,0))</f>
        <v/>
      </c>
      <c r="X4133" s="52">
        <f>IF(OR(P4133="Gasto",P4133="Reembolso"),IF(M4133&lt;&gt;"",M4133,IFERROR(INDEX(catClasif,MATCH(D4133&amp;"|"&amp;E4133,catClave,0))&amp;"","Variable")),"")</f>
        <v/>
      </c>
      <c r="Y4133" s="52">
        <f>IF(P4133="","",IFERROR(INDEX(catGrupo,MATCH(D4133&amp;"|"&amp;E4133,catClave,0))&amp;"",""))</f>
        <v/>
      </c>
      <c r="Z4133" s="52">
        <f>IF(P4133="","",WEEKDAY(B4133,2))</f>
        <v/>
      </c>
      <c r="AA4133" s="52">
        <f>IF(P4133="","",IF(AND(P4133="Gasto",X4133="Variable",D4133&lt;&gt;catTrading,S4133&gt;0,S4133&lt;=Umbral),1,0))</f>
        <v/>
      </c>
      <c r="AB4133" s="52">
        <f>IF(OR(P4133="",Q4133=""),"",IFERROR(IF(INDEX(ctaVinc,MATCH(Q4133,ctaNombre,0))&amp;""&lt;&gt;"",INDEX(ctaVinc,MATCH(Q4133,ctaNombre,0))&amp;"",Q4133),Q4133))</f>
        <v/>
      </c>
      <c r="AC4133" s="52">
        <f>IF(OR(K4133="",AND(P4133&lt;&gt;"Transferencia",P4133&lt;&gt;"Pago tarjeta")),"",IFERROR(IF(INDEX(ctaVinc,MATCH(K4133,ctaNombre,0))&amp;""&lt;&gt;"",INDEX(ctaVinc,MATCH(K4133,ctaNombre,0))&amp;"",K4133),K4133))</f>
        <v/>
      </c>
      <c r="AD4133" s="52">
        <f>IF(AB4133="","",IFERROR(INDEX(ctaTipo,MATCH(AB4133,ctaNombre,0))&amp;"",""))</f>
        <v/>
      </c>
      <c r="AE4133" s="52">
        <f>IF(AC4133="","",IFERROR(INDEX(ctaTipo,MATCH(AC4133,ctaNombre,0))&amp;"",""))</f>
        <v/>
      </c>
      <c r="AF4133" s="53">
        <f>IF(OR(P4133="",AB4133=""),"",IF(OR(P4133="Gasto",P4133="Transferencia",P4133="Pago tarjeta"),-1,1)*IF(IFERROR(INDEX(ctaMoneda,MATCH(AB4133,ctaNombre,0))&amp;"","DOP")="USD",T4133,S4133))</f>
        <v/>
      </c>
      <c r="AG4133" s="53">
        <f>IF(AC4133="","",IF(IFERROR(INDEX(ctaMoneda,MATCH(AC4133,ctaNombre,0))&amp;"","DOP")="USD",T4133,S4133))</f>
        <v/>
      </c>
      <c r="AH4133" s="53">
        <f>IF(P4133="","",IF(AND(AD4133&lt;&gt;"",COUNTIFS(tcTipo,AD4133,tcLiq,"Sí")&gt;0),IF(OR(P4133="Gasto",P4133="Transferencia",P4133="Pago tarjeta"),-1,1)*S4133,0)+IF(AND(AE4133&lt;&gt;"",COUNTIFS(tcTipo,AE4133,tcLiq,"Sí")&gt;0),S4133,0))</f>
        <v/>
      </c>
      <c r="AI4133" s="52">
        <f>IF(OR(L4133="",P4133=""),"",IF(COUNTIFS(L$6:L4133,L4133,P$6:P4133,"?*")=1,MAX(AI$5:AI4132)+1,""))</f>
        <v/>
      </c>
    </row>
    <row r="4134">
      <c r="B4134" s="47" t="n"/>
      <c r="C4134" s="48" t="n"/>
      <c r="D4134" s="48" t="n"/>
      <c r="E4134" s="48" t="n"/>
      <c r="F4134" s="48" t="n"/>
      <c r="G4134" s="49" t="n"/>
      <c r="H4134" s="48" t="n"/>
      <c r="I4134" s="50" t="n"/>
      <c r="J4134" s="48" t="n"/>
      <c r="K4134" s="48" t="n"/>
      <c r="L4134" s="48" t="n"/>
      <c r="M4134" s="48" t="n"/>
      <c r="N4134" s="48" t="n"/>
      <c r="O4134" s="51">
        <f>IF(AND(B4134="",G4134="",C4134="",D4134="",J4134=""),"",IF(B4134="","⚠ Falta fecha",IF(G4134="","⚠ Falta monto",IF(Q4134="","⚠ Falta cuenta",IF(ISNA(MATCH(Q4134,ctaNombre,0)),"⚠ Cuenta no registrada",IF(AND(OR(P4134="Gasto",P4134="Reembolso"),D4134=""),"⚠ Falta categoría",IF(AND(D4134&lt;&gt;"",E4134&lt;&gt;"",ISNA(MATCH(D4134&amp;"|"&amp;E4134,catClave,0))),"⚠ Subcategoría no corresponde",IF(AND(OR(P4134="Transferencia",P4134="Pago tarjeta"),K4134=""),"⚠ Falta cuenta destino",IF(AND(K4134&lt;&gt;"",P4134&lt;&gt;"Transferencia",P4134&lt;&gt;"Pago tarjeta"),"⚠ Destino solo aplica a transferencias",IF(AND(K4134&lt;&gt;"",K4134=Q4134),"⚠ Origen igual a destino",IF(AND(K4134&lt;&gt;"",ISNA(MATCH(K4134,ctaNombre,0))),"⚠ Destino no registrado",IF(AND(P4134="Pago tarjeta",AE4134&lt;&gt;"Tarjeta de crédito"),"⚠ El destino debe ser tarjeta de crédito",IF(AND(P4134="Gasto",E4134="Depósitos y retiros"),"⚠ Usa tipo Transferencia",IF(AND(P4134="Resultado trading",AD4134&lt;&gt;"Cuenta de trading"),"⚠ Usa una cuenta de trading",IF(AND(G4134&lt;=0,P4134&lt;&gt;"Ajuste",P4134&lt;&gt;"Resultado trading"),"⚠ El monto debe ser positivo","✓")))))))))))))))</f>
        <v/>
      </c>
      <c r="P4134" s="52">
        <f>IF(OR(B4134="",G4134=""),"",IF(C4134="","Gasto",C4134))</f>
        <v/>
      </c>
      <c r="Q4134" s="52">
        <f>IF(P4134="","",IF(J4134&lt;&gt;"",J4134,CuentaPred&amp;""))</f>
        <v/>
      </c>
      <c r="R4134" s="52">
        <f>IF(P4134="","",IF(ISNUMBER(I4134),I4134,TasaUSD))</f>
        <v/>
      </c>
      <c r="S4134" s="53">
        <f>IF(P4134="","",IF(H4134="USD",G4134*R4134,G4134))</f>
        <v/>
      </c>
      <c r="T4134" s="53">
        <f>IF(P4134="","",IF(H4134="USD",G4134,IF(R4134&gt;0,G4134/R4134,0)))</f>
        <v/>
      </c>
      <c r="U4134" s="53">
        <f>IF(P4134="","",IF(P4134="Gasto",S4134,IF(P4134="Reembolso",-S4134,0)))</f>
        <v/>
      </c>
      <c r="V4134" s="53">
        <f>IF(P4134="","",IF(P4134="Ingreso",S4134,0))</f>
        <v/>
      </c>
      <c r="W4134" s="53">
        <f>IF(P4134="","",IF(P4134="Resultado trading",S4134,0))</f>
        <v/>
      </c>
      <c r="X4134" s="52">
        <f>IF(OR(P4134="Gasto",P4134="Reembolso"),IF(M4134&lt;&gt;"",M4134,IFERROR(INDEX(catClasif,MATCH(D4134&amp;"|"&amp;E4134,catClave,0))&amp;"","Variable")),"")</f>
        <v/>
      </c>
      <c r="Y4134" s="52">
        <f>IF(P4134="","",IFERROR(INDEX(catGrupo,MATCH(D4134&amp;"|"&amp;E4134,catClave,0))&amp;"",""))</f>
        <v/>
      </c>
      <c r="Z4134" s="52">
        <f>IF(P4134="","",WEEKDAY(B4134,2))</f>
        <v/>
      </c>
      <c r="AA4134" s="52">
        <f>IF(P4134="","",IF(AND(P4134="Gasto",X4134="Variable",D4134&lt;&gt;catTrading,S4134&gt;0,S4134&lt;=Umbral),1,0))</f>
        <v/>
      </c>
      <c r="AB4134" s="52">
        <f>IF(OR(P4134="",Q4134=""),"",IFERROR(IF(INDEX(ctaVinc,MATCH(Q4134,ctaNombre,0))&amp;""&lt;&gt;"",INDEX(ctaVinc,MATCH(Q4134,ctaNombre,0))&amp;"",Q4134),Q4134))</f>
        <v/>
      </c>
      <c r="AC4134" s="52">
        <f>IF(OR(K4134="",AND(P4134&lt;&gt;"Transferencia",P4134&lt;&gt;"Pago tarjeta")),"",IFERROR(IF(INDEX(ctaVinc,MATCH(K4134,ctaNombre,0))&amp;""&lt;&gt;"",INDEX(ctaVinc,MATCH(K4134,ctaNombre,0))&amp;"",K4134),K4134))</f>
        <v/>
      </c>
      <c r="AD4134" s="52">
        <f>IF(AB4134="","",IFERROR(INDEX(ctaTipo,MATCH(AB4134,ctaNombre,0))&amp;"",""))</f>
        <v/>
      </c>
      <c r="AE4134" s="52">
        <f>IF(AC4134="","",IFERROR(INDEX(ctaTipo,MATCH(AC4134,ctaNombre,0))&amp;"",""))</f>
        <v/>
      </c>
      <c r="AF4134" s="53">
        <f>IF(OR(P4134="",AB4134=""),"",IF(OR(P4134="Gasto",P4134="Transferencia",P4134="Pago tarjeta"),-1,1)*IF(IFERROR(INDEX(ctaMoneda,MATCH(AB4134,ctaNombre,0))&amp;"","DOP")="USD",T4134,S4134))</f>
        <v/>
      </c>
      <c r="AG4134" s="53">
        <f>IF(AC4134="","",IF(IFERROR(INDEX(ctaMoneda,MATCH(AC4134,ctaNombre,0))&amp;"","DOP")="USD",T4134,S4134))</f>
        <v/>
      </c>
      <c r="AH4134" s="53">
        <f>IF(P4134="","",IF(AND(AD4134&lt;&gt;"",COUNTIFS(tcTipo,AD4134,tcLiq,"Sí")&gt;0),IF(OR(P4134="Gasto",P4134="Transferencia",P4134="Pago tarjeta"),-1,1)*S4134,0)+IF(AND(AE4134&lt;&gt;"",COUNTIFS(tcTipo,AE4134,tcLiq,"Sí")&gt;0),S4134,0))</f>
        <v/>
      </c>
      <c r="AI4134" s="52">
        <f>IF(OR(L4134="",P4134=""),"",IF(COUNTIFS(L$6:L4134,L4134,P$6:P4134,"?*")=1,MAX(AI$5:AI4133)+1,""))</f>
        <v/>
      </c>
    </row>
    <row r="4135">
      <c r="B4135" s="47" t="n"/>
      <c r="C4135" s="48" t="n"/>
      <c r="D4135" s="48" t="n"/>
      <c r="E4135" s="48" t="n"/>
      <c r="F4135" s="48" t="n"/>
      <c r="G4135" s="49" t="n"/>
      <c r="H4135" s="48" t="n"/>
      <c r="I4135" s="50" t="n"/>
      <c r="J4135" s="48" t="n"/>
      <c r="K4135" s="48" t="n"/>
      <c r="L4135" s="48" t="n"/>
      <c r="M4135" s="48" t="n"/>
      <c r="N4135" s="48" t="n"/>
      <c r="O4135" s="51">
        <f>IF(AND(B4135="",G4135="",C4135="",D4135="",J4135=""),"",IF(B4135="","⚠ Falta fecha",IF(G4135="","⚠ Falta monto",IF(Q4135="","⚠ Falta cuenta",IF(ISNA(MATCH(Q4135,ctaNombre,0)),"⚠ Cuenta no registrada",IF(AND(OR(P4135="Gasto",P4135="Reembolso"),D4135=""),"⚠ Falta categoría",IF(AND(D4135&lt;&gt;"",E4135&lt;&gt;"",ISNA(MATCH(D4135&amp;"|"&amp;E4135,catClave,0))),"⚠ Subcategoría no corresponde",IF(AND(OR(P4135="Transferencia",P4135="Pago tarjeta"),K4135=""),"⚠ Falta cuenta destino",IF(AND(K4135&lt;&gt;"",P4135&lt;&gt;"Transferencia",P4135&lt;&gt;"Pago tarjeta"),"⚠ Destino solo aplica a transferencias",IF(AND(K4135&lt;&gt;"",K4135=Q4135),"⚠ Origen igual a destino",IF(AND(K4135&lt;&gt;"",ISNA(MATCH(K4135,ctaNombre,0))),"⚠ Destino no registrado",IF(AND(P4135="Pago tarjeta",AE4135&lt;&gt;"Tarjeta de crédito"),"⚠ El destino debe ser tarjeta de crédito",IF(AND(P4135="Gasto",E4135="Depósitos y retiros"),"⚠ Usa tipo Transferencia",IF(AND(P4135="Resultado trading",AD4135&lt;&gt;"Cuenta de trading"),"⚠ Usa una cuenta de trading",IF(AND(G4135&lt;=0,P4135&lt;&gt;"Ajuste",P4135&lt;&gt;"Resultado trading"),"⚠ El monto debe ser positivo","✓")))))))))))))))</f>
        <v/>
      </c>
      <c r="P4135" s="52">
        <f>IF(OR(B4135="",G4135=""),"",IF(C4135="","Gasto",C4135))</f>
        <v/>
      </c>
      <c r="Q4135" s="52">
        <f>IF(P4135="","",IF(J4135&lt;&gt;"",J4135,CuentaPred&amp;""))</f>
        <v/>
      </c>
      <c r="R4135" s="52">
        <f>IF(P4135="","",IF(ISNUMBER(I4135),I4135,TasaUSD))</f>
        <v/>
      </c>
      <c r="S4135" s="53">
        <f>IF(P4135="","",IF(H4135="USD",G4135*R4135,G4135))</f>
        <v/>
      </c>
      <c r="T4135" s="53">
        <f>IF(P4135="","",IF(H4135="USD",G4135,IF(R4135&gt;0,G4135/R4135,0)))</f>
        <v/>
      </c>
      <c r="U4135" s="53">
        <f>IF(P4135="","",IF(P4135="Gasto",S4135,IF(P4135="Reembolso",-S4135,0)))</f>
        <v/>
      </c>
      <c r="V4135" s="53">
        <f>IF(P4135="","",IF(P4135="Ingreso",S4135,0))</f>
        <v/>
      </c>
      <c r="W4135" s="53">
        <f>IF(P4135="","",IF(P4135="Resultado trading",S4135,0))</f>
        <v/>
      </c>
      <c r="X4135" s="52">
        <f>IF(OR(P4135="Gasto",P4135="Reembolso"),IF(M4135&lt;&gt;"",M4135,IFERROR(INDEX(catClasif,MATCH(D4135&amp;"|"&amp;E4135,catClave,0))&amp;"","Variable")),"")</f>
        <v/>
      </c>
      <c r="Y4135" s="52">
        <f>IF(P4135="","",IFERROR(INDEX(catGrupo,MATCH(D4135&amp;"|"&amp;E4135,catClave,0))&amp;"",""))</f>
        <v/>
      </c>
      <c r="Z4135" s="52">
        <f>IF(P4135="","",WEEKDAY(B4135,2))</f>
        <v/>
      </c>
      <c r="AA4135" s="52">
        <f>IF(P4135="","",IF(AND(P4135="Gasto",X4135="Variable",D4135&lt;&gt;catTrading,S4135&gt;0,S4135&lt;=Umbral),1,0))</f>
        <v/>
      </c>
      <c r="AB4135" s="52">
        <f>IF(OR(P4135="",Q4135=""),"",IFERROR(IF(INDEX(ctaVinc,MATCH(Q4135,ctaNombre,0))&amp;""&lt;&gt;"",INDEX(ctaVinc,MATCH(Q4135,ctaNombre,0))&amp;"",Q4135),Q4135))</f>
        <v/>
      </c>
      <c r="AC4135" s="52">
        <f>IF(OR(K4135="",AND(P4135&lt;&gt;"Transferencia",P4135&lt;&gt;"Pago tarjeta")),"",IFERROR(IF(INDEX(ctaVinc,MATCH(K4135,ctaNombre,0))&amp;""&lt;&gt;"",INDEX(ctaVinc,MATCH(K4135,ctaNombre,0))&amp;"",K4135),K4135))</f>
        <v/>
      </c>
      <c r="AD4135" s="52">
        <f>IF(AB4135="","",IFERROR(INDEX(ctaTipo,MATCH(AB4135,ctaNombre,0))&amp;"",""))</f>
        <v/>
      </c>
      <c r="AE4135" s="52">
        <f>IF(AC4135="","",IFERROR(INDEX(ctaTipo,MATCH(AC4135,ctaNombre,0))&amp;"",""))</f>
        <v/>
      </c>
      <c r="AF4135" s="53">
        <f>IF(OR(P4135="",AB4135=""),"",IF(OR(P4135="Gasto",P4135="Transferencia",P4135="Pago tarjeta"),-1,1)*IF(IFERROR(INDEX(ctaMoneda,MATCH(AB4135,ctaNombre,0))&amp;"","DOP")="USD",T4135,S4135))</f>
        <v/>
      </c>
      <c r="AG4135" s="53">
        <f>IF(AC4135="","",IF(IFERROR(INDEX(ctaMoneda,MATCH(AC4135,ctaNombre,0))&amp;"","DOP")="USD",T4135,S4135))</f>
        <v/>
      </c>
      <c r="AH4135" s="53">
        <f>IF(P4135="","",IF(AND(AD4135&lt;&gt;"",COUNTIFS(tcTipo,AD4135,tcLiq,"Sí")&gt;0),IF(OR(P4135="Gasto",P4135="Transferencia",P4135="Pago tarjeta"),-1,1)*S4135,0)+IF(AND(AE4135&lt;&gt;"",COUNTIFS(tcTipo,AE4135,tcLiq,"Sí")&gt;0),S4135,0))</f>
        <v/>
      </c>
      <c r="AI4135" s="52">
        <f>IF(OR(L4135="",P4135=""),"",IF(COUNTIFS(L$6:L4135,L4135,P$6:P4135,"?*")=1,MAX(AI$5:AI4134)+1,""))</f>
        <v/>
      </c>
    </row>
    <row r="4136">
      <c r="B4136" s="47" t="n"/>
      <c r="C4136" s="48" t="n"/>
      <c r="D4136" s="48" t="n"/>
      <c r="E4136" s="48" t="n"/>
      <c r="F4136" s="48" t="n"/>
      <c r="G4136" s="49" t="n"/>
      <c r="H4136" s="48" t="n"/>
      <c r="I4136" s="50" t="n"/>
      <c r="J4136" s="48" t="n"/>
      <c r="K4136" s="48" t="n"/>
      <c r="L4136" s="48" t="n"/>
      <c r="M4136" s="48" t="n"/>
      <c r="N4136" s="48" t="n"/>
      <c r="O4136" s="51">
        <f>IF(AND(B4136="",G4136="",C4136="",D4136="",J4136=""),"",IF(B4136="","⚠ Falta fecha",IF(G4136="","⚠ Falta monto",IF(Q4136="","⚠ Falta cuenta",IF(ISNA(MATCH(Q4136,ctaNombre,0)),"⚠ Cuenta no registrada",IF(AND(OR(P4136="Gasto",P4136="Reembolso"),D4136=""),"⚠ Falta categoría",IF(AND(D4136&lt;&gt;"",E4136&lt;&gt;"",ISNA(MATCH(D4136&amp;"|"&amp;E4136,catClave,0))),"⚠ Subcategoría no corresponde",IF(AND(OR(P4136="Transferencia",P4136="Pago tarjeta"),K4136=""),"⚠ Falta cuenta destino",IF(AND(K4136&lt;&gt;"",P4136&lt;&gt;"Transferencia",P4136&lt;&gt;"Pago tarjeta"),"⚠ Destino solo aplica a transferencias",IF(AND(K4136&lt;&gt;"",K4136=Q4136),"⚠ Origen igual a destino",IF(AND(K4136&lt;&gt;"",ISNA(MATCH(K4136,ctaNombre,0))),"⚠ Destino no registrado",IF(AND(P4136="Pago tarjeta",AE4136&lt;&gt;"Tarjeta de crédito"),"⚠ El destino debe ser tarjeta de crédito",IF(AND(P4136="Gasto",E4136="Depósitos y retiros"),"⚠ Usa tipo Transferencia",IF(AND(P4136="Resultado trading",AD4136&lt;&gt;"Cuenta de trading"),"⚠ Usa una cuenta de trading",IF(AND(G4136&lt;=0,P4136&lt;&gt;"Ajuste",P4136&lt;&gt;"Resultado trading"),"⚠ El monto debe ser positivo","✓")))))))))))))))</f>
        <v/>
      </c>
      <c r="P4136" s="52">
        <f>IF(OR(B4136="",G4136=""),"",IF(C4136="","Gasto",C4136))</f>
        <v/>
      </c>
      <c r="Q4136" s="52">
        <f>IF(P4136="","",IF(J4136&lt;&gt;"",J4136,CuentaPred&amp;""))</f>
        <v/>
      </c>
      <c r="R4136" s="52">
        <f>IF(P4136="","",IF(ISNUMBER(I4136),I4136,TasaUSD))</f>
        <v/>
      </c>
      <c r="S4136" s="53">
        <f>IF(P4136="","",IF(H4136="USD",G4136*R4136,G4136))</f>
        <v/>
      </c>
      <c r="T4136" s="53">
        <f>IF(P4136="","",IF(H4136="USD",G4136,IF(R4136&gt;0,G4136/R4136,0)))</f>
        <v/>
      </c>
      <c r="U4136" s="53">
        <f>IF(P4136="","",IF(P4136="Gasto",S4136,IF(P4136="Reembolso",-S4136,0)))</f>
        <v/>
      </c>
      <c r="V4136" s="53">
        <f>IF(P4136="","",IF(P4136="Ingreso",S4136,0))</f>
        <v/>
      </c>
      <c r="W4136" s="53">
        <f>IF(P4136="","",IF(P4136="Resultado trading",S4136,0))</f>
        <v/>
      </c>
      <c r="X4136" s="52">
        <f>IF(OR(P4136="Gasto",P4136="Reembolso"),IF(M4136&lt;&gt;"",M4136,IFERROR(INDEX(catClasif,MATCH(D4136&amp;"|"&amp;E4136,catClave,0))&amp;"","Variable")),"")</f>
        <v/>
      </c>
      <c r="Y4136" s="52">
        <f>IF(P4136="","",IFERROR(INDEX(catGrupo,MATCH(D4136&amp;"|"&amp;E4136,catClave,0))&amp;"",""))</f>
        <v/>
      </c>
      <c r="Z4136" s="52">
        <f>IF(P4136="","",WEEKDAY(B4136,2))</f>
        <v/>
      </c>
      <c r="AA4136" s="52">
        <f>IF(P4136="","",IF(AND(P4136="Gasto",X4136="Variable",D4136&lt;&gt;catTrading,S4136&gt;0,S4136&lt;=Umbral),1,0))</f>
        <v/>
      </c>
      <c r="AB4136" s="52">
        <f>IF(OR(P4136="",Q4136=""),"",IFERROR(IF(INDEX(ctaVinc,MATCH(Q4136,ctaNombre,0))&amp;""&lt;&gt;"",INDEX(ctaVinc,MATCH(Q4136,ctaNombre,0))&amp;"",Q4136),Q4136))</f>
        <v/>
      </c>
      <c r="AC4136" s="52">
        <f>IF(OR(K4136="",AND(P4136&lt;&gt;"Transferencia",P4136&lt;&gt;"Pago tarjeta")),"",IFERROR(IF(INDEX(ctaVinc,MATCH(K4136,ctaNombre,0))&amp;""&lt;&gt;"",INDEX(ctaVinc,MATCH(K4136,ctaNombre,0))&amp;"",K4136),K4136))</f>
        <v/>
      </c>
      <c r="AD4136" s="52">
        <f>IF(AB4136="","",IFERROR(INDEX(ctaTipo,MATCH(AB4136,ctaNombre,0))&amp;"",""))</f>
        <v/>
      </c>
      <c r="AE4136" s="52">
        <f>IF(AC4136="","",IFERROR(INDEX(ctaTipo,MATCH(AC4136,ctaNombre,0))&amp;"",""))</f>
        <v/>
      </c>
      <c r="AF4136" s="53">
        <f>IF(OR(P4136="",AB4136=""),"",IF(OR(P4136="Gasto",P4136="Transferencia",P4136="Pago tarjeta"),-1,1)*IF(IFERROR(INDEX(ctaMoneda,MATCH(AB4136,ctaNombre,0))&amp;"","DOP")="USD",T4136,S4136))</f>
        <v/>
      </c>
      <c r="AG4136" s="53">
        <f>IF(AC4136="","",IF(IFERROR(INDEX(ctaMoneda,MATCH(AC4136,ctaNombre,0))&amp;"","DOP")="USD",T4136,S4136))</f>
        <v/>
      </c>
      <c r="AH4136" s="53">
        <f>IF(P4136="","",IF(AND(AD4136&lt;&gt;"",COUNTIFS(tcTipo,AD4136,tcLiq,"Sí")&gt;0),IF(OR(P4136="Gasto",P4136="Transferencia",P4136="Pago tarjeta"),-1,1)*S4136,0)+IF(AND(AE4136&lt;&gt;"",COUNTIFS(tcTipo,AE4136,tcLiq,"Sí")&gt;0),S4136,0))</f>
        <v/>
      </c>
      <c r="AI4136" s="52">
        <f>IF(OR(L4136="",P4136=""),"",IF(COUNTIFS(L$6:L4136,L4136,P$6:P4136,"?*")=1,MAX(AI$5:AI4135)+1,""))</f>
        <v/>
      </c>
    </row>
    <row r="4137">
      <c r="B4137" s="47" t="n"/>
      <c r="C4137" s="48" t="n"/>
      <c r="D4137" s="48" t="n"/>
      <c r="E4137" s="48" t="n"/>
      <c r="F4137" s="48" t="n"/>
      <c r="G4137" s="49" t="n"/>
      <c r="H4137" s="48" t="n"/>
      <c r="I4137" s="50" t="n"/>
      <c r="J4137" s="48" t="n"/>
      <c r="K4137" s="48" t="n"/>
      <c r="L4137" s="48" t="n"/>
      <c r="M4137" s="48" t="n"/>
      <c r="N4137" s="48" t="n"/>
      <c r="O4137" s="51">
        <f>IF(AND(B4137="",G4137="",C4137="",D4137="",J4137=""),"",IF(B4137="","⚠ Falta fecha",IF(G4137="","⚠ Falta monto",IF(Q4137="","⚠ Falta cuenta",IF(ISNA(MATCH(Q4137,ctaNombre,0)),"⚠ Cuenta no registrada",IF(AND(OR(P4137="Gasto",P4137="Reembolso"),D4137=""),"⚠ Falta categoría",IF(AND(D4137&lt;&gt;"",E4137&lt;&gt;"",ISNA(MATCH(D4137&amp;"|"&amp;E4137,catClave,0))),"⚠ Subcategoría no corresponde",IF(AND(OR(P4137="Transferencia",P4137="Pago tarjeta"),K4137=""),"⚠ Falta cuenta destino",IF(AND(K4137&lt;&gt;"",P4137&lt;&gt;"Transferencia",P4137&lt;&gt;"Pago tarjeta"),"⚠ Destino solo aplica a transferencias",IF(AND(K4137&lt;&gt;"",K4137=Q4137),"⚠ Origen igual a destino",IF(AND(K4137&lt;&gt;"",ISNA(MATCH(K4137,ctaNombre,0))),"⚠ Destino no registrado",IF(AND(P4137="Pago tarjeta",AE4137&lt;&gt;"Tarjeta de crédito"),"⚠ El destino debe ser tarjeta de crédito",IF(AND(P4137="Gasto",E4137="Depósitos y retiros"),"⚠ Usa tipo Transferencia",IF(AND(P4137="Resultado trading",AD4137&lt;&gt;"Cuenta de trading"),"⚠ Usa una cuenta de trading",IF(AND(G4137&lt;=0,P4137&lt;&gt;"Ajuste",P4137&lt;&gt;"Resultado trading"),"⚠ El monto debe ser positivo","✓")))))))))))))))</f>
        <v/>
      </c>
      <c r="P4137" s="52">
        <f>IF(OR(B4137="",G4137=""),"",IF(C4137="","Gasto",C4137))</f>
        <v/>
      </c>
      <c r="Q4137" s="52">
        <f>IF(P4137="","",IF(J4137&lt;&gt;"",J4137,CuentaPred&amp;""))</f>
        <v/>
      </c>
      <c r="R4137" s="52">
        <f>IF(P4137="","",IF(ISNUMBER(I4137),I4137,TasaUSD))</f>
        <v/>
      </c>
      <c r="S4137" s="53">
        <f>IF(P4137="","",IF(H4137="USD",G4137*R4137,G4137))</f>
        <v/>
      </c>
      <c r="T4137" s="53">
        <f>IF(P4137="","",IF(H4137="USD",G4137,IF(R4137&gt;0,G4137/R4137,0)))</f>
        <v/>
      </c>
      <c r="U4137" s="53">
        <f>IF(P4137="","",IF(P4137="Gasto",S4137,IF(P4137="Reembolso",-S4137,0)))</f>
        <v/>
      </c>
      <c r="V4137" s="53">
        <f>IF(P4137="","",IF(P4137="Ingreso",S4137,0))</f>
        <v/>
      </c>
      <c r="W4137" s="53">
        <f>IF(P4137="","",IF(P4137="Resultado trading",S4137,0))</f>
        <v/>
      </c>
      <c r="X4137" s="52">
        <f>IF(OR(P4137="Gasto",P4137="Reembolso"),IF(M4137&lt;&gt;"",M4137,IFERROR(INDEX(catClasif,MATCH(D4137&amp;"|"&amp;E4137,catClave,0))&amp;"","Variable")),"")</f>
        <v/>
      </c>
      <c r="Y4137" s="52">
        <f>IF(P4137="","",IFERROR(INDEX(catGrupo,MATCH(D4137&amp;"|"&amp;E4137,catClave,0))&amp;"",""))</f>
        <v/>
      </c>
      <c r="Z4137" s="52">
        <f>IF(P4137="","",WEEKDAY(B4137,2))</f>
        <v/>
      </c>
      <c r="AA4137" s="52">
        <f>IF(P4137="","",IF(AND(P4137="Gasto",X4137="Variable",D4137&lt;&gt;catTrading,S4137&gt;0,S4137&lt;=Umbral),1,0))</f>
        <v/>
      </c>
      <c r="AB4137" s="52">
        <f>IF(OR(P4137="",Q4137=""),"",IFERROR(IF(INDEX(ctaVinc,MATCH(Q4137,ctaNombre,0))&amp;""&lt;&gt;"",INDEX(ctaVinc,MATCH(Q4137,ctaNombre,0))&amp;"",Q4137),Q4137))</f>
        <v/>
      </c>
      <c r="AC4137" s="52">
        <f>IF(OR(K4137="",AND(P4137&lt;&gt;"Transferencia",P4137&lt;&gt;"Pago tarjeta")),"",IFERROR(IF(INDEX(ctaVinc,MATCH(K4137,ctaNombre,0))&amp;""&lt;&gt;"",INDEX(ctaVinc,MATCH(K4137,ctaNombre,0))&amp;"",K4137),K4137))</f>
        <v/>
      </c>
      <c r="AD4137" s="52">
        <f>IF(AB4137="","",IFERROR(INDEX(ctaTipo,MATCH(AB4137,ctaNombre,0))&amp;"",""))</f>
        <v/>
      </c>
      <c r="AE4137" s="52">
        <f>IF(AC4137="","",IFERROR(INDEX(ctaTipo,MATCH(AC4137,ctaNombre,0))&amp;"",""))</f>
        <v/>
      </c>
      <c r="AF4137" s="53">
        <f>IF(OR(P4137="",AB4137=""),"",IF(OR(P4137="Gasto",P4137="Transferencia",P4137="Pago tarjeta"),-1,1)*IF(IFERROR(INDEX(ctaMoneda,MATCH(AB4137,ctaNombre,0))&amp;"","DOP")="USD",T4137,S4137))</f>
        <v/>
      </c>
      <c r="AG4137" s="53">
        <f>IF(AC4137="","",IF(IFERROR(INDEX(ctaMoneda,MATCH(AC4137,ctaNombre,0))&amp;"","DOP")="USD",T4137,S4137))</f>
        <v/>
      </c>
      <c r="AH4137" s="53">
        <f>IF(P4137="","",IF(AND(AD4137&lt;&gt;"",COUNTIFS(tcTipo,AD4137,tcLiq,"Sí")&gt;0),IF(OR(P4137="Gasto",P4137="Transferencia",P4137="Pago tarjeta"),-1,1)*S4137,0)+IF(AND(AE4137&lt;&gt;"",COUNTIFS(tcTipo,AE4137,tcLiq,"Sí")&gt;0),S4137,0))</f>
        <v/>
      </c>
      <c r="AI4137" s="52">
        <f>IF(OR(L4137="",P4137=""),"",IF(COUNTIFS(L$6:L4137,L4137,P$6:P4137,"?*")=1,MAX(AI$5:AI4136)+1,""))</f>
        <v/>
      </c>
    </row>
    <row r="4138">
      <c r="B4138" s="47" t="n"/>
      <c r="C4138" s="48" t="n"/>
      <c r="D4138" s="48" t="n"/>
      <c r="E4138" s="48" t="n"/>
      <c r="F4138" s="48" t="n"/>
      <c r="G4138" s="49" t="n"/>
      <c r="H4138" s="48" t="n"/>
      <c r="I4138" s="50" t="n"/>
      <c r="J4138" s="48" t="n"/>
      <c r="K4138" s="48" t="n"/>
      <c r="L4138" s="48" t="n"/>
      <c r="M4138" s="48" t="n"/>
      <c r="N4138" s="48" t="n"/>
      <c r="O4138" s="51">
        <f>IF(AND(B4138="",G4138="",C4138="",D4138="",J4138=""),"",IF(B4138="","⚠ Falta fecha",IF(G4138="","⚠ Falta monto",IF(Q4138="","⚠ Falta cuenta",IF(ISNA(MATCH(Q4138,ctaNombre,0)),"⚠ Cuenta no registrada",IF(AND(OR(P4138="Gasto",P4138="Reembolso"),D4138=""),"⚠ Falta categoría",IF(AND(D4138&lt;&gt;"",E4138&lt;&gt;"",ISNA(MATCH(D4138&amp;"|"&amp;E4138,catClave,0))),"⚠ Subcategoría no corresponde",IF(AND(OR(P4138="Transferencia",P4138="Pago tarjeta"),K4138=""),"⚠ Falta cuenta destino",IF(AND(K4138&lt;&gt;"",P4138&lt;&gt;"Transferencia",P4138&lt;&gt;"Pago tarjeta"),"⚠ Destino solo aplica a transferencias",IF(AND(K4138&lt;&gt;"",K4138=Q4138),"⚠ Origen igual a destino",IF(AND(K4138&lt;&gt;"",ISNA(MATCH(K4138,ctaNombre,0))),"⚠ Destino no registrado",IF(AND(P4138="Pago tarjeta",AE4138&lt;&gt;"Tarjeta de crédito"),"⚠ El destino debe ser tarjeta de crédito",IF(AND(P4138="Gasto",E4138="Depósitos y retiros"),"⚠ Usa tipo Transferencia",IF(AND(P4138="Resultado trading",AD4138&lt;&gt;"Cuenta de trading"),"⚠ Usa una cuenta de trading",IF(AND(G4138&lt;=0,P4138&lt;&gt;"Ajuste",P4138&lt;&gt;"Resultado trading"),"⚠ El monto debe ser positivo","✓")))))))))))))))</f>
        <v/>
      </c>
      <c r="P4138" s="52">
        <f>IF(OR(B4138="",G4138=""),"",IF(C4138="","Gasto",C4138))</f>
        <v/>
      </c>
      <c r="Q4138" s="52">
        <f>IF(P4138="","",IF(J4138&lt;&gt;"",J4138,CuentaPred&amp;""))</f>
        <v/>
      </c>
      <c r="R4138" s="52">
        <f>IF(P4138="","",IF(ISNUMBER(I4138),I4138,TasaUSD))</f>
        <v/>
      </c>
      <c r="S4138" s="53">
        <f>IF(P4138="","",IF(H4138="USD",G4138*R4138,G4138))</f>
        <v/>
      </c>
      <c r="T4138" s="53">
        <f>IF(P4138="","",IF(H4138="USD",G4138,IF(R4138&gt;0,G4138/R4138,0)))</f>
        <v/>
      </c>
      <c r="U4138" s="53">
        <f>IF(P4138="","",IF(P4138="Gasto",S4138,IF(P4138="Reembolso",-S4138,0)))</f>
        <v/>
      </c>
      <c r="V4138" s="53">
        <f>IF(P4138="","",IF(P4138="Ingreso",S4138,0))</f>
        <v/>
      </c>
      <c r="W4138" s="53">
        <f>IF(P4138="","",IF(P4138="Resultado trading",S4138,0))</f>
        <v/>
      </c>
      <c r="X4138" s="52">
        <f>IF(OR(P4138="Gasto",P4138="Reembolso"),IF(M4138&lt;&gt;"",M4138,IFERROR(INDEX(catClasif,MATCH(D4138&amp;"|"&amp;E4138,catClave,0))&amp;"","Variable")),"")</f>
        <v/>
      </c>
      <c r="Y4138" s="52">
        <f>IF(P4138="","",IFERROR(INDEX(catGrupo,MATCH(D4138&amp;"|"&amp;E4138,catClave,0))&amp;"",""))</f>
        <v/>
      </c>
      <c r="Z4138" s="52">
        <f>IF(P4138="","",WEEKDAY(B4138,2))</f>
        <v/>
      </c>
      <c r="AA4138" s="52">
        <f>IF(P4138="","",IF(AND(P4138="Gasto",X4138="Variable",D4138&lt;&gt;catTrading,S4138&gt;0,S4138&lt;=Umbral),1,0))</f>
        <v/>
      </c>
      <c r="AB4138" s="52">
        <f>IF(OR(P4138="",Q4138=""),"",IFERROR(IF(INDEX(ctaVinc,MATCH(Q4138,ctaNombre,0))&amp;""&lt;&gt;"",INDEX(ctaVinc,MATCH(Q4138,ctaNombre,0))&amp;"",Q4138),Q4138))</f>
        <v/>
      </c>
      <c r="AC4138" s="52">
        <f>IF(OR(K4138="",AND(P4138&lt;&gt;"Transferencia",P4138&lt;&gt;"Pago tarjeta")),"",IFERROR(IF(INDEX(ctaVinc,MATCH(K4138,ctaNombre,0))&amp;""&lt;&gt;"",INDEX(ctaVinc,MATCH(K4138,ctaNombre,0))&amp;"",K4138),K4138))</f>
        <v/>
      </c>
      <c r="AD4138" s="52">
        <f>IF(AB4138="","",IFERROR(INDEX(ctaTipo,MATCH(AB4138,ctaNombre,0))&amp;"",""))</f>
        <v/>
      </c>
      <c r="AE4138" s="52">
        <f>IF(AC4138="","",IFERROR(INDEX(ctaTipo,MATCH(AC4138,ctaNombre,0))&amp;"",""))</f>
        <v/>
      </c>
      <c r="AF4138" s="53">
        <f>IF(OR(P4138="",AB4138=""),"",IF(OR(P4138="Gasto",P4138="Transferencia",P4138="Pago tarjeta"),-1,1)*IF(IFERROR(INDEX(ctaMoneda,MATCH(AB4138,ctaNombre,0))&amp;"","DOP")="USD",T4138,S4138))</f>
        <v/>
      </c>
      <c r="AG4138" s="53">
        <f>IF(AC4138="","",IF(IFERROR(INDEX(ctaMoneda,MATCH(AC4138,ctaNombre,0))&amp;"","DOP")="USD",T4138,S4138))</f>
        <v/>
      </c>
      <c r="AH4138" s="53">
        <f>IF(P4138="","",IF(AND(AD4138&lt;&gt;"",COUNTIFS(tcTipo,AD4138,tcLiq,"Sí")&gt;0),IF(OR(P4138="Gasto",P4138="Transferencia",P4138="Pago tarjeta"),-1,1)*S4138,0)+IF(AND(AE4138&lt;&gt;"",COUNTIFS(tcTipo,AE4138,tcLiq,"Sí")&gt;0),S4138,0))</f>
        <v/>
      </c>
      <c r="AI4138" s="52">
        <f>IF(OR(L4138="",P4138=""),"",IF(COUNTIFS(L$6:L4138,L4138,P$6:P4138,"?*")=1,MAX(AI$5:AI4137)+1,""))</f>
        <v/>
      </c>
    </row>
    <row r="4139">
      <c r="B4139" s="47" t="n"/>
      <c r="C4139" s="48" t="n"/>
      <c r="D4139" s="48" t="n"/>
      <c r="E4139" s="48" t="n"/>
      <c r="F4139" s="48" t="n"/>
      <c r="G4139" s="49" t="n"/>
      <c r="H4139" s="48" t="n"/>
      <c r="I4139" s="50" t="n"/>
      <c r="J4139" s="48" t="n"/>
      <c r="K4139" s="48" t="n"/>
      <c r="L4139" s="48" t="n"/>
      <c r="M4139" s="48" t="n"/>
      <c r="N4139" s="48" t="n"/>
      <c r="O4139" s="51">
        <f>IF(AND(B4139="",G4139="",C4139="",D4139="",J4139=""),"",IF(B4139="","⚠ Falta fecha",IF(G4139="","⚠ Falta monto",IF(Q4139="","⚠ Falta cuenta",IF(ISNA(MATCH(Q4139,ctaNombre,0)),"⚠ Cuenta no registrada",IF(AND(OR(P4139="Gasto",P4139="Reembolso"),D4139=""),"⚠ Falta categoría",IF(AND(D4139&lt;&gt;"",E4139&lt;&gt;"",ISNA(MATCH(D4139&amp;"|"&amp;E4139,catClave,0))),"⚠ Subcategoría no corresponde",IF(AND(OR(P4139="Transferencia",P4139="Pago tarjeta"),K4139=""),"⚠ Falta cuenta destino",IF(AND(K4139&lt;&gt;"",P4139&lt;&gt;"Transferencia",P4139&lt;&gt;"Pago tarjeta"),"⚠ Destino solo aplica a transferencias",IF(AND(K4139&lt;&gt;"",K4139=Q4139),"⚠ Origen igual a destino",IF(AND(K4139&lt;&gt;"",ISNA(MATCH(K4139,ctaNombre,0))),"⚠ Destino no registrado",IF(AND(P4139="Pago tarjeta",AE4139&lt;&gt;"Tarjeta de crédito"),"⚠ El destino debe ser tarjeta de crédito",IF(AND(P4139="Gasto",E4139="Depósitos y retiros"),"⚠ Usa tipo Transferencia",IF(AND(P4139="Resultado trading",AD4139&lt;&gt;"Cuenta de trading"),"⚠ Usa una cuenta de trading",IF(AND(G4139&lt;=0,P4139&lt;&gt;"Ajuste",P4139&lt;&gt;"Resultado trading"),"⚠ El monto debe ser positivo","✓")))))))))))))))</f>
        <v/>
      </c>
      <c r="P4139" s="52">
        <f>IF(OR(B4139="",G4139=""),"",IF(C4139="","Gasto",C4139))</f>
        <v/>
      </c>
      <c r="Q4139" s="52">
        <f>IF(P4139="","",IF(J4139&lt;&gt;"",J4139,CuentaPred&amp;""))</f>
        <v/>
      </c>
      <c r="R4139" s="52">
        <f>IF(P4139="","",IF(ISNUMBER(I4139),I4139,TasaUSD))</f>
        <v/>
      </c>
      <c r="S4139" s="53">
        <f>IF(P4139="","",IF(H4139="USD",G4139*R4139,G4139))</f>
        <v/>
      </c>
      <c r="T4139" s="53">
        <f>IF(P4139="","",IF(H4139="USD",G4139,IF(R4139&gt;0,G4139/R4139,0)))</f>
        <v/>
      </c>
      <c r="U4139" s="53">
        <f>IF(P4139="","",IF(P4139="Gasto",S4139,IF(P4139="Reembolso",-S4139,0)))</f>
        <v/>
      </c>
      <c r="V4139" s="53">
        <f>IF(P4139="","",IF(P4139="Ingreso",S4139,0))</f>
        <v/>
      </c>
      <c r="W4139" s="53">
        <f>IF(P4139="","",IF(P4139="Resultado trading",S4139,0))</f>
        <v/>
      </c>
      <c r="X4139" s="52">
        <f>IF(OR(P4139="Gasto",P4139="Reembolso"),IF(M4139&lt;&gt;"",M4139,IFERROR(INDEX(catClasif,MATCH(D4139&amp;"|"&amp;E4139,catClave,0))&amp;"","Variable")),"")</f>
        <v/>
      </c>
      <c r="Y4139" s="52">
        <f>IF(P4139="","",IFERROR(INDEX(catGrupo,MATCH(D4139&amp;"|"&amp;E4139,catClave,0))&amp;"",""))</f>
        <v/>
      </c>
      <c r="Z4139" s="52">
        <f>IF(P4139="","",WEEKDAY(B4139,2))</f>
        <v/>
      </c>
      <c r="AA4139" s="52">
        <f>IF(P4139="","",IF(AND(P4139="Gasto",X4139="Variable",D4139&lt;&gt;catTrading,S4139&gt;0,S4139&lt;=Umbral),1,0))</f>
        <v/>
      </c>
      <c r="AB4139" s="52">
        <f>IF(OR(P4139="",Q4139=""),"",IFERROR(IF(INDEX(ctaVinc,MATCH(Q4139,ctaNombre,0))&amp;""&lt;&gt;"",INDEX(ctaVinc,MATCH(Q4139,ctaNombre,0))&amp;"",Q4139),Q4139))</f>
        <v/>
      </c>
      <c r="AC4139" s="52">
        <f>IF(OR(K4139="",AND(P4139&lt;&gt;"Transferencia",P4139&lt;&gt;"Pago tarjeta")),"",IFERROR(IF(INDEX(ctaVinc,MATCH(K4139,ctaNombre,0))&amp;""&lt;&gt;"",INDEX(ctaVinc,MATCH(K4139,ctaNombre,0))&amp;"",K4139),K4139))</f>
        <v/>
      </c>
      <c r="AD4139" s="52">
        <f>IF(AB4139="","",IFERROR(INDEX(ctaTipo,MATCH(AB4139,ctaNombre,0))&amp;"",""))</f>
        <v/>
      </c>
      <c r="AE4139" s="52">
        <f>IF(AC4139="","",IFERROR(INDEX(ctaTipo,MATCH(AC4139,ctaNombre,0))&amp;"",""))</f>
        <v/>
      </c>
      <c r="AF4139" s="53">
        <f>IF(OR(P4139="",AB4139=""),"",IF(OR(P4139="Gasto",P4139="Transferencia",P4139="Pago tarjeta"),-1,1)*IF(IFERROR(INDEX(ctaMoneda,MATCH(AB4139,ctaNombre,0))&amp;"","DOP")="USD",T4139,S4139))</f>
        <v/>
      </c>
      <c r="AG4139" s="53">
        <f>IF(AC4139="","",IF(IFERROR(INDEX(ctaMoneda,MATCH(AC4139,ctaNombre,0))&amp;"","DOP")="USD",T4139,S4139))</f>
        <v/>
      </c>
      <c r="AH4139" s="53">
        <f>IF(P4139="","",IF(AND(AD4139&lt;&gt;"",COUNTIFS(tcTipo,AD4139,tcLiq,"Sí")&gt;0),IF(OR(P4139="Gasto",P4139="Transferencia",P4139="Pago tarjeta"),-1,1)*S4139,0)+IF(AND(AE4139&lt;&gt;"",COUNTIFS(tcTipo,AE4139,tcLiq,"Sí")&gt;0),S4139,0))</f>
        <v/>
      </c>
      <c r="AI4139" s="52">
        <f>IF(OR(L4139="",P4139=""),"",IF(COUNTIFS(L$6:L4139,L4139,P$6:P4139,"?*")=1,MAX(AI$5:AI4138)+1,""))</f>
        <v/>
      </c>
    </row>
    <row r="4140">
      <c r="B4140" s="47" t="n"/>
      <c r="C4140" s="48" t="n"/>
      <c r="D4140" s="48" t="n"/>
      <c r="E4140" s="48" t="n"/>
      <c r="F4140" s="48" t="n"/>
      <c r="G4140" s="49" t="n"/>
      <c r="H4140" s="48" t="n"/>
      <c r="I4140" s="50" t="n"/>
      <c r="J4140" s="48" t="n"/>
      <c r="K4140" s="48" t="n"/>
      <c r="L4140" s="48" t="n"/>
      <c r="M4140" s="48" t="n"/>
      <c r="N4140" s="48" t="n"/>
      <c r="O4140" s="51">
        <f>IF(AND(B4140="",G4140="",C4140="",D4140="",J4140=""),"",IF(B4140="","⚠ Falta fecha",IF(G4140="","⚠ Falta monto",IF(Q4140="","⚠ Falta cuenta",IF(ISNA(MATCH(Q4140,ctaNombre,0)),"⚠ Cuenta no registrada",IF(AND(OR(P4140="Gasto",P4140="Reembolso"),D4140=""),"⚠ Falta categoría",IF(AND(D4140&lt;&gt;"",E4140&lt;&gt;"",ISNA(MATCH(D4140&amp;"|"&amp;E4140,catClave,0))),"⚠ Subcategoría no corresponde",IF(AND(OR(P4140="Transferencia",P4140="Pago tarjeta"),K4140=""),"⚠ Falta cuenta destino",IF(AND(K4140&lt;&gt;"",P4140&lt;&gt;"Transferencia",P4140&lt;&gt;"Pago tarjeta"),"⚠ Destino solo aplica a transferencias",IF(AND(K4140&lt;&gt;"",K4140=Q4140),"⚠ Origen igual a destino",IF(AND(K4140&lt;&gt;"",ISNA(MATCH(K4140,ctaNombre,0))),"⚠ Destino no registrado",IF(AND(P4140="Pago tarjeta",AE4140&lt;&gt;"Tarjeta de crédito"),"⚠ El destino debe ser tarjeta de crédito",IF(AND(P4140="Gasto",E4140="Depósitos y retiros"),"⚠ Usa tipo Transferencia",IF(AND(P4140="Resultado trading",AD4140&lt;&gt;"Cuenta de trading"),"⚠ Usa una cuenta de trading",IF(AND(G4140&lt;=0,P4140&lt;&gt;"Ajuste",P4140&lt;&gt;"Resultado trading"),"⚠ El monto debe ser positivo","✓")))))))))))))))</f>
        <v/>
      </c>
      <c r="P4140" s="52">
        <f>IF(OR(B4140="",G4140=""),"",IF(C4140="","Gasto",C4140))</f>
        <v/>
      </c>
      <c r="Q4140" s="52">
        <f>IF(P4140="","",IF(J4140&lt;&gt;"",J4140,CuentaPred&amp;""))</f>
        <v/>
      </c>
      <c r="R4140" s="52">
        <f>IF(P4140="","",IF(ISNUMBER(I4140),I4140,TasaUSD))</f>
        <v/>
      </c>
      <c r="S4140" s="53">
        <f>IF(P4140="","",IF(H4140="USD",G4140*R4140,G4140))</f>
        <v/>
      </c>
      <c r="T4140" s="53">
        <f>IF(P4140="","",IF(H4140="USD",G4140,IF(R4140&gt;0,G4140/R4140,0)))</f>
        <v/>
      </c>
      <c r="U4140" s="53">
        <f>IF(P4140="","",IF(P4140="Gasto",S4140,IF(P4140="Reembolso",-S4140,0)))</f>
        <v/>
      </c>
      <c r="V4140" s="53">
        <f>IF(P4140="","",IF(P4140="Ingreso",S4140,0))</f>
        <v/>
      </c>
      <c r="W4140" s="53">
        <f>IF(P4140="","",IF(P4140="Resultado trading",S4140,0))</f>
        <v/>
      </c>
      <c r="X4140" s="52">
        <f>IF(OR(P4140="Gasto",P4140="Reembolso"),IF(M4140&lt;&gt;"",M4140,IFERROR(INDEX(catClasif,MATCH(D4140&amp;"|"&amp;E4140,catClave,0))&amp;"","Variable")),"")</f>
        <v/>
      </c>
      <c r="Y4140" s="52">
        <f>IF(P4140="","",IFERROR(INDEX(catGrupo,MATCH(D4140&amp;"|"&amp;E4140,catClave,0))&amp;"",""))</f>
        <v/>
      </c>
      <c r="Z4140" s="52">
        <f>IF(P4140="","",WEEKDAY(B4140,2))</f>
        <v/>
      </c>
      <c r="AA4140" s="52">
        <f>IF(P4140="","",IF(AND(P4140="Gasto",X4140="Variable",D4140&lt;&gt;catTrading,S4140&gt;0,S4140&lt;=Umbral),1,0))</f>
        <v/>
      </c>
      <c r="AB4140" s="52">
        <f>IF(OR(P4140="",Q4140=""),"",IFERROR(IF(INDEX(ctaVinc,MATCH(Q4140,ctaNombre,0))&amp;""&lt;&gt;"",INDEX(ctaVinc,MATCH(Q4140,ctaNombre,0))&amp;"",Q4140),Q4140))</f>
        <v/>
      </c>
      <c r="AC4140" s="52">
        <f>IF(OR(K4140="",AND(P4140&lt;&gt;"Transferencia",P4140&lt;&gt;"Pago tarjeta")),"",IFERROR(IF(INDEX(ctaVinc,MATCH(K4140,ctaNombre,0))&amp;""&lt;&gt;"",INDEX(ctaVinc,MATCH(K4140,ctaNombre,0))&amp;"",K4140),K4140))</f>
        <v/>
      </c>
      <c r="AD4140" s="52">
        <f>IF(AB4140="","",IFERROR(INDEX(ctaTipo,MATCH(AB4140,ctaNombre,0))&amp;"",""))</f>
        <v/>
      </c>
      <c r="AE4140" s="52">
        <f>IF(AC4140="","",IFERROR(INDEX(ctaTipo,MATCH(AC4140,ctaNombre,0))&amp;"",""))</f>
        <v/>
      </c>
      <c r="AF4140" s="53">
        <f>IF(OR(P4140="",AB4140=""),"",IF(OR(P4140="Gasto",P4140="Transferencia",P4140="Pago tarjeta"),-1,1)*IF(IFERROR(INDEX(ctaMoneda,MATCH(AB4140,ctaNombre,0))&amp;"","DOP")="USD",T4140,S4140))</f>
        <v/>
      </c>
      <c r="AG4140" s="53">
        <f>IF(AC4140="","",IF(IFERROR(INDEX(ctaMoneda,MATCH(AC4140,ctaNombre,0))&amp;"","DOP")="USD",T4140,S4140))</f>
        <v/>
      </c>
      <c r="AH4140" s="53">
        <f>IF(P4140="","",IF(AND(AD4140&lt;&gt;"",COUNTIFS(tcTipo,AD4140,tcLiq,"Sí")&gt;0),IF(OR(P4140="Gasto",P4140="Transferencia",P4140="Pago tarjeta"),-1,1)*S4140,0)+IF(AND(AE4140&lt;&gt;"",COUNTIFS(tcTipo,AE4140,tcLiq,"Sí")&gt;0),S4140,0))</f>
        <v/>
      </c>
      <c r="AI4140" s="52">
        <f>IF(OR(L4140="",P4140=""),"",IF(COUNTIFS(L$6:L4140,L4140,P$6:P4140,"?*")=1,MAX(AI$5:AI4139)+1,""))</f>
        <v/>
      </c>
    </row>
    <row r="4141">
      <c r="B4141" s="47" t="n"/>
      <c r="C4141" s="48" t="n"/>
      <c r="D4141" s="48" t="n"/>
      <c r="E4141" s="48" t="n"/>
      <c r="F4141" s="48" t="n"/>
      <c r="G4141" s="49" t="n"/>
      <c r="H4141" s="48" t="n"/>
      <c r="I4141" s="50" t="n"/>
      <c r="J4141" s="48" t="n"/>
      <c r="K4141" s="48" t="n"/>
      <c r="L4141" s="48" t="n"/>
      <c r="M4141" s="48" t="n"/>
      <c r="N4141" s="48" t="n"/>
      <c r="O4141" s="51">
        <f>IF(AND(B4141="",G4141="",C4141="",D4141="",J4141=""),"",IF(B4141="","⚠ Falta fecha",IF(G4141="","⚠ Falta monto",IF(Q4141="","⚠ Falta cuenta",IF(ISNA(MATCH(Q4141,ctaNombre,0)),"⚠ Cuenta no registrada",IF(AND(OR(P4141="Gasto",P4141="Reembolso"),D4141=""),"⚠ Falta categoría",IF(AND(D4141&lt;&gt;"",E4141&lt;&gt;"",ISNA(MATCH(D4141&amp;"|"&amp;E4141,catClave,0))),"⚠ Subcategoría no corresponde",IF(AND(OR(P4141="Transferencia",P4141="Pago tarjeta"),K4141=""),"⚠ Falta cuenta destino",IF(AND(K4141&lt;&gt;"",P4141&lt;&gt;"Transferencia",P4141&lt;&gt;"Pago tarjeta"),"⚠ Destino solo aplica a transferencias",IF(AND(K4141&lt;&gt;"",K4141=Q4141),"⚠ Origen igual a destino",IF(AND(K4141&lt;&gt;"",ISNA(MATCH(K4141,ctaNombre,0))),"⚠ Destino no registrado",IF(AND(P4141="Pago tarjeta",AE4141&lt;&gt;"Tarjeta de crédito"),"⚠ El destino debe ser tarjeta de crédito",IF(AND(P4141="Gasto",E4141="Depósitos y retiros"),"⚠ Usa tipo Transferencia",IF(AND(P4141="Resultado trading",AD4141&lt;&gt;"Cuenta de trading"),"⚠ Usa una cuenta de trading",IF(AND(G4141&lt;=0,P4141&lt;&gt;"Ajuste",P4141&lt;&gt;"Resultado trading"),"⚠ El monto debe ser positivo","✓")))))))))))))))</f>
        <v/>
      </c>
      <c r="P4141" s="52">
        <f>IF(OR(B4141="",G4141=""),"",IF(C4141="","Gasto",C4141))</f>
        <v/>
      </c>
      <c r="Q4141" s="52">
        <f>IF(P4141="","",IF(J4141&lt;&gt;"",J4141,CuentaPred&amp;""))</f>
        <v/>
      </c>
      <c r="R4141" s="52">
        <f>IF(P4141="","",IF(ISNUMBER(I4141),I4141,TasaUSD))</f>
        <v/>
      </c>
      <c r="S4141" s="53">
        <f>IF(P4141="","",IF(H4141="USD",G4141*R4141,G4141))</f>
        <v/>
      </c>
      <c r="T4141" s="53">
        <f>IF(P4141="","",IF(H4141="USD",G4141,IF(R4141&gt;0,G4141/R4141,0)))</f>
        <v/>
      </c>
      <c r="U4141" s="53">
        <f>IF(P4141="","",IF(P4141="Gasto",S4141,IF(P4141="Reembolso",-S4141,0)))</f>
        <v/>
      </c>
      <c r="V4141" s="53">
        <f>IF(P4141="","",IF(P4141="Ingreso",S4141,0))</f>
        <v/>
      </c>
      <c r="W4141" s="53">
        <f>IF(P4141="","",IF(P4141="Resultado trading",S4141,0))</f>
        <v/>
      </c>
      <c r="X4141" s="52">
        <f>IF(OR(P4141="Gasto",P4141="Reembolso"),IF(M4141&lt;&gt;"",M4141,IFERROR(INDEX(catClasif,MATCH(D4141&amp;"|"&amp;E4141,catClave,0))&amp;"","Variable")),"")</f>
        <v/>
      </c>
      <c r="Y4141" s="52">
        <f>IF(P4141="","",IFERROR(INDEX(catGrupo,MATCH(D4141&amp;"|"&amp;E4141,catClave,0))&amp;"",""))</f>
        <v/>
      </c>
      <c r="Z4141" s="52">
        <f>IF(P4141="","",WEEKDAY(B4141,2))</f>
        <v/>
      </c>
      <c r="AA4141" s="52">
        <f>IF(P4141="","",IF(AND(P4141="Gasto",X4141="Variable",D4141&lt;&gt;catTrading,S4141&gt;0,S4141&lt;=Umbral),1,0))</f>
        <v/>
      </c>
      <c r="AB4141" s="52">
        <f>IF(OR(P4141="",Q4141=""),"",IFERROR(IF(INDEX(ctaVinc,MATCH(Q4141,ctaNombre,0))&amp;""&lt;&gt;"",INDEX(ctaVinc,MATCH(Q4141,ctaNombre,0))&amp;"",Q4141),Q4141))</f>
        <v/>
      </c>
      <c r="AC4141" s="52">
        <f>IF(OR(K4141="",AND(P4141&lt;&gt;"Transferencia",P4141&lt;&gt;"Pago tarjeta")),"",IFERROR(IF(INDEX(ctaVinc,MATCH(K4141,ctaNombre,0))&amp;""&lt;&gt;"",INDEX(ctaVinc,MATCH(K4141,ctaNombre,0))&amp;"",K4141),K4141))</f>
        <v/>
      </c>
      <c r="AD4141" s="52">
        <f>IF(AB4141="","",IFERROR(INDEX(ctaTipo,MATCH(AB4141,ctaNombre,0))&amp;"",""))</f>
        <v/>
      </c>
      <c r="AE4141" s="52">
        <f>IF(AC4141="","",IFERROR(INDEX(ctaTipo,MATCH(AC4141,ctaNombre,0))&amp;"",""))</f>
        <v/>
      </c>
      <c r="AF4141" s="53">
        <f>IF(OR(P4141="",AB4141=""),"",IF(OR(P4141="Gasto",P4141="Transferencia",P4141="Pago tarjeta"),-1,1)*IF(IFERROR(INDEX(ctaMoneda,MATCH(AB4141,ctaNombre,0))&amp;"","DOP")="USD",T4141,S4141))</f>
        <v/>
      </c>
      <c r="AG4141" s="53">
        <f>IF(AC4141="","",IF(IFERROR(INDEX(ctaMoneda,MATCH(AC4141,ctaNombre,0))&amp;"","DOP")="USD",T4141,S4141))</f>
        <v/>
      </c>
      <c r="AH4141" s="53">
        <f>IF(P4141="","",IF(AND(AD4141&lt;&gt;"",COUNTIFS(tcTipo,AD4141,tcLiq,"Sí")&gt;0),IF(OR(P4141="Gasto",P4141="Transferencia",P4141="Pago tarjeta"),-1,1)*S4141,0)+IF(AND(AE4141&lt;&gt;"",COUNTIFS(tcTipo,AE4141,tcLiq,"Sí")&gt;0),S4141,0))</f>
        <v/>
      </c>
      <c r="AI4141" s="52">
        <f>IF(OR(L4141="",P4141=""),"",IF(COUNTIFS(L$6:L4141,L4141,P$6:P4141,"?*")=1,MAX(AI$5:AI4140)+1,""))</f>
        <v/>
      </c>
    </row>
    <row r="4142">
      <c r="B4142" s="47" t="n"/>
      <c r="C4142" s="48" t="n"/>
      <c r="D4142" s="48" t="n"/>
      <c r="E4142" s="48" t="n"/>
      <c r="F4142" s="48" t="n"/>
      <c r="G4142" s="49" t="n"/>
      <c r="H4142" s="48" t="n"/>
      <c r="I4142" s="50" t="n"/>
      <c r="J4142" s="48" t="n"/>
      <c r="K4142" s="48" t="n"/>
      <c r="L4142" s="48" t="n"/>
      <c r="M4142" s="48" t="n"/>
      <c r="N4142" s="48" t="n"/>
      <c r="O4142" s="51">
        <f>IF(AND(B4142="",G4142="",C4142="",D4142="",J4142=""),"",IF(B4142="","⚠ Falta fecha",IF(G4142="","⚠ Falta monto",IF(Q4142="","⚠ Falta cuenta",IF(ISNA(MATCH(Q4142,ctaNombre,0)),"⚠ Cuenta no registrada",IF(AND(OR(P4142="Gasto",P4142="Reembolso"),D4142=""),"⚠ Falta categoría",IF(AND(D4142&lt;&gt;"",E4142&lt;&gt;"",ISNA(MATCH(D4142&amp;"|"&amp;E4142,catClave,0))),"⚠ Subcategoría no corresponde",IF(AND(OR(P4142="Transferencia",P4142="Pago tarjeta"),K4142=""),"⚠ Falta cuenta destino",IF(AND(K4142&lt;&gt;"",P4142&lt;&gt;"Transferencia",P4142&lt;&gt;"Pago tarjeta"),"⚠ Destino solo aplica a transferencias",IF(AND(K4142&lt;&gt;"",K4142=Q4142),"⚠ Origen igual a destino",IF(AND(K4142&lt;&gt;"",ISNA(MATCH(K4142,ctaNombre,0))),"⚠ Destino no registrado",IF(AND(P4142="Pago tarjeta",AE4142&lt;&gt;"Tarjeta de crédito"),"⚠ El destino debe ser tarjeta de crédito",IF(AND(P4142="Gasto",E4142="Depósitos y retiros"),"⚠ Usa tipo Transferencia",IF(AND(P4142="Resultado trading",AD4142&lt;&gt;"Cuenta de trading"),"⚠ Usa una cuenta de trading",IF(AND(G4142&lt;=0,P4142&lt;&gt;"Ajuste",P4142&lt;&gt;"Resultado trading"),"⚠ El monto debe ser positivo","✓")))))))))))))))</f>
        <v/>
      </c>
      <c r="P4142" s="52">
        <f>IF(OR(B4142="",G4142=""),"",IF(C4142="","Gasto",C4142))</f>
        <v/>
      </c>
      <c r="Q4142" s="52">
        <f>IF(P4142="","",IF(J4142&lt;&gt;"",J4142,CuentaPred&amp;""))</f>
        <v/>
      </c>
      <c r="R4142" s="52">
        <f>IF(P4142="","",IF(ISNUMBER(I4142),I4142,TasaUSD))</f>
        <v/>
      </c>
      <c r="S4142" s="53">
        <f>IF(P4142="","",IF(H4142="USD",G4142*R4142,G4142))</f>
        <v/>
      </c>
      <c r="T4142" s="53">
        <f>IF(P4142="","",IF(H4142="USD",G4142,IF(R4142&gt;0,G4142/R4142,0)))</f>
        <v/>
      </c>
      <c r="U4142" s="53">
        <f>IF(P4142="","",IF(P4142="Gasto",S4142,IF(P4142="Reembolso",-S4142,0)))</f>
        <v/>
      </c>
      <c r="V4142" s="53">
        <f>IF(P4142="","",IF(P4142="Ingreso",S4142,0))</f>
        <v/>
      </c>
      <c r="W4142" s="53">
        <f>IF(P4142="","",IF(P4142="Resultado trading",S4142,0))</f>
        <v/>
      </c>
      <c r="X4142" s="52">
        <f>IF(OR(P4142="Gasto",P4142="Reembolso"),IF(M4142&lt;&gt;"",M4142,IFERROR(INDEX(catClasif,MATCH(D4142&amp;"|"&amp;E4142,catClave,0))&amp;"","Variable")),"")</f>
        <v/>
      </c>
      <c r="Y4142" s="52">
        <f>IF(P4142="","",IFERROR(INDEX(catGrupo,MATCH(D4142&amp;"|"&amp;E4142,catClave,0))&amp;"",""))</f>
        <v/>
      </c>
      <c r="Z4142" s="52">
        <f>IF(P4142="","",WEEKDAY(B4142,2))</f>
        <v/>
      </c>
      <c r="AA4142" s="52">
        <f>IF(P4142="","",IF(AND(P4142="Gasto",X4142="Variable",D4142&lt;&gt;catTrading,S4142&gt;0,S4142&lt;=Umbral),1,0))</f>
        <v/>
      </c>
      <c r="AB4142" s="52">
        <f>IF(OR(P4142="",Q4142=""),"",IFERROR(IF(INDEX(ctaVinc,MATCH(Q4142,ctaNombre,0))&amp;""&lt;&gt;"",INDEX(ctaVinc,MATCH(Q4142,ctaNombre,0))&amp;"",Q4142),Q4142))</f>
        <v/>
      </c>
      <c r="AC4142" s="52">
        <f>IF(OR(K4142="",AND(P4142&lt;&gt;"Transferencia",P4142&lt;&gt;"Pago tarjeta")),"",IFERROR(IF(INDEX(ctaVinc,MATCH(K4142,ctaNombre,0))&amp;""&lt;&gt;"",INDEX(ctaVinc,MATCH(K4142,ctaNombre,0))&amp;"",K4142),K4142))</f>
        <v/>
      </c>
      <c r="AD4142" s="52">
        <f>IF(AB4142="","",IFERROR(INDEX(ctaTipo,MATCH(AB4142,ctaNombre,0))&amp;"",""))</f>
        <v/>
      </c>
      <c r="AE4142" s="52">
        <f>IF(AC4142="","",IFERROR(INDEX(ctaTipo,MATCH(AC4142,ctaNombre,0))&amp;"",""))</f>
        <v/>
      </c>
      <c r="AF4142" s="53">
        <f>IF(OR(P4142="",AB4142=""),"",IF(OR(P4142="Gasto",P4142="Transferencia",P4142="Pago tarjeta"),-1,1)*IF(IFERROR(INDEX(ctaMoneda,MATCH(AB4142,ctaNombre,0))&amp;"","DOP")="USD",T4142,S4142))</f>
        <v/>
      </c>
      <c r="AG4142" s="53">
        <f>IF(AC4142="","",IF(IFERROR(INDEX(ctaMoneda,MATCH(AC4142,ctaNombre,0))&amp;"","DOP")="USD",T4142,S4142))</f>
        <v/>
      </c>
      <c r="AH4142" s="53">
        <f>IF(P4142="","",IF(AND(AD4142&lt;&gt;"",COUNTIFS(tcTipo,AD4142,tcLiq,"Sí")&gt;0),IF(OR(P4142="Gasto",P4142="Transferencia",P4142="Pago tarjeta"),-1,1)*S4142,0)+IF(AND(AE4142&lt;&gt;"",COUNTIFS(tcTipo,AE4142,tcLiq,"Sí")&gt;0),S4142,0))</f>
        <v/>
      </c>
      <c r="AI4142" s="52">
        <f>IF(OR(L4142="",P4142=""),"",IF(COUNTIFS(L$6:L4142,L4142,P$6:P4142,"?*")=1,MAX(AI$5:AI4141)+1,""))</f>
        <v/>
      </c>
    </row>
    <row r="4143">
      <c r="B4143" s="47" t="n"/>
      <c r="C4143" s="48" t="n"/>
      <c r="D4143" s="48" t="n"/>
      <c r="E4143" s="48" t="n"/>
      <c r="F4143" s="48" t="n"/>
      <c r="G4143" s="49" t="n"/>
      <c r="H4143" s="48" t="n"/>
      <c r="I4143" s="50" t="n"/>
      <c r="J4143" s="48" t="n"/>
      <c r="K4143" s="48" t="n"/>
      <c r="L4143" s="48" t="n"/>
      <c r="M4143" s="48" t="n"/>
      <c r="N4143" s="48" t="n"/>
      <c r="O4143" s="51">
        <f>IF(AND(B4143="",G4143="",C4143="",D4143="",J4143=""),"",IF(B4143="","⚠ Falta fecha",IF(G4143="","⚠ Falta monto",IF(Q4143="","⚠ Falta cuenta",IF(ISNA(MATCH(Q4143,ctaNombre,0)),"⚠ Cuenta no registrada",IF(AND(OR(P4143="Gasto",P4143="Reembolso"),D4143=""),"⚠ Falta categoría",IF(AND(D4143&lt;&gt;"",E4143&lt;&gt;"",ISNA(MATCH(D4143&amp;"|"&amp;E4143,catClave,0))),"⚠ Subcategoría no corresponde",IF(AND(OR(P4143="Transferencia",P4143="Pago tarjeta"),K4143=""),"⚠ Falta cuenta destino",IF(AND(K4143&lt;&gt;"",P4143&lt;&gt;"Transferencia",P4143&lt;&gt;"Pago tarjeta"),"⚠ Destino solo aplica a transferencias",IF(AND(K4143&lt;&gt;"",K4143=Q4143),"⚠ Origen igual a destino",IF(AND(K4143&lt;&gt;"",ISNA(MATCH(K4143,ctaNombre,0))),"⚠ Destino no registrado",IF(AND(P4143="Pago tarjeta",AE4143&lt;&gt;"Tarjeta de crédito"),"⚠ El destino debe ser tarjeta de crédito",IF(AND(P4143="Gasto",E4143="Depósitos y retiros"),"⚠ Usa tipo Transferencia",IF(AND(P4143="Resultado trading",AD4143&lt;&gt;"Cuenta de trading"),"⚠ Usa una cuenta de trading",IF(AND(G4143&lt;=0,P4143&lt;&gt;"Ajuste",P4143&lt;&gt;"Resultado trading"),"⚠ El monto debe ser positivo","✓")))))))))))))))</f>
        <v/>
      </c>
      <c r="P4143" s="52">
        <f>IF(OR(B4143="",G4143=""),"",IF(C4143="","Gasto",C4143))</f>
        <v/>
      </c>
      <c r="Q4143" s="52">
        <f>IF(P4143="","",IF(J4143&lt;&gt;"",J4143,CuentaPred&amp;""))</f>
        <v/>
      </c>
      <c r="R4143" s="52">
        <f>IF(P4143="","",IF(ISNUMBER(I4143),I4143,TasaUSD))</f>
        <v/>
      </c>
      <c r="S4143" s="53">
        <f>IF(P4143="","",IF(H4143="USD",G4143*R4143,G4143))</f>
        <v/>
      </c>
      <c r="T4143" s="53">
        <f>IF(P4143="","",IF(H4143="USD",G4143,IF(R4143&gt;0,G4143/R4143,0)))</f>
        <v/>
      </c>
      <c r="U4143" s="53">
        <f>IF(P4143="","",IF(P4143="Gasto",S4143,IF(P4143="Reembolso",-S4143,0)))</f>
        <v/>
      </c>
      <c r="V4143" s="53">
        <f>IF(P4143="","",IF(P4143="Ingreso",S4143,0))</f>
        <v/>
      </c>
      <c r="W4143" s="53">
        <f>IF(P4143="","",IF(P4143="Resultado trading",S4143,0))</f>
        <v/>
      </c>
      <c r="X4143" s="52">
        <f>IF(OR(P4143="Gasto",P4143="Reembolso"),IF(M4143&lt;&gt;"",M4143,IFERROR(INDEX(catClasif,MATCH(D4143&amp;"|"&amp;E4143,catClave,0))&amp;"","Variable")),"")</f>
        <v/>
      </c>
      <c r="Y4143" s="52">
        <f>IF(P4143="","",IFERROR(INDEX(catGrupo,MATCH(D4143&amp;"|"&amp;E4143,catClave,0))&amp;"",""))</f>
        <v/>
      </c>
      <c r="Z4143" s="52">
        <f>IF(P4143="","",WEEKDAY(B4143,2))</f>
        <v/>
      </c>
      <c r="AA4143" s="52">
        <f>IF(P4143="","",IF(AND(P4143="Gasto",X4143="Variable",D4143&lt;&gt;catTrading,S4143&gt;0,S4143&lt;=Umbral),1,0))</f>
        <v/>
      </c>
      <c r="AB4143" s="52">
        <f>IF(OR(P4143="",Q4143=""),"",IFERROR(IF(INDEX(ctaVinc,MATCH(Q4143,ctaNombre,0))&amp;""&lt;&gt;"",INDEX(ctaVinc,MATCH(Q4143,ctaNombre,0))&amp;"",Q4143),Q4143))</f>
        <v/>
      </c>
      <c r="AC4143" s="52">
        <f>IF(OR(K4143="",AND(P4143&lt;&gt;"Transferencia",P4143&lt;&gt;"Pago tarjeta")),"",IFERROR(IF(INDEX(ctaVinc,MATCH(K4143,ctaNombre,0))&amp;""&lt;&gt;"",INDEX(ctaVinc,MATCH(K4143,ctaNombre,0))&amp;"",K4143),K4143))</f>
        <v/>
      </c>
      <c r="AD4143" s="52">
        <f>IF(AB4143="","",IFERROR(INDEX(ctaTipo,MATCH(AB4143,ctaNombre,0))&amp;"",""))</f>
        <v/>
      </c>
      <c r="AE4143" s="52">
        <f>IF(AC4143="","",IFERROR(INDEX(ctaTipo,MATCH(AC4143,ctaNombre,0))&amp;"",""))</f>
        <v/>
      </c>
      <c r="AF4143" s="53">
        <f>IF(OR(P4143="",AB4143=""),"",IF(OR(P4143="Gasto",P4143="Transferencia",P4143="Pago tarjeta"),-1,1)*IF(IFERROR(INDEX(ctaMoneda,MATCH(AB4143,ctaNombre,0))&amp;"","DOP")="USD",T4143,S4143))</f>
        <v/>
      </c>
      <c r="AG4143" s="53">
        <f>IF(AC4143="","",IF(IFERROR(INDEX(ctaMoneda,MATCH(AC4143,ctaNombre,0))&amp;"","DOP")="USD",T4143,S4143))</f>
        <v/>
      </c>
      <c r="AH4143" s="53">
        <f>IF(P4143="","",IF(AND(AD4143&lt;&gt;"",COUNTIFS(tcTipo,AD4143,tcLiq,"Sí")&gt;0),IF(OR(P4143="Gasto",P4143="Transferencia",P4143="Pago tarjeta"),-1,1)*S4143,0)+IF(AND(AE4143&lt;&gt;"",COUNTIFS(tcTipo,AE4143,tcLiq,"Sí")&gt;0),S4143,0))</f>
        <v/>
      </c>
      <c r="AI4143" s="52">
        <f>IF(OR(L4143="",P4143=""),"",IF(COUNTIFS(L$6:L4143,L4143,P$6:P4143,"?*")=1,MAX(AI$5:AI4142)+1,""))</f>
        <v/>
      </c>
    </row>
    <row r="4144">
      <c r="B4144" s="47" t="n"/>
      <c r="C4144" s="48" t="n"/>
      <c r="D4144" s="48" t="n"/>
      <c r="E4144" s="48" t="n"/>
      <c r="F4144" s="48" t="n"/>
      <c r="G4144" s="49" t="n"/>
      <c r="H4144" s="48" t="n"/>
      <c r="I4144" s="50" t="n"/>
      <c r="J4144" s="48" t="n"/>
      <c r="K4144" s="48" t="n"/>
      <c r="L4144" s="48" t="n"/>
      <c r="M4144" s="48" t="n"/>
      <c r="N4144" s="48" t="n"/>
      <c r="O4144" s="51">
        <f>IF(AND(B4144="",G4144="",C4144="",D4144="",J4144=""),"",IF(B4144="","⚠ Falta fecha",IF(G4144="","⚠ Falta monto",IF(Q4144="","⚠ Falta cuenta",IF(ISNA(MATCH(Q4144,ctaNombre,0)),"⚠ Cuenta no registrada",IF(AND(OR(P4144="Gasto",P4144="Reembolso"),D4144=""),"⚠ Falta categoría",IF(AND(D4144&lt;&gt;"",E4144&lt;&gt;"",ISNA(MATCH(D4144&amp;"|"&amp;E4144,catClave,0))),"⚠ Subcategoría no corresponde",IF(AND(OR(P4144="Transferencia",P4144="Pago tarjeta"),K4144=""),"⚠ Falta cuenta destino",IF(AND(K4144&lt;&gt;"",P4144&lt;&gt;"Transferencia",P4144&lt;&gt;"Pago tarjeta"),"⚠ Destino solo aplica a transferencias",IF(AND(K4144&lt;&gt;"",K4144=Q4144),"⚠ Origen igual a destino",IF(AND(K4144&lt;&gt;"",ISNA(MATCH(K4144,ctaNombre,0))),"⚠ Destino no registrado",IF(AND(P4144="Pago tarjeta",AE4144&lt;&gt;"Tarjeta de crédito"),"⚠ El destino debe ser tarjeta de crédito",IF(AND(P4144="Gasto",E4144="Depósitos y retiros"),"⚠ Usa tipo Transferencia",IF(AND(P4144="Resultado trading",AD4144&lt;&gt;"Cuenta de trading"),"⚠ Usa una cuenta de trading",IF(AND(G4144&lt;=0,P4144&lt;&gt;"Ajuste",P4144&lt;&gt;"Resultado trading"),"⚠ El monto debe ser positivo","✓")))))))))))))))</f>
        <v/>
      </c>
      <c r="P4144" s="52">
        <f>IF(OR(B4144="",G4144=""),"",IF(C4144="","Gasto",C4144))</f>
        <v/>
      </c>
      <c r="Q4144" s="52">
        <f>IF(P4144="","",IF(J4144&lt;&gt;"",J4144,CuentaPred&amp;""))</f>
        <v/>
      </c>
      <c r="R4144" s="52">
        <f>IF(P4144="","",IF(ISNUMBER(I4144),I4144,TasaUSD))</f>
        <v/>
      </c>
      <c r="S4144" s="53">
        <f>IF(P4144="","",IF(H4144="USD",G4144*R4144,G4144))</f>
        <v/>
      </c>
      <c r="T4144" s="53">
        <f>IF(P4144="","",IF(H4144="USD",G4144,IF(R4144&gt;0,G4144/R4144,0)))</f>
        <v/>
      </c>
      <c r="U4144" s="53">
        <f>IF(P4144="","",IF(P4144="Gasto",S4144,IF(P4144="Reembolso",-S4144,0)))</f>
        <v/>
      </c>
      <c r="V4144" s="53">
        <f>IF(P4144="","",IF(P4144="Ingreso",S4144,0))</f>
        <v/>
      </c>
      <c r="W4144" s="53">
        <f>IF(P4144="","",IF(P4144="Resultado trading",S4144,0))</f>
        <v/>
      </c>
      <c r="X4144" s="52">
        <f>IF(OR(P4144="Gasto",P4144="Reembolso"),IF(M4144&lt;&gt;"",M4144,IFERROR(INDEX(catClasif,MATCH(D4144&amp;"|"&amp;E4144,catClave,0))&amp;"","Variable")),"")</f>
        <v/>
      </c>
      <c r="Y4144" s="52">
        <f>IF(P4144="","",IFERROR(INDEX(catGrupo,MATCH(D4144&amp;"|"&amp;E4144,catClave,0))&amp;"",""))</f>
        <v/>
      </c>
      <c r="Z4144" s="52">
        <f>IF(P4144="","",WEEKDAY(B4144,2))</f>
        <v/>
      </c>
      <c r="AA4144" s="52">
        <f>IF(P4144="","",IF(AND(P4144="Gasto",X4144="Variable",D4144&lt;&gt;catTrading,S4144&gt;0,S4144&lt;=Umbral),1,0))</f>
        <v/>
      </c>
      <c r="AB4144" s="52">
        <f>IF(OR(P4144="",Q4144=""),"",IFERROR(IF(INDEX(ctaVinc,MATCH(Q4144,ctaNombre,0))&amp;""&lt;&gt;"",INDEX(ctaVinc,MATCH(Q4144,ctaNombre,0))&amp;"",Q4144),Q4144))</f>
        <v/>
      </c>
      <c r="AC4144" s="52">
        <f>IF(OR(K4144="",AND(P4144&lt;&gt;"Transferencia",P4144&lt;&gt;"Pago tarjeta")),"",IFERROR(IF(INDEX(ctaVinc,MATCH(K4144,ctaNombre,0))&amp;""&lt;&gt;"",INDEX(ctaVinc,MATCH(K4144,ctaNombre,0))&amp;"",K4144),K4144))</f>
        <v/>
      </c>
      <c r="AD4144" s="52">
        <f>IF(AB4144="","",IFERROR(INDEX(ctaTipo,MATCH(AB4144,ctaNombre,0))&amp;"",""))</f>
        <v/>
      </c>
      <c r="AE4144" s="52">
        <f>IF(AC4144="","",IFERROR(INDEX(ctaTipo,MATCH(AC4144,ctaNombre,0))&amp;"",""))</f>
        <v/>
      </c>
      <c r="AF4144" s="53">
        <f>IF(OR(P4144="",AB4144=""),"",IF(OR(P4144="Gasto",P4144="Transferencia",P4144="Pago tarjeta"),-1,1)*IF(IFERROR(INDEX(ctaMoneda,MATCH(AB4144,ctaNombre,0))&amp;"","DOP")="USD",T4144,S4144))</f>
        <v/>
      </c>
      <c r="AG4144" s="53">
        <f>IF(AC4144="","",IF(IFERROR(INDEX(ctaMoneda,MATCH(AC4144,ctaNombre,0))&amp;"","DOP")="USD",T4144,S4144))</f>
        <v/>
      </c>
      <c r="AH4144" s="53">
        <f>IF(P4144="","",IF(AND(AD4144&lt;&gt;"",COUNTIFS(tcTipo,AD4144,tcLiq,"Sí")&gt;0),IF(OR(P4144="Gasto",P4144="Transferencia",P4144="Pago tarjeta"),-1,1)*S4144,0)+IF(AND(AE4144&lt;&gt;"",COUNTIFS(tcTipo,AE4144,tcLiq,"Sí")&gt;0),S4144,0))</f>
        <v/>
      </c>
      <c r="AI4144" s="52">
        <f>IF(OR(L4144="",P4144=""),"",IF(COUNTIFS(L$6:L4144,L4144,P$6:P4144,"?*")=1,MAX(AI$5:AI4143)+1,""))</f>
        <v/>
      </c>
    </row>
    <row r="4145">
      <c r="B4145" s="47" t="n"/>
      <c r="C4145" s="48" t="n"/>
      <c r="D4145" s="48" t="n"/>
      <c r="E4145" s="48" t="n"/>
      <c r="F4145" s="48" t="n"/>
      <c r="G4145" s="49" t="n"/>
      <c r="H4145" s="48" t="n"/>
      <c r="I4145" s="50" t="n"/>
      <c r="J4145" s="48" t="n"/>
      <c r="K4145" s="48" t="n"/>
      <c r="L4145" s="48" t="n"/>
      <c r="M4145" s="48" t="n"/>
      <c r="N4145" s="48" t="n"/>
      <c r="O4145" s="51">
        <f>IF(AND(B4145="",G4145="",C4145="",D4145="",J4145=""),"",IF(B4145="","⚠ Falta fecha",IF(G4145="","⚠ Falta monto",IF(Q4145="","⚠ Falta cuenta",IF(ISNA(MATCH(Q4145,ctaNombre,0)),"⚠ Cuenta no registrada",IF(AND(OR(P4145="Gasto",P4145="Reembolso"),D4145=""),"⚠ Falta categoría",IF(AND(D4145&lt;&gt;"",E4145&lt;&gt;"",ISNA(MATCH(D4145&amp;"|"&amp;E4145,catClave,0))),"⚠ Subcategoría no corresponde",IF(AND(OR(P4145="Transferencia",P4145="Pago tarjeta"),K4145=""),"⚠ Falta cuenta destino",IF(AND(K4145&lt;&gt;"",P4145&lt;&gt;"Transferencia",P4145&lt;&gt;"Pago tarjeta"),"⚠ Destino solo aplica a transferencias",IF(AND(K4145&lt;&gt;"",K4145=Q4145),"⚠ Origen igual a destino",IF(AND(K4145&lt;&gt;"",ISNA(MATCH(K4145,ctaNombre,0))),"⚠ Destino no registrado",IF(AND(P4145="Pago tarjeta",AE4145&lt;&gt;"Tarjeta de crédito"),"⚠ El destino debe ser tarjeta de crédito",IF(AND(P4145="Gasto",E4145="Depósitos y retiros"),"⚠ Usa tipo Transferencia",IF(AND(P4145="Resultado trading",AD4145&lt;&gt;"Cuenta de trading"),"⚠ Usa una cuenta de trading",IF(AND(G4145&lt;=0,P4145&lt;&gt;"Ajuste",P4145&lt;&gt;"Resultado trading"),"⚠ El monto debe ser positivo","✓")))))))))))))))</f>
        <v/>
      </c>
      <c r="P4145" s="52">
        <f>IF(OR(B4145="",G4145=""),"",IF(C4145="","Gasto",C4145))</f>
        <v/>
      </c>
      <c r="Q4145" s="52">
        <f>IF(P4145="","",IF(J4145&lt;&gt;"",J4145,CuentaPred&amp;""))</f>
        <v/>
      </c>
      <c r="R4145" s="52">
        <f>IF(P4145="","",IF(ISNUMBER(I4145),I4145,TasaUSD))</f>
        <v/>
      </c>
      <c r="S4145" s="53">
        <f>IF(P4145="","",IF(H4145="USD",G4145*R4145,G4145))</f>
        <v/>
      </c>
      <c r="T4145" s="53">
        <f>IF(P4145="","",IF(H4145="USD",G4145,IF(R4145&gt;0,G4145/R4145,0)))</f>
        <v/>
      </c>
      <c r="U4145" s="53">
        <f>IF(P4145="","",IF(P4145="Gasto",S4145,IF(P4145="Reembolso",-S4145,0)))</f>
        <v/>
      </c>
      <c r="V4145" s="53">
        <f>IF(P4145="","",IF(P4145="Ingreso",S4145,0))</f>
        <v/>
      </c>
      <c r="W4145" s="53">
        <f>IF(P4145="","",IF(P4145="Resultado trading",S4145,0))</f>
        <v/>
      </c>
      <c r="X4145" s="52">
        <f>IF(OR(P4145="Gasto",P4145="Reembolso"),IF(M4145&lt;&gt;"",M4145,IFERROR(INDEX(catClasif,MATCH(D4145&amp;"|"&amp;E4145,catClave,0))&amp;"","Variable")),"")</f>
        <v/>
      </c>
      <c r="Y4145" s="52">
        <f>IF(P4145="","",IFERROR(INDEX(catGrupo,MATCH(D4145&amp;"|"&amp;E4145,catClave,0))&amp;"",""))</f>
        <v/>
      </c>
      <c r="Z4145" s="52">
        <f>IF(P4145="","",WEEKDAY(B4145,2))</f>
        <v/>
      </c>
      <c r="AA4145" s="52">
        <f>IF(P4145="","",IF(AND(P4145="Gasto",X4145="Variable",D4145&lt;&gt;catTrading,S4145&gt;0,S4145&lt;=Umbral),1,0))</f>
        <v/>
      </c>
      <c r="AB4145" s="52">
        <f>IF(OR(P4145="",Q4145=""),"",IFERROR(IF(INDEX(ctaVinc,MATCH(Q4145,ctaNombre,0))&amp;""&lt;&gt;"",INDEX(ctaVinc,MATCH(Q4145,ctaNombre,0))&amp;"",Q4145),Q4145))</f>
        <v/>
      </c>
      <c r="AC4145" s="52">
        <f>IF(OR(K4145="",AND(P4145&lt;&gt;"Transferencia",P4145&lt;&gt;"Pago tarjeta")),"",IFERROR(IF(INDEX(ctaVinc,MATCH(K4145,ctaNombre,0))&amp;""&lt;&gt;"",INDEX(ctaVinc,MATCH(K4145,ctaNombre,0))&amp;"",K4145),K4145))</f>
        <v/>
      </c>
      <c r="AD4145" s="52">
        <f>IF(AB4145="","",IFERROR(INDEX(ctaTipo,MATCH(AB4145,ctaNombre,0))&amp;"",""))</f>
        <v/>
      </c>
      <c r="AE4145" s="52">
        <f>IF(AC4145="","",IFERROR(INDEX(ctaTipo,MATCH(AC4145,ctaNombre,0))&amp;"",""))</f>
        <v/>
      </c>
      <c r="AF4145" s="53">
        <f>IF(OR(P4145="",AB4145=""),"",IF(OR(P4145="Gasto",P4145="Transferencia",P4145="Pago tarjeta"),-1,1)*IF(IFERROR(INDEX(ctaMoneda,MATCH(AB4145,ctaNombre,0))&amp;"","DOP")="USD",T4145,S4145))</f>
        <v/>
      </c>
      <c r="AG4145" s="53">
        <f>IF(AC4145="","",IF(IFERROR(INDEX(ctaMoneda,MATCH(AC4145,ctaNombre,0))&amp;"","DOP")="USD",T4145,S4145))</f>
        <v/>
      </c>
      <c r="AH4145" s="53">
        <f>IF(P4145="","",IF(AND(AD4145&lt;&gt;"",COUNTIFS(tcTipo,AD4145,tcLiq,"Sí")&gt;0),IF(OR(P4145="Gasto",P4145="Transferencia",P4145="Pago tarjeta"),-1,1)*S4145,0)+IF(AND(AE4145&lt;&gt;"",COUNTIFS(tcTipo,AE4145,tcLiq,"Sí")&gt;0),S4145,0))</f>
        <v/>
      </c>
      <c r="AI4145" s="52">
        <f>IF(OR(L4145="",P4145=""),"",IF(COUNTIFS(L$6:L4145,L4145,P$6:P4145,"?*")=1,MAX(AI$5:AI4144)+1,""))</f>
        <v/>
      </c>
    </row>
    <row r="4146">
      <c r="B4146" s="47" t="n"/>
      <c r="C4146" s="48" t="n"/>
      <c r="D4146" s="48" t="n"/>
      <c r="E4146" s="48" t="n"/>
      <c r="F4146" s="48" t="n"/>
      <c r="G4146" s="49" t="n"/>
      <c r="H4146" s="48" t="n"/>
      <c r="I4146" s="50" t="n"/>
      <c r="J4146" s="48" t="n"/>
      <c r="K4146" s="48" t="n"/>
      <c r="L4146" s="48" t="n"/>
      <c r="M4146" s="48" t="n"/>
      <c r="N4146" s="48" t="n"/>
      <c r="O4146" s="51">
        <f>IF(AND(B4146="",G4146="",C4146="",D4146="",J4146=""),"",IF(B4146="","⚠ Falta fecha",IF(G4146="","⚠ Falta monto",IF(Q4146="","⚠ Falta cuenta",IF(ISNA(MATCH(Q4146,ctaNombre,0)),"⚠ Cuenta no registrada",IF(AND(OR(P4146="Gasto",P4146="Reembolso"),D4146=""),"⚠ Falta categoría",IF(AND(D4146&lt;&gt;"",E4146&lt;&gt;"",ISNA(MATCH(D4146&amp;"|"&amp;E4146,catClave,0))),"⚠ Subcategoría no corresponde",IF(AND(OR(P4146="Transferencia",P4146="Pago tarjeta"),K4146=""),"⚠ Falta cuenta destino",IF(AND(K4146&lt;&gt;"",P4146&lt;&gt;"Transferencia",P4146&lt;&gt;"Pago tarjeta"),"⚠ Destino solo aplica a transferencias",IF(AND(K4146&lt;&gt;"",K4146=Q4146),"⚠ Origen igual a destino",IF(AND(K4146&lt;&gt;"",ISNA(MATCH(K4146,ctaNombre,0))),"⚠ Destino no registrado",IF(AND(P4146="Pago tarjeta",AE4146&lt;&gt;"Tarjeta de crédito"),"⚠ El destino debe ser tarjeta de crédito",IF(AND(P4146="Gasto",E4146="Depósitos y retiros"),"⚠ Usa tipo Transferencia",IF(AND(P4146="Resultado trading",AD4146&lt;&gt;"Cuenta de trading"),"⚠ Usa una cuenta de trading",IF(AND(G4146&lt;=0,P4146&lt;&gt;"Ajuste",P4146&lt;&gt;"Resultado trading"),"⚠ El monto debe ser positivo","✓")))))))))))))))</f>
        <v/>
      </c>
      <c r="P4146" s="52">
        <f>IF(OR(B4146="",G4146=""),"",IF(C4146="","Gasto",C4146))</f>
        <v/>
      </c>
      <c r="Q4146" s="52">
        <f>IF(P4146="","",IF(J4146&lt;&gt;"",J4146,CuentaPred&amp;""))</f>
        <v/>
      </c>
      <c r="R4146" s="52">
        <f>IF(P4146="","",IF(ISNUMBER(I4146),I4146,TasaUSD))</f>
        <v/>
      </c>
      <c r="S4146" s="53">
        <f>IF(P4146="","",IF(H4146="USD",G4146*R4146,G4146))</f>
        <v/>
      </c>
      <c r="T4146" s="53">
        <f>IF(P4146="","",IF(H4146="USD",G4146,IF(R4146&gt;0,G4146/R4146,0)))</f>
        <v/>
      </c>
      <c r="U4146" s="53">
        <f>IF(P4146="","",IF(P4146="Gasto",S4146,IF(P4146="Reembolso",-S4146,0)))</f>
        <v/>
      </c>
      <c r="V4146" s="53">
        <f>IF(P4146="","",IF(P4146="Ingreso",S4146,0))</f>
        <v/>
      </c>
      <c r="W4146" s="53">
        <f>IF(P4146="","",IF(P4146="Resultado trading",S4146,0))</f>
        <v/>
      </c>
      <c r="X4146" s="52">
        <f>IF(OR(P4146="Gasto",P4146="Reembolso"),IF(M4146&lt;&gt;"",M4146,IFERROR(INDEX(catClasif,MATCH(D4146&amp;"|"&amp;E4146,catClave,0))&amp;"","Variable")),"")</f>
        <v/>
      </c>
      <c r="Y4146" s="52">
        <f>IF(P4146="","",IFERROR(INDEX(catGrupo,MATCH(D4146&amp;"|"&amp;E4146,catClave,0))&amp;"",""))</f>
        <v/>
      </c>
      <c r="Z4146" s="52">
        <f>IF(P4146="","",WEEKDAY(B4146,2))</f>
        <v/>
      </c>
      <c r="AA4146" s="52">
        <f>IF(P4146="","",IF(AND(P4146="Gasto",X4146="Variable",D4146&lt;&gt;catTrading,S4146&gt;0,S4146&lt;=Umbral),1,0))</f>
        <v/>
      </c>
      <c r="AB4146" s="52">
        <f>IF(OR(P4146="",Q4146=""),"",IFERROR(IF(INDEX(ctaVinc,MATCH(Q4146,ctaNombre,0))&amp;""&lt;&gt;"",INDEX(ctaVinc,MATCH(Q4146,ctaNombre,0))&amp;"",Q4146),Q4146))</f>
        <v/>
      </c>
      <c r="AC4146" s="52">
        <f>IF(OR(K4146="",AND(P4146&lt;&gt;"Transferencia",P4146&lt;&gt;"Pago tarjeta")),"",IFERROR(IF(INDEX(ctaVinc,MATCH(K4146,ctaNombre,0))&amp;""&lt;&gt;"",INDEX(ctaVinc,MATCH(K4146,ctaNombre,0))&amp;"",K4146),K4146))</f>
        <v/>
      </c>
      <c r="AD4146" s="52">
        <f>IF(AB4146="","",IFERROR(INDEX(ctaTipo,MATCH(AB4146,ctaNombre,0))&amp;"",""))</f>
        <v/>
      </c>
      <c r="AE4146" s="52">
        <f>IF(AC4146="","",IFERROR(INDEX(ctaTipo,MATCH(AC4146,ctaNombre,0))&amp;"",""))</f>
        <v/>
      </c>
      <c r="AF4146" s="53">
        <f>IF(OR(P4146="",AB4146=""),"",IF(OR(P4146="Gasto",P4146="Transferencia",P4146="Pago tarjeta"),-1,1)*IF(IFERROR(INDEX(ctaMoneda,MATCH(AB4146,ctaNombre,0))&amp;"","DOP")="USD",T4146,S4146))</f>
        <v/>
      </c>
      <c r="AG4146" s="53">
        <f>IF(AC4146="","",IF(IFERROR(INDEX(ctaMoneda,MATCH(AC4146,ctaNombre,0))&amp;"","DOP")="USD",T4146,S4146))</f>
        <v/>
      </c>
      <c r="AH4146" s="53">
        <f>IF(P4146="","",IF(AND(AD4146&lt;&gt;"",COUNTIFS(tcTipo,AD4146,tcLiq,"Sí")&gt;0),IF(OR(P4146="Gasto",P4146="Transferencia",P4146="Pago tarjeta"),-1,1)*S4146,0)+IF(AND(AE4146&lt;&gt;"",COUNTIFS(tcTipo,AE4146,tcLiq,"Sí")&gt;0),S4146,0))</f>
        <v/>
      </c>
      <c r="AI4146" s="52">
        <f>IF(OR(L4146="",P4146=""),"",IF(COUNTIFS(L$6:L4146,L4146,P$6:P4146,"?*")=1,MAX(AI$5:AI4145)+1,""))</f>
        <v/>
      </c>
    </row>
    <row r="4147">
      <c r="B4147" s="47" t="n"/>
      <c r="C4147" s="48" t="n"/>
      <c r="D4147" s="48" t="n"/>
      <c r="E4147" s="48" t="n"/>
      <c r="F4147" s="48" t="n"/>
      <c r="G4147" s="49" t="n"/>
      <c r="H4147" s="48" t="n"/>
      <c r="I4147" s="50" t="n"/>
      <c r="J4147" s="48" t="n"/>
      <c r="K4147" s="48" t="n"/>
      <c r="L4147" s="48" t="n"/>
      <c r="M4147" s="48" t="n"/>
      <c r="N4147" s="48" t="n"/>
      <c r="O4147" s="51">
        <f>IF(AND(B4147="",G4147="",C4147="",D4147="",J4147=""),"",IF(B4147="","⚠ Falta fecha",IF(G4147="","⚠ Falta monto",IF(Q4147="","⚠ Falta cuenta",IF(ISNA(MATCH(Q4147,ctaNombre,0)),"⚠ Cuenta no registrada",IF(AND(OR(P4147="Gasto",P4147="Reembolso"),D4147=""),"⚠ Falta categoría",IF(AND(D4147&lt;&gt;"",E4147&lt;&gt;"",ISNA(MATCH(D4147&amp;"|"&amp;E4147,catClave,0))),"⚠ Subcategoría no corresponde",IF(AND(OR(P4147="Transferencia",P4147="Pago tarjeta"),K4147=""),"⚠ Falta cuenta destino",IF(AND(K4147&lt;&gt;"",P4147&lt;&gt;"Transferencia",P4147&lt;&gt;"Pago tarjeta"),"⚠ Destino solo aplica a transferencias",IF(AND(K4147&lt;&gt;"",K4147=Q4147),"⚠ Origen igual a destino",IF(AND(K4147&lt;&gt;"",ISNA(MATCH(K4147,ctaNombre,0))),"⚠ Destino no registrado",IF(AND(P4147="Pago tarjeta",AE4147&lt;&gt;"Tarjeta de crédito"),"⚠ El destino debe ser tarjeta de crédito",IF(AND(P4147="Gasto",E4147="Depósitos y retiros"),"⚠ Usa tipo Transferencia",IF(AND(P4147="Resultado trading",AD4147&lt;&gt;"Cuenta de trading"),"⚠ Usa una cuenta de trading",IF(AND(G4147&lt;=0,P4147&lt;&gt;"Ajuste",P4147&lt;&gt;"Resultado trading"),"⚠ El monto debe ser positivo","✓")))))))))))))))</f>
        <v/>
      </c>
      <c r="P4147" s="52">
        <f>IF(OR(B4147="",G4147=""),"",IF(C4147="","Gasto",C4147))</f>
        <v/>
      </c>
      <c r="Q4147" s="52">
        <f>IF(P4147="","",IF(J4147&lt;&gt;"",J4147,CuentaPred&amp;""))</f>
        <v/>
      </c>
      <c r="R4147" s="52">
        <f>IF(P4147="","",IF(ISNUMBER(I4147),I4147,TasaUSD))</f>
        <v/>
      </c>
      <c r="S4147" s="53">
        <f>IF(P4147="","",IF(H4147="USD",G4147*R4147,G4147))</f>
        <v/>
      </c>
      <c r="T4147" s="53">
        <f>IF(P4147="","",IF(H4147="USD",G4147,IF(R4147&gt;0,G4147/R4147,0)))</f>
        <v/>
      </c>
      <c r="U4147" s="53">
        <f>IF(P4147="","",IF(P4147="Gasto",S4147,IF(P4147="Reembolso",-S4147,0)))</f>
        <v/>
      </c>
      <c r="V4147" s="53">
        <f>IF(P4147="","",IF(P4147="Ingreso",S4147,0))</f>
        <v/>
      </c>
      <c r="W4147" s="53">
        <f>IF(P4147="","",IF(P4147="Resultado trading",S4147,0))</f>
        <v/>
      </c>
      <c r="X4147" s="52">
        <f>IF(OR(P4147="Gasto",P4147="Reembolso"),IF(M4147&lt;&gt;"",M4147,IFERROR(INDEX(catClasif,MATCH(D4147&amp;"|"&amp;E4147,catClave,0))&amp;"","Variable")),"")</f>
        <v/>
      </c>
      <c r="Y4147" s="52">
        <f>IF(P4147="","",IFERROR(INDEX(catGrupo,MATCH(D4147&amp;"|"&amp;E4147,catClave,0))&amp;"",""))</f>
        <v/>
      </c>
      <c r="Z4147" s="52">
        <f>IF(P4147="","",WEEKDAY(B4147,2))</f>
        <v/>
      </c>
      <c r="AA4147" s="52">
        <f>IF(P4147="","",IF(AND(P4147="Gasto",X4147="Variable",D4147&lt;&gt;catTrading,S4147&gt;0,S4147&lt;=Umbral),1,0))</f>
        <v/>
      </c>
      <c r="AB4147" s="52">
        <f>IF(OR(P4147="",Q4147=""),"",IFERROR(IF(INDEX(ctaVinc,MATCH(Q4147,ctaNombre,0))&amp;""&lt;&gt;"",INDEX(ctaVinc,MATCH(Q4147,ctaNombre,0))&amp;"",Q4147),Q4147))</f>
        <v/>
      </c>
      <c r="AC4147" s="52">
        <f>IF(OR(K4147="",AND(P4147&lt;&gt;"Transferencia",P4147&lt;&gt;"Pago tarjeta")),"",IFERROR(IF(INDEX(ctaVinc,MATCH(K4147,ctaNombre,0))&amp;""&lt;&gt;"",INDEX(ctaVinc,MATCH(K4147,ctaNombre,0))&amp;"",K4147),K4147))</f>
        <v/>
      </c>
      <c r="AD4147" s="52">
        <f>IF(AB4147="","",IFERROR(INDEX(ctaTipo,MATCH(AB4147,ctaNombre,0))&amp;"",""))</f>
        <v/>
      </c>
      <c r="AE4147" s="52">
        <f>IF(AC4147="","",IFERROR(INDEX(ctaTipo,MATCH(AC4147,ctaNombre,0))&amp;"",""))</f>
        <v/>
      </c>
      <c r="AF4147" s="53">
        <f>IF(OR(P4147="",AB4147=""),"",IF(OR(P4147="Gasto",P4147="Transferencia",P4147="Pago tarjeta"),-1,1)*IF(IFERROR(INDEX(ctaMoneda,MATCH(AB4147,ctaNombre,0))&amp;"","DOP")="USD",T4147,S4147))</f>
        <v/>
      </c>
      <c r="AG4147" s="53">
        <f>IF(AC4147="","",IF(IFERROR(INDEX(ctaMoneda,MATCH(AC4147,ctaNombre,0))&amp;"","DOP")="USD",T4147,S4147))</f>
        <v/>
      </c>
      <c r="AH4147" s="53">
        <f>IF(P4147="","",IF(AND(AD4147&lt;&gt;"",COUNTIFS(tcTipo,AD4147,tcLiq,"Sí")&gt;0),IF(OR(P4147="Gasto",P4147="Transferencia",P4147="Pago tarjeta"),-1,1)*S4147,0)+IF(AND(AE4147&lt;&gt;"",COUNTIFS(tcTipo,AE4147,tcLiq,"Sí")&gt;0),S4147,0))</f>
        <v/>
      </c>
      <c r="AI4147" s="52">
        <f>IF(OR(L4147="",P4147=""),"",IF(COUNTIFS(L$6:L4147,L4147,P$6:P4147,"?*")=1,MAX(AI$5:AI4146)+1,""))</f>
        <v/>
      </c>
    </row>
    <row r="4148">
      <c r="B4148" s="47" t="n"/>
      <c r="C4148" s="48" t="n"/>
      <c r="D4148" s="48" t="n"/>
      <c r="E4148" s="48" t="n"/>
      <c r="F4148" s="48" t="n"/>
      <c r="G4148" s="49" t="n"/>
      <c r="H4148" s="48" t="n"/>
      <c r="I4148" s="50" t="n"/>
      <c r="J4148" s="48" t="n"/>
      <c r="K4148" s="48" t="n"/>
      <c r="L4148" s="48" t="n"/>
      <c r="M4148" s="48" t="n"/>
      <c r="N4148" s="48" t="n"/>
      <c r="O4148" s="51">
        <f>IF(AND(B4148="",G4148="",C4148="",D4148="",J4148=""),"",IF(B4148="","⚠ Falta fecha",IF(G4148="","⚠ Falta monto",IF(Q4148="","⚠ Falta cuenta",IF(ISNA(MATCH(Q4148,ctaNombre,0)),"⚠ Cuenta no registrada",IF(AND(OR(P4148="Gasto",P4148="Reembolso"),D4148=""),"⚠ Falta categoría",IF(AND(D4148&lt;&gt;"",E4148&lt;&gt;"",ISNA(MATCH(D4148&amp;"|"&amp;E4148,catClave,0))),"⚠ Subcategoría no corresponde",IF(AND(OR(P4148="Transferencia",P4148="Pago tarjeta"),K4148=""),"⚠ Falta cuenta destino",IF(AND(K4148&lt;&gt;"",P4148&lt;&gt;"Transferencia",P4148&lt;&gt;"Pago tarjeta"),"⚠ Destino solo aplica a transferencias",IF(AND(K4148&lt;&gt;"",K4148=Q4148),"⚠ Origen igual a destino",IF(AND(K4148&lt;&gt;"",ISNA(MATCH(K4148,ctaNombre,0))),"⚠ Destino no registrado",IF(AND(P4148="Pago tarjeta",AE4148&lt;&gt;"Tarjeta de crédito"),"⚠ El destino debe ser tarjeta de crédito",IF(AND(P4148="Gasto",E4148="Depósitos y retiros"),"⚠ Usa tipo Transferencia",IF(AND(P4148="Resultado trading",AD4148&lt;&gt;"Cuenta de trading"),"⚠ Usa una cuenta de trading",IF(AND(G4148&lt;=0,P4148&lt;&gt;"Ajuste",P4148&lt;&gt;"Resultado trading"),"⚠ El monto debe ser positivo","✓")))))))))))))))</f>
        <v/>
      </c>
      <c r="P4148" s="52">
        <f>IF(OR(B4148="",G4148=""),"",IF(C4148="","Gasto",C4148))</f>
        <v/>
      </c>
      <c r="Q4148" s="52">
        <f>IF(P4148="","",IF(J4148&lt;&gt;"",J4148,CuentaPred&amp;""))</f>
        <v/>
      </c>
      <c r="R4148" s="52">
        <f>IF(P4148="","",IF(ISNUMBER(I4148),I4148,TasaUSD))</f>
        <v/>
      </c>
      <c r="S4148" s="53">
        <f>IF(P4148="","",IF(H4148="USD",G4148*R4148,G4148))</f>
        <v/>
      </c>
      <c r="T4148" s="53">
        <f>IF(P4148="","",IF(H4148="USD",G4148,IF(R4148&gt;0,G4148/R4148,0)))</f>
        <v/>
      </c>
      <c r="U4148" s="53">
        <f>IF(P4148="","",IF(P4148="Gasto",S4148,IF(P4148="Reembolso",-S4148,0)))</f>
        <v/>
      </c>
      <c r="V4148" s="53">
        <f>IF(P4148="","",IF(P4148="Ingreso",S4148,0))</f>
        <v/>
      </c>
      <c r="W4148" s="53">
        <f>IF(P4148="","",IF(P4148="Resultado trading",S4148,0))</f>
        <v/>
      </c>
      <c r="X4148" s="52">
        <f>IF(OR(P4148="Gasto",P4148="Reembolso"),IF(M4148&lt;&gt;"",M4148,IFERROR(INDEX(catClasif,MATCH(D4148&amp;"|"&amp;E4148,catClave,0))&amp;"","Variable")),"")</f>
        <v/>
      </c>
      <c r="Y4148" s="52">
        <f>IF(P4148="","",IFERROR(INDEX(catGrupo,MATCH(D4148&amp;"|"&amp;E4148,catClave,0))&amp;"",""))</f>
        <v/>
      </c>
      <c r="Z4148" s="52">
        <f>IF(P4148="","",WEEKDAY(B4148,2))</f>
        <v/>
      </c>
      <c r="AA4148" s="52">
        <f>IF(P4148="","",IF(AND(P4148="Gasto",X4148="Variable",D4148&lt;&gt;catTrading,S4148&gt;0,S4148&lt;=Umbral),1,0))</f>
        <v/>
      </c>
      <c r="AB4148" s="52">
        <f>IF(OR(P4148="",Q4148=""),"",IFERROR(IF(INDEX(ctaVinc,MATCH(Q4148,ctaNombre,0))&amp;""&lt;&gt;"",INDEX(ctaVinc,MATCH(Q4148,ctaNombre,0))&amp;"",Q4148),Q4148))</f>
        <v/>
      </c>
      <c r="AC4148" s="52">
        <f>IF(OR(K4148="",AND(P4148&lt;&gt;"Transferencia",P4148&lt;&gt;"Pago tarjeta")),"",IFERROR(IF(INDEX(ctaVinc,MATCH(K4148,ctaNombre,0))&amp;""&lt;&gt;"",INDEX(ctaVinc,MATCH(K4148,ctaNombre,0))&amp;"",K4148),K4148))</f>
        <v/>
      </c>
      <c r="AD4148" s="52">
        <f>IF(AB4148="","",IFERROR(INDEX(ctaTipo,MATCH(AB4148,ctaNombre,0))&amp;"",""))</f>
        <v/>
      </c>
      <c r="AE4148" s="52">
        <f>IF(AC4148="","",IFERROR(INDEX(ctaTipo,MATCH(AC4148,ctaNombre,0))&amp;"",""))</f>
        <v/>
      </c>
      <c r="AF4148" s="53">
        <f>IF(OR(P4148="",AB4148=""),"",IF(OR(P4148="Gasto",P4148="Transferencia",P4148="Pago tarjeta"),-1,1)*IF(IFERROR(INDEX(ctaMoneda,MATCH(AB4148,ctaNombre,0))&amp;"","DOP")="USD",T4148,S4148))</f>
        <v/>
      </c>
      <c r="AG4148" s="53">
        <f>IF(AC4148="","",IF(IFERROR(INDEX(ctaMoneda,MATCH(AC4148,ctaNombre,0))&amp;"","DOP")="USD",T4148,S4148))</f>
        <v/>
      </c>
      <c r="AH4148" s="53">
        <f>IF(P4148="","",IF(AND(AD4148&lt;&gt;"",COUNTIFS(tcTipo,AD4148,tcLiq,"Sí")&gt;0),IF(OR(P4148="Gasto",P4148="Transferencia",P4148="Pago tarjeta"),-1,1)*S4148,0)+IF(AND(AE4148&lt;&gt;"",COUNTIFS(tcTipo,AE4148,tcLiq,"Sí")&gt;0),S4148,0))</f>
        <v/>
      </c>
      <c r="AI4148" s="52">
        <f>IF(OR(L4148="",P4148=""),"",IF(COUNTIFS(L$6:L4148,L4148,P$6:P4148,"?*")=1,MAX(AI$5:AI4147)+1,""))</f>
        <v/>
      </c>
    </row>
    <row r="4149">
      <c r="B4149" s="47" t="n"/>
      <c r="C4149" s="48" t="n"/>
      <c r="D4149" s="48" t="n"/>
      <c r="E4149" s="48" t="n"/>
      <c r="F4149" s="48" t="n"/>
      <c r="G4149" s="49" t="n"/>
      <c r="H4149" s="48" t="n"/>
      <c r="I4149" s="50" t="n"/>
      <c r="J4149" s="48" t="n"/>
      <c r="K4149" s="48" t="n"/>
      <c r="L4149" s="48" t="n"/>
      <c r="M4149" s="48" t="n"/>
      <c r="N4149" s="48" t="n"/>
      <c r="O4149" s="51">
        <f>IF(AND(B4149="",G4149="",C4149="",D4149="",J4149=""),"",IF(B4149="","⚠ Falta fecha",IF(G4149="","⚠ Falta monto",IF(Q4149="","⚠ Falta cuenta",IF(ISNA(MATCH(Q4149,ctaNombre,0)),"⚠ Cuenta no registrada",IF(AND(OR(P4149="Gasto",P4149="Reembolso"),D4149=""),"⚠ Falta categoría",IF(AND(D4149&lt;&gt;"",E4149&lt;&gt;"",ISNA(MATCH(D4149&amp;"|"&amp;E4149,catClave,0))),"⚠ Subcategoría no corresponde",IF(AND(OR(P4149="Transferencia",P4149="Pago tarjeta"),K4149=""),"⚠ Falta cuenta destino",IF(AND(K4149&lt;&gt;"",P4149&lt;&gt;"Transferencia",P4149&lt;&gt;"Pago tarjeta"),"⚠ Destino solo aplica a transferencias",IF(AND(K4149&lt;&gt;"",K4149=Q4149),"⚠ Origen igual a destino",IF(AND(K4149&lt;&gt;"",ISNA(MATCH(K4149,ctaNombre,0))),"⚠ Destino no registrado",IF(AND(P4149="Pago tarjeta",AE4149&lt;&gt;"Tarjeta de crédito"),"⚠ El destino debe ser tarjeta de crédito",IF(AND(P4149="Gasto",E4149="Depósitos y retiros"),"⚠ Usa tipo Transferencia",IF(AND(P4149="Resultado trading",AD4149&lt;&gt;"Cuenta de trading"),"⚠ Usa una cuenta de trading",IF(AND(G4149&lt;=0,P4149&lt;&gt;"Ajuste",P4149&lt;&gt;"Resultado trading"),"⚠ El monto debe ser positivo","✓")))))))))))))))</f>
        <v/>
      </c>
      <c r="P4149" s="52">
        <f>IF(OR(B4149="",G4149=""),"",IF(C4149="","Gasto",C4149))</f>
        <v/>
      </c>
      <c r="Q4149" s="52">
        <f>IF(P4149="","",IF(J4149&lt;&gt;"",J4149,CuentaPred&amp;""))</f>
        <v/>
      </c>
      <c r="R4149" s="52">
        <f>IF(P4149="","",IF(ISNUMBER(I4149),I4149,TasaUSD))</f>
        <v/>
      </c>
      <c r="S4149" s="53">
        <f>IF(P4149="","",IF(H4149="USD",G4149*R4149,G4149))</f>
        <v/>
      </c>
      <c r="T4149" s="53">
        <f>IF(P4149="","",IF(H4149="USD",G4149,IF(R4149&gt;0,G4149/R4149,0)))</f>
        <v/>
      </c>
      <c r="U4149" s="53">
        <f>IF(P4149="","",IF(P4149="Gasto",S4149,IF(P4149="Reembolso",-S4149,0)))</f>
        <v/>
      </c>
      <c r="V4149" s="53">
        <f>IF(P4149="","",IF(P4149="Ingreso",S4149,0))</f>
        <v/>
      </c>
      <c r="W4149" s="53">
        <f>IF(P4149="","",IF(P4149="Resultado trading",S4149,0))</f>
        <v/>
      </c>
      <c r="X4149" s="52">
        <f>IF(OR(P4149="Gasto",P4149="Reembolso"),IF(M4149&lt;&gt;"",M4149,IFERROR(INDEX(catClasif,MATCH(D4149&amp;"|"&amp;E4149,catClave,0))&amp;"","Variable")),"")</f>
        <v/>
      </c>
      <c r="Y4149" s="52">
        <f>IF(P4149="","",IFERROR(INDEX(catGrupo,MATCH(D4149&amp;"|"&amp;E4149,catClave,0))&amp;"",""))</f>
        <v/>
      </c>
      <c r="Z4149" s="52">
        <f>IF(P4149="","",WEEKDAY(B4149,2))</f>
        <v/>
      </c>
      <c r="AA4149" s="52">
        <f>IF(P4149="","",IF(AND(P4149="Gasto",X4149="Variable",D4149&lt;&gt;catTrading,S4149&gt;0,S4149&lt;=Umbral),1,0))</f>
        <v/>
      </c>
      <c r="AB4149" s="52">
        <f>IF(OR(P4149="",Q4149=""),"",IFERROR(IF(INDEX(ctaVinc,MATCH(Q4149,ctaNombre,0))&amp;""&lt;&gt;"",INDEX(ctaVinc,MATCH(Q4149,ctaNombre,0))&amp;"",Q4149),Q4149))</f>
        <v/>
      </c>
      <c r="AC4149" s="52">
        <f>IF(OR(K4149="",AND(P4149&lt;&gt;"Transferencia",P4149&lt;&gt;"Pago tarjeta")),"",IFERROR(IF(INDEX(ctaVinc,MATCH(K4149,ctaNombre,0))&amp;""&lt;&gt;"",INDEX(ctaVinc,MATCH(K4149,ctaNombre,0))&amp;"",K4149),K4149))</f>
        <v/>
      </c>
      <c r="AD4149" s="52">
        <f>IF(AB4149="","",IFERROR(INDEX(ctaTipo,MATCH(AB4149,ctaNombre,0))&amp;"",""))</f>
        <v/>
      </c>
      <c r="AE4149" s="52">
        <f>IF(AC4149="","",IFERROR(INDEX(ctaTipo,MATCH(AC4149,ctaNombre,0))&amp;"",""))</f>
        <v/>
      </c>
      <c r="AF4149" s="53">
        <f>IF(OR(P4149="",AB4149=""),"",IF(OR(P4149="Gasto",P4149="Transferencia",P4149="Pago tarjeta"),-1,1)*IF(IFERROR(INDEX(ctaMoneda,MATCH(AB4149,ctaNombre,0))&amp;"","DOP")="USD",T4149,S4149))</f>
        <v/>
      </c>
      <c r="AG4149" s="53">
        <f>IF(AC4149="","",IF(IFERROR(INDEX(ctaMoneda,MATCH(AC4149,ctaNombre,0))&amp;"","DOP")="USD",T4149,S4149))</f>
        <v/>
      </c>
      <c r="AH4149" s="53">
        <f>IF(P4149="","",IF(AND(AD4149&lt;&gt;"",COUNTIFS(tcTipo,AD4149,tcLiq,"Sí")&gt;0),IF(OR(P4149="Gasto",P4149="Transferencia",P4149="Pago tarjeta"),-1,1)*S4149,0)+IF(AND(AE4149&lt;&gt;"",COUNTIFS(tcTipo,AE4149,tcLiq,"Sí")&gt;0),S4149,0))</f>
        <v/>
      </c>
      <c r="AI4149" s="52">
        <f>IF(OR(L4149="",P4149=""),"",IF(COUNTIFS(L$6:L4149,L4149,P$6:P4149,"?*")=1,MAX(AI$5:AI4148)+1,""))</f>
        <v/>
      </c>
    </row>
    <row r="4150">
      <c r="B4150" s="47" t="n"/>
      <c r="C4150" s="48" t="n"/>
      <c r="D4150" s="48" t="n"/>
      <c r="E4150" s="48" t="n"/>
      <c r="F4150" s="48" t="n"/>
      <c r="G4150" s="49" t="n"/>
      <c r="H4150" s="48" t="n"/>
      <c r="I4150" s="50" t="n"/>
      <c r="J4150" s="48" t="n"/>
      <c r="K4150" s="48" t="n"/>
      <c r="L4150" s="48" t="n"/>
      <c r="M4150" s="48" t="n"/>
      <c r="N4150" s="48" t="n"/>
      <c r="O4150" s="51">
        <f>IF(AND(B4150="",G4150="",C4150="",D4150="",J4150=""),"",IF(B4150="","⚠ Falta fecha",IF(G4150="","⚠ Falta monto",IF(Q4150="","⚠ Falta cuenta",IF(ISNA(MATCH(Q4150,ctaNombre,0)),"⚠ Cuenta no registrada",IF(AND(OR(P4150="Gasto",P4150="Reembolso"),D4150=""),"⚠ Falta categoría",IF(AND(D4150&lt;&gt;"",E4150&lt;&gt;"",ISNA(MATCH(D4150&amp;"|"&amp;E4150,catClave,0))),"⚠ Subcategoría no corresponde",IF(AND(OR(P4150="Transferencia",P4150="Pago tarjeta"),K4150=""),"⚠ Falta cuenta destino",IF(AND(K4150&lt;&gt;"",P4150&lt;&gt;"Transferencia",P4150&lt;&gt;"Pago tarjeta"),"⚠ Destino solo aplica a transferencias",IF(AND(K4150&lt;&gt;"",K4150=Q4150),"⚠ Origen igual a destino",IF(AND(K4150&lt;&gt;"",ISNA(MATCH(K4150,ctaNombre,0))),"⚠ Destino no registrado",IF(AND(P4150="Pago tarjeta",AE4150&lt;&gt;"Tarjeta de crédito"),"⚠ El destino debe ser tarjeta de crédito",IF(AND(P4150="Gasto",E4150="Depósitos y retiros"),"⚠ Usa tipo Transferencia",IF(AND(P4150="Resultado trading",AD4150&lt;&gt;"Cuenta de trading"),"⚠ Usa una cuenta de trading",IF(AND(G4150&lt;=0,P4150&lt;&gt;"Ajuste",P4150&lt;&gt;"Resultado trading"),"⚠ El monto debe ser positivo","✓")))))))))))))))</f>
        <v/>
      </c>
      <c r="P4150" s="52">
        <f>IF(OR(B4150="",G4150=""),"",IF(C4150="","Gasto",C4150))</f>
        <v/>
      </c>
      <c r="Q4150" s="52">
        <f>IF(P4150="","",IF(J4150&lt;&gt;"",J4150,CuentaPred&amp;""))</f>
        <v/>
      </c>
      <c r="R4150" s="52">
        <f>IF(P4150="","",IF(ISNUMBER(I4150),I4150,TasaUSD))</f>
        <v/>
      </c>
      <c r="S4150" s="53">
        <f>IF(P4150="","",IF(H4150="USD",G4150*R4150,G4150))</f>
        <v/>
      </c>
      <c r="T4150" s="53">
        <f>IF(P4150="","",IF(H4150="USD",G4150,IF(R4150&gt;0,G4150/R4150,0)))</f>
        <v/>
      </c>
      <c r="U4150" s="53">
        <f>IF(P4150="","",IF(P4150="Gasto",S4150,IF(P4150="Reembolso",-S4150,0)))</f>
        <v/>
      </c>
      <c r="V4150" s="53">
        <f>IF(P4150="","",IF(P4150="Ingreso",S4150,0))</f>
        <v/>
      </c>
      <c r="W4150" s="53">
        <f>IF(P4150="","",IF(P4150="Resultado trading",S4150,0))</f>
        <v/>
      </c>
      <c r="X4150" s="52">
        <f>IF(OR(P4150="Gasto",P4150="Reembolso"),IF(M4150&lt;&gt;"",M4150,IFERROR(INDEX(catClasif,MATCH(D4150&amp;"|"&amp;E4150,catClave,0))&amp;"","Variable")),"")</f>
        <v/>
      </c>
      <c r="Y4150" s="52">
        <f>IF(P4150="","",IFERROR(INDEX(catGrupo,MATCH(D4150&amp;"|"&amp;E4150,catClave,0))&amp;"",""))</f>
        <v/>
      </c>
      <c r="Z4150" s="52">
        <f>IF(P4150="","",WEEKDAY(B4150,2))</f>
        <v/>
      </c>
      <c r="AA4150" s="52">
        <f>IF(P4150="","",IF(AND(P4150="Gasto",X4150="Variable",D4150&lt;&gt;catTrading,S4150&gt;0,S4150&lt;=Umbral),1,0))</f>
        <v/>
      </c>
      <c r="AB4150" s="52">
        <f>IF(OR(P4150="",Q4150=""),"",IFERROR(IF(INDEX(ctaVinc,MATCH(Q4150,ctaNombre,0))&amp;""&lt;&gt;"",INDEX(ctaVinc,MATCH(Q4150,ctaNombre,0))&amp;"",Q4150),Q4150))</f>
        <v/>
      </c>
      <c r="AC4150" s="52">
        <f>IF(OR(K4150="",AND(P4150&lt;&gt;"Transferencia",P4150&lt;&gt;"Pago tarjeta")),"",IFERROR(IF(INDEX(ctaVinc,MATCH(K4150,ctaNombre,0))&amp;""&lt;&gt;"",INDEX(ctaVinc,MATCH(K4150,ctaNombre,0))&amp;"",K4150),K4150))</f>
        <v/>
      </c>
      <c r="AD4150" s="52">
        <f>IF(AB4150="","",IFERROR(INDEX(ctaTipo,MATCH(AB4150,ctaNombre,0))&amp;"",""))</f>
        <v/>
      </c>
      <c r="AE4150" s="52">
        <f>IF(AC4150="","",IFERROR(INDEX(ctaTipo,MATCH(AC4150,ctaNombre,0))&amp;"",""))</f>
        <v/>
      </c>
      <c r="AF4150" s="53">
        <f>IF(OR(P4150="",AB4150=""),"",IF(OR(P4150="Gasto",P4150="Transferencia",P4150="Pago tarjeta"),-1,1)*IF(IFERROR(INDEX(ctaMoneda,MATCH(AB4150,ctaNombre,0))&amp;"","DOP")="USD",T4150,S4150))</f>
        <v/>
      </c>
      <c r="AG4150" s="53">
        <f>IF(AC4150="","",IF(IFERROR(INDEX(ctaMoneda,MATCH(AC4150,ctaNombre,0))&amp;"","DOP")="USD",T4150,S4150))</f>
        <v/>
      </c>
      <c r="AH4150" s="53">
        <f>IF(P4150="","",IF(AND(AD4150&lt;&gt;"",COUNTIFS(tcTipo,AD4150,tcLiq,"Sí")&gt;0),IF(OR(P4150="Gasto",P4150="Transferencia",P4150="Pago tarjeta"),-1,1)*S4150,0)+IF(AND(AE4150&lt;&gt;"",COUNTIFS(tcTipo,AE4150,tcLiq,"Sí")&gt;0),S4150,0))</f>
        <v/>
      </c>
      <c r="AI4150" s="52">
        <f>IF(OR(L4150="",P4150=""),"",IF(COUNTIFS(L$6:L4150,L4150,P$6:P4150,"?*")=1,MAX(AI$5:AI4149)+1,""))</f>
        <v/>
      </c>
    </row>
    <row r="4151">
      <c r="B4151" s="47" t="n"/>
      <c r="C4151" s="48" t="n"/>
      <c r="D4151" s="48" t="n"/>
      <c r="E4151" s="48" t="n"/>
      <c r="F4151" s="48" t="n"/>
      <c r="G4151" s="49" t="n"/>
      <c r="H4151" s="48" t="n"/>
      <c r="I4151" s="50" t="n"/>
      <c r="J4151" s="48" t="n"/>
      <c r="K4151" s="48" t="n"/>
      <c r="L4151" s="48" t="n"/>
      <c r="M4151" s="48" t="n"/>
      <c r="N4151" s="48" t="n"/>
      <c r="O4151" s="51">
        <f>IF(AND(B4151="",G4151="",C4151="",D4151="",J4151=""),"",IF(B4151="","⚠ Falta fecha",IF(G4151="","⚠ Falta monto",IF(Q4151="","⚠ Falta cuenta",IF(ISNA(MATCH(Q4151,ctaNombre,0)),"⚠ Cuenta no registrada",IF(AND(OR(P4151="Gasto",P4151="Reembolso"),D4151=""),"⚠ Falta categoría",IF(AND(D4151&lt;&gt;"",E4151&lt;&gt;"",ISNA(MATCH(D4151&amp;"|"&amp;E4151,catClave,0))),"⚠ Subcategoría no corresponde",IF(AND(OR(P4151="Transferencia",P4151="Pago tarjeta"),K4151=""),"⚠ Falta cuenta destino",IF(AND(K4151&lt;&gt;"",P4151&lt;&gt;"Transferencia",P4151&lt;&gt;"Pago tarjeta"),"⚠ Destino solo aplica a transferencias",IF(AND(K4151&lt;&gt;"",K4151=Q4151),"⚠ Origen igual a destino",IF(AND(K4151&lt;&gt;"",ISNA(MATCH(K4151,ctaNombre,0))),"⚠ Destino no registrado",IF(AND(P4151="Pago tarjeta",AE4151&lt;&gt;"Tarjeta de crédito"),"⚠ El destino debe ser tarjeta de crédito",IF(AND(P4151="Gasto",E4151="Depósitos y retiros"),"⚠ Usa tipo Transferencia",IF(AND(P4151="Resultado trading",AD4151&lt;&gt;"Cuenta de trading"),"⚠ Usa una cuenta de trading",IF(AND(G4151&lt;=0,P4151&lt;&gt;"Ajuste",P4151&lt;&gt;"Resultado trading"),"⚠ El monto debe ser positivo","✓")))))))))))))))</f>
        <v/>
      </c>
      <c r="P4151" s="52">
        <f>IF(OR(B4151="",G4151=""),"",IF(C4151="","Gasto",C4151))</f>
        <v/>
      </c>
      <c r="Q4151" s="52">
        <f>IF(P4151="","",IF(J4151&lt;&gt;"",J4151,CuentaPred&amp;""))</f>
        <v/>
      </c>
      <c r="R4151" s="52">
        <f>IF(P4151="","",IF(ISNUMBER(I4151),I4151,TasaUSD))</f>
        <v/>
      </c>
      <c r="S4151" s="53">
        <f>IF(P4151="","",IF(H4151="USD",G4151*R4151,G4151))</f>
        <v/>
      </c>
      <c r="T4151" s="53">
        <f>IF(P4151="","",IF(H4151="USD",G4151,IF(R4151&gt;0,G4151/R4151,0)))</f>
        <v/>
      </c>
      <c r="U4151" s="53">
        <f>IF(P4151="","",IF(P4151="Gasto",S4151,IF(P4151="Reembolso",-S4151,0)))</f>
        <v/>
      </c>
      <c r="V4151" s="53">
        <f>IF(P4151="","",IF(P4151="Ingreso",S4151,0))</f>
        <v/>
      </c>
      <c r="W4151" s="53">
        <f>IF(P4151="","",IF(P4151="Resultado trading",S4151,0))</f>
        <v/>
      </c>
      <c r="X4151" s="52">
        <f>IF(OR(P4151="Gasto",P4151="Reembolso"),IF(M4151&lt;&gt;"",M4151,IFERROR(INDEX(catClasif,MATCH(D4151&amp;"|"&amp;E4151,catClave,0))&amp;"","Variable")),"")</f>
        <v/>
      </c>
      <c r="Y4151" s="52">
        <f>IF(P4151="","",IFERROR(INDEX(catGrupo,MATCH(D4151&amp;"|"&amp;E4151,catClave,0))&amp;"",""))</f>
        <v/>
      </c>
      <c r="Z4151" s="52">
        <f>IF(P4151="","",WEEKDAY(B4151,2))</f>
        <v/>
      </c>
      <c r="AA4151" s="52">
        <f>IF(P4151="","",IF(AND(P4151="Gasto",X4151="Variable",D4151&lt;&gt;catTrading,S4151&gt;0,S4151&lt;=Umbral),1,0))</f>
        <v/>
      </c>
      <c r="AB4151" s="52">
        <f>IF(OR(P4151="",Q4151=""),"",IFERROR(IF(INDEX(ctaVinc,MATCH(Q4151,ctaNombre,0))&amp;""&lt;&gt;"",INDEX(ctaVinc,MATCH(Q4151,ctaNombre,0))&amp;"",Q4151),Q4151))</f>
        <v/>
      </c>
      <c r="AC4151" s="52">
        <f>IF(OR(K4151="",AND(P4151&lt;&gt;"Transferencia",P4151&lt;&gt;"Pago tarjeta")),"",IFERROR(IF(INDEX(ctaVinc,MATCH(K4151,ctaNombre,0))&amp;""&lt;&gt;"",INDEX(ctaVinc,MATCH(K4151,ctaNombre,0))&amp;"",K4151),K4151))</f>
        <v/>
      </c>
      <c r="AD4151" s="52">
        <f>IF(AB4151="","",IFERROR(INDEX(ctaTipo,MATCH(AB4151,ctaNombre,0))&amp;"",""))</f>
        <v/>
      </c>
      <c r="AE4151" s="52">
        <f>IF(AC4151="","",IFERROR(INDEX(ctaTipo,MATCH(AC4151,ctaNombre,0))&amp;"",""))</f>
        <v/>
      </c>
      <c r="AF4151" s="53">
        <f>IF(OR(P4151="",AB4151=""),"",IF(OR(P4151="Gasto",P4151="Transferencia",P4151="Pago tarjeta"),-1,1)*IF(IFERROR(INDEX(ctaMoneda,MATCH(AB4151,ctaNombre,0))&amp;"","DOP")="USD",T4151,S4151))</f>
        <v/>
      </c>
      <c r="AG4151" s="53">
        <f>IF(AC4151="","",IF(IFERROR(INDEX(ctaMoneda,MATCH(AC4151,ctaNombre,0))&amp;"","DOP")="USD",T4151,S4151))</f>
        <v/>
      </c>
      <c r="AH4151" s="53">
        <f>IF(P4151="","",IF(AND(AD4151&lt;&gt;"",COUNTIFS(tcTipo,AD4151,tcLiq,"Sí")&gt;0),IF(OR(P4151="Gasto",P4151="Transferencia",P4151="Pago tarjeta"),-1,1)*S4151,0)+IF(AND(AE4151&lt;&gt;"",COUNTIFS(tcTipo,AE4151,tcLiq,"Sí")&gt;0),S4151,0))</f>
        <v/>
      </c>
      <c r="AI4151" s="52">
        <f>IF(OR(L4151="",P4151=""),"",IF(COUNTIFS(L$6:L4151,L4151,P$6:P4151,"?*")=1,MAX(AI$5:AI4150)+1,""))</f>
        <v/>
      </c>
    </row>
    <row r="4152">
      <c r="B4152" s="47" t="n"/>
      <c r="C4152" s="48" t="n"/>
      <c r="D4152" s="48" t="n"/>
      <c r="E4152" s="48" t="n"/>
      <c r="F4152" s="48" t="n"/>
      <c r="G4152" s="49" t="n"/>
      <c r="H4152" s="48" t="n"/>
      <c r="I4152" s="50" t="n"/>
      <c r="J4152" s="48" t="n"/>
      <c r="K4152" s="48" t="n"/>
      <c r="L4152" s="48" t="n"/>
      <c r="M4152" s="48" t="n"/>
      <c r="N4152" s="48" t="n"/>
      <c r="O4152" s="51">
        <f>IF(AND(B4152="",G4152="",C4152="",D4152="",J4152=""),"",IF(B4152="","⚠ Falta fecha",IF(G4152="","⚠ Falta monto",IF(Q4152="","⚠ Falta cuenta",IF(ISNA(MATCH(Q4152,ctaNombre,0)),"⚠ Cuenta no registrada",IF(AND(OR(P4152="Gasto",P4152="Reembolso"),D4152=""),"⚠ Falta categoría",IF(AND(D4152&lt;&gt;"",E4152&lt;&gt;"",ISNA(MATCH(D4152&amp;"|"&amp;E4152,catClave,0))),"⚠ Subcategoría no corresponde",IF(AND(OR(P4152="Transferencia",P4152="Pago tarjeta"),K4152=""),"⚠ Falta cuenta destino",IF(AND(K4152&lt;&gt;"",P4152&lt;&gt;"Transferencia",P4152&lt;&gt;"Pago tarjeta"),"⚠ Destino solo aplica a transferencias",IF(AND(K4152&lt;&gt;"",K4152=Q4152),"⚠ Origen igual a destino",IF(AND(K4152&lt;&gt;"",ISNA(MATCH(K4152,ctaNombre,0))),"⚠ Destino no registrado",IF(AND(P4152="Pago tarjeta",AE4152&lt;&gt;"Tarjeta de crédito"),"⚠ El destino debe ser tarjeta de crédito",IF(AND(P4152="Gasto",E4152="Depósitos y retiros"),"⚠ Usa tipo Transferencia",IF(AND(P4152="Resultado trading",AD4152&lt;&gt;"Cuenta de trading"),"⚠ Usa una cuenta de trading",IF(AND(G4152&lt;=0,P4152&lt;&gt;"Ajuste",P4152&lt;&gt;"Resultado trading"),"⚠ El monto debe ser positivo","✓")))))))))))))))</f>
        <v/>
      </c>
      <c r="P4152" s="52">
        <f>IF(OR(B4152="",G4152=""),"",IF(C4152="","Gasto",C4152))</f>
        <v/>
      </c>
      <c r="Q4152" s="52">
        <f>IF(P4152="","",IF(J4152&lt;&gt;"",J4152,CuentaPred&amp;""))</f>
        <v/>
      </c>
      <c r="R4152" s="52">
        <f>IF(P4152="","",IF(ISNUMBER(I4152),I4152,TasaUSD))</f>
        <v/>
      </c>
      <c r="S4152" s="53">
        <f>IF(P4152="","",IF(H4152="USD",G4152*R4152,G4152))</f>
        <v/>
      </c>
      <c r="T4152" s="53">
        <f>IF(P4152="","",IF(H4152="USD",G4152,IF(R4152&gt;0,G4152/R4152,0)))</f>
        <v/>
      </c>
      <c r="U4152" s="53">
        <f>IF(P4152="","",IF(P4152="Gasto",S4152,IF(P4152="Reembolso",-S4152,0)))</f>
        <v/>
      </c>
      <c r="V4152" s="53">
        <f>IF(P4152="","",IF(P4152="Ingreso",S4152,0))</f>
        <v/>
      </c>
      <c r="W4152" s="53">
        <f>IF(P4152="","",IF(P4152="Resultado trading",S4152,0))</f>
        <v/>
      </c>
      <c r="X4152" s="52">
        <f>IF(OR(P4152="Gasto",P4152="Reembolso"),IF(M4152&lt;&gt;"",M4152,IFERROR(INDEX(catClasif,MATCH(D4152&amp;"|"&amp;E4152,catClave,0))&amp;"","Variable")),"")</f>
        <v/>
      </c>
      <c r="Y4152" s="52">
        <f>IF(P4152="","",IFERROR(INDEX(catGrupo,MATCH(D4152&amp;"|"&amp;E4152,catClave,0))&amp;"",""))</f>
        <v/>
      </c>
      <c r="Z4152" s="52">
        <f>IF(P4152="","",WEEKDAY(B4152,2))</f>
        <v/>
      </c>
      <c r="AA4152" s="52">
        <f>IF(P4152="","",IF(AND(P4152="Gasto",X4152="Variable",D4152&lt;&gt;catTrading,S4152&gt;0,S4152&lt;=Umbral),1,0))</f>
        <v/>
      </c>
      <c r="AB4152" s="52">
        <f>IF(OR(P4152="",Q4152=""),"",IFERROR(IF(INDEX(ctaVinc,MATCH(Q4152,ctaNombre,0))&amp;""&lt;&gt;"",INDEX(ctaVinc,MATCH(Q4152,ctaNombre,0))&amp;"",Q4152),Q4152))</f>
        <v/>
      </c>
      <c r="AC4152" s="52">
        <f>IF(OR(K4152="",AND(P4152&lt;&gt;"Transferencia",P4152&lt;&gt;"Pago tarjeta")),"",IFERROR(IF(INDEX(ctaVinc,MATCH(K4152,ctaNombre,0))&amp;""&lt;&gt;"",INDEX(ctaVinc,MATCH(K4152,ctaNombre,0))&amp;"",K4152),K4152))</f>
        <v/>
      </c>
      <c r="AD4152" s="52">
        <f>IF(AB4152="","",IFERROR(INDEX(ctaTipo,MATCH(AB4152,ctaNombre,0))&amp;"",""))</f>
        <v/>
      </c>
      <c r="AE4152" s="52">
        <f>IF(AC4152="","",IFERROR(INDEX(ctaTipo,MATCH(AC4152,ctaNombre,0))&amp;"",""))</f>
        <v/>
      </c>
      <c r="AF4152" s="53">
        <f>IF(OR(P4152="",AB4152=""),"",IF(OR(P4152="Gasto",P4152="Transferencia",P4152="Pago tarjeta"),-1,1)*IF(IFERROR(INDEX(ctaMoneda,MATCH(AB4152,ctaNombre,0))&amp;"","DOP")="USD",T4152,S4152))</f>
        <v/>
      </c>
      <c r="AG4152" s="53">
        <f>IF(AC4152="","",IF(IFERROR(INDEX(ctaMoneda,MATCH(AC4152,ctaNombre,0))&amp;"","DOP")="USD",T4152,S4152))</f>
        <v/>
      </c>
      <c r="AH4152" s="53">
        <f>IF(P4152="","",IF(AND(AD4152&lt;&gt;"",COUNTIFS(tcTipo,AD4152,tcLiq,"Sí")&gt;0),IF(OR(P4152="Gasto",P4152="Transferencia",P4152="Pago tarjeta"),-1,1)*S4152,0)+IF(AND(AE4152&lt;&gt;"",COUNTIFS(tcTipo,AE4152,tcLiq,"Sí")&gt;0),S4152,0))</f>
        <v/>
      </c>
      <c r="AI4152" s="52">
        <f>IF(OR(L4152="",P4152=""),"",IF(COUNTIFS(L$6:L4152,L4152,P$6:P4152,"?*")=1,MAX(AI$5:AI4151)+1,""))</f>
        <v/>
      </c>
    </row>
    <row r="4153">
      <c r="B4153" s="47" t="n"/>
      <c r="C4153" s="48" t="n"/>
      <c r="D4153" s="48" t="n"/>
      <c r="E4153" s="48" t="n"/>
      <c r="F4153" s="48" t="n"/>
      <c r="G4153" s="49" t="n"/>
      <c r="H4153" s="48" t="n"/>
      <c r="I4153" s="50" t="n"/>
      <c r="J4153" s="48" t="n"/>
      <c r="K4153" s="48" t="n"/>
      <c r="L4153" s="48" t="n"/>
      <c r="M4153" s="48" t="n"/>
      <c r="N4153" s="48" t="n"/>
      <c r="O4153" s="51">
        <f>IF(AND(B4153="",G4153="",C4153="",D4153="",J4153=""),"",IF(B4153="","⚠ Falta fecha",IF(G4153="","⚠ Falta monto",IF(Q4153="","⚠ Falta cuenta",IF(ISNA(MATCH(Q4153,ctaNombre,0)),"⚠ Cuenta no registrada",IF(AND(OR(P4153="Gasto",P4153="Reembolso"),D4153=""),"⚠ Falta categoría",IF(AND(D4153&lt;&gt;"",E4153&lt;&gt;"",ISNA(MATCH(D4153&amp;"|"&amp;E4153,catClave,0))),"⚠ Subcategoría no corresponde",IF(AND(OR(P4153="Transferencia",P4153="Pago tarjeta"),K4153=""),"⚠ Falta cuenta destino",IF(AND(K4153&lt;&gt;"",P4153&lt;&gt;"Transferencia",P4153&lt;&gt;"Pago tarjeta"),"⚠ Destino solo aplica a transferencias",IF(AND(K4153&lt;&gt;"",K4153=Q4153),"⚠ Origen igual a destino",IF(AND(K4153&lt;&gt;"",ISNA(MATCH(K4153,ctaNombre,0))),"⚠ Destino no registrado",IF(AND(P4153="Pago tarjeta",AE4153&lt;&gt;"Tarjeta de crédito"),"⚠ El destino debe ser tarjeta de crédito",IF(AND(P4153="Gasto",E4153="Depósitos y retiros"),"⚠ Usa tipo Transferencia",IF(AND(P4153="Resultado trading",AD4153&lt;&gt;"Cuenta de trading"),"⚠ Usa una cuenta de trading",IF(AND(G4153&lt;=0,P4153&lt;&gt;"Ajuste",P4153&lt;&gt;"Resultado trading"),"⚠ El monto debe ser positivo","✓")))))))))))))))</f>
        <v/>
      </c>
      <c r="P4153" s="52">
        <f>IF(OR(B4153="",G4153=""),"",IF(C4153="","Gasto",C4153))</f>
        <v/>
      </c>
      <c r="Q4153" s="52">
        <f>IF(P4153="","",IF(J4153&lt;&gt;"",J4153,CuentaPred&amp;""))</f>
        <v/>
      </c>
      <c r="R4153" s="52">
        <f>IF(P4153="","",IF(ISNUMBER(I4153),I4153,TasaUSD))</f>
        <v/>
      </c>
      <c r="S4153" s="53">
        <f>IF(P4153="","",IF(H4153="USD",G4153*R4153,G4153))</f>
        <v/>
      </c>
      <c r="T4153" s="53">
        <f>IF(P4153="","",IF(H4153="USD",G4153,IF(R4153&gt;0,G4153/R4153,0)))</f>
        <v/>
      </c>
      <c r="U4153" s="53">
        <f>IF(P4153="","",IF(P4153="Gasto",S4153,IF(P4153="Reembolso",-S4153,0)))</f>
        <v/>
      </c>
      <c r="V4153" s="53">
        <f>IF(P4153="","",IF(P4153="Ingreso",S4153,0))</f>
        <v/>
      </c>
      <c r="W4153" s="53">
        <f>IF(P4153="","",IF(P4153="Resultado trading",S4153,0))</f>
        <v/>
      </c>
      <c r="X4153" s="52">
        <f>IF(OR(P4153="Gasto",P4153="Reembolso"),IF(M4153&lt;&gt;"",M4153,IFERROR(INDEX(catClasif,MATCH(D4153&amp;"|"&amp;E4153,catClave,0))&amp;"","Variable")),"")</f>
        <v/>
      </c>
      <c r="Y4153" s="52">
        <f>IF(P4153="","",IFERROR(INDEX(catGrupo,MATCH(D4153&amp;"|"&amp;E4153,catClave,0))&amp;"",""))</f>
        <v/>
      </c>
      <c r="Z4153" s="52">
        <f>IF(P4153="","",WEEKDAY(B4153,2))</f>
        <v/>
      </c>
      <c r="AA4153" s="52">
        <f>IF(P4153="","",IF(AND(P4153="Gasto",X4153="Variable",D4153&lt;&gt;catTrading,S4153&gt;0,S4153&lt;=Umbral),1,0))</f>
        <v/>
      </c>
      <c r="AB4153" s="52">
        <f>IF(OR(P4153="",Q4153=""),"",IFERROR(IF(INDEX(ctaVinc,MATCH(Q4153,ctaNombre,0))&amp;""&lt;&gt;"",INDEX(ctaVinc,MATCH(Q4153,ctaNombre,0))&amp;"",Q4153),Q4153))</f>
        <v/>
      </c>
      <c r="AC4153" s="52">
        <f>IF(OR(K4153="",AND(P4153&lt;&gt;"Transferencia",P4153&lt;&gt;"Pago tarjeta")),"",IFERROR(IF(INDEX(ctaVinc,MATCH(K4153,ctaNombre,0))&amp;""&lt;&gt;"",INDEX(ctaVinc,MATCH(K4153,ctaNombre,0))&amp;"",K4153),K4153))</f>
        <v/>
      </c>
      <c r="AD4153" s="52">
        <f>IF(AB4153="","",IFERROR(INDEX(ctaTipo,MATCH(AB4153,ctaNombre,0))&amp;"",""))</f>
        <v/>
      </c>
      <c r="AE4153" s="52">
        <f>IF(AC4153="","",IFERROR(INDEX(ctaTipo,MATCH(AC4153,ctaNombre,0))&amp;"",""))</f>
        <v/>
      </c>
      <c r="AF4153" s="53">
        <f>IF(OR(P4153="",AB4153=""),"",IF(OR(P4153="Gasto",P4153="Transferencia",P4153="Pago tarjeta"),-1,1)*IF(IFERROR(INDEX(ctaMoneda,MATCH(AB4153,ctaNombre,0))&amp;"","DOP")="USD",T4153,S4153))</f>
        <v/>
      </c>
      <c r="AG4153" s="53">
        <f>IF(AC4153="","",IF(IFERROR(INDEX(ctaMoneda,MATCH(AC4153,ctaNombre,0))&amp;"","DOP")="USD",T4153,S4153))</f>
        <v/>
      </c>
      <c r="AH4153" s="53">
        <f>IF(P4153="","",IF(AND(AD4153&lt;&gt;"",COUNTIFS(tcTipo,AD4153,tcLiq,"Sí")&gt;0),IF(OR(P4153="Gasto",P4153="Transferencia",P4153="Pago tarjeta"),-1,1)*S4153,0)+IF(AND(AE4153&lt;&gt;"",COUNTIFS(tcTipo,AE4153,tcLiq,"Sí")&gt;0),S4153,0))</f>
        <v/>
      </c>
      <c r="AI4153" s="52">
        <f>IF(OR(L4153="",P4153=""),"",IF(COUNTIFS(L$6:L4153,L4153,P$6:P4153,"?*")=1,MAX(AI$5:AI4152)+1,""))</f>
        <v/>
      </c>
    </row>
    <row r="4154">
      <c r="B4154" s="47" t="n"/>
      <c r="C4154" s="48" t="n"/>
      <c r="D4154" s="48" t="n"/>
      <c r="E4154" s="48" t="n"/>
      <c r="F4154" s="48" t="n"/>
      <c r="G4154" s="49" t="n"/>
      <c r="H4154" s="48" t="n"/>
      <c r="I4154" s="50" t="n"/>
      <c r="J4154" s="48" t="n"/>
      <c r="K4154" s="48" t="n"/>
      <c r="L4154" s="48" t="n"/>
      <c r="M4154" s="48" t="n"/>
      <c r="N4154" s="48" t="n"/>
      <c r="O4154" s="51">
        <f>IF(AND(B4154="",G4154="",C4154="",D4154="",J4154=""),"",IF(B4154="","⚠ Falta fecha",IF(G4154="","⚠ Falta monto",IF(Q4154="","⚠ Falta cuenta",IF(ISNA(MATCH(Q4154,ctaNombre,0)),"⚠ Cuenta no registrada",IF(AND(OR(P4154="Gasto",P4154="Reembolso"),D4154=""),"⚠ Falta categoría",IF(AND(D4154&lt;&gt;"",E4154&lt;&gt;"",ISNA(MATCH(D4154&amp;"|"&amp;E4154,catClave,0))),"⚠ Subcategoría no corresponde",IF(AND(OR(P4154="Transferencia",P4154="Pago tarjeta"),K4154=""),"⚠ Falta cuenta destino",IF(AND(K4154&lt;&gt;"",P4154&lt;&gt;"Transferencia",P4154&lt;&gt;"Pago tarjeta"),"⚠ Destino solo aplica a transferencias",IF(AND(K4154&lt;&gt;"",K4154=Q4154),"⚠ Origen igual a destino",IF(AND(K4154&lt;&gt;"",ISNA(MATCH(K4154,ctaNombre,0))),"⚠ Destino no registrado",IF(AND(P4154="Pago tarjeta",AE4154&lt;&gt;"Tarjeta de crédito"),"⚠ El destino debe ser tarjeta de crédito",IF(AND(P4154="Gasto",E4154="Depósitos y retiros"),"⚠ Usa tipo Transferencia",IF(AND(P4154="Resultado trading",AD4154&lt;&gt;"Cuenta de trading"),"⚠ Usa una cuenta de trading",IF(AND(G4154&lt;=0,P4154&lt;&gt;"Ajuste",P4154&lt;&gt;"Resultado trading"),"⚠ El monto debe ser positivo","✓")))))))))))))))</f>
        <v/>
      </c>
      <c r="P4154" s="52">
        <f>IF(OR(B4154="",G4154=""),"",IF(C4154="","Gasto",C4154))</f>
        <v/>
      </c>
      <c r="Q4154" s="52">
        <f>IF(P4154="","",IF(J4154&lt;&gt;"",J4154,CuentaPred&amp;""))</f>
        <v/>
      </c>
      <c r="R4154" s="52">
        <f>IF(P4154="","",IF(ISNUMBER(I4154),I4154,TasaUSD))</f>
        <v/>
      </c>
      <c r="S4154" s="53">
        <f>IF(P4154="","",IF(H4154="USD",G4154*R4154,G4154))</f>
        <v/>
      </c>
      <c r="T4154" s="53">
        <f>IF(P4154="","",IF(H4154="USD",G4154,IF(R4154&gt;0,G4154/R4154,0)))</f>
        <v/>
      </c>
      <c r="U4154" s="53">
        <f>IF(P4154="","",IF(P4154="Gasto",S4154,IF(P4154="Reembolso",-S4154,0)))</f>
        <v/>
      </c>
      <c r="V4154" s="53">
        <f>IF(P4154="","",IF(P4154="Ingreso",S4154,0))</f>
        <v/>
      </c>
      <c r="W4154" s="53">
        <f>IF(P4154="","",IF(P4154="Resultado trading",S4154,0))</f>
        <v/>
      </c>
      <c r="X4154" s="52">
        <f>IF(OR(P4154="Gasto",P4154="Reembolso"),IF(M4154&lt;&gt;"",M4154,IFERROR(INDEX(catClasif,MATCH(D4154&amp;"|"&amp;E4154,catClave,0))&amp;"","Variable")),"")</f>
        <v/>
      </c>
      <c r="Y4154" s="52">
        <f>IF(P4154="","",IFERROR(INDEX(catGrupo,MATCH(D4154&amp;"|"&amp;E4154,catClave,0))&amp;"",""))</f>
        <v/>
      </c>
      <c r="Z4154" s="52">
        <f>IF(P4154="","",WEEKDAY(B4154,2))</f>
        <v/>
      </c>
      <c r="AA4154" s="52">
        <f>IF(P4154="","",IF(AND(P4154="Gasto",X4154="Variable",D4154&lt;&gt;catTrading,S4154&gt;0,S4154&lt;=Umbral),1,0))</f>
        <v/>
      </c>
      <c r="AB4154" s="52">
        <f>IF(OR(P4154="",Q4154=""),"",IFERROR(IF(INDEX(ctaVinc,MATCH(Q4154,ctaNombre,0))&amp;""&lt;&gt;"",INDEX(ctaVinc,MATCH(Q4154,ctaNombre,0))&amp;"",Q4154),Q4154))</f>
        <v/>
      </c>
      <c r="AC4154" s="52">
        <f>IF(OR(K4154="",AND(P4154&lt;&gt;"Transferencia",P4154&lt;&gt;"Pago tarjeta")),"",IFERROR(IF(INDEX(ctaVinc,MATCH(K4154,ctaNombre,0))&amp;""&lt;&gt;"",INDEX(ctaVinc,MATCH(K4154,ctaNombre,0))&amp;"",K4154),K4154))</f>
        <v/>
      </c>
      <c r="AD4154" s="52">
        <f>IF(AB4154="","",IFERROR(INDEX(ctaTipo,MATCH(AB4154,ctaNombre,0))&amp;"",""))</f>
        <v/>
      </c>
      <c r="AE4154" s="52">
        <f>IF(AC4154="","",IFERROR(INDEX(ctaTipo,MATCH(AC4154,ctaNombre,0))&amp;"",""))</f>
        <v/>
      </c>
      <c r="AF4154" s="53">
        <f>IF(OR(P4154="",AB4154=""),"",IF(OR(P4154="Gasto",P4154="Transferencia",P4154="Pago tarjeta"),-1,1)*IF(IFERROR(INDEX(ctaMoneda,MATCH(AB4154,ctaNombre,0))&amp;"","DOP")="USD",T4154,S4154))</f>
        <v/>
      </c>
      <c r="AG4154" s="53">
        <f>IF(AC4154="","",IF(IFERROR(INDEX(ctaMoneda,MATCH(AC4154,ctaNombre,0))&amp;"","DOP")="USD",T4154,S4154))</f>
        <v/>
      </c>
      <c r="AH4154" s="53">
        <f>IF(P4154="","",IF(AND(AD4154&lt;&gt;"",COUNTIFS(tcTipo,AD4154,tcLiq,"Sí")&gt;0),IF(OR(P4154="Gasto",P4154="Transferencia",P4154="Pago tarjeta"),-1,1)*S4154,0)+IF(AND(AE4154&lt;&gt;"",COUNTIFS(tcTipo,AE4154,tcLiq,"Sí")&gt;0),S4154,0))</f>
        <v/>
      </c>
      <c r="AI4154" s="52">
        <f>IF(OR(L4154="",P4154=""),"",IF(COUNTIFS(L$6:L4154,L4154,P$6:P4154,"?*")=1,MAX(AI$5:AI4153)+1,""))</f>
        <v/>
      </c>
    </row>
    <row r="4155">
      <c r="B4155" s="47" t="n"/>
      <c r="C4155" s="48" t="n"/>
      <c r="D4155" s="48" t="n"/>
      <c r="E4155" s="48" t="n"/>
      <c r="F4155" s="48" t="n"/>
      <c r="G4155" s="49" t="n"/>
      <c r="H4155" s="48" t="n"/>
      <c r="I4155" s="50" t="n"/>
      <c r="J4155" s="48" t="n"/>
      <c r="K4155" s="48" t="n"/>
      <c r="L4155" s="48" t="n"/>
      <c r="M4155" s="48" t="n"/>
      <c r="N4155" s="48" t="n"/>
      <c r="O4155" s="51">
        <f>IF(AND(B4155="",G4155="",C4155="",D4155="",J4155=""),"",IF(B4155="","⚠ Falta fecha",IF(G4155="","⚠ Falta monto",IF(Q4155="","⚠ Falta cuenta",IF(ISNA(MATCH(Q4155,ctaNombre,0)),"⚠ Cuenta no registrada",IF(AND(OR(P4155="Gasto",P4155="Reembolso"),D4155=""),"⚠ Falta categoría",IF(AND(D4155&lt;&gt;"",E4155&lt;&gt;"",ISNA(MATCH(D4155&amp;"|"&amp;E4155,catClave,0))),"⚠ Subcategoría no corresponde",IF(AND(OR(P4155="Transferencia",P4155="Pago tarjeta"),K4155=""),"⚠ Falta cuenta destino",IF(AND(K4155&lt;&gt;"",P4155&lt;&gt;"Transferencia",P4155&lt;&gt;"Pago tarjeta"),"⚠ Destino solo aplica a transferencias",IF(AND(K4155&lt;&gt;"",K4155=Q4155),"⚠ Origen igual a destino",IF(AND(K4155&lt;&gt;"",ISNA(MATCH(K4155,ctaNombre,0))),"⚠ Destino no registrado",IF(AND(P4155="Pago tarjeta",AE4155&lt;&gt;"Tarjeta de crédito"),"⚠ El destino debe ser tarjeta de crédito",IF(AND(P4155="Gasto",E4155="Depósitos y retiros"),"⚠ Usa tipo Transferencia",IF(AND(P4155="Resultado trading",AD4155&lt;&gt;"Cuenta de trading"),"⚠ Usa una cuenta de trading",IF(AND(G4155&lt;=0,P4155&lt;&gt;"Ajuste",P4155&lt;&gt;"Resultado trading"),"⚠ El monto debe ser positivo","✓")))))))))))))))</f>
        <v/>
      </c>
      <c r="P4155" s="52">
        <f>IF(OR(B4155="",G4155=""),"",IF(C4155="","Gasto",C4155))</f>
        <v/>
      </c>
      <c r="Q4155" s="52">
        <f>IF(P4155="","",IF(J4155&lt;&gt;"",J4155,CuentaPred&amp;""))</f>
        <v/>
      </c>
      <c r="R4155" s="52">
        <f>IF(P4155="","",IF(ISNUMBER(I4155),I4155,TasaUSD))</f>
        <v/>
      </c>
      <c r="S4155" s="53">
        <f>IF(P4155="","",IF(H4155="USD",G4155*R4155,G4155))</f>
        <v/>
      </c>
      <c r="T4155" s="53">
        <f>IF(P4155="","",IF(H4155="USD",G4155,IF(R4155&gt;0,G4155/R4155,0)))</f>
        <v/>
      </c>
      <c r="U4155" s="53">
        <f>IF(P4155="","",IF(P4155="Gasto",S4155,IF(P4155="Reembolso",-S4155,0)))</f>
        <v/>
      </c>
      <c r="V4155" s="53">
        <f>IF(P4155="","",IF(P4155="Ingreso",S4155,0))</f>
        <v/>
      </c>
      <c r="W4155" s="53">
        <f>IF(P4155="","",IF(P4155="Resultado trading",S4155,0))</f>
        <v/>
      </c>
      <c r="X4155" s="52">
        <f>IF(OR(P4155="Gasto",P4155="Reembolso"),IF(M4155&lt;&gt;"",M4155,IFERROR(INDEX(catClasif,MATCH(D4155&amp;"|"&amp;E4155,catClave,0))&amp;"","Variable")),"")</f>
        <v/>
      </c>
      <c r="Y4155" s="52">
        <f>IF(P4155="","",IFERROR(INDEX(catGrupo,MATCH(D4155&amp;"|"&amp;E4155,catClave,0))&amp;"",""))</f>
        <v/>
      </c>
      <c r="Z4155" s="52">
        <f>IF(P4155="","",WEEKDAY(B4155,2))</f>
        <v/>
      </c>
      <c r="AA4155" s="52">
        <f>IF(P4155="","",IF(AND(P4155="Gasto",X4155="Variable",D4155&lt;&gt;catTrading,S4155&gt;0,S4155&lt;=Umbral),1,0))</f>
        <v/>
      </c>
      <c r="AB4155" s="52">
        <f>IF(OR(P4155="",Q4155=""),"",IFERROR(IF(INDEX(ctaVinc,MATCH(Q4155,ctaNombre,0))&amp;""&lt;&gt;"",INDEX(ctaVinc,MATCH(Q4155,ctaNombre,0))&amp;"",Q4155),Q4155))</f>
        <v/>
      </c>
      <c r="AC4155" s="52">
        <f>IF(OR(K4155="",AND(P4155&lt;&gt;"Transferencia",P4155&lt;&gt;"Pago tarjeta")),"",IFERROR(IF(INDEX(ctaVinc,MATCH(K4155,ctaNombre,0))&amp;""&lt;&gt;"",INDEX(ctaVinc,MATCH(K4155,ctaNombre,0))&amp;"",K4155),K4155))</f>
        <v/>
      </c>
      <c r="AD4155" s="52">
        <f>IF(AB4155="","",IFERROR(INDEX(ctaTipo,MATCH(AB4155,ctaNombre,0))&amp;"",""))</f>
        <v/>
      </c>
      <c r="AE4155" s="52">
        <f>IF(AC4155="","",IFERROR(INDEX(ctaTipo,MATCH(AC4155,ctaNombre,0))&amp;"",""))</f>
        <v/>
      </c>
      <c r="AF4155" s="53">
        <f>IF(OR(P4155="",AB4155=""),"",IF(OR(P4155="Gasto",P4155="Transferencia",P4155="Pago tarjeta"),-1,1)*IF(IFERROR(INDEX(ctaMoneda,MATCH(AB4155,ctaNombre,0))&amp;"","DOP")="USD",T4155,S4155))</f>
        <v/>
      </c>
      <c r="AG4155" s="53">
        <f>IF(AC4155="","",IF(IFERROR(INDEX(ctaMoneda,MATCH(AC4155,ctaNombre,0))&amp;"","DOP")="USD",T4155,S4155))</f>
        <v/>
      </c>
      <c r="AH4155" s="53">
        <f>IF(P4155="","",IF(AND(AD4155&lt;&gt;"",COUNTIFS(tcTipo,AD4155,tcLiq,"Sí")&gt;0),IF(OR(P4155="Gasto",P4155="Transferencia",P4155="Pago tarjeta"),-1,1)*S4155,0)+IF(AND(AE4155&lt;&gt;"",COUNTIFS(tcTipo,AE4155,tcLiq,"Sí")&gt;0),S4155,0))</f>
        <v/>
      </c>
      <c r="AI4155" s="52">
        <f>IF(OR(L4155="",P4155=""),"",IF(COUNTIFS(L$6:L4155,L4155,P$6:P4155,"?*")=1,MAX(AI$5:AI4154)+1,""))</f>
        <v/>
      </c>
    </row>
    <row r="4156">
      <c r="B4156" s="47" t="n"/>
      <c r="C4156" s="48" t="n"/>
      <c r="D4156" s="48" t="n"/>
      <c r="E4156" s="48" t="n"/>
      <c r="F4156" s="48" t="n"/>
      <c r="G4156" s="49" t="n"/>
      <c r="H4156" s="48" t="n"/>
      <c r="I4156" s="50" t="n"/>
      <c r="J4156" s="48" t="n"/>
      <c r="K4156" s="48" t="n"/>
      <c r="L4156" s="48" t="n"/>
      <c r="M4156" s="48" t="n"/>
      <c r="N4156" s="48" t="n"/>
      <c r="O4156" s="51">
        <f>IF(AND(B4156="",G4156="",C4156="",D4156="",J4156=""),"",IF(B4156="","⚠ Falta fecha",IF(G4156="","⚠ Falta monto",IF(Q4156="","⚠ Falta cuenta",IF(ISNA(MATCH(Q4156,ctaNombre,0)),"⚠ Cuenta no registrada",IF(AND(OR(P4156="Gasto",P4156="Reembolso"),D4156=""),"⚠ Falta categoría",IF(AND(D4156&lt;&gt;"",E4156&lt;&gt;"",ISNA(MATCH(D4156&amp;"|"&amp;E4156,catClave,0))),"⚠ Subcategoría no corresponde",IF(AND(OR(P4156="Transferencia",P4156="Pago tarjeta"),K4156=""),"⚠ Falta cuenta destino",IF(AND(K4156&lt;&gt;"",P4156&lt;&gt;"Transferencia",P4156&lt;&gt;"Pago tarjeta"),"⚠ Destino solo aplica a transferencias",IF(AND(K4156&lt;&gt;"",K4156=Q4156),"⚠ Origen igual a destino",IF(AND(K4156&lt;&gt;"",ISNA(MATCH(K4156,ctaNombre,0))),"⚠ Destino no registrado",IF(AND(P4156="Pago tarjeta",AE4156&lt;&gt;"Tarjeta de crédito"),"⚠ El destino debe ser tarjeta de crédito",IF(AND(P4156="Gasto",E4156="Depósitos y retiros"),"⚠ Usa tipo Transferencia",IF(AND(P4156="Resultado trading",AD4156&lt;&gt;"Cuenta de trading"),"⚠ Usa una cuenta de trading",IF(AND(G4156&lt;=0,P4156&lt;&gt;"Ajuste",P4156&lt;&gt;"Resultado trading"),"⚠ El monto debe ser positivo","✓")))))))))))))))</f>
        <v/>
      </c>
      <c r="P4156" s="52">
        <f>IF(OR(B4156="",G4156=""),"",IF(C4156="","Gasto",C4156))</f>
        <v/>
      </c>
      <c r="Q4156" s="52">
        <f>IF(P4156="","",IF(J4156&lt;&gt;"",J4156,CuentaPred&amp;""))</f>
        <v/>
      </c>
      <c r="R4156" s="52">
        <f>IF(P4156="","",IF(ISNUMBER(I4156),I4156,TasaUSD))</f>
        <v/>
      </c>
      <c r="S4156" s="53">
        <f>IF(P4156="","",IF(H4156="USD",G4156*R4156,G4156))</f>
        <v/>
      </c>
      <c r="T4156" s="53">
        <f>IF(P4156="","",IF(H4156="USD",G4156,IF(R4156&gt;0,G4156/R4156,0)))</f>
        <v/>
      </c>
      <c r="U4156" s="53">
        <f>IF(P4156="","",IF(P4156="Gasto",S4156,IF(P4156="Reembolso",-S4156,0)))</f>
        <v/>
      </c>
      <c r="V4156" s="53">
        <f>IF(P4156="","",IF(P4156="Ingreso",S4156,0))</f>
        <v/>
      </c>
      <c r="W4156" s="53">
        <f>IF(P4156="","",IF(P4156="Resultado trading",S4156,0))</f>
        <v/>
      </c>
      <c r="X4156" s="52">
        <f>IF(OR(P4156="Gasto",P4156="Reembolso"),IF(M4156&lt;&gt;"",M4156,IFERROR(INDEX(catClasif,MATCH(D4156&amp;"|"&amp;E4156,catClave,0))&amp;"","Variable")),"")</f>
        <v/>
      </c>
      <c r="Y4156" s="52">
        <f>IF(P4156="","",IFERROR(INDEX(catGrupo,MATCH(D4156&amp;"|"&amp;E4156,catClave,0))&amp;"",""))</f>
        <v/>
      </c>
      <c r="Z4156" s="52">
        <f>IF(P4156="","",WEEKDAY(B4156,2))</f>
        <v/>
      </c>
      <c r="AA4156" s="52">
        <f>IF(P4156="","",IF(AND(P4156="Gasto",X4156="Variable",D4156&lt;&gt;catTrading,S4156&gt;0,S4156&lt;=Umbral),1,0))</f>
        <v/>
      </c>
      <c r="AB4156" s="52">
        <f>IF(OR(P4156="",Q4156=""),"",IFERROR(IF(INDEX(ctaVinc,MATCH(Q4156,ctaNombre,0))&amp;""&lt;&gt;"",INDEX(ctaVinc,MATCH(Q4156,ctaNombre,0))&amp;"",Q4156),Q4156))</f>
        <v/>
      </c>
      <c r="AC4156" s="52">
        <f>IF(OR(K4156="",AND(P4156&lt;&gt;"Transferencia",P4156&lt;&gt;"Pago tarjeta")),"",IFERROR(IF(INDEX(ctaVinc,MATCH(K4156,ctaNombre,0))&amp;""&lt;&gt;"",INDEX(ctaVinc,MATCH(K4156,ctaNombre,0))&amp;"",K4156),K4156))</f>
        <v/>
      </c>
      <c r="AD4156" s="52">
        <f>IF(AB4156="","",IFERROR(INDEX(ctaTipo,MATCH(AB4156,ctaNombre,0))&amp;"",""))</f>
        <v/>
      </c>
      <c r="AE4156" s="52">
        <f>IF(AC4156="","",IFERROR(INDEX(ctaTipo,MATCH(AC4156,ctaNombre,0))&amp;"",""))</f>
        <v/>
      </c>
      <c r="AF4156" s="53">
        <f>IF(OR(P4156="",AB4156=""),"",IF(OR(P4156="Gasto",P4156="Transferencia",P4156="Pago tarjeta"),-1,1)*IF(IFERROR(INDEX(ctaMoneda,MATCH(AB4156,ctaNombre,0))&amp;"","DOP")="USD",T4156,S4156))</f>
        <v/>
      </c>
      <c r="AG4156" s="53">
        <f>IF(AC4156="","",IF(IFERROR(INDEX(ctaMoneda,MATCH(AC4156,ctaNombre,0))&amp;"","DOP")="USD",T4156,S4156))</f>
        <v/>
      </c>
      <c r="AH4156" s="53">
        <f>IF(P4156="","",IF(AND(AD4156&lt;&gt;"",COUNTIFS(tcTipo,AD4156,tcLiq,"Sí")&gt;0),IF(OR(P4156="Gasto",P4156="Transferencia",P4156="Pago tarjeta"),-1,1)*S4156,0)+IF(AND(AE4156&lt;&gt;"",COUNTIFS(tcTipo,AE4156,tcLiq,"Sí")&gt;0),S4156,0))</f>
        <v/>
      </c>
      <c r="AI4156" s="52">
        <f>IF(OR(L4156="",P4156=""),"",IF(COUNTIFS(L$6:L4156,L4156,P$6:P4156,"?*")=1,MAX(AI$5:AI4155)+1,""))</f>
        <v/>
      </c>
    </row>
    <row r="4157">
      <c r="B4157" s="47" t="n"/>
      <c r="C4157" s="48" t="n"/>
      <c r="D4157" s="48" t="n"/>
      <c r="E4157" s="48" t="n"/>
      <c r="F4157" s="48" t="n"/>
      <c r="G4157" s="49" t="n"/>
      <c r="H4157" s="48" t="n"/>
      <c r="I4157" s="50" t="n"/>
      <c r="J4157" s="48" t="n"/>
      <c r="K4157" s="48" t="n"/>
      <c r="L4157" s="48" t="n"/>
      <c r="M4157" s="48" t="n"/>
      <c r="N4157" s="48" t="n"/>
      <c r="O4157" s="51">
        <f>IF(AND(B4157="",G4157="",C4157="",D4157="",J4157=""),"",IF(B4157="","⚠ Falta fecha",IF(G4157="","⚠ Falta monto",IF(Q4157="","⚠ Falta cuenta",IF(ISNA(MATCH(Q4157,ctaNombre,0)),"⚠ Cuenta no registrada",IF(AND(OR(P4157="Gasto",P4157="Reembolso"),D4157=""),"⚠ Falta categoría",IF(AND(D4157&lt;&gt;"",E4157&lt;&gt;"",ISNA(MATCH(D4157&amp;"|"&amp;E4157,catClave,0))),"⚠ Subcategoría no corresponde",IF(AND(OR(P4157="Transferencia",P4157="Pago tarjeta"),K4157=""),"⚠ Falta cuenta destino",IF(AND(K4157&lt;&gt;"",P4157&lt;&gt;"Transferencia",P4157&lt;&gt;"Pago tarjeta"),"⚠ Destino solo aplica a transferencias",IF(AND(K4157&lt;&gt;"",K4157=Q4157),"⚠ Origen igual a destino",IF(AND(K4157&lt;&gt;"",ISNA(MATCH(K4157,ctaNombre,0))),"⚠ Destino no registrado",IF(AND(P4157="Pago tarjeta",AE4157&lt;&gt;"Tarjeta de crédito"),"⚠ El destino debe ser tarjeta de crédito",IF(AND(P4157="Gasto",E4157="Depósitos y retiros"),"⚠ Usa tipo Transferencia",IF(AND(P4157="Resultado trading",AD4157&lt;&gt;"Cuenta de trading"),"⚠ Usa una cuenta de trading",IF(AND(G4157&lt;=0,P4157&lt;&gt;"Ajuste",P4157&lt;&gt;"Resultado trading"),"⚠ El monto debe ser positivo","✓")))))))))))))))</f>
        <v/>
      </c>
      <c r="P4157" s="52">
        <f>IF(OR(B4157="",G4157=""),"",IF(C4157="","Gasto",C4157))</f>
        <v/>
      </c>
      <c r="Q4157" s="52">
        <f>IF(P4157="","",IF(J4157&lt;&gt;"",J4157,CuentaPred&amp;""))</f>
        <v/>
      </c>
      <c r="R4157" s="52">
        <f>IF(P4157="","",IF(ISNUMBER(I4157),I4157,TasaUSD))</f>
        <v/>
      </c>
      <c r="S4157" s="53">
        <f>IF(P4157="","",IF(H4157="USD",G4157*R4157,G4157))</f>
        <v/>
      </c>
      <c r="T4157" s="53">
        <f>IF(P4157="","",IF(H4157="USD",G4157,IF(R4157&gt;0,G4157/R4157,0)))</f>
        <v/>
      </c>
      <c r="U4157" s="53">
        <f>IF(P4157="","",IF(P4157="Gasto",S4157,IF(P4157="Reembolso",-S4157,0)))</f>
        <v/>
      </c>
      <c r="V4157" s="53">
        <f>IF(P4157="","",IF(P4157="Ingreso",S4157,0))</f>
        <v/>
      </c>
      <c r="W4157" s="53">
        <f>IF(P4157="","",IF(P4157="Resultado trading",S4157,0))</f>
        <v/>
      </c>
      <c r="X4157" s="52">
        <f>IF(OR(P4157="Gasto",P4157="Reembolso"),IF(M4157&lt;&gt;"",M4157,IFERROR(INDEX(catClasif,MATCH(D4157&amp;"|"&amp;E4157,catClave,0))&amp;"","Variable")),"")</f>
        <v/>
      </c>
      <c r="Y4157" s="52">
        <f>IF(P4157="","",IFERROR(INDEX(catGrupo,MATCH(D4157&amp;"|"&amp;E4157,catClave,0))&amp;"",""))</f>
        <v/>
      </c>
      <c r="Z4157" s="52">
        <f>IF(P4157="","",WEEKDAY(B4157,2))</f>
        <v/>
      </c>
      <c r="AA4157" s="52">
        <f>IF(P4157="","",IF(AND(P4157="Gasto",X4157="Variable",D4157&lt;&gt;catTrading,S4157&gt;0,S4157&lt;=Umbral),1,0))</f>
        <v/>
      </c>
      <c r="AB4157" s="52">
        <f>IF(OR(P4157="",Q4157=""),"",IFERROR(IF(INDEX(ctaVinc,MATCH(Q4157,ctaNombre,0))&amp;""&lt;&gt;"",INDEX(ctaVinc,MATCH(Q4157,ctaNombre,0))&amp;"",Q4157),Q4157))</f>
        <v/>
      </c>
      <c r="AC4157" s="52">
        <f>IF(OR(K4157="",AND(P4157&lt;&gt;"Transferencia",P4157&lt;&gt;"Pago tarjeta")),"",IFERROR(IF(INDEX(ctaVinc,MATCH(K4157,ctaNombre,0))&amp;""&lt;&gt;"",INDEX(ctaVinc,MATCH(K4157,ctaNombre,0))&amp;"",K4157),K4157))</f>
        <v/>
      </c>
      <c r="AD4157" s="52">
        <f>IF(AB4157="","",IFERROR(INDEX(ctaTipo,MATCH(AB4157,ctaNombre,0))&amp;"",""))</f>
        <v/>
      </c>
      <c r="AE4157" s="52">
        <f>IF(AC4157="","",IFERROR(INDEX(ctaTipo,MATCH(AC4157,ctaNombre,0))&amp;"",""))</f>
        <v/>
      </c>
      <c r="AF4157" s="53">
        <f>IF(OR(P4157="",AB4157=""),"",IF(OR(P4157="Gasto",P4157="Transferencia",P4157="Pago tarjeta"),-1,1)*IF(IFERROR(INDEX(ctaMoneda,MATCH(AB4157,ctaNombre,0))&amp;"","DOP")="USD",T4157,S4157))</f>
        <v/>
      </c>
      <c r="AG4157" s="53">
        <f>IF(AC4157="","",IF(IFERROR(INDEX(ctaMoneda,MATCH(AC4157,ctaNombre,0))&amp;"","DOP")="USD",T4157,S4157))</f>
        <v/>
      </c>
      <c r="AH4157" s="53">
        <f>IF(P4157="","",IF(AND(AD4157&lt;&gt;"",COUNTIFS(tcTipo,AD4157,tcLiq,"Sí")&gt;0),IF(OR(P4157="Gasto",P4157="Transferencia",P4157="Pago tarjeta"),-1,1)*S4157,0)+IF(AND(AE4157&lt;&gt;"",COUNTIFS(tcTipo,AE4157,tcLiq,"Sí")&gt;0),S4157,0))</f>
        <v/>
      </c>
      <c r="AI4157" s="52">
        <f>IF(OR(L4157="",P4157=""),"",IF(COUNTIFS(L$6:L4157,L4157,P$6:P4157,"?*")=1,MAX(AI$5:AI4156)+1,""))</f>
        <v/>
      </c>
    </row>
    <row r="4158">
      <c r="B4158" s="47" t="n"/>
      <c r="C4158" s="48" t="n"/>
      <c r="D4158" s="48" t="n"/>
      <c r="E4158" s="48" t="n"/>
      <c r="F4158" s="48" t="n"/>
      <c r="G4158" s="49" t="n"/>
      <c r="H4158" s="48" t="n"/>
      <c r="I4158" s="50" t="n"/>
      <c r="J4158" s="48" t="n"/>
      <c r="K4158" s="48" t="n"/>
      <c r="L4158" s="48" t="n"/>
      <c r="M4158" s="48" t="n"/>
      <c r="N4158" s="48" t="n"/>
      <c r="O4158" s="51">
        <f>IF(AND(B4158="",G4158="",C4158="",D4158="",J4158=""),"",IF(B4158="","⚠ Falta fecha",IF(G4158="","⚠ Falta monto",IF(Q4158="","⚠ Falta cuenta",IF(ISNA(MATCH(Q4158,ctaNombre,0)),"⚠ Cuenta no registrada",IF(AND(OR(P4158="Gasto",P4158="Reembolso"),D4158=""),"⚠ Falta categoría",IF(AND(D4158&lt;&gt;"",E4158&lt;&gt;"",ISNA(MATCH(D4158&amp;"|"&amp;E4158,catClave,0))),"⚠ Subcategoría no corresponde",IF(AND(OR(P4158="Transferencia",P4158="Pago tarjeta"),K4158=""),"⚠ Falta cuenta destino",IF(AND(K4158&lt;&gt;"",P4158&lt;&gt;"Transferencia",P4158&lt;&gt;"Pago tarjeta"),"⚠ Destino solo aplica a transferencias",IF(AND(K4158&lt;&gt;"",K4158=Q4158),"⚠ Origen igual a destino",IF(AND(K4158&lt;&gt;"",ISNA(MATCH(K4158,ctaNombre,0))),"⚠ Destino no registrado",IF(AND(P4158="Pago tarjeta",AE4158&lt;&gt;"Tarjeta de crédito"),"⚠ El destino debe ser tarjeta de crédito",IF(AND(P4158="Gasto",E4158="Depósitos y retiros"),"⚠ Usa tipo Transferencia",IF(AND(P4158="Resultado trading",AD4158&lt;&gt;"Cuenta de trading"),"⚠ Usa una cuenta de trading",IF(AND(G4158&lt;=0,P4158&lt;&gt;"Ajuste",P4158&lt;&gt;"Resultado trading"),"⚠ El monto debe ser positivo","✓")))))))))))))))</f>
        <v/>
      </c>
      <c r="P4158" s="52">
        <f>IF(OR(B4158="",G4158=""),"",IF(C4158="","Gasto",C4158))</f>
        <v/>
      </c>
      <c r="Q4158" s="52">
        <f>IF(P4158="","",IF(J4158&lt;&gt;"",J4158,CuentaPred&amp;""))</f>
        <v/>
      </c>
      <c r="R4158" s="52">
        <f>IF(P4158="","",IF(ISNUMBER(I4158),I4158,TasaUSD))</f>
        <v/>
      </c>
      <c r="S4158" s="53">
        <f>IF(P4158="","",IF(H4158="USD",G4158*R4158,G4158))</f>
        <v/>
      </c>
      <c r="T4158" s="53">
        <f>IF(P4158="","",IF(H4158="USD",G4158,IF(R4158&gt;0,G4158/R4158,0)))</f>
        <v/>
      </c>
      <c r="U4158" s="53">
        <f>IF(P4158="","",IF(P4158="Gasto",S4158,IF(P4158="Reembolso",-S4158,0)))</f>
        <v/>
      </c>
      <c r="V4158" s="53">
        <f>IF(P4158="","",IF(P4158="Ingreso",S4158,0))</f>
        <v/>
      </c>
      <c r="W4158" s="53">
        <f>IF(P4158="","",IF(P4158="Resultado trading",S4158,0))</f>
        <v/>
      </c>
      <c r="X4158" s="52">
        <f>IF(OR(P4158="Gasto",P4158="Reembolso"),IF(M4158&lt;&gt;"",M4158,IFERROR(INDEX(catClasif,MATCH(D4158&amp;"|"&amp;E4158,catClave,0))&amp;"","Variable")),"")</f>
        <v/>
      </c>
      <c r="Y4158" s="52">
        <f>IF(P4158="","",IFERROR(INDEX(catGrupo,MATCH(D4158&amp;"|"&amp;E4158,catClave,0))&amp;"",""))</f>
        <v/>
      </c>
      <c r="Z4158" s="52">
        <f>IF(P4158="","",WEEKDAY(B4158,2))</f>
        <v/>
      </c>
      <c r="AA4158" s="52">
        <f>IF(P4158="","",IF(AND(P4158="Gasto",X4158="Variable",D4158&lt;&gt;catTrading,S4158&gt;0,S4158&lt;=Umbral),1,0))</f>
        <v/>
      </c>
      <c r="AB4158" s="52">
        <f>IF(OR(P4158="",Q4158=""),"",IFERROR(IF(INDEX(ctaVinc,MATCH(Q4158,ctaNombre,0))&amp;""&lt;&gt;"",INDEX(ctaVinc,MATCH(Q4158,ctaNombre,0))&amp;"",Q4158),Q4158))</f>
        <v/>
      </c>
      <c r="AC4158" s="52">
        <f>IF(OR(K4158="",AND(P4158&lt;&gt;"Transferencia",P4158&lt;&gt;"Pago tarjeta")),"",IFERROR(IF(INDEX(ctaVinc,MATCH(K4158,ctaNombre,0))&amp;""&lt;&gt;"",INDEX(ctaVinc,MATCH(K4158,ctaNombre,0))&amp;"",K4158),K4158))</f>
        <v/>
      </c>
      <c r="AD4158" s="52">
        <f>IF(AB4158="","",IFERROR(INDEX(ctaTipo,MATCH(AB4158,ctaNombre,0))&amp;"",""))</f>
        <v/>
      </c>
      <c r="AE4158" s="52">
        <f>IF(AC4158="","",IFERROR(INDEX(ctaTipo,MATCH(AC4158,ctaNombre,0))&amp;"",""))</f>
        <v/>
      </c>
      <c r="AF4158" s="53">
        <f>IF(OR(P4158="",AB4158=""),"",IF(OR(P4158="Gasto",P4158="Transferencia",P4158="Pago tarjeta"),-1,1)*IF(IFERROR(INDEX(ctaMoneda,MATCH(AB4158,ctaNombre,0))&amp;"","DOP")="USD",T4158,S4158))</f>
        <v/>
      </c>
      <c r="AG4158" s="53">
        <f>IF(AC4158="","",IF(IFERROR(INDEX(ctaMoneda,MATCH(AC4158,ctaNombre,0))&amp;"","DOP")="USD",T4158,S4158))</f>
        <v/>
      </c>
      <c r="AH4158" s="53">
        <f>IF(P4158="","",IF(AND(AD4158&lt;&gt;"",COUNTIFS(tcTipo,AD4158,tcLiq,"Sí")&gt;0),IF(OR(P4158="Gasto",P4158="Transferencia",P4158="Pago tarjeta"),-1,1)*S4158,0)+IF(AND(AE4158&lt;&gt;"",COUNTIFS(tcTipo,AE4158,tcLiq,"Sí")&gt;0),S4158,0))</f>
        <v/>
      </c>
      <c r="AI4158" s="52">
        <f>IF(OR(L4158="",P4158=""),"",IF(COUNTIFS(L$6:L4158,L4158,P$6:P4158,"?*")=1,MAX(AI$5:AI4157)+1,""))</f>
        <v/>
      </c>
    </row>
    <row r="4159">
      <c r="B4159" s="47" t="n"/>
      <c r="C4159" s="48" t="n"/>
      <c r="D4159" s="48" t="n"/>
      <c r="E4159" s="48" t="n"/>
      <c r="F4159" s="48" t="n"/>
      <c r="G4159" s="49" t="n"/>
      <c r="H4159" s="48" t="n"/>
      <c r="I4159" s="50" t="n"/>
      <c r="J4159" s="48" t="n"/>
      <c r="K4159" s="48" t="n"/>
      <c r="L4159" s="48" t="n"/>
      <c r="M4159" s="48" t="n"/>
      <c r="N4159" s="48" t="n"/>
      <c r="O4159" s="51">
        <f>IF(AND(B4159="",G4159="",C4159="",D4159="",J4159=""),"",IF(B4159="","⚠ Falta fecha",IF(G4159="","⚠ Falta monto",IF(Q4159="","⚠ Falta cuenta",IF(ISNA(MATCH(Q4159,ctaNombre,0)),"⚠ Cuenta no registrada",IF(AND(OR(P4159="Gasto",P4159="Reembolso"),D4159=""),"⚠ Falta categoría",IF(AND(D4159&lt;&gt;"",E4159&lt;&gt;"",ISNA(MATCH(D4159&amp;"|"&amp;E4159,catClave,0))),"⚠ Subcategoría no corresponde",IF(AND(OR(P4159="Transferencia",P4159="Pago tarjeta"),K4159=""),"⚠ Falta cuenta destino",IF(AND(K4159&lt;&gt;"",P4159&lt;&gt;"Transferencia",P4159&lt;&gt;"Pago tarjeta"),"⚠ Destino solo aplica a transferencias",IF(AND(K4159&lt;&gt;"",K4159=Q4159),"⚠ Origen igual a destino",IF(AND(K4159&lt;&gt;"",ISNA(MATCH(K4159,ctaNombre,0))),"⚠ Destino no registrado",IF(AND(P4159="Pago tarjeta",AE4159&lt;&gt;"Tarjeta de crédito"),"⚠ El destino debe ser tarjeta de crédito",IF(AND(P4159="Gasto",E4159="Depósitos y retiros"),"⚠ Usa tipo Transferencia",IF(AND(P4159="Resultado trading",AD4159&lt;&gt;"Cuenta de trading"),"⚠ Usa una cuenta de trading",IF(AND(G4159&lt;=0,P4159&lt;&gt;"Ajuste",P4159&lt;&gt;"Resultado trading"),"⚠ El monto debe ser positivo","✓")))))))))))))))</f>
        <v/>
      </c>
      <c r="P4159" s="52">
        <f>IF(OR(B4159="",G4159=""),"",IF(C4159="","Gasto",C4159))</f>
        <v/>
      </c>
      <c r="Q4159" s="52">
        <f>IF(P4159="","",IF(J4159&lt;&gt;"",J4159,CuentaPred&amp;""))</f>
        <v/>
      </c>
      <c r="R4159" s="52">
        <f>IF(P4159="","",IF(ISNUMBER(I4159),I4159,TasaUSD))</f>
        <v/>
      </c>
      <c r="S4159" s="53">
        <f>IF(P4159="","",IF(H4159="USD",G4159*R4159,G4159))</f>
        <v/>
      </c>
      <c r="T4159" s="53">
        <f>IF(P4159="","",IF(H4159="USD",G4159,IF(R4159&gt;0,G4159/R4159,0)))</f>
        <v/>
      </c>
      <c r="U4159" s="53">
        <f>IF(P4159="","",IF(P4159="Gasto",S4159,IF(P4159="Reembolso",-S4159,0)))</f>
        <v/>
      </c>
      <c r="V4159" s="53">
        <f>IF(P4159="","",IF(P4159="Ingreso",S4159,0))</f>
        <v/>
      </c>
      <c r="W4159" s="53">
        <f>IF(P4159="","",IF(P4159="Resultado trading",S4159,0))</f>
        <v/>
      </c>
      <c r="X4159" s="52">
        <f>IF(OR(P4159="Gasto",P4159="Reembolso"),IF(M4159&lt;&gt;"",M4159,IFERROR(INDEX(catClasif,MATCH(D4159&amp;"|"&amp;E4159,catClave,0))&amp;"","Variable")),"")</f>
        <v/>
      </c>
      <c r="Y4159" s="52">
        <f>IF(P4159="","",IFERROR(INDEX(catGrupo,MATCH(D4159&amp;"|"&amp;E4159,catClave,0))&amp;"",""))</f>
        <v/>
      </c>
      <c r="Z4159" s="52">
        <f>IF(P4159="","",WEEKDAY(B4159,2))</f>
        <v/>
      </c>
      <c r="AA4159" s="52">
        <f>IF(P4159="","",IF(AND(P4159="Gasto",X4159="Variable",D4159&lt;&gt;catTrading,S4159&gt;0,S4159&lt;=Umbral),1,0))</f>
        <v/>
      </c>
      <c r="AB4159" s="52">
        <f>IF(OR(P4159="",Q4159=""),"",IFERROR(IF(INDEX(ctaVinc,MATCH(Q4159,ctaNombre,0))&amp;""&lt;&gt;"",INDEX(ctaVinc,MATCH(Q4159,ctaNombre,0))&amp;"",Q4159),Q4159))</f>
        <v/>
      </c>
      <c r="AC4159" s="52">
        <f>IF(OR(K4159="",AND(P4159&lt;&gt;"Transferencia",P4159&lt;&gt;"Pago tarjeta")),"",IFERROR(IF(INDEX(ctaVinc,MATCH(K4159,ctaNombre,0))&amp;""&lt;&gt;"",INDEX(ctaVinc,MATCH(K4159,ctaNombre,0))&amp;"",K4159),K4159))</f>
        <v/>
      </c>
      <c r="AD4159" s="52">
        <f>IF(AB4159="","",IFERROR(INDEX(ctaTipo,MATCH(AB4159,ctaNombre,0))&amp;"",""))</f>
        <v/>
      </c>
      <c r="AE4159" s="52">
        <f>IF(AC4159="","",IFERROR(INDEX(ctaTipo,MATCH(AC4159,ctaNombre,0))&amp;"",""))</f>
        <v/>
      </c>
      <c r="AF4159" s="53">
        <f>IF(OR(P4159="",AB4159=""),"",IF(OR(P4159="Gasto",P4159="Transferencia",P4159="Pago tarjeta"),-1,1)*IF(IFERROR(INDEX(ctaMoneda,MATCH(AB4159,ctaNombre,0))&amp;"","DOP")="USD",T4159,S4159))</f>
        <v/>
      </c>
      <c r="AG4159" s="53">
        <f>IF(AC4159="","",IF(IFERROR(INDEX(ctaMoneda,MATCH(AC4159,ctaNombre,0))&amp;"","DOP")="USD",T4159,S4159))</f>
        <v/>
      </c>
      <c r="AH4159" s="53">
        <f>IF(P4159="","",IF(AND(AD4159&lt;&gt;"",COUNTIFS(tcTipo,AD4159,tcLiq,"Sí")&gt;0),IF(OR(P4159="Gasto",P4159="Transferencia",P4159="Pago tarjeta"),-1,1)*S4159,0)+IF(AND(AE4159&lt;&gt;"",COUNTIFS(tcTipo,AE4159,tcLiq,"Sí")&gt;0),S4159,0))</f>
        <v/>
      </c>
      <c r="AI4159" s="52">
        <f>IF(OR(L4159="",P4159=""),"",IF(COUNTIFS(L$6:L4159,L4159,P$6:P4159,"?*")=1,MAX(AI$5:AI4158)+1,""))</f>
        <v/>
      </c>
    </row>
    <row r="4160">
      <c r="B4160" s="47" t="n"/>
      <c r="C4160" s="48" t="n"/>
      <c r="D4160" s="48" t="n"/>
      <c r="E4160" s="48" t="n"/>
      <c r="F4160" s="48" t="n"/>
      <c r="G4160" s="49" t="n"/>
      <c r="H4160" s="48" t="n"/>
      <c r="I4160" s="50" t="n"/>
      <c r="J4160" s="48" t="n"/>
      <c r="K4160" s="48" t="n"/>
      <c r="L4160" s="48" t="n"/>
      <c r="M4160" s="48" t="n"/>
      <c r="N4160" s="48" t="n"/>
      <c r="O4160" s="51">
        <f>IF(AND(B4160="",G4160="",C4160="",D4160="",J4160=""),"",IF(B4160="","⚠ Falta fecha",IF(G4160="","⚠ Falta monto",IF(Q4160="","⚠ Falta cuenta",IF(ISNA(MATCH(Q4160,ctaNombre,0)),"⚠ Cuenta no registrada",IF(AND(OR(P4160="Gasto",P4160="Reembolso"),D4160=""),"⚠ Falta categoría",IF(AND(D4160&lt;&gt;"",E4160&lt;&gt;"",ISNA(MATCH(D4160&amp;"|"&amp;E4160,catClave,0))),"⚠ Subcategoría no corresponde",IF(AND(OR(P4160="Transferencia",P4160="Pago tarjeta"),K4160=""),"⚠ Falta cuenta destino",IF(AND(K4160&lt;&gt;"",P4160&lt;&gt;"Transferencia",P4160&lt;&gt;"Pago tarjeta"),"⚠ Destino solo aplica a transferencias",IF(AND(K4160&lt;&gt;"",K4160=Q4160),"⚠ Origen igual a destino",IF(AND(K4160&lt;&gt;"",ISNA(MATCH(K4160,ctaNombre,0))),"⚠ Destino no registrado",IF(AND(P4160="Pago tarjeta",AE4160&lt;&gt;"Tarjeta de crédito"),"⚠ El destino debe ser tarjeta de crédito",IF(AND(P4160="Gasto",E4160="Depósitos y retiros"),"⚠ Usa tipo Transferencia",IF(AND(P4160="Resultado trading",AD4160&lt;&gt;"Cuenta de trading"),"⚠ Usa una cuenta de trading",IF(AND(G4160&lt;=0,P4160&lt;&gt;"Ajuste",P4160&lt;&gt;"Resultado trading"),"⚠ El monto debe ser positivo","✓")))))))))))))))</f>
        <v/>
      </c>
      <c r="P4160" s="52">
        <f>IF(OR(B4160="",G4160=""),"",IF(C4160="","Gasto",C4160))</f>
        <v/>
      </c>
      <c r="Q4160" s="52">
        <f>IF(P4160="","",IF(J4160&lt;&gt;"",J4160,CuentaPred&amp;""))</f>
        <v/>
      </c>
      <c r="R4160" s="52">
        <f>IF(P4160="","",IF(ISNUMBER(I4160),I4160,TasaUSD))</f>
        <v/>
      </c>
      <c r="S4160" s="53">
        <f>IF(P4160="","",IF(H4160="USD",G4160*R4160,G4160))</f>
        <v/>
      </c>
      <c r="T4160" s="53">
        <f>IF(P4160="","",IF(H4160="USD",G4160,IF(R4160&gt;0,G4160/R4160,0)))</f>
        <v/>
      </c>
      <c r="U4160" s="53">
        <f>IF(P4160="","",IF(P4160="Gasto",S4160,IF(P4160="Reembolso",-S4160,0)))</f>
        <v/>
      </c>
      <c r="V4160" s="53">
        <f>IF(P4160="","",IF(P4160="Ingreso",S4160,0))</f>
        <v/>
      </c>
      <c r="W4160" s="53">
        <f>IF(P4160="","",IF(P4160="Resultado trading",S4160,0))</f>
        <v/>
      </c>
      <c r="X4160" s="52">
        <f>IF(OR(P4160="Gasto",P4160="Reembolso"),IF(M4160&lt;&gt;"",M4160,IFERROR(INDEX(catClasif,MATCH(D4160&amp;"|"&amp;E4160,catClave,0))&amp;"","Variable")),"")</f>
        <v/>
      </c>
      <c r="Y4160" s="52">
        <f>IF(P4160="","",IFERROR(INDEX(catGrupo,MATCH(D4160&amp;"|"&amp;E4160,catClave,0))&amp;"",""))</f>
        <v/>
      </c>
      <c r="Z4160" s="52">
        <f>IF(P4160="","",WEEKDAY(B4160,2))</f>
        <v/>
      </c>
      <c r="AA4160" s="52">
        <f>IF(P4160="","",IF(AND(P4160="Gasto",X4160="Variable",D4160&lt;&gt;catTrading,S4160&gt;0,S4160&lt;=Umbral),1,0))</f>
        <v/>
      </c>
      <c r="AB4160" s="52">
        <f>IF(OR(P4160="",Q4160=""),"",IFERROR(IF(INDEX(ctaVinc,MATCH(Q4160,ctaNombre,0))&amp;""&lt;&gt;"",INDEX(ctaVinc,MATCH(Q4160,ctaNombre,0))&amp;"",Q4160),Q4160))</f>
        <v/>
      </c>
      <c r="AC4160" s="52">
        <f>IF(OR(K4160="",AND(P4160&lt;&gt;"Transferencia",P4160&lt;&gt;"Pago tarjeta")),"",IFERROR(IF(INDEX(ctaVinc,MATCH(K4160,ctaNombre,0))&amp;""&lt;&gt;"",INDEX(ctaVinc,MATCH(K4160,ctaNombre,0))&amp;"",K4160),K4160))</f>
        <v/>
      </c>
      <c r="AD4160" s="52">
        <f>IF(AB4160="","",IFERROR(INDEX(ctaTipo,MATCH(AB4160,ctaNombre,0))&amp;"",""))</f>
        <v/>
      </c>
      <c r="AE4160" s="52">
        <f>IF(AC4160="","",IFERROR(INDEX(ctaTipo,MATCH(AC4160,ctaNombre,0))&amp;"",""))</f>
        <v/>
      </c>
      <c r="AF4160" s="53">
        <f>IF(OR(P4160="",AB4160=""),"",IF(OR(P4160="Gasto",P4160="Transferencia",P4160="Pago tarjeta"),-1,1)*IF(IFERROR(INDEX(ctaMoneda,MATCH(AB4160,ctaNombre,0))&amp;"","DOP")="USD",T4160,S4160))</f>
        <v/>
      </c>
      <c r="AG4160" s="53">
        <f>IF(AC4160="","",IF(IFERROR(INDEX(ctaMoneda,MATCH(AC4160,ctaNombre,0))&amp;"","DOP")="USD",T4160,S4160))</f>
        <v/>
      </c>
      <c r="AH4160" s="53">
        <f>IF(P4160="","",IF(AND(AD4160&lt;&gt;"",COUNTIFS(tcTipo,AD4160,tcLiq,"Sí")&gt;0),IF(OR(P4160="Gasto",P4160="Transferencia",P4160="Pago tarjeta"),-1,1)*S4160,0)+IF(AND(AE4160&lt;&gt;"",COUNTIFS(tcTipo,AE4160,tcLiq,"Sí")&gt;0),S4160,0))</f>
        <v/>
      </c>
      <c r="AI4160" s="52">
        <f>IF(OR(L4160="",P4160=""),"",IF(COUNTIFS(L$6:L4160,L4160,P$6:P4160,"?*")=1,MAX(AI$5:AI4159)+1,""))</f>
        <v/>
      </c>
    </row>
    <row r="4161">
      <c r="B4161" s="47" t="n"/>
      <c r="C4161" s="48" t="n"/>
      <c r="D4161" s="48" t="n"/>
      <c r="E4161" s="48" t="n"/>
      <c r="F4161" s="48" t="n"/>
      <c r="G4161" s="49" t="n"/>
      <c r="H4161" s="48" t="n"/>
      <c r="I4161" s="50" t="n"/>
      <c r="J4161" s="48" t="n"/>
      <c r="K4161" s="48" t="n"/>
      <c r="L4161" s="48" t="n"/>
      <c r="M4161" s="48" t="n"/>
      <c r="N4161" s="48" t="n"/>
      <c r="O4161" s="51">
        <f>IF(AND(B4161="",G4161="",C4161="",D4161="",J4161=""),"",IF(B4161="","⚠ Falta fecha",IF(G4161="","⚠ Falta monto",IF(Q4161="","⚠ Falta cuenta",IF(ISNA(MATCH(Q4161,ctaNombre,0)),"⚠ Cuenta no registrada",IF(AND(OR(P4161="Gasto",P4161="Reembolso"),D4161=""),"⚠ Falta categoría",IF(AND(D4161&lt;&gt;"",E4161&lt;&gt;"",ISNA(MATCH(D4161&amp;"|"&amp;E4161,catClave,0))),"⚠ Subcategoría no corresponde",IF(AND(OR(P4161="Transferencia",P4161="Pago tarjeta"),K4161=""),"⚠ Falta cuenta destino",IF(AND(K4161&lt;&gt;"",P4161&lt;&gt;"Transferencia",P4161&lt;&gt;"Pago tarjeta"),"⚠ Destino solo aplica a transferencias",IF(AND(K4161&lt;&gt;"",K4161=Q4161),"⚠ Origen igual a destino",IF(AND(K4161&lt;&gt;"",ISNA(MATCH(K4161,ctaNombre,0))),"⚠ Destino no registrado",IF(AND(P4161="Pago tarjeta",AE4161&lt;&gt;"Tarjeta de crédito"),"⚠ El destino debe ser tarjeta de crédito",IF(AND(P4161="Gasto",E4161="Depósitos y retiros"),"⚠ Usa tipo Transferencia",IF(AND(P4161="Resultado trading",AD4161&lt;&gt;"Cuenta de trading"),"⚠ Usa una cuenta de trading",IF(AND(G4161&lt;=0,P4161&lt;&gt;"Ajuste",P4161&lt;&gt;"Resultado trading"),"⚠ El monto debe ser positivo","✓")))))))))))))))</f>
        <v/>
      </c>
      <c r="P4161" s="52">
        <f>IF(OR(B4161="",G4161=""),"",IF(C4161="","Gasto",C4161))</f>
        <v/>
      </c>
      <c r="Q4161" s="52">
        <f>IF(P4161="","",IF(J4161&lt;&gt;"",J4161,CuentaPred&amp;""))</f>
        <v/>
      </c>
      <c r="R4161" s="52">
        <f>IF(P4161="","",IF(ISNUMBER(I4161),I4161,TasaUSD))</f>
        <v/>
      </c>
      <c r="S4161" s="53">
        <f>IF(P4161="","",IF(H4161="USD",G4161*R4161,G4161))</f>
        <v/>
      </c>
      <c r="T4161" s="53">
        <f>IF(P4161="","",IF(H4161="USD",G4161,IF(R4161&gt;0,G4161/R4161,0)))</f>
        <v/>
      </c>
      <c r="U4161" s="53">
        <f>IF(P4161="","",IF(P4161="Gasto",S4161,IF(P4161="Reembolso",-S4161,0)))</f>
        <v/>
      </c>
      <c r="V4161" s="53">
        <f>IF(P4161="","",IF(P4161="Ingreso",S4161,0))</f>
        <v/>
      </c>
      <c r="W4161" s="53">
        <f>IF(P4161="","",IF(P4161="Resultado trading",S4161,0))</f>
        <v/>
      </c>
      <c r="X4161" s="52">
        <f>IF(OR(P4161="Gasto",P4161="Reembolso"),IF(M4161&lt;&gt;"",M4161,IFERROR(INDEX(catClasif,MATCH(D4161&amp;"|"&amp;E4161,catClave,0))&amp;"","Variable")),"")</f>
        <v/>
      </c>
      <c r="Y4161" s="52">
        <f>IF(P4161="","",IFERROR(INDEX(catGrupo,MATCH(D4161&amp;"|"&amp;E4161,catClave,0))&amp;"",""))</f>
        <v/>
      </c>
      <c r="Z4161" s="52">
        <f>IF(P4161="","",WEEKDAY(B4161,2))</f>
        <v/>
      </c>
      <c r="AA4161" s="52">
        <f>IF(P4161="","",IF(AND(P4161="Gasto",X4161="Variable",D4161&lt;&gt;catTrading,S4161&gt;0,S4161&lt;=Umbral),1,0))</f>
        <v/>
      </c>
      <c r="AB4161" s="52">
        <f>IF(OR(P4161="",Q4161=""),"",IFERROR(IF(INDEX(ctaVinc,MATCH(Q4161,ctaNombre,0))&amp;""&lt;&gt;"",INDEX(ctaVinc,MATCH(Q4161,ctaNombre,0))&amp;"",Q4161),Q4161))</f>
        <v/>
      </c>
      <c r="AC4161" s="52">
        <f>IF(OR(K4161="",AND(P4161&lt;&gt;"Transferencia",P4161&lt;&gt;"Pago tarjeta")),"",IFERROR(IF(INDEX(ctaVinc,MATCH(K4161,ctaNombre,0))&amp;""&lt;&gt;"",INDEX(ctaVinc,MATCH(K4161,ctaNombre,0))&amp;"",K4161),K4161))</f>
        <v/>
      </c>
      <c r="AD4161" s="52">
        <f>IF(AB4161="","",IFERROR(INDEX(ctaTipo,MATCH(AB4161,ctaNombre,0))&amp;"",""))</f>
        <v/>
      </c>
      <c r="AE4161" s="52">
        <f>IF(AC4161="","",IFERROR(INDEX(ctaTipo,MATCH(AC4161,ctaNombre,0))&amp;"",""))</f>
        <v/>
      </c>
      <c r="AF4161" s="53">
        <f>IF(OR(P4161="",AB4161=""),"",IF(OR(P4161="Gasto",P4161="Transferencia",P4161="Pago tarjeta"),-1,1)*IF(IFERROR(INDEX(ctaMoneda,MATCH(AB4161,ctaNombre,0))&amp;"","DOP")="USD",T4161,S4161))</f>
        <v/>
      </c>
      <c r="AG4161" s="53">
        <f>IF(AC4161="","",IF(IFERROR(INDEX(ctaMoneda,MATCH(AC4161,ctaNombre,0))&amp;"","DOP")="USD",T4161,S4161))</f>
        <v/>
      </c>
      <c r="AH4161" s="53">
        <f>IF(P4161="","",IF(AND(AD4161&lt;&gt;"",COUNTIFS(tcTipo,AD4161,tcLiq,"Sí")&gt;0),IF(OR(P4161="Gasto",P4161="Transferencia",P4161="Pago tarjeta"),-1,1)*S4161,0)+IF(AND(AE4161&lt;&gt;"",COUNTIFS(tcTipo,AE4161,tcLiq,"Sí")&gt;0),S4161,0))</f>
        <v/>
      </c>
      <c r="AI4161" s="52">
        <f>IF(OR(L4161="",P4161=""),"",IF(COUNTIFS(L$6:L4161,L4161,P$6:P4161,"?*")=1,MAX(AI$5:AI4160)+1,""))</f>
        <v/>
      </c>
    </row>
    <row r="4162">
      <c r="B4162" s="47" t="n"/>
      <c r="C4162" s="48" t="n"/>
      <c r="D4162" s="48" t="n"/>
      <c r="E4162" s="48" t="n"/>
      <c r="F4162" s="48" t="n"/>
      <c r="G4162" s="49" t="n"/>
      <c r="H4162" s="48" t="n"/>
      <c r="I4162" s="50" t="n"/>
      <c r="J4162" s="48" t="n"/>
      <c r="K4162" s="48" t="n"/>
      <c r="L4162" s="48" t="n"/>
      <c r="M4162" s="48" t="n"/>
      <c r="N4162" s="48" t="n"/>
      <c r="O4162" s="51">
        <f>IF(AND(B4162="",G4162="",C4162="",D4162="",J4162=""),"",IF(B4162="","⚠ Falta fecha",IF(G4162="","⚠ Falta monto",IF(Q4162="","⚠ Falta cuenta",IF(ISNA(MATCH(Q4162,ctaNombre,0)),"⚠ Cuenta no registrada",IF(AND(OR(P4162="Gasto",P4162="Reembolso"),D4162=""),"⚠ Falta categoría",IF(AND(D4162&lt;&gt;"",E4162&lt;&gt;"",ISNA(MATCH(D4162&amp;"|"&amp;E4162,catClave,0))),"⚠ Subcategoría no corresponde",IF(AND(OR(P4162="Transferencia",P4162="Pago tarjeta"),K4162=""),"⚠ Falta cuenta destino",IF(AND(K4162&lt;&gt;"",P4162&lt;&gt;"Transferencia",P4162&lt;&gt;"Pago tarjeta"),"⚠ Destino solo aplica a transferencias",IF(AND(K4162&lt;&gt;"",K4162=Q4162),"⚠ Origen igual a destino",IF(AND(K4162&lt;&gt;"",ISNA(MATCH(K4162,ctaNombre,0))),"⚠ Destino no registrado",IF(AND(P4162="Pago tarjeta",AE4162&lt;&gt;"Tarjeta de crédito"),"⚠ El destino debe ser tarjeta de crédito",IF(AND(P4162="Gasto",E4162="Depósitos y retiros"),"⚠ Usa tipo Transferencia",IF(AND(P4162="Resultado trading",AD4162&lt;&gt;"Cuenta de trading"),"⚠ Usa una cuenta de trading",IF(AND(G4162&lt;=0,P4162&lt;&gt;"Ajuste",P4162&lt;&gt;"Resultado trading"),"⚠ El monto debe ser positivo","✓")))))))))))))))</f>
        <v/>
      </c>
      <c r="P4162" s="52">
        <f>IF(OR(B4162="",G4162=""),"",IF(C4162="","Gasto",C4162))</f>
        <v/>
      </c>
      <c r="Q4162" s="52">
        <f>IF(P4162="","",IF(J4162&lt;&gt;"",J4162,CuentaPred&amp;""))</f>
        <v/>
      </c>
      <c r="R4162" s="52">
        <f>IF(P4162="","",IF(ISNUMBER(I4162),I4162,TasaUSD))</f>
        <v/>
      </c>
      <c r="S4162" s="53">
        <f>IF(P4162="","",IF(H4162="USD",G4162*R4162,G4162))</f>
        <v/>
      </c>
      <c r="T4162" s="53">
        <f>IF(P4162="","",IF(H4162="USD",G4162,IF(R4162&gt;0,G4162/R4162,0)))</f>
        <v/>
      </c>
      <c r="U4162" s="53">
        <f>IF(P4162="","",IF(P4162="Gasto",S4162,IF(P4162="Reembolso",-S4162,0)))</f>
        <v/>
      </c>
      <c r="V4162" s="53">
        <f>IF(P4162="","",IF(P4162="Ingreso",S4162,0))</f>
        <v/>
      </c>
      <c r="W4162" s="53">
        <f>IF(P4162="","",IF(P4162="Resultado trading",S4162,0))</f>
        <v/>
      </c>
      <c r="X4162" s="52">
        <f>IF(OR(P4162="Gasto",P4162="Reembolso"),IF(M4162&lt;&gt;"",M4162,IFERROR(INDEX(catClasif,MATCH(D4162&amp;"|"&amp;E4162,catClave,0))&amp;"","Variable")),"")</f>
        <v/>
      </c>
      <c r="Y4162" s="52">
        <f>IF(P4162="","",IFERROR(INDEX(catGrupo,MATCH(D4162&amp;"|"&amp;E4162,catClave,0))&amp;"",""))</f>
        <v/>
      </c>
      <c r="Z4162" s="52">
        <f>IF(P4162="","",WEEKDAY(B4162,2))</f>
        <v/>
      </c>
      <c r="AA4162" s="52">
        <f>IF(P4162="","",IF(AND(P4162="Gasto",X4162="Variable",D4162&lt;&gt;catTrading,S4162&gt;0,S4162&lt;=Umbral),1,0))</f>
        <v/>
      </c>
      <c r="AB4162" s="52">
        <f>IF(OR(P4162="",Q4162=""),"",IFERROR(IF(INDEX(ctaVinc,MATCH(Q4162,ctaNombre,0))&amp;""&lt;&gt;"",INDEX(ctaVinc,MATCH(Q4162,ctaNombre,0))&amp;"",Q4162),Q4162))</f>
        <v/>
      </c>
      <c r="AC4162" s="52">
        <f>IF(OR(K4162="",AND(P4162&lt;&gt;"Transferencia",P4162&lt;&gt;"Pago tarjeta")),"",IFERROR(IF(INDEX(ctaVinc,MATCH(K4162,ctaNombre,0))&amp;""&lt;&gt;"",INDEX(ctaVinc,MATCH(K4162,ctaNombre,0))&amp;"",K4162),K4162))</f>
        <v/>
      </c>
      <c r="AD4162" s="52">
        <f>IF(AB4162="","",IFERROR(INDEX(ctaTipo,MATCH(AB4162,ctaNombre,0))&amp;"",""))</f>
        <v/>
      </c>
      <c r="AE4162" s="52">
        <f>IF(AC4162="","",IFERROR(INDEX(ctaTipo,MATCH(AC4162,ctaNombre,0))&amp;"",""))</f>
        <v/>
      </c>
      <c r="AF4162" s="53">
        <f>IF(OR(P4162="",AB4162=""),"",IF(OR(P4162="Gasto",P4162="Transferencia",P4162="Pago tarjeta"),-1,1)*IF(IFERROR(INDEX(ctaMoneda,MATCH(AB4162,ctaNombre,0))&amp;"","DOP")="USD",T4162,S4162))</f>
        <v/>
      </c>
      <c r="AG4162" s="53">
        <f>IF(AC4162="","",IF(IFERROR(INDEX(ctaMoneda,MATCH(AC4162,ctaNombre,0))&amp;"","DOP")="USD",T4162,S4162))</f>
        <v/>
      </c>
      <c r="AH4162" s="53">
        <f>IF(P4162="","",IF(AND(AD4162&lt;&gt;"",COUNTIFS(tcTipo,AD4162,tcLiq,"Sí")&gt;0),IF(OR(P4162="Gasto",P4162="Transferencia",P4162="Pago tarjeta"),-1,1)*S4162,0)+IF(AND(AE4162&lt;&gt;"",COUNTIFS(tcTipo,AE4162,tcLiq,"Sí")&gt;0),S4162,0))</f>
        <v/>
      </c>
      <c r="AI4162" s="52">
        <f>IF(OR(L4162="",P4162=""),"",IF(COUNTIFS(L$6:L4162,L4162,P$6:P4162,"?*")=1,MAX(AI$5:AI4161)+1,""))</f>
        <v/>
      </c>
    </row>
    <row r="4163">
      <c r="B4163" s="47" t="n"/>
      <c r="C4163" s="48" t="n"/>
      <c r="D4163" s="48" t="n"/>
      <c r="E4163" s="48" t="n"/>
      <c r="F4163" s="48" t="n"/>
      <c r="G4163" s="49" t="n"/>
      <c r="H4163" s="48" t="n"/>
      <c r="I4163" s="50" t="n"/>
      <c r="J4163" s="48" t="n"/>
      <c r="K4163" s="48" t="n"/>
      <c r="L4163" s="48" t="n"/>
      <c r="M4163" s="48" t="n"/>
      <c r="N4163" s="48" t="n"/>
      <c r="O4163" s="51">
        <f>IF(AND(B4163="",G4163="",C4163="",D4163="",J4163=""),"",IF(B4163="","⚠ Falta fecha",IF(G4163="","⚠ Falta monto",IF(Q4163="","⚠ Falta cuenta",IF(ISNA(MATCH(Q4163,ctaNombre,0)),"⚠ Cuenta no registrada",IF(AND(OR(P4163="Gasto",P4163="Reembolso"),D4163=""),"⚠ Falta categoría",IF(AND(D4163&lt;&gt;"",E4163&lt;&gt;"",ISNA(MATCH(D4163&amp;"|"&amp;E4163,catClave,0))),"⚠ Subcategoría no corresponde",IF(AND(OR(P4163="Transferencia",P4163="Pago tarjeta"),K4163=""),"⚠ Falta cuenta destino",IF(AND(K4163&lt;&gt;"",P4163&lt;&gt;"Transferencia",P4163&lt;&gt;"Pago tarjeta"),"⚠ Destino solo aplica a transferencias",IF(AND(K4163&lt;&gt;"",K4163=Q4163),"⚠ Origen igual a destino",IF(AND(K4163&lt;&gt;"",ISNA(MATCH(K4163,ctaNombre,0))),"⚠ Destino no registrado",IF(AND(P4163="Pago tarjeta",AE4163&lt;&gt;"Tarjeta de crédito"),"⚠ El destino debe ser tarjeta de crédito",IF(AND(P4163="Gasto",E4163="Depósitos y retiros"),"⚠ Usa tipo Transferencia",IF(AND(P4163="Resultado trading",AD4163&lt;&gt;"Cuenta de trading"),"⚠ Usa una cuenta de trading",IF(AND(G4163&lt;=0,P4163&lt;&gt;"Ajuste",P4163&lt;&gt;"Resultado trading"),"⚠ El monto debe ser positivo","✓")))))))))))))))</f>
        <v/>
      </c>
      <c r="P4163" s="52">
        <f>IF(OR(B4163="",G4163=""),"",IF(C4163="","Gasto",C4163))</f>
        <v/>
      </c>
      <c r="Q4163" s="52">
        <f>IF(P4163="","",IF(J4163&lt;&gt;"",J4163,CuentaPred&amp;""))</f>
        <v/>
      </c>
      <c r="R4163" s="52">
        <f>IF(P4163="","",IF(ISNUMBER(I4163),I4163,TasaUSD))</f>
        <v/>
      </c>
      <c r="S4163" s="53">
        <f>IF(P4163="","",IF(H4163="USD",G4163*R4163,G4163))</f>
        <v/>
      </c>
      <c r="T4163" s="53">
        <f>IF(P4163="","",IF(H4163="USD",G4163,IF(R4163&gt;0,G4163/R4163,0)))</f>
        <v/>
      </c>
      <c r="U4163" s="53">
        <f>IF(P4163="","",IF(P4163="Gasto",S4163,IF(P4163="Reembolso",-S4163,0)))</f>
        <v/>
      </c>
      <c r="V4163" s="53">
        <f>IF(P4163="","",IF(P4163="Ingreso",S4163,0))</f>
        <v/>
      </c>
      <c r="W4163" s="53">
        <f>IF(P4163="","",IF(P4163="Resultado trading",S4163,0))</f>
        <v/>
      </c>
      <c r="X4163" s="52">
        <f>IF(OR(P4163="Gasto",P4163="Reembolso"),IF(M4163&lt;&gt;"",M4163,IFERROR(INDEX(catClasif,MATCH(D4163&amp;"|"&amp;E4163,catClave,0))&amp;"","Variable")),"")</f>
        <v/>
      </c>
      <c r="Y4163" s="52">
        <f>IF(P4163="","",IFERROR(INDEX(catGrupo,MATCH(D4163&amp;"|"&amp;E4163,catClave,0))&amp;"",""))</f>
        <v/>
      </c>
      <c r="Z4163" s="52">
        <f>IF(P4163="","",WEEKDAY(B4163,2))</f>
        <v/>
      </c>
      <c r="AA4163" s="52">
        <f>IF(P4163="","",IF(AND(P4163="Gasto",X4163="Variable",D4163&lt;&gt;catTrading,S4163&gt;0,S4163&lt;=Umbral),1,0))</f>
        <v/>
      </c>
      <c r="AB4163" s="52">
        <f>IF(OR(P4163="",Q4163=""),"",IFERROR(IF(INDEX(ctaVinc,MATCH(Q4163,ctaNombre,0))&amp;""&lt;&gt;"",INDEX(ctaVinc,MATCH(Q4163,ctaNombre,0))&amp;"",Q4163),Q4163))</f>
        <v/>
      </c>
      <c r="AC4163" s="52">
        <f>IF(OR(K4163="",AND(P4163&lt;&gt;"Transferencia",P4163&lt;&gt;"Pago tarjeta")),"",IFERROR(IF(INDEX(ctaVinc,MATCH(K4163,ctaNombre,0))&amp;""&lt;&gt;"",INDEX(ctaVinc,MATCH(K4163,ctaNombre,0))&amp;"",K4163),K4163))</f>
        <v/>
      </c>
      <c r="AD4163" s="52">
        <f>IF(AB4163="","",IFERROR(INDEX(ctaTipo,MATCH(AB4163,ctaNombre,0))&amp;"",""))</f>
        <v/>
      </c>
      <c r="AE4163" s="52">
        <f>IF(AC4163="","",IFERROR(INDEX(ctaTipo,MATCH(AC4163,ctaNombre,0))&amp;"",""))</f>
        <v/>
      </c>
      <c r="AF4163" s="53">
        <f>IF(OR(P4163="",AB4163=""),"",IF(OR(P4163="Gasto",P4163="Transferencia",P4163="Pago tarjeta"),-1,1)*IF(IFERROR(INDEX(ctaMoneda,MATCH(AB4163,ctaNombre,0))&amp;"","DOP")="USD",T4163,S4163))</f>
        <v/>
      </c>
      <c r="AG4163" s="53">
        <f>IF(AC4163="","",IF(IFERROR(INDEX(ctaMoneda,MATCH(AC4163,ctaNombre,0))&amp;"","DOP")="USD",T4163,S4163))</f>
        <v/>
      </c>
      <c r="AH4163" s="53">
        <f>IF(P4163="","",IF(AND(AD4163&lt;&gt;"",COUNTIFS(tcTipo,AD4163,tcLiq,"Sí")&gt;0),IF(OR(P4163="Gasto",P4163="Transferencia",P4163="Pago tarjeta"),-1,1)*S4163,0)+IF(AND(AE4163&lt;&gt;"",COUNTIFS(tcTipo,AE4163,tcLiq,"Sí")&gt;0),S4163,0))</f>
        <v/>
      </c>
      <c r="AI4163" s="52">
        <f>IF(OR(L4163="",P4163=""),"",IF(COUNTIFS(L$6:L4163,L4163,P$6:P4163,"?*")=1,MAX(AI$5:AI4162)+1,""))</f>
        <v/>
      </c>
    </row>
    <row r="4164">
      <c r="B4164" s="47" t="n"/>
      <c r="C4164" s="48" t="n"/>
      <c r="D4164" s="48" t="n"/>
      <c r="E4164" s="48" t="n"/>
      <c r="F4164" s="48" t="n"/>
      <c r="G4164" s="49" t="n"/>
      <c r="H4164" s="48" t="n"/>
      <c r="I4164" s="50" t="n"/>
      <c r="J4164" s="48" t="n"/>
      <c r="K4164" s="48" t="n"/>
      <c r="L4164" s="48" t="n"/>
      <c r="M4164" s="48" t="n"/>
      <c r="N4164" s="48" t="n"/>
      <c r="O4164" s="51">
        <f>IF(AND(B4164="",G4164="",C4164="",D4164="",J4164=""),"",IF(B4164="","⚠ Falta fecha",IF(G4164="","⚠ Falta monto",IF(Q4164="","⚠ Falta cuenta",IF(ISNA(MATCH(Q4164,ctaNombre,0)),"⚠ Cuenta no registrada",IF(AND(OR(P4164="Gasto",P4164="Reembolso"),D4164=""),"⚠ Falta categoría",IF(AND(D4164&lt;&gt;"",E4164&lt;&gt;"",ISNA(MATCH(D4164&amp;"|"&amp;E4164,catClave,0))),"⚠ Subcategoría no corresponde",IF(AND(OR(P4164="Transferencia",P4164="Pago tarjeta"),K4164=""),"⚠ Falta cuenta destino",IF(AND(K4164&lt;&gt;"",P4164&lt;&gt;"Transferencia",P4164&lt;&gt;"Pago tarjeta"),"⚠ Destino solo aplica a transferencias",IF(AND(K4164&lt;&gt;"",K4164=Q4164),"⚠ Origen igual a destino",IF(AND(K4164&lt;&gt;"",ISNA(MATCH(K4164,ctaNombre,0))),"⚠ Destino no registrado",IF(AND(P4164="Pago tarjeta",AE4164&lt;&gt;"Tarjeta de crédito"),"⚠ El destino debe ser tarjeta de crédito",IF(AND(P4164="Gasto",E4164="Depósitos y retiros"),"⚠ Usa tipo Transferencia",IF(AND(P4164="Resultado trading",AD4164&lt;&gt;"Cuenta de trading"),"⚠ Usa una cuenta de trading",IF(AND(G4164&lt;=0,P4164&lt;&gt;"Ajuste",P4164&lt;&gt;"Resultado trading"),"⚠ El monto debe ser positivo","✓")))))))))))))))</f>
        <v/>
      </c>
      <c r="P4164" s="52">
        <f>IF(OR(B4164="",G4164=""),"",IF(C4164="","Gasto",C4164))</f>
        <v/>
      </c>
      <c r="Q4164" s="52">
        <f>IF(P4164="","",IF(J4164&lt;&gt;"",J4164,CuentaPred&amp;""))</f>
        <v/>
      </c>
      <c r="R4164" s="52">
        <f>IF(P4164="","",IF(ISNUMBER(I4164),I4164,TasaUSD))</f>
        <v/>
      </c>
      <c r="S4164" s="53">
        <f>IF(P4164="","",IF(H4164="USD",G4164*R4164,G4164))</f>
        <v/>
      </c>
      <c r="T4164" s="53">
        <f>IF(P4164="","",IF(H4164="USD",G4164,IF(R4164&gt;0,G4164/R4164,0)))</f>
        <v/>
      </c>
      <c r="U4164" s="53">
        <f>IF(P4164="","",IF(P4164="Gasto",S4164,IF(P4164="Reembolso",-S4164,0)))</f>
        <v/>
      </c>
      <c r="V4164" s="53">
        <f>IF(P4164="","",IF(P4164="Ingreso",S4164,0))</f>
        <v/>
      </c>
      <c r="W4164" s="53">
        <f>IF(P4164="","",IF(P4164="Resultado trading",S4164,0))</f>
        <v/>
      </c>
      <c r="X4164" s="52">
        <f>IF(OR(P4164="Gasto",P4164="Reembolso"),IF(M4164&lt;&gt;"",M4164,IFERROR(INDEX(catClasif,MATCH(D4164&amp;"|"&amp;E4164,catClave,0))&amp;"","Variable")),"")</f>
        <v/>
      </c>
      <c r="Y4164" s="52">
        <f>IF(P4164="","",IFERROR(INDEX(catGrupo,MATCH(D4164&amp;"|"&amp;E4164,catClave,0))&amp;"",""))</f>
        <v/>
      </c>
      <c r="Z4164" s="52">
        <f>IF(P4164="","",WEEKDAY(B4164,2))</f>
        <v/>
      </c>
      <c r="AA4164" s="52">
        <f>IF(P4164="","",IF(AND(P4164="Gasto",X4164="Variable",D4164&lt;&gt;catTrading,S4164&gt;0,S4164&lt;=Umbral),1,0))</f>
        <v/>
      </c>
      <c r="AB4164" s="52">
        <f>IF(OR(P4164="",Q4164=""),"",IFERROR(IF(INDEX(ctaVinc,MATCH(Q4164,ctaNombre,0))&amp;""&lt;&gt;"",INDEX(ctaVinc,MATCH(Q4164,ctaNombre,0))&amp;"",Q4164),Q4164))</f>
        <v/>
      </c>
      <c r="AC4164" s="52">
        <f>IF(OR(K4164="",AND(P4164&lt;&gt;"Transferencia",P4164&lt;&gt;"Pago tarjeta")),"",IFERROR(IF(INDEX(ctaVinc,MATCH(K4164,ctaNombre,0))&amp;""&lt;&gt;"",INDEX(ctaVinc,MATCH(K4164,ctaNombre,0))&amp;"",K4164),K4164))</f>
        <v/>
      </c>
      <c r="AD4164" s="52">
        <f>IF(AB4164="","",IFERROR(INDEX(ctaTipo,MATCH(AB4164,ctaNombre,0))&amp;"",""))</f>
        <v/>
      </c>
      <c r="AE4164" s="52">
        <f>IF(AC4164="","",IFERROR(INDEX(ctaTipo,MATCH(AC4164,ctaNombre,0))&amp;"",""))</f>
        <v/>
      </c>
      <c r="AF4164" s="53">
        <f>IF(OR(P4164="",AB4164=""),"",IF(OR(P4164="Gasto",P4164="Transferencia",P4164="Pago tarjeta"),-1,1)*IF(IFERROR(INDEX(ctaMoneda,MATCH(AB4164,ctaNombre,0))&amp;"","DOP")="USD",T4164,S4164))</f>
        <v/>
      </c>
      <c r="AG4164" s="53">
        <f>IF(AC4164="","",IF(IFERROR(INDEX(ctaMoneda,MATCH(AC4164,ctaNombre,0))&amp;"","DOP")="USD",T4164,S4164))</f>
        <v/>
      </c>
      <c r="AH4164" s="53">
        <f>IF(P4164="","",IF(AND(AD4164&lt;&gt;"",COUNTIFS(tcTipo,AD4164,tcLiq,"Sí")&gt;0),IF(OR(P4164="Gasto",P4164="Transferencia",P4164="Pago tarjeta"),-1,1)*S4164,0)+IF(AND(AE4164&lt;&gt;"",COUNTIFS(tcTipo,AE4164,tcLiq,"Sí")&gt;0),S4164,0))</f>
        <v/>
      </c>
      <c r="AI4164" s="52">
        <f>IF(OR(L4164="",P4164=""),"",IF(COUNTIFS(L$6:L4164,L4164,P$6:P4164,"?*")=1,MAX(AI$5:AI4163)+1,""))</f>
        <v/>
      </c>
    </row>
    <row r="4165">
      <c r="B4165" s="47" t="n"/>
      <c r="C4165" s="48" t="n"/>
      <c r="D4165" s="48" t="n"/>
      <c r="E4165" s="48" t="n"/>
      <c r="F4165" s="48" t="n"/>
      <c r="G4165" s="49" t="n"/>
      <c r="H4165" s="48" t="n"/>
      <c r="I4165" s="50" t="n"/>
      <c r="J4165" s="48" t="n"/>
      <c r="K4165" s="48" t="n"/>
      <c r="L4165" s="48" t="n"/>
      <c r="M4165" s="48" t="n"/>
      <c r="N4165" s="48" t="n"/>
      <c r="O4165" s="51">
        <f>IF(AND(B4165="",G4165="",C4165="",D4165="",J4165=""),"",IF(B4165="","⚠ Falta fecha",IF(G4165="","⚠ Falta monto",IF(Q4165="","⚠ Falta cuenta",IF(ISNA(MATCH(Q4165,ctaNombre,0)),"⚠ Cuenta no registrada",IF(AND(OR(P4165="Gasto",P4165="Reembolso"),D4165=""),"⚠ Falta categoría",IF(AND(D4165&lt;&gt;"",E4165&lt;&gt;"",ISNA(MATCH(D4165&amp;"|"&amp;E4165,catClave,0))),"⚠ Subcategoría no corresponde",IF(AND(OR(P4165="Transferencia",P4165="Pago tarjeta"),K4165=""),"⚠ Falta cuenta destino",IF(AND(K4165&lt;&gt;"",P4165&lt;&gt;"Transferencia",P4165&lt;&gt;"Pago tarjeta"),"⚠ Destino solo aplica a transferencias",IF(AND(K4165&lt;&gt;"",K4165=Q4165),"⚠ Origen igual a destino",IF(AND(K4165&lt;&gt;"",ISNA(MATCH(K4165,ctaNombre,0))),"⚠ Destino no registrado",IF(AND(P4165="Pago tarjeta",AE4165&lt;&gt;"Tarjeta de crédito"),"⚠ El destino debe ser tarjeta de crédito",IF(AND(P4165="Gasto",E4165="Depósitos y retiros"),"⚠ Usa tipo Transferencia",IF(AND(P4165="Resultado trading",AD4165&lt;&gt;"Cuenta de trading"),"⚠ Usa una cuenta de trading",IF(AND(G4165&lt;=0,P4165&lt;&gt;"Ajuste",P4165&lt;&gt;"Resultado trading"),"⚠ El monto debe ser positivo","✓")))))))))))))))</f>
        <v/>
      </c>
      <c r="P4165" s="52">
        <f>IF(OR(B4165="",G4165=""),"",IF(C4165="","Gasto",C4165))</f>
        <v/>
      </c>
      <c r="Q4165" s="52">
        <f>IF(P4165="","",IF(J4165&lt;&gt;"",J4165,CuentaPred&amp;""))</f>
        <v/>
      </c>
      <c r="R4165" s="52">
        <f>IF(P4165="","",IF(ISNUMBER(I4165),I4165,TasaUSD))</f>
        <v/>
      </c>
      <c r="S4165" s="53">
        <f>IF(P4165="","",IF(H4165="USD",G4165*R4165,G4165))</f>
        <v/>
      </c>
      <c r="T4165" s="53">
        <f>IF(P4165="","",IF(H4165="USD",G4165,IF(R4165&gt;0,G4165/R4165,0)))</f>
        <v/>
      </c>
      <c r="U4165" s="53">
        <f>IF(P4165="","",IF(P4165="Gasto",S4165,IF(P4165="Reembolso",-S4165,0)))</f>
        <v/>
      </c>
      <c r="V4165" s="53">
        <f>IF(P4165="","",IF(P4165="Ingreso",S4165,0))</f>
        <v/>
      </c>
      <c r="W4165" s="53">
        <f>IF(P4165="","",IF(P4165="Resultado trading",S4165,0))</f>
        <v/>
      </c>
      <c r="X4165" s="52">
        <f>IF(OR(P4165="Gasto",P4165="Reembolso"),IF(M4165&lt;&gt;"",M4165,IFERROR(INDEX(catClasif,MATCH(D4165&amp;"|"&amp;E4165,catClave,0))&amp;"","Variable")),"")</f>
        <v/>
      </c>
      <c r="Y4165" s="52">
        <f>IF(P4165="","",IFERROR(INDEX(catGrupo,MATCH(D4165&amp;"|"&amp;E4165,catClave,0))&amp;"",""))</f>
        <v/>
      </c>
      <c r="Z4165" s="52">
        <f>IF(P4165="","",WEEKDAY(B4165,2))</f>
        <v/>
      </c>
      <c r="AA4165" s="52">
        <f>IF(P4165="","",IF(AND(P4165="Gasto",X4165="Variable",D4165&lt;&gt;catTrading,S4165&gt;0,S4165&lt;=Umbral),1,0))</f>
        <v/>
      </c>
      <c r="AB4165" s="52">
        <f>IF(OR(P4165="",Q4165=""),"",IFERROR(IF(INDEX(ctaVinc,MATCH(Q4165,ctaNombre,0))&amp;""&lt;&gt;"",INDEX(ctaVinc,MATCH(Q4165,ctaNombre,0))&amp;"",Q4165),Q4165))</f>
        <v/>
      </c>
      <c r="AC4165" s="52">
        <f>IF(OR(K4165="",AND(P4165&lt;&gt;"Transferencia",P4165&lt;&gt;"Pago tarjeta")),"",IFERROR(IF(INDEX(ctaVinc,MATCH(K4165,ctaNombre,0))&amp;""&lt;&gt;"",INDEX(ctaVinc,MATCH(K4165,ctaNombre,0))&amp;"",K4165),K4165))</f>
        <v/>
      </c>
      <c r="AD4165" s="52">
        <f>IF(AB4165="","",IFERROR(INDEX(ctaTipo,MATCH(AB4165,ctaNombre,0))&amp;"",""))</f>
        <v/>
      </c>
      <c r="AE4165" s="52">
        <f>IF(AC4165="","",IFERROR(INDEX(ctaTipo,MATCH(AC4165,ctaNombre,0))&amp;"",""))</f>
        <v/>
      </c>
      <c r="AF4165" s="53">
        <f>IF(OR(P4165="",AB4165=""),"",IF(OR(P4165="Gasto",P4165="Transferencia",P4165="Pago tarjeta"),-1,1)*IF(IFERROR(INDEX(ctaMoneda,MATCH(AB4165,ctaNombre,0))&amp;"","DOP")="USD",T4165,S4165))</f>
        <v/>
      </c>
      <c r="AG4165" s="53">
        <f>IF(AC4165="","",IF(IFERROR(INDEX(ctaMoneda,MATCH(AC4165,ctaNombre,0))&amp;"","DOP")="USD",T4165,S4165))</f>
        <v/>
      </c>
      <c r="AH4165" s="53">
        <f>IF(P4165="","",IF(AND(AD4165&lt;&gt;"",COUNTIFS(tcTipo,AD4165,tcLiq,"Sí")&gt;0),IF(OR(P4165="Gasto",P4165="Transferencia",P4165="Pago tarjeta"),-1,1)*S4165,0)+IF(AND(AE4165&lt;&gt;"",COUNTIFS(tcTipo,AE4165,tcLiq,"Sí")&gt;0),S4165,0))</f>
        <v/>
      </c>
      <c r="AI4165" s="52">
        <f>IF(OR(L4165="",P4165=""),"",IF(COUNTIFS(L$6:L4165,L4165,P$6:P4165,"?*")=1,MAX(AI$5:AI4164)+1,""))</f>
        <v/>
      </c>
    </row>
    <row r="4166">
      <c r="B4166" s="47" t="n"/>
      <c r="C4166" s="48" t="n"/>
      <c r="D4166" s="48" t="n"/>
      <c r="E4166" s="48" t="n"/>
      <c r="F4166" s="48" t="n"/>
      <c r="G4166" s="49" t="n"/>
      <c r="H4166" s="48" t="n"/>
      <c r="I4166" s="50" t="n"/>
      <c r="J4166" s="48" t="n"/>
      <c r="K4166" s="48" t="n"/>
      <c r="L4166" s="48" t="n"/>
      <c r="M4166" s="48" t="n"/>
      <c r="N4166" s="48" t="n"/>
      <c r="O4166" s="51">
        <f>IF(AND(B4166="",G4166="",C4166="",D4166="",J4166=""),"",IF(B4166="","⚠ Falta fecha",IF(G4166="","⚠ Falta monto",IF(Q4166="","⚠ Falta cuenta",IF(ISNA(MATCH(Q4166,ctaNombre,0)),"⚠ Cuenta no registrada",IF(AND(OR(P4166="Gasto",P4166="Reembolso"),D4166=""),"⚠ Falta categoría",IF(AND(D4166&lt;&gt;"",E4166&lt;&gt;"",ISNA(MATCH(D4166&amp;"|"&amp;E4166,catClave,0))),"⚠ Subcategoría no corresponde",IF(AND(OR(P4166="Transferencia",P4166="Pago tarjeta"),K4166=""),"⚠ Falta cuenta destino",IF(AND(K4166&lt;&gt;"",P4166&lt;&gt;"Transferencia",P4166&lt;&gt;"Pago tarjeta"),"⚠ Destino solo aplica a transferencias",IF(AND(K4166&lt;&gt;"",K4166=Q4166),"⚠ Origen igual a destino",IF(AND(K4166&lt;&gt;"",ISNA(MATCH(K4166,ctaNombre,0))),"⚠ Destino no registrado",IF(AND(P4166="Pago tarjeta",AE4166&lt;&gt;"Tarjeta de crédito"),"⚠ El destino debe ser tarjeta de crédito",IF(AND(P4166="Gasto",E4166="Depósitos y retiros"),"⚠ Usa tipo Transferencia",IF(AND(P4166="Resultado trading",AD4166&lt;&gt;"Cuenta de trading"),"⚠ Usa una cuenta de trading",IF(AND(G4166&lt;=0,P4166&lt;&gt;"Ajuste",P4166&lt;&gt;"Resultado trading"),"⚠ El monto debe ser positivo","✓")))))))))))))))</f>
        <v/>
      </c>
      <c r="P4166" s="52">
        <f>IF(OR(B4166="",G4166=""),"",IF(C4166="","Gasto",C4166))</f>
        <v/>
      </c>
      <c r="Q4166" s="52">
        <f>IF(P4166="","",IF(J4166&lt;&gt;"",J4166,CuentaPred&amp;""))</f>
        <v/>
      </c>
      <c r="R4166" s="52">
        <f>IF(P4166="","",IF(ISNUMBER(I4166),I4166,TasaUSD))</f>
        <v/>
      </c>
      <c r="S4166" s="53">
        <f>IF(P4166="","",IF(H4166="USD",G4166*R4166,G4166))</f>
        <v/>
      </c>
      <c r="T4166" s="53">
        <f>IF(P4166="","",IF(H4166="USD",G4166,IF(R4166&gt;0,G4166/R4166,0)))</f>
        <v/>
      </c>
      <c r="U4166" s="53">
        <f>IF(P4166="","",IF(P4166="Gasto",S4166,IF(P4166="Reembolso",-S4166,0)))</f>
        <v/>
      </c>
      <c r="V4166" s="53">
        <f>IF(P4166="","",IF(P4166="Ingreso",S4166,0))</f>
        <v/>
      </c>
      <c r="W4166" s="53">
        <f>IF(P4166="","",IF(P4166="Resultado trading",S4166,0))</f>
        <v/>
      </c>
      <c r="X4166" s="52">
        <f>IF(OR(P4166="Gasto",P4166="Reembolso"),IF(M4166&lt;&gt;"",M4166,IFERROR(INDEX(catClasif,MATCH(D4166&amp;"|"&amp;E4166,catClave,0))&amp;"","Variable")),"")</f>
        <v/>
      </c>
      <c r="Y4166" s="52">
        <f>IF(P4166="","",IFERROR(INDEX(catGrupo,MATCH(D4166&amp;"|"&amp;E4166,catClave,0))&amp;"",""))</f>
        <v/>
      </c>
      <c r="Z4166" s="52">
        <f>IF(P4166="","",WEEKDAY(B4166,2))</f>
        <v/>
      </c>
      <c r="AA4166" s="52">
        <f>IF(P4166="","",IF(AND(P4166="Gasto",X4166="Variable",D4166&lt;&gt;catTrading,S4166&gt;0,S4166&lt;=Umbral),1,0))</f>
        <v/>
      </c>
      <c r="AB4166" s="52">
        <f>IF(OR(P4166="",Q4166=""),"",IFERROR(IF(INDEX(ctaVinc,MATCH(Q4166,ctaNombre,0))&amp;""&lt;&gt;"",INDEX(ctaVinc,MATCH(Q4166,ctaNombre,0))&amp;"",Q4166),Q4166))</f>
        <v/>
      </c>
      <c r="AC4166" s="52">
        <f>IF(OR(K4166="",AND(P4166&lt;&gt;"Transferencia",P4166&lt;&gt;"Pago tarjeta")),"",IFERROR(IF(INDEX(ctaVinc,MATCH(K4166,ctaNombre,0))&amp;""&lt;&gt;"",INDEX(ctaVinc,MATCH(K4166,ctaNombre,0))&amp;"",K4166),K4166))</f>
        <v/>
      </c>
      <c r="AD4166" s="52">
        <f>IF(AB4166="","",IFERROR(INDEX(ctaTipo,MATCH(AB4166,ctaNombre,0))&amp;"",""))</f>
        <v/>
      </c>
      <c r="AE4166" s="52">
        <f>IF(AC4166="","",IFERROR(INDEX(ctaTipo,MATCH(AC4166,ctaNombre,0))&amp;"",""))</f>
        <v/>
      </c>
      <c r="AF4166" s="53">
        <f>IF(OR(P4166="",AB4166=""),"",IF(OR(P4166="Gasto",P4166="Transferencia",P4166="Pago tarjeta"),-1,1)*IF(IFERROR(INDEX(ctaMoneda,MATCH(AB4166,ctaNombre,0))&amp;"","DOP")="USD",T4166,S4166))</f>
        <v/>
      </c>
      <c r="AG4166" s="53">
        <f>IF(AC4166="","",IF(IFERROR(INDEX(ctaMoneda,MATCH(AC4166,ctaNombre,0))&amp;"","DOP")="USD",T4166,S4166))</f>
        <v/>
      </c>
      <c r="AH4166" s="53">
        <f>IF(P4166="","",IF(AND(AD4166&lt;&gt;"",COUNTIFS(tcTipo,AD4166,tcLiq,"Sí")&gt;0),IF(OR(P4166="Gasto",P4166="Transferencia",P4166="Pago tarjeta"),-1,1)*S4166,0)+IF(AND(AE4166&lt;&gt;"",COUNTIFS(tcTipo,AE4166,tcLiq,"Sí")&gt;0),S4166,0))</f>
        <v/>
      </c>
      <c r="AI4166" s="52">
        <f>IF(OR(L4166="",P4166=""),"",IF(COUNTIFS(L$6:L4166,L4166,P$6:P4166,"?*")=1,MAX(AI$5:AI4165)+1,""))</f>
        <v/>
      </c>
    </row>
    <row r="4167">
      <c r="B4167" s="47" t="n"/>
      <c r="C4167" s="48" t="n"/>
      <c r="D4167" s="48" t="n"/>
      <c r="E4167" s="48" t="n"/>
      <c r="F4167" s="48" t="n"/>
      <c r="G4167" s="49" t="n"/>
      <c r="H4167" s="48" t="n"/>
      <c r="I4167" s="50" t="n"/>
      <c r="J4167" s="48" t="n"/>
      <c r="K4167" s="48" t="n"/>
      <c r="L4167" s="48" t="n"/>
      <c r="M4167" s="48" t="n"/>
      <c r="N4167" s="48" t="n"/>
      <c r="O4167" s="51">
        <f>IF(AND(B4167="",G4167="",C4167="",D4167="",J4167=""),"",IF(B4167="","⚠ Falta fecha",IF(G4167="","⚠ Falta monto",IF(Q4167="","⚠ Falta cuenta",IF(ISNA(MATCH(Q4167,ctaNombre,0)),"⚠ Cuenta no registrada",IF(AND(OR(P4167="Gasto",P4167="Reembolso"),D4167=""),"⚠ Falta categoría",IF(AND(D4167&lt;&gt;"",E4167&lt;&gt;"",ISNA(MATCH(D4167&amp;"|"&amp;E4167,catClave,0))),"⚠ Subcategoría no corresponde",IF(AND(OR(P4167="Transferencia",P4167="Pago tarjeta"),K4167=""),"⚠ Falta cuenta destino",IF(AND(K4167&lt;&gt;"",P4167&lt;&gt;"Transferencia",P4167&lt;&gt;"Pago tarjeta"),"⚠ Destino solo aplica a transferencias",IF(AND(K4167&lt;&gt;"",K4167=Q4167),"⚠ Origen igual a destino",IF(AND(K4167&lt;&gt;"",ISNA(MATCH(K4167,ctaNombre,0))),"⚠ Destino no registrado",IF(AND(P4167="Pago tarjeta",AE4167&lt;&gt;"Tarjeta de crédito"),"⚠ El destino debe ser tarjeta de crédito",IF(AND(P4167="Gasto",E4167="Depósitos y retiros"),"⚠ Usa tipo Transferencia",IF(AND(P4167="Resultado trading",AD4167&lt;&gt;"Cuenta de trading"),"⚠ Usa una cuenta de trading",IF(AND(G4167&lt;=0,P4167&lt;&gt;"Ajuste",P4167&lt;&gt;"Resultado trading"),"⚠ El monto debe ser positivo","✓")))))))))))))))</f>
        <v/>
      </c>
      <c r="P4167" s="52">
        <f>IF(OR(B4167="",G4167=""),"",IF(C4167="","Gasto",C4167))</f>
        <v/>
      </c>
      <c r="Q4167" s="52">
        <f>IF(P4167="","",IF(J4167&lt;&gt;"",J4167,CuentaPred&amp;""))</f>
        <v/>
      </c>
      <c r="R4167" s="52">
        <f>IF(P4167="","",IF(ISNUMBER(I4167),I4167,TasaUSD))</f>
        <v/>
      </c>
      <c r="S4167" s="53">
        <f>IF(P4167="","",IF(H4167="USD",G4167*R4167,G4167))</f>
        <v/>
      </c>
      <c r="T4167" s="53">
        <f>IF(P4167="","",IF(H4167="USD",G4167,IF(R4167&gt;0,G4167/R4167,0)))</f>
        <v/>
      </c>
      <c r="U4167" s="53">
        <f>IF(P4167="","",IF(P4167="Gasto",S4167,IF(P4167="Reembolso",-S4167,0)))</f>
        <v/>
      </c>
      <c r="V4167" s="53">
        <f>IF(P4167="","",IF(P4167="Ingreso",S4167,0))</f>
        <v/>
      </c>
      <c r="W4167" s="53">
        <f>IF(P4167="","",IF(P4167="Resultado trading",S4167,0))</f>
        <v/>
      </c>
      <c r="X4167" s="52">
        <f>IF(OR(P4167="Gasto",P4167="Reembolso"),IF(M4167&lt;&gt;"",M4167,IFERROR(INDEX(catClasif,MATCH(D4167&amp;"|"&amp;E4167,catClave,0))&amp;"","Variable")),"")</f>
        <v/>
      </c>
      <c r="Y4167" s="52">
        <f>IF(P4167="","",IFERROR(INDEX(catGrupo,MATCH(D4167&amp;"|"&amp;E4167,catClave,0))&amp;"",""))</f>
        <v/>
      </c>
      <c r="Z4167" s="52">
        <f>IF(P4167="","",WEEKDAY(B4167,2))</f>
        <v/>
      </c>
      <c r="AA4167" s="52">
        <f>IF(P4167="","",IF(AND(P4167="Gasto",X4167="Variable",D4167&lt;&gt;catTrading,S4167&gt;0,S4167&lt;=Umbral),1,0))</f>
        <v/>
      </c>
      <c r="AB4167" s="52">
        <f>IF(OR(P4167="",Q4167=""),"",IFERROR(IF(INDEX(ctaVinc,MATCH(Q4167,ctaNombre,0))&amp;""&lt;&gt;"",INDEX(ctaVinc,MATCH(Q4167,ctaNombre,0))&amp;"",Q4167),Q4167))</f>
        <v/>
      </c>
      <c r="AC4167" s="52">
        <f>IF(OR(K4167="",AND(P4167&lt;&gt;"Transferencia",P4167&lt;&gt;"Pago tarjeta")),"",IFERROR(IF(INDEX(ctaVinc,MATCH(K4167,ctaNombre,0))&amp;""&lt;&gt;"",INDEX(ctaVinc,MATCH(K4167,ctaNombre,0))&amp;"",K4167),K4167))</f>
        <v/>
      </c>
      <c r="AD4167" s="52">
        <f>IF(AB4167="","",IFERROR(INDEX(ctaTipo,MATCH(AB4167,ctaNombre,0))&amp;"",""))</f>
        <v/>
      </c>
      <c r="AE4167" s="52">
        <f>IF(AC4167="","",IFERROR(INDEX(ctaTipo,MATCH(AC4167,ctaNombre,0))&amp;"",""))</f>
        <v/>
      </c>
      <c r="AF4167" s="53">
        <f>IF(OR(P4167="",AB4167=""),"",IF(OR(P4167="Gasto",P4167="Transferencia",P4167="Pago tarjeta"),-1,1)*IF(IFERROR(INDEX(ctaMoneda,MATCH(AB4167,ctaNombre,0))&amp;"","DOP")="USD",T4167,S4167))</f>
        <v/>
      </c>
      <c r="AG4167" s="53">
        <f>IF(AC4167="","",IF(IFERROR(INDEX(ctaMoneda,MATCH(AC4167,ctaNombre,0))&amp;"","DOP")="USD",T4167,S4167))</f>
        <v/>
      </c>
      <c r="AH4167" s="53">
        <f>IF(P4167="","",IF(AND(AD4167&lt;&gt;"",COUNTIFS(tcTipo,AD4167,tcLiq,"Sí")&gt;0),IF(OR(P4167="Gasto",P4167="Transferencia",P4167="Pago tarjeta"),-1,1)*S4167,0)+IF(AND(AE4167&lt;&gt;"",COUNTIFS(tcTipo,AE4167,tcLiq,"Sí")&gt;0),S4167,0))</f>
        <v/>
      </c>
      <c r="AI4167" s="52">
        <f>IF(OR(L4167="",P4167=""),"",IF(COUNTIFS(L$6:L4167,L4167,P$6:P4167,"?*")=1,MAX(AI$5:AI4166)+1,""))</f>
        <v/>
      </c>
    </row>
    <row r="4168">
      <c r="B4168" s="47" t="n"/>
      <c r="C4168" s="48" t="n"/>
      <c r="D4168" s="48" t="n"/>
      <c r="E4168" s="48" t="n"/>
      <c r="F4168" s="48" t="n"/>
      <c r="G4168" s="49" t="n"/>
      <c r="H4168" s="48" t="n"/>
      <c r="I4168" s="50" t="n"/>
      <c r="J4168" s="48" t="n"/>
      <c r="K4168" s="48" t="n"/>
      <c r="L4168" s="48" t="n"/>
      <c r="M4168" s="48" t="n"/>
      <c r="N4168" s="48" t="n"/>
      <c r="O4168" s="51">
        <f>IF(AND(B4168="",G4168="",C4168="",D4168="",J4168=""),"",IF(B4168="","⚠ Falta fecha",IF(G4168="","⚠ Falta monto",IF(Q4168="","⚠ Falta cuenta",IF(ISNA(MATCH(Q4168,ctaNombre,0)),"⚠ Cuenta no registrada",IF(AND(OR(P4168="Gasto",P4168="Reembolso"),D4168=""),"⚠ Falta categoría",IF(AND(D4168&lt;&gt;"",E4168&lt;&gt;"",ISNA(MATCH(D4168&amp;"|"&amp;E4168,catClave,0))),"⚠ Subcategoría no corresponde",IF(AND(OR(P4168="Transferencia",P4168="Pago tarjeta"),K4168=""),"⚠ Falta cuenta destino",IF(AND(K4168&lt;&gt;"",P4168&lt;&gt;"Transferencia",P4168&lt;&gt;"Pago tarjeta"),"⚠ Destino solo aplica a transferencias",IF(AND(K4168&lt;&gt;"",K4168=Q4168),"⚠ Origen igual a destino",IF(AND(K4168&lt;&gt;"",ISNA(MATCH(K4168,ctaNombre,0))),"⚠ Destino no registrado",IF(AND(P4168="Pago tarjeta",AE4168&lt;&gt;"Tarjeta de crédito"),"⚠ El destino debe ser tarjeta de crédito",IF(AND(P4168="Gasto",E4168="Depósitos y retiros"),"⚠ Usa tipo Transferencia",IF(AND(P4168="Resultado trading",AD4168&lt;&gt;"Cuenta de trading"),"⚠ Usa una cuenta de trading",IF(AND(G4168&lt;=0,P4168&lt;&gt;"Ajuste",P4168&lt;&gt;"Resultado trading"),"⚠ El monto debe ser positivo","✓")))))))))))))))</f>
        <v/>
      </c>
      <c r="P4168" s="52">
        <f>IF(OR(B4168="",G4168=""),"",IF(C4168="","Gasto",C4168))</f>
        <v/>
      </c>
      <c r="Q4168" s="52">
        <f>IF(P4168="","",IF(J4168&lt;&gt;"",J4168,CuentaPred&amp;""))</f>
        <v/>
      </c>
      <c r="R4168" s="52">
        <f>IF(P4168="","",IF(ISNUMBER(I4168),I4168,TasaUSD))</f>
        <v/>
      </c>
      <c r="S4168" s="53">
        <f>IF(P4168="","",IF(H4168="USD",G4168*R4168,G4168))</f>
        <v/>
      </c>
      <c r="T4168" s="53">
        <f>IF(P4168="","",IF(H4168="USD",G4168,IF(R4168&gt;0,G4168/R4168,0)))</f>
        <v/>
      </c>
      <c r="U4168" s="53">
        <f>IF(P4168="","",IF(P4168="Gasto",S4168,IF(P4168="Reembolso",-S4168,0)))</f>
        <v/>
      </c>
      <c r="V4168" s="53">
        <f>IF(P4168="","",IF(P4168="Ingreso",S4168,0))</f>
        <v/>
      </c>
      <c r="W4168" s="53">
        <f>IF(P4168="","",IF(P4168="Resultado trading",S4168,0))</f>
        <v/>
      </c>
      <c r="X4168" s="52">
        <f>IF(OR(P4168="Gasto",P4168="Reembolso"),IF(M4168&lt;&gt;"",M4168,IFERROR(INDEX(catClasif,MATCH(D4168&amp;"|"&amp;E4168,catClave,0))&amp;"","Variable")),"")</f>
        <v/>
      </c>
      <c r="Y4168" s="52">
        <f>IF(P4168="","",IFERROR(INDEX(catGrupo,MATCH(D4168&amp;"|"&amp;E4168,catClave,0))&amp;"",""))</f>
        <v/>
      </c>
      <c r="Z4168" s="52">
        <f>IF(P4168="","",WEEKDAY(B4168,2))</f>
        <v/>
      </c>
      <c r="AA4168" s="52">
        <f>IF(P4168="","",IF(AND(P4168="Gasto",X4168="Variable",D4168&lt;&gt;catTrading,S4168&gt;0,S4168&lt;=Umbral),1,0))</f>
        <v/>
      </c>
      <c r="AB4168" s="52">
        <f>IF(OR(P4168="",Q4168=""),"",IFERROR(IF(INDEX(ctaVinc,MATCH(Q4168,ctaNombre,0))&amp;""&lt;&gt;"",INDEX(ctaVinc,MATCH(Q4168,ctaNombre,0))&amp;"",Q4168),Q4168))</f>
        <v/>
      </c>
      <c r="AC4168" s="52">
        <f>IF(OR(K4168="",AND(P4168&lt;&gt;"Transferencia",P4168&lt;&gt;"Pago tarjeta")),"",IFERROR(IF(INDEX(ctaVinc,MATCH(K4168,ctaNombre,0))&amp;""&lt;&gt;"",INDEX(ctaVinc,MATCH(K4168,ctaNombre,0))&amp;"",K4168),K4168))</f>
        <v/>
      </c>
      <c r="AD4168" s="52">
        <f>IF(AB4168="","",IFERROR(INDEX(ctaTipo,MATCH(AB4168,ctaNombre,0))&amp;"",""))</f>
        <v/>
      </c>
      <c r="AE4168" s="52">
        <f>IF(AC4168="","",IFERROR(INDEX(ctaTipo,MATCH(AC4168,ctaNombre,0))&amp;"",""))</f>
        <v/>
      </c>
      <c r="AF4168" s="53">
        <f>IF(OR(P4168="",AB4168=""),"",IF(OR(P4168="Gasto",P4168="Transferencia",P4168="Pago tarjeta"),-1,1)*IF(IFERROR(INDEX(ctaMoneda,MATCH(AB4168,ctaNombre,0))&amp;"","DOP")="USD",T4168,S4168))</f>
        <v/>
      </c>
      <c r="AG4168" s="53">
        <f>IF(AC4168="","",IF(IFERROR(INDEX(ctaMoneda,MATCH(AC4168,ctaNombre,0))&amp;"","DOP")="USD",T4168,S4168))</f>
        <v/>
      </c>
      <c r="AH4168" s="53">
        <f>IF(P4168="","",IF(AND(AD4168&lt;&gt;"",COUNTIFS(tcTipo,AD4168,tcLiq,"Sí")&gt;0),IF(OR(P4168="Gasto",P4168="Transferencia",P4168="Pago tarjeta"),-1,1)*S4168,0)+IF(AND(AE4168&lt;&gt;"",COUNTIFS(tcTipo,AE4168,tcLiq,"Sí")&gt;0),S4168,0))</f>
        <v/>
      </c>
      <c r="AI4168" s="52">
        <f>IF(OR(L4168="",P4168=""),"",IF(COUNTIFS(L$6:L4168,L4168,P$6:P4168,"?*")=1,MAX(AI$5:AI4167)+1,""))</f>
        <v/>
      </c>
    </row>
    <row r="4169">
      <c r="B4169" s="47" t="n"/>
      <c r="C4169" s="48" t="n"/>
      <c r="D4169" s="48" t="n"/>
      <c r="E4169" s="48" t="n"/>
      <c r="F4169" s="48" t="n"/>
      <c r="G4169" s="49" t="n"/>
      <c r="H4169" s="48" t="n"/>
      <c r="I4169" s="50" t="n"/>
      <c r="J4169" s="48" t="n"/>
      <c r="K4169" s="48" t="n"/>
      <c r="L4169" s="48" t="n"/>
      <c r="M4169" s="48" t="n"/>
      <c r="N4169" s="48" t="n"/>
      <c r="O4169" s="51">
        <f>IF(AND(B4169="",G4169="",C4169="",D4169="",J4169=""),"",IF(B4169="","⚠ Falta fecha",IF(G4169="","⚠ Falta monto",IF(Q4169="","⚠ Falta cuenta",IF(ISNA(MATCH(Q4169,ctaNombre,0)),"⚠ Cuenta no registrada",IF(AND(OR(P4169="Gasto",P4169="Reembolso"),D4169=""),"⚠ Falta categoría",IF(AND(D4169&lt;&gt;"",E4169&lt;&gt;"",ISNA(MATCH(D4169&amp;"|"&amp;E4169,catClave,0))),"⚠ Subcategoría no corresponde",IF(AND(OR(P4169="Transferencia",P4169="Pago tarjeta"),K4169=""),"⚠ Falta cuenta destino",IF(AND(K4169&lt;&gt;"",P4169&lt;&gt;"Transferencia",P4169&lt;&gt;"Pago tarjeta"),"⚠ Destino solo aplica a transferencias",IF(AND(K4169&lt;&gt;"",K4169=Q4169),"⚠ Origen igual a destino",IF(AND(K4169&lt;&gt;"",ISNA(MATCH(K4169,ctaNombre,0))),"⚠ Destino no registrado",IF(AND(P4169="Pago tarjeta",AE4169&lt;&gt;"Tarjeta de crédito"),"⚠ El destino debe ser tarjeta de crédito",IF(AND(P4169="Gasto",E4169="Depósitos y retiros"),"⚠ Usa tipo Transferencia",IF(AND(P4169="Resultado trading",AD4169&lt;&gt;"Cuenta de trading"),"⚠ Usa una cuenta de trading",IF(AND(G4169&lt;=0,P4169&lt;&gt;"Ajuste",P4169&lt;&gt;"Resultado trading"),"⚠ El monto debe ser positivo","✓")))))))))))))))</f>
        <v/>
      </c>
      <c r="P4169" s="52">
        <f>IF(OR(B4169="",G4169=""),"",IF(C4169="","Gasto",C4169))</f>
        <v/>
      </c>
      <c r="Q4169" s="52">
        <f>IF(P4169="","",IF(J4169&lt;&gt;"",J4169,CuentaPred&amp;""))</f>
        <v/>
      </c>
      <c r="R4169" s="52">
        <f>IF(P4169="","",IF(ISNUMBER(I4169),I4169,TasaUSD))</f>
        <v/>
      </c>
      <c r="S4169" s="53">
        <f>IF(P4169="","",IF(H4169="USD",G4169*R4169,G4169))</f>
        <v/>
      </c>
      <c r="T4169" s="53">
        <f>IF(P4169="","",IF(H4169="USD",G4169,IF(R4169&gt;0,G4169/R4169,0)))</f>
        <v/>
      </c>
      <c r="U4169" s="53">
        <f>IF(P4169="","",IF(P4169="Gasto",S4169,IF(P4169="Reembolso",-S4169,0)))</f>
        <v/>
      </c>
      <c r="V4169" s="53">
        <f>IF(P4169="","",IF(P4169="Ingreso",S4169,0))</f>
        <v/>
      </c>
      <c r="W4169" s="53">
        <f>IF(P4169="","",IF(P4169="Resultado trading",S4169,0))</f>
        <v/>
      </c>
      <c r="X4169" s="52">
        <f>IF(OR(P4169="Gasto",P4169="Reembolso"),IF(M4169&lt;&gt;"",M4169,IFERROR(INDEX(catClasif,MATCH(D4169&amp;"|"&amp;E4169,catClave,0))&amp;"","Variable")),"")</f>
        <v/>
      </c>
      <c r="Y4169" s="52">
        <f>IF(P4169="","",IFERROR(INDEX(catGrupo,MATCH(D4169&amp;"|"&amp;E4169,catClave,0))&amp;"",""))</f>
        <v/>
      </c>
      <c r="Z4169" s="52">
        <f>IF(P4169="","",WEEKDAY(B4169,2))</f>
        <v/>
      </c>
      <c r="AA4169" s="52">
        <f>IF(P4169="","",IF(AND(P4169="Gasto",X4169="Variable",D4169&lt;&gt;catTrading,S4169&gt;0,S4169&lt;=Umbral),1,0))</f>
        <v/>
      </c>
      <c r="AB4169" s="52">
        <f>IF(OR(P4169="",Q4169=""),"",IFERROR(IF(INDEX(ctaVinc,MATCH(Q4169,ctaNombre,0))&amp;""&lt;&gt;"",INDEX(ctaVinc,MATCH(Q4169,ctaNombre,0))&amp;"",Q4169),Q4169))</f>
        <v/>
      </c>
      <c r="AC4169" s="52">
        <f>IF(OR(K4169="",AND(P4169&lt;&gt;"Transferencia",P4169&lt;&gt;"Pago tarjeta")),"",IFERROR(IF(INDEX(ctaVinc,MATCH(K4169,ctaNombre,0))&amp;""&lt;&gt;"",INDEX(ctaVinc,MATCH(K4169,ctaNombre,0))&amp;"",K4169),K4169))</f>
        <v/>
      </c>
      <c r="AD4169" s="52">
        <f>IF(AB4169="","",IFERROR(INDEX(ctaTipo,MATCH(AB4169,ctaNombre,0))&amp;"",""))</f>
        <v/>
      </c>
      <c r="AE4169" s="52">
        <f>IF(AC4169="","",IFERROR(INDEX(ctaTipo,MATCH(AC4169,ctaNombre,0))&amp;"",""))</f>
        <v/>
      </c>
      <c r="AF4169" s="53">
        <f>IF(OR(P4169="",AB4169=""),"",IF(OR(P4169="Gasto",P4169="Transferencia",P4169="Pago tarjeta"),-1,1)*IF(IFERROR(INDEX(ctaMoneda,MATCH(AB4169,ctaNombre,0))&amp;"","DOP")="USD",T4169,S4169))</f>
        <v/>
      </c>
      <c r="AG4169" s="53">
        <f>IF(AC4169="","",IF(IFERROR(INDEX(ctaMoneda,MATCH(AC4169,ctaNombre,0))&amp;"","DOP")="USD",T4169,S4169))</f>
        <v/>
      </c>
      <c r="AH4169" s="53">
        <f>IF(P4169="","",IF(AND(AD4169&lt;&gt;"",COUNTIFS(tcTipo,AD4169,tcLiq,"Sí")&gt;0),IF(OR(P4169="Gasto",P4169="Transferencia",P4169="Pago tarjeta"),-1,1)*S4169,0)+IF(AND(AE4169&lt;&gt;"",COUNTIFS(tcTipo,AE4169,tcLiq,"Sí")&gt;0),S4169,0))</f>
        <v/>
      </c>
      <c r="AI4169" s="52">
        <f>IF(OR(L4169="",P4169=""),"",IF(COUNTIFS(L$6:L4169,L4169,P$6:P4169,"?*")=1,MAX(AI$5:AI4168)+1,""))</f>
        <v/>
      </c>
    </row>
    <row r="4170">
      <c r="B4170" s="47" t="n"/>
      <c r="C4170" s="48" t="n"/>
      <c r="D4170" s="48" t="n"/>
      <c r="E4170" s="48" t="n"/>
      <c r="F4170" s="48" t="n"/>
      <c r="G4170" s="49" t="n"/>
      <c r="H4170" s="48" t="n"/>
      <c r="I4170" s="50" t="n"/>
      <c r="J4170" s="48" t="n"/>
      <c r="K4170" s="48" t="n"/>
      <c r="L4170" s="48" t="n"/>
      <c r="M4170" s="48" t="n"/>
      <c r="N4170" s="48" t="n"/>
      <c r="O4170" s="51">
        <f>IF(AND(B4170="",G4170="",C4170="",D4170="",J4170=""),"",IF(B4170="","⚠ Falta fecha",IF(G4170="","⚠ Falta monto",IF(Q4170="","⚠ Falta cuenta",IF(ISNA(MATCH(Q4170,ctaNombre,0)),"⚠ Cuenta no registrada",IF(AND(OR(P4170="Gasto",P4170="Reembolso"),D4170=""),"⚠ Falta categoría",IF(AND(D4170&lt;&gt;"",E4170&lt;&gt;"",ISNA(MATCH(D4170&amp;"|"&amp;E4170,catClave,0))),"⚠ Subcategoría no corresponde",IF(AND(OR(P4170="Transferencia",P4170="Pago tarjeta"),K4170=""),"⚠ Falta cuenta destino",IF(AND(K4170&lt;&gt;"",P4170&lt;&gt;"Transferencia",P4170&lt;&gt;"Pago tarjeta"),"⚠ Destino solo aplica a transferencias",IF(AND(K4170&lt;&gt;"",K4170=Q4170),"⚠ Origen igual a destino",IF(AND(K4170&lt;&gt;"",ISNA(MATCH(K4170,ctaNombre,0))),"⚠ Destino no registrado",IF(AND(P4170="Pago tarjeta",AE4170&lt;&gt;"Tarjeta de crédito"),"⚠ El destino debe ser tarjeta de crédito",IF(AND(P4170="Gasto",E4170="Depósitos y retiros"),"⚠ Usa tipo Transferencia",IF(AND(P4170="Resultado trading",AD4170&lt;&gt;"Cuenta de trading"),"⚠ Usa una cuenta de trading",IF(AND(G4170&lt;=0,P4170&lt;&gt;"Ajuste",P4170&lt;&gt;"Resultado trading"),"⚠ El monto debe ser positivo","✓")))))))))))))))</f>
        <v/>
      </c>
      <c r="P4170" s="52">
        <f>IF(OR(B4170="",G4170=""),"",IF(C4170="","Gasto",C4170))</f>
        <v/>
      </c>
      <c r="Q4170" s="52">
        <f>IF(P4170="","",IF(J4170&lt;&gt;"",J4170,CuentaPred&amp;""))</f>
        <v/>
      </c>
      <c r="R4170" s="52">
        <f>IF(P4170="","",IF(ISNUMBER(I4170),I4170,TasaUSD))</f>
        <v/>
      </c>
      <c r="S4170" s="53">
        <f>IF(P4170="","",IF(H4170="USD",G4170*R4170,G4170))</f>
        <v/>
      </c>
      <c r="T4170" s="53">
        <f>IF(P4170="","",IF(H4170="USD",G4170,IF(R4170&gt;0,G4170/R4170,0)))</f>
        <v/>
      </c>
      <c r="U4170" s="53">
        <f>IF(P4170="","",IF(P4170="Gasto",S4170,IF(P4170="Reembolso",-S4170,0)))</f>
        <v/>
      </c>
      <c r="V4170" s="53">
        <f>IF(P4170="","",IF(P4170="Ingreso",S4170,0))</f>
        <v/>
      </c>
      <c r="W4170" s="53">
        <f>IF(P4170="","",IF(P4170="Resultado trading",S4170,0))</f>
        <v/>
      </c>
      <c r="X4170" s="52">
        <f>IF(OR(P4170="Gasto",P4170="Reembolso"),IF(M4170&lt;&gt;"",M4170,IFERROR(INDEX(catClasif,MATCH(D4170&amp;"|"&amp;E4170,catClave,0))&amp;"","Variable")),"")</f>
        <v/>
      </c>
      <c r="Y4170" s="52">
        <f>IF(P4170="","",IFERROR(INDEX(catGrupo,MATCH(D4170&amp;"|"&amp;E4170,catClave,0))&amp;"",""))</f>
        <v/>
      </c>
      <c r="Z4170" s="52">
        <f>IF(P4170="","",WEEKDAY(B4170,2))</f>
        <v/>
      </c>
      <c r="AA4170" s="52">
        <f>IF(P4170="","",IF(AND(P4170="Gasto",X4170="Variable",D4170&lt;&gt;catTrading,S4170&gt;0,S4170&lt;=Umbral),1,0))</f>
        <v/>
      </c>
      <c r="AB4170" s="52">
        <f>IF(OR(P4170="",Q4170=""),"",IFERROR(IF(INDEX(ctaVinc,MATCH(Q4170,ctaNombre,0))&amp;""&lt;&gt;"",INDEX(ctaVinc,MATCH(Q4170,ctaNombre,0))&amp;"",Q4170),Q4170))</f>
        <v/>
      </c>
      <c r="AC4170" s="52">
        <f>IF(OR(K4170="",AND(P4170&lt;&gt;"Transferencia",P4170&lt;&gt;"Pago tarjeta")),"",IFERROR(IF(INDEX(ctaVinc,MATCH(K4170,ctaNombre,0))&amp;""&lt;&gt;"",INDEX(ctaVinc,MATCH(K4170,ctaNombre,0))&amp;"",K4170),K4170))</f>
        <v/>
      </c>
      <c r="AD4170" s="52">
        <f>IF(AB4170="","",IFERROR(INDEX(ctaTipo,MATCH(AB4170,ctaNombre,0))&amp;"",""))</f>
        <v/>
      </c>
      <c r="AE4170" s="52">
        <f>IF(AC4170="","",IFERROR(INDEX(ctaTipo,MATCH(AC4170,ctaNombre,0))&amp;"",""))</f>
        <v/>
      </c>
      <c r="AF4170" s="53">
        <f>IF(OR(P4170="",AB4170=""),"",IF(OR(P4170="Gasto",P4170="Transferencia",P4170="Pago tarjeta"),-1,1)*IF(IFERROR(INDEX(ctaMoneda,MATCH(AB4170,ctaNombre,0))&amp;"","DOP")="USD",T4170,S4170))</f>
        <v/>
      </c>
      <c r="AG4170" s="53">
        <f>IF(AC4170="","",IF(IFERROR(INDEX(ctaMoneda,MATCH(AC4170,ctaNombre,0))&amp;"","DOP")="USD",T4170,S4170))</f>
        <v/>
      </c>
      <c r="AH4170" s="53">
        <f>IF(P4170="","",IF(AND(AD4170&lt;&gt;"",COUNTIFS(tcTipo,AD4170,tcLiq,"Sí")&gt;0),IF(OR(P4170="Gasto",P4170="Transferencia",P4170="Pago tarjeta"),-1,1)*S4170,0)+IF(AND(AE4170&lt;&gt;"",COUNTIFS(tcTipo,AE4170,tcLiq,"Sí")&gt;0),S4170,0))</f>
        <v/>
      </c>
      <c r="AI4170" s="52">
        <f>IF(OR(L4170="",P4170=""),"",IF(COUNTIFS(L$6:L4170,L4170,P$6:P4170,"?*")=1,MAX(AI$5:AI4169)+1,""))</f>
        <v/>
      </c>
    </row>
    <row r="4171">
      <c r="B4171" s="47" t="n"/>
      <c r="C4171" s="48" t="n"/>
      <c r="D4171" s="48" t="n"/>
      <c r="E4171" s="48" t="n"/>
      <c r="F4171" s="48" t="n"/>
      <c r="G4171" s="49" t="n"/>
      <c r="H4171" s="48" t="n"/>
      <c r="I4171" s="50" t="n"/>
      <c r="J4171" s="48" t="n"/>
      <c r="K4171" s="48" t="n"/>
      <c r="L4171" s="48" t="n"/>
      <c r="M4171" s="48" t="n"/>
      <c r="N4171" s="48" t="n"/>
      <c r="O4171" s="51">
        <f>IF(AND(B4171="",G4171="",C4171="",D4171="",J4171=""),"",IF(B4171="","⚠ Falta fecha",IF(G4171="","⚠ Falta monto",IF(Q4171="","⚠ Falta cuenta",IF(ISNA(MATCH(Q4171,ctaNombre,0)),"⚠ Cuenta no registrada",IF(AND(OR(P4171="Gasto",P4171="Reembolso"),D4171=""),"⚠ Falta categoría",IF(AND(D4171&lt;&gt;"",E4171&lt;&gt;"",ISNA(MATCH(D4171&amp;"|"&amp;E4171,catClave,0))),"⚠ Subcategoría no corresponde",IF(AND(OR(P4171="Transferencia",P4171="Pago tarjeta"),K4171=""),"⚠ Falta cuenta destino",IF(AND(K4171&lt;&gt;"",P4171&lt;&gt;"Transferencia",P4171&lt;&gt;"Pago tarjeta"),"⚠ Destino solo aplica a transferencias",IF(AND(K4171&lt;&gt;"",K4171=Q4171),"⚠ Origen igual a destino",IF(AND(K4171&lt;&gt;"",ISNA(MATCH(K4171,ctaNombre,0))),"⚠ Destino no registrado",IF(AND(P4171="Pago tarjeta",AE4171&lt;&gt;"Tarjeta de crédito"),"⚠ El destino debe ser tarjeta de crédito",IF(AND(P4171="Gasto",E4171="Depósitos y retiros"),"⚠ Usa tipo Transferencia",IF(AND(P4171="Resultado trading",AD4171&lt;&gt;"Cuenta de trading"),"⚠ Usa una cuenta de trading",IF(AND(G4171&lt;=0,P4171&lt;&gt;"Ajuste",P4171&lt;&gt;"Resultado trading"),"⚠ El monto debe ser positivo","✓")))))))))))))))</f>
        <v/>
      </c>
      <c r="P4171" s="52">
        <f>IF(OR(B4171="",G4171=""),"",IF(C4171="","Gasto",C4171))</f>
        <v/>
      </c>
      <c r="Q4171" s="52">
        <f>IF(P4171="","",IF(J4171&lt;&gt;"",J4171,CuentaPred&amp;""))</f>
        <v/>
      </c>
      <c r="R4171" s="52">
        <f>IF(P4171="","",IF(ISNUMBER(I4171),I4171,TasaUSD))</f>
        <v/>
      </c>
      <c r="S4171" s="53">
        <f>IF(P4171="","",IF(H4171="USD",G4171*R4171,G4171))</f>
        <v/>
      </c>
      <c r="T4171" s="53">
        <f>IF(P4171="","",IF(H4171="USD",G4171,IF(R4171&gt;0,G4171/R4171,0)))</f>
        <v/>
      </c>
      <c r="U4171" s="53">
        <f>IF(P4171="","",IF(P4171="Gasto",S4171,IF(P4171="Reembolso",-S4171,0)))</f>
        <v/>
      </c>
      <c r="V4171" s="53">
        <f>IF(P4171="","",IF(P4171="Ingreso",S4171,0))</f>
        <v/>
      </c>
      <c r="W4171" s="53">
        <f>IF(P4171="","",IF(P4171="Resultado trading",S4171,0))</f>
        <v/>
      </c>
      <c r="X4171" s="52">
        <f>IF(OR(P4171="Gasto",P4171="Reembolso"),IF(M4171&lt;&gt;"",M4171,IFERROR(INDEX(catClasif,MATCH(D4171&amp;"|"&amp;E4171,catClave,0))&amp;"","Variable")),"")</f>
        <v/>
      </c>
      <c r="Y4171" s="52">
        <f>IF(P4171="","",IFERROR(INDEX(catGrupo,MATCH(D4171&amp;"|"&amp;E4171,catClave,0))&amp;"",""))</f>
        <v/>
      </c>
      <c r="Z4171" s="52">
        <f>IF(P4171="","",WEEKDAY(B4171,2))</f>
        <v/>
      </c>
      <c r="AA4171" s="52">
        <f>IF(P4171="","",IF(AND(P4171="Gasto",X4171="Variable",D4171&lt;&gt;catTrading,S4171&gt;0,S4171&lt;=Umbral),1,0))</f>
        <v/>
      </c>
      <c r="AB4171" s="52">
        <f>IF(OR(P4171="",Q4171=""),"",IFERROR(IF(INDEX(ctaVinc,MATCH(Q4171,ctaNombre,0))&amp;""&lt;&gt;"",INDEX(ctaVinc,MATCH(Q4171,ctaNombre,0))&amp;"",Q4171),Q4171))</f>
        <v/>
      </c>
      <c r="AC4171" s="52">
        <f>IF(OR(K4171="",AND(P4171&lt;&gt;"Transferencia",P4171&lt;&gt;"Pago tarjeta")),"",IFERROR(IF(INDEX(ctaVinc,MATCH(K4171,ctaNombre,0))&amp;""&lt;&gt;"",INDEX(ctaVinc,MATCH(K4171,ctaNombre,0))&amp;"",K4171),K4171))</f>
        <v/>
      </c>
      <c r="AD4171" s="52">
        <f>IF(AB4171="","",IFERROR(INDEX(ctaTipo,MATCH(AB4171,ctaNombre,0))&amp;"",""))</f>
        <v/>
      </c>
      <c r="AE4171" s="52">
        <f>IF(AC4171="","",IFERROR(INDEX(ctaTipo,MATCH(AC4171,ctaNombre,0))&amp;"",""))</f>
        <v/>
      </c>
      <c r="AF4171" s="53">
        <f>IF(OR(P4171="",AB4171=""),"",IF(OR(P4171="Gasto",P4171="Transferencia",P4171="Pago tarjeta"),-1,1)*IF(IFERROR(INDEX(ctaMoneda,MATCH(AB4171,ctaNombre,0))&amp;"","DOP")="USD",T4171,S4171))</f>
        <v/>
      </c>
      <c r="AG4171" s="53">
        <f>IF(AC4171="","",IF(IFERROR(INDEX(ctaMoneda,MATCH(AC4171,ctaNombre,0))&amp;"","DOP")="USD",T4171,S4171))</f>
        <v/>
      </c>
      <c r="AH4171" s="53">
        <f>IF(P4171="","",IF(AND(AD4171&lt;&gt;"",COUNTIFS(tcTipo,AD4171,tcLiq,"Sí")&gt;0),IF(OR(P4171="Gasto",P4171="Transferencia",P4171="Pago tarjeta"),-1,1)*S4171,0)+IF(AND(AE4171&lt;&gt;"",COUNTIFS(tcTipo,AE4171,tcLiq,"Sí")&gt;0),S4171,0))</f>
        <v/>
      </c>
      <c r="AI4171" s="52">
        <f>IF(OR(L4171="",P4171=""),"",IF(COUNTIFS(L$6:L4171,L4171,P$6:P4171,"?*")=1,MAX(AI$5:AI4170)+1,""))</f>
        <v/>
      </c>
    </row>
    <row r="4172">
      <c r="B4172" s="47" t="n"/>
      <c r="C4172" s="48" t="n"/>
      <c r="D4172" s="48" t="n"/>
      <c r="E4172" s="48" t="n"/>
      <c r="F4172" s="48" t="n"/>
      <c r="G4172" s="49" t="n"/>
      <c r="H4172" s="48" t="n"/>
      <c r="I4172" s="50" t="n"/>
      <c r="J4172" s="48" t="n"/>
      <c r="K4172" s="48" t="n"/>
      <c r="L4172" s="48" t="n"/>
      <c r="M4172" s="48" t="n"/>
      <c r="N4172" s="48" t="n"/>
      <c r="O4172" s="51">
        <f>IF(AND(B4172="",G4172="",C4172="",D4172="",J4172=""),"",IF(B4172="","⚠ Falta fecha",IF(G4172="","⚠ Falta monto",IF(Q4172="","⚠ Falta cuenta",IF(ISNA(MATCH(Q4172,ctaNombre,0)),"⚠ Cuenta no registrada",IF(AND(OR(P4172="Gasto",P4172="Reembolso"),D4172=""),"⚠ Falta categoría",IF(AND(D4172&lt;&gt;"",E4172&lt;&gt;"",ISNA(MATCH(D4172&amp;"|"&amp;E4172,catClave,0))),"⚠ Subcategoría no corresponde",IF(AND(OR(P4172="Transferencia",P4172="Pago tarjeta"),K4172=""),"⚠ Falta cuenta destino",IF(AND(K4172&lt;&gt;"",P4172&lt;&gt;"Transferencia",P4172&lt;&gt;"Pago tarjeta"),"⚠ Destino solo aplica a transferencias",IF(AND(K4172&lt;&gt;"",K4172=Q4172),"⚠ Origen igual a destino",IF(AND(K4172&lt;&gt;"",ISNA(MATCH(K4172,ctaNombre,0))),"⚠ Destino no registrado",IF(AND(P4172="Pago tarjeta",AE4172&lt;&gt;"Tarjeta de crédito"),"⚠ El destino debe ser tarjeta de crédito",IF(AND(P4172="Gasto",E4172="Depósitos y retiros"),"⚠ Usa tipo Transferencia",IF(AND(P4172="Resultado trading",AD4172&lt;&gt;"Cuenta de trading"),"⚠ Usa una cuenta de trading",IF(AND(G4172&lt;=0,P4172&lt;&gt;"Ajuste",P4172&lt;&gt;"Resultado trading"),"⚠ El monto debe ser positivo","✓")))))))))))))))</f>
        <v/>
      </c>
      <c r="P4172" s="52">
        <f>IF(OR(B4172="",G4172=""),"",IF(C4172="","Gasto",C4172))</f>
        <v/>
      </c>
      <c r="Q4172" s="52">
        <f>IF(P4172="","",IF(J4172&lt;&gt;"",J4172,CuentaPred&amp;""))</f>
        <v/>
      </c>
      <c r="R4172" s="52">
        <f>IF(P4172="","",IF(ISNUMBER(I4172),I4172,TasaUSD))</f>
        <v/>
      </c>
      <c r="S4172" s="53">
        <f>IF(P4172="","",IF(H4172="USD",G4172*R4172,G4172))</f>
        <v/>
      </c>
      <c r="T4172" s="53">
        <f>IF(P4172="","",IF(H4172="USD",G4172,IF(R4172&gt;0,G4172/R4172,0)))</f>
        <v/>
      </c>
      <c r="U4172" s="53">
        <f>IF(P4172="","",IF(P4172="Gasto",S4172,IF(P4172="Reembolso",-S4172,0)))</f>
        <v/>
      </c>
      <c r="V4172" s="53">
        <f>IF(P4172="","",IF(P4172="Ingreso",S4172,0))</f>
        <v/>
      </c>
      <c r="W4172" s="53">
        <f>IF(P4172="","",IF(P4172="Resultado trading",S4172,0))</f>
        <v/>
      </c>
      <c r="X4172" s="52">
        <f>IF(OR(P4172="Gasto",P4172="Reembolso"),IF(M4172&lt;&gt;"",M4172,IFERROR(INDEX(catClasif,MATCH(D4172&amp;"|"&amp;E4172,catClave,0))&amp;"","Variable")),"")</f>
        <v/>
      </c>
      <c r="Y4172" s="52">
        <f>IF(P4172="","",IFERROR(INDEX(catGrupo,MATCH(D4172&amp;"|"&amp;E4172,catClave,0))&amp;"",""))</f>
        <v/>
      </c>
      <c r="Z4172" s="52">
        <f>IF(P4172="","",WEEKDAY(B4172,2))</f>
        <v/>
      </c>
      <c r="AA4172" s="52">
        <f>IF(P4172="","",IF(AND(P4172="Gasto",X4172="Variable",D4172&lt;&gt;catTrading,S4172&gt;0,S4172&lt;=Umbral),1,0))</f>
        <v/>
      </c>
      <c r="AB4172" s="52">
        <f>IF(OR(P4172="",Q4172=""),"",IFERROR(IF(INDEX(ctaVinc,MATCH(Q4172,ctaNombre,0))&amp;""&lt;&gt;"",INDEX(ctaVinc,MATCH(Q4172,ctaNombre,0))&amp;"",Q4172),Q4172))</f>
        <v/>
      </c>
      <c r="AC4172" s="52">
        <f>IF(OR(K4172="",AND(P4172&lt;&gt;"Transferencia",P4172&lt;&gt;"Pago tarjeta")),"",IFERROR(IF(INDEX(ctaVinc,MATCH(K4172,ctaNombre,0))&amp;""&lt;&gt;"",INDEX(ctaVinc,MATCH(K4172,ctaNombre,0))&amp;"",K4172),K4172))</f>
        <v/>
      </c>
      <c r="AD4172" s="52">
        <f>IF(AB4172="","",IFERROR(INDEX(ctaTipo,MATCH(AB4172,ctaNombre,0))&amp;"",""))</f>
        <v/>
      </c>
      <c r="AE4172" s="52">
        <f>IF(AC4172="","",IFERROR(INDEX(ctaTipo,MATCH(AC4172,ctaNombre,0))&amp;"",""))</f>
        <v/>
      </c>
      <c r="AF4172" s="53">
        <f>IF(OR(P4172="",AB4172=""),"",IF(OR(P4172="Gasto",P4172="Transferencia",P4172="Pago tarjeta"),-1,1)*IF(IFERROR(INDEX(ctaMoneda,MATCH(AB4172,ctaNombre,0))&amp;"","DOP")="USD",T4172,S4172))</f>
        <v/>
      </c>
      <c r="AG4172" s="53">
        <f>IF(AC4172="","",IF(IFERROR(INDEX(ctaMoneda,MATCH(AC4172,ctaNombre,0))&amp;"","DOP")="USD",T4172,S4172))</f>
        <v/>
      </c>
      <c r="AH4172" s="53">
        <f>IF(P4172="","",IF(AND(AD4172&lt;&gt;"",COUNTIFS(tcTipo,AD4172,tcLiq,"Sí")&gt;0),IF(OR(P4172="Gasto",P4172="Transferencia",P4172="Pago tarjeta"),-1,1)*S4172,0)+IF(AND(AE4172&lt;&gt;"",COUNTIFS(tcTipo,AE4172,tcLiq,"Sí")&gt;0),S4172,0))</f>
        <v/>
      </c>
      <c r="AI4172" s="52">
        <f>IF(OR(L4172="",P4172=""),"",IF(COUNTIFS(L$6:L4172,L4172,P$6:P4172,"?*")=1,MAX(AI$5:AI4171)+1,""))</f>
        <v/>
      </c>
    </row>
    <row r="4173">
      <c r="B4173" s="47" t="n"/>
      <c r="C4173" s="48" t="n"/>
      <c r="D4173" s="48" t="n"/>
      <c r="E4173" s="48" t="n"/>
      <c r="F4173" s="48" t="n"/>
      <c r="G4173" s="49" t="n"/>
      <c r="H4173" s="48" t="n"/>
      <c r="I4173" s="50" t="n"/>
      <c r="J4173" s="48" t="n"/>
      <c r="K4173" s="48" t="n"/>
      <c r="L4173" s="48" t="n"/>
      <c r="M4173" s="48" t="n"/>
      <c r="N4173" s="48" t="n"/>
      <c r="O4173" s="51">
        <f>IF(AND(B4173="",G4173="",C4173="",D4173="",J4173=""),"",IF(B4173="","⚠ Falta fecha",IF(G4173="","⚠ Falta monto",IF(Q4173="","⚠ Falta cuenta",IF(ISNA(MATCH(Q4173,ctaNombre,0)),"⚠ Cuenta no registrada",IF(AND(OR(P4173="Gasto",P4173="Reembolso"),D4173=""),"⚠ Falta categoría",IF(AND(D4173&lt;&gt;"",E4173&lt;&gt;"",ISNA(MATCH(D4173&amp;"|"&amp;E4173,catClave,0))),"⚠ Subcategoría no corresponde",IF(AND(OR(P4173="Transferencia",P4173="Pago tarjeta"),K4173=""),"⚠ Falta cuenta destino",IF(AND(K4173&lt;&gt;"",P4173&lt;&gt;"Transferencia",P4173&lt;&gt;"Pago tarjeta"),"⚠ Destino solo aplica a transferencias",IF(AND(K4173&lt;&gt;"",K4173=Q4173),"⚠ Origen igual a destino",IF(AND(K4173&lt;&gt;"",ISNA(MATCH(K4173,ctaNombre,0))),"⚠ Destino no registrado",IF(AND(P4173="Pago tarjeta",AE4173&lt;&gt;"Tarjeta de crédito"),"⚠ El destino debe ser tarjeta de crédito",IF(AND(P4173="Gasto",E4173="Depósitos y retiros"),"⚠ Usa tipo Transferencia",IF(AND(P4173="Resultado trading",AD4173&lt;&gt;"Cuenta de trading"),"⚠ Usa una cuenta de trading",IF(AND(G4173&lt;=0,P4173&lt;&gt;"Ajuste",P4173&lt;&gt;"Resultado trading"),"⚠ El monto debe ser positivo","✓")))))))))))))))</f>
        <v/>
      </c>
      <c r="P4173" s="52">
        <f>IF(OR(B4173="",G4173=""),"",IF(C4173="","Gasto",C4173))</f>
        <v/>
      </c>
      <c r="Q4173" s="52">
        <f>IF(P4173="","",IF(J4173&lt;&gt;"",J4173,CuentaPred&amp;""))</f>
        <v/>
      </c>
      <c r="R4173" s="52">
        <f>IF(P4173="","",IF(ISNUMBER(I4173),I4173,TasaUSD))</f>
        <v/>
      </c>
      <c r="S4173" s="53">
        <f>IF(P4173="","",IF(H4173="USD",G4173*R4173,G4173))</f>
        <v/>
      </c>
      <c r="T4173" s="53">
        <f>IF(P4173="","",IF(H4173="USD",G4173,IF(R4173&gt;0,G4173/R4173,0)))</f>
        <v/>
      </c>
      <c r="U4173" s="53">
        <f>IF(P4173="","",IF(P4173="Gasto",S4173,IF(P4173="Reembolso",-S4173,0)))</f>
        <v/>
      </c>
      <c r="V4173" s="53">
        <f>IF(P4173="","",IF(P4173="Ingreso",S4173,0))</f>
        <v/>
      </c>
      <c r="W4173" s="53">
        <f>IF(P4173="","",IF(P4173="Resultado trading",S4173,0))</f>
        <v/>
      </c>
      <c r="X4173" s="52">
        <f>IF(OR(P4173="Gasto",P4173="Reembolso"),IF(M4173&lt;&gt;"",M4173,IFERROR(INDEX(catClasif,MATCH(D4173&amp;"|"&amp;E4173,catClave,0))&amp;"","Variable")),"")</f>
        <v/>
      </c>
      <c r="Y4173" s="52">
        <f>IF(P4173="","",IFERROR(INDEX(catGrupo,MATCH(D4173&amp;"|"&amp;E4173,catClave,0))&amp;"",""))</f>
        <v/>
      </c>
      <c r="Z4173" s="52">
        <f>IF(P4173="","",WEEKDAY(B4173,2))</f>
        <v/>
      </c>
      <c r="AA4173" s="52">
        <f>IF(P4173="","",IF(AND(P4173="Gasto",X4173="Variable",D4173&lt;&gt;catTrading,S4173&gt;0,S4173&lt;=Umbral),1,0))</f>
        <v/>
      </c>
      <c r="AB4173" s="52">
        <f>IF(OR(P4173="",Q4173=""),"",IFERROR(IF(INDEX(ctaVinc,MATCH(Q4173,ctaNombre,0))&amp;""&lt;&gt;"",INDEX(ctaVinc,MATCH(Q4173,ctaNombre,0))&amp;"",Q4173),Q4173))</f>
        <v/>
      </c>
      <c r="AC4173" s="52">
        <f>IF(OR(K4173="",AND(P4173&lt;&gt;"Transferencia",P4173&lt;&gt;"Pago tarjeta")),"",IFERROR(IF(INDEX(ctaVinc,MATCH(K4173,ctaNombre,0))&amp;""&lt;&gt;"",INDEX(ctaVinc,MATCH(K4173,ctaNombre,0))&amp;"",K4173),K4173))</f>
        <v/>
      </c>
      <c r="AD4173" s="52">
        <f>IF(AB4173="","",IFERROR(INDEX(ctaTipo,MATCH(AB4173,ctaNombre,0))&amp;"",""))</f>
        <v/>
      </c>
      <c r="AE4173" s="52">
        <f>IF(AC4173="","",IFERROR(INDEX(ctaTipo,MATCH(AC4173,ctaNombre,0))&amp;"",""))</f>
        <v/>
      </c>
      <c r="AF4173" s="53">
        <f>IF(OR(P4173="",AB4173=""),"",IF(OR(P4173="Gasto",P4173="Transferencia",P4173="Pago tarjeta"),-1,1)*IF(IFERROR(INDEX(ctaMoneda,MATCH(AB4173,ctaNombre,0))&amp;"","DOP")="USD",T4173,S4173))</f>
        <v/>
      </c>
      <c r="AG4173" s="53">
        <f>IF(AC4173="","",IF(IFERROR(INDEX(ctaMoneda,MATCH(AC4173,ctaNombre,0))&amp;"","DOP")="USD",T4173,S4173))</f>
        <v/>
      </c>
      <c r="AH4173" s="53">
        <f>IF(P4173="","",IF(AND(AD4173&lt;&gt;"",COUNTIFS(tcTipo,AD4173,tcLiq,"Sí")&gt;0),IF(OR(P4173="Gasto",P4173="Transferencia",P4173="Pago tarjeta"),-1,1)*S4173,0)+IF(AND(AE4173&lt;&gt;"",COUNTIFS(tcTipo,AE4173,tcLiq,"Sí")&gt;0),S4173,0))</f>
        <v/>
      </c>
      <c r="AI4173" s="52">
        <f>IF(OR(L4173="",P4173=""),"",IF(COUNTIFS(L$6:L4173,L4173,P$6:P4173,"?*")=1,MAX(AI$5:AI4172)+1,""))</f>
        <v/>
      </c>
    </row>
    <row r="4174">
      <c r="B4174" s="47" t="n"/>
      <c r="C4174" s="48" t="n"/>
      <c r="D4174" s="48" t="n"/>
      <c r="E4174" s="48" t="n"/>
      <c r="F4174" s="48" t="n"/>
      <c r="G4174" s="49" t="n"/>
      <c r="H4174" s="48" t="n"/>
      <c r="I4174" s="50" t="n"/>
      <c r="J4174" s="48" t="n"/>
      <c r="K4174" s="48" t="n"/>
      <c r="L4174" s="48" t="n"/>
      <c r="M4174" s="48" t="n"/>
      <c r="N4174" s="48" t="n"/>
      <c r="O4174" s="51">
        <f>IF(AND(B4174="",G4174="",C4174="",D4174="",J4174=""),"",IF(B4174="","⚠ Falta fecha",IF(G4174="","⚠ Falta monto",IF(Q4174="","⚠ Falta cuenta",IF(ISNA(MATCH(Q4174,ctaNombre,0)),"⚠ Cuenta no registrada",IF(AND(OR(P4174="Gasto",P4174="Reembolso"),D4174=""),"⚠ Falta categoría",IF(AND(D4174&lt;&gt;"",E4174&lt;&gt;"",ISNA(MATCH(D4174&amp;"|"&amp;E4174,catClave,0))),"⚠ Subcategoría no corresponde",IF(AND(OR(P4174="Transferencia",P4174="Pago tarjeta"),K4174=""),"⚠ Falta cuenta destino",IF(AND(K4174&lt;&gt;"",P4174&lt;&gt;"Transferencia",P4174&lt;&gt;"Pago tarjeta"),"⚠ Destino solo aplica a transferencias",IF(AND(K4174&lt;&gt;"",K4174=Q4174),"⚠ Origen igual a destino",IF(AND(K4174&lt;&gt;"",ISNA(MATCH(K4174,ctaNombre,0))),"⚠ Destino no registrado",IF(AND(P4174="Pago tarjeta",AE4174&lt;&gt;"Tarjeta de crédito"),"⚠ El destino debe ser tarjeta de crédito",IF(AND(P4174="Gasto",E4174="Depósitos y retiros"),"⚠ Usa tipo Transferencia",IF(AND(P4174="Resultado trading",AD4174&lt;&gt;"Cuenta de trading"),"⚠ Usa una cuenta de trading",IF(AND(G4174&lt;=0,P4174&lt;&gt;"Ajuste",P4174&lt;&gt;"Resultado trading"),"⚠ El monto debe ser positivo","✓")))))))))))))))</f>
        <v/>
      </c>
      <c r="P4174" s="52">
        <f>IF(OR(B4174="",G4174=""),"",IF(C4174="","Gasto",C4174))</f>
        <v/>
      </c>
      <c r="Q4174" s="52">
        <f>IF(P4174="","",IF(J4174&lt;&gt;"",J4174,CuentaPred&amp;""))</f>
        <v/>
      </c>
      <c r="R4174" s="52">
        <f>IF(P4174="","",IF(ISNUMBER(I4174),I4174,TasaUSD))</f>
        <v/>
      </c>
      <c r="S4174" s="53">
        <f>IF(P4174="","",IF(H4174="USD",G4174*R4174,G4174))</f>
        <v/>
      </c>
      <c r="T4174" s="53">
        <f>IF(P4174="","",IF(H4174="USD",G4174,IF(R4174&gt;0,G4174/R4174,0)))</f>
        <v/>
      </c>
      <c r="U4174" s="53">
        <f>IF(P4174="","",IF(P4174="Gasto",S4174,IF(P4174="Reembolso",-S4174,0)))</f>
        <v/>
      </c>
      <c r="V4174" s="53">
        <f>IF(P4174="","",IF(P4174="Ingreso",S4174,0))</f>
        <v/>
      </c>
      <c r="W4174" s="53">
        <f>IF(P4174="","",IF(P4174="Resultado trading",S4174,0))</f>
        <v/>
      </c>
      <c r="X4174" s="52">
        <f>IF(OR(P4174="Gasto",P4174="Reembolso"),IF(M4174&lt;&gt;"",M4174,IFERROR(INDEX(catClasif,MATCH(D4174&amp;"|"&amp;E4174,catClave,0))&amp;"","Variable")),"")</f>
        <v/>
      </c>
      <c r="Y4174" s="52">
        <f>IF(P4174="","",IFERROR(INDEX(catGrupo,MATCH(D4174&amp;"|"&amp;E4174,catClave,0))&amp;"",""))</f>
        <v/>
      </c>
      <c r="Z4174" s="52">
        <f>IF(P4174="","",WEEKDAY(B4174,2))</f>
        <v/>
      </c>
      <c r="AA4174" s="52">
        <f>IF(P4174="","",IF(AND(P4174="Gasto",X4174="Variable",D4174&lt;&gt;catTrading,S4174&gt;0,S4174&lt;=Umbral),1,0))</f>
        <v/>
      </c>
      <c r="AB4174" s="52">
        <f>IF(OR(P4174="",Q4174=""),"",IFERROR(IF(INDEX(ctaVinc,MATCH(Q4174,ctaNombre,0))&amp;""&lt;&gt;"",INDEX(ctaVinc,MATCH(Q4174,ctaNombre,0))&amp;"",Q4174),Q4174))</f>
        <v/>
      </c>
      <c r="AC4174" s="52">
        <f>IF(OR(K4174="",AND(P4174&lt;&gt;"Transferencia",P4174&lt;&gt;"Pago tarjeta")),"",IFERROR(IF(INDEX(ctaVinc,MATCH(K4174,ctaNombre,0))&amp;""&lt;&gt;"",INDEX(ctaVinc,MATCH(K4174,ctaNombre,0))&amp;"",K4174),K4174))</f>
        <v/>
      </c>
      <c r="AD4174" s="52">
        <f>IF(AB4174="","",IFERROR(INDEX(ctaTipo,MATCH(AB4174,ctaNombre,0))&amp;"",""))</f>
        <v/>
      </c>
      <c r="AE4174" s="52">
        <f>IF(AC4174="","",IFERROR(INDEX(ctaTipo,MATCH(AC4174,ctaNombre,0))&amp;"",""))</f>
        <v/>
      </c>
      <c r="AF4174" s="53">
        <f>IF(OR(P4174="",AB4174=""),"",IF(OR(P4174="Gasto",P4174="Transferencia",P4174="Pago tarjeta"),-1,1)*IF(IFERROR(INDEX(ctaMoneda,MATCH(AB4174,ctaNombre,0))&amp;"","DOP")="USD",T4174,S4174))</f>
        <v/>
      </c>
      <c r="AG4174" s="53">
        <f>IF(AC4174="","",IF(IFERROR(INDEX(ctaMoneda,MATCH(AC4174,ctaNombre,0))&amp;"","DOP")="USD",T4174,S4174))</f>
        <v/>
      </c>
      <c r="AH4174" s="53">
        <f>IF(P4174="","",IF(AND(AD4174&lt;&gt;"",COUNTIFS(tcTipo,AD4174,tcLiq,"Sí")&gt;0),IF(OR(P4174="Gasto",P4174="Transferencia",P4174="Pago tarjeta"),-1,1)*S4174,0)+IF(AND(AE4174&lt;&gt;"",COUNTIFS(tcTipo,AE4174,tcLiq,"Sí")&gt;0),S4174,0))</f>
        <v/>
      </c>
      <c r="AI4174" s="52">
        <f>IF(OR(L4174="",P4174=""),"",IF(COUNTIFS(L$6:L4174,L4174,P$6:P4174,"?*")=1,MAX(AI$5:AI4173)+1,""))</f>
        <v/>
      </c>
    </row>
    <row r="4175">
      <c r="B4175" s="47" t="n"/>
      <c r="C4175" s="48" t="n"/>
      <c r="D4175" s="48" t="n"/>
      <c r="E4175" s="48" t="n"/>
      <c r="F4175" s="48" t="n"/>
      <c r="G4175" s="49" t="n"/>
      <c r="H4175" s="48" t="n"/>
      <c r="I4175" s="50" t="n"/>
      <c r="J4175" s="48" t="n"/>
      <c r="K4175" s="48" t="n"/>
      <c r="L4175" s="48" t="n"/>
      <c r="M4175" s="48" t="n"/>
      <c r="N4175" s="48" t="n"/>
      <c r="O4175" s="51">
        <f>IF(AND(B4175="",G4175="",C4175="",D4175="",J4175=""),"",IF(B4175="","⚠ Falta fecha",IF(G4175="","⚠ Falta monto",IF(Q4175="","⚠ Falta cuenta",IF(ISNA(MATCH(Q4175,ctaNombre,0)),"⚠ Cuenta no registrada",IF(AND(OR(P4175="Gasto",P4175="Reembolso"),D4175=""),"⚠ Falta categoría",IF(AND(D4175&lt;&gt;"",E4175&lt;&gt;"",ISNA(MATCH(D4175&amp;"|"&amp;E4175,catClave,0))),"⚠ Subcategoría no corresponde",IF(AND(OR(P4175="Transferencia",P4175="Pago tarjeta"),K4175=""),"⚠ Falta cuenta destino",IF(AND(K4175&lt;&gt;"",P4175&lt;&gt;"Transferencia",P4175&lt;&gt;"Pago tarjeta"),"⚠ Destino solo aplica a transferencias",IF(AND(K4175&lt;&gt;"",K4175=Q4175),"⚠ Origen igual a destino",IF(AND(K4175&lt;&gt;"",ISNA(MATCH(K4175,ctaNombre,0))),"⚠ Destino no registrado",IF(AND(P4175="Pago tarjeta",AE4175&lt;&gt;"Tarjeta de crédito"),"⚠ El destino debe ser tarjeta de crédito",IF(AND(P4175="Gasto",E4175="Depósitos y retiros"),"⚠ Usa tipo Transferencia",IF(AND(P4175="Resultado trading",AD4175&lt;&gt;"Cuenta de trading"),"⚠ Usa una cuenta de trading",IF(AND(G4175&lt;=0,P4175&lt;&gt;"Ajuste",P4175&lt;&gt;"Resultado trading"),"⚠ El monto debe ser positivo","✓")))))))))))))))</f>
        <v/>
      </c>
      <c r="P4175" s="52">
        <f>IF(OR(B4175="",G4175=""),"",IF(C4175="","Gasto",C4175))</f>
        <v/>
      </c>
      <c r="Q4175" s="52">
        <f>IF(P4175="","",IF(J4175&lt;&gt;"",J4175,CuentaPred&amp;""))</f>
        <v/>
      </c>
      <c r="R4175" s="52">
        <f>IF(P4175="","",IF(ISNUMBER(I4175),I4175,TasaUSD))</f>
        <v/>
      </c>
      <c r="S4175" s="53">
        <f>IF(P4175="","",IF(H4175="USD",G4175*R4175,G4175))</f>
        <v/>
      </c>
      <c r="T4175" s="53">
        <f>IF(P4175="","",IF(H4175="USD",G4175,IF(R4175&gt;0,G4175/R4175,0)))</f>
        <v/>
      </c>
      <c r="U4175" s="53">
        <f>IF(P4175="","",IF(P4175="Gasto",S4175,IF(P4175="Reembolso",-S4175,0)))</f>
        <v/>
      </c>
      <c r="V4175" s="53">
        <f>IF(P4175="","",IF(P4175="Ingreso",S4175,0))</f>
        <v/>
      </c>
      <c r="W4175" s="53">
        <f>IF(P4175="","",IF(P4175="Resultado trading",S4175,0))</f>
        <v/>
      </c>
      <c r="X4175" s="52">
        <f>IF(OR(P4175="Gasto",P4175="Reembolso"),IF(M4175&lt;&gt;"",M4175,IFERROR(INDEX(catClasif,MATCH(D4175&amp;"|"&amp;E4175,catClave,0))&amp;"","Variable")),"")</f>
        <v/>
      </c>
      <c r="Y4175" s="52">
        <f>IF(P4175="","",IFERROR(INDEX(catGrupo,MATCH(D4175&amp;"|"&amp;E4175,catClave,0))&amp;"",""))</f>
        <v/>
      </c>
      <c r="Z4175" s="52">
        <f>IF(P4175="","",WEEKDAY(B4175,2))</f>
        <v/>
      </c>
      <c r="AA4175" s="52">
        <f>IF(P4175="","",IF(AND(P4175="Gasto",X4175="Variable",D4175&lt;&gt;catTrading,S4175&gt;0,S4175&lt;=Umbral),1,0))</f>
        <v/>
      </c>
      <c r="AB4175" s="52">
        <f>IF(OR(P4175="",Q4175=""),"",IFERROR(IF(INDEX(ctaVinc,MATCH(Q4175,ctaNombre,0))&amp;""&lt;&gt;"",INDEX(ctaVinc,MATCH(Q4175,ctaNombre,0))&amp;"",Q4175),Q4175))</f>
        <v/>
      </c>
      <c r="AC4175" s="52">
        <f>IF(OR(K4175="",AND(P4175&lt;&gt;"Transferencia",P4175&lt;&gt;"Pago tarjeta")),"",IFERROR(IF(INDEX(ctaVinc,MATCH(K4175,ctaNombre,0))&amp;""&lt;&gt;"",INDEX(ctaVinc,MATCH(K4175,ctaNombre,0))&amp;"",K4175),K4175))</f>
        <v/>
      </c>
      <c r="AD4175" s="52">
        <f>IF(AB4175="","",IFERROR(INDEX(ctaTipo,MATCH(AB4175,ctaNombre,0))&amp;"",""))</f>
        <v/>
      </c>
      <c r="AE4175" s="52">
        <f>IF(AC4175="","",IFERROR(INDEX(ctaTipo,MATCH(AC4175,ctaNombre,0))&amp;"",""))</f>
        <v/>
      </c>
      <c r="AF4175" s="53">
        <f>IF(OR(P4175="",AB4175=""),"",IF(OR(P4175="Gasto",P4175="Transferencia",P4175="Pago tarjeta"),-1,1)*IF(IFERROR(INDEX(ctaMoneda,MATCH(AB4175,ctaNombre,0))&amp;"","DOP")="USD",T4175,S4175))</f>
        <v/>
      </c>
      <c r="AG4175" s="53">
        <f>IF(AC4175="","",IF(IFERROR(INDEX(ctaMoneda,MATCH(AC4175,ctaNombre,0))&amp;"","DOP")="USD",T4175,S4175))</f>
        <v/>
      </c>
      <c r="AH4175" s="53">
        <f>IF(P4175="","",IF(AND(AD4175&lt;&gt;"",COUNTIFS(tcTipo,AD4175,tcLiq,"Sí")&gt;0),IF(OR(P4175="Gasto",P4175="Transferencia",P4175="Pago tarjeta"),-1,1)*S4175,0)+IF(AND(AE4175&lt;&gt;"",COUNTIFS(tcTipo,AE4175,tcLiq,"Sí")&gt;0),S4175,0))</f>
        <v/>
      </c>
      <c r="AI4175" s="52">
        <f>IF(OR(L4175="",P4175=""),"",IF(COUNTIFS(L$6:L4175,L4175,P$6:P4175,"?*")=1,MAX(AI$5:AI4174)+1,""))</f>
        <v/>
      </c>
    </row>
    <row r="4176">
      <c r="B4176" s="47" t="n"/>
      <c r="C4176" s="48" t="n"/>
      <c r="D4176" s="48" t="n"/>
      <c r="E4176" s="48" t="n"/>
      <c r="F4176" s="48" t="n"/>
      <c r="G4176" s="49" t="n"/>
      <c r="H4176" s="48" t="n"/>
      <c r="I4176" s="50" t="n"/>
      <c r="J4176" s="48" t="n"/>
      <c r="K4176" s="48" t="n"/>
      <c r="L4176" s="48" t="n"/>
      <c r="M4176" s="48" t="n"/>
      <c r="N4176" s="48" t="n"/>
      <c r="O4176" s="51">
        <f>IF(AND(B4176="",G4176="",C4176="",D4176="",J4176=""),"",IF(B4176="","⚠ Falta fecha",IF(G4176="","⚠ Falta monto",IF(Q4176="","⚠ Falta cuenta",IF(ISNA(MATCH(Q4176,ctaNombre,0)),"⚠ Cuenta no registrada",IF(AND(OR(P4176="Gasto",P4176="Reembolso"),D4176=""),"⚠ Falta categoría",IF(AND(D4176&lt;&gt;"",E4176&lt;&gt;"",ISNA(MATCH(D4176&amp;"|"&amp;E4176,catClave,0))),"⚠ Subcategoría no corresponde",IF(AND(OR(P4176="Transferencia",P4176="Pago tarjeta"),K4176=""),"⚠ Falta cuenta destino",IF(AND(K4176&lt;&gt;"",P4176&lt;&gt;"Transferencia",P4176&lt;&gt;"Pago tarjeta"),"⚠ Destino solo aplica a transferencias",IF(AND(K4176&lt;&gt;"",K4176=Q4176),"⚠ Origen igual a destino",IF(AND(K4176&lt;&gt;"",ISNA(MATCH(K4176,ctaNombre,0))),"⚠ Destino no registrado",IF(AND(P4176="Pago tarjeta",AE4176&lt;&gt;"Tarjeta de crédito"),"⚠ El destino debe ser tarjeta de crédito",IF(AND(P4176="Gasto",E4176="Depósitos y retiros"),"⚠ Usa tipo Transferencia",IF(AND(P4176="Resultado trading",AD4176&lt;&gt;"Cuenta de trading"),"⚠ Usa una cuenta de trading",IF(AND(G4176&lt;=0,P4176&lt;&gt;"Ajuste",P4176&lt;&gt;"Resultado trading"),"⚠ El monto debe ser positivo","✓")))))))))))))))</f>
        <v/>
      </c>
      <c r="P4176" s="52">
        <f>IF(OR(B4176="",G4176=""),"",IF(C4176="","Gasto",C4176))</f>
        <v/>
      </c>
      <c r="Q4176" s="52">
        <f>IF(P4176="","",IF(J4176&lt;&gt;"",J4176,CuentaPred&amp;""))</f>
        <v/>
      </c>
      <c r="R4176" s="52">
        <f>IF(P4176="","",IF(ISNUMBER(I4176),I4176,TasaUSD))</f>
        <v/>
      </c>
      <c r="S4176" s="53">
        <f>IF(P4176="","",IF(H4176="USD",G4176*R4176,G4176))</f>
        <v/>
      </c>
      <c r="T4176" s="53">
        <f>IF(P4176="","",IF(H4176="USD",G4176,IF(R4176&gt;0,G4176/R4176,0)))</f>
        <v/>
      </c>
      <c r="U4176" s="53">
        <f>IF(P4176="","",IF(P4176="Gasto",S4176,IF(P4176="Reembolso",-S4176,0)))</f>
        <v/>
      </c>
      <c r="V4176" s="53">
        <f>IF(P4176="","",IF(P4176="Ingreso",S4176,0))</f>
        <v/>
      </c>
      <c r="W4176" s="53">
        <f>IF(P4176="","",IF(P4176="Resultado trading",S4176,0))</f>
        <v/>
      </c>
      <c r="X4176" s="52">
        <f>IF(OR(P4176="Gasto",P4176="Reembolso"),IF(M4176&lt;&gt;"",M4176,IFERROR(INDEX(catClasif,MATCH(D4176&amp;"|"&amp;E4176,catClave,0))&amp;"","Variable")),"")</f>
        <v/>
      </c>
      <c r="Y4176" s="52">
        <f>IF(P4176="","",IFERROR(INDEX(catGrupo,MATCH(D4176&amp;"|"&amp;E4176,catClave,0))&amp;"",""))</f>
        <v/>
      </c>
      <c r="Z4176" s="52">
        <f>IF(P4176="","",WEEKDAY(B4176,2))</f>
        <v/>
      </c>
      <c r="AA4176" s="52">
        <f>IF(P4176="","",IF(AND(P4176="Gasto",X4176="Variable",D4176&lt;&gt;catTrading,S4176&gt;0,S4176&lt;=Umbral),1,0))</f>
        <v/>
      </c>
      <c r="AB4176" s="52">
        <f>IF(OR(P4176="",Q4176=""),"",IFERROR(IF(INDEX(ctaVinc,MATCH(Q4176,ctaNombre,0))&amp;""&lt;&gt;"",INDEX(ctaVinc,MATCH(Q4176,ctaNombre,0))&amp;"",Q4176),Q4176))</f>
        <v/>
      </c>
      <c r="AC4176" s="52">
        <f>IF(OR(K4176="",AND(P4176&lt;&gt;"Transferencia",P4176&lt;&gt;"Pago tarjeta")),"",IFERROR(IF(INDEX(ctaVinc,MATCH(K4176,ctaNombre,0))&amp;""&lt;&gt;"",INDEX(ctaVinc,MATCH(K4176,ctaNombre,0))&amp;"",K4176),K4176))</f>
        <v/>
      </c>
      <c r="AD4176" s="52">
        <f>IF(AB4176="","",IFERROR(INDEX(ctaTipo,MATCH(AB4176,ctaNombre,0))&amp;"",""))</f>
        <v/>
      </c>
      <c r="AE4176" s="52">
        <f>IF(AC4176="","",IFERROR(INDEX(ctaTipo,MATCH(AC4176,ctaNombre,0))&amp;"",""))</f>
        <v/>
      </c>
      <c r="AF4176" s="53">
        <f>IF(OR(P4176="",AB4176=""),"",IF(OR(P4176="Gasto",P4176="Transferencia",P4176="Pago tarjeta"),-1,1)*IF(IFERROR(INDEX(ctaMoneda,MATCH(AB4176,ctaNombre,0))&amp;"","DOP")="USD",T4176,S4176))</f>
        <v/>
      </c>
      <c r="AG4176" s="53">
        <f>IF(AC4176="","",IF(IFERROR(INDEX(ctaMoneda,MATCH(AC4176,ctaNombre,0))&amp;"","DOP")="USD",T4176,S4176))</f>
        <v/>
      </c>
      <c r="AH4176" s="53">
        <f>IF(P4176="","",IF(AND(AD4176&lt;&gt;"",COUNTIFS(tcTipo,AD4176,tcLiq,"Sí")&gt;0),IF(OR(P4176="Gasto",P4176="Transferencia",P4176="Pago tarjeta"),-1,1)*S4176,0)+IF(AND(AE4176&lt;&gt;"",COUNTIFS(tcTipo,AE4176,tcLiq,"Sí")&gt;0),S4176,0))</f>
        <v/>
      </c>
      <c r="AI4176" s="52">
        <f>IF(OR(L4176="",P4176=""),"",IF(COUNTIFS(L$6:L4176,L4176,P$6:P4176,"?*")=1,MAX(AI$5:AI4175)+1,""))</f>
        <v/>
      </c>
    </row>
    <row r="4177">
      <c r="B4177" s="47" t="n"/>
      <c r="C4177" s="48" t="n"/>
      <c r="D4177" s="48" t="n"/>
      <c r="E4177" s="48" t="n"/>
      <c r="F4177" s="48" t="n"/>
      <c r="G4177" s="49" t="n"/>
      <c r="H4177" s="48" t="n"/>
      <c r="I4177" s="50" t="n"/>
      <c r="J4177" s="48" t="n"/>
      <c r="K4177" s="48" t="n"/>
      <c r="L4177" s="48" t="n"/>
      <c r="M4177" s="48" t="n"/>
      <c r="N4177" s="48" t="n"/>
      <c r="O4177" s="51">
        <f>IF(AND(B4177="",G4177="",C4177="",D4177="",J4177=""),"",IF(B4177="","⚠ Falta fecha",IF(G4177="","⚠ Falta monto",IF(Q4177="","⚠ Falta cuenta",IF(ISNA(MATCH(Q4177,ctaNombre,0)),"⚠ Cuenta no registrada",IF(AND(OR(P4177="Gasto",P4177="Reembolso"),D4177=""),"⚠ Falta categoría",IF(AND(D4177&lt;&gt;"",E4177&lt;&gt;"",ISNA(MATCH(D4177&amp;"|"&amp;E4177,catClave,0))),"⚠ Subcategoría no corresponde",IF(AND(OR(P4177="Transferencia",P4177="Pago tarjeta"),K4177=""),"⚠ Falta cuenta destino",IF(AND(K4177&lt;&gt;"",P4177&lt;&gt;"Transferencia",P4177&lt;&gt;"Pago tarjeta"),"⚠ Destino solo aplica a transferencias",IF(AND(K4177&lt;&gt;"",K4177=Q4177),"⚠ Origen igual a destino",IF(AND(K4177&lt;&gt;"",ISNA(MATCH(K4177,ctaNombre,0))),"⚠ Destino no registrado",IF(AND(P4177="Pago tarjeta",AE4177&lt;&gt;"Tarjeta de crédito"),"⚠ El destino debe ser tarjeta de crédito",IF(AND(P4177="Gasto",E4177="Depósitos y retiros"),"⚠ Usa tipo Transferencia",IF(AND(P4177="Resultado trading",AD4177&lt;&gt;"Cuenta de trading"),"⚠ Usa una cuenta de trading",IF(AND(G4177&lt;=0,P4177&lt;&gt;"Ajuste",P4177&lt;&gt;"Resultado trading"),"⚠ El monto debe ser positivo","✓")))))))))))))))</f>
        <v/>
      </c>
      <c r="P4177" s="52">
        <f>IF(OR(B4177="",G4177=""),"",IF(C4177="","Gasto",C4177))</f>
        <v/>
      </c>
      <c r="Q4177" s="52">
        <f>IF(P4177="","",IF(J4177&lt;&gt;"",J4177,CuentaPred&amp;""))</f>
        <v/>
      </c>
      <c r="R4177" s="52">
        <f>IF(P4177="","",IF(ISNUMBER(I4177),I4177,TasaUSD))</f>
        <v/>
      </c>
      <c r="S4177" s="53">
        <f>IF(P4177="","",IF(H4177="USD",G4177*R4177,G4177))</f>
        <v/>
      </c>
      <c r="T4177" s="53">
        <f>IF(P4177="","",IF(H4177="USD",G4177,IF(R4177&gt;0,G4177/R4177,0)))</f>
        <v/>
      </c>
      <c r="U4177" s="53">
        <f>IF(P4177="","",IF(P4177="Gasto",S4177,IF(P4177="Reembolso",-S4177,0)))</f>
        <v/>
      </c>
      <c r="V4177" s="53">
        <f>IF(P4177="","",IF(P4177="Ingreso",S4177,0))</f>
        <v/>
      </c>
      <c r="W4177" s="53">
        <f>IF(P4177="","",IF(P4177="Resultado trading",S4177,0))</f>
        <v/>
      </c>
      <c r="X4177" s="52">
        <f>IF(OR(P4177="Gasto",P4177="Reembolso"),IF(M4177&lt;&gt;"",M4177,IFERROR(INDEX(catClasif,MATCH(D4177&amp;"|"&amp;E4177,catClave,0))&amp;"","Variable")),"")</f>
        <v/>
      </c>
      <c r="Y4177" s="52">
        <f>IF(P4177="","",IFERROR(INDEX(catGrupo,MATCH(D4177&amp;"|"&amp;E4177,catClave,0))&amp;"",""))</f>
        <v/>
      </c>
      <c r="Z4177" s="52">
        <f>IF(P4177="","",WEEKDAY(B4177,2))</f>
        <v/>
      </c>
      <c r="AA4177" s="52">
        <f>IF(P4177="","",IF(AND(P4177="Gasto",X4177="Variable",D4177&lt;&gt;catTrading,S4177&gt;0,S4177&lt;=Umbral),1,0))</f>
        <v/>
      </c>
      <c r="AB4177" s="52">
        <f>IF(OR(P4177="",Q4177=""),"",IFERROR(IF(INDEX(ctaVinc,MATCH(Q4177,ctaNombre,0))&amp;""&lt;&gt;"",INDEX(ctaVinc,MATCH(Q4177,ctaNombre,0))&amp;"",Q4177),Q4177))</f>
        <v/>
      </c>
      <c r="AC4177" s="52">
        <f>IF(OR(K4177="",AND(P4177&lt;&gt;"Transferencia",P4177&lt;&gt;"Pago tarjeta")),"",IFERROR(IF(INDEX(ctaVinc,MATCH(K4177,ctaNombre,0))&amp;""&lt;&gt;"",INDEX(ctaVinc,MATCH(K4177,ctaNombre,0))&amp;"",K4177),K4177))</f>
        <v/>
      </c>
      <c r="AD4177" s="52">
        <f>IF(AB4177="","",IFERROR(INDEX(ctaTipo,MATCH(AB4177,ctaNombre,0))&amp;"",""))</f>
        <v/>
      </c>
      <c r="AE4177" s="52">
        <f>IF(AC4177="","",IFERROR(INDEX(ctaTipo,MATCH(AC4177,ctaNombre,0))&amp;"",""))</f>
        <v/>
      </c>
      <c r="AF4177" s="53">
        <f>IF(OR(P4177="",AB4177=""),"",IF(OR(P4177="Gasto",P4177="Transferencia",P4177="Pago tarjeta"),-1,1)*IF(IFERROR(INDEX(ctaMoneda,MATCH(AB4177,ctaNombre,0))&amp;"","DOP")="USD",T4177,S4177))</f>
        <v/>
      </c>
      <c r="AG4177" s="53">
        <f>IF(AC4177="","",IF(IFERROR(INDEX(ctaMoneda,MATCH(AC4177,ctaNombre,0))&amp;"","DOP")="USD",T4177,S4177))</f>
        <v/>
      </c>
      <c r="AH4177" s="53">
        <f>IF(P4177="","",IF(AND(AD4177&lt;&gt;"",COUNTIFS(tcTipo,AD4177,tcLiq,"Sí")&gt;0),IF(OR(P4177="Gasto",P4177="Transferencia",P4177="Pago tarjeta"),-1,1)*S4177,0)+IF(AND(AE4177&lt;&gt;"",COUNTIFS(tcTipo,AE4177,tcLiq,"Sí")&gt;0),S4177,0))</f>
        <v/>
      </c>
      <c r="AI4177" s="52">
        <f>IF(OR(L4177="",P4177=""),"",IF(COUNTIFS(L$6:L4177,L4177,P$6:P4177,"?*")=1,MAX(AI$5:AI4176)+1,""))</f>
        <v/>
      </c>
    </row>
    <row r="4178">
      <c r="B4178" s="47" t="n"/>
      <c r="C4178" s="48" t="n"/>
      <c r="D4178" s="48" t="n"/>
      <c r="E4178" s="48" t="n"/>
      <c r="F4178" s="48" t="n"/>
      <c r="G4178" s="49" t="n"/>
      <c r="H4178" s="48" t="n"/>
      <c r="I4178" s="50" t="n"/>
      <c r="J4178" s="48" t="n"/>
      <c r="K4178" s="48" t="n"/>
      <c r="L4178" s="48" t="n"/>
      <c r="M4178" s="48" t="n"/>
      <c r="N4178" s="48" t="n"/>
      <c r="O4178" s="51">
        <f>IF(AND(B4178="",G4178="",C4178="",D4178="",J4178=""),"",IF(B4178="","⚠ Falta fecha",IF(G4178="","⚠ Falta monto",IF(Q4178="","⚠ Falta cuenta",IF(ISNA(MATCH(Q4178,ctaNombre,0)),"⚠ Cuenta no registrada",IF(AND(OR(P4178="Gasto",P4178="Reembolso"),D4178=""),"⚠ Falta categoría",IF(AND(D4178&lt;&gt;"",E4178&lt;&gt;"",ISNA(MATCH(D4178&amp;"|"&amp;E4178,catClave,0))),"⚠ Subcategoría no corresponde",IF(AND(OR(P4178="Transferencia",P4178="Pago tarjeta"),K4178=""),"⚠ Falta cuenta destino",IF(AND(K4178&lt;&gt;"",P4178&lt;&gt;"Transferencia",P4178&lt;&gt;"Pago tarjeta"),"⚠ Destino solo aplica a transferencias",IF(AND(K4178&lt;&gt;"",K4178=Q4178),"⚠ Origen igual a destino",IF(AND(K4178&lt;&gt;"",ISNA(MATCH(K4178,ctaNombre,0))),"⚠ Destino no registrado",IF(AND(P4178="Pago tarjeta",AE4178&lt;&gt;"Tarjeta de crédito"),"⚠ El destino debe ser tarjeta de crédito",IF(AND(P4178="Gasto",E4178="Depósitos y retiros"),"⚠ Usa tipo Transferencia",IF(AND(P4178="Resultado trading",AD4178&lt;&gt;"Cuenta de trading"),"⚠ Usa una cuenta de trading",IF(AND(G4178&lt;=0,P4178&lt;&gt;"Ajuste",P4178&lt;&gt;"Resultado trading"),"⚠ El monto debe ser positivo","✓")))))))))))))))</f>
        <v/>
      </c>
      <c r="P4178" s="52">
        <f>IF(OR(B4178="",G4178=""),"",IF(C4178="","Gasto",C4178))</f>
        <v/>
      </c>
      <c r="Q4178" s="52">
        <f>IF(P4178="","",IF(J4178&lt;&gt;"",J4178,CuentaPred&amp;""))</f>
        <v/>
      </c>
      <c r="R4178" s="52">
        <f>IF(P4178="","",IF(ISNUMBER(I4178),I4178,TasaUSD))</f>
        <v/>
      </c>
      <c r="S4178" s="53">
        <f>IF(P4178="","",IF(H4178="USD",G4178*R4178,G4178))</f>
        <v/>
      </c>
      <c r="T4178" s="53">
        <f>IF(P4178="","",IF(H4178="USD",G4178,IF(R4178&gt;0,G4178/R4178,0)))</f>
        <v/>
      </c>
      <c r="U4178" s="53">
        <f>IF(P4178="","",IF(P4178="Gasto",S4178,IF(P4178="Reembolso",-S4178,0)))</f>
        <v/>
      </c>
      <c r="V4178" s="53">
        <f>IF(P4178="","",IF(P4178="Ingreso",S4178,0))</f>
        <v/>
      </c>
      <c r="W4178" s="53">
        <f>IF(P4178="","",IF(P4178="Resultado trading",S4178,0))</f>
        <v/>
      </c>
      <c r="X4178" s="52">
        <f>IF(OR(P4178="Gasto",P4178="Reembolso"),IF(M4178&lt;&gt;"",M4178,IFERROR(INDEX(catClasif,MATCH(D4178&amp;"|"&amp;E4178,catClave,0))&amp;"","Variable")),"")</f>
        <v/>
      </c>
      <c r="Y4178" s="52">
        <f>IF(P4178="","",IFERROR(INDEX(catGrupo,MATCH(D4178&amp;"|"&amp;E4178,catClave,0))&amp;"",""))</f>
        <v/>
      </c>
      <c r="Z4178" s="52">
        <f>IF(P4178="","",WEEKDAY(B4178,2))</f>
        <v/>
      </c>
      <c r="AA4178" s="52">
        <f>IF(P4178="","",IF(AND(P4178="Gasto",X4178="Variable",D4178&lt;&gt;catTrading,S4178&gt;0,S4178&lt;=Umbral),1,0))</f>
        <v/>
      </c>
      <c r="AB4178" s="52">
        <f>IF(OR(P4178="",Q4178=""),"",IFERROR(IF(INDEX(ctaVinc,MATCH(Q4178,ctaNombre,0))&amp;""&lt;&gt;"",INDEX(ctaVinc,MATCH(Q4178,ctaNombre,0))&amp;"",Q4178),Q4178))</f>
        <v/>
      </c>
      <c r="AC4178" s="52">
        <f>IF(OR(K4178="",AND(P4178&lt;&gt;"Transferencia",P4178&lt;&gt;"Pago tarjeta")),"",IFERROR(IF(INDEX(ctaVinc,MATCH(K4178,ctaNombre,0))&amp;""&lt;&gt;"",INDEX(ctaVinc,MATCH(K4178,ctaNombre,0))&amp;"",K4178),K4178))</f>
        <v/>
      </c>
      <c r="AD4178" s="52">
        <f>IF(AB4178="","",IFERROR(INDEX(ctaTipo,MATCH(AB4178,ctaNombre,0))&amp;"",""))</f>
        <v/>
      </c>
      <c r="AE4178" s="52">
        <f>IF(AC4178="","",IFERROR(INDEX(ctaTipo,MATCH(AC4178,ctaNombre,0))&amp;"",""))</f>
        <v/>
      </c>
      <c r="AF4178" s="53">
        <f>IF(OR(P4178="",AB4178=""),"",IF(OR(P4178="Gasto",P4178="Transferencia",P4178="Pago tarjeta"),-1,1)*IF(IFERROR(INDEX(ctaMoneda,MATCH(AB4178,ctaNombre,0))&amp;"","DOP")="USD",T4178,S4178))</f>
        <v/>
      </c>
      <c r="AG4178" s="53">
        <f>IF(AC4178="","",IF(IFERROR(INDEX(ctaMoneda,MATCH(AC4178,ctaNombre,0))&amp;"","DOP")="USD",T4178,S4178))</f>
        <v/>
      </c>
      <c r="AH4178" s="53">
        <f>IF(P4178="","",IF(AND(AD4178&lt;&gt;"",COUNTIFS(tcTipo,AD4178,tcLiq,"Sí")&gt;0),IF(OR(P4178="Gasto",P4178="Transferencia",P4178="Pago tarjeta"),-1,1)*S4178,0)+IF(AND(AE4178&lt;&gt;"",COUNTIFS(tcTipo,AE4178,tcLiq,"Sí")&gt;0),S4178,0))</f>
        <v/>
      </c>
      <c r="AI4178" s="52">
        <f>IF(OR(L4178="",P4178=""),"",IF(COUNTIFS(L$6:L4178,L4178,P$6:P4178,"?*")=1,MAX(AI$5:AI4177)+1,""))</f>
        <v/>
      </c>
    </row>
    <row r="4179">
      <c r="B4179" s="47" t="n"/>
      <c r="C4179" s="48" t="n"/>
      <c r="D4179" s="48" t="n"/>
      <c r="E4179" s="48" t="n"/>
      <c r="F4179" s="48" t="n"/>
      <c r="G4179" s="49" t="n"/>
      <c r="H4179" s="48" t="n"/>
      <c r="I4179" s="50" t="n"/>
      <c r="J4179" s="48" t="n"/>
      <c r="K4179" s="48" t="n"/>
      <c r="L4179" s="48" t="n"/>
      <c r="M4179" s="48" t="n"/>
      <c r="N4179" s="48" t="n"/>
      <c r="O4179" s="51">
        <f>IF(AND(B4179="",G4179="",C4179="",D4179="",J4179=""),"",IF(B4179="","⚠ Falta fecha",IF(G4179="","⚠ Falta monto",IF(Q4179="","⚠ Falta cuenta",IF(ISNA(MATCH(Q4179,ctaNombre,0)),"⚠ Cuenta no registrada",IF(AND(OR(P4179="Gasto",P4179="Reembolso"),D4179=""),"⚠ Falta categoría",IF(AND(D4179&lt;&gt;"",E4179&lt;&gt;"",ISNA(MATCH(D4179&amp;"|"&amp;E4179,catClave,0))),"⚠ Subcategoría no corresponde",IF(AND(OR(P4179="Transferencia",P4179="Pago tarjeta"),K4179=""),"⚠ Falta cuenta destino",IF(AND(K4179&lt;&gt;"",P4179&lt;&gt;"Transferencia",P4179&lt;&gt;"Pago tarjeta"),"⚠ Destino solo aplica a transferencias",IF(AND(K4179&lt;&gt;"",K4179=Q4179),"⚠ Origen igual a destino",IF(AND(K4179&lt;&gt;"",ISNA(MATCH(K4179,ctaNombre,0))),"⚠ Destino no registrado",IF(AND(P4179="Pago tarjeta",AE4179&lt;&gt;"Tarjeta de crédito"),"⚠ El destino debe ser tarjeta de crédito",IF(AND(P4179="Gasto",E4179="Depósitos y retiros"),"⚠ Usa tipo Transferencia",IF(AND(P4179="Resultado trading",AD4179&lt;&gt;"Cuenta de trading"),"⚠ Usa una cuenta de trading",IF(AND(G4179&lt;=0,P4179&lt;&gt;"Ajuste",P4179&lt;&gt;"Resultado trading"),"⚠ El monto debe ser positivo","✓")))))))))))))))</f>
        <v/>
      </c>
      <c r="P4179" s="52">
        <f>IF(OR(B4179="",G4179=""),"",IF(C4179="","Gasto",C4179))</f>
        <v/>
      </c>
      <c r="Q4179" s="52">
        <f>IF(P4179="","",IF(J4179&lt;&gt;"",J4179,CuentaPred&amp;""))</f>
        <v/>
      </c>
      <c r="R4179" s="52">
        <f>IF(P4179="","",IF(ISNUMBER(I4179),I4179,TasaUSD))</f>
        <v/>
      </c>
      <c r="S4179" s="53">
        <f>IF(P4179="","",IF(H4179="USD",G4179*R4179,G4179))</f>
        <v/>
      </c>
      <c r="T4179" s="53">
        <f>IF(P4179="","",IF(H4179="USD",G4179,IF(R4179&gt;0,G4179/R4179,0)))</f>
        <v/>
      </c>
      <c r="U4179" s="53">
        <f>IF(P4179="","",IF(P4179="Gasto",S4179,IF(P4179="Reembolso",-S4179,0)))</f>
        <v/>
      </c>
      <c r="V4179" s="53">
        <f>IF(P4179="","",IF(P4179="Ingreso",S4179,0))</f>
        <v/>
      </c>
      <c r="W4179" s="53">
        <f>IF(P4179="","",IF(P4179="Resultado trading",S4179,0))</f>
        <v/>
      </c>
      <c r="X4179" s="52">
        <f>IF(OR(P4179="Gasto",P4179="Reembolso"),IF(M4179&lt;&gt;"",M4179,IFERROR(INDEX(catClasif,MATCH(D4179&amp;"|"&amp;E4179,catClave,0))&amp;"","Variable")),"")</f>
        <v/>
      </c>
      <c r="Y4179" s="52">
        <f>IF(P4179="","",IFERROR(INDEX(catGrupo,MATCH(D4179&amp;"|"&amp;E4179,catClave,0))&amp;"",""))</f>
        <v/>
      </c>
      <c r="Z4179" s="52">
        <f>IF(P4179="","",WEEKDAY(B4179,2))</f>
        <v/>
      </c>
      <c r="AA4179" s="52">
        <f>IF(P4179="","",IF(AND(P4179="Gasto",X4179="Variable",D4179&lt;&gt;catTrading,S4179&gt;0,S4179&lt;=Umbral),1,0))</f>
        <v/>
      </c>
      <c r="AB4179" s="52">
        <f>IF(OR(P4179="",Q4179=""),"",IFERROR(IF(INDEX(ctaVinc,MATCH(Q4179,ctaNombre,0))&amp;""&lt;&gt;"",INDEX(ctaVinc,MATCH(Q4179,ctaNombre,0))&amp;"",Q4179),Q4179))</f>
        <v/>
      </c>
      <c r="AC4179" s="52">
        <f>IF(OR(K4179="",AND(P4179&lt;&gt;"Transferencia",P4179&lt;&gt;"Pago tarjeta")),"",IFERROR(IF(INDEX(ctaVinc,MATCH(K4179,ctaNombre,0))&amp;""&lt;&gt;"",INDEX(ctaVinc,MATCH(K4179,ctaNombre,0))&amp;"",K4179),K4179))</f>
        <v/>
      </c>
      <c r="AD4179" s="52">
        <f>IF(AB4179="","",IFERROR(INDEX(ctaTipo,MATCH(AB4179,ctaNombre,0))&amp;"",""))</f>
        <v/>
      </c>
      <c r="AE4179" s="52">
        <f>IF(AC4179="","",IFERROR(INDEX(ctaTipo,MATCH(AC4179,ctaNombre,0))&amp;"",""))</f>
        <v/>
      </c>
      <c r="AF4179" s="53">
        <f>IF(OR(P4179="",AB4179=""),"",IF(OR(P4179="Gasto",P4179="Transferencia",P4179="Pago tarjeta"),-1,1)*IF(IFERROR(INDEX(ctaMoneda,MATCH(AB4179,ctaNombre,0))&amp;"","DOP")="USD",T4179,S4179))</f>
        <v/>
      </c>
      <c r="AG4179" s="53">
        <f>IF(AC4179="","",IF(IFERROR(INDEX(ctaMoneda,MATCH(AC4179,ctaNombre,0))&amp;"","DOP")="USD",T4179,S4179))</f>
        <v/>
      </c>
      <c r="AH4179" s="53">
        <f>IF(P4179="","",IF(AND(AD4179&lt;&gt;"",COUNTIFS(tcTipo,AD4179,tcLiq,"Sí")&gt;0),IF(OR(P4179="Gasto",P4179="Transferencia",P4179="Pago tarjeta"),-1,1)*S4179,0)+IF(AND(AE4179&lt;&gt;"",COUNTIFS(tcTipo,AE4179,tcLiq,"Sí")&gt;0),S4179,0))</f>
        <v/>
      </c>
      <c r="AI4179" s="52">
        <f>IF(OR(L4179="",P4179=""),"",IF(COUNTIFS(L$6:L4179,L4179,P$6:P4179,"?*")=1,MAX(AI$5:AI4178)+1,""))</f>
        <v/>
      </c>
    </row>
    <row r="4180">
      <c r="B4180" s="47" t="n"/>
      <c r="C4180" s="48" t="n"/>
      <c r="D4180" s="48" t="n"/>
      <c r="E4180" s="48" t="n"/>
      <c r="F4180" s="48" t="n"/>
      <c r="G4180" s="49" t="n"/>
      <c r="H4180" s="48" t="n"/>
      <c r="I4180" s="50" t="n"/>
      <c r="J4180" s="48" t="n"/>
      <c r="K4180" s="48" t="n"/>
      <c r="L4180" s="48" t="n"/>
      <c r="M4180" s="48" t="n"/>
      <c r="N4180" s="48" t="n"/>
      <c r="O4180" s="51">
        <f>IF(AND(B4180="",G4180="",C4180="",D4180="",J4180=""),"",IF(B4180="","⚠ Falta fecha",IF(G4180="","⚠ Falta monto",IF(Q4180="","⚠ Falta cuenta",IF(ISNA(MATCH(Q4180,ctaNombre,0)),"⚠ Cuenta no registrada",IF(AND(OR(P4180="Gasto",P4180="Reembolso"),D4180=""),"⚠ Falta categoría",IF(AND(D4180&lt;&gt;"",E4180&lt;&gt;"",ISNA(MATCH(D4180&amp;"|"&amp;E4180,catClave,0))),"⚠ Subcategoría no corresponde",IF(AND(OR(P4180="Transferencia",P4180="Pago tarjeta"),K4180=""),"⚠ Falta cuenta destino",IF(AND(K4180&lt;&gt;"",P4180&lt;&gt;"Transferencia",P4180&lt;&gt;"Pago tarjeta"),"⚠ Destino solo aplica a transferencias",IF(AND(K4180&lt;&gt;"",K4180=Q4180),"⚠ Origen igual a destino",IF(AND(K4180&lt;&gt;"",ISNA(MATCH(K4180,ctaNombre,0))),"⚠ Destino no registrado",IF(AND(P4180="Pago tarjeta",AE4180&lt;&gt;"Tarjeta de crédito"),"⚠ El destino debe ser tarjeta de crédito",IF(AND(P4180="Gasto",E4180="Depósitos y retiros"),"⚠ Usa tipo Transferencia",IF(AND(P4180="Resultado trading",AD4180&lt;&gt;"Cuenta de trading"),"⚠ Usa una cuenta de trading",IF(AND(G4180&lt;=0,P4180&lt;&gt;"Ajuste",P4180&lt;&gt;"Resultado trading"),"⚠ El monto debe ser positivo","✓")))))))))))))))</f>
        <v/>
      </c>
      <c r="P4180" s="52">
        <f>IF(OR(B4180="",G4180=""),"",IF(C4180="","Gasto",C4180))</f>
        <v/>
      </c>
      <c r="Q4180" s="52">
        <f>IF(P4180="","",IF(J4180&lt;&gt;"",J4180,CuentaPred&amp;""))</f>
        <v/>
      </c>
      <c r="R4180" s="52">
        <f>IF(P4180="","",IF(ISNUMBER(I4180),I4180,TasaUSD))</f>
        <v/>
      </c>
      <c r="S4180" s="53">
        <f>IF(P4180="","",IF(H4180="USD",G4180*R4180,G4180))</f>
        <v/>
      </c>
      <c r="T4180" s="53">
        <f>IF(P4180="","",IF(H4180="USD",G4180,IF(R4180&gt;0,G4180/R4180,0)))</f>
        <v/>
      </c>
      <c r="U4180" s="53">
        <f>IF(P4180="","",IF(P4180="Gasto",S4180,IF(P4180="Reembolso",-S4180,0)))</f>
        <v/>
      </c>
      <c r="V4180" s="53">
        <f>IF(P4180="","",IF(P4180="Ingreso",S4180,0))</f>
        <v/>
      </c>
      <c r="W4180" s="53">
        <f>IF(P4180="","",IF(P4180="Resultado trading",S4180,0))</f>
        <v/>
      </c>
      <c r="X4180" s="52">
        <f>IF(OR(P4180="Gasto",P4180="Reembolso"),IF(M4180&lt;&gt;"",M4180,IFERROR(INDEX(catClasif,MATCH(D4180&amp;"|"&amp;E4180,catClave,0))&amp;"","Variable")),"")</f>
        <v/>
      </c>
      <c r="Y4180" s="52">
        <f>IF(P4180="","",IFERROR(INDEX(catGrupo,MATCH(D4180&amp;"|"&amp;E4180,catClave,0))&amp;"",""))</f>
        <v/>
      </c>
      <c r="Z4180" s="52">
        <f>IF(P4180="","",WEEKDAY(B4180,2))</f>
        <v/>
      </c>
      <c r="AA4180" s="52">
        <f>IF(P4180="","",IF(AND(P4180="Gasto",X4180="Variable",D4180&lt;&gt;catTrading,S4180&gt;0,S4180&lt;=Umbral),1,0))</f>
        <v/>
      </c>
      <c r="AB4180" s="52">
        <f>IF(OR(P4180="",Q4180=""),"",IFERROR(IF(INDEX(ctaVinc,MATCH(Q4180,ctaNombre,0))&amp;""&lt;&gt;"",INDEX(ctaVinc,MATCH(Q4180,ctaNombre,0))&amp;"",Q4180),Q4180))</f>
        <v/>
      </c>
      <c r="AC4180" s="52">
        <f>IF(OR(K4180="",AND(P4180&lt;&gt;"Transferencia",P4180&lt;&gt;"Pago tarjeta")),"",IFERROR(IF(INDEX(ctaVinc,MATCH(K4180,ctaNombre,0))&amp;""&lt;&gt;"",INDEX(ctaVinc,MATCH(K4180,ctaNombre,0))&amp;"",K4180),K4180))</f>
        <v/>
      </c>
      <c r="AD4180" s="52">
        <f>IF(AB4180="","",IFERROR(INDEX(ctaTipo,MATCH(AB4180,ctaNombre,0))&amp;"",""))</f>
        <v/>
      </c>
      <c r="AE4180" s="52">
        <f>IF(AC4180="","",IFERROR(INDEX(ctaTipo,MATCH(AC4180,ctaNombre,0))&amp;"",""))</f>
        <v/>
      </c>
      <c r="AF4180" s="53">
        <f>IF(OR(P4180="",AB4180=""),"",IF(OR(P4180="Gasto",P4180="Transferencia",P4180="Pago tarjeta"),-1,1)*IF(IFERROR(INDEX(ctaMoneda,MATCH(AB4180,ctaNombre,0))&amp;"","DOP")="USD",T4180,S4180))</f>
        <v/>
      </c>
      <c r="AG4180" s="53">
        <f>IF(AC4180="","",IF(IFERROR(INDEX(ctaMoneda,MATCH(AC4180,ctaNombre,0))&amp;"","DOP")="USD",T4180,S4180))</f>
        <v/>
      </c>
      <c r="AH4180" s="53">
        <f>IF(P4180="","",IF(AND(AD4180&lt;&gt;"",COUNTIFS(tcTipo,AD4180,tcLiq,"Sí")&gt;0),IF(OR(P4180="Gasto",P4180="Transferencia",P4180="Pago tarjeta"),-1,1)*S4180,0)+IF(AND(AE4180&lt;&gt;"",COUNTIFS(tcTipo,AE4180,tcLiq,"Sí")&gt;0),S4180,0))</f>
        <v/>
      </c>
      <c r="AI4180" s="52">
        <f>IF(OR(L4180="",P4180=""),"",IF(COUNTIFS(L$6:L4180,L4180,P$6:P4180,"?*")=1,MAX(AI$5:AI4179)+1,""))</f>
        <v/>
      </c>
    </row>
    <row r="4181">
      <c r="B4181" s="47" t="n"/>
      <c r="C4181" s="48" t="n"/>
      <c r="D4181" s="48" t="n"/>
      <c r="E4181" s="48" t="n"/>
      <c r="F4181" s="48" t="n"/>
      <c r="G4181" s="49" t="n"/>
      <c r="H4181" s="48" t="n"/>
      <c r="I4181" s="50" t="n"/>
      <c r="J4181" s="48" t="n"/>
      <c r="K4181" s="48" t="n"/>
      <c r="L4181" s="48" t="n"/>
      <c r="M4181" s="48" t="n"/>
      <c r="N4181" s="48" t="n"/>
      <c r="O4181" s="51">
        <f>IF(AND(B4181="",G4181="",C4181="",D4181="",J4181=""),"",IF(B4181="","⚠ Falta fecha",IF(G4181="","⚠ Falta monto",IF(Q4181="","⚠ Falta cuenta",IF(ISNA(MATCH(Q4181,ctaNombre,0)),"⚠ Cuenta no registrada",IF(AND(OR(P4181="Gasto",P4181="Reembolso"),D4181=""),"⚠ Falta categoría",IF(AND(D4181&lt;&gt;"",E4181&lt;&gt;"",ISNA(MATCH(D4181&amp;"|"&amp;E4181,catClave,0))),"⚠ Subcategoría no corresponde",IF(AND(OR(P4181="Transferencia",P4181="Pago tarjeta"),K4181=""),"⚠ Falta cuenta destino",IF(AND(K4181&lt;&gt;"",P4181&lt;&gt;"Transferencia",P4181&lt;&gt;"Pago tarjeta"),"⚠ Destino solo aplica a transferencias",IF(AND(K4181&lt;&gt;"",K4181=Q4181),"⚠ Origen igual a destino",IF(AND(K4181&lt;&gt;"",ISNA(MATCH(K4181,ctaNombre,0))),"⚠ Destino no registrado",IF(AND(P4181="Pago tarjeta",AE4181&lt;&gt;"Tarjeta de crédito"),"⚠ El destino debe ser tarjeta de crédito",IF(AND(P4181="Gasto",E4181="Depósitos y retiros"),"⚠ Usa tipo Transferencia",IF(AND(P4181="Resultado trading",AD4181&lt;&gt;"Cuenta de trading"),"⚠ Usa una cuenta de trading",IF(AND(G4181&lt;=0,P4181&lt;&gt;"Ajuste",P4181&lt;&gt;"Resultado trading"),"⚠ El monto debe ser positivo","✓")))))))))))))))</f>
        <v/>
      </c>
      <c r="P4181" s="52">
        <f>IF(OR(B4181="",G4181=""),"",IF(C4181="","Gasto",C4181))</f>
        <v/>
      </c>
      <c r="Q4181" s="52">
        <f>IF(P4181="","",IF(J4181&lt;&gt;"",J4181,CuentaPred&amp;""))</f>
        <v/>
      </c>
      <c r="R4181" s="52">
        <f>IF(P4181="","",IF(ISNUMBER(I4181),I4181,TasaUSD))</f>
        <v/>
      </c>
      <c r="S4181" s="53">
        <f>IF(P4181="","",IF(H4181="USD",G4181*R4181,G4181))</f>
        <v/>
      </c>
      <c r="T4181" s="53">
        <f>IF(P4181="","",IF(H4181="USD",G4181,IF(R4181&gt;0,G4181/R4181,0)))</f>
        <v/>
      </c>
      <c r="U4181" s="53">
        <f>IF(P4181="","",IF(P4181="Gasto",S4181,IF(P4181="Reembolso",-S4181,0)))</f>
        <v/>
      </c>
      <c r="V4181" s="53">
        <f>IF(P4181="","",IF(P4181="Ingreso",S4181,0))</f>
        <v/>
      </c>
      <c r="W4181" s="53">
        <f>IF(P4181="","",IF(P4181="Resultado trading",S4181,0))</f>
        <v/>
      </c>
      <c r="X4181" s="52">
        <f>IF(OR(P4181="Gasto",P4181="Reembolso"),IF(M4181&lt;&gt;"",M4181,IFERROR(INDEX(catClasif,MATCH(D4181&amp;"|"&amp;E4181,catClave,0))&amp;"","Variable")),"")</f>
        <v/>
      </c>
      <c r="Y4181" s="52">
        <f>IF(P4181="","",IFERROR(INDEX(catGrupo,MATCH(D4181&amp;"|"&amp;E4181,catClave,0))&amp;"",""))</f>
        <v/>
      </c>
      <c r="Z4181" s="52">
        <f>IF(P4181="","",WEEKDAY(B4181,2))</f>
        <v/>
      </c>
      <c r="AA4181" s="52">
        <f>IF(P4181="","",IF(AND(P4181="Gasto",X4181="Variable",D4181&lt;&gt;catTrading,S4181&gt;0,S4181&lt;=Umbral),1,0))</f>
        <v/>
      </c>
      <c r="AB4181" s="52">
        <f>IF(OR(P4181="",Q4181=""),"",IFERROR(IF(INDEX(ctaVinc,MATCH(Q4181,ctaNombre,0))&amp;""&lt;&gt;"",INDEX(ctaVinc,MATCH(Q4181,ctaNombre,0))&amp;"",Q4181),Q4181))</f>
        <v/>
      </c>
      <c r="AC4181" s="52">
        <f>IF(OR(K4181="",AND(P4181&lt;&gt;"Transferencia",P4181&lt;&gt;"Pago tarjeta")),"",IFERROR(IF(INDEX(ctaVinc,MATCH(K4181,ctaNombre,0))&amp;""&lt;&gt;"",INDEX(ctaVinc,MATCH(K4181,ctaNombre,0))&amp;"",K4181),K4181))</f>
        <v/>
      </c>
      <c r="AD4181" s="52">
        <f>IF(AB4181="","",IFERROR(INDEX(ctaTipo,MATCH(AB4181,ctaNombre,0))&amp;"",""))</f>
        <v/>
      </c>
      <c r="AE4181" s="52">
        <f>IF(AC4181="","",IFERROR(INDEX(ctaTipo,MATCH(AC4181,ctaNombre,0))&amp;"",""))</f>
        <v/>
      </c>
      <c r="AF4181" s="53">
        <f>IF(OR(P4181="",AB4181=""),"",IF(OR(P4181="Gasto",P4181="Transferencia",P4181="Pago tarjeta"),-1,1)*IF(IFERROR(INDEX(ctaMoneda,MATCH(AB4181,ctaNombre,0))&amp;"","DOP")="USD",T4181,S4181))</f>
        <v/>
      </c>
      <c r="AG4181" s="53">
        <f>IF(AC4181="","",IF(IFERROR(INDEX(ctaMoneda,MATCH(AC4181,ctaNombre,0))&amp;"","DOP")="USD",T4181,S4181))</f>
        <v/>
      </c>
      <c r="AH4181" s="53">
        <f>IF(P4181="","",IF(AND(AD4181&lt;&gt;"",COUNTIFS(tcTipo,AD4181,tcLiq,"Sí")&gt;0),IF(OR(P4181="Gasto",P4181="Transferencia",P4181="Pago tarjeta"),-1,1)*S4181,0)+IF(AND(AE4181&lt;&gt;"",COUNTIFS(tcTipo,AE4181,tcLiq,"Sí")&gt;0),S4181,0))</f>
        <v/>
      </c>
      <c r="AI4181" s="52">
        <f>IF(OR(L4181="",P4181=""),"",IF(COUNTIFS(L$6:L4181,L4181,P$6:P4181,"?*")=1,MAX(AI$5:AI4180)+1,""))</f>
        <v/>
      </c>
    </row>
    <row r="4182">
      <c r="B4182" s="47" t="n"/>
      <c r="C4182" s="48" t="n"/>
      <c r="D4182" s="48" t="n"/>
      <c r="E4182" s="48" t="n"/>
      <c r="F4182" s="48" t="n"/>
      <c r="G4182" s="49" t="n"/>
      <c r="H4182" s="48" t="n"/>
      <c r="I4182" s="50" t="n"/>
      <c r="J4182" s="48" t="n"/>
      <c r="K4182" s="48" t="n"/>
      <c r="L4182" s="48" t="n"/>
      <c r="M4182" s="48" t="n"/>
      <c r="N4182" s="48" t="n"/>
      <c r="O4182" s="51">
        <f>IF(AND(B4182="",G4182="",C4182="",D4182="",J4182=""),"",IF(B4182="","⚠ Falta fecha",IF(G4182="","⚠ Falta monto",IF(Q4182="","⚠ Falta cuenta",IF(ISNA(MATCH(Q4182,ctaNombre,0)),"⚠ Cuenta no registrada",IF(AND(OR(P4182="Gasto",P4182="Reembolso"),D4182=""),"⚠ Falta categoría",IF(AND(D4182&lt;&gt;"",E4182&lt;&gt;"",ISNA(MATCH(D4182&amp;"|"&amp;E4182,catClave,0))),"⚠ Subcategoría no corresponde",IF(AND(OR(P4182="Transferencia",P4182="Pago tarjeta"),K4182=""),"⚠ Falta cuenta destino",IF(AND(K4182&lt;&gt;"",P4182&lt;&gt;"Transferencia",P4182&lt;&gt;"Pago tarjeta"),"⚠ Destino solo aplica a transferencias",IF(AND(K4182&lt;&gt;"",K4182=Q4182),"⚠ Origen igual a destino",IF(AND(K4182&lt;&gt;"",ISNA(MATCH(K4182,ctaNombre,0))),"⚠ Destino no registrado",IF(AND(P4182="Pago tarjeta",AE4182&lt;&gt;"Tarjeta de crédito"),"⚠ El destino debe ser tarjeta de crédito",IF(AND(P4182="Gasto",E4182="Depósitos y retiros"),"⚠ Usa tipo Transferencia",IF(AND(P4182="Resultado trading",AD4182&lt;&gt;"Cuenta de trading"),"⚠ Usa una cuenta de trading",IF(AND(G4182&lt;=0,P4182&lt;&gt;"Ajuste",P4182&lt;&gt;"Resultado trading"),"⚠ El monto debe ser positivo","✓")))))))))))))))</f>
        <v/>
      </c>
      <c r="P4182" s="52">
        <f>IF(OR(B4182="",G4182=""),"",IF(C4182="","Gasto",C4182))</f>
        <v/>
      </c>
      <c r="Q4182" s="52">
        <f>IF(P4182="","",IF(J4182&lt;&gt;"",J4182,CuentaPred&amp;""))</f>
        <v/>
      </c>
      <c r="R4182" s="52">
        <f>IF(P4182="","",IF(ISNUMBER(I4182),I4182,TasaUSD))</f>
        <v/>
      </c>
      <c r="S4182" s="53">
        <f>IF(P4182="","",IF(H4182="USD",G4182*R4182,G4182))</f>
        <v/>
      </c>
      <c r="T4182" s="53">
        <f>IF(P4182="","",IF(H4182="USD",G4182,IF(R4182&gt;0,G4182/R4182,0)))</f>
        <v/>
      </c>
      <c r="U4182" s="53">
        <f>IF(P4182="","",IF(P4182="Gasto",S4182,IF(P4182="Reembolso",-S4182,0)))</f>
        <v/>
      </c>
      <c r="V4182" s="53">
        <f>IF(P4182="","",IF(P4182="Ingreso",S4182,0))</f>
        <v/>
      </c>
      <c r="W4182" s="53">
        <f>IF(P4182="","",IF(P4182="Resultado trading",S4182,0))</f>
        <v/>
      </c>
      <c r="X4182" s="52">
        <f>IF(OR(P4182="Gasto",P4182="Reembolso"),IF(M4182&lt;&gt;"",M4182,IFERROR(INDEX(catClasif,MATCH(D4182&amp;"|"&amp;E4182,catClave,0))&amp;"","Variable")),"")</f>
        <v/>
      </c>
      <c r="Y4182" s="52">
        <f>IF(P4182="","",IFERROR(INDEX(catGrupo,MATCH(D4182&amp;"|"&amp;E4182,catClave,0))&amp;"",""))</f>
        <v/>
      </c>
      <c r="Z4182" s="52">
        <f>IF(P4182="","",WEEKDAY(B4182,2))</f>
        <v/>
      </c>
      <c r="AA4182" s="52">
        <f>IF(P4182="","",IF(AND(P4182="Gasto",X4182="Variable",D4182&lt;&gt;catTrading,S4182&gt;0,S4182&lt;=Umbral),1,0))</f>
        <v/>
      </c>
      <c r="AB4182" s="52">
        <f>IF(OR(P4182="",Q4182=""),"",IFERROR(IF(INDEX(ctaVinc,MATCH(Q4182,ctaNombre,0))&amp;""&lt;&gt;"",INDEX(ctaVinc,MATCH(Q4182,ctaNombre,0))&amp;"",Q4182),Q4182))</f>
        <v/>
      </c>
      <c r="AC4182" s="52">
        <f>IF(OR(K4182="",AND(P4182&lt;&gt;"Transferencia",P4182&lt;&gt;"Pago tarjeta")),"",IFERROR(IF(INDEX(ctaVinc,MATCH(K4182,ctaNombre,0))&amp;""&lt;&gt;"",INDEX(ctaVinc,MATCH(K4182,ctaNombre,0))&amp;"",K4182),K4182))</f>
        <v/>
      </c>
      <c r="AD4182" s="52">
        <f>IF(AB4182="","",IFERROR(INDEX(ctaTipo,MATCH(AB4182,ctaNombre,0))&amp;"",""))</f>
        <v/>
      </c>
      <c r="AE4182" s="52">
        <f>IF(AC4182="","",IFERROR(INDEX(ctaTipo,MATCH(AC4182,ctaNombre,0))&amp;"",""))</f>
        <v/>
      </c>
      <c r="AF4182" s="53">
        <f>IF(OR(P4182="",AB4182=""),"",IF(OR(P4182="Gasto",P4182="Transferencia",P4182="Pago tarjeta"),-1,1)*IF(IFERROR(INDEX(ctaMoneda,MATCH(AB4182,ctaNombre,0))&amp;"","DOP")="USD",T4182,S4182))</f>
        <v/>
      </c>
      <c r="AG4182" s="53">
        <f>IF(AC4182="","",IF(IFERROR(INDEX(ctaMoneda,MATCH(AC4182,ctaNombre,0))&amp;"","DOP")="USD",T4182,S4182))</f>
        <v/>
      </c>
      <c r="AH4182" s="53">
        <f>IF(P4182="","",IF(AND(AD4182&lt;&gt;"",COUNTIFS(tcTipo,AD4182,tcLiq,"Sí")&gt;0),IF(OR(P4182="Gasto",P4182="Transferencia",P4182="Pago tarjeta"),-1,1)*S4182,0)+IF(AND(AE4182&lt;&gt;"",COUNTIFS(tcTipo,AE4182,tcLiq,"Sí")&gt;0),S4182,0))</f>
        <v/>
      </c>
      <c r="AI4182" s="52">
        <f>IF(OR(L4182="",P4182=""),"",IF(COUNTIFS(L$6:L4182,L4182,P$6:P4182,"?*")=1,MAX(AI$5:AI4181)+1,""))</f>
        <v/>
      </c>
    </row>
    <row r="4183">
      <c r="B4183" s="47" t="n"/>
      <c r="C4183" s="48" t="n"/>
      <c r="D4183" s="48" t="n"/>
      <c r="E4183" s="48" t="n"/>
      <c r="F4183" s="48" t="n"/>
      <c r="G4183" s="49" t="n"/>
      <c r="H4183" s="48" t="n"/>
      <c r="I4183" s="50" t="n"/>
      <c r="J4183" s="48" t="n"/>
      <c r="K4183" s="48" t="n"/>
      <c r="L4183" s="48" t="n"/>
      <c r="M4183" s="48" t="n"/>
      <c r="N4183" s="48" t="n"/>
      <c r="O4183" s="51">
        <f>IF(AND(B4183="",G4183="",C4183="",D4183="",J4183=""),"",IF(B4183="","⚠ Falta fecha",IF(G4183="","⚠ Falta monto",IF(Q4183="","⚠ Falta cuenta",IF(ISNA(MATCH(Q4183,ctaNombre,0)),"⚠ Cuenta no registrada",IF(AND(OR(P4183="Gasto",P4183="Reembolso"),D4183=""),"⚠ Falta categoría",IF(AND(D4183&lt;&gt;"",E4183&lt;&gt;"",ISNA(MATCH(D4183&amp;"|"&amp;E4183,catClave,0))),"⚠ Subcategoría no corresponde",IF(AND(OR(P4183="Transferencia",P4183="Pago tarjeta"),K4183=""),"⚠ Falta cuenta destino",IF(AND(K4183&lt;&gt;"",P4183&lt;&gt;"Transferencia",P4183&lt;&gt;"Pago tarjeta"),"⚠ Destino solo aplica a transferencias",IF(AND(K4183&lt;&gt;"",K4183=Q4183),"⚠ Origen igual a destino",IF(AND(K4183&lt;&gt;"",ISNA(MATCH(K4183,ctaNombre,0))),"⚠ Destino no registrado",IF(AND(P4183="Pago tarjeta",AE4183&lt;&gt;"Tarjeta de crédito"),"⚠ El destino debe ser tarjeta de crédito",IF(AND(P4183="Gasto",E4183="Depósitos y retiros"),"⚠ Usa tipo Transferencia",IF(AND(P4183="Resultado trading",AD4183&lt;&gt;"Cuenta de trading"),"⚠ Usa una cuenta de trading",IF(AND(G4183&lt;=0,P4183&lt;&gt;"Ajuste",P4183&lt;&gt;"Resultado trading"),"⚠ El monto debe ser positivo","✓")))))))))))))))</f>
        <v/>
      </c>
      <c r="P4183" s="52">
        <f>IF(OR(B4183="",G4183=""),"",IF(C4183="","Gasto",C4183))</f>
        <v/>
      </c>
      <c r="Q4183" s="52">
        <f>IF(P4183="","",IF(J4183&lt;&gt;"",J4183,CuentaPred&amp;""))</f>
        <v/>
      </c>
      <c r="R4183" s="52">
        <f>IF(P4183="","",IF(ISNUMBER(I4183),I4183,TasaUSD))</f>
        <v/>
      </c>
      <c r="S4183" s="53">
        <f>IF(P4183="","",IF(H4183="USD",G4183*R4183,G4183))</f>
        <v/>
      </c>
      <c r="T4183" s="53">
        <f>IF(P4183="","",IF(H4183="USD",G4183,IF(R4183&gt;0,G4183/R4183,0)))</f>
        <v/>
      </c>
      <c r="U4183" s="53">
        <f>IF(P4183="","",IF(P4183="Gasto",S4183,IF(P4183="Reembolso",-S4183,0)))</f>
        <v/>
      </c>
      <c r="V4183" s="53">
        <f>IF(P4183="","",IF(P4183="Ingreso",S4183,0))</f>
        <v/>
      </c>
      <c r="W4183" s="53">
        <f>IF(P4183="","",IF(P4183="Resultado trading",S4183,0))</f>
        <v/>
      </c>
      <c r="X4183" s="52">
        <f>IF(OR(P4183="Gasto",P4183="Reembolso"),IF(M4183&lt;&gt;"",M4183,IFERROR(INDEX(catClasif,MATCH(D4183&amp;"|"&amp;E4183,catClave,0))&amp;"","Variable")),"")</f>
        <v/>
      </c>
      <c r="Y4183" s="52">
        <f>IF(P4183="","",IFERROR(INDEX(catGrupo,MATCH(D4183&amp;"|"&amp;E4183,catClave,0))&amp;"",""))</f>
        <v/>
      </c>
      <c r="Z4183" s="52">
        <f>IF(P4183="","",WEEKDAY(B4183,2))</f>
        <v/>
      </c>
      <c r="AA4183" s="52">
        <f>IF(P4183="","",IF(AND(P4183="Gasto",X4183="Variable",D4183&lt;&gt;catTrading,S4183&gt;0,S4183&lt;=Umbral),1,0))</f>
        <v/>
      </c>
      <c r="AB4183" s="52">
        <f>IF(OR(P4183="",Q4183=""),"",IFERROR(IF(INDEX(ctaVinc,MATCH(Q4183,ctaNombre,0))&amp;""&lt;&gt;"",INDEX(ctaVinc,MATCH(Q4183,ctaNombre,0))&amp;"",Q4183),Q4183))</f>
        <v/>
      </c>
      <c r="AC4183" s="52">
        <f>IF(OR(K4183="",AND(P4183&lt;&gt;"Transferencia",P4183&lt;&gt;"Pago tarjeta")),"",IFERROR(IF(INDEX(ctaVinc,MATCH(K4183,ctaNombre,0))&amp;""&lt;&gt;"",INDEX(ctaVinc,MATCH(K4183,ctaNombre,0))&amp;"",K4183),K4183))</f>
        <v/>
      </c>
      <c r="AD4183" s="52">
        <f>IF(AB4183="","",IFERROR(INDEX(ctaTipo,MATCH(AB4183,ctaNombre,0))&amp;"",""))</f>
        <v/>
      </c>
      <c r="AE4183" s="52">
        <f>IF(AC4183="","",IFERROR(INDEX(ctaTipo,MATCH(AC4183,ctaNombre,0))&amp;"",""))</f>
        <v/>
      </c>
      <c r="AF4183" s="53">
        <f>IF(OR(P4183="",AB4183=""),"",IF(OR(P4183="Gasto",P4183="Transferencia",P4183="Pago tarjeta"),-1,1)*IF(IFERROR(INDEX(ctaMoneda,MATCH(AB4183,ctaNombre,0))&amp;"","DOP")="USD",T4183,S4183))</f>
        <v/>
      </c>
      <c r="AG4183" s="53">
        <f>IF(AC4183="","",IF(IFERROR(INDEX(ctaMoneda,MATCH(AC4183,ctaNombre,0))&amp;"","DOP")="USD",T4183,S4183))</f>
        <v/>
      </c>
      <c r="AH4183" s="53">
        <f>IF(P4183="","",IF(AND(AD4183&lt;&gt;"",COUNTIFS(tcTipo,AD4183,tcLiq,"Sí")&gt;0),IF(OR(P4183="Gasto",P4183="Transferencia",P4183="Pago tarjeta"),-1,1)*S4183,0)+IF(AND(AE4183&lt;&gt;"",COUNTIFS(tcTipo,AE4183,tcLiq,"Sí")&gt;0),S4183,0))</f>
        <v/>
      </c>
      <c r="AI4183" s="52">
        <f>IF(OR(L4183="",P4183=""),"",IF(COUNTIFS(L$6:L4183,L4183,P$6:P4183,"?*")=1,MAX(AI$5:AI4182)+1,""))</f>
        <v/>
      </c>
    </row>
    <row r="4184">
      <c r="B4184" s="47" t="n"/>
      <c r="C4184" s="48" t="n"/>
      <c r="D4184" s="48" t="n"/>
      <c r="E4184" s="48" t="n"/>
      <c r="F4184" s="48" t="n"/>
      <c r="G4184" s="49" t="n"/>
      <c r="H4184" s="48" t="n"/>
      <c r="I4184" s="50" t="n"/>
      <c r="J4184" s="48" t="n"/>
      <c r="K4184" s="48" t="n"/>
      <c r="L4184" s="48" t="n"/>
      <c r="M4184" s="48" t="n"/>
      <c r="N4184" s="48" t="n"/>
      <c r="O4184" s="51">
        <f>IF(AND(B4184="",G4184="",C4184="",D4184="",J4184=""),"",IF(B4184="","⚠ Falta fecha",IF(G4184="","⚠ Falta monto",IF(Q4184="","⚠ Falta cuenta",IF(ISNA(MATCH(Q4184,ctaNombre,0)),"⚠ Cuenta no registrada",IF(AND(OR(P4184="Gasto",P4184="Reembolso"),D4184=""),"⚠ Falta categoría",IF(AND(D4184&lt;&gt;"",E4184&lt;&gt;"",ISNA(MATCH(D4184&amp;"|"&amp;E4184,catClave,0))),"⚠ Subcategoría no corresponde",IF(AND(OR(P4184="Transferencia",P4184="Pago tarjeta"),K4184=""),"⚠ Falta cuenta destino",IF(AND(K4184&lt;&gt;"",P4184&lt;&gt;"Transferencia",P4184&lt;&gt;"Pago tarjeta"),"⚠ Destino solo aplica a transferencias",IF(AND(K4184&lt;&gt;"",K4184=Q4184),"⚠ Origen igual a destino",IF(AND(K4184&lt;&gt;"",ISNA(MATCH(K4184,ctaNombre,0))),"⚠ Destino no registrado",IF(AND(P4184="Pago tarjeta",AE4184&lt;&gt;"Tarjeta de crédito"),"⚠ El destino debe ser tarjeta de crédito",IF(AND(P4184="Gasto",E4184="Depósitos y retiros"),"⚠ Usa tipo Transferencia",IF(AND(P4184="Resultado trading",AD4184&lt;&gt;"Cuenta de trading"),"⚠ Usa una cuenta de trading",IF(AND(G4184&lt;=0,P4184&lt;&gt;"Ajuste",P4184&lt;&gt;"Resultado trading"),"⚠ El monto debe ser positivo","✓")))))))))))))))</f>
        <v/>
      </c>
      <c r="P4184" s="52">
        <f>IF(OR(B4184="",G4184=""),"",IF(C4184="","Gasto",C4184))</f>
        <v/>
      </c>
      <c r="Q4184" s="52">
        <f>IF(P4184="","",IF(J4184&lt;&gt;"",J4184,CuentaPred&amp;""))</f>
        <v/>
      </c>
      <c r="R4184" s="52">
        <f>IF(P4184="","",IF(ISNUMBER(I4184),I4184,TasaUSD))</f>
        <v/>
      </c>
      <c r="S4184" s="53">
        <f>IF(P4184="","",IF(H4184="USD",G4184*R4184,G4184))</f>
        <v/>
      </c>
      <c r="T4184" s="53">
        <f>IF(P4184="","",IF(H4184="USD",G4184,IF(R4184&gt;0,G4184/R4184,0)))</f>
        <v/>
      </c>
      <c r="U4184" s="53">
        <f>IF(P4184="","",IF(P4184="Gasto",S4184,IF(P4184="Reembolso",-S4184,0)))</f>
        <v/>
      </c>
      <c r="V4184" s="53">
        <f>IF(P4184="","",IF(P4184="Ingreso",S4184,0))</f>
        <v/>
      </c>
      <c r="W4184" s="53">
        <f>IF(P4184="","",IF(P4184="Resultado trading",S4184,0))</f>
        <v/>
      </c>
      <c r="X4184" s="52">
        <f>IF(OR(P4184="Gasto",P4184="Reembolso"),IF(M4184&lt;&gt;"",M4184,IFERROR(INDEX(catClasif,MATCH(D4184&amp;"|"&amp;E4184,catClave,0))&amp;"","Variable")),"")</f>
        <v/>
      </c>
      <c r="Y4184" s="52">
        <f>IF(P4184="","",IFERROR(INDEX(catGrupo,MATCH(D4184&amp;"|"&amp;E4184,catClave,0))&amp;"",""))</f>
        <v/>
      </c>
      <c r="Z4184" s="52">
        <f>IF(P4184="","",WEEKDAY(B4184,2))</f>
        <v/>
      </c>
      <c r="AA4184" s="52">
        <f>IF(P4184="","",IF(AND(P4184="Gasto",X4184="Variable",D4184&lt;&gt;catTrading,S4184&gt;0,S4184&lt;=Umbral),1,0))</f>
        <v/>
      </c>
      <c r="AB4184" s="52">
        <f>IF(OR(P4184="",Q4184=""),"",IFERROR(IF(INDEX(ctaVinc,MATCH(Q4184,ctaNombre,0))&amp;""&lt;&gt;"",INDEX(ctaVinc,MATCH(Q4184,ctaNombre,0))&amp;"",Q4184),Q4184))</f>
        <v/>
      </c>
      <c r="AC4184" s="52">
        <f>IF(OR(K4184="",AND(P4184&lt;&gt;"Transferencia",P4184&lt;&gt;"Pago tarjeta")),"",IFERROR(IF(INDEX(ctaVinc,MATCH(K4184,ctaNombre,0))&amp;""&lt;&gt;"",INDEX(ctaVinc,MATCH(K4184,ctaNombre,0))&amp;"",K4184),K4184))</f>
        <v/>
      </c>
      <c r="AD4184" s="52">
        <f>IF(AB4184="","",IFERROR(INDEX(ctaTipo,MATCH(AB4184,ctaNombre,0))&amp;"",""))</f>
        <v/>
      </c>
      <c r="AE4184" s="52">
        <f>IF(AC4184="","",IFERROR(INDEX(ctaTipo,MATCH(AC4184,ctaNombre,0))&amp;"",""))</f>
        <v/>
      </c>
      <c r="AF4184" s="53">
        <f>IF(OR(P4184="",AB4184=""),"",IF(OR(P4184="Gasto",P4184="Transferencia",P4184="Pago tarjeta"),-1,1)*IF(IFERROR(INDEX(ctaMoneda,MATCH(AB4184,ctaNombre,0))&amp;"","DOP")="USD",T4184,S4184))</f>
        <v/>
      </c>
      <c r="AG4184" s="53">
        <f>IF(AC4184="","",IF(IFERROR(INDEX(ctaMoneda,MATCH(AC4184,ctaNombre,0))&amp;"","DOP")="USD",T4184,S4184))</f>
        <v/>
      </c>
      <c r="AH4184" s="53">
        <f>IF(P4184="","",IF(AND(AD4184&lt;&gt;"",COUNTIFS(tcTipo,AD4184,tcLiq,"Sí")&gt;0),IF(OR(P4184="Gasto",P4184="Transferencia",P4184="Pago tarjeta"),-1,1)*S4184,0)+IF(AND(AE4184&lt;&gt;"",COUNTIFS(tcTipo,AE4184,tcLiq,"Sí")&gt;0),S4184,0))</f>
        <v/>
      </c>
      <c r="AI4184" s="52">
        <f>IF(OR(L4184="",P4184=""),"",IF(COUNTIFS(L$6:L4184,L4184,P$6:P4184,"?*")=1,MAX(AI$5:AI4183)+1,""))</f>
        <v/>
      </c>
    </row>
    <row r="4185">
      <c r="B4185" s="47" t="n"/>
      <c r="C4185" s="48" t="n"/>
      <c r="D4185" s="48" t="n"/>
      <c r="E4185" s="48" t="n"/>
      <c r="F4185" s="48" t="n"/>
      <c r="G4185" s="49" t="n"/>
      <c r="H4185" s="48" t="n"/>
      <c r="I4185" s="50" t="n"/>
      <c r="J4185" s="48" t="n"/>
      <c r="K4185" s="48" t="n"/>
      <c r="L4185" s="48" t="n"/>
      <c r="M4185" s="48" t="n"/>
      <c r="N4185" s="48" t="n"/>
      <c r="O4185" s="51">
        <f>IF(AND(B4185="",G4185="",C4185="",D4185="",J4185=""),"",IF(B4185="","⚠ Falta fecha",IF(G4185="","⚠ Falta monto",IF(Q4185="","⚠ Falta cuenta",IF(ISNA(MATCH(Q4185,ctaNombre,0)),"⚠ Cuenta no registrada",IF(AND(OR(P4185="Gasto",P4185="Reembolso"),D4185=""),"⚠ Falta categoría",IF(AND(D4185&lt;&gt;"",E4185&lt;&gt;"",ISNA(MATCH(D4185&amp;"|"&amp;E4185,catClave,0))),"⚠ Subcategoría no corresponde",IF(AND(OR(P4185="Transferencia",P4185="Pago tarjeta"),K4185=""),"⚠ Falta cuenta destino",IF(AND(K4185&lt;&gt;"",P4185&lt;&gt;"Transferencia",P4185&lt;&gt;"Pago tarjeta"),"⚠ Destino solo aplica a transferencias",IF(AND(K4185&lt;&gt;"",K4185=Q4185),"⚠ Origen igual a destino",IF(AND(K4185&lt;&gt;"",ISNA(MATCH(K4185,ctaNombre,0))),"⚠ Destino no registrado",IF(AND(P4185="Pago tarjeta",AE4185&lt;&gt;"Tarjeta de crédito"),"⚠ El destino debe ser tarjeta de crédito",IF(AND(P4185="Gasto",E4185="Depósitos y retiros"),"⚠ Usa tipo Transferencia",IF(AND(P4185="Resultado trading",AD4185&lt;&gt;"Cuenta de trading"),"⚠ Usa una cuenta de trading",IF(AND(G4185&lt;=0,P4185&lt;&gt;"Ajuste",P4185&lt;&gt;"Resultado trading"),"⚠ El monto debe ser positivo","✓")))))))))))))))</f>
        <v/>
      </c>
      <c r="P4185" s="52">
        <f>IF(OR(B4185="",G4185=""),"",IF(C4185="","Gasto",C4185))</f>
        <v/>
      </c>
      <c r="Q4185" s="52">
        <f>IF(P4185="","",IF(J4185&lt;&gt;"",J4185,CuentaPred&amp;""))</f>
        <v/>
      </c>
      <c r="R4185" s="52">
        <f>IF(P4185="","",IF(ISNUMBER(I4185),I4185,TasaUSD))</f>
        <v/>
      </c>
      <c r="S4185" s="53">
        <f>IF(P4185="","",IF(H4185="USD",G4185*R4185,G4185))</f>
        <v/>
      </c>
      <c r="T4185" s="53">
        <f>IF(P4185="","",IF(H4185="USD",G4185,IF(R4185&gt;0,G4185/R4185,0)))</f>
        <v/>
      </c>
      <c r="U4185" s="53">
        <f>IF(P4185="","",IF(P4185="Gasto",S4185,IF(P4185="Reembolso",-S4185,0)))</f>
        <v/>
      </c>
      <c r="V4185" s="53">
        <f>IF(P4185="","",IF(P4185="Ingreso",S4185,0))</f>
        <v/>
      </c>
      <c r="W4185" s="53">
        <f>IF(P4185="","",IF(P4185="Resultado trading",S4185,0))</f>
        <v/>
      </c>
      <c r="X4185" s="52">
        <f>IF(OR(P4185="Gasto",P4185="Reembolso"),IF(M4185&lt;&gt;"",M4185,IFERROR(INDEX(catClasif,MATCH(D4185&amp;"|"&amp;E4185,catClave,0))&amp;"","Variable")),"")</f>
        <v/>
      </c>
      <c r="Y4185" s="52">
        <f>IF(P4185="","",IFERROR(INDEX(catGrupo,MATCH(D4185&amp;"|"&amp;E4185,catClave,0))&amp;"",""))</f>
        <v/>
      </c>
      <c r="Z4185" s="52">
        <f>IF(P4185="","",WEEKDAY(B4185,2))</f>
        <v/>
      </c>
      <c r="AA4185" s="52">
        <f>IF(P4185="","",IF(AND(P4185="Gasto",X4185="Variable",D4185&lt;&gt;catTrading,S4185&gt;0,S4185&lt;=Umbral),1,0))</f>
        <v/>
      </c>
      <c r="AB4185" s="52">
        <f>IF(OR(P4185="",Q4185=""),"",IFERROR(IF(INDEX(ctaVinc,MATCH(Q4185,ctaNombre,0))&amp;""&lt;&gt;"",INDEX(ctaVinc,MATCH(Q4185,ctaNombre,0))&amp;"",Q4185),Q4185))</f>
        <v/>
      </c>
      <c r="AC4185" s="52">
        <f>IF(OR(K4185="",AND(P4185&lt;&gt;"Transferencia",P4185&lt;&gt;"Pago tarjeta")),"",IFERROR(IF(INDEX(ctaVinc,MATCH(K4185,ctaNombre,0))&amp;""&lt;&gt;"",INDEX(ctaVinc,MATCH(K4185,ctaNombre,0))&amp;"",K4185),K4185))</f>
        <v/>
      </c>
      <c r="AD4185" s="52">
        <f>IF(AB4185="","",IFERROR(INDEX(ctaTipo,MATCH(AB4185,ctaNombre,0))&amp;"",""))</f>
        <v/>
      </c>
      <c r="AE4185" s="52">
        <f>IF(AC4185="","",IFERROR(INDEX(ctaTipo,MATCH(AC4185,ctaNombre,0))&amp;"",""))</f>
        <v/>
      </c>
      <c r="AF4185" s="53">
        <f>IF(OR(P4185="",AB4185=""),"",IF(OR(P4185="Gasto",P4185="Transferencia",P4185="Pago tarjeta"),-1,1)*IF(IFERROR(INDEX(ctaMoneda,MATCH(AB4185,ctaNombre,0))&amp;"","DOP")="USD",T4185,S4185))</f>
        <v/>
      </c>
      <c r="AG4185" s="53">
        <f>IF(AC4185="","",IF(IFERROR(INDEX(ctaMoneda,MATCH(AC4185,ctaNombre,0))&amp;"","DOP")="USD",T4185,S4185))</f>
        <v/>
      </c>
      <c r="AH4185" s="53">
        <f>IF(P4185="","",IF(AND(AD4185&lt;&gt;"",COUNTIFS(tcTipo,AD4185,tcLiq,"Sí")&gt;0),IF(OR(P4185="Gasto",P4185="Transferencia",P4185="Pago tarjeta"),-1,1)*S4185,0)+IF(AND(AE4185&lt;&gt;"",COUNTIFS(tcTipo,AE4185,tcLiq,"Sí")&gt;0),S4185,0))</f>
        <v/>
      </c>
      <c r="AI4185" s="52">
        <f>IF(OR(L4185="",P4185=""),"",IF(COUNTIFS(L$6:L4185,L4185,P$6:P4185,"?*")=1,MAX(AI$5:AI4184)+1,""))</f>
        <v/>
      </c>
    </row>
    <row r="4186">
      <c r="B4186" s="47" t="n"/>
      <c r="C4186" s="48" t="n"/>
      <c r="D4186" s="48" t="n"/>
      <c r="E4186" s="48" t="n"/>
      <c r="F4186" s="48" t="n"/>
      <c r="G4186" s="49" t="n"/>
      <c r="H4186" s="48" t="n"/>
      <c r="I4186" s="50" t="n"/>
      <c r="J4186" s="48" t="n"/>
      <c r="K4186" s="48" t="n"/>
      <c r="L4186" s="48" t="n"/>
      <c r="M4186" s="48" t="n"/>
      <c r="N4186" s="48" t="n"/>
      <c r="O4186" s="51">
        <f>IF(AND(B4186="",G4186="",C4186="",D4186="",J4186=""),"",IF(B4186="","⚠ Falta fecha",IF(G4186="","⚠ Falta monto",IF(Q4186="","⚠ Falta cuenta",IF(ISNA(MATCH(Q4186,ctaNombre,0)),"⚠ Cuenta no registrada",IF(AND(OR(P4186="Gasto",P4186="Reembolso"),D4186=""),"⚠ Falta categoría",IF(AND(D4186&lt;&gt;"",E4186&lt;&gt;"",ISNA(MATCH(D4186&amp;"|"&amp;E4186,catClave,0))),"⚠ Subcategoría no corresponde",IF(AND(OR(P4186="Transferencia",P4186="Pago tarjeta"),K4186=""),"⚠ Falta cuenta destino",IF(AND(K4186&lt;&gt;"",P4186&lt;&gt;"Transferencia",P4186&lt;&gt;"Pago tarjeta"),"⚠ Destino solo aplica a transferencias",IF(AND(K4186&lt;&gt;"",K4186=Q4186),"⚠ Origen igual a destino",IF(AND(K4186&lt;&gt;"",ISNA(MATCH(K4186,ctaNombre,0))),"⚠ Destino no registrado",IF(AND(P4186="Pago tarjeta",AE4186&lt;&gt;"Tarjeta de crédito"),"⚠ El destino debe ser tarjeta de crédito",IF(AND(P4186="Gasto",E4186="Depósitos y retiros"),"⚠ Usa tipo Transferencia",IF(AND(P4186="Resultado trading",AD4186&lt;&gt;"Cuenta de trading"),"⚠ Usa una cuenta de trading",IF(AND(G4186&lt;=0,P4186&lt;&gt;"Ajuste",P4186&lt;&gt;"Resultado trading"),"⚠ El monto debe ser positivo","✓")))))))))))))))</f>
        <v/>
      </c>
      <c r="P4186" s="52">
        <f>IF(OR(B4186="",G4186=""),"",IF(C4186="","Gasto",C4186))</f>
        <v/>
      </c>
      <c r="Q4186" s="52">
        <f>IF(P4186="","",IF(J4186&lt;&gt;"",J4186,CuentaPred&amp;""))</f>
        <v/>
      </c>
      <c r="R4186" s="52">
        <f>IF(P4186="","",IF(ISNUMBER(I4186),I4186,TasaUSD))</f>
        <v/>
      </c>
      <c r="S4186" s="53">
        <f>IF(P4186="","",IF(H4186="USD",G4186*R4186,G4186))</f>
        <v/>
      </c>
      <c r="T4186" s="53">
        <f>IF(P4186="","",IF(H4186="USD",G4186,IF(R4186&gt;0,G4186/R4186,0)))</f>
        <v/>
      </c>
      <c r="U4186" s="53">
        <f>IF(P4186="","",IF(P4186="Gasto",S4186,IF(P4186="Reembolso",-S4186,0)))</f>
        <v/>
      </c>
      <c r="V4186" s="53">
        <f>IF(P4186="","",IF(P4186="Ingreso",S4186,0))</f>
        <v/>
      </c>
      <c r="W4186" s="53">
        <f>IF(P4186="","",IF(P4186="Resultado trading",S4186,0))</f>
        <v/>
      </c>
      <c r="X4186" s="52">
        <f>IF(OR(P4186="Gasto",P4186="Reembolso"),IF(M4186&lt;&gt;"",M4186,IFERROR(INDEX(catClasif,MATCH(D4186&amp;"|"&amp;E4186,catClave,0))&amp;"","Variable")),"")</f>
        <v/>
      </c>
      <c r="Y4186" s="52">
        <f>IF(P4186="","",IFERROR(INDEX(catGrupo,MATCH(D4186&amp;"|"&amp;E4186,catClave,0))&amp;"",""))</f>
        <v/>
      </c>
      <c r="Z4186" s="52">
        <f>IF(P4186="","",WEEKDAY(B4186,2))</f>
        <v/>
      </c>
      <c r="AA4186" s="52">
        <f>IF(P4186="","",IF(AND(P4186="Gasto",X4186="Variable",D4186&lt;&gt;catTrading,S4186&gt;0,S4186&lt;=Umbral),1,0))</f>
        <v/>
      </c>
      <c r="AB4186" s="52">
        <f>IF(OR(P4186="",Q4186=""),"",IFERROR(IF(INDEX(ctaVinc,MATCH(Q4186,ctaNombre,0))&amp;""&lt;&gt;"",INDEX(ctaVinc,MATCH(Q4186,ctaNombre,0))&amp;"",Q4186),Q4186))</f>
        <v/>
      </c>
      <c r="AC4186" s="52">
        <f>IF(OR(K4186="",AND(P4186&lt;&gt;"Transferencia",P4186&lt;&gt;"Pago tarjeta")),"",IFERROR(IF(INDEX(ctaVinc,MATCH(K4186,ctaNombre,0))&amp;""&lt;&gt;"",INDEX(ctaVinc,MATCH(K4186,ctaNombre,0))&amp;"",K4186),K4186))</f>
        <v/>
      </c>
      <c r="AD4186" s="52">
        <f>IF(AB4186="","",IFERROR(INDEX(ctaTipo,MATCH(AB4186,ctaNombre,0))&amp;"",""))</f>
        <v/>
      </c>
      <c r="AE4186" s="52">
        <f>IF(AC4186="","",IFERROR(INDEX(ctaTipo,MATCH(AC4186,ctaNombre,0))&amp;"",""))</f>
        <v/>
      </c>
      <c r="AF4186" s="53">
        <f>IF(OR(P4186="",AB4186=""),"",IF(OR(P4186="Gasto",P4186="Transferencia",P4186="Pago tarjeta"),-1,1)*IF(IFERROR(INDEX(ctaMoneda,MATCH(AB4186,ctaNombre,0))&amp;"","DOP")="USD",T4186,S4186))</f>
        <v/>
      </c>
      <c r="AG4186" s="53">
        <f>IF(AC4186="","",IF(IFERROR(INDEX(ctaMoneda,MATCH(AC4186,ctaNombre,0))&amp;"","DOP")="USD",T4186,S4186))</f>
        <v/>
      </c>
      <c r="AH4186" s="53">
        <f>IF(P4186="","",IF(AND(AD4186&lt;&gt;"",COUNTIFS(tcTipo,AD4186,tcLiq,"Sí")&gt;0),IF(OR(P4186="Gasto",P4186="Transferencia",P4186="Pago tarjeta"),-1,1)*S4186,0)+IF(AND(AE4186&lt;&gt;"",COUNTIFS(tcTipo,AE4186,tcLiq,"Sí")&gt;0),S4186,0))</f>
        <v/>
      </c>
      <c r="AI4186" s="52">
        <f>IF(OR(L4186="",P4186=""),"",IF(COUNTIFS(L$6:L4186,L4186,P$6:P4186,"?*")=1,MAX(AI$5:AI4185)+1,""))</f>
        <v/>
      </c>
    </row>
    <row r="4187">
      <c r="B4187" s="47" t="n"/>
      <c r="C4187" s="48" t="n"/>
      <c r="D4187" s="48" t="n"/>
      <c r="E4187" s="48" t="n"/>
      <c r="F4187" s="48" t="n"/>
      <c r="G4187" s="49" t="n"/>
      <c r="H4187" s="48" t="n"/>
      <c r="I4187" s="50" t="n"/>
      <c r="J4187" s="48" t="n"/>
      <c r="K4187" s="48" t="n"/>
      <c r="L4187" s="48" t="n"/>
      <c r="M4187" s="48" t="n"/>
      <c r="N4187" s="48" t="n"/>
      <c r="O4187" s="51">
        <f>IF(AND(B4187="",G4187="",C4187="",D4187="",J4187=""),"",IF(B4187="","⚠ Falta fecha",IF(G4187="","⚠ Falta monto",IF(Q4187="","⚠ Falta cuenta",IF(ISNA(MATCH(Q4187,ctaNombre,0)),"⚠ Cuenta no registrada",IF(AND(OR(P4187="Gasto",P4187="Reembolso"),D4187=""),"⚠ Falta categoría",IF(AND(D4187&lt;&gt;"",E4187&lt;&gt;"",ISNA(MATCH(D4187&amp;"|"&amp;E4187,catClave,0))),"⚠ Subcategoría no corresponde",IF(AND(OR(P4187="Transferencia",P4187="Pago tarjeta"),K4187=""),"⚠ Falta cuenta destino",IF(AND(K4187&lt;&gt;"",P4187&lt;&gt;"Transferencia",P4187&lt;&gt;"Pago tarjeta"),"⚠ Destino solo aplica a transferencias",IF(AND(K4187&lt;&gt;"",K4187=Q4187),"⚠ Origen igual a destino",IF(AND(K4187&lt;&gt;"",ISNA(MATCH(K4187,ctaNombre,0))),"⚠ Destino no registrado",IF(AND(P4187="Pago tarjeta",AE4187&lt;&gt;"Tarjeta de crédito"),"⚠ El destino debe ser tarjeta de crédito",IF(AND(P4187="Gasto",E4187="Depósitos y retiros"),"⚠ Usa tipo Transferencia",IF(AND(P4187="Resultado trading",AD4187&lt;&gt;"Cuenta de trading"),"⚠ Usa una cuenta de trading",IF(AND(G4187&lt;=0,P4187&lt;&gt;"Ajuste",P4187&lt;&gt;"Resultado trading"),"⚠ El monto debe ser positivo","✓")))))))))))))))</f>
        <v/>
      </c>
      <c r="P4187" s="52">
        <f>IF(OR(B4187="",G4187=""),"",IF(C4187="","Gasto",C4187))</f>
        <v/>
      </c>
      <c r="Q4187" s="52">
        <f>IF(P4187="","",IF(J4187&lt;&gt;"",J4187,CuentaPred&amp;""))</f>
        <v/>
      </c>
      <c r="R4187" s="52">
        <f>IF(P4187="","",IF(ISNUMBER(I4187),I4187,TasaUSD))</f>
        <v/>
      </c>
      <c r="S4187" s="53">
        <f>IF(P4187="","",IF(H4187="USD",G4187*R4187,G4187))</f>
        <v/>
      </c>
      <c r="T4187" s="53">
        <f>IF(P4187="","",IF(H4187="USD",G4187,IF(R4187&gt;0,G4187/R4187,0)))</f>
        <v/>
      </c>
      <c r="U4187" s="53">
        <f>IF(P4187="","",IF(P4187="Gasto",S4187,IF(P4187="Reembolso",-S4187,0)))</f>
        <v/>
      </c>
      <c r="V4187" s="53">
        <f>IF(P4187="","",IF(P4187="Ingreso",S4187,0))</f>
        <v/>
      </c>
      <c r="W4187" s="53">
        <f>IF(P4187="","",IF(P4187="Resultado trading",S4187,0))</f>
        <v/>
      </c>
      <c r="X4187" s="52">
        <f>IF(OR(P4187="Gasto",P4187="Reembolso"),IF(M4187&lt;&gt;"",M4187,IFERROR(INDEX(catClasif,MATCH(D4187&amp;"|"&amp;E4187,catClave,0))&amp;"","Variable")),"")</f>
        <v/>
      </c>
      <c r="Y4187" s="52">
        <f>IF(P4187="","",IFERROR(INDEX(catGrupo,MATCH(D4187&amp;"|"&amp;E4187,catClave,0))&amp;"",""))</f>
        <v/>
      </c>
      <c r="Z4187" s="52">
        <f>IF(P4187="","",WEEKDAY(B4187,2))</f>
        <v/>
      </c>
      <c r="AA4187" s="52">
        <f>IF(P4187="","",IF(AND(P4187="Gasto",X4187="Variable",D4187&lt;&gt;catTrading,S4187&gt;0,S4187&lt;=Umbral),1,0))</f>
        <v/>
      </c>
      <c r="AB4187" s="52">
        <f>IF(OR(P4187="",Q4187=""),"",IFERROR(IF(INDEX(ctaVinc,MATCH(Q4187,ctaNombre,0))&amp;""&lt;&gt;"",INDEX(ctaVinc,MATCH(Q4187,ctaNombre,0))&amp;"",Q4187),Q4187))</f>
        <v/>
      </c>
      <c r="AC4187" s="52">
        <f>IF(OR(K4187="",AND(P4187&lt;&gt;"Transferencia",P4187&lt;&gt;"Pago tarjeta")),"",IFERROR(IF(INDEX(ctaVinc,MATCH(K4187,ctaNombre,0))&amp;""&lt;&gt;"",INDEX(ctaVinc,MATCH(K4187,ctaNombre,0))&amp;"",K4187),K4187))</f>
        <v/>
      </c>
      <c r="AD4187" s="52">
        <f>IF(AB4187="","",IFERROR(INDEX(ctaTipo,MATCH(AB4187,ctaNombre,0))&amp;"",""))</f>
        <v/>
      </c>
      <c r="AE4187" s="52">
        <f>IF(AC4187="","",IFERROR(INDEX(ctaTipo,MATCH(AC4187,ctaNombre,0))&amp;"",""))</f>
        <v/>
      </c>
      <c r="AF4187" s="53">
        <f>IF(OR(P4187="",AB4187=""),"",IF(OR(P4187="Gasto",P4187="Transferencia",P4187="Pago tarjeta"),-1,1)*IF(IFERROR(INDEX(ctaMoneda,MATCH(AB4187,ctaNombre,0))&amp;"","DOP")="USD",T4187,S4187))</f>
        <v/>
      </c>
      <c r="AG4187" s="53">
        <f>IF(AC4187="","",IF(IFERROR(INDEX(ctaMoneda,MATCH(AC4187,ctaNombre,0))&amp;"","DOP")="USD",T4187,S4187))</f>
        <v/>
      </c>
      <c r="AH4187" s="53">
        <f>IF(P4187="","",IF(AND(AD4187&lt;&gt;"",COUNTIFS(tcTipo,AD4187,tcLiq,"Sí")&gt;0),IF(OR(P4187="Gasto",P4187="Transferencia",P4187="Pago tarjeta"),-1,1)*S4187,0)+IF(AND(AE4187&lt;&gt;"",COUNTIFS(tcTipo,AE4187,tcLiq,"Sí")&gt;0),S4187,0))</f>
        <v/>
      </c>
      <c r="AI4187" s="52">
        <f>IF(OR(L4187="",P4187=""),"",IF(COUNTIFS(L$6:L4187,L4187,P$6:P4187,"?*")=1,MAX(AI$5:AI4186)+1,""))</f>
        <v/>
      </c>
    </row>
    <row r="4188">
      <c r="B4188" s="47" t="n"/>
      <c r="C4188" s="48" t="n"/>
      <c r="D4188" s="48" t="n"/>
      <c r="E4188" s="48" t="n"/>
      <c r="F4188" s="48" t="n"/>
      <c r="G4188" s="49" t="n"/>
      <c r="H4188" s="48" t="n"/>
      <c r="I4188" s="50" t="n"/>
      <c r="J4188" s="48" t="n"/>
      <c r="K4188" s="48" t="n"/>
      <c r="L4188" s="48" t="n"/>
      <c r="M4188" s="48" t="n"/>
      <c r="N4188" s="48" t="n"/>
      <c r="O4188" s="51">
        <f>IF(AND(B4188="",G4188="",C4188="",D4188="",J4188=""),"",IF(B4188="","⚠ Falta fecha",IF(G4188="","⚠ Falta monto",IF(Q4188="","⚠ Falta cuenta",IF(ISNA(MATCH(Q4188,ctaNombre,0)),"⚠ Cuenta no registrada",IF(AND(OR(P4188="Gasto",P4188="Reembolso"),D4188=""),"⚠ Falta categoría",IF(AND(D4188&lt;&gt;"",E4188&lt;&gt;"",ISNA(MATCH(D4188&amp;"|"&amp;E4188,catClave,0))),"⚠ Subcategoría no corresponde",IF(AND(OR(P4188="Transferencia",P4188="Pago tarjeta"),K4188=""),"⚠ Falta cuenta destino",IF(AND(K4188&lt;&gt;"",P4188&lt;&gt;"Transferencia",P4188&lt;&gt;"Pago tarjeta"),"⚠ Destino solo aplica a transferencias",IF(AND(K4188&lt;&gt;"",K4188=Q4188),"⚠ Origen igual a destino",IF(AND(K4188&lt;&gt;"",ISNA(MATCH(K4188,ctaNombre,0))),"⚠ Destino no registrado",IF(AND(P4188="Pago tarjeta",AE4188&lt;&gt;"Tarjeta de crédito"),"⚠ El destino debe ser tarjeta de crédito",IF(AND(P4188="Gasto",E4188="Depósitos y retiros"),"⚠ Usa tipo Transferencia",IF(AND(P4188="Resultado trading",AD4188&lt;&gt;"Cuenta de trading"),"⚠ Usa una cuenta de trading",IF(AND(G4188&lt;=0,P4188&lt;&gt;"Ajuste",P4188&lt;&gt;"Resultado trading"),"⚠ El monto debe ser positivo","✓")))))))))))))))</f>
        <v/>
      </c>
      <c r="P4188" s="52">
        <f>IF(OR(B4188="",G4188=""),"",IF(C4188="","Gasto",C4188))</f>
        <v/>
      </c>
      <c r="Q4188" s="52">
        <f>IF(P4188="","",IF(J4188&lt;&gt;"",J4188,CuentaPred&amp;""))</f>
        <v/>
      </c>
      <c r="R4188" s="52">
        <f>IF(P4188="","",IF(ISNUMBER(I4188),I4188,TasaUSD))</f>
        <v/>
      </c>
      <c r="S4188" s="53">
        <f>IF(P4188="","",IF(H4188="USD",G4188*R4188,G4188))</f>
        <v/>
      </c>
      <c r="T4188" s="53">
        <f>IF(P4188="","",IF(H4188="USD",G4188,IF(R4188&gt;0,G4188/R4188,0)))</f>
        <v/>
      </c>
      <c r="U4188" s="53">
        <f>IF(P4188="","",IF(P4188="Gasto",S4188,IF(P4188="Reembolso",-S4188,0)))</f>
        <v/>
      </c>
      <c r="V4188" s="53">
        <f>IF(P4188="","",IF(P4188="Ingreso",S4188,0))</f>
        <v/>
      </c>
      <c r="W4188" s="53">
        <f>IF(P4188="","",IF(P4188="Resultado trading",S4188,0))</f>
        <v/>
      </c>
      <c r="X4188" s="52">
        <f>IF(OR(P4188="Gasto",P4188="Reembolso"),IF(M4188&lt;&gt;"",M4188,IFERROR(INDEX(catClasif,MATCH(D4188&amp;"|"&amp;E4188,catClave,0))&amp;"","Variable")),"")</f>
        <v/>
      </c>
      <c r="Y4188" s="52">
        <f>IF(P4188="","",IFERROR(INDEX(catGrupo,MATCH(D4188&amp;"|"&amp;E4188,catClave,0))&amp;"",""))</f>
        <v/>
      </c>
      <c r="Z4188" s="52">
        <f>IF(P4188="","",WEEKDAY(B4188,2))</f>
        <v/>
      </c>
      <c r="AA4188" s="52">
        <f>IF(P4188="","",IF(AND(P4188="Gasto",X4188="Variable",D4188&lt;&gt;catTrading,S4188&gt;0,S4188&lt;=Umbral),1,0))</f>
        <v/>
      </c>
      <c r="AB4188" s="52">
        <f>IF(OR(P4188="",Q4188=""),"",IFERROR(IF(INDEX(ctaVinc,MATCH(Q4188,ctaNombre,0))&amp;""&lt;&gt;"",INDEX(ctaVinc,MATCH(Q4188,ctaNombre,0))&amp;"",Q4188),Q4188))</f>
        <v/>
      </c>
      <c r="AC4188" s="52">
        <f>IF(OR(K4188="",AND(P4188&lt;&gt;"Transferencia",P4188&lt;&gt;"Pago tarjeta")),"",IFERROR(IF(INDEX(ctaVinc,MATCH(K4188,ctaNombre,0))&amp;""&lt;&gt;"",INDEX(ctaVinc,MATCH(K4188,ctaNombre,0))&amp;"",K4188),K4188))</f>
        <v/>
      </c>
      <c r="AD4188" s="52">
        <f>IF(AB4188="","",IFERROR(INDEX(ctaTipo,MATCH(AB4188,ctaNombre,0))&amp;"",""))</f>
        <v/>
      </c>
      <c r="AE4188" s="52">
        <f>IF(AC4188="","",IFERROR(INDEX(ctaTipo,MATCH(AC4188,ctaNombre,0))&amp;"",""))</f>
        <v/>
      </c>
      <c r="AF4188" s="53">
        <f>IF(OR(P4188="",AB4188=""),"",IF(OR(P4188="Gasto",P4188="Transferencia",P4188="Pago tarjeta"),-1,1)*IF(IFERROR(INDEX(ctaMoneda,MATCH(AB4188,ctaNombre,0))&amp;"","DOP")="USD",T4188,S4188))</f>
        <v/>
      </c>
      <c r="AG4188" s="53">
        <f>IF(AC4188="","",IF(IFERROR(INDEX(ctaMoneda,MATCH(AC4188,ctaNombre,0))&amp;"","DOP")="USD",T4188,S4188))</f>
        <v/>
      </c>
      <c r="AH4188" s="53">
        <f>IF(P4188="","",IF(AND(AD4188&lt;&gt;"",COUNTIFS(tcTipo,AD4188,tcLiq,"Sí")&gt;0),IF(OR(P4188="Gasto",P4188="Transferencia",P4188="Pago tarjeta"),-1,1)*S4188,0)+IF(AND(AE4188&lt;&gt;"",COUNTIFS(tcTipo,AE4188,tcLiq,"Sí")&gt;0),S4188,0))</f>
        <v/>
      </c>
      <c r="AI4188" s="52">
        <f>IF(OR(L4188="",P4188=""),"",IF(COUNTIFS(L$6:L4188,L4188,P$6:P4188,"?*")=1,MAX(AI$5:AI4187)+1,""))</f>
        <v/>
      </c>
    </row>
    <row r="4189">
      <c r="B4189" s="47" t="n"/>
      <c r="C4189" s="48" t="n"/>
      <c r="D4189" s="48" t="n"/>
      <c r="E4189" s="48" t="n"/>
      <c r="F4189" s="48" t="n"/>
      <c r="G4189" s="49" t="n"/>
      <c r="H4189" s="48" t="n"/>
      <c r="I4189" s="50" t="n"/>
      <c r="J4189" s="48" t="n"/>
      <c r="K4189" s="48" t="n"/>
      <c r="L4189" s="48" t="n"/>
      <c r="M4189" s="48" t="n"/>
      <c r="N4189" s="48" t="n"/>
      <c r="O4189" s="51">
        <f>IF(AND(B4189="",G4189="",C4189="",D4189="",J4189=""),"",IF(B4189="","⚠ Falta fecha",IF(G4189="","⚠ Falta monto",IF(Q4189="","⚠ Falta cuenta",IF(ISNA(MATCH(Q4189,ctaNombre,0)),"⚠ Cuenta no registrada",IF(AND(OR(P4189="Gasto",P4189="Reembolso"),D4189=""),"⚠ Falta categoría",IF(AND(D4189&lt;&gt;"",E4189&lt;&gt;"",ISNA(MATCH(D4189&amp;"|"&amp;E4189,catClave,0))),"⚠ Subcategoría no corresponde",IF(AND(OR(P4189="Transferencia",P4189="Pago tarjeta"),K4189=""),"⚠ Falta cuenta destino",IF(AND(K4189&lt;&gt;"",P4189&lt;&gt;"Transferencia",P4189&lt;&gt;"Pago tarjeta"),"⚠ Destino solo aplica a transferencias",IF(AND(K4189&lt;&gt;"",K4189=Q4189),"⚠ Origen igual a destino",IF(AND(K4189&lt;&gt;"",ISNA(MATCH(K4189,ctaNombre,0))),"⚠ Destino no registrado",IF(AND(P4189="Pago tarjeta",AE4189&lt;&gt;"Tarjeta de crédito"),"⚠ El destino debe ser tarjeta de crédito",IF(AND(P4189="Gasto",E4189="Depósitos y retiros"),"⚠ Usa tipo Transferencia",IF(AND(P4189="Resultado trading",AD4189&lt;&gt;"Cuenta de trading"),"⚠ Usa una cuenta de trading",IF(AND(G4189&lt;=0,P4189&lt;&gt;"Ajuste",P4189&lt;&gt;"Resultado trading"),"⚠ El monto debe ser positivo","✓")))))))))))))))</f>
        <v/>
      </c>
      <c r="P4189" s="52">
        <f>IF(OR(B4189="",G4189=""),"",IF(C4189="","Gasto",C4189))</f>
        <v/>
      </c>
      <c r="Q4189" s="52">
        <f>IF(P4189="","",IF(J4189&lt;&gt;"",J4189,CuentaPred&amp;""))</f>
        <v/>
      </c>
      <c r="R4189" s="52">
        <f>IF(P4189="","",IF(ISNUMBER(I4189),I4189,TasaUSD))</f>
        <v/>
      </c>
      <c r="S4189" s="53">
        <f>IF(P4189="","",IF(H4189="USD",G4189*R4189,G4189))</f>
        <v/>
      </c>
      <c r="T4189" s="53">
        <f>IF(P4189="","",IF(H4189="USD",G4189,IF(R4189&gt;0,G4189/R4189,0)))</f>
        <v/>
      </c>
      <c r="U4189" s="53">
        <f>IF(P4189="","",IF(P4189="Gasto",S4189,IF(P4189="Reembolso",-S4189,0)))</f>
        <v/>
      </c>
      <c r="V4189" s="53">
        <f>IF(P4189="","",IF(P4189="Ingreso",S4189,0))</f>
        <v/>
      </c>
      <c r="W4189" s="53">
        <f>IF(P4189="","",IF(P4189="Resultado trading",S4189,0))</f>
        <v/>
      </c>
      <c r="X4189" s="52">
        <f>IF(OR(P4189="Gasto",P4189="Reembolso"),IF(M4189&lt;&gt;"",M4189,IFERROR(INDEX(catClasif,MATCH(D4189&amp;"|"&amp;E4189,catClave,0))&amp;"","Variable")),"")</f>
        <v/>
      </c>
      <c r="Y4189" s="52">
        <f>IF(P4189="","",IFERROR(INDEX(catGrupo,MATCH(D4189&amp;"|"&amp;E4189,catClave,0))&amp;"",""))</f>
        <v/>
      </c>
      <c r="Z4189" s="52">
        <f>IF(P4189="","",WEEKDAY(B4189,2))</f>
        <v/>
      </c>
      <c r="AA4189" s="52">
        <f>IF(P4189="","",IF(AND(P4189="Gasto",X4189="Variable",D4189&lt;&gt;catTrading,S4189&gt;0,S4189&lt;=Umbral),1,0))</f>
        <v/>
      </c>
      <c r="AB4189" s="52">
        <f>IF(OR(P4189="",Q4189=""),"",IFERROR(IF(INDEX(ctaVinc,MATCH(Q4189,ctaNombre,0))&amp;""&lt;&gt;"",INDEX(ctaVinc,MATCH(Q4189,ctaNombre,0))&amp;"",Q4189),Q4189))</f>
        <v/>
      </c>
      <c r="AC4189" s="52">
        <f>IF(OR(K4189="",AND(P4189&lt;&gt;"Transferencia",P4189&lt;&gt;"Pago tarjeta")),"",IFERROR(IF(INDEX(ctaVinc,MATCH(K4189,ctaNombre,0))&amp;""&lt;&gt;"",INDEX(ctaVinc,MATCH(K4189,ctaNombre,0))&amp;"",K4189),K4189))</f>
        <v/>
      </c>
      <c r="AD4189" s="52">
        <f>IF(AB4189="","",IFERROR(INDEX(ctaTipo,MATCH(AB4189,ctaNombre,0))&amp;"",""))</f>
        <v/>
      </c>
      <c r="AE4189" s="52">
        <f>IF(AC4189="","",IFERROR(INDEX(ctaTipo,MATCH(AC4189,ctaNombre,0))&amp;"",""))</f>
        <v/>
      </c>
      <c r="AF4189" s="53">
        <f>IF(OR(P4189="",AB4189=""),"",IF(OR(P4189="Gasto",P4189="Transferencia",P4189="Pago tarjeta"),-1,1)*IF(IFERROR(INDEX(ctaMoneda,MATCH(AB4189,ctaNombre,0))&amp;"","DOP")="USD",T4189,S4189))</f>
        <v/>
      </c>
      <c r="AG4189" s="53">
        <f>IF(AC4189="","",IF(IFERROR(INDEX(ctaMoneda,MATCH(AC4189,ctaNombre,0))&amp;"","DOP")="USD",T4189,S4189))</f>
        <v/>
      </c>
      <c r="AH4189" s="53">
        <f>IF(P4189="","",IF(AND(AD4189&lt;&gt;"",COUNTIFS(tcTipo,AD4189,tcLiq,"Sí")&gt;0),IF(OR(P4189="Gasto",P4189="Transferencia",P4189="Pago tarjeta"),-1,1)*S4189,0)+IF(AND(AE4189&lt;&gt;"",COUNTIFS(tcTipo,AE4189,tcLiq,"Sí")&gt;0),S4189,0))</f>
        <v/>
      </c>
      <c r="AI4189" s="52">
        <f>IF(OR(L4189="",P4189=""),"",IF(COUNTIFS(L$6:L4189,L4189,P$6:P4189,"?*")=1,MAX(AI$5:AI4188)+1,""))</f>
        <v/>
      </c>
    </row>
    <row r="4190">
      <c r="B4190" s="47" t="n"/>
      <c r="C4190" s="48" t="n"/>
      <c r="D4190" s="48" t="n"/>
      <c r="E4190" s="48" t="n"/>
      <c r="F4190" s="48" t="n"/>
      <c r="G4190" s="49" t="n"/>
      <c r="H4190" s="48" t="n"/>
      <c r="I4190" s="50" t="n"/>
      <c r="J4190" s="48" t="n"/>
      <c r="K4190" s="48" t="n"/>
      <c r="L4190" s="48" t="n"/>
      <c r="M4190" s="48" t="n"/>
      <c r="N4190" s="48" t="n"/>
      <c r="O4190" s="51">
        <f>IF(AND(B4190="",G4190="",C4190="",D4190="",J4190=""),"",IF(B4190="","⚠ Falta fecha",IF(G4190="","⚠ Falta monto",IF(Q4190="","⚠ Falta cuenta",IF(ISNA(MATCH(Q4190,ctaNombre,0)),"⚠ Cuenta no registrada",IF(AND(OR(P4190="Gasto",P4190="Reembolso"),D4190=""),"⚠ Falta categoría",IF(AND(D4190&lt;&gt;"",E4190&lt;&gt;"",ISNA(MATCH(D4190&amp;"|"&amp;E4190,catClave,0))),"⚠ Subcategoría no corresponde",IF(AND(OR(P4190="Transferencia",P4190="Pago tarjeta"),K4190=""),"⚠ Falta cuenta destino",IF(AND(K4190&lt;&gt;"",P4190&lt;&gt;"Transferencia",P4190&lt;&gt;"Pago tarjeta"),"⚠ Destino solo aplica a transferencias",IF(AND(K4190&lt;&gt;"",K4190=Q4190),"⚠ Origen igual a destino",IF(AND(K4190&lt;&gt;"",ISNA(MATCH(K4190,ctaNombre,0))),"⚠ Destino no registrado",IF(AND(P4190="Pago tarjeta",AE4190&lt;&gt;"Tarjeta de crédito"),"⚠ El destino debe ser tarjeta de crédito",IF(AND(P4190="Gasto",E4190="Depósitos y retiros"),"⚠ Usa tipo Transferencia",IF(AND(P4190="Resultado trading",AD4190&lt;&gt;"Cuenta de trading"),"⚠ Usa una cuenta de trading",IF(AND(G4190&lt;=0,P4190&lt;&gt;"Ajuste",P4190&lt;&gt;"Resultado trading"),"⚠ El monto debe ser positivo","✓")))))))))))))))</f>
        <v/>
      </c>
      <c r="P4190" s="52">
        <f>IF(OR(B4190="",G4190=""),"",IF(C4190="","Gasto",C4190))</f>
        <v/>
      </c>
      <c r="Q4190" s="52">
        <f>IF(P4190="","",IF(J4190&lt;&gt;"",J4190,CuentaPred&amp;""))</f>
        <v/>
      </c>
      <c r="R4190" s="52">
        <f>IF(P4190="","",IF(ISNUMBER(I4190),I4190,TasaUSD))</f>
        <v/>
      </c>
      <c r="S4190" s="53">
        <f>IF(P4190="","",IF(H4190="USD",G4190*R4190,G4190))</f>
        <v/>
      </c>
      <c r="T4190" s="53">
        <f>IF(P4190="","",IF(H4190="USD",G4190,IF(R4190&gt;0,G4190/R4190,0)))</f>
        <v/>
      </c>
      <c r="U4190" s="53">
        <f>IF(P4190="","",IF(P4190="Gasto",S4190,IF(P4190="Reembolso",-S4190,0)))</f>
        <v/>
      </c>
      <c r="V4190" s="53">
        <f>IF(P4190="","",IF(P4190="Ingreso",S4190,0))</f>
        <v/>
      </c>
      <c r="W4190" s="53">
        <f>IF(P4190="","",IF(P4190="Resultado trading",S4190,0))</f>
        <v/>
      </c>
      <c r="X4190" s="52">
        <f>IF(OR(P4190="Gasto",P4190="Reembolso"),IF(M4190&lt;&gt;"",M4190,IFERROR(INDEX(catClasif,MATCH(D4190&amp;"|"&amp;E4190,catClave,0))&amp;"","Variable")),"")</f>
        <v/>
      </c>
      <c r="Y4190" s="52">
        <f>IF(P4190="","",IFERROR(INDEX(catGrupo,MATCH(D4190&amp;"|"&amp;E4190,catClave,0))&amp;"",""))</f>
        <v/>
      </c>
      <c r="Z4190" s="52">
        <f>IF(P4190="","",WEEKDAY(B4190,2))</f>
        <v/>
      </c>
      <c r="AA4190" s="52">
        <f>IF(P4190="","",IF(AND(P4190="Gasto",X4190="Variable",D4190&lt;&gt;catTrading,S4190&gt;0,S4190&lt;=Umbral),1,0))</f>
        <v/>
      </c>
      <c r="AB4190" s="52">
        <f>IF(OR(P4190="",Q4190=""),"",IFERROR(IF(INDEX(ctaVinc,MATCH(Q4190,ctaNombre,0))&amp;""&lt;&gt;"",INDEX(ctaVinc,MATCH(Q4190,ctaNombre,0))&amp;"",Q4190),Q4190))</f>
        <v/>
      </c>
      <c r="AC4190" s="52">
        <f>IF(OR(K4190="",AND(P4190&lt;&gt;"Transferencia",P4190&lt;&gt;"Pago tarjeta")),"",IFERROR(IF(INDEX(ctaVinc,MATCH(K4190,ctaNombre,0))&amp;""&lt;&gt;"",INDEX(ctaVinc,MATCH(K4190,ctaNombre,0))&amp;"",K4190),K4190))</f>
        <v/>
      </c>
      <c r="AD4190" s="52">
        <f>IF(AB4190="","",IFERROR(INDEX(ctaTipo,MATCH(AB4190,ctaNombre,0))&amp;"",""))</f>
        <v/>
      </c>
      <c r="AE4190" s="52">
        <f>IF(AC4190="","",IFERROR(INDEX(ctaTipo,MATCH(AC4190,ctaNombre,0))&amp;"",""))</f>
        <v/>
      </c>
      <c r="AF4190" s="53">
        <f>IF(OR(P4190="",AB4190=""),"",IF(OR(P4190="Gasto",P4190="Transferencia",P4190="Pago tarjeta"),-1,1)*IF(IFERROR(INDEX(ctaMoneda,MATCH(AB4190,ctaNombre,0))&amp;"","DOP")="USD",T4190,S4190))</f>
        <v/>
      </c>
      <c r="AG4190" s="53">
        <f>IF(AC4190="","",IF(IFERROR(INDEX(ctaMoneda,MATCH(AC4190,ctaNombre,0))&amp;"","DOP")="USD",T4190,S4190))</f>
        <v/>
      </c>
      <c r="AH4190" s="53">
        <f>IF(P4190="","",IF(AND(AD4190&lt;&gt;"",COUNTIFS(tcTipo,AD4190,tcLiq,"Sí")&gt;0),IF(OR(P4190="Gasto",P4190="Transferencia",P4190="Pago tarjeta"),-1,1)*S4190,0)+IF(AND(AE4190&lt;&gt;"",COUNTIFS(tcTipo,AE4190,tcLiq,"Sí")&gt;0),S4190,0))</f>
        <v/>
      </c>
      <c r="AI4190" s="52">
        <f>IF(OR(L4190="",P4190=""),"",IF(COUNTIFS(L$6:L4190,L4190,P$6:P4190,"?*")=1,MAX(AI$5:AI4189)+1,""))</f>
        <v/>
      </c>
    </row>
    <row r="4191">
      <c r="B4191" s="47" t="n"/>
      <c r="C4191" s="48" t="n"/>
      <c r="D4191" s="48" t="n"/>
      <c r="E4191" s="48" t="n"/>
      <c r="F4191" s="48" t="n"/>
      <c r="G4191" s="49" t="n"/>
      <c r="H4191" s="48" t="n"/>
      <c r="I4191" s="50" t="n"/>
      <c r="J4191" s="48" t="n"/>
      <c r="K4191" s="48" t="n"/>
      <c r="L4191" s="48" t="n"/>
      <c r="M4191" s="48" t="n"/>
      <c r="N4191" s="48" t="n"/>
      <c r="O4191" s="51">
        <f>IF(AND(B4191="",G4191="",C4191="",D4191="",J4191=""),"",IF(B4191="","⚠ Falta fecha",IF(G4191="","⚠ Falta monto",IF(Q4191="","⚠ Falta cuenta",IF(ISNA(MATCH(Q4191,ctaNombre,0)),"⚠ Cuenta no registrada",IF(AND(OR(P4191="Gasto",P4191="Reembolso"),D4191=""),"⚠ Falta categoría",IF(AND(D4191&lt;&gt;"",E4191&lt;&gt;"",ISNA(MATCH(D4191&amp;"|"&amp;E4191,catClave,0))),"⚠ Subcategoría no corresponde",IF(AND(OR(P4191="Transferencia",P4191="Pago tarjeta"),K4191=""),"⚠ Falta cuenta destino",IF(AND(K4191&lt;&gt;"",P4191&lt;&gt;"Transferencia",P4191&lt;&gt;"Pago tarjeta"),"⚠ Destino solo aplica a transferencias",IF(AND(K4191&lt;&gt;"",K4191=Q4191),"⚠ Origen igual a destino",IF(AND(K4191&lt;&gt;"",ISNA(MATCH(K4191,ctaNombre,0))),"⚠ Destino no registrado",IF(AND(P4191="Pago tarjeta",AE4191&lt;&gt;"Tarjeta de crédito"),"⚠ El destino debe ser tarjeta de crédito",IF(AND(P4191="Gasto",E4191="Depósitos y retiros"),"⚠ Usa tipo Transferencia",IF(AND(P4191="Resultado trading",AD4191&lt;&gt;"Cuenta de trading"),"⚠ Usa una cuenta de trading",IF(AND(G4191&lt;=0,P4191&lt;&gt;"Ajuste",P4191&lt;&gt;"Resultado trading"),"⚠ El monto debe ser positivo","✓")))))))))))))))</f>
        <v/>
      </c>
      <c r="P4191" s="52">
        <f>IF(OR(B4191="",G4191=""),"",IF(C4191="","Gasto",C4191))</f>
        <v/>
      </c>
      <c r="Q4191" s="52">
        <f>IF(P4191="","",IF(J4191&lt;&gt;"",J4191,CuentaPred&amp;""))</f>
        <v/>
      </c>
      <c r="R4191" s="52">
        <f>IF(P4191="","",IF(ISNUMBER(I4191),I4191,TasaUSD))</f>
        <v/>
      </c>
      <c r="S4191" s="53">
        <f>IF(P4191="","",IF(H4191="USD",G4191*R4191,G4191))</f>
        <v/>
      </c>
      <c r="T4191" s="53">
        <f>IF(P4191="","",IF(H4191="USD",G4191,IF(R4191&gt;0,G4191/R4191,0)))</f>
        <v/>
      </c>
      <c r="U4191" s="53">
        <f>IF(P4191="","",IF(P4191="Gasto",S4191,IF(P4191="Reembolso",-S4191,0)))</f>
        <v/>
      </c>
      <c r="V4191" s="53">
        <f>IF(P4191="","",IF(P4191="Ingreso",S4191,0))</f>
        <v/>
      </c>
      <c r="W4191" s="53">
        <f>IF(P4191="","",IF(P4191="Resultado trading",S4191,0))</f>
        <v/>
      </c>
      <c r="X4191" s="52">
        <f>IF(OR(P4191="Gasto",P4191="Reembolso"),IF(M4191&lt;&gt;"",M4191,IFERROR(INDEX(catClasif,MATCH(D4191&amp;"|"&amp;E4191,catClave,0))&amp;"","Variable")),"")</f>
        <v/>
      </c>
      <c r="Y4191" s="52">
        <f>IF(P4191="","",IFERROR(INDEX(catGrupo,MATCH(D4191&amp;"|"&amp;E4191,catClave,0))&amp;"",""))</f>
        <v/>
      </c>
      <c r="Z4191" s="52">
        <f>IF(P4191="","",WEEKDAY(B4191,2))</f>
        <v/>
      </c>
      <c r="AA4191" s="52">
        <f>IF(P4191="","",IF(AND(P4191="Gasto",X4191="Variable",D4191&lt;&gt;catTrading,S4191&gt;0,S4191&lt;=Umbral),1,0))</f>
        <v/>
      </c>
      <c r="AB4191" s="52">
        <f>IF(OR(P4191="",Q4191=""),"",IFERROR(IF(INDEX(ctaVinc,MATCH(Q4191,ctaNombre,0))&amp;""&lt;&gt;"",INDEX(ctaVinc,MATCH(Q4191,ctaNombre,0))&amp;"",Q4191),Q4191))</f>
        <v/>
      </c>
      <c r="AC4191" s="52">
        <f>IF(OR(K4191="",AND(P4191&lt;&gt;"Transferencia",P4191&lt;&gt;"Pago tarjeta")),"",IFERROR(IF(INDEX(ctaVinc,MATCH(K4191,ctaNombre,0))&amp;""&lt;&gt;"",INDEX(ctaVinc,MATCH(K4191,ctaNombre,0))&amp;"",K4191),K4191))</f>
        <v/>
      </c>
      <c r="AD4191" s="52">
        <f>IF(AB4191="","",IFERROR(INDEX(ctaTipo,MATCH(AB4191,ctaNombre,0))&amp;"",""))</f>
        <v/>
      </c>
      <c r="AE4191" s="52">
        <f>IF(AC4191="","",IFERROR(INDEX(ctaTipo,MATCH(AC4191,ctaNombre,0))&amp;"",""))</f>
        <v/>
      </c>
      <c r="AF4191" s="53">
        <f>IF(OR(P4191="",AB4191=""),"",IF(OR(P4191="Gasto",P4191="Transferencia",P4191="Pago tarjeta"),-1,1)*IF(IFERROR(INDEX(ctaMoneda,MATCH(AB4191,ctaNombre,0))&amp;"","DOP")="USD",T4191,S4191))</f>
        <v/>
      </c>
      <c r="AG4191" s="53">
        <f>IF(AC4191="","",IF(IFERROR(INDEX(ctaMoneda,MATCH(AC4191,ctaNombre,0))&amp;"","DOP")="USD",T4191,S4191))</f>
        <v/>
      </c>
      <c r="AH4191" s="53">
        <f>IF(P4191="","",IF(AND(AD4191&lt;&gt;"",COUNTIFS(tcTipo,AD4191,tcLiq,"Sí")&gt;0),IF(OR(P4191="Gasto",P4191="Transferencia",P4191="Pago tarjeta"),-1,1)*S4191,0)+IF(AND(AE4191&lt;&gt;"",COUNTIFS(tcTipo,AE4191,tcLiq,"Sí")&gt;0),S4191,0))</f>
        <v/>
      </c>
      <c r="AI4191" s="52">
        <f>IF(OR(L4191="",P4191=""),"",IF(COUNTIFS(L$6:L4191,L4191,P$6:P4191,"?*")=1,MAX(AI$5:AI4190)+1,""))</f>
        <v/>
      </c>
    </row>
    <row r="4192">
      <c r="B4192" s="47" t="n"/>
      <c r="C4192" s="48" t="n"/>
      <c r="D4192" s="48" t="n"/>
      <c r="E4192" s="48" t="n"/>
      <c r="F4192" s="48" t="n"/>
      <c r="G4192" s="49" t="n"/>
      <c r="H4192" s="48" t="n"/>
      <c r="I4192" s="50" t="n"/>
      <c r="J4192" s="48" t="n"/>
      <c r="K4192" s="48" t="n"/>
      <c r="L4192" s="48" t="n"/>
      <c r="M4192" s="48" t="n"/>
      <c r="N4192" s="48" t="n"/>
      <c r="O4192" s="51">
        <f>IF(AND(B4192="",G4192="",C4192="",D4192="",J4192=""),"",IF(B4192="","⚠ Falta fecha",IF(G4192="","⚠ Falta monto",IF(Q4192="","⚠ Falta cuenta",IF(ISNA(MATCH(Q4192,ctaNombre,0)),"⚠ Cuenta no registrada",IF(AND(OR(P4192="Gasto",P4192="Reembolso"),D4192=""),"⚠ Falta categoría",IF(AND(D4192&lt;&gt;"",E4192&lt;&gt;"",ISNA(MATCH(D4192&amp;"|"&amp;E4192,catClave,0))),"⚠ Subcategoría no corresponde",IF(AND(OR(P4192="Transferencia",P4192="Pago tarjeta"),K4192=""),"⚠ Falta cuenta destino",IF(AND(K4192&lt;&gt;"",P4192&lt;&gt;"Transferencia",P4192&lt;&gt;"Pago tarjeta"),"⚠ Destino solo aplica a transferencias",IF(AND(K4192&lt;&gt;"",K4192=Q4192),"⚠ Origen igual a destino",IF(AND(K4192&lt;&gt;"",ISNA(MATCH(K4192,ctaNombre,0))),"⚠ Destino no registrado",IF(AND(P4192="Pago tarjeta",AE4192&lt;&gt;"Tarjeta de crédito"),"⚠ El destino debe ser tarjeta de crédito",IF(AND(P4192="Gasto",E4192="Depósitos y retiros"),"⚠ Usa tipo Transferencia",IF(AND(P4192="Resultado trading",AD4192&lt;&gt;"Cuenta de trading"),"⚠ Usa una cuenta de trading",IF(AND(G4192&lt;=0,P4192&lt;&gt;"Ajuste",P4192&lt;&gt;"Resultado trading"),"⚠ El monto debe ser positivo","✓")))))))))))))))</f>
        <v/>
      </c>
      <c r="P4192" s="52">
        <f>IF(OR(B4192="",G4192=""),"",IF(C4192="","Gasto",C4192))</f>
        <v/>
      </c>
      <c r="Q4192" s="52">
        <f>IF(P4192="","",IF(J4192&lt;&gt;"",J4192,CuentaPred&amp;""))</f>
        <v/>
      </c>
      <c r="R4192" s="52">
        <f>IF(P4192="","",IF(ISNUMBER(I4192),I4192,TasaUSD))</f>
        <v/>
      </c>
      <c r="S4192" s="53">
        <f>IF(P4192="","",IF(H4192="USD",G4192*R4192,G4192))</f>
        <v/>
      </c>
      <c r="T4192" s="53">
        <f>IF(P4192="","",IF(H4192="USD",G4192,IF(R4192&gt;0,G4192/R4192,0)))</f>
        <v/>
      </c>
      <c r="U4192" s="53">
        <f>IF(P4192="","",IF(P4192="Gasto",S4192,IF(P4192="Reembolso",-S4192,0)))</f>
        <v/>
      </c>
      <c r="V4192" s="53">
        <f>IF(P4192="","",IF(P4192="Ingreso",S4192,0))</f>
        <v/>
      </c>
      <c r="W4192" s="53">
        <f>IF(P4192="","",IF(P4192="Resultado trading",S4192,0))</f>
        <v/>
      </c>
      <c r="X4192" s="52">
        <f>IF(OR(P4192="Gasto",P4192="Reembolso"),IF(M4192&lt;&gt;"",M4192,IFERROR(INDEX(catClasif,MATCH(D4192&amp;"|"&amp;E4192,catClave,0))&amp;"","Variable")),"")</f>
        <v/>
      </c>
      <c r="Y4192" s="52">
        <f>IF(P4192="","",IFERROR(INDEX(catGrupo,MATCH(D4192&amp;"|"&amp;E4192,catClave,0))&amp;"",""))</f>
        <v/>
      </c>
      <c r="Z4192" s="52">
        <f>IF(P4192="","",WEEKDAY(B4192,2))</f>
        <v/>
      </c>
      <c r="AA4192" s="52">
        <f>IF(P4192="","",IF(AND(P4192="Gasto",X4192="Variable",D4192&lt;&gt;catTrading,S4192&gt;0,S4192&lt;=Umbral),1,0))</f>
        <v/>
      </c>
      <c r="AB4192" s="52">
        <f>IF(OR(P4192="",Q4192=""),"",IFERROR(IF(INDEX(ctaVinc,MATCH(Q4192,ctaNombre,0))&amp;""&lt;&gt;"",INDEX(ctaVinc,MATCH(Q4192,ctaNombre,0))&amp;"",Q4192),Q4192))</f>
        <v/>
      </c>
      <c r="AC4192" s="52">
        <f>IF(OR(K4192="",AND(P4192&lt;&gt;"Transferencia",P4192&lt;&gt;"Pago tarjeta")),"",IFERROR(IF(INDEX(ctaVinc,MATCH(K4192,ctaNombre,0))&amp;""&lt;&gt;"",INDEX(ctaVinc,MATCH(K4192,ctaNombre,0))&amp;"",K4192),K4192))</f>
        <v/>
      </c>
      <c r="AD4192" s="52">
        <f>IF(AB4192="","",IFERROR(INDEX(ctaTipo,MATCH(AB4192,ctaNombre,0))&amp;"",""))</f>
        <v/>
      </c>
      <c r="AE4192" s="52">
        <f>IF(AC4192="","",IFERROR(INDEX(ctaTipo,MATCH(AC4192,ctaNombre,0))&amp;"",""))</f>
        <v/>
      </c>
      <c r="AF4192" s="53">
        <f>IF(OR(P4192="",AB4192=""),"",IF(OR(P4192="Gasto",P4192="Transferencia",P4192="Pago tarjeta"),-1,1)*IF(IFERROR(INDEX(ctaMoneda,MATCH(AB4192,ctaNombre,0))&amp;"","DOP")="USD",T4192,S4192))</f>
        <v/>
      </c>
      <c r="AG4192" s="53">
        <f>IF(AC4192="","",IF(IFERROR(INDEX(ctaMoneda,MATCH(AC4192,ctaNombre,0))&amp;"","DOP")="USD",T4192,S4192))</f>
        <v/>
      </c>
      <c r="AH4192" s="53">
        <f>IF(P4192="","",IF(AND(AD4192&lt;&gt;"",COUNTIFS(tcTipo,AD4192,tcLiq,"Sí")&gt;0),IF(OR(P4192="Gasto",P4192="Transferencia",P4192="Pago tarjeta"),-1,1)*S4192,0)+IF(AND(AE4192&lt;&gt;"",COUNTIFS(tcTipo,AE4192,tcLiq,"Sí")&gt;0),S4192,0))</f>
        <v/>
      </c>
      <c r="AI4192" s="52">
        <f>IF(OR(L4192="",P4192=""),"",IF(COUNTIFS(L$6:L4192,L4192,P$6:P4192,"?*")=1,MAX(AI$5:AI4191)+1,""))</f>
        <v/>
      </c>
    </row>
    <row r="4193">
      <c r="B4193" s="47" t="n"/>
      <c r="C4193" s="48" t="n"/>
      <c r="D4193" s="48" t="n"/>
      <c r="E4193" s="48" t="n"/>
      <c r="F4193" s="48" t="n"/>
      <c r="G4193" s="49" t="n"/>
      <c r="H4193" s="48" t="n"/>
      <c r="I4193" s="50" t="n"/>
      <c r="J4193" s="48" t="n"/>
      <c r="K4193" s="48" t="n"/>
      <c r="L4193" s="48" t="n"/>
      <c r="M4193" s="48" t="n"/>
      <c r="N4193" s="48" t="n"/>
      <c r="O4193" s="51">
        <f>IF(AND(B4193="",G4193="",C4193="",D4193="",J4193=""),"",IF(B4193="","⚠ Falta fecha",IF(G4193="","⚠ Falta monto",IF(Q4193="","⚠ Falta cuenta",IF(ISNA(MATCH(Q4193,ctaNombre,0)),"⚠ Cuenta no registrada",IF(AND(OR(P4193="Gasto",P4193="Reembolso"),D4193=""),"⚠ Falta categoría",IF(AND(D4193&lt;&gt;"",E4193&lt;&gt;"",ISNA(MATCH(D4193&amp;"|"&amp;E4193,catClave,0))),"⚠ Subcategoría no corresponde",IF(AND(OR(P4193="Transferencia",P4193="Pago tarjeta"),K4193=""),"⚠ Falta cuenta destino",IF(AND(K4193&lt;&gt;"",P4193&lt;&gt;"Transferencia",P4193&lt;&gt;"Pago tarjeta"),"⚠ Destino solo aplica a transferencias",IF(AND(K4193&lt;&gt;"",K4193=Q4193),"⚠ Origen igual a destino",IF(AND(K4193&lt;&gt;"",ISNA(MATCH(K4193,ctaNombre,0))),"⚠ Destino no registrado",IF(AND(P4193="Pago tarjeta",AE4193&lt;&gt;"Tarjeta de crédito"),"⚠ El destino debe ser tarjeta de crédito",IF(AND(P4193="Gasto",E4193="Depósitos y retiros"),"⚠ Usa tipo Transferencia",IF(AND(P4193="Resultado trading",AD4193&lt;&gt;"Cuenta de trading"),"⚠ Usa una cuenta de trading",IF(AND(G4193&lt;=0,P4193&lt;&gt;"Ajuste",P4193&lt;&gt;"Resultado trading"),"⚠ El monto debe ser positivo","✓")))))))))))))))</f>
        <v/>
      </c>
      <c r="P4193" s="52">
        <f>IF(OR(B4193="",G4193=""),"",IF(C4193="","Gasto",C4193))</f>
        <v/>
      </c>
      <c r="Q4193" s="52">
        <f>IF(P4193="","",IF(J4193&lt;&gt;"",J4193,CuentaPred&amp;""))</f>
        <v/>
      </c>
      <c r="R4193" s="52">
        <f>IF(P4193="","",IF(ISNUMBER(I4193),I4193,TasaUSD))</f>
        <v/>
      </c>
      <c r="S4193" s="53">
        <f>IF(P4193="","",IF(H4193="USD",G4193*R4193,G4193))</f>
        <v/>
      </c>
      <c r="T4193" s="53">
        <f>IF(P4193="","",IF(H4193="USD",G4193,IF(R4193&gt;0,G4193/R4193,0)))</f>
        <v/>
      </c>
      <c r="U4193" s="53">
        <f>IF(P4193="","",IF(P4193="Gasto",S4193,IF(P4193="Reembolso",-S4193,0)))</f>
        <v/>
      </c>
      <c r="V4193" s="53">
        <f>IF(P4193="","",IF(P4193="Ingreso",S4193,0))</f>
        <v/>
      </c>
      <c r="W4193" s="53">
        <f>IF(P4193="","",IF(P4193="Resultado trading",S4193,0))</f>
        <v/>
      </c>
      <c r="X4193" s="52">
        <f>IF(OR(P4193="Gasto",P4193="Reembolso"),IF(M4193&lt;&gt;"",M4193,IFERROR(INDEX(catClasif,MATCH(D4193&amp;"|"&amp;E4193,catClave,0))&amp;"","Variable")),"")</f>
        <v/>
      </c>
      <c r="Y4193" s="52">
        <f>IF(P4193="","",IFERROR(INDEX(catGrupo,MATCH(D4193&amp;"|"&amp;E4193,catClave,0))&amp;"",""))</f>
        <v/>
      </c>
      <c r="Z4193" s="52">
        <f>IF(P4193="","",WEEKDAY(B4193,2))</f>
        <v/>
      </c>
      <c r="AA4193" s="52">
        <f>IF(P4193="","",IF(AND(P4193="Gasto",X4193="Variable",D4193&lt;&gt;catTrading,S4193&gt;0,S4193&lt;=Umbral),1,0))</f>
        <v/>
      </c>
      <c r="AB4193" s="52">
        <f>IF(OR(P4193="",Q4193=""),"",IFERROR(IF(INDEX(ctaVinc,MATCH(Q4193,ctaNombre,0))&amp;""&lt;&gt;"",INDEX(ctaVinc,MATCH(Q4193,ctaNombre,0))&amp;"",Q4193),Q4193))</f>
        <v/>
      </c>
      <c r="AC4193" s="52">
        <f>IF(OR(K4193="",AND(P4193&lt;&gt;"Transferencia",P4193&lt;&gt;"Pago tarjeta")),"",IFERROR(IF(INDEX(ctaVinc,MATCH(K4193,ctaNombre,0))&amp;""&lt;&gt;"",INDEX(ctaVinc,MATCH(K4193,ctaNombre,0))&amp;"",K4193),K4193))</f>
        <v/>
      </c>
      <c r="AD4193" s="52">
        <f>IF(AB4193="","",IFERROR(INDEX(ctaTipo,MATCH(AB4193,ctaNombre,0))&amp;"",""))</f>
        <v/>
      </c>
      <c r="AE4193" s="52">
        <f>IF(AC4193="","",IFERROR(INDEX(ctaTipo,MATCH(AC4193,ctaNombre,0))&amp;"",""))</f>
        <v/>
      </c>
      <c r="AF4193" s="53">
        <f>IF(OR(P4193="",AB4193=""),"",IF(OR(P4193="Gasto",P4193="Transferencia",P4193="Pago tarjeta"),-1,1)*IF(IFERROR(INDEX(ctaMoneda,MATCH(AB4193,ctaNombre,0))&amp;"","DOP")="USD",T4193,S4193))</f>
        <v/>
      </c>
      <c r="AG4193" s="53">
        <f>IF(AC4193="","",IF(IFERROR(INDEX(ctaMoneda,MATCH(AC4193,ctaNombre,0))&amp;"","DOP")="USD",T4193,S4193))</f>
        <v/>
      </c>
      <c r="AH4193" s="53">
        <f>IF(P4193="","",IF(AND(AD4193&lt;&gt;"",COUNTIFS(tcTipo,AD4193,tcLiq,"Sí")&gt;0),IF(OR(P4193="Gasto",P4193="Transferencia",P4193="Pago tarjeta"),-1,1)*S4193,0)+IF(AND(AE4193&lt;&gt;"",COUNTIFS(tcTipo,AE4193,tcLiq,"Sí")&gt;0),S4193,0))</f>
        <v/>
      </c>
      <c r="AI4193" s="52">
        <f>IF(OR(L4193="",P4193=""),"",IF(COUNTIFS(L$6:L4193,L4193,P$6:P4193,"?*")=1,MAX(AI$5:AI4192)+1,""))</f>
        <v/>
      </c>
    </row>
    <row r="4194">
      <c r="B4194" s="47" t="n"/>
      <c r="C4194" s="48" t="n"/>
      <c r="D4194" s="48" t="n"/>
      <c r="E4194" s="48" t="n"/>
      <c r="F4194" s="48" t="n"/>
      <c r="G4194" s="49" t="n"/>
      <c r="H4194" s="48" t="n"/>
      <c r="I4194" s="50" t="n"/>
      <c r="J4194" s="48" t="n"/>
      <c r="K4194" s="48" t="n"/>
      <c r="L4194" s="48" t="n"/>
      <c r="M4194" s="48" t="n"/>
      <c r="N4194" s="48" t="n"/>
      <c r="O4194" s="51">
        <f>IF(AND(B4194="",G4194="",C4194="",D4194="",J4194=""),"",IF(B4194="","⚠ Falta fecha",IF(G4194="","⚠ Falta monto",IF(Q4194="","⚠ Falta cuenta",IF(ISNA(MATCH(Q4194,ctaNombre,0)),"⚠ Cuenta no registrada",IF(AND(OR(P4194="Gasto",P4194="Reembolso"),D4194=""),"⚠ Falta categoría",IF(AND(D4194&lt;&gt;"",E4194&lt;&gt;"",ISNA(MATCH(D4194&amp;"|"&amp;E4194,catClave,0))),"⚠ Subcategoría no corresponde",IF(AND(OR(P4194="Transferencia",P4194="Pago tarjeta"),K4194=""),"⚠ Falta cuenta destino",IF(AND(K4194&lt;&gt;"",P4194&lt;&gt;"Transferencia",P4194&lt;&gt;"Pago tarjeta"),"⚠ Destino solo aplica a transferencias",IF(AND(K4194&lt;&gt;"",K4194=Q4194),"⚠ Origen igual a destino",IF(AND(K4194&lt;&gt;"",ISNA(MATCH(K4194,ctaNombre,0))),"⚠ Destino no registrado",IF(AND(P4194="Pago tarjeta",AE4194&lt;&gt;"Tarjeta de crédito"),"⚠ El destino debe ser tarjeta de crédito",IF(AND(P4194="Gasto",E4194="Depósitos y retiros"),"⚠ Usa tipo Transferencia",IF(AND(P4194="Resultado trading",AD4194&lt;&gt;"Cuenta de trading"),"⚠ Usa una cuenta de trading",IF(AND(G4194&lt;=0,P4194&lt;&gt;"Ajuste",P4194&lt;&gt;"Resultado trading"),"⚠ El monto debe ser positivo","✓")))))))))))))))</f>
        <v/>
      </c>
      <c r="P4194" s="52">
        <f>IF(OR(B4194="",G4194=""),"",IF(C4194="","Gasto",C4194))</f>
        <v/>
      </c>
      <c r="Q4194" s="52">
        <f>IF(P4194="","",IF(J4194&lt;&gt;"",J4194,CuentaPred&amp;""))</f>
        <v/>
      </c>
      <c r="R4194" s="52">
        <f>IF(P4194="","",IF(ISNUMBER(I4194),I4194,TasaUSD))</f>
        <v/>
      </c>
      <c r="S4194" s="53">
        <f>IF(P4194="","",IF(H4194="USD",G4194*R4194,G4194))</f>
        <v/>
      </c>
      <c r="T4194" s="53">
        <f>IF(P4194="","",IF(H4194="USD",G4194,IF(R4194&gt;0,G4194/R4194,0)))</f>
        <v/>
      </c>
      <c r="U4194" s="53">
        <f>IF(P4194="","",IF(P4194="Gasto",S4194,IF(P4194="Reembolso",-S4194,0)))</f>
        <v/>
      </c>
      <c r="V4194" s="53">
        <f>IF(P4194="","",IF(P4194="Ingreso",S4194,0))</f>
        <v/>
      </c>
      <c r="W4194" s="53">
        <f>IF(P4194="","",IF(P4194="Resultado trading",S4194,0))</f>
        <v/>
      </c>
      <c r="X4194" s="52">
        <f>IF(OR(P4194="Gasto",P4194="Reembolso"),IF(M4194&lt;&gt;"",M4194,IFERROR(INDEX(catClasif,MATCH(D4194&amp;"|"&amp;E4194,catClave,0))&amp;"","Variable")),"")</f>
        <v/>
      </c>
      <c r="Y4194" s="52">
        <f>IF(P4194="","",IFERROR(INDEX(catGrupo,MATCH(D4194&amp;"|"&amp;E4194,catClave,0))&amp;"",""))</f>
        <v/>
      </c>
      <c r="Z4194" s="52">
        <f>IF(P4194="","",WEEKDAY(B4194,2))</f>
        <v/>
      </c>
      <c r="AA4194" s="52">
        <f>IF(P4194="","",IF(AND(P4194="Gasto",X4194="Variable",D4194&lt;&gt;catTrading,S4194&gt;0,S4194&lt;=Umbral),1,0))</f>
        <v/>
      </c>
      <c r="AB4194" s="52">
        <f>IF(OR(P4194="",Q4194=""),"",IFERROR(IF(INDEX(ctaVinc,MATCH(Q4194,ctaNombre,0))&amp;""&lt;&gt;"",INDEX(ctaVinc,MATCH(Q4194,ctaNombre,0))&amp;"",Q4194),Q4194))</f>
        <v/>
      </c>
      <c r="AC4194" s="52">
        <f>IF(OR(K4194="",AND(P4194&lt;&gt;"Transferencia",P4194&lt;&gt;"Pago tarjeta")),"",IFERROR(IF(INDEX(ctaVinc,MATCH(K4194,ctaNombre,0))&amp;""&lt;&gt;"",INDEX(ctaVinc,MATCH(K4194,ctaNombre,0))&amp;"",K4194),K4194))</f>
        <v/>
      </c>
      <c r="AD4194" s="52">
        <f>IF(AB4194="","",IFERROR(INDEX(ctaTipo,MATCH(AB4194,ctaNombre,0))&amp;"",""))</f>
        <v/>
      </c>
      <c r="AE4194" s="52">
        <f>IF(AC4194="","",IFERROR(INDEX(ctaTipo,MATCH(AC4194,ctaNombre,0))&amp;"",""))</f>
        <v/>
      </c>
      <c r="AF4194" s="53">
        <f>IF(OR(P4194="",AB4194=""),"",IF(OR(P4194="Gasto",P4194="Transferencia",P4194="Pago tarjeta"),-1,1)*IF(IFERROR(INDEX(ctaMoneda,MATCH(AB4194,ctaNombre,0))&amp;"","DOP")="USD",T4194,S4194))</f>
        <v/>
      </c>
      <c r="AG4194" s="53">
        <f>IF(AC4194="","",IF(IFERROR(INDEX(ctaMoneda,MATCH(AC4194,ctaNombre,0))&amp;"","DOP")="USD",T4194,S4194))</f>
        <v/>
      </c>
      <c r="AH4194" s="53">
        <f>IF(P4194="","",IF(AND(AD4194&lt;&gt;"",COUNTIFS(tcTipo,AD4194,tcLiq,"Sí")&gt;0),IF(OR(P4194="Gasto",P4194="Transferencia",P4194="Pago tarjeta"),-1,1)*S4194,0)+IF(AND(AE4194&lt;&gt;"",COUNTIFS(tcTipo,AE4194,tcLiq,"Sí")&gt;0),S4194,0))</f>
        <v/>
      </c>
      <c r="AI4194" s="52">
        <f>IF(OR(L4194="",P4194=""),"",IF(COUNTIFS(L$6:L4194,L4194,P$6:P4194,"?*")=1,MAX(AI$5:AI4193)+1,""))</f>
        <v/>
      </c>
    </row>
    <row r="4195">
      <c r="B4195" s="47" t="n"/>
      <c r="C4195" s="48" t="n"/>
      <c r="D4195" s="48" t="n"/>
      <c r="E4195" s="48" t="n"/>
      <c r="F4195" s="48" t="n"/>
      <c r="G4195" s="49" t="n"/>
      <c r="H4195" s="48" t="n"/>
      <c r="I4195" s="50" t="n"/>
      <c r="J4195" s="48" t="n"/>
      <c r="K4195" s="48" t="n"/>
      <c r="L4195" s="48" t="n"/>
      <c r="M4195" s="48" t="n"/>
      <c r="N4195" s="48" t="n"/>
      <c r="O4195" s="51">
        <f>IF(AND(B4195="",G4195="",C4195="",D4195="",J4195=""),"",IF(B4195="","⚠ Falta fecha",IF(G4195="","⚠ Falta monto",IF(Q4195="","⚠ Falta cuenta",IF(ISNA(MATCH(Q4195,ctaNombre,0)),"⚠ Cuenta no registrada",IF(AND(OR(P4195="Gasto",P4195="Reembolso"),D4195=""),"⚠ Falta categoría",IF(AND(D4195&lt;&gt;"",E4195&lt;&gt;"",ISNA(MATCH(D4195&amp;"|"&amp;E4195,catClave,0))),"⚠ Subcategoría no corresponde",IF(AND(OR(P4195="Transferencia",P4195="Pago tarjeta"),K4195=""),"⚠ Falta cuenta destino",IF(AND(K4195&lt;&gt;"",P4195&lt;&gt;"Transferencia",P4195&lt;&gt;"Pago tarjeta"),"⚠ Destino solo aplica a transferencias",IF(AND(K4195&lt;&gt;"",K4195=Q4195),"⚠ Origen igual a destino",IF(AND(K4195&lt;&gt;"",ISNA(MATCH(K4195,ctaNombre,0))),"⚠ Destino no registrado",IF(AND(P4195="Pago tarjeta",AE4195&lt;&gt;"Tarjeta de crédito"),"⚠ El destino debe ser tarjeta de crédito",IF(AND(P4195="Gasto",E4195="Depósitos y retiros"),"⚠ Usa tipo Transferencia",IF(AND(P4195="Resultado trading",AD4195&lt;&gt;"Cuenta de trading"),"⚠ Usa una cuenta de trading",IF(AND(G4195&lt;=0,P4195&lt;&gt;"Ajuste",P4195&lt;&gt;"Resultado trading"),"⚠ El monto debe ser positivo","✓")))))))))))))))</f>
        <v/>
      </c>
      <c r="P4195" s="52">
        <f>IF(OR(B4195="",G4195=""),"",IF(C4195="","Gasto",C4195))</f>
        <v/>
      </c>
      <c r="Q4195" s="52">
        <f>IF(P4195="","",IF(J4195&lt;&gt;"",J4195,CuentaPred&amp;""))</f>
        <v/>
      </c>
      <c r="R4195" s="52">
        <f>IF(P4195="","",IF(ISNUMBER(I4195),I4195,TasaUSD))</f>
        <v/>
      </c>
      <c r="S4195" s="53">
        <f>IF(P4195="","",IF(H4195="USD",G4195*R4195,G4195))</f>
        <v/>
      </c>
      <c r="T4195" s="53">
        <f>IF(P4195="","",IF(H4195="USD",G4195,IF(R4195&gt;0,G4195/R4195,0)))</f>
        <v/>
      </c>
      <c r="U4195" s="53">
        <f>IF(P4195="","",IF(P4195="Gasto",S4195,IF(P4195="Reembolso",-S4195,0)))</f>
        <v/>
      </c>
      <c r="V4195" s="53">
        <f>IF(P4195="","",IF(P4195="Ingreso",S4195,0))</f>
        <v/>
      </c>
      <c r="W4195" s="53">
        <f>IF(P4195="","",IF(P4195="Resultado trading",S4195,0))</f>
        <v/>
      </c>
      <c r="X4195" s="52">
        <f>IF(OR(P4195="Gasto",P4195="Reembolso"),IF(M4195&lt;&gt;"",M4195,IFERROR(INDEX(catClasif,MATCH(D4195&amp;"|"&amp;E4195,catClave,0))&amp;"","Variable")),"")</f>
        <v/>
      </c>
      <c r="Y4195" s="52">
        <f>IF(P4195="","",IFERROR(INDEX(catGrupo,MATCH(D4195&amp;"|"&amp;E4195,catClave,0))&amp;"",""))</f>
        <v/>
      </c>
      <c r="Z4195" s="52">
        <f>IF(P4195="","",WEEKDAY(B4195,2))</f>
        <v/>
      </c>
      <c r="AA4195" s="52">
        <f>IF(P4195="","",IF(AND(P4195="Gasto",X4195="Variable",D4195&lt;&gt;catTrading,S4195&gt;0,S4195&lt;=Umbral),1,0))</f>
        <v/>
      </c>
      <c r="AB4195" s="52">
        <f>IF(OR(P4195="",Q4195=""),"",IFERROR(IF(INDEX(ctaVinc,MATCH(Q4195,ctaNombre,0))&amp;""&lt;&gt;"",INDEX(ctaVinc,MATCH(Q4195,ctaNombre,0))&amp;"",Q4195),Q4195))</f>
        <v/>
      </c>
      <c r="AC4195" s="52">
        <f>IF(OR(K4195="",AND(P4195&lt;&gt;"Transferencia",P4195&lt;&gt;"Pago tarjeta")),"",IFERROR(IF(INDEX(ctaVinc,MATCH(K4195,ctaNombre,0))&amp;""&lt;&gt;"",INDEX(ctaVinc,MATCH(K4195,ctaNombre,0))&amp;"",K4195),K4195))</f>
        <v/>
      </c>
      <c r="AD4195" s="52">
        <f>IF(AB4195="","",IFERROR(INDEX(ctaTipo,MATCH(AB4195,ctaNombre,0))&amp;"",""))</f>
        <v/>
      </c>
      <c r="AE4195" s="52">
        <f>IF(AC4195="","",IFERROR(INDEX(ctaTipo,MATCH(AC4195,ctaNombre,0))&amp;"",""))</f>
        <v/>
      </c>
      <c r="AF4195" s="53">
        <f>IF(OR(P4195="",AB4195=""),"",IF(OR(P4195="Gasto",P4195="Transferencia",P4195="Pago tarjeta"),-1,1)*IF(IFERROR(INDEX(ctaMoneda,MATCH(AB4195,ctaNombre,0))&amp;"","DOP")="USD",T4195,S4195))</f>
        <v/>
      </c>
      <c r="AG4195" s="53">
        <f>IF(AC4195="","",IF(IFERROR(INDEX(ctaMoneda,MATCH(AC4195,ctaNombre,0))&amp;"","DOP")="USD",T4195,S4195))</f>
        <v/>
      </c>
      <c r="AH4195" s="53">
        <f>IF(P4195="","",IF(AND(AD4195&lt;&gt;"",COUNTIFS(tcTipo,AD4195,tcLiq,"Sí")&gt;0),IF(OR(P4195="Gasto",P4195="Transferencia",P4195="Pago tarjeta"),-1,1)*S4195,0)+IF(AND(AE4195&lt;&gt;"",COUNTIFS(tcTipo,AE4195,tcLiq,"Sí")&gt;0),S4195,0))</f>
        <v/>
      </c>
      <c r="AI4195" s="52">
        <f>IF(OR(L4195="",P4195=""),"",IF(COUNTIFS(L$6:L4195,L4195,P$6:P4195,"?*")=1,MAX(AI$5:AI4194)+1,""))</f>
        <v/>
      </c>
    </row>
    <row r="4196">
      <c r="B4196" s="47" t="n"/>
      <c r="C4196" s="48" t="n"/>
      <c r="D4196" s="48" t="n"/>
      <c r="E4196" s="48" t="n"/>
      <c r="F4196" s="48" t="n"/>
      <c r="G4196" s="49" t="n"/>
      <c r="H4196" s="48" t="n"/>
      <c r="I4196" s="50" t="n"/>
      <c r="J4196" s="48" t="n"/>
      <c r="K4196" s="48" t="n"/>
      <c r="L4196" s="48" t="n"/>
      <c r="M4196" s="48" t="n"/>
      <c r="N4196" s="48" t="n"/>
      <c r="O4196" s="51">
        <f>IF(AND(B4196="",G4196="",C4196="",D4196="",J4196=""),"",IF(B4196="","⚠ Falta fecha",IF(G4196="","⚠ Falta monto",IF(Q4196="","⚠ Falta cuenta",IF(ISNA(MATCH(Q4196,ctaNombre,0)),"⚠ Cuenta no registrada",IF(AND(OR(P4196="Gasto",P4196="Reembolso"),D4196=""),"⚠ Falta categoría",IF(AND(D4196&lt;&gt;"",E4196&lt;&gt;"",ISNA(MATCH(D4196&amp;"|"&amp;E4196,catClave,0))),"⚠ Subcategoría no corresponde",IF(AND(OR(P4196="Transferencia",P4196="Pago tarjeta"),K4196=""),"⚠ Falta cuenta destino",IF(AND(K4196&lt;&gt;"",P4196&lt;&gt;"Transferencia",P4196&lt;&gt;"Pago tarjeta"),"⚠ Destino solo aplica a transferencias",IF(AND(K4196&lt;&gt;"",K4196=Q4196),"⚠ Origen igual a destino",IF(AND(K4196&lt;&gt;"",ISNA(MATCH(K4196,ctaNombre,0))),"⚠ Destino no registrado",IF(AND(P4196="Pago tarjeta",AE4196&lt;&gt;"Tarjeta de crédito"),"⚠ El destino debe ser tarjeta de crédito",IF(AND(P4196="Gasto",E4196="Depósitos y retiros"),"⚠ Usa tipo Transferencia",IF(AND(P4196="Resultado trading",AD4196&lt;&gt;"Cuenta de trading"),"⚠ Usa una cuenta de trading",IF(AND(G4196&lt;=0,P4196&lt;&gt;"Ajuste",P4196&lt;&gt;"Resultado trading"),"⚠ El monto debe ser positivo","✓")))))))))))))))</f>
        <v/>
      </c>
      <c r="P4196" s="52">
        <f>IF(OR(B4196="",G4196=""),"",IF(C4196="","Gasto",C4196))</f>
        <v/>
      </c>
      <c r="Q4196" s="52">
        <f>IF(P4196="","",IF(J4196&lt;&gt;"",J4196,CuentaPred&amp;""))</f>
        <v/>
      </c>
      <c r="R4196" s="52">
        <f>IF(P4196="","",IF(ISNUMBER(I4196),I4196,TasaUSD))</f>
        <v/>
      </c>
      <c r="S4196" s="53">
        <f>IF(P4196="","",IF(H4196="USD",G4196*R4196,G4196))</f>
        <v/>
      </c>
      <c r="T4196" s="53">
        <f>IF(P4196="","",IF(H4196="USD",G4196,IF(R4196&gt;0,G4196/R4196,0)))</f>
        <v/>
      </c>
      <c r="U4196" s="53">
        <f>IF(P4196="","",IF(P4196="Gasto",S4196,IF(P4196="Reembolso",-S4196,0)))</f>
        <v/>
      </c>
      <c r="V4196" s="53">
        <f>IF(P4196="","",IF(P4196="Ingreso",S4196,0))</f>
        <v/>
      </c>
      <c r="W4196" s="53">
        <f>IF(P4196="","",IF(P4196="Resultado trading",S4196,0))</f>
        <v/>
      </c>
      <c r="X4196" s="52">
        <f>IF(OR(P4196="Gasto",P4196="Reembolso"),IF(M4196&lt;&gt;"",M4196,IFERROR(INDEX(catClasif,MATCH(D4196&amp;"|"&amp;E4196,catClave,0))&amp;"","Variable")),"")</f>
        <v/>
      </c>
      <c r="Y4196" s="52">
        <f>IF(P4196="","",IFERROR(INDEX(catGrupo,MATCH(D4196&amp;"|"&amp;E4196,catClave,0))&amp;"",""))</f>
        <v/>
      </c>
      <c r="Z4196" s="52">
        <f>IF(P4196="","",WEEKDAY(B4196,2))</f>
        <v/>
      </c>
      <c r="AA4196" s="52">
        <f>IF(P4196="","",IF(AND(P4196="Gasto",X4196="Variable",D4196&lt;&gt;catTrading,S4196&gt;0,S4196&lt;=Umbral),1,0))</f>
        <v/>
      </c>
      <c r="AB4196" s="52">
        <f>IF(OR(P4196="",Q4196=""),"",IFERROR(IF(INDEX(ctaVinc,MATCH(Q4196,ctaNombre,0))&amp;""&lt;&gt;"",INDEX(ctaVinc,MATCH(Q4196,ctaNombre,0))&amp;"",Q4196),Q4196))</f>
        <v/>
      </c>
      <c r="AC4196" s="52">
        <f>IF(OR(K4196="",AND(P4196&lt;&gt;"Transferencia",P4196&lt;&gt;"Pago tarjeta")),"",IFERROR(IF(INDEX(ctaVinc,MATCH(K4196,ctaNombre,0))&amp;""&lt;&gt;"",INDEX(ctaVinc,MATCH(K4196,ctaNombre,0))&amp;"",K4196),K4196))</f>
        <v/>
      </c>
      <c r="AD4196" s="52">
        <f>IF(AB4196="","",IFERROR(INDEX(ctaTipo,MATCH(AB4196,ctaNombre,0))&amp;"",""))</f>
        <v/>
      </c>
      <c r="AE4196" s="52">
        <f>IF(AC4196="","",IFERROR(INDEX(ctaTipo,MATCH(AC4196,ctaNombre,0))&amp;"",""))</f>
        <v/>
      </c>
      <c r="AF4196" s="53">
        <f>IF(OR(P4196="",AB4196=""),"",IF(OR(P4196="Gasto",P4196="Transferencia",P4196="Pago tarjeta"),-1,1)*IF(IFERROR(INDEX(ctaMoneda,MATCH(AB4196,ctaNombre,0))&amp;"","DOP")="USD",T4196,S4196))</f>
        <v/>
      </c>
      <c r="AG4196" s="53">
        <f>IF(AC4196="","",IF(IFERROR(INDEX(ctaMoneda,MATCH(AC4196,ctaNombre,0))&amp;"","DOP")="USD",T4196,S4196))</f>
        <v/>
      </c>
      <c r="AH4196" s="53">
        <f>IF(P4196="","",IF(AND(AD4196&lt;&gt;"",COUNTIFS(tcTipo,AD4196,tcLiq,"Sí")&gt;0),IF(OR(P4196="Gasto",P4196="Transferencia",P4196="Pago tarjeta"),-1,1)*S4196,0)+IF(AND(AE4196&lt;&gt;"",COUNTIFS(tcTipo,AE4196,tcLiq,"Sí")&gt;0),S4196,0))</f>
        <v/>
      </c>
      <c r="AI4196" s="52">
        <f>IF(OR(L4196="",P4196=""),"",IF(COUNTIFS(L$6:L4196,L4196,P$6:P4196,"?*")=1,MAX(AI$5:AI4195)+1,""))</f>
        <v/>
      </c>
    </row>
    <row r="4197">
      <c r="B4197" s="47" t="n"/>
      <c r="C4197" s="48" t="n"/>
      <c r="D4197" s="48" t="n"/>
      <c r="E4197" s="48" t="n"/>
      <c r="F4197" s="48" t="n"/>
      <c r="G4197" s="49" t="n"/>
      <c r="H4197" s="48" t="n"/>
      <c r="I4197" s="50" t="n"/>
      <c r="J4197" s="48" t="n"/>
      <c r="K4197" s="48" t="n"/>
      <c r="L4197" s="48" t="n"/>
      <c r="M4197" s="48" t="n"/>
      <c r="N4197" s="48" t="n"/>
      <c r="O4197" s="51">
        <f>IF(AND(B4197="",G4197="",C4197="",D4197="",J4197=""),"",IF(B4197="","⚠ Falta fecha",IF(G4197="","⚠ Falta monto",IF(Q4197="","⚠ Falta cuenta",IF(ISNA(MATCH(Q4197,ctaNombre,0)),"⚠ Cuenta no registrada",IF(AND(OR(P4197="Gasto",P4197="Reembolso"),D4197=""),"⚠ Falta categoría",IF(AND(D4197&lt;&gt;"",E4197&lt;&gt;"",ISNA(MATCH(D4197&amp;"|"&amp;E4197,catClave,0))),"⚠ Subcategoría no corresponde",IF(AND(OR(P4197="Transferencia",P4197="Pago tarjeta"),K4197=""),"⚠ Falta cuenta destino",IF(AND(K4197&lt;&gt;"",P4197&lt;&gt;"Transferencia",P4197&lt;&gt;"Pago tarjeta"),"⚠ Destino solo aplica a transferencias",IF(AND(K4197&lt;&gt;"",K4197=Q4197),"⚠ Origen igual a destino",IF(AND(K4197&lt;&gt;"",ISNA(MATCH(K4197,ctaNombre,0))),"⚠ Destino no registrado",IF(AND(P4197="Pago tarjeta",AE4197&lt;&gt;"Tarjeta de crédito"),"⚠ El destino debe ser tarjeta de crédito",IF(AND(P4197="Gasto",E4197="Depósitos y retiros"),"⚠ Usa tipo Transferencia",IF(AND(P4197="Resultado trading",AD4197&lt;&gt;"Cuenta de trading"),"⚠ Usa una cuenta de trading",IF(AND(G4197&lt;=0,P4197&lt;&gt;"Ajuste",P4197&lt;&gt;"Resultado trading"),"⚠ El monto debe ser positivo","✓")))))))))))))))</f>
        <v/>
      </c>
      <c r="P4197" s="52">
        <f>IF(OR(B4197="",G4197=""),"",IF(C4197="","Gasto",C4197))</f>
        <v/>
      </c>
      <c r="Q4197" s="52">
        <f>IF(P4197="","",IF(J4197&lt;&gt;"",J4197,CuentaPred&amp;""))</f>
        <v/>
      </c>
      <c r="R4197" s="52">
        <f>IF(P4197="","",IF(ISNUMBER(I4197),I4197,TasaUSD))</f>
        <v/>
      </c>
      <c r="S4197" s="53">
        <f>IF(P4197="","",IF(H4197="USD",G4197*R4197,G4197))</f>
        <v/>
      </c>
      <c r="T4197" s="53">
        <f>IF(P4197="","",IF(H4197="USD",G4197,IF(R4197&gt;0,G4197/R4197,0)))</f>
        <v/>
      </c>
      <c r="U4197" s="53">
        <f>IF(P4197="","",IF(P4197="Gasto",S4197,IF(P4197="Reembolso",-S4197,0)))</f>
        <v/>
      </c>
      <c r="V4197" s="53">
        <f>IF(P4197="","",IF(P4197="Ingreso",S4197,0))</f>
        <v/>
      </c>
      <c r="W4197" s="53">
        <f>IF(P4197="","",IF(P4197="Resultado trading",S4197,0))</f>
        <v/>
      </c>
      <c r="X4197" s="52">
        <f>IF(OR(P4197="Gasto",P4197="Reembolso"),IF(M4197&lt;&gt;"",M4197,IFERROR(INDEX(catClasif,MATCH(D4197&amp;"|"&amp;E4197,catClave,0))&amp;"","Variable")),"")</f>
        <v/>
      </c>
      <c r="Y4197" s="52">
        <f>IF(P4197="","",IFERROR(INDEX(catGrupo,MATCH(D4197&amp;"|"&amp;E4197,catClave,0))&amp;"",""))</f>
        <v/>
      </c>
      <c r="Z4197" s="52">
        <f>IF(P4197="","",WEEKDAY(B4197,2))</f>
        <v/>
      </c>
      <c r="AA4197" s="52">
        <f>IF(P4197="","",IF(AND(P4197="Gasto",X4197="Variable",D4197&lt;&gt;catTrading,S4197&gt;0,S4197&lt;=Umbral),1,0))</f>
        <v/>
      </c>
      <c r="AB4197" s="52">
        <f>IF(OR(P4197="",Q4197=""),"",IFERROR(IF(INDEX(ctaVinc,MATCH(Q4197,ctaNombre,0))&amp;""&lt;&gt;"",INDEX(ctaVinc,MATCH(Q4197,ctaNombre,0))&amp;"",Q4197),Q4197))</f>
        <v/>
      </c>
      <c r="AC4197" s="52">
        <f>IF(OR(K4197="",AND(P4197&lt;&gt;"Transferencia",P4197&lt;&gt;"Pago tarjeta")),"",IFERROR(IF(INDEX(ctaVinc,MATCH(K4197,ctaNombre,0))&amp;""&lt;&gt;"",INDEX(ctaVinc,MATCH(K4197,ctaNombre,0))&amp;"",K4197),K4197))</f>
        <v/>
      </c>
      <c r="AD4197" s="52">
        <f>IF(AB4197="","",IFERROR(INDEX(ctaTipo,MATCH(AB4197,ctaNombre,0))&amp;"",""))</f>
        <v/>
      </c>
      <c r="AE4197" s="52">
        <f>IF(AC4197="","",IFERROR(INDEX(ctaTipo,MATCH(AC4197,ctaNombre,0))&amp;"",""))</f>
        <v/>
      </c>
      <c r="AF4197" s="53">
        <f>IF(OR(P4197="",AB4197=""),"",IF(OR(P4197="Gasto",P4197="Transferencia",P4197="Pago tarjeta"),-1,1)*IF(IFERROR(INDEX(ctaMoneda,MATCH(AB4197,ctaNombre,0))&amp;"","DOP")="USD",T4197,S4197))</f>
        <v/>
      </c>
      <c r="AG4197" s="53">
        <f>IF(AC4197="","",IF(IFERROR(INDEX(ctaMoneda,MATCH(AC4197,ctaNombre,0))&amp;"","DOP")="USD",T4197,S4197))</f>
        <v/>
      </c>
      <c r="AH4197" s="53">
        <f>IF(P4197="","",IF(AND(AD4197&lt;&gt;"",COUNTIFS(tcTipo,AD4197,tcLiq,"Sí")&gt;0),IF(OR(P4197="Gasto",P4197="Transferencia",P4197="Pago tarjeta"),-1,1)*S4197,0)+IF(AND(AE4197&lt;&gt;"",COUNTIFS(tcTipo,AE4197,tcLiq,"Sí")&gt;0),S4197,0))</f>
        <v/>
      </c>
      <c r="AI4197" s="52">
        <f>IF(OR(L4197="",P4197=""),"",IF(COUNTIFS(L$6:L4197,L4197,P$6:P4197,"?*")=1,MAX(AI$5:AI4196)+1,""))</f>
        <v/>
      </c>
    </row>
    <row r="4198">
      <c r="B4198" s="47" t="n"/>
      <c r="C4198" s="48" t="n"/>
      <c r="D4198" s="48" t="n"/>
      <c r="E4198" s="48" t="n"/>
      <c r="F4198" s="48" t="n"/>
      <c r="G4198" s="49" t="n"/>
      <c r="H4198" s="48" t="n"/>
      <c r="I4198" s="50" t="n"/>
      <c r="J4198" s="48" t="n"/>
      <c r="K4198" s="48" t="n"/>
      <c r="L4198" s="48" t="n"/>
      <c r="M4198" s="48" t="n"/>
      <c r="N4198" s="48" t="n"/>
      <c r="O4198" s="51">
        <f>IF(AND(B4198="",G4198="",C4198="",D4198="",J4198=""),"",IF(B4198="","⚠ Falta fecha",IF(G4198="","⚠ Falta monto",IF(Q4198="","⚠ Falta cuenta",IF(ISNA(MATCH(Q4198,ctaNombre,0)),"⚠ Cuenta no registrada",IF(AND(OR(P4198="Gasto",P4198="Reembolso"),D4198=""),"⚠ Falta categoría",IF(AND(D4198&lt;&gt;"",E4198&lt;&gt;"",ISNA(MATCH(D4198&amp;"|"&amp;E4198,catClave,0))),"⚠ Subcategoría no corresponde",IF(AND(OR(P4198="Transferencia",P4198="Pago tarjeta"),K4198=""),"⚠ Falta cuenta destino",IF(AND(K4198&lt;&gt;"",P4198&lt;&gt;"Transferencia",P4198&lt;&gt;"Pago tarjeta"),"⚠ Destino solo aplica a transferencias",IF(AND(K4198&lt;&gt;"",K4198=Q4198),"⚠ Origen igual a destino",IF(AND(K4198&lt;&gt;"",ISNA(MATCH(K4198,ctaNombre,0))),"⚠ Destino no registrado",IF(AND(P4198="Pago tarjeta",AE4198&lt;&gt;"Tarjeta de crédito"),"⚠ El destino debe ser tarjeta de crédito",IF(AND(P4198="Gasto",E4198="Depósitos y retiros"),"⚠ Usa tipo Transferencia",IF(AND(P4198="Resultado trading",AD4198&lt;&gt;"Cuenta de trading"),"⚠ Usa una cuenta de trading",IF(AND(G4198&lt;=0,P4198&lt;&gt;"Ajuste",P4198&lt;&gt;"Resultado trading"),"⚠ El monto debe ser positivo","✓")))))))))))))))</f>
        <v/>
      </c>
      <c r="P4198" s="52">
        <f>IF(OR(B4198="",G4198=""),"",IF(C4198="","Gasto",C4198))</f>
        <v/>
      </c>
      <c r="Q4198" s="52">
        <f>IF(P4198="","",IF(J4198&lt;&gt;"",J4198,CuentaPred&amp;""))</f>
        <v/>
      </c>
      <c r="R4198" s="52">
        <f>IF(P4198="","",IF(ISNUMBER(I4198),I4198,TasaUSD))</f>
        <v/>
      </c>
      <c r="S4198" s="53">
        <f>IF(P4198="","",IF(H4198="USD",G4198*R4198,G4198))</f>
        <v/>
      </c>
      <c r="T4198" s="53">
        <f>IF(P4198="","",IF(H4198="USD",G4198,IF(R4198&gt;0,G4198/R4198,0)))</f>
        <v/>
      </c>
      <c r="U4198" s="53">
        <f>IF(P4198="","",IF(P4198="Gasto",S4198,IF(P4198="Reembolso",-S4198,0)))</f>
        <v/>
      </c>
      <c r="V4198" s="53">
        <f>IF(P4198="","",IF(P4198="Ingreso",S4198,0))</f>
        <v/>
      </c>
      <c r="W4198" s="53">
        <f>IF(P4198="","",IF(P4198="Resultado trading",S4198,0))</f>
        <v/>
      </c>
      <c r="X4198" s="52">
        <f>IF(OR(P4198="Gasto",P4198="Reembolso"),IF(M4198&lt;&gt;"",M4198,IFERROR(INDEX(catClasif,MATCH(D4198&amp;"|"&amp;E4198,catClave,0))&amp;"","Variable")),"")</f>
        <v/>
      </c>
      <c r="Y4198" s="52">
        <f>IF(P4198="","",IFERROR(INDEX(catGrupo,MATCH(D4198&amp;"|"&amp;E4198,catClave,0))&amp;"",""))</f>
        <v/>
      </c>
      <c r="Z4198" s="52">
        <f>IF(P4198="","",WEEKDAY(B4198,2))</f>
        <v/>
      </c>
      <c r="AA4198" s="52">
        <f>IF(P4198="","",IF(AND(P4198="Gasto",X4198="Variable",D4198&lt;&gt;catTrading,S4198&gt;0,S4198&lt;=Umbral),1,0))</f>
        <v/>
      </c>
      <c r="AB4198" s="52">
        <f>IF(OR(P4198="",Q4198=""),"",IFERROR(IF(INDEX(ctaVinc,MATCH(Q4198,ctaNombre,0))&amp;""&lt;&gt;"",INDEX(ctaVinc,MATCH(Q4198,ctaNombre,0))&amp;"",Q4198),Q4198))</f>
        <v/>
      </c>
      <c r="AC4198" s="52">
        <f>IF(OR(K4198="",AND(P4198&lt;&gt;"Transferencia",P4198&lt;&gt;"Pago tarjeta")),"",IFERROR(IF(INDEX(ctaVinc,MATCH(K4198,ctaNombre,0))&amp;""&lt;&gt;"",INDEX(ctaVinc,MATCH(K4198,ctaNombre,0))&amp;"",K4198),K4198))</f>
        <v/>
      </c>
      <c r="AD4198" s="52">
        <f>IF(AB4198="","",IFERROR(INDEX(ctaTipo,MATCH(AB4198,ctaNombre,0))&amp;"",""))</f>
        <v/>
      </c>
      <c r="AE4198" s="52">
        <f>IF(AC4198="","",IFERROR(INDEX(ctaTipo,MATCH(AC4198,ctaNombre,0))&amp;"",""))</f>
        <v/>
      </c>
      <c r="AF4198" s="53">
        <f>IF(OR(P4198="",AB4198=""),"",IF(OR(P4198="Gasto",P4198="Transferencia",P4198="Pago tarjeta"),-1,1)*IF(IFERROR(INDEX(ctaMoneda,MATCH(AB4198,ctaNombre,0))&amp;"","DOP")="USD",T4198,S4198))</f>
        <v/>
      </c>
      <c r="AG4198" s="53">
        <f>IF(AC4198="","",IF(IFERROR(INDEX(ctaMoneda,MATCH(AC4198,ctaNombre,0))&amp;"","DOP")="USD",T4198,S4198))</f>
        <v/>
      </c>
      <c r="AH4198" s="53">
        <f>IF(P4198="","",IF(AND(AD4198&lt;&gt;"",COUNTIFS(tcTipo,AD4198,tcLiq,"Sí")&gt;0),IF(OR(P4198="Gasto",P4198="Transferencia",P4198="Pago tarjeta"),-1,1)*S4198,0)+IF(AND(AE4198&lt;&gt;"",COUNTIFS(tcTipo,AE4198,tcLiq,"Sí")&gt;0),S4198,0))</f>
        <v/>
      </c>
      <c r="AI4198" s="52">
        <f>IF(OR(L4198="",P4198=""),"",IF(COUNTIFS(L$6:L4198,L4198,P$6:P4198,"?*")=1,MAX(AI$5:AI4197)+1,""))</f>
        <v/>
      </c>
    </row>
    <row r="4199">
      <c r="B4199" s="47" t="n"/>
      <c r="C4199" s="48" t="n"/>
      <c r="D4199" s="48" t="n"/>
      <c r="E4199" s="48" t="n"/>
      <c r="F4199" s="48" t="n"/>
      <c r="G4199" s="49" t="n"/>
      <c r="H4199" s="48" t="n"/>
      <c r="I4199" s="50" t="n"/>
      <c r="J4199" s="48" t="n"/>
      <c r="K4199" s="48" t="n"/>
      <c r="L4199" s="48" t="n"/>
      <c r="M4199" s="48" t="n"/>
      <c r="N4199" s="48" t="n"/>
      <c r="O4199" s="51">
        <f>IF(AND(B4199="",G4199="",C4199="",D4199="",J4199=""),"",IF(B4199="","⚠ Falta fecha",IF(G4199="","⚠ Falta monto",IF(Q4199="","⚠ Falta cuenta",IF(ISNA(MATCH(Q4199,ctaNombre,0)),"⚠ Cuenta no registrada",IF(AND(OR(P4199="Gasto",P4199="Reembolso"),D4199=""),"⚠ Falta categoría",IF(AND(D4199&lt;&gt;"",E4199&lt;&gt;"",ISNA(MATCH(D4199&amp;"|"&amp;E4199,catClave,0))),"⚠ Subcategoría no corresponde",IF(AND(OR(P4199="Transferencia",P4199="Pago tarjeta"),K4199=""),"⚠ Falta cuenta destino",IF(AND(K4199&lt;&gt;"",P4199&lt;&gt;"Transferencia",P4199&lt;&gt;"Pago tarjeta"),"⚠ Destino solo aplica a transferencias",IF(AND(K4199&lt;&gt;"",K4199=Q4199),"⚠ Origen igual a destino",IF(AND(K4199&lt;&gt;"",ISNA(MATCH(K4199,ctaNombre,0))),"⚠ Destino no registrado",IF(AND(P4199="Pago tarjeta",AE4199&lt;&gt;"Tarjeta de crédito"),"⚠ El destino debe ser tarjeta de crédito",IF(AND(P4199="Gasto",E4199="Depósitos y retiros"),"⚠ Usa tipo Transferencia",IF(AND(P4199="Resultado trading",AD4199&lt;&gt;"Cuenta de trading"),"⚠ Usa una cuenta de trading",IF(AND(G4199&lt;=0,P4199&lt;&gt;"Ajuste",P4199&lt;&gt;"Resultado trading"),"⚠ El monto debe ser positivo","✓")))))))))))))))</f>
        <v/>
      </c>
      <c r="P4199" s="52">
        <f>IF(OR(B4199="",G4199=""),"",IF(C4199="","Gasto",C4199))</f>
        <v/>
      </c>
      <c r="Q4199" s="52">
        <f>IF(P4199="","",IF(J4199&lt;&gt;"",J4199,CuentaPred&amp;""))</f>
        <v/>
      </c>
      <c r="R4199" s="52">
        <f>IF(P4199="","",IF(ISNUMBER(I4199),I4199,TasaUSD))</f>
        <v/>
      </c>
      <c r="S4199" s="53">
        <f>IF(P4199="","",IF(H4199="USD",G4199*R4199,G4199))</f>
        <v/>
      </c>
      <c r="T4199" s="53">
        <f>IF(P4199="","",IF(H4199="USD",G4199,IF(R4199&gt;0,G4199/R4199,0)))</f>
        <v/>
      </c>
      <c r="U4199" s="53">
        <f>IF(P4199="","",IF(P4199="Gasto",S4199,IF(P4199="Reembolso",-S4199,0)))</f>
        <v/>
      </c>
      <c r="V4199" s="53">
        <f>IF(P4199="","",IF(P4199="Ingreso",S4199,0))</f>
        <v/>
      </c>
      <c r="W4199" s="53">
        <f>IF(P4199="","",IF(P4199="Resultado trading",S4199,0))</f>
        <v/>
      </c>
      <c r="X4199" s="52">
        <f>IF(OR(P4199="Gasto",P4199="Reembolso"),IF(M4199&lt;&gt;"",M4199,IFERROR(INDEX(catClasif,MATCH(D4199&amp;"|"&amp;E4199,catClave,0))&amp;"","Variable")),"")</f>
        <v/>
      </c>
      <c r="Y4199" s="52">
        <f>IF(P4199="","",IFERROR(INDEX(catGrupo,MATCH(D4199&amp;"|"&amp;E4199,catClave,0))&amp;"",""))</f>
        <v/>
      </c>
      <c r="Z4199" s="52">
        <f>IF(P4199="","",WEEKDAY(B4199,2))</f>
        <v/>
      </c>
      <c r="AA4199" s="52">
        <f>IF(P4199="","",IF(AND(P4199="Gasto",X4199="Variable",D4199&lt;&gt;catTrading,S4199&gt;0,S4199&lt;=Umbral),1,0))</f>
        <v/>
      </c>
      <c r="AB4199" s="52">
        <f>IF(OR(P4199="",Q4199=""),"",IFERROR(IF(INDEX(ctaVinc,MATCH(Q4199,ctaNombre,0))&amp;""&lt;&gt;"",INDEX(ctaVinc,MATCH(Q4199,ctaNombre,0))&amp;"",Q4199),Q4199))</f>
        <v/>
      </c>
      <c r="AC4199" s="52">
        <f>IF(OR(K4199="",AND(P4199&lt;&gt;"Transferencia",P4199&lt;&gt;"Pago tarjeta")),"",IFERROR(IF(INDEX(ctaVinc,MATCH(K4199,ctaNombre,0))&amp;""&lt;&gt;"",INDEX(ctaVinc,MATCH(K4199,ctaNombre,0))&amp;"",K4199),K4199))</f>
        <v/>
      </c>
      <c r="AD4199" s="52">
        <f>IF(AB4199="","",IFERROR(INDEX(ctaTipo,MATCH(AB4199,ctaNombre,0))&amp;"",""))</f>
        <v/>
      </c>
      <c r="AE4199" s="52">
        <f>IF(AC4199="","",IFERROR(INDEX(ctaTipo,MATCH(AC4199,ctaNombre,0))&amp;"",""))</f>
        <v/>
      </c>
      <c r="AF4199" s="53">
        <f>IF(OR(P4199="",AB4199=""),"",IF(OR(P4199="Gasto",P4199="Transferencia",P4199="Pago tarjeta"),-1,1)*IF(IFERROR(INDEX(ctaMoneda,MATCH(AB4199,ctaNombre,0))&amp;"","DOP")="USD",T4199,S4199))</f>
        <v/>
      </c>
      <c r="AG4199" s="53">
        <f>IF(AC4199="","",IF(IFERROR(INDEX(ctaMoneda,MATCH(AC4199,ctaNombre,0))&amp;"","DOP")="USD",T4199,S4199))</f>
        <v/>
      </c>
      <c r="AH4199" s="53">
        <f>IF(P4199="","",IF(AND(AD4199&lt;&gt;"",COUNTIFS(tcTipo,AD4199,tcLiq,"Sí")&gt;0),IF(OR(P4199="Gasto",P4199="Transferencia",P4199="Pago tarjeta"),-1,1)*S4199,0)+IF(AND(AE4199&lt;&gt;"",COUNTIFS(tcTipo,AE4199,tcLiq,"Sí")&gt;0),S4199,0))</f>
        <v/>
      </c>
      <c r="AI4199" s="52">
        <f>IF(OR(L4199="",P4199=""),"",IF(COUNTIFS(L$6:L4199,L4199,P$6:P4199,"?*")=1,MAX(AI$5:AI4198)+1,""))</f>
        <v/>
      </c>
    </row>
    <row r="4200">
      <c r="B4200" s="47" t="n"/>
      <c r="C4200" s="48" t="n"/>
      <c r="D4200" s="48" t="n"/>
      <c r="E4200" s="48" t="n"/>
      <c r="F4200" s="48" t="n"/>
      <c r="G4200" s="49" t="n"/>
      <c r="H4200" s="48" t="n"/>
      <c r="I4200" s="50" t="n"/>
      <c r="J4200" s="48" t="n"/>
      <c r="K4200" s="48" t="n"/>
      <c r="L4200" s="48" t="n"/>
      <c r="M4200" s="48" t="n"/>
      <c r="N4200" s="48" t="n"/>
      <c r="O4200" s="51">
        <f>IF(AND(B4200="",G4200="",C4200="",D4200="",J4200=""),"",IF(B4200="","⚠ Falta fecha",IF(G4200="","⚠ Falta monto",IF(Q4200="","⚠ Falta cuenta",IF(ISNA(MATCH(Q4200,ctaNombre,0)),"⚠ Cuenta no registrada",IF(AND(OR(P4200="Gasto",P4200="Reembolso"),D4200=""),"⚠ Falta categoría",IF(AND(D4200&lt;&gt;"",E4200&lt;&gt;"",ISNA(MATCH(D4200&amp;"|"&amp;E4200,catClave,0))),"⚠ Subcategoría no corresponde",IF(AND(OR(P4200="Transferencia",P4200="Pago tarjeta"),K4200=""),"⚠ Falta cuenta destino",IF(AND(K4200&lt;&gt;"",P4200&lt;&gt;"Transferencia",P4200&lt;&gt;"Pago tarjeta"),"⚠ Destino solo aplica a transferencias",IF(AND(K4200&lt;&gt;"",K4200=Q4200),"⚠ Origen igual a destino",IF(AND(K4200&lt;&gt;"",ISNA(MATCH(K4200,ctaNombre,0))),"⚠ Destino no registrado",IF(AND(P4200="Pago tarjeta",AE4200&lt;&gt;"Tarjeta de crédito"),"⚠ El destino debe ser tarjeta de crédito",IF(AND(P4200="Gasto",E4200="Depósitos y retiros"),"⚠ Usa tipo Transferencia",IF(AND(P4200="Resultado trading",AD4200&lt;&gt;"Cuenta de trading"),"⚠ Usa una cuenta de trading",IF(AND(G4200&lt;=0,P4200&lt;&gt;"Ajuste",P4200&lt;&gt;"Resultado trading"),"⚠ El monto debe ser positivo","✓")))))))))))))))</f>
        <v/>
      </c>
      <c r="P4200" s="52">
        <f>IF(OR(B4200="",G4200=""),"",IF(C4200="","Gasto",C4200))</f>
        <v/>
      </c>
      <c r="Q4200" s="52">
        <f>IF(P4200="","",IF(J4200&lt;&gt;"",J4200,CuentaPred&amp;""))</f>
        <v/>
      </c>
      <c r="R4200" s="52">
        <f>IF(P4200="","",IF(ISNUMBER(I4200),I4200,TasaUSD))</f>
        <v/>
      </c>
      <c r="S4200" s="53">
        <f>IF(P4200="","",IF(H4200="USD",G4200*R4200,G4200))</f>
        <v/>
      </c>
      <c r="T4200" s="53">
        <f>IF(P4200="","",IF(H4200="USD",G4200,IF(R4200&gt;0,G4200/R4200,0)))</f>
        <v/>
      </c>
      <c r="U4200" s="53">
        <f>IF(P4200="","",IF(P4200="Gasto",S4200,IF(P4200="Reembolso",-S4200,0)))</f>
        <v/>
      </c>
      <c r="V4200" s="53">
        <f>IF(P4200="","",IF(P4200="Ingreso",S4200,0))</f>
        <v/>
      </c>
      <c r="W4200" s="53">
        <f>IF(P4200="","",IF(P4200="Resultado trading",S4200,0))</f>
        <v/>
      </c>
      <c r="X4200" s="52">
        <f>IF(OR(P4200="Gasto",P4200="Reembolso"),IF(M4200&lt;&gt;"",M4200,IFERROR(INDEX(catClasif,MATCH(D4200&amp;"|"&amp;E4200,catClave,0))&amp;"","Variable")),"")</f>
        <v/>
      </c>
      <c r="Y4200" s="52">
        <f>IF(P4200="","",IFERROR(INDEX(catGrupo,MATCH(D4200&amp;"|"&amp;E4200,catClave,0))&amp;"",""))</f>
        <v/>
      </c>
      <c r="Z4200" s="52">
        <f>IF(P4200="","",WEEKDAY(B4200,2))</f>
        <v/>
      </c>
      <c r="AA4200" s="52">
        <f>IF(P4200="","",IF(AND(P4200="Gasto",X4200="Variable",D4200&lt;&gt;catTrading,S4200&gt;0,S4200&lt;=Umbral),1,0))</f>
        <v/>
      </c>
      <c r="AB4200" s="52">
        <f>IF(OR(P4200="",Q4200=""),"",IFERROR(IF(INDEX(ctaVinc,MATCH(Q4200,ctaNombre,0))&amp;""&lt;&gt;"",INDEX(ctaVinc,MATCH(Q4200,ctaNombre,0))&amp;"",Q4200),Q4200))</f>
        <v/>
      </c>
      <c r="AC4200" s="52">
        <f>IF(OR(K4200="",AND(P4200&lt;&gt;"Transferencia",P4200&lt;&gt;"Pago tarjeta")),"",IFERROR(IF(INDEX(ctaVinc,MATCH(K4200,ctaNombre,0))&amp;""&lt;&gt;"",INDEX(ctaVinc,MATCH(K4200,ctaNombre,0))&amp;"",K4200),K4200))</f>
        <v/>
      </c>
      <c r="AD4200" s="52">
        <f>IF(AB4200="","",IFERROR(INDEX(ctaTipo,MATCH(AB4200,ctaNombre,0))&amp;"",""))</f>
        <v/>
      </c>
      <c r="AE4200" s="52">
        <f>IF(AC4200="","",IFERROR(INDEX(ctaTipo,MATCH(AC4200,ctaNombre,0))&amp;"",""))</f>
        <v/>
      </c>
      <c r="AF4200" s="53">
        <f>IF(OR(P4200="",AB4200=""),"",IF(OR(P4200="Gasto",P4200="Transferencia",P4200="Pago tarjeta"),-1,1)*IF(IFERROR(INDEX(ctaMoneda,MATCH(AB4200,ctaNombre,0))&amp;"","DOP")="USD",T4200,S4200))</f>
        <v/>
      </c>
      <c r="AG4200" s="53">
        <f>IF(AC4200="","",IF(IFERROR(INDEX(ctaMoneda,MATCH(AC4200,ctaNombre,0))&amp;"","DOP")="USD",T4200,S4200))</f>
        <v/>
      </c>
      <c r="AH4200" s="53">
        <f>IF(P4200="","",IF(AND(AD4200&lt;&gt;"",COUNTIFS(tcTipo,AD4200,tcLiq,"Sí")&gt;0),IF(OR(P4200="Gasto",P4200="Transferencia",P4200="Pago tarjeta"),-1,1)*S4200,0)+IF(AND(AE4200&lt;&gt;"",COUNTIFS(tcTipo,AE4200,tcLiq,"Sí")&gt;0),S4200,0))</f>
        <v/>
      </c>
      <c r="AI4200" s="52">
        <f>IF(OR(L4200="",P4200=""),"",IF(COUNTIFS(L$6:L4200,L4200,P$6:P4200,"?*")=1,MAX(AI$5:AI4199)+1,""))</f>
        <v/>
      </c>
    </row>
    <row r="4201">
      <c r="B4201" s="47" t="n"/>
      <c r="C4201" s="48" t="n"/>
      <c r="D4201" s="48" t="n"/>
      <c r="E4201" s="48" t="n"/>
      <c r="F4201" s="48" t="n"/>
      <c r="G4201" s="49" t="n"/>
      <c r="H4201" s="48" t="n"/>
      <c r="I4201" s="50" t="n"/>
      <c r="J4201" s="48" t="n"/>
      <c r="K4201" s="48" t="n"/>
      <c r="L4201" s="48" t="n"/>
      <c r="M4201" s="48" t="n"/>
      <c r="N4201" s="48" t="n"/>
      <c r="O4201" s="51">
        <f>IF(AND(B4201="",G4201="",C4201="",D4201="",J4201=""),"",IF(B4201="","⚠ Falta fecha",IF(G4201="","⚠ Falta monto",IF(Q4201="","⚠ Falta cuenta",IF(ISNA(MATCH(Q4201,ctaNombre,0)),"⚠ Cuenta no registrada",IF(AND(OR(P4201="Gasto",P4201="Reembolso"),D4201=""),"⚠ Falta categoría",IF(AND(D4201&lt;&gt;"",E4201&lt;&gt;"",ISNA(MATCH(D4201&amp;"|"&amp;E4201,catClave,0))),"⚠ Subcategoría no corresponde",IF(AND(OR(P4201="Transferencia",P4201="Pago tarjeta"),K4201=""),"⚠ Falta cuenta destino",IF(AND(K4201&lt;&gt;"",P4201&lt;&gt;"Transferencia",P4201&lt;&gt;"Pago tarjeta"),"⚠ Destino solo aplica a transferencias",IF(AND(K4201&lt;&gt;"",K4201=Q4201),"⚠ Origen igual a destino",IF(AND(K4201&lt;&gt;"",ISNA(MATCH(K4201,ctaNombre,0))),"⚠ Destino no registrado",IF(AND(P4201="Pago tarjeta",AE4201&lt;&gt;"Tarjeta de crédito"),"⚠ El destino debe ser tarjeta de crédito",IF(AND(P4201="Gasto",E4201="Depósitos y retiros"),"⚠ Usa tipo Transferencia",IF(AND(P4201="Resultado trading",AD4201&lt;&gt;"Cuenta de trading"),"⚠ Usa una cuenta de trading",IF(AND(G4201&lt;=0,P4201&lt;&gt;"Ajuste",P4201&lt;&gt;"Resultado trading"),"⚠ El monto debe ser positivo","✓")))))))))))))))</f>
        <v/>
      </c>
      <c r="P4201" s="52">
        <f>IF(OR(B4201="",G4201=""),"",IF(C4201="","Gasto",C4201))</f>
        <v/>
      </c>
      <c r="Q4201" s="52">
        <f>IF(P4201="","",IF(J4201&lt;&gt;"",J4201,CuentaPred&amp;""))</f>
        <v/>
      </c>
      <c r="R4201" s="52">
        <f>IF(P4201="","",IF(ISNUMBER(I4201),I4201,TasaUSD))</f>
        <v/>
      </c>
      <c r="S4201" s="53">
        <f>IF(P4201="","",IF(H4201="USD",G4201*R4201,G4201))</f>
        <v/>
      </c>
      <c r="T4201" s="53">
        <f>IF(P4201="","",IF(H4201="USD",G4201,IF(R4201&gt;0,G4201/R4201,0)))</f>
        <v/>
      </c>
      <c r="U4201" s="53">
        <f>IF(P4201="","",IF(P4201="Gasto",S4201,IF(P4201="Reembolso",-S4201,0)))</f>
        <v/>
      </c>
      <c r="V4201" s="53">
        <f>IF(P4201="","",IF(P4201="Ingreso",S4201,0))</f>
        <v/>
      </c>
      <c r="W4201" s="53">
        <f>IF(P4201="","",IF(P4201="Resultado trading",S4201,0))</f>
        <v/>
      </c>
      <c r="X4201" s="52">
        <f>IF(OR(P4201="Gasto",P4201="Reembolso"),IF(M4201&lt;&gt;"",M4201,IFERROR(INDEX(catClasif,MATCH(D4201&amp;"|"&amp;E4201,catClave,0))&amp;"","Variable")),"")</f>
        <v/>
      </c>
      <c r="Y4201" s="52">
        <f>IF(P4201="","",IFERROR(INDEX(catGrupo,MATCH(D4201&amp;"|"&amp;E4201,catClave,0))&amp;"",""))</f>
        <v/>
      </c>
      <c r="Z4201" s="52">
        <f>IF(P4201="","",WEEKDAY(B4201,2))</f>
        <v/>
      </c>
      <c r="AA4201" s="52">
        <f>IF(P4201="","",IF(AND(P4201="Gasto",X4201="Variable",D4201&lt;&gt;catTrading,S4201&gt;0,S4201&lt;=Umbral),1,0))</f>
        <v/>
      </c>
      <c r="AB4201" s="52">
        <f>IF(OR(P4201="",Q4201=""),"",IFERROR(IF(INDEX(ctaVinc,MATCH(Q4201,ctaNombre,0))&amp;""&lt;&gt;"",INDEX(ctaVinc,MATCH(Q4201,ctaNombre,0))&amp;"",Q4201),Q4201))</f>
        <v/>
      </c>
      <c r="AC4201" s="52">
        <f>IF(OR(K4201="",AND(P4201&lt;&gt;"Transferencia",P4201&lt;&gt;"Pago tarjeta")),"",IFERROR(IF(INDEX(ctaVinc,MATCH(K4201,ctaNombre,0))&amp;""&lt;&gt;"",INDEX(ctaVinc,MATCH(K4201,ctaNombre,0))&amp;"",K4201),K4201))</f>
        <v/>
      </c>
      <c r="AD4201" s="52">
        <f>IF(AB4201="","",IFERROR(INDEX(ctaTipo,MATCH(AB4201,ctaNombre,0))&amp;"",""))</f>
        <v/>
      </c>
      <c r="AE4201" s="52">
        <f>IF(AC4201="","",IFERROR(INDEX(ctaTipo,MATCH(AC4201,ctaNombre,0))&amp;"",""))</f>
        <v/>
      </c>
      <c r="AF4201" s="53">
        <f>IF(OR(P4201="",AB4201=""),"",IF(OR(P4201="Gasto",P4201="Transferencia",P4201="Pago tarjeta"),-1,1)*IF(IFERROR(INDEX(ctaMoneda,MATCH(AB4201,ctaNombre,0))&amp;"","DOP")="USD",T4201,S4201))</f>
        <v/>
      </c>
      <c r="AG4201" s="53">
        <f>IF(AC4201="","",IF(IFERROR(INDEX(ctaMoneda,MATCH(AC4201,ctaNombre,0))&amp;"","DOP")="USD",T4201,S4201))</f>
        <v/>
      </c>
      <c r="AH4201" s="53">
        <f>IF(P4201="","",IF(AND(AD4201&lt;&gt;"",COUNTIFS(tcTipo,AD4201,tcLiq,"Sí")&gt;0),IF(OR(P4201="Gasto",P4201="Transferencia",P4201="Pago tarjeta"),-1,1)*S4201,0)+IF(AND(AE4201&lt;&gt;"",COUNTIFS(tcTipo,AE4201,tcLiq,"Sí")&gt;0),S4201,0))</f>
        <v/>
      </c>
      <c r="AI4201" s="52">
        <f>IF(OR(L4201="",P4201=""),"",IF(COUNTIFS(L$6:L4201,L4201,P$6:P4201,"?*")=1,MAX(AI$5:AI4200)+1,""))</f>
        <v/>
      </c>
    </row>
    <row r="4202">
      <c r="B4202" s="47" t="n"/>
      <c r="C4202" s="48" t="n"/>
      <c r="D4202" s="48" t="n"/>
      <c r="E4202" s="48" t="n"/>
      <c r="F4202" s="48" t="n"/>
      <c r="G4202" s="49" t="n"/>
      <c r="H4202" s="48" t="n"/>
      <c r="I4202" s="50" t="n"/>
      <c r="J4202" s="48" t="n"/>
      <c r="K4202" s="48" t="n"/>
      <c r="L4202" s="48" t="n"/>
      <c r="M4202" s="48" t="n"/>
      <c r="N4202" s="48" t="n"/>
      <c r="O4202" s="51">
        <f>IF(AND(B4202="",G4202="",C4202="",D4202="",J4202=""),"",IF(B4202="","⚠ Falta fecha",IF(G4202="","⚠ Falta monto",IF(Q4202="","⚠ Falta cuenta",IF(ISNA(MATCH(Q4202,ctaNombre,0)),"⚠ Cuenta no registrada",IF(AND(OR(P4202="Gasto",P4202="Reembolso"),D4202=""),"⚠ Falta categoría",IF(AND(D4202&lt;&gt;"",E4202&lt;&gt;"",ISNA(MATCH(D4202&amp;"|"&amp;E4202,catClave,0))),"⚠ Subcategoría no corresponde",IF(AND(OR(P4202="Transferencia",P4202="Pago tarjeta"),K4202=""),"⚠ Falta cuenta destino",IF(AND(K4202&lt;&gt;"",P4202&lt;&gt;"Transferencia",P4202&lt;&gt;"Pago tarjeta"),"⚠ Destino solo aplica a transferencias",IF(AND(K4202&lt;&gt;"",K4202=Q4202),"⚠ Origen igual a destino",IF(AND(K4202&lt;&gt;"",ISNA(MATCH(K4202,ctaNombre,0))),"⚠ Destino no registrado",IF(AND(P4202="Pago tarjeta",AE4202&lt;&gt;"Tarjeta de crédito"),"⚠ El destino debe ser tarjeta de crédito",IF(AND(P4202="Gasto",E4202="Depósitos y retiros"),"⚠ Usa tipo Transferencia",IF(AND(P4202="Resultado trading",AD4202&lt;&gt;"Cuenta de trading"),"⚠ Usa una cuenta de trading",IF(AND(G4202&lt;=0,P4202&lt;&gt;"Ajuste",P4202&lt;&gt;"Resultado trading"),"⚠ El monto debe ser positivo","✓")))))))))))))))</f>
        <v/>
      </c>
      <c r="P4202" s="52">
        <f>IF(OR(B4202="",G4202=""),"",IF(C4202="","Gasto",C4202))</f>
        <v/>
      </c>
      <c r="Q4202" s="52">
        <f>IF(P4202="","",IF(J4202&lt;&gt;"",J4202,CuentaPred&amp;""))</f>
        <v/>
      </c>
      <c r="R4202" s="52">
        <f>IF(P4202="","",IF(ISNUMBER(I4202),I4202,TasaUSD))</f>
        <v/>
      </c>
      <c r="S4202" s="53">
        <f>IF(P4202="","",IF(H4202="USD",G4202*R4202,G4202))</f>
        <v/>
      </c>
      <c r="T4202" s="53">
        <f>IF(P4202="","",IF(H4202="USD",G4202,IF(R4202&gt;0,G4202/R4202,0)))</f>
        <v/>
      </c>
      <c r="U4202" s="53">
        <f>IF(P4202="","",IF(P4202="Gasto",S4202,IF(P4202="Reembolso",-S4202,0)))</f>
        <v/>
      </c>
      <c r="V4202" s="53">
        <f>IF(P4202="","",IF(P4202="Ingreso",S4202,0))</f>
        <v/>
      </c>
      <c r="W4202" s="53">
        <f>IF(P4202="","",IF(P4202="Resultado trading",S4202,0))</f>
        <v/>
      </c>
      <c r="X4202" s="52">
        <f>IF(OR(P4202="Gasto",P4202="Reembolso"),IF(M4202&lt;&gt;"",M4202,IFERROR(INDEX(catClasif,MATCH(D4202&amp;"|"&amp;E4202,catClave,0))&amp;"","Variable")),"")</f>
        <v/>
      </c>
      <c r="Y4202" s="52">
        <f>IF(P4202="","",IFERROR(INDEX(catGrupo,MATCH(D4202&amp;"|"&amp;E4202,catClave,0))&amp;"",""))</f>
        <v/>
      </c>
      <c r="Z4202" s="52">
        <f>IF(P4202="","",WEEKDAY(B4202,2))</f>
        <v/>
      </c>
      <c r="AA4202" s="52">
        <f>IF(P4202="","",IF(AND(P4202="Gasto",X4202="Variable",D4202&lt;&gt;catTrading,S4202&gt;0,S4202&lt;=Umbral),1,0))</f>
        <v/>
      </c>
      <c r="AB4202" s="52">
        <f>IF(OR(P4202="",Q4202=""),"",IFERROR(IF(INDEX(ctaVinc,MATCH(Q4202,ctaNombre,0))&amp;""&lt;&gt;"",INDEX(ctaVinc,MATCH(Q4202,ctaNombre,0))&amp;"",Q4202),Q4202))</f>
        <v/>
      </c>
      <c r="AC4202" s="52">
        <f>IF(OR(K4202="",AND(P4202&lt;&gt;"Transferencia",P4202&lt;&gt;"Pago tarjeta")),"",IFERROR(IF(INDEX(ctaVinc,MATCH(K4202,ctaNombre,0))&amp;""&lt;&gt;"",INDEX(ctaVinc,MATCH(K4202,ctaNombre,0))&amp;"",K4202),K4202))</f>
        <v/>
      </c>
      <c r="AD4202" s="52">
        <f>IF(AB4202="","",IFERROR(INDEX(ctaTipo,MATCH(AB4202,ctaNombre,0))&amp;"",""))</f>
        <v/>
      </c>
      <c r="AE4202" s="52">
        <f>IF(AC4202="","",IFERROR(INDEX(ctaTipo,MATCH(AC4202,ctaNombre,0))&amp;"",""))</f>
        <v/>
      </c>
      <c r="AF4202" s="53">
        <f>IF(OR(P4202="",AB4202=""),"",IF(OR(P4202="Gasto",P4202="Transferencia",P4202="Pago tarjeta"),-1,1)*IF(IFERROR(INDEX(ctaMoneda,MATCH(AB4202,ctaNombre,0))&amp;"","DOP")="USD",T4202,S4202))</f>
        <v/>
      </c>
      <c r="AG4202" s="53">
        <f>IF(AC4202="","",IF(IFERROR(INDEX(ctaMoneda,MATCH(AC4202,ctaNombre,0))&amp;"","DOP")="USD",T4202,S4202))</f>
        <v/>
      </c>
      <c r="AH4202" s="53">
        <f>IF(P4202="","",IF(AND(AD4202&lt;&gt;"",COUNTIFS(tcTipo,AD4202,tcLiq,"Sí")&gt;0),IF(OR(P4202="Gasto",P4202="Transferencia",P4202="Pago tarjeta"),-1,1)*S4202,0)+IF(AND(AE4202&lt;&gt;"",COUNTIFS(tcTipo,AE4202,tcLiq,"Sí")&gt;0),S4202,0))</f>
        <v/>
      </c>
      <c r="AI4202" s="52">
        <f>IF(OR(L4202="",P4202=""),"",IF(COUNTIFS(L$6:L4202,L4202,P$6:P4202,"?*")=1,MAX(AI$5:AI4201)+1,""))</f>
        <v/>
      </c>
    </row>
    <row r="4203">
      <c r="B4203" s="47" t="n"/>
      <c r="C4203" s="48" t="n"/>
      <c r="D4203" s="48" t="n"/>
      <c r="E4203" s="48" t="n"/>
      <c r="F4203" s="48" t="n"/>
      <c r="G4203" s="49" t="n"/>
      <c r="H4203" s="48" t="n"/>
      <c r="I4203" s="50" t="n"/>
      <c r="J4203" s="48" t="n"/>
      <c r="K4203" s="48" t="n"/>
      <c r="L4203" s="48" t="n"/>
      <c r="M4203" s="48" t="n"/>
      <c r="N4203" s="48" t="n"/>
      <c r="O4203" s="51">
        <f>IF(AND(B4203="",G4203="",C4203="",D4203="",J4203=""),"",IF(B4203="","⚠ Falta fecha",IF(G4203="","⚠ Falta monto",IF(Q4203="","⚠ Falta cuenta",IF(ISNA(MATCH(Q4203,ctaNombre,0)),"⚠ Cuenta no registrada",IF(AND(OR(P4203="Gasto",P4203="Reembolso"),D4203=""),"⚠ Falta categoría",IF(AND(D4203&lt;&gt;"",E4203&lt;&gt;"",ISNA(MATCH(D4203&amp;"|"&amp;E4203,catClave,0))),"⚠ Subcategoría no corresponde",IF(AND(OR(P4203="Transferencia",P4203="Pago tarjeta"),K4203=""),"⚠ Falta cuenta destino",IF(AND(K4203&lt;&gt;"",P4203&lt;&gt;"Transferencia",P4203&lt;&gt;"Pago tarjeta"),"⚠ Destino solo aplica a transferencias",IF(AND(K4203&lt;&gt;"",K4203=Q4203),"⚠ Origen igual a destino",IF(AND(K4203&lt;&gt;"",ISNA(MATCH(K4203,ctaNombre,0))),"⚠ Destino no registrado",IF(AND(P4203="Pago tarjeta",AE4203&lt;&gt;"Tarjeta de crédito"),"⚠ El destino debe ser tarjeta de crédito",IF(AND(P4203="Gasto",E4203="Depósitos y retiros"),"⚠ Usa tipo Transferencia",IF(AND(P4203="Resultado trading",AD4203&lt;&gt;"Cuenta de trading"),"⚠ Usa una cuenta de trading",IF(AND(G4203&lt;=0,P4203&lt;&gt;"Ajuste",P4203&lt;&gt;"Resultado trading"),"⚠ El monto debe ser positivo","✓")))))))))))))))</f>
        <v/>
      </c>
      <c r="P4203" s="52">
        <f>IF(OR(B4203="",G4203=""),"",IF(C4203="","Gasto",C4203))</f>
        <v/>
      </c>
      <c r="Q4203" s="52">
        <f>IF(P4203="","",IF(J4203&lt;&gt;"",J4203,CuentaPred&amp;""))</f>
        <v/>
      </c>
      <c r="R4203" s="52">
        <f>IF(P4203="","",IF(ISNUMBER(I4203),I4203,TasaUSD))</f>
        <v/>
      </c>
      <c r="S4203" s="53">
        <f>IF(P4203="","",IF(H4203="USD",G4203*R4203,G4203))</f>
        <v/>
      </c>
      <c r="T4203" s="53">
        <f>IF(P4203="","",IF(H4203="USD",G4203,IF(R4203&gt;0,G4203/R4203,0)))</f>
        <v/>
      </c>
      <c r="U4203" s="53">
        <f>IF(P4203="","",IF(P4203="Gasto",S4203,IF(P4203="Reembolso",-S4203,0)))</f>
        <v/>
      </c>
      <c r="V4203" s="53">
        <f>IF(P4203="","",IF(P4203="Ingreso",S4203,0))</f>
        <v/>
      </c>
      <c r="W4203" s="53">
        <f>IF(P4203="","",IF(P4203="Resultado trading",S4203,0))</f>
        <v/>
      </c>
      <c r="X4203" s="52">
        <f>IF(OR(P4203="Gasto",P4203="Reembolso"),IF(M4203&lt;&gt;"",M4203,IFERROR(INDEX(catClasif,MATCH(D4203&amp;"|"&amp;E4203,catClave,0))&amp;"","Variable")),"")</f>
        <v/>
      </c>
      <c r="Y4203" s="52">
        <f>IF(P4203="","",IFERROR(INDEX(catGrupo,MATCH(D4203&amp;"|"&amp;E4203,catClave,0))&amp;"",""))</f>
        <v/>
      </c>
      <c r="Z4203" s="52">
        <f>IF(P4203="","",WEEKDAY(B4203,2))</f>
        <v/>
      </c>
      <c r="AA4203" s="52">
        <f>IF(P4203="","",IF(AND(P4203="Gasto",X4203="Variable",D4203&lt;&gt;catTrading,S4203&gt;0,S4203&lt;=Umbral),1,0))</f>
        <v/>
      </c>
      <c r="AB4203" s="52">
        <f>IF(OR(P4203="",Q4203=""),"",IFERROR(IF(INDEX(ctaVinc,MATCH(Q4203,ctaNombre,0))&amp;""&lt;&gt;"",INDEX(ctaVinc,MATCH(Q4203,ctaNombre,0))&amp;"",Q4203),Q4203))</f>
        <v/>
      </c>
      <c r="AC4203" s="52">
        <f>IF(OR(K4203="",AND(P4203&lt;&gt;"Transferencia",P4203&lt;&gt;"Pago tarjeta")),"",IFERROR(IF(INDEX(ctaVinc,MATCH(K4203,ctaNombre,0))&amp;""&lt;&gt;"",INDEX(ctaVinc,MATCH(K4203,ctaNombre,0))&amp;"",K4203),K4203))</f>
        <v/>
      </c>
      <c r="AD4203" s="52">
        <f>IF(AB4203="","",IFERROR(INDEX(ctaTipo,MATCH(AB4203,ctaNombre,0))&amp;"",""))</f>
        <v/>
      </c>
      <c r="AE4203" s="52">
        <f>IF(AC4203="","",IFERROR(INDEX(ctaTipo,MATCH(AC4203,ctaNombre,0))&amp;"",""))</f>
        <v/>
      </c>
      <c r="AF4203" s="53">
        <f>IF(OR(P4203="",AB4203=""),"",IF(OR(P4203="Gasto",P4203="Transferencia",P4203="Pago tarjeta"),-1,1)*IF(IFERROR(INDEX(ctaMoneda,MATCH(AB4203,ctaNombre,0))&amp;"","DOP")="USD",T4203,S4203))</f>
        <v/>
      </c>
      <c r="AG4203" s="53">
        <f>IF(AC4203="","",IF(IFERROR(INDEX(ctaMoneda,MATCH(AC4203,ctaNombre,0))&amp;"","DOP")="USD",T4203,S4203))</f>
        <v/>
      </c>
      <c r="AH4203" s="53">
        <f>IF(P4203="","",IF(AND(AD4203&lt;&gt;"",COUNTIFS(tcTipo,AD4203,tcLiq,"Sí")&gt;0),IF(OR(P4203="Gasto",P4203="Transferencia",P4203="Pago tarjeta"),-1,1)*S4203,0)+IF(AND(AE4203&lt;&gt;"",COUNTIFS(tcTipo,AE4203,tcLiq,"Sí")&gt;0),S4203,0))</f>
        <v/>
      </c>
      <c r="AI4203" s="52">
        <f>IF(OR(L4203="",P4203=""),"",IF(COUNTIFS(L$6:L4203,L4203,P$6:P4203,"?*")=1,MAX(AI$5:AI4202)+1,""))</f>
        <v/>
      </c>
    </row>
    <row r="4204">
      <c r="B4204" s="47" t="n"/>
      <c r="C4204" s="48" t="n"/>
      <c r="D4204" s="48" t="n"/>
      <c r="E4204" s="48" t="n"/>
      <c r="F4204" s="48" t="n"/>
      <c r="G4204" s="49" t="n"/>
      <c r="H4204" s="48" t="n"/>
      <c r="I4204" s="50" t="n"/>
      <c r="J4204" s="48" t="n"/>
      <c r="K4204" s="48" t="n"/>
      <c r="L4204" s="48" t="n"/>
      <c r="M4204" s="48" t="n"/>
      <c r="N4204" s="48" t="n"/>
      <c r="O4204" s="51">
        <f>IF(AND(B4204="",G4204="",C4204="",D4204="",J4204=""),"",IF(B4204="","⚠ Falta fecha",IF(G4204="","⚠ Falta monto",IF(Q4204="","⚠ Falta cuenta",IF(ISNA(MATCH(Q4204,ctaNombre,0)),"⚠ Cuenta no registrada",IF(AND(OR(P4204="Gasto",P4204="Reembolso"),D4204=""),"⚠ Falta categoría",IF(AND(D4204&lt;&gt;"",E4204&lt;&gt;"",ISNA(MATCH(D4204&amp;"|"&amp;E4204,catClave,0))),"⚠ Subcategoría no corresponde",IF(AND(OR(P4204="Transferencia",P4204="Pago tarjeta"),K4204=""),"⚠ Falta cuenta destino",IF(AND(K4204&lt;&gt;"",P4204&lt;&gt;"Transferencia",P4204&lt;&gt;"Pago tarjeta"),"⚠ Destino solo aplica a transferencias",IF(AND(K4204&lt;&gt;"",K4204=Q4204),"⚠ Origen igual a destino",IF(AND(K4204&lt;&gt;"",ISNA(MATCH(K4204,ctaNombre,0))),"⚠ Destino no registrado",IF(AND(P4204="Pago tarjeta",AE4204&lt;&gt;"Tarjeta de crédito"),"⚠ El destino debe ser tarjeta de crédito",IF(AND(P4204="Gasto",E4204="Depósitos y retiros"),"⚠ Usa tipo Transferencia",IF(AND(P4204="Resultado trading",AD4204&lt;&gt;"Cuenta de trading"),"⚠ Usa una cuenta de trading",IF(AND(G4204&lt;=0,P4204&lt;&gt;"Ajuste",P4204&lt;&gt;"Resultado trading"),"⚠ El monto debe ser positivo","✓")))))))))))))))</f>
        <v/>
      </c>
      <c r="P4204" s="52">
        <f>IF(OR(B4204="",G4204=""),"",IF(C4204="","Gasto",C4204))</f>
        <v/>
      </c>
      <c r="Q4204" s="52">
        <f>IF(P4204="","",IF(J4204&lt;&gt;"",J4204,CuentaPred&amp;""))</f>
        <v/>
      </c>
      <c r="R4204" s="52">
        <f>IF(P4204="","",IF(ISNUMBER(I4204),I4204,TasaUSD))</f>
        <v/>
      </c>
      <c r="S4204" s="53">
        <f>IF(P4204="","",IF(H4204="USD",G4204*R4204,G4204))</f>
        <v/>
      </c>
      <c r="T4204" s="53">
        <f>IF(P4204="","",IF(H4204="USD",G4204,IF(R4204&gt;0,G4204/R4204,0)))</f>
        <v/>
      </c>
      <c r="U4204" s="53">
        <f>IF(P4204="","",IF(P4204="Gasto",S4204,IF(P4204="Reembolso",-S4204,0)))</f>
        <v/>
      </c>
      <c r="V4204" s="53">
        <f>IF(P4204="","",IF(P4204="Ingreso",S4204,0))</f>
        <v/>
      </c>
      <c r="W4204" s="53">
        <f>IF(P4204="","",IF(P4204="Resultado trading",S4204,0))</f>
        <v/>
      </c>
      <c r="X4204" s="52">
        <f>IF(OR(P4204="Gasto",P4204="Reembolso"),IF(M4204&lt;&gt;"",M4204,IFERROR(INDEX(catClasif,MATCH(D4204&amp;"|"&amp;E4204,catClave,0))&amp;"","Variable")),"")</f>
        <v/>
      </c>
      <c r="Y4204" s="52">
        <f>IF(P4204="","",IFERROR(INDEX(catGrupo,MATCH(D4204&amp;"|"&amp;E4204,catClave,0))&amp;"",""))</f>
        <v/>
      </c>
      <c r="Z4204" s="52">
        <f>IF(P4204="","",WEEKDAY(B4204,2))</f>
        <v/>
      </c>
      <c r="AA4204" s="52">
        <f>IF(P4204="","",IF(AND(P4204="Gasto",X4204="Variable",D4204&lt;&gt;catTrading,S4204&gt;0,S4204&lt;=Umbral),1,0))</f>
        <v/>
      </c>
      <c r="AB4204" s="52">
        <f>IF(OR(P4204="",Q4204=""),"",IFERROR(IF(INDEX(ctaVinc,MATCH(Q4204,ctaNombre,0))&amp;""&lt;&gt;"",INDEX(ctaVinc,MATCH(Q4204,ctaNombre,0))&amp;"",Q4204),Q4204))</f>
        <v/>
      </c>
      <c r="AC4204" s="52">
        <f>IF(OR(K4204="",AND(P4204&lt;&gt;"Transferencia",P4204&lt;&gt;"Pago tarjeta")),"",IFERROR(IF(INDEX(ctaVinc,MATCH(K4204,ctaNombre,0))&amp;""&lt;&gt;"",INDEX(ctaVinc,MATCH(K4204,ctaNombre,0))&amp;"",K4204),K4204))</f>
        <v/>
      </c>
      <c r="AD4204" s="52">
        <f>IF(AB4204="","",IFERROR(INDEX(ctaTipo,MATCH(AB4204,ctaNombre,0))&amp;"",""))</f>
        <v/>
      </c>
      <c r="AE4204" s="52">
        <f>IF(AC4204="","",IFERROR(INDEX(ctaTipo,MATCH(AC4204,ctaNombre,0))&amp;"",""))</f>
        <v/>
      </c>
      <c r="AF4204" s="53">
        <f>IF(OR(P4204="",AB4204=""),"",IF(OR(P4204="Gasto",P4204="Transferencia",P4204="Pago tarjeta"),-1,1)*IF(IFERROR(INDEX(ctaMoneda,MATCH(AB4204,ctaNombre,0))&amp;"","DOP")="USD",T4204,S4204))</f>
        <v/>
      </c>
      <c r="AG4204" s="53">
        <f>IF(AC4204="","",IF(IFERROR(INDEX(ctaMoneda,MATCH(AC4204,ctaNombre,0))&amp;"","DOP")="USD",T4204,S4204))</f>
        <v/>
      </c>
      <c r="AH4204" s="53">
        <f>IF(P4204="","",IF(AND(AD4204&lt;&gt;"",COUNTIFS(tcTipo,AD4204,tcLiq,"Sí")&gt;0),IF(OR(P4204="Gasto",P4204="Transferencia",P4204="Pago tarjeta"),-1,1)*S4204,0)+IF(AND(AE4204&lt;&gt;"",COUNTIFS(tcTipo,AE4204,tcLiq,"Sí")&gt;0),S4204,0))</f>
        <v/>
      </c>
      <c r="AI4204" s="52">
        <f>IF(OR(L4204="",P4204=""),"",IF(COUNTIFS(L$6:L4204,L4204,P$6:P4204,"?*")=1,MAX(AI$5:AI4203)+1,""))</f>
        <v/>
      </c>
    </row>
    <row r="4205">
      <c r="B4205" s="47" t="n"/>
      <c r="C4205" s="48" t="n"/>
      <c r="D4205" s="48" t="n"/>
      <c r="E4205" s="48" t="n"/>
      <c r="F4205" s="48" t="n"/>
      <c r="G4205" s="49" t="n"/>
      <c r="H4205" s="48" t="n"/>
      <c r="I4205" s="50" t="n"/>
      <c r="J4205" s="48" t="n"/>
      <c r="K4205" s="48" t="n"/>
      <c r="L4205" s="48" t="n"/>
      <c r="M4205" s="48" t="n"/>
      <c r="N4205" s="48" t="n"/>
      <c r="O4205" s="51">
        <f>IF(AND(B4205="",G4205="",C4205="",D4205="",J4205=""),"",IF(B4205="","⚠ Falta fecha",IF(G4205="","⚠ Falta monto",IF(Q4205="","⚠ Falta cuenta",IF(ISNA(MATCH(Q4205,ctaNombre,0)),"⚠ Cuenta no registrada",IF(AND(OR(P4205="Gasto",P4205="Reembolso"),D4205=""),"⚠ Falta categoría",IF(AND(D4205&lt;&gt;"",E4205&lt;&gt;"",ISNA(MATCH(D4205&amp;"|"&amp;E4205,catClave,0))),"⚠ Subcategoría no corresponde",IF(AND(OR(P4205="Transferencia",P4205="Pago tarjeta"),K4205=""),"⚠ Falta cuenta destino",IF(AND(K4205&lt;&gt;"",P4205&lt;&gt;"Transferencia",P4205&lt;&gt;"Pago tarjeta"),"⚠ Destino solo aplica a transferencias",IF(AND(K4205&lt;&gt;"",K4205=Q4205),"⚠ Origen igual a destino",IF(AND(K4205&lt;&gt;"",ISNA(MATCH(K4205,ctaNombre,0))),"⚠ Destino no registrado",IF(AND(P4205="Pago tarjeta",AE4205&lt;&gt;"Tarjeta de crédito"),"⚠ El destino debe ser tarjeta de crédito",IF(AND(P4205="Gasto",E4205="Depósitos y retiros"),"⚠ Usa tipo Transferencia",IF(AND(P4205="Resultado trading",AD4205&lt;&gt;"Cuenta de trading"),"⚠ Usa una cuenta de trading",IF(AND(G4205&lt;=0,P4205&lt;&gt;"Ajuste",P4205&lt;&gt;"Resultado trading"),"⚠ El monto debe ser positivo","✓")))))))))))))))</f>
        <v/>
      </c>
      <c r="P4205" s="52">
        <f>IF(OR(B4205="",G4205=""),"",IF(C4205="","Gasto",C4205))</f>
        <v/>
      </c>
      <c r="Q4205" s="52">
        <f>IF(P4205="","",IF(J4205&lt;&gt;"",J4205,CuentaPred&amp;""))</f>
        <v/>
      </c>
      <c r="R4205" s="52">
        <f>IF(P4205="","",IF(ISNUMBER(I4205),I4205,TasaUSD))</f>
        <v/>
      </c>
      <c r="S4205" s="53">
        <f>IF(P4205="","",IF(H4205="USD",G4205*R4205,G4205))</f>
        <v/>
      </c>
      <c r="T4205" s="53">
        <f>IF(P4205="","",IF(H4205="USD",G4205,IF(R4205&gt;0,G4205/R4205,0)))</f>
        <v/>
      </c>
      <c r="U4205" s="53">
        <f>IF(P4205="","",IF(P4205="Gasto",S4205,IF(P4205="Reembolso",-S4205,0)))</f>
        <v/>
      </c>
      <c r="V4205" s="53">
        <f>IF(P4205="","",IF(P4205="Ingreso",S4205,0))</f>
        <v/>
      </c>
      <c r="W4205" s="53">
        <f>IF(P4205="","",IF(P4205="Resultado trading",S4205,0))</f>
        <v/>
      </c>
      <c r="X4205" s="52">
        <f>IF(OR(P4205="Gasto",P4205="Reembolso"),IF(M4205&lt;&gt;"",M4205,IFERROR(INDEX(catClasif,MATCH(D4205&amp;"|"&amp;E4205,catClave,0))&amp;"","Variable")),"")</f>
        <v/>
      </c>
      <c r="Y4205" s="52">
        <f>IF(P4205="","",IFERROR(INDEX(catGrupo,MATCH(D4205&amp;"|"&amp;E4205,catClave,0))&amp;"",""))</f>
        <v/>
      </c>
      <c r="Z4205" s="52">
        <f>IF(P4205="","",WEEKDAY(B4205,2))</f>
        <v/>
      </c>
      <c r="AA4205" s="52">
        <f>IF(P4205="","",IF(AND(P4205="Gasto",X4205="Variable",D4205&lt;&gt;catTrading,S4205&gt;0,S4205&lt;=Umbral),1,0))</f>
        <v/>
      </c>
      <c r="AB4205" s="52">
        <f>IF(OR(P4205="",Q4205=""),"",IFERROR(IF(INDEX(ctaVinc,MATCH(Q4205,ctaNombre,0))&amp;""&lt;&gt;"",INDEX(ctaVinc,MATCH(Q4205,ctaNombre,0))&amp;"",Q4205),Q4205))</f>
        <v/>
      </c>
      <c r="AC4205" s="52">
        <f>IF(OR(K4205="",AND(P4205&lt;&gt;"Transferencia",P4205&lt;&gt;"Pago tarjeta")),"",IFERROR(IF(INDEX(ctaVinc,MATCH(K4205,ctaNombre,0))&amp;""&lt;&gt;"",INDEX(ctaVinc,MATCH(K4205,ctaNombre,0))&amp;"",K4205),K4205))</f>
        <v/>
      </c>
      <c r="AD4205" s="52">
        <f>IF(AB4205="","",IFERROR(INDEX(ctaTipo,MATCH(AB4205,ctaNombre,0))&amp;"",""))</f>
        <v/>
      </c>
      <c r="AE4205" s="52">
        <f>IF(AC4205="","",IFERROR(INDEX(ctaTipo,MATCH(AC4205,ctaNombre,0))&amp;"",""))</f>
        <v/>
      </c>
      <c r="AF4205" s="53">
        <f>IF(OR(P4205="",AB4205=""),"",IF(OR(P4205="Gasto",P4205="Transferencia",P4205="Pago tarjeta"),-1,1)*IF(IFERROR(INDEX(ctaMoneda,MATCH(AB4205,ctaNombre,0))&amp;"","DOP")="USD",T4205,S4205))</f>
        <v/>
      </c>
      <c r="AG4205" s="53">
        <f>IF(AC4205="","",IF(IFERROR(INDEX(ctaMoneda,MATCH(AC4205,ctaNombre,0))&amp;"","DOP")="USD",T4205,S4205))</f>
        <v/>
      </c>
      <c r="AH4205" s="53">
        <f>IF(P4205="","",IF(AND(AD4205&lt;&gt;"",COUNTIFS(tcTipo,AD4205,tcLiq,"Sí")&gt;0),IF(OR(P4205="Gasto",P4205="Transferencia",P4205="Pago tarjeta"),-1,1)*S4205,0)+IF(AND(AE4205&lt;&gt;"",COUNTIFS(tcTipo,AE4205,tcLiq,"Sí")&gt;0),S4205,0))</f>
        <v/>
      </c>
      <c r="AI4205" s="52">
        <f>IF(OR(L4205="",P4205=""),"",IF(COUNTIFS(L$6:L4205,L4205,P$6:P4205,"?*")=1,MAX(AI$5:AI4204)+1,""))</f>
        <v/>
      </c>
    </row>
    <row r="4206">
      <c r="B4206" s="47" t="n"/>
      <c r="C4206" s="48" t="n"/>
      <c r="D4206" s="48" t="n"/>
      <c r="E4206" s="48" t="n"/>
      <c r="F4206" s="48" t="n"/>
      <c r="G4206" s="49" t="n"/>
      <c r="H4206" s="48" t="n"/>
      <c r="I4206" s="50" t="n"/>
      <c r="J4206" s="48" t="n"/>
      <c r="K4206" s="48" t="n"/>
      <c r="L4206" s="48" t="n"/>
      <c r="M4206" s="48" t="n"/>
      <c r="N4206" s="48" t="n"/>
      <c r="O4206" s="51">
        <f>IF(AND(B4206="",G4206="",C4206="",D4206="",J4206=""),"",IF(B4206="","⚠ Falta fecha",IF(G4206="","⚠ Falta monto",IF(Q4206="","⚠ Falta cuenta",IF(ISNA(MATCH(Q4206,ctaNombre,0)),"⚠ Cuenta no registrada",IF(AND(OR(P4206="Gasto",P4206="Reembolso"),D4206=""),"⚠ Falta categoría",IF(AND(D4206&lt;&gt;"",E4206&lt;&gt;"",ISNA(MATCH(D4206&amp;"|"&amp;E4206,catClave,0))),"⚠ Subcategoría no corresponde",IF(AND(OR(P4206="Transferencia",P4206="Pago tarjeta"),K4206=""),"⚠ Falta cuenta destino",IF(AND(K4206&lt;&gt;"",P4206&lt;&gt;"Transferencia",P4206&lt;&gt;"Pago tarjeta"),"⚠ Destino solo aplica a transferencias",IF(AND(K4206&lt;&gt;"",K4206=Q4206),"⚠ Origen igual a destino",IF(AND(K4206&lt;&gt;"",ISNA(MATCH(K4206,ctaNombre,0))),"⚠ Destino no registrado",IF(AND(P4206="Pago tarjeta",AE4206&lt;&gt;"Tarjeta de crédito"),"⚠ El destino debe ser tarjeta de crédito",IF(AND(P4206="Gasto",E4206="Depósitos y retiros"),"⚠ Usa tipo Transferencia",IF(AND(P4206="Resultado trading",AD4206&lt;&gt;"Cuenta de trading"),"⚠ Usa una cuenta de trading",IF(AND(G4206&lt;=0,P4206&lt;&gt;"Ajuste",P4206&lt;&gt;"Resultado trading"),"⚠ El monto debe ser positivo","✓")))))))))))))))</f>
        <v/>
      </c>
      <c r="P4206" s="52">
        <f>IF(OR(B4206="",G4206=""),"",IF(C4206="","Gasto",C4206))</f>
        <v/>
      </c>
      <c r="Q4206" s="52">
        <f>IF(P4206="","",IF(J4206&lt;&gt;"",J4206,CuentaPred&amp;""))</f>
        <v/>
      </c>
      <c r="R4206" s="52">
        <f>IF(P4206="","",IF(ISNUMBER(I4206),I4206,TasaUSD))</f>
        <v/>
      </c>
      <c r="S4206" s="53">
        <f>IF(P4206="","",IF(H4206="USD",G4206*R4206,G4206))</f>
        <v/>
      </c>
      <c r="T4206" s="53">
        <f>IF(P4206="","",IF(H4206="USD",G4206,IF(R4206&gt;0,G4206/R4206,0)))</f>
        <v/>
      </c>
      <c r="U4206" s="53">
        <f>IF(P4206="","",IF(P4206="Gasto",S4206,IF(P4206="Reembolso",-S4206,0)))</f>
        <v/>
      </c>
      <c r="V4206" s="53">
        <f>IF(P4206="","",IF(P4206="Ingreso",S4206,0))</f>
        <v/>
      </c>
      <c r="W4206" s="53">
        <f>IF(P4206="","",IF(P4206="Resultado trading",S4206,0))</f>
        <v/>
      </c>
      <c r="X4206" s="52">
        <f>IF(OR(P4206="Gasto",P4206="Reembolso"),IF(M4206&lt;&gt;"",M4206,IFERROR(INDEX(catClasif,MATCH(D4206&amp;"|"&amp;E4206,catClave,0))&amp;"","Variable")),"")</f>
        <v/>
      </c>
      <c r="Y4206" s="52">
        <f>IF(P4206="","",IFERROR(INDEX(catGrupo,MATCH(D4206&amp;"|"&amp;E4206,catClave,0))&amp;"",""))</f>
        <v/>
      </c>
      <c r="Z4206" s="52">
        <f>IF(P4206="","",WEEKDAY(B4206,2))</f>
        <v/>
      </c>
      <c r="AA4206" s="52">
        <f>IF(P4206="","",IF(AND(P4206="Gasto",X4206="Variable",D4206&lt;&gt;catTrading,S4206&gt;0,S4206&lt;=Umbral),1,0))</f>
        <v/>
      </c>
      <c r="AB4206" s="52">
        <f>IF(OR(P4206="",Q4206=""),"",IFERROR(IF(INDEX(ctaVinc,MATCH(Q4206,ctaNombre,0))&amp;""&lt;&gt;"",INDEX(ctaVinc,MATCH(Q4206,ctaNombre,0))&amp;"",Q4206),Q4206))</f>
        <v/>
      </c>
      <c r="AC4206" s="52">
        <f>IF(OR(K4206="",AND(P4206&lt;&gt;"Transferencia",P4206&lt;&gt;"Pago tarjeta")),"",IFERROR(IF(INDEX(ctaVinc,MATCH(K4206,ctaNombre,0))&amp;""&lt;&gt;"",INDEX(ctaVinc,MATCH(K4206,ctaNombre,0))&amp;"",K4206),K4206))</f>
        <v/>
      </c>
      <c r="AD4206" s="52">
        <f>IF(AB4206="","",IFERROR(INDEX(ctaTipo,MATCH(AB4206,ctaNombre,0))&amp;"",""))</f>
        <v/>
      </c>
      <c r="AE4206" s="52">
        <f>IF(AC4206="","",IFERROR(INDEX(ctaTipo,MATCH(AC4206,ctaNombre,0))&amp;"",""))</f>
        <v/>
      </c>
      <c r="AF4206" s="53">
        <f>IF(OR(P4206="",AB4206=""),"",IF(OR(P4206="Gasto",P4206="Transferencia",P4206="Pago tarjeta"),-1,1)*IF(IFERROR(INDEX(ctaMoneda,MATCH(AB4206,ctaNombre,0))&amp;"","DOP")="USD",T4206,S4206))</f>
        <v/>
      </c>
      <c r="AG4206" s="53">
        <f>IF(AC4206="","",IF(IFERROR(INDEX(ctaMoneda,MATCH(AC4206,ctaNombre,0))&amp;"","DOP")="USD",T4206,S4206))</f>
        <v/>
      </c>
      <c r="AH4206" s="53">
        <f>IF(P4206="","",IF(AND(AD4206&lt;&gt;"",COUNTIFS(tcTipo,AD4206,tcLiq,"Sí")&gt;0),IF(OR(P4206="Gasto",P4206="Transferencia",P4206="Pago tarjeta"),-1,1)*S4206,0)+IF(AND(AE4206&lt;&gt;"",COUNTIFS(tcTipo,AE4206,tcLiq,"Sí")&gt;0),S4206,0))</f>
        <v/>
      </c>
      <c r="AI4206" s="52">
        <f>IF(OR(L4206="",P4206=""),"",IF(COUNTIFS(L$6:L4206,L4206,P$6:P4206,"?*")=1,MAX(AI$5:AI4205)+1,""))</f>
        <v/>
      </c>
    </row>
    <row r="4207">
      <c r="B4207" s="47" t="n"/>
      <c r="C4207" s="48" t="n"/>
      <c r="D4207" s="48" t="n"/>
      <c r="E4207" s="48" t="n"/>
      <c r="F4207" s="48" t="n"/>
      <c r="G4207" s="49" t="n"/>
      <c r="H4207" s="48" t="n"/>
      <c r="I4207" s="50" t="n"/>
      <c r="J4207" s="48" t="n"/>
      <c r="K4207" s="48" t="n"/>
      <c r="L4207" s="48" t="n"/>
      <c r="M4207" s="48" t="n"/>
      <c r="N4207" s="48" t="n"/>
      <c r="O4207" s="51">
        <f>IF(AND(B4207="",G4207="",C4207="",D4207="",J4207=""),"",IF(B4207="","⚠ Falta fecha",IF(G4207="","⚠ Falta monto",IF(Q4207="","⚠ Falta cuenta",IF(ISNA(MATCH(Q4207,ctaNombre,0)),"⚠ Cuenta no registrada",IF(AND(OR(P4207="Gasto",P4207="Reembolso"),D4207=""),"⚠ Falta categoría",IF(AND(D4207&lt;&gt;"",E4207&lt;&gt;"",ISNA(MATCH(D4207&amp;"|"&amp;E4207,catClave,0))),"⚠ Subcategoría no corresponde",IF(AND(OR(P4207="Transferencia",P4207="Pago tarjeta"),K4207=""),"⚠ Falta cuenta destino",IF(AND(K4207&lt;&gt;"",P4207&lt;&gt;"Transferencia",P4207&lt;&gt;"Pago tarjeta"),"⚠ Destino solo aplica a transferencias",IF(AND(K4207&lt;&gt;"",K4207=Q4207),"⚠ Origen igual a destino",IF(AND(K4207&lt;&gt;"",ISNA(MATCH(K4207,ctaNombre,0))),"⚠ Destino no registrado",IF(AND(P4207="Pago tarjeta",AE4207&lt;&gt;"Tarjeta de crédito"),"⚠ El destino debe ser tarjeta de crédito",IF(AND(P4207="Gasto",E4207="Depósitos y retiros"),"⚠ Usa tipo Transferencia",IF(AND(P4207="Resultado trading",AD4207&lt;&gt;"Cuenta de trading"),"⚠ Usa una cuenta de trading",IF(AND(G4207&lt;=0,P4207&lt;&gt;"Ajuste",P4207&lt;&gt;"Resultado trading"),"⚠ El monto debe ser positivo","✓")))))))))))))))</f>
        <v/>
      </c>
      <c r="P4207" s="52">
        <f>IF(OR(B4207="",G4207=""),"",IF(C4207="","Gasto",C4207))</f>
        <v/>
      </c>
      <c r="Q4207" s="52">
        <f>IF(P4207="","",IF(J4207&lt;&gt;"",J4207,CuentaPred&amp;""))</f>
        <v/>
      </c>
      <c r="R4207" s="52">
        <f>IF(P4207="","",IF(ISNUMBER(I4207),I4207,TasaUSD))</f>
        <v/>
      </c>
      <c r="S4207" s="53">
        <f>IF(P4207="","",IF(H4207="USD",G4207*R4207,G4207))</f>
        <v/>
      </c>
      <c r="T4207" s="53">
        <f>IF(P4207="","",IF(H4207="USD",G4207,IF(R4207&gt;0,G4207/R4207,0)))</f>
        <v/>
      </c>
      <c r="U4207" s="53">
        <f>IF(P4207="","",IF(P4207="Gasto",S4207,IF(P4207="Reembolso",-S4207,0)))</f>
        <v/>
      </c>
      <c r="V4207" s="53">
        <f>IF(P4207="","",IF(P4207="Ingreso",S4207,0))</f>
        <v/>
      </c>
      <c r="W4207" s="53">
        <f>IF(P4207="","",IF(P4207="Resultado trading",S4207,0))</f>
        <v/>
      </c>
      <c r="X4207" s="52">
        <f>IF(OR(P4207="Gasto",P4207="Reembolso"),IF(M4207&lt;&gt;"",M4207,IFERROR(INDEX(catClasif,MATCH(D4207&amp;"|"&amp;E4207,catClave,0))&amp;"","Variable")),"")</f>
        <v/>
      </c>
      <c r="Y4207" s="52">
        <f>IF(P4207="","",IFERROR(INDEX(catGrupo,MATCH(D4207&amp;"|"&amp;E4207,catClave,0))&amp;"",""))</f>
        <v/>
      </c>
      <c r="Z4207" s="52">
        <f>IF(P4207="","",WEEKDAY(B4207,2))</f>
        <v/>
      </c>
      <c r="AA4207" s="52">
        <f>IF(P4207="","",IF(AND(P4207="Gasto",X4207="Variable",D4207&lt;&gt;catTrading,S4207&gt;0,S4207&lt;=Umbral),1,0))</f>
        <v/>
      </c>
      <c r="AB4207" s="52">
        <f>IF(OR(P4207="",Q4207=""),"",IFERROR(IF(INDEX(ctaVinc,MATCH(Q4207,ctaNombre,0))&amp;""&lt;&gt;"",INDEX(ctaVinc,MATCH(Q4207,ctaNombre,0))&amp;"",Q4207),Q4207))</f>
        <v/>
      </c>
      <c r="AC4207" s="52">
        <f>IF(OR(K4207="",AND(P4207&lt;&gt;"Transferencia",P4207&lt;&gt;"Pago tarjeta")),"",IFERROR(IF(INDEX(ctaVinc,MATCH(K4207,ctaNombre,0))&amp;""&lt;&gt;"",INDEX(ctaVinc,MATCH(K4207,ctaNombre,0))&amp;"",K4207),K4207))</f>
        <v/>
      </c>
      <c r="AD4207" s="52">
        <f>IF(AB4207="","",IFERROR(INDEX(ctaTipo,MATCH(AB4207,ctaNombre,0))&amp;"",""))</f>
        <v/>
      </c>
      <c r="AE4207" s="52">
        <f>IF(AC4207="","",IFERROR(INDEX(ctaTipo,MATCH(AC4207,ctaNombre,0))&amp;"",""))</f>
        <v/>
      </c>
      <c r="AF4207" s="53">
        <f>IF(OR(P4207="",AB4207=""),"",IF(OR(P4207="Gasto",P4207="Transferencia",P4207="Pago tarjeta"),-1,1)*IF(IFERROR(INDEX(ctaMoneda,MATCH(AB4207,ctaNombre,0))&amp;"","DOP")="USD",T4207,S4207))</f>
        <v/>
      </c>
      <c r="AG4207" s="53">
        <f>IF(AC4207="","",IF(IFERROR(INDEX(ctaMoneda,MATCH(AC4207,ctaNombre,0))&amp;"","DOP")="USD",T4207,S4207))</f>
        <v/>
      </c>
      <c r="AH4207" s="53">
        <f>IF(P4207="","",IF(AND(AD4207&lt;&gt;"",COUNTIFS(tcTipo,AD4207,tcLiq,"Sí")&gt;0),IF(OR(P4207="Gasto",P4207="Transferencia",P4207="Pago tarjeta"),-1,1)*S4207,0)+IF(AND(AE4207&lt;&gt;"",COUNTIFS(tcTipo,AE4207,tcLiq,"Sí")&gt;0),S4207,0))</f>
        <v/>
      </c>
      <c r="AI4207" s="52">
        <f>IF(OR(L4207="",P4207=""),"",IF(COUNTIFS(L$6:L4207,L4207,P$6:P4207,"?*")=1,MAX(AI$5:AI4206)+1,""))</f>
        <v/>
      </c>
    </row>
    <row r="4208">
      <c r="B4208" s="47" t="n"/>
      <c r="C4208" s="48" t="n"/>
      <c r="D4208" s="48" t="n"/>
      <c r="E4208" s="48" t="n"/>
      <c r="F4208" s="48" t="n"/>
      <c r="G4208" s="49" t="n"/>
      <c r="H4208" s="48" t="n"/>
      <c r="I4208" s="50" t="n"/>
      <c r="J4208" s="48" t="n"/>
      <c r="K4208" s="48" t="n"/>
      <c r="L4208" s="48" t="n"/>
      <c r="M4208" s="48" t="n"/>
      <c r="N4208" s="48" t="n"/>
      <c r="O4208" s="51">
        <f>IF(AND(B4208="",G4208="",C4208="",D4208="",J4208=""),"",IF(B4208="","⚠ Falta fecha",IF(G4208="","⚠ Falta monto",IF(Q4208="","⚠ Falta cuenta",IF(ISNA(MATCH(Q4208,ctaNombre,0)),"⚠ Cuenta no registrada",IF(AND(OR(P4208="Gasto",P4208="Reembolso"),D4208=""),"⚠ Falta categoría",IF(AND(D4208&lt;&gt;"",E4208&lt;&gt;"",ISNA(MATCH(D4208&amp;"|"&amp;E4208,catClave,0))),"⚠ Subcategoría no corresponde",IF(AND(OR(P4208="Transferencia",P4208="Pago tarjeta"),K4208=""),"⚠ Falta cuenta destino",IF(AND(K4208&lt;&gt;"",P4208&lt;&gt;"Transferencia",P4208&lt;&gt;"Pago tarjeta"),"⚠ Destino solo aplica a transferencias",IF(AND(K4208&lt;&gt;"",K4208=Q4208),"⚠ Origen igual a destino",IF(AND(K4208&lt;&gt;"",ISNA(MATCH(K4208,ctaNombre,0))),"⚠ Destino no registrado",IF(AND(P4208="Pago tarjeta",AE4208&lt;&gt;"Tarjeta de crédito"),"⚠ El destino debe ser tarjeta de crédito",IF(AND(P4208="Gasto",E4208="Depósitos y retiros"),"⚠ Usa tipo Transferencia",IF(AND(P4208="Resultado trading",AD4208&lt;&gt;"Cuenta de trading"),"⚠ Usa una cuenta de trading",IF(AND(G4208&lt;=0,P4208&lt;&gt;"Ajuste",P4208&lt;&gt;"Resultado trading"),"⚠ El monto debe ser positivo","✓")))))))))))))))</f>
        <v/>
      </c>
      <c r="P4208" s="52">
        <f>IF(OR(B4208="",G4208=""),"",IF(C4208="","Gasto",C4208))</f>
        <v/>
      </c>
      <c r="Q4208" s="52">
        <f>IF(P4208="","",IF(J4208&lt;&gt;"",J4208,CuentaPred&amp;""))</f>
        <v/>
      </c>
      <c r="R4208" s="52">
        <f>IF(P4208="","",IF(ISNUMBER(I4208),I4208,TasaUSD))</f>
        <v/>
      </c>
      <c r="S4208" s="53">
        <f>IF(P4208="","",IF(H4208="USD",G4208*R4208,G4208))</f>
        <v/>
      </c>
      <c r="T4208" s="53">
        <f>IF(P4208="","",IF(H4208="USD",G4208,IF(R4208&gt;0,G4208/R4208,0)))</f>
        <v/>
      </c>
      <c r="U4208" s="53">
        <f>IF(P4208="","",IF(P4208="Gasto",S4208,IF(P4208="Reembolso",-S4208,0)))</f>
        <v/>
      </c>
      <c r="V4208" s="53">
        <f>IF(P4208="","",IF(P4208="Ingreso",S4208,0))</f>
        <v/>
      </c>
      <c r="W4208" s="53">
        <f>IF(P4208="","",IF(P4208="Resultado trading",S4208,0))</f>
        <v/>
      </c>
      <c r="X4208" s="52">
        <f>IF(OR(P4208="Gasto",P4208="Reembolso"),IF(M4208&lt;&gt;"",M4208,IFERROR(INDEX(catClasif,MATCH(D4208&amp;"|"&amp;E4208,catClave,0))&amp;"","Variable")),"")</f>
        <v/>
      </c>
      <c r="Y4208" s="52">
        <f>IF(P4208="","",IFERROR(INDEX(catGrupo,MATCH(D4208&amp;"|"&amp;E4208,catClave,0))&amp;"",""))</f>
        <v/>
      </c>
      <c r="Z4208" s="52">
        <f>IF(P4208="","",WEEKDAY(B4208,2))</f>
        <v/>
      </c>
      <c r="AA4208" s="52">
        <f>IF(P4208="","",IF(AND(P4208="Gasto",X4208="Variable",D4208&lt;&gt;catTrading,S4208&gt;0,S4208&lt;=Umbral),1,0))</f>
        <v/>
      </c>
      <c r="AB4208" s="52">
        <f>IF(OR(P4208="",Q4208=""),"",IFERROR(IF(INDEX(ctaVinc,MATCH(Q4208,ctaNombre,0))&amp;""&lt;&gt;"",INDEX(ctaVinc,MATCH(Q4208,ctaNombre,0))&amp;"",Q4208),Q4208))</f>
        <v/>
      </c>
      <c r="AC4208" s="52">
        <f>IF(OR(K4208="",AND(P4208&lt;&gt;"Transferencia",P4208&lt;&gt;"Pago tarjeta")),"",IFERROR(IF(INDEX(ctaVinc,MATCH(K4208,ctaNombre,0))&amp;""&lt;&gt;"",INDEX(ctaVinc,MATCH(K4208,ctaNombre,0))&amp;"",K4208),K4208))</f>
        <v/>
      </c>
      <c r="AD4208" s="52">
        <f>IF(AB4208="","",IFERROR(INDEX(ctaTipo,MATCH(AB4208,ctaNombre,0))&amp;"",""))</f>
        <v/>
      </c>
      <c r="AE4208" s="52">
        <f>IF(AC4208="","",IFERROR(INDEX(ctaTipo,MATCH(AC4208,ctaNombre,0))&amp;"",""))</f>
        <v/>
      </c>
      <c r="AF4208" s="53">
        <f>IF(OR(P4208="",AB4208=""),"",IF(OR(P4208="Gasto",P4208="Transferencia",P4208="Pago tarjeta"),-1,1)*IF(IFERROR(INDEX(ctaMoneda,MATCH(AB4208,ctaNombre,0))&amp;"","DOP")="USD",T4208,S4208))</f>
        <v/>
      </c>
      <c r="AG4208" s="53">
        <f>IF(AC4208="","",IF(IFERROR(INDEX(ctaMoneda,MATCH(AC4208,ctaNombre,0))&amp;"","DOP")="USD",T4208,S4208))</f>
        <v/>
      </c>
      <c r="AH4208" s="53">
        <f>IF(P4208="","",IF(AND(AD4208&lt;&gt;"",COUNTIFS(tcTipo,AD4208,tcLiq,"Sí")&gt;0),IF(OR(P4208="Gasto",P4208="Transferencia",P4208="Pago tarjeta"),-1,1)*S4208,0)+IF(AND(AE4208&lt;&gt;"",COUNTIFS(tcTipo,AE4208,tcLiq,"Sí")&gt;0),S4208,0))</f>
        <v/>
      </c>
      <c r="AI4208" s="52">
        <f>IF(OR(L4208="",P4208=""),"",IF(COUNTIFS(L$6:L4208,L4208,P$6:P4208,"?*")=1,MAX(AI$5:AI4207)+1,""))</f>
        <v/>
      </c>
    </row>
    <row r="4209">
      <c r="B4209" s="47" t="n"/>
      <c r="C4209" s="48" t="n"/>
      <c r="D4209" s="48" t="n"/>
      <c r="E4209" s="48" t="n"/>
      <c r="F4209" s="48" t="n"/>
      <c r="G4209" s="49" t="n"/>
      <c r="H4209" s="48" t="n"/>
      <c r="I4209" s="50" t="n"/>
      <c r="J4209" s="48" t="n"/>
      <c r="K4209" s="48" t="n"/>
      <c r="L4209" s="48" t="n"/>
      <c r="M4209" s="48" t="n"/>
      <c r="N4209" s="48" t="n"/>
      <c r="O4209" s="51">
        <f>IF(AND(B4209="",G4209="",C4209="",D4209="",J4209=""),"",IF(B4209="","⚠ Falta fecha",IF(G4209="","⚠ Falta monto",IF(Q4209="","⚠ Falta cuenta",IF(ISNA(MATCH(Q4209,ctaNombre,0)),"⚠ Cuenta no registrada",IF(AND(OR(P4209="Gasto",P4209="Reembolso"),D4209=""),"⚠ Falta categoría",IF(AND(D4209&lt;&gt;"",E4209&lt;&gt;"",ISNA(MATCH(D4209&amp;"|"&amp;E4209,catClave,0))),"⚠ Subcategoría no corresponde",IF(AND(OR(P4209="Transferencia",P4209="Pago tarjeta"),K4209=""),"⚠ Falta cuenta destino",IF(AND(K4209&lt;&gt;"",P4209&lt;&gt;"Transferencia",P4209&lt;&gt;"Pago tarjeta"),"⚠ Destino solo aplica a transferencias",IF(AND(K4209&lt;&gt;"",K4209=Q4209),"⚠ Origen igual a destino",IF(AND(K4209&lt;&gt;"",ISNA(MATCH(K4209,ctaNombre,0))),"⚠ Destino no registrado",IF(AND(P4209="Pago tarjeta",AE4209&lt;&gt;"Tarjeta de crédito"),"⚠ El destino debe ser tarjeta de crédito",IF(AND(P4209="Gasto",E4209="Depósitos y retiros"),"⚠ Usa tipo Transferencia",IF(AND(P4209="Resultado trading",AD4209&lt;&gt;"Cuenta de trading"),"⚠ Usa una cuenta de trading",IF(AND(G4209&lt;=0,P4209&lt;&gt;"Ajuste",P4209&lt;&gt;"Resultado trading"),"⚠ El monto debe ser positivo","✓")))))))))))))))</f>
        <v/>
      </c>
      <c r="P4209" s="52">
        <f>IF(OR(B4209="",G4209=""),"",IF(C4209="","Gasto",C4209))</f>
        <v/>
      </c>
      <c r="Q4209" s="52">
        <f>IF(P4209="","",IF(J4209&lt;&gt;"",J4209,CuentaPred&amp;""))</f>
        <v/>
      </c>
      <c r="R4209" s="52">
        <f>IF(P4209="","",IF(ISNUMBER(I4209),I4209,TasaUSD))</f>
        <v/>
      </c>
      <c r="S4209" s="53">
        <f>IF(P4209="","",IF(H4209="USD",G4209*R4209,G4209))</f>
        <v/>
      </c>
      <c r="T4209" s="53">
        <f>IF(P4209="","",IF(H4209="USD",G4209,IF(R4209&gt;0,G4209/R4209,0)))</f>
        <v/>
      </c>
      <c r="U4209" s="53">
        <f>IF(P4209="","",IF(P4209="Gasto",S4209,IF(P4209="Reembolso",-S4209,0)))</f>
        <v/>
      </c>
      <c r="V4209" s="53">
        <f>IF(P4209="","",IF(P4209="Ingreso",S4209,0))</f>
        <v/>
      </c>
      <c r="W4209" s="53">
        <f>IF(P4209="","",IF(P4209="Resultado trading",S4209,0))</f>
        <v/>
      </c>
      <c r="X4209" s="52">
        <f>IF(OR(P4209="Gasto",P4209="Reembolso"),IF(M4209&lt;&gt;"",M4209,IFERROR(INDEX(catClasif,MATCH(D4209&amp;"|"&amp;E4209,catClave,0))&amp;"","Variable")),"")</f>
        <v/>
      </c>
      <c r="Y4209" s="52">
        <f>IF(P4209="","",IFERROR(INDEX(catGrupo,MATCH(D4209&amp;"|"&amp;E4209,catClave,0))&amp;"",""))</f>
        <v/>
      </c>
      <c r="Z4209" s="52">
        <f>IF(P4209="","",WEEKDAY(B4209,2))</f>
        <v/>
      </c>
      <c r="AA4209" s="52">
        <f>IF(P4209="","",IF(AND(P4209="Gasto",X4209="Variable",D4209&lt;&gt;catTrading,S4209&gt;0,S4209&lt;=Umbral),1,0))</f>
        <v/>
      </c>
      <c r="AB4209" s="52">
        <f>IF(OR(P4209="",Q4209=""),"",IFERROR(IF(INDEX(ctaVinc,MATCH(Q4209,ctaNombre,0))&amp;""&lt;&gt;"",INDEX(ctaVinc,MATCH(Q4209,ctaNombre,0))&amp;"",Q4209),Q4209))</f>
        <v/>
      </c>
      <c r="AC4209" s="52">
        <f>IF(OR(K4209="",AND(P4209&lt;&gt;"Transferencia",P4209&lt;&gt;"Pago tarjeta")),"",IFERROR(IF(INDEX(ctaVinc,MATCH(K4209,ctaNombre,0))&amp;""&lt;&gt;"",INDEX(ctaVinc,MATCH(K4209,ctaNombre,0))&amp;"",K4209),K4209))</f>
        <v/>
      </c>
      <c r="AD4209" s="52">
        <f>IF(AB4209="","",IFERROR(INDEX(ctaTipo,MATCH(AB4209,ctaNombre,0))&amp;"",""))</f>
        <v/>
      </c>
      <c r="AE4209" s="52">
        <f>IF(AC4209="","",IFERROR(INDEX(ctaTipo,MATCH(AC4209,ctaNombre,0))&amp;"",""))</f>
        <v/>
      </c>
      <c r="AF4209" s="53">
        <f>IF(OR(P4209="",AB4209=""),"",IF(OR(P4209="Gasto",P4209="Transferencia",P4209="Pago tarjeta"),-1,1)*IF(IFERROR(INDEX(ctaMoneda,MATCH(AB4209,ctaNombre,0))&amp;"","DOP")="USD",T4209,S4209))</f>
        <v/>
      </c>
      <c r="AG4209" s="53">
        <f>IF(AC4209="","",IF(IFERROR(INDEX(ctaMoneda,MATCH(AC4209,ctaNombre,0))&amp;"","DOP")="USD",T4209,S4209))</f>
        <v/>
      </c>
      <c r="AH4209" s="53">
        <f>IF(P4209="","",IF(AND(AD4209&lt;&gt;"",COUNTIFS(tcTipo,AD4209,tcLiq,"Sí")&gt;0),IF(OR(P4209="Gasto",P4209="Transferencia",P4209="Pago tarjeta"),-1,1)*S4209,0)+IF(AND(AE4209&lt;&gt;"",COUNTIFS(tcTipo,AE4209,tcLiq,"Sí")&gt;0),S4209,0))</f>
        <v/>
      </c>
      <c r="AI4209" s="52">
        <f>IF(OR(L4209="",P4209=""),"",IF(COUNTIFS(L$6:L4209,L4209,P$6:P4209,"?*")=1,MAX(AI$5:AI4208)+1,""))</f>
        <v/>
      </c>
    </row>
    <row r="4210">
      <c r="B4210" s="47" t="n"/>
      <c r="C4210" s="48" t="n"/>
      <c r="D4210" s="48" t="n"/>
      <c r="E4210" s="48" t="n"/>
      <c r="F4210" s="48" t="n"/>
      <c r="G4210" s="49" t="n"/>
      <c r="H4210" s="48" t="n"/>
      <c r="I4210" s="50" t="n"/>
      <c r="J4210" s="48" t="n"/>
      <c r="K4210" s="48" t="n"/>
      <c r="L4210" s="48" t="n"/>
      <c r="M4210" s="48" t="n"/>
      <c r="N4210" s="48" t="n"/>
      <c r="O4210" s="51">
        <f>IF(AND(B4210="",G4210="",C4210="",D4210="",J4210=""),"",IF(B4210="","⚠ Falta fecha",IF(G4210="","⚠ Falta monto",IF(Q4210="","⚠ Falta cuenta",IF(ISNA(MATCH(Q4210,ctaNombre,0)),"⚠ Cuenta no registrada",IF(AND(OR(P4210="Gasto",P4210="Reembolso"),D4210=""),"⚠ Falta categoría",IF(AND(D4210&lt;&gt;"",E4210&lt;&gt;"",ISNA(MATCH(D4210&amp;"|"&amp;E4210,catClave,0))),"⚠ Subcategoría no corresponde",IF(AND(OR(P4210="Transferencia",P4210="Pago tarjeta"),K4210=""),"⚠ Falta cuenta destino",IF(AND(K4210&lt;&gt;"",P4210&lt;&gt;"Transferencia",P4210&lt;&gt;"Pago tarjeta"),"⚠ Destino solo aplica a transferencias",IF(AND(K4210&lt;&gt;"",K4210=Q4210),"⚠ Origen igual a destino",IF(AND(K4210&lt;&gt;"",ISNA(MATCH(K4210,ctaNombre,0))),"⚠ Destino no registrado",IF(AND(P4210="Pago tarjeta",AE4210&lt;&gt;"Tarjeta de crédito"),"⚠ El destino debe ser tarjeta de crédito",IF(AND(P4210="Gasto",E4210="Depósitos y retiros"),"⚠ Usa tipo Transferencia",IF(AND(P4210="Resultado trading",AD4210&lt;&gt;"Cuenta de trading"),"⚠ Usa una cuenta de trading",IF(AND(G4210&lt;=0,P4210&lt;&gt;"Ajuste",P4210&lt;&gt;"Resultado trading"),"⚠ El monto debe ser positivo","✓")))))))))))))))</f>
        <v/>
      </c>
      <c r="P4210" s="52">
        <f>IF(OR(B4210="",G4210=""),"",IF(C4210="","Gasto",C4210))</f>
        <v/>
      </c>
      <c r="Q4210" s="52">
        <f>IF(P4210="","",IF(J4210&lt;&gt;"",J4210,CuentaPred&amp;""))</f>
        <v/>
      </c>
      <c r="R4210" s="52">
        <f>IF(P4210="","",IF(ISNUMBER(I4210),I4210,TasaUSD))</f>
        <v/>
      </c>
      <c r="S4210" s="53">
        <f>IF(P4210="","",IF(H4210="USD",G4210*R4210,G4210))</f>
        <v/>
      </c>
      <c r="T4210" s="53">
        <f>IF(P4210="","",IF(H4210="USD",G4210,IF(R4210&gt;0,G4210/R4210,0)))</f>
        <v/>
      </c>
      <c r="U4210" s="53">
        <f>IF(P4210="","",IF(P4210="Gasto",S4210,IF(P4210="Reembolso",-S4210,0)))</f>
        <v/>
      </c>
      <c r="V4210" s="53">
        <f>IF(P4210="","",IF(P4210="Ingreso",S4210,0))</f>
        <v/>
      </c>
      <c r="W4210" s="53">
        <f>IF(P4210="","",IF(P4210="Resultado trading",S4210,0))</f>
        <v/>
      </c>
      <c r="X4210" s="52">
        <f>IF(OR(P4210="Gasto",P4210="Reembolso"),IF(M4210&lt;&gt;"",M4210,IFERROR(INDEX(catClasif,MATCH(D4210&amp;"|"&amp;E4210,catClave,0))&amp;"","Variable")),"")</f>
        <v/>
      </c>
      <c r="Y4210" s="52">
        <f>IF(P4210="","",IFERROR(INDEX(catGrupo,MATCH(D4210&amp;"|"&amp;E4210,catClave,0))&amp;"",""))</f>
        <v/>
      </c>
      <c r="Z4210" s="52">
        <f>IF(P4210="","",WEEKDAY(B4210,2))</f>
        <v/>
      </c>
      <c r="AA4210" s="52">
        <f>IF(P4210="","",IF(AND(P4210="Gasto",X4210="Variable",D4210&lt;&gt;catTrading,S4210&gt;0,S4210&lt;=Umbral),1,0))</f>
        <v/>
      </c>
      <c r="AB4210" s="52">
        <f>IF(OR(P4210="",Q4210=""),"",IFERROR(IF(INDEX(ctaVinc,MATCH(Q4210,ctaNombre,0))&amp;""&lt;&gt;"",INDEX(ctaVinc,MATCH(Q4210,ctaNombre,0))&amp;"",Q4210),Q4210))</f>
        <v/>
      </c>
      <c r="AC4210" s="52">
        <f>IF(OR(K4210="",AND(P4210&lt;&gt;"Transferencia",P4210&lt;&gt;"Pago tarjeta")),"",IFERROR(IF(INDEX(ctaVinc,MATCH(K4210,ctaNombre,0))&amp;""&lt;&gt;"",INDEX(ctaVinc,MATCH(K4210,ctaNombre,0))&amp;"",K4210),K4210))</f>
        <v/>
      </c>
      <c r="AD4210" s="52">
        <f>IF(AB4210="","",IFERROR(INDEX(ctaTipo,MATCH(AB4210,ctaNombre,0))&amp;"",""))</f>
        <v/>
      </c>
      <c r="AE4210" s="52">
        <f>IF(AC4210="","",IFERROR(INDEX(ctaTipo,MATCH(AC4210,ctaNombre,0))&amp;"",""))</f>
        <v/>
      </c>
      <c r="AF4210" s="53">
        <f>IF(OR(P4210="",AB4210=""),"",IF(OR(P4210="Gasto",P4210="Transferencia",P4210="Pago tarjeta"),-1,1)*IF(IFERROR(INDEX(ctaMoneda,MATCH(AB4210,ctaNombre,0))&amp;"","DOP")="USD",T4210,S4210))</f>
        <v/>
      </c>
      <c r="AG4210" s="53">
        <f>IF(AC4210="","",IF(IFERROR(INDEX(ctaMoneda,MATCH(AC4210,ctaNombre,0))&amp;"","DOP")="USD",T4210,S4210))</f>
        <v/>
      </c>
      <c r="AH4210" s="53">
        <f>IF(P4210="","",IF(AND(AD4210&lt;&gt;"",COUNTIFS(tcTipo,AD4210,tcLiq,"Sí")&gt;0),IF(OR(P4210="Gasto",P4210="Transferencia",P4210="Pago tarjeta"),-1,1)*S4210,0)+IF(AND(AE4210&lt;&gt;"",COUNTIFS(tcTipo,AE4210,tcLiq,"Sí")&gt;0),S4210,0))</f>
        <v/>
      </c>
      <c r="AI4210" s="52">
        <f>IF(OR(L4210="",P4210=""),"",IF(COUNTIFS(L$6:L4210,L4210,P$6:P4210,"?*")=1,MAX(AI$5:AI4209)+1,""))</f>
        <v/>
      </c>
    </row>
    <row r="4211">
      <c r="B4211" s="47" t="n"/>
      <c r="C4211" s="48" t="n"/>
      <c r="D4211" s="48" t="n"/>
      <c r="E4211" s="48" t="n"/>
      <c r="F4211" s="48" t="n"/>
      <c r="G4211" s="49" t="n"/>
      <c r="H4211" s="48" t="n"/>
      <c r="I4211" s="50" t="n"/>
      <c r="J4211" s="48" t="n"/>
      <c r="K4211" s="48" t="n"/>
      <c r="L4211" s="48" t="n"/>
      <c r="M4211" s="48" t="n"/>
      <c r="N4211" s="48" t="n"/>
      <c r="O4211" s="51">
        <f>IF(AND(B4211="",G4211="",C4211="",D4211="",J4211=""),"",IF(B4211="","⚠ Falta fecha",IF(G4211="","⚠ Falta monto",IF(Q4211="","⚠ Falta cuenta",IF(ISNA(MATCH(Q4211,ctaNombre,0)),"⚠ Cuenta no registrada",IF(AND(OR(P4211="Gasto",P4211="Reembolso"),D4211=""),"⚠ Falta categoría",IF(AND(D4211&lt;&gt;"",E4211&lt;&gt;"",ISNA(MATCH(D4211&amp;"|"&amp;E4211,catClave,0))),"⚠ Subcategoría no corresponde",IF(AND(OR(P4211="Transferencia",P4211="Pago tarjeta"),K4211=""),"⚠ Falta cuenta destino",IF(AND(K4211&lt;&gt;"",P4211&lt;&gt;"Transferencia",P4211&lt;&gt;"Pago tarjeta"),"⚠ Destino solo aplica a transferencias",IF(AND(K4211&lt;&gt;"",K4211=Q4211),"⚠ Origen igual a destino",IF(AND(K4211&lt;&gt;"",ISNA(MATCH(K4211,ctaNombre,0))),"⚠ Destino no registrado",IF(AND(P4211="Pago tarjeta",AE4211&lt;&gt;"Tarjeta de crédito"),"⚠ El destino debe ser tarjeta de crédito",IF(AND(P4211="Gasto",E4211="Depósitos y retiros"),"⚠ Usa tipo Transferencia",IF(AND(P4211="Resultado trading",AD4211&lt;&gt;"Cuenta de trading"),"⚠ Usa una cuenta de trading",IF(AND(G4211&lt;=0,P4211&lt;&gt;"Ajuste",P4211&lt;&gt;"Resultado trading"),"⚠ El monto debe ser positivo","✓")))))))))))))))</f>
        <v/>
      </c>
      <c r="P4211" s="52">
        <f>IF(OR(B4211="",G4211=""),"",IF(C4211="","Gasto",C4211))</f>
        <v/>
      </c>
      <c r="Q4211" s="52">
        <f>IF(P4211="","",IF(J4211&lt;&gt;"",J4211,CuentaPred&amp;""))</f>
        <v/>
      </c>
      <c r="R4211" s="52">
        <f>IF(P4211="","",IF(ISNUMBER(I4211),I4211,TasaUSD))</f>
        <v/>
      </c>
      <c r="S4211" s="53">
        <f>IF(P4211="","",IF(H4211="USD",G4211*R4211,G4211))</f>
        <v/>
      </c>
      <c r="T4211" s="53">
        <f>IF(P4211="","",IF(H4211="USD",G4211,IF(R4211&gt;0,G4211/R4211,0)))</f>
        <v/>
      </c>
      <c r="U4211" s="53">
        <f>IF(P4211="","",IF(P4211="Gasto",S4211,IF(P4211="Reembolso",-S4211,0)))</f>
        <v/>
      </c>
      <c r="V4211" s="53">
        <f>IF(P4211="","",IF(P4211="Ingreso",S4211,0))</f>
        <v/>
      </c>
      <c r="W4211" s="53">
        <f>IF(P4211="","",IF(P4211="Resultado trading",S4211,0))</f>
        <v/>
      </c>
      <c r="X4211" s="52">
        <f>IF(OR(P4211="Gasto",P4211="Reembolso"),IF(M4211&lt;&gt;"",M4211,IFERROR(INDEX(catClasif,MATCH(D4211&amp;"|"&amp;E4211,catClave,0))&amp;"","Variable")),"")</f>
        <v/>
      </c>
      <c r="Y4211" s="52">
        <f>IF(P4211="","",IFERROR(INDEX(catGrupo,MATCH(D4211&amp;"|"&amp;E4211,catClave,0))&amp;"",""))</f>
        <v/>
      </c>
      <c r="Z4211" s="52">
        <f>IF(P4211="","",WEEKDAY(B4211,2))</f>
        <v/>
      </c>
      <c r="AA4211" s="52">
        <f>IF(P4211="","",IF(AND(P4211="Gasto",X4211="Variable",D4211&lt;&gt;catTrading,S4211&gt;0,S4211&lt;=Umbral),1,0))</f>
        <v/>
      </c>
      <c r="AB4211" s="52">
        <f>IF(OR(P4211="",Q4211=""),"",IFERROR(IF(INDEX(ctaVinc,MATCH(Q4211,ctaNombre,0))&amp;""&lt;&gt;"",INDEX(ctaVinc,MATCH(Q4211,ctaNombre,0))&amp;"",Q4211),Q4211))</f>
        <v/>
      </c>
      <c r="AC4211" s="52">
        <f>IF(OR(K4211="",AND(P4211&lt;&gt;"Transferencia",P4211&lt;&gt;"Pago tarjeta")),"",IFERROR(IF(INDEX(ctaVinc,MATCH(K4211,ctaNombre,0))&amp;""&lt;&gt;"",INDEX(ctaVinc,MATCH(K4211,ctaNombre,0))&amp;"",K4211),K4211))</f>
        <v/>
      </c>
      <c r="AD4211" s="52">
        <f>IF(AB4211="","",IFERROR(INDEX(ctaTipo,MATCH(AB4211,ctaNombre,0))&amp;"",""))</f>
        <v/>
      </c>
      <c r="AE4211" s="52">
        <f>IF(AC4211="","",IFERROR(INDEX(ctaTipo,MATCH(AC4211,ctaNombre,0))&amp;"",""))</f>
        <v/>
      </c>
      <c r="AF4211" s="53">
        <f>IF(OR(P4211="",AB4211=""),"",IF(OR(P4211="Gasto",P4211="Transferencia",P4211="Pago tarjeta"),-1,1)*IF(IFERROR(INDEX(ctaMoneda,MATCH(AB4211,ctaNombre,0))&amp;"","DOP")="USD",T4211,S4211))</f>
        <v/>
      </c>
      <c r="AG4211" s="53">
        <f>IF(AC4211="","",IF(IFERROR(INDEX(ctaMoneda,MATCH(AC4211,ctaNombre,0))&amp;"","DOP")="USD",T4211,S4211))</f>
        <v/>
      </c>
      <c r="AH4211" s="53">
        <f>IF(P4211="","",IF(AND(AD4211&lt;&gt;"",COUNTIFS(tcTipo,AD4211,tcLiq,"Sí")&gt;0),IF(OR(P4211="Gasto",P4211="Transferencia",P4211="Pago tarjeta"),-1,1)*S4211,0)+IF(AND(AE4211&lt;&gt;"",COUNTIFS(tcTipo,AE4211,tcLiq,"Sí")&gt;0),S4211,0))</f>
        <v/>
      </c>
      <c r="AI4211" s="52">
        <f>IF(OR(L4211="",P4211=""),"",IF(COUNTIFS(L$6:L4211,L4211,P$6:P4211,"?*")=1,MAX(AI$5:AI4210)+1,""))</f>
        <v/>
      </c>
    </row>
    <row r="4212">
      <c r="B4212" s="47" t="n"/>
      <c r="C4212" s="48" t="n"/>
      <c r="D4212" s="48" t="n"/>
      <c r="E4212" s="48" t="n"/>
      <c r="F4212" s="48" t="n"/>
      <c r="G4212" s="49" t="n"/>
      <c r="H4212" s="48" t="n"/>
      <c r="I4212" s="50" t="n"/>
      <c r="J4212" s="48" t="n"/>
      <c r="K4212" s="48" t="n"/>
      <c r="L4212" s="48" t="n"/>
      <c r="M4212" s="48" t="n"/>
      <c r="N4212" s="48" t="n"/>
      <c r="O4212" s="51">
        <f>IF(AND(B4212="",G4212="",C4212="",D4212="",J4212=""),"",IF(B4212="","⚠ Falta fecha",IF(G4212="","⚠ Falta monto",IF(Q4212="","⚠ Falta cuenta",IF(ISNA(MATCH(Q4212,ctaNombre,0)),"⚠ Cuenta no registrada",IF(AND(OR(P4212="Gasto",P4212="Reembolso"),D4212=""),"⚠ Falta categoría",IF(AND(D4212&lt;&gt;"",E4212&lt;&gt;"",ISNA(MATCH(D4212&amp;"|"&amp;E4212,catClave,0))),"⚠ Subcategoría no corresponde",IF(AND(OR(P4212="Transferencia",P4212="Pago tarjeta"),K4212=""),"⚠ Falta cuenta destino",IF(AND(K4212&lt;&gt;"",P4212&lt;&gt;"Transferencia",P4212&lt;&gt;"Pago tarjeta"),"⚠ Destino solo aplica a transferencias",IF(AND(K4212&lt;&gt;"",K4212=Q4212),"⚠ Origen igual a destino",IF(AND(K4212&lt;&gt;"",ISNA(MATCH(K4212,ctaNombre,0))),"⚠ Destino no registrado",IF(AND(P4212="Pago tarjeta",AE4212&lt;&gt;"Tarjeta de crédito"),"⚠ El destino debe ser tarjeta de crédito",IF(AND(P4212="Gasto",E4212="Depósitos y retiros"),"⚠ Usa tipo Transferencia",IF(AND(P4212="Resultado trading",AD4212&lt;&gt;"Cuenta de trading"),"⚠ Usa una cuenta de trading",IF(AND(G4212&lt;=0,P4212&lt;&gt;"Ajuste",P4212&lt;&gt;"Resultado trading"),"⚠ El monto debe ser positivo","✓")))))))))))))))</f>
        <v/>
      </c>
      <c r="P4212" s="52">
        <f>IF(OR(B4212="",G4212=""),"",IF(C4212="","Gasto",C4212))</f>
        <v/>
      </c>
      <c r="Q4212" s="52">
        <f>IF(P4212="","",IF(J4212&lt;&gt;"",J4212,CuentaPred&amp;""))</f>
        <v/>
      </c>
      <c r="R4212" s="52">
        <f>IF(P4212="","",IF(ISNUMBER(I4212),I4212,TasaUSD))</f>
        <v/>
      </c>
      <c r="S4212" s="53">
        <f>IF(P4212="","",IF(H4212="USD",G4212*R4212,G4212))</f>
        <v/>
      </c>
      <c r="T4212" s="53">
        <f>IF(P4212="","",IF(H4212="USD",G4212,IF(R4212&gt;0,G4212/R4212,0)))</f>
        <v/>
      </c>
      <c r="U4212" s="53">
        <f>IF(P4212="","",IF(P4212="Gasto",S4212,IF(P4212="Reembolso",-S4212,0)))</f>
        <v/>
      </c>
      <c r="V4212" s="53">
        <f>IF(P4212="","",IF(P4212="Ingreso",S4212,0))</f>
        <v/>
      </c>
      <c r="W4212" s="53">
        <f>IF(P4212="","",IF(P4212="Resultado trading",S4212,0))</f>
        <v/>
      </c>
      <c r="X4212" s="52">
        <f>IF(OR(P4212="Gasto",P4212="Reembolso"),IF(M4212&lt;&gt;"",M4212,IFERROR(INDEX(catClasif,MATCH(D4212&amp;"|"&amp;E4212,catClave,0))&amp;"","Variable")),"")</f>
        <v/>
      </c>
      <c r="Y4212" s="52">
        <f>IF(P4212="","",IFERROR(INDEX(catGrupo,MATCH(D4212&amp;"|"&amp;E4212,catClave,0))&amp;"",""))</f>
        <v/>
      </c>
      <c r="Z4212" s="52">
        <f>IF(P4212="","",WEEKDAY(B4212,2))</f>
        <v/>
      </c>
      <c r="AA4212" s="52">
        <f>IF(P4212="","",IF(AND(P4212="Gasto",X4212="Variable",D4212&lt;&gt;catTrading,S4212&gt;0,S4212&lt;=Umbral),1,0))</f>
        <v/>
      </c>
      <c r="AB4212" s="52">
        <f>IF(OR(P4212="",Q4212=""),"",IFERROR(IF(INDEX(ctaVinc,MATCH(Q4212,ctaNombre,0))&amp;""&lt;&gt;"",INDEX(ctaVinc,MATCH(Q4212,ctaNombre,0))&amp;"",Q4212),Q4212))</f>
        <v/>
      </c>
      <c r="AC4212" s="52">
        <f>IF(OR(K4212="",AND(P4212&lt;&gt;"Transferencia",P4212&lt;&gt;"Pago tarjeta")),"",IFERROR(IF(INDEX(ctaVinc,MATCH(K4212,ctaNombre,0))&amp;""&lt;&gt;"",INDEX(ctaVinc,MATCH(K4212,ctaNombre,0))&amp;"",K4212),K4212))</f>
        <v/>
      </c>
      <c r="AD4212" s="52">
        <f>IF(AB4212="","",IFERROR(INDEX(ctaTipo,MATCH(AB4212,ctaNombre,0))&amp;"",""))</f>
        <v/>
      </c>
      <c r="AE4212" s="52">
        <f>IF(AC4212="","",IFERROR(INDEX(ctaTipo,MATCH(AC4212,ctaNombre,0))&amp;"",""))</f>
        <v/>
      </c>
      <c r="AF4212" s="53">
        <f>IF(OR(P4212="",AB4212=""),"",IF(OR(P4212="Gasto",P4212="Transferencia",P4212="Pago tarjeta"),-1,1)*IF(IFERROR(INDEX(ctaMoneda,MATCH(AB4212,ctaNombre,0))&amp;"","DOP")="USD",T4212,S4212))</f>
        <v/>
      </c>
      <c r="AG4212" s="53">
        <f>IF(AC4212="","",IF(IFERROR(INDEX(ctaMoneda,MATCH(AC4212,ctaNombre,0))&amp;"","DOP")="USD",T4212,S4212))</f>
        <v/>
      </c>
      <c r="AH4212" s="53">
        <f>IF(P4212="","",IF(AND(AD4212&lt;&gt;"",COUNTIFS(tcTipo,AD4212,tcLiq,"Sí")&gt;0),IF(OR(P4212="Gasto",P4212="Transferencia",P4212="Pago tarjeta"),-1,1)*S4212,0)+IF(AND(AE4212&lt;&gt;"",COUNTIFS(tcTipo,AE4212,tcLiq,"Sí")&gt;0),S4212,0))</f>
        <v/>
      </c>
      <c r="AI4212" s="52">
        <f>IF(OR(L4212="",P4212=""),"",IF(COUNTIFS(L$6:L4212,L4212,P$6:P4212,"?*")=1,MAX(AI$5:AI4211)+1,""))</f>
        <v/>
      </c>
    </row>
    <row r="4213">
      <c r="B4213" s="47" t="n"/>
      <c r="C4213" s="48" t="n"/>
      <c r="D4213" s="48" t="n"/>
      <c r="E4213" s="48" t="n"/>
      <c r="F4213" s="48" t="n"/>
      <c r="G4213" s="49" t="n"/>
      <c r="H4213" s="48" t="n"/>
      <c r="I4213" s="50" t="n"/>
      <c r="J4213" s="48" t="n"/>
      <c r="K4213" s="48" t="n"/>
      <c r="L4213" s="48" t="n"/>
      <c r="M4213" s="48" t="n"/>
      <c r="N4213" s="48" t="n"/>
      <c r="O4213" s="51">
        <f>IF(AND(B4213="",G4213="",C4213="",D4213="",J4213=""),"",IF(B4213="","⚠ Falta fecha",IF(G4213="","⚠ Falta monto",IF(Q4213="","⚠ Falta cuenta",IF(ISNA(MATCH(Q4213,ctaNombre,0)),"⚠ Cuenta no registrada",IF(AND(OR(P4213="Gasto",P4213="Reembolso"),D4213=""),"⚠ Falta categoría",IF(AND(D4213&lt;&gt;"",E4213&lt;&gt;"",ISNA(MATCH(D4213&amp;"|"&amp;E4213,catClave,0))),"⚠ Subcategoría no corresponde",IF(AND(OR(P4213="Transferencia",P4213="Pago tarjeta"),K4213=""),"⚠ Falta cuenta destino",IF(AND(K4213&lt;&gt;"",P4213&lt;&gt;"Transferencia",P4213&lt;&gt;"Pago tarjeta"),"⚠ Destino solo aplica a transferencias",IF(AND(K4213&lt;&gt;"",K4213=Q4213),"⚠ Origen igual a destino",IF(AND(K4213&lt;&gt;"",ISNA(MATCH(K4213,ctaNombre,0))),"⚠ Destino no registrado",IF(AND(P4213="Pago tarjeta",AE4213&lt;&gt;"Tarjeta de crédito"),"⚠ El destino debe ser tarjeta de crédito",IF(AND(P4213="Gasto",E4213="Depósitos y retiros"),"⚠ Usa tipo Transferencia",IF(AND(P4213="Resultado trading",AD4213&lt;&gt;"Cuenta de trading"),"⚠ Usa una cuenta de trading",IF(AND(G4213&lt;=0,P4213&lt;&gt;"Ajuste",P4213&lt;&gt;"Resultado trading"),"⚠ El monto debe ser positivo","✓")))))))))))))))</f>
        <v/>
      </c>
      <c r="P4213" s="52">
        <f>IF(OR(B4213="",G4213=""),"",IF(C4213="","Gasto",C4213))</f>
        <v/>
      </c>
      <c r="Q4213" s="52">
        <f>IF(P4213="","",IF(J4213&lt;&gt;"",J4213,CuentaPred&amp;""))</f>
        <v/>
      </c>
      <c r="R4213" s="52">
        <f>IF(P4213="","",IF(ISNUMBER(I4213),I4213,TasaUSD))</f>
        <v/>
      </c>
      <c r="S4213" s="53">
        <f>IF(P4213="","",IF(H4213="USD",G4213*R4213,G4213))</f>
        <v/>
      </c>
      <c r="T4213" s="53">
        <f>IF(P4213="","",IF(H4213="USD",G4213,IF(R4213&gt;0,G4213/R4213,0)))</f>
        <v/>
      </c>
      <c r="U4213" s="53">
        <f>IF(P4213="","",IF(P4213="Gasto",S4213,IF(P4213="Reembolso",-S4213,0)))</f>
        <v/>
      </c>
      <c r="V4213" s="53">
        <f>IF(P4213="","",IF(P4213="Ingreso",S4213,0))</f>
        <v/>
      </c>
      <c r="W4213" s="53">
        <f>IF(P4213="","",IF(P4213="Resultado trading",S4213,0))</f>
        <v/>
      </c>
      <c r="X4213" s="52">
        <f>IF(OR(P4213="Gasto",P4213="Reembolso"),IF(M4213&lt;&gt;"",M4213,IFERROR(INDEX(catClasif,MATCH(D4213&amp;"|"&amp;E4213,catClave,0))&amp;"","Variable")),"")</f>
        <v/>
      </c>
      <c r="Y4213" s="52">
        <f>IF(P4213="","",IFERROR(INDEX(catGrupo,MATCH(D4213&amp;"|"&amp;E4213,catClave,0))&amp;"",""))</f>
        <v/>
      </c>
      <c r="Z4213" s="52">
        <f>IF(P4213="","",WEEKDAY(B4213,2))</f>
        <v/>
      </c>
      <c r="AA4213" s="52">
        <f>IF(P4213="","",IF(AND(P4213="Gasto",X4213="Variable",D4213&lt;&gt;catTrading,S4213&gt;0,S4213&lt;=Umbral),1,0))</f>
        <v/>
      </c>
      <c r="AB4213" s="52">
        <f>IF(OR(P4213="",Q4213=""),"",IFERROR(IF(INDEX(ctaVinc,MATCH(Q4213,ctaNombre,0))&amp;""&lt;&gt;"",INDEX(ctaVinc,MATCH(Q4213,ctaNombre,0))&amp;"",Q4213),Q4213))</f>
        <v/>
      </c>
      <c r="AC4213" s="52">
        <f>IF(OR(K4213="",AND(P4213&lt;&gt;"Transferencia",P4213&lt;&gt;"Pago tarjeta")),"",IFERROR(IF(INDEX(ctaVinc,MATCH(K4213,ctaNombre,0))&amp;""&lt;&gt;"",INDEX(ctaVinc,MATCH(K4213,ctaNombre,0))&amp;"",K4213),K4213))</f>
        <v/>
      </c>
      <c r="AD4213" s="52">
        <f>IF(AB4213="","",IFERROR(INDEX(ctaTipo,MATCH(AB4213,ctaNombre,0))&amp;"",""))</f>
        <v/>
      </c>
      <c r="AE4213" s="52">
        <f>IF(AC4213="","",IFERROR(INDEX(ctaTipo,MATCH(AC4213,ctaNombre,0))&amp;"",""))</f>
        <v/>
      </c>
      <c r="AF4213" s="53">
        <f>IF(OR(P4213="",AB4213=""),"",IF(OR(P4213="Gasto",P4213="Transferencia",P4213="Pago tarjeta"),-1,1)*IF(IFERROR(INDEX(ctaMoneda,MATCH(AB4213,ctaNombre,0))&amp;"","DOP")="USD",T4213,S4213))</f>
        <v/>
      </c>
      <c r="AG4213" s="53">
        <f>IF(AC4213="","",IF(IFERROR(INDEX(ctaMoneda,MATCH(AC4213,ctaNombre,0))&amp;"","DOP")="USD",T4213,S4213))</f>
        <v/>
      </c>
      <c r="AH4213" s="53">
        <f>IF(P4213="","",IF(AND(AD4213&lt;&gt;"",COUNTIFS(tcTipo,AD4213,tcLiq,"Sí")&gt;0),IF(OR(P4213="Gasto",P4213="Transferencia",P4213="Pago tarjeta"),-1,1)*S4213,0)+IF(AND(AE4213&lt;&gt;"",COUNTIFS(tcTipo,AE4213,tcLiq,"Sí")&gt;0),S4213,0))</f>
        <v/>
      </c>
      <c r="AI4213" s="52">
        <f>IF(OR(L4213="",P4213=""),"",IF(COUNTIFS(L$6:L4213,L4213,P$6:P4213,"?*")=1,MAX(AI$5:AI4212)+1,""))</f>
        <v/>
      </c>
    </row>
    <row r="4214">
      <c r="B4214" s="47" t="n"/>
      <c r="C4214" s="48" t="n"/>
      <c r="D4214" s="48" t="n"/>
      <c r="E4214" s="48" t="n"/>
      <c r="F4214" s="48" t="n"/>
      <c r="G4214" s="49" t="n"/>
      <c r="H4214" s="48" t="n"/>
      <c r="I4214" s="50" t="n"/>
      <c r="J4214" s="48" t="n"/>
      <c r="K4214" s="48" t="n"/>
      <c r="L4214" s="48" t="n"/>
      <c r="M4214" s="48" t="n"/>
      <c r="N4214" s="48" t="n"/>
      <c r="O4214" s="51">
        <f>IF(AND(B4214="",G4214="",C4214="",D4214="",J4214=""),"",IF(B4214="","⚠ Falta fecha",IF(G4214="","⚠ Falta monto",IF(Q4214="","⚠ Falta cuenta",IF(ISNA(MATCH(Q4214,ctaNombre,0)),"⚠ Cuenta no registrada",IF(AND(OR(P4214="Gasto",P4214="Reembolso"),D4214=""),"⚠ Falta categoría",IF(AND(D4214&lt;&gt;"",E4214&lt;&gt;"",ISNA(MATCH(D4214&amp;"|"&amp;E4214,catClave,0))),"⚠ Subcategoría no corresponde",IF(AND(OR(P4214="Transferencia",P4214="Pago tarjeta"),K4214=""),"⚠ Falta cuenta destino",IF(AND(K4214&lt;&gt;"",P4214&lt;&gt;"Transferencia",P4214&lt;&gt;"Pago tarjeta"),"⚠ Destino solo aplica a transferencias",IF(AND(K4214&lt;&gt;"",K4214=Q4214),"⚠ Origen igual a destino",IF(AND(K4214&lt;&gt;"",ISNA(MATCH(K4214,ctaNombre,0))),"⚠ Destino no registrado",IF(AND(P4214="Pago tarjeta",AE4214&lt;&gt;"Tarjeta de crédito"),"⚠ El destino debe ser tarjeta de crédito",IF(AND(P4214="Gasto",E4214="Depósitos y retiros"),"⚠ Usa tipo Transferencia",IF(AND(P4214="Resultado trading",AD4214&lt;&gt;"Cuenta de trading"),"⚠ Usa una cuenta de trading",IF(AND(G4214&lt;=0,P4214&lt;&gt;"Ajuste",P4214&lt;&gt;"Resultado trading"),"⚠ El monto debe ser positivo","✓")))))))))))))))</f>
        <v/>
      </c>
      <c r="P4214" s="52">
        <f>IF(OR(B4214="",G4214=""),"",IF(C4214="","Gasto",C4214))</f>
        <v/>
      </c>
      <c r="Q4214" s="52">
        <f>IF(P4214="","",IF(J4214&lt;&gt;"",J4214,CuentaPred&amp;""))</f>
        <v/>
      </c>
      <c r="R4214" s="52">
        <f>IF(P4214="","",IF(ISNUMBER(I4214),I4214,TasaUSD))</f>
        <v/>
      </c>
      <c r="S4214" s="53">
        <f>IF(P4214="","",IF(H4214="USD",G4214*R4214,G4214))</f>
        <v/>
      </c>
      <c r="T4214" s="53">
        <f>IF(P4214="","",IF(H4214="USD",G4214,IF(R4214&gt;0,G4214/R4214,0)))</f>
        <v/>
      </c>
      <c r="U4214" s="53">
        <f>IF(P4214="","",IF(P4214="Gasto",S4214,IF(P4214="Reembolso",-S4214,0)))</f>
        <v/>
      </c>
      <c r="V4214" s="53">
        <f>IF(P4214="","",IF(P4214="Ingreso",S4214,0))</f>
        <v/>
      </c>
      <c r="W4214" s="53">
        <f>IF(P4214="","",IF(P4214="Resultado trading",S4214,0))</f>
        <v/>
      </c>
      <c r="X4214" s="52">
        <f>IF(OR(P4214="Gasto",P4214="Reembolso"),IF(M4214&lt;&gt;"",M4214,IFERROR(INDEX(catClasif,MATCH(D4214&amp;"|"&amp;E4214,catClave,0))&amp;"","Variable")),"")</f>
        <v/>
      </c>
      <c r="Y4214" s="52">
        <f>IF(P4214="","",IFERROR(INDEX(catGrupo,MATCH(D4214&amp;"|"&amp;E4214,catClave,0))&amp;"",""))</f>
        <v/>
      </c>
      <c r="Z4214" s="52">
        <f>IF(P4214="","",WEEKDAY(B4214,2))</f>
        <v/>
      </c>
      <c r="AA4214" s="52">
        <f>IF(P4214="","",IF(AND(P4214="Gasto",X4214="Variable",D4214&lt;&gt;catTrading,S4214&gt;0,S4214&lt;=Umbral),1,0))</f>
        <v/>
      </c>
      <c r="AB4214" s="52">
        <f>IF(OR(P4214="",Q4214=""),"",IFERROR(IF(INDEX(ctaVinc,MATCH(Q4214,ctaNombre,0))&amp;""&lt;&gt;"",INDEX(ctaVinc,MATCH(Q4214,ctaNombre,0))&amp;"",Q4214),Q4214))</f>
        <v/>
      </c>
      <c r="AC4214" s="52">
        <f>IF(OR(K4214="",AND(P4214&lt;&gt;"Transferencia",P4214&lt;&gt;"Pago tarjeta")),"",IFERROR(IF(INDEX(ctaVinc,MATCH(K4214,ctaNombre,0))&amp;""&lt;&gt;"",INDEX(ctaVinc,MATCH(K4214,ctaNombre,0))&amp;"",K4214),K4214))</f>
        <v/>
      </c>
      <c r="AD4214" s="52">
        <f>IF(AB4214="","",IFERROR(INDEX(ctaTipo,MATCH(AB4214,ctaNombre,0))&amp;"",""))</f>
        <v/>
      </c>
      <c r="AE4214" s="52">
        <f>IF(AC4214="","",IFERROR(INDEX(ctaTipo,MATCH(AC4214,ctaNombre,0))&amp;"",""))</f>
        <v/>
      </c>
      <c r="AF4214" s="53">
        <f>IF(OR(P4214="",AB4214=""),"",IF(OR(P4214="Gasto",P4214="Transferencia",P4214="Pago tarjeta"),-1,1)*IF(IFERROR(INDEX(ctaMoneda,MATCH(AB4214,ctaNombre,0))&amp;"","DOP")="USD",T4214,S4214))</f>
        <v/>
      </c>
      <c r="AG4214" s="53">
        <f>IF(AC4214="","",IF(IFERROR(INDEX(ctaMoneda,MATCH(AC4214,ctaNombre,0))&amp;"","DOP")="USD",T4214,S4214))</f>
        <v/>
      </c>
      <c r="AH4214" s="53">
        <f>IF(P4214="","",IF(AND(AD4214&lt;&gt;"",COUNTIFS(tcTipo,AD4214,tcLiq,"Sí")&gt;0),IF(OR(P4214="Gasto",P4214="Transferencia",P4214="Pago tarjeta"),-1,1)*S4214,0)+IF(AND(AE4214&lt;&gt;"",COUNTIFS(tcTipo,AE4214,tcLiq,"Sí")&gt;0),S4214,0))</f>
        <v/>
      </c>
      <c r="AI4214" s="52">
        <f>IF(OR(L4214="",P4214=""),"",IF(COUNTIFS(L$6:L4214,L4214,P$6:P4214,"?*")=1,MAX(AI$5:AI4213)+1,""))</f>
        <v/>
      </c>
    </row>
    <row r="4215">
      <c r="B4215" s="47" t="n"/>
      <c r="C4215" s="48" t="n"/>
      <c r="D4215" s="48" t="n"/>
      <c r="E4215" s="48" t="n"/>
      <c r="F4215" s="48" t="n"/>
      <c r="G4215" s="49" t="n"/>
      <c r="H4215" s="48" t="n"/>
      <c r="I4215" s="50" t="n"/>
      <c r="J4215" s="48" t="n"/>
      <c r="K4215" s="48" t="n"/>
      <c r="L4215" s="48" t="n"/>
      <c r="M4215" s="48" t="n"/>
      <c r="N4215" s="48" t="n"/>
      <c r="O4215" s="51">
        <f>IF(AND(B4215="",G4215="",C4215="",D4215="",J4215=""),"",IF(B4215="","⚠ Falta fecha",IF(G4215="","⚠ Falta monto",IF(Q4215="","⚠ Falta cuenta",IF(ISNA(MATCH(Q4215,ctaNombre,0)),"⚠ Cuenta no registrada",IF(AND(OR(P4215="Gasto",P4215="Reembolso"),D4215=""),"⚠ Falta categoría",IF(AND(D4215&lt;&gt;"",E4215&lt;&gt;"",ISNA(MATCH(D4215&amp;"|"&amp;E4215,catClave,0))),"⚠ Subcategoría no corresponde",IF(AND(OR(P4215="Transferencia",P4215="Pago tarjeta"),K4215=""),"⚠ Falta cuenta destino",IF(AND(K4215&lt;&gt;"",P4215&lt;&gt;"Transferencia",P4215&lt;&gt;"Pago tarjeta"),"⚠ Destino solo aplica a transferencias",IF(AND(K4215&lt;&gt;"",K4215=Q4215),"⚠ Origen igual a destino",IF(AND(K4215&lt;&gt;"",ISNA(MATCH(K4215,ctaNombre,0))),"⚠ Destino no registrado",IF(AND(P4215="Pago tarjeta",AE4215&lt;&gt;"Tarjeta de crédito"),"⚠ El destino debe ser tarjeta de crédito",IF(AND(P4215="Gasto",E4215="Depósitos y retiros"),"⚠ Usa tipo Transferencia",IF(AND(P4215="Resultado trading",AD4215&lt;&gt;"Cuenta de trading"),"⚠ Usa una cuenta de trading",IF(AND(G4215&lt;=0,P4215&lt;&gt;"Ajuste",P4215&lt;&gt;"Resultado trading"),"⚠ El monto debe ser positivo","✓")))))))))))))))</f>
        <v/>
      </c>
      <c r="P4215" s="52">
        <f>IF(OR(B4215="",G4215=""),"",IF(C4215="","Gasto",C4215))</f>
        <v/>
      </c>
      <c r="Q4215" s="52">
        <f>IF(P4215="","",IF(J4215&lt;&gt;"",J4215,CuentaPred&amp;""))</f>
        <v/>
      </c>
      <c r="R4215" s="52">
        <f>IF(P4215="","",IF(ISNUMBER(I4215),I4215,TasaUSD))</f>
        <v/>
      </c>
      <c r="S4215" s="53">
        <f>IF(P4215="","",IF(H4215="USD",G4215*R4215,G4215))</f>
        <v/>
      </c>
      <c r="T4215" s="53">
        <f>IF(P4215="","",IF(H4215="USD",G4215,IF(R4215&gt;0,G4215/R4215,0)))</f>
        <v/>
      </c>
      <c r="U4215" s="53">
        <f>IF(P4215="","",IF(P4215="Gasto",S4215,IF(P4215="Reembolso",-S4215,0)))</f>
        <v/>
      </c>
      <c r="V4215" s="53">
        <f>IF(P4215="","",IF(P4215="Ingreso",S4215,0))</f>
        <v/>
      </c>
      <c r="W4215" s="53">
        <f>IF(P4215="","",IF(P4215="Resultado trading",S4215,0))</f>
        <v/>
      </c>
      <c r="X4215" s="52">
        <f>IF(OR(P4215="Gasto",P4215="Reembolso"),IF(M4215&lt;&gt;"",M4215,IFERROR(INDEX(catClasif,MATCH(D4215&amp;"|"&amp;E4215,catClave,0))&amp;"","Variable")),"")</f>
        <v/>
      </c>
      <c r="Y4215" s="52">
        <f>IF(P4215="","",IFERROR(INDEX(catGrupo,MATCH(D4215&amp;"|"&amp;E4215,catClave,0))&amp;"",""))</f>
        <v/>
      </c>
      <c r="Z4215" s="52">
        <f>IF(P4215="","",WEEKDAY(B4215,2))</f>
        <v/>
      </c>
      <c r="AA4215" s="52">
        <f>IF(P4215="","",IF(AND(P4215="Gasto",X4215="Variable",D4215&lt;&gt;catTrading,S4215&gt;0,S4215&lt;=Umbral),1,0))</f>
        <v/>
      </c>
      <c r="AB4215" s="52">
        <f>IF(OR(P4215="",Q4215=""),"",IFERROR(IF(INDEX(ctaVinc,MATCH(Q4215,ctaNombre,0))&amp;""&lt;&gt;"",INDEX(ctaVinc,MATCH(Q4215,ctaNombre,0))&amp;"",Q4215),Q4215))</f>
        <v/>
      </c>
      <c r="AC4215" s="52">
        <f>IF(OR(K4215="",AND(P4215&lt;&gt;"Transferencia",P4215&lt;&gt;"Pago tarjeta")),"",IFERROR(IF(INDEX(ctaVinc,MATCH(K4215,ctaNombre,0))&amp;""&lt;&gt;"",INDEX(ctaVinc,MATCH(K4215,ctaNombre,0))&amp;"",K4215),K4215))</f>
        <v/>
      </c>
      <c r="AD4215" s="52">
        <f>IF(AB4215="","",IFERROR(INDEX(ctaTipo,MATCH(AB4215,ctaNombre,0))&amp;"",""))</f>
        <v/>
      </c>
      <c r="AE4215" s="52">
        <f>IF(AC4215="","",IFERROR(INDEX(ctaTipo,MATCH(AC4215,ctaNombre,0))&amp;"",""))</f>
        <v/>
      </c>
      <c r="AF4215" s="53">
        <f>IF(OR(P4215="",AB4215=""),"",IF(OR(P4215="Gasto",P4215="Transferencia",P4215="Pago tarjeta"),-1,1)*IF(IFERROR(INDEX(ctaMoneda,MATCH(AB4215,ctaNombre,0))&amp;"","DOP")="USD",T4215,S4215))</f>
        <v/>
      </c>
      <c r="AG4215" s="53">
        <f>IF(AC4215="","",IF(IFERROR(INDEX(ctaMoneda,MATCH(AC4215,ctaNombre,0))&amp;"","DOP")="USD",T4215,S4215))</f>
        <v/>
      </c>
      <c r="AH4215" s="53">
        <f>IF(P4215="","",IF(AND(AD4215&lt;&gt;"",COUNTIFS(tcTipo,AD4215,tcLiq,"Sí")&gt;0),IF(OR(P4215="Gasto",P4215="Transferencia",P4215="Pago tarjeta"),-1,1)*S4215,0)+IF(AND(AE4215&lt;&gt;"",COUNTIFS(tcTipo,AE4215,tcLiq,"Sí")&gt;0),S4215,0))</f>
        <v/>
      </c>
      <c r="AI4215" s="52">
        <f>IF(OR(L4215="",P4215=""),"",IF(COUNTIFS(L$6:L4215,L4215,P$6:P4215,"?*")=1,MAX(AI$5:AI4214)+1,""))</f>
        <v/>
      </c>
    </row>
    <row r="4216">
      <c r="B4216" s="47" t="n"/>
      <c r="C4216" s="48" t="n"/>
      <c r="D4216" s="48" t="n"/>
      <c r="E4216" s="48" t="n"/>
      <c r="F4216" s="48" t="n"/>
      <c r="G4216" s="49" t="n"/>
      <c r="H4216" s="48" t="n"/>
      <c r="I4216" s="50" t="n"/>
      <c r="J4216" s="48" t="n"/>
      <c r="K4216" s="48" t="n"/>
      <c r="L4216" s="48" t="n"/>
      <c r="M4216" s="48" t="n"/>
      <c r="N4216" s="48" t="n"/>
      <c r="O4216" s="51">
        <f>IF(AND(B4216="",G4216="",C4216="",D4216="",J4216=""),"",IF(B4216="","⚠ Falta fecha",IF(G4216="","⚠ Falta monto",IF(Q4216="","⚠ Falta cuenta",IF(ISNA(MATCH(Q4216,ctaNombre,0)),"⚠ Cuenta no registrada",IF(AND(OR(P4216="Gasto",P4216="Reembolso"),D4216=""),"⚠ Falta categoría",IF(AND(D4216&lt;&gt;"",E4216&lt;&gt;"",ISNA(MATCH(D4216&amp;"|"&amp;E4216,catClave,0))),"⚠ Subcategoría no corresponde",IF(AND(OR(P4216="Transferencia",P4216="Pago tarjeta"),K4216=""),"⚠ Falta cuenta destino",IF(AND(K4216&lt;&gt;"",P4216&lt;&gt;"Transferencia",P4216&lt;&gt;"Pago tarjeta"),"⚠ Destino solo aplica a transferencias",IF(AND(K4216&lt;&gt;"",K4216=Q4216),"⚠ Origen igual a destino",IF(AND(K4216&lt;&gt;"",ISNA(MATCH(K4216,ctaNombre,0))),"⚠ Destino no registrado",IF(AND(P4216="Pago tarjeta",AE4216&lt;&gt;"Tarjeta de crédito"),"⚠ El destino debe ser tarjeta de crédito",IF(AND(P4216="Gasto",E4216="Depósitos y retiros"),"⚠ Usa tipo Transferencia",IF(AND(P4216="Resultado trading",AD4216&lt;&gt;"Cuenta de trading"),"⚠ Usa una cuenta de trading",IF(AND(G4216&lt;=0,P4216&lt;&gt;"Ajuste",P4216&lt;&gt;"Resultado trading"),"⚠ El monto debe ser positivo","✓")))))))))))))))</f>
        <v/>
      </c>
      <c r="P4216" s="52">
        <f>IF(OR(B4216="",G4216=""),"",IF(C4216="","Gasto",C4216))</f>
        <v/>
      </c>
      <c r="Q4216" s="52">
        <f>IF(P4216="","",IF(J4216&lt;&gt;"",J4216,CuentaPred&amp;""))</f>
        <v/>
      </c>
      <c r="R4216" s="52">
        <f>IF(P4216="","",IF(ISNUMBER(I4216),I4216,TasaUSD))</f>
        <v/>
      </c>
      <c r="S4216" s="53">
        <f>IF(P4216="","",IF(H4216="USD",G4216*R4216,G4216))</f>
        <v/>
      </c>
      <c r="T4216" s="53">
        <f>IF(P4216="","",IF(H4216="USD",G4216,IF(R4216&gt;0,G4216/R4216,0)))</f>
        <v/>
      </c>
      <c r="U4216" s="53">
        <f>IF(P4216="","",IF(P4216="Gasto",S4216,IF(P4216="Reembolso",-S4216,0)))</f>
        <v/>
      </c>
      <c r="V4216" s="53">
        <f>IF(P4216="","",IF(P4216="Ingreso",S4216,0))</f>
        <v/>
      </c>
      <c r="W4216" s="53">
        <f>IF(P4216="","",IF(P4216="Resultado trading",S4216,0))</f>
        <v/>
      </c>
      <c r="X4216" s="52">
        <f>IF(OR(P4216="Gasto",P4216="Reembolso"),IF(M4216&lt;&gt;"",M4216,IFERROR(INDEX(catClasif,MATCH(D4216&amp;"|"&amp;E4216,catClave,0))&amp;"","Variable")),"")</f>
        <v/>
      </c>
      <c r="Y4216" s="52">
        <f>IF(P4216="","",IFERROR(INDEX(catGrupo,MATCH(D4216&amp;"|"&amp;E4216,catClave,0))&amp;"",""))</f>
        <v/>
      </c>
      <c r="Z4216" s="52">
        <f>IF(P4216="","",WEEKDAY(B4216,2))</f>
        <v/>
      </c>
      <c r="AA4216" s="52">
        <f>IF(P4216="","",IF(AND(P4216="Gasto",X4216="Variable",D4216&lt;&gt;catTrading,S4216&gt;0,S4216&lt;=Umbral),1,0))</f>
        <v/>
      </c>
      <c r="AB4216" s="52">
        <f>IF(OR(P4216="",Q4216=""),"",IFERROR(IF(INDEX(ctaVinc,MATCH(Q4216,ctaNombre,0))&amp;""&lt;&gt;"",INDEX(ctaVinc,MATCH(Q4216,ctaNombre,0))&amp;"",Q4216),Q4216))</f>
        <v/>
      </c>
      <c r="AC4216" s="52">
        <f>IF(OR(K4216="",AND(P4216&lt;&gt;"Transferencia",P4216&lt;&gt;"Pago tarjeta")),"",IFERROR(IF(INDEX(ctaVinc,MATCH(K4216,ctaNombre,0))&amp;""&lt;&gt;"",INDEX(ctaVinc,MATCH(K4216,ctaNombre,0))&amp;"",K4216),K4216))</f>
        <v/>
      </c>
      <c r="AD4216" s="52">
        <f>IF(AB4216="","",IFERROR(INDEX(ctaTipo,MATCH(AB4216,ctaNombre,0))&amp;"",""))</f>
        <v/>
      </c>
      <c r="AE4216" s="52">
        <f>IF(AC4216="","",IFERROR(INDEX(ctaTipo,MATCH(AC4216,ctaNombre,0))&amp;"",""))</f>
        <v/>
      </c>
      <c r="AF4216" s="53">
        <f>IF(OR(P4216="",AB4216=""),"",IF(OR(P4216="Gasto",P4216="Transferencia",P4216="Pago tarjeta"),-1,1)*IF(IFERROR(INDEX(ctaMoneda,MATCH(AB4216,ctaNombre,0))&amp;"","DOP")="USD",T4216,S4216))</f>
        <v/>
      </c>
      <c r="AG4216" s="53">
        <f>IF(AC4216="","",IF(IFERROR(INDEX(ctaMoneda,MATCH(AC4216,ctaNombre,0))&amp;"","DOP")="USD",T4216,S4216))</f>
        <v/>
      </c>
      <c r="AH4216" s="53">
        <f>IF(P4216="","",IF(AND(AD4216&lt;&gt;"",COUNTIFS(tcTipo,AD4216,tcLiq,"Sí")&gt;0),IF(OR(P4216="Gasto",P4216="Transferencia",P4216="Pago tarjeta"),-1,1)*S4216,0)+IF(AND(AE4216&lt;&gt;"",COUNTIFS(tcTipo,AE4216,tcLiq,"Sí")&gt;0),S4216,0))</f>
        <v/>
      </c>
      <c r="AI4216" s="52">
        <f>IF(OR(L4216="",P4216=""),"",IF(COUNTIFS(L$6:L4216,L4216,P$6:P4216,"?*")=1,MAX(AI$5:AI4215)+1,""))</f>
        <v/>
      </c>
    </row>
    <row r="4217">
      <c r="B4217" s="47" t="n"/>
      <c r="C4217" s="48" t="n"/>
      <c r="D4217" s="48" t="n"/>
      <c r="E4217" s="48" t="n"/>
      <c r="F4217" s="48" t="n"/>
      <c r="G4217" s="49" t="n"/>
      <c r="H4217" s="48" t="n"/>
      <c r="I4217" s="50" t="n"/>
      <c r="J4217" s="48" t="n"/>
      <c r="K4217" s="48" t="n"/>
      <c r="L4217" s="48" t="n"/>
      <c r="M4217" s="48" t="n"/>
      <c r="N4217" s="48" t="n"/>
      <c r="O4217" s="51">
        <f>IF(AND(B4217="",G4217="",C4217="",D4217="",J4217=""),"",IF(B4217="","⚠ Falta fecha",IF(G4217="","⚠ Falta monto",IF(Q4217="","⚠ Falta cuenta",IF(ISNA(MATCH(Q4217,ctaNombre,0)),"⚠ Cuenta no registrada",IF(AND(OR(P4217="Gasto",P4217="Reembolso"),D4217=""),"⚠ Falta categoría",IF(AND(D4217&lt;&gt;"",E4217&lt;&gt;"",ISNA(MATCH(D4217&amp;"|"&amp;E4217,catClave,0))),"⚠ Subcategoría no corresponde",IF(AND(OR(P4217="Transferencia",P4217="Pago tarjeta"),K4217=""),"⚠ Falta cuenta destino",IF(AND(K4217&lt;&gt;"",P4217&lt;&gt;"Transferencia",P4217&lt;&gt;"Pago tarjeta"),"⚠ Destino solo aplica a transferencias",IF(AND(K4217&lt;&gt;"",K4217=Q4217),"⚠ Origen igual a destino",IF(AND(K4217&lt;&gt;"",ISNA(MATCH(K4217,ctaNombre,0))),"⚠ Destino no registrado",IF(AND(P4217="Pago tarjeta",AE4217&lt;&gt;"Tarjeta de crédito"),"⚠ El destino debe ser tarjeta de crédito",IF(AND(P4217="Gasto",E4217="Depósitos y retiros"),"⚠ Usa tipo Transferencia",IF(AND(P4217="Resultado trading",AD4217&lt;&gt;"Cuenta de trading"),"⚠ Usa una cuenta de trading",IF(AND(G4217&lt;=0,P4217&lt;&gt;"Ajuste",P4217&lt;&gt;"Resultado trading"),"⚠ El monto debe ser positivo","✓")))))))))))))))</f>
        <v/>
      </c>
      <c r="P4217" s="52">
        <f>IF(OR(B4217="",G4217=""),"",IF(C4217="","Gasto",C4217))</f>
        <v/>
      </c>
      <c r="Q4217" s="52">
        <f>IF(P4217="","",IF(J4217&lt;&gt;"",J4217,CuentaPred&amp;""))</f>
        <v/>
      </c>
      <c r="R4217" s="52">
        <f>IF(P4217="","",IF(ISNUMBER(I4217),I4217,TasaUSD))</f>
        <v/>
      </c>
      <c r="S4217" s="53">
        <f>IF(P4217="","",IF(H4217="USD",G4217*R4217,G4217))</f>
        <v/>
      </c>
      <c r="T4217" s="53">
        <f>IF(P4217="","",IF(H4217="USD",G4217,IF(R4217&gt;0,G4217/R4217,0)))</f>
        <v/>
      </c>
      <c r="U4217" s="53">
        <f>IF(P4217="","",IF(P4217="Gasto",S4217,IF(P4217="Reembolso",-S4217,0)))</f>
        <v/>
      </c>
      <c r="V4217" s="53">
        <f>IF(P4217="","",IF(P4217="Ingreso",S4217,0))</f>
        <v/>
      </c>
      <c r="W4217" s="53">
        <f>IF(P4217="","",IF(P4217="Resultado trading",S4217,0))</f>
        <v/>
      </c>
      <c r="X4217" s="52">
        <f>IF(OR(P4217="Gasto",P4217="Reembolso"),IF(M4217&lt;&gt;"",M4217,IFERROR(INDEX(catClasif,MATCH(D4217&amp;"|"&amp;E4217,catClave,0))&amp;"","Variable")),"")</f>
        <v/>
      </c>
      <c r="Y4217" s="52">
        <f>IF(P4217="","",IFERROR(INDEX(catGrupo,MATCH(D4217&amp;"|"&amp;E4217,catClave,0))&amp;"",""))</f>
        <v/>
      </c>
      <c r="Z4217" s="52">
        <f>IF(P4217="","",WEEKDAY(B4217,2))</f>
        <v/>
      </c>
      <c r="AA4217" s="52">
        <f>IF(P4217="","",IF(AND(P4217="Gasto",X4217="Variable",D4217&lt;&gt;catTrading,S4217&gt;0,S4217&lt;=Umbral),1,0))</f>
        <v/>
      </c>
      <c r="AB4217" s="52">
        <f>IF(OR(P4217="",Q4217=""),"",IFERROR(IF(INDEX(ctaVinc,MATCH(Q4217,ctaNombre,0))&amp;""&lt;&gt;"",INDEX(ctaVinc,MATCH(Q4217,ctaNombre,0))&amp;"",Q4217),Q4217))</f>
        <v/>
      </c>
      <c r="AC4217" s="52">
        <f>IF(OR(K4217="",AND(P4217&lt;&gt;"Transferencia",P4217&lt;&gt;"Pago tarjeta")),"",IFERROR(IF(INDEX(ctaVinc,MATCH(K4217,ctaNombre,0))&amp;""&lt;&gt;"",INDEX(ctaVinc,MATCH(K4217,ctaNombre,0))&amp;"",K4217),K4217))</f>
        <v/>
      </c>
      <c r="AD4217" s="52">
        <f>IF(AB4217="","",IFERROR(INDEX(ctaTipo,MATCH(AB4217,ctaNombre,0))&amp;"",""))</f>
        <v/>
      </c>
      <c r="AE4217" s="52">
        <f>IF(AC4217="","",IFERROR(INDEX(ctaTipo,MATCH(AC4217,ctaNombre,0))&amp;"",""))</f>
        <v/>
      </c>
      <c r="AF4217" s="53">
        <f>IF(OR(P4217="",AB4217=""),"",IF(OR(P4217="Gasto",P4217="Transferencia",P4217="Pago tarjeta"),-1,1)*IF(IFERROR(INDEX(ctaMoneda,MATCH(AB4217,ctaNombre,0))&amp;"","DOP")="USD",T4217,S4217))</f>
        <v/>
      </c>
      <c r="AG4217" s="53">
        <f>IF(AC4217="","",IF(IFERROR(INDEX(ctaMoneda,MATCH(AC4217,ctaNombre,0))&amp;"","DOP")="USD",T4217,S4217))</f>
        <v/>
      </c>
      <c r="AH4217" s="53">
        <f>IF(P4217="","",IF(AND(AD4217&lt;&gt;"",COUNTIFS(tcTipo,AD4217,tcLiq,"Sí")&gt;0),IF(OR(P4217="Gasto",P4217="Transferencia",P4217="Pago tarjeta"),-1,1)*S4217,0)+IF(AND(AE4217&lt;&gt;"",COUNTIFS(tcTipo,AE4217,tcLiq,"Sí")&gt;0),S4217,0))</f>
        <v/>
      </c>
      <c r="AI4217" s="52">
        <f>IF(OR(L4217="",P4217=""),"",IF(COUNTIFS(L$6:L4217,L4217,P$6:P4217,"?*")=1,MAX(AI$5:AI4216)+1,""))</f>
        <v/>
      </c>
    </row>
    <row r="4218">
      <c r="B4218" s="47" t="n"/>
      <c r="C4218" s="48" t="n"/>
      <c r="D4218" s="48" t="n"/>
      <c r="E4218" s="48" t="n"/>
      <c r="F4218" s="48" t="n"/>
      <c r="G4218" s="49" t="n"/>
      <c r="H4218" s="48" t="n"/>
      <c r="I4218" s="50" t="n"/>
      <c r="J4218" s="48" t="n"/>
      <c r="K4218" s="48" t="n"/>
      <c r="L4218" s="48" t="n"/>
      <c r="M4218" s="48" t="n"/>
      <c r="N4218" s="48" t="n"/>
      <c r="O4218" s="51">
        <f>IF(AND(B4218="",G4218="",C4218="",D4218="",J4218=""),"",IF(B4218="","⚠ Falta fecha",IF(G4218="","⚠ Falta monto",IF(Q4218="","⚠ Falta cuenta",IF(ISNA(MATCH(Q4218,ctaNombre,0)),"⚠ Cuenta no registrada",IF(AND(OR(P4218="Gasto",P4218="Reembolso"),D4218=""),"⚠ Falta categoría",IF(AND(D4218&lt;&gt;"",E4218&lt;&gt;"",ISNA(MATCH(D4218&amp;"|"&amp;E4218,catClave,0))),"⚠ Subcategoría no corresponde",IF(AND(OR(P4218="Transferencia",P4218="Pago tarjeta"),K4218=""),"⚠ Falta cuenta destino",IF(AND(K4218&lt;&gt;"",P4218&lt;&gt;"Transferencia",P4218&lt;&gt;"Pago tarjeta"),"⚠ Destino solo aplica a transferencias",IF(AND(K4218&lt;&gt;"",K4218=Q4218),"⚠ Origen igual a destino",IF(AND(K4218&lt;&gt;"",ISNA(MATCH(K4218,ctaNombre,0))),"⚠ Destino no registrado",IF(AND(P4218="Pago tarjeta",AE4218&lt;&gt;"Tarjeta de crédito"),"⚠ El destino debe ser tarjeta de crédito",IF(AND(P4218="Gasto",E4218="Depósitos y retiros"),"⚠ Usa tipo Transferencia",IF(AND(P4218="Resultado trading",AD4218&lt;&gt;"Cuenta de trading"),"⚠ Usa una cuenta de trading",IF(AND(G4218&lt;=0,P4218&lt;&gt;"Ajuste",P4218&lt;&gt;"Resultado trading"),"⚠ El monto debe ser positivo","✓")))))))))))))))</f>
        <v/>
      </c>
      <c r="P4218" s="52">
        <f>IF(OR(B4218="",G4218=""),"",IF(C4218="","Gasto",C4218))</f>
        <v/>
      </c>
      <c r="Q4218" s="52">
        <f>IF(P4218="","",IF(J4218&lt;&gt;"",J4218,CuentaPred&amp;""))</f>
        <v/>
      </c>
      <c r="R4218" s="52">
        <f>IF(P4218="","",IF(ISNUMBER(I4218),I4218,TasaUSD))</f>
        <v/>
      </c>
      <c r="S4218" s="53">
        <f>IF(P4218="","",IF(H4218="USD",G4218*R4218,G4218))</f>
        <v/>
      </c>
      <c r="T4218" s="53">
        <f>IF(P4218="","",IF(H4218="USD",G4218,IF(R4218&gt;0,G4218/R4218,0)))</f>
        <v/>
      </c>
      <c r="U4218" s="53">
        <f>IF(P4218="","",IF(P4218="Gasto",S4218,IF(P4218="Reembolso",-S4218,0)))</f>
        <v/>
      </c>
      <c r="V4218" s="53">
        <f>IF(P4218="","",IF(P4218="Ingreso",S4218,0))</f>
        <v/>
      </c>
      <c r="W4218" s="53">
        <f>IF(P4218="","",IF(P4218="Resultado trading",S4218,0))</f>
        <v/>
      </c>
      <c r="X4218" s="52">
        <f>IF(OR(P4218="Gasto",P4218="Reembolso"),IF(M4218&lt;&gt;"",M4218,IFERROR(INDEX(catClasif,MATCH(D4218&amp;"|"&amp;E4218,catClave,0))&amp;"","Variable")),"")</f>
        <v/>
      </c>
      <c r="Y4218" s="52">
        <f>IF(P4218="","",IFERROR(INDEX(catGrupo,MATCH(D4218&amp;"|"&amp;E4218,catClave,0))&amp;"",""))</f>
        <v/>
      </c>
      <c r="Z4218" s="52">
        <f>IF(P4218="","",WEEKDAY(B4218,2))</f>
        <v/>
      </c>
      <c r="AA4218" s="52">
        <f>IF(P4218="","",IF(AND(P4218="Gasto",X4218="Variable",D4218&lt;&gt;catTrading,S4218&gt;0,S4218&lt;=Umbral),1,0))</f>
        <v/>
      </c>
      <c r="AB4218" s="52">
        <f>IF(OR(P4218="",Q4218=""),"",IFERROR(IF(INDEX(ctaVinc,MATCH(Q4218,ctaNombre,0))&amp;""&lt;&gt;"",INDEX(ctaVinc,MATCH(Q4218,ctaNombre,0))&amp;"",Q4218),Q4218))</f>
        <v/>
      </c>
      <c r="AC4218" s="52">
        <f>IF(OR(K4218="",AND(P4218&lt;&gt;"Transferencia",P4218&lt;&gt;"Pago tarjeta")),"",IFERROR(IF(INDEX(ctaVinc,MATCH(K4218,ctaNombre,0))&amp;""&lt;&gt;"",INDEX(ctaVinc,MATCH(K4218,ctaNombre,0))&amp;"",K4218),K4218))</f>
        <v/>
      </c>
      <c r="AD4218" s="52">
        <f>IF(AB4218="","",IFERROR(INDEX(ctaTipo,MATCH(AB4218,ctaNombre,0))&amp;"",""))</f>
        <v/>
      </c>
      <c r="AE4218" s="52">
        <f>IF(AC4218="","",IFERROR(INDEX(ctaTipo,MATCH(AC4218,ctaNombre,0))&amp;"",""))</f>
        <v/>
      </c>
      <c r="AF4218" s="53">
        <f>IF(OR(P4218="",AB4218=""),"",IF(OR(P4218="Gasto",P4218="Transferencia",P4218="Pago tarjeta"),-1,1)*IF(IFERROR(INDEX(ctaMoneda,MATCH(AB4218,ctaNombre,0))&amp;"","DOP")="USD",T4218,S4218))</f>
        <v/>
      </c>
      <c r="AG4218" s="53">
        <f>IF(AC4218="","",IF(IFERROR(INDEX(ctaMoneda,MATCH(AC4218,ctaNombre,0))&amp;"","DOP")="USD",T4218,S4218))</f>
        <v/>
      </c>
      <c r="AH4218" s="53">
        <f>IF(P4218="","",IF(AND(AD4218&lt;&gt;"",COUNTIFS(tcTipo,AD4218,tcLiq,"Sí")&gt;0),IF(OR(P4218="Gasto",P4218="Transferencia",P4218="Pago tarjeta"),-1,1)*S4218,0)+IF(AND(AE4218&lt;&gt;"",COUNTIFS(tcTipo,AE4218,tcLiq,"Sí")&gt;0),S4218,0))</f>
        <v/>
      </c>
      <c r="AI4218" s="52">
        <f>IF(OR(L4218="",P4218=""),"",IF(COUNTIFS(L$6:L4218,L4218,P$6:P4218,"?*")=1,MAX(AI$5:AI4217)+1,""))</f>
        <v/>
      </c>
    </row>
    <row r="4219">
      <c r="B4219" s="47" t="n"/>
      <c r="C4219" s="48" t="n"/>
      <c r="D4219" s="48" t="n"/>
      <c r="E4219" s="48" t="n"/>
      <c r="F4219" s="48" t="n"/>
      <c r="G4219" s="49" t="n"/>
      <c r="H4219" s="48" t="n"/>
      <c r="I4219" s="50" t="n"/>
      <c r="J4219" s="48" t="n"/>
      <c r="K4219" s="48" t="n"/>
      <c r="L4219" s="48" t="n"/>
      <c r="M4219" s="48" t="n"/>
      <c r="N4219" s="48" t="n"/>
      <c r="O4219" s="51">
        <f>IF(AND(B4219="",G4219="",C4219="",D4219="",J4219=""),"",IF(B4219="","⚠ Falta fecha",IF(G4219="","⚠ Falta monto",IF(Q4219="","⚠ Falta cuenta",IF(ISNA(MATCH(Q4219,ctaNombre,0)),"⚠ Cuenta no registrada",IF(AND(OR(P4219="Gasto",P4219="Reembolso"),D4219=""),"⚠ Falta categoría",IF(AND(D4219&lt;&gt;"",E4219&lt;&gt;"",ISNA(MATCH(D4219&amp;"|"&amp;E4219,catClave,0))),"⚠ Subcategoría no corresponde",IF(AND(OR(P4219="Transferencia",P4219="Pago tarjeta"),K4219=""),"⚠ Falta cuenta destino",IF(AND(K4219&lt;&gt;"",P4219&lt;&gt;"Transferencia",P4219&lt;&gt;"Pago tarjeta"),"⚠ Destino solo aplica a transferencias",IF(AND(K4219&lt;&gt;"",K4219=Q4219),"⚠ Origen igual a destino",IF(AND(K4219&lt;&gt;"",ISNA(MATCH(K4219,ctaNombre,0))),"⚠ Destino no registrado",IF(AND(P4219="Pago tarjeta",AE4219&lt;&gt;"Tarjeta de crédito"),"⚠ El destino debe ser tarjeta de crédito",IF(AND(P4219="Gasto",E4219="Depósitos y retiros"),"⚠ Usa tipo Transferencia",IF(AND(P4219="Resultado trading",AD4219&lt;&gt;"Cuenta de trading"),"⚠ Usa una cuenta de trading",IF(AND(G4219&lt;=0,P4219&lt;&gt;"Ajuste",P4219&lt;&gt;"Resultado trading"),"⚠ El monto debe ser positivo","✓")))))))))))))))</f>
        <v/>
      </c>
      <c r="P4219" s="52">
        <f>IF(OR(B4219="",G4219=""),"",IF(C4219="","Gasto",C4219))</f>
        <v/>
      </c>
      <c r="Q4219" s="52">
        <f>IF(P4219="","",IF(J4219&lt;&gt;"",J4219,CuentaPred&amp;""))</f>
        <v/>
      </c>
      <c r="R4219" s="52">
        <f>IF(P4219="","",IF(ISNUMBER(I4219),I4219,TasaUSD))</f>
        <v/>
      </c>
      <c r="S4219" s="53">
        <f>IF(P4219="","",IF(H4219="USD",G4219*R4219,G4219))</f>
        <v/>
      </c>
      <c r="T4219" s="53">
        <f>IF(P4219="","",IF(H4219="USD",G4219,IF(R4219&gt;0,G4219/R4219,0)))</f>
        <v/>
      </c>
      <c r="U4219" s="53">
        <f>IF(P4219="","",IF(P4219="Gasto",S4219,IF(P4219="Reembolso",-S4219,0)))</f>
        <v/>
      </c>
      <c r="V4219" s="53">
        <f>IF(P4219="","",IF(P4219="Ingreso",S4219,0))</f>
        <v/>
      </c>
      <c r="W4219" s="53">
        <f>IF(P4219="","",IF(P4219="Resultado trading",S4219,0))</f>
        <v/>
      </c>
      <c r="X4219" s="52">
        <f>IF(OR(P4219="Gasto",P4219="Reembolso"),IF(M4219&lt;&gt;"",M4219,IFERROR(INDEX(catClasif,MATCH(D4219&amp;"|"&amp;E4219,catClave,0))&amp;"","Variable")),"")</f>
        <v/>
      </c>
      <c r="Y4219" s="52">
        <f>IF(P4219="","",IFERROR(INDEX(catGrupo,MATCH(D4219&amp;"|"&amp;E4219,catClave,0))&amp;"",""))</f>
        <v/>
      </c>
      <c r="Z4219" s="52">
        <f>IF(P4219="","",WEEKDAY(B4219,2))</f>
        <v/>
      </c>
      <c r="AA4219" s="52">
        <f>IF(P4219="","",IF(AND(P4219="Gasto",X4219="Variable",D4219&lt;&gt;catTrading,S4219&gt;0,S4219&lt;=Umbral),1,0))</f>
        <v/>
      </c>
      <c r="AB4219" s="52">
        <f>IF(OR(P4219="",Q4219=""),"",IFERROR(IF(INDEX(ctaVinc,MATCH(Q4219,ctaNombre,0))&amp;""&lt;&gt;"",INDEX(ctaVinc,MATCH(Q4219,ctaNombre,0))&amp;"",Q4219),Q4219))</f>
        <v/>
      </c>
      <c r="AC4219" s="52">
        <f>IF(OR(K4219="",AND(P4219&lt;&gt;"Transferencia",P4219&lt;&gt;"Pago tarjeta")),"",IFERROR(IF(INDEX(ctaVinc,MATCH(K4219,ctaNombre,0))&amp;""&lt;&gt;"",INDEX(ctaVinc,MATCH(K4219,ctaNombre,0))&amp;"",K4219),K4219))</f>
        <v/>
      </c>
      <c r="AD4219" s="52">
        <f>IF(AB4219="","",IFERROR(INDEX(ctaTipo,MATCH(AB4219,ctaNombre,0))&amp;"",""))</f>
        <v/>
      </c>
      <c r="AE4219" s="52">
        <f>IF(AC4219="","",IFERROR(INDEX(ctaTipo,MATCH(AC4219,ctaNombre,0))&amp;"",""))</f>
        <v/>
      </c>
      <c r="AF4219" s="53">
        <f>IF(OR(P4219="",AB4219=""),"",IF(OR(P4219="Gasto",P4219="Transferencia",P4219="Pago tarjeta"),-1,1)*IF(IFERROR(INDEX(ctaMoneda,MATCH(AB4219,ctaNombre,0))&amp;"","DOP")="USD",T4219,S4219))</f>
        <v/>
      </c>
      <c r="AG4219" s="53">
        <f>IF(AC4219="","",IF(IFERROR(INDEX(ctaMoneda,MATCH(AC4219,ctaNombre,0))&amp;"","DOP")="USD",T4219,S4219))</f>
        <v/>
      </c>
      <c r="AH4219" s="53">
        <f>IF(P4219="","",IF(AND(AD4219&lt;&gt;"",COUNTIFS(tcTipo,AD4219,tcLiq,"Sí")&gt;0),IF(OR(P4219="Gasto",P4219="Transferencia",P4219="Pago tarjeta"),-1,1)*S4219,0)+IF(AND(AE4219&lt;&gt;"",COUNTIFS(tcTipo,AE4219,tcLiq,"Sí")&gt;0),S4219,0))</f>
        <v/>
      </c>
      <c r="AI4219" s="52">
        <f>IF(OR(L4219="",P4219=""),"",IF(COUNTIFS(L$6:L4219,L4219,P$6:P4219,"?*")=1,MAX(AI$5:AI4218)+1,""))</f>
        <v/>
      </c>
    </row>
    <row r="4220">
      <c r="B4220" s="47" t="n"/>
      <c r="C4220" s="48" t="n"/>
      <c r="D4220" s="48" t="n"/>
      <c r="E4220" s="48" t="n"/>
      <c r="F4220" s="48" t="n"/>
      <c r="G4220" s="49" t="n"/>
      <c r="H4220" s="48" t="n"/>
      <c r="I4220" s="50" t="n"/>
      <c r="J4220" s="48" t="n"/>
      <c r="K4220" s="48" t="n"/>
      <c r="L4220" s="48" t="n"/>
      <c r="M4220" s="48" t="n"/>
      <c r="N4220" s="48" t="n"/>
      <c r="O4220" s="51">
        <f>IF(AND(B4220="",G4220="",C4220="",D4220="",J4220=""),"",IF(B4220="","⚠ Falta fecha",IF(G4220="","⚠ Falta monto",IF(Q4220="","⚠ Falta cuenta",IF(ISNA(MATCH(Q4220,ctaNombre,0)),"⚠ Cuenta no registrada",IF(AND(OR(P4220="Gasto",P4220="Reembolso"),D4220=""),"⚠ Falta categoría",IF(AND(D4220&lt;&gt;"",E4220&lt;&gt;"",ISNA(MATCH(D4220&amp;"|"&amp;E4220,catClave,0))),"⚠ Subcategoría no corresponde",IF(AND(OR(P4220="Transferencia",P4220="Pago tarjeta"),K4220=""),"⚠ Falta cuenta destino",IF(AND(K4220&lt;&gt;"",P4220&lt;&gt;"Transferencia",P4220&lt;&gt;"Pago tarjeta"),"⚠ Destino solo aplica a transferencias",IF(AND(K4220&lt;&gt;"",K4220=Q4220),"⚠ Origen igual a destino",IF(AND(K4220&lt;&gt;"",ISNA(MATCH(K4220,ctaNombre,0))),"⚠ Destino no registrado",IF(AND(P4220="Pago tarjeta",AE4220&lt;&gt;"Tarjeta de crédito"),"⚠ El destino debe ser tarjeta de crédito",IF(AND(P4220="Gasto",E4220="Depósitos y retiros"),"⚠ Usa tipo Transferencia",IF(AND(P4220="Resultado trading",AD4220&lt;&gt;"Cuenta de trading"),"⚠ Usa una cuenta de trading",IF(AND(G4220&lt;=0,P4220&lt;&gt;"Ajuste",P4220&lt;&gt;"Resultado trading"),"⚠ El monto debe ser positivo","✓")))))))))))))))</f>
        <v/>
      </c>
      <c r="P4220" s="52">
        <f>IF(OR(B4220="",G4220=""),"",IF(C4220="","Gasto",C4220))</f>
        <v/>
      </c>
      <c r="Q4220" s="52">
        <f>IF(P4220="","",IF(J4220&lt;&gt;"",J4220,CuentaPred&amp;""))</f>
        <v/>
      </c>
      <c r="R4220" s="52">
        <f>IF(P4220="","",IF(ISNUMBER(I4220),I4220,TasaUSD))</f>
        <v/>
      </c>
      <c r="S4220" s="53">
        <f>IF(P4220="","",IF(H4220="USD",G4220*R4220,G4220))</f>
        <v/>
      </c>
      <c r="T4220" s="53">
        <f>IF(P4220="","",IF(H4220="USD",G4220,IF(R4220&gt;0,G4220/R4220,0)))</f>
        <v/>
      </c>
      <c r="U4220" s="53">
        <f>IF(P4220="","",IF(P4220="Gasto",S4220,IF(P4220="Reembolso",-S4220,0)))</f>
        <v/>
      </c>
      <c r="V4220" s="53">
        <f>IF(P4220="","",IF(P4220="Ingreso",S4220,0))</f>
        <v/>
      </c>
      <c r="W4220" s="53">
        <f>IF(P4220="","",IF(P4220="Resultado trading",S4220,0))</f>
        <v/>
      </c>
      <c r="X4220" s="52">
        <f>IF(OR(P4220="Gasto",P4220="Reembolso"),IF(M4220&lt;&gt;"",M4220,IFERROR(INDEX(catClasif,MATCH(D4220&amp;"|"&amp;E4220,catClave,0))&amp;"","Variable")),"")</f>
        <v/>
      </c>
      <c r="Y4220" s="52">
        <f>IF(P4220="","",IFERROR(INDEX(catGrupo,MATCH(D4220&amp;"|"&amp;E4220,catClave,0))&amp;"",""))</f>
        <v/>
      </c>
      <c r="Z4220" s="52">
        <f>IF(P4220="","",WEEKDAY(B4220,2))</f>
        <v/>
      </c>
      <c r="AA4220" s="52">
        <f>IF(P4220="","",IF(AND(P4220="Gasto",X4220="Variable",D4220&lt;&gt;catTrading,S4220&gt;0,S4220&lt;=Umbral),1,0))</f>
        <v/>
      </c>
      <c r="AB4220" s="52">
        <f>IF(OR(P4220="",Q4220=""),"",IFERROR(IF(INDEX(ctaVinc,MATCH(Q4220,ctaNombre,0))&amp;""&lt;&gt;"",INDEX(ctaVinc,MATCH(Q4220,ctaNombre,0))&amp;"",Q4220),Q4220))</f>
        <v/>
      </c>
      <c r="AC4220" s="52">
        <f>IF(OR(K4220="",AND(P4220&lt;&gt;"Transferencia",P4220&lt;&gt;"Pago tarjeta")),"",IFERROR(IF(INDEX(ctaVinc,MATCH(K4220,ctaNombre,0))&amp;""&lt;&gt;"",INDEX(ctaVinc,MATCH(K4220,ctaNombre,0))&amp;"",K4220),K4220))</f>
        <v/>
      </c>
      <c r="AD4220" s="52">
        <f>IF(AB4220="","",IFERROR(INDEX(ctaTipo,MATCH(AB4220,ctaNombre,0))&amp;"",""))</f>
        <v/>
      </c>
      <c r="AE4220" s="52">
        <f>IF(AC4220="","",IFERROR(INDEX(ctaTipo,MATCH(AC4220,ctaNombre,0))&amp;"",""))</f>
        <v/>
      </c>
      <c r="AF4220" s="53">
        <f>IF(OR(P4220="",AB4220=""),"",IF(OR(P4220="Gasto",P4220="Transferencia",P4220="Pago tarjeta"),-1,1)*IF(IFERROR(INDEX(ctaMoneda,MATCH(AB4220,ctaNombre,0))&amp;"","DOP")="USD",T4220,S4220))</f>
        <v/>
      </c>
      <c r="AG4220" s="53">
        <f>IF(AC4220="","",IF(IFERROR(INDEX(ctaMoneda,MATCH(AC4220,ctaNombre,0))&amp;"","DOP")="USD",T4220,S4220))</f>
        <v/>
      </c>
      <c r="AH4220" s="53">
        <f>IF(P4220="","",IF(AND(AD4220&lt;&gt;"",COUNTIFS(tcTipo,AD4220,tcLiq,"Sí")&gt;0),IF(OR(P4220="Gasto",P4220="Transferencia",P4220="Pago tarjeta"),-1,1)*S4220,0)+IF(AND(AE4220&lt;&gt;"",COUNTIFS(tcTipo,AE4220,tcLiq,"Sí")&gt;0),S4220,0))</f>
        <v/>
      </c>
      <c r="AI4220" s="52">
        <f>IF(OR(L4220="",P4220=""),"",IF(COUNTIFS(L$6:L4220,L4220,P$6:P4220,"?*")=1,MAX(AI$5:AI4219)+1,""))</f>
        <v/>
      </c>
    </row>
    <row r="4221">
      <c r="B4221" s="47" t="n"/>
      <c r="C4221" s="48" t="n"/>
      <c r="D4221" s="48" t="n"/>
      <c r="E4221" s="48" t="n"/>
      <c r="F4221" s="48" t="n"/>
      <c r="G4221" s="49" t="n"/>
      <c r="H4221" s="48" t="n"/>
      <c r="I4221" s="50" t="n"/>
      <c r="J4221" s="48" t="n"/>
      <c r="K4221" s="48" t="n"/>
      <c r="L4221" s="48" t="n"/>
      <c r="M4221" s="48" t="n"/>
      <c r="N4221" s="48" t="n"/>
      <c r="O4221" s="51">
        <f>IF(AND(B4221="",G4221="",C4221="",D4221="",J4221=""),"",IF(B4221="","⚠ Falta fecha",IF(G4221="","⚠ Falta monto",IF(Q4221="","⚠ Falta cuenta",IF(ISNA(MATCH(Q4221,ctaNombre,0)),"⚠ Cuenta no registrada",IF(AND(OR(P4221="Gasto",P4221="Reembolso"),D4221=""),"⚠ Falta categoría",IF(AND(D4221&lt;&gt;"",E4221&lt;&gt;"",ISNA(MATCH(D4221&amp;"|"&amp;E4221,catClave,0))),"⚠ Subcategoría no corresponde",IF(AND(OR(P4221="Transferencia",P4221="Pago tarjeta"),K4221=""),"⚠ Falta cuenta destino",IF(AND(K4221&lt;&gt;"",P4221&lt;&gt;"Transferencia",P4221&lt;&gt;"Pago tarjeta"),"⚠ Destino solo aplica a transferencias",IF(AND(K4221&lt;&gt;"",K4221=Q4221),"⚠ Origen igual a destino",IF(AND(K4221&lt;&gt;"",ISNA(MATCH(K4221,ctaNombre,0))),"⚠ Destino no registrado",IF(AND(P4221="Pago tarjeta",AE4221&lt;&gt;"Tarjeta de crédito"),"⚠ El destino debe ser tarjeta de crédito",IF(AND(P4221="Gasto",E4221="Depósitos y retiros"),"⚠ Usa tipo Transferencia",IF(AND(P4221="Resultado trading",AD4221&lt;&gt;"Cuenta de trading"),"⚠ Usa una cuenta de trading",IF(AND(G4221&lt;=0,P4221&lt;&gt;"Ajuste",P4221&lt;&gt;"Resultado trading"),"⚠ El monto debe ser positivo","✓")))))))))))))))</f>
        <v/>
      </c>
      <c r="P4221" s="52">
        <f>IF(OR(B4221="",G4221=""),"",IF(C4221="","Gasto",C4221))</f>
        <v/>
      </c>
      <c r="Q4221" s="52">
        <f>IF(P4221="","",IF(J4221&lt;&gt;"",J4221,CuentaPred&amp;""))</f>
        <v/>
      </c>
      <c r="R4221" s="52">
        <f>IF(P4221="","",IF(ISNUMBER(I4221),I4221,TasaUSD))</f>
        <v/>
      </c>
      <c r="S4221" s="53">
        <f>IF(P4221="","",IF(H4221="USD",G4221*R4221,G4221))</f>
        <v/>
      </c>
      <c r="T4221" s="53">
        <f>IF(P4221="","",IF(H4221="USD",G4221,IF(R4221&gt;0,G4221/R4221,0)))</f>
        <v/>
      </c>
      <c r="U4221" s="53">
        <f>IF(P4221="","",IF(P4221="Gasto",S4221,IF(P4221="Reembolso",-S4221,0)))</f>
        <v/>
      </c>
      <c r="V4221" s="53">
        <f>IF(P4221="","",IF(P4221="Ingreso",S4221,0))</f>
        <v/>
      </c>
      <c r="W4221" s="53">
        <f>IF(P4221="","",IF(P4221="Resultado trading",S4221,0))</f>
        <v/>
      </c>
      <c r="X4221" s="52">
        <f>IF(OR(P4221="Gasto",P4221="Reembolso"),IF(M4221&lt;&gt;"",M4221,IFERROR(INDEX(catClasif,MATCH(D4221&amp;"|"&amp;E4221,catClave,0))&amp;"","Variable")),"")</f>
        <v/>
      </c>
      <c r="Y4221" s="52">
        <f>IF(P4221="","",IFERROR(INDEX(catGrupo,MATCH(D4221&amp;"|"&amp;E4221,catClave,0))&amp;"",""))</f>
        <v/>
      </c>
      <c r="Z4221" s="52">
        <f>IF(P4221="","",WEEKDAY(B4221,2))</f>
        <v/>
      </c>
      <c r="AA4221" s="52">
        <f>IF(P4221="","",IF(AND(P4221="Gasto",X4221="Variable",D4221&lt;&gt;catTrading,S4221&gt;0,S4221&lt;=Umbral),1,0))</f>
        <v/>
      </c>
      <c r="AB4221" s="52">
        <f>IF(OR(P4221="",Q4221=""),"",IFERROR(IF(INDEX(ctaVinc,MATCH(Q4221,ctaNombre,0))&amp;""&lt;&gt;"",INDEX(ctaVinc,MATCH(Q4221,ctaNombre,0))&amp;"",Q4221),Q4221))</f>
        <v/>
      </c>
      <c r="AC4221" s="52">
        <f>IF(OR(K4221="",AND(P4221&lt;&gt;"Transferencia",P4221&lt;&gt;"Pago tarjeta")),"",IFERROR(IF(INDEX(ctaVinc,MATCH(K4221,ctaNombre,0))&amp;""&lt;&gt;"",INDEX(ctaVinc,MATCH(K4221,ctaNombre,0))&amp;"",K4221),K4221))</f>
        <v/>
      </c>
      <c r="AD4221" s="52">
        <f>IF(AB4221="","",IFERROR(INDEX(ctaTipo,MATCH(AB4221,ctaNombre,0))&amp;"",""))</f>
        <v/>
      </c>
      <c r="AE4221" s="52">
        <f>IF(AC4221="","",IFERROR(INDEX(ctaTipo,MATCH(AC4221,ctaNombre,0))&amp;"",""))</f>
        <v/>
      </c>
      <c r="AF4221" s="53">
        <f>IF(OR(P4221="",AB4221=""),"",IF(OR(P4221="Gasto",P4221="Transferencia",P4221="Pago tarjeta"),-1,1)*IF(IFERROR(INDEX(ctaMoneda,MATCH(AB4221,ctaNombre,0))&amp;"","DOP")="USD",T4221,S4221))</f>
        <v/>
      </c>
      <c r="AG4221" s="53">
        <f>IF(AC4221="","",IF(IFERROR(INDEX(ctaMoneda,MATCH(AC4221,ctaNombre,0))&amp;"","DOP")="USD",T4221,S4221))</f>
        <v/>
      </c>
      <c r="AH4221" s="53">
        <f>IF(P4221="","",IF(AND(AD4221&lt;&gt;"",COUNTIFS(tcTipo,AD4221,tcLiq,"Sí")&gt;0),IF(OR(P4221="Gasto",P4221="Transferencia",P4221="Pago tarjeta"),-1,1)*S4221,0)+IF(AND(AE4221&lt;&gt;"",COUNTIFS(tcTipo,AE4221,tcLiq,"Sí")&gt;0),S4221,0))</f>
        <v/>
      </c>
      <c r="AI4221" s="52">
        <f>IF(OR(L4221="",P4221=""),"",IF(COUNTIFS(L$6:L4221,L4221,P$6:P4221,"?*")=1,MAX(AI$5:AI4220)+1,""))</f>
        <v/>
      </c>
    </row>
    <row r="4222">
      <c r="B4222" s="47" t="n"/>
      <c r="C4222" s="48" t="n"/>
      <c r="D4222" s="48" t="n"/>
      <c r="E4222" s="48" t="n"/>
      <c r="F4222" s="48" t="n"/>
      <c r="G4222" s="49" t="n"/>
      <c r="H4222" s="48" t="n"/>
      <c r="I4222" s="50" t="n"/>
      <c r="J4222" s="48" t="n"/>
      <c r="K4222" s="48" t="n"/>
      <c r="L4222" s="48" t="n"/>
      <c r="M4222" s="48" t="n"/>
      <c r="N4222" s="48" t="n"/>
      <c r="O4222" s="51">
        <f>IF(AND(B4222="",G4222="",C4222="",D4222="",J4222=""),"",IF(B4222="","⚠ Falta fecha",IF(G4222="","⚠ Falta monto",IF(Q4222="","⚠ Falta cuenta",IF(ISNA(MATCH(Q4222,ctaNombre,0)),"⚠ Cuenta no registrada",IF(AND(OR(P4222="Gasto",P4222="Reembolso"),D4222=""),"⚠ Falta categoría",IF(AND(D4222&lt;&gt;"",E4222&lt;&gt;"",ISNA(MATCH(D4222&amp;"|"&amp;E4222,catClave,0))),"⚠ Subcategoría no corresponde",IF(AND(OR(P4222="Transferencia",P4222="Pago tarjeta"),K4222=""),"⚠ Falta cuenta destino",IF(AND(K4222&lt;&gt;"",P4222&lt;&gt;"Transferencia",P4222&lt;&gt;"Pago tarjeta"),"⚠ Destino solo aplica a transferencias",IF(AND(K4222&lt;&gt;"",K4222=Q4222),"⚠ Origen igual a destino",IF(AND(K4222&lt;&gt;"",ISNA(MATCH(K4222,ctaNombre,0))),"⚠ Destino no registrado",IF(AND(P4222="Pago tarjeta",AE4222&lt;&gt;"Tarjeta de crédito"),"⚠ El destino debe ser tarjeta de crédito",IF(AND(P4222="Gasto",E4222="Depósitos y retiros"),"⚠ Usa tipo Transferencia",IF(AND(P4222="Resultado trading",AD4222&lt;&gt;"Cuenta de trading"),"⚠ Usa una cuenta de trading",IF(AND(G4222&lt;=0,P4222&lt;&gt;"Ajuste",P4222&lt;&gt;"Resultado trading"),"⚠ El monto debe ser positivo","✓")))))))))))))))</f>
        <v/>
      </c>
      <c r="P4222" s="52">
        <f>IF(OR(B4222="",G4222=""),"",IF(C4222="","Gasto",C4222))</f>
        <v/>
      </c>
      <c r="Q4222" s="52">
        <f>IF(P4222="","",IF(J4222&lt;&gt;"",J4222,CuentaPred&amp;""))</f>
        <v/>
      </c>
      <c r="R4222" s="52">
        <f>IF(P4222="","",IF(ISNUMBER(I4222),I4222,TasaUSD))</f>
        <v/>
      </c>
      <c r="S4222" s="53">
        <f>IF(P4222="","",IF(H4222="USD",G4222*R4222,G4222))</f>
        <v/>
      </c>
      <c r="T4222" s="53">
        <f>IF(P4222="","",IF(H4222="USD",G4222,IF(R4222&gt;0,G4222/R4222,0)))</f>
        <v/>
      </c>
      <c r="U4222" s="53">
        <f>IF(P4222="","",IF(P4222="Gasto",S4222,IF(P4222="Reembolso",-S4222,0)))</f>
        <v/>
      </c>
      <c r="V4222" s="53">
        <f>IF(P4222="","",IF(P4222="Ingreso",S4222,0))</f>
        <v/>
      </c>
      <c r="W4222" s="53">
        <f>IF(P4222="","",IF(P4222="Resultado trading",S4222,0))</f>
        <v/>
      </c>
      <c r="X4222" s="52">
        <f>IF(OR(P4222="Gasto",P4222="Reembolso"),IF(M4222&lt;&gt;"",M4222,IFERROR(INDEX(catClasif,MATCH(D4222&amp;"|"&amp;E4222,catClave,0))&amp;"","Variable")),"")</f>
        <v/>
      </c>
      <c r="Y4222" s="52">
        <f>IF(P4222="","",IFERROR(INDEX(catGrupo,MATCH(D4222&amp;"|"&amp;E4222,catClave,0))&amp;"",""))</f>
        <v/>
      </c>
      <c r="Z4222" s="52">
        <f>IF(P4222="","",WEEKDAY(B4222,2))</f>
        <v/>
      </c>
      <c r="AA4222" s="52">
        <f>IF(P4222="","",IF(AND(P4222="Gasto",X4222="Variable",D4222&lt;&gt;catTrading,S4222&gt;0,S4222&lt;=Umbral),1,0))</f>
        <v/>
      </c>
      <c r="AB4222" s="52">
        <f>IF(OR(P4222="",Q4222=""),"",IFERROR(IF(INDEX(ctaVinc,MATCH(Q4222,ctaNombre,0))&amp;""&lt;&gt;"",INDEX(ctaVinc,MATCH(Q4222,ctaNombre,0))&amp;"",Q4222),Q4222))</f>
        <v/>
      </c>
      <c r="AC4222" s="52">
        <f>IF(OR(K4222="",AND(P4222&lt;&gt;"Transferencia",P4222&lt;&gt;"Pago tarjeta")),"",IFERROR(IF(INDEX(ctaVinc,MATCH(K4222,ctaNombre,0))&amp;""&lt;&gt;"",INDEX(ctaVinc,MATCH(K4222,ctaNombre,0))&amp;"",K4222),K4222))</f>
        <v/>
      </c>
      <c r="AD4222" s="52">
        <f>IF(AB4222="","",IFERROR(INDEX(ctaTipo,MATCH(AB4222,ctaNombre,0))&amp;"",""))</f>
        <v/>
      </c>
      <c r="AE4222" s="52">
        <f>IF(AC4222="","",IFERROR(INDEX(ctaTipo,MATCH(AC4222,ctaNombre,0))&amp;"",""))</f>
        <v/>
      </c>
      <c r="AF4222" s="53">
        <f>IF(OR(P4222="",AB4222=""),"",IF(OR(P4222="Gasto",P4222="Transferencia",P4222="Pago tarjeta"),-1,1)*IF(IFERROR(INDEX(ctaMoneda,MATCH(AB4222,ctaNombre,0))&amp;"","DOP")="USD",T4222,S4222))</f>
        <v/>
      </c>
      <c r="AG4222" s="53">
        <f>IF(AC4222="","",IF(IFERROR(INDEX(ctaMoneda,MATCH(AC4222,ctaNombre,0))&amp;"","DOP")="USD",T4222,S4222))</f>
        <v/>
      </c>
      <c r="AH4222" s="53">
        <f>IF(P4222="","",IF(AND(AD4222&lt;&gt;"",COUNTIFS(tcTipo,AD4222,tcLiq,"Sí")&gt;0),IF(OR(P4222="Gasto",P4222="Transferencia",P4222="Pago tarjeta"),-1,1)*S4222,0)+IF(AND(AE4222&lt;&gt;"",COUNTIFS(tcTipo,AE4222,tcLiq,"Sí")&gt;0),S4222,0))</f>
        <v/>
      </c>
      <c r="AI4222" s="52">
        <f>IF(OR(L4222="",P4222=""),"",IF(COUNTIFS(L$6:L4222,L4222,P$6:P4222,"?*")=1,MAX(AI$5:AI4221)+1,""))</f>
        <v/>
      </c>
    </row>
    <row r="4223">
      <c r="B4223" s="47" t="n"/>
      <c r="C4223" s="48" t="n"/>
      <c r="D4223" s="48" t="n"/>
      <c r="E4223" s="48" t="n"/>
      <c r="F4223" s="48" t="n"/>
      <c r="G4223" s="49" t="n"/>
      <c r="H4223" s="48" t="n"/>
      <c r="I4223" s="50" t="n"/>
      <c r="J4223" s="48" t="n"/>
      <c r="K4223" s="48" t="n"/>
      <c r="L4223" s="48" t="n"/>
      <c r="M4223" s="48" t="n"/>
      <c r="N4223" s="48" t="n"/>
      <c r="O4223" s="51">
        <f>IF(AND(B4223="",G4223="",C4223="",D4223="",J4223=""),"",IF(B4223="","⚠ Falta fecha",IF(G4223="","⚠ Falta monto",IF(Q4223="","⚠ Falta cuenta",IF(ISNA(MATCH(Q4223,ctaNombre,0)),"⚠ Cuenta no registrada",IF(AND(OR(P4223="Gasto",P4223="Reembolso"),D4223=""),"⚠ Falta categoría",IF(AND(D4223&lt;&gt;"",E4223&lt;&gt;"",ISNA(MATCH(D4223&amp;"|"&amp;E4223,catClave,0))),"⚠ Subcategoría no corresponde",IF(AND(OR(P4223="Transferencia",P4223="Pago tarjeta"),K4223=""),"⚠ Falta cuenta destino",IF(AND(K4223&lt;&gt;"",P4223&lt;&gt;"Transferencia",P4223&lt;&gt;"Pago tarjeta"),"⚠ Destino solo aplica a transferencias",IF(AND(K4223&lt;&gt;"",K4223=Q4223),"⚠ Origen igual a destino",IF(AND(K4223&lt;&gt;"",ISNA(MATCH(K4223,ctaNombre,0))),"⚠ Destino no registrado",IF(AND(P4223="Pago tarjeta",AE4223&lt;&gt;"Tarjeta de crédito"),"⚠ El destino debe ser tarjeta de crédito",IF(AND(P4223="Gasto",E4223="Depósitos y retiros"),"⚠ Usa tipo Transferencia",IF(AND(P4223="Resultado trading",AD4223&lt;&gt;"Cuenta de trading"),"⚠ Usa una cuenta de trading",IF(AND(G4223&lt;=0,P4223&lt;&gt;"Ajuste",P4223&lt;&gt;"Resultado trading"),"⚠ El monto debe ser positivo","✓")))))))))))))))</f>
        <v/>
      </c>
      <c r="P4223" s="52">
        <f>IF(OR(B4223="",G4223=""),"",IF(C4223="","Gasto",C4223))</f>
        <v/>
      </c>
      <c r="Q4223" s="52">
        <f>IF(P4223="","",IF(J4223&lt;&gt;"",J4223,CuentaPred&amp;""))</f>
        <v/>
      </c>
      <c r="R4223" s="52">
        <f>IF(P4223="","",IF(ISNUMBER(I4223),I4223,TasaUSD))</f>
        <v/>
      </c>
      <c r="S4223" s="53">
        <f>IF(P4223="","",IF(H4223="USD",G4223*R4223,G4223))</f>
        <v/>
      </c>
      <c r="T4223" s="53">
        <f>IF(P4223="","",IF(H4223="USD",G4223,IF(R4223&gt;0,G4223/R4223,0)))</f>
        <v/>
      </c>
      <c r="U4223" s="53">
        <f>IF(P4223="","",IF(P4223="Gasto",S4223,IF(P4223="Reembolso",-S4223,0)))</f>
        <v/>
      </c>
      <c r="V4223" s="53">
        <f>IF(P4223="","",IF(P4223="Ingreso",S4223,0))</f>
        <v/>
      </c>
      <c r="W4223" s="53">
        <f>IF(P4223="","",IF(P4223="Resultado trading",S4223,0))</f>
        <v/>
      </c>
      <c r="X4223" s="52">
        <f>IF(OR(P4223="Gasto",P4223="Reembolso"),IF(M4223&lt;&gt;"",M4223,IFERROR(INDEX(catClasif,MATCH(D4223&amp;"|"&amp;E4223,catClave,0))&amp;"","Variable")),"")</f>
        <v/>
      </c>
      <c r="Y4223" s="52">
        <f>IF(P4223="","",IFERROR(INDEX(catGrupo,MATCH(D4223&amp;"|"&amp;E4223,catClave,0))&amp;"",""))</f>
        <v/>
      </c>
      <c r="Z4223" s="52">
        <f>IF(P4223="","",WEEKDAY(B4223,2))</f>
        <v/>
      </c>
      <c r="AA4223" s="52">
        <f>IF(P4223="","",IF(AND(P4223="Gasto",X4223="Variable",D4223&lt;&gt;catTrading,S4223&gt;0,S4223&lt;=Umbral),1,0))</f>
        <v/>
      </c>
      <c r="AB4223" s="52">
        <f>IF(OR(P4223="",Q4223=""),"",IFERROR(IF(INDEX(ctaVinc,MATCH(Q4223,ctaNombre,0))&amp;""&lt;&gt;"",INDEX(ctaVinc,MATCH(Q4223,ctaNombre,0))&amp;"",Q4223),Q4223))</f>
        <v/>
      </c>
      <c r="AC4223" s="52">
        <f>IF(OR(K4223="",AND(P4223&lt;&gt;"Transferencia",P4223&lt;&gt;"Pago tarjeta")),"",IFERROR(IF(INDEX(ctaVinc,MATCH(K4223,ctaNombre,0))&amp;""&lt;&gt;"",INDEX(ctaVinc,MATCH(K4223,ctaNombre,0))&amp;"",K4223),K4223))</f>
        <v/>
      </c>
      <c r="AD4223" s="52">
        <f>IF(AB4223="","",IFERROR(INDEX(ctaTipo,MATCH(AB4223,ctaNombre,0))&amp;"",""))</f>
        <v/>
      </c>
      <c r="AE4223" s="52">
        <f>IF(AC4223="","",IFERROR(INDEX(ctaTipo,MATCH(AC4223,ctaNombre,0))&amp;"",""))</f>
        <v/>
      </c>
      <c r="AF4223" s="53">
        <f>IF(OR(P4223="",AB4223=""),"",IF(OR(P4223="Gasto",P4223="Transferencia",P4223="Pago tarjeta"),-1,1)*IF(IFERROR(INDEX(ctaMoneda,MATCH(AB4223,ctaNombre,0))&amp;"","DOP")="USD",T4223,S4223))</f>
        <v/>
      </c>
      <c r="AG4223" s="53">
        <f>IF(AC4223="","",IF(IFERROR(INDEX(ctaMoneda,MATCH(AC4223,ctaNombre,0))&amp;"","DOP")="USD",T4223,S4223))</f>
        <v/>
      </c>
      <c r="AH4223" s="53">
        <f>IF(P4223="","",IF(AND(AD4223&lt;&gt;"",COUNTIFS(tcTipo,AD4223,tcLiq,"Sí")&gt;0),IF(OR(P4223="Gasto",P4223="Transferencia",P4223="Pago tarjeta"),-1,1)*S4223,0)+IF(AND(AE4223&lt;&gt;"",COUNTIFS(tcTipo,AE4223,tcLiq,"Sí")&gt;0),S4223,0))</f>
        <v/>
      </c>
      <c r="AI4223" s="52">
        <f>IF(OR(L4223="",P4223=""),"",IF(COUNTIFS(L$6:L4223,L4223,P$6:P4223,"?*")=1,MAX(AI$5:AI4222)+1,""))</f>
        <v/>
      </c>
    </row>
    <row r="4224">
      <c r="B4224" s="47" t="n"/>
      <c r="C4224" s="48" t="n"/>
      <c r="D4224" s="48" t="n"/>
      <c r="E4224" s="48" t="n"/>
      <c r="F4224" s="48" t="n"/>
      <c r="G4224" s="49" t="n"/>
      <c r="H4224" s="48" t="n"/>
      <c r="I4224" s="50" t="n"/>
      <c r="J4224" s="48" t="n"/>
      <c r="K4224" s="48" t="n"/>
      <c r="L4224" s="48" t="n"/>
      <c r="M4224" s="48" t="n"/>
      <c r="N4224" s="48" t="n"/>
      <c r="O4224" s="51">
        <f>IF(AND(B4224="",G4224="",C4224="",D4224="",J4224=""),"",IF(B4224="","⚠ Falta fecha",IF(G4224="","⚠ Falta monto",IF(Q4224="","⚠ Falta cuenta",IF(ISNA(MATCH(Q4224,ctaNombre,0)),"⚠ Cuenta no registrada",IF(AND(OR(P4224="Gasto",P4224="Reembolso"),D4224=""),"⚠ Falta categoría",IF(AND(D4224&lt;&gt;"",E4224&lt;&gt;"",ISNA(MATCH(D4224&amp;"|"&amp;E4224,catClave,0))),"⚠ Subcategoría no corresponde",IF(AND(OR(P4224="Transferencia",P4224="Pago tarjeta"),K4224=""),"⚠ Falta cuenta destino",IF(AND(K4224&lt;&gt;"",P4224&lt;&gt;"Transferencia",P4224&lt;&gt;"Pago tarjeta"),"⚠ Destino solo aplica a transferencias",IF(AND(K4224&lt;&gt;"",K4224=Q4224),"⚠ Origen igual a destino",IF(AND(K4224&lt;&gt;"",ISNA(MATCH(K4224,ctaNombre,0))),"⚠ Destino no registrado",IF(AND(P4224="Pago tarjeta",AE4224&lt;&gt;"Tarjeta de crédito"),"⚠ El destino debe ser tarjeta de crédito",IF(AND(P4224="Gasto",E4224="Depósitos y retiros"),"⚠ Usa tipo Transferencia",IF(AND(P4224="Resultado trading",AD4224&lt;&gt;"Cuenta de trading"),"⚠ Usa una cuenta de trading",IF(AND(G4224&lt;=0,P4224&lt;&gt;"Ajuste",P4224&lt;&gt;"Resultado trading"),"⚠ El monto debe ser positivo","✓")))))))))))))))</f>
        <v/>
      </c>
      <c r="P4224" s="52">
        <f>IF(OR(B4224="",G4224=""),"",IF(C4224="","Gasto",C4224))</f>
        <v/>
      </c>
      <c r="Q4224" s="52">
        <f>IF(P4224="","",IF(J4224&lt;&gt;"",J4224,CuentaPred&amp;""))</f>
        <v/>
      </c>
      <c r="R4224" s="52">
        <f>IF(P4224="","",IF(ISNUMBER(I4224),I4224,TasaUSD))</f>
        <v/>
      </c>
      <c r="S4224" s="53">
        <f>IF(P4224="","",IF(H4224="USD",G4224*R4224,G4224))</f>
        <v/>
      </c>
      <c r="T4224" s="53">
        <f>IF(P4224="","",IF(H4224="USD",G4224,IF(R4224&gt;0,G4224/R4224,0)))</f>
        <v/>
      </c>
      <c r="U4224" s="53">
        <f>IF(P4224="","",IF(P4224="Gasto",S4224,IF(P4224="Reembolso",-S4224,0)))</f>
        <v/>
      </c>
      <c r="V4224" s="53">
        <f>IF(P4224="","",IF(P4224="Ingreso",S4224,0))</f>
        <v/>
      </c>
      <c r="W4224" s="53">
        <f>IF(P4224="","",IF(P4224="Resultado trading",S4224,0))</f>
        <v/>
      </c>
      <c r="X4224" s="52">
        <f>IF(OR(P4224="Gasto",P4224="Reembolso"),IF(M4224&lt;&gt;"",M4224,IFERROR(INDEX(catClasif,MATCH(D4224&amp;"|"&amp;E4224,catClave,0))&amp;"","Variable")),"")</f>
        <v/>
      </c>
      <c r="Y4224" s="52">
        <f>IF(P4224="","",IFERROR(INDEX(catGrupo,MATCH(D4224&amp;"|"&amp;E4224,catClave,0))&amp;"",""))</f>
        <v/>
      </c>
      <c r="Z4224" s="52">
        <f>IF(P4224="","",WEEKDAY(B4224,2))</f>
        <v/>
      </c>
      <c r="AA4224" s="52">
        <f>IF(P4224="","",IF(AND(P4224="Gasto",X4224="Variable",D4224&lt;&gt;catTrading,S4224&gt;0,S4224&lt;=Umbral),1,0))</f>
        <v/>
      </c>
      <c r="AB4224" s="52">
        <f>IF(OR(P4224="",Q4224=""),"",IFERROR(IF(INDEX(ctaVinc,MATCH(Q4224,ctaNombre,0))&amp;""&lt;&gt;"",INDEX(ctaVinc,MATCH(Q4224,ctaNombre,0))&amp;"",Q4224),Q4224))</f>
        <v/>
      </c>
      <c r="AC4224" s="52">
        <f>IF(OR(K4224="",AND(P4224&lt;&gt;"Transferencia",P4224&lt;&gt;"Pago tarjeta")),"",IFERROR(IF(INDEX(ctaVinc,MATCH(K4224,ctaNombre,0))&amp;""&lt;&gt;"",INDEX(ctaVinc,MATCH(K4224,ctaNombre,0))&amp;"",K4224),K4224))</f>
        <v/>
      </c>
      <c r="AD4224" s="52">
        <f>IF(AB4224="","",IFERROR(INDEX(ctaTipo,MATCH(AB4224,ctaNombre,0))&amp;"",""))</f>
        <v/>
      </c>
      <c r="AE4224" s="52">
        <f>IF(AC4224="","",IFERROR(INDEX(ctaTipo,MATCH(AC4224,ctaNombre,0))&amp;"",""))</f>
        <v/>
      </c>
      <c r="AF4224" s="53">
        <f>IF(OR(P4224="",AB4224=""),"",IF(OR(P4224="Gasto",P4224="Transferencia",P4224="Pago tarjeta"),-1,1)*IF(IFERROR(INDEX(ctaMoneda,MATCH(AB4224,ctaNombre,0))&amp;"","DOP")="USD",T4224,S4224))</f>
        <v/>
      </c>
      <c r="AG4224" s="53">
        <f>IF(AC4224="","",IF(IFERROR(INDEX(ctaMoneda,MATCH(AC4224,ctaNombre,0))&amp;"","DOP")="USD",T4224,S4224))</f>
        <v/>
      </c>
      <c r="AH4224" s="53">
        <f>IF(P4224="","",IF(AND(AD4224&lt;&gt;"",COUNTIFS(tcTipo,AD4224,tcLiq,"Sí")&gt;0),IF(OR(P4224="Gasto",P4224="Transferencia",P4224="Pago tarjeta"),-1,1)*S4224,0)+IF(AND(AE4224&lt;&gt;"",COUNTIFS(tcTipo,AE4224,tcLiq,"Sí")&gt;0),S4224,0))</f>
        <v/>
      </c>
      <c r="AI4224" s="52">
        <f>IF(OR(L4224="",P4224=""),"",IF(COUNTIFS(L$6:L4224,L4224,P$6:P4224,"?*")=1,MAX(AI$5:AI4223)+1,""))</f>
        <v/>
      </c>
    </row>
    <row r="4225">
      <c r="B4225" s="47" t="n"/>
      <c r="C4225" s="48" t="n"/>
      <c r="D4225" s="48" t="n"/>
      <c r="E4225" s="48" t="n"/>
      <c r="F4225" s="48" t="n"/>
      <c r="G4225" s="49" t="n"/>
      <c r="H4225" s="48" t="n"/>
      <c r="I4225" s="50" t="n"/>
      <c r="J4225" s="48" t="n"/>
      <c r="K4225" s="48" t="n"/>
      <c r="L4225" s="48" t="n"/>
      <c r="M4225" s="48" t="n"/>
      <c r="N4225" s="48" t="n"/>
      <c r="O4225" s="51">
        <f>IF(AND(B4225="",G4225="",C4225="",D4225="",J4225=""),"",IF(B4225="","⚠ Falta fecha",IF(G4225="","⚠ Falta monto",IF(Q4225="","⚠ Falta cuenta",IF(ISNA(MATCH(Q4225,ctaNombre,0)),"⚠ Cuenta no registrada",IF(AND(OR(P4225="Gasto",P4225="Reembolso"),D4225=""),"⚠ Falta categoría",IF(AND(D4225&lt;&gt;"",E4225&lt;&gt;"",ISNA(MATCH(D4225&amp;"|"&amp;E4225,catClave,0))),"⚠ Subcategoría no corresponde",IF(AND(OR(P4225="Transferencia",P4225="Pago tarjeta"),K4225=""),"⚠ Falta cuenta destino",IF(AND(K4225&lt;&gt;"",P4225&lt;&gt;"Transferencia",P4225&lt;&gt;"Pago tarjeta"),"⚠ Destino solo aplica a transferencias",IF(AND(K4225&lt;&gt;"",K4225=Q4225),"⚠ Origen igual a destino",IF(AND(K4225&lt;&gt;"",ISNA(MATCH(K4225,ctaNombre,0))),"⚠ Destino no registrado",IF(AND(P4225="Pago tarjeta",AE4225&lt;&gt;"Tarjeta de crédito"),"⚠ El destino debe ser tarjeta de crédito",IF(AND(P4225="Gasto",E4225="Depósitos y retiros"),"⚠ Usa tipo Transferencia",IF(AND(P4225="Resultado trading",AD4225&lt;&gt;"Cuenta de trading"),"⚠ Usa una cuenta de trading",IF(AND(G4225&lt;=0,P4225&lt;&gt;"Ajuste",P4225&lt;&gt;"Resultado trading"),"⚠ El monto debe ser positivo","✓")))))))))))))))</f>
        <v/>
      </c>
      <c r="P4225" s="52">
        <f>IF(OR(B4225="",G4225=""),"",IF(C4225="","Gasto",C4225))</f>
        <v/>
      </c>
      <c r="Q4225" s="52">
        <f>IF(P4225="","",IF(J4225&lt;&gt;"",J4225,CuentaPred&amp;""))</f>
        <v/>
      </c>
      <c r="R4225" s="52">
        <f>IF(P4225="","",IF(ISNUMBER(I4225),I4225,TasaUSD))</f>
        <v/>
      </c>
      <c r="S4225" s="53">
        <f>IF(P4225="","",IF(H4225="USD",G4225*R4225,G4225))</f>
        <v/>
      </c>
      <c r="T4225" s="53">
        <f>IF(P4225="","",IF(H4225="USD",G4225,IF(R4225&gt;0,G4225/R4225,0)))</f>
        <v/>
      </c>
      <c r="U4225" s="53">
        <f>IF(P4225="","",IF(P4225="Gasto",S4225,IF(P4225="Reembolso",-S4225,0)))</f>
        <v/>
      </c>
      <c r="V4225" s="53">
        <f>IF(P4225="","",IF(P4225="Ingreso",S4225,0))</f>
        <v/>
      </c>
      <c r="W4225" s="53">
        <f>IF(P4225="","",IF(P4225="Resultado trading",S4225,0))</f>
        <v/>
      </c>
      <c r="X4225" s="52">
        <f>IF(OR(P4225="Gasto",P4225="Reembolso"),IF(M4225&lt;&gt;"",M4225,IFERROR(INDEX(catClasif,MATCH(D4225&amp;"|"&amp;E4225,catClave,0))&amp;"","Variable")),"")</f>
        <v/>
      </c>
      <c r="Y4225" s="52">
        <f>IF(P4225="","",IFERROR(INDEX(catGrupo,MATCH(D4225&amp;"|"&amp;E4225,catClave,0))&amp;"",""))</f>
        <v/>
      </c>
      <c r="Z4225" s="52">
        <f>IF(P4225="","",WEEKDAY(B4225,2))</f>
        <v/>
      </c>
      <c r="AA4225" s="52">
        <f>IF(P4225="","",IF(AND(P4225="Gasto",X4225="Variable",D4225&lt;&gt;catTrading,S4225&gt;0,S4225&lt;=Umbral),1,0))</f>
        <v/>
      </c>
      <c r="AB4225" s="52">
        <f>IF(OR(P4225="",Q4225=""),"",IFERROR(IF(INDEX(ctaVinc,MATCH(Q4225,ctaNombre,0))&amp;""&lt;&gt;"",INDEX(ctaVinc,MATCH(Q4225,ctaNombre,0))&amp;"",Q4225),Q4225))</f>
        <v/>
      </c>
      <c r="AC4225" s="52">
        <f>IF(OR(K4225="",AND(P4225&lt;&gt;"Transferencia",P4225&lt;&gt;"Pago tarjeta")),"",IFERROR(IF(INDEX(ctaVinc,MATCH(K4225,ctaNombre,0))&amp;""&lt;&gt;"",INDEX(ctaVinc,MATCH(K4225,ctaNombre,0))&amp;"",K4225),K4225))</f>
        <v/>
      </c>
      <c r="AD4225" s="52">
        <f>IF(AB4225="","",IFERROR(INDEX(ctaTipo,MATCH(AB4225,ctaNombre,0))&amp;"",""))</f>
        <v/>
      </c>
      <c r="AE4225" s="52">
        <f>IF(AC4225="","",IFERROR(INDEX(ctaTipo,MATCH(AC4225,ctaNombre,0))&amp;"",""))</f>
        <v/>
      </c>
      <c r="AF4225" s="53">
        <f>IF(OR(P4225="",AB4225=""),"",IF(OR(P4225="Gasto",P4225="Transferencia",P4225="Pago tarjeta"),-1,1)*IF(IFERROR(INDEX(ctaMoneda,MATCH(AB4225,ctaNombre,0))&amp;"","DOP")="USD",T4225,S4225))</f>
        <v/>
      </c>
      <c r="AG4225" s="53">
        <f>IF(AC4225="","",IF(IFERROR(INDEX(ctaMoneda,MATCH(AC4225,ctaNombre,0))&amp;"","DOP")="USD",T4225,S4225))</f>
        <v/>
      </c>
      <c r="AH4225" s="53">
        <f>IF(P4225="","",IF(AND(AD4225&lt;&gt;"",COUNTIFS(tcTipo,AD4225,tcLiq,"Sí")&gt;0),IF(OR(P4225="Gasto",P4225="Transferencia",P4225="Pago tarjeta"),-1,1)*S4225,0)+IF(AND(AE4225&lt;&gt;"",COUNTIFS(tcTipo,AE4225,tcLiq,"Sí")&gt;0),S4225,0))</f>
        <v/>
      </c>
      <c r="AI4225" s="52">
        <f>IF(OR(L4225="",P4225=""),"",IF(COUNTIFS(L$6:L4225,L4225,P$6:P4225,"?*")=1,MAX(AI$5:AI4224)+1,""))</f>
        <v/>
      </c>
    </row>
    <row r="4226">
      <c r="B4226" s="47" t="n"/>
      <c r="C4226" s="48" t="n"/>
      <c r="D4226" s="48" t="n"/>
      <c r="E4226" s="48" t="n"/>
      <c r="F4226" s="48" t="n"/>
      <c r="G4226" s="49" t="n"/>
      <c r="H4226" s="48" t="n"/>
      <c r="I4226" s="50" t="n"/>
      <c r="J4226" s="48" t="n"/>
      <c r="K4226" s="48" t="n"/>
      <c r="L4226" s="48" t="n"/>
      <c r="M4226" s="48" t="n"/>
      <c r="N4226" s="48" t="n"/>
      <c r="O4226" s="51">
        <f>IF(AND(B4226="",G4226="",C4226="",D4226="",J4226=""),"",IF(B4226="","⚠ Falta fecha",IF(G4226="","⚠ Falta monto",IF(Q4226="","⚠ Falta cuenta",IF(ISNA(MATCH(Q4226,ctaNombre,0)),"⚠ Cuenta no registrada",IF(AND(OR(P4226="Gasto",P4226="Reembolso"),D4226=""),"⚠ Falta categoría",IF(AND(D4226&lt;&gt;"",E4226&lt;&gt;"",ISNA(MATCH(D4226&amp;"|"&amp;E4226,catClave,0))),"⚠ Subcategoría no corresponde",IF(AND(OR(P4226="Transferencia",P4226="Pago tarjeta"),K4226=""),"⚠ Falta cuenta destino",IF(AND(K4226&lt;&gt;"",P4226&lt;&gt;"Transferencia",P4226&lt;&gt;"Pago tarjeta"),"⚠ Destino solo aplica a transferencias",IF(AND(K4226&lt;&gt;"",K4226=Q4226),"⚠ Origen igual a destino",IF(AND(K4226&lt;&gt;"",ISNA(MATCH(K4226,ctaNombre,0))),"⚠ Destino no registrado",IF(AND(P4226="Pago tarjeta",AE4226&lt;&gt;"Tarjeta de crédito"),"⚠ El destino debe ser tarjeta de crédito",IF(AND(P4226="Gasto",E4226="Depósitos y retiros"),"⚠ Usa tipo Transferencia",IF(AND(P4226="Resultado trading",AD4226&lt;&gt;"Cuenta de trading"),"⚠ Usa una cuenta de trading",IF(AND(G4226&lt;=0,P4226&lt;&gt;"Ajuste",P4226&lt;&gt;"Resultado trading"),"⚠ El monto debe ser positivo","✓")))))))))))))))</f>
        <v/>
      </c>
      <c r="P4226" s="52">
        <f>IF(OR(B4226="",G4226=""),"",IF(C4226="","Gasto",C4226))</f>
        <v/>
      </c>
      <c r="Q4226" s="52">
        <f>IF(P4226="","",IF(J4226&lt;&gt;"",J4226,CuentaPred&amp;""))</f>
        <v/>
      </c>
      <c r="R4226" s="52">
        <f>IF(P4226="","",IF(ISNUMBER(I4226),I4226,TasaUSD))</f>
        <v/>
      </c>
      <c r="S4226" s="53">
        <f>IF(P4226="","",IF(H4226="USD",G4226*R4226,G4226))</f>
        <v/>
      </c>
      <c r="T4226" s="53">
        <f>IF(P4226="","",IF(H4226="USD",G4226,IF(R4226&gt;0,G4226/R4226,0)))</f>
        <v/>
      </c>
      <c r="U4226" s="53">
        <f>IF(P4226="","",IF(P4226="Gasto",S4226,IF(P4226="Reembolso",-S4226,0)))</f>
        <v/>
      </c>
      <c r="V4226" s="53">
        <f>IF(P4226="","",IF(P4226="Ingreso",S4226,0))</f>
        <v/>
      </c>
      <c r="W4226" s="53">
        <f>IF(P4226="","",IF(P4226="Resultado trading",S4226,0))</f>
        <v/>
      </c>
      <c r="X4226" s="52">
        <f>IF(OR(P4226="Gasto",P4226="Reembolso"),IF(M4226&lt;&gt;"",M4226,IFERROR(INDEX(catClasif,MATCH(D4226&amp;"|"&amp;E4226,catClave,0))&amp;"","Variable")),"")</f>
        <v/>
      </c>
      <c r="Y4226" s="52">
        <f>IF(P4226="","",IFERROR(INDEX(catGrupo,MATCH(D4226&amp;"|"&amp;E4226,catClave,0))&amp;"",""))</f>
        <v/>
      </c>
      <c r="Z4226" s="52">
        <f>IF(P4226="","",WEEKDAY(B4226,2))</f>
        <v/>
      </c>
      <c r="AA4226" s="52">
        <f>IF(P4226="","",IF(AND(P4226="Gasto",X4226="Variable",D4226&lt;&gt;catTrading,S4226&gt;0,S4226&lt;=Umbral),1,0))</f>
        <v/>
      </c>
      <c r="AB4226" s="52">
        <f>IF(OR(P4226="",Q4226=""),"",IFERROR(IF(INDEX(ctaVinc,MATCH(Q4226,ctaNombre,0))&amp;""&lt;&gt;"",INDEX(ctaVinc,MATCH(Q4226,ctaNombre,0))&amp;"",Q4226),Q4226))</f>
        <v/>
      </c>
      <c r="AC4226" s="52">
        <f>IF(OR(K4226="",AND(P4226&lt;&gt;"Transferencia",P4226&lt;&gt;"Pago tarjeta")),"",IFERROR(IF(INDEX(ctaVinc,MATCH(K4226,ctaNombre,0))&amp;""&lt;&gt;"",INDEX(ctaVinc,MATCH(K4226,ctaNombre,0))&amp;"",K4226),K4226))</f>
        <v/>
      </c>
      <c r="AD4226" s="52">
        <f>IF(AB4226="","",IFERROR(INDEX(ctaTipo,MATCH(AB4226,ctaNombre,0))&amp;"",""))</f>
        <v/>
      </c>
      <c r="AE4226" s="52">
        <f>IF(AC4226="","",IFERROR(INDEX(ctaTipo,MATCH(AC4226,ctaNombre,0))&amp;"",""))</f>
        <v/>
      </c>
      <c r="AF4226" s="53">
        <f>IF(OR(P4226="",AB4226=""),"",IF(OR(P4226="Gasto",P4226="Transferencia",P4226="Pago tarjeta"),-1,1)*IF(IFERROR(INDEX(ctaMoneda,MATCH(AB4226,ctaNombre,0))&amp;"","DOP")="USD",T4226,S4226))</f>
        <v/>
      </c>
      <c r="AG4226" s="53">
        <f>IF(AC4226="","",IF(IFERROR(INDEX(ctaMoneda,MATCH(AC4226,ctaNombre,0))&amp;"","DOP")="USD",T4226,S4226))</f>
        <v/>
      </c>
      <c r="AH4226" s="53">
        <f>IF(P4226="","",IF(AND(AD4226&lt;&gt;"",COUNTIFS(tcTipo,AD4226,tcLiq,"Sí")&gt;0),IF(OR(P4226="Gasto",P4226="Transferencia",P4226="Pago tarjeta"),-1,1)*S4226,0)+IF(AND(AE4226&lt;&gt;"",COUNTIFS(tcTipo,AE4226,tcLiq,"Sí")&gt;0),S4226,0))</f>
        <v/>
      </c>
      <c r="AI4226" s="52">
        <f>IF(OR(L4226="",P4226=""),"",IF(COUNTIFS(L$6:L4226,L4226,P$6:P4226,"?*")=1,MAX(AI$5:AI4225)+1,""))</f>
        <v/>
      </c>
    </row>
    <row r="4227">
      <c r="B4227" s="47" t="n"/>
      <c r="C4227" s="48" t="n"/>
      <c r="D4227" s="48" t="n"/>
      <c r="E4227" s="48" t="n"/>
      <c r="F4227" s="48" t="n"/>
      <c r="G4227" s="49" t="n"/>
      <c r="H4227" s="48" t="n"/>
      <c r="I4227" s="50" t="n"/>
      <c r="J4227" s="48" t="n"/>
      <c r="K4227" s="48" t="n"/>
      <c r="L4227" s="48" t="n"/>
      <c r="M4227" s="48" t="n"/>
      <c r="N4227" s="48" t="n"/>
      <c r="O4227" s="51">
        <f>IF(AND(B4227="",G4227="",C4227="",D4227="",J4227=""),"",IF(B4227="","⚠ Falta fecha",IF(G4227="","⚠ Falta monto",IF(Q4227="","⚠ Falta cuenta",IF(ISNA(MATCH(Q4227,ctaNombre,0)),"⚠ Cuenta no registrada",IF(AND(OR(P4227="Gasto",P4227="Reembolso"),D4227=""),"⚠ Falta categoría",IF(AND(D4227&lt;&gt;"",E4227&lt;&gt;"",ISNA(MATCH(D4227&amp;"|"&amp;E4227,catClave,0))),"⚠ Subcategoría no corresponde",IF(AND(OR(P4227="Transferencia",P4227="Pago tarjeta"),K4227=""),"⚠ Falta cuenta destino",IF(AND(K4227&lt;&gt;"",P4227&lt;&gt;"Transferencia",P4227&lt;&gt;"Pago tarjeta"),"⚠ Destino solo aplica a transferencias",IF(AND(K4227&lt;&gt;"",K4227=Q4227),"⚠ Origen igual a destino",IF(AND(K4227&lt;&gt;"",ISNA(MATCH(K4227,ctaNombre,0))),"⚠ Destino no registrado",IF(AND(P4227="Pago tarjeta",AE4227&lt;&gt;"Tarjeta de crédito"),"⚠ El destino debe ser tarjeta de crédito",IF(AND(P4227="Gasto",E4227="Depósitos y retiros"),"⚠ Usa tipo Transferencia",IF(AND(P4227="Resultado trading",AD4227&lt;&gt;"Cuenta de trading"),"⚠ Usa una cuenta de trading",IF(AND(G4227&lt;=0,P4227&lt;&gt;"Ajuste",P4227&lt;&gt;"Resultado trading"),"⚠ El monto debe ser positivo","✓")))))))))))))))</f>
        <v/>
      </c>
      <c r="P4227" s="52">
        <f>IF(OR(B4227="",G4227=""),"",IF(C4227="","Gasto",C4227))</f>
        <v/>
      </c>
      <c r="Q4227" s="52">
        <f>IF(P4227="","",IF(J4227&lt;&gt;"",J4227,CuentaPred&amp;""))</f>
        <v/>
      </c>
      <c r="R4227" s="52">
        <f>IF(P4227="","",IF(ISNUMBER(I4227),I4227,TasaUSD))</f>
        <v/>
      </c>
      <c r="S4227" s="53">
        <f>IF(P4227="","",IF(H4227="USD",G4227*R4227,G4227))</f>
        <v/>
      </c>
      <c r="T4227" s="53">
        <f>IF(P4227="","",IF(H4227="USD",G4227,IF(R4227&gt;0,G4227/R4227,0)))</f>
        <v/>
      </c>
      <c r="U4227" s="53">
        <f>IF(P4227="","",IF(P4227="Gasto",S4227,IF(P4227="Reembolso",-S4227,0)))</f>
        <v/>
      </c>
      <c r="V4227" s="53">
        <f>IF(P4227="","",IF(P4227="Ingreso",S4227,0))</f>
        <v/>
      </c>
      <c r="W4227" s="53">
        <f>IF(P4227="","",IF(P4227="Resultado trading",S4227,0))</f>
        <v/>
      </c>
      <c r="X4227" s="52">
        <f>IF(OR(P4227="Gasto",P4227="Reembolso"),IF(M4227&lt;&gt;"",M4227,IFERROR(INDEX(catClasif,MATCH(D4227&amp;"|"&amp;E4227,catClave,0))&amp;"","Variable")),"")</f>
        <v/>
      </c>
      <c r="Y4227" s="52">
        <f>IF(P4227="","",IFERROR(INDEX(catGrupo,MATCH(D4227&amp;"|"&amp;E4227,catClave,0))&amp;"",""))</f>
        <v/>
      </c>
      <c r="Z4227" s="52">
        <f>IF(P4227="","",WEEKDAY(B4227,2))</f>
        <v/>
      </c>
      <c r="AA4227" s="52">
        <f>IF(P4227="","",IF(AND(P4227="Gasto",X4227="Variable",D4227&lt;&gt;catTrading,S4227&gt;0,S4227&lt;=Umbral),1,0))</f>
        <v/>
      </c>
      <c r="AB4227" s="52">
        <f>IF(OR(P4227="",Q4227=""),"",IFERROR(IF(INDEX(ctaVinc,MATCH(Q4227,ctaNombre,0))&amp;""&lt;&gt;"",INDEX(ctaVinc,MATCH(Q4227,ctaNombre,0))&amp;"",Q4227),Q4227))</f>
        <v/>
      </c>
      <c r="AC4227" s="52">
        <f>IF(OR(K4227="",AND(P4227&lt;&gt;"Transferencia",P4227&lt;&gt;"Pago tarjeta")),"",IFERROR(IF(INDEX(ctaVinc,MATCH(K4227,ctaNombre,0))&amp;""&lt;&gt;"",INDEX(ctaVinc,MATCH(K4227,ctaNombre,0))&amp;"",K4227),K4227))</f>
        <v/>
      </c>
      <c r="AD4227" s="52">
        <f>IF(AB4227="","",IFERROR(INDEX(ctaTipo,MATCH(AB4227,ctaNombre,0))&amp;"",""))</f>
        <v/>
      </c>
      <c r="AE4227" s="52">
        <f>IF(AC4227="","",IFERROR(INDEX(ctaTipo,MATCH(AC4227,ctaNombre,0))&amp;"",""))</f>
        <v/>
      </c>
      <c r="AF4227" s="53">
        <f>IF(OR(P4227="",AB4227=""),"",IF(OR(P4227="Gasto",P4227="Transferencia",P4227="Pago tarjeta"),-1,1)*IF(IFERROR(INDEX(ctaMoneda,MATCH(AB4227,ctaNombre,0))&amp;"","DOP")="USD",T4227,S4227))</f>
        <v/>
      </c>
      <c r="AG4227" s="53">
        <f>IF(AC4227="","",IF(IFERROR(INDEX(ctaMoneda,MATCH(AC4227,ctaNombre,0))&amp;"","DOP")="USD",T4227,S4227))</f>
        <v/>
      </c>
      <c r="AH4227" s="53">
        <f>IF(P4227="","",IF(AND(AD4227&lt;&gt;"",COUNTIFS(tcTipo,AD4227,tcLiq,"Sí")&gt;0),IF(OR(P4227="Gasto",P4227="Transferencia",P4227="Pago tarjeta"),-1,1)*S4227,0)+IF(AND(AE4227&lt;&gt;"",COUNTIFS(tcTipo,AE4227,tcLiq,"Sí")&gt;0),S4227,0))</f>
        <v/>
      </c>
      <c r="AI4227" s="52">
        <f>IF(OR(L4227="",P4227=""),"",IF(COUNTIFS(L$6:L4227,L4227,P$6:P4227,"?*")=1,MAX(AI$5:AI4226)+1,""))</f>
        <v/>
      </c>
    </row>
    <row r="4228">
      <c r="B4228" s="47" t="n"/>
      <c r="C4228" s="48" t="n"/>
      <c r="D4228" s="48" t="n"/>
      <c r="E4228" s="48" t="n"/>
      <c r="F4228" s="48" t="n"/>
      <c r="G4228" s="49" t="n"/>
      <c r="H4228" s="48" t="n"/>
      <c r="I4228" s="50" t="n"/>
      <c r="J4228" s="48" t="n"/>
      <c r="K4228" s="48" t="n"/>
      <c r="L4228" s="48" t="n"/>
      <c r="M4228" s="48" t="n"/>
      <c r="N4228" s="48" t="n"/>
      <c r="O4228" s="51">
        <f>IF(AND(B4228="",G4228="",C4228="",D4228="",J4228=""),"",IF(B4228="","⚠ Falta fecha",IF(G4228="","⚠ Falta monto",IF(Q4228="","⚠ Falta cuenta",IF(ISNA(MATCH(Q4228,ctaNombre,0)),"⚠ Cuenta no registrada",IF(AND(OR(P4228="Gasto",P4228="Reembolso"),D4228=""),"⚠ Falta categoría",IF(AND(D4228&lt;&gt;"",E4228&lt;&gt;"",ISNA(MATCH(D4228&amp;"|"&amp;E4228,catClave,0))),"⚠ Subcategoría no corresponde",IF(AND(OR(P4228="Transferencia",P4228="Pago tarjeta"),K4228=""),"⚠ Falta cuenta destino",IF(AND(K4228&lt;&gt;"",P4228&lt;&gt;"Transferencia",P4228&lt;&gt;"Pago tarjeta"),"⚠ Destino solo aplica a transferencias",IF(AND(K4228&lt;&gt;"",K4228=Q4228),"⚠ Origen igual a destino",IF(AND(K4228&lt;&gt;"",ISNA(MATCH(K4228,ctaNombre,0))),"⚠ Destino no registrado",IF(AND(P4228="Pago tarjeta",AE4228&lt;&gt;"Tarjeta de crédito"),"⚠ El destino debe ser tarjeta de crédito",IF(AND(P4228="Gasto",E4228="Depósitos y retiros"),"⚠ Usa tipo Transferencia",IF(AND(P4228="Resultado trading",AD4228&lt;&gt;"Cuenta de trading"),"⚠ Usa una cuenta de trading",IF(AND(G4228&lt;=0,P4228&lt;&gt;"Ajuste",P4228&lt;&gt;"Resultado trading"),"⚠ El monto debe ser positivo","✓")))))))))))))))</f>
        <v/>
      </c>
      <c r="P4228" s="52">
        <f>IF(OR(B4228="",G4228=""),"",IF(C4228="","Gasto",C4228))</f>
        <v/>
      </c>
      <c r="Q4228" s="52">
        <f>IF(P4228="","",IF(J4228&lt;&gt;"",J4228,CuentaPred&amp;""))</f>
        <v/>
      </c>
      <c r="R4228" s="52">
        <f>IF(P4228="","",IF(ISNUMBER(I4228),I4228,TasaUSD))</f>
        <v/>
      </c>
      <c r="S4228" s="53">
        <f>IF(P4228="","",IF(H4228="USD",G4228*R4228,G4228))</f>
        <v/>
      </c>
      <c r="T4228" s="53">
        <f>IF(P4228="","",IF(H4228="USD",G4228,IF(R4228&gt;0,G4228/R4228,0)))</f>
        <v/>
      </c>
      <c r="U4228" s="53">
        <f>IF(P4228="","",IF(P4228="Gasto",S4228,IF(P4228="Reembolso",-S4228,0)))</f>
        <v/>
      </c>
      <c r="V4228" s="53">
        <f>IF(P4228="","",IF(P4228="Ingreso",S4228,0))</f>
        <v/>
      </c>
      <c r="W4228" s="53">
        <f>IF(P4228="","",IF(P4228="Resultado trading",S4228,0))</f>
        <v/>
      </c>
      <c r="X4228" s="52">
        <f>IF(OR(P4228="Gasto",P4228="Reembolso"),IF(M4228&lt;&gt;"",M4228,IFERROR(INDEX(catClasif,MATCH(D4228&amp;"|"&amp;E4228,catClave,0))&amp;"","Variable")),"")</f>
        <v/>
      </c>
      <c r="Y4228" s="52">
        <f>IF(P4228="","",IFERROR(INDEX(catGrupo,MATCH(D4228&amp;"|"&amp;E4228,catClave,0))&amp;"",""))</f>
        <v/>
      </c>
      <c r="Z4228" s="52">
        <f>IF(P4228="","",WEEKDAY(B4228,2))</f>
        <v/>
      </c>
      <c r="AA4228" s="52">
        <f>IF(P4228="","",IF(AND(P4228="Gasto",X4228="Variable",D4228&lt;&gt;catTrading,S4228&gt;0,S4228&lt;=Umbral),1,0))</f>
        <v/>
      </c>
      <c r="AB4228" s="52">
        <f>IF(OR(P4228="",Q4228=""),"",IFERROR(IF(INDEX(ctaVinc,MATCH(Q4228,ctaNombre,0))&amp;""&lt;&gt;"",INDEX(ctaVinc,MATCH(Q4228,ctaNombre,0))&amp;"",Q4228),Q4228))</f>
        <v/>
      </c>
      <c r="AC4228" s="52">
        <f>IF(OR(K4228="",AND(P4228&lt;&gt;"Transferencia",P4228&lt;&gt;"Pago tarjeta")),"",IFERROR(IF(INDEX(ctaVinc,MATCH(K4228,ctaNombre,0))&amp;""&lt;&gt;"",INDEX(ctaVinc,MATCH(K4228,ctaNombre,0))&amp;"",K4228),K4228))</f>
        <v/>
      </c>
      <c r="AD4228" s="52">
        <f>IF(AB4228="","",IFERROR(INDEX(ctaTipo,MATCH(AB4228,ctaNombre,0))&amp;"",""))</f>
        <v/>
      </c>
      <c r="AE4228" s="52">
        <f>IF(AC4228="","",IFERROR(INDEX(ctaTipo,MATCH(AC4228,ctaNombre,0))&amp;"",""))</f>
        <v/>
      </c>
      <c r="AF4228" s="53">
        <f>IF(OR(P4228="",AB4228=""),"",IF(OR(P4228="Gasto",P4228="Transferencia",P4228="Pago tarjeta"),-1,1)*IF(IFERROR(INDEX(ctaMoneda,MATCH(AB4228,ctaNombre,0))&amp;"","DOP")="USD",T4228,S4228))</f>
        <v/>
      </c>
      <c r="AG4228" s="53">
        <f>IF(AC4228="","",IF(IFERROR(INDEX(ctaMoneda,MATCH(AC4228,ctaNombre,0))&amp;"","DOP")="USD",T4228,S4228))</f>
        <v/>
      </c>
      <c r="AH4228" s="53">
        <f>IF(P4228="","",IF(AND(AD4228&lt;&gt;"",COUNTIFS(tcTipo,AD4228,tcLiq,"Sí")&gt;0),IF(OR(P4228="Gasto",P4228="Transferencia",P4228="Pago tarjeta"),-1,1)*S4228,0)+IF(AND(AE4228&lt;&gt;"",COUNTIFS(tcTipo,AE4228,tcLiq,"Sí")&gt;0),S4228,0))</f>
        <v/>
      </c>
      <c r="AI4228" s="52">
        <f>IF(OR(L4228="",P4228=""),"",IF(COUNTIFS(L$6:L4228,L4228,P$6:P4228,"?*")=1,MAX(AI$5:AI4227)+1,""))</f>
        <v/>
      </c>
    </row>
    <row r="4229">
      <c r="B4229" s="47" t="n"/>
      <c r="C4229" s="48" t="n"/>
      <c r="D4229" s="48" t="n"/>
      <c r="E4229" s="48" t="n"/>
      <c r="F4229" s="48" t="n"/>
      <c r="G4229" s="49" t="n"/>
      <c r="H4229" s="48" t="n"/>
      <c r="I4229" s="50" t="n"/>
      <c r="J4229" s="48" t="n"/>
      <c r="K4229" s="48" t="n"/>
      <c r="L4229" s="48" t="n"/>
      <c r="M4229" s="48" t="n"/>
      <c r="N4229" s="48" t="n"/>
      <c r="O4229" s="51">
        <f>IF(AND(B4229="",G4229="",C4229="",D4229="",J4229=""),"",IF(B4229="","⚠ Falta fecha",IF(G4229="","⚠ Falta monto",IF(Q4229="","⚠ Falta cuenta",IF(ISNA(MATCH(Q4229,ctaNombre,0)),"⚠ Cuenta no registrada",IF(AND(OR(P4229="Gasto",P4229="Reembolso"),D4229=""),"⚠ Falta categoría",IF(AND(D4229&lt;&gt;"",E4229&lt;&gt;"",ISNA(MATCH(D4229&amp;"|"&amp;E4229,catClave,0))),"⚠ Subcategoría no corresponde",IF(AND(OR(P4229="Transferencia",P4229="Pago tarjeta"),K4229=""),"⚠ Falta cuenta destino",IF(AND(K4229&lt;&gt;"",P4229&lt;&gt;"Transferencia",P4229&lt;&gt;"Pago tarjeta"),"⚠ Destino solo aplica a transferencias",IF(AND(K4229&lt;&gt;"",K4229=Q4229),"⚠ Origen igual a destino",IF(AND(K4229&lt;&gt;"",ISNA(MATCH(K4229,ctaNombre,0))),"⚠ Destino no registrado",IF(AND(P4229="Pago tarjeta",AE4229&lt;&gt;"Tarjeta de crédito"),"⚠ El destino debe ser tarjeta de crédito",IF(AND(P4229="Gasto",E4229="Depósitos y retiros"),"⚠ Usa tipo Transferencia",IF(AND(P4229="Resultado trading",AD4229&lt;&gt;"Cuenta de trading"),"⚠ Usa una cuenta de trading",IF(AND(G4229&lt;=0,P4229&lt;&gt;"Ajuste",P4229&lt;&gt;"Resultado trading"),"⚠ El monto debe ser positivo","✓")))))))))))))))</f>
        <v/>
      </c>
      <c r="P4229" s="52">
        <f>IF(OR(B4229="",G4229=""),"",IF(C4229="","Gasto",C4229))</f>
        <v/>
      </c>
      <c r="Q4229" s="52">
        <f>IF(P4229="","",IF(J4229&lt;&gt;"",J4229,CuentaPred&amp;""))</f>
        <v/>
      </c>
      <c r="R4229" s="52">
        <f>IF(P4229="","",IF(ISNUMBER(I4229),I4229,TasaUSD))</f>
        <v/>
      </c>
      <c r="S4229" s="53">
        <f>IF(P4229="","",IF(H4229="USD",G4229*R4229,G4229))</f>
        <v/>
      </c>
      <c r="T4229" s="53">
        <f>IF(P4229="","",IF(H4229="USD",G4229,IF(R4229&gt;0,G4229/R4229,0)))</f>
        <v/>
      </c>
      <c r="U4229" s="53">
        <f>IF(P4229="","",IF(P4229="Gasto",S4229,IF(P4229="Reembolso",-S4229,0)))</f>
        <v/>
      </c>
      <c r="V4229" s="53">
        <f>IF(P4229="","",IF(P4229="Ingreso",S4229,0))</f>
        <v/>
      </c>
      <c r="W4229" s="53">
        <f>IF(P4229="","",IF(P4229="Resultado trading",S4229,0))</f>
        <v/>
      </c>
      <c r="X4229" s="52">
        <f>IF(OR(P4229="Gasto",P4229="Reembolso"),IF(M4229&lt;&gt;"",M4229,IFERROR(INDEX(catClasif,MATCH(D4229&amp;"|"&amp;E4229,catClave,0))&amp;"","Variable")),"")</f>
        <v/>
      </c>
      <c r="Y4229" s="52">
        <f>IF(P4229="","",IFERROR(INDEX(catGrupo,MATCH(D4229&amp;"|"&amp;E4229,catClave,0))&amp;"",""))</f>
        <v/>
      </c>
      <c r="Z4229" s="52">
        <f>IF(P4229="","",WEEKDAY(B4229,2))</f>
        <v/>
      </c>
      <c r="AA4229" s="52">
        <f>IF(P4229="","",IF(AND(P4229="Gasto",X4229="Variable",D4229&lt;&gt;catTrading,S4229&gt;0,S4229&lt;=Umbral),1,0))</f>
        <v/>
      </c>
      <c r="AB4229" s="52">
        <f>IF(OR(P4229="",Q4229=""),"",IFERROR(IF(INDEX(ctaVinc,MATCH(Q4229,ctaNombre,0))&amp;""&lt;&gt;"",INDEX(ctaVinc,MATCH(Q4229,ctaNombre,0))&amp;"",Q4229),Q4229))</f>
        <v/>
      </c>
      <c r="AC4229" s="52">
        <f>IF(OR(K4229="",AND(P4229&lt;&gt;"Transferencia",P4229&lt;&gt;"Pago tarjeta")),"",IFERROR(IF(INDEX(ctaVinc,MATCH(K4229,ctaNombre,0))&amp;""&lt;&gt;"",INDEX(ctaVinc,MATCH(K4229,ctaNombre,0))&amp;"",K4229),K4229))</f>
        <v/>
      </c>
      <c r="AD4229" s="52">
        <f>IF(AB4229="","",IFERROR(INDEX(ctaTipo,MATCH(AB4229,ctaNombre,0))&amp;"",""))</f>
        <v/>
      </c>
      <c r="AE4229" s="52">
        <f>IF(AC4229="","",IFERROR(INDEX(ctaTipo,MATCH(AC4229,ctaNombre,0))&amp;"",""))</f>
        <v/>
      </c>
      <c r="AF4229" s="53">
        <f>IF(OR(P4229="",AB4229=""),"",IF(OR(P4229="Gasto",P4229="Transferencia",P4229="Pago tarjeta"),-1,1)*IF(IFERROR(INDEX(ctaMoneda,MATCH(AB4229,ctaNombre,0))&amp;"","DOP")="USD",T4229,S4229))</f>
        <v/>
      </c>
      <c r="AG4229" s="53">
        <f>IF(AC4229="","",IF(IFERROR(INDEX(ctaMoneda,MATCH(AC4229,ctaNombre,0))&amp;"","DOP")="USD",T4229,S4229))</f>
        <v/>
      </c>
      <c r="AH4229" s="53">
        <f>IF(P4229="","",IF(AND(AD4229&lt;&gt;"",COUNTIFS(tcTipo,AD4229,tcLiq,"Sí")&gt;0),IF(OR(P4229="Gasto",P4229="Transferencia",P4229="Pago tarjeta"),-1,1)*S4229,0)+IF(AND(AE4229&lt;&gt;"",COUNTIFS(tcTipo,AE4229,tcLiq,"Sí")&gt;0),S4229,0))</f>
        <v/>
      </c>
      <c r="AI4229" s="52">
        <f>IF(OR(L4229="",P4229=""),"",IF(COUNTIFS(L$6:L4229,L4229,P$6:P4229,"?*")=1,MAX(AI$5:AI4228)+1,""))</f>
        <v/>
      </c>
    </row>
    <row r="4230">
      <c r="B4230" s="47" t="n"/>
      <c r="C4230" s="48" t="n"/>
      <c r="D4230" s="48" t="n"/>
      <c r="E4230" s="48" t="n"/>
      <c r="F4230" s="48" t="n"/>
      <c r="G4230" s="49" t="n"/>
      <c r="H4230" s="48" t="n"/>
      <c r="I4230" s="50" t="n"/>
      <c r="J4230" s="48" t="n"/>
      <c r="K4230" s="48" t="n"/>
      <c r="L4230" s="48" t="n"/>
      <c r="M4230" s="48" t="n"/>
      <c r="N4230" s="48" t="n"/>
      <c r="O4230" s="51">
        <f>IF(AND(B4230="",G4230="",C4230="",D4230="",J4230=""),"",IF(B4230="","⚠ Falta fecha",IF(G4230="","⚠ Falta monto",IF(Q4230="","⚠ Falta cuenta",IF(ISNA(MATCH(Q4230,ctaNombre,0)),"⚠ Cuenta no registrada",IF(AND(OR(P4230="Gasto",P4230="Reembolso"),D4230=""),"⚠ Falta categoría",IF(AND(D4230&lt;&gt;"",E4230&lt;&gt;"",ISNA(MATCH(D4230&amp;"|"&amp;E4230,catClave,0))),"⚠ Subcategoría no corresponde",IF(AND(OR(P4230="Transferencia",P4230="Pago tarjeta"),K4230=""),"⚠ Falta cuenta destino",IF(AND(K4230&lt;&gt;"",P4230&lt;&gt;"Transferencia",P4230&lt;&gt;"Pago tarjeta"),"⚠ Destino solo aplica a transferencias",IF(AND(K4230&lt;&gt;"",K4230=Q4230),"⚠ Origen igual a destino",IF(AND(K4230&lt;&gt;"",ISNA(MATCH(K4230,ctaNombre,0))),"⚠ Destino no registrado",IF(AND(P4230="Pago tarjeta",AE4230&lt;&gt;"Tarjeta de crédito"),"⚠ El destino debe ser tarjeta de crédito",IF(AND(P4230="Gasto",E4230="Depósitos y retiros"),"⚠ Usa tipo Transferencia",IF(AND(P4230="Resultado trading",AD4230&lt;&gt;"Cuenta de trading"),"⚠ Usa una cuenta de trading",IF(AND(G4230&lt;=0,P4230&lt;&gt;"Ajuste",P4230&lt;&gt;"Resultado trading"),"⚠ El monto debe ser positivo","✓")))))))))))))))</f>
        <v/>
      </c>
      <c r="P4230" s="52">
        <f>IF(OR(B4230="",G4230=""),"",IF(C4230="","Gasto",C4230))</f>
        <v/>
      </c>
      <c r="Q4230" s="52">
        <f>IF(P4230="","",IF(J4230&lt;&gt;"",J4230,CuentaPred&amp;""))</f>
        <v/>
      </c>
      <c r="R4230" s="52">
        <f>IF(P4230="","",IF(ISNUMBER(I4230),I4230,TasaUSD))</f>
        <v/>
      </c>
      <c r="S4230" s="53">
        <f>IF(P4230="","",IF(H4230="USD",G4230*R4230,G4230))</f>
        <v/>
      </c>
      <c r="T4230" s="53">
        <f>IF(P4230="","",IF(H4230="USD",G4230,IF(R4230&gt;0,G4230/R4230,0)))</f>
        <v/>
      </c>
      <c r="U4230" s="53">
        <f>IF(P4230="","",IF(P4230="Gasto",S4230,IF(P4230="Reembolso",-S4230,0)))</f>
        <v/>
      </c>
      <c r="V4230" s="53">
        <f>IF(P4230="","",IF(P4230="Ingreso",S4230,0))</f>
        <v/>
      </c>
      <c r="W4230" s="53">
        <f>IF(P4230="","",IF(P4230="Resultado trading",S4230,0))</f>
        <v/>
      </c>
      <c r="X4230" s="52">
        <f>IF(OR(P4230="Gasto",P4230="Reembolso"),IF(M4230&lt;&gt;"",M4230,IFERROR(INDEX(catClasif,MATCH(D4230&amp;"|"&amp;E4230,catClave,0))&amp;"","Variable")),"")</f>
        <v/>
      </c>
      <c r="Y4230" s="52">
        <f>IF(P4230="","",IFERROR(INDEX(catGrupo,MATCH(D4230&amp;"|"&amp;E4230,catClave,0))&amp;"",""))</f>
        <v/>
      </c>
      <c r="Z4230" s="52">
        <f>IF(P4230="","",WEEKDAY(B4230,2))</f>
        <v/>
      </c>
      <c r="AA4230" s="52">
        <f>IF(P4230="","",IF(AND(P4230="Gasto",X4230="Variable",D4230&lt;&gt;catTrading,S4230&gt;0,S4230&lt;=Umbral),1,0))</f>
        <v/>
      </c>
      <c r="AB4230" s="52">
        <f>IF(OR(P4230="",Q4230=""),"",IFERROR(IF(INDEX(ctaVinc,MATCH(Q4230,ctaNombre,0))&amp;""&lt;&gt;"",INDEX(ctaVinc,MATCH(Q4230,ctaNombre,0))&amp;"",Q4230),Q4230))</f>
        <v/>
      </c>
      <c r="AC4230" s="52">
        <f>IF(OR(K4230="",AND(P4230&lt;&gt;"Transferencia",P4230&lt;&gt;"Pago tarjeta")),"",IFERROR(IF(INDEX(ctaVinc,MATCH(K4230,ctaNombre,0))&amp;""&lt;&gt;"",INDEX(ctaVinc,MATCH(K4230,ctaNombre,0))&amp;"",K4230),K4230))</f>
        <v/>
      </c>
      <c r="AD4230" s="52">
        <f>IF(AB4230="","",IFERROR(INDEX(ctaTipo,MATCH(AB4230,ctaNombre,0))&amp;"",""))</f>
        <v/>
      </c>
      <c r="AE4230" s="52">
        <f>IF(AC4230="","",IFERROR(INDEX(ctaTipo,MATCH(AC4230,ctaNombre,0))&amp;"",""))</f>
        <v/>
      </c>
      <c r="AF4230" s="53">
        <f>IF(OR(P4230="",AB4230=""),"",IF(OR(P4230="Gasto",P4230="Transferencia",P4230="Pago tarjeta"),-1,1)*IF(IFERROR(INDEX(ctaMoneda,MATCH(AB4230,ctaNombre,0))&amp;"","DOP")="USD",T4230,S4230))</f>
        <v/>
      </c>
      <c r="AG4230" s="53">
        <f>IF(AC4230="","",IF(IFERROR(INDEX(ctaMoneda,MATCH(AC4230,ctaNombre,0))&amp;"","DOP")="USD",T4230,S4230))</f>
        <v/>
      </c>
      <c r="AH4230" s="53">
        <f>IF(P4230="","",IF(AND(AD4230&lt;&gt;"",COUNTIFS(tcTipo,AD4230,tcLiq,"Sí")&gt;0),IF(OR(P4230="Gasto",P4230="Transferencia",P4230="Pago tarjeta"),-1,1)*S4230,0)+IF(AND(AE4230&lt;&gt;"",COUNTIFS(tcTipo,AE4230,tcLiq,"Sí")&gt;0),S4230,0))</f>
        <v/>
      </c>
      <c r="AI4230" s="52">
        <f>IF(OR(L4230="",P4230=""),"",IF(COUNTIFS(L$6:L4230,L4230,P$6:P4230,"?*")=1,MAX(AI$5:AI4229)+1,""))</f>
        <v/>
      </c>
    </row>
    <row r="4231">
      <c r="B4231" s="47" t="n"/>
      <c r="C4231" s="48" t="n"/>
      <c r="D4231" s="48" t="n"/>
      <c r="E4231" s="48" t="n"/>
      <c r="F4231" s="48" t="n"/>
      <c r="G4231" s="49" t="n"/>
      <c r="H4231" s="48" t="n"/>
      <c r="I4231" s="50" t="n"/>
      <c r="J4231" s="48" t="n"/>
      <c r="K4231" s="48" t="n"/>
      <c r="L4231" s="48" t="n"/>
      <c r="M4231" s="48" t="n"/>
      <c r="N4231" s="48" t="n"/>
      <c r="O4231" s="51">
        <f>IF(AND(B4231="",G4231="",C4231="",D4231="",J4231=""),"",IF(B4231="","⚠ Falta fecha",IF(G4231="","⚠ Falta monto",IF(Q4231="","⚠ Falta cuenta",IF(ISNA(MATCH(Q4231,ctaNombre,0)),"⚠ Cuenta no registrada",IF(AND(OR(P4231="Gasto",P4231="Reembolso"),D4231=""),"⚠ Falta categoría",IF(AND(D4231&lt;&gt;"",E4231&lt;&gt;"",ISNA(MATCH(D4231&amp;"|"&amp;E4231,catClave,0))),"⚠ Subcategoría no corresponde",IF(AND(OR(P4231="Transferencia",P4231="Pago tarjeta"),K4231=""),"⚠ Falta cuenta destino",IF(AND(K4231&lt;&gt;"",P4231&lt;&gt;"Transferencia",P4231&lt;&gt;"Pago tarjeta"),"⚠ Destino solo aplica a transferencias",IF(AND(K4231&lt;&gt;"",K4231=Q4231),"⚠ Origen igual a destino",IF(AND(K4231&lt;&gt;"",ISNA(MATCH(K4231,ctaNombre,0))),"⚠ Destino no registrado",IF(AND(P4231="Pago tarjeta",AE4231&lt;&gt;"Tarjeta de crédito"),"⚠ El destino debe ser tarjeta de crédito",IF(AND(P4231="Gasto",E4231="Depósitos y retiros"),"⚠ Usa tipo Transferencia",IF(AND(P4231="Resultado trading",AD4231&lt;&gt;"Cuenta de trading"),"⚠ Usa una cuenta de trading",IF(AND(G4231&lt;=0,P4231&lt;&gt;"Ajuste",P4231&lt;&gt;"Resultado trading"),"⚠ El monto debe ser positivo","✓")))))))))))))))</f>
        <v/>
      </c>
      <c r="P4231" s="52">
        <f>IF(OR(B4231="",G4231=""),"",IF(C4231="","Gasto",C4231))</f>
        <v/>
      </c>
      <c r="Q4231" s="52">
        <f>IF(P4231="","",IF(J4231&lt;&gt;"",J4231,CuentaPred&amp;""))</f>
        <v/>
      </c>
      <c r="R4231" s="52">
        <f>IF(P4231="","",IF(ISNUMBER(I4231),I4231,TasaUSD))</f>
        <v/>
      </c>
      <c r="S4231" s="53">
        <f>IF(P4231="","",IF(H4231="USD",G4231*R4231,G4231))</f>
        <v/>
      </c>
      <c r="T4231" s="53">
        <f>IF(P4231="","",IF(H4231="USD",G4231,IF(R4231&gt;0,G4231/R4231,0)))</f>
        <v/>
      </c>
      <c r="U4231" s="53">
        <f>IF(P4231="","",IF(P4231="Gasto",S4231,IF(P4231="Reembolso",-S4231,0)))</f>
        <v/>
      </c>
      <c r="V4231" s="53">
        <f>IF(P4231="","",IF(P4231="Ingreso",S4231,0))</f>
        <v/>
      </c>
      <c r="W4231" s="53">
        <f>IF(P4231="","",IF(P4231="Resultado trading",S4231,0))</f>
        <v/>
      </c>
      <c r="X4231" s="52">
        <f>IF(OR(P4231="Gasto",P4231="Reembolso"),IF(M4231&lt;&gt;"",M4231,IFERROR(INDEX(catClasif,MATCH(D4231&amp;"|"&amp;E4231,catClave,0))&amp;"","Variable")),"")</f>
        <v/>
      </c>
      <c r="Y4231" s="52">
        <f>IF(P4231="","",IFERROR(INDEX(catGrupo,MATCH(D4231&amp;"|"&amp;E4231,catClave,0))&amp;"",""))</f>
        <v/>
      </c>
      <c r="Z4231" s="52">
        <f>IF(P4231="","",WEEKDAY(B4231,2))</f>
        <v/>
      </c>
      <c r="AA4231" s="52">
        <f>IF(P4231="","",IF(AND(P4231="Gasto",X4231="Variable",D4231&lt;&gt;catTrading,S4231&gt;0,S4231&lt;=Umbral),1,0))</f>
        <v/>
      </c>
      <c r="AB4231" s="52">
        <f>IF(OR(P4231="",Q4231=""),"",IFERROR(IF(INDEX(ctaVinc,MATCH(Q4231,ctaNombre,0))&amp;""&lt;&gt;"",INDEX(ctaVinc,MATCH(Q4231,ctaNombre,0))&amp;"",Q4231),Q4231))</f>
        <v/>
      </c>
      <c r="AC4231" s="52">
        <f>IF(OR(K4231="",AND(P4231&lt;&gt;"Transferencia",P4231&lt;&gt;"Pago tarjeta")),"",IFERROR(IF(INDEX(ctaVinc,MATCH(K4231,ctaNombre,0))&amp;""&lt;&gt;"",INDEX(ctaVinc,MATCH(K4231,ctaNombre,0))&amp;"",K4231),K4231))</f>
        <v/>
      </c>
      <c r="AD4231" s="52">
        <f>IF(AB4231="","",IFERROR(INDEX(ctaTipo,MATCH(AB4231,ctaNombre,0))&amp;"",""))</f>
        <v/>
      </c>
      <c r="AE4231" s="52">
        <f>IF(AC4231="","",IFERROR(INDEX(ctaTipo,MATCH(AC4231,ctaNombre,0))&amp;"",""))</f>
        <v/>
      </c>
      <c r="AF4231" s="53">
        <f>IF(OR(P4231="",AB4231=""),"",IF(OR(P4231="Gasto",P4231="Transferencia",P4231="Pago tarjeta"),-1,1)*IF(IFERROR(INDEX(ctaMoneda,MATCH(AB4231,ctaNombre,0))&amp;"","DOP")="USD",T4231,S4231))</f>
        <v/>
      </c>
      <c r="AG4231" s="53">
        <f>IF(AC4231="","",IF(IFERROR(INDEX(ctaMoneda,MATCH(AC4231,ctaNombre,0))&amp;"","DOP")="USD",T4231,S4231))</f>
        <v/>
      </c>
      <c r="AH4231" s="53">
        <f>IF(P4231="","",IF(AND(AD4231&lt;&gt;"",COUNTIFS(tcTipo,AD4231,tcLiq,"Sí")&gt;0),IF(OR(P4231="Gasto",P4231="Transferencia",P4231="Pago tarjeta"),-1,1)*S4231,0)+IF(AND(AE4231&lt;&gt;"",COUNTIFS(tcTipo,AE4231,tcLiq,"Sí")&gt;0),S4231,0))</f>
        <v/>
      </c>
      <c r="AI4231" s="52">
        <f>IF(OR(L4231="",P4231=""),"",IF(COUNTIFS(L$6:L4231,L4231,P$6:P4231,"?*")=1,MAX(AI$5:AI4230)+1,""))</f>
        <v/>
      </c>
    </row>
    <row r="4232">
      <c r="B4232" s="47" t="n"/>
      <c r="C4232" s="48" t="n"/>
      <c r="D4232" s="48" t="n"/>
      <c r="E4232" s="48" t="n"/>
      <c r="F4232" s="48" t="n"/>
      <c r="G4232" s="49" t="n"/>
      <c r="H4232" s="48" t="n"/>
      <c r="I4232" s="50" t="n"/>
      <c r="J4232" s="48" t="n"/>
      <c r="K4232" s="48" t="n"/>
      <c r="L4232" s="48" t="n"/>
      <c r="M4232" s="48" t="n"/>
      <c r="N4232" s="48" t="n"/>
      <c r="O4232" s="51">
        <f>IF(AND(B4232="",G4232="",C4232="",D4232="",J4232=""),"",IF(B4232="","⚠ Falta fecha",IF(G4232="","⚠ Falta monto",IF(Q4232="","⚠ Falta cuenta",IF(ISNA(MATCH(Q4232,ctaNombre,0)),"⚠ Cuenta no registrada",IF(AND(OR(P4232="Gasto",P4232="Reembolso"),D4232=""),"⚠ Falta categoría",IF(AND(D4232&lt;&gt;"",E4232&lt;&gt;"",ISNA(MATCH(D4232&amp;"|"&amp;E4232,catClave,0))),"⚠ Subcategoría no corresponde",IF(AND(OR(P4232="Transferencia",P4232="Pago tarjeta"),K4232=""),"⚠ Falta cuenta destino",IF(AND(K4232&lt;&gt;"",P4232&lt;&gt;"Transferencia",P4232&lt;&gt;"Pago tarjeta"),"⚠ Destino solo aplica a transferencias",IF(AND(K4232&lt;&gt;"",K4232=Q4232),"⚠ Origen igual a destino",IF(AND(K4232&lt;&gt;"",ISNA(MATCH(K4232,ctaNombre,0))),"⚠ Destino no registrado",IF(AND(P4232="Pago tarjeta",AE4232&lt;&gt;"Tarjeta de crédito"),"⚠ El destino debe ser tarjeta de crédito",IF(AND(P4232="Gasto",E4232="Depósitos y retiros"),"⚠ Usa tipo Transferencia",IF(AND(P4232="Resultado trading",AD4232&lt;&gt;"Cuenta de trading"),"⚠ Usa una cuenta de trading",IF(AND(G4232&lt;=0,P4232&lt;&gt;"Ajuste",P4232&lt;&gt;"Resultado trading"),"⚠ El monto debe ser positivo","✓")))))))))))))))</f>
        <v/>
      </c>
      <c r="P4232" s="52">
        <f>IF(OR(B4232="",G4232=""),"",IF(C4232="","Gasto",C4232))</f>
        <v/>
      </c>
      <c r="Q4232" s="52">
        <f>IF(P4232="","",IF(J4232&lt;&gt;"",J4232,CuentaPred&amp;""))</f>
        <v/>
      </c>
      <c r="R4232" s="52">
        <f>IF(P4232="","",IF(ISNUMBER(I4232),I4232,TasaUSD))</f>
        <v/>
      </c>
      <c r="S4232" s="53">
        <f>IF(P4232="","",IF(H4232="USD",G4232*R4232,G4232))</f>
        <v/>
      </c>
      <c r="T4232" s="53">
        <f>IF(P4232="","",IF(H4232="USD",G4232,IF(R4232&gt;0,G4232/R4232,0)))</f>
        <v/>
      </c>
      <c r="U4232" s="53">
        <f>IF(P4232="","",IF(P4232="Gasto",S4232,IF(P4232="Reembolso",-S4232,0)))</f>
        <v/>
      </c>
      <c r="V4232" s="53">
        <f>IF(P4232="","",IF(P4232="Ingreso",S4232,0))</f>
        <v/>
      </c>
      <c r="W4232" s="53">
        <f>IF(P4232="","",IF(P4232="Resultado trading",S4232,0))</f>
        <v/>
      </c>
      <c r="X4232" s="52">
        <f>IF(OR(P4232="Gasto",P4232="Reembolso"),IF(M4232&lt;&gt;"",M4232,IFERROR(INDEX(catClasif,MATCH(D4232&amp;"|"&amp;E4232,catClave,0))&amp;"","Variable")),"")</f>
        <v/>
      </c>
      <c r="Y4232" s="52">
        <f>IF(P4232="","",IFERROR(INDEX(catGrupo,MATCH(D4232&amp;"|"&amp;E4232,catClave,0))&amp;"",""))</f>
        <v/>
      </c>
      <c r="Z4232" s="52">
        <f>IF(P4232="","",WEEKDAY(B4232,2))</f>
        <v/>
      </c>
      <c r="AA4232" s="52">
        <f>IF(P4232="","",IF(AND(P4232="Gasto",X4232="Variable",D4232&lt;&gt;catTrading,S4232&gt;0,S4232&lt;=Umbral),1,0))</f>
        <v/>
      </c>
      <c r="AB4232" s="52">
        <f>IF(OR(P4232="",Q4232=""),"",IFERROR(IF(INDEX(ctaVinc,MATCH(Q4232,ctaNombre,0))&amp;""&lt;&gt;"",INDEX(ctaVinc,MATCH(Q4232,ctaNombre,0))&amp;"",Q4232),Q4232))</f>
        <v/>
      </c>
      <c r="AC4232" s="52">
        <f>IF(OR(K4232="",AND(P4232&lt;&gt;"Transferencia",P4232&lt;&gt;"Pago tarjeta")),"",IFERROR(IF(INDEX(ctaVinc,MATCH(K4232,ctaNombre,0))&amp;""&lt;&gt;"",INDEX(ctaVinc,MATCH(K4232,ctaNombre,0))&amp;"",K4232),K4232))</f>
        <v/>
      </c>
      <c r="AD4232" s="52">
        <f>IF(AB4232="","",IFERROR(INDEX(ctaTipo,MATCH(AB4232,ctaNombre,0))&amp;"",""))</f>
        <v/>
      </c>
      <c r="AE4232" s="52">
        <f>IF(AC4232="","",IFERROR(INDEX(ctaTipo,MATCH(AC4232,ctaNombre,0))&amp;"",""))</f>
        <v/>
      </c>
      <c r="AF4232" s="53">
        <f>IF(OR(P4232="",AB4232=""),"",IF(OR(P4232="Gasto",P4232="Transferencia",P4232="Pago tarjeta"),-1,1)*IF(IFERROR(INDEX(ctaMoneda,MATCH(AB4232,ctaNombre,0))&amp;"","DOP")="USD",T4232,S4232))</f>
        <v/>
      </c>
      <c r="AG4232" s="53">
        <f>IF(AC4232="","",IF(IFERROR(INDEX(ctaMoneda,MATCH(AC4232,ctaNombre,0))&amp;"","DOP")="USD",T4232,S4232))</f>
        <v/>
      </c>
      <c r="AH4232" s="53">
        <f>IF(P4232="","",IF(AND(AD4232&lt;&gt;"",COUNTIFS(tcTipo,AD4232,tcLiq,"Sí")&gt;0),IF(OR(P4232="Gasto",P4232="Transferencia",P4232="Pago tarjeta"),-1,1)*S4232,0)+IF(AND(AE4232&lt;&gt;"",COUNTIFS(tcTipo,AE4232,tcLiq,"Sí")&gt;0),S4232,0))</f>
        <v/>
      </c>
      <c r="AI4232" s="52">
        <f>IF(OR(L4232="",P4232=""),"",IF(COUNTIFS(L$6:L4232,L4232,P$6:P4232,"?*")=1,MAX(AI$5:AI4231)+1,""))</f>
        <v/>
      </c>
    </row>
    <row r="4233">
      <c r="B4233" s="47" t="n"/>
      <c r="C4233" s="48" t="n"/>
      <c r="D4233" s="48" t="n"/>
      <c r="E4233" s="48" t="n"/>
      <c r="F4233" s="48" t="n"/>
      <c r="G4233" s="49" t="n"/>
      <c r="H4233" s="48" t="n"/>
      <c r="I4233" s="50" t="n"/>
      <c r="J4233" s="48" t="n"/>
      <c r="K4233" s="48" t="n"/>
      <c r="L4233" s="48" t="n"/>
      <c r="M4233" s="48" t="n"/>
      <c r="N4233" s="48" t="n"/>
      <c r="O4233" s="51">
        <f>IF(AND(B4233="",G4233="",C4233="",D4233="",J4233=""),"",IF(B4233="","⚠ Falta fecha",IF(G4233="","⚠ Falta monto",IF(Q4233="","⚠ Falta cuenta",IF(ISNA(MATCH(Q4233,ctaNombre,0)),"⚠ Cuenta no registrada",IF(AND(OR(P4233="Gasto",P4233="Reembolso"),D4233=""),"⚠ Falta categoría",IF(AND(D4233&lt;&gt;"",E4233&lt;&gt;"",ISNA(MATCH(D4233&amp;"|"&amp;E4233,catClave,0))),"⚠ Subcategoría no corresponde",IF(AND(OR(P4233="Transferencia",P4233="Pago tarjeta"),K4233=""),"⚠ Falta cuenta destino",IF(AND(K4233&lt;&gt;"",P4233&lt;&gt;"Transferencia",P4233&lt;&gt;"Pago tarjeta"),"⚠ Destino solo aplica a transferencias",IF(AND(K4233&lt;&gt;"",K4233=Q4233),"⚠ Origen igual a destino",IF(AND(K4233&lt;&gt;"",ISNA(MATCH(K4233,ctaNombre,0))),"⚠ Destino no registrado",IF(AND(P4233="Pago tarjeta",AE4233&lt;&gt;"Tarjeta de crédito"),"⚠ El destino debe ser tarjeta de crédito",IF(AND(P4233="Gasto",E4233="Depósitos y retiros"),"⚠ Usa tipo Transferencia",IF(AND(P4233="Resultado trading",AD4233&lt;&gt;"Cuenta de trading"),"⚠ Usa una cuenta de trading",IF(AND(G4233&lt;=0,P4233&lt;&gt;"Ajuste",P4233&lt;&gt;"Resultado trading"),"⚠ El monto debe ser positivo","✓")))))))))))))))</f>
        <v/>
      </c>
      <c r="P4233" s="52">
        <f>IF(OR(B4233="",G4233=""),"",IF(C4233="","Gasto",C4233))</f>
        <v/>
      </c>
      <c r="Q4233" s="52">
        <f>IF(P4233="","",IF(J4233&lt;&gt;"",J4233,CuentaPred&amp;""))</f>
        <v/>
      </c>
      <c r="R4233" s="52">
        <f>IF(P4233="","",IF(ISNUMBER(I4233),I4233,TasaUSD))</f>
        <v/>
      </c>
      <c r="S4233" s="53">
        <f>IF(P4233="","",IF(H4233="USD",G4233*R4233,G4233))</f>
        <v/>
      </c>
      <c r="T4233" s="53">
        <f>IF(P4233="","",IF(H4233="USD",G4233,IF(R4233&gt;0,G4233/R4233,0)))</f>
        <v/>
      </c>
      <c r="U4233" s="53">
        <f>IF(P4233="","",IF(P4233="Gasto",S4233,IF(P4233="Reembolso",-S4233,0)))</f>
        <v/>
      </c>
      <c r="V4233" s="53">
        <f>IF(P4233="","",IF(P4233="Ingreso",S4233,0))</f>
        <v/>
      </c>
      <c r="W4233" s="53">
        <f>IF(P4233="","",IF(P4233="Resultado trading",S4233,0))</f>
        <v/>
      </c>
      <c r="X4233" s="52">
        <f>IF(OR(P4233="Gasto",P4233="Reembolso"),IF(M4233&lt;&gt;"",M4233,IFERROR(INDEX(catClasif,MATCH(D4233&amp;"|"&amp;E4233,catClave,0))&amp;"","Variable")),"")</f>
        <v/>
      </c>
      <c r="Y4233" s="52">
        <f>IF(P4233="","",IFERROR(INDEX(catGrupo,MATCH(D4233&amp;"|"&amp;E4233,catClave,0))&amp;"",""))</f>
        <v/>
      </c>
      <c r="Z4233" s="52">
        <f>IF(P4233="","",WEEKDAY(B4233,2))</f>
        <v/>
      </c>
      <c r="AA4233" s="52">
        <f>IF(P4233="","",IF(AND(P4233="Gasto",X4233="Variable",D4233&lt;&gt;catTrading,S4233&gt;0,S4233&lt;=Umbral),1,0))</f>
        <v/>
      </c>
      <c r="AB4233" s="52">
        <f>IF(OR(P4233="",Q4233=""),"",IFERROR(IF(INDEX(ctaVinc,MATCH(Q4233,ctaNombre,0))&amp;""&lt;&gt;"",INDEX(ctaVinc,MATCH(Q4233,ctaNombre,0))&amp;"",Q4233),Q4233))</f>
        <v/>
      </c>
      <c r="AC4233" s="52">
        <f>IF(OR(K4233="",AND(P4233&lt;&gt;"Transferencia",P4233&lt;&gt;"Pago tarjeta")),"",IFERROR(IF(INDEX(ctaVinc,MATCH(K4233,ctaNombre,0))&amp;""&lt;&gt;"",INDEX(ctaVinc,MATCH(K4233,ctaNombre,0))&amp;"",K4233),K4233))</f>
        <v/>
      </c>
      <c r="AD4233" s="52">
        <f>IF(AB4233="","",IFERROR(INDEX(ctaTipo,MATCH(AB4233,ctaNombre,0))&amp;"",""))</f>
        <v/>
      </c>
      <c r="AE4233" s="52">
        <f>IF(AC4233="","",IFERROR(INDEX(ctaTipo,MATCH(AC4233,ctaNombre,0))&amp;"",""))</f>
        <v/>
      </c>
      <c r="AF4233" s="53">
        <f>IF(OR(P4233="",AB4233=""),"",IF(OR(P4233="Gasto",P4233="Transferencia",P4233="Pago tarjeta"),-1,1)*IF(IFERROR(INDEX(ctaMoneda,MATCH(AB4233,ctaNombre,0))&amp;"","DOP")="USD",T4233,S4233))</f>
        <v/>
      </c>
      <c r="AG4233" s="53">
        <f>IF(AC4233="","",IF(IFERROR(INDEX(ctaMoneda,MATCH(AC4233,ctaNombre,0))&amp;"","DOP")="USD",T4233,S4233))</f>
        <v/>
      </c>
      <c r="AH4233" s="53">
        <f>IF(P4233="","",IF(AND(AD4233&lt;&gt;"",COUNTIFS(tcTipo,AD4233,tcLiq,"Sí")&gt;0),IF(OR(P4233="Gasto",P4233="Transferencia",P4233="Pago tarjeta"),-1,1)*S4233,0)+IF(AND(AE4233&lt;&gt;"",COUNTIFS(tcTipo,AE4233,tcLiq,"Sí")&gt;0),S4233,0))</f>
        <v/>
      </c>
      <c r="AI4233" s="52">
        <f>IF(OR(L4233="",P4233=""),"",IF(COUNTIFS(L$6:L4233,L4233,P$6:P4233,"?*")=1,MAX(AI$5:AI4232)+1,""))</f>
        <v/>
      </c>
    </row>
    <row r="4234">
      <c r="B4234" s="47" t="n"/>
      <c r="C4234" s="48" t="n"/>
      <c r="D4234" s="48" t="n"/>
      <c r="E4234" s="48" t="n"/>
      <c r="F4234" s="48" t="n"/>
      <c r="G4234" s="49" t="n"/>
      <c r="H4234" s="48" t="n"/>
      <c r="I4234" s="50" t="n"/>
      <c r="J4234" s="48" t="n"/>
      <c r="K4234" s="48" t="n"/>
      <c r="L4234" s="48" t="n"/>
      <c r="M4234" s="48" t="n"/>
      <c r="N4234" s="48" t="n"/>
      <c r="O4234" s="51">
        <f>IF(AND(B4234="",G4234="",C4234="",D4234="",J4234=""),"",IF(B4234="","⚠ Falta fecha",IF(G4234="","⚠ Falta monto",IF(Q4234="","⚠ Falta cuenta",IF(ISNA(MATCH(Q4234,ctaNombre,0)),"⚠ Cuenta no registrada",IF(AND(OR(P4234="Gasto",P4234="Reembolso"),D4234=""),"⚠ Falta categoría",IF(AND(D4234&lt;&gt;"",E4234&lt;&gt;"",ISNA(MATCH(D4234&amp;"|"&amp;E4234,catClave,0))),"⚠ Subcategoría no corresponde",IF(AND(OR(P4234="Transferencia",P4234="Pago tarjeta"),K4234=""),"⚠ Falta cuenta destino",IF(AND(K4234&lt;&gt;"",P4234&lt;&gt;"Transferencia",P4234&lt;&gt;"Pago tarjeta"),"⚠ Destino solo aplica a transferencias",IF(AND(K4234&lt;&gt;"",K4234=Q4234),"⚠ Origen igual a destino",IF(AND(K4234&lt;&gt;"",ISNA(MATCH(K4234,ctaNombre,0))),"⚠ Destino no registrado",IF(AND(P4234="Pago tarjeta",AE4234&lt;&gt;"Tarjeta de crédito"),"⚠ El destino debe ser tarjeta de crédito",IF(AND(P4234="Gasto",E4234="Depósitos y retiros"),"⚠ Usa tipo Transferencia",IF(AND(P4234="Resultado trading",AD4234&lt;&gt;"Cuenta de trading"),"⚠ Usa una cuenta de trading",IF(AND(G4234&lt;=0,P4234&lt;&gt;"Ajuste",P4234&lt;&gt;"Resultado trading"),"⚠ El monto debe ser positivo","✓")))))))))))))))</f>
        <v/>
      </c>
      <c r="P4234" s="52">
        <f>IF(OR(B4234="",G4234=""),"",IF(C4234="","Gasto",C4234))</f>
        <v/>
      </c>
      <c r="Q4234" s="52">
        <f>IF(P4234="","",IF(J4234&lt;&gt;"",J4234,CuentaPred&amp;""))</f>
        <v/>
      </c>
      <c r="R4234" s="52">
        <f>IF(P4234="","",IF(ISNUMBER(I4234),I4234,TasaUSD))</f>
        <v/>
      </c>
      <c r="S4234" s="53">
        <f>IF(P4234="","",IF(H4234="USD",G4234*R4234,G4234))</f>
        <v/>
      </c>
      <c r="T4234" s="53">
        <f>IF(P4234="","",IF(H4234="USD",G4234,IF(R4234&gt;0,G4234/R4234,0)))</f>
        <v/>
      </c>
      <c r="U4234" s="53">
        <f>IF(P4234="","",IF(P4234="Gasto",S4234,IF(P4234="Reembolso",-S4234,0)))</f>
        <v/>
      </c>
      <c r="V4234" s="53">
        <f>IF(P4234="","",IF(P4234="Ingreso",S4234,0))</f>
        <v/>
      </c>
      <c r="W4234" s="53">
        <f>IF(P4234="","",IF(P4234="Resultado trading",S4234,0))</f>
        <v/>
      </c>
      <c r="X4234" s="52">
        <f>IF(OR(P4234="Gasto",P4234="Reembolso"),IF(M4234&lt;&gt;"",M4234,IFERROR(INDEX(catClasif,MATCH(D4234&amp;"|"&amp;E4234,catClave,0))&amp;"","Variable")),"")</f>
        <v/>
      </c>
      <c r="Y4234" s="52">
        <f>IF(P4234="","",IFERROR(INDEX(catGrupo,MATCH(D4234&amp;"|"&amp;E4234,catClave,0))&amp;"",""))</f>
        <v/>
      </c>
      <c r="Z4234" s="52">
        <f>IF(P4234="","",WEEKDAY(B4234,2))</f>
        <v/>
      </c>
      <c r="AA4234" s="52">
        <f>IF(P4234="","",IF(AND(P4234="Gasto",X4234="Variable",D4234&lt;&gt;catTrading,S4234&gt;0,S4234&lt;=Umbral),1,0))</f>
        <v/>
      </c>
      <c r="AB4234" s="52">
        <f>IF(OR(P4234="",Q4234=""),"",IFERROR(IF(INDEX(ctaVinc,MATCH(Q4234,ctaNombre,0))&amp;""&lt;&gt;"",INDEX(ctaVinc,MATCH(Q4234,ctaNombre,0))&amp;"",Q4234),Q4234))</f>
        <v/>
      </c>
      <c r="AC4234" s="52">
        <f>IF(OR(K4234="",AND(P4234&lt;&gt;"Transferencia",P4234&lt;&gt;"Pago tarjeta")),"",IFERROR(IF(INDEX(ctaVinc,MATCH(K4234,ctaNombre,0))&amp;""&lt;&gt;"",INDEX(ctaVinc,MATCH(K4234,ctaNombre,0))&amp;"",K4234),K4234))</f>
        <v/>
      </c>
      <c r="AD4234" s="52">
        <f>IF(AB4234="","",IFERROR(INDEX(ctaTipo,MATCH(AB4234,ctaNombre,0))&amp;"",""))</f>
        <v/>
      </c>
      <c r="AE4234" s="52">
        <f>IF(AC4234="","",IFERROR(INDEX(ctaTipo,MATCH(AC4234,ctaNombre,0))&amp;"",""))</f>
        <v/>
      </c>
      <c r="AF4234" s="53">
        <f>IF(OR(P4234="",AB4234=""),"",IF(OR(P4234="Gasto",P4234="Transferencia",P4234="Pago tarjeta"),-1,1)*IF(IFERROR(INDEX(ctaMoneda,MATCH(AB4234,ctaNombre,0))&amp;"","DOP")="USD",T4234,S4234))</f>
        <v/>
      </c>
      <c r="AG4234" s="53">
        <f>IF(AC4234="","",IF(IFERROR(INDEX(ctaMoneda,MATCH(AC4234,ctaNombre,0))&amp;"","DOP")="USD",T4234,S4234))</f>
        <v/>
      </c>
      <c r="AH4234" s="53">
        <f>IF(P4234="","",IF(AND(AD4234&lt;&gt;"",COUNTIFS(tcTipo,AD4234,tcLiq,"Sí")&gt;0),IF(OR(P4234="Gasto",P4234="Transferencia",P4234="Pago tarjeta"),-1,1)*S4234,0)+IF(AND(AE4234&lt;&gt;"",COUNTIFS(tcTipo,AE4234,tcLiq,"Sí")&gt;0),S4234,0))</f>
        <v/>
      </c>
      <c r="AI4234" s="52">
        <f>IF(OR(L4234="",P4234=""),"",IF(COUNTIFS(L$6:L4234,L4234,P$6:P4234,"?*")=1,MAX(AI$5:AI4233)+1,""))</f>
        <v/>
      </c>
    </row>
    <row r="4235">
      <c r="B4235" s="47" t="n"/>
      <c r="C4235" s="48" t="n"/>
      <c r="D4235" s="48" t="n"/>
      <c r="E4235" s="48" t="n"/>
      <c r="F4235" s="48" t="n"/>
      <c r="G4235" s="49" t="n"/>
      <c r="H4235" s="48" t="n"/>
      <c r="I4235" s="50" t="n"/>
      <c r="J4235" s="48" t="n"/>
      <c r="K4235" s="48" t="n"/>
      <c r="L4235" s="48" t="n"/>
      <c r="M4235" s="48" t="n"/>
      <c r="N4235" s="48" t="n"/>
      <c r="O4235" s="51">
        <f>IF(AND(B4235="",G4235="",C4235="",D4235="",J4235=""),"",IF(B4235="","⚠ Falta fecha",IF(G4235="","⚠ Falta monto",IF(Q4235="","⚠ Falta cuenta",IF(ISNA(MATCH(Q4235,ctaNombre,0)),"⚠ Cuenta no registrada",IF(AND(OR(P4235="Gasto",P4235="Reembolso"),D4235=""),"⚠ Falta categoría",IF(AND(D4235&lt;&gt;"",E4235&lt;&gt;"",ISNA(MATCH(D4235&amp;"|"&amp;E4235,catClave,0))),"⚠ Subcategoría no corresponde",IF(AND(OR(P4235="Transferencia",P4235="Pago tarjeta"),K4235=""),"⚠ Falta cuenta destino",IF(AND(K4235&lt;&gt;"",P4235&lt;&gt;"Transferencia",P4235&lt;&gt;"Pago tarjeta"),"⚠ Destino solo aplica a transferencias",IF(AND(K4235&lt;&gt;"",K4235=Q4235),"⚠ Origen igual a destino",IF(AND(K4235&lt;&gt;"",ISNA(MATCH(K4235,ctaNombre,0))),"⚠ Destino no registrado",IF(AND(P4235="Pago tarjeta",AE4235&lt;&gt;"Tarjeta de crédito"),"⚠ El destino debe ser tarjeta de crédito",IF(AND(P4235="Gasto",E4235="Depósitos y retiros"),"⚠ Usa tipo Transferencia",IF(AND(P4235="Resultado trading",AD4235&lt;&gt;"Cuenta de trading"),"⚠ Usa una cuenta de trading",IF(AND(G4235&lt;=0,P4235&lt;&gt;"Ajuste",P4235&lt;&gt;"Resultado trading"),"⚠ El monto debe ser positivo","✓")))))))))))))))</f>
        <v/>
      </c>
      <c r="P4235" s="52">
        <f>IF(OR(B4235="",G4235=""),"",IF(C4235="","Gasto",C4235))</f>
        <v/>
      </c>
      <c r="Q4235" s="52">
        <f>IF(P4235="","",IF(J4235&lt;&gt;"",J4235,CuentaPred&amp;""))</f>
        <v/>
      </c>
      <c r="R4235" s="52">
        <f>IF(P4235="","",IF(ISNUMBER(I4235),I4235,TasaUSD))</f>
        <v/>
      </c>
      <c r="S4235" s="53">
        <f>IF(P4235="","",IF(H4235="USD",G4235*R4235,G4235))</f>
        <v/>
      </c>
      <c r="T4235" s="53">
        <f>IF(P4235="","",IF(H4235="USD",G4235,IF(R4235&gt;0,G4235/R4235,0)))</f>
        <v/>
      </c>
      <c r="U4235" s="53">
        <f>IF(P4235="","",IF(P4235="Gasto",S4235,IF(P4235="Reembolso",-S4235,0)))</f>
        <v/>
      </c>
      <c r="V4235" s="53">
        <f>IF(P4235="","",IF(P4235="Ingreso",S4235,0))</f>
        <v/>
      </c>
      <c r="W4235" s="53">
        <f>IF(P4235="","",IF(P4235="Resultado trading",S4235,0))</f>
        <v/>
      </c>
      <c r="X4235" s="52">
        <f>IF(OR(P4235="Gasto",P4235="Reembolso"),IF(M4235&lt;&gt;"",M4235,IFERROR(INDEX(catClasif,MATCH(D4235&amp;"|"&amp;E4235,catClave,0))&amp;"","Variable")),"")</f>
        <v/>
      </c>
      <c r="Y4235" s="52">
        <f>IF(P4235="","",IFERROR(INDEX(catGrupo,MATCH(D4235&amp;"|"&amp;E4235,catClave,0))&amp;"",""))</f>
        <v/>
      </c>
      <c r="Z4235" s="52">
        <f>IF(P4235="","",WEEKDAY(B4235,2))</f>
        <v/>
      </c>
      <c r="AA4235" s="52">
        <f>IF(P4235="","",IF(AND(P4235="Gasto",X4235="Variable",D4235&lt;&gt;catTrading,S4235&gt;0,S4235&lt;=Umbral),1,0))</f>
        <v/>
      </c>
      <c r="AB4235" s="52">
        <f>IF(OR(P4235="",Q4235=""),"",IFERROR(IF(INDEX(ctaVinc,MATCH(Q4235,ctaNombre,0))&amp;""&lt;&gt;"",INDEX(ctaVinc,MATCH(Q4235,ctaNombre,0))&amp;"",Q4235),Q4235))</f>
        <v/>
      </c>
      <c r="AC4235" s="52">
        <f>IF(OR(K4235="",AND(P4235&lt;&gt;"Transferencia",P4235&lt;&gt;"Pago tarjeta")),"",IFERROR(IF(INDEX(ctaVinc,MATCH(K4235,ctaNombre,0))&amp;""&lt;&gt;"",INDEX(ctaVinc,MATCH(K4235,ctaNombre,0))&amp;"",K4235),K4235))</f>
        <v/>
      </c>
      <c r="AD4235" s="52">
        <f>IF(AB4235="","",IFERROR(INDEX(ctaTipo,MATCH(AB4235,ctaNombre,0))&amp;"",""))</f>
        <v/>
      </c>
      <c r="AE4235" s="52">
        <f>IF(AC4235="","",IFERROR(INDEX(ctaTipo,MATCH(AC4235,ctaNombre,0))&amp;"",""))</f>
        <v/>
      </c>
      <c r="AF4235" s="53">
        <f>IF(OR(P4235="",AB4235=""),"",IF(OR(P4235="Gasto",P4235="Transferencia",P4235="Pago tarjeta"),-1,1)*IF(IFERROR(INDEX(ctaMoneda,MATCH(AB4235,ctaNombre,0))&amp;"","DOP")="USD",T4235,S4235))</f>
        <v/>
      </c>
      <c r="AG4235" s="53">
        <f>IF(AC4235="","",IF(IFERROR(INDEX(ctaMoneda,MATCH(AC4235,ctaNombre,0))&amp;"","DOP")="USD",T4235,S4235))</f>
        <v/>
      </c>
      <c r="AH4235" s="53">
        <f>IF(P4235="","",IF(AND(AD4235&lt;&gt;"",COUNTIFS(tcTipo,AD4235,tcLiq,"Sí")&gt;0),IF(OR(P4235="Gasto",P4235="Transferencia",P4235="Pago tarjeta"),-1,1)*S4235,0)+IF(AND(AE4235&lt;&gt;"",COUNTIFS(tcTipo,AE4235,tcLiq,"Sí")&gt;0),S4235,0))</f>
        <v/>
      </c>
      <c r="AI4235" s="52">
        <f>IF(OR(L4235="",P4235=""),"",IF(COUNTIFS(L$6:L4235,L4235,P$6:P4235,"?*")=1,MAX(AI$5:AI4234)+1,""))</f>
        <v/>
      </c>
    </row>
    <row r="4236">
      <c r="B4236" s="47" t="n"/>
      <c r="C4236" s="48" t="n"/>
      <c r="D4236" s="48" t="n"/>
      <c r="E4236" s="48" t="n"/>
      <c r="F4236" s="48" t="n"/>
      <c r="G4236" s="49" t="n"/>
      <c r="H4236" s="48" t="n"/>
      <c r="I4236" s="50" t="n"/>
      <c r="J4236" s="48" t="n"/>
      <c r="K4236" s="48" t="n"/>
      <c r="L4236" s="48" t="n"/>
      <c r="M4236" s="48" t="n"/>
      <c r="N4236" s="48" t="n"/>
      <c r="O4236" s="51">
        <f>IF(AND(B4236="",G4236="",C4236="",D4236="",J4236=""),"",IF(B4236="","⚠ Falta fecha",IF(G4236="","⚠ Falta monto",IF(Q4236="","⚠ Falta cuenta",IF(ISNA(MATCH(Q4236,ctaNombre,0)),"⚠ Cuenta no registrada",IF(AND(OR(P4236="Gasto",P4236="Reembolso"),D4236=""),"⚠ Falta categoría",IF(AND(D4236&lt;&gt;"",E4236&lt;&gt;"",ISNA(MATCH(D4236&amp;"|"&amp;E4236,catClave,0))),"⚠ Subcategoría no corresponde",IF(AND(OR(P4236="Transferencia",P4236="Pago tarjeta"),K4236=""),"⚠ Falta cuenta destino",IF(AND(K4236&lt;&gt;"",P4236&lt;&gt;"Transferencia",P4236&lt;&gt;"Pago tarjeta"),"⚠ Destino solo aplica a transferencias",IF(AND(K4236&lt;&gt;"",K4236=Q4236),"⚠ Origen igual a destino",IF(AND(K4236&lt;&gt;"",ISNA(MATCH(K4236,ctaNombre,0))),"⚠ Destino no registrado",IF(AND(P4236="Pago tarjeta",AE4236&lt;&gt;"Tarjeta de crédito"),"⚠ El destino debe ser tarjeta de crédito",IF(AND(P4236="Gasto",E4236="Depósitos y retiros"),"⚠ Usa tipo Transferencia",IF(AND(P4236="Resultado trading",AD4236&lt;&gt;"Cuenta de trading"),"⚠ Usa una cuenta de trading",IF(AND(G4236&lt;=0,P4236&lt;&gt;"Ajuste",P4236&lt;&gt;"Resultado trading"),"⚠ El monto debe ser positivo","✓")))))))))))))))</f>
        <v/>
      </c>
      <c r="P4236" s="52">
        <f>IF(OR(B4236="",G4236=""),"",IF(C4236="","Gasto",C4236))</f>
        <v/>
      </c>
      <c r="Q4236" s="52">
        <f>IF(P4236="","",IF(J4236&lt;&gt;"",J4236,CuentaPred&amp;""))</f>
        <v/>
      </c>
      <c r="R4236" s="52">
        <f>IF(P4236="","",IF(ISNUMBER(I4236),I4236,TasaUSD))</f>
        <v/>
      </c>
      <c r="S4236" s="53">
        <f>IF(P4236="","",IF(H4236="USD",G4236*R4236,G4236))</f>
        <v/>
      </c>
      <c r="T4236" s="53">
        <f>IF(P4236="","",IF(H4236="USD",G4236,IF(R4236&gt;0,G4236/R4236,0)))</f>
        <v/>
      </c>
      <c r="U4236" s="53">
        <f>IF(P4236="","",IF(P4236="Gasto",S4236,IF(P4236="Reembolso",-S4236,0)))</f>
        <v/>
      </c>
      <c r="V4236" s="53">
        <f>IF(P4236="","",IF(P4236="Ingreso",S4236,0))</f>
        <v/>
      </c>
      <c r="W4236" s="53">
        <f>IF(P4236="","",IF(P4236="Resultado trading",S4236,0))</f>
        <v/>
      </c>
      <c r="X4236" s="52">
        <f>IF(OR(P4236="Gasto",P4236="Reembolso"),IF(M4236&lt;&gt;"",M4236,IFERROR(INDEX(catClasif,MATCH(D4236&amp;"|"&amp;E4236,catClave,0))&amp;"","Variable")),"")</f>
        <v/>
      </c>
      <c r="Y4236" s="52">
        <f>IF(P4236="","",IFERROR(INDEX(catGrupo,MATCH(D4236&amp;"|"&amp;E4236,catClave,0))&amp;"",""))</f>
        <v/>
      </c>
      <c r="Z4236" s="52">
        <f>IF(P4236="","",WEEKDAY(B4236,2))</f>
        <v/>
      </c>
      <c r="AA4236" s="52">
        <f>IF(P4236="","",IF(AND(P4236="Gasto",X4236="Variable",D4236&lt;&gt;catTrading,S4236&gt;0,S4236&lt;=Umbral),1,0))</f>
        <v/>
      </c>
      <c r="AB4236" s="52">
        <f>IF(OR(P4236="",Q4236=""),"",IFERROR(IF(INDEX(ctaVinc,MATCH(Q4236,ctaNombre,0))&amp;""&lt;&gt;"",INDEX(ctaVinc,MATCH(Q4236,ctaNombre,0))&amp;"",Q4236),Q4236))</f>
        <v/>
      </c>
      <c r="AC4236" s="52">
        <f>IF(OR(K4236="",AND(P4236&lt;&gt;"Transferencia",P4236&lt;&gt;"Pago tarjeta")),"",IFERROR(IF(INDEX(ctaVinc,MATCH(K4236,ctaNombre,0))&amp;""&lt;&gt;"",INDEX(ctaVinc,MATCH(K4236,ctaNombre,0))&amp;"",K4236),K4236))</f>
        <v/>
      </c>
      <c r="AD4236" s="52">
        <f>IF(AB4236="","",IFERROR(INDEX(ctaTipo,MATCH(AB4236,ctaNombre,0))&amp;"",""))</f>
        <v/>
      </c>
      <c r="AE4236" s="52">
        <f>IF(AC4236="","",IFERROR(INDEX(ctaTipo,MATCH(AC4236,ctaNombre,0))&amp;"",""))</f>
        <v/>
      </c>
      <c r="AF4236" s="53">
        <f>IF(OR(P4236="",AB4236=""),"",IF(OR(P4236="Gasto",P4236="Transferencia",P4236="Pago tarjeta"),-1,1)*IF(IFERROR(INDEX(ctaMoneda,MATCH(AB4236,ctaNombre,0))&amp;"","DOP")="USD",T4236,S4236))</f>
        <v/>
      </c>
      <c r="AG4236" s="53">
        <f>IF(AC4236="","",IF(IFERROR(INDEX(ctaMoneda,MATCH(AC4236,ctaNombre,0))&amp;"","DOP")="USD",T4236,S4236))</f>
        <v/>
      </c>
      <c r="AH4236" s="53">
        <f>IF(P4236="","",IF(AND(AD4236&lt;&gt;"",COUNTIFS(tcTipo,AD4236,tcLiq,"Sí")&gt;0),IF(OR(P4236="Gasto",P4236="Transferencia",P4236="Pago tarjeta"),-1,1)*S4236,0)+IF(AND(AE4236&lt;&gt;"",COUNTIFS(tcTipo,AE4236,tcLiq,"Sí")&gt;0),S4236,0))</f>
        <v/>
      </c>
      <c r="AI4236" s="52">
        <f>IF(OR(L4236="",P4236=""),"",IF(COUNTIFS(L$6:L4236,L4236,P$6:P4236,"?*")=1,MAX(AI$5:AI4235)+1,""))</f>
        <v/>
      </c>
    </row>
    <row r="4237">
      <c r="B4237" s="47" t="n"/>
      <c r="C4237" s="48" t="n"/>
      <c r="D4237" s="48" t="n"/>
      <c r="E4237" s="48" t="n"/>
      <c r="F4237" s="48" t="n"/>
      <c r="G4237" s="49" t="n"/>
      <c r="H4237" s="48" t="n"/>
      <c r="I4237" s="50" t="n"/>
      <c r="J4237" s="48" t="n"/>
      <c r="K4237" s="48" t="n"/>
      <c r="L4237" s="48" t="n"/>
      <c r="M4237" s="48" t="n"/>
      <c r="N4237" s="48" t="n"/>
      <c r="O4237" s="51">
        <f>IF(AND(B4237="",G4237="",C4237="",D4237="",J4237=""),"",IF(B4237="","⚠ Falta fecha",IF(G4237="","⚠ Falta monto",IF(Q4237="","⚠ Falta cuenta",IF(ISNA(MATCH(Q4237,ctaNombre,0)),"⚠ Cuenta no registrada",IF(AND(OR(P4237="Gasto",P4237="Reembolso"),D4237=""),"⚠ Falta categoría",IF(AND(D4237&lt;&gt;"",E4237&lt;&gt;"",ISNA(MATCH(D4237&amp;"|"&amp;E4237,catClave,0))),"⚠ Subcategoría no corresponde",IF(AND(OR(P4237="Transferencia",P4237="Pago tarjeta"),K4237=""),"⚠ Falta cuenta destino",IF(AND(K4237&lt;&gt;"",P4237&lt;&gt;"Transferencia",P4237&lt;&gt;"Pago tarjeta"),"⚠ Destino solo aplica a transferencias",IF(AND(K4237&lt;&gt;"",K4237=Q4237),"⚠ Origen igual a destino",IF(AND(K4237&lt;&gt;"",ISNA(MATCH(K4237,ctaNombre,0))),"⚠ Destino no registrado",IF(AND(P4237="Pago tarjeta",AE4237&lt;&gt;"Tarjeta de crédito"),"⚠ El destino debe ser tarjeta de crédito",IF(AND(P4237="Gasto",E4237="Depósitos y retiros"),"⚠ Usa tipo Transferencia",IF(AND(P4237="Resultado trading",AD4237&lt;&gt;"Cuenta de trading"),"⚠ Usa una cuenta de trading",IF(AND(G4237&lt;=0,P4237&lt;&gt;"Ajuste",P4237&lt;&gt;"Resultado trading"),"⚠ El monto debe ser positivo","✓")))))))))))))))</f>
        <v/>
      </c>
      <c r="P4237" s="52">
        <f>IF(OR(B4237="",G4237=""),"",IF(C4237="","Gasto",C4237))</f>
        <v/>
      </c>
      <c r="Q4237" s="52">
        <f>IF(P4237="","",IF(J4237&lt;&gt;"",J4237,CuentaPred&amp;""))</f>
        <v/>
      </c>
      <c r="R4237" s="52">
        <f>IF(P4237="","",IF(ISNUMBER(I4237),I4237,TasaUSD))</f>
        <v/>
      </c>
      <c r="S4237" s="53">
        <f>IF(P4237="","",IF(H4237="USD",G4237*R4237,G4237))</f>
        <v/>
      </c>
      <c r="T4237" s="53">
        <f>IF(P4237="","",IF(H4237="USD",G4237,IF(R4237&gt;0,G4237/R4237,0)))</f>
        <v/>
      </c>
      <c r="U4237" s="53">
        <f>IF(P4237="","",IF(P4237="Gasto",S4237,IF(P4237="Reembolso",-S4237,0)))</f>
        <v/>
      </c>
      <c r="V4237" s="53">
        <f>IF(P4237="","",IF(P4237="Ingreso",S4237,0))</f>
        <v/>
      </c>
      <c r="W4237" s="53">
        <f>IF(P4237="","",IF(P4237="Resultado trading",S4237,0))</f>
        <v/>
      </c>
      <c r="X4237" s="52">
        <f>IF(OR(P4237="Gasto",P4237="Reembolso"),IF(M4237&lt;&gt;"",M4237,IFERROR(INDEX(catClasif,MATCH(D4237&amp;"|"&amp;E4237,catClave,0))&amp;"","Variable")),"")</f>
        <v/>
      </c>
      <c r="Y4237" s="52">
        <f>IF(P4237="","",IFERROR(INDEX(catGrupo,MATCH(D4237&amp;"|"&amp;E4237,catClave,0))&amp;"",""))</f>
        <v/>
      </c>
      <c r="Z4237" s="52">
        <f>IF(P4237="","",WEEKDAY(B4237,2))</f>
        <v/>
      </c>
      <c r="AA4237" s="52">
        <f>IF(P4237="","",IF(AND(P4237="Gasto",X4237="Variable",D4237&lt;&gt;catTrading,S4237&gt;0,S4237&lt;=Umbral),1,0))</f>
        <v/>
      </c>
      <c r="AB4237" s="52">
        <f>IF(OR(P4237="",Q4237=""),"",IFERROR(IF(INDEX(ctaVinc,MATCH(Q4237,ctaNombre,0))&amp;""&lt;&gt;"",INDEX(ctaVinc,MATCH(Q4237,ctaNombre,0))&amp;"",Q4237),Q4237))</f>
        <v/>
      </c>
      <c r="AC4237" s="52">
        <f>IF(OR(K4237="",AND(P4237&lt;&gt;"Transferencia",P4237&lt;&gt;"Pago tarjeta")),"",IFERROR(IF(INDEX(ctaVinc,MATCH(K4237,ctaNombre,0))&amp;""&lt;&gt;"",INDEX(ctaVinc,MATCH(K4237,ctaNombre,0))&amp;"",K4237),K4237))</f>
        <v/>
      </c>
      <c r="AD4237" s="52">
        <f>IF(AB4237="","",IFERROR(INDEX(ctaTipo,MATCH(AB4237,ctaNombre,0))&amp;"",""))</f>
        <v/>
      </c>
      <c r="AE4237" s="52">
        <f>IF(AC4237="","",IFERROR(INDEX(ctaTipo,MATCH(AC4237,ctaNombre,0))&amp;"",""))</f>
        <v/>
      </c>
      <c r="AF4237" s="53">
        <f>IF(OR(P4237="",AB4237=""),"",IF(OR(P4237="Gasto",P4237="Transferencia",P4237="Pago tarjeta"),-1,1)*IF(IFERROR(INDEX(ctaMoneda,MATCH(AB4237,ctaNombre,0))&amp;"","DOP")="USD",T4237,S4237))</f>
        <v/>
      </c>
      <c r="AG4237" s="53">
        <f>IF(AC4237="","",IF(IFERROR(INDEX(ctaMoneda,MATCH(AC4237,ctaNombre,0))&amp;"","DOP")="USD",T4237,S4237))</f>
        <v/>
      </c>
      <c r="AH4237" s="53">
        <f>IF(P4237="","",IF(AND(AD4237&lt;&gt;"",COUNTIFS(tcTipo,AD4237,tcLiq,"Sí")&gt;0),IF(OR(P4237="Gasto",P4237="Transferencia",P4237="Pago tarjeta"),-1,1)*S4237,0)+IF(AND(AE4237&lt;&gt;"",COUNTIFS(tcTipo,AE4237,tcLiq,"Sí")&gt;0),S4237,0))</f>
        <v/>
      </c>
      <c r="AI4237" s="52">
        <f>IF(OR(L4237="",P4237=""),"",IF(COUNTIFS(L$6:L4237,L4237,P$6:P4237,"?*")=1,MAX(AI$5:AI4236)+1,""))</f>
        <v/>
      </c>
    </row>
    <row r="4238">
      <c r="B4238" s="47" t="n"/>
      <c r="C4238" s="48" t="n"/>
      <c r="D4238" s="48" t="n"/>
      <c r="E4238" s="48" t="n"/>
      <c r="F4238" s="48" t="n"/>
      <c r="G4238" s="49" t="n"/>
      <c r="H4238" s="48" t="n"/>
      <c r="I4238" s="50" t="n"/>
      <c r="J4238" s="48" t="n"/>
      <c r="K4238" s="48" t="n"/>
      <c r="L4238" s="48" t="n"/>
      <c r="M4238" s="48" t="n"/>
      <c r="N4238" s="48" t="n"/>
      <c r="O4238" s="51">
        <f>IF(AND(B4238="",G4238="",C4238="",D4238="",J4238=""),"",IF(B4238="","⚠ Falta fecha",IF(G4238="","⚠ Falta monto",IF(Q4238="","⚠ Falta cuenta",IF(ISNA(MATCH(Q4238,ctaNombre,0)),"⚠ Cuenta no registrada",IF(AND(OR(P4238="Gasto",P4238="Reembolso"),D4238=""),"⚠ Falta categoría",IF(AND(D4238&lt;&gt;"",E4238&lt;&gt;"",ISNA(MATCH(D4238&amp;"|"&amp;E4238,catClave,0))),"⚠ Subcategoría no corresponde",IF(AND(OR(P4238="Transferencia",P4238="Pago tarjeta"),K4238=""),"⚠ Falta cuenta destino",IF(AND(K4238&lt;&gt;"",P4238&lt;&gt;"Transferencia",P4238&lt;&gt;"Pago tarjeta"),"⚠ Destino solo aplica a transferencias",IF(AND(K4238&lt;&gt;"",K4238=Q4238),"⚠ Origen igual a destino",IF(AND(K4238&lt;&gt;"",ISNA(MATCH(K4238,ctaNombre,0))),"⚠ Destino no registrado",IF(AND(P4238="Pago tarjeta",AE4238&lt;&gt;"Tarjeta de crédito"),"⚠ El destino debe ser tarjeta de crédito",IF(AND(P4238="Gasto",E4238="Depósitos y retiros"),"⚠ Usa tipo Transferencia",IF(AND(P4238="Resultado trading",AD4238&lt;&gt;"Cuenta de trading"),"⚠ Usa una cuenta de trading",IF(AND(G4238&lt;=0,P4238&lt;&gt;"Ajuste",P4238&lt;&gt;"Resultado trading"),"⚠ El monto debe ser positivo","✓")))))))))))))))</f>
        <v/>
      </c>
      <c r="P4238" s="52">
        <f>IF(OR(B4238="",G4238=""),"",IF(C4238="","Gasto",C4238))</f>
        <v/>
      </c>
      <c r="Q4238" s="52">
        <f>IF(P4238="","",IF(J4238&lt;&gt;"",J4238,CuentaPred&amp;""))</f>
        <v/>
      </c>
      <c r="R4238" s="52">
        <f>IF(P4238="","",IF(ISNUMBER(I4238),I4238,TasaUSD))</f>
        <v/>
      </c>
      <c r="S4238" s="53">
        <f>IF(P4238="","",IF(H4238="USD",G4238*R4238,G4238))</f>
        <v/>
      </c>
      <c r="T4238" s="53">
        <f>IF(P4238="","",IF(H4238="USD",G4238,IF(R4238&gt;0,G4238/R4238,0)))</f>
        <v/>
      </c>
      <c r="U4238" s="53">
        <f>IF(P4238="","",IF(P4238="Gasto",S4238,IF(P4238="Reembolso",-S4238,0)))</f>
        <v/>
      </c>
      <c r="V4238" s="53">
        <f>IF(P4238="","",IF(P4238="Ingreso",S4238,0))</f>
        <v/>
      </c>
      <c r="W4238" s="53">
        <f>IF(P4238="","",IF(P4238="Resultado trading",S4238,0))</f>
        <v/>
      </c>
      <c r="X4238" s="52">
        <f>IF(OR(P4238="Gasto",P4238="Reembolso"),IF(M4238&lt;&gt;"",M4238,IFERROR(INDEX(catClasif,MATCH(D4238&amp;"|"&amp;E4238,catClave,0))&amp;"","Variable")),"")</f>
        <v/>
      </c>
      <c r="Y4238" s="52">
        <f>IF(P4238="","",IFERROR(INDEX(catGrupo,MATCH(D4238&amp;"|"&amp;E4238,catClave,0))&amp;"",""))</f>
        <v/>
      </c>
      <c r="Z4238" s="52">
        <f>IF(P4238="","",WEEKDAY(B4238,2))</f>
        <v/>
      </c>
      <c r="AA4238" s="52">
        <f>IF(P4238="","",IF(AND(P4238="Gasto",X4238="Variable",D4238&lt;&gt;catTrading,S4238&gt;0,S4238&lt;=Umbral),1,0))</f>
        <v/>
      </c>
      <c r="AB4238" s="52">
        <f>IF(OR(P4238="",Q4238=""),"",IFERROR(IF(INDEX(ctaVinc,MATCH(Q4238,ctaNombre,0))&amp;""&lt;&gt;"",INDEX(ctaVinc,MATCH(Q4238,ctaNombre,0))&amp;"",Q4238),Q4238))</f>
        <v/>
      </c>
      <c r="AC4238" s="52">
        <f>IF(OR(K4238="",AND(P4238&lt;&gt;"Transferencia",P4238&lt;&gt;"Pago tarjeta")),"",IFERROR(IF(INDEX(ctaVinc,MATCH(K4238,ctaNombre,0))&amp;""&lt;&gt;"",INDEX(ctaVinc,MATCH(K4238,ctaNombre,0))&amp;"",K4238),K4238))</f>
        <v/>
      </c>
      <c r="AD4238" s="52">
        <f>IF(AB4238="","",IFERROR(INDEX(ctaTipo,MATCH(AB4238,ctaNombre,0))&amp;"",""))</f>
        <v/>
      </c>
      <c r="AE4238" s="52">
        <f>IF(AC4238="","",IFERROR(INDEX(ctaTipo,MATCH(AC4238,ctaNombre,0))&amp;"",""))</f>
        <v/>
      </c>
      <c r="AF4238" s="53">
        <f>IF(OR(P4238="",AB4238=""),"",IF(OR(P4238="Gasto",P4238="Transferencia",P4238="Pago tarjeta"),-1,1)*IF(IFERROR(INDEX(ctaMoneda,MATCH(AB4238,ctaNombre,0))&amp;"","DOP")="USD",T4238,S4238))</f>
        <v/>
      </c>
      <c r="AG4238" s="53">
        <f>IF(AC4238="","",IF(IFERROR(INDEX(ctaMoneda,MATCH(AC4238,ctaNombre,0))&amp;"","DOP")="USD",T4238,S4238))</f>
        <v/>
      </c>
      <c r="AH4238" s="53">
        <f>IF(P4238="","",IF(AND(AD4238&lt;&gt;"",COUNTIFS(tcTipo,AD4238,tcLiq,"Sí")&gt;0),IF(OR(P4238="Gasto",P4238="Transferencia",P4238="Pago tarjeta"),-1,1)*S4238,0)+IF(AND(AE4238&lt;&gt;"",COUNTIFS(tcTipo,AE4238,tcLiq,"Sí")&gt;0),S4238,0))</f>
        <v/>
      </c>
      <c r="AI4238" s="52">
        <f>IF(OR(L4238="",P4238=""),"",IF(COUNTIFS(L$6:L4238,L4238,P$6:P4238,"?*")=1,MAX(AI$5:AI4237)+1,""))</f>
        <v/>
      </c>
    </row>
    <row r="4239">
      <c r="B4239" s="47" t="n"/>
      <c r="C4239" s="48" t="n"/>
      <c r="D4239" s="48" t="n"/>
      <c r="E4239" s="48" t="n"/>
      <c r="F4239" s="48" t="n"/>
      <c r="G4239" s="49" t="n"/>
      <c r="H4239" s="48" t="n"/>
      <c r="I4239" s="50" t="n"/>
      <c r="J4239" s="48" t="n"/>
      <c r="K4239" s="48" t="n"/>
      <c r="L4239" s="48" t="n"/>
      <c r="M4239" s="48" t="n"/>
      <c r="N4239" s="48" t="n"/>
      <c r="O4239" s="51">
        <f>IF(AND(B4239="",G4239="",C4239="",D4239="",J4239=""),"",IF(B4239="","⚠ Falta fecha",IF(G4239="","⚠ Falta monto",IF(Q4239="","⚠ Falta cuenta",IF(ISNA(MATCH(Q4239,ctaNombre,0)),"⚠ Cuenta no registrada",IF(AND(OR(P4239="Gasto",P4239="Reembolso"),D4239=""),"⚠ Falta categoría",IF(AND(D4239&lt;&gt;"",E4239&lt;&gt;"",ISNA(MATCH(D4239&amp;"|"&amp;E4239,catClave,0))),"⚠ Subcategoría no corresponde",IF(AND(OR(P4239="Transferencia",P4239="Pago tarjeta"),K4239=""),"⚠ Falta cuenta destino",IF(AND(K4239&lt;&gt;"",P4239&lt;&gt;"Transferencia",P4239&lt;&gt;"Pago tarjeta"),"⚠ Destino solo aplica a transferencias",IF(AND(K4239&lt;&gt;"",K4239=Q4239),"⚠ Origen igual a destino",IF(AND(K4239&lt;&gt;"",ISNA(MATCH(K4239,ctaNombre,0))),"⚠ Destino no registrado",IF(AND(P4239="Pago tarjeta",AE4239&lt;&gt;"Tarjeta de crédito"),"⚠ El destino debe ser tarjeta de crédito",IF(AND(P4239="Gasto",E4239="Depósitos y retiros"),"⚠ Usa tipo Transferencia",IF(AND(P4239="Resultado trading",AD4239&lt;&gt;"Cuenta de trading"),"⚠ Usa una cuenta de trading",IF(AND(G4239&lt;=0,P4239&lt;&gt;"Ajuste",P4239&lt;&gt;"Resultado trading"),"⚠ El monto debe ser positivo","✓")))))))))))))))</f>
        <v/>
      </c>
      <c r="P4239" s="52">
        <f>IF(OR(B4239="",G4239=""),"",IF(C4239="","Gasto",C4239))</f>
        <v/>
      </c>
      <c r="Q4239" s="52">
        <f>IF(P4239="","",IF(J4239&lt;&gt;"",J4239,CuentaPred&amp;""))</f>
        <v/>
      </c>
      <c r="R4239" s="52">
        <f>IF(P4239="","",IF(ISNUMBER(I4239),I4239,TasaUSD))</f>
        <v/>
      </c>
      <c r="S4239" s="53">
        <f>IF(P4239="","",IF(H4239="USD",G4239*R4239,G4239))</f>
        <v/>
      </c>
      <c r="T4239" s="53">
        <f>IF(P4239="","",IF(H4239="USD",G4239,IF(R4239&gt;0,G4239/R4239,0)))</f>
        <v/>
      </c>
      <c r="U4239" s="53">
        <f>IF(P4239="","",IF(P4239="Gasto",S4239,IF(P4239="Reembolso",-S4239,0)))</f>
        <v/>
      </c>
      <c r="V4239" s="53">
        <f>IF(P4239="","",IF(P4239="Ingreso",S4239,0))</f>
        <v/>
      </c>
      <c r="W4239" s="53">
        <f>IF(P4239="","",IF(P4239="Resultado trading",S4239,0))</f>
        <v/>
      </c>
      <c r="X4239" s="52">
        <f>IF(OR(P4239="Gasto",P4239="Reembolso"),IF(M4239&lt;&gt;"",M4239,IFERROR(INDEX(catClasif,MATCH(D4239&amp;"|"&amp;E4239,catClave,0))&amp;"","Variable")),"")</f>
        <v/>
      </c>
      <c r="Y4239" s="52">
        <f>IF(P4239="","",IFERROR(INDEX(catGrupo,MATCH(D4239&amp;"|"&amp;E4239,catClave,0))&amp;"",""))</f>
        <v/>
      </c>
      <c r="Z4239" s="52">
        <f>IF(P4239="","",WEEKDAY(B4239,2))</f>
        <v/>
      </c>
      <c r="AA4239" s="52">
        <f>IF(P4239="","",IF(AND(P4239="Gasto",X4239="Variable",D4239&lt;&gt;catTrading,S4239&gt;0,S4239&lt;=Umbral),1,0))</f>
        <v/>
      </c>
      <c r="AB4239" s="52">
        <f>IF(OR(P4239="",Q4239=""),"",IFERROR(IF(INDEX(ctaVinc,MATCH(Q4239,ctaNombre,0))&amp;""&lt;&gt;"",INDEX(ctaVinc,MATCH(Q4239,ctaNombre,0))&amp;"",Q4239),Q4239))</f>
        <v/>
      </c>
      <c r="AC4239" s="52">
        <f>IF(OR(K4239="",AND(P4239&lt;&gt;"Transferencia",P4239&lt;&gt;"Pago tarjeta")),"",IFERROR(IF(INDEX(ctaVinc,MATCH(K4239,ctaNombre,0))&amp;""&lt;&gt;"",INDEX(ctaVinc,MATCH(K4239,ctaNombre,0))&amp;"",K4239),K4239))</f>
        <v/>
      </c>
      <c r="AD4239" s="52">
        <f>IF(AB4239="","",IFERROR(INDEX(ctaTipo,MATCH(AB4239,ctaNombre,0))&amp;"",""))</f>
        <v/>
      </c>
      <c r="AE4239" s="52">
        <f>IF(AC4239="","",IFERROR(INDEX(ctaTipo,MATCH(AC4239,ctaNombre,0))&amp;"",""))</f>
        <v/>
      </c>
      <c r="AF4239" s="53">
        <f>IF(OR(P4239="",AB4239=""),"",IF(OR(P4239="Gasto",P4239="Transferencia",P4239="Pago tarjeta"),-1,1)*IF(IFERROR(INDEX(ctaMoneda,MATCH(AB4239,ctaNombre,0))&amp;"","DOP")="USD",T4239,S4239))</f>
        <v/>
      </c>
      <c r="AG4239" s="53">
        <f>IF(AC4239="","",IF(IFERROR(INDEX(ctaMoneda,MATCH(AC4239,ctaNombre,0))&amp;"","DOP")="USD",T4239,S4239))</f>
        <v/>
      </c>
      <c r="AH4239" s="53">
        <f>IF(P4239="","",IF(AND(AD4239&lt;&gt;"",COUNTIFS(tcTipo,AD4239,tcLiq,"Sí")&gt;0),IF(OR(P4239="Gasto",P4239="Transferencia",P4239="Pago tarjeta"),-1,1)*S4239,0)+IF(AND(AE4239&lt;&gt;"",COUNTIFS(tcTipo,AE4239,tcLiq,"Sí")&gt;0),S4239,0))</f>
        <v/>
      </c>
      <c r="AI4239" s="52">
        <f>IF(OR(L4239="",P4239=""),"",IF(COUNTIFS(L$6:L4239,L4239,P$6:P4239,"?*")=1,MAX(AI$5:AI4238)+1,""))</f>
        <v/>
      </c>
    </row>
    <row r="4240">
      <c r="B4240" s="47" t="n"/>
      <c r="C4240" s="48" t="n"/>
      <c r="D4240" s="48" t="n"/>
      <c r="E4240" s="48" t="n"/>
      <c r="F4240" s="48" t="n"/>
      <c r="G4240" s="49" t="n"/>
      <c r="H4240" s="48" t="n"/>
      <c r="I4240" s="50" t="n"/>
      <c r="J4240" s="48" t="n"/>
      <c r="K4240" s="48" t="n"/>
      <c r="L4240" s="48" t="n"/>
      <c r="M4240" s="48" t="n"/>
      <c r="N4240" s="48" t="n"/>
      <c r="O4240" s="51">
        <f>IF(AND(B4240="",G4240="",C4240="",D4240="",J4240=""),"",IF(B4240="","⚠ Falta fecha",IF(G4240="","⚠ Falta monto",IF(Q4240="","⚠ Falta cuenta",IF(ISNA(MATCH(Q4240,ctaNombre,0)),"⚠ Cuenta no registrada",IF(AND(OR(P4240="Gasto",P4240="Reembolso"),D4240=""),"⚠ Falta categoría",IF(AND(D4240&lt;&gt;"",E4240&lt;&gt;"",ISNA(MATCH(D4240&amp;"|"&amp;E4240,catClave,0))),"⚠ Subcategoría no corresponde",IF(AND(OR(P4240="Transferencia",P4240="Pago tarjeta"),K4240=""),"⚠ Falta cuenta destino",IF(AND(K4240&lt;&gt;"",P4240&lt;&gt;"Transferencia",P4240&lt;&gt;"Pago tarjeta"),"⚠ Destino solo aplica a transferencias",IF(AND(K4240&lt;&gt;"",K4240=Q4240),"⚠ Origen igual a destino",IF(AND(K4240&lt;&gt;"",ISNA(MATCH(K4240,ctaNombre,0))),"⚠ Destino no registrado",IF(AND(P4240="Pago tarjeta",AE4240&lt;&gt;"Tarjeta de crédito"),"⚠ El destino debe ser tarjeta de crédito",IF(AND(P4240="Gasto",E4240="Depósitos y retiros"),"⚠ Usa tipo Transferencia",IF(AND(P4240="Resultado trading",AD4240&lt;&gt;"Cuenta de trading"),"⚠ Usa una cuenta de trading",IF(AND(G4240&lt;=0,P4240&lt;&gt;"Ajuste",P4240&lt;&gt;"Resultado trading"),"⚠ El monto debe ser positivo","✓")))))))))))))))</f>
        <v/>
      </c>
      <c r="P4240" s="52">
        <f>IF(OR(B4240="",G4240=""),"",IF(C4240="","Gasto",C4240))</f>
        <v/>
      </c>
      <c r="Q4240" s="52">
        <f>IF(P4240="","",IF(J4240&lt;&gt;"",J4240,CuentaPred&amp;""))</f>
        <v/>
      </c>
      <c r="R4240" s="52">
        <f>IF(P4240="","",IF(ISNUMBER(I4240),I4240,TasaUSD))</f>
        <v/>
      </c>
      <c r="S4240" s="53">
        <f>IF(P4240="","",IF(H4240="USD",G4240*R4240,G4240))</f>
        <v/>
      </c>
      <c r="T4240" s="53">
        <f>IF(P4240="","",IF(H4240="USD",G4240,IF(R4240&gt;0,G4240/R4240,0)))</f>
        <v/>
      </c>
      <c r="U4240" s="53">
        <f>IF(P4240="","",IF(P4240="Gasto",S4240,IF(P4240="Reembolso",-S4240,0)))</f>
        <v/>
      </c>
      <c r="V4240" s="53">
        <f>IF(P4240="","",IF(P4240="Ingreso",S4240,0))</f>
        <v/>
      </c>
      <c r="W4240" s="53">
        <f>IF(P4240="","",IF(P4240="Resultado trading",S4240,0))</f>
        <v/>
      </c>
      <c r="X4240" s="52">
        <f>IF(OR(P4240="Gasto",P4240="Reembolso"),IF(M4240&lt;&gt;"",M4240,IFERROR(INDEX(catClasif,MATCH(D4240&amp;"|"&amp;E4240,catClave,0))&amp;"","Variable")),"")</f>
        <v/>
      </c>
      <c r="Y4240" s="52">
        <f>IF(P4240="","",IFERROR(INDEX(catGrupo,MATCH(D4240&amp;"|"&amp;E4240,catClave,0))&amp;"",""))</f>
        <v/>
      </c>
      <c r="Z4240" s="52">
        <f>IF(P4240="","",WEEKDAY(B4240,2))</f>
        <v/>
      </c>
      <c r="AA4240" s="52">
        <f>IF(P4240="","",IF(AND(P4240="Gasto",X4240="Variable",D4240&lt;&gt;catTrading,S4240&gt;0,S4240&lt;=Umbral),1,0))</f>
        <v/>
      </c>
      <c r="AB4240" s="52">
        <f>IF(OR(P4240="",Q4240=""),"",IFERROR(IF(INDEX(ctaVinc,MATCH(Q4240,ctaNombre,0))&amp;""&lt;&gt;"",INDEX(ctaVinc,MATCH(Q4240,ctaNombre,0))&amp;"",Q4240),Q4240))</f>
        <v/>
      </c>
      <c r="AC4240" s="52">
        <f>IF(OR(K4240="",AND(P4240&lt;&gt;"Transferencia",P4240&lt;&gt;"Pago tarjeta")),"",IFERROR(IF(INDEX(ctaVinc,MATCH(K4240,ctaNombre,0))&amp;""&lt;&gt;"",INDEX(ctaVinc,MATCH(K4240,ctaNombre,0))&amp;"",K4240),K4240))</f>
        <v/>
      </c>
      <c r="AD4240" s="52">
        <f>IF(AB4240="","",IFERROR(INDEX(ctaTipo,MATCH(AB4240,ctaNombre,0))&amp;"",""))</f>
        <v/>
      </c>
      <c r="AE4240" s="52">
        <f>IF(AC4240="","",IFERROR(INDEX(ctaTipo,MATCH(AC4240,ctaNombre,0))&amp;"",""))</f>
        <v/>
      </c>
      <c r="AF4240" s="53">
        <f>IF(OR(P4240="",AB4240=""),"",IF(OR(P4240="Gasto",P4240="Transferencia",P4240="Pago tarjeta"),-1,1)*IF(IFERROR(INDEX(ctaMoneda,MATCH(AB4240,ctaNombre,0))&amp;"","DOP")="USD",T4240,S4240))</f>
        <v/>
      </c>
      <c r="AG4240" s="53">
        <f>IF(AC4240="","",IF(IFERROR(INDEX(ctaMoneda,MATCH(AC4240,ctaNombre,0))&amp;"","DOP")="USD",T4240,S4240))</f>
        <v/>
      </c>
      <c r="AH4240" s="53">
        <f>IF(P4240="","",IF(AND(AD4240&lt;&gt;"",COUNTIFS(tcTipo,AD4240,tcLiq,"Sí")&gt;0),IF(OR(P4240="Gasto",P4240="Transferencia",P4240="Pago tarjeta"),-1,1)*S4240,0)+IF(AND(AE4240&lt;&gt;"",COUNTIFS(tcTipo,AE4240,tcLiq,"Sí")&gt;0),S4240,0))</f>
        <v/>
      </c>
      <c r="AI4240" s="52">
        <f>IF(OR(L4240="",P4240=""),"",IF(COUNTIFS(L$6:L4240,L4240,P$6:P4240,"?*")=1,MAX(AI$5:AI4239)+1,""))</f>
        <v/>
      </c>
    </row>
    <row r="4241">
      <c r="B4241" s="47" t="n"/>
      <c r="C4241" s="48" t="n"/>
      <c r="D4241" s="48" t="n"/>
      <c r="E4241" s="48" t="n"/>
      <c r="F4241" s="48" t="n"/>
      <c r="G4241" s="49" t="n"/>
      <c r="H4241" s="48" t="n"/>
      <c r="I4241" s="50" t="n"/>
      <c r="J4241" s="48" t="n"/>
      <c r="K4241" s="48" t="n"/>
      <c r="L4241" s="48" t="n"/>
      <c r="M4241" s="48" t="n"/>
      <c r="N4241" s="48" t="n"/>
      <c r="O4241" s="51">
        <f>IF(AND(B4241="",G4241="",C4241="",D4241="",J4241=""),"",IF(B4241="","⚠ Falta fecha",IF(G4241="","⚠ Falta monto",IF(Q4241="","⚠ Falta cuenta",IF(ISNA(MATCH(Q4241,ctaNombre,0)),"⚠ Cuenta no registrada",IF(AND(OR(P4241="Gasto",P4241="Reembolso"),D4241=""),"⚠ Falta categoría",IF(AND(D4241&lt;&gt;"",E4241&lt;&gt;"",ISNA(MATCH(D4241&amp;"|"&amp;E4241,catClave,0))),"⚠ Subcategoría no corresponde",IF(AND(OR(P4241="Transferencia",P4241="Pago tarjeta"),K4241=""),"⚠ Falta cuenta destino",IF(AND(K4241&lt;&gt;"",P4241&lt;&gt;"Transferencia",P4241&lt;&gt;"Pago tarjeta"),"⚠ Destino solo aplica a transferencias",IF(AND(K4241&lt;&gt;"",K4241=Q4241),"⚠ Origen igual a destino",IF(AND(K4241&lt;&gt;"",ISNA(MATCH(K4241,ctaNombre,0))),"⚠ Destino no registrado",IF(AND(P4241="Pago tarjeta",AE4241&lt;&gt;"Tarjeta de crédito"),"⚠ El destino debe ser tarjeta de crédito",IF(AND(P4241="Gasto",E4241="Depósitos y retiros"),"⚠ Usa tipo Transferencia",IF(AND(P4241="Resultado trading",AD4241&lt;&gt;"Cuenta de trading"),"⚠ Usa una cuenta de trading",IF(AND(G4241&lt;=0,P4241&lt;&gt;"Ajuste",P4241&lt;&gt;"Resultado trading"),"⚠ El monto debe ser positivo","✓")))))))))))))))</f>
        <v/>
      </c>
      <c r="P4241" s="52">
        <f>IF(OR(B4241="",G4241=""),"",IF(C4241="","Gasto",C4241))</f>
        <v/>
      </c>
      <c r="Q4241" s="52">
        <f>IF(P4241="","",IF(J4241&lt;&gt;"",J4241,CuentaPred&amp;""))</f>
        <v/>
      </c>
      <c r="R4241" s="52">
        <f>IF(P4241="","",IF(ISNUMBER(I4241),I4241,TasaUSD))</f>
        <v/>
      </c>
      <c r="S4241" s="53">
        <f>IF(P4241="","",IF(H4241="USD",G4241*R4241,G4241))</f>
        <v/>
      </c>
      <c r="T4241" s="53">
        <f>IF(P4241="","",IF(H4241="USD",G4241,IF(R4241&gt;0,G4241/R4241,0)))</f>
        <v/>
      </c>
      <c r="U4241" s="53">
        <f>IF(P4241="","",IF(P4241="Gasto",S4241,IF(P4241="Reembolso",-S4241,0)))</f>
        <v/>
      </c>
      <c r="V4241" s="53">
        <f>IF(P4241="","",IF(P4241="Ingreso",S4241,0))</f>
        <v/>
      </c>
      <c r="W4241" s="53">
        <f>IF(P4241="","",IF(P4241="Resultado trading",S4241,0))</f>
        <v/>
      </c>
      <c r="X4241" s="52">
        <f>IF(OR(P4241="Gasto",P4241="Reembolso"),IF(M4241&lt;&gt;"",M4241,IFERROR(INDEX(catClasif,MATCH(D4241&amp;"|"&amp;E4241,catClave,0))&amp;"","Variable")),"")</f>
        <v/>
      </c>
      <c r="Y4241" s="52">
        <f>IF(P4241="","",IFERROR(INDEX(catGrupo,MATCH(D4241&amp;"|"&amp;E4241,catClave,0))&amp;"",""))</f>
        <v/>
      </c>
      <c r="Z4241" s="52">
        <f>IF(P4241="","",WEEKDAY(B4241,2))</f>
        <v/>
      </c>
      <c r="AA4241" s="52">
        <f>IF(P4241="","",IF(AND(P4241="Gasto",X4241="Variable",D4241&lt;&gt;catTrading,S4241&gt;0,S4241&lt;=Umbral),1,0))</f>
        <v/>
      </c>
      <c r="AB4241" s="52">
        <f>IF(OR(P4241="",Q4241=""),"",IFERROR(IF(INDEX(ctaVinc,MATCH(Q4241,ctaNombre,0))&amp;""&lt;&gt;"",INDEX(ctaVinc,MATCH(Q4241,ctaNombre,0))&amp;"",Q4241),Q4241))</f>
        <v/>
      </c>
      <c r="AC4241" s="52">
        <f>IF(OR(K4241="",AND(P4241&lt;&gt;"Transferencia",P4241&lt;&gt;"Pago tarjeta")),"",IFERROR(IF(INDEX(ctaVinc,MATCH(K4241,ctaNombre,0))&amp;""&lt;&gt;"",INDEX(ctaVinc,MATCH(K4241,ctaNombre,0))&amp;"",K4241),K4241))</f>
        <v/>
      </c>
      <c r="AD4241" s="52">
        <f>IF(AB4241="","",IFERROR(INDEX(ctaTipo,MATCH(AB4241,ctaNombre,0))&amp;"",""))</f>
        <v/>
      </c>
      <c r="AE4241" s="52">
        <f>IF(AC4241="","",IFERROR(INDEX(ctaTipo,MATCH(AC4241,ctaNombre,0))&amp;"",""))</f>
        <v/>
      </c>
      <c r="AF4241" s="53">
        <f>IF(OR(P4241="",AB4241=""),"",IF(OR(P4241="Gasto",P4241="Transferencia",P4241="Pago tarjeta"),-1,1)*IF(IFERROR(INDEX(ctaMoneda,MATCH(AB4241,ctaNombre,0))&amp;"","DOP")="USD",T4241,S4241))</f>
        <v/>
      </c>
      <c r="AG4241" s="53">
        <f>IF(AC4241="","",IF(IFERROR(INDEX(ctaMoneda,MATCH(AC4241,ctaNombre,0))&amp;"","DOP")="USD",T4241,S4241))</f>
        <v/>
      </c>
      <c r="AH4241" s="53">
        <f>IF(P4241="","",IF(AND(AD4241&lt;&gt;"",COUNTIFS(tcTipo,AD4241,tcLiq,"Sí")&gt;0),IF(OR(P4241="Gasto",P4241="Transferencia",P4241="Pago tarjeta"),-1,1)*S4241,0)+IF(AND(AE4241&lt;&gt;"",COUNTIFS(tcTipo,AE4241,tcLiq,"Sí")&gt;0),S4241,0))</f>
        <v/>
      </c>
      <c r="AI4241" s="52">
        <f>IF(OR(L4241="",P4241=""),"",IF(COUNTIFS(L$6:L4241,L4241,P$6:P4241,"?*")=1,MAX(AI$5:AI4240)+1,""))</f>
        <v/>
      </c>
    </row>
    <row r="4242">
      <c r="B4242" s="47" t="n"/>
      <c r="C4242" s="48" t="n"/>
      <c r="D4242" s="48" t="n"/>
      <c r="E4242" s="48" t="n"/>
      <c r="F4242" s="48" t="n"/>
      <c r="G4242" s="49" t="n"/>
      <c r="H4242" s="48" t="n"/>
      <c r="I4242" s="50" t="n"/>
      <c r="J4242" s="48" t="n"/>
      <c r="K4242" s="48" t="n"/>
      <c r="L4242" s="48" t="n"/>
      <c r="M4242" s="48" t="n"/>
      <c r="N4242" s="48" t="n"/>
      <c r="O4242" s="51">
        <f>IF(AND(B4242="",G4242="",C4242="",D4242="",J4242=""),"",IF(B4242="","⚠ Falta fecha",IF(G4242="","⚠ Falta monto",IF(Q4242="","⚠ Falta cuenta",IF(ISNA(MATCH(Q4242,ctaNombre,0)),"⚠ Cuenta no registrada",IF(AND(OR(P4242="Gasto",P4242="Reembolso"),D4242=""),"⚠ Falta categoría",IF(AND(D4242&lt;&gt;"",E4242&lt;&gt;"",ISNA(MATCH(D4242&amp;"|"&amp;E4242,catClave,0))),"⚠ Subcategoría no corresponde",IF(AND(OR(P4242="Transferencia",P4242="Pago tarjeta"),K4242=""),"⚠ Falta cuenta destino",IF(AND(K4242&lt;&gt;"",P4242&lt;&gt;"Transferencia",P4242&lt;&gt;"Pago tarjeta"),"⚠ Destino solo aplica a transferencias",IF(AND(K4242&lt;&gt;"",K4242=Q4242),"⚠ Origen igual a destino",IF(AND(K4242&lt;&gt;"",ISNA(MATCH(K4242,ctaNombre,0))),"⚠ Destino no registrado",IF(AND(P4242="Pago tarjeta",AE4242&lt;&gt;"Tarjeta de crédito"),"⚠ El destino debe ser tarjeta de crédito",IF(AND(P4242="Gasto",E4242="Depósitos y retiros"),"⚠ Usa tipo Transferencia",IF(AND(P4242="Resultado trading",AD4242&lt;&gt;"Cuenta de trading"),"⚠ Usa una cuenta de trading",IF(AND(G4242&lt;=0,P4242&lt;&gt;"Ajuste",P4242&lt;&gt;"Resultado trading"),"⚠ El monto debe ser positivo","✓")))))))))))))))</f>
        <v/>
      </c>
      <c r="P4242" s="52">
        <f>IF(OR(B4242="",G4242=""),"",IF(C4242="","Gasto",C4242))</f>
        <v/>
      </c>
      <c r="Q4242" s="52">
        <f>IF(P4242="","",IF(J4242&lt;&gt;"",J4242,CuentaPred&amp;""))</f>
        <v/>
      </c>
      <c r="R4242" s="52">
        <f>IF(P4242="","",IF(ISNUMBER(I4242),I4242,TasaUSD))</f>
        <v/>
      </c>
      <c r="S4242" s="53">
        <f>IF(P4242="","",IF(H4242="USD",G4242*R4242,G4242))</f>
        <v/>
      </c>
      <c r="T4242" s="53">
        <f>IF(P4242="","",IF(H4242="USD",G4242,IF(R4242&gt;0,G4242/R4242,0)))</f>
        <v/>
      </c>
      <c r="U4242" s="53">
        <f>IF(P4242="","",IF(P4242="Gasto",S4242,IF(P4242="Reembolso",-S4242,0)))</f>
        <v/>
      </c>
      <c r="V4242" s="53">
        <f>IF(P4242="","",IF(P4242="Ingreso",S4242,0))</f>
        <v/>
      </c>
      <c r="W4242" s="53">
        <f>IF(P4242="","",IF(P4242="Resultado trading",S4242,0))</f>
        <v/>
      </c>
      <c r="X4242" s="52">
        <f>IF(OR(P4242="Gasto",P4242="Reembolso"),IF(M4242&lt;&gt;"",M4242,IFERROR(INDEX(catClasif,MATCH(D4242&amp;"|"&amp;E4242,catClave,0))&amp;"","Variable")),"")</f>
        <v/>
      </c>
      <c r="Y4242" s="52">
        <f>IF(P4242="","",IFERROR(INDEX(catGrupo,MATCH(D4242&amp;"|"&amp;E4242,catClave,0))&amp;"",""))</f>
        <v/>
      </c>
      <c r="Z4242" s="52">
        <f>IF(P4242="","",WEEKDAY(B4242,2))</f>
        <v/>
      </c>
      <c r="AA4242" s="52">
        <f>IF(P4242="","",IF(AND(P4242="Gasto",X4242="Variable",D4242&lt;&gt;catTrading,S4242&gt;0,S4242&lt;=Umbral),1,0))</f>
        <v/>
      </c>
      <c r="AB4242" s="52">
        <f>IF(OR(P4242="",Q4242=""),"",IFERROR(IF(INDEX(ctaVinc,MATCH(Q4242,ctaNombre,0))&amp;""&lt;&gt;"",INDEX(ctaVinc,MATCH(Q4242,ctaNombre,0))&amp;"",Q4242),Q4242))</f>
        <v/>
      </c>
      <c r="AC4242" s="52">
        <f>IF(OR(K4242="",AND(P4242&lt;&gt;"Transferencia",P4242&lt;&gt;"Pago tarjeta")),"",IFERROR(IF(INDEX(ctaVinc,MATCH(K4242,ctaNombre,0))&amp;""&lt;&gt;"",INDEX(ctaVinc,MATCH(K4242,ctaNombre,0))&amp;"",K4242),K4242))</f>
        <v/>
      </c>
      <c r="AD4242" s="52">
        <f>IF(AB4242="","",IFERROR(INDEX(ctaTipo,MATCH(AB4242,ctaNombre,0))&amp;"",""))</f>
        <v/>
      </c>
      <c r="AE4242" s="52">
        <f>IF(AC4242="","",IFERROR(INDEX(ctaTipo,MATCH(AC4242,ctaNombre,0))&amp;"",""))</f>
        <v/>
      </c>
      <c r="AF4242" s="53">
        <f>IF(OR(P4242="",AB4242=""),"",IF(OR(P4242="Gasto",P4242="Transferencia",P4242="Pago tarjeta"),-1,1)*IF(IFERROR(INDEX(ctaMoneda,MATCH(AB4242,ctaNombre,0))&amp;"","DOP")="USD",T4242,S4242))</f>
        <v/>
      </c>
      <c r="AG4242" s="53">
        <f>IF(AC4242="","",IF(IFERROR(INDEX(ctaMoneda,MATCH(AC4242,ctaNombre,0))&amp;"","DOP")="USD",T4242,S4242))</f>
        <v/>
      </c>
      <c r="AH4242" s="53">
        <f>IF(P4242="","",IF(AND(AD4242&lt;&gt;"",COUNTIFS(tcTipo,AD4242,tcLiq,"Sí")&gt;0),IF(OR(P4242="Gasto",P4242="Transferencia",P4242="Pago tarjeta"),-1,1)*S4242,0)+IF(AND(AE4242&lt;&gt;"",COUNTIFS(tcTipo,AE4242,tcLiq,"Sí")&gt;0),S4242,0))</f>
        <v/>
      </c>
      <c r="AI4242" s="52">
        <f>IF(OR(L4242="",P4242=""),"",IF(COUNTIFS(L$6:L4242,L4242,P$6:P4242,"?*")=1,MAX(AI$5:AI4241)+1,""))</f>
        <v/>
      </c>
    </row>
    <row r="4243">
      <c r="B4243" s="47" t="n"/>
      <c r="C4243" s="48" t="n"/>
      <c r="D4243" s="48" t="n"/>
      <c r="E4243" s="48" t="n"/>
      <c r="F4243" s="48" t="n"/>
      <c r="G4243" s="49" t="n"/>
      <c r="H4243" s="48" t="n"/>
      <c r="I4243" s="50" t="n"/>
      <c r="J4243" s="48" t="n"/>
      <c r="K4243" s="48" t="n"/>
      <c r="L4243" s="48" t="n"/>
      <c r="M4243" s="48" t="n"/>
      <c r="N4243" s="48" t="n"/>
      <c r="O4243" s="51">
        <f>IF(AND(B4243="",G4243="",C4243="",D4243="",J4243=""),"",IF(B4243="","⚠ Falta fecha",IF(G4243="","⚠ Falta monto",IF(Q4243="","⚠ Falta cuenta",IF(ISNA(MATCH(Q4243,ctaNombre,0)),"⚠ Cuenta no registrada",IF(AND(OR(P4243="Gasto",P4243="Reembolso"),D4243=""),"⚠ Falta categoría",IF(AND(D4243&lt;&gt;"",E4243&lt;&gt;"",ISNA(MATCH(D4243&amp;"|"&amp;E4243,catClave,0))),"⚠ Subcategoría no corresponde",IF(AND(OR(P4243="Transferencia",P4243="Pago tarjeta"),K4243=""),"⚠ Falta cuenta destino",IF(AND(K4243&lt;&gt;"",P4243&lt;&gt;"Transferencia",P4243&lt;&gt;"Pago tarjeta"),"⚠ Destino solo aplica a transferencias",IF(AND(K4243&lt;&gt;"",K4243=Q4243),"⚠ Origen igual a destino",IF(AND(K4243&lt;&gt;"",ISNA(MATCH(K4243,ctaNombre,0))),"⚠ Destino no registrado",IF(AND(P4243="Pago tarjeta",AE4243&lt;&gt;"Tarjeta de crédito"),"⚠ El destino debe ser tarjeta de crédito",IF(AND(P4243="Gasto",E4243="Depósitos y retiros"),"⚠ Usa tipo Transferencia",IF(AND(P4243="Resultado trading",AD4243&lt;&gt;"Cuenta de trading"),"⚠ Usa una cuenta de trading",IF(AND(G4243&lt;=0,P4243&lt;&gt;"Ajuste",P4243&lt;&gt;"Resultado trading"),"⚠ El monto debe ser positivo","✓")))))))))))))))</f>
        <v/>
      </c>
      <c r="P4243" s="52">
        <f>IF(OR(B4243="",G4243=""),"",IF(C4243="","Gasto",C4243))</f>
        <v/>
      </c>
      <c r="Q4243" s="52">
        <f>IF(P4243="","",IF(J4243&lt;&gt;"",J4243,CuentaPred&amp;""))</f>
        <v/>
      </c>
      <c r="R4243" s="52">
        <f>IF(P4243="","",IF(ISNUMBER(I4243),I4243,TasaUSD))</f>
        <v/>
      </c>
      <c r="S4243" s="53">
        <f>IF(P4243="","",IF(H4243="USD",G4243*R4243,G4243))</f>
        <v/>
      </c>
      <c r="T4243" s="53">
        <f>IF(P4243="","",IF(H4243="USD",G4243,IF(R4243&gt;0,G4243/R4243,0)))</f>
        <v/>
      </c>
      <c r="U4243" s="53">
        <f>IF(P4243="","",IF(P4243="Gasto",S4243,IF(P4243="Reembolso",-S4243,0)))</f>
        <v/>
      </c>
      <c r="V4243" s="53">
        <f>IF(P4243="","",IF(P4243="Ingreso",S4243,0))</f>
        <v/>
      </c>
      <c r="W4243" s="53">
        <f>IF(P4243="","",IF(P4243="Resultado trading",S4243,0))</f>
        <v/>
      </c>
      <c r="X4243" s="52">
        <f>IF(OR(P4243="Gasto",P4243="Reembolso"),IF(M4243&lt;&gt;"",M4243,IFERROR(INDEX(catClasif,MATCH(D4243&amp;"|"&amp;E4243,catClave,0))&amp;"","Variable")),"")</f>
        <v/>
      </c>
      <c r="Y4243" s="52">
        <f>IF(P4243="","",IFERROR(INDEX(catGrupo,MATCH(D4243&amp;"|"&amp;E4243,catClave,0))&amp;"",""))</f>
        <v/>
      </c>
      <c r="Z4243" s="52">
        <f>IF(P4243="","",WEEKDAY(B4243,2))</f>
        <v/>
      </c>
      <c r="AA4243" s="52">
        <f>IF(P4243="","",IF(AND(P4243="Gasto",X4243="Variable",D4243&lt;&gt;catTrading,S4243&gt;0,S4243&lt;=Umbral),1,0))</f>
        <v/>
      </c>
      <c r="AB4243" s="52">
        <f>IF(OR(P4243="",Q4243=""),"",IFERROR(IF(INDEX(ctaVinc,MATCH(Q4243,ctaNombre,0))&amp;""&lt;&gt;"",INDEX(ctaVinc,MATCH(Q4243,ctaNombre,0))&amp;"",Q4243),Q4243))</f>
        <v/>
      </c>
      <c r="AC4243" s="52">
        <f>IF(OR(K4243="",AND(P4243&lt;&gt;"Transferencia",P4243&lt;&gt;"Pago tarjeta")),"",IFERROR(IF(INDEX(ctaVinc,MATCH(K4243,ctaNombre,0))&amp;""&lt;&gt;"",INDEX(ctaVinc,MATCH(K4243,ctaNombre,0))&amp;"",K4243),K4243))</f>
        <v/>
      </c>
      <c r="AD4243" s="52">
        <f>IF(AB4243="","",IFERROR(INDEX(ctaTipo,MATCH(AB4243,ctaNombre,0))&amp;"",""))</f>
        <v/>
      </c>
      <c r="AE4243" s="52">
        <f>IF(AC4243="","",IFERROR(INDEX(ctaTipo,MATCH(AC4243,ctaNombre,0))&amp;"",""))</f>
        <v/>
      </c>
      <c r="AF4243" s="53">
        <f>IF(OR(P4243="",AB4243=""),"",IF(OR(P4243="Gasto",P4243="Transferencia",P4243="Pago tarjeta"),-1,1)*IF(IFERROR(INDEX(ctaMoneda,MATCH(AB4243,ctaNombre,0))&amp;"","DOP")="USD",T4243,S4243))</f>
        <v/>
      </c>
      <c r="AG4243" s="53">
        <f>IF(AC4243="","",IF(IFERROR(INDEX(ctaMoneda,MATCH(AC4243,ctaNombre,0))&amp;"","DOP")="USD",T4243,S4243))</f>
        <v/>
      </c>
      <c r="AH4243" s="53">
        <f>IF(P4243="","",IF(AND(AD4243&lt;&gt;"",COUNTIFS(tcTipo,AD4243,tcLiq,"Sí")&gt;0),IF(OR(P4243="Gasto",P4243="Transferencia",P4243="Pago tarjeta"),-1,1)*S4243,0)+IF(AND(AE4243&lt;&gt;"",COUNTIFS(tcTipo,AE4243,tcLiq,"Sí")&gt;0),S4243,0))</f>
        <v/>
      </c>
      <c r="AI4243" s="52">
        <f>IF(OR(L4243="",P4243=""),"",IF(COUNTIFS(L$6:L4243,L4243,P$6:P4243,"?*")=1,MAX(AI$5:AI4242)+1,""))</f>
        <v/>
      </c>
    </row>
    <row r="4244">
      <c r="B4244" s="47" t="n"/>
      <c r="C4244" s="48" t="n"/>
      <c r="D4244" s="48" t="n"/>
      <c r="E4244" s="48" t="n"/>
      <c r="F4244" s="48" t="n"/>
      <c r="G4244" s="49" t="n"/>
      <c r="H4244" s="48" t="n"/>
      <c r="I4244" s="50" t="n"/>
      <c r="J4244" s="48" t="n"/>
      <c r="K4244" s="48" t="n"/>
      <c r="L4244" s="48" t="n"/>
      <c r="M4244" s="48" t="n"/>
      <c r="N4244" s="48" t="n"/>
      <c r="O4244" s="51">
        <f>IF(AND(B4244="",G4244="",C4244="",D4244="",J4244=""),"",IF(B4244="","⚠ Falta fecha",IF(G4244="","⚠ Falta monto",IF(Q4244="","⚠ Falta cuenta",IF(ISNA(MATCH(Q4244,ctaNombre,0)),"⚠ Cuenta no registrada",IF(AND(OR(P4244="Gasto",P4244="Reembolso"),D4244=""),"⚠ Falta categoría",IF(AND(D4244&lt;&gt;"",E4244&lt;&gt;"",ISNA(MATCH(D4244&amp;"|"&amp;E4244,catClave,0))),"⚠ Subcategoría no corresponde",IF(AND(OR(P4244="Transferencia",P4244="Pago tarjeta"),K4244=""),"⚠ Falta cuenta destino",IF(AND(K4244&lt;&gt;"",P4244&lt;&gt;"Transferencia",P4244&lt;&gt;"Pago tarjeta"),"⚠ Destino solo aplica a transferencias",IF(AND(K4244&lt;&gt;"",K4244=Q4244),"⚠ Origen igual a destino",IF(AND(K4244&lt;&gt;"",ISNA(MATCH(K4244,ctaNombre,0))),"⚠ Destino no registrado",IF(AND(P4244="Pago tarjeta",AE4244&lt;&gt;"Tarjeta de crédito"),"⚠ El destino debe ser tarjeta de crédito",IF(AND(P4244="Gasto",E4244="Depósitos y retiros"),"⚠ Usa tipo Transferencia",IF(AND(P4244="Resultado trading",AD4244&lt;&gt;"Cuenta de trading"),"⚠ Usa una cuenta de trading",IF(AND(G4244&lt;=0,P4244&lt;&gt;"Ajuste",P4244&lt;&gt;"Resultado trading"),"⚠ El monto debe ser positivo","✓")))))))))))))))</f>
        <v/>
      </c>
      <c r="P4244" s="52">
        <f>IF(OR(B4244="",G4244=""),"",IF(C4244="","Gasto",C4244))</f>
        <v/>
      </c>
      <c r="Q4244" s="52">
        <f>IF(P4244="","",IF(J4244&lt;&gt;"",J4244,CuentaPred&amp;""))</f>
        <v/>
      </c>
      <c r="R4244" s="52">
        <f>IF(P4244="","",IF(ISNUMBER(I4244),I4244,TasaUSD))</f>
        <v/>
      </c>
      <c r="S4244" s="53">
        <f>IF(P4244="","",IF(H4244="USD",G4244*R4244,G4244))</f>
        <v/>
      </c>
      <c r="T4244" s="53">
        <f>IF(P4244="","",IF(H4244="USD",G4244,IF(R4244&gt;0,G4244/R4244,0)))</f>
        <v/>
      </c>
      <c r="U4244" s="53">
        <f>IF(P4244="","",IF(P4244="Gasto",S4244,IF(P4244="Reembolso",-S4244,0)))</f>
        <v/>
      </c>
      <c r="V4244" s="53">
        <f>IF(P4244="","",IF(P4244="Ingreso",S4244,0))</f>
        <v/>
      </c>
      <c r="W4244" s="53">
        <f>IF(P4244="","",IF(P4244="Resultado trading",S4244,0))</f>
        <v/>
      </c>
      <c r="X4244" s="52">
        <f>IF(OR(P4244="Gasto",P4244="Reembolso"),IF(M4244&lt;&gt;"",M4244,IFERROR(INDEX(catClasif,MATCH(D4244&amp;"|"&amp;E4244,catClave,0))&amp;"","Variable")),"")</f>
        <v/>
      </c>
      <c r="Y4244" s="52">
        <f>IF(P4244="","",IFERROR(INDEX(catGrupo,MATCH(D4244&amp;"|"&amp;E4244,catClave,0))&amp;"",""))</f>
        <v/>
      </c>
      <c r="Z4244" s="52">
        <f>IF(P4244="","",WEEKDAY(B4244,2))</f>
        <v/>
      </c>
      <c r="AA4244" s="52">
        <f>IF(P4244="","",IF(AND(P4244="Gasto",X4244="Variable",D4244&lt;&gt;catTrading,S4244&gt;0,S4244&lt;=Umbral),1,0))</f>
        <v/>
      </c>
      <c r="AB4244" s="52">
        <f>IF(OR(P4244="",Q4244=""),"",IFERROR(IF(INDEX(ctaVinc,MATCH(Q4244,ctaNombre,0))&amp;""&lt;&gt;"",INDEX(ctaVinc,MATCH(Q4244,ctaNombre,0))&amp;"",Q4244),Q4244))</f>
        <v/>
      </c>
      <c r="AC4244" s="52">
        <f>IF(OR(K4244="",AND(P4244&lt;&gt;"Transferencia",P4244&lt;&gt;"Pago tarjeta")),"",IFERROR(IF(INDEX(ctaVinc,MATCH(K4244,ctaNombre,0))&amp;""&lt;&gt;"",INDEX(ctaVinc,MATCH(K4244,ctaNombre,0))&amp;"",K4244),K4244))</f>
        <v/>
      </c>
      <c r="AD4244" s="52">
        <f>IF(AB4244="","",IFERROR(INDEX(ctaTipo,MATCH(AB4244,ctaNombre,0))&amp;"",""))</f>
        <v/>
      </c>
      <c r="AE4244" s="52">
        <f>IF(AC4244="","",IFERROR(INDEX(ctaTipo,MATCH(AC4244,ctaNombre,0))&amp;"",""))</f>
        <v/>
      </c>
      <c r="AF4244" s="53">
        <f>IF(OR(P4244="",AB4244=""),"",IF(OR(P4244="Gasto",P4244="Transferencia",P4244="Pago tarjeta"),-1,1)*IF(IFERROR(INDEX(ctaMoneda,MATCH(AB4244,ctaNombre,0))&amp;"","DOP")="USD",T4244,S4244))</f>
        <v/>
      </c>
      <c r="AG4244" s="53">
        <f>IF(AC4244="","",IF(IFERROR(INDEX(ctaMoneda,MATCH(AC4244,ctaNombre,0))&amp;"","DOP")="USD",T4244,S4244))</f>
        <v/>
      </c>
      <c r="AH4244" s="53">
        <f>IF(P4244="","",IF(AND(AD4244&lt;&gt;"",COUNTIFS(tcTipo,AD4244,tcLiq,"Sí")&gt;0),IF(OR(P4244="Gasto",P4244="Transferencia",P4244="Pago tarjeta"),-1,1)*S4244,0)+IF(AND(AE4244&lt;&gt;"",COUNTIFS(tcTipo,AE4244,tcLiq,"Sí")&gt;0),S4244,0))</f>
        <v/>
      </c>
      <c r="AI4244" s="52">
        <f>IF(OR(L4244="",P4244=""),"",IF(COUNTIFS(L$6:L4244,L4244,P$6:P4244,"?*")=1,MAX(AI$5:AI4243)+1,""))</f>
        <v/>
      </c>
    </row>
    <row r="4245">
      <c r="B4245" s="47" t="n"/>
      <c r="C4245" s="48" t="n"/>
      <c r="D4245" s="48" t="n"/>
      <c r="E4245" s="48" t="n"/>
      <c r="F4245" s="48" t="n"/>
      <c r="G4245" s="49" t="n"/>
      <c r="H4245" s="48" t="n"/>
      <c r="I4245" s="50" t="n"/>
      <c r="J4245" s="48" t="n"/>
      <c r="K4245" s="48" t="n"/>
      <c r="L4245" s="48" t="n"/>
      <c r="M4245" s="48" t="n"/>
      <c r="N4245" s="48" t="n"/>
      <c r="O4245" s="51">
        <f>IF(AND(B4245="",G4245="",C4245="",D4245="",J4245=""),"",IF(B4245="","⚠ Falta fecha",IF(G4245="","⚠ Falta monto",IF(Q4245="","⚠ Falta cuenta",IF(ISNA(MATCH(Q4245,ctaNombre,0)),"⚠ Cuenta no registrada",IF(AND(OR(P4245="Gasto",P4245="Reembolso"),D4245=""),"⚠ Falta categoría",IF(AND(D4245&lt;&gt;"",E4245&lt;&gt;"",ISNA(MATCH(D4245&amp;"|"&amp;E4245,catClave,0))),"⚠ Subcategoría no corresponde",IF(AND(OR(P4245="Transferencia",P4245="Pago tarjeta"),K4245=""),"⚠ Falta cuenta destino",IF(AND(K4245&lt;&gt;"",P4245&lt;&gt;"Transferencia",P4245&lt;&gt;"Pago tarjeta"),"⚠ Destino solo aplica a transferencias",IF(AND(K4245&lt;&gt;"",K4245=Q4245),"⚠ Origen igual a destino",IF(AND(K4245&lt;&gt;"",ISNA(MATCH(K4245,ctaNombre,0))),"⚠ Destino no registrado",IF(AND(P4245="Pago tarjeta",AE4245&lt;&gt;"Tarjeta de crédito"),"⚠ El destino debe ser tarjeta de crédito",IF(AND(P4245="Gasto",E4245="Depósitos y retiros"),"⚠ Usa tipo Transferencia",IF(AND(P4245="Resultado trading",AD4245&lt;&gt;"Cuenta de trading"),"⚠ Usa una cuenta de trading",IF(AND(G4245&lt;=0,P4245&lt;&gt;"Ajuste",P4245&lt;&gt;"Resultado trading"),"⚠ El monto debe ser positivo","✓")))))))))))))))</f>
        <v/>
      </c>
      <c r="P4245" s="52">
        <f>IF(OR(B4245="",G4245=""),"",IF(C4245="","Gasto",C4245))</f>
        <v/>
      </c>
      <c r="Q4245" s="52">
        <f>IF(P4245="","",IF(J4245&lt;&gt;"",J4245,CuentaPred&amp;""))</f>
        <v/>
      </c>
      <c r="R4245" s="52">
        <f>IF(P4245="","",IF(ISNUMBER(I4245),I4245,TasaUSD))</f>
        <v/>
      </c>
      <c r="S4245" s="53">
        <f>IF(P4245="","",IF(H4245="USD",G4245*R4245,G4245))</f>
        <v/>
      </c>
      <c r="T4245" s="53">
        <f>IF(P4245="","",IF(H4245="USD",G4245,IF(R4245&gt;0,G4245/R4245,0)))</f>
        <v/>
      </c>
      <c r="U4245" s="53">
        <f>IF(P4245="","",IF(P4245="Gasto",S4245,IF(P4245="Reembolso",-S4245,0)))</f>
        <v/>
      </c>
      <c r="V4245" s="53">
        <f>IF(P4245="","",IF(P4245="Ingreso",S4245,0))</f>
        <v/>
      </c>
      <c r="W4245" s="53">
        <f>IF(P4245="","",IF(P4245="Resultado trading",S4245,0))</f>
        <v/>
      </c>
      <c r="X4245" s="52">
        <f>IF(OR(P4245="Gasto",P4245="Reembolso"),IF(M4245&lt;&gt;"",M4245,IFERROR(INDEX(catClasif,MATCH(D4245&amp;"|"&amp;E4245,catClave,0))&amp;"","Variable")),"")</f>
        <v/>
      </c>
      <c r="Y4245" s="52">
        <f>IF(P4245="","",IFERROR(INDEX(catGrupo,MATCH(D4245&amp;"|"&amp;E4245,catClave,0))&amp;"",""))</f>
        <v/>
      </c>
      <c r="Z4245" s="52">
        <f>IF(P4245="","",WEEKDAY(B4245,2))</f>
        <v/>
      </c>
      <c r="AA4245" s="52">
        <f>IF(P4245="","",IF(AND(P4245="Gasto",X4245="Variable",D4245&lt;&gt;catTrading,S4245&gt;0,S4245&lt;=Umbral),1,0))</f>
        <v/>
      </c>
      <c r="AB4245" s="52">
        <f>IF(OR(P4245="",Q4245=""),"",IFERROR(IF(INDEX(ctaVinc,MATCH(Q4245,ctaNombre,0))&amp;""&lt;&gt;"",INDEX(ctaVinc,MATCH(Q4245,ctaNombre,0))&amp;"",Q4245),Q4245))</f>
        <v/>
      </c>
      <c r="AC4245" s="52">
        <f>IF(OR(K4245="",AND(P4245&lt;&gt;"Transferencia",P4245&lt;&gt;"Pago tarjeta")),"",IFERROR(IF(INDEX(ctaVinc,MATCH(K4245,ctaNombre,0))&amp;""&lt;&gt;"",INDEX(ctaVinc,MATCH(K4245,ctaNombre,0))&amp;"",K4245),K4245))</f>
        <v/>
      </c>
      <c r="AD4245" s="52">
        <f>IF(AB4245="","",IFERROR(INDEX(ctaTipo,MATCH(AB4245,ctaNombre,0))&amp;"",""))</f>
        <v/>
      </c>
      <c r="AE4245" s="52">
        <f>IF(AC4245="","",IFERROR(INDEX(ctaTipo,MATCH(AC4245,ctaNombre,0))&amp;"",""))</f>
        <v/>
      </c>
      <c r="AF4245" s="53">
        <f>IF(OR(P4245="",AB4245=""),"",IF(OR(P4245="Gasto",P4245="Transferencia",P4245="Pago tarjeta"),-1,1)*IF(IFERROR(INDEX(ctaMoneda,MATCH(AB4245,ctaNombre,0))&amp;"","DOP")="USD",T4245,S4245))</f>
        <v/>
      </c>
      <c r="AG4245" s="53">
        <f>IF(AC4245="","",IF(IFERROR(INDEX(ctaMoneda,MATCH(AC4245,ctaNombre,0))&amp;"","DOP")="USD",T4245,S4245))</f>
        <v/>
      </c>
      <c r="AH4245" s="53">
        <f>IF(P4245="","",IF(AND(AD4245&lt;&gt;"",COUNTIFS(tcTipo,AD4245,tcLiq,"Sí")&gt;0),IF(OR(P4245="Gasto",P4245="Transferencia",P4245="Pago tarjeta"),-1,1)*S4245,0)+IF(AND(AE4245&lt;&gt;"",COUNTIFS(tcTipo,AE4245,tcLiq,"Sí")&gt;0),S4245,0))</f>
        <v/>
      </c>
      <c r="AI4245" s="52">
        <f>IF(OR(L4245="",P4245=""),"",IF(COUNTIFS(L$6:L4245,L4245,P$6:P4245,"?*")=1,MAX(AI$5:AI4244)+1,""))</f>
        <v/>
      </c>
    </row>
    <row r="4246">
      <c r="B4246" s="47" t="n"/>
      <c r="C4246" s="48" t="n"/>
      <c r="D4246" s="48" t="n"/>
      <c r="E4246" s="48" t="n"/>
      <c r="F4246" s="48" t="n"/>
      <c r="G4246" s="49" t="n"/>
      <c r="H4246" s="48" t="n"/>
      <c r="I4246" s="50" t="n"/>
      <c r="J4246" s="48" t="n"/>
      <c r="K4246" s="48" t="n"/>
      <c r="L4246" s="48" t="n"/>
      <c r="M4246" s="48" t="n"/>
      <c r="N4246" s="48" t="n"/>
      <c r="O4246" s="51">
        <f>IF(AND(B4246="",G4246="",C4246="",D4246="",J4246=""),"",IF(B4246="","⚠ Falta fecha",IF(G4246="","⚠ Falta monto",IF(Q4246="","⚠ Falta cuenta",IF(ISNA(MATCH(Q4246,ctaNombre,0)),"⚠ Cuenta no registrada",IF(AND(OR(P4246="Gasto",P4246="Reembolso"),D4246=""),"⚠ Falta categoría",IF(AND(D4246&lt;&gt;"",E4246&lt;&gt;"",ISNA(MATCH(D4246&amp;"|"&amp;E4246,catClave,0))),"⚠ Subcategoría no corresponde",IF(AND(OR(P4246="Transferencia",P4246="Pago tarjeta"),K4246=""),"⚠ Falta cuenta destino",IF(AND(K4246&lt;&gt;"",P4246&lt;&gt;"Transferencia",P4246&lt;&gt;"Pago tarjeta"),"⚠ Destino solo aplica a transferencias",IF(AND(K4246&lt;&gt;"",K4246=Q4246),"⚠ Origen igual a destino",IF(AND(K4246&lt;&gt;"",ISNA(MATCH(K4246,ctaNombre,0))),"⚠ Destino no registrado",IF(AND(P4246="Pago tarjeta",AE4246&lt;&gt;"Tarjeta de crédito"),"⚠ El destino debe ser tarjeta de crédito",IF(AND(P4246="Gasto",E4246="Depósitos y retiros"),"⚠ Usa tipo Transferencia",IF(AND(P4246="Resultado trading",AD4246&lt;&gt;"Cuenta de trading"),"⚠ Usa una cuenta de trading",IF(AND(G4246&lt;=0,P4246&lt;&gt;"Ajuste",P4246&lt;&gt;"Resultado trading"),"⚠ El monto debe ser positivo","✓")))))))))))))))</f>
        <v/>
      </c>
      <c r="P4246" s="52">
        <f>IF(OR(B4246="",G4246=""),"",IF(C4246="","Gasto",C4246))</f>
        <v/>
      </c>
      <c r="Q4246" s="52">
        <f>IF(P4246="","",IF(J4246&lt;&gt;"",J4246,CuentaPred&amp;""))</f>
        <v/>
      </c>
      <c r="R4246" s="52">
        <f>IF(P4246="","",IF(ISNUMBER(I4246),I4246,TasaUSD))</f>
        <v/>
      </c>
      <c r="S4246" s="53">
        <f>IF(P4246="","",IF(H4246="USD",G4246*R4246,G4246))</f>
        <v/>
      </c>
      <c r="T4246" s="53">
        <f>IF(P4246="","",IF(H4246="USD",G4246,IF(R4246&gt;0,G4246/R4246,0)))</f>
        <v/>
      </c>
      <c r="U4246" s="53">
        <f>IF(P4246="","",IF(P4246="Gasto",S4246,IF(P4246="Reembolso",-S4246,0)))</f>
        <v/>
      </c>
      <c r="V4246" s="53">
        <f>IF(P4246="","",IF(P4246="Ingreso",S4246,0))</f>
        <v/>
      </c>
      <c r="W4246" s="53">
        <f>IF(P4246="","",IF(P4246="Resultado trading",S4246,0))</f>
        <v/>
      </c>
      <c r="X4246" s="52">
        <f>IF(OR(P4246="Gasto",P4246="Reembolso"),IF(M4246&lt;&gt;"",M4246,IFERROR(INDEX(catClasif,MATCH(D4246&amp;"|"&amp;E4246,catClave,0))&amp;"","Variable")),"")</f>
        <v/>
      </c>
      <c r="Y4246" s="52">
        <f>IF(P4246="","",IFERROR(INDEX(catGrupo,MATCH(D4246&amp;"|"&amp;E4246,catClave,0))&amp;"",""))</f>
        <v/>
      </c>
      <c r="Z4246" s="52">
        <f>IF(P4246="","",WEEKDAY(B4246,2))</f>
        <v/>
      </c>
      <c r="AA4246" s="52">
        <f>IF(P4246="","",IF(AND(P4246="Gasto",X4246="Variable",D4246&lt;&gt;catTrading,S4246&gt;0,S4246&lt;=Umbral),1,0))</f>
        <v/>
      </c>
      <c r="AB4246" s="52">
        <f>IF(OR(P4246="",Q4246=""),"",IFERROR(IF(INDEX(ctaVinc,MATCH(Q4246,ctaNombre,0))&amp;""&lt;&gt;"",INDEX(ctaVinc,MATCH(Q4246,ctaNombre,0))&amp;"",Q4246),Q4246))</f>
        <v/>
      </c>
      <c r="AC4246" s="52">
        <f>IF(OR(K4246="",AND(P4246&lt;&gt;"Transferencia",P4246&lt;&gt;"Pago tarjeta")),"",IFERROR(IF(INDEX(ctaVinc,MATCH(K4246,ctaNombre,0))&amp;""&lt;&gt;"",INDEX(ctaVinc,MATCH(K4246,ctaNombre,0))&amp;"",K4246),K4246))</f>
        <v/>
      </c>
      <c r="AD4246" s="52">
        <f>IF(AB4246="","",IFERROR(INDEX(ctaTipo,MATCH(AB4246,ctaNombre,0))&amp;"",""))</f>
        <v/>
      </c>
      <c r="AE4246" s="52">
        <f>IF(AC4246="","",IFERROR(INDEX(ctaTipo,MATCH(AC4246,ctaNombre,0))&amp;"",""))</f>
        <v/>
      </c>
      <c r="AF4246" s="53">
        <f>IF(OR(P4246="",AB4246=""),"",IF(OR(P4246="Gasto",P4246="Transferencia",P4246="Pago tarjeta"),-1,1)*IF(IFERROR(INDEX(ctaMoneda,MATCH(AB4246,ctaNombre,0))&amp;"","DOP")="USD",T4246,S4246))</f>
        <v/>
      </c>
      <c r="AG4246" s="53">
        <f>IF(AC4246="","",IF(IFERROR(INDEX(ctaMoneda,MATCH(AC4246,ctaNombre,0))&amp;"","DOP")="USD",T4246,S4246))</f>
        <v/>
      </c>
      <c r="AH4246" s="53">
        <f>IF(P4246="","",IF(AND(AD4246&lt;&gt;"",COUNTIFS(tcTipo,AD4246,tcLiq,"Sí")&gt;0),IF(OR(P4246="Gasto",P4246="Transferencia",P4246="Pago tarjeta"),-1,1)*S4246,0)+IF(AND(AE4246&lt;&gt;"",COUNTIFS(tcTipo,AE4246,tcLiq,"Sí")&gt;0),S4246,0))</f>
        <v/>
      </c>
      <c r="AI4246" s="52">
        <f>IF(OR(L4246="",P4246=""),"",IF(COUNTIFS(L$6:L4246,L4246,P$6:P4246,"?*")=1,MAX(AI$5:AI4245)+1,""))</f>
        <v/>
      </c>
    </row>
    <row r="4247">
      <c r="B4247" s="47" t="n"/>
      <c r="C4247" s="48" t="n"/>
      <c r="D4247" s="48" t="n"/>
      <c r="E4247" s="48" t="n"/>
      <c r="F4247" s="48" t="n"/>
      <c r="G4247" s="49" t="n"/>
      <c r="H4247" s="48" t="n"/>
      <c r="I4247" s="50" t="n"/>
      <c r="J4247" s="48" t="n"/>
      <c r="K4247" s="48" t="n"/>
      <c r="L4247" s="48" t="n"/>
      <c r="M4247" s="48" t="n"/>
      <c r="N4247" s="48" t="n"/>
      <c r="O4247" s="51">
        <f>IF(AND(B4247="",G4247="",C4247="",D4247="",J4247=""),"",IF(B4247="","⚠ Falta fecha",IF(G4247="","⚠ Falta monto",IF(Q4247="","⚠ Falta cuenta",IF(ISNA(MATCH(Q4247,ctaNombre,0)),"⚠ Cuenta no registrada",IF(AND(OR(P4247="Gasto",P4247="Reembolso"),D4247=""),"⚠ Falta categoría",IF(AND(D4247&lt;&gt;"",E4247&lt;&gt;"",ISNA(MATCH(D4247&amp;"|"&amp;E4247,catClave,0))),"⚠ Subcategoría no corresponde",IF(AND(OR(P4247="Transferencia",P4247="Pago tarjeta"),K4247=""),"⚠ Falta cuenta destino",IF(AND(K4247&lt;&gt;"",P4247&lt;&gt;"Transferencia",P4247&lt;&gt;"Pago tarjeta"),"⚠ Destino solo aplica a transferencias",IF(AND(K4247&lt;&gt;"",K4247=Q4247),"⚠ Origen igual a destino",IF(AND(K4247&lt;&gt;"",ISNA(MATCH(K4247,ctaNombre,0))),"⚠ Destino no registrado",IF(AND(P4247="Pago tarjeta",AE4247&lt;&gt;"Tarjeta de crédito"),"⚠ El destino debe ser tarjeta de crédito",IF(AND(P4247="Gasto",E4247="Depósitos y retiros"),"⚠ Usa tipo Transferencia",IF(AND(P4247="Resultado trading",AD4247&lt;&gt;"Cuenta de trading"),"⚠ Usa una cuenta de trading",IF(AND(G4247&lt;=0,P4247&lt;&gt;"Ajuste",P4247&lt;&gt;"Resultado trading"),"⚠ El monto debe ser positivo","✓")))))))))))))))</f>
        <v/>
      </c>
      <c r="P4247" s="52">
        <f>IF(OR(B4247="",G4247=""),"",IF(C4247="","Gasto",C4247))</f>
        <v/>
      </c>
      <c r="Q4247" s="52">
        <f>IF(P4247="","",IF(J4247&lt;&gt;"",J4247,CuentaPred&amp;""))</f>
        <v/>
      </c>
      <c r="R4247" s="52">
        <f>IF(P4247="","",IF(ISNUMBER(I4247),I4247,TasaUSD))</f>
        <v/>
      </c>
      <c r="S4247" s="53">
        <f>IF(P4247="","",IF(H4247="USD",G4247*R4247,G4247))</f>
        <v/>
      </c>
      <c r="T4247" s="53">
        <f>IF(P4247="","",IF(H4247="USD",G4247,IF(R4247&gt;0,G4247/R4247,0)))</f>
        <v/>
      </c>
      <c r="U4247" s="53">
        <f>IF(P4247="","",IF(P4247="Gasto",S4247,IF(P4247="Reembolso",-S4247,0)))</f>
        <v/>
      </c>
      <c r="V4247" s="53">
        <f>IF(P4247="","",IF(P4247="Ingreso",S4247,0))</f>
        <v/>
      </c>
      <c r="W4247" s="53">
        <f>IF(P4247="","",IF(P4247="Resultado trading",S4247,0))</f>
        <v/>
      </c>
      <c r="X4247" s="52">
        <f>IF(OR(P4247="Gasto",P4247="Reembolso"),IF(M4247&lt;&gt;"",M4247,IFERROR(INDEX(catClasif,MATCH(D4247&amp;"|"&amp;E4247,catClave,0))&amp;"","Variable")),"")</f>
        <v/>
      </c>
      <c r="Y4247" s="52">
        <f>IF(P4247="","",IFERROR(INDEX(catGrupo,MATCH(D4247&amp;"|"&amp;E4247,catClave,0))&amp;"",""))</f>
        <v/>
      </c>
      <c r="Z4247" s="52">
        <f>IF(P4247="","",WEEKDAY(B4247,2))</f>
        <v/>
      </c>
      <c r="AA4247" s="52">
        <f>IF(P4247="","",IF(AND(P4247="Gasto",X4247="Variable",D4247&lt;&gt;catTrading,S4247&gt;0,S4247&lt;=Umbral),1,0))</f>
        <v/>
      </c>
      <c r="AB4247" s="52">
        <f>IF(OR(P4247="",Q4247=""),"",IFERROR(IF(INDEX(ctaVinc,MATCH(Q4247,ctaNombre,0))&amp;""&lt;&gt;"",INDEX(ctaVinc,MATCH(Q4247,ctaNombre,0))&amp;"",Q4247),Q4247))</f>
        <v/>
      </c>
      <c r="AC4247" s="52">
        <f>IF(OR(K4247="",AND(P4247&lt;&gt;"Transferencia",P4247&lt;&gt;"Pago tarjeta")),"",IFERROR(IF(INDEX(ctaVinc,MATCH(K4247,ctaNombre,0))&amp;""&lt;&gt;"",INDEX(ctaVinc,MATCH(K4247,ctaNombre,0))&amp;"",K4247),K4247))</f>
        <v/>
      </c>
      <c r="AD4247" s="52">
        <f>IF(AB4247="","",IFERROR(INDEX(ctaTipo,MATCH(AB4247,ctaNombre,0))&amp;"",""))</f>
        <v/>
      </c>
      <c r="AE4247" s="52">
        <f>IF(AC4247="","",IFERROR(INDEX(ctaTipo,MATCH(AC4247,ctaNombre,0))&amp;"",""))</f>
        <v/>
      </c>
      <c r="AF4247" s="53">
        <f>IF(OR(P4247="",AB4247=""),"",IF(OR(P4247="Gasto",P4247="Transferencia",P4247="Pago tarjeta"),-1,1)*IF(IFERROR(INDEX(ctaMoneda,MATCH(AB4247,ctaNombre,0))&amp;"","DOP")="USD",T4247,S4247))</f>
        <v/>
      </c>
      <c r="AG4247" s="53">
        <f>IF(AC4247="","",IF(IFERROR(INDEX(ctaMoneda,MATCH(AC4247,ctaNombre,0))&amp;"","DOP")="USD",T4247,S4247))</f>
        <v/>
      </c>
      <c r="AH4247" s="53">
        <f>IF(P4247="","",IF(AND(AD4247&lt;&gt;"",COUNTIFS(tcTipo,AD4247,tcLiq,"Sí")&gt;0),IF(OR(P4247="Gasto",P4247="Transferencia",P4247="Pago tarjeta"),-1,1)*S4247,0)+IF(AND(AE4247&lt;&gt;"",COUNTIFS(tcTipo,AE4247,tcLiq,"Sí")&gt;0),S4247,0))</f>
        <v/>
      </c>
      <c r="AI4247" s="52">
        <f>IF(OR(L4247="",P4247=""),"",IF(COUNTIFS(L$6:L4247,L4247,P$6:P4247,"?*")=1,MAX(AI$5:AI4246)+1,""))</f>
        <v/>
      </c>
    </row>
    <row r="4248">
      <c r="B4248" s="47" t="n"/>
      <c r="C4248" s="48" t="n"/>
      <c r="D4248" s="48" t="n"/>
      <c r="E4248" s="48" t="n"/>
      <c r="F4248" s="48" t="n"/>
      <c r="G4248" s="49" t="n"/>
      <c r="H4248" s="48" t="n"/>
      <c r="I4248" s="50" t="n"/>
      <c r="J4248" s="48" t="n"/>
      <c r="K4248" s="48" t="n"/>
      <c r="L4248" s="48" t="n"/>
      <c r="M4248" s="48" t="n"/>
      <c r="N4248" s="48" t="n"/>
      <c r="O4248" s="51">
        <f>IF(AND(B4248="",G4248="",C4248="",D4248="",J4248=""),"",IF(B4248="","⚠ Falta fecha",IF(G4248="","⚠ Falta monto",IF(Q4248="","⚠ Falta cuenta",IF(ISNA(MATCH(Q4248,ctaNombre,0)),"⚠ Cuenta no registrada",IF(AND(OR(P4248="Gasto",P4248="Reembolso"),D4248=""),"⚠ Falta categoría",IF(AND(D4248&lt;&gt;"",E4248&lt;&gt;"",ISNA(MATCH(D4248&amp;"|"&amp;E4248,catClave,0))),"⚠ Subcategoría no corresponde",IF(AND(OR(P4248="Transferencia",P4248="Pago tarjeta"),K4248=""),"⚠ Falta cuenta destino",IF(AND(K4248&lt;&gt;"",P4248&lt;&gt;"Transferencia",P4248&lt;&gt;"Pago tarjeta"),"⚠ Destino solo aplica a transferencias",IF(AND(K4248&lt;&gt;"",K4248=Q4248),"⚠ Origen igual a destino",IF(AND(K4248&lt;&gt;"",ISNA(MATCH(K4248,ctaNombre,0))),"⚠ Destino no registrado",IF(AND(P4248="Pago tarjeta",AE4248&lt;&gt;"Tarjeta de crédito"),"⚠ El destino debe ser tarjeta de crédito",IF(AND(P4248="Gasto",E4248="Depósitos y retiros"),"⚠ Usa tipo Transferencia",IF(AND(P4248="Resultado trading",AD4248&lt;&gt;"Cuenta de trading"),"⚠ Usa una cuenta de trading",IF(AND(G4248&lt;=0,P4248&lt;&gt;"Ajuste",P4248&lt;&gt;"Resultado trading"),"⚠ El monto debe ser positivo","✓")))))))))))))))</f>
        <v/>
      </c>
      <c r="P4248" s="52">
        <f>IF(OR(B4248="",G4248=""),"",IF(C4248="","Gasto",C4248))</f>
        <v/>
      </c>
      <c r="Q4248" s="52">
        <f>IF(P4248="","",IF(J4248&lt;&gt;"",J4248,CuentaPred&amp;""))</f>
        <v/>
      </c>
      <c r="R4248" s="52">
        <f>IF(P4248="","",IF(ISNUMBER(I4248),I4248,TasaUSD))</f>
        <v/>
      </c>
      <c r="S4248" s="53">
        <f>IF(P4248="","",IF(H4248="USD",G4248*R4248,G4248))</f>
        <v/>
      </c>
      <c r="T4248" s="53">
        <f>IF(P4248="","",IF(H4248="USD",G4248,IF(R4248&gt;0,G4248/R4248,0)))</f>
        <v/>
      </c>
      <c r="U4248" s="53">
        <f>IF(P4248="","",IF(P4248="Gasto",S4248,IF(P4248="Reembolso",-S4248,0)))</f>
        <v/>
      </c>
      <c r="V4248" s="53">
        <f>IF(P4248="","",IF(P4248="Ingreso",S4248,0))</f>
        <v/>
      </c>
      <c r="W4248" s="53">
        <f>IF(P4248="","",IF(P4248="Resultado trading",S4248,0))</f>
        <v/>
      </c>
      <c r="X4248" s="52">
        <f>IF(OR(P4248="Gasto",P4248="Reembolso"),IF(M4248&lt;&gt;"",M4248,IFERROR(INDEX(catClasif,MATCH(D4248&amp;"|"&amp;E4248,catClave,0))&amp;"","Variable")),"")</f>
        <v/>
      </c>
      <c r="Y4248" s="52">
        <f>IF(P4248="","",IFERROR(INDEX(catGrupo,MATCH(D4248&amp;"|"&amp;E4248,catClave,0))&amp;"",""))</f>
        <v/>
      </c>
      <c r="Z4248" s="52">
        <f>IF(P4248="","",WEEKDAY(B4248,2))</f>
        <v/>
      </c>
      <c r="AA4248" s="52">
        <f>IF(P4248="","",IF(AND(P4248="Gasto",X4248="Variable",D4248&lt;&gt;catTrading,S4248&gt;0,S4248&lt;=Umbral),1,0))</f>
        <v/>
      </c>
      <c r="AB4248" s="52">
        <f>IF(OR(P4248="",Q4248=""),"",IFERROR(IF(INDEX(ctaVinc,MATCH(Q4248,ctaNombre,0))&amp;""&lt;&gt;"",INDEX(ctaVinc,MATCH(Q4248,ctaNombre,0))&amp;"",Q4248),Q4248))</f>
        <v/>
      </c>
      <c r="AC4248" s="52">
        <f>IF(OR(K4248="",AND(P4248&lt;&gt;"Transferencia",P4248&lt;&gt;"Pago tarjeta")),"",IFERROR(IF(INDEX(ctaVinc,MATCH(K4248,ctaNombre,0))&amp;""&lt;&gt;"",INDEX(ctaVinc,MATCH(K4248,ctaNombre,0))&amp;"",K4248),K4248))</f>
        <v/>
      </c>
      <c r="AD4248" s="52">
        <f>IF(AB4248="","",IFERROR(INDEX(ctaTipo,MATCH(AB4248,ctaNombre,0))&amp;"",""))</f>
        <v/>
      </c>
      <c r="AE4248" s="52">
        <f>IF(AC4248="","",IFERROR(INDEX(ctaTipo,MATCH(AC4248,ctaNombre,0))&amp;"",""))</f>
        <v/>
      </c>
      <c r="AF4248" s="53">
        <f>IF(OR(P4248="",AB4248=""),"",IF(OR(P4248="Gasto",P4248="Transferencia",P4248="Pago tarjeta"),-1,1)*IF(IFERROR(INDEX(ctaMoneda,MATCH(AB4248,ctaNombre,0))&amp;"","DOP")="USD",T4248,S4248))</f>
        <v/>
      </c>
      <c r="AG4248" s="53">
        <f>IF(AC4248="","",IF(IFERROR(INDEX(ctaMoneda,MATCH(AC4248,ctaNombre,0))&amp;"","DOP")="USD",T4248,S4248))</f>
        <v/>
      </c>
      <c r="AH4248" s="53">
        <f>IF(P4248="","",IF(AND(AD4248&lt;&gt;"",COUNTIFS(tcTipo,AD4248,tcLiq,"Sí")&gt;0),IF(OR(P4248="Gasto",P4248="Transferencia",P4248="Pago tarjeta"),-1,1)*S4248,0)+IF(AND(AE4248&lt;&gt;"",COUNTIFS(tcTipo,AE4248,tcLiq,"Sí")&gt;0),S4248,0))</f>
        <v/>
      </c>
      <c r="AI4248" s="52">
        <f>IF(OR(L4248="",P4248=""),"",IF(COUNTIFS(L$6:L4248,L4248,P$6:P4248,"?*")=1,MAX(AI$5:AI4247)+1,""))</f>
        <v/>
      </c>
    </row>
    <row r="4249">
      <c r="B4249" s="47" t="n"/>
      <c r="C4249" s="48" t="n"/>
      <c r="D4249" s="48" t="n"/>
      <c r="E4249" s="48" t="n"/>
      <c r="F4249" s="48" t="n"/>
      <c r="G4249" s="49" t="n"/>
      <c r="H4249" s="48" t="n"/>
      <c r="I4249" s="50" t="n"/>
      <c r="J4249" s="48" t="n"/>
      <c r="K4249" s="48" t="n"/>
      <c r="L4249" s="48" t="n"/>
      <c r="M4249" s="48" t="n"/>
      <c r="N4249" s="48" t="n"/>
      <c r="O4249" s="51">
        <f>IF(AND(B4249="",G4249="",C4249="",D4249="",J4249=""),"",IF(B4249="","⚠ Falta fecha",IF(G4249="","⚠ Falta monto",IF(Q4249="","⚠ Falta cuenta",IF(ISNA(MATCH(Q4249,ctaNombre,0)),"⚠ Cuenta no registrada",IF(AND(OR(P4249="Gasto",P4249="Reembolso"),D4249=""),"⚠ Falta categoría",IF(AND(D4249&lt;&gt;"",E4249&lt;&gt;"",ISNA(MATCH(D4249&amp;"|"&amp;E4249,catClave,0))),"⚠ Subcategoría no corresponde",IF(AND(OR(P4249="Transferencia",P4249="Pago tarjeta"),K4249=""),"⚠ Falta cuenta destino",IF(AND(K4249&lt;&gt;"",P4249&lt;&gt;"Transferencia",P4249&lt;&gt;"Pago tarjeta"),"⚠ Destino solo aplica a transferencias",IF(AND(K4249&lt;&gt;"",K4249=Q4249),"⚠ Origen igual a destino",IF(AND(K4249&lt;&gt;"",ISNA(MATCH(K4249,ctaNombre,0))),"⚠ Destino no registrado",IF(AND(P4249="Pago tarjeta",AE4249&lt;&gt;"Tarjeta de crédito"),"⚠ El destino debe ser tarjeta de crédito",IF(AND(P4249="Gasto",E4249="Depósitos y retiros"),"⚠ Usa tipo Transferencia",IF(AND(P4249="Resultado trading",AD4249&lt;&gt;"Cuenta de trading"),"⚠ Usa una cuenta de trading",IF(AND(G4249&lt;=0,P4249&lt;&gt;"Ajuste",P4249&lt;&gt;"Resultado trading"),"⚠ El monto debe ser positivo","✓")))))))))))))))</f>
        <v/>
      </c>
      <c r="P4249" s="52">
        <f>IF(OR(B4249="",G4249=""),"",IF(C4249="","Gasto",C4249))</f>
        <v/>
      </c>
      <c r="Q4249" s="52">
        <f>IF(P4249="","",IF(J4249&lt;&gt;"",J4249,CuentaPred&amp;""))</f>
        <v/>
      </c>
      <c r="R4249" s="52">
        <f>IF(P4249="","",IF(ISNUMBER(I4249),I4249,TasaUSD))</f>
        <v/>
      </c>
      <c r="S4249" s="53">
        <f>IF(P4249="","",IF(H4249="USD",G4249*R4249,G4249))</f>
        <v/>
      </c>
      <c r="T4249" s="53">
        <f>IF(P4249="","",IF(H4249="USD",G4249,IF(R4249&gt;0,G4249/R4249,0)))</f>
        <v/>
      </c>
      <c r="U4249" s="53">
        <f>IF(P4249="","",IF(P4249="Gasto",S4249,IF(P4249="Reembolso",-S4249,0)))</f>
        <v/>
      </c>
      <c r="V4249" s="53">
        <f>IF(P4249="","",IF(P4249="Ingreso",S4249,0))</f>
        <v/>
      </c>
      <c r="W4249" s="53">
        <f>IF(P4249="","",IF(P4249="Resultado trading",S4249,0))</f>
        <v/>
      </c>
      <c r="X4249" s="52">
        <f>IF(OR(P4249="Gasto",P4249="Reembolso"),IF(M4249&lt;&gt;"",M4249,IFERROR(INDEX(catClasif,MATCH(D4249&amp;"|"&amp;E4249,catClave,0))&amp;"","Variable")),"")</f>
        <v/>
      </c>
      <c r="Y4249" s="52">
        <f>IF(P4249="","",IFERROR(INDEX(catGrupo,MATCH(D4249&amp;"|"&amp;E4249,catClave,0))&amp;"",""))</f>
        <v/>
      </c>
      <c r="Z4249" s="52">
        <f>IF(P4249="","",WEEKDAY(B4249,2))</f>
        <v/>
      </c>
      <c r="AA4249" s="52">
        <f>IF(P4249="","",IF(AND(P4249="Gasto",X4249="Variable",D4249&lt;&gt;catTrading,S4249&gt;0,S4249&lt;=Umbral),1,0))</f>
        <v/>
      </c>
      <c r="AB4249" s="52">
        <f>IF(OR(P4249="",Q4249=""),"",IFERROR(IF(INDEX(ctaVinc,MATCH(Q4249,ctaNombre,0))&amp;""&lt;&gt;"",INDEX(ctaVinc,MATCH(Q4249,ctaNombre,0))&amp;"",Q4249),Q4249))</f>
        <v/>
      </c>
      <c r="AC4249" s="52">
        <f>IF(OR(K4249="",AND(P4249&lt;&gt;"Transferencia",P4249&lt;&gt;"Pago tarjeta")),"",IFERROR(IF(INDEX(ctaVinc,MATCH(K4249,ctaNombre,0))&amp;""&lt;&gt;"",INDEX(ctaVinc,MATCH(K4249,ctaNombre,0))&amp;"",K4249),K4249))</f>
        <v/>
      </c>
      <c r="AD4249" s="52">
        <f>IF(AB4249="","",IFERROR(INDEX(ctaTipo,MATCH(AB4249,ctaNombre,0))&amp;"",""))</f>
        <v/>
      </c>
      <c r="AE4249" s="52">
        <f>IF(AC4249="","",IFERROR(INDEX(ctaTipo,MATCH(AC4249,ctaNombre,0))&amp;"",""))</f>
        <v/>
      </c>
      <c r="AF4249" s="53">
        <f>IF(OR(P4249="",AB4249=""),"",IF(OR(P4249="Gasto",P4249="Transferencia",P4249="Pago tarjeta"),-1,1)*IF(IFERROR(INDEX(ctaMoneda,MATCH(AB4249,ctaNombre,0))&amp;"","DOP")="USD",T4249,S4249))</f>
        <v/>
      </c>
      <c r="AG4249" s="53">
        <f>IF(AC4249="","",IF(IFERROR(INDEX(ctaMoneda,MATCH(AC4249,ctaNombre,0))&amp;"","DOP")="USD",T4249,S4249))</f>
        <v/>
      </c>
      <c r="AH4249" s="53">
        <f>IF(P4249="","",IF(AND(AD4249&lt;&gt;"",COUNTIFS(tcTipo,AD4249,tcLiq,"Sí")&gt;0),IF(OR(P4249="Gasto",P4249="Transferencia",P4249="Pago tarjeta"),-1,1)*S4249,0)+IF(AND(AE4249&lt;&gt;"",COUNTIFS(tcTipo,AE4249,tcLiq,"Sí")&gt;0),S4249,0))</f>
        <v/>
      </c>
      <c r="AI4249" s="52">
        <f>IF(OR(L4249="",P4249=""),"",IF(COUNTIFS(L$6:L4249,L4249,P$6:P4249,"?*")=1,MAX(AI$5:AI4248)+1,""))</f>
        <v/>
      </c>
    </row>
    <row r="4250">
      <c r="B4250" s="47" t="n"/>
      <c r="C4250" s="48" t="n"/>
      <c r="D4250" s="48" t="n"/>
      <c r="E4250" s="48" t="n"/>
      <c r="F4250" s="48" t="n"/>
      <c r="G4250" s="49" t="n"/>
      <c r="H4250" s="48" t="n"/>
      <c r="I4250" s="50" t="n"/>
      <c r="J4250" s="48" t="n"/>
      <c r="K4250" s="48" t="n"/>
      <c r="L4250" s="48" t="n"/>
      <c r="M4250" s="48" t="n"/>
      <c r="N4250" s="48" t="n"/>
      <c r="O4250" s="51">
        <f>IF(AND(B4250="",G4250="",C4250="",D4250="",J4250=""),"",IF(B4250="","⚠ Falta fecha",IF(G4250="","⚠ Falta monto",IF(Q4250="","⚠ Falta cuenta",IF(ISNA(MATCH(Q4250,ctaNombre,0)),"⚠ Cuenta no registrada",IF(AND(OR(P4250="Gasto",P4250="Reembolso"),D4250=""),"⚠ Falta categoría",IF(AND(D4250&lt;&gt;"",E4250&lt;&gt;"",ISNA(MATCH(D4250&amp;"|"&amp;E4250,catClave,0))),"⚠ Subcategoría no corresponde",IF(AND(OR(P4250="Transferencia",P4250="Pago tarjeta"),K4250=""),"⚠ Falta cuenta destino",IF(AND(K4250&lt;&gt;"",P4250&lt;&gt;"Transferencia",P4250&lt;&gt;"Pago tarjeta"),"⚠ Destino solo aplica a transferencias",IF(AND(K4250&lt;&gt;"",K4250=Q4250),"⚠ Origen igual a destino",IF(AND(K4250&lt;&gt;"",ISNA(MATCH(K4250,ctaNombre,0))),"⚠ Destino no registrado",IF(AND(P4250="Pago tarjeta",AE4250&lt;&gt;"Tarjeta de crédito"),"⚠ El destino debe ser tarjeta de crédito",IF(AND(P4250="Gasto",E4250="Depósitos y retiros"),"⚠ Usa tipo Transferencia",IF(AND(P4250="Resultado trading",AD4250&lt;&gt;"Cuenta de trading"),"⚠ Usa una cuenta de trading",IF(AND(G4250&lt;=0,P4250&lt;&gt;"Ajuste",P4250&lt;&gt;"Resultado trading"),"⚠ El monto debe ser positivo","✓")))))))))))))))</f>
        <v/>
      </c>
      <c r="P4250" s="52">
        <f>IF(OR(B4250="",G4250=""),"",IF(C4250="","Gasto",C4250))</f>
        <v/>
      </c>
      <c r="Q4250" s="52">
        <f>IF(P4250="","",IF(J4250&lt;&gt;"",J4250,CuentaPred&amp;""))</f>
        <v/>
      </c>
      <c r="R4250" s="52">
        <f>IF(P4250="","",IF(ISNUMBER(I4250),I4250,TasaUSD))</f>
        <v/>
      </c>
      <c r="S4250" s="53">
        <f>IF(P4250="","",IF(H4250="USD",G4250*R4250,G4250))</f>
        <v/>
      </c>
      <c r="T4250" s="53">
        <f>IF(P4250="","",IF(H4250="USD",G4250,IF(R4250&gt;0,G4250/R4250,0)))</f>
        <v/>
      </c>
      <c r="U4250" s="53">
        <f>IF(P4250="","",IF(P4250="Gasto",S4250,IF(P4250="Reembolso",-S4250,0)))</f>
        <v/>
      </c>
      <c r="V4250" s="53">
        <f>IF(P4250="","",IF(P4250="Ingreso",S4250,0))</f>
        <v/>
      </c>
      <c r="W4250" s="53">
        <f>IF(P4250="","",IF(P4250="Resultado trading",S4250,0))</f>
        <v/>
      </c>
      <c r="X4250" s="52">
        <f>IF(OR(P4250="Gasto",P4250="Reembolso"),IF(M4250&lt;&gt;"",M4250,IFERROR(INDEX(catClasif,MATCH(D4250&amp;"|"&amp;E4250,catClave,0))&amp;"","Variable")),"")</f>
        <v/>
      </c>
      <c r="Y4250" s="52">
        <f>IF(P4250="","",IFERROR(INDEX(catGrupo,MATCH(D4250&amp;"|"&amp;E4250,catClave,0))&amp;"",""))</f>
        <v/>
      </c>
      <c r="Z4250" s="52">
        <f>IF(P4250="","",WEEKDAY(B4250,2))</f>
        <v/>
      </c>
      <c r="AA4250" s="52">
        <f>IF(P4250="","",IF(AND(P4250="Gasto",X4250="Variable",D4250&lt;&gt;catTrading,S4250&gt;0,S4250&lt;=Umbral),1,0))</f>
        <v/>
      </c>
      <c r="AB4250" s="52">
        <f>IF(OR(P4250="",Q4250=""),"",IFERROR(IF(INDEX(ctaVinc,MATCH(Q4250,ctaNombre,0))&amp;""&lt;&gt;"",INDEX(ctaVinc,MATCH(Q4250,ctaNombre,0))&amp;"",Q4250),Q4250))</f>
        <v/>
      </c>
      <c r="AC4250" s="52">
        <f>IF(OR(K4250="",AND(P4250&lt;&gt;"Transferencia",P4250&lt;&gt;"Pago tarjeta")),"",IFERROR(IF(INDEX(ctaVinc,MATCH(K4250,ctaNombre,0))&amp;""&lt;&gt;"",INDEX(ctaVinc,MATCH(K4250,ctaNombre,0))&amp;"",K4250),K4250))</f>
        <v/>
      </c>
      <c r="AD4250" s="52">
        <f>IF(AB4250="","",IFERROR(INDEX(ctaTipo,MATCH(AB4250,ctaNombre,0))&amp;"",""))</f>
        <v/>
      </c>
      <c r="AE4250" s="52">
        <f>IF(AC4250="","",IFERROR(INDEX(ctaTipo,MATCH(AC4250,ctaNombre,0))&amp;"",""))</f>
        <v/>
      </c>
      <c r="AF4250" s="53">
        <f>IF(OR(P4250="",AB4250=""),"",IF(OR(P4250="Gasto",P4250="Transferencia",P4250="Pago tarjeta"),-1,1)*IF(IFERROR(INDEX(ctaMoneda,MATCH(AB4250,ctaNombre,0))&amp;"","DOP")="USD",T4250,S4250))</f>
        <v/>
      </c>
      <c r="AG4250" s="53">
        <f>IF(AC4250="","",IF(IFERROR(INDEX(ctaMoneda,MATCH(AC4250,ctaNombre,0))&amp;"","DOP")="USD",T4250,S4250))</f>
        <v/>
      </c>
      <c r="AH4250" s="53">
        <f>IF(P4250="","",IF(AND(AD4250&lt;&gt;"",COUNTIFS(tcTipo,AD4250,tcLiq,"Sí")&gt;0),IF(OR(P4250="Gasto",P4250="Transferencia",P4250="Pago tarjeta"),-1,1)*S4250,0)+IF(AND(AE4250&lt;&gt;"",COUNTIFS(tcTipo,AE4250,tcLiq,"Sí")&gt;0),S4250,0))</f>
        <v/>
      </c>
      <c r="AI4250" s="52">
        <f>IF(OR(L4250="",P4250=""),"",IF(COUNTIFS(L$6:L4250,L4250,P$6:P4250,"?*")=1,MAX(AI$5:AI4249)+1,""))</f>
        <v/>
      </c>
    </row>
    <row r="4251">
      <c r="B4251" s="47" t="n"/>
      <c r="C4251" s="48" t="n"/>
      <c r="D4251" s="48" t="n"/>
      <c r="E4251" s="48" t="n"/>
      <c r="F4251" s="48" t="n"/>
      <c r="G4251" s="49" t="n"/>
      <c r="H4251" s="48" t="n"/>
      <c r="I4251" s="50" t="n"/>
      <c r="J4251" s="48" t="n"/>
      <c r="K4251" s="48" t="n"/>
      <c r="L4251" s="48" t="n"/>
      <c r="M4251" s="48" t="n"/>
      <c r="N4251" s="48" t="n"/>
      <c r="O4251" s="51">
        <f>IF(AND(B4251="",G4251="",C4251="",D4251="",J4251=""),"",IF(B4251="","⚠ Falta fecha",IF(G4251="","⚠ Falta monto",IF(Q4251="","⚠ Falta cuenta",IF(ISNA(MATCH(Q4251,ctaNombre,0)),"⚠ Cuenta no registrada",IF(AND(OR(P4251="Gasto",P4251="Reembolso"),D4251=""),"⚠ Falta categoría",IF(AND(D4251&lt;&gt;"",E4251&lt;&gt;"",ISNA(MATCH(D4251&amp;"|"&amp;E4251,catClave,0))),"⚠ Subcategoría no corresponde",IF(AND(OR(P4251="Transferencia",P4251="Pago tarjeta"),K4251=""),"⚠ Falta cuenta destino",IF(AND(K4251&lt;&gt;"",P4251&lt;&gt;"Transferencia",P4251&lt;&gt;"Pago tarjeta"),"⚠ Destino solo aplica a transferencias",IF(AND(K4251&lt;&gt;"",K4251=Q4251),"⚠ Origen igual a destino",IF(AND(K4251&lt;&gt;"",ISNA(MATCH(K4251,ctaNombre,0))),"⚠ Destino no registrado",IF(AND(P4251="Pago tarjeta",AE4251&lt;&gt;"Tarjeta de crédito"),"⚠ El destino debe ser tarjeta de crédito",IF(AND(P4251="Gasto",E4251="Depósitos y retiros"),"⚠ Usa tipo Transferencia",IF(AND(P4251="Resultado trading",AD4251&lt;&gt;"Cuenta de trading"),"⚠ Usa una cuenta de trading",IF(AND(G4251&lt;=0,P4251&lt;&gt;"Ajuste",P4251&lt;&gt;"Resultado trading"),"⚠ El monto debe ser positivo","✓")))))))))))))))</f>
        <v/>
      </c>
      <c r="P4251" s="52">
        <f>IF(OR(B4251="",G4251=""),"",IF(C4251="","Gasto",C4251))</f>
        <v/>
      </c>
      <c r="Q4251" s="52">
        <f>IF(P4251="","",IF(J4251&lt;&gt;"",J4251,CuentaPred&amp;""))</f>
        <v/>
      </c>
      <c r="R4251" s="52">
        <f>IF(P4251="","",IF(ISNUMBER(I4251),I4251,TasaUSD))</f>
        <v/>
      </c>
      <c r="S4251" s="53">
        <f>IF(P4251="","",IF(H4251="USD",G4251*R4251,G4251))</f>
        <v/>
      </c>
      <c r="T4251" s="53">
        <f>IF(P4251="","",IF(H4251="USD",G4251,IF(R4251&gt;0,G4251/R4251,0)))</f>
        <v/>
      </c>
      <c r="U4251" s="53">
        <f>IF(P4251="","",IF(P4251="Gasto",S4251,IF(P4251="Reembolso",-S4251,0)))</f>
        <v/>
      </c>
      <c r="V4251" s="53">
        <f>IF(P4251="","",IF(P4251="Ingreso",S4251,0))</f>
        <v/>
      </c>
      <c r="W4251" s="53">
        <f>IF(P4251="","",IF(P4251="Resultado trading",S4251,0))</f>
        <v/>
      </c>
      <c r="X4251" s="52">
        <f>IF(OR(P4251="Gasto",P4251="Reembolso"),IF(M4251&lt;&gt;"",M4251,IFERROR(INDEX(catClasif,MATCH(D4251&amp;"|"&amp;E4251,catClave,0))&amp;"","Variable")),"")</f>
        <v/>
      </c>
      <c r="Y4251" s="52">
        <f>IF(P4251="","",IFERROR(INDEX(catGrupo,MATCH(D4251&amp;"|"&amp;E4251,catClave,0))&amp;"",""))</f>
        <v/>
      </c>
      <c r="Z4251" s="52">
        <f>IF(P4251="","",WEEKDAY(B4251,2))</f>
        <v/>
      </c>
      <c r="AA4251" s="52">
        <f>IF(P4251="","",IF(AND(P4251="Gasto",X4251="Variable",D4251&lt;&gt;catTrading,S4251&gt;0,S4251&lt;=Umbral),1,0))</f>
        <v/>
      </c>
      <c r="AB4251" s="52">
        <f>IF(OR(P4251="",Q4251=""),"",IFERROR(IF(INDEX(ctaVinc,MATCH(Q4251,ctaNombre,0))&amp;""&lt;&gt;"",INDEX(ctaVinc,MATCH(Q4251,ctaNombre,0))&amp;"",Q4251),Q4251))</f>
        <v/>
      </c>
      <c r="AC4251" s="52">
        <f>IF(OR(K4251="",AND(P4251&lt;&gt;"Transferencia",P4251&lt;&gt;"Pago tarjeta")),"",IFERROR(IF(INDEX(ctaVinc,MATCH(K4251,ctaNombre,0))&amp;""&lt;&gt;"",INDEX(ctaVinc,MATCH(K4251,ctaNombre,0))&amp;"",K4251),K4251))</f>
        <v/>
      </c>
      <c r="AD4251" s="52">
        <f>IF(AB4251="","",IFERROR(INDEX(ctaTipo,MATCH(AB4251,ctaNombre,0))&amp;"",""))</f>
        <v/>
      </c>
      <c r="AE4251" s="52">
        <f>IF(AC4251="","",IFERROR(INDEX(ctaTipo,MATCH(AC4251,ctaNombre,0))&amp;"",""))</f>
        <v/>
      </c>
      <c r="AF4251" s="53">
        <f>IF(OR(P4251="",AB4251=""),"",IF(OR(P4251="Gasto",P4251="Transferencia",P4251="Pago tarjeta"),-1,1)*IF(IFERROR(INDEX(ctaMoneda,MATCH(AB4251,ctaNombre,0))&amp;"","DOP")="USD",T4251,S4251))</f>
        <v/>
      </c>
      <c r="AG4251" s="53">
        <f>IF(AC4251="","",IF(IFERROR(INDEX(ctaMoneda,MATCH(AC4251,ctaNombre,0))&amp;"","DOP")="USD",T4251,S4251))</f>
        <v/>
      </c>
      <c r="AH4251" s="53">
        <f>IF(P4251="","",IF(AND(AD4251&lt;&gt;"",COUNTIFS(tcTipo,AD4251,tcLiq,"Sí")&gt;0),IF(OR(P4251="Gasto",P4251="Transferencia",P4251="Pago tarjeta"),-1,1)*S4251,0)+IF(AND(AE4251&lt;&gt;"",COUNTIFS(tcTipo,AE4251,tcLiq,"Sí")&gt;0),S4251,0))</f>
        <v/>
      </c>
      <c r="AI4251" s="52">
        <f>IF(OR(L4251="",P4251=""),"",IF(COUNTIFS(L$6:L4251,L4251,P$6:P4251,"?*")=1,MAX(AI$5:AI4250)+1,""))</f>
        <v/>
      </c>
    </row>
    <row r="4252">
      <c r="B4252" s="47" t="n"/>
      <c r="C4252" s="48" t="n"/>
      <c r="D4252" s="48" t="n"/>
      <c r="E4252" s="48" t="n"/>
      <c r="F4252" s="48" t="n"/>
      <c r="G4252" s="49" t="n"/>
      <c r="H4252" s="48" t="n"/>
      <c r="I4252" s="50" t="n"/>
      <c r="J4252" s="48" t="n"/>
      <c r="K4252" s="48" t="n"/>
      <c r="L4252" s="48" t="n"/>
      <c r="M4252" s="48" t="n"/>
      <c r="N4252" s="48" t="n"/>
      <c r="O4252" s="51">
        <f>IF(AND(B4252="",G4252="",C4252="",D4252="",J4252=""),"",IF(B4252="","⚠ Falta fecha",IF(G4252="","⚠ Falta monto",IF(Q4252="","⚠ Falta cuenta",IF(ISNA(MATCH(Q4252,ctaNombre,0)),"⚠ Cuenta no registrada",IF(AND(OR(P4252="Gasto",P4252="Reembolso"),D4252=""),"⚠ Falta categoría",IF(AND(D4252&lt;&gt;"",E4252&lt;&gt;"",ISNA(MATCH(D4252&amp;"|"&amp;E4252,catClave,0))),"⚠ Subcategoría no corresponde",IF(AND(OR(P4252="Transferencia",P4252="Pago tarjeta"),K4252=""),"⚠ Falta cuenta destino",IF(AND(K4252&lt;&gt;"",P4252&lt;&gt;"Transferencia",P4252&lt;&gt;"Pago tarjeta"),"⚠ Destino solo aplica a transferencias",IF(AND(K4252&lt;&gt;"",K4252=Q4252),"⚠ Origen igual a destino",IF(AND(K4252&lt;&gt;"",ISNA(MATCH(K4252,ctaNombre,0))),"⚠ Destino no registrado",IF(AND(P4252="Pago tarjeta",AE4252&lt;&gt;"Tarjeta de crédito"),"⚠ El destino debe ser tarjeta de crédito",IF(AND(P4252="Gasto",E4252="Depósitos y retiros"),"⚠ Usa tipo Transferencia",IF(AND(P4252="Resultado trading",AD4252&lt;&gt;"Cuenta de trading"),"⚠ Usa una cuenta de trading",IF(AND(G4252&lt;=0,P4252&lt;&gt;"Ajuste",P4252&lt;&gt;"Resultado trading"),"⚠ El monto debe ser positivo","✓")))))))))))))))</f>
        <v/>
      </c>
      <c r="P4252" s="52">
        <f>IF(OR(B4252="",G4252=""),"",IF(C4252="","Gasto",C4252))</f>
        <v/>
      </c>
      <c r="Q4252" s="52">
        <f>IF(P4252="","",IF(J4252&lt;&gt;"",J4252,CuentaPred&amp;""))</f>
        <v/>
      </c>
      <c r="R4252" s="52">
        <f>IF(P4252="","",IF(ISNUMBER(I4252),I4252,TasaUSD))</f>
        <v/>
      </c>
      <c r="S4252" s="53">
        <f>IF(P4252="","",IF(H4252="USD",G4252*R4252,G4252))</f>
        <v/>
      </c>
      <c r="T4252" s="53">
        <f>IF(P4252="","",IF(H4252="USD",G4252,IF(R4252&gt;0,G4252/R4252,0)))</f>
        <v/>
      </c>
      <c r="U4252" s="53">
        <f>IF(P4252="","",IF(P4252="Gasto",S4252,IF(P4252="Reembolso",-S4252,0)))</f>
        <v/>
      </c>
      <c r="V4252" s="53">
        <f>IF(P4252="","",IF(P4252="Ingreso",S4252,0))</f>
        <v/>
      </c>
      <c r="W4252" s="53">
        <f>IF(P4252="","",IF(P4252="Resultado trading",S4252,0))</f>
        <v/>
      </c>
      <c r="X4252" s="52">
        <f>IF(OR(P4252="Gasto",P4252="Reembolso"),IF(M4252&lt;&gt;"",M4252,IFERROR(INDEX(catClasif,MATCH(D4252&amp;"|"&amp;E4252,catClave,0))&amp;"","Variable")),"")</f>
        <v/>
      </c>
      <c r="Y4252" s="52">
        <f>IF(P4252="","",IFERROR(INDEX(catGrupo,MATCH(D4252&amp;"|"&amp;E4252,catClave,0))&amp;"",""))</f>
        <v/>
      </c>
      <c r="Z4252" s="52">
        <f>IF(P4252="","",WEEKDAY(B4252,2))</f>
        <v/>
      </c>
      <c r="AA4252" s="52">
        <f>IF(P4252="","",IF(AND(P4252="Gasto",X4252="Variable",D4252&lt;&gt;catTrading,S4252&gt;0,S4252&lt;=Umbral),1,0))</f>
        <v/>
      </c>
      <c r="AB4252" s="52">
        <f>IF(OR(P4252="",Q4252=""),"",IFERROR(IF(INDEX(ctaVinc,MATCH(Q4252,ctaNombre,0))&amp;""&lt;&gt;"",INDEX(ctaVinc,MATCH(Q4252,ctaNombre,0))&amp;"",Q4252),Q4252))</f>
        <v/>
      </c>
      <c r="AC4252" s="52">
        <f>IF(OR(K4252="",AND(P4252&lt;&gt;"Transferencia",P4252&lt;&gt;"Pago tarjeta")),"",IFERROR(IF(INDEX(ctaVinc,MATCH(K4252,ctaNombre,0))&amp;""&lt;&gt;"",INDEX(ctaVinc,MATCH(K4252,ctaNombre,0))&amp;"",K4252),K4252))</f>
        <v/>
      </c>
      <c r="AD4252" s="52">
        <f>IF(AB4252="","",IFERROR(INDEX(ctaTipo,MATCH(AB4252,ctaNombre,0))&amp;"",""))</f>
        <v/>
      </c>
      <c r="AE4252" s="52">
        <f>IF(AC4252="","",IFERROR(INDEX(ctaTipo,MATCH(AC4252,ctaNombre,0))&amp;"",""))</f>
        <v/>
      </c>
      <c r="AF4252" s="53">
        <f>IF(OR(P4252="",AB4252=""),"",IF(OR(P4252="Gasto",P4252="Transferencia",P4252="Pago tarjeta"),-1,1)*IF(IFERROR(INDEX(ctaMoneda,MATCH(AB4252,ctaNombre,0))&amp;"","DOP")="USD",T4252,S4252))</f>
        <v/>
      </c>
      <c r="AG4252" s="53">
        <f>IF(AC4252="","",IF(IFERROR(INDEX(ctaMoneda,MATCH(AC4252,ctaNombre,0))&amp;"","DOP")="USD",T4252,S4252))</f>
        <v/>
      </c>
      <c r="AH4252" s="53">
        <f>IF(P4252="","",IF(AND(AD4252&lt;&gt;"",COUNTIFS(tcTipo,AD4252,tcLiq,"Sí")&gt;0),IF(OR(P4252="Gasto",P4252="Transferencia",P4252="Pago tarjeta"),-1,1)*S4252,0)+IF(AND(AE4252&lt;&gt;"",COUNTIFS(tcTipo,AE4252,tcLiq,"Sí")&gt;0),S4252,0))</f>
        <v/>
      </c>
      <c r="AI4252" s="52">
        <f>IF(OR(L4252="",P4252=""),"",IF(COUNTIFS(L$6:L4252,L4252,P$6:P4252,"?*")=1,MAX(AI$5:AI4251)+1,""))</f>
        <v/>
      </c>
    </row>
    <row r="4253">
      <c r="B4253" s="47" t="n"/>
      <c r="C4253" s="48" t="n"/>
      <c r="D4253" s="48" t="n"/>
      <c r="E4253" s="48" t="n"/>
      <c r="F4253" s="48" t="n"/>
      <c r="G4253" s="49" t="n"/>
      <c r="H4253" s="48" t="n"/>
      <c r="I4253" s="50" t="n"/>
      <c r="J4253" s="48" t="n"/>
      <c r="K4253" s="48" t="n"/>
      <c r="L4253" s="48" t="n"/>
      <c r="M4253" s="48" t="n"/>
      <c r="N4253" s="48" t="n"/>
      <c r="O4253" s="51">
        <f>IF(AND(B4253="",G4253="",C4253="",D4253="",J4253=""),"",IF(B4253="","⚠ Falta fecha",IF(G4253="","⚠ Falta monto",IF(Q4253="","⚠ Falta cuenta",IF(ISNA(MATCH(Q4253,ctaNombre,0)),"⚠ Cuenta no registrada",IF(AND(OR(P4253="Gasto",P4253="Reembolso"),D4253=""),"⚠ Falta categoría",IF(AND(D4253&lt;&gt;"",E4253&lt;&gt;"",ISNA(MATCH(D4253&amp;"|"&amp;E4253,catClave,0))),"⚠ Subcategoría no corresponde",IF(AND(OR(P4253="Transferencia",P4253="Pago tarjeta"),K4253=""),"⚠ Falta cuenta destino",IF(AND(K4253&lt;&gt;"",P4253&lt;&gt;"Transferencia",P4253&lt;&gt;"Pago tarjeta"),"⚠ Destino solo aplica a transferencias",IF(AND(K4253&lt;&gt;"",K4253=Q4253),"⚠ Origen igual a destino",IF(AND(K4253&lt;&gt;"",ISNA(MATCH(K4253,ctaNombre,0))),"⚠ Destino no registrado",IF(AND(P4253="Pago tarjeta",AE4253&lt;&gt;"Tarjeta de crédito"),"⚠ El destino debe ser tarjeta de crédito",IF(AND(P4253="Gasto",E4253="Depósitos y retiros"),"⚠ Usa tipo Transferencia",IF(AND(P4253="Resultado trading",AD4253&lt;&gt;"Cuenta de trading"),"⚠ Usa una cuenta de trading",IF(AND(G4253&lt;=0,P4253&lt;&gt;"Ajuste",P4253&lt;&gt;"Resultado trading"),"⚠ El monto debe ser positivo","✓")))))))))))))))</f>
        <v/>
      </c>
      <c r="P4253" s="52">
        <f>IF(OR(B4253="",G4253=""),"",IF(C4253="","Gasto",C4253))</f>
        <v/>
      </c>
      <c r="Q4253" s="52">
        <f>IF(P4253="","",IF(J4253&lt;&gt;"",J4253,CuentaPred&amp;""))</f>
        <v/>
      </c>
      <c r="R4253" s="52">
        <f>IF(P4253="","",IF(ISNUMBER(I4253),I4253,TasaUSD))</f>
        <v/>
      </c>
      <c r="S4253" s="53">
        <f>IF(P4253="","",IF(H4253="USD",G4253*R4253,G4253))</f>
        <v/>
      </c>
      <c r="T4253" s="53">
        <f>IF(P4253="","",IF(H4253="USD",G4253,IF(R4253&gt;0,G4253/R4253,0)))</f>
        <v/>
      </c>
      <c r="U4253" s="53">
        <f>IF(P4253="","",IF(P4253="Gasto",S4253,IF(P4253="Reembolso",-S4253,0)))</f>
        <v/>
      </c>
      <c r="V4253" s="53">
        <f>IF(P4253="","",IF(P4253="Ingreso",S4253,0))</f>
        <v/>
      </c>
      <c r="W4253" s="53">
        <f>IF(P4253="","",IF(P4253="Resultado trading",S4253,0))</f>
        <v/>
      </c>
      <c r="X4253" s="52">
        <f>IF(OR(P4253="Gasto",P4253="Reembolso"),IF(M4253&lt;&gt;"",M4253,IFERROR(INDEX(catClasif,MATCH(D4253&amp;"|"&amp;E4253,catClave,0))&amp;"","Variable")),"")</f>
        <v/>
      </c>
      <c r="Y4253" s="52">
        <f>IF(P4253="","",IFERROR(INDEX(catGrupo,MATCH(D4253&amp;"|"&amp;E4253,catClave,0))&amp;"",""))</f>
        <v/>
      </c>
      <c r="Z4253" s="52">
        <f>IF(P4253="","",WEEKDAY(B4253,2))</f>
        <v/>
      </c>
      <c r="AA4253" s="52">
        <f>IF(P4253="","",IF(AND(P4253="Gasto",X4253="Variable",D4253&lt;&gt;catTrading,S4253&gt;0,S4253&lt;=Umbral),1,0))</f>
        <v/>
      </c>
      <c r="AB4253" s="52">
        <f>IF(OR(P4253="",Q4253=""),"",IFERROR(IF(INDEX(ctaVinc,MATCH(Q4253,ctaNombre,0))&amp;""&lt;&gt;"",INDEX(ctaVinc,MATCH(Q4253,ctaNombre,0))&amp;"",Q4253),Q4253))</f>
        <v/>
      </c>
      <c r="AC4253" s="52">
        <f>IF(OR(K4253="",AND(P4253&lt;&gt;"Transferencia",P4253&lt;&gt;"Pago tarjeta")),"",IFERROR(IF(INDEX(ctaVinc,MATCH(K4253,ctaNombre,0))&amp;""&lt;&gt;"",INDEX(ctaVinc,MATCH(K4253,ctaNombre,0))&amp;"",K4253),K4253))</f>
        <v/>
      </c>
      <c r="AD4253" s="52">
        <f>IF(AB4253="","",IFERROR(INDEX(ctaTipo,MATCH(AB4253,ctaNombre,0))&amp;"",""))</f>
        <v/>
      </c>
      <c r="AE4253" s="52">
        <f>IF(AC4253="","",IFERROR(INDEX(ctaTipo,MATCH(AC4253,ctaNombre,0))&amp;"",""))</f>
        <v/>
      </c>
      <c r="AF4253" s="53">
        <f>IF(OR(P4253="",AB4253=""),"",IF(OR(P4253="Gasto",P4253="Transferencia",P4253="Pago tarjeta"),-1,1)*IF(IFERROR(INDEX(ctaMoneda,MATCH(AB4253,ctaNombre,0))&amp;"","DOP")="USD",T4253,S4253))</f>
        <v/>
      </c>
      <c r="AG4253" s="53">
        <f>IF(AC4253="","",IF(IFERROR(INDEX(ctaMoneda,MATCH(AC4253,ctaNombre,0))&amp;"","DOP")="USD",T4253,S4253))</f>
        <v/>
      </c>
      <c r="AH4253" s="53">
        <f>IF(P4253="","",IF(AND(AD4253&lt;&gt;"",COUNTIFS(tcTipo,AD4253,tcLiq,"Sí")&gt;0),IF(OR(P4253="Gasto",P4253="Transferencia",P4253="Pago tarjeta"),-1,1)*S4253,0)+IF(AND(AE4253&lt;&gt;"",COUNTIFS(tcTipo,AE4253,tcLiq,"Sí")&gt;0),S4253,0))</f>
        <v/>
      </c>
      <c r="AI4253" s="52">
        <f>IF(OR(L4253="",P4253=""),"",IF(COUNTIFS(L$6:L4253,L4253,P$6:P4253,"?*")=1,MAX(AI$5:AI4252)+1,""))</f>
        <v/>
      </c>
    </row>
    <row r="4254">
      <c r="B4254" s="47" t="n"/>
      <c r="C4254" s="48" t="n"/>
      <c r="D4254" s="48" t="n"/>
      <c r="E4254" s="48" t="n"/>
      <c r="F4254" s="48" t="n"/>
      <c r="G4254" s="49" t="n"/>
      <c r="H4254" s="48" t="n"/>
      <c r="I4254" s="50" t="n"/>
      <c r="J4254" s="48" t="n"/>
      <c r="K4254" s="48" t="n"/>
      <c r="L4254" s="48" t="n"/>
      <c r="M4254" s="48" t="n"/>
      <c r="N4254" s="48" t="n"/>
      <c r="O4254" s="51">
        <f>IF(AND(B4254="",G4254="",C4254="",D4254="",J4254=""),"",IF(B4254="","⚠ Falta fecha",IF(G4254="","⚠ Falta monto",IF(Q4254="","⚠ Falta cuenta",IF(ISNA(MATCH(Q4254,ctaNombre,0)),"⚠ Cuenta no registrada",IF(AND(OR(P4254="Gasto",P4254="Reembolso"),D4254=""),"⚠ Falta categoría",IF(AND(D4254&lt;&gt;"",E4254&lt;&gt;"",ISNA(MATCH(D4254&amp;"|"&amp;E4254,catClave,0))),"⚠ Subcategoría no corresponde",IF(AND(OR(P4254="Transferencia",P4254="Pago tarjeta"),K4254=""),"⚠ Falta cuenta destino",IF(AND(K4254&lt;&gt;"",P4254&lt;&gt;"Transferencia",P4254&lt;&gt;"Pago tarjeta"),"⚠ Destino solo aplica a transferencias",IF(AND(K4254&lt;&gt;"",K4254=Q4254),"⚠ Origen igual a destino",IF(AND(K4254&lt;&gt;"",ISNA(MATCH(K4254,ctaNombre,0))),"⚠ Destino no registrado",IF(AND(P4254="Pago tarjeta",AE4254&lt;&gt;"Tarjeta de crédito"),"⚠ El destino debe ser tarjeta de crédito",IF(AND(P4254="Gasto",E4254="Depósitos y retiros"),"⚠ Usa tipo Transferencia",IF(AND(P4254="Resultado trading",AD4254&lt;&gt;"Cuenta de trading"),"⚠ Usa una cuenta de trading",IF(AND(G4254&lt;=0,P4254&lt;&gt;"Ajuste",P4254&lt;&gt;"Resultado trading"),"⚠ El monto debe ser positivo","✓")))))))))))))))</f>
        <v/>
      </c>
      <c r="P4254" s="52">
        <f>IF(OR(B4254="",G4254=""),"",IF(C4254="","Gasto",C4254))</f>
        <v/>
      </c>
      <c r="Q4254" s="52">
        <f>IF(P4254="","",IF(J4254&lt;&gt;"",J4254,CuentaPred&amp;""))</f>
        <v/>
      </c>
      <c r="R4254" s="52">
        <f>IF(P4254="","",IF(ISNUMBER(I4254),I4254,TasaUSD))</f>
        <v/>
      </c>
      <c r="S4254" s="53">
        <f>IF(P4254="","",IF(H4254="USD",G4254*R4254,G4254))</f>
        <v/>
      </c>
      <c r="T4254" s="53">
        <f>IF(P4254="","",IF(H4254="USD",G4254,IF(R4254&gt;0,G4254/R4254,0)))</f>
        <v/>
      </c>
      <c r="U4254" s="53">
        <f>IF(P4254="","",IF(P4254="Gasto",S4254,IF(P4254="Reembolso",-S4254,0)))</f>
        <v/>
      </c>
      <c r="V4254" s="53">
        <f>IF(P4254="","",IF(P4254="Ingreso",S4254,0))</f>
        <v/>
      </c>
      <c r="W4254" s="53">
        <f>IF(P4254="","",IF(P4254="Resultado trading",S4254,0))</f>
        <v/>
      </c>
      <c r="X4254" s="52">
        <f>IF(OR(P4254="Gasto",P4254="Reembolso"),IF(M4254&lt;&gt;"",M4254,IFERROR(INDEX(catClasif,MATCH(D4254&amp;"|"&amp;E4254,catClave,0))&amp;"","Variable")),"")</f>
        <v/>
      </c>
      <c r="Y4254" s="52">
        <f>IF(P4254="","",IFERROR(INDEX(catGrupo,MATCH(D4254&amp;"|"&amp;E4254,catClave,0))&amp;"",""))</f>
        <v/>
      </c>
      <c r="Z4254" s="52">
        <f>IF(P4254="","",WEEKDAY(B4254,2))</f>
        <v/>
      </c>
      <c r="AA4254" s="52">
        <f>IF(P4254="","",IF(AND(P4254="Gasto",X4254="Variable",D4254&lt;&gt;catTrading,S4254&gt;0,S4254&lt;=Umbral),1,0))</f>
        <v/>
      </c>
      <c r="AB4254" s="52">
        <f>IF(OR(P4254="",Q4254=""),"",IFERROR(IF(INDEX(ctaVinc,MATCH(Q4254,ctaNombre,0))&amp;""&lt;&gt;"",INDEX(ctaVinc,MATCH(Q4254,ctaNombre,0))&amp;"",Q4254),Q4254))</f>
        <v/>
      </c>
      <c r="AC4254" s="52">
        <f>IF(OR(K4254="",AND(P4254&lt;&gt;"Transferencia",P4254&lt;&gt;"Pago tarjeta")),"",IFERROR(IF(INDEX(ctaVinc,MATCH(K4254,ctaNombre,0))&amp;""&lt;&gt;"",INDEX(ctaVinc,MATCH(K4254,ctaNombre,0))&amp;"",K4254),K4254))</f>
        <v/>
      </c>
      <c r="AD4254" s="52">
        <f>IF(AB4254="","",IFERROR(INDEX(ctaTipo,MATCH(AB4254,ctaNombre,0))&amp;"",""))</f>
        <v/>
      </c>
      <c r="AE4254" s="52">
        <f>IF(AC4254="","",IFERROR(INDEX(ctaTipo,MATCH(AC4254,ctaNombre,0))&amp;"",""))</f>
        <v/>
      </c>
      <c r="AF4254" s="53">
        <f>IF(OR(P4254="",AB4254=""),"",IF(OR(P4254="Gasto",P4254="Transferencia",P4254="Pago tarjeta"),-1,1)*IF(IFERROR(INDEX(ctaMoneda,MATCH(AB4254,ctaNombre,0))&amp;"","DOP")="USD",T4254,S4254))</f>
        <v/>
      </c>
      <c r="AG4254" s="53">
        <f>IF(AC4254="","",IF(IFERROR(INDEX(ctaMoneda,MATCH(AC4254,ctaNombre,0))&amp;"","DOP")="USD",T4254,S4254))</f>
        <v/>
      </c>
      <c r="AH4254" s="53">
        <f>IF(P4254="","",IF(AND(AD4254&lt;&gt;"",COUNTIFS(tcTipo,AD4254,tcLiq,"Sí")&gt;0),IF(OR(P4254="Gasto",P4254="Transferencia",P4254="Pago tarjeta"),-1,1)*S4254,0)+IF(AND(AE4254&lt;&gt;"",COUNTIFS(tcTipo,AE4254,tcLiq,"Sí")&gt;0),S4254,0))</f>
        <v/>
      </c>
      <c r="AI4254" s="52">
        <f>IF(OR(L4254="",P4254=""),"",IF(COUNTIFS(L$6:L4254,L4254,P$6:P4254,"?*")=1,MAX(AI$5:AI4253)+1,""))</f>
        <v/>
      </c>
    </row>
    <row r="4255">
      <c r="B4255" s="47" t="n"/>
      <c r="C4255" s="48" t="n"/>
      <c r="D4255" s="48" t="n"/>
      <c r="E4255" s="48" t="n"/>
      <c r="F4255" s="48" t="n"/>
      <c r="G4255" s="49" t="n"/>
      <c r="H4255" s="48" t="n"/>
      <c r="I4255" s="50" t="n"/>
      <c r="J4255" s="48" t="n"/>
      <c r="K4255" s="48" t="n"/>
      <c r="L4255" s="48" t="n"/>
      <c r="M4255" s="48" t="n"/>
      <c r="N4255" s="48" t="n"/>
      <c r="O4255" s="51">
        <f>IF(AND(B4255="",G4255="",C4255="",D4255="",J4255=""),"",IF(B4255="","⚠ Falta fecha",IF(G4255="","⚠ Falta monto",IF(Q4255="","⚠ Falta cuenta",IF(ISNA(MATCH(Q4255,ctaNombre,0)),"⚠ Cuenta no registrada",IF(AND(OR(P4255="Gasto",P4255="Reembolso"),D4255=""),"⚠ Falta categoría",IF(AND(D4255&lt;&gt;"",E4255&lt;&gt;"",ISNA(MATCH(D4255&amp;"|"&amp;E4255,catClave,0))),"⚠ Subcategoría no corresponde",IF(AND(OR(P4255="Transferencia",P4255="Pago tarjeta"),K4255=""),"⚠ Falta cuenta destino",IF(AND(K4255&lt;&gt;"",P4255&lt;&gt;"Transferencia",P4255&lt;&gt;"Pago tarjeta"),"⚠ Destino solo aplica a transferencias",IF(AND(K4255&lt;&gt;"",K4255=Q4255),"⚠ Origen igual a destino",IF(AND(K4255&lt;&gt;"",ISNA(MATCH(K4255,ctaNombre,0))),"⚠ Destino no registrado",IF(AND(P4255="Pago tarjeta",AE4255&lt;&gt;"Tarjeta de crédito"),"⚠ El destino debe ser tarjeta de crédito",IF(AND(P4255="Gasto",E4255="Depósitos y retiros"),"⚠ Usa tipo Transferencia",IF(AND(P4255="Resultado trading",AD4255&lt;&gt;"Cuenta de trading"),"⚠ Usa una cuenta de trading",IF(AND(G4255&lt;=0,P4255&lt;&gt;"Ajuste",P4255&lt;&gt;"Resultado trading"),"⚠ El monto debe ser positivo","✓")))))))))))))))</f>
        <v/>
      </c>
      <c r="P4255" s="52">
        <f>IF(OR(B4255="",G4255=""),"",IF(C4255="","Gasto",C4255))</f>
        <v/>
      </c>
      <c r="Q4255" s="52">
        <f>IF(P4255="","",IF(J4255&lt;&gt;"",J4255,CuentaPred&amp;""))</f>
        <v/>
      </c>
      <c r="R4255" s="52">
        <f>IF(P4255="","",IF(ISNUMBER(I4255),I4255,TasaUSD))</f>
        <v/>
      </c>
      <c r="S4255" s="53">
        <f>IF(P4255="","",IF(H4255="USD",G4255*R4255,G4255))</f>
        <v/>
      </c>
      <c r="T4255" s="53">
        <f>IF(P4255="","",IF(H4255="USD",G4255,IF(R4255&gt;0,G4255/R4255,0)))</f>
        <v/>
      </c>
      <c r="U4255" s="53">
        <f>IF(P4255="","",IF(P4255="Gasto",S4255,IF(P4255="Reembolso",-S4255,0)))</f>
        <v/>
      </c>
      <c r="V4255" s="53">
        <f>IF(P4255="","",IF(P4255="Ingreso",S4255,0))</f>
        <v/>
      </c>
      <c r="W4255" s="53">
        <f>IF(P4255="","",IF(P4255="Resultado trading",S4255,0))</f>
        <v/>
      </c>
      <c r="X4255" s="52">
        <f>IF(OR(P4255="Gasto",P4255="Reembolso"),IF(M4255&lt;&gt;"",M4255,IFERROR(INDEX(catClasif,MATCH(D4255&amp;"|"&amp;E4255,catClave,0))&amp;"","Variable")),"")</f>
        <v/>
      </c>
      <c r="Y4255" s="52">
        <f>IF(P4255="","",IFERROR(INDEX(catGrupo,MATCH(D4255&amp;"|"&amp;E4255,catClave,0))&amp;"",""))</f>
        <v/>
      </c>
      <c r="Z4255" s="52">
        <f>IF(P4255="","",WEEKDAY(B4255,2))</f>
        <v/>
      </c>
      <c r="AA4255" s="52">
        <f>IF(P4255="","",IF(AND(P4255="Gasto",X4255="Variable",D4255&lt;&gt;catTrading,S4255&gt;0,S4255&lt;=Umbral),1,0))</f>
        <v/>
      </c>
      <c r="AB4255" s="52">
        <f>IF(OR(P4255="",Q4255=""),"",IFERROR(IF(INDEX(ctaVinc,MATCH(Q4255,ctaNombre,0))&amp;""&lt;&gt;"",INDEX(ctaVinc,MATCH(Q4255,ctaNombre,0))&amp;"",Q4255),Q4255))</f>
        <v/>
      </c>
      <c r="AC4255" s="52">
        <f>IF(OR(K4255="",AND(P4255&lt;&gt;"Transferencia",P4255&lt;&gt;"Pago tarjeta")),"",IFERROR(IF(INDEX(ctaVinc,MATCH(K4255,ctaNombre,0))&amp;""&lt;&gt;"",INDEX(ctaVinc,MATCH(K4255,ctaNombre,0))&amp;"",K4255),K4255))</f>
        <v/>
      </c>
      <c r="AD4255" s="52">
        <f>IF(AB4255="","",IFERROR(INDEX(ctaTipo,MATCH(AB4255,ctaNombre,0))&amp;"",""))</f>
        <v/>
      </c>
      <c r="AE4255" s="52">
        <f>IF(AC4255="","",IFERROR(INDEX(ctaTipo,MATCH(AC4255,ctaNombre,0))&amp;"",""))</f>
        <v/>
      </c>
      <c r="AF4255" s="53">
        <f>IF(OR(P4255="",AB4255=""),"",IF(OR(P4255="Gasto",P4255="Transferencia",P4255="Pago tarjeta"),-1,1)*IF(IFERROR(INDEX(ctaMoneda,MATCH(AB4255,ctaNombre,0))&amp;"","DOP")="USD",T4255,S4255))</f>
        <v/>
      </c>
      <c r="AG4255" s="53">
        <f>IF(AC4255="","",IF(IFERROR(INDEX(ctaMoneda,MATCH(AC4255,ctaNombre,0))&amp;"","DOP")="USD",T4255,S4255))</f>
        <v/>
      </c>
      <c r="AH4255" s="53">
        <f>IF(P4255="","",IF(AND(AD4255&lt;&gt;"",COUNTIFS(tcTipo,AD4255,tcLiq,"Sí")&gt;0),IF(OR(P4255="Gasto",P4255="Transferencia",P4255="Pago tarjeta"),-1,1)*S4255,0)+IF(AND(AE4255&lt;&gt;"",COUNTIFS(tcTipo,AE4255,tcLiq,"Sí")&gt;0),S4255,0))</f>
        <v/>
      </c>
      <c r="AI4255" s="52">
        <f>IF(OR(L4255="",P4255=""),"",IF(COUNTIFS(L$6:L4255,L4255,P$6:P4255,"?*")=1,MAX(AI$5:AI4254)+1,""))</f>
        <v/>
      </c>
    </row>
    <row r="4256">
      <c r="B4256" s="47" t="n"/>
      <c r="C4256" s="48" t="n"/>
      <c r="D4256" s="48" t="n"/>
      <c r="E4256" s="48" t="n"/>
      <c r="F4256" s="48" t="n"/>
      <c r="G4256" s="49" t="n"/>
      <c r="H4256" s="48" t="n"/>
      <c r="I4256" s="50" t="n"/>
      <c r="J4256" s="48" t="n"/>
      <c r="K4256" s="48" t="n"/>
      <c r="L4256" s="48" t="n"/>
      <c r="M4256" s="48" t="n"/>
      <c r="N4256" s="48" t="n"/>
      <c r="O4256" s="51">
        <f>IF(AND(B4256="",G4256="",C4256="",D4256="",J4256=""),"",IF(B4256="","⚠ Falta fecha",IF(G4256="","⚠ Falta monto",IF(Q4256="","⚠ Falta cuenta",IF(ISNA(MATCH(Q4256,ctaNombre,0)),"⚠ Cuenta no registrada",IF(AND(OR(P4256="Gasto",P4256="Reembolso"),D4256=""),"⚠ Falta categoría",IF(AND(D4256&lt;&gt;"",E4256&lt;&gt;"",ISNA(MATCH(D4256&amp;"|"&amp;E4256,catClave,0))),"⚠ Subcategoría no corresponde",IF(AND(OR(P4256="Transferencia",P4256="Pago tarjeta"),K4256=""),"⚠ Falta cuenta destino",IF(AND(K4256&lt;&gt;"",P4256&lt;&gt;"Transferencia",P4256&lt;&gt;"Pago tarjeta"),"⚠ Destino solo aplica a transferencias",IF(AND(K4256&lt;&gt;"",K4256=Q4256),"⚠ Origen igual a destino",IF(AND(K4256&lt;&gt;"",ISNA(MATCH(K4256,ctaNombre,0))),"⚠ Destino no registrado",IF(AND(P4256="Pago tarjeta",AE4256&lt;&gt;"Tarjeta de crédito"),"⚠ El destino debe ser tarjeta de crédito",IF(AND(P4256="Gasto",E4256="Depósitos y retiros"),"⚠ Usa tipo Transferencia",IF(AND(P4256="Resultado trading",AD4256&lt;&gt;"Cuenta de trading"),"⚠ Usa una cuenta de trading",IF(AND(G4256&lt;=0,P4256&lt;&gt;"Ajuste",P4256&lt;&gt;"Resultado trading"),"⚠ El monto debe ser positivo","✓")))))))))))))))</f>
        <v/>
      </c>
      <c r="P4256" s="52">
        <f>IF(OR(B4256="",G4256=""),"",IF(C4256="","Gasto",C4256))</f>
        <v/>
      </c>
      <c r="Q4256" s="52">
        <f>IF(P4256="","",IF(J4256&lt;&gt;"",J4256,CuentaPred&amp;""))</f>
        <v/>
      </c>
      <c r="R4256" s="52">
        <f>IF(P4256="","",IF(ISNUMBER(I4256),I4256,TasaUSD))</f>
        <v/>
      </c>
      <c r="S4256" s="53">
        <f>IF(P4256="","",IF(H4256="USD",G4256*R4256,G4256))</f>
        <v/>
      </c>
      <c r="T4256" s="53">
        <f>IF(P4256="","",IF(H4256="USD",G4256,IF(R4256&gt;0,G4256/R4256,0)))</f>
        <v/>
      </c>
      <c r="U4256" s="53">
        <f>IF(P4256="","",IF(P4256="Gasto",S4256,IF(P4256="Reembolso",-S4256,0)))</f>
        <v/>
      </c>
      <c r="V4256" s="53">
        <f>IF(P4256="","",IF(P4256="Ingreso",S4256,0))</f>
        <v/>
      </c>
      <c r="W4256" s="53">
        <f>IF(P4256="","",IF(P4256="Resultado trading",S4256,0))</f>
        <v/>
      </c>
      <c r="X4256" s="52">
        <f>IF(OR(P4256="Gasto",P4256="Reembolso"),IF(M4256&lt;&gt;"",M4256,IFERROR(INDEX(catClasif,MATCH(D4256&amp;"|"&amp;E4256,catClave,0))&amp;"","Variable")),"")</f>
        <v/>
      </c>
      <c r="Y4256" s="52">
        <f>IF(P4256="","",IFERROR(INDEX(catGrupo,MATCH(D4256&amp;"|"&amp;E4256,catClave,0))&amp;"",""))</f>
        <v/>
      </c>
      <c r="Z4256" s="52">
        <f>IF(P4256="","",WEEKDAY(B4256,2))</f>
        <v/>
      </c>
      <c r="AA4256" s="52">
        <f>IF(P4256="","",IF(AND(P4256="Gasto",X4256="Variable",D4256&lt;&gt;catTrading,S4256&gt;0,S4256&lt;=Umbral),1,0))</f>
        <v/>
      </c>
      <c r="AB4256" s="52">
        <f>IF(OR(P4256="",Q4256=""),"",IFERROR(IF(INDEX(ctaVinc,MATCH(Q4256,ctaNombre,0))&amp;""&lt;&gt;"",INDEX(ctaVinc,MATCH(Q4256,ctaNombre,0))&amp;"",Q4256),Q4256))</f>
        <v/>
      </c>
      <c r="AC4256" s="52">
        <f>IF(OR(K4256="",AND(P4256&lt;&gt;"Transferencia",P4256&lt;&gt;"Pago tarjeta")),"",IFERROR(IF(INDEX(ctaVinc,MATCH(K4256,ctaNombre,0))&amp;""&lt;&gt;"",INDEX(ctaVinc,MATCH(K4256,ctaNombre,0))&amp;"",K4256),K4256))</f>
        <v/>
      </c>
      <c r="AD4256" s="52">
        <f>IF(AB4256="","",IFERROR(INDEX(ctaTipo,MATCH(AB4256,ctaNombre,0))&amp;"",""))</f>
        <v/>
      </c>
      <c r="AE4256" s="52">
        <f>IF(AC4256="","",IFERROR(INDEX(ctaTipo,MATCH(AC4256,ctaNombre,0))&amp;"",""))</f>
        <v/>
      </c>
      <c r="AF4256" s="53">
        <f>IF(OR(P4256="",AB4256=""),"",IF(OR(P4256="Gasto",P4256="Transferencia",P4256="Pago tarjeta"),-1,1)*IF(IFERROR(INDEX(ctaMoneda,MATCH(AB4256,ctaNombre,0))&amp;"","DOP")="USD",T4256,S4256))</f>
        <v/>
      </c>
      <c r="AG4256" s="53">
        <f>IF(AC4256="","",IF(IFERROR(INDEX(ctaMoneda,MATCH(AC4256,ctaNombre,0))&amp;"","DOP")="USD",T4256,S4256))</f>
        <v/>
      </c>
      <c r="AH4256" s="53">
        <f>IF(P4256="","",IF(AND(AD4256&lt;&gt;"",COUNTIFS(tcTipo,AD4256,tcLiq,"Sí")&gt;0),IF(OR(P4256="Gasto",P4256="Transferencia",P4256="Pago tarjeta"),-1,1)*S4256,0)+IF(AND(AE4256&lt;&gt;"",COUNTIFS(tcTipo,AE4256,tcLiq,"Sí")&gt;0),S4256,0))</f>
        <v/>
      </c>
      <c r="AI4256" s="52">
        <f>IF(OR(L4256="",P4256=""),"",IF(COUNTIFS(L$6:L4256,L4256,P$6:P4256,"?*")=1,MAX(AI$5:AI4255)+1,""))</f>
        <v/>
      </c>
    </row>
    <row r="4257">
      <c r="B4257" s="47" t="n"/>
      <c r="C4257" s="48" t="n"/>
      <c r="D4257" s="48" t="n"/>
      <c r="E4257" s="48" t="n"/>
      <c r="F4257" s="48" t="n"/>
      <c r="G4257" s="49" t="n"/>
      <c r="H4257" s="48" t="n"/>
      <c r="I4257" s="50" t="n"/>
      <c r="J4257" s="48" t="n"/>
      <c r="K4257" s="48" t="n"/>
      <c r="L4257" s="48" t="n"/>
      <c r="M4257" s="48" t="n"/>
      <c r="N4257" s="48" t="n"/>
      <c r="O4257" s="51">
        <f>IF(AND(B4257="",G4257="",C4257="",D4257="",J4257=""),"",IF(B4257="","⚠ Falta fecha",IF(G4257="","⚠ Falta monto",IF(Q4257="","⚠ Falta cuenta",IF(ISNA(MATCH(Q4257,ctaNombre,0)),"⚠ Cuenta no registrada",IF(AND(OR(P4257="Gasto",P4257="Reembolso"),D4257=""),"⚠ Falta categoría",IF(AND(D4257&lt;&gt;"",E4257&lt;&gt;"",ISNA(MATCH(D4257&amp;"|"&amp;E4257,catClave,0))),"⚠ Subcategoría no corresponde",IF(AND(OR(P4257="Transferencia",P4257="Pago tarjeta"),K4257=""),"⚠ Falta cuenta destino",IF(AND(K4257&lt;&gt;"",P4257&lt;&gt;"Transferencia",P4257&lt;&gt;"Pago tarjeta"),"⚠ Destino solo aplica a transferencias",IF(AND(K4257&lt;&gt;"",K4257=Q4257),"⚠ Origen igual a destino",IF(AND(K4257&lt;&gt;"",ISNA(MATCH(K4257,ctaNombre,0))),"⚠ Destino no registrado",IF(AND(P4257="Pago tarjeta",AE4257&lt;&gt;"Tarjeta de crédito"),"⚠ El destino debe ser tarjeta de crédito",IF(AND(P4257="Gasto",E4257="Depósitos y retiros"),"⚠ Usa tipo Transferencia",IF(AND(P4257="Resultado trading",AD4257&lt;&gt;"Cuenta de trading"),"⚠ Usa una cuenta de trading",IF(AND(G4257&lt;=0,P4257&lt;&gt;"Ajuste",P4257&lt;&gt;"Resultado trading"),"⚠ El monto debe ser positivo","✓")))))))))))))))</f>
        <v/>
      </c>
      <c r="P4257" s="52">
        <f>IF(OR(B4257="",G4257=""),"",IF(C4257="","Gasto",C4257))</f>
        <v/>
      </c>
      <c r="Q4257" s="52">
        <f>IF(P4257="","",IF(J4257&lt;&gt;"",J4257,CuentaPred&amp;""))</f>
        <v/>
      </c>
      <c r="R4257" s="52">
        <f>IF(P4257="","",IF(ISNUMBER(I4257),I4257,TasaUSD))</f>
        <v/>
      </c>
      <c r="S4257" s="53">
        <f>IF(P4257="","",IF(H4257="USD",G4257*R4257,G4257))</f>
        <v/>
      </c>
      <c r="T4257" s="53">
        <f>IF(P4257="","",IF(H4257="USD",G4257,IF(R4257&gt;0,G4257/R4257,0)))</f>
        <v/>
      </c>
      <c r="U4257" s="53">
        <f>IF(P4257="","",IF(P4257="Gasto",S4257,IF(P4257="Reembolso",-S4257,0)))</f>
        <v/>
      </c>
      <c r="V4257" s="53">
        <f>IF(P4257="","",IF(P4257="Ingreso",S4257,0))</f>
        <v/>
      </c>
      <c r="W4257" s="53">
        <f>IF(P4257="","",IF(P4257="Resultado trading",S4257,0))</f>
        <v/>
      </c>
      <c r="X4257" s="52">
        <f>IF(OR(P4257="Gasto",P4257="Reembolso"),IF(M4257&lt;&gt;"",M4257,IFERROR(INDEX(catClasif,MATCH(D4257&amp;"|"&amp;E4257,catClave,0))&amp;"","Variable")),"")</f>
        <v/>
      </c>
      <c r="Y4257" s="52">
        <f>IF(P4257="","",IFERROR(INDEX(catGrupo,MATCH(D4257&amp;"|"&amp;E4257,catClave,0))&amp;"",""))</f>
        <v/>
      </c>
      <c r="Z4257" s="52">
        <f>IF(P4257="","",WEEKDAY(B4257,2))</f>
        <v/>
      </c>
      <c r="AA4257" s="52">
        <f>IF(P4257="","",IF(AND(P4257="Gasto",X4257="Variable",D4257&lt;&gt;catTrading,S4257&gt;0,S4257&lt;=Umbral),1,0))</f>
        <v/>
      </c>
      <c r="AB4257" s="52">
        <f>IF(OR(P4257="",Q4257=""),"",IFERROR(IF(INDEX(ctaVinc,MATCH(Q4257,ctaNombre,0))&amp;""&lt;&gt;"",INDEX(ctaVinc,MATCH(Q4257,ctaNombre,0))&amp;"",Q4257),Q4257))</f>
        <v/>
      </c>
      <c r="AC4257" s="52">
        <f>IF(OR(K4257="",AND(P4257&lt;&gt;"Transferencia",P4257&lt;&gt;"Pago tarjeta")),"",IFERROR(IF(INDEX(ctaVinc,MATCH(K4257,ctaNombre,0))&amp;""&lt;&gt;"",INDEX(ctaVinc,MATCH(K4257,ctaNombre,0))&amp;"",K4257),K4257))</f>
        <v/>
      </c>
      <c r="AD4257" s="52">
        <f>IF(AB4257="","",IFERROR(INDEX(ctaTipo,MATCH(AB4257,ctaNombre,0))&amp;"",""))</f>
        <v/>
      </c>
      <c r="AE4257" s="52">
        <f>IF(AC4257="","",IFERROR(INDEX(ctaTipo,MATCH(AC4257,ctaNombre,0))&amp;"",""))</f>
        <v/>
      </c>
      <c r="AF4257" s="53">
        <f>IF(OR(P4257="",AB4257=""),"",IF(OR(P4257="Gasto",P4257="Transferencia",P4257="Pago tarjeta"),-1,1)*IF(IFERROR(INDEX(ctaMoneda,MATCH(AB4257,ctaNombre,0))&amp;"","DOP")="USD",T4257,S4257))</f>
        <v/>
      </c>
      <c r="AG4257" s="53">
        <f>IF(AC4257="","",IF(IFERROR(INDEX(ctaMoneda,MATCH(AC4257,ctaNombre,0))&amp;"","DOP")="USD",T4257,S4257))</f>
        <v/>
      </c>
      <c r="AH4257" s="53">
        <f>IF(P4257="","",IF(AND(AD4257&lt;&gt;"",COUNTIFS(tcTipo,AD4257,tcLiq,"Sí")&gt;0),IF(OR(P4257="Gasto",P4257="Transferencia",P4257="Pago tarjeta"),-1,1)*S4257,0)+IF(AND(AE4257&lt;&gt;"",COUNTIFS(tcTipo,AE4257,tcLiq,"Sí")&gt;0),S4257,0))</f>
        <v/>
      </c>
      <c r="AI4257" s="52">
        <f>IF(OR(L4257="",P4257=""),"",IF(COUNTIFS(L$6:L4257,L4257,P$6:P4257,"?*")=1,MAX(AI$5:AI4256)+1,""))</f>
        <v/>
      </c>
    </row>
    <row r="4258">
      <c r="B4258" s="47" t="n"/>
      <c r="C4258" s="48" t="n"/>
      <c r="D4258" s="48" t="n"/>
      <c r="E4258" s="48" t="n"/>
      <c r="F4258" s="48" t="n"/>
      <c r="G4258" s="49" t="n"/>
      <c r="H4258" s="48" t="n"/>
      <c r="I4258" s="50" t="n"/>
      <c r="J4258" s="48" t="n"/>
      <c r="K4258" s="48" t="n"/>
      <c r="L4258" s="48" t="n"/>
      <c r="M4258" s="48" t="n"/>
      <c r="N4258" s="48" t="n"/>
      <c r="O4258" s="51">
        <f>IF(AND(B4258="",G4258="",C4258="",D4258="",J4258=""),"",IF(B4258="","⚠ Falta fecha",IF(G4258="","⚠ Falta monto",IF(Q4258="","⚠ Falta cuenta",IF(ISNA(MATCH(Q4258,ctaNombre,0)),"⚠ Cuenta no registrada",IF(AND(OR(P4258="Gasto",P4258="Reembolso"),D4258=""),"⚠ Falta categoría",IF(AND(D4258&lt;&gt;"",E4258&lt;&gt;"",ISNA(MATCH(D4258&amp;"|"&amp;E4258,catClave,0))),"⚠ Subcategoría no corresponde",IF(AND(OR(P4258="Transferencia",P4258="Pago tarjeta"),K4258=""),"⚠ Falta cuenta destino",IF(AND(K4258&lt;&gt;"",P4258&lt;&gt;"Transferencia",P4258&lt;&gt;"Pago tarjeta"),"⚠ Destino solo aplica a transferencias",IF(AND(K4258&lt;&gt;"",K4258=Q4258),"⚠ Origen igual a destino",IF(AND(K4258&lt;&gt;"",ISNA(MATCH(K4258,ctaNombre,0))),"⚠ Destino no registrado",IF(AND(P4258="Pago tarjeta",AE4258&lt;&gt;"Tarjeta de crédito"),"⚠ El destino debe ser tarjeta de crédito",IF(AND(P4258="Gasto",E4258="Depósitos y retiros"),"⚠ Usa tipo Transferencia",IF(AND(P4258="Resultado trading",AD4258&lt;&gt;"Cuenta de trading"),"⚠ Usa una cuenta de trading",IF(AND(G4258&lt;=0,P4258&lt;&gt;"Ajuste",P4258&lt;&gt;"Resultado trading"),"⚠ El monto debe ser positivo","✓")))))))))))))))</f>
        <v/>
      </c>
      <c r="P4258" s="52">
        <f>IF(OR(B4258="",G4258=""),"",IF(C4258="","Gasto",C4258))</f>
        <v/>
      </c>
      <c r="Q4258" s="52">
        <f>IF(P4258="","",IF(J4258&lt;&gt;"",J4258,CuentaPred&amp;""))</f>
        <v/>
      </c>
      <c r="R4258" s="52">
        <f>IF(P4258="","",IF(ISNUMBER(I4258),I4258,TasaUSD))</f>
        <v/>
      </c>
      <c r="S4258" s="53">
        <f>IF(P4258="","",IF(H4258="USD",G4258*R4258,G4258))</f>
        <v/>
      </c>
      <c r="T4258" s="53">
        <f>IF(P4258="","",IF(H4258="USD",G4258,IF(R4258&gt;0,G4258/R4258,0)))</f>
        <v/>
      </c>
      <c r="U4258" s="53">
        <f>IF(P4258="","",IF(P4258="Gasto",S4258,IF(P4258="Reembolso",-S4258,0)))</f>
        <v/>
      </c>
      <c r="V4258" s="53">
        <f>IF(P4258="","",IF(P4258="Ingreso",S4258,0))</f>
        <v/>
      </c>
      <c r="W4258" s="53">
        <f>IF(P4258="","",IF(P4258="Resultado trading",S4258,0))</f>
        <v/>
      </c>
      <c r="X4258" s="52">
        <f>IF(OR(P4258="Gasto",P4258="Reembolso"),IF(M4258&lt;&gt;"",M4258,IFERROR(INDEX(catClasif,MATCH(D4258&amp;"|"&amp;E4258,catClave,0))&amp;"","Variable")),"")</f>
        <v/>
      </c>
      <c r="Y4258" s="52">
        <f>IF(P4258="","",IFERROR(INDEX(catGrupo,MATCH(D4258&amp;"|"&amp;E4258,catClave,0))&amp;"",""))</f>
        <v/>
      </c>
      <c r="Z4258" s="52">
        <f>IF(P4258="","",WEEKDAY(B4258,2))</f>
        <v/>
      </c>
      <c r="AA4258" s="52">
        <f>IF(P4258="","",IF(AND(P4258="Gasto",X4258="Variable",D4258&lt;&gt;catTrading,S4258&gt;0,S4258&lt;=Umbral),1,0))</f>
        <v/>
      </c>
      <c r="AB4258" s="52">
        <f>IF(OR(P4258="",Q4258=""),"",IFERROR(IF(INDEX(ctaVinc,MATCH(Q4258,ctaNombre,0))&amp;""&lt;&gt;"",INDEX(ctaVinc,MATCH(Q4258,ctaNombre,0))&amp;"",Q4258),Q4258))</f>
        <v/>
      </c>
      <c r="AC4258" s="52">
        <f>IF(OR(K4258="",AND(P4258&lt;&gt;"Transferencia",P4258&lt;&gt;"Pago tarjeta")),"",IFERROR(IF(INDEX(ctaVinc,MATCH(K4258,ctaNombre,0))&amp;""&lt;&gt;"",INDEX(ctaVinc,MATCH(K4258,ctaNombre,0))&amp;"",K4258),K4258))</f>
        <v/>
      </c>
      <c r="AD4258" s="52">
        <f>IF(AB4258="","",IFERROR(INDEX(ctaTipo,MATCH(AB4258,ctaNombre,0))&amp;"",""))</f>
        <v/>
      </c>
      <c r="AE4258" s="52">
        <f>IF(AC4258="","",IFERROR(INDEX(ctaTipo,MATCH(AC4258,ctaNombre,0))&amp;"",""))</f>
        <v/>
      </c>
      <c r="AF4258" s="53">
        <f>IF(OR(P4258="",AB4258=""),"",IF(OR(P4258="Gasto",P4258="Transferencia",P4258="Pago tarjeta"),-1,1)*IF(IFERROR(INDEX(ctaMoneda,MATCH(AB4258,ctaNombre,0))&amp;"","DOP")="USD",T4258,S4258))</f>
        <v/>
      </c>
      <c r="AG4258" s="53">
        <f>IF(AC4258="","",IF(IFERROR(INDEX(ctaMoneda,MATCH(AC4258,ctaNombre,0))&amp;"","DOP")="USD",T4258,S4258))</f>
        <v/>
      </c>
      <c r="AH4258" s="53">
        <f>IF(P4258="","",IF(AND(AD4258&lt;&gt;"",COUNTIFS(tcTipo,AD4258,tcLiq,"Sí")&gt;0),IF(OR(P4258="Gasto",P4258="Transferencia",P4258="Pago tarjeta"),-1,1)*S4258,0)+IF(AND(AE4258&lt;&gt;"",COUNTIFS(tcTipo,AE4258,tcLiq,"Sí")&gt;0),S4258,0))</f>
        <v/>
      </c>
      <c r="AI4258" s="52">
        <f>IF(OR(L4258="",P4258=""),"",IF(COUNTIFS(L$6:L4258,L4258,P$6:P4258,"?*")=1,MAX(AI$5:AI4257)+1,""))</f>
        <v/>
      </c>
    </row>
    <row r="4259">
      <c r="B4259" s="47" t="n"/>
      <c r="C4259" s="48" t="n"/>
      <c r="D4259" s="48" t="n"/>
      <c r="E4259" s="48" t="n"/>
      <c r="F4259" s="48" t="n"/>
      <c r="G4259" s="49" t="n"/>
      <c r="H4259" s="48" t="n"/>
      <c r="I4259" s="50" t="n"/>
      <c r="J4259" s="48" t="n"/>
      <c r="K4259" s="48" t="n"/>
      <c r="L4259" s="48" t="n"/>
      <c r="M4259" s="48" t="n"/>
      <c r="N4259" s="48" t="n"/>
      <c r="O4259" s="51">
        <f>IF(AND(B4259="",G4259="",C4259="",D4259="",J4259=""),"",IF(B4259="","⚠ Falta fecha",IF(G4259="","⚠ Falta monto",IF(Q4259="","⚠ Falta cuenta",IF(ISNA(MATCH(Q4259,ctaNombre,0)),"⚠ Cuenta no registrada",IF(AND(OR(P4259="Gasto",P4259="Reembolso"),D4259=""),"⚠ Falta categoría",IF(AND(D4259&lt;&gt;"",E4259&lt;&gt;"",ISNA(MATCH(D4259&amp;"|"&amp;E4259,catClave,0))),"⚠ Subcategoría no corresponde",IF(AND(OR(P4259="Transferencia",P4259="Pago tarjeta"),K4259=""),"⚠ Falta cuenta destino",IF(AND(K4259&lt;&gt;"",P4259&lt;&gt;"Transferencia",P4259&lt;&gt;"Pago tarjeta"),"⚠ Destino solo aplica a transferencias",IF(AND(K4259&lt;&gt;"",K4259=Q4259),"⚠ Origen igual a destino",IF(AND(K4259&lt;&gt;"",ISNA(MATCH(K4259,ctaNombre,0))),"⚠ Destino no registrado",IF(AND(P4259="Pago tarjeta",AE4259&lt;&gt;"Tarjeta de crédito"),"⚠ El destino debe ser tarjeta de crédito",IF(AND(P4259="Gasto",E4259="Depósitos y retiros"),"⚠ Usa tipo Transferencia",IF(AND(P4259="Resultado trading",AD4259&lt;&gt;"Cuenta de trading"),"⚠ Usa una cuenta de trading",IF(AND(G4259&lt;=0,P4259&lt;&gt;"Ajuste",P4259&lt;&gt;"Resultado trading"),"⚠ El monto debe ser positivo","✓")))))))))))))))</f>
        <v/>
      </c>
      <c r="P4259" s="52">
        <f>IF(OR(B4259="",G4259=""),"",IF(C4259="","Gasto",C4259))</f>
        <v/>
      </c>
      <c r="Q4259" s="52">
        <f>IF(P4259="","",IF(J4259&lt;&gt;"",J4259,CuentaPred&amp;""))</f>
        <v/>
      </c>
      <c r="R4259" s="52">
        <f>IF(P4259="","",IF(ISNUMBER(I4259),I4259,TasaUSD))</f>
        <v/>
      </c>
      <c r="S4259" s="53">
        <f>IF(P4259="","",IF(H4259="USD",G4259*R4259,G4259))</f>
        <v/>
      </c>
      <c r="T4259" s="53">
        <f>IF(P4259="","",IF(H4259="USD",G4259,IF(R4259&gt;0,G4259/R4259,0)))</f>
        <v/>
      </c>
      <c r="U4259" s="53">
        <f>IF(P4259="","",IF(P4259="Gasto",S4259,IF(P4259="Reembolso",-S4259,0)))</f>
        <v/>
      </c>
      <c r="V4259" s="53">
        <f>IF(P4259="","",IF(P4259="Ingreso",S4259,0))</f>
        <v/>
      </c>
      <c r="W4259" s="53">
        <f>IF(P4259="","",IF(P4259="Resultado trading",S4259,0))</f>
        <v/>
      </c>
      <c r="X4259" s="52">
        <f>IF(OR(P4259="Gasto",P4259="Reembolso"),IF(M4259&lt;&gt;"",M4259,IFERROR(INDEX(catClasif,MATCH(D4259&amp;"|"&amp;E4259,catClave,0))&amp;"","Variable")),"")</f>
        <v/>
      </c>
      <c r="Y4259" s="52">
        <f>IF(P4259="","",IFERROR(INDEX(catGrupo,MATCH(D4259&amp;"|"&amp;E4259,catClave,0))&amp;"",""))</f>
        <v/>
      </c>
      <c r="Z4259" s="52">
        <f>IF(P4259="","",WEEKDAY(B4259,2))</f>
        <v/>
      </c>
      <c r="AA4259" s="52">
        <f>IF(P4259="","",IF(AND(P4259="Gasto",X4259="Variable",D4259&lt;&gt;catTrading,S4259&gt;0,S4259&lt;=Umbral),1,0))</f>
        <v/>
      </c>
      <c r="AB4259" s="52">
        <f>IF(OR(P4259="",Q4259=""),"",IFERROR(IF(INDEX(ctaVinc,MATCH(Q4259,ctaNombre,0))&amp;""&lt;&gt;"",INDEX(ctaVinc,MATCH(Q4259,ctaNombre,0))&amp;"",Q4259),Q4259))</f>
        <v/>
      </c>
      <c r="AC4259" s="52">
        <f>IF(OR(K4259="",AND(P4259&lt;&gt;"Transferencia",P4259&lt;&gt;"Pago tarjeta")),"",IFERROR(IF(INDEX(ctaVinc,MATCH(K4259,ctaNombre,0))&amp;""&lt;&gt;"",INDEX(ctaVinc,MATCH(K4259,ctaNombre,0))&amp;"",K4259),K4259))</f>
        <v/>
      </c>
      <c r="AD4259" s="52">
        <f>IF(AB4259="","",IFERROR(INDEX(ctaTipo,MATCH(AB4259,ctaNombre,0))&amp;"",""))</f>
        <v/>
      </c>
      <c r="AE4259" s="52">
        <f>IF(AC4259="","",IFERROR(INDEX(ctaTipo,MATCH(AC4259,ctaNombre,0))&amp;"",""))</f>
        <v/>
      </c>
      <c r="AF4259" s="53">
        <f>IF(OR(P4259="",AB4259=""),"",IF(OR(P4259="Gasto",P4259="Transferencia",P4259="Pago tarjeta"),-1,1)*IF(IFERROR(INDEX(ctaMoneda,MATCH(AB4259,ctaNombre,0))&amp;"","DOP")="USD",T4259,S4259))</f>
        <v/>
      </c>
      <c r="AG4259" s="53">
        <f>IF(AC4259="","",IF(IFERROR(INDEX(ctaMoneda,MATCH(AC4259,ctaNombre,0))&amp;"","DOP")="USD",T4259,S4259))</f>
        <v/>
      </c>
      <c r="AH4259" s="53">
        <f>IF(P4259="","",IF(AND(AD4259&lt;&gt;"",COUNTIFS(tcTipo,AD4259,tcLiq,"Sí")&gt;0),IF(OR(P4259="Gasto",P4259="Transferencia",P4259="Pago tarjeta"),-1,1)*S4259,0)+IF(AND(AE4259&lt;&gt;"",COUNTIFS(tcTipo,AE4259,tcLiq,"Sí")&gt;0),S4259,0))</f>
        <v/>
      </c>
      <c r="AI4259" s="52">
        <f>IF(OR(L4259="",P4259=""),"",IF(COUNTIFS(L$6:L4259,L4259,P$6:P4259,"?*")=1,MAX(AI$5:AI4258)+1,""))</f>
        <v/>
      </c>
    </row>
    <row r="4260">
      <c r="B4260" s="47" t="n"/>
      <c r="C4260" s="48" t="n"/>
      <c r="D4260" s="48" t="n"/>
      <c r="E4260" s="48" t="n"/>
      <c r="F4260" s="48" t="n"/>
      <c r="G4260" s="49" t="n"/>
      <c r="H4260" s="48" t="n"/>
      <c r="I4260" s="50" t="n"/>
      <c r="J4260" s="48" t="n"/>
      <c r="K4260" s="48" t="n"/>
      <c r="L4260" s="48" t="n"/>
      <c r="M4260" s="48" t="n"/>
      <c r="N4260" s="48" t="n"/>
      <c r="O4260" s="51">
        <f>IF(AND(B4260="",G4260="",C4260="",D4260="",J4260=""),"",IF(B4260="","⚠ Falta fecha",IF(G4260="","⚠ Falta monto",IF(Q4260="","⚠ Falta cuenta",IF(ISNA(MATCH(Q4260,ctaNombre,0)),"⚠ Cuenta no registrada",IF(AND(OR(P4260="Gasto",P4260="Reembolso"),D4260=""),"⚠ Falta categoría",IF(AND(D4260&lt;&gt;"",E4260&lt;&gt;"",ISNA(MATCH(D4260&amp;"|"&amp;E4260,catClave,0))),"⚠ Subcategoría no corresponde",IF(AND(OR(P4260="Transferencia",P4260="Pago tarjeta"),K4260=""),"⚠ Falta cuenta destino",IF(AND(K4260&lt;&gt;"",P4260&lt;&gt;"Transferencia",P4260&lt;&gt;"Pago tarjeta"),"⚠ Destino solo aplica a transferencias",IF(AND(K4260&lt;&gt;"",K4260=Q4260),"⚠ Origen igual a destino",IF(AND(K4260&lt;&gt;"",ISNA(MATCH(K4260,ctaNombre,0))),"⚠ Destino no registrado",IF(AND(P4260="Pago tarjeta",AE4260&lt;&gt;"Tarjeta de crédito"),"⚠ El destino debe ser tarjeta de crédito",IF(AND(P4260="Gasto",E4260="Depósitos y retiros"),"⚠ Usa tipo Transferencia",IF(AND(P4260="Resultado trading",AD4260&lt;&gt;"Cuenta de trading"),"⚠ Usa una cuenta de trading",IF(AND(G4260&lt;=0,P4260&lt;&gt;"Ajuste",P4260&lt;&gt;"Resultado trading"),"⚠ El monto debe ser positivo","✓")))))))))))))))</f>
        <v/>
      </c>
      <c r="P4260" s="52">
        <f>IF(OR(B4260="",G4260=""),"",IF(C4260="","Gasto",C4260))</f>
        <v/>
      </c>
      <c r="Q4260" s="52">
        <f>IF(P4260="","",IF(J4260&lt;&gt;"",J4260,CuentaPred&amp;""))</f>
        <v/>
      </c>
      <c r="R4260" s="52">
        <f>IF(P4260="","",IF(ISNUMBER(I4260),I4260,TasaUSD))</f>
        <v/>
      </c>
      <c r="S4260" s="53">
        <f>IF(P4260="","",IF(H4260="USD",G4260*R4260,G4260))</f>
        <v/>
      </c>
      <c r="T4260" s="53">
        <f>IF(P4260="","",IF(H4260="USD",G4260,IF(R4260&gt;0,G4260/R4260,0)))</f>
        <v/>
      </c>
      <c r="U4260" s="53">
        <f>IF(P4260="","",IF(P4260="Gasto",S4260,IF(P4260="Reembolso",-S4260,0)))</f>
        <v/>
      </c>
      <c r="V4260" s="53">
        <f>IF(P4260="","",IF(P4260="Ingreso",S4260,0))</f>
        <v/>
      </c>
      <c r="W4260" s="53">
        <f>IF(P4260="","",IF(P4260="Resultado trading",S4260,0))</f>
        <v/>
      </c>
      <c r="X4260" s="52">
        <f>IF(OR(P4260="Gasto",P4260="Reembolso"),IF(M4260&lt;&gt;"",M4260,IFERROR(INDEX(catClasif,MATCH(D4260&amp;"|"&amp;E4260,catClave,0))&amp;"","Variable")),"")</f>
        <v/>
      </c>
      <c r="Y4260" s="52">
        <f>IF(P4260="","",IFERROR(INDEX(catGrupo,MATCH(D4260&amp;"|"&amp;E4260,catClave,0))&amp;"",""))</f>
        <v/>
      </c>
      <c r="Z4260" s="52">
        <f>IF(P4260="","",WEEKDAY(B4260,2))</f>
        <v/>
      </c>
      <c r="AA4260" s="52">
        <f>IF(P4260="","",IF(AND(P4260="Gasto",X4260="Variable",D4260&lt;&gt;catTrading,S4260&gt;0,S4260&lt;=Umbral),1,0))</f>
        <v/>
      </c>
      <c r="AB4260" s="52">
        <f>IF(OR(P4260="",Q4260=""),"",IFERROR(IF(INDEX(ctaVinc,MATCH(Q4260,ctaNombre,0))&amp;""&lt;&gt;"",INDEX(ctaVinc,MATCH(Q4260,ctaNombre,0))&amp;"",Q4260),Q4260))</f>
        <v/>
      </c>
      <c r="AC4260" s="52">
        <f>IF(OR(K4260="",AND(P4260&lt;&gt;"Transferencia",P4260&lt;&gt;"Pago tarjeta")),"",IFERROR(IF(INDEX(ctaVinc,MATCH(K4260,ctaNombre,0))&amp;""&lt;&gt;"",INDEX(ctaVinc,MATCH(K4260,ctaNombre,0))&amp;"",K4260),K4260))</f>
        <v/>
      </c>
      <c r="AD4260" s="52">
        <f>IF(AB4260="","",IFERROR(INDEX(ctaTipo,MATCH(AB4260,ctaNombre,0))&amp;"",""))</f>
        <v/>
      </c>
      <c r="AE4260" s="52">
        <f>IF(AC4260="","",IFERROR(INDEX(ctaTipo,MATCH(AC4260,ctaNombre,0))&amp;"",""))</f>
        <v/>
      </c>
      <c r="AF4260" s="53">
        <f>IF(OR(P4260="",AB4260=""),"",IF(OR(P4260="Gasto",P4260="Transferencia",P4260="Pago tarjeta"),-1,1)*IF(IFERROR(INDEX(ctaMoneda,MATCH(AB4260,ctaNombre,0))&amp;"","DOP")="USD",T4260,S4260))</f>
        <v/>
      </c>
      <c r="AG4260" s="53">
        <f>IF(AC4260="","",IF(IFERROR(INDEX(ctaMoneda,MATCH(AC4260,ctaNombre,0))&amp;"","DOP")="USD",T4260,S4260))</f>
        <v/>
      </c>
      <c r="AH4260" s="53">
        <f>IF(P4260="","",IF(AND(AD4260&lt;&gt;"",COUNTIFS(tcTipo,AD4260,tcLiq,"Sí")&gt;0),IF(OR(P4260="Gasto",P4260="Transferencia",P4260="Pago tarjeta"),-1,1)*S4260,0)+IF(AND(AE4260&lt;&gt;"",COUNTIFS(tcTipo,AE4260,tcLiq,"Sí")&gt;0),S4260,0))</f>
        <v/>
      </c>
      <c r="AI4260" s="52">
        <f>IF(OR(L4260="",P4260=""),"",IF(COUNTIFS(L$6:L4260,L4260,P$6:P4260,"?*")=1,MAX(AI$5:AI4259)+1,""))</f>
        <v/>
      </c>
    </row>
    <row r="4261">
      <c r="B4261" s="47" t="n"/>
      <c r="C4261" s="48" t="n"/>
      <c r="D4261" s="48" t="n"/>
      <c r="E4261" s="48" t="n"/>
      <c r="F4261" s="48" t="n"/>
      <c r="G4261" s="49" t="n"/>
      <c r="H4261" s="48" t="n"/>
      <c r="I4261" s="50" t="n"/>
      <c r="J4261" s="48" t="n"/>
      <c r="K4261" s="48" t="n"/>
      <c r="L4261" s="48" t="n"/>
      <c r="M4261" s="48" t="n"/>
      <c r="N4261" s="48" t="n"/>
      <c r="O4261" s="51">
        <f>IF(AND(B4261="",G4261="",C4261="",D4261="",J4261=""),"",IF(B4261="","⚠ Falta fecha",IF(G4261="","⚠ Falta monto",IF(Q4261="","⚠ Falta cuenta",IF(ISNA(MATCH(Q4261,ctaNombre,0)),"⚠ Cuenta no registrada",IF(AND(OR(P4261="Gasto",P4261="Reembolso"),D4261=""),"⚠ Falta categoría",IF(AND(D4261&lt;&gt;"",E4261&lt;&gt;"",ISNA(MATCH(D4261&amp;"|"&amp;E4261,catClave,0))),"⚠ Subcategoría no corresponde",IF(AND(OR(P4261="Transferencia",P4261="Pago tarjeta"),K4261=""),"⚠ Falta cuenta destino",IF(AND(K4261&lt;&gt;"",P4261&lt;&gt;"Transferencia",P4261&lt;&gt;"Pago tarjeta"),"⚠ Destino solo aplica a transferencias",IF(AND(K4261&lt;&gt;"",K4261=Q4261),"⚠ Origen igual a destino",IF(AND(K4261&lt;&gt;"",ISNA(MATCH(K4261,ctaNombre,0))),"⚠ Destino no registrado",IF(AND(P4261="Pago tarjeta",AE4261&lt;&gt;"Tarjeta de crédito"),"⚠ El destino debe ser tarjeta de crédito",IF(AND(P4261="Gasto",E4261="Depósitos y retiros"),"⚠ Usa tipo Transferencia",IF(AND(P4261="Resultado trading",AD4261&lt;&gt;"Cuenta de trading"),"⚠ Usa una cuenta de trading",IF(AND(G4261&lt;=0,P4261&lt;&gt;"Ajuste",P4261&lt;&gt;"Resultado trading"),"⚠ El monto debe ser positivo","✓")))))))))))))))</f>
        <v/>
      </c>
      <c r="P4261" s="52">
        <f>IF(OR(B4261="",G4261=""),"",IF(C4261="","Gasto",C4261))</f>
        <v/>
      </c>
      <c r="Q4261" s="52">
        <f>IF(P4261="","",IF(J4261&lt;&gt;"",J4261,CuentaPred&amp;""))</f>
        <v/>
      </c>
      <c r="R4261" s="52">
        <f>IF(P4261="","",IF(ISNUMBER(I4261),I4261,TasaUSD))</f>
        <v/>
      </c>
      <c r="S4261" s="53">
        <f>IF(P4261="","",IF(H4261="USD",G4261*R4261,G4261))</f>
        <v/>
      </c>
      <c r="T4261" s="53">
        <f>IF(P4261="","",IF(H4261="USD",G4261,IF(R4261&gt;0,G4261/R4261,0)))</f>
        <v/>
      </c>
      <c r="U4261" s="53">
        <f>IF(P4261="","",IF(P4261="Gasto",S4261,IF(P4261="Reembolso",-S4261,0)))</f>
        <v/>
      </c>
      <c r="V4261" s="53">
        <f>IF(P4261="","",IF(P4261="Ingreso",S4261,0))</f>
        <v/>
      </c>
      <c r="W4261" s="53">
        <f>IF(P4261="","",IF(P4261="Resultado trading",S4261,0))</f>
        <v/>
      </c>
      <c r="X4261" s="52">
        <f>IF(OR(P4261="Gasto",P4261="Reembolso"),IF(M4261&lt;&gt;"",M4261,IFERROR(INDEX(catClasif,MATCH(D4261&amp;"|"&amp;E4261,catClave,0))&amp;"","Variable")),"")</f>
        <v/>
      </c>
      <c r="Y4261" s="52">
        <f>IF(P4261="","",IFERROR(INDEX(catGrupo,MATCH(D4261&amp;"|"&amp;E4261,catClave,0))&amp;"",""))</f>
        <v/>
      </c>
      <c r="Z4261" s="52">
        <f>IF(P4261="","",WEEKDAY(B4261,2))</f>
        <v/>
      </c>
      <c r="AA4261" s="52">
        <f>IF(P4261="","",IF(AND(P4261="Gasto",X4261="Variable",D4261&lt;&gt;catTrading,S4261&gt;0,S4261&lt;=Umbral),1,0))</f>
        <v/>
      </c>
      <c r="AB4261" s="52">
        <f>IF(OR(P4261="",Q4261=""),"",IFERROR(IF(INDEX(ctaVinc,MATCH(Q4261,ctaNombre,0))&amp;""&lt;&gt;"",INDEX(ctaVinc,MATCH(Q4261,ctaNombre,0))&amp;"",Q4261),Q4261))</f>
        <v/>
      </c>
      <c r="AC4261" s="52">
        <f>IF(OR(K4261="",AND(P4261&lt;&gt;"Transferencia",P4261&lt;&gt;"Pago tarjeta")),"",IFERROR(IF(INDEX(ctaVinc,MATCH(K4261,ctaNombre,0))&amp;""&lt;&gt;"",INDEX(ctaVinc,MATCH(K4261,ctaNombre,0))&amp;"",K4261),K4261))</f>
        <v/>
      </c>
      <c r="AD4261" s="52">
        <f>IF(AB4261="","",IFERROR(INDEX(ctaTipo,MATCH(AB4261,ctaNombre,0))&amp;"",""))</f>
        <v/>
      </c>
      <c r="AE4261" s="52">
        <f>IF(AC4261="","",IFERROR(INDEX(ctaTipo,MATCH(AC4261,ctaNombre,0))&amp;"",""))</f>
        <v/>
      </c>
      <c r="AF4261" s="53">
        <f>IF(OR(P4261="",AB4261=""),"",IF(OR(P4261="Gasto",P4261="Transferencia",P4261="Pago tarjeta"),-1,1)*IF(IFERROR(INDEX(ctaMoneda,MATCH(AB4261,ctaNombre,0))&amp;"","DOP")="USD",T4261,S4261))</f>
        <v/>
      </c>
      <c r="AG4261" s="53">
        <f>IF(AC4261="","",IF(IFERROR(INDEX(ctaMoneda,MATCH(AC4261,ctaNombre,0))&amp;"","DOP")="USD",T4261,S4261))</f>
        <v/>
      </c>
      <c r="AH4261" s="53">
        <f>IF(P4261="","",IF(AND(AD4261&lt;&gt;"",COUNTIFS(tcTipo,AD4261,tcLiq,"Sí")&gt;0),IF(OR(P4261="Gasto",P4261="Transferencia",P4261="Pago tarjeta"),-1,1)*S4261,0)+IF(AND(AE4261&lt;&gt;"",COUNTIFS(tcTipo,AE4261,tcLiq,"Sí")&gt;0),S4261,0))</f>
        <v/>
      </c>
      <c r="AI4261" s="52">
        <f>IF(OR(L4261="",P4261=""),"",IF(COUNTIFS(L$6:L4261,L4261,P$6:P4261,"?*")=1,MAX(AI$5:AI4260)+1,""))</f>
        <v/>
      </c>
    </row>
    <row r="4262">
      <c r="B4262" s="47" t="n"/>
      <c r="C4262" s="48" t="n"/>
      <c r="D4262" s="48" t="n"/>
      <c r="E4262" s="48" t="n"/>
      <c r="F4262" s="48" t="n"/>
      <c r="G4262" s="49" t="n"/>
      <c r="H4262" s="48" t="n"/>
      <c r="I4262" s="50" t="n"/>
      <c r="J4262" s="48" t="n"/>
      <c r="K4262" s="48" t="n"/>
      <c r="L4262" s="48" t="n"/>
      <c r="M4262" s="48" t="n"/>
      <c r="N4262" s="48" t="n"/>
      <c r="O4262" s="51">
        <f>IF(AND(B4262="",G4262="",C4262="",D4262="",J4262=""),"",IF(B4262="","⚠ Falta fecha",IF(G4262="","⚠ Falta monto",IF(Q4262="","⚠ Falta cuenta",IF(ISNA(MATCH(Q4262,ctaNombre,0)),"⚠ Cuenta no registrada",IF(AND(OR(P4262="Gasto",P4262="Reembolso"),D4262=""),"⚠ Falta categoría",IF(AND(D4262&lt;&gt;"",E4262&lt;&gt;"",ISNA(MATCH(D4262&amp;"|"&amp;E4262,catClave,0))),"⚠ Subcategoría no corresponde",IF(AND(OR(P4262="Transferencia",P4262="Pago tarjeta"),K4262=""),"⚠ Falta cuenta destino",IF(AND(K4262&lt;&gt;"",P4262&lt;&gt;"Transferencia",P4262&lt;&gt;"Pago tarjeta"),"⚠ Destino solo aplica a transferencias",IF(AND(K4262&lt;&gt;"",K4262=Q4262),"⚠ Origen igual a destino",IF(AND(K4262&lt;&gt;"",ISNA(MATCH(K4262,ctaNombre,0))),"⚠ Destino no registrado",IF(AND(P4262="Pago tarjeta",AE4262&lt;&gt;"Tarjeta de crédito"),"⚠ El destino debe ser tarjeta de crédito",IF(AND(P4262="Gasto",E4262="Depósitos y retiros"),"⚠ Usa tipo Transferencia",IF(AND(P4262="Resultado trading",AD4262&lt;&gt;"Cuenta de trading"),"⚠ Usa una cuenta de trading",IF(AND(G4262&lt;=0,P4262&lt;&gt;"Ajuste",P4262&lt;&gt;"Resultado trading"),"⚠ El monto debe ser positivo","✓")))))))))))))))</f>
        <v/>
      </c>
      <c r="P4262" s="52">
        <f>IF(OR(B4262="",G4262=""),"",IF(C4262="","Gasto",C4262))</f>
        <v/>
      </c>
      <c r="Q4262" s="52">
        <f>IF(P4262="","",IF(J4262&lt;&gt;"",J4262,CuentaPred&amp;""))</f>
        <v/>
      </c>
      <c r="R4262" s="52">
        <f>IF(P4262="","",IF(ISNUMBER(I4262),I4262,TasaUSD))</f>
        <v/>
      </c>
      <c r="S4262" s="53">
        <f>IF(P4262="","",IF(H4262="USD",G4262*R4262,G4262))</f>
        <v/>
      </c>
      <c r="T4262" s="53">
        <f>IF(P4262="","",IF(H4262="USD",G4262,IF(R4262&gt;0,G4262/R4262,0)))</f>
        <v/>
      </c>
      <c r="U4262" s="53">
        <f>IF(P4262="","",IF(P4262="Gasto",S4262,IF(P4262="Reembolso",-S4262,0)))</f>
        <v/>
      </c>
      <c r="V4262" s="53">
        <f>IF(P4262="","",IF(P4262="Ingreso",S4262,0))</f>
        <v/>
      </c>
      <c r="W4262" s="53">
        <f>IF(P4262="","",IF(P4262="Resultado trading",S4262,0))</f>
        <v/>
      </c>
      <c r="X4262" s="52">
        <f>IF(OR(P4262="Gasto",P4262="Reembolso"),IF(M4262&lt;&gt;"",M4262,IFERROR(INDEX(catClasif,MATCH(D4262&amp;"|"&amp;E4262,catClave,0))&amp;"","Variable")),"")</f>
        <v/>
      </c>
      <c r="Y4262" s="52">
        <f>IF(P4262="","",IFERROR(INDEX(catGrupo,MATCH(D4262&amp;"|"&amp;E4262,catClave,0))&amp;"",""))</f>
        <v/>
      </c>
      <c r="Z4262" s="52">
        <f>IF(P4262="","",WEEKDAY(B4262,2))</f>
        <v/>
      </c>
      <c r="AA4262" s="52">
        <f>IF(P4262="","",IF(AND(P4262="Gasto",X4262="Variable",D4262&lt;&gt;catTrading,S4262&gt;0,S4262&lt;=Umbral),1,0))</f>
        <v/>
      </c>
      <c r="AB4262" s="52">
        <f>IF(OR(P4262="",Q4262=""),"",IFERROR(IF(INDEX(ctaVinc,MATCH(Q4262,ctaNombre,0))&amp;""&lt;&gt;"",INDEX(ctaVinc,MATCH(Q4262,ctaNombre,0))&amp;"",Q4262),Q4262))</f>
        <v/>
      </c>
      <c r="AC4262" s="52">
        <f>IF(OR(K4262="",AND(P4262&lt;&gt;"Transferencia",P4262&lt;&gt;"Pago tarjeta")),"",IFERROR(IF(INDEX(ctaVinc,MATCH(K4262,ctaNombre,0))&amp;""&lt;&gt;"",INDEX(ctaVinc,MATCH(K4262,ctaNombre,0))&amp;"",K4262),K4262))</f>
        <v/>
      </c>
      <c r="AD4262" s="52">
        <f>IF(AB4262="","",IFERROR(INDEX(ctaTipo,MATCH(AB4262,ctaNombre,0))&amp;"",""))</f>
        <v/>
      </c>
      <c r="AE4262" s="52">
        <f>IF(AC4262="","",IFERROR(INDEX(ctaTipo,MATCH(AC4262,ctaNombre,0))&amp;"",""))</f>
        <v/>
      </c>
      <c r="AF4262" s="53">
        <f>IF(OR(P4262="",AB4262=""),"",IF(OR(P4262="Gasto",P4262="Transferencia",P4262="Pago tarjeta"),-1,1)*IF(IFERROR(INDEX(ctaMoneda,MATCH(AB4262,ctaNombre,0))&amp;"","DOP")="USD",T4262,S4262))</f>
        <v/>
      </c>
      <c r="AG4262" s="53">
        <f>IF(AC4262="","",IF(IFERROR(INDEX(ctaMoneda,MATCH(AC4262,ctaNombre,0))&amp;"","DOP")="USD",T4262,S4262))</f>
        <v/>
      </c>
      <c r="AH4262" s="53">
        <f>IF(P4262="","",IF(AND(AD4262&lt;&gt;"",COUNTIFS(tcTipo,AD4262,tcLiq,"Sí")&gt;0),IF(OR(P4262="Gasto",P4262="Transferencia",P4262="Pago tarjeta"),-1,1)*S4262,0)+IF(AND(AE4262&lt;&gt;"",COUNTIFS(tcTipo,AE4262,tcLiq,"Sí")&gt;0),S4262,0))</f>
        <v/>
      </c>
      <c r="AI4262" s="52">
        <f>IF(OR(L4262="",P4262=""),"",IF(COUNTIFS(L$6:L4262,L4262,P$6:P4262,"?*")=1,MAX(AI$5:AI4261)+1,""))</f>
        <v/>
      </c>
    </row>
    <row r="4263">
      <c r="B4263" s="47" t="n"/>
      <c r="C4263" s="48" t="n"/>
      <c r="D4263" s="48" t="n"/>
      <c r="E4263" s="48" t="n"/>
      <c r="F4263" s="48" t="n"/>
      <c r="G4263" s="49" t="n"/>
      <c r="H4263" s="48" t="n"/>
      <c r="I4263" s="50" t="n"/>
      <c r="J4263" s="48" t="n"/>
      <c r="K4263" s="48" t="n"/>
      <c r="L4263" s="48" t="n"/>
      <c r="M4263" s="48" t="n"/>
      <c r="N4263" s="48" t="n"/>
      <c r="O4263" s="51">
        <f>IF(AND(B4263="",G4263="",C4263="",D4263="",J4263=""),"",IF(B4263="","⚠ Falta fecha",IF(G4263="","⚠ Falta monto",IF(Q4263="","⚠ Falta cuenta",IF(ISNA(MATCH(Q4263,ctaNombre,0)),"⚠ Cuenta no registrada",IF(AND(OR(P4263="Gasto",P4263="Reembolso"),D4263=""),"⚠ Falta categoría",IF(AND(D4263&lt;&gt;"",E4263&lt;&gt;"",ISNA(MATCH(D4263&amp;"|"&amp;E4263,catClave,0))),"⚠ Subcategoría no corresponde",IF(AND(OR(P4263="Transferencia",P4263="Pago tarjeta"),K4263=""),"⚠ Falta cuenta destino",IF(AND(K4263&lt;&gt;"",P4263&lt;&gt;"Transferencia",P4263&lt;&gt;"Pago tarjeta"),"⚠ Destino solo aplica a transferencias",IF(AND(K4263&lt;&gt;"",K4263=Q4263),"⚠ Origen igual a destino",IF(AND(K4263&lt;&gt;"",ISNA(MATCH(K4263,ctaNombre,0))),"⚠ Destino no registrado",IF(AND(P4263="Pago tarjeta",AE4263&lt;&gt;"Tarjeta de crédito"),"⚠ El destino debe ser tarjeta de crédito",IF(AND(P4263="Gasto",E4263="Depósitos y retiros"),"⚠ Usa tipo Transferencia",IF(AND(P4263="Resultado trading",AD4263&lt;&gt;"Cuenta de trading"),"⚠ Usa una cuenta de trading",IF(AND(G4263&lt;=0,P4263&lt;&gt;"Ajuste",P4263&lt;&gt;"Resultado trading"),"⚠ El monto debe ser positivo","✓")))))))))))))))</f>
        <v/>
      </c>
      <c r="P4263" s="52">
        <f>IF(OR(B4263="",G4263=""),"",IF(C4263="","Gasto",C4263))</f>
        <v/>
      </c>
      <c r="Q4263" s="52">
        <f>IF(P4263="","",IF(J4263&lt;&gt;"",J4263,CuentaPred&amp;""))</f>
        <v/>
      </c>
      <c r="R4263" s="52">
        <f>IF(P4263="","",IF(ISNUMBER(I4263),I4263,TasaUSD))</f>
        <v/>
      </c>
      <c r="S4263" s="53">
        <f>IF(P4263="","",IF(H4263="USD",G4263*R4263,G4263))</f>
        <v/>
      </c>
      <c r="T4263" s="53">
        <f>IF(P4263="","",IF(H4263="USD",G4263,IF(R4263&gt;0,G4263/R4263,0)))</f>
        <v/>
      </c>
      <c r="U4263" s="53">
        <f>IF(P4263="","",IF(P4263="Gasto",S4263,IF(P4263="Reembolso",-S4263,0)))</f>
        <v/>
      </c>
      <c r="V4263" s="53">
        <f>IF(P4263="","",IF(P4263="Ingreso",S4263,0))</f>
        <v/>
      </c>
      <c r="W4263" s="53">
        <f>IF(P4263="","",IF(P4263="Resultado trading",S4263,0))</f>
        <v/>
      </c>
      <c r="X4263" s="52">
        <f>IF(OR(P4263="Gasto",P4263="Reembolso"),IF(M4263&lt;&gt;"",M4263,IFERROR(INDEX(catClasif,MATCH(D4263&amp;"|"&amp;E4263,catClave,0))&amp;"","Variable")),"")</f>
        <v/>
      </c>
      <c r="Y4263" s="52">
        <f>IF(P4263="","",IFERROR(INDEX(catGrupo,MATCH(D4263&amp;"|"&amp;E4263,catClave,0))&amp;"",""))</f>
        <v/>
      </c>
      <c r="Z4263" s="52">
        <f>IF(P4263="","",WEEKDAY(B4263,2))</f>
        <v/>
      </c>
      <c r="AA4263" s="52">
        <f>IF(P4263="","",IF(AND(P4263="Gasto",X4263="Variable",D4263&lt;&gt;catTrading,S4263&gt;0,S4263&lt;=Umbral),1,0))</f>
        <v/>
      </c>
      <c r="AB4263" s="52">
        <f>IF(OR(P4263="",Q4263=""),"",IFERROR(IF(INDEX(ctaVinc,MATCH(Q4263,ctaNombre,0))&amp;""&lt;&gt;"",INDEX(ctaVinc,MATCH(Q4263,ctaNombre,0))&amp;"",Q4263),Q4263))</f>
        <v/>
      </c>
      <c r="AC4263" s="52">
        <f>IF(OR(K4263="",AND(P4263&lt;&gt;"Transferencia",P4263&lt;&gt;"Pago tarjeta")),"",IFERROR(IF(INDEX(ctaVinc,MATCH(K4263,ctaNombre,0))&amp;""&lt;&gt;"",INDEX(ctaVinc,MATCH(K4263,ctaNombre,0))&amp;"",K4263),K4263))</f>
        <v/>
      </c>
      <c r="AD4263" s="52">
        <f>IF(AB4263="","",IFERROR(INDEX(ctaTipo,MATCH(AB4263,ctaNombre,0))&amp;"",""))</f>
        <v/>
      </c>
      <c r="AE4263" s="52">
        <f>IF(AC4263="","",IFERROR(INDEX(ctaTipo,MATCH(AC4263,ctaNombre,0))&amp;"",""))</f>
        <v/>
      </c>
      <c r="AF4263" s="53">
        <f>IF(OR(P4263="",AB4263=""),"",IF(OR(P4263="Gasto",P4263="Transferencia",P4263="Pago tarjeta"),-1,1)*IF(IFERROR(INDEX(ctaMoneda,MATCH(AB4263,ctaNombre,0))&amp;"","DOP")="USD",T4263,S4263))</f>
        <v/>
      </c>
      <c r="AG4263" s="53">
        <f>IF(AC4263="","",IF(IFERROR(INDEX(ctaMoneda,MATCH(AC4263,ctaNombre,0))&amp;"","DOP")="USD",T4263,S4263))</f>
        <v/>
      </c>
      <c r="AH4263" s="53">
        <f>IF(P4263="","",IF(AND(AD4263&lt;&gt;"",COUNTIFS(tcTipo,AD4263,tcLiq,"Sí")&gt;0),IF(OR(P4263="Gasto",P4263="Transferencia",P4263="Pago tarjeta"),-1,1)*S4263,0)+IF(AND(AE4263&lt;&gt;"",COUNTIFS(tcTipo,AE4263,tcLiq,"Sí")&gt;0),S4263,0))</f>
        <v/>
      </c>
      <c r="AI4263" s="52">
        <f>IF(OR(L4263="",P4263=""),"",IF(COUNTIFS(L$6:L4263,L4263,P$6:P4263,"?*")=1,MAX(AI$5:AI4262)+1,""))</f>
        <v/>
      </c>
    </row>
    <row r="4264">
      <c r="B4264" s="47" t="n"/>
      <c r="C4264" s="48" t="n"/>
      <c r="D4264" s="48" t="n"/>
      <c r="E4264" s="48" t="n"/>
      <c r="F4264" s="48" t="n"/>
      <c r="G4264" s="49" t="n"/>
      <c r="H4264" s="48" t="n"/>
      <c r="I4264" s="50" t="n"/>
      <c r="J4264" s="48" t="n"/>
      <c r="K4264" s="48" t="n"/>
      <c r="L4264" s="48" t="n"/>
      <c r="M4264" s="48" t="n"/>
      <c r="N4264" s="48" t="n"/>
      <c r="O4264" s="51">
        <f>IF(AND(B4264="",G4264="",C4264="",D4264="",J4264=""),"",IF(B4264="","⚠ Falta fecha",IF(G4264="","⚠ Falta monto",IF(Q4264="","⚠ Falta cuenta",IF(ISNA(MATCH(Q4264,ctaNombre,0)),"⚠ Cuenta no registrada",IF(AND(OR(P4264="Gasto",P4264="Reembolso"),D4264=""),"⚠ Falta categoría",IF(AND(D4264&lt;&gt;"",E4264&lt;&gt;"",ISNA(MATCH(D4264&amp;"|"&amp;E4264,catClave,0))),"⚠ Subcategoría no corresponde",IF(AND(OR(P4264="Transferencia",P4264="Pago tarjeta"),K4264=""),"⚠ Falta cuenta destino",IF(AND(K4264&lt;&gt;"",P4264&lt;&gt;"Transferencia",P4264&lt;&gt;"Pago tarjeta"),"⚠ Destino solo aplica a transferencias",IF(AND(K4264&lt;&gt;"",K4264=Q4264),"⚠ Origen igual a destino",IF(AND(K4264&lt;&gt;"",ISNA(MATCH(K4264,ctaNombre,0))),"⚠ Destino no registrado",IF(AND(P4264="Pago tarjeta",AE4264&lt;&gt;"Tarjeta de crédito"),"⚠ El destino debe ser tarjeta de crédito",IF(AND(P4264="Gasto",E4264="Depósitos y retiros"),"⚠ Usa tipo Transferencia",IF(AND(P4264="Resultado trading",AD4264&lt;&gt;"Cuenta de trading"),"⚠ Usa una cuenta de trading",IF(AND(G4264&lt;=0,P4264&lt;&gt;"Ajuste",P4264&lt;&gt;"Resultado trading"),"⚠ El monto debe ser positivo","✓")))))))))))))))</f>
        <v/>
      </c>
      <c r="P4264" s="52">
        <f>IF(OR(B4264="",G4264=""),"",IF(C4264="","Gasto",C4264))</f>
        <v/>
      </c>
      <c r="Q4264" s="52">
        <f>IF(P4264="","",IF(J4264&lt;&gt;"",J4264,CuentaPred&amp;""))</f>
        <v/>
      </c>
      <c r="R4264" s="52">
        <f>IF(P4264="","",IF(ISNUMBER(I4264),I4264,TasaUSD))</f>
        <v/>
      </c>
      <c r="S4264" s="53">
        <f>IF(P4264="","",IF(H4264="USD",G4264*R4264,G4264))</f>
        <v/>
      </c>
      <c r="T4264" s="53">
        <f>IF(P4264="","",IF(H4264="USD",G4264,IF(R4264&gt;0,G4264/R4264,0)))</f>
        <v/>
      </c>
      <c r="U4264" s="53">
        <f>IF(P4264="","",IF(P4264="Gasto",S4264,IF(P4264="Reembolso",-S4264,0)))</f>
        <v/>
      </c>
      <c r="V4264" s="53">
        <f>IF(P4264="","",IF(P4264="Ingreso",S4264,0))</f>
        <v/>
      </c>
      <c r="W4264" s="53">
        <f>IF(P4264="","",IF(P4264="Resultado trading",S4264,0))</f>
        <v/>
      </c>
      <c r="X4264" s="52">
        <f>IF(OR(P4264="Gasto",P4264="Reembolso"),IF(M4264&lt;&gt;"",M4264,IFERROR(INDEX(catClasif,MATCH(D4264&amp;"|"&amp;E4264,catClave,0))&amp;"","Variable")),"")</f>
        <v/>
      </c>
      <c r="Y4264" s="52">
        <f>IF(P4264="","",IFERROR(INDEX(catGrupo,MATCH(D4264&amp;"|"&amp;E4264,catClave,0))&amp;"",""))</f>
        <v/>
      </c>
      <c r="Z4264" s="52">
        <f>IF(P4264="","",WEEKDAY(B4264,2))</f>
        <v/>
      </c>
      <c r="AA4264" s="52">
        <f>IF(P4264="","",IF(AND(P4264="Gasto",X4264="Variable",D4264&lt;&gt;catTrading,S4264&gt;0,S4264&lt;=Umbral),1,0))</f>
        <v/>
      </c>
      <c r="AB4264" s="52">
        <f>IF(OR(P4264="",Q4264=""),"",IFERROR(IF(INDEX(ctaVinc,MATCH(Q4264,ctaNombre,0))&amp;""&lt;&gt;"",INDEX(ctaVinc,MATCH(Q4264,ctaNombre,0))&amp;"",Q4264),Q4264))</f>
        <v/>
      </c>
      <c r="AC4264" s="52">
        <f>IF(OR(K4264="",AND(P4264&lt;&gt;"Transferencia",P4264&lt;&gt;"Pago tarjeta")),"",IFERROR(IF(INDEX(ctaVinc,MATCH(K4264,ctaNombre,0))&amp;""&lt;&gt;"",INDEX(ctaVinc,MATCH(K4264,ctaNombre,0))&amp;"",K4264),K4264))</f>
        <v/>
      </c>
      <c r="AD4264" s="52">
        <f>IF(AB4264="","",IFERROR(INDEX(ctaTipo,MATCH(AB4264,ctaNombre,0))&amp;"",""))</f>
        <v/>
      </c>
      <c r="AE4264" s="52">
        <f>IF(AC4264="","",IFERROR(INDEX(ctaTipo,MATCH(AC4264,ctaNombre,0))&amp;"",""))</f>
        <v/>
      </c>
      <c r="AF4264" s="53">
        <f>IF(OR(P4264="",AB4264=""),"",IF(OR(P4264="Gasto",P4264="Transferencia",P4264="Pago tarjeta"),-1,1)*IF(IFERROR(INDEX(ctaMoneda,MATCH(AB4264,ctaNombre,0))&amp;"","DOP")="USD",T4264,S4264))</f>
        <v/>
      </c>
      <c r="AG4264" s="53">
        <f>IF(AC4264="","",IF(IFERROR(INDEX(ctaMoneda,MATCH(AC4264,ctaNombre,0))&amp;"","DOP")="USD",T4264,S4264))</f>
        <v/>
      </c>
      <c r="AH4264" s="53">
        <f>IF(P4264="","",IF(AND(AD4264&lt;&gt;"",COUNTIFS(tcTipo,AD4264,tcLiq,"Sí")&gt;0),IF(OR(P4264="Gasto",P4264="Transferencia",P4264="Pago tarjeta"),-1,1)*S4264,0)+IF(AND(AE4264&lt;&gt;"",COUNTIFS(tcTipo,AE4264,tcLiq,"Sí")&gt;0),S4264,0))</f>
        <v/>
      </c>
      <c r="AI4264" s="52">
        <f>IF(OR(L4264="",P4264=""),"",IF(COUNTIFS(L$6:L4264,L4264,P$6:P4264,"?*")=1,MAX(AI$5:AI4263)+1,""))</f>
        <v/>
      </c>
    </row>
    <row r="4265">
      <c r="B4265" s="47" t="n"/>
      <c r="C4265" s="48" t="n"/>
      <c r="D4265" s="48" t="n"/>
      <c r="E4265" s="48" t="n"/>
      <c r="F4265" s="48" t="n"/>
      <c r="G4265" s="49" t="n"/>
      <c r="H4265" s="48" t="n"/>
      <c r="I4265" s="50" t="n"/>
      <c r="J4265" s="48" t="n"/>
      <c r="K4265" s="48" t="n"/>
      <c r="L4265" s="48" t="n"/>
      <c r="M4265" s="48" t="n"/>
      <c r="N4265" s="48" t="n"/>
      <c r="O4265" s="51">
        <f>IF(AND(B4265="",G4265="",C4265="",D4265="",J4265=""),"",IF(B4265="","⚠ Falta fecha",IF(G4265="","⚠ Falta monto",IF(Q4265="","⚠ Falta cuenta",IF(ISNA(MATCH(Q4265,ctaNombre,0)),"⚠ Cuenta no registrada",IF(AND(OR(P4265="Gasto",P4265="Reembolso"),D4265=""),"⚠ Falta categoría",IF(AND(D4265&lt;&gt;"",E4265&lt;&gt;"",ISNA(MATCH(D4265&amp;"|"&amp;E4265,catClave,0))),"⚠ Subcategoría no corresponde",IF(AND(OR(P4265="Transferencia",P4265="Pago tarjeta"),K4265=""),"⚠ Falta cuenta destino",IF(AND(K4265&lt;&gt;"",P4265&lt;&gt;"Transferencia",P4265&lt;&gt;"Pago tarjeta"),"⚠ Destino solo aplica a transferencias",IF(AND(K4265&lt;&gt;"",K4265=Q4265),"⚠ Origen igual a destino",IF(AND(K4265&lt;&gt;"",ISNA(MATCH(K4265,ctaNombre,0))),"⚠ Destino no registrado",IF(AND(P4265="Pago tarjeta",AE4265&lt;&gt;"Tarjeta de crédito"),"⚠ El destino debe ser tarjeta de crédito",IF(AND(P4265="Gasto",E4265="Depósitos y retiros"),"⚠ Usa tipo Transferencia",IF(AND(P4265="Resultado trading",AD4265&lt;&gt;"Cuenta de trading"),"⚠ Usa una cuenta de trading",IF(AND(G4265&lt;=0,P4265&lt;&gt;"Ajuste",P4265&lt;&gt;"Resultado trading"),"⚠ El monto debe ser positivo","✓")))))))))))))))</f>
        <v/>
      </c>
      <c r="P4265" s="52">
        <f>IF(OR(B4265="",G4265=""),"",IF(C4265="","Gasto",C4265))</f>
        <v/>
      </c>
      <c r="Q4265" s="52">
        <f>IF(P4265="","",IF(J4265&lt;&gt;"",J4265,CuentaPred&amp;""))</f>
        <v/>
      </c>
      <c r="R4265" s="52">
        <f>IF(P4265="","",IF(ISNUMBER(I4265),I4265,TasaUSD))</f>
        <v/>
      </c>
      <c r="S4265" s="53">
        <f>IF(P4265="","",IF(H4265="USD",G4265*R4265,G4265))</f>
        <v/>
      </c>
      <c r="T4265" s="53">
        <f>IF(P4265="","",IF(H4265="USD",G4265,IF(R4265&gt;0,G4265/R4265,0)))</f>
        <v/>
      </c>
      <c r="U4265" s="53">
        <f>IF(P4265="","",IF(P4265="Gasto",S4265,IF(P4265="Reembolso",-S4265,0)))</f>
        <v/>
      </c>
      <c r="V4265" s="53">
        <f>IF(P4265="","",IF(P4265="Ingreso",S4265,0))</f>
        <v/>
      </c>
      <c r="W4265" s="53">
        <f>IF(P4265="","",IF(P4265="Resultado trading",S4265,0))</f>
        <v/>
      </c>
      <c r="X4265" s="52">
        <f>IF(OR(P4265="Gasto",P4265="Reembolso"),IF(M4265&lt;&gt;"",M4265,IFERROR(INDEX(catClasif,MATCH(D4265&amp;"|"&amp;E4265,catClave,0))&amp;"","Variable")),"")</f>
        <v/>
      </c>
      <c r="Y4265" s="52">
        <f>IF(P4265="","",IFERROR(INDEX(catGrupo,MATCH(D4265&amp;"|"&amp;E4265,catClave,0))&amp;"",""))</f>
        <v/>
      </c>
      <c r="Z4265" s="52">
        <f>IF(P4265="","",WEEKDAY(B4265,2))</f>
        <v/>
      </c>
      <c r="AA4265" s="52">
        <f>IF(P4265="","",IF(AND(P4265="Gasto",X4265="Variable",D4265&lt;&gt;catTrading,S4265&gt;0,S4265&lt;=Umbral),1,0))</f>
        <v/>
      </c>
      <c r="AB4265" s="52">
        <f>IF(OR(P4265="",Q4265=""),"",IFERROR(IF(INDEX(ctaVinc,MATCH(Q4265,ctaNombre,0))&amp;""&lt;&gt;"",INDEX(ctaVinc,MATCH(Q4265,ctaNombre,0))&amp;"",Q4265),Q4265))</f>
        <v/>
      </c>
      <c r="AC4265" s="52">
        <f>IF(OR(K4265="",AND(P4265&lt;&gt;"Transferencia",P4265&lt;&gt;"Pago tarjeta")),"",IFERROR(IF(INDEX(ctaVinc,MATCH(K4265,ctaNombre,0))&amp;""&lt;&gt;"",INDEX(ctaVinc,MATCH(K4265,ctaNombre,0))&amp;"",K4265),K4265))</f>
        <v/>
      </c>
      <c r="AD4265" s="52">
        <f>IF(AB4265="","",IFERROR(INDEX(ctaTipo,MATCH(AB4265,ctaNombre,0))&amp;"",""))</f>
        <v/>
      </c>
      <c r="AE4265" s="52">
        <f>IF(AC4265="","",IFERROR(INDEX(ctaTipo,MATCH(AC4265,ctaNombre,0))&amp;"",""))</f>
        <v/>
      </c>
      <c r="AF4265" s="53">
        <f>IF(OR(P4265="",AB4265=""),"",IF(OR(P4265="Gasto",P4265="Transferencia",P4265="Pago tarjeta"),-1,1)*IF(IFERROR(INDEX(ctaMoneda,MATCH(AB4265,ctaNombre,0))&amp;"","DOP")="USD",T4265,S4265))</f>
        <v/>
      </c>
      <c r="AG4265" s="53">
        <f>IF(AC4265="","",IF(IFERROR(INDEX(ctaMoneda,MATCH(AC4265,ctaNombre,0))&amp;"","DOP")="USD",T4265,S4265))</f>
        <v/>
      </c>
      <c r="AH4265" s="53">
        <f>IF(P4265="","",IF(AND(AD4265&lt;&gt;"",COUNTIFS(tcTipo,AD4265,tcLiq,"Sí")&gt;0),IF(OR(P4265="Gasto",P4265="Transferencia",P4265="Pago tarjeta"),-1,1)*S4265,0)+IF(AND(AE4265&lt;&gt;"",COUNTIFS(tcTipo,AE4265,tcLiq,"Sí")&gt;0),S4265,0))</f>
        <v/>
      </c>
      <c r="AI4265" s="52">
        <f>IF(OR(L4265="",P4265=""),"",IF(COUNTIFS(L$6:L4265,L4265,P$6:P4265,"?*")=1,MAX(AI$5:AI4264)+1,""))</f>
        <v/>
      </c>
    </row>
    <row r="4266">
      <c r="B4266" s="47" t="n"/>
      <c r="C4266" s="48" t="n"/>
      <c r="D4266" s="48" t="n"/>
      <c r="E4266" s="48" t="n"/>
      <c r="F4266" s="48" t="n"/>
      <c r="G4266" s="49" t="n"/>
      <c r="H4266" s="48" t="n"/>
      <c r="I4266" s="50" t="n"/>
      <c r="J4266" s="48" t="n"/>
      <c r="K4266" s="48" t="n"/>
      <c r="L4266" s="48" t="n"/>
      <c r="M4266" s="48" t="n"/>
      <c r="N4266" s="48" t="n"/>
      <c r="O4266" s="51">
        <f>IF(AND(B4266="",G4266="",C4266="",D4266="",J4266=""),"",IF(B4266="","⚠ Falta fecha",IF(G4266="","⚠ Falta monto",IF(Q4266="","⚠ Falta cuenta",IF(ISNA(MATCH(Q4266,ctaNombre,0)),"⚠ Cuenta no registrada",IF(AND(OR(P4266="Gasto",P4266="Reembolso"),D4266=""),"⚠ Falta categoría",IF(AND(D4266&lt;&gt;"",E4266&lt;&gt;"",ISNA(MATCH(D4266&amp;"|"&amp;E4266,catClave,0))),"⚠ Subcategoría no corresponde",IF(AND(OR(P4266="Transferencia",P4266="Pago tarjeta"),K4266=""),"⚠ Falta cuenta destino",IF(AND(K4266&lt;&gt;"",P4266&lt;&gt;"Transferencia",P4266&lt;&gt;"Pago tarjeta"),"⚠ Destino solo aplica a transferencias",IF(AND(K4266&lt;&gt;"",K4266=Q4266),"⚠ Origen igual a destino",IF(AND(K4266&lt;&gt;"",ISNA(MATCH(K4266,ctaNombre,0))),"⚠ Destino no registrado",IF(AND(P4266="Pago tarjeta",AE4266&lt;&gt;"Tarjeta de crédito"),"⚠ El destino debe ser tarjeta de crédito",IF(AND(P4266="Gasto",E4266="Depósitos y retiros"),"⚠ Usa tipo Transferencia",IF(AND(P4266="Resultado trading",AD4266&lt;&gt;"Cuenta de trading"),"⚠ Usa una cuenta de trading",IF(AND(G4266&lt;=0,P4266&lt;&gt;"Ajuste",P4266&lt;&gt;"Resultado trading"),"⚠ El monto debe ser positivo","✓")))))))))))))))</f>
        <v/>
      </c>
      <c r="P4266" s="52">
        <f>IF(OR(B4266="",G4266=""),"",IF(C4266="","Gasto",C4266))</f>
        <v/>
      </c>
      <c r="Q4266" s="52">
        <f>IF(P4266="","",IF(J4266&lt;&gt;"",J4266,CuentaPred&amp;""))</f>
        <v/>
      </c>
      <c r="R4266" s="52">
        <f>IF(P4266="","",IF(ISNUMBER(I4266),I4266,TasaUSD))</f>
        <v/>
      </c>
      <c r="S4266" s="53">
        <f>IF(P4266="","",IF(H4266="USD",G4266*R4266,G4266))</f>
        <v/>
      </c>
      <c r="T4266" s="53">
        <f>IF(P4266="","",IF(H4266="USD",G4266,IF(R4266&gt;0,G4266/R4266,0)))</f>
        <v/>
      </c>
      <c r="U4266" s="53">
        <f>IF(P4266="","",IF(P4266="Gasto",S4266,IF(P4266="Reembolso",-S4266,0)))</f>
        <v/>
      </c>
      <c r="V4266" s="53">
        <f>IF(P4266="","",IF(P4266="Ingreso",S4266,0))</f>
        <v/>
      </c>
      <c r="W4266" s="53">
        <f>IF(P4266="","",IF(P4266="Resultado trading",S4266,0))</f>
        <v/>
      </c>
      <c r="X4266" s="52">
        <f>IF(OR(P4266="Gasto",P4266="Reembolso"),IF(M4266&lt;&gt;"",M4266,IFERROR(INDEX(catClasif,MATCH(D4266&amp;"|"&amp;E4266,catClave,0))&amp;"","Variable")),"")</f>
        <v/>
      </c>
      <c r="Y4266" s="52">
        <f>IF(P4266="","",IFERROR(INDEX(catGrupo,MATCH(D4266&amp;"|"&amp;E4266,catClave,0))&amp;"",""))</f>
        <v/>
      </c>
      <c r="Z4266" s="52">
        <f>IF(P4266="","",WEEKDAY(B4266,2))</f>
        <v/>
      </c>
      <c r="AA4266" s="52">
        <f>IF(P4266="","",IF(AND(P4266="Gasto",X4266="Variable",D4266&lt;&gt;catTrading,S4266&gt;0,S4266&lt;=Umbral),1,0))</f>
        <v/>
      </c>
      <c r="AB4266" s="52">
        <f>IF(OR(P4266="",Q4266=""),"",IFERROR(IF(INDEX(ctaVinc,MATCH(Q4266,ctaNombre,0))&amp;""&lt;&gt;"",INDEX(ctaVinc,MATCH(Q4266,ctaNombre,0))&amp;"",Q4266),Q4266))</f>
        <v/>
      </c>
      <c r="AC4266" s="52">
        <f>IF(OR(K4266="",AND(P4266&lt;&gt;"Transferencia",P4266&lt;&gt;"Pago tarjeta")),"",IFERROR(IF(INDEX(ctaVinc,MATCH(K4266,ctaNombre,0))&amp;""&lt;&gt;"",INDEX(ctaVinc,MATCH(K4266,ctaNombre,0))&amp;"",K4266),K4266))</f>
        <v/>
      </c>
      <c r="AD4266" s="52">
        <f>IF(AB4266="","",IFERROR(INDEX(ctaTipo,MATCH(AB4266,ctaNombre,0))&amp;"",""))</f>
        <v/>
      </c>
      <c r="AE4266" s="52">
        <f>IF(AC4266="","",IFERROR(INDEX(ctaTipo,MATCH(AC4266,ctaNombre,0))&amp;"",""))</f>
        <v/>
      </c>
      <c r="AF4266" s="53">
        <f>IF(OR(P4266="",AB4266=""),"",IF(OR(P4266="Gasto",P4266="Transferencia",P4266="Pago tarjeta"),-1,1)*IF(IFERROR(INDEX(ctaMoneda,MATCH(AB4266,ctaNombre,0))&amp;"","DOP")="USD",T4266,S4266))</f>
        <v/>
      </c>
      <c r="AG4266" s="53">
        <f>IF(AC4266="","",IF(IFERROR(INDEX(ctaMoneda,MATCH(AC4266,ctaNombre,0))&amp;"","DOP")="USD",T4266,S4266))</f>
        <v/>
      </c>
      <c r="AH4266" s="53">
        <f>IF(P4266="","",IF(AND(AD4266&lt;&gt;"",COUNTIFS(tcTipo,AD4266,tcLiq,"Sí")&gt;0),IF(OR(P4266="Gasto",P4266="Transferencia",P4266="Pago tarjeta"),-1,1)*S4266,0)+IF(AND(AE4266&lt;&gt;"",COUNTIFS(tcTipo,AE4266,tcLiq,"Sí")&gt;0),S4266,0))</f>
        <v/>
      </c>
      <c r="AI4266" s="52">
        <f>IF(OR(L4266="",P4266=""),"",IF(COUNTIFS(L$6:L4266,L4266,P$6:P4266,"?*")=1,MAX(AI$5:AI4265)+1,""))</f>
        <v/>
      </c>
    </row>
    <row r="4267">
      <c r="B4267" s="47" t="n"/>
      <c r="C4267" s="48" t="n"/>
      <c r="D4267" s="48" t="n"/>
      <c r="E4267" s="48" t="n"/>
      <c r="F4267" s="48" t="n"/>
      <c r="G4267" s="49" t="n"/>
      <c r="H4267" s="48" t="n"/>
      <c r="I4267" s="50" t="n"/>
      <c r="J4267" s="48" t="n"/>
      <c r="K4267" s="48" t="n"/>
      <c r="L4267" s="48" t="n"/>
      <c r="M4267" s="48" t="n"/>
      <c r="N4267" s="48" t="n"/>
      <c r="O4267" s="51">
        <f>IF(AND(B4267="",G4267="",C4267="",D4267="",J4267=""),"",IF(B4267="","⚠ Falta fecha",IF(G4267="","⚠ Falta monto",IF(Q4267="","⚠ Falta cuenta",IF(ISNA(MATCH(Q4267,ctaNombre,0)),"⚠ Cuenta no registrada",IF(AND(OR(P4267="Gasto",P4267="Reembolso"),D4267=""),"⚠ Falta categoría",IF(AND(D4267&lt;&gt;"",E4267&lt;&gt;"",ISNA(MATCH(D4267&amp;"|"&amp;E4267,catClave,0))),"⚠ Subcategoría no corresponde",IF(AND(OR(P4267="Transferencia",P4267="Pago tarjeta"),K4267=""),"⚠ Falta cuenta destino",IF(AND(K4267&lt;&gt;"",P4267&lt;&gt;"Transferencia",P4267&lt;&gt;"Pago tarjeta"),"⚠ Destino solo aplica a transferencias",IF(AND(K4267&lt;&gt;"",K4267=Q4267),"⚠ Origen igual a destino",IF(AND(K4267&lt;&gt;"",ISNA(MATCH(K4267,ctaNombre,0))),"⚠ Destino no registrado",IF(AND(P4267="Pago tarjeta",AE4267&lt;&gt;"Tarjeta de crédito"),"⚠ El destino debe ser tarjeta de crédito",IF(AND(P4267="Gasto",E4267="Depósitos y retiros"),"⚠ Usa tipo Transferencia",IF(AND(P4267="Resultado trading",AD4267&lt;&gt;"Cuenta de trading"),"⚠ Usa una cuenta de trading",IF(AND(G4267&lt;=0,P4267&lt;&gt;"Ajuste",P4267&lt;&gt;"Resultado trading"),"⚠ El monto debe ser positivo","✓")))))))))))))))</f>
        <v/>
      </c>
      <c r="P4267" s="52">
        <f>IF(OR(B4267="",G4267=""),"",IF(C4267="","Gasto",C4267))</f>
        <v/>
      </c>
      <c r="Q4267" s="52">
        <f>IF(P4267="","",IF(J4267&lt;&gt;"",J4267,CuentaPred&amp;""))</f>
        <v/>
      </c>
      <c r="R4267" s="52">
        <f>IF(P4267="","",IF(ISNUMBER(I4267),I4267,TasaUSD))</f>
        <v/>
      </c>
      <c r="S4267" s="53">
        <f>IF(P4267="","",IF(H4267="USD",G4267*R4267,G4267))</f>
        <v/>
      </c>
      <c r="T4267" s="53">
        <f>IF(P4267="","",IF(H4267="USD",G4267,IF(R4267&gt;0,G4267/R4267,0)))</f>
        <v/>
      </c>
      <c r="U4267" s="53">
        <f>IF(P4267="","",IF(P4267="Gasto",S4267,IF(P4267="Reembolso",-S4267,0)))</f>
        <v/>
      </c>
      <c r="V4267" s="53">
        <f>IF(P4267="","",IF(P4267="Ingreso",S4267,0))</f>
        <v/>
      </c>
      <c r="W4267" s="53">
        <f>IF(P4267="","",IF(P4267="Resultado trading",S4267,0))</f>
        <v/>
      </c>
      <c r="X4267" s="52">
        <f>IF(OR(P4267="Gasto",P4267="Reembolso"),IF(M4267&lt;&gt;"",M4267,IFERROR(INDEX(catClasif,MATCH(D4267&amp;"|"&amp;E4267,catClave,0))&amp;"","Variable")),"")</f>
        <v/>
      </c>
      <c r="Y4267" s="52">
        <f>IF(P4267="","",IFERROR(INDEX(catGrupo,MATCH(D4267&amp;"|"&amp;E4267,catClave,0))&amp;"",""))</f>
        <v/>
      </c>
      <c r="Z4267" s="52">
        <f>IF(P4267="","",WEEKDAY(B4267,2))</f>
        <v/>
      </c>
      <c r="AA4267" s="52">
        <f>IF(P4267="","",IF(AND(P4267="Gasto",X4267="Variable",D4267&lt;&gt;catTrading,S4267&gt;0,S4267&lt;=Umbral),1,0))</f>
        <v/>
      </c>
      <c r="AB4267" s="52">
        <f>IF(OR(P4267="",Q4267=""),"",IFERROR(IF(INDEX(ctaVinc,MATCH(Q4267,ctaNombre,0))&amp;""&lt;&gt;"",INDEX(ctaVinc,MATCH(Q4267,ctaNombre,0))&amp;"",Q4267),Q4267))</f>
        <v/>
      </c>
      <c r="AC4267" s="52">
        <f>IF(OR(K4267="",AND(P4267&lt;&gt;"Transferencia",P4267&lt;&gt;"Pago tarjeta")),"",IFERROR(IF(INDEX(ctaVinc,MATCH(K4267,ctaNombre,0))&amp;""&lt;&gt;"",INDEX(ctaVinc,MATCH(K4267,ctaNombre,0))&amp;"",K4267),K4267))</f>
        <v/>
      </c>
      <c r="AD4267" s="52">
        <f>IF(AB4267="","",IFERROR(INDEX(ctaTipo,MATCH(AB4267,ctaNombre,0))&amp;"",""))</f>
        <v/>
      </c>
      <c r="AE4267" s="52">
        <f>IF(AC4267="","",IFERROR(INDEX(ctaTipo,MATCH(AC4267,ctaNombre,0))&amp;"",""))</f>
        <v/>
      </c>
      <c r="AF4267" s="53">
        <f>IF(OR(P4267="",AB4267=""),"",IF(OR(P4267="Gasto",P4267="Transferencia",P4267="Pago tarjeta"),-1,1)*IF(IFERROR(INDEX(ctaMoneda,MATCH(AB4267,ctaNombre,0))&amp;"","DOP")="USD",T4267,S4267))</f>
        <v/>
      </c>
      <c r="AG4267" s="53">
        <f>IF(AC4267="","",IF(IFERROR(INDEX(ctaMoneda,MATCH(AC4267,ctaNombre,0))&amp;"","DOP")="USD",T4267,S4267))</f>
        <v/>
      </c>
      <c r="AH4267" s="53">
        <f>IF(P4267="","",IF(AND(AD4267&lt;&gt;"",COUNTIFS(tcTipo,AD4267,tcLiq,"Sí")&gt;0),IF(OR(P4267="Gasto",P4267="Transferencia",P4267="Pago tarjeta"),-1,1)*S4267,0)+IF(AND(AE4267&lt;&gt;"",COUNTIFS(tcTipo,AE4267,tcLiq,"Sí")&gt;0),S4267,0))</f>
        <v/>
      </c>
      <c r="AI4267" s="52">
        <f>IF(OR(L4267="",P4267=""),"",IF(COUNTIFS(L$6:L4267,L4267,P$6:P4267,"?*")=1,MAX(AI$5:AI4266)+1,""))</f>
        <v/>
      </c>
    </row>
    <row r="4268">
      <c r="B4268" s="47" t="n"/>
      <c r="C4268" s="48" t="n"/>
      <c r="D4268" s="48" t="n"/>
      <c r="E4268" s="48" t="n"/>
      <c r="F4268" s="48" t="n"/>
      <c r="G4268" s="49" t="n"/>
      <c r="H4268" s="48" t="n"/>
      <c r="I4268" s="50" t="n"/>
      <c r="J4268" s="48" t="n"/>
      <c r="K4268" s="48" t="n"/>
      <c r="L4268" s="48" t="n"/>
      <c r="M4268" s="48" t="n"/>
      <c r="N4268" s="48" t="n"/>
      <c r="O4268" s="51">
        <f>IF(AND(B4268="",G4268="",C4268="",D4268="",J4268=""),"",IF(B4268="","⚠ Falta fecha",IF(G4268="","⚠ Falta monto",IF(Q4268="","⚠ Falta cuenta",IF(ISNA(MATCH(Q4268,ctaNombre,0)),"⚠ Cuenta no registrada",IF(AND(OR(P4268="Gasto",P4268="Reembolso"),D4268=""),"⚠ Falta categoría",IF(AND(D4268&lt;&gt;"",E4268&lt;&gt;"",ISNA(MATCH(D4268&amp;"|"&amp;E4268,catClave,0))),"⚠ Subcategoría no corresponde",IF(AND(OR(P4268="Transferencia",P4268="Pago tarjeta"),K4268=""),"⚠ Falta cuenta destino",IF(AND(K4268&lt;&gt;"",P4268&lt;&gt;"Transferencia",P4268&lt;&gt;"Pago tarjeta"),"⚠ Destino solo aplica a transferencias",IF(AND(K4268&lt;&gt;"",K4268=Q4268),"⚠ Origen igual a destino",IF(AND(K4268&lt;&gt;"",ISNA(MATCH(K4268,ctaNombre,0))),"⚠ Destino no registrado",IF(AND(P4268="Pago tarjeta",AE4268&lt;&gt;"Tarjeta de crédito"),"⚠ El destino debe ser tarjeta de crédito",IF(AND(P4268="Gasto",E4268="Depósitos y retiros"),"⚠ Usa tipo Transferencia",IF(AND(P4268="Resultado trading",AD4268&lt;&gt;"Cuenta de trading"),"⚠ Usa una cuenta de trading",IF(AND(G4268&lt;=0,P4268&lt;&gt;"Ajuste",P4268&lt;&gt;"Resultado trading"),"⚠ El monto debe ser positivo","✓")))))))))))))))</f>
        <v/>
      </c>
      <c r="P4268" s="52">
        <f>IF(OR(B4268="",G4268=""),"",IF(C4268="","Gasto",C4268))</f>
        <v/>
      </c>
      <c r="Q4268" s="52">
        <f>IF(P4268="","",IF(J4268&lt;&gt;"",J4268,CuentaPred&amp;""))</f>
        <v/>
      </c>
      <c r="R4268" s="52">
        <f>IF(P4268="","",IF(ISNUMBER(I4268),I4268,TasaUSD))</f>
        <v/>
      </c>
      <c r="S4268" s="53">
        <f>IF(P4268="","",IF(H4268="USD",G4268*R4268,G4268))</f>
        <v/>
      </c>
      <c r="T4268" s="53">
        <f>IF(P4268="","",IF(H4268="USD",G4268,IF(R4268&gt;0,G4268/R4268,0)))</f>
        <v/>
      </c>
      <c r="U4268" s="53">
        <f>IF(P4268="","",IF(P4268="Gasto",S4268,IF(P4268="Reembolso",-S4268,0)))</f>
        <v/>
      </c>
      <c r="V4268" s="53">
        <f>IF(P4268="","",IF(P4268="Ingreso",S4268,0))</f>
        <v/>
      </c>
      <c r="W4268" s="53">
        <f>IF(P4268="","",IF(P4268="Resultado trading",S4268,0))</f>
        <v/>
      </c>
      <c r="X4268" s="52">
        <f>IF(OR(P4268="Gasto",P4268="Reembolso"),IF(M4268&lt;&gt;"",M4268,IFERROR(INDEX(catClasif,MATCH(D4268&amp;"|"&amp;E4268,catClave,0))&amp;"","Variable")),"")</f>
        <v/>
      </c>
      <c r="Y4268" s="52">
        <f>IF(P4268="","",IFERROR(INDEX(catGrupo,MATCH(D4268&amp;"|"&amp;E4268,catClave,0))&amp;"",""))</f>
        <v/>
      </c>
      <c r="Z4268" s="52">
        <f>IF(P4268="","",WEEKDAY(B4268,2))</f>
        <v/>
      </c>
      <c r="AA4268" s="52">
        <f>IF(P4268="","",IF(AND(P4268="Gasto",X4268="Variable",D4268&lt;&gt;catTrading,S4268&gt;0,S4268&lt;=Umbral),1,0))</f>
        <v/>
      </c>
      <c r="AB4268" s="52">
        <f>IF(OR(P4268="",Q4268=""),"",IFERROR(IF(INDEX(ctaVinc,MATCH(Q4268,ctaNombre,0))&amp;""&lt;&gt;"",INDEX(ctaVinc,MATCH(Q4268,ctaNombre,0))&amp;"",Q4268),Q4268))</f>
        <v/>
      </c>
      <c r="AC4268" s="52">
        <f>IF(OR(K4268="",AND(P4268&lt;&gt;"Transferencia",P4268&lt;&gt;"Pago tarjeta")),"",IFERROR(IF(INDEX(ctaVinc,MATCH(K4268,ctaNombre,0))&amp;""&lt;&gt;"",INDEX(ctaVinc,MATCH(K4268,ctaNombre,0))&amp;"",K4268),K4268))</f>
        <v/>
      </c>
      <c r="AD4268" s="52">
        <f>IF(AB4268="","",IFERROR(INDEX(ctaTipo,MATCH(AB4268,ctaNombre,0))&amp;"",""))</f>
        <v/>
      </c>
      <c r="AE4268" s="52">
        <f>IF(AC4268="","",IFERROR(INDEX(ctaTipo,MATCH(AC4268,ctaNombre,0))&amp;"",""))</f>
        <v/>
      </c>
      <c r="AF4268" s="53">
        <f>IF(OR(P4268="",AB4268=""),"",IF(OR(P4268="Gasto",P4268="Transferencia",P4268="Pago tarjeta"),-1,1)*IF(IFERROR(INDEX(ctaMoneda,MATCH(AB4268,ctaNombre,0))&amp;"","DOP")="USD",T4268,S4268))</f>
        <v/>
      </c>
      <c r="AG4268" s="53">
        <f>IF(AC4268="","",IF(IFERROR(INDEX(ctaMoneda,MATCH(AC4268,ctaNombre,0))&amp;"","DOP")="USD",T4268,S4268))</f>
        <v/>
      </c>
      <c r="AH4268" s="53">
        <f>IF(P4268="","",IF(AND(AD4268&lt;&gt;"",COUNTIFS(tcTipo,AD4268,tcLiq,"Sí")&gt;0),IF(OR(P4268="Gasto",P4268="Transferencia",P4268="Pago tarjeta"),-1,1)*S4268,0)+IF(AND(AE4268&lt;&gt;"",COUNTIFS(tcTipo,AE4268,tcLiq,"Sí")&gt;0),S4268,0))</f>
        <v/>
      </c>
      <c r="AI4268" s="52">
        <f>IF(OR(L4268="",P4268=""),"",IF(COUNTIFS(L$6:L4268,L4268,P$6:P4268,"?*")=1,MAX(AI$5:AI4267)+1,""))</f>
        <v/>
      </c>
    </row>
    <row r="4269">
      <c r="B4269" s="47" t="n"/>
      <c r="C4269" s="48" t="n"/>
      <c r="D4269" s="48" t="n"/>
      <c r="E4269" s="48" t="n"/>
      <c r="F4269" s="48" t="n"/>
      <c r="G4269" s="49" t="n"/>
      <c r="H4269" s="48" t="n"/>
      <c r="I4269" s="50" t="n"/>
      <c r="J4269" s="48" t="n"/>
      <c r="K4269" s="48" t="n"/>
      <c r="L4269" s="48" t="n"/>
      <c r="M4269" s="48" t="n"/>
      <c r="N4269" s="48" t="n"/>
      <c r="O4269" s="51">
        <f>IF(AND(B4269="",G4269="",C4269="",D4269="",J4269=""),"",IF(B4269="","⚠ Falta fecha",IF(G4269="","⚠ Falta monto",IF(Q4269="","⚠ Falta cuenta",IF(ISNA(MATCH(Q4269,ctaNombre,0)),"⚠ Cuenta no registrada",IF(AND(OR(P4269="Gasto",P4269="Reembolso"),D4269=""),"⚠ Falta categoría",IF(AND(D4269&lt;&gt;"",E4269&lt;&gt;"",ISNA(MATCH(D4269&amp;"|"&amp;E4269,catClave,0))),"⚠ Subcategoría no corresponde",IF(AND(OR(P4269="Transferencia",P4269="Pago tarjeta"),K4269=""),"⚠ Falta cuenta destino",IF(AND(K4269&lt;&gt;"",P4269&lt;&gt;"Transferencia",P4269&lt;&gt;"Pago tarjeta"),"⚠ Destino solo aplica a transferencias",IF(AND(K4269&lt;&gt;"",K4269=Q4269),"⚠ Origen igual a destino",IF(AND(K4269&lt;&gt;"",ISNA(MATCH(K4269,ctaNombre,0))),"⚠ Destino no registrado",IF(AND(P4269="Pago tarjeta",AE4269&lt;&gt;"Tarjeta de crédito"),"⚠ El destino debe ser tarjeta de crédito",IF(AND(P4269="Gasto",E4269="Depósitos y retiros"),"⚠ Usa tipo Transferencia",IF(AND(P4269="Resultado trading",AD4269&lt;&gt;"Cuenta de trading"),"⚠ Usa una cuenta de trading",IF(AND(G4269&lt;=0,P4269&lt;&gt;"Ajuste",P4269&lt;&gt;"Resultado trading"),"⚠ El monto debe ser positivo","✓")))))))))))))))</f>
        <v/>
      </c>
      <c r="P4269" s="52">
        <f>IF(OR(B4269="",G4269=""),"",IF(C4269="","Gasto",C4269))</f>
        <v/>
      </c>
      <c r="Q4269" s="52">
        <f>IF(P4269="","",IF(J4269&lt;&gt;"",J4269,CuentaPred&amp;""))</f>
        <v/>
      </c>
      <c r="R4269" s="52">
        <f>IF(P4269="","",IF(ISNUMBER(I4269),I4269,TasaUSD))</f>
        <v/>
      </c>
      <c r="S4269" s="53">
        <f>IF(P4269="","",IF(H4269="USD",G4269*R4269,G4269))</f>
        <v/>
      </c>
      <c r="T4269" s="53">
        <f>IF(P4269="","",IF(H4269="USD",G4269,IF(R4269&gt;0,G4269/R4269,0)))</f>
        <v/>
      </c>
      <c r="U4269" s="53">
        <f>IF(P4269="","",IF(P4269="Gasto",S4269,IF(P4269="Reembolso",-S4269,0)))</f>
        <v/>
      </c>
      <c r="V4269" s="53">
        <f>IF(P4269="","",IF(P4269="Ingreso",S4269,0))</f>
        <v/>
      </c>
      <c r="W4269" s="53">
        <f>IF(P4269="","",IF(P4269="Resultado trading",S4269,0))</f>
        <v/>
      </c>
      <c r="X4269" s="52">
        <f>IF(OR(P4269="Gasto",P4269="Reembolso"),IF(M4269&lt;&gt;"",M4269,IFERROR(INDEX(catClasif,MATCH(D4269&amp;"|"&amp;E4269,catClave,0))&amp;"","Variable")),"")</f>
        <v/>
      </c>
      <c r="Y4269" s="52">
        <f>IF(P4269="","",IFERROR(INDEX(catGrupo,MATCH(D4269&amp;"|"&amp;E4269,catClave,0))&amp;"",""))</f>
        <v/>
      </c>
      <c r="Z4269" s="52">
        <f>IF(P4269="","",WEEKDAY(B4269,2))</f>
        <v/>
      </c>
      <c r="AA4269" s="52">
        <f>IF(P4269="","",IF(AND(P4269="Gasto",X4269="Variable",D4269&lt;&gt;catTrading,S4269&gt;0,S4269&lt;=Umbral),1,0))</f>
        <v/>
      </c>
      <c r="AB4269" s="52">
        <f>IF(OR(P4269="",Q4269=""),"",IFERROR(IF(INDEX(ctaVinc,MATCH(Q4269,ctaNombre,0))&amp;""&lt;&gt;"",INDEX(ctaVinc,MATCH(Q4269,ctaNombre,0))&amp;"",Q4269),Q4269))</f>
        <v/>
      </c>
      <c r="AC4269" s="52">
        <f>IF(OR(K4269="",AND(P4269&lt;&gt;"Transferencia",P4269&lt;&gt;"Pago tarjeta")),"",IFERROR(IF(INDEX(ctaVinc,MATCH(K4269,ctaNombre,0))&amp;""&lt;&gt;"",INDEX(ctaVinc,MATCH(K4269,ctaNombre,0))&amp;"",K4269),K4269))</f>
        <v/>
      </c>
      <c r="AD4269" s="52">
        <f>IF(AB4269="","",IFERROR(INDEX(ctaTipo,MATCH(AB4269,ctaNombre,0))&amp;"",""))</f>
        <v/>
      </c>
      <c r="AE4269" s="52">
        <f>IF(AC4269="","",IFERROR(INDEX(ctaTipo,MATCH(AC4269,ctaNombre,0))&amp;"",""))</f>
        <v/>
      </c>
      <c r="AF4269" s="53">
        <f>IF(OR(P4269="",AB4269=""),"",IF(OR(P4269="Gasto",P4269="Transferencia",P4269="Pago tarjeta"),-1,1)*IF(IFERROR(INDEX(ctaMoneda,MATCH(AB4269,ctaNombre,0))&amp;"","DOP")="USD",T4269,S4269))</f>
        <v/>
      </c>
      <c r="AG4269" s="53">
        <f>IF(AC4269="","",IF(IFERROR(INDEX(ctaMoneda,MATCH(AC4269,ctaNombre,0))&amp;"","DOP")="USD",T4269,S4269))</f>
        <v/>
      </c>
      <c r="AH4269" s="53">
        <f>IF(P4269="","",IF(AND(AD4269&lt;&gt;"",COUNTIFS(tcTipo,AD4269,tcLiq,"Sí")&gt;0),IF(OR(P4269="Gasto",P4269="Transferencia",P4269="Pago tarjeta"),-1,1)*S4269,0)+IF(AND(AE4269&lt;&gt;"",COUNTIFS(tcTipo,AE4269,tcLiq,"Sí")&gt;0),S4269,0))</f>
        <v/>
      </c>
      <c r="AI4269" s="52">
        <f>IF(OR(L4269="",P4269=""),"",IF(COUNTIFS(L$6:L4269,L4269,P$6:P4269,"?*")=1,MAX(AI$5:AI4268)+1,""))</f>
        <v/>
      </c>
    </row>
    <row r="4270">
      <c r="B4270" s="47" t="n"/>
      <c r="C4270" s="48" t="n"/>
      <c r="D4270" s="48" t="n"/>
      <c r="E4270" s="48" t="n"/>
      <c r="F4270" s="48" t="n"/>
      <c r="G4270" s="49" t="n"/>
      <c r="H4270" s="48" t="n"/>
      <c r="I4270" s="50" t="n"/>
      <c r="J4270" s="48" t="n"/>
      <c r="K4270" s="48" t="n"/>
      <c r="L4270" s="48" t="n"/>
      <c r="M4270" s="48" t="n"/>
      <c r="N4270" s="48" t="n"/>
      <c r="O4270" s="51">
        <f>IF(AND(B4270="",G4270="",C4270="",D4270="",J4270=""),"",IF(B4270="","⚠ Falta fecha",IF(G4270="","⚠ Falta monto",IF(Q4270="","⚠ Falta cuenta",IF(ISNA(MATCH(Q4270,ctaNombre,0)),"⚠ Cuenta no registrada",IF(AND(OR(P4270="Gasto",P4270="Reembolso"),D4270=""),"⚠ Falta categoría",IF(AND(D4270&lt;&gt;"",E4270&lt;&gt;"",ISNA(MATCH(D4270&amp;"|"&amp;E4270,catClave,0))),"⚠ Subcategoría no corresponde",IF(AND(OR(P4270="Transferencia",P4270="Pago tarjeta"),K4270=""),"⚠ Falta cuenta destino",IF(AND(K4270&lt;&gt;"",P4270&lt;&gt;"Transferencia",P4270&lt;&gt;"Pago tarjeta"),"⚠ Destino solo aplica a transferencias",IF(AND(K4270&lt;&gt;"",K4270=Q4270),"⚠ Origen igual a destino",IF(AND(K4270&lt;&gt;"",ISNA(MATCH(K4270,ctaNombre,0))),"⚠ Destino no registrado",IF(AND(P4270="Pago tarjeta",AE4270&lt;&gt;"Tarjeta de crédito"),"⚠ El destino debe ser tarjeta de crédito",IF(AND(P4270="Gasto",E4270="Depósitos y retiros"),"⚠ Usa tipo Transferencia",IF(AND(P4270="Resultado trading",AD4270&lt;&gt;"Cuenta de trading"),"⚠ Usa una cuenta de trading",IF(AND(G4270&lt;=0,P4270&lt;&gt;"Ajuste",P4270&lt;&gt;"Resultado trading"),"⚠ El monto debe ser positivo","✓")))))))))))))))</f>
        <v/>
      </c>
      <c r="P4270" s="52">
        <f>IF(OR(B4270="",G4270=""),"",IF(C4270="","Gasto",C4270))</f>
        <v/>
      </c>
      <c r="Q4270" s="52">
        <f>IF(P4270="","",IF(J4270&lt;&gt;"",J4270,CuentaPred&amp;""))</f>
        <v/>
      </c>
      <c r="R4270" s="52">
        <f>IF(P4270="","",IF(ISNUMBER(I4270),I4270,TasaUSD))</f>
        <v/>
      </c>
      <c r="S4270" s="53">
        <f>IF(P4270="","",IF(H4270="USD",G4270*R4270,G4270))</f>
        <v/>
      </c>
      <c r="T4270" s="53">
        <f>IF(P4270="","",IF(H4270="USD",G4270,IF(R4270&gt;0,G4270/R4270,0)))</f>
        <v/>
      </c>
      <c r="U4270" s="53">
        <f>IF(P4270="","",IF(P4270="Gasto",S4270,IF(P4270="Reembolso",-S4270,0)))</f>
        <v/>
      </c>
      <c r="V4270" s="53">
        <f>IF(P4270="","",IF(P4270="Ingreso",S4270,0))</f>
        <v/>
      </c>
      <c r="W4270" s="53">
        <f>IF(P4270="","",IF(P4270="Resultado trading",S4270,0))</f>
        <v/>
      </c>
      <c r="X4270" s="52">
        <f>IF(OR(P4270="Gasto",P4270="Reembolso"),IF(M4270&lt;&gt;"",M4270,IFERROR(INDEX(catClasif,MATCH(D4270&amp;"|"&amp;E4270,catClave,0))&amp;"","Variable")),"")</f>
        <v/>
      </c>
      <c r="Y4270" s="52">
        <f>IF(P4270="","",IFERROR(INDEX(catGrupo,MATCH(D4270&amp;"|"&amp;E4270,catClave,0))&amp;"",""))</f>
        <v/>
      </c>
      <c r="Z4270" s="52">
        <f>IF(P4270="","",WEEKDAY(B4270,2))</f>
        <v/>
      </c>
      <c r="AA4270" s="52">
        <f>IF(P4270="","",IF(AND(P4270="Gasto",X4270="Variable",D4270&lt;&gt;catTrading,S4270&gt;0,S4270&lt;=Umbral),1,0))</f>
        <v/>
      </c>
      <c r="AB4270" s="52">
        <f>IF(OR(P4270="",Q4270=""),"",IFERROR(IF(INDEX(ctaVinc,MATCH(Q4270,ctaNombre,0))&amp;""&lt;&gt;"",INDEX(ctaVinc,MATCH(Q4270,ctaNombre,0))&amp;"",Q4270),Q4270))</f>
        <v/>
      </c>
      <c r="AC4270" s="52">
        <f>IF(OR(K4270="",AND(P4270&lt;&gt;"Transferencia",P4270&lt;&gt;"Pago tarjeta")),"",IFERROR(IF(INDEX(ctaVinc,MATCH(K4270,ctaNombre,0))&amp;""&lt;&gt;"",INDEX(ctaVinc,MATCH(K4270,ctaNombre,0))&amp;"",K4270),K4270))</f>
        <v/>
      </c>
      <c r="AD4270" s="52">
        <f>IF(AB4270="","",IFERROR(INDEX(ctaTipo,MATCH(AB4270,ctaNombre,0))&amp;"",""))</f>
        <v/>
      </c>
      <c r="AE4270" s="52">
        <f>IF(AC4270="","",IFERROR(INDEX(ctaTipo,MATCH(AC4270,ctaNombre,0))&amp;"",""))</f>
        <v/>
      </c>
      <c r="AF4270" s="53">
        <f>IF(OR(P4270="",AB4270=""),"",IF(OR(P4270="Gasto",P4270="Transferencia",P4270="Pago tarjeta"),-1,1)*IF(IFERROR(INDEX(ctaMoneda,MATCH(AB4270,ctaNombre,0))&amp;"","DOP")="USD",T4270,S4270))</f>
        <v/>
      </c>
      <c r="AG4270" s="53">
        <f>IF(AC4270="","",IF(IFERROR(INDEX(ctaMoneda,MATCH(AC4270,ctaNombre,0))&amp;"","DOP")="USD",T4270,S4270))</f>
        <v/>
      </c>
      <c r="AH4270" s="53">
        <f>IF(P4270="","",IF(AND(AD4270&lt;&gt;"",COUNTIFS(tcTipo,AD4270,tcLiq,"Sí")&gt;0),IF(OR(P4270="Gasto",P4270="Transferencia",P4270="Pago tarjeta"),-1,1)*S4270,0)+IF(AND(AE4270&lt;&gt;"",COUNTIFS(tcTipo,AE4270,tcLiq,"Sí")&gt;0),S4270,0))</f>
        <v/>
      </c>
      <c r="AI4270" s="52">
        <f>IF(OR(L4270="",P4270=""),"",IF(COUNTIFS(L$6:L4270,L4270,P$6:P4270,"?*")=1,MAX(AI$5:AI4269)+1,""))</f>
        <v/>
      </c>
    </row>
    <row r="4271">
      <c r="B4271" s="47" t="n"/>
      <c r="C4271" s="48" t="n"/>
      <c r="D4271" s="48" t="n"/>
      <c r="E4271" s="48" t="n"/>
      <c r="F4271" s="48" t="n"/>
      <c r="G4271" s="49" t="n"/>
      <c r="H4271" s="48" t="n"/>
      <c r="I4271" s="50" t="n"/>
      <c r="J4271" s="48" t="n"/>
      <c r="K4271" s="48" t="n"/>
      <c r="L4271" s="48" t="n"/>
      <c r="M4271" s="48" t="n"/>
      <c r="N4271" s="48" t="n"/>
      <c r="O4271" s="51">
        <f>IF(AND(B4271="",G4271="",C4271="",D4271="",J4271=""),"",IF(B4271="","⚠ Falta fecha",IF(G4271="","⚠ Falta monto",IF(Q4271="","⚠ Falta cuenta",IF(ISNA(MATCH(Q4271,ctaNombre,0)),"⚠ Cuenta no registrada",IF(AND(OR(P4271="Gasto",P4271="Reembolso"),D4271=""),"⚠ Falta categoría",IF(AND(D4271&lt;&gt;"",E4271&lt;&gt;"",ISNA(MATCH(D4271&amp;"|"&amp;E4271,catClave,0))),"⚠ Subcategoría no corresponde",IF(AND(OR(P4271="Transferencia",P4271="Pago tarjeta"),K4271=""),"⚠ Falta cuenta destino",IF(AND(K4271&lt;&gt;"",P4271&lt;&gt;"Transferencia",P4271&lt;&gt;"Pago tarjeta"),"⚠ Destino solo aplica a transferencias",IF(AND(K4271&lt;&gt;"",K4271=Q4271),"⚠ Origen igual a destino",IF(AND(K4271&lt;&gt;"",ISNA(MATCH(K4271,ctaNombre,0))),"⚠ Destino no registrado",IF(AND(P4271="Pago tarjeta",AE4271&lt;&gt;"Tarjeta de crédito"),"⚠ El destino debe ser tarjeta de crédito",IF(AND(P4271="Gasto",E4271="Depósitos y retiros"),"⚠ Usa tipo Transferencia",IF(AND(P4271="Resultado trading",AD4271&lt;&gt;"Cuenta de trading"),"⚠ Usa una cuenta de trading",IF(AND(G4271&lt;=0,P4271&lt;&gt;"Ajuste",P4271&lt;&gt;"Resultado trading"),"⚠ El monto debe ser positivo","✓")))))))))))))))</f>
        <v/>
      </c>
      <c r="P4271" s="52">
        <f>IF(OR(B4271="",G4271=""),"",IF(C4271="","Gasto",C4271))</f>
        <v/>
      </c>
      <c r="Q4271" s="52">
        <f>IF(P4271="","",IF(J4271&lt;&gt;"",J4271,CuentaPred&amp;""))</f>
        <v/>
      </c>
      <c r="R4271" s="52">
        <f>IF(P4271="","",IF(ISNUMBER(I4271),I4271,TasaUSD))</f>
        <v/>
      </c>
      <c r="S4271" s="53">
        <f>IF(P4271="","",IF(H4271="USD",G4271*R4271,G4271))</f>
        <v/>
      </c>
      <c r="T4271" s="53">
        <f>IF(P4271="","",IF(H4271="USD",G4271,IF(R4271&gt;0,G4271/R4271,0)))</f>
        <v/>
      </c>
      <c r="U4271" s="53">
        <f>IF(P4271="","",IF(P4271="Gasto",S4271,IF(P4271="Reembolso",-S4271,0)))</f>
        <v/>
      </c>
      <c r="V4271" s="53">
        <f>IF(P4271="","",IF(P4271="Ingreso",S4271,0))</f>
        <v/>
      </c>
      <c r="W4271" s="53">
        <f>IF(P4271="","",IF(P4271="Resultado trading",S4271,0))</f>
        <v/>
      </c>
      <c r="X4271" s="52">
        <f>IF(OR(P4271="Gasto",P4271="Reembolso"),IF(M4271&lt;&gt;"",M4271,IFERROR(INDEX(catClasif,MATCH(D4271&amp;"|"&amp;E4271,catClave,0))&amp;"","Variable")),"")</f>
        <v/>
      </c>
      <c r="Y4271" s="52">
        <f>IF(P4271="","",IFERROR(INDEX(catGrupo,MATCH(D4271&amp;"|"&amp;E4271,catClave,0))&amp;"",""))</f>
        <v/>
      </c>
      <c r="Z4271" s="52">
        <f>IF(P4271="","",WEEKDAY(B4271,2))</f>
        <v/>
      </c>
      <c r="AA4271" s="52">
        <f>IF(P4271="","",IF(AND(P4271="Gasto",X4271="Variable",D4271&lt;&gt;catTrading,S4271&gt;0,S4271&lt;=Umbral),1,0))</f>
        <v/>
      </c>
      <c r="AB4271" s="52">
        <f>IF(OR(P4271="",Q4271=""),"",IFERROR(IF(INDEX(ctaVinc,MATCH(Q4271,ctaNombre,0))&amp;""&lt;&gt;"",INDEX(ctaVinc,MATCH(Q4271,ctaNombre,0))&amp;"",Q4271),Q4271))</f>
        <v/>
      </c>
      <c r="AC4271" s="52">
        <f>IF(OR(K4271="",AND(P4271&lt;&gt;"Transferencia",P4271&lt;&gt;"Pago tarjeta")),"",IFERROR(IF(INDEX(ctaVinc,MATCH(K4271,ctaNombre,0))&amp;""&lt;&gt;"",INDEX(ctaVinc,MATCH(K4271,ctaNombre,0))&amp;"",K4271),K4271))</f>
        <v/>
      </c>
      <c r="AD4271" s="52">
        <f>IF(AB4271="","",IFERROR(INDEX(ctaTipo,MATCH(AB4271,ctaNombre,0))&amp;"",""))</f>
        <v/>
      </c>
      <c r="AE4271" s="52">
        <f>IF(AC4271="","",IFERROR(INDEX(ctaTipo,MATCH(AC4271,ctaNombre,0))&amp;"",""))</f>
        <v/>
      </c>
      <c r="AF4271" s="53">
        <f>IF(OR(P4271="",AB4271=""),"",IF(OR(P4271="Gasto",P4271="Transferencia",P4271="Pago tarjeta"),-1,1)*IF(IFERROR(INDEX(ctaMoneda,MATCH(AB4271,ctaNombre,0))&amp;"","DOP")="USD",T4271,S4271))</f>
        <v/>
      </c>
      <c r="AG4271" s="53">
        <f>IF(AC4271="","",IF(IFERROR(INDEX(ctaMoneda,MATCH(AC4271,ctaNombre,0))&amp;"","DOP")="USD",T4271,S4271))</f>
        <v/>
      </c>
      <c r="AH4271" s="53">
        <f>IF(P4271="","",IF(AND(AD4271&lt;&gt;"",COUNTIFS(tcTipo,AD4271,tcLiq,"Sí")&gt;0),IF(OR(P4271="Gasto",P4271="Transferencia",P4271="Pago tarjeta"),-1,1)*S4271,0)+IF(AND(AE4271&lt;&gt;"",COUNTIFS(tcTipo,AE4271,tcLiq,"Sí")&gt;0),S4271,0))</f>
        <v/>
      </c>
      <c r="AI4271" s="52">
        <f>IF(OR(L4271="",P4271=""),"",IF(COUNTIFS(L$6:L4271,L4271,P$6:P4271,"?*")=1,MAX(AI$5:AI4270)+1,""))</f>
        <v/>
      </c>
    </row>
    <row r="4272">
      <c r="B4272" s="47" t="n"/>
      <c r="C4272" s="48" t="n"/>
      <c r="D4272" s="48" t="n"/>
      <c r="E4272" s="48" t="n"/>
      <c r="F4272" s="48" t="n"/>
      <c r="G4272" s="49" t="n"/>
      <c r="H4272" s="48" t="n"/>
      <c r="I4272" s="50" t="n"/>
      <c r="J4272" s="48" t="n"/>
      <c r="K4272" s="48" t="n"/>
      <c r="L4272" s="48" t="n"/>
      <c r="M4272" s="48" t="n"/>
      <c r="N4272" s="48" t="n"/>
      <c r="O4272" s="51">
        <f>IF(AND(B4272="",G4272="",C4272="",D4272="",J4272=""),"",IF(B4272="","⚠ Falta fecha",IF(G4272="","⚠ Falta monto",IF(Q4272="","⚠ Falta cuenta",IF(ISNA(MATCH(Q4272,ctaNombre,0)),"⚠ Cuenta no registrada",IF(AND(OR(P4272="Gasto",P4272="Reembolso"),D4272=""),"⚠ Falta categoría",IF(AND(D4272&lt;&gt;"",E4272&lt;&gt;"",ISNA(MATCH(D4272&amp;"|"&amp;E4272,catClave,0))),"⚠ Subcategoría no corresponde",IF(AND(OR(P4272="Transferencia",P4272="Pago tarjeta"),K4272=""),"⚠ Falta cuenta destino",IF(AND(K4272&lt;&gt;"",P4272&lt;&gt;"Transferencia",P4272&lt;&gt;"Pago tarjeta"),"⚠ Destino solo aplica a transferencias",IF(AND(K4272&lt;&gt;"",K4272=Q4272),"⚠ Origen igual a destino",IF(AND(K4272&lt;&gt;"",ISNA(MATCH(K4272,ctaNombre,0))),"⚠ Destino no registrado",IF(AND(P4272="Pago tarjeta",AE4272&lt;&gt;"Tarjeta de crédito"),"⚠ El destino debe ser tarjeta de crédito",IF(AND(P4272="Gasto",E4272="Depósitos y retiros"),"⚠ Usa tipo Transferencia",IF(AND(P4272="Resultado trading",AD4272&lt;&gt;"Cuenta de trading"),"⚠ Usa una cuenta de trading",IF(AND(G4272&lt;=0,P4272&lt;&gt;"Ajuste",P4272&lt;&gt;"Resultado trading"),"⚠ El monto debe ser positivo","✓")))))))))))))))</f>
        <v/>
      </c>
      <c r="P4272" s="52">
        <f>IF(OR(B4272="",G4272=""),"",IF(C4272="","Gasto",C4272))</f>
        <v/>
      </c>
      <c r="Q4272" s="52">
        <f>IF(P4272="","",IF(J4272&lt;&gt;"",J4272,CuentaPred&amp;""))</f>
        <v/>
      </c>
      <c r="R4272" s="52">
        <f>IF(P4272="","",IF(ISNUMBER(I4272),I4272,TasaUSD))</f>
        <v/>
      </c>
      <c r="S4272" s="53">
        <f>IF(P4272="","",IF(H4272="USD",G4272*R4272,G4272))</f>
        <v/>
      </c>
      <c r="T4272" s="53">
        <f>IF(P4272="","",IF(H4272="USD",G4272,IF(R4272&gt;0,G4272/R4272,0)))</f>
        <v/>
      </c>
      <c r="U4272" s="53">
        <f>IF(P4272="","",IF(P4272="Gasto",S4272,IF(P4272="Reembolso",-S4272,0)))</f>
        <v/>
      </c>
      <c r="V4272" s="53">
        <f>IF(P4272="","",IF(P4272="Ingreso",S4272,0))</f>
        <v/>
      </c>
      <c r="W4272" s="53">
        <f>IF(P4272="","",IF(P4272="Resultado trading",S4272,0))</f>
        <v/>
      </c>
      <c r="X4272" s="52">
        <f>IF(OR(P4272="Gasto",P4272="Reembolso"),IF(M4272&lt;&gt;"",M4272,IFERROR(INDEX(catClasif,MATCH(D4272&amp;"|"&amp;E4272,catClave,0))&amp;"","Variable")),"")</f>
        <v/>
      </c>
      <c r="Y4272" s="52">
        <f>IF(P4272="","",IFERROR(INDEX(catGrupo,MATCH(D4272&amp;"|"&amp;E4272,catClave,0))&amp;"",""))</f>
        <v/>
      </c>
      <c r="Z4272" s="52">
        <f>IF(P4272="","",WEEKDAY(B4272,2))</f>
        <v/>
      </c>
      <c r="AA4272" s="52">
        <f>IF(P4272="","",IF(AND(P4272="Gasto",X4272="Variable",D4272&lt;&gt;catTrading,S4272&gt;0,S4272&lt;=Umbral),1,0))</f>
        <v/>
      </c>
      <c r="AB4272" s="52">
        <f>IF(OR(P4272="",Q4272=""),"",IFERROR(IF(INDEX(ctaVinc,MATCH(Q4272,ctaNombre,0))&amp;""&lt;&gt;"",INDEX(ctaVinc,MATCH(Q4272,ctaNombre,0))&amp;"",Q4272),Q4272))</f>
        <v/>
      </c>
      <c r="AC4272" s="52">
        <f>IF(OR(K4272="",AND(P4272&lt;&gt;"Transferencia",P4272&lt;&gt;"Pago tarjeta")),"",IFERROR(IF(INDEX(ctaVinc,MATCH(K4272,ctaNombre,0))&amp;""&lt;&gt;"",INDEX(ctaVinc,MATCH(K4272,ctaNombre,0))&amp;"",K4272),K4272))</f>
        <v/>
      </c>
      <c r="AD4272" s="52">
        <f>IF(AB4272="","",IFERROR(INDEX(ctaTipo,MATCH(AB4272,ctaNombre,0))&amp;"",""))</f>
        <v/>
      </c>
      <c r="AE4272" s="52">
        <f>IF(AC4272="","",IFERROR(INDEX(ctaTipo,MATCH(AC4272,ctaNombre,0))&amp;"",""))</f>
        <v/>
      </c>
      <c r="AF4272" s="53">
        <f>IF(OR(P4272="",AB4272=""),"",IF(OR(P4272="Gasto",P4272="Transferencia",P4272="Pago tarjeta"),-1,1)*IF(IFERROR(INDEX(ctaMoneda,MATCH(AB4272,ctaNombre,0))&amp;"","DOP")="USD",T4272,S4272))</f>
        <v/>
      </c>
      <c r="AG4272" s="53">
        <f>IF(AC4272="","",IF(IFERROR(INDEX(ctaMoneda,MATCH(AC4272,ctaNombre,0))&amp;"","DOP")="USD",T4272,S4272))</f>
        <v/>
      </c>
      <c r="AH4272" s="53">
        <f>IF(P4272="","",IF(AND(AD4272&lt;&gt;"",COUNTIFS(tcTipo,AD4272,tcLiq,"Sí")&gt;0),IF(OR(P4272="Gasto",P4272="Transferencia",P4272="Pago tarjeta"),-1,1)*S4272,0)+IF(AND(AE4272&lt;&gt;"",COUNTIFS(tcTipo,AE4272,tcLiq,"Sí")&gt;0),S4272,0))</f>
        <v/>
      </c>
      <c r="AI4272" s="52">
        <f>IF(OR(L4272="",P4272=""),"",IF(COUNTIFS(L$6:L4272,L4272,P$6:P4272,"?*")=1,MAX(AI$5:AI4271)+1,""))</f>
        <v/>
      </c>
    </row>
    <row r="4273">
      <c r="B4273" s="47" t="n"/>
      <c r="C4273" s="48" t="n"/>
      <c r="D4273" s="48" t="n"/>
      <c r="E4273" s="48" t="n"/>
      <c r="F4273" s="48" t="n"/>
      <c r="G4273" s="49" t="n"/>
      <c r="H4273" s="48" t="n"/>
      <c r="I4273" s="50" t="n"/>
      <c r="J4273" s="48" t="n"/>
      <c r="K4273" s="48" t="n"/>
      <c r="L4273" s="48" t="n"/>
      <c r="M4273" s="48" t="n"/>
      <c r="N4273" s="48" t="n"/>
      <c r="O4273" s="51">
        <f>IF(AND(B4273="",G4273="",C4273="",D4273="",J4273=""),"",IF(B4273="","⚠ Falta fecha",IF(G4273="","⚠ Falta monto",IF(Q4273="","⚠ Falta cuenta",IF(ISNA(MATCH(Q4273,ctaNombre,0)),"⚠ Cuenta no registrada",IF(AND(OR(P4273="Gasto",P4273="Reembolso"),D4273=""),"⚠ Falta categoría",IF(AND(D4273&lt;&gt;"",E4273&lt;&gt;"",ISNA(MATCH(D4273&amp;"|"&amp;E4273,catClave,0))),"⚠ Subcategoría no corresponde",IF(AND(OR(P4273="Transferencia",P4273="Pago tarjeta"),K4273=""),"⚠ Falta cuenta destino",IF(AND(K4273&lt;&gt;"",P4273&lt;&gt;"Transferencia",P4273&lt;&gt;"Pago tarjeta"),"⚠ Destino solo aplica a transferencias",IF(AND(K4273&lt;&gt;"",K4273=Q4273),"⚠ Origen igual a destino",IF(AND(K4273&lt;&gt;"",ISNA(MATCH(K4273,ctaNombre,0))),"⚠ Destino no registrado",IF(AND(P4273="Pago tarjeta",AE4273&lt;&gt;"Tarjeta de crédito"),"⚠ El destino debe ser tarjeta de crédito",IF(AND(P4273="Gasto",E4273="Depósitos y retiros"),"⚠ Usa tipo Transferencia",IF(AND(P4273="Resultado trading",AD4273&lt;&gt;"Cuenta de trading"),"⚠ Usa una cuenta de trading",IF(AND(G4273&lt;=0,P4273&lt;&gt;"Ajuste",P4273&lt;&gt;"Resultado trading"),"⚠ El monto debe ser positivo","✓")))))))))))))))</f>
        <v/>
      </c>
      <c r="P4273" s="52">
        <f>IF(OR(B4273="",G4273=""),"",IF(C4273="","Gasto",C4273))</f>
        <v/>
      </c>
      <c r="Q4273" s="52">
        <f>IF(P4273="","",IF(J4273&lt;&gt;"",J4273,CuentaPred&amp;""))</f>
        <v/>
      </c>
      <c r="R4273" s="52">
        <f>IF(P4273="","",IF(ISNUMBER(I4273),I4273,TasaUSD))</f>
        <v/>
      </c>
      <c r="S4273" s="53">
        <f>IF(P4273="","",IF(H4273="USD",G4273*R4273,G4273))</f>
        <v/>
      </c>
      <c r="T4273" s="53">
        <f>IF(P4273="","",IF(H4273="USD",G4273,IF(R4273&gt;0,G4273/R4273,0)))</f>
        <v/>
      </c>
      <c r="U4273" s="53">
        <f>IF(P4273="","",IF(P4273="Gasto",S4273,IF(P4273="Reembolso",-S4273,0)))</f>
        <v/>
      </c>
      <c r="V4273" s="53">
        <f>IF(P4273="","",IF(P4273="Ingreso",S4273,0))</f>
        <v/>
      </c>
      <c r="W4273" s="53">
        <f>IF(P4273="","",IF(P4273="Resultado trading",S4273,0))</f>
        <v/>
      </c>
      <c r="X4273" s="52">
        <f>IF(OR(P4273="Gasto",P4273="Reembolso"),IF(M4273&lt;&gt;"",M4273,IFERROR(INDEX(catClasif,MATCH(D4273&amp;"|"&amp;E4273,catClave,0))&amp;"","Variable")),"")</f>
        <v/>
      </c>
      <c r="Y4273" s="52">
        <f>IF(P4273="","",IFERROR(INDEX(catGrupo,MATCH(D4273&amp;"|"&amp;E4273,catClave,0))&amp;"",""))</f>
        <v/>
      </c>
      <c r="Z4273" s="52">
        <f>IF(P4273="","",WEEKDAY(B4273,2))</f>
        <v/>
      </c>
      <c r="AA4273" s="52">
        <f>IF(P4273="","",IF(AND(P4273="Gasto",X4273="Variable",D4273&lt;&gt;catTrading,S4273&gt;0,S4273&lt;=Umbral),1,0))</f>
        <v/>
      </c>
      <c r="AB4273" s="52">
        <f>IF(OR(P4273="",Q4273=""),"",IFERROR(IF(INDEX(ctaVinc,MATCH(Q4273,ctaNombre,0))&amp;""&lt;&gt;"",INDEX(ctaVinc,MATCH(Q4273,ctaNombre,0))&amp;"",Q4273),Q4273))</f>
        <v/>
      </c>
      <c r="AC4273" s="52">
        <f>IF(OR(K4273="",AND(P4273&lt;&gt;"Transferencia",P4273&lt;&gt;"Pago tarjeta")),"",IFERROR(IF(INDEX(ctaVinc,MATCH(K4273,ctaNombre,0))&amp;""&lt;&gt;"",INDEX(ctaVinc,MATCH(K4273,ctaNombre,0))&amp;"",K4273),K4273))</f>
        <v/>
      </c>
      <c r="AD4273" s="52">
        <f>IF(AB4273="","",IFERROR(INDEX(ctaTipo,MATCH(AB4273,ctaNombre,0))&amp;"",""))</f>
        <v/>
      </c>
      <c r="AE4273" s="52">
        <f>IF(AC4273="","",IFERROR(INDEX(ctaTipo,MATCH(AC4273,ctaNombre,0))&amp;"",""))</f>
        <v/>
      </c>
      <c r="AF4273" s="53">
        <f>IF(OR(P4273="",AB4273=""),"",IF(OR(P4273="Gasto",P4273="Transferencia",P4273="Pago tarjeta"),-1,1)*IF(IFERROR(INDEX(ctaMoneda,MATCH(AB4273,ctaNombre,0))&amp;"","DOP")="USD",T4273,S4273))</f>
        <v/>
      </c>
      <c r="AG4273" s="53">
        <f>IF(AC4273="","",IF(IFERROR(INDEX(ctaMoneda,MATCH(AC4273,ctaNombre,0))&amp;"","DOP")="USD",T4273,S4273))</f>
        <v/>
      </c>
      <c r="AH4273" s="53">
        <f>IF(P4273="","",IF(AND(AD4273&lt;&gt;"",COUNTIFS(tcTipo,AD4273,tcLiq,"Sí")&gt;0),IF(OR(P4273="Gasto",P4273="Transferencia",P4273="Pago tarjeta"),-1,1)*S4273,0)+IF(AND(AE4273&lt;&gt;"",COUNTIFS(tcTipo,AE4273,tcLiq,"Sí")&gt;0),S4273,0))</f>
        <v/>
      </c>
      <c r="AI4273" s="52">
        <f>IF(OR(L4273="",P4273=""),"",IF(COUNTIFS(L$6:L4273,L4273,P$6:P4273,"?*")=1,MAX(AI$5:AI4272)+1,""))</f>
        <v/>
      </c>
    </row>
    <row r="4274">
      <c r="B4274" s="47" t="n"/>
      <c r="C4274" s="48" t="n"/>
      <c r="D4274" s="48" t="n"/>
      <c r="E4274" s="48" t="n"/>
      <c r="F4274" s="48" t="n"/>
      <c r="G4274" s="49" t="n"/>
      <c r="H4274" s="48" t="n"/>
      <c r="I4274" s="50" t="n"/>
      <c r="J4274" s="48" t="n"/>
      <c r="K4274" s="48" t="n"/>
      <c r="L4274" s="48" t="n"/>
      <c r="M4274" s="48" t="n"/>
      <c r="N4274" s="48" t="n"/>
      <c r="O4274" s="51">
        <f>IF(AND(B4274="",G4274="",C4274="",D4274="",J4274=""),"",IF(B4274="","⚠ Falta fecha",IF(G4274="","⚠ Falta monto",IF(Q4274="","⚠ Falta cuenta",IF(ISNA(MATCH(Q4274,ctaNombre,0)),"⚠ Cuenta no registrada",IF(AND(OR(P4274="Gasto",P4274="Reembolso"),D4274=""),"⚠ Falta categoría",IF(AND(D4274&lt;&gt;"",E4274&lt;&gt;"",ISNA(MATCH(D4274&amp;"|"&amp;E4274,catClave,0))),"⚠ Subcategoría no corresponde",IF(AND(OR(P4274="Transferencia",P4274="Pago tarjeta"),K4274=""),"⚠ Falta cuenta destino",IF(AND(K4274&lt;&gt;"",P4274&lt;&gt;"Transferencia",P4274&lt;&gt;"Pago tarjeta"),"⚠ Destino solo aplica a transferencias",IF(AND(K4274&lt;&gt;"",K4274=Q4274),"⚠ Origen igual a destino",IF(AND(K4274&lt;&gt;"",ISNA(MATCH(K4274,ctaNombre,0))),"⚠ Destino no registrado",IF(AND(P4274="Pago tarjeta",AE4274&lt;&gt;"Tarjeta de crédito"),"⚠ El destino debe ser tarjeta de crédito",IF(AND(P4274="Gasto",E4274="Depósitos y retiros"),"⚠ Usa tipo Transferencia",IF(AND(P4274="Resultado trading",AD4274&lt;&gt;"Cuenta de trading"),"⚠ Usa una cuenta de trading",IF(AND(G4274&lt;=0,P4274&lt;&gt;"Ajuste",P4274&lt;&gt;"Resultado trading"),"⚠ El monto debe ser positivo","✓")))))))))))))))</f>
        <v/>
      </c>
      <c r="P4274" s="52">
        <f>IF(OR(B4274="",G4274=""),"",IF(C4274="","Gasto",C4274))</f>
        <v/>
      </c>
      <c r="Q4274" s="52">
        <f>IF(P4274="","",IF(J4274&lt;&gt;"",J4274,CuentaPred&amp;""))</f>
        <v/>
      </c>
      <c r="R4274" s="52">
        <f>IF(P4274="","",IF(ISNUMBER(I4274),I4274,TasaUSD))</f>
        <v/>
      </c>
      <c r="S4274" s="53">
        <f>IF(P4274="","",IF(H4274="USD",G4274*R4274,G4274))</f>
        <v/>
      </c>
      <c r="T4274" s="53">
        <f>IF(P4274="","",IF(H4274="USD",G4274,IF(R4274&gt;0,G4274/R4274,0)))</f>
        <v/>
      </c>
      <c r="U4274" s="53">
        <f>IF(P4274="","",IF(P4274="Gasto",S4274,IF(P4274="Reembolso",-S4274,0)))</f>
        <v/>
      </c>
      <c r="V4274" s="53">
        <f>IF(P4274="","",IF(P4274="Ingreso",S4274,0))</f>
        <v/>
      </c>
      <c r="W4274" s="53">
        <f>IF(P4274="","",IF(P4274="Resultado trading",S4274,0))</f>
        <v/>
      </c>
      <c r="X4274" s="52">
        <f>IF(OR(P4274="Gasto",P4274="Reembolso"),IF(M4274&lt;&gt;"",M4274,IFERROR(INDEX(catClasif,MATCH(D4274&amp;"|"&amp;E4274,catClave,0))&amp;"","Variable")),"")</f>
        <v/>
      </c>
      <c r="Y4274" s="52">
        <f>IF(P4274="","",IFERROR(INDEX(catGrupo,MATCH(D4274&amp;"|"&amp;E4274,catClave,0))&amp;"",""))</f>
        <v/>
      </c>
      <c r="Z4274" s="52">
        <f>IF(P4274="","",WEEKDAY(B4274,2))</f>
        <v/>
      </c>
      <c r="AA4274" s="52">
        <f>IF(P4274="","",IF(AND(P4274="Gasto",X4274="Variable",D4274&lt;&gt;catTrading,S4274&gt;0,S4274&lt;=Umbral),1,0))</f>
        <v/>
      </c>
      <c r="AB4274" s="52">
        <f>IF(OR(P4274="",Q4274=""),"",IFERROR(IF(INDEX(ctaVinc,MATCH(Q4274,ctaNombre,0))&amp;""&lt;&gt;"",INDEX(ctaVinc,MATCH(Q4274,ctaNombre,0))&amp;"",Q4274),Q4274))</f>
        <v/>
      </c>
      <c r="AC4274" s="52">
        <f>IF(OR(K4274="",AND(P4274&lt;&gt;"Transferencia",P4274&lt;&gt;"Pago tarjeta")),"",IFERROR(IF(INDEX(ctaVinc,MATCH(K4274,ctaNombre,0))&amp;""&lt;&gt;"",INDEX(ctaVinc,MATCH(K4274,ctaNombre,0))&amp;"",K4274),K4274))</f>
        <v/>
      </c>
      <c r="AD4274" s="52">
        <f>IF(AB4274="","",IFERROR(INDEX(ctaTipo,MATCH(AB4274,ctaNombre,0))&amp;"",""))</f>
        <v/>
      </c>
      <c r="AE4274" s="52">
        <f>IF(AC4274="","",IFERROR(INDEX(ctaTipo,MATCH(AC4274,ctaNombre,0))&amp;"",""))</f>
        <v/>
      </c>
      <c r="AF4274" s="53">
        <f>IF(OR(P4274="",AB4274=""),"",IF(OR(P4274="Gasto",P4274="Transferencia",P4274="Pago tarjeta"),-1,1)*IF(IFERROR(INDEX(ctaMoneda,MATCH(AB4274,ctaNombre,0))&amp;"","DOP")="USD",T4274,S4274))</f>
        <v/>
      </c>
      <c r="AG4274" s="53">
        <f>IF(AC4274="","",IF(IFERROR(INDEX(ctaMoneda,MATCH(AC4274,ctaNombre,0))&amp;"","DOP")="USD",T4274,S4274))</f>
        <v/>
      </c>
      <c r="AH4274" s="53">
        <f>IF(P4274="","",IF(AND(AD4274&lt;&gt;"",COUNTIFS(tcTipo,AD4274,tcLiq,"Sí")&gt;0),IF(OR(P4274="Gasto",P4274="Transferencia",P4274="Pago tarjeta"),-1,1)*S4274,0)+IF(AND(AE4274&lt;&gt;"",COUNTIFS(tcTipo,AE4274,tcLiq,"Sí")&gt;0),S4274,0))</f>
        <v/>
      </c>
      <c r="AI4274" s="52">
        <f>IF(OR(L4274="",P4274=""),"",IF(COUNTIFS(L$6:L4274,L4274,P$6:P4274,"?*")=1,MAX(AI$5:AI4273)+1,""))</f>
        <v/>
      </c>
    </row>
    <row r="4275">
      <c r="B4275" s="47" t="n"/>
      <c r="C4275" s="48" t="n"/>
      <c r="D4275" s="48" t="n"/>
      <c r="E4275" s="48" t="n"/>
      <c r="F4275" s="48" t="n"/>
      <c r="G4275" s="49" t="n"/>
      <c r="H4275" s="48" t="n"/>
      <c r="I4275" s="50" t="n"/>
      <c r="J4275" s="48" t="n"/>
      <c r="K4275" s="48" t="n"/>
      <c r="L4275" s="48" t="n"/>
      <c r="M4275" s="48" t="n"/>
      <c r="N4275" s="48" t="n"/>
      <c r="O4275" s="51">
        <f>IF(AND(B4275="",G4275="",C4275="",D4275="",J4275=""),"",IF(B4275="","⚠ Falta fecha",IF(G4275="","⚠ Falta monto",IF(Q4275="","⚠ Falta cuenta",IF(ISNA(MATCH(Q4275,ctaNombre,0)),"⚠ Cuenta no registrada",IF(AND(OR(P4275="Gasto",P4275="Reembolso"),D4275=""),"⚠ Falta categoría",IF(AND(D4275&lt;&gt;"",E4275&lt;&gt;"",ISNA(MATCH(D4275&amp;"|"&amp;E4275,catClave,0))),"⚠ Subcategoría no corresponde",IF(AND(OR(P4275="Transferencia",P4275="Pago tarjeta"),K4275=""),"⚠ Falta cuenta destino",IF(AND(K4275&lt;&gt;"",P4275&lt;&gt;"Transferencia",P4275&lt;&gt;"Pago tarjeta"),"⚠ Destino solo aplica a transferencias",IF(AND(K4275&lt;&gt;"",K4275=Q4275),"⚠ Origen igual a destino",IF(AND(K4275&lt;&gt;"",ISNA(MATCH(K4275,ctaNombre,0))),"⚠ Destino no registrado",IF(AND(P4275="Pago tarjeta",AE4275&lt;&gt;"Tarjeta de crédito"),"⚠ El destino debe ser tarjeta de crédito",IF(AND(P4275="Gasto",E4275="Depósitos y retiros"),"⚠ Usa tipo Transferencia",IF(AND(P4275="Resultado trading",AD4275&lt;&gt;"Cuenta de trading"),"⚠ Usa una cuenta de trading",IF(AND(G4275&lt;=0,P4275&lt;&gt;"Ajuste",P4275&lt;&gt;"Resultado trading"),"⚠ El monto debe ser positivo","✓")))))))))))))))</f>
        <v/>
      </c>
      <c r="P4275" s="52">
        <f>IF(OR(B4275="",G4275=""),"",IF(C4275="","Gasto",C4275))</f>
        <v/>
      </c>
      <c r="Q4275" s="52">
        <f>IF(P4275="","",IF(J4275&lt;&gt;"",J4275,CuentaPred&amp;""))</f>
        <v/>
      </c>
      <c r="R4275" s="52">
        <f>IF(P4275="","",IF(ISNUMBER(I4275),I4275,TasaUSD))</f>
        <v/>
      </c>
      <c r="S4275" s="53">
        <f>IF(P4275="","",IF(H4275="USD",G4275*R4275,G4275))</f>
        <v/>
      </c>
      <c r="T4275" s="53">
        <f>IF(P4275="","",IF(H4275="USD",G4275,IF(R4275&gt;0,G4275/R4275,0)))</f>
        <v/>
      </c>
      <c r="U4275" s="53">
        <f>IF(P4275="","",IF(P4275="Gasto",S4275,IF(P4275="Reembolso",-S4275,0)))</f>
        <v/>
      </c>
      <c r="V4275" s="53">
        <f>IF(P4275="","",IF(P4275="Ingreso",S4275,0))</f>
        <v/>
      </c>
      <c r="W4275" s="53">
        <f>IF(P4275="","",IF(P4275="Resultado trading",S4275,0))</f>
        <v/>
      </c>
      <c r="X4275" s="52">
        <f>IF(OR(P4275="Gasto",P4275="Reembolso"),IF(M4275&lt;&gt;"",M4275,IFERROR(INDEX(catClasif,MATCH(D4275&amp;"|"&amp;E4275,catClave,0))&amp;"","Variable")),"")</f>
        <v/>
      </c>
      <c r="Y4275" s="52">
        <f>IF(P4275="","",IFERROR(INDEX(catGrupo,MATCH(D4275&amp;"|"&amp;E4275,catClave,0))&amp;"",""))</f>
        <v/>
      </c>
      <c r="Z4275" s="52">
        <f>IF(P4275="","",WEEKDAY(B4275,2))</f>
        <v/>
      </c>
      <c r="AA4275" s="52">
        <f>IF(P4275="","",IF(AND(P4275="Gasto",X4275="Variable",D4275&lt;&gt;catTrading,S4275&gt;0,S4275&lt;=Umbral),1,0))</f>
        <v/>
      </c>
      <c r="AB4275" s="52">
        <f>IF(OR(P4275="",Q4275=""),"",IFERROR(IF(INDEX(ctaVinc,MATCH(Q4275,ctaNombre,0))&amp;""&lt;&gt;"",INDEX(ctaVinc,MATCH(Q4275,ctaNombre,0))&amp;"",Q4275),Q4275))</f>
        <v/>
      </c>
      <c r="AC4275" s="52">
        <f>IF(OR(K4275="",AND(P4275&lt;&gt;"Transferencia",P4275&lt;&gt;"Pago tarjeta")),"",IFERROR(IF(INDEX(ctaVinc,MATCH(K4275,ctaNombre,0))&amp;""&lt;&gt;"",INDEX(ctaVinc,MATCH(K4275,ctaNombre,0))&amp;"",K4275),K4275))</f>
        <v/>
      </c>
      <c r="AD4275" s="52">
        <f>IF(AB4275="","",IFERROR(INDEX(ctaTipo,MATCH(AB4275,ctaNombre,0))&amp;"",""))</f>
        <v/>
      </c>
      <c r="AE4275" s="52">
        <f>IF(AC4275="","",IFERROR(INDEX(ctaTipo,MATCH(AC4275,ctaNombre,0))&amp;"",""))</f>
        <v/>
      </c>
      <c r="AF4275" s="53">
        <f>IF(OR(P4275="",AB4275=""),"",IF(OR(P4275="Gasto",P4275="Transferencia",P4275="Pago tarjeta"),-1,1)*IF(IFERROR(INDEX(ctaMoneda,MATCH(AB4275,ctaNombre,0))&amp;"","DOP")="USD",T4275,S4275))</f>
        <v/>
      </c>
      <c r="AG4275" s="53">
        <f>IF(AC4275="","",IF(IFERROR(INDEX(ctaMoneda,MATCH(AC4275,ctaNombre,0))&amp;"","DOP")="USD",T4275,S4275))</f>
        <v/>
      </c>
      <c r="AH4275" s="53">
        <f>IF(P4275="","",IF(AND(AD4275&lt;&gt;"",COUNTIFS(tcTipo,AD4275,tcLiq,"Sí")&gt;0),IF(OR(P4275="Gasto",P4275="Transferencia",P4275="Pago tarjeta"),-1,1)*S4275,0)+IF(AND(AE4275&lt;&gt;"",COUNTIFS(tcTipo,AE4275,tcLiq,"Sí")&gt;0),S4275,0))</f>
        <v/>
      </c>
      <c r="AI4275" s="52">
        <f>IF(OR(L4275="",P4275=""),"",IF(COUNTIFS(L$6:L4275,L4275,P$6:P4275,"?*")=1,MAX(AI$5:AI4274)+1,""))</f>
        <v/>
      </c>
    </row>
    <row r="4276">
      <c r="B4276" s="47" t="n"/>
      <c r="C4276" s="48" t="n"/>
      <c r="D4276" s="48" t="n"/>
      <c r="E4276" s="48" t="n"/>
      <c r="F4276" s="48" t="n"/>
      <c r="G4276" s="49" t="n"/>
      <c r="H4276" s="48" t="n"/>
      <c r="I4276" s="50" t="n"/>
      <c r="J4276" s="48" t="n"/>
      <c r="K4276" s="48" t="n"/>
      <c r="L4276" s="48" t="n"/>
      <c r="M4276" s="48" t="n"/>
      <c r="N4276" s="48" t="n"/>
      <c r="O4276" s="51">
        <f>IF(AND(B4276="",G4276="",C4276="",D4276="",J4276=""),"",IF(B4276="","⚠ Falta fecha",IF(G4276="","⚠ Falta monto",IF(Q4276="","⚠ Falta cuenta",IF(ISNA(MATCH(Q4276,ctaNombre,0)),"⚠ Cuenta no registrada",IF(AND(OR(P4276="Gasto",P4276="Reembolso"),D4276=""),"⚠ Falta categoría",IF(AND(D4276&lt;&gt;"",E4276&lt;&gt;"",ISNA(MATCH(D4276&amp;"|"&amp;E4276,catClave,0))),"⚠ Subcategoría no corresponde",IF(AND(OR(P4276="Transferencia",P4276="Pago tarjeta"),K4276=""),"⚠ Falta cuenta destino",IF(AND(K4276&lt;&gt;"",P4276&lt;&gt;"Transferencia",P4276&lt;&gt;"Pago tarjeta"),"⚠ Destino solo aplica a transferencias",IF(AND(K4276&lt;&gt;"",K4276=Q4276),"⚠ Origen igual a destino",IF(AND(K4276&lt;&gt;"",ISNA(MATCH(K4276,ctaNombre,0))),"⚠ Destino no registrado",IF(AND(P4276="Pago tarjeta",AE4276&lt;&gt;"Tarjeta de crédito"),"⚠ El destino debe ser tarjeta de crédito",IF(AND(P4276="Gasto",E4276="Depósitos y retiros"),"⚠ Usa tipo Transferencia",IF(AND(P4276="Resultado trading",AD4276&lt;&gt;"Cuenta de trading"),"⚠ Usa una cuenta de trading",IF(AND(G4276&lt;=0,P4276&lt;&gt;"Ajuste",P4276&lt;&gt;"Resultado trading"),"⚠ El monto debe ser positivo","✓")))))))))))))))</f>
        <v/>
      </c>
      <c r="P4276" s="52">
        <f>IF(OR(B4276="",G4276=""),"",IF(C4276="","Gasto",C4276))</f>
        <v/>
      </c>
      <c r="Q4276" s="52">
        <f>IF(P4276="","",IF(J4276&lt;&gt;"",J4276,CuentaPred&amp;""))</f>
        <v/>
      </c>
      <c r="R4276" s="52">
        <f>IF(P4276="","",IF(ISNUMBER(I4276),I4276,TasaUSD))</f>
        <v/>
      </c>
      <c r="S4276" s="53">
        <f>IF(P4276="","",IF(H4276="USD",G4276*R4276,G4276))</f>
        <v/>
      </c>
      <c r="T4276" s="53">
        <f>IF(P4276="","",IF(H4276="USD",G4276,IF(R4276&gt;0,G4276/R4276,0)))</f>
        <v/>
      </c>
      <c r="U4276" s="53">
        <f>IF(P4276="","",IF(P4276="Gasto",S4276,IF(P4276="Reembolso",-S4276,0)))</f>
        <v/>
      </c>
      <c r="V4276" s="53">
        <f>IF(P4276="","",IF(P4276="Ingreso",S4276,0))</f>
        <v/>
      </c>
      <c r="W4276" s="53">
        <f>IF(P4276="","",IF(P4276="Resultado trading",S4276,0))</f>
        <v/>
      </c>
      <c r="X4276" s="52">
        <f>IF(OR(P4276="Gasto",P4276="Reembolso"),IF(M4276&lt;&gt;"",M4276,IFERROR(INDEX(catClasif,MATCH(D4276&amp;"|"&amp;E4276,catClave,0))&amp;"","Variable")),"")</f>
        <v/>
      </c>
      <c r="Y4276" s="52">
        <f>IF(P4276="","",IFERROR(INDEX(catGrupo,MATCH(D4276&amp;"|"&amp;E4276,catClave,0))&amp;"",""))</f>
        <v/>
      </c>
      <c r="Z4276" s="52">
        <f>IF(P4276="","",WEEKDAY(B4276,2))</f>
        <v/>
      </c>
      <c r="AA4276" s="52">
        <f>IF(P4276="","",IF(AND(P4276="Gasto",X4276="Variable",D4276&lt;&gt;catTrading,S4276&gt;0,S4276&lt;=Umbral),1,0))</f>
        <v/>
      </c>
      <c r="AB4276" s="52">
        <f>IF(OR(P4276="",Q4276=""),"",IFERROR(IF(INDEX(ctaVinc,MATCH(Q4276,ctaNombre,0))&amp;""&lt;&gt;"",INDEX(ctaVinc,MATCH(Q4276,ctaNombre,0))&amp;"",Q4276),Q4276))</f>
        <v/>
      </c>
      <c r="AC4276" s="52">
        <f>IF(OR(K4276="",AND(P4276&lt;&gt;"Transferencia",P4276&lt;&gt;"Pago tarjeta")),"",IFERROR(IF(INDEX(ctaVinc,MATCH(K4276,ctaNombre,0))&amp;""&lt;&gt;"",INDEX(ctaVinc,MATCH(K4276,ctaNombre,0))&amp;"",K4276),K4276))</f>
        <v/>
      </c>
      <c r="AD4276" s="52">
        <f>IF(AB4276="","",IFERROR(INDEX(ctaTipo,MATCH(AB4276,ctaNombre,0))&amp;"",""))</f>
        <v/>
      </c>
      <c r="AE4276" s="52">
        <f>IF(AC4276="","",IFERROR(INDEX(ctaTipo,MATCH(AC4276,ctaNombre,0))&amp;"",""))</f>
        <v/>
      </c>
      <c r="AF4276" s="53">
        <f>IF(OR(P4276="",AB4276=""),"",IF(OR(P4276="Gasto",P4276="Transferencia",P4276="Pago tarjeta"),-1,1)*IF(IFERROR(INDEX(ctaMoneda,MATCH(AB4276,ctaNombre,0))&amp;"","DOP")="USD",T4276,S4276))</f>
        <v/>
      </c>
      <c r="AG4276" s="53">
        <f>IF(AC4276="","",IF(IFERROR(INDEX(ctaMoneda,MATCH(AC4276,ctaNombre,0))&amp;"","DOP")="USD",T4276,S4276))</f>
        <v/>
      </c>
      <c r="AH4276" s="53">
        <f>IF(P4276="","",IF(AND(AD4276&lt;&gt;"",COUNTIFS(tcTipo,AD4276,tcLiq,"Sí")&gt;0),IF(OR(P4276="Gasto",P4276="Transferencia",P4276="Pago tarjeta"),-1,1)*S4276,0)+IF(AND(AE4276&lt;&gt;"",COUNTIFS(tcTipo,AE4276,tcLiq,"Sí")&gt;0),S4276,0))</f>
        <v/>
      </c>
      <c r="AI4276" s="52">
        <f>IF(OR(L4276="",P4276=""),"",IF(COUNTIFS(L$6:L4276,L4276,P$6:P4276,"?*")=1,MAX(AI$5:AI4275)+1,""))</f>
        <v/>
      </c>
    </row>
    <row r="4277">
      <c r="B4277" s="47" t="n"/>
      <c r="C4277" s="48" t="n"/>
      <c r="D4277" s="48" t="n"/>
      <c r="E4277" s="48" t="n"/>
      <c r="F4277" s="48" t="n"/>
      <c r="G4277" s="49" t="n"/>
      <c r="H4277" s="48" t="n"/>
      <c r="I4277" s="50" t="n"/>
      <c r="J4277" s="48" t="n"/>
      <c r="K4277" s="48" t="n"/>
      <c r="L4277" s="48" t="n"/>
      <c r="M4277" s="48" t="n"/>
      <c r="N4277" s="48" t="n"/>
      <c r="O4277" s="51">
        <f>IF(AND(B4277="",G4277="",C4277="",D4277="",J4277=""),"",IF(B4277="","⚠ Falta fecha",IF(G4277="","⚠ Falta monto",IF(Q4277="","⚠ Falta cuenta",IF(ISNA(MATCH(Q4277,ctaNombre,0)),"⚠ Cuenta no registrada",IF(AND(OR(P4277="Gasto",P4277="Reembolso"),D4277=""),"⚠ Falta categoría",IF(AND(D4277&lt;&gt;"",E4277&lt;&gt;"",ISNA(MATCH(D4277&amp;"|"&amp;E4277,catClave,0))),"⚠ Subcategoría no corresponde",IF(AND(OR(P4277="Transferencia",P4277="Pago tarjeta"),K4277=""),"⚠ Falta cuenta destino",IF(AND(K4277&lt;&gt;"",P4277&lt;&gt;"Transferencia",P4277&lt;&gt;"Pago tarjeta"),"⚠ Destino solo aplica a transferencias",IF(AND(K4277&lt;&gt;"",K4277=Q4277),"⚠ Origen igual a destino",IF(AND(K4277&lt;&gt;"",ISNA(MATCH(K4277,ctaNombre,0))),"⚠ Destino no registrado",IF(AND(P4277="Pago tarjeta",AE4277&lt;&gt;"Tarjeta de crédito"),"⚠ El destino debe ser tarjeta de crédito",IF(AND(P4277="Gasto",E4277="Depósitos y retiros"),"⚠ Usa tipo Transferencia",IF(AND(P4277="Resultado trading",AD4277&lt;&gt;"Cuenta de trading"),"⚠ Usa una cuenta de trading",IF(AND(G4277&lt;=0,P4277&lt;&gt;"Ajuste",P4277&lt;&gt;"Resultado trading"),"⚠ El monto debe ser positivo","✓")))))))))))))))</f>
        <v/>
      </c>
      <c r="P4277" s="52">
        <f>IF(OR(B4277="",G4277=""),"",IF(C4277="","Gasto",C4277))</f>
        <v/>
      </c>
      <c r="Q4277" s="52">
        <f>IF(P4277="","",IF(J4277&lt;&gt;"",J4277,CuentaPred&amp;""))</f>
        <v/>
      </c>
      <c r="R4277" s="52">
        <f>IF(P4277="","",IF(ISNUMBER(I4277),I4277,TasaUSD))</f>
        <v/>
      </c>
      <c r="S4277" s="53">
        <f>IF(P4277="","",IF(H4277="USD",G4277*R4277,G4277))</f>
        <v/>
      </c>
      <c r="T4277" s="53">
        <f>IF(P4277="","",IF(H4277="USD",G4277,IF(R4277&gt;0,G4277/R4277,0)))</f>
        <v/>
      </c>
      <c r="U4277" s="53">
        <f>IF(P4277="","",IF(P4277="Gasto",S4277,IF(P4277="Reembolso",-S4277,0)))</f>
        <v/>
      </c>
      <c r="V4277" s="53">
        <f>IF(P4277="","",IF(P4277="Ingreso",S4277,0))</f>
        <v/>
      </c>
      <c r="W4277" s="53">
        <f>IF(P4277="","",IF(P4277="Resultado trading",S4277,0))</f>
        <v/>
      </c>
      <c r="X4277" s="52">
        <f>IF(OR(P4277="Gasto",P4277="Reembolso"),IF(M4277&lt;&gt;"",M4277,IFERROR(INDEX(catClasif,MATCH(D4277&amp;"|"&amp;E4277,catClave,0))&amp;"","Variable")),"")</f>
        <v/>
      </c>
      <c r="Y4277" s="52">
        <f>IF(P4277="","",IFERROR(INDEX(catGrupo,MATCH(D4277&amp;"|"&amp;E4277,catClave,0))&amp;"",""))</f>
        <v/>
      </c>
      <c r="Z4277" s="52">
        <f>IF(P4277="","",WEEKDAY(B4277,2))</f>
        <v/>
      </c>
      <c r="AA4277" s="52">
        <f>IF(P4277="","",IF(AND(P4277="Gasto",X4277="Variable",D4277&lt;&gt;catTrading,S4277&gt;0,S4277&lt;=Umbral),1,0))</f>
        <v/>
      </c>
      <c r="AB4277" s="52">
        <f>IF(OR(P4277="",Q4277=""),"",IFERROR(IF(INDEX(ctaVinc,MATCH(Q4277,ctaNombre,0))&amp;""&lt;&gt;"",INDEX(ctaVinc,MATCH(Q4277,ctaNombre,0))&amp;"",Q4277),Q4277))</f>
        <v/>
      </c>
      <c r="AC4277" s="52">
        <f>IF(OR(K4277="",AND(P4277&lt;&gt;"Transferencia",P4277&lt;&gt;"Pago tarjeta")),"",IFERROR(IF(INDEX(ctaVinc,MATCH(K4277,ctaNombre,0))&amp;""&lt;&gt;"",INDEX(ctaVinc,MATCH(K4277,ctaNombre,0))&amp;"",K4277),K4277))</f>
        <v/>
      </c>
      <c r="AD4277" s="52">
        <f>IF(AB4277="","",IFERROR(INDEX(ctaTipo,MATCH(AB4277,ctaNombre,0))&amp;"",""))</f>
        <v/>
      </c>
      <c r="AE4277" s="52">
        <f>IF(AC4277="","",IFERROR(INDEX(ctaTipo,MATCH(AC4277,ctaNombre,0))&amp;"",""))</f>
        <v/>
      </c>
      <c r="AF4277" s="53">
        <f>IF(OR(P4277="",AB4277=""),"",IF(OR(P4277="Gasto",P4277="Transferencia",P4277="Pago tarjeta"),-1,1)*IF(IFERROR(INDEX(ctaMoneda,MATCH(AB4277,ctaNombre,0))&amp;"","DOP")="USD",T4277,S4277))</f>
        <v/>
      </c>
      <c r="AG4277" s="53">
        <f>IF(AC4277="","",IF(IFERROR(INDEX(ctaMoneda,MATCH(AC4277,ctaNombre,0))&amp;"","DOP")="USD",T4277,S4277))</f>
        <v/>
      </c>
      <c r="AH4277" s="53">
        <f>IF(P4277="","",IF(AND(AD4277&lt;&gt;"",COUNTIFS(tcTipo,AD4277,tcLiq,"Sí")&gt;0),IF(OR(P4277="Gasto",P4277="Transferencia",P4277="Pago tarjeta"),-1,1)*S4277,0)+IF(AND(AE4277&lt;&gt;"",COUNTIFS(tcTipo,AE4277,tcLiq,"Sí")&gt;0),S4277,0))</f>
        <v/>
      </c>
      <c r="AI4277" s="52">
        <f>IF(OR(L4277="",P4277=""),"",IF(COUNTIFS(L$6:L4277,L4277,P$6:P4277,"?*")=1,MAX(AI$5:AI4276)+1,""))</f>
        <v/>
      </c>
    </row>
    <row r="4278">
      <c r="B4278" s="47" t="n"/>
      <c r="C4278" s="48" t="n"/>
      <c r="D4278" s="48" t="n"/>
      <c r="E4278" s="48" t="n"/>
      <c r="F4278" s="48" t="n"/>
      <c r="G4278" s="49" t="n"/>
      <c r="H4278" s="48" t="n"/>
      <c r="I4278" s="50" t="n"/>
      <c r="J4278" s="48" t="n"/>
      <c r="K4278" s="48" t="n"/>
      <c r="L4278" s="48" t="n"/>
      <c r="M4278" s="48" t="n"/>
      <c r="N4278" s="48" t="n"/>
      <c r="O4278" s="51">
        <f>IF(AND(B4278="",G4278="",C4278="",D4278="",J4278=""),"",IF(B4278="","⚠ Falta fecha",IF(G4278="","⚠ Falta monto",IF(Q4278="","⚠ Falta cuenta",IF(ISNA(MATCH(Q4278,ctaNombre,0)),"⚠ Cuenta no registrada",IF(AND(OR(P4278="Gasto",P4278="Reembolso"),D4278=""),"⚠ Falta categoría",IF(AND(D4278&lt;&gt;"",E4278&lt;&gt;"",ISNA(MATCH(D4278&amp;"|"&amp;E4278,catClave,0))),"⚠ Subcategoría no corresponde",IF(AND(OR(P4278="Transferencia",P4278="Pago tarjeta"),K4278=""),"⚠ Falta cuenta destino",IF(AND(K4278&lt;&gt;"",P4278&lt;&gt;"Transferencia",P4278&lt;&gt;"Pago tarjeta"),"⚠ Destino solo aplica a transferencias",IF(AND(K4278&lt;&gt;"",K4278=Q4278),"⚠ Origen igual a destino",IF(AND(K4278&lt;&gt;"",ISNA(MATCH(K4278,ctaNombre,0))),"⚠ Destino no registrado",IF(AND(P4278="Pago tarjeta",AE4278&lt;&gt;"Tarjeta de crédito"),"⚠ El destino debe ser tarjeta de crédito",IF(AND(P4278="Gasto",E4278="Depósitos y retiros"),"⚠ Usa tipo Transferencia",IF(AND(P4278="Resultado trading",AD4278&lt;&gt;"Cuenta de trading"),"⚠ Usa una cuenta de trading",IF(AND(G4278&lt;=0,P4278&lt;&gt;"Ajuste",P4278&lt;&gt;"Resultado trading"),"⚠ El monto debe ser positivo","✓")))))))))))))))</f>
        <v/>
      </c>
      <c r="P4278" s="52">
        <f>IF(OR(B4278="",G4278=""),"",IF(C4278="","Gasto",C4278))</f>
        <v/>
      </c>
      <c r="Q4278" s="52">
        <f>IF(P4278="","",IF(J4278&lt;&gt;"",J4278,CuentaPred&amp;""))</f>
        <v/>
      </c>
      <c r="R4278" s="52">
        <f>IF(P4278="","",IF(ISNUMBER(I4278),I4278,TasaUSD))</f>
        <v/>
      </c>
      <c r="S4278" s="53">
        <f>IF(P4278="","",IF(H4278="USD",G4278*R4278,G4278))</f>
        <v/>
      </c>
      <c r="T4278" s="53">
        <f>IF(P4278="","",IF(H4278="USD",G4278,IF(R4278&gt;0,G4278/R4278,0)))</f>
        <v/>
      </c>
      <c r="U4278" s="53">
        <f>IF(P4278="","",IF(P4278="Gasto",S4278,IF(P4278="Reembolso",-S4278,0)))</f>
        <v/>
      </c>
      <c r="V4278" s="53">
        <f>IF(P4278="","",IF(P4278="Ingreso",S4278,0))</f>
        <v/>
      </c>
      <c r="W4278" s="53">
        <f>IF(P4278="","",IF(P4278="Resultado trading",S4278,0))</f>
        <v/>
      </c>
      <c r="X4278" s="52">
        <f>IF(OR(P4278="Gasto",P4278="Reembolso"),IF(M4278&lt;&gt;"",M4278,IFERROR(INDEX(catClasif,MATCH(D4278&amp;"|"&amp;E4278,catClave,0))&amp;"","Variable")),"")</f>
        <v/>
      </c>
      <c r="Y4278" s="52">
        <f>IF(P4278="","",IFERROR(INDEX(catGrupo,MATCH(D4278&amp;"|"&amp;E4278,catClave,0))&amp;"",""))</f>
        <v/>
      </c>
      <c r="Z4278" s="52">
        <f>IF(P4278="","",WEEKDAY(B4278,2))</f>
        <v/>
      </c>
      <c r="AA4278" s="52">
        <f>IF(P4278="","",IF(AND(P4278="Gasto",X4278="Variable",D4278&lt;&gt;catTrading,S4278&gt;0,S4278&lt;=Umbral),1,0))</f>
        <v/>
      </c>
      <c r="AB4278" s="52">
        <f>IF(OR(P4278="",Q4278=""),"",IFERROR(IF(INDEX(ctaVinc,MATCH(Q4278,ctaNombre,0))&amp;""&lt;&gt;"",INDEX(ctaVinc,MATCH(Q4278,ctaNombre,0))&amp;"",Q4278),Q4278))</f>
        <v/>
      </c>
      <c r="AC4278" s="52">
        <f>IF(OR(K4278="",AND(P4278&lt;&gt;"Transferencia",P4278&lt;&gt;"Pago tarjeta")),"",IFERROR(IF(INDEX(ctaVinc,MATCH(K4278,ctaNombre,0))&amp;""&lt;&gt;"",INDEX(ctaVinc,MATCH(K4278,ctaNombre,0))&amp;"",K4278),K4278))</f>
        <v/>
      </c>
      <c r="AD4278" s="52">
        <f>IF(AB4278="","",IFERROR(INDEX(ctaTipo,MATCH(AB4278,ctaNombre,0))&amp;"",""))</f>
        <v/>
      </c>
      <c r="AE4278" s="52">
        <f>IF(AC4278="","",IFERROR(INDEX(ctaTipo,MATCH(AC4278,ctaNombre,0))&amp;"",""))</f>
        <v/>
      </c>
      <c r="AF4278" s="53">
        <f>IF(OR(P4278="",AB4278=""),"",IF(OR(P4278="Gasto",P4278="Transferencia",P4278="Pago tarjeta"),-1,1)*IF(IFERROR(INDEX(ctaMoneda,MATCH(AB4278,ctaNombre,0))&amp;"","DOP")="USD",T4278,S4278))</f>
        <v/>
      </c>
      <c r="AG4278" s="53">
        <f>IF(AC4278="","",IF(IFERROR(INDEX(ctaMoneda,MATCH(AC4278,ctaNombre,0))&amp;"","DOP")="USD",T4278,S4278))</f>
        <v/>
      </c>
      <c r="AH4278" s="53">
        <f>IF(P4278="","",IF(AND(AD4278&lt;&gt;"",COUNTIFS(tcTipo,AD4278,tcLiq,"Sí")&gt;0),IF(OR(P4278="Gasto",P4278="Transferencia",P4278="Pago tarjeta"),-1,1)*S4278,0)+IF(AND(AE4278&lt;&gt;"",COUNTIFS(tcTipo,AE4278,tcLiq,"Sí")&gt;0),S4278,0))</f>
        <v/>
      </c>
      <c r="AI4278" s="52">
        <f>IF(OR(L4278="",P4278=""),"",IF(COUNTIFS(L$6:L4278,L4278,P$6:P4278,"?*")=1,MAX(AI$5:AI4277)+1,""))</f>
        <v/>
      </c>
    </row>
    <row r="4279">
      <c r="B4279" s="47" t="n"/>
      <c r="C4279" s="48" t="n"/>
      <c r="D4279" s="48" t="n"/>
      <c r="E4279" s="48" t="n"/>
      <c r="F4279" s="48" t="n"/>
      <c r="G4279" s="49" t="n"/>
      <c r="H4279" s="48" t="n"/>
      <c r="I4279" s="50" t="n"/>
      <c r="J4279" s="48" t="n"/>
      <c r="K4279" s="48" t="n"/>
      <c r="L4279" s="48" t="n"/>
      <c r="M4279" s="48" t="n"/>
      <c r="N4279" s="48" t="n"/>
      <c r="O4279" s="51">
        <f>IF(AND(B4279="",G4279="",C4279="",D4279="",J4279=""),"",IF(B4279="","⚠ Falta fecha",IF(G4279="","⚠ Falta monto",IF(Q4279="","⚠ Falta cuenta",IF(ISNA(MATCH(Q4279,ctaNombre,0)),"⚠ Cuenta no registrada",IF(AND(OR(P4279="Gasto",P4279="Reembolso"),D4279=""),"⚠ Falta categoría",IF(AND(D4279&lt;&gt;"",E4279&lt;&gt;"",ISNA(MATCH(D4279&amp;"|"&amp;E4279,catClave,0))),"⚠ Subcategoría no corresponde",IF(AND(OR(P4279="Transferencia",P4279="Pago tarjeta"),K4279=""),"⚠ Falta cuenta destino",IF(AND(K4279&lt;&gt;"",P4279&lt;&gt;"Transferencia",P4279&lt;&gt;"Pago tarjeta"),"⚠ Destino solo aplica a transferencias",IF(AND(K4279&lt;&gt;"",K4279=Q4279),"⚠ Origen igual a destino",IF(AND(K4279&lt;&gt;"",ISNA(MATCH(K4279,ctaNombre,0))),"⚠ Destino no registrado",IF(AND(P4279="Pago tarjeta",AE4279&lt;&gt;"Tarjeta de crédito"),"⚠ El destino debe ser tarjeta de crédito",IF(AND(P4279="Gasto",E4279="Depósitos y retiros"),"⚠ Usa tipo Transferencia",IF(AND(P4279="Resultado trading",AD4279&lt;&gt;"Cuenta de trading"),"⚠ Usa una cuenta de trading",IF(AND(G4279&lt;=0,P4279&lt;&gt;"Ajuste",P4279&lt;&gt;"Resultado trading"),"⚠ El monto debe ser positivo","✓")))))))))))))))</f>
        <v/>
      </c>
      <c r="P4279" s="52">
        <f>IF(OR(B4279="",G4279=""),"",IF(C4279="","Gasto",C4279))</f>
        <v/>
      </c>
      <c r="Q4279" s="52">
        <f>IF(P4279="","",IF(J4279&lt;&gt;"",J4279,CuentaPred&amp;""))</f>
        <v/>
      </c>
      <c r="R4279" s="52">
        <f>IF(P4279="","",IF(ISNUMBER(I4279),I4279,TasaUSD))</f>
        <v/>
      </c>
      <c r="S4279" s="53">
        <f>IF(P4279="","",IF(H4279="USD",G4279*R4279,G4279))</f>
        <v/>
      </c>
      <c r="T4279" s="53">
        <f>IF(P4279="","",IF(H4279="USD",G4279,IF(R4279&gt;0,G4279/R4279,0)))</f>
        <v/>
      </c>
      <c r="U4279" s="53">
        <f>IF(P4279="","",IF(P4279="Gasto",S4279,IF(P4279="Reembolso",-S4279,0)))</f>
        <v/>
      </c>
      <c r="V4279" s="53">
        <f>IF(P4279="","",IF(P4279="Ingreso",S4279,0))</f>
        <v/>
      </c>
      <c r="W4279" s="53">
        <f>IF(P4279="","",IF(P4279="Resultado trading",S4279,0))</f>
        <v/>
      </c>
      <c r="X4279" s="52">
        <f>IF(OR(P4279="Gasto",P4279="Reembolso"),IF(M4279&lt;&gt;"",M4279,IFERROR(INDEX(catClasif,MATCH(D4279&amp;"|"&amp;E4279,catClave,0))&amp;"","Variable")),"")</f>
        <v/>
      </c>
      <c r="Y4279" s="52">
        <f>IF(P4279="","",IFERROR(INDEX(catGrupo,MATCH(D4279&amp;"|"&amp;E4279,catClave,0))&amp;"",""))</f>
        <v/>
      </c>
      <c r="Z4279" s="52">
        <f>IF(P4279="","",WEEKDAY(B4279,2))</f>
        <v/>
      </c>
      <c r="AA4279" s="52">
        <f>IF(P4279="","",IF(AND(P4279="Gasto",X4279="Variable",D4279&lt;&gt;catTrading,S4279&gt;0,S4279&lt;=Umbral),1,0))</f>
        <v/>
      </c>
      <c r="AB4279" s="52">
        <f>IF(OR(P4279="",Q4279=""),"",IFERROR(IF(INDEX(ctaVinc,MATCH(Q4279,ctaNombre,0))&amp;""&lt;&gt;"",INDEX(ctaVinc,MATCH(Q4279,ctaNombre,0))&amp;"",Q4279),Q4279))</f>
        <v/>
      </c>
      <c r="AC4279" s="52">
        <f>IF(OR(K4279="",AND(P4279&lt;&gt;"Transferencia",P4279&lt;&gt;"Pago tarjeta")),"",IFERROR(IF(INDEX(ctaVinc,MATCH(K4279,ctaNombre,0))&amp;""&lt;&gt;"",INDEX(ctaVinc,MATCH(K4279,ctaNombre,0))&amp;"",K4279),K4279))</f>
        <v/>
      </c>
      <c r="AD4279" s="52">
        <f>IF(AB4279="","",IFERROR(INDEX(ctaTipo,MATCH(AB4279,ctaNombre,0))&amp;"",""))</f>
        <v/>
      </c>
      <c r="AE4279" s="52">
        <f>IF(AC4279="","",IFERROR(INDEX(ctaTipo,MATCH(AC4279,ctaNombre,0))&amp;"",""))</f>
        <v/>
      </c>
      <c r="AF4279" s="53">
        <f>IF(OR(P4279="",AB4279=""),"",IF(OR(P4279="Gasto",P4279="Transferencia",P4279="Pago tarjeta"),-1,1)*IF(IFERROR(INDEX(ctaMoneda,MATCH(AB4279,ctaNombre,0))&amp;"","DOP")="USD",T4279,S4279))</f>
        <v/>
      </c>
      <c r="AG4279" s="53">
        <f>IF(AC4279="","",IF(IFERROR(INDEX(ctaMoneda,MATCH(AC4279,ctaNombre,0))&amp;"","DOP")="USD",T4279,S4279))</f>
        <v/>
      </c>
      <c r="AH4279" s="53">
        <f>IF(P4279="","",IF(AND(AD4279&lt;&gt;"",COUNTIFS(tcTipo,AD4279,tcLiq,"Sí")&gt;0),IF(OR(P4279="Gasto",P4279="Transferencia",P4279="Pago tarjeta"),-1,1)*S4279,0)+IF(AND(AE4279&lt;&gt;"",COUNTIFS(tcTipo,AE4279,tcLiq,"Sí")&gt;0),S4279,0))</f>
        <v/>
      </c>
      <c r="AI4279" s="52">
        <f>IF(OR(L4279="",P4279=""),"",IF(COUNTIFS(L$6:L4279,L4279,P$6:P4279,"?*")=1,MAX(AI$5:AI4278)+1,""))</f>
        <v/>
      </c>
    </row>
    <row r="4280">
      <c r="B4280" s="47" t="n"/>
      <c r="C4280" s="48" t="n"/>
      <c r="D4280" s="48" t="n"/>
      <c r="E4280" s="48" t="n"/>
      <c r="F4280" s="48" t="n"/>
      <c r="G4280" s="49" t="n"/>
      <c r="H4280" s="48" t="n"/>
      <c r="I4280" s="50" t="n"/>
      <c r="J4280" s="48" t="n"/>
      <c r="K4280" s="48" t="n"/>
      <c r="L4280" s="48" t="n"/>
      <c r="M4280" s="48" t="n"/>
      <c r="N4280" s="48" t="n"/>
      <c r="O4280" s="51">
        <f>IF(AND(B4280="",G4280="",C4280="",D4280="",J4280=""),"",IF(B4280="","⚠ Falta fecha",IF(G4280="","⚠ Falta monto",IF(Q4280="","⚠ Falta cuenta",IF(ISNA(MATCH(Q4280,ctaNombre,0)),"⚠ Cuenta no registrada",IF(AND(OR(P4280="Gasto",P4280="Reembolso"),D4280=""),"⚠ Falta categoría",IF(AND(D4280&lt;&gt;"",E4280&lt;&gt;"",ISNA(MATCH(D4280&amp;"|"&amp;E4280,catClave,0))),"⚠ Subcategoría no corresponde",IF(AND(OR(P4280="Transferencia",P4280="Pago tarjeta"),K4280=""),"⚠ Falta cuenta destino",IF(AND(K4280&lt;&gt;"",P4280&lt;&gt;"Transferencia",P4280&lt;&gt;"Pago tarjeta"),"⚠ Destino solo aplica a transferencias",IF(AND(K4280&lt;&gt;"",K4280=Q4280),"⚠ Origen igual a destino",IF(AND(K4280&lt;&gt;"",ISNA(MATCH(K4280,ctaNombre,0))),"⚠ Destino no registrado",IF(AND(P4280="Pago tarjeta",AE4280&lt;&gt;"Tarjeta de crédito"),"⚠ El destino debe ser tarjeta de crédito",IF(AND(P4280="Gasto",E4280="Depósitos y retiros"),"⚠ Usa tipo Transferencia",IF(AND(P4280="Resultado trading",AD4280&lt;&gt;"Cuenta de trading"),"⚠ Usa una cuenta de trading",IF(AND(G4280&lt;=0,P4280&lt;&gt;"Ajuste",P4280&lt;&gt;"Resultado trading"),"⚠ El monto debe ser positivo","✓")))))))))))))))</f>
        <v/>
      </c>
      <c r="P4280" s="52">
        <f>IF(OR(B4280="",G4280=""),"",IF(C4280="","Gasto",C4280))</f>
        <v/>
      </c>
      <c r="Q4280" s="52">
        <f>IF(P4280="","",IF(J4280&lt;&gt;"",J4280,CuentaPred&amp;""))</f>
        <v/>
      </c>
      <c r="R4280" s="52">
        <f>IF(P4280="","",IF(ISNUMBER(I4280),I4280,TasaUSD))</f>
        <v/>
      </c>
      <c r="S4280" s="53">
        <f>IF(P4280="","",IF(H4280="USD",G4280*R4280,G4280))</f>
        <v/>
      </c>
      <c r="T4280" s="53">
        <f>IF(P4280="","",IF(H4280="USD",G4280,IF(R4280&gt;0,G4280/R4280,0)))</f>
        <v/>
      </c>
      <c r="U4280" s="53">
        <f>IF(P4280="","",IF(P4280="Gasto",S4280,IF(P4280="Reembolso",-S4280,0)))</f>
        <v/>
      </c>
      <c r="V4280" s="53">
        <f>IF(P4280="","",IF(P4280="Ingreso",S4280,0))</f>
        <v/>
      </c>
      <c r="W4280" s="53">
        <f>IF(P4280="","",IF(P4280="Resultado trading",S4280,0))</f>
        <v/>
      </c>
      <c r="X4280" s="52">
        <f>IF(OR(P4280="Gasto",P4280="Reembolso"),IF(M4280&lt;&gt;"",M4280,IFERROR(INDEX(catClasif,MATCH(D4280&amp;"|"&amp;E4280,catClave,0))&amp;"","Variable")),"")</f>
        <v/>
      </c>
      <c r="Y4280" s="52">
        <f>IF(P4280="","",IFERROR(INDEX(catGrupo,MATCH(D4280&amp;"|"&amp;E4280,catClave,0))&amp;"",""))</f>
        <v/>
      </c>
      <c r="Z4280" s="52">
        <f>IF(P4280="","",WEEKDAY(B4280,2))</f>
        <v/>
      </c>
      <c r="AA4280" s="52">
        <f>IF(P4280="","",IF(AND(P4280="Gasto",X4280="Variable",D4280&lt;&gt;catTrading,S4280&gt;0,S4280&lt;=Umbral),1,0))</f>
        <v/>
      </c>
      <c r="AB4280" s="52">
        <f>IF(OR(P4280="",Q4280=""),"",IFERROR(IF(INDEX(ctaVinc,MATCH(Q4280,ctaNombre,0))&amp;""&lt;&gt;"",INDEX(ctaVinc,MATCH(Q4280,ctaNombre,0))&amp;"",Q4280),Q4280))</f>
        <v/>
      </c>
      <c r="AC4280" s="52">
        <f>IF(OR(K4280="",AND(P4280&lt;&gt;"Transferencia",P4280&lt;&gt;"Pago tarjeta")),"",IFERROR(IF(INDEX(ctaVinc,MATCH(K4280,ctaNombre,0))&amp;""&lt;&gt;"",INDEX(ctaVinc,MATCH(K4280,ctaNombre,0))&amp;"",K4280),K4280))</f>
        <v/>
      </c>
      <c r="AD4280" s="52">
        <f>IF(AB4280="","",IFERROR(INDEX(ctaTipo,MATCH(AB4280,ctaNombre,0))&amp;"",""))</f>
        <v/>
      </c>
      <c r="AE4280" s="52">
        <f>IF(AC4280="","",IFERROR(INDEX(ctaTipo,MATCH(AC4280,ctaNombre,0))&amp;"",""))</f>
        <v/>
      </c>
      <c r="AF4280" s="53">
        <f>IF(OR(P4280="",AB4280=""),"",IF(OR(P4280="Gasto",P4280="Transferencia",P4280="Pago tarjeta"),-1,1)*IF(IFERROR(INDEX(ctaMoneda,MATCH(AB4280,ctaNombre,0))&amp;"","DOP")="USD",T4280,S4280))</f>
        <v/>
      </c>
      <c r="AG4280" s="53">
        <f>IF(AC4280="","",IF(IFERROR(INDEX(ctaMoneda,MATCH(AC4280,ctaNombre,0))&amp;"","DOP")="USD",T4280,S4280))</f>
        <v/>
      </c>
      <c r="AH4280" s="53">
        <f>IF(P4280="","",IF(AND(AD4280&lt;&gt;"",COUNTIFS(tcTipo,AD4280,tcLiq,"Sí")&gt;0),IF(OR(P4280="Gasto",P4280="Transferencia",P4280="Pago tarjeta"),-1,1)*S4280,0)+IF(AND(AE4280&lt;&gt;"",COUNTIFS(tcTipo,AE4280,tcLiq,"Sí")&gt;0),S4280,0))</f>
        <v/>
      </c>
      <c r="AI4280" s="52">
        <f>IF(OR(L4280="",P4280=""),"",IF(COUNTIFS(L$6:L4280,L4280,P$6:P4280,"?*")=1,MAX(AI$5:AI4279)+1,""))</f>
        <v/>
      </c>
    </row>
    <row r="4281">
      <c r="B4281" s="47" t="n"/>
      <c r="C4281" s="48" t="n"/>
      <c r="D4281" s="48" t="n"/>
      <c r="E4281" s="48" t="n"/>
      <c r="F4281" s="48" t="n"/>
      <c r="G4281" s="49" t="n"/>
      <c r="H4281" s="48" t="n"/>
      <c r="I4281" s="50" t="n"/>
      <c r="J4281" s="48" t="n"/>
      <c r="K4281" s="48" t="n"/>
      <c r="L4281" s="48" t="n"/>
      <c r="M4281" s="48" t="n"/>
      <c r="N4281" s="48" t="n"/>
      <c r="O4281" s="51">
        <f>IF(AND(B4281="",G4281="",C4281="",D4281="",J4281=""),"",IF(B4281="","⚠ Falta fecha",IF(G4281="","⚠ Falta monto",IF(Q4281="","⚠ Falta cuenta",IF(ISNA(MATCH(Q4281,ctaNombre,0)),"⚠ Cuenta no registrada",IF(AND(OR(P4281="Gasto",P4281="Reembolso"),D4281=""),"⚠ Falta categoría",IF(AND(D4281&lt;&gt;"",E4281&lt;&gt;"",ISNA(MATCH(D4281&amp;"|"&amp;E4281,catClave,0))),"⚠ Subcategoría no corresponde",IF(AND(OR(P4281="Transferencia",P4281="Pago tarjeta"),K4281=""),"⚠ Falta cuenta destino",IF(AND(K4281&lt;&gt;"",P4281&lt;&gt;"Transferencia",P4281&lt;&gt;"Pago tarjeta"),"⚠ Destino solo aplica a transferencias",IF(AND(K4281&lt;&gt;"",K4281=Q4281),"⚠ Origen igual a destino",IF(AND(K4281&lt;&gt;"",ISNA(MATCH(K4281,ctaNombre,0))),"⚠ Destino no registrado",IF(AND(P4281="Pago tarjeta",AE4281&lt;&gt;"Tarjeta de crédito"),"⚠ El destino debe ser tarjeta de crédito",IF(AND(P4281="Gasto",E4281="Depósitos y retiros"),"⚠ Usa tipo Transferencia",IF(AND(P4281="Resultado trading",AD4281&lt;&gt;"Cuenta de trading"),"⚠ Usa una cuenta de trading",IF(AND(G4281&lt;=0,P4281&lt;&gt;"Ajuste",P4281&lt;&gt;"Resultado trading"),"⚠ El monto debe ser positivo","✓")))))))))))))))</f>
        <v/>
      </c>
      <c r="P4281" s="52">
        <f>IF(OR(B4281="",G4281=""),"",IF(C4281="","Gasto",C4281))</f>
        <v/>
      </c>
      <c r="Q4281" s="52">
        <f>IF(P4281="","",IF(J4281&lt;&gt;"",J4281,CuentaPred&amp;""))</f>
        <v/>
      </c>
      <c r="R4281" s="52">
        <f>IF(P4281="","",IF(ISNUMBER(I4281),I4281,TasaUSD))</f>
        <v/>
      </c>
      <c r="S4281" s="53">
        <f>IF(P4281="","",IF(H4281="USD",G4281*R4281,G4281))</f>
        <v/>
      </c>
      <c r="T4281" s="53">
        <f>IF(P4281="","",IF(H4281="USD",G4281,IF(R4281&gt;0,G4281/R4281,0)))</f>
        <v/>
      </c>
      <c r="U4281" s="53">
        <f>IF(P4281="","",IF(P4281="Gasto",S4281,IF(P4281="Reembolso",-S4281,0)))</f>
        <v/>
      </c>
      <c r="V4281" s="53">
        <f>IF(P4281="","",IF(P4281="Ingreso",S4281,0))</f>
        <v/>
      </c>
      <c r="W4281" s="53">
        <f>IF(P4281="","",IF(P4281="Resultado trading",S4281,0))</f>
        <v/>
      </c>
      <c r="X4281" s="52">
        <f>IF(OR(P4281="Gasto",P4281="Reembolso"),IF(M4281&lt;&gt;"",M4281,IFERROR(INDEX(catClasif,MATCH(D4281&amp;"|"&amp;E4281,catClave,0))&amp;"","Variable")),"")</f>
        <v/>
      </c>
      <c r="Y4281" s="52">
        <f>IF(P4281="","",IFERROR(INDEX(catGrupo,MATCH(D4281&amp;"|"&amp;E4281,catClave,0))&amp;"",""))</f>
        <v/>
      </c>
      <c r="Z4281" s="52">
        <f>IF(P4281="","",WEEKDAY(B4281,2))</f>
        <v/>
      </c>
      <c r="AA4281" s="52">
        <f>IF(P4281="","",IF(AND(P4281="Gasto",X4281="Variable",D4281&lt;&gt;catTrading,S4281&gt;0,S4281&lt;=Umbral),1,0))</f>
        <v/>
      </c>
      <c r="AB4281" s="52">
        <f>IF(OR(P4281="",Q4281=""),"",IFERROR(IF(INDEX(ctaVinc,MATCH(Q4281,ctaNombre,0))&amp;""&lt;&gt;"",INDEX(ctaVinc,MATCH(Q4281,ctaNombre,0))&amp;"",Q4281),Q4281))</f>
        <v/>
      </c>
      <c r="AC4281" s="52">
        <f>IF(OR(K4281="",AND(P4281&lt;&gt;"Transferencia",P4281&lt;&gt;"Pago tarjeta")),"",IFERROR(IF(INDEX(ctaVinc,MATCH(K4281,ctaNombre,0))&amp;""&lt;&gt;"",INDEX(ctaVinc,MATCH(K4281,ctaNombre,0))&amp;"",K4281),K4281))</f>
        <v/>
      </c>
      <c r="AD4281" s="52">
        <f>IF(AB4281="","",IFERROR(INDEX(ctaTipo,MATCH(AB4281,ctaNombre,0))&amp;"",""))</f>
        <v/>
      </c>
      <c r="AE4281" s="52">
        <f>IF(AC4281="","",IFERROR(INDEX(ctaTipo,MATCH(AC4281,ctaNombre,0))&amp;"",""))</f>
        <v/>
      </c>
      <c r="AF4281" s="53">
        <f>IF(OR(P4281="",AB4281=""),"",IF(OR(P4281="Gasto",P4281="Transferencia",P4281="Pago tarjeta"),-1,1)*IF(IFERROR(INDEX(ctaMoneda,MATCH(AB4281,ctaNombre,0))&amp;"","DOP")="USD",T4281,S4281))</f>
        <v/>
      </c>
      <c r="AG4281" s="53">
        <f>IF(AC4281="","",IF(IFERROR(INDEX(ctaMoneda,MATCH(AC4281,ctaNombre,0))&amp;"","DOP")="USD",T4281,S4281))</f>
        <v/>
      </c>
      <c r="AH4281" s="53">
        <f>IF(P4281="","",IF(AND(AD4281&lt;&gt;"",COUNTIFS(tcTipo,AD4281,tcLiq,"Sí")&gt;0),IF(OR(P4281="Gasto",P4281="Transferencia",P4281="Pago tarjeta"),-1,1)*S4281,0)+IF(AND(AE4281&lt;&gt;"",COUNTIFS(tcTipo,AE4281,tcLiq,"Sí")&gt;0),S4281,0))</f>
        <v/>
      </c>
      <c r="AI4281" s="52">
        <f>IF(OR(L4281="",P4281=""),"",IF(COUNTIFS(L$6:L4281,L4281,P$6:P4281,"?*")=1,MAX(AI$5:AI4280)+1,""))</f>
        <v/>
      </c>
    </row>
    <row r="4282">
      <c r="B4282" s="47" t="n"/>
      <c r="C4282" s="48" t="n"/>
      <c r="D4282" s="48" t="n"/>
      <c r="E4282" s="48" t="n"/>
      <c r="F4282" s="48" t="n"/>
      <c r="G4282" s="49" t="n"/>
      <c r="H4282" s="48" t="n"/>
      <c r="I4282" s="50" t="n"/>
      <c r="J4282" s="48" t="n"/>
      <c r="K4282" s="48" t="n"/>
      <c r="L4282" s="48" t="n"/>
      <c r="M4282" s="48" t="n"/>
      <c r="N4282" s="48" t="n"/>
      <c r="O4282" s="51">
        <f>IF(AND(B4282="",G4282="",C4282="",D4282="",J4282=""),"",IF(B4282="","⚠ Falta fecha",IF(G4282="","⚠ Falta monto",IF(Q4282="","⚠ Falta cuenta",IF(ISNA(MATCH(Q4282,ctaNombre,0)),"⚠ Cuenta no registrada",IF(AND(OR(P4282="Gasto",P4282="Reembolso"),D4282=""),"⚠ Falta categoría",IF(AND(D4282&lt;&gt;"",E4282&lt;&gt;"",ISNA(MATCH(D4282&amp;"|"&amp;E4282,catClave,0))),"⚠ Subcategoría no corresponde",IF(AND(OR(P4282="Transferencia",P4282="Pago tarjeta"),K4282=""),"⚠ Falta cuenta destino",IF(AND(K4282&lt;&gt;"",P4282&lt;&gt;"Transferencia",P4282&lt;&gt;"Pago tarjeta"),"⚠ Destino solo aplica a transferencias",IF(AND(K4282&lt;&gt;"",K4282=Q4282),"⚠ Origen igual a destino",IF(AND(K4282&lt;&gt;"",ISNA(MATCH(K4282,ctaNombre,0))),"⚠ Destino no registrado",IF(AND(P4282="Pago tarjeta",AE4282&lt;&gt;"Tarjeta de crédito"),"⚠ El destino debe ser tarjeta de crédito",IF(AND(P4282="Gasto",E4282="Depósitos y retiros"),"⚠ Usa tipo Transferencia",IF(AND(P4282="Resultado trading",AD4282&lt;&gt;"Cuenta de trading"),"⚠ Usa una cuenta de trading",IF(AND(G4282&lt;=0,P4282&lt;&gt;"Ajuste",P4282&lt;&gt;"Resultado trading"),"⚠ El monto debe ser positivo","✓")))))))))))))))</f>
        <v/>
      </c>
      <c r="P4282" s="52">
        <f>IF(OR(B4282="",G4282=""),"",IF(C4282="","Gasto",C4282))</f>
        <v/>
      </c>
      <c r="Q4282" s="52">
        <f>IF(P4282="","",IF(J4282&lt;&gt;"",J4282,CuentaPred&amp;""))</f>
        <v/>
      </c>
      <c r="R4282" s="52">
        <f>IF(P4282="","",IF(ISNUMBER(I4282),I4282,TasaUSD))</f>
        <v/>
      </c>
      <c r="S4282" s="53">
        <f>IF(P4282="","",IF(H4282="USD",G4282*R4282,G4282))</f>
        <v/>
      </c>
      <c r="T4282" s="53">
        <f>IF(P4282="","",IF(H4282="USD",G4282,IF(R4282&gt;0,G4282/R4282,0)))</f>
        <v/>
      </c>
      <c r="U4282" s="53">
        <f>IF(P4282="","",IF(P4282="Gasto",S4282,IF(P4282="Reembolso",-S4282,0)))</f>
        <v/>
      </c>
      <c r="V4282" s="53">
        <f>IF(P4282="","",IF(P4282="Ingreso",S4282,0))</f>
        <v/>
      </c>
      <c r="W4282" s="53">
        <f>IF(P4282="","",IF(P4282="Resultado trading",S4282,0))</f>
        <v/>
      </c>
      <c r="X4282" s="52">
        <f>IF(OR(P4282="Gasto",P4282="Reembolso"),IF(M4282&lt;&gt;"",M4282,IFERROR(INDEX(catClasif,MATCH(D4282&amp;"|"&amp;E4282,catClave,0))&amp;"","Variable")),"")</f>
        <v/>
      </c>
      <c r="Y4282" s="52">
        <f>IF(P4282="","",IFERROR(INDEX(catGrupo,MATCH(D4282&amp;"|"&amp;E4282,catClave,0))&amp;"",""))</f>
        <v/>
      </c>
      <c r="Z4282" s="52">
        <f>IF(P4282="","",WEEKDAY(B4282,2))</f>
        <v/>
      </c>
      <c r="AA4282" s="52">
        <f>IF(P4282="","",IF(AND(P4282="Gasto",X4282="Variable",D4282&lt;&gt;catTrading,S4282&gt;0,S4282&lt;=Umbral),1,0))</f>
        <v/>
      </c>
      <c r="AB4282" s="52">
        <f>IF(OR(P4282="",Q4282=""),"",IFERROR(IF(INDEX(ctaVinc,MATCH(Q4282,ctaNombre,0))&amp;""&lt;&gt;"",INDEX(ctaVinc,MATCH(Q4282,ctaNombre,0))&amp;"",Q4282),Q4282))</f>
        <v/>
      </c>
      <c r="AC4282" s="52">
        <f>IF(OR(K4282="",AND(P4282&lt;&gt;"Transferencia",P4282&lt;&gt;"Pago tarjeta")),"",IFERROR(IF(INDEX(ctaVinc,MATCH(K4282,ctaNombre,0))&amp;""&lt;&gt;"",INDEX(ctaVinc,MATCH(K4282,ctaNombre,0))&amp;"",K4282),K4282))</f>
        <v/>
      </c>
      <c r="AD4282" s="52">
        <f>IF(AB4282="","",IFERROR(INDEX(ctaTipo,MATCH(AB4282,ctaNombre,0))&amp;"",""))</f>
        <v/>
      </c>
      <c r="AE4282" s="52">
        <f>IF(AC4282="","",IFERROR(INDEX(ctaTipo,MATCH(AC4282,ctaNombre,0))&amp;"",""))</f>
        <v/>
      </c>
      <c r="AF4282" s="53">
        <f>IF(OR(P4282="",AB4282=""),"",IF(OR(P4282="Gasto",P4282="Transferencia",P4282="Pago tarjeta"),-1,1)*IF(IFERROR(INDEX(ctaMoneda,MATCH(AB4282,ctaNombre,0))&amp;"","DOP")="USD",T4282,S4282))</f>
        <v/>
      </c>
      <c r="AG4282" s="53">
        <f>IF(AC4282="","",IF(IFERROR(INDEX(ctaMoneda,MATCH(AC4282,ctaNombre,0))&amp;"","DOP")="USD",T4282,S4282))</f>
        <v/>
      </c>
      <c r="AH4282" s="53">
        <f>IF(P4282="","",IF(AND(AD4282&lt;&gt;"",COUNTIFS(tcTipo,AD4282,tcLiq,"Sí")&gt;0),IF(OR(P4282="Gasto",P4282="Transferencia",P4282="Pago tarjeta"),-1,1)*S4282,0)+IF(AND(AE4282&lt;&gt;"",COUNTIFS(tcTipo,AE4282,tcLiq,"Sí")&gt;0),S4282,0))</f>
        <v/>
      </c>
      <c r="AI4282" s="52">
        <f>IF(OR(L4282="",P4282=""),"",IF(COUNTIFS(L$6:L4282,L4282,P$6:P4282,"?*")=1,MAX(AI$5:AI4281)+1,""))</f>
        <v/>
      </c>
    </row>
    <row r="4283">
      <c r="B4283" s="47" t="n"/>
      <c r="C4283" s="48" t="n"/>
      <c r="D4283" s="48" t="n"/>
      <c r="E4283" s="48" t="n"/>
      <c r="F4283" s="48" t="n"/>
      <c r="G4283" s="49" t="n"/>
      <c r="H4283" s="48" t="n"/>
      <c r="I4283" s="50" t="n"/>
      <c r="J4283" s="48" t="n"/>
      <c r="K4283" s="48" t="n"/>
      <c r="L4283" s="48" t="n"/>
      <c r="M4283" s="48" t="n"/>
      <c r="N4283" s="48" t="n"/>
      <c r="O4283" s="51">
        <f>IF(AND(B4283="",G4283="",C4283="",D4283="",J4283=""),"",IF(B4283="","⚠ Falta fecha",IF(G4283="","⚠ Falta monto",IF(Q4283="","⚠ Falta cuenta",IF(ISNA(MATCH(Q4283,ctaNombre,0)),"⚠ Cuenta no registrada",IF(AND(OR(P4283="Gasto",P4283="Reembolso"),D4283=""),"⚠ Falta categoría",IF(AND(D4283&lt;&gt;"",E4283&lt;&gt;"",ISNA(MATCH(D4283&amp;"|"&amp;E4283,catClave,0))),"⚠ Subcategoría no corresponde",IF(AND(OR(P4283="Transferencia",P4283="Pago tarjeta"),K4283=""),"⚠ Falta cuenta destino",IF(AND(K4283&lt;&gt;"",P4283&lt;&gt;"Transferencia",P4283&lt;&gt;"Pago tarjeta"),"⚠ Destino solo aplica a transferencias",IF(AND(K4283&lt;&gt;"",K4283=Q4283),"⚠ Origen igual a destino",IF(AND(K4283&lt;&gt;"",ISNA(MATCH(K4283,ctaNombre,0))),"⚠ Destino no registrado",IF(AND(P4283="Pago tarjeta",AE4283&lt;&gt;"Tarjeta de crédito"),"⚠ El destino debe ser tarjeta de crédito",IF(AND(P4283="Gasto",E4283="Depósitos y retiros"),"⚠ Usa tipo Transferencia",IF(AND(P4283="Resultado trading",AD4283&lt;&gt;"Cuenta de trading"),"⚠ Usa una cuenta de trading",IF(AND(G4283&lt;=0,P4283&lt;&gt;"Ajuste",P4283&lt;&gt;"Resultado trading"),"⚠ El monto debe ser positivo","✓")))))))))))))))</f>
        <v/>
      </c>
      <c r="P4283" s="52">
        <f>IF(OR(B4283="",G4283=""),"",IF(C4283="","Gasto",C4283))</f>
        <v/>
      </c>
      <c r="Q4283" s="52">
        <f>IF(P4283="","",IF(J4283&lt;&gt;"",J4283,CuentaPred&amp;""))</f>
        <v/>
      </c>
      <c r="R4283" s="52">
        <f>IF(P4283="","",IF(ISNUMBER(I4283),I4283,TasaUSD))</f>
        <v/>
      </c>
      <c r="S4283" s="53">
        <f>IF(P4283="","",IF(H4283="USD",G4283*R4283,G4283))</f>
        <v/>
      </c>
      <c r="T4283" s="53">
        <f>IF(P4283="","",IF(H4283="USD",G4283,IF(R4283&gt;0,G4283/R4283,0)))</f>
        <v/>
      </c>
      <c r="U4283" s="53">
        <f>IF(P4283="","",IF(P4283="Gasto",S4283,IF(P4283="Reembolso",-S4283,0)))</f>
        <v/>
      </c>
      <c r="V4283" s="53">
        <f>IF(P4283="","",IF(P4283="Ingreso",S4283,0))</f>
        <v/>
      </c>
      <c r="W4283" s="53">
        <f>IF(P4283="","",IF(P4283="Resultado trading",S4283,0))</f>
        <v/>
      </c>
      <c r="X4283" s="52">
        <f>IF(OR(P4283="Gasto",P4283="Reembolso"),IF(M4283&lt;&gt;"",M4283,IFERROR(INDEX(catClasif,MATCH(D4283&amp;"|"&amp;E4283,catClave,0))&amp;"","Variable")),"")</f>
        <v/>
      </c>
      <c r="Y4283" s="52">
        <f>IF(P4283="","",IFERROR(INDEX(catGrupo,MATCH(D4283&amp;"|"&amp;E4283,catClave,0))&amp;"",""))</f>
        <v/>
      </c>
      <c r="Z4283" s="52">
        <f>IF(P4283="","",WEEKDAY(B4283,2))</f>
        <v/>
      </c>
      <c r="AA4283" s="52">
        <f>IF(P4283="","",IF(AND(P4283="Gasto",X4283="Variable",D4283&lt;&gt;catTrading,S4283&gt;0,S4283&lt;=Umbral),1,0))</f>
        <v/>
      </c>
      <c r="AB4283" s="52">
        <f>IF(OR(P4283="",Q4283=""),"",IFERROR(IF(INDEX(ctaVinc,MATCH(Q4283,ctaNombre,0))&amp;""&lt;&gt;"",INDEX(ctaVinc,MATCH(Q4283,ctaNombre,0))&amp;"",Q4283),Q4283))</f>
        <v/>
      </c>
      <c r="AC4283" s="52">
        <f>IF(OR(K4283="",AND(P4283&lt;&gt;"Transferencia",P4283&lt;&gt;"Pago tarjeta")),"",IFERROR(IF(INDEX(ctaVinc,MATCH(K4283,ctaNombre,0))&amp;""&lt;&gt;"",INDEX(ctaVinc,MATCH(K4283,ctaNombre,0))&amp;"",K4283),K4283))</f>
        <v/>
      </c>
      <c r="AD4283" s="52">
        <f>IF(AB4283="","",IFERROR(INDEX(ctaTipo,MATCH(AB4283,ctaNombre,0))&amp;"",""))</f>
        <v/>
      </c>
      <c r="AE4283" s="52">
        <f>IF(AC4283="","",IFERROR(INDEX(ctaTipo,MATCH(AC4283,ctaNombre,0))&amp;"",""))</f>
        <v/>
      </c>
      <c r="AF4283" s="53">
        <f>IF(OR(P4283="",AB4283=""),"",IF(OR(P4283="Gasto",P4283="Transferencia",P4283="Pago tarjeta"),-1,1)*IF(IFERROR(INDEX(ctaMoneda,MATCH(AB4283,ctaNombre,0))&amp;"","DOP")="USD",T4283,S4283))</f>
        <v/>
      </c>
      <c r="AG4283" s="53">
        <f>IF(AC4283="","",IF(IFERROR(INDEX(ctaMoneda,MATCH(AC4283,ctaNombre,0))&amp;"","DOP")="USD",T4283,S4283))</f>
        <v/>
      </c>
      <c r="AH4283" s="53">
        <f>IF(P4283="","",IF(AND(AD4283&lt;&gt;"",COUNTIFS(tcTipo,AD4283,tcLiq,"Sí")&gt;0),IF(OR(P4283="Gasto",P4283="Transferencia",P4283="Pago tarjeta"),-1,1)*S4283,0)+IF(AND(AE4283&lt;&gt;"",COUNTIFS(tcTipo,AE4283,tcLiq,"Sí")&gt;0),S4283,0))</f>
        <v/>
      </c>
      <c r="AI4283" s="52">
        <f>IF(OR(L4283="",P4283=""),"",IF(COUNTIFS(L$6:L4283,L4283,P$6:P4283,"?*")=1,MAX(AI$5:AI4282)+1,""))</f>
        <v/>
      </c>
    </row>
    <row r="4284">
      <c r="B4284" s="47" t="n"/>
      <c r="C4284" s="48" t="n"/>
      <c r="D4284" s="48" t="n"/>
      <c r="E4284" s="48" t="n"/>
      <c r="F4284" s="48" t="n"/>
      <c r="G4284" s="49" t="n"/>
      <c r="H4284" s="48" t="n"/>
      <c r="I4284" s="50" t="n"/>
      <c r="J4284" s="48" t="n"/>
      <c r="K4284" s="48" t="n"/>
      <c r="L4284" s="48" t="n"/>
      <c r="M4284" s="48" t="n"/>
      <c r="N4284" s="48" t="n"/>
      <c r="O4284" s="51">
        <f>IF(AND(B4284="",G4284="",C4284="",D4284="",J4284=""),"",IF(B4284="","⚠ Falta fecha",IF(G4284="","⚠ Falta monto",IF(Q4284="","⚠ Falta cuenta",IF(ISNA(MATCH(Q4284,ctaNombre,0)),"⚠ Cuenta no registrada",IF(AND(OR(P4284="Gasto",P4284="Reembolso"),D4284=""),"⚠ Falta categoría",IF(AND(D4284&lt;&gt;"",E4284&lt;&gt;"",ISNA(MATCH(D4284&amp;"|"&amp;E4284,catClave,0))),"⚠ Subcategoría no corresponde",IF(AND(OR(P4284="Transferencia",P4284="Pago tarjeta"),K4284=""),"⚠ Falta cuenta destino",IF(AND(K4284&lt;&gt;"",P4284&lt;&gt;"Transferencia",P4284&lt;&gt;"Pago tarjeta"),"⚠ Destino solo aplica a transferencias",IF(AND(K4284&lt;&gt;"",K4284=Q4284),"⚠ Origen igual a destino",IF(AND(K4284&lt;&gt;"",ISNA(MATCH(K4284,ctaNombre,0))),"⚠ Destino no registrado",IF(AND(P4284="Pago tarjeta",AE4284&lt;&gt;"Tarjeta de crédito"),"⚠ El destino debe ser tarjeta de crédito",IF(AND(P4284="Gasto",E4284="Depósitos y retiros"),"⚠ Usa tipo Transferencia",IF(AND(P4284="Resultado trading",AD4284&lt;&gt;"Cuenta de trading"),"⚠ Usa una cuenta de trading",IF(AND(G4284&lt;=0,P4284&lt;&gt;"Ajuste",P4284&lt;&gt;"Resultado trading"),"⚠ El monto debe ser positivo","✓")))))))))))))))</f>
        <v/>
      </c>
      <c r="P4284" s="52">
        <f>IF(OR(B4284="",G4284=""),"",IF(C4284="","Gasto",C4284))</f>
        <v/>
      </c>
      <c r="Q4284" s="52">
        <f>IF(P4284="","",IF(J4284&lt;&gt;"",J4284,CuentaPred&amp;""))</f>
        <v/>
      </c>
      <c r="R4284" s="52">
        <f>IF(P4284="","",IF(ISNUMBER(I4284),I4284,TasaUSD))</f>
        <v/>
      </c>
      <c r="S4284" s="53">
        <f>IF(P4284="","",IF(H4284="USD",G4284*R4284,G4284))</f>
        <v/>
      </c>
      <c r="T4284" s="53">
        <f>IF(P4284="","",IF(H4284="USD",G4284,IF(R4284&gt;0,G4284/R4284,0)))</f>
        <v/>
      </c>
      <c r="U4284" s="53">
        <f>IF(P4284="","",IF(P4284="Gasto",S4284,IF(P4284="Reembolso",-S4284,0)))</f>
        <v/>
      </c>
      <c r="V4284" s="53">
        <f>IF(P4284="","",IF(P4284="Ingreso",S4284,0))</f>
        <v/>
      </c>
      <c r="W4284" s="53">
        <f>IF(P4284="","",IF(P4284="Resultado trading",S4284,0))</f>
        <v/>
      </c>
      <c r="X4284" s="52">
        <f>IF(OR(P4284="Gasto",P4284="Reembolso"),IF(M4284&lt;&gt;"",M4284,IFERROR(INDEX(catClasif,MATCH(D4284&amp;"|"&amp;E4284,catClave,0))&amp;"","Variable")),"")</f>
        <v/>
      </c>
      <c r="Y4284" s="52">
        <f>IF(P4284="","",IFERROR(INDEX(catGrupo,MATCH(D4284&amp;"|"&amp;E4284,catClave,0))&amp;"",""))</f>
        <v/>
      </c>
      <c r="Z4284" s="52">
        <f>IF(P4284="","",WEEKDAY(B4284,2))</f>
        <v/>
      </c>
      <c r="AA4284" s="52">
        <f>IF(P4284="","",IF(AND(P4284="Gasto",X4284="Variable",D4284&lt;&gt;catTrading,S4284&gt;0,S4284&lt;=Umbral),1,0))</f>
        <v/>
      </c>
      <c r="AB4284" s="52">
        <f>IF(OR(P4284="",Q4284=""),"",IFERROR(IF(INDEX(ctaVinc,MATCH(Q4284,ctaNombre,0))&amp;""&lt;&gt;"",INDEX(ctaVinc,MATCH(Q4284,ctaNombre,0))&amp;"",Q4284),Q4284))</f>
        <v/>
      </c>
      <c r="AC4284" s="52">
        <f>IF(OR(K4284="",AND(P4284&lt;&gt;"Transferencia",P4284&lt;&gt;"Pago tarjeta")),"",IFERROR(IF(INDEX(ctaVinc,MATCH(K4284,ctaNombre,0))&amp;""&lt;&gt;"",INDEX(ctaVinc,MATCH(K4284,ctaNombre,0))&amp;"",K4284),K4284))</f>
        <v/>
      </c>
      <c r="AD4284" s="52">
        <f>IF(AB4284="","",IFERROR(INDEX(ctaTipo,MATCH(AB4284,ctaNombre,0))&amp;"",""))</f>
        <v/>
      </c>
      <c r="AE4284" s="52">
        <f>IF(AC4284="","",IFERROR(INDEX(ctaTipo,MATCH(AC4284,ctaNombre,0))&amp;"",""))</f>
        <v/>
      </c>
      <c r="AF4284" s="53">
        <f>IF(OR(P4284="",AB4284=""),"",IF(OR(P4284="Gasto",P4284="Transferencia",P4284="Pago tarjeta"),-1,1)*IF(IFERROR(INDEX(ctaMoneda,MATCH(AB4284,ctaNombre,0))&amp;"","DOP")="USD",T4284,S4284))</f>
        <v/>
      </c>
      <c r="AG4284" s="53">
        <f>IF(AC4284="","",IF(IFERROR(INDEX(ctaMoneda,MATCH(AC4284,ctaNombre,0))&amp;"","DOP")="USD",T4284,S4284))</f>
        <v/>
      </c>
      <c r="AH4284" s="53">
        <f>IF(P4284="","",IF(AND(AD4284&lt;&gt;"",COUNTIFS(tcTipo,AD4284,tcLiq,"Sí")&gt;0),IF(OR(P4284="Gasto",P4284="Transferencia",P4284="Pago tarjeta"),-1,1)*S4284,0)+IF(AND(AE4284&lt;&gt;"",COUNTIFS(tcTipo,AE4284,tcLiq,"Sí")&gt;0),S4284,0))</f>
        <v/>
      </c>
      <c r="AI4284" s="52">
        <f>IF(OR(L4284="",P4284=""),"",IF(COUNTIFS(L$6:L4284,L4284,P$6:P4284,"?*")=1,MAX(AI$5:AI4283)+1,""))</f>
        <v/>
      </c>
    </row>
    <row r="4285">
      <c r="B4285" s="47" t="n"/>
      <c r="C4285" s="48" t="n"/>
      <c r="D4285" s="48" t="n"/>
      <c r="E4285" s="48" t="n"/>
      <c r="F4285" s="48" t="n"/>
      <c r="G4285" s="49" t="n"/>
      <c r="H4285" s="48" t="n"/>
      <c r="I4285" s="50" t="n"/>
      <c r="J4285" s="48" t="n"/>
      <c r="K4285" s="48" t="n"/>
      <c r="L4285" s="48" t="n"/>
      <c r="M4285" s="48" t="n"/>
      <c r="N4285" s="48" t="n"/>
      <c r="O4285" s="51">
        <f>IF(AND(B4285="",G4285="",C4285="",D4285="",J4285=""),"",IF(B4285="","⚠ Falta fecha",IF(G4285="","⚠ Falta monto",IF(Q4285="","⚠ Falta cuenta",IF(ISNA(MATCH(Q4285,ctaNombre,0)),"⚠ Cuenta no registrada",IF(AND(OR(P4285="Gasto",P4285="Reembolso"),D4285=""),"⚠ Falta categoría",IF(AND(D4285&lt;&gt;"",E4285&lt;&gt;"",ISNA(MATCH(D4285&amp;"|"&amp;E4285,catClave,0))),"⚠ Subcategoría no corresponde",IF(AND(OR(P4285="Transferencia",P4285="Pago tarjeta"),K4285=""),"⚠ Falta cuenta destino",IF(AND(K4285&lt;&gt;"",P4285&lt;&gt;"Transferencia",P4285&lt;&gt;"Pago tarjeta"),"⚠ Destino solo aplica a transferencias",IF(AND(K4285&lt;&gt;"",K4285=Q4285),"⚠ Origen igual a destino",IF(AND(K4285&lt;&gt;"",ISNA(MATCH(K4285,ctaNombre,0))),"⚠ Destino no registrado",IF(AND(P4285="Pago tarjeta",AE4285&lt;&gt;"Tarjeta de crédito"),"⚠ El destino debe ser tarjeta de crédito",IF(AND(P4285="Gasto",E4285="Depósitos y retiros"),"⚠ Usa tipo Transferencia",IF(AND(P4285="Resultado trading",AD4285&lt;&gt;"Cuenta de trading"),"⚠ Usa una cuenta de trading",IF(AND(G4285&lt;=0,P4285&lt;&gt;"Ajuste",P4285&lt;&gt;"Resultado trading"),"⚠ El monto debe ser positivo","✓")))))))))))))))</f>
        <v/>
      </c>
      <c r="P4285" s="52">
        <f>IF(OR(B4285="",G4285=""),"",IF(C4285="","Gasto",C4285))</f>
        <v/>
      </c>
      <c r="Q4285" s="52">
        <f>IF(P4285="","",IF(J4285&lt;&gt;"",J4285,CuentaPred&amp;""))</f>
        <v/>
      </c>
      <c r="R4285" s="52">
        <f>IF(P4285="","",IF(ISNUMBER(I4285),I4285,TasaUSD))</f>
        <v/>
      </c>
      <c r="S4285" s="53">
        <f>IF(P4285="","",IF(H4285="USD",G4285*R4285,G4285))</f>
        <v/>
      </c>
      <c r="T4285" s="53">
        <f>IF(P4285="","",IF(H4285="USD",G4285,IF(R4285&gt;0,G4285/R4285,0)))</f>
        <v/>
      </c>
      <c r="U4285" s="53">
        <f>IF(P4285="","",IF(P4285="Gasto",S4285,IF(P4285="Reembolso",-S4285,0)))</f>
        <v/>
      </c>
      <c r="V4285" s="53">
        <f>IF(P4285="","",IF(P4285="Ingreso",S4285,0))</f>
        <v/>
      </c>
      <c r="W4285" s="53">
        <f>IF(P4285="","",IF(P4285="Resultado trading",S4285,0))</f>
        <v/>
      </c>
      <c r="X4285" s="52">
        <f>IF(OR(P4285="Gasto",P4285="Reembolso"),IF(M4285&lt;&gt;"",M4285,IFERROR(INDEX(catClasif,MATCH(D4285&amp;"|"&amp;E4285,catClave,0))&amp;"","Variable")),"")</f>
        <v/>
      </c>
      <c r="Y4285" s="52">
        <f>IF(P4285="","",IFERROR(INDEX(catGrupo,MATCH(D4285&amp;"|"&amp;E4285,catClave,0))&amp;"",""))</f>
        <v/>
      </c>
      <c r="Z4285" s="52">
        <f>IF(P4285="","",WEEKDAY(B4285,2))</f>
        <v/>
      </c>
      <c r="AA4285" s="52">
        <f>IF(P4285="","",IF(AND(P4285="Gasto",X4285="Variable",D4285&lt;&gt;catTrading,S4285&gt;0,S4285&lt;=Umbral),1,0))</f>
        <v/>
      </c>
      <c r="AB4285" s="52">
        <f>IF(OR(P4285="",Q4285=""),"",IFERROR(IF(INDEX(ctaVinc,MATCH(Q4285,ctaNombre,0))&amp;""&lt;&gt;"",INDEX(ctaVinc,MATCH(Q4285,ctaNombre,0))&amp;"",Q4285),Q4285))</f>
        <v/>
      </c>
      <c r="AC4285" s="52">
        <f>IF(OR(K4285="",AND(P4285&lt;&gt;"Transferencia",P4285&lt;&gt;"Pago tarjeta")),"",IFERROR(IF(INDEX(ctaVinc,MATCH(K4285,ctaNombre,0))&amp;""&lt;&gt;"",INDEX(ctaVinc,MATCH(K4285,ctaNombre,0))&amp;"",K4285),K4285))</f>
        <v/>
      </c>
      <c r="AD4285" s="52">
        <f>IF(AB4285="","",IFERROR(INDEX(ctaTipo,MATCH(AB4285,ctaNombre,0))&amp;"",""))</f>
        <v/>
      </c>
      <c r="AE4285" s="52">
        <f>IF(AC4285="","",IFERROR(INDEX(ctaTipo,MATCH(AC4285,ctaNombre,0))&amp;"",""))</f>
        <v/>
      </c>
      <c r="AF4285" s="53">
        <f>IF(OR(P4285="",AB4285=""),"",IF(OR(P4285="Gasto",P4285="Transferencia",P4285="Pago tarjeta"),-1,1)*IF(IFERROR(INDEX(ctaMoneda,MATCH(AB4285,ctaNombre,0))&amp;"","DOP")="USD",T4285,S4285))</f>
        <v/>
      </c>
      <c r="AG4285" s="53">
        <f>IF(AC4285="","",IF(IFERROR(INDEX(ctaMoneda,MATCH(AC4285,ctaNombre,0))&amp;"","DOP")="USD",T4285,S4285))</f>
        <v/>
      </c>
      <c r="AH4285" s="53">
        <f>IF(P4285="","",IF(AND(AD4285&lt;&gt;"",COUNTIFS(tcTipo,AD4285,tcLiq,"Sí")&gt;0),IF(OR(P4285="Gasto",P4285="Transferencia",P4285="Pago tarjeta"),-1,1)*S4285,0)+IF(AND(AE4285&lt;&gt;"",COUNTIFS(tcTipo,AE4285,tcLiq,"Sí")&gt;0),S4285,0))</f>
        <v/>
      </c>
      <c r="AI4285" s="52">
        <f>IF(OR(L4285="",P4285=""),"",IF(COUNTIFS(L$6:L4285,L4285,P$6:P4285,"?*")=1,MAX(AI$5:AI4284)+1,""))</f>
        <v/>
      </c>
    </row>
    <row r="4286">
      <c r="B4286" s="47" t="n"/>
      <c r="C4286" s="48" t="n"/>
      <c r="D4286" s="48" t="n"/>
      <c r="E4286" s="48" t="n"/>
      <c r="F4286" s="48" t="n"/>
      <c r="G4286" s="49" t="n"/>
      <c r="H4286" s="48" t="n"/>
      <c r="I4286" s="50" t="n"/>
      <c r="J4286" s="48" t="n"/>
      <c r="K4286" s="48" t="n"/>
      <c r="L4286" s="48" t="n"/>
      <c r="M4286" s="48" t="n"/>
      <c r="N4286" s="48" t="n"/>
      <c r="O4286" s="51">
        <f>IF(AND(B4286="",G4286="",C4286="",D4286="",J4286=""),"",IF(B4286="","⚠ Falta fecha",IF(G4286="","⚠ Falta monto",IF(Q4286="","⚠ Falta cuenta",IF(ISNA(MATCH(Q4286,ctaNombre,0)),"⚠ Cuenta no registrada",IF(AND(OR(P4286="Gasto",P4286="Reembolso"),D4286=""),"⚠ Falta categoría",IF(AND(D4286&lt;&gt;"",E4286&lt;&gt;"",ISNA(MATCH(D4286&amp;"|"&amp;E4286,catClave,0))),"⚠ Subcategoría no corresponde",IF(AND(OR(P4286="Transferencia",P4286="Pago tarjeta"),K4286=""),"⚠ Falta cuenta destino",IF(AND(K4286&lt;&gt;"",P4286&lt;&gt;"Transferencia",P4286&lt;&gt;"Pago tarjeta"),"⚠ Destino solo aplica a transferencias",IF(AND(K4286&lt;&gt;"",K4286=Q4286),"⚠ Origen igual a destino",IF(AND(K4286&lt;&gt;"",ISNA(MATCH(K4286,ctaNombre,0))),"⚠ Destino no registrado",IF(AND(P4286="Pago tarjeta",AE4286&lt;&gt;"Tarjeta de crédito"),"⚠ El destino debe ser tarjeta de crédito",IF(AND(P4286="Gasto",E4286="Depósitos y retiros"),"⚠ Usa tipo Transferencia",IF(AND(P4286="Resultado trading",AD4286&lt;&gt;"Cuenta de trading"),"⚠ Usa una cuenta de trading",IF(AND(G4286&lt;=0,P4286&lt;&gt;"Ajuste",P4286&lt;&gt;"Resultado trading"),"⚠ El monto debe ser positivo","✓")))))))))))))))</f>
        <v/>
      </c>
      <c r="P4286" s="52">
        <f>IF(OR(B4286="",G4286=""),"",IF(C4286="","Gasto",C4286))</f>
        <v/>
      </c>
      <c r="Q4286" s="52">
        <f>IF(P4286="","",IF(J4286&lt;&gt;"",J4286,CuentaPred&amp;""))</f>
        <v/>
      </c>
      <c r="R4286" s="52">
        <f>IF(P4286="","",IF(ISNUMBER(I4286),I4286,TasaUSD))</f>
        <v/>
      </c>
      <c r="S4286" s="53">
        <f>IF(P4286="","",IF(H4286="USD",G4286*R4286,G4286))</f>
        <v/>
      </c>
      <c r="T4286" s="53">
        <f>IF(P4286="","",IF(H4286="USD",G4286,IF(R4286&gt;0,G4286/R4286,0)))</f>
        <v/>
      </c>
      <c r="U4286" s="53">
        <f>IF(P4286="","",IF(P4286="Gasto",S4286,IF(P4286="Reembolso",-S4286,0)))</f>
        <v/>
      </c>
      <c r="V4286" s="53">
        <f>IF(P4286="","",IF(P4286="Ingreso",S4286,0))</f>
        <v/>
      </c>
      <c r="W4286" s="53">
        <f>IF(P4286="","",IF(P4286="Resultado trading",S4286,0))</f>
        <v/>
      </c>
      <c r="X4286" s="52">
        <f>IF(OR(P4286="Gasto",P4286="Reembolso"),IF(M4286&lt;&gt;"",M4286,IFERROR(INDEX(catClasif,MATCH(D4286&amp;"|"&amp;E4286,catClave,0))&amp;"","Variable")),"")</f>
        <v/>
      </c>
      <c r="Y4286" s="52">
        <f>IF(P4286="","",IFERROR(INDEX(catGrupo,MATCH(D4286&amp;"|"&amp;E4286,catClave,0))&amp;"",""))</f>
        <v/>
      </c>
      <c r="Z4286" s="52">
        <f>IF(P4286="","",WEEKDAY(B4286,2))</f>
        <v/>
      </c>
      <c r="AA4286" s="52">
        <f>IF(P4286="","",IF(AND(P4286="Gasto",X4286="Variable",D4286&lt;&gt;catTrading,S4286&gt;0,S4286&lt;=Umbral),1,0))</f>
        <v/>
      </c>
      <c r="AB4286" s="52">
        <f>IF(OR(P4286="",Q4286=""),"",IFERROR(IF(INDEX(ctaVinc,MATCH(Q4286,ctaNombre,0))&amp;""&lt;&gt;"",INDEX(ctaVinc,MATCH(Q4286,ctaNombre,0))&amp;"",Q4286),Q4286))</f>
        <v/>
      </c>
      <c r="AC4286" s="52">
        <f>IF(OR(K4286="",AND(P4286&lt;&gt;"Transferencia",P4286&lt;&gt;"Pago tarjeta")),"",IFERROR(IF(INDEX(ctaVinc,MATCH(K4286,ctaNombre,0))&amp;""&lt;&gt;"",INDEX(ctaVinc,MATCH(K4286,ctaNombre,0))&amp;"",K4286),K4286))</f>
        <v/>
      </c>
      <c r="AD4286" s="52">
        <f>IF(AB4286="","",IFERROR(INDEX(ctaTipo,MATCH(AB4286,ctaNombre,0))&amp;"",""))</f>
        <v/>
      </c>
      <c r="AE4286" s="52">
        <f>IF(AC4286="","",IFERROR(INDEX(ctaTipo,MATCH(AC4286,ctaNombre,0))&amp;"",""))</f>
        <v/>
      </c>
      <c r="AF4286" s="53">
        <f>IF(OR(P4286="",AB4286=""),"",IF(OR(P4286="Gasto",P4286="Transferencia",P4286="Pago tarjeta"),-1,1)*IF(IFERROR(INDEX(ctaMoneda,MATCH(AB4286,ctaNombre,0))&amp;"","DOP")="USD",T4286,S4286))</f>
        <v/>
      </c>
      <c r="AG4286" s="53">
        <f>IF(AC4286="","",IF(IFERROR(INDEX(ctaMoneda,MATCH(AC4286,ctaNombre,0))&amp;"","DOP")="USD",T4286,S4286))</f>
        <v/>
      </c>
      <c r="AH4286" s="53">
        <f>IF(P4286="","",IF(AND(AD4286&lt;&gt;"",COUNTIFS(tcTipo,AD4286,tcLiq,"Sí")&gt;0),IF(OR(P4286="Gasto",P4286="Transferencia",P4286="Pago tarjeta"),-1,1)*S4286,0)+IF(AND(AE4286&lt;&gt;"",COUNTIFS(tcTipo,AE4286,tcLiq,"Sí")&gt;0),S4286,0))</f>
        <v/>
      </c>
      <c r="AI4286" s="52">
        <f>IF(OR(L4286="",P4286=""),"",IF(COUNTIFS(L$6:L4286,L4286,P$6:P4286,"?*")=1,MAX(AI$5:AI4285)+1,""))</f>
        <v/>
      </c>
    </row>
    <row r="4287">
      <c r="B4287" s="47" t="n"/>
      <c r="C4287" s="48" t="n"/>
      <c r="D4287" s="48" t="n"/>
      <c r="E4287" s="48" t="n"/>
      <c r="F4287" s="48" t="n"/>
      <c r="G4287" s="49" t="n"/>
      <c r="H4287" s="48" t="n"/>
      <c r="I4287" s="50" t="n"/>
      <c r="J4287" s="48" t="n"/>
      <c r="K4287" s="48" t="n"/>
      <c r="L4287" s="48" t="n"/>
      <c r="M4287" s="48" t="n"/>
      <c r="N4287" s="48" t="n"/>
      <c r="O4287" s="51">
        <f>IF(AND(B4287="",G4287="",C4287="",D4287="",J4287=""),"",IF(B4287="","⚠ Falta fecha",IF(G4287="","⚠ Falta monto",IF(Q4287="","⚠ Falta cuenta",IF(ISNA(MATCH(Q4287,ctaNombre,0)),"⚠ Cuenta no registrada",IF(AND(OR(P4287="Gasto",P4287="Reembolso"),D4287=""),"⚠ Falta categoría",IF(AND(D4287&lt;&gt;"",E4287&lt;&gt;"",ISNA(MATCH(D4287&amp;"|"&amp;E4287,catClave,0))),"⚠ Subcategoría no corresponde",IF(AND(OR(P4287="Transferencia",P4287="Pago tarjeta"),K4287=""),"⚠ Falta cuenta destino",IF(AND(K4287&lt;&gt;"",P4287&lt;&gt;"Transferencia",P4287&lt;&gt;"Pago tarjeta"),"⚠ Destino solo aplica a transferencias",IF(AND(K4287&lt;&gt;"",K4287=Q4287),"⚠ Origen igual a destino",IF(AND(K4287&lt;&gt;"",ISNA(MATCH(K4287,ctaNombre,0))),"⚠ Destino no registrado",IF(AND(P4287="Pago tarjeta",AE4287&lt;&gt;"Tarjeta de crédito"),"⚠ El destino debe ser tarjeta de crédito",IF(AND(P4287="Gasto",E4287="Depósitos y retiros"),"⚠ Usa tipo Transferencia",IF(AND(P4287="Resultado trading",AD4287&lt;&gt;"Cuenta de trading"),"⚠ Usa una cuenta de trading",IF(AND(G4287&lt;=0,P4287&lt;&gt;"Ajuste",P4287&lt;&gt;"Resultado trading"),"⚠ El monto debe ser positivo","✓")))))))))))))))</f>
        <v/>
      </c>
      <c r="P4287" s="52">
        <f>IF(OR(B4287="",G4287=""),"",IF(C4287="","Gasto",C4287))</f>
        <v/>
      </c>
      <c r="Q4287" s="52">
        <f>IF(P4287="","",IF(J4287&lt;&gt;"",J4287,CuentaPred&amp;""))</f>
        <v/>
      </c>
      <c r="R4287" s="52">
        <f>IF(P4287="","",IF(ISNUMBER(I4287),I4287,TasaUSD))</f>
        <v/>
      </c>
      <c r="S4287" s="53">
        <f>IF(P4287="","",IF(H4287="USD",G4287*R4287,G4287))</f>
        <v/>
      </c>
      <c r="T4287" s="53">
        <f>IF(P4287="","",IF(H4287="USD",G4287,IF(R4287&gt;0,G4287/R4287,0)))</f>
        <v/>
      </c>
      <c r="U4287" s="53">
        <f>IF(P4287="","",IF(P4287="Gasto",S4287,IF(P4287="Reembolso",-S4287,0)))</f>
        <v/>
      </c>
      <c r="V4287" s="53">
        <f>IF(P4287="","",IF(P4287="Ingreso",S4287,0))</f>
        <v/>
      </c>
      <c r="W4287" s="53">
        <f>IF(P4287="","",IF(P4287="Resultado trading",S4287,0))</f>
        <v/>
      </c>
      <c r="X4287" s="52">
        <f>IF(OR(P4287="Gasto",P4287="Reembolso"),IF(M4287&lt;&gt;"",M4287,IFERROR(INDEX(catClasif,MATCH(D4287&amp;"|"&amp;E4287,catClave,0))&amp;"","Variable")),"")</f>
        <v/>
      </c>
      <c r="Y4287" s="52">
        <f>IF(P4287="","",IFERROR(INDEX(catGrupo,MATCH(D4287&amp;"|"&amp;E4287,catClave,0))&amp;"",""))</f>
        <v/>
      </c>
      <c r="Z4287" s="52">
        <f>IF(P4287="","",WEEKDAY(B4287,2))</f>
        <v/>
      </c>
      <c r="AA4287" s="52">
        <f>IF(P4287="","",IF(AND(P4287="Gasto",X4287="Variable",D4287&lt;&gt;catTrading,S4287&gt;0,S4287&lt;=Umbral),1,0))</f>
        <v/>
      </c>
      <c r="AB4287" s="52">
        <f>IF(OR(P4287="",Q4287=""),"",IFERROR(IF(INDEX(ctaVinc,MATCH(Q4287,ctaNombre,0))&amp;""&lt;&gt;"",INDEX(ctaVinc,MATCH(Q4287,ctaNombre,0))&amp;"",Q4287),Q4287))</f>
        <v/>
      </c>
      <c r="AC4287" s="52">
        <f>IF(OR(K4287="",AND(P4287&lt;&gt;"Transferencia",P4287&lt;&gt;"Pago tarjeta")),"",IFERROR(IF(INDEX(ctaVinc,MATCH(K4287,ctaNombre,0))&amp;""&lt;&gt;"",INDEX(ctaVinc,MATCH(K4287,ctaNombre,0))&amp;"",K4287),K4287))</f>
        <v/>
      </c>
      <c r="AD4287" s="52">
        <f>IF(AB4287="","",IFERROR(INDEX(ctaTipo,MATCH(AB4287,ctaNombre,0))&amp;"",""))</f>
        <v/>
      </c>
      <c r="AE4287" s="52">
        <f>IF(AC4287="","",IFERROR(INDEX(ctaTipo,MATCH(AC4287,ctaNombre,0))&amp;"",""))</f>
        <v/>
      </c>
      <c r="AF4287" s="53">
        <f>IF(OR(P4287="",AB4287=""),"",IF(OR(P4287="Gasto",P4287="Transferencia",P4287="Pago tarjeta"),-1,1)*IF(IFERROR(INDEX(ctaMoneda,MATCH(AB4287,ctaNombre,0))&amp;"","DOP")="USD",T4287,S4287))</f>
        <v/>
      </c>
      <c r="AG4287" s="53">
        <f>IF(AC4287="","",IF(IFERROR(INDEX(ctaMoneda,MATCH(AC4287,ctaNombre,0))&amp;"","DOP")="USD",T4287,S4287))</f>
        <v/>
      </c>
      <c r="AH4287" s="53">
        <f>IF(P4287="","",IF(AND(AD4287&lt;&gt;"",COUNTIFS(tcTipo,AD4287,tcLiq,"Sí")&gt;0),IF(OR(P4287="Gasto",P4287="Transferencia",P4287="Pago tarjeta"),-1,1)*S4287,0)+IF(AND(AE4287&lt;&gt;"",COUNTIFS(tcTipo,AE4287,tcLiq,"Sí")&gt;0),S4287,0))</f>
        <v/>
      </c>
      <c r="AI4287" s="52">
        <f>IF(OR(L4287="",P4287=""),"",IF(COUNTIFS(L$6:L4287,L4287,P$6:P4287,"?*")=1,MAX(AI$5:AI4286)+1,""))</f>
        <v/>
      </c>
    </row>
    <row r="4288">
      <c r="B4288" s="47" t="n"/>
      <c r="C4288" s="48" t="n"/>
      <c r="D4288" s="48" t="n"/>
      <c r="E4288" s="48" t="n"/>
      <c r="F4288" s="48" t="n"/>
      <c r="G4288" s="49" t="n"/>
      <c r="H4288" s="48" t="n"/>
      <c r="I4288" s="50" t="n"/>
      <c r="J4288" s="48" t="n"/>
      <c r="K4288" s="48" t="n"/>
      <c r="L4288" s="48" t="n"/>
      <c r="M4288" s="48" t="n"/>
      <c r="N4288" s="48" t="n"/>
      <c r="O4288" s="51">
        <f>IF(AND(B4288="",G4288="",C4288="",D4288="",J4288=""),"",IF(B4288="","⚠ Falta fecha",IF(G4288="","⚠ Falta monto",IF(Q4288="","⚠ Falta cuenta",IF(ISNA(MATCH(Q4288,ctaNombre,0)),"⚠ Cuenta no registrada",IF(AND(OR(P4288="Gasto",P4288="Reembolso"),D4288=""),"⚠ Falta categoría",IF(AND(D4288&lt;&gt;"",E4288&lt;&gt;"",ISNA(MATCH(D4288&amp;"|"&amp;E4288,catClave,0))),"⚠ Subcategoría no corresponde",IF(AND(OR(P4288="Transferencia",P4288="Pago tarjeta"),K4288=""),"⚠ Falta cuenta destino",IF(AND(K4288&lt;&gt;"",P4288&lt;&gt;"Transferencia",P4288&lt;&gt;"Pago tarjeta"),"⚠ Destino solo aplica a transferencias",IF(AND(K4288&lt;&gt;"",K4288=Q4288),"⚠ Origen igual a destino",IF(AND(K4288&lt;&gt;"",ISNA(MATCH(K4288,ctaNombre,0))),"⚠ Destino no registrado",IF(AND(P4288="Pago tarjeta",AE4288&lt;&gt;"Tarjeta de crédito"),"⚠ El destino debe ser tarjeta de crédito",IF(AND(P4288="Gasto",E4288="Depósitos y retiros"),"⚠ Usa tipo Transferencia",IF(AND(P4288="Resultado trading",AD4288&lt;&gt;"Cuenta de trading"),"⚠ Usa una cuenta de trading",IF(AND(G4288&lt;=0,P4288&lt;&gt;"Ajuste",P4288&lt;&gt;"Resultado trading"),"⚠ El monto debe ser positivo","✓")))))))))))))))</f>
        <v/>
      </c>
      <c r="P4288" s="52">
        <f>IF(OR(B4288="",G4288=""),"",IF(C4288="","Gasto",C4288))</f>
        <v/>
      </c>
      <c r="Q4288" s="52">
        <f>IF(P4288="","",IF(J4288&lt;&gt;"",J4288,CuentaPred&amp;""))</f>
        <v/>
      </c>
      <c r="R4288" s="52">
        <f>IF(P4288="","",IF(ISNUMBER(I4288),I4288,TasaUSD))</f>
        <v/>
      </c>
      <c r="S4288" s="53">
        <f>IF(P4288="","",IF(H4288="USD",G4288*R4288,G4288))</f>
        <v/>
      </c>
      <c r="T4288" s="53">
        <f>IF(P4288="","",IF(H4288="USD",G4288,IF(R4288&gt;0,G4288/R4288,0)))</f>
        <v/>
      </c>
      <c r="U4288" s="53">
        <f>IF(P4288="","",IF(P4288="Gasto",S4288,IF(P4288="Reembolso",-S4288,0)))</f>
        <v/>
      </c>
      <c r="V4288" s="53">
        <f>IF(P4288="","",IF(P4288="Ingreso",S4288,0))</f>
        <v/>
      </c>
      <c r="W4288" s="53">
        <f>IF(P4288="","",IF(P4288="Resultado trading",S4288,0))</f>
        <v/>
      </c>
      <c r="X4288" s="52">
        <f>IF(OR(P4288="Gasto",P4288="Reembolso"),IF(M4288&lt;&gt;"",M4288,IFERROR(INDEX(catClasif,MATCH(D4288&amp;"|"&amp;E4288,catClave,0))&amp;"","Variable")),"")</f>
        <v/>
      </c>
      <c r="Y4288" s="52">
        <f>IF(P4288="","",IFERROR(INDEX(catGrupo,MATCH(D4288&amp;"|"&amp;E4288,catClave,0))&amp;"",""))</f>
        <v/>
      </c>
      <c r="Z4288" s="52">
        <f>IF(P4288="","",WEEKDAY(B4288,2))</f>
        <v/>
      </c>
      <c r="AA4288" s="52">
        <f>IF(P4288="","",IF(AND(P4288="Gasto",X4288="Variable",D4288&lt;&gt;catTrading,S4288&gt;0,S4288&lt;=Umbral),1,0))</f>
        <v/>
      </c>
      <c r="AB4288" s="52">
        <f>IF(OR(P4288="",Q4288=""),"",IFERROR(IF(INDEX(ctaVinc,MATCH(Q4288,ctaNombre,0))&amp;""&lt;&gt;"",INDEX(ctaVinc,MATCH(Q4288,ctaNombre,0))&amp;"",Q4288),Q4288))</f>
        <v/>
      </c>
      <c r="AC4288" s="52">
        <f>IF(OR(K4288="",AND(P4288&lt;&gt;"Transferencia",P4288&lt;&gt;"Pago tarjeta")),"",IFERROR(IF(INDEX(ctaVinc,MATCH(K4288,ctaNombre,0))&amp;""&lt;&gt;"",INDEX(ctaVinc,MATCH(K4288,ctaNombre,0))&amp;"",K4288),K4288))</f>
        <v/>
      </c>
      <c r="AD4288" s="52">
        <f>IF(AB4288="","",IFERROR(INDEX(ctaTipo,MATCH(AB4288,ctaNombre,0))&amp;"",""))</f>
        <v/>
      </c>
      <c r="AE4288" s="52">
        <f>IF(AC4288="","",IFERROR(INDEX(ctaTipo,MATCH(AC4288,ctaNombre,0))&amp;"",""))</f>
        <v/>
      </c>
      <c r="AF4288" s="53">
        <f>IF(OR(P4288="",AB4288=""),"",IF(OR(P4288="Gasto",P4288="Transferencia",P4288="Pago tarjeta"),-1,1)*IF(IFERROR(INDEX(ctaMoneda,MATCH(AB4288,ctaNombre,0))&amp;"","DOP")="USD",T4288,S4288))</f>
        <v/>
      </c>
      <c r="AG4288" s="53">
        <f>IF(AC4288="","",IF(IFERROR(INDEX(ctaMoneda,MATCH(AC4288,ctaNombre,0))&amp;"","DOP")="USD",T4288,S4288))</f>
        <v/>
      </c>
      <c r="AH4288" s="53">
        <f>IF(P4288="","",IF(AND(AD4288&lt;&gt;"",COUNTIFS(tcTipo,AD4288,tcLiq,"Sí")&gt;0),IF(OR(P4288="Gasto",P4288="Transferencia",P4288="Pago tarjeta"),-1,1)*S4288,0)+IF(AND(AE4288&lt;&gt;"",COUNTIFS(tcTipo,AE4288,tcLiq,"Sí")&gt;0),S4288,0))</f>
        <v/>
      </c>
      <c r="AI4288" s="52">
        <f>IF(OR(L4288="",P4288=""),"",IF(COUNTIFS(L$6:L4288,L4288,P$6:P4288,"?*")=1,MAX(AI$5:AI4287)+1,""))</f>
        <v/>
      </c>
    </row>
    <row r="4289">
      <c r="B4289" s="47" t="n"/>
      <c r="C4289" s="48" t="n"/>
      <c r="D4289" s="48" t="n"/>
      <c r="E4289" s="48" t="n"/>
      <c r="F4289" s="48" t="n"/>
      <c r="G4289" s="49" t="n"/>
      <c r="H4289" s="48" t="n"/>
      <c r="I4289" s="50" t="n"/>
      <c r="J4289" s="48" t="n"/>
      <c r="K4289" s="48" t="n"/>
      <c r="L4289" s="48" t="n"/>
      <c r="M4289" s="48" t="n"/>
      <c r="N4289" s="48" t="n"/>
      <c r="O4289" s="51">
        <f>IF(AND(B4289="",G4289="",C4289="",D4289="",J4289=""),"",IF(B4289="","⚠ Falta fecha",IF(G4289="","⚠ Falta monto",IF(Q4289="","⚠ Falta cuenta",IF(ISNA(MATCH(Q4289,ctaNombre,0)),"⚠ Cuenta no registrada",IF(AND(OR(P4289="Gasto",P4289="Reembolso"),D4289=""),"⚠ Falta categoría",IF(AND(D4289&lt;&gt;"",E4289&lt;&gt;"",ISNA(MATCH(D4289&amp;"|"&amp;E4289,catClave,0))),"⚠ Subcategoría no corresponde",IF(AND(OR(P4289="Transferencia",P4289="Pago tarjeta"),K4289=""),"⚠ Falta cuenta destino",IF(AND(K4289&lt;&gt;"",P4289&lt;&gt;"Transferencia",P4289&lt;&gt;"Pago tarjeta"),"⚠ Destino solo aplica a transferencias",IF(AND(K4289&lt;&gt;"",K4289=Q4289),"⚠ Origen igual a destino",IF(AND(K4289&lt;&gt;"",ISNA(MATCH(K4289,ctaNombre,0))),"⚠ Destino no registrado",IF(AND(P4289="Pago tarjeta",AE4289&lt;&gt;"Tarjeta de crédito"),"⚠ El destino debe ser tarjeta de crédito",IF(AND(P4289="Gasto",E4289="Depósitos y retiros"),"⚠ Usa tipo Transferencia",IF(AND(P4289="Resultado trading",AD4289&lt;&gt;"Cuenta de trading"),"⚠ Usa una cuenta de trading",IF(AND(G4289&lt;=0,P4289&lt;&gt;"Ajuste",P4289&lt;&gt;"Resultado trading"),"⚠ El monto debe ser positivo","✓")))))))))))))))</f>
        <v/>
      </c>
      <c r="P4289" s="52">
        <f>IF(OR(B4289="",G4289=""),"",IF(C4289="","Gasto",C4289))</f>
        <v/>
      </c>
      <c r="Q4289" s="52">
        <f>IF(P4289="","",IF(J4289&lt;&gt;"",J4289,CuentaPred&amp;""))</f>
        <v/>
      </c>
      <c r="R4289" s="52">
        <f>IF(P4289="","",IF(ISNUMBER(I4289),I4289,TasaUSD))</f>
        <v/>
      </c>
      <c r="S4289" s="53">
        <f>IF(P4289="","",IF(H4289="USD",G4289*R4289,G4289))</f>
        <v/>
      </c>
      <c r="T4289" s="53">
        <f>IF(P4289="","",IF(H4289="USD",G4289,IF(R4289&gt;0,G4289/R4289,0)))</f>
        <v/>
      </c>
      <c r="U4289" s="53">
        <f>IF(P4289="","",IF(P4289="Gasto",S4289,IF(P4289="Reembolso",-S4289,0)))</f>
        <v/>
      </c>
      <c r="V4289" s="53">
        <f>IF(P4289="","",IF(P4289="Ingreso",S4289,0))</f>
        <v/>
      </c>
      <c r="W4289" s="53">
        <f>IF(P4289="","",IF(P4289="Resultado trading",S4289,0))</f>
        <v/>
      </c>
      <c r="X4289" s="52">
        <f>IF(OR(P4289="Gasto",P4289="Reembolso"),IF(M4289&lt;&gt;"",M4289,IFERROR(INDEX(catClasif,MATCH(D4289&amp;"|"&amp;E4289,catClave,0))&amp;"","Variable")),"")</f>
        <v/>
      </c>
      <c r="Y4289" s="52">
        <f>IF(P4289="","",IFERROR(INDEX(catGrupo,MATCH(D4289&amp;"|"&amp;E4289,catClave,0))&amp;"",""))</f>
        <v/>
      </c>
      <c r="Z4289" s="52">
        <f>IF(P4289="","",WEEKDAY(B4289,2))</f>
        <v/>
      </c>
      <c r="AA4289" s="52">
        <f>IF(P4289="","",IF(AND(P4289="Gasto",X4289="Variable",D4289&lt;&gt;catTrading,S4289&gt;0,S4289&lt;=Umbral),1,0))</f>
        <v/>
      </c>
      <c r="AB4289" s="52">
        <f>IF(OR(P4289="",Q4289=""),"",IFERROR(IF(INDEX(ctaVinc,MATCH(Q4289,ctaNombre,0))&amp;""&lt;&gt;"",INDEX(ctaVinc,MATCH(Q4289,ctaNombre,0))&amp;"",Q4289),Q4289))</f>
        <v/>
      </c>
      <c r="AC4289" s="52">
        <f>IF(OR(K4289="",AND(P4289&lt;&gt;"Transferencia",P4289&lt;&gt;"Pago tarjeta")),"",IFERROR(IF(INDEX(ctaVinc,MATCH(K4289,ctaNombre,0))&amp;""&lt;&gt;"",INDEX(ctaVinc,MATCH(K4289,ctaNombre,0))&amp;"",K4289),K4289))</f>
        <v/>
      </c>
      <c r="AD4289" s="52">
        <f>IF(AB4289="","",IFERROR(INDEX(ctaTipo,MATCH(AB4289,ctaNombre,0))&amp;"",""))</f>
        <v/>
      </c>
      <c r="AE4289" s="52">
        <f>IF(AC4289="","",IFERROR(INDEX(ctaTipo,MATCH(AC4289,ctaNombre,0))&amp;"",""))</f>
        <v/>
      </c>
      <c r="AF4289" s="53">
        <f>IF(OR(P4289="",AB4289=""),"",IF(OR(P4289="Gasto",P4289="Transferencia",P4289="Pago tarjeta"),-1,1)*IF(IFERROR(INDEX(ctaMoneda,MATCH(AB4289,ctaNombre,0))&amp;"","DOP")="USD",T4289,S4289))</f>
        <v/>
      </c>
      <c r="AG4289" s="53">
        <f>IF(AC4289="","",IF(IFERROR(INDEX(ctaMoneda,MATCH(AC4289,ctaNombre,0))&amp;"","DOP")="USD",T4289,S4289))</f>
        <v/>
      </c>
      <c r="AH4289" s="53">
        <f>IF(P4289="","",IF(AND(AD4289&lt;&gt;"",COUNTIFS(tcTipo,AD4289,tcLiq,"Sí")&gt;0),IF(OR(P4289="Gasto",P4289="Transferencia",P4289="Pago tarjeta"),-1,1)*S4289,0)+IF(AND(AE4289&lt;&gt;"",COUNTIFS(tcTipo,AE4289,tcLiq,"Sí")&gt;0),S4289,0))</f>
        <v/>
      </c>
      <c r="AI4289" s="52">
        <f>IF(OR(L4289="",P4289=""),"",IF(COUNTIFS(L$6:L4289,L4289,P$6:P4289,"?*")=1,MAX(AI$5:AI4288)+1,""))</f>
        <v/>
      </c>
    </row>
    <row r="4290">
      <c r="B4290" s="47" t="n"/>
      <c r="C4290" s="48" t="n"/>
      <c r="D4290" s="48" t="n"/>
      <c r="E4290" s="48" t="n"/>
      <c r="F4290" s="48" t="n"/>
      <c r="G4290" s="49" t="n"/>
      <c r="H4290" s="48" t="n"/>
      <c r="I4290" s="50" t="n"/>
      <c r="J4290" s="48" t="n"/>
      <c r="K4290" s="48" t="n"/>
      <c r="L4290" s="48" t="n"/>
      <c r="M4290" s="48" t="n"/>
      <c r="N4290" s="48" t="n"/>
      <c r="O4290" s="51">
        <f>IF(AND(B4290="",G4290="",C4290="",D4290="",J4290=""),"",IF(B4290="","⚠ Falta fecha",IF(G4290="","⚠ Falta monto",IF(Q4290="","⚠ Falta cuenta",IF(ISNA(MATCH(Q4290,ctaNombre,0)),"⚠ Cuenta no registrada",IF(AND(OR(P4290="Gasto",P4290="Reembolso"),D4290=""),"⚠ Falta categoría",IF(AND(D4290&lt;&gt;"",E4290&lt;&gt;"",ISNA(MATCH(D4290&amp;"|"&amp;E4290,catClave,0))),"⚠ Subcategoría no corresponde",IF(AND(OR(P4290="Transferencia",P4290="Pago tarjeta"),K4290=""),"⚠ Falta cuenta destino",IF(AND(K4290&lt;&gt;"",P4290&lt;&gt;"Transferencia",P4290&lt;&gt;"Pago tarjeta"),"⚠ Destino solo aplica a transferencias",IF(AND(K4290&lt;&gt;"",K4290=Q4290),"⚠ Origen igual a destino",IF(AND(K4290&lt;&gt;"",ISNA(MATCH(K4290,ctaNombre,0))),"⚠ Destino no registrado",IF(AND(P4290="Pago tarjeta",AE4290&lt;&gt;"Tarjeta de crédito"),"⚠ El destino debe ser tarjeta de crédito",IF(AND(P4290="Gasto",E4290="Depósitos y retiros"),"⚠ Usa tipo Transferencia",IF(AND(P4290="Resultado trading",AD4290&lt;&gt;"Cuenta de trading"),"⚠ Usa una cuenta de trading",IF(AND(G4290&lt;=0,P4290&lt;&gt;"Ajuste",P4290&lt;&gt;"Resultado trading"),"⚠ El monto debe ser positivo","✓")))))))))))))))</f>
        <v/>
      </c>
      <c r="P4290" s="52">
        <f>IF(OR(B4290="",G4290=""),"",IF(C4290="","Gasto",C4290))</f>
        <v/>
      </c>
      <c r="Q4290" s="52">
        <f>IF(P4290="","",IF(J4290&lt;&gt;"",J4290,CuentaPred&amp;""))</f>
        <v/>
      </c>
      <c r="R4290" s="52">
        <f>IF(P4290="","",IF(ISNUMBER(I4290),I4290,TasaUSD))</f>
        <v/>
      </c>
      <c r="S4290" s="53">
        <f>IF(P4290="","",IF(H4290="USD",G4290*R4290,G4290))</f>
        <v/>
      </c>
      <c r="T4290" s="53">
        <f>IF(P4290="","",IF(H4290="USD",G4290,IF(R4290&gt;0,G4290/R4290,0)))</f>
        <v/>
      </c>
      <c r="U4290" s="53">
        <f>IF(P4290="","",IF(P4290="Gasto",S4290,IF(P4290="Reembolso",-S4290,0)))</f>
        <v/>
      </c>
      <c r="V4290" s="53">
        <f>IF(P4290="","",IF(P4290="Ingreso",S4290,0))</f>
        <v/>
      </c>
      <c r="W4290" s="53">
        <f>IF(P4290="","",IF(P4290="Resultado trading",S4290,0))</f>
        <v/>
      </c>
      <c r="X4290" s="52">
        <f>IF(OR(P4290="Gasto",P4290="Reembolso"),IF(M4290&lt;&gt;"",M4290,IFERROR(INDEX(catClasif,MATCH(D4290&amp;"|"&amp;E4290,catClave,0))&amp;"","Variable")),"")</f>
        <v/>
      </c>
      <c r="Y4290" s="52">
        <f>IF(P4290="","",IFERROR(INDEX(catGrupo,MATCH(D4290&amp;"|"&amp;E4290,catClave,0))&amp;"",""))</f>
        <v/>
      </c>
      <c r="Z4290" s="52">
        <f>IF(P4290="","",WEEKDAY(B4290,2))</f>
        <v/>
      </c>
      <c r="AA4290" s="52">
        <f>IF(P4290="","",IF(AND(P4290="Gasto",X4290="Variable",D4290&lt;&gt;catTrading,S4290&gt;0,S4290&lt;=Umbral),1,0))</f>
        <v/>
      </c>
      <c r="AB4290" s="52">
        <f>IF(OR(P4290="",Q4290=""),"",IFERROR(IF(INDEX(ctaVinc,MATCH(Q4290,ctaNombre,0))&amp;""&lt;&gt;"",INDEX(ctaVinc,MATCH(Q4290,ctaNombre,0))&amp;"",Q4290),Q4290))</f>
        <v/>
      </c>
      <c r="AC4290" s="52">
        <f>IF(OR(K4290="",AND(P4290&lt;&gt;"Transferencia",P4290&lt;&gt;"Pago tarjeta")),"",IFERROR(IF(INDEX(ctaVinc,MATCH(K4290,ctaNombre,0))&amp;""&lt;&gt;"",INDEX(ctaVinc,MATCH(K4290,ctaNombre,0))&amp;"",K4290),K4290))</f>
        <v/>
      </c>
      <c r="AD4290" s="52">
        <f>IF(AB4290="","",IFERROR(INDEX(ctaTipo,MATCH(AB4290,ctaNombre,0))&amp;"",""))</f>
        <v/>
      </c>
      <c r="AE4290" s="52">
        <f>IF(AC4290="","",IFERROR(INDEX(ctaTipo,MATCH(AC4290,ctaNombre,0))&amp;"",""))</f>
        <v/>
      </c>
      <c r="AF4290" s="53">
        <f>IF(OR(P4290="",AB4290=""),"",IF(OR(P4290="Gasto",P4290="Transferencia",P4290="Pago tarjeta"),-1,1)*IF(IFERROR(INDEX(ctaMoneda,MATCH(AB4290,ctaNombre,0))&amp;"","DOP")="USD",T4290,S4290))</f>
        <v/>
      </c>
      <c r="AG4290" s="53">
        <f>IF(AC4290="","",IF(IFERROR(INDEX(ctaMoneda,MATCH(AC4290,ctaNombre,0))&amp;"","DOP")="USD",T4290,S4290))</f>
        <v/>
      </c>
      <c r="AH4290" s="53">
        <f>IF(P4290="","",IF(AND(AD4290&lt;&gt;"",COUNTIFS(tcTipo,AD4290,tcLiq,"Sí")&gt;0),IF(OR(P4290="Gasto",P4290="Transferencia",P4290="Pago tarjeta"),-1,1)*S4290,0)+IF(AND(AE4290&lt;&gt;"",COUNTIFS(tcTipo,AE4290,tcLiq,"Sí")&gt;0),S4290,0))</f>
        <v/>
      </c>
      <c r="AI4290" s="52">
        <f>IF(OR(L4290="",P4290=""),"",IF(COUNTIFS(L$6:L4290,L4290,P$6:P4290,"?*")=1,MAX(AI$5:AI4289)+1,""))</f>
        <v/>
      </c>
    </row>
    <row r="4291">
      <c r="B4291" s="47" t="n"/>
      <c r="C4291" s="48" t="n"/>
      <c r="D4291" s="48" t="n"/>
      <c r="E4291" s="48" t="n"/>
      <c r="F4291" s="48" t="n"/>
      <c r="G4291" s="49" t="n"/>
      <c r="H4291" s="48" t="n"/>
      <c r="I4291" s="50" t="n"/>
      <c r="J4291" s="48" t="n"/>
      <c r="K4291" s="48" t="n"/>
      <c r="L4291" s="48" t="n"/>
      <c r="M4291" s="48" t="n"/>
      <c r="N4291" s="48" t="n"/>
      <c r="O4291" s="51">
        <f>IF(AND(B4291="",G4291="",C4291="",D4291="",J4291=""),"",IF(B4291="","⚠ Falta fecha",IF(G4291="","⚠ Falta monto",IF(Q4291="","⚠ Falta cuenta",IF(ISNA(MATCH(Q4291,ctaNombre,0)),"⚠ Cuenta no registrada",IF(AND(OR(P4291="Gasto",P4291="Reembolso"),D4291=""),"⚠ Falta categoría",IF(AND(D4291&lt;&gt;"",E4291&lt;&gt;"",ISNA(MATCH(D4291&amp;"|"&amp;E4291,catClave,0))),"⚠ Subcategoría no corresponde",IF(AND(OR(P4291="Transferencia",P4291="Pago tarjeta"),K4291=""),"⚠ Falta cuenta destino",IF(AND(K4291&lt;&gt;"",P4291&lt;&gt;"Transferencia",P4291&lt;&gt;"Pago tarjeta"),"⚠ Destino solo aplica a transferencias",IF(AND(K4291&lt;&gt;"",K4291=Q4291),"⚠ Origen igual a destino",IF(AND(K4291&lt;&gt;"",ISNA(MATCH(K4291,ctaNombre,0))),"⚠ Destino no registrado",IF(AND(P4291="Pago tarjeta",AE4291&lt;&gt;"Tarjeta de crédito"),"⚠ El destino debe ser tarjeta de crédito",IF(AND(P4291="Gasto",E4291="Depósitos y retiros"),"⚠ Usa tipo Transferencia",IF(AND(P4291="Resultado trading",AD4291&lt;&gt;"Cuenta de trading"),"⚠ Usa una cuenta de trading",IF(AND(G4291&lt;=0,P4291&lt;&gt;"Ajuste",P4291&lt;&gt;"Resultado trading"),"⚠ El monto debe ser positivo","✓")))))))))))))))</f>
        <v/>
      </c>
      <c r="P4291" s="52">
        <f>IF(OR(B4291="",G4291=""),"",IF(C4291="","Gasto",C4291))</f>
        <v/>
      </c>
      <c r="Q4291" s="52">
        <f>IF(P4291="","",IF(J4291&lt;&gt;"",J4291,CuentaPred&amp;""))</f>
        <v/>
      </c>
      <c r="R4291" s="52">
        <f>IF(P4291="","",IF(ISNUMBER(I4291),I4291,TasaUSD))</f>
        <v/>
      </c>
      <c r="S4291" s="53">
        <f>IF(P4291="","",IF(H4291="USD",G4291*R4291,G4291))</f>
        <v/>
      </c>
      <c r="T4291" s="53">
        <f>IF(P4291="","",IF(H4291="USD",G4291,IF(R4291&gt;0,G4291/R4291,0)))</f>
        <v/>
      </c>
      <c r="U4291" s="53">
        <f>IF(P4291="","",IF(P4291="Gasto",S4291,IF(P4291="Reembolso",-S4291,0)))</f>
        <v/>
      </c>
      <c r="V4291" s="53">
        <f>IF(P4291="","",IF(P4291="Ingreso",S4291,0))</f>
        <v/>
      </c>
      <c r="W4291" s="53">
        <f>IF(P4291="","",IF(P4291="Resultado trading",S4291,0))</f>
        <v/>
      </c>
      <c r="X4291" s="52">
        <f>IF(OR(P4291="Gasto",P4291="Reembolso"),IF(M4291&lt;&gt;"",M4291,IFERROR(INDEX(catClasif,MATCH(D4291&amp;"|"&amp;E4291,catClave,0))&amp;"","Variable")),"")</f>
        <v/>
      </c>
      <c r="Y4291" s="52">
        <f>IF(P4291="","",IFERROR(INDEX(catGrupo,MATCH(D4291&amp;"|"&amp;E4291,catClave,0))&amp;"",""))</f>
        <v/>
      </c>
      <c r="Z4291" s="52">
        <f>IF(P4291="","",WEEKDAY(B4291,2))</f>
        <v/>
      </c>
      <c r="AA4291" s="52">
        <f>IF(P4291="","",IF(AND(P4291="Gasto",X4291="Variable",D4291&lt;&gt;catTrading,S4291&gt;0,S4291&lt;=Umbral),1,0))</f>
        <v/>
      </c>
      <c r="AB4291" s="52">
        <f>IF(OR(P4291="",Q4291=""),"",IFERROR(IF(INDEX(ctaVinc,MATCH(Q4291,ctaNombre,0))&amp;""&lt;&gt;"",INDEX(ctaVinc,MATCH(Q4291,ctaNombre,0))&amp;"",Q4291),Q4291))</f>
        <v/>
      </c>
      <c r="AC4291" s="52">
        <f>IF(OR(K4291="",AND(P4291&lt;&gt;"Transferencia",P4291&lt;&gt;"Pago tarjeta")),"",IFERROR(IF(INDEX(ctaVinc,MATCH(K4291,ctaNombre,0))&amp;""&lt;&gt;"",INDEX(ctaVinc,MATCH(K4291,ctaNombre,0))&amp;"",K4291),K4291))</f>
        <v/>
      </c>
      <c r="AD4291" s="52">
        <f>IF(AB4291="","",IFERROR(INDEX(ctaTipo,MATCH(AB4291,ctaNombre,0))&amp;"",""))</f>
        <v/>
      </c>
      <c r="AE4291" s="52">
        <f>IF(AC4291="","",IFERROR(INDEX(ctaTipo,MATCH(AC4291,ctaNombre,0))&amp;"",""))</f>
        <v/>
      </c>
      <c r="AF4291" s="53">
        <f>IF(OR(P4291="",AB4291=""),"",IF(OR(P4291="Gasto",P4291="Transferencia",P4291="Pago tarjeta"),-1,1)*IF(IFERROR(INDEX(ctaMoneda,MATCH(AB4291,ctaNombre,0))&amp;"","DOP")="USD",T4291,S4291))</f>
        <v/>
      </c>
      <c r="AG4291" s="53">
        <f>IF(AC4291="","",IF(IFERROR(INDEX(ctaMoneda,MATCH(AC4291,ctaNombre,0))&amp;"","DOP")="USD",T4291,S4291))</f>
        <v/>
      </c>
      <c r="AH4291" s="53">
        <f>IF(P4291="","",IF(AND(AD4291&lt;&gt;"",COUNTIFS(tcTipo,AD4291,tcLiq,"Sí")&gt;0),IF(OR(P4291="Gasto",P4291="Transferencia",P4291="Pago tarjeta"),-1,1)*S4291,0)+IF(AND(AE4291&lt;&gt;"",COUNTIFS(tcTipo,AE4291,tcLiq,"Sí")&gt;0),S4291,0))</f>
        <v/>
      </c>
      <c r="AI4291" s="52">
        <f>IF(OR(L4291="",P4291=""),"",IF(COUNTIFS(L$6:L4291,L4291,P$6:P4291,"?*")=1,MAX(AI$5:AI4290)+1,""))</f>
        <v/>
      </c>
    </row>
    <row r="4292">
      <c r="B4292" s="47" t="n"/>
      <c r="C4292" s="48" t="n"/>
      <c r="D4292" s="48" t="n"/>
      <c r="E4292" s="48" t="n"/>
      <c r="F4292" s="48" t="n"/>
      <c r="G4292" s="49" t="n"/>
      <c r="H4292" s="48" t="n"/>
      <c r="I4292" s="50" t="n"/>
      <c r="J4292" s="48" t="n"/>
      <c r="K4292" s="48" t="n"/>
      <c r="L4292" s="48" t="n"/>
      <c r="M4292" s="48" t="n"/>
      <c r="N4292" s="48" t="n"/>
      <c r="O4292" s="51">
        <f>IF(AND(B4292="",G4292="",C4292="",D4292="",J4292=""),"",IF(B4292="","⚠ Falta fecha",IF(G4292="","⚠ Falta monto",IF(Q4292="","⚠ Falta cuenta",IF(ISNA(MATCH(Q4292,ctaNombre,0)),"⚠ Cuenta no registrada",IF(AND(OR(P4292="Gasto",P4292="Reembolso"),D4292=""),"⚠ Falta categoría",IF(AND(D4292&lt;&gt;"",E4292&lt;&gt;"",ISNA(MATCH(D4292&amp;"|"&amp;E4292,catClave,0))),"⚠ Subcategoría no corresponde",IF(AND(OR(P4292="Transferencia",P4292="Pago tarjeta"),K4292=""),"⚠ Falta cuenta destino",IF(AND(K4292&lt;&gt;"",P4292&lt;&gt;"Transferencia",P4292&lt;&gt;"Pago tarjeta"),"⚠ Destino solo aplica a transferencias",IF(AND(K4292&lt;&gt;"",K4292=Q4292),"⚠ Origen igual a destino",IF(AND(K4292&lt;&gt;"",ISNA(MATCH(K4292,ctaNombre,0))),"⚠ Destino no registrado",IF(AND(P4292="Pago tarjeta",AE4292&lt;&gt;"Tarjeta de crédito"),"⚠ El destino debe ser tarjeta de crédito",IF(AND(P4292="Gasto",E4292="Depósitos y retiros"),"⚠ Usa tipo Transferencia",IF(AND(P4292="Resultado trading",AD4292&lt;&gt;"Cuenta de trading"),"⚠ Usa una cuenta de trading",IF(AND(G4292&lt;=0,P4292&lt;&gt;"Ajuste",P4292&lt;&gt;"Resultado trading"),"⚠ El monto debe ser positivo","✓")))))))))))))))</f>
        <v/>
      </c>
      <c r="P4292" s="52">
        <f>IF(OR(B4292="",G4292=""),"",IF(C4292="","Gasto",C4292))</f>
        <v/>
      </c>
      <c r="Q4292" s="52">
        <f>IF(P4292="","",IF(J4292&lt;&gt;"",J4292,CuentaPred&amp;""))</f>
        <v/>
      </c>
      <c r="R4292" s="52">
        <f>IF(P4292="","",IF(ISNUMBER(I4292),I4292,TasaUSD))</f>
        <v/>
      </c>
      <c r="S4292" s="53">
        <f>IF(P4292="","",IF(H4292="USD",G4292*R4292,G4292))</f>
        <v/>
      </c>
      <c r="T4292" s="53">
        <f>IF(P4292="","",IF(H4292="USD",G4292,IF(R4292&gt;0,G4292/R4292,0)))</f>
        <v/>
      </c>
      <c r="U4292" s="53">
        <f>IF(P4292="","",IF(P4292="Gasto",S4292,IF(P4292="Reembolso",-S4292,0)))</f>
        <v/>
      </c>
      <c r="V4292" s="53">
        <f>IF(P4292="","",IF(P4292="Ingreso",S4292,0))</f>
        <v/>
      </c>
      <c r="W4292" s="53">
        <f>IF(P4292="","",IF(P4292="Resultado trading",S4292,0))</f>
        <v/>
      </c>
      <c r="X4292" s="52">
        <f>IF(OR(P4292="Gasto",P4292="Reembolso"),IF(M4292&lt;&gt;"",M4292,IFERROR(INDEX(catClasif,MATCH(D4292&amp;"|"&amp;E4292,catClave,0))&amp;"","Variable")),"")</f>
        <v/>
      </c>
      <c r="Y4292" s="52">
        <f>IF(P4292="","",IFERROR(INDEX(catGrupo,MATCH(D4292&amp;"|"&amp;E4292,catClave,0))&amp;"",""))</f>
        <v/>
      </c>
      <c r="Z4292" s="52">
        <f>IF(P4292="","",WEEKDAY(B4292,2))</f>
        <v/>
      </c>
      <c r="AA4292" s="52">
        <f>IF(P4292="","",IF(AND(P4292="Gasto",X4292="Variable",D4292&lt;&gt;catTrading,S4292&gt;0,S4292&lt;=Umbral),1,0))</f>
        <v/>
      </c>
      <c r="AB4292" s="52">
        <f>IF(OR(P4292="",Q4292=""),"",IFERROR(IF(INDEX(ctaVinc,MATCH(Q4292,ctaNombre,0))&amp;""&lt;&gt;"",INDEX(ctaVinc,MATCH(Q4292,ctaNombre,0))&amp;"",Q4292),Q4292))</f>
        <v/>
      </c>
      <c r="AC4292" s="52">
        <f>IF(OR(K4292="",AND(P4292&lt;&gt;"Transferencia",P4292&lt;&gt;"Pago tarjeta")),"",IFERROR(IF(INDEX(ctaVinc,MATCH(K4292,ctaNombre,0))&amp;""&lt;&gt;"",INDEX(ctaVinc,MATCH(K4292,ctaNombre,0))&amp;"",K4292),K4292))</f>
        <v/>
      </c>
      <c r="AD4292" s="52">
        <f>IF(AB4292="","",IFERROR(INDEX(ctaTipo,MATCH(AB4292,ctaNombre,0))&amp;"",""))</f>
        <v/>
      </c>
      <c r="AE4292" s="52">
        <f>IF(AC4292="","",IFERROR(INDEX(ctaTipo,MATCH(AC4292,ctaNombre,0))&amp;"",""))</f>
        <v/>
      </c>
      <c r="AF4292" s="53">
        <f>IF(OR(P4292="",AB4292=""),"",IF(OR(P4292="Gasto",P4292="Transferencia",P4292="Pago tarjeta"),-1,1)*IF(IFERROR(INDEX(ctaMoneda,MATCH(AB4292,ctaNombre,0))&amp;"","DOP")="USD",T4292,S4292))</f>
        <v/>
      </c>
      <c r="AG4292" s="53">
        <f>IF(AC4292="","",IF(IFERROR(INDEX(ctaMoneda,MATCH(AC4292,ctaNombre,0))&amp;"","DOP")="USD",T4292,S4292))</f>
        <v/>
      </c>
      <c r="AH4292" s="53">
        <f>IF(P4292="","",IF(AND(AD4292&lt;&gt;"",COUNTIFS(tcTipo,AD4292,tcLiq,"Sí")&gt;0),IF(OR(P4292="Gasto",P4292="Transferencia",P4292="Pago tarjeta"),-1,1)*S4292,0)+IF(AND(AE4292&lt;&gt;"",COUNTIFS(tcTipo,AE4292,tcLiq,"Sí")&gt;0),S4292,0))</f>
        <v/>
      </c>
      <c r="AI4292" s="52">
        <f>IF(OR(L4292="",P4292=""),"",IF(COUNTIFS(L$6:L4292,L4292,P$6:P4292,"?*")=1,MAX(AI$5:AI4291)+1,""))</f>
        <v/>
      </c>
    </row>
    <row r="4293">
      <c r="B4293" s="47" t="n"/>
      <c r="C4293" s="48" t="n"/>
      <c r="D4293" s="48" t="n"/>
      <c r="E4293" s="48" t="n"/>
      <c r="F4293" s="48" t="n"/>
      <c r="G4293" s="49" t="n"/>
      <c r="H4293" s="48" t="n"/>
      <c r="I4293" s="50" t="n"/>
      <c r="J4293" s="48" t="n"/>
      <c r="K4293" s="48" t="n"/>
      <c r="L4293" s="48" t="n"/>
      <c r="M4293" s="48" t="n"/>
      <c r="N4293" s="48" t="n"/>
      <c r="O4293" s="51">
        <f>IF(AND(B4293="",G4293="",C4293="",D4293="",J4293=""),"",IF(B4293="","⚠ Falta fecha",IF(G4293="","⚠ Falta monto",IF(Q4293="","⚠ Falta cuenta",IF(ISNA(MATCH(Q4293,ctaNombre,0)),"⚠ Cuenta no registrada",IF(AND(OR(P4293="Gasto",P4293="Reembolso"),D4293=""),"⚠ Falta categoría",IF(AND(D4293&lt;&gt;"",E4293&lt;&gt;"",ISNA(MATCH(D4293&amp;"|"&amp;E4293,catClave,0))),"⚠ Subcategoría no corresponde",IF(AND(OR(P4293="Transferencia",P4293="Pago tarjeta"),K4293=""),"⚠ Falta cuenta destino",IF(AND(K4293&lt;&gt;"",P4293&lt;&gt;"Transferencia",P4293&lt;&gt;"Pago tarjeta"),"⚠ Destino solo aplica a transferencias",IF(AND(K4293&lt;&gt;"",K4293=Q4293),"⚠ Origen igual a destino",IF(AND(K4293&lt;&gt;"",ISNA(MATCH(K4293,ctaNombre,0))),"⚠ Destino no registrado",IF(AND(P4293="Pago tarjeta",AE4293&lt;&gt;"Tarjeta de crédito"),"⚠ El destino debe ser tarjeta de crédito",IF(AND(P4293="Gasto",E4293="Depósitos y retiros"),"⚠ Usa tipo Transferencia",IF(AND(P4293="Resultado trading",AD4293&lt;&gt;"Cuenta de trading"),"⚠ Usa una cuenta de trading",IF(AND(G4293&lt;=0,P4293&lt;&gt;"Ajuste",P4293&lt;&gt;"Resultado trading"),"⚠ El monto debe ser positivo","✓")))))))))))))))</f>
        <v/>
      </c>
      <c r="P4293" s="52">
        <f>IF(OR(B4293="",G4293=""),"",IF(C4293="","Gasto",C4293))</f>
        <v/>
      </c>
      <c r="Q4293" s="52">
        <f>IF(P4293="","",IF(J4293&lt;&gt;"",J4293,CuentaPred&amp;""))</f>
        <v/>
      </c>
      <c r="R4293" s="52">
        <f>IF(P4293="","",IF(ISNUMBER(I4293),I4293,TasaUSD))</f>
        <v/>
      </c>
      <c r="S4293" s="53">
        <f>IF(P4293="","",IF(H4293="USD",G4293*R4293,G4293))</f>
        <v/>
      </c>
      <c r="T4293" s="53">
        <f>IF(P4293="","",IF(H4293="USD",G4293,IF(R4293&gt;0,G4293/R4293,0)))</f>
        <v/>
      </c>
      <c r="U4293" s="53">
        <f>IF(P4293="","",IF(P4293="Gasto",S4293,IF(P4293="Reembolso",-S4293,0)))</f>
        <v/>
      </c>
      <c r="V4293" s="53">
        <f>IF(P4293="","",IF(P4293="Ingreso",S4293,0))</f>
        <v/>
      </c>
      <c r="W4293" s="53">
        <f>IF(P4293="","",IF(P4293="Resultado trading",S4293,0))</f>
        <v/>
      </c>
      <c r="X4293" s="52">
        <f>IF(OR(P4293="Gasto",P4293="Reembolso"),IF(M4293&lt;&gt;"",M4293,IFERROR(INDEX(catClasif,MATCH(D4293&amp;"|"&amp;E4293,catClave,0))&amp;"","Variable")),"")</f>
        <v/>
      </c>
      <c r="Y4293" s="52">
        <f>IF(P4293="","",IFERROR(INDEX(catGrupo,MATCH(D4293&amp;"|"&amp;E4293,catClave,0))&amp;"",""))</f>
        <v/>
      </c>
      <c r="Z4293" s="52">
        <f>IF(P4293="","",WEEKDAY(B4293,2))</f>
        <v/>
      </c>
      <c r="AA4293" s="52">
        <f>IF(P4293="","",IF(AND(P4293="Gasto",X4293="Variable",D4293&lt;&gt;catTrading,S4293&gt;0,S4293&lt;=Umbral),1,0))</f>
        <v/>
      </c>
      <c r="AB4293" s="52">
        <f>IF(OR(P4293="",Q4293=""),"",IFERROR(IF(INDEX(ctaVinc,MATCH(Q4293,ctaNombre,0))&amp;""&lt;&gt;"",INDEX(ctaVinc,MATCH(Q4293,ctaNombre,0))&amp;"",Q4293),Q4293))</f>
        <v/>
      </c>
      <c r="AC4293" s="52">
        <f>IF(OR(K4293="",AND(P4293&lt;&gt;"Transferencia",P4293&lt;&gt;"Pago tarjeta")),"",IFERROR(IF(INDEX(ctaVinc,MATCH(K4293,ctaNombre,0))&amp;""&lt;&gt;"",INDEX(ctaVinc,MATCH(K4293,ctaNombre,0))&amp;"",K4293),K4293))</f>
        <v/>
      </c>
      <c r="AD4293" s="52">
        <f>IF(AB4293="","",IFERROR(INDEX(ctaTipo,MATCH(AB4293,ctaNombre,0))&amp;"",""))</f>
        <v/>
      </c>
      <c r="AE4293" s="52">
        <f>IF(AC4293="","",IFERROR(INDEX(ctaTipo,MATCH(AC4293,ctaNombre,0))&amp;"",""))</f>
        <v/>
      </c>
      <c r="AF4293" s="53">
        <f>IF(OR(P4293="",AB4293=""),"",IF(OR(P4293="Gasto",P4293="Transferencia",P4293="Pago tarjeta"),-1,1)*IF(IFERROR(INDEX(ctaMoneda,MATCH(AB4293,ctaNombre,0))&amp;"","DOP")="USD",T4293,S4293))</f>
        <v/>
      </c>
      <c r="AG4293" s="53">
        <f>IF(AC4293="","",IF(IFERROR(INDEX(ctaMoneda,MATCH(AC4293,ctaNombre,0))&amp;"","DOP")="USD",T4293,S4293))</f>
        <v/>
      </c>
      <c r="AH4293" s="53">
        <f>IF(P4293="","",IF(AND(AD4293&lt;&gt;"",COUNTIFS(tcTipo,AD4293,tcLiq,"Sí")&gt;0),IF(OR(P4293="Gasto",P4293="Transferencia",P4293="Pago tarjeta"),-1,1)*S4293,0)+IF(AND(AE4293&lt;&gt;"",COUNTIFS(tcTipo,AE4293,tcLiq,"Sí")&gt;0),S4293,0))</f>
        <v/>
      </c>
      <c r="AI4293" s="52">
        <f>IF(OR(L4293="",P4293=""),"",IF(COUNTIFS(L$6:L4293,L4293,P$6:P4293,"?*")=1,MAX(AI$5:AI4292)+1,""))</f>
        <v/>
      </c>
    </row>
    <row r="4294">
      <c r="B4294" s="47" t="n"/>
      <c r="C4294" s="48" t="n"/>
      <c r="D4294" s="48" t="n"/>
      <c r="E4294" s="48" t="n"/>
      <c r="F4294" s="48" t="n"/>
      <c r="G4294" s="49" t="n"/>
      <c r="H4294" s="48" t="n"/>
      <c r="I4294" s="50" t="n"/>
      <c r="J4294" s="48" t="n"/>
      <c r="K4294" s="48" t="n"/>
      <c r="L4294" s="48" t="n"/>
      <c r="M4294" s="48" t="n"/>
      <c r="N4294" s="48" t="n"/>
      <c r="O4294" s="51">
        <f>IF(AND(B4294="",G4294="",C4294="",D4294="",J4294=""),"",IF(B4294="","⚠ Falta fecha",IF(G4294="","⚠ Falta monto",IF(Q4294="","⚠ Falta cuenta",IF(ISNA(MATCH(Q4294,ctaNombre,0)),"⚠ Cuenta no registrada",IF(AND(OR(P4294="Gasto",P4294="Reembolso"),D4294=""),"⚠ Falta categoría",IF(AND(D4294&lt;&gt;"",E4294&lt;&gt;"",ISNA(MATCH(D4294&amp;"|"&amp;E4294,catClave,0))),"⚠ Subcategoría no corresponde",IF(AND(OR(P4294="Transferencia",P4294="Pago tarjeta"),K4294=""),"⚠ Falta cuenta destino",IF(AND(K4294&lt;&gt;"",P4294&lt;&gt;"Transferencia",P4294&lt;&gt;"Pago tarjeta"),"⚠ Destino solo aplica a transferencias",IF(AND(K4294&lt;&gt;"",K4294=Q4294),"⚠ Origen igual a destino",IF(AND(K4294&lt;&gt;"",ISNA(MATCH(K4294,ctaNombre,0))),"⚠ Destino no registrado",IF(AND(P4294="Pago tarjeta",AE4294&lt;&gt;"Tarjeta de crédito"),"⚠ El destino debe ser tarjeta de crédito",IF(AND(P4294="Gasto",E4294="Depósitos y retiros"),"⚠ Usa tipo Transferencia",IF(AND(P4294="Resultado trading",AD4294&lt;&gt;"Cuenta de trading"),"⚠ Usa una cuenta de trading",IF(AND(G4294&lt;=0,P4294&lt;&gt;"Ajuste",P4294&lt;&gt;"Resultado trading"),"⚠ El monto debe ser positivo","✓")))))))))))))))</f>
        <v/>
      </c>
      <c r="P4294" s="52">
        <f>IF(OR(B4294="",G4294=""),"",IF(C4294="","Gasto",C4294))</f>
        <v/>
      </c>
      <c r="Q4294" s="52">
        <f>IF(P4294="","",IF(J4294&lt;&gt;"",J4294,CuentaPred&amp;""))</f>
        <v/>
      </c>
      <c r="R4294" s="52">
        <f>IF(P4294="","",IF(ISNUMBER(I4294),I4294,TasaUSD))</f>
        <v/>
      </c>
      <c r="S4294" s="53">
        <f>IF(P4294="","",IF(H4294="USD",G4294*R4294,G4294))</f>
        <v/>
      </c>
      <c r="T4294" s="53">
        <f>IF(P4294="","",IF(H4294="USD",G4294,IF(R4294&gt;0,G4294/R4294,0)))</f>
        <v/>
      </c>
      <c r="U4294" s="53">
        <f>IF(P4294="","",IF(P4294="Gasto",S4294,IF(P4294="Reembolso",-S4294,0)))</f>
        <v/>
      </c>
      <c r="V4294" s="53">
        <f>IF(P4294="","",IF(P4294="Ingreso",S4294,0))</f>
        <v/>
      </c>
      <c r="W4294" s="53">
        <f>IF(P4294="","",IF(P4294="Resultado trading",S4294,0))</f>
        <v/>
      </c>
      <c r="X4294" s="52">
        <f>IF(OR(P4294="Gasto",P4294="Reembolso"),IF(M4294&lt;&gt;"",M4294,IFERROR(INDEX(catClasif,MATCH(D4294&amp;"|"&amp;E4294,catClave,0))&amp;"","Variable")),"")</f>
        <v/>
      </c>
      <c r="Y4294" s="52">
        <f>IF(P4294="","",IFERROR(INDEX(catGrupo,MATCH(D4294&amp;"|"&amp;E4294,catClave,0))&amp;"",""))</f>
        <v/>
      </c>
      <c r="Z4294" s="52">
        <f>IF(P4294="","",WEEKDAY(B4294,2))</f>
        <v/>
      </c>
      <c r="AA4294" s="52">
        <f>IF(P4294="","",IF(AND(P4294="Gasto",X4294="Variable",D4294&lt;&gt;catTrading,S4294&gt;0,S4294&lt;=Umbral),1,0))</f>
        <v/>
      </c>
      <c r="AB4294" s="52">
        <f>IF(OR(P4294="",Q4294=""),"",IFERROR(IF(INDEX(ctaVinc,MATCH(Q4294,ctaNombre,0))&amp;""&lt;&gt;"",INDEX(ctaVinc,MATCH(Q4294,ctaNombre,0))&amp;"",Q4294),Q4294))</f>
        <v/>
      </c>
      <c r="AC4294" s="52">
        <f>IF(OR(K4294="",AND(P4294&lt;&gt;"Transferencia",P4294&lt;&gt;"Pago tarjeta")),"",IFERROR(IF(INDEX(ctaVinc,MATCH(K4294,ctaNombre,0))&amp;""&lt;&gt;"",INDEX(ctaVinc,MATCH(K4294,ctaNombre,0))&amp;"",K4294),K4294))</f>
        <v/>
      </c>
      <c r="AD4294" s="52">
        <f>IF(AB4294="","",IFERROR(INDEX(ctaTipo,MATCH(AB4294,ctaNombre,0))&amp;"",""))</f>
        <v/>
      </c>
      <c r="AE4294" s="52">
        <f>IF(AC4294="","",IFERROR(INDEX(ctaTipo,MATCH(AC4294,ctaNombre,0))&amp;"",""))</f>
        <v/>
      </c>
      <c r="AF4294" s="53">
        <f>IF(OR(P4294="",AB4294=""),"",IF(OR(P4294="Gasto",P4294="Transferencia",P4294="Pago tarjeta"),-1,1)*IF(IFERROR(INDEX(ctaMoneda,MATCH(AB4294,ctaNombre,0))&amp;"","DOP")="USD",T4294,S4294))</f>
        <v/>
      </c>
      <c r="AG4294" s="53">
        <f>IF(AC4294="","",IF(IFERROR(INDEX(ctaMoneda,MATCH(AC4294,ctaNombre,0))&amp;"","DOP")="USD",T4294,S4294))</f>
        <v/>
      </c>
      <c r="AH4294" s="53">
        <f>IF(P4294="","",IF(AND(AD4294&lt;&gt;"",COUNTIFS(tcTipo,AD4294,tcLiq,"Sí")&gt;0),IF(OR(P4294="Gasto",P4294="Transferencia",P4294="Pago tarjeta"),-1,1)*S4294,0)+IF(AND(AE4294&lt;&gt;"",COUNTIFS(tcTipo,AE4294,tcLiq,"Sí")&gt;0),S4294,0))</f>
        <v/>
      </c>
      <c r="AI4294" s="52">
        <f>IF(OR(L4294="",P4294=""),"",IF(COUNTIFS(L$6:L4294,L4294,P$6:P4294,"?*")=1,MAX(AI$5:AI4293)+1,""))</f>
        <v/>
      </c>
    </row>
    <row r="4295">
      <c r="B4295" s="47" t="n"/>
      <c r="C4295" s="48" t="n"/>
      <c r="D4295" s="48" t="n"/>
      <c r="E4295" s="48" t="n"/>
      <c r="F4295" s="48" t="n"/>
      <c r="G4295" s="49" t="n"/>
      <c r="H4295" s="48" t="n"/>
      <c r="I4295" s="50" t="n"/>
      <c r="J4295" s="48" t="n"/>
      <c r="K4295" s="48" t="n"/>
      <c r="L4295" s="48" t="n"/>
      <c r="M4295" s="48" t="n"/>
      <c r="N4295" s="48" t="n"/>
      <c r="O4295" s="51">
        <f>IF(AND(B4295="",G4295="",C4295="",D4295="",J4295=""),"",IF(B4295="","⚠ Falta fecha",IF(G4295="","⚠ Falta monto",IF(Q4295="","⚠ Falta cuenta",IF(ISNA(MATCH(Q4295,ctaNombre,0)),"⚠ Cuenta no registrada",IF(AND(OR(P4295="Gasto",P4295="Reembolso"),D4295=""),"⚠ Falta categoría",IF(AND(D4295&lt;&gt;"",E4295&lt;&gt;"",ISNA(MATCH(D4295&amp;"|"&amp;E4295,catClave,0))),"⚠ Subcategoría no corresponde",IF(AND(OR(P4295="Transferencia",P4295="Pago tarjeta"),K4295=""),"⚠ Falta cuenta destino",IF(AND(K4295&lt;&gt;"",P4295&lt;&gt;"Transferencia",P4295&lt;&gt;"Pago tarjeta"),"⚠ Destino solo aplica a transferencias",IF(AND(K4295&lt;&gt;"",K4295=Q4295),"⚠ Origen igual a destino",IF(AND(K4295&lt;&gt;"",ISNA(MATCH(K4295,ctaNombre,0))),"⚠ Destino no registrado",IF(AND(P4295="Pago tarjeta",AE4295&lt;&gt;"Tarjeta de crédito"),"⚠ El destino debe ser tarjeta de crédito",IF(AND(P4295="Gasto",E4295="Depósitos y retiros"),"⚠ Usa tipo Transferencia",IF(AND(P4295="Resultado trading",AD4295&lt;&gt;"Cuenta de trading"),"⚠ Usa una cuenta de trading",IF(AND(G4295&lt;=0,P4295&lt;&gt;"Ajuste",P4295&lt;&gt;"Resultado trading"),"⚠ El monto debe ser positivo","✓")))))))))))))))</f>
        <v/>
      </c>
      <c r="P4295" s="52">
        <f>IF(OR(B4295="",G4295=""),"",IF(C4295="","Gasto",C4295))</f>
        <v/>
      </c>
      <c r="Q4295" s="52">
        <f>IF(P4295="","",IF(J4295&lt;&gt;"",J4295,CuentaPred&amp;""))</f>
        <v/>
      </c>
      <c r="R4295" s="52">
        <f>IF(P4295="","",IF(ISNUMBER(I4295),I4295,TasaUSD))</f>
        <v/>
      </c>
      <c r="S4295" s="53">
        <f>IF(P4295="","",IF(H4295="USD",G4295*R4295,G4295))</f>
        <v/>
      </c>
      <c r="T4295" s="53">
        <f>IF(P4295="","",IF(H4295="USD",G4295,IF(R4295&gt;0,G4295/R4295,0)))</f>
        <v/>
      </c>
      <c r="U4295" s="53">
        <f>IF(P4295="","",IF(P4295="Gasto",S4295,IF(P4295="Reembolso",-S4295,0)))</f>
        <v/>
      </c>
      <c r="V4295" s="53">
        <f>IF(P4295="","",IF(P4295="Ingreso",S4295,0))</f>
        <v/>
      </c>
      <c r="W4295" s="53">
        <f>IF(P4295="","",IF(P4295="Resultado trading",S4295,0))</f>
        <v/>
      </c>
      <c r="X4295" s="52">
        <f>IF(OR(P4295="Gasto",P4295="Reembolso"),IF(M4295&lt;&gt;"",M4295,IFERROR(INDEX(catClasif,MATCH(D4295&amp;"|"&amp;E4295,catClave,0))&amp;"","Variable")),"")</f>
        <v/>
      </c>
      <c r="Y4295" s="52">
        <f>IF(P4295="","",IFERROR(INDEX(catGrupo,MATCH(D4295&amp;"|"&amp;E4295,catClave,0))&amp;"",""))</f>
        <v/>
      </c>
      <c r="Z4295" s="52">
        <f>IF(P4295="","",WEEKDAY(B4295,2))</f>
        <v/>
      </c>
      <c r="AA4295" s="52">
        <f>IF(P4295="","",IF(AND(P4295="Gasto",X4295="Variable",D4295&lt;&gt;catTrading,S4295&gt;0,S4295&lt;=Umbral),1,0))</f>
        <v/>
      </c>
      <c r="AB4295" s="52">
        <f>IF(OR(P4295="",Q4295=""),"",IFERROR(IF(INDEX(ctaVinc,MATCH(Q4295,ctaNombre,0))&amp;""&lt;&gt;"",INDEX(ctaVinc,MATCH(Q4295,ctaNombre,0))&amp;"",Q4295),Q4295))</f>
        <v/>
      </c>
      <c r="AC4295" s="52">
        <f>IF(OR(K4295="",AND(P4295&lt;&gt;"Transferencia",P4295&lt;&gt;"Pago tarjeta")),"",IFERROR(IF(INDEX(ctaVinc,MATCH(K4295,ctaNombre,0))&amp;""&lt;&gt;"",INDEX(ctaVinc,MATCH(K4295,ctaNombre,0))&amp;"",K4295),K4295))</f>
        <v/>
      </c>
      <c r="AD4295" s="52">
        <f>IF(AB4295="","",IFERROR(INDEX(ctaTipo,MATCH(AB4295,ctaNombre,0))&amp;"",""))</f>
        <v/>
      </c>
      <c r="AE4295" s="52">
        <f>IF(AC4295="","",IFERROR(INDEX(ctaTipo,MATCH(AC4295,ctaNombre,0))&amp;"",""))</f>
        <v/>
      </c>
      <c r="AF4295" s="53">
        <f>IF(OR(P4295="",AB4295=""),"",IF(OR(P4295="Gasto",P4295="Transferencia",P4295="Pago tarjeta"),-1,1)*IF(IFERROR(INDEX(ctaMoneda,MATCH(AB4295,ctaNombre,0))&amp;"","DOP")="USD",T4295,S4295))</f>
        <v/>
      </c>
      <c r="AG4295" s="53">
        <f>IF(AC4295="","",IF(IFERROR(INDEX(ctaMoneda,MATCH(AC4295,ctaNombre,0))&amp;"","DOP")="USD",T4295,S4295))</f>
        <v/>
      </c>
      <c r="AH4295" s="53">
        <f>IF(P4295="","",IF(AND(AD4295&lt;&gt;"",COUNTIFS(tcTipo,AD4295,tcLiq,"Sí")&gt;0),IF(OR(P4295="Gasto",P4295="Transferencia",P4295="Pago tarjeta"),-1,1)*S4295,0)+IF(AND(AE4295&lt;&gt;"",COUNTIFS(tcTipo,AE4295,tcLiq,"Sí")&gt;0),S4295,0))</f>
        <v/>
      </c>
      <c r="AI4295" s="52">
        <f>IF(OR(L4295="",P4295=""),"",IF(COUNTIFS(L$6:L4295,L4295,P$6:P4295,"?*")=1,MAX(AI$5:AI4294)+1,""))</f>
        <v/>
      </c>
    </row>
    <row r="4296">
      <c r="B4296" s="47" t="n"/>
      <c r="C4296" s="48" t="n"/>
      <c r="D4296" s="48" t="n"/>
      <c r="E4296" s="48" t="n"/>
      <c r="F4296" s="48" t="n"/>
      <c r="G4296" s="49" t="n"/>
      <c r="H4296" s="48" t="n"/>
      <c r="I4296" s="50" t="n"/>
      <c r="J4296" s="48" t="n"/>
      <c r="K4296" s="48" t="n"/>
      <c r="L4296" s="48" t="n"/>
      <c r="M4296" s="48" t="n"/>
      <c r="N4296" s="48" t="n"/>
      <c r="O4296" s="51">
        <f>IF(AND(B4296="",G4296="",C4296="",D4296="",J4296=""),"",IF(B4296="","⚠ Falta fecha",IF(G4296="","⚠ Falta monto",IF(Q4296="","⚠ Falta cuenta",IF(ISNA(MATCH(Q4296,ctaNombre,0)),"⚠ Cuenta no registrada",IF(AND(OR(P4296="Gasto",P4296="Reembolso"),D4296=""),"⚠ Falta categoría",IF(AND(D4296&lt;&gt;"",E4296&lt;&gt;"",ISNA(MATCH(D4296&amp;"|"&amp;E4296,catClave,0))),"⚠ Subcategoría no corresponde",IF(AND(OR(P4296="Transferencia",P4296="Pago tarjeta"),K4296=""),"⚠ Falta cuenta destino",IF(AND(K4296&lt;&gt;"",P4296&lt;&gt;"Transferencia",P4296&lt;&gt;"Pago tarjeta"),"⚠ Destino solo aplica a transferencias",IF(AND(K4296&lt;&gt;"",K4296=Q4296),"⚠ Origen igual a destino",IF(AND(K4296&lt;&gt;"",ISNA(MATCH(K4296,ctaNombre,0))),"⚠ Destino no registrado",IF(AND(P4296="Pago tarjeta",AE4296&lt;&gt;"Tarjeta de crédito"),"⚠ El destino debe ser tarjeta de crédito",IF(AND(P4296="Gasto",E4296="Depósitos y retiros"),"⚠ Usa tipo Transferencia",IF(AND(P4296="Resultado trading",AD4296&lt;&gt;"Cuenta de trading"),"⚠ Usa una cuenta de trading",IF(AND(G4296&lt;=0,P4296&lt;&gt;"Ajuste",P4296&lt;&gt;"Resultado trading"),"⚠ El monto debe ser positivo","✓")))))))))))))))</f>
        <v/>
      </c>
      <c r="P4296" s="52">
        <f>IF(OR(B4296="",G4296=""),"",IF(C4296="","Gasto",C4296))</f>
        <v/>
      </c>
      <c r="Q4296" s="52">
        <f>IF(P4296="","",IF(J4296&lt;&gt;"",J4296,CuentaPred&amp;""))</f>
        <v/>
      </c>
      <c r="R4296" s="52">
        <f>IF(P4296="","",IF(ISNUMBER(I4296),I4296,TasaUSD))</f>
        <v/>
      </c>
      <c r="S4296" s="53">
        <f>IF(P4296="","",IF(H4296="USD",G4296*R4296,G4296))</f>
        <v/>
      </c>
      <c r="T4296" s="53">
        <f>IF(P4296="","",IF(H4296="USD",G4296,IF(R4296&gt;0,G4296/R4296,0)))</f>
        <v/>
      </c>
      <c r="U4296" s="53">
        <f>IF(P4296="","",IF(P4296="Gasto",S4296,IF(P4296="Reembolso",-S4296,0)))</f>
        <v/>
      </c>
      <c r="V4296" s="53">
        <f>IF(P4296="","",IF(P4296="Ingreso",S4296,0))</f>
        <v/>
      </c>
      <c r="W4296" s="53">
        <f>IF(P4296="","",IF(P4296="Resultado trading",S4296,0))</f>
        <v/>
      </c>
      <c r="X4296" s="52">
        <f>IF(OR(P4296="Gasto",P4296="Reembolso"),IF(M4296&lt;&gt;"",M4296,IFERROR(INDEX(catClasif,MATCH(D4296&amp;"|"&amp;E4296,catClave,0))&amp;"","Variable")),"")</f>
        <v/>
      </c>
      <c r="Y4296" s="52">
        <f>IF(P4296="","",IFERROR(INDEX(catGrupo,MATCH(D4296&amp;"|"&amp;E4296,catClave,0))&amp;"",""))</f>
        <v/>
      </c>
      <c r="Z4296" s="52">
        <f>IF(P4296="","",WEEKDAY(B4296,2))</f>
        <v/>
      </c>
      <c r="AA4296" s="52">
        <f>IF(P4296="","",IF(AND(P4296="Gasto",X4296="Variable",D4296&lt;&gt;catTrading,S4296&gt;0,S4296&lt;=Umbral),1,0))</f>
        <v/>
      </c>
      <c r="AB4296" s="52">
        <f>IF(OR(P4296="",Q4296=""),"",IFERROR(IF(INDEX(ctaVinc,MATCH(Q4296,ctaNombre,0))&amp;""&lt;&gt;"",INDEX(ctaVinc,MATCH(Q4296,ctaNombre,0))&amp;"",Q4296),Q4296))</f>
        <v/>
      </c>
      <c r="AC4296" s="52">
        <f>IF(OR(K4296="",AND(P4296&lt;&gt;"Transferencia",P4296&lt;&gt;"Pago tarjeta")),"",IFERROR(IF(INDEX(ctaVinc,MATCH(K4296,ctaNombre,0))&amp;""&lt;&gt;"",INDEX(ctaVinc,MATCH(K4296,ctaNombre,0))&amp;"",K4296),K4296))</f>
        <v/>
      </c>
      <c r="AD4296" s="52">
        <f>IF(AB4296="","",IFERROR(INDEX(ctaTipo,MATCH(AB4296,ctaNombre,0))&amp;"",""))</f>
        <v/>
      </c>
      <c r="AE4296" s="52">
        <f>IF(AC4296="","",IFERROR(INDEX(ctaTipo,MATCH(AC4296,ctaNombre,0))&amp;"",""))</f>
        <v/>
      </c>
      <c r="AF4296" s="53">
        <f>IF(OR(P4296="",AB4296=""),"",IF(OR(P4296="Gasto",P4296="Transferencia",P4296="Pago tarjeta"),-1,1)*IF(IFERROR(INDEX(ctaMoneda,MATCH(AB4296,ctaNombre,0))&amp;"","DOP")="USD",T4296,S4296))</f>
        <v/>
      </c>
      <c r="AG4296" s="53">
        <f>IF(AC4296="","",IF(IFERROR(INDEX(ctaMoneda,MATCH(AC4296,ctaNombre,0))&amp;"","DOP")="USD",T4296,S4296))</f>
        <v/>
      </c>
      <c r="AH4296" s="53">
        <f>IF(P4296="","",IF(AND(AD4296&lt;&gt;"",COUNTIFS(tcTipo,AD4296,tcLiq,"Sí")&gt;0),IF(OR(P4296="Gasto",P4296="Transferencia",P4296="Pago tarjeta"),-1,1)*S4296,0)+IF(AND(AE4296&lt;&gt;"",COUNTIFS(tcTipo,AE4296,tcLiq,"Sí")&gt;0),S4296,0))</f>
        <v/>
      </c>
      <c r="AI4296" s="52">
        <f>IF(OR(L4296="",P4296=""),"",IF(COUNTIFS(L$6:L4296,L4296,P$6:P4296,"?*")=1,MAX(AI$5:AI4295)+1,""))</f>
        <v/>
      </c>
    </row>
    <row r="4297">
      <c r="B4297" s="47" t="n"/>
      <c r="C4297" s="48" t="n"/>
      <c r="D4297" s="48" t="n"/>
      <c r="E4297" s="48" t="n"/>
      <c r="F4297" s="48" t="n"/>
      <c r="G4297" s="49" t="n"/>
      <c r="H4297" s="48" t="n"/>
      <c r="I4297" s="50" t="n"/>
      <c r="J4297" s="48" t="n"/>
      <c r="K4297" s="48" t="n"/>
      <c r="L4297" s="48" t="n"/>
      <c r="M4297" s="48" t="n"/>
      <c r="N4297" s="48" t="n"/>
      <c r="O4297" s="51">
        <f>IF(AND(B4297="",G4297="",C4297="",D4297="",J4297=""),"",IF(B4297="","⚠ Falta fecha",IF(G4297="","⚠ Falta monto",IF(Q4297="","⚠ Falta cuenta",IF(ISNA(MATCH(Q4297,ctaNombre,0)),"⚠ Cuenta no registrada",IF(AND(OR(P4297="Gasto",P4297="Reembolso"),D4297=""),"⚠ Falta categoría",IF(AND(D4297&lt;&gt;"",E4297&lt;&gt;"",ISNA(MATCH(D4297&amp;"|"&amp;E4297,catClave,0))),"⚠ Subcategoría no corresponde",IF(AND(OR(P4297="Transferencia",P4297="Pago tarjeta"),K4297=""),"⚠ Falta cuenta destino",IF(AND(K4297&lt;&gt;"",P4297&lt;&gt;"Transferencia",P4297&lt;&gt;"Pago tarjeta"),"⚠ Destino solo aplica a transferencias",IF(AND(K4297&lt;&gt;"",K4297=Q4297),"⚠ Origen igual a destino",IF(AND(K4297&lt;&gt;"",ISNA(MATCH(K4297,ctaNombre,0))),"⚠ Destino no registrado",IF(AND(P4297="Pago tarjeta",AE4297&lt;&gt;"Tarjeta de crédito"),"⚠ El destino debe ser tarjeta de crédito",IF(AND(P4297="Gasto",E4297="Depósitos y retiros"),"⚠ Usa tipo Transferencia",IF(AND(P4297="Resultado trading",AD4297&lt;&gt;"Cuenta de trading"),"⚠ Usa una cuenta de trading",IF(AND(G4297&lt;=0,P4297&lt;&gt;"Ajuste",P4297&lt;&gt;"Resultado trading"),"⚠ El monto debe ser positivo","✓")))))))))))))))</f>
        <v/>
      </c>
      <c r="P4297" s="52">
        <f>IF(OR(B4297="",G4297=""),"",IF(C4297="","Gasto",C4297))</f>
        <v/>
      </c>
      <c r="Q4297" s="52">
        <f>IF(P4297="","",IF(J4297&lt;&gt;"",J4297,CuentaPred&amp;""))</f>
        <v/>
      </c>
      <c r="R4297" s="52">
        <f>IF(P4297="","",IF(ISNUMBER(I4297),I4297,TasaUSD))</f>
        <v/>
      </c>
      <c r="S4297" s="53">
        <f>IF(P4297="","",IF(H4297="USD",G4297*R4297,G4297))</f>
        <v/>
      </c>
      <c r="T4297" s="53">
        <f>IF(P4297="","",IF(H4297="USD",G4297,IF(R4297&gt;0,G4297/R4297,0)))</f>
        <v/>
      </c>
      <c r="U4297" s="53">
        <f>IF(P4297="","",IF(P4297="Gasto",S4297,IF(P4297="Reembolso",-S4297,0)))</f>
        <v/>
      </c>
      <c r="V4297" s="53">
        <f>IF(P4297="","",IF(P4297="Ingreso",S4297,0))</f>
        <v/>
      </c>
      <c r="W4297" s="53">
        <f>IF(P4297="","",IF(P4297="Resultado trading",S4297,0))</f>
        <v/>
      </c>
      <c r="X4297" s="52">
        <f>IF(OR(P4297="Gasto",P4297="Reembolso"),IF(M4297&lt;&gt;"",M4297,IFERROR(INDEX(catClasif,MATCH(D4297&amp;"|"&amp;E4297,catClave,0))&amp;"","Variable")),"")</f>
        <v/>
      </c>
      <c r="Y4297" s="52">
        <f>IF(P4297="","",IFERROR(INDEX(catGrupo,MATCH(D4297&amp;"|"&amp;E4297,catClave,0))&amp;"",""))</f>
        <v/>
      </c>
      <c r="Z4297" s="52">
        <f>IF(P4297="","",WEEKDAY(B4297,2))</f>
        <v/>
      </c>
      <c r="AA4297" s="52">
        <f>IF(P4297="","",IF(AND(P4297="Gasto",X4297="Variable",D4297&lt;&gt;catTrading,S4297&gt;0,S4297&lt;=Umbral),1,0))</f>
        <v/>
      </c>
      <c r="AB4297" s="52">
        <f>IF(OR(P4297="",Q4297=""),"",IFERROR(IF(INDEX(ctaVinc,MATCH(Q4297,ctaNombre,0))&amp;""&lt;&gt;"",INDEX(ctaVinc,MATCH(Q4297,ctaNombre,0))&amp;"",Q4297),Q4297))</f>
        <v/>
      </c>
      <c r="AC4297" s="52">
        <f>IF(OR(K4297="",AND(P4297&lt;&gt;"Transferencia",P4297&lt;&gt;"Pago tarjeta")),"",IFERROR(IF(INDEX(ctaVinc,MATCH(K4297,ctaNombre,0))&amp;""&lt;&gt;"",INDEX(ctaVinc,MATCH(K4297,ctaNombre,0))&amp;"",K4297),K4297))</f>
        <v/>
      </c>
      <c r="AD4297" s="52">
        <f>IF(AB4297="","",IFERROR(INDEX(ctaTipo,MATCH(AB4297,ctaNombre,0))&amp;"",""))</f>
        <v/>
      </c>
      <c r="AE4297" s="52">
        <f>IF(AC4297="","",IFERROR(INDEX(ctaTipo,MATCH(AC4297,ctaNombre,0))&amp;"",""))</f>
        <v/>
      </c>
      <c r="AF4297" s="53">
        <f>IF(OR(P4297="",AB4297=""),"",IF(OR(P4297="Gasto",P4297="Transferencia",P4297="Pago tarjeta"),-1,1)*IF(IFERROR(INDEX(ctaMoneda,MATCH(AB4297,ctaNombre,0))&amp;"","DOP")="USD",T4297,S4297))</f>
        <v/>
      </c>
      <c r="AG4297" s="53">
        <f>IF(AC4297="","",IF(IFERROR(INDEX(ctaMoneda,MATCH(AC4297,ctaNombre,0))&amp;"","DOP")="USD",T4297,S4297))</f>
        <v/>
      </c>
      <c r="AH4297" s="53">
        <f>IF(P4297="","",IF(AND(AD4297&lt;&gt;"",COUNTIFS(tcTipo,AD4297,tcLiq,"Sí")&gt;0),IF(OR(P4297="Gasto",P4297="Transferencia",P4297="Pago tarjeta"),-1,1)*S4297,0)+IF(AND(AE4297&lt;&gt;"",COUNTIFS(tcTipo,AE4297,tcLiq,"Sí")&gt;0),S4297,0))</f>
        <v/>
      </c>
      <c r="AI4297" s="52">
        <f>IF(OR(L4297="",P4297=""),"",IF(COUNTIFS(L$6:L4297,L4297,P$6:P4297,"?*")=1,MAX(AI$5:AI4296)+1,""))</f>
        <v/>
      </c>
    </row>
    <row r="4298">
      <c r="B4298" s="47" t="n"/>
      <c r="C4298" s="48" t="n"/>
      <c r="D4298" s="48" t="n"/>
      <c r="E4298" s="48" t="n"/>
      <c r="F4298" s="48" t="n"/>
      <c r="G4298" s="49" t="n"/>
      <c r="H4298" s="48" t="n"/>
      <c r="I4298" s="50" t="n"/>
      <c r="J4298" s="48" t="n"/>
      <c r="K4298" s="48" t="n"/>
      <c r="L4298" s="48" t="n"/>
      <c r="M4298" s="48" t="n"/>
      <c r="N4298" s="48" t="n"/>
      <c r="O4298" s="51">
        <f>IF(AND(B4298="",G4298="",C4298="",D4298="",J4298=""),"",IF(B4298="","⚠ Falta fecha",IF(G4298="","⚠ Falta monto",IF(Q4298="","⚠ Falta cuenta",IF(ISNA(MATCH(Q4298,ctaNombre,0)),"⚠ Cuenta no registrada",IF(AND(OR(P4298="Gasto",P4298="Reembolso"),D4298=""),"⚠ Falta categoría",IF(AND(D4298&lt;&gt;"",E4298&lt;&gt;"",ISNA(MATCH(D4298&amp;"|"&amp;E4298,catClave,0))),"⚠ Subcategoría no corresponde",IF(AND(OR(P4298="Transferencia",P4298="Pago tarjeta"),K4298=""),"⚠ Falta cuenta destino",IF(AND(K4298&lt;&gt;"",P4298&lt;&gt;"Transferencia",P4298&lt;&gt;"Pago tarjeta"),"⚠ Destino solo aplica a transferencias",IF(AND(K4298&lt;&gt;"",K4298=Q4298),"⚠ Origen igual a destino",IF(AND(K4298&lt;&gt;"",ISNA(MATCH(K4298,ctaNombre,0))),"⚠ Destino no registrado",IF(AND(P4298="Pago tarjeta",AE4298&lt;&gt;"Tarjeta de crédito"),"⚠ El destino debe ser tarjeta de crédito",IF(AND(P4298="Gasto",E4298="Depósitos y retiros"),"⚠ Usa tipo Transferencia",IF(AND(P4298="Resultado trading",AD4298&lt;&gt;"Cuenta de trading"),"⚠ Usa una cuenta de trading",IF(AND(G4298&lt;=0,P4298&lt;&gt;"Ajuste",P4298&lt;&gt;"Resultado trading"),"⚠ El monto debe ser positivo","✓")))))))))))))))</f>
        <v/>
      </c>
      <c r="P4298" s="52">
        <f>IF(OR(B4298="",G4298=""),"",IF(C4298="","Gasto",C4298))</f>
        <v/>
      </c>
      <c r="Q4298" s="52">
        <f>IF(P4298="","",IF(J4298&lt;&gt;"",J4298,CuentaPred&amp;""))</f>
        <v/>
      </c>
      <c r="R4298" s="52">
        <f>IF(P4298="","",IF(ISNUMBER(I4298),I4298,TasaUSD))</f>
        <v/>
      </c>
      <c r="S4298" s="53">
        <f>IF(P4298="","",IF(H4298="USD",G4298*R4298,G4298))</f>
        <v/>
      </c>
      <c r="T4298" s="53">
        <f>IF(P4298="","",IF(H4298="USD",G4298,IF(R4298&gt;0,G4298/R4298,0)))</f>
        <v/>
      </c>
      <c r="U4298" s="53">
        <f>IF(P4298="","",IF(P4298="Gasto",S4298,IF(P4298="Reembolso",-S4298,0)))</f>
        <v/>
      </c>
      <c r="V4298" s="53">
        <f>IF(P4298="","",IF(P4298="Ingreso",S4298,0))</f>
        <v/>
      </c>
      <c r="W4298" s="53">
        <f>IF(P4298="","",IF(P4298="Resultado trading",S4298,0))</f>
        <v/>
      </c>
      <c r="X4298" s="52">
        <f>IF(OR(P4298="Gasto",P4298="Reembolso"),IF(M4298&lt;&gt;"",M4298,IFERROR(INDEX(catClasif,MATCH(D4298&amp;"|"&amp;E4298,catClave,0))&amp;"","Variable")),"")</f>
        <v/>
      </c>
      <c r="Y4298" s="52">
        <f>IF(P4298="","",IFERROR(INDEX(catGrupo,MATCH(D4298&amp;"|"&amp;E4298,catClave,0))&amp;"",""))</f>
        <v/>
      </c>
      <c r="Z4298" s="52">
        <f>IF(P4298="","",WEEKDAY(B4298,2))</f>
        <v/>
      </c>
      <c r="AA4298" s="52">
        <f>IF(P4298="","",IF(AND(P4298="Gasto",X4298="Variable",D4298&lt;&gt;catTrading,S4298&gt;0,S4298&lt;=Umbral),1,0))</f>
        <v/>
      </c>
      <c r="AB4298" s="52">
        <f>IF(OR(P4298="",Q4298=""),"",IFERROR(IF(INDEX(ctaVinc,MATCH(Q4298,ctaNombre,0))&amp;""&lt;&gt;"",INDEX(ctaVinc,MATCH(Q4298,ctaNombre,0))&amp;"",Q4298),Q4298))</f>
        <v/>
      </c>
      <c r="AC4298" s="52">
        <f>IF(OR(K4298="",AND(P4298&lt;&gt;"Transferencia",P4298&lt;&gt;"Pago tarjeta")),"",IFERROR(IF(INDEX(ctaVinc,MATCH(K4298,ctaNombre,0))&amp;""&lt;&gt;"",INDEX(ctaVinc,MATCH(K4298,ctaNombre,0))&amp;"",K4298),K4298))</f>
        <v/>
      </c>
      <c r="AD4298" s="52">
        <f>IF(AB4298="","",IFERROR(INDEX(ctaTipo,MATCH(AB4298,ctaNombre,0))&amp;"",""))</f>
        <v/>
      </c>
      <c r="AE4298" s="52">
        <f>IF(AC4298="","",IFERROR(INDEX(ctaTipo,MATCH(AC4298,ctaNombre,0))&amp;"",""))</f>
        <v/>
      </c>
      <c r="AF4298" s="53">
        <f>IF(OR(P4298="",AB4298=""),"",IF(OR(P4298="Gasto",P4298="Transferencia",P4298="Pago tarjeta"),-1,1)*IF(IFERROR(INDEX(ctaMoneda,MATCH(AB4298,ctaNombre,0))&amp;"","DOP")="USD",T4298,S4298))</f>
        <v/>
      </c>
      <c r="AG4298" s="53">
        <f>IF(AC4298="","",IF(IFERROR(INDEX(ctaMoneda,MATCH(AC4298,ctaNombre,0))&amp;"","DOP")="USD",T4298,S4298))</f>
        <v/>
      </c>
      <c r="AH4298" s="53">
        <f>IF(P4298="","",IF(AND(AD4298&lt;&gt;"",COUNTIFS(tcTipo,AD4298,tcLiq,"Sí")&gt;0),IF(OR(P4298="Gasto",P4298="Transferencia",P4298="Pago tarjeta"),-1,1)*S4298,0)+IF(AND(AE4298&lt;&gt;"",COUNTIFS(tcTipo,AE4298,tcLiq,"Sí")&gt;0),S4298,0))</f>
        <v/>
      </c>
      <c r="AI4298" s="52">
        <f>IF(OR(L4298="",P4298=""),"",IF(COUNTIFS(L$6:L4298,L4298,P$6:P4298,"?*")=1,MAX(AI$5:AI4297)+1,""))</f>
        <v/>
      </c>
    </row>
    <row r="4299">
      <c r="B4299" s="47" t="n"/>
      <c r="C4299" s="48" t="n"/>
      <c r="D4299" s="48" t="n"/>
      <c r="E4299" s="48" t="n"/>
      <c r="F4299" s="48" t="n"/>
      <c r="G4299" s="49" t="n"/>
      <c r="H4299" s="48" t="n"/>
      <c r="I4299" s="50" t="n"/>
      <c r="J4299" s="48" t="n"/>
      <c r="K4299" s="48" t="n"/>
      <c r="L4299" s="48" t="n"/>
      <c r="M4299" s="48" t="n"/>
      <c r="N4299" s="48" t="n"/>
      <c r="O4299" s="51">
        <f>IF(AND(B4299="",G4299="",C4299="",D4299="",J4299=""),"",IF(B4299="","⚠ Falta fecha",IF(G4299="","⚠ Falta monto",IF(Q4299="","⚠ Falta cuenta",IF(ISNA(MATCH(Q4299,ctaNombre,0)),"⚠ Cuenta no registrada",IF(AND(OR(P4299="Gasto",P4299="Reembolso"),D4299=""),"⚠ Falta categoría",IF(AND(D4299&lt;&gt;"",E4299&lt;&gt;"",ISNA(MATCH(D4299&amp;"|"&amp;E4299,catClave,0))),"⚠ Subcategoría no corresponde",IF(AND(OR(P4299="Transferencia",P4299="Pago tarjeta"),K4299=""),"⚠ Falta cuenta destino",IF(AND(K4299&lt;&gt;"",P4299&lt;&gt;"Transferencia",P4299&lt;&gt;"Pago tarjeta"),"⚠ Destino solo aplica a transferencias",IF(AND(K4299&lt;&gt;"",K4299=Q4299),"⚠ Origen igual a destino",IF(AND(K4299&lt;&gt;"",ISNA(MATCH(K4299,ctaNombre,0))),"⚠ Destino no registrado",IF(AND(P4299="Pago tarjeta",AE4299&lt;&gt;"Tarjeta de crédito"),"⚠ El destino debe ser tarjeta de crédito",IF(AND(P4299="Gasto",E4299="Depósitos y retiros"),"⚠ Usa tipo Transferencia",IF(AND(P4299="Resultado trading",AD4299&lt;&gt;"Cuenta de trading"),"⚠ Usa una cuenta de trading",IF(AND(G4299&lt;=0,P4299&lt;&gt;"Ajuste",P4299&lt;&gt;"Resultado trading"),"⚠ El monto debe ser positivo","✓")))))))))))))))</f>
        <v/>
      </c>
      <c r="P4299" s="52">
        <f>IF(OR(B4299="",G4299=""),"",IF(C4299="","Gasto",C4299))</f>
        <v/>
      </c>
      <c r="Q4299" s="52">
        <f>IF(P4299="","",IF(J4299&lt;&gt;"",J4299,CuentaPred&amp;""))</f>
        <v/>
      </c>
      <c r="R4299" s="52">
        <f>IF(P4299="","",IF(ISNUMBER(I4299),I4299,TasaUSD))</f>
        <v/>
      </c>
      <c r="S4299" s="53">
        <f>IF(P4299="","",IF(H4299="USD",G4299*R4299,G4299))</f>
        <v/>
      </c>
      <c r="T4299" s="53">
        <f>IF(P4299="","",IF(H4299="USD",G4299,IF(R4299&gt;0,G4299/R4299,0)))</f>
        <v/>
      </c>
      <c r="U4299" s="53">
        <f>IF(P4299="","",IF(P4299="Gasto",S4299,IF(P4299="Reembolso",-S4299,0)))</f>
        <v/>
      </c>
      <c r="V4299" s="53">
        <f>IF(P4299="","",IF(P4299="Ingreso",S4299,0))</f>
        <v/>
      </c>
      <c r="W4299" s="53">
        <f>IF(P4299="","",IF(P4299="Resultado trading",S4299,0))</f>
        <v/>
      </c>
      <c r="X4299" s="52">
        <f>IF(OR(P4299="Gasto",P4299="Reembolso"),IF(M4299&lt;&gt;"",M4299,IFERROR(INDEX(catClasif,MATCH(D4299&amp;"|"&amp;E4299,catClave,0))&amp;"","Variable")),"")</f>
        <v/>
      </c>
      <c r="Y4299" s="52">
        <f>IF(P4299="","",IFERROR(INDEX(catGrupo,MATCH(D4299&amp;"|"&amp;E4299,catClave,0))&amp;"",""))</f>
        <v/>
      </c>
      <c r="Z4299" s="52">
        <f>IF(P4299="","",WEEKDAY(B4299,2))</f>
        <v/>
      </c>
      <c r="AA4299" s="52">
        <f>IF(P4299="","",IF(AND(P4299="Gasto",X4299="Variable",D4299&lt;&gt;catTrading,S4299&gt;0,S4299&lt;=Umbral),1,0))</f>
        <v/>
      </c>
      <c r="AB4299" s="52">
        <f>IF(OR(P4299="",Q4299=""),"",IFERROR(IF(INDEX(ctaVinc,MATCH(Q4299,ctaNombre,0))&amp;""&lt;&gt;"",INDEX(ctaVinc,MATCH(Q4299,ctaNombre,0))&amp;"",Q4299),Q4299))</f>
        <v/>
      </c>
      <c r="AC4299" s="52">
        <f>IF(OR(K4299="",AND(P4299&lt;&gt;"Transferencia",P4299&lt;&gt;"Pago tarjeta")),"",IFERROR(IF(INDEX(ctaVinc,MATCH(K4299,ctaNombre,0))&amp;""&lt;&gt;"",INDEX(ctaVinc,MATCH(K4299,ctaNombre,0))&amp;"",K4299),K4299))</f>
        <v/>
      </c>
      <c r="AD4299" s="52">
        <f>IF(AB4299="","",IFERROR(INDEX(ctaTipo,MATCH(AB4299,ctaNombre,0))&amp;"",""))</f>
        <v/>
      </c>
      <c r="AE4299" s="52">
        <f>IF(AC4299="","",IFERROR(INDEX(ctaTipo,MATCH(AC4299,ctaNombre,0))&amp;"",""))</f>
        <v/>
      </c>
      <c r="AF4299" s="53">
        <f>IF(OR(P4299="",AB4299=""),"",IF(OR(P4299="Gasto",P4299="Transferencia",P4299="Pago tarjeta"),-1,1)*IF(IFERROR(INDEX(ctaMoneda,MATCH(AB4299,ctaNombre,0))&amp;"","DOP")="USD",T4299,S4299))</f>
        <v/>
      </c>
      <c r="AG4299" s="53">
        <f>IF(AC4299="","",IF(IFERROR(INDEX(ctaMoneda,MATCH(AC4299,ctaNombre,0))&amp;"","DOP")="USD",T4299,S4299))</f>
        <v/>
      </c>
      <c r="AH4299" s="53">
        <f>IF(P4299="","",IF(AND(AD4299&lt;&gt;"",COUNTIFS(tcTipo,AD4299,tcLiq,"Sí")&gt;0),IF(OR(P4299="Gasto",P4299="Transferencia",P4299="Pago tarjeta"),-1,1)*S4299,0)+IF(AND(AE4299&lt;&gt;"",COUNTIFS(tcTipo,AE4299,tcLiq,"Sí")&gt;0),S4299,0))</f>
        <v/>
      </c>
      <c r="AI4299" s="52">
        <f>IF(OR(L4299="",P4299=""),"",IF(COUNTIFS(L$6:L4299,L4299,P$6:P4299,"?*")=1,MAX(AI$5:AI4298)+1,""))</f>
        <v/>
      </c>
    </row>
    <row r="4300">
      <c r="B4300" s="47" t="n"/>
      <c r="C4300" s="48" t="n"/>
      <c r="D4300" s="48" t="n"/>
      <c r="E4300" s="48" t="n"/>
      <c r="F4300" s="48" t="n"/>
      <c r="G4300" s="49" t="n"/>
      <c r="H4300" s="48" t="n"/>
      <c r="I4300" s="50" t="n"/>
      <c r="J4300" s="48" t="n"/>
      <c r="K4300" s="48" t="n"/>
      <c r="L4300" s="48" t="n"/>
      <c r="M4300" s="48" t="n"/>
      <c r="N4300" s="48" t="n"/>
      <c r="O4300" s="51">
        <f>IF(AND(B4300="",G4300="",C4300="",D4300="",J4300=""),"",IF(B4300="","⚠ Falta fecha",IF(G4300="","⚠ Falta monto",IF(Q4300="","⚠ Falta cuenta",IF(ISNA(MATCH(Q4300,ctaNombre,0)),"⚠ Cuenta no registrada",IF(AND(OR(P4300="Gasto",P4300="Reembolso"),D4300=""),"⚠ Falta categoría",IF(AND(D4300&lt;&gt;"",E4300&lt;&gt;"",ISNA(MATCH(D4300&amp;"|"&amp;E4300,catClave,0))),"⚠ Subcategoría no corresponde",IF(AND(OR(P4300="Transferencia",P4300="Pago tarjeta"),K4300=""),"⚠ Falta cuenta destino",IF(AND(K4300&lt;&gt;"",P4300&lt;&gt;"Transferencia",P4300&lt;&gt;"Pago tarjeta"),"⚠ Destino solo aplica a transferencias",IF(AND(K4300&lt;&gt;"",K4300=Q4300),"⚠ Origen igual a destino",IF(AND(K4300&lt;&gt;"",ISNA(MATCH(K4300,ctaNombre,0))),"⚠ Destino no registrado",IF(AND(P4300="Pago tarjeta",AE4300&lt;&gt;"Tarjeta de crédito"),"⚠ El destino debe ser tarjeta de crédito",IF(AND(P4300="Gasto",E4300="Depósitos y retiros"),"⚠ Usa tipo Transferencia",IF(AND(P4300="Resultado trading",AD4300&lt;&gt;"Cuenta de trading"),"⚠ Usa una cuenta de trading",IF(AND(G4300&lt;=0,P4300&lt;&gt;"Ajuste",P4300&lt;&gt;"Resultado trading"),"⚠ El monto debe ser positivo","✓")))))))))))))))</f>
        <v/>
      </c>
      <c r="P4300" s="52">
        <f>IF(OR(B4300="",G4300=""),"",IF(C4300="","Gasto",C4300))</f>
        <v/>
      </c>
      <c r="Q4300" s="52">
        <f>IF(P4300="","",IF(J4300&lt;&gt;"",J4300,CuentaPred&amp;""))</f>
        <v/>
      </c>
      <c r="R4300" s="52">
        <f>IF(P4300="","",IF(ISNUMBER(I4300),I4300,TasaUSD))</f>
        <v/>
      </c>
      <c r="S4300" s="53">
        <f>IF(P4300="","",IF(H4300="USD",G4300*R4300,G4300))</f>
        <v/>
      </c>
      <c r="T4300" s="53">
        <f>IF(P4300="","",IF(H4300="USD",G4300,IF(R4300&gt;0,G4300/R4300,0)))</f>
        <v/>
      </c>
      <c r="U4300" s="53">
        <f>IF(P4300="","",IF(P4300="Gasto",S4300,IF(P4300="Reembolso",-S4300,0)))</f>
        <v/>
      </c>
      <c r="V4300" s="53">
        <f>IF(P4300="","",IF(P4300="Ingreso",S4300,0))</f>
        <v/>
      </c>
      <c r="W4300" s="53">
        <f>IF(P4300="","",IF(P4300="Resultado trading",S4300,0))</f>
        <v/>
      </c>
      <c r="X4300" s="52">
        <f>IF(OR(P4300="Gasto",P4300="Reembolso"),IF(M4300&lt;&gt;"",M4300,IFERROR(INDEX(catClasif,MATCH(D4300&amp;"|"&amp;E4300,catClave,0))&amp;"","Variable")),"")</f>
        <v/>
      </c>
      <c r="Y4300" s="52">
        <f>IF(P4300="","",IFERROR(INDEX(catGrupo,MATCH(D4300&amp;"|"&amp;E4300,catClave,0))&amp;"",""))</f>
        <v/>
      </c>
      <c r="Z4300" s="52">
        <f>IF(P4300="","",WEEKDAY(B4300,2))</f>
        <v/>
      </c>
      <c r="AA4300" s="52">
        <f>IF(P4300="","",IF(AND(P4300="Gasto",X4300="Variable",D4300&lt;&gt;catTrading,S4300&gt;0,S4300&lt;=Umbral),1,0))</f>
        <v/>
      </c>
      <c r="AB4300" s="52">
        <f>IF(OR(P4300="",Q4300=""),"",IFERROR(IF(INDEX(ctaVinc,MATCH(Q4300,ctaNombre,0))&amp;""&lt;&gt;"",INDEX(ctaVinc,MATCH(Q4300,ctaNombre,0))&amp;"",Q4300),Q4300))</f>
        <v/>
      </c>
      <c r="AC4300" s="52">
        <f>IF(OR(K4300="",AND(P4300&lt;&gt;"Transferencia",P4300&lt;&gt;"Pago tarjeta")),"",IFERROR(IF(INDEX(ctaVinc,MATCH(K4300,ctaNombre,0))&amp;""&lt;&gt;"",INDEX(ctaVinc,MATCH(K4300,ctaNombre,0))&amp;"",K4300),K4300))</f>
        <v/>
      </c>
      <c r="AD4300" s="52">
        <f>IF(AB4300="","",IFERROR(INDEX(ctaTipo,MATCH(AB4300,ctaNombre,0))&amp;"",""))</f>
        <v/>
      </c>
      <c r="AE4300" s="52">
        <f>IF(AC4300="","",IFERROR(INDEX(ctaTipo,MATCH(AC4300,ctaNombre,0))&amp;"",""))</f>
        <v/>
      </c>
      <c r="AF4300" s="53">
        <f>IF(OR(P4300="",AB4300=""),"",IF(OR(P4300="Gasto",P4300="Transferencia",P4300="Pago tarjeta"),-1,1)*IF(IFERROR(INDEX(ctaMoneda,MATCH(AB4300,ctaNombre,0))&amp;"","DOP")="USD",T4300,S4300))</f>
        <v/>
      </c>
      <c r="AG4300" s="53">
        <f>IF(AC4300="","",IF(IFERROR(INDEX(ctaMoneda,MATCH(AC4300,ctaNombre,0))&amp;"","DOP")="USD",T4300,S4300))</f>
        <v/>
      </c>
      <c r="AH4300" s="53">
        <f>IF(P4300="","",IF(AND(AD4300&lt;&gt;"",COUNTIFS(tcTipo,AD4300,tcLiq,"Sí")&gt;0),IF(OR(P4300="Gasto",P4300="Transferencia",P4300="Pago tarjeta"),-1,1)*S4300,0)+IF(AND(AE4300&lt;&gt;"",COUNTIFS(tcTipo,AE4300,tcLiq,"Sí")&gt;0),S4300,0))</f>
        <v/>
      </c>
      <c r="AI4300" s="52">
        <f>IF(OR(L4300="",P4300=""),"",IF(COUNTIFS(L$6:L4300,L4300,P$6:P4300,"?*")=1,MAX(AI$5:AI4299)+1,""))</f>
        <v/>
      </c>
    </row>
    <row r="4301">
      <c r="B4301" s="47" t="n"/>
      <c r="C4301" s="48" t="n"/>
      <c r="D4301" s="48" t="n"/>
      <c r="E4301" s="48" t="n"/>
      <c r="F4301" s="48" t="n"/>
      <c r="G4301" s="49" t="n"/>
      <c r="H4301" s="48" t="n"/>
      <c r="I4301" s="50" t="n"/>
      <c r="J4301" s="48" t="n"/>
      <c r="K4301" s="48" t="n"/>
      <c r="L4301" s="48" t="n"/>
      <c r="M4301" s="48" t="n"/>
      <c r="N4301" s="48" t="n"/>
      <c r="O4301" s="51">
        <f>IF(AND(B4301="",G4301="",C4301="",D4301="",J4301=""),"",IF(B4301="","⚠ Falta fecha",IF(G4301="","⚠ Falta monto",IF(Q4301="","⚠ Falta cuenta",IF(ISNA(MATCH(Q4301,ctaNombre,0)),"⚠ Cuenta no registrada",IF(AND(OR(P4301="Gasto",P4301="Reembolso"),D4301=""),"⚠ Falta categoría",IF(AND(D4301&lt;&gt;"",E4301&lt;&gt;"",ISNA(MATCH(D4301&amp;"|"&amp;E4301,catClave,0))),"⚠ Subcategoría no corresponde",IF(AND(OR(P4301="Transferencia",P4301="Pago tarjeta"),K4301=""),"⚠ Falta cuenta destino",IF(AND(K4301&lt;&gt;"",P4301&lt;&gt;"Transferencia",P4301&lt;&gt;"Pago tarjeta"),"⚠ Destino solo aplica a transferencias",IF(AND(K4301&lt;&gt;"",K4301=Q4301),"⚠ Origen igual a destino",IF(AND(K4301&lt;&gt;"",ISNA(MATCH(K4301,ctaNombre,0))),"⚠ Destino no registrado",IF(AND(P4301="Pago tarjeta",AE4301&lt;&gt;"Tarjeta de crédito"),"⚠ El destino debe ser tarjeta de crédito",IF(AND(P4301="Gasto",E4301="Depósitos y retiros"),"⚠ Usa tipo Transferencia",IF(AND(P4301="Resultado trading",AD4301&lt;&gt;"Cuenta de trading"),"⚠ Usa una cuenta de trading",IF(AND(G4301&lt;=0,P4301&lt;&gt;"Ajuste",P4301&lt;&gt;"Resultado trading"),"⚠ El monto debe ser positivo","✓")))))))))))))))</f>
        <v/>
      </c>
      <c r="P4301" s="52">
        <f>IF(OR(B4301="",G4301=""),"",IF(C4301="","Gasto",C4301))</f>
        <v/>
      </c>
      <c r="Q4301" s="52">
        <f>IF(P4301="","",IF(J4301&lt;&gt;"",J4301,CuentaPred&amp;""))</f>
        <v/>
      </c>
      <c r="R4301" s="52">
        <f>IF(P4301="","",IF(ISNUMBER(I4301),I4301,TasaUSD))</f>
        <v/>
      </c>
      <c r="S4301" s="53">
        <f>IF(P4301="","",IF(H4301="USD",G4301*R4301,G4301))</f>
        <v/>
      </c>
      <c r="T4301" s="53">
        <f>IF(P4301="","",IF(H4301="USD",G4301,IF(R4301&gt;0,G4301/R4301,0)))</f>
        <v/>
      </c>
      <c r="U4301" s="53">
        <f>IF(P4301="","",IF(P4301="Gasto",S4301,IF(P4301="Reembolso",-S4301,0)))</f>
        <v/>
      </c>
      <c r="V4301" s="53">
        <f>IF(P4301="","",IF(P4301="Ingreso",S4301,0))</f>
        <v/>
      </c>
      <c r="W4301" s="53">
        <f>IF(P4301="","",IF(P4301="Resultado trading",S4301,0))</f>
        <v/>
      </c>
      <c r="X4301" s="52">
        <f>IF(OR(P4301="Gasto",P4301="Reembolso"),IF(M4301&lt;&gt;"",M4301,IFERROR(INDEX(catClasif,MATCH(D4301&amp;"|"&amp;E4301,catClave,0))&amp;"","Variable")),"")</f>
        <v/>
      </c>
      <c r="Y4301" s="52">
        <f>IF(P4301="","",IFERROR(INDEX(catGrupo,MATCH(D4301&amp;"|"&amp;E4301,catClave,0))&amp;"",""))</f>
        <v/>
      </c>
      <c r="Z4301" s="52">
        <f>IF(P4301="","",WEEKDAY(B4301,2))</f>
        <v/>
      </c>
      <c r="AA4301" s="52">
        <f>IF(P4301="","",IF(AND(P4301="Gasto",X4301="Variable",D4301&lt;&gt;catTrading,S4301&gt;0,S4301&lt;=Umbral),1,0))</f>
        <v/>
      </c>
      <c r="AB4301" s="52">
        <f>IF(OR(P4301="",Q4301=""),"",IFERROR(IF(INDEX(ctaVinc,MATCH(Q4301,ctaNombre,0))&amp;""&lt;&gt;"",INDEX(ctaVinc,MATCH(Q4301,ctaNombre,0))&amp;"",Q4301),Q4301))</f>
        <v/>
      </c>
      <c r="AC4301" s="52">
        <f>IF(OR(K4301="",AND(P4301&lt;&gt;"Transferencia",P4301&lt;&gt;"Pago tarjeta")),"",IFERROR(IF(INDEX(ctaVinc,MATCH(K4301,ctaNombre,0))&amp;""&lt;&gt;"",INDEX(ctaVinc,MATCH(K4301,ctaNombre,0))&amp;"",K4301),K4301))</f>
        <v/>
      </c>
      <c r="AD4301" s="52">
        <f>IF(AB4301="","",IFERROR(INDEX(ctaTipo,MATCH(AB4301,ctaNombre,0))&amp;"",""))</f>
        <v/>
      </c>
      <c r="AE4301" s="52">
        <f>IF(AC4301="","",IFERROR(INDEX(ctaTipo,MATCH(AC4301,ctaNombre,0))&amp;"",""))</f>
        <v/>
      </c>
      <c r="AF4301" s="53">
        <f>IF(OR(P4301="",AB4301=""),"",IF(OR(P4301="Gasto",P4301="Transferencia",P4301="Pago tarjeta"),-1,1)*IF(IFERROR(INDEX(ctaMoneda,MATCH(AB4301,ctaNombre,0))&amp;"","DOP")="USD",T4301,S4301))</f>
        <v/>
      </c>
      <c r="AG4301" s="53">
        <f>IF(AC4301="","",IF(IFERROR(INDEX(ctaMoneda,MATCH(AC4301,ctaNombre,0))&amp;"","DOP")="USD",T4301,S4301))</f>
        <v/>
      </c>
      <c r="AH4301" s="53">
        <f>IF(P4301="","",IF(AND(AD4301&lt;&gt;"",COUNTIFS(tcTipo,AD4301,tcLiq,"Sí")&gt;0),IF(OR(P4301="Gasto",P4301="Transferencia",P4301="Pago tarjeta"),-1,1)*S4301,0)+IF(AND(AE4301&lt;&gt;"",COUNTIFS(tcTipo,AE4301,tcLiq,"Sí")&gt;0),S4301,0))</f>
        <v/>
      </c>
      <c r="AI4301" s="52">
        <f>IF(OR(L4301="",P4301=""),"",IF(COUNTIFS(L$6:L4301,L4301,P$6:P4301,"?*")=1,MAX(AI$5:AI4300)+1,""))</f>
        <v/>
      </c>
    </row>
    <row r="4302">
      <c r="B4302" s="47" t="n"/>
      <c r="C4302" s="48" t="n"/>
      <c r="D4302" s="48" t="n"/>
      <c r="E4302" s="48" t="n"/>
      <c r="F4302" s="48" t="n"/>
      <c r="G4302" s="49" t="n"/>
      <c r="H4302" s="48" t="n"/>
      <c r="I4302" s="50" t="n"/>
      <c r="J4302" s="48" t="n"/>
      <c r="K4302" s="48" t="n"/>
      <c r="L4302" s="48" t="n"/>
      <c r="M4302" s="48" t="n"/>
      <c r="N4302" s="48" t="n"/>
      <c r="O4302" s="51">
        <f>IF(AND(B4302="",G4302="",C4302="",D4302="",J4302=""),"",IF(B4302="","⚠ Falta fecha",IF(G4302="","⚠ Falta monto",IF(Q4302="","⚠ Falta cuenta",IF(ISNA(MATCH(Q4302,ctaNombre,0)),"⚠ Cuenta no registrada",IF(AND(OR(P4302="Gasto",P4302="Reembolso"),D4302=""),"⚠ Falta categoría",IF(AND(D4302&lt;&gt;"",E4302&lt;&gt;"",ISNA(MATCH(D4302&amp;"|"&amp;E4302,catClave,0))),"⚠ Subcategoría no corresponde",IF(AND(OR(P4302="Transferencia",P4302="Pago tarjeta"),K4302=""),"⚠ Falta cuenta destino",IF(AND(K4302&lt;&gt;"",P4302&lt;&gt;"Transferencia",P4302&lt;&gt;"Pago tarjeta"),"⚠ Destino solo aplica a transferencias",IF(AND(K4302&lt;&gt;"",K4302=Q4302),"⚠ Origen igual a destino",IF(AND(K4302&lt;&gt;"",ISNA(MATCH(K4302,ctaNombre,0))),"⚠ Destino no registrado",IF(AND(P4302="Pago tarjeta",AE4302&lt;&gt;"Tarjeta de crédito"),"⚠ El destino debe ser tarjeta de crédito",IF(AND(P4302="Gasto",E4302="Depósitos y retiros"),"⚠ Usa tipo Transferencia",IF(AND(P4302="Resultado trading",AD4302&lt;&gt;"Cuenta de trading"),"⚠ Usa una cuenta de trading",IF(AND(G4302&lt;=0,P4302&lt;&gt;"Ajuste",P4302&lt;&gt;"Resultado trading"),"⚠ El monto debe ser positivo","✓")))))))))))))))</f>
        <v/>
      </c>
      <c r="P4302" s="52">
        <f>IF(OR(B4302="",G4302=""),"",IF(C4302="","Gasto",C4302))</f>
        <v/>
      </c>
      <c r="Q4302" s="52">
        <f>IF(P4302="","",IF(J4302&lt;&gt;"",J4302,CuentaPred&amp;""))</f>
        <v/>
      </c>
      <c r="R4302" s="52">
        <f>IF(P4302="","",IF(ISNUMBER(I4302),I4302,TasaUSD))</f>
        <v/>
      </c>
      <c r="S4302" s="53">
        <f>IF(P4302="","",IF(H4302="USD",G4302*R4302,G4302))</f>
        <v/>
      </c>
      <c r="T4302" s="53">
        <f>IF(P4302="","",IF(H4302="USD",G4302,IF(R4302&gt;0,G4302/R4302,0)))</f>
        <v/>
      </c>
      <c r="U4302" s="53">
        <f>IF(P4302="","",IF(P4302="Gasto",S4302,IF(P4302="Reembolso",-S4302,0)))</f>
        <v/>
      </c>
      <c r="V4302" s="53">
        <f>IF(P4302="","",IF(P4302="Ingreso",S4302,0))</f>
        <v/>
      </c>
      <c r="W4302" s="53">
        <f>IF(P4302="","",IF(P4302="Resultado trading",S4302,0))</f>
        <v/>
      </c>
      <c r="X4302" s="52">
        <f>IF(OR(P4302="Gasto",P4302="Reembolso"),IF(M4302&lt;&gt;"",M4302,IFERROR(INDEX(catClasif,MATCH(D4302&amp;"|"&amp;E4302,catClave,0))&amp;"","Variable")),"")</f>
        <v/>
      </c>
      <c r="Y4302" s="52">
        <f>IF(P4302="","",IFERROR(INDEX(catGrupo,MATCH(D4302&amp;"|"&amp;E4302,catClave,0))&amp;"",""))</f>
        <v/>
      </c>
      <c r="Z4302" s="52">
        <f>IF(P4302="","",WEEKDAY(B4302,2))</f>
        <v/>
      </c>
      <c r="AA4302" s="52">
        <f>IF(P4302="","",IF(AND(P4302="Gasto",X4302="Variable",D4302&lt;&gt;catTrading,S4302&gt;0,S4302&lt;=Umbral),1,0))</f>
        <v/>
      </c>
      <c r="AB4302" s="52">
        <f>IF(OR(P4302="",Q4302=""),"",IFERROR(IF(INDEX(ctaVinc,MATCH(Q4302,ctaNombre,0))&amp;""&lt;&gt;"",INDEX(ctaVinc,MATCH(Q4302,ctaNombre,0))&amp;"",Q4302),Q4302))</f>
        <v/>
      </c>
      <c r="AC4302" s="52">
        <f>IF(OR(K4302="",AND(P4302&lt;&gt;"Transferencia",P4302&lt;&gt;"Pago tarjeta")),"",IFERROR(IF(INDEX(ctaVinc,MATCH(K4302,ctaNombre,0))&amp;""&lt;&gt;"",INDEX(ctaVinc,MATCH(K4302,ctaNombre,0))&amp;"",K4302),K4302))</f>
        <v/>
      </c>
      <c r="AD4302" s="52">
        <f>IF(AB4302="","",IFERROR(INDEX(ctaTipo,MATCH(AB4302,ctaNombre,0))&amp;"",""))</f>
        <v/>
      </c>
      <c r="AE4302" s="52">
        <f>IF(AC4302="","",IFERROR(INDEX(ctaTipo,MATCH(AC4302,ctaNombre,0))&amp;"",""))</f>
        <v/>
      </c>
      <c r="AF4302" s="53">
        <f>IF(OR(P4302="",AB4302=""),"",IF(OR(P4302="Gasto",P4302="Transferencia",P4302="Pago tarjeta"),-1,1)*IF(IFERROR(INDEX(ctaMoneda,MATCH(AB4302,ctaNombre,0))&amp;"","DOP")="USD",T4302,S4302))</f>
        <v/>
      </c>
      <c r="AG4302" s="53">
        <f>IF(AC4302="","",IF(IFERROR(INDEX(ctaMoneda,MATCH(AC4302,ctaNombre,0))&amp;"","DOP")="USD",T4302,S4302))</f>
        <v/>
      </c>
      <c r="AH4302" s="53">
        <f>IF(P4302="","",IF(AND(AD4302&lt;&gt;"",COUNTIFS(tcTipo,AD4302,tcLiq,"Sí")&gt;0),IF(OR(P4302="Gasto",P4302="Transferencia",P4302="Pago tarjeta"),-1,1)*S4302,0)+IF(AND(AE4302&lt;&gt;"",COUNTIFS(tcTipo,AE4302,tcLiq,"Sí")&gt;0),S4302,0))</f>
        <v/>
      </c>
      <c r="AI4302" s="52">
        <f>IF(OR(L4302="",P4302=""),"",IF(COUNTIFS(L$6:L4302,L4302,P$6:P4302,"?*")=1,MAX(AI$5:AI4301)+1,""))</f>
        <v/>
      </c>
    </row>
    <row r="4303">
      <c r="B4303" s="47" t="n"/>
      <c r="C4303" s="48" t="n"/>
      <c r="D4303" s="48" t="n"/>
      <c r="E4303" s="48" t="n"/>
      <c r="F4303" s="48" t="n"/>
      <c r="G4303" s="49" t="n"/>
      <c r="H4303" s="48" t="n"/>
      <c r="I4303" s="50" t="n"/>
      <c r="J4303" s="48" t="n"/>
      <c r="K4303" s="48" t="n"/>
      <c r="L4303" s="48" t="n"/>
      <c r="M4303" s="48" t="n"/>
      <c r="N4303" s="48" t="n"/>
      <c r="O4303" s="51">
        <f>IF(AND(B4303="",G4303="",C4303="",D4303="",J4303=""),"",IF(B4303="","⚠ Falta fecha",IF(G4303="","⚠ Falta monto",IF(Q4303="","⚠ Falta cuenta",IF(ISNA(MATCH(Q4303,ctaNombre,0)),"⚠ Cuenta no registrada",IF(AND(OR(P4303="Gasto",P4303="Reembolso"),D4303=""),"⚠ Falta categoría",IF(AND(D4303&lt;&gt;"",E4303&lt;&gt;"",ISNA(MATCH(D4303&amp;"|"&amp;E4303,catClave,0))),"⚠ Subcategoría no corresponde",IF(AND(OR(P4303="Transferencia",P4303="Pago tarjeta"),K4303=""),"⚠ Falta cuenta destino",IF(AND(K4303&lt;&gt;"",P4303&lt;&gt;"Transferencia",P4303&lt;&gt;"Pago tarjeta"),"⚠ Destino solo aplica a transferencias",IF(AND(K4303&lt;&gt;"",K4303=Q4303),"⚠ Origen igual a destino",IF(AND(K4303&lt;&gt;"",ISNA(MATCH(K4303,ctaNombre,0))),"⚠ Destino no registrado",IF(AND(P4303="Pago tarjeta",AE4303&lt;&gt;"Tarjeta de crédito"),"⚠ El destino debe ser tarjeta de crédito",IF(AND(P4303="Gasto",E4303="Depósitos y retiros"),"⚠ Usa tipo Transferencia",IF(AND(P4303="Resultado trading",AD4303&lt;&gt;"Cuenta de trading"),"⚠ Usa una cuenta de trading",IF(AND(G4303&lt;=0,P4303&lt;&gt;"Ajuste",P4303&lt;&gt;"Resultado trading"),"⚠ El monto debe ser positivo","✓")))))))))))))))</f>
        <v/>
      </c>
      <c r="P4303" s="52">
        <f>IF(OR(B4303="",G4303=""),"",IF(C4303="","Gasto",C4303))</f>
        <v/>
      </c>
      <c r="Q4303" s="52">
        <f>IF(P4303="","",IF(J4303&lt;&gt;"",J4303,CuentaPred&amp;""))</f>
        <v/>
      </c>
      <c r="R4303" s="52">
        <f>IF(P4303="","",IF(ISNUMBER(I4303),I4303,TasaUSD))</f>
        <v/>
      </c>
      <c r="S4303" s="53">
        <f>IF(P4303="","",IF(H4303="USD",G4303*R4303,G4303))</f>
        <v/>
      </c>
      <c r="T4303" s="53">
        <f>IF(P4303="","",IF(H4303="USD",G4303,IF(R4303&gt;0,G4303/R4303,0)))</f>
        <v/>
      </c>
      <c r="U4303" s="53">
        <f>IF(P4303="","",IF(P4303="Gasto",S4303,IF(P4303="Reembolso",-S4303,0)))</f>
        <v/>
      </c>
      <c r="V4303" s="53">
        <f>IF(P4303="","",IF(P4303="Ingreso",S4303,0))</f>
        <v/>
      </c>
      <c r="W4303" s="53">
        <f>IF(P4303="","",IF(P4303="Resultado trading",S4303,0))</f>
        <v/>
      </c>
      <c r="X4303" s="52">
        <f>IF(OR(P4303="Gasto",P4303="Reembolso"),IF(M4303&lt;&gt;"",M4303,IFERROR(INDEX(catClasif,MATCH(D4303&amp;"|"&amp;E4303,catClave,0))&amp;"","Variable")),"")</f>
        <v/>
      </c>
      <c r="Y4303" s="52">
        <f>IF(P4303="","",IFERROR(INDEX(catGrupo,MATCH(D4303&amp;"|"&amp;E4303,catClave,0))&amp;"",""))</f>
        <v/>
      </c>
      <c r="Z4303" s="52">
        <f>IF(P4303="","",WEEKDAY(B4303,2))</f>
        <v/>
      </c>
      <c r="AA4303" s="52">
        <f>IF(P4303="","",IF(AND(P4303="Gasto",X4303="Variable",D4303&lt;&gt;catTrading,S4303&gt;0,S4303&lt;=Umbral),1,0))</f>
        <v/>
      </c>
      <c r="AB4303" s="52">
        <f>IF(OR(P4303="",Q4303=""),"",IFERROR(IF(INDEX(ctaVinc,MATCH(Q4303,ctaNombre,0))&amp;""&lt;&gt;"",INDEX(ctaVinc,MATCH(Q4303,ctaNombre,0))&amp;"",Q4303),Q4303))</f>
        <v/>
      </c>
      <c r="AC4303" s="52">
        <f>IF(OR(K4303="",AND(P4303&lt;&gt;"Transferencia",P4303&lt;&gt;"Pago tarjeta")),"",IFERROR(IF(INDEX(ctaVinc,MATCH(K4303,ctaNombre,0))&amp;""&lt;&gt;"",INDEX(ctaVinc,MATCH(K4303,ctaNombre,0))&amp;"",K4303),K4303))</f>
        <v/>
      </c>
      <c r="AD4303" s="52">
        <f>IF(AB4303="","",IFERROR(INDEX(ctaTipo,MATCH(AB4303,ctaNombre,0))&amp;"",""))</f>
        <v/>
      </c>
      <c r="AE4303" s="52">
        <f>IF(AC4303="","",IFERROR(INDEX(ctaTipo,MATCH(AC4303,ctaNombre,0))&amp;"",""))</f>
        <v/>
      </c>
      <c r="AF4303" s="53">
        <f>IF(OR(P4303="",AB4303=""),"",IF(OR(P4303="Gasto",P4303="Transferencia",P4303="Pago tarjeta"),-1,1)*IF(IFERROR(INDEX(ctaMoneda,MATCH(AB4303,ctaNombre,0))&amp;"","DOP")="USD",T4303,S4303))</f>
        <v/>
      </c>
      <c r="AG4303" s="53">
        <f>IF(AC4303="","",IF(IFERROR(INDEX(ctaMoneda,MATCH(AC4303,ctaNombre,0))&amp;"","DOP")="USD",T4303,S4303))</f>
        <v/>
      </c>
      <c r="AH4303" s="53">
        <f>IF(P4303="","",IF(AND(AD4303&lt;&gt;"",COUNTIFS(tcTipo,AD4303,tcLiq,"Sí")&gt;0),IF(OR(P4303="Gasto",P4303="Transferencia",P4303="Pago tarjeta"),-1,1)*S4303,0)+IF(AND(AE4303&lt;&gt;"",COUNTIFS(tcTipo,AE4303,tcLiq,"Sí")&gt;0),S4303,0))</f>
        <v/>
      </c>
      <c r="AI4303" s="52">
        <f>IF(OR(L4303="",P4303=""),"",IF(COUNTIFS(L$6:L4303,L4303,P$6:P4303,"?*")=1,MAX(AI$5:AI4302)+1,""))</f>
        <v/>
      </c>
    </row>
    <row r="4304">
      <c r="B4304" s="47" t="n"/>
      <c r="C4304" s="48" t="n"/>
      <c r="D4304" s="48" t="n"/>
      <c r="E4304" s="48" t="n"/>
      <c r="F4304" s="48" t="n"/>
      <c r="G4304" s="49" t="n"/>
      <c r="H4304" s="48" t="n"/>
      <c r="I4304" s="50" t="n"/>
      <c r="J4304" s="48" t="n"/>
      <c r="K4304" s="48" t="n"/>
      <c r="L4304" s="48" t="n"/>
      <c r="M4304" s="48" t="n"/>
      <c r="N4304" s="48" t="n"/>
      <c r="O4304" s="51">
        <f>IF(AND(B4304="",G4304="",C4304="",D4304="",J4304=""),"",IF(B4304="","⚠ Falta fecha",IF(G4304="","⚠ Falta monto",IF(Q4304="","⚠ Falta cuenta",IF(ISNA(MATCH(Q4304,ctaNombre,0)),"⚠ Cuenta no registrada",IF(AND(OR(P4304="Gasto",P4304="Reembolso"),D4304=""),"⚠ Falta categoría",IF(AND(D4304&lt;&gt;"",E4304&lt;&gt;"",ISNA(MATCH(D4304&amp;"|"&amp;E4304,catClave,0))),"⚠ Subcategoría no corresponde",IF(AND(OR(P4304="Transferencia",P4304="Pago tarjeta"),K4304=""),"⚠ Falta cuenta destino",IF(AND(K4304&lt;&gt;"",P4304&lt;&gt;"Transferencia",P4304&lt;&gt;"Pago tarjeta"),"⚠ Destino solo aplica a transferencias",IF(AND(K4304&lt;&gt;"",K4304=Q4304),"⚠ Origen igual a destino",IF(AND(K4304&lt;&gt;"",ISNA(MATCH(K4304,ctaNombre,0))),"⚠ Destino no registrado",IF(AND(P4304="Pago tarjeta",AE4304&lt;&gt;"Tarjeta de crédito"),"⚠ El destino debe ser tarjeta de crédito",IF(AND(P4304="Gasto",E4304="Depósitos y retiros"),"⚠ Usa tipo Transferencia",IF(AND(P4304="Resultado trading",AD4304&lt;&gt;"Cuenta de trading"),"⚠ Usa una cuenta de trading",IF(AND(G4304&lt;=0,P4304&lt;&gt;"Ajuste",P4304&lt;&gt;"Resultado trading"),"⚠ El monto debe ser positivo","✓")))))))))))))))</f>
        <v/>
      </c>
      <c r="P4304" s="52">
        <f>IF(OR(B4304="",G4304=""),"",IF(C4304="","Gasto",C4304))</f>
        <v/>
      </c>
      <c r="Q4304" s="52">
        <f>IF(P4304="","",IF(J4304&lt;&gt;"",J4304,CuentaPred&amp;""))</f>
        <v/>
      </c>
      <c r="R4304" s="52">
        <f>IF(P4304="","",IF(ISNUMBER(I4304),I4304,TasaUSD))</f>
        <v/>
      </c>
      <c r="S4304" s="53">
        <f>IF(P4304="","",IF(H4304="USD",G4304*R4304,G4304))</f>
        <v/>
      </c>
      <c r="T4304" s="53">
        <f>IF(P4304="","",IF(H4304="USD",G4304,IF(R4304&gt;0,G4304/R4304,0)))</f>
        <v/>
      </c>
      <c r="U4304" s="53">
        <f>IF(P4304="","",IF(P4304="Gasto",S4304,IF(P4304="Reembolso",-S4304,0)))</f>
        <v/>
      </c>
      <c r="V4304" s="53">
        <f>IF(P4304="","",IF(P4304="Ingreso",S4304,0))</f>
        <v/>
      </c>
      <c r="W4304" s="53">
        <f>IF(P4304="","",IF(P4304="Resultado trading",S4304,0))</f>
        <v/>
      </c>
      <c r="X4304" s="52">
        <f>IF(OR(P4304="Gasto",P4304="Reembolso"),IF(M4304&lt;&gt;"",M4304,IFERROR(INDEX(catClasif,MATCH(D4304&amp;"|"&amp;E4304,catClave,0))&amp;"","Variable")),"")</f>
        <v/>
      </c>
      <c r="Y4304" s="52">
        <f>IF(P4304="","",IFERROR(INDEX(catGrupo,MATCH(D4304&amp;"|"&amp;E4304,catClave,0))&amp;"",""))</f>
        <v/>
      </c>
      <c r="Z4304" s="52">
        <f>IF(P4304="","",WEEKDAY(B4304,2))</f>
        <v/>
      </c>
      <c r="AA4304" s="52">
        <f>IF(P4304="","",IF(AND(P4304="Gasto",X4304="Variable",D4304&lt;&gt;catTrading,S4304&gt;0,S4304&lt;=Umbral),1,0))</f>
        <v/>
      </c>
      <c r="AB4304" s="52">
        <f>IF(OR(P4304="",Q4304=""),"",IFERROR(IF(INDEX(ctaVinc,MATCH(Q4304,ctaNombre,0))&amp;""&lt;&gt;"",INDEX(ctaVinc,MATCH(Q4304,ctaNombre,0))&amp;"",Q4304),Q4304))</f>
        <v/>
      </c>
      <c r="AC4304" s="52">
        <f>IF(OR(K4304="",AND(P4304&lt;&gt;"Transferencia",P4304&lt;&gt;"Pago tarjeta")),"",IFERROR(IF(INDEX(ctaVinc,MATCH(K4304,ctaNombre,0))&amp;""&lt;&gt;"",INDEX(ctaVinc,MATCH(K4304,ctaNombre,0))&amp;"",K4304),K4304))</f>
        <v/>
      </c>
      <c r="AD4304" s="52">
        <f>IF(AB4304="","",IFERROR(INDEX(ctaTipo,MATCH(AB4304,ctaNombre,0))&amp;"",""))</f>
        <v/>
      </c>
      <c r="AE4304" s="52">
        <f>IF(AC4304="","",IFERROR(INDEX(ctaTipo,MATCH(AC4304,ctaNombre,0))&amp;"",""))</f>
        <v/>
      </c>
      <c r="AF4304" s="53">
        <f>IF(OR(P4304="",AB4304=""),"",IF(OR(P4304="Gasto",P4304="Transferencia",P4304="Pago tarjeta"),-1,1)*IF(IFERROR(INDEX(ctaMoneda,MATCH(AB4304,ctaNombre,0))&amp;"","DOP")="USD",T4304,S4304))</f>
        <v/>
      </c>
      <c r="AG4304" s="53">
        <f>IF(AC4304="","",IF(IFERROR(INDEX(ctaMoneda,MATCH(AC4304,ctaNombre,0))&amp;"","DOP")="USD",T4304,S4304))</f>
        <v/>
      </c>
      <c r="AH4304" s="53">
        <f>IF(P4304="","",IF(AND(AD4304&lt;&gt;"",COUNTIFS(tcTipo,AD4304,tcLiq,"Sí")&gt;0),IF(OR(P4304="Gasto",P4304="Transferencia",P4304="Pago tarjeta"),-1,1)*S4304,0)+IF(AND(AE4304&lt;&gt;"",COUNTIFS(tcTipo,AE4304,tcLiq,"Sí")&gt;0),S4304,0))</f>
        <v/>
      </c>
      <c r="AI4304" s="52">
        <f>IF(OR(L4304="",P4304=""),"",IF(COUNTIFS(L$6:L4304,L4304,P$6:P4304,"?*")=1,MAX(AI$5:AI4303)+1,""))</f>
        <v/>
      </c>
    </row>
    <row r="4305">
      <c r="B4305" s="47" t="n"/>
      <c r="C4305" s="48" t="n"/>
      <c r="D4305" s="48" t="n"/>
      <c r="E4305" s="48" t="n"/>
      <c r="F4305" s="48" t="n"/>
      <c r="G4305" s="49" t="n"/>
      <c r="H4305" s="48" t="n"/>
      <c r="I4305" s="50" t="n"/>
      <c r="J4305" s="48" t="n"/>
      <c r="K4305" s="48" t="n"/>
      <c r="L4305" s="48" t="n"/>
      <c r="M4305" s="48" t="n"/>
      <c r="N4305" s="48" t="n"/>
      <c r="O4305" s="51">
        <f>IF(AND(B4305="",G4305="",C4305="",D4305="",J4305=""),"",IF(B4305="","⚠ Falta fecha",IF(G4305="","⚠ Falta monto",IF(Q4305="","⚠ Falta cuenta",IF(ISNA(MATCH(Q4305,ctaNombre,0)),"⚠ Cuenta no registrada",IF(AND(OR(P4305="Gasto",P4305="Reembolso"),D4305=""),"⚠ Falta categoría",IF(AND(D4305&lt;&gt;"",E4305&lt;&gt;"",ISNA(MATCH(D4305&amp;"|"&amp;E4305,catClave,0))),"⚠ Subcategoría no corresponde",IF(AND(OR(P4305="Transferencia",P4305="Pago tarjeta"),K4305=""),"⚠ Falta cuenta destino",IF(AND(K4305&lt;&gt;"",P4305&lt;&gt;"Transferencia",P4305&lt;&gt;"Pago tarjeta"),"⚠ Destino solo aplica a transferencias",IF(AND(K4305&lt;&gt;"",K4305=Q4305),"⚠ Origen igual a destino",IF(AND(K4305&lt;&gt;"",ISNA(MATCH(K4305,ctaNombre,0))),"⚠ Destino no registrado",IF(AND(P4305="Pago tarjeta",AE4305&lt;&gt;"Tarjeta de crédito"),"⚠ El destino debe ser tarjeta de crédito",IF(AND(P4305="Gasto",E4305="Depósitos y retiros"),"⚠ Usa tipo Transferencia",IF(AND(P4305="Resultado trading",AD4305&lt;&gt;"Cuenta de trading"),"⚠ Usa una cuenta de trading",IF(AND(G4305&lt;=0,P4305&lt;&gt;"Ajuste",P4305&lt;&gt;"Resultado trading"),"⚠ El monto debe ser positivo","✓")))))))))))))))</f>
        <v/>
      </c>
      <c r="P4305" s="52">
        <f>IF(OR(B4305="",G4305=""),"",IF(C4305="","Gasto",C4305))</f>
        <v/>
      </c>
      <c r="Q4305" s="52">
        <f>IF(P4305="","",IF(J4305&lt;&gt;"",J4305,CuentaPred&amp;""))</f>
        <v/>
      </c>
      <c r="R4305" s="52">
        <f>IF(P4305="","",IF(ISNUMBER(I4305),I4305,TasaUSD))</f>
        <v/>
      </c>
      <c r="S4305" s="53">
        <f>IF(P4305="","",IF(H4305="USD",G4305*R4305,G4305))</f>
        <v/>
      </c>
      <c r="T4305" s="53">
        <f>IF(P4305="","",IF(H4305="USD",G4305,IF(R4305&gt;0,G4305/R4305,0)))</f>
        <v/>
      </c>
      <c r="U4305" s="53">
        <f>IF(P4305="","",IF(P4305="Gasto",S4305,IF(P4305="Reembolso",-S4305,0)))</f>
        <v/>
      </c>
      <c r="V4305" s="53">
        <f>IF(P4305="","",IF(P4305="Ingreso",S4305,0))</f>
        <v/>
      </c>
      <c r="W4305" s="53">
        <f>IF(P4305="","",IF(P4305="Resultado trading",S4305,0))</f>
        <v/>
      </c>
      <c r="X4305" s="52">
        <f>IF(OR(P4305="Gasto",P4305="Reembolso"),IF(M4305&lt;&gt;"",M4305,IFERROR(INDEX(catClasif,MATCH(D4305&amp;"|"&amp;E4305,catClave,0))&amp;"","Variable")),"")</f>
        <v/>
      </c>
      <c r="Y4305" s="52">
        <f>IF(P4305="","",IFERROR(INDEX(catGrupo,MATCH(D4305&amp;"|"&amp;E4305,catClave,0))&amp;"",""))</f>
        <v/>
      </c>
      <c r="Z4305" s="52">
        <f>IF(P4305="","",WEEKDAY(B4305,2))</f>
        <v/>
      </c>
      <c r="AA4305" s="52">
        <f>IF(P4305="","",IF(AND(P4305="Gasto",X4305="Variable",D4305&lt;&gt;catTrading,S4305&gt;0,S4305&lt;=Umbral),1,0))</f>
        <v/>
      </c>
      <c r="AB4305" s="52">
        <f>IF(OR(P4305="",Q4305=""),"",IFERROR(IF(INDEX(ctaVinc,MATCH(Q4305,ctaNombre,0))&amp;""&lt;&gt;"",INDEX(ctaVinc,MATCH(Q4305,ctaNombre,0))&amp;"",Q4305),Q4305))</f>
        <v/>
      </c>
      <c r="AC4305" s="52">
        <f>IF(OR(K4305="",AND(P4305&lt;&gt;"Transferencia",P4305&lt;&gt;"Pago tarjeta")),"",IFERROR(IF(INDEX(ctaVinc,MATCH(K4305,ctaNombre,0))&amp;""&lt;&gt;"",INDEX(ctaVinc,MATCH(K4305,ctaNombre,0))&amp;"",K4305),K4305))</f>
        <v/>
      </c>
      <c r="AD4305" s="52">
        <f>IF(AB4305="","",IFERROR(INDEX(ctaTipo,MATCH(AB4305,ctaNombre,0))&amp;"",""))</f>
        <v/>
      </c>
      <c r="AE4305" s="52">
        <f>IF(AC4305="","",IFERROR(INDEX(ctaTipo,MATCH(AC4305,ctaNombre,0))&amp;"",""))</f>
        <v/>
      </c>
      <c r="AF4305" s="53">
        <f>IF(OR(P4305="",AB4305=""),"",IF(OR(P4305="Gasto",P4305="Transferencia",P4305="Pago tarjeta"),-1,1)*IF(IFERROR(INDEX(ctaMoneda,MATCH(AB4305,ctaNombre,0))&amp;"","DOP")="USD",T4305,S4305))</f>
        <v/>
      </c>
      <c r="AG4305" s="53">
        <f>IF(AC4305="","",IF(IFERROR(INDEX(ctaMoneda,MATCH(AC4305,ctaNombre,0))&amp;"","DOP")="USD",T4305,S4305))</f>
        <v/>
      </c>
      <c r="AH4305" s="53">
        <f>IF(P4305="","",IF(AND(AD4305&lt;&gt;"",COUNTIFS(tcTipo,AD4305,tcLiq,"Sí")&gt;0),IF(OR(P4305="Gasto",P4305="Transferencia",P4305="Pago tarjeta"),-1,1)*S4305,0)+IF(AND(AE4305&lt;&gt;"",COUNTIFS(tcTipo,AE4305,tcLiq,"Sí")&gt;0),S4305,0))</f>
        <v/>
      </c>
      <c r="AI4305" s="52">
        <f>IF(OR(L4305="",P4305=""),"",IF(COUNTIFS(L$6:L4305,L4305,P$6:P4305,"?*")=1,MAX(AI$5:AI4304)+1,""))</f>
        <v/>
      </c>
    </row>
    <row r="4306">
      <c r="B4306" s="47" t="n"/>
      <c r="C4306" s="48" t="n"/>
      <c r="D4306" s="48" t="n"/>
      <c r="E4306" s="48" t="n"/>
      <c r="F4306" s="48" t="n"/>
      <c r="G4306" s="49" t="n"/>
      <c r="H4306" s="48" t="n"/>
      <c r="I4306" s="50" t="n"/>
      <c r="J4306" s="48" t="n"/>
      <c r="K4306" s="48" t="n"/>
      <c r="L4306" s="48" t="n"/>
      <c r="M4306" s="48" t="n"/>
      <c r="N4306" s="48" t="n"/>
      <c r="O4306" s="51">
        <f>IF(AND(B4306="",G4306="",C4306="",D4306="",J4306=""),"",IF(B4306="","⚠ Falta fecha",IF(G4306="","⚠ Falta monto",IF(Q4306="","⚠ Falta cuenta",IF(ISNA(MATCH(Q4306,ctaNombre,0)),"⚠ Cuenta no registrada",IF(AND(OR(P4306="Gasto",P4306="Reembolso"),D4306=""),"⚠ Falta categoría",IF(AND(D4306&lt;&gt;"",E4306&lt;&gt;"",ISNA(MATCH(D4306&amp;"|"&amp;E4306,catClave,0))),"⚠ Subcategoría no corresponde",IF(AND(OR(P4306="Transferencia",P4306="Pago tarjeta"),K4306=""),"⚠ Falta cuenta destino",IF(AND(K4306&lt;&gt;"",P4306&lt;&gt;"Transferencia",P4306&lt;&gt;"Pago tarjeta"),"⚠ Destino solo aplica a transferencias",IF(AND(K4306&lt;&gt;"",K4306=Q4306),"⚠ Origen igual a destino",IF(AND(K4306&lt;&gt;"",ISNA(MATCH(K4306,ctaNombre,0))),"⚠ Destino no registrado",IF(AND(P4306="Pago tarjeta",AE4306&lt;&gt;"Tarjeta de crédito"),"⚠ El destino debe ser tarjeta de crédito",IF(AND(P4306="Gasto",E4306="Depósitos y retiros"),"⚠ Usa tipo Transferencia",IF(AND(P4306="Resultado trading",AD4306&lt;&gt;"Cuenta de trading"),"⚠ Usa una cuenta de trading",IF(AND(G4306&lt;=0,P4306&lt;&gt;"Ajuste",P4306&lt;&gt;"Resultado trading"),"⚠ El monto debe ser positivo","✓")))))))))))))))</f>
        <v/>
      </c>
      <c r="P4306" s="52">
        <f>IF(OR(B4306="",G4306=""),"",IF(C4306="","Gasto",C4306))</f>
        <v/>
      </c>
      <c r="Q4306" s="52">
        <f>IF(P4306="","",IF(J4306&lt;&gt;"",J4306,CuentaPred&amp;""))</f>
        <v/>
      </c>
      <c r="R4306" s="52">
        <f>IF(P4306="","",IF(ISNUMBER(I4306),I4306,TasaUSD))</f>
        <v/>
      </c>
      <c r="S4306" s="53">
        <f>IF(P4306="","",IF(H4306="USD",G4306*R4306,G4306))</f>
        <v/>
      </c>
      <c r="T4306" s="53">
        <f>IF(P4306="","",IF(H4306="USD",G4306,IF(R4306&gt;0,G4306/R4306,0)))</f>
        <v/>
      </c>
      <c r="U4306" s="53">
        <f>IF(P4306="","",IF(P4306="Gasto",S4306,IF(P4306="Reembolso",-S4306,0)))</f>
        <v/>
      </c>
      <c r="V4306" s="53">
        <f>IF(P4306="","",IF(P4306="Ingreso",S4306,0))</f>
        <v/>
      </c>
      <c r="W4306" s="53">
        <f>IF(P4306="","",IF(P4306="Resultado trading",S4306,0))</f>
        <v/>
      </c>
      <c r="X4306" s="52">
        <f>IF(OR(P4306="Gasto",P4306="Reembolso"),IF(M4306&lt;&gt;"",M4306,IFERROR(INDEX(catClasif,MATCH(D4306&amp;"|"&amp;E4306,catClave,0))&amp;"","Variable")),"")</f>
        <v/>
      </c>
      <c r="Y4306" s="52">
        <f>IF(P4306="","",IFERROR(INDEX(catGrupo,MATCH(D4306&amp;"|"&amp;E4306,catClave,0))&amp;"",""))</f>
        <v/>
      </c>
      <c r="Z4306" s="52">
        <f>IF(P4306="","",WEEKDAY(B4306,2))</f>
        <v/>
      </c>
      <c r="AA4306" s="52">
        <f>IF(P4306="","",IF(AND(P4306="Gasto",X4306="Variable",D4306&lt;&gt;catTrading,S4306&gt;0,S4306&lt;=Umbral),1,0))</f>
        <v/>
      </c>
      <c r="AB4306" s="52">
        <f>IF(OR(P4306="",Q4306=""),"",IFERROR(IF(INDEX(ctaVinc,MATCH(Q4306,ctaNombre,0))&amp;""&lt;&gt;"",INDEX(ctaVinc,MATCH(Q4306,ctaNombre,0))&amp;"",Q4306),Q4306))</f>
        <v/>
      </c>
      <c r="AC4306" s="52">
        <f>IF(OR(K4306="",AND(P4306&lt;&gt;"Transferencia",P4306&lt;&gt;"Pago tarjeta")),"",IFERROR(IF(INDEX(ctaVinc,MATCH(K4306,ctaNombre,0))&amp;""&lt;&gt;"",INDEX(ctaVinc,MATCH(K4306,ctaNombre,0))&amp;"",K4306),K4306))</f>
        <v/>
      </c>
      <c r="AD4306" s="52">
        <f>IF(AB4306="","",IFERROR(INDEX(ctaTipo,MATCH(AB4306,ctaNombre,0))&amp;"",""))</f>
        <v/>
      </c>
      <c r="AE4306" s="52">
        <f>IF(AC4306="","",IFERROR(INDEX(ctaTipo,MATCH(AC4306,ctaNombre,0))&amp;"",""))</f>
        <v/>
      </c>
      <c r="AF4306" s="53">
        <f>IF(OR(P4306="",AB4306=""),"",IF(OR(P4306="Gasto",P4306="Transferencia",P4306="Pago tarjeta"),-1,1)*IF(IFERROR(INDEX(ctaMoneda,MATCH(AB4306,ctaNombre,0))&amp;"","DOP")="USD",T4306,S4306))</f>
        <v/>
      </c>
      <c r="AG4306" s="53">
        <f>IF(AC4306="","",IF(IFERROR(INDEX(ctaMoneda,MATCH(AC4306,ctaNombre,0))&amp;"","DOP")="USD",T4306,S4306))</f>
        <v/>
      </c>
      <c r="AH4306" s="53">
        <f>IF(P4306="","",IF(AND(AD4306&lt;&gt;"",COUNTIFS(tcTipo,AD4306,tcLiq,"Sí")&gt;0),IF(OR(P4306="Gasto",P4306="Transferencia",P4306="Pago tarjeta"),-1,1)*S4306,0)+IF(AND(AE4306&lt;&gt;"",COUNTIFS(tcTipo,AE4306,tcLiq,"Sí")&gt;0),S4306,0))</f>
        <v/>
      </c>
      <c r="AI4306" s="52">
        <f>IF(OR(L4306="",P4306=""),"",IF(COUNTIFS(L$6:L4306,L4306,P$6:P4306,"?*")=1,MAX(AI$5:AI4305)+1,""))</f>
        <v/>
      </c>
    </row>
    <row r="4307">
      <c r="B4307" s="47" t="n"/>
      <c r="C4307" s="48" t="n"/>
      <c r="D4307" s="48" t="n"/>
      <c r="E4307" s="48" t="n"/>
      <c r="F4307" s="48" t="n"/>
      <c r="G4307" s="49" t="n"/>
      <c r="H4307" s="48" t="n"/>
      <c r="I4307" s="50" t="n"/>
      <c r="J4307" s="48" t="n"/>
      <c r="K4307" s="48" t="n"/>
      <c r="L4307" s="48" t="n"/>
      <c r="M4307" s="48" t="n"/>
      <c r="N4307" s="48" t="n"/>
      <c r="O4307" s="51">
        <f>IF(AND(B4307="",G4307="",C4307="",D4307="",J4307=""),"",IF(B4307="","⚠ Falta fecha",IF(G4307="","⚠ Falta monto",IF(Q4307="","⚠ Falta cuenta",IF(ISNA(MATCH(Q4307,ctaNombre,0)),"⚠ Cuenta no registrada",IF(AND(OR(P4307="Gasto",P4307="Reembolso"),D4307=""),"⚠ Falta categoría",IF(AND(D4307&lt;&gt;"",E4307&lt;&gt;"",ISNA(MATCH(D4307&amp;"|"&amp;E4307,catClave,0))),"⚠ Subcategoría no corresponde",IF(AND(OR(P4307="Transferencia",P4307="Pago tarjeta"),K4307=""),"⚠ Falta cuenta destino",IF(AND(K4307&lt;&gt;"",P4307&lt;&gt;"Transferencia",P4307&lt;&gt;"Pago tarjeta"),"⚠ Destino solo aplica a transferencias",IF(AND(K4307&lt;&gt;"",K4307=Q4307),"⚠ Origen igual a destino",IF(AND(K4307&lt;&gt;"",ISNA(MATCH(K4307,ctaNombre,0))),"⚠ Destino no registrado",IF(AND(P4307="Pago tarjeta",AE4307&lt;&gt;"Tarjeta de crédito"),"⚠ El destino debe ser tarjeta de crédito",IF(AND(P4307="Gasto",E4307="Depósitos y retiros"),"⚠ Usa tipo Transferencia",IF(AND(P4307="Resultado trading",AD4307&lt;&gt;"Cuenta de trading"),"⚠ Usa una cuenta de trading",IF(AND(G4307&lt;=0,P4307&lt;&gt;"Ajuste",P4307&lt;&gt;"Resultado trading"),"⚠ El monto debe ser positivo","✓")))))))))))))))</f>
        <v/>
      </c>
      <c r="P4307" s="52">
        <f>IF(OR(B4307="",G4307=""),"",IF(C4307="","Gasto",C4307))</f>
        <v/>
      </c>
      <c r="Q4307" s="52">
        <f>IF(P4307="","",IF(J4307&lt;&gt;"",J4307,CuentaPred&amp;""))</f>
        <v/>
      </c>
      <c r="R4307" s="52">
        <f>IF(P4307="","",IF(ISNUMBER(I4307),I4307,TasaUSD))</f>
        <v/>
      </c>
      <c r="S4307" s="53">
        <f>IF(P4307="","",IF(H4307="USD",G4307*R4307,G4307))</f>
        <v/>
      </c>
      <c r="T4307" s="53">
        <f>IF(P4307="","",IF(H4307="USD",G4307,IF(R4307&gt;0,G4307/R4307,0)))</f>
        <v/>
      </c>
      <c r="U4307" s="53">
        <f>IF(P4307="","",IF(P4307="Gasto",S4307,IF(P4307="Reembolso",-S4307,0)))</f>
        <v/>
      </c>
      <c r="V4307" s="53">
        <f>IF(P4307="","",IF(P4307="Ingreso",S4307,0))</f>
        <v/>
      </c>
      <c r="W4307" s="53">
        <f>IF(P4307="","",IF(P4307="Resultado trading",S4307,0))</f>
        <v/>
      </c>
      <c r="X4307" s="52">
        <f>IF(OR(P4307="Gasto",P4307="Reembolso"),IF(M4307&lt;&gt;"",M4307,IFERROR(INDEX(catClasif,MATCH(D4307&amp;"|"&amp;E4307,catClave,0))&amp;"","Variable")),"")</f>
        <v/>
      </c>
      <c r="Y4307" s="52">
        <f>IF(P4307="","",IFERROR(INDEX(catGrupo,MATCH(D4307&amp;"|"&amp;E4307,catClave,0))&amp;"",""))</f>
        <v/>
      </c>
      <c r="Z4307" s="52">
        <f>IF(P4307="","",WEEKDAY(B4307,2))</f>
        <v/>
      </c>
      <c r="AA4307" s="52">
        <f>IF(P4307="","",IF(AND(P4307="Gasto",X4307="Variable",D4307&lt;&gt;catTrading,S4307&gt;0,S4307&lt;=Umbral),1,0))</f>
        <v/>
      </c>
      <c r="AB4307" s="52">
        <f>IF(OR(P4307="",Q4307=""),"",IFERROR(IF(INDEX(ctaVinc,MATCH(Q4307,ctaNombre,0))&amp;""&lt;&gt;"",INDEX(ctaVinc,MATCH(Q4307,ctaNombre,0))&amp;"",Q4307),Q4307))</f>
        <v/>
      </c>
      <c r="AC4307" s="52">
        <f>IF(OR(K4307="",AND(P4307&lt;&gt;"Transferencia",P4307&lt;&gt;"Pago tarjeta")),"",IFERROR(IF(INDEX(ctaVinc,MATCH(K4307,ctaNombre,0))&amp;""&lt;&gt;"",INDEX(ctaVinc,MATCH(K4307,ctaNombre,0))&amp;"",K4307),K4307))</f>
        <v/>
      </c>
      <c r="AD4307" s="52">
        <f>IF(AB4307="","",IFERROR(INDEX(ctaTipo,MATCH(AB4307,ctaNombre,0))&amp;"",""))</f>
        <v/>
      </c>
      <c r="AE4307" s="52">
        <f>IF(AC4307="","",IFERROR(INDEX(ctaTipo,MATCH(AC4307,ctaNombre,0))&amp;"",""))</f>
        <v/>
      </c>
      <c r="AF4307" s="53">
        <f>IF(OR(P4307="",AB4307=""),"",IF(OR(P4307="Gasto",P4307="Transferencia",P4307="Pago tarjeta"),-1,1)*IF(IFERROR(INDEX(ctaMoneda,MATCH(AB4307,ctaNombre,0))&amp;"","DOP")="USD",T4307,S4307))</f>
        <v/>
      </c>
      <c r="AG4307" s="53">
        <f>IF(AC4307="","",IF(IFERROR(INDEX(ctaMoneda,MATCH(AC4307,ctaNombre,0))&amp;"","DOP")="USD",T4307,S4307))</f>
        <v/>
      </c>
      <c r="AH4307" s="53">
        <f>IF(P4307="","",IF(AND(AD4307&lt;&gt;"",COUNTIFS(tcTipo,AD4307,tcLiq,"Sí")&gt;0),IF(OR(P4307="Gasto",P4307="Transferencia",P4307="Pago tarjeta"),-1,1)*S4307,0)+IF(AND(AE4307&lt;&gt;"",COUNTIFS(tcTipo,AE4307,tcLiq,"Sí")&gt;0),S4307,0))</f>
        <v/>
      </c>
      <c r="AI4307" s="52">
        <f>IF(OR(L4307="",P4307=""),"",IF(COUNTIFS(L$6:L4307,L4307,P$6:P4307,"?*")=1,MAX(AI$5:AI4306)+1,""))</f>
        <v/>
      </c>
    </row>
    <row r="4308">
      <c r="B4308" s="47" t="n"/>
      <c r="C4308" s="48" t="n"/>
      <c r="D4308" s="48" t="n"/>
      <c r="E4308" s="48" t="n"/>
      <c r="F4308" s="48" t="n"/>
      <c r="G4308" s="49" t="n"/>
      <c r="H4308" s="48" t="n"/>
      <c r="I4308" s="50" t="n"/>
      <c r="J4308" s="48" t="n"/>
      <c r="K4308" s="48" t="n"/>
      <c r="L4308" s="48" t="n"/>
      <c r="M4308" s="48" t="n"/>
      <c r="N4308" s="48" t="n"/>
      <c r="O4308" s="51">
        <f>IF(AND(B4308="",G4308="",C4308="",D4308="",J4308=""),"",IF(B4308="","⚠ Falta fecha",IF(G4308="","⚠ Falta monto",IF(Q4308="","⚠ Falta cuenta",IF(ISNA(MATCH(Q4308,ctaNombre,0)),"⚠ Cuenta no registrada",IF(AND(OR(P4308="Gasto",P4308="Reembolso"),D4308=""),"⚠ Falta categoría",IF(AND(D4308&lt;&gt;"",E4308&lt;&gt;"",ISNA(MATCH(D4308&amp;"|"&amp;E4308,catClave,0))),"⚠ Subcategoría no corresponde",IF(AND(OR(P4308="Transferencia",P4308="Pago tarjeta"),K4308=""),"⚠ Falta cuenta destino",IF(AND(K4308&lt;&gt;"",P4308&lt;&gt;"Transferencia",P4308&lt;&gt;"Pago tarjeta"),"⚠ Destino solo aplica a transferencias",IF(AND(K4308&lt;&gt;"",K4308=Q4308),"⚠ Origen igual a destino",IF(AND(K4308&lt;&gt;"",ISNA(MATCH(K4308,ctaNombre,0))),"⚠ Destino no registrado",IF(AND(P4308="Pago tarjeta",AE4308&lt;&gt;"Tarjeta de crédito"),"⚠ El destino debe ser tarjeta de crédito",IF(AND(P4308="Gasto",E4308="Depósitos y retiros"),"⚠ Usa tipo Transferencia",IF(AND(P4308="Resultado trading",AD4308&lt;&gt;"Cuenta de trading"),"⚠ Usa una cuenta de trading",IF(AND(G4308&lt;=0,P4308&lt;&gt;"Ajuste",P4308&lt;&gt;"Resultado trading"),"⚠ El monto debe ser positivo","✓")))))))))))))))</f>
        <v/>
      </c>
      <c r="P4308" s="52">
        <f>IF(OR(B4308="",G4308=""),"",IF(C4308="","Gasto",C4308))</f>
        <v/>
      </c>
      <c r="Q4308" s="52">
        <f>IF(P4308="","",IF(J4308&lt;&gt;"",J4308,CuentaPred&amp;""))</f>
        <v/>
      </c>
      <c r="R4308" s="52">
        <f>IF(P4308="","",IF(ISNUMBER(I4308),I4308,TasaUSD))</f>
        <v/>
      </c>
      <c r="S4308" s="53">
        <f>IF(P4308="","",IF(H4308="USD",G4308*R4308,G4308))</f>
        <v/>
      </c>
      <c r="T4308" s="53">
        <f>IF(P4308="","",IF(H4308="USD",G4308,IF(R4308&gt;0,G4308/R4308,0)))</f>
        <v/>
      </c>
      <c r="U4308" s="53">
        <f>IF(P4308="","",IF(P4308="Gasto",S4308,IF(P4308="Reembolso",-S4308,0)))</f>
        <v/>
      </c>
      <c r="V4308" s="53">
        <f>IF(P4308="","",IF(P4308="Ingreso",S4308,0))</f>
        <v/>
      </c>
      <c r="W4308" s="53">
        <f>IF(P4308="","",IF(P4308="Resultado trading",S4308,0))</f>
        <v/>
      </c>
      <c r="X4308" s="52">
        <f>IF(OR(P4308="Gasto",P4308="Reembolso"),IF(M4308&lt;&gt;"",M4308,IFERROR(INDEX(catClasif,MATCH(D4308&amp;"|"&amp;E4308,catClave,0))&amp;"","Variable")),"")</f>
        <v/>
      </c>
      <c r="Y4308" s="52">
        <f>IF(P4308="","",IFERROR(INDEX(catGrupo,MATCH(D4308&amp;"|"&amp;E4308,catClave,0))&amp;"",""))</f>
        <v/>
      </c>
      <c r="Z4308" s="52">
        <f>IF(P4308="","",WEEKDAY(B4308,2))</f>
        <v/>
      </c>
      <c r="AA4308" s="52">
        <f>IF(P4308="","",IF(AND(P4308="Gasto",X4308="Variable",D4308&lt;&gt;catTrading,S4308&gt;0,S4308&lt;=Umbral),1,0))</f>
        <v/>
      </c>
      <c r="AB4308" s="52">
        <f>IF(OR(P4308="",Q4308=""),"",IFERROR(IF(INDEX(ctaVinc,MATCH(Q4308,ctaNombre,0))&amp;""&lt;&gt;"",INDEX(ctaVinc,MATCH(Q4308,ctaNombre,0))&amp;"",Q4308),Q4308))</f>
        <v/>
      </c>
      <c r="AC4308" s="52">
        <f>IF(OR(K4308="",AND(P4308&lt;&gt;"Transferencia",P4308&lt;&gt;"Pago tarjeta")),"",IFERROR(IF(INDEX(ctaVinc,MATCH(K4308,ctaNombre,0))&amp;""&lt;&gt;"",INDEX(ctaVinc,MATCH(K4308,ctaNombre,0))&amp;"",K4308),K4308))</f>
        <v/>
      </c>
      <c r="AD4308" s="52">
        <f>IF(AB4308="","",IFERROR(INDEX(ctaTipo,MATCH(AB4308,ctaNombre,0))&amp;"",""))</f>
        <v/>
      </c>
      <c r="AE4308" s="52">
        <f>IF(AC4308="","",IFERROR(INDEX(ctaTipo,MATCH(AC4308,ctaNombre,0))&amp;"",""))</f>
        <v/>
      </c>
      <c r="AF4308" s="53">
        <f>IF(OR(P4308="",AB4308=""),"",IF(OR(P4308="Gasto",P4308="Transferencia",P4308="Pago tarjeta"),-1,1)*IF(IFERROR(INDEX(ctaMoneda,MATCH(AB4308,ctaNombre,0))&amp;"","DOP")="USD",T4308,S4308))</f>
        <v/>
      </c>
      <c r="AG4308" s="53">
        <f>IF(AC4308="","",IF(IFERROR(INDEX(ctaMoneda,MATCH(AC4308,ctaNombre,0))&amp;"","DOP")="USD",T4308,S4308))</f>
        <v/>
      </c>
      <c r="AH4308" s="53">
        <f>IF(P4308="","",IF(AND(AD4308&lt;&gt;"",COUNTIFS(tcTipo,AD4308,tcLiq,"Sí")&gt;0),IF(OR(P4308="Gasto",P4308="Transferencia",P4308="Pago tarjeta"),-1,1)*S4308,0)+IF(AND(AE4308&lt;&gt;"",COUNTIFS(tcTipo,AE4308,tcLiq,"Sí")&gt;0),S4308,0))</f>
        <v/>
      </c>
      <c r="AI4308" s="52">
        <f>IF(OR(L4308="",P4308=""),"",IF(COUNTIFS(L$6:L4308,L4308,P$6:P4308,"?*")=1,MAX(AI$5:AI4307)+1,""))</f>
        <v/>
      </c>
    </row>
    <row r="4309">
      <c r="B4309" s="47" t="n"/>
      <c r="C4309" s="48" t="n"/>
      <c r="D4309" s="48" t="n"/>
      <c r="E4309" s="48" t="n"/>
      <c r="F4309" s="48" t="n"/>
      <c r="G4309" s="49" t="n"/>
      <c r="H4309" s="48" t="n"/>
      <c r="I4309" s="50" t="n"/>
      <c r="J4309" s="48" t="n"/>
      <c r="K4309" s="48" t="n"/>
      <c r="L4309" s="48" t="n"/>
      <c r="M4309" s="48" t="n"/>
      <c r="N4309" s="48" t="n"/>
      <c r="O4309" s="51">
        <f>IF(AND(B4309="",G4309="",C4309="",D4309="",J4309=""),"",IF(B4309="","⚠ Falta fecha",IF(G4309="","⚠ Falta monto",IF(Q4309="","⚠ Falta cuenta",IF(ISNA(MATCH(Q4309,ctaNombre,0)),"⚠ Cuenta no registrada",IF(AND(OR(P4309="Gasto",P4309="Reembolso"),D4309=""),"⚠ Falta categoría",IF(AND(D4309&lt;&gt;"",E4309&lt;&gt;"",ISNA(MATCH(D4309&amp;"|"&amp;E4309,catClave,0))),"⚠ Subcategoría no corresponde",IF(AND(OR(P4309="Transferencia",P4309="Pago tarjeta"),K4309=""),"⚠ Falta cuenta destino",IF(AND(K4309&lt;&gt;"",P4309&lt;&gt;"Transferencia",P4309&lt;&gt;"Pago tarjeta"),"⚠ Destino solo aplica a transferencias",IF(AND(K4309&lt;&gt;"",K4309=Q4309),"⚠ Origen igual a destino",IF(AND(K4309&lt;&gt;"",ISNA(MATCH(K4309,ctaNombre,0))),"⚠ Destino no registrado",IF(AND(P4309="Pago tarjeta",AE4309&lt;&gt;"Tarjeta de crédito"),"⚠ El destino debe ser tarjeta de crédito",IF(AND(P4309="Gasto",E4309="Depósitos y retiros"),"⚠ Usa tipo Transferencia",IF(AND(P4309="Resultado trading",AD4309&lt;&gt;"Cuenta de trading"),"⚠ Usa una cuenta de trading",IF(AND(G4309&lt;=0,P4309&lt;&gt;"Ajuste",P4309&lt;&gt;"Resultado trading"),"⚠ El monto debe ser positivo","✓")))))))))))))))</f>
        <v/>
      </c>
      <c r="P4309" s="52">
        <f>IF(OR(B4309="",G4309=""),"",IF(C4309="","Gasto",C4309))</f>
        <v/>
      </c>
      <c r="Q4309" s="52">
        <f>IF(P4309="","",IF(J4309&lt;&gt;"",J4309,CuentaPred&amp;""))</f>
        <v/>
      </c>
      <c r="R4309" s="52">
        <f>IF(P4309="","",IF(ISNUMBER(I4309),I4309,TasaUSD))</f>
        <v/>
      </c>
      <c r="S4309" s="53">
        <f>IF(P4309="","",IF(H4309="USD",G4309*R4309,G4309))</f>
        <v/>
      </c>
      <c r="T4309" s="53">
        <f>IF(P4309="","",IF(H4309="USD",G4309,IF(R4309&gt;0,G4309/R4309,0)))</f>
        <v/>
      </c>
      <c r="U4309" s="53">
        <f>IF(P4309="","",IF(P4309="Gasto",S4309,IF(P4309="Reembolso",-S4309,0)))</f>
        <v/>
      </c>
      <c r="V4309" s="53">
        <f>IF(P4309="","",IF(P4309="Ingreso",S4309,0))</f>
        <v/>
      </c>
      <c r="W4309" s="53">
        <f>IF(P4309="","",IF(P4309="Resultado trading",S4309,0))</f>
        <v/>
      </c>
      <c r="X4309" s="52">
        <f>IF(OR(P4309="Gasto",P4309="Reembolso"),IF(M4309&lt;&gt;"",M4309,IFERROR(INDEX(catClasif,MATCH(D4309&amp;"|"&amp;E4309,catClave,0))&amp;"","Variable")),"")</f>
        <v/>
      </c>
      <c r="Y4309" s="52">
        <f>IF(P4309="","",IFERROR(INDEX(catGrupo,MATCH(D4309&amp;"|"&amp;E4309,catClave,0))&amp;"",""))</f>
        <v/>
      </c>
      <c r="Z4309" s="52">
        <f>IF(P4309="","",WEEKDAY(B4309,2))</f>
        <v/>
      </c>
      <c r="AA4309" s="52">
        <f>IF(P4309="","",IF(AND(P4309="Gasto",X4309="Variable",D4309&lt;&gt;catTrading,S4309&gt;0,S4309&lt;=Umbral),1,0))</f>
        <v/>
      </c>
      <c r="AB4309" s="52">
        <f>IF(OR(P4309="",Q4309=""),"",IFERROR(IF(INDEX(ctaVinc,MATCH(Q4309,ctaNombre,0))&amp;""&lt;&gt;"",INDEX(ctaVinc,MATCH(Q4309,ctaNombre,0))&amp;"",Q4309),Q4309))</f>
        <v/>
      </c>
      <c r="AC4309" s="52">
        <f>IF(OR(K4309="",AND(P4309&lt;&gt;"Transferencia",P4309&lt;&gt;"Pago tarjeta")),"",IFERROR(IF(INDEX(ctaVinc,MATCH(K4309,ctaNombre,0))&amp;""&lt;&gt;"",INDEX(ctaVinc,MATCH(K4309,ctaNombre,0))&amp;"",K4309),K4309))</f>
        <v/>
      </c>
      <c r="AD4309" s="52">
        <f>IF(AB4309="","",IFERROR(INDEX(ctaTipo,MATCH(AB4309,ctaNombre,0))&amp;"",""))</f>
        <v/>
      </c>
      <c r="AE4309" s="52">
        <f>IF(AC4309="","",IFERROR(INDEX(ctaTipo,MATCH(AC4309,ctaNombre,0))&amp;"",""))</f>
        <v/>
      </c>
      <c r="AF4309" s="53">
        <f>IF(OR(P4309="",AB4309=""),"",IF(OR(P4309="Gasto",P4309="Transferencia",P4309="Pago tarjeta"),-1,1)*IF(IFERROR(INDEX(ctaMoneda,MATCH(AB4309,ctaNombre,0))&amp;"","DOP")="USD",T4309,S4309))</f>
        <v/>
      </c>
      <c r="AG4309" s="53">
        <f>IF(AC4309="","",IF(IFERROR(INDEX(ctaMoneda,MATCH(AC4309,ctaNombre,0))&amp;"","DOP")="USD",T4309,S4309))</f>
        <v/>
      </c>
      <c r="AH4309" s="53">
        <f>IF(P4309="","",IF(AND(AD4309&lt;&gt;"",COUNTIFS(tcTipo,AD4309,tcLiq,"Sí")&gt;0),IF(OR(P4309="Gasto",P4309="Transferencia",P4309="Pago tarjeta"),-1,1)*S4309,0)+IF(AND(AE4309&lt;&gt;"",COUNTIFS(tcTipo,AE4309,tcLiq,"Sí")&gt;0),S4309,0))</f>
        <v/>
      </c>
      <c r="AI4309" s="52">
        <f>IF(OR(L4309="",P4309=""),"",IF(COUNTIFS(L$6:L4309,L4309,P$6:P4309,"?*")=1,MAX(AI$5:AI4308)+1,""))</f>
        <v/>
      </c>
    </row>
    <row r="4310">
      <c r="B4310" s="47" t="n"/>
      <c r="C4310" s="48" t="n"/>
      <c r="D4310" s="48" t="n"/>
      <c r="E4310" s="48" t="n"/>
      <c r="F4310" s="48" t="n"/>
      <c r="G4310" s="49" t="n"/>
      <c r="H4310" s="48" t="n"/>
      <c r="I4310" s="50" t="n"/>
      <c r="J4310" s="48" t="n"/>
      <c r="K4310" s="48" t="n"/>
      <c r="L4310" s="48" t="n"/>
      <c r="M4310" s="48" t="n"/>
      <c r="N4310" s="48" t="n"/>
      <c r="O4310" s="51">
        <f>IF(AND(B4310="",G4310="",C4310="",D4310="",J4310=""),"",IF(B4310="","⚠ Falta fecha",IF(G4310="","⚠ Falta monto",IF(Q4310="","⚠ Falta cuenta",IF(ISNA(MATCH(Q4310,ctaNombre,0)),"⚠ Cuenta no registrada",IF(AND(OR(P4310="Gasto",P4310="Reembolso"),D4310=""),"⚠ Falta categoría",IF(AND(D4310&lt;&gt;"",E4310&lt;&gt;"",ISNA(MATCH(D4310&amp;"|"&amp;E4310,catClave,0))),"⚠ Subcategoría no corresponde",IF(AND(OR(P4310="Transferencia",P4310="Pago tarjeta"),K4310=""),"⚠ Falta cuenta destino",IF(AND(K4310&lt;&gt;"",P4310&lt;&gt;"Transferencia",P4310&lt;&gt;"Pago tarjeta"),"⚠ Destino solo aplica a transferencias",IF(AND(K4310&lt;&gt;"",K4310=Q4310),"⚠ Origen igual a destino",IF(AND(K4310&lt;&gt;"",ISNA(MATCH(K4310,ctaNombre,0))),"⚠ Destino no registrado",IF(AND(P4310="Pago tarjeta",AE4310&lt;&gt;"Tarjeta de crédito"),"⚠ El destino debe ser tarjeta de crédito",IF(AND(P4310="Gasto",E4310="Depósitos y retiros"),"⚠ Usa tipo Transferencia",IF(AND(P4310="Resultado trading",AD4310&lt;&gt;"Cuenta de trading"),"⚠ Usa una cuenta de trading",IF(AND(G4310&lt;=0,P4310&lt;&gt;"Ajuste",P4310&lt;&gt;"Resultado trading"),"⚠ El monto debe ser positivo","✓")))))))))))))))</f>
        <v/>
      </c>
      <c r="P4310" s="52">
        <f>IF(OR(B4310="",G4310=""),"",IF(C4310="","Gasto",C4310))</f>
        <v/>
      </c>
      <c r="Q4310" s="52">
        <f>IF(P4310="","",IF(J4310&lt;&gt;"",J4310,CuentaPred&amp;""))</f>
        <v/>
      </c>
      <c r="R4310" s="52">
        <f>IF(P4310="","",IF(ISNUMBER(I4310),I4310,TasaUSD))</f>
        <v/>
      </c>
      <c r="S4310" s="53">
        <f>IF(P4310="","",IF(H4310="USD",G4310*R4310,G4310))</f>
        <v/>
      </c>
      <c r="T4310" s="53">
        <f>IF(P4310="","",IF(H4310="USD",G4310,IF(R4310&gt;0,G4310/R4310,0)))</f>
        <v/>
      </c>
      <c r="U4310" s="53">
        <f>IF(P4310="","",IF(P4310="Gasto",S4310,IF(P4310="Reembolso",-S4310,0)))</f>
        <v/>
      </c>
      <c r="V4310" s="53">
        <f>IF(P4310="","",IF(P4310="Ingreso",S4310,0))</f>
        <v/>
      </c>
      <c r="W4310" s="53">
        <f>IF(P4310="","",IF(P4310="Resultado trading",S4310,0))</f>
        <v/>
      </c>
      <c r="X4310" s="52">
        <f>IF(OR(P4310="Gasto",P4310="Reembolso"),IF(M4310&lt;&gt;"",M4310,IFERROR(INDEX(catClasif,MATCH(D4310&amp;"|"&amp;E4310,catClave,0))&amp;"","Variable")),"")</f>
        <v/>
      </c>
      <c r="Y4310" s="52">
        <f>IF(P4310="","",IFERROR(INDEX(catGrupo,MATCH(D4310&amp;"|"&amp;E4310,catClave,0))&amp;"",""))</f>
        <v/>
      </c>
      <c r="Z4310" s="52">
        <f>IF(P4310="","",WEEKDAY(B4310,2))</f>
        <v/>
      </c>
      <c r="AA4310" s="52">
        <f>IF(P4310="","",IF(AND(P4310="Gasto",X4310="Variable",D4310&lt;&gt;catTrading,S4310&gt;0,S4310&lt;=Umbral),1,0))</f>
        <v/>
      </c>
      <c r="AB4310" s="52">
        <f>IF(OR(P4310="",Q4310=""),"",IFERROR(IF(INDEX(ctaVinc,MATCH(Q4310,ctaNombre,0))&amp;""&lt;&gt;"",INDEX(ctaVinc,MATCH(Q4310,ctaNombre,0))&amp;"",Q4310),Q4310))</f>
        <v/>
      </c>
      <c r="AC4310" s="52">
        <f>IF(OR(K4310="",AND(P4310&lt;&gt;"Transferencia",P4310&lt;&gt;"Pago tarjeta")),"",IFERROR(IF(INDEX(ctaVinc,MATCH(K4310,ctaNombre,0))&amp;""&lt;&gt;"",INDEX(ctaVinc,MATCH(K4310,ctaNombre,0))&amp;"",K4310),K4310))</f>
        <v/>
      </c>
      <c r="AD4310" s="52">
        <f>IF(AB4310="","",IFERROR(INDEX(ctaTipo,MATCH(AB4310,ctaNombre,0))&amp;"",""))</f>
        <v/>
      </c>
      <c r="AE4310" s="52">
        <f>IF(AC4310="","",IFERROR(INDEX(ctaTipo,MATCH(AC4310,ctaNombre,0))&amp;"",""))</f>
        <v/>
      </c>
      <c r="AF4310" s="53">
        <f>IF(OR(P4310="",AB4310=""),"",IF(OR(P4310="Gasto",P4310="Transferencia",P4310="Pago tarjeta"),-1,1)*IF(IFERROR(INDEX(ctaMoneda,MATCH(AB4310,ctaNombre,0))&amp;"","DOP")="USD",T4310,S4310))</f>
        <v/>
      </c>
      <c r="AG4310" s="53">
        <f>IF(AC4310="","",IF(IFERROR(INDEX(ctaMoneda,MATCH(AC4310,ctaNombre,0))&amp;"","DOP")="USD",T4310,S4310))</f>
        <v/>
      </c>
      <c r="AH4310" s="53">
        <f>IF(P4310="","",IF(AND(AD4310&lt;&gt;"",COUNTIFS(tcTipo,AD4310,tcLiq,"Sí")&gt;0),IF(OR(P4310="Gasto",P4310="Transferencia",P4310="Pago tarjeta"),-1,1)*S4310,0)+IF(AND(AE4310&lt;&gt;"",COUNTIFS(tcTipo,AE4310,tcLiq,"Sí")&gt;0),S4310,0))</f>
        <v/>
      </c>
      <c r="AI4310" s="52">
        <f>IF(OR(L4310="",P4310=""),"",IF(COUNTIFS(L$6:L4310,L4310,P$6:P4310,"?*")=1,MAX(AI$5:AI4309)+1,""))</f>
        <v/>
      </c>
    </row>
    <row r="4311">
      <c r="B4311" s="47" t="n"/>
      <c r="C4311" s="48" t="n"/>
      <c r="D4311" s="48" t="n"/>
      <c r="E4311" s="48" t="n"/>
      <c r="F4311" s="48" t="n"/>
      <c r="G4311" s="49" t="n"/>
      <c r="H4311" s="48" t="n"/>
      <c r="I4311" s="50" t="n"/>
      <c r="J4311" s="48" t="n"/>
      <c r="K4311" s="48" t="n"/>
      <c r="L4311" s="48" t="n"/>
      <c r="M4311" s="48" t="n"/>
      <c r="N4311" s="48" t="n"/>
      <c r="O4311" s="51">
        <f>IF(AND(B4311="",G4311="",C4311="",D4311="",J4311=""),"",IF(B4311="","⚠ Falta fecha",IF(G4311="","⚠ Falta monto",IF(Q4311="","⚠ Falta cuenta",IF(ISNA(MATCH(Q4311,ctaNombre,0)),"⚠ Cuenta no registrada",IF(AND(OR(P4311="Gasto",P4311="Reembolso"),D4311=""),"⚠ Falta categoría",IF(AND(D4311&lt;&gt;"",E4311&lt;&gt;"",ISNA(MATCH(D4311&amp;"|"&amp;E4311,catClave,0))),"⚠ Subcategoría no corresponde",IF(AND(OR(P4311="Transferencia",P4311="Pago tarjeta"),K4311=""),"⚠ Falta cuenta destino",IF(AND(K4311&lt;&gt;"",P4311&lt;&gt;"Transferencia",P4311&lt;&gt;"Pago tarjeta"),"⚠ Destino solo aplica a transferencias",IF(AND(K4311&lt;&gt;"",K4311=Q4311),"⚠ Origen igual a destino",IF(AND(K4311&lt;&gt;"",ISNA(MATCH(K4311,ctaNombre,0))),"⚠ Destino no registrado",IF(AND(P4311="Pago tarjeta",AE4311&lt;&gt;"Tarjeta de crédito"),"⚠ El destino debe ser tarjeta de crédito",IF(AND(P4311="Gasto",E4311="Depósitos y retiros"),"⚠ Usa tipo Transferencia",IF(AND(P4311="Resultado trading",AD4311&lt;&gt;"Cuenta de trading"),"⚠ Usa una cuenta de trading",IF(AND(G4311&lt;=0,P4311&lt;&gt;"Ajuste",P4311&lt;&gt;"Resultado trading"),"⚠ El monto debe ser positivo","✓")))))))))))))))</f>
        <v/>
      </c>
      <c r="P4311" s="52">
        <f>IF(OR(B4311="",G4311=""),"",IF(C4311="","Gasto",C4311))</f>
        <v/>
      </c>
      <c r="Q4311" s="52">
        <f>IF(P4311="","",IF(J4311&lt;&gt;"",J4311,CuentaPred&amp;""))</f>
        <v/>
      </c>
      <c r="R4311" s="52">
        <f>IF(P4311="","",IF(ISNUMBER(I4311),I4311,TasaUSD))</f>
        <v/>
      </c>
      <c r="S4311" s="53">
        <f>IF(P4311="","",IF(H4311="USD",G4311*R4311,G4311))</f>
        <v/>
      </c>
      <c r="T4311" s="53">
        <f>IF(P4311="","",IF(H4311="USD",G4311,IF(R4311&gt;0,G4311/R4311,0)))</f>
        <v/>
      </c>
      <c r="U4311" s="53">
        <f>IF(P4311="","",IF(P4311="Gasto",S4311,IF(P4311="Reembolso",-S4311,0)))</f>
        <v/>
      </c>
      <c r="V4311" s="53">
        <f>IF(P4311="","",IF(P4311="Ingreso",S4311,0))</f>
        <v/>
      </c>
      <c r="W4311" s="53">
        <f>IF(P4311="","",IF(P4311="Resultado trading",S4311,0))</f>
        <v/>
      </c>
      <c r="X4311" s="52">
        <f>IF(OR(P4311="Gasto",P4311="Reembolso"),IF(M4311&lt;&gt;"",M4311,IFERROR(INDEX(catClasif,MATCH(D4311&amp;"|"&amp;E4311,catClave,0))&amp;"","Variable")),"")</f>
        <v/>
      </c>
      <c r="Y4311" s="52">
        <f>IF(P4311="","",IFERROR(INDEX(catGrupo,MATCH(D4311&amp;"|"&amp;E4311,catClave,0))&amp;"",""))</f>
        <v/>
      </c>
      <c r="Z4311" s="52">
        <f>IF(P4311="","",WEEKDAY(B4311,2))</f>
        <v/>
      </c>
      <c r="AA4311" s="52">
        <f>IF(P4311="","",IF(AND(P4311="Gasto",X4311="Variable",D4311&lt;&gt;catTrading,S4311&gt;0,S4311&lt;=Umbral),1,0))</f>
        <v/>
      </c>
      <c r="AB4311" s="52">
        <f>IF(OR(P4311="",Q4311=""),"",IFERROR(IF(INDEX(ctaVinc,MATCH(Q4311,ctaNombre,0))&amp;""&lt;&gt;"",INDEX(ctaVinc,MATCH(Q4311,ctaNombre,0))&amp;"",Q4311),Q4311))</f>
        <v/>
      </c>
      <c r="AC4311" s="52">
        <f>IF(OR(K4311="",AND(P4311&lt;&gt;"Transferencia",P4311&lt;&gt;"Pago tarjeta")),"",IFERROR(IF(INDEX(ctaVinc,MATCH(K4311,ctaNombre,0))&amp;""&lt;&gt;"",INDEX(ctaVinc,MATCH(K4311,ctaNombre,0))&amp;"",K4311),K4311))</f>
        <v/>
      </c>
      <c r="AD4311" s="52">
        <f>IF(AB4311="","",IFERROR(INDEX(ctaTipo,MATCH(AB4311,ctaNombre,0))&amp;"",""))</f>
        <v/>
      </c>
      <c r="AE4311" s="52">
        <f>IF(AC4311="","",IFERROR(INDEX(ctaTipo,MATCH(AC4311,ctaNombre,0))&amp;"",""))</f>
        <v/>
      </c>
      <c r="AF4311" s="53">
        <f>IF(OR(P4311="",AB4311=""),"",IF(OR(P4311="Gasto",P4311="Transferencia",P4311="Pago tarjeta"),-1,1)*IF(IFERROR(INDEX(ctaMoneda,MATCH(AB4311,ctaNombre,0))&amp;"","DOP")="USD",T4311,S4311))</f>
        <v/>
      </c>
      <c r="AG4311" s="53">
        <f>IF(AC4311="","",IF(IFERROR(INDEX(ctaMoneda,MATCH(AC4311,ctaNombre,0))&amp;"","DOP")="USD",T4311,S4311))</f>
        <v/>
      </c>
      <c r="AH4311" s="53">
        <f>IF(P4311="","",IF(AND(AD4311&lt;&gt;"",COUNTIFS(tcTipo,AD4311,tcLiq,"Sí")&gt;0),IF(OR(P4311="Gasto",P4311="Transferencia",P4311="Pago tarjeta"),-1,1)*S4311,0)+IF(AND(AE4311&lt;&gt;"",COUNTIFS(tcTipo,AE4311,tcLiq,"Sí")&gt;0),S4311,0))</f>
        <v/>
      </c>
      <c r="AI4311" s="52">
        <f>IF(OR(L4311="",P4311=""),"",IF(COUNTIFS(L$6:L4311,L4311,P$6:P4311,"?*")=1,MAX(AI$5:AI4310)+1,""))</f>
        <v/>
      </c>
    </row>
    <row r="4312">
      <c r="B4312" s="47" t="n"/>
      <c r="C4312" s="48" t="n"/>
      <c r="D4312" s="48" t="n"/>
      <c r="E4312" s="48" t="n"/>
      <c r="F4312" s="48" t="n"/>
      <c r="G4312" s="49" t="n"/>
      <c r="H4312" s="48" t="n"/>
      <c r="I4312" s="50" t="n"/>
      <c r="J4312" s="48" t="n"/>
      <c r="K4312" s="48" t="n"/>
      <c r="L4312" s="48" t="n"/>
      <c r="M4312" s="48" t="n"/>
      <c r="N4312" s="48" t="n"/>
      <c r="O4312" s="51">
        <f>IF(AND(B4312="",G4312="",C4312="",D4312="",J4312=""),"",IF(B4312="","⚠ Falta fecha",IF(G4312="","⚠ Falta monto",IF(Q4312="","⚠ Falta cuenta",IF(ISNA(MATCH(Q4312,ctaNombre,0)),"⚠ Cuenta no registrada",IF(AND(OR(P4312="Gasto",P4312="Reembolso"),D4312=""),"⚠ Falta categoría",IF(AND(D4312&lt;&gt;"",E4312&lt;&gt;"",ISNA(MATCH(D4312&amp;"|"&amp;E4312,catClave,0))),"⚠ Subcategoría no corresponde",IF(AND(OR(P4312="Transferencia",P4312="Pago tarjeta"),K4312=""),"⚠ Falta cuenta destino",IF(AND(K4312&lt;&gt;"",P4312&lt;&gt;"Transferencia",P4312&lt;&gt;"Pago tarjeta"),"⚠ Destino solo aplica a transferencias",IF(AND(K4312&lt;&gt;"",K4312=Q4312),"⚠ Origen igual a destino",IF(AND(K4312&lt;&gt;"",ISNA(MATCH(K4312,ctaNombre,0))),"⚠ Destino no registrado",IF(AND(P4312="Pago tarjeta",AE4312&lt;&gt;"Tarjeta de crédito"),"⚠ El destino debe ser tarjeta de crédito",IF(AND(P4312="Gasto",E4312="Depósitos y retiros"),"⚠ Usa tipo Transferencia",IF(AND(P4312="Resultado trading",AD4312&lt;&gt;"Cuenta de trading"),"⚠ Usa una cuenta de trading",IF(AND(G4312&lt;=0,P4312&lt;&gt;"Ajuste",P4312&lt;&gt;"Resultado trading"),"⚠ El monto debe ser positivo","✓")))))))))))))))</f>
        <v/>
      </c>
      <c r="P4312" s="52">
        <f>IF(OR(B4312="",G4312=""),"",IF(C4312="","Gasto",C4312))</f>
        <v/>
      </c>
      <c r="Q4312" s="52">
        <f>IF(P4312="","",IF(J4312&lt;&gt;"",J4312,CuentaPred&amp;""))</f>
        <v/>
      </c>
      <c r="R4312" s="52">
        <f>IF(P4312="","",IF(ISNUMBER(I4312),I4312,TasaUSD))</f>
        <v/>
      </c>
      <c r="S4312" s="53">
        <f>IF(P4312="","",IF(H4312="USD",G4312*R4312,G4312))</f>
        <v/>
      </c>
      <c r="T4312" s="53">
        <f>IF(P4312="","",IF(H4312="USD",G4312,IF(R4312&gt;0,G4312/R4312,0)))</f>
        <v/>
      </c>
      <c r="U4312" s="53">
        <f>IF(P4312="","",IF(P4312="Gasto",S4312,IF(P4312="Reembolso",-S4312,0)))</f>
        <v/>
      </c>
      <c r="V4312" s="53">
        <f>IF(P4312="","",IF(P4312="Ingreso",S4312,0))</f>
        <v/>
      </c>
      <c r="W4312" s="53">
        <f>IF(P4312="","",IF(P4312="Resultado trading",S4312,0))</f>
        <v/>
      </c>
      <c r="X4312" s="52">
        <f>IF(OR(P4312="Gasto",P4312="Reembolso"),IF(M4312&lt;&gt;"",M4312,IFERROR(INDEX(catClasif,MATCH(D4312&amp;"|"&amp;E4312,catClave,0))&amp;"","Variable")),"")</f>
        <v/>
      </c>
      <c r="Y4312" s="52">
        <f>IF(P4312="","",IFERROR(INDEX(catGrupo,MATCH(D4312&amp;"|"&amp;E4312,catClave,0))&amp;"",""))</f>
        <v/>
      </c>
      <c r="Z4312" s="52">
        <f>IF(P4312="","",WEEKDAY(B4312,2))</f>
        <v/>
      </c>
      <c r="AA4312" s="52">
        <f>IF(P4312="","",IF(AND(P4312="Gasto",X4312="Variable",D4312&lt;&gt;catTrading,S4312&gt;0,S4312&lt;=Umbral),1,0))</f>
        <v/>
      </c>
      <c r="AB4312" s="52">
        <f>IF(OR(P4312="",Q4312=""),"",IFERROR(IF(INDEX(ctaVinc,MATCH(Q4312,ctaNombre,0))&amp;""&lt;&gt;"",INDEX(ctaVinc,MATCH(Q4312,ctaNombre,0))&amp;"",Q4312),Q4312))</f>
        <v/>
      </c>
      <c r="AC4312" s="52">
        <f>IF(OR(K4312="",AND(P4312&lt;&gt;"Transferencia",P4312&lt;&gt;"Pago tarjeta")),"",IFERROR(IF(INDEX(ctaVinc,MATCH(K4312,ctaNombre,0))&amp;""&lt;&gt;"",INDEX(ctaVinc,MATCH(K4312,ctaNombre,0))&amp;"",K4312),K4312))</f>
        <v/>
      </c>
      <c r="AD4312" s="52">
        <f>IF(AB4312="","",IFERROR(INDEX(ctaTipo,MATCH(AB4312,ctaNombre,0))&amp;"",""))</f>
        <v/>
      </c>
      <c r="AE4312" s="52">
        <f>IF(AC4312="","",IFERROR(INDEX(ctaTipo,MATCH(AC4312,ctaNombre,0))&amp;"",""))</f>
        <v/>
      </c>
      <c r="AF4312" s="53">
        <f>IF(OR(P4312="",AB4312=""),"",IF(OR(P4312="Gasto",P4312="Transferencia",P4312="Pago tarjeta"),-1,1)*IF(IFERROR(INDEX(ctaMoneda,MATCH(AB4312,ctaNombre,0))&amp;"","DOP")="USD",T4312,S4312))</f>
        <v/>
      </c>
      <c r="AG4312" s="53">
        <f>IF(AC4312="","",IF(IFERROR(INDEX(ctaMoneda,MATCH(AC4312,ctaNombre,0))&amp;"","DOP")="USD",T4312,S4312))</f>
        <v/>
      </c>
      <c r="AH4312" s="53">
        <f>IF(P4312="","",IF(AND(AD4312&lt;&gt;"",COUNTIFS(tcTipo,AD4312,tcLiq,"Sí")&gt;0),IF(OR(P4312="Gasto",P4312="Transferencia",P4312="Pago tarjeta"),-1,1)*S4312,0)+IF(AND(AE4312&lt;&gt;"",COUNTIFS(tcTipo,AE4312,tcLiq,"Sí")&gt;0),S4312,0))</f>
        <v/>
      </c>
      <c r="AI4312" s="52">
        <f>IF(OR(L4312="",P4312=""),"",IF(COUNTIFS(L$6:L4312,L4312,P$6:P4312,"?*")=1,MAX(AI$5:AI4311)+1,""))</f>
        <v/>
      </c>
    </row>
    <row r="4313">
      <c r="B4313" s="47" t="n"/>
      <c r="C4313" s="48" t="n"/>
      <c r="D4313" s="48" t="n"/>
      <c r="E4313" s="48" t="n"/>
      <c r="F4313" s="48" t="n"/>
      <c r="G4313" s="49" t="n"/>
      <c r="H4313" s="48" t="n"/>
      <c r="I4313" s="50" t="n"/>
      <c r="J4313" s="48" t="n"/>
      <c r="K4313" s="48" t="n"/>
      <c r="L4313" s="48" t="n"/>
      <c r="M4313" s="48" t="n"/>
      <c r="N4313" s="48" t="n"/>
      <c r="O4313" s="51">
        <f>IF(AND(B4313="",G4313="",C4313="",D4313="",J4313=""),"",IF(B4313="","⚠ Falta fecha",IF(G4313="","⚠ Falta monto",IF(Q4313="","⚠ Falta cuenta",IF(ISNA(MATCH(Q4313,ctaNombre,0)),"⚠ Cuenta no registrada",IF(AND(OR(P4313="Gasto",P4313="Reembolso"),D4313=""),"⚠ Falta categoría",IF(AND(D4313&lt;&gt;"",E4313&lt;&gt;"",ISNA(MATCH(D4313&amp;"|"&amp;E4313,catClave,0))),"⚠ Subcategoría no corresponde",IF(AND(OR(P4313="Transferencia",P4313="Pago tarjeta"),K4313=""),"⚠ Falta cuenta destino",IF(AND(K4313&lt;&gt;"",P4313&lt;&gt;"Transferencia",P4313&lt;&gt;"Pago tarjeta"),"⚠ Destino solo aplica a transferencias",IF(AND(K4313&lt;&gt;"",K4313=Q4313),"⚠ Origen igual a destino",IF(AND(K4313&lt;&gt;"",ISNA(MATCH(K4313,ctaNombre,0))),"⚠ Destino no registrado",IF(AND(P4313="Pago tarjeta",AE4313&lt;&gt;"Tarjeta de crédito"),"⚠ El destino debe ser tarjeta de crédito",IF(AND(P4313="Gasto",E4313="Depósitos y retiros"),"⚠ Usa tipo Transferencia",IF(AND(P4313="Resultado trading",AD4313&lt;&gt;"Cuenta de trading"),"⚠ Usa una cuenta de trading",IF(AND(G4313&lt;=0,P4313&lt;&gt;"Ajuste",P4313&lt;&gt;"Resultado trading"),"⚠ El monto debe ser positivo","✓")))))))))))))))</f>
        <v/>
      </c>
      <c r="P4313" s="52">
        <f>IF(OR(B4313="",G4313=""),"",IF(C4313="","Gasto",C4313))</f>
        <v/>
      </c>
      <c r="Q4313" s="52">
        <f>IF(P4313="","",IF(J4313&lt;&gt;"",J4313,CuentaPred&amp;""))</f>
        <v/>
      </c>
      <c r="R4313" s="52">
        <f>IF(P4313="","",IF(ISNUMBER(I4313),I4313,TasaUSD))</f>
        <v/>
      </c>
      <c r="S4313" s="53">
        <f>IF(P4313="","",IF(H4313="USD",G4313*R4313,G4313))</f>
        <v/>
      </c>
      <c r="T4313" s="53">
        <f>IF(P4313="","",IF(H4313="USD",G4313,IF(R4313&gt;0,G4313/R4313,0)))</f>
        <v/>
      </c>
      <c r="U4313" s="53">
        <f>IF(P4313="","",IF(P4313="Gasto",S4313,IF(P4313="Reembolso",-S4313,0)))</f>
        <v/>
      </c>
      <c r="V4313" s="53">
        <f>IF(P4313="","",IF(P4313="Ingreso",S4313,0))</f>
        <v/>
      </c>
      <c r="W4313" s="53">
        <f>IF(P4313="","",IF(P4313="Resultado trading",S4313,0))</f>
        <v/>
      </c>
      <c r="X4313" s="52">
        <f>IF(OR(P4313="Gasto",P4313="Reembolso"),IF(M4313&lt;&gt;"",M4313,IFERROR(INDEX(catClasif,MATCH(D4313&amp;"|"&amp;E4313,catClave,0))&amp;"","Variable")),"")</f>
        <v/>
      </c>
      <c r="Y4313" s="52">
        <f>IF(P4313="","",IFERROR(INDEX(catGrupo,MATCH(D4313&amp;"|"&amp;E4313,catClave,0))&amp;"",""))</f>
        <v/>
      </c>
      <c r="Z4313" s="52">
        <f>IF(P4313="","",WEEKDAY(B4313,2))</f>
        <v/>
      </c>
      <c r="AA4313" s="52">
        <f>IF(P4313="","",IF(AND(P4313="Gasto",X4313="Variable",D4313&lt;&gt;catTrading,S4313&gt;0,S4313&lt;=Umbral),1,0))</f>
        <v/>
      </c>
      <c r="AB4313" s="52">
        <f>IF(OR(P4313="",Q4313=""),"",IFERROR(IF(INDEX(ctaVinc,MATCH(Q4313,ctaNombre,0))&amp;""&lt;&gt;"",INDEX(ctaVinc,MATCH(Q4313,ctaNombre,0))&amp;"",Q4313),Q4313))</f>
        <v/>
      </c>
      <c r="AC4313" s="52">
        <f>IF(OR(K4313="",AND(P4313&lt;&gt;"Transferencia",P4313&lt;&gt;"Pago tarjeta")),"",IFERROR(IF(INDEX(ctaVinc,MATCH(K4313,ctaNombre,0))&amp;""&lt;&gt;"",INDEX(ctaVinc,MATCH(K4313,ctaNombre,0))&amp;"",K4313),K4313))</f>
        <v/>
      </c>
      <c r="AD4313" s="52">
        <f>IF(AB4313="","",IFERROR(INDEX(ctaTipo,MATCH(AB4313,ctaNombre,0))&amp;"",""))</f>
        <v/>
      </c>
      <c r="AE4313" s="52">
        <f>IF(AC4313="","",IFERROR(INDEX(ctaTipo,MATCH(AC4313,ctaNombre,0))&amp;"",""))</f>
        <v/>
      </c>
      <c r="AF4313" s="53">
        <f>IF(OR(P4313="",AB4313=""),"",IF(OR(P4313="Gasto",P4313="Transferencia",P4313="Pago tarjeta"),-1,1)*IF(IFERROR(INDEX(ctaMoneda,MATCH(AB4313,ctaNombre,0))&amp;"","DOP")="USD",T4313,S4313))</f>
        <v/>
      </c>
      <c r="AG4313" s="53">
        <f>IF(AC4313="","",IF(IFERROR(INDEX(ctaMoneda,MATCH(AC4313,ctaNombre,0))&amp;"","DOP")="USD",T4313,S4313))</f>
        <v/>
      </c>
      <c r="AH4313" s="53">
        <f>IF(P4313="","",IF(AND(AD4313&lt;&gt;"",COUNTIFS(tcTipo,AD4313,tcLiq,"Sí")&gt;0),IF(OR(P4313="Gasto",P4313="Transferencia",P4313="Pago tarjeta"),-1,1)*S4313,0)+IF(AND(AE4313&lt;&gt;"",COUNTIFS(tcTipo,AE4313,tcLiq,"Sí")&gt;0),S4313,0))</f>
        <v/>
      </c>
      <c r="AI4313" s="52">
        <f>IF(OR(L4313="",P4313=""),"",IF(COUNTIFS(L$6:L4313,L4313,P$6:P4313,"?*")=1,MAX(AI$5:AI4312)+1,""))</f>
        <v/>
      </c>
    </row>
    <row r="4314">
      <c r="B4314" s="47" t="n"/>
      <c r="C4314" s="48" t="n"/>
      <c r="D4314" s="48" t="n"/>
      <c r="E4314" s="48" t="n"/>
      <c r="F4314" s="48" t="n"/>
      <c r="G4314" s="49" t="n"/>
      <c r="H4314" s="48" t="n"/>
      <c r="I4314" s="50" t="n"/>
      <c r="J4314" s="48" t="n"/>
      <c r="K4314" s="48" t="n"/>
      <c r="L4314" s="48" t="n"/>
      <c r="M4314" s="48" t="n"/>
      <c r="N4314" s="48" t="n"/>
      <c r="O4314" s="51">
        <f>IF(AND(B4314="",G4314="",C4314="",D4314="",J4314=""),"",IF(B4314="","⚠ Falta fecha",IF(G4314="","⚠ Falta monto",IF(Q4314="","⚠ Falta cuenta",IF(ISNA(MATCH(Q4314,ctaNombre,0)),"⚠ Cuenta no registrada",IF(AND(OR(P4314="Gasto",P4314="Reembolso"),D4314=""),"⚠ Falta categoría",IF(AND(D4314&lt;&gt;"",E4314&lt;&gt;"",ISNA(MATCH(D4314&amp;"|"&amp;E4314,catClave,0))),"⚠ Subcategoría no corresponde",IF(AND(OR(P4314="Transferencia",P4314="Pago tarjeta"),K4314=""),"⚠ Falta cuenta destino",IF(AND(K4314&lt;&gt;"",P4314&lt;&gt;"Transferencia",P4314&lt;&gt;"Pago tarjeta"),"⚠ Destino solo aplica a transferencias",IF(AND(K4314&lt;&gt;"",K4314=Q4314),"⚠ Origen igual a destino",IF(AND(K4314&lt;&gt;"",ISNA(MATCH(K4314,ctaNombre,0))),"⚠ Destino no registrado",IF(AND(P4314="Pago tarjeta",AE4314&lt;&gt;"Tarjeta de crédito"),"⚠ El destino debe ser tarjeta de crédito",IF(AND(P4314="Gasto",E4314="Depósitos y retiros"),"⚠ Usa tipo Transferencia",IF(AND(P4314="Resultado trading",AD4314&lt;&gt;"Cuenta de trading"),"⚠ Usa una cuenta de trading",IF(AND(G4314&lt;=0,P4314&lt;&gt;"Ajuste",P4314&lt;&gt;"Resultado trading"),"⚠ El monto debe ser positivo","✓")))))))))))))))</f>
        <v/>
      </c>
      <c r="P4314" s="52">
        <f>IF(OR(B4314="",G4314=""),"",IF(C4314="","Gasto",C4314))</f>
        <v/>
      </c>
      <c r="Q4314" s="52">
        <f>IF(P4314="","",IF(J4314&lt;&gt;"",J4314,CuentaPred&amp;""))</f>
        <v/>
      </c>
      <c r="R4314" s="52">
        <f>IF(P4314="","",IF(ISNUMBER(I4314),I4314,TasaUSD))</f>
        <v/>
      </c>
      <c r="S4314" s="53">
        <f>IF(P4314="","",IF(H4314="USD",G4314*R4314,G4314))</f>
        <v/>
      </c>
      <c r="T4314" s="53">
        <f>IF(P4314="","",IF(H4314="USD",G4314,IF(R4314&gt;0,G4314/R4314,0)))</f>
        <v/>
      </c>
      <c r="U4314" s="53">
        <f>IF(P4314="","",IF(P4314="Gasto",S4314,IF(P4314="Reembolso",-S4314,0)))</f>
        <v/>
      </c>
      <c r="V4314" s="53">
        <f>IF(P4314="","",IF(P4314="Ingreso",S4314,0))</f>
        <v/>
      </c>
      <c r="W4314" s="53">
        <f>IF(P4314="","",IF(P4314="Resultado trading",S4314,0))</f>
        <v/>
      </c>
      <c r="X4314" s="52">
        <f>IF(OR(P4314="Gasto",P4314="Reembolso"),IF(M4314&lt;&gt;"",M4314,IFERROR(INDEX(catClasif,MATCH(D4314&amp;"|"&amp;E4314,catClave,0))&amp;"","Variable")),"")</f>
        <v/>
      </c>
      <c r="Y4314" s="52">
        <f>IF(P4314="","",IFERROR(INDEX(catGrupo,MATCH(D4314&amp;"|"&amp;E4314,catClave,0))&amp;"",""))</f>
        <v/>
      </c>
      <c r="Z4314" s="52">
        <f>IF(P4314="","",WEEKDAY(B4314,2))</f>
        <v/>
      </c>
      <c r="AA4314" s="52">
        <f>IF(P4314="","",IF(AND(P4314="Gasto",X4314="Variable",D4314&lt;&gt;catTrading,S4314&gt;0,S4314&lt;=Umbral),1,0))</f>
        <v/>
      </c>
      <c r="AB4314" s="52">
        <f>IF(OR(P4314="",Q4314=""),"",IFERROR(IF(INDEX(ctaVinc,MATCH(Q4314,ctaNombre,0))&amp;""&lt;&gt;"",INDEX(ctaVinc,MATCH(Q4314,ctaNombre,0))&amp;"",Q4314),Q4314))</f>
        <v/>
      </c>
      <c r="AC4314" s="52">
        <f>IF(OR(K4314="",AND(P4314&lt;&gt;"Transferencia",P4314&lt;&gt;"Pago tarjeta")),"",IFERROR(IF(INDEX(ctaVinc,MATCH(K4314,ctaNombre,0))&amp;""&lt;&gt;"",INDEX(ctaVinc,MATCH(K4314,ctaNombre,0))&amp;"",K4314),K4314))</f>
        <v/>
      </c>
      <c r="AD4314" s="52">
        <f>IF(AB4314="","",IFERROR(INDEX(ctaTipo,MATCH(AB4314,ctaNombre,0))&amp;"",""))</f>
        <v/>
      </c>
      <c r="AE4314" s="52">
        <f>IF(AC4314="","",IFERROR(INDEX(ctaTipo,MATCH(AC4314,ctaNombre,0))&amp;"",""))</f>
        <v/>
      </c>
      <c r="AF4314" s="53">
        <f>IF(OR(P4314="",AB4314=""),"",IF(OR(P4314="Gasto",P4314="Transferencia",P4314="Pago tarjeta"),-1,1)*IF(IFERROR(INDEX(ctaMoneda,MATCH(AB4314,ctaNombre,0))&amp;"","DOP")="USD",T4314,S4314))</f>
        <v/>
      </c>
      <c r="AG4314" s="53">
        <f>IF(AC4314="","",IF(IFERROR(INDEX(ctaMoneda,MATCH(AC4314,ctaNombre,0))&amp;"","DOP")="USD",T4314,S4314))</f>
        <v/>
      </c>
      <c r="AH4314" s="53">
        <f>IF(P4314="","",IF(AND(AD4314&lt;&gt;"",COUNTIFS(tcTipo,AD4314,tcLiq,"Sí")&gt;0),IF(OR(P4314="Gasto",P4314="Transferencia",P4314="Pago tarjeta"),-1,1)*S4314,0)+IF(AND(AE4314&lt;&gt;"",COUNTIFS(tcTipo,AE4314,tcLiq,"Sí")&gt;0),S4314,0))</f>
        <v/>
      </c>
      <c r="AI4314" s="52">
        <f>IF(OR(L4314="",P4314=""),"",IF(COUNTIFS(L$6:L4314,L4314,P$6:P4314,"?*")=1,MAX(AI$5:AI4313)+1,""))</f>
        <v/>
      </c>
    </row>
    <row r="4315">
      <c r="B4315" s="47" t="n"/>
      <c r="C4315" s="48" t="n"/>
      <c r="D4315" s="48" t="n"/>
      <c r="E4315" s="48" t="n"/>
      <c r="F4315" s="48" t="n"/>
      <c r="G4315" s="49" t="n"/>
      <c r="H4315" s="48" t="n"/>
      <c r="I4315" s="50" t="n"/>
      <c r="J4315" s="48" t="n"/>
      <c r="K4315" s="48" t="n"/>
      <c r="L4315" s="48" t="n"/>
      <c r="M4315" s="48" t="n"/>
      <c r="N4315" s="48" t="n"/>
      <c r="O4315" s="51">
        <f>IF(AND(B4315="",G4315="",C4315="",D4315="",J4315=""),"",IF(B4315="","⚠ Falta fecha",IF(G4315="","⚠ Falta monto",IF(Q4315="","⚠ Falta cuenta",IF(ISNA(MATCH(Q4315,ctaNombre,0)),"⚠ Cuenta no registrada",IF(AND(OR(P4315="Gasto",P4315="Reembolso"),D4315=""),"⚠ Falta categoría",IF(AND(D4315&lt;&gt;"",E4315&lt;&gt;"",ISNA(MATCH(D4315&amp;"|"&amp;E4315,catClave,0))),"⚠ Subcategoría no corresponde",IF(AND(OR(P4315="Transferencia",P4315="Pago tarjeta"),K4315=""),"⚠ Falta cuenta destino",IF(AND(K4315&lt;&gt;"",P4315&lt;&gt;"Transferencia",P4315&lt;&gt;"Pago tarjeta"),"⚠ Destino solo aplica a transferencias",IF(AND(K4315&lt;&gt;"",K4315=Q4315),"⚠ Origen igual a destino",IF(AND(K4315&lt;&gt;"",ISNA(MATCH(K4315,ctaNombre,0))),"⚠ Destino no registrado",IF(AND(P4315="Pago tarjeta",AE4315&lt;&gt;"Tarjeta de crédito"),"⚠ El destino debe ser tarjeta de crédito",IF(AND(P4315="Gasto",E4315="Depósitos y retiros"),"⚠ Usa tipo Transferencia",IF(AND(P4315="Resultado trading",AD4315&lt;&gt;"Cuenta de trading"),"⚠ Usa una cuenta de trading",IF(AND(G4315&lt;=0,P4315&lt;&gt;"Ajuste",P4315&lt;&gt;"Resultado trading"),"⚠ El monto debe ser positivo","✓")))))))))))))))</f>
        <v/>
      </c>
      <c r="P4315" s="52">
        <f>IF(OR(B4315="",G4315=""),"",IF(C4315="","Gasto",C4315))</f>
        <v/>
      </c>
      <c r="Q4315" s="52">
        <f>IF(P4315="","",IF(J4315&lt;&gt;"",J4315,CuentaPred&amp;""))</f>
        <v/>
      </c>
      <c r="R4315" s="52">
        <f>IF(P4315="","",IF(ISNUMBER(I4315),I4315,TasaUSD))</f>
        <v/>
      </c>
      <c r="S4315" s="53">
        <f>IF(P4315="","",IF(H4315="USD",G4315*R4315,G4315))</f>
        <v/>
      </c>
      <c r="T4315" s="53">
        <f>IF(P4315="","",IF(H4315="USD",G4315,IF(R4315&gt;0,G4315/R4315,0)))</f>
        <v/>
      </c>
      <c r="U4315" s="53">
        <f>IF(P4315="","",IF(P4315="Gasto",S4315,IF(P4315="Reembolso",-S4315,0)))</f>
        <v/>
      </c>
      <c r="V4315" s="53">
        <f>IF(P4315="","",IF(P4315="Ingreso",S4315,0))</f>
        <v/>
      </c>
      <c r="W4315" s="53">
        <f>IF(P4315="","",IF(P4315="Resultado trading",S4315,0))</f>
        <v/>
      </c>
      <c r="X4315" s="52">
        <f>IF(OR(P4315="Gasto",P4315="Reembolso"),IF(M4315&lt;&gt;"",M4315,IFERROR(INDEX(catClasif,MATCH(D4315&amp;"|"&amp;E4315,catClave,0))&amp;"","Variable")),"")</f>
        <v/>
      </c>
      <c r="Y4315" s="52">
        <f>IF(P4315="","",IFERROR(INDEX(catGrupo,MATCH(D4315&amp;"|"&amp;E4315,catClave,0))&amp;"",""))</f>
        <v/>
      </c>
      <c r="Z4315" s="52">
        <f>IF(P4315="","",WEEKDAY(B4315,2))</f>
        <v/>
      </c>
      <c r="AA4315" s="52">
        <f>IF(P4315="","",IF(AND(P4315="Gasto",X4315="Variable",D4315&lt;&gt;catTrading,S4315&gt;0,S4315&lt;=Umbral),1,0))</f>
        <v/>
      </c>
      <c r="AB4315" s="52">
        <f>IF(OR(P4315="",Q4315=""),"",IFERROR(IF(INDEX(ctaVinc,MATCH(Q4315,ctaNombre,0))&amp;""&lt;&gt;"",INDEX(ctaVinc,MATCH(Q4315,ctaNombre,0))&amp;"",Q4315),Q4315))</f>
        <v/>
      </c>
      <c r="AC4315" s="52">
        <f>IF(OR(K4315="",AND(P4315&lt;&gt;"Transferencia",P4315&lt;&gt;"Pago tarjeta")),"",IFERROR(IF(INDEX(ctaVinc,MATCH(K4315,ctaNombre,0))&amp;""&lt;&gt;"",INDEX(ctaVinc,MATCH(K4315,ctaNombre,0))&amp;"",K4315),K4315))</f>
        <v/>
      </c>
      <c r="AD4315" s="52">
        <f>IF(AB4315="","",IFERROR(INDEX(ctaTipo,MATCH(AB4315,ctaNombre,0))&amp;"",""))</f>
        <v/>
      </c>
      <c r="AE4315" s="52">
        <f>IF(AC4315="","",IFERROR(INDEX(ctaTipo,MATCH(AC4315,ctaNombre,0))&amp;"",""))</f>
        <v/>
      </c>
      <c r="AF4315" s="53">
        <f>IF(OR(P4315="",AB4315=""),"",IF(OR(P4315="Gasto",P4315="Transferencia",P4315="Pago tarjeta"),-1,1)*IF(IFERROR(INDEX(ctaMoneda,MATCH(AB4315,ctaNombre,0))&amp;"","DOP")="USD",T4315,S4315))</f>
        <v/>
      </c>
      <c r="AG4315" s="53">
        <f>IF(AC4315="","",IF(IFERROR(INDEX(ctaMoneda,MATCH(AC4315,ctaNombre,0))&amp;"","DOP")="USD",T4315,S4315))</f>
        <v/>
      </c>
      <c r="AH4315" s="53">
        <f>IF(P4315="","",IF(AND(AD4315&lt;&gt;"",COUNTIFS(tcTipo,AD4315,tcLiq,"Sí")&gt;0),IF(OR(P4315="Gasto",P4315="Transferencia",P4315="Pago tarjeta"),-1,1)*S4315,0)+IF(AND(AE4315&lt;&gt;"",COUNTIFS(tcTipo,AE4315,tcLiq,"Sí")&gt;0),S4315,0))</f>
        <v/>
      </c>
      <c r="AI4315" s="52">
        <f>IF(OR(L4315="",P4315=""),"",IF(COUNTIFS(L$6:L4315,L4315,P$6:P4315,"?*")=1,MAX(AI$5:AI4314)+1,""))</f>
        <v/>
      </c>
    </row>
    <row r="4316">
      <c r="B4316" s="47" t="n"/>
      <c r="C4316" s="48" t="n"/>
      <c r="D4316" s="48" t="n"/>
      <c r="E4316" s="48" t="n"/>
      <c r="F4316" s="48" t="n"/>
      <c r="G4316" s="49" t="n"/>
      <c r="H4316" s="48" t="n"/>
      <c r="I4316" s="50" t="n"/>
      <c r="J4316" s="48" t="n"/>
      <c r="K4316" s="48" t="n"/>
      <c r="L4316" s="48" t="n"/>
      <c r="M4316" s="48" t="n"/>
      <c r="N4316" s="48" t="n"/>
      <c r="O4316" s="51">
        <f>IF(AND(B4316="",G4316="",C4316="",D4316="",J4316=""),"",IF(B4316="","⚠ Falta fecha",IF(G4316="","⚠ Falta monto",IF(Q4316="","⚠ Falta cuenta",IF(ISNA(MATCH(Q4316,ctaNombre,0)),"⚠ Cuenta no registrada",IF(AND(OR(P4316="Gasto",P4316="Reembolso"),D4316=""),"⚠ Falta categoría",IF(AND(D4316&lt;&gt;"",E4316&lt;&gt;"",ISNA(MATCH(D4316&amp;"|"&amp;E4316,catClave,0))),"⚠ Subcategoría no corresponde",IF(AND(OR(P4316="Transferencia",P4316="Pago tarjeta"),K4316=""),"⚠ Falta cuenta destino",IF(AND(K4316&lt;&gt;"",P4316&lt;&gt;"Transferencia",P4316&lt;&gt;"Pago tarjeta"),"⚠ Destino solo aplica a transferencias",IF(AND(K4316&lt;&gt;"",K4316=Q4316),"⚠ Origen igual a destino",IF(AND(K4316&lt;&gt;"",ISNA(MATCH(K4316,ctaNombre,0))),"⚠ Destino no registrado",IF(AND(P4316="Pago tarjeta",AE4316&lt;&gt;"Tarjeta de crédito"),"⚠ El destino debe ser tarjeta de crédito",IF(AND(P4316="Gasto",E4316="Depósitos y retiros"),"⚠ Usa tipo Transferencia",IF(AND(P4316="Resultado trading",AD4316&lt;&gt;"Cuenta de trading"),"⚠ Usa una cuenta de trading",IF(AND(G4316&lt;=0,P4316&lt;&gt;"Ajuste",P4316&lt;&gt;"Resultado trading"),"⚠ El monto debe ser positivo","✓")))))))))))))))</f>
        <v/>
      </c>
      <c r="P4316" s="52">
        <f>IF(OR(B4316="",G4316=""),"",IF(C4316="","Gasto",C4316))</f>
        <v/>
      </c>
      <c r="Q4316" s="52">
        <f>IF(P4316="","",IF(J4316&lt;&gt;"",J4316,CuentaPred&amp;""))</f>
        <v/>
      </c>
      <c r="R4316" s="52">
        <f>IF(P4316="","",IF(ISNUMBER(I4316),I4316,TasaUSD))</f>
        <v/>
      </c>
      <c r="S4316" s="53">
        <f>IF(P4316="","",IF(H4316="USD",G4316*R4316,G4316))</f>
        <v/>
      </c>
      <c r="T4316" s="53">
        <f>IF(P4316="","",IF(H4316="USD",G4316,IF(R4316&gt;0,G4316/R4316,0)))</f>
        <v/>
      </c>
      <c r="U4316" s="53">
        <f>IF(P4316="","",IF(P4316="Gasto",S4316,IF(P4316="Reembolso",-S4316,0)))</f>
        <v/>
      </c>
      <c r="V4316" s="53">
        <f>IF(P4316="","",IF(P4316="Ingreso",S4316,0))</f>
        <v/>
      </c>
      <c r="W4316" s="53">
        <f>IF(P4316="","",IF(P4316="Resultado trading",S4316,0))</f>
        <v/>
      </c>
      <c r="X4316" s="52">
        <f>IF(OR(P4316="Gasto",P4316="Reembolso"),IF(M4316&lt;&gt;"",M4316,IFERROR(INDEX(catClasif,MATCH(D4316&amp;"|"&amp;E4316,catClave,0))&amp;"","Variable")),"")</f>
        <v/>
      </c>
      <c r="Y4316" s="52">
        <f>IF(P4316="","",IFERROR(INDEX(catGrupo,MATCH(D4316&amp;"|"&amp;E4316,catClave,0))&amp;"",""))</f>
        <v/>
      </c>
      <c r="Z4316" s="52">
        <f>IF(P4316="","",WEEKDAY(B4316,2))</f>
        <v/>
      </c>
      <c r="AA4316" s="52">
        <f>IF(P4316="","",IF(AND(P4316="Gasto",X4316="Variable",D4316&lt;&gt;catTrading,S4316&gt;0,S4316&lt;=Umbral),1,0))</f>
        <v/>
      </c>
      <c r="AB4316" s="52">
        <f>IF(OR(P4316="",Q4316=""),"",IFERROR(IF(INDEX(ctaVinc,MATCH(Q4316,ctaNombre,0))&amp;""&lt;&gt;"",INDEX(ctaVinc,MATCH(Q4316,ctaNombre,0))&amp;"",Q4316),Q4316))</f>
        <v/>
      </c>
      <c r="AC4316" s="52">
        <f>IF(OR(K4316="",AND(P4316&lt;&gt;"Transferencia",P4316&lt;&gt;"Pago tarjeta")),"",IFERROR(IF(INDEX(ctaVinc,MATCH(K4316,ctaNombre,0))&amp;""&lt;&gt;"",INDEX(ctaVinc,MATCH(K4316,ctaNombre,0))&amp;"",K4316),K4316))</f>
        <v/>
      </c>
      <c r="AD4316" s="52">
        <f>IF(AB4316="","",IFERROR(INDEX(ctaTipo,MATCH(AB4316,ctaNombre,0))&amp;"",""))</f>
        <v/>
      </c>
      <c r="AE4316" s="52">
        <f>IF(AC4316="","",IFERROR(INDEX(ctaTipo,MATCH(AC4316,ctaNombre,0))&amp;"",""))</f>
        <v/>
      </c>
      <c r="AF4316" s="53">
        <f>IF(OR(P4316="",AB4316=""),"",IF(OR(P4316="Gasto",P4316="Transferencia",P4316="Pago tarjeta"),-1,1)*IF(IFERROR(INDEX(ctaMoneda,MATCH(AB4316,ctaNombre,0))&amp;"","DOP")="USD",T4316,S4316))</f>
        <v/>
      </c>
      <c r="AG4316" s="53">
        <f>IF(AC4316="","",IF(IFERROR(INDEX(ctaMoneda,MATCH(AC4316,ctaNombre,0))&amp;"","DOP")="USD",T4316,S4316))</f>
        <v/>
      </c>
      <c r="AH4316" s="53">
        <f>IF(P4316="","",IF(AND(AD4316&lt;&gt;"",COUNTIFS(tcTipo,AD4316,tcLiq,"Sí")&gt;0),IF(OR(P4316="Gasto",P4316="Transferencia",P4316="Pago tarjeta"),-1,1)*S4316,0)+IF(AND(AE4316&lt;&gt;"",COUNTIFS(tcTipo,AE4316,tcLiq,"Sí")&gt;0),S4316,0))</f>
        <v/>
      </c>
      <c r="AI4316" s="52">
        <f>IF(OR(L4316="",P4316=""),"",IF(COUNTIFS(L$6:L4316,L4316,P$6:P4316,"?*")=1,MAX(AI$5:AI4315)+1,""))</f>
        <v/>
      </c>
    </row>
    <row r="4317">
      <c r="B4317" s="47" t="n"/>
      <c r="C4317" s="48" t="n"/>
      <c r="D4317" s="48" t="n"/>
      <c r="E4317" s="48" t="n"/>
      <c r="F4317" s="48" t="n"/>
      <c r="G4317" s="49" t="n"/>
      <c r="H4317" s="48" t="n"/>
      <c r="I4317" s="50" t="n"/>
      <c r="J4317" s="48" t="n"/>
      <c r="K4317" s="48" t="n"/>
      <c r="L4317" s="48" t="n"/>
      <c r="M4317" s="48" t="n"/>
      <c r="N4317" s="48" t="n"/>
      <c r="O4317" s="51">
        <f>IF(AND(B4317="",G4317="",C4317="",D4317="",J4317=""),"",IF(B4317="","⚠ Falta fecha",IF(G4317="","⚠ Falta monto",IF(Q4317="","⚠ Falta cuenta",IF(ISNA(MATCH(Q4317,ctaNombre,0)),"⚠ Cuenta no registrada",IF(AND(OR(P4317="Gasto",P4317="Reembolso"),D4317=""),"⚠ Falta categoría",IF(AND(D4317&lt;&gt;"",E4317&lt;&gt;"",ISNA(MATCH(D4317&amp;"|"&amp;E4317,catClave,0))),"⚠ Subcategoría no corresponde",IF(AND(OR(P4317="Transferencia",P4317="Pago tarjeta"),K4317=""),"⚠ Falta cuenta destino",IF(AND(K4317&lt;&gt;"",P4317&lt;&gt;"Transferencia",P4317&lt;&gt;"Pago tarjeta"),"⚠ Destino solo aplica a transferencias",IF(AND(K4317&lt;&gt;"",K4317=Q4317),"⚠ Origen igual a destino",IF(AND(K4317&lt;&gt;"",ISNA(MATCH(K4317,ctaNombre,0))),"⚠ Destino no registrado",IF(AND(P4317="Pago tarjeta",AE4317&lt;&gt;"Tarjeta de crédito"),"⚠ El destino debe ser tarjeta de crédito",IF(AND(P4317="Gasto",E4317="Depósitos y retiros"),"⚠ Usa tipo Transferencia",IF(AND(P4317="Resultado trading",AD4317&lt;&gt;"Cuenta de trading"),"⚠ Usa una cuenta de trading",IF(AND(G4317&lt;=0,P4317&lt;&gt;"Ajuste",P4317&lt;&gt;"Resultado trading"),"⚠ El monto debe ser positivo","✓")))))))))))))))</f>
        <v/>
      </c>
      <c r="P4317" s="52">
        <f>IF(OR(B4317="",G4317=""),"",IF(C4317="","Gasto",C4317))</f>
        <v/>
      </c>
      <c r="Q4317" s="52">
        <f>IF(P4317="","",IF(J4317&lt;&gt;"",J4317,CuentaPred&amp;""))</f>
        <v/>
      </c>
      <c r="R4317" s="52">
        <f>IF(P4317="","",IF(ISNUMBER(I4317),I4317,TasaUSD))</f>
        <v/>
      </c>
      <c r="S4317" s="53">
        <f>IF(P4317="","",IF(H4317="USD",G4317*R4317,G4317))</f>
        <v/>
      </c>
      <c r="T4317" s="53">
        <f>IF(P4317="","",IF(H4317="USD",G4317,IF(R4317&gt;0,G4317/R4317,0)))</f>
        <v/>
      </c>
      <c r="U4317" s="53">
        <f>IF(P4317="","",IF(P4317="Gasto",S4317,IF(P4317="Reembolso",-S4317,0)))</f>
        <v/>
      </c>
      <c r="V4317" s="53">
        <f>IF(P4317="","",IF(P4317="Ingreso",S4317,0))</f>
        <v/>
      </c>
      <c r="W4317" s="53">
        <f>IF(P4317="","",IF(P4317="Resultado trading",S4317,0))</f>
        <v/>
      </c>
      <c r="X4317" s="52">
        <f>IF(OR(P4317="Gasto",P4317="Reembolso"),IF(M4317&lt;&gt;"",M4317,IFERROR(INDEX(catClasif,MATCH(D4317&amp;"|"&amp;E4317,catClave,0))&amp;"","Variable")),"")</f>
        <v/>
      </c>
      <c r="Y4317" s="52">
        <f>IF(P4317="","",IFERROR(INDEX(catGrupo,MATCH(D4317&amp;"|"&amp;E4317,catClave,0))&amp;"",""))</f>
        <v/>
      </c>
      <c r="Z4317" s="52">
        <f>IF(P4317="","",WEEKDAY(B4317,2))</f>
        <v/>
      </c>
      <c r="AA4317" s="52">
        <f>IF(P4317="","",IF(AND(P4317="Gasto",X4317="Variable",D4317&lt;&gt;catTrading,S4317&gt;0,S4317&lt;=Umbral),1,0))</f>
        <v/>
      </c>
      <c r="AB4317" s="52">
        <f>IF(OR(P4317="",Q4317=""),"",IFERROR(IF(INDEX(ctaVinc,MATCH(Q4317,ctaNombre,0))&amp;""&lt;&gt;"",INDEX(ctaVinc,MATCH(Q4317,ctaNombre,0))&amp;"",Q4317),Q4317))</f>
        <v/>
      </c>
      <c r="AC4317" s="52">
        <f>IF(OR(K4317="",AND(P4317&lt;&gt;"Transferencia",P4317&lt;&gt;"Pago tarjeta")),"",IFERROR(IF(INDEX(ctaVinc,MATCH(K4317,ctaNombre,0))&amp;""&lt;&gt;"",INDEX(ctaVinc,MATCH(K4317,ctaNombre,0))&amp;"",K4317),K4317))</f>
        <v/>
      </c>
      <c r="AD4317" s="52">
        <f>IF(AB4317="","",IFERROR(INDEX(ctaTipo,MATCH(AB4317,ctaNombre,0))&amp;"",""))</f>
        <v/>
      </c>
      <c r="AE4317" s="52">
        <f>IF(AC4317="","",IFERROR(INDEX(ctaTipo,MATCH(AC4317,ctaNombre,0))&amp;"",""))</f>
        <v/>
      </c>
      <c r="AF4317" s="53">
        <f>IF(OR(P4317="",AB4317=""),"",IF(OR(P4317="Gasto",P4317="Transferencia",P4317="Pago tarjeta"),-1,1)*IF(IFERROR(INDEX(ctaMoneda,MATCH(AB4317,ctaNombre,0))&amp;"","DOP")="USD",T4317,S4317))</f>
        <v/>
      </c>
      <c r="AG4317" s="53">
        <f>IF(AC4317="","",IF(IFERROR(INDEX(ctaMoneda,MATCH(AC4317,ctaNombre,0))&amp;"","DOP")="USD",T4317,S4317))</f>
        <v/>
      </c>
      <c r="AH4317" s="53">
        <f>IF(P4317="","",IF(AND(AD4317&lt;&gt;"",COUNTIFS(tcTipo,AD4317,tcLiq,"Sí")&gt;0),IF(OR(P4317="Gasto",P4317="Transferencia",P4317="Pago tarjeta"),-1,1)*S4317,0)+IF(AND(AE4317&lt;&gt;"",COUNTIFS(tcTipo,AE4317,tcLiq,"Sí")&gt;0),S4317,0))</f>
        <v/>
      </c>
      <c r="AI4317" s="52">
        <f>IF(OR(L4317="",P4317=""),"",IF(COUNTIFS(L$6:L4317,L4317,P$6:P4317,"?*")=1,MAX(AI$5:AI4316)+1,""))</f>
        <v/>
      </c>
    </row>
    <row r="4318">
      <c r="B4318" s="47" t="n"/>
      <c r="C4318" s="48" t="n"/>
      <c r="D4318" s="48" t="n"/>
      <c r="E4318" s="48" t="n"/>
      <c r="F4318" s="48" t="n"/>
      <c r="G4318" s="49" t="n"/>
      <c r="H4318" s="48" t="n"/>
      <c r="I4318" s="50" t="n"/>
      <c r="J4318" s="48" t="n"/>
      <c r="K4318" s="48" t="n"/>
      <c r="L4318" s="48" t="n"/>
      <c r="M4318" s="48" t="n"/>
      <c r="N4318" s="48" t="n"/>
      <c r="O4318" s="51">
        <f>IF(AND(B4318="",G4318="",C4318="",D4318="",J4318=""),"",IF(B4318="","⚠ Falta fecha",IF(G4318="","⚠ Falta monto",IF(Q4318="","⚠ Falta cuenta",IF(ISNA(MATCH(Q4318,ctaNombre,0)),"⚠ Cuenta no registrada",IF(AND(OR(P4318="Gasto",P4318="Reembolso"),D4318=""),"⚠ Falta categoría",IF(AND(D4318&lt;&gt;"",E4318&lt;&gt;"",ISNA(MATCH(D4318&amp;"|"&amp;E4318,catClave,0))),"⚠ Subcategoría no corresponde",IF(AND(OR(P4318="Transferencia",P4318="Pago tarjeta"),K4318=""),"⚠ Falta cuenta destino",IF(AND(K4318&lt;&gt;"",P4318&lt;&gt;"Transferencia",P4318&lt;&gt;"Pago tarjeta"),"⚠ Destino solo aplica a transferencias",IF(AND(K4318&lt;&gt;"",K4318=Q4318),"⚠ Origen igual a destino",IF(AND(K4318&lt;&gt;"",ISNA(MATCH(K4318,ctaNombre,0))),"⚠ Destino no registrado",IF(AND(P4318="Pago tarjeta",AE4318&lt;&gt;"Tarjeta de crédito"),"⚠ El destino debe ser tarjeta de crédito",IF(AND(P4318="Gasto",E4318="Depósitos y retiros"),"⚠ Usa tipo Transferencia",IF(AND(P4318="Resultado trading",AD4318&lt;&gt;"Cuenta de trading"),"⚠ Usa una cuenta de trading",IF(AND(G4318&lt;=0,P4318&lt;&gt;"Ajuste",P4318&lt;&gt;"Resultado trading"),"⚠ El monto debe ser positivo","✓")))))))))))))))</f>
        <v/>
      </c>
      <c r="P4318" s="52">
        <f>IF(OR(B4318="",G4318=""),"",IF(C4318="","Gasto",C4318))</f>
        <v/>
      </c>
      <c r="Q4318" s="52">
        <f>IF(P4318="","",IF(J4318&lt;&gt;"",J4318,CuentaPred&amp;""))</f>
        <v/>
      </c>
      <c r="R4318" s="52">
        <f>IF(P4318="","",IF(ISNUMBER(I4318),I4318,TasaUSD))</f>
        <v/>
      </c>
      <c r="S4318" s="53">
        <f>IF(P4318="","",IF(H4318="USD",G4318*R4318,G4318))</f>
        <v/>
      </c>
      <c r="T4318" s="53">
        <f>IF(P4318="","",IF(H4318="USD",G4318,IF(R4318&gt;0,G4318/R4318,0)))</f>
        <v/>
      </c>
      <c r="U4318" s="53">
        <f>IF(P4318="","",IF(P4318="Gasto",S4318,IF(P4318="Reembolso",-S4318,0)))</f>
        <v/>
      </c>
      <c r="V4318" s="53">
        <f>IF(P4318="","",IF(P4318="Ingreso",S4318,0))</f>
        <v/>
      </c>
      <c r="W4318" s="53">
        <f>IF(P4318="","",IF(P4318="Resultado trading",S4318,0))</f>
        <v/>
      </c>
      <c r="X4318" s="52">
        <f>IF(OR(P4318="Gasto",P4318="Reembolso"),IF(M4318&lt;&gt;"",M4318,IFERROR(INDEX(catClasif,MATCH(D4318&amp;"|"&amp;E4318,catClave,0))&amp;"","Variable")),"")</f>
        <v/>
      </c>
      <c r="Y4318" s="52">
        <f>IF(P4318="","",IFERROR(INDEX(catGrupo,MATCH(D4318&amp;"|"&amp;E4318,catClave,0))&amp;"",""))</f>
        <v/>
      </c>
      <c r="Z4318" s="52">
        <f>IF(P4318="","",WEEKDAY(B4318,2))</f>
        <v/>
      </c>
      <c r="AA4318" s="52">
        <f>IF(P4318="","",IF(AND(P4318="Gasto",X4318="Variable",D4318&lt;&gt;catTrading,S4318&gt;0,S4318&lt;=Umbral),1,0))</f>
        <v/>
      </c>
      <c r="AB4318" s="52">
        <f>IF(OR(P4318="",Q4318=""),"",IFERROR(IF(INDEX(ctaVinc,MATCH(Q4318,ctaNombre,0))&amp;""&lt;&gt;"",INDEX(ctaVinc,MATCH(Q4318,ctaNombre,0))&amp;"",Q4318),Q4318))</f>
        <v/>
      </c>
      <c r="AC4318" s="52">
        <f>IF(OR(K4318="",AND(P4318&lt;&gt;"Transferencia",P4318&lt;&gt;"Pago tarjeta")),"",IFERROR(IF(INDEX(ctaVinc,MATCH(K4318,ctaNombre,0))&amp;""&lt;&gt;"",INDEX(ctaVinc,MATCH(K4318,ctaNombre,0))&amp;"",K4318),K4318))</f>
        <v/>
      </c>
      <c r="AD4318" s="52">
        <f>IF(AB4318="","",IFERROR(INDEX(ctaTipo,MATCH(AB4318,ctaNombre,0))&amp;"",""))</f>
        <v/>
      </c>
      <c r="AE4318" s="52">
        <f>IF(AC4318="","",IFERROR(INDEX(ctaTipo,MATCH(AC4318,ctaNombre,0))&amp;"",""))</f>
        <v/>
      </c>
      <c r="AF4318" s="53">
        <f>IF(OR(P4318="",AB4318=""),"",IF(OR(P4318="Gasto",P4318="Transferencia",P4318="Pago tarjeta"),-1,1)*IF(IFERROR(INDEX(ctaMoneda,MATCH(AB4318,ctaNombre,0))&amp;"","DOP")="USD",T4318,S4318))</f>
        <v/>
      </c>
      <c r="AG4318" s="53">
        <f>IF(AC4318="","",IF(IFERROR(INDEX(ctaMoneda,MATCH(AC4318,ctaNombre,0))&amp;"","DOP")="USD",T4318,S4318))</f>
        <v/>
      </c>
      <c r="AH4318" s="53">
        <f>IF(P4318="","",IF(AND(AD4318&lt;&gt;"",COUNTIFS(tcTipo,AD4318,tcLiq,"Sí")&gt;0),IF(OR(P4318="Gasto",P4318="Transferencia",P4318="Pago tarjeta"),-1,1)*S4318,0)+IF(AND(AE4318&lt;&gt;"",COUNTIFS(tcTipo,AE4318,tcLiq,"Sí")&gt;0),S4318,0))</f>
        <v/>
      </c>
      <c r="AI4318" s="52">
        <f>IF(OR(L4318="",P4318=""),"",IF(COUNTIFS(L$6:L4318,L4318,P$6:P4318,"?*")=1,MAX(AI$5:AI4317)+1,""))</f>
        <v/>
      </c>
    </row>
    <row r="4319">
      <c r="B4319" s="47" t="n"/>
      <c r="C4319" s="48" t="n"/>
      <c r="D4319" s="48" t="n"/>
      <c r="E4319" s="48" t="n"/>
      <c r="F4319" s="48" t="n"/>
      <c r="G4319" s="49" t="n"/>
      <c r="H4319" s="48" t="n"/>
      <c r="I4319" s="50" t="n"/>
      <c r="J4319" s="48" t="n"/>
      <c r="K4319" s="48" t="n"/>
      <c r="L4319" s="48" t="n"/>
      <c r="M4319" s="48" t="n"/>
      <c r="N4319" s="48" t="n"/>
      <c r="O4319" s="51">
        <f>IF(AND(B4319="",G4319="",C4319="",D4319="",J4319=""),"",IF(B4319="","⚠ Falta fecha",IF(G4319="","⚠ Falta monto",IF(Q4319="","⚠ Falta cuenta",IF(ISNA(MATCH(Q4319,ctaNombre,0)),"⚠ Cuenta no registrada",IF(AND(OR(P4319="Gasto",P4319="Reembolso"),D4319=""),"⚠ Falta categoría",IF(AND(D4319&lt;&gt;"",E4319&lt;&gt;"",ISNA(MATCH(D4319&amp;"|"&amp;E4319,catClave,0))),"⚠ Subcategoría no corresponde",IF(AND(OR(P4319="Transferencia",P4319="Pago tarjeta"),K4319=""),"⚠ Falta cuenta destino",IF(AND(K4319&lt;&gt;"",P4319&lt;&gt;"Transferencia",P4319&lt;&gt;"Pago tarjeta"),"⚠ Destino solo aplica a transferencias",IF(AND(K4319&lt;&gt;"",K4319=Q4319),"⚠ Origen igual a destino",IF(AND(K4319&lt;&gt;"",ISNA(MATCH(K4319,ctaNombre,0))),"⚠ Destino no registrado",IF(AND(P4319="Pago tarjeta",AE4319&lt;&gt;"Tarjeta de crédito"),"⚠ El destino debe ser tarjeta de crédito",IF(AND(P4319="Gasto",E4319="Depósitos y retiros"),"⚠ Usa tipo Transferencia",IF(AND(P4319="Resultado trading",AD4319&lt;&gt;"Cuenta de trading"),"⚠ Usa una cuenta de trading",IF(AND(G4319&lt;=0,P4319&lt;&gt;"Ajuste",P4319&lt;&gt;"Resultado trading"),"⚠ El monto debe ser positivo","✓")))))))))))))))</f>
        <v/>
      </c>
      <c r="P4319" s="52">
        <f>IF(OR(B4319="",G4319=""),"",IF(C4319="","Gasto",C4319))</f>
        <v/>
      </c>
      <c r="Q4319" s="52">
        <f>IF(P4319="","",IF(J4319&lt;&gt;"",J4319,CuentaPred&amp;""))</f>
        <v/>
      </c>
      <c r="R4319" s="52">
        <f>IF(P4319="","",IF(ISNUMBER(I4319),I4319,TasaUSD))</f>
        <v/>
      </c>
      <c r="S4319" s="53">
        <f>IF(P4319="","",IF(H4319="USD",G4319*R4319,G4319))</f>
        <v/>
      </c>
      <c r="T4319" s="53">
        <f>IF(P4319="","",IF(H4319="USD",G4319,IF(R4319&gt;0,G4319/R4319,0)))</f>
        <v/>
      </c>
      <c r="U4319" s="53">
        <f>IF(P4319="","",IF(P4319="Gasto",S4319,IF(P4319="Reembolso",-S4319,0)))</f>
        <v/>
      </c>
      <c r="V4319" s="53">
        <f>IF(P4319="","",IF(P4319="Ingreso",S4319,0))</f>
        <v/>
      </c>
      <c r="W4319" s="53">
        <f>IF(P4319="","",IF(P4319="Resultado trading",S4319,0))</f>
        <v/>
      </c>
      <c r="X4319" s="52">
        <f>IF(OR(P4319="Gasto",P4319="Reembolso"),IF(M4319&lt;&gt;"",M4319,IFERROR(INDEX(catClasif,MATCH(D4319&amp;"|"&amp;E4319,catClave,0))&amp;"","Variable")),"")</f>
        <v/>
      </c>
      <c r="Y4319" s="52">
        <f>IF(P4319="","",IFERROR(INDEX(catGrupo,MATCH(D4319&amp;"|"&amp;E4319,catClave,0))&amp;"",""))</f>
        <v/>
      </c>
      <c r="Z4319" s="52">
        <f>IF(P4319="","",WEEKDAY(B4319,2))</f>
        <v/>
      </c>
      <c r="AA4319" s="52">
        <f>IF(P4319="","",IF(AND(P4319="Gasto",X4319="Variable",D4319&lt;&gt;catTrading,S4319&gt;0,S4319&lt;=Umbral),1,0))</f>
        <v/>
      </c>
      <c r="AB4319" s="52">
        <f>IF(OR(P4319="",Q4319=""),"",IFERROR(IF(INDEX(ctaVinc,MATCH(Q4319,ctaNombre,0))&amp;""&lt;&gt;"",INDEX(ctaVinc,MATCH(Q4319,ctaNombre,0))&amp;"",Q4319),Q4319))</f>
        <v/>
      </c>
      <c r="AC4319" s="52">
        <f>IF(OR(K4319="",AND(P4319&lt;&gt;"Transferencia",P4319&lt;&gt;"Pago tarjeta")),"",IFERROR(IF(INDEX(ctaVinc,MATCH(K4319,ctaNombre,0))&amp;""&lt;&gt;"",INDEX(ctaVinc,MATCH(K4319,ctaNombre,0))&amp;"",K4319),K4319))</f>
        <v/>
      </c>
      <c r="AD4319" s="52">
        <f>IF(AB4319="","",IFERROR(INDEX(ctaTipo,MATCH(AB4319,ctaNombre,0))&amp;"",""))</f>
        <v/>
      </c>
      <c r="AE4319" s="52">
        <f>IF(AC4319="","",IFERROR(INDEX(ctaTipo,MATCH(AC4319,ctaNombre,0))&amp;"",""))</f>
        <v/>
      </c>
      <c r="AF4319" s="53">
        <f>IF(OR(P4319="",AB4319=""),"",IF(OR(P4319="Gasto",P4319="Transferencia",P4319="Pago tarjeta"),-1,1)*IF(IFERROR(INDEX(ctaMoneda,MATCH(AB4319,ctaNombre,0))&amp;"","DOP")="USD",T4319,S4319))</f>
        <v/>
      </c>
      <c r="AG4319" s="53">
        <f>IF(AC4319="","",IF(IFERROR(INDEX(ctaMoneda,MATCH(AC4319,ctaNombre,0))&amp;"","DOP")="USD",T4319,S4319))</f>
        <v/>
      </c>
      <c r="AH4319" s="53">
        <f>IF(P4319="","",IF(AND(AD4319&lt;&gt;"",COUNTIFS(tcTipo,AD4319,tcLiq,"Sí")&gt;0),IF(OR(P4319="Gasto",P4319="Transferencia",P4319="Pago tarjeta"),-1,1)*S4319,0)+IF(AND(AE4319&lt;&gt;"",COUNTIFS(tcTipo,AE4319,tcLiq,"Sí")&gt;0),S4319,0))</f>
        <v/>
      </c>
      <c r="AI4319" s="52">
        <f>IF(OR(L4319="",P4319=""),"",IF(COUNTIFS(L$6:L4319,L4319,P$6:P4319,"?*")=1,MAX(AI$5:AI4318)+1,""))</f>
        <v/>
      </c>
    </row>
    <row r="4320">
      <c r="B4320" s="47" t="n"/>
      <c r="C4320" s="48" t="n"/>
      <c r="D4320" s="48" t="n"/>
      <c r="E4320" s="48" t="n"/>
      <c r="F4320" s="48" t="n"/>
      <c r="G4320" s="49" t="n"/>
      <c r="H4320" s="48" t="n"/>
      <c r="I4320" s="50" t="n"/>
      <c r="J4320" s="48" t="n"/>
      <c r="K4320" s="48" t="n"/>
      <c r="L4320" s="48" t="n"/>
      <c r="M4320" s="48" t="n"/>
      <c r="N4320" s="48" t="n"/>
      <c r="O4320" s="51">
        <f>IF(AND(B4320="",G4320="",C4320="",D4320="",J4320=""),"",IF(B4320="","⚠ Falta fecha",IF(G4320="","⚠ Falta monto",IF(Q4320="","⚠ Falta cuenta",IF(ISNA(MATCH(Q4320,ctaNombre,0)),"⚠ Cuenta no registrada",IF(AND(OR(P4320="Gasto",P4320="Reembolso"),D4320=""),"⚠ Falta categoría",IF(AND(D4320&lt;&gt;"",E4320&lt;&gt;"",ISNA(MATCH(D4320&amp;"|"&amp;E4320,catClave,0))),"⚠ Subcategoría no corresponde",IF(AND(OR(P4320="Transferencia",P4320="Pago tarjeta"),K4320=""),"⚠ Falta cuenta destino",IF(AND(K4320&lt;&gt;"",P4320&lt;&gt;"Transferencia",P4320&lt;&gt;"Pago tarjeta"),"⚠ Destino solo aplica a transferencias",IF(AND(K4320&lt;&gt;"",K4320=Q4320),"⚠ Origen igual a destino",IF(AND(K4320&lt;&gt;"",ISNA(MATCH(K4320,ctaNombre,0))),"⚠ Destino no registrado",IF(AND(P4320="Pago tarjeta",AE4320&lt;&gt;"Tarjeta de crédito"),"⚠ El destino debe ser tarjeta de crédito",IF(AND(P4320="Gasto",E4320="Depósitos y retiros"),"⚠ Usa tipo Transferencia",IF(AND(P4320="Resultado trading",AD4320&lt;&gt;"Cuenta de trading"),"⚠ Usa una cuenta de trading",IF(AND(G4320&lt;=0,P4320&lt;&gt;"Ajuste",P4320&lt;&gt;"Resultado trading"),"⚠ El monto debe ser positivo","✓")))))))))))))))</f>
        <v/>
      </c>
      <c r="P4320" s="52">
        <f>IF(OR(B4320="",G4320=""),"",IF(C4320="","Gasto",C4320))</f>
        <v/>
      </c>
      <c r="Q4320" s="52">
        <f>IF(P4320="","",IF(J4320&lt;&gt;"",J4320,CuentaPred&amp;""))</f>
        <v/>
      </c>
      <c r="R4320" s="52">
        <f>IF(P4320="","",IF(ISNUMBER(I4320),I4320,TasaUSD))</f>
        <v/>
      </c>
      <c r="S4320" s="53">
        <f>IF(P4320="","",IF(H4320="USD",G4320*R4320,G4320))</f>
        <v/>
      </c>
      <c r="T4320" s="53">
        <f>IF(P4320="","",IF(H4320="USD",G4320,IF(R4320&gt;0,G4320/R4320,0)))</f>
        <v/>
      </c>
      <c r="U4320" s="53">
        <f>IF(P4320="","",IF(P4320="Gasto",S4320,IF(P4320="Reembolso",-S4320,0)))</f>
        <v/>
      </c>
      <c r="V4320" s="53">
        <f>IF(P4320="","",IF(P4320="Ingreso",S4320,0))</f>
        <v/>
      </c>
      <c r="W4320" s="53">
        <f>IF(P4320="","",IF(P4320="Resultado trading",S4320,0))</f>
        <v/>
      </c>
      <c r="X4320" s="52">
        <f>IF(OR(P4320="Gasto",P4320="Reembolso"),IF(M4320&lt;&gt;"",M4320,IFERROR(INDEX(catClasif,MATCH(D4320&amp;"|"&amp;E4320,catClave,0))&amp;"","Variable")),"")</f>
        <v/>
      </c>
      <c r="Y4320" s="52">
        <f>IF(P4320="","",IFERROR(INDEX(catGrupo,MATCH(D4320&amp;"|"&amp;E4320,catClave,0))&amp;"",""))</f>
        <v/>
      </c>
      <c r="Z4320" s="52">
        <f>IF(P4320="","",WEEKDAY(B4320,2))</f>
        <v/>
      </c>
      <c r="AA4320" s="52">
        <f>IF(P4320="","",IF(AND(P4320="Gasto",X4320="Variable",D4320&lt;&gt;catTrading,S4320&gt;0,S4320&lt;=Umbral),1,0))</f>
        <v/>
      </c>
      <c r="AB4320" s="52">
        <f>IF(OR(P4320="",Q4320=""),"",IFERROR(IF(INDEX(ctaVinc,MATCH(Q4320,ctaNombre,0))&amp;""&lt;&gt;"",INDEX(ctaVinc,MATCH(Q4320,ctaNombre,0))&amp;"",Q4320),Q4320))</f>
        <v/>
      </c>
      <c r="AC4320" s="52">
        <f>IF(OR(K4320="",AND(P4320&lt;&gt;"Transferencia",P4320&lt;&gt;"Pago tarjeta")),"",IFERROR(IF(INDEX(ctaVinc,MATCH(K4320,ctaNombre,0))&amp;""&lt;&gt;"",INDEX(ctaVinc,MATCH(K4320,ctaNombre,0))&amp;"",K4320),K4320))</f>
        <v/>
      </c>
      <c r="AD4320" s="52">
        <f>IF(AB4320="","",IFERROR(INDEX(ctaTipo,MATCH(AB4320,ctaNombre,0))&amp;"",""))</f>
        <v/>
      </c>
      <c r="AE4320" s="52">
        <f>IF(AC4320="","",IFERROR(INDEX(ctaTipo,MATCH(AC4320,ctaNombre,0))&amp;"",""))</f>
        <v/>
      </c>
      <c r="AF4320" s="53">
        <f>IF(OR(P4320="",AB4320=""),"",IF(OR(P4320="Gasto",P4320="Transferencia",P4320="Pago tarjeta"),-1,1)*IF(IFERROR(INDEX(ctaMoneda,MATCH(AB4320,ctaNombre,0))&amp;"","DOP")="USD",T4320,S4320))</f>
        <v/>
      </c>
      <c r="AG4320" s="53">
        <f>IF(AC4320="","",IF(IFERROR(INDEX(ctaMoneda,MATCH(AC4320,ctaNombre,0))&amp;"","DOP")="USD",T4320,S4320))</f>
        <v/>
      </c>
      <c r="AH4320" s="53">
        <f>IF(P4320="","",IF(AND(AD4320&lt;&gt;"",COUNTIFS(tcTipo,AD4320,tcLiq,"Sí")&gt;0),IF(OR(P4320="Gasto",P4320="Transferencia",P4320="Pago tarjeta"),-1,1)*S4320,0)+IF(AND(AE4320&lt;&gt;"",COUNTIFS(tcTipo,AE4320,tcLiq,"Sí")&gt;0),S4320,0))</f>
        <v/>
      </c>
      <c r="AI4320" s="52">
        <f>IF(OR(L4320="",P4320=""),"",IF(COUNTIFS(L$6:L4320,L4320,P$6:P4320,"?*")=1,MAX(AI$5:AI4319)+1,""))</f>
        <v/>
      </c>
    </row>
    <row r="4321">
      <c r="B4321" s="47" t="n"/>
      <c r="C4321" s="48" t="n"/>
      <c r="D4321" s="48" t="n"/>
      <c r="E4321" s="48" t="n"/>
      <c r="F4321" s="48" t="n"/>
      <c r="G4321" s="49" t="n"/>
      <c r="H4321" s="48" t="n"/>
      <c r="I4321" s="50" t="n"/>
      <c r="J4321" s="48" t="n"/>
      <c r="K4321" s="48" t="n"/>
      <c r="L4321" s="48" t="n"/>
      <c r="M4321" s="48" t="n"/>
      <c r="N4321" s="48" t="n"/>
      <c r="O4321" s="51">
        <f>IF(AND(B4321="",G4321="",C4321="",D4321="",J4321=""),"",IF(B4321="","⚠ Falta fecha",IF(G4321="","⚠ Falta monto",IF(Q4321="","⚠ Falta cuenta",IF(ISNA(MATCH(Q4321,ctaNombre,0)),"⚠ Cuenta no registrada",IF(AND(OR(P4321="Gasto",P4321="Reembolso"),D4321=""),"⚠ Falta categoría",IF(AND(D4321&lt;&gt;"",E4321&lt;&gt;"",ISNA(MATCH(D4321&amp;"|"&amp;E4321,catClave,0))),"⚠ Subcategoría no corresponde",IF(AND(OR(P4321="Transferencia",P4321="Pago tarjeta"),K4321=""),"⚠ Falta cuenta destino",IF(AND(K4321&lt;&gt;"",P4321&lt;&gt;"Transferencia",P4321&lt;&gt;"Pago tarjeta"),"⚠ Destino solo aplica a transferencias",IF(AND(K4321&lt;&gt;"",K4321=Q4321),"⚠ Origen igual a destino",IF(AND(K4321&lt;&gt;"",ISNA(MATCH(K4321,ctaNombre,0))),"⚠ Destino no registrado",IF(AND(P4321="Pago tarjeta",AE4321&lt;&gt;"Tarjeta de crédito"),"⚠ El destino debe ser tarjeta de crédito",IF(AND(P4321="Gasto",E4321="Depósitos y retiros"),"⚠ Usa tipo Transferencia",IF(AND(P4321="Resultado trading",AD4321&lt;&gt;"Cuenta de trading"),"⚠ Usa una cuenta de trading",IF(AND(G4321&lt;=0,P4321&lt;&gt;"Ajuste",P4321&lt;&gt;"Resultado trading"),"⚠ El monto debe ser positivo","✓")))))))))))))))</f>
        <v/>
      </c>
      <c r="P4321" s="52">
        <f>IF(OR(B4321="",G4321=""),"",IF(C4321="","Gasto",C4321))</f>
        <v/>
      </c>
      <c r="Q4321" s="52">
        <f>IF(P4321="","",IF(J4321&lt;&gt;"",J4321,CuentaPred&amp;""))</f>
        <v/>
      </c>
      <c r="R4321" s="52">
        <f>IF(P4321="","",IF(ISNUMBER(I4321),I4321,TasaUSD))</f>
        <v/>
      </c>
      <c r="S4321" s="53">
        <f>IF(P4321="","",IF(H4321="USD",G4321*R4321,G4321))</f>
        <v/>
      </c>
      <c r="T4321" s="53">
        <f>IF(P4321="","",IF(H4321="USD",G4321,IF(R4321&gt;0,G4321/R4321,0)))</f>
        <v/>
      </c>
      <c r="U4321" s="53">
        <f>IF(P4321="","",IF(P4321="Gasto",S4321,IF(P4321="Reembolso",-S4321,0)))</f>
        <v/>
      </c>
      <c r="V4321" s="53">
        <f>IF(P4321="","",IF(P4321="Ingreso",S4321,0))</f>
        <v/>
      </c>
      <c r="W4321" s="53">
        <f>IF(P4321="","",IF(P4321="Resultado trading",S4321,0))</f>
        <v/>
      </c>
      <c r="X4321" s="52">
        <f>IF(OR(P4321="Gasto",P4321="Reembolso"),IF(M4321&lt;&gt;"",M4321,IFERROR(INDEX(catClasif,MATCH(D4321&amp;"|"&amp;E4321,catClave,0))&amp;"","Variable")),"")</f>
        <v/>
      </c>
      <c r="Y4321" s="52">
        <f>IF(P4321="","",IFERROR(INDEX(catGrupo,MATCH(D4321&amp;"|"&amp;E4321,catClave,0))&amp;"",""))</f>
        <v/>
      </c>
      <c r="Z4321" s="52">
        <f>IF(P4321="","",WEEKDAY(B4321,2))</f>
        <v/>
      </c>
      <c r="AA4321" s="52">
        <f>IF(P4321="","",IF(AND(P4321="Gasto",X4321="Variable",D4321&lt;&gt;catTrading,S4321&gt;0,S4321&lt;=Umbral),1,0))</f>
        <v/>
      </c>
      <c r="AB4321" s="52">
        <f>IF(OR(P4321="",Q4321=""),"",IFERROR(IF(INDEX(ctaVinc,MATCH(Q4321,ctaNombre,0))&amp;""&lt;&gt;"",INDEX(ctaVinc,MATCH(Q4321,ctaNombre,0))&amp;"",Q4321),Q4321))</f>
        <v/>
      </c>
      <c r="AC4321" s="52">
        <f>IF(OR(K4321="",AND(P4321&lt;&gt;"Transferencia",P4321&lt;&gt;"Pago tarjeta")),"",IFERROR(IF(INDEX(ctaVinc,MATCH(K4321,ctaNombre,0))&amp;""&lt;&gt;"",INDEX(ctaVinc,MATCH(K4321,ctaNombre,0))&amp;"",K4321),K4321))</f>
        <v/>
      </c>
      <c r="AD4321" s="52">
        <f>IF(AB4321="","",IFERROR(INDEX(ctaTipo,MATCH(AB4321,ctaNombre,0))&amp;"",""))</f>
        <v/>
      </c>
      <c r="AE4321" s="52">
        <f>IF(AC4321="","",IFERROR(INDEX(ctaTipo,MATCH(AC4321,ctaNombre,0))&amp;"",""))</f>
        <v/>
      </c>
      <c r="AF4321" s="53">
        <f>IF(OR(P4321="",AB4321=""),"",IF(OR(P4321="Gasto",P4321="Transferencia",P4321="Pago tarjeta"),-1,1)*IF(IFERROR(INDEX(ctaMoneda,MATCH(AB4321,ctaNombre,0))&amp;"","DOP")="USD",T4321,S4321))</f>
        <v/>
      </c>
      <c r="AG4321" s="53">
        <f>IF(AC4321="","",IF(IFERROR(INDEX(ctaMoneda,MATCH(AC4321,ctaNombre,0))&amp;"","DOP")="USD",T4321,S4321))</f>
        <v/>
      </c>
      <c r="AH4321" s="53">
        <f>IF(P4321="","",IF(AND(AD4321&lt;&gt;"",COUNTIFS(tcTipo,AD4321,tcLiq,"Sí")&gt;0),IF(OR(P4321="Gasto",P4321="Transferencia",P4321="Pago tarjeta"),-1,1)*S4321,0)+IF(AND(AE4321&lt;&gt;"",COUNTIFS(tcTipo,AE4321,tcLiq,"Sí")&gt;0),S4321,0))</f>
        <v/>
      </c>
      <c r="AI4321" s="52">
        <f>IF(OR(L4321="",P4321=""),"",IF(COUNTIFS(L$6:L4321,L4321,P$6:P4321,"?*")=1,MAX(AI$5:AI4320)+1,""))</f>
        <v/>
      </c>
    </row>
    <row r="4322">
      <c r="B4322" s="47" t="n"/>
      <c r="C4322" s="48" t="n"/>
      <c r="D4322" s="48" t="n"/>
      <c r="E4322" s="48" t="n"/>
      <c r="F4322" s="48" t="n"/>
      <c r="G4322" s="49" t="n"/>
      <c r="H4322" s="48" t="n"/>
      <c r="I4322" s="50" t="n"/>
      <c r="J4322" s="48" t="n"/>
      <c r="K4322" s="48" t="n"/>
      <c r="L4322" s="48" t="n"/>
      <c r="M4322" s="48" t="n"/>
      <c r="N4322" s="48" t="n"/>
      <c r="O4322" s="51">
        <f>IF(AND(B4322="",G4322="",C4322="",D4322="",J4322=""),"",IF(B4322="","⚠ Falta fecha",IF(G4322="","⚠ Falta monto",IF(Q4322="","⚠ Falta cuenta",IF(ISNA(MATCH(Q4322,ctaNombre,0)),"⚠ Cuenta no registrada",IF(AND(OR(P4322="Gasto",P4322="Reembolso"),D4322=""),"⚠ Falta categoría",IF(AND(D4322&lt;&gt;"",E4322&lt;&gt;"",ISNA(MATCH(D4322&amp;"|"&amp;E4322,catClave,0))),"⚠ Subcategoría no corresponde",IF(AND(OR(P4322="Transferencia",P4322="Pago tarjeta"),K4322=""),"⚠ Falta cuenta destino",IF(AND(K4322&lt;&gt;"",P4322&lt;&gt;"Transferencia",P4322&lt;&gt;"Pago tarjeta"),"⚠ Destino solo aplica a transferencias",IF(AND(K4322&lt;&gt;"",K4322=Q4322),"⚠ Origen igual a destino",IF(AND(K4322&lt;&gt;"",ISNA(MATCH(K4322,ctaNombre,0))),"⚠ Destino no registrado",IF(AND(P4322="Pago tarjeta",AE4322&lt;&gt;"Tarjeta de crédito"),"⚠ El destino debe ser tarjeta de crédito",IF(AND(P4322="Gasto",E4322="Depósitos y retiros"),"⚠ Usa tipo Transferencia",IF(AND(P4322="Resultado trading",AD4322&lt;&gt;"Cuenta de trading"),"⚠ Usa una cuenta de trading",IF(AND(G4322&lt;=0,P4322&lt;&gt;"Ajuste",P4322&lt;&gt;"Resultado trading"),"⚠ El monto debe ser positivo","✓")))))))))))))))</f>
        <v/>
      </c>
      <c r="P4322" s="52">
        <f>IF(OR(B4322="",G4322=""),"",IF(C4322="","Gasto",C4322))</f>
        <v/>
      </c>
      <c r="Q4322" s="52">
        <f>IF(P4322="","",IF(J4322&lt;&gt;"",J4322,CuentaPred&amp;""))</f>
        <v/>
      </c>
      <c r="R4322" s="52">
        <f>IF(P4322="","",IF(ISNUMBER(I4322),I4322,TasaUSD))</f>
        <v/>
      </c>
      <c r="S4322" s="53">
        <f>IF(P4322="","",IF(H4322="USD",G4322*R4322,G4322))</f>
        <v/>
      </c>
      <c r="T4322" s="53">
        <f>IF(P4322="","",IF(H4322="USD",G4322,IF(R4322&gt;0,G4322/R4322,0)))</f>
        <v/>
      </c>
      <c r="U4322" s="53">
        <f>IF(P4322="","",IF(P4322="Gasto",S4322,IF(P4322="Reembolso",-S4322,0)))</f>
        <v/>
      </c>
      <c r="V4322" s="53">
        <f>IF(P4322="","",IF(P4322="Ingreso",S4322,0))</f>
        <v/>
      </c>
      <c r="W4322" s="53">
        <f>IF(P4322="","",IF(P4322="Resultado trading",S4322,0))</f>
        <v/>
      </c>
      <c r="X4322" s="52">
        <f>IF(OR(P4322="Gasto",P4322="Reembolso"),IF(M4322&lt;&gt;"",M4322,IFERROR(INDEX(catClasif,MATCH(D4322&amp;"|"&amp;E4322,catClave,0))&amp;"","Variable")),"")</f>
        <v/>
      </c>
      <c r="Y4322" s="52">
        <f>IF(P4322="","",IFERROR(INDEX(catGrupo,MATCH(D4322&amp;"|"&amp;E4322,catClave,0))&amp;"",""))</f>
        <v/>
      </c>
      <c r="Z4322" s="52">
        <f>IF(P4322="","",WEEKDAY(B4322,2))</f>
        <v/>
      </c>
      <c r="AA4322" s="52">
        <f>IF(P4322="","",IF(AND(P4322="Gasto",X4322="Variable",D4322&lt;&gt;catTrading,S4322&gt;0,S4322&lt;=Umbral),1,0))</f>
        <v/>
      </c>
      <c r="AB4322" s="52">
        <f>IF(OR(P4322="",Q4322=""),"",IFERROR(IF(INDEX(ctaVinc,MATCH(Q4322,ctaNombre,0))&amp;""&lt;&gt;"",INDEX(ctaVinc,MATCH(Q4322,ctaNombre,0))&amp;"",Q4322),Q4322))</f>
        <v/>
      </c>
      <c r="AC4322" s="52">
        <f>IF(OR(K4322="",AND(P4322&lt;&gt;"Transferencia",P4322&lt;&gt;"Pago tarjeta")),"",IFERROR(IF(INDEX(ctaVinc,MATCH(K4322,ctaNombre,0))&amp;""&lt;&gt;"",INDEX(ctaVinc,MATCH(K4322,ctaNombre,0))&amp;"",K4322),K4322))</f>
        <v/>
      </c>
      <c r="AD4322" s="52">
        <f>IF(AB4322="","",IFERROR(INDEX(ctaTipo,MATCH(AB4322,ctaNombre,0))&amp;"",""))</f>
        <v/>
      </c>
      <c r="AE4322" s="52">
        <f>IF(AC4322="","",IFERROR(INDEX(ctaTipo,MATCH(AC4322,ctaNombre,0))&amp;"",""))</f>
        <v/>
      </c>
      <c r="AF4322" s="53">
        <f>IF(OR(P4322="",AB4322=""),"",IF(OR(P4322="Gasto",P4322="Transferencia",P4322="Pago tarjeta"),-1,1)*IF(IFERROR(INDEX(ctaMoneda,MATCH(AB4322,ctaNombre,0))&amp;"","DOP")="USD",T4322,S4322))</f>
        <v/>
      </c>
      <c r="AG4322" s="53">
        <f>IF(AC4322="","",IF(IFERROR(INDEX(ctaMoneda,MATCH(AC4322,ctaNombre,0))&amp;"","DOP")="USD",T4322,S4322))</f>
        <v/>
      </c>
      <c r="AH4322" s="53">
        <f>IF(P4322="","",IF(AND(AD4322&lt;&gt;"",COUNTIFS(tcTipo,AD4322,tcLiq,"Sí")&gt;0),IF(OR(P4322="Gasto",P4322="Transferencia",P4322="Pago tarjeta"),-1,1)*S4322,0)+IF(AND(AE4322&lt;&gt;"",COUNTIFS(tcTipo,AE4322,tcLiq,"Sí")&gt;0),S4322,0))</f>
        <v/>
      </c>
      <c r="AI4322" s="52">
        <f>IF(OR(L4322="",P4322=""),"",IF(COUNTIFS(L$6:L4322,L4322,P$6:P4322,"?*")=1,MAX(AI$5:AI4321)+1,""))</f>
        <v/>
      </c>
    </row>
    <row r="4323">
      <c r="B4323" s="47" t="n"/>
      <c r="C4323" s="48" t="n"/>
      <c r="D4323" s="48" t="n"/>
      <c r="E4323" s="48" t="n"/>
      <c r="F4323" s="48" t="n"/>
      <c r="G4323" s="49" t="n"/>
      <c r="H4323" s="48" t="n"/>
      <c r="I4323" s="50" t="n"/>
      <c r="J4323" s="48" t="n"/>
      <c r="K4323" s="48" t="n"/>
      <c r="L4323" s="48" t="n"/>
      <c r="M4323" s="48" t="n"/>
      <c r="N4323" s="48" t="n"/>
      <c r="O4323" s="51">
        <f>IF(AND(B4323="",G4323="",C4323="",D4323="",J4323=""),"",IF(B4323="","⚠ Falta fecha",IF(G4323="","⚠ Falta monto",IF(Q4323="","⚠ Falta cuenta",IF(ISNA(MATCH(Q4323,ctaNombre,0)),"⚠ Cuenta no registrada",IF(AND(OR(P4323="Gasto",P4323="Reembolso"),D4323=""),"⚠ Falta categoría",IF(AND(D4323&lt;&gt;"",E4323&lt;&gt;"",ISNA(MATCH(D4323&amp;"|"&amp;E4323,catClave,0))),"⚠ Subcategoría no corresponde",IF(AND(OR(P4323="Transferencia",P4323="Pago tarjeta"),K4323=""),"⚠ Falta cuenta destino",IF(AND(K4323&lt;&gt;"",P4323&lt;&gt;"Transferencia",P4323&lt;&gt;"Pago tarjeta"),"⚠ Destino solo aplica a transferencias",IF(AND(K4323&lt;&gt;"",K4323=Q4323),"⚠ Origen igual a destino",IF(AND(K4323&lt;&gt;"",ISNA(MATCH(K4323,ctaNombre,0))),"⚠ Destino no registrado",IF(AND(P4323="Pago tarjeta",AE4323&lt;&gt;"Tarjeta de crédito"),"⚠ El destino debe ser tarjeta de crédito",IF(AND(P4323="Gasto",E4323="Depósitos y retiros"),"⚠ Usa tipo Transferencia",IF(AND(P4323="Resultado trading",AD4323&lt;&gt;"Cuenta de trading"),"⚠ Usa una cuenta de trading",IF(AND(G4323&lt;=0,P4323&lt;&gt;"Ajuste",P4323&lt;&gt;"Resultado trading"),"⚠ El monto debe ser positivo","✓")))))))))))))))</f>
        <v/>
      </c>
      <c r="P4323" s="52">
        <f>IF(OR(B4323="",G4323=""),"",IF(C4323="","Gasto",C4323))</f>
        <v/>
      </c>
      <c r="Q4323" s="52">
        <f>IF(P4323="","",IF(J4323&lt;&gt;"",J4323,CuentaPred&amp;""))</f>
        <v/>
      </c>
      <c r="R4323" s="52">
        <f>IF(P4323="","",IF(ISNUMBER(I4323),I4323,TasaUSD))</f>
        <v/>
      </c>
      <c r="S4323" s="53">
        <f>IF(P4323="","",IF(H4323="USD",G4323*R4323,G4323))</f>
        <v/>
      </c>
      <c r="T4323" s="53">
        <f>IF(P4323="","",IF(H4323="USD",G4323,IF(R4323&gt;0,G4323/R4323,0)))</f>
        <v/>
      </c>
      <c r="U4323" s="53">
        <f>IF(P4323="","",IF(P4323="Gasto",S4323,IF(P4323="Reembolso",-S4323,0)))</f>
        <v/>
      </c>
      <c r="V4323" s="53">
        <f>IF(P4323="","",IF(P4323="Ingreso",S4323,0))</f>
        <v/>
      </c>
      <c r="W4323" s="53">
        <f>IF(P4323="","",IF(P4323="Resultado trading",S4323,0))</f>
        <v/>
      </c>
      <c r="X4323" s="52">
        <f>IF(OR(P4323="Gasto",P4323="Reembolso"),IF(M4323&lt;&gt;"",M4323,IFERROR(INDEX(catClasif,MATCH(D4323&amp;"|"&amp;E4323,catClave,0))&amp;"","Variable")),"")</f>
        <v/>
      </c>
      <c r="Y4323" s="52">
        <f>IF(P4323="","",IFERROR(INDEX(catGrupo,MATCH(D4323&amp;"|"&amp;E4323,catClave,0))&amp;"",""))</f>
        <v/>
      </c>
      <c r="Z4323" s="52">
        <f>IF(P4323="","",WEEKDAY(B4323,2))</f>
        <v/>
      </c>
      <c r="AA4323" s="52">
        <f>IF(P4323="","",IF(AND(P4323="Gasto",X4323="Variable",D4323&lt;&gt;catTrading,S4323&gt;0,S4323&lt;=Umbral),1,0))</f>
        <v/>
      </c>
      <c r="AB4323" s="52">
        <f>IF(OR(P4323="",Q4323=""),"",IFERROR(IF(INDEX(ctaVinc,MATCH(Q4323,ctaNombre,0))&amp;""&lt;&gt;"",INDEX(ctaVinc,MATCH(Q4323,ctaNombre,0))&amp;"",Q4323),Q4323))</f>
        <v/>
      </c>
      <c r="AC4323" s="52">
        <f>IF(OR(K4323="",AND(P4323&lt;&gt;"Transferencia",P4323&lt;&gt;"Pago tarjeta")),"",IFERROR(IF(INDEX(ctaVinc,MATCH(K4323,ctaNombre,0))&amp;""&lt;&gt;"",INDEX(ctaVinc,MATCH(K4323,ctaNombre,0))&amp;"",K4323),K4323))</f>
        <v/>
      </c>
      <c r="AD4323" s="52">
        <f>IF(AB4323="","",IFERROR(INDEX(ctaTipo,MATCH(AB4323,ctaNombre,0))&amp;"",""))</f>
        <v/>
      </c>
      <c r="AE4323" s="52">
        <f>IF(AC4323="","",IFERROR(INDEX(ctaTipo,MATCH(AC4323,ctaNombre,0))&amp;"",""))</f>
        <v/>
      </c>
      <c r="AF4323" s="53">
        <f>IF(OR(P4323="",AB4323=""),"",IF(OR(P4323="Gasto",P4323="Transferencia",P4323="Pago tarjeta"),-1,1)*IF(IFERROR(INDEX(ctaMoneda,MATCH(AB4323,ctaNombre,0))&amp;"","DOP")="USD",T4323,S4323))</f>
        <v/>
      </c>
      <c r="AG4323" s="53">
        <f>IF(AC4323="","",IF(IFERROR(INDEX(ctaMoneda,MATCH(AC4323,ctaNombre,0))&amp;"","DOP")="USD",T4323,S4323))</f>
        <v/>
      </c>
      <c r="AH4323" s="53">
        <f>IF(P4323="","",IF(AND(AD4323&lt;&gt;"",COUNTIFS(tcTipo,AD4323,tcLiq,"Sí")&gt;0),IF(OR(P4323="Gasto",P4323="Transferencia",P4323="Pago tarjeta"),-1,1)*S4323,0)+IF(AND(AE4323&lt;&gt;"",COUNTIFS(tcTipo,AE4323,tcLiq,"Sí")&gt;0),S4323,0))</f>
        <v/>
      </c>
      <c r="AI4323" s="52">
        <f>IF(OR(L4323="",P4323=""),"",IF(COUNTIFS(L$6:L4323,L4323,P$6:P4323,"?*")=1,MAX(AI$5:AI4322)+1,""))</f>
        <v/>
      </c>
    </row>
    <row r="4324">
      <c r="B4324" s="47" t="n"/>
      <c r="C4324" s="48" t="n"/>
      <c r="D4324" s="48" t="n"/>
      <c r="E4324" s="48" t="n"/>
      <c r="F4324" s="48" t="n"/>
      <c r="G4324" s="49" t="n"/>
      <c r="H4324" s="48" t="n"/>
      <c r="I4324" s="50" t="n"/>
      <c r="J4324" s="48" t="n"/>
      <c r="K4324" s="48" t="n"/>
      <c r="L4324" s="48" t="n"/>
      <c r="M4324" s="48" t="n"/>
      <c r="N4324" s="48" t="n"/>
      <c r="O4324" s="51">
        <f>IF(AND(B4324="",G4324="",C4324="",D4324="",J4324=""),"",IF(B4324="","⚠ Falta fecha",IF(G4324="","⚠ Falta monto",IF(Q4324="","⚠ Falta cuenta",IF(ISNA(MATCH(Q4324,ctaNombre,0)),"⚠ Cuenta no registrada",IF(AND(OR(P4324="Gasto",P4324="Reembolso"),D4324=""),"⚠ Falta categoría",IF(AND(D4324&lt;&gt;"",E4324&lt;&gt;"",ISNA(MATCH(D4324&amp;"|"&amp;E4324,catClave,0))),"⚠ Subcategoría no corresponde",IF(AND(OR(P4324="Transferencia",P4324="Pago tarjeta"),K4324=""),"⚠ Falta cuenta destino",IF(AND(K4324&lt;&gt;"",P4324&lt;&gt;"Transferencia",P4324&lt;&gt;"Pago tarjeta"),"⚠ Destino solo aplica a transferencias",IF(AND(K4324&lt;&gt;"",K4324=Q4324),"⚠ Origen igual a destino",IF(AND(K4324&lt;&gt;"",ISNA(MATCH(K4324,ctaNombre,0))),"⚠ Destino no registrado",IF(AND(P4324="Pago tarjeta",AE4324&lt;&gt;"Tarjeta de crédito"),"⚠ El destino debe ser tarjeta de crédito",IF(AND(P4324="Gasto",E4324="Depósitos y retiros"),"⚠ Usa tipo Transferencia",IF(AND(P4324="Resultado trading",AD4324&lt;&gt;"Cuenta de trading"),"⚠ Usa una cuenta de trading",IF(AND(G4324&lt;=0,P4324&lt;&gt;"Ajuste",P4324&lt;&gt;"Resultado trading"),"⚠ El monto debe ser positivo","✓")))))))))))))))</f>
        <v/>
      </c>
      <c r="P4324" s="52">
        <f>IF(OR(B4324="",G4324=""),"",IF(C4324="","Gasto",C4324))</f>
        <v/>
      </c>
      <c r="Q4324" s="52">
        <f>IF(P4324="","",IF(J4324&lt;&gt;"",J4324,CuentaPred&amp;""))</f>
        <v/>
      </c>
      <c r="R4324" s="52">
        <f>IF(P4324="","",IF(ISNUMBER(I4324),I4324,TasaUSD))</f>
        <v/>
      </c>
      <c r="S4324" s="53">
        <f>IF(P4324="","",IF(H4324="USD",G4324*R4324,G4324))</f>
        <v/>
      </c>
      <c r="T4324" s="53">
        <f>IF(P4324="","",IF(H4324="USD",G4324,IF(R4324&gt;0,G4324/R4324,0)))</f>
        <v/>
      </c>
      <c r="U4324" s="53">
        <f>IF(P4324="","",IF(P4324="Gasto",S4324,IF(P4324="Reembolso",-S4324,0)))</f>
        <v/>
      </c>
      <c r="V4324" s="53">
        <f>IF(P4324="","",IF(P4324="Ingreso",S4324,0))</f>
        <v/>
      </c>
      <c r="W4324" s="53">
        <f>IF(P4324="","",IF(P4324="Resultado trading",S4324,0))</f>
        <v/>
      </c>
      <c r="X4324" s="52">
        <f>IF(OR(P4324="Gasto",P4324="Reembolso"),IF(M4324&lt;&gt;"",M4324,IFERROR(INDEX(catClasif,MATCH(D4324&amp;"|"&amp;E4324,catClave,0))&amp;"","Variable")),"")</f>
        <v/>
      </c>
      <c r="Y4324" s="52">
        <f>IF(P4324="","",IFERROR(INDEX(catGrupo,MATCH(D4324&amp;"|"&amp;E4324,catClave,0))&amp;"",""))</f>
        <v/>
      </c>
      <c r="Z4324" s="52">
        <f>IF(P4324="","",WEEKDAY(B4324,2))</f>
        <v/>
      </c>
      <c r="AA4324" s="52">
        <f>IF(P4324="","",IF(AND(P4324="Gasto",X4324="Variable",D4324&lt;&gt;catTrading,S4324&gt;0,S4324&lt;=Umbral),1,0))</f>
        <v/>
      </c>
      <c r="AB4324" s="52">
        <f>IF(OR(P4324="",Q4324=""),"",IFERROR(IF(INDEX(ctaVinc,MATCH(Q4324,ctaNombre,0))&amp;""&lt;&gt;"",INDEX(ctaVinc,MATCH(Q4324,ctaNombre,0))&amp;"",Q4324),Q4324))</f>
        <v/>
      </c>
      <c r="AC4324" s="52">
        <f>IF(OR(K4324="",AND(P4324&lt;&gt;"Transferencia",P4324&lt;&gt;"Pago tarjeta")),"",IFERROR(IF(INDEX(ctaVinc,MATCH(K4324,ctaNombre,0))&amp;""&lt;&gt;"",INDEX(ctaVinc,MATCH(K4324,ctaNombre,0))&amp;"",K4324),K4324))</f>
        <v/>
      </c>
      <c r="AD4324" s="52">
        <f>IF(AB4324="","",IFERROR(INDEX(ctaTipo,MATCH(AB4324,ctaNombre,0))&amp;"",""))</f>
        <v/>
      </c>
      <c r="AE4324" s="52">
        <f>IF(AC4324="","",IFERROR(INDEX(ctaTipo,MATCH(AC4324,ctaNombre,0))&amp;"",""))</f>
        <v/>
      </c>
      <c r="AF4324" s="53">
        <f>IF(OR(P4324="",AB4324=""),"",IF(OR(P4324="Gasto",P4324="Transferencia",P4324="Pago tarjeta"),-1,1)*IF(IFERROR(INDEX(ctaMoneda,MATCH(AB4324,ctaNombre,0))&amp;"","DOP")="USD",T4324,S4324))</f>
        <v/>
      </c>
      <c r="AG4324" s="53">
        <f>IF(AC4324="","",IF(IFERROR(INDEX(ctaMoneda,MATCH(AC4324,ctaNombre,0))&amp;"","DOP")="USD",T4324,S4324))</f>
        <v/>
      </c>
      <c r="AH4324" s="53">
        <f>IF(P4324="","",IF(AND(AD4324&lt;&gt;"",COUNTIFS(tcTipo,AD4324,tcLiq,"Sí")&gt;0),IF(OR(P4324="Gasto",P4324="Transferencia",P4324="Pago tarjeta"),-1,1)*S4324,0)+IF(AND(AE4324&lt;&gt;"",COUNTIFS(tcTipo,AE4324,tcLiq,"Sí")&gt;0),S4324,0))</f>
        <v/>
      </c>
      <c r="AI4324" s="52">
        <f>IF(OR(L4324="",P4324=""),"",IF(COUNTIFS(L$6:L4324,L4324,P$6:P4324,"?*")=1,MAX(AI$5:AI4323)+1,""))</f>
        <v/>
      </c>
    </row>
    <row r="4325">
      <c r="B4325" s="47" t="n"/>
      <c r="C4325" s="48" t="n"/>
      <c r="D4325" s="48" t="n"/>
      <c r="E4325" s="48" t="n"/>
      <c r="F4325" s="48" t="n"/>
      <c r="G4325" s="49" t="n"/>
      <c r="H4325" s="48" t="n"/>
      <c r="I4325" s="50" t="n"/>
      <c r="J4325" s="48" t="n"/>
      <c r="K4325" s="48" t="n"/>
      <c r="L4325" s="48" t="n"/>
      <c r="M4325" s="48" t="n"/>
      <c r="N4325" s="48" t="n"/>
      <c r="O4325" s="51">
        <f>IF(AND(B4325="",G4325="",C4325="",D4325="",J4325=""),"",IF(B4325="","⚠ Falta fecha",IF(G4325="","⚠ Falta monto",IF(Q4325="","⚠ Falta cuenta",IF(ISNA(MATCH(Q4325,ctaNombre,0)),"⚠ Cuenta no registrada",IF(AND(OR(P4325="Gasto",P4325="Reembolso"),D4325=""),"⚠ Falta categoría",IF(AND(D4325&lt;&gt;"",E4325&lt;&gt;"",ISNA(MATCH(D4325&amp;"|"&amp;E4325,catClave,0))),"⚠ Subcategoría no corresponde",IF(AND(OR(P4325="Transferencia",P4325="Pago tarjeta"),K4325=""),"⚠ Falta cuenta destino",IF(AND(K4325&lt;&gt;"",P4325&lt;&gt;"Transferencia",P4325&lt;&gt;"Pago tarjeta"),"⚠ Destino solo aplica a transferencias",IF(AND(K4325&lt;&gt;"",K4325=Q4325),"⚠ Origen igual a destino",IF(AND(K4325&lt;&gt;"",ISNA(MATCH(K4325,ctaNombre,0))),"⚠ Destino no registrado",IF(AND(P4325="Pago tarjeta",AE4325&lt;&gt;"Tarjeta de crédito"),"⚠ El destino debe ser tarjeta de crédito",IF(AND(P4325="Gasto",E4325="Depósitos y retiros"),"⚠ Usa tipo Transferencia",IF(AND(P4325="Resultado trading",AD4325&lt;&gt;"Cuenta de trading"),"⚠ Usa una cuenta de trading",IF(AND(G4325&lt;=0,P4325&lt;&gt;"Ajuste",P4325&lt;&gt;"Resultado trading"),"⚠ El monto debe ser positivo","✓")))))))))))))))</f>
        <v/>
      </c>
      <c r="P4325" s="52">
        <f>IF(OR(B4325="",G4325=""),"",IF(C4325="","Gasto",C4325))</f>
        <v/>
      </c>
      <c r="Q4325" s="52">
        <f>IF(P4325="","",IF(J4325&lt;&gt;"",J4325,CuentaPred&amp;""))</f>
        <v/>
      </c>
      <c r="R4325" s="52">
        <f>IF(P4325="","",IF(ISNUMBER(I4325),I4325,TasaUSD))</f>
        <v/>
      </c>
      <c r="S4325" s="53">
        <f>IF(P4325="","",IF(H4325="USD",G4325*R4325,G4325))</f>
        <v/>
      </c>
      <c r="T4325" s="53">
        <f>IF(P4325="","",IF(H4325="USD",G4325,IF(R4325&gt;0,G4325/R4325,0)))</f>
        <v/>
      </c>
      <c r="U4325" s="53">
        <f>IF(P4325="","",IF(P4325="Gasto",S4325,IF(P4325="Reembolso",-S4325,0)))</f>
        <v/>
      </c>
      <c r="V4325" s="53">
        <f>IF(P4325="","",IF(P4325="Ingreso",S4325,0))</f>
        <v/>
      </c>
      <c r="W4325" s="53">
        <f>IF(P4325="","",IF(P4325="Resultado trading",S4325,0))</f>
        <v/>
      </c>
      <c r="X4325" s="52">
        <f>IF(OR(P4325="Gasto",P4325="Reembolso"),IF(M4325&lt;&gt;"",M4325,IFERROR(INDEX(catClasif,MATCH(D4325&amp;"|"&amp;E4325,catClave,0))&amp;"","Variable")),"")</f>
        <v/>
      </c>
      <c r="Y4325" s="52">
        <f>IF(P4325="","",IFERROR(INDEX(catGrupo,MATCH(D4325&amp;"|"&amp;E4325,catClave,0))&amp;"",""))</f>
        <v/>
      </c>
      <c r="Z4325" s="52">
        <f>IF(P4325="","",WEEKDAY(B4325,2))</f>
        <v/>
      </c>
      <c r="AA4325" s="52">
        <f>IF(P4325="","",IF(AND(P4325="Gasto",X4325="Variable",D4325&lt;&gt;catTrading,S4325&gt;0,S4325&lt;=Umbral),1,0))</f>
        <v/>
      </c>
      <c r="AB4325" s="52">
        <f>IF(OR(P4325="",Q4325=""),"",IFERROR(IF(INDEX(ctaVinc,MATCH(Q4325,ctaNombre,0))&amp;""&lt;&gt;"",INDEX(ctaVinc,MATCH(Q4325,ctaNombre,0))&amp;"",Q4325),Q4325))</f>
        <v/>
      </c>
      <c r="AC4325" s="52">
        <f>IF(OR(K4325="",AND(P4325&lt;&gt;"Transferencia",P4325&lt;&gt;"Pago tarjeta")),"",IFERROR(IF(INDEX(ctaVinc,MATCH(K4325,ctaNombre,0))&amp;""&lt;&gt;"",INDEX(ctaVinc,MATCH(K4325,ctaNombre,0))&amp;"",K4325),K4325))</f>
        <v/>
      </c>
      <c r="AD4325" s="52">
        <f>IF(AB4325="","",IFERROR(INDEX(ctaTipo,MATCH(AB4325,ctaNombre,0))&amp;"",""))</f>
        <v/>
      </c>
      <c r="AE4325" s="52">
        <f>IF(AC4325="","",IFERROR(INDEX(ctaTipo,MATCH(AC4325,ctaNombre,0))&amp;"",""))</f>
        <v/>
      </c>
      <c r="AF4325" s="53">
        <f>IF(OR(P4325="",AB4325=""),"",IF(OR(P4325="Gasto",P4325="Transferencia",P4325="Pago tarjeta"),-1,1)*IF(IFERROR(INDEX(ctaMoneda,MATCH(AB4325,ctaNombre,0))&amp;"","DOP")="USD",T4325,S4325))</f>
        <v/>
      </c>
      <c r="AG4325" s="53">
        <f>IF(AC4325="","",IF(IFERROR(INDEX(ctaMoneda,MATCH(AC4325,ctaNombre,0))&amp;"","DOP")="USD",T4325,S4325))</f>
        <v/>
      </c>
      <c r="AH4325" s="53">
        <f>IF(P4325="","",IF(AND(AD4325&lt;&gt;"",COUNTIFS(tcTipo,AD4325,tcLiq,"Sí")&gt;0),IF(OR(P4325="Gasto",P4325="Transferencia",P4325="Pago tarjeta"),-1,1)*S4325,0)+IF(AND(AE4325&lt;&gt;"",COUNTIFS(tcTipo,AE4325,tcLiq,"Sí")&gt;0),S4325,0))</f>
        <v/>
      </c>
      <c r="AI4325" s="52">
        <f>IF(OR(L4325="",P4325=""),"",IF(COUNTIFS(L$6:L4325,L4325,P$6:P4325,"?*")=1,MAX(AI$5:AI4324)+1,""))</f>
        <v/>
      </c>
    </row>
    <row r="4326">
      <c r="B4326" s="47" t="n"/>
      <c r="C4326" s="48" t="n"/>
      <c r="D4326" s="48" t="n"/>
      <c r="E4326" s="48" t="n"/>
      <c r="F4326" s="48" t="n"/>
      <c r="G4326" s="49" t="n"/>
      <c r="H4326" s="48" t="n"/>
      <c r="I4326" s="50" t="n"/>
      <c r="J4326" s="48" t="n"/>
      <c r="K4326" s="48" t="n"/>
      <c r="L4326" s="48" t="n"/>
      <c r="M4326" s="48" t="n"/>
      <c r="N4326" s="48" t="n"/>
      <c r="O4326" s="51">
        <f>IF(AND(B4326="",G4326="",C4326="",D4326="",J4326=""),"",IF(B4326="","⚠ Falta fecha",IF(G4326="","⚠ Falta monto",IF(Q4326="","⚠ Falta cuenta",IF(ISNA(MATCH(Q4326,ctaNombre,0)),"⚠ Cuenta no registrada",IF(AND(OR(P4326="Gasto",P4326="Reembolso"),D4326=""),"⚠ Falta categoría",IF(AND(D4326&lt;&gt;"",E4326&lt;&gt;"",ISNA(MATCH(D4326&amp;"|"&amp;E4326,catClave,0))),"⚠ Subcategoría no corresponde",IF(AND(OR(P4326="Transferencia",P4326="Pago tarjeta"),K4326=""),"⚠ Falta cuenta destino",IF(AND(K4326&lt;&gt;"",P4326&lt;&gt;"Transferencia",P4326&lt;&gt;"Pago tarjeta"),"⚠ Destino solo aplica a transferencias",IF(AND(K4326&lt;&gt;"",K4326=Q4326),"⚠ Origen igual a destino",IF(AND(K4326&lt;&gt;"",ISNA(MATCH(K4326,ctaNombre,0))),"⚠ Destino no registrado",IF(AND(P4326="Pago tarjeta",AE4326&lt;&gt;"Tarjeta de crédito"),"⚠ El destino debe ser tarjeta de crédito",IF(AND(P4326="Gasto",E4326="Depósitos y retiros"),"⚠ Usa tipo Transferencia",IF(AND(P4326="Resultado trading",AD4326&lt;&gt;"Cuenta de trading"),"⚠ Usa una cuenta de trading",IF(AND(G4326&lt;=0,P4326&lt;&gt;"Ajuste",P4326&lt;&gt;"Resultado trading"),"⚠ El monto debe ser positivo","✓")))))))))))))))</f>
        <v/>
      </c>
      <c r="P4326" s="52">
        <f>IF(OR(B4326="",G4326=""),"",IF(C4326="","Gasto",C4326))</f>
        <v/>
      </c>
      <c r="Q4326" s="52">
        <f>IF(P4326="","",IF(J4326&lt;&gt;"",J4326,CuentaPred&amp;""))</f>
        <v/>
      </c>
      <c r="R4326" s="52">
        <f>IF(P4326="","",IF(ISNUMBER(I4326),I4326,TasaUSD))</f>
        <v/>
      </c>
      <c r="S4326" s="53">
        <f>IF(P4326="","",IF(H4326="USD",G4326*R4326,G4326))</f>
        <v/>
      </c>
      <c r="T4326" s="53">
        <f>IF(P4326="","",IF(H4326="USD",G4326,IF(R4326&gt;0,G4326/R4326,0)))</f>
        <v/>
      </c>
      <c r="U4326" s="53">
        <f>IF(P4326="","",IF(P4326="Gasto",S4326,IF(P4326="Reembolso",-S4326,0)))</f>
        <v/>
      </c>
      <c r="V4326" s="53">
        <f>IF(P4326="","",IF(P4326="Ingreso",S4326,0))</f>
        <v/>
      </c>
      <c r="W4326" s="53">
        <f>IF(P4326="","",IF(P4326="Resultado trading",S4326,0))</f>
        <v/>
      </c>
      <c r="X4326" s="52">
        <f>IF(OR(P4326="Gasto",P4326="Reembolso"),IF(M4326&lt;&gt;"",M4326,IFERROR(INDEX(catClasif,MATCH(D4326&amp;"|"&amp;E4326,catClave,0))&amp;"","Variable")),"")</f>
        <v/>
      </c>
      <c r="Y4326" s="52">
        <f>IF(P4326="","",IFERROR(INDEX(catGrupo,MATCH(D4326&amp;"|"&amp;E4326,catClave,0))&amp;"",""))</f>
        <v/>
      </c>
      <c r="Z4326" s="52">
        <f>IF(P4326="","",WEEKDAY(B4326,2))</f>
        <v/>
      </c>
      <c r="AA4326" s="52">
        <f>IF(P4326="","",IF(AND(P4326="Gasto",X4326="Variable",D4326&lt;&gt;catTrading,S4326&gt;0,S4326&lt;=Umbral),1,0))</f>
        <v/>
      </c>
      <c r="AB4326" s="52">
        <f>IF(OR(P4326="",Q4326=""),"",IFERROR(IF(INDEX(ctaVinc,MATCH(Q4326,ctaNombre,0))&amp;""&lt;&gt;"",INDEX(ctaVinc,MATCH(Q4326,ctaNombre,0))&amp;"",Q4326),Q4326))</f>
        <v/>
      </c>
      <c r="AC4326" s="52">
        <f>IF(OR(K4326="",AND(P4326&lt;&gt;"Transferencia",P4326&lt;&gt;"Pago tarjeta")),"",IFERROR(IF(INDEX(ctaVinc,MATCH(K4326,ctaNombre,0))&amp;""&lt;&gt;"",INDEX(ctaVinc,MATCH(K4326,ctaNombre,0))&amp;"",K4326),K4326))</f>
        <v/>
      </c>
      <c r="AD4326" s="52">
        <f>IF(AB4326="","",IFERROR(INDEX(ctaTipo,MATCH(AB4326,ctaNombre,0))&amp;"",""))</f>
        <v/>
      </c>
      <c r="AE4326" s="52">
        <f>IF(AC4326="","",IFERROR(INDEX(ctaTipo,MATCH(AC4326,ctaNombre,0))&amp;"",""))</f>
        <v/>
      </c>
      <c r="AF4326" s="53">
        <f>IF(OR(P4326="",AB4326=""),"",IF(OR(P4326="Gasto",P4326="Transferencia",P4326="Pago tarjeta"),-1,1)*IF(IFERROR(INDEX(ctaMoneda,MATCH(AB4326,ctaNombre,0))&amp;"","DOP")="USD",T4326,S4326))</f>
        <v/>
      </c>
      <c r="AG4326" s="53">
        <f>IF(AC4326="","",IF(IFERROR(INDEX(ctaMoneda,MATCH(AC4326,ctaNombre,0))&amp;"","DOP")="USD",T4326,S4326))</f>
        <v/>
      </c>
      <c r="AH4326" s="53">
        <f>IF(P4326="","",IF(AND(AD4326&lt;&gt;"",COUNTIFS(tcTipo,AD4326,tcLiq,"Sí")&gt;0),IF(OR(P4326="Gasto",P4326="Transferencia",P4326="Pago tarjeta"),-1,1)*S4326,0)+IF(AND(AE4326&lt;&gt;"",COUNTIFS(tcTipo,AE4326,tcLiq,"Sí")&gt;0),S4326,0))</f>
        <v/>
      </c>
      <c r="AI4326" s="52">
        <f>IF(OR(L4326="",P4326=""),"",IF(COUNTIFS(L$6:L4326,L4326,P$6:P4326,"?*")=1,MAX(AI$5:AI4325)+1,""))</f>
        <v/>
      </c>
    </row>
    <row r="4327">
      <c r="B4327" s="47" t="n"/>
      <c r="C4327" s="48" t="n"/>
      <c r="D4327" s="48" t="n"/>
      <c r="E4327" s="48" t="n"/>
      <c r="F4327" s="48" t="n"/>
      <c r="G4327" s="49" t="n"/>
      <c r="H4327" s="48" t="n"/>
      <c r="I4327" s="50" t="n"/>
      <c r="J4327" s="48" t="n"/>
      <c r="K4327" s="48" t="n"/>
      <c r="L4327" s="48" t="n"/>
      <c r="M4327" s="48" t="n"/>
      <c r="N4327" s="48" t="n"/>
      <c r="O4327" s="51">
        <f>IF(AND(B4327="",G4327="",C4327="",D4327="",J4327=""),"",IF(B4327="","⚠ Falta fecha",IF(G4327="","⚠ Falta monto",IF(Q4327="","⚠ Falta cuenta",IF(ISNA(MATCH(Q4327,ctaNombre,0)),"⚠ Cuenta no registrada",IF(AND(OR(P4327="Gasto",P4327="Reembolso"),D4327=""),"⚠ Falta categoría",IF(AND(D4327&lt;&gt;"",E4327&lt;&gt;"",ISNA(MATCH(D4327&amp;"|"&amp;E4327,catClave,0))),"⚠ Subcategoría no corresponde",IF(AND(OR(P4327="Transferencia",P4327="Pago tarjeta"),K4327=""),"⚠ Falta cuenta destino",IF(AND(K4327&lt;&gt;"",P4327&lt;&gt;"Transferencia",P4327&lt;&gt;"Pago tarjeta"),"⚠ Destino solo aplica a transferencias",IF(AND(K4327&lt;&gt;"",K4327=Q4327),"⚠ Origen igual a destino",IF(AND(K4327&lt;&gt;"",ISNA(MATCH(K4327,ctaNombre,0))),"⚠ Destino no registrado",IF(AND(P4327="Pago tarjeta",AE4327&lt;&gt;"Tarjeta de crédito"),"⚠ El destino debe ser tarjeta de crédito",IF(AND(P4327="Gasto",E4327="Depósitos y retiros"),"⚠ Usa tipo Transferencia",IF(AND(P4327="Resultado trading",AD4327&lt;&gt;"Cuenta de trading"),"⚠ Usa una cuenta de trading",IF(AND(G4327&lt;=0,P4327&lt;&gt;"Ajuste",P4327&lt;&gt;"Resultado trading"),"⚠ El monto debe ser positivo","✓")))))))))))))))</f>
        <v/>
      </c>
      <c r="P4327" s="52">
        <f>IF(OR(B4327="",G4327=""),"",IF(C4327="","Gasto",C4327))</f>
        <v/>
      </c>
      <c r="Q4327" s="52">
        <f>IF(P4327="","",IF(J4327&lt;&gt;"",J4327,CuentaPred&amp;""))</f>
        <v/>
      </c>
      <c r="R4327" s="52">
        <f>IF(P4327="","",IF(ISNUMBER(I4327),I4327,TasaUSD))</f>
        <v/>
      </c>
      <c r="S4327" s="53">
        <f>IF(P4327="","",IF(H4327="USD",G4327*R4327,G4327))</f>
        <v/>
      </c>
      <c r="T4327" s="53">
        <f>IF(P4327="","",IF(H4327="USD",G4327,IF(R4327&gt;0,G4327/R4327,0)))</f>
        <v/>
      </c>
      <c r="U4327" s="53">
        <f>IF(P4327="","",IF(P4327="Gasto",S4327,IF(P4327="Reembolso",-S4327,0)))</f>
        <v/>
      </c>
      <c r="V4327" s="53">
        <f>IF(P4327="","",IF(P4327="Ingreso",S4327,0))</f>
        <v/>
      </c>
      <c r="W4327" s="53">
        <f>IF(P4327="","",IF(P4327="Resultado trading",S4327,0))</f>
        <v/>
      </c>
      <c r="X4327" s="52">
        <f>IF(OR(P4327="Gasto",P4327="Reembolso"),IF(M4327&lt;&gt;"",M4327,IFERROR(INDEX(catClasif,MATCH(D4327&amp;"|"&amp;E4327,catClave,0))&amp;"","Variable")),"")</f>
        <v/>
      </c>
      <c r="Y4327" s="52">
        <f>IF(P4327="","",IFERROR(INDEX(catGrupo,MATCH(D4327&amp;"|"&amp;E4327,catClave,0))&amp;"",""))</f>
        <v/>
      </c>
      <c r="Z4327" s="52">
        <f>IF(P4327="","",WEEKDAY(B4327,2))</f>
        <v/>
      </c>
      <c r="AA4327" s="52">
        <f>IF(P4327="","",IF(AND(P4327="Gasto",X4327="Variable",D4327&lt;&gt;catTrading,S4327&gt;0,S4327&lt;=Umbral),1,0))</f>
        <v/>
      </c>
      <c r="AB4327" s="52">
        <f>IF(OR(P4327="",Q4327=""),"",IFERROR(IF(INDEX(ctaVinc,MATCH(Q4327,ctaNombre,0))&amp;""&lt;&gt;"",INDEX(ctaVinc,MATCH(Q4327,ctaNombre,0))&amp;"",Q4327),Q4327))</f>
        <v/>
      </c>
      <c r="AC4327" s="52">
        <f>IF(OR(K4327="",AND(P4327&lt;&gt;"Transferencia",P4327&lt;&gt;"Pago tarjeta")),"",IFERROR(IF(INDEX(ctaVinc,MATCH(K4327,ctaNombre,0))&amp;""&lt;&gt;"",INDEX(ctaVinc,MATCH(K4327,ctaNombre,0))&amp;"",K4327),K4327))</f>
        <v/>
      </c>
      <c r="AD4327" s="52">
        <f>IF(AB4327="","",IFERROR(INDEX(ctaTipo,MATCH(AB4327,ctaNombre,0))&amp;"",""))</f>
        <v/>
      </c>
      <c r="AE4327" s="52">
        <f>IF(AC4327="","",IFERROR(INDEX(ctaTipo,MATCH(AC4327,ctaNombre,0))&amp;"",""))</f>
        <v/>
      </c>
      <c r="AF4327" s="53">
        <f>IF(OR(P4327="",AB4327=""),"",IF(OR(P4327="Gasto",P4327="Transferencia",P4327="Pago tarjeta"),-1,1)*IF(IFERROR(INDEX(ctaMoneda,MATCH(AB4327,ctaNombre,0))&amp;"","DOP")="USD",T4327,S4327))</f>
        <v/>
      </c>
      <c r="AG4327" s="53">
        <f>IF(AC4327="","",IF(IFERROR(INDEX(ctaMoneda,MATCH(AC4327,ctaNombre,0))&amp;"","DOP")="USD",T4327,S4327))</f>
        <v/>
      </c>
      <c r="AH4327" s="53">
        <f>IF(P4327="","",IF(AND(AD4327&lt;&gt;"",COUNTIFS(tcTipo,AD4327,tcLiq,"Sí")&gt;0),IF(OR(P4327="Gasto",P4327="Transferencia",P4327="Pago tarjeta"),-1,1)*S4327,0)+IF(AND(AE4327&lt;&gt;"",COUNTIFS(tcTipo,AE4327,tcLiq,"Sí")&gt;0),S4327,0))</f>
        <v/>
      </c>
      <c r="AI4327" s="52">
        <f>IF(OR(L4327="",P4327=""),"",IF(COUNTIFS(L$6:L4327,L4327,P$6:P4327,"?*")=1,MAX(AI$5:AI4326)+1,""))</f>
        <v/>
      </c>
    </row>
    <row r="4328">
      <c r="B4328" s="47" t="n"/>
      <c r="C4328" s="48" t="n"/>
      <c r="D4328" s="48" t="n"/>
      <c r="E4328" s="48" t="n"/>
      <c r="F4328" s="48" t="n"/>
      <c r="G4328" s="49" t="n"/>
      <c r="H4328" s="48" t="n"/>
      <c r="I4328" s="50" t="n"/>
      <c r="J4328" s="48" t="n"/>
      <c r="K4328" s="48" t="n"/>
      <c r="L4328" s="48" t="n"/>
      <c r="M4328" s="48" t="n"/>
      <c r="N4328" s="48" t="n"/>
      <c r="O4328" s="51">
        <f>IF(AND(B4328="",G4328="",C4328="",D4328="",J4328=""),"",IF(B4328="","⚠ Falta fecha",IF(G4328="","⚠ Falta monto",IF(Q4328="","⚠ Falta cuenta",IF(ISNA(MATCH(Q4328,ctaNombre,0)),"⚠ Cuenta no registrada",IF(AND(OR(P4328="Gasto",P4328="Reembolso"),D4328=""),"⚠ Falta categoría",IF(AND(D4328&lt;&gt;"",E4328&lt;&gt;"",ISNA(MATCH(D4328&amp;"|"&amp;E4328,catClave,0))),"⚠ Subcategoría no corresponde",IF(AND(OR(P4328="Transferencia",P4328="Pago tarjeta"),K4328=""),"⚠ Falta cuenta destino",IF(AND(K4328&lt;&gt;"",P4328&lt;&gt;"Transferencia",P4328&lt;&gt;"Pago tarjeta"),"⚠ Destino solo aplica a transferencias",IF(AND(K4328&lt;&gt;"",K4328=Q4328),"⚠ Origen igual a destino",IF(AND(K4328&lt;&gt;"",ISNA(MATCH(K4328,ctaNombre,0))),"⚠ Destino no registrado",IF(AND(P4328="Pago tarjeta",AE4328&lt;&gt;"Tarjeta de crédito"),"⚠ El destino debe ser tarjeta de crédito",IF(AND(P4328="Gasto",E4328="Depósitos y retiros"),"⚠ Usa tipo Transferencia",IF(AND(P4328="Resultado trading",AD4328&lt;&gt;"Cuenta de trading"),"⚠ Usa una cuenta de trading",IF(AND(G4328&lt;=0,P4328&lt;&gt;"Ajuste",P4328&lt;&gt;"Resultado trading"),"⚠ El monto debe ser positivo","✓")))))))))))))))</f>
        <v/>
      </c>
      <c r="P4328" s="52">
        <f>IF(OR(B4328="",G4328=""),"",IF(C4328="","Gasto",C4328))</f>
        <v/>
      </c>
      <c r="Q4328" s="52">
        <f>IF(P4328="","",IF(J4328&lt;&gt;"",J4328,CuentaPred&amp;""))</f>
        <v/>
      </c>
      <c r="R4328" s="52">
        <f>IF(P4328="","",IF(ISNUMBER(I4328),I4328,TasaUSD))</f>
        <v/>
      </c>
      <c r="S4328" s="53">
        <f>IF(P4328="","",IF(H4328="USD",G4328*R4328,G4328))</f>
        <v/>
      </c>
      <c r="T4328" s="53">
        <f>IF(P4328="","",IF(H4328="USD",G4328,IF(R4328&gt;0,G4328/R4328,0)))</f>
        <v/>
      </c>
      <c r="U4328" s="53">
        <f>IF(P4328="","",IF(P4328="Gasto",S4328,IF(P4328="Reembolso",-S4328,0)))</f>
        <v/>
      </c>
      <c r="V4328" s="53">
        <f>IF(P4328="","",IF(P4328="Ingreso",S4328,0))</f>
        <v/>
      </c>
      <c r="W4328" s="53">
        <f>IF(P4328="","",IF(P4328="Resultado trading",S4328,0))</f>
        <v/>
      </c>
      <c r="X4328" s="52">
        <f>IF(OR(P4328="Gasto",P4328="Reembolso"),IF(M4328&lt;&gt;"",M4328,IFERROR(INDEX(catClasif,MATCH(D4328&amp;"|"&amp;E4328,catClave,0))&amp;"","Variable")),"")</f>
        <v/>
      </c>
      <c r="Y4328" s="52">
        <f>IF(P4328="","",IFERROR(INDEX(catGrupo,MATCH(D4328&amp;"|"&amp;E4328,catClave,0))&amp;"",""))</f>
        <v/>
      </c>
      <c r="Z4328" s="52">
        <f>IF(P4328="","",WEEKDAY(B4328,2))</f>
        <v/>
      </c>
      <c r="AA4328" s="52">
        <f>IF(P4328="","",IF(AND(P4328="Gasto",X4328="Variable",D4328&lt;&gt;catTrading,S4328&gt;0,S4328&lt;=Umbral),1,0))</f>
        <v/>
      </c>
      <c r="AB4328" s="52">
        <f>IF(OR(P4328="",Q4328=""),"",IFERROR(IF(INDEX(ctaVinc,MATCH(Q4328,ctaNombre,0))&amp;""&lt;&gt;"",INDEX(ctaVinc,MATCH(Q4328,ctaNombre,0))&amp;"",Q4328),Q4328))</f>
        <v/>
      </c>
      <c r="AC4328" s="52">
        <f>IF(OR(K4328="",AND(P4328&lt;&gt;"Transferencia",P4328&lt;&gt;"Pago tarjeta")),"",IFERROR(IF(INDEX(ctaVinc,MATCH(K4328,ctaNombre,0))&amp;""&lt;&gt;"",INDEX(ctaVinc,MATCH(K4328,ctaNombre,0))&amp;"",K4328),K4328))</f>
        <v/>
      </c>
      <c r="AD4328" s="52">
        <f>IF(AB4328="","",IFERROR(INDEX(ctaTipo,MATCH(AB4328,ctaNombre,0))&amp;"",""))</f>
        <v/>
      </c>
      <c r="AE4328" s="52">
        <f>IF(AC4328="","",IFERROR(INDEX(ctaTipo,MATCH(AC4328,ctaNombre,0))&amp;"",""))</f>
        <v/>
      </c>
      <c r="AF4328" s="53">
        <f>IF(OR(P4328="",AB4328=""),"",IF(OR(P4328="Gasto",P4328="Transferencia",P4328="Pago tarjeta"),-1,1)*IF(IFERROR(INDEX(ctaMoneda,MATCH(AB4328,ctaNombre,0))&amp;"","DOP")="USD",T4328,S4328))</f>
        <v/>
      </c>
      <c r="AG4328" s="53">
        <f>IF(AC4328="","",IF(IFERROR(INDEX(ctaMoneda,MATCH(AC4328,ctaNombre,0))&amp;"","DOP")="USD",T4328,S4328))</f>
        <v/>
      </c>
      <c r="AH4328" s="53">
        <f>IF(P4328="","",IF(AND(AD4328&lt;&gt;"",COUNTIFS(tcTipo,AD4328,tcLiq,"Sí")&gt;0),IF(OR(P4328="Gasto",P4328="Transferencia",P4328="Pago tarjeta"),-1,1)*S4328,0)+IF(AND(AE4328&lt;&gt;"",COUNTIFS(tcTipo,AE4328,tcLiq,"Sí")&gt;0),S4328,0))</f>
        <v/>
      </c>
      <c r="AI4328" s="52">
        <f>IF(OR(L4328="",P4328=""),"",IF(COUNTIFS(L$6:L4328,L4328,P$6:P4328,"?*")=1,MAX(AI$5:AI4327)+1,""))</f>
        <v/>
      </c>
    </row>
    <row r="4329">
      <c r="B4329" s="47" t="n"/>
      <c r="C4329" s="48" t="n"/>
      <c r="D4329" s="48" t="n"/>
      <c r="E4329" s="48" t="n"/>
      <c r="F4329" s="48" t="n"/>
      <c r="G4329" s="49" t="n"/>
      <c r="H4329" s="48" t="n"/>
      <c r="I4329" s="50" t="n"/>
      <c r="J4329" s="48" t="n"/>
      <c r="K4329" s="48" t="n"/>
      <c r="L4329" s="48" t="n"/>
      <c r="M4329" s="48" t="n"/>
      <c r="N4329" s="48" t="n"/>
      <c r="O4329" s="51">
        <f>IF(AND(B4329="",G4329="",C4329="",D4329="",J4329=""),"",IF(B4329="","⚠ Falta fecha",IF(G4329="","⚠ Falta monto",IF(Q4329="","⚠ Falta cuenta",IF(ISNA(MATCH(Q4329,ctaNombre,0)),"⚠ Cuenta no registrada",IF(AND(OR(P4329="Gasto",P4329="Reembolso"),D4329=""),"⚠ Falta categoría",IF(AND(D4329&lt;&gt;"",E4329&lt;&gt;"",ISNA(MATCH(D4329&amp;"|"&amp;E4329,catClave,0))),"⚠ Subcategoría no corresponde",IF(AND(OR(P4329="Transferencia",P4329="Pago tarjeta"),K4329=""),"⚠ Falta cuenta destino",IF(AND(K4329&lt;&gt;"",P4329&lt;&gt;"Transferencia",P4329&lt;&gt;"Pago tarjeta"),"⚠ Destino solo aplica a transferencias",IF(AND(K4329&lt;&gt;"",K4329=Q4329),"⚠ Origen igual a destino",IF(AND(K4329&lt;&gt;"",ISNA(MATCH(K4329,ctaNombre,0))),"⚠ Destino no registrado",IF(AND(P4329="Pago tarjeta",AE4329&lt;&gt;"Tarjeta de crédito"),"⚠ El destino debe ser tarjeta de crédito",IF(AND(P4329="Gasto",E4329="Depósitos y retiros"),"⚠ Usa tipo Transferencia",IF(AND(P4329="Resultado trading",AD4329&lt;&gt;"Cuenta de trading"),"⚠ Usa una cuenta de trading",IF(AND(G4329&lt;=0,P4329&lt;&gt;"Ajuste",P4329&lt;&gt;"Resultado trading"),"⚠ El monto debe ser positivo","✓")))))))))))))))</f>
        <v/>
      </c>
      <c r="P4329" s="52">
        <f>IF(OR(B4329="",G4329=""),"",IF(C4329="","Gasto",C4329))</f>
        <v/>
      </c>
      <c r="Q4329" s="52">
        <f>IF(P4329="","",IF(J4329&lt;&gt;"",J4329,CuentaPred&amp;""))</f>
        <v/>
      </c>
      <c r="R4329" s="52">
        <f>IF(P4329="","",IF(ISNUMBER(I4329),I4329,TasaUSD))</f>
        <v/>
      </c>
      <c r="S4329" s="53">
        <f>IF(P4329="","",IF(H4329="USD",G4329*R4329,G4329))</f>
        <v/>
      </c>
      <c r="T4329" s="53">
        <f>IF(P4329="","",IF(H4329="USD",G4329,IF(R4329&gt;0,G4329/R4329,0)))</f>
        <v/>
      </c>
      <c r="U4329" s="53">
        <f>IF(P4329="","",IF(P4329="Gasto",S4329,IF(P4329="Reembolso",-S4329,0)))</f>
        <v/>
      </c>
      <c r="V4329" s="53">
        <f>IF(P4329="","",IF(P4329="Ingreso",S4329,0))</f>
        <v/>
      </c>
      <c r="W4329" s="53">
        <f>IF(P4329="","",IF(P4329="Resultado trading",S4329,0))</f>
        <v/>
      </c>
      <c r="X4329" s="52">
        <f>IF(OR(P4329="Gasto",P4329="Reembolso"),IF(M4329&lt;&gt;"",M4329,IFERROR(INDEX(catClasif,MATCH(D4329&amp;"|"&amp;E4329,catClave,0))&amp;"","Variable")),"")</f>
        <v/>
      </c>
      <c r="Y4329" s="52">
        <f>IF(P4329="","",IFERROR(INDEX(catGrupo,MATCH(D4329&amp;"|"&amp;E4329,catClave,0))&amp;"",""))</f>
        <v/>
      </c>
      <c r="Z4329" s="52">
        <f>IF(P4329="","",WEEKDAY(B4329,2))</f>
        <v/>
      </c>
      <c r="AA4329" s="52">
        <f>IF(P4329="","",IF(AND(P4329="Gasto",X4329="Variable",D4329&lt;&gt;catTrading,S4329&gt;0,S4329&lt;=Umbral),1,0))</f>
        <v/>
      </c>
      <c r="AB4329" s="52">
        <f>IF(OR(P4329="",Q4329=""),"",IFERROR(IF(INDEX(ctaVinc,MATCH(Q4329,ctaNombre,0))&amp;""&lt;&gt;"",INDEX(ctaVinc,MATCH(Q4329,ctaNombre,0))&amp;"",Q4329),Q4329))</f>
        <v/>
      </c>
      <c r="AC4329" s="52">
        <f>IF(OR(K4329="",AND(P4329&lt;&gt;"Transferencia",P4329&lt;&gt;"Pago tarjeta")),"",IFERROR(IF(INDEX(ctaVinc,MATCH(K4329,ctaNombre,0))&amp;""&lt;&gt;"",INDEX(ctaVinc,MATCH(K4329,ctaNombre,0))&amp;"",K4329),K4329))</f>
        <v/>
      </c>
      <c r="AD4329" s="52">
        <f>IF(AB4329="","",IFERROR(INDEX(ctaTipo,MATCH(AB4329,ctaNombre,0))&amp;"",""))</f>
        <v/>
      </c>
      <c r="AE4329" s="52">
        <f>IF(AC4329="","",IFERROR(INDEX(ctaTipo,MATCH(AC4329,ctaNombre,0))&amp;"",""))</f>
        <v/>
      </c>
      <c r="AF4329" s="53">
        <f>IF(OR(P4329="",AB4329=""),"",IF(OR(P4329="Gasto",P4329="Transferencia",P4329="Pago tarjeta"),-1,1)*IF(IFERROR(INDEX(ctaMoneda,MATCH(AB4329,ctaNombre,0))&amp;"","DOP")="USD",T4329,S4329))</f>
        <v/>
      </c>
      <c r="AG4329" s="53">
        <f>IF(AC4329="","",IF(IFERROR(INDEX(ctaMoneda,MATCH(AC4329,ctaNombre,0))&amp;"","DOP")="USD",T4329,S4329))</f>
        <v/>
      </c>
      <c r="AH4329" s="53">
        <f>IF(P4329="","",IF(AND(AD4329&lt;&gt;"",COUNTIFS(tcTipo,AD4329,tcLiq,"Sí")&gt;0),IF(OR(P4329="Gasto",P4329="Transferencia",P4329="Pago tarjeta"),-1,1)*S4329,0)+IF(AND(AE4329&lt;&gt;"",COUNTIFS(tcTipo,AE4329,tcLiq,"Sí")&gt;0),S4329,0))</f>
        <v/>
      </c>
      <c r="AI4329" s="52">
        <f>IF(OR(L4329="",P4329=""),"",IF(COUNTIFS(L$6:L4329,L4329,P$6:P4329,"?*")=1,MAX(AI$5:AI4328)+1,""))</f>
        <v/>
      </c>
    </row>
    <row r="4330">
      <c r="B4330" s="47" t="n"/>
      <c r="C4330" s="48" t="n"/>
      <c r="D4330" s="48" t="n"/>
      <c r="E4330" s="48" t="n"/>
      <c r="F4330" s="48" t="n"/>
      <c r="G4330" s="49" t="n"/>
      <c r="H4330" s="48" t="n"/>
      <c r="I4330" s="50" t="n"/>
      <c r="J4330" s="48" t="n"/>
      <c r="K4330" s="48" t="n"/>
      <c r="L4330" s="48" t="n"/>
      <c r="M4330" s="48" t="n"/>
      <c r="N4330" s="48" t="n"/>
      <c r="O4330" s="51">
        <f>IF(AND(B4330="",G4330="",C4330="",D4330="",J4330=""),"",IF(B4330="","⚠ Falta fecha",IF(G4330="","⚠ Falta monto",IF(Q4330="","⚠ Falta cuenta",IF(ISNA(MATCH(Q4330,ctaNombre,0)),"⚠ Cuenta no registrada",IF(AND(OR(P4330="Gasto",P4330="Reembolso"),D4330=""),"⚠ Falta categoría",IF(AND(D4330&lt;&gt;"",E4330&lt;&gt;"",ISNA(MATCH(D4330&amp;"|"&amp;E4330,catClave,0))),"⚠ Subcategoría no corresponde",IF(AND(OR(P4330="Transferencia",P4330="Pago tarjeta"),K4330=""),"⚠ Falta cuenta destino",IF(AND(K4330&lt;&gt;"",P4330&lt;&gt;"Transferencia",P4330&lt;&gt;"Pago tarjeta"),"⚠ Destino solo aplica a transferencias",IF(AND(K4330&lt;&gt;"",K4330=Q4330),"⚠ Origen igual a destino",IF(AND(K4330&lt;&gt;"",ISNA(MATCH(K4330,ctaNombre,0))),"⚠ Destino no registrado",IF(AND(P4330="Pago tarjeta",AE4330&lt;&gt;"Tarjeta de crédito"),"⚠ El destino debe ser tarjeta de crédito",IF(AND(P4330="Gasto",E4330="Depósitos y retiros"),"⚠ Usa tipo Transferencia",IF(AND(P4330="Resultado trading",AD4330&lt;&gt;"Cuenta de trading"),"⚠ Usa una cuenta de trading",IF(AND(G4330&lt;=0,P4330&lt;&gt;"Ajuste",P4330&lt;&gt;"Resultado trading"),"⚠ El monto debe ser positivo","✓")))))))))))))))</f>
        <v/>
      </c>
      <c r="P4330" s="52">
        <f>IF(OR(B4330="",G4330=""),"",IF(C4330="","Gasto",C4330))</f>
        <v/>
      </c>
      <c r="Q4330" s="52">
        <f>IF(P4330="","",IF(J4330&lt;&gt;"",J4330,CuentaPred&amp;""))</f>
        <v/>
      </c>
      <c r="R4330" s="52">
        <f>IF(P4330="","",IF(ISNUMBER(I4330),I4330,TasaUSD))</f>
        <v/>
      </c>
      <c r="S4330" s="53">
        <f>IF(P4330="","",IF(H4330="USD",G4330*R4330,G4330))</f>
        <v/>
      </c>
      <c r="T4330" s="53">
        <f>IF(P4330="","",IF(H4330="USD",G4330,IF(R4330&gt;0,G4330/R4330,0)))</f>
        <v/>
      </c>
      <c r="U4330" s="53">
        <f>IF(P4330="","",IF(P4330="Gasto",S4330,IF(P4330="Reembolso",-S4330,0)))</f>
        <v/>
      </c>
      <c r="V4330" s="53">
        <f>IF(P4330="","",IF(P4330="Ingreso",S4330,0))</f>
        <v/>
      </c>
      <c r="W4330" s="53">
        <f>IF(P4330="","",IF(P4330="Resultado trading",S4330,0))</f>
        <v/>
      </c>
      <c r="X4330" s="52">
        <f>IF(OR(P4330="Gasto",P4330="Reembolso"),IF(M4330&lt;&gt;"",M4330,IFERROR(INDEX(catClasif,MATCH(D4330&amp;"|"&amp;E4330,catClave,0))&amp;"","Variable")),"")</f>
        <v/>
      </c>
      <c r="Y4330" s="52">
        <f>IF(P4330="","",IFERROR(INDEX(catGrupo,MATCH(D4330&amp;"|"&amp;E4330,catClave,0))&amp;"",""))</f>
        <v/>
      </c>
      <c r="Z4330" s="52">
        <f>IF(P4330="","",WEEKDAY(B4330,2))</f>
        <v/>
      </c>
      <c r="AA4330" s="52">
        <f>IF(P4330="","",IF(AND(P4330="Gasto",X4330="Variable",D4330&lt;&gt;catTrading,S4330&gt;0,S4330&lt;=Umbral),1,0))</f>
        <v/>
      </c>
      <c r="AB4330" s="52">
        <f>IF(OR(P4330="",Q4330=""),"",IFERROR(IF(INDEX(ctaVinc,MATCH(Q4330,ctaNombre,0))&amp;""&lt;&gt;"",INDEX(ctaVinc,MATCH(Q4330,ctaNombre,0))&amp;"",Q4330),Q4330))</f>
        <v/>
      </c>
      <c r="AC4330" s="52">
        <f>IF(OR(K4330="",AND(P4330&lt;&gt;"Transferencia",P4330&lt;&gt;"Pago tarjeta")),"",IFERROR(IF(INDEX(ctaVinc,MATCH(K4330,ctaNombre,0))&amp;""&lt;&gt;"",INDEX(ctaVinc,MATCH(K4330,ctaNombre,0))&amp;"",K4330),K4330))</f>
        <v/>
      </c>
      <c r="AD4330" s="52">
        <f>IF(AB4330="","",IFERROR(INDEX(ctaTipo,MATCH(AB4330,ctaNombre,0))&amp;"",""))</f>
        <v/>
      </c>
      <c r="AE4330" s="52">
        <f>IF(AC4330="","",IFERROR(INDEX(ctaTipo,MATCH(AC4330,ctaNombre,0))&amp;"",""))</f>
        <v/>
      </c>
      <c r="AF4330" s="53">
        <f>IF(OR(P4330="",AB4330=""),"",IF(OR(P4330="Gasto",P4330="Transferencia",P4330="Pago tarjeta"),-1,1)*IF(IFERROR(INDEX(ctaMoneda,MATCH(AB4330,ctaNombre,0))&amp;"","DOP")="USD",T4330,S4330))</f>
        <v/>
      </c>
      <c r="AG4330" s="53">
        <f>IF(AC4330="","",IF(IFERROR(INDEX(ctaMoneda,MATCH(AC4330,ctaNombre,0))&amp;"","DOP")="USD",T4330,S4330))</f>
        <v/>
      </c>
      <c r="AH4330" s="53">
        <f>IF(P4330="","",IF(AND(AD4330&lt;&gt;"",COUNTIFS(tcTipo,AD4330,tcLiq,"Sí")&gt;0),IF(OR(P4330="Gasto",P4330="Transferencia",P4330="Pago tarjeta"),-1,1)*S4330,0)+IF(AND(AE4330&lt;&gt;"",COUNTIFS(tcTipo,AE4330,tcLiq,"Sí")&gt;0),S4330,0))</f>
        <v/>
      </c>
      <c r="AI4330" s="52">
        <f>IF(OR(L4330="",P4330=""),"",IF(COUNTIFS(L$6:L4330,L4330,P$6:P4330,"?*")=1,MAX(AI$5:AI4329)+1,""))</f>
        <v/>
      </c>
    </row>
    <row r="4331">
      <c r="B4331" s="47" t="n"/>
      <c r="C4331" s="48" t="n"/>
      <c r="D4331" s="48" t="n"/>
      <c r="E4331" s="48" t="n"/>
      <c r="F4331" s="48" t="n"/>
      <c r="G4331" s="49" t="n"/>
      <c r="H4331" s="48" t="n"/>
      <c r="I4331" s="50" t="n"/>
      <c r="J4331" s="48" t="n"/>
      <c r="K4331" s="48" t="n"/>
      <c r="L4331" s="48" t="n"/>
      <c r="M4331" s="48" t="n"/>
      <c r="N4331" s="48" t="n"/>
      <c r="O4331" s="51">
        <f>IF(AND(B4331="",G4331="",C4331="",D4331="",J4331=""),"",IF(B4331="","⚠ Falta fecha",IF(G4331="","⚠ Falta monto",IF(Q4331="","⚠ Falta cuenta",IF(ISNA(MATCH(Q4331,ctaNombre,0)),"⚠ Cuenta no registrada",IF(AND(OR(P4331="Gasto",P4331="Reembolso"),D4331=""),"⚠ Falta categoría",IF(AND(D4331&lt;&gt;"",E4331&lt;&gt;"",ISNA(MATCH(D4331&amp;"|"&amp;E4331,catClave,0))),"⚠ Subcategoría no corresponde",IF(AND(OR(P4331="Transferencia",P4331="Pago tarjeta"),K4331=""),"⚠ Falta cuenta destino",IF(AND(K4331&lt;&gt;"",P4331&lt;&gt;"Transferencia",P4331&lt;&gt;"Pago tarjeta"),"⚠ Destino solo aplica a transferencias",IF(AND(K4331&lt;&gt;"",K4331=Q4331),"⚠ Origen igual a destino",IF(AND(K4331&lt;&gt;"",ISNA(MATCH(K4331,ctaNombre,0))),"⚠ Destino no registrado",IF(AND(P4331="Pago tarjeta",AE4331&lt;&gt;"Tarjeta de crédito"),"⚠ El destino debe ser tarjeta de crédito",IF(AND(P4331="Gasto",E4331="Depósitos y retiros"),"⚠ Usa tipo Transferencia",IF(AND(P4331="Resultado trading",AD4331&lt;&gt;"Cuenta de trading"),"⚠ Usa una cuenta de trading",IF(AND(G4331&lt;=0,P4331&lt;&gt;"Ajuste",P4331&lt;&gt;"Resultado trading"),"⚠ El monto debe ser positivo","✓")))))))))))))))</f>
        <v/>
      </c>
      <c r="P4331" s="52">
        <f>IF(OR(B4331="",G4331=""),"",IF(C4331="","Gasto",C4331))</f>
        <v/>
      </c>
      <c r="Q4331" s="52">
        <f>IF(P4331="","",IF(J4331&lt;&gt;"",J4331,CuentaPred&amp;""))</f>
        <v/>
      </c>
      <c r="R4331" s="52">
        <f>IF(P4331="","",IF(ISNUMBER(I4331),I4331,TasaUSD))</f>
        <v/>
      </c>
      <c r="S4331" s="53">
        <f>IF(P4331="","",IF(H4331="USD",G4331*R4331,G4331))</f>
        <v/>
      </c>
      <c r="T4331" s="53">
        <f>IF(P4331="","",IF(H4331="USD",G4331,IF(R4331&gt;0,G4331/R4331,0)))</f>
        <v/>
      </c>
      <c r="U4331" s="53">
        <f>IF(P4331="","",IF(P4331="Gasto",S4331,IF(P4331="Reembolso",-S4331,0)))</f>
        <v/>
      </c>
      <c r="V4331" s="53">
        <f>IF(P4331="","",IF(P4331="Ingreso",S4331,0))</f>
        <v/>
      </c>
      <c r="W4331" s="53">
        <f>IF(P4331="","",IF(P4331="Resultado trading",S4331,0))</f>
        <v/>
      </c>
      <c r="X4331" s="52">
        <f>IF(OR(P4331="Gasto",P4331="Reembolso"),IF(M4331&lt;&gt;"",M4331,IFERROR(INDEX(catClasif,MATCH(D4331&amp;"|"&amp;E4331,catClave,0))&amp;"","Variable")),"")</f>
        <v/>
      </c>
      <c r="Y4331" s="52">
        <f>IF(P4331="","",IFERROR(INDEX(catGrupo,MATCH(D4331&amp;"|"&amp;E4331,catClave,0))&amp;"",""))</f>
        <v/>
      </c>
      <c r="Z4331" s="52">
        <f>IF(P4331="","",WEEKDAY(B4331,2))</f>
        <v/>
      </c>
      <c r="AA4331" s="52">
        <f>IF(P4331="","",IF(AND(P4331="Gasto",X4331="Variable",D4331&lt;&gt;catTrading,S4331&gt;0,S4331&lt;=Umbral),1,0))</f>
        <v/>
      </c>
      <c r="AB4331" s="52">
        <f>IF(OR(P4331="",Q4331=""),"",IFERROR(IF(INDEX(ctaVinc,MATCH(Q4331,ctaNombre,0))&amp;""&lt;&gt;"",INDEX(ctaVinc,MATCH(Q4331,ctaNombre,0))&amp;"",Q4331),Q4331))</f>
        <v/>
      </c>
      <c r="AC4331" s="52">
        <f>IF(OR(K4331="",AND(P4331&lt;&gt;"Transferencia",P4331&lt;&gt;"Pago tarjeta")),"",IFERROR(IF(INDEX(ctaVinc,MATCH(K4331,ctaNombre,0))&amp;""&lt;&gt;"",INDEX(ctaVinc,MATCH(K4331,ctaNombre,0))&amp;"",K4331),K4331))</f>
        <v/>
      </c>
      <c r="AD4331" s="52">
        <f>IF(AB4331="","",IFERROR(INDEX(ctaTipo,MATCH(AB4331,ctaNombre,0))&amp;"",""))</f>
        <v/>
      </c>
      <c r="AE4331" s="52">
        <f>IF(AC4331="","",IFERROR(INDEX(ctaTipo,MATCH(AC4331,ctaNombre,0))&amp;"",""))</f>
        <v/>
      </c>
      <c r="AF4331" s="53">
        <f>IF(OR(P4331="",AB4331=""),"",IF(OR(P4331="Gasto",P4331="Transferencia",P4331="Pago tarjeta"),-1,1)*IF(IFERROR(INDEX(ctaMoneda,MATCH(AB4331,ctaNombre,0))&amp;"","DOP")="USD",T4331,S4331))</f>
        <v/>
      </c>
      <c r="AG4331" s="53">
        <f>IF(AC4331="","",IF(IFERROR(INDEX(ctaMoneda,MATCH(AC4331,ctaNombre,0))&amp;"","DOP")="USD",T4331,S4331))</f>
        <v/>
      </c>
      <c r="AH4331" s="53">
        <f>IF(P4331="","",IF(AND(AD4331&lt;&gt;"",COUNTIFS(tcTipo,AD4331,tcLiq,"Sí")&gt;0),IF(OR(P4331="Gasto",P4331="Transferencia",P4331="Pago tarjeta"),-1,1)*S4331,0)+IF(AND(AE4331&lt;&gt;"",COUNTIFS(tcTipo,AE4331,tcLiq,"Sí")&gt;0),S4331,0))</f>
        <v/>
      </c>
      <c r="AI4331" s="52">
        <f>IF(OR(L4331="",P4331=""),"",IF(COUNTIFS(L$6:L4331,L4331,P$6:P4331,"?*")=1,MAX(AI$5:AI4330)+1,""))</f>
        <v/>
      </c>
    </row>
    <row r="4332">
      <c r="B4332" s="47" t="n"/>
      <c r="C4332" s="48" t="n"/>
      <c r="D4332" s="48" t="n"/>
      <c r="E4332" s="48" t="n"/>
      <c r="F4332" s="48" t="n"/>
      <c r="G4332" s="49" t="n"/>
      <c r="H4332" s="48" t="n"/>
      <c r="I4332" s="50" t="n"/>
      <c r="J4332" s="48" t="n"/>
      <c r="K4332" s="48" t="n"/>
      <c r="L4332" s="48" t="n"/>
      <c r="M4332" s="48" t="n"/>
      <c r="N4332" s="48" t="n"/>
      <c r="O4332" s="51">
        <f>IF(AND(B4332="",G4332="",C4332="",D4332="",J4332=""),"",IF(B4332="","⚠ Falta fecha",IF(G4332="","⚠ Falta monto",IF(Q4332="","⚠ Falta cuenta",IF(ISNA(MATCH(Q4332,ctaNombre,0)),"⚠ Cuenta no registrada",IF(AND(OR(P4332="Gasto",P4332="Reembolso"),D4332=""),"⚠ Falta categoría",IF(AND(D4332&lt;&gt;"",E4332&lt;&gt;"",ISNA(MATCH(D4332&amp;"|"&amp;E4332,catClave,0))),"⚠ Subcategoría no corresponde",IF(AND(OR(P4332="Transferencia",P4332="Pago tarjeta"),K4332=""),"⚠ Falta cuenta destino",IF(AND(K4332&lt;&gt;"",P4332&lt;&gt;"Transferencia",P4332&lt;&gt;"Pago tarjeta"),"⚠ Destino solo aplica a transferencias",IF(AND(K4332&lt;&gt;"",K4332=Q4332),"⚠ Origen igual a destino",IF(AND(K4332&lt;&gt;"",ISNA(MATCH(K4332,ctaNombre,0))),"⚠ Destino no registrado",IF(AND(P4332="Pago tarjeta",AE4332&lt;&gt;"Tarjeta de crédito"),"⚠ El destino debe ser tarjeta de crédito",IF(AND(P4332="Gasto",E4332="Depósitos y retiros"),"⚠ Usa tipo Transferencia",IF(AND(P4332="Resultado trading",AD4332&lt;&gt;"Cuenta de trading"),"⚠ Usa una cuenta de trading",IF(AND(G4332&lt;=0,P4332&lt;&gt;"Ajuste",P4332&lt;&gt;"Resultado trading"),"⚠ El monto debe ser positivo","✓")))))))))))))))</f>
        <v/>
      </c>
      <c r="P4332" s="52">
        <f>IF(OR(B4332="",G4332=""),"",IF(C4332="","Gasto",C4332))</f>
        <v/>
      </c>
      <c r="Q4332" s="52">
        <f>IF(P4332="","",IF(J4332&lt;&gt;"",J4332,CuentaPred&amp;""))</f>
        <v/>
      </c>
      <c r="R4332" s="52">
        <f>IF(P4332="","",IF(ISNUMBER(I4332),I4332,TasaUSD))</f>
        <v/>
      </c>
      <c r="S4332" s="53">
        <f>IF(P4332="","",IF(H4332="USD",G4332*R4332,G4332))</f>
        <v/>
      </c>
      <c r="T4332" s="53">
        <f>IF(P4332="","",IF(H4332="USD",G4332,IF(R4332&gt;0,G4332/R4332,0)))</f>
        <v/>
      </c>
      <c r="U4332" s="53">
        <f>IF(P4332="","",IF(P4332="Gasto",S4332,IF(P4332="Reembolso",-S4332,0)))</f>
        <v/>
      </c>
      <c r="V4332" s="53">
        <f>IF(P4332="","",IF(P4332="Ingreso",S4332,0))</f>
        <v/>
      </c>
      <c r="W4332" s="53">
        <f>IF(P4332="","",IF(P4332="Resultado trading",S4332,0))</f>
        <v/>
      </c>
      <c r="X4332" s="52">
        <f>IF(OR(P4332="Gasto",P4332="Reembolso"),IF(M4332&lt;&gt;"",M4332,IFERROR(INDEX(catClasif,MATCH(D4332&amp;"|"&amp;E4332,catClave,0))&amp;"","Variable")),"")</f>
        <v/>
      </c>
      <c r="Y4332" s="52">
        <f>IF(P4332="","",IFERROR(INDEX(catGrupo,MATCH(D4332&amp;"|"&amp;E4332,catClave,0))&amp;"",""))</f>
        <v/>
      </c>
      <c r="Z4332" s="52">
        <f>IF(P4332="","",WEEKDAY(B4332,2))</f>
        <v/>
      </c>
      <c r="AA4332" s="52">
        <f>IF(P4332="","",IF(AND(P4332="Gasto",X4332="Variable",D4332&lt;&gt;catTrading,S4332&gt;0,S4332&lt;=Umbral),1,0))</f>
        <v/>
      </c>
      <c r="AB4332" s="52">
        <f>IF(OR(P4332="",Q4332=""),"",IFERROR(IF(INDEX(ctaVinc,MATCH(Q4332,ctaNombre,0))&amp;""&lt;&gt;"",INDEX(ctaVinc,MATCH(Q4332,ctaNombre,0))&amp;"",Q4332),Q4332))</f>
        <v/>
      </c>
      <c r="AC4332" s="52">
        <f>IF(OR(K4332="",AND(P4332&lt;&gt;"Transferencia",P4332&lt;&gt;"Pago tarjeta")),"",IFERROR(IF(INDEX(ctaVinc,MATCH(K4332,ctaNombre,0))&amp;""&lt;&gt;"",INDEX(ctaVinc,MATCH(K4332,ctaNombre,0))&amp;"",K4332),K4332))</f>
        <v/>
      </c>
      <c r="AD4332" s="52">
        <f>IF(AB4332="","",IFERROR(INDEX(ctaTipo,MATCH(AB4332,ctaNombre,0))&amp;"",""))</f>
        <v/>
      </c>
      <c r="AE4332" s="52">
        <f>IF(AC4332="","",IFERROR(INDEX(ctaTipo,MATCH(AC4332,ctaNombre,0))&amp;"",""))</f>
        <v/>
      </c>
      <c r="AF4332" s="53">
        <f>IF(OR(P4332="",AB4332=""),"",IF(OR(P4332="Gasto",P4332="Transferencia",P4332="Pago tarjeta"),-1,1)*IF(IFERROR(INDEX(ctaMoneda,MATCH(AB4332,ctaNombre,0))&amp;"","DOP")="USD",T4332,S4332))</f>
        <v/>
      </c>
      <c r="AG4332" s="53">
        <f>IF(AC4332="","",IF(IFERROR(INDEX(ctaMoneda,MATCH(AC4332,ctaNombre,0))&amp;"","DOP")="USD",T4332,S4332))</f>
        <v/>
      </c>
      <c r="AH4332" s="53">
        <f>IF(P4332="","",IF(AND(AD4332&lt;&gt;"",COUNTIFS(tcTipo,AD4332,tcLiq,"Sí")&gt;0),IF(OR(P4332="Gasto",P4332="Transferencia",P4332="Pago tarjeta"),-1,1)*S4332,0)+IF(AND(AE4332&lt;&gt;"",COUNTIFS(tcTipo,AE4332,tcLiq,"Sí")&gt;0),S4332,0))</f>
        <v/>
      </c>
      <c r="AI4332" s="52">
        <f>IF(OR(L4332="",P4332=""),"",IF(COUNTIFS(L$6:L4332,L4332,P$6:P4332,"?*")=1,MAX(AI$5:AI4331)+1,""))</f>
        <v/>
      </c>
    </row>
    <row r="4333">
      <c r="B4333" s="47" t="n"/>
      <c r="C4333" s="48" t="n"/>
      <c r="D4333" s="48" t="n"/>
      <c r="E4333" s="48" t="n"/>
      <c r="F4333" s="48" t="n"/>
      <c r="G4333" s="49" t="n"/>
      <c r="H4333" s="48" t="n"/>
      <c r="I4333" s="50" t="n"/>
      <c r="J4333" s="48" t="n"/>
      <c r="K4333" s="48" t="n"/>
      <c r="L4333" s="48" t="n"/>
      <c r="M4333" s="48" t="n"/>
      <c r="N4333" s="48" t="n"/>
      <c r="O4333" s="51">
        <f>IF(AND(B4333="",G4333="",C4333="",D4333="",J4333=""),"",IF(B4333="","⚠ Falta fecha",IF(G4333="","⚠ Falta monto",IF(Q4333="","⚠ Falta cuenta",IF(ISNA(MATCH(Q4333,ctaNombre,0)),"⚠ Cuenta no registrada",IF(AND(OR(P4333="Gasto",P4333="Reembolso"),D4333=""),"⚠ Falta categoría",IF(AND(D4333&lt;&gt;"",E4333&lt;&gt;"",ISNA(MATCH(D4333&amp;"|"&amp;E4333,catClave,0))),"⚠ Subcategoría no corresponde",IF(AND(OR(P4333="Transferencia",P4333="Pago tarjeta"),K4333=""),"⚠ Falta cuenta destino",IF(AND(K4333&lt;&gt;"",P4333&lt;&gt;"Transferencia",P4333&lt;&gt;"Pago tarjeta"),"⚠ Destino solo aplica a transferencias",IF(AND(K4333&lt;&gt;"",K4333=Q4333),"⚠ Origen igual a destino",IF(AND(K4333&lt;&gt;"",ISNA(MATCH(K4333,ctaNombre,0))),"⚠ Destino no registrado",IF(AND(P4333="Pago tarjeta",AE4333&lt;&gt;"Tarjeta de crédito"),"⚠ El destino debe ser tarjeta de crédito",IF(AND(P4333="Gasto",E4333="Depósitos y retiros"),"⚠ Usa tipo Transferencia",IF(AND(P4333="Resultado trading",AD4333&lt;&gt;"Cuenta de trading"),"⚠ Usa una cuenta de trading",IF(AND(G4333&lt;=0,P4333&lt;&gt;"Ajuste",P4333&lt;&gt;"Resultado trading"),"⚠ El monto debe ser positivo","✓")))))))))))))))</f>
        <v/>
      </c>
      <c r="P4333" s="52">
        <f>IF(OR(B4333="",G4333=""),"",IF(C4333="","Gasto",C4333))</f>
        <v/>
      </c>
      <c r="Q4333" s="52">
        <f>IF(P4333="","",IF(J4333&lt;&gt;"",J4333,CuentaPred&amp;""))</f>
        <v/>
      </c>
      <c r="R4333" s="52">
        <f>IF(P4333="","",IF(ISNUMBER(I4333),I4333,TasaUSD))</f>
        <v/>
      </c>
      <c r="S4333" s="53">
        <f>IF(P4333="","",IF(H4333="USD",G4333*R4333,G4333))</f>
        <v/>
      </c>
      <c r="T4333" s="53">
        <f>IF(P4333="","",IF(H4333="USD",G4333,IF(R4333&gt;0,G4333/R4333,0)))</f>
        <v/>
      </c>
      <c r="U4333" s="53">
        <f>IF(P4333="","",IF(P4333="Gasto",S4333,IF(P4333="Reembolso",-S4333,0)))</f>
        <v/>
      </c>
      <c r="V4333" s="53">
        <f>IF(P4333="","",IF(P4333="Ingreso",S4333,0))</f>
        <v/>
      </c>
      <c r="W4333" s="53">
        <f>IF(P4333="","",IF(P4333="Resultado trading",S4333,0))</f>
        <v/>
      </c>
      <c r="X4333" s="52">
        <f>IF(OR(P4333="Gasto",P4333="Reembolso"),IF(M4333&lt;&gt;"",M4333,IFERROR(INDEX(catClasif,MATCH(D4333&amp;"|"&amp;E4333,catClave,0))&amp;"","Variable")),"")</f>
        <v/>
      </c>
      <c r="Y4333" s="52">
        <f>IF(P4333="","",IFERROR(INDEX(catGrupo,MATCH(D4333&amp;"|"&amp;E4333,catClave,0))&amp;"",""))</f>
        <v/>
      </c>
      <c r="Z4333" s="52">
        <f>IF(P4333="","",WEEKDAY(B4333,2))</f>
        <v/>
      </c>
      <c r="AA4333" s="52">
        <f>IF(P4333="","",IF(AND(P4333="Gasto",X4333="Variable",D4333&lt;&gt;catTrading,S4333&gt;0,S4333&lt;=Umbral),1,0))</f>
        <v/>
      </c>
      <c r="AB4333" s="52">
        <f>IF(OR(P4333="",Q4333=""),"",IFERROR(IF(INDEX(ctaVinc,MATCH(Q4333,ctaNombre,0))&amp;""&lt;&gt;"",INDEX(ctaVinc,MATCH(Q4333,ctaNombre,0))&amp;"",Q4333),Q4333))</f>
        <v/>
      </c>
      <c r="AC4333" s="52">
        <f>IF(OR(K4333="",AND(P4333&lt;&gt;"Transferencia",P4333&lt;&gt;"Pago tarjeta")),"",IFERROR(IF(INDEX(ctaVinc,MATCH(K4333,ctaNombre,0))&amp;""&lt;&gt;"",INDEX(ctaVinc,MATCH(K4333,ctaNombre,0))&amp;"",K4333),K4333))</f>
        <v/>
      </c>
      <c r="AD4333" s="52">
        <f>IF(AB4333="","",IFERROR(INDEX(ctaTipo,MATCH(AB4333,ctaNombre,0))&amp;"",""))</f>
        <v/>
      </c>
      <c r="AE4333" s="52">
        <f>IF(AC4333="","",IFERROR(INDEX(ctaTipo,MATCH(AC4333,ctaNombre,0))&amp;"",""))</f>
        <v/>
      </c>
      <c r="AF4333" s="53">
        <f>IF(OR(P4333="",AB4333=""),"",IF(OR(P4333="Gasto",P4333="Transferencia",P4333="Pago tarjeta"),-1,1)*IF(IFERROR(INDEX(ctaMoneda,MATCH(AB4333,ctaNombre,0))&amp;"","DOP")="USD",T4333,S4333))</f>
        <v/>
      </c>
      <c r="AG4333" s="53">
        <f>IF(AC4333="","",IF(IFERROR(INDEX(ctaMoneda,MATCH(AC4333,ctaNombre,0))&amp;"","DOP")="USD",T4333,S4333))</f>
        <v/>
      </c>
      <c r="AH4333" s="53">
        <f>IF(P4333="","",IF(AND(AD4333&lt;&gt;"",COUNTIFS(tcTipo,AD4333,tcLiq,"Sí")&gt;0),IF(OR(P4333="Gasto",P4333="Transferencia",P4333="Pago tarjeta"),-1,1)*S4333,0)+IF(AND(AE4333&lt;&gt;"",COUNTIFS(tcTipo,AE4333,tcLiq,"Sí")&gt;0),S4333,0))</f>
        <v/>
      </c>
      <c r="AI4333" s="52">
        <f>IF(OR(L4333="",P4333=""),"",IF(COUNTIFS(L$6:L4333,L4333,P$6:P4333,"?*")=1,MAX(AI$5:AI4332)+1,""))</f>
        <v/>
      </c>
    </row>
    <row r="4334">
      <c r="B4334" s="47" t="n"/>
      <c r="C4334" s="48" t="n"/>
      <c r="D4334" s="48" t="n"/>
      <c r="E4334" s="48" t="n"/>
      <c r="F4334" s="48" t="n"/>
      <c r="G4334" s="49" t="n"/>
      <c r="H4334" s="48" t="n"/>
      <c r="I4334" s="50" t="n"/>
      <c r="J4334" s="48" t="n"/>
      <c r="K4334" s="48" t="n"/>
      <c r="L4334" s="48" t="n"/>
      <c r="M4334" s="48" t="n"/>
      <c r="N4334" s="48" t="n"/>
      <c r="O4334" s="51">
        <f>IF(AND(B4334="",G4334="",C4334="",D4334="",J4334=""),"",IF(B4334="","⚠ Falta fecha",IF(G4334="","⚠ Falta monto",IF(Q4334="","⚠ Falta cuenta",IF(ISNA(MATCH(Q4334,ctaNombre,0)),"⚠ Cuenta no registrada",IF(AND(OR(P4334="Gasto",P4334="Reembolso"),D4334=""),"⚠ Falta categoría",IF(AND(D4334&lt;&gt;"",E4334&lt;&gt;"",ISNA(MATCH(D4334&amp;"|"&amp;E4334,catClave,0))),"⚠ Subcategoría no corresponde",IF(AND(OR(P4334="Transferencia",P4334="Pago tarjeta"),K4334=""),"⚠ Falta cuenta destino",IF(AND(K4334&lt;&gt;"",P4334&lt;&gt;"Transferencia",P4334&lt;&gt;"Pago tarjeta"),"⚠ Destino solo aplica a transferencias",IF(AND(K4334&lt;&gt;"",K4334=Q4334),"⚠ Origen igual a destino",IF(AND(K4334&lt;&gt;"",ISNA(MATCH(K4334,ctaNombre,0))),"⚠ Destino no registrado",IF(AND(P4334="Pago tarjeta",AE4334&lt;&gt;"Tarjeta de crédito"),"⚠ El destino debe ser tarjeta de crédito",IF(AND(P4334="Gasto",E4334="Depósitos y retiros"),"⚠ Usa tipo Transferencia",IF(AND(P4334="Resultado trading",AD4334&lt;&gt;"Cuenta de trading"),"⚠ Usa una cuenta de trading",IF(AND(G4334&lt;=0,P4334&lt;&gt;"Ajuste",P4334&lt;&gt;"Resultado trading"),"⚠ El monto debe ser positivo","✓")))))))))))))))</f>
        <v/>
      </c>
      <c r="P4334" s="52">
        <f>IF(OR(B4334="",G4334=""),"",IF(C4334="","Gasto",C4334))</f>
        <v/>
      </c>
      <c r="Q4334" s="52">
        <f>IF(P4334="","",IF(J4334&lt;&gt;"",J4334,CuentaPred&amp;""))</f>
        <v/>
      </c>
      <c r="R4334" s="52">
        <f>IF(P4334="","",IF(ISNUMBER(I4334),I4334,TasaUSD))</f>
        <v/>
      </c>
      <c r="S4334" s="53">
        <f>IF(P4334="","",IF(H4334="USD",G4334*R4334,G4334))</f>
        <v/>
      </c>
      <c r="T4334" s="53">
        <f>IF(P4334="","",IF(H4334="USD",G4334,IF(R4334&gt;0,G4334/R4334,0)))</f>
        <v/>
      </c>
      <c r="U4334" s="53">
        <f>IF(P4334="","",IF(P4334="Gasto",S4334,IF(P4334="Reembolso",-S4334,0)))</f>
        <v/>
      </c>
      <c r="V4334" s="53">
        <f>IF(P4334="","",IF(P4334="Ingreso",S4334,0))</f>
        <v/>
      </c>
      <c r="W4334" s="53">
        <f>IF(P4334="","",IF(P4334="Resultado trading",S4334,0))</f>
        <v/>
      </c>
      <c r="X4334" s="52">
        <f>IF(OR(P4334="Gasto",P4334="Reembolso"),IF(M4334&lt;&gt;"",M4334,IFERROR(INDEX(catClasif,MATCH(D4334&amp;"|"&amp;E4334,catClave,0))&amp;"","Variable")),"")</f>
        <v/>
      </c>
      <c r="Y4334" s="52">
        <f>IF(P4334="","",IFERROR(INDEX(catGrupo,MATCH(D4334&amp;"|"&amp;E4334,catClave,0))&amp;"",""))</f>
        <v/>
      </c>
      <c r="Z4334" s="52">
        <f>IF(P4334="","",WEEKDAY(B4334,2))</f>
        <v/>
      </c>
      <c r="AA4334" s="52">
        <f>IF(P4334="","",IF(AND(P4334="Gasto",X4334="Variable",D4334&lt;&gt;catTrading,S4334&gt;0,S4334&lt;=Umbral),1,0))</f>
        <v/>
      </c>
      <c r="AB4334" s="52">
        <f>IF(OR(P4334="",Q4334=""),"",IFERROR(IF(INDEX(ctaVinc,MATCH(Q4334,ctaNombre,0))&amp;""&lt;&gt;"",INDEX(ctaVinc,MATCH(Q4334,ctaNombre,0))&amp;"",Q4334),Q4334))</f>
        <v/>
      </c>
      <c r="AC4334" s="52">
        <f>IF(OR(K4334="",AND(P4334&lt;&gt;"Transferencia",P4334&lt;&gt;"Pago tarjeta")),"",IFERROR(IF(INDEX(ctaVinc,MATCH(K4334,ctaNombre,0))&amp;""&lt;&gt;"",INDEX(ctaVinc,MATCH(K4334,ctaNombre,0))&amp;"",K4334),K4334))</f>
        <v/>
      </c>
      <c r="AD4334" s="52">
        <f>IF(AB4334="","",IFERROR(INDEX(ctaTipo,MATCH(AB4334,ctaNombre,0))&amp;"",""))</f>
        <v/>
      </c>
      <c r="AE4334" s="52">
        <f>IF(AC4334="","",IFERROR(INDEX(ctaTipo,MATCH(AC4334,ctaNombre,0))&amp;"",""))</f>
        <v/>
      </c>
      <c r="AF4334" s="53">
        <f>IF(OR(P4334="",AB4334=""),"",IF(OR(P4334="Gasto",P4334="Transferencia",P4334="Pago tarjeta"),-1,1)*IF(IFERROR(INDEX(ctaMoneda,MATCH(AB4334,ctaNombre,0))&amp;"","DOP")="USD",T4334,S4334))</f>
        <v/>
      </c>
      <c r="AG4334" s="53">
        <f>IF(AC4334="","",IF(IFERROR(INDEX(ctaMoneda,MATCH(AC4334,ctaNombre,0))&amp;"","DOP")="USD",T4334,S4334))</f>
        <v/>
      </c>
      <c r="AH4334" s="53">
        <f>IF(P4334="","",IF(AND(AD4334&lt;&gt;"",COUNTIFS(tcTipo,AD4334,tcLiq,"Sí")&gt;0),IF(OR(P4334="Gasto",P4334="Transferencia",P4334="Pago tarjeta"),-1,1)*S4334,0)+IF(AND(AE4334&lt;&gt;"",COUNTIFS(tcTipo,AE4334,tcLiq,"Sí")&gt;0),S4334,0))</f>
        <v/>
      </c>
      <c r="AI4334" s="52">
        <f>IF(OR(L4334="",P4334=""),"",IF(COUNTIFS(L$6:L4334,L4334,P$6:P4334,"?*")=1,MAX(AI$5:AI4333)+1,""))</f>
        <v/>
      </c>
    </row>
    <row r="4335">
      <c r="B4335" s="47" t="n"/>
      <c r="C4335" s="48" t="n"/>
      <c r="D4335" s="48" t="n"/>
      <c r="E4335" s="48" t="n"/>
      <c r="F4335" s="48" t="n"/>
      <c r="G4335" s="49" t="n"/>
      <c r="H4335" s="48" t="n"/>
      <c r="I4335" s="50" t="n"/>
      <c r="J4335" s="48" t="n"/>
      <c r="K4335" s="48" t="n"/>
      <c r="L4335" s="48" t="n"/>
      <c r="M4335" s="48" t="n"/>
      <c r="N4335" s="48" t="n"/>
      <c r="O4335" s="51">
        <f>IF(AND(B4335="",G4335="",C4335="",D4335="",J4335=""),"",IF(B4335="","⚠ Falta fecha",IF(G4335="","⚠ Falta monto",IF(Q4335="","⚠ Falta cuenta",IF(ISNA(MATCH(Q4335,ctaNombre,0)),"⚠ Cuenta no registrada",IF(AND(OR(P4335="Gasto",P4335="Reembolso"),D4335=""),"⚠ Falta categoría",IF(AND(D4335&lt;&gt;"",E4335&lt;&gt;"",ISNA(MATCH(D4335&amp;"|"&amp;E4335,catClave,0))),"⚠ Subcategoría no corresponde",IF(AND(OR(P4335="Transferencia",P4335="Pago tarjeta"),K4335=""),"⚠ Falta cuenta destino",IF(AND(K4335&lt;&gt;"",P4335&lt;&gt;"Transferencia",P4335&lt;&gt;"Pago tarjeta"),"⚠ Destino solo aplica a transferencias",IF(AND(K4335&lt;&gt;"",K4335=Q4335),"⚠ Origen igual a destino",IF(AND(K4335&lt;&gt;"",ISNA(MATCH(K4335,ctaNombre,0))),"⚠ Destino no registrado",IF(AND(P4335="Pago tarjeta",AE4335&lt;&gt;"Tarjeta de crédito"),"⚠ El destino debe ser tarjeta de crédito",IF(AND(P4335="Gasto",E4335="Depósitos y retiros"),"⚠ Usa tipo Transferencia",IF(AND(P4335="Resultado trading",AD4335&lt;&gt;"Cuenta de trading"),"⚠ Usa una cuenta de trading",IF(AND(G4335&lt;=0,P4335&lt;&gt;"Ajuste",P4335&lt;&gt;"Resultado trading"),"⚠ El monto debe ser positivo","✓")))))))))))))))</f>
        <v/>
      </c>
      <c r="P4335" s="52">
        <f>IF(OR(B4335="",G4335=""),"",IF(C4335="","Gasto",C4335))</f>
        <v/>
      </c>
      <c r="Q4335" s="52">
        <f>IF(P4335="","",IF(J4335&lt;&gt;"",J4335,CuentaPred&amp;""))</f>
        <v/>
      </c>
      <c r="R4335" s="52">
        <f>IF(P4335="","",IF(ISNUMBER(I4335),I4335,TasaUSD))</f>
        <v/>
      </c>
      <c r="S4335" s="53">
        <f>IF(P4335="","",IF(H4335="USD",G4335*R4335,G4335))</f>
        <v/>
      </c>
      <c r="T4335" s="53">
        <f>IF(P4335="","",IF(H4335="USD",G4335,IF(R4335&gt;0,G4335/R4335,0)))</f>
        <v/>
      </c>
      <c r="U4335" s="53">
        <f>IF(P4335="","",IF(P4335="Gasto",S4335,IF(P4335="Reembolso",-S4335,0)))</f>
        <v/>
      </c>
      <c r="V4335" s="53">
        <f>IF(P4335="","",IF(P4335="Ingreso",S4335,0))</f>
        <v/>
      </c>
      <c r="W4335" s="53">
        <f>IF(P4335="","",IF(P4335="Resultado trading",S4335,0))</f>
        <v/>
      </c>
      <c r="X4335" s="52">
        <f>IF(OR(P4335="Gasto",P4335="Reembolso"),IF(M4335&lt;&gt;"",M4335,IFERROR(INDEX(catClasif,MATCH(D4335&amp;"|"&amp;E4335,catClave,0))&amp;"","Variable")),"")</f>
        <v/>
      </c>
      <c r="Y4335" s="52">
        <f>IF(P4335="","",IFERROR(INDEX(catGrupo,MATCH(D4335&amp;"|"&amp;E4335,catClave,0))&amp;"",""))</f>
        <v/>
      </c>
      <c r="Z4335" s="52">
        <f>IF(P4335="","",WEEKDAY(B4335,2))</f>
        <v/>
      </c>
      <c r="AA4335" s="52">
        <f>IF(P4335="","",IF(AND(P4335="Gasto",X4335="Variable",D4335&lt;&gt;catTrading,S4335&gt;0,S4335&lt;=Umbral),1,0))</f>
        <v/>
      </c>
      <c r="AB4335" s="52">
        <f>IF(OR(P4335="",Q4335=""),"",IFERROR(IF(INDEX(ctaVinc,MATCH(Q4335,ctaNombre,0))&amp;""&lt;&gt;"",INDEX(ctaVinc,MATCH(Q4335,ctaNombre,0))&amp;"",Q4335),Q4335))</f>
        <v/>
      </c>
      <c r="AC4335" s="52">
        <f>IF(OR(K4335="",AND(P4335&lt;&gt;"Transferencia",P4335&lt;&gt;"Pago tarjeta")),"",IFERROR(IF(INDEX(ctaVinc,MATCH(K4335,ctaNombre,0))&amp;""&lt;&gt;"",INDEX(ctaVinc,MATCH(K4335,ctaNombre,0))&amp;"",K4335),K4335))</f>
        <v/>
      </c>
      <c r="AD4335" s="52">
        <f>IF(AB4335="","",IFERROR(INDEX(ctaTipo,MATCH(AB4335,ctaNombre,0))&amp;"",""))</f>
        <v/>
      </c>
      <c r="AE4335" s="52">
        <f>IF(AC4335="","",IFERROR(INDEX(ctaTipo,MATCH(AC4335,ctaNombre,0))&amp;"",""))</f>
        <v/>
      </c>
      <c r="AF4335" s="53">
        <f>IF(OR(P4335="",AB4335=""),"",IF(OR(P4335="Gasto",P4335="Transferencia",P4335="Pago tarjeta"),-1,1)*IF(IFERROR(INDEX(ctaMoneda,MATCH(AB4335,ctaNombre,0))&amp;"","DOP")="USD",T4335,S4335))</f>
        <v/>
      </c>
      <c r="AG4335" s="53">
        <f>IF(AC4335="","",IF(IFERROR(INDEX(ctaMoneda,MATCH(AC4335,ctaNombre,0))&amp;"","DOP")="USD",T4335,S4335))</f>
        <v/>
      </c>
      <c r="AH4335" s="53">
        <f>IF(P4335="","",IF(AND(AD4335&lt;&gt;"",COUNTIFS(tcTipo,AD4335,tcLiq,"Sí")&gt;0),IF(OR(P4335="Gasto",P4335="Transferencia",P4335="Pago tarjeta"),-1,1)*S4335,0)+IF(AND(AE4335&lt;&gt;"",COUNTIFS(tcTipo,AE4335,tcLiq,"Sí")&gt;0),S4335,0))</f>
        <v/>
      </c>
      <c r="AI4335" s="52">
        <f>IF(OR(L4335="",P4335=""),"",IF(COUNTIFS(L$6:L4335,L4335,P$6:P4335,"?*")=1,MAX(AI$5:AI4334)+1,""))</f>
        <v/>
      </c>
    </row>
    <row r="4336">
      <c r="B4336" s="47" t="n"/>
      <c r="C4336" s="48" t="n"/>
      <c r="D4336" s="48" t="n"/>
      <c r="E4336" s="48" t="n"/>
      <c r="F4336" s="48" t="n"/>
      <c r="G4336" s="49" t="n"/>
      <c r="H4336" s="48" t="n"/>
      <c r="I4336" s="50" t="n"/>
      <c r="J4336" s="48" t="n"/>
      <c r="K4336" s="48" t="n"/>
      <c r="L4336" s="48" t="n"/>
      <c r="M4336" s="48" t="n"/>
      <c r="N4336" s="48" t="n"/>
      <c r="O4336" s="51">
        <f>IF(AND(B4336="",G4336="",C4336="",D4336="",J4336=""),"",IF(B4336="","⚠ Falta fecha",IF(G4336="","⚠ Falta monto",IF(Q4336="","⚠ Falta cuenta",IF(ISNA(MATCH(Q4336,ctaNombre,0)),"⚠ Cuenta no registrada",IF(AND(OR(P4336="Gasto",P4336="Reembolso"),D4336=""),"⚠ Falta categoría",IF(AND(D4336&lt;&gt;"",E4336&lt;&gt;"",ISNA(MATCH(D4336&amp;"|"&amp;E4336,catClave,0))),"⚠ Subcategoría no corresponde",IF(AND(OR(P4336="Transferencia",P4336="Pago tarjeta"),K4336=""),"⚠ Falta cuenta destino",IF(AND(K4336&lt;&gt;"",P4336&lt;&gt;"Transferencia",P4336&lt;&gt;"Pago tarjeta"),"⚠ Destino solo aplica a transferencias",IF(AND(K4336&lt;&gt;"",K4336=Q4336),"⚠ Origen igual a destino",IF(AND(K4336&lt;&gt;"",ISNA(MATCH(K4336,ctaNombre,0))),"⚠ Destino no registrado",IF(AND(P4336="Pago tarjeta",AE4336&lt;&gt;"Tarjeta de crédito"),"⚠ El destino debe ser tarjeta de crédito",IF(AND(P4336="Gasto",E4336="Depósitos y retiros"),"⚠ Usa tipo Transferencia",IF(AND(P4336="Resultado trading",AD4336&lt;&gt;"Cuenta de trading"),"⚠ Usa una cuenta de trading",IF(AND(G4336&lt;=0,P4336&lt;&gt;"Ajuste",P4336&lt;&gt;"Resultado trading"),"⚠ El monto debe ser positivo","✓")))))))))))))))</f>
        <v/>
      </c>
      <c r="P4336" s="52">
        <f>IF(OR(B4336="",G4336=""),"",IF(C4336="","Gasto",C4336))</f>
        <v/>
      </c>
      <c r="Q4336" s="52">
        <f>IF(P4336="","",IF(J4336&lt;&gt;"",J4336,CuentaPred&amp;""))</f>
        <v/>
      </c>
      <c r="R4336" s="52">
        <f>IF(P4336="","",IF(ISNUMBER(I4336),I4336,TasaUSD))</f>
        <v/>
      </c>
      <c r="S4336" s="53">
        <f>IF(P4336="","",IF(H4336="USD",G4336*R4336,G4336))</f>
        <v/>
      </c>
      <c r="T4336" s="53">
        <f>IF(P4336="","",IF(H4336="USD",G4336,IF(R4336&gt;0,G4336/R4336,0)))</f>
        <v/>
      </c>
      <c r="U4336" s="53">
        <f>IF(P4336="","",IF(P4336="Gasto",S4336,IF(P4336="Reembolso",-S4336,0)))</f>
        <v/>
      </c>
      <c r="V4336" s="53">
        <f>IF(P4336="","",IF(P4336="Ingreso",S4336,0))</f>
        <v/>
      </c>
      <c r="W4336" s="53">
        <f>IF(P4336="","",IF(P4336="Resultado trading",S4336,0))</f>
        <v/>
      </c>
      <c r="X4336" s="52">
        <f>IF(OR(P4336="Gasto",P4336="Reembolso"),IF(M4336&lt;&gt;"",M4336,IFERROR(INDEX(catClasif,MATCH(D4336&amp;"|"&amp;E4336,catClave,0))&amp;"","Variable")),"")</f>
        <v/>
      </c>
      <c r="Y4336" s="52">
        <f>IF(P4336="","",IFERROR(INDEX(catGrupo,MATCH(D4336&amp;"|"&amp;E4336,catClave,0))&amp;"",""))</f>
        <v/>
      </c>
      <c r="Z4336" s="52">
        <f>IF(P4336="","",WEEKDAY(B4336,2))</f>
        <v/>
      </c>
      <c r="AA4336" s="52">
        <f>IF(P4336="","",IF(AND(P4336="Gasto",X4336="Variable",D4336&lt;&gt;catTrading,S4336&gt;0,S4336&lt;=Umbral),1,0))</f>
        <v/>
      </c>
      <c r="AB4336" s="52">
        <f>IF(OR(P4336="",Q4336=""),"",IFERROR(IF(INDEX(ctaVinc,MATCH(Q4336,ctaNombre,0))&amp;""&lt;&gt;"",INDEX(ctaVinc,MATCH(Q4336,ctaNombre,0))&amp;"",Q4336),Q4336))</f>
        <v/>
      </c>
      <c r="AC4336" s="52">
        <f>IF(OR(K4336="",AND(P4336&lt;&gt;"Transferencia",P4336&lt;&gt;"Pago tarjeta")),"",IFERROR(IF(INDEX(ctaVinc,MATCH(K4336,ctaNombre,0))&amp;""&lt;&gt;"",INDEX(ctaVinc,MATCH(K4336,ctaNombre,0))&amp;"",K4336),K4336))</f>
        <v/>
      </c>
      <c r="AD4336" s="52">
        <f>IF(AB4336="","",IFERROR(INDEX(ctaTipo,MATCH(AB4336,ctaNombre,0))&amp;"",""))</f>
        <v/>
      </c>
      <c r="AE4336" s="52">
        <f>IF(AC4336="","",IFERROR(INDEX(ctaTipo,MATCH(AC4336,ctaNombre,0))&amp;"",""))</f>
        <v/>
      </c>
      <c r="AF4336" s="53">
        <f>IF(OR(P4336="",AB4336=""),"",IF(OR(P4336="Gasto",P4336="Transferencia",P4336="Pago tarjeta"),-1,1)*IF(IFERROR(INDEX(ctaMoneda,MATCH(AB4336,ctaNombre,0))&amp;"","DOP")="USD",T4336,S4336))</f>
        <v/>
      </c>
      <c r="AG4336" s="53">
        <f>IF(AC4336="","",IF(IFERROR(INDEX(ctaMoneda,MATCH(AC4336,ctaNombre,0))&amp;"","DOP")="USD",T4336,S4336))</f>
        <v/>
      </c>
      <c r="AH4336" s="53">
        <f>IF(P4336="","",IF(AND(AD4336&lt;&gt;"",COUNTIFS(tcTipo,AD4336,tcLiq,"Sí")&gt;0),IF(OR(P4336="Gasto",P4336="Transferencia",P4336="Pago tarjeta"),-1,1)*S4336,0)+IF(AND(AE4336&lt;&gt;"",COUNTIFS(tcTipo,AE4336,tcLiq,"Sí")&gt;0),S4336,0))</f>
        <v/>
      </c>
      <c r="AI4336" s="52">
        <f>IF(OR(L4336="",P4336=""),"",IF(COUNTIFS(L$6:L4336,L4336,P$6:P4336,"?*")=1,MAX(AI$5:AI4335)+1,""))</f>
        <v/>
      </c>
    </row>
    <row r="4337">
      <c r="B4337" s="47" t="n"/>
      <c r="C4337" s="48" t="n"/>
      <c r="D4337" s="48" t="n"/>
      <c r="E4337" s="48" t="n"/>
      <c r="F4337" s="48" t="n"/>
      <c r="G4337" s="49" t="n"/>
      <c r="H4337" s="48" t="n"/>
      <c r="I4337" s="50" t="n"/>
      <c r="J4337" s="48" t="n"/>
      <c r="K4337" s="48" t="n"/>
      <c r="L4337" s="48" t="n"/>
      <c r="M4337" s="48" t="n"/>
      <c r="N4337" s="48" t="n"/>
      <c r="O4337" s="51">
        <f>IF(AND(B4337="",G4337="",C4337="",D4337="",J4337=""),"",IF(B4337="","⚠ Falta fecha",IF(G4337="","⚠ Falta monto",IF(Q4337="","⚠ Falta cuenta",IF(ISNA(MATCH(Q4337,ctaNombre,0)),"⚠ Cuenta no registrada",IF(AND(OR(P4337="Gasto",P4337="Reembolso"),D4337=""),"⚠ Falta categoría",IF(AND(D4337&lt;&gt;"",E4337&lt;&gt;"",ISNA(MATCH(D4337&amp;"|"&amp;E4337,catClave,0))),"⚠ Subcategoría no corresponde",IF(AND(OR(P4337="Transferencia",P4337="Pago tarjeta"),K4337=""),"⚠ Falta cuenta destino",IF(AND(K4337&lt;&gt;"",P4337&lt;&gt;"Transferencia",P4337&lt;&gt;"Pago tarjeta"),"⚠ Destino solo aplica a transferencias",IF(AND(K4337&lt;&gt;"",K4337=Q4337),"⚠ Origen igual a destino",IF(AND(K4337&lt;&gt;"",ISNA(MATCH(K4337,ctaNombre,0))),"⚠ Destino no registrado",IF(AND(P4337="Pago tarjeta",AE4337&lt;&gt;"Tarjeta de crédito"),"⚠ El destino debe ser tarjeta de crédito",IF(AND(P4337="Gasto",E4337="Depósitos y retiros"),"⚠ Usa tipo Transferencia",IF(AND(P4337="Resultado trading",AD4337&lt;&gt;"Cuenta de trading"),"⚠ Usa una cuenta de trading",IF(AND(G4337&lt;=0,P4337&lt;&gt;"Ajuste",P4337&lt;&gt;"Resultado trading"),"⚠ El monto debe ser positivo","✓")))))))))))))))</f>
        <v/>
      </c>
      <c r="P4337" s="52">
        <f>IF(OR(B4337="",G4337=""),"",IF(C4337="","Gasto",C4337))</f>
        <v/>
      </c>
      <c r="Q4337" s="52">
        <f>IF(P4337="","",IF(J4337&lt;&gt;"",J4337,CuentaPred&amp;""))</f>
        <v/>
      </c>
      <c r="R4337" s="52">
        <f>IF(P4337="","",IF(ISNUMBER(I4337),I4337,TasaUSD))</f>
        <v/>
      </c>
      <c r="S4337" s="53">
        <f>IF(P4337="","",IF(H4337="USD",G4337*R4337,G4337))</f>
        <v/>
      </c>
      <c r="T4337" s="53">
        <f>IF(P4337="","",IF(H4337="USD",G4337,IF(R4337&gt;0,G4337/R4337,0)))</f>
        <v/>
      </c>
      <c r="U4337" s="53">
        <f>IF(P4337="","",IF(P4337="Gasto",S4337,IF(P4337="Reembolso",-S4337,0)))</f>
        <v/>
      </c>
      <c r="V4337" s="53">
        <f>IF(P4337="","",IF(P4337="Ingreso",S4337,0))</f>
        <v/>
      </c>
      <c r="W4337" s="53">
        <f>IF(P4337="","",IF(P4337="Resultado trading",S4337,0))</f>
        <v/>
      </c>
      <c r="X4337" s="52">
        <f>IF(OR(P4337="Gasto",P4337="Reembolso"),IF(M4337&lt;&gt;"",M4337,IFERROR(INDEX(catClasif,MATCH(D4337&amp;"|"&amp;E4337,catClave,0))&amp;"","Variable")),"")</f>
        <v/>
      </c>
      <c r="Y4337" s="52">
        <f>IF(P4337="","",IFERROR(INDEX(catGrupo,MATCH(D4337&amp;"|"&amp;E4337,catClave,0))&amp;"",""))</f>
        <v/>
      </c>
      <c r="Z4337" s="52">
        <f>IF(P4337="","",WEEKDAY(B4337,2))</f>
        <v/>
      </c>
      <c r="AA4337" s="52">
        <f>IF(P4337="","",IF(AND(P4337="Gasto",X4337="Variable",D4337&lt;&gt;catTrading,S4337&gt;0,S4337&lt;=Umbral),1,0))</f>
        <v/>
      </c>
      <c r="AB4337" s="52">
        <f>IF(OR(P4337="",Q4337=""),"",IFERROR(IF(INDEX(ctaVinc,MATCH(Q4337,ctaNombre,0))&amp;""&lt;&gt;"",INDEX(ctaVinc,MATCH(Q4337,ctaNombre,0))&amp;"",Q4337),Q4337))</f>
        <v/>
      </c>
      <c r="AC4337" s="52">
        <f>IF(OR(K4337="",AND(P4337&lt;&gt;"Transferencia",P4337&lt;&gt;"Pago tarjeta")),"",IFERROR(IF(INDEX(ctaVinc,MATCH(K4337,ctaNombre,0))&amp;""&lt;&gt;"",INDEX(ctaVinc,MATCH(K4337,ctaNombre,0))&amp;"",K4337),K4337))</f>
        <v/>
      </c>
      <c r="AD4337" s="52">
        <f>IF(AB4337="","",IFERROR(INDEX(ctaTipo,MATCH(AB4337,ctaNombre,0))&amp;"",""))</f>
        <v/>
      </c>
      <c r="AE4337" s="52">
        <f>IF(AC4337="","",IFERROR(INDEX(ctaTipo,MATCH(AC4337,ctaNombre,0))&amp;"",""))</f>
        <v/>
      </c>
      <c r="AF4337" s="53">
        <f>IF(OR(P4337="",AB4337=""),"",IF(OR(P4337="Gasto",P4337="Transferencia",P4337="Pago tarjeta"),-1,1)*IF(IFERROR(INDEX(ctaMoneda,MATCH(AB4337,ctaNombre,0))&amp;"","DOP")="USD",T4337,S4337))</f>
        <v/>
      </c>
      <c r="AG4337" s="53">
        <f>IF(AC4337="","",IF(IFERROR(INDEX(ctaMoneda,MATCH(AC4337,ctaNombre,0))&amp;"","DOP")="USD",T4337,S4337))</f>
        <v/>
      </c>
      <c r="AH4337" s="53">
        <f>IF(P4337="","",IF(AND(AD4337&lt;&gt;"",COUNTIFS(tcTipo,AD4337,tcLiq,"Sí")&gt;0),IF(OR(P4337="Gasto",P4337="Transferencia",P4337="Pago tarjeta"),-1,1)*S4337,0)+IF(AND(AE4337&lt;&gt;"",COUNTIFS(tcTipo,AE4337,tcLiq,"Sí")&gt;0),S4337,0))</f>
        <v/>
      </c>
      <c r="AI4337" s="52">
        <f>IF(OR(L4337="",P4337=""),"",IF(COUNTIFS(L$6:L4337,L4337,P$6:P4337,"?*")=1,MAX(AI$5:AI4336)+1,""))</f>
        <v/>
      </c>
    </row>
    <row r="4338">
      <c r="B4338" s="47" t="n"/>
      <c r="C4338" s="48" t="n"/>
      <c r="D4338" s="48" t="n"/>
      <c r="E4338" s="48" t="n"/>
      <c r="F4338" s="48" t="n"/>
      <c r="G4338" s="49" t="n"/>
      <c r="H4338" s="48" t="n"/>
      <c r="I4338" s="50" t="n"/>
      <c r="J4338" s="48" t="n"/>
      <c r="K4338" s="48" t="n"/>
      <c r="L4338" s="48" t="n"/>
      <c r="M4338" s="48" t="n"/>
      <c r="N4338" s="48" t="n"/>
      <c r="O4338" s="51">
        <f>IF(AND(B4338="",G4338="",C4338="",D4338="",J4338=""),"",IF(B4338="","⚠ Falta fecha",IF(G4338="","⚠ Falta monto",IF(Q4338="","⚠ Falta cuenta",IF(ISNA(MATCH(Q4338,ctaNombre,0)),"⚠ Cuenta no registrada",IF(AND(OR(P4338="Gasto",P4338="Reembolso"),D4338=""),"⚠ Falta categoría",IF(AND(D4338&lt;&gt;"",E4338&lt;&gt;"",ISNA(MATCH(D4338&amp;"|"&amp;E4338,catClave,0))),"⚠ Subcategoría no corresponde",IF(AND(OR(P4338="Transferencia",P4338="Pago tarjeta"),K4338=""),"⚠ Falta cuenta destino",IF(AND(K4338&lt;&gt;"",P4338&lt;&gt;"Transferencia",P4338&lt;&gt;"Pago tarjeta"),"⚠ Destino solo aplica a transferencias",IF(AND(K4338&lt;&gt;"",K4338=Q4338),"⚠ Origen igual a destino",IF(AND(K4338&lt;&gt;"",ISNA(MATCH(K4338,ctaNombre,0))),"⚠ Destino no registrado",IF(AND(P4338="Pago tarjeta",AE4338&lt;&gt;"Tarjeta de crédito"),"⚠ El destino debe ser tarjeta de crédito",IF(AND(P4338="Gasto",E4338="Depósitos y retiros"),"⚠ Usa tipo Transferencia",IF(AND(P4338="Resultado trading",AD4338&lt;&gt;"Cuenta de trading"),"⚠ Usa una cuenta de trading",IF(AND(G4338&lt;=0,P4338&lt;&gt;"Ajuste",P4338&lt;&gt;"Resultado trading"),"⚠ El monto debe ser positivo","✓")))))))))))))))</f>
        <v/>
      </c>
      <c r="P4338" s="52">
        <f>IF(OR(B4338="",G4338=""),"",IF(C4338="","Gasto",C4338))</f>
        <v/>
      </c>
      <c r="Q4338" s="52">
        <f>IF(P4338="","",IF(J4338&lt;&gt;"",J4338,CuentaPred&amp;""))</f>
        <v/>
      </c>
      <c r="R4338" s="52">
        <f>IF(P4338="","",IF(ISNUMBER(I4338),I4338,TasaUSD))</f>
        <v/>
      </c>
      <c r="S4338" s="53">
        <f>IF(P4338="","",IF(H4338="USD",G4338*R4338,G4338))</f>
        <v/>
      </c>
      <c r="T4338" s="53">
        <f>IF(P4338="","",IF(H4338="USD",G4338,IF(R4338&gt;0,G4338/R4338,0)))</f>
        <v/>
      </c>
      <c r="U4338" s="53">
        <f>IF(P4338="","",IF(P4338="Gasto",S4338,IF(P4338="Reembolso",-S4338,0)))</f>
        <v/>
      </c>
      <c r="V4338" s="53">
        <f>IF(P4338="","",IF(P4338="Ingreso",S4338,0))</f>
        <v/>
      </c>
      <c r="W4338" s="53">
        <f>IF(P4338="","",IF(P4338="Resultado trading",S4338,0))</f>
        <v/>
      </c>
      <c r="X4338" s="52">
        <f>IF(OR(P4338="Gasto",P4338="Reembolso"),IF(M4338&lt;&gt;"",M4338,IFERROR(INDEX(catClasif,MATCH(D4338&amp;"|"&amp;E4338,catClave,0))&amp;"","Variable")),"")</f>
        <v/>
      </c>
      <c r="Y4338" s="52">
        <f>IF(P4338="","",IFERROR(INDEX(catGrupo,MATCH(D4338&amp;"|"&amp;E4338,catClave,0))&amp;"",""))</f>
        <v/>
      </c>
      <c r="Z4338" s="52">
        <f>IF(P4338="","",WEEKDAY(B4338,2))</f>
        <v/>
      </c>
      <c r="AA4338" s="52">
        <f>IF(P4338="","",IF(AND(P4338="Gasto",X4338="Variable",D4338&lt;&gt;catTrading,S4338&gt;0,S4338&lt;=Umbral),1,0))</f>
        <v/>
      </c>
      <c r="AB4338" s="52">
        <f>IF(OR(P4338="",Q4338=""),"",IFERROR(IF(INDEX(ctaVinc,MATCH(Q4338,ctaNombre,0))&amp;""&lt;&gt;"",INDEX(ctaVinc,MATCH(Q4338,ctaNombre,0))&amp;"",Q4338),Q4338))</f>
        <v/>
      </c>
      <c r="AC4338" s="52">
        <f>IF(OR(K4338="",AND(P4338&lt;&gt;"Transferencia",P4338&lt;&gt;"Pago tarjeta")),"",IFERROR(IF(INDEX(ctaVinc,MATCH(K4338,ctaNombre,0))&amp;""&lt;&gt;"",INDEX(ctaVinc,MATCH(K4338,ctaNombre,0))&amp;"",K4338),K4338))</f>
        <v/>
      </c>
      <c r="AD4338" s="52">
        <f>IF(AB4338="","",IFERROR(INDEX(ctaTipo,MATCH(AB4338,ctaNombre,0))&amp;"",""))</f>
        <v/>
      </c>
      <c r="AE4338" s="52">
        <f>IF(AC4338="","",IFERROR(INDEX(ctaTipo,MATCH(AC4338,ctaNombre,0))&amp;"",""))</f>
        <v/>
      </c>
      <c r="AF4338" s="53">
        <f>IF(OR(P4338="",AB4338=""),"",IF(OR(P4338="Gasto",P4338="Transferencia",P4338="Pago tarjeta"),-1,1)*IF(IFERROR(INDEX(ctaMoneda,MATCH(AB4338,ctaNombre,0))&amp;"","DOP")="USD",T4338,S4338))</f>
        <v/>
      </c>
      <c r="AG4338" s="53">
        <f>IF(AC4338="","",IF(IFERROR(INDEX(ctaMoneda,MATCH(AC4338,ctaNombre,0))&amp;"","DOP")="USD",T4338,S4338))</f>
        <v/>
      </c>
      <c r="AH4338" s="53">
        <f>IF(P4338="","",IF(AND(AD4338&lt;&gt;"",COUNTIFS(tcTipo,AD4338,tcLiq,"Sí")&gt;0),IF(OR(P4338="Gasto",P4338="Transferencia",P4338="Pago tarjeta"),-1,1)*S4338,0)+IF(AND(AE4338&lt;&gt;"",COUNTIFS(tcTipo,AE4338,tcLiq,"Sí")&gt;0),S4338,0))</f>
        <v/>
      </c>
      <c r="AI4338" s="52">
        <f>IF(OR(L4338="",P4338=""),"",IF(COUNTIFS(L$6:L4338,L4338,P$6:P4338,"?*")=1,MAX(AI$5:AI4337)+1,""))</f>
        <v/>
      </c>
    </row>
    <row r="4339">
      <c r="B4339" s="47" t="n"/>
      <c r="C4339" s="48" t="n"/>
      <c r="D4339" s="48" t="n"/>
      <c r="E4339" s="48" t="n"/>
      <c r="F4339" s="48" t="n"/>
      <c r="G4339" s="49" t="n"/>
      <c r="H4339" s="48" t="n"/>
      <c r="I4339" s="50" t="n"/>
      <c r="J4339" s="48" t="n"/>
      <c r="K4339" s="48" t="n"/>
      <c r="L4339" s="48" t="n"/>
      <c r="M4339" s="48" t="n"/>
      <c r="N4339" s="48" t="n"/>
      <c r="O4339" s="51">
        <f>IF(AND(B4339="",G4339="",C4339="",D4339="",J4339=""),"",IF(B4339="","⚠ Falta fecha",IF(G4339="","⚠ Falta monto",IF(Q4339="","⚠ Falta cuenta",IF(ISNA(MATCH(Q4339,ctaNombre,0)),"⚠ Cuenta no registrada",IF(AND(OR(P4339="Gasto",P4339="Reembolso"),D4339=""),"⚠ Falta categoría",IF(AND(D4339&lt;&gt;"",E4339&lt;&gt;"",ISNA(MATCH(D4339&amp;"|"&amp;E4339,catClave,0))),"⚠ Subcategoría no corresponde",IF(AND(OR(P4339="Transferencia",P4339="Pago tarjeta"),K4339=""),"⚠ Falta cuenta destino",IF(AND(K4339&lt;&gt;"",P4339&lt;&gt;"Transferencia",P4339&lt;&gt;"Pago tarjeta"),"⚠ Destino solo aplica a transferencias",IF(AND(K4339&lt;&gt;"",K4339=Q4339),"⚠ Origen igual a destino",IF(AND(K4339&lt;&gt;"",ISNA(MATCH(K4339,ctaNombre,0))),"⚠ Destino no registrado",IF(AND(P4339="Pago tarjeta",AE4339&lt;&gt;"Tarjeta de crédito"),"⚠ El destino debe ser tarjeta de crédito",IF(AND(P4339="Gasto",E4339="Depósitos y retiros"),"⚠ Usa tipo Transferencia",IF(AND(P4339="Resultado trading",AD4339&lt;&gt;"Cuenta de trading"),"⚠ Usa una cuenta de trading",IF(AND(G4339&lt;=0,P4339&lt;&gt;"Ajuste",P4339&lt;&gt;"Resultado trading"),"⚠ El monto debe ser positivo","✓")))))))))))))))</f>
        <v/>
      </c>
      <c r="P4339" s="52">
        <f>IF(OR(B4339="",G4339=""),"",IF(C4339="","Gasto",C4339))</f>
        <v/>
      </c>
      <c r="Q4339" s="52">
        <f>IF(P4339="","",IF(J4339&lt;&gt;"",J4339,CuentaPred&amp;""))</f>
        <v/>
      </c>
      <c r="R4339" s="52">
        <f>IF(P4339="","",IF(ISNUMBER(I4339),I4339,TasaUSD))</f>
        <v/>
      </c>
      <c r="S4339" s="53">
        <f>IF(P4339="","",IF(H4339="USD",G4339*R4339,G4339))</f>
        <v/>
      </c>
      <c r="T4339" s="53">
        <f>IF(P4339="","",IF(H4339="USD",G4339,IF(R4339&gt;0,G4339/R4339,0)))</f>
        <v/>
      </c>
      <c r="U4339" s="53">
        <f>IF(P4339="","",IF(P4339="Gasto",S4339,IF(P4339="Reembolso",-S4339,0)))</f>
        <v/>
      </c>
      <c r="V4339" s="53">
        <f>IF(P4339="","",IF(P4339="Ingreso",S4339,0))</f>
        <v/>
      </c>
      <c r="W4339" s="53">
        <f>IF(P4339="","",IF(P4339="Resultado trading",S4339,0))</f>
        <v/>
      </c>
      <c r="X4339" s="52">
        <f>IF(OR(P4339="Gasto",P4339="Reembolso"),IF(M4339&lt;&gt;"",M4339,IFERROR(INDEX(catClasif,MATCH(D4339&amp;"|"&amp;E4339,catClave,0))&amp;"","Variable")),"")</f>
        <v/>
      </c>
      <c r="Y4339" s="52">
        <f>IF(P4339="","",IFERROR(INDEX(catGrupo,MATCH(D4339&amp;"|"&amp;E4339,catClave,0))&amp;"",""))</f>
        <v/>
      </c>
      <c r="Z4339" s="52">
        <f>IF(P4339="","",WEEKDAY(B4339,2))</f>
        <v/>
      </c>
      <c r="AA4339" s="52">
        <f>IF(P4339="","",IF(AND(P4339="Gasto",X4339="Variable",D4339&lt;&gt;catTrading,S4339&gt;0,S4339&lt;=Umbral),1,0))</f>
        <v/>
      </c>
      <c r="AB4339" s="52">
        <f>IF(OR(P4339="",Q4339=""),"",IFERROR(IF(INDEX(ctaVinc,MATCH(Q4339,ctaNombre,0))&amp;""&lt;&gt;"",INDEX(ctaVinc,MATCH(Q4339,ctaNombre,0))&amp;"",Q4339),Q4339))</f>
        <v/>
      </c>
      <c r="AC4339" s="52">
        <f>IF(OR(K4339="",AND(P4339&lt;&gt;"Transferencia",P4339&lt;&gt;"Pago tarjeta")),"",IFERROR(IF(INDEX(ctaVinc,MATCH(K4339,ctaNombre,0))&amp;""&lt;&gt;"",INDEX(ctaVinc,MATCH(K4339,ctaNombre,0))&amp;"",K4339),K4339))</f>
        <v/>
      </c>
      <c r="AD4339" s="52">
        <f>IF(AB4339="","",IFERROR(INDEX(ctaTipo,MATCH(AB4339,ctaNombre,0))&amp;"",""))</f>
        <v/>
      </c>
      <c r="AE4339" s="52">
        <f>IF(AC4339="","",IFERROR(INDEX(ctaTipo,MATCH(AC4339,ctaNombre,0))&amp;"",""))</f>
        <v/>
      </c>
      <c r="AF4339" s="53">
        <f>IF(OR(P4339="",AB4339=""),"",IF(OR(P4339="Gasto",P4339="Transferencia",P4339="Pago tarjeta"),-1,1)*IF(IFERROR(INDEX(ctaMoneda,MATCH(AB4339,ctaNombre,0))&amp;"","DOP")="USD",T4339,S4339))</f>
        <v/>
      </c>
      <c r="AG4339" s="53">
        <f>IF(AC4339="","",IF(IFERROR(INDEX(ctaMoneda,MATCH(AC4339,ctaNombre,0))&amp;"","DOP")="USD",T4339,S4339))</f>
        <v/>
      </c>
      <c r="AH4339" s="53">
        <f>IF(P4339="","",IF(AND(AD4339&lt;&gt;"",COUNTIFS(tcTipo,AD4339,tcLiq,"Sí")&gt;0),IF(OR(P4339="Gasto",P4339="Transferencia",P4339="Pago tarjeta"),-1,1)*S4339,0)+IF(AND(AE4339&lt;&gt;"",COUNTIFS(tcTipo,AE4339,tcLiq,"Sí")&gt;0),S4339,0))</f>
        <v/>
      </c>
      <c r="AI4339" s="52">
        <f>IF(OR(L4339="",P4339=""),"",IF(COUNTIFS(L$6:L4339,L4339,P$6:P4339,"?*")=1,MAX(AI$5:AI4338)+1,""))</f>
        <v/>
      </c>
    </row>
    <row r="4340">
      <c r="B4340" s="47" t="n"/>
      <c r="C4340" s="48" t="n"/>
      <c r="D4340" s="48" t="n"/>
      <c r="E4340" s="48" t="n"/>
      <c r="F4340" s="48" t="n"/>
      <c r="G4340" s="49" t="n"/>
      <c r="H4340" s="48" t="n"/>
      <c r="I4340" s="50" t="n"/>
      <c r="J4340" s="48" t="n"/>
      <c r="K4340" s="48" t="n"/>
      <c r="L4340" s="48" t="n"/>
      <c r="M4340" s="48" t="n"/>
      <c r="N4340" s="48" t="n"/>
      <c r="O4340" s="51">
        <f>IF(AND(B4340="",G4340="",C4340="",D4340="",J4340=""),"",IF(B4340="","⚠ Falta fecha",IF(G4340="","⚠ Falta monto",IF(Q4340="","⚠ Falta cuenta",IF(ISNA(MATCH(Q4340,ctaNombre,0)),"⚠ Cuenta no registrada",IF(AND(OR(P4340="Gasto",P4340="Reembolso"),D4340=""),"⚠ Falta categoría",IF(AND(D4340&lt;&gt;"",E4340&lt;&gt;"",ISNA(MATCH(D4340&amp;"|"&amp;E4340,catClave,0))),"⚠ Subcategoría no corresponde",IF(AND(OR(P4340="Transferencia",P4340="Pago tarjeta"),K4340=""),"⚠ Falta cuenta destino",IF(AND(K4340&lt;&gt;"",P4340&lt;&gt;"Transferencia",P4340&lt;&gt;"Pago tarjeta"),"⚠ Destino solo aplica a transferencias",IF(AND(K4340&lt;&gt;"",K4340=Q4340),"⚠ Origen igual a destino",IF(AND(K4340&lt;&gt;"",ISNA(MATCH(K4340,ctaNombre,0))),"⚠ Destino no registrado",IF(AND(P4340="Pago tarjeta",AE4340&lt;&gt;"Tarjeta de crédito"),"⚠ El destino debe ser tarjeta de crédito",IF(AND(P4340="Gasto",E4340="Depósitos y retiros"),"⚠ Usa tipo Transferencia",IF(AND(P4340="Resultado trading",AD4340&lt;&gt;"Cuenta de trading"),"⚠ Usa una cuenta de trading",IF(AND(G4340&lt;=0,P4340&lt;&gt;"Ajuste",P4340&lt;&gt;"Resultado trading"),"⚠ El monto debe ser positivo","✓")))))))))))))))</f>
        <v/>
      </c>
      <c r="P4340" s="52">
        <f>IF(OR(B4340="",G4340=""),"",IF(C4340="","Gasto",C4340))</f>
        <v/>
      </c>
      <c r="Q4340" s="52">
        <f>IF(P4340="","",IF(J4340&lt;&gt;"",J4340,CuentaPred&amp;""))</f>
        <v/>
      </c>
      <c r="R4340" s="52">
        <f>IF(P4340="","",IF(ISNUMBER(I4340),I4340,TasaUSD))</f>
        <v/>
      </c>
      <c r="S4340" s="53">
        <f>IF(P4340="","",IF(H4340="USD",G4340*R4340,G4340))</f>
        <v/>
      </c>
      <c r="T4340" s="53">
        <f>IF(P4340="","",IF(H4340="USD",G4340,IF(R4340&gt;0,G4340/R4340,0)))</f>
        <v/>
      </c>
      <c r="U4340" s="53">
        <f>IF(P4340="","",IF(P4340="Gasto",S4340,IF(P4340="Reembolso",-S4340,0)))</f>
        <v/>
      </c>
      <c r="V4340" s="53">
        <f>IF(P4340="","",IF(P4340="Ingreso",S4340,0))</f>
        <v/>
      </c>
      <c r="W4340" s="53">
        <f>IF(P4340="","",IF(P4340="Resultado trading",S4340,0))</f>
        <v/>
      </c>
      <c r="X4340" s="52">
        <f>IF(OR(P4340="Gasto",P4340="Reembolso"),IF(M4340&lt;&gt;"",M4340,IFERROR(INDEX(catClasif,MATCH(D4340&amp;"|"&amp;E4340,catClave,0))&amp;"","Variable")),"")</f>
        <v/>
      </c>
      <c r="Y4340" s="52">
        <f>IF(P4340="","",IFERROR(INDEX(catGrupo,MATCH(D4340&amp;"|"&amp;E4340,catClave,0))&amp;"",""))</f>
        <v/>
      </c>
      <c r="Z4340" s="52">
        <f>IF(P4340="","",WEEKDAY(B4340,2))</f>
        <v/>
      </c>
      <c r="AA4340" s="52">
        <f>IF(P4340="","",IF(AND(P4340="Gasto",X4340="Variable",D4340&lt;&gt;catTrading,S4340&gt;0,S4340&lt;=Umbral),1,0))</f>
        <v/>
      </c>
      <c r="AB4340" s="52">
        <f>IF(OR(P4340="",Q4340=""),"",IFERROR(IF(INDEX(ctaVinc,MATCH(Q4340,ctaNombre,0))&amp;""&lt;&gt;"",INDEX(ctaVinc,MATCH(Q4340,ctaNombre,0))&amp;"",Q4340),Q4340))</f>
        <v/>
      </c>
      <c r="AC4340" s="52">
        <f>IF(OR(K4340="",AND(P4340&lt;&gt;"Transferencia",P4340&lt;&gt;"Pago tarjeta")),"",IFERROR(IF(INDEX(ctaVinc,MATCH(K4340,ctaNombre,0))&amp;""&lt;&gt;"",INDEX(ctaVinc,MATCH(K4340,ctaNombre,0))&amp;"",K4340),K4340))</f>
        <v/>
      </c>
      <c r="AD4340" s="52">
        <f>IF(AB4340="","",IFERROR(INDEX(ctaTipo,MATCH(AB4340,ctaNombre,0))&amp;"",""))</f>
        <v/>
      </c>
      <c r="AE4340" s="52">
        <f>IF(AC4340="","",IFERROR(INDEX(ctaTipo,MATCH(AC4340,ctaNombre,0))&amp;"",""))</f>
        <v/>
      </c>
      <c r="AF4340" s="53">
        <f>IF(OR(P4340="",AB4340=""),"",IF(OR(P4340="Gasto",P4340="Transferencia",P4340="Pago tarjeta"),-1,1)*IF(IFERROR(INDEX(ctaMoneda,MATCH(AB4340,ctaNombre,0))&amp;"","DOP")="USD",T4340,S4340))</f>
        <v/>
      </c>
      <c r="AG4340" s="53">
        <f>IF(AC4340="","",IF(IFERROR(INDEX(ctaMoneda,MATCH(AC4340,ctaNombre,0))&amp;"","DOP")="USD",T4340,S4340))</f>
        <v/>
      </c>
      <c r="AH4340" s="53">
        <f>IF(P4340="","",IF(AND(AD4340&lt;&gt;"",COUNTIFS(tcTipo,AD4340,tcLiq,"Sí")&gt;0),IF(OR(P4340="Gasto",P4340="Transferencia",P4340="Pago tarjeta"),-1,1)*S4340,0)+IF(AND(AE4340&lt;&gt;"",COUNTIFS(tcTipo,AE4340,tcLiq,"Sí")&gt;0),S4340,0))</f>
        <v/>
      </c>
      <c r="AI4340" s="52">
        <f>IF(OR(L4340="",P4340=""),"",IF(COUNTIFS(L$6:L4340,L4340,P$6:P4340,"?*")=1,MAX(AI$5:AI4339)+1,""))</f>
        <v/>
      </c>
    </row>
    <row r="4341">
      <c r="B4341" s="47" t="n"/>
      <c r="C4341" s="48" t="n"/>
      <c r="D4341" s="48" t="n"/>
      <c r="E4341" s="48" t="n"/>
      <c r="F4341" s="48" t="n"/>
      <c r="G4341" s="49" t="n"/>
      <c r="H4341" s="48" t="n"/>
      <c r="I4341" s="50" t="n"/>
      <c r="J4341" s="48" t="n"/>
      <c r="K4341" s="48" t="n"/>
      <c r="L4341" s="48" t="n"/>
      <c r="M4341" s="48" t="n"/>
      <c r="N4341" s="48" t="n"/>
      <c r="O4341" s="51">
        <f>IF(AND(B4341="",G4341="",C4341="",D4341="",J4341=""),"",IF(B4341="","⚠ Falta fecha",IF(G4341="","⚠ Falta monto",IF(Q4341="","⚠ Falta cuenta",IF(ISNA(MATCH(Q4341,ctaNombre,0)),"⚠ Cuenta no registrada",IF(AND(OR(P4341="Gasto",P4341="Reembolso"),D4341=""),"⚠ Falta categoría",IF(AND(D4341&lt;&gt;"",E4341&lt;&gt;"",ISNA(MATCH(D4341&amp;"|"&amp;E4341,catClave,0))),"⚠ Subcategoría no corresponde",IF(AND(OR(P4341="Transferencia",P4341="Pago tarjeta"),K4341=""),"⚠ Falta cuenta destino",IF(AND(K4341&lt;&gt;"",P4341&lt;&gt;"Transferencia",P4341&lt;&gt;"Pago tarjeta"),"⚠ Destino solo aplica a transferencias",IF(AND(K4341&lt;&gt;"",K4341=Q4341),"⚠ Origen igual a destino",IF(AND(K4341&lt;&gt;"",ISNA(MATCH(K4341,ctaNombre,0))),"⚠ Destino no registrado",IF(AND(P4341="Pago tarjeta",AE4341&lt;&gt;"Tarjeta de crédito"),"⚠ El destino debe ser tarjeta de crédito",IF(AND(P4341="Gasto",E4341="Depósitos y retiros"),"⚠ Usa tipo Transferencia",IF(AND(P4341="Resultado trading",AD4341&lt;&gt;"Cuenta de trading"),"⚠ Usa una cuenta de trading",IF(AND(G4341&lt;=0,P4341&lt;&gt;"Ajuste",P4341&lt;&gt;"Resultado trading"),"⚠ El monto debe ser positivo","✓")))))))))))))))</f>
        <v/>
      </c>
      <c r="P4341" s="52">
        <f>IF(OR(B4341="",G4341=""),"",IF(C4341="","Gasto",C4341))</f>
        <v/>
      </c>
      <c r="Q4341" s="52">
        <f>IF(P4341="","",IF(J4341&lt;&gt;"",J4341,CuentaPred&amp;""))</f>
        <v/>
      </c>
      <c r="R4341" s="52">
        <f>IF(P4341="","",IF(ISNUMBER(I4341),I4341,TasaUSD))</f>
        <v/>
      </c>
      <c r="S4341" s="53">
        <f>IF(P4341="","",IF(H4341="USD",G4341*R4341,G4341))</f>
        <v/>
      </c>
      <c r="T4341" s="53">
        <f>IF(P4341="","",IF(H4341="USD",G4341,IF(R4341&gt;0,G4341/R4341,0)))</f>
        <v/>
      </c>
      <c r="U4341" s="53">
        <f>IF(P4341="","",IF(P4341="Gasto",S4341,IF(P4341="Reembolso",-S4341,0)))</f>
        <v/>
      </c>
      <c r="V4341" s="53">
        <f>IF(P4341="","",IF(P4341="Ingreso",S4341,0))</f>
        <v/>
      </c>
      <c r="W4341" s="53">
        <f>IF(P4341="","",IF(P4341="Resultado trading",S4341,0))</f>
        <v/>
      </c>
      <c r="X4341" s="52">
        <f>IF(OR(P4341="Gasto",P4341="Reembolso"),IF(M4341&lt;&gt;"",M4341,IFERROR(INDEX(catClasif,MATCH(D4341&amp;"|"&amp;E4341,catClave,0))&amp;"","Variable")),"")</f>
        <v/>
      </c>
      <c r="Y4341" s="52">
        <f>IF(P4341="","",IFERROR(INDEX(catGrupo,MATCH(D4341&amp;"|"&amp;E4341,catClave,0))&amp;"",""))</f>
        <v/>
      </c>
      <c r="Z4341" s="52">
        <f>IF(P4341="","",WEEKDAY(B4341,2))</f>
        <v/>
      </c>
      <c r="AA4341" s="52">
        <f>IF(P4341="","",IF(AND(P4341="Gasto",X4341="Variable",D4341&lt;&gt;catTrading,S4341&gt;0,S4341&lt;=Umbral),1,0))</f>
        <v/>
      </c>
      <c r="AB4341" s="52">
        <f>IF(OR(P4341="",Q4341=""),"",IFERROR(IF(INDEX(ctaVinc,MATCH(Q4341,ctaNombre,0))&amp;""&lt;&gt;"",INDEX(ctaVinc,MATCH(Q4341,ctaNombre,0))&amp;"",Q4341),Q4341))</f>
        <v/>
      </c>
      <c r="AC4341" s="52">
        <f>IF(OR(K4341="",AND(P4341&lt;&gt;"Transferencia",P4341&lt;&gt;"Pago tarjeta")),"",IFERROR(IF(INDEX(ctaVinc,MATCH(K4341,ctaNombre,0))&amp;""&lt;&gt;"",INDEX(ctaVinc,MATCH(K4341,ctaNombre,0))&amp;"",K4341),K4341))</f>
        <v/>
      </c>
      <c r="AD4341" s="52">
        <f>IF(AB4341="","",IFERROR(INDEX(ctaTipo,MATCH(AB4341,ctaNombre,0))&amp;"",""))</f>
        <v/>
      </c>
      <c r="AE4341" s="52">
        <f>IF(AC4341="","",IFERROR(INDEX(ctaTipo,MATCH(AC4341,ctaNombre,0))&amp;"",""))</f>
        <v/>
      </c>
      <c r="AF4341" s="53">
        <f>IF(OR(P4341="",AB4341=""),"",IF(OR(P4341="Gasto",P4341="Transferencia",P4341="Pago tarjeta"),-1,1)*IF(IFERROR(INDEX(ctaMoneda,MATCH(AB4341,ctaNombre,0))&amp;"","DOP")="USD",T4341,S4341))</f>
        <v/>
      </c>
      <c r="AG4341" s="53">
        <f>IF(AC4341="","",IF(IFERROR(INDEX(ctaMoneda,MATCH(AC4341,ctaNombre,0))&amp;"","DOP")="USD",T4341,S4341))</f>
        <v/>
      </c>
      <c r="AH4341" s="53">
        <f>IF(P4341="","",IF(AND(AD4341&lt;&gt;"",COUNTIFS(tcTipo,AD4341,tcLiq,"Sí")&gt;0),IF(OR(P4341="Gasto",P4341="Transferencia",P4341="Pago tarjeta"),-1,1)*S4341,0)+IF(AND(AE4341&lt;&gt;"",COUNTIFS(tcTipo,AE4341,tcLiq,"Sí")&gt;0),S4341,0))</f>
        <v/>
      </c>
      <c r="AI4341" s="52">
        <f>IF(OR(L4341="",P4341=""),"",IF(COUNTIFS(L$6:L4341,L4341,P$6:P4341,"?*")=1,MAX(AI$5:AI4340)+1,""))</f>
        <v/>
      </c>
    </row>
    <row r="4342">
      <c r="B4342" s="47" t="n"/>
      <c r="C4342" s="48" t="n"/>
      <c r="D4342" s="48" t="n"/>
      <c r="E4342" s="48" t="n"/>
      <c r="F4342" s="48" t="n"/>
      <c r="G4342" s="49" t="n"/>
      <c r="H4342" s="48" t="n"/>
      <c r="I4342" s="50" t="n"/>
      <c r="J4342" s="48" t="n"/>
      <c r="K4342" s="48" t="n"/>
      <c r="L4342" s="48" t="n"/>
      <c r="M4342" s="48" t="n"/>
      <c r="N4342" s="48" t="n"/>
      <c r="O4342" s="51">
        <f>IF(AND(B4342="",G4342="",C4342="",D4342="",J4342=""),"",IF(B4342="","⚠ Falta fecha",IF(G4342="","⚠ Falta monto",IF(Q4342="","⚠ Falta cuenta",IF(ISNA(MATCH(Q4342,ctaNombre,0)),"⚠ Cuenta no registrada",IF(AND(OR(P4342="Gasto",P4342="Reembolso"),D4342=""),"⚠ Falta categoría",IF(AND(D4342&lt;&gt;"",E4342&lt;&gt;"",ISNA(MATCH(D4342&amp;"|"&amp;E4342,catClave,0))),"⚠ Subcategoría no corresponde",IF(AND(OR(P4342="Transferencia",P4342="Pago tarjeta"),K4342=""),"⚠ Falta cuenta destino",IF(AND(K4342&lt;&gt;"",P4342&lt;&gt;"Transferencia",P4342&lt;&gt;"Pago tarjeta"),"⚠ Destino solo aplica a transferencias",IF(AND(K4342&lt;&gt;"",K4342=Q4342),"⚠ Origen igual a destino",IF(AND(K4342&lt;&gt;"",ISNA(MATCH(K4342,ctaNombre,0))),"⚠ Destino no registrado",IF(AND(P4342="Pago tarjeta",AE4342&lt;&gt;"Tarjeta de crédito"),"⚠ El destino debe ser tarjeta de crédito",IF(AND(P4342="Gasto",E4342="Depósitos y retiros"),"⚠ Usa tipo Transferencia",IF(AND(P4342="Resultado trading",AD4342&lt;&gt;"Cuenta de trading"),"⚠ Usa una cuenta de trading",IF(AND(G4342&lt;=0,P4342&lt;&gt;"Ajuste",P4342&lt;&gt;"Resultado trading"),"⚠ El monto debe ser positivo","✓")))))))))))))))</f>
        <v/>
      </c>
      <c r="P4342" s="52">
        <f>IF(OR(B4342="",G4342=""),"",IF(C4342="","Gasto",C4342))</f>
        <v/>
      </c>
      <c r="Q4342" s="52">
        <f>IF(P4342="","",IF(J4342&lt;&gt;"",J4342,CuentaPred&amp;""))</f>
        <v/>
      </c>
      <c r="R4342" s="52">
        <f>IF(P4342="","",IF(ISNUMBER(I4342),I4342,TasaUSD))</f>
        <v/>
      </c>
      <c r="S4342" s="53">
        <f>IF(P4342="","",IF(H4342="USD",G4342*R4342,G4342))</f>
        <v/>
      </c>
      <c r="T4342" s="53">
        <f>IF(P4342="","",IF(H4342="USD",G4342,IF(R4342&gt;0,G4342/R4342,0)))</f>
        <v/>
      </c>
      <c r="U4342" s="53">
        <f>IF(P4342="","",IF(P4342="Gasto",S4342,IF(P4342="Reembolso",-S4342,0)))</f>
        <v/>
      </c>
      <c r="V4342" s="53">
        <f>IF(P4342="","",IF(P4342="Ingreso",S4342,0))</f>
        <v/>
      </c>
      <c r="W4342" s="53">
        <f>IF(P4342="","",IF(P4342="Resultado trading",S4342,0))</f>
        <v/>
      </c>
      <c r="X4342" s="52">
        <f>IF(OR(P4342="Gasto",P4342="Reembolso"),IF(M4342&lt;&gt;"",M4342,IFERROR(INDEX(catClasif,MATCH(D4342&amp;"|"&amp;E4342,catClave,0))&amp;"","Variable")),"")</f>
        <v/>
      </c>
      <c r="Y4342" s="52">
        <f>IF(P4342="","",IFERROR(INDEX(catGrupo,MATCH(D4342&amp;"|"&amp;E4342,catClave,0))&amp;"",""))</f>
        <v/>
      </c>
      <c r="Z4342" s="52">
        <f>IF(P4342="","",WEEKDAY(B4342,2))</f>
        <v/>
      </c>
      <c r="AA4342" s="52">
        <f>IF(P4342="","",IF(AND(P4342="Gasto",X4342="Variable",D4342&lt;&gt;catTrading,S4342&gt;0,S4342&lt;=Umbral),1,0))</f>
        <v/>
      </c>
      <c r="AB4342" s="52">
        <f>IF(OR(P4342="",Q4342=""),"",IFERROR(IF(INDEX(ctaVinc,MATCH(Q4342,ctaNombre,0))&amp;""&lt;&gt;"",INDEX(ctaVinc,MATCH(Q4342,ctaNombre,0))&amp;"",Q4342),Q4342))</f>
        <v/>
      </c>
      <c r="AC4342" s="52">
        <f>IF(OR(K4342="",AND(P4342&lt;&gt;"Transferencia",P4342&lt;&gt;"Pago tarjeta")),"",IFERROR(IF(INDEX(ctaVinc,MATCH(K4342,ctaNombre,0))&amp;""&lt;&gt;"",INDEX(ctaVinc,MATCH(K4342,ctaNombre,0))&amp;"",K4342),K4342))</f>
        <v/>
      </c>
      <c r="AD4342" s="52">
        <f>IF(AB4342="","",IFERROR(INDEX(ctaTipo,MATCH(AB4342,ctaNombre,0))&amp;"",""))</f>
        <v/>
      </c>
      <c r="AE4342" s="52">
        <f>IF(AC4342="","",IFERROR(INDEX(ctaTipo,MATCH(AC4342,ctaNombre,0))&amp;"",""))</f>
        <v/>
      </c>
      <c r="AF4342" s="53">
        <f>IF(OR(P4342="",AB4342=""),"",IF(OR(P4342="Gasto",P4342="Transferencia",P4342="Pago tarjeta"),-1,1)*IF(IFERROR(INDEX(ctaMoneda,MATCH(AB4342,ctaNombre,0))&amp;"","DOP")="USD",T4342,S4342))</f>
        <v/>
      </c>
      <c r="AG4342" s="53">
        <f>IF(AC4342="","",IF(IFERROR(INDEX(ctaMoneda,MATCH(AC4342,ctaNombre,0))&amp;"","DOP")="USD",T4342,S4342))</f>
        <v/>
      </c>
      <c r="AH4342" s="53">
        <f>IF(P4342="","",IF(AND(AD4342&lt;&gt;"",COUNTIFS(tcTipo,AD4342,tcLiq,"Sí")&gt;0),IF(OR(P4342="Gasto",P4342="Transferencia",P4342="Pago tarjeta"),-1,1)*S4342,0)+IF(AND(AE4342&lt;&gt;"",COUNTIFS(tcTipo,AE4342,tcLiq,"Sí")&gt;0),S4342,0))</f>
        <v/>
      </c>
      <c r="AI4342" s="52">
        <f>IF(OR(L4342="",P4342=""),"",IF(COUNTIFS(L$6:L4342,L4342,P$6:P4342,"?*")=1,MAX(AI$5:AI4341)+1,""))</f>
        <v/>
      </c>
    </row>
    <row r="4343">
      <c r="B4343" s="47" t="n"/>
      <c r="C4343" s="48" t="n"/>
      <c r="D4343" s="48" t="n"/>
      <c r="E4343" s="48" t="n"/>
      <c r="F4343" s="48" t="n"/>
      <c r="G4343" s="49" t="n"/>
      <c r="H4343" s="48" t="n"/>
      <c r="I4343" s="50" t="n"/>
      <c r="J4343" s="48" t="n"/>
      <c r="K4343" s="48" t="n"/>
      <c r="L4343" s="48" t="n"/>
      <c r="M4343" s="48" t="n"/>
      <c r="N4343" s="48" t="n"/>
      <c r="O4343" s="51">
        <f>IF(AND(B4343="",G4343="",C4343="",D4343="",J4343=""),"",IF(B4343="","⚠ Falta fecha",IF(G4343="","⚠ Falta monto",IF(Q4343="","⚠ Falta cuenta",IF(ISNA(MATCH(Q4343,ctaNombre,0)),"⚠ Cuenta no registrada",IF(AND(OR(P4343="Gasto",P4343="Reembolso"),D4343=""),"⚠ Falta categoría",IF(AND(D4343&lt;&gt;"",E4343&lt;&gt;"",ISNA(MATCH(D4343&amp;"|"&amp;E4343,catClave,0))),"⚠ Subcategoría no corresponde",IF(AND(OR(P4343="Transferencia",P4343="Pago tarjeta"),K4343=""),"⚠ Falta cuenta destino",IF(AND(K4343&lt;&gt;"",P4343&lt;&gt;"Transferencia",P4343&lt;&gt;"Pago tarjeta"),"⚠ Destino solo aplica a transferencias",IF(AND(K4343&lt;&gt;"",K4343=Q4343),"⚠ Origen igual a destino",IF(AND(K4343&lt;&gt;"",ISNA(MATCH(K4343,ctaNombre,0))),"⚠ Destino no registrado",IF(AND(P4343="Pago tarjeta",AE4343&lt;&gt;"Tarjeta de crédito"),"⚠ El destino debe ser tarjeta de crédito",IF(AND(P4343="Gasto",E4343="Depósitos y retiros"),"⚠ Usa tipo Transferencia",IF(AND(P4343="Resultado trading",AD4343&lt;&gt;"Cuenta de trading"),"⚠ Usa una cuenta de trading",IF(AND(G4343&lt;=0,P4343&lt;&gt;"Ajuste",P4343&lt;&gt;"Resultado trading"),"⚠ El monto debe ser positivo","✓")))))))))))))))</f>
        <v/>
      </c>
      <c r="P4343" s="52">
        <f>IF(OR(B4343="",G4343=""),"",IF(C4343="","Gasto",C4343))</f>
        <v/>
      </c>
      <c r="Q4343" s="52">
        <f>IF(P4343="","",IF(J4343&lt;&gt;"",J4343,CuentaPred&amp;""))</f>
        <v/>
      </c>
      <c r="R4343" s="52">
        <f>IF(P4343="","",IF(ISNUMBER(I4343),I4343,TasaUSD))</f>
        <v/>
      </c>
      <c r="S4343" s="53">
        <f>IF(P4343="","",IF(H4343="USD",G4343*R4343,G4343))</f>
        <v/>
      </c>
      <c r="T4343" s="53">
        <f>IF(P4343="","",IF(H4343="USD",G4343,IF(R4343&gt;0,G4343/R4343,0)))</f>
        <v/>
      </c>
      <c r="U4343" s="53">
        <f>IF(P4343="","",IF(P4343="Gasto",S4343,IF(P4343="Reembolso",-S4343,0)))</f>
        <v/>
      </c>
      <c r="V4343" s="53">
        <f>IF(P4343="","",IF(P4343="Ingreso",S4343,0))</f>
        <v/>
      </c>
      <c r="W4343" s="53">
        <f>IF(P4343="","",IF(P4343="Resultado trading",S4343,0))</f>
        <v/>
      </c>
      <c r="X4343" s="52">
        <f>IF(OR(P4343="Gasto",P4343="Reembolso"),IF(M4343&lt;&gt;"",M4343,IFERROR(INDEX(catClasif,MATCH(D4343&amp;"|"&amp;E4343,catClave,0))&amp;"","Variable")),"")</f>
        <v/>
      </c>
      <c r="Y4343" s="52">
        <f>IF(P4343="","",IFERROR(INDEX(catGrupo,MATCH(D4343&amp;"|"&amp;E4343,catClave,0))&amp;"",""))</f>
        <v/>
      </c>
      <c r="Z4343" s="52">
        <f>IF(P4343="","",WEEKDAY(B4343,2))</f>
        <v/>
      </c>
      <c r="AA4343" s="52">
        <f>IF(P4343="","",IF(AND(P4343="Gasto",X4343="Variable",D4343&lt;&gt;catTrading,S4343&gt;0,S4343&lt;=Umbral),1,0))</f>
        <v/>
      </c>
      <c r="AB4343" s="52">
        <f>IF(OR(P4343="",Q4343=""),"",IFERROR(IF(INDEX(ctaVinc,MATCH(Q4343,ctaNombre,0))&amp;""&lt;&gt;"",INDEX(ctaVinc,MATCH(Q4343,ctaNombre,0))&amp;"",Q4343),Q4343))</f>
        <v/>
      </c>
      <c r="AC4343" s="52">
        <f>IF(OR(K4343="",AND(P4343&lt;&gt;"Transferencia",P4343&lt;&gt;"Pago tarjeta")),"",IFERROR(IF(INDEX(ctaVinc,MATCH(K4343,ctaNombre,0))&amp;""&lt;&gt;"",INDEX(ctaVinc,MATCH(K4343,ctaNombre,0))&amp;"",K4343),K4343))</f>
        <v/>
      </c>
      <c r="AD4343" s="52">
        <f>IF(AB4343="","",IFERROR(INDEX(ctaTipo,MATCH(AB4343,ctaNombre,0))&amp;"",""))</f>
        <v/>
      </c>
      <c r="AE4343" s="52">
        <f>IF(AC4343="","",IFERROR(INDEX(ctaTipo,MATCH(AC4343,ctaNombre,0))&amp;"",""))</f>
        <v/>
      </c>
      <c r="AF4343" s="53">
        <f>IF(OR(P4343="",AB4343=""),"",IF(OR(P4343="Gasto",P4343="Transferencia",P4343="Pago tarjeta"),-1,1)*IF(IFERROR(INDEX(ctaMoneda,MATCH(AB4343,ctaNombre,0))&amp;"","DOP")="USD",T4343,S4343))</f>
        <v/>
      </c>
      <c r="AG4343" s="53">
        <f>IF(AC4343="","",IF(IFERROR(INDEX(ctaMoneda,MATCH(AC4343,ctaNombre,0))&amp;"","DOP")="USD",T4343,S4343))</f>
        <v/>
      </c>
      <c r="AH4343" s="53">
        <f>IF(P4343="","",IF(AND(AD4343&lt;&gt;"",COUNTIFS(tcTipo,AD4343,tcLiq,"Sí")&gt;0),IF(OR(P4343="Gasto",P4343="Transferencia",P4343="Pago tarjeta"),-1,1)*S4343,0)+IF(AND(AE4343&lt;&gt;"",COUNTIFS(tcTipo,AE4343,tcLiq,"Sí")&gt;0),S4343,0))</f>
        <v/>
      </c>
      <c r="AI4343" s="52">
        <f>IF(OR(L4343="",P4343=""),"",IF(COUNTIFS(L$6:L4343,L4343,P$6:P4343,"?*")=1,MAX(AI$5:AI4342)+1,""))</f>
        <v/>
      </c>
    </row>
    <row r="4344">
      <c r="B4344" s="47" t="n"/>
      <c r="C4344" s="48" t="n"/>
      <c r="D4344" s="48" t="n"/>
      <c r="E4344" s="48" t="n"/>
      <c r="F4344" s="48" t="n"/>
      <c r="G4344" s="49" t="n"/>
      <c r="H4344" s="48" t="n"/>
      <c r="I4344" s="50" t="n"/>
      <c r="J4344" s="48" t="n"/>
      <c r="K4344" s="48" t="n"/>
      <c r="L4344" s="48" t="n"/>
      <c r="M4344" s="48" t="n"/>
      <c r="N4344" s="48" t="n"/>
      <c r="O4344" s="51">
        <f>IF(AND(B4344="",G4344="",C4344="",D4344="",J4344=""),"",IF(B4344="","⚠ Falta fecha",IF(G4344="","⚠ Falta monto",IF(Q4344="","⚠ Falta cuenta",IF(ISNA(MATCH(Q4344,ctaNombre,0)),"⚠ Cuenta no registrada",IF(AND(OR(P4344="Gasto",P4344="Reembolso"),D4344=""),"⚠ Falta categoría",IF(AND(D4344&lt;&gt;"",E4344&lt;&gt;"",ISNA(MATCH(D4344&amp;"|"&amp;E4344,catClave,0))),"⚠ Subcategoría no corresponde",IF(AND(OR(P4344="Transferencia",P4344="Pago tarjeta"),K4344=""),"⚠ Falta cuenta destino",IF(AND(K4344&lt;&gt;"",P4344&lt;&gt;"Transferencia",P4344&lt;&gt;"Pago tarjeta"),"⚠ Destino solo aplica a transferencias",IF(AND(K4344&lt;&gt;"",K4344=Q4344),"⚠ Origen igual a destino",IF(AND(K4344&lt;&gt;"",ISNA(MATCH(K4344,ctaNombre,0))),"⚠ Destino no registrado",IF(AND(P4344="Pago tarjeta",AE4344&lt;&gt;"Tarjeta de crédito"),"⚠ El destino debe ser tarjeta de crédito",IF(AND(P4344="Gasto",E4344="Depósitos y retiros"),"⚠ Usa tipo Transferencia",IF(AND(P4344="Resultado trading",AD4344&lt;&gt;"Cuenta de trading"),"⚠ Usa una cuenta de trading",IF(AND(G4344&lt;=0,P4344&lt;&gt;"Ajuste",P4344&lt;&gt;"Resultado trading"),"⚠ El monto debe ser positivo","✓")))))))))))))))</f>
        <v/>
      </c>
      <c r="P4344" s="52">
        <f>IF(OR(B4344="",G4344=""),"",IF(C4344="","Gasto",C4344))</f>
        <v/>
      </c>
      <c r="Q4344" s="52">
        <f>IF(P4344="","",IF(J4344&lt;&gt;"",J4344,CuentaPred&amp;""))</f>
        <v/>
      </c>
      <c r="R4344" s="52">
        <f>IF(P4344="","",IF(ISNUMBER(I4344),I4344,TasaUSD))</f>
        <v/>
      </c>
      <c r="S4344" s="53">
        <f>IF(P4344="","",IF(H4344="USD",G4344*R4344,G4344))</f>
        <v/>
      </c>
      <c r="T4344" s="53">
        <f>IF(P4344="","",IF(H4344="USD",G4344,IF(R4344&gt;0,G4344/R4344,0)))</f>
        <v/>
      </c>
      <c r="U4344" s="53">
        <f>IF(P4344="","",IF(P4344="Gasto",S4344,IF(P4344="Reembolso",-S4344,0)))</f>
        <v/>
      </c>
      <c r="V4344" s="53">
        <f>IF(P4344="","",IF(P4344="Ingreso",S4344,0))</f>
        <v/>
      </c>
      <c r="W4344" s="53">
        <f>IF(P4344="","",IF(P4344="Resultado trading",S4344,0))</f>
        <v/>
      </c>
      <c r="X4344" s="52">
        <f>IF(OR(P4344="Gasto",P4344="Reembolso"),IF(M4344&lt;&gt;"",M4344,IFERROR(INDEX(catClasif,MATCH(D4344&amp;"|"&amp;E4344,catClave,0))&amp;"","Variable")),"")</f>
        <v/>
      </c>
      <c r="Y4344" s="52">
        <f>IF(P4344="","",IFERROR(INDEX(catGrupo,MATCH(D4344&amp;"|"&amp;E4344,catClave,0))&amp;"",""))</f>
        <v/>
      </c>
      <c r="Z4344" s="52">
        <f>IF(P4344="","",WEEKDAY(B4344,2))</f>
        <v/>
      </c>
      <c r="AA4344" s="52">
        <f>IF(P4344="","",IF(AND(P4344="Gasto",X4344="Variable",D4344&lt;&gt;catTrading,S4344&gt;0,S4344&lt;=Umbral),1,0))</f>
        <v/>
      </c>
      <c r="AB4344" s="52">
        <f>IF(OR(P4344="",Q4344=""),"",IFERROR(IF(INDEX(ctaVinc,MATCH(Q4344,ctaNombre,0))&amp;""&lt;&gt;"",INDEX(ctaVinc,MATCH(Q4344,ctaNombre,0))&amp;"",Q4344),Q4344))</f>
        <v/>
      </c>
      <c r="AC4344" s="52">
        <f>IF(OR(K4344="",AND(P4344&lt;&gt;"Transferencia",P4344&lt;&gt;"Pago tarjeta")),"",IFERROR(IF(INDEX(ctaVinc,MATCH(K4344,ctaNombre,0))&amp;""&lt;&gt;"",INDEX(ctaVinc,MATCH(K4344,ctaNombre,0))&amp;"",K4344),K4344))</f>
        <v/>
      </c>
      <c r="AD4344" s="52">
        <f>IF(AB4344="","",IFERROR(INDEX(ctaTipo,MATCH(AB4344,ctaNombre,0))&amp;"",""))</f>
        <v/>
      </c>
      <c r="AE4344" s="52">
        <f>IF(AC4344="","",IFERROR(INDEX(ctaTipo,MATCH(AC4344,ctaNombre,0))&amp;"",""))</f>
        <v/>
      </c>
      <c r="AF4344" s="53">
        <f>IF(OR(P4344="",AB4344=""),"",IF(OR(P4344="Gasto",P4344="Transferencia",P4344="Pago tarjeta"),-1,1)*IF(IFERROR(INDEX(ctaMoneda,MATCH(AB4344,ctaNombre,0))&amp;"","DOP")="USD",T4344,S4344))</f>
        <v/>
      </c>
      <c r="AG4344" s="53">
        <f>IF(AC4344="","",IF(IFERROR(INDEX(ctaMoneda,MATCH(AC4344,ctaNombre,0))&amp;"","DOP")="USD",T4344,S4344))</f>
        <v/>
      </c>
      <c r="AH4344" s="53">
        <f>IF(P4344="","",IF(AND(AD4344&lt;&gt;"",COUNTIFS(tcTipo,AD4344,tcLiq,"Sí")&gt;0),IF(OR(P4344="Gasto",P4344="Transferencia",P4344="Pago tarjeta"),-1,1)*S4344,0)+IF(AND(AE4344&lt;&gt;"",COUNTIFS(tcTipo,AE4344,tcLiq,"Sí")&gt;0),S4344,0))</f>
        <v/>
      </c>
      <c r="AI4344" s="52">
        <f>IF(OR(L4344="",P4344=""),"",IF(COUNTIFS(L$6:L4344,L4344,P$6:P4344,"?*")=1,MAX(AI$5:AI4343)+1,""))</f>
        <v/>
      </c>
    </row>
    <row r="4345">
      <c r="B4345" s="47" t="n"/>
      <c r="C4345" s="48" t="n"/>
      <c r="D4345" s="48" t="n"/>
      <c r="E4345" s="48" t="n"/>
      <c r="F4345" s="48" t="n"/>
      <c r="G4345" s="49" t="n"/>
      <c r="H4345" s="48" t="n"/>
      <c r="I4345" s="50" t="n"/>
      <c r="J4345" s="48" t="n"/>
      <c r="K4345" s="48" t="n"/>
      <c r="L4345" s="48" t="n"/>
      <c r="M4345" s="48" t="n"/>
      <c r="N4345" s="48" t="n"/>
      <c r="O4345" s="51">
        <f>IF(AND(B4345="",G4345="",C4345="",D4345="",J4345=""),"",IF(B4345="","⚠ Falta fecha",IF(G4345="","⚠ Falta monto",IF(Q4345="","⚠ Falta cuenta",IF(ISNA(MATCH(Q4345,ctaNombre,0)),"⚠ Cuenta no registrada",IF(AND(OR(P4345="Gasto",P4345="Reembolso"),D4345=""),"⚠ Falta categoría",IF(AND(D4345&lt;&gt;"",E4345&lt;&gt;"",ISNA(MATCH(D4345&amp;"|"&amp;E4345,catClave,0))),"⚠ Subcategoría no corresponde",IF(AND(OR(P4345="Transferencia",P4345="Pago tarjeta"),K4345=""),"⚠ Falta cuenta destino",IF(AND(K4345&lt;&gt;"",P4345&lt;&gt;"Transferencia",P4345&lt;&gt;"Pago tarjeta"),"⚠ Destino solo aplica a transferencias",IF(AND(K4345&lt;&gt;"",K4345=Q4345),"⚠ Origen igual a destino",IF(AND(K4345&lt;&gt;"",ISNA(MATCH(K4345,ctaNombre,0))),"⚠ Destino no registrado",IF(AND(P4345="Pago tarjeta",AE4345&lt;&gt;"Tarjeta de crédito"),"⚠ El destino debe ser tarjeta de crédito",IF(AND(P4345="Gasto",E4345="Depósitos y retiros"),"⚠ Usa tipo Transferencia",IF(AND(P4345="Resultado trading",AD4345&lt;&gt;"Cuenta de trading"),"⚠ Usa una cuenta de trading",IF(AND(G4345&lt;=0,P4345&lt;&gt;"Ajuste",P4345&lt;&gt;"Resultado trading"),"⚠ El monto debe ser positivo","✓")))))))))))))))</f>
        <v/>
      </c>
      <c r="P4345" s="52">
        <f>IF(OR(B4345="",G4345=""),"",IF(C4345="","Gasto",C4345))</f>
        <v/>
      </c>
      <c r="Q4345" s="52">
        <f>IF(P4345="","",IF(J4345&lt;&gt;"",J4345,CuentaPred&amp;""))</f>
        <v/>
      </c>
      <c r="R4345" s="52">
        <f>IF(P4345="","",IF(ISNUMBER(I4345),I4345,TasaUSD))</f>
        <v/>
      </c>
      <c r="S4345" s="53">
        <f>IF(P4345="","",IF(H4345="USD",G4345*R4345,G4345))</f>
        <v/>
      </c>
      <c r="T4345" s="53">
        <f>IF(P4345="","",IF(H4345="USD",G4345,IF(R4345&gt;0,G4345/R4345,0)))</f>
        <v/>
      </c>
      <c r="U4345" s="53">
        <f>IF(P4345="","",IF(P4345="Gasto",S4345,IF(P4345="Reembolso",-S4345,0)))</f>
        <v/>
      </c>
      <c r="V4345" s="53">
        <f>IF(P4345="","",IF(P4345="Ingreso",S4345,0))</f>
        <v/>
      </c>
      <c r="W4345" s="53">
        <f>IF(P4345="","",IF(P4345="Resultado trading",S4345,0))</f>
        <v/>
      </c>
      <c r="X4345" s="52">
        <f>IF(OR(P4345="Gasto",P4345="Reembolso"),IF(M4345&lt;&gt;"",M4345,IFERROR(INDEX(catClasif,MATCH(D4345&amp;"|"&amp;E4345,catClave,0))&amp;"","Variable")),"")</f>
        <v/>
      </c>
      <c r="Y4345" s="52">
        <f>IF(P4345="","",IFERROR(INDEX(catGrupo,MATCH(D4345&amp;"|"&amp;E4345,catClave,0))&amp;"",""))</f>
        <v/>
      </c>
      <c r="Z4345" s="52">
        <f>IF(P4345="","",WEEKDAY(B4345,2))</f>
        <v/>
      </c>
      <c r="AA4345" s="52">
        <f>IF(P4345="","",IF(AND(P4345="Gasto",X4345="Variable",D4345&lt;&gt;catTrading,S4345&gt;0,S4345&lt;=Umbral),1,0))</f>
        <v/>
      </c>
      <c r="AB4345" s="52">
        <f>IF(OR(P4345="",Q4345=""),"",IFERROR(IF(INDEX(ctaVinc,MATCH(Q4345,ctaNombre,0))&amp;""&lt;&gt;"",INDEX(ctaVinc,MATCH(Q4345,ctaNombre,0))&amp;"",Q4345),Q4345))</f>
        <v/>
      </c>
      <c r="AC4345" s="52">
        <f>IF(OR(K4345="",AND(P4345&lt;&gt;"Transferencia",P4345&lt;&gt;"Pago tarjeta")),"",IFERROR(IF(INDEX(ctaVinc,MATCH(K4345,ctaNombre,0))&amp;""&lt;&gt;"",INDEX(ctaVinc,MATCH(K4345,ctaNombre,0))&amp;"",K4345),K4345))</f>
        <v/>
      </c>
      <c r="AD4345" s="52">
        <f>IF(AB4345="","",IFERROR(INDEX(ctaTipo,MATCH(AB4345,ctaNombre,0))&amp;"",""))</f>
        <v/>
      </c>
      <c r="AE4345" s="52">
        <f>IF(AC4345="","",IFERROR(INDEX(ctaTipo,MATCH(AC4345,ctaNombre,0))&amp;"",""))</f>
        <v/>
      </c>
      <c r="AF4345" s="53">
        <f>IF(OR(P4345="",AB4345=""),"",IF(OR(P4345="Gasto",P4345="Transferencia",P4345="Pago tarjeta"),-1,1)*IF(IFERROR(INDEX(ctaMoneda,MATCH(AB4345,ctaNombre,0))&amp;"","DOP")="USD",T4345,S4345))</f>
        <v/>
      </c>
      <c r="AG4345" s="53">
        <f>IF(AC4345="","",IF(IFERROR(INDEX(ctaMoneda,MATCH(AC4345,ctaNombre,0))&amp;"","DOP")="USD",T4345,S4345))</f>
        <v/>
      </c>
      <c r="AH4345" s="53">
        <f>IF(P4345="","",IF(AND(AD4345&lt;&gt;"",COUNTIFS(tcTipo,AD4345,tcLiq,"Sí")&gt;0),IF(OR(P4345="Gasto",P4345="Transferencia",P4345="Pago tarjeta"),-1,1)*S4345,0)+IF(AND(AE4345&lt;&gt;"",COUNTIFS(tcTipo,AE4345,tcLiq,"Sí")&gt;0),S4345,0))</f>
        <v/>
      </c>
      <c r="AI4345" s="52">
        <f>IF(OR(L4345="",P4345=""),"",IF(COUNTIFS(L$6:L4345,L4345,P$6:P4345,"?*")=1,MAX(AI$5:AI4344)+1,""))</f>
        <v/>
      </c>
    </row>
    <row r="4346">
      <c r="B4346" s="47" t="n"/>
      <c r="C4346" s="48" t="n"/>
      <c r="D4346" s="48" t="n"/>
      <c r="E4346" s="48" t="n"/>
      <c r="F4346" s="48" t="n"/>
      <c r="G4346" s="49" t="n"/>
      <c r="H4346" s="48" t="n"/>
      <c r="I4346" s="50" t="n"/>
      <c r="J4346" s="48" t="n"/>
      <c r="K4346" s="48" t="n"/>
      <c r="L4346" s="48" t="n"/>
      <c r="M4346" s="48" t="n"/>
      <c r="N4346" s="48" t="n"/>
      <c r="O4346" s="51">
        <f>IF(AND(B4346="",G4346="",C4346="",D4346="",J4346=""),"",IF(B4346="","⚠ Falta fecha",IF(G4346="","⚠ Falta monto",IF(Q4346="","⚠ Falta cuenta",IF(ISNA(MATCH(Q4346,ctaNombre,0)),"⚠ Cuenta no registrada",IF(AND(OR(P4346="Gasto",P4346="Reembolso"),D4346=""),"⚠ Falta categoría",IF(AND(D4346&lt;&gt;"",E4346&lt;&gt;"",ISNA(MATCH(D4346&amp;"|"&amp;E4346,catClave,0))),"⚠ Subcategoría no corresponde",IF(AND(OR(P4346="Transferencia",P4346="Pago tarjeta"),K4346=""),"⚠ Falta cuenta destino",IF(AND(K4346&lt;&gt;"",P4346&lt;&gt;"Transferencia",P4346&lt;&gt;"Pago tarjeta"),"⚠ Destino solo aplica a transferencias",IF(AND(K4346&lt;&gt;"",K4346=Q4346),"⚠ Origen igual a destino",IF(AND(K4346&lt;&gt;"",ISNA(MATCH(K4346,ctaNombre,0))),"⚠ Destino no registrado",IF(AND(P4346="Pago tarjeta",AE4346&lt;&gt;"Tarjeta de crédito"),"⚠ El destino debe ser tarjeta de crédito",IF(AND(P4346="Gasto",E4346="Depósitos y retiros"),"⚠ Usa tipo Transferencia",IF(AND(P4346="Resultado trading",AD4346&lt;&gt;"Cuenta de trading"),"⚠ Usa una cuenta de trading",IF(AND(G4346&lt;=0,P4346&lt;&gt;"Ajuste",P4346&lt;&gt;"Resultado trading"),"⚠ El monto debe ser positivo","✓")))))))))))))))</f>
        <v/>
      </c>
      <c r="P4346" s="52">
        <f>IF(OR(B4346="",G4346=""),"",IF(C4346="","Gasto",C4346))</f>
        <v/>
      </c>
      <c r="Q4346" s="52">
        <f>IF(P4346="","",IF(J4346&lt;&gt;"",J4346,CuentaPred&amp;""))</f>
        <v/>
      </c>
      <c r="R4346" s="52">
        <f>IF(P4346="","",IF(ISNUMBER(I4346),I4346,TasaUSD))</f>
        <v/>
      </c>
      <c r="S4346" s="53">
        <f>IF(P4346="","",IF(H4346="USD",G4346*R4346,G4346))</f>
        <v/>
      </c>
      <c r="T4346" s="53">
        <f>IF(P4346="","",IF(H4346="USD",G4346,IF(R4346&gt;0,G4346/R4346,0)))</f>
        <v/>
      </c>
      <c r="U4346" s="53">
        <f>IF(P4346="","",IF(P4346="Gasto",S4346,IF(P4346="Reembolso",-S4346,0)))</f>
        <v/>
      </c>
      <c r="V4346" s="53">
        <f>IF(P4346="","",IF(P4346="Ingreso",S4346,0))</f>
        <v/>
      </c>
      <c r="W4346" s="53">
        <f>IF(P4346="","",IF(P4346="Resultado trading",S4346,0))</f>
        <v/>
      </c>
      <c r="X4346" s="52">
        <f>IF(OR(P4346="Gasto",P4346="Reembolso"),IF(M4346&lt;&gt;"",M4346,IFERROR(INDEX(catClasif,MATCH(D4346&amp;"|"&amp;E4346,catClave,0))&amp;"","Variable")),"")</f>
        <v/>
      </c>
      <c r="Y4346" s="52">
        <f>IF(P4346="","",IFERROR(INDEX(catGrupo,MATCH(D4346&amp;"|"&amp;E4346,catClave,0))&amp;"",""))</f>
        <v/>
      </c>
      <c r="Z4346" s="52">
        <f>IF(P4346="","",WEEKDAY(B4346,2))</f>
        <v/>
      </c>
      <c r="AA4346" s="52">
        <f>IF(P4346="","",IF(AND(P4346="Gasto",X4346="Variable",D4346&lt;&gt;catTrading,S4346&gt;0,S4346&lt;=Umbral),1,0))</f>
        <v/>
      </c>
      <c r="AB4346" s="52">
        <f>IF(OR(P4346="",Q4346=""),"",IFERROR(IF(INDEX(ctaVinc,MATCH(Q4346,ctaNombre,0))&amp;""&lt;&gt;"",INDEX(ctaVinc,MATCH(Q4346,ctaNombre,0))&amp;"",Q4346),Q4346))</f>
        <v/>
      </c>
      <c r="AC4346" s="52">
        <f>IF(OR(K4346="",AND(P4346&lt;&gt;"Transferencia",P4346&lt;&gt;"Pago tarjeta")),"",IFERROR(IF(INDEX(ctaVinc,MATCH(K4346,ctaNombre,0))&amp;""&lt;&gt;"",INDEX(ctaVinc,MATCH(K4346,ctaNombre,0))&amp;"",K4346),K4346))</f>
        <v/>
      </c>
      <c r="AD4346" s="52">
        <f>IF(AB4346="","",IFERROR(INDEX(ctaTipo,MATCH(AB4346,ctaNombre,0))&amp;"",""))</f>
        <v/>
      </c>
      <c r="AE4346" s="52">
        <f>IF(AC4346="","",IFERROR(INDEX(ctaTipo,MATCH(AC4346,ctaNombre,0))&amp;"",""))</f>
        <v/>
      </c>
      <c r="AF4346" s="53">
        <f>IF(OR(P4346="",AB4346=""),"",IF(OR(P4346="Gasto",P4346="Transferencia",P4346="Pago tarjeta"),-1,1)*IF(IFERROR(INDEX(ctaMoneda,MATCH(AB4346,ctaNombre,0))&amp;"","DOP")="USD",T4346,S4346))</f>
        <v/>
      </c>
      <c r="AG4346" s="53">
        <f>IF(AC4346="","",IF(IFERROR(INDEX(ctaMoneda,MATCH(AC4346,ctaNombre,0))&amp;"","DOP")="USD",T4346,S4346))</f>
        <v/>
      </c>
      <c r="AH4346" s="53">
        <f>IF(P4346="","",IF(AND(AD4346&lt;&gt;"",COUNTIFS(tcTipo,AD4346,tcLiq,"Sí")&gt;0),IF(OR(P4346="Gasto",P4346="Transferencia",P4346="Pago tarjeta"),-1,1)*S4346,0)+IF(AND(AE4346&lt;&gt;"",COUNTIFS(tcTipo,AE4346,tcLiq,"Sí")&gt;0),S4346,0))</f>
        <v/>
      </c>
      <c r="AI4346" s="52">
        <f>IF(OR(L4346="",P4346=""),"",IF(COUNTIFS(L$6:L4346,L4346,P$6:P4346,"?*")=1,MAX(AI$5:AI4345)+1,""))</f>
        <v/>
      </c>
    </row>
    <row r="4347">
      <c r="B4347" s="47" t="n"/>
      <c r="C4347" s="48" t="n"/>
      <c r="D4347" s="48" t="n"/>
      <c r="E4347" s="48" t="n"/>
      <c r="F4347" s="48" t="n"/>
      <c r="G4347" s="49" t="n"/>
      <c r="H4347" s="48" t="n"/>
      <c r="I4347" s="50" t="n"/>
      <c r="J4347" s="48" t="n"/>
      <c r="K4347" s="48" t="n"/>
      <c r="L4347" s="48" t="n"/>
      <c r="M4347" s="48" t="n"/>
      <c r="N4347" s="48" t="n"/>
      <c r="O4347" s="51">
        <f>IF(AND(B4347="",G4347="",C4347="",D4347="",J4347=""),"",IF(B4347="","⚠ Falta fecha",IF(G4347="","⚠ Falta monto",IF(Q4347="","⚠ Falta cuenta",IF(ISNA(MATCH(Q4347,ctaNombre,0)),"⚠ Cuenta no registrada",IF(AND(OR(P4347="Gasto",P4347="Reembolso"),D4347=""),"⚠ Falta categoría",IF(AND(D4347&lt;&gt;"",E4347&lt;&gt;"",ISNA(MATCH(D4347&amp;"|"&amp;E4347,catClave,0))),"⚠ Subcategoría no corresponde",IF(AND(OR(P4347="Transferencia",P4347="Pago tarjeta"),K4347=""),"⚠ Falta cuenta destino",IF(AND(K4347&lt;&gt;"",P4347&lt;&gt;"Transferencia",P4347&lt;&gt;"Pago tarjeta"),"⚠ Destino solo aplica a transferencias",IF(AND(K4347&lt;&gt;"",K4347=Q4347),"⚠ Origen igual a destino",IF(AND(K4347&lt;&gt;"",ISNA(MATCH(K4347,ctaNombre,0))),"⚠ Destino no registrado",IF(AND(P4347="Pago tarjeta",AE4347&lt;&gt;"Tarjeta de crédito"),"⚠ El destino debe ser tarjeta de crédito",IF(AND(P4347="Gasto",E4347="Depósitos y retiros"),"⚠ Usa tipo Transferencia",IF(AND(P4347="Resultado trading",AD4347&lt;&gt;"Cuenta de trading"),"⚠ Usa una cuenta de trading",IF(AND(G4347&lt;=0,P4347&lt;&gt;"Ajuste",P4347&lt;&gt;"Resultado trading"),"⚠ El monto debe ser positivo","✓")))))))))))))))</f>
        <v/>
      </c>
      <c r="P4347" s="52">
        <f>IF(OR(B4347="",G4347=""),"",IF(C4347="","Gasto",C4347))</f>
        <v/>
      </c>
      <c r="Q4347" s="52">
        <f>IF(P4347="","",IF(J4347&lt;&gt;"",J4347,CuentaPred&amp;""))</f>
        <v/>
      </c>
      <c r="R4347" s="52">
        <f>IF(P4347="","",IF(ISNUMBER(I4347),I4347,TasaUSD))</f>
        <v/>
      </c>
      <c r="S4347" s="53">
        <f>IF(P4347="","",IF(H4347="USD",G4347*R4347,G4347))</f>
        <v/>
      </c>
      <c r="T4347" s="53">
        <f>IF(P4347="","",IF(H4347="USD",G4347,IF(R4347&gt;0,G4347/R4347,0)))</f>
        <v/>
      </c>
      <c r="U4347" s="53">
        <f>IF(P4347="","",IF(P4347="Gasto",S4347,IF(P4347="Reembolso",-S4347,0)))</f>
        <v/>
      </c>
      <c r="V4347" s="53">
        <f>IF(P4347="","",IF(P4347="Ingreso",S4347,0))</f>
        <v/>
      </c>
      <c r="W4347" s="53">
        <f>IF(P4347="","",IF(P4347="Resultado trading",S4347,0))</f>
        <v/>
      </c>
      <c r="X4347" s="52">
        <f>IF(OR(P4347="Gasto",P4347="Reembolso"),IF(M4347&lt;&gt;"",M4347,IFERROR(INDEX(catClasif,MATCH(D4347&amp;"|"&amp;E4347,catClave,0))&amp;"","Variable")),"")</f>
        <v/>
      </c>
      <c r="Y4347" s="52">
        <f>IF(P4347="","",IFERROR(INDEX(catGrupo,MATCH(D4347&amp;"|"&amp;E4347,catClave,0))&amp;"",""))</f>
        <v/>
      </c>
      <c r="Z4347" s="52">
        <f>IF(P4347="","",WEEKDAY(B4347,2))</f>
        <v/>
      </c>
      <c r="AA4347" s="52">
        <f>IF(P4347="","",IF(AND(P4347="Gasto",X4347="Variable",D4347&lt;&gt;catTrading,S4347&gt;0,S4347&lt;=Umbral),1,0))</f>
        <v/>
      </c>
      <c r="AB4347" s="52">
        <f>IF(OR(P4347="",Q4347=""),"",IFERROR(IF(INDEX(ctaVinc,MATCH(Q4347,ctaNombre,0))&amp;""&lt;&gt;"",INDEX(ctaVinc,MATCH(Q4347,ctaNombre,0))&amp;"",Q4347),Q4347))</f>
        <v/>
      </c>
      <c r="AC4347" s="52">
        <f>IF(OR(K4347="",AND(P4347&lt;&gt;"Transferencia",P4347&lt;&gt;"Pago tarjeta")),"",IFERROR(IF(INDEX(ctaVinc,MATCH(K4347,ctaNombre,0))&amp;""&lt;&gt;"",INDEX(ctaVinc,MATCH(K4347,ctaNombre,0))&amp;"",K4347),K4347))</f>
        <v/>
      </c>
      <c r="AD4347" s="52">
        <f>IF(AB4347="","",IFERROR(INDEX(ctaTipo,MATCH(AB4347,ctaNombre,0))&amp;"",""))</f>
        <v/>
      </c>
      <c r="AE4347" s="52">
        <f>IF(AC4347="","",IFERROR(INDEX(ctaTipo,MATCH(AC4347,ctaNombre,0))&amp;"",""))</f>
        <v/>
      </c>
      <c r="AF4347" s="53">
        <f>IF(OR(P4347="",AB4347=""),"",IF(OR(P4347="Gasto",P4347="Transferencia",P4347="Pago tarjeta"),-1,1)*IF(IFERROR(INDEX(ctaMoneda,MATCH(AB4347,ctaNombre,0))&amp;"","DOP")="USD",T4347,S4347))</f>
        <v/>
      </c>
      <c r="AG4347" s="53">
        <f>IF(AC4347="","",IF(IFERROR(INDEX(ctaMoneda,MATCH(AC4347,ctaNombre,0))&amp;"","DOP")="USD",T4347,S4347))</f>
        <v/>
      </c>
      <c r="AH4347" s="53">
        <f>IF(P4347="","",IF(AND(AD4347&lt;&gt;"",COUNTIFS(tcTipo,AD4347,tcLiq,"Sí")&gt;0),IF(OR(P4347="Gasto",P4347="Transferencia",P4347="Pago tarjeta"),-1,1)*S4347,0)+IF(AND(AE4347&lt;&gt;"",COUNTIFS(tcTipo,AE4347,tcLiq,"Sí")&gt;0),S4347,0))</f>
        <v/>
      </c>
      <c r="AI4347" s="52">
        <f>IF(OR(L4347="",P4347=""),"",IF(COUNTIFS(L$6:L4347,L4347,P$6:P4347,"?*")=1,MAX(AI$5:AI4346)+1,""))</f>
        <v/>
      </c>
    </row>
    <row r="4348">
      <c r="B4348" s="47" t="n"/>
      <c r="C4348" s="48" t="n"/>
      <c r="D4348" s="48" t="n"/>
      <c r="E4348" s="48" t="n"/>
      <c r="F4348" s="48" t="n"/>
      <c r="G4348" s="49" t="n"/>
      <c r="H4348" s="48" t="n"/>
      <c r="I4348" s="50" t="n"/>
      <c r="J4348" s="48" t="n"/>
      <c r="K4348" s="48" t="n"/>
      <c r="L4348" s="48" t="n"/>
      <c r="M4348" s="48" t="n"/>
      <c r="N4348" s="48" t="n"/>
      <c r="O4348" s="51">
        <f>IF(AND(B4348="",G4348="",C4348="",D4348="",J4348=""),"",IF(B4348="","⚠ Falta fecha",IF(G4348="","⚠ Falta monto",IF(Q4348="","⚠ Falta cuenta",IF(ISNA(MATCH(Q4348,ctaNombre,0)),"⚠ Cuenta no registrada",IF(AND(OR(P4348="Gasto",P4348="Reembolso"),D4348=""),"⚠ Falta categoría",IF(AND(D4348&lt;&gt;"",E4348&lt;&gt;"",ISNA(MATCH(D4348&amp;"|"&amp;E4348,catClave,0))),"⚠ Subcategoría no corresponde",IF(AND(OR(P4348="Transferencia",P4348="Pago tarjeta"),K4348=""),"⚠ Falta cuenta destino",IF(AND(K4348&lt;&gt;"",P4348&lt;&gt;"Transferencia",P4348&lt;&gt;"Pago tarjeta"),"⚠ Destino solo aplica a transferencias",IF(AND(K4348&lt;&gt;"",K4348=Q4348),"⚠ Origen igual a destino",IF(AND(K4348&lt;&gt;"",ISNA(MATCH(K4348,ctaNombre,0))),"⚠ Destino no registrado",IF(AND(P4348="Pago tarjeta",AE4348&lt;&gt;"Tarjeta de crédito"),"⚠ El destino debe ser tarjeta de crédito",IF(AND(P4348="Gasto",E4348="Depósitos y retiros"),"⚠ Usa tipo Transferencia",IF(AND(P4348="Resultado trading",AD4348&lt;&gt;"Cuenta de trading"),"⚠ Usa una cuenta de trading",IF(AND(G4348&lt;=0,P4348&lt;&gt;"Ajuste",P4348&lt;&gt;"Resultado trading"),"⚠ El monto debe ser positivo","✓")))))))))))))))</f>
        <v/>
      </c>
      <c r="P4348" s="52">
        <f>IF(OR(B4348="",G4348=""),"",IF(C4348="","Gasto",C4348))</f>
        <v/>
      </c>
      <c r="Q4348" s="52">
        <f>IF(P4348="","",IF(J4348&lt;&gt;"",J4348,CuentaPred&amp;""))</f>
        <v/>
      </c>
      <c r="R4348" s="52">
        <f>IF(P4348="","",IF(ISNUMBER(I4348),I4348,TasaUSD))</f>
        <v/>
      </c>
      <c r="S4348" s="53">
        <f>IF(P4348="","",IF(H4348="USD",G4348*R4348,G4348))</f>
        <v/>
      </c>
      <c r="T4348" s="53">
        <f>IF(P4348="","",IF(H4348="USD",G4348,IF(R4348&gt;0,G4348/R4348,0)))</f>
        <v/>
      </c>
      <c r="U4348" s="53">
        <f>IF(P4348="","",IF(P4348="Gasto",S4348,IF(P4348="Reembolso",-S4348,0)))</f>
        <v/>
      </c>
      <c r="V4348" s="53">
        <f>IF(P4348="","",IF(P4348="Ingreso",S4348,0))</f>
        <v/>
      </c>
      <c r="W4348" s="53">
        <f>IF(P4348="","",IF(P4348="Resultado trading",S4348,0))</f>
        <v/>
      </c>
      <c r="X4348" s="52">
        <f>IF(OR(P4348="Gasto",P4348="Reembolso"),IF(M4348&lt;&gt;"",M4348,IFERROR(INDEX(catClasif,MATCH(D4348&amp;"|"&amp;E4348,catClave,0))&amp;"","Variable")),"")</f>
        <v/>
      </c>
      <c r="Y4348" s="52">
        <f>IF(P4348="","",IFERROR(INDEX(catGrupo,MATCH(D4348&amp;"|"&amp;E4348,catClave,0))&amp;"",""))</f>
        <v/>
      </c>
      <c r="Z4348" s="52">
        <f>IF(P4348="","",WEEKDAY(B4348,2))</f>
        <v/>
      </c>
      <c r="AA4348" s="52">
        <f>IF(P4348="","",IF(AND(P4348="Gasto",X4348="Variable",D4348&lt;&gt;catTrading,S4348&gt;0,S4348&lt;=Umbral),1,0))</f>
        <v/>
      </c>
      <c r="AB4348" s="52">
        <f>IF(OR(P4348="",Q4348=""),"",IFERROR(IF(INDEX(ctaVinc,MATCH(Q4348,ctaNombre,0))&amp;""&lt;&gt;"",INDEX(ctaVinc,MATCH(Q4348,ctaNombre,0))&amp;"",Q4348),Q4348))</f>
        <v/>
      </c>
      <c r="AC4348" s="52">
        <f>IF(OR(K4348="",AND(P4348&lt;&gt;"Transferencia",P4348&lt;&gt;"Pago tarjeta")),"",IFERROR(IF(INDEX(ctaVinc,MATCH(K4348,ctaNombre,0))&amp;""&lt;&gt;"",INDEX(ctaVinc,MATCH(K4348,ctaNombre,0))&amp;"",K4348),K4348))</f>
        <v/>
      </c>
      <c r="AD4348" s="52">
        <f>IF(AB4348="","",IFERROR(INDEX(ctaTipo,MATCH(AB4348,ctaNombre,0))&amp;"",""))</f>
        <v/>
      </c>
      <c r="AE4348" s="52">
        <f>IF(AC4348="","",IFERROR(INDEX(ctaTipo,MATCH(AC4348,ctaNombre,0))&amp;"",""))</f>
        <v/>
      </c>
      <c r="AF4348" s="53">
        <f>IF(OR(P4348="",AB4348=""),"",IF(OR(P4348="Gasto",P4348="Transferencia",P4348="Pago tarjeta"),-1,1)*IF(IFERROR(INDEX(ctaMoneda,MATCH(AB4348,ctaNombre,0))&amp;"","DOP")="USD",T4348,S4348))</f>
        <v/>
      </c>
      <c r="AG4348" s="53">
        <f>IF(AC4348="","",IF(IFERROR(INDEX(ctaMoneda,MATCH(AC4348,ctaNombre,0))&amp;"","DOP")="USD",T4348,S4348))</f>
        <v/>
      </c>
      <c r="AH4348" s="53">
        <f>IF(P4348="","",IF(AND(AD4348&lt;&gt;"",COUNTIFS(tcTipo,AD4348,tcLiq,"Sí")&gt;0),IF(OR(P4348="Gasto",P4348="Transferencia",P4348="Pago tarjeta"),-1,1)*S4348,0)+IF(AND(AE4348&lt;&gt;"",COUNTIFS(tcTipo,AE4348,tcLiq,"Sí")&gt;0),S4348,0))</f>
        <v/>
      </c>
      <c r="AI4348" s="52">
        <f>IF(OR(L4348="",P4348=""),"",IF(COUNTIFS(L$6:L4348,L4348,P$6:P4348,"?*")=1,MAX(AI$5:AI4347)+1,""))</f>
        <v/>
      </c>
    </row>
    <row r="4349">
      <c r="B4349" s="47" t="n"/>
      <c r="C4349" s="48" t="n"/>
      <c r="D4349" s="48" t="n"/>
      <c r="E4349" s="48" t="n"/>
      <c r="F4349" s="48" t="n"/>
      <c r="G4349" s="49" t="n"/>
      <c r="H4349" s="48" t="n"/>
      <c r="I4349" s="50" t="n"/>
      <c r="J4349" s="48" t="n"/>
      <c r="K4349" s="48" t="n"/>
      <c r="L4349" s="48" t="n"/>
      <c r="M4349" s="48" t="n"/>
      <c r="N4349" s="48" t="n"/>
      <c r="O4349" s="51">
        <f>IF(AND(B4349="",G4349="",C4349="",D4349="",J4349=""),"",IF(B4349="","⚠ Falta fecha",IF(G4349="","⚠ Falta monto",IF(Q4349="","⚠ Falta cuenta",IF(ISNA(MATCH(Q4349,ctaNombre,0)),"⚠ Cuenta no registrada",IF(AND(OR(P4349="Gasto",P4349="Reembolso"),D4349=""),"⚠ Falta categoría",IF(AND(D4349&lt;&gt;"",E4349&lt;&gt;"",ISNA(MATCH(D4349&amp;"|"&amp;E4349,catClave,0))),"⚠ Subcategoría no corresponde",IF(AND(OR(P4349="Transferencia",P4349="Pago tarjeta"),K4349=""),"⚠ Falta cuenta destino",IF(AND(K4349&lt;&gt;"",P4349&lt;&gt;"Transferencia",P4349&lt;&gt;"Pago tarjeta"),"⚠ Destino solo aplica a transferencias",IF(AND(K4349&lt;&gt;"",K4349=Q4349),"⚠ Origen igual a destino",IF(AND(K4349&lt;&gt;"",ISNA(MATCH(K4349,ctaNombre,0))),"⚠ Destino no registrado",IF(AND(P4349="Pago tarjeta",AE4349&lt;&gt;"Tarjeta de crédito"),"⚠ El destino debe ser tarjeta de crédito",IF(AND(P4349="Gasto",E4349="Depósitos y retiros"),"⚠ Usa tipo Transferencia",IF(AND(P4349="Resultado trading",AD4349&lt;&gt;"Cuenta de trading"),"⚠ Usa una cuenta de trading",IF(AND(G4349&lt;=0,P4349&lt;&gt;"Ajuste",P4349&lt;&gt;"Resultado trading"),"⚠ El monto debe ser positivo","✓")))))))))))))))</f>
        <v/>
      </c>
      <c r="P4349" s="52">
        <f>IF(OR(B4349="",G4349=""),"",IF(C4349="","Gasto",C4349))</f>
        <v/>
      </c>
      <c r="Q4349" s="52">
        <f>IF(P4349="","",IF(J4349&lt;&gt;"",J4349,CuentaPred&amp;""))</f>
        <v/>
      </c>
      <c r="R4349" s="52">
        <f>IF(P4349="","",IF(ISNUMBER(I4349),I4349,TasaUSD))</f>
        <v/>
      </c>
      <c r="S4349" s="53">
        <f>IF(P4349="","",IF(H4349="USD",G4349*R4349,G4349))</f>
        <v/>
      </c>
      <c r="T4349" s="53">
        <f>IF(P4349="","",IF(H4349="USD",G4349,IF(R4349&gt;0,G4349/R4349,0)))</f>
        <v/>
      </c>
      <c r="U4349" s="53">
        <f>IF(P4349="","",IF(P4349="Gasto",S4349,IF(P4349="Reembolso",-S4349,0)))</f>
        <v/>
      </c>
      <c r="V4349" s="53">
        <f>IF(P4349="","",IF(P4349="Ingreso",S4349,0))</f>
        <v/>
      </c>
      <c r="W4349" s="53">
        <f>IF(P4349="","",IF(P4349="Resultado trading",S4349,0))</f>
        <v/>
      </c>
      <c r="X4349" s="52">
        <f>IF(OR(P4349="Gasto",P4349="Reembolso"),IF(M4349&lt;&gt;"",M4349,IFERROR(INDEX(catClasif,MATCH(D4349&amp;"|"&amp;E4349,catClave,0))&amp;"","Variable")),"")</f>
        <v/>
      </c>
      <c r="Y4349" s="52">
        <f>IF(P4349="","",IFERROR(INDEX(catGrupo,MATCH(D4349&amp;"|"&amp;E4349,catClave,0))&amp;"",""))</f>
        <v/>
      </c>
      <c r="Z4349" s="52">
        <f>IF(P4349="","",WEEKDAY(B4349,2))</f>
        <v/>
      </c>
      <c r="AA4349" s="52">
        <f>IF(P4349="","",IF(AND(P4349="Gasto",X4349="Variable",D4349&lt;&gt;catTrading,S4349&gt;0,S4349&lt;=Umbral),1,0))</f>
        <v/>
      </c>
      <c r="AB4349" s="52">
        <f>IF(OR(P4349="",Q4349=""),"",IFERROR(IF(INDEX(ctaVinc,MATCH(Q4349,ctaNombre,0))&amp;""&lt;&gt;"",INDEX(ctaVinc,MATCH(Q4349,ctaNombre,0))&amp;"",Q4349),Q4349))</f>
        <v/>
      </c>
      <c r="AC4349" s="52">
        <f>IF(OR(K4349="",AND(P4349&lt;&gt;"Transferencia",P4349&lt;&gt;"Pago tarjeta")),"",IFERROR(IF(INDEX(ctaVinc,MATCH(K4349,ctaNombre,0))&amp;""&lt;&gt;"",INDEX(ctaVinc,MATCH(K4349,ctaNombre,0))&amp;"",K4349),K4349))</f>
        <v/>
      </c>
      <c r="AD4349" s="52">
        <f>IF(AB4349="","",IFERROR(INDEX(ctaTipo,MATCH(AB4349,ctaNombre,0))&amp;"",""))</f>
        <v/>
      </c>
      <c r="AE4349" s="52">
        <f>IF(AC4349="","",IFERROR(INDEX(ctaTipo,MATCH(AC4349,ctaNombre,0))&amp;"",""))</f>
        <v/>
      </c>
      <c r="AF4349" s="53">
        <f>IF(OR(P4349="",AB4349=""),"",IF(OR(P4349="Gasto",P4349="Transferencia",P4349="Pago tarjeta"),-1,1)*IF(IFERROR(INDEX(ctaMoneda,MATCH(AB4349,ctaNombre,0))&amp;"","DOP")="USD",T4349,S4349))</f>
        <v/>
      </c>
      <c r="AG4349" s="53">
        <f>IF(AC4349="","",IF(IFERROR(INDEX(ctaMoneda,MATCH(AC4349,ctaNombre,0))&amp;"","DOP")="USD",T4349,S4349))</f>
        <v/>
      </c>
      <c r="AH4349" s="53">
        <f>IF(P4349="","",IF(AND(AD4349&lt;&gt;"",COUNTIFS(tcTipo,AD4349,tcLiq,"Sí")&gt;0),IF(OR(P4349="Gasto",P4349="Transferencia",P4349="Pago tarjeta"),-1,1)*S4349,0)+IF(AND(AE4349&lt;&gt;"",COUNTIFS(tcTipo,AE4349,tcLiq,"Sí")&gt;0),S4349,0))</f>
        <v/>
      </c>
      <c r="AI4349" s="52">
        <f>IF(OR(L4349="",P4349=""),"",IF(COUNTIFS(L$6:L4349,L4349,P$6:P4349,"?*")=1,MAX(AI$5:AI4348)+1,""))</f>
        <v/>
      </c>
    </row>
    <row r="4350">
      <c r="B4350" s="47" t="n"/>
      <c r="C4350" s="48" t="n"/>
      <c r="D4350" s="48" t="n"/>
      <c r="E4350" s="48" t="n"/>
      <c r="F4350" s="48" t="n"/>
      <c r="G4350" s="49" t="n"/>
      <c r="H4350" s="48" t="n"/>
      <c r="I4350" s="50" t="n"/>
      <c r="J4350" s="48" t="n"/>
      <c r="K4350" s="48" t="n"/>
      <c r="L4350" s="48" t="n"/>
      <c r="M4350" s="48" t="n"/>
      <c r="N4350" s="48" t="n"/>
      <c r="O4350" s="51">
        <f>IF(AND(B4350="",G4350="",C4350="",D4350="",J4350=""),"",IF(B4350="","⚠ Falta fecha",IF(G4350="","⚠ Falta monto",IF(Q4350="","⚠ Falta cuenta",IF(ISNA(MATCH(Q4350,ctaNombre,0)),"⚠ Cuenta no registrada",IF(AND(OR(P4350="Gasto",P4350="Reembolso"),D4350=""),"⚠ Falta categoría",IF(AND(D4350&lt;&gt;"",E4350&lt;&gt;"",ISNA(MATCH(D4350&amp;"|"&amp;E4350,catClave,0))),"⚠ Subcategoría no corresponde",IF(AND(OR(P4350="Transferencia",P4350="Pago tarjeta"),K4350=""),"⚠ Falta cuenta destino",IF(AND(K4350&lt;&gt;"",P4350&lt;&gt;"Transferencia",P4350&lt;&gt;"Pago tarjeta"),"⚠ Destino solo aplica a transferencias",IF(AND(K4350&lt;&gt;"",K4350=Q4350),"⚠ Origen igual a destino",IF(AND(K4350&lt;&gt;"",ISNA(MATCH(K4350,ctaNombre,0))),"⚠ Destino no registrado",IF(AND(P4350="Pago tarjeta",AE4350&lt;&gt;"Tarjeta de crédito"),"⚠ El destino debe ser tarjeta de crédito",IF(AND(P4350="Gasto",E4350="Depósitos y retiros"),"⚠ Usa tipo Transferencia",IF(AND(P4350="Resultado trading",AD4350&lt;&gt;"Cuenta de trading"),"⚠ Usa una cuenta de trading",IF(AND(G4350&lt;=0,P4350&lt;&gt;"Ajuste",P4350&lt;&gt;"Resultado trading"),"⚠ El monto debe ser positivo","✓")))))))))))))))</f>
        <v/>
      </c>
      <c r="P4350" s="52">
        <f>IF(OR(B4350="",G4350=""),"",IF(C4350="","Gasto",C4350))</f>
        <v/>
      </c>
      <c r="Q4350" s="52">
        <f>IF(P4350="","",IF(J4350&lt;&gt;"",J4350,CuentaPred&amp;""))</f>
        <v/>
      </c>
      <c r="R4350" s="52">
        <f>IF(P4350="","",IF(ISNUMBER(I4350),I4350,TasaUSD))</f>
        <v/>
      </c>
      <c r="S4350" s="53">
        <f>IF(P4350="","",IF(H4350="USD",G4350*R4350,G4350))</f>
        <v/>
      </c>
      <c r="T4350" s="53">
        <f>IF(P4350="","",IF(H4350="USD",G4350,IF(R4350&gt;0,G4350/R4350,0)))</f>
        <v/>
      </c>
      <c r="U4350" s="53">
        <f>IF(P4350="","",IF(P4350="Gasto",S4350,IF(P4350="Reembolso",-S4350,0)))</f>
        <v/>
      </c>
      <c r="V4350" s="53">
        <f>IF(P4350="","",IF(P4350="Ingreso",S4350,0))</f>
        <v/>
      </c>
      <c r="W4350" s="53">
        <f>IF(P4350="","",IF(P4350="Resultado trading",S4350,0))</f>
        <v/>
      </c>
      <c r="X4350" s="52">
        <f>IF(OR(P4350="Gasto",P4350="Reembolso"),IF(M4350&lt;&gt;"",M4350,IFERROR(INDEX(catClasif,MATCH(D4350&amp;"|"&amp;E4350,catClave,0))&amp;"","Variable")),"")</f>
        <v/>
      </c>
      <c r="Y4350" s="52">
        <f>IF(P4350="","",IFERROR(INDEX(catGrupo,MATCH(D4350&amp;"|"&amp;E4350,catClave,0))&amp;"",""))</f>
        <v/>
      </c>
      <c r="Z4350" s="52">
        <f>IF(P4350="","",WEEKDAY(B4350,2))</f>
        <v/>
      </c>
      <c r="AA4350" s="52">
        <f>IF(P4350="","",IF(AND(P4350="Gasto",X4350="Variable",D4350&lt;&gt;catTrading,S4350&gt;0,S4350&lt;=Umbral),1,0))</f>
        <v/>
      </c>
      <c r="AB4350" s="52">
        <f>IF(OR(P4350="",Q4350=""),"",IFERROR(IF(INDEX(ctaVinc,MATCH(Q4350,ctaNombre,0))&amp;""&lt;&gt;"",INDEX(ctaVinc,MATCH(Q4350,ctaNombre,0))&amp;"",Q4350),Q4350))</f>
        <v/>
      </c>
      <c r="AC4350" s="52">
        <f>IF(OR(K4350="",AND(P4350&lt;&gt;"Transferencia",P4350&lt;&gt;"Pago tarjeta")),"",IFERROR(IF(INDEX(ctaVinc,MATCH(K4350,ctaNombre,0))&amp;""&lt;&gt;"",INDEX(ctaVinc,MATCH(K4350,ctaNombre,0))&amp;"",K4350),K4350))</f>
        <v/>
      </c>
      <c r="AD4350" s="52">
        <f>IF(AB4350="","",IFERROR(INDEX(ctaTipo,MATCH(AB4350,ctaNombre,0))&amp;"",""))</f>
        <v/>
      </c>
      <c r="AE4350" s="52">
        <f>IF(AC4350="","",IFERROR(INDEX(ctaTipo,MATCH(AC4350,ctaNombre,0))&amp;"",""))</f>
        <v/>
      </c>
      <c r="AF4350" s="53">
        <f>IF(OR(P4350="",AB4350=""),"",IF(OR(P4350="Gasto",P4350="Transferencia",P4350="Pago tarjeta"),-1,1)*IF(IFERROR(INDEX(ctaMoneda,MATCH(AB4350,ctaNombre,0))&amp;"","DOP")="USD",T4350,S4350))</f>
        <v/>
      </c>
      <c r="AG4350" s="53">
        <f>IF(AC4350="","",IF(IFERROR(INDEX(ctaMoneda,MATCH(AC4350,ctaNombre,0))&amp;"","DOP")="USD",T4350,S4350))</f>
        <v/>
      </c>
      <c r="AH4350" s="53">
        <f>IF(P4350="","",IF(AND(AD4350&lt;&gt;"",COUNTIFS(tcTipo,AD4350,tcLiq,"Sí")&gt;0),IF(OR(P4350="Gasto",P4350="Transferencia",P4350="Pago tarjeta"),-1,1)*S4350,0)+IF(AND(AE4350&lt;&gt;"",COUNTIFS(tcTipo,AE4350,tcLiq,"Sí")&gt;0),S4350,0))</f>
        <v/>
      </c>
      <c r="AI4350" s="52">
        <f>IF(OR(L4350="",P4350=""),"",IF(COUNTIFS(L$6:L4350,L4350,P$6:P4350,"?*")=1,MAX(AI$5:AI4349)+1,""))</f>
        <v/>
      </c>
    </row>
    <row r="4351">
      <c r="B4351" s="47" t="n"/>
      <c r="C4351" s="48" t="n"/>
      <c r="D4351" s="48" t="n"/>
      <c r="E4351" s="48" t="n"/>
      <c r="F4351" s="48" t="n"/>
      <c r="G4351" s="49" t="n"/>
      <c r="H4351" s="48" t="n"/>
      <c r="I4351" s="50" t="n"/>
      <c r="J4351" s="48" t="n"/>
      <c r="K4351" s="48" t="n"/>
      <c r="L4351" s="48" t="n"/>
      <c r="M4351" s="48" t="n"/>
      <c r="N4351" s="48" t="n"/>
      <c r="O4351" s="51">
        <f>IF(AND(B4351="",G4351="",C4351="",D4351="",J4351=""),"",IF(B4351="","⚠ Falta fecha",IF(G4351="","⚠ Falta monto",IF(Q4351="","⚠ Falta cuenta",IF(ISNA(MATCH(Q4351,ctaNombre,0)),"⚠ Cuenta no registrada",IF(AND(OR(P4351="Gasto",P4351="Reembolso"),D4351=""),"⚠ Falta categoría",IF(AND(D4351&lt;&gt;"",E4351&lt;&gt;"",ISNA(MATCH(D4351&amp;"|"&amp;E4351,catClave,0))),"⚠ Subcategoría no corresponde",IF(AND(OR(P4351="Transferencia",P4351="Pago tarjeta"),K4351=""),"⚠ Falta cuenta destino",IF(AND(K4351&lt;&gt;"",P4351&lt;&gt;"Transferencia",P4351&lt;&gt;"Pago tarjeta"),"⚠ Destino solo aplica a transferencias",IF(AND(K4351&lt;&gt;"",K4351=Q4351),"⚠ Origen igual a destino",IF(AND(K4351&lt;&gt;"",ISNA(MATCH(K4351,ctaNombre,0))),"⚠ Destino no registrado",IF(AND(P4351="Pago tarjeta",AE4351&lt;&gt;"Tarjeta de crédito"),"⚠ El destino debe ser tarjeta de crédito",IF(AND(P4351="Gasto",E4351="Depósitos y retiros"),"⚠ Usa tipo Transferencia",IF(AND(P4351="Resultado trading",AD4351&lt;&gt;"Cuenta de trading"),"⚠ Usa una cuenta de trading",IF(AND(G4351&lt;=0,P4351&lt;&gt;"Ajuste",P4351&lt;&gt;"Resultado trading"),"⚠ El monto debe ser positivo","✓")))))))))))))))</f>
        <v/>
      </c>
      <c r="P4351" s="52">
        <f>IF(OR(B4351="",G4351=""),"",IF(C4351="","Gasto",C4351))</f>
        <v/>
      </c>
      <c r="Q4351" s="52">
        <f>IF(P4351="","",IF(J4351&lt;&gt;"",J4351,CuentaPred&amp;""))</f>
        <v/>
      </c>
      <c r="R4351" s="52">
        <f>IF(P4351="","",IF(ISNUMBER(I4351),I4351,TasaUSD))</f>
        <v/>
      </c>
      <c r="S4351" s="53">
        <f>IF(P4351="","",IF(H4351="USD",G4351*R4351,G4351))</f>
        <v/>
      </c>
      <c r="T4351" s="53">
        <f>IF(P4351="","",IF(H4351="USD",G4351,IF(R4351&gt;0,G4351/R4351,0)))</f>
        <v/>
      </c>
      <c r="U4351" s="53">
        <f>IF(P4351="","",IF(P4351="Gasto",S4351,IF(P4351="Reembolso",-S4351,0)))</f>
        <v/>
      </c>
      <c r="V4351" s="53">
        <f>IF(P4351="","",IF(P4351="Ingreso",S4351,0))</f>
        <v/>
      </c>
      <c r="W4351" s="53">
        <f>IF(P4351="","",IF(P4351="Resultado trading",S4351,0))</f>
        <v/>
      </c>
      <c r="X4351" s="52">
        <f>IF(OR(P4351="Gasto",P4351="Reembolso"),IF(M4351&lt;&gt;"",M4351,IFERROR(INDEX(catClasif,MATCH(D4351&amp;"|"&amp;E4351,catClave,0))&amp;"","Variable")),"")</f>
        <v/>
      </c>
      <c r="Y4351" s="52">
        <f>IF(P4351="","",IFERROR(INDEX(catGrupo,MATCH(D4351&amp;"|"&amp;E4351,catClave,0))&amp;"",""))</f>
        <v/>
      </c>
      <c r="Z4351" s="52">
        <f>IF(P4351="","",WEEKDAY(B4351,2))</f>
        <v/>
      </c>
      <c r="AA4351" s="52">
        <f>IF(P4351="","",IF(AND(P4351="Gasto",X4351="Variable",D4351&lt;&gt;catTrading,S4351&gt;0,S4351&lt;=Umbral),1,0))</f>
        <v/>
      </c>
      <c r="AB4351" s="52">
        <f>IF(OR(P4351="",Q4351=""),"",IFERROR(IF(INDEX(ctaVinc,MATCH(Q4351,ctaNombre,0))&amp;""&lt;&gt;"",INDEX(ctaVinc,MATCH(Q4351,ctaNombre,0))&amp;"",Q4351),Q4351))</f>
        <v/>
      </c>
      <c r="AC4351" s="52">
        <f>IF(OR(K4351="",AND(P4351&lt;&gt;"Transferencia",P4351&lt;&gt;"Pago tarjeta")),"",IFERROR(IF(INDEX(ctaVinc,MATCH(K4351,ctaNombre,0))&amp;""&lt;&gt;"",INDEX(ctaVinc,MATCH(K4351,ctaNombre,0))&amp;"",K4351),K4351))</f>
        <v/>
      </c>
      <c r="AD4351" s="52">
        <f>IF(AB4351="","",IFERROR(INDEX(ctaTipo,MATCH(AB4351,ctaNombre,0))&amp;"",""))</f>
        <v/>
      </c>
      <c r="AE4351" s="52">
        <f>IF(AC4351="","",IFERROR(INDEX(ctaTipo,MATCH(AC4351,ctaNombre,0))&amp;"",""))</f>
        <v/>
      </c>
      <c r="AF4351" s="53">
        <f>IF(OR(P4351="",AB4351=""),"",IF(OR(P4351="Gasto",P4351="Transferencia",P4351="Pago tarjeta"),-1,1)*IF(IFERROR(INDEX(ctaMoneda,MATCH(AB4351,ctaNombre,0))&amp;"","DOP")="USD",T4351,S4351))</f>
        <v/>
      </c>
      <c r="AG4351" s="53">
        <f>IF(AC4351="","",IF(IFERROR(INDEX(ctaMoneda,MATCH(AC4351,ctaNombre,0))&amp;"","DOP")="USD",T4351,S4351))</f>
        <v/>
      </c>
      <c r="AH4351" s="53">
        <f>IF(P4351="","",IF(AND(AD4351&lt;&gt;"",COUNTIFS(tcTipo,AD4351,tcLiq,"Sí")&gt;0),IF(OR(P4351="Gasto",P4351="Transferencia",P4351="Pago tarjeta"),-1,1)*S4351,0)+IF(AND(AE4351&lt;&gt;"",COUNTIFS(tcTipo,AE4351,tcLiq,"Sí")&gt;0),S4351,0))</f>
        <v/>
      </c>
      <c r="AI4351" s="52">
        <f>IF(OR(L4351="",P4351=""),"",IF(COUNTIFS(L$6:L4351,L4351,P$6:P4351,"?*")=1,MAX(AI$5:AI4350)+1,""))</f>
        <v/>
      </c>
    </row>
    <row r="4352">
      <c r="B4352" s="47" t="n"/>
      <c r="C4352" s="48" t="n"/>
      <c r="D4352" s="48" t="n"/>
      <c r="E4352" s="48" t="n"/>
      <c r="F4352" s="48" t="n"/>
      <c r="G4352" s="49" t="n"/>
      <c r="H4352" s="48" t="n"/>
      <c r="I4352" s="50" t="n"/>
      <c r="J4352" s="48" t="n"/>
      <c r="K4352" s="48" t="n"/>
      <c r="L4352" s="48" t="n"/>
      <c r="M4352" s="48" t="n"/>
      <c r="N4352" s="48" t="n"/>
      <c r="O4352" s="51">
        <f>IF(AND(B4352="",G4352="",C4352="",D4352="",J4352=""),"",IF(B4352="","⚠ Falta fecha",IF(G4352="","⚠ Falta monto",IF(Q4352="","⚠ Falta cuenta",IF(ISNA(MATCH(Q4352,ctaNombre,0)),"⚠ Cuenta no registrada",IF(AND(OR(P4352="Gasto",P4352="Reembolso"),D4352=""),"⚠ Falta categoría",IF(AND(D4352&lt;&gt;"",E4352&lt;&gt;"",ISNA(MATCH(D4352&amp;"|"&amp;E4352,catClave,0))),"⚠ Subcategoría no corresponde",IF(AND(OR(P4352="Transferencia",P4352="Pago tarjeta"),K4352=""),"⚠ Falta cuenta destino",IF(AND(K4352&lt;&gt;"",P4352&lt;&gt;"Transferencia",P4352&lt;&gt;"Pago tarjeta"),"⚠ Destino solo aplica a transferencias",IF(AND(K4352&lt;&gt;"",K4352=Q4352),"⚠ Origen igual a destino",IF(AND(K4352&lt;&gt;"",ISNA(MATCH(K4352,ctaNombre,0))),"⚠ Destino no registrado",IF(AND(P4352="Pago tarjeta",AE4352&lt;&gt;"Tarjeta de crédito"),"⚠ El destino debe ser tarjeta de crédito",IF(AND(P4352="Gasto",E4352="Depósitos y retiros"),"⚠ Usa tipo Transferencia",IF(AND(P4352="Resultado trading",AD4352&lt;&gt;"Cuenta de trading"),"⚠ Usa una cuenta de trading",IF(AND(G4352&lt;=0,P4352&lt;&gt;"Ajuste",P4352&lt;&gt;"Resultado trading"),"⚠ El monto debe ser positivo","✓")))))))))))))))</f>
        <v/>
      </c>
      <c r="P4352" s="52">
        <f>IF(OR(B4352="",G4352=""),"",IF(C4352="","Gasto",C4352))</f>
        <v/>
      </c>
      <c r="Q4352" s="52">
        <f>IF(P4352="","",IF(J4352&lt;&gt;"",J4352,CuentaPred&amp;""))</f>
        <v/>
      </c>
      <c r="R4352" s="52">
        <f>IF(P4352="","",IF(ISNUMBER(I4352),I4352,TasaUSD))</f>
        <v/>
      </c>
      <c r="S4352" s="53">
        <f>IF(P4352="","",IF(H4352="USD",G4352*R4352,G4352))</f>
        <v/>
      </c>
      <c r="T4352" s="53">
        <f>IF(P4352="","",IF(H4352="USD",G4352,IF(R4352&gt;0,G4352/R4352,0)))</f>
        <v/>
      </c>
      <c r="U4352" s="53">
        <f>IF(P4352="","",IF(P4352="Gasto",S4352,IF(P4352="Reembolso",-S4352,0)))</f>
        <v/>
      </c>
      <c r="V4352" s="53">
        <f>IF(P4352="","",IF(P4352="Ingreso",S4352,0))</f>
        <v/>
      </c>
      <c r="W4352" s="53">
        <f>IF(P4352="","",IF(P4352="Resultado trading",S4352,0))</f>
        <v/>
      </c>
      <c r="X4352" s="52">
        <f>IF(OR(P4352="Gasto",P4352="Reembolso"),IF(M4352&lt;&gt;"",M4352,IFERROR(INDEX(catClasif,MATCH(D4352&amp;"|"&amp;E4352,catClave,0))&amp;"","Variable")),"")</f>
        <v/>
      </c>
      <c r="Y4352" s="52">
        <f>IF(P4352="","",IFERROR(INDEX(catGrupo,MATCH(D4352&amp;"|"&amp;E4352,catClave,0))&amp;"",""))</f>
        <v/>
      </c>
      <c r="Z4352" s="52">
        <f>IF(P4352="","",WEEKDAY(B4352,2))</f>
        <v/>
      </c>
      <c r="AA4352" s="52">
        <f>IF(P4352="","",IF(AND(P4352="Gasto",X4352="Variable",D4352&lt;&gt;catTrading,S4352&gt;0,S4352&lt;=Umbral),1,0))</f>
        <v/>
      </c>
      <c r="AB4352" s="52">
        <f>IF(OR(P4352="",Q4352=""),"",IFERROR(IF(INDEX(ctaVinc,MATCH(Q4352,ctaNombre,0))&amp;""&lt;&gt;"",INDEX(ctaVinc,MATCH(Q4352,ctaNombre,0))&amp;"",Q4352),Q4352))</f>
        <v/>
      </c>
      <c r="AC4352" s="52">
        <f>IF(OR(K4352="",AND(P4352&lt;&gt;"Transferencia",P4352&lt;&gt;"Pago tarjeta")),"",IFERROR(IF(INDEX(ctaVinc,MATCH(K4352,ctaNombre,0))&amp;""&lt;&gt;"",INDEX(ctaVinc,MATCH(K4352,ctaNombre,0))&amp;"",K4352),K4352))</f>
        <v/>
      </c>
      <c r="AD4352" s="52">
        <f>IF(AB4352="","",IFERROR(INDEX(ctaTipo,MATCH(AB4352,ctaNombre,0))&amp;"",""))</f>
        <v/>
      </c>
      <c r="AE4352" s="52">
        <f>IF(AC4352="","",IFERROR(INDEX(ctaTipo,MATCH(AC4352,ctaNombre,0))&amp;"",""))</f>
        <v/>
      </c>
      <c r="AF4352" s="53">
        <f>IF(OR(P4352="",AB4352=""),"",IF(OR(P4352="Gasto",P4352="Transferencia",P4352="Pago tarjeta"),-1,1)*IF(IFERROR(INDEX(ctaMoneda,MATCH(AB4352,ctaNombre,0))&amp;"","DOP")="USD",T4352,S4352))</f>
        <v/>
      </c>
      <c r="AG4352" s="53">
        <f>IF(AC4352="","",IF(IFERROR(INDEX(ctaMoneda,MATCH(AC4352,ctaNombre,0))&amp;"","DOP")="USD",T4352,S4352))</f>
        <v/>
      </c>
      <c r="AH4352" s="53">
        <f>IF(P4352="","",IF(AND(AD4352&lt;&gt;"",COUNTIFS(tcTipo,AD4352,tcLiq,"Sí")&gt;0),IF(OR(P4352="Gasto",P4352="Transferencia",P4352="Pago tarjeta"),-1,1)*S4352,0)+IF(AND(AE4352&lt;&gt;"",COUNTIFS(tcTipo,AE4352,tcLiq,"Sí")&gt;0),S4352,0))</f>
        <v/>
      </c>
      <c r="AI4352" s="52">
        <f>IF(OR(L4352="",P4352=""),"",IF(COUNTIFS(L$6:L4352,L4352,P$6:P4352,"?*")=1,MAX(AI$5:AI4351)+1,""))</f>
        <v/>
      </c>
    </row>
    <row r="4353">
      <c r="B4353" s="47" t="n"/>
      <c r="C4353" s="48" t="n"/>
      <c r="D4353" s="48" t="n"/>
      <c r="E4353" s="48" t="n"/>
      <c r="F4353" s="48" t="n"/>
      <c r="G4353" s="49" t="n"/>
      <c r="H4353" s="48" t="n"/>
      <c r="I4353" s="50" t="n"/>
      <c r="J4353" s="48" t="n"/>
      <c r="K4353" s="48" t="n"/>
      <c r="L4353" s="48" t="n"/>
      <c r="M4353" s="48" t="n"/>
      <c r="N4353" s="48" t="n"/>
      <c r="O4353" s="51">
        <f>IF(AND(B4353="",G4353="",C4353="",D4353="",J4353=""),"",IF(B4353="","⚠ Falta fecha",IF(G4353="","⚠ Falta monto",IF(Q4353="","⚠ Falta cuenta",IF(ISNA(MATCH(Q4353,ctaNombre,0)),"⚠ Cuenta no registrada",IF(AND(OR(P4353="Gasto",P4353="Reembolso"),D4353=""),"⚠ Falta categoría",IF(AND(D4353&lt;&gt;"",E4353&lt;&gt;"",ISNA(MATCH(D4353&amp;"|"&amp;E4353,catClave,0))),"⚠ Subcategoría no corresponde",IF(AND(OR(P4353="Transferencia",P4353="Pago tarjeta"),K4353=""),"⚠ Falta cuenta destino",IF(AND(K4353&lt;&gt;"",P4353&lt;&gt;"Transferencia",P4353&lt;&gt;"Pago tarjeta"),"⚠ Destino solo aplica a transferencias",IF(AND(K4353&lt;&gt;"",K4353=Q4353),"⚠ Origen igual a destino",IF(AND(K4353&lt;&gt;"",ISNA(MATCH(K4353,ctaNombre,0))),"⚠ Destino no registrado",IF(AND(P4353="Pago tarjeta",AE4353&lt;&gt;"Tarjeta de crédito"),"⚠ El destino debe ser tarjeta de crédito",IF(AND(P4353="Gasto",E4353="Depósitos y retiros"),"⚠ Usa tipo Transferencia",IF(AND(P4353="Resultado trading",AD4353&lt;&gt;"Cuenta de trading"),"⚠ Usa una cuenta de trading",IF(AND(G4353&lt;=0,P4353&lt;&gt;"Ajuste",P4353&lt;&gt;"Resultado trading"),"⚠ El monto debe ser positivo","✓")))))))))))))))</f>
        <v/>
      </c>
      <c r="P4353" s="52">
        <f>IF(OR(B4353="",G4353=""),"",IF(C4353="","Gasto",C4353))</f>
        <v/>
      </c>
      <c r="Q4353" s="52">
        <f>IF(P4353="","",IF(J4353&lt;&gt;"",J4353,CuentaPred&amp;""))</f>
        <v/>
      </c>
      <c r="R4353" s="52">
        <f>IF(P4353="","",IF(ISNUMBER(I4353),I4353,TasaUSD))</f>
        <v/>
      </c>
      <c r="S4353" s="53">
        <f>IF(P4353="","",IF(H4353="USD",G4353*R4353,G4353))</f>
        <v/>
      </c>
      <c r="T4353" s="53">
        <f>IF(P4353="","",IF(H4353="USD",G4353,IF(R4353&gt;0,G4353/R4353,0)))</f>
        <v/>
      </c>
      <c r="U4353" s="53">
        <f>IF(P4353="","",IF(P4353="Gasto",S4353,IF(P4353="Reembolso",-S4353,0)))</f>
        <v/>
      </c>
      <c r="V4353" s="53">
        <f>IF(P4353="","",IF(P4353="Ingreso",S4353,0))</f>
        <v/>
      </c>
      <c r="W4353" s="53">
        <f>IF(P4353="","",IF(P4353="Resultado trading",S4353,0))</f>
        <v/>
      </c>
      <c r="X4353" s="52">
        <f>IF(OR(P4353="Gasto",P4353="Reembolso"),IF(M4353&lt;&gt;"",M4353,IFERROR(INDEX(catClasif,MATCH(D4353&amp;"|"&amp;E4353,catClave,0))&amp;"","Variable")),"")</f>
        <v/>
      </c>
      <c r="Y4353" s="52">
        <f>IF(P4353="","",IFERROR(INDEX(catGrupo,MATCH(D4353&amp;"|"&amp;E4353,catClave,0))&amp;"",""))</f>
        <v/>
      </c>
      <c r="Z4353" s="52">
        <f>IF(P4353="","",WEEKDAY(B4353,2))</f>
        <v/>
      </c>
      <c r="AA4353" s="52">
        <f>IF(P4353="","",IF(AND(P4353="Gasto",X4353="Variable",D4353&lt;&gt;catTrading,S4353&gt;0,S4353&lt;=Umbral),1,0))</f>
        <v/>
      </c>
      <c r="AB4353" s="52">
        <f>IF(OR(P4353="",Q4353=""),"",IFERROR(IF(INDEX(ctaVinc,MATCH(Q4353,ctaNombre,0))&amp;""&lt;&gt;"",INDEX(ctaVinc,MATCH(Q4353,ctaNombre,0))&amp;"",Q4353),Q4353))</f>
        <v/>
      </c>
      <c r="AC4353" s="52">
        <f>IF(OR(K4353="",AND(P4353&lt;&gt;"Transferencia",P4353&lt;&gt;"Pago tarjeta")),"",IFERROR(IF(INDEX(ctaVinc,MATCH(K4353,ctaNombre,0))&amp;""&lt;&gt;"",INDEX(ctaVinc,MATCH(K4353,ctaNombre,0))&amp;"",K4353),K4353))</f>
        <v/>
      </c>
      <c r="AD4353" s="52">
        <f>IF(AB4353="","",IFERROR(INDEX(ctaTipo,MATCH(AB4353,ctaNombre,0))&amp;"",""))</f>
        <v/>
      </c>
      <c r="AE4353" s="52">
        <f>IF(AC4353="","",IFERROR(INDEX(ctaTipo,MATCH(AC4353,ctaNombre,0))&amp;"",""))</f>
        <v/>
      </c>
      <c r="AF4353" s="53">
        <f>IF(OR(P4353="",AB4353=""),"",IF(OR(P4353="Gasto",P4353="Transferencia",P4353="Pago tarjeta"),-1,1)*IF(IFERROR(INDEX(ctaMoneda,MATCH(AB4353,ctaNombre,0))&amp;"","DOP")="USD",T4353,S4353))</f>
        <v/>
      </c>
      <c r="AG4353" s="53">
        <f>IF(AC4353="","",IF(IFERROR(INDEX(ctaMoneda,MATCH(AC4353,ctaNombre,0))&amp;"","DOP")="USD",T4353,S4353))</f>
        <v/>
      </c>
      <c r="AH4353" s="53">
        <f>IF(P4353="","",IF(AND(AD4353&lt;&gt;"",COUNTIFS(tcTipo,AD4353,tcLiq,"Sí")&gt;0),IF(OR(P4353="Gasto",P4353="Transferencia",P4353="Pago tarjeta"),-1,1)*S4353,0)+IF(AND(AE4353&lt;&gt;"",COUNTIFS(tcTipo,AE4353,tcLiq,"Sí")&gt;0),S4353,0))</f>
        <v/>
      </c>
      <c r="AI4353" s="52">
        <f>IF(OR(L4353="",P4353=""),"",IF(COUNTIFS(L$6:L4353,L4353,P$6:P4353,"?*")=1,MAX(AI$5:AI4352)+1,""))</f>
        <v/>
      </c>
    </row>
    <row r="4354">
      <c r="B4354" s="47" t="n"/>
      <c r="C4354" s="48" t="n"/>
      <c r="D4354" s="48" t="n"/>
      <c r="E4354" s="48" t="n"/>
      <c r="F4354" s="48" t="n"/>
      <c r="G4354" s="49" t="n"/>
      <c r="H4354" s="48" t="n"/>
      <c r="I4354" s="50" t="n"/>
      <c r="J4354" s="48" t="n"/>
      <c r="K4354" s="48" t="n"/>
      <c r="L4354" s="48" t="n"/>
      <c r="M4354" s="48" t="n"/>
      <c r="N4354" s="48" t="n"/>
      <c r="O4354" s="51">
        <f>IF(AND(B4354="",G4354="",C4354="",D4354="",J4354=""),"",IF(B4354="","⚠ Falta fecha",IF(G4354="","⚠ Falta monto",IF(Q4354="","⚠ Falta cuenta",IF(ISNA(MATCH(Q4354,ctaNombre,0)),"⚠ Cuenta no registrada",IF(AND(OR(P4354="Gasto",P4354="Reembolso"),D4354=""),"⚠ Falta categoría",IF(AND(D4354&lt;&gt;"",E4354&lt;&gt;"",ISNA(MATCH(D4354&amp;"|"&amp;E4354,catClave,0))),"⚠ Subcategoría no corresponde",IF(AND(OR(P4354="Transferencia",P4354="Pago tarjeta"),K4354=""),"⚠ Falta cuenta destino",IF(AND(K4354&lt;&gt;"",P4354&lt;&gt;"Transferencia",P4354&lt;&gt;"Pago tarjeta"),"⚠ Destino solo aplica a transferencias",IF(AND(K4354&lt;&gt;"",K4354=Q4354),"⚠ Origen igual a destino",IF(AND(K4354&lt;&gt;"",ISNA(MATCH(K4354,ctaNombre,0))),"⚠ Destino no registrado",IF(AND(P4354="Pago tarjeta",AE4354&lt;&gt;"Tarjeta de crédito"),"⚠ El destino debe ser tarjeta de crédito",IF(AND(P4354="Gasto",E4354="Depósitos y retiros"),"⚠ Usa tipo Transferencia",IF(AND(P4354="Resultado trading",AD4354&lt;&gt;"Cuenta de trading"),"⚠ Usa una cuenta de trading",IF(AND(G4354&lt;=0,P4354&lt;&gt;"Ajuste",P4354&lt;&gt;"Resultado trading"),"⚠ El monto debe ser positivo","✓")))))))))))))))</f>
        <v/>
      </c>
      <c r="P4354" s="52">
        <f>IF(OR(B4354="",G4354=""),"",IF(C4354="","Gasto",C4354))</f>
        <v/>
      </c>
      <c r="Q4354" s="52">
        <f>IF(P4354="","",IF(J4354&lt;&gt;"",J4354,CuentaPred&amp;""))</f>
        <v/>
      </c>
      <c r="R4354" s="52">
        <f>IF(P4354="","",IF(ISNUMBER(I4354),I4354,TasaUSD))</f>
        <v/>
      </c>
      <c r="S4354" s="53">
        <f>IF(P4354="","",IF(H4354="USD",G4354*R4354,G4354))</f>
        <v/>
      </c>
      <c r="T4354" s="53">
        <f>IF(P4354="","",IF(H4354="USD",G4354,IF(R4354&gt;0,G4354/R4354,0)))</f>
        <v/>
      </c>
      <c r="U4354" s="53">
        <f>IF(P4354="","",IF(P4354="Gasto",S4354,IF(P4354="Reembolso",-S4354,0)))</f>
        <v/>
      </c>
      <c r="V4354" s="53">
        <f>IF(P4354="","",IF(P4354="Ingreso",S4354,0))</f>
        <v/>
      </c>
      <c r="W4354" s="53">
        <f>IF(P4354="","",IF(P4354="Resultado trading",S4354,0))</f>
        <v/>
      </c>
      <c r="X4354" s="52">
        <f>IF(OR(P4354="Gasto",P4354="Reembolso"),IF(M4354&lt;&gt;"",M4354,IFERROR(INDEX(catClasif,MATCH(D4354&amp;"|"&amp;E4354,catClave,0))&amp;"","Variable")),"")</f>
        <v/>
      </c>
      <c r="Y4354" s="52">
        <f>IF(P4354="","",IFERROR(INDEX(catGrupo,MATCH(D4354&amp;"|"&amp;E4354,catClave,0))&amp;"",""))</f>
        <v/>
      </c>
      <c r="Z4354" s="52">
        <f>IF(P4354="","",WEEKDAY(B4354,2))</f>
        <v/>
      </c>
      <c r="AA4354" s="52">
        <f>IF(P4354="","",IF(AND(P4354="Gasto",X4354="Variable",D4354&lt;&gt;catTrading,S4354&gt;0,S4354&lt;=Umbral),1,0))</f>
        <v/>
      </c>
      <c r="AB4354" s="52">
        <f>IF(OR(P4354="",Q4354=""),"",IFERROR(IF(INDEX(ctaVinc,MATCH(Q4354,ctaNombre,0))&amp;""&lt;&gt;"",INDEX(ctaVinc,MATCH(Q4354,ctaNombre,0))&amp;"",Q4354),Q4354))</f>
        <v/>
      </c>
      <c r="AC4354" s="52">
        <f>IF(OR(K4354="",AND(P4354&lt;&gt;"Transferencia",P4354&lt;&gt;"Pago tarjeta")),"",IFERROR(IF(INDEX(ctaVinc,MATCH(K4354,ctaNombre,0))&amp;""&lt;&gt;"",INDEX(ctaVinc,MATCH(K4354,ctaNombre,0))&amp;"",K4354),K4354))</f>
        <v/>
      </c>
      <c r="AD4354" s="52">
        <f>IF(AB4354="","",IFERROR(INDEX(ctaTipo,MATCH(AB4354,ctaNombre,0))&amp;"",""))</f>
        <v/>
      </c>
      <c r="AE4354" s="52">
        <f>IF(AC4354="","",IFERROR(INDEX(ctaTipo,MATCH(AC4354,ctaNombre,0))&amp;"",""))</f>
        <v/>
      </c>
      <c r="AF4354" s="53">
        <f>IF(OR(P4354="",AB4354=""),"",IF(OR(P4354="Gasto",P4354="Transferencia",P4354="Pago tarjeta"),-1,1)*IF(IFERROR(INDEX(ctaMoneda,MATCH(AB4354,ctaNombre,0))&amp;"","DOP")="USD",T4354,S4354))</f>
        <v/>
      </c>
      <c r="AG4354" s="53">
        <f>IF(AC4354="","",IF(IFERROR(INDEX(ctaMoneda,MATCH(AC4354,ctaNombre,0))&amp;"","DOP")="USD",T4354,S4354))</f>
        <v/>
      </c>
      <c r="AH4354" s="53">
        <f>IF(P4354="","",IF(AND(AD4354&lt;&gt;"",COUNTIFS(tcTipo,AD4354,tcLiq,"Sí")&gt;0),IF(OR(P4354="Gasto",P4354="Transferencia",P4354="Pago tarjeta"),-1,1)*S4354,0)+IF(AND(AE4354&lt;&gt;"",COUNTIFS(tcTipo,AE4354,tcLiq,"Sí")&gt;0),S4354,0))</f>
        <v/>
      </c>
      <c r="AI4354" s="52">
        <f>IF(OR(L4354="",P4354=""),"",IF(COUNTIFS(L$6:L4354,L4354,P$6:P4354,"?*")=1,MAX(AI$5:AI4353)+1,""))</f>
        <v/>
      </c>
    </row>
    <row r="4355">
      <c r="B4355" s="47" t="n"/>
      <c r="C4355" s="48" t="n"/>
      <c r="D4355" s="48" t="n"/>
      <c r="E4355" s="48" t="n"/>
      <c r="F4355" s="48" t="n"/>
      <c r="G4355" s="49" t="n"/>
      <c r="H4355" s="48" t="n"/>
      <c r="I4355" s="50" t="n"/>
      <c r="J4355" s="48" t="n"/>
      <c r="K4355" s="48" t="n"/>
      <c r="L4355" s="48" t="n"/>
      <c r="M4355" s="48" t="n"/>
      <c r="N4355" s="48" t="n"/>
      <c r="O4355" s="51">
        <f>IF(AND(B4355="",G4355="",C4355="",D4355="",J4355=""),"",IF(B4355="","⚠ Falta fecha",IF(G4355="","⚠ Falta monto",IF(Q4355="","⚠ Falta cuenta",IF(ISNA(MATCH(Q4355,ctaNombre,0)),"⚠ Cuenta no registrada",IF(AND(OR(P4355="Gasto",P4355="Reembolso"),D4355=""),"⚠ Falta categoría",IF(AND(D4355&lt;&gt;"",E4355&lt;&gt;"",ISNA(MATCH(D4355&amp;"|"&amp;E4355,catClave,0))),"⚠ Subcategoría no corresponde",IF(AND(OR(P4355="Transferencia",P4355="Pago tarjeta"),K4355=""),"⚠ Falta cuenta destino",IF(AND(K4355&lt;&gt;"",P4355&lt;&gt;"Transferencia",P4355&lt;&gt;"Pago tarjeta"),"⚠ Destino solo aplica a transferencias",IF(AND(K4355&lt;&gt;"",K4355=Q4355),"⚠ Origen igual a destino",IF(AND(K4355&lt;&gt;"",ISNA(MATCH(K4355,ctaNombre,0))),"⚠ Destino no registrado",IF(AND(P4355="Pago tarjeta",AE4355&lt;&gt;"Tarjeta de crédito"),"⚠ El destino debe ser tarjeta de crédito",IF(AND(P4355="Gasto",E4355="Depósitos y retiros"),"⚠ Usa tipo Transferencia",IF(AND(P4355="Resultado trading",AD4355&lt;&gt;"Cuenta de trading"),"⚠ Usa una cuenta de trading",IF(AND(G4355&lt;=0,P4355&lt;&gt;"Ajuste",P4355&lt;&gt;"Resultado trading"),"⚠ El monto debe ser positivo","✓")))))))))))))))</f>
        <v/>
      </c>
      <c r="P4355" s="52">
        <f>IF(OR(B4355="",G4355=""),"",IF(C4355="","Gasto",C4355))</f>
        <v/>
      </c>
      <c r="Q4355" s="52">
        <f>IF(P4355="","",IF(J4355&lt;&gt;"",J4355,CuentaPred&amp;""))</f>
        <v/>
      </c>
      <c r="R4355" s="52">
        <f>IF(P4355="","",IF(ISNUMBER(I4355),I4355,TasaUSD))</f>
        <v/>
      </c>
      <c r="S4355" s="53">
        <f>IF(P4355="","",IF(H4355="USD",G4355*R4355,G4355))</f>
        <v/>
      </c>
      <c r="T4355" s="53">
        <f>IF(P4355="","",IF(H4355="USD",G4355,IF(R4355&gt;0,G4355/R4355,0)))</f>
        <v/>
      </c>
      <c r="U4355" s="53">
        <f>IF(P4355="","",IF(P4355="Gasto",S4355,IF(P4355="Reembolso",-S4355,0)))</f>
        <v/>
      </c>
      <c r="V4355" s="53">
        <f>IF(P4355="","",IF(P4355="Ingreso",S4355,0))</f>
        <v/>
      </c>
      <c r="W4355" s="53">
        <f>IF(P4355="","",IF(P4355="Resultado trading",S4355,0))</f>
        <v/>
      </c>
      <c r="X4355" s="52">
        <f>IF(OR(P4355="Gasto",P4355="Reembolso"),IF(M4355&lt;&gt;"",M4355,IFERROR(INDEX(catClasif,MATCH(D4355&amp;"|"&amp;E4355,catClave,0))&amp;"","Variable")),"")</f>
        <v/>
      </c>
      <c r="Y4355" s="52">
        <f>IF(P4355="","",IFERROR(INDEX(catGrupo,MATCH(D4355&amp;"|"&amp;E4355,catClave,0))&amp;"",""))</f>
        <v/>
      </c>
      <c r="Z4355" s="52">
        <f>IF(P4355="","",WEEKDAY(B4355,2))</f>
        <v/>
      </c>
      <c r="AA4355" s="52">
        <f>IF(P4355="","",IF(AND(P4355="Gasto",X4355="Variable",D4355&lt;&gt;catTrading,S4355&gt;0,S4355&lt;=Umbral),1,0))</f>
        <v/>
      </c>
      <c r="AB4355" s="52">
        <f>IF(OR(P4355="",Q4355=""),"",IFERROR(IF(INDEX(ctaVinc,MATCH(Q4355,ctaNombre,0))&amp;""&lt;&gt;"",INDEX(ctaVinc,MATCH(Q4355,ctaNombre,0))&amp;"",Q4355),Q4355))</f>
        <v/>
      </c>
      <c r="AC4355" s="52">
        <f>IF(OR(K4355="",AND(P4355&lt;&gt;"Transferencia",P4355&lt;&gt;"Pago tarjeta")),"",IFERROR(IF(INDEX(ctaVinc,MATCH(K4355,ctaNombre,0))&amp;""&lt;&gt;"",INDEX(ctaVinc,MATCH(K4355,ctaNombre,0))&amp;"",K4355),K4355))</f>
        <v/>
      </c>
      <c r="AD4355" s="52">
        <f>IF(AB4355="","",IFERROR(INDEX(ctaTipo,MATCH(AB4355,ctaNombre,0))&amp;"",""))</f>
        <v/>
      </c>
      <c r="AE4355" s="52">
        <f>IF(AC4355="","",IFERROR(INDEX(ctaTipo,MATCH(AC4355,ctaNombre,0))&amp;"",""))</f>
        <v/>
      </c>
      <c r="AF4355" s="53">
        <f>IF(OR(P4355="",AB4355=""),"",IF(OR(P4355="Gasto",P4355="Transferencia",P4355="Pago tarjeta"),-1,1)*IF(IFERROR(INDEX(ctaMoneda,MATCH(AB4355,ctaNombre,0))&amp;"","DOP")="USD",T4355,S4355))</f>
        <v/>
      </c>
      <c r="AG4355" s="53">
        <f>IF(AC4355="","",IF(IFERROR(INDEX(ctaMoneda,MATCH(AC4355,ctaNombre,0))&amp;"","DOP")="USD",T4355,S4355))</f>
        <v/>
      </c>
      <c r="AH4355" s="53">
        <f>IF(P4355="","",IF(AND(AD4355&lt;&gt;"",COUNTIFS(tcTipo,AD4355,tcLiq,"Sí")&gt;0),IF(OR(P4355="Gasto",P4355="Transferencia",P4355="Pago tarjeta"),-1,1)*S4355,0)+IF(AND(AE4355&lt;&gt;"",COUNTIFS(tcTipo,AE4355,tcLiq,"Sí")&gt;0),S4355,0))</f>
        <v/>
      </c>
      <c r="AI4355" s="52">
        <f>IF(OR(L4355="",P4355=""),"",IF(COUNTIFS(L$6:L4355,L4355,P$6:P4355,"?*")=1,MAX(AI$5:AI4354)+1,""))</f>
        <v/>
      </c>
    </row>
    <row r="4356">
      <c r="B4356" s="47" t="n"/>
      <c r="C4356" s="48" t="n"/>
      <c r="D4356" s="48" t="n"/>
      <c r="E4356" s="48" t="n"/>
      <c r="F4356" s="48" t="n"/>
      <c r="G4356" s="49" t="n"/>
      <c r="H4356" s="48" t="n"/>
      <c r="I4356" s="50" t="n"/>
      <c r="J4356" s="48" t="n"/>
      <c r="K4356" s="48" t="n"/>
      <c r="L4356" s="48" t="n"/>
      <c r="M4356" s="48" t="n"/>
      <c r="N4356" s="48" t="n"/>
      <c r="O4356" s="51">
        <f>IF(AND(B4356="",G4356="",C4356="",D4356="",J4356=""),"",IF(B4356="","⚠ Falta fecha",IF(G4356="","⚠ Falta monto",IF(Q4356="","⚠ Falta cuenta",IF(ISNA(MATCH(Q4356,ctaNombre,0)),"⚠ Cuenta no registrada",IF(AND(OR(P4356="Gasto",P4356="Reembolso"),D4356=""),"⚠ Falta categoría",IF(AND(D4356&lt;&gt;"",E4356&lt;&gt;"",ISNA(MATCH(D4356&amp;"|"&amp;E4356,catClave,0))),"⚠ Subcategoría no corresponde",IF(AND(OR(P4356="Transferencia",P4356="Pago tarjeta"),K4356=""),"⚠ Falta cuenta destino",IF(AND(K4356&lt;&gt;"",P4356&lt;&gt;"Transferencia",P4356&lt;&gt;"Pago tarjeta"),"⚠ Destino solo aplica a transferencias",IF(AND(K4356&lt;&gt;"",K4356=Q4356),"⚠ Origen igual a destino",IF(AND(K4356&lt;&gt;"",ISNA(MATCH(K4356,ctaNombre,0))),"⚠ Destino no registrado",IF(AND(P4356="Pago tarjeta",AE4356&lt;&gt;"Tarjeta de crédito"),"⚠ El destino debe ser tarjeta de crédito",IF(AND(P4356="Gasto",E4356="Depósitos y retiros"),"⚠ Usa tipo Transferencia",IF(AND(P4356="Resultado trading",AD4356&lt;&gt;"Cuenta de trading"),"⚠ Usa una cuenta de trading",IF(AND(G4356&lt;=0,P4356&lt;&gt;"Ajuste",P4356&lt;&gt;"Resultado trading"),"⚠ El monto debe ser positivo","✓")))))))))))))))</f>
        <v/>
      </c>
      <c r="P4356" s="52">
        <f>IF(OR(B4356="",G4356=""),"",IF(C4356="","Gasto",C4356))</f>
        <v/>
      </c>
      <c r="Q4356" s="52">
        <f>IF(P4356="","",IF(J4356&lt;&gt;"",J4356,CuentaPred&amp;""))</f>
        <v/>
      </c>
      <c r="R4356" s="52">
        <f>IF(P4356="","",IF(ISNUMBER(I4356),I4356,TasaUSD))</f>
        <v/>
      </c>
      <c r="S4356" s="53">
        <f>IF(P4356="","",IF(H4356="USD",G4356*R4356,G4356))</f>
        <v/>
      </c>
      <c r="T4356" s="53">
        <f>IF(P4356="","",IF(H4356="USD",G4356,IF(R4356&gt;0,G4356/R4356,0)))</f>
        <v/>
      </c>
      <c r="U4356" s="53">
        <f>IF(P4356="","",IF(P4356="Gasto",S4356,IF(P4356="Reembolso",-S4356,0)))</f>
        <v/>
      </c>
      <c r="V4356" s="53">
        <f>IF(P4356="","",IF(P4356="Ingreso",S4356,0))</f>
        <v/>
      </c>
      <c r="W4356" s="53">
        <f>IF(P4356="","",IF(P4356="Resultado trading",S4356,0))</f>
        <v/>
      </c>
      <c r="X4356" s="52">
        <f>IF(OR(P4356="Gasto",P4356="Reembolso"),IF(M4356&lt;&gt;"",M4356,IFERROR(INDEX(catClasif,MATCH(D4356&amp;"|"&amp;E4356,catClave,0))&amp;"","Variable")),"")</f>
        <v/>
      </c>
      <c r="Y4356" s="52">
        <f>IF(P4356="","",IFERROR(INDEX(catGrupo,MATCH(D4356&amp;"|"&amp;E4356,catClave,0))&amp;"",""))</f>
        <v/>
      </c>
      <c r="Z4356" s="52">
        <f>IF(P4356="","",WEEKDAY(B4356,2))</f>
        <v/>
      </c>
      <c r="AA4356" s="52">
        <f>IF(P4356="","",IF(AND(P4356="Gasto",X4356="Variable",D4356&lt;&gt;catTrading,S4356&gt;0,S4356&lt;=Umbral),1,0))</f>
        <v/>
      </c>
      <c r="AB4356" s="52">
        <f>IF(OR(P4356="",Q4356=""),"",IFERROR(IF(INDEX(ctaVinc,MATCH(Q4356,ctaNombre,0))&amp;""&lt;&gt;"",INDEX(ctaVinc,MATCH(Q4356,ctaNombre,0))&amp;"",Q4356),Q4356))</f>
        <v/>
      </c>
      <c r="AC4356" s="52">
        <f>IF(OR(K4356="",AND(P4356&lt;&gt;"Transferencia",P4356&lt;&gt;"Pago tarjeta")),"",IFERROR(IF(INDEX(ctaVinc,MATCH(K4356,ctaNombre,0))&amp;""&lt;&gt;"",INDEX(ctaVinc,MATCH(K4356,ctaNombre,0))&amp;"",K4356),K4356))</f>
        <v/>
      </c>
      <c r="AD4356" s="52">
        <f>IF(AB4356="","",IFERROR(INDEX(ctaTipo,MATCH(AB4356,ctaNombre,0))&amp;"",""))</f>
        <v/>
      </c>
      <c r="AE4356" s="52">
        <f>IF(AC4356="","",IFERROR(INDEX(ctaTipo,MATCH(AC4356,ctaNombre,0))&amp;"",""))</f>
        <v/>
      </c>
      <c r="AF4356" s="53">
        <f>IF(OR(P4356="",AB4356=""),"",IF(OR(P4356="Gasto",P4356="Transferencia",P4356="Pago tarjeta"),-1,1)*IF(IFERROR(INDEX(ctaMoneda,MATCH(AB4356,ctaNombre,0))&amp;"","DOP")="USD",T4356,S4356))</f>
        <v/>
      </c>
      <c r="AG4356" s="53">
        <f>IF(AC4356="","",IF(IFERROR(INDEX(ctaMoneda,MATCH(AC4356,ctaNombre,0))&amp;"","DOP")="USD",T4356,S4356))</f>
        <v/>
      </c>
      <c r="AH4356" s="53">
        <f>IF(P4356="","",IF(AND(AD4356&lt;&gt;"",COUNTIFS(tcTipo,AD4356,tcLiq,"Sí")&gt;0),IF(OR(P4356="Gasto",P4356="Transferencia",P4356="Pago tarjeta"),-1,1)*S4356,0)+IF(AND(AE4356&lt;&gt;"",COUNTIFS(tcTipo,AE4356,tcLiq,"Sí")&gt;0),S4356,0))</f>
        <v/>
      </c>
      <c r="AI4356" s="52">
        <f>IF(OR(L4356="",P4356=""),"",IF(COUNTIFS(L$6:L4356,L4356,P$6:P4356,"?*")=1,MAX(AI$5:AI4355)+1,""))</f>
        <v/>
      </c>
    </row>
    <row r="4357">
      <c r="B4357" s="47" t="n"/>
      <c r="C4357" s="48" t="n"/>
      <c r="D4357" s="48" t="n"/>
      <c r="E4357" s="48" t="n"/>
      <c r="F4357" s="48" t="n"/>
      <c r="G4357" s="49" t="n"/>
      <c r="H4357" s="48" t="n"/>
      <c r="I4357" s="50" t="n"/>
      <c r="J4357" s="48" t="n"/>
      <c r="K4357" s="48" t="n"/>
      <c r="L4357" s="48" t="n"/>
      <c r="M4357" s="48" t="n"/>
      <c r="N4357" s="48" t="n"/>
      <c r="O4357" s="51">
        <f>IF(AND(B4357="",G4357="",C4357="",D4357="",J4357=""),"",IF(B4357="","⚠ Falta fecha",IF(G4357="","⚠ Falta monto",IF(Q4357="","⚠ Falta cuenta",IF(ISNA(MATCH(Q4357,ctaNombre,0)),"⚠ Cuenta no registrada",IF(AND(OR(P4357="Gasto",P4357="Reembolso"),D4357=""),"⚠ Falta categoría",IF(AND(D4357&lt;&gt;"",E4357&lt;&gt;"",ISNA(MATCH(D4357&amp;"|"&amp;E4357,catClave,0))),"⚠ Subcategoría no corresponde",IF(AND(OR(P4357="Transferencia",P4357="Pago tarjeta"),K4357=""),"⚠ Falta cuenta destino",IF(AND(K4357&lt;&gt;"",P4357&lt;&gt;"Transferencia",P4357&lt;&gt;"Pago tarjeta"),"⚠ Destino solo aplica a transferencias",IF(AND(K4357&lt;&gt;"",K4357=Q4357),"⚠ Origen igual a destino",IF(AND(K4357&lt;&gt;"",ISNA(MATCH(K4357,ctaNombre,0))),"⚠ Destino no registrado",IF(AND(P4357="Pago tarjeta",AE4357&lt;&gt;"Tarjeta de crédito"),"⚠ El destino debe ser tarjeta de crédito",IF(AND(P4357="Gasto",E4357="Depósitos y retiros"),"⚠ Usa tipo Transferencia",IF(AND(P4357="Resultado trading",AD4357&lt;&gt;"Cuenta de trading"),"⚠ Usa una cuenta de trading",IF(AND(G4357&lt;=0,P4357&lt;&gt;"Ajuste",P4357&lt;&gt;"Resultado trading"),"⚠ El monto debe ser positivo","✓")))))))))))))))</f>
        <v/>
      </c>
      <c r="P4357" s="52">
        <f>IF(OR(B4357="",G4357=""),"",IF(C4357="","Gasto",C4357))</f>
        <v/>
      </c>
      <c r="Q4357" s="52">
        <f>IF(P4357="","",IF(J4357&lt;&gt;"",J4357,CuentaPred&amp;""))</f>
        <v/>
      </c>
      <c r="R4357" s="52">
        <f>IF(P4357="","",IF(ISNUMBER(I4357),I4357,TasaUSD))</f>
        <v/>
      </c>
      <c r="S4357" s="53">
        <f>IF(P4357="","",IF(H4357="USD",G4357*R4357,G4357))</f>
        <v/>
      </c>
      <c r="T4357" s="53">
        <f>IF(P4357="","",IF(H4357="USD",G4357,IF(R4357&gt;0,G4357/R4357,0)))</f>
        <v/>
      </c>
      <c r="U4357" s="53">
        <f>IF(P4357="","",IF(P4357="Gasto",S4357,IF(P4357="Reembolso",-S4357,0)))</f>
        <v/>
      </c>
      <c r="V4357" s="53">
        <f>IF(P4357="","",IF(P4357="Ingreso",S4357,0))</f>
        <v/>
      </c>
      <c r="W4357" s="53">
        <f>IF(P4357="","",IF(P4357="Resultado trading",S4357,0))</f>
        <v/>
      </c>
      <c r="X4357" s="52">
        <f>IF(OR(P4357="Gasto",P4357="Reembolso"),IF(M4357&lt;&gt;"",M4357,IFERROR(INDEX(catClasif,MATCH(D4357&amp;"|"&amp;E4357,catClave,0))&amp;"","Variable")),"")</f>
        <v/>
      </c>
      <c r="Y4357" s="52">
        <f>IF(P4357="","",IFERROR(INDEX(catGrupo,MATCH(D4357&amp;"|"&amp;E4357,catClave,0))&amp;"",""))</f>
        <v/>
      </c>
      <c r="Z4357" s="52">
        <f>IF(P4357="","",WEEKDAY(B4357,2))</f>
        <v/>
      </c>
      <c r="AA4357" s="52">
        <f>IF(P4357="","",IF(AND(P4357="Gasto",X4357="Variable",D4357&lt;&gt;catTrading,S4357&gt;0,S4357&lt;=Umbral),1,0))</f>
        <v/>
      </c>
      <c r="AB4357" s="52">
        <f>IF(OR(P4357="",Q4357=""),"",IFERROR(IF(INDEX(ctaVinc,MATCH(Q4357,ctaNombre,0))&amp;""&lt;&gt;"",INDEX(ctaVinc,MATCH(Q4357,ctaNombre,0))&amp;"",Q4357),Q4357))</f>
        <v/>
      </c>
      <c r="AC4357" s="52">
        <f>IF(OR(K4357="",AND(P4357&lt;&gt;"Transferencia",P4357&lt;&gt;"Pago tarjeta")),"",IFERROR(IF(INDEX(ctaVinc,MATCH(K4357,ctaNombre,0))&amp;""&lt;&gt;"",INDEX(ctaVinc,MATCH(K4357,ctaNombre,0))&amp;"",K4357),K4357))</f>
        <v/>
      </c>
      <c r="AD4357" s="52">
        <f>IF(AB4357="","",IFERROR(INDEX(ctaTipo,MATCH(AB4357,ctaNombre,0))&amp;"",""))</f>
        <v/>
      </c>
      <c r="AE4357" s="52">
        <f>IF(AC4357="","",IFERROR(INDEX(ctaTipo,MATCH(AC4357,ctaNombre,0))&amp;"",""))</f>
        <v/>
      </c>
      <c r="AF4357" s="53">
        <f>IF(OR(P4357="",AB4357=""),"",IF(OR(P4357="Gasto",P4357="Transferencia",P4357="Pago tarjeta"),-1,1)*IF(IFERROR(INDEX(ctaMoneda,MATCH(AB4357,ctaNombre,0))&amp;"","DOP")="USD",T4357,S4357))</f>
        <v/>
      </c>
      <c r="AG4357" s="53">
        <f>IF(AC4357="","",IF(IFERROR(INDEX(ctaMoneda,MATCH(AC4357,ctaNombre,0))&amp;"","DOP")="USD",T4357,S4357))</f>
        <v/>
      </c>
      <c r="AH4357" s="53">
        <f>IF(P4357="","",IF(AND(AD4357&lt;&gt;"",COUNTIFS(tcTipo,AD4357,tcLiq,"Sí")&gt;0),IF(OR(P4357="Gasto",P4357="Transferencia",P4357="Pago tarjeta"),-1,1)*S4357,0)+IF(AND(AE4357&lt;&gt;"",COUNTIFS(tcTipo,AE4357,tcLiq,"Sí")&gt;0),S4357,0))</f>
        <v/>
      </c>
      <c r="AI4357" s="52">
        <f>IF(OR(L4357="",P4357=""),"",IF(COUNTIFS(L$6:L4357,L4357,P$6:P4357,"?*")=1,MAX(AI$5:AI4356)+1,""))</f>
        <v/>
      </c>
    </row>
    <row r="4358">
      <c r="B4358" s="47" t="n"/>
      <c r="C4358" s="48" t="n"/>
      <c r="D4358" s="48" t="n"/>
      <c r="E4358" s="48" t="n"/>
      <c r="F4358" s="48" t="n"/>
      <c r="G4358" s="49" t="n"/>
      <c r="H4358" s="48" t="n"/>
      <c r="I4358" s="50" t="n"/>
      <c r="J4358" s="48" t="n"/>
      <c r="K4358" s="48" t="n"/>
      <c r="L4358" s="48" t="n"/>
      <c r="M4358" s="48" t="n"/>
      <c r="N4358" s="48" t="n"/>
      <c r="O4358" s="51">
        <f>IF(AND(B4358="",G4358="",C4358="",D4358="",J4358=""),"",IF(B4358="","⚠ Falta fecha",IF(G4358="","⚠ Falta monto",IF(Q4358="","⚠ Falta cuenta",IF(ISNA(MATCH(Q4358,ctaNombre,0)),"⚠ Cuenta no registrada",IF(AND(OR(P4358="Gasto",P4358="Reembolso"),D4358=""),"⚠ Falta categoría",IF(AND(D4358&lt;&gt;"",E4358&lt;&gt;"",ISNA(MATCH(D4358&amp;"|"&amp;E4358,catClave,0))),"⚠ Subcategoría no corresponde",IF(AND(OR(P4358="Transferencia",P4358="Pago tarjeta"),K4358=""),"⚠ Falta cuenta destino",IF(AND(K4358&lt;&gt;"",P4358&lt;&gt;"Transferencia",P4358&lt;&gt;"Pago tarjeta"),"⚠ Destino solo aplica a transferencias",IF(AND(K4358&lt;&gt;"",K4358=Q4358),"⚠ Origen igual a destino",IF(AND(K4358&lt;&gt;"",ISNA(MATCH(K4358,ctaNombre,0))),"⚠ Destino no registrado",IF(AND(P4358="Pago tarjeta",AE4358&lt;&gt;"Tarjeta de crédito"),"⚠ El destino debe ser tarjeta de crédito",IF(AND(P4358="Gasto",E4358="Depósitos y retiros"),"⚠ Usa tipo Transferencia",IF(AND(P4358="Resultado trading",AD4358&lt;&gt;"Cuenta de trading"),"⚠ Usa una cuenta de trading",IF(AND(G4358&lt;=0,P4358&lt;&gt;"Ajuste",P4358&lt;&gt;"Resultado trading"),"⚠ El monto debe ser positivo","✓")))))))))))))))</f>
        <v/>
      </c>
      <c r="P4358" s="52">
        <f>IF(OR(B4358="",G4358=""),"",IF(C4358="","Gasto",C4358))</f>
        <v/>
      </c>
      <c r="Q4358" s="52">
        <f>IF(P4358="","",IF(J4358&lt;&gt;"",J4358,CuentaPred&amp;""))</f>
        <v/>
      </c>
      <c r="R4358" s="52">
        <f>IF(P4358="","",IF(ISNUMBER(I4358),I4358,TasaUSD))</f>
        <v/>
      </c>
      <c r="S4358" s="53">
        <f>IF(P4358="","",IF(H4358="USD",G4358*R4358,G4358))</f>
        <v/>
      </c>
      <c r="T4358" s="53">
        <f>IF(P4358="","",IF(H4358="USD",G4358,IF(R4358&gt;0,G4358/R4358,0)))</f>
        <v/>
      </c>
      <c r="U4358" s="53">
        <f>IF(P4358="","",IF(P4358="Gasto",S4358,IF(P4358="Reembolso",-S4358,0)))</f>
        <v/>
      </c>
      <c r="V4358" s="53">
        <f>IF(P4358="","",IF(P4358="Ingreso",S4358,0))</f>
        <v/>
      </c>
      <c r="W4358" s="53">
        <f>IF(P4358="","",IF(P4358="Resultado trading",S4358,0))</f>
        <v/>
      </c>
      <c r="X4358" s="52">
        <f>IF(OR(P4358="Gasto",P4358="Reembolso"),IF(M4358&lt;&gt;"",M4358,IFERROR(INDEX(catClasif,MATCH(D4358&amp;"|"&amp;E4358,catClave,0))&amp;"","Variable")),"")</f>
        <v/>
      </c>
      <c r="Y4358" s="52">
        <f>IF(P4358="","",IFERROR(INDEX(catGrupo,MATCH(D4358&amp;"|"&amp;E4358,catClave,0))&amp;"",""))</f>
        <v/>
      </c>
      <c r="Z4358" s="52">
        <f>IF(P4358="","",WEEKDAY(B4358,2))</f>
        <v/>
      </c>
      <c r="AA4358" s="52">
        <f>IF(P4358="","",IF(AND(P4358="Gasto",X4358="Variable",D4358&lt;&gt;catTrading,S4358&gt;0,S4358&lt;=Umbral),1,0))</f>
        <v/>
      </c>
      <c r="AB4358" s="52">
        <f>IF(OR(P4358="",Q4358=""),"",IFERROR(IF(INDEX(ctaVinc,MATCH(Q4358,ctaNombre,0))&amp;""&lt;&gt;"",INDEX(ctaVinc,MATCH(Q4358,ctaNombre,0))&amp;"",Q4358),Q4358))</f>
        <v/>
      </c>
      <c r="AC4358" s="52">
        <f>IF(OR(K4358="",AND(P4358&lt;&gt;"Transferencia",P4358&lt;&gt;"Pago tarjeta")),"",IFERROR(IF(INDEX(ctaVinc,MATCH(K4358,ctaNombre,0))&amp;""&lt;&gt;"",INDEX(ctaVinc,MATCH(K4358,ctaNombre,0))&amp;"",K4358),K4358))</f>
        <v/>
      </c>
      <c r="AD4358" s="52">
        <f>IF(AB4358="","",IFERROR(INDEX(ctaTipo,MATCH(AB4358,ctaNombre,0))&amp;"",""))</f>
        <v/>
      </c>
      <c r="AE4358" s="52">
        <f>IF(AC4358="","",IFERROR(INDEX(ctaTipo,MATCH(AC4358,ctaNombre,0))&amp;"",""))</f>
        <v/>
      </c>
      <c r="AF4358" s="53">
        <f>IF(OR(P4358="",AB4358=""),"",IF(OR(P4358="Gasto",P4358="Transferencia",P4358="Pago tarjeta"),-1,1)*IF(IFERROR(INDEX(ctaMoneda,MATCH(AB4358,ctaNombre,0))&amp;"","DOP")="USD",T4358,S4358))</f>
        <v/>
      </c>
      <c r="AG4358" s="53">
        <f>IF(AC4358="","",IF(IFERROR(INDEX(ctaMoneda,MATCH(AC4358,ctaNombre,0))&amp;"","DOP")="USD",T4358,S4358))</f>
        <v/>
      </c>
      <c r="AH4358" s="53">
        <f>IF(P4358="","",IF(AND(AD4358&lt;&gt;"",COUNTIFS(tcTipo,AD4358,tcLiq,"Sí")&gt;0),IF(OR(P4358="Gasto",P4358="Transferencia",P4358="Pago tarjeta"),-1,1)*S4358,0)+IF(AND(AE4358&lt;&gt;"",COUNTIFS(tcTipo,AE4358,tcLiq,"Sí")&gt;0),S4358,0))</f>
        <v/>
      </c>
      <c r="AI4358" s="52">
        <f>IF(OR(L4358="",P4358=""),"",IF(COUNTIFS(L$6:L4358,L4358,P$6:P4358,"?*")=1,MAX(AI$5:AI4357)+1,""))</f>
        <v/>
      </c>
    </row>
    <row r="4359">
      <c r="B4359" s="47" t="n"/>
      <c r="C4359" s="48" t="n"/>
      <c r="D4359" s="48" t="n"/>
      <c r="E4359" s="48" t="n"/>
      <c r="F4359" s="48" t="n"/>
      <c r="G4359" s="49" t="n"/>
      <c r="H4359" s="48" t="n"/>
      <c r="I4359" s="50" t="n"/>
      <c r="J4359" s="48" t="n"/>
      <c r="K4359" s="48" t="n"/>
      <c r="L4359" s="48" t="n"/>
      <c r="M4359" s="48" t="n"/>
      <c r="N4359" s="48" t="n"/>
      <c r="O4359" s="51">
        <f>IF(AND(B4359="",G4359="",C4359="",D4359="",J4359=""),"",IF(B4359="","⚠ Falta fecha",IF(G4359="","⚠ Falta monto",IF(Q4359="","⚠ Falta cuenta",IF(ISNA(MATCH(Q4359,ctaNombre,0)),"⚠ Cuenta no registrada",IF(AND(OR(P4359="Gasto",P4359="Reembolso"),D4359=""),"⚠ Falta categoría",IF(AND(D4359&lt;&gt;"",E4359&lt;&gt;"",ISNA(MATCH(D4359&amp;"|"&amp;E4359,catClave,0))),"⚠ Subcategoría no corresponde",IF(AND(OR(P4359="Transferencia",P4359="Pago tarjeta"),K4359=""),"⚠ Falta cuenta destino",IF(AND(K4359&lt;&gt;"",P4359&lt;&gt;"Transferencia",P4359&lt;&gt;"Pago tarjeta"),"⚠ Destino solo aplica a transferencias",IF(AND(K4359&lt;&gt;"",K4359=Q4359),"⚠ Origen igual a destino",IF(AND(K4359&lt;&gt;"",ISNA(MATCH(K4359,ctaNombre,0))),"⚠ Destino no registrado",IF(AND(P4359="Pago tarjeta",AE4359&lt;&gt;"Tarjeta de crédito"),"⚠ El destino debe ser tarjeta de crédito",IF(AND(P4359="Gasto",E4359="Depósitos y retiros"),"⚠ Usa tipo Transferencia",IF(AND(P4359="Resultado trading",AD4359&lt;&gt;"Cuenta de trading"),"⚠ Usa una cuenta de trading",IF(AND(G4359&lt;=0,P4359&lt;&gt;"Ajuste",P4359&lt;&gt;"Resultado trading"),"⚠ El monto debe ser positivo","✓")))))))))))))))</f>
        <v/>
      </c>
      <c r="P4359" s="52">
        <f>IF(OR(B4359="",G4359=""),"",IF(C4359="","Gasto",C4359))</f>
        <v/>
      </c>
      <c r="Q4359" s="52">
        <f>IF(P4359="","",IF(J4359&lt;&gt;"",J4359,CuentaPred&amp;""))</f>
        <v/>
      </c>
      <c r="R4359" s="52">
        <f>IF(P4359="","",IF(ISNUMBER(I4359),I4359,TasaUSD))</f>
        <v/>
      </c>
      <c r="S4359" s="53">
        <f>IF(P4359="","",IF(H4359="USD",G4359*R4359,G4359))</f>
        <v/>
      </c>
      <c r="T4359" s="53">
        <f>IF(P4359="","",IF(H4359="USD",G4359,IF(R4359&gt;0,G4359/R4359,0)))</f>
        <v/>
      </c>
      <c r="U4359" s="53">
        <f>IF(P4359="","",IF(P4359="Gasto",S4359,IF(P4359="Reembolso",-S4359,0)))</f>
        <v/>
      </c>
      <c r="V4359" s="53">
        <f>IF(P4359="","",IF(P4359="Ingreso",S4359,0))</f>
        <v/>
      </c>
      <c r="W4359" s="53">
        <f>IF(P4359="","",IF(P4359="Resultado trading",S4359,0))</f>
        <v/>
      </c>
      <c r="X4359" s="52">
        <f>IF(OR(P4359="Gasto",P4359="Reembolso"),IF(M4359&lt;&gt;"",M4359,IFERROR(INDEX(catClasif,MATCH(D4359&amp;"|"&amp;E4359,catClave,0))&amp;"","Variable")),"")</f>
        <v/>
      </c>
      <c r="Y4359" s="52">
        <f>IF(P4359="","",IFERROR(INDEX(catGrupo,MATCH(D4359&amp;"|"&amp;E4359,catClave,0))&amp;"",""))</f>
        <v/>
      </c>
      <c r="Z4359" s="52">
        <f>IF(P4359="","",WEEKDAY(B4359,2))</f>
        <v/>
      </c>
      <c r="AA4359" s="52">
        <f>IF(P4359="","",IF(AND(P4359="Gasto",X4359="Variable",D4359&lt;&gt;catTrading,S4359&gt;0,S4359&lt;=Umbral),1,0))</f>
        <v/>
      </c>
      <c r="AB4359" s="52">
        <f>IF(OR(P4359="",Q4359=""),"",IFERROR(IF(INDEX(ctaVinc,MATCH(Q4359,ctaNombre,0))&amp;""&lt;&gt;"",INDEX(ctaVinc,MATCH(Q4359,ctaNombre,0))&amp;"",Q4359),Q4359))</f>
        <v/>
      </c>
      <c r="AC4359" s="52">
        <f>IF(OR(K4359="",AND(P4359&lt;&gt;"Transferencia",P4359&lt;&gt;"Pago tarjeta")),"",IFERROR(IF(INDEX(ctaVinc,MATCH(K4359,ctaNombre,0))&amp;""&lt;&gt;"",INDEX(ctaVinc,MATCH(K4359,ctaNombre,0))&amp;"",K4359),K4359))</f>
        <v/>
      </c>
      <c r="AD4359" s="52">
        <f>IF(AB4359="","",IFERROR(INDEX(ctaTipo,MATCH(AB4359,ctaNombre,0))&amp;"",""))</f>
        <v/>
      </c>
      <c r="AE4359" s="52">
        <f>IF(AC4359="","",IFERROR(INDEX(ctaTipo,MATCH(AC4359,ctaNombre,0))&amp;"",""))</f>
        <v/>
      </c>
      <c r="AF4359" s="53">
        <f>IF(OR(P4359="",AB4359=""),"",IF(OR(P4359="Gasto",P4359="Transferencia",P4359="Pago tarjeta"),-1,1)*IF(IFERROR(INDEX(ctaMoneda,MATCH(AB4359,ctaNombre,0))&amp;"","DOP")="USD",T4359,S4359))</f>
        <v/>
      </c>
      <c r="AG4359" s="53">
        <f>IF(AC4359="","",IF(IFERROR(INDEX(ctaMoneda,MATCH(AC4359,ctaNombre,0))&amp;"","DOP")="USD",T4359,S4359))</f>
        <v/>
      </c>
      <c r="AH4359" s="53">
        <f>IF(P4359="","",IF(AND(AD4359&lt;&gt;"",COUNTIFS(tcTipo,AD4359,tcLiq,"Sí")&gt;0),IF(OR(P4359="Gasto",P4359="Transferencia",P4359="Pago tarjeta"),-1,1)*S4359,0)+IF(AND(AE4359&lt;&gt;"",COUNTIFS(tcTipo,AE4359,tcLiq,"Sí")&gt;0),S4359,0))</f>
        <v/>
      </c>
      <c r="AI4359" s="52">
        <f>IF(OR(L4359="",P4359=""),"",IF(COUNTIFS(L$6:L4359,L4359,P$6:P4359,"?*")=1,MAX(AI$5:AI4358)+1,""))</f>
        <v/>
      </c>
    </row>
    <row r="4360">
      <c r="B4360" s="47" t="n"/>
      <c r="C4360" s="48" t="n"/>
      <c r="D4360" s="48" t="n"/>
      <c r="E4360" s="48" t="n"/>
      <c r="F4360" s="48" t="n"/>
      <c r="G4360" s="49" t="n"/>
      <c r="H4360" s="48" t="n"/>
      <c r="I4360" s="50" t="n"/>
      <c r="J4360" s="48" t="n"/>
      <c r="K4360" s="48" t="n"/>
      <c r="L4360" s="48" t="n"/>
      <c r="M4360" s="48" t="n"/>
      <c r="N4360" s="48" t="n"/>
      <c r="O4360" s="51">
        <f>IF(AND(B4360="",G4360="",C4360="",D4360="",J4360=""),"",IF(B4360="","⚠ Falta fecha",IF(G4360="","⚠ Falta monto",IF(Q4360="","⚠ Falta cuenta",IF(ISNA(MATCH(Q4360,ctaNombre,0)),"⚠ Cuenta no registrada",IF(AND(OR(P4360="Gasto",P4360="Reembolso"),D4360=""),"⚠ Falta categoría",IF(AND(D4360&lt;&gt;"",E4360&lt;&gt;"",ISNA(MATCH(D4360&amp;"|"&amp;E4360,catClave,0))),"⚠ Subcategoría no corresponde",IF(AND(OR(P4360="Transferencia",P4360="Pago tarjeta"),K4360=""),"⚠ Falta cuenta destino",IF(AND(K4360&lt;&gt;"",P4360&lt;&gt;"Transferencia",P4360&lt;&gt;"Pago tarjeta"),"⚠ Destino solo aplica a transferencias",IF(AND(K4360&lt;&gt;"",K4360=Q4360),"⚠ Origen igual a destino",IF(AND(K4360&lt;&gt;"",ISNA(MATCH(K4360,ctaNombre,0))),"⚠ Destino no registrado",IF(AND(P4360="Pago tarjeta",AE4360&lt;&gt;"Tarjeta de crédito"),"⚠ El destino debe ser tarjeta de crédito",IF(AND(P4360="Gasto",E4360="Depósitos y retiros"),"⚠ Usa tipo Transferencia",IF(AND(P4360="Resultado trading",AD4360&lt;&gt;"Cuenta de trading"),"⚠ Usa una cuenta de trading",IF(AND(G4360&lt;=0,P4360&lt;&gt;"Ajuste",P4360&lt;&gt;"Resultado trading"),"⚠ El monto debe ser positivo","✓")))))))))))))))</f>
        <v/>
      </c>
      <c r="P4360" s="52">
        <f>IF(OR(B4360="",G4360=""),"",IF(C4360="","Gasto",C4360))</f>
        <v/>
      </c>
      <c r="Q4360" s="52">
        <f>IF(P4360="","",IF(J4360&lt;&gt;"",J4360,CuentaPred&amp;""))</f>
        <v/>
      </c>
      <c r="R4360" s="52">
        <f>IF(P4360="","",IF(ISNUMBER(I4360),I4360,TasaUSD))</f>
        <v/>
      </c>
      <c r="S4360" s="53">
        <f>IF(P4360="","",IF(H4360="USD",G4360*R4360,G4360))</f>
        <v/>
      </c>
      <c r="T4360" s="53">
        <f>IF(P4360="","",IF(H4360="USD",G4360,IF(R4360&gt;0,G4360/R4360,0)))</f>
        <v/>
      </c>
      <c r="U4360" s="53">
        <f>IF(P4360="","",IF(P4360="Gasto",S4360,IF(P4360="Reembolso",-S4360,0)))</f>
        <v/>
      </c>
      <c r="V4360" s="53">
        <f>IF(P4360="","",IF(P4360="Ingreso",S4360,0))</f>
        <v/>
      </c>
      <c r="W4360" s="53">
        <f>IF(P4360="","",IF(P4360="Resultado trading",S4360,0))</f>
        <v/>
      </c>
      <c r="X4360" s="52">
        <f>IF(OR(P4360="Gasto",P4360="Reembolso"),IF(M4360&lt;&gt;"",M4360,IFERROR(INDEX(catClasif,MATCH(D4360&amp;"|"&amp;E4360,catClave,0))&amp;"","Variable")),"")</f>
        <v/>
      </c>
      <c r="Y4360" s="52">
        <f>IF(P4360="","",IFERROR(INDEX(catGrupo,MATCH(D4360&amp;"|"&amp;E4360,catClave,0))&amp;"",""))</f>
        <v/>
      </c>
      <c r="Z4360" s="52">
        <f>IF(P4360="","",WEEKDAY(B4360,2))</f>
        <v/>
      </c>
      <c r="AA4360" s="52">
        <f>IF(P4360="","",IF(AND(P4360="Gasto",X4360="Variable",D4360&lt;&gt;catTrading,S4360&gt;0,S4360&lt;=Umbral),1,0))</f>
        <v/>
      </c>
      <c r="AB4360" s="52">
        <f>IF(OR(P4360="",Q4360=""),"",IFERROR(IF(INDEX(ctaVinc,MATCH(Q4360,ctaNombre,0))&amp;""&lt;&gt;"",INDEX(ctaVinc,MATCH(Q4360,ctaNombre,0))&amp;"",Q4360),Q4360))</f>
        <v/>
      </c>
      <c r="AC4360" s="52">
        <f>IF(OR(K4360="",AND(P4360&lt;&gt;"Transferencia",P4360&lt;&gt;"Pago tarjeta")),"",IFERROR(IF(INDEX(ctaVinc,MATCH(K4360,ctaNombre,0))&amp;""&lt;&gt;"",INDEX(ctaVinc,MATCH(K4360,ctaNombre,0))&amp;"",K4360),K4360))</f>
        <v/>
      </c>
      <c r="AD4360" s="52">
        <f>IF(AB4360="","",IFERROR(INDEX(ctaTipo,MATCH(AB4360,ctaNombre,0))&amp;"",""))</f>
        <v/>
      </c>
      <c r="AE4360" s="52">
        <f>IF(AC4360="","",IFERROR(INDEX(ctaTipo,MATCH(AC4360,ctaNombre,0))&amp;"",""))</f>
        <v/>
      </c>
      <c r="AF4360" s="53">
        <f>IF(OR(P4360="",AB4360=""),"",IF(OR(P4360="Gasto",P4360="Transferencia",P4360="Pago tarjeta"),-1,1)*IF(IFERROR(INDEX(ctaMoneda,MATCH(AB4360,ctaNombre,0))&amp;"","DOP")="USD",T4360,S4360))</f>
        <v/>
      </c>
      <c r="AG4360" s="53">
        <f>IF(AC4360="","",IF(IFERROR(INDEX(ctaMoneda,MATCH(AC4360,ctaNombre,0))&amp;"","DOP")="USD",T4360,S4360))</f>
        <v/>
      </c>
      <c r="AH4360" s="53">
        <f>IF(P4360="","",IF(AND(AD4360&lt;&gt;"",COUNTIFS(tcTipo,AD4360,tcLiq,"Sí")&gt;0),IF(OR(P4360="Gasto",P4360="Transferencia",P4360="Pago tarjeta"),-1,1)*S4360,0)+IF(AND(AE4360&lt;&gt;"",COUNTIFS(tcTipo,AE4360,tcLiq,"Sí")&gt;0),S4360,0))</f>
        <v/>
      </c>
      <c r="AI4360" s="52">
        <f>IF(OR(L4360="",P4360=""),"",IF(COUNTIFS(L$6:L4360,L4360,P$6:P4360,"?*")=1,MAX(AI$5:AI4359)+1,""))</f>
        <v/>
      </c>
    </row>
    <row r="4361">
      <c r="B4361" s="47" t="n"/>
      <c r="C4361" s="48" t="n"/>
      <c r="D4361" s="48" t="n"/>
      <c r="E4361" s="48" t="n"/>
      <c r="F4361" s="48" t="n"/>
      <c r="G4361" s="49" t="n"/>
      <c r="H4361" s="48" t="n"/>
      <c r="I4361" s="50" t="n"/>
      <c r="J4361" s="48" t="n"/>
      <c r="K4361" s="48" t="n"/>
      <c r="L4361" s="48" t="n"/>
      <c r="M4361" s="48" t="n"/>
      <c r="N4361" s="48" t="n"/>
      <c r="O4361" s="51">
        <f>IF(AND(B4361="",G4361="",C4361="",D4361="",J4361=""),"",IF(B4361="","⚠ Falta fecha",IF(G4361="","⚠ Falta monto",IF(Q4361="","⚠ Falta cuenta",IF(ISNA(MATCH(Q4361,ctaNombre,0)),"⚠ Cuenta no registrada",IF(AND(OR(P4361="Gasto",P4361="Reembolso"),D4361=""),"⚠ Falta categoría",IF(AND(D4361&lt;&gt;"",E4361&lt;&gt;"",ISNA(MATCH(D4361&amp;"|"&amp;E4361,catClave,0))),"⚠ Subcategoría no corresponde",IF(AND(OR(P4361="Transferencia",P4361="Pago tarjeta"),K4361=""),"⚠ Falta cuenta destino",IF(AND(K4361&lt;&gt;"",P4361&lt;&gt;"Transferencia",P4361&lt;&gt;"Pago tarjeta"),"⚠ Destino solo aplica a transferencias",IF(AND(K4361&lt;&gt;"",K4361=Q4361),"⚠ Origen igual a destino",IF(AND(K4361&lt;&gt;"",ISNA(MATCH(K4361,ctaNombre,0))),"⚠ Destino no registrado",IF(AND(P4361="Pago tarjeta",AE4361&lt;&gt;"Tarjeta de crédito"),"⚠ El destino debe ser tarjeta de crédito",IF(AND(P4361="Gasto",E4361="Depósitos y retiros"),"⚠ Usa tipo Transferencia",IF(AND(P4361="Resultado trading",AD4361&lt;&gt;"Cuenta de trading"),"⚠ Usa una cuenta de trading",IF(AND(G4361&lt;=0,P4361&lt;&gt;"Ajuste",P4361&lt;&gt;"Resultado trading"),"⚠ El monto debe ser positivo","✓")))))))))))))))</f>
        <v/>
      </c>
      <c r="P4361" s="52">
        <f>IF(OR(B4361="",G4361=""),"",IF(C4361="","Gasto",C4361))</f>
        <v/>
      </c>
      <c r="Q4361" s="52">
        <f>IF(P4361="","",IF(J4361&lt;&gt;"",J4361,CuentaPred&amp;""))</f>
        <v/>
      </c>
      <c r="R4361" s="52">
        <f>IF(P4361="","",IF(ISNUMBER(I4361),I4361,TasaUSD))</f>
        <v/>
      </c>
      <c r="S4361" s="53">
        <f>IF(P4361="","",IF(H4361="USD",G4361*R4361,G4361))</f>
        <v/>
      </c>
      <c r="T4361" s="53">
        <f>IF(P4361="","",IF(H4361="USD",G4361,IF(R4361&gt;0,G4361/R4361,0)))</f>
        <v/>
      </c>
      <c r="U4361" s="53">
        <f>IF(P4361="","",IF(P4361="Gasto",S4361,IF(P4361="Reembolso",-S4361,0)))</f>
        <v/>
      </c>
      <c r="V4361" s="53">
        <f>IF(P4361="","",IF(P4361="Ingreso",S4361,0))</f>
        <v/>
      </c>
      <c r="W4361" s="53">
        <f>IF(P4361="","",IF(P4361="Resultado trading",S4361,0))</f>
        <v/>
      </c>
      <c r="X4361" s="52">
        <f>IF(OR(P4361="Gasto",P4361="Reembolso"),IF(M4361&lt;&gt;"",M4361,IFERROR(INDEX(catClasif,MATCH(D4361&amp;"|"&amp;E4361,catClave,0))&amp;"","Variable")),"")</f>
        <v/>
      </c>
      <c r="Y4361" s="52">
        <f>IF(P4361="","",IFERROR(INDEX(catGrupo,MATCH(D4361&amp;"|"&amp;E4361,catClave,0))&amp;"",""))</f>
        <v/>
      </c>
      <c r="Z4361" s="52">
        <f>IF(P4361="","",WEEKDAY(B4361,2))</f>
        <v/>
      </c>
      <c r="AA4361" s="52">
        <f>IF(P4361="","",IF(AND(P4361="Gasto",X4361="Variable",D4361&lt;&gt;catTrading,S4361&gt;0,S4361&lt;=Umbral),1,0))</f>
        <v/>
      </c>
      <c r="AB4361" s="52">
        <f>IF(OR(P4361="",Q4361=""),"",IFERROR(IF(INDEX(ctaVinc,MATCH(Q4361,ctaNombre,0))&amp;""&lt;&gt;"",INDEX(ctaVinc,MATCH(Q4361,ctaNombre,0))&amp;"",Q4361),Q4361))</f>
        <v/>
      </c>
      <c r="AC4361" s="52">
        <f>IF(OR(K4361="",AND(P4361&lt;&gt;"Transferencia",P4361&lt;&gt;"Pago tarjeta")),"",IFERROR(IF(INDEX(ctaVinc,MATCH(K4361,ctaNombre,0))&amp;""&lt;&gt;"",INDEX(ctaVinc,MATCH(K4361,ctaNombre,0))&amp;"",K4361),K4361))</f>
        <v/>
      </c>
      <c r="AD4361" s="52">
        <f>IF(AB4361="","",IFERROR(INDEX(ctaTipo,MATCH(AB4361,ctaNombre,0))&amp;"",""))</f>
        <v/>
      </c>
      <c r="AE4361" s="52">
        <f>IF(AC4361="","",IFERROR(INDEX(ctaTipo,MATCH(AC4361,ctaNombre,0))&amp;"",""))</f>
        <v/>
      </c>
      <c r="AF4361" s="53">
        <f>IF(OR(P4361="",AB4361=""),"",IF(OR(P4361="Gasto",P4361="Transferencia",P4361="Pago tarjeta"),-1,1)*IF(IFERROR(INDEX(ctaMoneda,MATCH(AB4361,ctaNombre,0))&amp;"","DOP")="USD",T4361,S4361))</f>
        <v/>
      </c>
      <c r="AG4361" s="53">
        <f>IF(AC4361="","",IF(IFERROR(INDEX(ctaMoneda,MATCH(AC4361,ctaNombre,0))&amp;"","DOP")="USD",T4361,S4361))</f>
        <v/>
      </c>
      <c r="AH4361" s="53">
        <f>IF(P4361="","",IF(AND(AD4361&lt;&gt;"",COUNTIFS(tcTipo,AD4361,tcLiq,"Sí")&gt;0),IF(OR(P4361="Gasto",P4361="Transferencia",P4361="Pago tarjeta"),-1,1)*S4361,0)+IF(AND(AE4361&lt;&gt;"",COUNTIFS(tcTipo,AE4361,tcLiq,"Sí")&gt;0),S4361,0))</f>
        <v/>
      </c>
      <c r="AI4361" s="52">
        <f>IF(OR(L4361="",P4361=""),"",IF(COUNTIFS(L$6:L4361,L4361,P$6:P4361,"?*")=1,MAX(AI$5:AI4360)+1,""))</f>
        <v/>
      </c>
    </row>
    <row r="4362">
      <c r="B4362" s="47" t="n"/>
      <c r="C4362" s="48" t="n"/>
      <c r="D4362" s="48" t="n"/>
      <c r="E4362" s="48" t="n"/>
      <c r="F4362" s="48" t="n"/>
      <c r="G4362" s="49" t="n"/>
      <c r="H4362" s="48" t="n"/>
      <c r="I4362" s="50" t="n"/>
      <c r="J4362" s="48" t="n"/>
      <c r="K4362" s="48" t="n"/>
      <c r="L4362" s="48" t="n"/>
      <c r="M4362" s="48" t="n"/>
      <c r="N4362" s="48" t="n"/>
      <c r="O4362" s="51">
        <f>IF(AND(B4362="",G4362="",C4362="",D4362="",J4362=""),"",IF(B4362="","⚠ Falta fecha",IF(G4362="","⚠ Falta monto",IF(Q4362="","⚠ Falta cuenta",IF(ISNA(MATCH(Q4362,ctaNombre,0)),"⚠ Cuenta no registrada",IF(AND(OR(P4362="Gasto",P4362="Reembolso"),D4362=""),"⚠ Falta categoría",IF(AND(D4362&lt;&gt;"",E4362&lt;&gt;"",ISNA(MATCH(D4362&amp;"|"&amp;E4362,catClave,0))),"⚠ Subcategoría no corresponde",IF(AND(OR(P4362="Transferencia",P4362="Pago tarjeta"),K4362=""),"⚠ Falta cuenta destino",IF(AND(K4362&lt;&gt;"",P4362&lt;&gt;"Transferencia",P4362&lt;&gt;"Pago tarjeta"),"⚠ Destino solo aplica a transferencias",IF(AND(K4362&lt;&gt;"",K4362=Q4362),"⚠ Origen igual a destino",IF(AND(K4362&lt;&gt;"",ISNA(MATCH(K4362,ctaNombre,0))),"⚠ Destino no registrado",IF(AND(P4362="Pago tarjeta",AE4362&lt;&gt;"Tarjeta de crédito"),"⚠ El destino debe ser tarjeta de crédito",IF(AND(P4362="Gasto",E4362="Depósitos y retiros"),"⚠ Usa tipo Transferencia",IF(AND(P4362="Resultado trading",AD4362&lt;&gt;"Cuenta de trading"),"⚠ Usa una cuenta de trading",IF(AND(G4362&lt;=0,P4362&lt;&gt;"Ajuste",P4362&lt;&gt;"Resultado trading"),"⚠ El monto debe ser positivo","✓")))))))))))))))</f>
        <v/>
      </c>
      <c r="P4362" s="52">
        <f>IF(OR(B4362="",G4362=""),"",IF(C4362="","Gasto",C4362))</f>
        <v/>
      </c>
      <c r="Q4362" s="52">
        <f>IF(P4362="","",IF(J4362&lt;&gt;"",J4362,CuentaPred&amp;""))</f>
        <v/>
      </c>
      <c r="R4362" s="52">
        <f>IF(P4362="","",IF(ISNUMBER(I4362),I4362,TasaUSD))</f>
        <v/>
      </c>
      <c r="S4362" s="53">
        <f>IF(P4362="","",IF(H4362="USD",G4362*R4362,G4362))</f>
        <v/>
      </c>
      <c r="T4362" s="53">
        <f>IF(P4362="","",IF(H4362="USD",G4362,IF(R4362&gt;0,G4362/R4362,0)))</f>
        <v/>
      </c>
      <c r="U4362" s="53">
        <f>IF(P4362="","",IF(P4362="Gasto",S4362,IF(P4362="Reembolso",-S4362,0)))</f>
        <v/>
      </c>
      <c r="V4362" s="53">
        <f>IF(P4362="","",IF(P4362="Ingreso",S4362,0))</f>
        <v/>
      </c>
      <c r="W4362" s="53">
        <f>IF(P4362="","",IF(P4362="Resultado trading",S4362,0))</f>
        <v/>
      </c>
      <c r="X4362" s="52">
        <f>IF(OR(P4362="Gasto",P4362="Reembolso"),IF(M4362&lt;&gt;"",M4362,IFERROR(INDEX(catClasif,MATCH(D4362&amp;"|"&amp;E4362,catClave,0))&amp;"","Variable")),"")</f>
        <v/>
      </c>
      <c r="Y4362" s="52">
        <f>IF(P4362="","",IFERROR(INDEX(catGrupo,MATCH(D4362&amp;"|"&amp;E4362,catClave,0))&amp;"",""))</f>
        <v/>
      </c>
      <c r="Z4362" s="52">
        <f>IF(P4362="","",WEEKDAY(B4362,2))</f>
        <v/>
      </c>
      <c r="AA4362" s="52">
        <f>IF(P4362="","",IF(AND(P4362="Gasto",X4362="Variable",D4362&lt;&gt;catTrading,S4362&gt;0,S4362&lt;=Umbral),1,0))</f>
        <v/>
      </c>
      <c r="AB4362" s="52">
        <f>IF(OR(P4362="",Q4362=""),"",IFERROR(IF(INDEX(ctaVinc,MATCH(Q4362,ctaNombre,0))&amp;""&lt;&gt;"",INDEX(ctaVinc,MATCH(Q4362,ctaNombre,0))&amp;"",Q4362),Q4362))</f>
        <v/>
      </c>
      <c r="AC4362" s="52">
        <f>IF(OR(K4362="",AND(P4362&lt;&gt;"Transferencia",P4362&lt;&gt;"Pago tarjeta")),"",IFERROR(IF(INDEX(ctaVinc,MATCH(K4362,ctaNombre,0))&amp;""&lt;&gt;"",INDEX(ctaVinc,MATCH(K4362,ctaNombre,0))&amp;"",K4362),K4362))</f>
        <v/>
      </c>
      <c r="AD4362" s="52">
        <f>IF(AB4362="","",IFERROR(INDEX(ctaTipo,MATCH(AB4362,ctaNombre,0))&amp;"",""))</f>
        <v/>
      </c>
      <c r="AE4362" s="52">
        <f>IF(AC4362="","",IFERROR(INDEX(ctaTipo,MATCH(AC4362,ctaNombre,0))&amp;"",""))</f>
        <v/>
      </c>
      <c r="AF4362" s="53">
        <f>IF(OR(P4362="",AB4362=""),"",IF(OR(P4362="Gasto",P4362="Transferencia",P4362="Pago tarjeta"),-1,1)*IF(IFERROR(INDEX(ctaMoneda,MATCH(AB4362,ctaNombre,0))&amp;"","DOP")="USD",T4362,S4362))</f>
        <v/>
      </c>
      <c r="AG4362" s="53">
        <f>IF(AC4362="","",IF(IFERROR(INDEX(ctaMoneda,MATCH(AC4362,ctaNombre,0))&amp;"","DOP")="USD",T4362,S4362))</f>
        <v/>
      </c>
      <c r="AH4362" s="53">
        <f>IF(P4362="","",IF(AND(AD4362&lt;&gt;"",COUNTIFS(tcTipo,AD4362,tcLiq,"Sí")&gt;0),IF(OR(P4362="Gasto",P4362="Transferencia",P4362="Pago tarjeta"),-1,1)*S4362,0)+IF(AND(AE4362&lt;&gt;"",COUNTIFS(tcTipo,AE4362,tcLiq,"Sí")&gt;0),S4362,0))</f>
        <v/>
      </c>
      <c r="AI4362" s="52">
        <f>IF(OR(L4362="",P4362=""),"",IF(COUNTIFS(L$6:L4362,L4362,P$6:P4362,"?*")=1,MAX(AI$5:AI4361)+1,""))</f>
        <v/>
      </c>
    </row>
    <row r="4363">
      <c r="B4363" s="47" t="n"/>
      <c r="C4363" s="48" t="n"/>
      <c r="D4363" s="48" t="n"/>
      <c r="E4363" s="48" t="n"/>
      <c r="F4363" s="48" t="n"/>
      <c r="G4363" s="49" t="n"/>
      <c r="H4363" s="48" t="n"/>
      <c r="I4363" s="50" t="n"/>
      <c r="J4363" s="48" t="n"/>
      <c r="K4363" s="48" t="n"/>
      <c r="L4363" s="48" t="n"/>
      <c r="M4363" s="48" t="n"/>
      <c r="N4363" s="48" t="n"/>
      <c r="O4363" s="51">
        <f>IF(AND(B4363="",G4363="",C4363="",D4363="",J4363=""),"",IF(B4363="","⚠ Falta fecha",IF(G4363="","⚠ Falta monto",IF(Q4363="","⚠ Falta cuenta",IF(ISNA(MATCH(Q4363,ctaNombre,0)),"⚠ Cuenta no registrada",IF(AND(OR(P4363="Gasto",P4363="Reembolso"),D4363=""),"⚠ Falta categoría",IF(AND(D4363&lt;&gt;"",E4363&lt;&gt;"",ISNA(MATCH(D4363&amp;"|"&amp;E4363,catClave,0))),"⚠ Subcategoría no corresponde",IF(AND(OR(P4363="Transferencia",P4363="Pago tarjeta"),K4363=""),"⚠ Falta cuenta destino",IF(AND(K4363&lt;&gt;"",P4363&lt;&gt;"Transferencia",P4363&lt;&gt;"Pago tarjeta"),"⚠ Destino solo aplica a transferencias",IF(AND(K4363&lt;&gt;"",K4363=Q4363),"⚠ Origen igual a destino",IF(AND(K4363&lt;&gt;"",ISNA(MATCH(K4363,ctaNombre,0))),"⚠ Destino no registrado",IF(AND(P4363="Pago tarjeta",AE4363&lt;&gt;"Tarjeta de crédito"),"⚠ El destino debe ser tarjeta de crédito",IF(AND(P4363="Gasto",E4363="Depósitos y retiros"),"⚠ Usa tipo Transferencia",IF(AND(P4363="Resultado trading",AD4363&lt;&gt;"Cuenta de trading"),"⚠ Usa una cuenta de trading",IF(AND(G4363&lt;=0,P4363&lt;&gt;"Ajuste",P4363&lt;&gt;"Resultado trading"),"⚠ El monto debe ser positivo","✓")))))))))))))))</f>
        <v/>
      </c>
      <c r="P4363" s="52">
        <f>IF(OR(B4363="",G4363=""),"",IF(C4363="","Gasto",C4363))</f>
        <v/>
      </c>
      <c r="Q4363" s="52">
        <f>IF(P4363="","",IF(J4363&lt;&gt;"",J4363,CuentaPred&amp;""))</f>
        <v/>
      </c>
      <c r="R4363" s="52">
        <f>IF(P4363="","",IF(ISNUMBER(I4363),I4363,TasaUSD))</f>
        <v/>
      </c>
      <c r="S4363" s="53">
        <f>IF(P4363="","",IF(H4363="USD",G4363*R4363,G4363))</f>
        <v/>
      </c>
      <c r="T4363" s="53">
        <f>IF(P4363="","",IF(H4363="USD",G4363,IF(R4363&gt;0,G4363/R4363,0)))</f>
        <v/>
      </c>
      <c r="U4363" s="53">
        <f>IF(P4363="","",IF(P4363="Gasto",S4363,IF(P4363="Reembolso",-S4363,0)))</f>
        <v/>
      </c>
      <c r="V4363" s="53">
        <f>IF(P4363="","",IF(P4363="Ingreso",S4363,0))</f>
        <v/>
      </c>
      <c r="W4363" s="53">
        <f>IF(P4363="","",IF(P4363="Resultado trading",S4363,0))</f>
        <v/>
      </c>
      <c r="X4363" s="52">
        <f>IF(OR(P4363="Gasto",P4363="Reembolso"),IF(M4363&lt;&gt;"",M4363,IFERROR(INDEX(catClasif,MATCH(D4363&amp;"|"&amp;E4363,catClave,0))&amp;"","Variable")),"")</f>
        <v/>
      </c>
      <c r="Y4363" s="52">
        <f>IF(P4363="","",IFERROR(INDEX(catGrupo,MATCH(D4363&amp;"|"&amp;E4363,catClave,0))&amp;"",""))</f>
        <v/>
      </c>
      <c r="Z4363" s="52">
        <f>IF(P4363="","",WEEKDAY(B4363,2))</f>
        <v/>
      </c>
      <c r="AA4363" s="52">
        <f>IF(P4363="","",IF(AND(P4363="Gasto",X4363="Variable",D4363&lt;&gt;catTrading,S4363&gt;0,S4363&lt;=Umbral),1,0))</f>
        <v/>
      </c>
      <c r="AB4363" s="52">
        <f>IF(OR(P4363="",Q4363=""),"",IFERROR(IF(INDEX(ctaVinc,MATCH(Q4363,ctaNombre,0))&amp;""&lt;&gt;"",INDEX(ctaVinc,MATCH(Q4363,ctaNombre,0))&amp;"",Q4363),Q4363))</f>
        <v/>
      </c>
      <c r="AC4363" s="52">
        <f>IF(OR(K4363="",AND(P4363&lt;&gt;"Transferencia",P4363&lt;&gt;"Pago tarjeta")),"",IFERROR(IF(INDEX(ctaVinc,MATCH(K4363,ctaNombre,0))&amp;""&lt;&gt;"",INDEX(ctaVinc,MATCH(K4363,ctaNombre,0))&amp;"",K4363),K4363))</f>
        <v/>
      </c>
      <c r="AD4363" s="52">
        <f>IF(AB4363="","",IFERROR(INDEX(ctaTipo,MATCH(AB4363,ctaNombre,0))&amp;"",""))</f>
        <v/>
      </c>
      <c r="AE4363" s="52">
        <f>IF(AC4363="","",IFERROR(INDEX(ctaTipo,MATCH(AC4363,ctaNombre,0))&amp;"",""))</f>
        <v/>
      </c>
      <c r="AF4363" s="53">
        <f>IF(OR(P4363="",AB4363=""),"",IF(OR(P4363="Gasto",P4363="Transferencia",P4363="Pago tarjeta"),-1,1)*IF(IFERROR(INDEX(ctaMoneda,MATCH(AB4363,ctaNombre,0))&amp;"","DOP")="USD",T4363,S4363))</f>
        <v/>
      </c>
      <c r="AG4363" s="53">
        <f>IF(AC4363="","",IF(IFERROR(INDEX(ctaMoneda,MATCH(AC4363,ctaNombre,0))&amp;"","DOP")="USD",T4363,S4363))</f>
        <v/>
      </c>
      <c r="AH4363" s="53">
        <f>IF(P4363="","",IF(AND(AD4363&lt;&gt;"",COUNTIFS(tcTipo,AD4363,tcLiq,"Sí")&gt;0),IF(OR(P4363="Gasto",P4363="Transferencia",P4363="Pago tarjeta"),-1,1)*S4363,0)+IF(AND(AE4363&lt;&gt;"",COUNTIFS(tcTipo,AE4363,tcLiq,"Sí")&gt;0),S4363,0))</f>
        <v/>
      </c>
      <c r="AI4363" s="52">
        <f>IF(OR(L4363="",P4363=""),"",IF(COUNTIFS(L$6:L4363,L4363,P$6:P4363,"?*")=1,MAX(AI$5:AI4362)+1,""))</f>
        <v/>
      </c>
    </row>
    <row r="4364">
      <c r="B4364" s="47" t="n"/>
      <c r="C4364" s="48" t="n"/>
      <c r="D4364" s="48" t="n"/>
      <c r="E4364" s="48" t="n"/>
      <c r="F4364" s="48" t="n"/>
      <c r="G4364" s="49" t="n"/>
      <c r="H4364" s="48" t="n"/>
      <c r="I4364" s="50" t="n"/>
      <c r="J4364" s="48" t="n"/>
      <c r="K4364" s="48" t="n"/>
      <c r="L4364" s="48" t="n"/>
      <c r="M4364" s="48" t="n"/>
      <c r="N4364" s="48" t="n"/>
      <c r="O4364" s="51">
        <f>IF(AND(B4364="",G4364="",C4364="",D4364="",J4364=""),"",IF(B4364="","⚠ Falta fecha",IF(G4364="","⚠ Falta monto",IF(Q4364="","⚠ Falta cuenta",IF(ISNA(MATCH(Q4364,ctaNombre,0)),"⚠ Cuenta no registrada",IF(AND(OR(P4364="Gasto",P4364="Reembolso"),D4364=""),"⚠ Falta categoría",IF(AND(D4364&lt;&gt;"",E4364&lt;&gt;"",ISNA(MATCH(D4364&amp;"|"&amp;E4364,catClave,0))),"⚠ Subcategoría no corresponde",IF(AND(OR(P4364="Transferencia",P4364="Pago tarjeta"),K4364=""),"⚠ Falta cuenta destino",IF(AND(K4364&lt;&gt;"",P4364&lt;&gt;"Transferencia",P4364&lt;&gt;"Pago tarjeta"),"⚠ Destino solo aplica a transferencias",IF(AND(K4364&lt;&gt;"",K4364=Q4364),"⚠ Origen igual a destino",IF(AND(K4364&lt;&gt;"",ISNA(MATCH(K4364,ctaNombre,0))),"⚠ Destino no registrado",IF(AND(P4364="Pago tarjeta",AE4364&lt;&gt;"Tarjeta de crédito"),"⚠ El destino debe ser tarjeta de crédito",IF(AND(P4364="Gasto",E4364="Depósitos y retiros"),"⚠ Usa tipo Transferencia",IF(AND(P4364="Resultado trading",AD4364&lt;&gt;"Cuenta de trading"),"⚠ Usa una cuenta de trading",IF(AND(G4364&lt;=0,P4364&lt;&gt;"Ajuste",P4364&lt;&gt;"Resultado trading"),"⚠ El monto debe ser positivo","✓")))))))))))))))</f>
        <v/>
      </c>
      <c r="P4364" s="52">
        <f>IF(OR(B4364="",G4364=""),"",IF(C4364="","Gasto",C4364))</f>
        <v/>
      </c>
      <c r="Q4364" s="52">
        <f>IF(P4364="","",IF(J4364&lt;&gt;"",J4364,CuentaPred&amp;""))</f>
        <v/>
      </c>
      <c r="R4364" s="52">
        <f>IF(P4364="","",IF(ISNUMBER(I4364),I4364,TasaUSD))</f>
        <v/>
      </c>
      <c r="S4364" s="53">
        <f>IF(P4364="","",IF(H4364="USD",G4364*R4364,G4364))</f>
        <v/>
      </c>
      <c r="T4364" s="53">
        <f>IF(P4364="","",IF(H4364="USD",G4364,IF(R4364&gt;0,G4364/R4364,0)))</f>
        <v/>
      </c>
      <c r="U4364" s="53">
        <f>IF(P4364="","",IF(P4364="Gasto",S4364,IF(P4364="Reembolso",-S4364,0)))</f>
        <v/>
      </c>
      <c r="V4364" s="53">
        <f>IF(P4364="","",IF(P4364="Ingreso",S4364,0))</f>
        <v/>
      </c>
      <c r="W4364" s="53">
        <f>IF(P4364="","",IF(P4364="Resultado trading",S4364,0))</f>
        <v/>
      </c>
      <c r="X4364" s="52">
        <f>IF(OR(P4364="Gasto",P4364="Reembolso"),IF(M4364&lt;&gt;"",M4364,IFERROR(INDEX(catClasif,MATCH(D4364&amp;"|"&amp;E4364,catClave,0))&amp;"","Variable")),"")</f>
        <v/>
      </c>
      <c r="Y4364" s="52">
        <f>IF(P4364="","",IFERROR(INDEX(catGrupo,MATCH(D4364&amp;"|"&amp;E4364,catClave,0))&amp;"",""))</f>
        <v/>
      </c>
      <c r="Z4364" s="52">
        <f>IF(P4364="","",WEEKDAY(B4364,2))</f>
        <v/>
      </c>
      <c r="AA4364" s="52">
        <f>IF(P4364="","",IF(AND(P4364="Gasto",X4364="Variable",D4364&lt;&gt;catTrading,S4364&gt;0,S4364&lt;=Umbral),1,0))</f>
        <v/>
      </c>
      <c r="AB4364" s="52">
        <f>IF(OR(P4364="",Q4364=""),"",IFERROR(IF(INDEX(ctaVinc,MATCH(Q4364,ctaNombre,0))&amp;""&lt;&gt;"",INDEX(ctaVinc,MATCH(Q4364,ctaNombre,0))&amp;"",Q4364),Q4364))</f>
        <v/>
      </c>
      <c r="AC4364" s="52">
        <f>IF(OR(K4364="",AND(P4364&lt;&gt;"Transferencia",P4364&lt;&gt;"Pago tarjeta")),"",IFERROR(IF(INDEX(ctaVinc,MATCH(K4364,ctaNombre,0))&amp;""&lt;&gt;"",INDEX(ctaVinc,MATCH(K4364,ctaNombre,0))&amp;"",K4364),K4364))</f>
        <v/>
      </c>
      <c r="AD4364" s="52">
        <f>IF(AB4364="","",IFERROR(INDEX(ctaTipo,MATCH(AB4364,ctaNombre,0))&amp;"",""))</f>
        <v/>
      </c>
      <c r="AE4364" s="52">
        <f>IF(AC4364="","",IFERROR(INDEX(ctaTipo,MATCH(AC4364,ctaNombre,0))&amp;"",""))</f>
        <v/>
      </c>
      <c r="AF4364" s="53">
        <f>IF(OR(P4364="",AB4364=""),"",IF(OR(P4364="Gasto",P4364="Transferencia",P4364="Pago tarjeta"),-1,1)*IF(IFERROR(INDEX(ctaMoneda,MATCH(AB4364,ctaNombre,0))&amp;"","DOP")="USD",T4364,S4364))</f>
        <v/>
      </c>
      <c r="AG4364" s="53">
        <f>IF(AC4364="","",IF(IFERROR(INDEX(ctaMoneda,MATCH(AC4364,ctaNombre,0))&amp;"","DOP")="USD",T4364,S4364))</f>
        <v/>
      </c>
      <c r="AH4364" s="53">
        <f>IF(P4364="","",IF(AND(AD4364&lt;&gt;"",COUNTIFS(tcTipo,AD4364,tcLiq,"Sí")&gt;0),IF(OR(P4364="Gasto",P4364="Transferencia",P4364="Pago tarjeta"),-1,1)*S4364,0)+IF(AND(AE4364&lt;&gt;"",COUNTIFS(tcTipo,AE4364,tcLiq,"Sí")&gt;0),S4364,0))</f>
        <v/>
      </c>
      <c r="AI4364" s="52">
        <f>IF(OR(L4364="",P4364=""),"",IF(COUNTIFS(L$6:L4364,L4364,P$6:P4364,"?*")=1,MAX(AI$5:AI4363)+1,""))</f>
        <v/>
      </c>
    </row>
    <row r="4365">
      <c r="B4365" s="47" t="n"/>
      <c r="C4365" s="48" t="n"/>
      <c r="D4365" s="48" t="n"/>
      <c r="E4365" s="48" t="n"/>
      <c r="F4365" s="48" t="n"/>
      <c r="G4365" s="49" t="n"/>
      <c r="H4365" s="48" t="n"/>
      <c r="I4365" s="50" t="n"/>
      <c r="J4365" s="48" t="n"/>
      <c r="K4365" s="48" t="n"/>
      <c r="L4365" s="48" t="n"/>
      <c r="M4365" s="48" t="n"/>
      <c r="N4365" s="48" t="n"/>
      <c r="O4365" s="51">
        <f>IF(AND(B4365="",G4365="",C4365="",D4365="",J4365=""),"",IF(B4365="","⚠ Falta fecha",IF(G4365="","⚠ Falta monto",IF(Q4365="","⚠ Falta cuenta",IF(ISNA(MATCH(Q4365,ctaNombre,0)),"⚠ Cuenta no registrada",IF(AND(OR(P4365="Gasto",P4365="Reembolso"),D4365=""),"⚠ Falta categoría",IF(AND(D4365&lt;&gt;"",E4365&lt;&gt;"",ISNA(MATCH(D4365&amp;"|"&amp;E4365,catClave,0))),"⚠ Subcategoría no corresponde",IF(AND(OR(P4365="Transferencia",P4365="Pago tarjeta"),K4365=""),"⚠ Falta cuenta destino",IF(AND(K4365&lt;&gt;"",P4365&lt;&gt;"Transferencia",P4365&lt;&gt;"Pago tarjeta"),"⚠ Destino solo aplica a transferencias",IF(AND(K4365&lt;&gt;"",K4365=Q4365),"⚠ Origen igual a destino",IF(AND(K4365&lt;&gt;"",ISNA(MATCH(K4365,ctaNombre,0))),"⚠ Destino no registrado",IF(AND(P4365="Pago tarjeta",AE4365&lt;&gt;"Tarjeta de crédito"),"⚠ El destino debe ser tarjeta de crédito",IF(AND(P4365="Gasto",E4365="Depósitos y retiros"),"⚠ Usa tipo Transferencia",IF(AND(P4365="Resultado trading",AD4365&lt;&gt;"Cuenta de trading"),"⚠ Usa una cuenta de trading",IF(AND(G4365&lt;=0,P4365&lt;&gt;"Ajuste",P4365&lt;&gt;"Resultado trading"),"⚠ El monto debe ser positivo","✓")))))))))))))))</f>
        <v/>
      </c>
      <c r="P4365" s="52">
        <f>IF(OR(B4365="",G4365=""),"",IF(C4365="","Gasto",C4365))</f>
        <v/>
      </c>
      <c r="Q4365" s="52">
        <f>IF(P4365="","",IF(J4365&lt;&gt;"",J4365,CuentaPred&amp;""))</f>
        <v/>
      </c>
      <c r="R4365" s="52">
        <f>IF(P4365="","",IF(ISNUMBER(I4365),I4365,TasaUSD))</f>
        <v/>
      </c>
      <c r="S4365" s="53">
        <f>IF(P4365="","",IF(H4365="USD",G4365*R4365,G4365))</f>
        <v/>
      </c>
      <c r="T4365" s="53">
        <f>IF(P4365="","",IF(H4365="USD",G4365,IF(R4365&gt;0,G4365/R4365,0)))</f>
        <v/>
      </c>
      <c r="U4365" s="53">
        <f>IF(P4365="","",IF(P4365="Gasto",S4365,IF(P4365="Reembolso",-S4365,0)))</f>
        <v/>
      </c>
      <c r="V4365" s="53">
        <f>IF(P4365="","",IF(P4365="Ingreso",S4365,0))</f>
        <v/>
      </c>
      <c r="W4365" s="53">
        <f>IF(P4365="","",IF(P4365="Resultado trading",S4365,0))</f>
        <v/>
      </c>
      <c r="X4365" s="52">
        <f>IF(OR(P4365="Gasto",P4365="Reembolso"),IF(M4365&lt;&gt;"",M4365,IFERROR(INDEX(catClasif,MATCH(D4365&amp;"|"&amp;E4365,catClave,0))&amp;"","Variable")),"")</f>
        <v/>
      </c>
      <c r="Y4365" s="52">
        <f>IF(P4365="","",IFERROR(INDEX(catGrupo,MATCH(D4365&amp;"|"&amp;E4365,catClave,0))&amp;"",""))</f>
        <v/>
      </c>
      <c r="Z4365" s="52">
        <f>IF(P4365="","",WEEKDAY(B4365,2))</f>
        <v/>
      </c>
      <c r="AA4365" s="52">
        <f>IF(P4365="","",IF(AND(P4365="Gasto",X4365="Variable",D4365&lt;&gt;catTrading,S4365&gt;0,S4365&lt;=Umbral),1,0))</f>
        <v/>
      </c>
      <c r="AB4365" s="52">
        <f>IF(OR(P4365="",Q4365=""),"",IFERROR(IF(INDEX(ctaVinc,MATCH(Q4365,ctaNombre,0))&amp;""&lt;&gt;"",INDEX(ctaVinc,MATCH(Q4365,ctaNombre,0))&amp;"",Q4365),Q4365))</f>
        <v/>
      </c>
      <c r="AC4365" s="52">
        <f>IF(OR(K4365="",AND(P4365&lt;&gt;"Transferencia",P4365&lt;&gt;"Pago tarjeta")),"",IFERROR(IF(INDEX(ctaVinc,MATCH(K4365,ctaNombre,0))&amp;""&lt;&gt;"",INDEX(ctaVinc,MATCH(K4365,ctaNombre,0))&amp;"",K4365),K4365))</f>
        <v/>
      </c>
      <c r="AD4365" s="52">
        <f>IF(AB4365="","",IFERROR(INDEX(ctaTipo,MATCH(AB4365,ctaNombre,0))&amp;"",""))</f>
        <v/>
      </c>
      <c r="AE4365" s="52">
        <f>IF(AC4365="","",IFERROR(INDEX(ctaTipo,MATCH(AC4365,ctaNombre,0))&amp;"",""))</f>
        <v/>
      </c>
      <c r="AF4365" s="53">
        <f>IF(OR(P4365="",AB4365=""),"",IF(OR(P4365="Gasto",P4365="Transferencia",P4365="Pago tarjeta"),-1,1)*IF(IFERROR(INDEX(ctaMoneda,MATCH(AB4365,ctaNombre,0))&amp;"","DOP")="USD",T4365,S4365))</f>
        <v/>
      </c>
      <c r="AG4365" s="53">
        <f>IF(AC4365="","",IF(IFERROR(INDEX(ctaMoneda,MATCH(AC4365,ctaNombre,0))&amp;"","DOP")="USD",T4365,S4365))</f>
        <v/>
      </c>
      <c r="AH4365" s="53">
        <f>IF(P4365="","",IF(AND(AD4365&lt;&gt;"",COUNTIFS(tcTipo,AD4365,tcLiq,"Sí")&gt;0),IF(OR(P4365="Gasto",P4365="Transferencia",P4365="Pago tarjeta"),-1,1)*S4365,0)+IF(AND(AE4365&lt;&gt;"",COUNTIFS(tcTipo,AE4365,tcLiq,"Sí")&gt;0),S4365,0))</f>
        <v/>
      </c>
      <c r="AI4365" s="52">
        <f>IF(OR(L4365="",P4365=""),"",IF(COUNTIFS(L$6:L4365,L4365,P$6:P4365,"?*")=1,MAX(AI$5:AI4364)+1,""))</f>
        <v/>
      </c>
    </row>
    <row r="4366">
      <c r="B4366" s="47" t="n"/>
      <c r="C4366" s="48" t="n"/>
      <c r="D4366" s="48" t="n"/>
      <c r="E4366" s="48" t="n"/>
      <c r="F4366" s="48" t="n"/>
      <c r="G4366" s="49" t="n"/>
      <c r="H4366" s="48" t="n"/>
      <c r="I4366" s="50" t="n"/>
      <c r="J4366" s="48" t="n"/>
      <c r="K4366" s="48" t="n"/>
      <c r="L4366" s="48" t="n"/>
      <c r="M4366" s="48" t="n"/>
      <c r="N4366" s="48" t="n"/>
      <c r="O4366" s="51">
        <f>IF(AND(B4366="",G4366="",C4366="",D4366="",J4366=""),"",IF(B4366="","⚠ Falta fecha",IF(G4366="","⚠ Falta monto",IF(Q4366="","⚠ Falta cuenta",IF(ISNA(MATCH(Q4366,ctaNombre,0)),"⚠ Cuenta no registrada",IF(AND(OR(P4366="Gasto",P4366="Reembolso"),D4366=""),"⚠ Falta categoría",IF(AND(D4366&lt;&gt;"",E4366&lt;&gt;"",ISNA(MATCH(D4366&amp;"|"&amp;E4366,catClave,0))),"⚠ Subcategoría no corresponde",IF(AND(OR(P4366="Transferencia",P4366="Pago tarjeta"),K4366=""),"⚠ Falta cuenta destino",IF(AND(K4366&lt;&gt;"",P4366&lt;&gt;"Transferencia",P4366&lt;&gt;"Pago tarjeta"),"⚠ Destino solo aplica a transferencias",IF(AND(K4366&lt;&gt;"",K4366=Q4366),"⚠ Origen igual a destino",IF(AND(K4366&lt;&gt;"",ISNA(MATCH(K4366,ctaNombre,0))),"⚠ Destino no registrado",IF(AND(P4366="Pago tarjeta",AE4366&lt;&gt;"Tarjeta de crédito"),"⚠ El destino debe ser tarjeta de crédito",IF(AND(P4366="Gasto",E4366="Depósitos y retiros"),"⚠ Usa tipo Transferencia",IF(AND(P4366="Resultado trading",AD4366&lt;&gt;"Cuenta de trading"),"⚠ Usa una cuenta de trading",IF(AND(G4366&lt;=0,P4366&lt;&gt;"Ajuste",P4366&lt;&gt;"Resultado trading"),"⚠ El monto debe ser positivo","✓")))))))))))))))</f>
        <v/>
      </c>
      <c r="P4366" s="52">
        <f>IF(OR(B4366="",G4366=""),"",IF(C4366="","Gasto",C4366))</f>
        <v/>
      </c>
      <c r="Q4366" s="52">
        <f>IF(P4366="","",IF(J4366&lt;&gt;"",J4366,CuentaPred&amp;""))</f>
        <v/>
      </c>
      <c r="R4366" s="52">
        <f>IF(P4366="","",IF(ISNUMBER(I4366),I4366,TasaUSD))</f>
        <v/>
      </c>
      <c r="S4366" s="53">
        <f>IF(P4366="","",IF(H4366="USD",G4366*R4366,G4366))</f>
        <v/>
      </c>
      <c r="T4366" s="53">
        <f>IF(P4366="","",IF(H4366="USD",G4366,IF(R4366&gt;0,G4366/R4366,0)))</f>
        <v/>
      </c>
      <c r="U4366" s="53">
        <f>IF(P4366="","",IF(P4366="Gasto",S4366,IF(P4366="Reembolso",-S4366,0)))</f>
        <v/>
      </c>
      <c r="V4366" s="53">
        <f>IF(P4366="","",IF(P4366="Ingreso",S4366,0))</f>
        <v/>
      </c>
      <c r="W4366" s="53">
        <f>IF(P4366="","",IF(P4366="Resultado trading",S4366,0))</f>
        <v/>
      </c>
      <c r="X4366" s="52">
        <f>IF(OR(P4366="Gasto",P4366="Reembolso"),IF(M4366&lt;&gt;"",M4366,IFERROR(INDEX(catClasif,MATCH(D4366&amp;"|"&amp;E4366,catClave,0))&amp;"","Variable")),"")</f>
        <v/>
      </c>
      <c r="Y4366" s="52">
        <f>IF(P4366="","",IFERROR(INDEX(catGrupo,MATCH(D4366&amp;"|"&amp;E4366,catClave,0))&amp;"",""))</f>
        <v/>
      </c>
      <c r="Z4366" s="52">
        <f>IF(P4366="","",WEEKDAY(B4366,2))</f>
        <v/>
      </c>
      <c r="AA4366" s="52">
        <f>IF(P4366="","",IF(AND(P4366="Gasto",X4366="Variable",D4366&lt;&gt;catTrading,S4366&gt;0,S4366&lt;=Umbral),1,0))</f>
        <v/>
      </c>
      <c r="AB4366" s="52">
        <f>IF(OR(P4366="",Q4366=""),"",IFERROR(IF(INDEX(ctaVinc,MATCH(Q4366,ctaNombre,0))&amp;""&lt;&gt;"",INDEX(ctaVinc,MATCH(Q4366,ctaNombre,0))&amp;"",Q4366),Q4366))</f>
        <v/>
      </c>
      <c r="AC4366" s="52">
        <f>IF(OR(K4366="",AND(P4366&lt;&gt;"Transferencia",P4366&lt;&gt;"Pago tarjeta")),"",IFERROR(IF(INDEX(ctaVinc,MATCH(K4366,ctaNombre,0))&amp;""&lt;&gt;"",INDEX(ctaVinc,MATCH(K4366,ctaNombre,0))&amp;"",K4366),K4366))</f>
        <v/>
      </c>
      <c r="AD4366" s="52">
        <f>IF(AB4366="","",IFERROR(INDEX(ctaTipo,MATCH(AB4366,ctaNombre,0))&amp;"",""))</f>
        <v/>
      </c>
      <c r="AE4366" s="52">
        <f>IF(AC4366="","",IFERROR(INDEX(ctaTipo,MATCH(AC4366,ctaNombre,0))&amp;"",""))</f>
        <v/>
      </c>
      <c r="AF4366" s="53">
        <f>IF(OR(P4366="",AB4366=""),"",IF(OR(P4366="Gasto",P4366="Transferencia",P4366="Pago tarjeta"),-1,1)*IF(IFERROR(INDEX(ctaMoneda,MATCH(AB4366,ctaNombre,0))&amp;"","DOP")="USD",T4366,S4366))</f>
        <v/>
      </c>
      <c r="AG4366" s="53">
        <f>IF(AC4366="","",IF(IFERROR(INDEX(ctaMoneda,MATCH(AC4366,ctaNombre,0))&amp;"","DOP")="USD",T4366,S4366))</f>
        <v/>
      </c>
      <c r="AH4366" s="53">
        <f>IF(P4366="","",IF(AND(AD4366&lt;&gt;"",COUNTIFS(tcTipo,AD4366,tcLiq,"Sí")&gt;0),IF(OR(P4366="Gasto",P4366="Transferencia",P4366="Pago tarjeta"),-1,1)*S4366,0)+IF(AND(AE4366&lt;&gt;"",COUNTIFS(tcTipo,AE4366,tcLiq,"Sí")&gt;0),S4366,0))</f>
        <v/>
      </c>
      <c r="AI4366" s="52">
        <f>IF(OR(L4366="",P4366=""),"",IF(COUNTIFS(L$6:L4366,L4366,P$6:P4366,"?*")=1,MAX(AI$5:AI4365)+1,""))</f>
        <v/>
      </c>
    </row>
    <row r="4367">
      <c r="B4367" s="47" t="n"/>
      <c r="C4367" s="48" t="n"/>
      <c r="D4367" s="48" t="n"/>
      <c r="E4367" s="48" t="n"/>
      <c r="F4367" s="48" t="n"/>
      <c r="G4367" s="49" t="n"/>
      <c r="H4367" s="48" t="n"/>
      <c r="I4367" s="50" t="n"/>
      <c r="J4367" s="48" t="n"/>
      <c r="K4367" s="48" t="n"/>
      <c r="L4367" s="48" t="n"/>
      <c r="M4367" s="48" t="n"/>
      <c r="N4367" s="48" t="n"/>
      <c r="O4367" s="51">
        <f>IF(AND(B4367="",G4367="",C4367="",D4367="",J4367=""),"",IF(B4367="","⚠ Falta fecha",IF(G4367="","⚠ Falta monto",IF(Q4367="","⚠ Falta cuenta",IF(ISNA(MATCH(Q4367,ctaNombre,0)),"⚠ Cuenta no registrada",IF(AND(OR(P4367="Gasto",P4367="Reembolso"),D4367=""),"⚠ Falta categoría",IF(AND(D4367&lt;&gt;"",E4367&lt;&gt;"",ISNA(MATCH(D4367&amp;"|"&amp;E4367,catClave,0))),"⚠ Subcategoría no corresponde",IF(AND(OR(P4367="Transferencia",P4367="Pago tarjeta"),K4367=""),"⚠ Falta cuenta destino",IF(AND(K4367&lt;&gt;"",P4367&lt;&gt;"Transferencia",P4367&lt;&gt;"Pago tarjeta"),"⚠ Destino solo aplica a transferencias",IF(AND(K4367&lt;&gt;"",K4367=Q4367),"⚠ Origen igual a destino",IF(AND(K4367&lt;&gt;"",ISNA(MATCH(K4367,ctaNombre,0))),"⚠ Destino no registrado",IF(AND(P4367="Pago tarjeta",AE4367&lt;&gt;"Tarjeta de crédito"),"⚠ El destino debe ser tarjeta de crédito",IF(AND(P4367="Gasto",E4367="Depósitos y retiros"),"⚠ Usa tipo Transferencia",IF(AND(P4367="Resultado trading",AD4367&lt;&gt;"Cuenta de trading"),"⚠ Usa una cuenta de trading",IF(AND(G4367&lt;=0,P4367&lt;&gt;"Ajuste",P4367&lt;&gt;"Resultado trading"),"⚠ El monto debe ser positivo","✓")))))))))))))))</f>
        <v/>
      </c>
      <c r="P4367" s="52">
        <f>IF(OR(B4367="",G4367=""),"",IF(C4367="","Gasto",C4367))</f>
        <v/>
      </c>
      <c r="Q4367" s="52">
        <f>IF(P4367="","",IF(J4367&lt;&gt;"",J4367,CuentaPred&amp;""))</f>
        <v/>
      </c>
      <c r="R4367" s="52">
        <f>IF(P4367="","",IF(ISNUMBER(I4367),I4367,TasaUSD))</f>
        <v/>
      </c>
      <c r="S4367" s="53">
        <f>IF(P4367="","",IF(H4367="USD",G4367*R4367,G4367))</f>
        <v/>
      </c>
      <c r="T4367" s="53">
        <f>IF(P4367="","",IF(H4367="USD",G4367,IF(R4367&gt;0,G4367/R4367,0)))</f>
        <v/>
      </c>
      <c r="U4367" s="53">
        <f>IF(P4367="","",IF(P4367="Gasto",S4367,IF(P4367="Reembolso",-S4367,0)))</f>
        <v/>
      </c>
      <c r="V4367" s="53">
        <f>IF(P4367="","",IF(P4367="Ingreso",S4367,0))</f>
        <v/>
      </c>
      <c r="W4367" s="53">
        <f>IF(P4367="","",IF(P4367="Resultado trading",S4367,0))</f>
        <v/>
      </c>
      <c r="X4367" s="52">
        <f>IF(OR(P4367="Gasto",P4367="Reembolso"),IF(M4367&lt;&gt;"",M4367,IFERROR(INDEX(catClasif,MATCH(D4367&amp;"|"&amp;E4367,catClave,0))&amp;"","Variable")),"")</f>
        <v/>
      </c>
      <c r="Y4367" s="52">
        <f>IF(P4367="","",IFERROR(INDEX(catGrupo,MATCH(D4367&amp;"|"&amp;E4367,catClave,0))&amp;"",""))</f>
        <v/>
      </c>
      <c r="Z4367" s="52">
        <f>IF(P4367="","",WEEKDAY(B4367,2))</f>
        <v/>
      </c>
      <c r="AA4367" s="52">
        <f>IF(P4367="","",IF(AND(P4367="Gasto",X4367="Variable",D4367&lt;&gt;catTrading,S4367&gt;0,S4367&lt;=Umbral),1,0))</f>
        <v/>
      </c>
      <c r="AB4367" s="52">
        <f>IF(OR(P4367="",Q4367=""),"",IFERROR(IF(INDEX(ctaVinc,MATCH(Q4367,ctaNombre,0))&amp;""&lt;&gt;"",INDEX(ctaVinc,MATCH(Q4367,ctaNombre,0))&amp;"",Q4367),Q4367))</f>
        <v/>
      </c>
      <c r="AC4367" s="52">
        <f>IF(OR(K4367="",AND(P4367&lt;&gt;"Transferencia",P4367&lt;&gt;"Pago tarjeta")),"",IFERROR(IF(INDEX(ctaVinc,MATCH(K4367,ctaNombre,0))&amp;""&lt;&gt;"",INDEX(ctaVinc,MATCH(K4367,ctaNombre,0))&amp;"",K4367),K4367))</f>
        <v/>
      </c>
      <c r="AD4367" s="52">
        <f>IF(AB4367="","",IFERROR(INDEX(ctaTipo,MATCH(AB4367,ctaNombre,0))&amp;"",""))</f>
        <v/>
      </c>
      <c r="AE4367" s="52">
        <f>IF(AC4367="","",IFERROR(INDEX(ctaTipo,MATCH(AC4367,ctaNombre,0))&amp;"",""))</f>
        <v/>
      </c>
      <c r="AF4367" s="53">
        <f>IF(OR(P4367="",AB4367=""),"",IF(OR(P4367="Gasto",P4367="Transferencia",P4367="Pago tarjeta"),-1,1)*IF(IFERROR(INDEX(ctaMoneda,MATCH(AB4367,ctaNombre,0))&amp;"","DOP")="USD",T4367,S4367))</f>
        <v/>
      </c>
      <c r="AG4367" s="53">
        <f>IF(AC4367="","",IF(IFERROR(INDEX(ctaMoneda,MATCH(AC4367,ctaNombre,0))&amp;"","DOP")="USD",T4367,S4367))</f>
        <v/>
      </c>
      <c r="AH4367" s="53">
        <f>IF(P4367="","",IF(AND(AD4367&lt;&gt;"",COUNTIFS(tcTipo,AD4367,tcLiq,"Sí")&gt;0),IF(OR(P4367="Gasto",P4367="Transferencia",P4367="Pago tarjeta"),-1,1)*S4367,0)+IF(AND(AE4367&lt;&gt;"",COUNTIFS(tcTipo,AE4367,tcLiq,"Sí")&gt;0),S4367,0))</f>
        <v/>
      </c>
      <c r="AI4367" s="52">
        <f>IF(OR(L4367="",P4367=""),"",IF(COUNTIFS(L$6:L4367,L4367,P$6:P4367,"?*")=1,MAX(AI$5:AI4366)+1,""))</f>
        <v/>
      </c>
    </row>
    <row r="4368">
      <c r="B4368" s="47" t="n"/>
      <c r="C4368" s="48" t="n"/>
      <c r="D4368" s="48" t="n"/>
      <c r="E4368" s="48" t="n"/>
      <c r="F4368" s="48" t="n"/>
      <c r="G4368" s="49" t="n"/>
      <c r="H4368" s="48" t="n"/>
      <c r="I4368" s="50" t="n"/>
      <c r="J4368" s="48" t="n"/>
      <c r="K4368" s="48" t="n"/>
      <c r="L4368" s="48" t="n"/>
      <c r="M4368" s="48" t="n"/>
      <c r="N4368" s="48" t="n"/>
      <c r="O4368" s="51">
        <f>IF(AND(B4368="",G4368="",C4368="",D4368="",J4368=""),"",IF(B4368="","⚠ Falta fecha",IF(G4368="","⚠ Falta monto",IF(Q4368="","⚠ Falta cuenta",IF(ISNA(MATCH(Q4368,ctaNombre,0)),"⚠ Cuenta no registrada",IF(AND(OR(P4368="Gasto",P4368="Reembolso"),D4368=""),"⚠ Falta categoría",IF(AND(D4368&lt;&gt;"",E4368&lt;&gt;"",ISNA(MATCH(D4368&amp;"|"&amp;E4368,catClave,0))),"⚠ Subcategoría no corresponde",IF(AND(OR(P4368="Transferencia",P4368="Pago tarjeta"),K4368=""),"⚠ Falta cuenta destino",IF(AND(K4368&lt;&gt;"",P4368&lt;&gt;"Transferencia",P4368&lt;&gt;"Pago tarjeta"),"⚠ Destino solo aplica a transferencias",IF(AND(K4368&lt;&gt;"",K4368=Q4368),"⚠ Origen igual a destino",IF(AND(K4368&lt;&gt;"",ISNA(MATCH(K4368,ctaNombre,0))),"⚠ Destino no registrado",IF(AND(P4368="Pago tarjeta",AE4368&lt;&gt;"Tarjeta de crédito"),"⚠ El destino debe ser tarjeta de crédito",IF(AND(P4368="Gasto",E4368="Depósitos y retiros"),"⚠ Usa tipo Transferencia",IF(AND(P4368="Resultado trading",AD4368&lt;&gt;"Cuenta de trading"),"⚠ Usa una cuenta de trading",IF(AND(G4368&lt;=0,P4368&lt;&gt;"Ajuste",P4368&lt;&gt;"Resultado trading"),"⚠ El monto debe ser positivo","✓")))))))))))))))</f>
        <v/>
      </c>
      <c r="P4368" s="52">
        <f>IF(OR(B4368="",G4368=""),"",IF(C4368="","Gasto",C4368))</f>
        <v/>
      </c>
      <c r="Q4368" s="52">
        <f>IF(P4368="","",IF(J4368&lt;&gt;"",J4368,CuentaPred&amp;""))</f>
        <v/>
      </c>
      <c r="R4368" s="52">
        <f>IF(P4368="","",IF(ISNUMBER(I4368),I4368,TasaUSD))</f>
        <v/>
      </c>
      <c r="S4368" s="53">
        <f>IF(P4368="","",IF(H4368="USD",G4368*R4368,G4368))</f>
        <v/>
      </c>
      <c r="T4368" s="53">
        <f>IF(P4368="","",IF(H4368="USD",G4368,IF(R4368&gt;0,G4368/R4368,0)))</f>
        <v/>
      </c>
      <c r="U4368" s="53">
        <f>IF(P4368="","",IF(P4368="Gasto",S4368,IF(P4368="Reembolso",-S4368,0)))</f>
        <v/>
      </c>
      <c r="V4368" s="53">
        <f>IF(P4368="","",IF(P4368="Ingreso",S4368,0))</f>
        <v/>
      </c>
      <c r="W4368" s="53">
        <f>IF(P4368="","",IF(P4368="Resultado trading",S4368,0))</f>
        <v/>
      </c>
      <c r="X4368" s="52">
        <f>IF(OR(P4368="Gasto",P4368="Reembolso"),IF(M4368&lt;&gt;"",M4368,IFERROR(INDEX(catClasif,MATCH(D4368&amp;"|"&amp;E4368,catClave,0))&amp;"","Variable")),"")</f>
        <v/>
      </c>
      <c r="Y4368" s="52">
        <f>IF(P4368="","",IFERROR(INDEX(catGrupo,MATCH(D4368&amp;"|"&amp;E4368,catClave,0))&amp;"",""))</f>
        <v/>
      </c>
      <c r="Z4368" s="52">
        <f>IF(P4368="","",WEEKDAY(B4368,2))</f>
        <v/>
      </c>
      <c r="AA4368" s="52">
        <f>IF(P4368="","",IF(AND(P4368="Gasto",X4368="Variable",D4368&lt;&gt;catTrading,S4368&gt;0,S4368&lt;=Umbral),1,0))</f>
        <v/>
      </c>
      <c r="AB4368" s="52">
        <f>IF(OR(P4368="",Q4368=""),"",IFERROR(IF(INDEX(ctaVinc,MATCH(Q4368,ctaNombre,0))&amp;""&lt;&gt;"",INDEX(ctaVinc,MATCH(Q4368,ctaNombre,0))&amp;"",Q4368),Q4368))</f>
        <v/>
      </c>
      <c r="AC4368" s="52">
        <f>IF(OR(K4368="",AND(P4368&lt;&gt;"Transferencia",P4368&lt;&gt;"Pago tarjeta")),"",IFERROR(IF(INDEX(ctaVinc,MATCH(K4368,ctaNombre,0))&amp;""&lt;&gt;"",INDEX(ctaVinc,MATCH(K4368,ctaNombre,0))&amp;"",K4368),K4368))</f>
        <v/>
      </c>
      <c r="AD4368" s="52">
        <f>IF(AB4368="","",IFERROR(INDEX(ctaTipo,MATCH(AB4368,ctaNombre,0))&amp;"",""))</f>
        <v/>
      </c>
      <c r="AE4368" s="52">
        <f>IF(AC4368="","",IFERROR(INDEX(ctaTipo,MATCH(AC4368,ctaNombre,0))&amp;"",""))</f>
        <v/>
      </c>
      <c r="AF4368" s="53">
        <f>IF(OR(P4368="",AB4368=""),"",IF(OR(P4368="Gasto",P4368="Transferencia",P4368="Pago tarjeta"),-1,1)*IF(IFERROR(INDEX(ctaMoneda,MATCH(AB4368,ctaNombre,0))&amp;"","DOP")="USD",T4368,S4368))</f>
        <v/>
      </c>
      <c r="AG4368" s="53">
        <f>IF(AC4368="","",IF(IFERROR(INDEX(ctaMoneda,MATCH(AC4368,ctaNombre,0))&amp;"","DOP")="USD",T4368,S4368))</f>
        <v/>
      </c>
      <c r="AH4368" s="53">
        <f>IF(P4368="","",IF(AND(AD4368&lt;&gt;"",COUNTIFS(tcTipo,AD4368,tcLiq,"Sí")&gt;0),IF(OR(P4368="Gasto",P4368="Transferencia",P4368="Pago tarjeta"),-1,1)*S4368,0)+IF(AND(AE4368&lt;&gt;"",COUNTIFS(tcTipo,AE4368,tcLiq,"Sí")&gt;0),S4368,0))</f>
        <v/>
      </c>
      <c r="AI4368" s="52">
        <f>IF(OR(L4368="",P4368=""),"",IF(COUNTIFS(L$6:L4368,L4368,P$6:P4368,"?*")=1,MAX(AI$5:AI4367)+1,""))</f>
        <v/>
      </c>
    </row>
    <row r="4369">
      <c r="B4369" s="47" t="n"/>
      <c r="C4369" s="48" t="n"/>
      <c r="D4369" s="48" t="n"/>
      <c r="E4369" s="48" t="n"/>
      <c r="F4369" s="48" t="n"/>
      <c r="G4369" s="49" t="n"/>
      <c r="H4369" s="48" t="n"/>
      <c r="I4369" s="50" t="n"/>
      <c r="J4369" s="48" t="n"/>
      <c r="K4369" s="48" t="n"/>
      <c r="L4369" s="48" t="n"/>
      <c r="M4369" s="48" t="n"/>
      <c r="N4369" s="48" t="n"/>
      <c r="O4369" s="51">
        <f>IF(AND(B4369="",G4369="",C4369="",D4369="",J4369=""),"",IF(B4369="","⚠ Falta fecha",IF(G4369="","⚠ Falta monto",IF(Q4369="","⚠ Falta cuenta",IF(ISNA(MATCH(Q4369,ctaNombre,0)),"⚠ Cuenta no registrada",IF(AND(OR(P4369="Gasto",P4369="Reembolso"),D4369=""),"⚠ Falta categoría",IF(AND(D4369&lt;&gt;"",E4369&lt;&gt;"",ISNA(MATCH(D4369&amp;"|"&amp;E4369,catClave,0))),"⚠ Subcategoría no corresponde",IF(AND(OR(P4369="Transferencia",P4369="Pago tarjeta"),K4369=""),"⚠ Falta cuenta destino",IF(AND(K4369&lt;&gt;"",P4369&lt;&gt;"Transferencia",P4369&lt;&gt;"Pago tarjeta"),"⚠ Destino solo aplica a transferencias",IF(AND(K4369&lt;&gt;"",K4369=Q4369),"⚠ Origen igual a destino",IF(AND(K4369&lt;&gt;"",ISNA(MATCH(K4369,ctaNombre,0))),"⚠ Destino no registrado",IF(AND(P4369="Pago tarjeta",AE4369&lt;&gt;"Tarjeta de crédito"),"⚠ El destino debe ser tarjeta de crédito",IF(AND(P4369="Gasto",E4369="Depósitos y retiros"),"⚠ Usa tipo Transferencia",IF(AND(P4369="Resultado trading",AD4369&lt;&gt;"Cuenta de trading"),"⚠ Usa una cuenta de trading",IF(AND(G4369&lt;=0,P4369&lt;&gt;"Ajuste",P4369&lt;&gt;"Resultado trading"),"⚠ El monto debe ser positivo","✓")))))))))))))))</f>
        <v/>
      </c>
      <c r="P4369" s="52">
        <f>IF(OR(B4369="",G4369=""),"",IF(C4369="","Gasto",C4369))</f>
        <v/>
      </c>
      <c r="Q4369" s="52">
        <f>IF(P4369="","",IF(J4369&lt;&gt;"",J4369,CuentaPred&amp;""))</f>
        <v/>
      </c>
      <c r="R4369" s="52">
        <f>IF(P4369="","",IF(ISNUMBER(I4369),I4369,TasaUSD))</f>
        <v/>
      </c>
      <c r="S4369" s="53">
        <f>IF(P4369="","",IF(H4369="USD",G4369*R4369,G4369))</f>
        <v/>
      </c>
      <c r="T4369" s="53">
        <f>IF(P4369="","",IF(H4369="USD",G4369,IF(R4369&gt;0,G4369/R4369,0)))</f>
        <v/>
      </c>
      <c r="U4369" s="53">
        <f>IF(P4369="","",IF(P4369="Gasto",S4369,IF(P4369="Reembolso",-S4369,0)))</f>
        <v/>
      </c>
      <c r="V4369" s="53">
        <f>IF(P4369="","",IF(P4369="Ingreso",S4369,0))</f>
        <v/>
      </c>
      <c r="W4369" s="53">
        <f>IF(P4369="","",IF(P4369="Resultado trading",S4369,0))</f>
        <v/>
      </c>
      <c r="X4369" s="52">
        <f>IF(OR(P4369="Gasto",P4369="Reembolso"),IF(M4369&lt;&gt;"",M4369,IFERROR(INDEX(catClasif,MATCH(D4369&amp;"|"&amp;E4369,catClave,0))&amp;"","Variable")),"")</f>
        <v/>
      </c>
      <c r="Y4369" s="52">
        <f>IF(P4369="","",IFERROR(INDEX(catGrupo,MATCH(D4369&amp;"|"&amp;E4369,catClave,0))&amp;"",""))</f>
        <v/>
      </c>
      <c r="Z4369" s="52">
        <f>IF(P4369="","",WEEKDAY(B4369,2))</f>
        <v/>
      </c>
      <c r="AA4369" s="52">
        <f>IF(P4369="","",IF(AND(P4369="Gasto",X4369="Variable",D4369&lt;&gt;catTrading,S4369&gt;0,S4369&lt;=Umbral),1,0))</f>
        <v/>
      </c>
      <c r="AB4369" s="52">
        <f>IF(OR(P4369="",Q4369=""),"",IFERROR(IF(INDEX(ctaVinc,MATCH(Q4369,ctaNombre,0))&amp;""&lt;&gt;"",INDEX(ctaVinc,MATCH(Q4369,ctaNombre,0))&amp;"",Q4369),Q4369))</f>
        <v/>
      </c>
      <c r="AC4369" s="52">
        <f>IF(OR(K4369="",AND(P4369&lt;&gt;"Transferencia",P4369&lt;&gt;"Pago tarjeta")),"",IFERROR(IF(INDEX(ctaVinc,MATCH(K4369,ctaNombre,0))&amp;""&lt;&gt;"",INDEX(ctaVinc,MATCH(K4369,ctaNombre,0))&amp;"",K4369),K4369))</f>
        <v/>
      </c>
      <c r="AD4369" s="52">
        <f>IF(AB4369="","",IFERROR(INDEX(ctaTipo,MATCH(AB4369,ctaNombre,0))&amp;"",""))</f>
        <v/>
      </c>
      <c r="AE4369" s="52">
        <f>IF(AC4369="","",IFERROR(INDEX(ctaTipo,MATCH(AC4369,ctaNombre,0))&amp;"",""))</f>
        <v/>
      </c>
      <c r="AF4369" s="53">
        <f>IF(OR(P4369="",AB4369=""),"",IF(OR(P4369="Gasto",P4369="Transferencia",P4369="Pago tarjeta"),-1,1)*IF(IFERROR(INDEX(ctaMoneda,MATCH(AB4369,ctaNombre,0))&amp;"","DOP")="USD",T4369,S4369))</f>
        <v/>
      </c>
      <c r="AG4369" s="53">
        <f>IF(AC4369="","",IF(IFERROR(INDEX(ctaMoneda,MATCH(AC4369,ctaNombre,0))&amp;"","DOP")="USD",T4369,S4369))</f>
        <v/>
      </c>
      <c r="AH4369" s="53">
        <f>IF(P4369="","",IF(AND(AD4369&lt;&gt;"",COUNTIFS(tcTipo,AD4369,tcLiq,"Sí")&gt;0),IF(OR(P4369="Gasto",P4369="Transferencia",P4369="Pago tarjeta"),-1,1)*S4369,0)+IF(AND(AE4369&lt;&gt;"",COUNTIFS(tcTipo,AE4369,tcLiq,"Sí")&gt;0),S4369,0))</f>
        <v/>
      </c>
      <c r="AI4369" s="52">
        <f>IF(OR(L4369="",P4369=""),"",IF(COUNTIFS(L$6:L4369,L4369,P$6:P4369,"?*")=1,MAX(AI$5:AI4368)+1,""))</f>
        <v/>
      </c>
    </row>
    <row r="4370">
      <c r="B4370" s="47" t="n"/>
      <c r="C4370" s="48" t="n"/>
      <c r="D4370" s="48" t="n"/>
      <c r="E4370" s="48" t="n"/>
      <c r="F4370" s="48" t="n"/>
      <c r="G4370" s="49" t="n"/>
      <c r="H4370" s="48" t="n"/>
      <c r="I4370" s="50" t="n"/>
      <c r="J4370" s="48" t="n"/>
      <c r="K4370" s="48" t="n"/>
      <c r="L4370" s="48" t="n"/>
      <c r="M4370" s="48" t="n"/>
      <c r="N4370" s="48" t="n"/>
      <c r="O4370" s="51">
        <f>IF(AND(B4370="",G4370="",C4370="",D4370="",J4370=""),"",IF(B4370="","⚠ Falta fecha",IF(G4370="","⚠ Falta monto",IF(Q4370="","⚠ Falta cuenta",IF(ISNA(MATCH(Q4370,ctaNombre,0)),"⚠ Cuenta no registrada",IF(AND(OR(P4370="Gasto",P4370="Reembolso"),D4370=""),"⚠ Falta categoría",IF(AND(D4370&lt;&gt;"",E4370&lt;&gt;"",ISNA(MATCH(D4370&amp;"|"&amp;E4370,catClave,0))),"⚠ Subcategoría no corresponde",IF(AND(OR(P4370="Transferencia",P4370="Pago tarjeta"),K4370=""),"⚠ Falta cuenta destino",IF(AND(K4370&lt;&gt;"",P4370&lt;&gt;"Transferencia",P4370&lt;&gt;"Pago tarjeta"),"⚠ Destino solo aplica a transferencias",IF(AND(K4370&lt;&gt;"",K4370=Q4370),"⚠ Origen igual a destino",IF(AND(K4370&lt;&gt;"",ISNA(MATCH(K4370,ctaNombre,0))),"⚠ Destino no registrado",IF(AND(P4370="Pago tarjeta",AE4370&lt;&gt;"Tarjeta de crédito"),"⚠ El destino debe ser tarjeta de crédito",IF(AND(P4370="Gasto",E4370="Depósitos y retiros"),"⚠ Usa tipo Transferencia",IF(AND(P4370="Resultado trading",AD4370&lt;&gt;"Cuenta de trading"),"⚠ Usa una cuenta de trading",IF(AND(G4370&lt;=0,P4370&lt;&gt;"Ajuste",P4370&lt;&gt;"Resultado trading"),"⚠ El monto debe ser positivo","✓")))))))))))))))</f>
        <v/>
      </c>
      <c r="P4370" s="52">
        <f>IF(OR(B4370="",G4370=""),"",IF(C4370="","Gasto",C4370))</f>
        <v/>
      </c>
      <c r="Q4370" s="52">
        <f>IF(P4370="","",IF(J4370&lt;&gt;"",J4370,CuentaPred&amp;""))</f>
        <v/>
      </c>
      <c r="R4370" s="52">
        <f>IF(P4370="","",IF(ISNUMBER(I4370),I4370,TasaUSD))</f>
        <v/>
      </c>
      <c r="S4370" s="53">
        <f>IF(P4370="","",IF(H4370="USD",G4370*R4370,G4370))</f>
        <v/>
      </c>
      <c r="T4370" s="53">
        <f>IF(P4370="","",IF(H4370="USD",G4370,IF(R4370&gt;0,G4370/R4370,0)))</f>
        <v/>
      </c>
      <c r="U4370" s="53">
        <f>IF(P4370="","",IF(P4370="Gasto",S4370,IF(P4370="Reembolso",-S4370,0)))</f>
        <v/>
      </c>
      <c r="V4370" s="53">
        <f>IF(P4370="","",IF(P4370="Ingreso",S4370,0))</f>
        <v/>
      </c>
      <c r="W4370" s="53">
        <f>IF(P4370="","",IF(P4370="Resultado trading",S4370,0))</f>
        <v/>
      </c>
      <c r="X4370" s="52">
        <f>IF(OR(P4370="Gasto",P4370="Reembolso"),IF(M4370&lt;&gt;"",M4370,IFERROR(INDEX(catClasif,MATCH(D4370&amp;"|"&amp;E4370,catClave,0))&amp;"","Variable")),"")</f>
        <v/>
      </c>
      <c r="Y4370" s="52">
        <f>IF(P4370="","",IFERROR(INDEX(catGrupo,MATCH(D4370&amp;"|"&amp;E4370,catClave,0))&amp;"",""))</f>
        <v/>
      </c>
      <c r="Z4370" s="52">
        <f>IF(P4370="","",WEEKDAY(B4370,2))</f>
        <v/>
      </c>
      <c r="AA4370" s="52">
        <f>IF(P4370="","",IF(AND(P4370="Gasto",X4370="Variable",D4370&lt;&gt;catTrading,S4370&gt;0,S4370&lt;=Umbral),1,0))</f>
        <v/>
      </c>
      <c r="AB4370" s="52">
        <f>IF(OR(P4370="",Q4370=""),"",IFERROR(IF(INDEX(ctaVinc,MATCH(Q4370,ctaNombre,0))&amp;""&lt;&gt;"",INDEX(ctaVinc,MATCH(Q4370,ctaNombre,0))&amp;"",Q4370),Q4370))</f>
        <v/>
      </c>
      <c r="AC4370" s="52">
        <f>IF(OR(K4370="",AND(P4370&lt;&gt;"Transferencia",P4370&lt;&gt;"Pago tarjeta")),"",IFERROR(IF(INDEX(ctaVinc,MATCH(K4370,ctaNombre,0))&amp;""&lt;&gt;"",INDEX(ctaVinc,MATCH(K4370,ctaNombre,0))&amp;"",K4370),K4370))</f>
        <v/>
      </c>
      <c r="AD4370" s="52">
        <f>IF(AB4370="","",IFERROR(INDEX(ctaTipo,MATCH(AB4370,ctaNombre,0))&amp;"",""))</f>
        <v/>
      </c>
      <c r="AE4370" s="52">
        <f>IF(AC4370="","",IFERROR(INDEX(ctaTipo,MATCH(AC4370,ctaNombre,0))&amp;"",""))</f>
        <v/>
      </c>
      <c r="AF4370" s="53">
        <f>IF(OR(P4370="",AB4370=""),"",IF(OR(P4370="Gasto",P4370="Transferencia",P4370="Pago tarjeta"),-1,1)*IF(IFERROR(INDEX(ctaMoneda,MATCH(AB4370,ctaNombre,0))&amp;"","DOP")="USD",T4370,S4370))</f>
        <v/>
      </c>
      <c r="AG4370" s="53">
        <f>IF(AC4370="","",IF(IFERROR(INDEX(ctaMoneda,MATCH(AC4370,ctaNombre,0))&amp;"","DOP")="USD",T4370,S4370))</f>
        <v/>
      </c>
      <c r="AH4370" s="53">
        <f>IF(P4370="","",IF(AND(AD4370&lt;&gt;"",COUNTIFS(tcTipo,AD4370,tcLiq,"Sí")&gt;0),IF(OR(P4370="Gasto",P4370="Transferencia",P4370="Pago tarjeta"),-1,1)*S4370,0)+IF(AND(AE4370&lt;&gt;"",COUNTIFS(tcTipo,AE4370,tcLiq,"Sí")&gt;0),S4370,0))</f>
        <v/>
      </c>
      <c r="AI4370" s="52">
        <f>IF(OR(L4370="",P4370=""),"",IF(COUNTIFS(L$6:L4370,L4370,P$6:P4370,"?*")=1,MAX(AI$5:AI4369)+1,""))</f>
        <v/>
      </c>
    </row>
    <row r="4371">
      <c r="B4371" s="47" t="n"/>
      <c r="C4371" s="48" t="n"/>
      <c r="D4371" s="48" t="n"/>
      <c r="E4371" s="48" t="n"/>
      <c r="F4371" s="48" t="n"/>
      <c r="G4371" s="49" t="n"/>
      <c r="H4371" s="48" t="n"/>
      <c r="I4371" s="50" t="n"/>
      <c r="J4371" s="48" t="n"/>
      <c r="K4371" s="48" t="n"/>
      <c r="L4371" s="48" t="n"/>
      <c r="M4371" s="48" t="n"/>
      <c r="N4371" s="48" t="n"/>
      <c r="O4371" s="51">
        <f>IF(AND(B4371="",G4371="",C4371="",D4371="",J4371=""),"",IF(B4371="","⚠ Falta fecha",IF(G4371="","⚠ Falta monto",IF(Q4371="","⚠ Falta cuenta",IF(ISNA(MATCH(Q4371,ctaNombre,0)),"⚠ Cuenta no registrada",IF(AND(OR(P4371="Gasto",P4371="Reembolso"),D4371=""),"⚠ Falta categoría",IF(AND(D4371&lt;&gt;"",E4371&lt;&gt;"",ISNA(MATCH(D4371&amp;"|"&amp;E4371,catClave,0))),"⚠ Subcategoría no corresponde",IF(AND(OR(P4371="Transferencia",P4371="Pago tarjeta"),K4371=""),"⚠ Falta cuenta destino",IF(AND(K4371&lt;&gt;"",P4371&lt;&gt;"Transferencia",P4371&lt;&gt;"Pago tarjeta"),"⚠ Destino solo aplica a transferencias",IF(AND(K4371&lt;&gt;"",K4371=Q4371),"⚠ Origen igual a destino",IF(AND(K4371&lt;&gt;"",ISNA(MATCH(K4371,ctaNombre,0))),"⚠ Destino no registrado",IF(AND(P4371="Pago tarjeta",AE4371&lt;&gt;"Tarjeta de crédito"),"⚠ El destino debe ser tarjeta de crédito",IF(AND(P4371="Gasto",E4371="Depósitos y retiros"),"⚠ Usa tipo Transferencia",IF(AND(P4371="Resultado trading",AD4371&lt;&gt;"Cuenta de trading"),"⚠ Usa una cuenta de trading",IF(AND(G4371&lt;=0,P4371&lt;&gt;"Ajuste",P4371&lt;&gt;"Resultado trading"),"⚠ El monto debe ser positivo","✓")))))))))))))))</f>
        <v/>
      </c>
      <c r="P4371" s="52">
        <f>IF(OR(B4371="",G4371=""),"",IF(C4371="","Gasto",C4371))</f>
        <v/>
      </c>
      <c r="Q4371" s="52">
        <f>IF(P4371="","",IF(J4371&lt;&gt;"",J4371,CuentaPred&amp;""))</f>
        <v/>
      </c>
      <c r="R4371" s="52">
        <f>IF(P4371="","",IF(ISNUMBER(I4371),I4371,TasaUSD))</f>
        <v/>
      </c>
      <c r="S4371" s="53">
        <f>IF(P4371="","",IF(H4371="USD",G4371*R4371,G4371))</f>
        <v/>
      </c>
      <c r="T4371" s="53">
        <f>IF(P4371="","",IF(H4371="USD",G4371,IF(R4371&gt;0,G4371/R4371,0)))</f>
        <v/>
      </c>
      <c r="U4371" s="53">
        <f>IF(P4371="","",IF(P4371="Gasto",S4371,IF(P4371="Reembolso",-S4371,0)))</f>
        <v/>
      </c>
      <c r="V4371" s="53">
        <f>IF(P4371="","",IF(P4371="Ingreso",S4371,0))</f>
        <v/>
      </c>
      <c r="W4371" s="53">
        <f>IF(P4371="","",IF(P4371="Resultado trading",S4371,0))</f>
        <v/>
      </c>
      <c r="X4371" s="52">
        <f>IF(OR(P4371="Gasto",P4371="Reembolso"),IF(M4371&lt;&gt;"",M4371,IFERROR(INDEX(catClasif,MATCH(D4371&amp;"|"&amp;E4371,catClave,0))&amp;"","Variable")),"")</f>
        <v/>
      </c>
      <c r="Y4371" s="52">
        <f>IF(P4371="","",IFERROR(INDEX(catGrupo,MATCH(D4371&amp;"|"&amp;E4371,catClave,0))&amp;"",""))</f>
        <v/>
      </c>
      <c r="Z4371" s="52">
        <f>IF(P4371="","",WEEKDAY(B4371,2))</f>
        <v/>
      </c>
      <c r="AA4371" s="52">
        <f>IF(P4371="","",IF(AND(P4371="Gasto",X4371="Variable",D4371&lt;&gt;catTrading,S4371&gt;0,S4371&lt;=Umbral),1,0))</f>
        <v/>
      </c>
      <c r="AB4371" s="52">
        <f>IF(OR(P4371="",Q4371=""),"",IFERROR(IF(INDEX(ctaVinc,MATCH(Q4371,ctaNombre,0))&amp;""&lt;&gt;"",INDEX(ctaVinc,MATCH(Q4371,ctaNombre,0))&amp;"",Q4371),Q4371))</f>
        <v/>
      </c>
      <c r="AC4371" s="52">
        <f>IF(OR(K4371="",AND(P4371&lt;&gt;"Transferencia",P4371&lt;&gt;"Pago tarjeta")),"",IFERROR(IF(INDEX(ctaVinc,MATCH(K4371,ctaNombre,0))&amp;""&lt;&gt;"",INDEX(ctaVinc,MATCH(K4371,ctaNombre,0))&amp;"",K4371),K4371))</f>
        <v/>
      </c>
      <c r="AD4371" s="52">
        <f>IF(AB4371="","",IFERROR(INDEX(ctaTipo,MATCH(AB4371,ctaNombre,0))&amp;"",""))</f>
        <v/>
      </c>
      <c r="AE4371" s="52">
        <f>IF(AC4371="","",IFERROR(INDEX(ctaTipo,MATCH(AC4371,ctaNombre,0))&amp;"",""))</f>
        <v/>
      </c>
      <c r="AF4371" s="53">
        <f>IF(OR(P4371="",AB4371=""),"",IF(OR(P4371="Gasto",P4371="Transferencia",P4371="Pago tarjeta"),-1,1)*IF(IFERROR(INDEX(ctaMoneda,MATCH(AB4371,ctaNombre,0))&amp;"","DOP")="USD",T4371,S4371))</f>
        <v/>
      </c>
      <c r="AG4371" s="53">
        <f>IF(AC4371="","",IF(IFERROR(INDEX(ctaMoneda,MATCH(AC4371,ctaNombre,0))&amp;"","DOP")="USD",T4371,S4371))</f>
        <v/>
      </c>
      <c r="AH4371" s="53">
        <f>IF(P4371="","",IF(AND(AD4371&lt;&gt;"",COUNTIFS(tcTipo,AD4371,tcLiq,"Sí")&gt;0),IF(OR(P4371="Gasto",P4371="Transferencia",P4371="Pago tarjeta"),-1,1)*S4371,0)+IF(AND(AE4371&lt;&gt;"",COUNTIFS(tcTipo,AE4371,tcLiq,"Sí")&gt;0),S4371,0))</f>
        <v/>
      </c>
      <c r="AI4371" s="52">
        <f>IF(OR(L4371="",P4371=""),"",IF(COUNTIFS(L$6:L4371,L4371,P$6:P4371,"?*")=1,MAX(AI$5:AI4370)+1,""))</f>
        <v/>
      </c>
    </row>
    <row r="4372">
      <c r="B4372" s="47" t="n"/>
      <c r="C4372" s="48" t="n"/>
      <c r="D4372" s="48" t="n"/>
      <c r="E4372" s="48" t="n"/>
      <c r="F4372" s="48" t="n"/>
      <c r="G4372" s="49" t="n"/>
      <c r="H4372" s="48" t="n"/>
      <c r="I4372" s="50" t="n"/>
      <c r="J4372" s="48" t="n"/>
      <c r="K4372" s="48" t="n"/>
      <c r="L4372" s="48" t="n"/>
      <c r="M4372" s="48" t="n"/>
      <c r="N4372" s="48" t="n"/>
      <c r="O4372" s="51">
        <f>IF(AND(B4372="",G4372="",C4372="",D4372="",J4372=""),"",IF(B4372="","⚠ Falta fecha",IF(G4372="","⚠ Falta monto",IF(Q4372="","⚠ Falta cuenta",IF(ISNA(MATCH(Q4372,ctaNombre,0)),"⚠ Cuenta no registrada",IF(AND(OR(P4372="Gasto",P4372="Reembolso"),D4372=""),"⚠ Falta categoría",IF(AND(D4372&lt;&gt;"",E4372&lt;&gt;"",ISNA(MATCH(D4372&amp;"|"&amp;E4372,catClave,0))),"⚠ Subcategoría no corresponde",IF(AND(OR(P4372="Transferencia",P4372="Pago tarjeta"),K4372=""),"⚠ Falta cuenta destino",IF(AND(K4372&lt;&gt;"",P4372&lt;&gt;"Transferencia",P4372&lt;&gt;"Pago tarjeta"),"⚠ Destino solo aplica a transferencias",IF(AND(K4372&lt;&gt;"",K4372=Q4372),"⚠ Origen igual a destino",IF(AND(K4372&lt;&gt;"",ISNA(MATCH(K4372,ctaNombre,0))),"⚠ Destino no registrado",IF(AND(P4372="Pago tarjeta",AE4372&lt;&gt;"Tarjeta de crédito"),"⚠ El destino debe ser tarjeta de crédito",IF(AND(P4372="Gasto",E4372="Depósitos y retiros"),"⚠ Usa tipo Transferencia",IF(AND(P4372="Resultado trading",AD4372&lt;&gt;"Cuenta de trading"),"⚠ Usa una cuenta de trading",IF(AND(G4372&lt;=0,P4372&lt;&gt;"Ajuste",P4372&lt;&gt;"Resultado trading"),"⚠ El monto debe ser positivo","✓")))))))))))))))</f>
        <v/>
      </c>
      <c r="P4372" s="52">
        <f>IF(OR(B4372="",G4372=""),"",IF(C4372="","Gasto",C4372))</f>
        <v/>
      </c>
      <c r="Q4372" s="52">
        <f>IF(P4372="","",IF(J4372&lt;&gt;"",J4372,CuentaPred&amp;""))</f>
        <v/>
      </c>
      <c r="R4372" s="52">
        <f>IF(P4372="","",IF(ISNUMBER(I4372),I4372,TasaUSD))</f>
        <v/>
      </c>
      <c r="S4372" s="53">
        <f>IF(P4372="","",IF(H4372="USD",G4372*R4372,G4372))</f>
        <v/>
      </c>
      <c r="T4372" s="53">
        <f>IF(P4372="","",IF(H4372="USD",G4372,IF(R4372&gt;0,G4372/R4372,0)))</f>
        <v/>
      </c>
      <c r="U4372" s="53">
        <f>IF(P4372="","",IF(P4372="Gasto",S4372,IF(P4372="Reembolso",-S4372,0)))</f>
        <v/>
      </c>
      <c r="V4372" s="53">
        <f>IF(P4372="","",IF(P4372="Ingreso",S4372,0))</f>
        <v/>
      </c>
      <c r="W4372" s="53">
        <f>IF(P4372="","",IF(P4372="Resultado trading",S4372,0))</f>
        <v/>
      </c>
      <c r="X4372" s="52">
        <f>IF(OR(P4372="Gasto",P4372="Reembolso"),IF(M4372&lt;&gt;"",M4372,IFERROR(INDEX(catClasif,MATCH(D4372&amp;"|"&amp;E4372,catClave,0))&amp;"","Variable")),"")</f>
        <v/>
      </c>
      <c r="Y4372" s="52">
        <f>IF(P4372="","",IFERROR(INDEX(catGrupo,MATCH(D4372&amp;"|"&amp;E4372,catClave,0))&amp;"",""))</f>
        <v/>
      </c>
      <c r="Z4372" s="52">
        <f>IF(P4372="","",WEEKDAY(B4372,2))</f>
        <v/>
      </c>
      <c r="AA4372" s="52">
        <f>IF(P4372="","",IF(AND(P4372="Gasto",X4372="Variable",D4372&lt;&gt;catTrading,S4372&gt;0,S4372&lt;=Umbral),1,0))</f>
        <v/>
      </c>
      <c r="AB4372" s="52">
        <f>IF(OR(P4372="",Q4372=""),"",IFERROR(IF(INDEX(ctaVinc,MATCH(Q4372,ctaNombre,0))&amp;""&lt;&gt;"",INDEX(ctaVinc,MATCH(Q4372,ctaNombre,0))&amp;"",Q4372),Q4372))</f>
        <v/>
      </c>
      <c r="AC4372" s="52">
        <f>IF(OR(K4372="",AND(P4372&lt;&gt;"Transferencia",P4372&lt;&gt;"Pago tarjeta")),"",IFERROR(IF(INDEX(ctaVinc,MATCH(K4372,ctaNombre,0))&amp;""&lt;&gt;"",INDEX(ctaVinc,MATCH(K4372,ctaNombre,0))&amp;"",K4372),K4372))</f>
        <v/>
      </c>
      <c r="AD4372" s="52">
        <f>IF(AB4372="","",IFERROR(INDEX(ctaTipo,MATCH(AB4372,ctaNombre,0))&amp;"",""))</f>
        <v/>
      </c>
      <c r="AE4372" s="52">
        <f>IF(AC4372="","",IFERROR(INDEX(ctaTipo,MATCH(AC4372,ctaNombre,0))&amp;"",""))</f>
        <v/>
      </c>
      <c r="AF4372" s="53">
        <f>IF(OR(P4372="",AB4372=""),"",IF(OR(P4372="Gasto",P4372="Transferencia",P4372="Pago tarjeta"),-1,1)*IF(IFERROR(INDEX(ctaMoneda,MATCH(AB4372,ctaNombre,0))&amp;"","DOP")="USD",T4372,S4372))</f>
        <v/>
      </c>
      <c r="AG4372" s="53">
        <f>IF(AC4372="","",IF(IFERROR(INDEX(ctaMoneda,MATCH(AC4372,ctaNombre,0))&amp;"","DOP")="USD",T4372,S4372))</f>
        <v/>
      </c>
      <c r="AH4372" s="53">
        <f>IF(P4372="","",IF(AND(AD4372&lt;&gt;"",COUNTIFS(tcTipo,AD4372,tcLiq,"Sí")&gt;0),IF(OR(P4372="Gasto",P4372="Transferencia",P4372="Pago tarjeta"),-1,1)*S4372,0)+IF(AND(AE4372&lt;&gt;"",COUNTIFS(tcTipo,AE4372,tcLiq,"Sí")&gt;0),S4372,0))</f>
        <v/>
      </c>
      <c r="AI4372" s="52">
        <f>IF(OR(L4372="",P4372=""),"",IF(COUNTIFS(L$6:L4372,L4372,P$6:P4372,"?*")=1,MAX(AI$5:AI4371)+1,""))</f>
        <v/>
      </c>
    </row>
    <row r="4373">
      <c r="B4373" s="47" t="n"/>
      <c r="C4373" s="48" t="n"/>
      <c r="D4373" s="48" t="n"/>
      <c r="E4373" s="48" t="n"/>
      <c r="F4373" s="48" t="n"/>
      <c r="G4373" s="49" t="n"/>
      <c r="H4373" s="48" t="n"/>
      <c r="I4373" s="50" t="n"/>
      <c r="J4373" s="48" t="n"/>
      <c r="K4373" s="48" t="n"/>
      <c r="L4373" s="48" t="n"/>
      <c r="M4373" s="48" t="n"/>
      <c r="N4373" s="48" t="n"/>
      <c r="O4373" s="51">
        <f>IF(AND(B4373="",G4373="",C4373="",D4373="",J4373=""),"",IF(B4373="","⚠ Falta fecha",IF(G4373="","⚠ Falta monto",IF(Q4373="","⚠ Falta cuenta",IF(ISNA(MATCH(Q4373,ctaNombre,0)),"⚠ Cuenta no registrada",IF(AND(OR(P4373="Gasto",P4373="Reembolso"),D4373=""),"⚠ Falta categoría",IF(AND(D4373&lt;&gt;"",E4373&lt;&gt;"",ISNA(MATCH(D4373&amp;"|"&amp;E4373,catClave,0))),"⚠ Subcategoría no corresponde",IF(AND(OR(P4373="Transferencia",P4373="Pago tarjeta"),K4373=""),"⚠ Falta cuenta destino",IF(AND(K4373&lt;&gt;"",P4373&lt;&gt;"Transferencia",P4373&lt;&gt;"Pago tarjeta"),"⚠ Destino solo aplica a transferencias",IF(AND(K4373&lt;&gt;"",K4373=Q4373),"⚠ Origen igual a destino",IF(AND(K4373&lt;&gt;"",ISNA(MATCH(K4373,ctaNombre,0))),"⚠ Destino no registrado",IF(AND(P4373="Pago tarjeta",AE4373&lt;&gt;"Tarjeta de crédito"),"⚠ El destino debe ser tarjeta de crédito",IF(AND(P4373="Gasto",E4373="Depósitos y retiros"),"⚠ Usa tipo Transferencia",IF(AND(P4373="Resultado trading",AD4373&lt;&gt;"Cuenta de trading"),"⚠ Usa una cuenta de trading",IF(AND(G4373&lt;=0,P4373&lt;&gt;"Ajuste",P4373&lt;&gt;"Resultado trading"),"⚠ El monto debe ser positivo","✓")))))))))))))))</f>
        <v/>
      </c>
      <c r="P4373" s="52">
        <f>IF(OR(B4373="",G4373=""),"",IF(C4373="","Gasto",C4373))</f>
        <v/>
      </c>
      <c r="Q4373" s="52">
        <f>IF(P4373="","",IF(J4373&lt;&gt;"",J4373,CuentaPred&amp;""))</f>
        <v/>
      </c>
      <c r="R4373" s="52">
        <f>IF(P4373="","",IF(ISNUMBER(I4373),I4373,TasaUSD))</f>
        <v/>
      </c>
      <c r="S4373" s="53">
        <f>IF(P4373="","",IF(H4373="USD",G4373*R4373,G4373))</f>
        <v/>
      </c>
      <c r="T4373" s="53">
        <f>IF(P4373="","",IF(H4373="USD",G4373,IF(R4373&gt;0,G4373/R4373,0)))</f>
        <v/>
      </c>
      <c r="U4373" s="53">
        <f>IF(P4373="","",IF(P4373="Gasto",S4373,IF(P4373="Reembolso",-S4373,0)))</f>
        <v/>
      </c>
      <c r="V4373" s="53">
        <f>IF(P4373="","",IF(P4373="Ingreso",S4373,0))</f>
        <v/>
      </c>
      <c r="W4373" s="53">
        <f>IF(P4373="","",IF(P4373="Resultado trading",S4373,0))</f>
        <v/>
      </c>
      <c r="X4373" s="52">
        <f>IF(OR(P4373="Gasto",P4373="Reembolso"),IF(M4373&lt;&gt;"",M4373,IFERROR(INDEX(catClasif,MATCH(D4373&amp;"|"&amp;E4373,catClave,0))&amp;"","Variable")),"")</f>
        <v/>
      </c>
      <c r="Y4373" s="52">
        <f>IF(P4373="","",IFERROR(INDEX(catGrupo,MATCH(D4373&amp;"|"&amp;E4373,catClave,0))&amp;"",""))</f>
        <v/>
      </c>
      <c r="Z4373" s="52">
        <f>IF(P4373="","",WEEKDAY(B4373,2))</f>
        <v/>
      </c>
      <c r="AA4373" s="52">
        <f>IF(P4373="","",IF(AND(P4373="Gasto",X4373="Variable",D4373&lt;&gt;catTrading,S4373&gt;0,S4373&lt;=Umbral),1,0))</f>
        <v/>
      </c>
      <c r="AB4373" s="52">
        <f>IF(OR(P4373="",Q4373=""),"",IFERROR(IF(INDEX(ctaVinc,MATCH(Q4373,ctaNombre,0))&amp;""&lt;&gt;"",INDEX(ctaVinc,MATCH(Q4373,ctaNombre,0))&amp;"",Q4373),Q4373))</f>
        <v/>
      </c>
      <c r="AC4373" s="52">
        <f>IF(OR(K4373="",AND(P4373&lt;&gt;"Transferencia",P4373&lt;&gt;"Pago tarjeta")),"",IFERROR(IF(INDEX(ctaVinc,MATCH(K4373,ctaNombre,0))&amp;""&lt;&gt;"",INDEX(ctaVinc,MATCH(K4373,ctaNombre,0))&amp;"",K4373),K4373))</f>
        <v/>
      </c>
      <c r="AD4373" s="52">
        <f>IF(AB4373="","",IFERROR(INDEX(ctaTipo,MATCH(AB4373,ctaNombre,0))&amp;"",""))</f>
        <v/>
      </c>
      <c r="AE4373" s="52">
        <f>IF(AC4373="","",IFERROR(INDEX(ctaTipo,MATCH(AC4373,ctaNombre,0))&amp;"",""))</f>
        <v/>
      </c>
      <c r="AF4373" s="53">
        <f>IF(OR(P4373="",AB4373=""),"",IF(OR(P4373="Gasto",P4373="Transferencia",P4373="Pago tarjeta"),-1,1)*IF(IFERROR(INDEX(ctaMoneda,MATCH(AB4373,ctaNombre,0))&amp;"","DOP")="USD",T4373,S4373))</f>
        <v/>
      </c>
      <c r="AG4373" s="53">
        <f>IF(AC4373="","",IF(IFERROR(INDEX(ctaMoneda,MATCH(AC4373,ctaNombre,0))&amp;"","DOP")="USD",T4373,S4373))</f>
        <v/>
      </c>
      <c r="AH4373" s="53">
        <f>IF(P4373="","",IF(AND(AD4373&lt;&gt;"",COUNTIFS(tcTipo,AD4373,tcLiq,"Sí")&gt;0),IF(OR(P4373="Gasto",P4373="Transferencia",P4373="Pago tarjeta"),-1,1)*S4373,0)+IF(AND(AE4373&lt;&gt;"",COUNTIFS(tcTipo,AE4373,tcLiq,"Sí")&gt;0),S4373,0))</f>
        <v/>
      </c>
      <c r="AI4373" s="52">
        <f>IF(OR(L4373="",P4373=""),"",IF(COUNTIFS(L$6:L4373,L4373,P$6:P4373,"?*")=1,MAX(AI$5:AI4372)+1,""))</f>
        <v/>
      </c>
    </row>
    <row r="4374">
      <c r="B4374" s="47" t="n"/>
      <c r="C4374" s="48" t="n"/>
      <c r="D4374" s="48" t="n"/>
      <c r="E4374" s="48" t="n"/>
      <c r="F4374" s="48" t="n"/>
      <c r="G4374" s="49" t="n"/>
      <c r="H4374" s="48" t="n"/>
      <c r="I4374" s="50" t="n"/>
      <c r="J4374" s="48" t="n"/>
      <c r="K4374" s="48" t="n"/>
      <c r="L4374" s="48" t="n"/>
      <c r="M4374" s="48" t="n"/>
      <c r="N4374" s="48" t="n"/>
      <c r="O4374" s="51">
        <f>IF(AND(B4374="",G4374="",C4374="",D4374="",J4374=""),"",IF(B4374="","⚠ Falta fecha",IF(G4374="","⚠ Falta monto",IF(Q4374="","⚠ Falta cuenta",IF(ISNA(MATCH(Q4374,ctaNombre,0)),"⚠ Cuenta no registrada",IF(AND(OR(P4374="Gasto",P4374="Reembolso"),D4374=""),"⚠ Falta categoría",IF(AND(D4374&lt;&gt;"",E4374&lt;&gt;"",ISNA(MATCH(D4374&amp;"|"&amp;E4374,catClave,0))),"⚠ Subcategoría no corresponde",IF(AND(OR(P4374="Transferencia",P4374="Pago tarjeta"),K4374=""),"⚠ Falta cuenta destino",IF(AND(K4374&lt;&gt;"",P4374&lt;&gt;"Transferencia",P4374&lt;&gt;"Pago tarjeta"),"⚠ Destino solo aplica a transferencias",IF(AND(K4374&lt;&gt;"",K4374=Q4374),"⚠ Origen igual a destino",IF(AND(K4374&lt;&gt;"",ISNA(MATCH(K4374,ctaNombre,0))),"⚠ Destino no registrado",IF(AND(P4374="Pago tarjeta",AE4374&lt;&gt;"Tarjeta de crédito"),"⚠ El destino debe ser tarjeta de crédito",IF(AND(P4374="Gasto",E4374="Depósitos y retiros"),"⚠ Usa tipo Transferencia",IF(AND(P4374="Resultado trading",AD4374&lt;&gt;"Cuenta de trading"),"⚠ Usa una cuenta de trading",IF(AND(G4374&lt;=0,P4374&lt;&gt;"Ajuste",P4374&lt;&gt;"Resultado trading"),"⚠ El monto debe ser positivo","✓")))))))))))))))</f>
        <v/>
      </c>
      <c r="P4374" s="52">
        <f>IF(OR(B4374="",G4374=""),"",IF(C4374="","Gasto",C4374))</f>
        <v/>
      </c>
      <c r="Q4374" s="52">
        <f>IF(P4374="","",IF(J4374&lt;&gt;"",J4374,CuentaPred&amp;""))</f>
        <v/>
      </c>
      <c r="R4374" s="52">
        <f>IF(P4374="","",IF(ISNUMBER(I4374),I4374,TasaUSD))</f>
        <v/>
      </c>
      <c r="S4374" s="53">
        <f>IF(P4374="","",IF(H4374="USD",G4374*R4374,G4374))</f>
        <v/>
      </c>
      <c r="T4374" s="53">
        <f>IF(P4374="","",IF(H4374="USD",G4374,IF(R4374&gt;0,G4374/R4374,0)))</f>
        <v/>
      </c>
      <c r="U4374" s="53">
        <f>IF(P4374="","",IF(P4374="Gasto",S4374,IF(P4374="Reembolso",-S4374,0)))</f>
        <v/>
      </c>
      <c r="V4374" s="53">
        <f>IF(P4374="","",IF(P4374="Ingreso",S4374,0))</f>
        <v/>
      </c>
      <c r="W4374" s="53">
        <f>IF(P4374="","",IF(P4374="Resultado trading",S4374,0))</f>
        <v/>
      </c>
      <c r="X4374" s="52">
        <f>IF(OR(P4374="Gasto",P4374="Reembolso"),IF(M4374&lt;&gt;"",M4374,IFERROR(INDEX(catClasif,MATCH(D4374&amp;"|"&amp;E4374,catClave,0))&amp;"","Variable")),"")</f>
        <v/>
      </c>
      <c r="Y4374" s="52">
        <f>IF(P4374="","",IFERROR(INDEX(catGrupo,MATCH(D4374&amp;"|"&amp;E4374,catClave,0))&amp;"",""))</f>
        <v/>
      </c>
      <c r="Z4374" s="52">
        <f>IF(P4374="","",WEEKDAY(B4374,2))</f>
        <v/>
      </c>
      <c r="AA4374" s="52">
        <f>IF(P4374="","",IF(AND(P4374="Gasto",X4374="Variable",D4374&lt;&gt;catTrading,S4374&gt;0,S4374&lt;=Umbral),1,0))</f>
        <v/>
      </c>
      <c r="AB4374" s="52">
        <f>IF(OR(P4374="",Q4374=""),"",IFERROR(IF(INDEX(ctaVinc,MATCH(Q4374,ctaNombre,0))&amp;""&lt;&gt;"",INDEX(ctaVinc,MATCH(Q4374,ctaNombre,0))&amp;"",Q4374),Q4374))</f>
        <v/>
      </c>
      <c r="AC4374" s="52">
        <f>IF(OR(K4374="",AND(P4374&lt;&gt;"Transferencia",P4374&lt;&gt;"Pago tarjeta")),"",IFERROR(IF(INDEX(ctaVinc,MATCH(K4374,ctaNombre,0))&amp;""&lt;&gt;"",INDEX(ctaVinc,MATCH(K4374,ctaNombre,0))&amp;"",K4374),K4374))</f>
        <v/>
      </c>
      <c r="AD4374" s="52">
        <f>IF(AB4374="","",IFERROR(INDEX(ctaTipo,MATCH(AB4374,ctaNombre,0))&amp;"",""))</f>
        <v/>
      </c>
      <c r="AE4374" s="52">
        <f>IF(AC4374="","",IFERROR(INDEX(ctaTipo,MATCH(AC4374,ctaNombre,0))&amp;"",""))</f>
        <v/>
      </c>
      <c r="AF4374" s="53">
        <f>IF(OR(P4374="",AB4374=""),"",IF(OR(P4374="Gasto",P4374="Transferencia",P4374="Pago tarjeta"),-1,1)*IF(IFERROR(INDEX(ctaMoneda,MATCH(AB4374,ctaNombre,0))&amp;"","DOP")="USD",T4374,S4374))</f>
        <v/>
      </c>
      <c r="AG4374" s="53">
        <f>IF(AC4374="","",IF(IFERROR(INDEX(ctaMoneda,MATCH(AC4374,ctaNombre,0))&amp;"","DOP")="USD",T4374,S4374))</f>
        <v/>
      </c>
      <c r="AH4374" s="53">
        <f>IF(P4374="","",IF(AND(AD4374&lt;&gt;"",COUNTIFS(tcTipo,AD4374,tcLiq,"Sí")&gt;0),IF(OR(P4374="Gasto",P4374="Transferencia",P4374="Pago tarjeta"),-1,1)*S4374,0)+IF(AND(AE4374&lt;&gt;"",COUNTIFS(tcTipo,AE4374,tcLiq,"Sí")&gt;0),S4374,0))</f>
        <v/>
      </c>
      <c r="AI4374" s="52">
        <f>IF(OR(L4374="",P4374=""),"",IF(COUNTIFS(L$6:L4374,L4374,P$6:P4374,"?*")=1,MAX(AI$5:AI4373)+1,""))</f>
        <v/>
      </c>
    </row>
    <row r="4375">
      <c r="B4375" s="47" t="n"/>
      <c r="C4375" s="48" t="n"/>
      <c r="D4375" s="48" t="n"/>
      <c r="E4375" s="48" t="n"/>
      <c r="F4375" s="48" t="n"/>
      <c r="G4375" s="49" t="n"/>
      <c r="H4375" s="48" t="n"/>
      <c r="I4375" s="50" t="n"/>
      <c r="J4375" s="48" t="n"/>
      <c r="K4375" s="48" t="n"/>
      <c r="L4375" s="48" t="n"/>
      <c r="M4375" s="48" t="n"/>
      <c r="N4375" s="48" t="n"/>
      <c r="O4375" s="51">
        <f>IF(AND(B4375="",G4375="",C4375="",D4375="",J4375=""),"",IF(B4375="","⚠ Falta fecha",IF(G4375="","⚠ Falta monto",IF(Q4375="","⚠ Falta cuenta",IF(ISNA(MATCH(Q4375,ctaNombre,0)),"⚠ Cuenta no registrada",IF(AND(OR(P4375="Gasto",P4375="Reembolso"),D4375=""),"⚠ Falta categoría",IF(AND(D4375&lt;&gt;"",E4375&lt;&gt;"",ISNA(MATCH(D4375&amp;"|"&amp;E4375,catClave,0))),"⚠ Subcategoría no corresponde",IF(AND(OR(P4375="Transferencia",P4375="Pago tarjeta"),K4375=""),"⚠ Falta cuenta destino",IF(AND(K4375&lt;&gt;"",P4375&lt;&gt;"Transferencia",P4375&lt;&gt;"Pago tarjeta"),"⚠ Destino solo aplica a transferencias",IF(AND(K4375&lt;&gt;"",K4375=Q4375),"⚠ Origen igual a destino",IF(AND(K4375&lt;&gt;"",ISNA(MATCH(K4375,ctaNombre,0))),"⚠ Destino no registrado",IF(AND(P4375="Pago tarjeta",AE4375&lt;&gt;"Tarjeta de crédito"),"⚠ El destino debe ser tarjeta de crédito",IF(AND(P4375="Gasto",E4375="Depósitos y retiros"),"⚠ Usa tipo Transferencia",IF(AND(P4375="Resultado trading",AD4375&lt;&gt;"Cuenta de trading"),"⚠ Usa una cuenta de trading",IF(AND(G4375&lt;=0,P4375&lt;&gt;"Ajuste",P4375&lt;&gt;"Resultado trading"),"⚠ El monto debe ser positivo","✓")))))))))))))))</f>
        <v/>
      </c>
      <c r="P4375" s="52">
        <f>IF(OR(B4375="",G4375=""),"",IF(C4375="","Gasto",C4375))</f>
        <v/>
      </c>
      <c r="Q4375" s="52">
        <f>IF(P4375="","",IF(J4375&lt;&gt;"",J4375,CuentaPred&amp;""))</f>
        <v/>
      </c>
      <c r="R4375" s="52">
        <f>IF(P4375="","",IF(ISNUMBER(I4375),I4375,TasaUSD))</f>
        <v/>
      </c>
      <c r="S4375" s="53">
        <f>IF(P4375="","",IF(H4375="USD",G4375*R4375,G4375))</f>
        <v/>
      </c>
      <c r="T4375" s="53">
        <f>IF(P4375="","",IF(H4375="USD",G4375,IF(R4375&gt;0,G4375/R4375,0)))</f>
        <v/>
      </c>
      <c r="U4375" s="53">
        <f>IF(P4375="","",IF(P4375="Gasto",S4375,IF(P4375="Reembolso",-S4375,0)))</f>
        <v/>
      </c>
      <c r="V4375" s="53">
        <f>IF(P4375="","",IF(P4375="Ingreso",S4375,0))</f>
        <v/>
      </c>
      <c r="W4375" s="53">
        <f>IF(P4375="","",IF(P4375="Resultado trading",S4375,0))</f>
        <v/>
      </c>
      <c r="X4375" s="52">
        <f>IF(OR(P4375="Gasto",P4375="Reembolso"),IF(M4375&lt;&gt;"",M4375,IFERROR(INDEX(catClasif,MATCH(D4375&amp;"|"&amp;E4375,catClave,0))&amp;"","Variable")),"")</f>
        <v/>
      </c>
      <c r="Y4375" s="52">
        <f>IF(P4375="","",IFERROR(INDEX(catGrupo,MATCH(D4375&amp;"|"&amp;E4375,catClave,0))&amp;"",""))</f>
        <v/>
      </c>
      <c r="Z4375" s="52">
        <f>IF(P4375="","",WEEKDAY(B4375,2))</f>
        <v/>
      </c>
      <c r="AA4375" s="52">
        <f>IF(P4375="","",IF(AND(P4375="Gasto",X4375="Variable",D4375&lt;&gt;catTrading,S4375&gt;0,S4375&lt;=Umbral),1,0))</f>
        <v/>
      </c>
      <c r="AB4375" s="52">
        <f>IF(OR(P4375="",Q4375=""),"",IFERROR(IF(INDEX(ctaVinc,MATCH(Q4375,ctaNombre,0))&amp;""&lt;&gt;"",INDEX(ctaVinc,MATCH(Q4375,ctaNombre,0))&amp;"",Q4375),Q4375))</f>
        <v/>
      </c>
      <c r="AC4375" s="52">
        <f>IF(OR(K4375="",AND(P4375&lt;&gt;"Transferencia",P4375&lt;&gt;"Pago tarjeta")),"",IFERROR(IF(INDEX(ctaVinc,MATCH(K4375,ctaNombre,0))&amp;""&lt;&gt;"",INDEX(ctaVinc,MATCH(K4375,ctaNombre,0))&amp;"",K4375),K4375))</f>
        <v/>
      </c>
      <c r="AD4375" s="52">
        <f>IF(AB4375="","",IFERROR(INDEX(ctaTipo,MATCH(AB4375,ctaNombre,0))&amp;"",""))</f>
        <v/>
      </c>
      <c r="AE4375" s="52">
        <f>IF(AC4375="","",IFERROR(INDEX(ctaTipo,MATCH(AC4375,ctaNombre,0))&amp;"",""))</f>
        <v/>
      </c>
      <c r="AF4375" s="53">
        <f>IF(OR(P4375="",AB4375=""),"",IF(OR(P4375="Gasto",P4375="Transferencia",P4375="Pago tarjeta"),-1,1)*IF(IFERROR(INDEX(ctaMoneda,MATCH(AB4375,ctaNombre,0))&amp;"","DOP")="USD",T4375,S4375))</f>
        <v/>
      </c>
      <c r="AG4375" s="53">
        <f>IF(AC4375="","",IF(IFERROR(INDEX(ctaMoneda,MATCH(AC4375,ctaNombre,0))&amp;"","DOP")="USD",T4375,S4375))</f>
        <v/>
      </c>
      <c r="AH4375" s="53">
        <f>IF(P4375="","",IF(AND(AD4375&lt;&gt;"",COUNTIFS(tcTipo,AD4375,tcLiq,"Sí")&gt;0),IF(OR(P4375="Gasto",P4375="Transferencia",P4375="Pago tarjeta"),-1,1)*S4375,0)+IF(AND(AE4375&lt;&gt;"",COUNTIFS(tcTipo,AE4375,tcLiq,"Sí")&gt;0),S4375,0))</f>
        <v/>
      </c>
      <c r="AI4375" s="52">
        <f>IF(OR(L4375="",P4375=""),"",IF(COUNTIFS(L$6:L4375,L4375,P$6:P4375,"?*")=1,MAX(AI$5:AI4374)+1,""))</f>
        <v/>
      </c>
    </row>
    <row r="4376">
      <c r="B4376" s="47" t="n"/>
      <c r="C4376" s="48" t="n"/>
      <c r="D4376" s="48" t="n"/>
      <c r="E4376" s="48" t="n"/>
      <c r="F4376" s="48" t="n"/>
      <c r="G4376" s="49" t="n"/>
      <c r="H4376" s="48" t="n"/>
      <c r="I4376" s="50" t="n"/>
      <c r="J4376" s="48" t="n"/>
      <c r="K4376" s="48" t="n"/>
      <c r="L4376" s="48" t="n"/>
      <c r="M4376" s="48" t="n"/>
      <c r="N4376" s="48" t="n"/>
      <c r="O4376" s="51">
        <f>IF(AND(B4376="",G4376="",C4376="",D4376="",J4376=""),"",IF(B4376="","⚠ Falta fecha",IF(G4376="","⚠ Falta monto",IF(Q4376="","⚠ Falta cuenta",IF(ISNA(MATCH(Q4376,ctaNombre,0)),"⚠ Cuenta no registrada",IF(AND(OR(P4376="Gasto",P4376="Reembolso"),D4376=""),"⚠ Falta categoría",IF(AND(D4376&lt;&gt;"",E4376&lt;&gt;"",ISNA(MATCH(D4376&amp;"|"&amp;E4376,catClave,0))),"⚠ Subcategoría no corresponde",IF(AND(OR(P4376="Transferencia",P4376="Pago tarjeta"),K4376=""),"⚠ Falta cuenta destino",IF(AND(K4376&lt;&gt;"",P4376&lt;&gt;"Transferencia",P4376&lt;&gt;"Pago tarjeta"),"⚠ Destino solo aplica a transferencias",IF(AND(K4376&lt;&gt;"",K4376=Q4376),"⚠ Origen igual a destino",IF(AND(K4376&lt;&gt;"",ISNA(MATCH(K4376,ctaNombre,0))),"⚠ Destino no registrado",IF(AND(P4376="Pago tarjeta",AE4376&lt;&gt;"Tarjeta de crédito"),"⚠ El destino debe ser tarjeta de crédito",IF(AND(P4376="Gasto",E4376="Depósitos y retiros"),"⚠ Usa tipo Transferencia",IF(AND(P4376="Resultado trading",AD4376&lt;&gt;"Cuenta de trading"),"⚠ Usa una cuenta de trading",IF(AND(G4376&lt;=0,P4376&lt;&gt;"Ajuste",P4376&lt;&gt;"Resultado trading"),"⚠ El monto debe ser positivo","✓")))))))))))))))</f>
        <v/>
      </c>
      <c r="P4376" s="52">
        <f>IF(OR(B4376="",G4376=""),"",IF(C4376="","Gasto",C4376))</f>
        <v/>
      </c>
      <c r="Q4376" s="52">
        <f>IF(P4376="","",IF(J4376&lt;&gt;"",J4376,CuentaPred&amp;""))</f>
        <v/>
      </c>
      <c r="R4376" s="52">
        <f>IF(P4376="","",IF(ISNUMBER(I4376),I4376,TasaUSD))</f>
        <v/>
      </c>
      <c r="S4376" s="53">
        <f>IF(P4376="","",IF(H4376="USD",G4376*R4376,G4376))</f>
        <v/>
      </c>
      <c r="T4376" s="53">
        <f>IF(P4376="","",IF(H4376="USD",G4376,IF(R4376&gt;0,G4376/R4376,0)))</f>
        <v/>
      </c>
      <c r="U4376" s="53">
        <f>IF(P4376="","",IF(P4376="Gasto",S4376,IF(P4376="Reembolso",-S4376,0)))</f>
        <v/>
      </c>
      <c r="V4376" s="53">
        <f>IF(P4376="","",IF(P4376="Ingreso",S4376,0))</f>
        <v/>
      </c>
      <c r="W4376" s="53">
        <f>IF(P4376="","",IF(P4376="Resultado trading",S4376,0))</f>
        <v/>
      </c>
      <c r="X4376" s="52">
        <f>IF(OR(P4376="Gasto",P4376="Reembolso"),IF(M4376&lt;&gt;"",M4376,IFERROR(INDEX(catClasif,MATCH(D4376&amp;"|"&amp;E4376,catClave,0))&amp;"","Variable")),"")</f>
        <v/>
      </c>
      <c r="Y4376" s="52">
        <f>IF(P4376="","",IFERROR(INDEX(catGrupo,MATCH(D4376&amp;"|"&amp;E4376,catClave,0))&amp;"",""))</f>
        <v/>
      </c>
      <c r="Z4376" s="52">
        <f>IF(P4376="","",WEEKDAY(B4376,2))</f>
        <v/>
      </c>
      <c r="AA4376" s="52">
        <f>IF(P4376="","",IF(AND(P4376="Gasto",X4376="Variable",D4376&lt;&gt;catTrading,S4376&gt;0,S4376&lt;=Umbral),1,0))</f>
        <v/>
      </c>
      <c r="AB4376" s="52">
        <f>IF(OR(P4376="",Q4376=""),"",IFERROR(IF(INDEX(ctaVinc,MATCH(Q4376,ctaNombre,0))&amp;""&lt;&gt;"",INDEX(ctaVinc,MATCH(Q4376,ctaNombre,0))&amp;"",Q4376),Q4376))</f>
        <v/>
      </c>
      <c r="AC4376" s="52">
        <f>IF(OR(K4376="",AND(P4376&lt;&gt;"Transferencia",P4376&lt;&gt;"Pago tarjeta")),"",IFERROR(IF(INDEX(ctaVinc,MATCH(K4376,ctaNombre,0))&amp;""&lt;&gt;"",INDEX(ctaVinc,MATCH(K4376,ctaNombre,0))&amp;"",K4376),K4376))</f>
        <v/>
      </c>
      <c r="AD4376" s="52">
        <f>IF(AB4376="","",IFERROR(INDEX(ctaTipo,MATCH(AB4376,ctaNombre,0))&amp;"",""))</f>
        <v/>
      </c>
      <c r="AE4376" s="52">
        <f>IF(AC4376="","",IFERROR(INDEX(ctaTipo,MATCH(AC4376,ctaNombre,0))&amp;"",""))</f>
        <v/>
      </c>
      <c r="AF4376" s="53">
        <f>IF(OR(P4376="",AB4376=""),"",IF(OR(P4376="Gasto",P4376="Transferencia",P4376="Pago tarjeta"),-1,1)*IF(IFERROR(INDEX(ctaMoneda,MATCH(AB4376,ctaNombre,0))&amp;"","DOP")="USD",T4376,S4376))</f>
        <v/>
      </c>
      <c r="AG4376" s="53">
        <f>IF(AC4376="","",IF(IFERROR(INDEX(ctaMoneda,MATCH(AC4376,ctaNombre,0))&amp;"","DOP")="USD",T4376,S4376))</f>
        <v/>
      </c>
      <c r="AH4376" s="53">
        <f>IF(P4376="","",IF(AND(AD4376&lt;&gt;"",COUNTIFS(tcTipo,AD4376,tcLiq,"Sí")&gt;0),IF(OR(P4376="Gasto",P4376="Transferencia",P4376="Pago tarjeta"),-1,1)*S4376,0)+IF(AND(AE4376&lt;&gt;"",COUNTIFS(tcTipo,AE4376,tcLiq,"Sí")&gt;0),S4376,0))</f>
        <v/>
      </c>
      <c r="AI4376" s="52">
        <f>IF(OR(L4376="",P4376=""),"",IF(COUNTIFS(L$6:L4376,L4376,P$6:P4376,"?*")=1,MAX(AI$5:AI4375)+1,""))</f>
        <v/>
      </c>
    </row>
    <row r="4377">
      <c r="B4377" s="47" t="n"/>
      <c r="C4377" s="48" t="n"/>
      <c r="D4377" s="48" t="n"/>
      <c r="E4377" s="48" t="n"/>
      <c r="F4377" s="48" t="n"/>
      <c r="G4377" s="49" t="n"/>
      <c r="H4377" s="48" t="n"/>
      <c r="I4377" s="50" t="n"/>
      <c r="J4377" s="48" t="n"/>
      <c r="K4377" s="48" t="n"/>
      <c r="L4377" s="48" t="n"/>
      <c r="M4377" s="48" t="n"/>
      <c r="N4377" s="48" t="n"/>
      <c r="O4377" s="51">
        <f>IF(AND(B4377="",G4377="",C4377="",D4377="",J4377=""),"",IF(B4377="","⚠ Falta fecha",IF(G4377="","⚠ Falta monto",IF(Q4377="","⚠ Falta cuenta",IF(ISNA(MATCH(Q4377,ctaNombre,0)),"⚠ Cuenta no registrada",IF(AND(OR(P4377="Gasto",P4377="Reembolso"),D4377=""),"⚠ Falta categoría",IF(AND(D4377&lt;&gt;"",E4377&lt;&gt;"",ISNA(MATCH(D4377&amp;"|"&amp;E4377,catClave,0))),"⚠ Subcategoría no corresponde",IF(AND(OR(P4377="Transferencia",P4377="Pago tarjeta"),K4377=""),"⚠ Falta cuenta destino",IF(AND(K4377&lt;&gt;"",P4377&lt;&gt;"Transferencia",P4377&lt;&gt;"Pago tarjeta"),"⚠ Destino solo aplica a transferencias",IF(AND(K4377&lt;&gt;"",K4377=Q4377),"⚠ Origen igual a destino",IF(AND(K4377&lt;&gt;"",ISNA(MATCH(K4377,ctaNombre,0))),"⚠ Destino no registrado",IF(AND(P4377="Pago tarjeta",AE4377&lt;&gt;"Tarjeta de crédito"),"⚠ El destino debe ser tarjeta de crédito",IF(AND(P4377="Gasto",E4377="Depósitos y retiros"),"⚠ Usa tipo Transferencia",IF(AND(P4377="Resultado trading",AD4377&lt;&gt;"Cuenta de trading"),"⚠ Usa una cuenta de trading",IF(AND(G4377&lt;=0,P4377&lt;&gt;"Ajuste",P4377&lt;&gt;"Resultado trading"),"⚠ El monto debe ser positivo","✓")))))))))))))))</f>
        <v/>
      </c>
      <c r="P4377" s="52">
        <f>IF(OR(B4377="",G4377=""),"",IF(C4377="","Gasto",C4377))</f>
        <v/>
      </c>
      <c r="Q4377" s="52">
        <f>IF(P4377="","",IF(J4377&lt;&gt;"",J4377,CuentaPred&amp;""))</f>
        <v/>
      </c>
      <c r="R4377" s="52">
        <f>IF(P4377="","",IF(ISNUMBER(I4377),I4377,TasaUSD))</f>
        <v/>
      </c>
      <c r="S4377" s="53">
        <f>IF(P4377="","",IF(H4377="USD",G4377*R4377,G4377))</f>
        <v/>
      </c>
      <c r="T4377" s="53">
        <f>IF(P4377="","",IF(H4377="USD",G4377,IF(R4377&gt;0,G4377/R4377,0)))</f>
        <v/>
      </c>
      <c r="U4377" s="53">
        <f>IF(P4377="","",IF(P4377="Gasto",S4377,IF(P4377="Reembolso",-S4377,0)))</f>
        <v/>
      </c>
      <c r="V4377" s="53">
        <f>IF(P4377="","",IF(P4377="Ingreso",S4377,0))</f>
        <v/>
      </c>
      <c r="W4377" s="53">
        <f>IF(P4377="","",IF(P4377="Resultado trading",S4377,0))</f>
        <v/>
      </c>
      <c r="X4377" s="52">
        <f>IF(OR(P4377="Gasto",P4377="Reembolso"),IF(M4377&lt;&gt;"",M4377,IFERROR(INDEX(catClasif,MATCH(D4377&amp;"|"&amp;E4377,catClave,0))&amp;"","Variable")),"")</f>
        <v/>
      </c>
      <c r="Y4377" s="52">
        <f>IF(P4377="","",IFERROR(INDEX(catGrupo,MATCH(D4377&amp;"|"&amp;E4377,catClave,0))&amp;"",""))</f>
        <v/>
      </c>
      <c r="Z4377" s="52">
        <f>IF(P4377="","",WEEKDAY(B4377,2))</f>
        <v/>
      </c>
      <c r="AA4377" s="52">
        <f>IF(P4377="","",IF(AND(P4377="Gasto",X4377="Variable",D4377&lt;&gt;catTrading,S4377&gt;0,S4377&lt;=Umbral),1,0))</f>
        <v/>
      </c>
      <c r="AB4377" s="52">
        <f>IF(OR(P4377="",Q4377=""),"",IFERROR(IF(INDEX(ctaVinc,MATCH(Q4377,ctaNombre,0))&amp;""&lt;&gt;"",INDEX(ctaVinc,MATCH(Q4377,ctaNombre,0))&amp;"",Q4377),Q4377))</f>
        <v/>
      </c>
      <c r="AC4377" s="52">
        <f>IF(OR(K4377="",AND(P4377&lt;&gt;"Transferencia",P4377&lt;&gt;"Pago tarjeta")),"",IFERROR(IF(INDEX(ctaVinc,MATCH(K4377,ctaNombre,0))&amp;""&lt;&gt;"",INDEX(ctaVinc,MATCH(K4377,ctaNombre,0))&amp;"",K4377),K4377))</f>
        <v/>
      </c>
      <c r="AD4377" s="52">
        <f>IF(AB4377="","",IFERROR(INDEX(ctaTipo,MATCH(AB4377,ctaNombre,0))&amp;"",""))</f>
        <v/>
      </c>
      <c r="AE4377" s="52">
        <f>IF(AC4377="","",IFERROR(INDEX(ctaTipo,MATCH(AC4377,ctaNombre,0))&amp;"",""))</f>
        <v/>
      </c>
      <c r="AF4377" s="53">
        <f>IF(OR(P4377="",AB4377=""),"",IF(OR(P4377="Gasto",P4377="Transferencia",P4377="Pago tarjeta"),-1,1)*IF(IFERROR(INDEX(ctaMoneda,MATCH(AB4377,ctaNombre,0))&amp;"","DOP")="USD",T4377,S4377))</f>
        <v/>
      </c>
      <c r="AG4377" s="53">
        <f>IF(AC4377="","",IF(IFERROR(INDEX(ctaMoneda,MATCH(AC4377,ctaNombre,0))&amp;"","DOP")="USD",T4377,S4377))</f>
        <v/>
      </c>
      <c r="AH4377" s="53">
        <f>IF(P4377="","",IF(AND(AD4377&lt;&gt;"",COUNTIFS(tcTipo,AD4377,tcLiq,"Sí")&gt;0),IF(OR(P4377="Gasto",P4377="Transferencia",P4377="Pago tarjeta"),-1,1)*S4377,0)+IF(AND(AE4377&lt;&gt;"",COUNTIFS(tcTipo,AE4377,tcLiq,"Sí")&gt;0),S4377,0))</f>
        <v/>
      </c>
      <c r="AI4377" s="52">
        <f>IF(OR(L4377="",P4377=""),"",IF(COUNTIFS(L$6:L4377,L4377,P$6:P4377,"?*")=1,MAX(AI$5:AI4376)+1,""))</f>
        <v/>
      </c>
    </row>
    <row r="4378">
      <c r="B4378" s="47" t="n"/>
      <c r="C4378" s="48" t="n"/>
      <c r="D4378" s="48" t="n"/>
      <c r="E4378" s="48" t="n"/>
      <c r="F4378" s="48" t="n"/>
      <c r="G4378" s="49" t="n"/>
      <c r="H4378" s="48" t="n"/>
      <c r="I4378" s="50" t="n"/>
      <c r="J4378" s="48" t="n"/>
      <c r="K4378" s="48" t="n"/>
      <c r="L4378" s="48" t="n"/>
      <c r="M4378" s="48" t="n"/>
      <c r="N4378" s="48" t="n"/>
      <c r="O4378" s="51">
        <f>IF(AND(B4378="",G4378="",C4378="",D4378="",J4378=""),"",IF(B4378="","⚠ Falta fecha",IF(G4378="","⚠ Falta monto",IF(Q4378="","⚠ Falta cuenta",IF(ISNA(MATCH(Q4378,ctaNombre,0)),"⚠ Cuenta no registrada",IF(AND(OR(P4378="Gasto",P4378="Reembolso"),D4378=""),"⚠ Falta categoría",IF(AND(D4378&lt;&gt;"",E4378&lt;&gt;"",ISNA(MATCH(D4378&amp;"|"&amp;E4378,catClave,0))),"⚠ Subcategoría no corresponde",IF(AND(OR(P4378="Transferencia",P4378="Pago tarjeta"),K4378=""),"⚠ Falta cuenta destino",IF(AND(K4378&lt;&gt;"",P4378&lt;&gt;"Transferencia",P4378&lt;&gt;"Pago tarjeta"),"⚠ Destino solo aplica a transferencias",IF(AND(K4378&lt;&gt;"",K4378=Q4378),"⚠ Origen igual a destino",IF(AND(K4378&lt;&gt;"",ISNA(MATCH(K4378,ctaNombre,0))),"⚠ Destino no registrado",IF(AND(P4378="Pago tarjeta",AE4378&lt;&gt;"Tarjeta de crédito"),"⚠ El destino debe ser tarjeta de crédito",IF(AND(P4378="Gasto",E4378="Depósitos y retiros"),"⚠ Usa tipo Transferencia",IF(AND(P4378="Resultado trading",AD4378&lt;&gt;"Cuenta de trading"),"⚠ Usa una cuenta de trading",IF(AND(G4378&lt;=0,P4378&lt;&gt;"Ajuste",P4378&lt;&gt;"Resultado trading"),"⚠ El monto debe ser positivo","✓")))))))))))))))</f>
        <v/>
      </c>
      <c r="P4378" s="52">
        <f>IF(OR(B4378="",G4378=""),"",IF(C4378="","Gasto",C4378))</f>
        <v/>
      </c>
      <c r="Q4378" s="52">
        <f>IF(P4378="","",IF(J4378&lt;&gt;"",J4378,CuentaPred&amp;""))</f>
        <v/>
      </c>
      <c r="R4378" s="52">
        <f>IF(P4378="","",IF(ISNUMBER(I4378),I4378,TasaUSD))</f>
        <v/>
      </c>
      <c r="S4378" s="53">
        <f>IF(P4378="","",IF(H4378="USD",G4378*R4378,G4378))</f>
        <v/>
      </c>
      <c r="T4378" s="53">
        <f>IF(P4378="","",IF(H4378="USD",G4378,IF(R4378&gt;0,G4378/R4378,0)))</f>
        <v/>
      </c>
      <c r="U4378" s="53">
        <f>IF(P4378="","",IF(P4378="Gasto",S4378,IF(P4378="Reembolso",-S4378,0)))</f>
        <v/>
      </c>
      <c r="V4378" s="53">
        <f>IF(P4378="","",IF(P4378="Ingreso",S4378,0))</f>
        <v/>
      </c>
      <c r="W4378" s="53">
        <f>IF(P4378="","",IF(P4378="Resultado trading",S4378,0))</f>
        <v/>
      </c>
      <c r="X4378" s="52">
        <f>IF(OR(P4378="Gasto",P4378="Reembolso"),IF(M4378&lt;&gt;"",M4378,IFERROR(INDEX(catClasif,MATCH(D4378&amp;"|"&amp;E4378,catClave,0))&amp;"","Variable")),"")</f>
        <v/>
      </c>
      <c r="Y4378" s="52">
        <f>IF(P4378="","",IFERROR(INDEX(catGrupo,MATCH(D4378&amp;"|"&amp;E4378,catClave,0))&amp;"",""))</f>
        <v/>
      </c>
      <c r="Z4378" s="52">
        <f>IF(P4378="","",WEEKDAY(B4378,2))</f>
        <v/>
      </c>
      <c r="AA4378" s="52">
        <f>IF(P4378="","",IF(AND(P4378="Gasto",X4378="Variable",D4378&lt;&gt;catTrading,S4378&gt;0,S4378&lt;=Umbral),1,0))</f>
        <v/>
      </c>
      <c r="AB4378" s="52">
        <f>IF(OR(P4378="",Q4378=""),"",IFERROR(IF(INDEX(ctaVinc,MATCH(Q4378,ctaNombre,0))&amp;""&lt;&gt;"",INDEX(ctaVinc,MATCH(Q4378,ctaNombre,0))&amp;"",Q4378),Q4378))</f>
        <v/>
      </c>
      <c r="AC4378" s="52">
        <f>IF(OR(K4378="",AND(P4378&lt;&gt;"Transferencia",P4378&lt;&gt;"Pago tarjeta")),"",IFERROR(IF(INDEX(ctaVinc,MATCH(K4378,ctaNombre,0))&amp;""&lt;&gt;"",INDEX(ctaVinc,MATCH(K4378,ctaNombre,0))&amp;"",K4378),K4378))</f>
        <v/>
      </c>
      <c r="AD4378" s="52">
        <f>IF(AB4378="","",IFERROR(INDEX(ctaTipo,MATCH(AB4378,ctaNombre,0))&amp;"",""))</f>
        <v/>
      </c>
      <c r="AE4378" s="52">
        <f>IF(AC4378="","",IFERROR(INDEX(ctaTipo,MATCH(AC4378,ctaNombre,0))&amp;"",""))</f>
        <v/>
      </c>
      <c r="AF4378" s="53">
        <f>IF(OR(P4378="",AB4378=""),"",IF(OR(P4378="Gasto",P4378="Transferencia",P4378="Pago tarjeta"),-1,1)*IF(IFERROR(INDEX(ctaMoneda,MATCH(AB4378,ctaNombre,0))&amp;"","DOP")="USD",T4378,S4378))</f>
        <v/>
      </c>
      <c r="AG4378" s="53">
        <f>IF(AC4378="","",IF(IFERROR(INDEX(ctaMoneda,MATCH(AC4378,ctaNombre,0))&amp;"","DOP")="USD",T4378,S4378))</f>
        <v/>
      </c>
      <c r="AH4378" s="53">
        <f>IF(P4378="","",IF(AND(AD4378&lt;&gt;"",COUNTIFS(tcTipo,AD4378,tcLiq,"Sí")&gt;0),IF(OR(P4378="Gasto",P4378="Transferencia",P4378="Pago tarjeta"),-1,1)*S4378,0)+IF(AND(AE4378&lt;&gt;"",COUNTIFS(tcTipo,AE4378,tcLiq,"Sí")&gt;0),S4378,0))</f>
        <v/>
      </c>
      <c r="AI4378" s="52">
        <f>IF(OR(L4378="",P4378=""),"",IF(COUNTIFS(L$6:L4378,L4378,P$6:P4378,"?*")=1,MAX(AI$5:AI4377)+1,""))</f>
        <v/>
      </c>
    </row>
    <row r="4379">
      <c r="B4379" s="47" t="n"/>
      <c r="C4379" s="48" t="n"/>
      <c r="D4379" s="48" t="n"/>
      <c r="E4379" s="48" t="n"/>
      <c r="F4379" s="48" t="n"/>
      <c r="G4379" s="49" t="n"/>
      <c r="H4379" s="48" t="n"/>
      <c r="I4379" s="50" t="n"/>
      <c r="J4379" s="48" t="n"/>
      <c r="K4379" s="48" t="n"/>
      <c r="L4379" s="48" t="n"/>
      <c r="M4379" s="48" t="n"/>
      <c r="N4379" s="48" t="n"/>
      <c r="O4379" s="51">
        <f>IF(AND(B4379="",G4379="",C4379="",D4379="",J4379=""),"",IF(B4379="","⚠ Falta fecha",IF(G4379="","⚠ Falta monto",IF(Q4379="","⚠ Falta cuenta",IF(ISNA(MATCH(Q4379,ctaNombre,0)),"⚠ Cuenta no registrada",IF(AND(OR(P4379="Gasto",P4379="Reembolso"),D4379=""),"⚠ Falta categoría",IF(AND(D4379&lt;&gt;"",E4379&lt;&gt;"",ISNA(MATCH(D4379&amp;"|"&amp;E4379,catClave,0))),"⚠ Subcategoría no corresponde",IF(AND(OR(P4379="Transferencia",P4379="Pago tarjeta"),K4379=""),"⚠ Falta cuenta destino",IF(AND(K4379&lt;&gt;"",P4379&lt;&gt;"Transferencia",P4379&lt;&gt;"Pago tarjeta"),"⚠ Destino solo aplica a transferencias",IF(AND(K4379&lt;&gt;"",K4379=Q4379),"⚠ Origen igual a destino",IF(AND(K4379&lt;&gt;"",ISNA(MATCH(K4379,ctaNombre,0))),"⚠ Destino no registrado",IF(AND(P4379="Pago tarjeta",AE4379&lt;&gt;"Tarjeta de crédito"),"⚠ El destino debe ser tarjeta de crédito",IF(AND(P4379="Gasto",E4379="Depósitos y retiros"),"⚠ Usa tipo Transferencia",IF(AND(P4379="Resultado trading",AD4379&lt;&gt;"Cuenta de trading"),"⚠ Usa una cuenta de trading",IF(AND(G4379&lt;=0,P4379&lt;&gt;"Ajuste",P4379&lt;&gt;"Resultado trading"),"⚠ El monto debe ser positivo","✓")))))))))))))))</f>
        <v/>
      </c>
      <c r="P4379" s="52">
        <f>IF(OR(B4379="",G4379=""),"",IF(C4379="","Gasto",C4379))</f>
        <v/>
      </c>
      <c r="Q4379" s="52">
        <f>IF(P4379="","",IF(J4379&lt;&gt;"",J4379,CuentaPred&amp;""))</f>
        <v/>
      </c>
      <c r="R4379" s="52">
        <f>IF(P4379="","",IF(ISNUMBER(I4379),I4379,TasaUSD))</f>
        <v/>
      </c>
      <c r="S4379" s="53">
        <f>IF(P4379="","",IF(H4379="USD",G4379*R4379,G4379))</f>
        <v/>
      </c>
      <c r="T4379" s="53">
        <f>IF(P4379="","",IF(H4379="USD",G4379,IF(R4379&gt;0,G4379/R4379,0)))</f>
        <v/>
      </c>
      <c r="U4379" s="53">
        <f>IF(P4379="","",IF(P4379="Gasto",S4379,IF(P4379="Reembolso",-S4379,0)))</f>
        <v/>
      </c>
      <c r="V4379" s="53">
        <f>IF(P4379="","",IF(P4379="Ingreso",S4379,0))</f>
        <v/>
      </c>
      <c r="W4379" s="53">
        <f>IF(P4379="","",IF(P4379="Resultado trading",S4379,0))</f>
        <v/>
      </c>
      <c r="X4379" s="52">
        <f>IF(OR(P4379="Gasto",P4379="Reembolso"),IF(M4379&lt;&gt;"",M4379,IFERROR(INDEX(catClasif,MATCH(D4379&amp;"|"&amp;E4379,catClave,0))&amp;"","Variable")),"")</f>
        <v/>
      </c>
      <c r="Y4379" s="52">
        <f>IF(P4379="","",IFERROR(INDEX(catGrupo,MATCH(D4379&amp;"|"&amp;E4379,catClave,0))&amp;"",""))</f>
        <v/>
      </c>
      <c r="Z4379" s="52">
        <f>IF(P4379="","",WEEKDAY(B4379,2))</f>
        <v/>
      </c>
      <c r="AA4379" s="52">
        <f>IF(P4379="","",IF(AND(P4379="Gasto",X4379="Variable",D4379&lt;&gt;catTrading,S4379&gt;0,S4379&lt;=Umbral),1,0))</f>
        <v/>
      </c>
      <c r="AB4379" s="52">
        <f>IF(OR(P4379="",Q4379=""),"",IFERROR(IF(INDEX(ctaVinc,MATCH(Q4379,ctaNombre,0))&amp;""&lt;&gt;"",INDEX(ctaVinc,MATCH(Q4379,ctaNombre,0))&amp;"",Q4379),Q4379))</f>
        <v/>
      </c>
      <c r="AC4379" s="52">
        <f>IF(OR(K4379="",AND(P4379&lt;&gt;"Transferencia",P4379&lt;&gt;"Pago tarjeta")),"",IFERROR(IF(INDEX(ctaVinc,MATCH(K4379,ctaNombre,0))&amp;""&lt;&gt;"",INDEX(ctaVinc,MATCH(K4379,ctaNombre,0))&amp;"",K4379),K4379))</f>
        <v/>
      </c>
      <c r="AD4379" s="52">
        <f>IF(AB4379="","",IFERROR(INDEX(ctaTipo,MATCH(AB4379,ctaNombre,0))&amp;"",""))</f>
        <v/>
      </c>
      <c r="AE4379" s="52">
        <f>IF(AC4379="","",IFERROR(INDEX(ctaTipo,MATCH(AC4379,ctaNombre,0))&amp;"",""))</f>
        <v/>
      </c>
      <c r="AF4379" s="53">
        <f>IF(OR(P4379="",AB4379=""),"",IF(OR(P4379="Gasto",P4379="Transferencia",P4379="Pago tarjeta"),-1,1)*IF(IFERROR(INDEX(ctaMoneda,MATCH(AB4379,ctaNombre,0))&amp;"","DOP")="USD",T4379,S4379))</f>
        <v/>
      </c>
      <c r="AG4379" s="53">
        <f>IF(AC4379="","",IF(IFERROR(INDEX(ctaMoneda,MATCH(AC4379,ctaNombre,0))&amp;"","DOP")="USD",T4379,S4379))</f>
        <v/>
      </c>
      <c r="AH4379" s="53">
        <f>IF(P4379="","",IF(AND(AD4379&lt;&gt;"",COUNTIFS(tcTipo,AD4379,tcLiq,"Sí")&gt;0),IF(OR(P4379="Gasto",P4379="Transferencia",P4379="Pago tarjeta"),-1,1)*S4379,0)+IF(AND(AE4379&lt;&gt;"",COUNTIFS(tcTipo,AE4379,tcLiq,"Sí")&gt;0),S4379,0))</f>
        <v/>
      </c>
      <c r="AI4379" s="52">
        <f>IF(OR(L4379="",P4379=""),"",IF(COUNTIFS(L$6:L4379,L4379,P$6:P4379,"?*")=1,MAX(AI$5:AI4378)+1,""))</f>
        <v/>
      </c>
    </row>
    <row r="4380">
      <c r="B4380" s="47" t="n"/>
      <c r="C4380" s="48" t="n"/>
      <c r="D4380" s="48" t="n"/>
      <c r="E4380" s="48" t="n"/>
      <c r="F4380" s="48" t="n"/>
      <c r="G4380" s="49" t="n"/>
      <c r="H4380" s="48" t="n"/>
      <c r="I4380" s="50" t="n"/>
      <c r="J4380" s="48" t="n"/>
      <c r="K4380" s="48" t="n"/>
      <c r="L4380" s="48" t="n"/>
      <c r="M4380" s="48" t="n"/>
      <c r="N4380" s="48" t="n"/>
      <c r="O4380" s="51">
        <f>IF(AND(B4380="",G4380="",C4380="",D4380="",J4380=""),"",IF(B4380="","⚠ Falta fecha",IF(G4380="","⚠ Falta monto",IF(Q4380="","⚠ Falta cuenta",IF(ISNA(MATCH(Q4380,ctaNombre,0)),"⚠ Cuenta no registrada",IF(AND(OR(P4380="Gasto",P4380="Reembolso"),D4380=""),"⚠ Falta categoría",IF(AND(D4380&lt;&gt;"",E4380&lt;&gt;"",ISNA(MATCH(D4380&amp;"|"&amp;E4380,catClave,0))),"⚠ Subcategoría no corresponde",IF(AND(OR(P4380="Transferencia",P4380="Pago tarjeta"),K4380=""),"⚠ Falta cuenta destino",IF(AND(K4380&lt;&gt;"",P4380&lt;&gt;"Transferencia",P4380&lt;&gt;"Pago tarjeta"),"⚠ Destino solo aplica a transferencias",IF(AND(K4380&lt;&gt;"",K4380=Q4380),"⚠ Origen igual a destino",IF(AND(K4380&lt;&gt;"",ISNA(MATCH(K4380,ctaNombre,0))),"⚠ Destino no registrado",IF(AND(P4380="Pago tarjeta",AE4380&lt;&gt;"Tarjeta de crédito"),"⚠ El destino debe ser tarjeta de crédito",IF(AND(P4380="Gasto",E4380="Depósitos y retiros"),"⚠ Usa tipo Transferencia",IF(AND(P4380="Resultado trading",AD4380&lt;&gt;"Cuenta de trading"),"⚠ Usa una cuenta de trading",IF(AND(G4380&lt;=0,P4380&lt;&gt;"Ajuste",P4380&lt;&gt;"Resultado trading"),"⚠ El monto debe ser positivo","✓")))))))))))))))</f>
        <v/>
      </c>
      <c r="P4380" s="52">
        <f>IF(OR(B4380="",G4380=""),"",IF(C4380="","Gasto",C4380))</f>
        <v/>
      </c>
      <c r="Q4380" s="52">
        <f>IF(P4380="","",IF(J4380&lt;&gt;"",J4380,CuentaPred&amp;""))</f>
        <v/>
      </c>
      <c r="R4380" s="52">
        <f>IF(P4380="","",IF(ISNUMBER(I4380),I4380,TasaUSD))</f>
        <v/>
      </c>
      <c r="S4380" s="53">
        <f>IF(P4380="","",IF(H4380="USD",G4380*R4380,G4380))</f>
        <v/>
      </c>
      <c r="T4380" s="53">
        <f>IF(P4380="","",IF(H4380="USD",G4380,IF(R4380&gt;0,G4380/R4380,0)))</f>
        <v/>
      </c>
      <c r="U4380" s="53">
        <f>IF(P4380="","",IF(P4380="Gasto",S4380,IF(P4380="Reembolso",-S4380,0)))</f>
        <v/>
      </c>
      <c r="V4380" s="53">
        <f>IF(P4380="","",IF(P4380="Ingreso",S4380,0))</f>
        <v/>
      </c>
      <c r="W4380" s="53">
        <f>IF(P4380="","",IF(P4380="Resultado trading",S4380,0))</f>
        <v/>
      </c>
      <c r="X4380" s="52">
        <f>IF(OR(P4380="Gasto",P4380="Reembolso"),IF(M4380&lt;&gt;"",M4380,IFERROR(INDEX(catClasif,MATCH(D4380&amp;"|"&amp;E4380,catClave,0))&amp;"","Variable")),"")</f>
        <v/>
      </c>
      <c r="Y4380" s="52">
        <f>IF(P4380="","",IFERROR(INDEX(catGrupo,MATCH(D4380&amp;"|"&amp;E4380,catClave,0))&amp;"",""))</f>
        <v/>
      </c>
      <c r="Z4380" s="52">
        <f>IF(P4380="","",WEEKDAY(B4380,2))</f>
        <v/>
      </c>
      <c r="AA4380" s="52">
        <f>IF(P4380="","",IF(AND(P4380="Gasto",X4380="Variable",D4380&lt;&gt;catTrading,S4380&gt;0,S4380&lt;=Umbral),1,0))</f>
        <v/>
      </c>
      <c r="AB4380" s="52">
        <f>IF(OR(P4380="",Q4380=""),"",IFERROR(IF(INDEX(ctaVinc,MATCH(Q4380,ctaNombre,0))&amp;""&lt;&gt;"",INDEX(ctaVinc,MATCH(Q4380,ctaNombre,0))&amp;"",Q4380),Q4380))</f>
        <v/>
      </c>
      <c r="AC4380" s="52">
        <f>IF(OR(K4380="",AND(P4380&lt;&gt;"Transferencia",P4380&lt;&gt;"Pago tarjeta")),"",IFERROR(IF(INDEX(ctaVinc,MATCH(K4380,ctaNombre,0))&amp;""&lt;&gt;"",INDEX(ctaVinc,MATCH(K4380,ctaNombre,0))&amp;"",K4380),K4380))</f>
        <v/>
      </c>
      <c r="AD4380" s="52">
        <f>IF(AB4380="","",IFERROR(INDEX(ctaTipo,MATCH(AB4380,ctaNombre,0))&amp;"",""))</f>
        <v/>
      </c>
      <c r="AE4380" s="52">
        <f>IF(AC4380="","",IFERROR(INDEX(ctaTipo,MATCH(AC4380,ctaNombre,0))&amp;"",""))</f>
        <v/>
      </c>
      <c r="AF4380" s="53">
        <f>IF(OR(P4380="",AB4380=""),"",IF(OR(P4380="Gasto",P4380="Transferencia",P4380="Pago tarjeta"),-1,1)*IF(IFERROR(INDEX(ctaMoneda,MATCH(AB4380,ctaNombre,0))&amp;"","DOP")="USD",T4380,S4380))</f>
        <v/>
      </c>
      <c r="AG4380" s="53">
        <f>IF(AC4380="","",IF(IFERROR(INDEX(ctaMoneda,MATCH(AC4380,ctaNombre,0))&amp;"","DOP")="USD",T4380,S4380))</f>
        <v/>
      </c>
      <c r="AH4380" s="53">
        <f>IF(P4380="","",IF(AND(AD4380&lt;&gt;"",COUNTIFS(tcTipo,AD4380,tcLiq,"Sí")&gt;0),IF(OR(P4380="Gasto",P4380="Transferencia",P4380="Pago tarjeta"),-1,1)*S4380,0)+IF(AND(AE4380&lt;&gt;"",COUNTIFS(tcTipo,AE4380,tcLiq,"Sí")&gt;0),S4380,0))</f>
        <v/>
      </c>
      <c r="AI4380" s="52">
        <f>IF(OR(L4380="",P4380=""),"",IF(COUNTIFS(L$6:L4380,L4380,P$6:P4380,"?*")=1,MAX(AI$5:AI4379)+1,""))</f>
        <v/>
      </c>
    </row>
    <row r="4381">
      <c r="B4381" s="47" t="n"/>
      <c r="C4381" s="48" t="n"/>
      <c r="D4381" s="48" t="n"/>
      <c r="E4381" s="48" t="n"/>
      <c r="F4381" s="48" t="n"/>
      <c r="G4381" s="49" t="n"/>
      <c r="H4381" s="48" t="n"/>
      <c r="I4381" s="50" t="n"/>
      <c r="J4381" s="48" t="n"/>
      <c r="K4381" s="48" t="n"/>
      <c r="L4381" s="48" t="n"/>
      <c r="M4381" s="48" t="n"/>
      <c r="N4381" s="48" t="n"/>
      <c r="O4381" s="51">
        <f>IF(AND(B4381="",G4381="",C4381="",D4381="",J4381=""),"",IF(B4381="","⚠ Falta fecha",IF(G4381="","⚠ Falta monto",IF(Q4381="","⚠ Falta cuenta",IF(ISNA(MATCH(Q4381,ctaNombre,0)),"⚠ Cuenta no registrada",IF(AND(OR(P4381="Gasto",P4381="Reembolso"),D4381=""),"⚠ Falta categoría",IF(AND(D4381&lt;&gt;"",E4381&lt;&gt;"",ISNA(MATCH(D4381&amp;"|"&amp;E4381,catClave,0))),"⚠ Subcategoría no corresponde",IF(AND(OR(P4381="Transferencia",P4381="Pago tarjeta"),K4381=""),"⚠ Falta cuenta destino",IF(AND(K4381&lt;&gt;"",P4381&lt;&gt;"Transferencia",P4381&lt;&gt;"Pago tarjeta"),"⚠ Destino solo aplica a transferencias",IF(AND(K4381&lt;&gt;"",K4381=Q4381),"⚠ Origen igual a destino",IF(AND(K4381&lt;&gt;"",ISNA(MATCH(K4381,ctaNombre,0))),"⚠ Destino no registrado",IF(AND(P4381="Pago tarjeta",AE4381&lt;&gt;"Tarjeta de crédito"),"⚠ El destino debe ser tarjeta de crédito",IF(AND(P4381="Gasto",E4381="Depósitos y retiros"),"⚠ Usa tipo Transferencia",IF(AND(P4381="Resultado trading",AD4381&lt;&gt;"Cuenta de trading"),"⚠ Usa una cuenta de trading",IF(AND(G4381&lt;=0,P4381&lt;&gt;"Ajuste",P4381&lt;&gt;"Resultado trading"),"⚠ El monto debe ser positivo","✓")))))))))))))))</f>
        <v/>
      </c>
      <c r="P4381" s="52">
        <f>IF(OR(B4381="",G4381=""),"",IF(C4381="","Gasto",C4381))</f>
        <v/>
      </c>
      <c r="Q4381" s="52">
        <f>IF(P4381="","",IF(J4381&lt;&gt;"",J4381,CuentaPred&amp;""))</f>
        <v/>
      </c>
      <c r="R4381" s="52">
        <f>IF(P4381="","",IF(ISNUMBER(I4381),I4381,TasaUSD))</f>
        <v/>
      </c>
      <c r="S4381" s="53">
        <f>IF(P4381="","",IF(H4381="USD",G4381*R4381,G4381))</f>
        <v/>
      </c>
      <c r="T4381" s="53">
        <f>IF(P4381="","",IF(H4381="USD",G4381,IF(R4381&gt;0,G4381/R4381,0)))</f>
        <v/>
      </c>
      <c r="U4381" s="53">
        <f>IF(P4381="","",IF(P4381="Gasto",S4381,IF(P4381="Reembolso",-S4381,0)))</f>
        <v/>
      </c>
      <c r="V4381" s="53">
        <f>IF(P4381="","",IF(P4381="Ingreso",S4381,0))</f>
        <v/>
      </c>
      <c r="W4381" s="53">
        <f>IF(P4381="","",IF(P4381="Resultado trading",S4381,0))</f>
        <v/>
      </c>
      <c r="X4381" s="52">
        <f>IF(OR(P4381="Gasto",P4381="Reembolso"),IF(M4381&lt;&gt;"",M4381,IFERROR(INDEX(catClasif,MATCH(D4381&amp;"|"&amp;E4381,catClave,0))&amp;"","Variable")),"")</f>
        <v/>
      </c>
      <c r="Y4381" s="52">
        <f>IF(P4381="","",IFERROR(INDEX(catGrupo,MATCH(D4381&amp;"|"&amp;E4381,catClave,0))&amp;"",""))</f>
        <v/>
      </c>
      <c r="Z4381" s="52">
        <f>IF(P4381="","",WEEKDAY(B4381,2))</f>
        <v/>
      </c>
      <c r="AA4381" s="52">
        <f>IF(P4381="","",IF(AND(P4381="Gasto",X4381="Variable",D4381&lt;&gt;catTrading,S4381&gt;0,S4381&lt;=Umbral),1,0))</f>
        <v/>
      </c>
      <c r="AB4381" s="52">
        <f>IF(OR(P4381="",Q4381=""),"",IFERROR(IF(INDEX(ctaVinc,MATCH(Q4381,ctaNombre,0))&amp;""&lt;&gt;"",INDEX(ctaVinc,MATCH(Q4381,ctaNombre,0))&amp;"",Q4381),Q4381))</f>
        <v/>
      </c>
      <c r="AC4381" s="52">
        <f>IF(OR(K4381="",AND(P4381&lt;&gt;"Transferencia",P4381&lt;&gt;"Pago tarjeta")),"",IFERROR(IF(INDEX(ctaVinc,MATCH(K4381,ctaNombre,0))&amp;""&lt;&gt;"",INDEX(ctaVinc,MATCH(K4381,ctaNombre,0))&amp;"",K4381),K4381))</f>
        <v/>
      </c>
      <c r="AD4381" s="52">
        <f>IF(AB4381="","",IFERROR(INDEX(ctaTipo,MATCH(AB4381,ctaNombre,0))&amp;"",""))</f>
        <v/>
      </c>
      <c r="AE4381" s="52">
        <f>IF(AC4381="","",IFERROR(INDEX(ctaTipo,MATCH(AC4381,ctaNombre,0))&amp;"",""))</f>
        <v/>
      </c>
      <c r="AF4381" s="53">
        <f>IF(OR(P4381="",AB4381=""),"",IF(OR(P4381="Gasto",P4381="Transferencia",P4381="Pago tarjeta"),-1,1)*IF(IFERROR(INDEX(ctaMoneda,MATCH(AB4381,ctaNombre,0))&amp;"","DOP")="USD",T4381,S4381))</f>
        <v/>
      </c>
      <c r="AG4381" s="53">
        <f>IF(AC4381="","",IF(IFERROR(INDEX(ctaMoneda,MATCH(AC4381,ctaNombre,0))&amp;"","DOP")="USD",T4381,S4381))</f>
        <v/>
      </c>
      <c r="AH4381" s="53">
        <f>IF(P4381="","",IF(AND(AD4381&lt;&gt;"",COUNTIFS(tcTipo,AD4381,tcLiq,"Sí")&gt;0),IF(OR(P4381="Gasto",P4381="Transferencia",P4381="Pago tarjeta"),-1,1)*S4381,0)+IF(AND(AE4381&lt;&gt;"",COUNTIFS(tcTipo,AE4381,tcLiq,"Sí")&gt;0),S4381,0))</f>
        <v/>
      </c>
      <c r="AI4381" s="52">
        <f>IF(OR(L4381="",P4381=""),"",IF(COUNTIFS(L$6:L4381,L4381,P$6:P4381,"?*")=1,MAX(AI$5:AI4380)+1,""))</f>
        <v/>
      </c>
    </row>
    <row r="4382">
      <c r="B4382" s="47" t="n"/>
      <c r="C4382" s="48" t="n"/>
      <c r="D4382" s="48" t="n"/>
      <c r="E4382" s="48" t="n"/>
      <c r="F4382" s="48" t="n"/>
      <c r="G4382" s="49" t="n"/>
      <c r="H4382" s="48" t="n"/>
      <c r="I4382" s="50" t="n"/>
      <c r="J4382" s="48" t="n"/>
      <c r="K4382" s="48" t="n"/>
      <c r="L4382" s="48" t="n"/>
      <c r="M4382" s="48" t="n"/>
      <c r="N4382" s="48" t="n"/>
      <c r="O4382" s="51">
        <f>IF(AND(B4382="",G4382="",C4382="",D4382="",J4382=""),"",IF(B4382="","⚠ Falta fecha",IF(G4382="","⚠ Falta monto",IF(Q4382="","⚠ Falta cuenta",IF(ISNA(MATCH(Q4382,ctaNombre,0)),"⚠ Cuenta no registrada",IF(AND(OR(P4382="Gasto",P4382="Reembolso"),D4382=""),"⚠ Falta categoría",IF(AND(D4382&lt;&gt;"",E4382&lt;&gt;"",ISNA(MATCH(D4382&amp;"|"&amp;E4382,catClave,0))),"⚠ Subcategoría no corresponde",IF(AND(OR(P4382="Transferencia",P4382="Pago tarjeta"),K4382=""),"⚠ Falta cuenta destino",IF(AND(K4382&lt;&gt;"",P4382&lt;&gt;"Transferencia",P4382&lt;&gt;"Pago tarjeta"),"⚠ Destino solo aplica a transferencias",IF(AND(K4382&lt;&gt;"",K4382=Q4382),"⚠ Origen igual a destino",IF(AND(K4382&lt;&gt;"",ISNA(MATCH(K4382,ctaNombre,0))),"⚠ Destino no registrado",IF(AND(P4382="Pago tarjeta",AE4382&lt;&gt;"Tarjeta de crédito"),"⚠ El destino debe ser tarjeta de crédito",IF(AND(P4382="Gasto",E4382="Depósitos y retiros"),"⚠ Usa tipo Transferencia",IF(AND(P4382="Resultado trading",AD4382&lt;&gt;"Cuenta de trading"),"⚠ Usa una cuenta de trading",IF(AND(G4382&lt;=0,P4382&lt;&gt;"Ajuste",P4382&lt;&gt;"Resultado trading"),"⚠ El monto debe ser positivo","✓")))))))))))))))</f>
        <v/>
      </c>
      <c r="P4382" s="52">
        <f>IF(OR(B4382="",G4382=""),"",IF(C4382="","Gasto",C4382))</f>
        <v/>
      </c>
      <c r="Q4382" s="52">
        <f>IF(P4382="","",IF(J4382&lt;&gt;"",J4382,CuentaPred&amp;""))</f>
        <v/>
      </c>
      <c r="R4382" s="52">
        <f>IF(P4382="","",IF(ISNUMBER(I4382),I4382,TasaUSD))</f>
        <v/>
      </c>
      <c r="S4382" s="53">
        <f>IF(P4382="","",IF(H4382="USD",G4382*R4382,G4382))</f>
        <v/>
      </c>
      <c r="T4382" s="53">
        <f>IF(P4382="","",IF(H4382="USD",G4382,IF(R4382&gt;0,G4382/R4382,0)))</f>
        <v/>
      </c>
      <c r="U4382" s="53">
        <f>IF(P4382="","",IF(P4382="Gasto",S4382,IF(P4382="Reembolso",-S4382,0)))</f>
        <v/>
      </c>
      <c r="V4382" s="53">
        <f>IF(P4382="","",IF(P4382="Ingreso",S4382,0))</f>
        <v/>
      </c>
      <c r="W4382" s="53">
        <f>IF(P4382="","",IF(P4382="Resultado trading",S4382,0))</f>
        <v/>
      </c>
      <c r="X4382" s="52">
        <f>IF(OR(P4382="Gasto",P4382="Reembolso"),IF(M4382&lt;&gt;"",M4382,IFERROR(INDEX(catClasif,MATCH(D4382&amp;"|"&amp;E4382,catClave,0))&amp;"","Variable")),"")</f>
        <v/>
      </c>
      <c r="Y4382" s="52">
        <f>IF(P4382="","",IFERROR(INDEX(catGrupo,MATCH(D4382&amp;"|"&amp;E4382,catClave,0))&amp;"",""))</f>
        <v/>
      </c>
      <c r="Z4382" s="52">
        <f>IF(P4382="","",WEEKDAY(B4382,2))</f>
        <v/>
      </c>
      <c r="AA4382" s="52">
        <f>IF(P4382="","",IF(AND(P4382="Gasto",X4382="Variable",D4382&lt;&gt;catTrading,S4382&gt;0,S4382&lt;=Umbral),1,0))</f>
        <v/>
      </c>
      <c r="AB4382" s="52">
        <f>IF(OR(P4382="",Q4382=""),"",IFERROR(IF(INDEX(ctaVinc,MATCH(Q4382,ctaNombre,0))&amp;""&lt;&gt;"",INDEX(ctaVinc,MATCH(Q4382,ctaNombre,0))&amp;"",Q4382),Q4382))</f>
        <v/>
      </c>
      <c r="AC4382" s="52">
        <f>IF(OR(K4382="",AND(P4382&lt;&gt;"Transferencia",P4382&lt;&gt;"Pago tarjeta")),"",IFERROR(IF(INDEX(ctaVinc,MATCH(K4382,ctaNombre,0))&amp;""&lt;&gt;"",INDEX(ctaVinc,MATCH(K4382,ctaNombre,0))&amp;"",K4382),K4382))</f>
        <v/>
      </c>
      <c r="AD4382" s="52">
        <f>IF(AB4382="","",IFERROR(INDEX(ctaTipo,MATCH(AB4382,ctaNombre,0))&amp;"",""))</f>
        <v/>
      </c>
      <c r="AE4382" s="52">
        <f>IF(AC4382="","",IFERROR(INDEX(ctaTipo,MATCH(AC4382,ctaNombre,0))&amp;"",""))</f>
        <v/>
      </c>
      <c r="AF4382" s="53">
        <f>IF(OR(P4382="",AB4382=""),"",IF(OR(P4382="Gasto",P4382="Transferencia",P4382="Pago tarjeta"),-1,1)*IF(IFERROR(INDEX(ctaMoneda,MATCH(AB4382,ctaNombre,0))&amp;"","DOP")="USD",T4382,S4382))</f>
        <v/>
      </c>
      <c r="AG4382" s="53">
        <f>IF(AC4382="","",IF(IFERROR(INDEX(ctaMoneda,MATCH(AC4382,ctaNombre,0))&amp;"","DOP")="USD",T4382,S4382))</f>
        <v/>
      </c>
      <c r="AH4382" s="53">
        <f>IF(P4382="","",IF(AND(AD4382&lt;&gt;"",COUNTIFS(tcTipo,AD4382,tcLiq,"Sí")&gt;0),IF(OR(P4382="Gasto",P4382="Transferencia",P4382="Pago tarjeta"),-1,1)*S4382,0)+IF(AND(AE4382&lt;&gt;"",COUNTIFS(tcTipo,AE4382,tcLiq,"Sí")&gt;0),S4382,0))</f>
        <v/>
      </c>
      <c r="AI4382" s="52">
        <f>IF(OR(L4382="",P4382=""),"",IF(COUNTIFS(L$6:L4382,L4382,P$6:P4382,"?*")=1,MAX(AI$5:AI4381)+1,""))</f>
        <v/>
      </c>
    </row>
    <row r="4383">
      <c r="B4383" s="47" t="n"/>
      <c r="C4383" s="48" t="n"/>
      <c r="D4383" s="48" t="n"/>
      <c r="E4383" s="48" t="n"/>
      <c r="F4383" s="48" t="n"/>
      <c r="G4383" s="49" t="n"/>
      <c r="H4383" s="48" t="n"/>
      <c r="I4383" s="50" t="n"/>
      <c r="J4383" s="48" t="n"/>
      <c r="K4383" s="48" t="n"/>
      <c r="L4383" s="48" t="n"/>
      <c r="M4383" s="48" t="n"/>
      <c r="N4383" s="48" t="n"/>
      <c r="O4383" s="51">
        <f>IF(AND(B4383="",G4383="",C4383="",D4383="",J4383=""),"",IF(B4383="","⚠ Falta fecha",IF(G4383="","⚠ Falta monto",IF(Q4383="","⚠ Falta cuenta",IF(ISNA(MATCH(Q4383,ctaNombre,0)),"⚠ Cuenta no registrada",IF(AND(OR(P4383="Gasto",P4383="Reembolso"),D4383=""),"⚠ Falta categoría",IF(AND(D4383&lt;&gt;"",E4383&lt;&gt;"",ISNA(MATCH(D4383&amp;"|"&amp;E4383,catClave,0))),"⚠ Subcategoría no corresponde",IF(AND(OR(P4383="Transferencia",P4383="Pago tarjeta"),K4383=""),"⚠ Falta cuenta destino",IF(AND(K4383&lt;&gt;"",P4383&lt;&gt;"Transferencia",P4383&lt;&gt;"Pago tarjeta"),"⚠ Destino solo aplica a transferencias",IF(AND(K4383&lt;&gt;"",K4383=Q4383),"⚠ Origen igual a destino",IF(AND(K4383&lt;&gt;"",ISNA(MATCH(K4383,ctaNombre,0))),"⚠ Destino no registrado",IF(AND(P4383="Pago tarjeta",AE4383&lt;&gt;"Tarjeta de crédito"),"⚠ El destino debe ser tarjeta de crédito",IF(AND(P4383="Gasto",E4383="Depósitos y retiros"),"⚠ Usa tipo Transferencia",IF(AND(P4383="Resultado trading",AD4383&lt;&gt;"Cuenta de trading"),"⚠ Usa una cuenta de trading",IF(AND(G4383&lt;=0,P4383&lt;&gt;"Ajuste",P4383&lt;&gt;"Resultado trading"),"⚠ El monto debe ser positivo","✓")))))))))))))))</f>
        <v/>
      </c>
      <c r="P4383" s="52">
        <f>IF(OR(B4383="",G4383=""),"",IF(C4383="","Gasto",C4383))</f>
        <v/>
      </c>
      <c r="Q4383" s="52">
        <f>IF(P4383="","",IF(J4383&lt;&gt;"",J4383,CuentaPred&amp;""))</f>
        <v/>
      </c>
      <c r="R4383" s="52">
        <f>IF(P4383="","",IF(ISNUMBER(I4383),I4383,TasaUSD))</f>
        <v/>
      </c>
      <c r="S4383" s="53">
        <f>IF(P4383="","",IF(H4383="USD",G4383*R4383,G4383))</f>
        <v/>
      </c>
      <c r="T4383" s="53">
        <f>IF(P4383="","",IF(H4383="USD",G4383,IF(R4383&gt;0,G4383/R4383,0)))</f>
        <v/>
      </c>
      <c r="U4383" s="53">
        <f>IF(P4383="","",IF(P4383="Gasto",S4383,IF(P4383="Reembolso",-S4383,0)))</f>
        <v/>
      </c>
      <c r="V4383" s="53">
        <f>IF(P4383="","",IF(P4383="Ingreso",S4383,0))</f>
        <v/>
      </c>
      <c r="W4383" s="53">
        <f>IF(P4383="","",IF(P4383="Resultado trading",S4383,0))</f>
        <v/>
      </c>
      <c r="X4383" s="52">
        <f>IF(OR(P4383="Gasto",P4383="Reembolso"),IF(M4383&lt;&gt;"",M4383,IFERROR(INDEX(catClasif,MATCH(D4383&amp;"|"&amp;E4383,catClave,0))&amp;"","Variable")),"")</f>
        <v/>
      </c>
      <c r="Y4383" s="52">
        <f>IF(P4383="","",IFERROR(INDEX(catGrupo,MATCH(D4383&amp;"|"&amp;E4383,catClave,0))&amp;"",""))</f>
        <v/>
      </c>
      <c r="Z4383" s="52">
        <f>IF(P4383="","",WEEKDAY(B4383,2))</f>
        <v/>
      </c>
      <c r="AA4383" s="52">
        <f>IF(P4383="","",IF(AND(P4383="Gasto",X4383="Variable",D4383&lt;&gt;catTrading,S4383&gt;0,S4383&lt;=Umbral),1,0))</f>
        <v/>
      </c>
      <c r="AB4383" s="52">
        <f>IF(OR(P4383="",Q4383=""),"",IFERROR(IF(INDEX(ctaVinc,MATCH(Q4383,ctaNombre,0))&amp;""&lt;&gt;"",INDEX(ctaVinc,MATCH(Q4383,ctaNombre,0))&amp;"",Q4383),Q4383))</f>
        <v/>
      </c>
      <c r="AC4383" s="52">
        <f>IF(OR(K4383="",AND(P4383&lt;&gt;"Transferencia",P4383&lt;&gt;"Pago tarjeta")),"",IFERROR(IF(INDEX(ctaVinc,MATCH(K4383,ctaNombre,0))&amp;""&lt;&gt;"",INDEX(ctaVinc,MATCH(K4383,ctaNombre,0))&amp;"",K4383),K4383))</f>
        <v/>
      </c>
      <c r="AD4383" s="52">
        <f>IF(AB4383="","",IFERROR(INDEX(ctaTipo,MATCH(AB4383,ctaNombre,0))&amp;"",""))</f>
        <v/>
      </c>
      <c r="AE4383" s="52">
        <f>IF(AC4383="","",IFERROR(INDEX(ctaTipo,MATCH(AC4383,ctaNombre,0))&amp;"",""))</f>
        <v/>
      </c>
      <c r="AF4383" s="53">
        <f>IF(OR(P4383="",AB4383=""),"",IF(OR(P4383="Gasto",P4383="Transferencia",P4383="Pago tarjeta"),-1,1)*IF(IFERROR(INDEX(ctaMoneda,MATCH(AB4383,ctaNombre,0))&amp;"","DOP")="USD",T4383,S4383))</f>
        <v/>
      </c>
      <c r="AG4383" s="53">
        <f>IF(AC4383="","",IF(IFERROR(INDEX(ctaMoneda,MATCH(AC4383,ctaNombre,0))&amp;"","DOP")="USD",T4383,S4383))</f>
        <v/>
      </c>
      <c r="AH4383" s="53">
        <f>IF(P4383="","",IF(AND(AD4383&lt;&gt;"",COUNTIFS(tcTipo,AD4383,tcLiq,"Sí")&gt;0),IF(OR(P4383="Gasto",P4383="Transferencia",P4383="Pago tarjeta"),-1,1)*S4383,0)+IF(AND(AE4383&lt;&gt;"",COUNTIFS(tcTipo,AE4383,tcLiq,"Sí")&gt;0),S4383,0))</f>
        <v/>
      </c>
      <c r="AI4383" s="52">
        <f>IF(OR(L4383="",P4383=""),"",IF(COUNTIFS(L$6:L4383,L4383,P$6:P4383,"?*")=1,MAX(AI$5:AI4382)+1,""))</f>
        <v/>
      </c>
    </row>
    <row r="4384">
      <c r="B4384" s="47" t="n"/>
      <c r="C4384" s="48" t="n"/>
      <c r="D4384" s="48" t="n"/>
      <c r="E4384" s="48" t="n"/>
      <c r="F4384" s="48" t="n"/>
      <c r="G4384" s="49" t="n"/>
      <c r="H4384" s="48" t="n"/>
      <c r="I4384" s="50" t="n"/>
      <c r="J4384" s="48" t="n"/>
      <c r="K4384" s="48" t="n"/>
      <c r="L4384" s="48" t="n"/>
      <c r="M4384" s="48" t="n"/>
      <c r="N4384" s="48" t="n"/>
      <c r="O4384" s="51">
        <f>IF(AND(B4384="",G4384="",C4384="",D4384="",J4384=""),"",IF(B4384="","⚠ Falta fecha",IF(G4384="","⚠ Falta monto",IF(Q4384="","⚠ Falta cuenta",IF(ISNA(MATCH(Q4384,ctaNombre,0)),"⚠ Cuenta no registrada",IF(AND(OR(P4384="Gasto",P4384="Reembolso"),D4384=""),"⚠ Falta categoría",IF(AND(D4384&lt;&gt;"",E4384&lt;&gt;"",ISNA(MATCH(D4384&amp;"|"&amp;E4384,catClave,0))),"⚠ Subcategoría no corresponde",IF(AND(OR(P4384="Transferencia",P4384="Pago tarjeta"),K4384=""),"⚠ Falta cuenta destino",IF(AND(K4384&lt;&gt;"",P4384&lt;&gt;"Transferencia",P4384&lt;&gt;"Pago tarjeta"),"⚠ Destino solo aplica a transferencias",IF(AND(K4384&lt;&gt;"",K4384=Q4384),"⚠ Origen igual a destino",IF(AND(K4384&lt;&gt;"",ISNA(MATCH(K4384,ctaNombre,0))),"⚠ Destino no registrado",IF(AND(P4384="Pago tarjeta",AE4384&lt;&gt;"Tarjeta de crédito"),"⚠ El destino debe ser tarjeta de crédito",IF(AND(P4384="Gasto",E4384="Depósitos y retiros"),"⚠ Usa tipo Transferencia",IF(AND(P4384="Resultado trading",AD4384&lt;&gt;"Cuenta de trading"),"⚠ Usa una cuenta de trading",IF(AND(G4384&lt;=0,P4384&lt;&gt;"Ajuste",P4384&lt;&gt;"Resultado trading"),"⚠ El monto debe ser positivo","✓")))))))))))))))</f>
        <v/>
      </c>
      <c r="P4384" s="52">
        <f>IF(OR(B4384="",G4384=""),"",IF(C4384="","Gasto",C4384))</f>
        <v/>
      </c>
      <c r="Q4384" s="52">
        <f>IF(P4384="","",IF(J4384&lt;&gt;"",J4384,CuentaPred&amp;""))</f>
        <v/>
      </c>
      <c r="R4384" s="52">
        <f>IF(P4384="","",IF(ISNUMBER(I4384),I4384,TasaUSD))</f>
        <v/>
      </c>
      <c r="S4384" s="53">
        <f>IF(P4384="","",IF(H4384="USD",G4384*R4384,G4384))</f>
        <v/>
      </c>
      <c r="T4384" s="53">
        <f>IF(P4384="","",IF(H4384="USD",G4384,IF(R4384&gt;0,G4384/R4384,0)))</f>
        <v/>
      </c>
      <c r="U4384" s="53">
        <f>IF(P4384="","",IF(P4384="Gasto",S4384,IF(P4384="Reembolso",-S4384,0)))</f>
        <v/>
      </c>
      <c r="V4384" s="53">
        <f>IF(P4384="","",IF(P4384="Ingreso",S4384,0))</f>
        <v/>
      </c>
      <c r="W4384" s="53">
        <f>IF(P4384="","",IF(P4384="Resultado trading",S4384,0))</f>
        <v/>
      </c>
      <c r="X4384" s="52">
        <f>IF(OR(P4384="Gasto",P4384="Reembolso"),IF(M4384&lt;&gt;"",M4384,IFERROR(INDEX(catClasif,MATCH(D4384&amp;"|"&amp;E4384,catClave,0))&amp;"","Variable")),"")</f>
        <v/>
      </c>
      <c r="Y4384" s="52">
        <f>IF(P4384="","",IFERROR(INDEX(catGrupo,MATCH(D4384&amp;"|"&amp;E4384,catClave,0))&amp;"",""))</f>
        <v/>
      </c>
      <c r="Z4384" s="52">
        <f>IF(P4384="","",WEEKDAY(B4384,2))</f>
        <v/>
      </c>
      <c r="AA4384" s="52">
        <f>IF(P4384="","",IF(AND(P4384="Gasto",X4384="Variable",D4384&lt;&gt;catTrading,S4384&gt;0,S4384&lt;=Umbral),1,0))</f>
        <v/>
      </c>
      <c r="AB4384" s="52">
        <f>IF(OR(P4384="",Q4384=""),"",IFERROR(IF(INDEX(ctaVinc,MATCH(Q4384,ctaNombre,0))&amp;""&lt;&gt;"",INDEX(ctaVinc,MATCH(Q4384,ctaNombre,0))&amp;"",Q4384),Q4384))</f>
        <v/>
      </c>
      <c r="AC4384" s="52">
        <f>IF(OR(K4384="",AND(P4384&lt;&gt;"Transferencia",P4384&lt;&gt;"Pago tarjeta")),"",IFERROR(IF(INDEX(ctaVinc,MATCH(K4384,ctaNombre,0))&amp;""&lt;&gt;"",INDEX(ctaVinc,MATCH(K4384,ctaNombre,0))&amp;"",K4384),K4384))</f>
        <v/>
      </c>
      <c r="AD4384" s="52">
        <f>IF(AB4384="","",IFERROR(INDEX(ctaTipo,MATCH(AB4384,ctaNombre,0))&amp;"",""))</f>
        <v/>
      </c>
      <c r="AE4384" s="52">
        <f>IF(AC4384="","",IFERROR(INDEX(ctaTipo,MATCH(AC4384,ctaNombre,0))&amp;"",""))</f>
        <v/>
      </c>
      <c r="AF4384" s="53">
        <f>IF(OR(P4384="",AB4384=""),"",IF(OR(P4384="Gasto",P4384="Transferencia",P4384="Pago tarjeta"),-1,1)*IF(IFERROR(INDEX(ctaMoneda,MATCH(AB4384,ctaNombre,0))&amp;"","DOP")="USD",T4384,S4384))</f>
        <v/>
      </c>
      <c r="AG4384" s="53">
        <f>IF(AC4384="","",IF(IFERROR(INDEX(ctaMoneda,MATCH(AC4384,ctaNombre,0))&amp;"","DOP")="USD",T4384,S4384))</f>
        <v/>
      </c>
      <c r="AH4384" s="53">
        <f>IF(P4384="","",IF(AND(AD4384&lt;&gt;"",COUNTIFS(tcTipo,AD4384,tcLiq,"Sí")&gt;0),IF(OR(P4384="Gasto",P4384="Transferencia",P4384="Pago tarjeta"),-1,1)*S4384,0)+IF(AND(AE4384&lt;&gt;"",COUNTIFS(tcTipo,AE4384,tcLiq,"Sí")&gt;0),S4384,0))</f>
        <v/>
      </c>
      <c r="AI4384" s="52">
        <f>IF(OR(L4384="",P4384=""),"",IF(COUNTIFS(L$6:L4384,L4384,P$6:P4384,"?*")=1,MAX(AI$5:AI4383)+1,""))</f>
        <v/>
      </c>
    </row>
    <row r="4385">
      <c r="B4385" s="47" t="n"/>
      <c r="C4385" s="48" t="n"/>
      <c r="D4385" s="48" t="n"/>
      <c r="E4385" s="48" t="n"/>
      <c r="F4385" s="48" t="n"/>
      <c r="G4385" s="49" t="n"/>
      <c r="H4385" s="48" t="n"/>
      <c r="I4385" s="50" t="n"/>
      <c r="J4385" s="48" t="n"/>
      <c r="K4385" s="48" t="n"/>
      <c r="L4385" s="48" t="n"/>
      <c r="M4385" s="48" t="n"/>
      <c r="N4385" s="48" t="n"/>
      <c r="O4385" s="51">
        <f>IF(AND(B4385="",G4385="",C4385="",D4385="",J4385=""),"",IF(B4385="","⚠ Falta fecha",IF(G4385="","⚠ Falta monto",IF(Q4385="","⚠ Falta cuenta",IF(ISNA(MATCH(Q4385,ctaNombre,0)),"⚠ Cuenta no registrada",IF(AND(OR(P4385="Gasto",P4385="Reembolso"),D4385=""),"⚠ Falta categoría",IF(AND(D4385&lt;&gt;"",E4385&lt;&gt;"",ISNA(MATCH(D4385&amp;"|"&amp;E4385,catClave,0))),"⚠ Subcategoría no corresponde",IF(AND(OR(P4385="Transferencia",P4385="Pago tarjeta"),K4385=""),"⚠ Falta cuenta destino",IF(AND(K4385&lt;&gt;"",P4385&lt;&gt;"Transferencia",P4385&lt;&gt;"Pago tarjeta"),"⚠ Destino solo aplica a transferencias",IF(AND(K4385&lt;&gt;"",K4385=Q4385),"⚠ Origen igual a destino",IF(AND(K4385&lt;&gt;"",ISNA(MATCH(K4385,ctaNombre,0))),"⚠ Destino no registrado",IF(AND(P4385="Pago tarjeta",AE4385&lt;&gt;"Tarjeta de crédito"),"⚠ El destino debe ser tarjeta de crédito",IF(AND(P4385="Gasto",E4385="Depósitos y retiros"),"⚠ Usa tipo Transferencia",IF(AND(P4385="Resultado trading",AD4385&lt;&gt;"Cuenta de trading"),"⚠ Usa una cuenta de trading",IF(AND(G4385&lt;=0,P4385&lt;&gt;"Ajuste",P4385&lt;&gt;"Resultado trading"),"⚠ El monto debe ser positivo","✓")))))))))))))))</f>
        <v/>
      </c>
      <c r="P4385" s="52">
        <f>IF(OR(B4385="",G4385=""),"",IF(C4385="","Gasto",C4385))</f>
        <v/>
      </c>
      <c r="Q4385" s="52">
        <f>IF(P4385="","",IF(J4385&lt;&gt;"",J4385,CuentaPred&amp;""))</f>
        <v/>
      </c>
      <c r="R4385" s="52">
        <f>IF(P4385="","",IF(ISNUMBER(I4385),I4385,TasaUSD))</f>
        <v/>
      </c>
      <c r="S4385" s="53">
        <f>IF(P4385="","",IF(H4385="USD",G4385*R4385,G4385))</f>
        <v/>
      </c>
      <c r="T4385" s="53">
        <f>IF(P4385="","",IF(H4385="USD",G4385,IF(R4385&gt;0,G4385/R4385,0)))</f>
        <v/>
      </c>
      <c r="U4385" s="53">
        <f>IF(P4385="","",IF(P4385="Gasto",S4385,IF(P4385="Reembolso",-S4385,0)))</f>
        <v/>
      </c>
      <c r="V4385" s="53">
        <f>IF(P4385="","",IF(P4385="Ingreso",S4385,0))</f>
        <v/>
      </c>
      <c r="W4385" s="53">
        <f>IF(P4385="","",IF(P4385="Resultado trading",S4385,0))</f>
        <v/>
      </c>
      <c r="X4385" s="52">
        <f>IF(OR(P4385="Gasto",P4385="Reembolso"),IF(M4385&lt;&gt;"",M4385,IFERROR(INDEX(catClasif,MATCH(D4385&amp;"|"&amp;E4385,catClave,0))&amp;"","Variable")),"")</f>
        <v/>
      </c>
      <c r="Y4385" s="52">
        <f>IF(P4385="","",IFERROR(INDEX(catGrupo,MATCH(D4385&amp;"|"&amp;E4385,catClave,0))&amp;"",""))</f>
        <v/>
      </c>
      <c r="Z4385" s="52">
        <f>IF(P4385="","",WEEKDAY(B4385,2))</f>
        <v/>
      </c>
      <c r="AA4385" s="52">
        <f>IF(P4385="","",IF(AND(P4385="Gasto",X4385="Variable",D4385&lt;&gt;catTrading,S4385&gt;0,S4385&lt;=Umbral),1,0))</f>
        <v/>
      </c>
      <c r="AB4385" s="52">
        <f>IF(OR(P4385="",Q4385=""),"",IFERROR(IF(INDEX(ctaVinc,MATCH(Q4385,ctaNombre,0))&amp;""&lt;&gt;"",INDEX(ctaVinc,MATCH(Q4385,ctaNombre,0))&amp;"",Q4385),Q4385))</f>
        <v/>
      </c>
      <c r="AC4385" s="52">
        <f>IF(OR(K4385="",AND(P4385&lt;&gt;"Transferencia",P4385&lt;&gt;"Pago tarjeta")),"",IFERROR(IF(INDEX(ctaVinc,MATCH(K4385,ctaNombre,0))&amp;""&lt;&gt;"",INDEX(ctaVinc,MATCH(K4385,ctaNombre,0))&amp;"",K4385),K4385))</f>
        <v/>
      </c>
      <c r="AD4385" s="52">
        <f>IF(AB4385="","",IFERROR(INDEX(ctaTipo,MATCH(AB4385,ctaNombre,0))&amp;"",""))</f>
        <v/>
      </c>
      <c r="AE4385" s="52">
        <f>IF(AC4385="","",IFERROR(INDEX(ctaTipo,MATCH(AC4385,ctaNombre,0))&amp;"",""))</f>
        <v/>
      </c>
      <c r="AF4385" s="53">
        <f>IF(OR(P4385="",AB4385=""),"",IF(OR(P4385="Gasto",P4385="Transferencia",P4385="Pago tarjeta"),-1,1)*IF(IFERROR(INDEX(ctaMoneda,MATCH(AB4385,ctaNombre,0))&amp;"","DOP")="USD",T4385,S4385))</f>
        <v/>
      </c>
      <c r="AG4385" s="53">
        <f>IF(AC4385="","",IF(IFERROR(INDEX(ctaMoneda,MATCH(AC4385,ctaNombre,0))&amp;"","DOP")="USD",T4385,S4385))</f>
        <v/>
      </c>
      <c r="AH4385" s="53">
        <f>IF(P4385="","",IF(AND(AD4385&lt;&gt;"",COUNTIFS(tcTipo,AD4385,tcLiq,"Sí")&gt;0),IF(OR(P4385="Gasto",P4385="Transferencia",P4385="Pago tarjeta"),-1,1)*S4385,0)+IF(AND(AE4385&lt;&gt;"",COUNTIFS(tcTipo,AE4385,tcLiq,"Sí")&gt;0),S4385,0))</f>
        <v/>
      </c>
      <c r="AI4385" s="52">
        <f>IF(OR(L4385="",P4385=""),"",IF(COUNTIFS(L$6:L4385,L4385,P$6:P4385,"?*")=1,MAX(AI$5:AI4384)+1,""))</f>
        <v/>
      </c>
    </row>
    <row r="4386">
      <c r="B4386" s="47" t="n"/>
      <c r="C4386" s="48" t="n"/>
      <c r="D4386" s="48" t="n"/>
      <c r="E4386" s="48" t="n"/>
      <c r="F4386" s="48" t="n"/>
      <c r="G4386" s="49" t="n"/>
      <c r="H4386" s="48" t="n"/>
      <c r="I4386" s="50" t="n"/>
      <c r="J4386" s="48" t="n"/>
      <c r="K4386" s="48" t="n"/>
      <c r="L4386" s="48" t="n"/>
      <c r="M4386" s="48" t="n"/>
      <c r="N4386" s="48" t="n"/>
      <c r="O4386" s="51">
        <f>IF(AND(B4386="",G4386="",C4386="",D4386="",J4386=""),"",IF(B4386="","⚠ Falta fecha",IF(G4386="","⚠ Falta monto",IF(Q4386="","⚠ Falta cuenta",IF(ISNA(MATCH(Q4386,ctaNombre,0)),"⚠ Cuenta no registrada",IF(AND(OR(P4386="Gasto",P4386="Reembolso"),D4386=""),"⚠ Falta categoría",IF(AND(D4386&lt;&gt;"",E4386&lt;&gt;"",ISNA(MATCH(D4386&amp;"|"&amp;E4386,catClave,0))),"⚠ Subcategoría no corresponde",IF(AND(OR(P4386="Transferencia",P4386="Pago tarjeta"),K4386=""),"⚠ Falta cuenta destino",IF(AND(K4386&lt;&gt;"",P4386&lt;&gt;"Transferencia",P4386&lt;&gt;"Pago tarjeta"),"⚠ Destino solo aplica a transferencias",IF(AND(K4386&lt;&gt;"",K4386=Q4386),"⚠ Origen igual a destino",IF(AND(K4386&lt;&gt;"",ISNA(MATCH(K4386,ctaNombre,0))),"⚠ Destino no registrado",IF(AND(P4386="Pago tarjeta",AE4386&lt;&gt;"Tarjeta de crédito"),"⚠ El destino debe ser tarjeta de crédito",IF(AND(P4386="Gasto",E4386="Depósitos y retiros"),"⚠ Usa tipo Transferencia",IF(AND(P4386="Resultado trading",AD4386&lt;&gt;"Cuenta de trading"),"⚠ Usa una cuenta de trading",IF(AND(G4386&lt;=0,P4386&lt;&gt;"Ajuste",P4386&lt;&gt;"Resultado trading"),"⚠ El monto debe ser positivo","✓")))))))))))))))</f>
        <v/>
      </c>
      <c r="P4386" s="52">
        <f>IF(OR(B4386="",G4386=""),"",IF(C4386="","Gasto",C4386))</f>
        <v/>
      </c>
      <c r="Q4386" s="52">
        <f>IF(P4386="","",IF(J4386&lt;&gt;"",J4386,CuentaPred&amp;""))</f>
        <v/>
      </c>
      <c r="R4386" s="52">
        <f>IF(P4386="","",IF(ISNUMBER(I4386),I4386,TasaUSD))</f>
        <v/>
      </c>
      <c r="S4386" s="53">
        <f>IF(P4386="","",IF(H4386="USD",G4386*R4386,G4386))</f>
        <v/>
      </c>
      <c r="T4386" s="53">
        <f>IF(P4386="","",IF(H4386="USD",G4386,IF(R4386&gt;0,G4386/R4386,0)))</f>
        <v/>
      </c>
      <c r="U4386" s="53">
        <f>IF(P4386="","",IF(P4386="Gasto",S4386,IF(P4386="Reembolso",-S4386,0)))</f>
        <v/>
      </c>
      <c r="V4386" s="53">
        <f>IF(P4386="","",IF(P4386="Ingreso",S4386,0))</f>
        <v/>
      </c>
      <c r="W4386" s="53">
        <f>IF(P4386="","",IF(P4386="Resultado trading",S4386,0))</f>
        <v/>
      </c>
      <c r="X4386" s="52">
        <f>IF(OR(P4386="Gasto",P4386="Reembolso"),IF(M4386&lt;&gt;"",M4386,IFERROR(INDEX(catClasif,MATCH(D4386&amp;"|"&amp;E4386,catClave,0))&amp;"","Variable")),"")</f>
        <v/>
      </c>
      <c r="Y4386" s="52">
        <f>IF(P4386="","",IFERROR(INDEX(catGrupo,MATCH(D4386&amp;"|"&amp;E4386,catClave,0))&amp;"",""))</f>
        <v/>
      </c>
      <c r="Z4386" s="52">
        <f>IF(P4386="","",WEEKDAY(B4386,2))</f>
        <v/>
      </c>
      <c r="AA4386" s="52">
        <f>IF(P4386="","",IF(AND(P4386="Gasto",X4386="Variable",D4386&lt;&gt;catTrading,S4386&gt;0,S4386&lt;=Umbral),1,0))</f>
        <v/>
      </c>
      <c r="AB4386" s="52">
        <f>IF(OR(P4386="",Q4386=""),"",IFERROR(IF(INDEX(ctaVinc,MATCH(Q4386,ctaNombre,0))&amp;""&lt;&gt;"",INDEX(ctaVinc,MATCH(Q4386,ctaNombre,0))&amp;"",Q4386),Q4386))</f>
        <v/>
      </c>
      <c r="AC4386" s="52">
        <f>IF(OR(K4386="",AND(P4386&lt;&gt;"Transferencia",P4386&lt;&gt;"Pago tarjeta")),"",IFERROR(IF(INDEX(ctaVinc,MATCH(K4386,ctaNombre,0))&amp;""&lt;&gt;"",INDEX(ctaVinc,MATCH(K4386,ctaNombre,0))&amp;"",K4386),K4386))</f>
        <v/>
      </c>
      <c r="AD4386" s="52">
        <f>IF(AB4386="","",IFERROR(INDEX(ctaTipo,MATCH(AB4386,ctaNombre,0))&amp;"",""))</f>
        <v/>
      </c>
      <c r="AE4386" s="52">
        <f>IF(AC4386="","",IFERROR(INDEX(ctaTipo,MATCH(AC4386,ctaNombre,0))&amp;"",""))</f>
        <v/>
      </c>
      <c r="AF4386" s="53">
        <f>IF(OR(P4386="",AB4386=""),"",IF(OR(P4386="Gasto",P4386="Transferencia",P4386="Pago tarjeta"),-1,1)*IF(IFERROR(INDEX(ctaMoneda,MATCH(AB4386,ctaNombre,0))&amp;"","DOP")="USD",T4386,S4386))</f>
        <v/>
      </c>
      <c r="AG4386" s="53">
        <f>IF(AC4386="","",IF(IFERROR(INDEX(ctaMoneda,MATCH(AC4386,ctaNombre,0))&amp;"","DOP")="USD",T4386,S4386))</f>
        <v/>
      </c>
      <c r="AH4386" s="53">
        <f>IF(P4386="","",IF(AND(AD4386&lt;&gt;"",COUNTIFS(tcTipo,AD4386,tcLiq,"Sí")&gt;0),IF(OR(P4386="Gasto",P4386="Transferencia",P4386="Pago tarjeta"),-1,1)*S4386,0)+IF(AND(AE4386&lt;&gt;"",COUNTIFS(tcTipo,AE4386,tcLiq,"Sí")&gt;0),S4386,0))</f>
        <v/>
      </c>
      <c r="AI4386" s="52">
        <f>IF(OR(L4386="",P4386=""),"",IF(COUNTIFS(L$6:L4386,L4386,P$6:P4386,"?*")=1,MAX(AI$5:AI4385)+1,""))</f>
        <v/>
      </c>
    </row>
    <row r="4387">
      <c r="B4387" s="47" t="n"/>
      <c r="C4387" s="48" t="n"/>
      <c r="D4387" s="48" t="n"/>
      <c r="E4387" s="48" t="n"/>
      <c r="F4387" s="48" t="n"/>
      <c r="G4387" s="49" t="n"/>
      <c r="H4387" s="48" t="n"/>
      <c r="I4387" s="50" t="n"/>
      <c r="J4387" s="48" t="n"/>
      <c r="K4387" s="48" t="n"/>
      <c r="L4387" s="48" t="n"/>
      <c r="M4387" s="48" t="n"/>
      <c r="N4387" s="48" t="n"/>
      <c r="O4387" s="51">
        <f>IF(AND(B4387="",G4387="",C4387="",D4387="",J4387=""),"",IF(B4387="","⚠ Falta fecha",IF(G4387="","⚠ Falta monto",IF(Q4387="","⚠ Falta cuenta",IF(ISNA(MATCH(Q4387,ctaNombre,0)),"⚠ Cuenta no registrada",IF(AND(OR(P4387="Gasto",P4387="Reembolso"),D4387=""),"⚠ Falta categoría",IF(AND(D4387&lt;&gt;"",E4387&lt;&gt;"",ISNA(MATCH(D4387&amp;"|"&amp;E4387,catClave,0))),"⚠ Subcategoría no corresponde",IF(AND(OR(P4387="Transferencia",P4387="Pago tarjeta"),K4387=""),"⚠ Falta cuenta destino",IF(AND(K4387&lt;&gt;"",P4387&lt;&gt;"Transferencia",P4387&lt;&gt;"Pago tarjeta"),"⚠ Destino solo aplica a transferencias",IF(AND(K4387&lt;&gt;"",K4387=Q4387),"⚠ Origen igual a destino",IF(AND(K4387&lt;&gt;"",ISNA(MATCH(K4387,ctaNombre,0))),"⚠ Destino no registrado",IF(AND(P4387="Pago tarjeta",AE4387&lt;&gt;"Tarjeta de crédito"),"⚠ El destino debe ser tarjeta de crédito",IF(AND(P4387="Gasto",E4387="Depósitos y retiros"),"⚠ Usa tipo Transferencia",IF(AND(P4387="Resultado trading",AD4387&lt;&gt;"Cuenta de trading"),"⚠ Usa una cuenta de trading",IF(AND(G4387&lt;=0,P4387&lt;&gt;"Ajuste",P4387&lt;&gt;"Resultado trading"),"⚠ El monto debe ser positivo","✓")))))))))))))))</f>
        <v/>
      </c>
      <c r="P4387" s="52">
        <f>IF(OR(B4387="",G4387=""),"",IF(C4387="","Gasto",C4387))</f>
        <v/>
      </c>
      <c r="Q4387" s="52">
        <f>IF(P4387="","",IF(J4387&lt;&gt;"",J4387,CuentaPred&amp;""))</f>
        <v/>
      </c>
      <c r="R4387" s="52">
        <f>IF(P4387="","",IF(ISNUMBER(I4387),I4387,TasaUSD))</f>
        <v/>
      </c>
      <c r="S4387" s="53">
        <f>IF(P4387="","",IF(H4387="USD",G4387*R4387,G4387))</f>
        <v/>
      </c>
      <c r="T4387" s="53">
        <f>IF(P4387="","",IF(H4387="USD",G4387,IF(R4387&gt;0,G4387/R4387,0)))</f>
        <v/>
      </c>
      <c r="U4387" s="53">
        <f>IF(P4387="","",IF(P4387="Gasto",S4387,IF(P4387="Reembolso",-S4387,0)))</f>
        <v/>
      </c>
      <c r="V4387" s="53">
        <f>IF(P4387="","",IF(P4387="Ingreso",S4387,0))</f>
        <v/>
      </c>
      <c r="W4387" s="53">
        <f>IF(P4387="","",IF(P4387="Resultado trading",S4387,0))</f>
        <v/>
      </c>
      <c r="X4387" s="52">
        <f>IF(OR(P4387="Gasto",P4387="Reembolso"),IF(M4387&lt;&gt;"",M4387,IFERROR(INDEX(catClasif,MATCH(D4387&amp;"|"&amp;E4387,catClave,0))&amp;"","Variable")),"")</f>
        <v/>
      </c>
      <c r="Y4387" s="52">
        <f>IF(P4387="","",IFERROR(INDEX(catGrupo,MATCH(D4387&amp;"|"&amp;E4387,catClave,0))&amp;"",""))</f>
        <v/>
      </c>
      <c r="Z4387" s="52">
        <f>IF(P4387="","",WEEKDAY(B4387,2))</f>
        <v/>
      </c>
      <c r="AA4387" s="52">
        <f>IF(P4387="","",IF(AND(P4387="Gasto",X4387="Variable",D4387&lt;&gt;catTrading,S4387&gt;0,S4387&lt;=Umbral),1,0))</f>
        <v/>
      </c>
      <c r="AB4387" s="52">
        <f>IF(OR(P4387="",Q4387=""),"",IFERROR(IF(INDEX(ctaVinc,MATCH(Q4387,ctaNombre,0))&amp;""&lt;&gt;"",INDEX(ctaVinc,MATCH(Q4387,ctaNombre,0))&amp;"",Q4387),Q4387))</f>
        <v/>
      </c>
      <c r="AC4387" s="52">
        <f>IF(OR(K4387="",AND(P4387&lt;&gt;"Transferencia",P4387&lt;&gt;"Pago tarjeta")),"",IFERROR(IF(INDEX(ctaVinc,MATCH(K4387,ctaNombre,0))&amp;""&lt;&gt;"",INDEX(ctaVinc,MATCH(K4387,ctaNombre,0))&amp;"",K4387),K4387))</f>
        <v/>
      </c>
      <c r="AD4387" s="52">
        <f>IF(AB4387="","",IFERROR(INDEX(ctaTipo,MATCH(AB4387,ctaNombre,0))&amp;"",""))</f>
        <v/>
      </c>
      <c r="AE4387" s="52">
        <f>IF(AC4387="","",IFERROR(INDEX(ctaTipo,MATCH(AC4387,ctaNombre,0))&amp;"",""))</f>
        <v/>
      </c>
      <c r="AF4387" s="53">
        <f>IF(OR(P4387="",AB4387=""),"",IF(OR(P4387="Gasto",P4387="Transferencia",P4387="Pago tarjeta"),-1,1)*IF(IFERROR(INDEX(ctaMoneda,MATCH(AB4387,ctaNombre,0))&amp;"","DOP")="USD",T4387,S4387))</f>
        <v/>
      </c>
      <c r="AG4387" s="53">
        <f>IF(AC4387="","",IF(IFERROR(INDEX(ctaMoneda,MATCH(AC4387,ctaNombre,0))&amp;"","DOP")="USD",T4387,S4387))</f>
        <v/>
      </c>
      <c r="AH4387" s="53">
        <f>IF(P4387="","",IF(AND(AD4387&lt;&gt;"",COUNTIFS(tcTipo,AD4387,tcLiq,"Sí")&gt;0),IF(OR(P4387="Gasto",P4387="Transferencia",P4387="Pago tarjeta"),-1,1)*S4387,0)+IF(AND(AE4387&lt;&gt;"",COUNTIFS(tcTipo,AE4387,tcLiq,"Sí")&gt;0),S4387,0))</f>
        <v/>
      </c>
      <c r="AI4387" s="52">
        <f>IF(OR(L4387="",P4387=""),"",IF(COUNTIFS(L$6:L4387,L4387,P$6:P4387,"?*")=1,MAX(AI$5:AI4386)+1,""))</f>
        <v/>
      </c>
    </row>
    <row r="4388">
      <c r="B4388" s="47" t="n"/>
      <c r="C4388" s="48" t="n"/>
      <c r="D4388" s="48" t="n"/>
      <c r="E4388" s="48" t="n"/>
      <c r="F4388" s="48" t="n"/>
      <c r="G4388" s="49" t="n"/>
      <c r="H4388" s="48" t="n"/>
      <c r="I4388" s="50" t="n"/>
      <c r="J4388" s="48" t="n"/>
      <c r="K4388" s="48" t="n"/>
      <c r="L4388" s="48" t="n"/>
      <c r="M4388" s="48" t="n"/>
      <c r="N4388" s="48" t="n"/>
      <c r="O4388" s="51">
        <f>IF(AND(B4388="",G4388="",C4388="",D4388="",J4388=""),"",IF(B4388="","⚠ Falta fecha",IF(G4388="","⚠ Falta monto",IF(Q4388="","⚠ Falta cuenta",IF(ISNA(MATCH(Q4388,ctaNombre,0)),"⚠ Cuenta no registrada",IF(AND(OR(P4388="Gasto",P4388="Reembolso"),D4388=""),"⚠ Falta categoría",IF(AND(D4388&lt;&gt;"",E4388&lt;&gt;"",ISNA(MATCH(D4388&amp;"|"&amp;E4388,catClave,0))),"⚠ Subcategoría no corresponde",IF(AND(OR(P4388="Transferencia",P4388="Pago tarjeta"),K4388=""),"⚠ Falta cuenta destino",IF(AND(K4388&lt;&gt;"",P4388&lt;&gt;"Transferencia",P4388&lt;&gt;"Pago tarjeta"),"⚠ Destino solo aplica a transferencias",IF(AND(K4388&lt;&gt;"",K4388=Q4388),"⚠ Origen igual a destino",IF(AND(K4388&lt;&gt;"",ISNA(MATCH(K4388,ctaNombre,0))),"⚠ Destino no registrado",IF(AND(P4388="Pago tarjeta",AE4388&lt;&gt;"Tarjeta de crédito"),"⚠ El destino debe ser tarjeta de crédito",IF(AND(P4388="Gasto",E4388="Depósitos y retiros"),"⚠ Usa tipo Transferencia",IF(AND(P4388="Resultado trading",AD4388&lt;&gt;"Cuenta de trading"),"⚠ Usa una cuenta de trading",IF(AND(G4388&lt;=0,P4388&lt;&gt;"Ajuste",P4388&lt;&gt;"Resultado trading"),"⚠ El monto debe ser positivo","✓")))))))))))))))</f>
        <v/>
      </c>
      <c r="P4388" s="52">
        <f>IF(OR(B4388="",G4388=""),"",IF(C4388="","Gasto",C4388))</f>
        <v/>
      </c>
      <c r="Q4388" s="52">
        <f>IF(P4388="","",IF(J4388&lt;&gt;"",J4388,CuentaPred&amp;""))</f>
        <v/>
      </c>
      <c r="R4388" s="52">
        <f>IF(P4388="","",IF(ISNUMBER(I4388),I4388,TasaUSD))</f>
        <v/>
      </c>
      <c r="S4388" s="53">
        <f>IF(P4388="","",IF(H4388="USD",G4388*R4388,G4388))</f>
        <v/>
      </c>
      <c r="T4388" s="53">
        <f>IF(P4388="","",IF(H4388="USD",G4388,IF(R4388&gt;0,G4388/R4388,0)))</f>
        <v/>
      </c>
      <c r="U4388" s="53">
        <f>IF(P4388="","",IF(P4388="Gasto",S4388,IF(P4388="Reembolso",-S4388,0)))</f>
        <v/>
      </c>
      <c r="V4388" s="53">
        <f>IF(P4388="","",IF(P4388="Ingreso",S4388,0))</f>
        <v/>
      </c>
      <c r="W4388" s="53">
        <f>IF(P4388="","",IF(P4388="Resultado trading",S4388,0))</f>
        <v/>
      </c>
      <c r="X4388" s="52">
        <f>IF(OR(P4388="Gasto",P4388="Reembolso"),IF(M4388&lt;&gt;"",M4388,IFERROR(INDEX(catClasif,MATCH(D4388&amp;"|"&amp;E4388,catClave,0))&amp;"","Variable")),"")</f>
        <v/>
      </c>
      <c r="Y4388" s="52">
        <f>IF(P4388="","",IFERROR(INDEX(catGrupo,MATCH(D4388&amp;"|"&amp;E4388,catClave,0))&amp;"",""))</f>
        <v/>
      </c>
      <c r="Z4388" s="52">
        <f>IF(P4388="","",WEEKDAY(B4388,2))</f>
        <v/>
      </c>
      <c r="AA4388" s="52">
        <f>IF(P4388="","",IF(AND(P4388="Gasto",X4388="Variable",D4388&lt;&gt;catTrading,S4388&gt;0,S4388&lt;=Umbral),1,0))</f>
        <v/>
      </c>
      <c r="AB4388" s="52">
        <f>IF(OR(P4388="",Q4388=""),"",IFERROR(IF(INDEX(ctaVinc,MATCH(Q4388,ctaNombre,0))&amp;""&lt;&gt;"",INDEX(ctaVinc,MATCH(Q4388,ctaNombre,0))&amp;"",Q4388),Q4388))</f>
        <v/>
      </c>
      <c r="AC4388" s="52">
        <f>IF(OR(K4388="",AND(P4388&lt;&gt;"Transferencia",P4388&lt;&gt;"Pago tarjeta")),"",IFERROR(IF(INDEX(ctaVinc,MATCH(K4388,ctaNombre,0))&amp;""&lt;&gt;"",INDEX(ctaVinc,MATCH(K4388,ctaNombre,0))&amp;"",K4388),K4388))</f>
        <v/>
      </c>
      <c r="AD4388" s="52">
        <f>IF(AB4388="","",IFERROR(INDEX(ctaTipo,MATCH(AB4388,ctaNombre,0))&amp;"",""))</f>
        <v/>
      </c>
      <c r="AE4388" s="52">
        <f>IF(AC4388="","",IFERROR(INDEX(ctaTipo,MATCH(AC4388,ctaNombre,0))&amp;"",""))</f>
        <v/>
      </c>
      <c r="AF4388" s="53">
        <f>IF(OR(P4388="",AB4388=""),"",IF(OR(P4388="Gasto",P4388="Transferencia",P4388="Pago tarjeta"),-1,1)*IF(IFERROR(INDEX(ctaMoneda,MATCH(AB4388,ctaNombre,0))&amp;"","DOP")="USD",T4388,S4388))</f>
        <v/>
      </c>
      <c r="AG4388" s="53">
        <f>IF(AC4388="","",IF(IFERROR(INDEX(ctaMoneda,MATCH(AC4388,ctaNombre,0))&amp;"","DOP")="USD",T4388,S4388))</f>
        <v/>
      </c>
      <c r="AH4388" s="53">
        <f>IF(P4388="","",IF(AND(AD4388&lt;&gt;"",COUNTIFS(tcTipo,AD4388,tcLiq,"Sí")&gt;0),IF(OR(P4388="Gasto",P4388="Transferencia",P4388="Pago tarjeta"),-1,1)*S4388,0)+IF(AND(AE4388&lt;&gt;"",COUNTIFS(tcTipo,AE4388,tcLiq,"Sí")&gt;0),S4388,0))</f>
        <v/>
      </c>
      <c r="AI4388" s="52">
        <f>IF(OR(L4388="",P4388=""),"",IF(COUNTIFS(L$6:L4388,L4388,P$6:P4388,"?*")=1,MAX(AI$5:AI4387)+1,""))</f>
        <v/>
      </c>
    </row>
    <row r="4389">
      <c r="B4389" s="47" t="n"/>
      <c r="C4389" s="48" t="n"/>
      <c r="D4389" s="48" t="n"/>
      <c r="E4389" s="48" t="n"/>
      <c r="F4389" s="48" t="n"/>
      <c r="G4389" s="49" t="n"/>
      <c r="H4389" s="48" t="n"/>
      <c r="I4389" s="50" t="n"/>
      <c r="J4389" s="48" t="n"/>
      <c r="K4389" s="48" t="n"/>
      <c r="L4389" s="48" t="n"/>
      <c r="M4389" s="48" t="n"/>
      <c r="N4389" s="48" t="n"/>
      <c r="O4389" s="51">
        <f>IF(AND(B4389="",G4389="",C4389="",D4389="",J4389=""),"",IF(B4389="","⚠ Falta fecha",IF(G4389="","⚠ Falta monto",IF(Q4389="","⚠ Falta cuenta",IF(ISNA(MATCH(Q4389,ctaNombre,0)),"⚠ Cuenta no registrada",IF(AND(OR(P4389="Gasto",P4389="Reembolso"),D4389=""),"⚠ Falta categoría",IF(AND(D4389&lt;&gt;"",E4389&lt;&gt;"",ISNA(MATCH(D4389&amp;"|"&amp;E4389,catClave,0))),"⚠ Subcategoría no corresponde",IF(AND(OR(P4389="Transferencia",P4389="Pago tarjeta"),K4389=""),"⚠ Falta cuenta destino",IF(AND(K4389&lt;&gt;"",P4389&lt;&gt;"Transferencia",P4389&lt;&gt;"Pago tarjeta"),"⚠ Destino solo aplica a transferencias",IF(AND(K4389&lt;&gt;"",K4389=Q4389),"⚠ Origen igual a destino",IF(AND(K4389&lt;&gt;"",ISNA(MATCH(K4389,ctaNombre,0))),"⚠ Destino no registrado",IF(AND(P4389="Pago tarjeta",AE4389&lt;&gt;"Tarjeta de crédito"),"⚠ El destino debe ser tarjeta de crédito",IF(AND(P4389="Gasto",E4389="Depósitos y retiros"),"⚠ Usa tipo Transferencia",IF(AND(P4389="Resultado trading",AD4389&lt;&gt;"Cuenta de trading"),"⚠ Usa una cuenta de trading",IF(AND(G4389&lt;=0,P4389&lt;&gt;"Ajuste",P4389&lt;&gt;"Resultado trading"),"⚠ El monto debe ser positivo","✓")))))))))))))))</f>
        <v/>
      </c>
      <c r="P4389" s="52">
        <f>IF(OR(B4389="",G4389=""),"",IF(C4389="","Gasto",C4389))</f>
        <v/>
      </c>
      <c r="Q4389" s="52">
        <f>IF(P4389="","",IF(J4389&lt;&gt;"",J4389,CuentaPred&amp;""))</f>
        <v/>
      </c>
      <c r="R4389" s="52">
        <f>IF(P4389="","",IF(ISNUMBER(I4389),I4389,TasaUSD))</f>
        <v/>
      </c>
      <c r="S4389" s="53">
        <f>IF(P4389="","",IF(H4389="USD",G4389*R4389,G4389))</f>
        <v/>
      </c>
      <c r="T4389" s="53">
        <f>IF(P4389="","",IF(H4389="USD",G4389,IF(R4389&gt;0,G4389/R4389,0)))</f>
        <v/>
      </c>
      <c r="U4389" s="53">
        <f>IF(P4389="","",IF(P4389="Gasto",S4389,IF(P4389="Reembolso",-S4389,0)))</f>
        <v/>
      </c>
      <c r="V4389" s="53">
        <f>IF(P4389="","",IF(P4389="Ingreso",S4389,0))</f>
        <v/>
      </c>
      <c r="W4389" s="53">
        <f>IF(P4389="","",IF(P4389="Resultado trading",S4389,0))</f>
        <v/>
      </c>
      <c r="X4389" s="52">
        <f>IF(OR(P4389="Gasto",P4389="Reembolso"),IF(M4389&lt;&gt;"",M4389,IFERROR(INDEX(catClasif,MATCH(D4389&amp;"|"&amp;E4389,catClave,0))&amp;"","Variable")),"")</f>
        <v/>
      </c>
      <c r="Y4389" s="52">
        <f>IF(P4389="","",IFERROR(INDEX(catGrupo,MATCH(D4389&amp;"|"&amp;E4389,catClave,0))&amp;"",""))</f>
        <v/>
      </c>
      <c r="Z4389" s="52">
        <f>IF(P4389="","",WEEKDAY(B4389,2))</f>
        <v/>
      </c>
      <c r="AA4389" s="52">
        <f>IF(P4389="","",IF(AND(P4389="Gasto",X4389="Variable",D4389&lt;&gt;catTrading,S4389&gt;0,S4389&lt;=Umbral),1,0))</f>
        <v/>
      </c>
      <c r="AB4389" s="52">
        <f>IF(OR(P4389="",Q4389=""),"",IFERROR(IF(INDEX(ctaVinc,MATCH(Q4389,ctaNombre,0))&amp;""&lt;&gt;"",INDEX(ctaVinc,MATCH(Q4389,ctaNombre,0))&amp;"",Q4389),Q4389))</f>
        <v/>
      </c>
      <c r="AC4389" s="52">
        <f>IF(OR(K4389="",AND(P4389&lt;&gt;"Transferencia",P4389&lt;&gt;"Pago tarjeta")),"",IFERROR(IF(INDEX(ctaVinc,MATCH(K4389,ctaNombre,0))&amp;""&lt;&gt;"",INDEX(ctaVinc,MATCH(K4389,ctaNombre,0))&amp;"",K4389),K4389))</f>
        <v/>
      </c>
      <c r="AD4389" s="52">
        <f>IF(AB4389="","",IFERROR(INDEX(ctaTipo,MATCH(AB4389,ctaNombre,0))&amp;"",""))</f>
        <v/>
      </c>
      <c r="AE4389" s="52">
        <f>IF(AC4389="","",IFERROR(INDEX(ctaTipo,MATCH(AC4389,ctaNombre,0))&amp;"",""))</f>
        <v/>
      </c>
      <c r="AF4389" s="53">
        <f>IF(OR(P4389="",AB4389=""),"",IF(OR(P4389="Gasto",P4389="Transferencia",P4389="Pago tarjeta"),-1,1)*IF(IFERROR(INDEX(ctaMoneda,MATCH(AB4389,ctaNombre,0))&amp;"","DOP")="USD",T4389,S4389))</f>
        <v/>
      </c>
      <c r="AG4389" s="53">
        <f>IF(AC4389="","",IF(IFERROR(INDEX(ctaMoneda,MATCH(AC4389,ctaNombre,0))&amp;"","DOP")="USD",T4389,S4389))</f>
        <v/>
      </c>
      <c r="AH4389" s="53">
        <f>IF(P4389="","",IF(AND(AD4389&lt;&gt;"",COUNTIFS(tcTipo,AD4389,tcLiq,"Sí")&gt;0),IF(OR(P4389="Gasto",P4389="Transferencia",P4389="Pago tarjeta"),-1,1)*S4389,0)+IF(AND(AE4389&lt;&gt;"",COUNTIFS(tcTipo,AE4389,tcLiq,"Sí")&gt;0),S4389,0))</f>
        <v/>
      </c>
      <c r="AI4389" s="52">
        <f>IF(OR(L4389="",P4389=""),"",IF(COUNTIFS(L$6:L4389,L4389,P$6:P4389,"?*")=1,MAX(AI$5:AI4388)+1,""))</f>
        <v/>
      </c>
    </row>
    <row r="4390">
      <c r="B4390" s="47" t="n"/>
      <c r="C4390" s="48" t="n"/>
      <c r="D4390" s="48" t="n"/>
      <c r="E4390" s="48" t="n"/>
      <c r="F4390" s="48" t="n"/>
      <c r="G4390" s="49" t="n"/>
      <c r="H4390" s="48" t="n"/>
      <c r="I4390" s="50" t="n"/>
      <c r="J4390" s="48" t="n"/>
      <c r="K4390" s="48" t="n"/>
      <c r="L4390" s="48" t="n"/>
      <c r="M4390" s="48" t="n"/>
      <c r="N4390" s="48" t="n"/>
      <c r="O4390" s="51">
        <f>IF(AND(B4390="",G4390="",C4390="",D4390="",J4390=""),"",IF(B4390="","⚠ Falta fecha",IF(G4390="","⚠ Falta monto",IF(Q4390="","⚠ Falta cuenta",IF(ISNA(MATCH(Q4390,ctaNombre,0)),"⚠ Cuenta no registrada",IF(AND(OR(P4390="Gasto",P4390="Reembolso"),D4390=""),"⚠ Falta categoría",IF(AND(D4390&lt;&gt;"",E4390&lt;&gt;"",ISNA(MATCH(D4390&amp;"|"&amp;E4390,catClave,0))),"⚠ Subcategoría no corresponde",IF(AND(OR(P4390="Transferencia",P4390="Pago tarjeta"),K4390=""),"⚠ Falta cuenta destino",IF(AND(K4390&lt;&gt;"",P4390&lt;&gt;"Transferencia",P4390&lt;&gt;"Pago tarjeta"),"⚠ Destino solo aplica a transferencias",IF(AND(K4390&lt;&gt;"",K4390=Q4390),"⚠ Origen igual a destino",IF(AND(K4390&lt;&gt;"",ISNA(MATCH(K4390,ctaNombre,0))),"⚠ Destino no registrado",IF(AND(P4390="Pago tarjeta",AE4390&lt;&gt;"Tarjeta de crédito"),"⚠ El destino debe ser tarjeta de crédito",IF(AND(P4390="Gasto",E4390="Depósitos y retiros"),"⚠ Usa tipo Transferencia",IF(AND(P4390="Resultado trading",AD4390&lt;&gt;"Cuenta de trading"),"⚠ Usa una cuenta de trading",IF(AND(G4390&lt;=0,P4390&lt;&gt;"Ajuste",P4390&lt;&gt;"Resultado trading"),"⚠ El monto debe ser positivo","✓")))))))))))))))</f>
        <v/>
      </c>
      <c r="P4390" s="52">
        <f>IF(OR(B4390="",G4390=""),"",IF(C4390="","Gasto",C4390))</f>
        <v/>
      </c>
      <c r="Q4390" s="52">
        <f>IF(P4390="","",IF(J4390&lt;&gt;"",J4390,CuentaPred&amp;""))</f>
        <v/>
      </c>
      <c r="R4390" s="52">
        <f>IF(P4390="","",IF(ISNUMBER(I4390),I4390,TasaUSD))</f>
        <v/>
      </c>
      <c r="S4390" s="53">
        <f>IF(P4390="","",IF(H4390="USD",G4390*R4390,G4390))</f>
        <v/>
      </c>
      <c r="T4390" s="53">
        <f>IF(P4390="","",IF(H4390="USD",G4390,IF(R4390&gt;0,G4390/R4390,0)))</f>
        <v/>
      </c>
      <c r="U4390" s="53">
        <f>IF(P4390="","",IF(P4390="Gasto",S4390,IF(P4390="Reembolso",-S4390,0)))</f>
        <v/>
      </c>
      <c r="V4390" s="53">
        <f>IF(P4390="","",IF(P4390="Ingreso",S4390,0))</f>
        <v/>
      </c>
      <c r="W4390" s="53">
        <f>IF(P4390="","",IF(P4390="Resultado trading",S4390,0))</f>
        <v/>
      </c>
      <c r="X4390" s="52">
        <f>IF(OR(P4390="Gasto",P4390="Reembolso"),IF(M4390&lt;&gt;"",M4390,IFERROR(INDEX(catClasif,MATCH(D4390&amp;"|"&amp;E4390,catClave,0))&amp;"","Variable")),"")</f>
        <v/>
      </c>
      <c r="Y4390" s="52">
        <f>IF(P4390="","",IFERROR(INDEX(catGrupo,MATCH(D4390&amp;"|"&amp;E4390,catClave,0))&amp;"",""))</f>
        <v/>
      </c>
      <c r="Z4390" s="52">
        <f>IF(P4390="","",WEEKDAY(B4390,2))</f>
        <v/>
      </c>
      <c r="AA4390" s="52">
        <f>IF(P4390="","",IF(AND(P4390="Gasto",X4390="Variable",D4390&lt;&gt;catTrading,S4390&gt;0,S4390&lt;=Umbral),1,0))</f>
        <v/>
      </c>
      <c r="AB4390" s="52">
        <f>IF(OR(P4390="",Q4390=""),"",IFERROR(IF(INDEX(ctaVinc,MATCH(Q4390,ctaNombre,0))&amp;""&lt;&gt;"",INDEX(ctaVinc,MATCH(Q4390,ctaNombre,0))&amp;"",Q4390),Q4390))</f>
        <v/>
      </c>
      <c r="AC4390" s="52">
        <f>IF(OR(K4390="",AND(P4390&lt;&gt;"Transferencia",P4390&lt;&gt;"Pago tarjeta")),"",IFERROR(IF(INDEX(ctaVinc,MATCH(K4390,ctaNombre,0))&amp;""&lt;&gt;"",INDEX(ctaVinc,MATCH(K4390,ctaNombre,0))&amp;"",K4390),K4390))</f>
        <v/>
      </c>
      <c r="AD4390" s="52">
        <f>IF(AB4390="","",IFERROR(INDEX(ctaTipo,MATCH(AB4390,ctaNombre,0))&amp;"",""))</f>
        <v/>
      </c>
      <c r="AE4390" s="52">
        <f>IF(AC4390="","",IFERROR(INDEX(ctaTipo,MATCH(AC4390,ctaNombre,0))&amp;"",""))</f>
        <v/>
      </c>
      <c r="AF4390" s="53">
        <f>IF(OR(P4390="",AB4390=""),"",IF(OR(P4390="Gasto",P4390="Transferencia",P4390="Pago tarjeta"),-1,1)*IF(IFERROR(INDEX(ctaMoneda,MATCH(AB4390,ctaNombre,0))&amp;"","DOP")="USD",T4390,S4390))</f>
        <v/>
      </c>
      <c r="AG4390" s="53">
        <f>IF(AC4390="","",IF(IFERROR(INDEX(ctaMoneda,MATCH(AC4390,ctaNombre,0))&amp;"","DOP")="USD",T4390,S4390))</f>
        <v/>
      </c>
      <c r="AH4390" s="53">
        <f>IF(P4390="","",IF(AND(AD4390&lt;&gt;"",COUNTIFS(tcTipo,AD4390,tcLiq,"Sí")&gt;0),IF(OR(P4390="Gasto",P4390="Transferencia",P4390="Pago tarjeta"),-1,1)*S4390,0)+IF(AND(AE4390&lt;&gt;"",COUNTIFS(tcTipo,AE4390,tcLiq,"Sí")&gt;0),S4390,0))</f>
        <v/>
      </c>
      <c r="AI4390" s="52">
        <f>IF(OR(L4390="",P4390=""),"",IF(COUNTIFS(L$6:L4390,L4390,P$6:P4390,"?*")=1,MAX(AI$5:AI4389)+1,""))</f>
        <v/>
      </c>
    </row>
    <row r="4391">
      <c r="B4391" s="47" t="n"/>
      <c r="C4391" s="48" t="n"/>
      <c r="D4391" s="48" t="n"/>
      <c r="E4391" s="48" t="n"/>
      <c r="F4391" s="48" t="n"/>
      <c r="G4391" s="49" t="n"/>
      <c r="H4391" s="48" t="n"/>
      <c r="I4391" s="50" t="n"/>
      <c r="J4391" s="48" t="n"/>
      <c r="K4391" s="48" t="n"/>
      <c r="L4391" s="48" t="n"/>
      <c r="M4391" s="48" t="n"/>
      <c r="N4391" s="48" t="n"/>
      <c r="O4391" s="51">
        <f>IF(AND(B4391="",G4391="",C4391="",D4391="",J4391=""),"",IF(B4391="","⚠ Falta fecha",IF(G4391="","⚠ Falta monto",IF(Q4391="","⚠ Falta cuenta",IF(ISNA(MATCH(Q4391,ctaNombre,0)),"⚠ Cuenta no registrada",IF(AND(OR(P4391="Gasto",P4391="Reembolso"),D4391=""),"⚠ Falta categoría",IF(AND(D4391&lt;&gt;"",E4391&lt;&gt;"",ISNA(MATCH(D4391&amp;"|"&amp;E4391,catClave,0))),"⚠ Subcategoría no corresponde",IF(AND(OR(P4391="Transferencia",P4391="Pago tarjeta"),K4391=""),"⚠ Falta cuenta destino",IF(AND(K4391&lt;&gt;"",P4391&lt;&gt;"Transferencia",P4391&lt;&gt;"Pago tarjeta"),"⚠ Destino solo aplica a transferencias",IF(AND(K4391&lt;&gt;"",K4391=Q4391),"⚠ Origen igual a destino",IF(AND(K4391&lt;&gt;"",ISNA(MATCH(K4391,ctaNombre,0))),"⚠ Destino no registrado",IF(AND(P4391="Pago tarjeta",AE4391&lt;&gt;"Tarjeta de crédito"),"⚠ El destino debe ser tarjeta de crédito",IF(AND(P4391="Gasto",E4391="Depósitos y retiros"),"⚠ Usa tipo Transferencia",IF(AND(P4391="Resultado trading",AD4391&lt;&gt;"Cuenta de trading"),"⚠ Usa una cuenta de trading",IF(AND(G4391&lt;=0,P4391&lt;&gt;"Ajuste",P4391&lt;&gt;"Resultado trading"),"⚠ El monto debe ser positivo","✓")))))))))))))))</f>
        <v/>
      </c>
      <c r="P4391" s="52">
        <f>IF(OR(B4391="",G4391=""),"",IF(C4391="","Gasto",C4391))</f>
        <v/>
      </c>
      <c r="Q4391" s="52">
        <f>IF(P4391="","",IF(J4391&lt;&gt;"",J4391,CuentaPred&amp;""))</f>
        <v/>
      </c>
      <c r="R4391" s="52">
        <f>IF(P4391="","",IF(ISNUMBER(I4391),I4391,TasaUSD))</f>
        <v/>
      </c>
      <c r="S4391" s="53">
        <f>IF(P4391="","",IF(H4391="USD",G4391*R4391,G4391))</f>
        <v/>
      </c>
      <c r="T4391" s="53">
        <f>IF(P4391="","",IF(H4391="USD",G4391,IF(R4391&gt;0,G4391/R4391,0)))</f>
        <v/>
      </c>
      <c r="U4391" s="53">
        <f>IF(P4391="","",IF(P4391="Gasto",S4391,IF(P4391="Reembolso",-S4391,0)))</f>
        <v/>
      </c>
      <c r="V4391" s="53">
        <f>IF(P4391="","",IF(P4391="Ingreso",S4391,0))</f>
        <v/>
      </c>
      <c r="W4391" s="53">
        <f>IF(P4391="","",IF(P4391="Resultado trading",S4391,0))</f>
        <v/>
      </c>
      <c r="X4391" s="52">
        <f>IF(OR(P4391="Gasto",P4391="Reembolso"),IF(M4391&lt;&gt;"",M4391,IFERROR(INDEX(catClasif,MATCH(D4391&amp;"|"&amp;E4391,catClave,0))&amp;"","Variable")),"")</f>
        <v/>
      </c>
      <c r="Y4391" s="52">
        <f>IF(P4391="","",IFERROR(INDEX(catGrupo,MATCH(D4391&amp;"|"&amp;E4391,catClave,0))&amp;"",""))</f>
        <v/>
      </c>
      <c r="Z4391" s="52">
        <f>IF(P4391="","",WEEKDAY(B4391,2))</f>
        <v/>
      </c>
      <c r="AA4391" s="52">
        <f>IF(P4391="","",IF(AND(P4391="Gasto",X4391="Variable",D4391&lt;&gt;catTrading,S4391&gt;0,S4391&lt;=Umbral),1,0))</f>
        <v/>
      </c>
      <c r="AB4391" s="52">
        <f>IF(OR(P4391="",Q4391=""),"",IFERROR(IF(INDEX(ctaVinc,MATCH(Q4391,ctaNombre,0))&amp;""&lt;&gt;"",INDEX(ctaVinc,MATCH(Q4391,ctaNombre,0))&amp;"",Q4391),Q4391))</f>
        <v/>
      </c>
      <c r="AC4391" s="52">
        <f>IF(OR(K4391="",AND(P4391&lt;&gt;"Transferencia",P4391&lt;&gt;"Pago tarjeta")),"",IFERROR(IF(INDEX(ctaVinc,MATCH(K4391,ctaNombre,0))&amp;""&lt;&gt;"",INDEX(ctaVinc,MATCH(K4391,ctaNombre,0))&amp;"",K4391),K4391))</f>
        <v/>
      </c>
      <c r="AD4391" s="52">
        <f>IF(AB4391="","",IFERROR(INDEX(ctaTipo,MATCH(AB4391,ctaNombre,0))&amp;"",""))</f>
        <v/>
      </c>
      <c r="AE4391" s="52">
        <f>IF(AC4391="","",IFERROR(INDEX(ctaTipo,MATCH(AC4391,ctaNombre,0))&amp;"",""))</f>
        <v/>
      </c>
      <c r="AF4391" s="53">
        <f>IF(OR(P4391="",AB4391=""),"",IF(OR(P4391="Gasto",P4391="Transferencia",P4391="Pago tarjeta"),-1,1)*IF(IFERROR(INDEX(ctaMoneda,MATCH(AB4391,ctaNombre,0))&amp;"","DOP")="USD",T4391,S4391))</f>
        <v/>
      </c>
      <c r="AG4391" s="53">
        <f>IF(AC4391="","",IF(IFERROR(INDEX(ctaMoneda,MATCH(AC4391,ctaNombre,0))&amp;"","DOP")="USD",T4391,S4391))</f>
        <v/>
      </c>
      <c r="AH4391" s="53">
        <f>IF(P4391="","",IF(AND(AD4391&lt;&gt;"",COUNTIFS(tcTipo,AD4391,tcLiq,"Sí")&gt;0),IF(OR(P4391="Gasto",P4391="Transferencia",P4391="Pago tarjeta"),-1,1)*S4391,0)+IF(AND(AE4391&lt;&gt;"",COUNTIFS(tcTipo,AE4391,tcLiq,"Sí")&gt;0),S4391,0))</f>
        <v/>
      </c>
      <c r="AI4391" s="52">
        <f>IF(OR(L4391="",P4391=""),"",IF(COUNTIFS(L$6:L4391,L4391,P$6:P4391,"?*")=1,MAX(AI$5:AI4390)+1,""))</f>
        <v/>
      </c>
    </row>
    <row r="4392">
      <c r="B4392" s="47" t="n"/>
      <c r="C4392" s="48" t="n"/>
      <c r="D4392" s="48" t="n"/>
      <c r="E4392" s="48" t="n"/>
      <c r="F4392" s="48" t="n"/>
      <c r="G4392" s="49" t="n"/>
      <c r="H4392" s="48" t="n"/>
      <c r="I4392" s="50" t="n"/>
      <c r="J4392" s="48" t="n"/>
      <c r="K4392" s="48" t="n"/>
      <c r="L4392" s="48" t="n"/>
      <c r="M4392" s="48" t="n"/>
      <c r="N4392" s="48" t="n"/>
      <c r="O4392" s="51">
        <f>IF(AND(B4392="",G4392="",C4392="",D4392="",J4392=""),"",IF(B4392="","⚠ Falta fecha",IF(G4392="","⚠ Falta monto",IF(Q4392="","⚠ Falta cuenta",IF(ISNA(MATCH(Q4392,ctaNombre,0)),"⚠ Cuenta no registrada",IF(AND(OR(P4392="Gasto",P4392="Reembolso"),D4392=""),"⚠ Falta categoría",IF(AND(D4392&lt;&gt;"",E4392&lt;&gt;"",ISNA(MATCH(D4392&amp;"|"&amp;E4392,catClave,0))),"⚠ Subcategoría no corresponde",IF(AND(OR(P4392="Transferencia",P4392="Pago tarjeta"),K4392=""),"⚠ Falta cuenta destino",IF(AND(K4392&lt;&gt;"",P4392&lt;&gt;"Transferencia",P4392&lt;&gt;"Pago tarjeta"),"⚠ Destino solo aplica a transferencias",IF(AND(K4392&lt;&gt;"",K4392=Q4392),"⚠ Origen igual a destino",IF(AND(K4392&lt;&gt;"",ISNA(MATCH(K4392,ctaNombre,0))),"⚠ Destino no registrado",IF(AND(P4392="Pago tarjeta",AE4392&lt;&gt;"Tarjeta de crédito"),"⚠ El destino debe ser tarjeta de crédito",IF(AND(P4392="Gasto",E4392="Depósitos y retiros"),"⚠ Usa tipo Transferencia",IF(AND(P4392="Resultado trading",AD4392&lt;&gt;"Cuenta de trading"),"⚠ Usa una cuenta de trading",IF(AND(G4392&lt;=0,P4392&lt;&gt;"Ajuste",P4392&lt;&gt;"Resultado trading"),"⚠ El monto debe ser positivo","✓")))))))))))))))</f>
        <v/>
      </c>
      <c r="P4392" s="52">
        <f>IF(OR(B4392="",G4392=""),"",IF(C4392="","Gasto",C4392))</f>
        <v/>
      </c>
      <c r="Q4392" s="52">
        <f>IF(P4392="","",IF(J4392&lt;&gt;"",J4392,CuentaPred&amp;""))</f>
        <v/>
      </c>
      <c r="R4392" s="52">
        <f>IF(P4392="","",IF(ISNUMBER(I4392),I4392,TasaUSD))</f>
        <v/>
      </c>
      <c r="S4392" s="53">
        <f>IF(P4392="","",IF(H4392="USD",G4392*R4392,G4392))</f>
        <v/>
      </c>
      <c r="T4392" s="53">
        <f>IF(P4392="","",IF(H4392="USD",G4392,IF(R4392&gt;0,G4392/R4392,0)))</f>
        <v/>
      </c>
      <c r="U4392" s="53">
        <f>IF(P4392="","",IF(P4392="Gasto",S4392,IF(P4392="Reembolso",-S4392,0)))</f>
        <v/>
      </c>
      <c r="V4392" s="53">
        <f>IF(P4392="","",IF(P4392="Ingreso",S4392,0))</f>
        <v/>
      </c>
      <c r="W4392" s="53">
        <f>IF(P4392="","",IF(P4392="Resultado trading",S4392,0))</f>
        <v/>
      </c>
      <c r="X4392" s="52">
        <f>IF(OR(P4392="Gasto",P4392="Reembolso"),IF(M4392&lt;&gt;"",M4392,IFERROR(INDEX(catClasif,MATCH(D4392&amp;"|"&amp;E4392,catClave,0))&amp;"","Variable")),"")</f>
        <v/>
      </c>
      <c r="Y4392" s="52">
        <f>IF(P4392="","",IFERROR(INDEX(catGrupo,MATCH(D4392&amp;"|"&amp;E4392,catClave,0))&amp;"",""))</f>
        <v/>
      </c>
      <c r="Z4392" s="52">
        <f>IF(P4392="","",WEEKDAY(B4392,2))</f>
        <v/>
      </c>
      <c r="AA4392" s="52">
        <f>IF(P4392="","",IF(AND(P4392="Gasto",X4392="Variable",D4392&lt;&gt;catTrading,S4392&gt;0,S4392&lt;=Umbral),1,0))</f>
        <v/>
      </c>
      <c r="AB4392" s="52">
        <f>IF(OR(P4392="",Q4392=""),"",IFERROR(IF(INDEX(ctaVinc,MATCH(Q4392,ctaNombre,0))&amp;""&lt;&gt;"",INDEX(ctaVinc,MATCH(Q4392,ctaNombre,0))&amp;"",Q4392),Q4392))</f>
        <v/>
      </c>
      <c r="AC4392" s="52">
        <f>IF(OR(K4392="",AND(P4392&lt;&gt;"Transferencia",P4392&lt;&gt;"Pago tarjeta")),"",IFERROR(IF(INDEX(ctaVinc,MATCH(K4392,ctaNombre,0))&amp;""&lt;&gt;"",INDEX(ctaVinc,MATCH(K4392,ctaNombre,0))&amp;"",K4392),K4392))</f>
        <v/>
      </c>
      <c r="AD4392" s="52">
        <f>IF(AB4392="","",IFERROR(INDEX(ctaTipo,MATCH(AB4392,ctaNombre,0))&amp;"",""))</f>
        <v/>
      </c>
      <c r="AE4392" s="52">
        <f>IF(AC4392="","",IFERROR(INDEX(ctaTipo,MATCH(AC4392,ctaNombre,0))&amp;"",""))</f>
        <v/>
      </c>
      <c r="AF4392" s="53">
        <f>IF(OR(P4392="",AB4392=""),"",IF(OR(P4392="Gasto",P4392="Transferencia",P4392="Pago tarjeta"),-1,1)*IF(IFERROR(INDEX(ctaMoneda,MATCH(AB4392,ctaNombre,0))&amp;"","DOP")="USD",T4392,S4392))</f>
        <v/>
      </c>
      <c r="AG4392" s="53">
        <f>IF(AC4392="","",IF(IFERROR(INDEX(ctaMoneda,MATCH(AC4392,ctaNombre,0))&amp;"","DOP")="USD",T4392,S4392))</f>
        <v/>
      </c>
      <c r="AH4392" s="53">
        <f>IF(P4392="","",IF(AND(AD4392&lt;&gt;"",COUNTIFS(tcTipo,AD4392,tcLiq,"Sí")&gt;0),IF(OR(P4392="Gasto",P4392="Transferencia",P4392="Pago tarjeta"),-1,1)*S4392,0)+IF(AND(AE4392&lt;&gt;"",COUNTIFS(tcTipo,AE4392,tcLiq,"Sí")&gt;0),S4392,0))</f>
        <v/>
      </c>
      <c r="AI4392" s="52">
        <f>IF(OR(L4392="",P4392=""),"",IF(COUNTIFS(L$6:L4392,L4392,P$6:P4392,"?*")=1,MAX(AI$5:AI4391)+1,""))</f>
        <v/>
      </c>
    </row>
    <row r="4393">
      <c r="B4393" s="47" t="n"/>
      <c r="C4393" s="48" t="n"/>
      <c r="D4393" s="48" t="n"/>
      <c r="E4393" s="48" t="n"/>
      <c r="F4393" s="48" t="n"/>
      <c r="G4393" s="49" t="n"/>
      <c r="H4393" s="48" t="n"/>
      <c r="I4393" s="50" t="n"/>
      <c r="J4393" s="48" t="n"/>
      <c r="K4393" s="48" t="n"/>
      <c r="L4393" s="48" t="n"/>
      <c r="M4393" s="48" t="n"/>
      <c r="N4393" s="48" t="n"/>
      <c r="O4393" s="51">
        <f>IF(AND(B4393="",G4393="",C4393="",D4393="",J4393=""),"",IF(B4393="","⚠ Falta fecha",IF(G4393="","⚠ Falta monto",IF(Q4393="","⚠ Falta cuenta",IF(ISNA(MATCH(Q4393,ctaNombre,0)),"⚠ Cuenta no registrada",IF(AND(OR(P4393="Gasto",P4393="Reembolso"),D4393=""),"⚠ Falta categoría",IF(AND(D4393&lt;&gt;"",E4393&lt;&gt;"",ISNA(MATCH(D4393&amp;"|"&amp;E4393,catClave,0))),"⚠ Subcategoría no corresponde",IF(AND(OR(P4393="Transferencia",P4393="Pago tarjeta"),K4393=""),"⚠ Falta cuenta destino",IF(AND(K4393&lt;&gt;"",P4393&lt;&gt;"Transferencia",P4393&lt;&gt;"Pago tarjeta"),"⚠ Destino solo aplica a transferencias",IF(AND(K4393&lt;&gt;"",K4393=Q4393),"⚠ Origen igual a destino",IF(AND(K4393&lt;&gt;"",ISNA(MATCH(K4393,ctaNombre,0))),"⚠ Destino no registrado",IF(AND(P4393="Pago tarjeta",AE4393&lt;&gt;"Tarjeta de crédito"),"⚠ El destino debe ser tarjeta de crédito",IF(AND(P4393="Gasto",E4393="Depósitos y retiros"),"⚠ Usa tipo Transferencia",IF(AND(P4393="Resultado trading",AD4393&lt;&gt;"Cuenta de trading"),"⚠ Usa una cuenta de trading",IF(AND(G4393&lt;=0,P4393&lt;&gt;"Ajuste",P4393&lt;&gt;"Resultado trading"),"⚠ El monto debe ser positivo","✓")))))))))))))))</f>
        <v/>
      </c>
      <c r="P4393" s="52">
        <f>IF(OR(B4393="",G4393=""),"",IF(C4393="","Gasto",C4393))</f>
        <v/>
      </c>
      <c r="Q4393" s="52">
        <f>IF(P4393="","",IF(J4393&lt;&gt;"",J4393,CuentaPred&amp;""))</f>
        <v/>
      </c>
      <c r="R4393" s="52">
        <f>IF(P4393="","",IF(ISNUMBER(I4393),I4393,TasaUSD))</f>
        <v/>
      </c>
      <c r="S4393" s="53">
        <f>IF(P4393="","",IF(H4393="USD",G4393*R4393,G4393))</f>
        <v/>
      </c>
      <c r="T4393" s="53">
        <f>IF(P4393="","",IF(H4393="USD",G4393,IF(R4393&gt;0,G4393/R4393,0)))</f>
        <v/>
      </c>
      <c r="U4393" s="53">
        <f>IF(P4393="","",IF(P4393="Gasto",S4393,IF(P4393="Reembolso",-S4393,0)))</f>
        <v/>
      </c>
      <c r="V4393" s="53">
        <f>IF(P4393="","",IF(P4393="Ingreso",S4393,0))</f>
        <v/>
      </c>
      <c r="W4393" s="53">
        <f>IF(P4393="","",IF(P4393="Resultado trading",S4393,0))</f>
        <v/>
      </c>
      <c r="X4393" s="52">
        <f>IF(OR(P4393="Gasto",P4393="Reembolso"),IF(M4393&lt;&gt;"",M4393,IFERROR(INDEX(catClasif,MATCH(D4393&amp;"|"&amp;E4393,catClave,0))&amp;"","Variable")),"")</f>
        <v/>
      </c>
      <c r="Y4393" s="52">
        <f>IF(P4393="","",IFERROR(INDEX(catGrupo,MATCH(D4393&amp;"|"&amp;E4393,catClave,0))&amp;"",""))</f>
        <v/>
      </c>
      <c r="Z4393" s="52">
        <f>IF(P4393="","",WEEKDAY(B4393,2))</f>
        <v/>
      </c>
      <c r="AA4393" s="52">
        <f>IF(P4393="","",IF(AND(P4393="Gasto",X4393="Variable",D4393&lt;&gt;catTrading,S4393&gt;0,S4393&lt;=Umbral),1,0))</f>
        <v/>
      </c>
      <c r="AB4393" s="52">
        <f>IF(OR(P4393="",Q4393=""),"",IFERROR(IF(INDEX(ctaVinc,MATCH(Q4393,ctaNombre,0))&amp;""&lt;&gt;"",INDEX(ctaVinc,MATCH(Q4393,ctaNombre,0))&amp;"",Q4393),Q4393))</f>
        <v/>
      </c>
      <c r="AC4393" s="52">
        <f>IF(OR(K4393="",AND(P4393&lt;&gt;"Transferencia",P4393&lt;&gt;"Pago tarjeta")),"",IFERROR(IF(INDEX(ctaVinc,MATCH(K4393,ctaNombre,0))&amp;""&lt;&gt;"",INDEX(ctaVinc,MATCH(K4393,ctaNombre,0))&amp;"",K4393),K4393))</f>
        <v/>
      </c>
      <c r="AD4393" s="52">
        <f>IF(AB4393="","",IFERROR(INDEX(ctaTipo,MATCH(AB4393,ctaNombre,0))&amp;"",""))</f>
        <v/>
      </c>
      <c r="AE4393" s="52">
        <f>IF(AC4393="","",IFERROR(INDEX(ctaTipo,MATCH(AC4393,ctaNombre,0))&amp;"",""))</f>
        <v/>
      </c>
      <c r="AF4393" s="53">
        <f>IF(OR(P4393="",AB4393=""),"",IF(OR(P4393="Gasto",P4393="Transferencia",P4393="Pago tarjeta"),-1,1)*IF(IFERROR(INDEX(ctaMoneda,MATCH(AB4393,ctaNombre,0))&amp;"","DOP")="USD",T4393,S4393))</f>
        <v/>
      </c>
      <c r="AG4393" s="53">
        <f>IF(AC4393="","",IF(IFERROR(INDEX(ctaMoneda,MATCH(AC4393,ctaNombre,0))&amp;"","DOP")="USD",T4393,S4393))</f>
        <v/>
      </c>
      <c r="AH4393" s="53">
        <f>IF(P4393="","",IF(AND(AD4393&lt;&gt;"",COUNTIFS(tcTipo,AD4393,tcLiq,"Sí")&gt;0),IF(OR(P4393="Gasto",P4393="Transferencia",P4393="Pago tarjeta"),-1,1)*S4393,0)+IF(AND(AE4393&lt;&gt;"",COUNTIFS(tcTipo,AE4393,tcLiq,"Sí")&gt;0),S4393,0))</f>
        <v/>
      </c>
      <c r="AI4393" s="52">
        <f>IF(OR(L4393="",P4393=""),"",IF(COUNTIFS(L$6:L4393,L4393,P$6:P4393,"?*")=1,MAX(AI$5:AI4392)+1,""))</f>
        <v/>
      </c>
    </row>
    <row r="4394">
      <c r="B4394" s="47" t="n"/>
      <c r="C4394" s="48" t="n"/>
      <c r="D4394" s="48" t="n"/>
      <c r="E4394" s="48" t="n"/>
      <c r="F4394" s="48" t="n"/>
      <c r="G4394" s="49" t="n"/>
      <c r="H4394" s="48" t="n"/>
      <c r="I4394" s="50" t="n"/>
      <c r="J4394" s="48" t="n"/>
      <c r="K4394" s="48" t="n"/>
      <c r="L4394" s="48" t="n"/>
      <c r="M4394" s="48" t="n"/>
      <c r="N4394" s="48" t="n"/>
      <c r="O4394" s="51">
        <f>IF(AND(B4394="",G4394="",C4394="",D4394="",J4394=""),"",IF(B4394="","⚠ Falta fecha",IF(G4394="","⚠ Falta monto",IF(Q4394="","⚠ Falta cuenta",IF(ISNA(MATCH(Q4394,ctaNombre,0)),"⚠ Cuenta no registrada",IF(AND(OR(P4394="Gasto",P4394="Reembolso"),D4394=""),"⚠ Falta categoría",IF(AND(D4394&lt;&gt;"",E4394&lt;&gt;"",ISNA(MATCH(D4394&amp;"|"&amp;E4394,catClave,0))),"⚠ Subcategoría no corresponde",IF(AND(OR(P4394="Transferencia",P4394="Pago tarjeta"),K4394=""),"⚠ Falta cuenta destino",IF(AND(K4394&lt;&gt;"",P4394&lt;&gt;"Transferencia",P4394&lt;&gt;"Pago tarjeta"),"⚠ Destino solo aplica a transferencias",IF(AND(K4394&lt;&gt;"",K4394=Q4394),"⚠ Origen igual a destino",IF(AND(K4394&lt;&gt;"",ISNA(MATCH(K4394,ctaNombre,0))),"⚠ Destino no registrado",IF(AND(P4394="Pago tarjeta",AE4394&lt;&gt;"Tarjeta de crédito"),"⚠ El destino debe ser tarjeta de crédito",IF(AND(P4394="Gasto",E4394="Depósitos y retiros"),"⚠ Usa tipo Transferencia",IF(AND(P4394="Resultado trading",AD4394&lt;&gt;"Cuenta de trading"),"⚠ Usa una cuenta de trading",IF(AND(G4394&lt;=0,P4394&lt;&gt;"Ajuste",P4394&lt;&gt;"Resultado trading"),"⚠ El monto debe ser positivo","✓")))))))))))))))</f>
        <v/>
      </c>
      <c r="P4394" s="52">
        <f>IF(OR(B4394="",G4394=""),"",IF(C4394="","Gasto",C4394))</f>
        <v/>
      </c>
      <c r="Q4394" s="52">
        <f>IF(P4394="","",IF(J4394&lt;&gt;"",J4394,CuentaPred&amp;""))</f>
        <v/>
      </c>
      <c r="R4394" s="52">
        <f>IF(P4394="","",IF(ISNUMBER(I4394),I4394,TasaUSD))</f>
        <v/>
      </c>
      <c r="S4394" s="53">
        <f>IF(P4394="","",IF(H4394="USD",G4394*R4394,G4394))</f>
        <v/>
      </c>
      <c r="T4394" s="53">
        <f>IF(P4394="","",IF(H4394="USD",G4394,IF(R4394&gt;0,G4394/R4394,0)))</f>
        <v/>
      </c>
      <c r="U4394" s="53">
        <f>IF(P4394="","",IF(P4394="Gasto",S4394,IF(P4394="Reembolso",-S4394,0)))</f>
        <v/>
      </c>
      <c r="V4394" s="53">
        <f>IF(P4394="","",IF(P4394="Ingreso",S4394,0))</f>
        <v/>
      </c>
      <c r="W4394" s="53">
        <f>IF(P4394="","",IF(P4394="Resultado trading",S4394,0))</f>
        <v/>
      </c>
      <c r="X4394" s="52">
        <f>IF(OR(P4394="Gasto",P4394="Reembolso"),IF(M4394&lt;&gt;"",M4394,IFERROR(INDEX(catClasif,MATCH(D4394&amp;"|"&amp;E4394,catClave,0))&amp;"","Variable")),"")</f>
        <v/>
      </c>
      <c r="Y4394" s="52">
        <f>IF(P4394="","",IFERROR(INDEX(catGrupo,MATCH(D4394&amp;"|"&amp;E4394,catClave,0))&amp;"",""))</f>
        <v/>
      </c>
      <c r="Z4394" s="52">
        <f>IF(P4394="","",WEEKDAY(B4394,2))</f>
        <v/>
      </c>
      <c r="AA4394" s="52">
        <f>IF(P4394="","",IF(AND(P4394="Gasto",X4394="Variable",D4394&lt;&gt;catTrading,S4394&gt;0,S4394&lt;=Umbral),1,0))</f>
        <v/>
      </c>
      <c r="AB4394" s="52">
        <f>IF(OR(P4394="",Q4394=""),"",IFERROR(IF(INDEX(ctaVinc,MATCH(Q4394,ctaNombre,0))&amp;""&lt;&gt;"",INDEX(ctaVinc,MATCH(Q4394,ctaNombre,0))&amp;"",Q4394),Q4394))</f>
        <v/>
      </c>
      <c r="AC4394" s="52">
        <f>IF(OR(K4394="",AND(P4394&lt;&gt;"Transferencia",P4394&lt;&gt;"Pago tarjeta")),"",IFERROR(IF(INDEX(ctaVinc,MATCH(K4394,ctaNombre,0))&amp;""&lt;&gt;"",INDEX(ctaVinc,MATCH(K4394,ctaNombre,0))&amp;"",K4394),K4394))</f>
        <v/>
      </c>
      <c r="AD4394" s="52">
        <f>IF(AB4394="","",IFERROR(INDEX(ctaTipo,MATCH(AB4394,ctaNombre,0))&amp;"",""))</f>
        <v/>
      </c>
      <c r="AE4394" s="52">
        <f>IF(AC4394="","",IFERROR(INDEX(ctaTipo,MATCH(AC4394,ctaNombre,0))&amp;"",""))</f>
        <v/>
      </c>
      <c r="AF4394" s="53">
        <f>IF(OR(P4394="",AB4394=""),"",IF(OR(P4394="Gasto",P4394="Transferencia",P4394="Pago tarjeta"),-1,1)*IF(IFERROR(INDEX(ctaMoneda,MATCH(AB4394,ctaNombre,0))&amp;"","DOP")="USD",T4394,S4394))</f>
        <v/>
      </c>
      <c r="AG4394" s="53">
        <f>IF(AC4394="","",IF(IFERROR(INDEX(ctaMoneda,MATCH(AC4394,ctaNombre,0))&amp;"","DOP")="USD",T4394,S4394))</f>
        <v/>
      </c>
      <c r="AH4394" s="53">
        <f>IF(P4394="","",IF(AND(AD4394&lt;&gt;"",COUNTIFS(tcTipo,AD4394,tcLiq,"Sí")&gt;0),IF(OR(P4394="Gasto",P4394="Transferencia",P4394="Pago tarjeta"),-1,1)*S4394,0)+IF(AND(AE4394&lt;&gt;"",COUNTIFS(tcTipo,AE4394,tcLiq,"Sí")&gt;0),S4394,0))</f>
        <v/>
      </c>
      <c r="AI4394" s="52">
        <f>IF(OR(L4394="",P4394=""),"",IF(COUNTIFS(L$6:L4394,L4394,P$6:P4394,"?*")=1,MAX(AI$5:AI4393)+1,""))</f>
        <v/>
      </c>
    </row>
    <row r="4395">
      <c r="B4395" s="47" t="n"/>
      <c r="C4395" s="48" t="n"/>
      <c r="D4395" s="48" t="n"/>
      <c r="E4395" s="48" t="n"/>
      <c r="F4395" s="48" t="n"/>
      <c r="G4395" s="49" t="n"/>
      <c r="H4395" s="48" t="n"/>
      <c r="I4395" s="50" t="n"/>
      <c r="J4395" s="48" t="n"/>
      <c r="K4395" s="48" t="n"/>
      <c r="L4395" s="48" t="n"/>
      <c r="M4395" s="48" t="n"/>
      <c r="N4395" s="48" t="n"/>
      <c r="O4395" s="51">
        <f>IF(AND(B4395="",G4395="",C4395="",D4395="",J4395=""),"",IF(B4395="","⚠ Falta fecha",IF(G4395="","⚠ Falta monto",IF(Q4395="","⚠ Falta cuenta",IF(ISNA(MATCH(Q4395,ctaNombre,0)),"⚠ Cuenta no registrada",IF(AND(OR(P4395="Gasto",P4395="Reembolso"),D4395=""),"⚠ Falta categoría",IF(AND(D4395&lt;&gt;"",E4395&lt;&gt;"",ISNA(MATCH(D4395&amp;"|"&amp;E4395,catClave,0))),"⚠ Subcategoría no corresponde",IF(AND(OR(P4395="Transferencia",P4395="Pago tarjeta"),K4395=""),"⚠ Falta cuenta destino",IF(AND(K4395&lt;&gt;"",P4395&lt;&gt;"Transferencia",P4395&lt;&gt;"Pago tarjeta"),"⚠ Destino solo aplica a transferencias",IF(AND(K4395&lt;&gt;"",K4395=Q4395),"⚠ Origen igual a destino",IF(AND(K4395&lt;&gt;"",ISNA(MATCH(K4395,ctaNombre,0))),"⚠ Destino no registrado",IF(AND(P4395="Pago tarjeta",AE4395&lt;&gt;"Tarjeta de crédito"),"⚠ El destino debe ser tarjeta de crédito",IF(AND(P4395="Gasto",E4395="Depósitos y retiros"),"⚠ Usa tipo Transferencia",IF(AND(P4395="Resultado trading",AD4395&lt;&gt;"Cuenta de trading"),"⚠ Usa una cuenta de trading",IF(AND(G4395&lt;=0,P4395&lt;&gt;"Ajuste",P4395&lt;&gt;"Resultado trading"),"⚠ El monto debe ser positivo","✓")))))))))))))))</f>
        <v/>
      </c>
      <c r="P4395" s="52">
        <f>IF(OR(B4395="",G4395=""),"",IF(C4395="","Gasto",C4395))</f>
        <v/>
      </c>
      <c r="Q4395" s="52">
        <f>IF(P4395="","",IF(J4395&lt;&gt;"",J4395,CuentaPred&amp;""))</f>
        <v/>
      </c>
      <c r="R4395" s="52">
        <f>IF(P4395="","",IF(ISNUMBER(I4395),I4395,TasaUSD))</f>
        <v/>
      </c>
      <c r="S4395" s="53">
        <f>IF(P4395="","",IF(H4395="USD",G4395*R4395,G4395))</f>
        <v/>
      </c>
      <c r="T4395" s="53">
        <f>IF(P4395="","",IF(H4395="USD",G4395,IF(R4395&gt;0,G4395/R4395,0)))</f>
        <v/>
      </c>
      <c r="U4395" s="53">
        <f>IF(P4395="","",IF(P4395="Gasto",S4395,IF(P4395="Reembolso",-S4395,0)))</f>
        <v/>
      </c>
      <c r="V4395" s="53">
        <f>IF(P4395="","",IF(P4395="Ingreso",S4395,0))</f>
        <v/>
      </c>
      <c r="W4395" s="53">
        <f>IF(P4395="","",IF(P4395="Resultado trading",S4395,0))</f>
        <v/>
      </c>
      <c r="X4395" s="52">
        <f>IF(OR(P4395="Gasto",P4395="Reembolso"),IF(M4395&lt;&gt;"",M4395,IFERROR(INDEX(catClasif,MATCH(D4395&amp;"|"&amp;E4395,catClave,0))&amp;"","Variable")),"")</f>
        <v/>
      </c>
      <c r="Y4395" s="52">
        <f>IF(P4395="","",IFERROR(INDEX(catGrupo,MATCH(D4395&amp;"|"&amp;E4395,catClave,0))&amp;"",""))</f>
        <v/>
      </c>
      <c r="Z4395" s="52">
        <f>IF(P4395="","",WEEKDAY(B4395,2))</f>
        <v/>
      </c>
      <c r="AA4395" s="52">
        <f>IF(P4395="","",IF(AND(P4395="Gasto",X4395="Variable",D4395&lt;&gt;catTrading,S4395&gt;0,S4395&lt;=Umbral),1,0))</f>
        <v/>
      </c>
      <c r="AB4395" s="52">
        <f>IF(OR(P4395="",Q4395=""),"",IFERROR(IF(INDEX(ctaVinc,MATCH(Q4395,ctaNombre,0))&amp;""&lt;&gt;"",INDEX(ctaVinc,MATCH(Q4395,ctaNombre,0))&amp;"",Q4395),Q4395))</f>
        <v/>
      </c>
      <c r="AC4395" s="52">
        <f>IF(OR(K4395="",AND(P4395&lt;&gt;"Transferencia",P4395&lt;&gt;"Pago tarjeta")),"",IFERROR(IF(INDEX(ctaVinc,MATCH(K4395,ctaNombre,0))&amp;""&lt;&gt;"",INDEX(ctaVinc,MATCH(K4395,ctaNombre,0))&amp;"",K4395),K4395))</f>
        <v/>
      </c>
      <c r="AD4395" s="52">
        <f>IF(AB4395="","",IFERROR(INDEX(ctaTipo,MATCH(AB4395,ctaNombre,0))&amp;"",""))</f>
        <v/>
      </c>
      <c r="AE4395" s="52">
        <f>IF(AC4395="","",IFERROR(INDEX(ctaTipo,MATCH(AC4395,ctaNombre,0))&amp;"",""))</f>
        <v/>
      </c>
      <c r="AF4395" s="53">
        <f>IF(OR(P4395="",AB4395=""),"",IF(OR(P4395="Gasto",P4395="Transferencia",P4395="Pago tarjeta"),-1,1)*IF(IFERROR(INDEX(ctaMoneda,MATCH(AB4395,ctaNombre,0))&amp;"","DOP")="USD",T4395,S4395))</f>
        <v/>
      </c>
      <c r="AG4395" s="53">
        <f>IF(AC4395="","",IF(IFERROR(INDEX(ctaMoneda,MATCH(AC4395,ctaNombre,0))&amp;"","DOP")="USD",T4395,S4395))</f>
        <v/>
      </c>
      <c r="AH4395" s="53">
        <f>IF(P4395="","",IF(AND(AD4395&lt;&gt;"",COUNTIFS(tcTipo,AD4395,tcLiq,"Sí")&gt;0),IF(OR(P4395="Gasto",P4395="Transferencia",P4395="Pago tarjeta"),-1,1)*S4395,0)+IF(AND(AE4395&lt;&gt;"",COUNTIFS(tcTipo,AE4395,tcLiq,"Sí")&gt;0),S4395,0))</f>
        <v/>
      </c>
      <c r="AI4395" s="52">
        <f>IF(OR(L4395="",P4395=""),"",IF(COUNTIFS(L$6:L4395,L4395,P$6:P4395,"?*")=1,MAX(AI$5:AI4394)+1,""))</f>
        <v/>
      </c>
    </row>
    <row r="4396">
      <c r="B4396" s="47" t="n"/>
      <c r="C4396" s="48" t="n"/>
      <c r="D4396" s="48" t="n"/>
      <c r="E4396" s="48" t="n"/>
      <c r="F4396" s="48" t="n"/>
      <c r="G4396" s="49" t="n"/>
      <c r="H4396" s="48" t="n"/>
      <c r="I4396" s="50" t="n"/>
      <c r="J4396" s="48" t="n"/>
      <c r="K4396" s="48" t="n"/>
      <c r="L4396" s="48" t="n"/>
      <c r="M4396" s="48" t="n"/>
      <c r="N4396" s="48" t="n"/>
      <c r="O4396" s="51">
        <f>IF(AND(B4396="",G4396="",C4396="",D4396="",J4396=""),"",IF(B4396="","⚠ Falta fecha",IF(G4396="","⚠ Falta monto",IF(Q4396="","⚠ Falta cuenta",IF(ISNA(MATCH(Q4396,ctaNombre,0)),"⚠ Cuenta no registrada",IF(AND(OR(P4396="Gasto",P4396="Reembolso"),D4396=""),"⚠ Falta categoría",IF(AND(D4396&lt;&gt;"",E4396&lt;&gt;"",ISNA(MATCH(D4396&amp;"|"&amp;E4396,catClave,0))),"⚠ Subcategoría no corresponde",IF(AND(OR(P4396="Transferencia",P4396="Pago tarjeta"),K4396=""),"⚠ Falta cuenta destino",IF(AND(K4396&lt;&gt;"",P4396&lt;&gt;"Transferencia",P4396&lt;&gt;"Pago tarjeta"),"⚠ Destino solo aplica a transferencias",IF(AND(K4396&lt;&gt;"",K4396=Q4396),"⚠ Origen igual a destino",IF(AND(K4396&lt;&gt;"",ISNA(MATCH(K4396,ctaNombre,0))),"⚠ Destino no registrado",IF(AND(P4396="Pago tarjeta",AE4396&lt;&gt;"Tarjeta de crédito"),"⚠ El destino debe ser tarjeta de crédito",IF(AND(P4396="Gasto",E4396="Depósitos y retiros"),"⚠ Usa tipo Transferencia",IF(AND(P4396="Resultado trading",AD4396&lt;&gt;"Cuenta de trading"),"⚠ Usa una cuenta de trading",IF(AND(G4396&lt;=0,P4396&lt;&gt;"Ajuste",P4396&lt;&gt;"Resultado trading"),"⚠ El monto debe ser positivo","✓")))))))))))))))</f>
        <v/>
      </c>
      <c r="P4396" s="52">
        <f>IF(OR(B4396="",G4396=""),"",IF(C4396="","Gasto",C4396))</f>
        <v/>
      </c>
      <c r="Q4396" s="52">
        <f>IF(P4396="","",IF(J4396&lt;&gt;"",J4396,CuentaPred&amp;""))</f>
        <v/>
      </c>
      <c r="R4396" s="52">
        <f>IF(P4396="","",IF(ISNUMBER(I4396),I4396,TasaUSD))</f>
        <v/>
      </c>
      <c r="S4396" s="53">
        <f>IF(P4396="","",IF(H4396="USD",G4396*R4396,G4396))</f>
        <v/>
      </c>
      <c r="T4396" s="53">
        <f>IF(P4396="","",IF(H4396="USD",G4396,IF(R4396&gt;0,G4396/R4396,0)))</f>
        <v/>
      </c>
      <c r="U4396" s="53">
        <f>IF(P4396="","",IF(P4396="Gasto",S4396,IF(P4396="Reembolso",-S4396,0)))</f>
        <v/>
      </c>
      <c r="V4396" s="53">
        <f>IF(P4396="","",IF(P4396="Ingreso",S4396,0))</f>
        <v/>
      </c>
      <c r="W4396" s="53">
        <f>IF(P4396="","",IF(P4396="Resultado trading",S4396,0))</f>
        <v/>
      </c>
      <c r="X4396" s="52">
        <f>IF(OR(P4396="Gasto",P4396="Reembolso"),IF(M4396&lt;&gt;"",M4396,IFERROR(INDEX(catClasif,MATCH(D4396&amp;"|"&amp;E4396,catClave,0))&amp;"","Variable")),"")</f>
        <v/>
      </c>
      <c r="Y4396" s="52">
        <f>IF(P4396="","",IFERROR(INDEX(catGrupo,MATCH(D4396&amp;"|"&amp;E4396,catClave,0))&amp;"",""))</f>
        <v/>
      </c>
      <c r="Z4396" s="52">
        <f>IF(P4396="","",WEEKDAY(B4396,2))</f>
        <v/>
      </c>
      <c r="AA4396" s="52">
        <f>IF(P4396="","",IF(AND(P4396="Gasto",X4396="Variable",D4396&lt;&gt;catTrading,S4396&gt;0,S4396&lt;=Umbral),1,0))</f>
        <v/>
      </c>
      <c r="AB4396" s="52">
        <f>IF(OR(P4396="",Q4396=""),"",IFERROR(IF(INDEX(ctaVinc,MATCH(Q4396,ctaNombre,0))&amp;""&lt;&gt;"",INDEX(ctaVinc,MATCH(Q4396,ctaNombre,0))&amp;"",Q4396),Q4396))</f>
        <v/>
      </c>
      <c r="AC4396" s="52">
        <f>IF(OR(K4396="",AND(P4396&lt;&gt;"Transferencia",P4396&lt;&gt;"Pago tarjeta")),"",IFERROR(IF(INDEX(ctaVinc,MATCH(K4396,ctaNombre,0))&amp;""&lt;&gt;"",INDEX(ctaVinc,MATCH(K4396,ctaNombre,0))&amp;"",K4396),K4396))</f>
        <v/>
      </c>
      <c r="AD4396" s="52">
        <f>IF(AB4396="","",IFERROR(INDEX(ctaTipo,MATCH(AB4396,ctaNombre,0))&amp;"",""))</f>
        <v/>
      </c>
      <c r="AE4396" s="52">
        <f>IF(AC4396="","",IFERROR(INDEX(ctaTipo,MATCH(AC4396,ctaNombre,0))&amp;"",""))</f>
        <v/>
      </c>
      <c r="AF4396" s="53">
        <f>IF(OR(P4396="",AB4396=""),"",IF(OR(P4396="Gasto",P4396="Transferencia",P4396="Pago tarjeta"),-1,1)*IF(IFERROR(INDEX(ctaMoneda,MATCH(AB4396,ctaNombre,0))&amp;"","DOP")="USD",T4396,S4396))</f>
        <v/>
      </c>
      <c r="AG4396" s="53">
        <f>IF(AC4396="","",IF(IFERROR(INDEX(ctaMoneda,MATCH(AC4396,ctaNombre,0))&amp;"","DOP")="USD",T4396,S4396))</f>
        <v/>
      </c>
      <c r="AH4396" s="53">
        <f>IF(P4396="","",IF(AND(AD4396&lt;&gt;"",COUNTIFS(tcTipo,AD4396,tcLiq,"Sí")&gt;0),IF(OR(P4396="Gasto",P4396="Transferencia",P4396="Pago tarjeta"),-1,1)*S4396,0)+IF(AND(AE4396&lt;&gt;"",COUNTIFS(tcTipo,AE4396,tcLiq,"Sí")&gt;0),S4396,0))</f>
        <v/>
      </c>
      <c r="AI4396" s="52">
        <f>IF(OR(L4396="",P4396=""),"",IF(COUNTIFS(L$6:L4396,L4396,P$6:P4396,"?*")=1,MAX(AI$5:AI4395)+1,""))</f>
        <v/>
      </c>
    </row>
    <row r="4397">
      <c r="B4397" s="47" t="n"/>
      <c r="C4397" s="48" t="n"/>
      <c r="D4397" s="48" t="n"/>
      <c r="E4397" s="48" t="n"/>
      <c r="F4397" s="48" t="n"/>
      <c r="G4397" s="49" t="n"/>
      <c r="H4397" s="48" t="n"/>
      <c r="I4397" s="50" t="n"/>
      <c r="J4397" s="48" t="n"/>
      <c r="K4397" s="48" t="n"/>
      <c r="L4397" s="48" t="n"/>
      <c r="M4397" s="48" t="n"/>
      <c r="N4397" s="48" t="n"/>
      <c r="O4397" s="51">
        <f>IF(AND(B4397="",G4397="",C4397="",D4397="",J4397=""),"",IF(B4397="","⚠ Falta fecha",IF(G4397="","⚠ Falta monto",IF(Q4397="","⚠ Falta cuenta",IF(ISNA(MATCH(Q4397,ctaNombre,0)),"⚠ Cuenta no registrada",IF(AND(OR(P4397="Gasto",P4397="Reembolso"),D4397=""),"⚠ Falta categoría",IF(AND(D4397&lt;&gt;"",E4397&lt;&gt;"",ISNA(MATCH(D4397&amp;"|"&amp;E4397,catClave,0))),"⚠ Subcategoría no corresponde",IF(AND(OR(P4397="Transferencia",P4397="Pago tarjeta"),K4397=""),"⚠ Falta cuenta destino",IF(AND(K4397&lt;&gt;"",P4397&lt;&gt;"Transferencia",P4397&lt;&gt;"Pago tarjeta"),"⚠ Destino solo aplica a transferencias",IF(AND(K4397&lt;&gt;"",K4397=Q4397),"⚠ Origen igual a destino",IF(AND(K4397&lt;&gt;"",ISNA(MATCH(K4397,ctaNombre,0))),"⚠ Destino no registrado",IF(AND(P4397="Pago tarjeta",AE4397&lt;&gt;"Tarjeta de crédito"),"⚠ El destino debe ser tarjeta de crédito",IF(AND(P4397="Gasto",E4397="Depósitos y retiros"),"⚠ Usa tipo Transferencia",IF(AND(P4397="Resultado trading",AD4397&lt;&gt;"Cuenta de trading"),"⚠ Usa una cuenta de trading",IF(AND(G4397&lt;=0,P4397&lt;&gt;"Ajuste",P4397&lt;&gt;"Resultado trading"),"⚠ El monto debe ser positivo","✓")))))))))))))))</f>
        <v/>
      </c>
      <c r="P4397" s="52">
        <f>IF(OR(B4397="",G4397=""),"",IF(C4397="","Gasto",C4397))</f>
        <v/>
      </c>
      <c r="Q4397" s="52">
        <f>IF(P4397="","",IF(J4397&lt;&gt;"",J4397,CuentaPred&amp;""))</f>
        <v/>
      </c>
      <c r="R4397" s="52">
        <f>IF(P4397="","",IF(ISNUMBER(I4397),I4397,TasaUSD))</f>
        <v/>
      </c>
      <c r="S4397" s="53">
        <f>IF(P4397="","",IF(H4397="USD",G4397*R4397,G4397))</f>
        <v/>
      </c>
      <c r="T4397" s="53">
        <f>IF(P4397="","",IF(H4397="USD",G4397,IF(R4397&gt;0,G4397/R4397,0)))</f>
        <v/>
      </c>
      <c r="U4397" s="53">
        <f>IF(P4397="","",IF(P4397="Gasto",S4397,IF(P4397="Reembolso",-S4397,0)))</f>
        <v/>
      </c>
      <c r="V4397" s="53">
        <f>IF(P4397="","",IF(P4397="Ingreso",S4397,0))</f>
        <v/>
      </c>
      <c r="W4397" s="53">
        <f>IF(P4397="","",IF(P4397="Resultado trading",S4397,0))</f>
        <v/>
      </c>
      <c r="X4397" s="52">
        <f>IF(OR(P4397="Gasto",P4397="Reembolso"),IF(M4397&lt;&gt;"",M4397,IFERROR(INDEX(catClasif,MATCH(D4397&amp;"|"&amp;E4397,catClave,0))&amp;"","Variable")),"")</f>
        <v/>
      </c>
      <c r="Y4397" s="52">
        <f>IF(P4397="","",IFERROR(INDEX(catGrupo,MATCH(D4397&amp;"|"&amp;E4397,catClave,0))&amp;"",""))</f>
        <v/>
      </c>
      <c r="Z4397" s="52">
        <f>IF(P4397="","",WEEKDAY(B4397,2))</f>
        <v/>
      </c>
      <c r="AA4397" s="52">
        <f>IF(P4397="","",IF(AND(P4397="Gasto",X4397="Variable",D4397&lt;&gt;catTrading,S4397&gt;0,S4397&lt;=Umbral),1,0))</f>
        <v/>
      </c>
      <c r="AB4397" s="52">
        <f>IF(OR(P4397="",Q4397=""),"",IFERROR(IF(INDEX(ctaVinc,MATCH(Q4397,ctaNombre,0))&amp;""&lt;&gt;"",INDEX(ctaVinc,MATCH(Q4397,ctaNombre,0))&amp;"",Q4397),Q4397))</f>
        <v/>
      </c>
      <c r="AC4397" s="52">
        <f>IF(OR(K4397="",AND(P4397&lt;&gt;"Transferencia",P4397&lt;&gt;"Pago tarjeta")),"",IFERROR(IF(INDEX(ctaVinc,MATCH(K4397,ctaNombre,0))&amp;""&lt;&gt;"",INDEX(ctaVinc,MATCH(K4397,ctaNombre,0))&amp;"",K4397),K4397))</f>
        <v/>
      </c>
      <c r="AD4397" s="52">
        <f>IF(AB4397="","",IFERROR(INDEX(ctaTipo,MATCH(AB4397,ctaNombre,0))&amp;"",""))</f>
        <v/>
      </c>
      <c r="AE4397" s="52">
        <f>IF(AC4397="","",IFERROR(INDEX(ctaTipo,MATCH(AC4397,ctaNombre,0))&amp;"",""))</f>
        <v/>
      </c>
      <c r="AF4397" s="53">
        <f>IF(OR(P4397="",AB4397=""),"",IF(OR(P4397="Gasto",P4397="Transferencia",P4397="Pago tarjeta"),-1,1)*IF(IFERROR(INDEX(ctaMoneda,MATCH(AB4397,ctaNombre,0))&amp;"","DOP")="USD",T4397,S4397))</f>
        <v/>
      </c>
      <c r="AG4397" s="53">
        <f>IF(AC4397="","",IF(IFERROR(INDEX(ctaMoneda,MATCH(AC4397,ctaNombre,0))&amp;"","DOP")="USD",T4397,S4397))</f>
        <v/>
      </c>
      <c r="AH4397" s="53">
        <f>IF(P4397="","",IF(AND(AD4397&lt;&gt;"",COUNTIFS(tcTipo,AD4397,tcLiq,"Sí")&gt;0),IF(OR(P4397="Gasto",P4397="Transferencia",P4397="Pago tarjeta"),-1,1)*S4397,0)+IF(AND(AE4397&lt;&gt;"",COUNTIFS(tcTipo,AE4397,tcLiq,"Sí")&gt;0),S4397,0))</f>
        <v/>
      </c>
      <c r="AI4397" s="52">
        <f>IF(OR(L4397="",P4397=""),"",IF(COUNTIFS(L$6:L4397,L4397,P$6:P4397,"?*")=1,MAX(AI$5:AI4396)+1,""))</f>
        <v/>
      </c>
    </row>
    <row r="4398">
      <c r="B4398" s="47" t="n"/>
      <c r="C4398" s="48" t="n"/>
      <c r="D4398" s="48" t="n"/>
      <c r="E4398" s="48" t="n"/>
      <c r="F4398" s="48" t="n"/>
      <c r="G4398" s="49" t="n"/>
      <c r="H4398" s="48" t="n"/>
      <c r="I4398" s="50" t="n"/>
      <c r="J4398" s="48" t="n"/>
      <c r="K4398" s="48" t="n"/>
      <c r="L4398" s="48" t="n"/>
      <c r="M4398" s="48" t="n"/>
      <c r="N4398" s="48" t="n"/>
      <c r="O4398" s="51">
        <f>IF(AND(B4398="",G4398="",C4398="",D4398="",J4398=""),"",IF(B4398="","⚠ Falta fecha",IF(G4398="","⚠ Falta monto",IF(Q4398="","⚠ Falta cuenta",IF(ISNA(MATCH(Q4398,ctaNombre,0)),"⚠ Cuenta no registrada",IF(AND(OR(P4398="Gasto",P4398="Reembolso"),D4398=""),"⚠ Falta categoría",IF(AND(D4398&lt;&gt;"",E4398&lt;&gt;"",ISNA(MATCH(D4398&amp;"|"&amp;E4398,catClave,0))),"⚠ Subcategoría no corresponde",IF(AND(OR(P4398="Transferencia",P4398="Pago tarjeta"),K4398=""),"⚠ Falta cuenta destino",IF(AND(K4398&lt;&gt;"",P4398&lt;&gt;"Transferencia",P4398&lt;&gt;"Pago tarjeta"),"⚠ Destino solo aplica a transferencias",IF(AND(K4398&lt;&gt;"",K4398=Q4398),"⚠ Origen igual a destino",IF(AND(K4398&lt;&gt;"",ISNA(MATCH(K4398,ctaNombre,0))),"⚠ Destino no registrado",IF(AND(P4398="Pago tarjeta",AE4398&lt;&gt;"Tarjeta de crédito"),"⚠ El destino debe ser tarjeta de crédito",IF(AND(P4398="Gasto",E4398="Depósitos y retiros"),"⚠ Usa tipo Transferencia",IF(AND(P4398="Resultado trading",AD4398&lt;&gt;"Cuenta de trading"),"⚠ Usa una cuenta de trading",IF(AND(G4398&lt;=0,P4398&lt;&gt;"Ajuste",P4398&lt;&gt;"Resultado trading"),"⚠ El monto debe ser positivo","✓")))))))))))))))</f>
        <v/>
      </c>
      <c r="P4398" s="52">
        <f>IF(OR(B4398="",G4398=""),"",IF(C4398="","Gasto",C4398))</f>
        <v/>
      </c>
      <c r="Q4398" s="52">
        <f>IF(P4398="","",IF(J4398&lt;&gt;"",J4398,CuentaPred&amp;""))</f>
        <v/>
      </c>
      <c r="R4398" s="52">
        <f>IF(P4398="","",IF(ISNUMBER(I4398),I4398,TasaUSD))</f>
        <v/>
      </c>
      <c r="S4398" s="53">
        <f>IF(P4398="","",IF(H4398="USD",G4398*R4398,G4398))</f>
        <v/>
      </c>
      <c r="T4398" s="53">
        <f>IF(P4398="","",IF(H4398="USD",G4398,IF(R4398&gt;0,G4398/R4398,0)))</f>
        <v/>
      </c>
      <c r="U4398" s="53">
        <f>IF(P4398="","",IF(P4398="Gasto",S4398,IF(P4398="Reembolso",-S4398,0)))</f>
        <v/>
      </c>
      <c r="V4398" s="53">
        <f>IF(P4398="","",IF(P4398="Ingreso",S4398,0))</f>
        <v/>
      </c>
      <c r="W4398" s="53">
        <f>IF(P4398="","",IF(P4398="Resultado trading",S4398,0))</f>
        <v/>
      </c>
      <c r="X4398" s="52">
        <f>IF(OR(P4398="Gasto",P4398="Reembolso"),IF(M4398&lt;&gt;"",M4398,IFERROR(INDEX(catClasif,MATCH(D4398&amp;"|"&amp;E4398,catClave,0))&amp;"","Variable")),"")</f>
        <v/>
      </c>
      <c r="Y4398" s="52">
        <f>IF(P4398="","",IFERROR(INDEX(catGrupo,MATCH(D4398&amp;"|"&amp;E4398,catClave,0))&amp;"",""))</f>
        <v/>
      </c>
      <c r="Z4398" s="52">
        <f>IF(P4398="","",WEEKDAY(B4398,2))</f>
        <v/>
      </c>
      <c r="AA4398" s="52">
        <f>IF(P4398="","",IF(AND(P4398="Gasto",X4398="Variable",D4398&lt;&gt;catTrading,S4398&gt;0,S4398&lt;=Umbral),1,0))</f>
        <v/>
      </c>
      <c r="AB4398" s="52">
        <f>IF(OR(P4398="",Q4398=""),"",IFERROR(IF(INDEX(ctaVinc,MATCH(Q4398,ctaNombre,0))&amp;""&lt;&gt;"",INDEX(ctaVinc,MATCH(Q4398,ctaNombre,0))&amp;"",Q4398),Q4398))</f>
        <v/>
      </c>
      <c r="AC4398" s="52">
        <f>IF(OR(K4398="",AND(P4398&lt;&gt;"Transferencia",P4398&lt;&gt;"Pago tarjeta")),"",IFERROR(IF(INDEX(ctaVinc,MATCH(K4398,ctaNombre,0))&amp;""&lt;&gt;"",INDEX(ctaVinc,MATCH(K4398,ctaNombre,0))&amp;"",K4398),K4398))</f>
        <v/>
      </c>
      <c r="AD4398" s="52">
        <f>IF(AB4398="","",IFERROR(INDEX(ctaTipo,MATCH(AB4398,ctaNombre,0))&amp;"",""))</f>
        <v/>
      </c>
      <c r="AE4398" s="52">
        <f>IF(AC4398="","",IFERROR(INDEX(ctaTipo,MATCH(AC4398,ctaNombre,0))&amp;"",""))</f>
        <v/>
      </c>
      <c r="AF4398" s="53">
        <f>IF(OR(P4398="",AB4398=""),"",IF(OR(P4398="Gasto",P4398="Transferencia",P4398="Pago tarjeta"),-1,1)*IF(IFERROR(INDEX(ctaMoneda,MATCH(AB4398,ctaNombre,0))&amp;"","DOP")="USD",T4398,S4398))</f>
        <v/>
      </c>
      <c r="AG4398" s="53">
        <f>IF(AC4398="","",IF(IFERROR(INDEX(ctaMoneda,MATCH(AC4398,ctaNombre,0))&amp;"","DOP")="USD",T4398,S4398))</f>
        <v/>
      </c>
      <c r="AH4398" s="53">
        <f>IF(P4398="","",IF(AND(AD4398&lt;&gt;"",COUNTIFS(tcTipo,AD4398,tcLiq,"Sí")&gt;0),IF(OR(P4398="Gasto",P4398="Transferencia",P4398="Pago tarjeta"),-1,1)*S4398,0)+IF(AND(AE4398&lt;&gt;"",COUNTIFS(tcTipo,AE4398,tcLiq,"Sí")&gt;0),S4398,0))</f>
        <v/>
      </c>
      <c r="AI4398" s="52">
        <f>IF(OR(L4398="",P4398=""),"",IF(COUNTIFS(L$6:L4398,L4398,P$6:P4398,"?*")=1,MAX(AI$5:AI4397)+1,""))</f>
        <v/>
      </c>
    </row>
    <row r="4399">
      <c r="B4399" s="47" t="n"/>
      <c r="C4399" s="48" t="n"/>
      <c r="D4399" s="48" t="n"/>
      <c r="E4399" s="48" t="n"/>
      <c r="F4399" s="48" t="n"/>
      <c r="G4399" s="49" t="n"/>
      <c r="H4399" s="48" t="n"/>
      <c r="I4399" s="50" t="n"/>
      <c r="J4399" s="48" t="n"/>
      <c r="K4399" s="48" t="n"/>
      <c r="L4399" s="48" t="n"/>
      <c r="M4399" s="48" t="n"/>
      <c r="N4399" s="48" t="n"/>
      <c r="O4399" s="51">
        <f>IF(AND(B4399="",G4399="",C4399="",D4399="",J4399=""),"",IF(B4399="","⚠ Falta fecha",IF(G4399="","⚠ Falta monto",IF(Q4399="","⚠ Falta cuenta",IF(ISNA(MATCH(Q4399,ctaNombre,0)),"⚠ Cuenta no registrada",IF(AND(OR(P4399="Gasto",P4399="Reembolso"),D4399=""),"⚠ Falta categoría",IF(AND(D4399&lt;&gt;"",E4399&lt;&gt;"",ISNA(MATCH(D4399&amp;"|"&amp;E4399,catClave,0))),"⚠ Subcategoría no corresponde",IF(AND(OR(P4399="Transferencia",P4399="Pago tarjeta"),K4399=""),"⚠ Falta cuenta destino",IF(AND(K4399&lt;&gt;"",P4399&lt;&gt;"Transferencia",P4399&lt;&gt;"Pago tarjeta"),"⚠ Destino solo aplica a transferencias",IF(AND(K4399&lt;&gt;"",K4399=Q4399),"⚠ Origen igual a destino",IF(AND(K4399&lt;&gt;"",ISNA(MATCH(K4399,ctaNombre,0))),"⚠ Destino no registrado",IF(AND(P4399="Pago tarjeta",AE4399&lt;&gt;"Tarjeta de crédito"),"⚠ El destino debe ser tarjeta de crédito",IF(AND(P4399="Gasto",E4399="Depósitos y retiros"),"⚠ Usa tipo Transferencia",IF(AND(P4399="Resultado trading",AD4399&lt;&gt;"Cuenta de trading"),"⚠ Usa una cuenta de trading",IF(AND(G4399&lt;=0,P4399&lt;&gt;"Ajuste",P4399&lt;&gt;"Resultado trading"),"⚠ El monto debe ser positivo","✓")))))))))))))))</f>
        <v/>
      </c>
      <c r="P4399" s="52">
        <f>IF(OR(B4399="",G4399=""),"",IF(C4399="","Gasto",C4399))</f>
        <v/>
      </c>
      <c r="Q4399" s="52">
        <f>IF(P4399="","",IF(J4399&lt;&gt;"",J4399,CuentaPred&amp;""))</f>
        <v/>
      </c>
      <c r="R4399" s="52">
        <f>IF(P4399="","",IF(ISNUMBER(I4399),I4399,TasaUSD))</f>
        <v/>
      </c>
      <c r="S4399" s="53">
        <f>IF(P4399="","",IF(H4399="USD",G4399*R4399,G4399))</f>
        <v/>
      </c>
      <c r="T4399" s="53">
        <f>IF(P4399="","",IF(H4399="USD",G4399,IF(R4399&gt;0,G4399/R4399,0)))</f>
        <v/>
      </c>
      <c r="U4399" s="53">
        <f>IF(P4399="","",IF(P4399="Gasto",S4399,IF(P4399="Reembolso",-S4399,0)))</f>
        <v/>
      </c>
      <c r="V4399" s="53">
        <f>IF(P4399="","",IF(P4399="Ingreso",S4399,0))</f>
        <v/>
      </c>
      <c r="W4399" s="53">
        <f>IF(P4399="","",IF(P4399="Resultado trading",S4399,0))</f>
        <v/>
      </c>
      <c r="X4399" s="52">
        <f>IF(OR(P4399="Gasto",P4399="Reembolso"),IF(M4399&lt;&gt;"",M4399,IFERROR(INDEX(catClasif,MATCH(D4399&amp;"|"&amp;E4399,catClave,0))&amp;"","Variable")),"")</f>
        <v/>
      </c>
      <c r="Y4399" s="52">
        <f>IF(P4399="","",IFERROR(INDEX(catGrupo,MATCH(D4399&amp;"|"&amp;E4399,catClave,0))&amp;"",""))</f>
        <v/>
      </c>
      <c r="Z4399" s="52">
        <f>IF(P4399="","",WEEKDAY(B4399,2))</f>
        <v/>
      </c>
      <c r="AA4399" s="52">
        <f>IF(P4399="","",IF(AND(P4399="Gasto",X4399="Variable",D4399&lt;&gt;catTrading,S4399&gt;0,S4399&lt;=Umbral),1,0))</f>
        <v/>
      </c>
      <c r="AB4399" s="52">
        <f>IF(OR(P4399="",Q4399=""),"",IFERROR(IF(INDEX(ctaVinc,MATCH(Q4399,ctaNombre,0))&amp;""&lt;&gt;"",INDEX(ctaVinc,MATCH(Q4399,ctaNombre,0))&amp;"",Q4399),Q4399))</f>
        <v/>
      </c>
      <c r="AC4399" s="52">
        <f>IF(OR(K4399="",AND(P4399&lt;&gt;"Transferencia",P4399&lt;&gt;"Pago tarjeta")),"",IFERROR(IF(INDEX(ctaVinc,MATCH(K4399,ctaNombre,0))&amp;""&lt;&gt;"",INDEX(ctaVinc,MATCH(K4399,ctaNombre,0))&amp;"",K4399),K4399))</f>
        <v/>
      </c>
      <c r="AD4399" s="52">
        <f>IF(AB4399="","",IFERROR(INDEX(ctaTipo,MATCH(AB4399,ctaNombre,0))&amp;"",""))</f>
        <v/>
      </c>
      <c r="AE4399" s="52">
        <f>IF(AC4399="","",IFERROR(INDEX(ctaTipo,MATCH(AC4399,ctaNombre,0))&amp;"",""))</f>
        <v/>
      </c>
      <c r="AF4399" s="53">
        <f>IF(OR(P4399="",AB4399=""),"",IF(OR(P4399="Gasto",P4399="Transferencia",P4399="Pago tarjeta"),-1,1)*IF(IFERROR(INDEX(ctaMoneda,MATCH(AB4399,ctaNombre,0))&amp;"","DOP")="USD",T4399,S4399))</f>
        <v/>
      </c>
      <c r="AG4399" s="53">
        <f>IF(AC4399="","",IF(IFERROR(INDEX(ctaMoneda,MATCH(AC4399,ctaNombre,0))&amp;"","DOP")="USD",T4399,S4399))</f>
        <v/>
      </c>
      <c r="AH4399" s="53">
        <f>IF(P4399="","",IF(AND(AD4399&lt;&gt;"",COUNTIFS(tcTipo,AD4399,tcLiq,"Sí")&gt;0),IF(OR(P4399="Gasto",P4399="Transferencia",P4399="Pago tarjeta"),-1,1)*S4399,0)+IF(AND(AE4399&lt;&gt;"",COUNTIFS(tcTipo,AE4399,tcLiq,"Sí")&gt;0),S4399,0))</f>
        <v/>
      </c>
      <c r="AI4399" s="52">
        <f>IF(OR(L4399="",P4399=""),"",IF(COUNTIFS(L$6:L4399,L4399,P$6:P4399,"?*")=1,MAX(AI$5:AI4398)+1,""))</f>
        <v/>
      </c>
    </row>
    <row r="4400">
      <c r="B4400" s="47" t="n"/>
      <c r="C4400" s="48" t="n"/>
      <c r="D4400" s="48" t="n"/>
      <c r="E4400" s="48" t="n"/>
      <c r="F4400" s="48" t="n"/>
      <c r="G4400" s="49" t="n"/>
      <c r="H4400" s="48" t="n"/>
      <c r="I4400" s="50" t="n"/>
      <c r="J4400" s="48" t="n"/>
      <c r="K4400" s="48" t="n"/>
      <c r="L4400" s="48" t="n"/>
      <c r="M4400" s="48" t="n"/>
      <c r="N4400" s="48" t="n"/>
      <c r="O4400" s="51">
        <f>IF(AND(B4400="",G4400="",C4400="",D4400="",J4400=""),"",IF(B4400="","⚠ Falta fecha",IF(G4400="","⚠ Falta monto",IF(Q4400="","⚠ Falta cuenta",IF(ISNA(MATCH(Q4400,ctaNombre,0)),"⚠ Cuenta no registrada",IF(AND(OR(P4400="Gasto",P4400="Reembolso"),D4400=""),"⚠ Falta categoría",IF(AND(D4400&lt;&gt;"",E4400&lt;&gt;"",ISNA(MATCH(D4400&amp;"|"&amp;E4400,catClave,0))),"⚠ Subcategoría no corresponde",IF(AND(OR(P4400="Transferencia",P4400="Pago tarjeta"),K4400=""),"⚠ Falta cuenta destino",IF(AND(K4400&lt;&gt;"",P4400&lt;&gt;"Transferencia",P4400&lt;&gt;"Pago tarjeta"),"⚠ Destino solo aplica a transferencias",IF(AND(K4400&lt;&gt;"",K4400=Q4400),"⚠ Origen igual a destino",IF(AND(K4400&lt;&gt;"",ISNA(MATCH(K4400,ctaNombre,0))),"⚠ Destino no registrado",IF(AND(P4400="Pago tarjeta",AE4400&lt;&gt;"Tarjeta de crédito"),"⚠ El destino debe ser tarjeta de crédito",IF(AND(P4400="Gasto",E4400="Depósitos y retiros"),"⚠ Usa tipo Transferencia",IF(AND(P4400="Resultado trading",AD4400&lt;&gt;"Cuenta de trading"),"⚠ Usa una cuenta de trading",IF(AND(G4400&lt;=0,P4400&lt;&gt;"Ajuste",P4400&lt;&gt;"Resultado trading"),"⚠ El monto debe ser positivo","✓")))))))))))))))</f>
        <v/>
      </c>
      <c r="P4400" s="52">
        <f>IF(OR(B4400="",G4400=""),"",IF(C4400="","Gasto",C4400))</f>
        <v/>
      </c>
      <c r="Q4400" s="52">
        <f>IF(P4400="","",IF(J4400&lt;&gt;"",J4400,CuentaPred&amp;""))</f>
        <v/>
      </c>
      <c r="R4400" s="52">
        <f>IF(P4400="","",IF(ISNUMBER(I4400),I4400,TasaUSD))</f>
        <v/>
      </c>
      <c r="S4400" s="53">
        <f>IF(P4400="","",IF(H4400="USD",G4400*R4400,G4400))</f>
        <v/>
      </c>
      <c r="T4400" s="53">
        <f>IF(P4400="","",IF(H4400="USD",G4400,IF(R4400&gt;0,G4400/R4400,0)))</f>
        <v/>
      </c>
      <c r="U4400" s="53">
        <f>IF(P4400="","",IF(P4400="Gasto",S4400,IF(P4400="Reembolso",-S4400,0)))</f>
        <v/>
      </c>
      <c r="V4400" s="53">
        <f>IF(P4400="","",IF(P4400="Ingreso",S4400,0))</f>
        <v/>
      </c>
      <c r="W4400" s="53">
        <f>IF(P4400="","",IF(P4400="Resultado trading",S4400,0))</f>
        <v/>
      </c>
      <c r="X4400" s="52">
        <f>IF(OR(P4400="Gasto",P4400="Reembolso"),IF(M4400&lt;&gt;"",M4400,IFERROR(INDEX(catClasif,MATCH(D4400&amp;"|"&amp;E4400,catClave,0))&amp;"","Variable")),"")</f>
        <v/>
      </c>
      <c r="Y4400" s="52">
        <f>IF(P4400="","",IFERROR(INDEX(catGrupo,MATCH(D4400&amp;"|"&amp;E4400,catClave,0))&amp;"",""))</f>
        <v/>
      </c>
      <c r="Z4400" s="52">
        <f>IF(P4400="","",WEEKDAY(B4400,2))</f>
        <v/>
      </c>
      <c r="AA4400" s="52">
        <f>IF(P4400="","",IF(AND(P4400="Gasto",X4400="Variable",D4400&lt;&gt;catTrading,S4400&gt;0,S4400&lt;=Umbral),1,0))</f>
        <v/>
      </c>
      <c r="AB4400" s="52">
        <f>IF(OR(P4400="",Q4400=""),"",IFERROR(IF(INDEX(ctaVinc,MATCH(Q4400,ctaNombre,0))&amp;""&lt;&gt;"",INDEX(ctaVinc,MATCH(Q4400,ctaNombre,0))&amp;"",Q4400),Q4400))</f>
        <v/>
      </c>
      <c r="AC4400" s="52">
        <f>IF(OR(K4400="",AND(P4400&lt;&gt;"Transferencia",P4400&lt;&gt;"Pago tarjeta")),"",IFERROR(IF(INDEX(ctaVinc,MATCH(K4400,ctaNombre,0))&amp;""&lt;&gt;"",INDEX(ctaVinc,MATCH(K4400,ctaNombre,0))&amp;"",K4400),K4400))</f>
        <v/>
      </c>
      <c r="AD4400" s="52">
        <f>IF(AB4400="","",IFERROR(INDEX(ctaTipo,MATCH(AB4400,ctaNombre,0))&amp;"",""))</f>
        <v/>
      </c>
      <c r="AE4400" s="52">
        <f>IF(AC4400="","",IFERROR(INDEX(ctaTipo,MATCH(AC4400,ctaNombre,0))&amp;"",""))</f>
        <v/>
      </c>
      <c r="AF4400" s="53">
        <f>IF(OR(P4400="",AB4400=""),"",IF(OR(P4400="Gasto",P4400="Transferencia",P4400="Pago tarjeta"),-1,1)*IF(IFERROR(INDEX(ctaMoneda,MATCH(AB4400,ctaNombre,0))&amp;"","DOP")="USD",T4400,S4400))</f>
        <v/>
      </c>
      <c r="AG4400" s="53">
        <f>IF(AC4400="","",IF(IFERROR(INDEX(ctaMoneda,MATCH(AC4400,ctaNombre,0))&amp;"","DOP")="USD",T4400,S4400))</f>
        <v/>
      </c>
      <c r="AH4400" s="53">
        <f>IF(P4400="","",IF(AND(AD4400&lt;&gt;"",COUNTIFS(tcTipo,AD4400,tcLiq,"Sí")&gt;0),IF(OR(P4400="Gasto",P4400="Transferencia",P4400="Pago tarjeta"),-1,1)*S4400,0)+IF(AND(AE4400&lt;&gt;"",COUNTIFS(tcTipo,AE4400,tcLiq,"Sí")&gt;0),S4400,0))</f>
        <v/>
      </c>
      <c r="AI4400" s="52">
        <f>IF(OR(L4400="",P4400=""),"",IF(COUNTIFS(L$6:L4400,L4400,P$6:P4400,"?*")=1,MAX(AI$5:AI4399)+1,""))</f>
        <v/>
      </c>
    </row>
    <row r="4401">
      <c r="B4401" s="47" t="n"/>
      <c r="C4401" s="48" t="n"/>
      <c r="D4401" s="48" t="n"/>
      <c r="E4401" s="48" t="n"/>
      <c r="F4401" s="48" t="n"/>
      <c r="G4401" s="49" t="n"/>
      <c r="H4401" s="48" t="n"/>
      <c r="I4401" s="50" t="n"/>
      <c r="J4401" s="48" t="n"/>
      <c r="K4401" s="48" t="n"/>
      <c r="L4401" s="48" t="n"/>
      <c r="M4401" s="48" t="n"/>
      <c r="N4401" s="48" t="n"/>
      <c r="O4401" s="51">
        <f>IF(AND(B4401="",G4401="",C4401="",D4401="",J4401=""),"",IF(B4401="","⚠ Falta fecha",IF(G4401="","⚠ Falta monto",IF(Q4401="","⚠ Falta cuenta",IF(ISNA(MATCH(Q4401,ctaNombre,0)),"⚠ Cuenta no registrada",IF(AND(OR(P4401="Gasto",P4401="Reembolso"),D4401=""),"⚠ Falta categoría",IF(AND(D4401&lt;&gt;"",E4401&lt;&gt;"",ISNA(MATCH(D4401&amp;"|"&amp;E4401,catClave,0))),"⚠ Subcategoría no corresponde",IF(AND(OR(P4401="Transferencia",P4401="Pago tarjeta"),K4401=""),"⚠ Falta cuenta destino",IF(AND(K4401&lt;&gt;"",P4401&lt;&gt;"Transferencia",P4401&lt;&gt;"Pago tarjeta"),"⚠ Destino solo aplica a transferencias",IF(AND(K4401&lt;&gt;"",K4401=Q4401),"⚠ Origen igual a destino",IF(AND(K4401&lt;&gt;"",ISNA(MATCH(K4401,ctaNombre,0))),"⚠ Destino no registrado",IF(AND(P4401="Pago tarjeta",AE4401&lt;&gt;"Tarjeta de crédito"),"⚠ El destino debe ser tarjeta de crédito",IF(AND(P4401="Gasto",E4401="Depósitos y retiros"),"⚠ Usa tipo Transferencia",IF(AND(P4401="Resultado trading",AD4401&lt;&gt;"Cuenta de trading"),"⚠ Usa una cuenta de trading",IF(AND(G4401&lt;=0,P4401&lt;&gt;"Ajuste",P4401&lt;&gt;"Resultado trading"),"⚠ El monto debe ser positivo","✓")))))))))))))))</f>
        <v/>
      </c>
      <c r="P4401" s="52">
        <f>IF(OR(B4401="",G4401=""),"",IF(C4401="","Gasto",C4401))</f>
        <v/>
      </c>
      <c r="Q4401" s="52">
        <f>IF(P4401="","",IF(J4401&lt;&gt;"",J4401,CuentaPred&amp;""))</f>
        <v/>
      </c>
      <c r="R4401" s="52">
        <f>IF(P4401="","",IF(ISNUMBER(I4401),I4401,TasaUSD))</f>
        <v/>
      </c>
      <c r="S4401" s="53">
        <f>IF(P4401="","",IF(H4401="USD",G4401*R4401,G4401))</f>
        <v/>
      </c>
      <c r="T4401" s="53">
        <f>IF(P4401="","",IF(H4401="USD",G4401,IF(R4401&gt;0,G4401/R4401,0)))</f>
        <v/>
      </c>
      <c r="U4401" s="53">
        <f>IF(P4401="","",IF(P4401="Gasto",S4401,IF(P4401="Reembolso",-S4401,0)))</f>
        <v/>
      </c>
      <c r="V4401" s="53">
        <f>IF(P4401="","",IF(P4401="Ingreso",S4401,0))</f>
        <v/>
      </c>
      <c r="W4401" s="53">
        <f>IF(P4401="","",IF(P4401="Resultado trading",S4401,0))</f>
        <v/>
      </c>
      <c r="X4401" s="52">
        <f>IF(OR(P4401="Gasto",P4401="Reembolso"),IF(M4401&lt;&gt;"",M4401,IFERROR(INDEX(catClasif,MATCH(D4401&amp;"|"&amp;E4401,catClave,0))&amp;"","Variable")),"")</f>
        <v/>
      </c>
      <c r="Y4401" s="52">
        <f>IF(P4401="","",IFERROR(INDEX(catGrupo,MATCH(D4401&amp;"|"&amp;E4401,catClave,0))&amp;"",""))</f>
        <v/>
      </c>
      <c r="Z4401" s="52">
        <f>IF(P4401="","",WEEKDAY(B4401,2))</f>
        <v/>
      </c>
      <c r="AA4401" s="52">
        <f>IF(P4401="","",IF(AND(P4401="Gasto",X4401="Variable",D4401&lt;&gt;catTrading,S4401&gt;0,S4401&lt;=Umbral),1,0))</f>
        <v/>
      </c>
      <c r="AB4401" s="52">
        <f>IF(OR(P4401="",Q4401=""),"",IFERROR(IF(INDEX(ctaVinc,MATCH(Q4401,ctaNombre,0))&amp;""&lt;&gt;"",INDEX(ctaVinc,MATCH(Q4401,ctaNombre,0))&amp;"",Q4401),Q4401))</f>
        <v/>
      </c>
      <c r="AC4401" s="52">
        <f>IF(OR(K4401="",AND(P4401&lt;&gt;"Transferencia",P4401&lt;&gt;"Pago tarjeta")),"",IFERROR(IF(INDEX(ctaVinc,MATCH(K4401,ctaNombre,0))&amp;""&lt;&gt;"",INDEX(ctaVinc,MATCH(K4401,ctaNombre,0))&amp;"",K4401),K4401))</f>
        <v/>
      </c>
      <c r="AD4401" s="52">
        <f>IF(AB4401="","",IFERROR(INDEX(ctaTipo,MATCH(AB4401,ctaNombre,0))&amp;"",""))</f>
        <v/>
      </c>
      <c r="AE4401" s="52">
        <f>IF(AC4401="","",IFERROR(INDEX(ctaTipo,MATCH(AC4401,ctaNombre,0))&amp;"",""))</f>
        <v/>
      </c>
      <c r="AF4401" s="53">
        <f>IF(OR(P4401="",AB4401=""),"",IF(OR(P4401="Gasto",P4401="Transferencia",P4401="Pago tarjeta"),-1,1)*IF(IFERROR(INDEX(ctaMoneda,MATCH(AB4401,ctaNombre,0))&amp;"","DOP")="USD",T4401,S4401))</f>
        <v/>
      </c>
      <c r="AG4401" s="53">
        <f>IF(AC4401="","",IF(IFERROR(INDEX(ctaMoneda,MATCH(AC4401,ctaNombre,0))&amp;"","DOP")="USD",T4401,S4401))</f>
        <v/>
      </c>
      <c r="AH4401" s="53">
        <f>IF(P4401="","",IF(AND(AD4401&lt;&gt;"",COUNTIFS(tcTipo,AD4401,tcLiq,"Sí")&gt;0),IF(OR(P4401="Gasto",P4401="Transferencia",P4401="Pago tarjeta"),-1,1)*S4401,0)+IF(AND(AE4401&lt;&gt;"",COUNTIFS(tcTipo,AE4401,tcLiq,"Sí")&gt;0),S4401,0))</f>
        <v/>
      </c>
      <c r="AI4401" s="52">
        <f>IF(OR(L4401="",P4401=""),"",IF(COUNTIFS(L$6:L4401,L4401,P$6:P4401,"?*")=1,MAX(AI$5:AI4400)+1,""))</f>
        <v/>
      </c>
    </row>
    <row r="4402">
      <c r="B4402" s="47" t="n"/>
      <c r="C4402" s="48" t="n"/>
      <c r="D4402" s="48" t="n"/>
      <c r="E4402" s="48" t="n"/>
      <c r="F4402" s="48" t="n"/>
      <c r="G4402" s="49" t="n"/>
      <c r="H4402" s="48" t="n"/>
      <c r="I4402" s="50" t="n"/>
      <c r="J4402" s="48" t="n"/>
      <c r="K4402" s="48" t="n"/>
      <c r="L4402" s="48" t="n"/>
      <c r="M4402" s="48" t="n"/>
      <c r="N4402" s="48" t="n"/>
      <c r="O4402" s="51">
        <f>IF(AND(B4402="",G4402="",C4402="",D4402="",J4402=""),"",IF(B4402="","⚠ Falta fecha",IF(G4402="","⚠ Falta monto",IF(Q4402="","⚠ Falta cuenta",IF(ISNA(MATCH(Q4402,ctaNombre,0)),"⚠ Cuenta no registrada",IF(AND(OR(P4402="Gasto",P4402="Reembolso"),D4402=""),"⚠ Falta categoría",IF(AND(D4402&lt;&gt;"",E4402&lt;&gt;"",ISNA(MATCH(D4402&amp;"|"&amp;E4402,catClave,0))),"⚠ Subcategoría no corresponde",IF(AND(OR(P4402="Transferencia",P4402="Pago tarjeta"),K4402=""),"⚠ Falta cuenta destino",IF(AND(K4402&lt;&gt;"",P4402&lt;&gt;"Transferencia",P4402&lt;&gt;"Pago tarjeta"),"⚠ Destino solo aplica a transferencias",IF(AND(K4402&lt;&gt;"",K4402=Q4402),"⚠ Origen igual a destino",IF(AND(K4402&lt;&gt;"",ISNA(MATCH(K4402,ctaNombre,0))),"⚠ Destino no registrado",IF(AND(P4402="Pago tarjeta",AE4402&lt;&gt;"Tarjeta de crédito"),"⚠ El destino debe ser tarjeta de crédito",IF(AND(P4402="Gasto",E4402="Depósitos y retiros"),"⚠ Usa tipo Transferencia",IF(AND(P4402="Resultado trading",AD4402&lt;&gt;"Cuenta de trading"),"⚠ Usa una cuenta de trading",IF(AND(G4402&lt;=0,P4402&lt;&gt;"Ajuste",P4402&lt;&gt;"Resultado trading"),"⚠ El monto debe ser positivo","✓")))))))))))))))</f>
        <v/>
      </c>
      <c r="P4402" s="52">
        <f>IF(OR(B4402="",G4402=""),"",IF(C4402="","Gasto",C4402))</f>
        <v/>
      </c>
      <c r="Q4402" s="52">
        <f>IF(P4402="","",IF(J4402&lt;&gt;"",J4402,CuentaPred&amp;""))</f>
        <v/>
      </c>
      <c r="R4402" s="52">
        <f>IF(P4402="","",IF(ISNUMBER(I4402),I4402,TasaUSD))</f>
        <v/>
      </c>
      <c r="S4402" s="53">
        <f>IF(P4402="","",IF(H4402="USD",G4402*R4402,G4402))</f>
        <v/>
      </c>
      <c r="T4402" s="53">
        <f>IF(P4402="","",IF(H4402="USD",G4402,IF(R4402&gt;0,G4402/R4402,0)))</f>
        <v/>
      </c>
      <c r="U4402" s="53">
        <f>IF(P4402="","",IF(P4402="Gasto",S4402,IF(P4402="Reembolso",-S4402,0)))</f>
        <v/>
      </c>
      <c r="V4402" s="53">
        <f>IF(P4402="","",IF(P4402="Ingreso",S4402,0))</f>
        <v/>
      </c>
      <c r="W4402" s="53">
        <f>IF(P4402="","",IF(P4402="Resultado trading",S4402,0))</f>
        <v/>
      </c>
      <c r="X4402" s="52">
        <f>IF(OR(P4402="Gasto",P4402="Reembolso"),IF(M4402&lt;&gt;"",M4402,IFERROR(INDEX(catClasif,MATCH(D4402&amp;"|"&amp;E4402,catClave,0))&amp;"","Variable")),"")</f>
        <v/>
      </c>
      <c r="Y4402" s="52">
        <f>IF(P4402="","",IFERROR(INDEX(catGrupo,MATCH(D4402&amp;"|"&amp;E4402,catClave,0))&amp;"",""))</f>
        <v/>
      </c>
      <c r="Z4402" s="52">
        <f>IF(P4402="","",WEEKDAY(B4402,2))</f>
        <v/>
      </c>
      <c r="AA4402" s="52">
        <f>IF(P4402="","",IF(AND(P4402="Gasto",X4402="Variable",D4402&lt;&gt;catTrading,S4402&gt;0,S4402&lt;=Umbral),1,0))</f>
        <v/>
      </c>
      <c r="AB4402" s="52">
        <f>IF(OR(P4402="",Q4402=""),"",IFERROR(IF(INDEX(ctaVinc,MATCH(Q4402,ctaNombre,0))&amp;""&lt;&gt;"",INDEX(ctaVinc,MATCH(Q4402,ctaNombre,0))&amp;"",Q4402),Q4402))</f>
        <v/>
      </c>
      <c r="AC4402" s="52">
        <f>IF(OR(K4402="",AND(P4402&lt;&gt;"Transferencia",P4402&lt;&gt;"Pago tarjeta")),"",IFERROR(IF(INDEX(ctaVinc,MATCH(K4402,ctaNombre,0))&amp;""&lt;&gt;"",INDEX(ctaVinc,MATCH(K4402,ctaNombre,0))&amp;"",K4402),K4402))</f>
        <v/>
      </c>
      <c r="AD4402" s="52">
        <f>IF(AB4402="","",IFERROR(INDEX(ctaTipo,MATCH(AB4402,ctaNombre,0))&amp;"",""))</f>
        <v/>
      </c>
      <c r="AE4402" s="52">
        <f>IF(AC4402="","",IFERROR(INDEX(ctaTipo,MATCH(AC4402,ctaNombre,0))&amp;"",""))</f>
        <v/>
      </c>
      <c r="AF4402" s="53">
        <f>IF(OR(P4402="",AB4402=""),"",IF(OR(P4402="Gasto",P4402="Transferencia",P4402="Pago tarjeta"),-1,1)*IF(IFERROR(INDEX(ctaMoneda,MATCH(AB4402,ctaNombre,0))&amp;"","DOP")="USD",T4402,S4402))</f>
        <v/>
      </c>
      <c r="AG4402" s="53">
        <f>IF(AC4402="","",IF(IFERROR(INDEX(ctaMoneda,MATCH(AC4402,ctaNombre,0))&amp;"","DOP")="USD",T4402,S4402))</f>
        <v/>
      </c>
      <c r="AH4402" s="53">
        <f>IF(P4402="","",IF(AND(AD4402&lt;&gt;"",COUNTIFS(tcTipo,AD4402,tcLiq,"Sí")&gt;0),IF(OR(P4402="Gasto",P4402="Transferencia",P4402="Pago tarjeta"),-1,1)*S4402,0)+IF(AND(AE4402&lt;&gt;"",COUNTIFS(tcTipo,AE4402,tcLiq,"Sí")&gt;0),S4402,0))</f>
        <v/>
      </c>
      <c r="AI4402" s="52">
        <f>IF(OR(L4402="",P4402=""),"",IF(COUNTIFS(L$6:L4402,L4402,P$6:P4402,"?*")=1,MAX(AI$5:AI4401)+1,""))</f>
        <v/>
      </c>
    </row>
    <row r="4403">
      <c r="B4403" s="47" t="n"/>
      <c r="C4403" s="48" t="n"/>
      <c r="D4403" s="48" t="n"/>
      <c r="E4403" s="48" t="n"/>
      <c r="F4403" s="48" t="n"/>
      <c r="G4403" s="49" t="n"/>
      <c r="H4403" s="48" t="n"/>
      <c r="I4403" s="50" t="n"/>
      <c r="J4403" s="48" t="n"/>
      <c r="K4403" s="48" t="n"/>
      <c r="L4403" s="48" t="n"/>
      <c r="M4403" s="48" t="n"/>
      <c r="N4403" s="48" t="n"/>
      <c r="O4403" s="51">
        <f>IF(AND(B4403="",G4403="",C4403="",D4403="",J4403=""),"",IF(B4403="","⚠ Falta fecha",IF(G4403="","⚠ Falta monto",IF(Q4403="","⚠ Falta cuenta",IF(ISNA(MATCH(Q4403,ctaNombre,0)),"⚠ Cuenta no registrada",IF(AND(OR(P4403="Gasto",P4403="Reembolso"),D4403=""),"⚠ Falta categoría",IF(AND(D4403&lt;&gt;"",E4403&lt;&gt;"",ISNA(MATCH(D4403&amp;"|"&amp;E4403,catClave,0))),"⚠ Subcategoría no corresponde",IF(AND(OR(P4403="Transferencia",P4403="Pago tarjeta"),K4403=""),"⚠ Falta cuenta destino",IF(AND(K4403&lt;&gt;"",P4403&lt;&gt;"Transferencia",P4403&lt;&gt;"Pago tarjeta"),"⚠ Destino solo aplica a transferencias",IF(AND(K4403&lt;&gt;"",K4403=Q4403),"⚠ Origen igual a destino",IF(AND(K4403&lt;&gt;"",ISNA(MATCH(K4403,ctaNombre,0))),"⚠ Destino no registrado",IF(AND(P4403="Pago tarjeta",AE4403&lt;&gt;"Tarjeta de crédito"),"⚠ El destino debe ser tarjeta de crédito",IF(AND(P4403="Gasto",E4403="Depósitos y retiros"),"⚠ Usa tipo Transferencia",IF(AND(P4403="Resultado trading",AD4403&lt;&gt;"Cuenta de trading"),"⚠ Usa una cuenta de trading",IF(AND(G4403&lt;=0,P4403&lt;&gt;"Ajuste",P4403&lt;&gt;"Resultado trading"),"⚠ El monto debe ser positivo","✓")))))))))))))))</f>
        <v/>
      </c>
      <c r="P4403" s="52">
        <f>IF(OR(B4403="",G4403=""),"",IF(C4403="","Gasto",C4403))</f>
        <v/>
      </c>
      <c r="Q4403" s="52">
        <f>IF(P4403="","",IF(J4403&lt;&gt;"",J4403,CuentaPred&amp;""))</f>
        <v/>
      </c>
      <c r="R4403" s="52">
        <f>IF(P4403="","",IF(ISNUMBER(I4403),I4403,TasaUSD))</f>
        <v/>
      </c>
      <c r="S4403" s="53">
        <f>IF(P4403="","",IF(H4403="USD",G4403*R4403,G4403))</f>
        <v/>
      </c>
      <c r="T4403" s="53">
        <f>IF(P4403="","",IF(H4403="USD",G4403,IF(R4403&gt;0,G4403/R4403,0)))</f>
        <v/>
      </c>
      <c r="U4403" s="53">
        <f>IF(P4403="","",IF(P4403="Gasto",S4403,IF(P4403="Reembolso",-S4403,0)))</f>
        <v/>
      </c>
      <c r="V4403" s="53">
        <f>IF(P4403="","",IF(P4403="Ingreso",S4403,0))</f>
        <v/>
      </c>
      <c r="W4403" s="53">
        <f>IF(P4403="","",IF(P4403="Resultado trading",S4403,0))</f>
        <v/>
      </c>
      <c r="X4403" s="52">
        <f>IF(OR(P4403="Gasto",P4403="Reembolso"),IF(M4403&lt;&gt;"",M4403,IFERROR(INDEX(catClasif,MATCH(D4403&amp;"|"&amp;E4403,catClave,0))&amp;"","Variable")),"")</f>
        <v/>
      </c>
      <c r="Y4403" s="52">
        <f>IF(P4403="","",IFERROR(INDEX(catGrupo,MATCH(D4403&amp;"|"&amp;E4403,catClave,0))&amp;"",""))</f>
        <v/>
      </c>
      <c r="Z4403" s="52">
        <f>IF(P4403="","",WEEKDAY(B4403,2))</f>
        <v/>
      </c>
      <c r="AA4403" s="52">
        <f>IF(P4403="","",IF(AND(P4403="Gasto",X4403="Variable",D4403&lt;&gt;catTrading,S4403&gt;0,S4403&lt;=Umbral),1,0))</f>
        <v/>
      </c>
      <c r="AB4403" s="52">
        <f>IF(OR(P4403="",Q4403=""),"",IFERROR(IF(INDEX(ctaVinc,MATCH(Q4403,ctaNombre,0))&amp;""&lt;&gt;"",INDEX(ctaVinc,MATCH(Q4403,ctaNombre,0))&amp;"",Q4403),Q4403))</f>
        <v/>
      </c>
      <c r="AC4403" s="52">
        <f>IF(OR(K4403="",AND(P4403&lt;&gt;"Transferencia",P4403&lt;&gt;"Pago tarjeta")),"",IFERROR(IF(INDEX(ctaVinc,MATCH(K4403,ctaNombre,0))&amp;""&lt;&gt;"",INDEX(ctaVinc,MATCH(K4403,ctaNombre,0))&amp;"",K4403),K4403))</f>
        <v/>
      </c>
      <c r="AD4403" s="52">
        <f>IF(AB4403="","",IFERROR(INDEX(ctaTipo,MATCH(AB4403,ctaNombre,0))&amp;"",""))</f>
        <v/>
      </c>
      <c r="AE4403" s="52">
        <f>IF(AC4403="","",IFERROR(INDEX(ctaTipo,MATCH(AC4403,ctaNombre,0))&amp;"",""))</f>
        <v/>
      </c>
      <c r="AF4403" s="53">
        <f>IF(OR(P4403="",AB4403=""),"",IF(OR(P4403="Gasto",P4403="Transferencia",P4403="Pago tarjeta"),-1,1)*IF(IFERROR(INDEX(ctaMoneda,MATCH(AB4403,ctaNombre,0))&amp;"","DOP")="USD",T4403,S4403))</f>
        <v/>
      </c>
      <c r="AG4403" s="53">
        <f>IF(AC4403="","",IF(IFERROR(INDEX(ctaMoneda,MATCH(AC4403,ctaNombre,0))&amp;"","DOP")="USD",T4403,S4403))</f>
        <v/>
      </c>
      <c r="AH4403" s="53">
        <f>IF(P4403="","",IF(AND(AD4403&lt;&gt;"",COUNTIFS(tcTipo,AD4403,tcLiq,"Sí")&gt;0),IF(OR(P4403="Gasto",P4403="Transferencia",P4403="Pago tarjeta"),-1,1)*S4403,0)+IF(AND(AE4403&lt;&gt;"",COUNTIFS(tcTipo,AE4403,tcLiq,"Sí")&gt;0),S4403,0))</f>
        <v/>
      </c>
      <c r="AI4403" s="52">
        <f>IF(OR(L4403="",P4403=""),"",IF(COUNTIFS(L$6:L4403,L4403,P$6:P4403,"?*")=1,MAX(AI$5:AI4402)+1,""))</f>
        <v/>
      </c>
    </row>
    <row r="4404">
      <c r="B4404" s="47" t="n"/>
      <c r="C4404" s="48" t="n"/>
      <c r="D4404" s="48" t="n"/>
      <c r="E4404" s="48" t="n"/>
      <c r="F4404" s="48" t="n"/>
      <c r="G4404" s="49" t="n"/>
      <c r="H4404" s="48" t="n"/>
      <c r="I4404" s="50" t="n"/>
      <c r="J4404" s="48" t="n"/>
      <c r="K4404" s="48" t="n"/>
      <c r="L4404" s="48" t="n"/>
      <c r="M4404" s="48" t="n"/>
      <c r="N4404" s="48" t="n"/>
      <c r="O4404" s="51">
        <f>IF(AND(B4404="",G4404="",C4404="",D4404="",J4404=""),"",IF(B4404="","⚠ Falta fecha",IF(G4404="","⚠ Falta monto",IF(Q4404="","⚠ Falta cuenta",IF(ISNA(MATCH(Q4404,ctaNombre,0)),"⚠ Cuenta no registrada",IF(AND(OR(P4404="Gasto",P4404="Reembolso"),D4404=""),"⚠ Falta categoría",IF(AND(D4404&lt;&gt;"",E4404&lt;&gt;"",ISNA(MATCH(D4404&amp;"|"&amp;E4404,catClave,0))),"⚠ Subcategoría no corresponde",IF(AND(OR(P4404="Transferencia",P4404="Pago tarjeta"),K4404=""),"⚠ Falta cuenta destino",IF(AND(K4404&lt;&gt;"",P4404&lt;&gt;"Transferencia",P4404&lt;&gt;"Pago tarjeta"),"⚠ Destino solo aplica a transferencias",IF(AND(K4404&lt;&gt;"",K4404=Q4404),"⚠ Origen igual a destino",IF(AND(K4404&lt;&gt;"",ISNA(MATCH(K4404,ctaNombre,0))),"⚠ Destino no registrado",IF(AND(P4404="Pago tarjeta",AE4404&lt;&gt;"Tarjeta de crédito"),"⚠ El destino debe ser tarjeta de crédito",IF(AND(P4404="Gasto",E4404="Depósitos y retiros"),"⚠ Usa tipo Transferencia",IF(AND(P4404="Resultado trading",AD4404&lt;&gt;"Cuenta de trading"),"⚠ Usa una cuenta de trading",IF(AND(G4404&lt;=0,P4404&lt;&gt;"Ajuste",P4404&lt;&gt;"Resultado trading"),"⚠ El monto debe ser positivo","✓")))))))))))))))</f>
        <v/>
      </c>
      <c r="P4404" s="52">
        <f>IF(OR(B4404="",G4404=""),"",IF(C4404="","Gasto",C4404))</f>
        <v/>
      </c>
      <c r="Q4404" s="52">
        <f>IF(P4404="","",IF(J4404&lt;&gt;"",J4404,CuentaPred&amp;""))</f>
        <v/>
      </c>
      <c r="R4404" s="52">
        <f>IF(P4404="","",IF(ISNUMBER(I4404),I4404,TasaUSD))</f>
        <v/>
      </c>
      <c r="S4404" s="53">
        <f>IF(P4404="","",IF(H4404="USD",G4404*R4404,G4404))</f>
        <v/>
      </c>
      <c r="T4404" s="53">
        <f>IF(P4404="","",IF(H4404="USD",G4404,IF(R4404&gt;0,G4404/R4404,0)))</f>
        <v/>
      </c>
      <c r="U4404" s="53">
        <f>IF(P4404="","",IF(P4404="Gasto",S4404,IF(P4404="Reembolso",-S4404,0)))</f>
        <v/>
      </c>
      <c r="V4404" s="53">
        <f>IF(P4404="","",IF(P4404="Ingreso",S4404,0))</f>
        <v/>
      </c>
      <c r="W4404" s="53">
        <f>IF(P4404="","",IF(P4404="Resultado trading",S4404,0))</f>
        <v/>
      </c>
      <c r="X4404" s="52">
        <f>IF(OR(P4404="Gasto",P4404="Reembolso"),IF(M4404&lt;&gt;"",M4404,IFERROR(INDEX(catClasif,MATCH(D4404&amp;"|"&amp;E4404,catClave,0))&amp;"","Variable")),"")</f>
        <v/>
      </c>
      <c r="Y4404" s="52">
        <f>IF(P4404="","",IFERROR(INDEX(catGrupo,MATCH(D4404&amp;"|"&amp;E4404,catClave,0))&amp;"",""))</f>
        <v/>
      </c>
      <c r="Z4404" s="52">
        <f>IF(P4404="","",WEEKDAY(B4404,2))</f>
        <v/>
      </c>
      <c r="AA4404" s="52">
        <f>IF(P4404="","",IF(AND(P4404="Gasto",X4404="Variable",D4404&lt;&gt;catTrading,S4404&gt;0,S4404&lt;=Umbral),1,0))</f>
        <v/>
      </c>
      <c r="AB4404" s="52">
        <f>IF(OR(P4404="",Q4404=""),"",IFERROR(IF(INDEX(ctaVinc,MATCH(Q4404,ctaNombre,0))&amp;""&lt;&gt;"",INDEX(ctaVinc,MATCH(Q4404,ctaNombre,0))&amp;"",Q4404),Q4404))</f>
        <v/>
      </c>
      <c r="AC4404" s="52">
        <f>IF(OR(K4404="",AND(P4404&lt;&gt;"Transferencia",P4404&lt;&gt;"Pago tarjeta")),"",IFERROR(IF(INDEX(ctaVinc,MATCH(K4404,ctaNombre,0))&amp;""&lt;&gt;"",INDEX(ctaVinc,MATCH(K4404,ctaNombre,0))&amp;"",K4404),K4404))</f>
        <v/>
      </c>
      <c r="AD4404" s="52">
        <f>IF(AB4404="","",IFERROR(INDEX(ctaTipo,MATCH(AB4404,ctaNombre,0))&amp;"",""))</f>
        <v/>
      </c>
      <c r="AE4404" s="52">
        <f>IF(AC4404="","",IFERROR(INDEX(ctaTipo,MATCH(AC4404,ctaNombre,0))&amp;"",""))</f>
        <v/>
      </c>
      <c r="AF4404" s="53">
        <f>IF(OR(P4404="",AB4404=""),"",IF(OR(P4404="Gasto",P4404="Transferencia",P4404="Pago tarjeta"),-1,1)*IF(IFERROR(INDEX(ctaMoneda,MATCH(AB4404,ctaNombre,0))&amp;"","DOP")="USD",T4404,S4404))</f>
        <v/>
      </c>
      <c r="AG4404" s="53">
        <f>IF(AC4404="","",IF(IFERROR(INDEX(ctaMoneda,MATCH(AC4404,ctaNombre,0))&amp;"","DOP")="USD",T4404,S4404))</f>
        <v/>
      </c>
      <c r="AH4404" s="53">
        <f>IF(P4404="","",IF(AND(AD4404&lt;&gt;"",COUNTIFS(tcTipo,AD4404,tcLiq,"Sí")&gt;0),IF(OR(P4404="Gasto",P4404="Transferencia",P4404="Pago tarjeta"),-1,1)*S4404,0)+IF(AND(AE4404&lt;&gt;"",COUNTIFS(tcTipo,AE4404,tcLiq,"Sí")&gt;0),S4404,0))</f>
        <v/>
      </c>
      <c r="AI4404" s="52">
        <f>IF(OR(L4404="",P4404=""),"",IF(COUNTIFS(L$6:L4404,L4404,P$6:P4404,"?*")=1,MAX(AI$5:AI4403)+1,""))</f>
        <v/>
      </c>
    </row>
    <row r="4405">
      <c r="B4405" s="47" t="n"/>
      <c r="C4405" s="48" t="n"/>
      <c r="D4405" s="48" t="n"/>
      <c r="E4405" s="48" t="n"/>
      <c r="F4405" s="48" t="n"/>
      <c r="G4405" s="49" t="n"/>
      <c r="H4405" s="48" t="n"/>
      <c r="I4405" s="50" t="n"/>
      <c r="J4405" s="48" t="n"/>
      <c r="K4405" s="48" t="n"/>
      <c r="L4405" s="48" t="n"/>
      <c r="M4405" s="48" t="n"/>
      <c r="N4405" s="48" t="n"/>
      <c r="O4405" s="51">
        <f>IF(AND(B4405="",G4405="",C4405="",D4405="",J4405=""),"",IF(B4405="","⚠ Falta fecha",IF(G4405="","⚠ Falta monto",IF(Q4405="","⚠ Falta cuenta",IF(ISNA(MATCH(Q4405,ctaNombre,0)),"⚠ Cuenta no registrada",IF(AND(OR(P4405="Gasto",P4405="Reembolso"),D4405=""),"⚠ Falta categoría",IF(AND(D4405&lt;&gt;"",E4405&lt;&gt;"",ISNA(MATCH(D4405&amp;"|"&amp;E4405,catClave,0))),"⚠ Subcategoría no corresponde",IF(AND(OR(P4405="Transferencia",P4405="Pago tarjeta"),K4405=""),"⚠ Falta cuenta destino",IF(AND(K4405&lt;&gt;"",P4405&lt;&gt;"Transferencia",P4405&lt;&gt;"Pago tarjeta"),"⚠ Destino solo aplica a transferencias",IF(AND(K4405&lt;&gt;"",K4405=Q4405),"⚠ Origen igual a destino",IF(AND(K4405&lt;&gt;"",ISNA(MATCH(K4405,ctaNombre,0))),"⚠ Destino no registrado",IF(AND(P4405="Pago tarjeta",AE4405&lt;&gt;"Tarjeta de crédito"),"⚠ El destino debe ser tarjeta de crédito",IF(AND(P4405="Gasto",E4405="Depósitos y retiros"),"⚠ Usa tipo Transferencia",IF(AND(P4405="Resultado trading",AD4405&lt;&gt;"Cuenta de trading"),"⚠ Usa una cuenta de trading",IF(AND(G4405&lt;=0,P4405&lt;&gt;"Ajuste",P4405&lt;&gt;"Resultado trading"),"⚠ El monto debe ser positivo","✓")))))))))))))))</f>
        <v/>
      </c>
      <c r="P4405" s="52">
        <f>IF(OR(B4405="",G4405=""),"",IF(C4405="","Gasto",C4405))</f>
        <v/>
      </c>
      <c r="Q4405" s="52">
        <f>IF(P4405="","",IF(J4405&lt;&gt;"",J4405,CuentaPred&amp;""))</f>
        <v/>
      </c>
      <c r="R4405" s="52">
        <f>IF(P4405="","",IF(ISNUMBER(I4405),I4405,TasaUSD))</f>
        <v/>
      </c>
      <c r="S4405" s="53">
        <f>IF(P4405="","",IF(H4405="USD",G4405*R4405,G4405))</f>
        <v/>
      </c>
      <c r="T4405" s="53">
        <f>IF(P4405="","",IF(H4405="USD",G4405,IF(R4405&gt;0,G4405/R4405,0)))</f>
        <v/>
      </c>
      <c r="U4405" s="53">
        <f>IF(P4405="","",IF(P4405="Gasto",S4405,IF(P4405="Reembolso",-S4405,0)))</f>
        <v/>
      </c>
      <c r="V4405" s="53">
        <f>IF(P4405="","",IF(P4405="Ingreso",S4405,0))</f>
        <v/>
      </c>
      <c r="W4405" s="53">
        <f>IF(P4405="","",IF(P4405="Resultado trading",S4405,0))</f>
        <v/>
      </c>
      <c r="X4405" s="52">
        <f>IF(OR(P4405="Gasto",P4405="Reembolso"),IF(M4405&lt;&gt;"",M4405,IFERROR(INDEX(catClasif,MATCH(D4405&amp;"|"&amp;E4405,catClave,0))&amp;"","Variable")),"")</f>
        <v/>
      </c>
      <c r="Y4405" s="52">
        <f>IF(P4405="","",IFERROR(INDEX(catGrupo,MATCH(D4405&amp;"|"&amp;E4405,catClave,0))&amp;"",""))</f>
        <v/>
      </c>
      <c r="Z4405" s="52">
        <f>IF(P4405="","",WEEKDAY(B4405,2))</f>
        <v/>
      </c>
      <c r="AA4405" s="52">
        <f>IF(P4405="","",IF(AND(P4405="Gasto",X4405="Variable",D4405&lt;&gt;catTrading,S4405&gt;0,S4405&lt;=Umbral),1,0))</f>
        <v/>
      </c>
      <c r="AB4405" s="52">
        <f>IF(OR(P4405="",Q4405=""),"",IFERROR(IF(INDEX(ctaVinc,MATCH(Q4405,ctaNombre,0))&amp;""&lt;&gt;"",INDEX(ctaVinc,MATCH(Q4405,ctaNombre,0))&amp;"",Q4405),Q4405))</f>
        <v/>
      </c>
      <c r="AC4405" s="52">
        <f>IF(OR(K4405="",AND(P4405&lt;&gt;"Transferencia",P4405&lt;&gt;"Pago tarjeta")),"",IFERROR(IF(INDEX(ctaVinc,MATCH(K4405,ctaNombre,0))&amp;""&lt;&gt;"",INDEX(ctaVinc,MATCH(K4405,ctaNombre,0))&amp;"",K4405),K4405))</f>
        <v/>
      </c>
      <c r="AD4405" s="52">
        <f>IF(AB4405="","",IFERROR(INDEX(ctaTipo,MATCH(AB4405,ctaNombre,0))&amp;"",""))</f>
        <v/>
      </c>
      <c r="AE4405" s="52">
        <f>IF(AC4405="","",IFERROR(INDEX(ctaTipo,MATCH(AC4405,ctaNombre,0))&amp;"",""))</f>
        <v/>
      </c>
      <c r="AF4405" s="53">
        <f>IF(OR(P4405="",AB4405=""),"",IF(OR(P4405="Gasto",P4405="Transferencia",P4405="Pago tarjeta"),-1,1)*IF(IFERROR(INDEX(ctaMoneda,MATCH(AB4405,ctaNombre,0))&amp;"","DOP")="USD",T4405,S4405))</f>
        <v/>
      </c>
      <c r="AG4405" s="53">
        <f>IF(AC4405="","",IF(IFERROR(INDEX(ctaMoneda,MATCH(AC4405,ctaNombre,0))&amp;"","DOP")="USD",T4405,S4405))</f>
        <v/>
      </c>
      <c r="AH4405" s="53">
        <f>IF(P4405="","",IF(AND(AD4405&lt;&gt;"",COUNTIFS(tcTipo,AD4405,tcLiq,"Sí")&gt;0),IF(OR(P4405="Gasto",P4405="Transferencia",P4405="Pago tarjeta"),-1,1)*S4405,0)+IF(AND(AE4405&lt;&gt;"",COUNTIFS(tcTipo,AE4405,tcLiq,"Sí")&gt;0),S4405,0))</f>
        <v/>
      </c>
      <c r="AI4405" s="52">
        <f>IF(OR(L4405="",P4405=""),"",IF(COUNTIFS(L$6:L4405,L4405,P$6:P4405,"?*")=1,MAX(AI$5:AI4404)+1,""))</f>
        <v/>
      </c>
    </row>
    <row r="4406">
      <c r="B4406" s="47" t="n"/>
      <c r="C4406" s="48" t="n"/>
      <c r="D4406" s="48" t="n"/>
      <c r="E4406" s="48" t="n"/>
      <c r="F4406" s="48" t="n"/>
      <c r="G4406" s="49" t="n"/>
      <c r="H4406" s="48" t="n"/>
      <c r="I4406" s="50" t="n"/>
      <c r="J4406" s="48" t="n"/>
      <c r="K4406" s="48" t="n"/>
      <c r="L4406" s="48" t="n"/>
      <c r="M4406" s="48" t="n"/>
      <c r="N4406" s="48" t="n"/>
      <c r="O4406" s="51">
        <f>IF(AND(B4406="",G4406="",C4406="",D4406="",J4406=""),"",IF(B4406="","⚠ Falta fecha",IF(G4406="","⚠ Falta monto",IF(Q4406="","⚠ Falta cuenta",IF(ISNA(MATCH(Q4406,ctaNombre,0)),"⚠ Cuenta no registrada",IF(AND(OR(P4406="Gasto",P4406="Reembolso"),D4406=""),"⚠ Falta categoría",IF(AND(D4406&lt;&gt;"",E4406&lt;&gt;"",ISNA(MATCH(D4406&amp;"|"&amp;E4406,catClave,0))),"⚠ Subcategoría no corresponde",IF(AND(OR(P4406="Transferencia",P4406="Pago tarjeta"),K4406=""),"⚠ Falta cuenta destino",IF(AND(K4406&lt;&gt;"",P4406&lt;&gt;"Transferencia",P4406&lt;&gt;"Pago tarjeta"),"⚠ Destino solo aplica a transferencias",IF(AND(K4406&lt;&gt;"",K4406=Q4406),"⚠ Origen igual a destino",IF(AND(K4406&lt;&gt;"",ISNA(MATCH(K4406,ctaNombre,0))),"⚠ Destino no registrado",IF(AND(P4406="Pago tarjeta",AE4406&lt;&gt;"Tarjeta de crédito"),"⚠ El destino debe ser tarjeta de crédito",IF(AND(P4406="Gasto",E4406="Depósitos y retiros"),"⚠ Usa tipo Transferencia",IF(AND(P4406="Resultado trading",AD4406&lt;&gt;"Cuenta de trading"),"⚠ Usa una cuenta de trading",IF(AND(G4406&lt;=0,P4406&lt;&gt;"Ajuste",P4406&lt;&gt;"Resultado trading"),"⚠ El monto debe ser positivo","✓")))))))))))))))</f>
        <v/>
      </c>
      <c r="P4406" s="52">
        <f>IF(OR(B4406="",G4406=""),"",IF(C4406="","Gasto",C4406))</f>
        <v/>
      </c>
      <c r="Q4406" s="52">
        <f>IF(P4406="","",IF(J4406&lt;&gt;"",J4406,CuentaPred&amp;""))</f>
        <v/>
      </c>
      <c r="R4406" s="52">
        <f>IF(P4406="","",IF(ISNUMBER(I4406),I4406,TasaUSD))</f>
        <v/>
      </c>
      <c r="S4406" s="53">
        <f>IF(P4406="","",IF(H4406="USD",G4406*R4406,G4406))</f>
        <v/>
      </c>
      <c r="T4406" s="53">
        <f>IF(P4406="","",IF(H4406="USD",G4406,IF(R4406&gt;0,G4406/R4406,0)))</f>
        <v/>
      </c>
      <c r="U4406" s="53">
        <f>IF(P4406="","",IF(P4406="Gasto",S4406,IF(P4406="Reembolso",-S4406,0)))</f>
        <v/>
      </c>
      <c r="V4406" s="53">
        <f>IF(P4406="","",IF(P4406="Ingreso",S4406,0))</f>
        <v/>
      </c>
      <c r="W4406" s="53">
        <f>IF(P4406="","",IF(P4406="Resultado trading",S4406,0))</f>
        <v/>
      </c>
      <c r="X4406" s="52">
        <f>IF(OR(P4406="Gasto",P4406="Reembolso"),IF(M4406&lt;&gt;"",M4406,IFERROR(INDEX(catClasif,MATCH(D4406&amp;"|"&amp;E4406,catClave,0))&amp;"","Variable")),"")</f>
        <v/>
      </c>
      <c r="Y4406" s="52">
        <f>IF(P4406="","",IFERROR(INDEX(catGrupo,MATCH(D4406&amp;"|"&amp;E4406,catClave,0))&amp;"",""))</f>
        <v/>
      </c>
      <c r="Z4406" s="52">
        <f>IF(P4406="","",WEEKDAY(B4406,2))</f>
        <v/>
      </c>
      <c r="AA4406" s="52">
        <f>IF(P4406="","",IF(AND(P4406="Gasto",X4406="Variable",D4406&lt;&gt;catTrading,S4406&gt;0,S4406&lt;=Umbral),1,0))</f>
        <v/>
      </c>
      <c r="AB4406" s="52">
        <f>IF(OR(P4406="",Q4406=""),"",IFERROR(IF(INDEX(ctaVinc,MATCH(Q4406,ctaNombre,0))&amp;""&lt;&gt;"",INDEX(ctaVinc,MATCH(Q4406,ctaNombre,0))&amp;"",Q4406),Q4406))</f>
        <v/>
      </c>
      <c r="AC4406" s="52">
        <f>IF(OR(K4406="",AND(P4406&lt;&gt;"Transferencia",P4406&lt;&gt;"Pago tarjeta")),"",IFERROR(IF(INDEX(ctaVinc,MATCH(K4406,ctaNombre,0))&amp;""&lt;&gt;"",INDEX(ctaVinc,MATCH(K4406,ctaNombre,0))&amp;"",K4406),K4406))</f>
        <v/>
      </c>
      <c r="AD4406" s="52">
        <f>IF(AB4406="","",IFERROR(INDEX(ctaTipo,MATCH(AB4406,ctaNombre,0))&amp;"",""))</f>
        <v/>
      </c>
      <c r="AE4406" s="52">
        <f>IF(AC4406="","",IFERROR(INDEX(ctaTipo,MATCH(AC4406,ctaNombre,0))&amp;"",""))</f>
        <v/>
      </c>
      <c r="AF4406" s="53">
        <f>IF(OR(P4406="",AB4406=""),"",IF(OR(P4406="Gasto",P4406="Transferencia",P4406="Pago tarjeta"),-1,1)*IF(IFERROR(INDEX(ctaMoneda,MATCH(AB4406,ctaNombre,0))&amp;"","DOP")="USD",T4406,S4406))</f>
        <v/>
      </c>
      <c r="AG4406" s="53">
        <f>IF(AC4406="","",IF(IFERROR(INDEX(ctaMoneda,MATCH(AC4406,ctaNombre,0))&amp;"","DOP")="USD",T4406,S4406))</f>
        <v/>
      </c>
      <c r="AH4406" s="53">
        <f>IF(P4406="","",IF(AND(AD4406&lt;&gt;"",COUNTIFS(tcTipo,AD4406,tcLiq,"Sí")&gt;0),IF(OR(P4406="Gasto",P4406="Transferencia",P4406="Pago tarjeta"),-1,1)*S4406,0)+IF(AND(AE4406&lt;&gt;"",COUNTIFS(tcTipo,AE4406,tcLiq,"Sí")&gt;0),S4406,0))</f>
        <v/>
      </c>
      <c r="AI4406" s="52">
        <f>IF(OR(L4406="",P4406=""),"",IF(COUNTIFS(L$6:L4406,L4406,P$6:P4406,"?*")=1,MAX(AI$5:AI4405)+1,""))</f>
        <v/>
      </c>
    </row>
    <row r="4407">
      <c r="B4407" s="47" t="n"/>
      <c r="C4407" s="48" t="n"/>
      <c r="D4407" s="48" t="n"/>
      <c r="E4407" s="48" t="n"/>
      <c r="F4407" s="48" t="n"/>
      <c r="G4407" s="49" t="n"/>
      <c r="H4407" s="48" t="n"/>
      <c r="I4407" s="50" t="n"/>
      <c r="J4407" s="48" t="n"/>
      <c r="K4407" s="48" t="n"/>
      <c r="L4407" s="48" t="n"/>
      <c r="M4407" s="48" t="n"/>
      <c r="N4407" s="48" t="n"/>
      <c r="O4407" s="51">
        <f>IF(AND(B4407="",G4407="",C4407="",D4407="",J4407=""),"",IF(B4407="","⚠ Falta fecha",IF(G4407="","⚠ Falta monto",IF(Q4407="","⚠ Falta cuenta",IF(ISNA(MATCH(Q4407,ctaNombre,0)),"⚠ Cuenta no registrada",IF(AND(OR(P4407="Gasto",P4407="Reembolso"),D4407=""),"⚠ Falta categoría",IF(AND(D4407&lt;&gt;"",E4407&lt;&gt;"",ISNA(MATCH(D4407&amp;"|"&amp;E4407,catClave,0))),"⚠ Subcategoría no corresponde",IF(AND(OR(P4407="Transferencia",P4407="Pago tarjeta"),K4407=""),"⚠ Falta cuenta destino",IF(AND(K4407&lt;&gt;"",P4407&lt;&gt;"Transferencia",P4407&lt;&gt;"Pago tarjeta"),"⚠ Destino solo aplica a transferencias",IF(AND(K4407&lt;&gt;"",K4407=Q4407),"⚠ Origen igual a destino",IF(AND(K4407&lt;&gt;"",ISNA(MATCH(K4407,ctaNombre,0))),"⚠ Destino no registrado",IF(AND(P4407="Pago tarjeta",AE4407&lt;&gt;"Tarjeta de crédito"),"⚠ El destino debe ser tarjeta de crédito",IF(AND(P4407="Gasto",E4407="Depósitos y retiros"),"⚠ Usa tipo Transferencia",IF(AND(P4407="Resultado trading",AD4407&lt;&gt;"Cuenta de trading"),"⚠ Usa una cuenta de trading",IF(AND(G4407&lt;=0,P4407&lt;&gt;"Ajuste",P4407&lt;&gt;"Resultado trading"),"⚠ El monto debe ser positivo","✓")))))))))))))))</f>
        <v/>
      </c>
      <c r="P4407" s="52">
        <f>IF(OR(B4407="",G4407=""),"",IF(C4407="","Gasto",C4407))</f>
        <v/>
      </c>
      <c r="Q4407" s="52">
        <f>IF(P4407="","",IF(J4407&lt;&gt;"",J4407,CuentaPred&amp;""))</f>
        <v/>
      </c>
      <c r="R4407" s="52">
        <f>IF(P4407="","",IF(ISNUMBER(I4407),I4407,TasaUSD))</f>
        <v/>
      </c>
      <c r="S4407" s="53">
        <f>IF(P4407="","",IF(H4407="USD",G4407*R4407,G4407))</f>
        <v/>
      </c>
      <c r="T4407" s="53">
        <f>IF(P4407="","",IF(H4407="USD",G4407,IF(R4407&gt;0,G4407/R4407,0)))</f>
        <v/>
      </c>
      <c r="U4407" s="53">
        <f>IF(P4407="","",IF(P4407="Gasto",S4407,IF(P4407="Reembolso",-S4407,0)))</f>
        <v/>
      </c>
      <c r="V4407" s="53">
        <f>IF(P4407="","",IF(P4407="Ingreso",S4407,0))</f>
        <v/>
      </c>
      <c r="W4407" s="53">
        <f>IF(P4407="","",IF(P4407="Resultado trading",S4407,0))</f>
        <v/>
      </c>
      <c r="X4407" s="52">
        <f>IF(OR(P4407="Gasto",P4407="Reembolso"),IF(M4407&lt;&gt;"",M4407,IFERROR(INDEX(catClasif,MATCH(D4407&amp;"|"&amp;E4407,catClave,0))&amp;"","Variable")),"")</f>
        <v/>
      </c>
      <c r="Y4407" s="52">
        <f>IF(P4407="","",IFERROR(INDEX(catGrupo,MATCH(D4407&amp;"|"&amp;E4407,catClave,0))&amp;"",""))</f>
        <v/>
      </c>
      <c r="Z4407" s="52">
        <f>IF(P4407="","",WEEKDAY(B4407,2))</f>
        <v/>
      </c>
      <c r="AA4407" s="52">
        <f>IF(P4407="","",IF(AND(P4407="Gasto",X4407="Variable",D4407&lt;&gt;catTrading,S4407&gt;0,S4407&lt;=Umbral),1,0))</f>
        <v/>
      </c>
      <c r="AB4407" s="52">
        <f>IF(OR(P4407="",Q4407=""),"",IFERROR(IF(INDEX(ctaVinc,MATCH(Q4407,ctaNombre,0))&amp;""&lt;&gt;"",INDEX(ctaVinc,MATCH(Q4407,ctaNombre,0))&amp;"",Q4407),Q4407))</f>
        <v/>
      </c>
      <c r="AC4407" s="52">
        <f>IF(OR(K4407="",AND(P4407&lt;&gt;"Transferencia",P4407&lt;&gt;"Pago tarjeta")),"",IFERROR(IF(INDEX(ctaVinc,MATCH(K4407,ctaNombre,0))&amp;""&lt;&gt;"",INDEX(ctaVinc,MATCH(K4407,ctaNombre,0))&amp;"",K4407),K4407))</f>
        <v/>
      </c>
      <c r="AD4407" s="52">
        <f>IF(AB4407="","",IFERROR(INDEX(ctaTipo,MATCH(AB4407,ctaNombre,0))&amp;"",""))</f>
        <v/>
      </c>
      <c r="AE4407" s="52">
        <f>IF(AC4407="","",IFERROR(INDEX(ctaTipo,MATCH(AC4407,ctaNombre,0))&amp;"",""))</f>
        <v/>
      </c>
      <c r="AF4407" s="53">
        <f>IF(OR(P4407="",AB4407=""),"",IF(OR(P4407="Gasto",P4407="Transferencia",P4407="Pago tarjeta"),-1,1)*IF(IFERROR(INDEX(ctaMoneda,MATCH(AB4407,ctaNombre,0))&amp;"","DOP")="USD",T4407,S4407))</f>
        <v/>
      </c>
      <c r="AG4407" s="53">
        <f>IF(AC4407="","",IF(IFERROR(INDEX(ctaMoneda,MATCH(AC4407,ctaNombre,0))&amp;"","DOP")="USD",T4407,S4407))</f>
        <v/>
      </c>
      <c r="AH4407" s="53">
        <f>IF(P4407="","",IF(AND(AD4407&lt;&gt;"",COUNTIFS(tcTipo,AD4407,tcLiq,"Sí")&gt;0),IF(OR(P4407="Gasto",P4407="Transferencia",P4407="Pago tarjeta"),-1,1)*S4407,0)+IF(AND(AE4407&lt;&gt;"",COUNTIFS(tcTipo,AE4407,tcLiq,"Sí")&gt;0),S4407,0))</f>
        <v/>
      </c>
      <c r="AI4407" s="52">
        <f>IF(OR(L4407="",P4407=""),"",IF(COUNTIFS(L$6:L4407,L4407,P$6:P4407,"?*")=1,MAX(AI$5:AI4406)+1,""))</f>
        <v/>
      </c>
    </row>
    <row r="4408">
      <c r="B4408" s="47" t="n"/>
      <c r="C4408" s="48" t="n"/>
      <c r="D4408" s="48" t="n"/>
      <c r="E4408" s="48" t="n"/>
      <c r="F4408" s="48" t="n"/>
      <c r="G4408" s="49" t="n"/>
      <c r="H4408" s="48" t="n"/>
      <c r="I4408" s="50" t="n"/>
      <c r="J4408" s="48" t="n"/>
      <c r="K4408" s="48" t="n"/>
      <c r="L4408" s="48" t="n"/>
      <c r="M4408" s="48" t="n"/>
      <c r="N4408" s="48" t="n"/>
      <c r="O4408" s="51">
        <f>IF(AND(B4408="",G4408="",C4408="",D4408="",J4408=""),"",IF(B4408="","⚠ Falta fecha",IF(G4408="","⚠ Falta monto",IF(Q4408="","⚠ Falta cuenta",IF(ISNA(MATCH(Q4408,ctaNombre,0)),"⚠ Cuenta no registrada",IF(AND(OR(P4408="Gasto",P4408="Reembolso"),D4408=""),"⚠ Falta categoría",IF(AND(D4408&lt;&gt;"",E4408&lt;&gt;"",ISNA(MATCH(D4408&amp;"|"&amp;E4408,catClave,0))),"⚠ Subcategoría no corresponde",IF(AND(OR(P4408="Transferencia",P4408="Pago tarjeta"),K4408=""),"⚠ Falta cuenta destino",IF(AND(K4408&lt;&gt;"",P4408&lt;&gt;"Transferencia",P4408&lt;&gt;"Pago tarjeta"),"⚠ Destino solo aplica a transferencias",IF(AND(K4408&lt;&gt;"",K4408=Q4408),"⚠ Origen igual a destino",IF(AND(K4408&lt;&gt;"",ISNA(MATCH(K4408,ctaNombre,0))),"⚠ Destino no registrado",IF(AND(P4408="Pago tarjeta",AE4408&lt;&gt;"Tarjeta de crédito"),"⚠ El destino debe ser tarjeta de crédito",IF(AND(P4408="Gasto",E4408="Depósitos y retiros"),"⚠ Usa tipo Transferencia",IF(AND(P4408="Resultado trading",AD4408&lt;&gt;"Cuenta de trading"),"⚠ Usa una cuenta de trading",IF(AND(G4408&lt;=0,P4408&lt;&gt;"Ajuste",P4408&lt;&gt;"Resultado trading"),"⚠ El monto debe ser positivo","✓")))))))))))))))</f>
        <v/>
      </c>
      <c r="P4408" s="52">
        <f>IF(OR(B4408="",G4408=""),"",IF(C4408="","Gasto",C4408))</f>
        <v/>
      </c>
      <c r="Q4408" s="52">
        <f>IF(P4408="","",IF(J4408&lt;&gt;"",J4408,CuentaPred&amp;""))</f>
        <v/>
      </c>
      <c r="R4408" s="52">
        <f>IF(P4408="","",IF(ISNUMBER(I4408),I4408,TasaUSD))</f>
        <v/>
      </c>
      <c r="S4408" s="53">
        <f>IF(P4408="","",IF(H4408="USD",G4408*R4408,G4408))</f>
        <v/>
      </c>
      <c r="T4408" s="53">
        <f>IF(P4408="","",IF(H4408="USD",G4408,IF(R4408&gt;0,G4408/R4408,0)))</f>
        <v/>
      </c>
      <c r="U4408" s="53">
        <f>IF(P4408="","",IF(P4408="Gasto",S4408,IF(P4408="Reembolso",-S4408,0)))</f>
        <v/>
      </c>
      <c r="V4408" s="53">
        <f>IF(P4408="","",IF(P4408="Ingreso",S4408,0))</f>
        <v/>
      </c>
      <c r="W4408" s="53">
        <f>IF(P4408="","",IF(P4408="Resultado trading",S4408,0))</f>
        <v/>
      </c>
      <c r="X4408" s="52">
        <f>IF(OR(P4408="Gasto",P4408="Reembolso"),IF(M4408&lt;&gt;"",M4408,IFERROR(INDEX(catClasif,MATCH(D4408&amp;"|"&amp;E4408,catClave,0))&amp;"","Variable")),"")</f>
        <v/>
      </c>
      <c r="Y4408" s="52">
        <f>IF(P4408="","",IFERROR(INDEX(catGrupo,MATCH(D4408&amp;"|"&amp;E4408,catClave,0))&amp;"",""))</f>
        <v/>
      </c>
      <c r="Z4408" s="52">
        <f>IF(P4408="","",WEEKDAY(B4408,2))</f>
        <v/>
      </c>
      <c r="AA4408" s="52">
        <f>IF(P4408="","",IF(AND(P4408="Gasto",X4408="Variable",D4408&lt;&gt;catTrading,S4408&gt;0,S4408&lt;=Umbral),1,0))</f>
        <v/>
      </c>
      <c r="AB4408" s="52">
        <f>IF(OR(P4408="",Q4408=""),"",IFERROR(IF(INDEX(ctaVinc,MATCH(Q4408,ctaNombre,0))&amp;""&lt;&gt;"",INDEX(ctaVinc,MATCH(Q4408,ctaNombre,0))&amp;"",Q4408),Q4408))</f>
        <v/>
      </c>
      <c r="AC4408" s="52">
        <f>IF(OR(K4408="",AND(P4408&lt;&gt;"Transferencia",P4408&lt;&gt;"Pago tarjeta")),"",IFERROR(IF(INDEX(ctaVinc,MATCH(K4408,ctaNombre,0))&amp;""&lt;&gt;"",INDEX(ctaVinc,MATCH(K4408,ctaNombre,0))&amp;"",K4408),K4408))</f>
        <v/>
      </c>
      <c r="AD4408" s="52">
        <f>IF(AB4408="","",IFERROR(INDEX(ctaTipo,MATCH(AB4408,ctaNombre,0))&amp;"",""))</f>
        <v/>
      </c>
      <c r="AE4408" s="52">
        <f>IF(AC4408="","",IFERROR(INDEX(ctaTipo,MATCH(AC4408,ctaNombre,0))&amp;"",""))</f>
        <v/>
      </c>
      <c r="AF4408" s="53">
        <f>IF(OR(P4408="",AB4408=""),"",IF(OR(P4408="Gasto",P4408="Transferencia",P4408="Pago tarjeta"),-1,1)*IF(IFERROR(INDEX(ctaMoneda,MATCH(AB4408,ctaNombre,0))&amp;"","DOP")="USD",T4408,S4408))</f>
        <v/>
      </c>
      <c r="AG4408" s="53">
        <f>IF(AC4408="","",IF(IFERROR(INDEX(ctaMoneda,MATCH(AC4408,ctaNombre,0))&amp;"","DOP")="USD",T4408,S4408))</f>
        <v/>
      </c>
      <c r="AH4408" s="53">
        <f>IF(P4408="","",IF(AND(AD4408&lt;&gt;"",COUNTIFS(tcTipo,AD4408,tcLiq,"Sí")&gt;0),IF(OR(P4408="Gasto",P4408="Transferencia",P4408="Pago tarjeta"),-1,1)*S4408,0)+IF(AND(AE4408&lt;&gt;"",COUNTIFS(tcTipo,AE4408,tcLiq,"Sí")&gt;0),S4408,0))</f>
        <v/>
      </c>
      <c r="AI4408" s="52">
        <f>IF(OR(L4408="",P4408=""),"",IF(COUNTIFS(L$6:L4408,L4408,P$6:P4408,"?*")=1,MAX(AI$5:AI4407)+1,""))</f>
        <v/>
      </c>
    </row>
    <row r="4409">
      <c r="B4409" s="47" t="n"/>
      <c r="C4409" s="48" t="n"/>
      <c r="D4409" s="48" t="n"/>
      <c r="E4409" s="48" t="n"/>
      <c r="F4409" s="48" t="n"/>
      <c r="G4409" s="49" t="n"/>
      <c r="H4409" s="48" t="n"/>
      <c r="I4409" s="50" t="n"/>
      <c r="J4409" s="48" t="n"/>
      <c r="K4409" s="48" t="n"/>
      <c r="L4409" s="48" t="n"/>
      <c r="M4409" s="48" t="n"/>
      <c r="N4409" s="48" t="n"/>
      <c r="O4409" s="51">
        <f>IF(AND(B4409="",G4409="",C4409="",D4409="",J4409=""),"",IF(B4409="","⚠ Falta fecha",IF(G4409="","⚠ Falta monto",IF(Q4409="","⚠ Falta cuenta",IF(ISNA(MATCH(Q4409,ctaNombre,0)),"⚠ Cuenta no registrada",IF(AND(OR(P4409="Gasto",P4409="Reembolso"),D4409=""),"⚠ Falta categoría",IF(AND(D4409&lt;&gt;"",E4409&lt;&gt;"",ISNA(MATCH(D4409&amp;"|"&amp;E4409,catClave,0))),"⚠ Subcategoría no corresponde",IF(AND(OR(P4409="Transferencia",P4409="Pago tarjeta"),K4409=""),"⚠ Falta cuenta destino",IF(AND(K4409&lt;&gt;"",P4409&lt;&gt;"Transferencia",P4409&lt;&gt;"Pago tarjeta"),"⚠ Destino solo aplica a transferencias",IF(AND(K4409&lt;&gt;"",K4409=Q4409),"⚠ Origen igual a destino",IF(AND(K4409&lt;&gt;"",ISNA(MATCH(K4409,ctaNombre,0))),"⚠ Destino no registrado",IF(AND(P4409="Pago tarjeta",AE4409&lt;&gt;"Tarjeta de crédito"),"⚠ El destino debe ser tarjeta de crédito",IF(AND(P4409="Gasto",E4409="Depósitos y retiros"),"⚠ Usa tipo Transferencia",IF(AND(P4409="Resultado trading",AD4409&lt;&gt;"Cuenta de trading"),"⚠ Usa una cuenta de trading",IF(AND(G4409&lt;=0,P4409&lt;&gt;"Ajuste",P4409&lt;&gt;"Resultado trading"),"⚠ El monto debe ser positivo","✓")))))))))))))))</f>
        <v/>
      </c>
      <c r="P4409" s="52">
        <f>IF(OR(B4409="",G4409=""),"",IF(C4409="","Gasto",C4409))</f>
        <v/>
      </c>
      <c r="Q4409" s="52">
        <f>IF(P4409="","",IF(J4409&lt;&gt;"",J4409,CuentaPred&amp;""))</f>
        <v/>
      </c>
      <c r="R4409" s="52">
        <f>IF(P4409="","",IF(ISNUMBER(I4409),I4409,TasaUSD))</f>
        <v/>
      </c>
      <c r="S4409" s="53">
        <f>IF(P4409="","",IF(H4409="USD",G4409*R4409,G4409))</f>
        <v/>
      </c>
      <c r="T4409" s="53">
        <f>IF(P4409="","",IF(H4409="USD",G4409,IF(R4409&gt;0,G4409/R4409,0)))</f>
        <v/>
      </c>
      <c r="U4409" s="53">
        <f>IF(P4409="","",IF(P4409="Gasto",S4409,IF(P4409="Reembolso",-S4409,0)))</f>
        <v/>
      </c>
      <c r="V4409" s="53">
        <f>IF(P4409="","",IF(P4409="Ingreso",S4409,0))</f>
        <v/>
      </c>
      <c r="W4409" s="53">
        <f>IF(P4409="","",IF(P4409="Resultado trading",S4409,0))</f>
        <v/>
      </c>
      <c r="X4409" s="52">
        <f>IF(OR(P4409="Gasto",P4409="Reembolso"),IF(M4409&lt;&gt;"",M4409,IFERROR(INDEX(catClasif,MATCH(D4409&amp;"|"&amp;E4409,catClave,0))&amp;"","Variable")),"")</f>
        <v/>
      </c>
      <c r="Y4409" s="52">
        <f>IF(P4409="","",IFERROR(INDEX(catGrupo,MATCH(D4409&amp;"|"&amp;E4409,catClave,0))&amp;"",""))</f>
        <v/>
      </c>
      <c r="Z4409" s="52">
        <f>IF(P4409="","",WEEKDAY(B4409,2))</f>
        <v/>
      </c>
      <c r="AA4409" s="52">
        <f>IF(P4409="","",IF(AND(P4409="Gasto",X4409="Variable",D4409&lt;&gt;catTrading,S4409&gt;0,S4409&lt;=Umbral),1,0))</f>
        <v/>
      </c>
      <c r="AB4409" s="52">
        <f>IF(OR(P4409="",Q4409=""),"",IFERROR(IF(INDEX(ctaVinc,MATCH(Q4409,ctaNombre,0))&amp;""&lt;&gt;"",INDEX(ctaVinc,MATCH(Q4409,ctaNombre,0))&amp;"",Q4409),Q4409))</f>
        <v/>
      </c>
      <c r="AC4409" s="52">
        <f>IF(OR(K4409="",AND(P4409&lt;&gt;"Transferencia",P4409&lt;&gt;"Pago tarjeta")),"",IFERROR(IF(INDEX(ctaVinc,MATCH(K4409,ctaNombre,0))&amp;""&lt;&gt;"",INDEX(ctaVinc,MATCH(K4409,ctaNombre,0))&amp;"",K4409),K4409))</f>
        <v/>
      </c>
      <c r="AD4409" s="52">
        <f>IF(AB4409="","",IFERROR(INDEX(ctaTipo,MATCH(AB4409,ctaNombre,0))&amp;"",""))</f>
        <v/>
      </c>
      <c r="AE4409" s="52">
        <f>IF(AC4409="","",IFERROR(INDEX(ctaTipo,MATCH(AC4409,ctaNombre,0))&amp;"",""))</f>
        <v/>
      </c>
      <c r="AF4409" s="53">
        <f>IF(OR(P4409="",AB4409=""),"",IF(OR(P4409="Gasto",P4409="Transferencia",P4409="Pago tarjeta"),-1,1)*IF(IFERROR(INDEX(ctaMoneda,MATCH(AB4409,ctaNombre,0))&amp;"","DOP")="USD",T4409,S4409))</f>
        <v/>
      </c>
      <c r="AG4409" s="53">
        <f>IF(AC4409="","",IF(IFERROR(INDEX(ctaMoneda,MATCH(AC4409,ctaNombre,0))&amp;"","DOP")="USD",T4409,S4409))</f>
        <v/>
      </c>
      <c r="AH4409" s="53">
        <f>IF(P4409="","",IF(AND(AD4409&lt;&gt;"",COUNTIFS(tcTipo,AD4409,tcLiq,"Sí")&gt;0),IF(OR(P4409="Gasto",P4409="Transferencia",P4409="Pago tarjeta"),-1,1)*S4409,0)+IF(AND(AE4409&lt;&gt;"",COUNTIFS(tcTipo,AE4409,tcLiq,"Sí")&gt;0),S4409,0))</f>
        <v/>
      </c>
      <c r="AI4409" s="52">
        <f>IF(OR(L4409="",P4409=""),"",IF(COUNTIFS(L$6:L4409,L4409,P$6:P4409,"?*")=1,MAX(AI$5:AI4408)+1,""))</f>
        <v/>
      </c>
    </row>
    <row r="4410">
      <c r="B4410" s="47" t="n"/>
      <c r="C4410" s="48" t="n"/>
      <c r="D4410" s="48" t="n"/>
      <c r="E4410" s="48" t="n"/>
      <c r="F4410" s="48" t="n"/>
      <c r="G4410" s="49" t="n"/>
      <c r="H4410" s="48" t="n"/>
      <c r="I4410" s="50" t="n"/>
      <c r="J4410" s="48" t="n"/>
      <c r="K4410" s="48" t="n"/>
      <c r="L4410" s="48" t="n"/>
      <c r="M4410" s="48" t="n"/>
      <c r="N4410" s="48" t="n"/>
      <c r="O4410" s="51">
        <f>IF(AND(B4410="",G4410="",C4410="",D4410="",J4410=""),"",IF(B4410="","⚠ Falta fecha",IF(G4410="","⚠ Falta monto",IF(Q4410="","⚠ Falta cuenta",IF(ISNA(MATCH(Q4410,ctaNombre,0)),"⚠ Cuenta no registrada",IF(AND(OR(P4410="Gasto",P4410="Reembolso"),D4410=""),"⚠ Falta categoría",IF(AND(D4410&lt;&gt;"",E4410&lt;&gt;"",ISNA(MATCH(D4410&amp;"|"&amp;E4410,catClave,0))),"⚠ Subcategoría no corresponde",IF(AND(OR(P4410="Transferencia",P4410="Pago tarjeta"),K4410=""),"⚠ Falta cuenta destino",IF(AND(K4410&lt;&gt;"",P4410&lt;&gt;"Transferencia",P4410&lt;&gt;"Pago tarjeta"),"⚠ Destino solo aplica a transferencias",IF(AND(K4410&lt;&gt;"",K4410=Q4410),"⚠ Origen igual a destino",IF(AND(K4410&lt;&gt;"",ISNA(MATCH(K4410,ctaNombre,0))),"⚠ Destino no registrado",IF(AND(P4410="Pago tarjeta",AE4410&lt;&gt;"Tarjeta de crédito"),"⚠ El destino debe ser tarjeta de crédito",IF(AND(P4410="Gasto",E4410="Depósitos y retiros"),"⚠ Usa tipo Transferencia",IF(AND(P4410="Resultado trading",AD4410&lt;&gt;"Cuenta de trading"),"⚠ Usa una cuenta de trading",IF(AND(G4410&lt;=0,P4410&lt;&gt;"Ajuste",P4410&lt;&gt;"Resultado trading"),"⚠ El monto debe ser positivo","✓")))))))))))))))</f>
        <v/>
      </c>
      <c r="P4410" s="52">
        <f>IF(OR(B4410="",G4410=""),"",IF(C4410="","Gasto",C4410))</f>
        <v/>
      </c>
      <c r="Q4410" s="52">
        <f>IF(P4410="","",IF(J4410&lt;&gt;"",J4410,CuentaPred&amp;""))</f>
        <v/>
      </c>
      <c r="R4410" s="52">
        <f>IF(P4410="","",IF(ISNUMBER(I4410),I4410,TasaUSD))</f>
        <v/>
      </c>
      <c r="S4410" s="53">
        <f>IF(P4410="","",IF(H4410="USD",G4410*R4410,G4410))</f>
        <v/>
      </c>
      <c r="T4410" s="53">
        <f>IF(P4410="","",IF(H4410="USD",G4410,IF(R4410&gt;0,G4410/R4410,0)))</f>
        <v/>
      </c>
      <c r="U4410" s="53">
        <f>IF(P4410="","",IF(P4410="Gasto",S4410,IF(P4410="Reembolso",-S4410,0)))</f>
        <v/>
      </c>
      <c r="V4410" s="53">
        <f>IF(P4410="","",IF(P4410="Ingreso",S4410,0))</f>
        <v/>
      </c>
      <c r="W4410" s="53">
        <f>IF(P4410="","",IF(P4410="Resultado trading",S4410,0))</f>
        <v/>
      </c>
      <c r="X4410" s="52">
        <f>IF(OR(P4410="Gasto",P4410="Reembolso"),IF(M4410&lt;&gt;"",M4410,IFERROR(INDEX(catClasif,MATCH(D4410&amp;"|"&amp;E4410,catClave,0))&amp;"","Variable")),"")</f>
        <v/>
      </c>
      <c r="Y4410" s="52">
        <f>IF(P4410="","",IFERROR(INDEX(catGrupo,MATCH(D4410&amp;"|"&amp;E4410,catClave,0))&amp;"",""))</f>
        <v/>
      </c>
      <c r="Z4410" s="52">
        <f>IF(P4410="","",WEEKDAY(B4410,2))</f>
        <v/>
      </c>
      <c r="AA4410" s="52">
        <f>IF(P4410="","",IF(AND(P4410="Gasto",X4410="Variable",D4410&lt;&gt;catTrading,S4410&gt;0,S4410&lt;=Umbral),1,0))</f>
        <v/>
      </c>
      <c r="AB4410" s="52">
        <f>IF(OR(P4410="",Q4410=""),"",IFERROR(IF(INDEX(ctaVinc,MATCH(Q4410,ctaNombre,0))&amp;""&lt;&gt;"",INDEX(ctaVinc,MATCH(Q4410,ctaNombre,0))&amp;"",Q4410),Q4410))</f>
        <v/>
      </c>
      <c r="AC4410" s="52">
        <f>IF(OR(K4410="",AND(P4410&lt;&gt;"Transferencia",P4410&lt;&gt;"Pago tarjeta")),"",IFERROR(IF(INDEX(ctaVinc,MATCH(K4410,ctaNombre,0))&amp;""&lt;&gt;"",INDEX(ctaVinc,MATCH(K4410,ctaNombre,0))&amp;"",K4410),K4410))</f>
        <v/>
      </c>
      <c r="AD4410" s="52">
        <f>IF(AB4410="","",IFERROR(INDEX(ctaTipo,MATCH(AB4410,ctaNombre,0))&amp;"",""))</f>
        <v/>
      </c>
      <c r="AE4410" s="52">
        <f>IF(AC4410="","",IFERROR(INDEX(ctaTipo,MATCH(AC4410,ctaNombre,0))&amp;"",""))</f>
        <v/>
      </c>
      <c r="AF4410" s="53">
        <f>IF(OR(P4410="",AB4410=""),"",IF(OR(P4410="Gasto",P4410="Transferencia",P4410="Pago tarjeta"),-1,1)*IF(IFERROR(INDEX(ctaMoneda,MATCH(AB4410,ctaNombre,0))&amp;"","DOP")="USD",T4410,S4410))</f>
        <v/>
      </c>
      <c r="AG4410" s="53">
        <f>IF(AC4410="","",IF(IFERROR(INDEX(ctaMoneda,MATCH(AC4410,ctaNombre,0))&amp;"","DOP")="USD",T4410,S4410))</f>
        <v/>
      </c>
      <c r="AH4410" s="53">
        <f>IF(P4410="","",IF(AND(AD4410&lt;&gt;"",COUNTIFS(tcTipo,AD4410,tcLiq,"Sí")&gt;0),IF(OR(P4410="Gasto",P4410="Transferencia",P4410="Pago tarjeta"),-1,1)*S4410,0)+IF(AND(AE4410&lt;&gt;"",COUNTIFS(tcTipo,AE4410,tcLiq,"Sí")&gt;0),S4410,0))</f>
        <v/>
      </c>
      <c r="AI4410" s="52">
        <f>IF(OR(L4410="",P4410=""),"",IF(COUNTIFS(L$6:L4410,L4410,P$6:P4410,"?*")=1,MAX(AI$5:AI4409)+1,""))</f>
        <v/>
      </c>
    </row>
    <row r="4411">
      <c r="B4411" s="47" t="n"/>
      <c r="C4411" s="48" t="n"/>
      <c r="D4411" s="48" t="n"/>
      <c r="E4411" s="48" t="n"/>
      <c r="F4411" s="48" t="n"/>
      <c r="G4411" s="49" t="n"/>
      <c r="H4411" s="48" t="n"/>
      <c r="I4411" s="50" t="n"/>
      <c r="J4411" s="48" t="n"/>
      <c r="K4411" s="48" t="n"/>
      <c r="L4411" s="48" t="n"/>
      <c r="M4411" s="48" t="n"/>
      <c r="N4411" s="48" t="n"/>
      <c r="O4411" s="51">
        <f>IF(AND(B4411="",G4411="",C4411="",D4411="",J4411=""),"",IF(B4411="","⚠ Falta fecha",IF(G4411="","⚠ Falta monto",IF(Q4411="","⚠ Falta cuenta",IF(ISNA(MATCH(Q4411,ctaNombre,0)),"⚠ Cuenta no registrada",IF(AND(OR(P4411="Gasto",P4411="Reembolso"),D4411=""),"⚠ Falta categoría",IF(AND(D4411&lt;&gt;"",E4411&lt;&gt;"",ISNA(MATCH(D4411&amp;"|"&amp;E4411,catClave,0))),"⚠ Subcategoría no corresponde",IF(AND(OR(P4411="Transferencia",P4411="Pago tarjeta"),K4411=""),"⚠ Falta cuenta destino",IF(AND(K4411&lt;&gt;"",P4411&lt;&gt;"Transferencia",P4411&lt;&gt;"Pago tarjeta"),"⚠ Destino solo aplica a transferencias",IF(AND(K4411&lt;&gt;"",K4411=Q4411),"⚠ Origen igual a destino",IF(AND(K4411&lt;&gt;"",ISNA(MATCH(K4411,ctaNombre,0))),"⚠ Destino no registrado",IF(AND(P4411="Pago tarjeta",AE4411&lt;&gt;"Tarjeta de crédito"),"⚠ El destino debe ser tarjeta de crédito",IF(AND(P4411="Gasto",E4411="Depósitos y retiros"),"⚠ Usa tipo Transferencia",IF(AND(P4411="Resultado trading",AD4411&lt;&gt;"Cuenta de trading"),"⚠ Usa una cuenta de trading",IF(AND(G4411&lt;=0,P4411&lt;&gt;"Ajuste",P4411&lt;&gt;"Resultado trading"),"⚠ El monto debe ser positivo","✓")))))))))))))))</f>
        <v/>
      </c>
      <c r="P4411" s="52">
        <f>IF(OR(B4411="",G4411=""),"",IF(C4411="","Gasto",C4411))</f>
        <v/>
      </c>
      <c r="Q4411" s="52">
        <f>IF(P4411="","",IF(J4411&lt;&gt;"",J4411,CuentaPred&amp;""))</f>
        <v/>
      </c>
      <c r="R4411" s="52">
        <f>IF(P4411="","",IF(ISNUMBER(I4411),I4411,TasaUSD))</f>
        <v/>
      </c>
      <c r="S4411" s="53">
        <f>IF(P4411="","",IF(H4411="USD",G4411*R4411,G4411))</f>
        <v/>
      </c>
      <c r="T4411" s="53">
        <f>IF(P4411="","",IF(H4411="USD",G4411,IF(R4411&gt;0,G4411/R4411,0)))</f>
        <v/>
      </c>
      <c r="U4411" s="53">
        <f>IF(P4411="","",IF(P4411="Gasto",S4411,IF(P4411="Reembolso",-S4411,0)))</f>
        <v/>
      </c>
      <c r="V4411" s="53">
        <f>IF(P4411="","",IF(P4411="Ingreso",S4411,0))</f>
        <v/>
      </c>
      <c r="W4411" s="53">
        <f>IF(P4411="","",IF(P4411="Resultado trading",S4411,0))</f>
        <v/>
      </c>
      <c r="X4411" s="52">
        <f>IF(OR(P4411="Gasto",P4411="Reembolso"),IF(M4411&lt;&gt;"",M4411,IFERROR(INDEX(catClasif,MATCH(D4411&amp;"|"&amp;E4411,catClave,0))&amp;"","Variable")),"")</f>
        <v/>
      </c>
      <c r="Y4411" s="52">
        <f>IF(P4411="","",IFERROR(INDEX(catGrupo,MATCH(D4411&amp;"|"&amp;E4411,catClave,0))&amp;"",""))</f>
        <v/>
      </c>
      <c r="Z4411" s="52">
        <f>IF(P4411="","",WEEKDAY(B4411,2))</f>
        <v/>
      </c>
      <c r="AA4411" s="52">
        <f>IF(P4411="","",IF(AND(P4411="Gasto",X4411="Variable",D4411&lt;&gt;catTrading,S4411&gt;0,S4411&lt;=Umbral),1,0))</f>
        <v/>
      </c>
      <c r="AB4411" s="52">
        <f>IF(OR(P4411="",Q4411=""),"",IFERROR(IF(INDEX(ctaVinc,MATCH(Q4411,ctaNombre,0))&amp;""&lt;&gt;"",INDEX(ctaVinc,MATCH(Q4411,ctaNombre,0))&amp;"",Q4411),Q4411))</f>
        <v/>
      </c>
      <c r="AC4411" s="52">
        <f>IF(OR(K4411="",AND(P4411&lt;&gt;"Transferencia",P4411&lt;&gt;"Pago tarjeta")),"",IFERROR(IF(INDEX(ctaVinc,MATCH(K4411,ctaNombre,0))&amp;""&lt;&gt;"",INDEX(ctaVinc,MATCH(K4411,ctaNombre,0))&amp;"",K4411),K4411))</f>
        <v/>
      </c>
      <c r="AD4411" s="52">
        <f>IF(AB4411="","",IFERROR(INDEX(ctaTipo,MATCH(AB4411,ctaNombre,0))&amp;"",""))</f>
        <v/>
      </c>
      <c r="AE4411" s="52">
        <f>IF(AC4411="","",IFERROR(INDEX(ctaTipo,MATCH(AC4411,ctaNombre,0))&amp;"",""))</f>
        <v/>
      </c>
      <c r="AF4411" s="53">
        <f>IF(OR(P4411="",AB4411=""),"",IF(OR(P4411="Gasto",P4411="Transferencia",P4411="Pago tarjeta"),-1,1)*IF(IFERROR(INDEX(ctaMoneda,MATCH(AB4411,ctaNombre,0))&amp;"","DOP")="USD",T4411,S4411))</f>
        <v/>
      </c>
      <c r="AG4411" s="53">
        <f>IF(AC4411="","",IF(IFERROR(INDEX(ctaMoneda,MATCH(AC4411,ctaNombre,0))&amp;"","DOP")="USD",T4411,S4411))</f>
        <v/>
      </c>
      <c r="AH4411" s="53">
        <f>IF(P4411="","",IF(AND(AD4411&lt;&gt;"",COUNTIFS(tcTipo,AD4411,tcLiq,"Sí")&gt;0),IF(OR(P4411="Gasto",P4411="Transferencia",P4411="Pago tarjeta"),-1,1)*S4411,0)+IF(AND(AE4411&lt;&gt;"",COUNTIFS(tcTipo,AE4411,tcLiq,"Sí")&gt;0),S4411,0))</f>
        <v/>
      </c>
      <c r="AI4411" s="52">
        <f>IF(OR(L4411="",P4411=""),"",IF(COUNTIFS(L$6:L4411,L4411,P$6:P4411,"?*")=1,MAX(AI$5:AI4410)+1,""))</f>
        <v/>
      </c>
    </row>
    <row r="4412">
      <c r="B4412" s="47" t="n"/>
      <c r="C4412" s="48" t="n"/>
      <c r="D4412" s="48" t="n"/>
      <c r="E4412" s="48" t="n"/>
      <c r="F4412" s="48" t="n"/>
      <c r="G4412" s="49" t="n"/>
      <c r="H4412" s="48" t="n"/>
      <c r="I4412" s="50" t="n"/>
      <c r="J4412" s="48" t="n"/>
      <c r="K4412" s="48" t="n"/>
      <c r="L4412" s="48" t="n"/>
      <c r="M4412" s="48" t="n"/>
      <c r="N4412" s="48" t="n"/>
      <c r="O4412" s="51">
        <f>IF(AND(B4412="",G4412="",C4412="",D4412="",J4412=""),"",IF(B4412="","⚠ Falta fecha",IF(G4412="","⚠ Falta monto",IF(Q4412="","⚠ Falta cuenta",IF(ISNA(MATCH(Q4412,ctaNombre,0)),"⚠ Cuenta no registrada",IF(AND(OR(P4412="Gasto",P4412="Reembolso"),D4412=""),"⚠ Falta categoría",IF(AND(D4412&lt;&gt;"",E4412&lt;&gt;"",ISNA(MATCH(D4412&amp;"|"&amp;E4412,catClave,0))),"⚠ Subcategoría no corresponde",IF(AND(OR(P4412="Transferencia",P4412="Pago tarjeta"),K4412=""),"⚠ Falta cuenta destino",IF(AND(K4412&lt;&gt;"",P4412&lt;&gt;"Transferencia",P4412&lt;&gt;"Pago tarjeta"),"⚠ Destino solo aplica a transferencias",IF(AND(K4412&lt;&gt;"",K4412=Q4412),"⚠ Origen igual a destino",IF(AND(K4412&lt;&gt;"",ISNA(MATCH(K4412,ctaNombre,0))),"⚠ Destino no registrado",IF(AND(P4412="Pago tarjeta",AE4412&lt;&gt;"Tarjeta de crédito"),"⚠ El destino debe ser tarjeta de crédito",IF(AND(P4412="Gasto",E4412="Depósitos y retiros"),"⚠ Usa tipo Transferencia",IF(AND(P4412="Resultado trading",AD4412&lt;&gt;"Cuenta de trading"),"⚠ Usa una cuenta de trading",IF(AND(G4412&lt;=0,P4412&lt;&gt;"Ajuste",P4412&lt;&gt;"Resultado trading"),"⚠ El monto debe ser positivo","✓")))))))))))))))</f>
        <v/>
      </c>
      <c r="P4412" s="52">
        <f>IF(OR(B4412="",G4412=""),"",IF(C4412="","Gasto",C4412))</f>
        <v/>
      </c>
      <c r="Q4412" s="52">
        <f>IF(P4412="","",IF(J4412&lt;&gt;"",J4412,CuentaPred&amp;""))</f>
        <v/>
      </c>
      <c r="R4412" s="52">
        <f>IF(P4412="","",IF(ISNUMBER(I4412),I4412,TasaUSD))</f>
        <v/>
      </c>
      <c r="S4412" s="53">
        <f>IF(P4412="","",IF(H4412="USD",G4412*R4412,G4412))</f>
        <v/>
      </c>
      <c r="T4412" s="53">
        <f>IF(P4412="","",IF(H4412="USD",G4412,IF(R4412&gt;0,G4412/R4412,0)))</f>
        <v/>
      </c>
      <c r="U4412" s="53">
        <f>IF(P4412="","",IF(P4412="Gasto",S4412,IF(P4412="Reembolso",-S4412,0)))</f>
        <v/>
      </c>
      <c r="V4412" s="53">
        <f>IF(P4412="","",IF(P4412="Ingreso",S4412,0))</f>
        <v/>
      </c>
      <c r="W4412" s="53">
        <f>IF(P4412="","",IF(P4412="Resultado trading",S4412,0))</f>
        <v/>
      </c>
      <c r="X4412" s="52">
        <f>IF(OR(P4412="Gasto",P4412="Reembolso"),IF(M4412&lt;&gt;"",M4412,IFERROR(INDEX(catClasif,MATCH(D4412&amp;"|"&amp;E4412,catClave,0))&amp;"","Variable")),"")</f>
        <v/>
      </c>
      <c r="Y4412" s="52">
        <f>IF(P4412="","",IFERROR(INDEX(catGrupo,MATCH(D4412&amp;"|"&amp;E4412,catClave,0))&amp;"",""))</f>
        <v/>
      </c>
      <c r="Z4412" s="52">
        <f>IF(P4412="","",WEEKDAY(B4412,2))</f>
        <v/>
      </c>
      <c r="AA4412" s="52">
        <f>IF(P4412="","",IF(AND(P4412="Gasto",X4412="Variable",D4412&lt;&gt;catTrading,S4412&gt;0,S4412&lt;=Umbral),1,0))</f>
        <v/>
      </c>
      <c r="AB4412" s="52">
        <f>IF(OR(P4412="",Q4412=""),"",IFERROR(IF(INDEX(ctaVinc,MATCH(Q4412,ctaNombre,0))&amp;""&lt;&gt;"",INDEX(ctaVinc,MATCH(Q4412,ctaNombre,0))&amp;"",Q4412),Q4412))</f>
        <v/>
      </c>
      <c r="AC4412" s="52">
        <f>IF(OR(K4412="",AND(P4412&lt;&gt;"Transferencia",P4412&lt;&gt;"Pago tarjeta")),"",IFERROR(IF(INDEX(ctaVinc,MATCH(K4412,ctaNombre,0))&amp;""&lt;&gt;"",INDEX(ctaVinc,MATCH(K4412,ctaNombre,0))&amp;"",K4412),K4412))</f>
        <v/>
      </c>
      <c r="AD4412" s="52">
        <f>IF(AB4412="","",IFERROR(INDEX(ctaTipo,MATCH(AB4412,ctaNombre,0))&amp;"",""))</f>
        <v/>
      </c>
      <c r="AE4412" s="52">
        <f>IF(AC4412="","",IFERROR(INDEX(ctaTipo,MATCH(AC4412,ctaNombre,0))&amp;"",""))</f>
        <v/>
      </c>
      <c r="AF4412" s="53">
        <f>IF(OR(P4412="",AB4412=""),"",IF(OR(P4412="Gasto",P4412="Transferencia",P4412="Pago tarjeta"),-1,1)*IF(IFERROR(INDEX(ctaMoneda,MATCH(AB4412,ctaNombre,0))&amp;"","DOP")="USD",T4412,S4412))</f>
        <v/>
      </c>
      <c r="AG4412" s="53">
        <f>IF(AC4412="","",IF(IFERROR(INDEX(ctaMoneda,MATCH(AC4412,ctaNombre,0))&amp;"","DOP")="USD",T4412,S4412))</f>
        <v/>
      </c>
      <c r="AH4412" s="53">
        <f>IF(P4412="","",IF(AND(AD4412&lt;&gt;"",COUNTIFS(tcTipo,AD4412,tcLiq,"Sí")&gt;0),IF(OR(P4412="Gasto",P4412="Transferencia",P4412="Pago tarjeta"),-1,1)*S4412,0)+IF(AND(AE4412&lt;&gt;"",COUNTIFS(tcTipo,AE4412,tcLiq,"Sí")&gt;0),S4412,0))</f>
        <v/>
      </c>
      <c r="AI4412" s="52">
        <f>IF(OR(L4412="",P4412=""),"",IF(COUNTIFS(L$6:L4412,L4412,P$6:P4412,"?*")=1,MAX(AI$5:AI4411)+1,""))</f>
        <v/>
      </c>
    </row>
    <row r="4413">
      <c r="B4413" s="47" t="n"/>
      <c r="C4413" s="48" t="n"/>
      <c r="D4413" s="48" t="n"/>
      <c r="E4413" s="48" t="n"/>
      <c r="F4413" s="48" t="n"/>
      <c r="G4413" s="49" t="n"/>
      <c r="H4413" s="48" t="n"/>
      <c r="I4413" s="50" t="n"/>
      <c r="J4413" s="48" t="n"/>
      <c r="K4413" s="48" t="n"/>
      <c r="L4413" s="48" t="n"/>
      <c r="M4413" s="48" t="n"/>
      <c r="N4413" s="48" t="n"/>
      <c r="O4413" s="51">
        <f>IF(AND(B4413="",G4413="",C4413="",D4413="",J4413=""),"",IF(B4413="","⚠ Falta fecha",IF(G4413="","⚠ Falta monto",IF(Q4413="","⚠ Falta cuenta",IF(ISNA(MATCH(Q4413,ctaNombre,0)),"⚠ Cuenta no registrada",IF(AND(OR(P4413="Gasto",P4413="Reembolso"),D4413=""),"⚠ Falta categoría",IF(AND(D4413&lt;&gt;"",E4413&lt;&gt;"",ISNA(MATCH(D4413&amp;"|"&amp;E4413,catClave,0))),"⚠ Subcategoría no corresponde",IF(AND(OR(P4413="Transferencia",P4413="Pago tarjeta"),K4413=""),"⚠ Falta cuenta destino",IF(AND(K4413&lt;&gt;"",P4413&lt;&gt;"Transferencia",P4413&lt;&gt;"Pago tarjeta"),"⚠ Destino solo aplica a transferencias",IF(AND(K4413&lt;&gt;"",K4413=Q4413),"⚠ Origen igual a destino",IF(AND(K4413&lt;&gt;"",ISNA(MATCH(K4413,ctaNombre,0))),"⚠ Destino no registrado",IF(AND(P4413="Pago tarjeta",AE4413&lt;&gt;"Tarjeta de crédito"),"⚠ El destino debe ser tarjeta de crédito",IF(AND(P4413="Gasto",E4413="Depósitos y retiros"),"⚠ Usa tipo Transferencia",IF(AND(P4413="Resultado trading",AD4413&lt;&gt;"Cuenta de trading"),"⚠ Usa una cuenta de trading",IF(AND(G4413&lt;=0,P4413&lt;&gt;"Ajuste",P4413&lt;&gt;"Resultado trading"),"⚠ El monto debe ser positivo","✓")))))))))))))))</f>
        <v/>
      </c>
      <c r="P4413" s="52">
        <f>IF(OR(B4413="",G4413=""),"",IF(C4413="","Gasto",C4413))</f>
        <v/>
      </c>
      <c r="Q4413" s="52">
        <f>IF(P4413="","",IF(J4413&lt;&gt;"",J4413,CuentaPred&amp;""))</f>
        <v/>
      </c>
      <c r="R4413" s="52">
        <f>IF(P4413="","",IF(ISNUMBER(I4413),I4413,TasaUSD))</f>
        <v/>
      </c>
      <c r="S4413" s="53">
        <f>IF(P4413="","",IF(H4413="USD",G4413*R4413,G4413))</f>
        <v/>
      </c>
      <c r="T4413" s="53">
        <f>IF(P4413="","",IF(H4413="USD",G4413,IF(R4413&gt;0,G4413/R4413,0)))</f>
        <v/>
      </c>
      <c r="U4413" s="53">
        <f>IF(P4413="","",IF(P4413="Gasto",S4413,IF(P4413="Reembolso",-S4413,0)))</f>
        <v/>
      </c>
      <c r="V4413" s="53">
        <f>IF(P4413="","",IF(P4413="Ingreso",S4413,0))</f>
        <v/>
      </c>
      <c r="W4413" s="53">
        <f>IF(P4413="","",IF(P4413="Resultado trading",S4413,0))</f>
        <v/>
      </c>
      <c r="X4413" s="52">
        <f>IF(OR(P4413="Gasto",P4413="Reembolso"),IF(M4413&lt;&gt;"",M4413,IFERROR(INDEX(catClasif,MATCH(D4413&amp;"|"&amp;E4413,catClave,0))&amp;"","Variable")),"")</f>
        <v/>
      </c>
      <c r="Y4413" s="52">
        <f>IF(P4413="","",IFERROR(INDEX(catGrupo,MATCH(D4413&amp;"|"&amp;E4413,catClave,0))&amp;"",""))</f>
        <v/>
      </c>
      <c r="Z4413" s="52">
        <f>IF(P4413="","",WEEKDAY(B4413,2))</f>
        <v/>
      </c>
      <c r="AA4413" s="52">
        <f>IF(P4413="","",IF(AND(P4413="Gasto",X4413="Variable",D4413&lt;&gt;catTrading,S4413&gt;0,S4413&lt;=Umbral),1,0))</f>
        <v/>
      </c>
      <c r="AB4413" s="52">
        <f>IF(OR(P4413="",Q4413=""),"",IFERROR(IF(INDEX(ctaVinc,MATCH(Q4413,ctaNombre,0))&amp;""&lt;&gt;"",INDEX(ctaVinc,MATCH(Q4413,ctaNombre,0))&amp;"",Q4413),Q4413))</f>
        <v/>
      </c>
      <c r="AC4413" s="52">
        <f>IF(OR(K4413="",AND(P4413&lt;&gt;"Transferencia",P4413&lt;&gt;"Pago tarjeta")),"",IFERROR(IF(INDEX(ctaVinc,MATCH(K4413,ctaNombre,0))&amp;""&lt;&gt;"",INDEX(ctaVinc,MATCH(K4413,ctaNombre,0))&amp;"",K4413),K4413))</f>
        <v/>
      </c>
      <c r="AD4413" s="52">
        <f>IF(AB4413="","",IFERROR(INDEX(ctaTipo,MATCH(AB4413,ctaNombre,0))&amp;"",""))</f>
        <v/>
      </c>
      <c r="AE4413" s="52">
        <f>IF(AC4413="","",IFERROR(INDEX(ctaTipo,MATCH(AC4413,ctaNombre,0))&amp;"",""))</f>
        <v/>
      </c>
      <c r="AF4413" s="53">
        <f>IF(OR(P4413="",AB4413=""),"",IF(OR(P4413="Gasto",P4413="Transferencia",P4413="Pago tarjeta"),-1,1)*IF(IFERROR(INDEX(ctaMoneda,MATCH(AB4413,ctaNombre,0))&amp;"","DOP")="USD",T4413,S4413))</f>
        <v/>
      </c>
      <c r="AG4413" s="53">
        <f>IF(AC4413="","",IF(IFERROR(INDEX(ctaMoneda,MATCH(AC4413,ctaNombre,0))&amp;"","DOP")="USD",T4413,S4413))</f>
        <v/>
      </c>
      <c r="AH4413" s="53">
        <f>IF(P4413="","",IF(AND(AD4413&lt;&gt;"",COUNTIFS(tcTipo,AD4413,tcLiq,"Sí")&gt;0),IF(OR(P4413="Gasto",P4413="Transferencia",P4413="Pago tarjeta"),-1,1)*S4413,0)+IF(AND(AE4413&lt;&gt;"",COUNTIFS(tcTipo,AE4413,tcLiq,"Sí")&gt;0),S4413,0))</f>
        <v/>
      </c>
      <c r="AI4413" s="52">
        <f>IF(OR(L4413="",P4413=""),"",IF(COUNTIFS(L$6:L4413,L4413,P$6:P4413,"?*")=1,MAX(AI$5:AI4412)+1,""))</f>
        <v/>
      </c>
    </row>
    <row r="4414">
      <c r="B4414" s="47" t="n"/>
      <c r="C4414" s="48" t="n"/>
      <c r="D4414" s="48" t="n"/>
      <c r="E4414" s="48" t="n"/>
      <c r="F4414" s="48" t="n"/>
      <c r="G4414" s="49" t="n"/>
      <c r="H4414" s="48" t="n"/>
      <c r="I4414" s="50" t="n"/>
      <c r="J4414" s="48" t="n"/>
      <c r="K4414" s="48" t="n"/>
      <c r="L4414" s="48" t="n"/>
      <c r="M4414" s="48" t="n"/>
      <c r="N4414" s="48" t="n"/>
      <c r="O4414" s="51">
        <f>IF(AND(B4414="",G4414="",C4414="",D4414="",J4414=""),"",IF(B4414="","⚠ Falta fecha",IF(G4414="","⚠ Falta monto",IF(Q4414="","⚠ Falta cuenta",IF(ISNA(MATCH(Q4414,ctaNombre,0)),"⚠ Cuenta no registrada",IF(AND(OR(P4414="Gasto",P4414="Reembolso"),D4414=""),"⚠ Falta categoría",IF(AND(D4414&lt;&gt;"",E4414&lt;&gt;"",ISNA(MATCH(D4414&amp;"|"&amp;E4414,catClave,0))),"⚠ Subcategoría no corresponde",IF(AND(OR(P4414="Transferencia",P4414="Pago tarjeta"),K4414=""),"⚠ Falta cuenta destino",IF(AND(K4414&lt;&gt;"",P4414&lt;&gt;"Transferencia",P4414&lt;&gt;"Pago tarjeta"),"⚠ Destino solo aplica a transferencias",IF(AND(K4414&lt;&gt;"",K4414=Q4414),"⚠ Origen igual a destino",IF(AND(K4414&lt;&gt;"",ISNA(MATCH(K4414,ctaNombre,0))),"⚠ Destino no registrado",IF(AND(P4414="Pago tarjeta",AE4414&lt;&gt;"Tarjeta de crédito"),"⚠ El destino debe ser tarjeta de crédito",IF(AND(P4414="Gasto",E4414="Depósitos y retiros"),"⚠ Usa tipo Transferencia",IF(AND(P4414="Resultado trading",AD4414&lt;&gt;"Cuenta de trading"),"⚠ Usa una cuenta de trading",IF(AND(G4414&lt;=0,P4414&lt;&gt;"Ajuste",P4414&lt;&gt;"Resultado trading"),"⚠ El monto debe ser positivo","✓")))))))))))))))</f>
        <v/>
      </c>
      <c r="P4414" s="52">
        <f>IF(OR(B4414="",G4414=""),"",IF(C4414="","Gasto",C4414))</f>
        <v/>
      </c>
      <c r="Q4414" s="52">
        <f>IF(P4414="","",IF(J4414&lt;&gt;"",J4414,CuentaPred&amp;""))</f>
        <v/>
      </c>
      <c r="R4414" s="52">
        <f>IF(P4414="","",IF(ISNUMBER(I4414),I4414,TasaUSD))</f>
        <v/>
      </c>
      <c r="S4414" s="53">
        <f>IF(P4414="","",IF(H4414="USD",G4414*R4414,G4414))</f>
        <v/>
      </c>
      <c r="T4414" s="53">
        <f>IF(P4414="","",IF(H4414="USD",G4414,IF(R4414&gt;0,G4414/R4414,0)))</f>
        <v/>
      </c>
      <c r="U4414" s="53">
        <f>IF(P4414="","",IF(P4414="Gasto",S4414,IF(P4414="Reembolso",-S4414,0)))</f>
        <v/>
      </c>
      <c r="V4414" s="53">
        <f>IF(P4414="","",IF(P4414="Ingreso",S4414,0))</f>
        <v/>
      </c>
      <c r="W4414" s="53">
        <f>IF(P4414="","",IF(P4414="Resultado trading",S4414,0))</f>
        <v/>
      </c>
      <c r="X4414" s="52">
        <f>IF(OR(P4414="Gasto",P4414="Reembolso"),IF(M4414&lt;&gt;"",M4414,IFERROR(INDEX(catClasif,MATCH(D4414&amp;"|"&amp;E4414,catClave,0))&amp;"","Variable")),"")</f>
        <v/>
      </c>
      <c r="Y4414" s="52">
        <f>IF(P4414="","",IFERROR(INDEX(catGrupo,MATCH(D4414&amp;"|"&amp;E4414,catClave,0))&amp;"",""))</f>
        <v/>
      </c>
      <c r="Z4414" s="52">
        <f>IF(P4414="","",WEEKDAY(B4414,2))</f>
        <v/>
      </c>
      <c r="AA4414" s="52">
        <f>IF(P4414="","",IF(AND(P4414="Gasto",X4414="Variable",D4414&lt;&gt;catTrading,S4414&gt;0,S4414&lt;=Umbral),1,0))</f>
        <v/>
      </c>
      <c r="AB4414" s="52">
        <f>IF(OR(P4414="",Q4414=""),"",IFERROR(IF(INDEX(ctaVinc,MATCH(Q4414,ctaNombre,0))&amp;""&lt;&gt;"",INDEX(ctaVinc,MATCH(Q4414,ctaNombre,0))&amp;"",Q4414),Q4414))</f>
        <v/>
      </c>
      <c r="AC4414" s="52">
        <f>IF(OR(K4414="",AND(P4414&lt;&gt;"Transferencia",P4414&lt;&gt;"Pago tarjeta")),"",IFERROR(IF(INDEX(ctaVinc,MATCH(K4414,ctaNombre,0))&amp;""&lt;&gt;"",INDEX(ctaVinc,MATCH(K4414,ctaNombre,0))&amp;"",K4414),K4414))</f>
        <v/>
      </c>
      <c r="AD4414" s="52">
        <f>IF(AB4414="","",IFERROR(INDEX(ctaTipo,MATCH(AB4414,ctaNombre,0))&amp;"",""))</f>
        <v/>
      </c>
      <c r="AE4414" s="52">
        <f>IF(AC4414="","",IFERROR(INDEX(ctaTipo,MATCH(AC4414,ctaNombre,0))&amp;"",""))</f>
        <v/>
      </c>
      <c r="AF4414" s="53">
        <f>IF(OR(P4414="",AB4414=""),"",IF(OR(P4414="Gasto",P4414="Transferencia",P4414="Pago tarjeta"),-1,1)*IF(IFERROR(INDEX(ctaMoneda,MATCH(AB4414,ctaNombre,0))&amp;"","DOP")="USD",T4414,S4414))</f>
        <v/>
      </c>
      <c r="AG4414" s="53">
        <f>IF(AC4414="","",IF(IFERROR(INDEX(ctaMoneda,MATCH(AC4414,ctaNombre,0))&amp;"","DOP")="USD",T4414,S4414))</f>
        <v/>
      </c>
      <c r="AH4414" s="53">
        <f>IF(P4414="","",IF(AND(AD4414&lt;&gt;"",COUNTIFS(tcTipo,AD4414,tcLiq,"Sí")&gt;0),IF(OR(P4414="Gasto",P4414="Transferencia",P4414="Pago tarjeta"),-1,1)*S4414,0)+IF(AND(AE4414&lt;&gt;"",COUNTIFS(tcTipo,AE4414,tcLiq,"Sí")&gt;0),S4414,0))</f>
        <v/>
      </c>
      <c r="AI4414" s="52">
        <f>IF(OR(L4414="",P4414=""),"",IF(COUNTIFS(L$6:L4414,L4414,P$6:P4414,"?*")=1,MAX(AI$5:AI4413)+1,""))</f>
        <v/>
      </c>
    </row>
    <row r="4415">
      <c r="B4415" s="47" t="n"/>
      <c r="C4415" s="48" t="n"/>
      <c r="D4415" s="48" t="n"/>
      <c r="E4415" s="48" t="n"/>
      <c r="F4415" s="48" t="n"/>
      <c r="G4415" s="49" t="n"/>
      <c r="H4415" s="48" t="n"/>
      <c r="I4415" s="50" t="n"/>
      <c r="J4415" s="48" t="n"/>
      <c r="K4415" s="48" t="n"/>
      <c r="L4415" s="48" t="n"/>
      <c r="M4415" s="48" t="n"/>
      <c r="N4415" s="48" t="n"/>
      <c r="O4415" s="51">
        <f>IF(AND(B4415="",G4415="",C4415="",D4415="",J4415=""),"",IF(B4415="","⚠ Falta fecha",IF(G4415="","⚠ Falta monto",IF(Q4415="","⚠ Falta cuenta",IF(ISNA(MATCH(Q4415,ctaNombre,0)),"⚠ Cuenta no registrada",IF(AND(OR(P4415="Gasto",P4415="Reembolso"),D4415=""),"⚠ Falta categoría",IF(AND(D4415&lt;&gt;"",E4415&lt;&gt;"",ISNA(MATCH(D4415&amp;"|"&amp;E4415,catClave,0))),"⚠ Subcategoría no corresponde",IF(AND(OR(P4415="Transferencia",P4415="Pago tarjeta"),K4415=""),"⚠ Falta cuenta destino",IF(AND(K4415&lt;&gt;"",P4415&lt;&gt;"Transferencia",P4415&lt;&gt;"Pago tarjeta"),"⚠ Destino solo aplica a transferencias",IF(AND(K4415&lt;&gt;"",K4415=Q4415),"⚠ Origen igual a destino",IF(AND(K4415&lt;&gt;"",ISNA(MATCH(K4415,ctaNombre,0))),"⚠ Destino no registrado",IF(AND(P4415="Pago tarjeta",AE4415&lt;&gt;"Tarjeta de crédito"),"⚠ El destino debe ser tarjeta de crédito",IF(AND(P4415="Gasto",E4415="Depósitos y retiros"),"⚠ Usa tipo Transferencia",IF(AND(P4415="Resultado trading",AD4415&lt;&gt;"Cuenta de trading"),"⚠ Usa una cuenta de trading",IF(AND(G4415&lt;=0,P4415&lt;&gt;"Ajuste",P4415&lt;&gt;"Resultado trading"),"⚠ El monto debe ser positivo","✓")))))))))))))))</f>
        <v/>
      </c>
      <c r="P4415" s="52">
        <f>IF(OR(B4415="",G4415=""),"",IF(C4415="","Gasto",C4415))</f>
        <v/>
      </c>
      <c r="Q4415" s="52">
        <f>IF(P4415="","",IF(J4415&lt;&gt;"",J4415,CuentaPred&amp;""))</f>
        <v/>
      </c>
      <c r="R4415" s="52">
        <f>IF(P4415="","",IF(ISNUMBER(I4415),I4415,TasaUSD))</f>
        <v/>
      </c>
      <c r="S4415" s="53">
        <f>IF(P4415="","",IF(H4415="USD",G4415*R4415,G4415))</f>
        <v/>
      </c>
      <c r="T4415" s="53">
        <f>IF(P4415="","",IF(H4415="USD",G4415,IF(R4415&gt;0,G4415/R4415,0)))</f>
        <v/>
      </c>
      <c r="U4415" s="53">
        <f>IF(P4415="","",IF(P4415="Gasto",S4415,IF(P4415="Reembolso",-S4415,0)))</f>
        <v/>
      </c>
      <c r="V4415" s="53">
        <f>IF(P4415="","",IF(P4415="Ingreso",S4415,0))</f>
        <v/>
      </c>
      <c r="W4415" s="53">
        <f>IF(P4415="","",IF(P4415="Resultado trading",S4415,0))</f>
        <v/>
      </c>
      <c r="X4415" s="52">
        <f>IF(OR(P4415="Gasto",P4415="Reembolso"),IF(M4415&lt;&gt;"",M4415,IFERROR(INDEX(catClasif,MATCH(D4415&amp;"|"&amp;E4415,catClave,0))&amp;"","Variable")),"")</f>
        <v/>
      </c>
      <c r="Y4415" s="52">
        <f>IF(P4415="","",IFERROR(INDEX(catGrupo,MATCH(D4415&amp;"|"&amp;E4415,catClave,0))&amp;"",""))</f>
        <v/>
      </c>
      <c r="Z4415" s="52">
        <f>IF(P4415="","",WEEKDAY(B4415,2))</f>
        <v/>
      </c>
      <c r="AA4415" s="52">
        <f>IF(P4415="","",IF(AND(P4415="Gasto",X4415="Variable",D4415&lt;&gt;catTrading,S4415&gt;0,S4415&lt;=Umbral),1,0))</f>
        <v/>
      </c>
      <c r="AB4415" s="52">
        <f>IF(OR(P4415="",Q4415=""),"",IFERROR(IF(INDEX(ctaVinc,MATCH(Q4415,ctaNombre,0))&amp;""&lt;&gt;"",INDEX(ctaVinc,MATCH(Q4415,ctaNombre,0))&amp;"",Q4415),Q4415))</f>
        <v/>
      </c>
      <c r="AC4415" s="52">
        <f>IF(OR(K4415="",AND(P4415&lt;&gt;"Transferencia",P4415&lt;&gt;"Pago tarjeta")),"",IFERROR(IF(INDEX(ctaVinc,MATCH(K4415,ctaNombre,0))&amp;""&lt;&gt;"",INDEX(ctaVinc,MATCH(K4415,ctaNombre,0))&amp;"",K4415),K4415))</f>
        <v/>
      </c>
      <c r="AD4415" s="52">
        <f>IF(AB4415="","",IFERROR(INDEX(ctaTipo,MATCH(AB4415,ctaNombre,0))&amp;"",""))</f>
        <v/>
      </c>
      <c r="AE4415" s="52">
        <f>IF(AC4415="","",IFERROR(INDEX(ctaTipo,MATCH(AC4415,ctaNombre,0))&amp;"",""))</f>
        <v/>
      </c>
      <c r="AF4415" s="53">
        <f>IF(OR(P4415="",AB4415=""),"",IF(OR(P4415="Gasto",P4415="Transferencia",P4415="Pago tarjeta"),-1,1)*IF(IFERROR(INDEX(ctaMoneda,MATCH(AB4415,ctaNombre,0))&amp;"","DOP")="USD",T4415,S4415))</f>
        <v/>
      </c>
      <c r="AG4415" s="53">
        <f>IF(AC4415="","",IF(IFERROR(INDEX(ctaMoneda,MATCH(AC4415,ctaNombre,0))&amp;"","DOP")="USD",T4415,S4415))</f>
        <v/>
      </c>
      <c r="AH4415" s="53">
        <f>IF(P4415="","",IF(AND(AD4415&lt;&gt;"",COUNTIFS(tcTipo,AD4415,tcLiq,"Sí")&gt;0),IF(OR(P4415="Gasto",P4415="Transferencia",P4415="Pago tarjeta"),-1,1)*S4415,0)+IF(AND(AE4415&lt;&gt;"",COUNTIFS(tcTipo,AE4415,tcLiq,"Sí")&gt;0),S4415,0))</f>
        <v/>
      </c>
      <c r="AI4415" s="52">
        <f>IF(OR(L4415="",P4415=""),"",IF(COUNTIFS(L$6:L4415,L4415,P$6:P4415,"?*")=1,MAX(AI$5:AI4414)+1,""))</f>
        <v/>
      </c>
    </row>
    <row r="4416">
      <c r="B4416" s="47" t="n"/>
      <c r="C4416" s="48" t="n"/>
      <c r="D4416" s="48" t="n"/>
      <c r="E4416" s="48" t="n"/>
      <c r="F4416" s="48" t="n"/>
      <c r="G4416" s="49" t="n"/>
      <c r="H4416" s="48" t="n"/>
      <c r="I4416" s="50" t="n"/>
      <c r="J4416" s="48" t="n"/>
      <c r="K4416" s="48" t="n"/>
      <c r="L4416" s="48" t="n"/>
      <c r="M4416" s="48" t="n"/>
      <c r="N4416" s="48" t="n"/>
      <c r="O4416" s="51">
        <f>IF(AND(B4416="",G4416="",C4416="",D4416="",J4416=""),"",IF(B4416="","⚠ Falta fecha",IF(G4416="","⚠ Falta monto",IF(Q4416="","⚠ Falta cuenta",IF(ISNA(MATCH(Q4416,ctaNombre,0)),"⚠ Cuenta no registrada",IF(AND(OR(P4416="Gasto",P4416="Reembolso"),D4416=""),"⚠ Falta categoría",IF(AND(D4416&lt;&gt;"",E4416&lt;&gt;"",ISNA(MATCH(D4416&amp;"|"&amp;E4416,catClave,0))),"⚠ Subcategoría no corresponde",IF(AND(OR(P4416="Transferencia",P4416="Pago tarjeta"),K4416=""),"⚠ Falta cuenta destino",IF(AND(K4416&lt;&gt;"",P4416&lt;&gt;"Transferencia",P4416&lt;&gt;"Pago tarjeta"),"⚠ Destino solo aplica a transferencias",IF(AND(K4416&lt;&gt;"",K4416=Q4416),"⚠ Origen igual a destino",IF(AND(K4416&lt;&gt;"",ISNA(MATCH(K4416,ctaNombre,0))),"⚠ Destino no registrado",IF(AND(P4416="Pago tarjeta",AE4416&lt;&gt;"Tarjeta de crédito"),"⚠ El destino debe ser tarjeta de crédito",IF(AND(P4416="Gasto",E4416="Depósitos y retiros"),"⚠ Usa tipo Transferencia",IF(AND(P4416="Resultado trading",AD4416&lt;&gt;"Cuenta de trading"),"⚠ Usa una cuenta de trading",IF(AND(G4416&lt;=0,P4416&lt;&gt;"Ajuste",P4416&lt;&gt;"Resultado trading"),"⚠ El monto debe ser positivo","✓")))))))))))))))</f>
        <v/>
      </c>
      <c r="P4416" s="52">
        <f>IF(OR(B4416="",G4416=""),"",IF(C4416="","Gasto",C4416))</f>
        <v/>
      </c>
      <c r="Q4416" s="52">
        <f>IF(P4416="","",IF(J4416&lt;&gt;"",J4416,CuentaPred&amp;""))</f>
        <v/>
      </c>
      <c r="R4416" s="52">
        <f>IF(P4416="","",IF(ISNUMBER(I4416),I4416,TasaUSD))</f>
        <v/>
      </c>
      <c r="S4416" s="53">
        <f>IF(P4416="","",IF(H4416="USD",G4416*R4416,G4416))</f>
        <v/>
      </c>
      <c r="T4416" s="53">
        <f>IF(P4416="","",IF(H4416="USD",G4416,IF(R4416&gt;0,G4416/R4416,0)))</f>
        <v/>
      </c>
      <c r="U4416" s="53">
        <f>IF(P4416="","",IF(P4416="Gasto",S4416,IF(P4416="Reembolso",-S4416,0)))</f>
        <v/>
      </c>
      <c r="V4416" s="53">
        <f>IF(P4416="","",IF(P4416="Ingreso",S4416,0))</f>
        <v/>
      </c>
      <c r="W4416" s="53">
        <f>IF(P4416="","",IF(P4416="Resultado trading",S4416,0))</f>
        <v/>
      </c>
      <c r="X4416" s="52">
        <f>IF(OR(P4416="Gasto",P4416="Reembolso"),IF(M4416&lt;&gt;"",M4416,IFERROR(INDEX(catClasif,MATCH(D4416&amp;"|"&amp;E4416,catClave,0))&amp;"","Variable")),"")</f>
        <v/>
      </c>
      <c r="Y4416" s="52">
        <f>IF(P4416="","",IFERROR(INDEX(catGrupo,MATCH(D4416&amp;"|"&amp;E4416,catClave,0))&amp;"",""))</f>
        <v/>
      </c>
      <c r="Z4416" s="52">
        <f>IF(P4416="","",WEEKDAY(B4416,2))</f>
        <v/>
      </c>
      <c r="AA4416" s="52">
        <f>IF(P4416="","",IF(AND(P4416="Gasto",X4416="Variable",D4416&lt;&gt;catTrading,S4416&gt;0,S4416&lt;=Umbral),1,0))</f>
        <v/>
      </c>
      <c r="AB4416" s="52">
        <f>IF(OR(P4416="",Q4416=""),"",IFERROR(IF(INDEX(ctaVinc,MATCH(Q4416,ctaNombre,0))&amp;""&lt;&gt;"",INDEX(ctaVinc,MATCH(Q4416,ctaNombre,0))&amp;"",Q4416),Q4416))</f>
        <v/>
      </c>
      <c r="AC4416" s="52">
        <f>IF(OR(K4416="",AND(P4416&lt;&gt;"Transferencia",P4416&lt;&gt;"Pago tarjeta")),"",IFERROR(IF(INDEX(ctaVinc,MATCH(K4416,ctaNombre,0))&amp;""&lt;&gt;"",INDEX(ctaVinc,MATCH(K4416,ctaNombre,0))&amp;"",K4416),K4416))</f>
        <v/>
      </c>
      <c r="AD4416" s="52">
        <f>IF(AB4416="","",IFERROR(INDEX(ctaTipo,MATCH(AB4416,ctaNombre,0))&amp;"",""))</f>
        <v/>
      </c>
      <c r="AE4416" s="52">
        <f>IF(AC4416="","",IFERROR(INDEX(ctaTipo,MATCH(AC4416,ctaNombre,0))&amp;"",""))</f>
        <v/>
      </c>
      <c r="AF4416" s="53">
        <f>IF(OR(P4416="",AB4416=""),"",IF(OR(P4416="Gasto",P4416="Transferencia",P4416="Pago tarjeta"),-1,1)*IF(IFERROR(INDEX(ctaMoneda,MATCH(AB4416,ctaNombre,0))&amp;"","DOP")="USD",T4416,S4416))</f>
        <v/>
      </c>
      <c r="AG4416" s="53">
        <f>IF(AC4416="","",IF(IFERROR(INDEX(ctaMoneda,MATCH(AC4416,ctaNombre,0))&amp;"","DOP")="USD",T4416,S4416))</f>
        <v/>
      </c>
      <c r="AH4416" s="53">
        <f>IF(P4416="","",IF(AND(AD4416&lt;&gt;"",COUNTIFS(tcTipo,AD4416,tcLiq,"Sí")&gt;0),IF(OR(P4416="Gasto",P4416="Transferencia",P4416="Pago tarjeta"),-1,1)*S4416,0)+IF(AND(AE4416&lt;&gt;"",COUNTIFS(tcTipo,AE4416,tcLiq,"Sí")&gt;0),S4416,0))</f>
        <v/>
      </c>
      <c r="AI4416" s="52">
        <f>IF(OR(L4416="",P4416=""),"",IF(COUNTIFS(L$6:L4416,L4416,P$6:P4416,"?*")=1,MAX(AI$5:AI4415)+1,""))</f>
        <v/>
      </c>
    </row>
    <row r="4417">
      <c r="B4417" s="47" t="n"/>
      <c r="C4417" s="48" t="n"/>
      <c r="D4417" s="48" t="n"/>
      <c r="E4417" s="48" t="n"/>
      <c r="F4417" s="48" t="n"/>
      <c r="G4417" s="49" t="n"/>
      <c r="H4417" s="48" t="n"/>
      <c r="I4417" s="50" t="n"/>
      <c r="J4417" s="48" t="n"/>
      <c r="K4417" s="48" t="n"/>
      <c r="L4417" s="48" t="n"/>
      <c r="M4417" s="48" t="n"/>
      <c r="N4417" s="48" t="n"/>
      <c r="O4417" s="51">
        <f>IF(AND(B4417="",G4417="",C4417="",D4417="",J4417=""),"",IF(B4417="","⚠ Falta fecha",IF(G4417="","⚠ Falta monto",IF(Q4417="","⚠ Falta cuenta",IF(ISNA(MATCH(Q4417,ctaNombre,0)),"⚠ Cuenta no registrada",IF(AND(OR(P4417="Gasto",P4417="Reembolso"),D4417=""),"⚠ Falta categoría",IF(AND(D4417&lt;&gt;"",E4417&lt;&gt;"",ISNA(MATCH(D4417&amp;"|"&amp;E4417,catClave,0))),"⚠ Subcategoría no corresponde",IF(AND(OR(P4417="Transferencia",P4417="Pago tarjeta"),K4417=""),"⚠ Falta cuenta destino",IF(AND(K4417&lt;&gt;"",P4417&lt;&gt;"Transferencia",P4417&lt;&gt;"Pago tarjeta"),"⚠ Destino solo aplica a transferencias",IF(AND(K4417&lt;&gt;"",K4417=Q4417),"⚠ Origen igual a destino",IF(AND(K4417&lt;&gt;"",ISNA(MATCH(K4417,ctaNombre,0))),"⚠ Destino no registrado",IF(AND(P4417="Pago tarjeta",AE4417&lt;&gt;"Tarjeta de crédito"),"⚠ El destino debe ser tarjeta de crédito",IF(AND(P4417="Gasto",E4417="Depósitos y retiros"),"⚠ Usa tipo Transferencia",IF(AND(P4417="Resultado trading",AD4417&lt;&gt;"Cuenta de trading"),"⚠ Usa una cuenta de trading",IF(AND(G4417&lt;=0,P4417&lt;&gt;"Ajuste",P4417&lt;&gt;"Resultado trading"),"⚠ El monto debe ser positivo","✓")))))))))))))))</f>
        <v/>
      </c>
      <c r="P4417" s="52">
        <f>IF(OR(B4417="",G4417=""),"",IF(C4417="","Gasto",C4417))</f>
        <v/>
      </c>
      <c r="Q4417" s="52">
        <f>IF(P4417="","",IF(J4417&lt;&gt;"",J4417,CuentaPred&amp;""))</f>
        <v/>
      </c>
      <c r="R4417" s="52">
        <f>IF(P4417="","",IF(ISNUMBER(I4417),I4417,TasaUSD))</f>
        <v/>
      </c>
      <c r="S4417" s="53">
        <f>IF(P4417="","",IF(H4417="USD",G4417*R4417,G4417))</f>
        <v/>
      </c>
      <c r="T4417" s="53">
        <f>IF(P4417="","",IF(H4417="USD",G4417,IF(R4417&gt;0,G4417/R4417,0)))</f>
        <v/>
      </c>
      <c r="U4417" s="53">
        <f>IF(P4417="","",IF(P4417="Gasto",S4417,IF(P4417="Reembolso",-S4417,0)))</f>
        <v/>
      </c>
      <c r="V4417" s="53">
        <f>IF(P4417="","",IF(P4417="Ingreso",S4417,0))</f>
        <v/>
      </c>
      <c r="W4417" s="53">
        <f>IF(P4417="","",IF(P4417="Resultado trading",S4417,0))</f>
        <v/>
      </c>
      <c r="X4417" s="52">
        <f>IF(OR(P4417="Gasto",P4417="Reembolso"),IF(M4417&lt;&gt;"",M4417,IFERROR(INDEX(catClasif,MATCH(D4417&amp;"|"&amp;E4417,catClave,0))&amp;"","Variable")),"")</f>
        <v/>
      </c>
      <c r="Y4417" s="52">
        <f>IF(P4417="","",IFERROR(INDEX(catGrupo,MATCH(D4417&amp;"|"&amp;E4417,catClave,0))&amp;"",""))</f>
        <v/>
      </c>
      <c r="Z4417" s="52">
        <f>IF(P4417="","",WEEKDAY(B4417,2))</f>
        <v/>
      </c>
      <c r="AA4417" s="52">
        <f>IF(P4417="","",IF(AND(P4417="Gasto",X4417="Variable",D4417&lt;&gt;catTrading,S4417&gt;0,S4417&lt;=Umbral),1,0))</f>
        <v/>
      </c>
      <c r="AB4417" s="52">
        <f>IF(OR(P4417="",Q4417=""),"",IFERROR(IF(INDEX(ctaVinc,MATCH(Q4417,ctaNombre,0))&amp;""&lt;&gt;"",INDEX(ctaVinc,MATCH(Q4417,ctaNombre,0))&amp;"",Q4417),Q4417))</f>
        <v/>
      </c>
      <c r="AC4417" s="52">
        <f>IF(OR(K4417="",AND(P4417&lt;&gt;"Transferencia",P4417&lt;&gt;"Pago tarjeta")),"",IFERROR(IF(INDEX(ctaVinc,MATCH(K4417,ctaNombre,0))&amp;""&lt;&gt;"",INDEX(ctaVinc,MATCH(K4417,ctaNombre,0))&amp;"",K4417),K4417))</f>
        <v/>
      </c>
      <c r="AD4417" s="52">
        <f>IF(AB4417="","",IFERROR(INDEX(ctaTipo,MATCH(AB4417,ctaNombre,0))&amp;"",""))</f>
        <v/>
      </c>
      <c r="AE4417" s="52">
        <f>IF(AC4417="","",IFERROR(INDEX(ctaTipo,MATCH(AC4417,ctaNombre,0))&amp;"",""))</f>
        <v/>
      </c>
      <c r="AF4417" s="53">
        <f>IF(OR(P4417="",AB4417=""),"",IF(OR(P4417="Gasto",P4417="Transferencia",P4417="Pago tarjeta"),-1,1)*IF(IFERROR(INDEX(ctaMoneda,MATCH(AB4417,ctaNombre,0))&amp;"","DOP")="USD",T4417,S4417))</f>
        <v/>
      </c>
      <c r="AG4417" s="53">
        <f>IF(AC4417="","",IF(IFERROR(INDEX(ctaMoneda,MATCH(AC4417,ctaNombre,0))&amp;"","DOP")="USD",T4417,S4417))</f>
        <v/>
      </c>
      <c r="AH4417" s="53">
        <f>IF(P4417="","",IF(AND(AD4417&lt;&gt;"",COUNTIFS(tcTipo,AD4417,tcLiq,"Sí")&gt;0),IF(OR(P4417="Gasto",P4417="Transferencia",P4417="Pago tarjeta"),-1,1)*S4417,0)+IF(AND(AE4417&lt;&gt;"",COUNTIFS(tcTipo,AE4417,tcLiq,"Sí")&gt;0),S4417,0))</f>
        <v/>
      </c>
      <c r="AI4417" s="52">
        <f>IF(OR(L4417="",P4417=""),"",IF(COUNTIFS(L$6:L4417,L4417,P$6:P4417,"?*")=1,MAX(AI$5:AI4416)+1,""))</f>
        <v/>
      </c>
    </row>
    <row r="4418">
      <c r="B4418" s="47" t="n"/>
      <c r="C4418" s="48" t="n"/>
      <c r="D4418" s="48" t="n"/>
      <c r="E4418" s="48" t="n"/>
      <c r="F4418" s="48" t="n"/>
      <c r="G4418" s="49" t="n"/>
      <c r="H4418" s="48" t="n"/>
      <c r="I4418" s="50" t="n"/>
      <c r="J4418" s="48" t="n"/>
      <c r="K4418" s="48" t="n"/>
      <c r="L4418" s="48" t="n"/>
      <c r="M4418" s="48" t="n"/>
      <c r="N4418" s="48" t="n"/>
      <c r="O4418" s="51">
        <f>IF(AND(B4418="",G4418="",C4418="",D4418="",J4418=""),"",IF(B4418="","⚠ Falta fecha",IF(G4418="","⚠ Falta monto",IF(Q4418="","⚠ Falta cuenta",IF(ISNA(MATCH(Q4418,ctaNombre,0)),"⚠ Cuenta no registrada",IF(AND(OR(P4418="Gasto",P4418="Reembolso"),D4418=""),"⚠ Falta categoría",IF(AND(D4418&lt;&gt;"",E4418&lt;&gt;"",ISNA(MATCH(D4418&amp;"|"&amp;E4418,catClave,0))),"⚠ Subcategoría no corresponde",IF(AND(OR(P4418="Transferencia",P4418="Pago tarjeta"),K4418=""),"⚠ Falta cuenta destino",IF(AND(K4418&lt;&gt;"",P4418&lt;&gt;"Transferencia",P4418&lt;&gt;"Pago tarjeta"),"⚠ Destino solo aplica a transferencias",IF(AND(K4418&lt;&gt;"",K4418=Q4418),"⚠ Origen igual a destino",IF(AND(K4418&lt;&gt;"",ISNA(MATCH(K4418,ctaNombre,0))),"⚠ Destino no registrado",IF(AND(P4418="Pago tarjeta",AE4418&lt;&gt;"Tarjeta de crédito"),"⚠ El destino debe ser tarjeta de crédito",IF(AND(P4418="Gasto",E4418="Depósitos y retiros"),"⚠ Usa tipo Transferencia",IF(AND(P4418="Resultado trading",AD4418&lt;&gt;"Cuenta de trading"),"⚠ Usa una cuenta de trading",IF(AND(G4418&lt;=0,P4418&lt;&gt;"Ajuste",P4418&lt;&gt;"Resultado trading"),"⚠ El monto debe ser positivo","✓")))))))))))))))</f>
        <v/>
      </c>
      <c r="P4418" s="52">
        <f>IF(OR(B4418="",G4418=""),"",IF(C4418="","Gasto",C4418))</f>
        <v/>
      </c>
      <c r="Q4418" s="52">
        <f>IF(P4418="","",IF(J4418&lt;&gt;"",J4418,CuentaPred&amp;""))</f>
        <v/>
      </c>
      <c r="R4418" s="52">
        <f>IF(P4418="","",IF(ISNUMBER(I4418),I4418,TasaUSD))</f>
        <v/>
      </c>
      <c r="S4418" s="53">
        <f>IF(P4418="","",IF(H4418="USD",G4418*R4418,G4418))</f>
        <v/>
      </c>
      <c r="T4418" s="53">
        <f>IF(P4418="","",IF(H4418="USD",G4418,IF(R4418&gt;0,G4418/R4418,0)))</f>
        <v/>
      </c>
      <c r="U4418" s="53">
        <f>IF(P4418="","",IF(P4418="Gasto",S4418,IF(P4418="Reembolso",-S4418,0)))</f>
        <v/>
      </c>
      <c r="V4418" s="53">
        <f>IF(P4418="","",IF(P4418="Ingreso",S4418,0))</f>
        <v/>
      </c>
      <c r="W4418" s="53">
        <f>IF(P4418="","",IF(P4418="Resultado trading",S4418,0))</f>
        <v/>
      </c>
      <c r="X4418" s="52">
        <f>IF(OR(P4418="Gasto",P4418="Reembolso"),IF(M4418&lt;&gt;"",M4418,IFERROR(INDEX(catClasif,MATCH(D4418&amp;"|"&amp;E4418,catClave,0))&amp;"","Variable")),"")</f>
        <v/>
      </c>
      <c r="Y4418" s="52">
        <f>IF(P4418="","",IFERROR(INDEX(catGrupo,MATCH(D4418&amp;"|"&amp;E4418,catClave,0))&amp;"",""))</f>
        <v/>
      </c>
      <c r="Z4418" s="52">
        <f>IF(P4418="","",WEEKDAY(B4418,2))</f>
        <v/>
      </c>
      <c r="AA4418" s="52">
        <f>IF(P4418="","",IF(AND(P4418="Gasto",X4418="Variable",D4418&lt;&gt;catTrading,S4418&gt;0,S4418&lt;=Umbral),1,0))</f>
        <v/>
      </c>
      <c r="AB4418" s="52">
        <f>IF(OR(P4418="",Q4418=""),"",IFERROR(IF(INDEX(ctaVinc,MATCH(Q4418,ctaNombre,0))&amp;""&lt;&gt;"",INDEX(ctaVinc,MATCH(Q4418,ctaNombre,0))&amp;"",Q4418),Q4418))</f>
        <v/>
      </c>
      <c r="AC4418" s="52">
        <f>IF(OR(K4418="",AND(P4418&lt;&gt;"Transferencia",P4418&lt;&gt;"Pago tarjeta")),"",IFERROR(IF(INDEX(ctaVinc,MATCH(K4418,ctaNombre,0))&amp;""&lt;&gt;"",INDEX(ctaVinc,MATCH(K4418,ctaNombre,0))&amp;"",K4418),K4418))</f>
        <v/>
      </c>
      <c r="AD4418" s="52">
        <f>IF(AB4418="","",IFERROR(INDEX(ctaTipo,MATCH(AB4418,ctaNombre,0))&amp;"",""))</f>
        <v/>
      </c>
      <c r="AE4418" s="52">
        <f>IF(AC4418="","",IFERROR(INDEX(ctaTipo,MATCH(AC4418,ctaNombre,0))&amp;"",""))</f>
        <v/>
      </c>
      <c r="AF4418" s="53">
        <f>IF(OR(P4418="",AB4418=""),"",IF(OR(P4418="Gasto",P4418="Transferencia",P4418="Pago tarjeta"),-1,1)*IF(IFERROR(INDEX(ctaMoneda,MATCH(AB4418,ctaNombre,0))&amp;"","DOP")="USD",T4418,S4418))</f>
        <v/>
      </c>
      <c r="AG4418" s="53">
        <f>IF(AC4418="","",IF(IFERROR(INDEX(ctaMoneda,MATCH(AC4418,ctaNombre,0))&amp;"","DOP")="USD",T4418,S4418))</f>
        <v/>
      </c>
      <c r="AH4418" s="53">
        <f>IF(P4418="","",IF(AND(AD4418&lt;&gt;"",COUNTIFS(tcTipo,AD4418,tcLiq,"Sí")&gt;0),IF(OR(P4418="Gasto",P4418="Transferencia",P4418="Pago tarjeta"),-1,1)*S4418,0)+IF(AND(AE4418&lt;&gt;"",COUNTIFS(tcTipo,AE4418,tcLiq,"Sí")&gt;0),S4418,0))</f>
        <v/>
      </c>
      <c r="AI4418" s="52">
        <f>IF(OR(L4418="",P4418=""),"",IF(COUNTIFS(L$6:L4418,L4418,P$6:P4418,"?*")=1,MAX(AI$5:AI4417)+1,""))</f>
        <v/>
      </c>
    </row>
    <row r="4419">
      <c r="B4419" s="47" t="n"/>
      <c r="C4419" s="48" t="n"/>
      <c r="D4419" s="48" t="n"/>
      <c r="E4419" s="48" t="n"/>
      <c r="F4419" s="48" t="n"/>
      <c r="G4419" s="49" t="n"/>
      <c r="H4419" s="48" t="n"/>
      <c r="I4419" s="50" t="n"/>
      <c r="J4419" s="48" t="n"/>
      <c r="K4419" s="48" t="n"/>
      <c r="L4419" s="48" t="n"/>
      <c r="M4419" s="48" t="n"/>
      <c r="N4419" s="48" t="n"/>
      <c r="O4419" s="51">
        <f>IF(AND(B4419="",G4419="",C4419="",D4419="",J4419=""),"",IF(B4419="","⚠ Falta fecha",IF(G4419="","⚠ Falta monto",IF(Q4419="","⚠ Falta cuenta",IF(ISNA(MATCH(Q4419,ctaNombre,0)),"⚠ Cuenta no registrada",IF(AND(OR(P4419="Gasto",P4419="Reembolso"),D4419=""),"⚠ Falta categoría",IF(AND(D4419&lt;&gt;"",E4419&lt;&gt;"",ISNA(MATCH(D4419&amp;"|"&amp;E4419,catClave,0))),"⚠ Subcategoría no corresponde",IF(AND(OR(P4419="Transferencia",P4419="Pago tarjeta"),K4419=""),"⚠ Falta cuenta destino",IF(AND(K4419&lt;&gt;"",P4419&lt;&gt;"Transferencia",P4419&lt;&gt;"Pago tarjeta"),"⚠ Destino solo aplica a transferencias",IF(AND(K4419&lt;&gt;"",K4419=Q4419),"⚠ Origen igual a destino",IF(AND(K4419&lt;&gt;"",ISNA(MATCH(K4419,ctaNombre,0))),"⚠ Destino no registrado",IF(AND(P4419="Pago tarjeta",AE4419&lt;&gt;"Tarjeta de crédito"),"⚠ El destino debe ser tarjeta de crédito",IF(AND(P4419="Gasto",E4419="Depósitos y retiros"),"⚠ Usa tipo Transferencia",IF(AND(P4419="Resultado trading",AD4419&lt;&gt;"Cuenta de trading"),"⚠ Usa una cuenta de trading",IF(AND(G4419&lt;=0,P4419&lt;&gt;"Ajuste",P4419&lt;&gt;"Resultado trading"),"⚠ El monto debe ser positivo","✓")))))))))))))))</f>
        <v/>
      </c>
      <c r="P4419" s="52">
        <f>IF(OR(B4419="",G4419=""),"",IF(C4419="","Gasto",C4419))</f>
        <v/>
      </c>
      <c r="Q4419" s="52">
        <f>IF(P4419="","",IF(J4419&lt;&gt;"",J4419,CuentaPred&amp;""))</f>
        <v/>
      </c>
      <c r="R4419" s="52">
        <f>IF(P4419="","",IF(ISNUMBER(I4419),I4419,TasaUSD))</f>
        <v/>
      </c>
      <c r="S4419" s="53">
        <f>IF(P4419="","",IF(H4419="USD",G4419*R4419,G4419))</f>
        <v/>
      </c>
      <c r="T4419" s="53">
        <f>IF(P4419="","",IF(H4419="USD",G4419,IF(R4419&gt;0,G4419/R4419,0)))</f>
        <v/>
      </c>
      <c r="U4419" s="53">
        <f>IF(P4419="","",IF(P4419="Gasto",S4419,IF(P4419="Reembolso",-S4419,0)))</f>
        <v/>
      </c>
      <c r="V4419" s="53">
        <f>IF(P4419="","",IF(P4419="Ingreso",S4419,0))</f>
        <v/>
      </c>
      <c r="W4419" s="53">
        <f>IF(P4419="","",IF(P4419="Resultado trading",S4419,0))</f>
        <v/>
      </c>
      <c r="X4419" s="52">
        <f>IF(OR(P4419="Gasto",P4419="Reembolso"),IF(M4419&lt;&gt;"",M4419,IFERROR(INDEX(catClasif,MATCH(D4419&amp;"|"&amp;E4419,catClave,0))&amp;"","Variable")),"")</f>
        <v/>
      </c>
      <c r="Y4419" s="52">
        <f>IF(P4419="","",IFERROR(INDEX(catGrupo,MATCH(D4419&amp;"|"&amp;E4419,catClave,0))&amp;"",""))</f>
        <v/>
      </c>
      <c r="Z4419" s="52">
        <f>IF(P4419="","",WEEKDAY(B4419,2))</f>
        <v/>
      </c>
      <c r="AA4419" s="52">
        <f>IF(P4419="","",IF(AND(P4419="Gasto",X4419="Variable",D4419&lt;&gt;catTrading,S4419&gt;0,S4419&lt;=Umbral),1,0))</f>
        <v/>
      </c>
      <c r="AB4419" s="52">
        <f>IF(OR(P4419="",Q4419=""),"",IFERROR(IF(INDEX(ctaVinc,MATCH(Q4419,ctaNombre,0))&amp;""&lt;&gt;"",INDEX(ctaVinc,MATCH(Q4419,ctaNombre,0))&amp;"",Q4419),Q4419))</f>
        <v/>
      </c>
      <c r="AC4419" s="52">
        <f>IF(OR(K4419="",AND(P4419&lt;&gt;"Transferencia",P4419&lt;&gt;"Pago tarjeta")),"",IFERROR(IF(INDEX(ctaVinc,MATCH(K4419,ctaNombre,0))&amp;""&lt;&gt;"",INDEX(ctaVinc,MATCH(K4419,ctaNombre,0))&amp;"",K4419),K4419))</f>
        <v/>
      </c>
      <c r="AD4419" s="52">
        <f>IF(AB4419="","",IFERROR(INDEX(ctaTipo,MATCH(AB4419,ctaNombre,0))&amp;"",""))</f>
        <v/>
      </c>
      <c r="AE4419" s="52">
        <f>IF(AC4419="","",IFERROR(INDEX(ctaTipo,MATCH(AC4419,ctaNombre,0))&amp;"",""))</f>
        <v/>
      </c>
      <c r="AF4419" s="53">
        <f>IF(OR(P4419="",AB4419=""),"",IF(OR(P4419="Gasto",P4419="Transferencia",P4419="Pago tarjeta"),-1,1)*IF(IFERROR(INDEX(ctaMoneda,MATCH(AB4419,ctaNombre,0))&amp;"","DOP")="USD",T4419,S4419))</f>
        <v/>
      </c>
      <c r="AG4419" s="53">
        <f>IF(AC4419="","",IF(IFERROR(INDEX(ctaMoneda,MATCH(AC4419,ctaNombre,0))&amp;"","DOP")="USD",T4419,S4419))</f>
        <v/>
      </c>
      <c r="AH4419" s="53">
        <f>IF(P4419="","",IF(AND(AD4419&lt;&gt;"",COUNTIFS(tcTipo,AD4419,tcLiq,"Sí")&gt;0),IF(OR(P4419="Gasto",P4419="Transferencia",P4419="Pago tarjeta"),-1,1)*S4419,0)+IF(AND(AE4419&lt;&gt;"",COUNTIFS(tcTipo,AE4419,tcLiq,"Sí")&gt;0),S4419,0))</f>
        <v/>
      </c>
      <c r="AI4419" s="52">
        <f>IF(OR(L4419="",P4419=""),"",IF(COUNTIFS(L$6:L4419,L4419,P$6:P4419,"?*")=1,MAX(AI$5:AI4418)+1,""))</f>
        <v/>
      </c>
    </row>
    <row r="4420">
      <c r="B4420" s="47" t="n"/>
      <c r="C4420" s="48" t="n"/>
      <c r="D4420" s="48" t="n"/>
      <c r="E4420" s="48" t="n"/>
      <c r="F4420" s="48" t="n"/>
      <c r="G4420" s="49" t="n"/>
      <c r="H4420" s="48" t="n"/>
      <c r="I4420" s="50" t="n"/>
      <c r="J4420" s="48" t="n"/>
      <c r="K4420" s="48" t="n"/>
      <c r="L4420" s="48" t="n"/>
      <c r="M4420" s="48" t="n"/>
      <c r="N4420" s="48" t="n"/>
      <c r="O4420" s="51">
        <f>IF(AND(B4420="",G4420="",C4420="",D4420="",J4420=""),"",IF(B4420="","⚠ Falta fecha",IF(G4420="","⚠ Falta monto",IF(Q4420="","⚠ Falta cuenta",IF(ISNA(MATCH(Q4420,ctaNombre,0)),"⚠ Cuenta no registrada",IF(AND(OR(P4420="Gasto",P4420="Reembolso"),D4420=""),"⚠ Falta categoría",IF(AND(D4420&lt;&gt;"",E4420&lt;&gt;"",ISNA(MATCH(D4420&amp;"|"&amp;E4420,catClave,0))),"⚠ Subcategoría no corresponde",IF(AND(OR(P4420="Transferencia",P4420="Pago tarjeta"),K4420=""),"⚠ Falta cuenta destino",IF(AND(K4420&lt;&gt;"",P4420&lt;&gt;"Transferencia",P4420&lt;&gt;"Pago tarjeta"),"⚠ Destino solo aplica a transferencias",IF(AND(K4420&lt;&gt;"",K4420=Q4420),"⚠ Origen igual a destino",IF(AND(K4420&lt;&gt;"",ISNA(MATCH(K4420,ctaNombre,0))),"⚠ Destino no registrado",IF(AND(P4420="Pago tarjeta",AE4420&lt;&gt;"Tarjeta de crédito"),"⚠ El destino debe ser tarjeta de crédito",IF(AND(P4420="Gasto",E4420="Depósitos y retiros"),"⚠ Usa tipo Transferencia",IF(AND(P4420="Resultado trading",AD4420&lt;&gt;"Cuenta de trading"),"⚠ Usa una cuenta de trading",IF(AND(G4420&lt;=0,P4420&lt;&gt;"Ajuste",P4420&lt;&gt;"Resultado trading"),"⚠ El monto debe ser positivo","✓")))))))))))))))</f>
        <v/>
      </c>
      <c r="P4420" s="52">
        <f>IF(OR(B4420="",G4420=""),"",IF(C4420="","Gasto",C4420))</f>
        <v/>
      </c>
      <c r="Q4420" s="52">
        <f>IF(P4420="","",IF(J4420&lt;&gt;"",J4420,CuentaPred&amp;""))</f>
        <v/>
      </c>
      <c r="R4420" s="52">
        <f>IF(P4420="","",IF(ISNUMBER(I4420),I4420,TasaUSD))</f>
        <v/>
      </c>
      <c r="S4420" s="53">
        <f>IF(P4420="","",IF(H4420="USD",G4420*R4420,G4420))</f>
        <v/>
      </c>
      <c r="T4420" s="53">
        <f>IF(P4420="","",IF(H4420="USD",G4420,IF(R4420&gt;0,G4420/R4420,0)))</f>
        <v/>
      </c>
      <c r="U4420" s="53">
        <f>IF(P4420="","",IF(P4420="Gasto",S4420,IF(P4420="Reembolso",-S4420,0)))</f>
        <v/>
      </c>
      <c r="V4420" s="53">
        <f>IF(P4420="","",IF(P4420="Ingreso",S4420,0))</f>
        <v/>
      </c>
      <c r="W4420" s="53">
        <f>IF(P4420="","",IF(P4420="Resultado trading",S4420,0))</f>
        <v/>
      </c>
      <c r="X4420" s="52">
        <f>IF(OR(P4420="Gasto",P4420="Reembolso"),IF(M4420&lt;&gt;"",M4420,IFERROR(INDEX(catClasif,MATCH(D4420&amp;"|"&amp;E4420,catClave,0))&amp;"","Variable")),"")</f>
        <v/>
      </c>
      <c r="Y4420" s="52">
        <f>IF(P4420="","",IFERROR(INDEX(catGrupo,MATCH(D4420&amp;"|"&amp;E4420,catClave,0))&amp;"",""))</f>
        <v/>
      </c>
      <c r="Z4420" s="52">
        <f>IF(P4420="","",WEEKDAY(B4420,2))</f>
        <v/>
      </c>
      <c r="AA4420" s="52">
        <f>IF(P4420="","",IF(AND(P4420="Gasto",X4420="Variable",D4420&lt;&gt;catTrading,S4420&gt;0,S4420&lt;=Umbral),1,0))</f>
        <v/>
      </c>
      <c r="AB4420" s="52">
        <f>IF(OR(P4420="",Q4420=""),"",IFERROR(IF(INDEX(ctaVinc,MATCH(Q4420,ctaNombre,0))&amp;""&lt;&gt;"",INDEX(ctaVinc,MATCH(Q4420,ctaNombre,0))&amp;"",Q4420),Q4420))</f>
        <v/>
      </c>
      <c r="AC4420" s="52">
        <f>IF(OR(K4420="",AND(P4420&lt;&gt;"Transferencia",P4420&lt;&gt;"Pago tarjeta")),"",IFERROR(IF(INDEX(ctaVinc,MATCH(K4420,ctaNombre,0))&amp;""&lt;&gt;"",INDEX(ctaVinc,MATCH(K4420,ctaNombre,0))&amp;"",K4420),K4420))</f>
        <v/>
      </c>
      <c r="AD4420" s="52">
        <f>IF(AB4420="","",IFERROR(INDEX(ctaTipo,MATCH(AB4420,ctaNombre,0))&amp;"",""))</f>
        <v/>
      </c>
      <c r="AE4420" s="52">
        <f>IF(AC4420="","",IFERROR(INDEX(ctaTipo,MATCH(AC4420,ctaNombre,0))&amp;"",""))</f>
        <v/>
      </c>
      <c r="AF4420" s="53">
        <f>IF(OR(P4420="",AB4420=""),"",IF(OR(P4420="Gasto",P4420="Transferencia",P4420="Pago tarjeta"),-1,1)*IF(IFERROR(INDEX(ctaMoneda,MATCH(AB4420,ctaNombre,0))&amp;"","DOP")="USD",T4420,S4420))</f>
        <v/>
      </c>
      <c r="AG4420" s="53">
        <f>IF(AC4420="","",IF(IFERROR(INDEX(ctaMoneda,MATCH(AC4420,ctaNombre,0))&amp;"","DOP")="USD",T4420,S4420))</f>
        <v/>
      </c>
      <c r="AH4420" s="53">
        <f>IF(P4420="","",IF(AND(AD4420&lt;&gt;"",COUNTIFS(tcTipo,AD4420,tcLiq,"Sí")&gt;0),IF(OR(P4420="Gasto",P4420="Transferencia",P4420="Pago tarjeta"),-1,1)*S4420,0)+IF(AND(AE4420&lt;&gt;"",COUNTIFS(tcTipo,AE4420,tcLiq,"Sí")&gt;0),S4420,0))</f>
        <v/>
      </c>
      <c r="AI4420" s="52">
        <f>IF(OR(L4420="",P4420=""),"",IF(COUNTIFS(L$6:L4420,L4420,P$6:P4420,"?*")=1,MAX(AI$5:AI4419)+1,""))</f>
        <v/>
      </c>
    </row>
    <row r="4421">
      <c r="B4421" s="47" t="n"/>
      <c r="C4421" s="48" t="n"/>
      <c r="D4421" s="48" t="n"/>
      <c r="E4421" s="48" t="n"/>
      <c r="F4421" s="48" t="n"/>
      <c r="G4421" s="49" t="n"/>
      <c r="H4421" s="48" t="n"/>
      <c r="I4421" s="50" t="n"/>
      <c r="J4421" s="48" t="n"/>
      <c r="K4421" s="48" t="n"/>
      <c r="L4421" s="48" t="n"/>
      <c r="M4421" s="48" t="n"/>
      <c r="N4421" s="48" t="n"/>
      <c r="O4421" s="51">
        <f>IF(AND(B4421="",G4421="",C4421="",D4421="",J4421=""),"",IF(B4421="","⚠ Falta fecha",IF(G4421="","⚠ Falta monto",IF(Q4421="","⚠ Falta cuenta",IF(ISNA(MATCH(Q4421,ctaNombre,0)),"⚠ Cuenta no registrada",IF(AND(OR(P4421="Gasto",P4421="Reembolso"),D4421=""),"⚠ Falta categoría",IF(AND(D4421&lt;&gt;"",E4421&lt;&gt;"",ISNA(MATCH(D4421&amp;"|"&amp;E4421,catClave,0))),"⚠ Subcategoría no corresponde",IF(AND(OR(P4421="Transferencia",P4421="Pago tarjeta"),K4421=""),"⚠ Falta cuenta destino",IF(AND(K4421&lt;&gt;"",P4421&lt;&gt;"Transferencia",P4421&lt;&gt;"Pago tarjeta"),"⚠ Destino solo aplica a transferencias",IF(AND(K4421&lt;&gt;"",K4421=Q4421),"⚠ Origen igual a destino",IF(AND(K4421&lt;&gt;"",ISNA(MATCH(K4421,ctaNombre,0))),"⚠ Destino no registrado",IF(AND(P4421="Pago tarjeta",AE4421&lt;&gt;"Tarjeta de crédito"),"⚠ El destino debe ser tarjeta de crédito",IF(AND(P4421="Gasto",E4421="Depósitos y retiros"),"⚠ Usa tipo Transferencia",IF(AND(P4421="Resultado trading",AD4421&lt;&gt;"Cuenta de trading"),"⚠ Usa una cuenta de trading",IF(AND(G4421&lt;=0,P4421&lt;&gt;"Ajuste",P4421&lt;&gt;"Resultado trading"),"⚠ El monto debe ser positivo","✓")))))))))))))))</f>
        <v/>
      </c>
      <c r="P4421" s="52">
        <f>IF(OR(B4421="",G4421=""),"",IF(C4421="","Gasto",C4421))</f>
        <v/>
      </c>
      <c r="Q4421" s="52">
        <f>IF(P4421="","",IF(J4421&lt;&gt;"",J4421,CuentaPred&amp;""))</f>
        <v/>
      </c>
      <c r="R4421" s="52">
        <f>IF(P4421="","",IF(ISNUMBER(I4421),I4421,TasaUSD))</f>
        <v/>
      </c>
      <c r="S4421" s="53">
        <f>IF(P4421="","",IF(H4421="USD",G4421*R4421,G4421))</f>
        <v/>
      </c>
      <c r="T4421" s="53">
        <f>IF(P4421="","",IF(H4421="USD",G4421,IF(R4421&gt;0,G4421/R4421,0)))</f>
        <v/>
      </c>
      <c r="U4421" s="53">
        <f>IF(P4421="","",IF(P4421="Gasto",S4421,IF(P4421="Reembolso",-S4421,0)))</f>
        <v/>
      </c>
      <c r="V4421" s="53">
        <f>IF(P4421="","",IF(P4421="Ingreso",S4421,0))</f>
        <v/>
      </c>
      <c r="W4421" s="53">
        <f>IF(P4421="","",IF(P4421="Resultado trading",S4421,0))</f>
        <v/>
      </c>
      <c r="X4421" s="52">
        <f>IF(OR(P4421="Gasto",P4421="Reembolso"),IF(M4421&lt;&gt;"",M4421,IFERROR(INDEX(catClasif,MATCH(D4421&amp;"|"&amp;E4421,catClave,0))&amp;"","Variable")),"")</f>
        <v/>
      </c>
      <c r="Y4421" s="52">
        <f>IF(P4421="","",IFERROR(INDEX(catGrupo,MATCH(D4421&amp;"|"&amp;E4421,catClave,0))&amp;"",""))</f>
        <v/>
      </c>
      <c r="Z4421" s="52">
        <f>IF(P4421="","",WEEKDAY(B4421,2))</f>
        <v/>
      </c>
      <c r="AA4421" s="52">
        <f>IF(P4421="","",IF(AND(P4421="Gasto",X4421="Variable",D4421&lt;&gt;catTrading,S4421&gt;0,S4421&lt;=Umbral),1,0))</f>
        <v/>
      </c>
      <c r="AB4421" s="52">
        <f>IF(OR(P4421="",Q4421=""),"",IFERROR(IF(INDEX(ctaVinc,MATCH(Q4421,ctaNombre,0))&amp;""&lt;&gt;"",INDEX(ctaVinc,MATCH(Q4421,ctaNombre,0))&amp;"",Q4421),Q4421))</f>
        <v/>
      </c>
      <c r="AC4421" s="52">
        <f>IF(OR(K4421="",AND(P4421&lt;&gt;"Transferencia",P4421&lt;&gt;"Pago tarjeta")),"",IFERROR(IF(INDEX(ctaVinc,MATCH(K4421,ctaNombre,0))&amp;""&lt;&gt;"",INDEX(ctaVinc,MATCH(K4421,ctaNombre,0))&amp;"",K4421),K4421))</f>
        <v/>
      </c>
      <c r="AD4421" s="52">
        <f>IF(AB4421="","",IFERROR(INDEX(ctaTipo,MATCH(AB4421,ctaNombre,0))&amp;"",""))</f>
        <v/>
      </c>
      <c r="AE4421" s="52">
        <f>IF(AC4421="","",IFERROR(INDEX(ctaTipo,MATCH(AC4421,ctaNombre,0))&amp;"",""))</f>
        <v/>
      </c>
      <c r="AF4421" s="53">
        <f>IF(OR(P4421="",AB4421=""),"",IF(OR(P4421="Gasto",P4421="Transferencia",P4421="Pago tarjeta"),-1,1)*IF(IFERROR(INDEX(ctaMoneda,MATCH(AB4421,ctaNombre,0))&amp;"","DOP")="USD",T4421,S4421))</f>
        <v/>
      </c>
      <c r="AG4421" s="53">
        <f>IF(AC4421="","",IF(IFERROR(INDEX(ctaMoneda,MATCH(AC4421,ctaNombre,0))&amp;"","DOP")="USD",T4421,S4421))</f>
        <v/>
      </c>
      <c r="AH4421" s="53">
        <f>IF(P4421="","",IF(AND(AD4421&lt;&gt;"",COUNTIFS(tcTipo,AD4421,tcLiq,"Sí")&gt;0),IF(OR(P4421="Gasto",P4421="Transferencia",P4421="Pago tarjeta"),-1,1)*S4421,0)+IF(AND(AE4421&lt;&gt;"",COUNTIFS(tcTipo,AE4421,tcLiq,"Sí")&gt;0),S4421,0))</f>
        <v/>
      </c>
      <c r="AI4421" s="52">
        <f>IF(OR(L4421="",P4421=""),"",IF(COUNTIFS(L$6:L4421,L4421,P$6:P4421,"?*")=1,MAX(AI$5:AI4420)+1,""))</f>
        <v/>
      </c>
    </row>
    <row r="4422">
      <c r="B4422" s="47" t="n"/>
      <c r="C4422" s="48" t="n"/>
      <c r="D4422" s="48" t="n"/>
      <c r="E4422" s="48" t="n"/>
      <c r="F4422" s="48" t="n"/>
      <c r="G4422" s="49" t="n"/>
      <c r="H4422" s="48" t="n"/>
      <c r="I4422" s="50" t="n"/>
      <c r="J4422" s="48" t="n"/>
      <c r="K4422" s="48" t="n"/>
      <c r="L4422" s="48" t="n"/>
      <c r="M4422" s="48" t="n"/>
      <c r="N4422" s="48" t="n"/>
      <c r="O4422" s="51">
        <f>IF(AND(B4422="",G4422="",C4422="",D4422="",J4422=""),"",IF(B4422="","⚠ Falta fecha",IF(G4422="","⚠ Falta monto",IF(Q4422="","⚠ Falta cuenta",IF(ISNA(MATCH(Q4422,ctaNombre,0)),"⚠ Cuenta no registrada",IF(AND(OR(P4422="Gasto",P4422="Reembolso"),D4422=""),"⚠ Falta categoría",IF(AND(D4422&lt;&gt;"",E4422&lt;&gt;"",ISNA(MATCH(D4422&amp;"|"&amp;E4422,catClave,0))),"⚠ Subcategoría no corresponde",IF(AND(OR(P4422="Transferencia",P4422="Pago tarjeta"),K4422=""),"⚠ Falta cuenta destino",IF(AND(K4422&lt;&gt;"",P4422&lt;&gt;"Transferencia",P4422&lt;&gt;"Pago tarjeta"),"⚠ Destino solo aplica a transferencias",IF(AND(K4422&lt;&gt;"",K4422=Q4422),"⚠ Origen igual a destino",IF(AND(K4422&lt;&gt;"",ISNA(MATCH(K4422,ctaNombre,0))),"⚠ Destino no registrado",IF(AND(P4422="Pago tarjeta",AE4422&lt;&gt;"Tarjeta de crédito"),"⚠ El destino debe ser tarjeta de crédito",IF(AND(P4422="Gasto",E4422="Depósitos y retiros"),"⚠ Usa tipo Transferencia",IF(AND(P4422="Resultado trading",AD4422&lt;&gt;"Cuenta de trading"),"⚠ Usa una cuenta de trading",IF(AND(G4422&lt;=0,P4422&lt;&gt;"Ajuste",P4422&lt;&gt;"Resultado trading"),"⚠ El monto debe ser positivo","✓")))))))))))))))</f>
        <v/>
      </c>
      <c r="P4422" s="52">
        <f>IF(OR(B4422="",G4422=""),"",IF(C4422="","Gasto",C4422))</f>
        <v/>
      </c>
      <c r="Q4422" s="52">
        <f>IF(P4422="","",IF(J4422&lt;&gt;"",J4422,CuentaPred&amp;""))</f>
        <v/>
      </c>
      <c r="R4422" s="52">
        <f>IF(P4422="","",IF(ISNUMBER(I4422),I4422,TasaUSD))</f>
        <v/>
      </c>
      <c r="S4422" s="53">
        <f>IF(P4422="","",IF(H4422="USD",G4422*R4422,G4422))</f>
        <v/>
      </c>
      <c r="T4422" s="53">
        <f>IF(P4422="","",IF(H4422="USD",G4422,IF(R4422&gt;0,G4422/R4422,0)))</f>
        <v/>
      </c>
      <c r="U4422" s="53">
        <f>IF(P4422="","",IF(P4422="Gasto",S4422,IF(P4422="Reembolso",-S4422,0)))</f>
        <v/>
      </c>
      <c r="V4422" s="53">
        <f>IF(P4422="","",IF(P4422="Ingreso",S4422,0))</f>
        <v/>
      </c>
      <c r="W4422" s="53">
        <f>IF(P4422="","",IF(P4422="Resultado trading",S4422,0))</f>
        <v/>
      </c>
      <c r="X4422" s="52">
        <f>IF(OR(P4422="Gasto",P4422="Reembolso"),IF(M4422&lt;&gt;"",M4422,IFERROR(INDEX(catClasif,MATCH(D4422&amp;"|"&amp;E4422,catClave,0))&amp;"","Variable")),"")</f>
        <v/>
      </c>
      <c r="Y4422" s="52">
        <f>IF(P4422="","",IFERROR(INDEX(catGrupo,MATCH(D4422&amp;"|"&amp;E4422,catClave,0))&amp;"",""))</f>
        <v/>
      </c>
      <c r="Z4422" s="52">
        <f>IF(P4422="","",WEEKDAY(B4422,2))</f>
        <v/>
      </c>
      <c r="AA4422" s="52">
        <f>IF(P4422="","",IF(AND(P4422="Gasto",X4422="Variable",D4422&lt;&gt;catTrading,S4422&gt;0,S4422&lt;=Umbral),1,0))</f>
        <v/>
      </c>
      <c r="AB4422" s="52">
        <f>IF(OR(P4422="",Q4422=""),"",IFERROR(IF(INDEX(ctaVinc,MATCH(Q4422,ctaNombre,0))&amp;""&lt;&gt;"",INDEX(ctaVinc,MATCH(Q4422,ctaNombre,0))&amp;"",Q4422),Q4422))</f>
        <v/>
      </c>
      <c r="AC4422" s="52">
        <f>IF(OR(K4422="",AND(P4422&lt;&gt;"Transferencia",P4422&lt;&gt;"Pago tarjeta")),"",IFERROR(IF(INDEX(ctaVinc,MATCH(K4422,ctaNombre,0))&amp;""&lt;&gt;"",INDEX(ctaVinc,MATCH(K4422,ctaNombre,0))&amp;"",K4422),K4422))</f>
        <v/>
      </c>
      <c r="AD4422" s="52">
        <f>IF(AB4422="","",IFERROR(INDEX(ctaTipo,MATCH(AB4422,ctaNombre,0))&amp;"",""))</f>
        <v/>
      </c>
      <c r="AE4422" s="52">
        <f>IF(AC4422="","",IFERROR(INDEX(ctaTipo,MATCH(AC4422,ctaNombre,0))&amp;"",""))</f>
        <v/>
      </c>
      <c r="AF4422" s="53">
        <f>IF(OR(P4422="",AB4422=""),"",IF(OR(P4422="Gasto",P4422="Transferencia",P4422="Pago tarjeta"),-1,1)*IF(IFERROR(INDEX(ctaMoneda,MATCH(AB4422,ctaNombre,0))&amp;"","DOP")="USD",T4422,S4422))</f>
        <v/>
      </c>
      <c r="AG4422" s="53">
        <f>IF(AC4422="","",IF(IFERROR(INDEX(ctaMoneda,MATCH(AC4422,ctaNombre,0))&amp;"","DOP")="USD",T4422,S4422))</f>
        <v/>
      </c>
      <c r="AH4422" s="53">
        <f>IF(P4422="","",IF(AND(AD4422&lt;&gt;"",COUNTIFS(tcTipo,AD4422,tcLiq,"Sí")&gt;0),IF(OR(P4422="Gasto",P4422="Transferencia",P4422="Pago tarjeta"),-1,1)*S4422,0)+IF(AND(AE4422&lt;&gt;"",COUNTIFS(tcTipo,AE4422,tcLiq,"Sí")&gt;0),S4422,0))</f>
        <v/>
      </c>
      <c r="AI4422" s="52">
        <f>IF(OR(L4422="",P4422=""),"",IF(COUNTIFS(L$6:L4422,L4422,P$6:P4422,"?*")=1,MAX(AI$5:AI4421)+1,""))</f>
        <v/>
      </c>
    </row>
    <row r="4423">
      <c r="B4423" s="47" t="n"/>
      <c r="C4423" s="48" t="n"/>
      <c r="D4423" s="48" t="n"/>
      <c r="E4423" s="48" t="n"/>
      <c r="F4423" s="48" t="n"/>
      <c r="G4423" s="49" t="n"/>
      <c r="H4423" s="48" t="n"/>
      <c r="I4423" s="50" t="n"/>
      <c r="J4423" s="48" t="n"/>
      <c r="K4423" s="48" t="n"/>
      <c r="L4423" s="48" t="n"/>
      <c r="M4423" s="48" t="n"/>
      <c r="N4423" s="48" t="n"/>
      <c r="O4423" s="51">
        <f>IF(AND(B4423="",G4423="",C4423="",D4423="",J4423=""),"",IF(B4423="","⚠ Falta fecha",IF(G4423="","⚠ Falta monto",IF(Q4423="","⚠ Falta cuenta",IF(ISNA(MATCH(Q4423,ctaNombre,0)),"⚠ Cuenta no registrada",IF(AND(OR(P4423="Gasto",P4423="Reembolso"),D4423=""),"⚠ Falta categoría",IF(AND(D4423&lt;&gt;"",E4423&lt;&gt;"",ISNA(MATCH(D4423&amp;"|"&amp;E4423,catClave,0))),"⚠ Subcategoría no corresponde",IF(AND(OR(P4423="Transferencia",P4423="Pago tarjeta"),K4423=""),"⚠ Falta cuenta destino",IF(AND(K4423&lt;&gt;"",P4423&lt;&gt;"Transferencia",P4423&lt;&gt;"Pago tarjeta"),"⚠ Destino solo aplica a transferencias",IF(AND(K4423&lt;&gt;"",K4423=Q4423),"⚠ Origen igual a destino",IF(AND(K4423&lt;&gt;"",ISNA(MATCH(K4423,ctaNombre,0))),"⚠ Destino no registrado",IF(AND(P4423="Pago tarjeta",AE4423&lt;&gt;"Tarjeta de crédito"),"⚠ El destino debe ser tarjeta de crédito",IF(AND(P4423="Gasto",E4423="Depósitos y retiros"),"⚠ Usa tipo Transferencia",IF(AND(P4423="Resultado trading",AD4423&lt;&gt;"Cuenta de trading"),"⚠ Usa una cuenta de trading",IF(AND(G4423&lt;=0,P4423&lt;&gt;"Ajuste",P4423&lt;&gt;"Resultado trading"),"⚠ El monto debe ser positivo","✓")))))))))))))))</f>
        <v/>
      </c>
      <c r="P4423" s="52">
        <f>IF(OR(B4423="",G4423=""),"",IF(C4423="","Gasto",C4423))</f>
        <v/>
      </c>
      <c r="Q4423" s="52">
        <f>IF(P4423="","",IF(J4423&lt;&gt;"",J4423,CuentaPred&amp;""))</f>
        <v/>
      </c>
      <c r="R4423" s="52">
        <f>IF(P4423="","",IF(ISNUMBER(I4423),I4423,TasaUSD))</f>
        <v/>
      </c>
      <c r="S4423" s="53">
        <f>IF(P4423="","",IF(H4423="USD",G4423*R4423,G4423))</f>
        <v/>
      </c>
      <c r="T4423" s="53">
        <f>IF(P4423="","",IF(H4423="USD",G4423,IF(R4423&gt;0,G4423/R4423,0)))</f>
        <v/>
      </c>
      <c r="U4423" s="53">
        <f>IF(P4423="","",IF(P4423="Gasto",S4423,IF(P4423="Reembolso",-S4423,0)))</f>
        <v/>
      </c>
      <c r="V4423" s="53">
        <f>IF(P4423="","",IF(P4423="Ingreso",S4423,0))</f>
        <v/>
      </c>
      <c r="W4423" s="53">
        <f>IF(P4423="","",IF(P4423="Resultado trading",S4423,0))</f>
        <v/>
      </c>
      <c r="X4423" s="52">
        <f>IF(OR(P4423="Gasto",P4423="Reembolso"),IF(M4423&lt;&gt;"",M4423,IFERROR(INDEX(catClasif,MATCH(D4423&amp;"|"&amp;E4423,catClave,0))&amp;"","Variable")),"")</f>
        <v/>
      </c>
      <c r="Y4423" s="52">
        <f>IF(P4423="","",IFERROR(INDEX(catGrupo,MATCH(D4423&amp;"|"&amp;E4423,catClave,0))&amp;"",""))</f>
        <v/>
      </c>
      <c r="Z4423" s="52">
        <f>IF(P4423="","",WEEKDAY(B4423,2))</f>
        <v/>
      </c>
      <c r="AA4423" s="52">
        <f>IF(P4423="","",IF(AND(P4423="Gasto",X4423="Variable",D4423&lt;&gt;catTrading,S4423&gt;0,S4423&lt;=Umbral),1,0))</f>
        <v/>
      </c>
      <c r="AB4423" s="52">
        <f>IF(OR(P4423="",Q4423=""),"",IFERROR(IF(INDEX(ctaVinc,MATCH(Q4423,ctaNombre,0))&amp;""&lt;&gt;"",INDEX(ctaVinc,MATCH(Q4423,ctaNombre,0))&amp;"",Q4423),Q4423))</f>
        <v/>
      </c>
      <c r="AC4423" s="52">
        <f>IF(OR(K4423="",AND(P4423&lt;&gt;"Transferencia",P4423&lt;&gt;"Pago tarjeta")),"",IFERROR(IF(INDEX(ctaVinc,MATCH(K4423,ctaNombre,0))&amp;""&lt;&gt;"",INDEX(ctaVinc,MATCH(K4423,ctaNombre,0))&amp;"",K4423),K4423))</f>
        <v/>
      </c>
      <c r="AD4423" s="52">
        <f>IF(AB4423="","",IFERROR(INDEX(ctaTipo,MATCH(AB4423,ctaNombre,0))&amp;"",""))</f>
        <v/>
      </c>
      <c r="AE4423" s="52">
        <f>IF(AC4423="","",IFERROR(INDEX(ctaTipo,MATCH(AC4423,ctaNombre,0))&amp;"",""))</f>
        <v/>
      </c>
      <c r="AF4423" s="53">
        <f>IF(OR(P4423="",AB4423=""),"",IF(OR(P4423="Gasto",P4423="Transferencia",P4423="Pago tarjeta"),-1,1)*IF(IFERROR(INDEX(ctaMoneda,MATCH(AB4423,ctaNombre,0))&amp;"","DOP")="USD",T4423,S4423))</f>
        <v/>
      </c>
      <c r="AG4423" s="53">
        <f>IF(AC4423="","",IF(IFERROR(INDEX(ctaMoneda,MATCH(AC4423,ctaNombre,0))&amp;"","DOP")="USD",T4423,S4423))</f>
        <v/>
      </c>
      <c r="AH4423" s="53">
        <f>IF(P4423="","",IF(AND(AD4423&lt;&gt;"",COUNTIFS(tcTipo,AD4423,tcLiq,"Sí")&gt;0),IF(OR(P4423="Gasto",P4423="Transferencia",P4423="Pago tarjeta"),-1,1)*S4423,0)+IF(AND(AE4423&lt;&gt;"",COUNTIFS(tcTipo,AE4423,tcLiq,"Sí")&gt;0),S4423,0))</f>
        <v/>
      </c>
      <c r="AI4423" s="52">
        <f>IF(OR(L4423="",P4423=""),"",IF(COUNTIFS(L$6:L4423,L4423,P$6:P4423,"?*")=1,MAX(AI$5:AI4422)+1,""))</f>
        <v/>
      </c>
    </row>
    <row r="4424">
      <c r="B4424" s="47" t="n"/>
      <c r="C4424" s="48" t="n"/>
      <c r="D4424" s="48" t="n"/>
      <c r="E4424" s="48" t="n"/>
      <c r="F4424" s="48" t="n"/>
      <c r="G4424" s="49" t="n"/>
      <c r="H4424" s="48" t="n"/>
      <c r="I4424" s="50" t="n"/>
      <c r="J4424" s="48" t="n"/>
      <c r="K4424" s="48" t="n"/>
      <c r="L4424" s="48" t="n"/>
      <c r="M4424" s="48" t="n"/>
      <c r="N4424" s="48" t="n"/>
      <c r="O4424" s="51">
        <f>IF(AND(B4424="",G4424="",C4424="",D4424="",J4424=""),"",IF(B4424="","⚠ Falta fecha",IF(G4424="","⚠ Falta monto",IF(Q4424="","⚠ Falta cuenta",IF(ISNA(MATCH(Q4424,ctaNombre,0)),"⚠ Cuenta no registrada",IF(AND(OR(P4424="Gasto",P4424="Reembolso"),D4424=""),"⚠ Falta categoría",IF(AND(D4424&lt;&gt;"",E4424&lt;&gt;"",ISNA(MATCH(D4424&amp;"|"&amp;E4424,catClave,0))),"⚠ Subcategoría no corresponde",IF(AND(OR(P4424="Transferencia",P4424="Pago tarjeta"),K4424=""),"⚠ Falta cuenta destino",IF(AND(K4424&lt;&gt;"",P4424&lt;&gt;"Transferencia",P4424&lt;&gt;"Pago tarjeta"),"⚠ Destino solo aplica a transferencias",IF(AND(K4424&lt;&gt;"",K4424=Q4424),"⚠ Origen igual a destino",IF(AND(K4424&lt;&gt;"",ISNA(MATCH(K4424,ctaNombre,0))),"⚠ Destino no registrado",IF(AND(P4424="Pago tarjeta",AE4424&lt;&gt;"Tarjeta de crédito"),"⚠ El destino debe ser tarjeta de crédito",IF(AND(P4424="Gasto",E4424="Depósitos y retiros"),"⚠ Usa tipo Transferencia",IF(AND(P4424="Resultado trading",AD4424&lt;&gt;"Cuenta de trading"),"⚠ Usa una cuenta de trading",IF(AND(G4424&lt;=0,P4424&lt;&gt;"Ajuste",P4424&lt;&gt;"Resultado trading"),"⚠ El monto debe ser positivo","✓")))))))))))))))</f>
        <v/>
      </c>
      <c r="P4424" s="52">
        <f>IF(OR(B4424="",G4424=""),"",IF(C4424="","Gasto",C4424))</f>
        <v/>
      </c>
      <c r="Q4424" s="52">
        <f>IF(P4424="","",IF(J4424&lt;&gt;"",J4424,CuentaPred&amp;""))</f>
        <v/>
      </c>
      <c r="R4424" s="52">
        <f>IF(P4424="","",IF(ISNUMBER(I4424),I4424,TasaUSD))</f>
        <v/>
      </c>
      <c r="S4424" s="53">
        <f>IF(P4424="","",IF(H4424="USD",G4424*R4424,G4424))</f>
        <v/>
      </c>
      <c r="T4424" s="53">
        <f>IF(P4424="","",IF(H4424="USD",G4424,IF(R4424&gt;0,G4424/R4424,0)))</f>
        <v/>
      </c>
      <c r="U4424" s="53">
        <f>IF(P4424="","",IF(P4424="Gasto",S4424,IF(P4424="Reembolso",-S4424,0)))</f>
        <v/>
      </c>
      <c r="V4424" s="53">
        <f>IF(P4424="","",IF(P4424="Ingreso",S4424,0))</f>
        <v/>
      </c>
      <c r="W4424" s="53">
        <f>IF(P4424="","",IF(P4424="Resultado trading",S4424,0))</f>
        <v/>
      </c>
      <c r="X4424" s="52">
        <f>IF(OR(P4424="Gasto",P4424="Reembolso"),IF(M4424&lt;&gt;"",M4424,IFERROR(INDEX(catClasif,MATCH(D4424&amp;"|"&amp;E4424,catClave,0))&amp;"","Variable")),"")</f>
        <v/>
      </c>
      <c r="Y4424" s="52">
        <f>IF(P4424="","",IFERROR(INDEX(catGrupo,MATCH(D4424&amp;"|"&amp;E4424,catClave,0))&amp;"",""))</f>
        <v/>
      </c>
      <c r="Z4424" s="52">
        <f>IF(P4424="","",WEEKDAY(B4424,2))</f>
        <v/>
      </c>
      <c r="AA4424" s="52">
        <f>IF(P4424="","",IF(AND(P4424="Gasto",X4424="Variable",D4424&lt;&gt;catTrading,S4424&gt;0,S4424&lt;=Umbral),1,0))</f>
        <v/>
      </c>
      <c r="AB4424" s="52">
        <f>IF(OR(P4424="",Q4424=""),"",IFERROR(IF(INDEX(ctaVinc,MATCH(Q4424,ctaNombre,0))&amp;""&lt;&gt;"",INDEX(ctaVinc,MATCH(Q4424,ctaNombre,0))&amp;"",Q4424),Q4424))</f>
        <v/>
      </c>
      <c r="AC4424" s="52">
        <f>IF(OR(K4424="",AND(P4424&lt;&gt;"Transferencia",P4424&lt;&gt;"Pago tarjeta")),"",IFERROR(IF(INDEX(ctaVinc,MATCH(K4424,ctaNombre,0))&amp;""&lt;&gt;"",INDEX(ctaVinc,MATCH(K4424,ctaNombre,0))&amp;"",K4424),K4424))</f>
        <v/>
      </c>
      <c r="AD4424" s="52">
        <f>IF(AB4424="","",IFERROR(INDEX(ctaTipo,MATCH(AB4424,ctaNombre,0))&amp;"",""))</f>
        <v/>
      </c>
      <c r="AE4424" s="52">
        <f>IF(AC4424="","",IFERROR(INDEX(ctaTipo,MATCH(AC4424,ctaNombre,0))&amp;"",""))</f>
        <v/>
      </c>
      <c r="AF4424" s="53">
        <f>IF(OR(P4424="",AB4424=""),"",IF(OR(P4424="Gasto",P4424="Transferencia",P4424="Pago tarjeta"),-1,1)*IF(IFERROR(INDEX(ctaMoneda,MATCH(AB4424,ctaNombre,0))&amp;"","DOP")="USD",T4424,S4424))</f>
        <v/>
      </c>
      <c r="AG4424" s="53">
        <f>IF(AC4424="","",IF(IFERROR(INDEX(ctaMoneda,MATCH(AC4424,ctaNombre,0))&amp;"","DOP")="USD",T4424,S4424))</f>
        <v/>
      </c>
      <c r="AH4424" s="53">
        <f>IF(P4424="","",IF(AND(AD4424&lt;&gt;"",COUNTIFS(tcTipo,AD4424,tcLiq,"Sí")&gt;0),IF(OR(P4424="Gasto",P4424="Transferencia",P4424="Pago tarjeta"),-1,1)*S4424,0)+IF(AND(AE4424&lt;&gt;"",COUNTIFS(tcTipo,AE4424,tcLiq,"Sí")&gt;0),S4424,0))</f>
        <v/>
      </c>
      <c r="AI4424" s="52">
        <f>IF(OR(L4424="",P4424=""),"",IF(COUNTIFS(L$6:L4424,L4424,P$6:P4424,"?*")=1,MAX(AI$5:AI4423)+1,""))</f>
        <v/>
      </c>
    </row>
    <row r="4425">
      <c r="B4425" s="47" t="n"/>
      <c r="C4425" s="48" t="n"/>
      <c r="D4425" s="48" t="n"/>
      <c r="E4425" s="48" t="n"/>
      <c r="F4425" s="48" t="n"/>
      <c r="G4425" s="49" t="n"/>
      <c r="H4425" s="48" t="n"/>
      <c r="I4425" s="50" t="n"/>
      <c r="J4425" s="48" t="n"/>
      <c r="K4425" s="48" t="n"/>
      <c r="L4425" s="48" t="n"/>
      <c r="M4425" s="48" t="n"/>
      <c r="N4425" s="48" t="n"/>
      <c r="O4425" s="51">
        <f>IF(AND(B4425="",G4425="",C4425="",D4425="",J4425=""),"",IF(B4425="","⚠ Falta fecha",IF(G4425="","⚠ Falta monto",IF(Q4425="","⚠ Falta cuenta",IF(ISNA(MATCH(Q4425,ctaNombre,0)),"⚠ Cuenta no registrada",IF(AND(OR(P4425="Gasto",P4425="Reembolso"),D4425=""),"⚠ Falta categoría",IF(AND(D4425&lt;&gt;"",E4425&lt;&gt;"",ISNA(MATCH(D4425&amp;"|"&amp;E4425,catClave,0))),"⚠ Subcategoría no corresponde",IF(AND(OR(P4425="Transferencia",P4425="Pago tarjeta"),K4425=""),"⚠ Falta cuenta destino",IF(AND(K4425&lt;&gt;"",P4425&lt;&gt;"Transferencia",P4425&lt;&gt;"Pago tarjeta"),"⚠ Destino solo aplica a transferencias",IF(AND(K4425&lt;&gt;"",K4425=Q4425),"⚠ Origen igual a destino",IF(AND(K4425&lt;&gt;"",ISNA(MATCH(K4425,ctaNombre,0))),"⚠ Destino no registrado",IF(AND(P4425="Pago tarjeta",AE4425&lt;&gt;"Tarjeta de crédito"),"⚠ El destino debe ser tarjeta de crédito",IF(AND(P4425="Gasto",E4425="Depósitos y retiros"),"⚠ Usa tipo Transferencia",IF(AND(P4425="Resultado trading",AD4425&lt;&gt;"Cuenta de trading"),"⚠ Usa una cuenta de trading",IF(AND(G4425&lt;=0,P4425&lt;&gt;"Ajuste",P4425&lt;&gt;"Resultado trading"),"⚠ El monto debe ser positivo","✓")))))))))))))))</f>
        <v/>
      </c>
      <c r="P4425" s="52">
        <f>IF(OR(B4425="",G4425=""),"",IF(C4425="","Gasto",C4425))</f>
        <v/>
      </c>
      <c r="Q4425" s="52">
        <f>IF(P4425="","",IF(J4425&lt;&gt;"",J4425,CuentaPred&amp;""))</f>
        <v/>
      </c>
      <c r="R4425" s="52">
        <f>IF(P4425="","",IF(ISNUMBER(I4425),I4425,TasaUSD))</f>
        <v/>
      </c>
      <c r="S4425" s="53">
        <f>IF(P4425="","",IF(H4425="USD",G4425*R4425,G4425))</f>
        <v/>
      </c>
      <c r="T4425" s="53">
        <f>IF(P4425="","",IF(H4425="USD",G4425,IF(R4425&gt;0,G4425/R4425,0)))</f>
        <v/>
      </c>
      <c r="U4425" s="53">
        <f>IF(P4425="","",IF(P4425="Gasto",S4425,IF(P4425="Reembolso",-S4425,0)))</f>
        <v/>
      </c>
      <c r="V4425" s="53">
        <f>IF(P4425="","",IF(P4425="Ingreso",S4425,0))</f>
        <v/>
      </c>
      <c r="W4425" s="53">
        <f>IF(P4425="","",IF(P4425="Resultado trading",S4425,0))</f>
        <v/>
      </c>
      <c r="X4425" s="52">
        <f>IF(OR(P4425="Gasto",P4425="Reembolso"),IF(M4425&lt;&gt;"",M4425,IFERROR(INDEX(catClasif,MATCH(D4425&amp;"|"&amp;E4425,catClave,0))&amp;"","Variable")),"")</f>
        <v/>
      </c>
      <c r="Y4425" s="52">
        <f>IF(P4425="","",IFERROR(INDEX(catGrupo,MATCH(D4425&amp;"|"&amp;E4425,catClave,0))&amp;"",""))</f>
        <v/>
      </c>
      <c r="Z4425" s="52">
        <f>IF(P4425="","",WEEKDAY(B4425,2))</f>
        <v/>
      </c>
      <c r="AA4425" s="52">
        <f>IF(P4425="","",IF(AND(P4425="Gasto",X4425="Variable",D4425&lt;&gt;catTrading,S4425&gt;0,S4425&lt;=Umbral),1,0))</f>
        <v/>
      </c>
      <c r="AB4425" s="52">
        <f>IF(OR(P4425="",Q4425=""),"",IFERROR(IF(INDEX(ctaVinc,MATCH(Q4425,ctaNombre,0))&amp;""&lt;&gt;"",INDEX(ctaVinc,MATCH(Q4425,ctaNombre,0))&amp;"",Q4425),Q4425))</f>
        <v/>
      </c>
      <c r="AC4425" s="52">
        <f>IF(OR(K4425="",AND(P4425&lt;&gt;"Transferencia",P4425&lt;&gt;"Pago tarjeta")),"",IFERROR(IF(INDEX(ctaVinc,MATCH(K4425,ctaNombre,0))&amp;""&lt;&gt;"",INDEX(ctaVinc,MATCH(K4425,ctaNombre,0))&amp;"",K4425),K4425))</f>
        <v/>
      </c>
      <c r="AD4425" s="52">
        <f>IF(AB4425="","",IFERROR(INDEX(ctaTipo,MATCH(AB4425,ctaNombre,0))&amp;"",""))</f>
        <v/>
      </c>
      <c r="AE4425" s="52">
        <f>IF(AC4425="","",IFERROR(INDEX(ctaTipo,MATCH(AC4425,ctaNombre,0))&amp;"",""))</f>
        <v/>
      </c>
      <c r="AF4425" s="53">
        <f>IF(OR(P4425="",AB4425=""),"",IF(OR(P4425="Gasto",P4425="Transferencia",P4425="Pago tarjeta"),-1,1)*IF(IFERROR(INDEX(ctaMoneda,MATCH(AB4425,ctaNombre,0))&amp;"","DOP")="USD",T4425,S4425))</f>
        <v/>
      </c>
      <c r="AG4425" s="53">
        <f>IF(AC4425="","",IF(IFERROR(INDEX(ctaMoneda,MATCH(AC4425,ctaNombre,0))&amp;"","DOP")="USD",T4425,S4425))</f>
        <v/>
      </c>
      <c r="AH4425" s="53">
        <f>IF(P4425="","",IF(AND(AD4425&lt;&gt;"",COUNTIFS(tcTipo,AD4425,tcLiq,"Sí")&gt;0),IF(OR(P4425="Gasto",P4425="Transferencia",P4425="Pago tarjeta"),-1,1)*S4425,0)+IF(AND(AE4425&lt;&gt;"",COUNTIFS(tcTipo,AE4425,tcLiq,"Sí")&gt;0),S4425,0))</f>
        <v/>
      </c>
      <c r="AI4425" s="52">
        <f>IF(OR(L4425="",P4425=""),"",IF(COUNTIFS(L$6:L4425,L4425,P$6:P4425,"?*")=1,MAX(AI$5:AI4424)+1,""))</f>
        <v/>
      </c>
    </row>
    <row r="4426">
      <c r="B4426" s="47" t="n"/>
      <c r="C4426" s="48" t="n"/>
      <c r="D4426" s="48" t="n"/>
      <c r="E4426" s="48" t="n"/>
      <c r="F4426" s="48" t="n"/>
      <c r="G4426" s="49" t="n"/>
      <c r="H4426" s="48" t="n"/>
      <c r="I4426" s="50" t="n"/>
      <c r="J4426" s="48" t="n"/>
      <c r="K4426" s="48" t="n"/>
      <c r="L4426" s="48" t="n"/>
      <c r="M4426" s="48" t="n"/>
      <c r="N4426" s="48" t="n"/>
      <c r="O4426" s="51">
        <f>IF(AND(B4426="",G4426="",C4426="",D4426="",J4426=""),"",IF(B4426="","⚠ Falta fecha",IF(G4426="","⚠ Falta monto",IF(Q4426="","⚠ Falta cuenta",IF(ISNA(MATCH(Q4426,ctaNombre,0)),"⚠ Cuenta no registrada",IF(AND(OR(P4426="Gasto",P4426="Reembolso"),D4426=""),"⚠ Falta categoría",IF(AND(D4426&lt;&gt;"",E4426&lt;&gt;"",ISNA(MATCH(D4426&amp;"|"&amp;E4426,catClave,0))),"⚠ Subcategoría no corresponde",IF(AND(OR(P4426="Transferencia",P4426="Pago tarjeta"),K4426=""),"⚠ Falta cuenta destino",IF(AND(K4426&lt;&gt;"",P4426&lt;&gt;"Transferencia",P4426&lt;&gt;"Pago tarjeta"),"⚠ Destino solo aplica a transferencias",IF(AND(K4426&lt;&gt;"",K4426=Q4426),"⚠ Origen igual a destino",IF(AND(K4426&lt;&gt;"",ISNA(MATCH(K4426,ctaNombre,0))),"⚠ Destino no registrado",IF(AND(P4426="Pago tarjeta",AE4426&lt;&gt;"Tarjeta de crédito"),"⚠ El destino debe ser tarjeta de crédito",IF(AND(P4426="Gasto",E4426="Depósitos y retiros"),"⚠ Usa tipo Transferencia",IF(AND(P4426="Resultado trading",AD4426&lt;&gt;"Cuenta de trading"),"⚠ Usa una cuenta de trading",IF(AND(G4426&lt;=0,P4426&lt;&gt;"Ajuste",P4426&lt;&gt;"Resultado trading"),"⚠ El monto debe ser positivo","✓")))))))))))))))</f>
        <v/>
      </c>
      <c r="P4426" s="52">
        <f>IF(OR(B4426="",G4426=""),"",IF(C4426="","Gasto",C4426))</f>
        <v/>
      </c>
      <c r="Q4426" s="52">
        <f>IF(P4426="","",IF(J4426&lt;&gt;"",J4426,CuentaPred&amp;""))</f>
        <v/>
      </c>
      <c r="R4426" s="52">
        <f>IF(P4426="","",IF(ISNUMBER(I4426),I4426,TasaUSD))</f>
        <v/>
      </c>
      <c r="S4426" s="53">
        <f>IF(P4426="","",IF(H4426="USD",G4426*R4426,G4426))</f>
        <v/>
      </c>
      <c r="T4426" s="53">
        <f>IF(P4426="","",IF(H4426="USD",G4426,IF(R4426&gt;0,G4426/R4426,0)))</f>
        <v/>
      </c>
      <c r="U4426" s="53">
        <f>IF(P4426="","",IF(P4426="Gasto",S4426,IF(P4426="Reembolso",-S4426,0)))</f>
        <v/>
      </c>
      <c r="V4426" s="53">
        <f>IF(P4426="","",IF(P4426="Ingreso",S4426,0))</f>
        <v/>
      </c>
      <c r="W4426" s="53">
        <f>IF(P4426="","",IF(P4426="Resultado trading",S4426,0))</f>
        <v/>
      </c>
      <c r="X4426" s="52">
        <f>IF(OR(P4426="Gasto",P4426="Reembolso"),IF(M4426&lt;&gt;"",M4426,IFERROR(INDEX(catClasif,MATCH(D4426&amp;"|"&amp;E4426,catClave,0))&amp;"","Variable")),"")</f>
        <v/>
      </c>
      <c r="Y4426" s="52">
        <f>IF(P4426="","",IFERROR(INDEX(catGrupo,MATCH(D4426&amp;"|"&amp;E4426,catClave,0))&amp;"",""))</f>
        <v/>
      </c>
      <c r="Z4426" s="52">
        <f>IF(P4426="","",WEEKDAY(B4426,2))</f>
        <v/>
      </c>
      <c r="AA4426" s="52">
        <f>IF(P4426="","",IF(AND(P4426="Gasto",X4426="Variable",D4426&lt;&gt;catTrading,S4426&gt;0,S4426&lt;=Umbral),1,0))</f>
        <v/>
      </c>
      <c r="AB4426" s="52">
        <f>IF(OR(P4426="",Q4426=""),"",IFERROR(IF(INDEX(ctaVinc,MATCH(Q4426,ctaNombre,0))&amp;""&lt;&gt;"",INDEX(ctaVinc,MATCH(Q4426,ctaNombre,0))&amp;"",Q4426),Q4426))</f>
        <v/>
      </c>
      <c r="AC4426" s="52">
        <f>IF(OR(K4426="",AND(P4426&lt;&gt;"Transferencia",P4426&lt;&gt;"Pago tarjeta")),"",IFERROR(IF(INDEX(ctaVinc,MATCH(K4426,ctaNombre,0))&amp;""&lt;&gt;"",INDEX(ctaVinc,MATCH(K4426,ctaNombre,0))&amp;"",K4426),K4426))</f>
        <v/>
      </c>
      <c r="AD4426" s="52">
        <f>IF(AB4426="","",IFERROR(INDEX(ctaTipo,MATCH(AB4426,ctaNombre,0))&amp;"",""))</f>
        <v/>
      </c>
      <c r="AE4426" s="52">
        <f>IF(AC4426="","",IFERROR(INDEX(ctaTipo,MATCH(AC4426,ctaNombre,0))&amp;"",""))</f>
        <v/>
      </c>
      <c r="AF4426" s="53">
        <f>IF(OR(P4426="",AB4426=""),"",IF(OR(P4426="Gasto",P4426="Transferencia",P4426="Pago tarjeta"),-1,1)*IF(IFERROR(INDEX(ctaMoneda,MATCH(AB4426,ctaNombre,0))&amp;"","DOP")="USD",T4426,S4426))</f>
        <v/>
      </c>
      <c r="AG4426" s="53">
        <f>IF(AC4426="","",IF(IFERROR(INDEX(ctaMoneda,MATCH(AC4426,ctaNombre,0))&amp;"","DOP")="USD",T4426,S4426))</f>
        <v/>
      </c>
      <c r="AH4426" s="53">
        <f>IF(P4426="","",IF(AND(AD4426&lt;&gt;"",COUNTIFS(tcTipo,AD4426,tcLiq,"Sí")&gt;0),IF(OR(P4426="Gasto",P4426="Transferencia",P4426="Pago tarjeta"),-1,1)*S4426,0)+IF(AND(AE4426&lt;&gt;"",COUNTIFS(tcTipo,AE4426,tcLiq,"Sí")&gt;0),S4426,0))</f>
        <v/>
      </c>
      <c r="AI4426" s="52">
        <f>IF(OR(L4426="",P4426=""),"",IF(COUNTIFS(L$6:L4426,L4426,P$6:P4426,"?*")=1,MAX(AI$5:AI4425)+1,""))</f>
        <v/>
      </c>
    </row>
    <row r="4427">
      <c r="B4427" s="47" t="n"/>
      <c r="C4427" s="48" t="n"/>
      <c r="D4427" s="48" t="n"/>
      <c r="E4427" s="48" t="n"/>
      <c r="F4427" s="48" t="n"/>
      <c r="G4427" s="49" t="n"/>
      <c r="H4427" s="48" t="n"/>
      <c r="I4427" s="50" t="n"/>
      <c r="J4427" s="48" t="n"/>
      <c r="K4427" s="48" t="n"/>
      <c r="L4427" s="48" t="n"/>
      <c r="M4427" s="48" t="n"/>
      <c r="N4427" s="48" t="n"/>
      <c r="O4427" s="51">
        <f>IF(AND(B4427="",G4427="",C4427="",D4427="",J4427=""),"",IF(B4427="","⚠ Falta fecha",IF(G4427="","⚠ Falta monto",IF(Q4427="","⚠ Falta cuenta",IF(ISNA(MATCH(Q4427,ctaNombre,0)),"⚠ Cuenta no registrada",IF(AND(OR(P4427="Gasto",P4427="Reembolso"),D4427=""),"⚠ Falta categoría",IF(AND(D4427&lt;&gt;"",E4427&lt;&gt;"",ISNA(MATCH(D4427&amp;"|"&amp;E4427,catClave,0))),"⚠ Subcategoría no corresponde",IF(AND(OR(P4427="Transferencia",P4427="Pago tarjeta"),K4427=""),"⚠ Falta cuenta destino",IF(AND(K4427&lt;&gt;"",P4427&lt;&gt;"Transferencia",P4427&lt;&gt;"Pago tarjeta"),"⚠ Destino solo aplica a transferencias",IF(AND(K4427&lt;&gt;"",K4427=Q4427),"⚠ Origen igual a destino",IF(AND(K4427&lt;&gt;"",ISNA(MATCH(K4427,ctaNombre,0))),"⚠ Destino no registrado",IF(AND(P4427="Pago tarjeta",AE4427&lt;&gt;"Tarjeta de crédito"),"⚠ El destino debe ser tarjeta de crédito",IF(AND(P4427="Gasto",E4427="Depósitos y retiros"),"⚠ Usa tipo Transferencia",IF(AND(P4427="Resultado trading",AD4427&lt;&gt;"Cuenta de trading"),"⚠ Usa una cuenta de trading",IF(AND(G4427&lt;=0,P4427&lt;&gt;"Ajuste",P4427&lt;&gt;"Resultado trading"),"⚠ El monto debe ser positivo","✓")))))))))))))))</f>
        <v/>
      </c>
      <c r="P4427" s="52">
        <f>IF(OR(B4427="",G4427=""),"",IF(C4427="","Gasto",C4427))</f>
        <v/>
      </c>
      <c r="Q4427" s="52">
        <f>IF(P4427="","",IF(J4427&lt;&gt;"",J4427,CuentaPred&amp;""))</f>
        <v/>
      </c>
      <c r="R4427" s="52">
        <f>IF(P4427="","",IF(ISNUMBER(I4427),I4427,TasaUSD))</f>
        <v/>
      </c>
      <c r="S4427" s="53">
        <f>IF(P4427="","",IF(H4427="USD",G4427*R4427,G4427))</f>
        <v/>
      </c>
      <c r="T4427" s="53">
        <f>IF(P4427="","",IF(H4427="USD",G4427,IF(R4427&gt;0,G4427/R4427,0)))</f>
        <v/>
      </c>
      <c r="U4427" s="53">
        <f>IF(P4427="","",IF(P4427="Gasto",S4427,IF(P4427="Reembolso",-S4427,0)))</f>
        <v/>
      </c>
      <c r="V4427" s="53">
        <f>IF(P4427="","",IF(P4427="Ingreso",S4427,0))</f>
        <v/>
      </c>
      <c r="W4427" s="53">
        <f>IF(P4427="","",IF(P4427="Resultado trading",S4427,0))</f>
        <v/>
      </c>
      <c r="X4427" s="52">
        <f>IF(OR(P4427="Gasto",P4427="Reembolso"),IF(M4427&lt;&gt;"",M4427,IFERROR(INDEX(catClasif,MATCH(D4427&amp;"|"&amp;E4427,catClave,0))&amp;"","Variable")),"")</f>
        <v/>
      </c>
      <c r="Y4427" s="52">
        <f>IF(P4427="","",IFERROR(INDEX(catGrupo,MATCH(D4427&amp;"|"&amp;E4427,catClave,0))&amp;"",""))</f>
        <v/>
      </c>
      <c r="Z4427" s="52">
        <f>IF(P4427="","",WEEKDAY(B4427,2))</f>
        <v/>
      </c>
      <c r="AA4427" s="52">
        <f>IF(P4427="","",IF(AND(P4427="Gasto",X4427="Variable",D4427&lt;&gt;catTrading,S4427&gt;0,S4427&lt;=Umbral),1,0))</f>
        <v/>
      </c>
      <c r="AB4427" s="52">
        <f>IF(OR(P4427="",Q4427=""),"",IFERROR(IF(INDEX(ctaVinc,MATCH(Q4427,ctaNombre,0))&amp;""&lt;&gt;"",INDEX(ctaVinc,MATCH(Q4427,ctaNombre,0))&amp;"",Q4427),Q4427))</f>
        <v/>
      </c>
      <c r="AC4427" s="52">
        <f>IF(OR(K4427="",AND(P4427&lt;&gt;"Transferencia",P4427&lt;&gt;"Pago tarjeta")),"",IFERROR(IF(INDEX(ctaVinc,MATCH(K4427,ctaNombre,0))&amp;""&lt;&gt;"",INDEX(ctaVinc,MATCH(K4427,ctaNombre,0))&amp;"",K4427),K4427))</f>
        <v/>
      </c>
      <c r="AD4427" s="52">
        <f>IF(AB4427="","",IFERROR(INDEX(ctaTipo,MATCH(AB4427,ctaNombre,0))&amp;"",""))</f>
        <v/>
      </c>
      <c r="AE4427" s="52">
        <f>IF(AC4427="","",IFERROR(INDEX(ctaTipo,MATCH(AC4427,ctaNombre,0))&amp;"",""))</f>
        <v/>
      </c>
      <c r="AF4427" s="53">
        <f>IF(OR(P4427="",AB4427=""),"",IF(OR(P4427="Gasto",P4427="Transferencia",P4427="Pago tarjeta"),-1,1)*IF(IFERROR(INDEX(ctaMoneda,MATCH(AB4427,ctaNombre,0))&amp;"","DOP")="USD",T4427,S4427))</f>
        <v/>
      </c>
      <c r="AG4427" s="53">
        <f>IF(AC4427="","",IF(IFERROR(INDEX(ctaMoneda,MATCH(AC4427,ctaNombre,0))&amp;"","DOP")="USD",T4427,S4427))</f>
        <v/>
      </c>
      <c r="AH4427" s="53">
        <f>IF(P4427="","",IF(AND(AD4427&lt;&gt;"",COUNTIFS(tcTipo,AD4427,tcLiq,"Sí")&gt;0),IF(OR(P4427="Gasto",P4427="Transferencia",P4427="Pago tarjeta"),-1,1)*S4427,0)+IF(AND(AE4427&lt;&gt;"",COUNTIFS(tcTipo,AE4427,tcLiq,"Sí")&gt;0),S4427,0))</f>
        <v/>
      </c>
      <c r="AI4427" s="52">
        <f>IF(OR(L4427="",P4427=""),"",IF(COUNTIFS(L$6:L4427,L4427,P$6:P4427,"?*")=1,MAX(AI$5:AI4426)+1,""))</f>
        <v/>
      </c>
    </row>
    <row r="4428">
      <c r="B4428" s="47" t="n"/>
      <c r="C4428" s="48" t="n"/>
      <c r="D4428" s="48" t="n"/>
      <c r="E4428" s="48" t="n"/>
      <c r="F4428" s="48" t="n"/>
      <c r="G4428" s="49" t="n"/>
      <c r="H4428" s="48" t="n"/>
      <c r="I4428" s="50" t="n"/>
      <c r="J4428" s="48" t="n"/>
      <c r="K4428" s="48" t="n"/>
      <c r="L4428" s="48" t="n"/>
      <c r="M4428" s="48" t="n"/>
      <c r="N4428" s="48" t="n"/>
      <c r="O4428" s="51">
        <f>IF(AND(B4428="",G4428="",C4428="",D4428="",J4428=""),"",IF(B4428="","⚠ Falta fecha",IF(G4428="","⚠ Falta monto",IF(Q4428="","⚠ Falta cuenta",IF(ISNA(MATCH(Q4428,ctaNombre,0)),"⚠ Cuenta no registrada",IF(AND(OR(P4428="Gasto",P4428="Reembolso"),D4428=""),"⚠ Falta categoría",IF(AND(D4428&lt;&gt;"",E4428&lt;&gt;"",ISNA(MATCH(D4428&amp;"|"&amp;E4428,catClave,0))),"⚠ Subcategoría no corresponde",IF(AND(OR(P4428="Transferencia",P4428="Pago tarjeta"),K4428=""),"⚠ Falta cuenta destino",IF(AND(K4428&lt;&gt;"",P4428&lt;&gt;"Transferencia",P4428&lt;&gt;"Pago tarjeta"),"⚠ Destino solo aplica a transferencias",IF(AND(K4428&lt;&gt;"",K4428=Q4428),"⚠ Origen igual a destino",IF(AND(K4428&lt;&gt;"",ISNA(MATCH(K4428,ctaNombre,0))),"⚠ Destino no registrado",IF(AND(P4428="Pago tarjeta",AE4428&lt;&gt;"Tarjeta de crédito"),"⚠ El destino debe ser tarjeta de crédito",IF(AND(P4428="Gasto",E4428="Depósitos y retiros"),"⚠ Usa tipo Transferencia",IF(AND(P4428="Resultado trading",AD4428&lt;&gt;"Cuenta de trading"),"⚠ Usa una cuenta de trading",IF(AND(G4428&lt;=0,P4428&lt;&gt;"Ajuste",P4428&lt;&gt;"Resultado trading"),"⚠ El monto debe ser positivo","✓")))))))))))))))</f>
        <v/>
      </c>
      <c r="P4428" s="52">
        <f>IF(OR(B4428="",G4428=""),"",IF(C4428="","Gasto",C4428))</f>
        <v/>
      </c>
      <c r="Q4428" s="52">
        <f>IF(P4428="","",IF(J4428&lt;&gt;"",J4428,CuentaPred&amp;""))</f>
        <v/>
      </c>
      <c r="R4428" s="52">
        <f>IF(P4428="","",IF(ISNUMBER(I4428),I4428,TasaUSD))</f>
        <v/>
      </c>
      <c r="S4428" s="53">
        <f>IF(P4428="","",IF(H4428="USD",G4428*R4428,G4428))</f>
        <v/>
      </c>
      <c r="T4428" s="53">
        <f>IF(P4428="","",IF(H4428="USD",G4428,IF(R4428&gt;0,G4428/R4428,0)))</f>
        <v/>
      </c>
      <c r="U4428" s="53">
        <f>IF(P4428="","",IF(P4428="Gasto",S4428,IF(P4428="Reembolso",-S4428,0)))</f>
        <v/>
      </c>
      <c r="V4428" s="53">
        <f>IF(P4428="","",IF(P4428="Ingreso",S4428,0))</f>
        <v/>
      </c>
      <c r="W4428" s="53">
        <f>IF(P4428="","",IF(P4428="Resultado trading",S4428,0))</f>
        <v/>
      </c>
      <c r="X4428" s="52">
        <f>IF(OR(P4428="Gasto",P4428="Reembolso"),IF(M4428&lt;&gt;"",M4428,IFERROR(INDEX(catClasif,MATCH(D4428&amp;"|"&amp;E4428,catClave,0))&amp;"","Variable")),"")</f>
        <v/>
      </c>
      <c r="Y4428" s="52">
        <f>IF(P4428="","",IFERROR(INDEX(catGrupo,MATCH(D4428&amp;"|"&amp;E4428,catClave,0))&amp;"",""))</f>
        <v/>
      </c>
      <c r="Z4428" s="52">
        <f>IF(P4428="","",WEEKDAY(B4428,2))</f>
        <v/>
      </c>
      <c r="AA4428" s="52">
        <f>IF(P4428="","",IF(AND(P4428="Gasto",X4428="Variable",D4428&lt;&gt;catTrading,S4428&gt;0,S4428&lt;=Umbral),1,0))</f>
        <v/>
      </c>
      <c r="AB4428" s="52">
        <f>IF(OR(P4428="",Q4428=""),"",IFERROR(IF(INDEX(ctaVinc,MATCH(Q4428,ctaNombre,0))&amp;""&lt;&gt;"",INDEX(ctaVinc,MATCH(Q4428,ctaNombre,0))&amp;"",Q4428),Q4428))</f>
        <v/>
      </c>
      <c r="AC4428" s="52">
        <f>IF(OR(K4428="",AND(P4428&lt;&gt;"Transferencia",P4428&lt;&gt;"Pago tarjeta")),"",IFERROR(IF(INDEX(ctaVinc,MATCH(K4428,ctaNombre,0))&amp;""&lt;&gt;"",INDEX(ctaVinc,MATCH(K4428,ctaNombre,0))&amp;"",K4428),K4428))</f>
        <v/>
      </c>
      <c r="AD4428" s="52">
        <f>IF(AB4428="","",IFERROR(INDEX(ctaTipo,MATCH(AB4428,ctaNombre,0))&amp;"",""))</f>
        <v/>
      </c>
      <c r="AE4428" s="52">
        <f>IF(AC4428="","",IFERROR(INDEX(ctaTipo,MATCH(AC4428,ctaNombre,0))&amp;"",""))</f>
        <v/>
      </c>
      <c r="AF4428" s="53">
        <f>IF(OR(P4428="",AB4428=""),"",IF(OR(P4428="Gasto",P4428="Transferencia",P4428="Pago tarjeta"),-1,1)*IF(IFERROR(INDEX(ctaMoneda,MATCH(AB4428,ctaNombre,0))&amp;"","DOP")="USD",T4428,S4428))</f>
        <v/>
      </c>
      <c r="AG4428" s="53">
        <f>IF(AC4428="","",IF(IFERROR(INDEX(ctaMoneda,MATCH(AC4428,ctaNombre,0))&amp;"","DOP")="USD",T4428,S4428))</f>
        <v/>
      </c>
      <c r="AH4428" s="53">
        <f>IF(P4428="","",IF(AND(AD4428&lt;&gt;"",COUNTIFS(tcTipo,AD4428,tcLiq,"Sí")&gt;0),IF(OR(P4428="Gasto",P4428="Transferencia",P4428="Pago tarjeta"),-1,1)*S4428,0)+IF(AND(AE4428&lt;&gt;"",COUNTIFS(tcTipo,AE4428,tcLiq,"Sí")&gt;0),S4428,0))</f>
        <v/>
      </c>
      <c r="AI4428" s="52">
        <f>IF(OR(L4428="",P4428=""),"",IF(COUNTIFS(L$6:L4428,L4428,P$6:P4428,"?*")=1,MAX(AI$5:AI4427)+1,""))</f>
        <v/>
      </c>
    </row>
    <row r="4429">
      <c r="B4429" s="47" t="n"/>
      <c r="C4429" s="48" t="n"/>
      <c r="D4429" s="48" t="n"/>
      <c r="E4429" s="48" t="n"/>
      <c r="F4429" s="48" t="n"/>
      <c r="G4429" s="49" t="n"/>
      <c r="H4429" s="48" t="n"/>
      <c r="I4429" s="50" t="n"/>
      <c r="J4429" s="48" t="n"/>
      <c r="K4429" s="48" t="n"/>
      <c r="L4429" s="48" t="n"/>
      <c r="M4429" s="48" t="n"/>
      <c r="N4429" s="48" t="n"/>
      <c r="O4429" s="51">
        <f>IF(AND(B4429="",G4429="",C4429="",D4429="",J4429=""),"",IF(B4429="","⚠ Falta fecha",IF(G4429="","⚠ Falta monto",IF(Q4429="","⚠ Falta cuenta",IF(ISNA(MATCH(Q4429,ctaNombre,0)),"⚠ Cuenta no registrada",IF(AND(OR(P4429="Gasto",P4429="Reembolso"),D4429=""),"⚠ Falta categoría",IF(AND(D4429&lt;&gt;"",E4429&lt;&gt;"",ISNA(MATCH(D4429&amp;"|"&amp;E4429,catClave,0))),"⚠ Subcategoría no corresponde",IF(AND(OR(P4429="Transferencia",P4429="Pago tarjeta"),K4429=""),"⚠ Falta cuenta destino",IF(AND(K4429&lt;&gt;"",P4429&lt;&gt;"Transferencia",P4429&lt;&gt;"Pago tarjeta"),"⚠ Destino solo aplica a transferencias",IF(AND(K4429&lt;&gt;"",K4429=Q4429),"⚠ Origen igual a destino",IF(AND(K4429&lt;&gt;"",ISNA(MATCH(K4429,ctaNombre,0))),"⚠ Destino no registrado",IF(AND(P4429="Pago tarjeta",AE4429&lt;&gt;"Tarjeta de crédito"),"⚠ El destino debe ser tarjeta de crédito",IF(AND(P4429="Gasto",E4429="Depósitos y retiros"),"⚠ Usa tipo Transferencia",IF(AND(P4429="Resultado trading",AD4429&lt;&gt;"Cuenta de trading"),"⚠ Usa una cuenta de trading",IF(AND(G4429&lt;=0,P4429&lt;&gt;"Ajuste",P4429&lt;&gt;"Resultado trading"),"⚠ El monto debe ser positivo","✓")))))))))))))))</f>
        <v/>
      </c>
      <c r="P4429" s="52">
        <f>IF(OR(B4429="",G4429=""),"",IF(C4429="","Gasto",C4429))</f>
        <v/>
      </c>
      <c r="Q4429" s="52">
        <f>IF(P4429="","",IF(J4429&lt;&gt;"",J4429,CuentaPred&amp;""))</f>
        <v/>
      </c>
      <c r="R4429" s="52">
        <f>IF(P4429="","",IF(ISNUMBER(I4429),I4429,TasaUSD))</f>
        <v/>
      </c>
      <c r="S4429" s="53">
        <f>IF(P4429="","",IF(H4429="USD",G4429*R4429,G4429))</f>
        <v/>
      </c>
      <c r="T4429" s="53">
        <f>IF(P4429="","",IF(H4429="USD",G4429,IF(R4429&gt;0,G4429/R4429,0)))</f>
        <v/>
      </c>
      <c r="U4429" s="53">
        <f>IF(P4429="","",IF(P4429="Gasto",S4429,IF(P4429="Reembolso",-S4429,0)))</f>
        <v/>
      </c>
      <c r="V4429" s="53">
        <f>IF(P4429="","",IF(P4429="Ingreso",S4429,0))</f>
        <v/>
      </c>
      <c r="W4429" s="53">
        <f>IF(P4429="","",IF(P4429="Resultado trading",S4429,0))</f>
        <v/>
      </c>
      <c r="X4429" s="52">
        <f>IF(OR(P4429="Gasto",P4429="Reembolso"),IF(M4429&lt;&gt;"",M4429,IFERROR(INDEX(catClasif,MATCH(D4429&amp;"|"&amp;E4429,catClave,0))&amp;"","Variable")),"")</f>
        <v/>
      </c>
      <c r="Y4429" s="52">
        <f>IF(P4429="","",IFERROR(INDEX(catGrupo,MATCH(D4429&amp;"|"&amp;E4429,catClave,0))&amp;"",""))</f>
        <v/>
      </c>
      <c r="Z4429" s="52">
        <f>IF(P4429="","",WEEKDAY(B4429,2))</f>
        <v/>
      </c>
      <c r="AA4429" s="52">
        <f>IF(P4429="","",IF(AND(P4429="Gasto",X4429="Variable",D4429&lt;&gt;catTrading,S4429&gt;0,S4429&lt;=Umbral),1,0))</f>
        <v/>
      </c>
      <c r="AB4429" s="52">
        <f>IF(OR(P4429="",Q4429=""),"",IFERROR(IF(INDEX(ctaVinc,MATCH(Q4429,ctaNombre,0))&amp;""&lt;&gt;"",INDEX(ctaVinc,MATCH(Q4429,ctaNombre,0))&amp;"",Q4429),Q4429))</f>
        <v/>
      </c>
      <c r="AC4429" s="52">
        <f>IF(OR(K4429="",AND(P4429&lt;&gt;"Transferencia",P4429&lt;&gt;"Pago tarjeta")),"",IFERROR(IF(INDEX(ctaVinc,MATCH(K4429,ctaNombre,0))&amp;""&lt;&gt;"",INDEX(ctaVinc,MATCH(K4429,ctaNombre,0))&amp;"",K4429),K4429))</f>
        <v/>
      </c>
      <c r="AD4429" s="52">
        <f>IF(AB4429="","",IFERROR(INDEX(ctaTipo,MATCH(AB4429,ctaNombre,0))&amp;"",""))</f>
        <v/>
      </c>
      <c r="AE4429" s="52">
        <f>IF(AC4429="","",IFERROR(INDEX(ctaTipo,MATCH(AC4429,ctaNombre,0))&amp;"",""))</f>
        <v/>
      </c>
      <c r="AF4429" s="53">
        <f>IF(OR(P4429="",AB4429=""),"",IF(OR(P4429="Gasto",P4429="Transferencia",P4429="Pago tarjeta"),-1,1)*IF(IFERROR(INDEX(ctaMoneda,MATCH(AB4429,ctaNombre,0))&amp;"","DOP")="USD",T4429,S4429))</f>
        <v/>
      </c>
      <c r="AG4429" s="53">
        <f>IF(AC4429="","",IF(IFERROR(INDEX(ctaMoneda,MATCH(AC4429,ctaNombre,0))&amp;"","DOP")="USD",T4429,S4429))</f>
        <v/>
      </c>
      <c r="AH4429" s="53">
        <f>IF(P4429="","",IF(AND(AD4429&lt;&gt;"",COUNTIFS(tcTipo,AD4429,tcLiq,"Sí")&gt;0),IF(OR(P4429="Gasto",P4429="Transferencia",P4429="Pago tarjeta"),-1,1)*S4429,0)+IF(AND(AE4429&lt;&gt;"",COUNTIFS(tcTipo,AE4429,tcLiq,"Sí")&gt;0),S4429,0))</f>
        <v/>
      </c>
      <c r="AI4429" s="52">
        <f>IF(OR(L4429="",P4429=""),"",IF(COUNTIFS(L$6:L4429,L4429,P$6:P4429,"?*")=1,MAX(AI$5:AI4428)+1,""))</f>
        <v/>
      </c>
    </row>
    <row r="4430">
      <c r="B4430" s="47" t="n"/>
      <c r="C4430" s="48" t="n"/>
      <c r="D4430" s="48" t="n"/>
      <c r="E4430" s="48" t="n"/>
      <c r="F4430" s="48" t="n"/>
      <c r="G4430" s="49" t="n"/>
      <c r="H4430" s="48" t="n"/>
      <c r="I4430" s="50" t="n"/>
      <c r="J4430" s="48" t="n"/>
      <c r="K4430" s="48" t="n"/>
      <c r="L4430" s="48" t="n"/>
      <c r="M4430" s="48" t="n"/>
      <c r="N4430" s="48" t="n"/>
      <c r="O4430" s="51">
        <f>IF(AND(B4430="",G4430="",C4430="",D4430="",J4430=""),"",IF(B4430="","⚠ Falta fecha",IF(G4430="","⚠ Falta monto",IF(Q4430="","⚠ Falta cuenta",IF(ISNA(MATCH(Q4430,ctaNombre,0)),"⚠ Cuenta no registrada",IF(AND(OR(P4430="Gasto",P4430="Reembolso"),D4430=""),"⚠ Falta categoría",IF(AND(D4430&lt;&gt;"",E4430&lt;&gt;"",ISNA(MATCH(D4430&amp;"|"&amp;E4430,catClave,0))),"⚠ Subcategoría no corresponde",IF(AND(OR(P4430="Transferencia",P4430="Pago tarjeta"),K4430=""),"⚠ Falta cuenta destino",IF(AND(K4430&lt;&gt;"",P4430&lt;&gt;"Transferencia",P4430&lt;&gt;"Pago tarjeta"),"⚠ Destino solo aplica a transferencias",IF(AND(K4430&lt;&gt;"",K4430=Q4430),"⚠ Origen igual a destino",IF(AND(K4430&lt;&gt;"",ISNA(MATCH(K4430,ctaNombre,0))),"⚠ Destino no registrado",IF(AND(P4430="Pago tarjeta",AE4430&lt;&gt;"Tarjeta de crédito"),"⚠ El destino debe ser tarjeta de crédito",IF(AND(P4430="Gasto",E4430="Depósitos y retiros"),"⚠ Usa tipo Transferencia",IF(AND(P4430="Resultado trading",AD4430&lt;&gt;"Cuenta de trading"),"⚠ Usa una cuenta de trading",IF(AND(G4430&lt;=0,P4430&lt;&gt;"Ajuste",P4430&lt;&gt;"Resultado trading"),"⚠ El monto debe ser positivo","✓")))))))))))))))</f>
        <v/>
      </c>
      <c r="P4430" s="52">
        <f>IF(OR(B4430="",G4430=""),"",IF(C4430="","Gasto",C4430))</f>
        <v/>
      </c>
      <c r="Q4430" s="52">
        <f>IF(P4430="","",IF(J4430&lt;&gt;"",J4430,CuentaPred&amp;""))</f>
        <v/>
      </c>
      <c r="R4430" s="52">
        <f>IF(P4430="","",IF(ISNUMBER(I4430),I4430,TasaUSD))</f>
        <v/>
      </c>
      <c r="S4430" s="53">
        <f>IF(P4430="","",IF(H4430="USD",G4430*R4430,G4430))</f>
        <v/>
      </c>
      <c r="T4430" s="53">
        <f>IF(P4430="","",IF(H4430="USD",G4430,IF(R4430&gt;0,G4430/R4430,0)))</f>
        <v/>
      </c>
      <c r="U4430" s="53">
        <f>IF(P4430="","",IF(P4430="Gasto",S4430,IF(P4430="Reembolso",-S4430,0)))</f>
        <v/>
      </c>
      <c r="V4430" s="53">
        <f>IF(P4430="","",IF(P4430="Ingreso",S4430,0))</f>
        <v/>
      </c>
      <c r="W4430" s="53">
        <f>IF(P4430="","",IF(P4430="Resultado trading",S4430,0))</f>
        <v/>
      </c>
      <c r="X4430" s="52">
        <f>IF(OR(P4430="Gasto",P4430="Reembolso"),IF(M4430&lt;&gt;"",M4430,IFERROR(INDEX(catClasif,MATCH(D4430&amp;"|"&amp;E4430,catClave,0))&amp;"","Variable")),"")</f>
        <v/>
      </c>
      <c r="Y4430" s="52">
        <f>IF(P4430="","",IFERROR(INDEX(catGrupo,MATCH(D4430&amp;"|"&amp;E4430,catClave,0))&amp;"",""))</f>
        <v/>
      </c>
      <c r="Z4430" s="52">
        <f>IF(P4430="","",WEEKDAY(B4430,2))</f>
        <v/>
      </c>
      <c r="AA4430" s="52">
        <f>IF(P4430="","",IF(AND(P4430="Gasto",X4430="Variable",D4430&lt;&gt;catTrading,S4430&gt;0,S4430&lt;=Umbral),1,0))</f>
        <v/>
      </c>
      <c r="AB4430" s="52">
        <f>IF(OR(P4430="",Q4430=""),"",IFERROR(IF(INDEX(ctaVinc,MATCH(Q4430,ctaNombre,0))&amp;""&lt;&gt;"",INDEX(ctaVinc,MATCH(Q4430,ctaNombre,0))&amp;"",Q4430),Q4430))</f>
        <v/>
      </c>
      <c r="AC4430" s="52">
        <f>IF(OR(K4430="",AND(P4430&lt;&gt;"Transferencia",P4430&lt;&gt;"Pago tarjeta")),"",IFERROR(IF(INDEX(ctaVinc,MATCH(K4430,ctaNombre,0))&amp;""&lt;&gt;"",INDEX(ctaVinc,MATCH(K4430,ctaNombre,0))&amp;"",K4430),K4430))</f>
        <v/>
      </c>
      <c r="AD4430" s="52">
        <f>IF(AB4430="","",IFERROR(INDEX(ctaTipo,MATCH(AB4430,ctaNombre,0))&amp;"",""))</f>
        <v/>
      </c>
      <c r="AE4430" s="52">
        <f>IF(AC4430="","",IFERROR(INDEX(ctaTipo,MATCH(AC4430,ctaNombre,0))&amp;"",""))</f>
        <v/>
      </c>
      <c r="AF4430" s="53">
        <f>IF(OR(P4430="",AB4430=""),"",IF(OR(P4430="Gasto",P4430="Transferencia",P4430="Pago tarjeta"),-1,1)*IF(IFERROR(INDEX(ctaMoneda,MATCH(AB4430,ctaNombre,0))&amp;"","DOP")="USD",T4430,S4430))</f>
        <v/>
      </c>
      <c r="AG4430" s="53">
        <f>IF(AC4430="","",IF(IFERROR(INDEX(ctaMoneda,MATCH(AC4430,ctaNombre,0))&amp;"","DOP")="USD",T4430,S4430))</f>
        <v/>
      </c>
      <c r="AH4430" s="53">
        <f>IF(P4430="","",IF(AND(AD4430&lt;&gt;"",COUNTIFS(tcTipo,AD4430,tcLiq,"Sí")&gt;0),IF(OR(P4430="Gasto",P4430="Transferencia",P4430="Pago tarjeta"),-1,1)*S4430,0)+IF(AND(AE4430&lt;&gt;"",COUNTIFS(tcTipo,AE4430,tcLiq,"Sí")&gt;0),S4430,0))</f>
        <v/>
      </c>
      <c r="AI4430" s="52">
        <f>IF(OR(L4430="",P4430=""),"",IF(COUNTIFS(L$6:L4430,L4430,P$6:P4430,"?*")=1,MAX(AI$5:AI4429)+1,""))</f>
        <v/>
      </c>
    </row>
    <row r="4431">
      <c r="B4431" s="47" t="n"/>
      <c r="C4431" s="48" t="n"/>
      <c r="D4431" s="48" t="n"/>
      <c r="E4431" s="48" t="n"/>
      <c r="F4431" s="48" t="n"/>
      <c r="G4431" s="49" t="n"/>
      <c r="H4431" s="48" t="n"/>
      <c r="I4431" s="50" t="n"/>
      <c r="J4431" s="48" t="n"/>
      <c r="K4431" s="48" t="n"/>
      <c r="L4431" s="48" t="n"/>
      <c r="M4431" s="48" t="n"/>
      <c r="N4431" s="48" t="n"/>
      <c r="O4431" s="51">
        <f>IF(AND(B4431="",G4431="",C4431="",D4431="",J4431=""),"",IF(B4431="","⚠ Falta fecha",IF(G4431="","⚠ Falta monto",IF(Q4431="","⚠ Falta cuenta",IF(ISNA(MATCH(Q4431,ctaNombre,0)),"⚠ Cuenta no registrada",IF(AND(OR(P4431="Gasto",P4431="Reembolso"),D4431=""),"⚠ Falta categoría",IF(AND(D4431&lt;&gt;"",E4431&lt;&gt;"",ISNA(MATCH(D4431&amp;"|"&amp;E4431,catClave,0))),"⚠ Subcategoría no corresponde",IF(AND(OR(P4431="Transferencia",P4431="Pago tarjeta"),K4431=""),"⚠ Falta cuenta destino",IF(AND(K4431&lt;&gt;"",P4431&lt;&gt;"Transferencia",P4431&lt;&gt;"Pago tarjeta"),"⚠ Destino solo aplica a transferencias",IF(AND(K4431&lt;&gt;"",K4431=Q4431),"⚠ Origen igual a destino",IF(AND(K4431&lt;&gt;"",ISNA(MATCH(K4431,ctaNombre,0))),"⚠ Destino no registrado",IF(AND(P4431="Pago tarjeta",AE4431&lt;&gt;"Tarjeta de crédito"),"⚠ El destino debe ser tarjeta de crédito",IF(AND(P4431="Gasto",E4431="Depósitos y retiros"),"⚠ Usa tipo Transferencia",IF(AND(P4431="Resultado trading",AD4431&lt;&gt;"Cuenta de trading"),"⚠ Usa una cuenta de trading",IF(AND(G4431&lt;=0,P4431&lt;&gt;"Ajuste",P4431&lt;&gt;"Resultado trading"),"⚠ El monto debe ser positivo","✓")))))))))))))))</f>
        <v/>
      </c>
      <c r="P4431" s="52">
        <f>IF(OR(B4431="",G4431=""),"",IF(C4431="","Gasto",C4431))</f>
        <v/>
      </c>
      <c r="Q4431" s="52">
        <f>IF(P4431="","",IF(J4431&lt;&gt;"",J4431,CuentaPred&amp;""))</f>
        <v/>
      </c>
      <c r="R4431" s="52">
        <f>IF(P4431="","",IF(ISNUMBER(I4431),I4431,TasaUSD))</f>
        <v/>
      </c>
      <c r="S4431" s="53">
        <f>IF(P4431="","",IF(H4431="USD",G4431*R4431,G4431))</f>
        <v/>
      </c>
      <c r="T4431" s="53">
        <f>IF(P4431="","",IF(H4431="USD",G4431,IF(R4431&gt;0,G4431/R4431,0)))</f>
        <v/>
      </c>
      <c r="U4431" s="53">
        <f>IF(P4431="","",IF(P4431="Gasto",S4431,IF(P4431="Reembolso",-S4431,0)))</f>
        <v/>
      </c>
      <c r="V4431" s="53">
        <f>IF(P4431="","",IF(P4431="Ingreso",S4431,0))</f>
        <v/>
      </c>
      <c r="W4431" s="53">
        <f>IF(P4431="","",IF(P4431="Resultado trading",S4431,0))</f>
        <v/>
      </c>
      <c r="X4431" s="52">
        <f>IF(OR(P4431="Gasto",P4431="Reembolso"),IF(M4431&lt;&gt;"",M4431,IFERROR(INDEX(catClasif,MATCH(D4431&amp;"|"&amp;E4431,catClave,0))&amp;"","Variable")),"")</f>
        <v/>
      </c>
      <c r="Y4431" s="52">
        <f>IF(P4431="","",IFERROR(INDEX(catGrupo,MATCH(D4431&amp;"|"&amp;E4431,catClave,0))&amp;"",""))</f>
        <v/>
      </c>
      <c r="Z4431" s="52">
        <f>IF(P4431="","",WEEKDAY(B4431,2))</f>
        <v/>
      </c>
      <c r="AA4431" s="52">
        <f>IF(P4431="","",IF(AND(P4431="Gasto",X4431="Variable",D4431&lt;&gt;catTrading,S4431&gt;0,S4431&lt;=Umbral),1,0))</f>
        <v/>
      </c>
      <c r="AB4431" s="52">
        <f>IF(OR(P4431="",Q4431=""),"",IFERROR(IF(INDEX(ctaVinc,MATCH(Q4431,ctaNombre,0))&amp;""&lt;&gt;"",INDEX(ctaVinc,MATCH(Q4431,ctaNombre,0))&amp;"",Q4431),Q4431))</f>
        <v/>
      </c>
      <c r="AC4431" s="52">
        <f>IF(OR(K4431="",AND(P4431&lt;&gt;"Transferencia",P4431&lt;&gt;"Pago tarjeta")),"",IFERROR(IF(INDEX(ctaVinc,MATCH(K4431,ctaNombre,0))&amp;""&lt;&gt;"",INDEX(ctaVinc,MATCH(K4431,ctaNombre,0))&amp;"",K4431),K4431))</f>
        <v/>
      </c>
      <c r="AD4431" s="52">
        <f>IF(AB4431="","",IFERROR(INDEX(ctaTipo,MATCH(AB4431,ctaNombre,0))&amp;"",""))</f>
        <v/>
      </c>
      <c r="AE4431" s="52">
        <f>IF(AC4431="","",IFERROR(INDEX(ctaTipo,MATCH(AC4431,ctaNombre,0))&amp;"",""))</f>
        <v/>
      </c>
      <c r="AF4431" s="53">
        <f>IF(OR(P4431="",AB4431=""),"",IF(OR(P4431="Gasto",P4431="Transferencia",P4431="Pago tarjeta"),-1,1)*IF(IFERROR(INDEX(ctaMoneda,MATCH(AB4431,ctaNombre,0))&amp;"","DOP")="USD",T4431,S4431))</f>
        <v/>
      </c>
      <c r="AG4431" s="53">
        <f>IF(AC4431="","",IF(IFERROR(INDEX(ctaMoneda,MATCH(AC4431,ctaNombre,0))&amp;"","DOP")="USD",T4431,S4431))</f>
        <v/>
      </c>
      <c r="AH4431" s="53">
        <f>IF(P4431="","",IF(AND(AD4431&lt;&gt;"",COUNTIFS(tcTipo,AD4431,tcLiq,"Sí")&gt;0),IF(OR(P4431="Gasto",P4431="Transferencia",P4431="Pago tarjeta"),-1,1)*S4431,0)+IF(AND(AE4431&lt;&gt;"",COUNTIFS(tcTipo,AE4431,tcLiq,"Sí")&gt;0),S4431,0))</f>
        <v/>
      </c>
      <c r="AI4431" s="52">
        <f>IF(OR(L4431="",P4431=""),"",IF(COUNTIFS(L$6:L4431,L4431,P$6:P4431,"?*")=1,MAX(AI$5:AI4430)+1,""))</f>
        <v/>
      </c>
    </row>
    <row r="4432">
      <c r="B4432" s="47" t="n"/>
      <c r="C4432" s="48" t="n"/>
      <c r="D4432" s="48" t="n"/>
      <c r="E4432" s="48" t="n"/>
      <c r="F4432" s="48" t="n"/>
      <c r="G4432" s="49" t="n"/>
      <c r="H4432" s="48" t="n"/>
      <c r="I4432" s="50" t="n"/>
      <c r="J4432" s="48" t="n"/>
      <c r="K4432" s="48" t="n"/>
      <c r="L4432" s="48" t="n"/>
      <c r="M4432" s="48" t="n"/>
      <c r="N4432" s="48" t="n"/>
      <c r="O4432" s="51">
        <f>IF(AND(B4432="",G4432="",C4432="",D4432="",J4432=""),"",IF(B4432="","⚠ Falta fecha",IF(G4432="","⚠ Falta monto",IF(Q4432="","⚠ Falta cuenta",IF(ISNA(MATCH(Q4432,ctaNombre,0)),"⚠ Cuenta no registrada",IF(AND(OR(P4432="Gasto",P4432="Reembolso"),D4432=""),"⚠ Falta categoría",IF(AND(D4432&lt;&gt;"",E4432&lt;&gt;"",ISNA(MATCH(D4432&amp;"|"&amp;E4432,catClave,0))),"⚠ Subcategoría no corresponde",IF(AND(OR(P4432="Transferencia",P4432="Pago tarjeta"),K4432=""),"⚠ Falta cuenta destino",IF(AND(K4432&lt;&gt;"",P4432&lt;&gt;"Transferencia",P4432&lt;&gt;"Pago tarjeta"),"⚠ Destino solo aplica a transferencias",IF(AND(K4432&lt;&gt;"",K4432=Q4432),"⚠ Origen igual a destino",IF(AND(K4432&lt;&gt;"",ISNA(MATCH(K4432,ctaNombre,0))),"⚠ Destino no registrado",IF(AND(P4432="Pago tarjeta",AE4432&lt;&gt;"Tarjeta de crédito"),"⚠ El destino debe ser tarjeta de crédito",IF(AND(P4432="Gasto",E4432="Depósitos y retiros"),"⚠ Usa tipo Transferencia",IF(AND(P4432="Resultado trading",AD4432&lt;&gt;"Cuenta de trading"),"⚠ Usa una cuenta de trading",IF(AND(G4432&lt;=0,P4432&lt;&gt;"Ajuste",P4432&lt;&gt;"Resultado trading"),"⚠ El monto debe ser positivo","✓")))))))))))))))</f>
        <v/>
      </c>
      <c r="P4432" s="52">
        <f>IF(OR(B4432="",G4432=""),"",IF(C4432="","Gasto",C4432))</f>
        <v/>
      </c>
      <c r="Q4432" s="52">
        <f>IF(P4432="","",IF(J4432&lt;&gt;"",J4432,CuentaPred&amp;""))</f>
        <v/>
      </c>
      <c r="R4432" s="52">
        <f>IF(P4432="","",IF(ISNUMBER(I4432),I4432,TasaUSD))</f>
        <v/>
      </c>
      <c r="S4432" s="53">
        <f>IF(P4432="","",IF(H4432="USD",G4432*R4432,G4432))</f>
        <v/>
      </c>
      <c r="T4432" s="53">
        <f>IF(P4432="","",IF(H4432="USD",G4432,IF(R4432&gt;0,G4432/R4432,0)))</f>
        <v/>
      </c>
      <c r="U4432" s="53">
        <f>IF(P4432="","",IF(P4432="Gasto",S4432,IF(P4432="Reembolso",-S4432,0)))</f>
        <v/>
      </c>
      <c r="V4432" s="53">
        <f>IF(P4432="","",IF(P4432="Ingreso",S4432,0))</f>
        <v/>
      </c>
      <c r="W4432" s="53">
        <f>IF(P4432="","",IF(P4432="Resultado trading",S4432,0))</f>
        <v/>
      </c>
      <c r="X4432" s="52">
        <f>IF(OR(P4432="Gasto",P4432="Reembolso"),IF(M4432&lt;&gt;"",M4432,IFERROR(INDEX(catClasif,MATCH(D4432&amp;"|"&amp;E4432,catClave,0))&amp;"","Variable")),"")</f>
        <v/>
      </c>
      <c r="Y4432" s="52">
        <f>IF(P4432="","",IFERROR(INDEX(catGrupo,MATCH(D4432&amp;"|"&amp;E4432,catClave,0))&amp;"",""))</f>
        <v/>
      </c>
      <c r="Z4432" s="52">
        <f>IF(P4432="","",WEEKDAY(B4432,2))</f>
        <v/>
      </c>
      <c r="AA4432" s="52">
        <f>IF(P4432="","",IF(AND(P4432="Gasto",X4432="Variable",D4432&lt;&gt;catTrading,S4432&gt;0,S4432&lt;=Umbral),1,0))</f>
        <v/>
      </c>
      <c r="AB4432" s="52">
        <f>IF(OR(P4432="",Q4432=""),"",IFERROR(IF(INDEX(ctaVinc,MATCH(Q4432,ctaNombre,0))&amp;""&lt;&gt;"",INDEX(ctaVinc,MATCH(Q4432,ctaNombre,0))&amp;"",Q4432),Q4432))</f>
        <v/>
      </c>
      <c r="AC4432" s="52">
        <f>IF(OR(K4432="",AND(P4432&lt;&gt;"Transferencia",P4432&lt;&gt;"Pago tarjeta")),"",IFERROR(IF(INDEX(ctaVinc,MATCH(K4432,ctaNombre,0))&amp;""&lt;&gt;"",INDEX(ctaVinc,MATCH(K4432,ctaNombre,0))&amp;"",K4432),K4432))</f>
        <v/>
      </c>
      <c r="AD4432" s="52">
        <f>IF(AB4432="","",IFERROR(INDEX(ctaTipo,MATCH(AB4432,ctaNombre,0))&amp;"",""))</f>
        <v/>
      </c>
      <c r="AE4432" s="52">
        <f>IF(AC4432="","",IFERROR(INDEX(ctaTipo,MATCH(AC4432,ctaNombre,0))&amp;"",""))</f>
        <v/>
      </c>
      <c r="AF4432" s="53">
        <f>IF(OR(P4432="",AB4432=""),"",IF(OR(P4432="Gasto",P4432="Transferencia",P4432="Pago tarjeta"),-1,1)*IF(IFERROR(INDEX(ctaMoneda,MATCH(AB4432,ctaNombre,0))&amp;"","DOP")="USD",T4432,S4432))</f>
        <v/>
      </c>
      <c r="AG4432" s="53">
        <f>IF(AC4432="","",IF(IFERROR(INDEX(ctaMoneda,MATCH(AC4432,ctaNombre,0))&amp;"","DOP")="USD",T4432,S4432))</f>
        <v/>
      </c>
      <c r="AH4432" s="53">
        <f>IF(P4432="","",IF(AND(AD4432&lt;&gt;"",COUNTIFS(tcTipo,AD4432,tcLiq,"Sí")&gt;0),IF(OR(P4432="Gasto",P4432="Transferencia",P4432="Pago tarjeta"),-1,1)*S4432,0)+IF(AND(AE4432&lt;&gt;"",COUNTIFS(tcTipo,AE4432,tcLiq,"Sí")&gt;0),S4432,0))</f>
        <v/>
      </c>
      <c r="AI4432" s="52">
        <f>IF(OR(L4432="",P4432=""),"",IF(COUNTIFS(L$6:L4432,L4432,P$6:P4432,"?*")=1,MAX(AI$5:AI4431)+1,""))</f>
        <v/>
      </c>
    </row>
    <row r="4433">
      <c r="B4433" s="47" t="n"/>
      <c r="C4433" s="48" t="n"/>
      <c r="D4433" s="48" t="n"/>
      <c r="E4433" s="48" t="n"/>
      <c r="F4433" s="48" t="n"/>
      <c r="G4433" s="49" t="n"/>
      <c r="H4433" s="48" t="n"/>
      <c r="I4433" s="50" t="n"/>
      <c r="J4433" s="48" t="n"/>
      <c r="K4433" s="48" t="n"/>
      <c r="L4433" s="48" t="n"/>
      <c r="M4433" s="48" t="n"/>
      <c r="N4433" s="48" t="n"/>
      <c r="O4433" s="51">
        <f>IF(AND(B4433="",G4433="",C4433="",D4433="",J4433=""),"",IF(B4433="","⚠ Falta fecha",IF(G4433="","⚠ Falta monto",IF(Q4433="","⚠ Falta cuenta",IF(ISNA(MATCH(Q4433,ctaNombre,0)),"⚠ Cuenta no registrada",IF(AND(OR(P4433="Gasto",P4433="Reembolso"),D4433=""),"⚠ Falta categoría",IF(AND(D4433&lt;&gt;"",E4433&lt;&gt;"",ISNA(MATCH(D4433&amp;"|"&amp;E4433,catClave,0))),"⚠ Subcategoría no corresponde",IF(AND(OR(P4433="Transferencia",P4433="Pago tarjeta"),K4433=""),"⚠ Falta cuenta destino",IF(AND(K4433&lt;&gt;"",P4433&lt;&gt;"Transferencia",P4433&lt;&gt;"Pago tarjeta"),"⚠ Destino solo aplica a transferencias",IF(AND(K4433&lt;&gt;"",K4433=Q4433),"⚠ Origen igual a destino",IF(AND(K4433&lt;&gt;"",ISNA(MATCH(K4433,ctaNombre,0))),"⚠ Destino no registrado",IF(AND(P4433="Pago tarjeta",AE4433&lt;&gt;"Tarjeta de crédito"),"⚠ El destino debe ser tarjeta de crédito",IF(AND(P4433="Gasto",E4433="Depósitos y retiros"),"⚠ Usa tipo Transferencia",IF(AND(P4433="Resultado trading",AD4433&lt;&gt;"Cuenta de trading"),"⚠ Usa una cuenta de trading",IF(AND(G4433&lt;=0,P4433&lt;&gt;"Ajuste",P4433&lt;&gt;"Resultado trading"),"⚠ El monto debe ser positivo","✓")))))))))))))))</f>
        <v/>
      </c>
      <c r="P4433" s="52">
        <f>IF(OR(B4433="",G4433=""),"",IF(C4433="","Gasto",C4433))</f>
        <v/>
      </c>
      <c r="Q4433" s="52">
        <f>IF(P4433="","",IF(J4433&lt;&gt;"",J4433,CuentaPred&amp;""))</f>
        <v/>
      </c>
      <c r="R4433" s="52">
        <f>IF(P4433="","",IF(ISNUMBER(I4433),I4433,TasaUSD))</f>
        <v/>
      </c>
      <c r="S4433" s="53">
        <f>IF(P4433="","",IF(H4433="USD",G4433*R4433,G4433))</f>
        <v/>
      </c>
      <c r="T4433" s="53">
        <f>IF(P4433="","",IF(H4433="USD",G4433,IF(R4433&gt;0,G4433/R4433,0)))</f>
        <v/>
      </c>
      <c r="U4433" s="53">
        <f>IF(P4433="","",IF(P4433="Gasto",S4433,IF(P4433="Reembolso",-S4433,0)))</f>
        <v/>
      </c>
      <c r="V4433" s="53">
        <f>IF(P4433="","",IF(P4433="Ingreso",S4433,0))</f>
        <v/>
      </c>
      <c r="W4433" s="53">
        <f>IF(P4433="","",IF(P4433="Resultado trading",S4433,0))</f>
        <v/>
      </c>
      <c r="X4433" s="52">
        <f>IF(OR(P4433="Gasto",P4433="Reembolso"),IF(M4433&lt;&gt;"",M4433,IFERROR(INDEX(catClasif,MATCH(D4433&amp;"|"&amp;E4433,catClave,0))&amp;"","Variable")),"")</f>
        <v/>
      </c>
      <c r="Y4433" s="52">
        <f>IF(P4433="","",IFERROR(INDEX(catGrupo,MATCH(D4433&amp;"|"&amp;E4433,catClave,0))&amp;"",""))</f>
        <v/>
      </c>
      <c r="Z4433" s="52">
        <f>IF(P4433="","",WEEKDAY(B4433,2))</f>
        <v/>
      </c>
      <c r="AA4433" s="52">
        <f>IF(P4433="","",IF(AND(P4433="Gasto",X4433="Variable",D4433&lt;&gt;catTrading,S4433&gt;0,S4433&lt;=Umbral),1,0))</f>
        <v/>
      </c>
      <c r="AB4433" s="52">
        <f>IF(OR(P4433="",Q4433=""),"",IFERROR(IF(INDEX(ctaVinc,MATCH(Q4433,ctaNombre,0))&amp;""&lt;&gt;"",INDEX(ctaVinc,MATCH(Q4433,ctaNombre,0))&amp;"",Q4433),Q4433))</f>
        <v/>
      </c>
      <c r="AC4433" s="52">
        <f>IF(OR(K4433="",AND(P4433&lt;&gt;"Transferencia",P4433&lt;&gt;"Pago tarjeta")),"",IFERROR(IF(INDEX(ctaVinc,MATCH(K4433,ctaNombre,0))&amp;""&lt;&gt;"",INDEX(ctaVinc,MATCH(K4433,ctaNombre,0))&amp;"",K4433),K4433))</f>
        <v/>
      </c>
      <c r="AD4433" s="52">
        <f>IF(AB4433="","",IFERROR(INDEX(ctaTipo,MATCH(AB4433,ctaNombre,0))&amp;"",""))</f>
        <v/>
      </c>
      <c r="AE4433" s="52">
        <f>IF(AC4433="","",IFERROR(INDEX(ctaTipo,MATCH(AC4433,ctaNombre,0))&amp;"",""))</f>
        <v/>
      </c>
      <c r="AF4433" s="53">
        <f>IF(OR(P4433="",AB4433=""),"",IF(OR(P4433="Gasto",P4433="Transferencia",P4433="Pago tarjeta"),-1,1)*IF(IFERROR(INDEX(ctaMoneda,MATCH(AB4433,ctaNombre,0))&amp;"","DOP")="USD",T4433,S4433))</f>
        <v/>
      </c>
      <c r="AG4433" s="53">
        <f>IF(AC4433="","",IF(IFERROR(INDEX(ctaMoneda,MATCH(AC4433,ctaNombre,0))&amp;"","DOP")="USD",T4433,S4433))</f>
        <v/>
      </c>
      <c r="AH4433" s="53">
        <f>IF(P4433="","",IF(AND(AD4433&lt;&gt;"",COUNTIFS(tcTipo,AD4433,tcLiq,"Sí")&gt;0),IF(OR(P4433="Gasto",P4433="Transferencia",P4433="Pago tarjeta"),-1,1)*S4433,0)+IF(AND(AE4433&lt;&gt;"",COUNTIFS(tcTipo,AE4433,tcLiq,"Sí")&gt;0),S4433,0))</f>
        <v/>
      </c>
      <c r="AI4433" s="52">
        <f>IF(OR(L4433="",P4433=""),"",IF(COUNTIFS(L$6:L4433,L4433,P$6:P4433,"?*")=1,MAX(AI$5:AI4432)+1,""))</f>
        <v/>
      </c>
    </row>
    <row r="4434">
      <c r="B4434" s="47" t="n"/>
      <c r="C4434" s="48" t="n"/>
      <c r="D4434" s="48" t="n"/>
      <c r="E4434" s="48" t="n"/>
      <c r="F4434" s="48" t="n"/>
      <c r="G4434" s="49" t="n"/>
      <c r="H4434" s="48" t="n"/>
      <c r="I4434" s="50" t="n"/>
      <c r="J4434" s="48" t="n"/>
      <c r="K4434" s="48" t="n"/>
      <c r="L4434" s="48" t="n"/>
      <c r="M4434" s="48" t="n"/>
      <c r="N4434" s="48" t="n"/>
      <c r="O4434" s="51">
        <f>IF(AND(B4434="",G4434="",C4434="",D4434="",J4434=""),"",IF(B4434="","⚠ Falta fecha",IF(G4434="","⚠ Falta monto",IF(Q4434="","⚠ Falta cuenta",IF(ISNA(MATCH(Q4434,ctaNombre,0)),"⚠ Cuenta no registrada",IF(AND(OR(P4434="Gasto",P4434="Reembolso"),D4434=""),"⚠ Falta categoría",IF(AND(D4434&lt;&gt;"",E4434&lt;&gt;"",ISNA(MATCH(D4434&amp;"|"&amp;E4434,catClave,0))),"⚠ Subcategoría no corresponde",IF(AND(OR(P4434="Transferencia",P4434="Pago tarjeta"),K4434=""),"⚠ Falta cuenta destino",IF(AND(K4434&lt;&gt;"",P4434&lt;&gt;"Transferencia",P4434&lt;&gt;"Pago tarjeta"),"⚠ Destino solo aplica a transferencias",IF(AND(K4434&lt;&gt;"",K4434=Q4434),"⚠ Origen igual a destino",IF(AND(K4434&lt;&gt;"",ISNA(MATCH(K4434,ctaNombre,0))),"⚠ Destino no registrado",IF(AND(P4434="Pago tarjeta",AE4434&lt;&gt;"Tarjeta de crédito"),"⚠ El destino debe ser tarjeta de crédito",IF(AND(P4434="Gasto",E4434="Depósitos y retiros"),"⚠ Usa tipo Transferencia",IF(AND(P4434="Resultado trading",AD4434&lt;&gt;"Cuenta de trading"),"⚠ Usa una cuenta de trading",IF(AND(G4434&lt;=0,P4434&lt;&gt;"Ajuste",P4434&lt;&gt;"Resultado trading"),"⚠ El monto debe ser positivo","✓")))))))))))))))</f>
        <v/>
      </c>
      <c r="P4434" s="52">
        <f>IF(OR(B4434="",G4434=""),"",IF(C4434="","Gasto",C4434))</f>
        <v/>
      </c>
      <c r="Q4434" s="52">
        <f>IF(P4434="","",IF(J4434&lt;&gt;"",J4434,CuentaPred&amp;""))</f>
        <v/>
      </c>
      <c r="R4434" s="52">
        <f>IF(P4434="","",IF(ISNUMBER(I4434),I4434,TasaUSD))</f>
        <v/>
      </c>
      <c r="S4434" s="53">
        <f>IF(P4434="","",IF(H4434="USD",G4434*R4434,G4434))</f>
        <v/>
      </c>
      <c r="T4434" s="53">
        <f>IF(P4434="","",IF(H4434="USD",G4434,IF(R4434&gt;0,G4434/R4434,0)))</f>
        <v/>
      </c>
      <c r="U4434" s="53">
        <f>IF(P4434="","",IF(P4434="Gasto",S4434,IF(P4434="Reembolso",-S4434,0)))</f>
        <v/>
      </c>
      <c r="V4434" s="53">
        <f>IF(P4434="","",IF(P4434="Ingreso",S4434,0))</f>
        <v/>
      </c>
      <c r="W4434" s="53">
        <f>IF(P4434="","",IF(P4434="Resultado trading",S4434,0))</f>
        <v/>
      </c>
      <c r="X4434" s="52">
        <f>IF(OR(P4434="Gasto",P4434="Reembolso"),IF(M4434&lt;&gt;"",M4434,IFERROR(INDEX(catClasif,MATCH(D4434&amp;"|"&amp;E4434,catClave,0))&amp;"","Variable")),"")</f>
        <v/>
      </c>
      <c r="Y4434" s="52">
        <f>IF(P4434="","",IFERROR(INDEX(catGrupo,MATCH(D4434&amp;"|"&amp;E4434,catClave,0))&amp;"",""))</f>
        <v/>
      </c>
      <c r="Z4434" s="52">
        <f>IF(P4434="","",WEEKDAY(B4434,2))</f>
        <v/>
      </c>
      <c r="AA4434" s="52">
        <f>IF(P4434="","",IF(AND(P4434="Gasto",X4434="Variable",D4434&lt;&gt;catTrading,S4434&gt;0,S4434&lt;=Umbral),1,0))</f>
        <v/>
      </c>
      <c r="AB4434" s="52">
        <f>IF(OR(P4434="",Q4434=""),"",IFERROR(IF(INDEX(ctaVinc,MATCH(Q4434,ctaNombre,0))&amp;""&lt;&gt;"",INDEX(ctaVinc,MATCH(Q4434,ctaNombre,0))&amp;"",Q4434),Q4434))</f>
        <v/>
      </c>
      <c r="AC4434" s="52">
        <f>IF(OR(K4434="",AND(P4434&lt;&gt;"Transferencia",P4434&lt;&gt;"Pago tarjeta")),"",IFERROR(IF(INDEX(ctaVinc,MATCH(K4434,ctaNombre,0))&amp;""&lt;&gt;"",INDEX(ctaVinc,MATCH(K4434,ctaNombre,0))&amp;"",K4434),K4434))</f>
        <v/>
      </c>
      <c r="AD4434" s="52">
        <f>IF(AB4434="","",IFERROR(INDEX(ctaTipo,MATCH(AB4434,ctaNombre,0))&amp;"",""))</f>
        <v/>
      </c>
      <c r="AE4434" s="52">
        <f>IF(AC4434="","",IFERROR(INDEX(ctaTipo,MATCH(AC4434,ctaNombre,0))&amp;"",""))</f>
        <v/>
      </c>
      <c r="AF4434" s="53">
        <f>IF(OR(P4434="",AB4434=""),"",IF(OR(P4434="Gasto",P4434="Transferencia",P4434="Pago tarjeta"),-1,1)*IF(IFERROR(INDEX(ctaMoneda,MATCH(AB4434,ctaNombre,0))&amp;"","DOP")="USD",T4434,S4434))</f>
        <v/>
      </c>
      <c r="AG4434" s="53">
        <f>IF(AC4434="","",IF(IFERROR(INDEX(ctaMoneda,MATCH(AC4434,ctaNombre,0))&amp;"","DOP")="USD",T4434,S4434))</f>
        <v/>
      </c>
      <c r="AH4434" s="53">
        <f>IF(P4434="","",IF(AND(AD4434&lt;&gt;"",COUNTIFS(tcTipo,AD4434,tcLiq,"Sí")&gt;0),IF(OR(P4434="Gasto",P4434="Transferencia",P4434="Pago tarjeta"),-1,1)*S4434,0)+IF(AND(AE4434&lt;&gt;"",COUNTIFS(tcTipo,AE4434,tcLiq,"Sí")&gt;0),S4434,0))</f>
        <v/>
      </c>
      <c r="AI4434" s="52">
        <f>IF(OR(L4434="",P4434=""),"",IF(COUNTIFS(L$6:L4434,L4434,P$6:P4434,"?*")=1,MAX(AI$5:AI4433)+1,""))</f>
        <v/>
      </c>
    </row>
    <row r="4435">
      <c r="B4435" s="47" t="n"/>
      <c r="C4435" s="48" t="n"/>
      <c r="D4435" s="48" t="n"/>
      <c r="E4435" s="48" t="n"/>
      <c r="F4435" s="48" t="n"/>
      <c r="G4435" s="49" t="n"/>
      <c r="H4435" s="48" t="n"/>
      <c r="I4435" s="50" t="n"/>
      <c r="J4435" s="48" t="n"/>
      <c r="K4435" s="48" t="n"/>
      <c r="L4435" s="48" t="n"/>
      <c r="M4435" s="48" t="n"/>
      <c r="N4435" s="48" t="n"/>
      <c r="O4435" s="51">
        <f>IF(AND(B4435="",G4435="",C4435="",D4435="",J4435=""),"",IF(B4435="","⚠ Falta fecha",IF(G4435="","⚠ Falta monto",IF(Q4435="","⚠ Falta cuenta",IF(ISNA(MATCH(Q4435,ctaNombre,0)),"⚠ Cuenta no registrada",IF(AND(OR(P4435="Gasto",P4435="Reembolso"),D4435=""),"⚠ Falta categoría",IF(AND(D4435&lt;&gt;"",E4435&lt;&gt;"",ISNA(MATCH(D4435&amp;"|"&amp;E4435,catClave,0))),"⚠ Subcategoría no corresponde",IF(AND(OR(P4435="Transferencia",P4435="Pago tarjeta"),K4435=""),"⚠ Falta cuenta destino",IF(AND(K4435&lt;&gt;"",P4435&lt;&gt;"Transferencia",P4435&lt;&gt;"Pago tarjeta"),"⚠ Destino solo aplica a transferencias",IF(AND(K4435&lt;&gt;"",K4435=Q4435),"⚠ Origen igual a destino",IF(AND(K4435&lt;&gt;"",ISNA(MATCH(K4435,ctaNombre,0))),"⚠ Destino no registrado",IF(AND(P4435="Pago tarjeta",AE4435&lt;&gt;"Tarjeta de crédito"),"⚠ El destino debe ser tarjeta de crédito",IF(AND(P4435="Gasto",E4435="Depósitos y retiros"),"⚠ Usa tipo Transferencia",IF(AND(P4435="Resultado trading",AD4435&lt;&gt;"Cuenta de trading"),"⚠ Usa una cuenta de trading",IF(AND(G4435&lt;=0,P4435&lt;&gt;"Ajuste",P4435&lt;&gt;"Resultado trading"),"⚠ El monto debe ser positivo","✓")))))))))))))))</f>
        <v/>
      </c>
      <c r="P4435" s="52">
        <f>IF(OR(B4435="",G4435=""),"",IF(C4435="","Gasto",C4435))</f>
        <v/>
      </c>
      <c r="Q4435" s="52">
        <f>IF(P4435="","",IF(J4435&lt;&gt;"",J4435,CuentaPred&amp;""))</f>
        <v/>
      </c>
      <c r="R4435" s="52">
        <f>IF(P4435="","",IF(ISNUMBER(I4435),I4435,TasaUSD))</f>
        <v/>
      </c>
      <c r="S4435" s="53">
        <f>IF(P4435="","",IF(H4435="USD",G4435*R4435,G4435))</f>
        <v/>
      </c>
      <c r="T4435" s="53">
        <f>IF(P4435="","",IF(H4435="USD",G4435,IF(R4435&gt;0,G4435/R4435,0)))</f>
        <v/>
      </c>
      <c r="U4435" s="53">
        <f>IF(P4435="","",IF(P4435="Gasto",S4435,IF(P4435="Reembolso",-S4435,0)))</f>
        <v/>
      </c>
      <c r="V4435" s="53">
        <f>IF(P4435="","",IF(P4435="Ingreso",S4435,0))</f>
        <v/>
      </c>
      <c r="W4435" s="53">
        <f>IF(P4435="","",IF(P4435="Resultado trading",S4435,0))</f>
        <v/>
      </c>
      <c r="X4435" s="52">
        <f>IF(OR(P4435="Gasto",P4435="Reembolso"),IF(M4435&lt;&gt;"",M4435,IFERROR(INDEX(catClasif,MATCH(D4435&amp;"|"&amp;E4435,catClave,0))&amp;"","Variable")),"")</f>
        <v/>
      </c>
      <c r="Y4435" s="52">
        <f>IF(P4435="","",IFERROR(INDEX(catGrupo,MATCH(D4435&amp;"|"&amp;E4435,catClave,0))&amp;"",""))</f>
        <v/>
      </c>
      <c r="Z4435" s="52">
        <f>IF(P4435="","",WEEKDAY(B4435,2))</f>
        <v/>
      </c>
      <c r="AA4435" s="52">
        <f>IF(P4435="","",IF(AND(P4435="Gasto",X4435="Variable",D4435&lt;&gt;catTrading,S4435&gt;0,S4435&lt;=Umbral),1,0))</f>
        <v/>
      </c>
      <c r="AB4435" s="52">
        <f>IF(OR(P4435="",Q4435=""),"",IFERROR(IF(INDEX(ctaVinc,MATCH(Q4435,ctaNombre,0))&amp;""&lt;&gt;"",INDEX(ctaVinc,MATCH(Q4435,ctaNombre,0))&amp;"",Q4435),Q4435))</f>
        <v/>
      </c>
      <c r="AC4435" s="52">
        <f>IF(OR(K4435="",AND(P4435&lt;&gt;"Transferencia",P4435&lt;&gt;"Pago tarjeta")),"",IFERROR(IF(INDEX(ctaVinc,MATCH(K4435,ctaNombre,0))&amp;""&lt;&gt;"",INDEX(ctaVinc,MATCH(K4435,ctaNombre,0))&amp;"",K4435),K4435))</f>
        <v/>
      </c>
      <c r="AD4435" s="52">
        <f>IF(AB4435="","",IFERROR(INDEX(ctaTipo,MATCH(AB4435,ctaNombre,0))&amp;"",""))</f>
        <v/>
      </c>
      <c r="AE4435" s="52">
        <f>IF(AC4435="","",IFERROR(INDEX(ctaTipo,MATCH(AC4435,ctaNombre,0))&amp;"",""))</f>
        <v/>
      </c>
      <c r="AF4435" s="53">
        <f>IF(OR(P4435="",AB4435=""),"",IF(OR(P4435="Gasto",P4435="Transferencia",P4435="Pago tarjeta"),-1,1)*IF(IFERROR(INDEX(ctaMoneda,MATCH(AB4435,ctaNombre,0))&amp;"","DOP")="USD",T4435,S4435))</f>
        <v/>
      </c>
      <c r="AG4435" s="53">
        <f>IF(AC4435="","",IF(IFERROR(INDEX(ctaMoneda,MATCH(AC4435,ctaNombre,0))&amp;"","DOP")="USD",T4435,S4435))</f>
        <v/>
      </c>
      <c r="AH4435" s="53">
        <f>IF(P4435="","",IF(AND(AD4435&lt;&gt;"",COUNTIFS(tcTipo,AD4435,tcLiq,"Sí")&gt;0),IF(OR(P4435="Gasto",P4435="Transferencia",P4435="Pago tarjeta"),-1,1)*S4435,0)+IF(AND(AE4435&lt;&gt;"",COUNTIFS(tcTipo,AE4435,tcLiq,"Sí")&gt;0),S4435,0))</f>
        <v/>
      </c>
      <c r="AI4435" s="52">
        <f>IF(OR(L4435="",P4435=""),"",IF(COUNTIFS(L$6:L4435,L4435,P$6:P4435,"?*")=1,MAX(AI$5:AI4434)+1,""))</f>
        <v/>
      </c>
    </row>
    <row r="4436">
      <c r="B4436" s="47" t="n"/>
      <c r="C4436" s="48" t="n"/>
      <c r="D4436" s="48" t="n"/>
      <c r="E4436" s="48" t="n"/>
      <c r="F4436" s="48" t="n"/>
      <c r="G4436" s="49" t="n"/>
      <c r="H4436" s="48" t="n"/>
      <c r="I4436" s="50" t="n"/>
      <c r="J4436" s="48" t="n"/>
      <c r="K4436" s="48" t="n"/>
      <c r="L4436" s="48" t="n"/>
      <c r="M4436" s="48" t="n"/>
      <c r="N4436" s="48" t="n"/>
      <c r="O4436" s="51">
        <f>IF(AND(B4436="",G4436="",C4436="",D4436="",J4436=""),"",IF(B4436="","⚠ Falta fecha",IF(G4436="","⚠ Falta monto",IF(Q4436="","⚠ Falta cuenta",IF(ISNA(MATCH(Q4436,ctaNombre,0)),"⚠ Cuenta no registrada",IF(AND(OR(P4436="Gasto",P4436="Reembolso"),D4436=""),"⚠ Falta categoría",IF(AND(D4436&lt;&gt;"",E4436&lt;&gt;"",ISNA(MATCH(D4436&amp;"|"&amp;E4436,catClave,0))),"⚠ Subcategoría no corresponde",IF(AND(OR(P4436="Transferencia",P4436="Pago tarjeta"),K4436=""),"⚠ Falta cuenta destino",IF(AND(K4436&lt;&gt;"",P4436&lt;&gt;"Transferencia",P4436&lt;&gt;"Pago tarjeta"),"⚠ Destino solo aplica a transferencias",IF(AND(K4436&lt;&gt;"",K4436=Q4436),"⚠ Origen igual a destino",IF(AND(K4436&lt;&gt;"",ISNA(MATCH(K4436,ctaNombre,0))),"⚠ Destino no registrado",IF(AND(P4436="Pago tarjeta",AE4436&lt;&gt;"Tarjeta de crédito"),"⚠ El destino debe ser tarjeta de crédito",IF(AND(P4436="Gasto",E4436="Depósitos y retiros"),"⚠ Usa tipo Transferencia",IF(AND(P4436="Resultado trading",AD4436&lt;&gt;"Cuenta de trading"),"⚠ Usa una cuenta de trading",IF(AND(G4436&lt;=0,P4436&lt;&gt;"Ajuste",P4436&lt;&gt;"Resultado trading"),"⚠ El monto debe ser positivo","✓")))))))))))))))</f>
        <v/>
      </c>
      <c r="P4436" s="52">
        <f>IF(OR(B4436="",G4436=""),"",IF(C4436="","Gasto",C4436))</f>
        <v/>
      </c>
      <c r="Q4436" s="52">
        <f>IF(P4436="","",IF(J4436&lt;&gt;"",J4436,CuentaPred&amp;""))</f>
        <v/>
      </c>
      <c r="R4436" s="52">
        <f>IF(P4436="","",IF(ISNUMBER(I4436),I4436,TasaUSD))</f>
        <v/>
      </c>
      <c r="S4436" s="53">
        <f>IF(P4436="","",IF(H4436="USD",G4436*R4436,G4436))</f>
        <v/>
      </c>
      <c r="T4436" s="53">
        <f>IF(P4436="","",IF(H4436="USD",G4436,IF(R4436&gt;0,G4436/R4436,0)))</f>
        <v/>
      </c>
      <c r="U4436" s="53">
        <f>IF(P4436="","",IF(P4436="Gasto",S4436,IF(P4436="Reembolso",-S4436,0)))</f>
        <v/>
      </c>
      <c r="V4436" s="53">
        <f>IF(P4436="","",IF(P4436="Ingreso",S4436,0))</f>
        <v/>
      </c>
      <c r="W4436" s="53">
        <f>IF(P4436="","",IF(P4436="Resultado trading",S4436,0))</f>
        <v/>
      </c>
      <c r="X4436" s="52">
        <f>IF(OR(P4436="Gasto",P4436="Reembolso"),IF(M4436&lt;&gt;"",M4436,IFERROR(INDEX(catClasif,MATCH(D4436&amp;"|"&amp;E4436,catClave,0))&amp;"","Variable")),"")</f>
        <v/>
      </c>
      <c r="Y4436" s="52">
        <f>IF(P4436="","",IFERROR(INDEX(catGrupo,MATCH(D4436&amp;"|"&amp;E4436,catClave,0))&amp;"",""))</f>
        <v/>
      </c>
      <c r="Z4436" s="52">
        <f>IF(P4436="","",WEEKDAY(B4436,2))</f>
        <v/>
      </c>
      <c r="AA4436" s="52">
        <f>IF(P4436="","",IF(AND(P4436="Gasto",X4436="Variable",D4436&lt;&gt;catTrading,S4436&gt;0,S4436&lt;=Umbral),1,0))</f>
        <v/>
      </c>
      <c r="AB4436" s="52">
        <f>IF(OR(P4436="",Q4436=""),"",IFERROR(IF(INDEX(ctaVinc,MATCH(Q4436,ctaNombre,0))&amp;""&lt;&gt;"",INDEX(ctaVinc,MATCH(Q4436,ctaNombre,0))&amp;"",Q4436),Q4436))</f>
        <v/>
      </c>
      <c r="AC4436" s="52">
        <f>IF(OR(K4436="",AND(P4436&lt;&gt;"Transferencia",P4436&lt;&gt;"Pago tarjeta")),"",IFERROR(IF(INDEX(ctaVinc,MATCH(K4436,ctaNombre,0))&amp;""&lt;&gt;"",INDEX(ctaVinc,MATCH(K4436,ctaNombre,0))&amp;"",K4436),K4436))</f>
        <v/>
      </c>
      <c r="AD4436" s="52">
        <f>IF(AB4436="","",IFERROR(INDEX(ctaTipo,MATCH(AB4436,ctaNombre,0))&amp;"",""))</f>
        <v/>
      </c>
      <c r="AE4436" s="52">
        <f>IF(AC4436="","",IFERROR(INDEX(ctaTipo,MATCH(AC4436,ctaNombre,0))&amp;"",""))</f>
        <v/>
      </c>
      <c r="AF4436" s="53">
        <f>IF(OR(P4436="",AB4436=""),"",IF(OR(P4436="Gasto",P4436="Transferencia",P4436="Pago tarjeta"),-1,1)*IF(IFERROR(INDEX(ctaMoneda,MATCH(AB4436,ctaNombre,0))&amp;"","DOP")="USD",T4436,S4436))</f>
        <v/>
      </c>
      <c r="AG4436" s="53">
        <f>IF(AC4436="","",IF(IFERROR(INDEX(ctaMoneda,MATCH(AC4436,ctaNombre,0))&amp;"","DOP")="USD",T4436,S4436))</f>
        <v/>
      </c>
      <c r="AH4436" s="53">
        <f>IF(P4436="","",IF(AND(AD4436&lt;&gt;"",COUNTIFS(tcTipo,AD4436,tcLiq,"Sí")&gt;0),IF(OR(P4436="Gasto",P4436="Transferencia",P4436="Pago tarjeta"),-1,1)*S4436,0)+IF(AND(AE4436&lt;&gt;"",COUNTIFS(tcTipo,AE4436,tcLiq,"Sí")&gt;0),S4436,0))</f>
        <v/>
      </c>
      <c r="AI4436" s="52">
        <f>IF(OR(L4436="",P4436=""),"",IF(COUNTIFS(L$6:L4436,L4436,P$6:P4436,"?*")=1,MAX(AI$5:AI4435)+1,""))</f>
        <v/>
      </c>
    </row>
    <row r="4437">
      <c r="B4437" s="47" t="n"/>
      <c r="C4437" s="48" t="n"/>
      <c r="D4437" s="48" t="n"/>
      <c r="E4437" s="48" t="n"/>
      <c r="F4437" s="48" t="n"/>
      <c r="G4437" s="49" t="n"/>
      <c r="H4437" s="48" t="n"/>
      <c r="I4437" s="50" t="n"/>
      <c r="J4437" s="48" t="n"/>
      <c r="K4437" s="48" t="n"/>
      <c r="L4437" s="48" t="n"/>
      <c r="M4437" s="48" t="n"/>
      <c r="N4437" s="48" t="n"/>
      <c r="O4437" s="51">
        <f>IF(AND(B4437="",G4437="",C4437="",D4437="",J4437=""),"",IF(B4437="","⚠ Falta fecha",IF(G4437="","⚠ Falta monto",IF(Q4437="","⚠ Falta cuenta",IF(ISNA(MATCH(Q4437,ctaNombre,0)),"⚠ Cuenta no registrada",IF(AND(OR(P4437="Gasto",P4437="Reembolso"),D4437=""),"⚠ Falta categoría",IF(AND(D4437&lt;&gt;"",E4437&lt;&gt;"",ISNA(MATCH(D4437&amp;"|"&amp;E4437,catClave,0))),"⚠ Subcategoría no corresponde",IF(AND(OR(P4437="Transferencia",P4437="Pago tarjeta"),K4437=""),"⚠ Falta cuenta destino",IF(AND(K4437&lt;&gt;"",P4437&lt;&gt;"Transferencia",P4437&lt;&gt;"Pago tarjeta"),"⚠ Destino solo aplica a transferencias",IF(AND(K4437&lt;&gt;"",K4437=Q4437),"⚠ Origen igual a destino",IF(AND(K4437&lt;&gt;"",ISNA(MATCH(K4437,ctaNombre,0))),"⚠ Destino no registrado",IF(AND(P4437="Pago tarjeta",AE4437&lt;&gt;"Tarjeta de crédito"),"⚠ El destino debe ser tarjeta de crédito",IF(AND(P4437="Gasto",E4437="Depósitos y retiros"),"⚠ Usa tipo Transferencia",IF(AND(P4437="Resultado trading",AD4437&lt;&gt;"Cuenta de trading"),"⚠ Usa una cuenta de trading",IF(AND(G4437&lt;=0,P4437&lt;&gt;"Ajuste",P4437&lt;&gt;"Resultado trading"),"⚠ El monto debe ser positivo","✓")))))))))))))))</f>
        <v/>
      </c>
      <c r="P4437" s="52">
        <f>IF(OR(B4437="",G4437=""),"",IF(C4437="","Gasto",C4437))</f>
        <v/>
      </c>
      <c r="Q4437" s="52">
        <f>IF(P4437="","",IF(J4437&lt;&gt;"",J4437,CuentaPred&amp;""))</f>
        <v/>
      </c>
      <c r="R4437" s="52">
        <f>IF(P4437="","",IF(ISNUMBER(I4437),I4437,TasaUSD))</f>
        <v/>
      </c>
      <c r="S4437" s="53">
        <f>IF(P4437="","",IF(H4437="USD",G4437*R4437,G4437))</f>
        <v/>
      </c>
      <c r="T4437" s="53">
        <f>IF(P4437="","",IF(H4437="USD",G4437,IF(R4437&gt;0,G4437/R4437,0)))</f>
        <v/>
      </c>
      <c r="U4437" s="53">
        <f>IF(P4437="","",IF(P4437="Gasto",S4437,IF(P4437="Reembolso",-S4437,0)))</f>
        <v/>
      </c>
      <c r="V4437" s="53">
        <f>IF(P4437="","",IF(P4437="Ingreso",S4437,0))</f>
        <v/>
      </c>
      <c r="W4437" s="53">
        <f>IF(P4437="","",IF(P4437="Resultado trading",S4437,0))</f>
        <v/>
      </c>
      <c r="X4437" s="52">
        <f>IF(OR(P4437="Gasto",P4437="Reembolso"),IF(M4437&lt;&gt;"",M4437,IFERROR(INDEX(catClasif,MATCH(D4437&amp;"|"&amp;E4437,catClave,0))&amp;"","Variable")),"")</f>
        <v/>
      </c>
      <c r="Y4437" s="52">
        <f>IF(P4437="","",IFERROR(INDEX(catGrupo,MATCH(D4437&amp;"|"&amp;E4437,catClave,0))&amp;"",""))</f>
        <v/>
      </c>
      <c r="Z4437" s="52">
        <f>IF(P4437="","",WEEKDAY(B4437,2))</f>
        <v/>
      </c>
      <c r="AA4437" s="52">
        <f>IF(P4437="","",IF(AND(P4437="Gasto",X4437="Variable",D4437&lt;&gt;catTrading,S4437&gt;0,S4437&lt;=Umbral),1,0))</f>
        <v/>
      </c>
      <c r="AB4437" s="52">
        <f>IF(OR(P4437="",Q4437=""),"",IFERROR(IF(INDEX(ctaVinc,MATCH(Q4437,ctaNombre,0))&amp;""&lt;&gt;"",INDEX(ctaVinc,MATCH(Q4437,ctaNombre,0))&amp;"",Q4437),Q4437))</f>
        <v/>
      </c>
      <c r="AC4437" s="52">
        <f>IF(OR(K4437="",AND(P4437&lt;&gt;"Transferencia",P4437&lt;&gt;"Pago tarjeta")),"",IFERROR(IF(INDEX(ctaVinc,MATCH(K4437,ctaNombre,0))&amp;""&lt;&gt;"",INDEX(ctaVinc,MATCH(K4437,ctaNombre,0))&amp;"",K4437),K4437))</f>
        <v/>
      </c>
      <c r="AD4437" s="52">
        <f>IF(AB4437="","",IFERROR(INDEX(ctaTipo,MATCH(AB4437,ctaNombre,0))&amp;"",""))</f>
        <v/>
      </c>
      <c r="AE4437" s="52">
        <f>IF(AC4437="","",IFERROR(INDEX(ctaTipo,MATCH(AC4437,ctaNombre,0))&amp;"",""))</f>
        <v/>
      </c>
      <c r="AF4437" s="53">
        <f>IF(OR(P4437="",AB4437=""),"",IF(OR(P4437="Gasto",P4437="Transferencia",P4437="Pago tarjeta"),-1,1)*IF(IFERROR(INDEX(ctaMoneda,MATCH(AB4437,ctaNombre,0))&amp;"","DOP")="USD",T4437,S4437))</f>
        <v/>
      </c>
      <c r="AG4437" s="53">
        <f>IF(AC4437="","",IF(IFERROR(INDEX(ctaMoneda,MATCH(AC4437,ctaNombre,0))&amp;"","DOP")="USD",T4437,S4437))</f>
        <v/>
      </c>
      <c r="AH4437" s="53">
        <f>IF(P4437="","",IF(AND(AD4437&lt;&gt;"",COUNTIFS(tcTipo,AD4437,tcLiq,"Sí")&gt;0),IF(OR(P4437="Gasto",P4437="Transferencia",P4437="Pago tarjeta"),-1,1)*S4437,0)+IF(AND(AE4437&lt;&gt;"",COUNTIFS(tcTipo,AE4437,tcLiq,"Sí")&gt;0),S4437,0))</f>
        <v/>
      </c>
      <c r="AI4437" s="52">
        <f>IF(OR(L4437="",P4437=""),"",IF(COUNTIFS(L$6:L4437,L4437,P$6:P4437,"?*")=1,MAX(AI$5:AI4436)+1,""))</f>
        <v/>
      </c>
    </row>
    <row r="4438">
      <c r="B4438" s="47" t="n"/>
      <c r="C4438" s="48" t="n"/>
      <c r="D4438" s="48" t="n"/>
      <c r="E4438" s="48" t="n"/>
      <c r="F4438" s="48" t="n"/>
      <c r="G4438" s="49" t="n"/>
      <c r="H4438" s="48" t="n"/>
      <c r="I4438" s="50" t="n"/>
      <c r="J4438" s="48" t="n"/>
      <c r="K4438" s="48" t="n"/>
      <c r="L4438" s="48" t="n"/>
      <c r="M4438" s="48" t="n"/>
      <c r="N4438" s="48" t="n"/>
      <c r="O4438" s="51">
        <f>IF(AND(B4438="",G4438="",C4438="",D4438="",J4438=""),"",IF(B4438="","⚠ Falta fecha",IF(G4438="","⚠ Falta monto",IF(Q4438="","⚠ Falta cuenta",IF(ISNA(MATCH(Q4438,ctaNombre,0)),"⚠ Cuenta no registrada",IF(AND(OR(P4438="Gasto",P4438="Reembolso"),D4438=""),"⚠ Falta categoría",IF(AND(D4438&lt;&gt;"",E4438&lt;&gt;"",ISNA(MATCH(D4438&amp;"|"&amp;E4438,catClave,0))),"⚠ Subcategoría no corresponde",IF(AND(OR(P4438="Transferencia",P4438="Pago tarjeta"),K4438=""),"⚠ Falta cuenta destino",IF(AND(K4438&lt;&gt;"",P4438&lt;&gt;"Transferencia",P4438&lt;&gt;"Pago tarjeta"),"⚠ Destino solo aplica a transferencias",IF(AND(K4438&lt;&gt;"",K4438=Q4438),"⚠ Origen igual a destino",IF(AND(K4438&lt;&gt;"",ISNA(MATCH(K4438,ctaNombre,0))),"⚠ Destino no registrado",IF(AND(P4438="Pago tarjeta",AE4438&lt;&gt;"Tarjeta de crédito"),"⚠ El destino debe ser tarjeta de crédito",IF(AND(P4438="Gasto",E4438="Depósitos y retiros"),"⚠ Usa tipo Transferencia",IF(AND(P4438="Resultado trading",AD4438&lt;&gt;"Cuenta de trading"),"⚠ Usa una cuenta de trading",IF(AND(G4438&lt;=0,P4438&lt;&gt;"Ajuste",P4438&lt;&gt;"Resultado trading"),"⚠ El monto debe ser positivo","✓")))))))))))))))</f>
        <v/>
      </c>
      <c r="P4438" s="52">
        <f>IF(OR(B4438="",G4438=""),"",IF(C4438="","Gasto",C4438))</f>
        <v/>
      </c>
      <c r="Q4438" s="52">
        <f>IF(P4438="","",IF(J4438&lt;&gt;"",J4438,CuentaPred&amp;""))</f>
        <v/>
      </c>
      <c r="R4438" s="52">
        <f>IF(P4438="","",IF(ISNUMBER(I4438),I4438,TasaUSD))</f>
        <v/>
      </c>
      <c r="S4438" s="53">
        <f>IF(P4438="","",IF(H4438="USD",G4438*R4438,G4438))</f>
        <v/>
      </c>
      <c r="T4438" s="53">
        <f>IF(P4438="","",IF(H4438="USD",G4438,IF(R4438&gt;0,G4438/R4438,0)))</f>
        <v/>
      </c>
      <c r="U4438" s="53">
        <f>IF(P4438="","",IF(P4438="Gasto",S4438,IF(P4438="Reembolso",-S4438,0)))</f>
        <v/>
      </c>
      <c r="V4438" s="53">
        <f>IF(P4438="","",IF(P4438="Ingreso",S4438,0))</f>
        <v/>
      </c>
      <c r="W4438" s="53">
        <f>IF(P4438="","",IF(P4438="Resultado trading",S4438,0))</f>
        <v/>
      </c>
      <c r="X4438" s="52">
        <f>IF(OR(P4438="Gasto",P4438="Reembolso"),IF(M4438&lt;&gt;"",M4438,IFERROR(INDEX(catClasif,MATCH(D4438&amp;"|"&amp;E4438,catClave,0))&amp;"","Variable")),"")</f>
        <v/>
      </c>
      <c r="Y4438" s="52">
        <f>IF(P4438="","",IFERROR(INDEX(catGrupo,MATCH(D4438&amp;"|"&amp;E4438,catClave,0))&amp;"",""))</f>
        <v/>
      </c>
      <c r="Z4438" s="52">
        <f>IF(P4438="","",WEEKDAY(B4438,2))</f>
        <v/>
      </c>
      <c r="AA4438" s="52">
        <f>IF(P4438="","",IF(AND(P4438="Gasto",X4438="Variable",D4438&lt;&gt;catTrading,S4438&gt;0,S4438&lt;=Umbral),1,0))</f>
        <v/>
      </c>
      <c r="AB4438" s="52">
        <f>IF(OR(P4438="",Q4438=""),"",IFERROR(IF(INDEX(ctaVinc,MATCH(Q4438,ctaNombre,0))&amp;""&lt;&gt;"",INDEX(ctaVinc,MATCH(Q4438,ctaNombre,0))&amp;"",Q4438),Q4438))</f>
        <v/>
      </c>
      <c r="AC4438" s="52">
        <f>IF(OR(K4438="",AND(P4438&lt;&gt;"Transferencia",P4438&lt;&gt;"Pago tarjeta")),"",IFERROR(IF(INDEX(ctaVinc,MATCH(K4438,ctaNombre,0))&amp;""&lt;&gt;"",INDEX(ctaVinc,MATCH(K4438,ctaNombre,0))&amp;"",K4438),K4438))</f>
        <v/>
      </c>
      <c r="AD4438" s="52">
        <f>IF(AB4438="","",IFERROR(INDEX(ctaTipo,MATCH(AB4438,ctaNombre,0))&amp;"",""))</f>
        <v/>
      </c>
      <c r="AE4438" s="52">
        <f>IF(AC4438="","",IFERROR(INDEX(ctaTipo,MATCH(AC4438,ctaNombre,0))&amp;"",""))</f>
        <v/>
      </c>
      <c r="AF4438" s="53">
        <f>IF(OR(P4438="",AB4438=""),"",IF(OR(P4438="Gasto",P4438="Transferencia",P4438="Pago tarjeta"),-1,1)*IF(IFERROR(INDEX(ctaMoneda,MATCH(AB4438,ctaNombre,0))&amp;"","DOP")="USD",T4438,S4438))</f>
        <v/>
      </c>
      <c r="AG4438" s="53">
        <f>IF(AC4438="","",IF(IFERROR(INDEX(ctaMoneda,MATCH(AC4438,ctaNombre,0))&amp;"","DOP")="USD",T4438,S4438))</f>
        <v/>
      </c>
      <c r="AH4438" s="53">
        <f>IF(P4438="","",IF(AND(AD4438&lt;&gt;"",COUNTIFS(tcTipo,AD4438,tcLiq,"Sí")&gt;0),IF(OR(P4438="Gasto",P4438="Transferencia",P4438="Pago tarjeta"),-1,1)*S4438,0)+IF(AND(AE4438&lt;&gt;"",COUNTIFS(tcTipo,AE4438,tcLiq,"Sí")&gt;0),S4438,0))</f>
        <v/>
      </c>
      <c r="AI4438" s="52">
        <f>IF(OR(L4438="",P4438=""),"",IF(COUNTIFS(L$6:L4438,L4438,P$6:P4438,"?*")=1,MAX(AI$5:AI4437)+1,""))</f>
        <v/>
      </c>
    </row>
    <row r="4439">
      <c r="B4439" s="47" t="n"/>
      <c r="C4439" s="48" t="n"/>
      <c r="D4439" s="48" t="n"/>
      <c r="E4439" s="48" t="n"/>
      <c r="F4439" s="48" t="n"/>
      <c r="G4439" s="49" t="n"/>
      <c r="H4439" s="48" t="n"/>
      <c r="I4439" s="50" t="n"/>
      <c r="J4439" s="48" t="n"/>
      <c r="K4439" s="48" t="n"/>
      <c r="L4439" s="48" t="n"/>
      <c r="M4439" s="48" t="n"/>
      <c r="N4439" s="48" t="n"/>
      <c r="O4439" s="51">
        <f>IF(AND(B4439="",G4439="",C4439="",D4439="",J4439=""),"",IF(B4439="","⚠ Falta fecha",IF(G4439="","⚠ Falta monto",IF(Q4439="","⚠ Falta cuenta",IF(ISNA(MATCH(Q4439,ctaNombre,0)),"⚠ Cuenta no registrada",IF(AND(OR(P4439="Gasto",P4439="Reembolso"),D4439=""),"⚠ Falta categoría",IF(AND(D4439&lt;&gt;"",E4439&lt;&gt;"",ISNA(MATCH(D4439&amp;"|"&amp;E4439,catClave,0))),"⚠ Subcategoría no corresponde",IF(AND(OR(P4439="Transferencia",P4439="Pago tarjeta"),K4439=""),"⚠ Falta cuenta destino",IF(AND(K4439&lt;&gt;"",P4439&lt;&gt;"Transferencia",P4439&lt;&gt;"Pago tarjeta"),"⚠ Destino solo aplica a transferencias",IF(AND(K4439&lt;&gt;"",K4439=Q4439),"⚠ Origen igual a destino",IF(AND(K4439&lt;&gt;"",ISNA(MATCH(K4439,ctaNombre,0))),"⚠ Destino no registrado",IF(AND(P4439="Pago tarjeta",AE4439&lt;&gt;"Tarjeta de crédito"),"⚠ El destino debe ser tarjeta de crédito",IF(AND(P4439="Gasto",E4439="Depósitos y retiros"),"⚠ Usa tipo Transferencia",IF(AND(P4439="Resultado trading",AD4439&lt;&gt;"Cuenta de trading"),"⚠ Usa una cuenta de trading",IF(AND(G4439&lt;=0,P4439&lt;&gt;"Ajuste",P4439&lt;&gt;"Resultado trading"),"⚠ El monto debe ser positivo","✓")))))))))))))))</f>
        <v/>
      </c>
      <c r="P4439" s="52">
        <f>IF(OR(B4439="",G4439=""),"",IF(C4439="","Gasto",C4439))</f>
        <v/>
      </c>
      <c r="Q4439" s="52">
        <f>IF(P4439="","",IF(J4439&lt;&gt;"",J4439,CuentaPred&amp;""))</f>
        <v/>
      </c>
      <c r="R4439" s="52">
        <f>IF(P4439="","",IF(ISNUMBER(I4439),I4439,TasaUSD))</f>
        <v/>
      </c>
      <c r="S4439" s="53">
        <f>IF(P4439="","",IF(H4439="USD",G4439*R4439,G4439))</f>
        <v/>
      </c>
      <c r="T4439" s="53">
        <f>IF(P4439="","",IF(H4439="USD",G4439,IF(R4439&gt;0,G4439/R4439,0)))</f>
        <v/>
      </c>
      <c r="U4439" s="53">
        <f>IF(P4439="","",IF(P4439="Gasto",S4439,IF(P4439="Reembolso",-S4439,0)))</f>
        <v/>
      </c>
      <c r="V4439" s="53">
        <f>IF(P4439="","",IF(P4439="Ingreso",S4439,0))</f>
        <v/>
      </c>
      <c r="W4439" s="53">
        <f>IF(P4439="","",IF(P4439="Resultado trading",S4439,0))</f>
        <v/>
      </c>
      <c r="X4439" s="52">
        <f>IF(OR(P4439="Gasto",P4439="Reembolso"),IF(M4439&lt;&gt;"",M4439,IFERROR(INDEX(catClasif,MATCH(D4439&amp;"|"&amp;E4439,catClave,0))&amp;"","Variable")),"")</f>
        <v/>
      </c>
      <c r="Y4439" s="52">
        <f>IF(P4439="","",IFERROR(INDEX(catGrupo,MATCH(D4439&amp;"|"&amp;E4439,catClave,0))&amp;"",""))</f>
        <v/>
      </c>
      <c r="Z4439" s="52">
        <f>IF(P4439="","",WEEKDAY(B4439,2))</f>
        <v/>
      </c>
      <c r="AA4439" s="52">
        <f>IF(P4439="","",IF(AND(P4439="Gasto",X4439="Variable",D4439&lt;&gt;catTrading,S4439&gt;0,S4439&lt;=Umbral),1,0))</f>
        <v/>
      </c>
      <c r="AB4439" s="52">
        <f>IF(OR(P4439="",Q4439=""),"",IFERROR(IF(INDEX(ctaVinc,MATCH(Q4439,ctaNombre,0))&amp;""&lt;&gt;"",INDEX(ctaVinc,MATCH(Q4439,ctaNombre,0))&amp;"",Q4439),Q4439))</f>
        <v/>
      </c>
      <c r="AC4439" s="52">
        <f>IF(OR(K4439="",AND(P4439&lt;&gt;"Transferencia",P4439&lt;&gt;"Pago tarjeta")),"",IFERROR(IF(INDEX(ctaVinc,MATCH(K4439,ctaNombre,0))&amp;""&lt;&gt;"",INDEX(ctaVinc,MATCH(K4439,ctaNombre,0))&amp;"",K4439),K4439))</f>
        <v/>
      </c>
      <c r="AD4439" s="52">
        <f>IF(AB4439="","",IFERROR(INDEX(ctaTipo,MATCH(AB4439,ctaNombre,0))&amp;"",""))</f>
        <v/>
      </c>
      <c r="AE4439" s="52">
        <f>IF(AC4439="","",IFERROR(INDEX(ctaTipo,MATCH(AC4439,ctaNombre,0))&amp;"",""))</f>
        <v/>
      </c>
      <c r="AF4439" s="53">
        <f>IF(OR(P4439="",AB4439=""),"",IF(OR(P4439="Gasto",P4439="Transferencia",P4439="Pago tarjeta"),-1,1)*IF(IFERROR(INDEX(ctaMoneda,MATCH(AB4439,ctaNombre,0))&amp;"","DOP")="USD",T4439,S4439))</f>
        <v/>
      </c>
      <c r="AG4439" s="53">
        <f>IF(AC4439="","",IF(IFERROR(INDEX(ctaMoneda,MATCH(AC4439,ctaNombre,0))&amp;"","DOP")="USD",T4439,S4439))</f>
        <v/>
      </c>
      <c r="AH4439" s="53">
        <f>IF(P4439="","",IF(AND(AD4439&lt;&gt;"",COUNTIFS(tcTipo,AD4439,tcLiq,"Sí")&gt;0),IF(OR(P4439="Gasto",P4439="Transferencia",P4439="Pago tarjeta"),-1,1)*S4439,0)+IF(AND(AE4439&lt;&gt;"",COUNTIFS(tcTipo,AE4439,tcLiq,"Sí")&gt;0),S4439,0))</f>
        <v/>
      </c>
      <c r="AI4439" s="52">
        <f>IF(OR(L4439="",P4439=""),"",IF(COUNTIFS(L$6:L4439,L4439,P$6:P4439,"?*")=1,MAX(AI$5:AI4438)+1,""))</f>
        <v/>
      </c>
    </row>
    <row r="4440">
      <c r="B4440" s="47" t="n"/>
      <c r="C4440" s="48" t="n"/>
      <c r="D4440" s="48" t="n"/>
      <c r="E4440" s="48" t="n"/>
      <c r="F4440" s="48" t="n"/>
      <c r="G4440" s="49" t="n"/>
      <c r="H4440" s="48" t="n"/>
      <c r="I4440" s="50" t="n"/>
      <c r="J4440" s="48" t="n"/>
      <c r="K4440" s="48" t="n"/>
      <c r="L4440" s="48" t="n"/>
      <c r="M4440" s="48" t="n"/>
      <c r="N4440" s="48" t="n"/>
      <c r="O4440" s="51">
        <f>IF(AND(B4440="",G4440="",C4440="",D4440="",J4440=""),"",IF(B4440="","⚠ Falta fecha",IF(G4440="","⚠ Falta monto",IF(Q4440="","⚠ Falta cuenta",IF(ISNA(MATCH(Q4440,ctaNombre,0)),"⚠ Cuenta no registrada",IF(AND(OR(P4440="Gasto",P4440="Reembolso"),D4440=""),"⚠ Falta categoría",IF(AND(D4440&lt;&gt;"",E4440&lt;&gt;"",ISNA(MATCH(D4440&amp;"|"&amp;E4440,catClave,0))),"⚠ Subcategoría no corresponde",IF(AND(OR(P4440="Transferencia",P4440="Pago tarjeta"),K4440=""),"⚠ Falta cuenta destino",IF(AND(K4440&lt;&gt;"",P4440&lt;&gt;"Transferencia",P4440&lt;&gt;"Pago tarjeta"),"⚠ Destino solo aplica a transferencias",IF(AND(K4440&lt;&gt;"",K4440=Q4440),"⚠ Origen igual a destino",IF(AND(K4440&lt;&gt;"",ISNA(MATCH(K4440,ctaNombre,0))),"⚠ Destino no registrado",IF(AND(P4440="Pago tarjeta",AE4440&lt;&gt;"Tarjeta de crédito"),"⚠ El destino debe ser tarjeta de crédito",IF(AND(P4440="Gasto",E4440="Depósitos y retiros"),"⚠ Usa tipo Transferencia",IF(AND(P4440="Resultado trading",AD4440&lt;&gt;"Cuenta de trading"),"⚠ Usa una cuenta de trading",IF(AND(G4440&lt;=0,P4440&lt;&gt;"Ajuste",P4440&lt;&gt;"Resultado trading"),"⚠ El monto debe ser positivo","✓")))))))))))))))</f>
        <v/>
      </c>
      <c r="P4440" s="52">
        <f>IF(OR(B4440="",G4440=""),"",IF(C4440="","Gasto",C4440))</f>
        <v/>
      </c>
      <c r="Q4440" s="52">
        <f>IF(P4440="","",IF(J4440&lt;&gt;"",J4440,CuentaPred&amp;""))</f>
        <v/>
      </c>
      <c r="R4440" s="52">
        <f>IF(P4440="","",IF(ISNUMBER(I4440),I4440,TasaUSD))</f>
        <v/>
      </c>
      <c r="S4440" s="53">
        <f>IF(P4440="","",IF(H4440="USD",G4440*R4440,G4440))</f>
        <v/>
      </c>
      <c r="T4440" s="53">
        <f>IF(P4440="","",IF(H4440="USD",G4440,IF(R4440&gt;0,G4440/R4440,0)))</f>
        <v/>
      </c>
      <c r="U4440" s="53">
        <f>IF(P4440="","",IF(P4440="Gasto",S4440,IF(P4440="Reembolso",-S4440,0)))</f>
        <v/>
      </c>
      <c r="V4440" s="53">
        <f>IF(P4440="","",IF(P4440="Ingreso",S4440,0))</f>
        <v/>
      </c>
      <c r="W4440" s="53">
        <f>IF(P4440="","",IF(P4440="Resultado trading",S4440,0))</f>
        <v/>
      </c>
      <c r="X4440" s="52">
        <f>IF(OR(P4440="Gasto",P4440="Reembolso"),IF(M4440&lt;&gt;"",M4440,IFERROR(INDEX(catClasif,MATCH(D4440&amp;"|"&amp;E4440,catClave,0))&amp;"","Variable")),"")</f>
        <v/>
      </c>
      <c r="Y4440" s="52">
        <f>IF(P4440="","",IFERROR(INDEX(catGrupo,MATCH(D4440&amp;"|"&amp;E4440,catClave,0))&amp;"",""))</f>
        <v/>
      </c>
      <c r="Z4440" s="52">
        <f>IF(P4440="","",WEEKDAY(B4440,2))</f>
        <v/>
      </c>
      <c r="AA4440" s="52">
        <f>IF(P4440="","",IF(AND(P4440="Gasto",X4440="Variable",D4440&lt;&gt;catTrading,S4440&gt;0,S4440&lt;=Umbral),1,0))</f>
        <v/>
      </c>
      <c r="AB4440" s="52">
        <f>IF(OR(P4440="",Q4440=""),"",IFERROR(IF(INDEX(ctaVinc,MATCH(Q4440,ctaNombre,0))&amp;""&lt;&gt;"",INDEX(ctaVinc,MATCH(Q4440,ctaNombre,0))&amp;"",Q4440),Q4440))</f>
        <v/>
      </c>
      <c r="AC4440" s="52">
        <f>IF(OR(K4440="",AND(P4440&lt;&gt;"Transferencia",P4440&lt;&gt;"Pago tarjeta")),"",IFERROR(IF(INDEX(ctaVinc,MATCH(K4440,ctaNombre,0))&amp;""&lt;&gt;"",INDEX(ctaVinc,MATCH(K4440,ctaNombre,0))&amp;"",K4440),K4440))</f>
        <v/>
      </c>
      <c r="AD4440" s="52">
        <f>IF(AB4440="","",IFERROR(INDEX(ctaTipo,MATCH(AB4440,ctaNombre,0))&amp;"",""))</f>
        <v/>
      </c>
      <c r="AE4440" s="52">
        <f>IF(AC4440="","",IFERROR(INDEX(ctaTipo,MATCH(AC4440,ctaNombre,0))&amp;"",""))</f>
        <v/>
      </c>
      <c r="AF4440" s="53">
        <f>IF(OR(P4440="",AB4440=""),"",IF(OR(P4440="Gasto",P4440="Transferencia",P4440="Pago tarjeta"),-1,1)*IF(IFERROR(INDEX(ctaMoneda,MATCH(AB4440,ctaNombre,0))&amp;"","DOP")="USD",T4440,S4440))</f>
        <v/>
      </c>
      <c r="AG4440" s="53">
        <f>IF(AC4440="","",IF(IFERROR(INDEX(ctaMoneda,MATCH(AC4440,ctaNombre,0))&amp;"","DOP")="USD",T4440,S4440))</f>
        <v/>
      </c>
      <c r="AH4440" s="53">
        <f>IF(P4440="","",IF(AND(AD4440&lt;&gt;"",COUNTIFS(tcTipo,AD4440,tcLiq,"Sí")&gt;0),IF(OR(P4440="Gasto",P4440="Transferencia",P4440="Pago tarjeta"),-1,1)*S4440,0)+IF(AND(AE4440&lt;&gt;"",COUNTIFS(tcTipo,AE4440,tcLiq,"Sí")&gt;0),S4440,0))</f>
        <v/>
      </c>
      <c r="AI4440" s="52">
        <f>IF(OR(L4440="",P4440=""),"",IF(COUNTIFS(L$6:L4440,L4440,P$6:P4440,"?*")=1,MAX(AI$5:AI4439)+1,""))</f>
        <v/>
      </c>
    </row>
    <row r="4441">
      <c r="B4441" s="47" t="n"/>
      <c r="C4441" s="48" t="n"/>
      <c r="D4441" s="48" t="n"/>
      <c r="E4441" s="48" t="n"/>
      <c r="F4441" s="48" t="n"/>
      <c r="G4441" s="49" t="n"/>
      <c r="H4441" s="48" t="n"/>
      <c r="I4441" s="50" t="n"/>
      <c r="J4441" s="48" t="n"/>
      <c r="K4441" s="48" t="n"/>
      <c r="L4441" s="48" t="n"/>
      <c r="M4441" s="48" t="n"/>
      <c r="N4441" s="48" t="n"/>
      <c r="O4441" s="51">
        <f>IF(AND(B4441="",G4441="",C4441="",D4441="",J4441=""),"",IF(B4441="","⚠ Falta fecha",IF(G4441="","⚠ Falta monto",IF(Q4441="","⚠ Falta cuenta",IF(ISNA(MATCH(Q4441,ctaNombre,0)),"⚠ Cuenta no registrada",IF(AND(OR(P4441="Gasto",P4441="Reembolso"),D4441=""),"⚠ Falta categoría",IF(AND(D4441&lt;&gt;"",E4441&lt;&gt;"",ISNA(MATCH(D4441&amp;"|"&amp;E4441,catClave,0))),"⚠ Subcategoría no corresponde",IF(AND(OR(P4441="Transferencia",P4441="Pago tarjeta"),K4441=""),"⚠ Falta cuenta destino",IF(AND(K4441&lt;&gt;"",P4441&lt;&gt;"Transferencia",P4441&lt;&gt;"Pago tarjeta"),"⚠ Destino solo aplica a transferencias",IF(AND(K4441&lt;&gt;"",K4441=Q4441),"⚠ Origen igual a destino",IF(AND(K4441&lt;&gt;"",ISNA(MATCH(K4441,ctaNombre,0))),"⚠ Destino no registrado",IF(AND(P4441="Pago tarjeta",AE4441&lt;&gt;"Tarjeta de crédito"),"⚠ El destino debe ser tarjeta de crédito",IF(AND(P4441="Gasto",E4441="Depósitos y retiros"),"⚠ Usa tipo Transferencia",IF(AND(P4441="Resultado trading",AD4441&lt;&gt;"Cuenta de trading"),"⚠ Usa una cuenta de trading",IF(AND(G4441&lt;=0,P4441&lt;&gt;"Ajuste",P4441&lt;&gt;"Resultado trading"),"⚠ El monto debe ser positivo","✓")))))))))))))))</f>
        <v/>
      </c>
      <c r="P4441" s="52">
        <f>IF(OR(B4441="",G4441=""),"",IF(C4441="","Gasto",C4441))</f>
        <v/>
      </c>
      <c r="Q4441" s="52">
        <f>IF(P4441="","",IF(J4441&lt;&gt;"",J4441,CuentaPred&amp;""))</f>
        <v/>
      </c>
      <c r="R4441" s="52">
        <f>IF(P4441="","",IF(ISNUMBER(I4441),I4441,TasaUSD))</f>
        <v/>
      </c>
      <c r="S4441" s="53">
        <f>IF(P4441="","",IF(H4441="USD",G4441*R4441,G4441))</f>
        <v/>
      </c>
      <c r="T4441" s="53">
        <f>IF(P4441="","",IF(H4441="USD",G4441,IF(R4441&gt;0,G4441/R4441,0)))</f>
        <v/>
      </c>
      <c r="U4441" s="53">
        <f>IF(P4441="","",IF(P4441="Gasto",S4441,IF(P4441="Reembolso",-S4441,0)))</f>
        <v/>
      </c>
      <c r="V4441" s="53">
        <f>IF(P4441="","",IF(P4441="Ingreso",S4441,0))</f>
        <v/>
      </c>
      <c r="W4441" s="53">
        <f>IF(P4441="","",IF(P4441="Resultado trading",S4441,0))</f>
        <v/>
      </c>
      <c r="X4441" s="52">
        <f>IF(OR(P4441="Gasto",P4441="Reembolso"),IF(M4441&lt;&gt;"",M4441,IFERROR(INDEX(catClasif,MATCH(D4441&amp;"|"&amp;E4441,catClave,0))&amp;"","Variable")),"")</f>
        <v/>
      </c>
      <c r="Y4441" s="52">
        <f>IF(P4441="","",IFERROR(INDEX(catGrupo,MATCH(D4441&amp;"|"&amp;E4441,catClave,0))&amp;"",""))</f>
        <v/>
      </c>
      <c r="Z4441" s="52">
        <f>IF(P4441="","",WEEKDAY(B4441,2))</f>
        <v/>
      </c>
      <c r="AA4441" s="52">
        <f>IF(P4441="","",IF(AND(P4441="Gasto",X4441="Variable",D4441&lt;&gt;catTrading,S4441&gt;0,S4441&lt;=Umbral),1,0))</f>
        <v/>
      </c>
      <c r="AB4441" s="52">
        <f>IF(OR(P4441="",Q4441=""),"",IFERROR(IF(INDEX(ctaVinc,MATCH(Q4441,ctaNombre,0))&amp;""&lt;&gt;"",INDEX(ctaVinc,MATCH(Q4441,ctaNombre,0))&amp;"",Q4441),Q4441))</f>
        <v/>
      </c>
      <c r="AC4441" s="52">
        <f>IF(OR(K4441="",AND(P4441&lt;&gt;"Transferencia",P4441&lt;&gt;"Pago tarjeta")),"",IFERROR(IF(INDEX(ctaVinc,MATCH(K4441,ctaNombre,0))&amp;""&lt;&gt;"",INDEX(ctaVinc,MATCH(K4441,ctaNombre,0))&amp;"",K4441),K4441))</f>
        <v/>
      </c>
      <c r="AD4441" s="52">
        <f>IF(AB4441="","",IFERROR(INDEX(ctaTipo,MATCH(AB4441,ctaNombre,0))&amp;"",""))</f>
        <v/>
      </c>
      <c r="AE4441" s="52">
        <f>IF(AC4441="","",IFERROR(INDEX(ctaTipo,MATCH(AC4441,ctaNombre,0))&amp;"",""))</f>
        <v/>
      </c>
      <c r="AF4441" s="53">
        <f>IF(OR(P4441="",AB4441=""),"",IF(OR(P4441="Gasto",P4441="Transferencia",P4441="Pago tarjeta"),-1,1)*IF(IFERROR(INDEX(ctaMoneda,MATCH(AB4441,ctaNombre,0))&amp;"","DOP")="USD",T4441,S4441))</f>
        <v/>
      </c>
      <c r="AG4441" s="53">
        <f>IF(AC4441="","",IF(IFERROR(INDEX(ctaMoneda,MATCH(AC4441,ctaNombre,0))&amp;"","DOP")="USD",T4441,S4441))</f>
        <v/>
      </c>
      <c r="AH4441" s="53">
        <f>IF(P4441="","",IF(AND(AD4441&lt;&gt;"",COUNTIFS(tcTipo,AD4441,tcLiq,"Sí")&gt;0),IF(OR(P4441="Gasto",P4441="Transferencia",P4441="Pago tarjeta"),-1,1)*S4441,0)+IF(AND(AE4441&lt;&gt;"",COUNTIFS(tcTipo,AE4441,tcLiq,"Sí")&gt;0),S4441,0))</f>
        <v/>
      </c>
      <c r="AI4441" s="52">
        <f>IF(OR(L4441="",P4441=""),"",IF(COUNTIFS(L$6:L4441,L4441,P$6:P4441,"?*")=1,MAX(AI$5:AI4440)+1,""))</f>
        <v/>
      </c>
    </row>
    <row r="4442">
      <c r="B4442" s="47" t="n"/>
      <c r="C4442" s="48" t="n"/>
      <c r="D4442" s="48" t="n"/>
      <c r="E4442" s="48" t="n"/>
      <c r="F4442" s="48" t="n"/>
      <c r="G4442" s="49" t="n"/>
      <c r="H4442" s="48" t="n"/>
      <c r="I4442" s="50" t="n"/>
      <c r="J4442" s="48" t="n"/>
      <c r="K4442" s="48" t="n"/>
      <c r="L4442" s="48" t="n"/>
      <c r="M4442" s="48" t="n"/>
      <c r="N4442" s="48" t="n"/>
      <c r="O4442" s="51">
        <f>IF(AND(B4442="",G4442="",C4442="",D4442="",J4442=""),"",IF(B4442="","⚠ Falta fecha",IF(G4442="","⚠ Falta monto",IF(Q4442="","⚠ Falta cuenta",IF(ISNA(MATCH(Q4442,ctaNombre,0)),"⚠ Cuenta no registrada",IF(AND(OR(P4442="Gasto",P4442="Reembolso"),D4442=""),"⚠ Falta categoría",IF(AND(D4442&lt;&gt;"",E4442&lt;&gt;"",ISNA(MATCH(D4442&amp;"|"&amp;E4442,catClave,0))),"⚠ Subcategoría no corresponde",IF(AND(OR(P4442="Transferencia",P4442="Pago tarjeta"),K4442=""),"⚠ Falta cuenta destino",IF(AND(K4442&lt;&gt;"",P4442&lt;&gt;"Transferencia",P4442&lt;&gt;"Pago tarjeta"),"⚠ Destino solo aplica a transferencias",IF(AND(K4442&lt;&gt;"",K4442=Q4442),"⚠ Origen igual a destino",IF(AND(K4442&lt;&gt;"",ISNA(MATCH(K4442,ctaNombre,0))),"⚠ Destino no registrado",IF(AND(P4442="Pago tarjeta",AE4442&lt;&gt;"Tarjeta de crédito"),"⚠ El destino debe ser tarjeta de crédito",IF(AND(P4442="Gasto",E4442="Depósitos y retiros"),"⚠ Usa tipo Transferencia",IF(AND(P4442="Resultado trading",AD4442&lt;&gt;"Cuenta de trading"),"⚠ Usa una cuenta de trading",IF(AND(G4442&lt;=0,P4442&lt;&gt;"Ajuste",P4442&lt;&gt;"Resultado trading"),"⚠ El monto debe ser positivo","✓")))))))))))))))</f>
        <v/>
      </c>
      <c r="P4442" s="52">
        <f>IF(OR(B4442="",G4442=""),"",IF(C4442="","Gasto",C4442))</f>
        <v/>
      </c>
      <c r="Q4442" s="52">
        <f>IF(P4442="","",IF(J4442&lt;&gt;"",J4442,CuentaPred&amp;""))</f>
        <v/>
      </c>
      <c r="R4442" s="52">
        <f>IF(P4442="","",IF(ISNUMBER(I4442),I4442,TasaUSD))</f>
        <v/>
      </c>
      <c r="S4442" s="53">
        <f>IF(P4442="","",IF(H4442="USD",G4442*R4442,G4442))</f>
        <v/>
      </c>
      <c r="T4442" s="53">
        <f>IF(P4442="","",IF(H4442="USD",G4442,IF(R4442&gt;0,G4442/R4442,0)))</f>
        <v/>
      </c>
      <c r="U4442" s="53">
        <f>IF(P4442="","",IF(P4442="Gasto",S4442,IF(P4442="Reembolso",-S4442,0)))</f>
        <v/>
      </c>
      <c r="V4442" s="53">
        <f>IF(P4442="","",IF(P4442="Ingreso",S4442,0))</f>
        <v/>
      </c>
      <c r="W4442" s="53">
        <f>IF(P4442="","",IF(P4442="Resultado trading",S4442,0))</f>
        <v/>
      </c>
      <c r="X4442" s="52">
        <f>IF(OR(P4442="Gasto",P4442="Reembolso"),IF(M4442&lt;&gt;"",M4442,IFERROR(INDEX(catClasif,MATCH(D4442&amp;"|"&amp;E4442,catClave,0))&amp;"","Variable")),"")</f>
        <v/>
      </c>
      <c r="Y4442" s="52">
        <f>IF(P4442="","",IFERROR(INDEX(catGrupo,MATCH(D4442&amp;"|"&amp;E4442,catClave,0))&amp;"",""))</f>
        <v/>
      </c>
      <c r="Z4442" s="52">
        <f>IF(P4442="","",WEEKDAY(B4442,2))</f>
        <v/>
      </c>
      <c r="AA4442" s="52">
        <f>IF(P4442="","",IF(AND(P4442="Gasto",X4442="Variable",D4442&lt;&gt;catTrading,S4442&gt;0,S4442&lt;=Umbral),1,0))</f>
        <v/>
      </c>
      <c r="AB4442" s="52">
        <f>IF(OR(P4442="",Q4442=""),"",IFERROR(IF(INDEX(ctaVinc,MATCH(Q4442,ctaNombre,0))&amp;""&lt;&gt;"",INDEX(ctaVinc,MATCH(Q4442,ctaNombre,0))&amp;"",Q4442),Q4442))</f>
        <v/>
      </c>
      <c r="AC4442" s="52">
        <f>IF(OR(K4442="",AND(P4442&lt;&gt;"Transferencia",P4442&lt;&gt;"Pago tarjeta")),"",IFERROR(IF(INDEX(ctaVinc,MATCH(K4442,ctaNombre,0))&amp;""&lt;&gt;"",INDEX(ctaVinc,MATCH(K4442,ctaNombre,0))&amp;"",K4442),K4442))</f>
        <v/>
      </c>
      <c r="AD4442" s="52">
        <f>IF(AB4442="","",IFERROR(INDEX(ctaTipo,MATCH(AB4442,ctaNombre,0))&amp;"",""))</f>
        <v/>
      </c>
      <c r="AE4442" s="52">
        <f>IF(AC4442="","",IFERROR(INDEX(ctaTipo,MATCH(AC4442,ctaNombre,0))&amp;"",""))</f>
        <v/>
      </c>
      <c r="AF4442" s="53">
        <f>IF(OR(P4442="",AB4442=""),"",IF(OR(P4442="Gasto",P4442="Transferencia",P4442="Pago tarjeta"),-1,1)*IF(IFERROR(INDEX(ctaMoneda,MATCH(AB4442,ctaNombre,0))&amp;"","DOP")="USD",T4442,S4442))</f>
        <v/>
      </c>
      <c r="AG4442" s="53">
        <f>IF(AC4442="","",IF(IFERROR(INDEX(ctaMoneda,MATCH(AC4442,ctaNombre,0))&amp;"","DOP")="USD",T4442,S4442))</f>
        <v/>
      </c>
      <c r="AH4442" s="53">
        <f>IF(P4442="","",IF(AND(AD4442&lt;&gt;"",COUNTIFS(tcTipo,AD4442,tcLiq,"Sí")&gt;0),IF(OR(P4442="Gasto",P4442="Transferencia",P4442="Pago tarjeta"),-1,1)*S4442,0)+IF(AND(AE4442&lt;&gt;"",COUNTIFS(tcTipo,AE4442,tcLiq,"Sí")&gt;0),S4442,0))</f>
        <v/>
      </c>
      <c r="AI4442" s="52">
        <f>IF(OR(L4442="",P4442=""),"",IF(COUNTIFS(L$6:L4442,L4442,P$6:P4442,"?*")=1,MAX(AI$5:AI4441)+1,""))</f>
        <v/>
      </c>
    </row>
    <row r="4443">
      <c r="B4443" s="47" t="n"/>
      <c r="C4443" s="48" t="n"/>
      <c r="D4443" s="48" t="n"/>
      <c r="E4443" s="48" t="n"/>
      <c r="F4443" s="48" t="n"/>
      <c r="G4443" s="49" t="n"/>
      <c r="H4443" s="48" t="n"/>
      <c r="I4443" s="50" t="n"/>
      <c r="J4443" s="48" t="n"/>
      <c r="K4443" s="48" t="n"/>
      <c r="L4443" s="48" t="n"/>
      <c r="M4443" s="48" t="n"/>
      <c r="N4443" s="48" t="n"/>
      <c r="O4443" s="51">
        <f>IF(AND(B4443="",G4443="",C4443="",D4443="",J4443=""),"",IF(B4443="","⚠ Falta fecha",IF(G4443="","⚠ Falta monto",IF(Q4443="","⚠ Falta cuenta",IF(ISNA(MATCH(Q4443,ctaNombre,0)),"⚠ Cuenta no registrada",IF(AND(OR(P4443="Gasto",P4443="Reembolso"),D4443=""),"⚠ Falta categoría",IF(AND(D4443&lt;&gt;"",E4443&lt;&gt;"",ISNA(MATCH(D4443&amp;"|"&amp;E4443,catClave,0))),"⚠ Subcategoría no corresponde",IF(AND(OR(P4443="Transferencia",P4443="Pago tarjeta"),K4443=""),"⚠ Falta cuenta destino",IF(AND(K4443&lt;&gt;"",P4443&lt;&gt;"Transferencia",P4443&lt;&gt;"Pago tarjeta"),"⚠ Destino solo aplica a transferencias",IF(AND(K4443&lt;&gt;"",K4443=Q4443),"⚠ Origen igual a destino",IF(AND(K4443&lt;&gt;"",ISNA(MATCH(K4443,ctaNombre,0))),"⚠ Destino no registrado",IF(AND(P4443="Pago tarjeta",AE4443&lt;&gt;"Tarjeta de crédito"),"⚠ El destino debe ser tarjeta de crédito",IF(AND(P4443="Gasto",E4443="Depósitos y retiros"),"⚠ Usa tipo Transferencia",IF(AND(P4443="Resultado trading",AD4443&lt;&gt;"Cuenta de trading"),"⚠ Usa una cuenta de trading",IF(AND(G4443&lt;=0,P4443&lt;&gt;"Ajuste",P4443&lt;&gt;"Resultado trading"),"⚠ El monto debe ser positivo","✓")))))))))))))))</f>
        <v/>
      </c>
      <c r="P4443" s="52">
        <f>IF(OR(B4443="",G4443=""),"",IF(C4443="","Gasto",C4443))</f>
        <v/>
      </c>
      <c r="Q4443" s="52">
        <f>IF(P4443="","",IF(J4443&lt;&gt;"",J4443,CuentaPred&amp;""))</f>
        <v/>
      </c>
      <c r="R4443" s="52">
        <f>IF(P4443="","",IF(ISNUMBER(I4443),I4443,TasaUSD))</f>
        <v/>
      </c>
      <c r="S4443" s="53">
        <f>IF(P4443="","",IF(H4443="USD",G4443*R4443,G4443))</f>
        <v/>
      </c>
      <c r="T4443" s="53">
        <f>IF(P4443="","",IF(H4443="USD",G4443,IF(R4443&gt;0,G4443/R4443,0)))</f>
        <v/>
      </c>
      <c r="U4443" s="53">
        <f>IF(P4443="","",IF(P4443="Gasto",S4443,IF(P4443="Reembolso",-S4443,0)))</f>
        <v/>
      </c>
      <c r="V4443" s="53">
        <f>IF(P4443="","",IF(P4443="Ingreso",S4443,0))</f>
        <v/>
      </c>
      <c r="W4443" s="53">
        <f>IF(P4443="","",IF(P4443="Resultado trading",S4443,0))</f>
        <v/>
      </c>
      <c r="X4443" s="52">
        <f>IF(OR(P4443="Gasto",P4443="Reembolso"),IF(M4443&lt;&gt;"",M4443,IFERROR(INDEX(catClasif,MATCH(D4443&amp;"|"&amp;E4443,catClave,0))&amp;"","Variable")),"")</f>
        <v/>
      </c>
      <c r="Y4443" s="52">
        <f>IF(P4443="","",IFERROR(INDEX(catGrupo,MATCH(D4443&amp;"|"&amp;E4443,catClave,0))&amp;"",""))</f>
        <v/>
      </c>
      <c r="Z4443" s="52">
        <f>IF(P4443="","",WEEKDAY(B4443,2))</f>
        <v/>
      </c>
      <c r="AA4443" s="52">
        <f>IF(P4443="","",IF(AND(P4443="Gasto",X4443="Variable",D4443&lt;&gt;catTrading,S4443&gt;0,S4443&lt;=Umbral),1,0))</f>
        <v/>
      </c>
      <c r="AB4443" s="52">
        <f>IF(OR(P4443="",Q4443=""),"",IFERROR(IF(INDEX(ctaVinc,MATCH(Q4443,ctaNombre,0))&amp;""&lt;&gt;"",INDEX(ctaVinc,MATCH(Q4443,ctaNombre,0))&amp;"",Q4443),Q4443))</f>
        <v/>
      </c>
      <c r="AC4443" s="52">
        <f>IF(OR(K4443="",AND(P4443&lt;&gt;"Transferencia",P4443&lt;&gt;"Pago tarjeta")),"",IFERROR(IF(INDEX(ctaVinc,MATCH(K4443,ctaNombre,0))&amp;""&lt;&gt;"",INDEX(ctaVinc,MATCH(K4443,ctaNombre,0))&amp;"",K4443),K4443))</f>
        <v/>
      </c>
      <c r="AD4443" s="52">
        <f>IF(AB4443="","",IFERROR(INDEX(ctaTipo,MATCH(AB4443,ctaNombre,0))&amp;"",""))</f>
        <v/>
      </c>
      <c r="AE4443" s="52">
        <f>IF(AC4443="","",IFERROR(INDEX(ctaTipo,MATCH(AC4443,ctaNombre,0))&amp;"",""))</f>
        <v/>
      </c>
      <c r="AF4443" s="53">
        <f>IF(OR(P4443="",AB4443=""),"",IF(OR(P4443="Gasto",P4443="Transferencia",P4443="Pago tarjeta"),-1,1)*IF(IFERROR(INDEX(ctaMoneda,MATCH(AB4443,ctaNombre,0))&amp;"","DOP")="USD",T4443,S4443))</f>
        <v/>
      </c>
      <c r="AG4443" s="53">
        <f>IF(AC4443="","",IF(IFERROR(INDEX(ctaMoneda,MATCH(AC4443,ctaNombre,0))&amp;"","DOP")="USD",T4443,S4443))</f>
        <v/>
      </c>
      <c r="AH4443" s="53">
        <f>IF(P4443="","",IF(AND(AD4443&lt;&gt;"",COUNTIFS(tcTipo,AD4443,tcLiq,"Sí")&gt;0),IF(OR(P4443="Gasto",P4443="Transferencia",P4443="Pago tarjeta"),-1,1)*S4443,0)+IF(AND(AE4443&lt;&gt;"",COUNTIFS(tcTipo,AE4443,tcLiq,"Sí")&gt;0),S4443,0))</f>
        <v/>
      </c>
      <c r="AI4443" s="52">
        <f>IF(OR(L4443="",P4443=""),"",IF(COUNTIFS(L$6:L4443,L4443,P$6:P4443,"?*")=1,MAX(AI$5:AI4442)+1,""))</f>
        <v/>
      </c>
    </row>
    <row r="4444">
      <c r="B4444" s="47" t="n"/>
      <c r="C4444" s="48" t="n"/>
      <c r="D4444" s="48" t="n"/>
      <c r="E4444" s="48" t="n"/>
      <c r="F4444" s="48" t="n"/>
      <c r="G4444" s="49" t="n"/>
      <c r="H4444" s="48" t="n"/>
      <c r="I4444" s="50" t="n"/>
      <c r="J4444" s="48" t="n"/>
      <c r="K4444" s="48" t="n"/>
      <c r="L4444" s="48" t="n"/>
      <c r="M4444" s="48" t="n"/>
      <c r="N4444" s="48" t="n"/>
      <c r="O4444" s="51">
        <f>IF(AND(B4444="",G4444="",C4444="",D4444="",J4444=""),"",IF(B4444="","⚠ Falta fecha",IF(G4444="","⚠ Falta monto",IF(Q4444="","⚠ Falta cuenta",IF(ISNA(MATCH(Q4444,ctaNombre,0)),"⚠ Cuenta no registrada",IF(AND(OR(P4444="Gasto",P4444="Reembolso"),D4444=""),"⚠ Falta categoría",IF(AND(D4444&lt;&gt;"",E4444&lt;&gt;"",ISNA(MATCH(D4444&amp;"|"&amp;E4444,catClave,0))),"⚠ Subcategoría no corresponde",IF(AND(OR(P4444="Transferencia",P4444="Pago tarjeta"),K4444=""),"⚠ Falta cuenta destino",IF(AND(K4444&lt;&gt;"",P4444&lt;&gt;"Transferencia",P4444&lt;&gt;"Pago tarjeta"),"⚠ Destino solo aplica a transferencias",IF(AND(K4444&lt;&gt;"",K4444=Q4444),"⚠ Origen igual a destino",IF(AND(K4444&lt;&gt;"",ISNA(MATCH(K4444,ctaNombre,0))),"⚠ Destino no registrado",IF(AND(P4444="Pago tarjeta",AE4444&lt;&gt;"Tarjeta de crédito"),"⚠ El destino debe ser tarjeta de crédito",IF(AND(P4444="Gasto",E4444="Depósitos y retiros"),"⚠ Usa tipo Transferencia",IF(AND(P4444="Resultado trading",AD4444&lt;&gt;"Cuenta de trading"),"⚠ Usa una cuenta de trading",IF(AND(G4444&lt;=0,P4444&lt;&gt;"Ajuste",P4444&lt;&gt;"Resultado trading"),"⚠ El monto debe ser positivo","✓")))))))))))))))</f>
        <v/>
      </c>
      <c r="P4444" s="52">
        <f>IF(OR(B4444="",G4444=""),"",IF(C4444="","Gasto",C4444))</f>
        <v/>
      </c>
      <c r="Q4444" s="52">
        <f>IF(P4444="","",IF(J4444&lt;&gt;"",J4444,CuentaPred&amp;""))</f>
        <v/>
      </c>
      <c r="R4444" s="52">
        <f>IF(P4444="","",IF(ISNUMBER(I4444),I4444,TasaUSD))</f>
        <v/>
      </c>
      <c r="S4444" s="53">
        <f>IF(P4444="","",IF(H4444="USD",G4444*R4444,G4444))</f>
        <v/>
      </c>
      <c r="T4444" s="53">
        <f>IF(P4444="","",IF(H4444="USD",G4444,IF(R4444&gt;0,G4444/R4444,0)))</f>
        <v/>
      </c>
      <c r="U4444" s="53">
        <f>IF(P4444="","",IF(P4444="Gasto",S4444,IF(P4444="Reembolso",-S4444,0)))</f>
        <v/>
      </c>
      <c r="V4444" s="53">
        <f>IF(P4444="","",IF(P4444="Ingreso",S4444,0))</f>
        <v/>
      </c>
      <c r="W4444" s="53">
        <f>IF(P4444="","",IF(P4444="Resultado trading",S4444,0))</f>
        <v/>
      </c>
      <c r="X4444" s="52">
        <f>IF(OR(P4444="Gasto",P4444="Reembolso"),IF(M4444&lt;&gt;"",M4444,IFERROR(INDEX(catClasif,MATCH(D4444&amp;"|"&amp;E4444,catClave,0))&amp;"","Variable")),"")</f>
        <v/>
      </c>
      <c r="Y4444" s="52">
        <f>IF(P4444="","",IFERROR(INDEX(catGrupo,MATCH(D4444&amp;"|"&amp;E4444,catClave,0))&amp;"",""))</f>
        <v/>
      </c>
      <c r="Z4444" s="52">
        <f>IF(P4444="","",WEEKDAY(B4444,2))</f>
        <v/>
      </c>
      <c r="AA4444" s="52">
        <f>IF(P4444="","",IF(AND(P4444="Gasto",X4444="Variable",D4444&lt;&gt;catTrading,S4444&gt;0,S4444&lt;=Umbral),1,0))</f>
        <v/>
      </c>
      <c r="AB4444" s="52">
        <f>IF(OR(P4444="",Q4444=""),"",IFERROR(IF(INDEX(ctaVinc,MATCH(Q4444,ctaNombre,0))&amp;""&lt;&gt;"",INDEX(ctaVinc,MATCH(Q4444,ctaNombre,0))&amp;"",Q4444),Q4444))</f>
        <v/>
      </c>
      <c r="AC4444" s="52">
        <f>IF(OR(K4444="",AND(P4444&lt;&gt;"Transferencia",P4444&lt;&gt;"Pago tarjeta")),"",IFERROR(IF(INDEX(ctaVinc,MATCH(K4444,ctaNombre,0))&amp;""&lt;&gt;"",INDEX(ctaVinc,MATCH(K4444,ctaNombre,0))&amp;"",K4444),K4444))</f>
        <v/>
      </c>
      <c r="AD4444" s="52">
        <f>IF(AB4444="","",IFERROR(INDEX(ctaTipo,MATCH(AB4444,ctaNombre,0))&amp;"",""))</f>
        <v/>
      </c>
      <c r="AE4444" s="52">
        <f>IF(AC4444="","",IFERROR(INDEX(ctaTipo,MATCH(AC4444,ctaNombre,0))&amp;"",""))</f>
        <v/>
      </c>
      <c r="AF4444" s="53">
        <f>IF(OR(P4444="",AB4444=""),"",IF(OR(P4444="Gasto",P4444="Transferencia",P4444="Pago tarjeta"),-1,1)*IF(IFERROR(INDEX(ctaMoneda,MATCH(AB4444,ctaNombre,0))&amp;"","DOP")="USD",T4444,S4444))</f>
        <v/>
      </c>
      <c r="AG4444" s="53">
        <f>IF(AC4444="","",IF(IFERROR(INDEX(ctaMoneda,MATCH(AC4444,ctaNombre,0))&amp;"","DOP")="USD",T4444,S4444))</f>
        <v/>
      </c>
      <c r="AH4444" s="53">
        <f>IF(P4444="","",IF(AND(AD4444&lt;&gt;"",COUNTIFS(tcTipo,AD4444,tcLiq,"Sí")&gt;0),IF(OR(P4444="Gasto",P4444="Transferencia",P4444="Pago tarjeta"),-1,1)*S4444,0)+IF(AND(AE4444&lt;&gt;"",COUNTIFS(tcTipo,AE4444,tcLiq,"Sí")&gt;0),S4444,0))</f>
        <v/>
      </c>
      <c r="AI4444" s="52">
        <f>IF(OR(L4444="",P4444=""),"",IF(COUNTIFS(L$6:L4444,L4444,P$6:P4444,"?*")=1,MAX(AI$5:AI4443)+1,""))</f>
        <v/>
      </c>
    </row>
    <row r="4445">
      <c r="B4445" s="47" t="n"/>
      <c r="C4445" s="48" t="n"/>
      <c r="D4445" s="48" t="n"/>
      <c r="E4445" s="48" t="n"/>
      <c r="F4445" s="48" t="n"/>
      <c r="G4445" s="49" t="n"/>
      <c r="H4445" s="48" t="n"/>
      <c r="I4445" s="50" t="n"/>
      <c r="J4445" s="48" t="n"/>
      <c r="K4445" s="48" t="n"/>
      <c r="L4445" s="48" t="n"/>
      <c r="M4445" s="48" t="n"/>
      <c r="N4445" s="48" t="n"/>
      <c r="O4445" s="51">
        <f>IF(AND(B4445="",G4445="",C4445="",D4445="",J4445=""),"",IF(B4445="","⚠ Falta fecha",IF(G4445="","⚠ Falta monto",IF(Q4445="","⚠ Falta cuenta",IF(ISNA(MATCH(Q4445,ctaNombre,0)),"⚠ Cuenta no registrada",IF(AND(OR(P4445="Gasto",P4445="Reembolso"),D4445=""),"⚠ Falta categoría",IF(AND(D4445&lt;&gt;"",E4445&lt;&gt;"",ISNA(MATCH(D4445&amp;"|"&amp;E4445,catClave,0))),"⚠ Subcategoría no corresponde",IF(AND(OR(P4445="Transferencia",P4445="Pago tarjeta"),K4445=""),"⚠ Falta cuenta destino",IF(AND(K4445&lt;&gt;"",P4445&lt;&gt;"Transferencia",P4445&lt;&gt;"Pago tarjeta"),"⚠ Destino solo aplica a transferencias",IF(AND(K4445&lt;&gt;"",K4445=Q4445),"⚠ Origen igual a destino",IF(AND(K4445&lt;&gt;"",ISNA(MATCH(K4445,ctaNombre,0))),"⚠ Destino no registrado",IF(AND(P4445="Pago tarjeta",AE4445&lt;&gt;"Tarjeta de crédito"),"⚠ El destino debe ser tarjeta de crédito",IF(AND(P4445="Gasto",E4445="Depósitos y retiros"),"⚠ Usa tipo Transferencia",IF(AND(P4445="Resultado trading",AD4445&lt;&gt;"Cuenta de trading"),"⚠ Usa una cuenta de trading",IF(AND(G4445&lt;=0,P4445&lt;&gt;"Ajuste",P4445&lt;&gt;"Resultado trading"),"⚠ El monto debe ser positivo","✓")))))))))))))))</f>
        <v/>
      </c>
      <c r="P4445" s="52">
        <f>IF(OR(B4445="",G4445=""),"",IF(C4445="","Gasto",C4445))</f>
        <v/>
      </c>
      <c r="Q4445" s="52">
        <f>IF(P4445="","",IF(J4445&lt;&gt;"",J4445,CuentaPred&amp;""))</f>
        <v/>
      </c>
      <c r="R4445" s="52">
        <f>IF(P4445="","",IF(ISNUMBER(I4445),I4445,TasaUSD))</f>
        <v/>
      </c>
      <c r="S4445" s="53">
        <f>IF(P4445="","",IF(H4445="USD",G4445*R4445,G4445))</f>
        <v/>
      </c>
      <c r="T4445" s="53">
        <f>IF(P4445="","",IF(H4445="USD",G4445,IF(R4445&gt;0,G4445/R4445,0)))</f>
        <v/>
      </c>
      <c r="U4445" s="53">
        <f>IF(P4445="","",IF(P4445="Gasto",S4445,IF(P4445="Reembolso",-S4445,0)))</f>
        <v/>
      </c>
      <c r="V4445" s="53">
        <f>IF(P4445="","",IF(P4445="Ingreso",S4445,0))</f>
        <v/>
      </c>
      <c r="W4445" s="53">
        <f>IF(P4445="","",IF(P4445="Resultado trading",S4445,0))</f>
        <v/>
      </c>
      <c r="X4445" s="52">
        <f>IF(OR(P4445="Gasto",P4445="Reembolso"),IF(M4445&lt;&gt;"",M4445,IFERROR(INDEX(catClasif,MATCH(D4445&amp;"|"&amp;E4445,catClave,0))&amp;"","Variable")),"")</f>
        <v/>
      </c>
      <c r="Y4445" s="52">
        <f>IF(P4445="","",IFERROR(INDEX(catGrupo,MATCH(D4445&amp;"|"&amp;E4445,catClave,0))&amp;"",""))</f>
        <v/>
      </c>
      <c r="Z4445" s="52">
        <f>IF(P4445="","",WEEKDAY(B4445,2))</f>
        <v/>
      </c>
      <c r="AA4445" s="52">
        <f>IF(P4445="","",IF(AND(P4445="Gasto",X4445="Variable",D4445&lt;&gt;catTrading,S4445&gt;0,S4445&lt;=Umbral),1,0))</f>
        <v/>
      </c>
      <c r="AB4445" s="52">
        <f>IF(OR(P4445="",Q4445=""),"",IFERROR(IF(INDEX(ctaVinc,MATCH(Q4445,ctaNombre,0))&amp;""&lt;&gt;"",INDEX(ctaVinc,MATCH(Q4445,ctaNombre,0))&amp;"",Q4445),Q4445))</f>
        <v/>
      </c>
      <c r="AC4445" s="52">
        <f>IF(OR(K4445="",AND(P4445&lt;&gt;"Transferencia",P4445&lt;&gt;"Pago tarjeta")),"",IFERROR(IF(INDEX(ctaVinc,MATCH(K4445,ctaNombre,0))&amp;""&lt;&gt;"",INDEX(ctaVinc,MATCH(K4445,ctaNombre,0))&amp;"",K4445),K4445))</f>
        <v/>
      </c>
      <c r="AD4445" s="52">
        <f>IF(AB4445="","",IFERROR(INDEX(ctaTipo,MATCH(AB4445,ctaNombre,0))&amp;"",""))</f>
        <v/>
      </c>
      <c r="AE4445" s="52">
        <f>IF(AC4445="","",IFERROR(INDEX(ctaTipo,MATCH(AC4445,ctaNombre,0))&amp;"",""))</f>
        <v/>
      </c>
      <c r="AF4445" s="53">
        <f>IF(OR(P4445="",AB4445=""),"",IF(OR(P4445="Gasto",P4445="Transferencia",P4445="Pago tarjeta"),-1,1)*IF(IFERROR(INDEX(ctaMoneda,MATCH(AB4445,ctaNombre,0))&amp;"","DOP")="USD",T4445,S4445))</f>
        <v/>
      </c>
      <c r="AG4445" s="53">
        <f>IF(AC4445="","",IF(IFERROR(INDEX(ctaMoneda,MATCH(AC4445,ctaNombre,0))&amp;"","DOP")="USD",T4445,S4445))</f>
        <v/>
      </c>
      <c r="AH4445" s="53">
        <f>IF(P4445="","",IF(AND(AD4445&lt;&gt;"",COUNTIFS(tcTipo,AD4445,tcLiq,"Sí")&gt;0),IF(OR(P4445="Gasto",P4445="Transferencia",P4445="Pago tarjeta"),-1,1)*S4445,0)+IF(AND(AE4445&lt;&gt;"",COUNTIFS(tcTipo,AE4445,tcLiq,"Sí")&gt;0),S4445,0))</f>
        <v/>
      </c>
      <c r="AI4445" s="52">
        <f>IF(OR(L4445="",P4445=""),"",IF(COUNTIFS(L$6:L4445,L4445,P$6:P4445,"?*")=1,MAX(AI$5:AI4444)+1,""))</f>
        <v/>
      </c>
    </row>
    <row r="4446">
      <c r="B4446" s="47" t="n"/>
      <c r="C4446" s="48" t="n"/>
      <c r="D4446" s="48" t="n"/>
      <c r="E4446" s="48" t="n"/>
      <c r="F4446" s="48" t="n"/>
      <c r="G4446" s="49" t="n"/>
      <c r="H4446" s="48" t="n"/>
      <c r="I4446" s="50" t="n"/>
      <c r="J4446" s="48" t="n"/>
      <c r="K4446" s="48" t="n"/>
      <c r="L4446" s="48" t="n"/>
      <c r="M4446" s="48" t="n"/>
      <c r="N4446" s="48" t="n"/>
      <c r="O4446" s="51">
        <f>IF(AND(B4446="",G4446="",C4446="",D4446="",J4446=""),"",IF(B4446="","⚠ Falta fecha",IF(G4446="","⚠ Falta monto",IF(Q4446="","⚠ Falta cuenta",IF(ISNA(MATCH(Q4446,ctaNombre,0)),"⚠ Cuenta no registrada",IF(AND(OR(P4446="Gasto",P4446="Reembolso"),D4446=""),"⚠ Falta categoría",IF(AND(D4446&lt;&gt;"",E4446&lt;&gt;"",ISNA(MATCH(D4446&amp;"|"&amp;E4446,catClave,0))),"⚠ Subcategoría no corresponde",IF(AND(OR(P4446="Transferencia",P4446="Pago tarjeta"),K4446=""),"⚠ Falta cuenta destino",IF(AND(K4446&lt;&gt;"",P4446&lt;&gt;"Transferencia",P4446&lt;&gt;"Pago tarjeta"),"⚠ Destino solo aplica a transferencias",IF(AND(K4446&lt;&gt;"",K4446=Q4446),"⚠ Origen igual a destino",IF(AND(K4446&lt;&gt;"",ISNA(MATCH(K4446,ctaNombre,0))),"⚠ Destino no registrado",IF(AND(P4446="Pago tarjeta",AE4446&lt;&gt;"Tarjeta de crédito"),"⚠ El destino debe ser tarjeta de crédito",IF(AND(P4446="Gasto",E4446="Depósitos y retiros"),"⚠ Usa tipo Transferencia",IF(AND(P4446="Resultado trading",AD4446&lt;&gt;"Cuenta de trading"),"⚠ Usa una cuenta de trading",IF(AND(G4446&lt;=0,P4446&lt;&gt;"Ajuste",P4446&lt;&gt;"Resultado trading"),"⚠ El monto debe ser positivo","✓")))))))))))))))</f>
        <v/>
      </c>
      <c r="P4446" s="52">
        <f>IF(OR(B4446="",G4446=""),"",IF(C4446="","Gasto",C4446))</f>
        <v/>
      </c>
      <c r="Q4446" s="52">
        <f>IF(P4446="","",IF(J4446&lt;&gt;"",J4446,CuentaPred&amp;""))</f>
        <v/>
      </c>
      <c r="R4446" s="52">
        <f>IF(P4446="","",IF(ISNUMBER(I4446),I4446,TasaUSD))</f>
        <v/>
      </c>
      <c r="S4446" s="53">
        <f>IF(P4446="","",IF(H4446="USD",G4446*R4446,G4446))</f>
        <v/>
      </c>
      <c r="T4446" s="53">
        <f>IF(P4446="","",IF(H4446="USD",G4446,IF(R4446&gt;0,G4446/R4446,0)))</f>
        <v/>
      </c>
      <c r="U4446" s="53">
        <f>IF(P4446="","",IF(P4446="Gasto",S4446,IF(P4446="Reembolso",-S4446,0)))</f>
        <v/>
      </c>
      <c r="V4446" s="53">
        <f>IF(P4446="","",IF(P4446="Ingreso",S4446,0))</f>
        <v/>
      </c>
      <c r="W4446" s="53">
        <f>IF(P4446="","",IF(P4446="Resultado trading",S4446,0))</f>
        <v/>
      </c>
      <c r="X4446" s="52">
        <f>IF(OR(P4446="Gasto",P4446="Reembolso"),IF(M4446&lt;&gt;"",M4446,IFERROR(INDEX(catClasif,MATCH(D4446&amp;"|"&amp;E4446,catClave,0))&amp;"","Variable")),"")</f>
        <v/>
      </c>
      <c r="Y4446" s="52">
        <f>IF(P4446="","",IFERROR(INDEX(catGrupo,MATCH(D4446&amp;"|"&amp;E4446,catClave,0))&amp;"",""))</f>
        <v/>
      </c>
      <c r="Z4446" s="52">
        <f>IF(P4446="","",WEEKDAY(B4446,2))</f>
        <v/>
      </c>
      <c r="AA4446" s="52">
        <f>IF(P4446="","",IF(AND(P4446="Gasto",X4446="Variable",D4446&lt;&gt;catTrading,S4446&gt;0,S4446&lt;=Umbral),1,0))</f>
        <v/>
      </c>
      <c r="AB4446" s="52">
        <f>IF(OR(P4446="",Q4446=""),"",IFERROR(IF(INDEX(ctaVinc,MATCH(Q4446,ctaNombre,0))&amp;""&lt;&gt;"",INDEX(ctaVinc,MATCH(Q4446,ctaNombre,0))&amp;"",Q4446),Q4446))</f>
        <v/>
      </c>
      <c r="AC4446" s="52">
        <f>IF(OR(K4446="",AND(P4446&lt;&gt;"Transferencia",P4446&lt;&gt;"Pago tarjeta")),"",IFERROR(IF(INDEX(ctaVinc,MATCH(K4446,ctaNombre,0))&amp;""&lt;&gt;"",INDEX(ctaVinc,MATCH(K4446,ctaNombre,0))&amp;"",K4446),K4446))</f>
        <v/>
      </c>
      <c r="AD4446" s="52">
        <f>IF(AB4446="","",IFERROR(INDEX(ctaTipo,MATCH(AB4446,ctaNombre,0))&amp;"",""))</f>
        <v/>
      </c>
      <c r="AE4446" s="52">
        <f>IF(AC4446="","",IFERROR(INDEX(ctaTipo,MATCH(AC4446,ctaNombre,0))&amp;"",""))</f>
        <v/>
      </c>
      <c r="AF4446" s="53">
        <f>IF(OR(P4446="",AB4446=""),"",IF(OR(P4446="Gasto",P4446="Transferencia",P4446="Pago tarjeta"),-1,1)*IF(IFERROR(INDEX(ctaMoneda,MATCH(AB4446,ctaNombre,0))&amp;"","DOP")="USD",T4446,S4446))</f>
        <v/>
      </c>
      <c r="AG4446" s="53">
        <f>IF(AC4446="","",IF(IFERROR(INDEX(ctaMoneda,MATCH(AC4446,ctaNombre,0))&amp;"","DOP")="USD",T4446,S4446))</f>
        <v/>
      </c>
      <c r="AH4446" s="53">
        <f>IF(P4446="","",IF(AND(AD4446&lt;&gt;"",COUNTIFS(tcTipo,AD4446,tcLiq,"Sí")&gt;0),IF(OR(P4446="Gasto",P4446="Transferencia",P4446="Pago tarjeta"),-1,1)*S4446,0)+IF(AND(AE4446&lt;&gt;"",COUNTIFS(tcTipo,AE4446,tcLiq,"Sí")&gt;0),S4446,0))</f>
        <v/>
      </c>
      <c r="AI4446" s="52">
        <f>IF(OR(L4446="",P4446=""),"",IF(COUNTIFS(L$6:L4446,L4446,P$6:P4446,"?*")=1,MAX(AI$5:AI4445)+1,""))</f>
        <v/>
      </c>
    </row>
    <row r="4447">
      <c r="B4447" s="47" t="n"/>
      <c r="C4447" s="48" t="n"/>
      <c r="D4447" s="48" t="n"/>
      <c r="E4447" s="48" t="n"/>
      <c r="F4447" s="48" t="n"/>
      <c r="G4447" s="49" t="n"/>
      <c r="H4447" s="48" t="n"/>
      <c r="I4447" s="50" t="n"/>
      <c r="J4447" s="48" t="n"/>
      <c r="K4447" s="48" t="n"/>
      <c r="L4447" s="48" t="n"/>
      <c r="M4447" s="48" t="n"/>
      <c r="N4447" s="48" t="n"/>
      <c r="O4447" s="51">
        <f>IF(AND(B4447="",G4447="",C4447="",D4447="",J4447=""),"",IF(B4447="","⚠ Falta fecha",IF(G4447="","⚠ Falta monto",IF(Q4447="","⚠ Falta cuenta",IF(ISNA(MATCH(Q4447,ctaNombre,0)),"⚠ Cuenta no registrada",IF(AND(OR(P4447="Gasto",P4447="Reembolso"),D4447=""),"⚠ Falta categoría",IF(AND(D4447&lt;&gt;"",E4447&lt;&gt;"",ISNA(MATCH(D4447&amp;"|"&amp;E4447,catClave,0))),"⚠ Subcategoría no corresponde",IF(AND(OR(P4447="Transferencia",P4447="Pago tarjeta"),K4447=""),"⚠ Falta cuenta destino",IF(AND(K4447&lt;&gt;"",P4447&lt;&gt;"Transferencia",P4447&lt;&gt;"Pago tarjeta"),"⚠ Destino solo aplica a transferencias",IF(AND(K4447&lt;&gt;"",K4447=Q4447),"⚠ Origen igual a destino",IF(AND(K4447&lt;&gt;"",ISNA(MATCH(K4447,ctaNombre,0))),"⚠ Destino no registrado",IF(AND(P4447="Pago tarjeta",AE4447&lt;&gt;"Tarjeta de crédito"),"⚠ El destino debe ser tarjeta de crédito",IF(AND(P4447="Gasto",E4447="Depósitos y retiros"),"⚠ Usa tipo Transferencia",IF(AND(P4447="Resultado trading",AD4447&lt;&gt;"Cuenta de trading"),"⚠ Usa una cuenta de trading",IF(AND(G4447&lt;=0,P4447&lt;&gt;"Ajuste",P4447&lt;&gt;"Resultado trading"),"⚠ El monto debe ser positivo","✓")))))))))))))))</f>
        <v/>
      </c>
      <c r="P4447" s="52">
        <f>IF(OR(B4447="",G4447=""),"",IF(C4447="","Gasto",C4447))</f>
        <v/>
      </c>
      <c r="Q4447" s="52">
        <f>IF(P4447="","",IF(J4447&lt;&gt;"",J4447,CuentaPred&amp;""))</f>
        <v/>
      </c>
      <c r="R4447" s="52">
        <f>IF(P4447="","",IF(ISNUMBER(I4447),I4447,TasaUSD))</f>
        <v/>
      </c>
      <c r="S4447" s="53">
        <f>IF(P4447="","",IF(H4447="USD",G4447*R4447,G4447))</f>
        <v/>
      </c>
      <c r="T4447" s="53">
        <f>IF(P4447="","",IF(H4447="USD",G4447,IF(R4447&gt;0,G4447/R4447,0)))</f>
        <v/>
      </c>
      <c r="U4447" s="53">
        <f>IF(P4447="","",IF(P4447="Gasto",S4447,IF(P4447="Reembolso",-S4447,0)))</f>
        <v/>
      </c>
      <c r="V4447" s="53">
        <f>IF(P4447="","",IF(P4447="Ingreso",S4447,0))</f>
        <v/>
      </c>
      <c r="W4447" s="53">
        <f>IF(P4447="","",IF(P4447="Resultado trading",S4447,0))</f>
        <v/>
      </c>
      <c r="X4447" s="52">
        <f>IF(OR(P4447="Gasto",P4447="Reembolso"),IF(M4447&lt;&gt;"",M4447,IFERROR(INDEX(catClasif,MATCH(D4447&amp;"|"&amp;E4447,catClave,0))&amp;"","Variable")),"")</f>
        <v/>
      </c>
      <c r="Y4447" s="52">
        <f>IF(P4447="","",IFERROR(INDEX(catGrupo,MATCH(D4447&amp;"|"&amp;E4447,catClave,0))&amp;"",""))</f>
        <v/>
      </c>
      <c r="Z4447" s="52">
        <f>IF(P4447="","",WEEKDAY(B4447,2))</f>
        <v/>
      </c>
      <c r="AA4447" s="52">
        <f>IF(P4447="","",IF(AND(P4447="Gasto",X4447="Variable",D4447&lt;&gt;catTrading,S4447&gt;0,S4447&lt;=Umbral),1,0))</f>
        <v/>
      </c>
      <c r="AB4447" s="52">
        <f>IF(OR(P4447="",Q4447=""),"",IFERROR(IF(INDEX(ctaVinc,MATCH(Q4447,ctaNombre,0))&amp;""&lt;&gt;"",INDEX(ctaVinc,MATCH(Q4447,ctaNombre,0))&amp;"",Q4447),Q4447))</f>
        <v/>
      </c>
      <c r="AC4447" s="52">
        <f>IF(OR(K4447="",AND(P4447&lt;&gt;"Transferencia",P4447&lt;&gt;"Pago tarjeta")),"",IFERROR(IF(INDEX(ctaVinc,MATCH(K4447,ctaNombre,0))&amp;""&lt;&gt;"",INDEX(ctaVinc,MATCH(K4447,ctaNombre,0))&amp;"",K4447),K4447))</f>
        <v/>
      </c>
      <c r="AD4447" s="52">
        <f>IF(AB4447="","",IFERROR(INDEX(ctaTipo,MATCH(AB4447,ctaNombre,0))&amp;"",""))</f>
        <v/>
      </c>
      <c r="AE4447" s="52">
        <f>IF(AC4447="","",IFERROR(INDEX(ctaTipo,MATCH(AC4447,ctaNombre,0))&amp;"",""))</f>
        <v/>
      </c>
      <c r="AF4447" s="53">
        <f>IF(OR(P4447="",AB4447=""),"",IF(OR(P4447="Gasto",P4447="Transferencia",P4447="Pago tarjeta"),-1,1)*IF(IFERROR(INDEX(ctaMoneda,MATCH(AB4447,ctaNombre,0))&amp;"","DOP")="USD",T4447,S4447))</f>
        <v/>
      </c>
      <c r="AG4447" s="53">
        <f>IF(AC4447="","",IF(IFERROR(INDEX(ctaMoneda,MATCH(AC4447,ctaNombre,0))&amp;"","DOP")="USD",T4447,S4447))</f>
        <v/>
      </c>
      <c r="AH4447" s="53">
        <f>IF(P4447="","",IF(AND(AD4447&lt;&gt;"",COUNTIFS(tcTipo,AD4447,tcLiq,"Sí")&gt;0),IF(OR(P4447="Gasto",P4447="Transferencia",P4447="Pago tarjeta"),-1,1)*S4447,0)+IF(AND(AE4447&lt;&gt;"",COUNTIFS(tcTipo,AE4447,tcLiq,"Sí")&gt;0),S4447,0))</f>
        <v/>
      </c>
      <c r="AI4447" s="52">
        <f>IF(OR(L4447="",P4447=""),"",IF(COUNTIFS(L$6:L4447,L4447,P$6:P4447,"?*")=1,MAX(AI$5:AI4446)+1,""))</f>
        <v/>
      </c>
    </row>
    <row r="4448">
      <c r="B4448" s="47" t="n"/>
      <c r="C4448" s="48" t="n"/>
      <c r="D4448" s="48" t="n"/>
      <c r="E4448" s="48" t="n"/>
      <c r="F4448" s="48" t="n"/>
      <c r="G4448" s="49" t="n"/>
      <c r="H4448" s="48" t="n"/>
      <c r="I4448" s="50" t="n"/>
      <c r="J4448" s="48" t="n"/>
      <c r="K4448" s="48" t="n"/>
      <c r="L4448" s="48" t="n"/>
      <c r="M4448" s="48" t="n"/>
      <c r="N4448" s="48" t="n"/>
      <c r="O4448" s="51">
        <f>IF(AND(B4448="",G4448="",C4448="",D4448="",J4448=""),"",IF(B4448="","⚠ Falta fecha",IF(G4448="","⚠ Falta monto",IF(Q4448="","⚠ Falta cuenta",IF(ISNA(MATCH(Q4448,ctaNombre,0)),"⚠ Cuenta no registrada",IF(AND(OR(P4448="Gasto",P4448="Reembolso"),D4448=""),"⚠ Falta categoría",IF(AND(D4448&lt;&gt;"",E4448&lt;&gt;"",ISNA(MATCH(D4448&amp;"|"&amp;E4448,catClave,0))),"⚠ Subcategoría no corresponde",IF(AND(OR(P4448="Transferencia",P4448="Pago tarjeta"),K4448=""),"⚠ Falta cuenta destino",IF(AND(K4448&lt;&gt;"",P4448&lt;&gt;"Transferencia",P4448&lt;&gt;"Pago tarjeta"),"⚠ Destino solo aplica a transferencias",IF(AND(K4448&lt;&gt;"",K4448=Q4448),"⚠ Origen igual a destino",IF(AND(K4448&lt;&gt;"",ISNA(MATCH(K4448,ctaNombre,0))),"⚠ Destino no registrado",IF(AND(P4448="Pago tarjeta",AE4448&lt;&gt;"Tarjeta de crédito"),"⚠ El destino debe ser tarjeta de crédito",IF(AND(P4448="Gasto",E4448="Depósitos y retiros"),"⚠ Usa tipo Transferencia",IF(AND(P4448="Resultado trading",AD4448&lt;&gt;"Cuenta de trading"),"⚠ Usa una cuenta de trading",IF(AND(G4448&lt;=0,P4448&lt;&gt;"Ajuste",P4448&lt;&gt;"Resultado trading"),"⚠ El monto debe ser positivo","✓")))))))))))))))</f>
        <v/>
      </c>
      <c r="P4448" s="52">
        <f>IF(OR(B4448="",G4448=""),"",IF(C4448="","Gasto",C4448))</f>
        <v/>
      </c>
      <c r="Q4448" s="52">
        <f>IF(P4448="","",IF(J4448&lt;&gt;"",J4448,CuentaPred&amp;""))</f>
        <v/>
      </c>
      <c r="R4448" s="52">
        <f>IF(P4448="","",IF(ISNUMBER(I4448),I4448,TasaUSD))</f>
        <v/>
      </c>
      <c r="S4448" s="53">
        <f>IF(P4448="","",IF(H4448="USD",G4448*R4448,G4448))</f>
        <v/>
      </c>
      <c r="T4448" s="53">
        <f>IF(P4448="","",IF(H4448="USD",G4448,IF(R4448&gt;0,G4448/R4448,0)))</f>
        <v/>
      </c>
      <c r="U4448" s="53">
        <f>IF(P4448="","",IF(P4448="Gasto",S4448,IF(P4448="Reembolso",-S4448,0)))</f>
        <v/>
      </c>
      <c r="V4448" s="53">
        <f>IF(P4448="","",IF(P4448="Ingreso",S4448,0))</f>
        <v/>
      </c>
      <c r="W4448" s="53">
        <f>IF(P4448="","",IF(P4448="Resultado trading",S4448,0))</f>
        <v/>
      </c>
      <c r="X4448" s="52">
        <f>IF(OR(P4448="Gasto",P4448="Reembolso"),IF(M4448&lt;&gt;"",M4448,IFERROR(INDEX(catClasif,MATCH(D4448&amp;"|"&amp;E4448,catClave,0))&amp;"","Variable")),"")</f>
        <v/>
      </c>
      <c r="Y4448" s="52">
        <f>IF(P4448="","",IFERROR(INDEX(catGrupo,MATCH(D4448&amp;"|"&amp;E4448,catClave,0))&amp;"",""))</f>
        <v/>
      </c>
      <c r="Z4448" s="52">
        <f>IF(P4448="","",WEEKDAY(B4448,2))</f>
        <v/>
      </c>
      <c r="AA4448" s="52">
        <f>IF(P4448="","",IF(AND(P4448="Gasto",X4448="Variable",D4448&lt;&gt;catTrading,S4448&gt;0,S4448&lt;=Umbral),1,0))</f>
        <v/>
      </c>
      <c r="AB4448" s="52">
        <f>IF(OR(P4448="",Q4448=""),"",IFERROR(IF(INDEX(ctaVinc,MATCH(Q4448,ctaNombre,0))&amp;""&lt;&gt;"",INDEX(ctaVinc,MATCH(Q4448,ctaNombre,0))&amp;"",Q4448),Q4448))</f>
        <v/>
      </c>
      <c r="AC4448" s="52">
        <f>IF(OR(K4448="",AND(P4448&lt;&gt;"Transferencia",P4448&lt;&gt;"Pago tarjeta")),"",IFERROR(IF(INDEX(ctaVinc,MATCH(K4448,ctaNombre,0))&amp;""&lt;&gt;"",INDEX(ctaVinc,MATCH(K4448,ctaNombre,0))&amp;"",K4448),K4448))</f>
        <v/>
      </c>
      <c r="AD4448" s="52">
        <f>IF(AB4448="","",IFERROR(INDEX(ctaTipo,MATCH(AB4448,ctaNombre,0))&amp;"",""))</f>
        <v/>
      </c>
      <c r="AE4448" s="52">
        <f>IF(AC4448="","",IFERROR(INDEX(ctaTipo,MATCH(AC4448,ctaNombre,0))&amp;"",""))</f>
        <v/>
      </c>
      <c r="AF4448" s="53">
        <f>IF(OR(P4448="",AB4448=""),"",IF(OR(P4448="Gasto",P4448="Transferencia",P4448="Pago tarjeta"),-1,1)*IF(IFERROR(INDEX(ctaMoneda,MATCH(AB4448,ctaNombre,0))&amp;"","DOP")="USD",T4448,S4448))</f>
        <v/>
      </c>
      <c r="AG4448" s="53">
        <f>IF(AC4448="","",IF(IFERROR(INDEX(ctaMoneda,MATCH(AC4448,ctaNombre,0))&amp;"","DOP")="USD",T4448,S4448))</f>
        <v/>
      </c>
      <c r="AH4448" s="53">
        <f>IF(P4448="","",IF(AND(AD4448&lt;&gt;"",COUNTIFS(tcTipo,AD4448,tcLiq,"Sí")&gt;0),IF(OR(P4448="Gasto",P4448="Transferencia",P4448="Pago tarjeta"),-1,1)*S4448,0)+IF(AND(AE4448&lt;&gt;"",COUNTIFS(tcTipo,AE4448,tcLiq,"Sí")&gt;0),S4448,0))</f>
        <v/>
      </c>
      <c r="AI4448" s="52">
        <f>IF(OR(L4448="",P4448=""),"",IF(COUNTIFS(L$6:L4448,L4448,P$6:P4448,"?*")=1,MAX(AI$5:AI4447)+1,""))</f>
        <v/>
      </c>
    </row>
    <row r="4449">
      <c r="B4449" s="47" t="n"/>
      <c r="C4449" s="48" t="n"/>
      <c r="D4449" s="48" t="n"/>
      <c r="E4449" s="48" t="n"/>
      <c r="F4449" s="48" t="n"/>
      <c r="G4449" s="49" t="n"/>
      <c r="H4449" s="48" t="n"/>
      <c r="I4449" s="50" t="n"/>
      <c r="J4449" s="48" t="n"/>
      <c r="K4449" s="48" t="n"/>
      <c r="L4449" s="48" t="n"/>
      <c r="M4449" s="48" t="n"/>
      <c r="N4449" s="48" t="n"/>
      <c r="O4449" s="51">
        <f>IF(AND(B4449="",G4449="",C4449="",D4449="",J4449=""),"",IF(B4449="","⚠ Falta fecha",IF(G4449="","⚠ Falta monto",IF(Q4449="","⚠ Falta cuenta",IF(ISNA(MATCH(Q4449,ctaNombre,0)),"⚠ Cuenta no registrada",IF(AND(OR(P4449="Gasto",P4449="Reembolso"),D4449=""),"⚠ Falta categoría",IF(AND(D4449&lt;&gt;"",E4449&lt;&gt;"",ISNA(MATCH(D4449&amp;"|"&amp;E4449,catClave,0))),"⚠ Subcategoría no corresponde",IF(AND(OR(P4449="Transferencia",P4449="Pago tarjeta"),K4449=""),"⚠ Falta cuenta destino",IF(AND(K4449&lt;&gt;"",P4449&lt;&gt;"Transferencia",P4449&lt;&gt;"Pago tarjeta"),"⚠ Destino solo aplica a transferencias",IF(AND(K4449&lt;&gt;"",K4449=Q4449),"⚠ Origen igual a destino",IF(AND(K4449&lt;&gt;"",ISNA(MATCH(K4449,ctaNombre,0))),"⚠ Destino no registrado",IF(AND(P4449="Pago tarjeta",AE4449&lt;&gt;"Tarjeta de crédito"),"⚠ El destino debe ser tarjeta de crédito",IF(AND(P4449="Gasto",E4449="Depósitos y retiros"),"⚠ Usa tipo Transferencia",IF(AND(P4449="Resultado trading",AD4449&lt;&gt;"Cuenta de trading"),"⚠ Usa una cuenta de trading",IF(AND(G4449&lt;=0,P4449&lt;&gt;"Ajuste",P4449&lt;&gt;"Resultado trading"),"⚠ El monto debe ser positivo","✓")))))))))))))))</f>
        <v/>
      </c>
      <c r="P4449" s="52">
        <f>IF(OR(B4449="",G4449=""),"",IF(C4449="","Gasto",C4449))</f>
        <v/>
      </c>
      <c r="Q4449" s="52">
        <f>IF(P4449="","",IF(J4449&lt;&gt;"",J4449,CuentaPred&amp;""))</f>
        <v/>
      </c>
      <c r="R4449" s="52">
        <f>IF(P4449="","",IF(ISNUMBER(I4449),I4449,TasaUSD))</f>
        <v/>
      </c>
      <c r="S4449" s="53">
        <f>IF(P4449="","",IF(H4449="USD",G4449*R4449,G4449))</f>
        <v/>
      </c>
      <c r="T4449" s="53">
        <f>IF(P4449="","",IF(H4449="USD",G4449,IF(R4449&gt;0,G4449/R4449,0)))</f>
        <v/>
      </c>
      <c r="U4449" s="53">
        <f>IF(P4449="","",IF(P4449="Gasto",S4449,IF(P4449="Reembolso",-S4449,0)))</f>
        <v/>
      </c>
      <c r="V4449" s="53">
        <f>IF(P4449="","",IF(P4449="Ingreso",S4449,0))</f>
        <v/>
      </c>
      <c r="W4449" s="53">
        <f>IF(P4449="","",IF(P4449="Resultado trading",S4449,0))</f>
        <v/>
      </c>
      <c r="X4449" s="52">
        <f>IF(OR(P4449="Gasto",P4449="Reembolso"),IF(M4449&lt;&gt;"",M4449,IFERROR(INDEX(catClasif,MATCH(D4449&amp;"|"&amp;E4449,catClave,0))&amp;"","Variable")),"")</f>
        <v/>
      </c>
      <c r="Y4449" s="52">
        <f>IF(P4449="","",IFERROR(INDEX(catGrupo,MATCH(D4449&amp;"|"&amp;E4449,catClave,0))&amp;"",""))</f>
        <v/>
      </c>
      <c r="Z4449" s="52">
        <f>IF(P4449="","",WEEKDAY(B4449,2))</f>
        <v/>
      </c>
      <c r="AA4449" s="52">
        <f>IF(P4449="","",IF(AND(P4449="Gasto",X4449="Variable",D4449&lt;&gt;catTrading,S4449&gt;0,S4449&lt;=Umbral),1,0))</f>
        <v/>
      </c>
      <c r="AB4449" s="52">
        <f>IF(OR(P4449="",Q4449=""),"",IFERROR(IF(INDEX(ctaVinc,MATCH(Q4449,ctaNombre,0))&amp;""&lt;&gt;"",INDEX(ctaVinc,MATCH(Q4449,ctaNombre,0))&amp;"",Q4449),Q4449))</f>
        <v/>
      </c>
      <c r="AC4449" s="52">
        <f>IF(OR(K4449="",AND(P4449&lt;&gt;"Transferencia",P4449&lt;&gt;"Pago tarjeta")),"",IFERROR(IF(INDEX(ctaVinc,MATCH(K4449,ctaNombre,0))&amp;""&lt;&gt;"",INDEX(ctaVinc,MATCH(K4449,ctaNombre,0))&amp;"",K4449),K4449))</f>
        <v/>
      </c>
      <c r="AD4449" s="52">
        <f>IF(AB4449="","",IFERROR(INDEX(ctaTipo,MATCH(AB4449,ctaNombre,0))&amp;"",""))</f>
        <v/>
      </c>
      <c r="AE4449" s="52">
        <f>IF(AC4449="","",IFERROR(INDEX(ctaTipo,MATCH(AC4449,ctaNombre,0))&amp;"",""))</f>
        <v/>
      </c>
      <c r="AF4449" s="53">
        <f>IF(OR(P4449="",AB4449=""),"",IF(OR(P4449="Gasto",P4449="Transferencia",P4449="Pago tarjeta"),-1,1)*IF(IFERROR(INDEX(ctaMoneda,MATCH(AB4449,ctaNombre,0))&amp;"","DOP")="USD",T4449,S4449))</f>
        <v/>
      </c>
      <c r="AG4449" s="53">
        <f>IF(AC4449="","",IF(IFERROR(INDEX(ctaMoneda,MATCH(AC4449,ctaNombre,0))&amp;"","DOP")="USD",T4449,S4449))</f>
        <v/>
      </c>
      <c r="AH4449" s="53">
        <f>IF(P4449="","",IF(AND(AD4449&lt;&gt;"",COUNTIFS(tcTipo,AD4449,tcLiq,"Sí")&gt;0),IF(OR(P4449="Gasto",P4449="Transferencia",P4449="Pago tarjeta"),-1,1)*S4449,0)+IF(AND(AE4449&lt;&gt;"",COUNTIFS(tcTipo,AE4449,tcLiq,"Sí")&gt;0),S4449,0))</f>
        <v/>
      </c>
      <c r="AI4449" s="52">
        <f>IF(OR(L4449="",P4449=""),"",IF(COUNTIFS(L$6:L4449,L4449,P$6:P4449,"?*")=1,MAX(AI$5:AI4448)+1,""))</f>
        <v/>
      </c>
    </row>
    <row r="4450">
      <c r="B4450" s="47" t="n"/>
      <c r="C4450" s="48" t="n"/>
      <c r="D4450" s="48" t="n"/>
      <c r="E4450" s="48" t="n"/>
      <c r="F4450" s="48" t="n"/>
      <c r="G4450" s="49" t="n"/>
      <c r="H4450" s="48" t="n"/>
      <c r="I4450" s="50" t="n"/>
      <c r="J4450" s="48" t="n"/>
      <c r="K4450" s="48" t="n"/>
      <c r="L4450" s="48" t="n"/>
      <c r="M4450" s="48" t="n"/>
      <c r="N4450" s="48" t="n"/>
      <c r="O4450" s="51">
        <f>IF(AND(B4450="",G4450="",C4450="",D4450="",J4450=""),"",IF(B4450="","⚠ Falta fecha",IF(G4450="","⚠ Falta monto",IF(Q4450="","⚠ Falta cuenta",IF(ISNA(MATCH(Q4450,ctaNombre,0)),"⚠ Cuenta no registrada",IF(AND(OR(P4450="Gasto",P4450="Reembolso"),D4450=""),"⚠ Falta categoría",IF(AND(D4450&lt;&gt;"",E4450&lt;&gt;"",ISNA(MATCH(D4450&amp;"|"&amp;E4450,catClave,0))),"⚠ Subcategoría no corresponde",IF(AND(OR(P4450="Transferencia",P4450="Pago tarjeta"),K4450=""),"⚠ Falta cuenta destino",IF(AND(K4450&lt;&gt;"",P4450&lt;&gt;"Transferencia",P4450&lt;&gt;"Pago tarjeta"),"⚠ Destino solo aplica a transferencias",IF(AND(K4450&lt;&gt;"",K4450=Q4450),"⚠ Origen igual a destino",IF(AND(K4450&lt;&gt;"",ISNA(MATCH(K4450,ctaNombre,0))),"⚠ Destino no registrado",IF(AND(P4450="Pago tarjeta",AE4450&lt;&gt;"Tarjeta de crédito"),"⚠ El destino debe ser tarjeta de crédito",IF(AND(P4450="Gasto",E4450="Depósitos y retiros"),"⚠ Usa tipo Transferencia",IF(AND(P4450="Resultado trading",AD4450&lt;&gt;"Cuenta de trading"),"⚠ Usa una cuenta de trading",IF(AND(G4450&lt;=0,P4450&lt;&gt;"Ajuste",P4450&lt;&gt;"Resultado trading"),"⚠ El monto debe ser positivo","✓")))))))))))))))</f>
        <v/>
      </c>
      <c r="P4450" s="52">
        <f>IF(OR(B4450="",G4450=""),"",IF(C4450="","Gasto",C4450))</f>
        <v/>
      </c>
      <c r="Q4450" s="52">
        <f>IF(P4450="","",IF(J4450&lt;&gt;"",J4450,CuentaPred&amp;""))</f>
        <v/>
      </c>
      <c r="R4450" s="52">
        <f>IF(P4450="","",IF(ISNUMBER(I4450),I4450,TasaUSD))</f>
        <v/>
      </c>
      <c r="S4450" s="53">
        <f>IF(P4450="","",IF(H4450="USD",G4450*R4450,G4450))</f>
        <v/>
      </c>
      <c r="T4450" s="53">
        <f>IF(P4450="","",IF(H4450="USD",G4450,IF(R4450&gt;0,G4450/R4450,0)))</f>
        <v/>
      </c>
      <c r="U4450" s="53">
        <f>IF(P4450="","",IF(P4450="Gasto",S4450,IF(P4450="Reembolso",-S4450,0)))</f>
        <v/>
      </c>
      <c r="V4450" s="53">
        <f>IF(P4450="","",IF(P4450="Ingreso",S4450,0))</f>
        <v/>
      </c>
      <c r="W4450" s="53">
        <f>IF(P4450="","",IF(P4450="Resultado trading",S4450,0))</f>
        <v/>
      </c>
      <c r="X4450" s="52">
        <f>IF(OR(P4450="Gasto",P4450="Reembolso"),IF(M4450&lt;&gt;"",M4450,IFERROR(INDEX(catClasif,MATCH(D4450&amp;"|"&amp;E4450,catClave,0))&amp;"","Variable")),"")</f>
        <v/>
      </c>
      <c r="Y4450" s="52">
        <f>IF(P4450="","",IFERROR(INDEX(catGrupo,MATCH(D4450&amp;"|"&amp;E4450,catClave,0))&amp;"",""))</f>
        <v/>
      </c>
      <c r="Z4450" s="52">
        <f>IF(P4450="","",WEEKDAY(B4450,2))</f>
        <v/>
      </c>
      <c r="AA4450" s="52">
        <f>IF(P4450="","",IF(AND(P4450="Gasto",X4450="Variable",D4450&lt;&gt;catTrading,S4450&gt;0,S4450&lt;=Umbral),1,0))</f>
        <v/>
      </c>
      <c r="AB4450" s="52">
        <f>IF(OR(P4450="",Q4450=""),"",IFERROR(IF(INDEX(ctaVinc,MATCH(Q4450,ctaNombre,0))&amp;""&lt;&gt;"",INDEX(ctaVinc,MATCH(Q4450,ctaNombre,0))&amp;"",Q4450),Q4450))</f>
        <v/>
      </c>
      <c r="AC4450" s="52">
        <f>IF(OR(K4450="",AND(P4450&lt;&gt;"Transferencia",P4450&lt;&gt;"Pago tarjeta")),"",IFERROR(IF(INDEX(ctaVinc,MATCH(K4450,ctaNombre,0))&amp;""&lt;&gt;"",INDEX(ctaVinc,MATCH(K4450,ctaNombre,0))&amp;"",K4450),K4450))</f>
        <v/>
      </c>
      <c r="AD4450" s="52">
        <f>IF(AB4450="","",IFERROR(INDEX(ctaTipo,MATCH(AB4450,ctaNombre,0))&amp;"",""))</f>
        <v/>
      </c>
      <c r="AE4450" s="52">
        <f>IF(AC4450="","",IFERROR(INDEX(ctaTipo,MATCH(AC4450,ctaNombre,0))&amp;"",""))</f>
        <v/>
      </c>
      <c r="AF4450" s="53">
        <f>IF(OR(P4450="",AB4450=""),"",IF(OR(P4450="Gasto",P4450="Transferencia",P4450="Pago tarjeta"),-1,1)*IF(IFERROR(INDEX(ctaMoneda,MATCH(AB4450,ctaNombre,0))&amp;"","DOP")="USD",T4450,S4450))</f>
        <v/>
      </c>
      <c r="AG4450" s="53">
        <f>IF(AC4450="","",IF(IFERROR(INDEX(ctaMoneda,MATCH(AC4450,ctaNombre,0))&amp;"","DOP")="USD",T4450,S4450))</f>
        <v/>
      </c>
      <c r="AH4450" s="53">
        <f>IF(P4450="","",IF(AND(AD4450&lt;&gt;"",COUNTIFS(tcTipo,AD4450,tcLiq,"Sí")&gt;0),IF(OR(P4450="Gasto",P4450="Transferencia",P4450="Pago tarjeta"),-1,1)*S4450,0)+IF(AND(AE4450&lt;&gt;"",COUNTIFS(tcTipo,AE4450,tcLiq,"Sí")&gt;0),S4450,0))</f>
        <v/>
      </c>
      <c r="AI4450" s="52">
        <f>IF(OR(L4450="",P4450=""),"",IF(COUNTIFS(L$6:L4450,L4450,P$6:P4450,"?*")=1,MAX(AI$5:AI4449)+1,""))</f>
        <v/>
      </c>
    </row>
    <row r="4451">
      <c r="B4451" s="47" t="n"/>
      <c r="C4451" s="48" t="n"/>
      <c r="D4451" s="48" t="n"/>
      <c r="E4451" s="48" t="n"/>
      <c r="F4451" s="48" t="n"/>
      <c r="G4451" s="49" t="n"/>
      <c r="H4451" s="48" t="n"/>
      <c r="I4451" s="50" t="n"/>
      <c r="J4451" s="48" t="n"/>
      <c r="K4451" s="48" t="n"/>
      <c r="L4451" s="48" t="n"/>
      <c r="M4451" s="48" t="n"/>
      <c r="N4451" s="48" t="n"/>
      <c r="O4451" s="51">
        <f>IF(AND(B4451="",G4451="",C4451="",D4451="",J4451=""),"",IF(B4451="","⚠ Falta fecha",IF(G4451="","⚠ Falta monto",IF(Q4451="","⚠ Falta cuenta",IF(ISNA(MATCH(Q4451,ctaNombre,0)),"⚠ Cuenta no registrada",IF(AND(OR(P4451="Gasto",P4451="Reembolso"),D4451=""),"⚠ Falta categoría",IF(AND(D4451&lt;&gt;"",E4451&lt;&gt;"",ISNA(MATCH(D4451&amp;"|"&amp;E4451,catClave,0))),"⚠ Subcategoría no corresponde",IF(AND(OR(P4451="Transferencia",P4451="Pago tarjeta"),K4451=""),"⚠ Falta cuenta destino",IF(AND(K4451&lt;&gt;"",P4451&lt;&gt;"Transferencia",P4451&lt;&gt;"Pago tarjeta"),"⚠ Destino solo aplica a transferencias",IF(AND(K4451&lt;&gt;"",K4451=Q4451),"⚠ Origen igual a destino",IF(AND(K4451&lt;&gt;"",ISNA(MATCH(K4451,ctaNombre,0))),"⚠ Destino no registrado",IF(AND(P4451="Pago tarjeta",AE4451&lt;&gt;"Tarjeta de crédito"),"⚠ El destino debe ser tarjeta de crédito",IF(AND(P4451="Gasto",E4451="Depósitos y retiros"),"⚠ Usa tipo Transferencia",IF(AND(P4451="Resultado trading",AD4451&lt;&gt;"Cuenta de trading"),"⚠ Usa una cuenta de trading",IF(AND(G4451&lt;=0,P4451&lt;&gt;"Ajuste",P4451&lt;&gt;"Resultado trading"),"⚠ El monto debe ser positivo","✓")))))))))))))))</f>
        <v/>
      </c>
      <c r="P4451" s="52">
        <f>IF(OR(B4451="",G4451=""),"",IF(C4451="","Gasto",C4451))</f>
        <v/>
      </c>
      <c r="Q4451" s="52">
        <f>IF(P4451="","",IF(J4451&lt;&gt;"",J4451,CuentaPred&amp;""))</f>
        <v/>
      </c>
      <c r="R4451" s="52">
        <f>IF(P4451="","",IF(ISNUMBER(I4451),I4451,TasaUSD))</f>
        <v/>
      </c>
      <c r="S4451" s="53">
        <f>IF(P4451="","",IF(H4451="USD",G4451*R4451,G4451))</f>
        <v/>
      </c>
      <c r="T4451" s="53">
        <f>IF(P4451="","",IF(H4451="USD",G4451,IF(R4451&gt;0,G4451/R4451,0)))</f>
        <v/>
      </c>
      <c r="U4451" s="53">
        <f>IF(P4451="","",IF(P4451="Gasto",S4451,IF(P4451="Reembolso",-S4451,0)))</f>
        <v/>
      </c>
      <c r="V4451" s="53">
        <f>IF(P4451="","",IF(P4451="Ingreso",S4451,0))</f>
        <v/>
      </c>
      <c r="W4451" s="53">
        <f>IF(P4451="","",IF(P4451="Resultado trading",S4451,0))</f>
        <v/>
      </c>
      <c r="X4451" s="52">
        <f>IF(OR(P4451="Gasto",P4451="Reembolso"),IF(M4451&lt;&gt;"",M4451,IFERROR(INDEX(catClasif,MATCH(D4451&amp;"|"&amp;E4451,catClave,0))&amp;"","Variable")),"")</f>
        <v/>
      </c>
      <c r="Y4451" s="52">
        <f>IF(P4451="","",IFERROR(INDEX(catGrupo,MATCH(D4451&amp;"|"&amp;E4451,catClave,0))&amp;"",""))</f>
        <v/>
      </c>
      <c r="Z4451" s="52">
        <f>IF(P4451="","",WEEKDAY(B4451,2))</f>
        <v/>
      </c>
      <c r="AA4451" s="52">
        <f>IF(P4451="","",IF(AND(P4451="Gasto",X4451="Variable",D4451&lt;&gt;catTrading,S4451&gt;0,S4451&lt;=Umbral),1,0))</f>
        <v/>
      </c>
      <c r="AB4451" s="52">
        <f>IF(OR(P4451="",Q4451=""),"",IFERROR(IF(INDEX(ctaVinc,MATCH(Q4451,ctaNombre,0))&amp;""&lt;&gt;"",INDEX(ctaVinc,MATCH(Q4451,ctaNombre,0))&amp;"",Q4451),Q4451))</f>
        <v/>
      </c>
      <c r="AC4451" s="52">
        <f>IF(OR(K4451="",AND(P4451&lt;&gt;"Transferencia",P4451&lt;&gt;"Pago tarjeta")),"",IFERROR(IF(INDEX(ctaVinc,MATCH(K4451,ctaNombre,0))&amp;""&lt;&gt;"",INDEX(ctaVinc,MATCH(K4451,ctaNombre,0))&amp;"",K4451),K4451))</f>
        <v/>
      </c>
      <c r="AD4451" s="52">
        <f>IF(AB4451="","",IFERROR(INDEX(ctaTipo,MATCH(AB4451,ctaNombre,0))&amp;"",""))</f>
        <v/>
      </c>
      <c r="AE4451" s="52">
        <f>IF(AC4451="","",IFERROR(INDEX(ctaTipo,MATCH(AC4451,ctaNombre,0))&amp;"",""))</f>
        <v/>
      </c>
      <c r="AF4451" s="53">
        <f>IF(OR(P4451="",AB4451=""),"",IF(OR(P4451="Gasto",P4451="Transferencia",P4451="Pago tarjeta"),-1,1)*IF(IFERROR(INDEX(ctaMoneda,MATCH(AB4451,ctaNombre,0))&amp;"","DOP")="USD",T4451,S4451))</f>
        <v/>
      </c>
      <c r="AG4451" s="53">
        <f>IF(AC4451="","",IF(IFERROR(INDEX(ctaMoneda,MATCH(AC4451,ctaNombre,0))&amp;"","DOP")="USD",T4451,S4451))</f>
        <v/>
      </c>
      <c r="AH4451" s="53">
        <f>IF(P4451="","",IF(AND(AD4451&lt;&gt;"",COUNTIFS(tcTipo,AD4451,tcLiq,"Sí")&gt;0),IF(OR(P4451="Gasto",P4451="Transferencia",P4451="Pago tarjeta"),-1,1)*S4451,0)+IF(AND(AE4451&lt;&gt;"",COUNTIFS(tcTipo,AE4451,tcLiq,"Sí")&gt;0),S4451,0))</f>
        <v/>
      </c>
      <c r="AI4451" s="52">
        <f>IF(OR(L4451="",P4451=""),"",IF(COUNTIFS(L$6:L4451,L4451,P$6:P4451,"?*")=1,MAX(AI$5:AI4450)+1,""))</f>
        <v/>
      </c>
    </row>
    <row r="4452">
      <c r="B4452" s="47" t="n"/>
      <c r="C4452" s="48" t="n"/>
      <c r="D4452" s="48" t="n"/>
      <c r="E4452" s="48" t="n"/>
      <c r="F4452" s="48" t="n"/>
      <c r="G4452" s="49" t="n"/>
      <c r="H4452" s="48" t="n"/>
      <c r="I4452" s="50" t="n"/>
      <c r="J4452" s="48" t="n"/>
      <c r="K4452" s="48" t="n"/>
      <c r="L4452" s="48" t="n"/>
      <c r="M4452" s="48" t="n"/>
      <c r="N4452" s="48" t="n"/>
      <c r="O4452" s="51">
        <f>IF(AND(B4452="",G4452="",C4452="",D4452="",J4452=""),"",IF(B4452="","⚠ Falta fecha",IF(G4452="","⚠ Falta monto",IF(Q4452="","⚠ Falta cuenta",IF(ISNA(MATCH(Q4452,ctaNombre,0)),"⚠ Cuenta no registrada",IF(AND(OR(P4452="Gasto",P4452="Reembolso"),D4452=""),"⚠ Falta categoría",IF(AND(D4452&lt;&gt;"",E4452&lt;&gt;"",ISNA(MATCH(D4452&amp;"|"&amp;E4452,catClave,0))),"⚠ Subcategoría no corresponde",IF(AND(OR(P4452="Transferencia",P4452="Pago tarjeta"),K4452=""),"⚠ Falta cuenta destino",IF(AND(K4452&lt;&gt;"",P4452&lt;&gt;"Transferencia",P4452&lt;&gt;"Pago tarjeta"),"⚠ Destino solo aplica a transferencias",IF(AND(K4452&lt;&gt;"",K4452=Q4452),"⚠ Origen igual a destino",IF(AND(K4452&lt;&gt;"",ISNA(MATCH(K4452,ctaNombre,0))),"⚠ Destino no registrado",IF(AND(P4452="Pago tarjeta",AE4452&lt;&gt;"Tarjeta de crédito"),"⚠ El destino debe ser tarjeta de crédito",IF(AND(P4452="Gasto",E4452="Depósitos y retiros"),"⚠ Usa tipo Transferencia",IF(AND(P4452="Resultado trading",AD4452&lt;&gt;"Cuenta de trading"),"⚠ Usa una cuenta de trading",IF(AND(G4452&lt;=0,P4452&lt;&gt;"Ajuste",P4452&lt;&gt;"Resultado trading"),"⚠ El monto debe ser positivo","✓")))))))))))))))</f>
        <v/>
      </c>
      <c r="P4452" s="52">
        <f>IF(OR(B4452="",G4452=""),"",IF(C4452="","Gasto",C4452))</f>
        <v/>
      </c>
      <c r="Q4452" s="52">
        <f>IF(P4452="","",IF(J4452&lt;&gt;"",J4452,CuentaPred&amp;""))</f>
        <v/>
      </c>
      <c r="R4452" s="52">
        <f>IF(P4452="","",IF(ISNUMBER(I4452),I4452,TasaUSD))</f>
        <v/>
      </c>
      <c r="S4452" s="53">
        <f>IF(P4452="","",IF(H4452="USD",G4452*R4452,G4452))</f>
        <v/>
      </c>
      <c r="T4452" s="53">
        <f>IF(P4452="","",IF(H4452="USD",G4452,IF(R4452&gt;0,G4452/R4452,0)))</f>
        <v/>
      </c>
      <c r="U4452" s="53">
        <f>IF(P4452="","",IF(P4452="Gasto",S4452,IF(P4452="Reembolso",-S4452,0)))</f>
        <v/>
      </c>
      <c r="V4452" s="53">
        <f>IF(P4452="","",IF(P4452="Ingreso",S4452,0))</f>
        <v/>
      </c>
      <c r="W4452" s="53">
        <f>IF(P4452="","",IF(P4452="Resultado trading",S4452,0))</f>
        <v/>
      </c>
      <c r="X4452" s="52">
        <f>IF(OR(P4452="Gasto",P4452="Reembolso"),IF(M4452&lt;&gt;"",M4452,IFERROR(INDEX(catClasif,MATCH(D4452&amp;"|"&amp;E4452,catClave,0))&amp;"","Variable")),"")</f>
        <v/>
      </c>
      <c r="Y4452" s="52">
        <f>IF(P4452="","",IFERROR(INDEX(catGrupo,MATCH(D4452&amp;"|"&amp;E4452,catClave,0))&amp;"",""))</f>
        <v/>
      </c>
      <c r="Z4452" s="52">
        <f>IF(P4452="","",WEEKDAY(B4452,2))</f>
        <v/>
      </c>
      <c r="AA4452" s="52">
        <f>IF(P4452="","",IF(AND(P4452="Gasto",X4452="Variable",D4452&lt;&gt;catTrading,S4452&gt;0,S4452&lt;=Umbral),1,0))</f>
        <v/>
      </c>
      <c r="AB4452" s="52">
        <f>IF(OR(P4452="",Q4452=""),"",IFERROR(IF(INDEX(ctaVinc,MATCH(Q4452,ctaNombre,0))&amp;""&lt;&gt;"",INDEX(ctaVinc,MATCH(Q4452,ctaNombre,0))&amp;"",Q4452),Q4452))</f>
        <v/>
      </c>
      <c r="AC4452" s="52">
        <f>IF(OR(K4452="",AND(P4452&lt;&gt;"Transferencia",P4452&lt;&gt;"Pago tarjeta")),"",IFERROR(IF(INDEX(ctaVinc,MATCH(K4452,ctaNombre,0))&amp;""&lt;&gt;"",INDEX(ctaVinc,MATCH(K4452,ctaNombre,0))&amp;"",K4452),K4452))</f>
        <v/>
      </c>
      <c r="AD4452" s="52">
        <f>IF(AB4452="","",IFERROR(INDEX(ctaTipo,MATCH(AB4452,ctaNombre,0))&amp;"",""))</f>
        <v/>
      </c>
      <c r="AE4452" s="52">
        <f>IF(AC4452="","",IFERROR(INDEX(ctaTipo,MATCH(AC4452,ctaNombre,0))&amp;"",""))</f>
        <v/>
      </c>
      <c r="AF4452" s="53">
        <f>IF(OR(P4452="",AB4452=""),"",IF(OR(P4452="Gasto",P4452="Transferencia",P4452="Pago tarjeta"),-1,1)*IF(IFERROR(INDEX(ctaMoneda,MATCH(AB4452,ctaNombre,0))&amp;"","DOP")="USD",T4452,S4452))</f>
        <v/>
      </c>
      <c r="AG4452" s="53">
        <f>IF(AC4452="","",IF(IFERROR(INDEX(ctaMoneda,MATCH(AC4452,ctaNombre,0))&amp;"","DOP")="USD",T4452,S4452))</f>
        <v/>
      </c>
      <c r="AH4452" s="53">
        <f>IF(P4452="","",IF(AND(AD4452&lt;&gt;"",COUNTIFS(tcTipo,AD4452,tcLiq,"Sí")&gt;0),IF(OR(P4452="Gasto",P4452="Transferencia",P4452="Pago tarjeta"),-1,1)*S4452,0)+IF(AND(AE4452&lt;&gt;"",COUNTIFS(tcTipo,AE4452,tcLiq,"Sí")&gt;0),S4452,0))</f>
        <v/>
      </c>
      <c r="AI4452" s="52">
        <f>IF(OR(L4452="",P4452=""),"",IF(COUNTIFS(L$6:L4452,L4452,P$6:P4452,"?*")=1,MAX(AI$5:AI4451)+1,""))</f>
        <v/>
      </c>
    </row>
    <row r="4453">
      <c r="B4453" s="47" t="n"/>
      <c r="C4453" s="48" t="n"/>
      <c r="D4453" s="48" t="n"/>
      <c r="E4453" s="48" t="n"/>
      <c r="F4453" s="48" t="n"/>
      <c r="G4453" s="49" t="n"/>
      <c r="H4453" s="48" t="n"/>
      <c r="I4453" s="50" t="n"/>
      <c r="J4453" s="48" t="n"/>
      <c r="K4453" s="48" t="n"/>
      <c r="L4453" s="48" t="n"/>
      <c r="M4453" s="48" t="n"/>
      <c r="N4453" s="48" t="n"/>
      <c r="O4453" s="51">
        <f>IF(AND(B4453="",G4453="",C4453="",D4453="",J4453=""),"",IF(B4453="","⚠ Falta fecha",IF(G4453="","⚠ Falta monto",IF(Q4453="","⚠ Falta cuenta",IF(ISNA(MATCH(Q4453,ctaNombre,0)),"⚠ Cuenta no registrada",IF(AND(OR(P4453="Gasto",P4453="Reembolso"),D4453=""),"⚠ Falta categoría",IF(AND(D4453&lt;&gt;"",E4453&lt;&gt;"",ISNA(MATCH(D4453&amp;"|"&amp;E4453,catClave,0))),"⚠ Subcategoría no corresponde",IF(AND(OR(P4453="Transferencia",P4453="Pago tarjeta"),K4453=""),"⚠ Falta cuenta destino",IF(AND(K4453&lt;&gt;"",P4453&lt;&gt;"Transferencia",P4453&lt;&gt;"Pago tarjeta"),"⚠ Destino solo aplica a transferencias",IF(AND(K4453&lt;&gt;"",K4453=Q4453),"⚠ Origen igual a destino",IF(AND(K4453&lt;&gt;"",ISNA(MATCH(K4453,ctaNombre,0))),"⚠ Destino no registrado",IF(AND(P4453="Pago tarjeta",AE4453&lt;&gt;"Tarjeta de crédito"),"⚠ El destino debe ser tarjeta de crédito",IF(AND(P4453="Gasto",E4453="Depósitos y retiros"),"⚠ Usa tipo Transferencia",IF(AND(P4453="Resultado trading",AD4453&lt;&gt;"Cuenta de trading"),"⚠ Usa una cuenta de trading",IF(AND(G4453&lt;=0,P4453&lt;&gt;"Ajuste",P4453&lt;&gt;"Resultado trading"),"⚠ El monto debe ser positivo","✓")))))))))))))))</f>
        <v/>
      </c>
      <c r="P4453" s="52">
        <f>IF(OR(B4453="",G4453=""),"",IF(C4453="","Gasto",C4453))</f>
        <v/>
      </c>
      <c r="Q4453" s="52">
        <f>IF(P4453="","",IF(J4453&lt;&gt;"",J4453,CuentaPred&amp;""))</f>
        <v/>
      </c>
      <c r="R4453" s="52">
        <f>IF(P4453="","",IF(ISNUMBER(I4453),I4453,TasaUSD))</f>
        <v/>
      </c>
      <c r="S4453" s="53">
        <f>IF(P4453="","",IF(H4453="USD",G4453*R4453,G4453))</f>
        <v/>
      </c>
      <c r="T4453" s="53">
        <f>IF(P4453="","",IF(H4453="USD",G4453,IF(R4453&gt;0,G4453/R4453,0)))</f>
        <v/>
      </c>
      <c r="U4453" s="53">
        <f>IF(P4453="","",IF(P4453="Gasto",S4453,IF(P4453="Reembolso",-S4453,0)))</f>
        <v/>
      </c>
      <c r="V4453" s="53">
        <f>IF(P4453="","",IF(P4453="Ingreso",S4453,0))</f>
        <v/>
      </c>
      <c r="W4453" s="53">
        <f>IF(P4453="","",IF(P4453="Resultado trading",S4453,0))</f>
        <v/>
      </c>
      <c r="X4453" s="52">
        <f>IF(OR(P4453="Gasto",P4453="Reembolso"),IF(M4453&lt;&gt;"",M4453,IFERROR(INDEX(catClasif,MATCH(D4453&amp;"|"&amp;E4453,catClave,0))&amp;"","Variable")),"")</f>
        <v/>
      </c>
      <c r="Y4453" s="52">
        <f>IF(P4453="","",IFERROR(INDEX(catGrupo,MATCH(D4453&amp;"|"&amp;E4453,catClave,0))&amp;"",""))</f>
        <v/>
      </c>
      <c r="Z4453" s="52">
        <f>IF(P4453="","",WEEKDAY(B4453,2))</f>
        <v/>
      </c>
      <c r="AA4453" s="52">
        <f>IF(P4453="","",IF(AND(P4453="Gasto",X4453="Variable",D4453&lt;&gt;catTrading,S4453&gt;0,S4453&lt;=Umbral),1,0))</f>
        <v/>
      </c>
      <c r="AB4453" s="52">
        <f>IF(OR(P4453="",Q4453=""),"",IFERROR(IF(INDEX(ctaVinc,MATCH(Q4453,ctaNombre,0))&amp;""&lt;&gt;"",INDEX(ctaVinc,MATCH(Q4453,ctaNombre,0))&amp;"",Q4453),Q4453))</f>
        <v/>
      </c>
      <c r="AC4453" s="52">
        <f>IF(OR(K4453="",AND(P4453&lt;&gt;"Transferencia",P4453&lt;&gt;"Pago tarjeta")),"",IFERROR(IF(INDEX(ctaVinc,MATCH(K4453,ctaNombre,0))&amp;""&lt;&gt;"",INDEX(ctaVinc,MATCH(K4453,ctaNombre,0))&amp;"",K4453),K4453))</f>
        <v/>
      </c>
      <c r="AD4453" s="52">
        <f>IF(AB4453="","",IFERROR(INDEX(ctaTipo,MATCH(AB4453,ctaNombre,0))&amp;"",""))</f>
        <v/>
      </c>
      <c r="AE4453" s="52">
        <f>IF(AC4453="","",IFERROR(INDEX(ctaTipo,MATCH(AC4453,ctaNombre,0))&amp;"",""))</f>
        <v/>
      </c>
      <c r="AF4453" s="53">
        <f>IF(OR(P4453="",AB4453=""),"",IF(OR(P4453="Gasto",P4453="Transferencia",P4453="Pago tarjeta"),-1,1)*IF(IFERROR(INDEX(ctaMoneda,MATCH(AB4453,ctaNombre,0))&amp;"","DOP")="USD",T4453,S4453))</f>
        <v/>
      </c>
      <c r="AG4453" s="53">
        <f>IF(AC4453="","",IF(IFERROR(INDEX(ctaMoneda,MATCH(AC4453,ctaNombre,0))&amp;"","DOP")="USD",T4453,S4453))</f>
        <v/>
      </c>
      <c r="AH4453" s="53">
        <f>IF(P4453="","",IF(AND(AD4453&lt;&gt;"",COUNTIFS(tcTipo,AD4453,tcLiq,"Sí")&gt;0),IF(OR(P4453="Gasto",P4453="Transferencia",P4453="Pago tarjeta"),-1,1)*S4453,0)+IF(AND(AE4453&lt;&gt;"",COUNTIFS(tcTipo,AE4453,tcLiq,"Sí")&gt;0),S4453,0))</f>
        <v/>
      </c>
      <c r="AI4453" s="52">
        <f>IF(OR(L4453="",P4453=""),"",IF(COUNTIFS(L$6:L4453,L4453,P$6:P4453,"?*")=1,MAX(AI$5:AI4452)+1,""))</f>
        <v/>
      </c>
    </row>
    <row r="4454">
      <c r="B4454" s="47" t="n"/>
      <c r="C4454" s="48" t="n"/>
      <c r="D4454" s="48" t="n"/>
      <c r="E4454" s="48" t="n"/>
      <c r="F4454" s="48" t="n"/>
      <c r="G4454" s="49" t="n"/>
      <c r="H4454" s="48" t="n"/>
      <c r="I4454" s="50" t="n"/>
      <c r="J4454" s="48" t="n"/>
      <c r="K4454" s="48" t="n"/>
      <c r="L4454" s="48" t="n"/>
      <c r="M4454" s="48" t="n"/>
      <c r="N4454" s="48" t="n"/>
      <c r="O4454" s="51">
        <f>IF(AND(B4454="",G4454="",C4454="",D4454="",J4454=""),"",IF(B4454="","⚠ Falta fecha",IF(G4454="","⚠ Falta monto",IF(Q4454="","⚠ Falta cuenta",IF(ISNA(MATCH(Q4454,ctaNombre,0)),"⚠ Cuenta no registrada",IF(AND(OR(P4454="Gasto",P4454="Reembolso"),D4454=""),"⚠ Falta categoría",IF(AND(D4454&lt;&gt;"",E4454&lt;&gt;"",ISNA(MATCH(D4454&amp;"|"&amp;E4454,catClave,0))),"⚠ Subcategoría no corresponde",IF(AND(OR(P4454="Transferencia",P4454="Pago tarjeta"),K4454=""),"⚠ Falta cuenta destino",IF(AND(K4454&lt;&gt;"",P4454&lt;&gt;"Transferencia",P4454&lt;&gt;"Pago tarjeta"),"⚠ Destino solo aplica a transferencias",IF(AND(K4454&lt;&gt;"",K4454=Q4454),"⚠ Origen igual a destino",IF(AND(K4454&lt;&gt;"",ISNA(MATCH(K4454,ctaNombre,0))),"⚠ Destino no registrado",IF(AND(P4454="Pago tarjeta",AE4454&lt;&gt;"Tarjeta de crédito"),"⚠ El destino debe ser tarjeta de crédito",IF(AND(P4454="Gasto",E4454="Depósitos y retiros"),"⚠ Usa tipo Transferencia",IF(AND(P4454="Resultado trading",AD4454&lt;&gt;"Cuenta de trading"),"⚠ Usa una cuenta de trading",IF(AND(G4454&lt;=0,P4454&lt;&gt;"Ajuste",P4454&lt;&gt;"Resultado trading"),"⚠ El monto debe ser positivo","✓")))))))))))))))</f>
        <v/>
      </c>
      <c r="P4454" s="52">
        <f>IF(OR(B4454="",G4454=""),"",IF(C4454="","Gasto",C4454))</f>
        <v/>
      </c>
      <c r="Q4454" s="52">
        <f>IF(P4454="","",IF(J4454&lt;&gt;"",J4454,CuentaPred&amp;""))</f>
        <v/>
      </c>
      <c r="R4454" s="52">
        <f>IF(P4454="","",IF(ISNUMBER(I4454),I4454,TasaUSD))</f>
        <v/>
      </c>
      <c r="S4454" s="53">
        <f>IF(P4454="","",IF(H4454="USD",G4454*R4454,G4454))</f>
        <v/>
      </c>
      <c r="T4454" s="53">
        <f>IF(P4454="","",IF(H4454="USD",G4454,IF(R4454&gt;0,G4454/R4454,0)))</f>
        <v/>
      </c>
      <c r="U4454" s="53">
        <f>IF(P4454="","",IF(P4454="Gasto",S4454,IF(P4454="Reembolso",-S4454,0)))</f>
        <v/>
      </c>
      <c r="V4454" s="53">
        <f>IF(P4454="","",IF(P4454="Ingreso",S4454,0))</f>
        <v/>
      </c>
      <c r="W4454" s="53">
        <f>IF(P4454="","",IF(P4454="Resultado trading",S4454,0))</f>
        <v/>
      </c>
      <c r="X4454" s="52">
        <f>IF(OR(P4454="Gasto",P4454="Reembolso"),IF(M4454&lt;&gt;"",M4454,IFERROR(INDEX(catClasif,MATCH(D4454&amp;"|"&amp;E4454,catClave,0))&amp;"","Variable")),"")</f>
        <v/>
      </c>
      <c r="Y4454" s="52">
        <f>IF(P4454="","",IFERROR(INDEX(catGrupo,MATCH(D4454&amp;"|"&amp;E4454,catClave,0))&amp;"",""))</f>
        <v/>
      </c>
      <c r="Z4454" s="52">
        <f>IF(P4454="","",WEEKDAY(B4454,2))</f>
        <v/>
      </c>
      <c r="AA4454" s="52">
        <f>IF(P4454="","",IF(AND(P4454="Gasto",X4454="Variable",D4454&lt;&gt;catTrading,S4454&gt;0,S4454&lt;=Umbral),1,0))</f>
        <v/>
      </c>
      <c r="AB4454" s="52">
        <f>IF(OR(P4454="",Q4454=""),"",IFERROR(IF(INDEX(ctaVinc,MATCH(Q4454,ctaNombre,0))&amp;""&lt;&gt;"",INDEX(ctaVinc,MATCH(Q4454,ctaNombre,0))&amp;"",Q4454),Q4454))</f>
        <v/>
      </c>
      <c r="AC4454" s="52">
        <f>IF(OR(K4454="",AND(P4454&lt;&gt;"Transferencia",P4454&lt;&gt;"Pago tarjeta")),"",IFERROR(IF(INDEX(ctaVinc,MATCH(K4454,ctaNombre,0))&amp;""&lt;&gt;"",INDEX(ctaVinc,MATCH(K4454,ctaNombre,0))&amp;"",K4454),K4454))</f>
        <v/>
      </c>
      <c r="AD4454" s="52">
        <f>IF(AB4454="","",IFERROR(INDEX(ctaTipo,MATCH(AB4454,ctaNombre,0))&amp;"",""))</f>
        <v/>
      </c>
      <c r="AE4454" s="52">
        <f>IF(AC4454="","",IFERROR(INDEX(ctaTipo,MATCH(AC4454,ctaNombre,0))&amp;"",""))</f>
        <v/>
      </c>
      <c r="AF4454" s="53">
        <f>IF(OR(P4454="",AB4454=""),"",IF(OR(P4454="Gasto",P4454="Transferencia",P4454="Pago tarjeta"),-1,1)*IF(IFERROR(INDEX(ctaMoneda,MATCH(AB4454,ctaNombre,0))&amp;"","DOP")="USD",T4454,S4454))</f>
        <v/>
      </c>
      <c r="AG4454" s="53">
        <f>IF(AC4454="","",IF(IFERROR(INDEX(ctaMoneda,MATCH(AC4454,ctaNombre,0))&amp;"","DOP")="USD",T4454,S4454))</f>
        <v/>
      </c>
      <c r="AH4454" s="53">
        <f>IF(P4454="","",IF(AND(AD4454&lt;&gt;"",COUNTIFS(tcTipo,AD4454,tcLiq,"Sí")&gt;0),IF(OR(P4454="Gasto",P4454="Transferencia",P4454="Pago tarjeta"),-1,1)*S4454,0)+IF(AND(AE4454&lt;&gt;"",COUNTIFS(tcTipo,AE4454,tcLiq,"Sí")&gt;0),S4454,0))</f>
        <v/>
      </c>
      <c r="AI4454" s="52">
        <f>IF(OR(L4454="",P4454=""),"",IF(COUNTIFS(L$6:L4454,L4454,P$6:P4454,"?*")=1,MAX(AI$5:AI4453)+1,""))</f>
        <v/>
      </c>
    </row>
    <row r="4455">
      <c r="B4455" s="47" t="n"/>
      <c r="C4455" s="48" t="n"/>
      <c r="D4455" s="48" t="n"/>
      <c r="E4455" s="48" t="n"/>
      <c r="F4455" s="48" t="n"/>
      <c r="G4455" s="49" t="n"/>
      <c r="H4455" s="48" t="n"/>
      <c r="I4455" s="50" t="n"/>
      <c r="J4455" s="48" t="n"/>
      <c r="K4455" s="48" t="n"/>
      <c r="L4455" s="48" t="n"/>
      <c r="M4455" s="48" t="n"/>
      <c r="N4455" s="48" t="n"/>
      <c r="O4455" s="51">
        <f>IF(AND(B4455="",G4455="",C4455="",D4455="",J4455=""),"",IF(B4455="","⚠ Falta fecha",IF(G4455="","⚠ Falta monto",IF(Q4455="","⚠ Falta cuenta",IF(ISNA(MATCH(Q4455,ctaNombre,0)),"⚠ Cuenta no registrada",IF(AND(OR(P4455="Gasto",P4455="Reembolso"),D4455=""),"⚠ Falta categoría",IF(AND(D4455&lt;&gt;"",E4455&lt;&gt;"",ISNA(MATCH(D4455&amp;"|"&amp;E4455,catClave,0))),"⚠ Subcategoría no corresponde",IF(AND(OR(P4455="Transferencia",P4455="Pago tarjeta"),K4455=""),"⚠ Falta cuenta destino",IF(AND(K4455&lt;&gt;"",P4455&lt;&gt;"Transferencia",P4455&lt;&gt;"Pago tarjeta"),"⚠ Destino solo aplica a transferencias",IF(AND(K4455&lt;&gt;"",K4455=Q4455),"⚠ Origen igual a destino",IF(AND(K4455&lt;&gt;"",ISNA(MATCH(K4455,ctaNombre,0))),"⚠ Destino no registrado",IF(AND(P4455="Pago tarjeta",AE4455&lt;&gt;"Tarjeta de crédito"),"⚠ El destino debe ser tarjeta de crédito",IF(AND(P4455="Gasto",E4455="Depósitos y retiros"),"⚠ Usa tipo Transferencia",IF(AND(P4455="Resultado trading",AD4455&lt;&gt;"Cuenta de trading"),"⚠ Usa una cuenta de trading",IF(AND(G4455&lt;=0,P4455&lt;&gt;"Ajuste",P4455&lt;&gt;"Resultado trading"),"⚠ El monto debe ser positivo","✓")))))))))))))))</f>
        <v/>
      </c>
      <c r="P4455" s="52">
        <f>IF(OR(B4455="",G4455=""),"",IF(C4455="","Gasto",C4455))</f>
        <v/>
      </c>
      <c r="Q4455" s="52">
        <f>IF(P4455="","",IF(J4455&lt;&gt;"",J4455,CuentaPred&amp;""))</f>
        <v/>
      </c>
      <c r="R4455" s="52">
        <f>IF(P4455="","",IF(ISNUMBER(I4455),I4455,TasaUSD))</f>
        <v/>
      </c>
      <c r="S4455" s="53">
        <f>IF(P4455="","",IF(H4455="USD",G4455*R4455,G4455))</f>
        <v/>
      </c>
      <c r="T4455" s="53">
        <f>IF(P4455="","",IF(H4455="USD",G4455,IF(R4455&gt;0,G4455/R4455,0)))</f>
        <v/>
      </c>
      <c r="U4455" s="53">
        <f>IF(P4455="","",IF(P4455="Gasto",S4455,IF(P4455="Reembolso",-S4455,0)))</f>
        <v/>
      </c>
      <c r="V4455" s="53">
        <f>IF(P4455="","",IF(P4455="Ingreso",S4455,0))</f>
        <v/>
      </c>
      <c r="W4455" s="53">
        <f>IF(P4455="","",IF(P4455="Resultado trading",S4455,0))</f>
        <v/>
      </c>
      <c r="X4455" s="52">
        <f>IF(OR(P4455="Gasto",P4455="Reembolso"),IF(M4455&lt;&gt;"",M4455,IFERROR(INDEX(catClasif,MATCH(D4455&amp;"|"&amp;E4455,catClave,0))&amp;"","Variable")),"")</f>
        <v/>
      </c>
      <c r="Y4455" s="52">
        <f>IF(P4455="","",IFERROR(INDEX(catGrupo,MATCH(D4455&amp;"|"&amp;E4455,catClave,0))&amp;"",""))</f>
        <v/>
      </c>
      <c r="Z4455" s="52">
        <f>IF(P4455="","",WEEKDAY(B4455,2))</f>
        <v/>
      </c>
      <c r="AA4455" s="52">
        <f>IF(P4455="","",IF(AND(P4455="Gasto",X4455="Variable",D4455&lt;&gt;catTrading,S4455&gt;0,S4455&lt;=Umbral),1,0))</f>
        <v/>
      </c>
      <c r="AB4455" s="52">
        <f>IF(OR(P4455="",Q4455=""),"",IFERROR(IF(INDEX(ctaVinc,MATCH(Q4455,ctaNombre,0))&amp;""&lt;&gt;"",INDEX(ctaVinc,MATCH(Q4455,ctaNombre,0))&amp;"",Q4455),Q4455))</f>
        <v/>
      </c>
      <c r="AC4455" s="52">
        <f>IF(OR(K4455="",AND(P4455&lt;&gt;"Transferencia",P4455&lt;&gt;"Pago tarjeta")),"",IFERROR(IF(INDEX(ctaVinc,MATCH(K4455,ctaNombre,0))&amp;""&lt;&gt;"",INDEX(ctaVinc,MATCH(K4455,ctaNombre,0))&amp;"",K4455),K4455))</f>
        <v/>
      </c>
      <c r="AD4455" s="52">
        <f>IF(AB4455="","",IFERROR(INDEX(ctaTipo,MATCH(AB4455,ctaNombre,0))&amp;"",""))</f>
        <v/>
      </c>
      <c r="AE4455" s="52">
        <f>IF(AC4455="","",IFERROR(INDEX(ctaTipo,MATCH(AC4455,ctaNombre,0))&amp;"",""))</f>
        <v/>
      </c>
      <c r="AF4455" s="53">
        <f>IF(OR(P4455="",AB4455=""),"",IF(OR(P4455="Gasto",P4455="Transferencia",P4455="Pago tarjeta"),-1,1)*IF(IFERROR(INDEX(ctaMoneda,MATCH(AB4455,ctaNombre,0))&amp;"","DOP")="USD",T4455,S4455))</f>
        <v/>
      </c>
      <c r="AG4455" s="53">
        <f>IF(AC4455="","",IF(IFERROR(INDEX(ctaMoneda,MATCH(AC4455,ctaNombre,0))&amp;"","DOP")="USD",T4455,S4455))</f>
        <v/>
      </c>
      <c r="AH4455" s="53">
        <f>IF(P4455="","",IF(AND(AD4455&lt;&gt;"",COUNTIFS(tcTipo,AD4455,tcLiq,"Sí")&gt;0),IF(OR(P4455="Gasto",P4455="Transferencia",P4455="Pago tarjeta"),-1,1)*S4455,0)+IF(AND(AE4455&lt;&gt;"",COUNTIFS(tcTipo,AE4455,tcLiq,"Sí")&gt;0),S4455,0))</f>
        <v/>
      </c>
      <c r="AI4455" s="52">
        <f>IF(OR(L4455="",P4455=""),"",IF(COUNTIFS(L$6:L4455,L4455,P$6:P4455,"?*")=1,MAX(AI$5:AI4454)+1,""))</f>
        <v/>
      </c>
    </row>
    <row r="4456">
      <c r="B4456" s="47" t="n"/>
      <c r="C4456" s="48" t="n"/>
      <c r="D4456" s="48" t="n"/>
      <c r="E4456" s="48" t="n"/>
      <c r="F4456" s="48" t="n"/>
      <c r="G4456" s="49" t="n"/>
      <c r="H4456" s="48" t="n"/>
      <c r="I4456" s="50" t="n"/>
      <c r="J4456" s="48" t="n"/>
      <c r="K4456" s="48" t="n"/>
      <c r="L4456" s="48" t="n"/>
      <c r="M4456" s="48" t="n"/>
      <c r="N4456" s="48" t="n"/>
      <c r="O4456" s="51">
        <f>IF(AND(B4456="",G4456="",C4456="",D4456="",J4456=""),"",IF(B4456="","⚠ Falta fecha",IF(G4456="","⚠ Falta monto",IF(Q4456="","⚠ Falta cuenta",IF(ISNA(MATCH(Q4456,ctaNombre,0)),"⚠ Cuenta no registrada",IF(AND(OR(P4456="Gasto",P4456="Reembolso"),D4456=""),"⚠ Falta categoría",IF(AND(D4456&lt;&gt;"",E4456&lt;&gt;"",ISNA(MATCH(D4456&amp;"|"&amp;E4456,catClave,0))),"⚠ Subcategoría no corresponde",IF(AND(OR(P4456="Transferencia",P4456="Pago tarjeta"),K4456=""),"⚠ Falta cuenta destino",IF(AND(K4456&lt;&gt;"",P4456&lt;&gt;"Transferencia",P4456&lt;&gt;"Pago tarjeta"),"⚠ Destino solo aplica a transferencias",IF(AND(K4456&lt;&gt;"",K4456=Q4456),"⚠ Origen igual a destino",IF(AND(K4456&lt;&gt;"",ISNA(MATCH(K4456,ctaNombre,0))),"⚠ Destino no registrado",IF(AND(P4456="Pago tarjeta",AE4456&lt;&gt;"Tarjeta de crédito"),"⚠ El destino debe ser tarjeta de crédito",IF(AND(P4456="Gasto",E4456="Depósitos y retiros"),"⚠ Usa tipo Transferencia",IF(AND(P4456="Resultado trading",AD4456&lt;&gt;"Cuenta de trading"),"⚠ Usa una cuenta de trading",IF(AND(G4456&lt;=0,P4456&lt;&gt;"Ajuste",P4456&lt;&gt;"Resultado trading"),"⚠ El monto debe ser positivo","✓")))))))))))))))</f>
        <v/>
      </c>
      <c r="P4456" s="52">
        <f>IF(OR(B4456="",G4456=""),"",IF(C4456="","Gasto",C4456))</f>
        <v/>
      </c>
      <c r="Q4456" s="52">
        <f>IF(P4456="","",IF(J4456&lt;&gt;"",J4456,CuentaPred&amp;""))</f>
        <v/>
      </c>
      <c r="R4456" s="52">
        <f>IF(P4456="","",IF(ISNUMBER(I4456),I4456,TasaUSD))</f>
        <v/>
      </c>
      <c r="S4456" s="53">
        <f>IF(P4456="","",IF(H4456="USD",G4456*R4456,G4456))</f>
        <v/>
      </c>
      <c r="T4456" s="53">
        <f>IF(P4456="","",IF(H4456="USD",G4456,IF(R4456&gt;0,G4456/R4456,0)))</f>
        <v/>
      </c>
      <c r="U4456" s="53">
        <f>IF(P4456="","",IF(P4456="Gasto",S4456,IF(P4456="Reembolso",-S4456,0)))</f>
        <v/>
      </c>
      <c r="V4456" s="53">
        <f>IF(P4456="","",IF(P4456="Ingreso",S4456,0))</f>
        <v/>
      </c>
      <c r="W4456" s="53">
        <f>IF(P4456="","",IF(P4456="Resultado trading",S4456,0))</f>
        <v/>
      </c>
      <c r="X4456" s="52">
        <f>IF(OR(P4456="Gasto",P4456="Reembolso"),IF(M4456&lt;&gt;"",M4456,IFERROR(INDEX(catClasif,MATCH(D4456&amp;"|"&amp;E4456,catClave,0))&amp;"","Variable")),"")</f>
        <v/>
      </c>
      <c r="Y4456" s="52">
        <f>IF(P4456="","",IFERROR(INDEX(catGrupo,MATCH(D4456&amp;"|"&amp;E4456,catClave,0))&amp;"",""))</f>
        <v/>
      </c>
      <c r="Z4456" s="52">
        <f>IF(P4456="","",WEEKDAY(B4456,2))</f>
        <v/>
      </c>
      <c r="AA4456" s="52">
        <f>IF(P4456="","",IF(AND(P4456="Gasto",X4456="Variable",D4456&lt;&gt;catTrading,S4456&gt;0,S4456&lt;=Umbral),1,0))</f>
        <v/>
      </c>
      <c r="AB4456" s="52">
        <f>IF(OR(P4456="",Q4456=""),"",IFERROR(IF(INDEX(ctaVinc,MATCH(Q4456,ctaNombre,0))&amp;""&lt;&gt;"",INDEX(ctaVinc,MATCH(Q4456,ctaNombre,0))&amp;"",Q4456),Q4456))</f>
        <v/>
      </c>
      <c r="AC4456" s="52">
        <f>IF(OR(K4456="",AND(P4456&lt;&gt;"Transferencia",P4456&lt;&gt;"Pago tarjeta")),"",IFERROR(IF(INDEX(ctaVinc,MATCH(K4456,ctaNombre,0))&amp;""&lt;&gt;"",INDEX(ctaVinc,MATCH(K4456,ctaNombre,0))&amp;"",K4456),K4456))</f>
        <v/>
      </c>
      <c r="AD4456" s="52">
        <f>IF(AB4456="","",IFERROR(INDEX(ctaTipo,MATCH(AB4456,ctaNombre,0))&amp;"",""))</f>
        <v/>
      </c>
      <c r="AE4456" s="52">
        <f>IF(AC4456="","",IFERROR(INDEX(ctaTipo,MATCH(AC4456,ctaNombre,0))&amp;"",""))</f>
        <v/>
      </c>
      <c r="AF4456" s="53">
        <f>IF(OR(P4456="",AB4456=""),"",IF(OR(P4456="Gasto",P4456="Transferencia",P4456="Pago tarjeta"),-1,1)*IF(IFERROR(INDEX(ctaMoneda,MATCH(AB4456,ctaNombre,0))&amp;"","DOP")="USD",T4456,S4456))</f>
        <v/>
      </c>
      <c r="AG4456" s="53">
        <f>IF(AC4456="","",IF(IFERROR(INDEX(ctaMoneda,MATCH(AC4456,ctaNombre,0))&amp;"","DOP")="USD",T4456,S4456))</f>
        <v/>
      </c>
      <c r="AH4456" s="53">
        <f>IF(P4456="","",IF(AND(AD4456&lt;&gt;"",COUNTIFS(tcTipo,AD4456,tcLiq,"Sí")&gt;0),IF(OR(P4456="Gasto",P4456="Transferencia",P4456="Pago tarjeta"),-1,1)*S4456,0)+IF(AND(AE4456&lt;&gt;"",COUNTIFS(tcTipo,AE4456,tcLiq,"Sí")&gt;0),S4456,0))</f>
        <v/>
      </c>
      <c r="AI4456" s="52">
        <f>IF(OR(L4456="",P4456=""),"",IF(COUNTIFS(L$6:L4456,L4456,P$6:P4456,"?*")=1,MAX(AI$5:AI4455)+1,""))</f>
        <v/>
      </c>
    </row>
    <row r="4457">
      <c r="B4457" s="47" t="n"/>
      <c r="C4457" s="48" t="n"/>
      <c r="D4457" s="48" t="n"/>
      <c r="E4457" s="48" t="n"/>
      <c r="F4457" s="48" t="n"/>
      <c r="G4457" s="49" t="n"/>
      <c r="H4457" s="48" t="n"/>
      <c r="I4457" s="50" t="n"/>
      <c r="J4457" s="48" t="n"/>
      <c r="K4457" s="48" t="n"/>
      <c r="L4457" s="48" t="n"/>
      <c r="M4457" s="48" t="n"/>
      <c r="N4457" s="48" t="n"/>
      <c r="O4457" s="51">
        <f>IF(AND(B4457="",G4457="",C4457="",D4457="",J4457=""),"",IF(B4457="","⚠ Falta fecha",IF(G4457="","⚠ Falta monto",IF(Q4457="","⚠ Falta cuenta",IF(ISNA(MATCH(Q4457,ctaNombre,0)),"⚠ Cuenta no registrada",IF(AND(OR(P4457="Gasto",P4457="Reembolso"),D4457=""),"⚠ Falta categoría",IF(AND(D4457&lt;&gt;"",E4457&lt;&gt;"",ISNA(MATCH(D4457&amp;"|"&amp;E4457,catClave,0))),"⚠ Subcategoría no corresponde",IF(AND(OR(P4457="Transferencia",P4457="Pago tarjeta"),K4457=""),"⚠ Falta cuenta destino",IF(AND(K4457&lt;&gt;"",P4457&lt;&gt;"Transferencia",P4457&lt;&gt;"Pago tarjeta"),"⚠ Destino solo aplica a transferencias",IF(AND(K4457&lt;&gt;"",K4457=Q4457),"⚠ Origen igual a destino",IF(AND(K4457&lt;&gt;"",ISNA(MATCH(K4457,ctaNombre,0))),"⚠ Destino no registrado",IF(AND(P4457="Pago tarjeta",AE4457&lt;&gt;"Tarjeta de crédito"),"⚠ El destino debe ser tarjeta de crédito",IF(AND(P4457="Gasto",E4457="Depósitos y retiros"),"⚠ Usa tipo Transferencia",IF(AND(P4457="Resultado trading",AD4457&lt;&gt;"Cuenta de trading"),"⚠ Usa una cuenta de trading",IF(AND(G4457&lt;=0,P4457&lt;&gt;"Ajuste",P4457&lt;&gt;"Resultado trading"),"⚠ El monto debe ser positivo","✓")))))))))))))))</f>
        <v/>
      </c>
      <c r="P4457" s="52">
        <f>IF(OR(B4457="",G4457=""),"",IF(C4457="","Gasto",C4457))</f>
        <v/>
      </c>
      <c r="Q4457" s="52">
        <f>IF(P4457="","",IF(J4457&lt;&gt;"",J4457,CuentaPred&amp;""))</f>
        <v/>
      </c>
      <c r="R4457" s="52">
        <f>IF(P4457="","",IF(ISNUMBER(I4457),I4457,TasaUSD))</f>
        <v/>
      </c>
      <c r="S4457" s="53">
        <f>IF(P4457="","",IF(H4457="USD",G4457*R4457,G4457))</f>
        <v/>
      </c>
      <c r="T4457" s="53">
        <f>IF(P4457="","",IF(H4457="USD",G4457,IF(R4457&gt;0,G4457/R4457,0)))</f>
        <v/>
      </c>
      <c r="U4457" s="53">
        <f>IF(P4457="","",IF(P4457="Gasto",S4457,IF(P4457="Reembolso",-S4457,0)))</f>
        <v/>
      </c>
      <c r="V4457" s="53">
        <f>IF(P4457="","",IF(P4457="Ingreso",S4457,0))</f>
        <v/>
      </c>
      <c r="W4457" s="53">
        <f>IF(P4457="","",IF(P4457="Resultado trading",S4457,0))</f>
        <v/>
      </c>
      <c r="X4457" s="52">
        <f>IF(OR(P4457="Gasto",P4457="Reembolso"),IF(M4457&lt;&gt;"",M4457,IFERROR(INDEX(catClasif,MATCH(D4457&amp;"|"&amp;E4457,catClave,0))&amp;"","Variable")),"")</f>
        <v/>
      </c>
      <c r="Y4457" s="52">
        <f>IF(P4457="","",IFERROR(INDEX(catGrupo,MATCH(D4457&amp;"|"&amp;E4457,catClave,0))&amp;"",""))</f>
        <v/>
      </c>
      <c r="Z4457" s="52">
        <f>IF(P4457="","",WEEKDAY(B4457,2))</f>
        <v/>
      </c>
      <c r="AA4457" s="52">
        <f>IF(P4457="","",IF(AND(P4457="Gasto",X4457="Variable",D4457&lt;&gt;catTrading,S4457&gt;0,S4457&lt;=Umbral),1,0))</f>
        <v/>
      </c>
      <c r="AB4457" s="52">
        <f>IF(OR(P4457="",Q4457=""),"",IFERROR(IF(INDEX(ctaVinc,MATCH(Q4457,ctaNombre,0))&amp;""&lt;&gt;"",INDEX(ctaVinc,MATCH(Q4457,ctaNombre,0))&amp;"",Q4457),Q4457))</f>
        <v/>
      </c>
      <c r="AC4457" s="52">
        <f>IF(OR(K4457="",AND(P4457&lt;&gt;"Transferencia",P4457&lt;&gt;"Pago tarjeta")),"",IFERROR(IF(INDEX(ctaVinc,MATCH(K4457,ctaNombre,0))&amp;""&lt;&gt;"",INDEX(ctaVinc,MATCH(K4457,ctaNombre,0))&amp;"",K4457),K4457))</f>
        <v/>
      </c>
      <c r="AD4457" s="52">
        <f>IF(AB4457="","",IFERROR(INDEX(ctaTipo,MATCH(AB4457,ctaNombre,0))&amp;"",""))</f>
        <v/>
      </c>
      <c r="AE4457" s="52">
        <f>IF(AC4457="","",IFERROR(INDEX(ctaTipo,MATCH(AC4457,ctaNombre,0))&amp;"",""))</f>
        <v/>
      </c>
      <c r="AF4457" s="53">
        <f>IF(OR(P4457="",AB4457=""),"",IF(OR(P4457="Gasto",P4457="Transferencia",P4457="Pago tarjeta"),-1,1)*IF(IFERROR(INDEX(ctaMoneda,MATCH(AB4457,ctaNombre,0))&amp;"","DOP")="USD",T4457,S4457))</f>
        <v/>
      </c>
      <c r="AG4457" s="53">
        <f>IF(AC4457="","",IF(IFERROR(INDEX(ctaMoneda,MATCH(AC4457,ctaNombre,0))&amp;"","DOP")="USD",T4457,S4457))</f>
        <v/>
      </c>
      <c r="AH4457" s="53">
        <f>IF(P4457="","",IF(AND(AD4457&lt;&gt;"",COUNTIFS(tcTipo,AD4457,tcLiq,"Sí")&gt;0),IF(OR(P4457="Gasto",P4457="Transferencia",P4457="Pago tarjeta"),-1,1)*S4457,0)+IF(AND(AE4457&lt;&gt;"",COUNTIFS(tcTipo,AE4457,tcLiq,"Sí")&gt;0),S4457,0))</f>
        <v/>
      </c>
      <c r="AI4457" s="52">
        <f>IF(OR(L4457="",P4457=""),"",IF(COUNTIFS(L$6:L4457,L4457,P$6:P4457,"?*")=1,MAX(AI$5:AI4456)+1,""))</f>
        <v/>
      </c>
    </row>
    <row r="4458">
      <c r="B4458" s="47" t="n"/>
      <c r="C4458" s="48" t="n"/>
      <c r="D4458" s="48" t="n"/>
      <c r="E4458" s="48" t="n"/>
      <c r="F4458" s="48" t="n"/>
      <c r="G4458" s="49" t="n"/>
      <c r="H4458" s="48" t="n"/>
      <c r="I4458" s="50" t="n"/>
      <c r="J4458" s="48" t="n"/>
      <c r="K4458" s="48" t="n"/>
      <c r="L4458" s="48" t="n"/>
      <c r="M4458" s="48" t="n"/>
      <c r="N4458" s="48" t="n"/>
      <c r="O4458" s="51">
        <f>IF(AND(B4458="",G4458="",C4458="",D4458="",J4458=""),"",IF(B4458="","⚠ Falta fecha",IF(G4458="","⚠ Falta monto",IF(Q4458="","⚠ Falta cuenta",IF(ISNA(MATCH(Q4458,ctaNombre,0)),"⚠ Cuenta no registrada",IF(AND(OR(P4458="Gasto",P4458="Reembolso"),D4458=""),"⚠ Falta categoría",IF(AND(D4458&lt;&gt;"",E4458&lt;&gt;"",ISNA(MATCH(D4458&amp;"|"&amp;E4458,catClave,0))),"⚠ Subcategoría no corresponde",IF(AND(OR(P4458="Transferencia",P4458="Pago tarjeta"),K4458=""),"⚠ Falta cuenta destino",IF(AND(K4458&lt;&gt;"",P4458&lt;&gt;"Transferencia",P4458&lt;&gt;"Pago tarjeta"),"⚠ Destino solo aplica a transferencias",IF(AND(K4458&lt;&gt;"",K4458=Q4458),"⚠ Origen igual a destino",IF(AND(K4458&lt;&gt;"",ISNA(MATCH(K4458,ctaNombre,0))),"⚠ Destino no registrado",IF(AND(P4458="Pago tarjeta",AE4458&lt;&gt;"Tarjeta de crédito"),"⚠ El destino debe ser tarjeta de crédito",IF(AND(P4458="Gasto",E4458="Depósitos y retiros"),"⚠ Usa tipo Transferencia",IF(AND(P4458="Resultado trading",AD4458&lt;&gt;"Cuenta de trading"),"⚠ Usa una cuenta de trading",IF(AND(G4458&lt;=0,P4458&lt;&gt;"Ajuste",P4458&lt;&gt;"Resultado trading"),"⚠ El monto debe ser positivo","✓")))))))))))))))</f>
        <v/>
      </c>
      <c r="P4458" s="52">
        <f>IF(OR(B4458="",G4458=""),"",IF(C4458="","Gasto",C4458))</f>
        <v/>
      </c>
      <c r="Q4458" s="52">
        <f>IF(P4458="","",IF(J4458&lt;&gt;"",J4458,CuentaPred&amp;""))</f>
        <v/>
      </c>
      <c r="R4458" s="52">
        <f>IF(P4458="","",IF(ISNUMBER(I4458),I4458,TasaUSD))</f>
        <v/>
      </c>
      <c r="S4458" s="53">
        <f>IF(P4458="","",IF(H4458="USD",G4458*R4458,G4458))</f>
        <v/>
      </c>
      <c r="T4458" s="53">
        <f>IF(P4458="","",IF(H4458="USD",G4458,IF(R4458&gt;0,G4458/R4458,0)))</f>
        <v/>
      </c>
      <c r="U4458" s="53">
        <f>IF(P4458="","",IF(P4458="Gasto",S4458,IF(P4458="Reembolso",-S4458,0)))</f>
        <v/>
      </c>
      <c r="V4458" s="53">
        <f>IF(P4458="","",IF(P4458="Ingreso",S4458,0))</f>
        <v/>
      </c>
      <c r="W4458" s="53">
        <f>IF(P4458="","",IF(P4458="Resultado trading",S4458,0))</f>
        <v/>
      </c>
      <c r="X4458" s="52">
        <f>IF(OR(P4458="Gasto",P4458="Reembolso"),IF(M4458&lt;&gt;"",M4458,IFERROR(INDEX(catClasif,MATCH(D4458&amp;"|"&amp;E4458,catClave,0))&amp;"","Variable")),"")</f>
        <v/>
      </c>
      <c r="Y4458" s="52">
        <f>IF(P4458="","",IFERROR(INDEX(catGrupo,MATCH(D4458&amp;"|"&amp;E4458,catClave,0))&amp;"",""))</f>
        <v/>
      </c>
      <c r="Z4458" s="52">
        <f>IF(P4458="","",WEEKDAY(B4458,2))</f>
        <v/>
      </c>
      <c r="AA4458" s="52">
        <f>IF(P4458="","",IF(AND(P4458="Gasto",X4458="Variable",D4458&lt;&gt;catTrading,S4458&gt;0,S4458&lt;=Umbral),1,0))</f>
        <v/>
      </c>
      <c r="AB4458" s="52">
        <f>IF(OR(P4458="",Q4458=""),"",IFERROR(IF(INDEX(ctaVinc,MATCH(Q4458,ctaNombre,0))&amp;""&lt;&gt;"",INDEX(ctaVinc,MATCH(Q4458,ctaNombre,0))&amp;"",Q4458),Q4458))</f>
        <v/>
      </c>
      <c r="AC4458" s="52">
        <f>IF(OR(K4458="",AND(P4458&lt;&gt;"Transferencia",P4458&lt;&gt;"Pago tarjeta")),"",IFERROR(IF(INDEX(ctaVinc,MATCH(K4458,ctaNombre,0))&amp;""&lt;&gt;"",INDEX(ctaVinc,MATCH(K4458,ctaNombre,0))&amp;"",K4458),K4458))</f>
        <v/>
      </c>
      <c r="AD4458" s="52">
        <f>IF(AB4458="","",IFERROR(INDEX(ctaTipo,MATCH(AB4458,ctaNombre,0))&amp;"",""))</f>
        <v/>
      </c>
      <c r="AE4458" s="52">
        <f>IF(AC4458="","",IFERROR(INDEX(ctaTipo,MATCH(AC4458,ctaNombre,0))&amp;"",""))</f>
        <v/>
      </c>
      <c r="AF4458" s="53">
        <f>IF(OR(P4458="",AB4458=""),"",IF(OR(P4458="Gasto",P4458="Transferencia",P4458="Pago tarjeta"),-1,1)*IF(IFERROR(INDEX(ctaMoneda,MATCH(AB4458,ctaNombre,0))&amp;"","DOP")="USD",T4458,S4458))</f>
        <v/>
      </c>
      <c r="AG4458" s="53">
        <f>IF(AC4458="","",IF(IFERROR(INDEX(ctaMoneda,MATCH(AC4458,ctaNombre,0))&amp;"","DOP")="USD",T4458,S4458))</f>
        <v/>
      </c>
      <c r="AH4458" s="53">
        <f>IF(P4458="","",IF(AND(AD4458&lt;&gt;"",COUNTIFS(tcTipo,AD4458,tcLiq,"Sí")&gt;0),IF(OR(P4458="Gasto",P4458="Transferencia",P4458="Pago tarjeta"),-1,1)*S4458,0)+IF(AND(AE4458&lt;&gt;"",COUNTIFS(tcTipo,AE4458,tcLiq,"Sí")&gt;0),S4458,0))</f>
        <v/>
      </c>
      <c r="AI4458" s="52">
        <f>IF(OR(L4458="",P4458=""),"",IF(COUNTIFS(L$6:L4458,L4458,P$6:P4458,"?*")=1,MAX(AI$5:AI4457)+1,""))</f>
        <v/>
      </c>
    </row>
    <row r="4459">
      <c r="B4459" s="47" t="n"/>
      <c r="C4459" s="48" t="n"/>
      <c r="D4459" s="48" t="n"/>
      <c r="E4459" s="48" t="n"/>
      <c r="F4459" s="48" t="n"/>
      <c r="G4459" s="49" t="n"/>
      <c r="H4459" s="48" t="n"/>
      <c r="I4459" s="50" t="n"/>
      <c r="J4459" s="48" t="n"/>
      <c r="K4459" s="48" t="n"/>
      <c r="L4459" s="48" t="n"/>
      <c r="M4459" s="48" t="n"/>
      <c r="N4459" s="48" t="n"/>
      <c r="O4459" s="51">
        <f>IF(AND(B4459="",G4459="",C4459="",D4459="",J4459=""),"",IF(B4459="","⚠ Falta fecha",IF(G4459="","⚠ Falta monto",IF(Q4459="","⚠ Falta cuenta",IF(ISNA(MATCH(Q4459,ctaNombre,0)),"⚠ Cuenta no registrada",IF(AND(OR(P4459="Gasto",P4459="Reembolso"),D4459=""),"⚠ Falta categoría",IF(AND(D4459&lt;&gt;"",E4459&lt;&gt;"",ISNA(MATCH(D4459&amp;"|"&amp;E4459,catClave,0))),"⚠ Subcategoría no corresponde",IF(AND(OR(P4459="Transferencia",P4459="Pago tarjeta"),K4459=""),"⚠ Falta cuenta destino",IF(AND(K4459&lt;&gt;"",P4459&lt;&gt;"Transferencia",P4459&lt;&gt;"Pago tarjeta"),"⚠ Destino solo aplica a transferencias",IF(AND(K4459&lt;&gt;"",K4459=Q4459),"⚠ Origen igual a destino",IF(AND(K4459&lt;&gt;"",ISNA(MATCH(K4459,ctaNombre,0))),"⚠ Destino no registrado",IF(AND(P4459="Pago tarjeta",AE4459&lt;&gt;"Tarjeta de crédito"),"⚠ El destino debe ser tarjeta de crédito",IF(AND(P4459="Gasto",E4459="Depósitos y retiros"),"⚠ Usa tipo Transferencia",IF(AND(P4459="Resultado trading",AD4459&lt;&gt;"Cuenta de trading"),"⚠ Usa una cuenta de trading",IF(AND(G4459&lt;=0,P4459&lt;&gt;"Ajuste",P4459&lt;&gt;"Resultado trading"),"⚠ El monto debe ser positivo","✓")))))))))))))))</f>
        <v/>
      </c>
      <c r="P4459" s="52">
        <f>IF(OR(B4459="",G4459=""),"",IF(C4459="","Gasto",C4459))</f>
        <v/>
      </c>
      <c r="Q4459" s="52">
        <f>IF(P4459="","",IF(J4459&lt;&gt;"",J4459,CuentaPred&amp;""))</f>
        <v/>
      </c>
      <c r="R4459" s="52">
        <f>IF(P4459="","",IF(ISNUMBER(I4459),I4459,TasaUSD))</f>
        <v/>
      </c>
      <c r="S4459" s="53">
        <f>IF(P4459="","",IF(H4459="USD",G4459*R4459,G4459))</f>
        <v/>
      </c>
      <c r="T4459" s="53">
        <f>IF(P4459="","",IF(H4459="USD",G4459,IF(R4459&gt;0,G4459/R4459,0)))</f>
        <v/>
      </c>
      <c r="U4459" s="53">
        <f>IF(P4459="","",IF(P4459="Gasto",S4459,IF(P4459="Reembolso",-S4459,0)))</f>
        <v/>
      </c>
      <c r="V4459" s="53">
        <f>IF(P4459="","",IF(P4459="Ingreso",S4459,0))</f>
        <v/>
      </c>
      <c r="W4459" s="53">
        <f>IF(P4459="","",IF(P4459="Resultado trading",S4459,0))</f>
        <v/>
      </c>
      <c r="X4459" s="52">
        <f>IF(OR(P4459="Gasto",P4459="Reembolso"),IF(M4459&lt;&gt;"",M4459,IFERROR(INDEX(catClasif,MATCH(D4459&amp;"|"&amp;E4459,catClave,0))&amp;"","Variable")),"")</f>
        <v/>
      </c>
      <c r="Y4459" s="52">
        <f>IF(P4459="","",IFERROR(INDEX(catGrupo,MATCH(D4459&amp;"|"&amp;E4459,catClave,0))&amp;"",""))</f>
        <v/>
      </c>
      <c r="Z4459" s="52">
        <f>IF(P4459="","",WEEKDAY(B4459,2))</f>
        <v/>
      </c>
      <c r="AA4459" s="52">
        <f>IF(P4459="","",IF(AND(P4459="Gasto",X4459="Variable",D4459&lt;&gt;catTrading,S4459&gt;0,S4459&lt;=Umbral),1,0))</f>
        <v/>
      </c>
      <c r="AB4459" s="52">
        <f>IF(OR(P4459="",Q4459=""),"",IFERROR(IF(INDEX(ctaVinc,MATCH(Q4459,ctaNombre,0))&amp;""&lt;&gt;"",INDEX(ctaVinc,MATCH(Q4459,ctaNombre,0))&amp;"",Q4459),Q4459))</f>
        <v/>
      </c>
      <c r="AC4459" s="52">
        <f>IF(OR(K4459="",AND(P4459&lt;&gt;"Transferencia",P4459&lt;&gt;"Pago tarjeta")),"",IFERROR(IF(INDEX(ctaVinc,MATCH(K4459,ctaNombre,0))&amp;""&lt;&gt;"",INDEX(ctaVinc,MATCH(K4459,ctaNombre,0))&amp;"",K4459),K4459))</f>
        <v/>
      </c>
      <c r="AD4459" s="52">
        <f>IF(AB4459="","",IFERROR(INDEX(ctaTipo,MATCH(AB4459,ctaNombre,0))&amp;"",""))</f>
        <v/>
      </c>
      <c r="AE4459" s="52">
        <f>IF(AC4459="","",IFERROR(INDEX(ctaTipo,MATCH(AC4459,ctaNombre,0))&amp;"",""))</f>
        <v/>
      </c>
      <c r="AF4459" s="53">
        <f>IF(OR(P4459="",AB4459=""),"",IF(OR(P4459="Gasto",P4459="Transferencia",P4459="Pago tarjeta"),-1,1)*IF(IFERROR(INDEX(ctaMoneda,MATCH(AB4459,ctaNombre,0))&amp;"","DOP")="USD",T4459,S4459))</f>
        <v/>
      </c>
      <c r="AG4459" s="53">
        <f>IF(AC4459="","",IF(IFERROR(INDEX(ctaMoneda,MATCH(AC4459,ctaNombre,0))&amp;"","DOP")="USD",T4459,S4459))</f>
        <v/>
      </c>
      <c r="AH4459" s="53">
        <f>IF(P4459="","",IF(AND(AD4459&lt;&gt;"",COUNTIFS(tcTipo,AD4459,tcLiq,"Sí")&gt;0),IF(OR(P4459="Gasto",P4459="Transferencia",P4459="Pago tarjeta"),-1,1)*S4459,0)+IF(AND(AE4459&lt;&gt;"",COUNTIFS(tcTipo,AE4459,tcLiq,"Sí")&gt;0),S4459,0))</f>
        <v/>
      </c>
      <c r="AI4459" s="52">
        <f>IF(OR(L4459="",P4459=""),"",IF(COUNTIFS(L$6:L4459,L4459,P$6:P4459,"?*")=1,MAX(AI$5:AI4458)+1,""))</f>
        <v/>
      </c>
    </row>
    <row r="4460">
      <c r="B4460" s="47" t="n"/>
      <c r="C4460" s="48" t="n"/>
      <c r="D4460" s="48" t="n"/>
      <c r="E4460" s="48" t="n"/>
      <c r="F4460" s="48" t="n"/>
      <c r="G4460" s="49" t="n"/>
      <c r="H4460" s="48" t="n"/>
      <c r="I4460" s="50" t="n"/>
      <c r="J4460" s="48" t="n"/>
      <c r="K4460" s="48" t="n"/>
      <c r="L4460" s="48" t="n"/>
      <c r="M4460" s="48" t="n"/>
      <c r="N4460" s="48" t="n"/>
      <c r="O4460" s="51">
        <f>IF(AND(B4460="",G4460="",C4460="",D4460="",J4460=""),"",IF(B4460="","⚠ Falta fecha",IF(G4460="","⚠ Falta monto",IF(Q4460="","⚠ Falta cuenta",IF(ISNA(MATCH(Q4460,ctaNombre,0)),"⚠ Cuenta no registrada",IF(AND(OR(P4460="Gasto",P4460="Reembolso"),D4460=""),"⚠ Falta categoría",IF(AND(D4460&lt;&gt;"",E4460&lt;&gt;"",ISNA(MATCH(D4460&amp;"|"&amp;E4460,catClave,0))),"⚠ Subcategoría no corresponde",IF(AND(OR(P4460="Transferencia",P4460="Pago tarjeta"),K4460=""),"⚠ Falta cuenta destino",IF(AND(K4460&lt;&gt;"",P4460&lt;&gt;"Transferencia",P4460&lt;&gt;"Pago tarjeta"),"⚠ Destino solo aplica a transferencias",IF(AND(K4460&lt;&gt;"",K4460=Q4460),"⚠ Origen igual a destino",IF(AND(K4460&lt;&gt;"",ISNA(MATCH(K4460,ctaNombre,0))),"⚠ Destino no registrado",IF(AND(P4460="Pago tarjeta",AE4460&lt;&gt;"Tarjeta de crédito"),"⚠ El destino debe ser tarjeta de crédito",IF(AND(P4460="Gasto",E4460="Depósitos y retiros"),"⚠ Usa tipo Transferencia",IF(AND(P4460="Resultado trading",AD4460&lt;&gt;"Cuenta de trading"),"⚠ Usa una cuenta de trading",IF(AND(G4460&lt;=0,P4460&lt;&gt;"Ajuste",P4460&lt;&gt;"Resultado trading"),"⚠ El monto debe ser positivo","✓")))))))))))))))</f>
        <v/>
      </c>
      <c r="P4460" s="52">
        <f>IF(OR(B4460="",G4460=""),"",IF(C4460="","Gasto",C4460))</f>
        <v/>
      </c>
      <c r="Q4460" s="52">
        <f>IF(P4460="","",IF(J4460&lt;&gt;"",J4460,CuentaPred&amp;""))</f>
        <v/>
      </c>
      <c r="R4460" s="52">
        <f>IF(P4460="","",IF(ISNUMBER(I4460),I4460,TasaUSD))</f>
        <v/>
      </c>
      <c r="S4460" s="53">
        <f>IF(P4460="","",IF(H4460="USD",G4460*R4460,G4460))</f>
        <v/>
      </c>
      <c r="T4460" s="53">
        <f>IF(P4460="","",IF(H4460="USD",G4460,IF(R4460&gt;0,G4460/R4460,0)))</f>
        <v/>
      </c>
      <c r="U4460" s="53">
        <f>IF(P4460="","",IF(P4460="Gasto",S4460,IF(P4460="Reembolso",-S4460,0)))</f>
        <v/>
      </c>
      <c r="V4460" s="53">
        <f>IF(P4460="","",IF(P4460="Ingreso",S4460,0))</f>
        <v/>
      </c>
      <c r="W4460" s="53">
        <f>IF(P4460="","",IF(P4460="Resultado trading",S4460,0))</f>
        <v/>
      </c>
      <c r="X4460" s="52">
        <f>IF(OR(P4460="Gasto",P4460="Reembolso"),IF(M4460&lt;&gt;"",M4460,IFERROR(INDEX(catClasif,MATCH(D4460&amp;"|"&amp;E4460,catClave,0))&amp;"","Variable")),"")</f>
        <v/>
      </c>
      <c r="Y4460" s="52">
        <f>IF(P4460="","",IFERROR(INDEX(catGrupo,MATCH(D4460&amp;"|"&amp;E4460,catClave,0))&amp;"",""))</f>
        <v/>
      </c>
      <c r="Z4460" s="52">
        <f>IF(P4460="","",WEEKDAY(B4460,2))</f>
        <v/>
      </c>
      <c r="AA4460" s="52">
        <f>IF(P4460="","",IF(AND(P4460="Gasto",X4460="Variable",D4460&lt;&gt;catTrading,S4460&gt;0,S4460&lt;=Umbral),1,0))</f>
        <v/>
      </c>
      <c r="AB4460" s="52">
        <f>IF(OR(P4460="",Q4460=""),"",IFERROR(IF(INDEX(ctaVinc,MATCH(Q4460,ctaNombre,0))&amp;""&lt;&gt;"",INDEX(ctaVinc,MATCH(Q4460,ctaNombre,0))&amp;"",Q4460),Q4460))</f>
        <v/>
      </c>
      <c r="AC4460" s="52">
        <f>IF(OR(K4460="",AND(P4460&lt;&gt;"Transferencia",P4460&lt;&gt;"Pago tarjeta")),"",IFERROR(IF(INDEX(ctaVinc,MATCH(K4460,ctaNombre,0))&amp;""&lt;&gt;"",INDEX(ctaVinc,MATCH(K4460,ctaNombre,0))&amp;"",K4460),K4460))</f>
        <v/>
      </c>
      <c r="AD4460" s="52">
        <f>IF(AB4460="","",IFERROR(INDEX(ctaTipo,MATCH(AB4460,ctaNombre,0))&amp;"",""))</f>
        <v/>
      </c>
      <c r="AE4460" s="52">
        <f>IF(AC4460="","",IFERROR(INDEX(ctaTipo,MATCH(AC4460,ctaNombre,0))&amp;"",""))</f>
        <v/>
      </c>
      <c r="AF4460" s="53">
        <f>IF(OR(P4460="",AB4460=""),"",IF(OR(P4460="Gasto",P4460="Transferencia",P4460="Pago tarjeta"),-1,1)*IF(IFERROR(INDEX(ctaMoneda,MATCH(AB4460,ctaNombre,0))&amp;"","DOP")="USD",T4460,S4460))</f>
        <v/>
      </c>
      <c r="AG4460" s="53">
        <f>IF(AC4460="","",IF(IFERROR(INDEX(ctaMoneda,MATCH(AC4460,ctaNombre,0))&amp;"","DOP")="USD",T4460,S4460))</f>
        <v/>
      </c>
      <c r="AH4460" s="53">
        <f>IF(P4460="","",IF(AND(AD4460&lt;&gt;"",COUNTIFS(tcTipo,AD4460,tcLiq,"Sí")&gt;0),IF(OR(P4460="Gasto",P4460="Transferencia",P4460="Pago tarjeta"),-1,1)*S4460,0)+IF(AND(AE4460&lt;&gt;"",COUNTIFS(tcTipo,AE4460,tcLiq,"Sí")&gt;0),S4460,0))</f>
        <v/>
      </c>
      <c r="AI4460" s="52">
        <f>IF(OR(L4460="",P4460=""),"",IF(COUNTIFS(L$6:L4460,L4460,P$6:P4460,"?*")=1,MAX(AI$5:AI4459)+1,""))</f>
        <v/>
      </c>
    </row>
    <row r="4461">
      <c r="B4461" s="47" t="n"/>
      <c r="C4461" s="48" t="n"/>
      <c r="D4461" s="48" t="n"/>
      <c r="E4461" s="48" t="n"/>
      <c r="F4461" s="48" t="n"/>
      <c r="G4461" s="49" t="n"/>
      <c r="H4461" s="48" t="n"/>
      <c r="I4461" s="50" t="n"/>
      <c r="J4461" s="48" t="n"/>
      <c r="K4461" s="48" t="n"/>
      <c r="L4461" s="48" t="n"/>
      <c r="M4461" s="48" t="n"/>
      <c r="N4461" s="48" t="n"/>
      <c r="O4461" s="51">
        <f>IF(AND(B4461="",G4461="",C4461="",D4461="",J4461=""),"",IF(B4461="","⚠ Falta fecha",IF(G4461="","⚠ Falta monto",IF(Q4461="","⚠ Falta cuenta",IF(ISNA(MATCH(Q4461,ctaNombre,0)),"⚠ Cuenta no registrada",IF(AND(OR(P4461="Gasto",P4461="Reembolso"),D4461=""),"⚠ Falta categoría",IF(AND(D4461&lt;&gt;"",E4461&lt;&gt;"",ISNA(MATCH(D4461&amp;"|"&amp;E4461,catClave,0))),"⚠ Subcategoría no corresponde",IF(AND(OR(P4461="Transferencia",P4461="Pago tarjeta"),K4461=""),"⚠ Falta cuenta destino",IF(AND(K4461&lt;&gt;"",P4461&lt;&gt;"Transferencia",P4461&lt;&gt;"Pago tarjeta"),"⚠ Destino solo aplica a transferencias",IF(AND(K4461&lt;&gt;"",K4461=Q4461),"⚠ Origen igual a destino",IF(AND(K4461&lt;&gt;"",ISNA(MATCH(K4461,ctaNombre,0))),"⚠ Destino no registrado",IF(AND(P4461="Pago tarjeta",AE4461&lt;&gt;"Tarjeta de crédito"),"⚠ El destino debe ser tarjeta de crédito",IF(AND(P4461="Gasto",E4461="Depósitos y retiros"),"⚠ Usa tipo Transferencia",IF(AND(P4461="Resultado trading",AD4461&lt;&gt;"Cuenta de trading"),"⚠ Usa una cuenta de trading",IF(AND(G4461&lt;=0,P4461&lt;&gt;"Ajuste",P4461&lt;&gt;"Resultado trading"),"⚠ El monto debe ser positivo","✓")))))))))))))))</f>
        <v/>
      </c>
      <c r="P4461" s="52">
        <f>IF(OR(B4461="",G4461=""),"",IF(C4461="","Gasto",C4461))</f>
        <v/>
      </c>
      <c r="Q4461" s="52">
        <f>IF(P4461="","",IF(J4461&lt;&gt;"",J4461,CuentaPred&amp;""))</f>
        <v/>
      </c>
      <c r="R4461" s="52">
        <f>IF(P4461="","",IF(ISNUMBER(I4461),I4461,TasaUSD))</f>
        <v/>
      </c>
      <c r="S4461" s="53">
        <f>IF(P4461="","",IF(H4461="USD",G4461*R4461,G4461))</f>
        <v/>
      </c>
      <c r="T4461" s="53">
        <f>IF(P4461="","",IF(H4461="USD",G4461,IF(R4461&gt;0,G4461/R4461,0)))</f>
        <v/>
      </c>
      <c r="U4461" s="53">
        <f>IF(P4461="","",IF(P4461="Gasto",S4461,IF(P4461="Reembolso",-S4461,0)))</f>
        <v/>
      </c>
      <c r="V4461" s="53">
        <f>IF(P4461="","",IF(P4461="Ingreso",S4461,0))</f>
        <v/>
      </c>
      <c r="W4461" s="53">
        <f>IF(P4461="","",IF(P4461="Resultado trading",S4461,0))</f>
        <v/>
      </c>
      <c r="X4461" s="52">
        <f>IF(OR(P4461="Gasto",P4461="Reembolso"),IF(M4461&lt;&gt;"",M4461,IFERROR(INDEX(catClasif,MATCH(D4461&amp;"|"&amp;E4461,catClave,0))&amp;"","Variable")),"")</f>
        <v/>
      </c>
      <c r="Y4461" s="52">
        <f>IF(P4461="","",IFERROR(INDEX(catGrupo,MATCH(D4461&amp;"|"&amp;E4461,catClave,0))&amp;"",""))</f>
        <v/>
      </c>
      <c r="Z4461" s="52">
        <f>IF(P4461="","",WEEKDAY(B4461,2))</f>
        <v/>
      </c>
      <c r="AA4461" s="52">
        <f>IF(P4461="","",IF(AND(P4461="Gasto",X4461="Variable",D4461&lt;&gt;catTrading,S4461&gt;0,S4461&lt;=Umbral),1,0))</f>
        <v/>
      </c>
      <c r="AB4461" s="52">
        <f>IF(OR(P4461="",Q4461=""),"",IFERROR(IF(INDEX(ctaVinc,MATCH(Q4461,ctaNombre,0))&amp;""&lt;&gt;"",INDEX(ctaVinc,MATCH(Q4461,ctaNombre,0))&amp;"",Q4461),Q4461))</f>
        <v/>
      </c>
      <c r="AC4461" s="52">
        <f>IF(OR(K4461="",AND(P4461&lt;&gt;"Transferencia",P4461&lt;&gt;"Pago tarjeta")),"",IFERROR(IF(INDEX(ctaVinc,MATCH(K4461,ctaNombre,0))&amp;""&lt;&gt;"",INDEX(ctaVinc,MATCH(K4461,ctaNombre,0))&amp;"",K4461),K4461))</f>
        <v/>
      </c>
      <c r="AD4461" s="52">
        <f>IF(AB4461="","",IFERROR(INDEX(ctaTipo,MATCH(AB4461,ctaNombre,0))&amp;"",""))</f>
        <v/>
      </c>
      <c r="AE4461" s="52">
        <f>IF(AC4461="","",IFERROR(INDEX(ctaTipo,MATCH(AC4461,ctaNombre,0))&amp;"",""))</f>
        <v/>
      </c>
      <c r="AF4461" s="53">
        <f>IF(OR(P4461="",AB4461=""),"",IF(OR(P4461="Gasto",P4461="Transferencia",P4461="Pago tarjeta"),-1,1)*IF(IFERROR(INDEX(ctaMoneda,MATCH(AB4461,ctaNombre,0))&amp;"","DOP")="USD",T4461,S4461))</f>
        <v/>
      </c>
      <c r="AG4461" s="53">
        <f>IF(AC4461="","",IF(IFERROR(INDEX(ctaMoneda,MATCH(AC4461,ctaNombre,0))&amp;"","DOP")="USD",T4461,S4461))</f>
        <v/>
      </c>
      <c r="AH4461" s="53">
        <f>IF(P4461="","",IF(AND(AD4461&lt;&gt;"",COUNTIFS(tcTipo,AD4461,tcLiq,"Sí")&gt;0),IF(OR(P4461="Gasto",P4461="Transferencia",P4461="Pago tarjeta"),-1,1)*S4461,0)+IF(AND(AE4461&lt;&gt;"",COUNTIFS(tcTipo,AE4461,tcLiq,"Sí")&gt;0),S4461,0))</f>
        <v/>
      </c>
      <c r="AI4461" s="52">
        <f>IF(OR(L4461="",P4461=""),"",IF(COUNTIFS(L$6:L4461,L4461,P$6:P4461,"?*")=1,MAX(AI$5:AI4460)+1,""))</f>
        <v/>
      </c>
    </row>
    <row r="4462">
      <c r="B4462" s="47" t="n"/>
      <c r="C4462" s="48" t="n"/>
      <c r="D4462" s="48" t="n"/>
      <c r="E4462" s="48" t="n"/>
      <c r="F4462" s="48" t="n"/>
      <c r="G4462" s="49" t="n"/>
      <c r="H4462" s="48" t="n"/>
      <c r="I4462" s="50" t="n"/>
      <c r="J4462" s="48" t="n"/>
      <c r="K4462" s="48" t="n"/>
      <c r="L4462" s="48" t="n"/>
      <c r="M4462" s="48" t="n"/>
      <c r="N4462" s="48" t="n"/>
      <c r="O4462" s="51">
        <f>IF(AND(B4462="",G4462="",C4462="",D4462="",J4462=""),"",IF(B4462="","⚠ Falta fecha",IF(G4462="","⚠ Falta monto",IF(Q4462="","⚠ Falta cuenta",IF(ISNA(MATCH(Q4462,ctaNombre,0)),"⚠ Cuenta no registrada",IF(AND(OR(P4462="Gasto",P4462="Reembolso"),D4462=""),"⚠ Falta categoría",IF(AND(D4462&lt;&gt;"",E4462&lt;&gt;"",ISNA(MATCH(D4462&amp;"|"&amp;E4462,catClave,0))),"⚠ Subcategoría no corresponde",IF(AND(OR(P4462="Transferencia",P4462="Pago tarjeta"),K4462=""),"⚠ Falta cuenta destino",IF(AND(K4462&lt;&gt;"",P4462&lt;&gt;"Transferencia",P4462&lt;&gt;"Pago tarjeta"),"⚠ Destino solo aplica a transferencias",IF(AND(K4462&lt;&gt;"",K4462=Q4462),"⚠ Origen igual a destino",IF(AND(K4462&lt;&gt;"",ISNA(MATCH(K4462,ctaNombre,0))),"⚠ Destino no registrado",IF(AND(P4462="Pago tarjeta",AE4462&lt;&gt;"Tarjeta de crédito"),"⚠ El destino debe ser tarjeta de crédito",IF(AND(P4462="Gasto",E4462="Depósitos y retiros"),"⚠ Usa tipo Transferencia",IF(AND(P4462="Resultado trading",AD4462&lt;&gt;"Cuenta de trading"),"⚠ Usa una cuenta de trading",IF(AND(G4462&lt;=0,P4462&lt;&gt;"Ajuste",P4462&lt;&gt;"Resultado trading"),"⚠ El monto debe ser positivo","✓")))))))))))))))</f>
        <v/>
      </c>
      <c r="P4462" s="52">
        <f>IF(OR(B4462="",G4462=""),"",IF(C4462="","Gasto",C4462))</f>
        <v/>
      </c>
      <c r="Q4462" s="52">
        <f>IF(P4462="","",IF(J4462&lt;&gt;"",J4462,CuentaPred&amp;""))</f>
        <v/>
      </c>
      <c r="R4462" s="52">
        <f>IF(P4462="","",IF(ISNUMBER(I4462),I4462,TasaUSD))</f>
        <v/>
      </c>
      <c r="S4462" s="53">
        <f>IF(P4462="","",IF(H4462="USD",G4462*R4462,G4462))</f>
        <v/>
      </c>
      <c r="T4462" s="53">
        <f>IF(P4462="","",IF(H4462="USD",G4462,IF(R4462&gt;0,G4462/R4462,0)))</f>
        <v/>
      </c>
      <c r="U4462" s="53">
        <f>IF(P4462="","",IF(P4462="Gasto",S4462,IF(P4462="Reembolso",-S4462,0)))</f>
        <v/>
      </c>
      <c r="V4462" s="53">
        <f>IF(P4462="","",IF(P4462="Ingreso",S4462,0))</f>
        <v/>
      </c>
      <c r="W4462" s="53">
        <f>IF(P4462="","",IF(P4462="Resultado trading",S4462,0))</f>
        <v/>
      </c>
      <c r="X4462" s="52">
        <f>IF(OR(P4462="Gasto",P4462="Reembolso"),IF(M4462&lt;&gt;"",M4462,IFERROR(INDEX(catClasif,MATCH(D4462&amp;"|"&amp;E4462,catClave,0))&amp;"","Variable")),"")</f>
        <v/>
      </c>
      <c r="Y4462" s="52">
        <f>IF(P4462="","",IFERROR(INDEX(catGrupo,MATCH(D4462&amp;"|"&amp;E4462,catClave,0))&amp;"",""))</f>
        <v/>
      </c>
      <c r="Z4462" s="52">
        <f>IF(P4462="","",WEEKDAY(B4462,2))</f>
        <v/>
      </c>
      <c r="AA4462" s="52">
        <f>IF(P4462="","",IF(AND(P4462="Gasto",X4462="Variable",D4462&lt;&gt;catTrading,S4462&gt;0,S4462&lt;=Umbral),1,0))</f>
        <v/>
      </c>
      <c r="AB4462" s="52">
        <f>IF(OR(P4462="",Q4462=""),"",IFERROR(IF(INDEX(ctaVinc,MATCH(Q4462,ctaNombre,0))&amp;""&lt;&gt;"",INDEX(ctaVinc,MATCH(Q4462,ctaNombre,0))&amp;"",Q4462),Q4462))</f>
        <v/>
      </c>
      <c r="AC4462" s="52">
        <f>IF(OR(K4462="",AND(P4462&lt;&gt;"Transferencia",P4462&lt;&gt;"Pago tarjeta")),"",IFERROR(IF(INDEX(ctaVinc,MATCH(K4462,ctaNombre,0))&amp;""&lt;&gt;"",INDEX(ctaVinc,MATCH(K4462,ctaNombre,0))&amp;"",K4462),K4462))</f>
        <v/>
      </c>
      <c r="AD4462" s="52">
        <f>IF(AB4462="","",IFERROR(INDEX(ctaTipo,MATCH(AB4462,ctaNombre,0))&amp;"",""))</f>
        <v/>
      </c>
      <c r="AE4462" s="52">
        <f>IF(AC4462="","",IFERROR(INDEX(ctaTipo,MATCH(AC4462,ctaNombre,0))&amp;"",""))</f>
        <v/>
      </c>
      <c r="AF4462" s="53">
        <f>IF(OR(P4462="",AB4462=""),"",IF(OR(P4462="Gasto",P4462="Transferencia",P4462="Pago tarjeta"),-1,1)*IF(IFERROR(INDEX(ctaMoneda,MATCH(AB4462,ctaNombre,0))&amp;"","DOP")="USD",T4462,S4462))</f>
        <v/>
      </c>
      <c r="AG4462" s="53">
        <f>IF(AC4462="","",IF(IFERROR(INDEX(ctaMoneda,MATCH(AC4462,ctaNombre,0))&amp;"","DOP")="USD",T4462,S4462))</f>
        <v/>
      </c>
      <c r="AH4462" s="53">
        <f>IF(P4462="","",IF(AND(AD4462&lt;&gt;"",COUNTIFS(tcTipo,AD4462,tcLiq,"Sí")&gt;0),IF(OR(P4462="Gasto",P4462="Transferencia",P4462="Pago tarjeta"),-1,1)*S4462,0)+IF(AND(AE4462&lt;&gt;"",COUNTIFS(tcTipo,AE4462,tcLiq,"Sí")&gt;0),S4462,0))</f>
        <v/>
      </c>
      <c r="AI4462" s="52">
        <f>IF(OR(L4462="",P4462=""),"",IF(COUNTIFS(L$6:L4462,L4462,P$6:P4462,"?*")=1,MAX(AI$5:AI4461)+1,""))</f>
        <v/>
      </c>
    </row>
    <row r="4463">
      <c r="B4463" s="47" t="n"/>
      <c r="C4463" s="48" t="n"/>
      <c r="D4463" s="48" t="n"/>
      <c r="E4463" s="48" t="n"/>
      <c r="F4463" s="48" t="n"/>
      <c r="G4463" s="49" t="n"/>
      <c r="H4463" s="48" t="n"/>
      <c r="I4463" s="50" t="n"/>
      <c r="J4463" s="48" t="n"/>
      <c r="K4463" s="48" t="n"/>
      <c r="L4463" s="48" t="n"/>
      <c r="M4463" s="48" t="n"/>
      <c r="N4463" s="48" t="n"/>
      <c r="O4463" s="51">
        <f>IF(AND(B4463="",G4463="",C4463="",D4463="",J4463=""),"",IF(B4463="","⚠ Falta fecha",IF(G4463="","⚠ Falta monto",IF(Q4463="","⚠ Falta cuenta",IF(ISNA(MATCH(Q4463,ctaNombre,0)),"⚠ Cuenta no registrada",IF(AND(OR(P4463="Gasto",P4463="Reembolso"),D4463=""),"⚠ Falta categoría",IF(AND(D4463&lt;&gt;"",E4463&lt;&gt;"",ISNA(MATCH(D4463&amp;"|"&amp;E4463,catClave,0))),"⚠ Subcategoría no corresponde",IF(AND(OR(P4463="Transferencia",P4463="Pago tarjeta"),K4463=""),"⚠ Falta cuenta destino",IF(AND(K4463&lt;&gt;"",P4463&lt;&gt;"Transferencia",P4463&lt;&gt;"Pago tarjeta"),"⚠ Destino solo aplica a transferencias",IF(AND(K4463&lt;&gt;"",K4463=Q4463),"⚠ Origen igual a destino",IF(AND(K4463&lt;&gt;"",ISNA(MATCH(K4463,ctaNombre,0))),"⚠ Destino no registrado",IF(AND(P4463="Pago tarjeta",AE4463&lt;&gt;"Tarjeta de crédito"),"⚠ El destino debe ser tarjeta de crédito",IF(AND(P4463="Gasto",E4463="Depósitos y retiros"),"⚠ Usa tipo Transferencia",IF(AND(P4463="Resultado trading",AD4463&lt;&gt;"Cuenta de trading"),"⚠ Usa una cuenta de trading",IF(AND(G4463&lt;=0,P4463&lt;&gt;"Ajuste",P4463&lt;&gt;"Resultado trading"),"⚠ El monto debe ser positivo","✓")))))))))))))))</f>
        <v/>
      </c>
      <c r="P4463" s="52">
        <f>IF(OR(B4463="",G4463=""),"",IF(C4463="","Gasto",C4463))</f>
        <v/>
      </c>
      <c r="Q4463" s="52">
        <f>IF(P4463="","",IF(J4463&lt;&gt;"",J4463,CuentaPred&amp;""))</f>
        <v/>
      </c>
      <c r="R4463" s="52">
        <f>IF(P4463="","",IF(ISNUMBER(I4463),I4463,TasaUSD))</f>
        <v/>
      </c>
      <c r="S4463" s="53">
        <f>IF(P4463="","",IF(H4463="USD",G4463*R4463,G4463))</f>
        <v/>
      </c>
      <c r="T4463" s="53">
        <f>IF(P4463="","",IF(H4463="USD",G4463,IF(R4463&gt;0,G4463/R4463,0)))</f>
        <v/>
      </c>
      <c r="U4463" s="53">
        <f>IF(P4463="","",IF(P4463="Gasto",S4463,IF(P4463="Reembolso",-S4463,0)))</f>
        <v/>
      </c>
      <c r="V4463" s="53">
        <f>IF(P4463="","",IF(P4463="Ingreso",S4463,0))</f>
        <v/>
      </c>
      <c r="W4463" s="53">
        <f>IF(P4463="","",IF(P4463="Resultado trading",S4463,0))</f>
        <v/>
      </c>
      <c r="X4463" s="52">
        <f>IF(OR(P4463="Gasto",P4463="Reembolso"),IF(M4463&lt;&gt;"",M4463,IFERROR(INDEX(catClasif,MATCH(D4463&amp;"|"&amp;E4463,catClave,0))&amp;"","Variable")),"")</f>
        <v/>
      </c>
      <c r="Y4463" s="52">
        <f>IF(P4463="","",IFERROR(INDEX(catGrupo,MATCH(D4463&amp;"|"&amp;E4463,catClave,0))&amp;"",""))</f>
        <v/>
      </c>
      <c r="Z4463" s="52">
        <f>IF(P4463="","",WEEKDAY(B4463,2))</f>
        <v/>
      </c>
      <c r="AA4463" s="52">
        <f>IF(P4463="","",IF(AND(P4463="Gasto",X4463="Variable",D4463&lt;&gt;catTrading,S4463&gt;0,S4463&lt;=Umbral),1,0))</f>
        <v/>
      </c>
      <c r="AB4463" s="52">
        <f>IF(OR(P4463="",Q4463=""),"",IFERROR(IF(INDEX(ctaVinc,MATCH(Q4463,ctaNombre,0))&amp;""&lt;&gt;"",INDEX(ctaVinc,MATCH(Q4463,ctaNombre,0))&amp;"",Q4463),Q4463))</f>
        <v/>
      </c>
      <c r="AC4463" s="52">
        <f>IF(OR(K4463="",AND(P4463&lt;&gt;"Transferencia",P4463&lt;&gt;"Pago tarjeta")),"",IFERROR(IF(INDEX(ctaVinc,MATCH(K4463,ctaNombre,0))&amp;""&lt;&gt;"",INDEX(ctaVinc,MATCH(K4463,ctaNombre,0))&amp;"",K4463),K4463))</f>
        <v/>
      </c>
      <c r="AD4463" s="52">
        <f>IF(AB4463="","",IFERROR(INDEX(ctaTipo,MATCH(AB4463,ctaNombre,0))&amp;"",""))</f>
        <v/>
      </c>
      <c r="AE4463" s="52">
        <f>IF(AC4463="","",IFERROR(INDEX(ctaTipo,MATCH(AC4463,ctaNombre,0))&amp;"",""))</f>
        <v/>
      </c>
      <c r="AF4463" s="53">
        <f>IF(OR(P4463="",AB4463=""),"",IF(OR(P4463="Gasto",P4463="Transferencia",P4463="Pago tarjeta"),-1,1)*IF(IFERROR(INDEX(ctaMoneda,MATCH(AB4463,ctaNombre,0))&amp;"","DOP")="USD",T4463,S4463))</f>
        <v/>
      </c>
      <c r="AG4463" s="53">
        <f>IF(AC4463="","",IF(IFERROR(INDEX(ctaMoneda,MATCH(AC4463,ctaNombre,0))&amp;"","DOP")="USD",T4463,S4463))</f>
        <v/>
      </c>
      <c r="AH4463" s="53">
        <f>IF(P4463="","",IF(AND(AD4463&lt;&gt;"",COUNTIFS(tcTipo,AD4463,tcLiq,"Sí")&gt;0),IF(OR(P4463="Gasto",P4463="Transferencia",P4463="Pago tarjeta"),-1,1)*S4463,0)+IF(AND(AE4463&lt;&gt;"",COUNTIFS(tcTipo,AE4463,tcLiq,"Sí")&gt;0),S4463,0))</f>
        <v/>
      </c>
      <c r="AI4463" s="52">
        <f>IF(OR(L4463="",P4463=""),"",IF(COUNTIFS(L$6:L4463,L4463,P$6:P4463,"?*")=1,MAX(AI$5:AI4462)+1,""))</f>
        <v/>
      </c>
    </row>
    <row r="4464">
      <c r="B4464" s="47" t="n"/>
      <c r="C4464" s="48" t="n"/>
      <c r="D4464" s="48" t="n"/>
      <c r="E4464" s="48" t="n"/>
      <c r="F4464" s="48" t="n"/>
      <c r="G4464" s="49" t="n"/>
      <c r="H4464" s="48" t="n"/>
      <c r="I4464" s="50" t="n"/>
      <c r="J4464" s="48" t="n"/>
      <c r="K4464" s="48" t="n"/>
      <c r="L4464" s="48" t="n"/>
      <c r="M4464" s="48" t="n"/>
      <c r="N4464" s="48" t="n"/>
      <c r="O4464" s="51">
        <f>IF(AND(B4464="",G4464="",C4464="",D4464="",J4464=""),"",IF(B4464="","⚠ Falta fecha",IF(G4464="","⚠ Falta monto",IF(Q4464="","⚠ Falta cuenta",IF(ISNA(MATCH(Q4464,ctaNombre,0)),"⚠ Cuenta no registrada",IF(AND(OR(P4464="Gasto",P4464="Reembolso"),D4464=""),"⚠ Falta categoría",IF(AND(D4464&lt;&gt;"",E4464&lt;&gt;"",ISNA(MATCH(D4464&amp;"|"&amp;E4464,catClave,0))),"⚠ Subcategoría no corresponde",IF(AND(OR(P4464="Transferencia",P4464="Pago tarjeta"),K4464=""),"⚠ Falta cuenta destino",IF(AND(K4464&lt;&gt;"",P4464&lt;&gt;"Transferencia",P4464&lt;&gt;"Pago tarjeta"),"⚠ Destino solo aplica a transferencias",IF(AND(K4464&lt;&gt;"",K4464=Q4464),"⚠ Origen igual a destino",IF(AND(K4464&lt;&gt;"",ISNA(MATCH(K4464,ctaNombre,0))),"⚠ Destino no registrado",IF(AND(P4464="Pago tarjeta",AE4464&lt;&gt;"Tarjeta de crédito"),"⚠ El destino debe ser tarjeta de crédito",IF(AND(P4464="Gasto",E4464="Depósitos y retiros"),"⚠ Usa tipo Transferencia",IF(AND(P4464="Resultado trading",AD4464&lt;&gt;"Cuenta de trading"),"⚠ Usa una cuenta de trading",IF(AND(G4464&lt;=0,P4464&lt;&gt;"Ajuste",P4464&lt;&gt;"Resultado trading"),"⚠ El monto debe ser positivo","✓")))))))))))))))</f>
        <v/>
      </c>
      <c r="P4464" s="52">
        <f>IF(OR(B4464="",G4464=""),"",IF(C4464="","Gasto",C4464))</f>
        <v/>
      </c>
      <c r="Q4464" s="52">
        <f>IF(P4464="","",IF(J4464&lt;&gt;"",J4464,CuentaPred&amp;""))</f>
        <v/>
      </c>
      <c r="R4464" s="52">
        <f>IF(P4464="","",IF(ISNUMBER(I4464),I4464,TasaUSD))</f>
        <v/>
      </c>
      <c r="S4464" s="53">
        <f>IF(P4464="","",IF(H4464="USD",G4464*R4464,G4464))</f>
        <v/>
      </c>
      <c r="T4464" s="53">
        <f>IF(P4464="","",IF(H4464="USD",G4464,IF(R4464&gt;0,G4464/R4464,0)))</f>
        <v/>
      </c>
      <c r="U4464" s="53">
        <f>IF(P4464="","",IF(P4464="Gasto",S4464,IF(P4464="Reembolso",-S4464,0)))</f>
        <v/>
      </c>
      <c r="V4464" s="53">
        <f>IF(P4464="","",IF(P4464="Ingreso",S4464,0))</f>
        <v/>
      </c>
      <c r="W4464" s="53">
        <f>IF(P4464="","",IF(P4464="Resultado trading",S4464,0))</f>
        <v/>
      </c>
      <c r="X4464" s="52">
        <f>IF(OR(P4464="Gasto",P4464="Reembolso"),IF(M4464&lt;&gt;"",M4464,IFERROR(INDEX(catClasif,MATCH(D4464&amp;"|"&amp;E4464,catClave,0))&amp;"","Variable")),"")</f>
        <v/>
      </c>
      <c r="Y4464" s="52">
        <f>IF(P4464="","",IFERROR(INDEX(catGrupo,MATCH(D4464&amp;"|"&amp;E4464,catClave,0))&amp;"",""))</f>
        <v/>
      </c>
      <c r="Z4464" s="52">
        <f>IF(P4464="","",WEEKDAY(B4464,2))</f>
        <v/>
      </c>
      <c r="AA4464" s="52">
        <f>IF(P4464="","",IF(AND(P4464="Gasto",X4464="Variable",D4464&lt;&gt;catTrading,S4464&gt;0,S4464&lt;=Umbral),1,0))</f>
        <v/>
      </c>
      <c r="AB4464" s="52">
        <f>IF(OR(P4464="",Q4464=""),"",IFERROR(IF(INDEX(ctaVinc,MATCH(Q4464,ctaNombre,0))&amp;""&lt;&gt;"",INDEX(ctaVinc,MATCH(Q4464,ctaNombre,0))&amp;"",Q4464),Q4464))</f>
        <v/>
      </c>
      <c r="AC4464" s="52">
        <f>IF(OR(K4464="",AND(P4464&lt;&gt;"Transferencia",P4464&lt;&gt;"Pago tarjeta")),"",IFERROR(IF(INDEX(ctaVinc,MATCH(K4464,ctaNombre,0))&amp;""&lt;&gt;"",INDEX(ctaVinc,MATCH(K4464,ctaNombre,0))&amp;"",K4464),K4464))</f>
        <v/>
      </c>
      <c r="AD4464" s="52">
        <f>IF(AB4464="","",IFERROR(INDEX(ctaTipo,MATCH(AB4464,ctaNombre,0))&amp;"",""))</f>
        <v/>
      </c>
      <c r="AE4464" s="52">
        <f>IF(AC4464="","",IFERROR(INDEX(ctaTipo,MATCH(AC4464,ctaNombre,0))&amp;"",""))</f>
        <v/>
      </c>
      <c r="AF4464" s="53">
        <f>IF(OR(P4464="",AB4464=""),"",IF(OR(P4464="Gasto",P4464="Transferencia",P4464="Pago tarjeta"),-1,1)*IF(IFERROR(INDEX(ctaMoneda,MATCH(AB4464,ctaNombre,0))&amp;"","DOP")="USD",T4464,S4464))</f>
        <v/>
      </c>
      <c r="AG4464" s="53">
        <f>IF(AC4464="","",IF(IFERROR(INDEX(ctaMoneda,MATCH(AC4464,ctaNombre,0))&amp;"","DOP")="USD",T4464,S4464))</f>
        <v/>
      </c>
      <c r="AH4464" s="53">
        <f>IF(P4464="","",IF(AND(AD4464&lt;&gt;"",COUNTIFS(tcTipo,AD4464,tcLiq,"Sí")&gt;0),IF(OR(P4464="Gasto",P4464="Transferencia",P4464="Pago tarjeta"),-1,1)*S4464,0)+IF(AND(AE4464&lt;&gt;"",COUNTIFS(tcTipo,AE4464,tcLiq,"Sí")&gt;0),S4464,0))</f>
        <v/>
      </c>
      <c r="AI4464" s="52">
        <f>IF(OR(L4464="",P4464=""),"",IF(COUNTIFS(L$6:L4464,L4464,P$6:P4464,"?*")=1,MAX(AI$5:AI4463)+1,""))</f>
        <v/>
      </c>
    </row>
    <row r="4465">
      <c r="B4465" s="47" t="n"/>
      <c r="C4465" s="48" t="n"/>
      <c r="D4465" s="48" t="n"/>
      <c r="E4465" s="48" t="n"/>
      <c r="F4465" s="48" t="n"/>
      <c r="G4465" s="49" t="n"/>
      <c r="H4465" s="48" t="n"/>
      <c r="I4465" s="50" t="n"/>
      <c r="J4465" s="48" t="n"/>
      <c r="K4465" s="48" t="n"/>
      <c r="L4465" s="48" t="n"/>
      <c r="M4465" s="48" t="n"/>
      <c r="N4465" s="48" t="n"/>
      <c r="O4465" s="51">
        <f>IF(AND(B4465="",G4465="",C4465="",D4465="",J4465=""),"",IF(B4465="","⚠ Falta fecha",IF(G4465="","⚠ Falta monto",IF(Q4465="","⚠ Falta cuenta",IF(ISNA(MATCH(Q4465,ctaNombre,0)),"⚠ Cuenta no registrada",IF(AND(OR(P4465="Gasto",P4465="Reembolso"),D4465=""),"⚠ Falta categoría",IF(AND(D4465&lt;&gt;"",E4465&lt;&gt;"",ISNA(MATCH(D4465&amp;"|"&amp;E4465,catClave,0))),"⚠ Subcategoría no corresponde",IF(AND(OR(P4465="Transferencia",P4465="Pago tarjeta"),K4465=""),"⚠ Falta cuenta destino",IF(AND(K4465&lt;&gt;"",P4465&lt;&gt;"Transferencia",P4465&lt;&gt;"Pago tarjeta"),"⚠ Destino solo aplica a transferencias",IF(AND(K4465&lt;&gt;"",K4465=Q4465),"⚠ Origen igual a destino",IF(AND(K4465&lt;&gt;"",ISNA(MATCH(K4465,ctaNombre,0))),"⚠ Destino no registrado",IF(AND(P4465="Pago tarjeta",AE4465&lt;&gt;"Tarjeta de crédito"),"⚠ El destino debe ser tarjeta de crédito",IF(AND(P4465="Gasto",E4465="Depósitos y retiros"),"⚠ Usa tipo Transferencia",IF(AND(P4465="Resultado trading",AD4465&lt;&gt;"Cuenta de trading"),"⚠ Usa una cuenta de trading",IF(AND(G4465&lt;=0,P4465&lt;&gt;"Ajuste",P4465&lt;&gt;"Resultado trading"),"⚠ El monto debe ser positivo","✓")))))))))))))))</f>
        <v/>
      </c>
      <c r="P4465" s="52">
        <f>IF(OR(B4465="",G4465=""),"",IF(C4465="","Gasto",C4465))</f>
        <v/>
      </c>
      <c r="Q4465" s="52">
        <f>IF(P4465="","",IF(J4465&lt;&gt;"",J4465,CuentaPred&amp;""))</f>
        <v/>
      </c>
      <c r="R4465" s="52">
        <f>IF(P4465="","",IF(ISNUMBER(I4465),I4465,TasaUSD))</f>
        <v/>
      </c>
      <c r="S4465" s="53">
        <f>IF(P4465="","",IF(H4465="USD",G4465*R4465,G4465))</f>
        <v/>
      </c>
      <c r="T4465" s="53">
        <f>IF(P4465="","",IF(H4465="USD",G4465,IF(R4465&gt;0,G4465/R4465,0)))</f>
        <v/>
      </c>
      <c r="U4465" s="53">
        <f>IF(P4465="","",IF(P4465="Gasto",S4465,IF(P4465="Reembolso",-S4465,0)))</f>
        <v/>
      </c>
      <c r="V4465" s="53">
        <f>IF(P4465="","",IF(P4465="Ingreso",S4465,0))</f>
        <v/>
      </c>
      <c r="W4465" s="53">
        <f>IF(P4465="","",IF(P4465="Resultado trading",S4465,0))</f>
        <v/>
      </c>
      <c r="X4465" s="52">
        <f>IF(OR(P4465="Gasto",P4465="Reembolso"),IF(M4465&lt;&gt;"",M4465,IFERROR(INDEX(catClasif,MATCH(D4465&amp;"|"&amp;E4465,catClave,0))&amp;"","Variable")),"")</f>
        <v/>
      </c>
      <c r="Y4465" s="52">
        <f>IF(P4465="","",IFERROR(INDEX(catGrupo,MATCH(D4465&amp;"|"&amp;E4465,catClave,0))&amp;"",""))</f>
        <v/>
      </c>
      <c r="Z4465" s="52">
        <f>IF(P4465="","",WEEKDAY(B4465,2))</f>
        <v/>
      </c>
      <c r="AA4465" s="52">
        <f>IF(P4465="","",IF(AND(P4465="Gasto",X4465="Variable",D4465&lt;&gt;catTrading,S4465&gt;0,S4465&lt;=Umbral),1,0))</f>
        <v/>
      </c>
      <c r="AB4465" s="52">
        <f>IF(OR(P4465="",Q4465=""),"",IFERROR(IF(INDEX(ctaVinc,MATCH(Q4465,ctaNombre,0))&amp;""&lt;&gt;"",INDEX(ctaVinc,MATCH(Q4465,ctaNombre,0))&amp;"",Q4465),Q4465))</f>
        <v/>
      </c>
      <c r="AC4465" s="52">
        <f>IF(OR(K4465="",AND(P4465&lt;&gt;"Transferencia",P4465&lt;&gt;"Pago tarjeta")),"",IFERROR(IF(INDEX(ctaVinc,MATCH(K4465,ctaNombre,0))&amp;""&lt;&gt;"",INDEX(ctaVinc,MATCH(K4465,ctaNombre,0))&amp;"",K4465),K4465))</f>
        <v/>
      </c>
      <c r="AD4465" s="52">
        <f>IF(AB4465="","",IFERROR(INDEX(ctaTipo,MATCH(AB4465,ctaNombre,0))&amp;"",""))</f>
        <v/>
      </c>
      <c r="AE4465" s="52">
        <f>IF(AC4465="","",IFERROR(INDEX(ctaTipo,MATCH(AC4465,ctaNombre,0))&amp;"",""))</f>
        <v/>
      </c>
      <c r="AF4465" s="53">
        <f>IF(OR(P4465="",AB4465=""),"",IF(OR(P4465="Gasto",P4465="Transferencia",P4465="Pago tarjeta"),-1,1)*IF(IFERROR(INDEX(ctaMoneda,MATCH(AB4465,ctaNombre,0))&amp;"","DOP")="USD",T4465,S4465))</f>
        <v/>
      </c>
      <c r="AG4465" s="53">
        <f>IF(AC4465="","",IF(IFERROR(INDEX(ctaMoneda,MATCH(AC4465,ctaNombre,0))&amp;"","DOP")="USD",T4465,S4465))</f>
        <v/>
      </c>
      <c r="AH4465" s="53">
        <f>IF(P4465="","",IF(AND(AD4465&lt;&gt;"",COUNTIFS(tcTipo,AD4465,tcLiq,"Sí")&gt;0),IF(OR(P4465="Gasto",P4465="Transferencia",P4465="Pago tarjeta"),-1,1)*S4465,0)+IF(AND(AE4465&lt;&gt;"",COUNTIFS(tcTipo,AE4465,tcLiq,"Sí")&gt;0),S4465,0))</f>
        <v/>
      </c>
      <c r="AI4465" s="52">
        <f>IF(OR(L4465="",P4465=""),"",IF(COUNTIFS(L$6:L4465,L4465,P$6:P4465,"?*")=1,MAX(AI$5:AI4464)+1,""))</f>
        <v/>
      </c>
    </row>
    <row r="4466">
      <c r="B4466" s="47" t="n"/>
      <c r="C4466" s="48" t="n"/>
      <c r="D4466" s="48" t="n"/>
      <c r="E4466" s="48" t="n"/>
      <c r="F4466" s="48" t="n"/>
      <c r="G4466" s="49" t="n"/>
      <c r="H4466" s="48" t="n"/>
      <c r="I4466" s="50" t="n"/>
      <c r="J4466" s="48" t="n"/>
      <c r="K4466" s="48" t="n"/>
      <c r="L4466" s="48" t="n"/>
      <c r="M4466" s="48" t="n"/>
      <c r="N4466" s="48" t="n"/>
      <c r="O4466" s="51">
        <f>IF(AND(B4466="",G4466="",C4466="",D4466="",J4466=""),"",IF(B4466="","⚠ Falta fecha",IF(G4466="","⚠ Falta monto",IF(Q4466="","⚠ Falta cuenta",IF(ISNA(MATCH(Q4466,ctaNombre,0)),"⚠ Cuenta no registrada",IF(AND(OR(P4466="Gasto",P4466="Reembolso"),D4466=""),"⚠ Falta categoría",IF(AND(D4466&lt;&gt;"",E4466&lt;&gt;"",ISNA(MATCH(D4466&amp;"|"&amp;E4466,catClave,0))),"⚠ Subcategoría no corresponde",IF(AND(OR(P4466="Transferencia",P4466="Pago tarjeta"),K4466=""),"⚠ Falta cuenta destino",IF(AND(K4466&lt;&gt;"",P4466&lt;&gt;"Transferencia",P4466&lt;&gt;"Pago tarjeta"),"⚠ Destino solo aplica a transferencias",IF(AND(K4466&lt;&gt;"",K4466=Q4466),"⚠ Origen igual a destino",IF(AND(K4466&lt;&gt;"",ISNA(MATCH(K4466,ctaNombre,0))),"⚠ Destino no registrado",IF(AND(P4466="Pago tarjeta",AE4466&lt;&gt;"Tarjeta de crédito"),"⚠ El destino debe ser tarjeta de crédito",IF(AND(P4466="Gasto",E4466="Depósitos y retiros"),"⚠ Usa tipo Transferencia",IF(AND(P4466="Resultado trading",AD4466&lt;&gt;"Cuenta de trading"),"⚠ Usa una cuenta de trading",IF(AND(G4466&lt;=0,P4466&lt;&gt;"Ajuste",P4466&lt;&gt;"Resultado trading"),"⚠ El monto debe ser positivo","✓")))))))))))))))</f>
        <v/>
      </c>
      <c r="P4466" s="52">
        <f>IF(OR(B4466="",G4466=""),"",IF(C4466="","Gasto",C4466))</f>
        <v/>
      </c>
      <c r="Q4466" s="52">
        <f>IF(P4466="","",IF(J4466&lt;&gt;"",J4466,CuentaPred&amp;""))</f>
        <v/>
      </c>
      <c r="R4466" s="52">
        <f>IF(P4466="","",IF(ISNUMBER(I4466),I4466,TasaUSD))</f>
        <v/>
      </c>
      <c r="S4466" s="53">
        <f>IF(P4466="","",IF(H4466="USD",G4466*R4466,G4466))</f>
        <v/>
      </c>
      <c r="T4466" s="53">
        <f>IF(P4466="","",IF(H4466="USD",G4466,IF(R4466&gt;0,G4466/R4466,0)))</f>
        <v/>
      </c>
      <c r="U4466" s="53">
        <f>IF(P4466="","",IF(P4466="Gasto",S4466,IF(P4466="Reembolso",-S4466,0)))</f>
        <v/>
      </c>
      <c r="V4466" s="53">
        <f>IF(P4466="","",IF(P4466="Ingreso",S4466,0))</f>
        <v/>
      </c>
      <c r="W4466" s="53">
        <f>IF(P4466="","",IF(P4466="Resultado trading",S4466,0))</f>
        <v/>
      </c>
      <c r="X4466" s="52">
        <f>IF(OR(P4466="Gasto",P4466="Reembolso"),IF(M4466&lt;&gt;"",M4466,IFERROR(INDEX(catClasif,MATCH(D4466&amp;"|"&amp;E4466,catClave,0))&amp;"","Variable")),"")</f>
        <v/>
      </c>
      <c r="Y4466" s="52">
        <f>IF(P4466="","",IFERROR(INDEX(catGrupo,MATCH(D4466&amp;"|"&amp;E4466,catClave,0))&amp;"",""))</f>
        <v/>
      </c>
      <c r="Z4466" s="52">
        <f>IF(P4466="","",WEEKDAY(B4466,2))</f>
        <v/>
      </c>
      <c r="AA4466" s="52">
        <f>IF(P4466="","",IF(AND(P4466="Gasto",X4466="Variable",D4466&lt;&gt;catTrading,S4466&gt;0,S4466&lt;=Umbral),1,0))</f>
        <v/>
      </c>
      <c r="AB4466" s="52">
        <f>IF(OR(P4466="",Q4466=""),"",IFERROR(IF(INDEX(ctaVinc,MATCH(Q4466,ctaNombre,0))&amp;""&lt;&gt;"",INDEX(ctaVinc,MATCH(Q4466,ctaNombre,0))&amp;"",Q4466),Q4466))</f>
        <v/>
      </c>
      <c r="AC4466" s="52">
        <f>IF(OR(K4466="",AND(P4466&lt;&gt;"Transferencia",P4466&lt;&gt;"Pago tarjeta")),"",IFERROR(IF(INDEX(ctaVinc,MATCH(K4466,ctaNombre,0))&amp;""&lt;&gt;"",INDEX(ctaVinc,MATCH(K4466,ctaNombre,0))&amp;"",K4466),K4466))</f>
        <v/>
      </c>
      <c r="AD4466" s="52">
        <f>IF(AB4466="","",IFERROR(INDEX(ctaTipo,MATCH(AB4466,ctaNombre,0))&amp;"",""))</f>
        <v/>
      </c>
      <c r="AE4466" s="52">
        <f>IF(AC4466="","",IFERROR(INDEX(ctaTipo,MATCH(AC4466,ctaNombre,0))&amp;"",""))</f>
        <v/>
      </c>
      <c r="AF4466" s="53">
        <f>IF(OR(P4466="",AB4466=""),"",IF(OR(P4466="Gasto",P4466="Transferencia",P4466="Pago tarjeta"),-1,1)*IF(IFERROR(INDEX(ctaMoneda,MATCH(AB4466,ctaNombre,0))&amp;"","DOP")="USD",T4466,S4466))</f>
        <v/>
      </c>
      <c r="AG4466" s="53">
        <f>IF(AC4466="","",IF(IFERROR(INDEX(ctaMoneda,MATCH(AC4466,ctaNombre,0))&amp;"","DOP")="USD",T4466,S4466))</f>
        <v/>
      </c>
      <c r="AH4466" s="53">
        <f>IF(P4466="","",IF(AND(AD4466&lt;&gt;"",COUNTIFS(tcTipo,AD4466,tcLiq,"Sí")&gt;0),IF(OR(P4466="Gasto",P4466="Transferencia",P4466="Pago tarjeta"),-1,1)*S4466,0)+IF(AND(AE4466&lt;&gt;"",COUNTIFS(tcTipo,AE4466,tcLiq,"Sí")&gt;0),S4466,0))</f>
        <v/>
      </c>
      <c r="AI4466" s="52">
        <f>IF(OR(L4466="",P4466=""),"",IF(COUNTIFS(L$6:L4466,L4466,P$6:P4466,"?*")=1,MAX(AI$5:AI4465)+1,""))</f>
        <v/>
      </c>
    </row>
    <row r="4467">
      <c r="B4467" s="47" t="n"/>
      <c r="C4467" s="48" t="n"/>
      <c r="D4467" s="48" t="n"/>
      <c r="E4467" s="48" t="n"/>
      <c r="F4467" s="48" t="n"/>
      <c r="G4467" s="49" t="n"/>
      <c r="H4467" s="48" t="n"/>
      <c r="I4467" s="50" t="n"/>
      <c r="J4467" s="48" t="n"/>
      <c r="K4467" s="48" t="n"/>
      <c r="L4467" s="48" t="n"/>
      <c r="M4467" s="48" t="n"/>
      <c r="N4467" s="48" t="n"/>
      <c r="O4467" s="51">
        <f>IF(AND(B4467="",G4467="",C4467="",D4467="",J4467=""),"",IF(B4467="","⚠ Falta fecha",IF(G4467="","⚠ Falta monto",IF(Q4467="","⚠ Falta cuenta",IF(ISNA(MATCH(Q4467,ctaNombre,0)),"⚠ Cuenta no registrada",IF(AND(OR(P4467="Gasto",P4467="Reembolso"),D4467=""),"⚠ Falta categoría",IF(AND(D4467&lt;&gt;"",E4467&lt;&gt;"",ISNA(MATCH(D4467&amp;"|"&amp;E4467,catClave,0))),"⚠ Subcategoría no corresponde",IF(AND(OR(P4467="Transferencia",P4467="Pago tarjeta"),K4467=""),"⚠ Falta cuenta destino",IF(AND(K4467&lt;&gt;"",P4467&lt;&gt;"Transferencia",P4467&lt;&gt;"Pago tarjeta"),"⚠ Destino solo aplica a transferencias",IF(AND(K4467&lt;&gt;"",K4467=Q4467),"⚠ Origen igual a destino",IF(AND(K4467&lt;&gt;"",ISNA(MATCH(K4467,ctaNombre,0))),"⚠ Destino no registrado",IF(AND(P4467="Pago tarjeta",AE4467&lt;&gt;"Tarjeta de crédito"),"⚠ El destino debe ser tarjeta de crédito",IF(AND(P4467="Gasto",E4467="Depósitos y retiros"),"⚠ Usa tipo Transferencia",IF(AND(P4467="Resultado trading",AD4467&lt;&gt;"Cuenta de trading"),"⚠ Usa una cuenta de trading",IF(AND(G4467&lt;=0,P4467&lt;&gt;"Ajuste",P4467&lt;&gt;"Resultado trading"),"⚠ El monto debe ser positivo","✓")))))))))))))))</f>
        <v/>
      </c>
      <c r="P4467" s="52">
        <f>IF(OR(B4467="",G4467=""),"",IF(C4467="","Gasto",C4467))</f>
        <v/>
      </c>
      <c r="Q4467" s="52">
        <f>IF(P4467="","",IF(J4467&lt;&gt;"",J4467,CuentaPred&amp;""))</f>
        <v/>
      </c>
      <c r="R4467" s="52">
        <f>IF(P4467="","",IF(ISNUMBER(I4467),I4467,TasaUSD))</f>
        <v/>
      </c>
      <c r="S4467" s="53">
        <f>IF(P4467="","",IF(H4467="USD",G4467*R4467,G4467))</f>
        <v/>
      </c>
      <c r="T4467" s="53">
        <f>IF(P4467="","",IF(H4467="USD",G4467,IF(R4467&gt;0,G4467/R4467,0)))</f>
        <v/>
      </c>
      <c r="U4467" s="53">
        <f>IF(P4467="","",IF(P4467="Gasto",S4467,IF(P4467="Reembolso",-S4467,0)))</f>
        <v/>
      </c>
      <c r="V4467" s="53">
        <f>IF(P4467="","",IF(P4467="Ingreso",S4467,0))</f>
        <v/>
      </c>
      <c r="W4467" s="53">
        <f>IF(P4467="","",IF(P4467="Resultado trading",S4467,0))</f>
        <v/>
      </c>
      <c r="X4467" s="52">
        <f>IF(OR(P4467="Gasto",P4467="Reembolso"),IF(M4467&lt;&gt;"",M4467,IFERROR(INDEX(catClasif,MATCH(D4467&amp;"|"&amp;E4467,catClave,0))&amp;"","Variable")),"")</f>
        <v/>
      </c>
      <c r="Y4467" s="52">
        <f>IF(P4467="","",IFERROR(INDEX(catGrupo,MATCH(D4467&amp;"|"&amp;E4467,catClave,0))&amp;"",""))</f>
        <v/>
      </c>
      <c r="Z4467" s="52">
        <f>IF(P4467="","",WEEKDAY(B4467,2))</f>
        <v/>
      </c>
      <c r="AA4467" s="52">
        <f>IF(P4467="","",IF(AND(P4467="Gasto",X4467="Variable",D4467&lt;&gt;catTrading,S4467&gt;0,S4467&lt;=Umbral),1,0))</f>
        <v/>
      </c>
      <c r="AB4467" s="52">
        <f>IF(OR(P4467="",Q4467=""),"",IFERROR(IF(INDEX(ctaVinc,MATCH(Q4467,ctaNombre,0))&amp;""&lt;&gt;"",INDEX(ctaVinc,MATCH(Q4467,ctaNombre,0))&amp;"",Q4467),Q4467))</f>
        <v/>
      </c>
      <c r="AC4467" s="52">
        <f>IF(OR(K4467="",AND(P4467&lt;&gt;"Transferencia",P4467&lt;&gt;"Pago tarjeta")),"",IFERROR(IF(INDEX(ctaVinc,MATCH(K4467,ctaNombre,0))&amp;""&lt;&gt;"",INDEX(ctaVinc,MATCH(K4467,ctaNombre,0))&amp;"",K4467),K4467))</f>
        <v/>
      </c>
      <c r="AD4467" s="52">
        <f>IF(AB4467="","",IFERROR(INDEX(ctaTipo,MATCH(AB4467,ctaNombre,0))&amp;"",""))</f>
        <v/>
      </c>
      <c r="AE4467" s="52">
        <f>IF(AC4467="","",IFERROR(INDEX(ctaTipo,MATCH(AC4467,ctaNombre,0))&amp;"",""))</f>
        <v/>
      </c>
      <c r="AF4467" s="53">
        <f>IF(OR(P4467="",AB4467=""),"",IF(OR(P4467="Gasto",P4467="Transferencia",P4467="Pago tarjeta"),-1,1)*IF(IFERROR(INDEX(ctaMoneda,MATCH(AB4467,ctaNombre,0))&amp;"","DOP")="USD",T4467,S4467))</f>
        <v/>
      </c>
      <c r="AG4467" s="53">
        <f>IF(AC4467="","",IF(IFERROR(INDEX(ctaMoneda,MATCH(AC4467,ctaNombre,0))&amp;"","DOP")="USD",T4467,S4467))</f>
        <v/>
      </c>
      <c r="AH4467" s="53">
        <f>IF(P4467="","",IF(AND(AD4467&lt;&gt;"",COUNTIFS(tcTipo,AD4467,tcLiq,"Sí")&gt;0),IF(OR(P4467="Gasto",P4467="Transferencia",P4467="Pago tarjeta"),-1,1)*S4467,0)+IF(AND(AE4467&lt;&gt;"",COUNTIFS(tcTipo,AE4467,tcLiq,"Sí")&gt;0),S4467,0))</f>
        <v/>
      </c>
      <c r="AI4467" s="52">
        <f>IF(OR(L4467="",P4467=""),"",IF(COUNTIFS(L$6:L4467,L4467,P$6:P4467,"?*")=1,MAX(AI$5:AI4466)+1,""))</f>
        <v/>
      </c>
    </row>
    <row r="4468">
      <c r="B4468" s="47" t="n"/>
      <c r="C4468" s="48" t="n"/>
      <c r="D4468" s="48" t="n"/>
      <c r="E4468" s="48" t="n"/>
      <c r="F4468" s="48" t="n"/>
      <c r="G4468" s="49" t="n"/>
      <c r="H4468" s="48" t="n"/>
      <c r="I4468" s="50" t="n"/>
      <c r="J4468" s="48" t="n"/>
      <c r="K4468" s="48" t="n"/>
      <c r="L4468" s="48" t="n"/>
      <c r="M4468" s="48" t="n"/>
      <c r="N4468" s="48" t="n"/>
      <c r="O4468" s="51">
        <f>IF(AND(B4468="",G4468="",C4468="",D4468="",J4468=""),"",IF(B4468="","⚠ Falta fecha",IF(G4468="","⚠ Falta monto",IF(Q4468="","⚠ Falta cuenta",IF(ISNA(MATCH(Q4468,ctaNombre,0)),"⚠ Cuenta no registrada",IF(AND(OR(P4468="Gasto",P4468="Reembolso"),D4468=""),"⚠ Falta categoría",IF(AND(D4468&lt;&gt;"",E4468&lt;&gt;"",ISNA(MATCH(D4468&amp;"|"&amp;E4468,catClave,0))),"⚠ Subcategoría no corresponde",IF(AND(OR(P4468="Transferencia",P4468="Pago tarjeta"),K4468=""),"⚠ Falta cuenta destino",IF(AND(K4468&lt;&gt;"",P4468&lt;&gt;"Transferencia",P4468&lt;&gt;"Pago tarjeta"),"⚠ Destino solo aplica a transferencias",IF(AND(K4468&lt;&gt;"",K4468=Q4468),"⚠ Origen igual a destino",IF(AND(K4468&lt;&gt;"",ISNA(MATCH(K4468,ctaNombre,0))),"⚠ Destino no registrado",IF(AND(P4468="Pago tarjeta",AE4468&lt;&gt;"Tarjeta de crédito"),"⚠ El destino debe ser tarjeta de crédito",IF(AND(P4468="Gasto",E4468="Depósitos y retiros"),"⚠ Usa tipo Transferencia",IF(AND(P4468="Resultado trading",AD4468&lt;&gt;"Cuenta de trading"),"⚠ Usa una cuenta de trading",IF(AND(G4468&lt;=0,P4468&lt;&gt;"Ajuste",P4468&lt;&gt;"Resultado trading"),"⚠ El monto debe ser positivo","✓")))))))))))))))</f>
        <v/>
      </c>
      <c r="P4468" s="52">
        <f>IF(OR(B4468="",G4468=""),"",IF(C4468="","Gasto",C4468))</f>
        <v/>
      </c>
      <c r="Q4468" s="52">
        <f>IF(P4468="","",IF(J4468&lt;&gt;"",J4468,CuentaPred&amp;""))</f>
        <v/>
      </c>
      <c r="R4468" s="52">
        <f>IF(P4468="","",IF(ISNUMBER(I4468),I4468,TasaUSD))</f>
        <v/>
      </c>
      <c r="S4468" s="53">
        <f>IF(P4468="","",IF(H4468="USD",G4468*R4468,G4468))</f>
        <v/>
      </c>
      <c r="T4468" s="53">
        <f>IF(P4468="","",IF(H4468="USD",G4468,IF(R4468&gt;0,G4468/R4468,0)))</f>
        <v/>
      </c>
      <c r="U4468" s="53">
        <f>IF(P4468="","",IF(P4468="Gasto",S4468,IF(P4468="Reembolso",-S4468,0)))</f>
        <v/>
      </c>
      <c r="V4468" s="53">
        <f>IF(P4468="","",IF(P4468="Ingreso",S4468,0))</f>
        <v/>
      </c>
      <c r="W4468" s="53">
        <f>IF(P4468="","",IF(P4468="Resultado trading",S4468,0))</f>
        <v/>
      </c>
      <c r="X4468" s="52">
        <f>IF(OR(P4468="Gasto",P4468="Reembolso"),IF(M4468&lt;&gt;"",M4468,IFERROR(INDEX(catClasif,MATCH(D4468&amp;"|"&amp;E4468,catClave,0))&amp;"","Variable")),"")</f>
        <v/>
      </c>
      <c r="Y4468" s="52">
        <f>IF(P4468="","",IFERROR(INDEX(catGrupo,MATCH(D4468&amp;"|"&amp;E4468,catClave,0))&amp;"",""))</f>
        <v/>
      </c>
      <c r="Z4468" s="52">
        <f>IF(P4468="","",WEEKDAY(B4468,2))</f>
        <v/>
      </c>
      <c r="AA4468" s="52">
        <f>IF(P4468="","",IF(AND(P4468="Gasto",X4468="Variable",D4468&lt;&gt;catTrading,S4468&gt;0,S4468&lt;=Umbral),1,0))</f>
        <v/>
      </c>
      <c r="AB4468" s="52">
        <f>IF(OR(P4468="",Q4468=""),"",IFERROR(IF(INDEX(ctaVinc,MATCH(Q4468,ctaNombre,0))&amp;""&lt;&gt;"",INDEX(ctaVinc,MATCH(Q4468,ctaNombre,0))&amp;"",Q4468),Q4468))</f>
        <v/>
      </c>
      <c r="AC4468" s="52">
        <f>IF(OR(K4468="",AND(P4468&lt;&gt;"Transferencia",P4468&lt;&gt;"Pago tarjeta")),"",IFERROR(IF(INDEX(ctaVinc,MATCH(K4468,ctaNombre,0))&amp;""&lt;&gt;"",INDEX(ctaVinc,MATCH(K4468,ctaNombre,0))&amp;"",K4468),K4468))</f>
        <v/>
      </c>
      <c r="AD4468" s="52">
        <f>IF(AB4468="","",IFERROR(INDEX(ctaTipo,MATCH(AB4468,ctaNombre,0))&amp;"",""))</f>
        <v/>
      </c>
      <c r="AE4468" s="52">
        <f>IF(AC4468="","",IFERROR(INDEX(ctaTipo,MATCH(AC4468,ctaNombre,0))&amp;"",""))</f>
        <v/>
      </c>
      <c r="AF4468" s="53">
        <f>IF(OR(P4468="",AB4468=""),"",IF(OR(P4468="Gasto",P4468="Transferencia",P4468="Pago tarjeta"),-1,1)*IF(IFERROR(INDEX(ctaMoneda,MATCH(AB4468,ctaNombre,0))&amp;"","DOP")="USD",T4468,S4468))</f>
        <v/>
      </c>
      <c r="AG4468" s="53">
        <f>IF(AC4468="","",IF(IFERROR(INDEX(ctaMoneda,MATCH(AC4468,ctaNombre,0))&amp;"","DOP")="USD",T4468,S4468))</f>
        <v/>
      </c>
      <c r="AH4468" s="53">
        <f>IF(P4468="","",IF(AND(AD4468&lt;&gt;"",COUNTIFS(tcTipo,AD4468,tcLiq,"Sí")&gt;0),IF(OR(P4468="Gasto",P4468="Transferencia",P4468="Pago tarjeta"),-1,1)*S4468,0)+IF(AND(AE4468&lt;&gt;"",COUNTIFS(tcTipo,AE4468,tcLiq,"Sí")&gt;0),S4468,0))</f>
        <v/>
      </c>
      <c r="AI4468" s="52">
        <f>IF(OR(L4468="",P4468=""),"",IF(COUNTIFS(L$6:L4468,L4468,P$6:P4468,"?*")=1,MAX(AI$5:AI4467)+1,""))</f>
        <v/>
      </c>
    </row>
    <row r="4469">
      <c r="B4469" s="47" t="n"/>
      <c r="C4469" s="48" t="n"/>
      <c r="D4469" s="48" t="n"/>
      <c r="E4469" s="48" t="n"/>
      <c r="F4469" s="48" t="n"/>
      <c r="G4469" s="49" t="n"/>
      <c r="H4469" s="48" t="n"/>
      <c r="I4469" s="50" t="n"/>
      <c r="J4469" s="48" t="n"/>
      <c r="K4469" s="48" t="n"/>
      <c r="L4469" s="48" t="n"/>
      <c r="M4469" s="48" t="n"/>
      <c r="N4469" s="48" t="n"/>
      <c r="O4469" s="51">
        <f>IF(AND(B4469="",G4469="",C4469="",D4469="",J4469=""),"",IF(B4469="","⚠ Falta fecha",IF(G4469="","⚠ Falta monto",IF(Q4469="","⚠ Falta cuenta",IF(ISNA(MATCH(Q4469,ctaNombre,0)),"⚠ Cuenta no registrada",IF(AND(OR(P4469="Gasto",P4469="Reembolso"),D4469=""),"⚠ Falta categoría",IF(AND(D4469&lt;&gt;"",E4469&lt;&gt;"",ISNA(MATCH(D4469&amp;"|"&amp;E4469,catClave,0))),"⚠ Subcategoría no corresponde",IF(AND(OR(P4469="Transferencia",P4469="Pago tarjeta"),K4469=""),"⚠ Falta cuenta destino",IF(AND(K4469&lt;&gt;"",P4469&lt;&gt;"Transferencia",P4469&lt;&gt;"Pago tarjeta"),"⚠ Destino solo aplica a transferencias",IF(AND(K4469&lt;&gt;"",K4469=Q4469),"⚠ Origen igual a destino",IF(AND(K4469&lt;&gt;"",ISNA(MATCH(K4469,ctaNombre,0))),"⚠ Destino no registrado",IF(AND(P4469="Pago tarjeta",AE4469&lt;&gt;"Tarjeta de crédito"),"⚠ El destino debe ser tarjeta de crédito",IF(AND(P4469="Gasto",E4469="Depósitos y retiros"),"⚠ Usa tipo Transferencia",IF(AND(P4469="Resultado trading",AD4469&lt;&gt;"Cuenta de trading"),"⚠ Usa una cuenta de trading",IF(AND(G4469&lt;=0,P4469&lt;&gt;"Ajuste",P4469&lt;&gt;"Resultado trading"),"⚠ El monto debe ser positivo","✓")))))))))))))))</f>
        <v/>
      </c>
      <c r="P4469" s="52">
        <f>IF(OR(B4469="",G4469=""),"",IF(C4469="","Gasto",C4469))</f>
        <v/>
      </c>
      <c r="Q4469" s="52">
        <f>IF(P4469="","",IF(J4469&lt;&gt;"",J4469,CuentaPred&amp;""))</f>
        <v/>
      </c>
      <c r="R4469" s="52">
        <f>IF(P4469="","",IF(ISNUMBER(I4469),I4469,TasaUSD))</f>
        <v/>
      </c>
      <c r="S4469" s="53">
        <f>IF(P4469="","",IF(H4469="USD",G4469*R4469,G4469))</f>
        <v/>
      </c>
      <c r="T4469" s="53">
        <f>IF(P4469="","",IF(H4469="USD",G4469,IF(R4469&gt;0,G4469/R4469,0)))</f>
        <v/>
      </c>
      <c r="U4469" s="53">
        <f>IF(P4469="","",IF(P4469="Gasto",S4469,IF(P4469="Reembolso",-S4469,0)))</f>
        <v/>
      </c>
      <c r="V4469" s="53">
        <f>IF(P4469="","",IF(P4469="Ingreso",S4469,0))</f>
        <v/>
      </c>
      <c r="W4469" s="53">
        <f>IF(P4469="","",IF(P4469="Resultado trading",S4469,0))</f>
        <v/>
      </c>
      <c r="X4469" s="52">
        <f>IF(OR(P4469="Gasto",P4469="Reembolso"),IF(M4469&lt;&gt;"",M4469,IFERROR(INDEX(catClasif,MATCH(D4469&amp;"|"&amp;E4469,catClave,0))&amp;"","Variable")),"")</f>
        <v/>
      </c>
      <c r="Y4469" s="52">
        <f>IF(P4469="","",IFERROR(INDEX(catGrupo,MATCH(D4469&amp;"|"&amp;E4469,catClave,0))&amp;"",""))</f>
        <v/>
      </c>
      <c r="Z4469" s="52">
        <f>IF(P4469="","",WEEKDAY(B4469,2))</f>
        <v/>
      </c>
      <c r="AA4469" s="52">
        <f>IF(P4469="","",IF(AND(P4469="Gasto",X4469="Variable",D4469&lt;&gt;catTrading,S4469&gt;0,S4469&lt;=Umbral),1,0))</f>
        <v/>
      </c>
      <c r="AB4469" s="52">
        <f>IF(OR(P4469="",Q4469=""),"",IFERROR(IF(INDEX(ctaVinc,MATCH(Q4469,ctaNombre,0))&amp;""&lt;&gt;"",INDEX(ctaVinc,MATCH(Q4469,ctaNombre,0))&amp;"",Q4469),Q4469))</f>
        <v/>
      </c>
      <c r="AC4469" s="52">
        <f>IF(OR(K4469="",AND(P4469&lt;&gt;"Transferencia",P4469&lt;&gt;"Pago tarjeta")),"",IFERROR(IF(INDEX(ctaVinc,MATCH(K4469,ctaNombre,0))&amp;""&lt;&gt;"",INDEX(ctaVinc,MATCH(K4469,ctaNombre,0))&amp;"",K4469),K4469))</f>
        <v/>
      </c>
      <c r="AD4469" s="52">
        <f>IF(AB4469="","",IFERROR(INDEX(ctaTipo,MATCH(AB4469,ctaNombre,0))&amp;"",""))</f>
        <v/>
      </c>
      <c r="AE4469" s="52">
        <f>IF(AC4469="","",IFERROR(INDEX(ctaTipo,MATCH(AC4469,ctaNombre,0))&amp;"",""))</f>
        <v/>
      </c>
      <c r="AF4469" s="53">
        <f>IF(OR(P4469="",AB4469=""),"",IF(OR(P4469="Gasto",P4469="Transferencia",P4469="Pago tarjeta"),-1,1)*IF(IFERROR(INDEX(ctaMoneda,MATCH(AB4469,ctaNombre,0))&amp;"","DOP")="USD",T4469,S4469))</f>
        <v/>
      </c>
      <c r="AG4469" s="53">
        <f>IF(AC4469="","",IF(IFERROR(INDEX(ctaMoneda,MATCH(AC4469,ctaNombre,0))&amp;"","DOP")="USD",T4469,S4469))</f>
        <v/>
      </c>
      <c r="AH4469" s="53">
        <f>IF(P4469="","",IF(AND(AD4469&lt;&gt;"",COUNTIFS(tcTipo,AD4469,tcLiq,"Sí")&gt;0),IF(OR(P4469="Gasto",P4469="Transferencia",P4469="Pago tarjeta"),-1,1)*S4469,0)+IF(AND(AE4469&lt;&gt;"",COUNTIFS(tcTipo,AE4469,tcLiq,"Sí")&gt;0),S4469,0))</f>
        <v/>
      </c>
      <c r="AI4469" s="52">
        <f>IF(OR(L4469="",P4469=""),"",IF(COUNTIFS(L$6:L4469,L4469,P$6:P4469,"?*")=1,MAX(AI$5:AI4468)+1,""))</f>
        <v/>
      </c>
    </row>
    <row r="4470">
      <c r="B4470" s="47" t="n"/>
      <c r="C4470" s="48" t="n"/>
      <c r="D4470" s="48" t="n"/>
      <c r="E4470" s="48" t="n"/>
      <c r="F4470" s="48" t="n"/>
      <c r="G4470" s="49" t="n"/>
      <c r="H4470" s="48" t="n"/>
      <c r="I4470" s="50" t="n"/>
      <c r="J4470" s="48" t="n"/>
      <c r="K4470" s="48" t="n"/>
      <c r="L4470" s="48" t="n"/>
      <c r="M4470" s="48" t="n"/>
      <c r="N4470" s="48" t="n"/>
      <c r="O4470" s="51">
        <f>IF(AND(B4470="",G4470="",C4470="",D4470="",J4470=""),"",IF(B4470="","⚠ Falta fecha",IF(G4470="","⚠ Falta monto",IF(Q4470="","⚠ Falta cuenta",IF(ISNA(MATCH(Q4470,ctaNombre,0)),"⚠ Cuenta no registrada",IF(AND(OR(P4470="Gasto",P4470="Reembolso"),D4470=""),"⚠ Falta categoría",IF(AND(D4470&lt;&gt;"",E4470&lt;&gt;"",ISNA(MATCH(D4470&amp;"|"&amp;E4470,catClave,0))),"⚠ Subcategoría no corresponde",IF(AND(OR(P4470="Transferencia",P4470="Pago tarjeta"),K4470=""),"⚠ Falta cuenta destino",IF(AND(K4470&lt;&gt;"",P4470&lt;&gt;"Transferencia",P4470&lt;&gt;"Pago tarjeta"),"⚠ Destino solo aplica a transferencias",IF(AND(K4470&lt;&gt;"",K4470=Q4470),"⚠ Origen igual a destino",IF(AND(K4470&lt;&gt;"",ISNA(MATCH(K4470,ctaNombre,0))),"⚠ Destino no registrado",IF(AND(P4470="Pago tarjeta",AE4470&lt;&gt;"Tarjeta de crédito"),"⚠ El destino debe ser tarjeta de crédito",IF(AND(P4470="Gasto",E4470="Depósitos y retiros"),"⚠ Usa tipo Transferencia",IF(AND(P4470="Resultado trading",AD4470&lt;&gt;"Cuenta de trading"),"⚠ Usa una cuenta de trading",IF(AND(G4470&lt;=0,P4470&lt;&gt;"Ajuste",P4470&lt;&gt;"Resultado trading"),"⚠ El monto debe ser positivo","✓")))))))))))))))</f>
        <v/>
      </c>
      <c r="P4470" s="52">
        <f>IF(OR(B4470="",G4470=""),"",IF(C4470="","Gasto",C4470))</f>
        <v/>
      </c>
      <c r="Q4470" s="52">
        <f>IF(P4470="","",IF(J4470&lt;&gt;"",J4470,CuentaPred&amp;""))</f>
        <v/>
      </c>
      <c r="R4470" s="52">
        <f>IF(P4470="","",IF(ISNUMBER(I4470),I4470,TasaUSD))</f>
        <v/>
      </c>
      <c r="S4470" s="53">
        <f>IF(P4470="","",IF(H4470="USD",G4470*R4470,G4470))</f>
        <v/>
      </c>
      <c r="T4470" s="53">
        <f>IF(P4470="","",IF(H4470="USD",G4470,IF(R4470&gt;0,G4470/R4470,0)))</f>
        <v/>
      </c>
      <c r="U4470" s="53">
        <f>IF(P4470="","",IF(P4470="Gasto",S4470,IF(P4470="Reembolso",-S4470,0)))</f>
        <v/>
      </c>
      <c r="V4470" s="53">
        <f>IF(P4470="","",IF(P4470="Ingreso",S4470,0))</f>
        <v/>
      </c>
      <c r="W4470" s="53">
        <f>IF(P4470="","",IF(P4470="Resultado trading",S4470,0))</f>
        <v/>
      </c>
      <c r="X4470" s="52">
        <f>IF(OR(P4470="Gasto",P4470="Reembolso"),IF(M4470&lt;&gt;"",M4470,IFERROR(INDEX(catClasif,MATCH(D4470&amp;"|"&amp;E4470,catClave,0))&amp;"","Variable")),"")</f>
        <v/>
      </c>
      <c r="Y4470" s="52">
        <f>IF(P4470="","",IFERROR(INDEX(catGrupo,MATCH(D4470&amp;"|"&amp;E4470,catClave,0))&amp;"",""))</f>
        <v/>
      </c>
      <c r="Z4470" s="52">
        <f>IF(P4470="","",WEEKDAY(B4470,2))</f>
        <v/>
      </c>
      <c r="AA4470" s="52">
        <f>IF(P4470="","",IF(AND(P4470="Gasto",X4470="Variable",D4470&lt;&gt;catTrading,S4470&gt;0,S4470&lt;=Umbral),1,0))</f>
        <v/>
      </c>
      <c r="AB4470" s="52">
        <f>IF(OR(P4470="",Q4470=""),"",IFERROR(IF(INDEX(ctaVinc,MATCH(Q4470,ctaNombre,0))&amp;""&lt;&gt;"",INDEX(ctaVinc,MATCH(Q4470,ctaNombre,0))&amp;"",Q4470),Q4470))</f>
        <v/>
      </c>
      <c r="AC4470" s="52">
        <f>IF(OR(K4470="",AND(P4470&lt;&gt;"Transferencia",P4470&lt;&gt;"Pago tarjeta")),"",IFERROR(IF(INDEX(ctaVinc,MATCH(K4470,ctaNombre,0))&amp;""&lt;&gt;"",INDEX(ctaVinc,MATCH(K4470,ctaNombre,0))&amp;"",K4470),K4470))</f>
        <v/>
      </c>
      <c r="AD4470" s="52">
        <f>IF(AB4470="","",IFERROR(INDEX(ctaTipo,MATCH(AB4470,ctaNombre,0))&amp;"",""))</f>
        <v/>
      </c>
      <c r="AE4470" s="52">
        <f>IF(AC4470="","",IFERROR(INDEX(ctaTipo,MATCH(AC4470,ctaNombre,0))&amp;"",""))</f>
        <v/>
      </c>
      <c r="AF4470" s="53">
        <f>IF(OR(P4470="",AB4470=""),"",IF(OR(P4470="Gasto",P4470="Transferencia",P4470="Pago tarjeta"),-1,1)*IF(IFERROR(INDEX(ctaMoneda,MATCH(AB4470,ctaNombre,0))&amp;"","DOP")="USD",T4470,S4470))</f>
        <v/>
      </c>
      <c r="AG4470" s="53">
        <f>IF(AC4470="","",IF(IFERROR(INDEX(ctaMoneda,MATCH(AC4470,ctaNombre,0))&amp;"","DOP")="USD",T4470,S4470))</f>
        <v/>
      </c>
      <c r="AH4470" s="53">
        <f>IF(P4470="","",IF(AND(AD4470&lt;&gt;"",COUNTIFS(tcTipo,AD4470,tcLiq,"Sí")&gt;0),IF(OR(P4470="Gasto",P4470="Transferencia",P4470="Pago tarjeta"),-1,1)*S4470,0)+IF(AND(AE4470&lt;&gt;"",COUNTIFS(tcTipo,AE4470,tcLiq,"Sí")&gt;0),S4470,0))</f>
        <v/>
      </c>
      <c r="AI4470" s="52">
        <f>IF(OR(L4470="",P4470=""),"",IF(COUNTIFS(L$6:L4470,L4470,P$6:P4470,"?*")=1,MAX(AI$5:AI4469)+1,""))</f>
        <v/>
      </c>
    </row>
    <row r="4471">
      <c r="B4471" s="47" t="n"/>
      <c r="C4471" s="48" t="n"/>
      <c r="D4471" s="48" t="n"/>
      <c r="E4471" s="48" t="n"/>
      <c r="F4471" s="48" t="n"/>
      <c r="G4471" s="49" t="n"/>
      <c r="H4471" s="48" t="n"/>
      <c r="I4471" s="50" t="n"/>
      <c r="J4471" s="48" t="n"/>
      <c r="K4471" s="48" t="n"/>
      <c r="L4471" s="48" t="n"/>
      <c r="M4471" s="48" t="n"/>
      <c r="N4471" s="48" t="n"/>
      <c r="O4471" s="51">
        <f>IF(AND(B4471="",G4471="",C4471="",D4471="",J4471=""),"",IF(B4471="","⚠ Falta fecha",IF(G4471="","⚠ Falta monto",IF(Q4471="","⚠ Falta cuenta",IF(ISNA(MATCH(Q4471,ctaNombre,0)),"⚠ Cuenta no registrada",IF(AND(OR(P4471="Gasto",P4471="Reembolso"),D4471=""),"⚠ Falta categoría",IF(AND(D4471&lt;&gt;"",E4471&lt;&gt;"",ISNA(MATCH(D4471&amp;"|"&amp;E4471,catClave,0))),"⚠ Subcategoría no corresponde",IF(AND(OR(P4471="Transferencia",P4471="Pago tarjeta"),K4471=""),"⚠ Falta cuenta destino",IF(AND(K4471&lt;&gt;"",P4471&lt;&gt;"Transferencia",P4471&lt;&gt;"Pago tarjeta"),"⚠ Destino solo aplica a transferencias",IF(AND(K4471&lt;&gt;"",K4471=Q4471),"⚠ Origen igual a destino",IF(AND(K4471&lt;&gt;"",ISNA(MATCH(K4471,ctaNombre,0))),"⚠ Destino no registrado",IF(AND(P4471="Pago tarjeta",AE4471&lt;&gt;"Tarjeta de crédito"),"⚠ El destino debe ser tarjeta de crédito",IF(AND(P4471="Gasto",E4471="Depósitos y retiros"),"⚠ Usa tipo Transferencia",IF(AND(P4471="Resultado trading",AD4471&lt;&gt;"Cuenta de trading"),"⚠ Usa una cuenta de trading",IF(AND(G4471&lt;=0,P4471&lt;&gt;"Ajuste",P4471&lt;&gt;"Resultado trading"),"⚠ El monto debe ser positivo","✓")))))))))))))))</f>
        <v/>
      </c>
      <c r="P4471" s="52">
        <f>IF(OR(B4471="",G4471=""),"",IF(C4471="","Gasto",C4471))</f>
        <v/>
      </c>
      <c r="Q4471" s="52">
        <f>IF(P4471="","",IF(J4471&lt;&gt;"",J4471,CuentaPred&amp;""))</f>
        <v/>
      </c>
      <c r="R4471" s="52">
        <f>IF(P4471="","",IF(ISNUMBER(I4471),I4471,TasaUSD))</f>
        <v/>
      </c>
      <c r="S4471" s="53">
        <f>IF(P4471="","",IF(H4471="USD",G4471*R4471,G4471))</f>
        <v/>
      </c>
      <c r="T4471" s="53">
        <f>IF(P4471="","",IF(H4471="USD",G4471,IF(R4471&gt;0,G4471/R4471,0)))</f>
        <v/>
      </c>
      <c r="U4471" s="53">
        <f>IF(P4471="","",IF(P4471="Gasto",S4471,IF(P4471="Reembolso",-S4471,0)))</f>
        <v/>
      </c>
      <c r="V4471" s="53">
        <f>IF(P4471="","",IF(P4471="Ingreso",S4471,0))</f>
        <v/>
      </c>
      <c r="W4471" s="53">
        <f>IF(P4471="","",IF(P4471="Resultado trading",S4471,0))</f>
        <v/>
      </c>
      <c r="X4471" s="52">
        <f>IF(OR(P4471="Gasto",P4471="Reembolso"),IF(M4471&lt;&gt;"",M4471,IFERROR(INDEX(catClasif,MATCH(D4471&amp;"|"&amp;E4471,catClave,0))&amp;"","Variable")),"")</f>
        <v/>
      </c>
      <c r="Y4471" s="52">
        <f>IF(P4471="","",IFERROR(INDEX(catGrupo,MATCH(D4471&amp;"|"&amp;E4471,catClave,0))&amp;"",""))</f>
        <v/>
      </c>
      <c r="Z4471" s="52">
        <f>IF(P4471="","",WEEKDAY(B4471,2))</f>
        <v/>
      </c>
      <c r="AA4471" s="52">
        <f>IF(P4471="","",IF(AND(P4471="Gasto",X4471="Variable",D4471&lt;&gt;catTrading,S4471&gt;0,S4471&lt;=Umbral),1,0))</f>
        <v/>
      </c>
      <c r="AB4471" s="52">
        <f>IF(OR(P4471="",Q4471=""),"",IFERROR(IF(INDEX(ctaVinc,MATCH(Q4471,ctaNombre,0))&amp;""&lt;&gt;"",INDEX(ctaVinc,MATCH(Q4471,ctaNombre,0))&amp;"",Q4471),Q4471))</f>
        <v/>
      </c>
      <c r="AC4471" s="52">
        <f>IF(OR(K4471="",AND(P4471&lt;&gt;"Transferencia",P4471&lt;&gt;"Pago tarjeta")),"",IFERROR(IF(INDEX(ctaVinc,MATCH(K4471,ctaNombre,0))&amp;""&lt;&gt;"",INDEX(ctaVinc,MATCH(K4471,ctaNombre,0))&amp;"",K4471),K4471))</f>
        <v/>
      </c>
      <c r="AD4471" s="52">
        <f>IF(AB4471="","",IFERROR(INDEX(ctaTipo,MATCH(AB4471,ctaNombre,0))&amp;"",""))</f>
        <v/>
      </c>
      <c r="AE4471" s="52">
        <f>IF(AC4471="","",IFERROR(INDEX(ctaTipo,MATCH(AC4471,ctaNombre,0))&amp;"",""))</f>
        <v/>
      </c>
      <c r="AF4471" s="53">
        <f>IF(OR(P4471="",AB4471=""),"",IF(OR(P4471="Gasto",P4471="Transferencia",P4471="Pago tarjeta"),-1,1)*IF(IFERROR(INDEX(ctaMoneda,MATCH(AB4471,ctaNombre,0))&amp;"","DOP")="USD",T4471,S4471))</f>
        <v/>
      </c>
      <c r="AG4471" s="53">
        <f>IF(AC4471="","",IF(IFERROR(INDEX(ctaMoneda,MATCH(AC4471,ctaNombre,0))&amp;"","DOP")="USD",T4471,S4471))</f>
        <v/>
      </c>
      <c r="AH4471" s="53">
        <f>IF(P4471="","",IF(AND(AD4471&lt;&gt;"",COUNTIFS(tcTipo,AD4471,tcLiq,"Sí")&gt;0),IF(OR(P4471="Gasto",P4471="Transferencia",P4471="Pago tarjeta"),-1,1)*S4471,0)+IF(AND(AE4471&lt;&gt;"",COUNTIFS(tcTipo,AE4471,tcLiq,"Sí")&gt;0),S4471,0))</f>
        <v/>
      </c>
      <c r="AI4471" s="52">
        <f>IF(OR(L4471="",P4471=""),"",IF(COUNTIFS(L$6:L4471,L4471,P$6:P4471,"?*")=1,MAX(AI$5:AI4470)+1,""))</f>
        <v/>
      </c>
    </row>
    <row r="4472">
      <c r="B4472" s="47" t="n"/>
      <c r="C4472" s="48" t="n"/>
      <c r="D4472" s="48" t="n"/>
      <c r="E4472" s="48" t="n"/>
      <c r="F4472" s="48" t="n"/>
      <c r="G4472" s="49" t="n"/>
      <c r="H4472" s="48" t="n"/>
      <c r="I4472" s="50" t="n"/>
      <c r="J4472" s="48" t="n"/>
      <c r="K4472" s="48" t="n"/>
      <c r="L4472" s="48" t="n"/>
      <c r="M4472" s="48" t="n"/>
      <c r="N4472" s="48" t="n"/>
      <c r="O4472" s="51">
        <f>IF(AND(B4472="",G4472="",C4472="",D4472="",J4472=""),"",IF(B4472="","⚠ Falta fecha",IF(G4472="","⚠ Falta monto",IF(Q4472="","⚠ Falta cuenta",IF(ISNA(MATCH(Q4472,ctaNombre,0)),"⚠ Cuenta no registrada",IF(AND(OR(P4472="Gasto",P4472="Reembolso"),D4472=""),"⚠ Falta categoría",IF(AND(D4472&lt;&gt;"",E4472&lt;&gt;"",ISNA(MATCH(D4472&amp;"|"&amp;E4472,catClave,0))),"⚠ Subcategoría no corresponde",IF(AND(OR(P4472="Transferencia",P4472="Pago tarjeta"),K4472=""),"⚠ Falta cuenta destino",IF(AND(K4472&lt;&gt;"",P4472&lt;&gt;"Transferencia",P4472&lt;&gt;"Pago tarjeta"),"⚠ Destino solo aplica a transferencias",IF(AND(K4472&lt;&gt;"",K4472=Q4472),"⚠ Origen igual a destino",IF(AND(K4472&lt;&gt;"",ISNA(MATCH(K4472,ctaNombre,0))),"⚠ Destino no registrado",IF(AND(P4472="Pago tarjeta",AE4472&lt;&gt;"Tarjeta de crédito"),"⚠ El destino debe ser tarjeta de crédito",IF(AND(P4472="Gasto",E4472="Depósitos y retiros"),"⚠ Usa tipo Transferencia",IF(AND(P4472="Resultado trading",AD4472&lt;&gt;"Cuenta de trading"),"⚠ Usa una cuenta de trading",IF(AND(G4472&lt;=0,P4472&lt;&gt;"Ajuste",P4472&lt;&gt;"Resultado trading"),"⚠ El monto debe ser positivo","✓")))))))))))))))</f>
        <v/>
      </c>
      <c r="P4472" s="52">
        <f>IF(OR(B4472="",G4472=""),"",IF(C4472="","Gasto",C4472))</f>
        <v/>
      </c>
      <c r="Q4472" s="52">
        <f>IF(P4472="","",IF(J4472&lt;&gt;"",J4472,CuentaPred&amp;""))</f>
        <v/>
      </c>
      <c r="R4472" s="52">
        <f>IF(P4472="","",IF(ISNUMBER(I4472),I4472,TasaUSD))</f>
        <v/>
      </c>
      <c r="S4472" s="53">
        <f>IF(P4472="","",IF(H4472="USD",G4472*R4472,G4472))</f>
        <v/>
      </c>
      <c r="T4472" s="53">
        <f>IF(P4472="","",IF(H4472="USD",G4472,IF(R4472&gt;0,G4472/R4472,0)))</f>
        <v/>
      </c>
      <c r="U4472" s="53">
        <f>IF(P4472="","",IF(P4472="Gasto",S4472,IF(P4472="Reembolso",-S4472,0)))</f>
        <v/>
      </c>
      <c r="V4472" s="53">
        <f>IF(P4472="","",IF(P4472="Ingreso",S4472,0))</f>
        <v/>
      </c>
      <c r="W4472" s="53">
        <f>IF(P4472="","",IF(P4472="Resultado trading",S4472,0))</f>
        <v/>
      </c>
      <c r="X4472" s="52">
        <f>IF(OR(P4472="Gasto",P4472="Reembolso"),IF(M4472&lt;&gt;"",M4472,IFERROR(INDEX(catClasif,MATCH(D4472&amp;"|"&amp;E4472,catClave,0))&amp;"","Variable")),"")</f>
        <v/>
      </c>
      <c r="Y4472" s="52">
        <f>IF(P4472="","",IFERROR(INDEX(catGrupo,MATCH(D4472&amp;"|"&amp;E4472,catClave,0))&amp;"",""))</f>
        <v/>
      </c>
      <c r="Z4472" s="52">
        <f>IF(P4472="","",WEEKDAY(B4472,2))</f>
        <v/>
      </c>
      <c r="AA4472" s="52">
        <f>IF(P4472="","",IF(AND(P4472="Gasto",X4472="Variable",D4472&lt;&gt;catTrading,S4472&gt;0,S4472&lt;=Umbral),1,0))</f>
        <v/>
      </c>
      <c r="AB4472" s="52">
        <f>IF(OR(P4472="",Q4472=""),"",IFERROR(IF(INDEX(ctaVinc,MATCH(Q4472,ctaNombre,0))&amp;""&lt;&gt;"",INDEX(ctaVinc,MATCH(Q4472,ctaNombre,0))&amp;"",Q4472),Q4472))</f>
        <v/>
      </c>
      <c r="AC4472" s="52">
        <f>IF(OR(K4472="",AND(P4472&lt;&gt;"Transferencia",P4472&lt;&gt;"Pago tarjeta")),"",IFERROR(IF(INDEX(ctaVinc,MATCH(K4472,ctaNombre,0))&amp;""&lt;&gt;"",INDEX(ctaVinc,MATCH(K4472,ctaNombre,0))&amp;"",K4472),K4472))</f>
        <v/>
      </c>
      <c r="AD4472" s="52">
        <f>IF(AB4472="","",IFERROR(INDEX(ctaTipo,MATCH(AB4472,ctaNombre,0))&amp;"",""))</f>
        <v/>
      </c>
      <c r="AE4472" s="52">
        <f>IF(AC4472="","",IFERROR(INDEX(ctaTipo,MATCH(AC4472,ctaNombre,0))&amp;"",""))</f>
        <v/>
      </c>
      <c r="AF4472" s="53">
        <f>IF(OR(P4472="",AB4472=""),"",IF(OR(P4472="Gasto",P4472="Transferencia",P4472="Pago tarjeta"),-1,1)*IF(IFERROR(INDEX(ctaMoneda,MATCH(AB4472,ctaNombre,0))&amp;"","DOP")="USD",T4472,S4472))</f>
        <v/>
      </c>
      <c r="AG4472" s="53">
        <f>IF(AC4472="","",IF(IFERROR(INDEX(ctaMoneda,MATCH(AC4472,ctaNombre,0))&amp;"","DOP")="USD",T4472,S4472))</f>
        <v/>
      </c>
      <c r="AH4472" s="53">
        <f>IF(P4472="","",IF(AND(AD4472&lt;&gt;"",COUNTIFS(tcTipo,AD4472,tcLiq,"Sí")&gt;0),IF(OR(P4472="Gasto",P4472="Transferencia",P4472="Pago tarjeta"),-1,1)*S4472,0)+IF(AND(AE4472&lt;&gt;"",COUNTIFS(tcTipo,AE4472,tcLiq,"Sí")&gt;0),S4472,0))</f>
        <v/>
      </c>
      <c r="AI4472" s="52">
        <f>IF(OR(L4472="",P4472=""),"",IF(COUNTIFS(L$6:L4472,L4472,P$6:P4472,"?*")=1,MAX(AI$5:AI4471)+1,""))</f>
        <v/>
      </c>
    </row>
    <row r="4473">
      <c r="B4473" s="47" t="n"/>
      <c r="C4473" s="48" t="n"/>
      <c r="D4473" s="48" t="n"/>
      <c r="E4473" s="48" t="n"/>
      <c r="F4473" s="48" t="n"/>
      <c r="G4473" s="49" t="n"/>
      <c r="H4473" s="48" t="n"/>
      <c r="I4473" s="50" t="n"/>
      <c r="J4473" s="48" t="n"/>
      <c r="K4473" s="48" t="n"/>
      <c r="L4473" s="48" t="n"/>
      <c r="M4473" s="48" t="n"/>
      <c r="N4473" s="48" t="n"/>
      <c r="O4473" s="51">
        <f>IF(AND(B4473="",G4473="",C4473="",D4473="",J4473=""),"",IF(B4473="","⚠ Falta fecha",IF(G4473="","⚠ Falta monto",IF(Q4473="","⚠ Falta cuenta",IF(ISNA(MATCH(Q4473,ctaNombre,0)),"⚠ Cuenta no registrada",IF(AND(OR(P4473="Gasto",P4473="Reembolso"),D4473=""),"⚠ Falta categoría",IF(AND(D4473&lt;&gt;"",E4473&lt;&gt;"",ISNA(MATCH(D4473&amp;"|"&amp;E4473,catClave,0))),"⚠ Subcategoría no corresponde",IF(AND(OR(P4473="Transferencia",P4473="Pago tarjeta"),K4473=""),"⚠ Falta cuenta destino",IF(AND(K4473&lt;&gt;"",P4473&lt;&gt;"Transferencia",P4473&lt;&gt;"Pago tarjeta"),"⚠ Destino solo aplica a transferencias",IF(AND(K4473&lt;&gt;"",K4473=Q4473),"⚠ Origen igual a destino",IF(AND(K4473&lt;&gt;"",ISNA(MATCH(K4473,ctaNombre,0))),"⚠ Destino no registrado",IF(AND(P4473="Pago tarjeta",AE4473&lt;&gt;"Tarjeta de crédito"),"⚠ El destino debe ser tarjeta de crédito",IF(AND(P4473="Gasto",E4473="Depósitos y retiros"),"⚠ Usa tipo Transferencia",IF(AND(P4473="Resultado trading",AD4473&lt;&gt;"Cuenta de trading"),"⚠ Usa una cuenta de trading",IF(AND(G4473&lt;=0,P4473&lt;&gt;"Ajuste",P4473&lt;&gt;"Resultado trading"),"⚠ El monto debe ser positivo","✓")))))))))))))))</f>
        <v/>
      </c>
      <c r="P4473" s="52">
        <f>IF(OR(B4473="",G4473=""),"",IF(C4473="","Gasto",C4473))</f>
        <v/>
      </c>
      <c r="Q4473" s="52">
        <f>IF(P4473="","",IF(J4473&lt;&gt;"",J4473,CuentaPred&amp;""))</f>
        <v/>
      </c>
      <c r="R4473" s="52">
        <f>IF(P4473="","",IF(ISNUMBER(I4473),I4473,TasaUSD))</f>
        <v/>
      </c>
      <c r="S4473" s="53">
        <f>IF(P4473="","",IF(H4473="USD",G4473*R4473,G4473))</f>
        <v/>
      </c>
      <c r="T4473" s="53">
        <f>IF(P4473="","",IF(H4473="USD",G4473,IF(R4473&gt;0,G4473/R4473,0)))</f>
        <v/>
      </c>
      <c r="U4473" s="53">
        <f>IF(P4473="","",IF(P4473="Gasto",S4473,IF(P4473="Reembolso",-S4473,0)))</f>
        <v/>
      </c>
      <c r="V4473" s="53">
        <f>IF(P4473="","",IF(P4473="Ingreso",S4473,0))</f>
        <v/>
      </c>
      <c r="W4473" s="53">
        <f>IF(P4473="","",IF(P4473="Resultado trading",S4473,0))</f>
        <v/>
      </c>
      <c r="X4473" s="52">
        <f>IF(OR(P4473="Gasto",P4473="Reembolso"),IF(M4473&lt;&gt;"",M4473,IFERROR(INDEX(catClasif,MATCH(D4473&amp;"|"&amp;E4473,catClave,0))&amp;"","Variable")),"")</f>
        <v/>
      </c>
      <c r="Y4473" s="52">
        <f>IF(P4473="","",IFERROR(INDEX(catGrupo,MATCH(D4473&amp;"|"&amp;E4473,catClave,0))&amp;"",""))</f>
        <v/>
      </c>
      <c r="Z4473" s="52">
        <f>IF(P4473="","",WEEKDAY(B4473,2))</f>
        <v/>
      </c>
      <c r="AA4473" s="52">
        <f>IF(P4473="","",IF(AND(P4473="Gasto",X4473="Variable",D4473&lt;&gt;catTrading,S4473&gt;0,S4473&lt;=Umbral),1,0))</f>
        <v/>
      </c>
      <c r="AB4473" s="52">
        <f>IF(OR(P4473="",Q4473=""),"",IFERROR(IF(INDEX(ctaVinc,MATCH(Q4473,ctaNombre,0))&amp;""&lt;&gt;"",INDEX(ctaVinc,MATCH(Q4473,ctaNombre,0))&amp;"",Q4473),Q4473))</f>
        <v/>
      </c>
      <c r="AC4473" s="52">
        <f>IF(OR(K4473="",AND(P4473&lt;&gt;"Transferencia",P4473&lt;&gt;"Pago tarjeta")),"",IFERROR(IF(INDEX(ctaVinc,MATCH(K4473,ctaNombre,0))&amp;""&lt;&gt;"",INDEX(ctaVinc,MATCH(K4473,ctaNombre,0))&amp;"",K4473),K4473))</f>
        <v/>
      </c>
      <c r="AD4473" s="52">
        <f>IF(AB4473="","",IFERROR(INDEX(ctaTipo,MATCH(AB4473,ctaNombre,0))&amp;"",""))</f>
        <v/>
      </c>
      <c r="AE4473" s="52">
        <f>IF(AC4473="","",IFERROR(INDEX(ctaTipo,MATCH(AC4473,ctaNombre,0))&amp;"",""))</f>
        <v/>
      </c>
      <c r="AF4473" s="53">
        <f>IF(OR(P4473="",AB4473=""),"",IF(OR(P4473="Gasto",P4473="Transferencia",P4473="Pago tarjeta"),-1,1)*IF(IFERROR(INDEX(ctaMoneda,MATCH(AB4473,ctaNombre,0))&amp;"","DOP")="USD",T4473,S4473))</f>
        <v/>
      </c>
      <c r="AG4473" s="53">
        <f>IF(AC4473="","",IF(IFERROR(INDEX(ctaMoneda,MATCH(AC4473,ctaNombre,0))&amp;"","DOP")="USD",T4473,S4473))</f>
        <v/>
      </c>
      <c r="AH4473" s="53">
        <f>IF(P4473="","",IF(AND(AD4473&lt;&gt;"",COUNTIFS(tcTipo,AD4473,tcLiq,"Sí")&gt;0),IF(OR(P4473="Gasto",P4473="Transferencia",P4473="Pago tarjeta"),-1,1)*S4473,0)+IF(AND(AE4473&lt;&gt;"",COUNTIFS(tcTipo,AE4473,tcLiq,"Sí")&gt;0),S4473,0))</f>
        <v/>
      </c>
      <c r="AI4473" s="52">
        <f>IF(OR(L4473="",P4473=""),"",IF(COUNTIFS(L$6:L4473,L4473,P$6:P4473,"?*")=1,MAX(AI$5:AI4472)+1,""))</f>
        <v/>
      </c>
    </row>
    <row r="4474">
      <c r="B4474" s="47" t="n"/>
      <c r="C4474" s="48" t="n"/>
      <c r="D4474" s="48" t="n"/>
      <c r="E4474" s="48" t="n"/>
      <c r="F4474" s="48" t="n"/>
      <c r="G4474" s="49" t="n"/>
      <c r="H4474" s="48" t="n"/>
      <c r="I4474" s="50" t="n"/>
      <c r="J4474" s="48" t="n"/>
      <c r="K4474" s="48" t="n"/>
      <c r="L4474" s="48" t="n"/>
      <c r="M4474" s="48" t="n"/>
      <c r="N4474" s="48" t="n"/>
      <c r="O4474" s="51">
        <f>IF(AND(B4474="",G4474="",C4474="",D4474="",J4474=""),"",IF(B4474="","⚠ Falta fecha",IF(G4474="","⚠ Falta monto",IF(Q4474="","⚠ Falta cuenta",IF(ISNA(MATCH(Q4474,ctaNombre,0)),"⚠ Cuenta no registrada",IF(AND(OR(P4474="Gasto",P4474="Reembolso"),D4474=""),"⚠ Falta categoría",IF(AND(D4474&lt;&gt;"",E4474&lt;&gt;"",ISNA(MATCH(D4474&amp;"|"&amp;E4474,catClave,0))),"⚠ Subcategoría no corresponde",IF(AND(OR(P4474="Transferencia",P4474="Pago tarjeta"),K4474=""),"⚠ Falta cuenta destino",IF(AND(K4474&lt;&gt;"",P4474&lt;&gt;"Transferencia",P4474&lt;&gt;"Pago tarjeta"),"⚠ Destino solo aplica a transferencias",IF(AND(K4474&lt;&gt;"",K4474=Q4474),"⚠ Origen igual a destino",IF(AND(K4474&lt;&gt;"",ISNA(MATCH(K4474,ctaNombre,0))),"⚠ Destino no registrado",IF(AND(P4474="Pago tarjeta",AE4474&lt;&gt;"Tarjeta de crédito"),"⚠ El destino debe ser tarjeta de crédito",IF(AND(P4474="Gasto",E4474="Depósitos y retiros"),"⚠ Usa tipo Transferencia",IF(AND(P4474="Resultado trading",AD4474&lt;&gt;"Cuenta de trading"),"⚠ Usa una cuenta de trading",IF(AND(G4474&lt;=0,P4474&lt;&gt;"Ajuste",P4474&lt;&gt;"Resultado trading"),"⚠ El monto debe ser positivo","✓")))))))))))))))</f>
        <v/>
      </c>
      <c r="P4474" s="52">
        <f>IF(OR(B4474="",G4474=""),"",IF(C4474="","Gasto",C4474))</f>
        <v/>
      </c>
      <c r="Q4474" s="52">
        <f>IF(P4474="","",IF(J4474&lt;&gt;"",J4474,CuentaPred&amp;""))</f>
        <v/>
      </c>
      <c r="R4474" s="52">
        <f>IF(P4474="","",IF(ISNUMBER(I4474),I4474,TasaUSD))</f>
        <v/>
      </c>
      <c r="S4474" s="53">
        <f>IF(P4474="","",IF(H4474="USD",G4474*R4474,G4474))</f>
        <v/>
      </c>
      <c r="T4474" s="53">
        <f>IF(P4474="","",IF(H4474="USD",G4474,IF(R4474&gt;0,G4474/R4474,0)))</f>
        <v/>
      </c>
      <c r="U4474" s="53">
        <f>IF(P4474="","",IF(P4474="Gasto",S4474,IF(P4474="Reembolso",-S4474,0)))</f>
        <v/>
      </c>
      <c r="V4474" s="53">
        <f>IF(P4474="","",IF(P4474="Ingreso",S4474,0))</f>
        <v/>
      </c>
      <c r="W4474" s="53">
        <f>IF(P4474="","",IF(P4474="Resultado trading",S4474,0))</f>
        <v/>
      </c>
      <c r="X4474" s="52">
        <f>IF(OR(P4474="Gasto",P4474="Reembolso"),IF(M4474&lt;&gt;"",M4474,IFERROR(INDEX(catClasif,MATCH(D4474&amp;"|"&amp;E4474,catClave,0))&amp;"","Variable")),"")</f>
        <v/>
      </c>
      <c r="Y4474" s="52">
        <f>IF(P4474="","",IFERROR(INDEX(catGrupo,MATCH(D4474&amp;"|"&amp;E4474,catClave,0))&amp;"",""))</f>
        <v/>
      </c>
      <c r="Z4474" s="52">
        <f>IF(P4474="","",WEEKDAY(B4474,2))</f>
        <v/>
      </c>
      <c r="AA4474" s="52">
        <f>IF(P4474="","",IF(AND(P4474="Gasto",X4474="Variable",D4474&lt;&gt;catTrading,S4474&gt;0,S4474&lt;=Umbral),1,0))</f>
        <v/>
      </c>
      <c r="AB4474" s="52">
        <f>IF(OR(P4474="",Q4474=""),"",IFERROR(IF(INDEX(ctaVinc,MATCH(Q4474,ctaNombre,0))&amp;""&lt;&gt;"",INDEX(ctaVinc,MATCH(Q4474,ctaNombre,0))&amp;"",Q4474),Q4474))</f>
        <v/>
      </c>
      <c r="AC4474" s="52">
        <f>IF(OR(K4474="",AND(P4474&lt;&gt;"Transferencia",P4474&lt;&gt;"Pago tarjeta")),"",IFERROR(IF(INDEX(ctaVinc,MATCH(K4474,ctaNombre,0))&amp;""&lt;&gt;"",INDEX(ctaVinc,MATCH(K4474,ctaNombre,0))&amp;"",K4474),K4474))</f>
        <v/>
      </c>
      <c r="AD4474" s="52">
        <f>IF(AB4474="","",IFERROR(INDEX(ctaTipo,MATCH(AB4474,ctaNombre,0))&amp;"",""))</f>
        <v/>
      </c>
      <c r="AE4474" s="52">
        <f>IF(AC4474="","",IFERROR(INDEX(ctaTipo,MATCH(AC4474,ctaNombre,0))&amp;"",""))</f>
        <v/>
      </c>
      <c r="AF4474" s="53">
        <f>IF(OR(P4474="",AB4474=""),"",IF(OR(P4474="Gasto",P4474="Transferencia",P4474="Pago tarjeta"),-1,1)*IF(IFERROR(INDEX(ctaMoneda,MATCH(AB4474,ctaNombre,0))&amp;"","DOP")="USD",T4474,S4474))</f>
        <v/>
      </c>
      <c r="AG4474" s="53">
        <f>IF(AC4474="","",IF(IFERROR(INDEX(ctaMoneda,MATCH(AC4474,ctaNombre,0))&amp;"","DOP")="USD",T4474,S4474))</f>
        <v/>
      </c>
      <c r="AH4474" s="53">
        <f>IF(P4474="","",IF(AND(AD4474&lt;&gt;"",COUNTIFS(tcTipo,AD4474,tcLiq,"Sí")&gt;0),IF(OR(P4474="Gasto",P4474="Transferencia",P4474="Pago tarjeta"),-1,1)*S4474,0)+IF(AND(AE4474&lt;&gt;"",COUNTIFS(tcTipo,AE4474,tcLiq,"Sí")&gt;0),S4474,0))</f>
        <v/>
      </c>
      <c r="AI4474" s="52">
        <f>IF(OR(L4474="",P4474=""),"",IF(COUNTIFS(L$6:L4474,L4474,P$6:P4474,"?*")=1,MAX(AI$5:AI4473)+1,""))</f>
        <v/>
      </c>
    </row>
    <row r="4475">
      <c r="B4475" s="47" t="n"/>
      <c r="C4475" s="48" t="n"/>
      <c r="D4475" s="48" t="n"/>
      <c r="E4475" s="48" t="n"/>
      <c r="F4475" s="48" t="n"/>
      <c r="G4475" s="49" t="n"/>
      <c r="H4475" s="48" t="n"/>
      <c r="I4475" s="50" t="n"/>
      <c r="J4475" s="48" t="n"/>
      <c r="K4475" s="48" t="n"/>
      <c r="L4475" s="48" t="n"/>
      <c r="M4475" s="48" t="n"/>
      <c r="N4475" s="48" t="n"/>
      <c r="O4475" s="51">
        <f>IF(AND(B4475="",G4475="",C4475="",D4475="",J4475=""),"",IF(B4475="","⚠ Falta fecha",IF(G4475="","⚠ Falta monto",IF(Q4475="","⚠ Falta cuenta",IF(ISNA(MATCH(Q4475,ctaNombre,0)),"⚠ Cuenta no registrada",IF(AND(OR(P4475="Gasto",P4475="Reembolso"),D4475=""),"⚠ Falta categoría",IF(AND(D4475&lt;&gt;"",E4475&lt;&gt;"",ISNA(MATCH(D4475&amp;"|"&amp;E4475,catClave,0))),"⚠ Subcategoría no corresponde",IF(AND(OR(P4475="Transferencia",P4475="Pago tarjeta"),K4475=""),"⚠ Falta cuenta destino",IF(AND(K4475&lt;&gt;"",P4475&lt;&gt;"Transferencia",P4475&lt;&gt;"Pago tarjeta"),"⚠ Destino solo aplica a transferencias",IF(AND(K4475&lt;&gt;"",K4475=Q4475),"⚠ Origen igual a destino",IF(AND(K4475&lt;&gt;"",ISNA(MATCH(K4475,ctaNombre,0))),"⚠ Destino no registrado",IF(AND(P4475="Pago tarjeta",AE4475&lt;&gt;"Tarjeta de crédito"),"⚠ El destino debe ser tarjeta de crédito",IF(AND(P4475="Gasto",E4475="Depósitos y retiros"),"⚠ Usa tipo Transferencia",IF(AND(P4475="Resultado trading",AD4475&lt;&gt;"Cuenta de trading"),"⚠ Usa una cuenta de trading",IF(AND(G4475&lt;=0,P4475&lt;&gt;"Ajuste",P4475&lt;&gt;"Resultado trading"),"⚠ El monto debe ser positivo","✓")))))))))))))))</f>
        <v/>
      </c>
      <c r="P4475" s="52">
        <f>IF(OR(B4475="",G4475=""),"",IF(C4475="","Gasto",C4475))</f>
        <v/>
      </c>
      <c r="Q4475" s="52">
        <f>IF(P4475="","",IF(J4475&lt;&gt;"",J4475,CuentaPred&amp;""))</f>
        <v/>
      </c>
      <c r="R4475" s="52">
        <f>IF(P4475="","",IF(ISNUMBER(I4475),I4475,TasaUSD))</f>
        <v/>
      </c>
      <c r="S4475" s="53">
        <f>IF(P4475="","",IF(H4475="USD",G4475*R4475,G4475))</f>
        <v/>
      </c>
      <c r="T4475" s="53">
        <f>IF(P4475="","",IF(H4475="USD",G4475,IF(R4475&gt;0,G4475/R4475,0)))</f>
        <v/>
      </c>
      <c r="U4475" s="53">
        <f>IF(P4475="","",IF(P4475="Gasto",S4475,IF(P4475="Reembolso",-S4475,0)))</f>
        <v/>
      </c>
      <c r="V4475" s="53">
        <f>IF(P4475="","",IF(P4475="Ingreso",S4475,0))</f>
        <v/>
      </c>
      <c r="W4475" s="53">
        <f>IF(P4475="","",IF(P4475="Resultado trading",S4475,0))</f>
        <v/>
      </c>
      <c r="X4475" s="52">
        <f>IF(OR(P4475="Gasto",P4475="Reembolso"),IF(M4475&lt;&gt;"",M4475,IFERROR(INDEX(catClasif,MATCH(D4475&amp;"|"&amp;E4475,catClave,0))&amp;"","Variable")),"")</f>
        <v/>
      </c>
      <c r="Y4475" s="52">
        <f>IF(P4475="","",IFERROR(INDEX(catGrupo,MATCH(D4475&amp;"|"&amp;E4475,catClave,0))&amp;"",""))</f>
        <v/>
      </c>
      <c r="Z4475" s="52">
        <f>IF(P4475="","",WEEKDAY(B4475,2))</f>
        <v/>
      </c>
      <c r="AA4475" s="52">
        <f>IF(P4475="","",IF(AND(P4475="Gasto",X4475="Variable",D4475&lt;&gt;catTrading,S4475&gt;0,S4475&lt;=Umbral),1,0))</f>
        <v/>
      </c>
      <c r="AB4475" s="52">
        <f>IF(OR(P4475="",Q4475=""),"",IFERROR(IF(INDEX(ctaVinc,MATCH(Q4475,ctaNombre,0))&amp;""&lt;&gt;"",INDEX(ctaVinc,MATCH(Q4475,ctaNombre,0))&amp;"",Q4475),Q4475))</f>
        <v/>
      </c>
      <c r="AC4475" s="52">
        <f>IF(OR(K4475="",AND(P4475&lt;&gt;"Transferencia",P4475&lt;&gt;"Pago tarjeta")),"",IFERROR(IF(INDEX(ctaVinc,MATCH(K4475,ctaNombre,0))&amp;""&lt;&gt;"",INDEX(ctaVinc,MATCH(K4475,ctaNombre,0))&amp;"",K4475),K4475))</f>
        <v/>
      </c>
      <c r="AD4475" s="52">
        <f>IF(AB4475="","",IFERROR(INDEX(ctaTipo,MATCH(AB4475,ctaNombre,0))&amp;"",""))</f>
        <v/>
      </c>
      <c r="AE4475" s="52">
        <f>IF(AC4475="","",IFERROR(INDEX(ctaTipo,MATCH(AC4475,ctaNombre,0))&amp;"",""))</f>
        <v/>
      </c>
      <c r="AF4475" s="53">
        <f>IF(OR(P4475="",AB4475=""),"",IF(OR(P4475="Gasto",P4475="Transferencia",P4475="Pago tarjeta"),-1,1)*IF(IFERROR(INDEX(ctaMoneda,MATCH(AB4475,ctaNombre,0))&amp;"","DOP")="USD",T4475,S4475))</f>
        <v/>
      </c>
      <c r="AG4475" s="53">
        <f>IF(AC4475="","",IF(IFERROR(INDEX(ctaMoneda,MATCH(AC4475,ctaNombre,0))&amp;"","DOP")="USD",T4475,S4475))</f>
        <v/>
      </c>
      <c r="AH4475" s="53">
        <f>IF(P4475="","",IF(AND(AD4475&lt;&gt;"",COUNTIFS(tcTipo,AD4475,tcLiq,"Sí")&gt;0),IF(OR(P4475="Gasto",P4475="Transferencia",P4475="Pago tarjeta"),-1,1)*S4475,0)+IF(AND(AE4475&lt;&gt;"",COUNTIFS(tcTipo,AE4475,tcLiq,"Sí")&gt;0),S4475,0))</f>
        <v/>
      </c>
      <c r="AI4475" s="52">
        <f>IF(OR(L4475="",P4475=""),"",IF(COUNTIFS(L$6:L4475,L4475,P$6:P4475,"?*")=1,MAX(AI$5:AI4474)+1,""))</f>
        <v/>
      </c>
    </row>
    <row r="4476">
      <c r="B4476" s="47" t="n"/>
      <c r="C4476" s="48" t="n"/>
      <c r="D4476" s="48" t="n"/>
      <c r="E4476" s="48" t="n"/>
      <c r="F4476" s="48" t="n"/>
      <c r="G4476" s="49" t="n"/>
      <c r="H4476" s="48" t="n"/>
      <c r="I4476" s="50" t="n"/>
      <c r="J4476" s="48" t="n"/>
      <c r="K4476" s="48" t="n"/>
      <c r="L4476" s="48" t="n"/>
      <c r="M4476" s="48" t="n"/>
      <c r="N4476" s="48" t="n"/>
      <c r="O4476" s="51">
        <f>IF(AND(B4476="",G4476="",C4476="",D4476="",J4476=""),"",IF(B4476="","⚠ Falta fecha",IF(G4476="","⚠ Falta monto",IF(Q4476="","⚠ Falta cuenta",IF(ISNA(MATCH(Q4476,ctaNombre,0)),"⚠ Cuenta no registrada",IF(AND(OR(P4476="Gasto",P4476="Reembolso"),D4476=""),"⚠ Falta categoría",IF(AND(D4476&lt;&gt;"",E4476&lt;&gt;"",ISNA(MATCH(D4476&amp;"|"&amp;E4476,catClave,0))),"⚠ Subcategoría no corresponde",IF(AND(OR(P4476="Transferencia",P4476="Pago tarjeta"),K4476=""),"⚠ Falta cuenta destino",IF(AND(K4476&lt;&gt;"",P4476&lt;&gt;"Transferencia",P4476&lt;&gt;"Pago tarjeta"),"⚠ Destino solo aplica a transferencias",IF(AND(K4476&lt;&gt;"",K4476=Q4476),"⚠ Origen igual a destino",IF(AND(K4476&lt;&gt;"",ISNA(MATCH(K4476,ctaNombre,0))),"⚠ Destino no registrado",IF(AND(P4476="Pago tarjeta",AE4476&lt;&gt;"Tarjeta de crédito"),"⚠ El destino debe ser tarjeta de crédito",IF(AND(P4476="Gasto",E4476="Depósitos y retiros"),"⚠ Usa tipo Transferencia",IF(AND(P4476="Resultado trading",AD4476&lt;&gt;"Cuenta de trading"),"⚠ Usa una cuenta de trading",IF(AND(G4476&lt;=0,P4476&lt;&gt;"Ajuste",P4476&lt;&gt;"Resultado trading"),"⚠ El monto debe ser positivo","✓")))))))))))))))</f>
        <v/>
      </c>
      <c r="P4476" s="52">
        <f>IF(OR(B4476="",G4476=""),"",IF(C4476="","Gasto",C4476))</f>
        <v/>
      </c>
      <c r="Q4476" s="52">
        <f>IF(P4476="","",IF(J4476&lt;&gt;"",J4476,CuentaPred&amp;""))</f>
        <v/>
      </c>
      <c r="R4476" s="52">
        <f>IF(P4476="","",IF(ISNUMBER(I4476),I4476,TasaUSD))</f>
        <v/>
      </c>
      <c r="S4476" s="53">
        <f>IF(P4476="","",IF(H4476="USD",G4476*R4476,G4476))</f>
        <v/>
      </c>
      <c r="T4476" s="53">
        <f>IF(P4476="","",IF(H4476="USD",G4476,IF(R4476&gt;0,G4476/R4476,0)))</f>
        <v/>
      </c>
      <c r="U4476" s="53">
        <f>IF(P4476="","",IF(P4476="Gasto",S4476,IF(P4476="Reembolso",-S4476,0)))</f>
        <v/>
      </c>
      <c r="V4476" s="53">
        <f>IF(P4476="","",IF(P4476="Ingreso",S4476,0))</f>
        <v/>
      </c>
      <c r="W4476" s="53">
        <f>IF(P4476="","",IF(P4476="Resultado trading",S4476,0))</f>
        <v/>
      </c>
      <c r="X4476" s="52">
        <f>IF(OR(P4476="Gasto",P4476="Reembolso"),IF(M4476&lt;&gt;"",M4476,IFERROR(INDEX(catClasif,MATCH(D4476&amp;"|"&amp;E4476,catClave,0))&amp;"","Variable")),"")</f>
        <v/>
      </c>
      <c r="Y4476" s="52">
        <f>IF(P4476="","",IFERROR(INDEX(catGrupo,MATCH(D4476&amp;"|"&amp;E4476,catClave,0))&amp;"",""))</f>
        <v/>
      </c>
      <c r="Z4476" s="52">
        <f>IF(P4476="","",WEEKDAY(B4476,2))</f>
        <v/>
      </c>
      <c r="AA4476" s="52">
        <f>IF(P4476="","",IF(AND(P4476="Gasto",X4476="Variable",D4476&lt;&gt;catTrading,S4476&gt;0,S4476&lt;=Umbral),1,0))</f>
        <v/>
      </c>
      <c r="AB4476" s="52">
        <f>IF(OR(P4476="",Q4476=""),"",IFERROR(IF(INDEX(ctaVinc,MATCH(Q4476,ctaNombre,0))&amp;""&lt;&gt;"",INDEX(ctaVinc,MATCH(Q4476,ctaNombre,0))&amp;"",Q4476),Q4476))</f>
        <v/>
      </c>
      <c r="AC4476" s="52">
        <f>IF(OR(K4476="",AND(P4476&lt;&gt;"Transferencia",P4476&lt;&gt;"Pago tarjeta")),"",IFERROR(IF(INDEX(ctaVinc,MATCH(K4476,ctaNombre,0))&amp;""&lt;&gt;"",INDEX(ctaVinc,MATCH(K4476,ctaNombre,0))&amp;"",K4476),K4476))</f>
        <v/>
      </c>
      <c r="AD4476" s="52">
        <f>IF(AB4476="","",IFERROR(INDEX(ctaTipo,MATCH(AB4476,ctaNombre,0))&amp;"",""))</f>
        <v/>
      </c>
      <c r="AE4476" s="52">
        <f>IF(AC4476="","",IFERROR(INDEX(ctaTipo,MATCH(AC4476,ctaNombre,0))&amp;"",""))</f>
        <v/>
      </c>
      <c r="AF4476" s="53">
        <f>IF(OR(P4476="",AB4476=""),"",IF(OR(P4476="Gasto",P4476="Transferencia",P4476="Pago tarjeta"),-1,1)*IF(IFERROR(INDEX(ctaMoneda,MATCH(AB4476,ctaNombre,0))&amp;"","DOP")="USD",T4476,S4476))</f>
        <v/>
      </c>
      <c r="AG4476" s="53">
        <f>IF(AC4476="","",IF(IFERROR(INDEX(ctaMoneda,MATCH(AC4476,ctaNombre,0))&amp;"","DOP")="USD",T4476,S4476))</f>
        <v/>
      </c>
      <c r="AH4476" s="53">
        <f>IF(P4476="","",IF(AND(AD4476&lt;&gt;"",COUNTIFS(tcTipo,AD4476,tcLiq,"Sí")&gt;0),IF(OR(P4476="Gasto",P4476="Transferencia",P4476="Pago tarjeta"),-1,1)*S4476,0)+IF(AND(AE4476&lt;&gt;"",COUNTIFS(tcTipo,AE4476,tcLiq,"Sí")&gt;0),S4476,0))</f>
        <v/>
      </c>
      <c r="AI4476" s="52">
        <f>IF(OR(L4476="",P4476=""),"",IF(COUNTIFS(L$6:L4476,L4476,P$6:P4476,"?*")=1,MAX(AI$5:AI4475)+1,""))</f>
        <v/>
      </c>
    </row>
    <row r="4477">
      <c r="B4477" s="47" t="n"/>
      <c r="C4477" s="48" t="n"/>
      <c r="D4477" s="48" t="n"/>
      <c r="E4477" s="48" t="n"/>
      <c r="F4477" s="48" t="n"/>
      <c r="G4477" s="49" t="n"/>
      <c r="H4477" s="48" t="n"/>
      <c r="I4477" s="50" t="n"/>
      <c r="J4477" s="48" t="n"/>
      <c r="K4477" s="48" t="n"/>
      <c r="L4477" s="48" t="n"/>
      <c r="M4477" s="48" t="n"/>
      <c r="N4477" s="48" t="n"/>
      <c r="O4477" s="51">
        <f>IF(AND(B4477="",G4477="",C4477="",D4477="",J4477=""),"",IF(B4477="","⚠ Falta fecha",IF(G4477="","⚠ Falta monto",IF(Q4477="","⚠ Falta cuenta",IF(ISNA(MATCH(Q4477,ctaNombre,0)),"⚠ Cuenta no registrada",IF(AND(OR(P4477="Gasto",P4477="Reembolso"),D4477=""),"⚠ Falta categoría",IF(AND(D4477&lt;&gt;"",E4477&lt;&gt;"",ISNA(MATCH(D4477&amp;"|"&amp;E4477,catClave,0))),"⚠ Subcategoría no corresponde",IF(AND(OR(P4477="Transferencia",P4477="Pago tarjeta"),K4477=""),"⚠ Falta cuenta destino",IF(AND(K4477&lt;&gt;"",P4477&lt;&gt;"Transferencia",P4477&lt;&gt;"Pago tarjeta"),"⚠ Destino solo aplica a transferencias",IF(AND(K4477&lt;&gt;"",K4477=Q4477),"⚠ Origen igual a destino",IF(AND(K4477&lt;&gt;"",ISNA(MATCH(K4477,ctaNombre,0))),"⚠ Destino no registrado",IF(AND(P4477="Pago tarjeta",AE4477&lt;&gt;"Tarjeta de crédito"),"⚠ El destino debe ser tarjeta de crédito",IF(AND(P4477="Gasto",E4477="Depósitos y retiros"),"⚠ Usa tipo Transferencia",IF(AND(P4477="Resultado trading",AD4477&lt;&gt;"Cuenta de trading"),"⚠ Usa una cuenta de trading",IF(AND(G4477&lt;=0,P4477&lt;&gt;"Ajuste",P4477&lt;&gt;"Resultado trading"),"⚠ El monto debe ser positivo","✓")))))))))))))))</f>
        <v/>
      </c>
      <c r="P4477" s="52">
        <f>IF(OR(B4477="",G4477=""),"",IF(C4477="","Gasto",C4477))</f>
        <v/>
      </c>
      <c r="Q4477" s="52">
        <f>IF(P4477="","",IF(J4477&lt;&gt;"",J4477,CuentaPred&amp;""))</f>
        <v/>
      </c>
      <c r="R4477" s="52">
        <f>IF(P4477="","",IF(ISNUMBER(I4477),I4477,TasaUSD))</f>
        <v/>
      </c>
      <c r="S4477" s="53">
        <f>IF(P4477="","",IF(H4477="USD",G4477*R4477,G4477))</f>
        <v/>
      </c>
      <c r="T4477" s="53">
        <f>IF(P4477="","",IF(H4477="USD",G4477,IF(R4477&gt;0,G4477/R4477,0)))</f>
        <v/>
      </c>
      <c r="U4477" s="53">
        <f>IF(P4477="","",IF(P4477="Gasto",S4477,IF(P4477="Reembolso",-S4477,0)))</f>
        <v/>
      </c>
      <c r="V4477" s="53">
        <f>IF(P4477="","",IF(P4477="Ingreso",S4477,0))</f>
        <v/>
      </c>
      <c r="W4477" s="53">
        <f>IF(P4477="","",IF(P4477="Resultado trading",S4477,0))</f>
        <v/>
      </c>
      <c r="X4477" s="52">
        <f>IF(OR(P4477="Gasto",P4477="Reembolso"),IF(M4477&lt;&gt;"",M4477,IFERROR(INDEX(catClasif,MATCH(D4477&amp;"|"&amp;E4477,catClave,0))&amp;"","Variable")),"")</f>
        <v/>
      </c>
      <c r="Y4477" s="52">
        <f>IF(P4477="","",IFERROR(INDEX(catGrupo,MATCH(D4477&amp;"|"&amp;E4477,catClave,0))&amp;"",""))</f>
        <v/>
      </c>
      <c r="Z4477" s="52">
        <f>IF(P4477="","",WEEKDAY(B4477,2))</f>
        <v/>
      </c>
      <c r="AA4477" s="52">
        <f>IF(P4477="","",IF(AND(P4477="Gasto",X4477="Variable",D4477&lt;&gt;catTrading,S4477&gt;0,S4477&lt;=Umbral),1,0))</f>
        <v/>
      </c>
      <c r="AB4477" s="52">
        <f>IF(OR(P4477="",Q4477=""),"",IFERROR(IF(INDEX(ctaVinc,MATCH(Q4477,ctaNombre,0))&amp;""&lt;&gt;"",INDEX(ctaVinc,MATCH(Q4477,ctaNombre,0))&amp;"",Q4477),Q4477))</f>
        <v/>
      </c>
      <c r="AC4477" s="52">
        <f>IF(OR(K4477="",AND(P4477&lt;&gt;"Transferencia",P4477&lt;&gt;"Pago tarjeta")),"",IFERROR(IF(INDEX(ctaVinc,MATCH(K4477,ctaNombre,0))&amp;""&lt;&gt;"",INDEX(ctaVinc,MATCH(K4477,ctaNombre,0))&amp;"",K4477),K4477))</f>
        <v/>
      </c>
      <c r="AD4477" s="52">
        <f>IF(AB4477="","",IFERROR(INDEX(ctaTipo,MATCH(AB4477,ctaNombre,0))&amp;"",""))</f>
        <v/>
      </c>
      <c r="AE4477" s="52">
        <f>IF(AC4477="","",IFERROR(INDEX(ctaTipo,MATCH(AC4477,ctaNombre,0))&amp;"",""))</f>
        <v/>
      </c>
      <c r="AF4477" s="53">
        <f>IF(OR(P4477="",AB4477=""),"",IF(OR(P4477="Gasto",P4477="Transferencia",P4477="Pago tarjeta"),-1,1)*IF(IFERROR(INDEX(ctaMoneda,MATCH(AB4477,ctaNombre,0))&amp;"","DOP")="USD",T4477,S4477))</f>
        <v/>
      </c>
      <c r="AG4477" s="53">
        <f>IF(AC4477="","",IF(IFERROR(INDEX(ctaMoneda,MATCH(AC4477,ctaNombre,0))&amp;"","DOP")="USD",T4477,S4477))</f>
        <v/>
      </c>
      <c r="AH4477" s="53">
        <f>IF(P4477="","",IF(AND(AD4477&lt;&gt;"",COUNTIFS(tcTipo,AD4477,tcLiq,"Sí")&gt;0),IF(OR(P4477="Gasto",P4477="Transferencia",P4477="Pago tarjeta"),-1,1)*S4477,0)+IF(AND(AE4477&lt;&gt;"",COUNTIFS(tcTipo,AE4477,tcLiq,"Sí")&gt;0),S4477,0))</f>
        <v/>
      </c>
      <c r="AI4477" s="52">
        <f>IF(OR(L4477="",P4477=""),"",IF(COUNTIFS(L$6:L4477,L4477,P$6:P4477,"?*")=1,MAX(AI$5:AI4476)+1,""))</f>
        <v/>
      </c>
    </row>
    <row r="4478">
      <c r="B4478" s="47" t="n"/>
      <c r="C4478" s="48" t="n"/>
      <c r="D4478" s="48" t="n"/>
      <c r="E4478" s="48" t="n"/>
      <c r="F4478" s="48" t="n"/>
      <c r="G4478" s="49" t="n"/>
      <c r="H4478" s="48" t="n"/>
      <c r="I4478" s="50" t="n"/>
      <c r="J4478" s="48" t="n"/>
      <c r="K4478" s="48" t="n"/>
      <c r="L4478" s="48" t="n"/>
      <c r="M4478" s="48" t="n"/>
      <c r="N4478" s="48" t="n"/>
      <c r="O4478" s="51">
        <f>IF(AND(B4478="",G4478="",C4478="",D4478="",J4478=""),"",IF(B4478="","⚠ Falta fecha",IF(G4478="","⚠ Falta monto",IF(Q4478="","⚠ Falta cuenta",IF(ISNA(MATCH(Q4478,ctaNombre,0)),"⚠ Cuenta no registrada",IF(AND(OR(P4478="Gasto",P4478="Reembolso"),D4478=""),"⚠ Falta categoría",IF(AND(D4478&lt;&gt;"",E4478&lt;&gt;"",ISNA(MATCH(D4478&amp;"|"&amp;E4478,catClave,0))),"⚠ Subcategoría no corresponde",IF(AND(OR(P4478="Transferencia",P4478="Pago tarjeta"),K4478=""),"⚠ Falta cuenta destino",IF(AND(K4478&lt;&gt;"",P4478&lt;&gt;"Transferencia",P4478&lt;&gt;"Pago tarjeta"),"⚠ Destino solo aplica a transferencias",IF(AND(K4478&lt;&gt;"",K4478=Q4478),"⚠ Origen igual a destino",IF(AND(K4478&lt;&gt;"",ISNA(MATCH(K4478,ctaNombre,0))),"⚠ Destino no registrado",IF(AND(P4478="Pago tarjeta",AE4478&lt;&gt;"Tarjeta de crédito"),"⚠ El destino debe ser tarjeta de crédito",IF(AND(P4478="Gasto",E4478="Depósitos y retiros"),"⚠ Usa tipo Transferencia",IF(AND(P4478="Resultado trading",AD4478&lt;&gt;"Cuenta de trading"),"⚠ Usa una cuenta de trading",IF(AND(G4478&lt;=0,P4478&lt;&gt;"Ajuste",P4478&lt;&gt;"Resultado trading"),"⚠ El monto debe ser positivo","✓")))))))))))))))</f>
        <v/>
      </c>
      <c r="P4478" s="52">
        <f>IF(OR(B4478="",G4478=""),"",IF(C4478="","Gasto",C4478))</f>
        <v/>
      </c>
      <c r="Q4478" s="52">
        <f>IF(P4478="","",IF(J4478&lt;&gt;"",J4478,CuentaPred&amp;""))</f>
        <v/>
      </c>
      <c r="R4478" s="52">
        <f>IF(P4478="","",IF(ISNUMBER(I4478),I4478,TasaUSD))</f>
        <v/>
      </c>
      <c r="S4478" s="53">
        <f>IF(P4478="","",IF(H4478="USD",G4478*R4478,G4478))</f>
        <v/>
      </c>
      <c r="T4478" s="53">
        <f>IF(P4478="","",IF(H4478="USD",G4478,IF(R4478&gt;0,G4478/R4478,0)))</f>
        <v/>
      </c>
      <c r="U4478" s="53">
        <f>IF(P4478="","",IF(P4478="Gasto",S4478,IF(P4478="Reembolso",-S4478,0)))</f>
        <v/>
      </c>
      <c r="V4478" s="53">
        <f>IF(P4478="","",IF(P4478="Ingreso",S4478,0))</f>
        <v/>
      </c>
      <c r="W4478" s="53">
        <f>IF(P4478="","",IF(P4478="Resultado trading",S4478,0))</f>
        <v/>
      </c>
      <c r="X4478" s="52">
        <f>IF(OR(P4478="Gasto",P4478="Reembolso"),IF(M4478&lt;&gt;"",M4478,IFERROR(INDEX(catClasif,MATCH(D4478&amp;"|"&amp;E4478,catClave,0))&amp;"","Variable")),"")</f>
        <v/>
      </c>
      <c r="Y4478" s="52">
        <f>IF(P4478="","",IFERROR(INDEX(catGrupo,MATCH(D4478&amp;"|"&amp;E4478,catClave,0))&amp;"",""))</f>
        <v/>
      </c>
      <c r="Z4478" s="52">
        <f>IF(P4478="","",WEEKDAY(B4478,2))</f>
        <v/>
      </c>
      <c r="AA4478" s="52">
        <f>IF(P4478="","",IF(AND(P4478="Gasto",X4478="Variable",D4478&lt;&gt;catTrading,S4478&gt;0,S4478&lt;=Umbral),1,0))</f>
        <v/>
      </c>
      <c r="AB4478" s="52">
        <f>IF(OR(P4478="",Q4478=""),"",IFERROR(IF(INDEX(ctaVinc,MATCH(Q4478,ctaNombre,0))&amp;""&lt;&gt;"",INDEX(ctaVinc,MATCH(Q4478,ctaNombre,0))&amp;"",Q4478),Q4478))</f>
        <v/>
      </c>
      <c r="AC4478" s="52">
        <f>IF(OR(K4478="",AND(P4478&lt;&gt;"Transferencia",P4478&lt;&gt;"Pago tarjeta")),"",IFERROR(IF(INDEX(ctaVinc,MATCH(K4478,ctaNombre,0))&amp;""&lt;&gt;"",INDEX(ctaVinc,MATCH(K4478,ctaNombre,0))&amp;"",K4478),K4478))</f>
        <v/>
      </c>
      <c r="AD4478" s="52">
        <f>IF(AB4478="","",IFERROR(INDEX(ctaTipo,MATCH(AB4478,ctaNombre,0))&amp;"",""))</f>
        <v/>
      </c>
      <c r="AE4478" s="52">
        <f>IF(AC4478="","",IFERROR(INDEX(ctaTipo,MATCH(AC4478,ctaNombre,0))&amp;"",""))</f>
        <v/>
      </c>
      <c r="AF4478" s="53">
        <f>IF(OR(P4478="",AB4478=""),"",IF(OR(P4478="Gasto",P4478="Transferencia",P4478="Pago tarjeta"),-1,1)*IF(IFERROR(INDEX(ctaMoneda,MATCH(AB4478,ctaNombre,0))&amp;"","DOP")="USD",T4478,S4478))</f>
        <v/>
      </c>
      <c r="AG4478" s="53">
        <f>IF(AC4478="","",IF(IFERROR(INDEX(ctaMoneda,MATCH(AC4478,ctaNombre,0))&amp;"","DOP")="USD",T4478,S4478))</f>
        <v/>
      </c>
      <c r="AH4478" s="53">
        <f>IF(P4478="","",IF(AND(AD4478&lt;&gt;"",COUNTIFS(tcTipo,AD4478,tcLiq,"Sí")&gt;0),IF(OR(P4478="Gasto",P4478="Transferencia",P4478="Pago tarjeta"),-1,1)*S4478,0)+IF(AND(AE4478&lt;&gt;"",COUNTIFS(tcTipo,AE4478,tcLiq,"Sí")&gt;0),S4478,0))</f>
        <v/>
      </c>
      <c r="AI4478" s="52">
        <f>IF(OR(L4478="",P4478=""),"",IF(COUNTIFS(L$6:L4478,L4478,P$6:P4478,"?*")=1,MAX(AI$5:AI4477)+1,""))</f>
        <v/>
      </c>
    </row>
    <row r="4479">
      <c r="B4479" s="47" t="n"/>
      <c r="C4479" s="48" t="n"/>
      <c r="D4479" s="48" t="n"/>
      <c r="E4479" s="48" t="n"/>
      <c r="F4479" s="48" t="n"/>
      <c r="G4479" s="49" t="n"/>
      <c r="H4479" s="48" t="n"/>
      <c r="I4479" s="50" t="n"/>
      <c r="J4479" s="48" t="n"/>
      <c r="K4479" s="48" t="n"/>
      <c r="L4479" s="48" t="n"/>
      <c r="M4479" s="48" t="n"/>
      <c r="N4479" s="48" t="n"/>
      <c r="O4479" s="51">
        <f>IF(AND(B4479="",G4479="",C4479="",D4479="",J4479=""),"",IF(B4479="","⚠ Falta fecha",IF(G4479="","⚠ Falta monto",IF(Q4479="","⚠ Falta cuenta",IF(ISNA(MATCH(Q4479,ctaNombre,0)),"⚠ Cuenta no registrada",IF(AND(OR(P4479="Gasto",P4479="Reembolso"),D4479=""),"⚠ Falta categoría",IF(AND(D4479&lt;&gt;"",E4479&lt;&gt;"",ISNA(MATCH(D4479&amp;"|"&amp;E4479,catClave,0))),"⚠ Subcategoría no corresponde",IF(AND(OR(P4479="Transferencia",P4479="Pago tarjeta"),K4479=""),"⚠ Falta cuenta destino",IF(AND(K4479&lt;&gt;"",P4479&lt;&gt;"Transferencia",P4479&lt;&gt;"Pago tarjeta"),"⚠ Destino solo aplica a transferencias",IF(AND(K4479&lt;&gt;"",K4479=Q4479),"⚠ Origen igual a destino",IF(AND(K4479&lt;&gt;"",ISNA(MATCH(K4479,ctaNombre,0))),"⚠ Destino no registrado",IF(AND(P4479="Pago tarjeta",AE4479&lt;&gt;"Tarjeta de crédito"),"⚠ El destino debe ser tarjeta de crédito",IF(AND(P4479="Gasto",E4479="Depósitos y retiros"),"⚠ Usa tipo Transferencia",IF(AND(P4479="Resultado trading",AD4479&lt;&gt;"Cuenta de trading"),"⚠ Usa una cuenta de trading",IF(AND(G4479&lt;=0,P4479&lt;&gt;"Ajuste",P4479&lt;&gt;"Resultado trading"),"⚠ El monto debe ser positivo","✓")))))))))))))))</f>
        <v/>
      </c>
      <c r="P4479" s="52">
        <f>IF(OR(B4479="",G4479=""),"",IF(C4479="","Gasto",C4479))</f>
        <v/>
      </c>
      <c r="Q4479" s="52">
        <f>IF(P4479="","",IF(J4479&lt;&gt;"",J4479,CuentaPred&amp;""))</f>
        <v/>
      </c>
      <c r="R4479" s="52">
        <f>IF(P4479="","",IF(ISNUMBER(I4479),I4479,TasaUSD))</f>
        <v/>
      </c>
      <c r="S4479" s="53">
        <f>IF(P4479="","",IF(H4479="USD",G4479*R4479,G4479))</f>
        <v/>
      </c>
      <c r="T4479" s="53">
        <f>IF(P4479="","",IF(H4479="USD",G4479,IF(R4479&gt;0,G4479/R4479,0)))</f>
        <v/>
      </c>
      <c r="U4479" s="53">
        <f>IF(P4479="","",IF(P4479="Gasto",S4479,IF(P4479="Reembolso",-S4479,0)))</f>
        <v/>
      </c>
      <c r="V4479" s="53">
        <f>IF(P4479="","",IF(P4479="Ingreso",S4479,0))</f>
        <v/>
      </c>
      <c r="W4479" s="53">
        <f>IF(P4479="","",IF(P4479="Resultado trading",S4479,0))</f>
        <v/>
      </c>
      <c r="X4479" s="52">
        <f>IF(OR(P4479="Gasto",P4479="Reembolso"),IF(M4479&lt;&gt;"",M4479,IFERROR(INDEX(catClasif,MATCH(D4479&amp;"|"&amp;E4479,catClave,0))&amp;"","Variable")),"")</f>
        <v/>
      </c>
      <c r="Y4479" s="52">
        <f>IF(P4479="","",IFERROR(INDEX(catGrupo,MATCH(D4479&amp;"|"&amp;E4479,catClave,0))&amp;"",""))</f>
        <v/>
      </c>
      <c r="Z4479" s="52">
        <f>IF(P4479="","",WEEKDAY(B4479,2))</f>
        <v/>
      </c>
      <c r="AA4479" s="52">
        <f>IF(P4479="","",IF(AND(P4479="Gasto",X4479="Variable",D4479&lt;&gt;catTrading,S4479&gt;0,S4479&lt;=Umbral),1,0))</f>
        <v/>
      </c>
      <c r="AB4479" s="52">
        <f>IF(OR(P4479="",Q4479=""),"",IFERROR(IF(INDEX(ctaVinc,MATCH(Q4479,ctaNombre,0))&amp;""&lt;&gt;"",INDEX(ctaVinc,MATCH(Q4479,ctaNombre,0))&amp;"",Q4479),Q4479))</f>
        <v/>
      </c>
      <c r="AC4479" s="52">
        <f>IF(OR(K4479="",AND(P4479&lt;&gt;"Transferencia",P4479&lt;&gt;"Pago tarjeta")),"",IFERROR(IF(INDEX(ctaVinc,MATCH(K4479,ctaNombre,0))&amp;""&lt;&gt;"",INDEX(ctaVinc,MATCH(K4479,ctaNombre,0))&amp;"",K4479),K4479))</f>
        <v/>
      </c>
      <c r="AD4479" s="52">
        <f>IF(AB4479="","",IFERROR(INDEX(ctaTipo,MATCH(AB4479,ctaNombre,0))&amp;"",""))</f>
        <v/>
      </c>
      <c r="AE4479" s="52">
        <f>IF(AC4479="","",IFERROR(INDEX(ctaTipo,MATCH(AC4479,ctaNombre,0))&amp;"",""))</f>
        <v/>
      </c>
      <c r="AF4479" s="53">
        <f>IF(OR(P4479="",AB4479=""),"",IF(OR(P4479="Gasto",P4479="Transferencia",P4479="Pago tarjeta"),-1,1)*IF(IFERROR(INDEX(ctaMoneda,MATCH(AB4479,ctaNombre,0))&amp;"","DOP")="USD",T4479,S4479))</f>
        <v/>
      </c>
      <c r="AG4479" s="53">
        <f>IF(AC4479="","",IF(IFERROR(INDEX(ctaMoneda,MATCH(AC4479,ctaNombre,0))&amp;"","DOP")="USD",T4479,S4479))</f>
        <v/>
      </c>
      <c r="AH4479" s="53">
        <f>IF(P4479="","",IF(AND(AD4479&lt;&gt;"",COUNTIFS(tcTipo,AD4479,tcLiq,"Sí")&gt;0),IF(OR(P4479="Gasto",P4479="Transferencia",P4479="Pago tarjeta"),-1,1)*S4479,0)+IF(AND(AE4479&lt;&gt;"",COUNTIFS(tcTipo,AE4479,tcLiq,"Sí")&gt;0),S4479,0))</f>
        <v/>
      </c>
      <c r="AI4479" s="52">
        <f>IF(OR(L4479="",P4479=""),"",IF(COUNTIFS(L$6:L4479,L4479,P$6:P4479,"?*")=1,MAX(AI$5:AI4478)+1,""))</f>
        <v/>
      </c>
    </row>
    <row r="4480">
      <c r="B4480" s="47" t="n"/>
      <c r="C4480" s="48" t="n"/>
      <c r="D4480" s="48" t="n"/>
      <c r="E4480" s="48" t="n"/>
      <c r="F4480" s="48" t="n"/>
      <c r="G4480" s="49" t="n"/>
      <c r="H4480" s="48" t="n"/>
      <c r="I4480" s="50" t="n"/>
      <c r="J4480" s="48" t="n"/>
      <c r="K4480" s="48" t="n"/>
      <c r="L4480" s="48" t="n"/>
      <c r="M4480" s="48" t="n"/>
      <c r="N4480" s="48" t="n"/>
      <c r="O4480" s="51">
        <f>IF(AND(B4480="",G4480="",C4480="",D4480="",J4480=""),"",IF(B4480="","⚠ Falta fecha",IF(G4480="","⚠ Falta monto",IF(Q4480="","⚠ Falta cuenta",IF(ISNA(MATCH(Q4480,ctaNombre,0)),"⚠ Cuenta no registrada",IF(AND(OR(P4480="Gasto",P4480="Reembolso"),D4480=""),"⚠ Falta categoría",IF(AND(D4480&lt;&gt;"",E4480&lt;&gt;"",ISNA(MATCH(D4480&amp;"|"&amp;E4480,catClave,0))),"⚠ Subcategoría no corresponde",IF(AND(OR(P4480="Transferencia",P4480="Pago tarjeta"),K4480=""),"⚠ Falta cuenta destino",IF(AND(K4480&lt;&gt;"",P4480&lt;&gt;"Transferencia",P4480&lt;&gt;"Pago tarjeta"),"⚠ Destino solo aplica a transferencias",IF(AND(K4480&lt;&gt;"",K4480=Q4480),"⚠ Origen igual a destino",IF(AND(K4480&lt;&gt;"",ISNA(MATCH(K4480,ctaNombre,0))),"⚠ Destino no registrado",IF(AND(P4480="Pago tarjeta",AE4480&lt;&gt;"Tarjeta de crédito"),"⚠ El destino debe ser tarjeta de crédito",IF(AND(P4480="Gasto",E4480="Depósitos y retiros"),"⚠ Usa tipo Transferencia",IF(AND(P4480="Resultado trading",AD4480&lt;&gt;"Cuenta de trading"),"⚠ Usa una cuenta de trading",IF(AND(G4480&lt;=0,P4480&lt;&gt;"Ajuste",P4480&lt;&gt;"Resultado trading"),"⚠ El monto debe ser positivo","✓")))))))))))))))</f>
        <v/>
      </c>
      <c r="P4480" s="52">
        <f>IF(OR(B4480="",G4480=""),"",IF(C4480="","Gasto",C4480))</f>
        <v/>
      </c>
      <c r="Q4480" s="52">
        <f>IF(P4480="","",IF(J4480&lt;&gt;"",J4480,CuentaPred&amp;""))</f>
        <v/>
      </c>
      <c r="R4480" s="52">
        <f>IF(P4480="","",IF(ISNUMBER(I4480),I4480,TasaUSD))</f>
        <v/>
      </c>
      <c r="S4480" s="53">
        <f>IF(P4480="","",IF(H4480="USD",G4480*R4480,G4480))</f>
        <v/>
      </c>
      <c r="T4480" s="53">
        <f>IF(P4480="","",IF(H4480="USD",G4480,IF(R4480&gt;0,G4480/R4480,0)))</f>
        <v/>
      </c>
      <c r="U4480" s="53">
        <f>IF(P4480="","",IF(P4480="Gasto",S4480,IF(P4480="Reembolso",-S4480,0)))</f>
        <v/>
      </c>
      <c r="V4480" s="53">
        <f>IF(P4480="","",IF(P4480="Ingreso",S4480,0))</f>
        <v/>
      </c>
      <c r="W4480" s="53">
        <f>IF(P4480="","",IF(P4480="Resultado trading",S4480,0))</f>
        <v/>
      </c>
      <c r="X4480" s="52">
        <f>IF(OR(P4480="Gasto",P4480="Reembolso"),IF(M4480&lt;&gt;"",M4480,IFERROR(INDEX(catClasif,MATCH(D4480&amp;"|"&amp;E4480,catClave,0))&amp;"","Variable")),"")</f>
        <v/>
      </c>
      <c r="Y4480" s="52">
        <f>IF(P4480="","",IFERROR(INDEX(catGrupo,MATCH(D4480&amp;"|"&amp;E4480,catClave,0))&amp;"",""))</f>
        <v/>
      </c>
      <c r="Z4480" s="52">
        <f>IF(P4480="","",WEEKDAY(B4480,2))</f>
        <v/>
      </c>
      <c r="AA4480" s="52">
        <f>IF(P4480="","",IF(AND(P4480="Gasto",X4480="Variable",D4480&lt;&gt;catTrading,S4480&gt;0,S4480&lt;=Umbral),1,0))</f>
        <v/>
      </c>
      <c r="AB4480" s="52">
        <f>IF(OR(P4480="",Q4480=""),"",IFERROR(IF(INDEX(ctaVinc,MATCH(Q4480,ctaNombre,0))&amp;""&lt;&gt;"",INDEX(ctaVinc,MATCH(Q4480,ctaNombre,0))&amp;"",Q4480),Q4480))</f>
        <v/>
      </c>
      <c r="AC4480" s="52">
        <f>IF(OR(K4480="",AND(P4480&lt;&gt;"Transferencia",P4480&lt;&gt;"Pago tarjeta")),"",IFERROR(IF(INDEX(ctaVinc,MATCH(K4480,ctaNombre,0))&amp;""&lt;&gt;"",INDEX(ctaVinc,MATCH(K4480,ctaNombre,0))&amp;"",K4480),K4480))</f>
        <v/>
      </c>
      <c r="AD4480" s="52">
        <f>IF(AB4480="","",IFERROR(INDEX(ctaTipo,MATCH(AB4480,ctaNombre,0))&amp;"",""))</f>
        <v/>
      </c>
      <c r="AE4480" s="52">
        <f>IF(AC4480="","",IFERROR(INDEX(ctaTipo,MATCH(AC4480,ctaNombre,0))&amp;"",""))</f>
        <v/>
      </c>
      <c r="AF4480" s="53">
        <f>IF(OR(P4480="",AB4480=""),"",IF(OR(P4480="Gasto",P4480="Transferencia",P4480="Pago tarjeta"),-1,1)*IF(IFERROR(INDEX(ctaMoneda,MATCH(AB4480,ctaNombre,0))&amp;"","DOP")="USD",T4480,S4480))</f>
        <v/>
      </c>
      <c r="AG4480" s="53">
        <f>IF(AC4480="","",IF(IFERROR(INDEX(ctaMoneda,MATCH(AC4480,ctaNombre,0))&amp;"","DOP")="USD",T4480,S4480))</f>
        <v/>
      </c>
      <c r="AH4480" s="53">
        <f>IF(P4480="","",IF(AND(AD4480&lt;&gt;"",COUNTIFS(tcTipo,AD4480,tcLiq,"Sí")&gt;0),IF(OR(P4480="Gasto",P4480="Transferencia",P4480="Pago tarjeta"),-1,1)*S4480,0)+IF(AND(AE4480&lt;&gt;"",COUNTIFS(tcTipo,AE4480,tcLiq,"Sí")&gt;0),S4480,0))</f>
        <v/>
      </c>
      <c r="AI4480" s="52">
        <f>IF(OR(L4480="",P4480=""),"",IF(COUNTIFS(L$6:L4480,L4480,P$6:P4480,"?*")=1,MAX(AI$5:AI4479)+1,""))</f>
        <v/>
      </c>
    </row>
    <row r="4481">
      <c r="B4481" s="47" t="n"/>
      <c r="C4481" s="48" t="n"/>
      <c r="D4481" s="48" t="n"/>
      <c r="E4481" s="48" t="n"/>
      <c r="F4481" s="48" t="n"/>
      <c r="G4481" s="49" t="n"/>
      <c r="H4481" s="48" t="n"/>
      <c r="I4481" s="50" t="n"/>
      <c r="J4481" s="48" t="n"/>
      <c r="K4481" s="48" t="n"/>
      <c r="L4481" s="48" t="n"/>
      <c r="M4481" s="48" t="n"/>
      <c r="N4481" s="48" t="n"/>
      <c r="O4481" s="51">
        <f>IF(AND(B4481="",G4481="",C4481="",D4481="",J4481=""),"",IF(B4481="","⚠ Falta fecha",IF(G4481="","⚠ Falta monto",IF(Q4481="","⚠ Falta cuenta",IF(ISNA(MATCH(Q4481,ctaNombre,0)),"⚠ Cuenta no registrada",IF(AND(OR(P4481="Gasto",P4481="Reembolso"),D4481=""),"⚠ Falta categoría",IF(AND(D4481&lt;&gt;"",E4481&lt;&gt;"",ISNA(MATCH(D4481&amp;"|"&amp;E4481,catClave,0))),"⚠ Subcategoría no corresponde",IF(AND(OR(P4481="Transferencia",P4481="Pago tarjeta"),K4481=""),"⚠ Falta cuenta destino",IF(AND(K4481&lt;&gt;"",P4481&lt;&gt;"Transferencia",P4481&lt;&gt;"Pago tarjeta"),"⚠ Destino solo aplica a transferencias",IF(AND(K4481&lt;&gt;"",K4481=Q4481),"⚠ Origen igual a destino",IF(AND(K4481&lt;&gt;"",ISNA(MATCH(K4481,ctaNombre,0))),"⚠ Destino no registrado",IF(AND(P4481="Pago tarjeta",AE4481&lt;&gt;"Tarjeta de crédito"),"⚠ El destino debe ser tarjeta de crédito",IF(AND(P4481="Gasto",E4481="Depósitos y retiros"),"⚠ Usa tipo Transferencia",IF(AND(P4481="Resultado trading",AD4481&lt;&gt;"Cuenta de trading"),"⚠ Usa una cuenta de trading",IF(AND(G4481&lt;=0,P4481&lt;&gt;"Ajuste",P4481&lt;&gt;"Resultado trading"),"⚠ El monto debe ser positivo","✓")))))))))))))))</f>
        <v/>
      </c>
      <c r="P4481" s="52">
        <f>IF(OR(B4481="",G4481=""),"",IF(C4481="","Gasto",C4481))</f>
        <v/>
      </c>
      <c r="Q4481" s="52">
        <f>IF(P4481="","",IF(J4481&lt;&gt;"",J4481,CuentaPred&amp;""))</f>
        <v/>
      </c>
      <c r="R4481" s="52">
        <f>IF(P4481="","",IF(ISNUMBER(I4481),I4481,TasaUSD))</f>
        <v/>
      </c>
      <c r="S4481" s="53">
        <f>IF(P4481="","",IF(H4481="USD",G4481*R4481,G4481))</f>
        <v/>
      </c>
      <c r="T4481" s="53">
        <f>IF(P4481="","",IF(H4481="USD",G4481,IF(R4481&gt;0,G4481/R4481,0)))</f>
        <v/>
      </c>
      <c r="U4481" s="53">
        <f>IF(P4481="","",IF(P4481="Gasto",S4481,IF(P4481="Reembolso",-S4481,0)))</f>
        <v/>
      </c>
      <c r="V4481" s="53">
        <f>IF(P4481="","",IF(P4481="Ingreso",S4481,0))</f>
        <v/>
      </c>
      <c r="W4481" s="53">
        <f>IF(P4481="","",IF(P4481="Resultado trading",S4481,0))</f>
        <v/>
      </c>
      <c r="X4481" s="52">
        <f>IF(OR(P4481="Gasto",P4481="Reembolso"),IF(M4481&lt;&gt;"",M4481,IFERROR(INDEX(catClasif,MATCH(D4481&amp;"|"&amp;E4481,catClave,0))&amp;"","Variable")),"")</f>
        <v/>
      </c>
      <c r="Y4481" s="52">
        <f>IF(P4481="","",IFERROR(INDEX(catGrupo,MATCH(D4481&amp;"|"&amp;E4481,catClave,0))&amp;"",""))</f>
        <v/>
      </c>
      <c r="Z4481" s="52">
        <f>IF(P4481="","",WEEKDAY(B4481,2))</f>
        <v/>
      </c>
      <c r="AA4481" s="52">
        <f>IF(P4481="","",IF(AND(P4481="Gasto",X4481="Variable",D4481&lt;&gt;catTrading,S4481&gt;0,S4481&lt;=Umbral),1,0))</f>
        <v/>
      </c>
      <c r="AB4481" s="52">
        <f>IF(OR(P4481="",Q4481=""),"",IFERROR(IF(INDEX(ctaVinc,MATCH(Q4481,ctaNombre,0))&amp;""&lt;&gt;"",INDEX(ctaVinc,MATCH(Q4481,ctaNombre,0))&amp;"",Q4481),Q4481))</f>
        <v/>
      </c>
      <c r="AC4481" s="52">
        <f>IF(OR(K4481="",AND(P4481&lt;&gt;"Transferencia",P4481&lt;&gt;"Pago tarjeta")),"",IFERROR(IF(INDEX(ctaVinc,MATCH(K4481,ctaNombre,0))&amp;""&lt;&gt;"",INDEX(ctaVinc,MATCH(K4481,ctaNombre,0))&amp;"",K4481),K4481))</f>
        <v/>
      </c>
      <c r="AD4481" s="52">
        <f>IF(AB4481="","",IFERROR(INDEX(ctaTipo,MATCH(AB4481,ctaNombre,0))&amp;"",""))</f>
        <v/>
      </c>
      <c r="AE4481" s="52">
        <f>IF(AC4481="","",IFERROR(INDEX(ctaTipo,MATCH(AC4481,ctaNombre,0))&amp;"",""))</f>
        <v/>
      </c>
      <c r="AF4481" s="53">
        <f>IF(OR(P4481="",AB4481=""),"",IF(OR(P4481="Gasto",P4481="Transferencia",P4481="Pago tarjeta"),-1,1)*IF(IFERROR(INDEX(ctaMoneda,MATCH(AB4481,ctaNombre,0))&amp;"","DOP")="USD",T4481,S4481))</f>
        <v/>
      </c>
      <c r="AG4481" s="53">
        <f>IF(AC4481="","",IF(IFERROR(INDEX(ctaMoneda,MATCH(AC4481,ctaNombre,0))&amp;"","DOP")="USD",T4481,S4481))</f>
        <v/>
      </c>
      <c r="AH4481" s="53">
        <f>IF(P4481="","",IF(AND(AD4481&lt;&gt;"",COUNTIFS(tcTipo,AD4481,tcLiq,"Sí")&gt;0),IF(OR(P4481="Gasto",P4481="Transferencia",P4481="Pago tarjeta"),-1,1)*S4481,0)+IF(AND(AE4481&lt;&gt;"",COUNTIFS(tcTipo,AE4481,tcLiq,"Sí")&gt;0),S4481,0))</f>
        <v/>
      </c>
      <c r="AI4481" s="52">
        <f>IF(OR(L4481="",P4481=""),"",IF(COUNTIFS(L$6:L4481,L4481,P$6:P4481,"?*")=1,MAX(AI$5:AI4480)+1,""))</f>
        <v/>
      </c>
    </row>
    <row r="4482">
      <c r="B4482" s="47" t="n"/>
      <c r="C4482" s="48" t="n"/>
      <c r="D4482" s="48" t="n"/>
      <c r="E4482" s="48" t="n"/>
      <c r="F4482" s="48" t="n"/>
      <c r="G4482" s="49" t="n"/>
      <c r="H4482" s="48" t="n"/>
      <c r="I4482" s="50" t="n"/>
      <c r="J4482" s="48" t="n"/>
      <c r="K4482" s="48" t="n"/>
      <c r="L4482" s="48" t="n"/>
      <c r="M4482" s="48" t="n"/>
      <c r="N4482" s="48" t="n"/>
      <c r="O4482" s="51">
        <f>IF(AND(B4482="",G4482="",C4482="",D4482="",J4482=""),"",IF(B4482="","⚠ Falta fecha",IF(G4482="","⚠ Falta monto",IF(Q4482="","⚠ Falta cuenta",IF(ISNA(MATCH(Q4482,ctaNombre,0)),"⚠ Cuenta no registrada",IF(AND(OR(P4482="Gasto",P4482="Reembolso"),D4482=""),"⚠ Falta categoría",IF(AND(D4482&lt;&gt;"",E4482&lt;&gt;"",ISNA(MATCH(D4482&amp;"|"&amp;E4482,catClave,0))),"⚠ Subcategoría no corresponde",IF(AND(OR(P4482="Transferencia",P4482="Pago tarjeta"),K4482=""),"⚠ Falta cuenta destino",IF(AND(K4482&lt;&gt;"",P4482&lt;&gt;"Transferencia",P4482&lt;&gt;"Pago tarjeta"),"⚠ Destino solo aplica a transferencias",IF(AND(K4482&lt;&gt;"",K4482=Q4482),"⚠ Origen igual a destino",IF(AND(K4482&lt;&gt;"",ISNA(MATCH(K4482,ctaNombre,0))),"⚠ Destino no registrado",IF(AND(P4482="Pago tarjeta",AE4482&lt;&gt;"Tarjeta de crédito"),"⚠ El destino debe ser tarjeta de crédito",IF(AND(P4482="Gasto",E4482="Depósitos y retiros"),"⚠ Usa tipo Transferencia",IF(AND(P4482="Resultado trading",AD4482&lt;&gt;"Cuenta de trading"),"⚠ Usa una cuenta de trading",IF(AND(G4482&lt;=0,P4482&lt;&gt;"Ajuste",P4482&lt;&gt;"Resultado trading"),"⚠ El monto debe ser positivo","✓")))))))))))))))</f>
        <v/>
      </c>
      <c r="P4482" s="52">
        <f>IF(OR(B4482="",G4482=""),"",IF(C4482="","Gasto",C4482))</f>
        <v/>
      </c>
      <c r="Q4482" s="52">
        <f>IF(P4482="","",IF(J4482&lt;&gt;"",J4482,CuentaPred&amp;""))</f>
        <v/>
      </c>
      <c r="R4482" s="52">
        <f>IF(P4482="","",IF(ISNUMBER(I4482),I4482,TasaUSD))</f>
        <v/>
      </c>
      <c r="S4482" s="53">
        <f>IF(P4482="","",IF(H4482="USD",G4482*R4482,G4482))</f>
        <v/>
      </c>
      <c r="T4482" s="53">
        <f>IF(P4482="","",IF(H4482="USD",G4482,IF(R4482&gt;0,G4482/R4482,0)))</f>
        <v/>
      </c>
      <c r="U4482" s="53">
        <f>IF(P4482="","",IF(P4482="Gasto",S4482,IF(P4482="Reembolso",-S4482,0)))</f>
        <v/>
      </c>
      <c r="V4482" s="53">
        <f>IF(P4482="","",IF(P4482="Ingreso",S4482,0))</f>
        <v/>
      </c>
      <c r="W4482" s="53">
        <f>IF(P4482="","",IF(P4482="Resultado trading",S4482,0))</f>
        <v/>
      </c>
      <c r="X4482" s="52">
        <f>IF(OR(P4482="Gasto",P4482="Reembolso"),IF(M4482&lt;&gt;"",M4482,IFERROR(INDEX(catClasif,MATCH(D4482&amp;"|"&amp;E4482,catClave,0))&amp;"","Variable")),"")</f>
        <v/>
      </c>
      <c r="Y4482" s="52">
        <f>IF(P4482="","",IFERROR(INDEX(catGrupo,MATCH(D4482&amp;"|"&amp;E4482,catClave,0))&amp;"",""))</f>
        <v/>
      </c>
      <c r="Z4482" s="52">
        <f>IF(P4482="","",WEEKDAY(B4482,2))</f>
        <v/>
      </c>
      <c r="AA4482" s="52">
        <f>IF(P4482="","",IF(AND(P4482="Gasto",X4482="Variable",D4482&lt;&gt;catTrading,S4482&gt;0,S4482&lt;=Umbral),1,0))</f>
        <v/>
      </c>
      <c r="AB4482" s="52">
        <f>IF(OR(P4482="",Q4482=""),"",IFERROR(IF(INDEX(ctaVinc,MATCH(Q4482,ctaNombre,0))&amp;""&lt;&gt;"",INDEX(ctaVinc,MATCH(Q4482,ctaNombre,0))&amp;"",Q4482),Q4482))</f>
        <v/>
      </c>
      <c r="AC4482" s="52">
        <f>IF(OR(K4482="",AND(P4482&lt;&gt;"Transferencia",P4482&lt;&gt;"Pago tarjeta")),"",IFERROR(IF(INDEX(ctaVinc,MATCH(K4482,ctaNombre,0))&amp;""&lt;&gt;"",INDEX(ctaVinc,MATCH(K4482,ctaNombre,0))&amp;"",K4482),K4482))</f>
        <v/>
      </c>
      <c r="AD4482" s="52">
        <f>IF(AB4482="","",IFERROR(INDEX(ctaTipo,MATCH(AB4482,ctaNombre,0))&amp;"",""))</f>
        <v/>
      </c>
      <c r="AE4482" s="52">
        <f>IF(AC4482="","",IFERROR(INDEX(ctaTipo,MATCH(AC4482,ctaNombre,0))&amp;"",""))</f>
        <v/>
      </c>
      <c r="AF4482" s="53">
        <f>IF(OR(P4482="",AB4482=""),"",IF(OR(P4482="Gasto",P4482="Transferencia",P4482="Pago tarjeta"),-1,1)*IF(IFERROR(INDEX(ctaMoneda,MATCH(AB4482,ctaNombre,0))&amp;"","DOP")="USD",T4482,S4482))</f>
        <v/>
      </c>
      <c r="AG4482" s="53">
        <f>IF(AC4482="","",IF(IFERROR(INDEX(ctaMoneda,MATCH(AC4482,ctaNombre,0))&amp;"","DOP")="USD",T4482,S4482))</f>
        <v/>
      </c>
      <c r="AH4482" s="53">
        <f>IF(P4482="","",IF(AND(AD4482&lt;&gt;"",COUNTIFS(tcTipo,AD4482,tcLiq,"Sí")&gt;0),IF(OR(P4482="Gasto",P4482="Transferencia",P4482="Pago tarjeta"),-1,1)*S4482,0)+IF(AND(AE4482&lt;&gt;"",COUNTIFS(tcTipo,AE4482,tcLiq,"Sí")&gt;0),S4482,0))</f>
        <v/>
      </c>
      <c r="AI4482" s="52">
        <f>IF(OR(L4482="",P4482=""),"",IF(COUNTIFS(L$6:L4482,L4482,P$6:P4482,"?*")=1,MAX(AI$5:AI4481)+1,""))</f>
        <v/>
      </c>
    </row>
    <row r="4483">
      <c r="B4483" s="47" t="n"/>
      <c r="C4483" s="48" t="n"/>
      <c r="D4483" s="48" t="n"/>
      <c r="E4483" s="48" t="n"/>
      <c r="F4483" s="48" t="n"/>
      <c r="G4483" s="49" t="n"/>
      <c r="H4483" s="48" t="n"/>
      <c r="I4483" s="50" t="n"/>
      <c r="J4483" s="48" t="n"/>
      <c r="K4483" s="48" t="n"/>
      <c r="L4483" s="48" t="n"/>
      <c r="M4483" s="48" t="n"/>
      <c r="N4483" s="48" t="n"/>
      <c r="O4483" s="51">
        <f>IF(AND(B4483="",G4483="",C4483="",D4483="",J4483=""),"",IF(B4483="","⚠ Falta fecha",IF(G4483="","⚠ Falta monto",IF(Q4483="","⚠ Falta cuenta",IF(ISNA(MATCH(Q4483,ctaNombre,0)),"⚠ Cuenta no registrada",IF(AND(OR(P4483="Gasto",P4483="Reembolso"),D4483=""),"⚠ Falta categoría",IF(AND(D4483&lt;&gt;"",E4483&lt;&gt;"",ISNA(MATCH(D4483&amp;"|"&amp;E4483,catClave,0))),"⚠ Subcategoría no corresponde",IF(AND(OR(P4483="Transferencia",P4483="Pago tarjeta"),K4483=""),"⚠ Falta cuenta destino",IF(AND(K4483&lt;&gt;"",P4483&lt;&gt;"Transferencia",P4483&lt;&gt;"Pago tarjeta"),"⚠ Destino solo aplica a transferencias",IF(AND(K4483&lt;&gt;"",K4483=Q4483),"⚠ Origen igual a destino",IF(AND(K4483&lt;&gt;"",ISNA(MATCH(K4483,ctaNombre,0))),"⚠ Destino no registrado",IF(AND(P4483="Pago tarjeta",AE4483&lt;&gt;"Tarjeta de crédito"),"⚠ El destino debe ser tarjeta de crédito",IF(AND(P4483="Gasto",E4483="Depósitos y retiros"),"⚠ Usa tipo Transferencia",IF(AND(P4483="Resultado trading",AD4483&lt;&gt;"Cuenta de trading"),"⚠ Usa una cuenta de trading",IF(AND(G4483&lt;=0,P4483&lt;&gt;"Ajuste",P4483&lt;&gt;"Resultado trading"),"⚠ El monto debe ser positivo","✓")))))))))))))))</f>
        <v/>
      </c>
      <c r="P4483" s="52">
        <f>IF(OR(B4483="",G4483=""),"",IF(C4483="","Gasto",C4483))</f>
        <v/>
      </c>
      <c r="Q4483" s="52">
        <f>IF(P4483="","",IF(J4483&lt;&gt;"",J4483,CuentaPred&amp;""))</f>
        <v/>
      </c>
      <c r="R4483" s="52">
        <f>IF(P4483="","",IF(ISNUMBER(I4483),I4483,TasaUSD))</f>
        <v/>
      </c>
      <c r="S4483" s="53">
        <f>IF(P4483="","",IF(H4483="USD",G4483*R4483,G4483))</f>
        <v/>
      </c>
      <c r="T4483" s="53">
        <f>IF(P4483="","",IF(H4483="USD",G4483,IF(R4483&gt;0,G4483/R4483,0)))</f>
        <v/>
      </c>
      <c r="U4483" s="53">
        <f>IF(P4483="","",IF(P4483="Gasto",S4483,IF(P4483="Reembolso",-S4483,0)))</f>
        <v/>
      </c>
      <c r="V4483" s="53">
        <f>IF(P4483="","",IF(P4483="Ingreso",S4483,0))</f>
        <v/>
      </c>
      <c r="W4483" s="53">
        <f>IF(P4483="","",IF(P4483="Resultado trading",S4483,0))</f>
        <v/>
      </c>
      <c r="X4483" s="52">
        <f>IF(OR(P4483="Gasto",P4483="Reembolso"),IF(M4483&lt;&gt;"",M4483,IFERROR(INDEX(catClasif,MATCH(D4483&amp;"|"&amp;E4483,catClave,0))&amp;"","Variable")),"")</f>
        <v/>
      </c>
      <c r="Y4483" s="52">
        <f>IF(P4483="","",IFERROR(INDEX(catGrupo,MATCH(D4483&amp;"|"&amp;E4483,catClave,0))&amp;"",""))</f>
        <v/>
      </c>
      <c r="Z4483" s="52">
        <f>IF(P4483="","",WEEKDAY(B4483,2))</f>
        <v/>
      </c>
      <c r="AA4483" s="52">
        <f>IF(P4483="","",IF(AND(P4483="Gasto",X4483="Variable",D4483&lt;&gt;catTrading,S4483&gt;0,S4483&lt;=Umbral),1,0))</f>
        <v/>
      </c>
      <c r="AB4483" s="52">
        <f>IF(OR(P4483="",Q4483=""),"",IFERROR(IF(INDEX(ctaVinc,MATCH(Q4483,ctaNombre,0))&amp;""&lt;&gt;"",INDEX(ctaVinc,MATCH(Q4483,ctaNombre,0))&amp;"",Q4483),Q4483))</f>
        <v/>
      </c>
      <c r="AC4483" s="52">
        <f>IF(OR(K4483="",AND(P4483&lt;&gt;"Transferencia",P4483&lt;&gt;"Pago tarjeta")),"",IFERROR(IF(INDEX(ctaVinc,MATCH(K4483,ctaNombre,0))&amp;""&lt;&gt;"",INDEX(ctaVinc,MATCH(K4483,ctaNombre,0))&amp;"",K4483),K4483))</f>
        <v/>
      </c>
      <c r="AD4483" s="52">
        <f>IF(AB4483="","",IFERROR(INDEX(ctaTipo,MATCH(AB4483,ctaNombre,0))&amp;"",""))</f>
        <v/>
      </c>
      <c r="AE4483" s="52">
        <f>IF(AC4483="","",IFERROR(INDEX(ctaTipo,MATCH(AC4483,ctaNombre,0))&amp;"",""))</f>
        <v/>
      </c>
      <c r="AF4483" s="53">
        <f>IF(OR(P4483="",AB4483=""),"",IF(OR(P4483="Gasto",P4483="Transferencia",P4483="Pago tarjeta"),-1,1)*IF(IFERROR(INDEX(ctaMoneda,MATCH(AB4483,ctaNombre,0))&amp;"","DOP")="USD",T4483,S4483))</f>
        <v/>
      </c>
      <c r="AG4483" s="53">
        <f>IF(AC4483="","",IF(IFERROR(INDEX(ctaMoneda,MATCH(AC4483,ctaNombre,0))&amp;"","DOP")="USD",T4483,S4483))</f>
        <v/>
      </c>
      <c r="AH4483" s="53">
        <f>IF(P4483="","",IF(AND(AD4483&lt;&gt;"",COUNTIFS(tcTipo,AD4483,tcLiq,"Sí")&gt;0),IF(OR(P4483="Gasto",P4483="Transferencia",P4483="Pago tarjeta"),-1,1)*S4483,0)+IF(AND(AE4483&lt;&gt;"",COUNTIFS(tcTipo,AE4483,tcLiq,"Sí")&gt;0),S4483,0))</f>
        <v/>
      </c>
      <c r="AI4483" s="52">
        <f>IF(OR(L4483="",P4483=""),"",IF(COUNTIFS(L$6:L4483,L4483,P$6:P4483,"?*")=1,MAX(AI$5:AI4482)+1,""))</f>
        <v/>
      </c>
    </row>
    <row r="4484">
      <c r="B4484" s="47" t="n"/>
      <c r="C4484" s="48" t="n"/>
      <c r="D4484" s="48" t="n"/>
      <c r="E4484" s="48" t="n"/>
      <c r="F4484" s="48" t="n"/>
      <c r="G4484" s="49" t="n"/>
      <c r="H4484" s="48" t="n"/>
      <c r="I4484" s="50" t="n"/>
      <c r="J4484" s="48" t="n"/>
      <c r="K4484" s="48" t="n"/>
      <c r="L4484" s="48" t="n"/>
      <c r="M4484" s="48" t="n"/>
      <c r="N4484" s="48" t="n"/>
      <c r="O4484" s="51">
        <f>IF(AND(B4484="",G4484="",C4484="",D4484="",J4484=""),"",IF(B4484="","⚠ Falta fecha",IF(G4484="","⚠ Falta monto",IF(Q4484="","⚠ Falta cuenta",IF(ISNA(MATCH(Q4484,ctaNombre,0)),"⚠ Cuenta no registrada",IF(AND(OR(P4484="Gasto",P4484="Reembolso"),D4484=""),"⚠ Falta categoría",IF(AND(D4484&lt;&gt;"",E4484&lt;&gt;"",ISNA(MATCH(D4484&amp;"|"&amp;E4484,catClave,0))),"⚠ Subcategoría no corresponde",IF(AND(OR(P4484="Transferencia",P4484="Pago tarjeta"),K4484=""),"⚠ Falta cuenta destino",IF(AND(K4484&lt;&gt;"",P4484&lt;&gt;"Transferencia",P4484&lt;&gt;"Pago tarjeta"),"⚠ Destino solo aplica a transferencias",IF(AND(K4484&lt;&gt;"",K4484=Q4484),"⚠ Origen igual a destino",IF(AND(K4484&lt;&gt;"",ISNA(MATCH(K4484,ctaNombre,0))),"⚠ Destino no registrado",IF(AND(P4484="Pago tarjeta",AE4484&lt;&gt;"Tarjeta de crédito"),"⚠ El destino debe ser tarjeta de crédito",IF(AND(P4484="Gasto",E4484="Depósitos y retiros"),"⚠ Usa tipo Transferencia",IF(AND(P4484="Resultado trading",AD4484&lt;&gt;"Cuenta de trading"),"⚠ Usa una cuenta de trading",IF(AND(G4484&lt;=0,P4484&lt;&gt;"Ajuste",P4484&lt;&gt;"Resultado trading"),"⚠ El monto debe ser positivo","✓")))))))))))))))</f>
        <v/>
      </c>
      <c r="P4484" s="52">
        <f>IF(OR(B4484="",G4484=""),"",IF(C4484="","Gasto",C4484))</f>
        <v/>
      </c>
      <c r="Q4484" s="52">
        <f>IF(P4484="","",IF(J4484&lt;&gt;"",J4484,CuentaPred&amp;""))</f>
        <v/>
      </c>
      <c r="R4484" s="52">
        <f>IF(P4484="","",IF(ISNUMBER(I4484),I4484,TasaUSD))</f>
        <v/>
      </c>
      <c r="S4484" s="53">
        <f>IF(P4484="","",IF(H4484="USD",G4484*R4484,G4484))</f>
        <v/>
      </c>
      <c r="T4484" s="53">
        <f>IF(P4484="","",IF(H4484="USD",G4484,IF(R4484&gt;0,G4484/R4484,0)))</f>
        <v/>
      </c>
      <c r="U4484" s="53">
        <f>IF(P4484="","",IF(P4484="Gasto",S4484,IF(P4484="Reembolso",-S4484,0)))</f>
        <v/>
      </c>
      <c r="V4484" s="53">
        <f>IF(P4484="","",IF(P4484="Ingreso",S4484,0))</f>
        <v/>
      </c>
      <c r="W4484" s="53">
        <f>IF(P4484="","",IF(P4484="Resultado trading",S4484,0))</f>
        <v/>
      </c>
      <c r="X4484" s="52">
        <f>IF(OR(P4484="Gasto",P4484="Reembolso"),IF(M4484&lt;&gt;"",M4484,IFERROR(INDEX(catClasif,MATCH(D4484&amp;"|"&amp;E4484,catClave,0))&amp;"","Variable")),"")</f>
        <v/>
      </c>
      <c r="Y4484" s="52">
        <f>IF(P4484="","",IFERROR(INDEX(catGrupo,MATCH(D4484&amp;"|"&amp;E4484,catClave,0))&amp;"",""))</f>
        <v/>
      </c>
      <c r="Z4484" s="52">
        <f>IF(P4484="","",WEEKDAY(B4484,2))</f>
        <v/>
      </c>
      <c r="AA4484" s="52">
        <f>IF(P4484="","",IF(AND(P4484="Gasto",X4484="Variable",D4484&lt;&gt;catTrading,S4484&gt;0,S4484&lt;=Umbral),1,0))</f>
        <v/>
      </c>
      <c r="AB4484" s="52">
        <f>IF(OR(P4484="",Q4484=""),"",IFERROR(IF(INDEX(ctaVinc,MATCH(Q4484,ctaNombre,0))&amp;""&lt;&gt;"",INDEX(ctaVinc,MATCH(Q4484,ctaNombre,0))&amp;"",Q4484),Q4484))</f>
        <v/>
      </c>
      <c r="AC4484" s="52">
        <f>IF(OR(K4484="",AND(P4484&lt;&gt;"Transferencia",P4484&lt;&gt;"Pago tarjeta")),"",IFERROR(IF(INDEX(ctaVinc,MATCH(K4484,ctaNombre,0))&amp;""&lt;&gt;"",INDEX(ctaVinc,MATCH(K4484,ctaNombre,0))&amp;"",K4484),K4484))</f>
        <v/>
      </c>
      <c r="AD4484" s="52">
        <f>IF(AB4484="","",IFERROR(INDEX(ctaTipo,MATCH(AB4484,ctaNombre,0))&amp;"",""))</f>
        <v/>
      </c>
      <c r="AE4484" s="52">
        <f>IF(AC4484="","",IFERROR(INDEX(ctaTipo,MATCH(AC4484,ctaNombre,0))&amp;"",""))</f>
        <v/>
      </c>
      <c r="AF4484" s="53">
        <f>IF(OR(P4484="",AB4484=""),"",IF(OR(P4484="Gasto",P4484="Transferencia",P4484="Pago tarjeta"),-1,1)*IF(IFERROR(INDEX(ctaMoneda,MATCH(AB4484,ctaNombre,0))&amp;"","DOP")="USD",T4484,S4484))</f>
        <v/>
      </c>
      <c r="AG4484" s="53">
        <f>IF(AC4484="","",IF(IFERROR(INDEX(ctaMoneda,MATCH(AC4484,ctaNombre,0))&amp;"","DOP")="USD",T4484,S4484))</f>
        <v/>
      </c>
      <c r="AH4484" s="53">
        <f>IF(P4484="","",IF(AND(AD4484&lt;&gt;"",COUNTIFS(tcTipo,AD4484,tcLiq,"Sí")&gt;0),IF(OR(P4484="Gasto",P4484="Transferencia",P4484="Pago tarjeta"),-1,1)*S4484,0)+IF(AND(AE4484&lt;&gt;"",COUNTIFS(tcTipo,AE4484,tcLiq,"Sí")&gt;0),S4484,0))</f>
        <v/>
      </c>
      <c r="AI4484" s="52">
        <f>IF(OR(L4484="",P4484=""),"",IF(COUNTIFS(L$6:L4484,L4484,P$6:P4484,"?*")=1,MAX(AI$5:AI4483)+1,""))</f>
        <v/>
      </c>
    </row>
    <row r="4485">
      <c r="B4485" s="47" t="n"/>
      <c r="C4485" s="48" t="n"/>
      <c r="D4485" s="48" t="n"/>
      <c r="E4485" s="48" t="n"/>
      <c r="F4485" s="48" t="n"/>
      <c r="G4485" s="49" t="n"/>
      <c r="H4485" s="48" t="n"/>
      <c r="I4485" s="50" t="n"/>
      <c r="J4485" s="48" t="n"/>
      <c r="K4485" s="48" t="n"/>
      <c r="L4485" s="48" t="n"/>
      <c r="M4485" s="48" t="n"/>
      <c r="N4485" s="48" t="n"/>
      <c r="O4485" s="51">
        <f>IF(AND(B4485="",G4485="",C4485="",D4485="",J4485=""),"",IF(B4485="","⚠ Falta fecha",IF(G4485="","⚠ Falta monto",IF(Q4485="","⚠ Falta cuenta",IF(ISNA(MATCH(Q4485,ctaNombre,0)),"⚠ Cuenta no registrada",IF(AND(OR(P4485="Gasto",P4485="Reembolso"),D4485=""),"⚠ Falta categoría",IF(AND(D4485&lt;&gt;"",E4485&lt;&gt;"",ISNA(MATCH(D4485&amp;"|"&amp;E4485,catClave,0))),"⚠ Subcategoría no corresponde",IF(AND(OR(P4485="Transferencia",P4485="Pago tarjeta"),K4485=""),"⚠ Falta cuenta destino",IF(AND(K4485&lt;&gt;"",P4485&lt;&gt;"Transferencia",P4485&lt;&gt;"Pago tarjeta"),"⚠ Destino solo aplica a transferencias",IF(AND(K4485&lt;&gt;"",K4485=Q4485),"⚠ Origen igual a destino",IF(AND(K4485&lt;&gt;"",ISNA(MATCH(K4485,ctaNombre,0))),"⚠ Destino no registrado",IF(AND(P4485="Pago tarjeta",AE4485&lt;&gt;"Tarjeta de crédito"),"⚠ El destino debe ser tarjeta de crédito",IF(AND(P4485="Gasto",E4485="Depósitos y retiros"),"⚠ Usa tipo Transferencia",IF(AND(P4485="Resultado trading",AD4485&lt;&gt;"Cuenta de trading"),"⚠ Usa una cuenta de trading",IF(AND(G4485&lt;=0,P4485&lt;&gt;"Ajuste",P4485&lt;&gt;"Resultado trading"),"⚠ El monto debe ser positivo","✓")))))))))))))))</f>
        <v/>
      </c>
      <c r="P4485" s="52">
        <f>IF(OR(B4485="",G4485=""),"",IF(C4485="","Gasto",C4485))</f>
        <v/>
      </c>
      <c r="Q4485" s="52">
        <f>IF(P4485="","",IF(J4485&lt;&gt;"",J4485,CuentaPred&amp;""))</f>
        <v/>
      </c>
      <c r="R4485" s="52">
        <f>IF(P4485="","",IF(ISNUMBER(I4485),I4485,TasaUSD))</f>
        <v/>
      </c>
      <c r="S4485" s="53">
        <f>IF(P4485="","",IF(H4485="USD",G4485*R4485,G4485))</f>
        <v/>
      </c>
      <c r="T4485" s="53">
        <f>IF(P4485="","",IF(H4485="USD",G4485,IF(R4485&gt;0,G4485/R4485,0)))</f>
        <v/>
      </c>
      <c r="U4485" s="53">
        <f>IF(P4485="","",IF(P4485="Gasto",S4485,IF(P4485="Reembolso",-S4485,0)))</f>
        <v/>
      </c>
      <c r="V4485" s="53">
        <f>IF(P4485="","",IF(P4485="Ingreso",S4485,0))</f>
        <v/>
      </c>
      <c r="W4485" s="53">
        <f>IF(P4485="","",IF(P4485="Resultado trading",S4485,0))</f>
        <v/>
      </c>
      <c r="X4485" s="52">
        <f>IF(OR(P4485="Gasto",P4485="Reembolso"),IF(M4485&lt;&gt;"",M4485,IFERROR(INDEX(catClasif,MATCH(D4485&amp;"|"&amp;E4485,catClave,0))&amp;"","Variable")),"")</f>
        <v/>
      </c>
      <c r="Y4485" s="52">
        <f>IF(P4485="","",IFERROR(INDEX(catGrupo,MATCH(D4485&amp;"|"&amp;E4485,catClave,0))&amp;"",""))</f>
        <v/>
      </c>
      <c r="Z4485" s="52">
        <f>IF(P4485="","",WEEKDAY(B4485,2))</f>
        <v/>
      </c>
      <c r="AA4485" s="52">
        <f>IF(P4485="","",IF(AND(P4485="Gasto",X4485="Variable",D4485&lt;&gt;catTrading,S4485&gt;0,S4485&lt;=Umbral),1,0))</f>
        <v/>
      </c>
      <c r="AB4485" s="52">
        <f>IF(OR(P4485="",Q4485=""),"",IFERROR(IF(INDEX(ctaVinc,MATCH(Q4485,ctaNombre,0))&amp;""&lt;&gt;"",INDEX(ctaVinc,MATCH(Q4485,ctaNombre,0))&amp;"",Q4485),Q4485))</f>
        <v/>
      </c>
      <c r="AC4485" s="52">
        <f>IF(OR(K4485="",AND(P4485&lt;&gt;"Transferencia",P4485&lt;&gt;"Pago tarjeta")),"",IFERROR(IF(INDEX(ctaVinc,MATCH(K4485,ctaNombre,0))&amp;""&lt;&gt;"",INDEX(ctaVinc,MATCH(K4485,ctaNombre,0))&amp;"",K4485),K4485))</f>
        <v/>
      </c>
      <c r="AD4485" s="52">
        <f>IF(AB4485="","",IFERROR(INDEX(ctaTipo,MATCH(AB4485,ctaNombre,0))&amp;"",""))</f>
        <v/>
      </c>
      <c r="AE4485" s="52">
        <f>IF(AC4485="","",IFERROR(INDEX(ctaTipo,MATCH(AC4485,ctaNombre,0))&amp;"",""))</f>
        <v/>
      </c>
      <c r="AF4485" s="53">
        <f>IF(OR(P4485="",AB4485=""),"",IF(OR(P4485="Gasto",P4485="Transferencia",P4485="Pago tarjeta"),-1,1)*IF(IFERROR(INDEX(ctaMoneda,MATCH(AB4485,ctaNombre,0))&amp;"","DOP")="USD",T4485,S4485))</f>
        <v/>
      </c>
      <c r="AG4485" s="53">
        <f>IF(AC4485="","",IF(IFERROR(INDEX(ctaMoneda,MATCH(AC4485,ctaNombre,0))&amp;"","DOP")="USD",T4485,S4485))</f>
        <v/>
      </c>
      <c r="AH4485" s="53">
        <f>IF(P4485="","",IF(AND(AD4485&lt;&gt;"",COUNTIFS(tcTipo,AD4485,tcLiq,"Sí")&gt;0),IF(OR(P4485="Gasto",P4485="Transferencia",P4485="Pago tarjeta"),-1,1)*S4485,0)+IF(AND(AE4485&lt;&gt;"",COUNTIFS(tcTipo,AE4485,tcLiq,"Sí")&gt;0),S4485,0))</f>
        <v/>
      </c>
      <c r="AI4485" s="52">
        <f>IF(OR(L4485="",P4485=""),"",IF(COUNTIFS(L$6:L4485,L4485,P$6:P4485,"?*")=1,MAX(AI$5:AI4484)+1,""))</f>
        <v/>
      </c>
    </row>
    <row r="4486">
      <c r="B4486" s="47" t="n"/>
      <c r="C4486" s="48" t="n"/>
      <c r="D4486" s="48" t="n"/>
      <c r="E4486" s="48" t="n"/>
      <c r="F4486" s="48" t="n"/>
      <c r="G4486" s="49" t="n"/>
      <c r="H4486" s="48" t="n"/>
      <c r="I4486" s="50" t="n"/>
      <c r="J4486" s="48" t="n"/>
      <c r="K4486" s="48" t="n"/>
      <c r="L4486" s="48" t="n"/>
      <c r="M4486" s="48" t="n"/>
      <c r="N4486" s="48" t="n"/>
      <c r="O4486" s="51">
        <f>IF(AND(B4486="",G4486="",C4486="",D4486="",J4486=""),"",IF(B4486="","⚠ Falta fecha",IF(G4486="","⚠ Falta monto",IF(Q4486="","⚠ Falta cuenta",IF(ISNA(MATCH(Q4486,ctaNombre,0)),"⚠ Cuenta no registrada",IF(AND(OR(P4486="Gasto",P4486="Reembolso"),D4486=""),"⚠ Falta categoría",IF(AND(D4486&lt;&gt;"",E4486&lt;&gt;"",ISNA(MATCH(D4486&amp;"|"&amp;E4486,catClave,0))),"⚠ Subcategoría no corresponde",IF(AND(OR(P4486="Transferencia",P4486="Pago tarjeta"),K4486=""),"⚠ Falta cuenta destino",IF(AND(K4486&lt;&gt;"",P4486&lt;&gt;"Transferencia",P4486&lt;&gt;"Pago tarjeta"),"⚠ Destino solo aplica a transferencias",IF(AND(K4486&lt;&gt;"",K4486=Q4486),"⚠ Origen igual a destino",IF(AND(K4486&lt;&gt;"",ISNA(MATCH(K4486,ctaNombre,0))),"⚠ Destino no registrado",IF(AND(P4486="Pago tarjeta",AE4486&lt;&gt;"Tarjeta de crédito"),"⚠ El destino debe ser tarjeta de crédito",IF(AND(P4486="Gasto",E4486="Depósitos y retiros"),"⚠ Usa tipo Transferencia",IF(AND(P4486="Resultado trading",AD4486&lt;&gt;"Cuenta de trading"),"⚠ Usa una cuenta de trading",IF(AND(G4486&lt;=0,P4486&lt;&gt;"Ajuste",P4486&lt;&gt;"Resultado trading"),"⚠ El monto debe ser positivo","✓")))))))))))))))</f>
        <v/>
      </c>
      <c r="P4486" s="52">
        <f>IF(OR(B4486="",G4486=""),"",IF(C4486="","Gasto",C4486))</f>
        <v/>
      </c>
      <c r="Q4486" s="52">
        <f>IF(P4486="","",IF(J4486&lt;&gt;"",J4486,CuentaPred&amp;""))</f>
        <v/>
      </c>
      <c r="R4486" s="52">
        <f>IF(P4486="","",IF(ISNUMBER(I4486),I4486,TasaUSD))</f>
        <v/>
      </c>
      <c r="S4486" s="53">
        <f>IF(P4486="","",IF(H4486="USD",G4486*R4486,G4486))</f>
        <v/>
      </c>
      <c r="T4486" s="53">
        <f>IF(P4486="","",IF(H4486="USD",G4486,IF(R4486&gt;0,G4486/R4486,0)))</f>
        <v/>
      </c>
      <c r="U4486" s="53">
        <f>IF(P4486="","",IF(P4486="Gasto",S4486,IF(P4486="Reembolso",-S4486,0)))</f>
        <v/>
      </c>
      <c r="V4486" s="53">
        <f>IF(P4486="","",IF(P4486="Ingreso",S4486,0))</f>
        <v/>
      </c>
      <c r="W4486" s="53">
        <f>IF(P4486="","",IF(P4486="Resultado trading",S4486,0))</f>
        <v/>
      </c>
      <c r="X4486" s="52">
        <f>IF(OR(P4486="Gasto",P4486="Reembolso"),IF(M4486&lt;&gt;"",M4486,IFERROR(INDEX(catClasif,MATCH(D4486&amp;"|"&amp;E4486,catClave,0))&amp;"","Variable")),"")</f>
        <v/>
      </c>
      <c r="Y4486" s="52">
        <f>IF(P4486="","",IFERROR(INDEX(catGrupo,MATCH(D4486&amp;"|"&amp;E4486,catClave,0))&amp;"",""))</f>
        <v/>
      </c>
      <c r="Z4486" s="52">
        <f>IF(P4486="","",WEEKDAY(B4486,2))</f>
        <v/>
      </c>
      <c r="AA4486" s="52">
        <f>IF(P4486="","",IF(AND(P4486="Gasto",X4486="Variable",D4486&lt;&gt;catTrading,S4486&gt;0,S4486&lt;=Umbral),1,0))</f>
        <v/>
      </c>
      <c r="AB4486" s="52">
        <f>IF(OR(P4486="",Q4486=""),"",IFERROR(IF(INDEX(ctaVinc,MATCH(Q4486,ctaNombre,0))&amp;""&lt;&gt;"",INDEX(ctaVinc,MATCH(Q4486,ctaNombre,0))&amp;"",Q4486),Q4486))</f>
        <v/>
      </c>
      <c r="AC4486" s="52">
        <f>IF(OR(K4486="",AND(P4486&lt;&gt;"Transferencia",P4486&lt;&gt;"Pago tarjeta")),"",IFERROR(IF(INDEX(ctaVinc,MATCH(K4486,ctaNombre,0))&amp;""&lt;&gt;"",INDEX(ctaVinc,MATCH(K4486,ctaNombre,0))&amp;"",K4486),K4486))</f>
        <v/>
      </c>
      <c r="AD4486" s="52">
        <f>IF(AB4486="","",IFERROR(INDEX(ctaTipo,MATCH(AB4486,ctaNombre,0))&amp;"",""))</f>
        <v/>
      </c>
      <c r="AE4486" s="52">
        <f>IF(AC4486="","",IFERROR(INDEX(ctaTipo,MATCH(AC4486,ctaNombre,0))&amp;"",""))</f>
        <v/>
      </c>
      <c r="AF4486" s="53">
        <f>IF(OR(P4486="",AB4486=""),"",IF(OR(P4486="Gasto",P4486="Transferencia",P4486="Pago tarjeta"),-1,1)*IF(IFERROR(INDEX(ctaMoneda,MATCH(AB4486,ctaNombre,0))&amp;"","DOP")="USD",T4486,S4486))</f>
        <v/>
      </c>
      <c r="AG4486" s="53">
        <f>IF(AC4486="","",IF(IFERROR(INDEX(ctaMoneda,MATCH(AC4486,ctaNombre,0))&amp;"","DOP")="USD",T4486,S4486))</f>
        <v/>
      </c>
      <c r="AH4486" s="53">
        <f>IF(P4486="","",IF(AND(AD4486&lt;&gt;"",COUNTIFS(tcTipo,AD4486,tcLiq,"Sí")&gt;0),IF(OR(P4486="Gasto",P4486="Transferencia",P4486="Pago tarjeta"),-1,1)*S4486,0)+IF(AND(AE4486&lt;&gt;"",COUNTIFS(tcTipo,AE4486,tcLiq,"Sí")&gt;0),S4486,0))</f>
        <v/>
      </c>
      <c r="AI4486" s="52">
        <f>IF(OR(L4486="",P4486=""),"",IF(COUNTIFS(L$6:L4486,L4486,P$6:P4486,"?*")=1,MAX(AI$5:AI4485)+1,""))</f>
        <v/>
      </c>
    </row>
    <row r="4487">
      <c r="B4487" s="47" t="n"/>
      <c r="C4487" s="48" t="n"/>
      <c r="D4487" s="48" t="n"/>
      <c r="E4487" s="48" t="n"/>
      <c r="F4487" s="48" t="n"/>
      <c r="G4487" s="49" t="n"/>
      <c r="H4487" s="48" t="n"/>
      <c r="I4487" s="50" t="n"/>
      <c r="J4487" s="48" t="n"/>
      <c r="K4487" s="48" t="n"/>
      <c r="L4487" s="48" t="n"/>
      <c r="M4487" s="48" t="n"/>
      <c r="N4487" s="48" t="n"/>
      <c r="O4487" s="51">
        <f>IF(AND(B4487="",G4487="",C4487="",D4487="",J4487=""),"",IF(B4487="","⚠ Falta fecha",IF(G4487="","⚠ Falta monto",IF(Q4487="","⚠ Falta cuenta",IF(ISNA(MATCH(Q4487,ctaNombre,0)),"⚠ Cuenta no registrada",IF(AND(OR(P4487="Gasto",P4487="Reembolso"),D4487=""),"⚠ Falta categoría",IF(AND(D4487&lt;&gt;"",E4487&lt;&gt;"",ISNA(MATCH(D4487&amp;"|"&amp;E4487,catClave,0))),"⚠ Subcategoría no corresponde",IF(AND(OR(P4487="Transferencia",P4487="Pago tarjeta"),K4487=""),"⚠ Falta cuenta destino",IF(AND(K4487&lt;&gt;"",P4487&lt;&gt;"Transferencia",P4487&lt;&gt;"Pago tarjeta"),"⚠ Destino solo aplica a transferencias",IF(AND(K4487&lt;&gt;"",K4487=Q4487),"⚠ Origen igual a destino",IF(AND(K4487&lt;&gt;"",ISNA(MATCH(K4487,ctaNombre,0))),"⚠ Destino no registrado",IF(AND(P4487="Pago tarjeta",AE4487&lt;&gt;"Tarjeta de crédito"),"⚠ El destino debe ser tarjeta de crédito",IF(AND(P4487="Gasto",E4487="Depósitos y retiros"),"⚠ Usa tipo Transferencia",IF(AND(P4487="Resultado trading",AD4487&lt;&gt;"Cuenta de trading"),"⚠ Usa una cuenta de trading",IF(AND(G4487&lt;=0,P4487&lt;&gt;"Ajuste",P4487&lt;&gt;"Resultado trading"),"⚠ El monto debe ser positivo","✓")))))))))))))))</f>
        <v/>
      </c>
      <c r="P4487" s="52">
        <f>IF(OR(B4487="",G4487=""),"",IF(C4487="","Gasto",C4487))</f>
        <v/>
      </c>
      <c r="Q4487" s="52">
        <f>IF(P4487="","",IF(J4487&lt;&gt;"",J4487,CuentaPred&amp;""))</f>
        <v/>
      </c>
      <c r="R4487" s="52">
        <f>IF(P4487="","",IF(ISNUMBER(I4487),I4487,TasaUSD))</f>
        <v/>
      </c>
      <c r="S4487" s="53">
        <f>IF(P4487="","",IF(H4487="USD",G4487*R4487,G4487))</f>
        <v/>
      </c>
      <c r="T4487" s="53">
        <f>IF(P4487="","",IF(H4487="USD",G4487,IF(R4487&gt;0,G4487/R4487,0)))</f>
        <v/>
      </c>
      <c r="U4487" s="53">
        <f>IF(P4487="","",IF(P4487="Gasto",S4487,IF(P4487="Reembolso",-S4487,0)))</f>
        <v/>
      </c>
      <c r="V4487" s="53">
        <f>IF(P4487="","",IF(P4487="Ingreso",S4487,0))</f>
        <v/>
      </c>
      <c r="W4487" s="53">
        <f>IF(P4487="","",IF(P4487="Resultado trading",S4487,0))</f>
        <v/>
      </c>
      <c r="X4487" s="52">
        <f>IF(OR(P4487="Gasto",P4487="Reembolso"),IF(M4487&lt;&gt;"",M4487,IFERROR(INDEX(catClasif,MATCH(D4487&amp;"|"&amp;E4487,catClave,0))&amp;"","Variable")),"")</f>
        <v/>
      </c>
      <c r="Y4487" s="52">
        <f>IF(P4487="","",IFERROR(INDEX(catGrupo,MATCH(D4487&amp;"|"&amp;E4487,catClave,0))&amp;"",""))</f>
        <v/>
      </c>
      <c r="Z4487" s="52">
        <f>IF(P4487="","",WEEKDAY(B4487,2))</f>
        <v/>
      </c>
      <c r="AA4487" s="52">
        <f>IF(P4487="","",IF(AND(P4487="Gasto",X4487="Variable",D4487&lt;&gt;catTrading,S4487&gt;0,S4487&lt;=Umbral),1,0))</f>
        <v/>
      </c>
      <c r="AB4487" s="52">
        <f>IF(OR(P4487="",Q4487=""),"",IFERROR(IF(INDEX(ctaVinc,MATCH(Q4487,ctaNombre,0))&amp;""&lt;&gt;"",INDEX(ctaVinc,MATCH(Q4487,ctaNombre,0))&amp;"",Q4487),Q4487))</f>
        <v/>
      </c>
      <c r="AC4487" s="52">
        <f>IF(OR(K4487="",AND(P4487&lt;&gt;"Transferencia",P4487&lt;&gt;"Pago tarjeta")),"",IFERROR(IF(INDEX(ctaVinc,MATCH(K4487,ctaNombre,0))&amp;""&lt;&gt;"",INDEX(ctaVinc,MATCH(K4487,ctaNombre,0))&amp;"",K4487),K4487))</f>
        <v/>
      </c>
      <c r="AD4487" s="52">
        <f>IF(AB4487="","",IFERROR(INDEX(ctaTipo,MATCH(AB4487,ctaNombre,0))&amp;"",""))</f>
        <v/>
      </c>
      <c r="AE4487" s="52">
        <f>IF(AC4487="","",IFERROR(INDEX(ctaTipo,MATCH(AC4487,ctaNombre,0))&amp;"",""))</f>
        <v/>
      </c>
      <c r="AF4487" s="53">
        <f>IF(OR(P4487="",AB4487=""),"",IF(OR(P4487="Gasto",P4487="Transferencia",P4487="Pago tarjeta"),-1,1)*IF(IFERROR(INDEX(ctaMoneda,MATCH(AB4487,ctaNombre,0))&amp;"","DOP")="USD",T4487,S4487))</f>
        <v/>
      </c>
      <c r="AG4487" s="53">
        <f>IF(AC4487="","",IF(IFERROR(INDEX(ctaMoneda,MATCH(AC4487,ctaNombre,0))&amp;"","DOP")="USD",T4487,S4487))</f>
        <v/>
      </c>
      <c r="AH4487" s="53">
        <f>IF(P4487="","",IF(AND(AD4487&lt;&gt;"",COUNTIFS(tcTipo,AD4487,tcLiq,"Sí")&gt;0),IF(OR(P4487="Gasto",P4487="Transferencia",P4487="Pago tarjeta"),-1,1)*S4487,0)+IF(AND(AE4487&lt;&gt;"",COUNTIFS(tcTipo,AE4487,tcLiq,"Sí")&gt;0),S4487,0))</f>
        <v/>
      </c>
      <c r="AI4487" s="52">
        <f>IF(OR(L4487="",P4487=""),"",IF(COUNTIFS(L$6:L4487,L4487,P$6:P4487,"?*")=1,MAX(AI$5:AI4486)+1,""))</f>
        <v/>
      </c>
    </row>
    <row r="4488">
      <c r="B4488" s="47" t="n"/>
      <c r="C4488" s="48" t="n"/>
      <c r="D4488" s="48" t="n"/>
      <c r="E4488" s="48" t="n"/>
      <c r="F4488" s="48" t="n"/>
      <c r="G4488" s="49" t="n"/>
      <c r="H4488" s="48" t="n"/>
      <c r="I4488" s="50" t="n"/>
      <c r="J4488" s="48" t="n"/>
      <c r="K4488" s="48" t="n"/>
      <c r="L4488" s="48" t="n"/>
      <c r="M4488" s="48" t="n"/>
      <c r="N4488" s="48" t="n"/>
      <c r="O4488" s="51">
        <f>IF(AND(B4488="",G4488="",C4488="",D4488="",J4488=""),"",IF(B4488="","⚠ Falta fecha",IF(G4488="","⚠ Falta monto",IF(Q4488="","⚠ Falta cuenta",IF(ISNA(MATCH(Q4488,ctaNombre,0)),"⚠ Cuenta no registrada",IF(AND(OR(P4488="Gasto",P4488="Reembolso"),D4488=""),"⚠ Falta categoría",IF(AND(D4488&lt;&gt;"",E4488&lt;&gt;"",ISNA(MATCH(D4488&amp;"|"&amp;E4488,catClave,0))),"⚠ Subcategoría no corresponde",IF(AND(OR(P4488="Transferencia",P4488="Pago tarjeta"),K4488=""),"⚠ Falta cuenta destino",IF(AND(K4488&lt;&gt;"",P4488&lt;&gt;"Transferencia",P4488&lt;&gt;"Pago tarjeta"),"⚠ Destino solo aplica a transferencias",IF(AND(K4488&lt;&gt;"",K4488=Q4488),"⚠ Origen igual a destino",IF(AND(K4488&lt;&gt;"",ISNA(MATCH(K4488,ctaNombre,0))),"⚠ Destino no registrado",IF(AND(P4488="Pago tarjeta",AE4488&lt;&gt;"Tarjeta de crédito"),"⚠ El destino debe ser tarjeta de crédito",IF(AND(P4488="Gasto",E4488="Depósitos y retiros"),"⚠ Usa tipo Transferencia",IF(AND(P4488="Resultado trading",AD4488&lt;&gt;"Cuenta de trading"),"⚠ Usa una cuenta de trading",IF(AND(G4488&lt;=0,P4488&lt;&gt;"Ajuste",P4488&lt;&gt;"Resultado trading"),"⚠ El monto debe ser positivo","✓")))))))))))))))</f>
        <v/>
      </c>
      <c r="P4488" s="52">
        <f>IF(OR(B4488="",G4488=""),"",IF(C4488="","Gasto",C4488))</f>
        <v/>
      </c>
      <c r="Q4488" s="52">
        <f>IF(P4488="","",IF(J4488&lt;&gt;"",J4488,CuentaPred&amp;""))</f>
        <v/>
      </c>
      <c r="R4488" s="52">
        <f>IF(P4488="","",IF(ISNUMBER(I4488),I4488,TasaUSD))</f>
        <v/>
      </c>
      <c r="S4488" s="53">
        <f>IF(P4488="","",IF(H4488="USD",G4488*R4488,G4488))</f>
        <v/>
      </c>
      <c r="T4488" s="53">
        <f>IF(P4488="","",IF(H4488="USD",G4488,IF(R4488&gt;0,G4488/R4488,0)))</f>
        <v/>
      </c>
      <c r="U4488" s="53">
        <f>IF(P4488="","",IF(P4488="Gasto",S4488,IF(P4488="Reembolso",-S4488,0)))</f>
        <v/>
      </c>
      <c r="V4488" s="53">
        <f>IF(P4488="","",IF(P4488="Ingreso",S4488,0))</f>
        <v/>
      </c>
      <c r="W4488" s="53">
        <f>IF(P4488="","",IF(P4488="Resultado trading",S4488,0))</f>
        <v/>
      </c>
      <c r="X4488" s="52">
        <f>IF(OR(P4488="Gasto",P4488="Reembolso"),IF(M4488&lt;&gt;"",M4488,IFERROR(INDEX(catClasif,MATCH(D4488&amp;"|"&amp;E4488,catClave,0))&amp;"","Variable")),"")</f>
        <v/>
      </c>
      <c r="Y4488" s="52">
        <f>IF(P4488="","",IFERROR(INDEX(catGrupo,MATCH(D4488&amp;"|"&amp;E4488,catClave,0))&amp;"",""))</f>
        <v/>
      </c>
      <c r="Z4488" s="52">
        <f>IF(P4488="","",WEEKDAY(B4488,2))</f>
        <v/>
      </c>
      <c r="AA4488" s="52">
        <f>IF(P4488="","",IF(AND(P4488="Gasto",X4488="Variable",D4488&lt;&gt;catTrading,S4488&gt;0,S4488&lt;=Umbral),1,0))</f>
        <v/>
      </c>
      <c r="AB4488" s="52">
        <f>IF(OR(P4488="",Q4488=""),"",IFERROR(IF(INDEX(ctaVinc,MATCH(Q4488,ctaNombre,0))&amp;""&lt;&gt;"",INDEX(ctaVinc,MATCH(Q4488,ctaNombre,0))&amp;"",Q4488),Q4488))</f>
        <v/>
      </c>
      <c r="AC4488" s="52">
        <f>IF(OR(K4488="",AND(P4488&lt;&gt;"Transferencia",P4488&lt;&gt;"Pago tarjeta")),"",IFERROR(IF(INDEX(ctaVinc,MATCH(K4488,ctaNombre,0))&amp;""&lt;&gt;"",INDEX(ctaVinc,MATCH(K4488,ctaNombre,0))&amp;"",K4488),K4488))</f>
        <v/>
      </c>
      <c r="AD4488" s="52">
        <f>IF(AB4488="","",IFERROR(INDEX(ctaTipo,MATCH(AB4488,ctaNombre,0))&amp;"",""))</f>
        <v/>
      </c>
      <c r="AE4488" s="52">
        <f>IF(AC4488="","",IFERROR(INDEX(ctaTipo,MATCH(AC4488,ctaNombre,0))&amp;"",""))</f>
        <v/>
      </c>
      <c r="AF4488" s="53">
        <f>IF(OR(P4488="",AB4488=""),"",IF(OR(P4488="Gasto",P4488="Transferencia",P4488="Pago tarjeta"),-1,1)*IF(IFERROR(INDEX(ctaMoneda,MATCH(AB4488,ctaNombre,0))&amp;"","DOP")="USD",T4488,S4488))</f>
        <v/>
      </c>
      <c r="AG4488" s="53">
        <f>IF(AC4488="","",IF(IFERROR(INDEX(ctaMoneda,MATCH(AC4488,ctaNombre,0))&amp;"","DOP")="USD",T4488,S4488))</f>
        <v/>
      </c>
      <c r="AH4488" s="53">
        <f>IF(P4488="","",IF(AND(AD4488&lt;&gt;"",COUNTIFS(tcTipo,AD4488,tcLiq,"Sí")&gt;0),IF(OR(P4488="Gasto",P4488="Transferencia",P4488="Pago tarjeta"),-1,1)*S4488,0)+IF(AND(AE4488&lt;&gt;"",COUNTIFS(tcTipo,AE4488,tcLiq,"Sí")&gt;0),S4488,0))</f>
        <v/>
      </c>
      <c r="AI4488" s="52">
        <f>IF(OR(L4488="",P4488=""),"",IF(COUNTIFS(L$6:L4488,L4488,P$6:P4488,"?*")=1,MAX(AI$5:AI4487)+1,""))</f>
        <v/>
      </c>
    </row>
    <row r="4489">
      <c r="B4489" s="47" t="n"/>
      <c r="C4489" s="48" t="n"/>
      <c r="D4489" s="48" t="n"/>
      <c r="E4489" s="48" t="n"/>
      <c r="F4489" s="48" t="n"/>
      <c r="G4489" s="49" t="n"/>
      <c r="H4489" s="48" t="n"/>
      <c r="I4489" s="50" t="n"/>
      <c r="J4489" s="48" t="n"/>
      <c r="K4489" s="48" t="n"/>
      <c r="L4489" s="48" t="n"/>
      <c r="M4489" s="48" t="n"/>
      <c r="N4489" s="48" t="n"/>
      <c r="O4489" s="51">
        <f>IF(AND(B4489="",G4489="",C4489="",D4489="",J4489=""),"",IF(B4489="","⚠ Falta fecha",IF(G4489="","⚠ Falta monto",IF(Q4489="","⚠ Falta cuenta",IF(ISNA(MATCH(Q4489,ctaNombre,0)),"⚠ Cuenta no registrada",IF(AND(OR(P4489="Gasto",P4489="Reembolso"),D4489=""),"⚠ Falta categoría",IF(AND(D4489&lt;&gt;"",E4489&lt;&gt;"",ISNA(MATCH(D4489&amp;"|"&amp;E4489,catClave,0))),"⚠ Subcategoría no corresponde",IF(AND(OR(P4489="Transferencia",P4489="Pago tarjeta"),K4489=""),"⚠ Falta cuenta destino",IF(AND(K4489&lt;&gt;"",P4489&lt;&gt;"Transferencia",P4489&lt;&gt;"Pago tarjeta"),"⚠ Destino solo aplica a transferencias",IF(AND(K4489&lt;&gt;"",K4489=Q4489),"⚠ Origen igual a destino",IF(AND(K4489&lt;&gt;"",ISNA(MATCH(K4489,ctaNombre,0))),"⚠ Destino no registrado",IF(AND(P4489="Pago tarjeta",AE4489&lt;&gt;"Tarjeta de crédito"),"⚠ El destino debe ser tarjeta de crédito",IF(AND(P4489="Gasto",E4489="Depósitos y retiros"),"⚠ Usa tipo Transferencia",IF(AND(P4489="Resultado trading",AD4489&lt;&gt;"Cuenta de trading"),"⚠ Usa una cuenta de trading",IF(AND(G4489&lt;=0,P4489&lt;&gt;"Ajuste",P4489&lt;&gt;"Resultado trading"),"⚠ El monto debe ser positivo","✓")))))))))))))))</f>
        <v/>
      </c>
      <c r="P4489" s="52">
        <f>IF(OR(B4489="",G4489=""),"",IF(C4489="","Gasto",C4489))</f>
        <v/>
      </c>
      <c r="Q4489" s="52">
        <f>IF(P4489="","",IF(J4489&lt;&gt;"",J4489,CuentaPred&amp;""))</f>
        <v/>
      </c>
      <c r="R4489" s="52">
        <f>IF(P4489="","",IF(ISNUMBER(I4489),I4489,TasaUSD))</f>
        <v/>
      </c>
      <c r="S4489" s="53">
        <f>IF(P4489="","",IF(H4489="USD",G4489*R4489,G4489))</f>
        <v/>
      </c>
      <c r="T4489" s="53">
        <f>IF(P4489="","",IF(H4489="USD",G4489,IF(R4489&gt;0,G4489/R4489,0)))</f>
        <v/>
      </c>
      <c r="U4489" s="53">
        <f>IF(P4489="","",IF(P4489="Gasto",S4489,IF(P4489="Reembolso",-S4489,0)))</f>
        <v/>
      </c>
      <c r="V4489" s="53">
        <f>IF(P4489="","",IF(P4489="Ingreso",S4489,0))</f>
        <v/>
      </c>
      <c r="W4489" s="53">
        <f>IF(P4489="","",IF(P4489="Resultado trading",S4489,0))</f>
        <v/>
      </c>
      <c r="X4489" s="52">
        <f>IF(OR(P4489="Gasto",P4489="Reembolso"),IF(M4489&lt;&gt;"",M4489,IFERROR(INDEX(catClasif,MATCH(D4489&amp;"|"&amp;E4489,catClave,0))&amp;"","Variable")),"")</f>
        <v/>
      </c>
      <c r="Y4489" s="52">
        <f>IF(P4489="","",IFERROR(INDEX(catGrupo,MATCH(D4489&amp;"|"&amp;E4489,catClave,0))&amp;"",""))</f>
        <v/>
      </c>
      <c r="Z4489" s="52">
        <f>IF(P4489="","",WEEKDAY(B4489,2))</f>
        <v/>
      </c>
      <c r="AA4489" s="52">
        <f>IF(P4489="","",IF(AND(P4489="Gasto",X4489="Variable",D4489&lt;&gt;catTrading,S4489&gt;0,S4489&lt;=Umbral),1,0))</f>
        <v/>
      </c>
      <c r="AB4489" s="52">
        <f>IF(OR(P4489="",Q4489=""),"",IFERROR(IF(INDEX(ctaVinc,MATCH(Q4489,ctaNombre,0))&amp;""&lt;&gt;"",INDEX(ctaVinc,MATCH(Q4489,ctaNombre,0))&amp;"",Q4489),Q4489))</f>
        <v/>
      </c>
      <c r="AC4489" s="52">
        <f>IF(OR(K4489="",AND(P4489&lt;&gt;"Transferencia",P4489&lt;&gt;"Pago tarjeta")),"",IFERROR(IF(INDEX(ctaVinc,MATCH(K4489,ctaNombre,0))&amp;""&lt;&gt;"",INDEX(ctaVinc,MATCH(K4489,ctaNombre,0))&amp;"",K4489),K4489))</f>
        <v/>
      </c>
      <c r="AD4489" s="52">
        <f>IF(AB4489="","",IFERROR(INDEX(ctaTipo,MATCH(AB4489,ctaNombre,0))&amp;"",""))</f>
        <v/>
      </c>
      <c r="AE4489" s="52">
        <f>IF(AC4489="","",IFERROR(INDEX(ctaTipo,MATCH(AC4489,ctaNombre,0))&amp;"",""))</f>
        <v/>
      </c>
      <c r="AF4489" s="53">
        <f>IF(OR(P4489="",AB4489=""),"",IF(OR(P4489="Gasto",P4489="Transferencia",P4489="Pago tarjeta"),-1,1)*IF(IFERROR(INDEX(ctaMoneda,MATCH(AB4489,ctaNombre,0))&amp;"","DOP")="USD",T4489,S4489))</f>
        <v/>
      </c>
      <c r="AG4489" s="53">
        <f>IF(AC4489="","",IF(IFERROR(INDEX(ctaMoneda,MATCH(AC4489,ctaNombre,0))&amp;"","DOP")="USD",T4489,S4489))</f>
        <v/>
      </c>
      <c r="AH4489" s="53">
        <f>IF(P4489="","",IF(AND(AD4489&lt;&gt;"",COUNTIFS(tcTipo,AD4489,tcLiq,"Sí")&gt;0),IF(OR(P4489="Gasto",P4489="Transferencia",P4489="Pago tarjeta"),-1,1)*S4489,0)+IF(AND(AE4489&lt;&gt;"",COUNTIFS(tcTipo,AE4489,tcLiq,"Sí")&gt;0),S4489,0))</f>
        <v/>
      </c>
      <c r="AI4489" s="52">
        <f>IF(OR(L4489="",P4489=""),"",IF(COUNTIFS(L$6:L4489,L4489,P$6:P4489,"?*")=1,MAX(AI$5:AI4488)+1,""))</f>
        <v/>
      </c>
    </row>
    <row r="4490">
      <c r="B4490" s="47" t="n"/>
      <c r="C4490" s="48" t="n"/>
      <c r="D4490" s="48" t="n"/>
      <c r="E4490" s="48" t="n"/>
      <c r="F4490" s="48" t="n"/>
      <c r="G4490" s="49" t="n"/>
      <c r="H4490" s="48" t="n"/>
      <c r="I4490" s="50" t="n"/>
      <c r="J4490" s="48" t="n"/>
      <c r="K4490" s="48" t="n"/>
      <c r="L4490" s="48" t="n"/>
      <c r="M4490" s="48" t="n"/>
      <c r="N4490" s="48" t="n"/>
      <c r="O4490" s="51">
        <f>IF(AND(B4490="",G4490="",C4490="",D4490="",J4490=""),"",IF(B4490="","⚠ Falta fecha",IF(G4490="","⚠ Falta monto",IF(Q4490="","⚠ Falta cuenta",IF(ISNA(MATCH(Q4490,ctaNombre,0)),"⚠ Cuenta no registrada",IF(AND(OR(P4490="Gasto",P4490="Reembolso"),D4490=""),"⚠ Falta categoría",IF(AND(D4490&lt;&gt;"",E4490&lt;&gt;"",ISNA(MATCH(D4490&amp;"|"&amp;E4490,catClave,0))),"⚠ Subcategoría no corresponde",IF(AND(OR(P4490="Transferencia",P4490="Pago tarjeta"),K4490=""),"⚠ Falta cuenta destino",IF(AND(K4490&lt;&gt;"",P4490&lt;&gt;"Transferencia",P4490&lt;&gt;"Pago tarjeta"),"⚠ Destino solo aplica a transferencias",IF(AND(K4490&lt;&gt;"",K4490=Q4490),"⚠ Origen igual a destino",IF(AND(K4490&lt;&gt;"",ISNA(MATCH(K4490,ctaNombre,0))),"⚠ Destino no registrado",IF(AND(P4490="Pago tarjeta",AE4490&lt;&gt;"Tarjeta de crédito"),"⚠ El destino debe ser tarjeta de crédito",IF(AND(P4490="Gasto",E4490="Depósitos y retiros"),"⚠ Usa tipo Transferencia",IF(AND(P4490="Resultado trading",AD4490&lt;&gt;"Cuenta de trading"),"⚠ Usa una cuenta de trading",IF(AND(G4490&lt;=0,P4490&lt;&gt;"Ajuste",P4490&lt;&gt;"Resultado trading"),"⚠ El monto debe ser positivo","✓")))))))))))))))</f>
        <v/>
      </c>
      <c r="P4490" s="52">
        <f>IF(OR(B4490="",G4490=""),"",IF(C4490="","Gasto",C4490))</f>
        <v/>
      </c>
      <c r="Q4490" s="52">
        <f>IF(P4490="","",IF(J4490&lt;&gt;"",J4490,CuentaPred&amp;""))</f>
        <v/>
      </c>
      <c r="R4490" s="52">
        <f>IF(P4490="","",IF(ISNUMBER(I4490),I4490,TasaUSD))</f>
        <v/>
      </c>
      <c r="S4490" s="53">
        <f>IF(P4490="","",IF(H4490="USD",G4490*R4490,G4490))</f>
        <v/>
      </c>
      <c r="T4490" s="53">
        <f>IF(P4490="","",IF(H4490="USD",G4490,IF(R4490&gt;0,G4490/R4490,0)))</f>
        <v/>
      </c>
      <c r="U4490" s="53">
        <f>IF(P4490="","",IF(P4490="Gasto",S4490,IF(P4490="Reembolso",-S4490,0)))</f>
        <v/>
      </c>
      <c r="V4490" s="53">
        <f>IF(P4490="","",IF(P4490="Ingreso",S4490,0))</f>
        <v/>
      </c>
      <c r="W4490" s="53">
        <f>IF(P4490="","",IF(P4490="Resultado trading",S4490,0))</f>
        <v/>
      </c>
      <c r="X4490" s="52">
        <f>IF(OR(P4490="Gasto",P4490="Reembolso"),IF(M4490&lt;&gt;"",M4490,IFERROR(INDEX(catClasif,MATCH(D4490&amp;"|"&amp;E4490,catClave,0))&amp;"","Variable")),"")</f>
        <v/>
      </c>
      <c r="Y4490" s="52">
        <f>IF(P4490="","",IFERROR(INDEX(catGrupo,MATCH(D4490&amp;"|"&amp;E4490,catClave,0))&amp;"",""))</f>
        <v/>
      </c>
      <c r="Z4490" s="52">
        <f>IF(P4490="","",WEEKDAY(B4490,2))</f>
        <v/>
      </c>
      <c r="AA4490" s="52">
        <f>IF(P4490="","",IF(AND(P4490="Gasto",X4490="Variable",D4490&lt;&gt;catTrading,S4490&gt;0,S4490&lt;=Umbral),1,0))</f>
        <v/>
      </c>
      <c r="AB4490" s="52">
        <f>IF(OR(P4490="",Q4490=""),"",IFERROR(IF(INDEX(ctaVinc,MATCH(Q4490,ctaNombre,0))&amp;""&lt;&gt;"",INDEX(ctaVinc,MATCH(Q4490,ctaNombre,0))&amp;"",Q4490),Q4490))</f>
        <v/>
      </c>
      <c r="AC4490" s="52">
        <f>IF(OR(K4490="",AND(P4490&lt;&gt;"Transferencia",P4490&lt;&gt;"Pago tarjeta")),"",IFERROR(IF(INDEX(ctaVinc,MATCH(K4490,ctaNombre,0))&amp;""&lt;&gt;"",INDEX(ctaVinc,MATCH(K4490,ctaNombre,0))&amp;"",K4490),K4490))</f>
        <v/>
      </c>
      <c r="AD4490" s="52">
        <f>IF(AB4490="","",IFERROR(INDEX(ctaTipo,MATCH(AB4490,ctaNombre,0))&amp;"",""))</f>
        <v/>
      </c>
      <c r="AE4490" s="52">
        <f>IF(AC4490="","",IFERROR(INDEX(ctaTipo,MATCH(AC4490,ctaNombre,0))&amp;"",""))</f>
        <v/>
      </c>
      <c r="AF4490" s="53">
        <f>IF(OR(P4490="",AB4490=""),"",IF(OR(P4490="Gasto",P4490="Transferencia",P4490="Pago tarjeta"),-1,1)*IF(IFERROR(INDEX(ctaMoneda,MATCH(AB4490,ctaNombre,0))&amp;"","DOP")="USD",T4490,S4490))</f>
        <v/>
      </c>
      <c r="AG4490" s="53">
        <f>IF(AC4490="","",IF(IFERROR(INDEX(ctaMoneda,MATCH(AC4490,ctaNombre,0))&amp;"","DOP")="USD",T4490,S4490))</f>
        <v/>
      </c>
      <c r="AH4490" s="53">
        <f>IF(P4490="","",IF(AND(AD4490&lt;&gt;"",COUNTIFS(tcTipo,AD4490,tcLiq,"Sí")&gt;0),IF(OR(P4490="Gasto",P4490="Transferencia",P4490="Pago tarjeta"),-1,1)*S4490,0)+IF(AND(AE4490&lt;&gt;"",COUNTIFS(tcTipo,AE4490,tcLiq,"Sí")&gt;0),S4490,0))</f>
        <v/>
      </c>
      <c r="AI4490" s="52">
        <f>IF(OR(L4490="",P4490=""),"",IF(COUNTIFS(L$6:L4490,L4490,P$6:P4490,"?*")=1,MAX(AI$5:AI4489)+1,""))</f>
        <v/>
      </c>
    </row>
    <row r="4491">
      <c r="B4491" s="47" t="n"/>
      <c r="C4491" s="48" t="n"/>
      <c r="D4491" s="48" t="n"/>
      <c r="E4491" s="48" t="n"/>
      <c r="F4491" s="48" t="n"/>
      <c r="G4491" s="49" t="n"/>
      <c r="H4491" s="48" t="n"/>
      <c r="I4491" s="50" t="n"/>
      <c r="J4491" s="48" t="n"/>
      <c r="K4491" s="48" t="n"/>
      <c r="L4491" s="48" t="n"/>
      <c r="M4491" s="48" t="n"/>
      <c r="N4491" s="48" t="n"/>
      <c r="O4491" s="51">
        <f>IF(AND(B4491="",G4491="",C4491="",D4491="",J4491=""),"",IF(B4491="","⚠ Falta fecha",IF(G4491="","⚠ Falta monto",IF(Q4491="","⚠ Falta cuenta",IF(ISNA(MATCH(Q4491,ctaNombre,0)),"⚠ Cuenta no registrada",IF(AND(OR(P4491="Gasto",P4491="Reembolso"),D4491=""),"⚠ Falta categoría",IF(AND(D4491&lt;&gt;"",E4491&lt;&gt;"",ISNA(MATCH(D4491&amp;"|"&amp;E4491,catClave,0))),"⚠ Subcategoría no corresponde",IF(AND(OR(P4491="Transferencia",P4491="Pago tarjeta"),K4491=""),"⚠ Falta cuenta destino",IF(AND(K4491&lt;&gt;"",P4491&lt;&gt;"Transferencia",P4491&lt;&gt;"Pago tarjeta"),"⚠ Destino solo aplica a transferencias",IF(AND(K4491&lt;&gt;"",K4491=Q4491),"⚠ Origen igual a destino",IF(AND(K4491&lt;&gt;"",ISNA(MATCH(K4491,ctaNombre,0))),"⚠ Destino no registrado",IF(AND(P4491="Pago tarjeta",AE4491&lt;&gt;"Tarjeta de crédito"),"⚠ El destino debe ser tarjeta de crédito",IF(AND(P4491="Gasto",E4491="Depósitos y retiros"),"⚠ Usa tipo Transferencia",IF(AND(P4491="Resultado trading",AD4491&lt;&gt;"Cuenta de trading"),"⚠ Usa una cuenta de trading",IF(AND(G4491&lt;=0,P4491&lt;&gt;"Ajuste",P4491&lt;&gt;"Resultado trading"),"⚠ El monto debe ser positivo","✓")))))))))))))))</f>
        <v/>
      </c>
      <c r="P4491" s="52">
        <f>IF(OR(B4491="",G4491=""),"",IF(C4491="","Gasto",C4491))</f>
        <v/>
      </c>
      <c r="Q4491" s="52">
        <f>IF(P4491="","",IF(J4491&lt;&gt;"",J4491,CuentaPred&amp;""))</f>
        <v/>
      </c>
      <c r="R4491" s="52">
        <f>IF(P4491="","",IF(ISNUMBER(I4491),I4491,TasaUSD))</f>
        <v/>
      </c>
      <c r="S4491" s="53">
        <f>IF(P4491="","",IF(H4491="USD",G4491*R4491,G4491))</f>
        <v/>
      </c>
      <c r="T4491" s="53">
        <f>IF(P4491="","",IF(H4491="USD",G4491,IF(R4491&gt;0,G4491/R4491,0)))</f>
        <v/>
      </c>
      <c r="U4491" s="53">
        <f>IF(P4491="","",IF(P4491="Gasto",S4491,IF(P4491="Reembolso",-S4491,0)))</f>
        <v/>
      </c>
      <c r="V4491" s="53">
        <f>IF(P4491="","",IF(P4491="Ingreso",S4491,0))</f>
        <v/>
      </c>
      <c r="W4491" s="53">
        <f>IF(P4491="","",IF(P4491="Resultado trading",S4491,0))</f>
        <v/>
      </c>
      <c r="X4491" s="52">
        <f>IF(OR(P4491="Gasto",P4491="Reembolso"),IF(M4491&lt;&gt;"",M4491,IFERROR(INDEX(catClasif,MATCH(D4491&amp;"|"&amp;E4491,catClave,0))&amp;"","Variable")),"")</f>
        <v/>
      </c>
      <c r="Y4491" s="52">
        <f>IF(P4491="","",IFERROR(INDEX(catGrupo,MATCH(D4491&amp;"|"&amp;E4491,catClave,0))&amp;"",""))</f>
        <v/>
      </c>
      <c r="Z4491" s="52">
        <f>IF(P4491="","",WEEKDAY(B4491,2))</f>
        <v/>
      </c>
      <c r="AA4491" s="52">
        <f>IF(P4491="","",IF(AND(P4491="Gasto",X4491="Variable",D4491&lt;&gt;catTrading,S4491&gt;0,S4491&lt;=Umbral),1,0))</f>
        <v/>
      </c>
      <c r="AB4491" s="52">
        <f>IF(OR(P4491="",Q4491=""),"",IFERROR(IF(INDEX(ctaVinc,MATCH(Q4491,ctaNombre,0))&amp;""&lt;&gt;"",INDEX(ctaVinc,MATCH(Q4491,ctaNombre,0))&amp;"",Q4491),Q4491))</f>
        <v/>
      </c>
      <c r="AC4491" s="52">
        <f>IF(OR(K4491="",AND(P4491&lt;&gt;"Transferencia",P4491&lt;&gt;"Pago tarjeta")),"",IFERROR(IF(INDEX(ctaVinc,MATCH(K4491,ctaNombre,0))&amp;""&lt;&gt;"",INDEX(ctaVinc,MATCH(K4491,ctaNombre,0))&amp;"",K4491),K4491))</f>
        <v/>
      </c>
      <c r="AD4491" s="52">
        <f>IF(AB4491="","",IFERROR(INDEX(ctaTipo,MATCH(AB4491,ctaNombre,0))&amp;"",""))</f>
        <v/>
      </c>
      <c r="AE4491" s="52">
        <f>IF(AC4491="","",IFERROR(INDEX(ctaTipo,MATCH(AC4491,ctaNombre,0))&amp;"",""))</f>
        <v/>
      </c>
      <c r="AF4491" s="53">
        <f>IF(OR(P4491="",AB4491=""),"",IF(OR(P4491="Gasto",P4491="Transferencia",P4491="Pago tarjeta"),-1,1)*IF(IFERROR(INDEX(ctaMoneda,MATCH(AB4491,ctaNombre,0))&amp;"","DOP")="USD",T4491,S4491))</f>
        <v/>
      </c>
      <c r="AG4491" s="53">
        <f>IF(AC4491="","",IF(IFERROR(INDEX(ctaMoneda,MATCH(AC4491,ctaNombre,0))&amp;"","DOP")="USD",T4491,S4491))</f>
        <v/>
      </c>
      <c r="AH4491" s="53">
        <f>IF(P4491="","",IF(AND(AD4491&lt;&gt;"",COUNTIFS(tcTipo,AD4491,tcLiq,"Sí")&gt;0),IF(OR(P4491="Gasto",P4491="Transferencia",P4491="Pago tarjeta"),-1,1)*S4491,0)+IF(AND(AE4491&lt;&gt;"",COUNTIFS(tcTipo,AE4491,tcLiq,"Sí")&gt;0),S4491,0))</f>
        <v/>
      </c>
      <c r="AI4491" s="52">
        <f>IF(OR(L4491="",P4491=""),"",IF(COUNTIFS(L$6:L4491,L4491,P$6:P4491,"?*")=1,MAX(AI$5:AI4490)+1,""))</f>
        <v/>
      </c>
    </row>
    <row r="4492">
      <c r="B4492" s="47" t="n"/>
      <c r="C4492" s="48" t="n"/>
      <c r="D4492" s="48" t="n"/>
      <c r="E4492" s="48" t="n"/>
      <c r="F4492" s="48" t="n"/>
      <c r="G4492" s="49" t="n"/>
      <c r="H4492" s="48" t="n"/>
      <c r="I4492" s="50" t="n"/>
      <c r="J4492" s="48" t="n"/>
      <c r="K4492" s="48" t="n"/>
      <c r="L4492" s="48" t="n"/>
      <c r="M4492" s="48" t="n"/>
      <c r="N4492" s="48" t="n"/>
      <c r="O4492" s="51">
        <f>IF(AND(B4492="",G4492="",C4492="",D4492="",J4492=""),"",IF(B4492="","⚠ Falta fecha",IF(G4492="","⚠ Falta monto",IF(Q4492="","⚠ Falta cuenta",IF(ISNA(MATCH(Q4492,ctaNombre,0)),"⚠ Cuenta no registrada",IF(AND(OR(P4492="Gasto",P4492="Reembolso"),D4492=""),"⚠ Falta categoría",IF(AND(D4492&lt;&gt;"",E4492&lt;&gt;"",ISNA(MATCH(D4492&amp;"|"&amp;E4492,catClave,0))),"⚠ Subcategoría no corresponde",IF(AND(OR(P4492="Transferencia",P4492="Pago tarjeta"),K4492=""),"⚠ Falta cuenta destino",IF(AND(K4492&lt;&gt;"",P4492&lt;&gt;"Transferencia",P4492&lt;&gt;"Pago tarjeta"),"⚠ Destino solo aplica a transferencias",IF(AND(K4492&lt;&gt;"",K4492=Q4492),"⚠ Origen igual a destino",IF(AND(K4492&lt;&gt;"",ISNA(MATCH(K4492,ctaNombre,0))),"⚠ Destino no registrado",IF(AND(P4492="Pago tarjeta",AE4492&lt;&gt;"Tarjeta de crédito"),"⚠ El destino debe ser tarjeta de crédito",IF(AND(P4492="Gasto",E4492="Depósitos y retiros"),"⚠ Usa tipo Transferencia",IF(AND(P4492="Resultado trading",AD4492&lt;&gt;"Cuenta de trading"),"⚠ Usa una cuenta de trading",IF(AND(G4492&lt;=0,P4492&lt;&gt;"Ajuste",P4492&lt;&gt;"Resultado trading"),"⚠ El monto debe ser positivo","✓")))))))))))))))</f>
        <v/>
      </c>
      <c r="P4492" s="52">
        <f>IF(OR(B4492="",G4492=""),"",IF(C4492="","Gasto",C4492))</f>
        <v/>
      </c>
      <c r="Q4492" s="52">
        <f>IF(P4492="","",IF(J4492&lt;&gt;"",J4492,CuentaPred&amp;""))</f>
        <v/>
      </c>
      <c r="R4492" s="52">
        <f>IF(P4492="","",IF(ISNUMBER(I4492),I4492,TasaUSD))</f>
        <v/>
      </c>
      <c r="S4492" s="53">
        <f>IF(P4492="","",IF(H4492="USD",G4492*R4492,G4492))</f>
        <v/>
      </c>
      <c r="T4492" s="53">
        <f>IF(P4492="","",IF(H4492="USD",G4492,IF(R4492&gt;0,G4492/R4492,0)))</f>
        <v/>
      </c>
      <c r="U4492" s="53">
        <f>IF(P4492="","",IF(P4492="Gasto",S4492,IF(P4492="Reembolso",-S4492,0)))</f>
        <v/>
      </c>
      <c r="V4492" s="53">
        <f>IF(P4492="","",IF(P4492="Ingreso",S4492,0))</f>
        <v/>
      </c>
      <c r="W4492" s="53">
        <f>IF(P4492="","",IF(P4492="Resultado trading",S4492,0))</f>
        <v/>
      </c>
      <c r="X4492" s="52">
        <f>IF(OR(P4492="Gasto",P4492="Reembolso"),IF(M4492&lt;&gt;"",M4492,IFERROR(INDEX(catClasif,MATCH(D4492&amp;"|"&amp;E4492,catClave,0))&amp;"","Variable")),"")</f>
        <v/>
      </c>
      <c r="Y4492" s="52">
        <f>IF(P4492="","",IFERROR(INDEX(catGrupo,MATCH(D4492&amp;"|"&amp;E4492,catClave,0))&amp;"",""))</f>
        <v/>
      </c>
      <c r="Z4492" s="52">
        <f>IF(P4492="","",WEEKDAY(B4492,2))</f>
        <v/>
      </c>
      <c r="AA4492" s="52">
        <f>IF(P4492="","",IF(AND(P4492="Gasto",X4492="Variable",D4492&lt;&gt;catTrading,S4492&gt;0,S4492&lt;=Umbral),1,0))</f>
        <v/>
      </c>
      <c r="AB4492" s="52">
        <f>IF(OR(P4492="",Q4492=""),"",IFERROR(IF(INDEX(ctaVinc,MATCH(Q4492,ctaNombre,0))&amp;""&lt;&gt;"",INDEX(ctaVinc,MATCH(Q4492,ctaNombre,0))&amp;"",Q4492),Q4492))</f>
        <v/>
      </c>
      <c r="AC4492" s="52">
        <f>IF(OR(K4492="",AND(P4492&lt;&gt;"Transferencia",P4492&lt;&gt;"Pago tarjeta")),"",IFERROR(IF(INDEX(ctaVinc,MATCH(K4492,ctaNombre,0))&amp;""&lt;&gt;"",INDEX(ctaVinc,MATCH(K4492,ctaNombre,0))&amp;"",K4492),K4492))</f>
        <v/>
      </c>
      <c r="AD4492" s="52">
        <f>IF(AB4492="","",IFERROR(INDEX(ctaTipo,MATCH(AB4492,ctaNombre,0))&amp;"",""))</f>
        <v/>
      </c>
      <c r="AE4492" s="52">
        <f>IF(AC4492="","",IFERROR(INDEX(ctaTipo,MATCH(AC4492,ctaNombre,0))&amp;"",""))</f>
        <v/>
      </c>
      <c r="AF4492" s="53">
        <f>IF(OR(P4492="",AB4492=""),"",IF(OR(P4492="Gasto",P4492="Transferencia",P4492="Pago tarjeta"),-1,1)*IF(IFERROR(INDEX(ctaMoneda,MATCH(AB4492,ctaNombre,0))&amp;"","DOP")="USD",T4492,S4492))</f>
        <v/>
      </c>
      <c r="AG4492" s="53">
        <f>IF(AC4492="","",IF(IFERROR(INDEX(ctaMoneda,MATCH(AC4492,ctaNombre,0))&amp;"","DOP")="USD",T4492,S4492))</f>
        <v/>
      </c>
      <c r="AH4492" s="53">
        <f>IF(P4492="","",IF(AND(AD4492&lt;&gt;"",COUNTIFS(tcTipo,AD4492,tcLiq,"Sí")&gt;0),IF(OR(P4492="Gasto",P4492="Transferencia",P4492="Pago tarjeta"),-1,1)*S4492,0)+IF(AND(AE4492&lt;&gt;"",COUNTIFS(tcTipo,AE4492,tcLiq,"Sí")&gt;0),S4492,0))</f>
        <v/>
      </c>
      <c r="AI4492" s="52">
        <f>IF(OR(L4492="",P4492=""),"",IF(COUNTIFS(L$6:L4492,L4492,P$6:P4492,"?*")=1,MAX(AI$5:AI4491)+1,""))</f>
        <v/>
      </c>
    </row>
    <row r="4493">
      <c r="B4493" s="47" t="n"/>
      <c r="C4493" s="48" t="n"/>
      <c r="D4493" s="48" t="n"/>
      <c r="E4493" s="48" t="n"/>
      <c r="F4493" s="48" t="n"/>
      <c r="G4493" s="49" t="n"/>
      <c r="H4493" s="48" t="n"/>
      <c r="I4493" s="50" t="n"/>
      <c r="J4493" s="48" t="n"/>
      <c r="K4493" s="48" t="n"/>
      <c r="L4493" s="48" t="n"/>
      <c r="M4493" s="48" t="n"/>
      <c r="N4493" s="48" t="n"/>
      <c r="O4493" s="51">
        <f>IF(AND(B4493="",G4493="",C4493="",D4493="",J4493=""),"",IF(B4493="","⚠ Falta fecha",IF(G4493="","⚠ Falta monto",IF(Q4493="","⚠ Falta cuenta",IF(ISNA(MATCH(Q4493,ctaNombre,0)),"⚠ Cuenta no registrada",IF(AND(OR(P4493="Gasto",P4493="Reembolso"),D4493=""),"⚠ Falta categoría",IF(AND(D4493&lt;&gt;"",E4493&lt;&gt;"",ISNA(MATCH(D4493&amp;"|"&amp;E4493,catClave,0))),"⚠ Subcategoría no corresponde",IF(AND(OR(P4493="Transferencia",P4493="Pago tarjeta"),K4493=""),"⚠ Falta cuenta destino",IF(AND(K4493&lt;&gt;"",P4493&lt;&gt;"Transferencia",P4493&lt;&gt;"Pago tarjeta"),"⚠ Destino solo aplica a transferencias",IF(AND(K4493&lt;&gt;"",K4493=Q4493),"⚠ Origen igual a destino",IF(AND(K4493&lt;&gt;"",ISNA(MATCH(K4493,ctaNombre,0))),"⚠ Destino no registrado",IF(AND(P4493="Pago tarjeta",AE4493&lt;&gt;"Tarjeta de crédito"),"⚠ El destino debe ser tarjeta de crédito",IF(AND(P4493="Gasto",E4493="Depósitos y retiros"),"⚠ Usa tipo Transferencia",IF(AND(P4493="Resultado trading",AD4493&lt;&gt;"Cuenta de trading"),"⚠ Usa una cuenta de trading",IF(AND(G4493&lt;=0,P4493&lt;&gt;"Ajuste",P4493&lt;&gt;"Resultado trading"),"⚠ El monto debe ser positivo","✓")))))))))))))))</f>
        <v/>
      </c>
      <c r="P4493" s="52">
        <f>IF(OR(B4493="",G4493=""),"",IF(C4493="","Gasto",C4493))</f>
        <v/>
      </c>
      <c r="Q4493" s="52">
        <f>IF(P4493="","",IF(J4493&lt;&gt;"",J4493,CuentaPred&amp;""))</f>
        <v/>
      </c>
      <c r="R4493" s="52">
        <f>IF(P4493="","",IF(ISNUMBER(I4493),I4493,TasaUSD))</f>
        <v/>
      </c>
      <c r="S4493" s="53">
        <f>IF(P4493="","",IF(H4493="USD",G4493*R4493,G4493))</f>
        <v/>
      </c>
      <c r="T4493" s="53">
        <f>IF(P4493="","",IF(H4493="USD",G4493,IF(R4493&gt;0,G4493/R4493,0)))</f>
        <v/>
      </c>
      <c r="U4493" s="53">
        <f>IF(P4493="","",IF(P4493="Gasto",S4493,IF(P4493="Reembolso",-S4493,0)))</f>
        <v/>
      </c>
      <c r="V4493" s="53">
        <f>IF(P4493="","",IF(P4493="Ingreso",S4493,0))</f>
        <v/>
      </c>
      <c r="W4493" s="53">
        <f>IF(P4493="","",IF(P4493="Resultado trading",S4493,0))</f>
        <v/>
      </c>
      <c r="X4493" s="52">
        <f>IF(OR(P4493="Gasto",P4493="Reembolso"),IF(M4493&lt;&gt;"",M4493,IFERROR(INDEX(catClasif,MATCH(D4493&amp;"|"&amp;E4493,catClave,0))&amp;"","Variable")),"")</f>
        <v/>
      </c>
      <c r="Y4493" s="52">
        <f>IF(P4493="","",IFERROR(INDEX(catGrupo,MATCH(D4493&amp;"|"&amp;E4493,catClave,0))&amp;"",""))</f>
        <v/>
      </c>
      <c r="Z4493" s="52">
        <f>IF(P4493="","",WEEKDAY(B4493,2))</f>
        <v/>
      </c>
      <c r="AA4493" s="52">
        <f>IF(P4493="","",IF(AND(P4493="Gasto",X4493="Variable",D4493&lt;&gt;catTrading,S4493&gt;0,S4493&lt;=Umbral),1,0))</f>
        <v/>
      </c>
      <c r="AB4493" s="52">
        <f>IF(OR(P4493="",Q4493=""),"",IFERROR(IF(INDEX(ctaVinc,MATCH(Q4493,ctaNombre,0))&amp;""&lt;&gt;"",INDEX(ctaVinc,MATCH(Q4493,ctaNombre,0))&amp;"",Q4493),Q4493))</f>
        <v/>
      </c>
      <c r="AC4493" s="52">
        <f>IF(OR(K4493="",AND(P4493&lt;&gt;"Transferencia",P4493&lt;&gt;"Pago tarjeta")),"",IFERROR(IF(INDEX(ctaVinc,MATCH(K4493,ctaNombre,0))&amp;""&lt;&gt;"",INDEX(ctaVinc,MATCH(K4493,ctaNombre,0))&amp;"",K4493),K4493))</f>
        <v/>
      </c>
      <c r="AD4493" s="52">
        <f>IF(AB4493="","",IFERROR(INDEX(ctaTipo,MATCH(AB4493,ctaNombre,0))&amp;"",""))</f>
        <v/>
      </c>
      <c r="AE4493" s="52">
        <f>IF(AC4493="","",IFERROR(INDEX(ctaTipo,MATCH(AC4493,ctaNombre,0))&amp;"",""))</f>
        <v/>
      </c>
      <c r="AF4493" s="53">
        <f>IF(OR(P4493="",AB4493=""),"",IF(OR(P4493="Gasto",P4493="Transferencia",P4493="Pago tarjeta"),-1,1)*IF(IFERROR(INDEX(ctaMoneda,MATCH(AB4493,ctaNombre,0))&amp;"","DOP")="USD",T4493,S4493))</f>
        <v/>
      </c>
      <c r="AG4493" s="53">
        <f>IF(AC4493="","",IF(IFERROR(INDEX(ctaMoneda,MATCH(AC4493,ctaNombre,0))&amp;"","DOP")="USD",T4493,S4493))</f>
        <v/>
      </c>
      <c r="AH4493" s="53">
        <f>IF(P4493="","",IF(AND(AD4493&lt;&gt;"",COUNTIFS(tcTipo,AD4493,tcLiq,"Sí")&gt;0),IF(OR(P4493="Gasto",P4493="Transferencia",P4493="Pago tarjeta"),-1,1)*S4493,0)+IF(AND(AE4493&lt;&gt;"",COUNTIFS(tcTipo,AE4493,tcLiq,"Sí")&gt;0),S4493,0))</f>
        <v/>
      </c>
      <c r="AI4493" s="52">
        <f>IF(OR(L4493="",P4493=""),"",IF(COUNTIFS(L$6:L4493,L4493,P$6:P4493,"?*")=1,MAX(AI$5:AI4492)+1,""))</f>
        <v/>
      </c>
    </row>
    <row r="4494">
      <c r="B4494" s="47" t="n"/>
      <c r="C4494" s="48" t="n"/>
      <c r="D4494" s="48" t="n"/>
      <c r="E4494" s="48" t="n"/>
      <c r="F4494" s="48" t="n"/>
      <c r="G4494" s="49" t="n"/>
      <c r="H4494" s="48" t="n"/>
      <c r="I4494" s="50" t="n"/>
      <c r="J4494" s="48" t="n"/>
      <c r="K4494" s="48" t="n"/>
      <c r="L4494" s="48" t="n"/>
      <c r="M4494" s="48" t="n"/>
      <c r="N4494" s="48" t="n"/>
      <c r="O4494" s="51">
        <f>IF(AND(B4494="",G4494="",C4494="",D4494="",J4494=""),"",IF(B4494="","⚠ Falta fecha",IF(G4494="","⚠ Falta monto",IF(Q4494="","⚠ Falta cuenta",IF(ISNA(MATCH(Q4494,ctaNombre,0)),"⚠ Cuenta no registrada",IF(AND(OR(P4494="Gasto",P4494="Reembolso"),D4494=""),"⚠ Falta categoría",IF(AND(D4494&lt;&gt;"",E4494&lt;&gt;"",ISNA(MATCH(D4494&amp;"|"&amp;E4494,catClave,0))),"⚠ Subcategoría no corresponde",IF(AND(OR(P4494="Transferencia",P4494="Pago tarjeta"),K4494=""),"⚠ Falta cuenta destino",IF(AND(K4494&lt;&gt;"",P4494&lt;&gt;"Transferencia",P4494&lt;&gt;"Pago tarjeta"),"⚠ Destino solo aplica a transferencias",IF(AND(K4494&lt;&gt;"",K4494=Q4494),"⚠ Origen igual a destino",IF(AND(K4494&lt;&gt;"",ISNA(MATCH(K4494,ctaNombre,0))),"⚠ Destino no registrado",IF(AND(P4494="Pago tarjeta",AE4494&lt;&gt;"Tarjeta de crédito"),"⚠ El destino debe ser tarjeta de crédito",IF(AND(P4494="Gasto",E4494="Depósitos y retiros"),"⚠ Usa tipo Transferencia",IF(AND(P4494="Resultado trading",AD4494&lt;&gt;"Cuenta de trading"),"⚠ Usa una cuenta de trading",IF(AND(G4494&lt;=0,P4494&lt;&gt;"Ajuste",P4494&lt;&gt;"Resultado trading"),"⚠ El monto debe ser positivo","✓")))))))))))))))</f>
        <v/>
      </c>
      <c r="P4494" s="52">
        <f>IF(OR(B4494="",G4494=""),"",IF(C4494="","Gasto",C4494))</f>
        <v/>
      </c>
      <c r="Q4494" s="52">
        <f>IF(P4494="","",IF(J4494&lt;&gt;"",J4494,CuentaPred&amp;""))</f>
        <v/>
      </c>
      <c r="R4494" s="52">
        <f>IF(P4494="","",IF(ISNUMBER(I4494),I4494,TasaUSD))</f>
        <v/>
      </c>
      <c r="S4494" s="53">
        <f>IF(P4494="","",IF(H4494="USD",G4494*R4494,G4494))</f>
        <v/>
      </c>
      <c r="T4494" s="53">
        <f>IF(P4494="","",IF(H4494="USD",G4494,IF(R4494&gt;0,G4494/R4494,0)))</f>
        <v/>
      </c>
      <c r="U4494" s="53">
        <f>IF(P4494="","",IF(P4494="Gasto",S4494,IF(P4494="Reembolso",-S4494,0)))</f>
        <v/>
      </c>
      <c r="V4494" s="53">
        <f>IF(P4494="","",IF(P4494="Ingreso",S4494,0))</f>
        <v/>
      </c>
      <c r="W4494" s="53">
        <f>IF(P4494="","",IF(P4494="Resultado trading",S4494,0))</f>
        <v/>
      </c>
      <c r="X4494" s="52">
        <f>IF(OR(P4494="Gasto",P4494="Reembolso"),IF(M4494&lt;&gt;"",M4494,IFERROR(INDEX(catClasif,MATCH(D4494&amp;"|"&amp;E4494,catClave,0))&amp;"","Variable")),"")</f>
        <v/>
      </c>
      <c r="Y4494" s="52">
        <f>IF(P4494="","",IFERROR(INDEX(catGrupo,MATCH(D4494&amp;"|"&amp;E4494,catClave,0))&amp;"",""))</f>
        <v/>
      </c>
      <c r="Z4494" s="52">
        <f>IF(P4494="","",WEEKDAY(B4494,2))</f>
        <v/>
      </c>
      <c r="AA4494" s="52">
        <f>IF(P4494="","",IF(AND(P4494="Gasto",X4494="Variable",D4494&lt;&gt;catTrading,S4494&gt;0,S4494&lt;=Umbral),1,0))</f>
        <v/>
      </c>
      <c r="AB4494" s="52">
        <f>IF(OR(P4494="",Q4494=""),"",IFERROR(IF(INDEX(ctaVinc,MATCH(Q4494,ctaNombre,0))&amp;""&lt;&gt;"",INDEX(ctaVinc,MATCH(Q4494,ctaNombre,0))&amp;"",Q4494),Q4494))</f>
        <v/>
      </c>
      <c r="AC4494" s="52">
        <f>IF(OR(K4494="",AND(P4494&lt;&gt;"Transferencia",P4494&lt;&gt;"Pago tarjeta")),"",IFERROR(IF(INDEX(ctaVinc,MATCH(K4494,ctaNombre,0))&amp;""&lt;&gt;"",INDEX(ctaVinc,MATCH(K4494,ctaNombre,0))&amp;"",K4494),K4494))</f>
        <v/>
      </c>
      <c r="AD4494" s="52">
        <f>IF(AB4494="","",IFERROR(INDEX(ctaTipo,MATCH(AB4494,ctaNombre,0))&amp;"",""))</f>
        <v/>
      </c>
      <c r="AE4494" s="52">
        <f>IF(AC4494="","",IFERROR(INDEX(ctaTipo,MATCH(AC4494,ctaNombre,0))&amp;"",""))</f>
        <v/>
      </c>
      <c r="AF4494" s="53">
        <f>IF(OR(P4494="",AB4494=""),"",IF(OR(P4494="Gasto",P4494="Transferencia",P4494="Pago tarjeta"),-1,1)*IF(IFERROR(INDEX(ctaMoneda,MATCH(AB4494,ctaNombre,0))&amp;"","DOP")="USD",T4494,S4494))</f>
        <v/>
      </c>
      <c r="AG4494" s="53">
        <f>IF(AC4494="","",IF(IFERROR(INDEX(ctaMoneda,MATCH(AC4494,ctaNombre,0))&amp;"","DOP")="USD",T4494,S4494))</f>
        <v/>
      </c>
      <c r="AH4494" s="53">
        <f>IF(P4494="","",IF(AND(AD4494&lt;&gt;"",COUNTIFS(tcTipo,AD4494,tcLiq,"Sí")&gt;0),IF(OR(P4494="Gasto",P4494="Transferencia",P4494="Pago tarjeta"),-1,1)*S4494,0)+IF(AND(AE4494&lt;&gt;"",COUNTIFS(tcTipo,AE4494,tcLiq,"Sí")&gt;0),S4494,0))</f>
        <v/>
      </c>
      <c r="AI4494" s="52">
        <f>IF(OR(L4494="",P4494=""),"",IF(COUNTIFS(L$6:L4494,L4494,P$6:P4494,"?*")=1,MAX(AI$5:AI4493)+1,""))</f>
        <v/>
      </c>
    </row>
    <row r="4495">
      <c r="B4495" s="47" t="n"/>
      <c r="C4495" s="48" t="n"/>
      <c r="D4495" s="48" t="n"/>
      <c r="E4495" s="48" t="n"/>
      <c r="F4495" s="48" t="n"/>
      <c r="G4495" s="49" t="n"/>
      <c r="H4495" s="48" t="n"/>
      <c r="I4495" s="50" t="n"/>
      <c r="J4495" s="48" t="n"/>
      <c r="K4495" s="48" t="n"/>
      <c r="L4495" s="48" t="n"/>
      <c r="M4495" s="48" t="n"/>
      <c r="N4495" s="48" t="n"/>
      <c r="O4495" s="51">
        <f>IF(AND(B4495="",G4495="",C4495="",D4495="",J4495=""),"",IF(B4495="","⚠ Falta fecha",IF(G4495="","⚠ Falta monto",IF(Q4495="","⚠ Falta cuenta",IF(ISNA(MATCH(Q4495,ctaNombre,0)),"⚠ Cuenta no registrada",IF(AND(OR(P4495="Gasto",P4495="Reembolso"),D4495=""),"⚠ Falta categoría",IF(AND(D4495&lt;&gt;"",E4495&lt;&gt;"",ISNA(MATCH(D4495&amp;"|"&amp;E4495,catClave,0))),"⚠ Subcategoría no corresponde",IF(AND(OR(P4495="Transferencia",P4495="Pago tarjeta"),K4495=""),"⚠ Falta cuenta destino",IF(AND(K4495&lt;&gt;"",P4495&lt;&gt;"Transferencia",P4495&lt;&gt;"Pago tarjeta"),"⚠ Destino solo aplica a transferencias",IF(AND(K4495&lt;&gt;"",K4495=Q4495),"⚠ Origen igual a destino",IF(AND(K4495&lt;&gt;"",ISNA(MATCH(K4495,ctaNombre,0))),"⚠ Destino no registrado",IF(AND(P4495="Pago tarjeta",AE4495&lt;&gt;"Tarjeta de crédito"),"⚠ El destino debe ser tarjeta de crédito",IF(AND(P4495="Gasto",E4495="Depósitos y retiros"),"⚠ Usa tipo Transferencia",IF(AND(P4495="Resultado trading",AD4495&lt;&gt;"Cuenta de trading"),"⚠ Usa una cuenta de trading",IF(AND(G4495&lt;=0,P4495&lt;&gt;"Ajuste",P4495&lt;&gt;"Resultado trading"),"⚠ El monto debe ser positivo","✓")))))))))))))))</f>
        <v/>
      </c>
      <c r="P4495" s="52">
        <f>IF(OR(B4495="",G4495=""),"",IF(C4495="","Gasto",C4495))</f>
        <v/>
      </c>
      <c r="Q4495" s="52">
        <f>IF(P4495="","",IF(J4495&lt;&gt;"",J4495,CuentaPred&amp;""))</f>
        <v/>
      </c>
      <c r="R4495" s="52">
        <f>IF(P4495="","",IF(ISNUMBER(I4495),I4495,TasaUSD))</f>
        <v/>
      </c>
      <c r="S4495" s="53">
        <f>IF(P4495="","",IF(H4495="USD",G4495*R4495,G4495))</f>
        <v/>
      </c>
      <c r="T4495" s="53">
        <f>IF(P4495="","",IF(H4495="USD",G4495,IF(R4495&gt;0,G4495/R4495,0)))</f>
        <v/>
      </c>
      <c r="U4495" s="53">
        <f>IF(P4495="","",IF(P4495="Gasto",S4495,IF(P4495="Reembolso",-S4495,0)))</f>
        <v/>
      </c>
      <c r="V4495" s="53">
        <f>IF(P4495="","",IF(P4495="Ingreso",S4495,0))</f>
        <v/>
      </c>
      <c r="W4495" s="53">
        <f>IF(P4495="","",IF(P4495="Resultado trading",S4495,0))</f>
        <v/>
      </c>
      <c r="X4495" s="52">
        <f>IF(OR(P4495="Gasto",P4495="Reembolso"),IF(M4495&lt;&gt;"",M4495,IFERROR(INDEX(catClasif,MATCH(D4495&amp;"|"&amp;E4495,catClave,0))&amp;"","Variable")),"")</f>
        <v/>
      </c>
      <c r="Y4495" s="52">
        <f>IF(P4495="","",IFERROR(INDEX(catGrupo,MATCH(D4495&amp;"|"&amp;E4495,catClave,0))&amp;"",""))</f>
        <v/>
      </c>
      <c r="Z4495" s="52">
        <f>IF(P4495="","",WEEKDAY(B4495,2))</f>
        <v/>
      </c>
      <c r="AA4495" s="52">
        <f>IF(P4495="","",IF(AND(P4495="Gasto",X4495="Variable",D4495&lt;&gt;catTrading,S4495&gt;0,S4495&lt;=Umbral),1,0))</f>
        <v/>
      </c>
      <c r="AB4495" s="52">
        <f>IF(OR(P4495="",Q4495=""),"",IFERROR(IF(INDEX(ctaVinc,MATCH(Q4495,ctaNombre,0))&amp;""&lt;&gt;"",INDEX(ctaVinc,MATCH(Q4495,ctaNombre,0))&amp;"",Q4495),Q4495))</f>
        <v/>
      </c>
      <c r="AC4495" s="52">
        <f>IF(OR(K4495="",AND(P4495&lt;&gt;"Transferencia",P4495&lt;&gt;"Pago tarjeta")),"",IFERROR(IF(INDEX(ctaVinc,MATCH(K4495,ctaNombre,0))&amp;""&lt;&gt;"",INDEX(ctaVinc,MATCH(K4495,ctaNombre,0))&amp;"",K4495),K4495))</f>
        <v/>
      </c>
      <c r="AD4495" s="52">
        <f>IF(AB4495="","",IFERROR(INDEX(ctaTipo,MATCH(AB4495,ctaNombre,0))&amp;"",""))</f>
        <v/>
      </c>
      <c r="AE4495" s="52">
        <f>IF(AC4495="","",IFERROR(INDEX(ctaTipo,MATCH(AC4495,ctaNombre,0))&amp;"",""))</f>
        <v/>
      </c>
      <c r="AF4495" s="53">
        <f>IF(OR(P4495="",AB4495=""),"",IF(OR(P4495="Gasto",P4495="Transferencia",P4495="Pago tarjeta"),-1,1)*IF(IFERROR(INDEX(ctaMoneda,MATCH(AB4495,ctaNombre,0))&amp;"","DOP")="USD",T4495,S4495))</f>
        <v/>
      </c>
      <c r="AG4495" s="53">
        <f>IF(AC4495="","",IF(IFERROR(INDEX(ctaMoneda,MATCH(AC4495,ctaNombre,0))&amp;"","DOP")="USD",T4495,S4495))</f>
        <v/>
      </c>
      <c r="AH4495" s="53">
        <f>IF(P4495="","",IF(AND(AD4495&lt;&gt;"",COUNTIFS(tcTipo,AD4495,tcLiq,"Sí")&gt;0),IF(OR(P4495="Gasto",P4495="Transferencia",P4495="Pago tarjeta"),-1,1)*S4495,0)+IF(AND(AE4495&lt;&gt;"",COUNTIFS(tcTipo,AE4495,tcLiq,"Sí")&gt;0),S4495,0))</f>
        <v/>
      </c>
      <c r="AI4495" s="52">
        <f>IF(OR(L4495="",P4495=""),"",IF(COUNTIFS(L$6:L4495,L4495,P$6:P4495,"?*")=1,MAX(AI$5:AI4494)+1,""))</f>
        <v/>
      </c>
    </row>
    <row r="4496">
      <c r="B4496" s="47" t="n"/>
      <c r="C4496" s="48" t="n"/>
      <c r="D4496" s="48" t="n"/>
      <c r="E4496" s="48" t="n"/>
      <c r="F4496" s="48" t="n"/>
      <c r="G4496" s="49" t="n"/>
      <c r="H4496" s="48" t="n"/>
      <c r="I4496" s="50" t="n"/>
      <c r="J4496" s="48" t="n"/>
      <c r="K4496" s="48" t="n"/>
      <c r="L4496" s="48" t="n"/>
      <c r="M4496" s="48" t="n"/>
      <c r="N4496" s="48" t="n"/>
      <c r="O4496" s="51">
        <f>IF(AND(B4496="",G4496="",C4496="",D4496="",J4496=""),"",IF(B4496="","⚠ Falta fecha",IF(G4496="","⚠ Falta monto",IF(Q4496="","⚠ Falta cuenta",IF(ISNA(MATCH(Q4496,ctaNombre,0)),"⚠ Cuenta no registrada",IF(AND(OR(P4496="Gasto",P4496="Reembolso"),D4496=""),"⚠ Falta categoría",IF(AND(D4496&lt;&gt;"",E4496&lt;&gt;"",ISNA(MATCH(D4496&amp;"|"&amp;E4496,catClave,0))),"⚠ Subcategoría no corresponde",IF(AND(OR(P4496="Transferencia",P4496="Pago tarjeta"),K4496=""),"⚠ Falta cuenta destino",IF(AND(K4496&lt;&gt;"",P4496&lt;&gt;"Transferencia",P4496&lt;&gt;"Pago tarjeta"),"⚠ Destino solo aplica a transferencias",IF(AND(K4496&lt;&gt;"",K4496=Q4496),"⚠ Origen igual a destino",IF(AND(K4496&lt;&gt;"",ISNA(MATCH(K4496,ctaNombre,0))),"⚠ Destino no registrado",IF(AND(P4496="Pago tarjeta",AE4496&lt;&gt;"Tarjeta de crédito"),"⚠ El destino debe ser tarjeta de crédito",IF(AND(P4496="Gasto",E4496="Depósitos y retiros"),"⚠ Usa tipo Transferencia",IF(AND(P4496="Resultado trading",AD4496&lt;&gt;"Cuenta de trading"),"⚠ Usa una cuenta de trading",IF(AND(G4496&lt;=0,P4496&lt;&gt;"Ajuste",P4496&lt;&gt;"Resultado trading"),"⚠ El monto debe ser positivo","✓")))))))))))))))</f>
        <v/>
      </c>
      <c r="P4496" s="52">
        <f>IF(OR(B4496="",G4496=""),"",IF(C4496="","Gasto",C4496))</f>
        <v/>
      </c>
      <c r="Q4496" s="52">
        <f>IF(P4496="","",IF(J4496&lt;&gt;"",J4496,CuentaPred&amp;""))</f>
        <v/>
      </c>
      <c r="R4496" s="52">
        <f>IF(P4496="","",IF(ISNUMBER(I4496),I4496,TasaUSD))</f>
        <v/>
      </c>
      <c r="S4496" s="53">
        <f>IF(P4496="","",IF(H4496="USD",G4496*R4496,G4496))</f>
        <v/>
      </c>
      <c r="T4496" s="53">
        <f>IF(P4496="","",IF(H4496="USD",G4496,IF(R4496&gt;0,G4496/R4496,0)))</f>
        <v/>
      </c>
      <c r="U4496" s="53">
        <f>IF(P4496="","",IF(P4496="Gasto",S4496,IF(P4496="Reembolso",-S4496,0)))</f>
        <v/>
      </c>
      <c r="V4496" s="53">
        <f>IF(P4496="","",IF(P4496="Ingreso",S4496,0))</f>
        <v/>
      </c>
      <c r="W4496" s="53">
        <f>IF(P4496="","",IF(P4496="Resultado trading",S4496,0))</f>
        <v/>
      </c>
      <c r="X4496" s="52">
        <f>IF(OR(P4496="Gasto",P4496="Reembolso"),IF(M4496&lt;&gt;"",M4496,IFERROR(INDEX(catClasif,MATCH(D4496&amp;"|"&amp;E4496,catClave,0))&amp;"","Variable")),"")</f>
        <v/>
      </c>
      <c r="Y4496" s="52">
        <f>IF(P4496="","",IFERROR(INDEX(catGrupo,MATCH(D4496&amp;"|"&amp;E4496,catClave,0))&amp;"",""))</f>
        <v/>
      </c>
      <c r="Z4496" s="52">
        <f>IF(P4496="","",WEEKDAY(B4496,2))</f>
        <v/>
      </c>
      <c r="AA4496" s="52">
        <f>IF(P4496="","",IF(AND(P4496="Gasto",X4496="Variable",D4496&lt;&gt;catTrading,S4496&gt;0,S4496&lt;=Umbral),1,0))</f>
        <v/>
      </c>
      <c r="AB4496" s="52">
        <f>IF(OR(P4496="",Q4496=""),"",IFERROR(IF(INDEX(ctaVinc,MATCH(Q4496,ctaNombre,0))&amp;""&lt;&gt;"",INDEX(ctaVinc,MATCH(Q4496,ctaNombre,0))&amp;"",Q4496),Q4496))</f>
        <v/>
      </c>
      <c r="AC4496" s="52">
        <f>IF(OR(K4496="",AND(P4496&lt;&gt;"Transferencia",P4496&lt;&gt;"Pago tarjeta")),"",IFERROR(IF(INDEX(ctaVinc,MATCH(K4496,ctaNombre,0))&amp;""&lt;&gt;"",INDEX(ctaVinc,MATCH(K4496,ctaNombre,0))&amp;"",K4496),K4496))</f>
        <v/>
      </c>
      <c r="AD4496" s="52">
        <f>IF(AB4496="","",IFERROR(INDEX(ctaTipo,MATCH(AB4496,ctaNombre,0))&amp;"",""))</f>
        <v/>
      </c>
      <c r="AE4496" s="52">
        <f>IF(AC4496="","",IFERROR(INDEX(ctaTipo,MATCH(AC4496,ctaNombre,0))&amp;"",""))</f>
        <v/>
      </c>
      <c r="AF4496" s="53">
        <f>IF(OR(P4496="",AB4496=""),"",IF(OR(P4496="Gasto",P4496="Transferencia",P4496="Pago tarjeta"),-1,1)*IF(IFERROR(INDEX(ctaMoneda,MATCH(AB4496,ctaNombre,0))&amp;"","DOP")="USD",T4496,S4496))</f>
        <v/>
      </c>
      <c r="AG4496" s="53">
        <f>IF(AC4496="","",IF(IFERROR(INDEX(ctaMoneda,MATCH(AC4496,ctaNombre,0))&amp;"","DOP")="USD",T4496,S4496))</f>
        <v/>
      </c>
      <c r="AH4496" s="53">
        <f>IF(P4496="","",IF(AND(AD4496&lt;&gt;"",COUNTIFS(tcTipo,AD4496,tcLiq,"Sí")&gt;0),IF(OR(P4496="Gasto",P4496="Transferencia",P4496="Pago tarjeta"),-1,1)*S4496,0)+IF(AND(AE4496&lt;&gt;"",COUNTIFS(tcTipo,AE4496,tcLiq,"Sí")&gt;0),S4496,0))</f>
        <v/>
      </c>
      <c r="AI4496" s="52">
        <f>IF(OR(L4496="",P4496=""),"",IF(COUNTIFS(L$6:L4496,L4496,P$6:P4496,"?*")=1,MAX(AI$5:AI4495)+1,""))</f>
        <v/>
      </c>
    </row>
    <row r="4497">
      <c r="B4497" s="47" t="n"/>
      <c r="C4497" s="48" t="n"/>
      <c r="D4497" s="48" t="n"/>
      <c r="E4497" s="48" t="n"/>
      <c r="F4497" s="48" t="n"/>
      <c r="G4497" s="49" t="n"/>
      <c r="H4497" s="48" t="n"/>
      <c r="I4497" s="50" t="n"/>
      <c r="J4497" s="48" t="n"/>
      <c r="K4497" s="48" t="n"/>
      <c r="L4497" s="48" t="n"/>
      <c r="M4497" s="48" t="n"/>
      <c r="N4497" s="48" t="n"/>
      <c r="O4497" s="51">
        <f>IF(AND(B4497="",G4497="",C4497="",D4497="",J4497=""),"",IF(B4497="","⚠ Falta fecha",IF(G4497="","⚠ Falta monto",IF(Q4497="","⚠ Falta cuenta",IF(ISNA(MATCH(Q4497,ctaNombre,0)),"⚠ Cuenta no registrada",IF(AND(OR(P4497="Gasto",P4497="Reembolso"),D4497=""),"⚠ Falta categoría",IF(AND(D4497&lt;&gt;"",E4497&lt;&gt;"",ISNA(MATCH(D4497&amp;"|"&amp;E4497,catClave,0))),"⚠ Subcategoría no corresponde",IF(AND(OR(P4497="Transferencia",P4497="Pago tarjeta"),K4497=""),"⚠ Falta cuenta destino",IF(AND(K4497&lt;&gt;"",P4497&lt;&gt;"Transferencia",P4497&lt;&gt;"Pago tarjeta"),"⚠ Destino solo aplica a transferencias",IF(AND(K4497&lt;&gt;"",K4497=Q4497),"⚠ Origen igual a destino",IF(AND(K4497&lt;&gt;"",ISNA(MATCH(K4497,ctaNombre,0))),"⚠ Destino no registrado",IF(AND(P4497="Pago tarjeta",AE4497&lt;&gt;"Tarjeta de crédito"),"⚠ El destino debe ser tarjeta de crédito",IF(AND(P4497="Gasto",E4497="Depósitos y retiros"),"⚠ Usa tipo Transferencia",IF(AND(P4497="Resultado trading",AD4497&lt;&gt;"Cuenta de trading"),"⚠ Usa una cuenta de trading",IF(AND(G4497&lt;=0,P4497&lt;&gt;"Ajuste",P4497&lt;&gt;"Resultado trading"),"⚠ El monto debe ser positivo","✓")))))))))))))))</f>
        <v/>
      </c>
      <c r="P4497" s="52">
        <f>IF(OR(B4497="",G4497=""),"",IF(C4497="","Gasto",C4497))</f>
        <v/>
      </c>
      <c r="Q4497" s="52">
        <f>IF(P4497="","",IF(J4497&lt;&gt;"",J4497,CuentaPred&amp;""))</f>
        <v/>
      </c>
      <c r="R4497" s="52">
        <f>IF(P4497="","",IF(ISNUMBER(I4497),I4497,TasaUSD))</f>
        <v/>
      </c>
      <c r="S4497" s="53">
        <f>IF(P4497="","",IF(H4497="USD",G4497*R4497,G4497))</f>
        <v/>
      </c>
      <c r="T4497" s="53">
        <f>IF(P4497="","",IF(H4497="USD",G4497,IF(R4497&gt;0,G4497/R4497,0)))</f>
        <v/>
      </c>
      <c r="U4497" s="53">
        <f>IF(P4497="","",IF(P4497="Gasto",S4497,IF(P4497="Reembolso",-S4497,0)))</f>
        <v/>
      </c>
      <c r="V4497" s="53">
        <f>IF(P4497="","",IF(P4497="Ingreso",S4497,0))</f>
        <v/>
      </c>
      <c r="W4497" s="53">
        <f>IF(P4497="","",IF(P4497="Resultado trading",S4497,0))</f>
        <v/>
      </c>
      <c r="X4497" s="52">
        <f>IF(OR(P4497="Gasto",P4497="Reembolso"),IF(M4497&lt;&gt;"",M4497,IFERROR(INDEX(catClasif,MATCH(D4497&amp;"|"&amp;E4497,catClave,0))&amp;"","Variable")),"")</f>
        <v/>
      </c>
      <c r="Y4497" s="52">
        <f>IF(P4497="","",IFERROR(INDEX(catGrupo,MATCH(D4497&amp;"|"&amp;E4497,catClave,0))&amp;"",""))</f>
        <v/>
      </c>
      <c r="Z4497" s="52">
        <f>IF(P4497="","",WEEKDAY(B4497,2))</f>
        <v/>
      </c>
      <c r="AA4497" s="52">
        <f>IF(P4497="","",IF(AND(P4497="Gasto",X4497="Variable",D4497&lt;&gt;catTrading,S4497&gt;0,S4497&lt;=Umbral),1,0))</f>
        <v/>
      </c>
      <c r="AB4497" s="52">
        <f>IF(OR(P4497="",Q4497=""),"",IFERROR(IF(INDEX(ctaVinc,MATCH(Q4497,ctaNombre,0))&amp;""&lt;&gt;"",INDEX(ctaVinc,MATCH(Q4497,ctaNombre,0))&amp;"",Q4497),Q4497))</f>
        <v/>
      </c>
      <c r="AC4497" s="52">
        <f>IF(OR(K4497="",AND(P4497&lt;&gt;"Transferencia",P4497&lt;&gt;"Pago tarjeta")),"",IFERROR(IF(INDEX(ctaVinc,MATCH(K4497,ctaNombre,0))&amp;""&lt;&gt;"",INDEX(ctaVinc,MATCH(K4497,ctaNombre,0))&amp;"",K4497),K4497))</f>
        <v/>
      </c>
      <c r="AD4497" s="52">
        <f>IF(AB4497="","",IFERROR(INDEX(ctaTipo,MATCH(AB4497,ctaNombre,0))&amp;"",""))</f>
        <v/>
      </c>
      <c r="AE4497" s="52">
        <f>IF(AC4497="","",IFERROR(INDEX(ctaTipo,MATCH(AC4497,ctaNombre,0))&amp;"",""))</f>
        <v/>
      </c>
      <c r="AF4497" s="53">
        <f>IF(OR(P4497="",AB4497=""),"",IF(OR(P4497="Gasto",P4497="Transferencia",P4497="Pago tarjeta"),-1,1)*IF(IFERROR(INDEX(ctaMoneda,MATCH(AB4497,ctaNombre,0))&amp;"","DOP")="USD",T4497,S4497))</f>
        <v/>
      </c>
      <c r="AG4497" s="53">
        <f>IF(AC4497="","",IF(IFERROR(INDEX(ctaMoneda,MATCH(AC4497,ctaNombre,0))&amp;"","DOP")="USD",T4497,S4497))</f>
        <v/>
      </c>
      <c r="AH4497" s="53">
        <f>IF(P4497="","",IF(AND(AD4497&lt;&gt;"",COUNTIFS(tcTipo,AD4497,tcLiq,"Sí")&gt;0),IF(OR(P4497="Gasto",P4497="Transferencia",P4497="Pago tarjeta"),-1,1)*S4497,0)+IF(AND(AE4497&lt;&gt;"",COUNTIFS(tcTipo,AE4497,tcLiq,"Sí")&gt;0),S4497,0))</f>
        <v/>
      </c>
      <c r="AI4497" s="52">
        <f>IF(OR(L4497="",P4497=""),"",IF(COUNTIFS(L$6:L4497,L4497,P$6:P4497,"?*")=1,MAX(AI$5:AI4496)+1,""))</f>
        <v/>
      </c>
    </row>
    <row r="4498">
      <c r="B4498" s="47" t="n"/>
      <c r="C4498" s="48" t="n"/>
      <c r="D4498" s="48" t="n"/>
      <c r="E4498" s="48" t="n"/>
      <c r="F4498" s="48" t="n"/>
      <c r="G4498" s="49" t="n"/>
      <c r="H4498" s="48" t="n"/>
      <c r="I4498" s="50" t="n"/>
      <c r="J4498" s="48" t="n"/>
      <c r="K4498" s="48" t="n"/>
      <c r="L4498" s="48" t="n"/>
      <c r="M4498" s="48" t="n"/>
      <c r="N4498" s="48" t="n"/>
      <c r="O4498" s="51">
        <f>IF(AND(B4498="",G4498="",C4498="",D4498="",J4498=""),"",IF(B4498="","⚠ Falta fecha",IF(G4498="","⚠ Falta monto",IF(Q4498="","⚠ Falta cuenta",IF(ISNA(MATCH(Q4498,ctaNombre,0)),"⚠ Cuenta no registrada",IF(AND(OR(P4498="Gasto",P4498="Reembolso"),D4498=""),"⚠ Falta categoría",IF(AND(D4498&lt;&gt;"",E4498&lt;&gt;"",ISNA(MATCH(D4498&amp;"|"&amp;E4498,catClave,0))),"⚠ Subcategoría no corresponde",IF(AND(OR(P4498="Transferencia",P4498="Pago tarjeta"),K4498=""),"⚠ Falta cuenta destino",IF(AND(K4498&lt;&gt;"",P4498&lt;&gt;"Transferencia",P4498&lt;&gt;"Pago tarjeta"),"⚠ Destino solo aplica a transferencias",IF(AND(K4498&lt;&gt;"",K4498=Q4498),"⚠ Origen igual a destino",IF(AND(K4498&lt;&gt;"",ISNA(MATCH(K4498,ctaNombre,0))),"⚠ Destino no registrado",IF(AND(P4498="Pago tarjeta",AE4498&lt;&gt;"Tarjeta de crédito"),"⚠ El destino debe ser tarjeta de crédito",IF(AND(P4498="Gasto",E4498="Depósitos y retiros"),"⚠ Usa tipo Transferencia",IF(AND(P4498="Resultado trading",AD4498&lt;&gt;"Cuenta de trading"),"⚠ Usa una cuenta de trading",IF(AND(G4498&lt;=0,P4498&lt;&gt;"Ajuste",P4498&lt;&gt;"Resultado trading"),"⚠ El monto debe ser positivo","✓")))))))))))))))</f>
        <v/>
      </c>
      <c r="P4498" s="52">
        <f>IF(OR(B4498="",G4498=""),"",IF(C4498="","Gasto",C4498))</f>
        <v/>
      </c>
      <c r="Q4498" s="52">
        <f>IF(P4498="","",IF(J4498&lt;&gt;"",J4498,CuentaPred&amp;""))</f>
        <v/>
      </c>
      <c r="R4498" s="52">
        <f>IF(P4498="","",IF(ISNUMBER(I4498),I4498,TasaUSD))</f>
        <v/>
      </c>
      <c r="S4498" s="53">
        <f>IF(P4498="","",IF(H4498="USD",G4498*R4498,G4498))</f>
        <v/>
      </c>
      <c r="T4498" s="53">
        <f>IF(P4498="","",IF(H4498="USD",G4498,IF(R4498&gt;0,G4498/R4498,0)))</f>
        <v/>
      </c>
      <c r="U4498" s="53">
        <f>IF(P4498="","",IF(P4498="Gasto",S4498,IF(P4498="Reembolso",-S4498,0)))</f>
        <v/>
      </c>
      <c r="V4498" s="53">
        <f>IF(P4498="","",IF(P4498="Ingreso",S4498,0))</f>
        <v/>
      </c>
      <c r="W4498" s="53">
        <f>IF(P4498="","",IF(P4498="Resultado trading",S4498,0))</f>
        <v/>
      </c>
      <c r="X4498" s="52">
        <f>IF(OR(P4498="Gasto",P4498="Reembolso"),IF(M4498&lt;&gt;"",M4498,IFERROR(INDEX(catClasif,MATCH(D4498&amp;"|"&amp;E4498,catClave,0))&amp;"","Variable")),"")</f>
        <v/>
      </c>
      <c r="Y4498" s="52">
        <f>IF(P4498="","",IFERROR(INDEX(catGrupo,MATCH(D4498&amp;"|"&amp;E4498,catClave,0))&amp;"",""))</f>
        <v/>
      </c>
      <c r="Z4498" s="52">
        <f>IF(P4498="","",WEEKDAY(B4498,2))</f>
        <v/>
      </c>
      <c r="AA4498" s="52">
        <f>IF(P4498="","",IF(AND(P4498="Gasto",X4498="Variable",D4498&lt;&gt;catTrading,S4498&gt;0,S4498&lt;=Umbral),1,0))</f>
        <v/>
      </c>
      <c r="AB4498" s="52">
        <f>IF(OR(P4498="",Q4498=""),"",IFERROR(IF(INDEX(ctaVinc,MATCH(Q4498,ctaNombre,0))&amp;""&lt;&gt;"",INDEX(ctaVinc,MATCH(Q4498,ctaNombre,0))&amp;"",Q4498),Q4498))</f>
        <v/>
      </c>
      <c r="AC4498" s="52">
        <f>IF(OR(K4498="",AND(P4498&lt;&gt;"Transferencia",P4498&lt;&gt;"Pago tarjeta")),"",IFERROR(IF(INDEX(ctaVinc,MATCH(K4498,ctaNombre,0))&amp;""&lt;&gt;"",INDEX(ctaVinc,MATCH(K4498,ctaNombre,0))&amp;"",K4498),K4498))</f>
        <v/>
      </c>
      <c r="AD4498" s="52">
        <f>IF(AB4498="","",IFERROR(INDEX(ctaTipo,MATCH(AB4498,ctaNombre,0))&amp;"",""))</f>
        <v/>
      </c>
      <c r="AE4498" s="52">
        <f>IF(AC4498="","",IFERROR(INDEX(ctaTipo,MATCH(AC4498,ctaNombre,0))&amp;"",""))</f>
        <v/>
      </c>
      <c r="AF4498" s="53">
        <f>IF(OR(P4498="",AB4498=""),"",IF(OR(P4498="Gasto",P4498="Transferencia",P4498="Pago tarjeta"),-1,1)*IF(IFERROR(INDEX(ctaMoneda,MATCH(AB4498,ctaNombre,0))&amp;"","DOP")="USD",T4498,S4498))</f>
        <v/>
      </c>
      <c r="AG4498" s="53">
        <f>IF(AC4498="","",IF(IFERROR(INDEX(ctaMoneda,MATCH(AC4498,ctaNombre,0))&amp;"","DOP")="USD",T4498,S4498))</f>
        <v/>
      </c>
      <c r="AH4498" s="53">
        <f>IF(P4498="","",IF(AND(AD4498&lt;&gt;"",COUNTIFS(tcTipo,AD4498,tcLiq,"Sí")&gt;0),IF(OR(P4498="Gasto",P4498="Transferencia",P4498="Pago tarjeta"),-1,1)*S4498,0)+IF(AND(AE4498&lt;&gt;"",COUNTIFS(tcTipo,AE4498,tcLiq,"Sí")&gt;0),S4498,0))</f>
        <v/>
      </c>
      <c r="AI4498" s="52">
        <f>IF(OR(L4498="",P4498=""),"",IF(COUNTIFS(L$6:L4498,L4498,P$6:P4498,"?*")=1,MAX(AI$5:AI4497)+1,""))</f>
        <v/>
      </c>
    </row>
    <row r="4499">
      <c r="B4499" s="47" t="n"/>
      <c r="C4499" s="48" t="n"/>
      <c r="D4499" s="48" t="n"/>
      <c r="E4499" s="48" t="n"/>
      <c r="F4499" s="48" t="n"/>
      <c r="G4499" s="49" t="n"/>
      <c r="H4499" s="48" t="n"/>
      <c r="I4499" s="50" t="n"/>
      <c r="J4499" s="48" t="n"/>
      <c r="K4499" s="48" t="n"/>
      <c r="L4499" s="48" t="n"/>
      <c r="M4499" s="48" t="n"/>
      <c r="N4499" s="48" t="n"/>
      <c r="O4499" s="51">
        <f>IF(AND(B4499="",G4499="",C4499="",D4499="",J4499=""),"",IF(B4499="","⚠ Falta fecha",IF(G4499="","⚠ Falta monto",IF(Q4499="","⚠ Falta cuenta",IF(ISNA(MATCH(Q4499,ctaNombre,0)),"⚠ Cuenta no registrada",IF(AND(OR(P4499="Gasto",P4499="Reembolso"),D4499=""),"⚠ Falta categoría",IF(AND(D4499&lt;&gt;"",E4499&lt;&gt;"",ISNA(MATCH(D4499&amp;"|"&amp;E4499,catClave,0))),"⚠ Subcategoría no corresponde",IF(AND(OR(P4499="Transferencia",P4499="Pago tarjeta"),K4499=""),"⚠ Falta cuenta destino",IF(AND(K4499&lt;&gt;"",P4499&lt;&gt;"Transferencia",P4499&lt;&gt;"Pago tarjeta"),"⚠ Destino solo aplica a transferencias",IF(AND(K4499&lt;&gt;"",K4499=Q4499),"⚠ Origen igual a destino",IF(AND(K4499&lt;&gt;"",ISNA(MATCH(K4499,ctaNombre,0))),"⚠ Destino no registrado",IF(AND(P4499="Pago tarjeta",AE4499&lt;&gt;"Tarjeta de crédito"),"⚠ El destino debe ser tarjeta de crédito",IF(AND(P4499="Gasto",E4499="Depósitos y retiros"),"⚠ Usa tipo Transferencia",IF(AND(P4499="Resultado trading",AD4499&lt;&gt;"Cuenta de trading"),"⚠ Usa una cuenta de trading",IF(AND(G4499&lt;=0,P4499&lt;&gt;"Ajuste",P4499&lt;&gt;"Resultado trading"),"⚠ El monto debe ser positivo","✓")))))))))))))))</f>
        <v/>
      </c>
      <c r="P4499" s="52">
        <f>IF(OR(B4499="",G4499=""),"",IF(C4499="","Gasto",C4499))</f>
        <v/>
      </c>
      <c r="Q4499" s="52">
        <f>IF(P4499="","",IF(J4499&lt;&gt;"",J4499,CuentaPred&amp;""))</f>
        <v/>
      </c>
      <c r="R4499" s="52">
        <f>IF(P4499="","",IF(ISNUMBER(I4499),I4499,TasaUSD))</f>
        <v/>
      </c>
      <c r="S4499" s="53">
        <f>IF(P4499="","",IF(H4499="USD",G4499*R4499,G4499))</f>
        <v/>
      </c>
      <c r="T4499" s="53">
        <f>IF(P4499="","",IF(H4499="USD",G4499,IF(R4499&gt;0,G4499/R4499,0)))</f>
        <v/>
      </c>
      <c r="U4499" s="53">
        <f>IF(P4499="","",IF(P4499="Gasto",S4499,IF(P4499="Reembolso",-S4499,0)))</f>
        <v/>
      </c>
      <c r="V4499" s="53">
        <f>IF(P4499="","",IF(P4499="Ingreso",S4499,0))</f>
        <v/>
      </c>
      <c r="W4499" s="53">
        <f>IF(P4499="","",IF(P4499="Resultado trading",S4499,0))</f>
        <v/>
      </c>
      <c r="X4499" s="52">
        <f>IF(OR(P4499="Gasto",P4499="Reembolso"),IF(M4499&lt;&gt;"",M4499,IFERROR(INDEX(catClasif,MATCH(D4499&amp;"|"&amp;E4499,catClave,0))&amp;"","Variable")),"")</f>
        <v/>
      </c>
      <c r="Y4499" s="52">
        <f>IF(P4499="","",IFERROR(INDEX(catGrupo,MATCH(D4499&amp;"|"&amp;E4499,catClave,0))&amp;"",""))</f>
        <v/>
      </c>
      <c r="Z4499" s="52">
        <f>IF(P4499="","",WEEKDAY(B4499,2))</f>
        <v/>
      </c>
      <c r="AA4499" s="52">
        <f>IF(P4499="","",IF(AND(P4499="Gasto",X4499="Variable",D4499&lt;&gt;catTrading,S4499&gt;0,S4499&lt;=Umbral),1,0))</f>
        <v/>
      </c>
      <c r="AB4499" s="52">
        <f>IF(OR(P4499="",Q4499=""),"",IFERROR(IF(INDEX(ctaVinc,MATCH(Q4499,ctaNombre,0))&amp;""&lt;&gt;"",INDEX(ctaVinc,MATCH(Q4499,ctaNombre,0))&amp;"",Q4499),Q4499))</f>
        <v/>
      </c>
      <c r="AC4499" s="52">
        <f>IF(OR(K4499="",AND(P4499&lt;&gt;"Transferencia",P4499&lt;&gt;"Pago tarjeta")),"",IFERROR(IF(INDEX(ctaVinc,MATCH(K4499,ctaNombre,0))&amp;""&lt;&gt;"",INDEX(ctaVinc,MATCH(K4499,ctaNombre,0))&amp;"",K4499),K4499))</f>
        <v/>
      </c>
      <c r="AD4499" s="52">
        <f>IF(AB4499="","",IFERROR(INDEX(ctaTipo,MATCH(AB4499,ctaNombre,0))&amp;"",""))</f>
        <v/>
      </c>
      <c r="AE4499" s="52">
        <f>IF(AC4499="","",IFERROR(INDEX(ctaTipo,MATCH(AC4499,ctaNombre,0))&amp;"",""))</f>
        <v/>
      </c>
      <c r="AF4499" s="53">
        <f>IF(OR(P4499="",AB4499=""),"",IF(OR(P4499="Gasto",P4499="Transferencia",P4499="Pago tarjeta"),-1,1)*IF(IFERROR(INDEX(ctaMoneda,MATCH(AB4499,ctaNombre,0))&amp;"","DOP")="USD",T4499,S4499))</f>
        <v/>
      </c>
      <c r="AG4499" s="53">
        <f>IF(AC4499="","",IF(IFERROR(INDEX(ctaMoneda,MATCH(AC4499,ctaNombre,0))&amp;"","DOP")="USD",T4499,S4499))</f>
        <v/>
      </c>
      <c r="AH4499" s="53">
        <f>IF(P4499="","",IF(AND(AD4499&lt;&gt;"",COUNTIFS(tcTipo,AD4499,tcLiq,"Sí")&gt;0),IF(OR(P4499="Gasto",P4499="Transferencia",P4499="Pago tarjeta"),-1,1)*S4499,0)+IF(AND(AE4499&lt;&gt;"",COUNTIFS(tcTipo,AE4499,tcLiq,"Sí")&gt;0),S4499,0))</f>
        <v/>
      </c>
      <c r="AI4499" s="52">
        <f>IF(OR(L4499="",P4499=""),"",IF(COUNTIFS(L$6:L4499,L4499,P$6:P4499,"?*")=1,MAX(AI$5:AI4498)+1,""))</f>
        <v/>
      </c>
    </row>
    <row r="4500">
      <c r="B4500" s="47" t="n"/>
      <c r="C4500" s="48" t="n"/>
      <c r="D4500" s="48" t="n"/>
      <c r="E4500" s="48" t="n"/>
      <c r="F4500" s="48" t="n"/>
      <c r="G4500" s="49" t="n"/>
      <c r="H4500" s="48" t="n"/>
      <c r="I4500" s="50" t="n"/>
      <c r="J4500" s="48" t="n"/>
      <c r="K4500" s="48" t="n"/>
      <c r="L4500" s="48" t="n"/>
      <c r="M4500" s="48" t="n"/>
      <c r="N4500" s="48" t="n"/>
      <c r="O4500" s="51">
        <f>IF(AND(B4500="",G4500="",C4500="",D4500="",J4500=""),"",IF(B4500="","⚠ Falta fecha",IF(G4500="","⚠ Falta monto",IF(Q4500="","⚠ Falta cuenta",IF(ISNA(MATCH(Q4500,ctaNombre,0)),"⚠ Cuenta no registrada",IF(AND(OR(P4500="Gasto",P4500="Reembolso"),D4500=""),"⚠ Falta categoría",IF(AND(D4500&lt;&gt;"",E4500&lt;&gt;"",ISNA(MATCH(D4500&amp;"|"&amp;E4500,catClave,0))),"⚠ Subcategoría no corresponde",IF(AND(OR(P4500="Transferencia",P4500="Pago tarjeta"),K4500=""),"⚠ Falta cuenta destino",IF(AND(K4500&lt;&gt;"",P4500&lt;&gt;"Transferencia",P4500&lt;&gt;"Pago tarjeta"),"⚠ Destino solo aplica a transferencias",IF(AND(K4500&lt;&gt;"",K4500=Q4500),"⚠ Origen igual a destino",IF(AND(K4500&lt;&gt;"",ISNA(MATCH(K4500,ctaNombre,0))),"⚠ Destino no registrado",IF(AND(P4500="Pago tarjeta",AE4500&lt;&gt;"Tarjeta de crédito"),"⚠ El destino debe ser tarjeta de crédito",IF(AND(P4500="Gasto",E4500="Depósitos y retiros"),"⚠ Usa tipo Transferencia",IF(AND(P4500="Resultado trading",AD4500&lt;&gt;"Cuenta de trading"),"⚠ Usa una cuenta de trading",IF(AND(G4500&lt;=0,P4500&lt;&gt;"Ajuste",P4500&lt;&gt;"Resultado trading"),"⚠ El monto debe ser positivo","✓")))))))))))))))</f>
        <v/>
      </c>
      <c r="P4500" s="52">
        <f>IF(OR(B4500="",G4500=""),"",IF(C4500="","Gasto",C4500))</f>
        <v/>
      </c>
      <c r="Q4500" s="52">
        <f>IF(P4500="","",IF(J4500&lt;&gt;"",J4500,CuentaPred&amp;""))</f>
        <v/>
      </c>
      <c r="R4500" s="52">
        <f>IF(P4500="","",IF(ISNUMBER(I4500),I4500,TasaUSD))</f>
        <v/>
      </c>
      <c r="S4500" s="53">
        <f>IF(P4500="","",IF(H4500="USD",G4500*R4500,G4500))</f>
        <v/>
      </c>
      <c r="T4500" s="53">
        <f>IF(P4500="","",IF(H4500="USD",G4500,IF(R4500&gt;0,G4500/R4500,0)))</f>
        <v/>
      </c>
      <c r="U4500" s="53">
        <f>IF(P4500="","",IF(P4500="Gasto",S4500,IF(P4500="Reembolso",-S4500,0)))</f>
        <v/>
      </c>
      <c r="V4500" s="53">
        <f>IF(P4500="","",IF(P4500="Ingreso",S4500,0))</f>
        <v/>
      </c>
      <c r="W4500" s="53">
        <f>IF(P4500="","",IF(P4500="Resultado trading",S4500,0))</f>
        <v/>
      </c>
      <c r="X4500" s="52">
        <f>IF(OR(P4500="Gasto",P4500="Reembolso"),IF(M4500&lt;&gt;"",M4500,IFERROR(INDEX(catClasif,MATCH(D4500&amp;"|"&amp;E4500,catClave,0))&amp;"","Variable")),"")</f>
        <v/>
      </c>
      <c r="Y4500" s="52">
        <f>IF(P4500="","",IFERROR(INDEX(catGrupo,MATCH(D4500&amp;"|"&amp;E4500,catClave,0))&amp;"",""))</f>
        <v/>
      </c>
      <c r="Z4500" s="52">
        <f>IF(P4500="","",WEEKDAY(B4500,2))</f>
        <v/>
      </c>
      <c r="AA4500" s="52">
        <f>IF(P4500="","",IF(AND(P4500="Gasto",X4500="Variable",D4500&lt;&gt;catTrading,S4500&gt;0,S4500&lt;=Umbral),1,0))</f>
        <v/>
      </c>
      <c r="AB4500" s="52">
        <f>IF(OR(P4500="",Q4500=""),"",IFERROR(IF(INDEX(ctaVinc,MATCH(Q4500,ctaNombre,0))&amp;""&lt;&gt;"",INDEX(ctaVinc,MATCH(Q4500,ctaNombre,0))&amp;"",Q4500),Q4500))</f>
        <v/>
      </c>
      <c r="AC4500" s="52">
        <f>IF(OR(K4500="",AND(P4500&lt;&gt;"Transferencia",P4500&lt;&gt;"Pago tarjeta")),"",IFERROR(IF(INDEX(ctaVinc,MATCH(K4500,ctaNombre,0))&amp;""&lt;&gt;"",INDEX(ctaVinc,MATCH(K4500,ctaNombre,0))&amp;"",K4500),K4500))</f>
        <v/>
      </c>
      <c r="AD4500" s="52">
        <f>IF(AB4500="","",IFERROR(INDEX(ctaTipo,MATCH(AB4500,ctaNombre,0))&amp;"",""))</f>
        <v/>
      </c>
      <c r="AE4500" s="52">
        <f>IF(AC4500="","",IFERROR(INDEX(ctaTipo,MATCH(AC4500,ctaNombre,0))&amp;"",""))</f>
        <v/>
      </c>
      <c r="AF4500" s="53">
        <f>IF(OR(P4500="",AB4500=""),"",IF(OR(P4500="Gasto",P4500="Transferencia",P4500="Pago tarjeta"),-1,1)*IF(IFERROR(INDEX(ctaMoneda,MATCH(AB4500,ctaNombre,0))&amp;"","DOP")="USD",T4500,S4500))</f>
        <v/>
      </c>
      <c r="AG4500" s="53">
        <f>IF(AC4500="","",IF(IFERROR(INDEX(ctaMoneda,MATCH(AC4500,ctaNombre,0))&amp;"","DOP")="USD",T4500,S4500))</f>
        <v/>
      </c>
      <c r="AH4500" s="53">
        <f>IF(P4500="","",IF(AND(AD4500&lt;&gt;"",COUNTIFS(tcTipo,AD4500,tcLiq,"Sí")&gt;0),IF(OR(P4500="Gasto",P4500="Transferencia",P4500="Pago tarjeta"),-1,1)*S4500,0)+IF(AND(AE4500&lt;&gt;"",COUNTIFS(tcTipo,AE4500,tcLiq,"Sí")&gt;0),S4500,0))</f>
        <v/>
      </c>
      <c r="AI4500" s="52">
        <f>IF(OR(L4500="",P4500=""),"",IF(COUNTIFS(L$6:L4500,L4500,P$6:P4500,"?*")=1,MAX(AI$5:AI4499)+1,""))</f>
        <v/>
      </c>
    </row>
    <row r="4501">
      <c r="B4501" s="47" t="n"/>
      <c r="C4501" s="48" t="n"/>
      <c r="D4501" s="48" t="n"/>
      <c r="E4501" s="48" t="n"/>
      <c r="F4501" s="48" t="n"/>
      <c r="G4501" s="49" t="n"/>
      <c r="H4501" s="48" t="n"/>
      <c r="I4501" s="50" t="n"/>
      <c r="J4501" s="48" t="n"/>
      <c r="K4501" s="48" t="n"/>
      <c r="L4501" s="48" t="n"/>
      <c r="M4501" s="48" t="n"/>
      <c r="N4501" s="48" t="n"/>
      <c r="O4501" s="51">
        <f>IF(AND(B4501="",G4501="",C4501="",D4501="",J4501=""),"",IF(B4501="","⚠ Falta fecha",IF(G4501="","⚠ Falta monto",IF(Q4501="","⚠ Falta cuenta",IF(ISNA(MATCH(Q4501,ctaNombre,0)),"⚠ Cuenta no registrada",IF(AND(OR(P4501="Gasto",P4501="Reembolso"),D4501=""),"⚠ Falta categoría",IF(AND(D4501&lt;&gt;"",E4501&lt;&gt;"",ISNA(MATCH(D4501&amp;"|"&amp;E4501,catClave,0))),"⚠ Subcategoría no corresponde",IF(AND(OR(P4501="Transferencia",P4501="Pago tarjeta"),K4501=""),"⚠ Falta cuenta destino",IF(AND(K4501&lt;&gt;"",P4501&lt;&gt;"Transferencia",P4501&lt;&gt;"Pago tarjeta"),"⚠ Destino solo aplica a transferencias",IF(AND(K4501&lt;&gt;"",K4501=Q4501),"⚠ Origen igual a destino",IF(AND(K4501&lt;&gt;"",ISNA(MATCH(K4501,ctaNombre,0))),"⚠ Destino no registrado",IF(AND(P4501="Pago tarjeta",AE4501&lt;&gt;"Tarjeta de crédito"),"⚠ El destino debe ser tarjeta de crédito",IF(AND(P4501="Gasto",E4501="Depósitos y retiros"),"⚠ Usa tipo Transferencia",IF(AND(P4501="Resultado trading",AD4501&lt;&gt;"Cuenta de trading"),"⚠ Usa una cuenta de trading",IF(AND(G4501&lt;=0,P4501&lt;&gt;"Ajuste",P4501&lt;&gt;"Resultado trading"),"⚠ El monto debe ser positivo","✓")))))))))))))))</f>
        <v/>
      </c>
      <c r="P4501" s="52">
        <f>IF(OR(B4501="",G4501=""),"",IF(C4501="","Gasto",C4501))</f>
        <v/>
      </c>
      <c r="Q4501" s="52">
        <f>IF(P4501="","",IF(J4501&lt;&gt;"",J4501,CuentaPred&amp;""))</f>
        <v/>
      </c>
      <c r="R4501" s="52">
        <f>IF(P4501="","",IF(ISNUMBER(I4501),I4501,TasaUSD))</f>
        <v/>
      </c>
      <c r="S4501" s="53">
        <f>IF(P4501="","",IF(H4501="USD",G4501*R4501,G4501))</f>
        <v/>
      </c>
      <c r="T4501" s="53">
        <f>IF(P4501="","",IF(H4501="USD",G4501,IF(R4501&gt;0,G4501/R4501,0)))</f>
        <v/>
      </c>
      <c r="U4501" s="53">
        <f>IF(P4501="","",IF(P4501="Gasto",S4501,IF(P4501="Reembolso",-S4501,0)))</f>
        <v/>
      </c>
      <c r="V4501" s="53">
        <f>IF(P4501="","",IF(P4501="Ingreso",S4501,0))</f>
        <v/>
      </c>
      <c r="W4501" s="53">
        <f>IF(P4501="","",IF(P4501="Resultado trading",S4501,0))</f>
        <v/>
      </c>
      <c r="X4501" s="52">
        <f>IF(OR(P4501="Gasto",P4501="Reembolso"),IF(M4501&lt;&gt;"",M4501,IFERROR(INDEX(catClasif,MATCH(D4501&amp;"|"&amp;E4501,catClave,0))&amp;"","Variable")),"")</f>
        <v/>
      </c>
      <c r="Y4501" s="52">
        <f>IF(P4501="","",IFERROR(INDEX(catGrupo,MATCH(D4501&amp;"|"&amp;E4501,catClave,0))&amp;"",""))</f>
        <v/>
      </c>
      <c r="Z4501" s="52">
        <f>IF(P4501="","",WEEKDAY(B4501,2))</f>
        <v/>
      </c>
      <c r="AA4501" s="52">
        <f>IF(P4501="","",IF(AND(P4501="Gasto",X4501="Variable",D4501&lt;&gt;catTrading,S4501&gt;0,S4501&lt;=Umbral),1,0))</f>
        <v/>
      </c>
      <c r="AB4501" s="52">
        <f>IF(OR(P4501="",Q4501=""),"",IFERROR(IF(INDEX(ctaVinc,MATCH(Q4501,ctaNombre,0))&amp;""&lt;&gt;"",INDEX(ctaVinc,MATCH(Q4501,ctaNombre,0))&amp;"",Q4501),Q4501))</f>
        <v/>
      </c>
      <c r="AC4501" s="52">
        <f>IF(OR(K4501="",AND(P4501&lt;&gt;"Transferencia",P4501&lt;&gt;"Pago tarjeta")),"",IFERROR(IF(INDEX(ctaVinc,MATCH(K4501,ctaNombre,0))&amp;""&lt;&gt;"",INDEX(ctaVinc,MATCH(K4501,ctaNombre,0))&amp;"",K4501),K4501))</f>
        <v/>
      </c>
      <c r="AD4501" s="52">
        <f>IF(AB4501="","",IFERROR(INDEX(ctaTipo,MATCH(AB4501,ctaNombre,0))&amp;"",""))</f>
        <v/>
      </c>
      <c r="AE4501" s="52">
        <f>IF(AC4501="","",IFERROR(INDEX(ctaTipo,MATCH(AC4501,ctaNombre,0))&amp;"",""))</f>
        <v/>
      </c>
      <c r="AF4501" s="53">
        <f>IF(OR(P4501="",AB4501=""),"",IF(OR(P4501="Gasto",P4501="Transferencia",P4501="Pago tarjeta"),-1,1)*IF(IFERROR(INDEX(ctaMoneda,MATCH(AB4501,ctaNombre,0))&amp;"","DOP")="USD",T4501,S4501))</f>
        <v/>
      </c>
      <c r="AG4501" s="53">
        <f>IF(AC4501="","",IF(IFERROR(INDEX(ctaMoneda,MATCH(AC4501,ctaNombre,0))&amp;"","DOP")="USD",T4501,S4501))</f>
        <v/>
      </c>
      <c r="AH4501" s="53">
        <f>IF(P4501="","",IF(AND(AD4501&lt;&gt;"",COUNTIFS(tcTipo,AD4501,tcLiq,"Sí")&gt;0),IF(OR(P4501="Gasto",P4501="Transferencia",P4501="Pago tarjeta"),-1,1)*S4501,0)+IF(AND(AE4501&lt;&gt;"",COUNTIFS(tcTipo,AE4501,tcLiq,"Sí")&gt;0),S4501,0))</f>
        <v/>
      </c>
      <c r="AI4501" s="52">
        <f>IF(OR(L4501="",P4501=""),"",IF(COUNTIFS(L$6:L4501,L4501,P$6:P4501,"?*")=1,MAX(AI$5:AI4500)+1,""))</f>
        <v/>
      </c>
    </row>
    <row r="4502">
      <c r="B4502" s="47" t="n"/>
      <c r="C4502" s="48" t="n"/>
      <c r="D4502" s="48" t="n"/>
      <c r="E4502" s="48" t="n"/>
      <c r="F4502" s="48" t="n"/>
      <c r="G4502" s="49" t="n"/>
      <c r="H4502" s="48" t="n"/>
      <c r="I4502" s="50" t="n"/>
      <c r="J4502" s="48" t="n"/>
      <c r="K4502" s="48" t="n"/>
      <c r="L4502" s="48" t="n"/>
      <c r="M4502" s="48" t="n"/>
      <c r="N4502" s="48" t="n"/>
      <c r="O4502" s="51">
        <f>IF(AND(B4502="",G4502="",C4502="",D4502="",J4502=""),"",IF(B4502="","⚠ Falta fecha",IF(G4502="","⚠ Falta monto",IF(Q4502="","⚠ Falta cuenta",IF(ISNA(MATCH(Q4502,ctaNombre,0)),"⚠ Cuenta no registrada",IF(AND(OR(P4502="Gasto",P4502="Reembolso"),D4502=""),"⚠ Falta categoría",IF(AND(D4502&lt;&gt;"",E4502&lt;&gt;"",ISNA(MATCH(D4502&amp;"|"&amp;E4502,catClave,0))),"⚠ Subcategoría no corresponde",IF(AND(OR(P4502="Transferencia",P4502="Pago tarjeta"),K4502=""),"⚠ Falta cuenta destino",IF(AND(K4502&lt;&gt;"",P4502&lt;&gt;"Transferencia",P4502&lt;&gt;"Pago tarjeta"),"⚠ Destino solo aplica a transferencias",IF(AND(K4502&lt;&gt;"",K4502=Q4502),"⚠ Origen igual a destino",IF(AND(K4502&lt;&gt;"",ISNA(MATCH(K4502,ctaNombre,0))),"⚠ Destino no registrado",IF(AND(P4502="Pago tarjeta",AE4502&lt;&gt;"Tarjeta de crédito"),"⚠ El destino debe ser tarjeta de crédito",IF(AND(P4502="Gasto",E4502="Depósitos y retiros"),"⚠ Usa tipo Transferencia",IF(AND(P4502="Resultado trading",AD4502&lt;&gt;"Cuenta de trading"),"⚠ Usa una cuenta de trading",IF(AND(G4502&lt;=0,P4502&lt;&gt;"Ajuste",P4502&lt;&gt;"Resultado trading"),"⚠ El monto debe ser positivo","✓")))))))))))))))</f>
        <v/>
      </c>
      <c r="P4502" s="52">
        <f>IF(OR(B4502="",G4502=""),"",IF(C4502="","Gasto",C4502))</f>
        <v/>
      </c>
      <c r="Q4502" s="52">
        <f>IF(P4502="","",IF(J4502&lt;&gt;"",J4502,CuentaPred&amp;""))</f>
        <v/>
      </c>
      <c r="R4502" s="52">
        <f>IF(P4502="","",IF(ISNUMBER(I4502),I4502,TasaUSD))</f>
        <v/>
      </c>
      <c r="S4502" s="53">
        <f>IF(P4502="","",IF(H4502="USD",G4502*R4502,G4502))</f>
        <v/>
      </c>
      <c r="T4502" s="53">
        <f>IF(P4502="","",IF(H4502="USD",G4502,IF(R4502&gt;0,G4502/R4502,0)))</f>
        <v/>
      </c>
      <c r="U4502" s="53">
        <f>IF(P4502="","",IF(P4502="Gasto",S4502,IF(P4502="Reembolso",-S4502,0)))</f>
        <v/>
      </c>
      <c r="V4502" s="53">
        <f>IF(P4502="","",IF(P4502="Ingreso",S4502,0))</f>
        <v/>
      </c>
      <c r="W4502" s="53">
        <f>IF(P4502="","",IF(P4502="Resultado trading",S4502,0))</f>
        <v/>
      </c>
      <c r="X4502" s="52">
        <f>IF(OR(P4502="Gasto",P4502="Reembolso"),IF(M4502&lt;&gt;"",M4502,IFERROR(INDEX(catClasif,MATCH(D4502&amp;"|"&amp;E4502,catClave,0))&amp;"","Variable")),"")</f>
        <v/>
      </c>
      <c r="Y4502" s="52">
        <f>IF(P4502="","",IFERROR(INDEX(catGrupo,MATCH(D4502&amp;"|"&amp;E4502,catClave,0))&amp;"",""))</f>
        <v/>
      </c>
      <c r="Z4502" s="52">
        <f>IF(P4502="","",WEEKDAY(B4502,2))</f>
        <v/>
      </c>
      <c r="AA4502" s="52">
        <f>IF(P4502="","",IF(AND(P4502="Gasto",X4502="Variable",D4502&lt;&gt;catTrading,S4502&gt;0,S4502&lt;=Umbral),1,0))</f>
        <v/>
      </c>
      <c r="AB4502" s="52">
        <f>IF(OR(P4502="",Q4502=""),"",IFERROR(IF(INDEX(ctaVinc,MATCH(Q4502,ctaNombre,0))&amp;""&lt;&gt;"",INDEX(ctaVinc,MATCH(Q4502,ctaNombre,0))&amp;"",Q4502),Q4502))</f>
        <v/>
      </c>
      <c r="AC4502" s="52">
        <f>IF(OR(K4502="",AND(P4502&lt;&gt;"Transferencia",P4502&lt;&gt;"Pago tarjeta")),"",IFERROR(IF(INDEX(ctaVinc,MATCH(K4502,ctaNombre,0))&amp;""&lt;&gt;"",INDEX(ctaVinc,MATCH(K4502,ctaNombre,0))&amp;"",K4502),K4502))</f>
        <v/>
      </c>
      <c r="AD4502" s="52">
        <f>IF(AB4502="","",IFERROR(INDEX(ctaTipo,MATCH(AB4502,ctaNombre,0))&amp;"",""))</f>
        <v/>
      </c>
      <c r="AE4502" s="52">
        <f>IF(AC4502="","",IFERROR(INDEX(ctaTipo,MATCH(AC4502,ctaNombre,0))&amp;"",""))</f>
        <v/>
      </c>
      <c r="AF4502" s="53">
        <f>IF(OR(P4502="",AB4502=""),"",IF(OR(P4502="Gasto",P4502="Transferencia",P4502="Pago tarjeta"),-1,1)*IF(IFERROR(INDEX(ctaMoneda,MATCH(AB4502,ctaNombre,0))&amp;"","DOP")="USD",T4502,S4502))</f>
        <v/>
      </c>
      <c r="AG4502" s="53">
        <f>IF(AC4502="","",IF(IFERROR(INDEX(ctaMoneda,MATCH(AC4502,ctaNombre,0))&amp;"","DOP")="USD",T4502,S4502))</f>
        <v/>
      </c>
      <c r="AH4502" s="53">
        <f>IF(P4502="","",IF(AND(AD4502&lt;&gt;"",COUNTIFS(tcTipo,AD4502,tcLiq,"Sí")&gt;0),IF(OR(P4502="Gasto",P4502="Transferencia",P4502="Pago tarjeta"),-1,1)*S4502,0)+IF(AND(AE4502&lt;&gt;"",COUNTIFS(tcTipo,AE4502,tcLiq,"Sí")&gt;0),S4502,0))</f>
        <v/>
      </c>
      <c r="AI4502" s="52">
        <f>IF(OR(L4502="",P4502=""),"",IF(COUNTIFS(L$6:L4502,L4502,P$6:P4502,"?*")=1,MAX(AI$5:AI4501)+1,""))</f>
        <v/>
      </c>
    </row>
    <row r="4503">
      <c r="B4503" s="47" t="n"/>
      <c r="C4503" s="48" t="n"/>
      <c r="D4503" s="48" t="n"/>
      <c r="E4503" s="48" t="n"/>
      <c r="F4503" s="48" t="n"/>
      <c r="G4503" s="49" t="n"/>
      <c r="H4503" s="48" t="n"/>
      <c r="I4503" s="50" t="n"/>
      <c r="J4503" s="48" t="n"/>
      <c r="K4503" s="48" t="n"/>
      <c r="L4503" s="48" t="n"/>
      <c r="M4503" s="48" t="n"/>
      <c r="N4503" s="48" t="n"/>
      <c r="O4503" s="51">
        <f>IF(AND(B4503="",G4503="",C4503="",D4503="",J4503=""),"",IF(B4503="","⚠ Falta fecha",IF(G4503="","⚠ Falta monto",IF(Q4503="","⚠ Falta cuenta",IF(ISNA(MATCH(Q4503,ctaNombre,0)),"⚠ Cuenta no registrada",IF(AND(OR(P4503="Gasto",P4503="Reembolso"),D4503=""),"⚠ Falta categoría",IF(AND(D4503&lt;&gt;"",E4503&lt;&gt;"",ISNA(MATCH(D4503&amp;"|"&amp;E4503,catClave,0))),"⚠ Subcategoría no corresponde",IF(AND(OR(P4503="Transferencia",P4503="Pago tarjeta"),K4503=""),"⚠ Falta cuenta destino",IF(AND(K4503&lt;&gt;"",P4503&lt;&gt;"Transferencia",P4503&lt;&gt;"Pago tarjeta"),"⚠ Destino solo aplica a transferencias",IF(AND(K4503&lt;&gt;"",K4503=Q4503),"⚠ Origen igual a destino",IF(AND(K4503&lt;&gt;"",ISNA(MATCH(K4503,ctaNombre,0))),"⚠ Destino no registrado",IF(AND(P4503="Pago tarjeta",AE4503&lt;&gt;"Tarjeta de crédito"),"⚠ El destino debe ser tarjeta de crédito",IF(AND(P4503="Gasto",E4503="Depósitos y retiros"),"⚠ Usa tipo Transferencia",IF(AND(P4503="Resultado trading",AD4503&lt;&gt;"Cuenta de trading"),"⚠ Usa una cuenta de trading",IF(AND(G4503&lt;=0,P4503&lt;&gt;"Ajuste",P4503&lt;&gt;"Resultado trading"),"⚠ El monto debe ser positivo","✓")))))))))))))))</f>
        <v/>
      </c>
      <c r="P4503" s="52">
        <f>IF(OR(B4503="",G4503=""),"",IF(C4503="","Gasto",C4503))</f>
        <v/>
      </c>
      <c r="Q4503" s="52">
        <f>IF(P4503="","",IF(J4503&lt;&gt;"",J4503,CuentaPred&amp;""))</f>
        <v/>
      </c>
      <c r="R4503" s="52">
        <f>IF(P4503="","",IF(ISNUMBER(I4503),I4503,TasaUSD))</f>
        <v/>
      </c>
      <c r="S4503" s="53">
        <f>IF(P4503="","",IF(H4503="USD",G4503*R4503,G4503))</f>
        <v/>
      </c>
      <c r="T4503" s="53">
        <f>IF(P4503="","",IF(H4503="USD",G4503,IF(R4503&gt;0,G4503/R4503,0)))</f>
        <v/>
      </c>
      <c r="U4503" s="53">
        <f>IF(P4503="","",IF(P4503="Gasto",S4503,IF(P4503="Reembolso",-S4503,0)))</f>
        <v/>
      </c>
      <c r="V4503" s="53">
        <f>IF(P4503="","",IF(P4503="Ingreso",S4503,0))</f>
        <v/>
      </c>
      <c r="W4503" s="53">
        <f>IF(P4503="","",IF(P4503="Resultado trading",S4503,0))</f>
        <v/>
      </c>
      <c r="X4503" s="52">
        <f>IF(OR(P4503="Gasto",P4503="Reembolso"),IF(M4503&lt;&gt;"",M4503,IFERROR(INDEX(catClasif,MATCH(D4503&amp;"|"&amp;E4503,catClave,0))&amp;"","Variable")),"")</f>
        <v/>
      </c>
      <c r="Y4503" s="52">
        <f>IF(P4503="","",IFERROR(INDEX(catGrupo,MATCH(D4503&amp;"|"&amp;E4503,catClave,0))&amp;"",""))</f>
        <v/>
      </c>
      <c r="Z4503" s="52">
        <f>IF(P4503="","",WEEKDAY(B4503,2))</f>
        <v/>
      </c>
      <c r="AA4503" s="52">
        <f>IF(P4503="","",IF(AND(P4503="Gasto",X4503="Variable",D4503&lt;&gt;catTrading,S4503&gt;0,S4503&lt;=Umbral),1,0))</f>
        <v/>
      </c>
      <c r="AB4503" s="52">
        <f>IF(OR(P4503="",Q4503=""),"",IFERROR(IF(INDEX(ctaVinc,MATCH(Q4503,ctaNombre,0))&amp;""&lt;&gt;"",INDEX(ctaVinc,MATCH(Q4503,ctaNombre,0))&amp;"",Q4503),Q4503))</f>
        <v/>
      </c>
      <c r="AC4503" s="52">
        <f>IF(OR(K4503="",AND(P4503&lt;&gt;"Transferencia",P4503&lt;&gt;"Pago tarjeta")),"",IFERROR(IF(INDEX(ctaVinc,MATCH(K4503,ctaNombre,0))&amp;""&lt;&gt;"",INDEX(ctaVinc,MATCH(K4503,ctaNombre,0))&amp;"",K4503),K4503))</f>
        <v/>
      </c>
      <c r="AD4503" s="52">
        <f>IF(AB4503="","",IFERROR(INDEX(ctaTipo,MATCH(AB4503,ctaNombre,0))&amp;"",""))</f>
        <v/>
      </c>
      <c r="AE4503" s="52">
        <f>IF(AC4503="","",IFERROR(INDEX(ctaTipo,MATCH(AC4503,ctaNombre,0))&amp;"",""))</f>
        <v/>
      </c>
      <c r="AF4503" s="53">
        <f>IF(OR(P4503="",AB4503=""),"",IF(OR(P4503="Gasto",P4503="Transferencia",P4503="Pago tarjeta"),-1,1)*IF(IFERROR(INDEX(ctaMoneda,MATCH(AB4503,ctaNombre,0))&amp;"","DOP")="USD",T4503,S4503))</f>
        <v/>
      </c>
      <c r="AG4503" s="53">
        <f>IF(AC4503="","",IF(IFERROR(INDEX(ctaMoneda,MATCH(AC4503,ctaNombre,0))&amp;"","DOP")="USD",T4503,S4503))</f>
        <v/>
      </c>
      <c r="AH4503" s="53">
        <f>IF(P4503="","",IF(AND(AD4503&lt;&gt;"",COUNTIFS(tcTipo,AD4503,tcLiq,"Sí")&gt;0),IF(OR(P4503="Gasto",P4503="Transferencia",P4503="Pago tarjeta"),-1,1)*S4503,0)+IF(AND(AE4503&lt;&gt;"",COUNTIFS(tcTipo,AE4503,tcLiq,"Sí")&gt;0),S4503,0))</f>
        <v/>
      </c>
      <c r="AI4503" s="52">
        <f>IF(OR(L4503="",P4503=""),"",IF(COUNTIFS(L$6:L4503,L4503,P$6:P4503,"?*")=1,MAX(AI$5:AI4502)+1,""))</f>
        <v/>
      </c>
    </row>
    <row r="4504">
      <c r="B4504" s="47" t="n"/>
      <c r="C4504" s="48" t="n"/>
      <c r="D4504" s="48" t="n"/>
      <c r="E4504" s="48" t="n"/>
      <c r="F4504" s="48" t="n"/>
      <c r="G4504" s="49" t="n"/>
      <c r="H4504" s="48" t="n"/>
      <c r="I4504" s="50" t="n"/>
      <c r="J4504" s="48" t="n"/>
      <c r="K4504" s="48" t="n"/>
      <c r="L4504" s="48" t="n"/>
      <c r="M4504" s="48" t="n"/>
      <c r="N4504" s="48" t="n"/>
      <c r="O4504" s="51">
        <f>IF(AND(B4504="",G4504="",C4504="",D4504="",J4504=""),"",IF(B4504="","⚠ Falta fecha",IF(G4504="","⚠ Falta monto",IF(Q4504="","⚠ Falta cuenta",IF(ISNA(MATCH(Q4504,ctaNombre,0)),"⚠ Cuenta no registrada",IF(AND(OR(P4504="Gasto",P4504="Reembolso"),D4504=""),"⚠ Falta categoría",IF(AND(D4504&lt;&gt;"",E4504&lt;&gt;"",ISNA(MATCH(D4504&amp;"|"&amp;E4504,catClave,0))),"⚠ Subcategoría no corresponde",IF(AND(OR(P4504="Transferencia",P4504="Pago tarjeta"),K4504=""),"⚠ Falta cuenta destino",IF(AND(K4504&lt;&gt;"",P4504&lt;&gt;"Transferencia",P4504&lt;&gt;"Pago tarjeta"),"⚠ Destino solo aplica a transferencias",IF(AND(K4504&lt;&gt;"",K4504=Q4504),"⚠ Origen igual a destino",IF(AND(K4504&lt;&gt;"",ISNA(MATCH(K4504,ctaNombre,0))),"⚠ Destino no registrado",IF(AND(P4504="Pago tarjeta",AE4504&lt;&gt;"Tarjeta de crédito"),"⚠ El destino debe ser tarjeta de crédito",IF(AND(P4504="Gasto",E4504="Depósitos y retiros"),"⚠ Usa tipo Transferencia",IF(AND(P4504="Resultado trading",AD4504&lt;&gt;"Cuenta de trading"),"⚠ Usa una cuenta de trading",IF(AND(G4504&lt;=0,P4504&lt;&gt;"Ajuste",P4504&lt;&gt;"Resultado trading"),"⚠ El monto debe ser positivo","✓")))))))))))))))</f>
        <v/>
      </c>
      <c r="P4504" s="52">
        <f>IF(OR(B4504="",G4504=""),"",IF(C4504="","Gasto",C4504))</f>
        <v/>
      </c>
      <c r="Q4504" s="52">
        <f>IF(P4504="","",IF(J4504&lt;&gt;"",J4504,CuentaPred&amp;""))</f>
        <v/>
      </c>
      <c r="R4504" s="52">
        <f>IF(P4504="","",IF(ISNUMBER(I4504),I4504,TasaUSD))</f>
        <v/>
      </c>
      <c r="S4504" s="53">
        <f>IF(P4504="","",IF(H4504="USD",G4504*R4504,G4504))</f>
        <v/>
      </c>
      <c r="T4504" s="53">
        <f>IF(P4504="","",IF(H4504="USD",G4504,IF(R4504&gt;0,G4504/R4504,0)))</f>
        <v/>
      </c>
      <c r="U4504" s="53">
        <f>IF(P4504="","",IF(P4504="Gasto",S4504,IF(P4504="Reembolso",-S4504,0)))</f>
        <v/>
      </c>
      <c r="V4504" s="53">
        <f>IF(P4504="","",IF(P4504="Ingreso",S4504,0))</f>
        <v/>
      </c>
      <c r="W4504" s="53">
        <f>IF(P4504="","",IF(P4504="Resultado trading",S4504,0))</f>
        <v/>
      </c>
      <c r="X4504" s="52">
        <f>IF(OR(P4504="Gasto",P4504="Reembolso"),IF(M4504&lt;&gt;"",M4504,IFERROR(INDEX(catClasif,MATCH(D4504&amp;"|"&amp;E4504,catClave,0))&amp;"","Variable")),"")</f>
        <v/>
      </c>
      <c r="Y4504" s="52">
        <f>IF(P4504="","",IFERROR(INDEX(catGrupo,MATCH(D4504&amp;"|"&amp;E4504,catClave,0))&amp;"",""))</f>
        <v/>
      </c>
      <c r="Z4504" s="52">
        <f>IF(P4504="","",WEEKDAY(B4504,2))</f>
        <v/>
      </c>
      <c r="AA4504" s="52">
        <f>IF(P4504="","",IF(AND(P4504="Gasto",X4504="Variable",D4504&lt;&gt;catTrading,S4504&gt;0,S4504&lt;=Umbral),1,0))</f>
        <v/>
      </c>
      <c r="AB4504" s="52">
        <f>IF(OR(P4504="",Q4504=""),"",IFERROR(IF(INDEX(ctaVinc,MATCH(Q4504,ctaNombre,0))&amp;""&lt;&gt;"",INDEX(ctaVinc,MATCH(Q4504,ctaNombre,0))&amp;"",Q4504),Q4504))</f>
        <v/>
      </c>
      <c r="AC4504" s="52">
        <f>IF(OR(K4504="",AND(P4504&lt;&gt;"Transferencia",P4504&lt;&gt;"Pago tarjeta")),"",IFERROR(IF(INDEX(ctaVinc,MATCH(K4504,ctaNombre,0))&amp;""&lt;&gt;"",INDEX(ctaVinc,MATCH(K4504,ctaNombre,0))&amp;"",K4504),K4504))</f>
        <v/>
      </c>
      <c r="AD4504" s="52">
        <f>IF(AB4504="","",IFERROR(INDEX(ctaTipo,MATCH(AB4504,ctaNombre,0))&amp;"",""))</f>
        <v/>
      </c>
      <c r="AE4504" s="52">
        <f>IF(AC4504="","",IFERROR(INDEX(ctaTipo,MATCH(AC4504,ctaNombre,0))&amp;"",""))</f>
        <v/>
      </c>
      <c r="AF4504" s="53">
        <f>IF(OR(P4504="",AB4504=""),"",IF(OR(P4504="Gasto",P4504="Transferencia",P4504="Pago tarjeta"),-1,1)*IF(IFERROR(INDEX(ctaMoneda,MATCH(AB4504,ctaNombre,0))&amp;"","DOP")="USD",T4504,S4504))</f>
        <v/>
      </c>
      <c r="AG4504" s="53">
        <f>IF(AC4504="","",IF(IFERROR(INDEX(ctaMoneda,MATCH(AC4504,ctaNombre,0))&amp;"","DOP")="USD",T4504,S4504))</f>
        <v/>
      </c>
      <c r="AH4504" s="53">
        <f>IF(P4504="","",IF(AND(AD4504&lt;&gt;"",COUNTIFS(tcTipo,AD4504,tcLiq,"Sí")&gt;0),IF(OR(P4504="Gasto",P4504="Transferencia",P4504="Pago tarjeta"),-1,1)*S4504,0)+IF(AND(AE4504&lt;&gt;"",COUNTIFS(tcTipo,AE4504,tcLiq,"Sí")&gt;0),S4504,0))</f>
        <v/>
      </c>
      <c r="AI4504" s="52">
        <f>IF(OR(L4504="",P4504=""),"",IF(COUNTIFS(L$6:L4504,L4504,P$6:P4504,"?*")=1,MAX(AI$5:AI4503)+1,""))</f>
        <v/>
      </c>
    </row>
    <row r="4505">
      <c r="B4505" s="47" t="n"/>
      <c r="C4505" s="48" t="n"/>
      <c r="D4505" s="48" t="n"/>
      <c r="E4505" s="48" t="n"/>
      <c r="F4505" s="48" t="n"/>
      <c r="G4505" s="49" t="n"/>
      <c r="H4505" s="48" t="n"/>
      <c r="I4505" s="50" t="n"/>
      <c r="J4505" s="48" t="n"/>
      <c r="K4505" s="48" t="n"/>
      <c r="L4505" s="48" t="n"/>
      <c r="M4505" s="48" t="n"/>
      <c r="N4505" s="48" t="n"/>
      <c r="O4505" s="51">
        <f>IF(AND(B4505="",G4505="",C4505="",D4505="",J4505=""),"",IF(B4505="","⚠ Falta fecha",IF(G4505="","⚠ Falta monto",IF(Q4505="","⚠ Falta cuenta",IF(ISNA(MATCH(Q4505,ctaNombre,0)),"⚠ Cuenta no registrada",IF(AND(OR(P4505="Gasto",P4505="Reembolso"),D4505=""),"⚠ Falta categoría",IF(AND(D4505&lt;&gt;"",E4505&lt;&gt;"",ISNA(MATCH(D4505&amp;"|"&amp;E4505,catClave,0))),"⚠ Subcategoría no corresponde",IF(AND(OR(P4505="Transferencia",P4505="Pago tarjeta"),K4505=""),"⚠ Falta cuenta destino",IF(AND(K4505&lt;&gt;"",P4505&lt;&gt;"Transferencia",P4505&lt;&gt;"Pago tarjeta"),"⚠ Destino solo aplica a transferencias",IF(AND(K4505&lt;&gt;"",K4505=Q4505),"⚠ Origen igual a destino",IF(AND(K4505&lt;&gt;"",ISNA(MATCH(K4505,ctaNombre,0))),"⚠ Destino no registrado",IF(AND(P4505="Pago tarjeta",AE4505&lt;&gt;"Tarjeta de crédito"),"⚠ El destino debe ser tarjeta de crédito",IF(AND(P4505="Gasto",E4505="Depósitos y retiros"),"⚠ Usa tipo Transferencia",IF(AND(P4505="Resultado trading",AD4505&lt;&gt;"Cuenta de trading"),"⚠ Usa una cuenta de trading",IF(AND(G4505&lt;=0,P4505&lt;&gt;"Ajuste",P4505&lt;&gt;"Resultado trading"),"⚠ El monto debe ser positivo","✓")))))))))))))))</f>
        <v/>
      </c>
      <c r="P4505" s="52">
        <f>IF(OR(B4505="",G4505=""),"",IF(C4505="","Gasto",C4505))</f>
        <v/>
      </c>
      <c r="Q4505" s="52">
        <f>IF(P4505="","",IF(J4505&lt;&gt;"",J4505,CuentaPred&amp;""))</f>
        <v/>
      </c>
      <c r="R4505" s="52">
        <f>IF(P4505="","",IF(ISNUMBER(I4505),I4505,TasaUSD))</f>
        <v/>
      </c>
      <c r="S4505" s="53">
        <f>IF(P4505="","",IF(H4505="USD",G4505*R4505,G4505))</f>
        <v/>
      </c>
      <c r="T4505" s="53">
        <f>IF(P4505="","",IF(H4505="USD",G4505,IF(R4505&gt;0,G4505/R4505,0)))</f>
        <v/>
      </c>
      <c r="U4505" s="53">
        <f>IF(P4505="","",IF(P4505="Gasto",S4505,IF(P4505="Reembolso",-S4505,0)))</f>
        <v/>
      </c>
      <c r="V4505" s="53">
        <f>IF(P4505="","",IF(P4505="Ingreso",S4505,0))</f>
        <v/>
      </c>
      <c r="W4505" s="53">
        <f>IF(P4505="","",IF(P4505="Resultado trading",S4505,0))</f>
        <v/>
      </c>
      <c r="X4505" s="52">
        <f>IF(OR(P4505="Gasto",P4505="Reembolso"),IF(M4505&lt;&gt;"",M4505,IFERROR(INDEX(catClasif,MATCH(D4505&amp;"|"&amp;E4505,catClave,0))&amp;"","Variable")),"")</f>
        <v/>
      </c>
      <c r="Y4505" s="52">
        <f>IF(P4505="","",IFERROR(INDEX(catGrupo,MATCH(D4505&amp;"|"&amp;E4505,catClave,0))&amp;"",""))</f>
        <v/>
      </c>
      <c r="Z4505" s="52">
        <f>IF(P4505="","",WEEKDAY(B4505,2))</f>
        <v/>
      </c>
      <c r="AA4505" s="52">
        <f>IF(P4505="","",IF(AND(P4505="Gasto",X4505="Variable",D4505&lt;&gt;catTrading,S4505&gt;0,S4505&lt;=Umbral),1,0))</f>
        <v/>
      </c>
      <c r="AB4505" s="52">
        <f>IF(OR(P4505="",Q4505=""),"",IFERROR(IF(INDEX(ctaVinc,MATCH(Q4505,ctaNombre,0))&amp;""&lt;&gt;"",INDEX(ctaVinc,MATCH(Q4505,ctaNombre,0))&amp;"",Q4505),Q4505))</f>
        <v/>
      </c>
      <c r="AC4505" s="52">
        <f>IF(OR(K4505="",AND(P4505&lt;&gt;"Transferencia",P4505&lt;&gt;"Pago tarjeta")),"",IFERROR(IF(INDEX(ctaVinc,MATCH(K4505,ctaNombre,0))&amp;""&lt;&gt;"",INDEX(ctaVinc,MATCH(K4505,ctaNombre,0))&amp;"",K4505),K4505))</f>
        <v/>
      </c>
      <c r="AD4505" s="52">
        <f>IF(AB4505="","",IFERROR(INDEX(ctaTipo,MATCH(AB4505,ctaNombre,0))&amp;"",""))</f>
        <v/>
      </c>
      <c r="AE4505" s="52">
        <f>IF(AC4505="","",IFERROR(INDEX(ctaTipo,MATCH(AC4505,ctaNombre,0))&amp;"",""))</f>
        <v/>
      </c>
      <c r="AF4505" s="53">
        <f>IF(OR(P4505="",AB4505=""),"",IF(OR(P4505="Gasto",P4505="Transferencia",P4505="Pago tarjeta"),-1,1)*IF(IFERROR(INDEX(ctaMoneda,MATCH(AB4505,ctaNombre,0))&amp;"","DOP")="USD",T4505,S4505))</f>
        <v/>
      </c>
      <c r="AG4505" s="53">
        <f>IF(AC4505="","",IF(IFERROR(INDEX(ctaMoneda,MATCH(AC4505,ctaNombre,0))&amp;"","DOP")="USD",T4505,S4505))</f>
        <v/>
      </c>
      <c r="AH4505" s="53">
        <f>IF(P4505="","",IF(AND(AD4505&lt;&gt;"",COUNTIFS(tcTipo,AD4505,tcLiq,"Sí")&gt;0),IF(OR(P4505="Gasto",P4505="Transferencia",P4505="Pago tarjeta"),-1,1)*S4505,0)+IF(AND(AE4505&lt;&gt;"",COUNTIFS(tcTipo,AE4505,tcLiq,"Sí")&gt;0),S4505,0))</f>
        <v/>
      </c>
      <c r="AI4505" s="52">
        <f>IF(OR(L4505="",P4505=""),"",IF(COUNTIFS(L$6:L4505,L4505,P$6:P4505,"?*")=1,MAX(AI$5:AI4504)+1,""))</f>
        <v/>
      </c>
    </row>
    <row r="4506">
      <c r="B4506" s="47" t="n"/>
      <c r="C4506" s="48" t="n"/>
      <c r="D4506" s="48" t="n"/>
      <c r="E4506" s="48" t="n"/>
      <c r="F4506" s="48" t="n"/>
      <c r="G4506" s="49" t="n"/>
      <c r="H4506" s="48" t="n"/>
      <c r="I4506" s="50" t="n"/>
      <c r="J4506" s="48" t="n"/>
      <c r="K4506" s="48" t="n"/>
      <c r="L4506" s="48" t="n"/>
      <c r="M4506" s="48" t="n"/>
      <c r="N4506" s="48" t="n"/>
      <c r="O4506" s="51">
        <f>IF(AND(B4506="",G4506="",C4506="",D4506="",J4506=""),"",IF(B4506="","⚠ Falta fecha",IF(G4506="","⚠ Falta monto",IF(Q4506="","⚠ Falta cuenta",IF(ISNA(MATCH(Q4506,ctaNombre,0)),"⚠ Cuenta no registrada",IF(AND(OR(P4506="Gasto",P4506="Reembolso"),D4506=""),"⚠ Falta categoría",IF(AND(D4506&lt;&gt;"",E4506&lt;&gt;"",ISNA(MATCH(D4506&amp;"|"&amp;E4506,catClave,0))),"⚠ Subcategoría no corresponde",IF(AND(OR(P4506="Transferencia",P4506="Pago tarjeta"),K4506=""),"⚠ Falta cuenta destino",IF(AND(K4506&lt;&gt;"",P4506&lt;&gt;"Transferencia",P4506&lt;&gt;"Pago tarjeta"),"⚠ Destino solo aplica a transferencias",IF(AND(K4506&lt;&gt;"",K4506=Q4506),"⚠ Origen igual a destino",IF(AND(K4506&lt;&gt;"",ISNA(MATCH(K4506,ctaNombre,0))),"⚠ Destino no registrado",IF(AND(P4506="Pago tarjeta",AE4506&lt;&gt;"Tarjeta de crédito"),"⚠ El destino debe ser tarjeta de crédito",IF(AND(P4506="Gasto",E4506="Depósitos y retiros"),"⚠ Usa tipo Transferencia",IF(AND(P4506="Resultado trading",AD4506&lt;&gt;"Cuenta de trading"),"⚠ Usa una cuenta de trading",IF(AND(G4506&lt;=0,P4506&lt;&gt;"Ajuste",P4506&lt;&gt;"Resultado trading"),"⚠ El monto debe ser positivo","✓")))))))))))))))</f>
        <v/>
      </c>
      <c r="P4506" s="52">
        <f>IF(OR(B4506="",G4506=""),"",IF(C4506="","Gasto",C4506))</f>
        <v/>
      </c>
      <c r="Q4506" s="52">
        <f>IF(P4506="","",IF(J4506&lt;&gt;"",J4506,CuentaPred&amp;""))</f>
        <v/>
      </c>
      <c r="R4506" s="52">
        <f>IF(P4506="","",IF(ISNUMBER(I4506),I4506,TasaUSD))</f>
        <v/>
      </c>
      <c r="S4506" s="53">
        <f>IF(P4506="","",IF(H4506="USD",G4506*R4506,G4506))</f>
        <v/>
      </c>
      <c r="T4506" s="53">
        <f>IF(P4506="","",IF(H4506="USD",G4506,IF(R4506&gt;0,G4506/R4506,0)))</f>
        <v/>
      </c>
      <c r="U4506" s="53">
        <f>IF(P4506="","",IF(P4506="Gasto",S4506,IF(P4506="Reembolso",-S4506,0)))</f>
        <v/>
      </c>
      <c r="V4506" s="53">
        <f>IF(P4506="","",IF(P4506="Ingreso",S4506,0))</f>
        <v/>
      </c>
      <c r="W4506" s="53">
        <f>IF(P4506="","",IF(P4506="Resultado trading",S4506,0))</f>
        <v/>
      </c>
      <c r="X4506" s="52">
        <f>IF(OR(P4506="Gasto",P4506="Reembolso"),IF(M4506&lt;&gt;"",M4506,IFERROR(INDEX(catClasif,MATCH(D4506&amp;"|"&amp;E4506,catClave,0))&amp;"","Variable")),"")</f>
        <v/>
      </c>
      <c r="Y4506" s="52">
        <f>IF(P4506="","",IFERROR(INDEX(catGrupo,MATCH(D4506&amp;"|"&amp;E4506,catClave,0))&amp;"",""))</f>
        <v/>
      </c>
      <c r="Z4506" s="52">
        <f>IF(P4506="","",WEEKDAY(B4506,2))</f>
        <v/>
      </c>
      <c r="AA4506" s="52">
        <f>IF(P4506="","",IF(AND(P4506="Gasto",X4506="Variable",D4506&lt;&gt;catTrading,S4506&gt;0,S4506&lt;=Umbral),1,0))</f>
        <v/>
      </c>
      <c r="AB4506" s="52">
        <f>IF(OR(P4506="",Q4506=""),"",IFERROR(IF(INDEX(ctaVinc,MATCH(Q4506,ctaNombre,0))&amp;""&lt;&gt;"",INDEX(ctaVinc,MATCH(Q4506,ctaNombre,0))&amp;"",Q4506),Q4506))</f>
        <v/>
      </c>
      <c r="AC4506" s="52">
        <f>IF(OR(K4506="",AND(P4506&lt;&gt;"Transferencia",P4506&lt;&gt;"Pago tarjeta")),"",IFERROR(IF(INDEX(ctaVinc,MATCH(K4506,ctaNombre,0))&amp;""&lt;&gt;"",INDEX(ctaVinc,MATCH(K4506,ctaNombre,0))&amp;"",K4506),K4506))</f>
        <v/>
      </c>
      <c r="AD4506" s="52">
        <f>IF(AB4506="","",IFERROR(INDEX(ctaTipo,MATCH(AB4506,ctaNombre,0))&amp;"",""))</f>
        <v/>
      </c>
      <c r="AE4506" s="52">
        <f>IF(AC4506="","",IFERROR(INDEX(ctaTipo,MATCH(AC4506,ctaNombre,0))&amp;"",""))</f>
        <v/>
      </c>
      <c r="AF4506" s="53">
        <f>IF(OR(P4506="",AB4506=""),"",IF(OR(P4506="Gasto",P4506="Transferencia",P4506="Pago tarjeta"),-1,1)*IF(IFERROR(INDEX(ctaMoneda,MATCH(AB4506,ctaNombre,0))&amp;"","DOP")="USD",T4506,S4506))</f>
        <v/>
      </c>
      <c r="AG4506" s="53">
        <f>IF(AC4506="","",IF(IFERROR(INDEX(ctaMoneda,MATCH(AC4506,ctaNombre,0))&amp;"","DOP")="USD",T4506,S4506))</f>
        <v/>
      </c>
      <c r="AH4506" s="53">
        <f>IF(P4506="","",IF(AND(AD4506&lt;&gt;"",COUNTIFS(tcTipo,AD4506,tcLiq,"Sí")&gt;0),IF(OR(P4506="Gasto",P4506="Transferencia",P4506="Pago tarjeta"),-1,1)*S4506,0)+IF(AND(AE4506&lt;&gt;"",COUNTIFS(tcTipo,AE4506,tcLiq,"Sí")&gt;0),S4506,0))</f>
        <v/>
      </c>
      <c r="AI4506" s="52">
        <f>IF(OR(L4506="",P4506=""),"",IF(COUNTIFS(L$6:L4506,L4506,P$6:P4506,"?*")=1,MAX(AI$5:AI4505)+1,""))</f>
        <v/>
      </c>
    </row>
    <row r="4507">
      <c r="B4507" s="47" t="n"/>
      <c r="C4507" s="48" t="n"/>
      <c r="D4507" s="48" t="n"/>
      <c r="E4507" s="48" t="n"/>
      <c r="F4507" s="48" t="n"/>
      <c r="G4507" s="49" t="n"/>
      <c r="H4507" s="48" t="n"/>
      <c r="I4507" s="50" t="n"/>
      <c r="J4507" s="48" t="n"/>
      <c r="K4507" s="48" t="n"/>
      <c r="L4507" s="48" t="n"/>
      <c r="M4507" s="48" t="n"/>
      <c r="N4507" s="48" t="n"/>
      <c r="O4507" s="51">
        <f>IF(AND(B4507="",G4507="",C4507="",D4507="",J4507=""),"",IF(B4507="","⚠ Falta fecha",IF(G4507="","⚠ Falta monto",IF(Q4507="","⚠ Falta cuenta",IF(ISNA(MATCH(Q4507,ctaNombre,0)),"⚠ Cuenta no registrada",IF(AND(OR(P4507="Gasto",P4507="Reembolso"),D4507=""),"⚠ Falta categoría",IF(AND(D4507&lt;&gt;"",E4507&lt;&gt;"",ISNA(MATCH(D4507&amp;"|"&amp;E4507,catClave,0))),"⚠ Subcategoría no corresponde",IF(AND(OR(P4507="Transferencia",P4507="Pago tarjeta"),K4507=""),"⚠ Falta cuenta destino",IF(AND(K4507&lt;&gt;"",P4507&lt;&gt;"Transferencia",P4507&lt;&gt;"Pago tarjeta"),"⚠ Destino solo aplica a transferencias",IF(AND(K4507&lt;&gt;"",K4507=Q4507),"⚠ Origen igual a destino",IF(AND(K4507&lt;&gt;"",ISNA(MATCH(K4507,ctaNombre,0))),"⚠ Destino no registrado",IF(AND(P4507="Pago tarjeta",AE4507&lt;&gt;"Tarjeta de crédito"),"⚠ El destino debe ser tarjeta de crédito",IF(AND(P4507="Gasto",E4507="Depósitos y retiros"),"⚠ Usa tipo Transferencia",IF(AND(P4507="Resultado trading",AD4507&lt;&gt;"Cuenta de trading"),"⚠ Usa una cuenta de trading",IF(AND(G4507&lt;=0,P4507&lt;&gt;"Ajuste",P4507&lt;&gt;"Resultado trading"),"⚠ El monto debe ser positivo","✓")))))))))))))))</f>
        <v/>
      </c>
      <c r="P4507" s="52">
        <f>IF(OR(B4507="",G4507=""),"",IF(C4507="","Gasto",C4507))</f>
        <v/>
      </c>
      <c r="Q4507" s="52">
        <f>IF(P4507="","",IF(J4507&lt;&gt;"",J4507,CuentaPred&amp;""))</f>
        <v/>
      </c>
      <c r="R4507" s="52">
        <f>IF(P4507="","",IF(ISNUMBER(I4507),I4507,TasaUSD))</f>
        <v/>
      </c>
      <c r="S4507" s="53">
        <f>IF(P4507="","",IF(H4507="USD",G4507*R4507,G4507))</f>
        <v/>
      </c>
      <c r="T4507" s="53">
        <f>IF(P4507="","",IF(H4507="USD",G4507,IF(R4507&gt;0,G4507/R4507,0)))</f>
        <v/>
      </c>
      <c r="U4507" s="53">
        <f>IF(P4507="","",IF(P4507="Gasto",S4507,IF(P4507="Reembolso",-S4507,0)))</f>
        <v/>
      </c>
      <c r="V4507" s="53">
        <f>IF(P4507="","",IF(P4507="Ingreso",S4507,0))</f>
        <v/>
      </c>
      <c r="W4507" s="53">
        <f>IF(P4507="","",IF(P4507="Resultado trading",S4507,0))</f>
        <v/>
      </c>
      <c r="X4507" s="52">
        <f>IF(OR(P4507="Gasto",P4507="Reembolso"),IF(M4507&lt;&gt;"",M4507,IFERROR(INDEX(catClasif,MATCH(D4507&amp;"|"&amp;E4507,catClave,0))&amp;"","Variable")),"")</f>
        <v/>
      </c>
      <c r="Y4507" s="52">
        <f>IF(P4507="","",IFERROR(INDEX(catGrupo,MATCH(D4507&amp;"|"&amp;E4507,catClave,0))&amp;"",""))</f>
        <v/>
      </c>
      <c r="Z4507" s="52">
        <f>IF(P4507="","",WEEKDAY(B4507,2))</f>
        <v/>
      </c>
      <c r="AA4507" s="52">
        <f>IF(P4507="","",IF(AND(P4507="Gasto",X4507="Variable",D4507&lt;&gt;catTrading,S4507&gt;0,S4507&lt;=Umbral),1,0))</f>
        <v/>
      </c>
      <c r="AB4507" s="52">
        <f>IF(OR(P4507="",Q4507=""),"",IFERROR(IF(INDEX(ctaVinc,MATCH(Q4507,ctaNombre,0))&amp;""&lt;&gt;"",INDEX(ctaVinc,MATCH(Q4507,ctaNombre,0))&amp;"",Q4507),Q4507))</f>
        <v/>
      </c>
      <c r="AC4507" s="52">
        <f>IF(OR(K4507="",AND(P4507&lt;&gt;"Transferencia",P4507&lt;&gt;"Pago tarjeta")),"",IFERROR(IF(INDEX(ctaVinc,MATCH(K4507,ctaNombre,0))&amp;""&lt;&gt;"",INDEX(ctaVinc,MATCH(K4507,ctaNombre,0))&amp;"",K4507),K4507))</f>
        <v/>
      </c>
      <c r="AD4507" s="52">
        <f>IF(AB4507="","",IFERROR(INDEX(ctaTipo,MATCH(AB4507,ctaNombre,0))&amp;"",""))</f>
        <v/>
      </c>
      <c r="AE4507" s="52">
        <f>IF(AC4507="","",IFERROR(INDEX(ctaTipo,MATCH(AC4507,ctaNombre,0))&amp;"",""))</f>
        <v/>
      </c>
      <c r="AF4507" s="53">
        <f>IF(OR(P4507="",AB4507=""),"",IF(OR(P4507="Gasto",P4507="Transferencia",P4507="Pago tarjeta"),-1,1)*IF(IFERROR(INDEX(ctaMoneda,MATCH(AB4507,ctaNombre,0))&amp;"","DOP")="USD",T4507,S4507))</f>
        <v/>
      </c>
      <c r="AG4507" s="53">
        <f>IF(AC4507="","",IF(IFERROR(INDEX(ctaMoneda,MATCH(AC4507,ctaNombre,0))&amp;"","DOP")="USD",T4507,S4507))</f>
        <v/>
      </c>
      <c r="AH4507" s="53">
        <f>IF(P4507="","",IF(AND(AD4507&lt;&gt;"",COUNTIFS(tcTipo,AD4507,tcLiq,"Sí")&gt;0),IF(OR(P4507="Gasto",P4507="Transferencia",P4507="Pago tarjeta"),-1,1)*S4507,0)+IF(AND(AE4507&lt;&gt;"",COUNTIFS(tcTipo,AE4507,tcLiq,"Sí")&gt;0),S4507,0))</f>
        <v/>
      </c>
      <c r="AI4507" s="52">
        <f>IF(OR(L4507="",P4507=""),"",IF(COUNTIFS(L$6:L4507,L4507,P$6:P4507,"?*")=1,MAX(AI$5:AI4506)+1,""))</f>
        <v/>
      </c>
    </row>
    <row r="4508">
      <c r="B4508" s="47" t="n"/>
      <c r="C4508" s="48" t="n"/>
      <c r="D4508" s="48" t="n"/>
      <c r="E4508" s="48" t="n"/>
      <c r="F4508" s="48" t="n"/>
      <c r="G4508" s="49" t="n"/>
      <c r="H4508" s="48" t="n"/>
      <c r="I4508" s="50" t="n"/>
      <c r="J4508" s="48" t="n"/>
      <c r="K4508" s="48" t="n"/>
      <c r="L4508" s="48" t="n"/>
      <c r="M4508" s="48" t="n"/>
      <c r="N4508" s="48" t="n"/>
      <c r="O4508" s="51">
        <f>IF(AND(B4508="",G4508="",C4508="",D4508="",J4508=""),"",IF(B4508="","⚠ Falta fecha",IF(G4508="","⚠ Falta monto",IF(Q4508="","⚠ Falta cuenta",IF(ISNA(MATCH(Q4508,ctaNombre,0)),"⚠ Cuenta no registrada",IF(AND(OR(P4508="Gasto",P4508="Reembolso"),D4508=""),"⚠ Falta categoría",IF(AND(D4508&lt;&gt;"",E4508&lt;&gt;"",ISNA(MATCH(D4508&amp;"|"&amp;E4508,catClave,0))),"⚠ Subcategoría no corresponde",IF(AND(OR(P4508="Transferencia",P4508="Pago tarjeta"),K4508=""),"⚠ Falta cuenta destino",IF(AND(K4508&lt;&gt;"",P4508&lt;&gt;"Transferencia",P4508&lt;&gt;"Pago tarjeta"),"⚠ Destino solo aplica a transferencias",IF(AND(K4508&lt;&gt;"",K4508=Q4508),"⚠ Origen igual a destino",IF(AND(K4508&lt;&gt;"",ISNA(MATCH(K4508,ctaNombre,0))),"⚠ Destino no registrado",IF(AND(P4508="Pago tarjeta",AE4508&lt;&gt;"Tarjeta de crédito"),"⚠ El destino debe ser tarjeta de crédito",IF(AND(P4508="Gasto",E4508="Depósitos y retiros"),"⚠ Usa tipo Transferencia",IF(AND(P4508="Resultado trading",AD4508&lt;&gt;"Cuenta de trading"),"⚠ Usa una cuenta de trading",IF(AND(G4508&lt;=0,P4508&lt;&gt;"Ajuste",P4508&lt;&gt;"Resultado trading"),"⚠ El monto debe ser positivo","✓")))))))))))))))</f>
        <v/>
      </c>
      <c r="P4508" s="52">
        <f>IF(OR(B4508="",G4508=""),"",IF(C4508="","Gasto",C4508))</f>
        <v/>
      </c>
      <c r="Q4508" s="52">
        <f>IF(P4508="","",IF(J4508&lt;&gt;"",J4508,CuentaPred&amp;""))</f>
        <v/>
      </c>
      <c r="R4508" s="52">
        <f>IF(P4508="","",IF(ISNUMBER(I4508),I4508,TasaUSD))</f>
        <v/>
      </c>
      <c r="S4508" s="53">
        <f>IF(P4508="","",IF(H4508="USD",G4508*R4508,G4508))</f>
        <v/>
      </c>
      <c r="T4508" s="53">
        <f>IF(P4508="","",IF(H4508="USD",G4508,IF(R4508&gt;0,G4508/R4508,0)))</f>
        <v/>
      </c>
      <c r="U4508" s="53">
        <f>IF(P4508="","",IF(P4508="Gasto",S4508,IF(P4508="Reembolso",-S4508,0)))</f>
        <v/>
      </c>
      <c r="V4508" s="53">
        <f>IF(P4508="","",IF(P4508="Ingreso",S4508,0))</f>
        <v/>
      </c>
      <c r="W4508" s="53">
        <f>IF(P4508="","",IF(P4508="Resultado trading",S4508,0))</f>
        <v/>
      </c>
      <c r="X4508" s="52">
        <f>IF(OR(P4508="Gasto",P4508="Reembolso"),IF(M4508&lt;&gt;"",M4508,IFERROR(INDEX(catClasif,MATCH(D4508&amp;"|"&amp;E4508,catClave,0))&amp;"","Variable")),"")</f>
        <v/>
      </c>
      <c r="Y4508" s="52">
        <f>IF(P4508="","",IFERROR(INDEX(catGrupo,MATCH(D4508&amp;"|"&amp;E4508,catClave,0))&amp;"",""))</f>
        <v/>
      </c>
      <c r="Z4508" s="52">
        <f>IF(P4508="","",WEEKDAY(B4508,2))</f>
        <v/>
      </c>
      <c r="AA4508" s="52">
        <f>IF(P4508="","",IF(AND(P4508="Gasto",X4508="Variable",D4508&lt;&gt;catTrading,S4508&gt;0,S4508&lt;=Umbral),1,0))</f>
        <v/>
      </c>
      <c r="AB4508" s="52">
        <f>IF(OR(P4508="",Q4508=""),"",IFERROR(IF(INDEX(ctaVinc,MATCH(Q4508,ctaNombre,0))&amp;""&lt;&gt;"",INDEX(ctaVinc,MATCH(Q4508,ctaNombre,0))&amp;"",Q4508),Q4508))</f>
        <v/>
      </c>
      <c r="AC4508" s="52">
        <f>IF(OR(K4508="",AND(P4508&lt;&gt;"Transferencia",P4508&lt;&gt;"Pago tarjeta")),"",IFERROR(IF(INDEX(ctaVinc,MATCH(K4508,ctaNombre,0))&amp;""&lt;&gt;"",INDEX(ctaVinc,MATCH(K4508,ctaNombre,0))&amp;"",K4508),K4508))</f>
        <v/>
      </c>
      <c r="AD4508" s="52">
        <f>IF(AB4508="","",IFERROR(INDEX(ctaTipo,MATCH(AB4508,ctaNombre,0))&amp;"",""))</f>
        <v/>
      </c>
      <c r="AE4508" s="52">
        <f>IF(AC4508="","",IFERROR(INDEX(ctaTipo,MATCH(AC4508,ctaNombre,0))&amp;"",""))</f>
        <v/>
      </c>
      <c r="AF4508" s="53">
        <f>IF(OR(P4508="",AB4508=""),"",IF(OR(P4508="Gasto",P4508="Transferencia",P4508="Pago tarjeta"),-1,1)*IF(IFERROR(INDEX(ctaMoneda,MATCH(AB4508,ctaNombre,0))&amp;"","DOP")="USD",T4508,S4508))</f>
        <v/>
      </c>
      <c r="AG4508" s="53">
        <f>IF(AC4508="","",IF(IFERROR(INDEX(ctaMoneda,MATCH(AC4508,ctaNombre,0))&amp;"","DOP")="USD",T4508,S4508))</f>
        <v/>
      </c>
      <c r="AH4508" s="53">
        <f>IF(P4508="","",IF(AND(AD4508&lt;&gt;"",COUNTIFS(tcTipo,AD4508,tcLiq,"Sí")&gt;0),IF(OR(P4508="Gasto",P4508="Transferencia",P4508="Pago tarjeta"),-1,1)*S4508,0)+IF(AND(AE4508&lt;&gt;"",COUNTIFS(tcTipo,AE4508,tcLiq,"Sí")&gt;0),S4508,0))</f>
        <v/>
      </c>
      <c r="AI4508" s="52">
        <f>IF(OR(L4508="",P4508=""),"",IF(COUNTIFS(L$6:L4508,L4508,P$6:P4508,"?*")=1,MAX(AI$5:AI4507)+1,""))</f>
        <v/>
      </c>
    </row>
    <row r="4509">
      <c r="B4509" s="47" t="n"/>
      <c r="C4509" s="48" t="n"/>
      <c r="D4509" s="48" t="n"/>
      <c r="E4509" s="48" t="n"/>
      <c r="F4509" s="48" t="n"/>
      <c r="G4509" s="49" t="n"/>
      <c r="H4509" s="48" t="n"/>
      <c r="I4509" s="50" t="n"/>
      <c r="J4509" s="48" t="n"/>
      <c r="K4509" s="48" t="n"/>
      <c r="L4509" s="48" t="n"/>
      <c r="M4509" s="48" t="n"/>
      <c r="N4509" s="48" t="n"/>
      <c r="O4509" s="51">
        <f>IF(AND(B4509="",G4509="",C4509="",D4509="",J4509=""),"",IF(B4509="","⚠ Falta fecha",IF(G4509="","⚠ Falta monto",IF(Q4509="","⚠ Falta cuenta",IF(ISNA(MATCH(Q4509,ctaNombre,0)),"⚠ Cuenta no registrada",IF(AND(OR(P4509="Gasto",P4509="Reembolso"),D4509=""),"⚠ Falta categoría",IF(AND(D4509&lt;&gt;"",E4509&lt;&gt;"",ISNA(MATCH(D4509&amp;"|"&amp;E4509,catClave,0))),"⚠ Subcategoría no corresponde",IF(AND(OR(P4509="Transferencia",P4509="Pago tarjeta"),K4509=""),"⚠ Falta cuenta destino",IF(AND(K4509&lt;&gt;"",P4509&lt;&gt;"Transferencia",P4509&lt;&gt;"Pago tarjeta"),"⚠ Destino solo aplica a transferencias",IF(AND(K4509&lt;&gt;"",K4509=Q4509),"⚠ Origen igual a destino",IF(AND(K4509&lt;&gt;"",ISNA(MATCH(K4509,ctaNombre,0))),"⚠ Destino no registrado",IF(AND(P4509="Pago tarjeta",AE4509&lt;&gt;"Tarjeta de crédito"),"⚠ El destino debe ser tarjeta de crédito",IF(AND(P4509="Gasto",E4509="Depósitos y retiros"),"⚠ Usa tipo Transferencia",IF(AND(P4509="Resultado trading",AD4509&lt;&gt;"Cuenta de trading"),"⚠ Usa una cuenta de trading",IF(AND(G4509&lt;=0,P4509&lt;&gt;"Ajuste",P4509&lt;&gt;"Resultado trading"),"⚠ El monto debe ser positivo","✓")))))))))))))))</f>
        <v/>
      </c>
      <c r="P4509" s="52">
        <f>IF(OR(B4509="",G4509=""),"",IF(C4509="","Gasto",C4509))</f>
        <v/>
      </c>
      <c r="Q4509" s="52">
        <f>IF(P4509="","",IF(J4509&lt;&gt;"",J4509,CuentaPred&amp;""))</f>
        <v/>
      </c>
      <c r="R4509" s="52">
        <f>IF(P4509="","",IF(ISNUMBER(I4509),I4509,TasaUSD))</f>
        <v/>
      </c>
      <c r="S4509" s="53">
        <f>IF(P4509="","",IF(H4509="USD",G4509*R4509,G4509))</f>
        <v/>
      </c>
      <c r="T4509" s="53">
        <f>IF(P4509="","",IF(H4509="USD",G4509,IF(R4509&gt;0,G4509/R4509,0)))</f>
        <v/>
      </c>
      <c r="U4509" s="53">
        <f>IF(P4509="","",IF(P4509="Gasto",S4509,IF(P4509="Reembolso",-S4509,0)))</f>
        <v/>
      </c>
      <c r="V4509" s="53">
        <f>IF(P4509="","",IF(P4509="Ingreso",S4509,0))</f>
        <v/>
      </c>
      <c r="W4509" s="53">
        <f>IF(P4509="","",IF(P4509="Resultado trading",S4509,0))</f>
        <v/>
      </c>
      <c r="X4509" s="52">
        <f>IF(OR(P4509="Gasto",P4509="Reembolso"),IF(M4509&lt;&gt;"",M4509,IFERROR(INDEX(catClasif,MATCH(D4509&amp;"|"&amp;E4509,catClave,0))&amp;"","Variable")),"")</f>
        <v/>
      </c>
      <c r="Y4509" s="52">
        <f>IF(P4509="","",IFERROR(INDEX(catGrupo,MATCH(D4509&amp;"|"&amp;E4509,catClave,0))&amp;"",""))</f>
        <v/>
      </c>
      <c r="Z4509" s="52">
        <f>IF(P4509="","",WEEKDAY(B4509,2))</f>
        <v/>
      </c>
      <c r="AA4509" s="52">
        <f>IF(P4509="","",IF(AND(P4509="Gasto",X4509="Variable",D4509&lt;&gt;catTrading,S4509&gt;0,S4509&lt;=Umbral),1,0))</f>
        <v/>
      </c>
      <c r="AB4509" s="52">
        <f>IF(OR(P4509="",Q4509=""),"",IFERROR(IF(INDEX(ctaVinc,MATCH(Q4509,ctaNombre,0))&amp;""&lt;&gt;"",INDEX(ctaVinc,MATCH(Q4509,ctaNombre,0))&amp;"",Q4509),Q4509))</f>
        <v/>
      </c>
      <c r="AC4509" s="52">
        <f>IF(OR(K4509="",AND(P4509&lt;&gt;"Transferencia",P4509&lt;&gt;"Pago tarjeta")),"",IFERROR(IF(INDEX(ctaVinc,MATCH(K4509,ctaNombre,0))&amp;""&lt;&gt;"",INDEX(ctaVinc,MATCH(K4509,ctaNombre,0))&amp;"",K4509),K4509))</f>
        <v/>
      </c>
      <c r="AD4509" s="52">
        <f>IF(AB4509="","",IFERROR(INDEX(ctaTipo,MATCH(AB4509,ctaNombre,0))&amp;"",""))</f>
        <v/>
      </c>
      <c r="AE4509" s="52">
        <f>IF(AC4509="","",IFERROR(INDEX(ctaTipo,MATCH(AC4509,ctaNombre,0))&amp;"",""))</f>
        <v/>
      </c>
      <c r="AF4509" s="53">
        <f>IF(OR(P4509="",AB4509=""),"",IF(OR(P4509="Gasto",P4509="Transferencia",P4509="Pago tarjeta"),-1,1)*IF(IFERROR(INDEX(ctaMoneda,MATCH(AB4509,ctaNombre,0))&amp;"","DOP")="USD",T4509,S4509))</f>
        <v/>
      </c>
      <c r="AG4509" s="53">
        <f>IF(AC4509="","",IF(IFERROR(INDEX(ctaMoneda,MATCH(AC4509,ctaNombre,0))&amp;"","DOP")="USD",T4509,S4509))</f>
        <v/>
      </c>
      <c r="AH4509" s="53">
        <f>IF(P4509="","",IF(AND(AD4509&lt;&gt;"",COUNTIFS(tcTipo,AD4509,tcLiq,"Sí")&gt;0),IF(OR(P4509="Gasto",P4509="Transferencia",P4509="Pago tarjeta"),-1,1)*S4509,0)+IF(AND(AE4509&lt;&gt;"",COUNTIFS(tcTipo,AE4509,tcLiq,"Sí")&gt;0),S4509,0))</f>
        <v/>
      </c>
      <c r="AI4509" s="52">
        <f>IF(OR(L4509="",P4509=""),"",IF(COUNTIFS(L$6:L4509,L4509,P$6:P4509,"?*")=1,MAX(AI$5:AI4508)+1,""))</f>
        <v/>
      </c>
    </row>
    <row r="4510">
      <c r="B4510" s="47" t="n"/>
      <c r="C4510" s="48" t="n"/>
      <c r="D4510" s="48" t="n"/>
      <c r="E4510" s="48" t="n"/>
      <c r="F4510" s="48" t="n"/>
      <c r="G4510" s="49" t="n"/>
      <c r="H4510" s="48" t="n"/>
      <c r="I4510" s="50" t="n"/>
      <c r="J4510" s="48" t="n"/>
      <c r="K4510" s="48" t="n"/>
      <c r="L4510" s="48" t="n"/>
      <c r="M4510" s="48" t="n"/>
      <c r="N4510" s="48" t="n"/>
      <c r="O4510" s="51">
        <f>IF(AND(B4510="",G4510="",C4510="",D4510="",J4510=""),"",IF(B4510="","⚠ Falta fecha",IF(G4510="","⚠ Falta monto",IF(Q4510="","⚠ Falta cuenta",IF(ISNA(MATCH(Q4510,ctaNombre,0)),"⚠ Cuenta no registrada",IF(AND(OR(P4510="Gasto",P4510="Reembolso"),D4510=""),"⚠ Falta categoría",IF(AND(D4510&lt;&gt;"",E4510&lt;&gt;"",ISNA(MATCH(D4510&amp;"|"&amp;E4510,catClave,0))),"⚠ Subcategoría no corresponde",IF(AND(OR(P4510="Transferencia",P4510="Pago tarjeta"),K4510=""),"⚠ Falta cuenta destino",IF(AND(K4510&lt;&gt;"",P4510&lt;&gt;"Transferencia",P4510&lt;&gt;"Pago tarjeta"),"⚠ Destino solo aplica a transferencias",IF(AND(K4510&lt;&gt;"",K4510=Q4510),"⚠ Origen igual a destino",IF(AND(K4510&lt;&gt;"",ISNA(MATCH(K4510,ctaNombre,0))),"⚠ Destino no registrado",IF(AND(P4510="Pago tarjeta",AE4510&lt;&gt;"Tarjeta de crédito"),"⚠ El destino debe ser tarjeta de crédito",IF(AND(P4510="Gasto",E4510="Depósitos y retiros"),"⚠ Usa tipo Transferencia",IF(AND(P4510="Resultado trading",AD4510&lt;&gt;"Cuenta de trading"),"⚠ Usa una cuenta de trading",IF(AND(G4510&lt;=0,P4510&lt;&gt;"Ajuste",P4510&lt;&gt;"Resultado trading"),"⚠ El monto debe ser positivo","✓")))))))))))))))</f>
        <v/>
      </c>
      <c r="P4510" s="52">
        <f>IF(OR(B4510="",G4510=""),"",IF(C4510="","Gasto",C4510))</f>
        <v/>
      </c>
      <c r="Q4510" s="52">
        <f>IF(P4510="","",IF(J4510&lt;&gt;"",J4510,CuentaPred&amp;""))</f>
        <v/>
      </c>
      <c r="R4510" s="52">
        <f>IF(P4510="","",IF(ISNUMBER(I4510),I4510,TasaUSD))</f>
        <v/>
      </c>
      <c r="S4510" s="53">
        <f>IF(P4510="","",IF(H4510="USD",G4510*R4510,G4510))</f>
        <v/>
      </c>
      <c r="T4510" s="53">
        <f>IF(P4510="","",IF(H4510="USD",G4510,IF(R4510&gt;0,G4510/R4510,0)))</f>
        <v/>
      </c>
      <c r="U4510" s="53">
        <f>IF(P4510="","",IF(P4510="Gasto",S4510,IF(P4510="Reembolso",-S4510,0)))</f>
        <v/>
      </c>
      <c r="V4510" s="53">
        <f>IF(P4510="","",IF(P4510="Ingreso",S4510,0))</f>
        <v/>
      </c>
      <c r="W4510" s="53">
        <f>IF(P4510="","",IF(P4510="Resultado trading",S4510,0))</f>
        <v/>
      </c>
      <c r="X4510" s="52">
        <f>IF(OR(P4510="Gasto",P4510="Reembolso"),IF(M4510&lt;&gt;"",M4510,IFERROR(INDEX(catClasif,MATCH(D4510&amp;"|"&amp;E4510,catClave,0))&amp;"","Variable")),"")</f>
        <v/>
      </c>
      <c r="Y4510" s="52">
        <f>IF(P4510="","",IFERROR(INDEX(catGrupo,MATCH(D4510&amp;"|"&amp;E4510,catClave,0))&amp;"",""))</f>
        <v/>
      </c>
      <c r="Z4510" s="52">
        <f>IF(P4510="","",WEEKDAY(B4510,2))</f>
        <v/>
      </c>
      <c r="AA4510" s="52">
        <f>IF(P4510="","",IF(AND(P4510="Gasto",X4510="Variable",D4510&lt;&gt;catTrading,S4510&gt;0,S4510&lt;=Umbral),1,0))</f>
        <v/>
      </c>
      <c r="AB4510" s="52">
        <f>IF(OR(P4510="",Q4510=""),"",IFERROR(IF(INDEX(ctaVinc,MATCH(Q4510,ctaNombre,0))&amp;""&lt;&gt;"",INDEX(ctaVinc,MATCH(Q4510,ctaNombre,0))&amp;"",Q4510),Q4510))</f>
        <v/>
      </c>
      <c r="AC4510" s="52">
        <f>IF(OR(K4510="",AND(P4510&lt;&gt;"Transferencia",P4510&lt;&gt;"Pago tarjeta")),"",IFERROR(IF(INDEX(ctaVinc,MATCH(K4510,ctaNombre,0))&amp;""&lt;&gt;"",INDEX(ctaVinc,MATCH(K4510,ctaNombre,0))&amp;"",K4510),K4510))</f>
        <v/>
      </c>
      <c r="AD4510" s="52">
        <f>IF(AB4510="","",IFERROR(INDEX(ctaTipo,MATCH(AB4510,ctaNombre,0))&amp;"",""))</f>
        <v/>
      </c>
      <c r="AE4510" s="52">
        <f>IF(AC4510="","",IFERROR(INDEX(ctaTipo,MATCH(AC4510,ctaNombre,0))&amp;"",""))</f>
        <v/>
      </c>
      <c r="AF4510" s="53">
        <f>IF(OR(P4510="",AB4510=""),"",IF(OR(P4510="Gasto",P4510="Transferencia",P4510="Pago tarjeta"),-1,1)*IF(IFERROR(INDEX(ctaMoneda,MATCH(AB4510,ctaNombre,0))&amp;"","DOP")="USD",T4510,S4510))</f>
        <v/>
      </c>
      <c r="AG4510" s="53">
        <f>IF(AC4510="","",IF(IFERROR(INDEX(ctaMoneda,MATCH(AC4510,ctaNombre,0))&amp;"","DOP")="USD",T4510,S4510))</f>
        <v/>
      </c>
      <c r="AH4510" s="53">
        <f>IF(P4510="","",IF(AND(AD4510&lt;&gt;"",COUNTIFS(tcTipo,AD4510,tcLiq,"Sí")&gt;0),IF(OR(P4510="Gasto",P4510="Transferencia",P4510="Pago tarjeta"),-1,1)*S4510,0)+IF(AND(AE4510&lt;&gt;"",COUNTIFS(tcTipo,AE4510,tcLiq,"Sí")&gt;0),S4510,0))</f>
        <v/>
      </c>
      <c r="AI4510" s="52">
        <f>IF(OR(L4510="",P4510=""),"",IF(COUNTIFS(L$6:L4510,L4510,P$6:P4510,"?*")=1,MAX(AI$5:AI4509)+1,""))</f>
        <v/>
      </c>
    </row>
    <row r="4511">
      <c r="B4511" s="47" t="n"/>
      <c r="C4511" s="48" t="n"/>
      <c r="D4511" s="48" t="n"/>
      <c r="E4511" s="48" t="n"/>
      <c r="F4511" s="48" t="n"/>
      <c r="G4511" s="49" t="n"/>
      <c r="H4511" s="48" t="n"/>
      <c r="I4511" s="50" t="n"/>
      <c r="J4511" s="48" t="n"/>
      <c r="K4511" s="48" t="n"/>
      <c r="L4511" s="48" t="n"/>
      <c r="M4511" s="48" t="n"/>
      <c r="N4511" s="48" t="n"/>
      <c r="O4511" s="51">
        <f>IF(AND(B4511="",G4511="",C4511="",D4511="",J4511=""),"",IF(B4511="","⚠ Falta fecha",IF(G4511="","⚠ Falta monto",IF(Q4511="","⚠ Falta cuenta",IF(ISNA(MATCH(Q4511,ctaNombre,0)),"⚠ Cuenta no registrada",IF(AND(OR(P4511="Gasto",P4511="Reembolso"),D4511=""),"⚠ Falta categoría",IF(AND(D4511&lt;&gt;"",E4511&lt;&gt;"",ISNA(MATCH(D4511&amp;"|"&amp;E4511,catClave,0))),"⚠ Subcategoría no corresponde",IF(AND(OR(P4511="Transferencia",P4511="Pago tarjeta"),K4511=""),"⚠ Falta cuenta destino",IF(AND(K4511&lt;&gt;"",P4511&lt;&gt;"Transferencia",P4511&lt;&gt;"Pago tarjeta"),"⚠ Destino solo aplica a transferencias",IF(AND(K4511&lt;&gt;"",K4511=Q4511),"⚠ Origen igual a destino",IF(AND(K4511&lt;&gt;"",ISNA(MATCH(K4511,ctaNombre,0))),"⚠ Destino no registrado",IF(AND(P4511="Pago tarjeta",AE4511&lt;&gt;"Tarjeta de crédito"),"⚠ El destino debe ser tarjeta de crédito",IF(AND(P4511="Gasto",E4511="Depósitos y retiros"),"⚠ Usa tipo Transferencia",IF(AND(P4511="Resultado trading",AD4511&lt;&gt;"Cuenta de trading"),"⚠ Usa una cuenta de trading",IF(AND(G4511&lt;=0,P4511&lt;&gt;"Ajuste",P4511&lt;&gt;"Resultado trading"),"⚠ El monto debe ser positivo","✓")))))))))))))))</f>
        <v/>
      </c>
      <c r="P4511" s="52">
        <f>IF(OR(B4511="",G4511=""),"",IF(C4511="","Gasto",C4511))</f>
        <v/>
      </c>
      <c r="Q4511" s="52">
        <f>IF(P4511="","",IF(J4511&lt;&gt;"",J4511,CuentaPred&amp;""))</f>
        <v/>
      </c>
      <c r="R4511" s="52">
        <f>IF(P4511="","",IF(ISNUMBER(I4511),I4511,TasaUSD))</f>
        <v/>
      </c>
      <c r="S4511" s="53">
        <f>IF(P4511="","",IF(H4511="USD",G4511*R4511,G4511))</f>
        <v/>
      </c>
      <c r="T4511" s="53">
        <f>IF(P4511="","",IF(H4511="USD",G4511,IF(R4511&gt;0,G4511/R4511,0)))</f>
        <v/>
      </c>
      <c r="U4511" s="53">
        <f>IF(P4511="","",IF(P4511="Gasto",S4511,IF(P4511="Reembolso",-S4511,0)))</f>
        <v/>
      </c>
      <c r="V4511" s="53">
        <f>IF(P4511="","",IF(P4511="Ingreso",S4511,0))</f>
        <v/>
      </c>
      <c r="W4511" s="53">
        <f>IF(P4511="","",IF(P4511="Resultado trading",S4511,0))</f>
        <v/>
      </c>
      <c r="X4511" s="52">
        <f>IF(OR(P4511="Gasto",P4511="Reembolso"),IF(M4511&lt;&gt;"",M4511,IFERROR(INDEX(catClasif,MATCH(D4511&amp;"|"&amp;E4511,catClave,0))&amp;"","Variable")),"")</f>
        <v/>
      </c>
      <c r="Y4511" s="52">
        <f>IF(P4511="","",IFERROR(INDEX(catGrupo,MATCH(D4511&amp;"|"&amp;E4511,catClave,0))&amp;"",""))</f>
        <v/>
      </c>
      <c r="Z4511" s="52">
        <f>IF(P4511="","",WEEKDAY(B4511,2))</f>
        <v/>
      </c>
      <c r="AA4511" s="52">
        <f>IF(P4511="","",IF(AND(P4511="Gasto",X4511="Variable",D4511&lt;&gt;catTrading,S4511&gt;0,S4511&lt;=Umbral),1,0))</f>
        <v/>
      </c>
      <c r="AB4511" s="52">
        <f>IF(OR(P4511="",Q4511=""),"",IFERROR(IF(INDEX(ctaVinc,MATCH(Q4511,ctaNombre,0))&amp;""&lt;&gt;"",INDEX(ctaVinc,MATCH(Q4511,ctaNombre,0))&amp;"",Q4511),Q4511))</f>
        <v/>
      </c>
      <c r="AC4511" s="52">
        <f>IF(OR(K4511="",AND(P4511&lt;&gt;"Transferencia",P4511&lt;&gt;"Pago tarjeta")),"",IFERROR(IF(INDEX(ctaVinc,MATCH(K4511,ctaNombre,0))&amp;""&lt;&gt;"",INDEX(ctaVinc,MATCH(K4511,ctaNombre,0))&amp;"",K4511),K4511))</f>
        <v/>
      </c>
      <c r="AD4511" s="52">
        <f>IF(AB4511="","",IFERROR(INDEX(ctaTipo,MATCH(AB4511,ctaNombre,0))&amp;"",""))</f>
        <v/>
      </c>
      <c r="AE4511" s="52">
        <f>IF(AC4511="","",IFERROR(INDEX(ctaTipo,MATCH(AC4511,ctaNombre,0))&amp;"",""))</f>
        <v/>
      </c>
      <c r="AF4511" s="53">
        <f>IF(OR(P4511="",AB4511=""),"",IF(OR(P4511="Gasto",P4511="Transferencia",P4511="Pago tarjeta"),-1,1)*IF(IFERROR(INDEX(ctaMoneda,MATCH(AB4511,ctaNombre,0))&amp;"","DOP")="USD",T4511,S4511))</f>
        <v/>
      </c>
      <c r="AG4511" s="53">
        <f>IF(AC4511="","",IF(IFERROR(INDEX(ctaMoneda,MATCH(AC4511,ctaNombre,0))&amp;"","DOP")="USD",T4511,S4511))</f>
        <v/>
      </c>
      <c r="AH4511" s="53">
        <f>IF(P4511="","",IF(AND(AD4511&lt;&gt;"",COUNTIFS(tcTipo,AD4511,tcLiq,"Sí")&gt;0),IF(OR(P4511="Gasto",P4511="Transferencia",P4511="Pago tarjeta"),-1,1)*S4511,0)+IF(AND(AE4511&lt;&gt;"",COUNTIFS(tcTipo,AE4511,tcLiq,"Sí")&gt;0),S4511,0))</f>
        <v/>
      </c>
      <c r="AI4511" s="52">
        <f>IF(OR(L4511="",P4511=""),"",IF(COUNTIFS(L$6:L4511,L4511,P$6:P4511,"?*")=1,MAX(AI$5:AI4510)+1,""))</f>
        <v/>
      </c>
    </row>
    <row r="4512">
      <c r="B4512" s="47" t="n"/>
      <c r="C4512" s="48" t="n"/>
      <c r="D4512" s="48" t="n"/>
      <c r="E4512" s="48" t="n"/>
      <c r="F4512" s="48" t="n"/>
      <c r="G4512" s="49" t="n"/>
      <c r="H4512" s="48" t="n"/>
      <c r="I4512" s="50" t="n"/>
      <c r="J4512" s="48" t="n"/>
      <c r="K4512" s="48" t="n"/>
      <c r="L4512" s="48" t="n"/>
      <c r="M4512" s="48" t="n"/>
      <c r="N4512" s="48" t="n"/>
      <c r="O4512" s="51">
        <f>IF(AND(B4512="",G4512="",C4512="",D4512="",J4512=""),"",IF(B4512="","⚠ Falta fecha",IF(G4512="","⚠ Falta monto",IF(Q4512="","⚠ Falta cuenta",IF(ISNA(MATCH(Q4512,ctaNombre,0)),"⚠ Cuenta no registrada",IF(AND(OR(P4512="Gasto",P4512="Reembolso"),D4512=""),"⚠ Falta categoría",IF(AND(D4512&lt;&gt;"",E4512&lt;&gt;"",ISNA(MATCH(D4512&amp;"|"&amp;E4512,catClave,0))),"⚠ Subcategoría no corresponde",IF(AND(OR(P4512="Transferencia",P4512="Pago tarjeta"),K4512=""),"⚠ Falta cuenta destino",IF(AND(K4512&lt;&gt;"",P4512&lt;&gt;"Transferencia",P4512&lt;&gt;"Pago tarjeta"),"⚠ Destino solo aplica a transferencias",IF(AND(K4512&lt;&gt;"",K4512=Q4512),"⚠ Origen igual a destino",IF(AND(K4512&lt;&gt;"",ISNA(MATCH(K4512,ctaNombre,0))),"⚠ Destino no registrado",IF(AND(P4512="Pago tarjeta",AE4512&lt;&gt;"Tarjeta de crédito"),"⚠ El destino debe ser tarjeta de crédito",IF(AND(P4512="Gasto",E4512="Depósitos y retiros"),"⚠ Usa tipo Transferencia",IF(AND(P4512="Resultado trading",AD4512&lt;&gt;"Cuenta de trading"),"⚠ Usa una cuenta de trading",IF(AND(G4512&lt;=0,P4512&lt;&gt;"Ajuste",P4512&lt;&gt;"Resultado trading"),"⚠ El monto debe ser positivo","✓")))))))))))))))</f>
        <v/>
      </c>
      <c r="P4512" s="52">
        <f>IF(OR(B4512="",G4512=""),"",IF(C4512="","Gasto",C4512))</f>
        <v/>
      </c>
      <c r="Q4512" s="52">
        <f>IF(P4512="","",IF(J4512&lt;&gt;"",J4512,CuentaPred&amp;""))</f>
        <v/>
      </c>
      <c r="R4512" s="52">
        <f>IF(P4512="","",IF(ISNUMBER(I4512),I4512,TasaUSD))</f>
        <v/>
      </c>
      <c r="S4512" s="53">
        <f>IF(P4512="","",IF(H4512="USD",G4512*R4512,G4512))</f>
        <v/>
      </c>
      <c r="T4512" s="53">
        <f>IF(P4512="","",IF(H4512="USD",G4512,IF(R4512&gt;0,G4512/R4512,0)))</f>
        <v/>
      </c>
      <c r="U4512" s="53">
        <f>IF(P4512="","",IF(P4512="Gasto",S4512,IF(P4512="Reembolso",-S4512,0)))</f>
        <v/>
      </c>
      <c r="V4512" s="53">
        <f>IF(P4512="","",IF(P4512="Ingreso",S4512,0))</f>
        <v/>
      </c>
      <c r="W4512" s="53">
        <f>IF(P4512="","",IF(P4512="Resultado trading",S4512,0))</f>
        <v/>
      </c>
      <c r="X4512" s="52">
        <f>IF(OR(P4512="Gasto",P4512="Reembolso"),IF(M4512&lt;&gt;"",M4512,IFERROR(INDEX(catClasif,MATCH(D4512&amp;"|"&amp;E4512,catClave,0))&amp;"","Variable")),"")</f>
        <v/>
      </c>
      <c r="Y4512" s="52">
        <f>IF(P4512="","",IFERROR(INDEX(catGrupo,MATCH(D4512&amp;"|"&amp;E4512,catClave,0))&amp;"",""))</f>
        <v/>
      </c>
      <c r="Z4512" s="52">
        <f>IF(P4512="","",WEEKDAY(B4512,2))</f>
        <v/>
      </c>
      <c r="AA4512" s="52">
        <f>IF(P4512="","",IF(AND(P4512="Gasto",X4512="Variable",D4512&lt;&gt;catTrading,S4512&gt;0,S4512&lt;=Umbral),1,0))</f>
        <v/>
      </c>
      <c r="AB4512" s="52">
        <f>IF(OR(P4512="",Q4512=""),"",IFERROR(IF(INDEX(ctaVinc,MATCH(Q4512,ctaNombre,0))&amp;""&lt;&gt;"",INDEX(ctaVinc,MATCH(Q4512,ctaNombre,0))&amp;"",Q4512),Q4512))</f>
        <v/>
      </c>
      <c r="AC4512" s="52">
        <f>IF(OR(K4512="",AND(P4512&lt;&gt;"Transferencia",P4512&lt;&gt;"Pago tarjeta")),"",IFERROR(IF(INDEX(ctaVinc,MATCH(K4512,ctaNombre,0))&amp;""&lt;&gt;"",INDEX(ctaVinc,MATCH(K4512,ctaNombre,0))&amp;"",K4512),K4512))</f>
        <v/>
      </c>
      <c r="AD4512" s="52">
        <f>IF(AB4512="","",IFERROR(INDEX(ctaTipo,MATCH(AB4512,ctaNombre,0))&amp;"",""))</f>
        <v/>
      </c>
      <c r="AE4512" s="52">
        <f>IF(AC4512="","",IFERROR(INDEX(ctaTipo,MATCH(AC4512,ctaNombre,0))&amp;"",""))</f>
        <v/>
      </c>
      <c r="AF4512" s="53">
        <f>IF(OR(P4512="",AB4512=""),"",IF(OR(P4512="Gasto",P4512="Transferencia",P4512="Pago tarjeta"),-1,1)*IF(IFERROR(INDEX(ctaMoneda,MATCH(AB4512,ctaNombre,0))&amp;"","DOP")="USD",T4512,S4512))</f>
        <v/>
      </c>
      <c r="AG4512" s="53">
        <f>IF(AC4512="","",IF(IFERROR(INDEX(ctaMoneda,MATCH(AC4512,ctaNombre,0))&amp;"","DOP")="USD",T4512,S4512))</f>
        <v/>
      </c>
      <c r="AH4512" s="53">
        <f>IF(P4512="","",IF(AND(AD4512&lt;&gt;"",COUNTIFS(tcTipo,AD4512,tcLiq,"Sí")&gt;0),IF(OR(P4512="Gasto",P4512="Transferencia",P4512="Pago tarjeta"),-1,1)*S4512,0)+IF(AND(AE4512&lt;&gt;"",COUNTIFS(tcTipo,AE4512,tcLiq,"Sí")&gt;0),S4512,0))</f>
        <v/>
      </c>
      <c r="AI4512" s="52">
        <f>IF(OR(L4512="",P4512=""),"",IF(COUNTIFS(L$6:L4512,L4512,P$6:P4512,"?*")=1,MAX(AI$5:AI4511)+1,""))</f>
        <v/>
      </c>
    </row>
    <row r="4513">
      <c r="B4513" s="47" t="n"/>
      <c r="C4513" s="48" t="n"/>
      <c r="D4513" s="48" t="n"/>
      <c r="E4513" s="48" t="n"/>
      <c r="F4513" s="48" t="n"/>
      <c r="G4513" s="49" t="n"/>
      <c r="H4513" s="48" t="n"/>
      <c r="I4513" s="50" t="n"/>
      <c r="J4513" s="48" t="n"/>
      <c r="K4513" s="48" t="n"/>
      <c r="L4513" s="48" t="n"/>
      <c r="M4513" s="48" t="n"/>
      <c r="N4513" s="48" t="n"/>
      <c r="O4513" s="51">
        <f>IF(AND(B4513="",G4513="",C4513="",D4513="",J4513=""),"",IF(B4513="","⚠ Falta fecha",IF(G4513="","⚠ Falta monto",IF(Q4513="","⚠ Falta cuenta",IF(ISNA(MATCH(Q4513,ctaNombre,0)),"⚠ Cuenta no registrada",IF(AND(OR(P4513="Gasto",P4513="Reembolso"),D4513=""),"⚠ Falta categoría",IF(AND(D4513&lt;&gt;"",E4513&lt;&gt;"",ISNA(MATCH(D4513&amp;"|"&amp;E4513,catClave,0))),"⚠ Subcategoría no corresponde",IF(AND(OR(P4513="Transferencia",P4513="Pago tarjeta"),K4513=""),"⚠ Falta cuenta destino",IF(AND(K4513&lt;&gt;"",P4513&lt;&gt;"Transferencia",P4513&lt;&gt;"Pago tarjeta"),"⚠ Destino solo aplica a transferencias",IF(AND(K4513&lt;&gt;"",K4513=Q4513),"⚠ Origen igual a destino",IF(AND(K4513&lt;&gt;"",ISNA(MATCH(K4513,ctaNombre,0))),"⚠ Destino no registrado",IF(AND(P4513="Pago tarjeta",AE4513&lt;&gt;"Tarjeta de crédito"),"⚠ El destino debe ser tarjeta de crédito",IF(AND(P4513="Gasto",E4513="Depósitos y retiros"),"⚠ Usa tipo Transferencia",IF(AND(P4513="Resultado trading",AD4513&lt;&gt;"Cuenta de trading"),"⚠ Usa una cuenta de trading",IF(AND(G4513&lt;=0,P4513&lt;&gt;"Ajuste",P4513&lt;&gt;"Resultado trading"),"⚠ El monto debe ser positivo","✓")))))))))))))))</f>
        <v/>
      </c>
      <c r="P4513" s="52">
        <f>IF(OR(B4513="",G4513=""),"",IF(C4513="","Gasto",C4513))</f>
        <v/>
      </c>
      <c r="Q4513" s="52">
        <f>IF(P4513="","",IF(J4513&lt;&gt;"",J4513,CuentaPred&amp;""))</f>
        <v/>
      </c>
      <c r="R4513" s="52">
        <f>IF(P4513="","",IF(ISNUMBER(I4513),I4513,TasaUSD))</f>
        <v/>
      </c>
      <c r="S4513" s="53">
        <f>IF(P4513="","",IF(H4513="USD",G4513*R4513,G4513))</f>
        <v/>
      </c>
      <c r="T4513" s="53">
        <f>IF(P4513="","",IF(H4513="USD",G4513,IF(R4513&gt;0,G4513/R4513,0)))</f>
        <v/>
      </c>
      <c r="U4513" s="53">
        <f>IF(P4513="","",IF(P4513="Gasto",S4513,IF(P4513="Reembolso",-S4513,0)))</f>
        <v/>
      </c>
      <c r="V4513" s="53">
        <f>IF(P4513="","",IF(P4513="Ingreso",S4513,0))</f>
        <v/>
      </c>
      <c r="W4513" s="53">
        <f>IF(P4513="","",IF(P4513="Resultado trading",S4513,0))</f>
        <v/>
      </c>
      <c r="X4513" s="52">
        <f>IF(OR(P4513="Gasto",P4513="Reembolso"),IF(M4513&lt;&gt;"",M4513,IFERROR(INDEX(catClasif,MATCH(D4513&amp;"|"&amp;E4513,catClave,0))&amp;"","Variable")),"")</f>
        <v/>
      </c>
      <c r="Y4513" s="52">
        <f>IF(P4513="","",IFERROR(INDEX(catGrupo,MATCH(D4513&amp;"|"&amp;E4513,catClave,0))&amp;"",""))</f>
        <v/>
      </c>
      <c r="Z4513" s="52">
        <f>IF(P4513="","",WEEKDAY(B4513,2))</f>
        <v/>
      </c>
      <c r="AA4513" s="52">
        <f>IF(P4513="","",IF(AND(P4513="Gasto",X4513="Variable",D4513&lt;&gt;catTrading,S4513&gt;0,S4513&lt;=Umbral),1,0))</f>
        <v/>
      </c>
      <c r="AB4513" s="52">
        <f>IF(OR(P4513="",Q4513=""),"",IFERROR(IF(INDEX(ctaVinc,MATCH(Q4513,ctaNombre,0))&amp;""&lt;&gt;"",INDEX(ctaVinc,MATCH(Q4513,ctaNombre,0))&amp;"",Q4513),Q4513))</f>
        <v/>
      </c>
      <c r="AC4513" s="52">
        <f>IF(OR(K4513="",AND(P4513&lt;&gt;"Transferencia",P4513&lt;&gt;"Pago tarjeta")),"",IFERROR(IF(INDEX(ctaVinc,MATCH(K4513,ctaNombre,0))&amp;""&lt;&gt;"",INDEX(ctaVinc,MATCH(K4513,ctaNombre,0))&amp;"",K4513),K4513))</f>
        <v/>
      </c>
      <c r="AD4513" s="52">
        <f>IF(AB4513="","",IFERROR(INDEX(ctaTipo,MATCH(AB4513,ctaNombre,0))&amp;"",""))</f>
        <v/>
      </c>
      <c r="AE4513" s="52">
        <f>IF(AC4513="","",IFERROR(INDEX(ctaTipo,MATCH(AC4513,ctaNombre,0))&amp;"",""))</f>
        <v/>
      </c>
      <c r="AF4513" s="53">
        <f>IF(OR(P4513="",AB4513=""),"",IF(OR(P4513="Gasto",P4513="Transferencia",P4513="Pago tarjeta"),-1,1)*IF(IFERROR(INDEX(ctaMoneda,MATCH(AB4513,ctaNombre,0))&amp;"","DOP")="USD",T4513,S4513))</f>
        <v/>
      </c>
      <c r="AG4513" s="53">
        <f>IF(AC4513="","",IF(IFERROR(INDEX(ctaMoneda,MATCH(AC4513,ctaNombre,0))&amp;"","DOP")="USD",T4513,S4513))</f>
        <v/>
      </c>
      <c r="AH4513" s="53">
        <f>IF(P4513="","",IF(AND(AD4513&lt;&gt;"",COUNTIFS(tcTipo,AD4513,tcLiq,"Sí")&gt;0),IF(OR(P4513="Gasto",P4513="Transferencia",P4513="Pago tarjeta"),-1,1)*S4513,0)+IF(AND(AE4513&lt;&gt;"",COUNTIFS(tcTipo,AE4513,tcLiq,"Sí")&gt;0),S4513,0))</f>
        <v/>
      </c>
      <c r="AI4513" s="52">
        <f>IF(OR(L4513="",P4513=""),"",IF(COUNTIFS(L$6:L4513,L4513,P$6:P4513,"?*")=1,MAX(AI$5:AI4512)+1,""))</f>
        <v/>
      </c>
    </row>
    <row r="4514">
      <c r="B4514" s="47" t="n"/>
      <c r="C4514" s="48" t="n"/>
      <c r="D4514" s="48" t="n"/>
      <c r="E4514" s="48" t="n"/>
      <c r="F4514" s="48" t="n"/>
      <c r="G4514" s="49" t="n"/>
      <c r="H4514" s="48" t="n"/>
      <c r="I4514" s="50" t="n"/>
      <c r="J4514" s="48" t="n"/>
      <c r="K4514" s="48" t="n"/>
      <c r="L4514" s="48" t="n"/>
      <c r="M4514" s="48" t="n"/>
      <c r="N4514" s="48" t="n"/>
      <c r="O4514" s="51">
        <f>IF(AND(B4514="",G4514="",C4514="",D4514="",J4514=""),"",IF(B4514="","⚠ Falta fecha",IF(G4514="","⚠ Falta monto",IF(Q4514="","⚠ Falta cuenta",IF(ISNA(MATCH(Q4514,ctaNombre,0)),"⚠ Cuenta no registrada",IF(AND(OR(P4514="Gasto",P4514="Reembolso"),D4514=""),"⚠ Falta categoría",IF(AND(D4514&lt;&gt;"",E4514&lt;&gt;"",ISNA(MATCH(D4514&amp;"|"&amp;E4514,catClave,0))),"⚠ Subcategoría no corresponde",IF(AND(OR(P4514="Transferencia",P4514="Pago tarjeta"),K4514=""),"⚠ Falta cuenta destino",IF(AND(K4514&lt;&gt;"",P4514&lt;&gt;"Transferencia",P4514&lt;&gt;"Pago tarjeta"),"⚠ Destino solo aplica a transferencias",IF(AND(K4514&lt;&gt;"",K4514=Q4514),"⚠ Origen igual a destino",IF(AND(K4514&lt;&gt;"",ISNA(MATCH(K4514,ctaNombre,0))),"⚠ Destino no registrado",IF(AND(P4514="Pago tarjeta",AE4514&lt;&gt;"Tarjeta de crédito"),"⚠ El destino debe ser tarjeta de crédito",IF(AND(P4514="Gasto",E4514="Depósitos y retiros"),"⚠ Usa tipo Transferencia",IF(AND(P4514="Resultado trading",AD4514&lt;&gt;"Cuenta de trading"),"⚠ Usa una cuenta de trading",IF(AND(G4514&lt;=0,P4514&lt;&gt;"Ajuste",P4514&lt;&gt;"Resultado trading"),"⚠ El monto debe ser positivo","✓")))))))))))))))</f>
        <v/>
      </c>
      <c r="P4514" s="52">
        <f>IF(OR(B4514="",G4514=""),"",IF(C4514="","Gasto",C4514))</f>
        <v/>
      </c>
      <c r="Q4514" s="52">
        <f>IF(P4514="","",IF(J4514&lt;&gt;"",J4514,CuentaPred&amp;""))</f>
        <v/>
      </c>
      <c r="R4514" s="52">
        <f>IF(P4514="","",IF(ISNUMBER(I4514),I4514,TasaUSD))</f>
        <v/>
      </c>
      <c r="S4514" s="53">
        <f>IF(P4514="","",IF(H4514="USD",G4514*R4514,G4514))</f>
        <v/>
      </c>
      <c r="T4514" s="53">
        <f>IF(P4514="","",IF(H4514="USD",G4514,IF(R4514&gt;0,G4514/R4514,0)))</f>
        <v/>
      </c>
      <c r="U4514" s="53">
        <f>IF(P4514="","",IF(P4514="Gasto",S4514,IF(P4514="Reembolso",-S4514,0)))</f>
        <v/>
      </c>
      <c r="V4514" s="53">
        <f>IF(P4514="","",IF(P4514="Ingreso",S4514,0))</f>
        <v/>
      </c>
      <c r="W4514" s="53">
        <f>IF(P4514="","",IF(P4514="Resultado trading",S4514,0))</f>
        <v/>
      </c>
      <c r="X4514" s="52">
        <f>IF(OR(P4514="Gasto",P4514="Reembolso"),IF(M4514&lt;&gt;"",M4514,IFERROR(INDEX(catClasif,MATCH(D4514&amp;"|"&amp;E4514,catClave,0))&amp;"","Variable")),"")</f>
        <v/>
      </c>
      <c r="Y4514" s="52">
        <f>IF(P4514="","",IFERROR(INDEX(catGrupo,MATCH(D4514&amp;"|"&amp;E4514,catClave,0))&amp;"",""))</f>
        <v/>
      </c>
      <c r="Z4514" s="52">
        <f>IF(P4514="","",WEEKDAY(B4514,2))</f>
        <v/>
      </c>
      <c r="AA4514" s="52">
        <f>IF(P4514="","",IF(AND(P4514="Gasto",X4514="Variable",D4514&lt;&gt;catTrading,S4514&gt;0,S4514&lt;=Umbral),1,0))</f>
        <v/>
      </c>
      <c r="AB4514" s="52">
        <f>IF(OR(P4514="",Q4514=""),"",IFERROR(IF(INDEX(ctaVinc,MATCH(Q4514,ctaNombre,0))&amp;""&lt;&gt;"",INDEX(ctaVinc,MATCH(Q4514,ctaNombre,0))&amp;"",Q4514),Q4514))</f>
        <v/>
      </c>
      <c r="AC4514" s="52">
        <f>IF(OR(K4514="",AND(P4514&lt;&gt;"Transferencia",P4514&lt;&gt;"Pago tarjeta")),"",IFERROR(IF(INDEX(ctaVinc,MATCH(K4514,ctaNombre,0))&amp;""&lt;&gt;"",INDEX(ctaVinc,MATCH(K4514,ctaNombre,0))&amp;"",K4514),K4514))</f>
        <v/>
      </c>
      <c r="AD4514" s="52">
        <f>IF(AB4514="","",IFERROR(INDEX(ctaTipo,MATCH(AB4514,ctaNombre,0))&amp;"",""))</f>
        <v/>
      </c>
      <c r="AE4514" s="52">
        <f>IF(AC4514="","",IFERROR(INDEX(ctaTipo,MATCH(AC4514,ctaNombre,0))&amp;"",""))</f>
        <v/>
      </c>
      <c r="AF4514" s="53">
        <f>IF(OR(P4514="",AB4514=""),"",IF(OR(P4514="Gasto",P4514="Transferencia",P4514="Pago tarjeta"),-1,1)*IF(IFERROR(INDEX(ctaMoneda,MATCH(AB4514,ctaNombre,0))&amp;"","DOP")="USD",T4514,S4514))</f>
        <v/>
      </c>
      <c r="AG4514" s="53">
        <f>IF(AC4514="","",IF(IFERROR(INDEX(ctaMoneda,MATCH(AC4514,ctaNombre,0))&amp;"","DOP")="USD",T4514,S4514))</f>
        <v/>
      </c>
      <c r="AH4514" s="53">
        <f>IF(P4514="","",IF(AND(AD4514&lt;&gt;"",COUNTIFS(tcTipo,AD4514,tcLiq,"Sí")&gt;0),IF(OR(P4514="Gasto",P4514="Transferencia",P4514="Pago tarjeta"),-1,1)*S4514,0)+IF(AND(AE4514&lt;&gt;"",COUNTIFS(tcTipo,AE4514,tcLiq,"Sí")&gt;0),S4514,0))</f>
        <v/>
      </c>
      <c r="AI4514" s="52">
        <f>IF(OR(L4514="",P4514=""),"",IF(COUNTIFS(L$6:L4514,L4514,P$6:P4514,"?*")=1,MAX(AI$5:AI4513)+1,""))</f>
        <v/>
      </c>
    </row>
    <row r="4515">
      <c r="B4515" s="47" t="n"/>
      <c r="C4515" s="48" t="n"/>
      <c r="D4515" s="48" t="n"/>
      <c r="E4515" s="48" t="n"/>
      <c r="F4515" s="48" t="n"/>
      <c r="G4515" s="49" t="n"/>
      <c r="H4515" s="48" t="n"/>
      <c r="I4515" s="50" t="n"/>
      <c r="J4515" s="48" t="n"/>
      <c r="K4515" s="48" t="n"/>
      <c r="L4515" s="48" t="n"/>
      <c r="M4515" s="48" t="n"/>
      <c r="N4515" s="48" t="n"/>
      <c r="O4515" s="51">
        <f>IF(AND(B4515="",G4515="",C4515="",D4515="",J4515=""),"",IF(B4515="","⚠ Falta fecha",IF(G4515="","⚠ Falta monto",IF(Q4515="","⚠ Falta cuenta",IF(ISNA(MATCH(Q4515,ctaNombre,0)),"⚠ Cuenta no registrada",IF(AND(OR(P4515="Gasto",P4515="Reembolso"),D4515=""),"⚠ Falta categoría",IF(AND(D4515&lt;&gt;"",E4515&lt;&gt;"",ISNA(MATCH(D4515&amp;"|"&amp;E4515,catClave,0))),"⚠ Subcategoría no corresponde",IF(AND(OR(P4515="Transferencia",P4515="Pago tarjeta"),K4515=""),"⚠ Falta cuenta destino",IF(AND(K4515&lt;&gt;"",P4515&lt;&gt;"Transferencia",P4515&lt;&gt;"Pago tarjeta"),"⚠ Destino solo aplica a transferencias",IF(AND(K4515&lt;&gt;"",K4515=Q4515),"⚠ Origen igual a destino",IF(AND(K4515&lt;&gt;"",ISNA(MATCH(K4515,ctaNombre,0))),"⚠ Destino no registrado",IF(AND(P4515="Pago tarjeta",AE4515&lt;&gt;"Tarjeta de crédito"),"⚠ El destino debe ser tarjeta de crédito",IF(AND(P4515="Gasto",E4515="Depósitos y retiros"),"⚠ Usa tipo Transferencia",IF(AND(P4515="Resultado trading",AD4515&lt;&gt;"Cuenta de trading"),"⚠ Usa una cuenta de trading",IF(AND(G4515&lt;=0,P4515&lt;&gt;"Ajuste",P4515&lt;&gt;"Resultado trading"),"⚠ El monto debe ser positivo","✓")))))))))))))))</f>
        <v/>
      </c>
      <c r="P4515" s="52">
        <f>IF(OR(B4515="",G4515=""),"",IF(C4515="","Gasto",C4515))</f>
        <v/>
      </c>
      <c r="Q4515" s="52">
        <f>IF(P4515="","",IF(J4515&lt;&gt;"",J4515,CuentaPred&amp;""))</f>
        <v/>
      </c>
      <c r="R4515" s="52">
        <f>IF(P4515="","",IF(ISNUMBER(I4515),I4515,TasaUSD))</f>
        <v/>
      </c>
      <c r="S4515" s="53">
        <f>IF(P4515="","",IF(H4515="USD",G4515*R4515,G4515))</f>
        <v/>
      </c>
      <c r="T4515" s="53">
        <f>IF(P4515="","",IF(H4515="USD",G4515,IF(R4515&gt;0,G4515/R4515,0)))</f>
        <v/>
      </c>
      <c r="U4515" s="53">
        <f>IF(P4515="","",IF(P4515="Gasto",S4515,IF(P4515="Reembolso",-S4515,0)))</f>
        <v/>
      </c>
      <c r="V4515" s="53">
        <f>IF(P4515="","",IF(P4515="Ingreso",S4515,0))</f>
        <v/>
      </c>
      <c r="W4515" s="53">
        <f>IF(P4515="","",IF(P4515="Resultado trading",S4515,0))</f>
        <v/>
      </c>
      <c r="X4515" s="52">
        <f>IF(OR(P4515="Gasto",P4515="Reembolso"),IF(M4515&lt;&gt;"",M4515,IFERROR(INDEX(catClasif,MATCH(D4515&amp;"|"&amp;E4515,catClave,0))&amp;"","Variable")),"")</f>
        <v/>
      </c>
      <c r="Y4515" s="52">
        <f>IF(P4515="","",IFERROR(INDEX(catGrupo,MATCH(D4515&amp;"|"&amp;E4515,catClave,0))&amp;"",""))</f>
        <v/>
      </c>
      <c r="Z4515" s="52">
        <f>IF(P4515="","",WEEKDAY(B4515,2))</f>
        <v/>
      </c>
      <c r="AA4515" s="52">
        <f>IF(P4515="","",IF(AND(P4515="Gasto",X4515="Variable",D4515&lt;&gt;catTrading,S4515&gt;0,S4515&lt;=Umbral),1,0))</f>
        <v/>
      </c>
      <c r="AB4515" s="52">
        <f>IF(OR(P4515="",Q4515=""),"",IFERROR(IF(INDEX(ctaVinc,MATCH(Q4515,ctaNombre,0))&amp;""&lt;&gt;"",INDEX(ctaVinc,MATCH(Q4515,ctaNombre,0))&amp;"",Q4515),Q4515))</f>
        <v/>
      </c>
      <c r="AC4515" s="52">
        <f>IF(OR(K4515="",AND(P4515&lt;&gt;"Transferencia",P4515&lt;&gt;"Pago tarjeta")),"",IFERROR(IF(INDEX(ctaVinc,MATCH(K4515,ctaNombre,0))&amp;""&lt;&gt;"",INDEX(ctaVinc,MATCH(K4515,ctaNombre,0))&amp;"",K4515),K4515))</f>
        <v/>
      </c>
      <c r="AD4515" s="52">
        <f>IF(AB4515="","",IFERROR(INDEX(ctaTipo,MATCH(AB4515,ctaNombre,0))&amp;"",""))</f>
        <v/>
      </c>
      <c r="AE4515" s="52">
        <f>IF(AC4515="","",IFERROR(INDEX(ctaTipo,MATCH(AC4515,ctaNombre,0))&amp;"",""))</f>
        <v/>
      </c>
      <c r="AF4515" s="53">
        <f>IF(OR(P4515="",AB4515=""),"",IF(OR(P4515="Gasto",P4515="Transferencia",P4515="Pago tarjeta"),-1,1)*IF(IFERROR(INDEX(ctaMoneda,MATCH(AB4515,ctaNombre,0))&amp;"","DOP")="USD",T4515,S4515))</f>
        <v/>
      </c>
      <c r="AG4515" s="53">
        <f>IF(AC4515="","",IF(IFERROR(INDEX(ctaMoneda,MATCH(AC4515,ctaNombre,0))&amp;"","DOP")="USD",T4515,S4515))</f>
        <v/>
      </c>
      <c r="AH4515" s="53">
        <f>IF(P4515="","",IF(AND(AD4515&lt;&gt;"",COUNTIFS(tcTipo,AD4515,tcLiq,"Sí")&gt;0),IF(OR(P4515="Gasto",P4515="Transferencia",P4515="Pago tarjeta"),-1,1)*S4515,0)+IF(AND(AE4515&lt;&gt;"",COUNTIFS(tcTipo,AE4515,tcLiq,"Sí")&gt;0),S4515,0))</f>
        <v/>
      </c>
      <c r="AI4515" s="52">
        <f>IF(OR(L4515="",P4515=""),"",IF(COUNTIFS(L$6:L4515,L4515,P$6:P4515,"?*")=1,MAX(AI$5:AI4514)+1,""))</f>
        <v/>
      </c>
    </row>
    <row r="4516">
      <c r="B4516" s="47" t="n"/>
      <c r="C4516" s="48" t="n"/>
      <c r="D4516" s="48" t="n"/>
      <c r="E4516" s="48" t="n"/>
      <c r="F4516" s="48" t="n"/>
      <c r="G4516" s="49" t="n"/>
      <c r="H4516" s="48" t="n"/>
      <c r="I4516" s="50" t="n"/>
      <c r="J4516" s="48" t="n"/>
      <c r="K4516" s="48" t="n"/>
      <c r="L4516" s="48" t="n"/>
      <c r="M4516" s="48" t="n"/>
      <c r="N4516" s="48" t="n"/>
      <c r="O4516" s="51">
        <f>IF(AND(B4516="",G4516="",C4516="",D4516="",J4516=""),"",IF(B4516="","⚠ Falta fecha",IF(G4516="","⚠ Falta monto",IF(Q4516="","⚠ Falta cuenta",IF(ISNA(MATCH(Q4516,ctaNombre,0)),"⚠ Cuenta no registrada",IF(AND(OR(P4516="Gasto",P4516="Reembolso"),D4516=""),"⚠ Falta categoría",IF(AND(D4516&lt;&gt;"",E4516&lt;&gt;"",ISNA(MATCH(D4516&amp;"|"&amp;E4516,catClave,0))),"⚠ Subcategoría no corresponde",IF(AND(OR(P4516="Transferencia",P4516="Pago tarjeta"),K4516=""),"⚠ Falta cuenta destino",IF(AND(K4516&lt;&gt;"",P4516&lt;&gt;"Transferencia",P4516&lt;&gt;"Pago tarjeta"),"⚠ Destino solo aplica a transferencias",IF(AND(K4516&lt;&gt;"",K4516=Q4516),"⚠ Origen igual a destino",IF(AND(K4516&lt;&gt;"",ISNA(MATCH(K4516,ctaNombre,0))),"⚠ Destino no registrado",IF(AND(P4516="Pago tarjeta",AE4516&lt;&gt;"Tarjeta de crédito"),"⚠ El destino debe ser tarjeta de crédito",IF(AND(P4516="Gasto",E4516="Depósitos y retiros"),"⚠ Usa tipo Transferencia",IF(AND(P4516="Resultado trading",AD4516&lt;&gt;"Cuenta de trading"),"⚠ Usa una cuenta de trading",IF(AND(G4516&lt;=0,P4516&lt;&gt;"Ajuste",P4516&lt;&gt;"Resultado trading"),"⚠ El monto debe ser positivo","✓")))))))))))))))</f>
        <v/>
      </c>
      <c r="P4516" s="52">
        <f>IF(OR(B4516="",G4516=""),"",IF(C4516="","Gasto",C4516))</f>
        <v/>
      </c>
      <c r="Q4516" s="52">
        <f>IF(P4516="","",IF(J4516&lt;&gt;"",J4516,CuentaPred&amp;""))</f>
        <v/>
      </c>
      <c r="R4516" s="52">
        <f>IF(P4516="","",IF(ISNUMBER(I4516),I4516,TasaUSD))</f>
        <v/>
      </c>
      <c r="S4516" s="53">
        <f>IF(P4516="","",IF(H4516="USD",G4516*R4516,G4516))</f>
        <v/>
      </c>
      <c r="T4516" s="53">
        <f>IF(P4516="","",IF(H4516="USD",G4516,IF(R4516&gt;0,G4516/R4516,0)))</f>
        <v/>
      </c>
      <c r="U4516" s="53">
        <f>IF(P4516="","",IF(P4516="Gasto",S4516,IF(P4516="Reembolso",-S4516,0)))</f>
        <v/>
      </c>
      <c r="V4516" s="53">
        <f>IF(P4516="","",IF(P4516="Ingreso",S4516,0))</f>
        <v/>
      </c>
      <c r="W4516" s="53">
        <f>IF(P4516="","",IF(P4516="Resultado trading",S4516,0))</f>
        <v/>
      </c>
      <c r="X4516" s="52">
        <f>IF(OR(P4516="Gasto",P4516="Reembolso"),IF(M4516&lt;&gt;"",M4516,IFERROR(INDEX(catClasif,MATCH(D4516&amp;"|"&amp;E4516,catClave,0))&amp;"","Variable")),"")</f>
        <v/>
      </c>
      <c r="Y4516" s="52">
        <f>IF(P4516="","",IFERROR(INDEX(catGrupo,MATCH(D4516&amp;"|"&amp;E4516,catClave,0))&amp;"",""))</f>
        <v/>
      </c>
      <c r="Z4516" s="52">
        <f>IF(P4516="","",WEEKDAY(B4516,2))</f>
        <v/>
      </c>
      <c r="AA4516" s="52">
        <f>IF(P4516="","",IF(AND(P4516="Gasto",X4516="Variable",D4516&lt;&gt;catTrading,S4516&gt;0,S4516&lt;=Umbral),1,0))</f>
        <v/>
      </c>
      <c r="AB4516" s="52">
        <f>IF(OR(P4516="",Q4516=""),"",IFERROR(IF(INDEX(ctaVinc,MATCH(Q4516,ctaNombre,0))&amp;""&lt;&gt;"",INDEX(ctaVinc,MATCH(Q4516,ctaNombre,0))&amp;"",Q4516),Q4516))</f>
        <v/>
      </c>
      <c r="AC4516" s="52">
        <f>IF(OR(K4516="",AND(P4516&lt;&gt;"Transferencia",P4516&lt;&gt;"Pago tarjeta")),"",IFERROR(IF(INDEX(ctaVinc,MATCH(K4516,ctaNombre,0))&amp;""&lt;&gt;"",INDEX(ctaVinc,MATCH(K4516,ctaNombre,0))&amp;"",K4516),K4516))</f>
        <v/>
      </c>
      <c r="AD4516" s="52">
        <f>IF(AB4516="","",IFERROR(INDEX(ctaTipo,MATCH(AB4516,ctaNombre,0))&amp;"",""))</f>
        <v/>
      </c>
      <c r="AE4516" s="52">
        <f>IF(AC4516="","",IFERROR(INDEX(ctaTipo,MATCH(AC4516,ctaNombre,0))&amp;"",""))</f>
        <v/>
      </c>
      <c r="AF4516" s="53">
        <f>IF(OR(P4516="",AB4516=""),"",IF(OR(P4516="Gasto",P4516="Transferencia",P4516="Pago tarjeta"),-1,1)*IF(IFERROR(INDEX(ctaMoneda,MATCH(AB4516,ctaNombre,0))&amp;"","DOP")="USD",T4516,S4516))</f>
        <v/>
      </c>
      <c r="AG4516" s="53">
        <f>IF(AC4516="","",IF(IFERROR(INDEX(ctaMoneda,MATCH(AC4516,ctaNombre,0))&amp;"","DOP")="USD",T4516,S4516))</f>
        <v/>
      </c>
      <c r="AH4516" s="53">
        <f>IF(P4516="","",IF(AND(AD4516&lt;&gt;"",COUNTIFS(tcTipo,AD4516,tcLiq,"Sí")&gt;0),IF(OR(P4516="Gasto",P4516="Transferencia",P4516="Pago tarjeta"),-1,1)*S4516,0)+IF(AND(AE4516&lt;&gt;"",COUNTIFS(tcTipo,AE4516,tcLiq,"Sí")&gt;0),S4516,0))</f>
        <v/>
      </c>
      <c r="AI4516" s="52">
        <f>IF(OR(L4516="",P4516=""),"",IF(COUNTIFS(L$6:L4516,L4516,P$6:P4516,"?*")=1,MAX(AI$5:AI4515)+1,""))</f>
        <v/>
      </c>
    </row>
    <row r="4517">
      <c r="B4517" s="47" t="n"/>
      <c r="C4517" s="48" t="n"/>
      <c r="D4517" s="48" t="n"/>
      <c r="E4517" s="48" t="n"/>
      <c r="F4517" s="48" t="n"/>
      <c r="G4517" s="49" t="n"/>
      <c r="H4517" s="48" t="n"/>
      <c r="I4517" s="50" t="n"/>
      <c r="J4517" s="48" t="n"/>
      <c r="K4517" s="48" t="n"/>
      <c r="L4517" s="48" t="n"/>
      <c r="M4517" s="48" t="n"/>
      <c r="N4517" s="48" t="n"/>
      <c r="O4517" s="51">
        <f>IF(AND(B4517="",G4517="",C4517="",D4517="",J4517=""),"",IF(B4517="","⚠ Falta fecha",IF(G4517="","⚠ Falta monto",IF(Q4517="","⚠ Falta cuenta",IF(ISNA(MATCH(Q4517,ctaNombre,0)),"⚠ Cuenta no registrada",IF(AND(OR(P4517="Gasto",P4517="Reembolso"),D4517=""),"⚠ Falta categoría",IF(AND(D4517&lt;&gt;"",E4517&lt;&gt;"",ISNA(MATCH(D4517&amp;"|"&amp;E4517,catClave,0))),"⚠ Subcategoría no corresponde",IF(AND(OR(P4517="Transferencia",P4517="Pago tarjeta"),K4517=""),"⚠ Falta cuenta destino",IF(AND(K4517&lt;&gt;"",P4517&lt;&gt;"Transferencia",P4517&lt;&gt;"Pago tarjeta"),"⚠ Destino solo aplica a transferencias",IF(AND(K4517&lt;&gt;"",K4517=Q4517),"⚠ Origen igual a destino",IF(AND(K4517&lt;&gt;"",ISNA(MATCH(K4517,ctaNombre,0))),"⚠ Destino no registrado",IF(AND(P4517="Pago tarjeta",AE4517&lt;&gt;"Tarjeta de crédito"),"⚠ El destino debe ser tarjeta de crédito",IF(AND(P4517="Gasto",E4517="Depósitos y retiros"),"⚠ Usa tipo Transferencia",IF(AND(P4517="Resultado trading",AD4517&lt;&gt;"Cuenta de trading"),"⚠ Usa una cuenta de trading",IF(AND(G4517&lt;=0,P4517&lt;&gt;"Ajuste",P4517&lt;&gt;"Resultado trading"),"⚠ El monto debe ser positivo","✓")))))))))))))))</f>
        <v/>
      </c>
      <c r="P4517" s="52">
        <f>IF(OR(B4517="",G4517=""),"",IF(C4517="","Gasto",C4517))</f>
        <v/>
      </c>
      <c r="Q4517" s="52">
        <f>IF(P4517="","",IF(J4517&lt;&gt;"",J4517,CuentaPred&amp;""))</f>
        <v/>
      </c>
      <c r="R4517" s="52">
        <f>IF(P4517="","",IF(ISNUMBER(I4517),I4517,TasaUSD))</f>
        <v/>
      </c>
      <c r="S4517" s="53">
        <f>IF(P4517="","",IF(H4517="USD",G4517*R4517,G4517))</f>
        <v/>
      </c>
      <c r="T4517" s="53">
        <f>IF(P4517="","",IF(H4517="USD",G4517,IF(R4517&gt;0,G4517/R4517,0)))</f>
        <v/>
      </c>
      <c r="U4517" s="53">
        <f>IF(P4517="","",IF(P4517="Gasto",S4517,IF(P4517="Reembolso",-S4517,0)))</f>
        <v/>
      </c>
      <c r="V4517" s="53">
        <f>IF(P4517="","",IF(P4517="Ingreso",S4517,0))</f>
        <v/>
      </c>
      <c r="W4517" s="53">
        <f>IF(P4517="","",IF(P4517="Resultado trading",S4517,0))</f>
        <v/>
      </c>
      <c r="X4517" s="52">
        <f>IF(OR(P4517="Gasto",P4517="Reembolso"),IF(M4517&lt;&gt;"",M4517,IFERROR(INDEX(catClasif,MATCH(D4517&amp;"|"&amp;E4517,catClave,0))&amp;"","Variable")),"")</f>
        <v/>
      </c>
      <c r="Y4517" s="52">
        <f>IF(P4517="","",IFERROR(INDEX(catGrupo,MATCH(D4517&amp;"|"&amp;E4517,catClave,0))&amp;"",""))</f>
        <v/>
      </c>
      <c r="Z4517" s="52">
        <f>IF(P4517="","",WEEKDAY(B4517,2))</f>
        <v/>
      </c>
      <c r="AA4517" s="52">
        <f>IF(P4517="","",IF(AND(P4517="Gasto",X4517="Variable",D4517&lt;&gt;catTrading,S4517&gt;0,S4517&lt;=Umbral),1,0))</f>
        <v/>
      </c>
      <c r="AB4517" s="52">
        <f>IF(OR(P4517="",Q4517=""),"",IFERROR(IF(INDEX(ctaVinc,MATCH(Q4517,ctaNombre,0))&amp;""&lt;&gt;"",INDEX(ctaVinc,MATCH(Q4517,ctaNombre,0))&amp;"",Q4517),Q4517))</f>
        <v/>
      </c>
      <c r="AC4517" s="52">
        <f>IF(OR(K4517="",AND(P4517&lt;&gt;"Transferencia",P4517&lt;&gt;"Pago tarjeta")),"",IFERROR(IF(INDEX(ctaVinc,MATCH(K4517,ctaNombre,0))&amp;""&lt;&gt;"",INDEX(ctaVinc,MATCH(K4517,ctaNombre,0))&amp;"",K4517),K4517))</f>
        <v/>
      </c>
      <c r="AD4517" s="52">
        <f>IF(AB4517="","",IFERROR(INDEX(ctaTipo,MATCH(AB4517,ctaNombre,0))&amp;"",""))</f>
        <v/>
      </c>
      <c r="AE4517" s="52">
        <f>IF(AC4517="","",IFERROR(INDEX(ctaTipo,MATCH(AC4517,ctaNombre,0))&amp;"",""))</f>
        <v/>
      </c>
      <c r="AF4517" s="53">
        <f>IF(OR(P4517="",AB4517=""),"",IF(OR(P4517="Gasto",P4517="Transferencia",P4517="Pago tarjeta"),-1,1)*IF(IFERROR(INDEX(ctaMoneda,MATCH(AB4517,ctaNombre,0))&amp;"","DOP")="USD",T4517,S4517))</f>
        <v/>
      </c>
      <c r="AG4517" s="53">
        <f>IF(AC4517="","",IF(IFERROR(INDEX(ctaMoneda,MATCH(AC4517,ctaNombre,0))&amp;"","DOP")="USD",T4517,S4517))</f>
        <v/>
      </c>
      <c r="AH4517" s="53">
        <f>IF(P4517="","",IF(AND(AD4517&lt;&gt;"",COUNTIFS(tcTipo,AD4517,tcLiq,"Sí")&gt;0),IF(OR(P4517="Gasto",P4517="Transferencia",P4517="Pago tarjeta"),-1,1)*S4517,0)+IF(AND(AE4517&lt;&gt;"",COUNTIFS(tcTipo,AE4517,tcLiq,"Sí")&gt;0),S4517,0))</f>
        <v/>
      </c>
      <c r="AI4517" s="52">
        <f>IF(OR(L4517="",P4517=""),"",IF(COUNTIFS(L$6:L4517,L4517,P$6:P4517,"?*")=1,MAX(AI$5:AI4516)+1,""))</f>
        <v/>
      </c>
    </row>
    <row r="4518">
      <c r="B4518" s="47" t="n"/>
      <c r="C4518" s="48" t="n"/>
      <c r="D4518" s="48" t="n"/>
      <c r="E4518" s="48" t="n"/>
      <c r="F4518" s="48" t="n"/>
      <c r="G4518" s="49" t="n"/>
      <c r="H4518" s="48" t="n"/>
      <c r="I4518" s="50" t="n"/>
      <c r="J4518" s="48" t="n"/>
      <c r="K4518" s="48" t="n"/>
      <c r="L4518" s="48" t="n"/>
      <c r="M4518" s="48" t="n"/>
      <c r="N4518" s="48" t="n"/>
      <c r="O4518" s="51">
        <f>IF(AND(B4518="",G4518="",C4518="",D4518="",J4518=""),"",IF(B4518="","⚠ Falta fecha",IF(G4518="","⚠ Falta monto",IF(Q4518="","⚠ Falta cuenta",IF(ISNA(MATCH(Q4518,ctaNombre,0)),"⚠ Cuenta no registrada",IF(AND(OR(P4518="Gasto",P4518="Reembolso"),D4518=""),"⚠ Falta categoría",IF(AND(D4518&lt;&gt;"",E4518&lt;&gt;"",ISNA(MATCH(D4518&amp;"|"&amp;E4518,catClave,0))),"⚠ Subcategoría no corresponde",IF(AND(OR(P4518="Transferencia",P4518="Pago tarjeta"),K4518=""),"⚠ Falta cuenta destino",IF(AND(K4518&lt;&gt;"",P4518&lt;&gt;"Transferencia",P4518&lt;&gt;"Pago tarjeta"),"⚠ Destino solo aplica a transferencias",IF(AND(K4518&lt;&gt;"",K4518=Q4518),"⚠ Origen igual a destino",IF(AND(K4518&lt;&gt;"",ISNA(MATCH(K4518,ctaNombre,0))),"⚠ Destino no registrado",IF(AND(P4518="Pago tarjeta",AE4518&lt;&gt;"Tarjeta de crédito"),"⚠ El destino debe ser tarjeta de crédito",IF(AND(P4518="Gasto",E4518="Depósitos y retiros"),"⚠ Usa tipo Transferencia",IF(AND(P4518="Resultado trading",AD4518&lt;&gt;"Cuenta de trading"),"⚠ Usa una cuenta de trading",IF(AND(G4518&lt;=0,P4518&lt;&gt;"Ajuste",P4518&lt;&gt;"Resultado trading"),"⚠ El monto debe ser positivo","✓")))))))))))))))</f>
        <v/>
      </c>
      <c r="P4518" s="52">
        <f>IF(OR(B4518="",G4518=""),"",IF(C4518="","Gasto",C4518))</f>
        <v/>
      </c>
      <c r="Q4518" s="52">
        <f>IF(P4518="","",IF(J4518&lt;&gt;"",J4518,CuentaPred&amp;""))</f>
        <v/>
      </c>
      <c r="R4518" s="52">
        <f>IF(P4518="","",IF(ISNUMBER(I4518),I4518,TasaUSD))</f>
        <v/>
      </c>
      <c r="S4518" s="53">
        <f>IF(P4518="","",IF(H4518="USD",G4518*R4518,G4518))</f>
        <v/>
      </c>
      <c r="T4518" s="53">
        <f>IF(P4518="","",IF(H4518="USD",G4518,IF(R4518&gt;0,G4518/R4518,0)))</f>
        <v/>
      </c>
      <c r="U4518" s="53">
        <f>IF(P4518="","",IF(P4518="Gasto",S4518,IF(P4518="Reembolso",-S4518,0)))</f>
        <v/>
      </c>
      <c r="V4518" s="53">
        <f>IF(P4518="","",IF(P4518="Ingreso",S4518,0))</f>
        <v/>
      </c>
      <c r="W4518" s="53">
        <f>IF(P4518="","",IF(P4518="Resultado trading",S4518,0))</f>
        <v/>
      </c>
      <c r="X4518" s="52">
        <f>IF(OR(P4518="Gasto",P4518="Reembolso"),IF(M4518&lt;&gt;"",M4518,IFERROR(INDEX(catClasif,MATCH(D4518&amp;"|"&amp;E4518,catClave,0))&amp;"","Variable")),"")</f>
        <v/>
      </c>
      <c r="Y4518" s="52">
        <f>IF(P4518="","",IFERROR(INDEX(catGrupo,MATCH(D4518&amp;"|"&amp;E4518,catClave,0))&amp;"",""))</f>
        <v/>
      </c>
      <c r="Z4518" s="52">
        <f>IF(P4518="","",WEEKDAY(B4518,2))</f>
        <v/>
      </c>
      <c r="AA4518" s="52">
        <f>IF(P4518="","",IF(AND(P4518="Gasto",X4518="Variable",D4518&lt;&gt;catTrading,S4518&gt;0,S4518&lt;=Umbral),1,0))</f>
        <v/>
      </c>
      <c r="AB4518" s="52">
        <f>IF(OR(P4518="",Q4518=""),"",IFERROR(IF(INDEX(ctaVinc,MATCH(Q4518,ctaNombre,0))&amp;""&lt;&gt;"",INDEX(ctaVinc,MATCH(Q4518,ctaNombre,0))&amp;"",Q4518),Q4518))</f>
        <v/>
      </c>
      <c r="AC4518" s="52">
        <f>IF(OR(K4518="",AND(P4518&lt;&gt;"Transferencia",P4518&lt;&gt;"Pago tarjeta")),"",IFERROR(IF(INDEX(ctaVinc,MATCH(K4518,ctaNombre,0))&amp;""&lt;&gt;"",INDEX(ctaVinc,MATCH(K4518,ctaNombre,0))&amp;"",K4518),K4518))</f>
        <v/>
      </c>
      <c r="AD4518" s="52">
        <f>IF(AB4518="","",IFERROR(INDEX(ctaTipo,MATCH(AB4518,ctaNombre,0))&amp;"",""))</f>
        <v/>
      </c>
      <c r="AE4518" s="52">
        <f>IF(AC4518="","",IFERROR(INDEX(ctaTipo,MATCH(AC4518,ctaNombre,0))&amp;"",""))</f>
        <v/>
      </c>
      <c r="AF4518" s="53">
        <f>IF(OR(P4518="",AB4518=""),"",IF(OR(P4518="Gasto",P4518="Transferencia",P4518="Pago tarjeta"),-1,1)*IF(IFERROR(INDEX(ctaMoneda,MATCH(AB4518,ctaNombre,0))&amp;"","DOP")="USD",T4518,S4518))</f>
        <v/>
      </c>
      <c r="AG4518" s="53">
        <f>IF(AC4518="","",IF(IFERROR(INDEX(ctaMoneda,MATCH(AC4518,ctaNombre,0))&amp;"","DOP")="USD",T4518,S4518))</f>
        <v/>
      </c>
      <c r="AH4518" s="53">
        <f>IF(P4518="","",IF(AND(AD4518&lt;&gt;"",COUNTIFS(tcTipo,AD4518,tcLiq,"Sí")&gt;0),IF(OR(P4518="Gasto",P4518="Transferencia",P4518="Pago tarjeta"),-1,1)*S4518,0)+IF(AND(AE4518&lt;&gt;"",COUNTIFS(tcTipo,AE4518,tcLiq,"Sí")&gt;0),S4518,0))</f>
        <v/>
      </c>
      <c r="AI4518" s="52">
        <f>IF(OR(L4518="",P4518=""),"",IF(COUNTIFS(L$6:L4518,L4518,P$6:P4518,"?*")=1,MAX(AI$5:AI4517)+1,""))</f>
        <v/>
      </c>
    </row>
    <row r="4519">
      <c r="B4519" s="47" t="n"/>
      <c r="C4519" s="48" t="n"/>
      <c r="D4519" s="48" t="n"/>
      <c r="E4519" s="48" t="n"/>
      <c r="F4519" s="48" t="n"/>
      <c r="G4519" s="49" t="n"/>
      <c r="H4519" s="48" t="n"/>
      <c r="I4519" s="50" t="n"/>
      <c r="J4519" s="48" t="n"/>
      <c r="K4519" s="48" t="n"/>
      <c r="L4519" s="48" t="n"/>
      <c r="M4519" s="48" t="n"/>
      <c r="N4519" s="48" t="n"/>
      <c r="O4519" s="51">
        <f>IF(AND(B4519="",G4519="",C4519="",D4519="",J4519=""),"",IF(B4519="","⚠ Falta fecha",IF(G4519="","⚠ Falta monto",IF(Q4519="","⚠ Falta cuenta",IF(ISNA(MATCH(Q4519,ctaNombre,0)),"⚠ Cuenta no registrada",IF(AND(OR(P4519="Gasto",P4519="Reembolso"),D4519=""),"⚠ Falta categoría",IF(AND(D4519&lt;&gt;"",E4519&lt;&gt;"",ISNA(MATCH(D4519&amp;"|"&amp;E4519,catClave,0))),"⚠ Subcategoría no corresponde",IF(AND(OR(P4519="Transferencia",P4519="Pago tarjeta"),K4519=""),"⚠ Falta cuenta destino",IF(AND(K4519&lt;&gt;"",P4519&lt;&gt;"Transferencia",P4519&lt;&gt;"Pago tarjeta"),"⚠ Destino solo aplica a transferencias",IF(AND(K4519&lt;&gt;"",K4519=Q4519),"⚠ Origen igual a destino",IF(AND(K4519&lt;&gt;"",ISNA(MATCH(K4519,ctaNombre,0))),"⚠ Destino no registrado",IF(AND(P4519="Pago tarjeta",AE4519&lt;&gt;"Tarjeta de crédito"),"⚠ El destino debe ser tarjeta de crédito",IF(AND(P4519="Gasto",E4519="Depósitos y retiros"),"⚠ Usa tipo Transferencia",IF(AND(P4519="Resultado trading",AD4519&lt;&gt;"Cuenta de trading"),"⚠ Usa una cuenta de trading",IF(AND(G4519&lt;=0,P4519&lt;&gt;"Ajuste",P4519&lt;&gt;"Resultado trading"),"⚠ El monto debe ser positivo","✓")))))))))))))))</f>
        <v/>
      </c>
      <c r="P4519" s="52">
        <f>IF(OR(B4519="",G4519=""),"",IF(C4519="","Gasto",C4519))</f>
        <v/>
      </c>
      <c r="Q4519" s="52">
        <f>IF(P4519="","",IF(J4519&lt;&gt;"",J4519,CuentaPred&amp;""))</f>
        <v/>
      </c>
      <c r="R4519" s="52">
        <f>IF(P4519="","",IF(ISNUMBER(I4519),I4519,TasaUSD))</f>
        <v/>
      </c>
      <c r="S4519" s="53">
        <f>IF(P4519="","",IF(H4519="USD",G4519*R4519,G4519))</f>
        <v/>
      </c>
      <c r="T4519" s="53">
        <f>IF(P4519="","",IF(H4519="USD",G4519,IF(R4519&gt;0,G4519/R4519,0)))</f>
        <v/>
      </c>
      <c r="U4519" s="53">
        <f>IF(P4519="","",IF(P4519="Gasto",S4519,IF(P4519="Reembolso",-S4519,0)))</f>
        <v/>
      </c>
      <c r="V4519" s="53">
        <f>IF(P4519="","",IF(P4519="Ingreso",S4519,0))</f>
        <v/>
      </c>
      <c r="W4519" s="53">
        <f>IF(P4519="","",IF(P4519="Resultado trading",S4519,0))</f>
        <v/>
      </c>
      <c r="X4519" s="52">
        <f>IF(OR(P4519="Gasto",P4519="Reembolso"),IF(M4519&lt;&gt;"",M4519,IFERROR(INDEX(catClasif,MATCH(D4519&amp;"|"&amp;E4519,catClave,0))&amp;"","Variable")),"")</f>
        <v/>
      </c>
      <c r="Y4519" s="52">
        <f>IF(P4519="","",IFERROR(INDEX(catGrupo,MATCH(D4519&amp;"|"&amp;E4519,catClave,0))&amp;"",""))</f>
        <v/>
      </c>
      <c r="Z4519" s="52">
        <f>IF(P4519="","",WEEKDAY(B4519,2))</f>
        <v/>
      </c>
      <c r="AA4519" s="52">
        <f>IF(P4519="","",IF(AND(P4519="Gasto",X4519="Variable",D4519&lt;&gt;catTrading,S4519&gt;0,S4519&lt;=Umbral),1,0))</f>
        <v/>
      </c>
      <c r="AB4519" s="52">
        <f>IF(OR(P4519="",Q4519=""),"",IFERROR(IF(INDEX(ctaVinc,MATCH(Q4519,ctaNombre,0))&amp;""&lt;&gt;"",INDEX(ctaVinc,MATCH(Q4519,ctaNombre,0))&amp;"",Q4519),Q4519))</f>
        <v/>
      </c>
      <c r="AC4519" s="52">
        <f>IF(OR(K4519="",AND(P4519&lt;&gt;"Transferencia",P4519&lt;&gt;"Pago tarjeta")),"",IFERROR(IF(INDEX(ctaVinc,MATCH(K4519,ctaNombre,0))&amp;""&lt;&gt;"",INDEX(ctaVinc,MATCH(K4519,ctaNombre,0))&amp;"",K4519),K4519))</f>
        <v/>
      </c>
      <c r="AD4519" s="52">
        <f>IF(AB4519="","",IFERROR(INDEX(ctaTipo,MATCH(AB4519,ctaNombre,0))&amp;"",""))</f>
        <v/>
      </c>
      <c r="AE4519" s="52">
        <f>IF(AC4519="","",IFERROR(INDEX(ctaTipo,MATCH(AC4519,ctaNombre,0))&amp;"",""))</f>
        <v/>
      </c>
      <c r="AF4519" s="53">
        <f>IF(OR(P4519="",AB4519=""),"",IF(OR(P4519="Gasto",P4519="Transferencia",P4519="Pago tarjeta"),-1,1)*IF(IFERROR(INDEX(ctaMoneda,MATCH(AB4519,ctaNombre,0))&amp;"","DOP")="USD",T4519,S4519))</f>
        <v/>
      </c>
      <c r="AG4519" s="53">
        <f>IF(AC4519="","",IF(IFERROR(INDEX(ctaMoneda,MATCH(AC4519,ctaNombre,0))&amp;"","DOP")="USD",T4519,S4519))</f>
        <v/>
      </c>
      <c r="AH4519" s="53">
        <f>IF(P4519="","",IF(AND(AD4519&lt;&gt;"",COUNTIFS(tcTipo,AD4519,tcLiq,"Sí")&gt;0),IF(OR(P4519="Gasto",P4519="Transferencia",P4519="Pago tarjeta"),-1,1)*S4519,0)+IF(AND(AE4519&lt;&gt;"",COUNTIFS(tcTipo,AE4519,tcLiq,"Sí")&gt;0),S4519,0))</f>
        <v/>
      </c>
      <c r="AI4519" s="52">
        <f>IF(OR(L4519="",P4519=""),"",IF(COUNTIFS(L$6:L4519,L4519,P$6:P4519,"?*")=1,MAX(AI$5:AI4518)+1,""))</f>
        <v/>
      </c>
    </row>
    <row r="4520">
      <c r="B4520" s="47" t="n"/>
      <c r="C4520" s="48" t="n"/>
      <c r="D4520" s="48" t="n"/>
      <c r="E4520" s="48" t="n"/>
      <c r="F4520" s="48" t="n"/>
      <c r="G4520" s="49" t="n"/>
      <c r="H4520" s="48" t="n"/>
      <c r="I4520" s="50" t="n"/>
      <c r="J4520" s="48" t="n"/>
      <c r="K4520" s="48" t="n"/>
      <c r="L4520" s="48" t="n"/>
      <c r="M4520" s="48" t="n"/>
      <c r="N4520" s="48" t="n"/>
      <c r="O4520" s="51">
        <f>IF(AND(B4520="",G4520="",C4520="",D4520="",J4520=""),"",IF(B4520="","⚠ Falta fecha",IF(G4520="","⚠ Falta monto",IF(Q4520="","⚠ Falta cuenta",IF(ISNA(MATCH(Q4520,ctaNombre,0)),"⚠ Cuenta no registrada",IF(AND(OR(P4520="Gasto",P4520="Reembolso"),D4520=""),"⚠ Falta categoría",IF(AND(D4520&lt;&gt;"",E4520&lt;&gt;"",ISNA(MATCH(D4520&amp;"|"&amp;E4520,catClave,0))),"⚠ Subcategoría no corresponde",IF(AND(OR(P4520="Transferencia",P4520="Pago tarjeta"),K4520=""),"⚠ Falta cuenta destino",IF(AND(K4520&lt;&gt;"",P4520&lt;&gt;"Transferencia",P4520&lt;&gt;"Pago tarjeta"),"⚠ Destino solo aplica a transferencias",IF(AND(K4520&lt;&gt;"",K4520=Q4520),"⚠ Origen igual a destino",IF(AND(K4520&lt;&gt;"",ISNA(MATCH(K4520,ctaNombre,0))),"⚠ Destino no registrado",IF(AND(P4520="Pago tarjeta",AE4520&lt;&gt;"Tarjeta de crédito"),"⚠ El destino debe ser tarjeta de crédito",IF(AND(P4520="Gasto",E4520="Depósitos y retiros"),"⚠ Usa tipo Transferencia",IF(AND(P4520="Resultado trading",AD4520&lt;&gt;"Cuenta de trading"),"⚠ Usa una cuenta de trading",IF(AND(G4520&lt;=0,P4520&lt;&gt;"Ajuste",P4520&lt;&gt;"Resultado trading"),"⚠ El monto debe ser positivo","✓")))))))))))))))</f>
        <v/>
      </c>
      <c r="P4520" s="52">
        <f>IF(OR(B4520="",G4520=""),"",IF(C4520="","Gasto",C4520))</f>
        <v/>
      </c>
      <c r="Q4520" s="52">
        <f>IF(P4520="","",IF(J4520&lt;&gt;"",J4520,CuentaPred&amp;""))</f>
        <v/>
      </c>
      <c r="R4520" s="52">
        <f>IF(P4520="","",IF(ISNUMBER(I4520),I4520,TasaUSD))</f>
        <v/>
      </c>
      <c r="S4520" s="53">
        <f>IF(P4520="","",IF(H4520="USD",G4520*R4520,G4520))</f>
        <v/>
      </c>
      <c r="T4520" s="53">
        <f>IF(P4520="","",IF(H4520="USD",G4520,IF(R4520&gt;0,G4520/R4520,0)))</f>
        <v/>
      </c>
      <c r="U4520" s="53">
        <f>IF(P4520="","",IF(P4520="Gasto",S4520,IF(P4520="Reembolso",-S4520,0)))</f>
        <v/>
      </c>
      <c r="V4520" s="53">
        <f>IF(P4520="","",IF(P4520="Ingreso",S4520,0))</f>
        <v/>
      </c>
      <c r="W4520" s="53">
        <f>IF(P4520="","",IF(P4520="Resultado trading",S4520,0))</f>
        <v/>
      </c>
      <c r="X4520" s="52">
        <f>IF(OR(P4520="Gasto",P4520="Reembolso"),IF(M4520&lt;&gt;"",M4520,IFERROR(INDEX(catClasif,MATCH(D4520&amp;"|"&amp;E4520,catClave,0))&amp;"","Variable")),"")</f>
        <v/>
      </c>
      <c r="Y4520" s="52">
        <f>IF(P4520="","",IFERROR(INDEX(catGrupo,MATCH(D4520&amp;"|"&amp;E4520,catClave,0))&amp;"",""))</f>
        <v/>
      </c>
      <c r="Z4520" s="52">
        <f>IF(P4520="","",WEEKDAY(B4520,2))</f>
        <v/>
      </c>
      <c r="AA4520" s="52">
        <f>IF(P4520="","",IF(AND(P4520="Gasto",X4520="Variable",D4520&lt;&gt;catTrading,S4520&gt;0,S4520&lt;=Umbral),1,0))</f>
        <v/>
      </c>
      <c r="AB4520" s="52">
        <f>IF(OR(P4520="",Q4520=""),"",IFERROR(IF(INDEX(ctaVinc,MATCH(Q4520,ctaNombre,0))&amp;""&lt;&gt;"",INDEX(ctaVinc,MATCH(Q4520,ctaNombre,0))&amp;"",Q4520),Q4520))</f>
        <v/>
      </c>
      <c r="AC4520" s="52">
        <f>IF(OR(K4520="",AND(P4520&lt;&gt;"Transferencia",P4520&lt;&gt;"Pago tarjeta")),"",IFERROR(IF(INDEX(ctaVinc,MATCH(K4520,ctaNombre,0))&amp;""&lt;&gt;"",INDEX(ctaVinc,MATCH(K4520,ctaNombre,0))&amp;"",K4520),K4520))</f>
        <v/>
      </c>
      <c r="AD4520" s="52">
        <f>IF(AB4520="","",IFERROR(INDEX(ctaTipo,MATCH(AB4520,ctaNombre,0))&amp;"",""))</f>
        <v/>
      </c>
      <c r="AE4520" s="52">
        <f>IF(AC4520="","",IFERROR(INDEX(ctaTipo,MATCH(AC4520,ctaNombre,0))&amp;"",""))</f>
        <v/>
      </c>
      <c r="AF4520" s="53">
        <f>IF(OR(P4520="",AB4520=""),"",IF(OR(P4520="Gasto",P4520="Transferencia",P4520="Pago tarjeta"),-1,1)*IF(IFERROR(INDEX(ctaMoneda,MATCH(AB4520,ctaNombre,0))&amp;"","DOP")="USD",T4520,S4520))</f>
        <v/>
      </c>
      <c r="AG4520" s="53">
        <f>IF(AC4520="","",IF(IFERROR(INDEX(ctaMoneda,MATCH(AC4520,ctaNombre,0))&amp;"","DOP")="USD",T4520,S4520))</f>
        <v/>
      </c>
      <c r="AH4520" s="53">
        <f>IF(P4520="","",IF(AND(AD4520&lt;&gt;"",COUNTIFS(tcTipo,AD4520,tcLiq,"Sí")&gt;0),IF(OR(P4520="Gasto",P4520="Transferencia",P4520="Pago tarjeta"),-1,1)*S4520,0)+IF(AND(AE4520&lt;&gt;"",COUNTIFS(tcTipo,AE4520,tcLiq,"Sí")&gt;0),S4520,0))</f>
        <v/>
      </c>
      <c r="AI4520" s="52">
        <f>IF(OR(L4520="",P4520=""),"",IF(COUNTIFS(L$6:L4520,L4520,P$6:P4520,"?*")=1,MAX(AI$5:AI4519)+1,""))</f>
        <v/>
      </c>
    </row>
    <row r="4521">
      <c r="B4521" s="47" t="n"/>
      <c r="C4521" s="48" t="n"/>
      <c r="D4521" s="48" t="n"/>
      <c r="E4521" s="48" t="n"/>
      <c r="F4521" s="48" t="n"/>
      <c r="G4521" s="49" t="n"/>
      <c r="H4521" s="48" t="n"/>
      <c r="I4521" s="50" t="n"/>
      <c r="J4521" s="48" t="n"/>
      <c r="K4521" s="48" t="n"/>
      <c r="L4521" s="48" t="n"/>
      <c r="M4521" s="48" t="n"/>
      <c r="N4521" s="48" t="n"/>
      <c r="O4521" s="51">
        <f>IF(AND(B4521="",G4521="",C4521="",D4521="",J4521=""),"",IF(B4521="","⚠ Falta fecha",IF(G4521="","⚠ Falta monto",IF(Q4521="","⚠ Falta cuenta",IF(ISNA(MATCH(Q4521,ctaNombre,0)),"⚠ Cuenta no registrada",IF(AND(OR(P4521="Gasto",P4521="Reembolso"),D4521=""),"⚠ Falta categoría",IF(AND(D4521&lt;&gt;"",E4521&lt;&gt;"",ISNA(MATCH(D4521&amp;"|"&amp;E4521,catClave,0))),"⚠ Subcategoría no corresponde",IF(AND(OR(P4521="Transferencia",P4521="Pago tarjeta"),K4521=""),"⚠ Falta cuenta destino",IF(AND(K4521&lt;&gt;"",P4521&lt;&gt;"Transferencia",P4521&lt;&gt;"Pago tarjeta"),"⚠ Destino solo aplica a transferencias",IF(AND(K4521&lt;&gt;"",K4521=Q4521),"⚠ Origen igual a destino",IF(AND(K4521&lt;&gt;"",ISNA(MATCH(K4521,ctaNombre,0))),"⚠ Destino no registrado",IF(AND(P4521="Pago tarjeta",AE4521&lt;&gt;"Tarjeta de crédito"),"⚠ El destino debe ser tarjeta de crédito",IF(AND(P4521="Gasto",E4521="Depósitos y retiros"),"⚠ Usa tipo Transferencia",IF(AND(P4521="Resultado trading",AD4521&lt;&gt;"Cuenta de trading"),"⚠ Usa una cuenta de trading",IF(AND(G4521&lt;=0,P4521&lt;&gt;"Ajuste",P4521&lt;&gt;"Resultado trading"),"⚠ El monto debe ser positivo","✓")))))))))))))))</f>
        <v/>
      </c>
      <c r="P4521" s="52">
        <f>IF(OR(B4521="",G4521=""),"",IF(C4521="","Gasto",C4521))</f>
        <v/>
      </c>
      <c r="Q4521" s="52">
        <f>IF(P4521="","",IF(J4521&lt;&gt;"",J4521,CuentaPred&amp;""))</f>
        <v/>
      </c>
      <c r="R4521" s="52">
        <f>IF(P4521="","",IF(ISNUMBER(I4521),I4521,TasaUSD))</f>
        <v/>
      </c>
      <c r="S4521" s="53">
        <f>IF(P4521="","",IF(H4521="USD",G4521*R4521,G4521))</f>
        <v/>
      </c>
      <c r="T4521" s="53">
        <f>IF(P4521="","",IF(H4521="USD",G4521,IF(R4521&gt;0,G4521/R4521,0)))</f>
        <v/>
      </c>
      <c r="U4521" s="53">
        <f>IF(P4521="","",IF(P4521="Gasto",S4521,IF(P4521="Reembolso",-S4521,0)))</f>
        <v/>
      </c>
      <c r="V4521" s="53">
        <f>IF(P4521="","",IF(P4521="Ingreso",S4521,0))</f>
        <v/>
      </c>
      <c r="W4521" s="53">
        <f>IF(P4521="","",IF(P4521="Resultado trading",S4521,0))</f>
        <v/>
      </c>
      <c r="X4521" s="52">
        <f>IF(OR(P4521="Gasto",P4521="Reembolso"),IF(M4521&lt;&gt;"",M4521,IFERROR(INDEX(catClasif,MATCH(D4521&amp;"|"&amp;E4521,catClave,0))&amp;"","Variable")),"")</f>
        <v/>
      </c>
      <c r="Y4521" s="52">
        <f>IF(P4521="","",IFERROR(INDEX(catGrupo,MATCH(D4521&amp;"|"&amp;E4521,catClave,0))&amp;"",""))</f>
        <v/>
      </c>
      <c r="Z4521" s="52">
        <f>IF(P4521="","",WEEKDAY(B4521,2))</f>
        <v/>
      </c>
      <c r="AA4521" s="52">
        <f>IF(P4521="","",IF(AND(P4521="Gasto",X4521="Variable",D4521&lt;&gt;catTrading,S4521&gt;0,S4521&lt;=Umbral),1,0))</f>
        <v/>
      </c>
      <c r="AB4521" s="52">
        <f>IF(OR(P4521="",Q4521=""),"",IFERROR(IF(INDEX(ctaVinc,MATCH(Q4521,ctaNombre,0))&amp;""&lt;&gt;"",INDEX(ctaVinc,MATCH(Q4521,ctaNombre,0))&amp;"",Q4521),Q4521))</f>
        <v/>
      </c>
      <c r="AC4521" s="52">
        <f>IF(OR(K4521="",AND(P4521&lt;&gt;"Transferencia",P4521&lt;&gt;"Pago tarjeta")),"",IFERROR(IF(INDEX(ctaVinc,MATCH(K4521,ctaNombre,0))&amp;""&lt;&gt;"",INDEX(ctaVinc,MATCH(K4521,ctaNombre,0))&amp;"",K4521),K4521))</f>
        <v/>
      </c>
      <c r="AD4521" s="52">
        <f>IF(AB4521="","",IFERROR(INDEX(ctaTipo,MATCH(AB4521,ctaNombre,0))&amp;"",""))</f>
        <v/>
      </c>
      <c r="AE4521" s="52">
        <f>IF(AC4521="","",IFERROR(INDEX(ctaTipo,MATCH(AC4521,ctaNombre,0))&amp;"",""))</f>
        <v/>
      </c>
      <c r="AF4521" s="53">
        <f>IF(OR(P4521="",AB4521=""),"",IF(OR(P4521="Gasto",P4521="Transferencia",P4521="Pago tarjeta"),-1,1)*IF(IFERROR(INDEX(ctaMoneda,MATCH(AB4521,ctaNombre,0))&amp;"","DOP")="USD",T4521,S4521))</f>
        <v/>
      </c>
      <c r="AG4521" s="53">
        <f>IF(AC4521="","",IF(IFERROR(INDEX(ctaMoneda,MATCH(AC4521,ctaNombre,0))&amp;"","DOP")="USD",T4521,S4521))</f>
        <v/>
      </c>
      <c r="AH4521" s="53">
        <f>IF(P4521="","",IF(AND(AD4521&lt;&gt;"",COUNTIFS(tcTipo,AD4521,tcLiq,"Sí")&gt;0),IF(OR(P4521="Gasto",P4521="Transferencia",P4521="Pago tarjeta"),-1,1)*S4521,0)+IF(AND(AE4521&lt;&gt;"",COUNTIFS(tcTipo,AE4521,tcLiq,"Sí")&gt;0),S4521,0))</f>
        <v/>
      </c>
      <c r="AI4521" s="52">
        <f>IF(OR(L4521="",P4521=""),"",IF(COUNTIFS(L$6:L4521,L4521,P$6:P4521,"?*")=1,MAX(AI$5:AI4520)+1,""))</f>
        <v/>
      </c>
    </row>
    <row r="4522">
      <c r="B4522" s="47" t="n"/>
      <c r="C4522" s="48" t="n"/>
      <c r="D4522" s="48" t="n"/>
      <c r="E4522" s="48" t="n"/>
      <c r="F4522" s="48" t="n"/>
      <c r="G4522" s="49" t="n"/>
      <c r="H4522" s="48" t="n"/>
      <c r="I4522" s="50" t="n"/>
      <c r="J4522" s="48" t="n"/>
      <c r="K4522" s="48" t="n"/>
      <c r="L4522" s="48" t="n"/>
      <c r="M4522" s="48" t="n"/>
      <c r="N4522" s="48" t="n"/>
      <c r="O4522" s="51">
        <f>IF(AND(B4522="",G4522="",C4522="",D4522="",J4522=""),"",IF(B4522="","⚠ Falta fecha",IF(G4522="","⚠ Falta monto",IF(Q4522="","⚠ Falta cuenta",IF(ISNA(MATCH(Q4522,ctaNombre,0)),"⚠ Cuenta no registrada",IF(AND(OR(P4522="Gasto",P4522="Reembolso"),D4522=""),"⚠ Falta categoría",IF(AND(D4522&lt;&gt;"",E4522&lt;&gt;"",ISNA(MATCH(D4522&amp;"|"&amp;E4522,catClave,0))),"⚠ Subcategoría no corresponde",IF(AND(OR(P4522="Transferencia",P4522="Pago tarjeta"),K4522=""),"⚠ Falta cuenta destino",IF(AND(K4522&lt;&gt;"",P4522&lt;&gt;"Transferencia",P4522&lt;&gt;"Pago tarjeta"),"⚠ Destino solo aplica a transferencias",IF(AND(K4522&lt;&gt;"",K4522=Q4522),"⚠ Origen igual a destino",IF(AND(K4522&lt;&gt;"",ISNA(MATCH(K4522,ctaNombre,0))),"⚠ Destino no registrado",IF(AND(P4522="Pago tarjeta",AE4522&lt;&gt;"Tarjeta de crédito"),"⚠ El destino debe ser tarjeta de crédito",IF(AND(P4522="Gasto",E4522="Depósitos y retiros"),"⚠ Usa tipo Transferencia",IF(AND(P4522="Resultado trading",AD4522&lt;&gt;"Cuenta de trading"),"⚠ Usa una cuenta de trading",IF(AND(G4522&lt;=0,P4522&lt;&gt;"Ajuste",P4522&lt;&gt;"Resultado trading"),"⚠ El monto debe ser positivo","✓")))))))))))))))</f>
        <v/>
      </c>
      <c r="P4522" s="52">
        <f>IF(OR(B4522="",G4522=""),"",IF(C4522="","Gasto",C4522))</f>
        <v/>
      </c>
      <c r="Q4522" s="52">
        <f>IF(P4522="","",IF(J4522&lt;&gt;"",J4522,CuentaPred&amp;""))</f>
        <v/>
      </c>
      <c r="R4522" s="52">
        <f>IF(P4522="","",IF(ISNUMBER(I4522),I4522,TasaUSD))</f>
        <v/>
      </c>
      <c r="S4522" s="53">
        <f>IF(P4522="","",IF(H4522="USD",G4522*R4522,G4522))</f>
        <v/>
      </c>
      <c r="T4522" s="53">
        <f>IF(P4522="","",IF(H4522="USD",G4522,IF(R4522&gt;0,G4522/R4522,0)))</f>
        <v/>
      </c>
      <c r="U4522" s="53">
        <f>IF(P4522="","",IF(P4522="Gasto",S4522,IF(P4522="Reembolso",-S4522,0)))</f>
        <v/>
      </c>
      <c r="V4522" s="53">
        <f>IF(P4522="","",IF(P4522="Ingreso",S4522,0))</f>
        <v/>
      </c>
      <c r="W4522" s="53">
        <f>IF(P4522="","",IF(P4522="Resultado trading",S4522,0))</f>
        <v/>
      </c>
      <c r="X4522" s="52">
        <f>IF(OR(P4522="Gasto",P4522="Reembolso"),IF(M4522&lt;&gt;"",M4522,IFERROR(INDEX(catClasif,MATCH(D4522&amp;"|"&amp;E4522,catClave,0))&amp;"","Variable")),"")</f>
        <v/>
      </c>
      <c r="Y4522" s="52">
        <f>IF(P4522="","",IFERROR(INDEX(catGrupo,MATCH(D4522&amp;"|"&amp;E4522,catClave,0))&amp;"",""))</f>
        <v/>
      </c>
      <c r="Z4522" s="52">
        <f>IF(P4522="","",WEEKDAY(B4522,2))</f>
        <v/>
      </c>
      <c r="AA4522" s="52">
        <f>IF(P4522="","",IF(AND(P4522="Gasto",X4522="Variable",D4522&lt;&gt;catTrading,S4522&gt;0,S4522&lt;=Umbral),1,0))</f>
        <v/>
      </c>
      <c r="AB4522" s="52">
        <f>IF(OR(P4522="",Q4522=""),"",IFERROR(IF(INDEX(ctaVinc,MATCH(Q4522,ctaNombre,0))&amp;""&lt;&gt;"",INDEX(ctaVinc,MATCH(Q4522,ctaNombre,0))&amp;"",Q4522),Q4522))</f>
        <v/>
      </c>
      <c r="AC4522" s="52">
        <f>IF(OR(K4522="",AND(P4522&lt;&gt;"Transferencia",P4522&lt;&gt;"Pago tarjeta")),"",IFERROR(IF(INDEX(ctaVinc,MATCH(K4522,ctaNombre,0))&amp;""&lt;&gt;"",INDEX(ctaVinc,MATCH(K4522,ctaNombre,0))&amp;"",K4522),K4522))</f>
        <v/>
      </c>
      <c r="AD4522" s="52">
        <f>IF(AB4522="","",IFERROR(INDEX(ctaTipo,MATCH(AB4522,ctaNombre,0))&amp;"",""))</f>
        <v/>
      </c>
      <c r="AE4522" s="52">
        <f>IF(AC4522="","",IFERROR(INDEX(ctaTipo,MATCH(AC4522,ctaNombre,0))&amp;"",""))</f>
        <v/>
      </c>
      <c r="AF4522" s="53">
        <f>IF(OR(P4522="",AB4522=""),"",IF(OR(P4522="Gasto",P4522="Transferencia",P4522="Pago tarjeta"),-1,1)*IF(IFERROR(INDEX(ctaMoneda,MATCH(AB4522,ctaNombre,0))&amp;"","DOP")="USD",T4522,S4522))</f>
        <v/>
      </c>
      <c r="AG4522" s="53">
        <f>IF(AC4522="","",IF(IFERROR(INDEX(ctaMoneda,MATCH(AC4522,ctaNombre,0))&amp;"","DOP")="USD",T4522,S4522))</f>
        <v/>
      </c>
      <c r="AH4522" s="53">
        <f>IF(P4522="","",IF(AND(AD4522&lt;&gt;"",COUNTIFS(tcTipo,AD4522,tcLiq,"Sí")&gt;0),IF(OR(P4522="Gasto",P4522="Transferencia",P4522="Pago tarjeta"),-1,1)*S4522,0)+IF(AND(AE4522&lt;&gt;"",COUNTIFS(tcTipo,AE4522,tcLiq,"Sí")&gt;0),S4522,0))</f>
        <v/>
      </c>
      <c r="AI4522" s="52">
        <f>IF(OR(L4522="",P4522=""),"",IF(COUNTIFS(L$6:L4522,L4522,P$6:P4522,"?*")=1,MAX(AI$5:AI4521)+1,""))</f>
        <v/>
      </c>
    </row>
    <row r="4523">
      <c r="B4523" s="47" t="n"/>
      <c r="C4523" s="48" t="n"/>
      <c r="D4523" s="48" t="n"/>
      <c r="E4523" s="48" t="n"/>
      <c r="F4523" s="48" t="n"/>
      <c r="G4523" s="49" t="n"/>
      <c r="H4523" s="48" t="n"/>
      <c r="I4523" s="50" t="n"/>
      <c r="J4523" s="48" t="n"/>
      <c r="K4523" s="48" t="n"/>
      <c r="L4523" s="48" t="n"/>
      <c r="M4523" s="48" t="n"/>
      <c r="N4523" s="48" t="n"/>
      <c r="O4523" s="51">
        <f>IF(AND(B4523="",G4523="",C4523="",D4523="",J4523=""),"",IF(B4523="","⚠ Falta fecha",IF(G4523="","⚠ Falta monto",IF(Q4523="","⚠ Falta cuenta",IF(ISNA(MATCH(Q4523,ctaNombre,0)),"⚠ Cuenta no registrada",IF(AND(OR(P4523="Gasto",P4523="Reembolso"),D4523=""),"⚠ Falta categoría",IF(AND(D4523&lt;&gt;"",E4523&lt;&gt;"",ISNA(MATCH(D4523&amp;"|"&amp;E4523,catClave,0))),"⚠ Subcategoría no corresponde",IF(AND(OR(P4523="Transferencia",P4523="Pago tarjeta"),K4523=""),"⚠ Falta cuenta destino",IF(AND(K4523&lt;&gt;"",P4523&lt;&gt;"Transferencia",P4523&lt;&gt;"Pago tarjeta"),"⚠ Destino solo aplica a transferencias",IF(AND(K4523&lt;&gt;"",K4523=Q4523),"⚠ Origen igual a destino",IF(AND(K4523&lt;&gt;"",ISNA(MATCH(K4523,ctaNombre,0))),"⚠ Destino no registrado",IF(AND(P4523="Pago tarjeta",AE4523&lt;&gt;"Tarjeta de crédito"),"⚠ El destino debe ser tarjeta de crédito",IF(AND(P4523="Gasto",E4523="Depósitos y retiros"),"⚠ Usa tipo Transferencia",IF(AND(P4523="Resultado trading",AD4523&lt;&gt;"Cuenta de trading"),"⚠ Usa una cuenta de trading",IF(AND(G4523&lt;=0,P4523&lt;&gt;"Ajuste",P4523&lt;&gt;"Resultado trading"),"⚠ El monto debe ser positivo","✓")))))))))))))))</f>
        <v/>
      </c>
      <c r="P4523" s="52">
        <f>IF(OR(B4523="",G4523=""),"",IF(C4523="","Gasto",C4523))</f>
        <v/>
      </c>
      <c r="Q4523" s="52">
        <f>IF(P4523="","",IF(J4523&lt;&gt;"",J4523,CuentaPred&amp;""))</f>
        <v/>
      </c>
      <c r="R4523" s="52">
        <f>IF(P4523="","",IF(ISNUMBER(I4523),I4523,TasaUSD))</f>
        <v/>
      </c>
      <c r="S4523" s="53">
        <f>IF(P4523="","",IF(H4523="USD",G4523*R4523,G4523))</f>
        <v/>
      </c>
      <c r="T4523" s="53">
        <f>IF(P4523="","",IF(H4523="USD",G4523,IF(R4523&gt;0,G4523/R4523,0)))</f>
        <v/>
      </c>
      <c r="U4523" s="53">
        <f>IF(P4523="","",IF(P4523="Gasto",S4523,IF(P4523="Reembolso",-S4523,0)))</f>
        <v/>
      </c>
      <c r="V4523" s="53">
        <f>IF(P4523="","",IF(P4523="Ingreso",S4523,0))</f>
        <v/>
      </c>
      <c r="W4523" s="53">
        <f>IF(P4523="","",IF(P4523="Resultado trading",S4523,0))</f>
        <v/>
      </c>
      <c r="X4523" s="52">
        <f>IF(OR(P4523="Gasto",P4523="Reembolso"),IF(M4523&lt;&gt;"",M4523,IFERROR(INDEX(catClasif,MATCH(D4523&amp;"|"&amp;E4523,catClave,0))&amp;"","Variable")),"")</f>
        <v/>
      </c>
      <c r="Y4523" s="52">
        <f>IF(P4523="","",IFERROR(INDEX(catGrupo,MATCH(D4523&amp;"|"&amp;E4523,catClave,0))&amp;"",""))</f>
        <v/>
      </c>
      <c r="Z4523" s="52">
        <f>IF(P4523="","",WEEKDAY(B4523,2))</f>
        <v/>
      </c>
      <c r="AA4523" s="52">
        <f>IF(P4523="","",IF(AND(P4523="Gasto",X4523="Variable",D4523&lt;&gt;catTrading,S4523&gt;0,S4523&lt;=Umbral),1,0))</f>
        <v/>
      </c>
      <c r="AB4523" s="52">
        <f>IF(OR(P4523="",Q4523=""),"",IFERROR(IF(INDEX(ctaVinc,MATCH(Q4523,ctaNombre,0))&amp;""&lt;&gt;"",INDEX(ctaVinc,MATCH(Q4523,ctaNombre,0))&amp;"",Q4523),Q4523))</f>
        <v/>
      </c>
      <c r="AC4523" s="52">
        <f>IF(OR(K4523="",AND(P4523&lt;&gt;"Transferencia",P4523&lt;&gt;"Pago tarjeta")),"",IFERROR(IF(INDEX(ctaVinc,MATCH(K4523,ctaNombre,0))&amp;""&lt;&gt;"",INDEX(ctaVinc,MATCH(K4523,ctaNombre,0))&amp;"",K4523),K4523))</f>
        <v/>
      </c>
      <c r="AD4523" s="52">
        <f>IF(AB4523="","",IFERROR(INDEX(ctaTipo,MATCH(AB4523,ctaNombre,0))&amp;"",""))</f>
        <v/>
      </c>
      <c r="AE4523" s="52">
        <f>IF(AC4523="","",IFERROR(INDEX(ctaTipo,MATCH(AC4523,ctaNombre,0))&amp;"",""))</f>
        <v/>
      </c>
      <c r="AF4523" s="53">
        <f>IF(OR(P4523="",AB4523=""),"",IF(OR(P4523="Gasto",P4523="Transferencia",P4523="Pago tarjeta"),-1,1)*IF(IFERROR(INDEX(ctaMoneda,MATCH(AB4523,ctaNombre,0))&amp;"","DOP")="USD",T4523,S4523))</f>
        <v/>
      </c>
      <c r="AG4523" s="53">
        <f>IF(AC4523="","",IF(IFERROR(INDEX(ctaMoneda,MATCH(AC4523,ctaNombre,0))&amp;"","DOP")="USD",T4523,S4523))</f>
        <v/>
      </c>
      <c r="AH4523" s="53">
        <f>IF(P4523="","",IF(AND(AD4523&lt;&gt;"",COUNTIFS(tcTipo,AD4523,tcLiq,"Sí")&gt;0),IF(OR(P4523="Gasto",P4523="Transferencia",P4523="Pago tarjeta"),-1,1)*S4523,0)+IF(AND(AE4523&lt;&gt;"",COUNTIFS(tcTipo,AE4523,tcLiq,"Sí")&gt;0),S4523,0))</f>
        <v/>
      </c>
      <c r="AI4523" s="52">
        <f>IF(OR(L4523="",P4523=""),"",IF(COUNTIFS(L$6:L4523,L4523,P$6:P4523,"?*")=1,MAX(AI$5:AI4522)+1,""))</f>
        <v/>
      </c>
    </row>
    <row r="4524">
      <c r="B4524" s="47" t="n"/>
      <c r="C4524" s="48" t="n"/>
      <c r="D4524" s="48" t="n"/>
      <c r="E4524" s="48" t="n"/>
      <c r="F4524" s="48" t="n"/>
      <c r="G4524" s="49" t="n"/>
      <c r="H4524" s="48" t="n"/>
      <c r="I4524" s="50" t="n"/>
      <c r="J4524" s="48" t="n"/>
      <c r="K4524" s="48" t="n"/>
      <c r="L4524" s="48" t="n"/>
      <c r="M4524" s="48" t="n"/>
      <c r="N4524" s="48" t="n"/>
      <c r="O4524" s="51">
        <f>IF(AND(B4524="",G4524="",C4524="",D4524="",J4524=""),"",IF(B4524="","⚠ Falta fecha",IF(G4524="","⚠ Falta monto",IF(Q4524="","⚠ Falta cuenta",IF(ISNA(MATCH(Q4524,ctaNombre,0)),"⚠ Cuenta no registrada",IF(AND(OR(P4524="Gasto",P4524="Reembolso"),D4524=""),"⚠ Falta categoría",IF(AND(D4524&lt;&gt;"",E4524&lt;&gt;"",ISNA(MATCH(D4524&amp;"|"&amp;E4524,catClave,0))),"⚠ Subcategoría no corresponde",IF(AND(OR(P4524="Transferencia",P4524="Pago tarjeta"),K4524=""),"⚠ Falta cuenta destino",IF(AND(K4524&lt;&gt;"",P4524&lt;&gt;"Transferencia",P4524&lt;&gt;"Pago tarjeta"),"⚠ Destino solo aplica a transferencias",IF(AND(K4524&lt;&gt;"",K4524=Q4524),"⚠ Origen igual a destino",IF(AND(K4524&lt;&gt;"",ISNA(MATCH(K4524,ctaNombre,0))),"⚠ Destino no registrado",IF(AND(P4524="Pago tarjeta",AE4524&lt;&gt;"Tarjeta de crédito"),"⚠ El destino debe ser tarjeta de crédito",IF(AND(P4524="Gasto",E4524="Depósitos y retiros"),"⚠ Usa tipo Transferencia",IF(AND(P4524="Resultado trading",AD4524&lt;&gt;"Cuenta de trading"),"⚠ Usa una cuenta de trading",IF(AND(G4524&lt;=0,P4524&lt;&gt;"Ajuste",P4524&lt;&gt;"Resultado trading"),"⚠ El monto debe ser positivo","✓")))))))))))))))</f>
        <v/>
      </c>
      <c r="P4524" s="52">
        <f>IF(OR(B4524="",G4524=""),"",IF(C4524="","Gasto",C4524))</f>
        <v/>
      </c>
      <c r="Q4524" s="52">
        <f>IF(P4524="","",IF(J4524&lt;&gt;"",J4524,CuentaPred&amp;""))</f>
        <v/>
      </c>
      <c r="R4524" s="52">
        <f>IF(P4524="","",IF(ISNUMBER(I4524),I4524,TasaUSD))</f>
        <v/>
      </c>
      <c r="S4524" s="53">
        <f>IF(P4524="","",IF(H4524="USD",G4524*R4524,G4524))</f>
        <v/>
      </c>
      <c r="T4524" s="53">
        <f>IF(P4524="","",IF(H4524="USD",G4524,IF(R4524&gt;0,G4524/R4524,0)))</f>
        <v/>
      </c>
      <c r="U4524" s="53">
        <f>IF(P4524="","",IF(P4524="Gasto",S4524,IF(P4524="Reembolso",-S4524,0)))</f>
        <v/>
      </c>
      <c r="V4524" s="53">
        <f>IF(P4524="","",IF(P4524="Ingreso",S4524,0))</f>
        <v/>
      </c>
      <c r="W4524" s="53">
        <f>IF(P4524="","",IF(P4524="Resultado trading",S4524,0))</f>
        <v/>
      </c>
      <c r="X4524" s="52">
        <f>IF(OR(P4524="Gasto",P4524="Reembolso"),IF(M4524&lt;&gt;"",M4524,IFERROR(INDEX(catClasif,MATCH(D4524&amp;"|"&amp;E4524,catClave,0))&amp;"","Variable")),"")</f>
        <v/>
      </c>
      <c r="Y4524" s="52">
        <f>IF(P4524="","",IFERROR(INDEX(catGrupo,MATCH(D4524&amp;"|"&amp;E4524,catClave,0))&amp;"",""))</f>
        <v/>
      </c>
      <c r="Z4524" s="52">
        <f>IF(P4524="","",WEEKDAY(B4524,2))</f>
        <v/>
      </c>
      <c r="AA4524" s="52">
        <f>IF(P4524="","",IF(AND(P4524="Gasto",X4524="Variable",D4524&lt;&gt;catTrading,S4524&gt;0,S4524&lt;=Umbral),1,0))</f>
        <v/>
      </c>
      <c r="AB4524" s="52">
        <f>IF(OR(P4524="",Q4524=""),"",IFERROR(IF(INDEX(ctaVinc,MATCH(Q4524,ctaNombre,0))&amp;""&lt;&gt;"",INDEX(ctaVinc,MATCH(Q4524,ctaNombre,0))&amp;"",Q4524),Q4524))</f>
        <v/>
      </c>
      <c r="AC4524" s="52">
        <f>IF(OR(K4524="",AND(P4524&lt;&gt;"Transferencia",P4524&lt;&gt;"Pago tarjeta")),"",IFERROR(IF(INDEX(ctaVinc,MATCH(K4524,ctaNombre,0))&amp;""&lt;&gt;"",INDEX(ctaVinc,MATCH(K4524,ctaNombre,0))&amp;"",K4524),K4524))</f>
        <v/>
      </c>
      <c r="AD4524" s="52">
        <f>IF(AB4524="","",IFERROR(INDEX(ctaTipo,MATCH(AB4524,ctaNombre,0))&amp;"",""))</f>
        <v/>
      </c>
      <c r="AE4524" s="52">
        <f>IF(AC4524="","",IFERROR(INDEX(ctaTipo,MATCH(AC4524,ctaNombre,0))&amp;"",""))</f>
        <v/>
      </c>
      <c r="AF4524" s="53">
        <f>IF(OR(P4524="",AB4524=""),"",IF(OR(P4524="Gasto",P4524="Transferencia",P4524="Pago tarjeta"),-1,1)*IF(IFERROR(INDEX(ctaMoneda,MATCH(AB4524,ctaNombre,0))&amp;"","DOP")="USD",T4524,S4524))</f>
        <v/>
      </c>
      <c r="AG4524" s="53">
        <f>IF(AC4524="","",IF(IFERROR(INDEX(ctaMoneda,MATCH(AC4524,ctaNombre,0))&amp;"","DOP")="USD",T4524,S4524))</f>
        <v/>
      </c>
      <c r="AH4524" s="53">
        <f>IF(P4524="","",IF(AND(AD4524&lt;&gt;"",COUNTIFS(tcTipo,AD4524,tcLiq,"Sí")&gt;0),IF(OR(P4524="Gasto",P4524="Transferencia",P4524="Pago tarjeta"),-1,1)*S4524,0)+IF(AND(AE4524&lt;&gt;"",COUNTIFS(tcTipo,AE4524,tcLiq,"Sí")&gt;0),S4524,0))</f>
        <v/>
      </c>
      <c r="AI4524" s="52">
        <f>IF(OR(L4524="",P4524=""),"",IF(COUNTIFS(L$6:L4524,L4524,P$6:P4524,"?*")=1,MAX(AI$5:AI4523)+1,""))</f>
        <v/>
      </c>
    </row>
    <row r="4525">
      <c r="B4525" s="47" t="n"/>
      <c r="C4525" s="48" t="n"/>
      <c r="D4525" s="48" t="n"/>
      <c r="E4525" s="48" t="n"/>
      <c r="F4525" s="48" t="n"/>
      <c r="G4525" s="49" t="n"/>
      <c r="H4525" s="48" t="n"/>
      <c r="I4525" s="50" t="n"/>
      <c r="J4525" s="48" t="n"/>
      <c r="K4525" s="48" t="n"/>
      <c r="L4525" s="48" t="n"/>
      <c r="M4525" s="48" t="n"/>
      <c r="N4525" s="48" t="n"/>
      <c r="O4525" s="51">
        <f>IF(AND(B4525="",G4525="",C4525="",D4525="",J4525=""),"",IF(B4525="","⚠ Falta fecha",IF(G4525="","⚠ Falta monto",IF(Q4525="","⚠ Falta cuenta",IF(ISNA(MATCH(Q4525,ctaNombre,0)),"⚠ Cuenta no registrada",IF(AND(OR(P4525="Gasto",P4525="Reembolso"),D4525=""),"⚠ Falta categoría",IF(AND(D4525&lt;&gt;"",E4525&lt;&gt;"",ISNA(MATCH(D4525&amp;"|"&amp;E4525,catClave,0))),"⚠ Subcategoría no corresponde",IF(AND(OR(P4525="Transferencia",P4525="Pago tarjeta"),K4525=""),"⚠ Falta cuenta destino",IF(AND(K4525&lt;&gt;"",P4525&lt;&gt;"Transferencia",P4525&lt;&gt;"Pago tarjeta"),"⚠ Destino solo aplica a transferencias",IF(AND(K4525&lt;&gt;"",K4525=Q4525),"⚠ Origen igual a destino",IF(AND(K4525&lt;&gt;"",ISNA(MATCH(K4525,ctaNombre,0))),"⚠ Destino no registrado",IF(AND(P4525="Pago tarjeta",AE4525&lt;&gt;"Tarjeta de crédito"),"⚠ El destino debe ser tarjeta de crédito",IF(AND(P4525="Gasto",E4525="Depósitos y retiros"),"⚠ Usa tipo Transferencia",IF(AND(P4525="Resultado trading",AD4525&lt;&gt;"Cuenta de trading"),"⚠ Usa una cuenta de trading",IF(AND(G4525&lt;=0,P4525&lt;&gt;"Ajuste",P4525&lt;&gt;"Resultado trading"),"⚠ El monto debe ser positivo","✓")))))))))))))))</f>
        <v/>
      </c>
      <c r="P4525" s="52">
        <f>IF(OR(B4525="",G4525=""),"",IF(C4525="","Gasto",C4525))</f>
        <v/>
      </c>
      <c r="Q4525" s="52">
        <f>IF(P4525="","",IF(J4525&lt;&gt;"",J4525,CuentaPred&amp;""))</f>
        <v/>
      </c>
      <c r="R4525" s="52">
        <f>IF(P4525="","",IF(ISNUMBER(I4525),I4525,TasaUSD))</f>
        <v/>
      </c>
      <c r="S4525" s="53">
        <f>IF(P4525="","",IF(H4525="USD",G4525*R4525,G4525))</f>
        <v/>
      </c>
      <c r="T4525" s="53">
        <f>IF(P4525="","",IF(H4525="USD",G4525,IF(R4525&gt;0,G4525/R4525,0)))</f>
        <v/>
      </c>
      <c r="U4525" s="53">
        <f>IF(P4525="","",IF(P4525="Gasto",S4525,IF(P4525="Reembolso",-S4525,0)))</f>
        <v/>
      </c>
      <c r="V4525" s="53">
        <f>IF(P4525="","",IF(P4525="Ingreso",S4525,0))</f>
        <v/>
      </c>
      <c r="W4525" s="53">
        <f>IF(P4525="","",IF(P4525="Resultado trading",S4525,0))</f>
        <v/>
      </c>
      <c r="X4525" s="52">
        <f>IF(OR(P4525="Gasto",P4525="Reembolso"),IF(M4525&lt;&gt;"",M4525,IFERROR(INDEX(catClasif,MATCH(D4525&amp;"|"&amp;E4525,catClave,0))&amp;"","Variable")),"")</f>
        <v/>
      </c>
      <c r="Y4525" s="52">
        <f>IF(P4525="","",IFERROR(INDEX(catGrupo,MATCH(D4525&amp;"|"&amp;E4525,catClave,0))&amp;"",""))</f>
        <v/>
      </c>
      <c r="Z4525" s="52">
        <f>IF(P4525="","",WEEKDAY(B4525,2))</f>
        <v/>
      </c>
      <c r="AA4525" s="52">
        <f>IF(P4525="","",IF(AND(P4525="Gasto",X4525="Variable",D4525&lt;&gt;catTrading,S4525&gt;0,S4525&lt;=Umbral),1,0))</f>
        <v/>
      </c>
      <c r="AB4525" s="52">
        <f>IF(OR(P4525="",Q4525=""),"",IFERROR(IF(INDEX(ctaVinc,MATCH(Q4525,ctaNombre,0))&amp;""&lt;&gt;"",INDEX(ctaVinc,MATCH(Q4525,ctaNombre,0))&amp;"",Q4525),Q4525))</f>
        <v/>
      </c>
      <c r="AC4525" s="52">
        <f>IF(OR(K4525="",AND(P4525&lt;&gt;"Transferencia",P4525&lt;&gt;"Pago tarjeta")),"",IFERROR(IF(INDEX(ctaVinc,MATCH(K4525,ctaNombre,0))&amp;""&lt;&gt;"",INDEX(ctaVinc,MATCH(K4525,ctaNombre,0))&amp;"",K4525),K4525))</f>
        <v/>
      </c>
      <c r="AD4525" s="52">
        <f>IF(AB4525="","",IFERROR(INDEX(ctaTipo,MATCH(AB4525,ctaNombre,0))&amp;"",""))</f>
        <v/>
      </c>
      <c r="AE4525" s="52">
        <f>IF(AC4525="","",IFERROR(INDEX(ctaTipo,MATCH(AC4525,ctaNombre,0))&amp;"",""))</f>
        <v/>
      </c>
      <c r="AF4525" s="53">
        <f>IF(OR(P4525="",AB4525=""),"",IF(OR(P4525="Gasto",P4525="Transferencia",P4525="Pago tarjeta"),-1,1)*IF(IFERROR(INDEX(ctaMoneda,MATCH(AB4525,ctaNombre,0))&amp;"","DOP")="USD",T4525,S4525))</f>
        <v/>
      </c>
      <c r="AG4525" s="53">
        <f>IF(AC4525="","",IF(IFERROR(INDEX(ctaMoneda,MATCH(AC4525,ctaNombre,0))&amp;"","DOP")="USD",T4525,S4525))</f>
        <v/>
      </c>
      <c r="AH4525" s="53">
        <f>IF(P4525="","",IF(AND(AD4525&lt;&gt;"",COUNTIFS(tcTipo,AD4525,tcLiq,"Sí")&gt;0),IF(OR(P4525="Gasto",P4525="Transferencia",P4525="Pago tarjeta"),-1,1)*S4525,0)+IF(AND(AE4525&lt;&gt;"",COUNTIFS(tcTipo,AE4525,tcLiq,"Sí")&gt;0),S4525,0))</f>
        <v/>
      </c>
      <c r="AI4525" s="52">
        <f>IF(OR(L4525="",P4525=""),"",IF(COUNTIFS(L$6:L4525,L4525,P$6:P4525,"?*")=1,MAX(AI$5:AI4524)+1,""))</f>
        <v/>
      </c>
    </row>
    <row r="4526">
      <c r="B4526" s="47" t="n"/>
      <c r="C4526" s="48" t="n"/>
      <c r="D4526" s="48" t="n"/>
      <c r="E4526" s="48" t="n"/>
      <c r="F4526" s="48" t="n"/>
      <c r="G4526" s="49" t="n"/>
      <c r="H4526" s="48" t="n"/>
      <c r="I4526" s="50" t="n"/>
      <c r="J4526" s="48" t="n"/>
      <c r="K4526" s="48" t="n"/>
      <c r="L4526" s="48" t="n"/>
      <c r="M4526" s="48" t="n"/>
      <c r="N4526" s="48" t="n"/>
      <c r="O4526" s="51">
        <f>IF(AND(B4526="",G4526="",C4526="",D4526="",J4526=""),"",IF(B4526="","⚠ Falta fecha",IF(G4526="","⚠ Falta monto",IF(Q4526="","⚠ Falta cuenta",IF(ISNA(MATCH(Q4526,ctaNombre,0)),"⚠ Cuenta no registrada",IF(AND(OR(P4526="Gasto",P4526="Reembolso"),D4526=""),"⚠ Falta categoría",IF(AND(D4526&lt;&gt;"",E4526&lt;&gt;"",ISNA(MATCH(D4526&amp;"|"&amp;E4526,catClave,0))),"⚠ Subcategoría no corresponde",IF(AND(OR(P4526="Transferencia",P4526="Pago tarjeta"),K4526=""),"⚠ Falta cuenta destino",IF(AND(K4526&lt;&gt;"",P4526&lt;&gt;"Transferencia",P4526&lt;&gt;"Pago tarjeta"),"⚠ Destino solo aplica a transferencias",IF(AND(K4526&lt;&gt;"",K4526=Q4526),"⚠ Origen igual a destino",IF(AND(K4526&lt;&gt;"",ISNA(MATCH(K4526,ctaNombre,0))),"⚠ Destino no registrado",IF(AND(P4526="Pago tarjeta",AE4526&lt;&gt;"Tarjeta de crédito"),"⚠ El destino debe ser tarjeta de crédito",IF(AND(P4526="Gasto",E4526="Depósitos y retiros"),"⚠ Usa tipo Transferencia",IF(AND(P4526="Resultado trading",AD4526&lt;&gt;"Cuenta de trading"),"⚠ Usa una cuenta de trading",IF(AND(G4526&lt;=0,P4526&lt;&gt;"Ajuste",P4526&lt;&gt;"Resultado trading"),"⚠ El monto debe ser positivo","✓")))))))))))))))</f>
        <v/>
      </c>
      <c r="P4526" s="52">
        <f>IF(OR(B4526="",G4526=""),"",IF(C4526="","Gasto",C4526))</f>
        <v/>
      </c>
      <c r="Q4526" s="52">
        <f>IF(P4526="","",IF(J4526&lt;&gt;"",J4526,CuentaPred&amp;""))</f>
        <v/>
      </c>
      <c r="R4526" s="52">
        <f>IF(P4526="","",IF(ISNUMBER(I4526),I4526,TasaUSD))</f>
        <v/>
      </c>
      <c r="S4526" s="53">
        <f>IF(P4526="","",IF(H4526="USD",G4526*R4526,G4526))</f>
        <v/>
      </c>
      <c r="T4526" s="53">
        <f>IF(P4526="","",IF(H4526="USD",G4526,IF(R4526&gt;0,G4526/R4526,0)))</f>
        <v/>
      </c>
      <c r="U4526" s="53">
        <f>IF(P4526="","",IF(P4526="Gasto",S4526,IF(P4526="Reembolso",-S4526,0)))</f>
        <v/>
      </c>
      <c r="V4526" s="53">
        <f>IF(P4526="","",IF(P4526="Ingreso",S4526,0))</f>
        <v/>
      </c>
      <c r="W4526" s="53">
        <f>IF(P4526="","",IF(P4526="Resultado trading",S4526,0))</f>
        <v/>
      </c>
      <c r="X4526" s="52">
        <f>IF(OR(P4526="Gasto",P4526="Reembolso"),IF(M4526&lt;&gt;"",M4526,IFERROR(INDEX(catClasif,MATCH(D4526&amp;"|"&amp;E4526,catClave,0))&amp;"","Variable")),"")</f>
        <v/>
      </c>
      <c r="Y4526" s="52">
        <f>IF(P4526="","",IFERROR(INDEX(catGrupo,MATCH(D4526&amp;"|"&amp;E4526,catClave,0))&amp;"",""))</f>
        <v/>
      </c>
      <c r="Z4526" s="52">
        <f>IF(P4526="","",WEEKDAY(B4526,2))</f>
        <v/>
      </c>
      <c r="AA4526" s="52">
        <f>IF(P4526="","",IF(AND(P4526="Gasto",X4526="Variable",D4526&lt;&gt;catTrading,S4526&gt;0,S4526&lt;=Umbral),1,0))</f>
        <v/>
      </c>
      <c r="AB4526" s="52">
        <f>IF(OR(P4526="",Q4526=""),"",IFERROR(IF(INDEX(ctaVinc,MATCH(Q4526,ctaNombre,0))&amp;""&lt;&gt;"",INDEX(ctaVinc,MATCH(Q4526,ctaNombre,0))&amp;"",Q4526),Q4526))</f>
        <v/>
      </c>
      <c r="AC4526" s="52">
        <f>IF(OR(K4526="",AND(P4526&lt;&gt;"Transferencia",P4526&lt;&gt;"Pago tarjeta")),"",IFERROR(IF(INDEX(ctaVinc,MATCH(K4526,ctaNombre,0))&amp;""&lt;&gt;"",INDEX(ctaVinc,MATCH(K4526,ctaNombre,0))&amp;"",K4526),K4526))</f>
        <v/>
      </c>
      <c r="AD4526" s="52">
        <f>IF(AB4526="","",IFERROR(INDEX(ctaTipo,MATCH(AB4526,ctaNombre,0))&amp;"",""))</f>
        <v/>
      </c>
      <c r="AE4526" s="52">
        <f>IF(AC4526="","",IFERROR(INDEX(ctaTipo,MATCH(AC4526,ctaNombre,0))&amp;"",""))</f>
        <v/>
      </c>
      <c r="AF4526" s="53">
        <f>IF(OR(P4526="",AB4526=""),"",IF(OR(P4526="Gasto",P4526="Transferencia",P4526="Pago tarjeta"),-1,1)*IF(IFERROR(INDEX(ctaMoneda,MATCH(AB4526,ctaNombre,0))&amp;"","DOP")="USD",T4526,S4526))</f>
        <v/>
      </c>
      <c r="AG4526" s="53">
        <f>IF(AC4526="","",IF(IFERROR(INDEX(ctaMoneda,MATCH(AC4526,ctaNombre,0))&amp;"","DOP")="USD",T4526,S4526))</f>
        <v/>
      </c>
      <c r="AH4526" s="53">
        <f>IF(P4526="","",IF(AND(AD4526&lt;&gt;"",COUNTIFS(tcTipo,AD4526,tcLiq,"Sí")&gt;0),IF(OR(P4526="Gasto",P4526="Transferencia",P4526="Pago tarjeta"),-1,1)*S4526,0)+IF(AND(AE4526&lt;&gt;"",COUNTIFS(tcTipo,AE4526,tcLiq,"Sí")&gt;0),S4526,0))</f>
        <v/>
      </c>
      <c r="AI4526" s="52">
        <f>IF(OR(L4526="",P4526=""),"",IF(COUNTIFS(L$6:L4526,L4526,P$6:P4526,"?*")=1,MAX(AI$5:AI4525)+1,""))</f>
        <v/>
      </c>
    </row>
    <row r="4527">
      <c r="B4527" s="47" t="n"/>
      <c r="C4527" s="48" t="n"/>
      <c r="D4527" s="48" t="n"/>
      <c r="E4527" s="48" t="n"/>
      <c r="F4527" s="48" t="n"/>
      <c r="G4527" s="49" t="n"/>
      <c r="H4527" s="48" t="n"/>
      <c r="I4527" s="50" t="n"/>
      <c r="J4527" s="48" t="n"/>
      <c r="K4527" s="48" t="n"/>
      <c r="L4527" s="48" t="n"/>
      <c r="M4527" s="48" t="n"/>
      <c r="N4527" s="48" t="n"/>
      <c r="O4527" s="51">
        <f>IF(AND(B4527="",G4527="",C4527="",D4527="",J4527=""),"",IF(B4527="","⚠ Falta fecha",IF(G4527="","⚠ Falta monto",IF(Q4527="","⚠ Falta cuenta",IF(ISNA(MATCH(Q4527,ctaNombre,0)),"⚠ Cuenta no registrada",IF(AND(OR(P4527="Gasto",P4527="Reembolso"),D4527=""),"⚠ Falta categoría",IF(AND(D4527&lt;&gt;"",E4527&lt;&gt;"",ISNA(MATCH(D4527&amp;"|"&amp;E4527,catClave,0))),"⚠ Subcategoría no corresponde",IF(AND(OR(P4527="Transferencia",P4527="Pago tarjeta"),K4527=""),"⚠ Falta cuenta destino",IF(AND(K4527&lt;&gt;"",P4527&lt;&gt;"Transferencia",P4527&lt;&gt;"Pago tarjeta"),"⚠ Destino solo aplica a transferencias",IF(AND(K4527&lt;&gt;"",K4527=Q4527),"⚠ Origen igual a destino",IF(AND(K4527&lt;&gt;"",ISNA(MATCH(K4527,ctaNombre,0))),"⚠ Destino no registrado",IF(AND(P4527="Pago tarjeta",AE4527&lt;&gt;"Tarjeta de crédito"),"⚠ El destino debe ser tarjeta de crédito",IF(AND(P4527="Gasto",E4527="Depósitos y retiros"),"⚠ Usa tipo Transferencia",IF(AND(P4527="Resultado trading",AD4527&lt;&gt;"Cuenta de trading"),"⚠ Usa una cuenta de trading",IF(AND(G4527&lt;=0,P4527&lt;&gt;"Ajuste",P4527&lt;&gt;"Resultado trading"),"⚠ El monto debe ser positivo","✓")))))))))))))))</f>
        <v/>
      </c>
      <c r="P4527" s="52">
        <f>IF(OR(B4527="",G4527=""),"",IF(C4527="","Gasto",C4527))</f>
        <v/>
      </c>
      <c r="Q4527" s="52">
        <f>IF(P4527="","",IF(J4527&lt;&gt;"",J4527,CuentaPred&amp;""))</f>
        <v/>
      </c>
      <c r="R4527" s="52">
        <f>IF(P4527="","",IF(ISNUMBER(I4527),I4527,TasaUSD))</f>
        <v/>
      </c>
      <c r="S4527" s="53">
        <f>IF(P4527="","",IF(H4527="USD",G4527*R4527,G4527))</f>
        <v/>
      </c>
      <c r="T4527" s="53">
        <f>IF(P4527="","",IF(H4527="USD",G4527,IF(R4527&gt;0,G4527/R4527,0)))</f>
        <v/>
      </c>
      <c r="U4527" s="53">
        <f>IF(P4527="","",IF(P4527="Gasto",S4527,IF(P4527="Reembolso",-S4527,0)))</f>
        <v/>
      </c>
      <c r="V4527" s="53">
        <f>IF(P4527="","",IF(P4527="Ingreso",S4527,0))</f>
        <v/>
      </c>
      <c r="W4527" s="53">
        <f>IF(P4527="","",IF(P4527="Resultado trading",S4527,0))</f>
        <v/>
      </c>
      <c r="X4527" s="52">
        <f>IF(OR(P4527="Gasto",P4527="Reembolso"),IF(M4527&lt;&gt;"",M4527,IFERROR(INDEX(catClasif,MATCH(D4527&amp;"|"&amp;E4527,catClave,0))&amp;"","Variable")),"")</f>
        <v/>
      </c>
      <c r="Y4527" s="52">
        <f>IF(P4527="","",IFERROR(INDEX(catGrupo,MATCH(D4527&amp;"|"&amp;E4527,catClave,0))&amp;"",""))</f>
        <v/>
      </c>
      <c r="Z4527" s="52">
        <f>IF(P4527="","",WEEKDAY(B4527,2))</f>
        <v/>
      </c>
      <c r="AA4527" s="52">
        <f>IF(P4527="","",IF(AND(P4527="Gasto",X4527="Variable",D4527&lt;&gt;catTrading,S4527&gt;0,S4527&lt;=Umbral),1,0))</f>
        <v/>
      </c>
      <c r="AB4527" s="52">
        <f>IF(OR(P4527="",Q4527=""),"",IFERROR(IF(INDEX(ctaVinc,MATCH(Q4527,ctaNombre,0))&amp;""&lt;&gt;"",INDEX(ctaVinc,MATCH(Q4527,ctaNombre,0))&amp;"",Q4527),Q4527))</f>
        <v/>
      </c>
      <c r="AC4527" s="52">
        <f>IF(OR(K4527="",AND(P4527&lt;&gt;"Transferencia",P4527&lt;&gt;"Pago tarjeta")),"",IFERROR(IF(INDEX(ctaVinc,MATCH(K4527,ctaNombre,0))&amp;""&lt;&gt;"",INDEX(ctaVinc,MATCH(K4527,ctaNombre,0))&amp;"",K4527),K4527))</f>
        <v/>
      </c>
      <c r="AD4527" s="52">
        <f>IF(AB4527="","",IFERROR(INDEX(ctaTipo,MATCH(AB4527,ctaNombre,0))&amp;"",""))</f>
        <v/>
      </c>
      <c r="AE4527" s="52">
        <f>IF(AC4527="","",IFERROR(INDEX(ctaTipo,MATCH(AC4527,ctaNombre,0))&amp;"",""))</f>
        <v/>
      </c>
      <c r="AF4527" s="53">
        <f>IF(OR(P4527="",AB4527=""),"",IF(OR(P4527="Gasto",P4527="Transferencia",P4527="Pago tarjeta"),-1,1)*IF(IFERROR(INDEX(ctaMoneda,MATCH(AB4527,ctaNombre,0))&amp;"","DOP")="USD",T4527,S4527))</f>
        <v/>
      </c>
      <c r="AG4527" s="53">
        <f>IF(AC4527="","",IF(IFERROR(INDEX(ctaMoneda,MATCH(AC4527,ctaNombre,0))&amp;"","DOP")="USD",T4527,S4527))</f>
        <v/>
      </c>
      <c r="AH4527" s="53">
        <f>IF(P4527="","",IF(AND(AD4527&lt;&gt;"",COUNTIFS(tcTipo,AD4527,tcLiq,"Sí")&gt;0),IF(OR(P4527="Gasto",P4527="Transferencia",P4527="Pago tarjeta"),-1,1)*S4527,0)+IF(AND(AE4527&lt;&gt;"",COUNTIFS(tcTipo,AE4527,tcLiq,"Sí")&gt;0),S4527,0))</f>
        <v/>
      </c>
      <c r="AI4527" s="52">
        <f>IF(OR(L4527="",P4527=""),"",IF(COUNTIFS(L$6:L4527,L4527,P$6:P4527,"?*")=1,MAX(AI$5:AI4526)+1,""))</f>
        <v/>
      </c>
    </row>
    <row r="4528">
      <c r="B4528" s="47" t="n"/>
      <c r="C4528" s="48" t="n"/>
      <c r="D4528" s="48" t="n"/>
      <c r="E4528" s="48" t="n"/>
      <c r="F4528" s="48" t="n"/>
      <c r="G4528" s="49" t="n"/>
      <c r="H4528" s="48" t="n"/>
      <c r="I4528" s="50" t="n"/>
      <c r="J4528" s="48" t="n"/>
      <c r="K4528" s="48" t="n"/>
      <c r="L4528" s="48" t="n"/>
      <c r="M4528" s="48" t="n"/>
      <c r="N4528" s="48" t="n"/>
      <c r="O4528" s="51">
        <f>IF(AND(B4528="",G4528="",C4528="",D4528="",J4528=""),"",IF(B4528="","⚠ Falta fecha",IF(G4528="","⚠ Falta monto",IF(Q4528="","⚠ Falta cuenta",IF(ISNA(MATCH(Q4528,ctaNombre,0)),"⚠ Cuenta no registrada",IF(AND(OR(P4528="Gasto",P4528="Reembolso"),D4528=""),"⚠ Falta categoría",IF(AND(D4528&lt;&gt;"",E4528&lt;&gt;"",ISNA(MATCH(D4528&amp;"|"&amp;E4528,catClave,0))),"⚠ Subcategoría no corresponde",IF(AND(OR(P4528="Transferencia",P4528="Pago tarjeta"),K4528=""),"⚠ Falta cuenta destino",IF(AND(K4528&lt;&gt;"",P4528&lt;&gt;"Transferencia",P4528&lt;&gt;"Pago tarjeta"),"⚠ Destino solo aplica a transferencias",IF(AND(K4528&lt;&gt;"",K4528=Q4528),"⚠ Origen igual a destino",IF(AND(K4528&lt;&gt;"",ISNA(MATCH(K4528,ctaNombre,0))),"⚠ Destino no registrado",IF(AND(P4528="Pago tarjeta",AE4528&lt;&gt;"Tarjeta de crédito"),"⚠ El destino debe ser tarjeta de crédito",IF(AND(P4528="Gasto",E4528="Depósitos y retiros"),"⚠ Usa tipo Transferencia",IF(AND(P4528="Resultado trading",AD4528&lt;&gt;"Cuenta de trading"),"⚠ Usa una cuenta de trading",IF(AND(G4528&lt;=0,P4528&lt;&gt;"Ajuste",P4528&lt;&gt;"Resultado trading"),"⚠ El monto debe ser positivo","✓")))))))))))))))</f>
        <v/>
      </c>
      <c r="P4528" s="52">
        <f>IF(OR(B4528="",G4528=""),"",IF(C4528="","Gasto",C4528))</f>
        <v/>
      </c>
      <c r="Q4528" s="52">
        <f>IF(P4528="","",IF(J4528&lt;&gt;"",J4528,CuentaPred&amp;""))</f>
        <v/>
      </c>
      <c r="R4528" s="52">
        <f>IF(P4528="","",IF(ISNUMBER(I4528),I4528,TasaUSD))</f>
        <v/>
      </c>
      <c r="S4528" s="53">
        <f>IF(P4528="","",IF(H4528="USD",G4528*R4528,G4528))</f>
        <v/>
      </c>
      <c r="T4528" s="53">
        <f>IF(P4528="","",IF(H4528="USD",G4528,IF(R4528&gt;0,G4528/R4528,0)))</f>
        <v/>
      </c>
      <c r="U4528" s="53">
        <f>IF(P4528="","",IF(P4528="Gasto",S4528,IF(P4528="Reembolso",-S4528,0)))</f>
        <v/>
      </c>
      <c r="V4528" s="53">
        <f>IF(P4528="","",IF(P4528="Ingreso",S4528,0))</f>
        <v/>
      </c>
      <c r="W4528" s="53">
        <f>IF(P4528="","",IF(P4528="Resultado trading",S4528,0))</f>
        <v/>
      </c>
      <c r="X4528" s="52">
        <f>IF(OR(P4528="Gasto",P4528="Reembolso"),IF(M4528&lt;&gt;"",M4528,IFERROR(INDEX(catClasif,MATCH(D4528&amp;"|"&amp;E4528,catClave,0))&amp;"","Variable")),"")</f>
        <v/>
      </c>
      <c r="Y4528" s="52">
        <f>IF(P4528="","",IFERROR(INDEX(catGrupo,MATCH(D4528&amp;"|"&amp;E4528,catClave,0))&amp;"",""))</f>
        <v/>
      </c>
      <c r="Z4528" s="52">
        <f>IF(P4528="","",WEEKDAY(B4528,2))</f>
        <v/>
      </c>
      <c r="AA4528" s="52">
        <f>IF(P4528="","",IF(AND(P4528="Gasto",X4528="Variable",D4528&lt;&gt;catTrading,S4528&gt;0,S4528&lt;=Umbral),1,0))</f>
        <v/>
      </c>
      <c r="AB4528" s="52">
        <f>IF(OR(P4528="",Q4528=""),"",IFERROR(IF(INDEX(ctaVinc,MATCH(Q4528,ctaNombre,0))&amp;""&lt;&gt;"",INDEX(ctaVinc,MATCH(Q4528,ctaNombre,0))&amp;"",Q4528),Q4528))</f>
        <v/>
      </c>
      <c r="AC4528" s="52">
        <f>IF(OR(K4528="",AND(P4528&lt;&gt;"Transferencia",P4528&lt;&gt;"Pago tarjeta")),"",IFERROR(IF(INDEX(ctaVinc,MATCH(K4528,ctaNombre,0))&amp;""&lt;&gt;"",INDEX(ctaVinc,MATCH(K4528,ctaNombre,0))&amp;"",K4528),K4528))</f>
        <v/>
      </c>
      <c r="AD4528" s="52">
        <f>IF(AB4528="","",IFERROR(INDEX(ctaTipo,MATCH(AB4528,ctaNombre,0))&amp;"",""))</f>
        <v/>
      </c>
      <c r="AE4528" s="52">
        <f>IF(AC4528="","",IFERROR(INDEX(ctaTipo,MATCH(AC4528,ctaNombre,0))&amp;"",""))</f>
        <v/>
      </c>
      <c r="AF4528" s="53">
        <f>IF(OR(P4528="",AB4528=""),"",IF(OR(P4528="Gasto",P4528="Transferencia",P4528="Pago tarjeta"),-1,1)*IF(IFERROR(INDEX(ctaMoneda,MATCH(AB4528,ctaNombre,0))&amp;"","DOP")="USD",T4528,S4528))</f>
        <v/>
      </c>
      <c r="AG4528" s="53">
        <f>IF(AC4528="","",IF(IFERROR(INDEX(ctaMoneda,MATCH(AC4528,ctaNombre,0))&amp;"","DOP")="USD",T4528,S4528))</f>
        <v/>
      </c>
      <c r="AH4528" s="53">
        <f>IF(P4528="","",IF(AND(AD4528&lt;&gt;"",COUNTIFS(tcTipo,AD4528,tcLiq,"Sí")&gt;0),IF(OR(P4528="Gasto",P4528="Transferencia",P4528="Pago tarjeta"),-1,1)*S4528,0)+IF(AND(AE4528&lt;&gt;"",COUNTIFS(tcTipo,AE4528,tcLiq,"Sí")&gt;0),S4528,0))</f>
        <v/>
      </c>
      <c r="AI4528" s="52">
        <f>IF(OR(L4528="",P4528=""),"",IF(COUNTIFS(L$6:L4528,L4528,P$6:P4528,"?*")=1,MAX(AI$5:AI4527)+1,""))</f>
        <v/>
      </c>
    </row>
    <row r="4529">
      <c r="B4529" s="47" t="n"/>
      <c r="C4529" s="48" t="n"/>
      <c r="D4529" s="48" t="n"/>
      <c r="E4529" s="48" t="n"/>
      <c r="F4529" s="48" t="n"/>
      <c r="G4529" s="49" t="n"/>
      <c r="H4529" s="48" t="n"/>
      <c r="I4529" s="50" t="n"/>
      <c r="J4529" s="48" t="n"/>
      <c r="K4529" s="48" t="n"/>
      <c r="L4529" s="48" t="n"/>
      <c r="M4529" s="48" t="n"/>
      <c r="N4529" s="48" t="n"/>
      <c r="O4529" s="51">
        <f>IF(AND(B4529="",G4529="",C4529="",D4529="",J4529=""),"",IF(B4529="","⚠ Falta fecha",IF(G4529="","⚠ Falta monto",IF(Q4529="","⚠ Falta cuenta",IF(ISNA(MATCH(Q4529,ctaNombre,0)),"⚠ Cuenta no registrada",IF(AND(OR(P4529="Gasto",P4529="Reembolso"),D4529=""),"⚠ Falta categoría",IF(AND(D4529&lt;&gt;"",E4529&lt;&gt;"",ISNA(MATCH(D4529&amp;"|"&amp;E4529,catClave,0))),"⚠ Subcategoría no corresponde",IF(AND(OR(P4529="Transferencia",P4529="Pago tarjeta"),K4529=""),"⚠ Falta cuenta destino",IF(AND(K4529&lt;&gt;"",P4529&lt;&gt;"Transferencia",P4529&lt;&gt;"Pago tarjeta"),"⚠ Destino solo aplica a transferencias",IF(AND(K4529&lt;&gt;"",K4529=Q4529),"⚠ Origen igual a destino",IF(AND(K4529&lt;&gt;"",ISNA(MATCH(K4529,ctaNombre,0))),"⚠ Destino no registrado",IF(AND(P4529="Pago tarjeta",AE4529&lt;&gt;"Tarjeta de crédito"),"⚠ El destino debe ser tarjeta de crédito",IF(AND(P4529="Gasto",E4529="Depósitos y retiros"),"⚠ Usa tipo Transferencia",IF(AND(P4529="Resultado trading",AD4529&lt;&gt;"Cuenta de trading"),"⚠ Usa una cuenta de trading",IF(AND(G4529&lt;=0,P4529&lt;&gt;"Ajuste",P4529&lt;&gt;"Resultado trading"),"⚠ El monto debe ser positivo","✓")))))))))))))))</f>
        <v/>
      </c>
      <c r="P4529" s="52">
        <f>IF(OR(B4529="",G4529=""),"",IF(C4529="","Gasto",C4529))</f>
        <v/>
      </c>
      <c r="Q4529" s="52">
        <f>IF(P4529="","",IF(J4529&lt;&gt;"",J4529,CuentaPred&amp;""))</f>
        <v/>
      </c>
      <c r="R4529" s="52">
        <f>IF(P4529="","",IF(ISNUMBER(I4529),I4529,TasaUSD))</f>
        <v/>
      </c>
      <c r="S4529" s="53">
        <f>IF(P4529="","",IF(H4529="USD",G4529*R4529,G4529))</f>
        <v/>
      </c>
      <c r="T4529" s="53">
        <f>IF(P4529="","",IF(H4529="USD",G4529,IF(R4529&gt;0,G4529/R4529,0)))</f>
        <v/>
      </c>
      <c r="U4529" s="53">
        <f>IF(P4529="","",IF(P4529="Gasto",S4529,IF(P4529="Reembolso",-S4529,0)))</f>
        <v/>
      </c>
      <c r="V4529" s="53">
        <f>IF(P4529="","",IF(P4529="Ingreso",S4529,0))</f>
        <v/>
      </c>
      <c r="W4529" s="53">
        <f>IF(P4529="","",IF(P4529="Resultado trading",S4529,0))</f>
        <v/>
      </c>
      <c r="X4529" s="52">
        <f>IF(OR(P4529="Gasto",P4529="Reembolso"),IF(M4529&lt;&gt;"",M4529,IFERROR(INDEX(catClasif,MATCH(D4529&amp;"|"&amp;E4529,catClave,0))&amp;"","Variable")),"")</f>
        <v/>
      </c>
      <c r="Y4529" s="52">
        <f>IF(P4529="","",IFERROR(INDEX(catGrupo,MATCH(D4529&amp;"|"&amp;E4529,catClave,0))&amp;"",""))</f>
        <v/>
      </c>
      <c r="Z4529" s="52">
        <f>IF(P4529="","",WEEKDAY(B4529,2))</f>
        <v/>
      </c>
      <c r="AA4529" s="52">
        <f>IF(P4529="","",IF(AND(P4529="Gasto",X4529="Variable",D4529&lt;&gt;catTrading,S4529&gt;0,S4529&lt;=Umbral),1,0))</f>
        <v/>
      </c>
      <c r="AB4529" s="52">
        <f>IF(OR(P4529="",Q4529=""),"",IFERROR(IF(INDEX(ctaVinc,MATCH(Q4529,ctaNombre,0))&amp;""&lt;&gt;"",INDEX(ctaVinc,MATCH(Q4529,ctaNombre,0))&amp;"",Q4529),Q4529))</f>
        <v/>
      </c>
      <c r="AC4529" s="52">
        <f>IF(OR(K4529="",AND(P4529&lt;&gt;"Transferencia",P4529&lt;&gt;"Pago tarjeta")),"",IFERROR(IF(INDEX(ctaVinc,MATCH(K4529,ctaNombre,0))&amp;""&lt;&gt;"",INDEX(ctaVinc,MATCH(K4529,ctaNombre,0))&amp;"",K4529),K4529))</f>
        <v/>
      </c>
      <c r="AD4529" s="52">
        <f>IF(AB4529="","",IFERROR(INDEX(ctaTipo,MATCH(AB4529,ctaNombre,0))&amp;"",""))</f>
        <v/>
      </c>
      <c r="AE4529" s="52">
        <f>IF(AC4529="","",IFERROR(INDEX(ctaTipo,MATCH(AC4529,ctaNombre,0))&amp;"",""))</f>
        <v/>
      </c>
      <c r="AF4529" s="53">
        <f>IF(OR(P4529="",AB4529=""),"",IF(OR(P4529="Gasto",P4529="Transferencia",P4529="Pago tarjeta"),-1,1)*IF(IFERROR(INDEX(ctaMoneda,MATCH(AB4529,ctaNombre,0))&amp;"","DOP")="USD",T4529,S4529))</f>
        <v/>
      </c>
      <c r="AG4529" s="53">
        <f>IF(AC4529="","",IF(IFERROR(INDEX(ctaMoneda,MATCH(AC4529,ctaNombre,0))&amp;"","DOP")="USD",T4529,S4529))</f>
        <v/>
      </c>
      <c r="AH4529" s="53">
        <f>IF(P4529="","",IF(AND(AD4529&lt;&gt;"",COUNTIFS(tcTipo,AD4529,tcLiq,"Sí")&gt;0),IF(OR(P4529="Gasto",P4529="Transferencia",P4529="Pago tarjeta"),-1,1)*S4529,0)+IF(AND(AE4529&lt;&gt;"",COUNTIFS(tcTipo,AE4529,tcLiq,"Sí")&gt;0),S4529,0))</f>
        <v/>
      </c>
      <c r="AI4529" s="52">
        <f>IF(OR(L4529="",P4529=""),"",IF(COUNTIFS(L$6:L4529,L4529,P$6:P4529,"?*")=1,MAX(AI$5:AI4528)+1,""))</f>
        <v/>
      </c>
    </row>
    <row r="4530">
      <c r="B4530" s="47" t="n"/>
      <c r="C4530" s="48" t="n"/>
      <c r="D4530" s="48" t="n"/>
      <c r="E4530" s="48" t="n"/>
      <c r="F4530" s="48" t="n"/>
      <c r="G4530" s="49" t="n"/>
      <c r="H4530" s="48" t="n"/>
      <c r="I4530" s="50" t="n"/>
      <c r="J4530" s="48" t="n"/>
      <c r="K4530" s="48" t="n"/>
      <c r="L4530" s="48" t="n"/>
      <c r="M4530" s="48" t="n"/>
      <c r="N4530" s="48" t="n"/>
      <c r="O4530" s="51">
        <f>IF(AND(B4530="",G4530="",C4530="",D4530="",J4530=""),"",IF(B4530="","⚠ Falta fecha",IF(G4530="","⚠ Falta monto",IF(Q4530="","⚠ Falta cuenta",IF(ISNA(MATCH(Q4530,ctaNombre,0)),"⚠ Cuenta no registrada",IF(AND(OR(P4530="Gasto",P4530="Reembolso"),D4530=""),"⚠ Falta categoría",IF(AND(D4530&lt;&gt;"",E4530&lt;&gt;"",ISNA(MATCH(D4530&amp;"|"&amp;E4530,catClave,0))),"⚠ Subcategoría no corresponde",IF(AND(OR(P4530="Transferencia",P4530="Pago tarjeta"),K4530=""),"⚠ Falta cuenta destino",IF(AND(K4530&lt;&gt;"",P4530&lt;&gt;"Transferencia",P4530&lt;&gt;"Pago tarjeta"),"⚠ Destino solo aplica a transferencias",IF(AND(K4530&lt;&gt;"",K4530=Q4530),"⚠ Origen igual a destino",IF(AND(K4530&lt;&gt;"",ISNA(MATCH(K4530,ctaNombre,0))),"⚠ Destino no registrado",IF(AND(P4530="Pago tarjeta",AE4530&lt;&gt;"Tarjeta de crédito"),"⚠ El destino debe ser tarjeta de crédito",IF(AND(P4530="Gasto",E4530="Depósitos y retiros"),"⚠ Usa tipo Transferencia",IF(AND(P4530="Resultado trading",AD4530&lt;&gt;"Cuenta de trading"),"⚠ Usa una cuenta de trading",IF(AND(G4530&lt;=0,P4530&lt;&gt;"Ajuste",P4530&lt;&gt;"Resultado trading"),"⚠ El monto debe ser positivo","✓")))))))))))))))</f>
        <v/>
      </c>
      <c r="P4530" s="52">
        <f>IF(OR(B4530="",G4530=""),"",IF(C4530="","Gasto",C4530))</f>
        <v/>
      </c>
      <c r="Q4530" s="52">
        <f>IF(P4530="","",IF(J4530&lt;&gt;"",J4530,CuentaPred&amp;""))</f>
        <v/>
      </c>
      <c r="R4530" s="52">
        <f>IF(P4530="","",IF(ISNUMBER(I4530),I4530,TasaUSD))</f>
        <v/>
      </c>
      <c r="S4530" s="53">
        <f>IF(P4530="","",IF(H4530="USD",G4530*R4530,G4530))</f>
        <v/>
      </c>
      <c r="T4530" s="53">
        <f>IF(P4530="","",IF(H4530="USD",G4530,IF(R4530&gt;0,G4530/R4530,0)))</f>
        <v/>
      </c>
      <c r="U4530" s="53">
        <f>IF(P4530="","",IF(P4530="Gasto",S4530,IF(P4530="Reembolso",-S4530,0)))</f>
        <v/>
      </c>
      <c r="V4530" s="53">
        <f>IF(P4530="","",IF(P4530="Ingreso",S4530,0))</f>
        <v/>
      </c>
      <c r="W4530" s="53">
        <f>IF(P4530="","",IF(P4530="Resultado trading",S4530,0))</f>
        <v/>
      </c>
      <c r="X4530" s="52">
        <f>IF(OR(P4530="Gasto",P4530="Reembolso"),IF(M4530&lt;&gt;"",M4530,IFERROR(INDEX(catClasif,MATCH(D4530&amp;"|"&amp;E4530,catClave,0))&amp;"","Variable")),"")</f>
        <v/>
      </c>
      <c r="Y4530" s="52">
        <f>IF(P4530="","",IFERROR(INDEX(catGrupo,MATCH(D4530&amp;"|"&amp;E4530,catClave,0))&amp;"",""))</f>
        <v/>
      </c>
      <c r="Z4530" s="52">
        <f>IF(P4530="","",WEEKDAY(B4530,2))</f>
        <v/>
      </c>
      <c r="AA4530" s="52">
        <f>IF(P4530="","",IF(AND(P4530="Gasto",X4530="Variable",D4530&lt;&gt;catTrading,S4530&gt;0,S4530&lt;=Umbral),1,0))</f>
        <v/>
      </c>
      <c r="AB4530" s="52">
        <f>IF(OR(P4530="",Q4530=""),"",IFERROR(IF(INDEX(ctaVinc,MATCH(Q4530,ctaNombre,0))&amp;""&lt;&gt;"",INDEX(ctaVinc,MATCH(Q4530,ctaNombre,0))&amp;"",Q4530),Q4530))</f>
        <v/>
      </c>
      <c r="AC4530" s="52">
        <f>IF(OR(K4530="",AND(P4530&lt;&gt;"Transferencia",P4530&lt;&gt;"Pago tarjeta")),"",IFERROR(IF(INDEX(ctaVinc,MATCH(K4530,ctaNombre,0))&amp;""&lt;&gt;"",INDEX(ctaVinc,MATCH(K4530,ctaNombre,0))&amp;"",K4530),K4530))</f>
        <v/>
      </c>
      <c r="AD4530" s="52">
        <f>IF(AB4530="","",IFERROR(INDEX(ctaTipo,MATCH(AB4530,ctaNombre,0))&amp;"",""))</f>
        <v/>
      </c>
      <c r="AE4530" s="52">
        <f>IF(AC4530="","",IFERROR(INDEX(ctaTipo,MATCH(AC4530,ctaNombre,0))&amp;"",""))</f>
        <v/>
      </c>
      <c r="AF4530" s="53">
        <f>IF(OR(P4530="",AB4530=""),"",IF(OR(P4530="Gasto",P4530="Transferencia",P4530="Pago tarjeta"),-1,1)*IF(IFERROR(INDEX(ctaMoneda,MATCH(AB4530,ctaNombre,0))&amp;"","DOP")="USD",T4530,S4530))</f>
        <v/>
      </c>
      <c r="AG4530" s="53">
        <f>IF(AC4530="","",IF(IFERROR(INDEX(ctaMoneda,MATCH(AC4530,ctaNombre,0))&amp;"","DOP")="USD",T4530,S4530))</f>
        <v/>
      </c>
      <c r="AH4530" s="53">
        <f>IF(P4530="","",IF(AND(AD4530&lt;&gt;"",COUNTIFS(tcTipo,AD4530,tcLiq,"Sí")&gt;0),IF(OR(P4530="Gasto",P4530="Transferencia",P4530="Pago tarjeta"),-1,1)*S4530,0)+IF(AND(AE4530&lt;&gt;"",COUNTIFS(tcTipo,AE4530,tcLiq,"Sí")&gt;0),S4530,0))</f>
        <v/>
      </c>
      <c r="AI4530" s="52">
        <f>IF(OR(L4530="",P4530=""),"",IF(COUNTIFS(L$6:L4530,L4530,P$6:P4530,"?*")=1,MAX(AI$5:AI4529)+1,""))</f>
        <v/>
      </c>
    </row>
    <row r="4531">
      <c r="B4531" s="47" t="n"/>
      <c r="C4531" s="48" t="n"/>
      <c r="D4531" s="48" t="n"/>
      <c r="E4531" s="48" t="n"/>
      <c r="F4531" s="48" t="n"/>
      <c r="G4531" s="49" t="n"/>
      <c r="H4531" s="48" t="n"/>
      <c r="I4531" s="50" t="n"/>
      <c r="J4531" s="48" t="n"/>
      <c r="K4531" s="48" t="n"/>
      <c r="L4531" s="48" t="n"/>
      <c r="M4531" s="48" t="n"/>
      <c r="N4531" s="48" t="n"/>
      <c r="O4531" s="51">
        <f>IF(AND(B4531="",G4531="",C4531="",D4531="",J4531=""),"",IF(B4531="","⚠ Falta fecha",IF(G4531="","⚠ Falta monto",IF(Q4531="","⚠ Falta cuenta",IF(ISNA(MATCH(Q4531,ctaNombre,0)),"⚠ Cuenta no registrada",IF(AND(OR(P4531="Gasto",P4531="Reembolso"),D4531=""),"⚠ Falta categoría",IF(AND(D4531&lt;&gt;"",E4531&lt;&gt;"",ISNA(MATCH(D4531&amp;"|"&amp;E4531,catClave,0))),"⚠ Subcategoría no corresponde",IF(AND(OR(P4531="Transferencia",P4531="Pago tarjeta"),K4531=""),"⚠ Falta cuenta destino",IF(AND(K4531&lt;&gt;"",P4531&lt;&gt;"Transferencia",P4531&lt;&gt;"Pago tarjeta"),"⚠ Destino solo aplica a transferencias",IF(AND(K4531&lt;&gt;"",K4531=Q4531),"⚠ Origen igual a destino",IF(AND(K4531&lt;&gt;"",ISNA(MATCH(K4531,ctaNombre,0))),"⚠ Destino no registrado",IF(AND(P4531="Pago tarjeta",AE4531&lt;&gt;"Tarjeta de crédito"),"⚠ El destino debe ser tarjeta de crédito",IF(AND(P4531="Gasto",E4531="Depósitos y retiros"),"⚠ Usa tipo Transferencia",IF(AND(P4531="Resultado trading",AD4531&lt;&gt;"Cuenta de trading"),"⚠ Usa una cuenta de trading",IF(AND(G4531&lt;=0,P4531&lt;&gt;"Ajuste",P4531&lt;&gt;"Resultado trading"),"⚠ El monto debe ser positivo","✓")))))))))))))))</f>
        <v/>
      </c>
      <c r="P4531" s="52">
        <f>IF(OR(B4531="",G4531=""),"",IF(C4531="","Gasto",C4531))</f>
        <v/>
      </c>
      <c r="Q4531" s="52">
        <f>IF(P4531="","",IF(J4531&lt;&gt;"",J4531,CuentaPred&amp;""))</f>
        <v/>
      </c>
      <c r="R4531" s="52">
        <f>IF(P4531="","",IF(ISNUMBER(I4531),I4531,TasaUSD))</f>
        <v/>
      </c>
      <c r="S4531" s="53">
        <f>IF(P4531="","",IF(H4531="USD",G4531*R4531,G4531))</f>
        <v/>
      </c>
      <c r="T4531" s="53">
        <f>IF(P4531="","",IF(H4531="USD",G4531,IF(R4531&gt;0,G4531/R4531,0)))</f>
        <v/>
      </c>
      <c r="U4531" s="53">
        <f>IF(P4531="","",IF(P4531="Gasto",S4531,IF(P4531="Reembolso",-S4531,0)))</f>
        <v/>
      </c>
      <c r="V4531" s="53">
        <f>IF(P4531="","",IF(P4531="Ingreso",S4531,0))</f>
        <v/>
      </c>
      <c r="W4531" s="53">
        <f>IF(P4531="","",IF(P4531="Resultado trading",S4531,0))</f>
        <v/>
      </c>
      <c r="X4531" s="52">
        <f>IF(OR(P4531="Gasto",P4531="Reembolso"),IF(M4531&lt;&gt;"",M4531,IFERROR(INDEX(catClasif,MATCH(D4531&amp;"|"&amp;E4531,catClave,0))&amp;"","Variable")),"")</f>
        <v/>
      </c>
      <c r="Y4531" s="52">
        <f>IF(P4531="","",IFERROR(INDEX(catGrupo,MATCH(D4531&amp;"|"&amp;E4531,catClave,0))&amp;"",""))</f>
        <v/>
      </c>
      <c r="Z4531" s="52">
        <f>IF(P4531="","",WEEKDAY(B4531,2))</f>
        <v/>
      </c>
      <c r="AA4531" s="52">
        <f>IF(P4531="","",IF(AND(P4531="Gasto",X4531="Variable",D4531&lt;&gt;catTrading,S4531&gt;0,S4531&lt;=Umbral),1,0))</f>
        <v/>
      </c>
      <c r="AB4531" s="52">
        <f>IF(OR(P4531="",Q4531=""),"",IFERROR(IF(INDEX(ctaVinc,MATCH(Q4531,ctaNombre,0))&amp;""&lt;&gt;"",INDEX(ctaVinc,MATCH(Q4531,ctaNombre,0))&amp;"",Q4531),Q4531))</f>
        <v/>
      </c>
      <c r="AC4531" s="52">
        <f>IF(OR(K4531="",AND(P4531&lt;&gt;"Transferencia",P4531&lt;&gt;"Pago tarjeta")),"",IFERROR(IF(INDEX(ctaVinc,MATCH(K4531,ctaNombre,0))&amp;""&lt;&gt;"",INDEX(ctaVinc,MATCH(K4531,ctaNombre,0))&amp;"",K4531),K4531))</f>
        <v/>
      </c>
      <c r="AD4531" s="52">
        <f>IF(AB4531="","",IFERROR(INDEX(ctaTipo,MATCH(AB4531,ctaNombre,0))&amp;"",""))</f>
        <v/>
      </c>
      <c r="AE4531" s="52">
        <f>IF(AC4531="","",IFERROR(INDEX(ctaTipo,MATCH(AC4531,ctaNombre,0))&amp;"",""))</f>
        <v/>
      </c>
      <c r="AF4531" s="53">
        <f>IF(OR(P4531="",AB4531=""),"",IF(OR(P4531="Gasto",P4531="Transferencia",P4531="Pago tarjeta"),-1,1)*IF(IFERROR(INDEX(ctaMoneda,MATCH(AB4531,ctaNombre,0))&amp;"","DOP")="USD",T4531,S4531))</f>
        <v/>
      </c>
      <c r="AG4531" s="53">
        <f>IF(AC4531="","",IF(IFERROR(INDEX(ctaMoneda,MATCH(AC4531,ctaNombre,0))&amp;"","DOP")="USD",T4531,S4531))</f>
        <v/>
      </c>
      <c r="AH4531" s="53">
        <f>IF(P4531="","",IF(AND(AD4531&lt;&gt;"",COUNTIFS(tcTipo,AD4531,tcLiq,"Sí")&gt;0),IF(OR(P4531="Gasto",P4531="Transferencia",P4531="Pago tarjeta"),-1,1)*S4531,0)+IF(AND(AE4531&lt;&gt;"",COUNTIFS(tcTipo,AE4531,tcLiq,"Sí")&gt;0),S4531,0))</f>
        <v/>
      </c>
      <c r="AI4531" s="52">
        <f>IF(OR(L4531="",P4531=""),"",IF(COUNTIFS(L$6:L4531,L4531,P$6:P4531,"?*")=1,MAX(AI$5:AI4530)+1,""))</f>
        <v/>
      </c>
    </row>
    <row r="4532">
      <c r="B4532" s="47" t="n"/>
      <c r="C4532" s="48" t="n"/>
      <c r="D4532" s="48" t="n"/>
      <c r="E4532" s="48" t="n"/>
      <c r="F4532" s="48" t="n"/>
      <c r="G4532" s="49" t="n"/>
      <c r="H4532" s="48" t="n"/>
      <c r="I4532" s="50" t="n"/>
      <c r="J4532" s="48" t="n"/>
      <c r="K4532" s="48" t="n"/>
      <c r="L4532" s="48" t="n"/>
      <c r="M4532" s="48" t="n"/>
      <c r="N4532" s="48" t="n"/>
      <c r="O4532" s="51">
        <f>IF(AND(B4532="",G4532="",C4532="",D4532="",J4532=""),"",IF(B4532="","⚠ Falta fecha",IF(G4532="","⚠ Falta monto",IF(Q4532="","⚠ Falta cuenta",IF(ISNA(MATCH(Q4532,ctaNombre,0)),"⚠ Cuenta no registrada",IF(AND(OR(P4532="Gasto",P4532="Reembolso"),D4532=""),"⚠ Falta categoría",IF(AND(D4532&lt;&gt;"",E4532&lt;&gt;"",ISNA(MATCH(D4532&amp;"|"&amp;E4532,catClave,0))),"⚠ Subcategoría no corresponde",IF(AND(OR(P4532="Transferencia",P4532="Pago tarjeta"),K4532=""),"⚠ Falta cuenta destino",IF(AND(K4532&lt;&gt;"",P4532&lt;&gt;"Transferencia",P4532&lt;&gt;"Pago tarjeta"),"⚠ Destino solo aplica a transferencias",IF(AND(K4532&lt;&gt;"",K4532=Q4532),"⚠ Origen igual a destino",IF(AND(K4532&lt;&gt;"",ISNA(MATCH(K4532,ctaNombre,0))),"⚠ Destino no registrado",IF(AND(P4532="Pago tarjeta",AE4532&lt;&gt;"Tarjeta de crédito"),"⚠ El destino debe ser tarjeta de crédito",IF(AND(P4532="Gasto",E4532="Depósitos y retiros"),"⚠ Usa tipo Transferencia",IF(AND(P4532="Resultado trading",AD4532&lt;&gt;"Cuenta de trading"),"⚠ Usa una cuenta de trading",IF(AND(G4532&lt;=0,P4532&lt;&gt;"Ajuste",P4532&lt;&gt;"Resultado trading"),"⚠ El monto debe ser positivo","✓")))))))))))))))</f>
        <v/>
      </c>
      <c r="P4532" s="52">
        <f>IF(OR(B4532="",G4532=""),"",IF(C4532="","Gasto",C4532))</f>
        <v/>
      </c>
      <c r="Q4532" s="52">
        <f>IF(P4532="","",IF(J4532&lt;&gt;"",J4532,CuentaPred&amp;""))</f>
        <v/>
      </c>
      <c r="R4532" s="52">
        <f>IF(P4532="","",IF(ISNUMBER(I4532),I4532,TasaUSD))</f>
        <v/>
      </c>
      <c r="S4532" s="53">
        <f>IF(P4532="","",IF(H4532="USD",G4532*R4532,G4532))</f>
        <v/>
      </c>
      <c r="T4532" s="53">
        <f>IF(P4532="","",IF(H4532="USD",G4532,IF(R4532&gt;0,G4532/R4532,0)))</f>
        <v/>
      </c>
      <c r="U4532" s="53">
        <f>IF(P4532="","",IF(P4532="Gasto",S4532,IF(P4532="Reembolso",-S4532,0)))</f>
        <v/>
      </c>
      <c r="V4532" s="53">
        <f>IF(P4532="","",IF(P4532="Ingreso",S4532,0))</f>
        <v/>
      </c>
      <c r="W4532" s="53">
        <f>IF(P4532="","",IF(P4532="Resultado trading",S4532,0))</f>
        <v/>
      </c>
      <c r="X4532" s="52">
        <f>IF(OR(P4532="Gasto",P4532="Reembolso"),IF(M4532&lt;&gt;"",M4532,IFERROR(INDEX(catClasif,MATCH(D4532&amp;"|"&amp;E4532,catClave,0))&amp;"","Variable")),"")</f>
        <v/>
      </c>
      <c r="Y4532" s="52">
        <f>IF(P4532="","",IFERROR(INDEX(catGrupo,MATCH(D4532&amp;"|"&amp;E4532,catClave,0))&amp;"",""))</f>
        <v/>
      </c>
      <c r="Z4532" s="52">
        <f>IF(P4532="","",WEEKDAY(B4532,2))</f>
        <v/>
      </c>
      <c r="AA4532" s="52">
        <f>IF(P4532="","",IF(AND(P4532="Gasto",X4532="Variable",D4532&lt;&gt;catTrading,S4532&gt;0,S4532&lt;=Umbral),1,0))</f>
        <v/>
      </c>
      <c r="AB4532" s="52">
        <f>IF(OR(P4532="",Q4532=""),"",IFERROR(IF(INDEX(ctaVinc,MATCH(Q4532,ctaNombre,0))&amp;""&lt;&gt;"",INDEX(ctaVinc,MATCH(Q4532,ctaNombre,0))&amp;"",Q4532),Q4532))</f>
        <v/>
      </c>
      <c r="AC4532" s="52">
        <f>IF(OR(K4532="",AND(P4532&lt;&gt;"Transferencia",P4532&lt;&gt;"Pago tarjeta")),"",IFERROR(IF(INDEX(ctaVinc,MATCH(K4532,ctaNombre,0))&amp;""&lt;&gt;"",INDEX(ctaVinc,MATCH(K4532,ctaNombre,0))&amp;"",K4532),K4532))</f>
        <v/>
      </c>
      <c r="AD4532" s="52">
        <f>IF(AB4532="","",IFERROR(INDEX(ctaTipo,MATCH(AB4532,ctaNombre,0))&amp;"",""))</f>
        <v/>
      </c>
      <c r="AE4532" s="52">
        <f>IF(AC4532="","",IFERROR(INDEX(ctaTipo,MATCH(AC4532,ctaNombre,0))&amp;"",""))</f>
        <v/>
      </c>
      <c r="AF4532" s="53">
        <f>IF(OR(P4532="",AB4532=""),"",IF(OR(P4532="Gasto",P4532="Transferencia",P4532="Pago tarjeta"),-1,1)*IF(IFERROR(INDEX(ctaMoneda,MATCH(AB4532,ctaNombre,0))&amp;"","DOP")="USD",T4532,S4532))</f>
        <v/>
      </c>
      <c r="AG4532" s="53">
        <f>IF(AC4532="","",IF(IFERROR(INDEX(ctaMoneda,MATCH(AC4532,ctaNombre,0))&amp;"","DOP")="USD",T4532,S4532))</f>
        <v/>
      </c>
      <c r="AH4532" s="53">
        <f>IF(P4532="","",IF(AND(AD4532&lt;&gt;"",COUNTIFS(tcTipo,AD4532,tcLiq,"Sí")&gt;0),IF(OR(P4532="Gasto",P4532="Transferencia",P4532="Pago tarjeta"),-1,1)*S4532,0)+IF(AND(AE4532&lt;&gt;"",COUNTIFS(tcTipo,AE4532,tcLiq,"Sí")&gt;0),S4532,0))</f>
        <v/>
      </c>
      <c r="AI4532" s="52">
        <f>IF(OR(L4532="",P4532=""),"",IF(COUNTIFS(L$6:L4532,L4532,P$6:P4532,"?*")=1,MAX(AI$5:AI4531)+1,""))</f>
        <v/>
      </c>
    </row>
    <row r="4533">
      <c r="B4533" s="47" t="n"/>
      <c r="C4533" s="48" t="n"/>
      <c r="D4533" s="48" t="n"/>
      <c r="E4533" s="48" t="n"/>
      <c r="F4533" s="48" t="n"/>
      <c r="G4533" s="49" t="n"/>
      <c r="H4533" s="48" t="n"/>
      <c r="I4533" s="50" t="n"/>
      <c r="J4533" s="48" t="n"/>
      <c r="K4533" s="48" t="n"/>
      <c r="L4533" s="48" t="n"/>
      <c r="M4533" s="48" t="n"/>
      <c r="N4533" s="48" t="n"/>
      <c r="O4533" s="51">
        <f>IF(AND(B4533="",G4533="",C4533="",D4533="",J4533=""),"",IF(B4533="","⚠ Falta fecha",IF(G4533="","⚠ Falta monto",IF(Q4533="","⚠ Falta cuenta",IF(ISNA(MATCH(Q4533,ctaNombre,0)),"⚠ Cuenta no registrada",IF(AND(OR(P4533="Gasto",P4533="Reembolso"),D4533=""),"⚠ Falta categoría",IF(AND(D4533&lt;&gt;"",E4533&lt;&gt;"",ISNA(MATCH(D4533&amp;"|"&amp;E4533,catClave,0))),"⚠ Subcategoría no corresponde",IF(AND(OR(P4533="Transferencia",P4533="Pago tarjeta"),K4533=""),"⚠ Falta cuenta destino",IF(AND(K4533&lt;&gt;"",P4533&lt;&gt;"Transferencia",P4533&lt;&gt;"Pago tarjeta"),"⚠ Destino solo aplica a transferencias",IF(AND(K4533&lt;&gt;"",K4533=Q4533),"⚠ Origen igual a destino",IF(AND(K4533&lt;&gt;"",ISNA(MATCH(K4533,ctaNombre,0))),"⚠ Destino no registrado",IF(AND(P4533="Pago tarjeta",AE4533&lt;&gt;"Tarjeta de crédito"),"⚠ El destino debe ser tarjeta de crédito",IF(AND(P4533="Gasto",E4533="Depósitos y retiros"),"⚠ Usa tipo Transferencia",IF(AND(P4533="Resultado trading",AD4533&lt;&gt;"Cuenta de trading"),"⚠ Usa una cuenta de trading",IF(AND(G4533&lt;=0,P4533&lt;&gt;"Ajuste",P4533&lt;&gt;"Resultado trading"),"⚠ El monto debe ser positivo","✓")))))))))))))))</f>
        <v/>
      </c>
      <c r="P4533" s="52">
        <f>IF(OR(B4533="",G4533=""),"",IF(C4533="","Gasto",C4533))</f>
        <v/>
      </c>
      <c r="Q4533" s="52">
        <f>IF(P4533="","",IF(J4533&lt;&gt;"",J4533,CuentaPred&amp;""))</f>
        <v/>
      </c>
      <c r="R4533" s="52">
        <f>IF(P4533="","",IF(ISNUMBER(I4533),I4533,TasaUSD))</f>
        <v/>
      </c>
      <c r="S4533" s="53">
        <f>IF(P4533="","",IF(H4533="USD",G4533*R4533,G4533))</f>
        <v/>
      </c>
      <c r="T4533" s="53">
        <f>IF(P4533="","",IF(H4533="USD",G4533,IF(R4533&gt;0,G4533/R4533,0)))</f>
        <v/>
      </c>
      <c r="U4533" s="53">
        <f>IF(P4533="","",IF(P4533="Gasto",S4533,IF(P4533="Reembolso",-S4533,0)))</f>
        <v/>
      </c>
      <c r="V4533" s="53">
        <f>IF(P4533="","",IF(P4533="Ingreso",S4533,0))</f>
        <v/>
      </c>
      <c r="W4533" s="53">
        <f>IF(P4533="","",IF(P4533="Resultado trading",S4533,0))</f>
        <v/>
      </c>
      <c r="X4533" s="52">
        <f>IF(OR(P4533="Gasto",P4533="Reembolso"),IF(M4533&lt;&gt;"",M4533,IFERROR(INDEX(catClasif,MATCH(D4533&amp;"|"&amp;E4533,catClave,0))&amp;"","Variable")),"")</f>
        <v/>
      </c>
      <c r="Y4533" s="52">
        <f>IF(P4533="","",IFERROR(INDEX(catGrupo,MATCH(D4533&amp;"|"&amp;E4533,catClave,0))&amp;"",""))</f>
        <v/>
      </c>
      <c r="Z4533" s="52">
        <f>IF(P4533="","",WEEKDAY(B4533,2))</f>
        <v/>
      </c>
      <c r="AA4533" s="52">
        <f>IF(P4533="","",IF(AND(P4533="Gasto",X4533="Variable",D4533&lt;&gt;catTrading,S4533&gt;0,S4533&lt;=Umbral),1,0))</f>
        <v/>
      </c>
      <c r="AB4533" s="52">
        <f>IF(OR(P4533="",Q4533=""),"",IFERROR(IF(INDEX(ctaVinc,MATCH(Q4533,ctaNombre,0))&amp;""&lt;&gt;"",INDEX(ctaVinc,MATCH(Q4533,ctaNombre,0))&amp;"",Q4533),Q4533))</f>
        <v/>
      </c>
      <c r="AC4533" s="52">
        <f>IF(OR(K4533="",AND(P4533&lt;&gt;"Transferencia",P4533&lt;&gt;"Pago tarjeta")),"",IFERROR(IF(INDEX(ctaVinc,MATCH(K4533,ctaNombre,0))&amp;""&lt;&gt;"",INDEX(ctaVinc,MATCH(K4533,ctaNombre,0))&amp;"",K4533),K4533))</f>
        <v/>
      </c>
      <c r="AD4533" s="52">
        <f>IF(AB4533="","",IFERROR(INDEX(ctaTipo,MATCH(AB4533,ctaNombre,0))&amp;"",""))</f>
        <v/>
      </c>
      <c r="AE4533" s="52">
        <f>IF(AC4533="","",IFERROR(INDEX(ctaTipo,MATCH(AC4533,ctaNombre,0))&amp;"",""))</f>
        <v/>
      </c>
      <c r="AF4533" s="53">
        <f>IF(OR(P4533="",AB4533=""),"",IF(OR(P4533="Gasto",P4533="Transferencia",P4533="Pago tarjeta"),-1,1)*IF(IFERROR(INDEX(ctaMoneda,MATCH(AB4533,ctaNombre,0))&amp;"","DOP")="USD",T4533,S4533))</f>
        <v/>
      </c>
      <c r="AG4533" s="53">
        <f>IF(AC4533="","",IF(IFERROR(INDEX(ctaMoneda,MATCH(AC4533,ctaNombre,0))&amp;"","DOP")="USD",T4533,S4533))</f>
        <v/>
      </c>
      <c r="AH4533" s="53">
        <f>IF(P4533="","",IF(AND(AD4533&lt;&gt;"",COUNTIFS(tcTipo,AD4533,tcLiq,"Sí")&gt;0),IF(OR(P4533="Gasto",P4533="Transferencia",P4533="Pago tarjeta"),-1,1)*S4533,0)+IF(AND(AE4533&lt;&gt;"",COUNTIFS(tcTipo,AE4533,tcLiq,"Sí")&gt;0),S4533,0))</f>
        <v/>
      </c>
      <c r="AI4533" s="52">
        <f>IF(OR(L4533="",P4533=""),"",IF(COUNTIFS(L$6:L4533,L4533,P$6:P4533,"?*")=1,MAX(AI$5:AI4532)+1,""))</f>
        <v/>
      </c>
    </row>
    <row r="4534">
      <c r="B4534" s="47" t="n"/>
      <c r="C4534" s="48" t="n"/>
      <c r="D4534" s="48" t="n"/>
      <c r="E4534" s="48" t="n"/>
      <c r="F4534" s="48" t="n"/>
      <c r="G4534" s="49" t="n"/>
      <c r="H4534" s="48" t="n"/>
      <c r="I4534" s="50" t="n"/>
      <c r="J4534" s="48" t="n"/>
      <c r="K4534" s="48" t="n"/>
      <c r="L4534" s="48" t="n"/>
      <c r="M4534" s="48" t="n"/>
      <c r="N4534" s="48" t="n"/>
      <c r="O4534" s="51">
        <f>IF(AND(B4534="",G4534="",C4534="",D4534="",J4534=""),"",IF(B4534="","⚠ Falta fecha",IF(G4534="","⚠ Falta monto",IF(Q4534="","⚠ Falta cuenta",IF(ISNA(MATCH(Q4534,ctaNombre,0)),"⚠ Cuenta no registrada",IF(AND(OR(P4534="Gasto",P4534="Reembolso"),D4534=""),"⚠ Falta categoría",IF(AND(D4534&lt;&gt;"",E4534&lt;&gt;"",ISNA(MATCH(D4534&amp;"|"&amp;E4534,catClave,0))),"⚠ Subcategoría no corresponde",IF(AND(OR(P4534="Transferencia",P4534="Pago tarjeta"),K4534=""),"⚠ Falta cuenta destino",IF(AND(K4534&lt;&gt;"",P4534&lt;&gt;"Transferencia",P4534&lt;&gt;"Pago tarjeta"),"⚠ Destino solo aplica a transferencias",IF(AND(K4534&lt;&gt;"",K4534=Q4534),"⚠ Origen igual a destino",IF(AND(K4534&lt;&gt;"",ISNA(MATCH(K4534,ctaNombre,0))),"⚠ Destino no registrado",IF(AND(P4534="Pago tarjeta",AE4534&lt;&gt;"Tarjeta de crédito"),"⚠ El destino debe ser tarjeta de crédito",IF(AND(P4534="Gasto",E4534="Depósitos y retiros"),"⚠ Usa tipo Transferencia",IF(AND(P4534="Resultado trading",AD4534&lt;&gt;"Cuenta de trading"),"⚠ Usa una cuenta de trading",IF(AND(G4534&lt;=0,P4534&lt;&gt;"Ajuste",P4534&lt;&gt;"Resultado trading"),"⚠ El monto debe ser positivo","✓")))))))))))))))</f>
        <v/>
      </c>
      <c r="P4534" s="52">
        <f>IF(OR(B4534="",G4534=""),"",IF(C4534="","Gasto",C4534))</f>
        <v/>
      </c>
      <c r="Q4534" s="52">
        <f>IF(P4534="","",IF(J4534&lt;&gt;"",J4534,CuentaPred&amp;""))</f>
        <v/>
      </c>
      <c r="R4534" s="52">
        <f>IF(P4534="","",IF(ISNUMBER(I4534),I4534,TasaUSD))</f>
        <v/>
      </c>
      <c r="S4534" s="53">
        <f>IF(P4534="","",IF(H4534="USD",G4534*R4534,G4534))</f>
        <v/>
      </c>
      <c r="T4534" s="53">
        <f>IF(P4534="","",IF(H4534="USD",G4534,IF(R4534&gt;0,G4534/R4534,0)))</f>
        <v/>
      </c>
      <c r="U4534" s="53">
        <f>IF(P4534="","",IF(P4534="Gasto",S4534,IF(P4534="Reembolso",-S4534,0)))</f>
        <v/>
      </c>
      <c r="V4534" s="53">
        <f>IF(P4534="","",IF(P4534="Ingreso",S4534,0))</f>
        <v/>
      </c>
      <c r="W4534" s="53">
        <f>IF(P4534="","",IF(P4534="Resultado trading",S4534,0))</f>
        <v/>
      </c>
      <c r="X4534" s="52">
        <f>IF(OR(P4534="Gasto",P4534="Reembolso"),IF(M4534&lt;&gt;"",M4534,IFERROR(INDEX(catClasif,MATCH(D4534&amp;"|"&amp;E4534,catClave,0))&amp;"","Variable")),"")</f>
        <v/>
      </c>
      <c r="Y4534" s="52">
        <f>IF(P4534="","",IFERROR(INDEX(catGrupo,MATCH(D4534&amp;"|"&amp;E4534,catClave,0))&amp;"",""))</f>
        <v/>
      </c>
      <c r="Z4534" s="52">
        <f>IF(P4534="","",WEEKDAY(B4534,2))</f>
        <v/>
      </c>
      <c r="AA4534" s="52">
        <f>IF(P4534="","",IF(AND(P4534="Gasto",X4534="Variable",D4534&lt;&gt;catTrading,S4534&gt;0,S4534&lt;=Umbral),1,0))</f>
        <v/>
      </c>
      <c r="AB4534" s="52">
        <f>IF(OR(P4534="",Q4534=""),"",IFERROR(IF(INDEX(ctaVinc,MATCH(Q4534,ctaNombre,0))&amp;""&lt;&gt;"",INDEX(ctaVinc,MATCH(Q4534,ctaNombre,0))&amp;"",Q4534),Q4534))</f>
        <v/>
      </c>
      <c r="AC4534" s="52">
        <f>IF(OR(K4534="",AND(P4534&lt;&gt;"Transferencia",P4534&lt;&gt;"Pago tarjeta")),"",IFERROR(IF(INDEX(ctaVinc,MATCH(K4534,ctaNombre,0))&amp;""&lt;&gt;"",INDEX(ctaVinc,MATCH(K4534,ctaNombre,0))&amp;"",K4534),K4534))</f>
        <v/>
      </c>
      <c r="AD4534" s="52">
        <f>IF(AB4534="","",IFERROR(INDEX(ctaTipo,MATCH(AB4534,ctaNombre,0))&amp;"",""))</f>
        <v/>
      </c>
      <c r="AE4534" s="52">
        <f>IF(AC4534="","",IFERROR(INDEX(ctaTipo,MATCH(AC4534,ctaNombre,0))&amp;"",""))</f>
        <v/>
      </c>
      <c r="AF4534" s="53">
        <f>IF(OR(P4534="",AB4534=""),"",IF(OR(P4534="Gasto",P4534="Transferencia",P4534="Pago tarjeta"),-1,1)*IF(IFERROR(INDEX(ctaMoneda,MATCH(AB4534,ctaNombre,0))&amp;"","DOP")="USD",T4534,S4534))</f>
        <v/>
      </c>
      <c r="AG4534" s="53">
        <f>IF(AC4534="","",IF(IFERROR(INDEX(ctaMoneda,MATCH(AC4534,ctaNombre,0))&amp;"","DOP")="USD",T4534,S4534))</f>
        <v/>
      </c>
      <c r="AH4534" s="53">
        <f>IF(P4534="","",IF(AND(AD4534&lt;&gt;"",COUNTIFS(tcTipo,AD4534,tcLiq,"Sí")&gt;0),IF(OR(P4534="Gasto",P4534="Transferencia",P4534="Pago tarjeta"),-1,1)*S4534,0)+IF(AND(AE4534&lt;&gt;"",COUNTIFS(tcTipo,AE4534,tcLiq,"Sí")&gt;0),S4534,0))</f>
        <v/>
      </c>
      <c r="AI4534" s="52">
        <f>IF(OR(L4534="",P4534=""),"",IF(COUNTIFS(L$6:L4534,L4534,P$6:P4534,"?*")=1,MAX(AI$5:AI4533)+1,""))</f>
        <v/>
      </c>
    </row>
    <row r="4535">
      <c r="B4535" s="47" t="n"/>
      <c r="C4535" s="48" t="n"/>
      <c r="D4535" s="48" t="n"/>
      <c r="E4535" s="48" t="n"/>
      <c r="F4535" s="48" t="n"/>
      <c r="G4535" s="49" t="n"/>
      <c r="H4535" s="48" t="n"/>
      <c r="I4535" s="50" t="n"/>
      <c r="J4535" s="48" t="n"/>
      <c r="K4535" s="48" t="n"/>
      <c r="L4535" s="48" t="n"/>
      <c r="M4535" s="48" t="n"/>
      <c r="N4535" s="48" t="n"/>
      <c r="O4535" s="51">
        <f>IF(AND(B4535="",G4535="",C4535="",D4535="",J4535=""),"",IF(B4535="","⚠ Falta fecha",IF(G4535="","⚠ Falta monto",IF(Q4535="","⚠ Falta cuenta",IF(ISNA(MATCH(Q4535,ctaNombre,0)),"⚠ Cuenta no registrada",IF(AND(OR(P4535="Gasto",P4535="Reembolso"),D4535=""),"⚠ Falta categoría",IF(AND(D4535&lt;&gt;"",E4535&lt;&gt;"",ISNA(MATCH(D4535&amp;"|"&amp;E4535,catClave,0))),"⚠ Subcategoría no corresponde",IF(AND(OR(P4535="Transferencia",P4535="Pago tarjeta"),K4535=""),"⚠ Falta cuenta destino",IF(AND(K4535&lt;&gt;"",P4535&lt;&gt;"Transferencia",P4535&lt;&gt;"Pago tarjeta"),"⚠ Destino solo aplica a transferencias",IF(AND(K4535&lt;&gt;"",K4535=Q4535),"⚠ Origen igual a destino",IF(AND(K4535&lt;&gt;"",ISNA(MATCH(K4535,ctaNombre,0))),"⚠ Destino no registrado",IF(AND(P4535="Pago tarjeta",AE4535&lt;&gt;"Tarjeta de crédito"),"⚠ El destino debe ser tarjeta de crédito",IF(AND(P4535="Gasto",E4535="Depósitos y retiros"),"⚠ Usa tipo Transferencia",IF(AND(P4535="Resultado trading",AD4535&lt;&gt;"Cuenta de trading"),"⚠ Usa una cuenta de trading",IF(AND(G4535&lt;=0,P4535&lt;&gt;"Ajuste",P4535&lt;&gt;"Resultado trading"),"⚠ El monto debe ser positivo","✓")))))))))))))))</f>
        <v/>
      </c>
      <c r="P4535" s="52">
        <f>IF(OR(B4535="",G4535=""),"",IF(C4535="","Gasto",C4535))</f>
        <v/>
      </c>
      <c r="Q4535" s="52">
        <f>IF(P4535="","",IF(J4535&lt;&gt;"",J4535,CuentaPred&amp;""))</f>
        <v/>
      </c>
      <c r="R4535" s="52">
        <f>IF(P4535="","",IF(ISNUMBER(I4535),I4535,TasaUSD))</f>
        <v/>
      </c>
      <c r="S4535" s="53">
        <f>IF(P4535="","",IF(H4535="USD",G4535*R4535,G4535))</f>
        <v/>
      </c>
      <c r="T4535" s="53">
        <f>IF(P4535="","",IF(H4535="USD",G4535,IF(R4535&gt;0,G4535/R4535,0)))</f>
        <v/>
      </c>
      <c r="U4535" s="53">
        <f>IF(P4535="","",IF(P4535="Gasto",S4535,IF(P4535="Reembolso",-S4535,0)))</f>
        <v/>
      </c>
      <c r="V4535" s="53">
        <f>IF(P4535="","",IF(P4535="Ingreso",S4535,0))</f>
        <v/>
      </c>
      <c r="W4535" s="53">
        <f>IF(P4535="","",IF(P4535="Resultado trading",S4535,0))</f>
        <v/>
      </c>
      <c r="X4535" s="52">
        <f>IF(OR(P4535="Gasto",P4535="Reembolso"),IF(M4535&lt;&gt;"",M4535,IFERROR(INDEX(catClasif,MATCH(D4535&amp;"|"&amp;E4535,catClave,0))&amp;"","Variable")),"")</f>
        <v/>
      </c>
      <c r="Y4535" s="52">
        <f>IF(P4535="","",IFERROR(INDEX(catGrupo,MATCH(D4535&amp;"|"&amp;E4535,catClave,0))&amp;"",""))</f>
        <v/>
      </c>
      <c r="Z4535" s="52">
        <f>IF(P4535="","",WEEKDAY(B4535,2))</f>
        <v/>
      </c>
      <c r="AA4535" s="52">
        <f>IF(P4535="","",IF(AND(P4535="Gasto",X4535="Variable",D4535&lt;&gt;catTrading,S4535&gt;0,S4535&lt;=Umbral),1,0))</f>
        <v/>
      </c>
      <c r="AB4535" s="52">
        <f>IF(OR(P4535="",Q4535=""),"",IFERROR(IF(INDEX(ctaVinc,MATCH(Q4535,ctaNombre,0))&amp;""&lt;&gt;"",INDEX(ctaVinc,MATCH(Q4535,ctaNombre,0))&amp;"",Q4535),Q4535))</f>
        <v/>
      </c>
      <c r="AC4535" s="52">
        <f>IF(OR(K4535="",AND(P4535&lt;&gt;"Transferencia",P4535&lt;&gt;"Pago tarjeta")),"",IFERROR(IF(INDEX(ctaVinc,MATCH(K4535,ctaNombre,0))&amp;""&lt;&gt;"",INDEX(ctaVinc,MATCH(K4535,ctaNombre,0))&amp;"",K4535),K4535))</f>
        <v/>
      </c>
      <c r="AD4535" s="52">
        <f>IF(AB4535="","",IFERROR(INDEX(ctaTipo,MATCH(AB4535,ctaNombre,0))&amp;"",""))</f>
        <v/>
      </c>
      <c r="AE4535" s="52">
        <f>IF(AC4535="","",IFERROR(INDEX(ctaTipo,MATCH(AC4535,ctaNombre,0))&amp;"",""))</f>
        <v/>
      </c>
      <c r="AF4535" s="53">
        <f>IF(OR(P4535="",AB4535=""),"",IF(OR(P4535="Gasto",P4535="Transferencia",P4535="Pago tarjeta"),-1,1)*IF(IFERROR(INDEX(ctaMoneda,MATCH(AB4535,ctaNombre,0))&amp;"","DOP")="USD",T4535,S4535))</f>
        <v/>
      </c>
      <c r="AG4535" s="53">
        <f>IF(AC4535="","",IF(IFERROR(INDEX(ctaMoneda,MATCH(AC4535,ctaNombre,0))&amp;"","DOP")="USD",T4535,S4535))</f>
        <v/>
      </c>
      <c r="AH4535" s="53">
        <f>IF(P4535="","",IF(AND(AD4535&lt;&gt;"",COUNTIFS(tcTipo,AD4535,tcLiq,"Sí")&gt;0),IF(OR(P4535="Gasto",P4535="Transferencia",P4535="Pago tarjeta"),-1,1)*S4535,0)+IF(AND(AE4535&lt;&gt;"",COUNTIFS(tcTipo,AE4535,tcLiq,"Sí")&gt;0),S4535,0))</f>
        <v/>
      </c>
      <c r="AI4535" s="52">
        <f>IF(OR(L4535="",P4535=""),"",IF(COUNTIFS(L$6:L4535,L4535,P$6:P4535,"?*")=1,MAX(AI$5:AI4534)+1,""))</f>
        <v/>
      </c>
    </row>
    <row r="4536">
      <c r="B4536" s="47" t="n"/>
      <c r="C4536" s="48" t="n"/>
      <c r="D4536" s="48" t="n"/>
      <c r="E4536" s="48" t="n"/>
      <c r="F4536" s="48" t="n"/>
      <c r="G4536" s="49" t="n"/>
      <c r="H4536" s="48" t="n"/>
      <c r="I4536" s="50" t="n"/>
      <c r="J4536" s="48" t="n"/>
      <c r="K4536" s="48" t="n"/>
      <c r="L4536" s="48" t="n"/>
      <c r="M4536" s="48" t="n"/>
      <c r="N4536" s="48" t="n"/>
      <c r="O4536" s="51">
        <f>IF(AND(B4536="",G4536="",C4536="",D4536="",J4536=""),"",IF(B4536="","⚠ Falta fecha",IF(G4536="","⚠ Falta monto",IF(Q4536="","⚠ Falta cuenta",IF(ISNA(MATCH(Q4536,ctaNombre,0)),"⚠ Cuenta no registrada",IF(AND(OR(P4536="Gasto",P4536="Reembolso"),D4536=""),"⚠ Falta categoría",IF(AND(D4536&lt;&gt;"",E4536&lt;&gt;"",ISNA(MATCH(D4536&amp;"|"&amp;E4536,catClave,0))),"⚠ Subcategoría no corresponde",IF(AND(OR(P4536="Transferencia",P4536="Pago tarjeta"),K4536=""),"⚠ Falta cuenta destino",IF(AND(K4536&lt;&gt;"",P4536&lt;&gt;"Transferencia",P4536&lt;&gt;"Pago tarjeta"),"⚠ Destino solo aplica a transferencias",IF(AND(K4536&lt;&gt;"",K4536=Q4536),"⚠ Origen igual a destino",IF(AND(K4536&lt;&gt;"",ISNA(MATCH(K4536,ctaNombre,0))),"⚠ Destino no registrado",IF(AND(P4536="Pago tarjeta",AE4536&lt;&gt;"Tarjeta de crédito"),"⚠ El destino debe ser tarjeta de crédito",IF(AND(P4536="Gasto",E4536="Depósitos y retiros"),"⚠ Usa tipo Transferencia",IF(AND(P4536="Resultado trading",AD4536&lt;&gt;"Cuenta de trading"),"⚠ Usa una cuenta de trading",IF(AND(G4536&lt;=0,P4536&lt;&gt;"Ajuste",P4536&lt;&gt;"Resultado trading"),"⚠ El monto debe ser positivo","✓")))))))))))))))</f>
        <v/>
      </c>
      <c r="P4536" s="52">
        <f>IF(OR(B4536="",G4536=""),"",IF(C4536="","Gasto",C4536))</f>
        <v/>
      </c>
      <c r="Q4536" s="52">
        <f>IF(P4536="","",IF(J4536&lt;&gt;"",J4536,CuentaPred&amp;""))</f>
        <v/>
      </c>
      <c r="R4536" s="52">
        <f>IF(P4536="","",IF(ISNUMBER(I4536),I4536,TasaUSD))</f>
        <v/>
      </c>
      <c r="S4536" s="53">
        <f>IF(P4536="","",IF(H4536="USD",G4536*R4536,G4536))</f>
        <v/>
      </c>
      <c r="T4536" s="53">
        <f>IF(P4536="","",IF(H4536="USD",G4536,IF(R4536&gt;0,G4536/R4536,0)))</f>
        <v/>
      </c>
      <c r="U4536" s="53">
        <f>IF(P4536="","",IF(P4536="Gasto",S4536,IF(P4536="Reembolso",-S4536,0)))</f>
        <v/>
      </c>
      <c r="V4536" s="53">
        <f>IF(P4536="","",IF(P4536="Ingreso",S4536,0))</f>
        <v/>
      </c>
      <c r="W4536" s="53">
        <f>IF(P4536="","",IF(P4536="Resultado trading",S4536,0))</f>
        <v/>
      </c>
      <c r="X4536" s="52">
        <f>IF(OR(P4536="Gasto",P4536="Reembolso"),IF(M4536&lt;&gt;"",M4536,IFERROR(INDEX(catClasif,MATCH(D4536&amp;"|"&amp;E4536,catClave,0))&amp;"","Variable")),"")</f>
        <v/>
      </c>
      <c r="Y4536" s="52">
        <f>IF(P4536="","",IFERROR(INDEX(catGrupo,MATCH(D4536&amp;"|"&amp;E4536,catClave,0))&amp;"",""))</f>
        <v/>
      </c>
      <c r="Z4536" s="52">
        <f>IF(P4536="","",WEEKDAY(B4536,2))</f>
        <v/>
      </c>
      <c r="AA4536" s="52">
        <f>IF(P4536="","",IF(AND(P4536="Gasto",X4536="Variable",D4536&lt;&gt;catTrading,S4536&gt;0,S4536&lt;=Umbral),1,0))</f>
        <v/>
      </c>
      <c r="AB4536" s="52">
        <f>IF(OR(P4536="",Q4536=""),"",IFERROR(IF(INDEX(ctaVinc,MATCH(Q4536,ctaNombre,0))&amp;""&lt;&gt;"",INDEX(ctaVinc,MATCH(Q4536,ctaNombre,0))&amp;"",Q4536),Q4536))</f>
        <v/>
      </c>
      <c r="AC4536" s="52">
        <f>IF(OR(K4536="",AND(P4536&lt;&gt;"Transferencia",P4536&lt;&gt;"Pago tarjeta")),"",IFERROR(IF(INDEX(ctaVinc,MATCH(K4536,ctaNombre,0))&amp;""&lt;&gt;"",INDEX(ctaVinc,MATCH(K4536,ctaNombre,0))&amp;"",K4536),K4536))</f>
        <v/>
      </c>
      <c r="AD4536" s="52">
        <f>IF(AB4536="","",IFERROR(INDEX(ctaTipo,MATCH(AB4536,ctaNombre,0))&amp;"",""))</f>
        <v/>
      </c>
      <c r="AE4536" s="52">
        <f>IF(AC4536="","",IFERROR(INDEX(ctaTipo,MATCH(AC4536,ctaNombre,0))&amp;"",""))</f>
        <v/>
      </c>
      <c r="AF4536" s="53">
        <f>IF(OR(P4536="",AB4536=""),"",IF(OR(P4536="Gasto",P4536="Transferencia",P4536="Pago tarjeta"),-1,1)*IF(IFERROR(INDEX(ctaMoneda,MATCH(AB4536,ctaNombre,0))&amp;"","DOP")="USD",T4536,S4536))</f>
        <v/>
      </c>
      <c r="AG4536" s="53">
        <f>IF(AC4536="","",IF(IFERROR(INDEX(ctaMoneda,MATCH(AC4536,ctaNombre,0))&amp;"","DOP")="USD",T4536,S4536))</f>
        <v/>
      </c>
      <c r="AH4536" s="53">
        <f>IF(P4536="","",IF(AND(AD4536&lt;&gt;"",COUNTIFS(tcTipo,AD4536,tcLiq,"Sí")&gt;0),IF(OR(P4536="Gasto",P4536="Transferencia",P4536="Pago tarjeta"),-1,1)*S4536,0)+IF(AND(AE4536&lt;&gt;"",COUNTIFS(tcTipo,AE4536,tcLiq,"Sí")&gt;0),S4536,0))</f>
        <v/>
      </c>
      <c r="AI4536" s="52">
        <f>IF(OR(L4536="",P4536=""),"",IF(COUNTIFS(L$6:L4536,L4536,P$6:P4536,"?*")=1,MAX(AI$5:AI4535)+1,""))</f>
        <v/>
      </c>
    </row>
    <row r="4537">
      <c r="B4537" s="47" t="n"/>
      <c r="C4537" s="48" t="n"/>
      <c r="D4537" s="48" t="n"/>
      <c r="E4537" s="48" t="n"/>
      <c r="F4537" s="48" t="n"/>
      <c r="G4537" s="49" t="n"/>
      <c r="H4537" s="48" t="n"/>
      <c r="I4537" s="50" t="n"/>
      <c r="J4537" s="48" t="n"/>
      <c r="K4537" s="48" t="n"/>
      <c r="L4537" s="48" t="n"/>
      <c r="M4537" s="48" t="n"/>
      <c r="N4537" s="48" t="n"/>
      <c r="O4537" s="51">
        <f>IF(AND(B4537="",G4537="",C4537="",D4537="",J4537=""),"",IF(B4537="","⚠ Falta fecha",IF(G4537="","⚠ Falta monto",IF(Q4537="","⚠ Falta cuenta",IF(ISNA(MATCH(Q4537,ctaNombre,0)),"⚠ Cuenta no registrada",IF(AND(OR(P4537="Gasto",P4537="Reembolso"),D4537=""),"⚠ Falta categoría",IF(AND(D4537&lt;&gt;"",E4537&lt;&gt;"",ISNA(MATCH(D4537&amp;"|"&amp;E4537,catClave,0))),"⚠ Subcategoría no corresponde",IF(AND(OR(P4537="Transferencia",P4537="Pago tarjeta"),K4537=""),"⚠ Falta cuenta destino",IF(AND(K4537&lt;&gt;"",P4537&lt;&gt;"Transferencia",P4537&lt;&gt;"Pago tarjeta"),"⚠ Destino solo aplica a transferencias",IF(AND(K4537&lt;&gt;"",K4537=Q4537),"⚠ Origen igual a destino",IF(AND(K4537&lt;&gt;"",ISNA(MATCH(K4537,ctaNombre,0))),"⚠ Destino no registrado",IF(AND(P4537="Pago tarjeta",AE4537&lt;&gt;"Tarjeta de crédito"),"⚠ El destino debe ser tarjeta de crédito",IF(AND(P4537="Gasto",E4537="Depósitos y retiros"),"⚠ Usa tipo Transferencia",IF(AND(P4537="Resultado trading",AD4537&lt;&gt;"Cuenta de trading"),"⚠ Usa una cuenta de trading",IF(AND(G4537&lt;=0,P4537&lt;&gt;"Ajuste",P4537&lt;&gt;"Resultado trading"),"⚠ El monto debe ser positivo","✓")))))))))))))))</f>
        <v/>
      </c>
      <c r="P4537" s="52">
        <f>IF(OR(B4537="",G4537=""),"",IF(C4537="","Gasto",C4537))</f>
        <v/>
      </c>
      <c r="Q4537" s="52">
        <f>IF(P4537="","",IF(J4537&lt;&gt;"",J4537,CuentaPred&amp;""))</f>
        <v/>
      </c>
      <c r="R4537" s="52">
        <f>IF(P4537="","",IF(ISNUMBER(I4537),I4537,TasaUSD))</f>
        <v/>
      </c>
      <c r="S4537" s="53">
        <f>IF(P4537="","",IF(H4537="USD",G4537*R4537,G4537))</f>
        <v/>
      </c>
      <c r="T4537" s="53">
        <f>IF(P4537="","",IF(H4537="USD",G4537,IF(R4537&gt;0,G4537/R4537,0)))</f>
        <v/>
      </c>
      <c r="U4537" s="53">
        <f>IF(P4537="","",IF(P4537="Gasto",S4537,IF(P4537="Reembolso",-S4537,0)))</f>
        <v/>
      </c>
      <c r="V4537" s="53">
        <f>IF(P4537="","",IF(P4537="Ingreso",S4537,0))</f>
        <v/>
      </c>
      <c r="W4537" s="53">
        <f>IF(P4537="","",IF(P4537="Resultado trading",S4537,0))</f>
        <v/>
      </c>
      <c r="X4537" s="52">
        <f>IF(OR(P4537="Gasto",P4537="Reembolso"),IF(M4537&lt;&gt;"",M4537,IFERROR(INDEX(catClasif,MATCH(D4537&amp;"|"&amp;E4537,catClave,0))&amp;"","Variable")),"")</f>
        <v/>
      </c>
      <c r="Y4537" s="52">
        <f>IF(P4537="","",IFERROR(INDEX(catGrupo,MATCH(D4537&amp;"|"&amp;E4537,catClave,0))&amp;"",""))</f>
        <v/>
      </c>
      <c r="Z4537" s="52">
        <f>IF(P4537="","",WEEKDAY(B4537,2))</f>
        <v/>
      </c>
      <c r="AA4537" s="52">
        <f>IF(P4537="","",IF(AND(P4537="Gasto",X4537="Variable",D4537&lt;&gt;catTrading,S4537&gt;0,S4537&lt;=Umbral),1,0))</f>
        <v/>
      </c>
      <c r="AB4537" s="52">
        <f>IF(OR(P4537="",Q4537=""),"",IFERROR(IF(INDEX(ctaVinc,MATCH(Q4537,ctaNombre,0))&amp;""&lt;&gt;"",INDEX(ctaVinc,MATCH(Q4537,ctaNombre,0))&amp;"",Q4537),Q4537))</f>
        <v/>
      </c>
      <c r="AC4537" s="52">
        <f>IF(OR(K4537="",AND(P4537&lt;&gt;"Transferencia",P4537&lt;&gt;"Pago tarjeta")),"",IFERROR(IF(INDEX(ctaVinc,MATCH(K4537,ctaNombre,0))&amp;""&lt;&gt;"",INDEX(ctaVinc,MATCH(K4537,ctaNombre,0))&amp;"",K4537),K4537))</f>
        <v/>
      </c>
      <c r="AD4537" s="52">
        <f>IF(AB4537="","",IFERROR(INDEX(ctaTipo,MATCH(AB4537,ctaNombre,0))&amp;"",""))</f>
        <v/>
      </c>
      <c r="AE4537" s="52">
        <f>IF(AC4537="","",IFERROR(INDEX(ctaTipo,MATCH(AC4537,ctaNombre,0))&amp;"",""))</f>
        <v/>
      </c>
      <c r="AF4537" s="53">
        <f>IF(OR(P4537="",AB4537=""),"",IF(OR(P4537="Gasto",P4537="Transferencia",P4537="Pago tarjeta"),-1,1)*IF(IFERROR(INDEX(ctaMoneda,MATCH(AB4537,ctaNombre,0))&amp;"","DOP")="USD",T4537,S4537))</f>
        <v/>
      </c>
      <c r="AG4537" s="53">
        <f>IF(AC4537="","",IF(IFERROR(INDEX(ctaMoneda,MATCH(AC4537,ctaNombre,0))&amp;"","DOP")="USD",T4537,S4537))</f>
        <v/>
      </c>
      <c r="AH4537" s="53">
        <f>IF(P4537="","",IF(AND(AD4537&lt;&gt;"",COUNTIFS(tcTipo,AD4537,tcLiq,"Sí")&gt;0),IF(OR(P4537="Gasto",P4537="Transferencia",P4537="Pago tarjeta"),-1,1)*S4537,0)+IF(AND(AE4537&lt;&gt;"",COUNTIFS(tcTipo,AE4537,tcLiq,"Sí")&gt;0),S4537,0))</f>
        <v/>
      </c>
      <c r="AI4537" s="52">
        <f>IF(OR(L4537="",P4537=""),"",IF(COUNTIFS(L$6:L4537,L4537,P$6:P4537,"?*")=1,MAX(AI$5:AI4536)+1,""))</f>
        <v/>
      </c>
    </row>
    <row r="4538">
      <c r="B4538" s="47" t="n"/>
      <c r="C4538" s="48" t="n"/>
      <c r="D4538" s="48" t="n"/>
      <c r="E4538" s="48" t="n"/>
      <c r="F4538" s="48" t="n"/>
      <c r="G4538" s="49" t="n"/>
      <c r="H4538" s="48" t="n"/>
      <c r="I4538" s="50" t="n"/>
      <c r="J4538" s="48" t="n"/>
      <c r="K4538" s="48" t="n"/>
      <c r="L4538" s="48" t="n"/>
      <c r="M4538" s="48" t="n"/>
      <c r="N4538" s="48" t="n"/>
      <c r="O4538" s="51">
        <f>IF(AND(B4538="",G4538="",C4538="",D4538="",J4538=""),"",IF(B4538="","⚠ Falta fecha",IF(G4538="","⚠ Falta monto",IF(Q4538="","⚠ Falta cuenta",IF(ISNA(MATCH(Q4538,ctaNombre,0)),"⚠ Cuenta no registrada",IF(AND(OR(P4538="Gasto",P4538="Reembolso"),D4538=""),"⚠ Falta categoría",IF(AND(D4538&lt;&gt;"",E4538&lt;&gt;"",ISNA(MATCH(D4538&amp;"|"&amp;E4538,catClave,0))),"⚠ Subcategoría no corresponde",IF(AND(OR(P4538="Transferencia",P4538="Pago tarjeta"),K4538=""),"⚠ Falta cuenta destino",IF(AND(K4538&lt;&gt;"",P4538&lt;&gt;"Transferencia",P4538&lt;&gt;"Pago tarjeta"),"⚠ Destino solo aplica a transferencias",IF(AND(K4538&lt;&gt;"",K4538=Q4538),"⚠ Origen igual a destino",IF(AND(K4538&lt;&gt;"",ISNA(MATCH(K4538,ctaNombre,0))),"⚠ Destino no registrado",IF(AND(P4538="Pago tarjeta",AE4538&lt;&gt;"Tarjeta de crédito"),"⚠ El destino debe ser tarjeta de crédito",IF(AND(P4538="Gasto",E4538="Depósitos y retiros"),"⚠ Usa tipo Transferencia",IF(AND(P4538="Resultado trading",AD4538&lt;&gt;"Cuenta de trading"),"⚠ Usa una cuenta de trading",IF(AND(G4538&lt;=0,P4538&lt;&gt;"Ajuste",P4538&lt;&gt;"Resultado trading"),"⚠ El monto debe ser positivo","✓")))))))))))))))</f>
        <v/>
      </c>
      <c r="P4538" s="52">
        <f>IF(OR(B4538="",G4538=""),"",IF(C4538="","Gasto",C4538))</f>
        <v/>
      </c>
      <c r="Q4538" s="52">
        <f>IF(P4538="","",IF(J4538&lt;&gt;"",J4538,CuentaPred&amp;""))</f>
        <v/>
      </c>
      <c r="R4538" s="52">
        <f>IF(P4538="","",IF(ISNUMBER(I4538),I4538,TasaUSD))</f>
        <v/>
      </c>
      <c r="S4538" s="53">
        <f>IF(P4538="","",IF(H4538="USD",G4538*R4538,G4538))</f>
        <v/>
      </c>
      <c r="T4538" s="53">
        <f>IF(P4538="","",IF(H4538="USD",G4538,IF(R4538&gt;0,G4538/R4538,0)))</f>
        <v/>
      </c>
      <c r="U4538" s="53">
        <f>IF(P4538="","",IF(P4538="Gasto",S4538,IF(P4538="Reembolso",-S4538,0)))</f>
        <v/>
      </c>
      <c r="V4538" s="53">
        <f>IF(P4538="","",IF(P4538="Ingreso",S4538,0))</f>
        <v/>
      </c>
      <c r="W4538" s="53">
        <f>IF(P4538="","",IF(P4538="Resultado trading",S4538,0))</f>
        <v/>
      </c>
      <c r="X4538" s="52">
        <f>IF(OR(P4538="Gasto",P4538="Reembolso"),IF(M4538&lt;&gt;"",M4538,IFERROR(INDEX(catClasif,MATCH(D4538&amp;"|"&amp;E4538,catClave,0))&amp;"","Variable")),"")</f>
        <v/>
      </c>
      <c r="Y4538" s="52">
        <f>IF(P4538="","",IFERROR(INDEX(catGrupo,MATCH(D4538&amp;"|"&amp;E4538,catClave,0))&amp;"",""))</f>
        <v/>
      </c>
      <c r="Z4538" s="52">
        <f>IF(P4538="","",WEEKDAY(B4538,2))</f>
        <v/>
      </c>
      <c r="AA4538" s="52">
        <f>IF(P4538="","",IF(AND(P4538="Gasto",X4538="Variable",D4538&lt;&gt;catTrading,S4538&gt;0,S4538&lt;=Umbral),1,0))</f>
        <v/>
      </c>
      <c r="AB4538" s="52">
        <f>IF(OR(P4538="",Q4538=""),"",IFERROR(IF(INDEX(ctaVinc,MATCH(Q4538,ctaNombre,0))&amp;""&lt;&gt;"",INDEX(ctaVinc,MATCH(Q4538,ctaNombre,0))&amp;"",Q4538),Q4538))</f>
        <v/>
      </c>
      <c r="AC4538" s="52">
        <f>IF(OR(K4538="",AND(P4538&lt;&gt;"Transferencia",P4538&lt;&gt;"Pago tarjeta")),"",IFERROR(IF(INDEX(ctaVinc,MATCH(K4538,ctaNombre,0))&amp;""&lt;&gt;"",INDEX(ctaVinc,MATCH(K4538,ctaNombre,0))&amp;"",K4538),K4538))</f>
        <v/>
      </c>
      <c r="AD4538" s="52">
        <f>IF(AB4538="","",IFERROR(INDEX(ctaTipo,MATCH(AB4538,ctaNombre,0))&amp;"",""))</f>
        <v/>
      </c>
      <c r="AE4538" s="52">
        <f>IF(AC4538="","",IFERROR(INDEX(ctaTipo,MATCH(AC4538,ctaNombre,0))&amp;"",""))</f>
        <v/>
      </c>
      <c r="AF4538" s="53">
        <f>IF(OR(P4538="",AB4538=""),"",IF(OR(P4538="Gasto",P4538="Transferencia",P4538="Pago tarjeta"),-1,1)*IF(IFERROR(INDEX(ctaMoneda,MATCH(AB4538,ctaNombre,0))&amp;"","DOP")="USD",T4538,S4538))</f>
        <v/>
      </c>
      <c r="AG4538" s="53">
        <f>IF(AC4538="","",IF(IFERROR(INDEX(ctaMoneda,MATCH(AC4538,ctaNombre,0))&amp;"","DOP")="USD",T4538,S4538))</f>
        <v/>
      </c>
      <c r="AH4538" s="53">
        <f>IF(P4538="","",IF(AND(AD4538&lt;&gt;"",COUNTIFS(tcTipo,AD4538,tcLiq,"Sí")&gt;0),IF(OR(P4538="Gasto",P4538="Transferencia",P4538="Pago tarjeta"),-1,1)*S4538,0)+IF(AND(AE4538&lt;&gt;"",COUNTIFS(tcTipo,AE4538,tcLiq,"Sí")&gt;0),S4538,0))</f>
        <v/>
      </c>
      <c r="AI4538" s="52">
        <f>IF(OR(L4538="",P4538=""),"",IF(COUNTIFS(L$6:L4538,L4538,P$6:P4538,"?*")=1,MAX(AI$5:AI4537)+1,""))</f>
        <v/>
      </c>
    </row>
    <row r="4539">
      <c r="B4539" s="47" t="n"/>
      <c r="C4539" s="48" t="n"/>
      <c r="D4539" s="48" t="n"/>
      <c r="E4539" s="48" t="n"/>
      <c r="F4539" s="48" t="n"/>
      <c r="G4539" s="49" t="n"/>
      <c r="H4539" s="48" t="n"/>
      <c r="I4539" s="50" t="n"/>
      <c r="J4539" s="48" t="n"/>
      <c r="K4539" s="48" t="n"/>
      <c r="L4539" s="48" t="n"/>
      <c r="M4539" s="48" t="n"/>
      <c r="N4539" s="48" t="n"/>
      <c r="O4539" s="51">
        <f>IF(AND(B4539="",G4539="",C4539="",D4539="",J4539=""),"",IF(B4539="","⚠ Falta fecha",IF(G4539="","⚠ Falta monto",IF(Q4539="","⚠ Falta cuenta",IF(ISNA(MATCH(Q4539,ctaNombre,0)),"⚠ Cuenta no registrada",IF(AND(OR(P4539="Gasto",P4539="Reembolso"),D4539=""),"⚠ Falta categoría",IF(AND(D4539&lt;&gt;"",E4539&lt;&gt;"",ISNA(MATCH(D4539&amp;"|"&amp;E4539,catClave,0))),"⚠ Subcategoría no corresponde",IF(AND(OR(P4539="Transferencia",P4539="Pago tarjeta"),K4539=""),"⚠ Falta cuenta destino",IF(AND(K4539&lt;&gt;"",P4539&lt;&gt;"Transferencia",P4539&lt;&gt;"Pago tarjeta"),"⚠ Destino solo aplica a transferencias",IF(AND(K4539&lt;&gt;"",K4539=Q4539),"⚠ Origen igual a destino",IF(AND(K4539&lt;&gt;"",ISNA(MATCH(K4539,ctaNombre,0))),"⚠ Destino no registrado",IF(AND(P4539="Pago tarjeta",AE4539&lt;&gt;"Tarjeta de crédito"),"⚠ El destino debe ser tarjeta de crédito",IF(AND(P4539="Gasto",E4539="Depósitos y retiros"),"⚠ Usa tipo Transferencia",IF(AND(P4539="Resultado trading",AD4539&lt;&gt;"Cuenta de trading"),"⚠ Usa una cuenta de trading",IF(AND(G4539&lt;=0,P4539&lt;&gt;"Ajuste",P4539&lt;&gt;"Resultado trading"),"⚠ El monto debe ser positivo","✓")))))))))))))))</f>
        <v/>
      </c>
      <c r="P4539" s="52">
        <f>IF(OR(B4539="",G4539=""),"",IF(C4539="","Gasto",C4539))</f>
        <v/>
      </c>
      <c r="Q4539" s="52">
        <f>IF(P4539="","",IF(J4539&lt;&gt;"",J4539,CuentaPred&amp;""))</f>
        <v/>
      </c>
      <c r="R4539" s="52">
        <f>IF(P4539="","",IF(ISNUMBER(I4539),I4539,TasaUSD))</f>
        <v/>
      </c>
      <c r="S4539" s="53">
        <f>IF(P4539="","",IF(H4539="USD",G4539*R4539,G4539))</f>
        <v/>
      </c>
      <c r="T4539" s="53">
        <f>IF(P4539="","",IF(H4539="USD",G4539,IF(R4539&gt;0,G4539/R4539,0)))</f>
        <v/>
      </c>
      <c r="U4539" s="53">
        <f>IF(P4539="","",IF(P4539="Gasto",S4539,IF(P4539="Reembolso",-S4539,0)))</f>
        <v/>
      </c>
      <c r="V4539" s="53">
        <f>IF(P4539="","",IF(P4539="Ingreso",S4539,0))</f>
        <v/>
      </c>
      <c r="W4539" s="53">
        <f>IF(P4539="","",IF(P4539="Resultado trading",S4539,0))</f>
        <v/>
      </c>
      <c r="X4539" s="52">
        <f>IF(OR(P4539="Gasto",P4539="Reembolso"),IF(M4539&lt;&gt;"",M4539,IFERROR(INDEX(catClasif,MATCH(D4539&amp;"|"&amp;E4539,catClave,0))&amp;"","Variable")),"")</f>
        <v/>
      </c>
      <c r="Y4539" s="52">
        <f>IF(P4539="","",IFERROR(INDEX(catGrupo,MATCH(D4539&amp;"|"&amp;E4539,catClave,0))&amp;"",""))</f>
        <v/>
      </c>
      <c r="Z4539" s="52">
        <f>IF(P4539="","",WEEKDAY(B4539,2))</f>
        <v/>
      </c>
      <c r="AA4539" s="52">
        <f>IF(P4539="","",IF(AND(P4539="Gasto",X4539="Variable",D4539&lt;&gt;catTrading,S4539&gt;0,S4539&lt;=Umbral),1,0))</f>
        <v/>
      </c>
      <c r="AB4539" s="52">
        <f>IF(OR(P4539="",Q4539=""),"",IFERROR(IF(INDEX(ctaVinc,MATCH(Q4539,ctaNombre,0))&amp;""&lt;&gt;"",INDEX(ctaVinc,MATCH(Q4539,ctaNombre,0))&amp;"",Q4539),Q4539))</f>
        <v/>
      </c>
      <c r="AC4539" s="52">
        <f>IF(OR(K4539="",AND(P4539&lt;&gt;"Transferencia",P4539&lt;&gt;"Pago tarjeta")),"",IFERROR(IF(INDEX(ctaVinc,MATCH(K4539,ctaNombre,0))&amp;""&lt;&gt;"",INDEX(ctaVinc,MATCH(K4539,ctaNombre,0))&amp;"",K4539),K4539))</f>
        <v/>
      </c>
      <c r="AD4539" s="52">
        <f>IF(AB4539="","",IFERROR(INDEX(ctaTipo,MATCH(AB4539,ctaNombre,0))&amp;"",""))</f>
        <v/>
      </c>
      <c r="AE4539" s="52">
        <f>IF(AC4539="","",IFERROR(INDEX(ctaTipo,MATCH(AC4539,ctaNombre,0))&amp;"",""))</f>
        <v/>
      </c>
      <c r="AF4539" s="53">
        <f>IF(OR(P4539="",AB4539=""),"",IF(OR(P4539="Gasto",P4539="Transferencia",P4539="Pago tarjeta"),-1,1)*IF(IFERROR(INDEX(ctaMoneda,MATCH(AB4539,ctaNombre,0))&amp;"","DOP")="USD",T4539,S4539))</f>
        <v/>
      </c>
      <c r="AG4539" s="53">
        <f>IF(AC4539="","",IF(IFERROR(INDEX(ctaMoneda,MATCH(AC4539,ctaNombre,0))&amp;"","DOP")="USD",T4539,S4539))</f>
        <v/>
      </c>
      <c r="AH4539" s="53">
        <f>IF(P4539="","",IF(AND(AD4539&lt;&gt;"",COUNTIFS(tcTipo,AD4539,tcLiq,"Sí")&gt;0),IF(OR(P4539="Gasto",P4539="Transferencia",P4539="Pago tarjeta"),-1,1)*S4539,0)+IF(AND(AE4539&lt;&gt;"",COUNTIFS(tcTipo,AE4539,tcLiq,"Sí")&gt;0),S4539,0))</f>
        <v/>
      </c>
      <c r="AI4539" s="52">
        <f>IF(OR(L4539="",P4539=""),"",IF(COUNTIFS(L$6:L4539,L4539,P$6:P4539,"?*")=1,MAX(AI$5:AI4538)+1,""))</f>
        <v/>
      </c>
    </row>
    <row r="4540">
      <c r="B4540" s="47" t="n"/>
      <c r="C4540" s="48" t="n"/>
      <c r="D4540" s="48" t="n"/>
      <c r="E4540" s="48" t="n"/>
      <c r="F4540" s="48" t="n"/>
      <c r="G4540" s="49" t="n"/>
      <c r="H4540" s="48" t="n"/>
      <c r="I4540" s="50" t="n"/>
      <c r="J4540" s="48" t="n"/>
      <c r="K4540" s="48" t="n"/>
      <c r="L4540" s="48" t="n"/>
      <c r="M4540" s="48" t="n"/>
      <c r="N4540" s="48" t="n"/>
      <c r="O4540" s="51">
        <f>IF(AND(B4540="",G4540="",C4540="",D4540="",J4540=""),"",IF(B4540="","⚠ Falta fecha",IF(G4540="","⚠ Falta monto",IF(Q4540="","⚠ Falta cuenta",IF(ISNA(MATCH(Q4540,ctaNombre,0)),"⚠ Cuenta no registrada",IF(AND(OR(P4540="Gasto",P4540="Reembolso"),D4540=""),"⚠ Falta categoría",IF(AND(D4540&lt;&gt;"",E4540&lt;&gt;"",ISNA(MATCH(D4540&amp;"|"&amp;E4540,catClave,0))),"⚠ Subcategoría no corresponde",IF(AND(OR(P4540="Transferencia",P4540="Pago tarjeta"),K4540=""),"⚠ Falta cuenta destino",IF(AND(K4540&lt;&gt;"",P4540&lt;&gt;"Transferencia",P4540&lt;&gt;"Pago tarjeta"),"⚠ Destino solo aplica a transferencias",IF(AND(K4540&lt;&gt;"",K4540=Q4540),"⚠ Origen igual a destino",IF(AND(K4540&lt;&gt;"",ISNA(MATCH(K4540,ctaNombre,0))),"⚠ Destino no registrado",IF(AND(P4540="Pago tarjeta",AE4540&lt;&gt;"Tarjeta de crédito"),"⚠ El destino debe ser tarjeta de crédito",IF(AND(P4540="Gasto",E4540="Depósitos y retiros"),"⚠ Usa tipo Transferencia",IF(AND(P4540="Resultado trading",AD4540&lt;&gt;"Cuenta de trading"),"⚠ Usa una cuenta de trading",IF(AND(G4540&lt;=0,P4540&lt;&gt;"Ajuste",P4540&lt;&gt;"Resultado trading"),"⚠ El monto debe ser positivo","✓")))))))))))))))</f>
        <v/>
      </c>
      <c r="P4540" s="52">
        <f>IF(OR(B4540="",G4540=""),"",IF(C4540="","Gasto",C4540))</f>
        <v/>
      </c>
      <c r="Q4540" s="52">
        <f>IF(P4540="","",IF(J4540&lt;&gt;"",J4540,CuentaPred&amp;""))</f>
        <v/>
      </c>
      <c r="R4540" s="52">
        <f>IF(P4540="","",IF(ISNUMBER(I4540),I4540,TasaUSD))</f>
        <v/>
      </c>
      <c r="S4540" s="53">
        <f>IF(P4540="","",IF(H4540="USD",G4540*R4540,G4540))</f>
        <v/>
      </c>
      <c r="T4540" s="53">
        <f>IF(P4540="","",IF(H4540="USD",G4540,IF(R4540&gt;0,G4540/R4540,0)))</f>
        <v/>
      </c>
      <c r="U4540" s="53">
        <f>IF(P4540="","",IF(P4540="Gasto",S4540,IF(P4540="Reembolso",-S4540,0)))</f>
        <v/>
      </c>
      <c r="V4540" s="53">
        <f>IF(P4540="","",IF(P4540="Ingreso",S4540,0))</f>
        <v/>
      </c>
      <c r="W4540" s="53">
        <f>IF(P4540="","",IF(P4540="Resultado trading",S4540,0))</f>
        <v/>
      </c>
      <c r="X4540" s="52">
        <f>IF(OR(P4540="Gasto",P4540="Reembolso"),IF(M4540&lt;&gt;"",M4540,IFERROR(INDEX(catClasif,MATCH(D4540&amp;"|"&amp;E4540,catClave,0))&amp;"","Variable")),"")</f>
        <v/>
      </c>
      <c r="Y4540" s="52">
        <f>IF(P4540="","",IFERROR(INDEX(catGrupo,MATCH(D4540&amp;"|"&amp;E4540,catClave,0))&amp;"",""))</f>
        <v/>
      </c>
      <c r="Z4540" s="52">
        <f>IF(P4540="","",WEEKDAY(B4540,2))</f>
        <v/>
      </c>
      <c r="AA4540" s="52">
        <f>IF(P4540="","",IF(AND(P4540="Gasto",X4540="Variable",D4540&lt;&gt;catTrading,S4540&gt;0,S4540&lt;=Umbral),1,0))</f>
        <v/>
      </c>
      <c r="AB4540" s="52">
        <f>IF(OR(P4540="",Q4540=""),"",IFERROR(IF(INDEX(ctaVinc,MATCH(Q4540,ctaNombre,0))&amp;""&lt;&gt;"",INDEX(ctaVinc,MATCH(Q4540,ctaNombre,0))&amp;"",Q4540),Q4540))</f>
        <v/>
      </c>
      <c r="AC4540" s="52">
        <f>IF(OR(K4540="",AND(P4540&lt;&gt;"Transferencia",P4540&lt;&gt;"Pago tarjeta")),"",IFERROR(IF(INDEX(ctaVinc,MATCH(K4540,ctaNombre,0))&amp;""&lt;&gt;"",INDEX(ctaVinc,MATCH(K4540,ctaNombre,0))&amp;"",K4540),K4540))</f>
        <v/>
      </c>
      <c r="AD4540" s="52">
        <f>IF(AB4540="","",IFERROR(INDEX(ctaTipo,MATCH(AB4540,ctaNombre,0))&amp;"",""))</f>
        <v/>
      </c>
      <c r="AE4540" s="52">
        <f>IF(AC4540="","",IFERROR(INDEX(ctaTipo,MATCH(AC4540,ctaNombre,0))&amp;"",""))</f>
        <v/>
      </c>
      <c r="AF4540" s="53">
        <f>IF(OR(P4540="",AB4540=""),"",IF(OR(P4540="Gasto",P4540="Transferencia",P4540="Pago tarjeta"),-1,1)*IF(IFERROR(INDEX(ctaMoneda,MATCH(AB4540,ctaNombre,0))&amp;"","DOP")="USD",T4540,S4540))</f>
        <v/>
      </c>
      <c r="AG4540" s="53">
        <f>IF(AC4540="","",IF(IFERROR(INDEX(ctaMoneda,MATCH(AC4540,ctaNombre,0))&amp;"","DOP")="USD",T4540,S4540))</f>
        <v/>
      </c>
      <c r="AH4540" s="53">
        <f>IF(P4540="","",IF(AND(AD4540&lt;&gt;"",COUNTIFS(tcTipo,AD4540,tcLiq,"Sí")&gt;0),IF(OR(P4540="Gasto",P4540="Transferencia",P4540="Pago tarjeta"),-1,1)*S4540,0)+IF(AND(AE4540&lt;&gt;"",COUNTIFS(tcTipo,AE4540,tcLiq,"Sí")&gt;0),S4540,0))</f>
        <v/>
      </c>
      <c r="AI4540" s="52">
        <f>IF(OR(L4540="",P4540=""),"",IF(COUNTIFS(L$6:L4540,L4540,P$6:P4540,"?*")=1,MAX(AI$5:AI4539)+1,""))</f>
        <v/>
      </c>
    </row>
    <row r="4541">
      <c r="B4541" s="47" t="n"/>
      <c r="C4541" s="48" t="n"/>
      <c r="D4541" s="48" t="n"/>
      <c r="E4541" s="48" t="n"/>
      <c r="F4541" s="48" t="n"/>
      <c r="G4541" s="49" t="n"/>
      <c r="H4541" s="48" t="n"/>
      <c r="I4541" s="50" t="n"/>
      <c r="J4541" s="48" t="n"/>
      <c r="K4541" s="48" t="n"/>
      <c r="L4541" s="48" t="n"/>
      <c r="M4541" s="48" t="n"/>
      <c r="N4541" s="48" t="n"/>
      <c r="O4541" s="51">
        <f>IF(AND(B4541="",G4541="",C4541="",D4541="",J4541=""),"",IF(B4541="","⚠ Falta fecha",IF(G4541="","⚠ Falta monto",IF(Q4541="","⚠ Falta cuenta",IF(ISNA(MATCH(Q4541,ctaNombre,0)),"⚠ Cuenta no registrada",IF(AND(OR(P4541="Gasto",P4541="Reembolso"),D4541=""),"⚠ Falta categoría",IF(AND(D4541&lt;&gt;"",E4541&lt;&gt;"",ISNA(MATCH(D4541&amp;"|"&amp;E4541,catClave,0))),"⚠ Subcategoría no corresponde",IF(AND(OR(P4541="Transferencia",P4541="Pago tarjeta"),K4541=""),"⚠ Falta cuenta destino",IF(AND(K4541&lt;&gt;"",P4541&lt;&gt;"Transferencia",P4541&lt;&gt;"Pago tarjeta"),"⚠ Destino solo aplica a transferencias",IF(AND(K4541&lt;&gt;"",K4541=Q4541),"⚠ Origen igual a destino",IF(AND(K4541&lt;&gt;"",ISNA(MATCH(K4541,ctaNombre,0))),"⚠ Destino no registrado",IF(AND(P4541="Pago tarjeta",AE4541&lt;&gt;"Tarjeta de crédito"),"⚠ El destino debe ser tarjeta de crédito",IF(AND(P4541="Gasto",E4541="Depósitos y retiros"),"⚠ Usa tipo Transferencia",IF(AND(P4541="Resultado trading",AD4541&lt;&gt;"Cuenta de trading"),"⚠ Usa una cuenta de trading",IF(AND(G4541&lt;=0,P4541&lt;&gt;"Ajuste",P4541&lt;&gt;"Resultado trading"),"⚠ El monto debe ser positivo","✓")))))))))))))))</f>
        <v/>
      </c>
      <c r="P4541" s="52">
        <f>IF(OR(B4541="",G4541=""),"",IF(C4541="","Gasto",C4541))</f>
        <v/>
      </c>
      <c r="Q4541" s="52">
        <f>IF(P4541="","",IF(J4541&lt;&gt;"",J4541,CuentaPred&amp;""))</f>
        <v/>
      </c>
      <c r="R4541" s="52">
        <f>IF(P4541="","",IF(ISNUMBER(I4541),I4541,TasaUSD))</f>
        <v/>
      </c>
      <c r="S4541" s="53">
        <f>IF(P4541="","",IF(H4541="USD",G4541*R4541,G4541))</f>
        <v/>
      </c>
      <c r="T4541" s="53">
        <f>IF(P4541="","",IF(H4541="USD",G4541,IF(R4541&gt;0,G4541/R4541,0)))</f>
        <v/>
      </c>
      <c r="U4541" s="53">
        <f>IF(P4541="","",IF(P4541="Gasto",S4541,IF(P4541="Reembolso",-S4541,0)))</f>
        <v/>
      </c>
      <c r="V4541" s="53">
        <f>IF(P4541="","",IF(P4541="Ingreso",S4541,0))</f>
        <v/>
      </c>
      <c r="W4541" s="53">
        <f>IF(P4541="","",IF(P4541="Resultado trading",S4541,0))</f>
        <v/>
      </c>
      <c r="X4541" s="52">
        <f>IF(OR(P4541="Gasto",P4541="Reembolso"),IF(M4541&lt;&gt;"",M4541,IFERROR(INDEX(catClasif,MATCH(D4541&amp;"|"&amp;E4541,catClave,0))&amp;"","Variable")),"")</f>
        <v/>
      </c>
      <c r="Y4541" s="52">
        <f>IF(P4541="","",IFERROR(INDEX(catGrupo,MATCH(D4541&amp;"|"&amp;E4541,catClave,0))&amp;"",""))</f>
        <v/>
      </c>
      <c r="Z4541" s="52">
        <f>IF(P4541="","",WEEKDAY(B4541,2))</f>
        <v/>
      </c>
      <c r="AA4541" s="52">
        <f>IF(P4541="","",IF(AND(P4541="Gasto",X4541="Variable",D4541&lt;&gt;catTrading,S4541&gt;0,S4541&lt;=Umbral),1,0))</f>
        <v/>
      </c>
      <c r="AB4541" s="52">
        <f>IF(OR(P4541="",Q4541=""),"",IFERROR(IF(INDEX(ctaVinc,MATCH(Q4541,ctaNombre,0))&amp;""&lt;&gt;"",INDEX(ctaVinc,MATCH(Q4541,ctaNombre,0))&amp;"",Q4541),Q4541))</f>
        <v/>
      </c>
      <c r="AC4541" s="52">
        <f>IF(OR(K4541="",AND(P4541&lt;&gt;"Transferencia",P4541&lt;&gt;"Pago tarjeta")),"",IFERROR(IF(INDEX(ctaVinc,MATCH(K4541,ctaNombre,0))&amp;""&lt;&gt;"",INDEX(ctaVinc,MATCH(K4541,ctaNombre,0))&amp;"",K4541),K4541))</f>
        <v/>
      </c>
      <c r="AD4541" s="52">
        <f>IF(AB4541="","",IFERROR(INDEX(ctaTipo,MATCH(AB4541,ctaNombre,0))&amp;"",""))</f>
        <v/>
      </c>
      <c r="AE4541" s="52">
        <f>IF(AC4541="","",IFERROR(INDEX(ctaTipo,MATCH(AC4541,ctaNombre,0))&amp;"",""))</f>
        <v/>
      </c>
      <c r="AF4541" s="53">
        <f>IF(OR(P4541="",AB4541=""),"",IF(OR(P4541="Gasto",P4541="Transferencia",P4541="Pago tarjeta"),-1,1)*IF(IFERROR(INDEX(ctaMoneda,MATCH(AB4541,ctaNombre,0))&amp;"","DOP")="USD",T4541,S4541))</f>
        <v/>
      </c>
      <c r="AG4541" s="53">
        <f>IF(AC4541="","",IF(IFERROR(INDEX(ctaMoneda,MATCH(AC4541,ctaNombre,0))&amp;"","DOP")="USD",T4541,S4541))</f>
        <v/>
      </c>
      <c r="AH4541" s="53">
        <f>IF(P4541="","",IF(AND(AD4541&lt;&gt;"",COUNTIFS(tcTipo,AD4541,tcLiq,"Sí")&gt;0),IF(OR(P4541="Gasto",P4541="Transferencia",P4541="Pago tarjeta"),-1,1)*S4541,0)+IF(AND(AE4541&lt;&gt;"",COUNTIFS(tcTipo,AE4541,tcLiq,"Sí")&gt;0),S4541,0))</f>
        <v/>
      </c>
      <c r="AI4541" s="52">
        <f>IF(OR(L4541="",P4541=""),"",IF(COUNTIFS(L$6:L4541,L4541,P$6:P4541,"?*")=1,MAX(AI$5:AI4540)+1,""))</f>
        <v/>
      </c>
    </row>
    <row r="4542">
      <c r="B4542" s="47" t="n"/>
      <c r="C4542" s="48" t="n"/>
      <c r="D4542" s="48" t="n"/>
      <c r="E4542" s="48" t="n"/>
      <c r="F4542" s="48" t="n"/>
      <c r="G4542" s="49" t="n"/>
      <c r="H4542" s="48" t="n"/>
      <c r="I4542" s="50" t="n"/>
      <c r="J4542" s="48" t="n"/>
      <c r="K4542" s="48" t="n"/>
      <c r="L4542" s="48" t="n"/>
      <c r="M4542" s="48" t="n"/>
      <c r="N4542" s="48" t="n"/>
      <c r="O4542" s="51">
        <f>IF(AND(B4542="",G4542="",C4542="",D4542="",J4542=""),"",IF(B4542="","⚠ Falta fecha",IF(G4542="","⚠ Falta monto",IF(Q4542="","⚠ Falta cuenta",IF(ISNA(MATCH(Q4542,ctaNombre,0)),"⚠ Cuenta no registrada",IF(AND(OR(P4542="Gasto",P4542="Reembolso"),D4542=""),"⚠ Falta categoría",IF(AND(D4542&lt;&gt;"",E4542&lt;&gt;"",ISNA(MATCH(D4542&amp;"|"&amp;E4542,catClave,0))),"⚠ Subcategoría no corresponde",IF(AND(OR(P4542="Transferencia",P4542="Pago tarjeta"),K4542=""),"⚠ Falta cuenta destino",IF(AND(K4542&lt;&gt;"",P4542&lt;&gt;"Transferencia",P4542&lt;&gt;"Pago tarjeta"),"⚠ Destino solo aplica a transferencias",IF(AND(K4542&lt;&gt;"",K4542=Q4542),"⚠ Origen igual a destino",IF(AND(K4542&lt;&gt;"",ISNA(MATCH(K4542,ctaNombre,0))),"⚠ Destino no registrado",IF(AND(P4542="Pago tarjeta",AE4542&lt;&gt;"Tarjeta de crédito"),"⚠ El destino debe ser tarjeta de crédito",IF(AND(P4542="Gasto",E4542="Depósitos y retiros"),"⚠ Usa tipo Transferencia",IF(AND(P4542="Resultado trading",AD4542&lt;&gt;"Cuenta de trading"),"⚠ Usa una cuenta de trading",IF(AND(G4542&lt;=0,P4542&lt;&gt;"Ajuste",P4542&lt;&gt;"Resultado trading"),"⚠ El monto debe ser positivo","✓")))))))))))))))</f>
        <v/>
      </c>
      <c r="P4542" s="52">
        <f>IF(OR(B4542="",G4542=""),"",IF(C4542="","Gasto",C4542))</f>
        <v/>
      </c>
      <c r="Q4542" s="52">
        <f>IF(P4542="","",IF(J4542&lt;&gt;"",J4542,CuentaPred&amp;""))</f>
        <v/>
      </c>
      <c r="R4542" s="52">
        <f>IF(P4542="","",IF(ISNUMBER(I4542),I4542,TasaUSD))</f>
        <v/>
      </c>
      <c r="S4542" s="53">
        <f>IF(P4542="","",IF(H4542="USD",G4542*R4542,G4542))</f>
        <v/>
      </c>
      <c r="T4542" s="53">
        <f>IF(P4542="","",IF(H4542="USD",G4542,IF(R4542&gt;0,G4542/R4542,0)))</f>
        <v/>
      </c>
      <c r="U4542" s="53">
        <f>IF(P4542="","",IF(P4542="Gasto",S4542,IF(P4542="Reembolso",-S4542,0)))</f>
        <v/>
      </c>
      <c r="V4542" s="53">
        <f>IF(P4542="","",IF(P4542="Ingreso",S4542,0))</f>
        <v/>
      </c>
      <c r="W4542" s="53">
        <f>IF(P4542="","",IF(P4542="Resultado trading",S4542,0))</f>
        <v/>
      </c>
      <c r="X4542" s="52">
        <f>IF(OR(P4542="Gasto",P4542="Reembolso"),IF(M4542&lt;&gt;"",M4542,IFERROR(INDEX(catClasif,MATCH(D4542&amp;"|"&amp;E4542,catClave,0))&amp;"","Variable")),"")</f>
        <v/>
      </c>
      <c r="Y4542" s="52">
        <f>IF(P4542="","",IFERROR(INDEX(catGrupo,MATCH(D4542&amp;"|"&amp;E4542,catClave,0))&amp;"",""))</f>
        <v/>
      </c>
      <c r="Z4542" s="52">
        <f>IF(P4542="","",WEEKDAY(B4542,2))</f>
        <v/>
      </c>
      <c r="AA4542" s="52">
        <f>IF(P4542="","",IF(AND(P4542="Gasto",X4542="Variable",D4542&lt;&gt;catTrading,S4542&gt;0,S4542&lt;=Umbral),1,0))</f>
        <v/>
      </c>
      <c r="AB4542" s="52">
        <f>IF(OR(P4542="",Q4542=""),"",IFERROR(IF(INDEX(ctaVinc,MATCH(Q4542,ctaNombre,0))&amp;""&lt;&gt;"",INDEX(ctaVinc,MATCH(Q4542,ctaNombre,0))&amp;"",Q4542),Q4542))</f>
        <v/>
      </c>
      <c r="AC4542" s="52">
        <f>IF(OR(K4542="",AND(P4542&lt;&gt;"Transferencia",P4542&lt;&gt;"Pago tarjeta")),"",IFERROR(IF(INDEX(ctaVinc,MATCH(K4542,ctaNombre,0))&amp;""&lt;&gt;"",INDEX(ctaVinc,MATCH(K4542,ctaNombre,0))&amp;"",K4542),K4542))</f>
        <v/>
      </c>
      <c r="AD4542" s="52">
        <f>IF(AB4542="","",IFERROR(INDEX(ctaTipo,MATCH(AB4542,ctaNombre,0))&amp;"",""))</f>
        <v/>
      </c>
      <c r="AE4542" s="52">
        <f>IF(AC4542="","",IFERROR(INDEX(ctaTipo,MATCH(AC4542,ctaNombre,0))&amp;"",""))</f>
        <v/>
      </c>
      <c r="AF4542" s="53">
        <f>IF(OR(P4542="",AB4542=""),"",IF(OR(P4542="Gasto",P4542="Transferencia",P4542="Pago tarjeta"),-1,1)*IF(IFERROR(INDEX(ctaMoneda,MATCH(AB4542,ctaNombre,0))&amp;"","DOP")="USD",T4542,S4542))</f>
        <v/>
      </c>
      <c r="AG4542" s="53">
        <f>IF(AC4542="","",IF(IFERROR(INDEX(ctaMoneda,MATCH(AC4542,ctaNombre,0))&amp;"","DOP")="USD",T4542,S4542))</f>
        <v/>
      </c>
      <c r="AH4542" s="53">
        <f>IF(P4542="","",IF(AND(AD4542&lt;&gt;"",COUNTIFS(tcTipo,AD4542,tcLiq,"Sí")&gt;0),IF(OR(P4542="Gasto",P4542="Transferencia",P4542="Pago tarjeta"),-1,1)*S4542,0)+IF(AND(AE4542&lt;&gt;"",COUNTIFS(tcTipo,AE4542,tcLiq,"Sí")&gt;0),S4542,0))</f>
        <v/>
      </c>
      <c r="AI4542" s="52">
        <f>IF(OR(L4542="",P4542=""),"",IF(COUNTIFS(L$6:L4542,L4542,P$6:P4542,"?*")=1,MAX(AI$5:AI4541)+1,""))</f>
        <v/>
      </c>
    </row>
    <row r="4543">
      <c r="B4543" s="47" t="n"/>
      <c r="C4543" s="48" t="n"/>
      <c r="D4543" s="48" t="n"/>
      <c r="E4543" s="48" t="n"/>
      <c r="F4543" s="48" t="n"/>
      <c r="G4543" s="49" t="n"/>
      <c r="H4543" s="48" t="n"/>
      <c r="I4543" s="50" t="n"/>
      <c r="J4543" s="48" t="n"/>
      <c r="K4543" s="48" t="n"/>
      <c r="L4543" s="48" t="n"/>
      <c r="M4543" s="48" t="n"/>
      <c r="N4543" s="48" t="n"/>
      <c r="O4543" s="51">
        <f>IF(AND(B4543="",G4543="",C4543="",D4543="",J4543=""),"",IF(B4543="","⚠ Falta fecha",IF(G4543="","⚠ Falta monto",IF(Q4543="","⚠ Falta cuenta",IF(ISNA(MATCH(Q4543,ctaNombre,0)),"⚠ Cuenta no registrada",IF(AND(OR(P4543="Gasto",P4543="Reembolso"),D4543=""),"⚠ Falta categoría",IF(AND(D4543&lt;&gt;"",E4543&lt;&gt;"",ISNA(MATCH(D4543&amp;"|"&amp;E4543,catClave,0))),"⚠ Subcategoría no corresponde",IF(AND(OR(P4543="Transferencia",P4543="Pago tarjeta"),K4543=""),"⚠ Falta cuenta destino",IF(AND(K4543&lt;&gt;"",P4543&lt;&gt;"Transferencia",P4543&lt;&gt;"Pago tarjeta"),"⚠ Destino solo aplica a transferencias",IF(AND(K4543&lt;&gt;"",K4543=Q4543),"⚠ Origen igual a destino",IF(AND(K4543&lt;&gt;"",ISNA(MATCH(K4543,ctaNombre,0))),"⚠ Destino no registrado",IF(AND(P4543="Pago tarjeta",AE4543&lt;&gt;"Tarjeta de crédito"),"⚠ El destino debe ser tarjeta de crédito",IF(AND(P4543="Gasto",E4543="Depósitos y retiros"),"⚠ Usa tipo Transferencia",IF(AND(P4543="Resultado trading",AD4543&lt;&gt;"Cuenta de trading"),"⚠ Usa una cuenta de trading",IF(AND(G4543&lt;=0,P4543&lt;&gt;"Ajuste",P4543&lt;&gt;"Resultado trading"),"⚠ El monto debe ser positivo","✓")))))))))))))))</f>
        <v/>
      </c>
      <c r="P4543" s="52">
        <f>IF(OR(B4543="",G4543=""),"",IF(C4543="","Gasto",C4543))</f>
        <v/>
      </c>
      <c r="Q4543" s="52">
        <f>IF(P4543="","",IF(J4543&lt;&gt;"",J4543,CuentaPred&amp;""))</f>
        <v/>
      </c>
      <c r="R4543" s="52">
        <f>IF(P4543="","",IF(ISNUMBER(I4543),I4543,TasaUSD))</f>
        <v/>
      </c>
      <c r="S4543" s="53">
        <f>IF(P4543="","",IF(H4543="USD",G4543*R4543,G4543))</f>
        <v/>
      </c>
      <c r="T4543" s="53">
        <f>IF(P4543="","",IF(H4543="USD",G4543,IF(R4543&gt;0,G4543/R4543,0)))</f>
        <v/>
      </c>
      <c r="U4543" s="53">
        <f>IF(P4543="","",IF(P4543="Gasto",S4543,IF(P4543="Reembolso",-S4543,0)))</f>
        <v/>
      </c>
      <c r="V4543" s="53">
        <f>IF(P4543="","",IF(P4543="Ingreso",S4543,0))</f>
        <v/>
      </c>
      <c r="W4543" s="53">
        <f>IF(P4543="","",IF(P4543="Resultado trading",S4543,0))</f>
        <v/>
      </c>
      <c r="X4543" s="52">
        <f>IF(OR(P4543="Gasto",P4543="Reembolso"),IF(M4543&lt;&gt;"",M4543,IFERROR(INDEX(catClasif,MATCH(D4543&amp;"|"&amp;E4543,catClave,0))&amp;"","Variable")),"")</f>
        <v/>
      </c>
      <c r="Y4543" s="52">
        <f>IF(P4543="","",IFERROR(INDEX(catGrupo,MATCH(D4543&amp;"|"&amp;E4543,catClave,0))&amp;"",""))</f>
        <v/>
      </c>
      <c r="Z4543" s="52">
        <f>IF(P4543="","",WEEKDAY(B4543,2))</f>
        <v/>
      </c>
      <c r="AA4543" s="52">
        <f>IF(P4543="","",IF(AND(P4543="Gasto",X4543="Variable",D4543&lt;&gt;catTrading,S4543&gt;0,S4543&lt;=Umbral),1,0))</f>
        <v/>
      </c>
      <c r="AB4543" s="52">
        <f>IF(OR(P4543="",Q4543=""),"",IFERROR(IF(INDEX(ctaVinc,MATCH(Q4543,ctaNombre,0))&amp;""&lt;&gt;"",INDEX(ctaVinc,MATCH(Q4543,ctaNombre,0))&amp;"",Q4543),Q4543))</f>
        <v/>
      </c>
      <c r="AC4543" s="52">
        <f>IF(OR(K4543="",AND(P4543&lt;&gt;"Transferencia",P4543&lt;&gt;"Pago tarjeta")),"",IFERROR(IF(INDEX(ctaVinc,MATCH(K4543,ctaNombre,0))&amp;""&lt;&gt;"",INDEX(ctaVinc,MATCH(K4543,ctaNombre,0))&amp;"",K4543),K4543))</f>
        <v/>
      </c>
      <c r="AD4543" s="52">
        <f>IF(AB4543="","",IFERROR(INDEX(ctaTipo,MATCH(AB4543,ctaNombre,0))&amp;"",""))</f>
        <v/>
      </c>
      <c r="AE4543" s="52">
        <f>IF(AC4543="","",IFERROR(INDEX(ctaTipo,MATCH(AC4543,ctaNombre,0))&amp;"",""))</f>
        <v/>
      </c>
      <c r="AF4543" s="53">
        <f>IF(OR(P4543="",AB4543=""),"",IF(OR(P4543="Gasto",P4543="Transferencia",P4543="Pago tarjeta"),-1,1)*IF(IFERROR(INDEX(ctaMoneda,MATCH(AB4543,ctaNombre,0))&amp;"","DOP")="USD",T4543,S4543))</f>
        <v/>
      </c>
      <c r="AG4543" s="53">
        <f>IF(AC4543="","",IF(IFERROR(INDEX(ctaMoneda,MATCH(AC4543,ctaNombre,0))&amp;"","DOP")="USD",T4543,S4543))</f>
        <v/>
      </c>
      <c r="AH4543" s="53">
        <f>IF(P4543="","",IF(AND(AD4543&lt;&gt;"",COUNTIFS(tcTipo,AD4543,tcLiq,"Sí")&gt;0),IF(OR(P4543="Gasto",P4543="Transferencia",P4543="Pago tarjeta"),-1,1)*S4543,0)+IF(AND(AE4543&lt;&gt;"",COUNTIFS(tcTipo,AE4543,tcLiq,"Sí")&gt;0),S4543,0))</f>
        <v/>
      </c>
      <c r="AI4543" s="52">
        <f>IF(OR(L4543="",P4543=""),"",IF(COUNTIFS(L$6:L4543,L4543,P$6:P4543,"?*")=1,MAX(AI$5:AI4542)+1,""))</f>
        <v/>
      </c>
    </row>
    <row r="4544">
      <c r="B4544" s="47" t="n"/>
      <c r="C4544" s="48" t="n"/>
      <c r="D4544" s="48" t="n"/>
      <c r="E4544" s="48" t="n"/>
      <c r="F4544" s="48" t="n"/>
      <c r="G4544" s="49" t="n"/>
      <c r="H4544" s="48" t="n"/>
      <c r="I4544" s="50" t="n"/>
      <c r="J4544" s="48" t="n"/>
      <c r="K4544" s="48" t="n"/>
      <c r="L4544" s="48" t="n"/>
      <c r="M4544" s="48" t="n"/>
      <c r="N4544" s="48" t="n"/>
      <c r="O4544" s="51">
        <f>IF(AND(B4544="",G4544="",C4544="",D4544="",J4544=""),"",IF(B4544="","⚠ Falta fecha",IF(G4544="","⚠ Falta monto",IF(Q4544="","⚠ Falta cuenta",IF(ISNA(MATCH(Q4544,ctaNombre,0)),"⚠ Cuenta no registrada",IF(AND(OR(P4544="Gasto",P4544="Reembolso"),D4544=""),"⚠ Falta categoría",IF(AND(D4544&lt;&gt;"",E4544&lt;&gt;"",ISNA(MATCH(D4544&amp;"|"&amp;E4544,catClave,0))),"⚠ Subcategoría no corresponde",IF(AND(OR(P4544="Transferencia",P4544="Pago tarjeta"),K4544=""),"⚠ Falta cuenta destino",IF(AND(K4544&lt;&gt;"",P4544&lt;&gt;"Transferencia",P4544&lt;&gt;"Pago tarjeta"),"⚠ Destino solo aplica a transferencias",IF(AND(K4544&lt;&gt;"",K4544=Q4544),"⚠ Origen igual a destino",IF(AND(K4544&lt;&gt;"",ISNA(MATCH(K4544,ctaNombre,0))),"⚠ Destino no registrado",IF(AND(P4544="Pago tarjeta",AE4544&lt;&gt;"Tarjeta de crédito"),"⚠ El destino debe ser tarjeta de crédito",IF(AND(P4544="Gasto",E4544="Depósitos y retiros"),"⚠ Usa tipo Transferencia",IF(AND(P4544="Resultado trading",AD4544&lt;&gt;"Cuenta de trading"),"⚠ Usa una cuenta de trading",IF(AND(G4544&lt;=0,P4544&lt;&gt;"Ajuste",P4544&lt;&gt;"Resultado trading"),"⚠ El monto debe ser positivo","✓")))))))))))))))</f>
        <v/>
      </c>
      <c r="P4544" s="52">
        <f>IF(OR(B4544="",G4544=""),"",IF(C4544="","Gasto",C4544))</f>
        <v/>
      </c>
      <c r="Q4544" s="52">
        <f>IF(P4544="","",IF(J4544&lt;&gt;"",J4544,CuentaPred&amp;""))</f>
        <v/>
      </c>
      <c r="R4544" s="52">
        <f>IF(P4544="","",IF(ISNUMBER(I4544),I4544,TasaUSD))</f>
        <v/>
      </c>
      <c r="S4544" s="53">
        <f>IF(P4544="","",IF(H4544="USD",G4544*R4544,G4544))</f>
        <v/>
      </c>
      <c r="T4544" s="53">
        <f>IF(P4544="","",IF(H4544="USD",G4544,IF(R4544&gt;0,G4544/R4544,0)))</f>
        <v/>
      </c>
      <c r="U4544" s="53">
        <f>IF(P4544="","",IF(P4544="Gasto",S4544,IF(P4544="Reembolso",-S4544,0)))</f>
        <v/>
      </c>
      <c r="V4544" s="53">
        <f>IF(P4544="","",IF(P4544="Ingreso",S4544,0))</f>
        <v/>
      </c>
      <c r="W4544" s="53">
        <f>IF(P4544="","",IF(P4544="Resultado trading",S4544,0))</f>
        <v/>
      </c>
      <c r="X4544" s="52">
        <f>IF(OR(P4544="Gasto",P4544="Reembolso"),IF(M4544&lt;&gt;"",M4544,IFERROR(INDEX(catClasif,MATCH(D4544&amp;"|"&amp;E4544,catClave,0))&amp;"","Variable")),"")</f>
        <v/>
      </c>
      <c r="Y4544" s="52">
        <f>IF(P4544="","",IFERROR(INDEX(catGrupo,MATCH(D4544&amp;"|"&amp;E4544,catClave,0))&amp;"",""))</f>
        <v/>
      </c>
      <c r="Z4544" s="52">
        <f>IF(P4544="","",WEEKDAY(B4544,2))</f>
        <v/>
      </c>
      <c r="AA4544" s="52">
        <f>IF(P4544="","",IF(AND(P4544="Gasto",X4544="Variable",D4544&lt;&gt;catTrading,S4544&gt;0,S4544&lt;=Umbral),1,0))</f>
        <v/>
      </c>
      <c r="AB4544" s="52">
        <f>IF(OR(P4544="",Q4544=""),"",IFERROR(IF(INDEX(ctaVinc,MATCH(Q4544,ctaNombre,0))&amp;""&lt;&gt;"",INDEX(ctaVinc,MATCH(Q4544,ctaNombre,0))&amp;"",Q4544),Q4544))</f>
        <v/>
      </c>
      <c r="AC4544" s="52">
        <f>IF(OR(K4544="",AND(P4544&lt;&gt;"Transferencia",P4544&lt;&gt;"Pago tarjeta")),"",IFERROR(IF(INDEX(ctaVinc,MATCH(K4544,ctaNombre,0))&amp;""&lt;&gt;"",INDEX(ctaVinc,MATCH(K4544,ctaNombre,0))&amp;"",K4544),K4544))</f>
        <v/>
      </c>
      <c r="AD4544" s="52">
        <f>IF(AB4544="","",IFERROR(INDEX(ctaTipo,MATCH(AB4544,ctaNombre,0))&amp;"",""))</f>
        <v/>
      </c>
      <c r="AE4544" s="52">
        <f>IF(AC4544="","",IFERROR(INDEX(ctaTipo,MATCH(AC4544,ctaNombre,0))&amp;"",""))</f>
        <v/>
      </c>
      <c r="AF4544" s="53">
        <f>IF(OR(P4544="",AB4544=""),"",IF(OR(P4544="Gasto",P4544="Transferencia",P4544="Pago tarjeta"),-1,1)*IF(IFERROR(INDEX(ctaMoneda,MATCH(AB4544,ctaNombre,0))&amp;"","DOP")="USD",T4544,S4544))</f>
        <v/>
      </c>
      <c r="AG4544" s="53">
        <f>IF(AC4544="","",IF(IFERROR(INDEX(ctaMoneda,MATCH(AC4544,ctaNombre,0))&amp;"","DOP")="USD",T4544,S4544))</f>
        <v/>
      </c>
      <c r="AH4544" s="53">
        <f>IF(P4544="","",IF(AND(AD4544&lt;&gt;"",COUNTIFS(tcTipo,AD4544,tcLiq,"Sí")&gt;0),IF(OR(P4544="Gasto",P4544="Transferencia",P4544="Pago tarjeta"),-1,1)*S4544,0)+IF(AND(AE4544&lt;&gt;"",COUNTIFS(tcTipo,AE4544,tcLiq,"Sí")&gt;0),S4544,0))</f>
        <v/>
      </c>
      <c r="AI4544" s="52">
        <f>IF(OR(L4544="",P4544=""),"",IF(COUNTIFS(L$6:L4544,L4544,P$6:P4544,"?*")=1,MAX(AI$5:AI4543)+1,""))</f>
        <v/>
      </c>
    </row>
    <row r="4545">
      <c r="B4545" s="47" t="n"/>
      <c r="C4545" s="48" t="n"/>
      <c r="D4545" s="48" t="n"/>
      <c r="E4545" s="48" t="n"/>
      <c r="F4545" s="48" t="n"/>
      <c r="G4545" s="49" t="n"/>
      <c r="H4545" s="48" t="n"/>
      <c r="I4545" s="50" t="n"/>
      <c r="J4545" s="48" t="n"/>
      <c r="K4545" s="48" t="n"/>
      <c r="L4545" s="48" t="n"/>
      <c r="M4545" s="48" t="n"/>
      <c r="N4545" s="48" t="n"/>
      <c r="O4545" s="51">
        <f>IF(AND(B4545="",G4545="",C4545="",D4545="",J4545=""),"",IF(B4545="","⚠ Falta fecha",IF(G4545="","⚠ Falta monto",IF(Q4545="","⚠ Falta cuenta",IF(ISNA(MATCH(Q4545,ctaNombre,0)),"⚠ Cuenta no registrada",IF(AND(OR(P4545="Gasto",P4545="Reembolso"),D4545=""),"⚠ Falta categoría",IF(AND(D4545&lt;&gt;"",E4545&lt;&gt;"",ISNA(MATCH(D4545&amp;"|"&amp;E4545,catClave,0))),"⚠ Subcategoría no corresponde",IF(AND(OR(P4545="Transferencia",P4545="Pago tarjeta"),K4545=""),"⚠ Falta cuenta destino",IF(AND(K4545&lt;&gt;"",P4545&lt;&gt;"Transferencia",P4545&lt;&gt;"Pago tarjeta"),"⚠ Destino solo aplica a transferencias",IF(AND(K4545&lt;&gt;"",K4545=Q4545),"⚠ Origen igual a destino",IF(AND(K4545&lt;&gt;"",ISNA(MATCH(K4545,ctaNombre,0))),"⚠ Destino no registrado",IF(AND(P4545="Pago tarjeta",AE4545&lt;&gt;"Tarjeta de crédito"),"⚠ El destino debe ser tarjeta de crédito",IF(AND(P4545="Gasto",E4545="Depósitos y retiros"),"⚠ Usa tipo Transferencia",IF(AND(P4545="Resultado trading",AD4545&lt;&gt;"Cuenta de trading"),"⚠ Usa una cuenta de trading",IF(AND(G4545&lt;=0,P4545&lt;&gt;"Ajuste",P4545&lt;&gt;"Resultado trading"),"⚠ El monto debe ser positivo","✓")))))))))))))))</f>
        <v/>
      </c>
      <c r="P4545" s="52">
        <f>IF(OR(B4545="",G4545=""),"",IF(C4545="","Gasto",C4545))</f>
        <v/>
      </c>
      <c r="Q4545" s="52">
        <f>IF(P4545="","",IF(J4545&lt;&gt;"",J4545,CuentaPred&amp;""))</f>
        <v/>
      </c>
      <c r="R4545" s="52">
        <f>IF(P4545="","",IF(ISNUMBER(I4545),I4545,TasaUSD))</f>
        <v/>
      </c>
      <c r="S4545" s="53">
        <f>IF(P4545="","",IF(H4545="USD",G4545*R4545,G4545))</f>
        <v/>
      </c>
      <c r="T4545" s="53">
        <f>IF(P4545="","",IF(H4545="USD",G4545,IF(R4545&gt;0,G4545/R4545,0)))</f>
        <v/>
      </c>
      <c r="U4545" s="53">
        <f>IF(P4545="","",IF(P4545="Gasto",S4545,IF(P4545="Reembolso",-S4545,0)))</f>
        <v/>
      </c>
      <c r="V4545" s="53">
        <f>IF(P4545="","",IF(P4545="Ingreso",S4545,0))</f>
        <v/>
      </c>
      <c r="W4545" s="53">
        <f>IF(P4545="","",IF(P4545="Resultado trading",S4545,0))</f>
        <v/>
      </c>
      <c r="X4545" s="52">
        <f>IF(OR(P4545="Gasto",P4545="Reembolso"),IF(M4545&lt;&gt;"",M4545,IFERROR(INDEX(catClasif,MATCH(D4545&amp;"|"&amp;E4545,catClave,0))&amp;"","Variable")),"")</f>
        <v/>
      </c>
      <c r="Y4545" s="52">
        <f>IF(P4545="","",IFERROR(INDEX(catGrupo,MATCH(D4545&amp;"|"&amp;E4545,catClave,0))&amp;"",""))</f>
        <v/>
      </c>
      <c r="Z4545" s="52">
        <f>IF(P4545="","",WEEKDAY(B4545,2))</f>
        <v/>
      </c>
      <c r="AA4545" s="52">
        <f>IF(P4545="","",IF(AND(P4545="Gasto",X4545="Variable",D4545&lt;&gt;catTrading,S4545&gt;0,S4545&lt;=Umbral),1,0))</f>
        <v/>
      </c>
      <c r="AB4545" s="52">
        <f>IF(OR(P4545="",Q4545=""),"",IFERROR(IF(INDEX(ctaVinc,MATCH(Q4545,ctaNombre,0))&amp;""&lt;&gt;"",INDEX(ctaVinc,MATCH(Q4545,ctaNombre,0))&amp;"",Q4545),Q4545))</f>
        <v/>
      </c>
      <c r="AC4545" s="52">
        <f>IF(OR(K4545="",AND(P4545&lt;&gt;"Transferencia",P4545&lt;&gt;"Pago tarjeta")),"",IFERROR(IF(INDEX(ctaVinc,MATCH(K4545,ctaNombre,0))&amp;""&lt;&gt;"",INDEX(ctaVinc,MATCH(K4545,ctaNombre,0))&amp;"",K4545),K4545))</f>
        <v/>
      </c>
      <c r="AD4545" s="52">
        <f>IF(AB4545="","",IFERROR(INDEX(ctaTipo,MATCH(AB4545,ctaNombre,0))&amp;"",""))</f>
        <v/>
      </c>
      <c r="AE4545" s="52">
        <f>IF(AC4545="","",IFERROR(INDEX(ctaTipo,MATCH(AC4545,ctaNombre,0))&amp;"",""))</f>
        <v/>
      </c>
      <c r="AF4545" s="53">
        <f>IF(OR(P4545="",AB4545=""),"",IF(OR(P4545="Gasto",P4545="Transferencia",P4545="Pago tarjeta"),-1,1)*IF(IFERROR(INDEX(ctaMoneda,MATCH(AB4545,ctaNombre,0))&amp;"","DOP")="USD",T4545,S4545))</f>
        <v/>
      </c>
      <c r="AG4545" s="53">
        <f>IF(AC4545="","",IF(IFERROR(INDEX(ctaMoneda,MATCH(AC4545,ctaNombre,0))&amp;"","DOP")="USD",T4545,S4545))</f>
        <v/>
      </c>
      <c r="AH4545" s="53">
        <f>IF(P4545="","",IF(AND(AD4545&lt;&gt;"",COUNTIFS(tcTipo,AD4545,tcLiq,"Sí")&gt;0),IF(OR(P4545="Gasto",P4545="Transferencia",P4545="Pago tarjeta"),-1,1)*S4545,0)+IF(AND(AE4545&lt;&gt;"",COUNTIFS(tcTipo,AE4545,tcLiq,"Sí")&gt;0),S4545,0))</f>
        <v/>
      </c>
      <c r="AI4545" s="52">
        <f>IF(OR(L4545="",P4545=""),"",IF(COUNTIFS(L$6:L4545,L4545,P$6:P4545,"?*")=1,MAX(AI$5:AI4544)+1,""))</f>
        <v/>
      </c>
    </row>
    <row r="4546">
      <c r="B4546" s="47" t="n"/>
      <c r="C4546" s="48" t="n"/>
      <c r="D4546" s="48" t="n"/>
      <c r="E4546" s="48" t="n"/>
      <c r="F4546" s="48" t="n"/>
      <c r="G4546" s="49" t="n"/>
      <c r="H4546" s="48" t="n"/>
      <c r="I4546" s="50" t="n"/>
      <c r="J4546" s="48" t="n"/>
      <c r="K4546" s="48" t="n"/>
      <c r="L4546" s="48" t="n"/>
      <c r="M4546" s="48" t="n"/>
      <c r="N4546" s="48" t="n"/>
      <c r="O4546" s="51">
        <f>IF(AND(B4546="",G4546="",C4546="",D4546="",J4546=""),"",IF(B4546="","⚠ Falta fecha",IF(G4546="","⚠ Falta monto",IF(Q4546="","⚠ Falta cuenta",IF(ISNA(MATCH(Q4546,ctaNombre,0)),"⚠ Cuenta no registrada",IF(AND(OR(P4546="Gasto",P4546="Reembolso"),D4546=""),"⚠ Falta categoría",IF(AND(D4546&lt;&gt;"",E4546&lt;&gt;"",ISNA(MATCH(D4546&amp;"|"&amp;E4546,catClave,0))),"⚠ Subcategoría no corresponde",IF(AND(OR(P4546="Transferencia",P4546="Pago tarjeta"),K4546=""),"⚠ Falta cuenta destino",IF(AND(K4546&lt;&gt;"",P4546&lt;&gt;"Transferencia",P4546&lt;&gt;"Pago tarjeta"),"⚠ Destino solo aplica a transferencias",IF(AND(K4546&lt;&gt;"",K4546=Q4546),"⚠ Origen igual a destino",IF(AND(K4546&lt;&gt;"",ISNA(MATCH(K4546,ctaNombre,0))),"⚠ Destino no registrado",IF(AND(P4546="Pago tarjeta",AE4546&lt;&gt;"Tarjeta de crédito"),"⚠ El destino debe ser tarjeta de crédito",IF(AND(P4546="Gasto",E4546="Depósitos y retiros"),"⚠ Usa tipo Transferencia",IF(AND(P4546="Resultado trading",AD4546&lt;&gt;"Cuenta de trading"),"⚠ Usa una cuenta de trading",IF(AND(G4546&lt;=0,P4546&lt;&gt;"Ajuste",P4546&lt;&gt;"Resultado trading"),"⚠ El monto debe ser positivo","✓")))))))))))))))</f>
        <v/>
      </c>
      <c r="P4546" s="52">
        <f>IF(OR(B4546="",G4546=""),"",IF(C4546="","Gasto",C4546))</f>
        <v/>
      </c>
      <c r="Q4546" s="52">
        <f>IF(P4546="","",IF(J4546&lt;&gt;"",J4546,CuentaPred&amp;""))</f>
        <v/>
      </c>
      <c r="R4546" s="52">
        <f>IF(P4546="","",IF(ISNUMBER(I4546),I4546,TasaUSD))</f>
        <v/>
      </c>
      <c r="S4546" s="53">
        <f>IF(P4546="","",IF(H4546="USD",G4546*R4546,G4546))</f>
        <v/>
      </c>
      <c r="T4546" s="53">
        <f>IF(P4546="","",IF(H4546="USD",G4546,IF(R4546&gt;0,G4546/R4546,0)))</f>
        <v/>
      </c>
      <c r="U4546" s="53">
        <f>IF(P4546="","",IF(P4546="Gasto",S4546,IF(P4546="Reembolso",-S4546,0)))</f>
        <v/>
      </c>
      <c r="V4546" s="53">
        <f>IF(P4546="","",IF(P4546="Ingreso",S4546,0))</f>
        <v/>
      </c>
      <c r="W4546" s="53">
        <f>IF(P4546="","",IF(P4546="Resultado trading",S4546,0))</f>
        <v/>
      </c>
      <c r="X4546" s="52">
        <f>IF(OR(P4546="Gasto",P4546="Reembolso"),IF(M4546&lt;&gt;"",M4546,IFERROR(INDEX(catClasif,MATCH(D4546&amp;"|"&amp;E4546,catClave,0))&amp;"","Variable")),"")</f>
        <v/>
      </c>
      <c r="Y4546" s="52">
        <f>IF(P4546="","",IFERROR(INDEX(catGrupo,MATCH(D4546&amp;"|"&amp;E4546,catClave,0))&amp;"",""))</f>
        <v/>
      </c>
      <c r="Z4546" s="52">
        <f>IF(P4546="","",WEEKDAY(B4546,2))</f>
        <v/>
      </c>
      <c r="AA4546" s="52">
        <f>IF(P4546="","",IF(AND(P4546="Gasto",X4546="Variable",D4546&lt;&gt;catTrading,S4546&gt;0,S4546&lt;=Umbral),1,0))</f>
        <v/>
      </c>
      <c r="AB4546" s="52">
        <f>IF(OR(P4546="",Q4546=""),"",IFERROR(IF(INDEX(ctaVinc,MATCH(Q4546,ctaNombre,0))&amp;""&lt;&gt;"",INDEX(ctaVinc,MATCH(Q4546,ctaNombre,0))&amp;"",Q4546),Q4546))</f>
        <v/>
      </c>
      <c r="AC4546" s="52">
        <f>IF(OR(K4546="",AND(P4546&lt;&gt;"Transferencia",P4546&lt;&gt;"Pago tarjeta")),"",IFERROR(IF(INDEX(ctaVinc,MATCH(K4546,ctaNombre,0))&amp;""&lt;&gt;"",INDEX(ctaVinc,MATCH(K4546,ctaNombre,0))&amp;"",K4546),K4546))</f>
        <v/>
      </c>
      <c r="AD4546" s="52">
        <f>IF(AB4546="","",IFERROR(INDEX(ctaTipo,MATCH(AB4546,ctaNombre,0))&amp;"",""))</f>
        <v/>
      </c>
      <c r="AE4546" s="52">
        <f>IF(AC4546="","",IFERROR(INDEX(ctaTipo,MATCH(AC4546,ctaNombre,0))&amp;"",""))</f>
        <v/>
      </c>
      <c r="AF4546" s="53">
        <f>IF(OR(P4546="",AB4546=""),"",IF(OR(P4546="Gasto",P4546="Transferencia",P4546="Pago tarjeta"),-1,1)*IF(IFERROR(INDEX(ctaMoneda,MATCH(AB4546,ctaNombre,0))&amp;"","DOP")="USD",T4546,S4546))</f>
        <v/>
      </c>
      <c r="AG4546" s="53">
        <f>IF(AC4546="","",IF(IFERROR(INDEX(ctaMoneda,MATCH(AC4546,ctaNombre,0))&amp;"","DOP")="USD",T4546,S4546))</f>
        <v/>
      </c>
      <c r="AH4546" s="53">
        <f>IF(P4546="","",IF(AND(AD4546&lt;&gt;"",COUNTIFS(tcTipo,AD4546,tcLiq,"Sí")&gt;0),IF(OR(P4546="Gasto",P4546="Transferencia",P4546="Pago tarjeta"),-1,1)*S4546,0)+IF(AND(AE4546&lt;&gt;"",COUNTIFS(tcTipo,AE4546,tcLiq,"Sí")&gt;0),S4546,0))</f>
        <v/>
      </c>
      <c r="AI4546" s="52">
        <f>IF(OR(L4546="",P4546=""),"",IF(COUNTIFS(L$6:L4546,L4546,P$6:P4546,"?*")=1,MAX(AI$5:AI4545)+1,""))</f>
        <v/>
      </c>
    </row>
    <row r="4547">
      <c r="B4547" s="47" t="n"/>
      <c r="C4547" s="48" t="n"/>
      <c r="D4547" s="48" t="n"/>
      <c r="E4547" s="48" t="n"/>
      <c r="F4547" s="48" t="n"/>
      <c r="G4547" s="49" t="n"/>
      <c r="H4547" s="48" t="n"/>
      <c r="I4547" s="50" t="n"/>
      <c r="J4547" s="48" t="n"/>
      <c r="K4547" s="48" t="n"/>
      <c r="L4547" s="48" t="n"/>
      <c r="M4547" s="48" t="n"/>
      <c r="N4547" s="48" t="n"/>
      <c r="O4547" s="51">
        <f>IF(AND(B4547="",G4547="",C4547="",D4547="",J4547=""),"",IF(B4547="","⚠ Falta fecha",IF(G4547="","⚠ Falta monto",IF(Q4547="","⚠ Falta cuenta",IF(ISNA(MATCH(Q4547,ctaNombre,0)),"⚠ Cuenta no registrada",IF(AND(OR(P4547="Gasto",P4547="Reembolso"),D4547=""),"⚠ Falta categoría",IF(AND(D4547&lt;&gt;"",E4547&lt;&gt;"",ISNA(MATCH(D4547&amp;"|"&amp;E4547,catClave,0))),"⚠ Subcategoría no corresponde",IF(AND(OR(P4547="Transferencia",P4547="Pago tarjeta"),K4547=""),"⚠ Falta cuenta destino",IF(AND(K4547&lt;&gt;"",P4547&lt;&gt;"Transferencia",P4547&lt;&gt;"Pago tarjeta"),"⚠ Destino solo aplica a transferencias",IF(AND(K4547&lt;&gt;"",K4547=Q4547),"⚠ Origen igual a destino",IF(AND(K4547&lt;&gt;"",ISNA(MATCH(K4547,ctaNombre,0))),"⚠ Destino no registrado",IF(AND(P4547="Pago tarjeta",AE4547&lt;&gt;"Tarjeta de crédito"),"⚠ El destino debe ser tarjeta de crédito",IF(AND(P4547="Gasto",E4547="Depósitos y retiros"),"⚠ Usa tipo Transferencia",IF(AND(P4547="Resultado trading",AD4547&lt;&gt;"Cuenta de trading"),"⚠ Usa una cuenta de trading",IF(AND(G4547&lt;=0,P4547&lt;&gt;"Ajuste",P4547&lt;&gt;"Resultado trading"),"⚠ El monto debe ser positivo","✓")))))))))))))))</f>
        <v/>
      </c>
      <c r="P4547" s="52">
        <f>IF(OR(B4547="",G4547=""),"",IF(C4547="","Gasto",C4547))</f>
        <v/>
      </c>
      <c r="Q4547" s="52">
        <f>IF(P4547="","",IF(J4547&lt;&gt;"",J4547,CuentaPred&amp;""))</f>
        <v/>
      </c>
      <c r="R4547" s="52">
        <f>IF(P4547="","",IF(ISNUMBER(I4547),I4547,TasaUSD))</f>
        <v/>
      </c>
      <c r="S4547" s="53">
        <f>IF(P4547="","",IF(H4547="USD",G4547*R4547,G4547))</f>
        <v/>
      </c>
      <c r="T4547" s="53">
        <f>IF(P4547="","",IF(H4547="USD",G4547,IF(R4547&gt;0,G4547/R4547,0)))</f>
        <v/>
      </c>
      <c r="U4547" s="53">
        <f>IF(P4547="","",IF(P4547="Gasto",S4547,IF(P4547="Reembolso",-S4547,0)))</f>
        <v/>
      </c>
      <c r="V4547" s="53">
        <f>IF(P4547="","",IF(P4547="Ingreso",S4547,0))</f>
        <v/>
      </c>
      <c r="W4547" s="53">
        <f>IF(P4547="","",IF(P4547="Resultado trading",S4547,0))</f>
        <v/>
      </c>
      <c r="X4547" s="52">
        <f>IF(OR(P4547="Gasto",P4547="Reembolso"),IF(M4547&lt;&gt;"",M4547,IFERROR(INDEX(catClasif,MATCH(D4547&amp;"|"&amp;E4547,catClave,0))&amp;"","Variable")),"")</f>
        <v/>
      </c>
      <c r="Y4547" s="52">
        <f>IF(P4547="","",IFERROR(INDEX(catGrupo,MATCH(D4547&amp;"|"&amp;E4547,catClave,0))&amp;"",""))</f>
        <v/>
      </c>
      <c r="Z4547" s="52">
        <f>IF(P4547="","",WEEKDAY(B4547,2))</f>
        <v/>
      </c>
      <c r="AA4547" s="52">
        <f>IF(P4547="","",IF(AND(P4547="Gasto",X4547="Variable",D4547&lt;&gt;catTrading,S4547&gt;0,S4547&lt;=Umbral),1,0))</f>
        <v/>
      </c>
      <c r="AB4547" s="52">
        <f>IF(OR(P4547="",Q4547=""),"",IFERROR(IF(INDEX(ctaVinc,MATCH(Q4547,ctaNombre,0))&amp;""&lt;&gt;"",INDEX(ctaVinc,MATCH(Q4547,ctaNombre,0))&amp;"",Q4547),Q4547))</f>
        <v/>
      </c>
      <c r="AC4547" s="52">
        <f>IF(OR(K4547="",AND(P4547&lt;&gt;"Transferencia",P4547&lt;&gt;"Pago tarjeta")),"",IFERROR(IF(INDEX(ctaVinc,MATCH(K4547,ctaNombre,0))&amp;""&lt;&gt;"",INDEX(ctaVinc,MATCH(K4547,ctaNombre,0))&amp;"",K4547),K4547))</f>
        <v/>
      </c>
      <c r="AD4547" s="52">
        <f>IF(AB4547="","",IFERROR(INDEX(ctaTipo,MATCH(AB4547,ctaNombre,0))&amp;"",""))</f>
        <v/>
      </c>
      <c r="AE4547" s="52">
        <f>IF(AC4547="","",IFERROR(INDEX(ctaTipo,MATCH(AC4547,ctaNombre,0))&amp;"",""))</f>
        <v/>
      </c>
      <c r="AF4547" s="53">
        <f>IF(OR(P4547="",AB4547=""),"",IF(OR(P4547="Gasto",P4547="Transferencia",P4547="Pago tarjeta"),-1,1)*IF(IFERROR(INDEX(ctaMoneda,MATCH(AB4547,ctaNombre,0))&amp;"","DOP")="USD",T4547,S4547))</f>
        <v/>
      </c>
      <c r="AG4547" s="53">
        <f>IF(AC4547="","",IF(IFERROR(INDEX(ctaMoneda,MATCH(AC4547,ctaNombre,0))&amp;"","DOP")="USD",T4547,S4547))</f>
        <v/>
      </c>
      <c r="AH4547" s="53">
        <f>IF(P4547="","",IF(AND(AD4547&lt;&gt;"",COUNTIFS(tcTipo,AD4547,tcLiq,"Sí")&gt;0),IF(OR(P4547="Gasto",P4547="Transferencia",P4547="Pago tarjeta"),-1,1)*S4547,0)+IF(AND(AE4547&lt;&gt;"",COUNTIFS(tcTipo,AE4547,tcLiq,"Sí")&gt;0),S4547,0))</f>
        <v/>
      </c>
      <c r="AI4547" s="52">
        <f>IF(OR(L4547="",P4547=""),"",IF(COUNTIFS(L$6:L4547,L4547,P$6:P4547,"?*")=1,MAX(AI$5:AI4546)+1,""))</f>
        <v/>
      </c>
    </row>
    <row r="4548">
      <c r="B4548" s="47" t="n"/>
      <c r="C4548" s="48" t="n"/>
      <c r="D4548" s="48" t="n"/>
      <c r="E4548" s="48" t="n"/>
      <c r="F4548" s="48" t="n"/>
      <c r="G4548" s="49" t="n"/>
      <c r="H4548" s="48" t="n"/>
      <c r="I4548" s="50" t="n"/>
      <c r="J4548" s="48" t="n"/>
      <c r="K4548" s="48" t="n"/>
      <c r="L4548" s="48" t="n"/>
      <c r="M4548" s="48" t="n"/>
      <c r="N4548" s="48" t="n"/>
      <c r="O4548" s="51">
        <f>IF(AND(B4548="",G4548="",C4548="",D4548="",J4548=""),"",IF(B4548="","⚠ Falta fecha",IF(G4548="","⚠ Falta monto",IF(Q4548="","⚠ Falta cuenta",IF(ISNA(MATCH(Q4548,ctaNombre,0)),"⚠ Cuenta no registrada",IF(AND(OR(P4548="Gasto",P4548="Reembolso"),D4548=""),"⚠ Falta categoría",IF(AND(D4548&lt;&gt;"",E4548&lt;&gt;"",ISNA(MATCH(D4548&amp;"|"&amp;E4548,catClave,0))),"⚠ Subcategoría no corresponde",IF(AND(OR(P4548="Transferencia",P4548="Pago tarjeta"),K4548=""),"⚠ Falta cuenta destino",IF(AND(K4548&lt;&gt;"",P4548&lt;&gt;"Transferencia",P4548&lt;&gt;"Pago tarjeta"),"⚠ Destino solo aplica a transferencias",IF(AND(K4548&lt;&gt;"",K4548=Q4548),"⚠ Origen igual a destino",IF(AND(K4548&lt;&gt;"",ISNA(MATCH(K4548,ctaNombre,0))),"⚠ Destino no registrado",IF(AND(P4548="Pago tarjeta",AE4548&lt;&gt;"Tarjeta de crédito"),"⚠ El destino debe ser tarjeta de crédito",IF(AND(P4548="Gasto",E4548="Depósitos y retiros"),"⚠ Usa tipo Transferencia",IF(AND(P4548="Resultado trading",AD4548&lt;&gt;"Cuenta de trading"),"⚠ Usa una cuenta de trading",IF(AND(G4548&lt;=0,P4548&lt;&gt;"Ajuste",P4548&lt;&gt;"Resultado trading"),"⚠ El monto debe ser positivo","✓")))))))))))))))</f>
        <v/>
      </c>
      <c r="P4548" s="52">
        <f>IF(OR(B4548="",G4548=""),"",IF(C4548="","Gasto",C4548))</f>
        <v/>
      </c>
      <c r="Q4548" s="52">
        <f>IF(P4548="","",IF(J4548&lt;&gt;"",J4548,CuentaPred&amp;""))</f>
        <v/>
      </c>
      <c r="R4548" s="52">
        <f>IF(P4548="","",IF(ISNUMBER(I4548),I4548,TasaUSD))</f>
        <v/>
      </c>
      <c r="S4548" s="53">
        <f>IF(P4548="","",IF(H4548="USD",G4548*R4548,G4548))</f>
        <v/>
      </c>
      <c r="T4548" s="53">
        <f>IF(P4548="","",IF(H4548="USD",G4548,IF(R4548&gt;0,G4548/R4548,0)))</f>
        <v/>
      </c>
      <c r="U4548" s="53">
        <f>IF(P4548="","",IF(P4548="Gasto",S4548,IF(P4548="Reembolso",-S4548,0)))</f>
        <v/>
      </c>
      <c r="V4548" s="53">
        <f>IF(P4548="","",IF(P4548="Ingreso",S4548,0))</f>
        <v/>
      </c>
      <c r="W4548" s="53">
        <f>IF(P4548="","",IF(P4548="Resultado trading",S4548,0))</f>
        <v/>
      </c>
      <c r="X4548" s="52">
        <f>IF(OR(P4548="Gasto",P4548="Reembolso"),IF(M4548&lt;&gt;"",M4548,IFERROR(INDEX(catClasif,MATCH(D4548&amp;"|"&amp;E4548,catClave,0))&amp;"","Variable")),"")</f>
        <v/>
      </c>
      <c r="Y4548" s="52">
        <f>IF(P4548="","",IFERROR(INDEX(catGrupo,MATCH(D4548&amp;"|"&amp;E4548,catClave,0))&amp;"",""))</f>
        <v/>
      </c>
      <c r="Z4548" s="52">
        <f>IF(P4548="","",WEEKDAY(B4548,2))</f>
        <v/>
      </c>
      <c r="AA4548" s="52">
        <f>IF(P4548="","",IF(AND(P4548="Gasto",X4548="Variable",D4548&lt;&gt;catTrading,S4548&gt;0,S4548&lt;=Umbral),1,0))</f>
        <v/>
      </c>
      <c r="AB4548" s="52">
        <f>IF(OR(P4548="",Q4548=""),"",IFERROR(IF(INDEX(ctaVinc,MATCH(Q4548,ctaNombre,0))&amp;""&lt;&gt;"",INDEX(ctaVinc,MATCH(Q4548,ctaNombre,0))&amp;"",Q4548),Q4548))</f>
        <v/>
      </c>
      <c r="AC4548" s="52">
        <f>IF(OR(K4548="",AND(P4548&lt;&gt;"Transferencia",P4548&lt;&gt;"Pago tarjeta")),"",IFERROR(IF(INDEX(ctaVinc,MATCH(K4548,ctaNombre,0))&amp;""&lt;&gt;"",INDEX(ctaVinc,MATCH(K4548,ctaNombre,0))&amp;"",K4548),K4548))</f>
        <v/>
      </c>
      <c r="AD4548" s="52">
        <f>IF(AB4548="","",IFERROR(INDEX(ctaTipo,MATCH(AB4548,ctaNombre,0))&amp;"",""))</f>
        <v/>
      </c>
      <c r="AE4548" s="52">
        <f>IF(AC4548="","",IFERROR(INDEX(ctaTipo,MATCH(AC4548,ctaNombre,0))&amp;"",""))</f>
        <v/>
      </c>
      <c r="AF4548" s="53">
        <f>IF(OR(P4548="",AB4548=""),"",IF(OR(P4548="Gasto",P4548="Transferencia",P4548="Pago tarjeta"),-1,1)*IF(IFERROR(INDEX(ctaMoneda,MATCH(AB4548,ctaNombre,0))&amp;"","DOP")="USD",T4548,S4548))</f>
        <v/>
      </c>
      <c r="AG4548" s="53">
        <f>IF(AC4548="","",IF(IFERROR(INDEX(ctaMoneda,MATCH(AC4548,ctaNombre,0))&amp;"","DOP")="USD",T4548,S4548))</f>
        <v/>
      </c>
      <c r="AH4548" s="53">
        <f>IF(P4548="","",IF(AND(AD4548&lt;&gt;"",COUNTIFS(tcTipo,AD4548,tcLiq,"Sí")&gt;0),IF(OR(P4548="Gasto",P4548="Transferencia",P4548="Pago tarjeta"),-1,1)*S4548,0)+IF(AND(AE4548&lt;&gt;"",COUNTIFS(tcTipo,AE4548,tcLiq,"Sí")&gt;0),S4548,0))</f>
        <v/>
      </c>
      <c r="AI4548" s="52">
        <f>IF(OR(L4548="",P4548=""),"",IF(COUNTIFS(L$6:L4548,L4548,P$6:P4548,"?*")=1,MAX(AI$5:AI4547)+1,""))</f>
        <v/>
      </c>
    </row>
    <row r="4549">
      <c r="B4549" s="47" t="n"/>
      <c r="C4549" s="48" t="n"/>
      <c r="D4549" s="48" t="n"/>
      <c r="E4549" s="48" t="n"/>
      <c r="F4549" s="48" t="n"/>
      <c r="G4549" s="49" t="n"/>
      <c r="H4549" s="48" t="n"/>
      <c r="I4549" s="50" t="n"/>
      <c r="J4549" s="48" t="n"/>
      <c r="K4549" s="48" t="n"/>
      <c r="L4549" s="48" t="n"/>
      <c r="M4549" s="48" t="n"/>
      <c r="N4549" s="48" t="n"/>
      <c r="O4549" s="51">
        <f>IF(AND(B4549="",G4549="",C4549="",D4549="",J4549=""),"",IF(B4549="","⚠ Falta fecha",IF(G4549="","⚠ Falta monto",IF(Q4549="","⚠ Falta cuenta",IF(ISNA(MATCH(Q4549,ctaNombre,0)),"⚠ Cuenta no registrada",IF(AND(OR(P4549="Gasto",P4549="Reembolso"),D4549=""),"⚠ Falta categoría",IF(AND(D4549&lt;&gt;"",E4549&lt;&gt;"",ISNA(MATCH(D4549&amp;"|"&amp;E4549,catClave,0))),"⚠ Subcategoría no corresponde",IF(AND(OR(P4549="Transferencia",P4549="Pago tarjeta"),K4549=""),"⚠ Falta cuenta destino",IF(AND(K4549&lt;&gt;"",P4549&lt;&gt;"Transferencia",P4549&lt;&gt;"Pago tarjeta"),"⚠ Destino solo aplica a transferencias",IF(AND(K4549&lt;&gt;"",K4549=Q4549),"⚠ Origen igual a destino",IF(AND(K4549&lt;&gt;"",ISNA(MATCH(K4549,ctaNombre,0))),"⚠ Destino no registrado",IF(AND(P4549="Pago tarjeta",AE4549&lt;&gt;"Tarjeta de crédito"),"⚠ El destino debe ser tarjeta de crédito",IF(AND(P4549="Gasto",E4549="Depósitos y retiros"),"⚠ Usa tipo Transferencia",IF(AND(P4549="Resultado trading",AD4549&lt;&gt;"Cuenta de trading"),"⚠ Usa una cuenta de trading",IF(AND(G4549&lt;=0,P4549&lt;&gt;"Ajuste",P4549&lt;&gt;"Resultado trading"),"⚠ El monto debe ser positivo","✓")))))))))))))))</f>
        <v/>
      </c>
      <c r="P4549" s="52">
        <f>IF(OR(B4549="",G4549=""),"",IF(C4549="","Gasto",C4549))</f>
        <v/>
      </c>
      <c r="Q4549" s="52">
        <f>IF(P4549="","",IF(J4549&lt;&gt;"",J4549,CuentaPred&amp;""))</f>
        <v/>
      </c>
      <c r="R4549" s="52">
        <f>IF(P4549="","",IF(ISNUMBER(I4549),I4549,TasaUSD))</f>
        <v/>
      </c>
      <c r="S4549" s="53">
        <f>IF(P4549="","",IF(H4549="USD",G4549*R4549,G4549))</f>
        <v/>
      </c>
      <c r="T4549" s="53">
        <f>IF(P4549="","",IF(H4549="USD",G4549,IF(R4549&gt;0,G4549/R4549,0)))</f>
        <v/>
      </c>
      <c r="U4549" s="53">
        <f>IF(P4549="","",IF(P4549="Gasto",S4549,IF(P4549="Reembolso",-S4549,0)))</f>
        <v/>
      </c>
      <c r="V4549" s="53">
        <f>IF(P4549="","",IF(P4549="Ingreso",S4549,0))</f>
        <v/>
      </c>
      <c r="W4549" s="53">
        <f>IF(P4549="","",IF(P4549="Resultado trading",S4549,0))</f>
        <v/>
      </c>
      <c r="X4549" s="52">
        <f>IF(OR(P4549="Gasto",P4549="Reembolso"),IF(M4549&lt;&gt;"",M4549,IFERROR(INDEX(catClasif,MATCH(D4549&amp;"|"&amp;E4549,catClave,0))&amp;"","Variable")),"")</f>
        <v/>
      </c>
      <c r="Y4549" s="52">
        <f>IF(P4549="","",IFERROR(INDEX(catGrupo,MATCH(D4549&amp;"|"&amp;E4549,catClave,0))&amp;"",""))</f>
        <v/>
      </c>
      <c r="Z4549" s="52">
        <f>IF(P4549="","",WEEKDAY(B4549,2))</f>
        <v/>
      </c>
      <c r="AA4549" s="52">
        <f>IF(P4549="","",IF(AND(P4549="Gasto",X4549="Variable",D4549&lt;&gt;catTrading,S4549&gt;0,S4549&lt;=Umbral),1,0))</f>
        <v/>
      </c>
      <c r="AB4549" s="52">
        <f>IF(OR(P4549="",Q4549=""),"",IFERROR(IF(INDEX(ctaVinc,MATCH(Q4549,ctaNombre,0))&amp;""&lt;&gt;"",INDEX(ctaVinc,MATCH(Q4549,ctaNombre,0))&amp;"",Q4549),Q4549))</f>
        <v/>
      </c>
      <c r="AC4549" s="52">
        <f>IF(OR(K4549="",AND(P4549&lt;&gt;"Transferencia",P4549&lt;&gt;"Pago tarjeta")),"",IFERROR(IF(INDEX(ctaVinc,MATCH(K4549,ctaNombre,0))&amp;""&lt;&gt;"",INDEX(ctaVinc,MATCH(K4549,ctaNombre,0))&amp;"",K4549),K4549))</f>
        <v/>
      </c>
      <c r="AD4549" s="52">
        <f>IF(AB4549="","",IFERROR(INDEX(ctaTipo,MATCH(AB4549,ctaNombre,0))&amp;"",""))</f>
        <v/>
      </c>
      <c r="AE4549" s="52">
        <f>IF(AC4549="","",IFERROR(INDEX(ctaTipo,MATCH(AC4549,ctaNombre,0))&amp;"",""))</f>
        <v/>
      </c>
      <c r="AF4549" s="53">
        <f>IF(OR(P4549="",AB4549=""),"",IF(OR(P4549="Gasto",P4549="Transferencia",P4549="Pago tarjeta"),-1,1)*IF(IFERROR(INDEX(ctaMoneda,MATCH(AB4549,ctaNombre,0))&amp;"","DOP")="USD",T4549,S4549))</f>
        <v/>
      </c>
      <c r="AG4549" s="53">
        <f>IF(AC4549="","",IF(IFERROR(INDEX(ctaMoneda,MATCH(AC4549,ctaNombre,0))&amp;"","DOP")="USD",T4549,S4549))</f>
        <v/>
      </c>
      <c r="AH4549" s="53">
        <f>IF(P4549="","",IF(AND(AD4549&lt;&gt;"",COUNTIFS(tcTipo,AD4549,tcLiq,"Sí")&gt;0),IF(OR(P4549="Gasto",P4549="Transferencia",P4549="Pago tarjeta"),-1,1)*S4549,0)+IF(AND(AE4549&lt;&gt;"",COUNTIFS(tcTipo,AE4549,tcLiq,"Sí")&gt;0),S4549,0))</f>
        <v/>
      </c>
      <c r="AI4549" s="52">
        <f>IF(OR(L4549="",P4549=""),"",IF(COUNTIFS(L$6:L4549,L4549,P$6:P4549,"?*")=1,MAX(AI$5:AI4548)+1,""))</f>
        <v/>
      </c>
    </row>
    <row r="4550">
      <c r="B4550" s="47" t="n"/>
      <c r="C4550" s="48" t="n"/>
      <c r="D4550" s="48" t="n"/>
      <c r="E4550" s="48" t="n"/>
      <c r="F4550" s="48" t="n"/>
      <c r="G4550" s="49" t="n"/>
      <c r="H4550" s="48" t="n"/>
      <c r="I4550" s="50" t="n"/>
      <c r="J4550" s="48" t="n"/>
      <c r="K4550" s="48" t="n"/>
      <c r="L4550" s="48" t="n"/>
      <c r="M4550" s="48" t="n"/>
      <c r="N4550" s="48" t="n"/>
      <c r="O4550" s="51">
        <f>IF(AND(B4550="",G4550="",C4550="",D4550="",J4550=""),"",IF(B4550="","⚠ Falta fecha",IF(G4550="","⚠ Falta monto",IF(Q4550="","⚠ Falta cuenta",IF(ISNA(MATCH(Q4550,ctaNombre,0)),"⚠ Cuenta no registrada",IF(AND(OR(P4550="Gasto",P4550="Reembolso"),D4550=""),"⚠ Falta categoría",IF(AND(D4550&lt;&gt;"",E4550&lt;&gt;"",ISNA(MATCH(D4550&amp;"|"&amp;E4550,catClave,0))),"⚠ Subcategoría no corresponde",IF(AND(OR(P4550="Transferencia",P4550="Pago tarjeta"),K4550=""),"⚠ Falta cuenta destino",IF(AND(K4550&lt;&gt;"",P4550&lt;&gt;"Transferencia",P4550&lt;&gt;"Pago tarjeta"),"⚠ Destino solo aplica a transferencias",IF(AND(K4550&lt;&gt;"",K4550=Q4550),"⚠ Origen igual a destino",IF(AND(K4550&lt;&gt;"",ISNA(MATCH(K4550,ctaNombre,0))),"⚠ Destino no registrado",IF(AND(P4550="Pago tarjeta",AE4550&lt;&gt;"Tarjeta de crédito"),"⚠ El destino debe ser tarjeta de crédito",IF(AND(P4550="Gasto",E4550="Depósitos y retiros"),"⚠ Usa tipo Transferencia",IF(AND(P4550="Resultado trading",AD4550&lt;&gt;"Cuenta de trading"),"⚠ Usa una cuenta de trading",IF(AND(G4550&lt;=0,P4550&lt;&gt;"Ajuste",P4550&lt;&gt;"Resultado trading"),"⚠ El monto debe ser positivo","✓")))))))))))))))</f>
        <v/>
      </c>
      <c r="P4550" s="52">
        <f>IF(OR(B4550="",G4550=""),"",IF(C4550="","Gasto",C4550))</f>
        <v/>
      </c>
      <c r="Q4550" s="52">
        <f>IF(P4550="","",IF(J4550&lt;&gt;"",J4550,CuentaPred&amp;""))</f>
        <v/>
      </c>
      <c r="R4550" s="52">
        <f>IF(P4550="","",IF(ISNUMBER(I4550),I4550,TasaUSD))</f>
        <v/>
      </c>
      <c r="S4550" s="53">
        <f>IF(P4550="","",IF(H4550="USD",G4550*R4550,G4550))</f>
        <v/>
      </c>
      <c r="T4550" s="53">
        <f>IF(P4550="","",IF(H4550="USD",G4550,IF(R4550&gt;0,G4550/R4550,0)))</f>
        <v/>
      </c>
      <c r="U4550" s="53">
        <f>IF(P4550="","",IF(P4550="Gasto",S4550,IF(P4550="Reembolso",-S4550,0)))</f>
        <v/>
      </c>
      <c r="V4550" s="53">
        <f>IF(P4550="","",IF(P4550="Ingreso",S4550,0))</f>
        <v/>
      </c>
      <c r="W4550" s="53">
        <f>IF(P4550="","",IF(P4550="Resultado trading",S4550,0))</f>
        <v/>
      </c>
      <c r="X4550" s="52">
        <f>IF(OR(P4550="Gasto",P4550="Reembolso"),IF(M4550&lt;&gt;"",M4550,IFERROR(INDEX(catClasif,MATCH(D4550&amp;"|"&amp;E4550,catClave,0))&amp;"","Variable")),"")</f>
        <v/>
      </c>
      <c r="Y4550" s="52">
        <f>IF(P4550="","",IFERROR(INDEX(catGrupo,MATCH(D4550&amp;"|"&amp;E4550,catClave,0))&amp;"",""))</f>
        <v/>
      </c>
      <c r="Z4550" s="52">
        <f>IF(P4550="","",WEEKDAY(B4550,2))</f>
        <v/>
      </c>
      <c r="AA4550" s="52">
        <f>IF(P4550="","",IF(AND(P4550="Gasto",X4550="Variable",D4550&lt;&gt;catTrading,S4550&gt;0,S4550&lt;=Umbral),1,0))</f>
        <v/>
      </c>
      <c r="AB4550" s="52">
        <f>IF(OR(P4550="",Q4550=""),"",IFERROR(IF(INDEX(ctaVinc,MATCH(Q4550,ctaNombre,0))&amp;""&lt;&gt;"",INDEX(ctaVinc,MATCH(Q4550,ctaNombre,0))&amp;"",Q4550),Q4550))</f>
        <v/>
      </c>
      <c r="AC4550" s="52">
        <f>IF(OR(K4550="",AND(P4550&lt;&gt;"Transferencia",P4550&lt;&gt;"Pago tarjeta")),"",IFERROR(IF(INDEX(ctaVinc,MATCH(K4550,ctaNombre,0))&amp;""&lt;&gt;"",INDEX(ctaVinc,MATCH(K4550,ctaNombre,0))&amp;"",K4550),K4550))</f>
        <v/>
      </c>
      <c r="AD4550" s="52">
        <f>IF(AB4550="","",IFERROR(INDEX(ctaTipo,MATCH(AB4550,ctaNombre,0))&amp;"",""))</f>
        <v/>
      </c>
      <c r="AE4550" s="52">
        <f>IF(AC4550="","",IFERROR(INDEX(ctaTipo,MATCH(AC4550,ctaNombre,0))&amp;"",""))</f>
        <v/>
      </c>
      <c r="AF4550" s="53">
        <f>IF(OR(P4550="",AB4550=""),"",IF(OR(P4550="Gasto",P4550="Transferencia",P4550="Pago tarjeta"),-1,1)*IF(IFERROR(INDEX(ctaMoneda,MATCH(AB4550,ctaNombre,0))&amp;"","DOP")="USD",T4550,S4550))</f>
        <v/>
      </c>
      <c r="AG4550" s="53">
        <f>IF(AC4550="","",IF(IFERROR(INDEX(ctaMoneda,MATCH(AC4550,ctaNombre,0))&amp;"","DOP")="USD",T4550,S4550))</f>
        <v/>
      </c>
      <c r="AH4550" s="53">
        <f>IF(P4550="","",IF(AND(AD4550&lt;&gt;"",COUNTIFS(tcTipo,AD4550,tcLiq,"Sí")&gt;0),IF(OR(P4550="Gasto",P4550="Transferencia",P4550="Pago tarjeta"),-1,1)*S4550,0)+IF(AND(AE4550&lt;&gt;"",COUNTIFS(tcTipo,AE4550,tcLiq,"Sí")&gt;0),S4550,0))</f>
        <v/>
      </c>
      <c r="AI4550" s="52">
        <f>IF(OR(L4550="",P4550=""),"",IF(COUNTIFS(L$6:L4550,L4550,P$6:P4550,"?*")=1,MAX(AI$5:AI4549)+1,""))</f>
        <v/>
      </c>
    </row>
    <row r="4551">
      <c r="B4551" s="47" t="n"/>
      <c r="C4551" s="48" t="n"/>
      <c r="D4551" s="48" t="n"/>
      <c r="E4551" s="48" t="n"/>
      <c r="F4551" s="48" t="n"/>
      <c r="G4551" s="49" t="n"/>
      <c r="H4551" s="48" t="n"/>
      <c r="I4551" s="50" t="n"/>
      <c r="J4551" s="48" t="n"/>
      <c r="K4551" s="48" t="n"/>
      <c r="L4551" s="48" t="n"/>
      <c r="M4551" s="48" t="n"/>
      <c r="N4551" s="48" t="n"/>
      <c r="O4551" s="51">
        <f>IF(AND(B4551="",G4551="",C4551="",D4551="",J4551=""),"",IF(B4551="","⚠ Falta fecha",IF(G4551="","⚠ Falta monto",IF(Q4551="","⚠ Falta cuenta",IF(ISNA(MATCH(Q4551,ctaNombre,0)),"⚠ Cuenta no registrada",IF(AND(OR(P4551="Gasto",P4551="Reembolso"),D4551=""),"⚠ Falta categoría",IF(AND(D4551&lt;&gt;"",E4551&lt;&gt;"",ISNA(MATCH(D4551&amp;"|"&amp;E4551,catClave,0))),"⚠ Subcategoría no corresponde",IF(AND(OR(P4551="Transferencia",P4551="Pago tarjeta"),K4551=""),"⚠ Falta cuenta destino",IF(AND(K4551&lt;&gt;"",P4551&lt;&gt;"Transferencia",P4551&lt;&gt;"Pago tarjeta"),"⚠ Destino solo aplica a transferencias",IF(AND(K4551&lt;&gt;"",K4551=Q4551),"⚠ Origen igual a destino",IF(AND(K4551&lt;&gt;"",ISNA(MATCH(K4551,ctaNombre,0))),"⚠ Destino no registrado",IF(AND(P4551="Pago tarjeta",AE4551&lt;&gt;"Tarjeta de crédito"),"⚠ El destino debe ser tarjeta de crédito",IF(AND(P4551="Gasto",E4551="Depósitos y retiros"),"⚠ Usa tipo Transferencia",IF(AND(P4551="Resultado trading",AD4551&lt;&gt;"Cuenta de trading"),"⚠ Usa una cuenta de trading",IF(AND(G4551&lt;=0,P4551&lt;&gt;"Ajuste",P4551&lt;&gt;"Resultado trading"),"⚠ El monto debe ser positivo","✓")))))))))))))))</f>
        <v/>
      </c>
      <c r="P4551" s="52">
        <f>IF(OR(B4551="",G4551=""),"",IF(C4551="","Gasto",C4551))</f>
        <v/>
      </c>
      <c r="Q4551" s="52">
        <f>IF(P4551="","",IF(J4551&lt;&gt;"",J4551,CuentaPred&amp;""))</f>
        <v/>
      </c>
      <c r="R4551" s="52">
        <f>IF(P4551="","",IF(ISNUMBER(I4551),I4551,TasaUSD))</f>
        <v/>
      </c>
      <c r="S4551" s="53">
        <f>IF(P4551="","",IF(H4551="USD",G4551*R4551,G4551))</f>
        <v/>
      </c>
      <c r="T4551" s="53">
        <f>IF(P4551="","",IF(H4551="USD",G4551,IF(R4551&gt;0,G4551/R4551,0)))</f>
        <v/>
      </c>
      <c r="U4551" s="53">
        <f>IF(P4551="","",IF(P4551="Gasto",S4551,IF(P4551="Reembolso",-S4551,0)))</f>
        <v/>
      </c>
      <c r="V4551" s="53">
        <f>IF(P4551="","",IF(P4551="Ingreso",S4551,0))</f>
        <v/>
      </c>
      <c r="W4551" s="53">
        <f>IF(P4551="","",IF(P4551="Resultado trading",S4551,0))</f>
        <v/>
      </c>
      <c r="X4551" s="52">
        <f>IF(OR(P4551="Gasto",P4551="Reembolso"),IF(M4551&lt;&gt;"",M4551,IFERROR(INDEX(catClasif,MATCH(D4551&amp;"|"&amp;E4551,catClave,0))&amp;"","Variable")),"")</f>
        <v/>
      </c>
      <c r="Y4551" s="52">
        <f>IF(P4551="","",IFERROR(INDEX(catGrupo,MATCH(D4551&amp;"|"&amp;E4551,catClave,0))&amp;"",""))</f>
        <v/>
      </c>
      <c r="Z4551" s="52">
        <f>IF(P4551="","",WEEKDAY(B4551,2))</f>
        <v/>
      </c>
      <c r="AA4551" s="52">
        <f>IF(P4551="","",IF(AND(P4551="Gasto",X4551="Variable",D4551&lt;&gt;catTrading,S4551&gt;0,S4551&lt;=Umbral),1,0))</f>
        <v/>
      </c>
      <c r="AB4551" s="52">
        <f>IF(OR(P4551="",Q4551=""),"",IFERROR(IF(INDEX(ctaVinc,MATCH(Q4551,ctaNombre,0))&amp;""&lt;&gt;"",INDEX(ctaVinc,MATCH(Q4551,ctaNombre,0))&amp;"",Q4551),Q4551))</f>
        <v/>
      </c>
      <c r="AC4551" s="52">
        <f>IF(OR(K4551="",AND(P4551&lt;&gt;"Transferencia",P4551&lt;&gt;"Pago tarjeta")),"",IFERROR(IF(INDEX(ctaVinc,MATCH(K4551,ctaNombre,0))&amp;""&lt;&gt;"",INDEX(ctaVinc,MATCH(K4551,ctaNombre,0))&amp;"",K4551),K4551))</f>
        <v/>
      </c>
      <c r="AD4551" s="52">
        <f>IF(AB4551="","",IFERROR(INDEX(ctaTipo,MATCH(AB4551,ctaNombre,0))&amp;"",""))</f>
        <v/>
      </c>
      <c r="AE4551" s="52">
        <f>IF(AC4551="","",IFERROR(INDEX(ctaTipo,MATCH(AC4551,ctaNombre,0))&amp;"",""))</f>
        <v/>
      </c>
      <c r="AF4551" s="53">
        <f>IF(OR(P4551="",AB4551=""),"",IF(OR(P4551="Gasto",P4551="Transferencia",P4551="Pago tarjeta"),-1,1)*IF(IFERROR(INDEX(ctaMoneda,MATCH(AB4551,ctaNombre,0))&amp;"","DOP")="USD",T4551,S4551))</f>
        <v/>
      </c>
      <c r="AG4551" s="53">
        <f>IF(AC4551="","",IF(IFERROR(INDEX(ctaMoneda,MATCH(AC4551,ctaNombre,0))&amp;"","DOP")="USD",T4551,S4551))</f>
        <v/>
      </c>
      <c r="AH4551" s="53">
        <f>IF(P4551="","",IF(AND(AD4551&lt;&gt;"",COUNTIFS(tcTipo,AD4551,tcLiq,"Sí")&gt;0),IF(OR(P4551="Gasto",P4551="Transferencia",P4551="Pago tarjeta"),-1,1)*S4551,0)+IF(AND(AE4551&lt;&gt;"",COUNTIFS(tcTipo,AE4551,tcLiq,"Sí")&gt;0),S4551,0))</f>
        <v/>
      </c>
      <c r="AI4551" s="52">
        <f>IF(OR(L4551="",P4551=""),"",IF(COUNTIFS(L$6:L4551,L4551,P$6:P4551,"?*")=1,MAX(AI$5:AI4550)+1,""))</f>
        <v/>
      </c>
    </row>
    <row r="4552">
      <c r="B4552" s="47" t="n"/>
      <c r="C4552" s="48" t="n"/>
      <c r="D4552" s="48" t="n"/>
      <c r="E4552" s="48" t="n"/>
      <c r="F4552" s="48" t="n"/>
      <c r="G4552" s="49" t="n"/>
      <c r="H4552" s="48" t="n"/>
      <c r="I4552" s="50" t="n"/>
      <c r="J4552" s="48" t="n"/>
      <c r="K4552" s="48" t="n"/>
      <c r="L4552" s="48" t="n"/>
      <c r="M4552" s="48" t="n"/>
      <c r="N4552" s="48" t="n"/>
      <c r="O4552" s="51">
        <f>IF(AND(B4552="",G4552="",C4552="",D4552="",J4552=""),"",IF(B4552="","⚠ Falta fecha",IF(G4552="","⚠ Falta monto",IF(Q4552="","⚠ Falta cuenta",IF(ISNA(MATCH(Q4552,ctaNombre,0)),"⚠ Cuenta no registrada",IF(AND(OR(P4552="Gasto",P4552="Reembolso"),D4552=""),"⚠ Falta categoría",IF(AND(D4552&lt;&gt;"",E4552&lt;&gt;"",ISNA(MATCH(D4552&amp;"|"&amp;E4552,catClave,0))),"⚠ Subcategoría no corresponde",IF(AND(OR(P4552="Transferencia",P4552="Pago tarjeta"),K4552=""),"⚠ Falta cuenta destino",IF(AND(K4552&lt;&gt;"",P4552&lt;&gt;"Transferencia",P4552&lt;&gt;"Pago tarjeta"),"⚠ Destino solo aplica a transferencias",IF(AND(K4552&lt;&gt;"",K4552=Q4552),"⚠ Origen igual a destino",IF(AND(K4552&lt;&gt;"",ISNA(MATCH(K4552,ctaNombre,0))),"⚠ Destino no registrado",IF(AND(P4552="Pago tarjeta",AE4552&lt;&gt;"Tarjeta de crédito"),"⚠ El destino debe ser tarjeta de crédito",IF(AND(P4552="Gasto",E4552="Depósitos y retiros"),"⚠ Usa tipo Transferencia",IF(AND(P4552="Resultado trading",AD4552&lt;&gt;"Cuenta de trading"),"⚠ Usa una cuenta de trading",IF(AND(G4552&lt;=0,P4552&lt;&gt;"Ajuste",P4552&lt;&gt;"Resultado trading"),"⚠ El monto debe ser positivo","✓")))))))))))))))</f>
        <v/>
      </c>
      <c r="P4552" s="52">
        <f>IF(OR(B4552="",G4552=""),"",IF(C4552="","Gasto",C4552))</f>
        <v/>
      </c>
      <c r="Q4552" s="52">
        <f>IF(P4552="","",IF(J4552&lt;&gt;"",J4552,CuentaPred&amp;""))</f>
        <v/>
      </c>
      <c r="R4552" s="52">
        <f>IF(P4552="","",IF(ISNUMBER(I4552),I4552,TasaUSD))</f>
        <v/>
      </c>
      <c r="S4552" s="53">
        <f>IF(P4552="","",IF(H4552="USD",G4552*R4552,G4552))</f>
        <v/>
      </c>
      <c r="T4552" s="53">
        <f>IF(P4552="","",IF(H4552="USD",G4552,IF(R4552&gt;0,G4552/R4552,0)))</f>
        <v/>
      </c>
      <c r="U4552" s="53">
        <f>IF(P4552="","",IF(P4552="Gasto",S4552,IF(P4552="Reembolso",-S4552,0)))</f>
        <v/>
      </c>
      <c r="V4552" s="53">
        <f>IF(P4552="","",IF(P4552="Ingreso",S4552,0))</f>
        <v/>
      </c>
      <c r="W4552" s="53">
        <f>IF(P4552="","",IF(P4552="Resultado trading",S4552,0))</f>
        <v/>
      </c>
      <c r="X4552" s="52">
        <f>IF(OR(P4552="Gasto",P4552="Reembolso"),IF(M4552&lt;&gt;"",M4552,IFERROR(INDEX(catClasif,MATCH(D4552&amp;"|"&amp;E4552,catClave,0))&amp;"","Variable")),"")</f>
        <v/>
      </c>
      <c r="Y4552" s="52">
        <f>IF(P4552="","",IFERROR(INDEX(catGrupo,MATCH(D4552&amp;"|"&amp;E4552,catClave,0))&amp;"",""))</f>
        <v/>
      </c>
      <c r="Z4552" s="52">
        <f>IF(P4552="","",WEEKDAY(B4552,2))</f>
        <v/>
      </c>
      <c r="AA4552" s="52">
        <f>IF(P4552="","",IF(AND(P4552="Gasto",X4552="Variable",D4552&lt;&gt;catTrading,S4552&gt;0,S4552&lt;=Umbral),1,0))</f>
        <v/>
      </c>
      <c r="AB4552" s="52">
        <f>IF(OR(P4552="",Q4552=""),"",IFERROR(IF(INDEX(ctaVinc,MATCH(Q4552,ctaNombre,0))&amp;""&lt;&gt;"",INDEX(ctaVinc,MATCH(Q4552,ctaNombre,0))&amp;"",Q4552),Q4552))</f>
        <v/>
      </c>
      <c r="AC4552" s="52">
        <f>IF(OR(K4552="",AND(P4552&lt;&gt;"Transferencia",P4552&lt;&gt;"Pago tarjeta")),"",IFERROR(IF(INDEX(ctaVinc,MATCH(K4552,ctaNombre,0))&amp;""&lt;&gt;"",INDEX(ctaVinc,MATCH(K4552,ctaNombre,0))&amp;"",K4552),K4552))</f>
        <v/>
      </c>
      <c r="AD4552" s="52">
        <f>IF(AB4552="","",IFERROR(INDEX(ctaTipo,MATCH(AB4552,ctaNombre,0))&amp;"",""))</f>
        <v/>
      </c>
      <c r="AE4552" s="52">
        <f>IF(AC4552="","",IFERROR(INDEX(ctaTipo,MATCH(AC4552,ctaNombre,0))&amp;"",""))</f>
        <v/>
      </c>
      <c r="AF4552" s="53">
        <f>IF(OR(P4552="",AB4552=""),"",IF(OR(P4552="Gasto",P4552="Transferencia",P4552="Pago tarjeta"),-1,1)*IF(IFERROR(INDEX(ctaMoneda,MATCH(AB4552,ctaNombre,0))&amp;"","DOP")="USD",T4552,S4552))</f>
        <v/>
      </c>
      <c r="AG4552" s="53">
        <f>IF(AC4552="","",IF(IFERROR(INDEX(ctaMoneda,MATCH(AC4552,ctaNombre,0))&amp;"","DOP")="USD",T4552,S4552))</f>
        <v/>
      </c>
      <c r="AH4552" s="53">
        <f>IF(P4552="","",IF(AND(AD4552&lt;&gt;"",COUNTIFS(tcTipo,AD4552,tcLiq,"Sí")&gt;0),IF(OR(P4552="Gasto",P4552="Transferencia",P4552="Pago tarjeta"),-1,1)*S4552,0)+IF(AND(AE4552&lt;&gt;"",COUNTIFS(tcTipo,AE4552,tcLiq,"Sí")&gt;0),S4552,0))</f>
        <v/>
      </c>
      <c r="AI4552" s="52">
        <f>IF(OR(L4552="",P4552=""),"",IF(COUNTIFS(L$6:L4552,L4552,P$6:P4552,"?*")=1,MAX(AI$5:AI4551)+1,""))</f>
        <v/>
      </c>
    </row>
    <row r="4553">
      <c r="B4553" s="47" t="n"/>
      <c r="C4553" s="48" t="n"/>
      <c r="D4553" s="48" t="n"/>
      <c r="E4553" s="48" t="n"/>
      <c r="F4553" s="48" t="n"/>
      <c r="G4553" s="49" t="n"/>
      <c r="H4553" s="48" t="n"/>
      <c r="I4553" s="50" t="n"/>
      <c r="J4553" s="48" t="n"/>
      <c r="K4553" s="48" t="n"/>
      <c r="L4553" s="48" t="n"/>
      <c r="M4553" s="48" t="n"/>
      <c r="N4553" s="48" t="n"/>
      <c r="O4553" s="51">
        <f>IF(AND(B4553="",G4553="",C4553="",D4553="",J4553=""),"",IF(B4553="","⚠ Falta fecha",IF(G4553="","⚠ Falta monto",IF(Q4553="","⚠ Falta cuenta",IF(ISNA(MATCH(Q4553,ctaNombre,0)),"⚠ Cuenta no registrada",IF(AND(OR(P4553="Gasto",P4553="Reembolso"),D4553=""),"⚠ Falta categoría",IF(AND(D4553&lt;&gt;"",E4553&lt;&gt;"",ISNA(MATCH(D4553&amp;"|"&amp;E4553,catClave,0))),"⚠ Subcategoría no corresponde",IF(AND(OR(P4553="Transferencia",P4553="Pago tarjeta"),K4553=""),"⚠ Falta cuenta destino",IF(AND(K4553&lt;&gt;"",P4553&lt;&gt;"Transferencia",P4553&lt;&gt;"Pago tarjeta"),"⚠ Destino solo aplica a transferencias",IF(AND(K4553&lt;&gt;"",K4553=Q4553),"⚠ Origen igual a destino",IF(AND(K4553&lt;&gt;"",ISNA(MATCH(K4553,ctaNombre,0))),"⚠ Destino no registrado",IF(AND(P4553="Pago tarjeta",AE4553&lt;&gt;"Tarjeta de crédito"),"⚠ El destino debe ser tarjeta de crédito",IF(AND(P4553="Gasto",E4553="Depósitos y retiros"),"⚠ Usa tipo Transferencia",IF(AND(P4553="Resultado trading",AD4553&lt;&gt;"Cuenta de trading"),"⚠ Usa una cuenta de trading",IF(AND(G4553&lt;=0,P4553&lt;&gt;"Ajuste",P4553&lt;&gt;"Resultado trading"),"⚠ El monto debe ser positivo","✓")))))))))))))))</f>
        <v/>
      </c>
      <c r="P4553" s="52">
        <f>IF(OR(B4553="",G4553=""),"",IF(C4553="","Gasto",C4553))</f>
        <v/>
      </c>
      <c r="Q4553" s="52">
        <f>IF(P4553="","",IF(J4553&lt;&gt;"",J4553,CuentaPred&amp;""))</f>
        <v/>
      </c>
      <c r="R4553" s="52">
        <f>IF(P4553="","",IF(ISNUMBER(I4553),I4553,TasaUSD))</f>
        <v/>
      </c>
      <c r="S4553" s="53">
        <f>IF(P4553="","",IF(H4553="USD",G4553*R4553,G4553))</f>
        <v/>
      </c>
      <c r="T4553" s="53">
        <f>IF(P4553="","",IF(H4553="USD",G4553,IF(R4553&gt;0,G4553/R4553,0)))</f>
        <v/>
      </c>
      <c r="U4553" s="53">
        <f>IF(P4553="","",IF(P4553="Gasto",S4553,IF(P4553="Reembolso",-S4553,0)))</f>
        <v/>
      </c>
      <c r="V4553" s="53">
        <f>IF(P4553="","",IF(P4553="Ingreso",S4553,0))</f>
        <v/>
      </c>
      <c r="W4553" s="53">
        <f>IF(P4553="","",IF(P4553="Resultado trading",S4553,0))</f>
        <v/>
      </c>
      <c r="X4553" s="52">
        <f>IF(OR(P4553="Gasto",P4553="Reembolso"),IF(M4553&lt;&gt;"",M4553,IFERROR(INDEX(catClasif,MATCH(D4553&amp;"|"&amp;E4553,catClave,0))&amp;"","Variable")),"")</f>
        <v/>
      </c>
      <c r="Y4553" s="52">
        <f>IF(P4553="","",IFERROR(INDEX(catGrupo,MATCH(D4553&amp;"|"&amp;E4553,catClave,0))&amp;"",""))</f>
        <v/>
      </c>
      <c r="Z4553" s="52">
        <f>IF(P4553="","",WEEKDAY(B4553,2))</f>
        <v/>
      </c>
      <c r="AA4553" s="52">
        <f>IF(P4553="","",IF(AND(P4553="Gasto",X4553="Variable",D4553&lt;&gt;catTrading,S4553&gt;0,S4553&lt;=Umbral),1,0))</f>
        <v/>
      </c>
      <c r="AB4553" s="52">
        <f>IF(OR(P4553="",Q4553=""),"",IFERROR(IF(INDEX(ctaVinc,MATCH(Q4553,ctaNombre,0))&amp;""&lt;&gt;"",INDEX(ctaVinc,MATCH(Q4553,ctaNombre,0))&amp;"",Q4553),Q4553))</f>
        <v/>
      </c>
      <c r="AC4553" s="52">
        <f>IF(OR(K4553="",AND(P4553&lt;&gt;"Transferencia",P4553&lt;&gt;"Pago tarjeta")),"",IFERROR(IF(INDEX(ctaVinc,MATCH(K4553,ctaNombre,0))&amp;""&lt;&gt;"",INDEX(ctaVinc,MATCH(K4553,ctaNombre,0))&amp;"",K4553),K4553))</f>
        <v/>
      </c>
      <c r="AD4553" s="52">
        <f>IF(AB4553="","",IFERROR(INDEX(ctaTipo,MATCH(AB4553,ctaNombre,0))&amp;"",""))</f>
        <v/>
      </c>
      <c r="AE4553" s="52">
        <f>IF(AC4553="","",IFERROR(INDEX(ctaTipo,MATCH(AC4553,ctaNombre,0))&amp;"",""))</f>
        <v/>
      </c>
      <c r="AF4553" s="53">
        <f>IF(OR(P4553="",AB4553=""),"",IF(OR(P4553="Gasto",P4553="Transferencia",P4553="Pago tarjeta"),-1,1)*IF(IFERROR(INDEX(ctaMoneda,MATCH(AB4553,ctaNombre,0))&amp;"","DOP")="USD",T4553,S4553))</f>
        <v/>
      </c>
      <c r="AG4553" s="53">
        <f>IF(AC4553="","",IF(IFERROR(INDEX(ctaMoneda,MATCH(AC4553,ctaNombre,0))&amp;"","DOP")="USD",T4553,S4553))</f>
        <v/>
      </c>
      <c r="AH4553" s="53">
        <f>IF(P4553="","",IF(AND(AD4553&lt;&gt;"",COUNTIFS(tcTipo,AD4553,tcLiq,"Sí")&gt;0),IF(OR(P4553="Gasto",P4553="Transferencia",P4553="Pago tarjeta"),-1,1)*S4553,0)+IF(AND(AE4553&lt;&gt;"",COUNTIFS(tcTipo,AE4553,tcLiq,"Sí")&gt;0),S4553,0))</f>
        <v/>
      </c>
      <c r="AI4553" s="52">
        <f>IF(OR(L4553="",P4553=""),"",IF(COUNTIFS(L$6:L4553,L4553,P$6:P4553,"?*")=1,MAX(AI$5:AI4552)+1,""))</f>
        <v/>
      </c>
    </row>
    <row r="4554">
      <c r="B4554" s="47" t="n"/>
      <c r="C4554" s="48" t="n"/>
      <c r="D4554" s="48" t="n"/>
      <c r="E4554" s="48" t="n"/>
      <c r="F4554" s="48" t="n"/>
      <c r="G4554" s="49" t="n"/>
      <c r="H4554" s="48" t="n"/>
      <c r="I4554" s="50" t="n"/>
      <c r="J4554" s="48" t="n"/>
      <c r="K4554" s="48" t="n"/>
      <c r="L4554" s="48" t="n"/>
      <c r="M4554" s="48" t="n"/>
      <c r="N4554" s="48" t="n"/>
      <c r="O4554" s="51">
        <f>IF(AND(B4554="",G4554="",C4554="",D4554="",J4554=""),"",IF(B4554="","⚠ Falta fecha",IF(G4554="","⚠ Falta monto",IF(Q4554="","⚠ Falta cuenta",IF(ISNA(MATCH(Q4554,ctaNombre,0)),"⚠ Cuenta no registrada",IF(AND(OR(P4554="Gasto",P4554="Reembolso"),D4554=""),"⚠ Falta categoría",IF(AND(D4554&lt;&gt;"",E4554&lt;&gt;"",ISNA(MATCH(D4554&amp;"|"&amp;E4554,catClave,0))),"⚠ Subcategoría no corresponde",IF(AND(OR(P4554="Transferencia",P4554="Pago tarjeta"),K4554=""),"⚠ Falta cuenta destino",IF(AND(K4554&lt;&gt;"",P4554&lt;&gt;"Transferencia",P4554&lt;&gt;"Pago tarjeta"),"⚠ Destino solo aplica a transferencias",IF(AND(K4554&lt;&gt;"",K4554=Q4554),"⚠ Origen igual a destino",IF(AND(K4554&lt;&gt;"",ISNA(MATCH(K4554,ctaNombre,0))),"⚠ Destino no registrado",IF(AND(P4554="Pago tarjeta",AE4554&lt;&gt;"Tarjeta de crédito"),"⚠ El destino debe ser tarjeta de crédito",IF(AND(P4554="Gasto",E4554="Depósitos y retiros"),"⚠ Usa tipo Transferencia",IF(AND(P4554="Resultado trading",AD4554&lt;&gt;"Cuenta de trading"),"⚠ Usa una cuenta de trading",IF(AND(G4554&lt;=0,P4554&lt;&gt;"Ajuste",P4554&lt;&gt;"Resultado trading"),"⚠ El monto debe ser positivo","✓")))))))))))))))</f>
        <v/>
      </c>
      <c r="P4554" s="52">
        <f>IF(OR(B4554="",G4554=""),"",IF(C4554="","Gasto",C4554))</f>
        <v/>
      </c>
      <c r="Q4554" s="52">
        <f>IF(P4554="","",IF(J4554&lt;&gt;"",J4554,CuentaPred&amp;""))</f>
        <v/>
      </c>
      <c r="R4554" s="52">
        <f>IF(P4554="","",IF(ISNUMBER(I4554),I4554,TasaUSD))</f>
        <v/>
      </c>
      <c r="S4554" s="53">
        <f>IF(P4554="","",IF(H4554="USD",G4554*R4554,G4554))</f>
        <v/>
      </c>
      <c r="T4554" s="53">
        <f>IF(P4554="","",IF(H4554="USD",G4554,IF(R4554&gt;0,G4554/R4554,0)))</f>
        <v/>
      </c>
      <c r="U4554" s="53">
        <f>IF(P4554="","",IF(P4554="Gasto",S4554,IF(P4554="Reembolso",-S4554,0)))</f>
        <v/>
      </c>
      <c r="V4554" s="53">
        <f>IF(P4554="","",IF(P4554="Ingreso",S4554,0))</f>
        <v/>
      </c>
      <c r="W4554" s="53">
        <f>IF(P4554="","",IF(P4554="Resultado trading",S4554,0))</f>
        <v/>
      </c>
      <c r="X4554" s="52">
        <f>IF(OR(P4554="Gasto",P4554="Reembolso"),IF(M4554&lt;&gt;"",M4554,IFERROR(INDEX(catClasif,MATCH(D4554&amp;"|"&amp;E4554,catClave,0))&amp;"","Variable")),"")</f>
        <v/>
      </c>
      <c r="Y4554" s="52">
        <f>IF(P4554="","",IFERROR(INDEX(catGrupo,MATCH(D4554&amp;"|"&amp;E4554,catClave,0))&amp;"",""))</f>
        <v/>
      </c>
      <c r="Z4554" s="52">
        <f>IF(P4554="","",WEEKDAY(B4554,2))</f>
        <v/>
      </c>
      <c r="AA4554" s="52">
        <f>IF(P4554="","",IF(AND(P4554="Gasto",X4554="Variable",D4554&lt;&gt;catTrading,S4554&gt;0,S4554&lt;=Umbral),1,0))</f>
        <v/>
      </c>
      <c r="AB4554" s="52">
        <f>IF(OR(P4554="",Q4554=""),"",IFERROR(IF(INDEX(ctaVinc,MATCH(Q4554,ctaNombre,0))&amp;""&lt;&gt;"",INDEX(ctaVinc,MATCH(Q4554,ctaNombre,0))&amp;"",Q4554),Q4554))</f>
        <v/>
      </c>
      <c r="AC4554" s="52">
        <f>IF(OR(K4554="",AND(P4554&lt;&gt;"Transferencia",P4554&lt;&gt;"Pago tarjeta")),"",IFERROR(IF(INDEX(ctaVinc,MATCH(K4554,ctaNombre,0))&amp;""&lt;&gt;"",INDEX(ctaVinc,MATCH(K4554,ctaNombre,0))&amp;"",K4554),K4554))</f>
        <v/>
      </c>
      <c r="AD4554" s="52">
        <f>IF(AB4554="","",IFERROR(INDEX(ctaTipo,MATCH(AB4554,ctaNombre,0))&amp;"",""))</f>
        <v/>
      </c>
      <c r="AE4554" s="52">
        <f>IF(AC4554="","",IFERROR(INDEX(ctaTipo,MATCH(AC4554,ctaNombre,0))&amp;"",""))</f>
        <v/>
      </c>
      <c r="AF4554" s="53">
        <f>IF(OR(P4554="",AB4554=""),"",IF(OR(P4554="Gasto",P4554="Transferencia",P4554="Pago tarjeta"),-1,1)*IF(IFERROR(INDEX(ctaMoneda,MATCH(AB4554,ctaNombre,0))&amp;"","DOP")="USD",T4554,S4554))</f>
        <v/>
      </c>
      <c r="AG4554" s="53">
        <f>IF(AC4554="","",IF(IFERROR(INDEX(ctaMoneda,MATCH(AC4554,ctaNombre,0))&amp;"","DOP")="USD",T4554,S4554))</f>
        <v/>
      </c>
      <c r="AH4554" s="53">
        <f>IF(P4554="","",IF(AND(AD4554&lt;&gt;"",COUNTIFS(tcTipo,AD4554,tcLiq,"Sí")&gt;0),IF(OR(P4554="Gasto",P4554="Transferencia",P4554="Pago tarjeta"),-1,1)*S4554,0)+IF(AND(AE4554&lt;&gt;"",COUNTIFS(tcTipo,AE4554,tcLiq,"Sí")&gt;0),S4554,0))</f>
        <v/>
      </c>
      <c r="AI4554" s="52">
        <f>IF(OR(L4554="",P4554=""),"",IF(COUNTIFS(L$6:L4554,L4554,P$6:P4554,"?*")=1,MAX(AI$5:AI4553)+1,""))</f>
        <v/>
      </c>
    </row>
    <row r="4555">
      <c r="B4555" s="47" t="n"/>
      <c r="C4555" s="48" t="n"/>
      <c r="D4555" s="48" t="n"/>
      <c r="E4555" s="48" t="n"/>
      <c r="F4555" s="48" t="n"/>
      <c r="G4555" s="49" t="n"/>
      <c r="H4555" s="48" t="n"/>
      <c r="I4555" s="50" t="n"/>
      <c r="J4555" s="48" t="n"/>
      <c r="K4555" s="48" t="n"/>
      <c r="L4555" s="48" t="n"/>
      <c r="M4555" s="48" t="n"/>
      <c r="N4555" s="48" t="n"/>
      <c r="O4555" s="51">
        <f>IF(AND(B4555="",G4555="",C4555="",D4555="",J4555=""),"",IF(B4555="","⚠ Falta fecha",IF(G4555="","⚠ Falta monto",IF(Q4555="","⚠ Falta cuenta",IF(ISNA(MATCH(Q4555,ctaNombre,0)),"⚠ Cuenta no registrada",IF(AND(OR(P4555="Gasto",P4555="Reembolso"),D4555=""),"⚠ Falta categoría",IF(AND(D4555&lt;&gt;"",E4555&lt;&gt;"",ISNA(MATCH(D4555&amp;"|"&amp;E4555,catClave,0))),"⚠ Subcategoría no corresponde",IF(AND(OR(P4555="Transferencia",P4555="Pago tarjeta"),K4555=""),"⚠ Falta cuenta destino",IF(AND(K4555&lt;&gt;"",P4555&lt;&gt;"Transferencia",P4555&lt;&gt;"Pago tarjeta"),"⚠ Destino solo aplica a transferencias",IF(AND(K4555&lt;&gt;"",K4555=Q4555),"⚠ Origen igual a destino",IF(AND(K4555&lt;&gt;"",ISNA(MATCH(K4555,ctaNombre,0))),"⚠ Destino no registrado",IF(AND(P4555="Pago tarjeta",AE4555&lt;&gt;"Tarjeta de crédito"),"⚠ El destino debe ser tarjeta de crédito",IF(AND(P4555="Gasto",E4555="Depósitos y retiros"),"⚠ Usa tipo Transferencia",IF(AND(P4555="Resultado trading",AD4555&lt;&gt;"Cuenta de trading"),"⚠ Usa una cuenta de trading",IF(AND(G4555&lt;=0,P4555&lt;&gt;"Ajuste",P4555&lt;&gt;"Resultado trading"),"⚠ El monto debe ser positivo","✓")))))))))))))))</f>
        <v/>
      </c>
      <c r="P4555" s="52">
        <f>IF(OR(B4555="",G4555=""),"",IF(C4555="","Gasto",C4555))</f>
        <v/>
      </c>
      <c r="Q4555" s="52">
        <f>IF(P4555="","",IF(J4555&lt;&gt;"",J4555,CuentaPred&amp;""))</f>
        <v/>
      </c>
      <c r="R4555" s="52">
        <f>IF(P4555="","",IF(ISNUMBER(I4555),I4555,TasaUSD))</f>
        <v/>
      </c>
      <c r="S4555" s="53">
        <f>IF(P4555="","",IF(H4555="USD",G4555*R4555,G4555))</f>
        <v/>
      </c>
      <c r="T4555" s="53">
        <f>IF(P4555="","",IF(H4555="USD",G4555,IF(R4555&gt;0,G4555/R4555,0)))</f>
        <v/>
      </c>
      <c r="U4555" s="53">
        <f>IF(P4555="","",IF(P4555="Gasto",S4555,IF(P4555="Reembolso",-S4555,0)))</f>
        <v/>
      </c>
      <c r="V4555" s="53">
        <f>IF(P4555="","",IF(P4555="Ingreso",S4555,0))</f>
        <v/>
      </c>
      <c r="W4555" s="53">
        <f>IF(P4555="","",IF(P4555="Resultado trading",S4555,0))</f>
        <v/>
      </c>
      <c r="X4555" s="52">
        <f>IF(OR(P4555="Gasto",P4555="Reembolso"),IF(M4555&lt;&gt;"",M4555,IFERROR(INDEX(catClasif,MATCH(D4555&amp;"|"&amp;E4555,catClave,0))&amp;"","Variable")),"")</f>
        <v/>
      </c>
      <c r="Y4555" s="52">
        <f>IF(P4555="","",IFERROR(INDEX(catGrupo,MATCH(D4555&amp;"|"&amp;E4555,catClave,0))&amp;"",""))</f>
        <v/>
      </c>
      <c r="Z4555" s="52">
        <f>IF(P4555="","",WEEKDAY(B4555,2))</f>
        <v/>
      </c>
      <c r="AA4555" s="52">
        <f>IF(P4555="","",IF(AND(P4555="Gasto",X4555="Variable",D4555&lt;&gt;catTrading,S4555&gt;0,S4555&lt;=Umbral),1,0))</f>
        <v/>
      </c>
      <c r="AB4555" s="52">
        <f>IF(OR(P4555="",Q4555=""),"",IFERROR(IF(INDEX(ctaVinc,MATCH(Q4555,ctaNombre,0))&amp;""&lt;&gt;"",INDEX(ctaVinc,MATCH(Q4555,ctaNombre,0))&amp;"",Q4555),Q4555))</f>
        <v/>
      </c>
      <c r="AC4555" s="52">
        <f>IF(OR(K4555="",AND(P4555&lt;&gt;"Transferencia",P4555&lt;&gt;"Pago tarjeta")),"",IFERROR(IF(INDEX(ctaVinc,MATCH(K4555,ctaNombre,0))&amp;""&lt;&gt;"",INDEX(ctaVinc,MATCH(K4555,ctaNombre,0))&amp;"",K4555),K4555))</f>
        <v/>
      </c>
      <c r="AD4555" s="52">
        <f>IF(AB4555="","",IFERROR(INDEX(ctaTipo,MATCH(AB4555,ctaNombre,0))&amp;"",""))</f>
        <v/>
      </c>
      <c r="AE4555" s="52">
        <f>IF(AC4555="","",IFERROR(INDEX(ctaTipo,MATCH(AC4555,ctaNombre,0))&amp;"",""))</f>
        <v/>
      </c>
      <c r="AF4555" s="53">
        <f>IF(OR(P4555="",AB4555=""),"",IF(OR(P4555="Gasto",P4555="Transferencia",P4555="Pago tarjeta"),-1,1)*IF(IFERROR(INDEX(ctaMoneda,MATCH(AB4555,ctaNombre,0))&amp;"","DOP")="USD",T4555,S4555))</f>
        <v/>
      </c>
      <c r="AG4555" s="53">
        <f>IF(AC4555="","",IF(IFERROR(INDEX(ctaMoneda,MATCH(AC4555,ctaNombre,0))&amp;"","DOP")="USD",T4555,S4555))</f>
        <v/>
      </c>
      <c r="AH4555" s="53">
        <f>IF(P4555="","",IF(AND(AD4555&lt;&gt;"",COUNTIFS(tcTipo,AD4555,tcLiq,"Sí")&gt;0),IF(OR(P4555="Gasto",P4555="Transferencia",P4555="Pago tarjeta"),-1,1)*S4555,0)+IF(AND(AE4555&lt;&gt;"",COUNTIFS(tcTipo,AE4555,tcLiq,"Sí")&gt;0),S4555,0))</f>
        <v/>
      </c>
      <c r="AI4555" s="52">
        <f>IF(OR(L4555="",P4555=""),"",IF(COUNTIFS(L$6:L4555,L4555,P$6:P4555,"?*")=1,MAX(AI$5:AI4554)+1,""))</f>
        <v/>
      </c>
    </row>
    <row r="4556">
      <c r="B4556" s="47" t="n"/>
      <c r="C4556" s="48" t="n"/>
      <c r="D4556" s="48" t="n"/>
      <c r="E4556" s="48" t="n"/>
      <c r="F4556" s="48" t="n"/>
      <c r="G4556" s="49" t="n"/>
      <c r="H4556" s="48" t="n"/>
      <c r="I4556" s="50" t="n"/>
      <c r="J4556" s="48" t="n"/>
      <c r="K4556" s="48" t="n"/>
      <c r="L4556" s="48" t="n"/>
      <c r="M4556" s="48" t="n"/>
      <c r="N4556" s="48" t="n"/>
      <c r="O4556" s="51">
        <f>IF(AND(B4556="",G4556="",C4556="",D4556="",J4556=""),"",IF(B4556="","⚠ Falta fecha",IF(G4556="","⚠ Falta monto",IF(Q4556="","⚠ Falta cuenta",IF(ISNA(MATCH(Q4556,ctaNombre,0)),"⚠ Cuenta no registrada",IF(AND(OR(P4556="Gasto",P4556="Reembolso"),D4556=""),"⚠ Falta categoría",IF(AND(D4556&lt;&gt;"",E4556&lt;&gt;"",ISNA(MATCH(D4556&amp;"|"&amp;E4556,catClave,0))),"⚠ Subcategoría no corresponde",IF(AND(OR(P4556="Transferencia",P4556="Pago tarjeta"),K4556=""),"⚠ Falta cuenta destino",IF(AND(K4556&lt;&gt;"",P4556&lt;&gt;"Transferencia",P4556&lt;&gt;"Pago tarjeta"),"⚠ Destino solo aplica a transferencias",IF(AND(K4556&lt;&gt;"",K4556=Q4556),"⚠ Origen igual a destino",IF(AND(K4556&lt;&gt;"",ISNA(MATCH(K4556,ctaNombre,0))),"⚠ Destino no registrado",IF(AND(P4556="Pago tarjeta",AE4556&lt;&gt;"Tarjeta de crédito"),"⚠ El destino debe ser tarjeta de crédito",IF(AND(P4556="Gasto",E4556="Depósitos y retiros"),"⚠ Usa tipo Transferencia",IF(AND(P4556="Resultado trading",AD4556&lt;&gt;"Cuenta de trading"),"⚠ Usa una cuenta de trading",IF(AND(G4556&lt;=0,P4556&lt;&gt;"Ajuste",P4556&lt;&gt;"Resultado trading"),"⚠ El monto debe ser positivo","✓")))))))))))))))</f>
        <v/>
      </c>
      <c r="P4556" s="52">
        <f>IF(OR(B4556="",G4556=""),"",IF(C4556="","Gasto",C4556))</f>
        <v/>
      </c>
      <c r="Q4556" s="52">
        <f>IF(P4556="","",IF(J4556&lt;&gt;"",J4556,CuentaPred&amp;""))</f>
        <v/>
      </c>
      <c r="R4556" s="52">
        <f>IF(P4556="","",IF(ISNUMBER(I4556),I4556,TasaUSD))</f>
        <v/>
      </c>
      <c r="S4556" s="53">
        <f>IF(P4556="","",IF(H4556="USD",G4556*R4556,G4556))</f>
        <v/>
      </c>
      <c r="T4556" s="53">
        <f>IF(P4556="","",IF(H4556="USD",G4556,IF(R4556&gt;0,G4556/R4556,0)))</f>
        <v/>
      </c>
      <c r="U4556" s="53">
        <f>IF(P4556="","",IF(P4556="Gasto",S4556,IF(P4556="Reembolso",-S4556,0)))</f>
        <v/>
      </c>
      <c r="V4556" s="53">
        <f>IF(P4556="","",IF(P4556="Ingreso",S4556,0))</f>
        <v/>
      </c>
      <c r="W4556" s="53">
        <f>IF(P4556="","",IF(P4556="Resultado trading",S4556,0))</f>
        <v/>
      </c>
      <c r="X4556" s="52">
        <f>IF(OR(P4556="Gasto",P4556="Reembolso"),IF(M4556&lt;&gt;"",M4556,IFERROR(INDEX(catClasif,MATCH(D4556&amp;"|"&amp;E4556,catClave,0))&amp;"","Variable")),"")</f>
        <v/>
      </c>
      <c r="Y4556" s="52">
        <f>IF(P4556="","",IFERROR(INDEX(catGrupo,MATCH(D4556&amp;"|"&amp;E4556,catClave,0))&amp;"",""))</f>
        <v/>
      </c>
      <c r="Z4556" s="52">
        <f>IF(P4556="","",WEEKDAY(B4556,2))</f>
        <v/>
      </c>
      <c r="AA4556" s="52">
        <f>IF(P4556="","",IF(AND(P4556="Gasto",X4556="Variable",D4556&lt;&gt;catTrading,S4556&gt;0,S4556&lt;=Umbral),1,0))</f>
        <v/>
      </c>
      <c r="AB4556" s="52">
        <f>IF(OR(P4556="",Q4556=""),"",IFERROR(IF(INDEX(ctaVinc,MATCH(Q4556,ctaNombre,0))&amp;""&lt;&gt;"",INDEX(ctaVinc,MATCH(Q4556,ctaNombre,0))&amp;"",Q4556),Q4556))</f>
        <v/>
      </c>
      <c r="AC4556" s="52">
        <f>IF(OR(K4556="",AND(P4556&lt;&gt;"Transferencia",P4556&lt;&gt;"Pago tarjeta")),"",IFERROR(IF(INDEX(ctaVinc,MATCH(K4556,ctaNombre,0))&amp;""&lt;&gt;"",INDEX(ctaVinc,MATCH(K4556,ctaNombre,0))&amp;"",K4556),K4556))</f>
        <v/>
      </c>
      <c r="AD4556" s="52">
        <f>IF(AB4556="","",IFERROR(INDEX(ctaTipo,MATCH(AB4556,ctaNombre,0))&amp;"",""))</f>
        <v/>
      </c>
      <c r="AE4556" s="52">
        <f>IF(AC4556="","",IFERROR(INDEX(ctaTipo,MATCH(AC4556,ctaNombre,0))&amp;"",""))</f>
        <v/>
      </c>
      <c r="AF4556" s="53">
        <f>IF(OR(P4556="",AB4556=""),"",IF(OR(P4556="Gasto",P4556="Transferencia",P4556="Pago tarjeta"),-1,1)*IF(IFERROR(INDEX(ctaMoneda,MATCH(AB4556,ctaNombre,0))&amp;"","DOP")="USD",T4556,S4556))</f>
        <v/>
      </c>
      <c r="AG4556" s="53">
        <f>IF(AC4556="","",IF(IFERROR(INDEX(ctaMoneda,MATCH(AC4556,ctaNombre,0))&amp;"","DOP")="USD",T4556,S4556))</f>
        <v/>
      </c>
      <c r="AH4556" s="53">
        <f>IF(P4556="","",IF(AND(AD4556&lt;&gt;"",COUNTIFS(tcTipo,AD4556,tcLiq,"Sí")&gt;0),IF(OR(P4556="Gasto",P4556="Transferencia",P4556="Pago tarjeta"),-1,1)*S4556,0)+IF(AND(AE4556&lt;&gt;"",COUNTIFS(tcTipo,AE4556,tcLiq,"Sí")&gt;0),S4556,0))</f>
        <v/>
      </c>
      <c r="AI4556" s="52">
        <f>IF(OR(L4556="",P4556=""),"",IF(COUNTIFS(L$6:L4556,L4556,P$6:P4556,"?*")=1,MAX(AI$5:AI4555)+1,""))</f>
        <v/>
      </c>
    </row>
    <row r="4557">
      <c r="B4557" s="47" t="n"/>
      <c r="C4557" s="48" t="n"/>
      <c r="D4557" s="48" t="n"/>
      <c r="E4557" s="48" t="n"/>
      <c r="F4557" s="48" t="n"/>
      <c r="G4557" s="49" t="n"/>
      <c r="H4557" s="48" t="n"/>
      <c r="I4557" s="50" t="n"/>
      <c r="J4557" s="48" t="n"/>
      <c r="K4557" s="48" t="n"/>
      <c r="L4557" s="48" t="n"/>
      <c r="M4557" s="48" t="n"/>
      <c r="N4557" s="48" t="n"/>
      <c r="O4557" s="51">
        <f>IF(AND(B4557="",G4557="",C4557="",D4557="",J4557=""),"",IF(B4557="","⚠ Falta fecha",IF(G4557="","⚠ Falta monto",IF(Q4557="","⚠ Falta cuenta",IF(ISNA(MATCH(Q4557,ctaNombre,0)),"⚠ Cuenta no registrada",IF(AND(OR(P4557="Gasto",P4557="Reembolso"),D4557=""),"⚠ Falta categoría",IF(AND(D4557&lt;&gt;"",E4557&lt;&gt;"",ISNA(MATCH(D4557&amp;"|"&amp;E4557,catClave,0))),"⚠ Subcategoría no corresponde",IF(AND(OR(P4557="Transferencia",P4557="Pago tarjeta"),K4557=""),"⚠ Falta cuenta destino",IF(AND(K4557&lt;&gt;"",P4557&lt;&gt;"Transferencia",P4557&lt;&gt;"Pago tarjeta"),"⚠ Destino solo aplica a transferencias",IF(AND(K4557&lt;&gt;"",K4557=Q4557),"⚠ Origen igual a destino",IF(AND(K4557&lt;&gt;"",ISNA(MATCH(K4557,ctaNombre,0))),"⚠ Destino no registrado",IF(AND(P4557="Pago tarjeta",AE4557&lt;&gt;"Tarjeta de crédito"),"⚠ El destino debe ser tarjeta de crédito",IF(AND(P4557="Gasto",E4557="Depósitos y retiros"),"⚠ Usa tipo Transferencia",IF(AND(P4557="Resultado trading",AD4557&lt;&gt;"Cuenta de trading"),"⚠ Usa una cuenta de trading",IF(AND(G4557&lt;=0,P4557&lt;&gt;"Ajuste",P4557&lt;&gt;"Resultado trading"),"⚠ El monto debe ser positivo","✓")))))))))))))))</f>
        <v/>
      </c>
      <c r="P4557" s="52">
        <f>IF(OR(B4557="",G4557=""),"",IF(C4557="","Gasto",C4557))</f>
        <v/>
      </c>
      <c r="Q4557" s="52">
        <f>IF(P4557="","",IF(J4557&lt;&gt;"",J4557,CuentaPred&amp;""))</f>
        <v/>
      </c>
      <c r="R4557" s="52">
        <f>IF(P4557="","",IF(ISNUMBER(I4557),I4557,TasaUSD))</f>
        <v/>
      </c>
      <c r="S4557" s="53">
        <f>IF(P4557="","",IF(H4557="USD",G4557*R4557,G4557))</f>
        <v/>
      </c>
      <c r="T4557" s="53">
        <f>IF(P4557="","",IF(H4557="USD",G4557,IF(R4557&gt;0,G4557/R4557,0)))</f>
        <v/>
      </c>
      <c r="U4557" s="53">
        <f>IF(P4557="","",IF(P4557="Gasto",S4557,IF(P4557="Reembolso",-S4557,0)))</f>
        <v/>
      </c>
      <c r="V4557" s="53">
        <f>IF(P4557="","",IF(P4557="Ingreso",S4557,0))</f>
        <v/>
      </c>
      <c r="W4557" s="53">
        <f>IF(P4557="","",IF(P4557="Resultado trading",S4557,0))</f>
        <v/>
      </c>
      <c r="X4557" s="52">
        <f>IF(OR(P4557="Gasto",P4557="Reembolso"),IF(M4557&lt;&gt;"",M4557,IFERROR(INDEX(catClasif,MATCH(D4557&amp;"|"&amp;E4557,catClave,0))&amp;"","Variable")),"")</f>
        <v/>
      </c>
      <c r="Y4557" s="52">
        <f>IF(P4557="","",IFERROR(INDEX(catGrupo,MATCH(D4557&amp;"|"&amp;E4557,catClave,0))&amp;"",""))</f>
        <v/>
      </c>
      <c r="Z4557" s="52">
        <f>IF(P4557="","",WEEKDAY(B4557,2))</f>
        <v/>
      </c>
      <c r="AA4557" s="52">
        <f>IF(P4557="","",IF(AND(P4557="Gasto",X4557="Variable",D4557&lt;&gt;catTrading,S4557&gt;0,S4557&lt;=Umbral),1,0))</f>
        <v/>
      </c>
      <c r="AB4557" s="52">
        <f>IF(OR(P4557="",Q4557=""),"",IFERROR(IF(INDEX(ctaVinc,MATCH(Q4557,ctaNombre,0))&amp;""&lt;&gt;"",INDEX(ctaVinc,MATCH(Q4557,ctaNombre,0))&amp;"",Q4557),Q4557))</f>
        <v/>
      </c>
      <c r="AC4557" s="52">
        <f>IF(OR(K4557="",AND(P4557&lt;&gt;"Transferencia",P4557&lt;&gt;"Pago tarjeta")),"",IFERROR(IF(INDEX(ctaVinc,MATCH(K4557,ctaNombre,0))&amp;""&lt;&gt;"",INDEX(ctaVinc,MATCH(K4557,ctaNombre,0))&amp;"",K4557),K4557))</f>
        <v/>
      </c>
      <c r="AD4557" s="52">
        <f>IF(AB4557="","",IFERROR(INDEX(ctaTipo,MATCH(AB4557,ctaNombre,0))&amp;"",""))</f>
        <v/>
      </c>
      <c r="AE4557" s="52">
        <f>IF(AC4557="","",IFERROR(INDEX(ctaTipo,MATCH(AC4557,ctaNombre,0))&amp;"",""))</f>
        <v/>
      </c>
      <c r="AF4557" s="53">
        <f>IF(OR(P4557="",AB4557=""),"",IF(OR(P4557="Gasto",P4557="Transferencia",P4557="Pago tarjeta"),-1,1)*IF(IFERROR(INDEX(ctaMoneda,MATCH(AB4557,ctaNombre,0))&amp;"","DOP")="USD",T4557,S4557))</f>
        <v/>
      </c>
      <c r="AG4557" s="53">
        <f>IF(AC4557="","",IF(IFERROR(INDEX(ctaMoneda,MATCH(AC4557,ctaNombre,0))&amp;"","DOP")="USD",T4557,S4557))</f>
        <v/>
      </c>
      <c r="AH4557" s="53">
        <f>IF(P4557="","",IF(AND(AD4557&lt;&gt;"",COUNTIFS(tcTipo,AD4557,tcLiq,"Sí")&gt;0),IF(OR(P4557="Gasto",P4557="Transferencia",P4557="Pago tarjeta"),-1,1)*S4557,0)+IF(AND(AE4557&lt;&gt;"",COUNTIFS(tcTipo,AE4557,tcLiq,"Sí")&gt;0),S4557,0))</f>
        <v/>
      </c>
      <c r="AI4557" s="52">
        <f>IF(OR(L4557="",P4557=""),"",IF(COUNTIFS(L$6:L4557,L4557,P$6:P4557,"?*")=1,MAX(AI$5:AI4556)+1,""))</f>
        <v/>
      </c>
    </row>
    <row r="4558">
      <c r="B4558" s="47" t="n"/>
      <c r="C4558" s="48" t="n"/>
      <c r="D4558" s="48" t="n"/>
      <c r="E4558" s="48" t="n"/>
      <c r="F4558" s="48" t="n"/>
      <c r="G4558" s="49" t="n"/>
      <c r="H4558" s="48" t="n"/>
      <c r="I4558" s="50" t="n"/>
      <c r="J4558" s="48" t="n"/>
      <c r="K4558" s="48" t="n"/>
      <c r="L4558" s="48" t="n"/>
      <c r="M4558" s="48" t="n"/>
      <c r="N4558" s="48" t="n"/>
      <c r="O4558" s="51">
        <f>IF(AND(B4558="",G4558="",C4558="",D4558="",J4558=""),"",IF(B4558="","⚠ Falta fecha",IF(G4558="","⚠ Falta monto",IF(Q4558="","⚠ Falta cuenta",IF(ISNA(MATCH(Q4558,ctaNombre,0)),"⚠ Cuenta no registrada",IF(AND(OR(P4558="Gasto",P4558="Reembolso"),D4558=""),"⚠ Falta categoría",IF(AND(D4558&lt;&gt;"",E4558&lt;&gt;"",ISNA(MATCH(D4558&amp;"|"&amp;E4558,catClave,0))),"⚠ Subcategoría no corresponde",IF(AND(OR(P4558="Transferencia",P4558="Pago tarjeta"),K4558=""),"⚠ Falta cuenta destino",IF(AND(K4558&lt;&gt;"",P4558&lt;&gt;"Transferencia",P4558&lt;&gt;"Pago tarjeta"),"⚠ Destino solo aplica a transferencias",IF(AND(K4558&lt;&gt;"",K4558=Q4558),"⚠ Origen igual a destino",IF(AND(K4558&lt;&gt;"",ISNA(MATCH(K4558,ctaNombre,0))),"⚠ Destino no registrado",IF(AND(P4558="Pago tarjeta",AE4558&lt;&gt;"Tarjeta de crédito"),"⚠ El destino debe ser tarjeta de crédito",IF(AND(P4558="Gasto",E4558="Depósitos y retiros"),"⚠ Usa tipo Transferencia",IF(AND(P4558="Resultado trading",AD4558&lt;&gt;"Cuenta de trading"),"⚠ Usa una cuenta de trading",IF(AND(G4558&lt;=0,P4558&lt;&gt;"Ajuste",P4558&lt;&gt;"Resultado trading"),"⚠ El monto debe ser positivo","✓")))))))))))))))</f>
        <v/>
      </c>
      <c r="P4558" s="52">
        <f>IF(OR(B4558="",G4558=""),"",IF(C4558="","Gasto",C4558))</f>
        <v/>
      </c>
      <c r="Q4558" s="52">
        <f>IF(P4558="","",IF(J4558&lt;&gt;"",J4558,CuentaPred&amp;""))</f>
        <v/>
      </c>
      <c r="R4558" s="52">
        <f>IF(P4558="","",IF(ISNUMBER(I4558),I4558,TasaUSD))</f>
        <v/>
      </c>
      <c r="S4558" s="53">
        <f>IF(P4558="","",IF(H4558="USD",G4558*R4558,G4558))</f>
        <v/>
      </c>
      <c r="T4558" s="53">
        <f>IF(P4558="","",IF(H4558="USD",G4558,IF(R4558&gt;0,G4558/R4558,0)))</f>
        <v/>
      </c>
      <c r="U4558" s="53">
        <f>IF(P4558="","",IF(P4558="Gasto",S4558,IF(P4558="Reembolso",-S4558,0)))</f>
        <v/>
      </c>
      <c r="V4558" s="53">
        <f>IF(P4558="","",IF(P4558="Ingreso",S4558,0))</f>
        <v/>
      </c>
      <c r="W4558" s="53">
        <f>IF(P4558="","",IF(P4558="Resultado trading",S4558,0))</f>
        <v/>
      </c>
      <c r="X4558" s="52">
        <f>IF(OR(P4558="Gasto",P4558="Reembolso"),IF(M4558&lt;&gt;"",M4558,IFERROR(INDEX(catClasif,MATCH(D4558&amp;"|"&amp;E4558,catClave,0))&amp;"","Variable")),"")</f>
        <v/>
      </c>
      <c r="Y4558" s="52">
        <f>IF(P4558="","",IFERROR(INDEX(catGrupo,MATCH(D4558&amp;"|"&amp;E4558,catClave,0))&amp;"",""))</f>
        <v/>
      </c>
      <c r="Z4558" s="52">
        <f>IF(P4558="","",WEEKDAY(B4558,2))</f>
        <v/>
      </c>
      <c r="AA4558" s="52">
        <f>IF(P4558="","",IF(AND(P4558="Gasto",X4558="Variable",D4558&lt;&gt;catTrading,S4558&gt;0,S4558&lt;=Umbral),1,0))</f>
        <v/>
      </c>
      <c r="AB4558" s="52">
        <f>IF(OR(P4558="",Q4558=""),"",IFERROR(IF(INDEX(ctaVinc,MATCH(Q4558,ctaNombre,0))&amp;""&lt;&gt;"",INDEX(ctaVinc,MATCH(Q4558,ctaNombre,0))&amp;"",Q4558),Q4558))</f>
        <v/>
      </c>
      <c r="AC4558" s="52">
        <f>IF(OR(K4558="",AND(P4558&lt;&gt;"Transferencia",P4558&lt;&gt;"Pago tarjeta")),"",IFERROR(IF(INDEX(ctaVinc,MATCH(K4558,ctaNombre,0))&amp;""&lt;&gt;"",INDEX(ctaVinc,MATCH(K4558,ctaNombre,0))&amp;"",K4558),K4558))</f>
        <v/>
      </c>
      <c r="AD4558" s="52">
        <f>IF(AB4558="","",IFERROR(INDEX(ctaTipo,MATCH(AB4558,ctaNombre,0))&amp;"",""))</f>
        <v/>
      </c>
      <c r="AE4558" s="52">
        <f>IF(AC4558="","",IFERROR(INDEX(ctaTipo,MATCH(AC4558,ctaNombre,0))&amp;"",""))</f>
        <v/>
      </c>
      <c r="AF4558" s="53">
        <f>IF(OR(P4558="",AB4558=""),"",IF(OR(P4558="Gasto",P4558="Transferencia",P4558="Pago tarjeta"),-1,1)*IF(IFERROR(INDEX(ctaMoneda,MATCH(AB4558,ctaNombre,0))&amp;"","DOP")="USD",T4558,S4558))</f>
        <v/>
      </c>
      <c r="AG4558" s="53">
        <f>IF(AC4558="","",IF(IFERROR(INDEX(ctaMoneda,MATCH(AC4558,ctaNombre,0))&amp;"","DOP")="USD",T4558,S4558))</f>
        <v/>
      </c>
      <c r="AH4558" s="53">
        <f>IF(P4558="","",IF(AND(AD4558&lt;&gt;"",COUNTIFS(tcTipo,AD4558,tcLiq,"Sí")&gt;0),IF(OR(P4558="Gasto",P4558="Transferencia",P4558="Pago tarjeta"),-1,1)*S4558,0)+IF(AND(AE4558&lt;&gt;"",COUNTIFS(tcTipo,AE4558,tcLiq,"Sí")&gt;0),S4558,0))</f>
        <v/>
      </c>
      <c r="AI4558" s="52">
        <f>IF(OR(L4558="",P4558=""),"",IF(COUNTIFS(L$6:L4558,L4558,P$6:P4558,"?*")=1,MAX(AI$5:AI4557)+1,""))</f>
        <v/>
      </c>
    </row>
    <row r="4559">
      <c r="B4559" s="47" t="n"/>
      <c r="C4559" s="48" t="n"/>
      <c r="D4559" s="48" t="n"/>
      <c r="E4559" s="48" t="n"/>
      <c r="F4559" s="48" t="n"/>
      <c r="G4559" s="49" t="n"/>
      <c r="H4559" s="48" t="n"/>
      <c r="I4559" s="50" t="n"/>
      <c r="J4559" s="48" t="n"/>
      <c r="K4559" s="48" t="n"/>
      <c r="L4559" s="48" t="n"/>
      <c r="M4559" s="48" t="n"/>
      <c r="N4559" s="48" t="n"/>
      <c r="O4559" s="51">
        <f>IF(AND(B4559="",G4559="",C4559="",D4559="",J4559=""),"",IF(B4559="","⚠ Falta fecha",IF(G4559="","⚠ Falta monto",IF(Q4559="","⚠ Falta cuenta",IF(ISNA(MATCH(Q4559,ctaNombre,0)),"⚠ Cuenta no registrada",IF(AND(OR(P4559="Gasto",P4559="Reembolso"),D4559=""),"⚠ Falta categoría",IF(AND(D4559&lt;&gt;"",E4559&lt;&gt;"",ISNA(MATCH(D4559&amp;"|"&amp;E4559,catClave,0))),"⚠ Subcategoría no corresponde",IF(AND(OR(P4559="Transferencia",P4559="Pago tarjeta"),K4559=""),"⚠ Falta cuenta destino",IF(AND(K4559&lt;&gt;"",P4559&lt;&gt;"Transferencia",P4559&lt;&gt;"Pago tarjeta"),"⚠ Destino solo aplica a transferencias",IF(AND(K4559&lt;&gt;"",K4559=Q4559),"⚠ Origen igual a destino",IF(AND(K4559&lt;&gt;"",ISNA(MATCH(K4559,ctaNombre,0))),"⚠ Destino no registrado",IF(AND(P4559="Pago tarjeta",AE4559&lt;&gt;"Tarjeta de crédito"),"⚠ El destino debe ser tarjeta de crédito",IF(AND(P4559="Gasto",E4559="Depósitos y retiros"),"⚠ Usa tipo Transferencia",IF(AND(P4559="Resultado trading",AD4559&lt;&gt;"Cuenta de trading"),"⚠ Usa una cuenta de trading",IF(AND(G4559&lt;=0,P4559&lt;&gt;"Ajuste",P4559&lt;&gt;"Resultado trading"),"⚠ El monto debe ser positivo","✓")))))))))))))))</f>
        <v/>
      </c>
      <c r="P4559" s="52">
        <f>IF(OR(B4559="",G4559=""),"",IF(C4559="","Gasto",C4559))</f>
        <v/>
      </c>
      <c r="Q4559" s="52">
        <f>IF(P4559="","",IF(J4559&lt;&gt;"",J4559,CuentaPred&amp;""))</f>
        <v/>
      </c>
      <c r="R4559" s="52">
        <f>IF(P4559="","",IF(ISNUMBER(I4559),I4559,TasaUSD))</f>
        <v/>
      </c>
      <c r="S4559" s="53">
        <f>IF(P4559="","",IF(H4559="USD",G4559*R4559,G4559))</f>
        <v/>
      </c>
      <c r="T4559" s="53">
        <f>IF(P4559="","",IF(H4559="USD",G4559,IF(R4559&gt;0,G4559/R4559,0)))</f>
        <v/>
      </c>
      <c r="U4559" s="53">
        <f>IF(P4559="","",IF(P4559="Gasto",S4559,IF(P4559="Reembolso",-S4559,0)))</f>
        <v/>
      </c>
      <c r="V4559" s="53">
        <f>IF(P4559="","",IF(P4559="Ingreso",S4559,0))</f>
        <v/>
      </c>
      <c r="W4559" s="53">
        <f>IF(P4559="","",IF(P4559="Resultado trading",S4559,0))</f>
        <v/>
      </c>
      <c r="X4559" s="52">
        <f>IF(OR(P4559="Gasto",P4559="Reembolso"),IF(M4559&lt;&gt;"",M4559,IFERROR(INDEX(catClasif,MATCH(D4559&amp;"|"&amp;E4559,catClave,0))&amp;"","Variable")),"")</f>
        <v/>
      </c>
      <c r="Y4559" s="52">
        <f>IF(P4559="","",IFERROR(INDEX(catGrupo,MATCH(D4559&amp;"|"&amp;E4559,catClave,0))&amp;"",""))</f>
        <v/>
      </c>
      <c r="Z4559" s="52">
        <f>IF(P4559="","",WEEKDAY(B4559,2))</f>
        <v/>
      </c>
      <c r="AA4559" s="52">
        <f>IF(P4559="","",IF(AND(P4559="Gasto",X4559="Variable",D4559&lt;&gt;catTrading,S4559&gt;0,S4559&lt;=Umbral),1,0))</f>
        <v/>
      </c>
      <c r="AB4559" s="52">
        <f>IF(OR(P4559="",Q4559=""),"",IFERROR(IF(INDEX(ctaVinc,MATCH(Q4559,ctaNombre,0))&amp;""&lt;&gt;"",INDEX(ctaVinc,MATCH(Q4559,ctaNombre,0))&amp;"",Q4559),Q4559))</f>
        <v/>
      </c>
      <c r="AC4559" s="52">
        <f>IF(OR(K4559="",AND(P4559&lt;&gt;"Transferencia",P4559&lt;&gt;"Pago tarjeta")),"",IFERROR(IF(INDEX(ctaVinc,MATCH(K4559,ctaNombre,0))&amp;""&lt;&gt;"",INDEX(ctaVinc,MATCH(K4559,ctaNombre,0))&amp;"",K4559),K4559))</f>
        <v/>
      </c>
      <c r="AD4559" s="52">
        <f>IF(AB4559="","",IFERROR(INDEX(ctaTipo,MATCH(AB4559,ctaNombre,0))&amp;"",""))</f>
        <v/>
      </c>
      <c r="AE4559" s="52">
        <f>IF(AC4559="","",IFERROR(INDEX(ctaTipo,MATCH(AC4559,ctaNombre,0))&amp;"",""))</f>
        <v/>
      </c>
      <c r="AF4559" s="53">
        <f>IF(OR(P4559="",AB4559=""),"",IF(OR(P4559="Gasto",P4559="Transferencia",P4559="Pago tarjeta"),-1,1)*IF(IFERROR(INDEX(ctaMoneda,MATCH(AB4559,ctaNombre,0))&amp;"","DOP")="USD",T4559,S4559))</f>
        <v/>
      </c>
      <c r="AG4559" s="53">
        <f>IF(AC4559="","",IF(IFERROR(INDEX(ctaMoneda,MATCH(AC4559,ctaNombre,0))&amp;"","DOP")="USD",T4559,S4559))</f>
        <v/>
      </c>
      <c r="AH4559" s="53">
        <f>IF(P4559="","",IF(AND(AD4559&lt;&gt;"",COUNTIFS(tcTipo,AD4559,tcLiq,"Sí")&gt;0),IF(OR(P4559="Gasto",P4559="Transferencia",P4559="Pago tarjeta"),-1,1)*S4559,0)+IF(AND(AE4559&lt;&gt;"",COUNTIFS(tcTipo,AE4559,tcLiq,"Sí")&gt;0),S4559,0))</f>
        <v/>
      </c>
      <c r="AI4559" s="52">
        <f>IF(OR(L4559="",P4559=""),"",IF(COUNTIFS(L$6:L4559,L4559,P$6:P4559,"?*")=1,MAX(AI$5:AI4558)+1,""))</f>
        <v/>
      </c>
    </row>
    <row r="4560">
      <c r="B4560" s="47" t="n"/>
      <c r="C4560" s="48" t="n"/>
      <c r="D4560" s="48" t="n"/>
      <c r="E4560" s="48" t="n"/>
      <c r="F4560" s="48" t="n"/>
      <c r="G4560" s="49" t="n"/>
      <c r="H4560" s="48" t="n"/>
      <c r="I4560" s="50" t="n"/>
      <c r="J4560" s="48" t="n"/>
      <c r="K4560" s="48" t="n"/>
      <c r="L4560" s="48" t="n"/>
      <c r="M4560" s="48" t="n"/>
      <c r="N4560" s="48" t="n"/>
      <c r="O4560" s="51">
        <f>IF(AND(B4560="",G4560="",C4560="",D4560="",J4560=""),"",IF(B4560="","⚠ Falta fecha",IF(G4560="","⚠ Falta monto",IF(Q4560="","⚠ Falta cuenta",IF(ISNA(MATCH(Q4560,ctaNombre,0)),"⚠ Cuenta no registrada",IF(AND(OR(P4560="Gasto",P4560="Reembolso"),D4560=""),"⚠ Falta categoría",IF(AND(D4560&lt;&gt;"",E4560&lt;&gt;"",ISNA(MATCH(D4560&amp;"|"&amp;E4560,catClave,0))),"⚠ Subcategoría no corresponde",IF(AND(OR(P4560="Transferencia",P4560="Pago tarjeta"),K4560=""),"⚠ Falta cuenta destino",IF(AND(K4560&lt;&gt;"",P4560&lt;&gt;"Transferencia",P4560&lt;&gt;"Pago tarjeta"),"⚠ Destino solo aplica a transferencias",IF(AND(K4560&lt;&gt;"",K4560=Q4560),"⚠ Origen igual a destino",IF(AND(K4560&lt;&gt;"",ISNA(MATCH(K4560,ctaNombre,0))),"⚠ Destino no registrado",IF(AND(P4560="Pago tarjeta",AE4560&lt;&gt;"Tarjeta de crédito"),"⚠ El destino debe ser tarjeta de crédito",IF(AND(P4560="Gasto",E4560="Depósitos y retiros"),"⚠ Usa tipo Transferencia",IF(AND(P4560="Resultado trading",AD4560&lt;&gt;"Cuenta de trading"),"⚠ Usa una cuenta de trading",IF(AND(G4560&lt;=0,P4560&lt;&gt;"Ajuste",P4560&lt;&gt;"Resultado trading"),"⚠ El monto debe ser positivo","✓")))))))))))))))</f>
        <v/>
      </c>
      <c r="P4560" s="52">
        <f>IF(OR(B4560="",G4560=""),"",IF(C4560="","Gasto",C4560))</f>
        <v/>
      </c>
      <c r="Q4560" s="52">
        <f>IF(P4560="","",IF(J4560&lt;&gt;"",J4560,CuentaPred&amp;""))</f>
        <v/>
      </c>
      <c r="R4560" s="52">
        <f>IF(P4560="","",IF(ISNUMBER(I4560),I4560,TasaUSD))</f>
        <v/>
      </c>
      <c r="S4560" s="53">
        <f>IF(P4560="","",IF(H4560="USD",G4560*R4560,G4560))</f>
        <v/>
      </c>
      <c r="T4560" s="53">
        <f>IF(P4560="","",IF(H4560="USD",G4560,IF(R4560&gt;0,G4560/R4560,0)))</f>
        <v/>
      </c>
      <c r="U4560" s="53">
        <f>IF(P4560="","",IF(P4560="Gasto",S4560,IF(P4560="Reembolso",-S4560,0)))</f>
        <v/>
      </c>
      <c r="V4560" s="53">
        <f>IF(P4560="","",IF(P4560="Ingreso",S4560,0))</f>
        <v/>
      </c>
      <c r="W4560" s="53">
        <f>IF(P4560="","",IF(P4560="Resultado trading",S4560,0))</f>
        <v/>
      </c>
      <c r="X4560" s="52">
        <f>IF(OR(P4560="Gasto",P4560="Reembolso"),IF(M4560&lt;&gt;"",M4560,IFERROR(INDEX(catClasif,MATCH(D4560&amp;"|"&amp;E4560,catClave,0))&amp;"","Variable")),"")</f>
        <v/>
      </c>
      <c r="Y4560" s="52">
        <f>IF(P4560="","",IFERROR(INDEX(catGrupo,MATCH(D4560&amp;"|"&amp;E4560,catClave,0))&amp;"",""))</f>
        <v/>
      </c>
      <c r="Z4560" s="52">
        <f>IF(P4560="","",WEEKDAY(B4560,2))</f>
        <v/>
      </c>
      <c r="AA4560" s="52">
        <f>IF(P4560="","",IF(AND(P4560="Gasto",X4560="Variable",D4560&lt;&gt;catTrading,S4560&gt;0,S4560&lt;=Umbral),1,0))</f>
        <v/>
      </c>
      <c r="AB4560" s="52">
        <f>IF(OR(P4560="",Q4560=""),"",IFERROR(IF(INDEX(ctaVinc,MATCH(Q4560,ctaNombre,0))&amp;""&lt;&gt;"",INDEX(ctaVinc,MATCH(Q4560,ctaNombre,0))&amp;"",Q4560),Q4560))</f>
        <v/>
      </c>
      <c r="AC4560" s="52">
        <f>IF(OR(K4560="",AND(P4560&lt;&gt;"Transferencia",P4560&lt;&gt;"Pago tarjeta")),"",IFERROR(IF(INDEX(ctaVinc,MATCH(K4560,ctaNombre,0))&amp;""&lt;&gt;"",INDEX(ctaVinc,MATCH(K4560,ctaNombre,0))&amp;"",K4560),K4560))</f>
        <v/>
      </c>
      <c r="AD4560" s="52">
        <f>IF(AB4560="","",IFERROR(INDEX(ctaTipo,MATCH(AB4560,ctaNombre,0))&amp;"",""))</f>
        <v/>
      </c>
      <c r="AE4560" s="52">
        <f>IF(AC4560="","",IFERROR(INDEX(ctaTipo,MATCH(AC4560,ctaNombre,0))&amp;"",""))</f>
        <v/>
      </c>
      <c r="AF4560" s="53">
        <f>IF(OR(P4560="",AB4560=""),"",IF(OR(P4560="Gasto",P4560="Transferencia",P4560="Pago tarjeta"),-1,1)*IF(IFERROR(INDEX(ctaMoneda,MATCH(AB4560,ctaNombre,0))&amp;"","DOP")="USD",T4560,S4560))</f>
        <v/>
      </c>
      <c r="AG4560" s="53">
        <f>IF(AC4560="","",IF(IFERROR(INDEX(ctaMoneda,MATCH(AC4560,ctaNombre,0))&amp;"","DOP")="USD",T4560,S4560))</f>
        <v/>
      </c>
      <c r="AH4560" s="53">
        <f>IF(P4560="","",IF(AND(AD4560&lt;&gt;"",COUNTIFS(tcTipo,AD4560,tcLiq,"Sí")&gt;0),IF(OR(P4560="Gasto",P4560="Transferencia",P4560="Pago tarjeta"),-1,1)*S4560,0)+IF(AND(AE4560&lt;&gt;"",COUNTIFS(tcTipo,AE4560,tcLiq,"Sí")&gt;0),S4560,0))</f>
        <v/>
      </c>
      <c r="AI4560" s="52">
        <f>IF(OR(L4560="",P4560=""),"",IF(COUNTIFS(L$6:L4560,L4560,P$6:P4560,"?*")=1,MAX(AI$5:AI4559)+1,""))</f>
        <v/>
      </c>
    </row>
    <row r="4561">
      <c r="B4561" s="47" t="n"/>
      <c r="C4561" s="48" t="n"/>
      <c r="D4561" s="48" t="n"/>
      <c r="E4561" s="48" t="n"/>
      <c r="F4561" s="48" t="n"/>
      <c r="G4561" s="49" t="n"/>
      <c r="H4561" s="48" t="n"/>
      <c r="I4561" s="50" t="n"/>
      <c r="J4561" s="48" t="n"/>
      <c r="K4561" s="48" t="n"/>
      <c r="L4561" s="48" t="n"/>
      <c r="M4561" s="48" t="n"/>
      <c r="N4561" s="48" t="n"/>
      <c r="O4561" s="51">
        <f>IF(AND(B4561="",G4561="",C4561="",D4561="",J4561=""),"",IF(B4561="","⚠ Falta fecha",IF(G4561="","⚠ Falta monto",IF(Q4561="","⚠ Falta cuenta",IF(ISNA(MATCH(Q4561,ctaNombre,0)),"⚠ Cuenta no registrada",IF(AND(OR(P4561="Gasto",P4561="Reembolso"),D4561=""),"⚠ Falta categoría",IF(AND(D4561&lt;&gt;"",E4561&lt;&gt;"",ISNA(MATCH(D4561&amp;"|"&amp;E4561,catClave,0))),"⚠ Subcategoría no corresponde",IF(AND(OR(P4561="Transferencia",P4561="Pago tarjeta"),K4561=""),"⚠ Falta cuenta destino",IF(AND(K4561&lt;&gt;"",P4561&lt;&gt;"Transferencia",P4561&lt;&gt;"Pago tarjeta"),"⚠ Destino solo aplica a transferencias",IF(AND(K4561&lt;&gt;"",K4561=Q4561),"⚠ Origen igual a destino",IF(AND(K4561&lt;&gt;"",ISNA(MATCH(K4561,ctaNombre,0))),"⚠ Destino no registrado",IF(AND(P4561="Pago tarjeta",AE4561&lt;&gt;"Tarjeta de crédito"),"⚠ El destino debe ser tarjeta de crédito",IF(AND(P4561="Gasto",E4561="Depósitos y retiros"),"⚠ Usa tipo Transferencia",IF(AND(P4561="Resultado trading",AD4561&lt;&gt;"Cuenta de trading"),"⚠ Usa una cuenta de trading",IF(AND(G4561&lt;=0,P4561&lt;&gt;"Ajuste",P4561&lt;&gt;"Resultado trading"),"⚠ El monto debe ser positivo","✓")))))))))))))))</f>
        <v/>
      </c>
      <c r="P4561" s="52">
        <f>IF(OR(B4561="",G4561=""),"",IF(C4561="","Gasto",C4561))</f>
        <v/>
      </c>
      <c r="Q4561" s="52">
        <f>IF(P4561="","",IF(J4561&lt;&gt;"",J4561,CuentaPred&amp;""))</f>
        <v/>
      </c>
      <c r="R4561" s="52">
        <f>IF(P4561="","",IF(ISNUMBER(I4561),I4561,TasaUSD))</f>
        <v/>
      </c>
      <c r="S4561" s="53">
        <f>IF(P4561="","",IF(H4561="USD",G4561*R4561,G4561))</f>
        <v/>
      </c>
      <c r="T4561" s="53">
        <f>IF(P4561="","",IF(H4561="USD",G4561,IF(R4561&gt;0,G4561/R4561,0)))</f>
        <v/>
      </c>
      <c r="U4561" s="53">
        <f>IF(P4561="","",IF(P4561="Gasto",S4561,IF(P4561="Reembolso",-S4561,0)))</f>
        <v/>
      </c>
      <c r="V4561" s="53">
        <f>IF(P4561="","",IF(P4561="Ingreso",S4561,0))</f>
        <v/>
      </c>
      <c r="W4561" s="53">
        <f>IF(P4561="","",IF(P4561="Resultado trading",S4561,0))</f>
        <v/>
      </c>
      <c r="X4561" s="52">
        <f>IF(OR(P4561="Gasto",P4561="Reembolso"),IF(M4561&lt;&gt;"",M4561,IFERROR(INDEX(catClasif,MATCH(D4561&amp;"|"&amp;E4561,catClave,0))&amp;"","Variable")),"")</f>
        <v/>
      </c>
      <c r="Y4561" s="52">
        <f>IF(P4561="","",IFERROR(INDEX(catGrupo,MATCH(D4561&amp;"|"&amp;E4561,catClave,0))&amp;"",""))</f>
        <v/>
      </c>
      <c r="Z4561" s="52">
        <f>IF(P4561="","",WEEKDAY(B4561,2))</f>
        <v/>
      </c>
      <c r="AA4561" s="52">
        <f>IF(P4561="","",IF(AND(P4561="Gasto",X4561="Variable",D4561&lt;&gt;catTrading,S4561&gt;0,S4561&lt;=Umbral),1,0))</f>
        <v/>
      </c>
      <c r="AB4561" s="52">
        <f>IF(OR(P4561="",Q4561=""),"",IFERROR(IF(INDEX(ctaVinc,MATCH(Q4561,ctaNombre,0))&amp;""&lt;&gt;"",INDEX(ctaVinc,MATCH(Q4561,ctaNombre,0))&amp;"",Q4561),Q4561))</f>
        <v/>
      </c>
      <c r="AC4561" s="52">
        <f>IF(OR(K4561="",AND(P4561&lt;&gt;"Transferencia",P4561&lt;&gt;"Pago tarjeta")),"",IFERROR(IF(INDEX(ctaVinc,MATCH(K4561,ctaNombre,0))&amp;""&lt;&gt;"",INDEX(ctaVinc,MATCH(K4561,ctaNombre,0))&amp;"",K4561),K4561))</f>
        <v/>
      </c>
      <c r="AD4561" s="52">
        <f>IF(AB4561="","",IFERROR(INDEX(ctaTipo,MATCH(AB4561,ctaNombre,0))&amp;"",""))</f>
        <v/>
      </c>
      <c r="AE4561" s="52">
        <f>IF(AC4561="","",IFERROR(INDEX(ctaTipo,MATCH(AC4561,ctaNombre,0))&amp;"",""))</f>
        <v/>
      </c>
      <c r="AF4561" s="53">
        <f>IF(OR(P4561="",AB4561=""),"",IF(OR(P4561="Gasto",P4561="Transferencia",P4561="Pago tarjeta"),-1,1)*IF(IFERROR(INDEX(ctaMoneda,MATCH(AB4561,ctaNombre,0))&amp;"","DOP")="USD",T4561,S4561))</f>
        <v/>
      </c>
      <c r="AG4561" s="53">
        <f>IF(AC4561="","",IF(IFERROR(INDEX(ctaMoneda,MATCH(AC4561,ctaNombre,0))&amp;"","DOP")="USD",T4561,S4561))</f>
        <v/>
      </c>
      <c r="AH4561" s="53">
        <f>IF(P4561="","",IF(AND(AD4561&lt;&gt;"",COUNTIFS(tcTipo,AD4561,tcLiq,"Sí")&gt;0),IF(OR(P4561="Gasto",P4561="Transferencia",P4561="Pago tarjeta"),-1,1)*S4561,0)+IF(AND(AE4561&lt;&gt;"",COUNTIFS(tcTipo,AE4561,tcLiq,"Sí")&gt;0),S4561,0))</f>
        <v/>
      </c>
      <c r="AI4561" s="52">
        <f>IF(OR(L4561="",P4561=""),"",IF(COUNTIFS(L$6:L4561,L4561,P$6:P4561,"?*")=1,MAX(AI$5:AI4560)+1,""))</f>
        <v/>
      </c>
    </row>
    <row r="4562">
      <c r="B4562" s="47" t="n"/>
      <c r="C4562" s="48" t="n"/>
      <c r="D4562" s="48" t="n"/>
      <c r="E4562" s="48" t="n"/>
      <c r="F4562" s="48" t="n"/>
      <c r="G4562" s="49" t="n"/>
      <c r="H4562" s="48" t="n"/>
      <c r="I4562" s="50" t="n"/>
      <c r="J4562" s="48" t="n"/>
      <c r="K4562" s="48" t="n"/>
      <c r="L4562" s="48" t="n"/>
      <c r="M4562" s="48" t="n"/>
      <c r="N4562" s="48" t="n"/>
      <c r="O4562" s="51">
        <f>IF(AND(B4562="",G4562="",C4562="",D4562="",J4562=""),"",IF(B4562="","⚠ Falta fecha",IF(G4562="","⚠ Falta monto",IF(Q4562="","⚠ Falta cuenta",IF(ISNA(MATCH(Q4562,ctaNombre,0)),"⚠ Cuenta no registrada",IF(AND(OR(P4562="Gasto",P4562="Reembolso"),D4562=""),"⚠ Falta categoría",IF(AND(D4562&lt;&gt;"",E4562&lt;&gt;"",ISNA(MATCH(D4562&amp;"|"&amp;E4562,catClave,0))),"⚠ Subcategoría no corresponde",IF(AND(OR(P4562="Transferencia",P4562="Pago tarjeta"),K4562=""),"⚠ Falta cuenta destino",IF(AND(K4562&lt;&gt;"",P4562&lt;&gt;"Transferencia",P4562&lt;&gt;"Pago tarjeta"),"⚠ Destino solo aplica a transferencias",IF(AND(K4562&lt;&gt;"",K4562=Q4562),"⚠ Origen igual a destino",IF(AND(K4562&lt;&gt;"",ISNA(MATCH(K4562,ctaNombre,0))),"⚠ Destino no registrado",IF(AND(P4562="Pago tarjeta",AE4562&lt;&gt;"Tarjeta de crédito"),"⚠ El destino debe ser tarjeta de crédito",IF(AND(P4562="Gasto",E4562="Depósitos y retiros"),"⚠ Usa tipo Transferencia",IF(AND(P4562="Resultado trading",AD4562&lt;&gt;"Cuenta de trading"),"⚠ Usa una cuenta de trading",IF(AND(G4562&lt;=0,P4562&lt;&gt;"Ajuste",P4562&lt;&gt;"Resultado trading"),"⚠ El monto debe ser positivo","✓")))))))))))))))</f>
        <v/>
      </c>
      <c r="P4562" s="52">
        <f>IF(OR(B4562="",G4562=""),"",IF(C4562="","Gasto",C4562))</f>
        <v/>
      </c>
      <c r="Q4562" s="52">
        <f>IF(P4562="","",IF(J4562&lt;&gt;"",J4562,CuentaPred&amp;""))</f>
        <v/>
      </c>
      <c r="R4562" s="52">
        <f>IF(P4562="","",IF(ISNUMBER(I4562),I4562,TasaUSD))</f>
        <v/>
      </c>
      <c r="S4562" s="53">
        <f>IF(P4562="","",IF(H4562="USD",G4562*R4562,G4562))</f>
        <v/>
      </c>
      <c r="T4562" s="53">
        <f>IF(P4562="","",IF(H4562="USD",G4562,IF(R4562&gt;0,G4562/R4562,0)))</f>
        <v/>
      </c>
      <c r="U4562" s="53">
        <f>IF(P4562="","",IF(P4562="Gasto",S4562,IF(P4562="Reembolso",-S4562,0)))</f>
        <v/>
      </c>
      <c r="V4562" s="53">
        <f>IF(P4562="","",IF(P4562="Ingreso",S4562,0))</f>
        <v/>
      </c>
      <c r="W4562" s="53">
        <f>IF(P4562="","",IF(P4562="Resultado trading",S4562,0))</f>
        <v/>
      </c>
      <c r="X4562" s="52">
        <f>IF(OR(P4562="Gasto",P4562="Reembolso"),IF(M4562&lt;&gt;"",M4562,IFERROR(INDEX(catClasif,MATCH(D4562&amp;"|"&amp;E4562,catClave,0))&amp;"","Variable")),"")</f>
        <v/>
      </c>
      <c r="Y4562" s="52">
        <f>IF(P4562="","",IFERROR(INDEX(catGrupo,MATCH(D4562&amp;"|"&amp;E4562,catClave,0))&amp;"",""))</f>
        <v/>
      </c>
      <c r="Z4562" s="52">
        <f>IF(P4562="","",WEEKDAY(B4562,2))</f>
        <v/>
      </c>
      <c r="AA4562" s="52">
        <f>IF(P4562="","",IF(AND(P4562="Gasto",X4562="Variable",D4562&lt;&gt;catTrading,S4562&gt;0,S4562&lt;=Umbral),1,0))</f>
        <v/>
      </c>
      <c r="AB4562" s="52">
        <f>IF(OR(P4562="",Q4562=""),"",IFERROR(IF(INDEX(ctaVinc,MATCH(Q4562,ctaNombre,0))&amp;""&lt;&gt;"",INDEX(ctaVinc,MATCH(Q4562,ctaNombre,0))&amp;"",Q4562),Q4562))</f>
        <v/>
      </c>
      <c r="AC4562" s="52">
        <f>IF(OR(K4562="",AND(P4562&lt;&gt;"Transferencia",P4562&lt;&gt;"Pago tarjeta")),"",IFERROR(IF(INDEX(ctaVinc,MATCH(K4562,ctaNombre,0))&amp;""&lt;&gt;"",INDEX(ctaVinc,MATCH(K4562,ctaNombre,0))&amp;"",K4562),K4562))</f>
        <v/>
      </c>
      <c r="AD4562" s="52">
        <f>IF(AB4562="","",IFERROR(INDEX(ctaTipo,MATCH(AB4562,ctaNombre,0))&amp;"",""))</f>
        <v/>
      </c>
      <c r="AE4562" s="52">
        <f>IF(AC4562="","",IFERROR(INDEX(ctaTipo,MATCH(AC4562,ctaNombre,0))&amp;"",""))</f>
        <v/>
      </c>
      <c r="AF4562" s="53">
        <f>IF(OR(P4562="",AB4562=""),"",IF(OR(P4562="Gasto",P4562="Transferencia",P4562="Pago tarjeta"),-1,1)*IF(IFERROR(INDEX(ctaMoneda,MATCH(AB4562,ctaNombre,0))&amp;"","DOP")="USD",T4562,S4562))</f>
        <v/>
      </c>
      <c r="AG4562" s="53">
        <f>IF(AC4562="","",IF(IFERROR(INDEX(ctaMoneda,MATCH(AC4562,ctaNombre,0))&amp;"","DOP")="USD",T4562,S4562))</f>
        <v/>
      </c>
      <c r="AH4562" s="53">
        <f>IF(P4562="","",IF(AND(AD4562&lt;&gt;"",COUNTIFS(tcTipo,AD4562,tcLiq,"Sí")&gt;0),IF(OR(P4562="Gasto",P4562="Transferencia",P4562="Pago tarjeta"),-1,1)*S4562,0)+IF(AND(AE4562&lt;&gt;"",COUNTIFS(tcTipo,AE4562,tcLiq,"Sí")&gt;0),S4562,0))</f>
        <v/>
      </c>
      <c r="AI4562" s="52">
        <f>IF(OR(L4562="",P4562=""),"",IF(COUNTIFS(L$6:L4562,L4562,P$6:P4562,"?*")=1,MAX(AI$5:AI4561)+1,""))</f>
        <v/>
      </c>
    </row>
    <row r="4563">
      <c r="B4563" s="47" t="n"/>
      <c r="C4563" s="48" t="n"/>
      <c r="D4563" s="48" t="n"/>
      <c r="E4563" s="48" t="n"/>
      <c r="F4563" s="48" t="n"/>
      <c r="G4563" s="49" t="n"/>
      <c r="H4563" s="48" t="n"/>
      <c r="I4563" s="50" t="n"/>
      <c r="J4563" s="48" t="n"/>
      <c r="K4563" s="48" t="n"/>
      <c r="L4563" s="48" t="n"/>
      <c r="M4563" s="48" t="n"/>
      <c r="N4563" s="48" t="n"/>
      <c r="O4563" s="51">
        <f>IF(AND(B4563="",G4563="",C4563="",D4563="",J4563=""),"",IF(B4563="","⚠ Falta fecha",IF(G4563="","⚠ Falta monto",IF(Q4563="","⚠ Falta cuenta",IF(ISNA(MATCH(Q4563,ctaNombre,0)),"⚠ Cuenta no registrada",IF(AND(OR(P4563="Gasto",P4563="Reembolso"),D4563=""),"⚠ Falta categoría",IF(AND(D4563&lt;&gt;"",E4563&lt;&gt;"",ISNA(MATCH(D4563&amp;"|"&amp;E4563,catClave,0))),"⚠ Subcategoría no corresponde",IF(AND(OR(P4563="Transferencia",P4563="Pago tarjeta"),K4563=""),"⚠ Falta cuenta destino",IF(AND(K4563&lt;&gt;"",P4563&lt;&gt;"Transferencia",P4563&lt;&gt;"Pago tarjeta"),"⚠ Destino solo aplica a transferencias",IF(AND(K4563&lt;&gt;"",K4563=Q4563),"⚠ Origen igual a destino",IF(AND(K4563&lt;&gt;"",ISNA(MATCH(K4563,ctaNombre,0))),"⚠ Destino no registrado",IF(AND(P4563="Pago tarjeta",AE4563&lt;&gt;"Tarjeta de crédito"),"⚠ El destino debe ser tarjeta de crédito",IF(AND(P4563="Gasto",E4563="Depósitos y retiros"),"⚠ Usa tipo Transferencia",IF(AND(P4563="Resultado trading",AD4563&lt;&gt;"Cuenta de trading"),"⚠ Usa una cuenta de trading",IF(AND(G4563&lt;=0,P4563&lt;&gt;"Ajuste",P4563&lt;&gt;"Resultado trading"),"⚠ El monto debe ser positivo","✓")))))))))))))))</f>
        <v/>
      </c>
      <c r="P4563" s="52">
        <f>IF(OR(B4563="",G4563=""),"",IF(C4563="","Gasto",C4563))</f>
        <v/>
      </c>
      <c r="Q4563" s="52">
        <f>IF(P4563="","",IF(J4563&lt;&gt;"",J4563,CuentaPred&amp;""))</f>
        <v/>
      </c>
      <c r="R4563" s="52">
        <f>IF(P4563="","",IF(ISNUMBER(I4563),I4563,TasaUSD))</f>
        <v/>
      </c>
      <c r="S4563" s="53">
        <f>IF(P4563="","",IF(H4563="USD",G4563*R4563,G4563))</f>
        <v/>
      </c>
      <c r="T4563" s="53">
        <f>IF(P4563="","",IF(H4563="USD",G4563,IF(R4563&gt;0,G4563/R4563,0)))</f>
        <v/>
      </c>
      <c r="U4563" s="53">
        <f>IF(P4563="","",IF(P4563="Gasto",S4563,IF(P4563="Reembolso",-S4563,0)))</f>
        <v/>
      </c>
      <c r="V4563" s="53">
        <f>IF(P4563="","",IF(P4563="Ingreso",S4563,0))</f>
        <v/>
      </c>
      <c r="W4563" s="53">
        <f>IF(P4563="","",IF(P4563="Resultado trading",S4563,0))</f>
        <v/>
      </c>
      <c r="X4563" s="52">
        <f>IF(OR(P4563="Gasto",P4563="Reembolso"),IF(M4563&lt;&gt;"",M4563,IFERROR(INDEX(catClasif,MATCH(D4563&amp;"|"&amp;E4563,catClave,0))&amp;"","Variable")),"")</f>
        <v/>
      </c>
      <c r="Y4563" s="52">
        <f>IF(P4563="","",IFERROR(INDEX(catGrupo,MATCH(D4563&amp;"|"&amp;E4563,catClave,0))&amp;"",""))</f>
        <v/>
      </c>
      <c r="Z4563" s="52">
        <f>IF(P4563="","",WEEKDAY(B4563,2))</f>
        <v/>
      </c>
      <c r="AA4563" s="52">
        <f>IF(P4563="","",IF(AND(P4563="Gasto",X4563="Variable",D4563&lt;&gt;catTrading,S4563&gt;0,S4563&lt;=Umbral),1,0))</f>
        <v/>
      </c>
      <c r="AB4563" s="52">
        <f>IF(OR(P4563="",Q4563=""),"",IFERROR(IF(INDEX(ctaVinc,MATCH(Q4563,ctaNombre,0))&amp;""&lt;&gt;"",INDEX(ctaVinc,MATCH(Q4563,ctaNombre,0))&amp;"",Q4563),Q4563))</f>
        <v/>
      </c>
      <c r="AC4563" s="52">
        <f>IF(OR(K4563="",AND(P4563&lt;&gt;"Transferencia",P4563&lt;&gt;"Pago tarjeta")),"",IFERROR(IF(INDEX(ctaVinc,MATCH(K4563,ctaNombre,0))&amp;""&lt;&gt;"",INDEX(ctaVinc,MATCH(K4563,ctaNombre,0))&amp;"",K4563),K4563))</f>
        <v/>
      </c>
      <c r="AD4563" s="52">
        <f>IF(AB4563="","",IFERROR(INDEX(ctaTipo,MATCH(AB4563,ctaNombre,0))&amp;"",""))</f>
        <v/>
      </c>
      <c r="AE4563" s="52">
        <f>IF(AC4563="","",IFERROR(INDEX(ctaTipo,MATCH(AC4563,ctaNombre,0))&amp;"",""))</f>
        <v/>
      </c>
      <c r="AF4563" s="53">
        <f>IF(OR(P4563="",AB4563=""),"",IF(OR(P4563="Gasto",P4563="Transferencia",P4563="Pago tarjeta"),-1,1)*IF(IFERROR(INDEX(ctaMoneda,MATCH(AB4563,ctaNombre,0))&amp;"","DOP")="USD",T4563,S4563))</f>
        <v/>
      </c>
      <c r="AG4563" s="53">
        <f>IF(AC4563="","",IF(IFERROR(INDEX(ctaMoneda,MATCH(AC4563,ctaNombre,0))&amp;"","DOP")="USD",T4563,S4563))</f>
        <v/>
      </c>
      <c r="AH4563" s="53">
        <f>IF(P4563="","",IF(AND(AD4563&lt;&gt;"",COUNTIFS(tcTipo,AD4563,tcLiq,"Sí")&gt;0),IF(OR(P4563="Gasto",P4563="Transferencia",P4563="Pago tarjeta"),-1,1)*S4563,0)+IF(AND(AE4563&lt;&gt;"",COUNTIFS(tcTipo,AE4563,tcLiq,"Sí")&gt;0),S4563,0))</f>
        <v/>
      </c>
      <c r="AI4563" s="52">
        <f>IF(OR(L4563="",P4563=""),"",IF(COUNTIFS(L$6:L4563,L4563,P$6:P4563,"?*")=1,MAX(AI$5:AI4562)+1,""))</f>
        <v/>
      </c>
    </row>
    <row r="4564">
      <c r="B4564" s="47" t="n"/>
      <c r="C4564" s="48" t="n"/>
      <c r="D4564" s="48" t="n"/>
      <c r="E4564" s="48" t="n"/>
      <c r="F4564" s="48" t="n"/>
      <c r="G4564" s="49" t="n"/>
      <c r="H4564" s="48" t="n"/>
      <c r="I4564" s="50" t="n"/>
      <c r="J4564" s="48" t="n"/>
      <c r="K4564" s="48" t="n"/>
      <c r="L4564" s="48" t="n"/>
      <c r="M4564" s="48" t="n"/>
      <c r="N4564" s="48" t="n"/>
      <c r="O4564" s="51">
        <f>IF(AND(B4564="",G4564="",C4564="",D4564="",J4564=""),"",IF(B4564="","⚠ Falta fecha",IF(G4564="","⚠ Falta monto",IF(Q4564="","⚠ Falta cuenta",IF(ISNA(MATCH(Q4564,ctaNombre,0)),"⚠ Cuenta no registrada",IF(AND(OR(P4564="Gasto",P4564="Reembolso"),D4564=""),"⚠ Falta categoría",IF(AND(D4564&lt;&gt;"",E4564&lt;&gt;"",ISNA(MATCH(D4564&amp;"|"&amp;E4564,catClave,0))),"⚠ Subcategoría no corresponde",IF(AND(OR(P4564="Transferencia",P4564="Pago tarjeta"),K4564=""),"⚠ Falta cuenta destino",IF(AND(K4564&lt;&gt;"",P4564&lt;&gt;"Transferencia",P4564&lt;&gt;"Pago tarjeta"),"⚠ Destino solo aplica a transferencias",IF(AND(K4564&lt;&gt;"",K4564=Q4564),"⚠ Origen igual a destino",IF(AND(K4564&lt;&gt;"",ISNA(MATCH(K4564,ctaNombre,0))),"⚠ Destino no registrado",IF(AND(P4564="Pago tarjeta",AE4564&lt;&gt;"Tarjeta de crédito"),"⚠ El destino debe ser tarjeta de crédito",IF(AND(P4564="Gasto",E4564="Depósitos y retiros"),"⚠ Usa tipo Transferencia",IF(AND(P4564="Resultado trading",AD4564&lt;&gt;"Cuenta de trading"),"⚠ Usa una cuenta de trading",IF(AND(G4564&lt;=0,P4564&lt;&gt;"Ajuste",P4564&lt;&gt;"Resultado trading"),"⚠ El monto debe ser positivo","✓")))))))))))))))</f>
        <v/>
      </c>
      <c r="P4564" s="52">
        <f>IF(OR(B4564="",G4564=""),"",IF(C4564="","Gasto",C4564))</f>
        <v/>
      </c>
      <c r="Q4564" s="52">
        <f>IF(P4564="","",IF(J4564&lt;&gt;"",J4564,CuentaPred&amp;""))</f>
        <v/>
      </c>
      <c r="R4564" s="52">
        <f>IF(P4564="","",IF(ISNUMBER(I4564),I4564,TasaUSD))</f>
        <v/>
      </c>
      <c r="S4564" s="53">
        <f>IF(P4564="","",IF(H4564="USD",G4564*R4564,G4564))</f>
        <v/>
      </c>
      <c r="T4564" s="53">
        <f>IF(P4564="","",IF(H4564="USD",G4564,IF(R4564&gt;0,G4564/R4564,0)))</f>
        <v/>
      </c>
      <c r="U4564" s="53">
        <f>IF(P4564="","",IF(P4564="Gasto",S4564,IF(P4564="Reembolso",-S4564,0)))</f>
        <v/>
      </c>
      <c r="V4564" s="53">
        <f>IF(P4564="","",IF(P4564="Ingreso",S4564,0))</f>
        <v/>
      </c>
      <c r="W4564" s="53">
        <f>IF(P4564="","",IF(P4564="Resultado trading",S4564,0))</f>
        <v/>
      </c>
      <c r="X4564" s="52">
        <f>IF(OR(P4564="Gasto",P4564="Reembolso"),IF(M4564&lt;&gt;"",M4564,IFERROR(INDEX(catClasif,MATCH(D4564&amp;"|"&amp;E4564,catClave,0))&amp;"","Variable")),"")</f>
        <v/>
      </c>
      <c r="Y4564" s="52">
        <f>IF(P4564="","",IFERROR(INDEX(catGrupo,MATCH(D4564&amp;"|"&amp;E4564,catClave,0))&amp;"",""))</f>
        <v/>
      </c>
      <c r="Z4564" s="52">
        <f>IF(P4564="","",WEEKDAY(B4564,2))</f>
        <v/>
      </c>
      <c r="AA4564" s="52">
        <f>IF(P4564="","",IF(AND(P4564="Gasto",X4564="Variable",D4564&lt;&gt;catTrading,S4564&gt;0,S4564&lt;=Umbral),1,0))</f>
        <v/>
      </c>
      <c r="AB4564" s="52">
        <f>IF(OR(P4564="",Q4564=""),"",IFERROR(IF(INDEX(ctaVinc,MATCH(Q4564,ctaNombre,0))&amp;""&lt;&gt;"",INDEX(ctaVinc,MATCH(Q4564,ctaNombre,0))&amp;"",Q4564),Q4564))</f>
        <v/>
      </c>
      <c r="AC4564" s="52">
        <f>IF(OR(K4564="",AND(P4564&lt;&gt;"Transferencia",P4564&lt;&gt;"Pago tarjeta")),"",IFERROR(IF(INDEX(ctaVinc,MATCH(K4564,ctaNombre,0))&amp;""&lt;&gt;"",INDEX(ctaVinc,MATCH(K4564,ctaNombre,0))&amp;"",K4564),K4564))</f>
        <v/>
      </c>
      <c r="AD4564" s="52">
        <f>IF(AB4564="","",IFERROR(INDEX(ctaTipo,MATCH(AB4564,ctaNombre,0))&amp;"",""))</f>
        <v/>
      </c>
      <c r="AE4564" s="52">
        <f>IF(AC4564="","",IFERROR(INDEX(ctaTipo,MATCH(AC4564,ctaNombre,0))&amp;"",""))</f>
        <v/>
      </c>
      <c r="AF4564" s="53">
        <f>IF(OR(P4564="",AB4564=""),"",IF(OR(P4564="Gasto",P4564="Transferencia",P4564="Pago tarjeta"),-1,1)*IF(IFERROR(INDEX(ctaMoneda,MATCH(AB4564,ctaNombre,0))&amp;"","DOP")="USD",T4564,S4564))</f>
        <v/>
      </c>
      <c r="AG4564" s="53">
        <f>IF(AC4564="","",IF(IFERROR(INDEX(ctaMoneda,MATCH(AC4564,ctaNombre,0))&amp;"","DOP")="USD",T4564,S4564))</f>
        <v/>
      </c>
      <c r="AH4564" s="53">
        <f>IF(P4564="","",IF(AND(AD4564&lt;&gt;"",COUNTIFS(tcTipo,AD4564,tcLiq,"Sí")&gt;0),IF(OR(P4564="Gasto",P4564="Transferencia",P4564="Pago tarjeta"),-1,1)*S4564,0)+IF(AND(AE4564&lt;&gt;"",COUNTIFS(tcTipo,AE4564,tcLiq,"Sí")&gt;0),S4564,0))</f>
        <v/>
      </c>
      <c r="AI4564" s="52">
        <f>IF(OR(L4564="",P4564=""),"",IF(COUNTIFS(L$6:L4564,L4564,P$6:P4564,"?*")=1,MAX(AI$5:AI4563)+1,""))</f>
        <v/>
      </c>
    </row>
    <row r="4565">
      <c r="B4565" s="47" t="n"/>
      <c r="C4565" s="48" t="n"/>
      <c r="D4565" s="48" t="n"/>
      <c r="E4565" s="48" t="n"/>
      <c r="F4565" s="48" t="n"/>
      <c r="G4565" s="49" t="n"/>
      <c r="H4565" s="48" t="n"/>
      <c r="I4565" s="50" t="n"/>
      <c r="J4565" s="48" t="n"/>
      <c r="K4565" s="48" t="n"/>
      <c r="L4565" s="48" t="n"/>
      <c r="M4565" s="48" t="n"/>
      <c r="N4565" s="48" t="n"/>
      <c r="O4565" s="51">
        <f>IF(AND(B4565="",G4565="",C4565="",D4565="",J4565=""),"",IF(B4565="","⚠ Falta fecha",IF(G4565="","⚠ Falta monto",IF(Q4565="","⚠ Falta cuenta",IF(ISNA(MATCH(Q4565,ctaNombre,0)),"⚠ Cuenta no registrada",IF(AND(OR(P4565="Gasto",P4565="Reembolso"),D4565=""),"⚠ Falta categoría",IF(AND(D4565&lt;&gt;"",E4565&lt;&gt;"",ISNA(MATCH(D4565&amp;"|"&amp;E4565,catClave,0))),"⚠ Subcategoría no corresponde",IF(AND(OR(P4565="Transferencia",P4565="Pago tarjeta"),K4565=""),"⚠ Falta cuenta destino",IF(AND(K4565&lt;&gt;"",P4565&lt;&gt;"Transferencia",P4565&lt;&gt;"Pago tarjeta"),"⚠ Destino solo aplica a transferencias",IF(AND(K4565&lt;&gt;"",K4565=Q4565),"⚠ Origen igual a destino",IF(AND(K4565&lt;&gt;"",ISNA(MATCH(K4565,ctaNombre,0))),"⚠ Destino no registrado",IF(AND(P4565="Pago tarjeta",AE4565&lt;&gt;"Tarjeta de crédito"),"⚠ El destino debe ser tarjeta de crédito",IF(AND(P4565="Gasto",E4565="Depósitos y retiros"),"⚠ Usa tipo Transferencia",IF(AND(P4565="Resultado trading",AD4565&lt;&gt;"Cuenta de trading"),"⚠ Usa una cuenta de trading",IF(AND(G4565&lt;=0,P4565&lt;&gt;"Ajuste",P4565&lt;&gt;"Resultado trading"),"⚠ El monto debe ser positivo","✓")))))))))))))))</f>
        <v/>
      </c>
      <c r="P4565" s="52">
        <f>IF(OR(B4565="",G4565=""),"",IF(C4565="","Gasto",C4565))</f>
        <v/>
      </c>
      <c r="Q4565" s="52">
        <f>IF(P4565="","",IF(J4565&lt;&gt;"",J4565,CuentaPred&amp;""))</f>
        <v/>
      </c>
      <c r="R4565" s="52">
        <f>IF(P4565="","",IF(ISNUMBER(I4565),I4565,TasaUSD))</f>
        <v/>
      </c>
      <c r="S4565" s="53">
        <f>IF(P4565="","",IF(H4565="USD",G4565*R4565,G4565))</f>
        <v/>
      </c>
      <c r="T4565" s="53">
        <f>IF(P4565="","",IF(H4565="USD",G4565,IF(R4565&gt;0,G4565/R4565,0)))</f>
        <v/>
      </c>
      <c r="U4565" s="53">
        <f>IF(P4565="","",IF(P4565="Gasto",S4565,IF(P4565="Reembolso",-S4565,0)))</f>
        <v/>
      </c>
      <c r="V4565" s="53">
        <f>IF(P4565="","",IF(P4565="Ingreso",S4565,0))</f>
        <v/>
      </c>
      <c r="W4565" s="53">
        <f>IF(P4565="","",IF(P4565="Resultado trading",S4565,0))</f>
        <v/>
      </c>
      <c r="X4565" s="52">
        <f>IF(OR(P4565="Gasto",P4565="Reembolso"),IF(M4565&lt;&gt;"",M4565,IFERROR(INDEX(catClasif,MATCH(D4565&amp;"|"&amp;E4565,catClave,0))&amp;"","Variable")),"")</f>
        <v/>
      </c>
      <c r="Y4565" s="52">
        <f>IF(P4565="","",IFERROR(INDEX(catGrupo,MATCH(D4565&amp;"|"&amp;E4565,catClave,0))&amp;"",""))</f>
        <v/>
      </c>
      <c r="Z4565" s="52">
        <f>IF(P4565="","",WEEKDAY(B4565,2))</f>
        <v/>
      </c>
      <c r="AA4565" s="52">
        <f>IF(P4565="","",IF(AND(P4565="Gasto",X4565="Variable",D4565&lt;&gt;catTrading,S4565&gt;0,S4565&lt;=Umbral),1,0))</f>
        <v/>
      </c>
      <c r="AB4565" s="52">
        <f>IF(OR(P4565="",Q4565=""),"",IFERROR(IF(INDEX(ctaVinc,MATCH(Q4565,ctaNombre,0))&amp;""&lt;&gt;"",INDEX(ctaVinc,MATCH(Q4565,ctaNombre,0))&amp;"",Q4565),Q4565))</f>
        <v/>
      </c>
      <c r="AC4565" s="52">
        <f>IF(OR(K4565="",AND(P4565&lt;&gt;"Transferencia",P4565&lt;&gt;"Pago tarjeta")),"",IFERROR(IF(INDEX(ctaVinc,MATCH(K4565,ctaNombre,0))&amp;""&lt;&gt;"",INDEX(ctaVinc,MATCH(K4565,ctaNombre,0))&amp;"",K4565),K4565))</f>
        <v/>
      </c>
      <c r="AD4565" s="52">
        <f>IF(AB4565="","",IFERROR(INDEX(ctaTipo,MATCH(AB4565,ctaNombre,0))&amp;"",""))</f>
        <v/>
      </c>
      <c r="AE4565" s="52">
        <f>IF(AC4565="","",IFERROR(INDEX(ctaTipo,MATCH(AC4565,ctaNombre,0))&amp;"",""))</f>
        <v/>
      </c>
      <c r="AF4565" s="53">
        <f>IF(OR(P4565="",AB4565=""),"",IF(OR(P4565="Gasto",P4565="Transferencia",P4565="Pago tarjeta"),-1,1)*IF(IFERROR(INDEX(ctaMoneda,MATCH(AB4565,ctaNombre,0))&amp;"","DOP")="USD",T4565,S4565))</f>
        <v/>
      </c>
      <c r="AG4565" s="53">
        <f>IF(AC4565="","",IF(IFERROR(INDEX(ctaMoneda,MATCH(AC4565,ctaNombre,0))&amp;"","DOP")="USD",T4565,S4565))</f>
        <v/>
      </c>
      <c r="AH4565" s="53">
        <f>IF(P4565="","",IF(AND(AD4565&lt;&gt;"",COUNTIFS(tcTipo,AD4565,tcLiq,"Sí")&gt;0),IF(OR(P4565="Gasto",P4565="Transferencia",P4565="Pago tarjeta"),-1,1)*S4565,0)+IF(AND(AE4565&lt;&gt;"",COUNTIFS(tcTipo,AE4565,tcLiq,"Sí")&gt;0),S4565,0))</f>
        <v/>
      </c>
      <c r="AI4565" s="52">
        <f>IF(OR(L4565="",P4565=""),"",IF(COUNTIFS(L$6:L4565,L4565,P$6:P4565,"?*")=1,MAX(AI$5:AI4564)+1,""))</f>
        <v/>
      </c>
    </row>
    <row r="4566">
      <c r="B4566" s="47" t="n"/>
      <c r="C4566" s="48" t="n"/>
      <c r="D4566" s="48" t="n"/>
      <c r="E4566" s="48" t="n"/>
      <c r="F4566" s="48" t="n"/>
      <c r="G4566" s="49" t="n"/>
      <c r="H4566" s="48" t="n"/>
      <c r="I4566" s="50" t="n"/>
      <c r="J4566" s="48" t="n"/>
      <c r="K4566" s="48" t="n"/>
      <c r="L4566" s="48" t="n"/>
      <c r="M4566" s="48" t="n"/>
      <c r="N4566" s="48" t="n"/>
      <c r="O4566" s="51">
        <f>IF(AND(B4566="",G4566="",C4566="",D4566="",J4566=""),"",IF(B4566="","⚠ Falta fecha",IF(G4566="","⚠ Falta monto",IF(Q4566="","⚠ Falta cuenta",IF(ISNA(MATCH(Q4566,ctaNombre,0)),"⚠ Cuenta no registrada",IF(AND(OR(P4566="Gasto",P4566="Reembolso"),D4566=""),"⚠ Falta categoría",IF(AND(D4566&lt;&gt;"",E4566&lt;&gt;"",ISNA(MATCH(D4566&amp;"|"&amp;E4566,catClave,0))),"⚠ Subcategoría no corresponde",IF(AND(OR(P4566="Transferencia",P4566="Pago tarjeta"),K4566=""),"⚠ Falta cuenta destino",IF(AND(K4566&lt;&gt;"",P4566&lt;&gt;"Transferencia",P4566&lt;&gt;"Pago tarjeta"),"⚠ Destino solo aplica a transferencias",IF(AND(K4566&lt;&gt;"",K4566=Q4566),"⚠ Origen igual a destino",IF(AND(K4566&lt;&gt;"",ISNA(MATCH(K4566,ctaNombre,0))),"⚠ Destino no registrado",IF(AND(P4566="Pago tarjeta",AE4566&lt;&gt;"Tarjeta de crédito"),"⚠ El destino debe ser tarjeta de crédito",IF(AND(P4566="Gasto",E4566="Depósitos y retiros"),"⚠ Usa tipo Transferencia",IF(AND(P4566="Resultado trading",AD4566&lt;&gt;"Cuenta de trading"),"⚠ Usa una cuenta de trading",IF(AND(G4566&lt;=0,P4566&lt;&gt;"Ajuste",P4566&lt;&gt;"Resultado trading"),"⚠ El monto debe ser positivo","✓")))))))))))))))</f>
        <v/>
      </c>
      <c r="P4566" s="52">
        <f>IF(OR(B4566="",G4566=""),"",IF(C4566="","Gasto",C4566))</f>
        <v/>
      </c>
      <c r="Q4566" s="52">
        <f>IF(P4566="","",IF(J4566&lt;&gt;"",J4566,CuentaPred&amp;""))</f>
        <v/>
      </c>
      <c r="R4566" s="52">
        <f>IF(P4566="","",IF(ISNUMBER(I4566),I4566,TasaUSD))</f>
        <v/>
      </c>
      <c r="S4566" s="53">
        <f>IF(P4566="","",IF(H4566="USD",G4566*R4566,G4566))</f>
        <v/>
      </c>
      <c r="T4566" s="53">
        <f>IF(P4566="","",IF(H4566="USD",G4566,IF(R4566&gt;0,G4566/R4566,0)))</f>
        <v/>
      </c>
      <c r="U4566" s="53">
        <f>IF(P4566="","",IF(P4566="Gasto",S4566,IF(P4566="Reembolso",-S4566,0)))</f>
        <v/>
      </c>
      <c r="V4566" s="53">
        <f>IF(P4566="","",IF(P4566="Ingreso",S4566,0))</f>
        <v/>
      </c>
      <c r="W4566" s="53">
        <f>IF(P4566="","",IF(P4566="Resultado trading",S4566,0))</f>
        <v/>
      </c>
      <c r="X4566" s="52">
        <f>IF(OR(P4566="Gasto",P4566="Reembolso"),IF(M4566&lt;&gt;"",M4566,IFERROR(INDEX(catClasif,MATCH(D4566&amp;"|"&amp;E4566,catClave,0))&amp;"","Variable")),"")</f>
        <v/>
      </c>
      <c r="Y4566" s="52">
        <f>IF(P4566="","",IFERROR(INDEX(catGrupo,MATCH(D4566&amp;"|"&amp;E4566,catClave,0))&amp;"",""))</f>
        <v/>
      </c>
      <c r="Z4566" s="52">
        <f>IF(P4566="","",WEEKDAY(B4566,2))</f>
        <v/>
      </c>
      <c r="AA4566" s="52">
        <f>IF(P4566="","",IF(AND(P4566="Gasto",X4566="Variable",D4566&lt;&gt;catTrading,S4566&gt;0,S4566&lt;=Umbral),1,0))</f>
        <v/>
      </c>
      <c r="AB4566" s="52">
        <f>IF(OR(P4566="",Q4566=""),"",IFERROR(IF(INDEX(ctaVinc,MATCH(Q4566,ctaNombre,0))&amp;""&lt;&gt;"",INDEX(ctaVinc,MATCH(Q4566,ctaNombre,0))&amp;"",Q4566),Q4566))</f>
        <v/>
      </c>
      <c r="AC4566" s="52">
        <f>IF(OR(K4566="",AND(P4566&lt;&gt;"Transferencia",P4566&lt;&gt;"Pago tarjeta")),"",IFERROR(IF(INDEX(ctaVinc,MATCH(K4566,ctaNombre,0))&amp;""&lt;&gt;"",INDEX(ctaVinc,MATCH(K4566,ctaNombre,0))&amp;"",K4566),K4566))</f>
        <v/>
      </c>
      <c r="AD4566" s="52">
        <f>IF(AB4566="","",IFERROR(INDEX(ctaTipo,MATCH(AB4566,ctaNombre,0))&amp;"",""))</f>
        <v/>
      </c>
      <c r="AE4566" s="52">
        <f>IF(AC4566="","",IFERROR(INDEX(ctaTipo,MATCH(AC4566,ctaNombre,0))&amp;"",""))</f>
        <v/>
      </c>
      <c r="AF4566" s="53">
        <f>IF(OR(P4566="",AB4566=""),"",IF(OR(P4566="Gasto",P4566="Transferencia",P4566="Pago tarjeta"),-1,1)*IF(IFERROR(INDEX(ctaMoneda,MATCH(AB4566,ctaNombre,0))&amp;"","DOP")="USD",T4566,S4566))</f>
        <v/>
      </c>
      <c r="AG4566" s="53">
        <f>IF(AC4566="","",IF(IFERROR(INDEX(ctaMoneda,MATCH(AC4566,ctaNombre,0))&amp;"","DOP")="USD",T4566,S4566))</f>
        <v/>
      </c>
      <c r="AH4566" s="53">
        <f>IF(P4566="","",IF(AND(AD4566&lt;&gt;"",COUNTIFS(tcTipo,AD4566,tcLiq,"Sí")&gt;0),IF(OR(P4566="Gasto",P4566="Transferencia",P4566="Pago tarjeta"),-1,1)*S4566,0)+IF(AND(AE4566&lt;&gt;"",COUNTIFS(tcTipo,AE4566,tcLiq,"Sí")&gt;0),S4566,0))</f>
        <v/>
      </c>
      <c r="AI4566" s="52">
        <f>IF(OR(L4566="",P4566=""),"",IF(COUNTIFS(L$6:L4566,L4566,P$6:P4566,"?*")=1,MAX(AI$5:AI4565)+1,""))</f>
        <v/>
      </c>
    </row>
    <row r="4567">
      <c r="B4567" s="47" t="n"/>
      <c r="C4567" s="48" t="n"/>
      <c r="D4567" s="48" t="n"/>
      <c r="E4567" s="48" t="n"/>
      <c r="F4567" s="48" t="n"/>
      <c r="G4567" s="49" t="n"/>
      <c r="H4567" s="48" t="n"/>
      <c r="I4567" s="50" t="n"/>
      <c r="J4567" s="48" t="n"/>
      <c r="K4567" s="48" t="n"/>
      <c r="L4567" s="48" t="n"/>
      <c r="M4567" s="48" t="n"/>
      <c r="N4567" s="48" t="n"/>
      <c r="O4567" s="51">
        <f>IF(AND(B4567="",G4567="",C4567="",D4567="",J4567=""),"",IF(B4567="","⚠ Falta fecha",IF(G4567="","⚠ Falta monto",IF(Q4567="","⚠ Falta cuenta",IF(ISNA(MATCH(Q4567,ctaNombre,0)),"⚠ Cuenta no registrada",IF(AND(OR(P4567="Gasto",P4567="Reembolso"),D4567=""),"⚠ Falta categoría",IF(AND(D4567&lt;&gt;"",E4567&lt;&gt;"",ISNA(MATCH(D4567&amp;"|"&amp;E4567,catClave,0))),"⚠ Subcategoría no corresponde",IF(AND(OR(P4567="Transferencia",P4567="Pago tarjeta"),K4567=""),"⚠ Falta cuenta destino",IF(AND(K4567&lt;&gt;"",P4567&lt;&gt;"Transferencia",P4567&lt;&gt;"Pago tarjeta"),"⚠ Destino solo aplica a transferencias",IF(AND(K4567&lt;&gt;"",K4567=Q4567),"⚠ Origen igual a destino",IF(AND(K4567&lt;&gt;"",ISNA(MATCH(K4567,ctaNombre,0))),"⚠ Destino no registrado",IF(AND(P4567="Pago tarjeta",AE4567&lt;&gt;"Tarjeta de crédito"),"⚠ El destino debe ser tarjeta de crédito",IF(AND(P4567="Gasto",E4567="Depósitos y retiros"),"⚠ Usa tipo Transferencia",IF(AND(P4567="Resultado trading",AD4567&lt;&gt;"Cuenta de trading"),"⚠ Usa una cuenta de trading",IF(AND(G4567&lt;=0,P4567&lt;&gt;"Ajuste",P4567&lt;&gt;"Resultado trading"),"⚠ El monto debe ser positivo","✓")))))))))))))))</f>
        <v/>
      </c>
      <c r="P4567" s="52">
        <f>IF(OR(B4567="",G4567=""),"",IF(C4567="","Gasto",C4567))</f>
        <v/>
      </c>
      <c r="Q4567" s="52">
        <f>IF(P4567="","",IF(J4567&lt;&gt;"",J4567,CuentaPred&amp;""))</f>
        <v/>
      </c>
      <c r="R4567" s="52">
        <f>IF(P4567="","",IF(ISNUMBER(I4567),I4567,TasaUSD))</f>
        <v/>
      </c>
      <c r="S4567" s="53">
        <f>IF(P4567="","",IF(H4567="USD",G4567*R4567,G4567))</f>
        <v/>
      </c>
      <c r="T4567" s="53">
        <f>IF(P4567="","",IF(H4567="USD",G4567,IF(R4567&gt;0,G4567/R4567,0)))</f>
        <v/>
      </c>
      <c r="U4567" s="53">
        <f>IF(P4567="","",IF(P4567="Gasto",S4567,IF(P4567="Reembolso",-S4567,0)))</f>
        <v/>
      </c>
      <c r="V4567" s="53">
        <f>IF(P4567="","",IF(P4567="Ingreso",S4567,0))</f>
        <v/>
      </c>
      <c r="W4567" s="53">
        <f>IF(P4567="","",IF(P4567="Resultado trading",S4567,0))</f>
        <v/>
      </c>
      <c r="X4567" s="52">
        <f>IF(OR(P4567="Gasto",P4567="Reembolso"),IF(M4567&lt;&gt;"",M4567,IFERROR(INDEX(catClasif,MATCH(D4567&amp;"|"&amp;E4567,catClave,0))&amp;"","Variable")),"")</f>
        <v/>
      </c>
      <c r="Y4567" s="52">
        <f>IF(P4567="","",IFERROR(INDEX(catGrupo,MATCH(D4567&amp;"|"&amp;E4567,catClave,0))&amp;"",""))</f>
        <v/>
      </c>
      <c r="Z4567" s="52">
        <f>IF(P4567="","",WEEKDAY(B4567,2))</f>
        <v/>
      </c>
      <c r="AA4567" s="52">
        <f>IF(P4567="","",IF(AND(P4567="Gasto",X4567="Variable",D4567&lt;&gt;catTrading,S4567&gt;0,S4567&lt;=Umbral),1,0))</f>
        <v/>
      </c>
      <c r="AB4567" s="52">
        <f>IF(OR(P4567="",Q4567=""),"",IFERROR(IF(INDEX(ctaVinc,MATCH(Q4567,ctaNombre,0))&amp;""&lt;&gt;"",INDEX(ctaVinc,MATCH(Q4567,ctaNombre,0))&amp;"",Q4567),Q4567))</f>
        <v/>
      </c>
      <c r="AC4567" s="52">
        <f>IF(OR(K4567="",AND(P4567&lt;&gt;"Transferencia",P4567&lt;&gt;"Pago tarjeta")),"",IFERROR(IF(INDEX(ctaVinc,MATCH(K4567,ctaNombre,0))&amp;""&lt;&gt;"",INDEX(ctaVinc,MATCH(K4567,ctaNombre,0))&amp;"",K4567),K4567))</f>
        <v/>
      </c>
      <c r="AD4567" s="52">
        <f>IF(AB4567="","",IFERROR(INDEX(ctaTipo,MATCH(AB4567,ctaNombre,0))&amp;"",""))</f>
        <v/>
      </c>
      <c r="AE4567" s="52">
        <f>IF(AC4567="","",IFERROR(INDEX(ctaTipo,MATCH(AC4567,ctaNombre,0))&amp;"",""))</f>
        <v/>
      </c>
      <c r="AF4567" s="53">
        <f>IF(OR(P4567="",AB4567=""),"",IF(OR(P4567="Gasto",P4567="Transferencia",P4567="Pago tarjeta"),-1,1)*IF(IFERROR(INDEX(ctaMoneda,MATCH(AB4567,ctaNombre,0))&amp;"","DOP")="USD",T4567,S4567))</f>
        <v/>
      </c>
      <c r="AG4567" s="53">
        <f>IF(AC4567="","",IF(IFERROR(INDEX(ctaMoneda,MATCH(AC4567,ctaNombre,0))&amp;"","DOP")="USD",T4567,S4567))</f>
        <v/>
      </c>
      <c r="AH4567" s="53">
        <f>IF(P4567="","",IF(AND(AD4567&lt;&gt;"",COUNTIFS(tcTipo,AD4567,tcLiq,"Sí")&gt;0),IF(OR(P4567="Gasto",P4567="Transferencia",P4567="Pago tarjeta"),-1,1)*S4567,0)+IF(AND(AE4567&lt;&gt;"",COUNTIFS(tcTipo,AE4567,tcLiq,"Sí")&gt;0),S4567,0))</f>
        <v/>
      </c>
      <c r="AI4567" s="52">
        <f>IF(OR(L4567="",P4567=""),"",IF(COUNTIFS(L$6:L4567,L4567,P$6:P4567,"?*")=1,MAX(AI$5:AI4566)+1,""))</f>
        <v/>
      </c>
    </row>
    <row r="4568">
      <c r="B4568" s="47" t="n"/>
      <c r="C4568" s="48" t="n"/>
      <c r="D4568" s="48" t="n"/>
      <c r="E4568" s="48" t="n"/>
      <c r="F4568" s="48" t="n"/>
      <c r="G4568" s="49" t="n"/>
      <c r="H4568" s="48" t="n"/>
      <c r="I4568" s="50" t="n"/>
      <c r="J4568" s="48" t="n"/>
      <c r="K4568" s="48" t="n"/>
      <c r="L4568" s="48" t="n"/>
      <c r="M4568" s="48" t="n"/>
      <c r="N4568" s="48" t="n"/>
      <c r="O4568" s="51">
        <f>IF(AND(B4568="",G4568="",C4568="",D4568="",J4568=""),"",IF(B4568="","⚠ Falta fecha",IF(G4568="","⚠ Falta monto",IF(Q4568="","⚠ Falta cuenta",IF(ISNA(MATCH(Q4568,ctaNombre,0)),"⚠ Cuenta no registrada",IF(AND(OR(P4568="Gasto",P4568="Reembolso"),D4568=""),"⚠ Falta categoría",IF(AND(D4568&lt;&gt;"",E4568&lt;&gt;"",ISNA(MATCH(D4568&amp;"|"&amp;E4568,catClave,0))),"⚠ Subcategoría no corresponde",IF(AND(OR(P4568="Transferencia",P4568="Pago tarjeta"),K4568=""),"⚠ Falta cuenta destino",IF(AND(K4568&lt;&gt;"",P4568&lt;&gt;"Transferencia",P4568&lt;&gt;"Pago tarjeta"),"⚠ Destino solo aplica a transferencias",IF(AND(K4568&lt;&gt;"",K4568=Q4568),"⚠ Origen igual a destino",IF(AND(K4568&lt;&gt;"",ISNA(MATCH(K4568,ctaNombre,0))),"⚠ Destino no registrado",IF(AND(P4568="Pago tarjeta",AE4568&lt;&gt;"Tarjeta de crédito"),"⚠ El destino debe ser tarjeta de crédito",IF(AND(P4568="Gasto",E4568="Depósitos y retiros"),"⚠ Usa tipo Transferencia",IF(AND(P4568="Resultado trading",AD4568&lt;&gt;"Cuenta de trading"),"⚠ Usa una cuenta de trading",IF(AND(G4568&lt;=0,P4568&lt;&gt;"Ajuste",P4568&lt;&gt;"Resultado trading"),"⚠ El monto debe ser positivo","✓")))))))))))))))</f>
        <v/>
      </c>
      <c r="P4568" s="52">
        <f>IF(OR(B4568="",G4568=""),"",IF(C4568="","Gasto",C4568))</f>
        <v/>
      </c>
      <c r="Q4568" s="52">
        <f>IF(P4568="","",IF(J4568&lt;&gt;"",J4568,CuentaPred&amp;""))</f>
        <v/>
      </c>
      <c r="R4568" s="52">
        <f>IF(P4568="","",IF(ISNUMBER(I4568),I4568,TasaUSD))</f>
        <v/>
      </c>
      <c r="S4568" s="53">
        <f>IF(P4568="","",IF(H4568="USD",G4568*R4568,G4568))</f>
        <v/>
      </c>
      <c r="T4568" s="53">
        <f>IF(P4568="","",IF(H4568="USD",G4568,IF(R4568&gt;0,G4568/R4568,0)))</f>
        <v/>
      </c>
      <c r="U4568" s="53">
        <f>IF(P4568="","",IF(P4568="Gasto",S4568,IF(P4568="Reembolso",-S4568,0)))</f>
        <v/>
      </c>
      <c r="V4568" s="53">
        <f>IF(P4568="","",IF(P4568="Ingreso",S4568,0))</f>
        <v/>
      </c>
      <c r="W4568" s="53">
        <f>IF(P4568="","",IF(P4568="Resultado trading",S4568,0))</f>
        <v/>
      </c>
      <c r="X4568" s="52">
        <f>IF(OR(P4568="Gasto",P4568="Reembolso"),IF(M4568&lt;&gt;"",M4568,IFERROR(INDEX(catClasif,MATCH(D4568&amp;"|"&amp;E4568,catClave,0))&amp;"","Variable")),"")</f>
        <v/>
      </c>
      <c r="Y4568" s="52">
        <f>IF(P4568="","",IFERROR(INDEX(catGrupo,MATCH(D4568&amp;"|"&amp;E4568,catClave,0))&amp;"",""))</f>
        <v/>
      </c>
      <c r="Z4568" s="52">
        <f>IF(P4568="","",WEEKDAY(B4568,2))</f>
        <v/>
      </c>
      <c r="AA4568" s="52">
        <f>IF(P4568="","",IF(AND(P4568="Gasto",X4568="Variable",D4568&lt;&gt;catTrading,S4568&gt;0,S4568&lt;=Umbral),1,0))</f>
        <v/>
      </c>
      <c r="AB4568" s="52">
        <f>IF(OR(P4568="",Q4568=""),"",IFERROR(IF(INDEX(ctaVinc,MATCH(Q4568,ctaNombre,0))&amp;""&lt;&gt;"",INDEX(ctaVinc,MATCH(Q4568,ctaNombre,0))&amp;"",Q4568),Q4568))</f>
        <v/>
      </c>
      <c r="AC4568" s="52">
        <f>IF(OR(K4568="",AND(P4568&lt;&gt;"Transferencia",P4568&lt;&gt;"Pago tarjeta")),"",IFERROR(IF(INDEX(ctaVinc,MATCH(K4568,ctaNombre,0))&amp;""&lt;&gt;"",INDEX(ctaVinc,MATCH(K4568,ctaNombre,0))&amp;"",K4568),K4568))</f>
        <v/>
      </c>
      <c r="AD4568" s="52">
        <f>IF(AB4568="","",IFERROR(INDEX(ctaTipo,MATCH(AB4568,ctaNombre,0))&amp;"",""))</f>
        <v/>
      </c>
      <c r="AE4568" s="52">
        <f>IF(AC4568="","",IFERROR(INDEX(ctaTipo,MATCH(AC4568,ctaNombre,0))&amp;"",""))</f>
        <v/>
      </c>
      <c r="AF4568" s="53">
        <f>IF(OR(P4568="",AB4568=""),"",IF(OR(P4568="Gasto",P4568="Transferencia",P4568="Pago tarjeta"),-1,1)*IF(IFERROR(INDEX(ctaMoneda,MATCH(AB4568,ctaNombre,0))&amp;"","DOP")="USD",T4568,S4568))</f>
        <v/>
      </c>
      <c r="AG4568" s="53">
        <f>IF(AC4568="","",IF(IFERROR(INDEX(ctaMoneda,MATCH(AC4568,ctaNombre,0))&amp;"","DOP")="USD",T4568,S4568))</f>
        <v/>
      </c>
      <c r="AH4568" s="53">
        <f>IF(P4568="","",IF(AND(AD4568&lt;&gt;"",COUNTIFS(tcTipo,AD4568,tcLiq,"Sí")&gt;0),IF(OR(P4568="Gasto",P4568="Transferencia",P4568="Pago tarjeta"),-1,1)*S4568,0)+IF(AND(AE4568&lt;&gt;"",COUNTIFS(tcTipo,AE4568,tcLiq,"Sí")&gt;0),S4568,0))</f>
        <v/>
      </c>
      <c r="AI4568" s="52">
        <f>IF(OR(L4568="",P4568=""),"",IF(COUNTIFS(L$6:L4568,L4568,P$6:P4568,"?*")=1,MAX(AI$5:AI4567)+1,""))</f>
        <v/>
      </c>
    </row>
    <row r="4569">
      <c r="B4569" s="47" t="n"/>
      <c r="C4569" s="48" t="n"/>
      <c r="D4569" s="48" t="n"/>
      <c r="E4569" s="48" t="n"/>
      <c r="F4569" s="48" t="n"/>
      <c r="G4569" s="49" t="n"/>
      <c r="H4569" s="48" t="n"/>
      <c r="I4569" s="50" t="n"/>
      <c r="J4569" s="48" t="n"/>
      <c r="K4569" s="48" t="n"/>
      <c r="L4569" s="48" t="n"/>
      <c r="M4569" s="48" t="n"/>
      <c r="N4569" s="48" t="n"/>
      <c r="O4569" s="51">
        <f>IF(AND(B4569="",G4569="",C4569="",D4569="",J4569=""),"",IF(B4569="","⚠ Falta fecha",IF(G4569="","⚠ Falta monto",IF(Q4569="","⚠ Falta cuenta",IF(ISNA(MATCH(Q4569,ctaNombre,0)),"⚠ Cuenta no registrada",IF(AND(OR(P4569="Gasto",P4569="Reembolso"),D4569=""),"⚠ Falta categoría",IF(AND(D4569&lt;&gt;"",E4569&lt;&gt;"",ISNA(MATCH(D4569&amp;"|"&amp;E4569,catClave,0))),"⚠ Subcategoría no corresponde",IF(AND(OR(P4569="Transferencia",P4569="Pago tarjeta"),K4569=""),"⚠ Falta cuenta destino",IF(AND(K4569&lt;&gt;"",P4569&lt;&gt;"Transferencia",P4569&lt;&gt;"Pago tarjeta"),"⚠ Destino solo aplica a transferencias",IF(AND(K4569&lt;&gt;"",K4569=Q4569),"⚠ Origen igual a destino",IF(AND(K4569&lt;&gt;"",ISNA(MATCH(K4569,ctaNombre,0))),"⚠ Destino no registrado",IF(AND(P4569="Pago tarjeta",AE4569&lt;&gt;"Tarjeta de crédito"),"⚠ El destino debe ser tarjeta de crédito",IF(AND(P4569="Gasto",E4569="Depósitos y retiros"),"⚠ Usa tipo Transferencia",IF(AND(P4569="Resultado trading",AD4569&lt;&gt;"Cuenta de trading"),"⚠ Usa una cuenta de trading",IF(AND(G4569&lt;=0,P4569&lt;&gt;"Ajuste",P4569&lt;&gt;"Resultado trading"),"⚠ El monto debe ser positivo","✓")))))))))))))))</f>
        <v/>
      </c>
      <c r="P4569" s="52">
        <f>IF(OR(B4569="",G4569=""),"",IF(C4569="","Gasto",C4569))</f>
        <v/>
      </c>
      <c r="Q4569" s="52">
        <f>IF(P4569="","",IF(J4569&lt;&gt;"",J4569,CuentaPred&amp;""))</f>
        <v/>
      </c>
      <c r="R4569" s="52">
        <f>IF(P4569="","",IF(ISNUMBER(I4569),I4569,TasaUSD))</f>
        <v/>
      </c>
      <c r="S4569" s="53">
        <f>IF(P4569="","",IF(H4569="USD",G4569*R4569,G4569))</f>
        <v/>
      </c>
      <c r="T4569" s="53">
        <f>IF(P4569="","",IF(H4569="USD",G4569,IF(R4569&gt;0,G4569/R4569,0)))</f>
        <v/>
      </c>
      <c r="U4569" s="53">
        <f>IF(P4569="","",IF(P4569="Gasto",S4569,IF(P4569="Reembolso",-S4569,0)))</f>
        <v/>
      </c>
      <c r="V4569" s="53">
        <f>IF(P4569="","",IF(P4569="Ingreso",S4569,0))</f>
        <v/>
      </c>
      <c r="W4569" s="53">
        <f>IF(P4569="","",IF(P4569="Resultado trading",S4569,0))</f>
        <v/>
      </c>
      <c r="X4569" s="52">
        <f>IF(OR(P4569="Gasto",P4569="Reembolso"),IF(M4569&lt;&gt;"",M4569,IFERROR(INDEX(catClasif,MATCH(D4569&amp;"|"&amp;E4569,catClave,0))&amp;"","Variable")),"")</f>
        <v/>
      </c>
      <c r="Y4569" s="52">
        <f>IF(P4569="","",IFERROR(INDEX(catGrupo,MATCH(D4569&amp;"|"&amp;E4569,catClave,0))&amp;"",""))</f>
        <v/>
      </c>
      <c r="Z4569" s="52">
        <f>IF(P4569="","",WEEKDAY(B4569,2))</f>
        <v/>
      </c>
      <c r="AA4569" s="52">
        <f>IF(P4569="","",IF(AND(P4569="Gasto",X4569="Variable",D4569&lt;&gt;catTrading,S4569&gt;0,S4569&lt;=Umbral),1,0))</f>
        <v/>
      </c>
      <c r="AB4569" s="52">
        <f>IF(OR(P4569="",Q4569=""),"",IFERROR(IF(INDEX(ctaVinc,MATCH(Q4569,ctaNombre,0))&amp;""&lt;&gt;"",INDEX(ctaVinc,MATCH(Q4569,ctaNombre,0))&amp;"",Q4569),Q4569))</f>
        <v/>
      </c>
      <c r="AC4569" s="52">
        <f>IF(OR(K4569="",AND(P4569&lt;&gt;"Transferencia",P4569&lt;&gt;"Pago tarjeta")),"",IFERROR(IF(INDEX(ctaVinc,MATCH(K4569,ctaNombre,0))&amp;""&lt;&gt;"",INDEX(ctaVinc,MATCH(K4569,ctaNombre,0))&amp;"",K4569),K4569))</f>
        <v/>
      </c>
      <c r="AD4569" s="52">
        <f>IF(AB4569="","",IFERROR(INDEX(ctaTipo,MATCH(AB4569,ctaNombre,0))&amp;"",""))</f>
        <v/>
      </c>
      <c r="AE4569" s="52">
        <f>IF(AC4569="","",IFERROR(INDEX(ctaTipo,MATCH(AC4569,ctaNombre,0))&amp;"",""))</f>
        <v/>
      </c>
      <c r="AF4569" s="53">
        <f>IF(OR(P4569="",AB4569=""),"",IF(OR(P4569="Gasto",P4569="Transferencia",P4569="Pago tarjeta"),-1,1)*IF(IFERROR(INDEX(ctaMoneda,MATCH(AB4569,ctaNombre,0))&amp;"","DOP")="USD",T4569,S4569))</f>
        <v/>
      </c>
      <c r="AG4569" s="53">
        <f>IF(AC4569="","",IF(IFERROR(INDEX(ctaMoneda,MATCH(AC4569,ctaNombre,0))&amp;"","DOP")="USD",T4569,S4569))</f>
        <v/>
      </c>
      <c r="AH4569" s="53">
        <f>IF(P4569="","",IF(AND(AD4569&lt;&gt;"",COUNTIFS(tcTipo,AD4569,tcLiq,"Sí")&gt;0),IF(OR(P4569="Gasto",P4569="Transferencia",P4569="Pago tarjeta"),-1,1)*S4569,0)+IF(AND(AE4569&lt;&gt;"",COUNTIFS(tcTipo,AE4569,tcLiq,"Sí")&gt;0),S4569,0))</f>
        <v/>
      </c>
      <c r="AI4569" s="52">
        <f>IF(OR(L4569="",P4569=""),"",IF(COUNTIFS(L$6:L4569,L4569,P$6:P4569,"?*")=1,MAX(AI$5:AI4568)+1,""))</f>
        <v/>
      </c>
    </row>
    <row r="4570">
      <c r="B4570" s="47" t="n"/>
      <c r="C4570" s="48" t="n"/>
      <c r="D4570" s="48" t="n"/>
      <c r="E4570" s="48" t="n"/>
      <c r="F4570" s="48" t="n"/>
      <c r="G4570" s="49" t="n"/>
      <c r="H4570" s="48" t="n"/>
      <c r="I4570" s="50" t="n"/>
      <c r="J4570" s="48" t="n"/>
      <c r="K4570" s="48" t="n"/>
      <c r="L4570" s="48" t="n"/>
      <c r="M4570" s="48" t="n"/>
      <c r="N4570" s="48" t="n"/>
      <c r="O4570" s="51">
        <f>IF(AND(B4570="",G4570="",C4570="",D4570="",J4570=""),"",IF(B4570="","⚠ Falta fecha",IF(G4570="","⚠ Falta monto",IF(Q4570="","⚠ Falta cuenta",IF(ISNA(MATCH(Q4570,ctaNombre,0)),"⚠ Cuenta no registrada",IF(AND(OR(P4570="Gasto",P4570="Reembolso"),D4570=""),"⚠ Falta categoría",IF(AND(D4570&lt;&gt;"",E4570&lt;&gt;"",ISNA(MATCH(D4570&amp;"|"&amp;E4570,catClave,0))),"⚠ Subcategoría no corresponde",IF(AND(OR(P4570="Transferencia",P4570="Pago tarjeta"),K4570=""),"⚠ Falta cuenta destino",IF(AND(K4570&lt;&gt;"",P4570&lt;&gt;"Transferencia",P4570&lt;&gt;"Pago tarjeta"),"⚠ Destino solo aplica a transferencias",IF(AND(K4570&lt;&gt;"",K4570=Q4570),"⚠ Origen igual a destino",IF(AND(K4570&lt;&gt;"",ISNA(MATCH(K4570,ctaNombre,0))),"⚠ Destino no registrado",IF(AND(P4570="Pago tarjeta",AE4570&lt;&gt;"Tarjeta de crédito"),"⚠ El destino debe ser tarjeta de crédito",IF(AND(P4570="Gasto",E4570="Depósitos y retiros"),"⚠ Usa tipo Transferencia",IF(AND(P4570="Resultado trading",AD4570&lt;&gt;"Cuenta de trading"),"⚠ Usa una cuenta de trading",IF(AND(G4570&lt;=0,P4570&lt;&gt;"Ajuste",P4570&lt;&gt;"Resultado trading"),"⚠ El monto debe ser positivo","✓")))))))))))))))</f>
        <v/>
      </c>
      <c r="P4570" s="52">
        <f>IF(OR(B4570="",G4570=""),"",IF(C4570="","Gasto",C4570))</f>
        <v/>
      </c>
      <c r="Q4570" s="52">
        <f>IF(P4570="","",IF(J4570&lt;&gt;"",J4570,CuentaPred&amp;""))</f>
        <v/>
      </c>
      <c r="R4570" s="52">
        <f>IF(P4570="","",IF(ISNUMBER(I4570),I4570,TasaUSD))</f>
        <v/>
      </c>
      <c r="S4570" s="53">
        <f>IF(P4570="","",IF(H4570="USD",G4570*R4570,G4570))</f>
        <v/>
      </c>
      <c r="T4570" s="53">
        <f>IF(P4570="","",IF(H4570="USD",G4570,IF(R4570&gt;0,G4570/R4570,0)))</f>
        <v/>
      </c>
      <c r="U4570" s="53">
        <f>IF(P4570="","",IF(P4570="Gasto",S4570,IF(P4570="Reembolso",-S4570,0)))</f>
        <v/>
      </c>
      <c r="V4570" s="53">
        <f>IF(P4570="","",IF(P4570="Ingreso",S4570,0))</f>
        <v/>
      </c>
      <c r="W4570" s="53">
        <f>IF(P4570="","",IF(P4570="Resultado trading",S4570,0))</f>
        <v/>
      </c>
      <c r="X4570" s="52">
        <f>IF(OR(P4570="Gasto",P4570="Reembolso"),IF(M4570&lt;&gt;"",M4570,IFERROR(INDEX(catClasif,MATCH(D4570&amp;"|"&amp;E4570,catClave,0))&amp;"","Variable")),"")</f>
        <v/>
      </c>
      <c r="Y4570" s="52">
        <f>IF(P4570="","",IFERROR(INDEX(catGrupo,MATCH(D4570&amp;"|"&amp;E4570,catClave,0))&amp;"",""))</f>
        <v/>
      </c>
      <c r="Z4570" s="52">
        <f>IF(P4570="","",WEEKDAY(B4570,2))</f>
        <v/>
      </c>
      <c r="AA4570" s="52">
        <f>IF(P4570="","",IF(AND(P4570="Gasto",X4570="Variable",D4570&lt;&gt;catTrading,S4570&gt;0,S4570&lt;=Umbral),1,0))</f>
        <v/>
      </c>
      <c r="AB4570" s="52">
        <f>IF(OR(P4570="",Q4570=""),"",IFERROR(IF(INDEX(ctaVinc,MATCH(Q4570,ctaNombre,0))&amp;""&lt;&gt;"",INDEX(ctaVinc,MATCH(Q4570,ctaNombre,0))&amp;"",Q4570),Q4570))</f>
        <v/>
      </c>
      <c r="AC4570" s="52">
        <f>IF(OR(K4570="",AND(P4570&lt;&gt;"Transferencia",P4570&lt;&gt;"Pago tarjeta")),"",IFERROR(IF(INDEX(ctaVinc,MATCH(K4570,ctaNombre,0))&amp;""&lt;&gt;"",INDEX(ctaVinc,MATCH(K4570,ctaNombre,0))&amp;"",K4570),K4570))</f>
        <v/>
      </c>
      <c r="AD4570" s="52">
        <f>IF(AB4570="","",IFERROR(INDEX(ctaTipo,MATCH(AB4570,ctaNombre,0))&amp;"",""))</f>
        <v/>
      </c>
      <c r="AE4570" s="52">
        <f>IF(AC4570="","",IFERROR(INDEX(ctaTipo,MATCH(AC4570,ctaNombre,0))&amp;"",""))</f>
        <v/>
      </c>
      <c r="AF4570" s="53">
        <f>IF(OR(P4570="",AB4570=""),"",IF(OR(P4570="Gasto",P4570="Transferencia",P4570="Pago tarjeta"),-1,1)*IF(IFERROR(INDEX(ctaMoneda,MATCH(AB4570,ctaNombre,0))&amp;"","DOP")="USD",T4570,S4570))</f>
        <v/>
      </c>
      <c r="AG4570" s="53">
        <f>IF(AC4570="","",IF(IFERROR(INDEX(ctaMoneda,MATCH(AC4570,ctaNombre,0))&amp;"","DOP")="USD",T4570,S4570))</f>
        <v/>
      </c>
      <c r="AH4570" s="53">
        <f>IF(P4570="","",IF(AND(AD4570&lt;&gt;"",COUNTIFS(tcTipo,AD4570,tcLiq,"Sí")&gt;0),IF(OR(P4570="Gasto",P4570="Transferencia",P4570="Pago tarjeta"),-1,1)*S4570,0)+IF(AND(AE4570&lt;&gt;"",COUNTIFS(tcTipo,AE4570,tcLiq,"Sí")&gt;0),S4570,0))</f>
        <v/>
      </c>
      <c r="AI4570" s="52">
        <f>IF(OR(L4570="",P4570=""),"",IF(COUNTIFS(L$6:L4570,L4570,P$6:P4570,"?*")=1,MAX(AI$5:AI4569)+1,""))</f>
        <v/>
      </c>
    </row>
    <row r="4571">
      <c r="B4571" s="47" t="n"/>
      <c r="C4571" s="48" t="n"/>
      <c r="D4571" s="48" t="n"/>
      <c r="E4571" s="48" t="n"/>
      <c r="F4571" s="48" t="n"/>
      <c r="G4571" s="49" t="n"/>
      <c r="H4571" s="48" t="n"/>
      <c r="I4571" s="50" t="n"/>
      <c r="J4571" s="48" t="n"/>
      <c r="K4571" s="48" t="n"/>
      <c r="L4571" s="48" t="n"/>
      <c r="M4571" s="48" t="n"/>
      <c r="N4571" s="48" t="n"/>
      <c r="O4571" s="51">
        <f>IF(AND(B4571="",G4571="",C4571="",D4571="",J4571=""),"",IF(B4571="","⚠ Falta fecha",IF(G4571="","⚠ Falta monto",IF(Q4571="","⚠ Falta cuenta",IF(ISNA(MATCH(Q4571,ctaNombre,0)),"⚠ Cuenta no registrada",IF(AND(OR(P4571="Gasto",P4571="Reembolso"),D4571=""),"⚠ Falta categoría",IF(AND(D4571&lt;&gt;"",E4571&lt;&gt;"",ISNA(MATCH(D4571&amp;"|"&amp;E4571,catClave,0))),"⚠ Subcategoría no corresponde",IF(AND(OR(P4571="Transferencia",P4571="Pago tarjeta"),K4571=""),"⚠ Falta cuenta destino",IF(AND(K4571&lt;&gt;"",P4571&lt;&gt;"Transferencia",P4571&lt;&gt;"Pago tarjeta"),"⚠ Destino solo aplica a transferencias",IF(AND(K4571&lt;&gt;"",K4571=Q4571),"⚠ Origen igual a destino",IF(AND(K4571&lt;&gt;"",ISNA(MATCH(K4571,ctaNombre,0))),"⚠ Destino no registrado",IF(AND(P4571="Pago tarjeta",AE4571&lt;&gt;"Tarjeta de crédito"),"⚠ El destino debe ser tarjeta de crédito",IF(AND(P4571="Gasto",E4571="Depósitos y retiros"),"⚠ Usa tipo Transferencia",IF(AND(P4571="Resultado trading",AD4571&lt;&gt;"Cuenta de trading"),"⚠ Usa una cuenta de trading",IF(AND(G4571&lt;=0,P4571&lt;&gt;"Ajuste",P4571&lt;&gt;"Resultado trading"),"⚠ El monto debe ser positivo","✓")))))))))))))))</f>
        <v/>
      </c>
      <c r="P4571" s="52">
        <f>IF(OR(B4571="",G4571=""),"",IF(C4571="","Gasto",C4571))</f>
        <v/>
      </c>
      <c r="Q4571" s="52">
        <f>IF(P4571="","",IF(J4571&lt;&gt;"",J4571,CuentaPred&amp;""))</f>
        <v/>
      </c>
      <c r="R4571" s="52">
        <f>IF(P4571="","",IF(ISNUMBER(I4571),I4571,TasaUSD))</f>
        <v/>
      </c>
      <c r="S4571" s="53">
        <f>IF(P4571="","",IF(H4571="USD",G4571*R4571,G4571))</f>
        <v/>
      </c>
      <c r="T4571" s="53">
        <f>IF(P4571="","",IF(H4571="USD",G4571,IF(R4571&gt;0,G4571/R4571,0)))</f>
        <v/>
      </c>
      <c r="U4571" s="53">
        <f>IF(P4571="","",IF(P4571="Gasto",S4571,IF(P4571="Reembolso",-S4571,0)))</f>
        <v/>
      </c>
      <c r="V4571" s="53">
        <f>IF(P4571="","",IF(P4571="Ingreso",S4571,0))</f>
        <v/>
      </c>
      <c r="W4571" s="53">
        <f>IF(P4571="","",IF(P4571="Resultado trading",S4571,0))</f>
        <v/>
      </c>
      <c r="X4571" s="52">
        <f>IF(OR(P4571="Gasto",P4571="Reembolso"),IF(M4571&lt;&gt;"",M4571,IFERROR(INDEX(catClasif,MATCH(D4571&amp;"|"&amp;E4571,catClave,0))&amp;"","Variable")),"")</f>
        <v/>
      </c>
      <c r="Y4571" s="52">
        <f>IF(P4571="","",IFERROR(INDEX(catGrupo,MATCH(D4571&amp;"|"&amp;E4571,catClave,0))&amp;"",""))</f>
        <v/>
      </c>
      <c r="Z4571" s="52">
        <f>IF(P4571="","",WEEKDAY(B4571,2))</f>
        <v/>
      </c>
      <c r="AA4571" s="52">
        <f>IF(P4571="","",IF(AND(P4571="Gasto",X4571="Variable",D4571&lt;&gt;catTrading,S4571&gt;0,S4571&lt;=Umbral),1,0))</f>
        <v/>
      </c>
      <c r="AB4571" s="52">
        <f>IF(OR(P4571="",Q4571=""),"",IFERROR(IF(INDEX(ctaVinc,MATCH(Q4571,ctaNombre,0))&amp;""&lt;&gt;"",INDEX(ctaVinc,MATCH(Q4571,ctaNombre,0))&amp;"",Q4571),Q4571))</f>
        <v/>
      </c>
      <c r="AC4571" s="52">
        <f>IF(OR(K4571="",AND(P4571&lt;&gt;"Transferencia",P4571&lt;&gt;"Pago tarjeta")),"",IFERROR(IF(INDEX(ctaVinc,MATCH(K4571,ctaNombre,0))&amp;""&lt;&gt;"",INDEX(ctaVinc,MATCH(K4571,ctaNombre,0))&amp;"",K4571),K4571))</f>
        <v/>
      </c>
      <c r="AD4571" s="52">
        <f>IF(AB4571="","",IFERROR(INDEX(ctaTipo,MATCH(AB4571,ctaNombre,0))&amp;"",""))</f>
        <v/>
      </c>
      <c r="AE4571" s="52">
        <f>IF(AC4571="","",IFERROR(INDEX(ctaTipo,MATCH(AC4571,ctaNombre,0))&amp;"",""))</f>
        <v/>
      </c>
      <c r="AF4571" s="53">
        <f>IF(OR(P4571="",AB4571=""),"",IF(OR(P4571="Gasto",P4571="Transferencia",P4571="Pago tarjeta"),-1,1)*IF(IFERROR(INDEX(ctaMoneda,MATCH(AB4571,ctaNombre,0))&amp;"","DOP")="USD",T4571,S4571))</f>
        <v/>
      </c>
      <c r="AG4571" s="53">
        <f>IF(AC4571="","",IF(IFERROR(INDEX(ctaMoneda,MATCH(AC4571,ctaNombre,0))&amp;"","DOP")="USD",T4571,S4571))</f>
        <v/>
      </c>
      <c r="AH4571" s="53">
        <f>IF(P4571="","",IF(AND(AD4571&lt;&gt;"",COUNTIFS(tcTipo,AD4571,tcLiq,"Sí")&gt;0),IF(OR(P4571="Gasto",P4571="Transferencia",P4571="Pago tarjeta"),-1,1)*S4571,0)+IF(AND(AE4571&lt;&gt;"",COUNTIFS(tcTipo,AE4571,tcLiq,"Sí")&gt;0),S4571,0))</f>
        <v/>
      </c>
      <c r="AI4571" s="52">
        <f>IF(OR(L4571="",P4571=""),"",IF(COUNTIFS(L$6:L4571,L4571,P$6:P4571,"?*")=1,MAX(AI$5:AI4570)+1,""))</f>
        <v/>
      </c>
    </row>
    <row r="4572">
      <c r="B4572" s="47" t="n"/>
      <c r="C4572" s="48" t="n"/>
      <c r="D4572" s="48" t="n"/>
      <c r="E4572" s="48" t="n"/>
      <c r="F4572" s="48" t="n"/>
      <c r="G4572" s="49" t="n"/>
      <c r="H4572" s="48" t="n"/>
      <c r="I4572" s="50" t="n"/>
      <c r="J4572" s="48" t="n"/>
      <c r="K4572" s="48" t="n"/>
      <c r="L4572" s="48" t="n"/>
      <c r="M4572" s="48" t="n"/>
      <c r="N4572" s="48" t="n"/>
      <c r="O4572" s="51">
        <f>IF(AND(B4572="",G4572="",C4572="",D4572="",J4572=""),"",IF(B4572="","⚠ Falta fecha",IF(G4572="","⚠ Falta monto",IF(Q4572="","⚠ Falta cuenta",IF(ISNA(MATCH(Q4572,ctaNombre,0)),"⚠ Cuenta no registrada",IF(AND(OR(P4572="Gasto",P4572="Reembolso"),D4572=""),"⚠ Falta categoría",IF(AND(D4572&lt;&gt;"",E4572&lt;&gt;"",ISNA(MATCH(D4572&amp;"|"&amp;E4572,catClave,0))),"⚠ Subcategoría no corresponde",IF(AND(OR(P4572="Transferencia",P4572="Pago tarjeta"),K4572=""),"⚠ Falta cuenta destino",IF(AND(K4572&lt;&gt;"",P4572&lt;&gt;"Transferencia",P4572&lt;&gt;"Pago tarjeta"),"⚠ Destino solo aplica a transferencias",IF(AND(K4572&lt;&gt;"",K4572=Q4572),"⚠ Origen igual a destino",IF(AND(K4572&lt;&gt;"",ISNA(MATCH(K4572,ctaNombre,0))),"⚠ Destino no registrado",IF(AND(P4572="Pago tarjeta",AE4572&lt;&gt;"Tarjeta de crédito"),"⚠ El destino debe ser tarjeta de crédito",IF(AND(P4572="Gasto",E4572="Depósitos y retiros"),"⚠ Usa tipo Transferencia",IF(AND(P4572="Resultado trading",AD4572&lt;&gt;"Cuenta de trading"),"⚠ Usa una cuenta de trading",IF(AND(G4572&lt;=0,P4572&lt;&gt;"Ajuste",P4572&lt;&gt;"Resultado trading"),"⚠ El monto debe ser positivo","✓")))))))))))))))</f>
        <v/>
      </c>
      <c r="P4572" s="52">
        <f>IF(OR(B4572="",G4572=""),"",IF(C4572="","Gasto",C4572))</f>
        <v/>
      </c>
      <c r="Q4572" s="52">
        <f>IF(P4572="","",IF(J4572&lt;&gt;"",J4572,CuentaPred&amp;""))</f>
        <v/>
      </c>
      <c r="R4572" s="52">
        <f>IF(P4572="","",IF(ISNUMBER(I4572),I4572,TasaUSD))</f>
        <v/>
      </c>
      <c r="S4572" s="53">
        <f>IF(P4572="","",IF(H4572="USD",G4572*R4572,G4572))</f>
        <v/>
      </c>
      <c r="T4572" s="53">
        <f>IF(P4572="","",IF(H4572="USD",G4572,IF(R4572&gt;0,G4572/R4572,0)))</f>
        <v/>
      </c>
      <c r="U4572" s="53">
        <f>IF(P4572="","",IF(P4572="Gasto",S4572,IF(P4572="Reembolso",-S4572,0)))</f>
        <v/>
      </c>
      <c r="V4572" s="53">
        <f>IF(P4572="","",IF(P4572="Ingreso",S4572,0))</f>
        <v/>
      </c>
      <c r="W4572" s="53">
        <f>IF(P4572="","",IF(P4572="Resultado trading",S4572,0))</f>
        <v/>
      </c>
      <c r="X4572" s="52">
        <f>IF(OR(P4572="Gasto",P4572="Reembolso"),IF(M4572&lt;&gt;"",M4572,IFERROR(INDEX(catClasif,MATCH(D4572&amp;"|"&amp;E4572,catClave,0))&amp;"","Variable")),"")</f>
        <v/>
      </c>
      <c r="Y4572" s="52">
        <f>IF(P4572="","",IFERROR(INDEX(catGrupo,MATCH(D4572&amp;"|"&amp;E4572,catClave,0))&amp;"",""))</f>
        <v/>
      </c>
      <c r="Z4572" s="52">
        <f>IF(P4572="","",WEEKDAY(B4572,2))</f>
        <v/>
      </c>
      <c r="AA4572" s="52">
        <f>IF(P4572="","",IF(AND(P4572="Gasto",X4572="Variable",D4572&lt;&gt;catTrading,S4572&gt;0,S4572&lt;=Umbral),1,0))</f>
        <v/>
      </c>
      <c r="AB4572" s="52">
        <f>IF(OR(P4572="",Q4572=""),"",IFERROR(IF(INDEX(ctaVinc,MATCH(Q4572,ctaNombre,0))&amp;""&lt;&gt;"",INDEX(ctaVinc,MATCH(Q4572,ctaNombre,0))&amp;"",Q4572),Q4572))</f>
        <v/>
      </c>
      <c r="AC4572" s="52">
        <f>IF(OR(K4572="",AND(P4572&lt;&gt;"Transferencia",P4572&lt;&gt;"Pago tarjeta")),"",IFERROR(IF(INDEX(ctaVinc,MATCH(K4572,ctaNombre,0))&amp;""&lt;&gt;"",INDEX(ctaVinc,MATCH(K4572,ctaNombre,0))&amp;"",K4572),K4572))</f>
        <v/>
      </c>
      <c r="AD4572" s="52">
        <f>IF(AB4572="","",IFERROR(INDEX(ctaTipo,MATCH(AB4572,ctaNombre,0))&amp;"",""))</f>
        <v/>
      </c>
      <c r="AE4572" s="52">
        <f>IF(AC4572="","",IFERROR(INDEX(ctaTipo,MATCH(AC4572,ctaNombre,0))&amp;"",""))</f>
        <v/>
      </c>
      <c r="AF4572" s="53">
        <f>IF(OR(P4572="",AB4572=""),"",IF(OR(P4572="Gasto",P4572="Transferencia",P4572="Pago tarjeta"),-1,1)*IF(IFERROR(INDEX(ctaMoneda,MATCH(AB4572,ctaNombre,0))&amp;"","DOP")="USD",T4572,S4572))</f>
        <v/>
      </c>
      <c r="AG4572" s="53">
        <f>IF(AC4572="","",IF(IFERROR(INDEX(ctaMoneda,MATCH(AC4572,ctaNombre,0))&amp;"","DOP")="USD",T4572,S4572))</f>
        <v/>
      </c>
      <c r="AH4572" s="53">
        <f>IF(P4572="","",IF(AND(AD4572&lt;&gt;"",COUNTIFS(tcTipo,AD4572,tcLiq,"Sí")&gt;0),IF(OR(P4572="Gasto",P4572="Transferencia",P4572="Pago tarjeta"),-1,1)*S4572,0)+IF(AND(AE4572&lt;&gt;"",COUNTIFS(tcTipo,AE4572,tcLiq,"Sí")&gt;0),S4572,0))</f>
        <v/>
      </c>
      <c r="AI4572" s="52">
        <f>IF(OR(L4572="",P4572=""),"",IF(COUNTIFS(L$6:L4572,L4572,P$6:P4572,"?*")=1,MAX(AI$5:AI4571)+1,""))</f>
        <v/>
      </c>
    </row>
    <row r="4573">
      <c r="B4573" s="47" t="n"/>
      <c r="C4573" s="48" t="n"/>
      <c r="D4573" s="48" t="n"/>
      <c r="E4573" s="48" t="n"/>
      <c r="F4573" s="48" t="n"/>
      <c r="G4573" s="49" t="n"/>
      <c r="H4573" s="48" t="n"/>
      <c r="I4573" s="50" t="n"/>
      <c r="J4573" s="48" t="n"/>
      <c r="K4573" s="48" t="n"/>
      <c r="L4573" s="48" t="n"/>
      <c r="M4573" s="48" t="n"/>
      <c r="N4573" s="48" t="n"/>
      <c r="O4573" s="51">
        <f>IF(AND(B4573="",G4573="",C4573="",D4573="",J4573=""),"",IF(B4573="","⚠ Falta fecha",IF(G4573="","⚠ Falta monto",IF(Q4573="","⚠ Falta cuenta",IF(ISNA(MATCH(Q4573,ctaNombre,0)),"⚠ Cuenta no registrada",IF(AND(OR(P4573="Gasto",P4573="Reembolso"),D4573=""),"⚠ Falta categoría",IF(AND(D4573&lt;&gt;"",E4573&lt;&gt;"",ISNA(MATCH(D4573&amp;"|"&amp;E4573,catClave,0))),"⚠ Subcategoría no corresponde",IF(AND(OR(P4573="Transferencia",P4573="Pago tarjeta"),K4573=""),"⚠ Falta cuenta destino",IF(AND(K4573&lt;&gt;"",P4573&lt;&gt;"Transferencia",P4573&lt;&gt;"Pago tarjeta"),"⚠ Destino solo aplica a transferencias",IF(AND(K4573&lt;&gt;"",K4573=Q4573),"⚠ Origen igual a destino",IF(AND(K4573&lt;&gt;"",ISNA(MATCH(K4573,ctaNombre,0))),"⚠ Destino no registrado",IF(AND(P4573="Pago tarjeta",AE4573&lt;&gt;"Tarjeta de crédito"),"⚠ El destino debe ser tarjeta de crédito",IF(AND(P4573="Gasto",E4573="Depósitos y retiros"),"⚠ Usa tipo Transferencia",IF(AND(P4573="Resultado trading",AD4573&lt;&gt;"Cuenta de trading"),"⚠ Usa una cuenta de trading",IF(AND(G4573&lt;=0,P4573&lt;&gt;"Ajuste",P4573&lt;&gt;"Resultado trading"),"⚠ El monto debe ser positivo","✓")))))))))))))))</f>
        <v/>
      </c>
      <c r="P4573" s="52">
        <f>IF(OR(B4573="",G4573=""),"",IF(C4573="","Gasto",C4573))</f>
        <v/>
      </c>
      <c r="Q4573" s="52">
        <f>IF(P4573="","",IF(J4573&lt;&gt;"",J4573,CuentaPred&amp;""))</f>
        <v/>
      </c>
      <c r="R4573" s="52">
        <f>IF(P4573="","",IF(ISNUMBER(I4573),I4573,TasaUSD))</f>
        <v/>
      </c>
      <c r="S4573" s="53">
        <f>IF(P4573="","",IF(H4573="USD",G4573*R4573,G4573))</f>
        <v/>
      </c>
      <c r="T4573" s="53">
        <f>IF(P4573="","",IF(H4573="USD",G4573,IF(R4573&gt;0,G4573/R4573,0)))</f>
        <v/>
      </c>
      <c r="U4573" s="53">
        <f>IF(P4573="","",IF(P4573="Gasto",S4573,IF(P4573="Reembolso",-S4573,0)))</f>
        <v/>
      </c>
      <c r="V4573" s="53">
        <f>IF(P4573="","",IF(P4573="Ingreso",S4573,0))</f>
        <v/>
      </c>
      <c r="W4573" s="53">
        <f>IF(P4573="","",IF(P4573="Resultado trading",S4573,0))</f>
        <v/>
      </c>
      <c r="X4573" s="52">
        <f>IF(OR(P4573="Gasto",P4573="Reembolso"),IF(M4573&lt;&gt;"",M4573,IFERROR(INDEX(catClasif,MATCH(D4573&amp;"|"&amp;E4573,catClave,0))&amp;"","Variable")),"")</f>
        <v/>
      </c>
      <c r="Y4573" s="52">
        <f>IF(P4573="","",IFERROR(INDEX(catGrupo,MATCH(D4573&amp;"|"&amp;E4573,catClave,0))&amp;"",""))</f>
        <v/>
      </c>
      <c r="Z4573" s="52">
        <f>IF(P4573="","",WEEKDAY(B4573,2))</f>
        <v/>
      </c>
      <c r="AA4573" s="52">
        <f>IF(P4573="","",IF(AND(P4573="Gasto",X4573="Variable",D4573&lt;&gt;catTrading,S4573&gt;0,S4573&lt;=Umbral),1,0))</f>
        <v/>
      </c>
      <c r="AB4573" s="52">
        <f>IF(OR(P4573="",Q4573=""),"",IFERROR(IF(INDEX(ctaVinc,MATCH(Q4573,ctaNombre,0))&amp;""&lt;&gt;"",INDEX(ctaVinc,MATCH(Q4573,ctaNombre,0))&amp;"",Q4573),Q4573))</f>
        <v/>
      </c>
      <c r="AC4573" s="52">
        <f>IF(OR(K4573="",AND(P4573&lt;&gt;"Transferencia",P4573&lt;&gt;"Pago tarjeta")),"",IFERROR(IF(INDEX(ctaVinc,MATCH(K4573,ctaNombre,0))&amp;""&lt;&gt;"",INDEX(ctaVinc,MATCH(K4573,ctaNombre,0))&amp;"",K4573),K4573))</f>
        <v/>
      </c>
      <c r="AD4573" s="52">
        <f>IF(AB4573="","",IFERROR(INDEX(ctaTipo,MATCH(AB4573,ctaNombre,0))&amp;"",""))</f>
        <v/>
      </c>
      <c r="AE4573" s="52">
        <f>IF(AC4573="","",IFERROR(INDEX(ctaTipo,MATCH(AC4573,ctaNombre,0))&amp;"",""))</f>
        <v/>
      </c>
      <c r="AF4573" s="53">
        <f>IF(OR(P4573="",AB4573=""),"",IF(OR(P4573="Gasto",P4573="Transferencia",P4573="Pago tarjeta"),-1,1)*IF(IFERROR(INDEX(ctaMoneda,MATCH(AB4573,ctaNombre,0))&amp;"","DOP")="USD",T4573,S4573))</f>
        <v/>
      </c>
      <c r="AG4573" s="53">
        <f>IF(AC4573="","",IF(IFERROR(INDEX(ctaMoneda,MATCH(AC4573,ctaNombre,0))&amp;"","DOP")="USD",T4573,S4573))</f>
        <v/>
      </c>
      <c r="AH4573" s="53">
        <f>IF(P4573="","",IF(AND(AD4573&lt;&gt;"",COUNTIFS(tcTipo,AD4573,tcLiq,"Sí")&gt;0),IF(OR(P4573="Gasto",P4573="Transferencia",P4573="Pago tarjeta"),-1,1)*S4573,0)+IF(AND(AE4573&lt;&gt;"",COUNTIFS(tcTipo,AE4573,tcLiq,"Sí")&gt;0),S4573,0))</f>
        <v/>
      </c>
      <c r="AI4573" s="52">
        <f>IF(OR(L4573="",P4573=""),"",IF(COUNTIFS(L$6:L4573,L4573,P$6:P4573,"?*")=1,MAX(AI$5:AI4572)+1,""))</f>
        <v/>
      </c>
    </row>
    <row r="4574">
      <c r="B4574" s="47" t="n"/>
      <c r="C4574" s="48" t="n"/>
      <c r="D4574" s="48" t="n"/>
      <c r="E4574" s="48" t="n"/>
      <c r="F4574" s="48" t="n"/>
      <c r="G4574" s="49" t="n"/>
      <c r="H4574" s="48" t="n"/>
      <c r="I4574" s="50" t="n"/>
      <c r="J4574" s="48" t="n"/>
      <c r="K4574" s="48" t="n"/>
      <c r="L4574" s="48" t="n"/>
      <c r="M4574" s="48" t="n"/>
      <c r="N4574" s="48" t="n"/>
      <c r="O4574" s="51">
        <f>IF(AND(B4574="",G4574="",C4574="",D4574="",J4574=""),"",IF(B4574="","⚠ Falta fecha",IF(G4574="","⚠ Falta monto",IF(Q4574="","⚠ Falta cuenta",IF(ISNA(MATCH(Q4574,ctaNombre,0)),"⚠ Cuenta no registrada",IF(AND(OR(P4574="Gasto",P4574="Reembolso"),D4574=""),"⚠ Falta categoría",IF(AND(D4574&lt;&gt;"",E4574&lt;&gt;"",ISNA(MATCH(D4574&amp;"|"&amp;E4574,catClave,0))),"⚠ Subcategoría no corresponde",IF(AND(OR(P4574="Transferencia",P4574="Pago tarjeta"),K4574=""),"⚠ Falta cuenta destino",IF(AND(K4574&lt;&gt;"",P4574&lt;&gt;"Transferencia",P4574&lt;&gt;"Pago tarjeta"),"⚠ Destino solo aplica a transferencias",IF(AND(K4574&lt;&gt;"",K4574=Q4574),"⚠ Origen igual a destino",IF(AND(K4574&lt;&gt;"",ISNA(MATCH(K4574,ctaNombre,0))),"⚠ Destino no registrado",IF(AND(P4574="Pago tarjeta",AE4574&lt;&gt;"Tarjeta de crédito"),"⚠ El destino debe ser tarjeta de crédito",IF(AND(P4574="Gasto",E4574="Depósitos y retiros"),"⚠ Usa tipo Transferencia",IF(AND(P4574="Resultado trading",AD4574&lt;&gt;"Cuenta de trading"),"⚠ Usa una cuenta de trading",IF(AND(G4574&lt;=0,P4574&lt;&gt;"Ajuste",P4574&lt;&gt;"Resultado trading"),"⚠ El monto debe ser positivo","✓")))))))))))))))</f>
        <v/>
      </c>
      <c r="P4574" s="52">
        <f>IF(OR(B4574="",G4574=""),"",IF(C4574="","Gasto",C4574))</f>
        <v/>
      </c>
      <c r="Q4574" s="52">
        <f>IF(P4574="","",IF(J4574&lt;&gt;"",J4574,CuentaPred&amp;""))</f>
        <v/>
      </c>
      <c r="R4574" s="52">
        <f>IF(P4574="","",IF(ISNUMBER(I4574),I4574,TasaUSD))</f>
        <v/>
      </c>
      <c r="S4574" s="53">
        <f>IF(P4574="","",IF(H4574="USD",G4574*R4574,G4574))</f>
        <v/>
      </c>
      <c r="T4574" s="53">
        <f>IF(P4574="","",IF(H4574="USD",G4574,IF(R4574&gt;0,G4574/R4574,0)))</f>
        <v/>
      </c>
      <c r="U4574" s="53">
        <f>IF(P4574="","",IF(P4574="Gasto",S4574,IF(P4574="Reembolso",-S4574,0)))</f>
        <v/>
      </c>
      <c r="V4574" s="53">
        <f>IF(P4574="","",IF(P4574="Ingreso",S4574,0))</f>
        <v/>
      </c>
      <c r="W4574" s="53">
        <f>IF(P4574="","",IF(P4574="Resultado trading",S4574,0))</f>
        <v/>
      </c>
      <c r="X4574" s="52">
        <f>IF(OR(P4574="Gasto",P4574="Reembolso"),IF(M4574&lt;&gt;"",M4574,IFERROR(INDEX(catClasif,MATCH(D4574&amp;"|"&amp;E4574,catClave,0))&amp;"","Variable")),"")</f>
        <v/>
      </c>
      <c r="Y4574" s="52">
        <f>IF(P4574="","",IFERROR(INDEX(catGrupo,MATCH(D4574&amp;"|"&amp;E4574,catClave,0))&amp;"",""))</f>
        <v/>
      </c>
      <c r="Z4574" s="52">
        <f>IF(P4574="","",WEEKDAY(B4574,2))</f>
        <v/>
      </c>
      <c r="AA4574" s="52">
        <f>IF(P4574="","",IF(AND(P4574="Gasto",X4574="Variable",D4574&lt;&gt;catTrading,S4574&gt;0,S4574&lt;=Umbral),1,0))</f>
        <v/>
      </c>
      <c r="AB4574" s="52">
        <f>IF(OR(P4574="",Q4574=""),"",IFERROR(IF(INDEX(ctaVinc,MATCH(Q4574,ctaNombre,0))&amp;""&lt;&gt;"",INDEX(ctaVinc,MATCH(Q4574,ctaNombre,0))&amp;"",Q4574),Q4574))</f>
        <v/>
      </c>
      <c r="AC4574" s="52">
        <f>IF(OR(K4574="",AND(P4574&lt;&gt;"Transferencia",P4574&lt;&gt;"Pago tarjeta")),"",IFERROR(IF(INDEX(ctaVinc,MATCH(K4574,ctaNombre,0))&amp;""&lt;&gt;"",INDEX(ctaVinc,MATCH(K4574,ctaNombre,0))&amp;"",K4574),K4574))</f>
        <v/>
      </c>
      <c r="AD4574" s="52">
        <f>IF(AB4574="","",IFERROR(INDEX(ctaTipo,MATCH(AB4574,ctaNombre,0))&amp;"",""))</f>
        <v/>
      </c>
      <c r="AE4574" s="52">
        <f>IF(AC4574="","",IFERROR(INDEX(ctaTipo,MATCH(AC4574,ctaNombre,0))&amp;"",""))</f>
        <v/>
      </c>
      <c r="AF4574" s="53">
        <f>IF(OR(P4574="",AB4574=""),"",IF(OR(P4574="Gasto",P4574="Transferencia",P4574="Pago tarjeta"),-1,1)*IF(IFERROR(INDEX(ctaMoneda,MATCH(AB4574,ctaNombre,0))&amp;"","DOP")="USD",T4574,S4574))</f>
        <v/>
      </c>
      <c r="AG4574" s="53">
        <f>IF(AC4574="","",IF(IFERROR(INDEX(ctaMoneda,MATCH(AC4574,ctaNombre,0))&amp;"","DOP")="USD",T4574,S4574))</f>
        <v/>
      </c>
      <c r="AH4574" s="53">
        <f>IF(P4574="","",IF(AND(AD4574&lt;&gt;"",COUNTIFS(tcTipo,AD4574,tcLiq,"Sí")&gt;0),IF(OR(P4574="Gasto",P4574="Transferencia",P4574="Pago tarjeta"),-1,1)*S4574,0)+IF(AND(AE4574&lt;&gt;"",COUNTIFS(tcTipo,AE4574,tcLiq,"Sí")&gt;0),S4574,0))</f>
        <v/>
      </c>
      <c r="AI4574" s="52">
        <f>IF(OR(L4574="",P4574=""),"",IF(COUNTIFS(L$6:L4574,L4574,P$6:P4574,"?*")=1,MAX(AI$5:AI4573)+1,""))</f>
        <v/>
      </c>
    </row>
    <row r="4575">
      <c r="B4575" s="47" t="n"/>
      <c r="C4575" s="48" t="n"/>
      <c r="D4575" s="48" t="n"/>
      <c r="E4575" s="48" t="n"/>
      <c r="F4575" s="48" t="n"/>
      <c r="G4575" s="49" t="n"/>
      <c r="H4575" s="48" t="n"/>
      <c r="I4575" s="50" t="n"/>
      <c r="J4575" s="48" t="n"/>
      <c r="K4575" s="48" t="n"/>
      <c r="L4575" s="48" t="n"/>
      <c r="M4575" s="48" t="n"/>
      <c r="N4575" s="48" t="n"/>
      <c r="O4575" s="51">
        <f>IF(AND(B4575="",G4575="",C4575="",D4575="",J4575=""),"",IF(B4575="","⚠ Falta fecha",IF(G4575="","⚠ Falta monto",IF(Q4575="","⚠ Falta cuenta",IF(ISNA(MATCH(Q4575,ctaNombre,0)),"⚠ Cuenta no registrada",IF(AND(OR(P4575="Gasto",P4575="Reembolso"),D4575=""),"⚠ Falta categoría",IF(AND(D4575&lt;&gt;"",E4575&lt;&gt;"",ISNA(MATCH(D4575&amp;"|"&amp;E4575,catClave,0))),"⚠ Subcategoría no corresponde",IF(AND(OR(P4575="Transferencia",P4575="Pago tarjeta"),K4575=""),"⚠ Falta cuenta destino",IF(AND(K4575&lt;&gt;"",P4575&lt;&gt;"Transferencia",P4575&lt;&gt;"Pago tarjeta"),"⚠ Destino solo aplica a transferencias",IF(AND(K4575&lt;&gt;"",K4575=Q4575),"⚠ Origen igual a destino",IF(AND(K4575&lt;&gt;"",ISNA(MATCH(K4575,ctaNombre,0))),"⚠ Destino no registrado",IF(AND(P4575="Pago tarjeta",AE4575&lt;&gt;"Tarjeta de crédito"),"⚠ El destino debe ser tarjeta de crédito",IF(AND(P4575="Gasto",E4575="Depósitos y retiros"),"⚠ Usa tipo Transferencia",IF(AND(P4575="Resultado trading",AD4575&lt;&gt;"Cuenta de trading"),"⚠ Usa una cuenta de trading",IF(AND(G4575&lt;=0,P4575&lt;&gt;"Ajuste",P4575&lt;&gt;"Resultado trading"),"⚠ El monto debe ser positivo","✓")))))))))))))))</f>
        <v/>
      </c>
      <c r="P4575" s="52">
        <f>IF(OR(B4575="",G4575=""),"",IF(C4575="","Gasto",C4575))</f>
        <v/>
      </c>
      <c r="Q4575" s="52">
        <f>IF(P4575="","",IF(J4575&lt;&gt;"",J4575,CuentaPred&amp;""))</f>
        <v/>
      </c>
      <c r="R4575" s="52">
        <f>IF(P4575="","",IF(ISNUMBER(I4575),I4575,TasaUSD))</f>
        <v/>
      </c>
      <c r="S4575" s="53">
        <f>IF(P4575="","",IF(H4575="USD",G4575*R4575,G4575))</f>
        <v/>
      </c>
      <c r="T4575" s="53">
        <f>IF(P4575="","",IF(H4575="USD",G4575,IF(R4575&gt;0,G4575/R4575,0)))</f>
        <v/>
      </c>
      <c r="U4575" s="53">
        <f>IF(P4575="","",IF(P4575="Gasto",S4575,IF(P4575="Reembolso",-S4575,0)))</f>
        <v/>
      </c>
      <c r="V4575" s="53">
        <f>IF(P4575="","",IF(P4575="Ingreso",S4575,0))</f>
        <v/>
      </c>
      <c r="W4575" s="53">
        <f>IF(P4575="","",IF(P4575="Resultado trading",S4575,0))</f>
        <v/>
      </c>
      <c r="X4575" s="52">
        <f>IF(OR(P4575="Gasto",P4575="Reembolso"),IF(M4575&lt;&gt;"",M4575,IFERROR(INDEX(catClasif,MATCH(D4575&amp;"|"&amp;E4575,catClave,0))&amp;"","Variable")),"")</f>
        <v/>
      </c>
      <c r="Y4575" s="52">
        <f>IF(P4575="","",IFERROR(INDEX(catGrupo,MATCH(D4575&amp;"|"&amp;E4575,catClave,0))&amp;"",""))</f>
        <v/>
      </c>
      <c r="Z4575" s="52">
        <f>IF(P4575="","",WEEKDAY(B4575,2))</f>
        <v/>
      </c>
      <c r="AA4575" s="52">
        <f>IF(P4575="","",IF(AND(P4575="Gasto",X4575="Variable",D4575&lt;&gt;catTrading,S4575&gt;0,S4575&lt;=Umbral),1,0))</f>
        <v/>
      </c>
      <c r="AB4575" s="52">
        <f>IF(OR(P4575="",Q4575=""),"",IFERROR(IF(INDEX(ctaVinc,MATCH(Q4575,ctaNombre,0))&amp;""&lt;&gt;"",INDEX(ctaVinc,MATCH(Q4575,ctaNombre,0))&amp;"",Q4575),Q4575))</f>
        <v/>
      </c>
      <c r="AC4575" s="52">
        <f>IF(OR(K4575="",AND(P4575&lt;&gt;"Transferencia",P4575&lt;&gt;"Pago tarjeta")),"",IFERROR(IF(INDEX(ctaVinc,MATCH(K4575,ctaNombre,0))&amp;""&lt;&gt;"",INDEX(ctaVinc,MATCH(K4575,ctaNombre,0))&amp;"",K4575),K4575))</f>
        <v/>
      </c>
      <c r="AD4575" s="52">
        <f>IF(AB4575="","",IFERROR(INDEX(ctaTipo,MATCH(AB4575,ctaNombre,0))&amp;"",""))</f>
        <v/>
      </c>
      <c r="AE4575" s="52">
        <f>IF(AC4575="","",IFERROR(INDEX(ctaTipo,MATCH(AC4575,ctaNombre,0))&amp;"",""))</f>
        <v/>
      </c>
      <c r="AF4575" s="53">
        <f>IF(OR(P4575="",AB4575=""),"",IF(OR(P4575="Gasto",P4575="Transferencia",P4575="Pago tarjeta"),-1,1)*IF(IFERROR(INDEX(ctaMoneda,MATCH(AB4575,ctaNombre,0))&amp;"","DOP")="USD",T4575,S4575))</f>
        <v/>
      </c>
      <c r="AG4575" s="53">
        <f>IF(AC4575="","",IF(IFERROR(INDEX(ctaMoneda,MATCH(AC4575,ctaNombre,0))&amp;"","DOP")="USD",T4575,S4575))</f>
        <v/>
      </c>
      <c r="AH4575" s="53">
        <f>IF(P4575="","",IF(AND(AD4575&lt;&gt;"",COUNTIFS(tcTipo,AD4575,tcLiq,"Sí")&gt;0),IF(OR(P4575="Gasto",P4575="Transferencia",P4575="Pago tarjeta"),-1,1)*S4575,0)+IF(AND(AE4575&lt;&gt;"",COUNTIFS(tcTipo,AE4575,tcLiq,"Sí")&gt;0),S4575,0))</f>
        <v/>
      </c>
      <c r="AI4575" s="52">
        <f>IF(OR(L4575="",P4575=""),"",IF(COUNTIFS(L$6:L4575,L4575,P$6:P4575,"?*")=1,MAX(AI$5:AI4574)+1,""))</f>
        <v/>
      </c>
    </row>
    <row r="4576">
      <c r="B4576" s="47" t="n"/>
      <c r="C4576" s="48" t="n"/>
      <c r="D4576" s="48" t="n"/>
      <c r="E4576" s="48" t="n"/>
      <c r="F4576" s="48" t="n"/>
      <c r="G4576" s="49" t="n"/>
      <c r="H4576" s="48" t="n"/>
      <c r="I4576" s="50" t="n"/>
      <c r="J4576" s="48" t="n"/>
      <c r="K4576" s="48" t="n"/>
      <c r="L4576" s="48" t="n"/>
      <c r="M4576" s="48" t="n"/>
      <c r="N4576" s="48" t="n"/>
      <c r="O4576" s="51">
        <f>IF(AND(B4576="",G4576="",C4576="",D4576="",J4576=""),"",IF(B4576="","⚠ Falta fecha",IF(G4576="","⚠ Falta monto",IF(Q4576="","⚠ Falta cuenta",IF(ISNA(MATCH(Q4576,ctaNombre,0)),"⚠ Cuenta no registrada",IF(AND(OR(P4576="Gasto",P4576="Reembolso"),D4576=""),"⚠ Falta categoría",IF(AND(D4576&lt;&gt;"",E4576&lt;&gt;"",ISNA(MATCH(D4576&amp;"|"&amp;E4576,catClave,0))),"⚠ Subcategoría no corresponde",IF(AND(OR(P4576="Transferencia",P4576="Pago tarjeta"),K4576=""),"⚠ Falta cuenta destino",IF(AND(K4576&lt;&gt;"",P4576&lt;&gt;"Transferencia",P4576&lt;&gt;"Pago tarjeta"),"⚠ Destino solo aplica a transferencias",IF(AND(K4576&lt;&gt;"",K4576=Q4576),"⚠ Origen igual a destino",IF(AND(K4576&lt;&gt;"",ISNA(MATCH(K4576,ctaNombre,0))),"⚠ Destino no registrado",IF(AND(P4576="Pago tarjeta",AE4576&lt;&gt;"Tarjeta de crédito"),"⚠ El destino debe ser tarjeta de crédito",IF(AND(P4576="Gasto",E4576="Depósitos y retiros"),"⚠ Usa tipo Transferencia",IF(AND(P4576="Resultado trading",AD4576&lt;&gt;"Cuenta de trading"),"⚠ Usa una cuenta de trading",IF(AND(G4576&lt;=0,P4576&lt;&gt;"Ajuste",P4576&lt;&gt;"Resultado trading"),"⚠ El monto debe ser positivo","✓")))))))))))))))</f>
        <v/>
      </c>
      <c r="P4576" s="52">
        <f>IF(OR(B4576="",G4576=""),"",IF(C4576="","Gasto",C4576))</f>
        <v/>
      </c>
      <c r="Q4576" s="52">
        <f>IF(P4576="","",IF(J4576&lt;&gt;"",J4576,CuentaPred&amp;""))</f>
        <v/>
      </c>
      <c r="R4576" s="52">
        <f>IF(P4576="","",IF(ISNUMBER(I4576),I4576,TasaUSD))</f>
        <v/>
      </c>
      <c r="S4576" s="53">
        <f>IF(P4576="","",IF(H4576="USD",G4576*R4576,G4576))</f>
        <v/>
      </c>
      <c r="T4576" s="53">
        <f>IF(P4576="","",IF(H4576="USD",G4576,IF(R4576&gt;0,G4576/R4576,0)))</f>
        <v/>
      </c>
      <c r="U4576" s="53">
        <f>IF(P4576="","",IF(P4576="Gasto",S4576,IF(P4576="Reembolso",-S4576,0)))</f>
        <v/>
      </c>
      <c r="V4576" s="53">
        <f>IF(P4576="","",IF(P4576="Ingreso",S4576,0))</f>
        <v/>
      </c>
      <c r="W4576" s="53">
        <f>IF(P4576="","",IF(P4576="Resultado trading",S4576,0))</f>
        <v/>
      </c>
      <c r="X4576" s="52">
        <f>IF(OR(P4576="Gasto",P4576="Reembolso"),IF(M4576&lt;&gt;"",M4576,IFERROR(INDEX(catClasif,MATCH(D4576&amp;"|"&amp;E4576,catClave,0))&amp;"","Variable")),"")</f>
        <v/>
      </c>
      <c r="Y4576" s="52">
        <f>IF(P4576="","",IFERROR(INDEX(catGrupo,MATCH(D4576&amp;"|"&amp;E4576,catClave,0))&amp;"",""))</f>
        <v/>
      </c>
      <c r="Z4576" s="52">
        <f>IF(P4576="","",WEEKDAY(B4576,2))</f>
        <v/>
      </c>
      <c r="AA4576" s="52">
        <f>IF(P4576="","",IF(AND(P4576="Gasto",X4576="Variable",D4576&lt;&gt;catTrading,S4576&gt;0,S4576&lt;=Umbral),1,0))</f>
        <v/>
      </c>
      <c r="AB4576" s="52">
        <f>IF(OR(P4576="",Q4576=""),"",IFERROR(IF(INDEX(ctaVinc,MATCH(Q4576,ctaNombre,0))&amp;""&lt;&gt;"",INDEX(ctaVinc,MATCH(Q4576,ctaNombre,0))&amp;"",Q4576),Q4576))</f>
        <v/>
      </c>
      <c r="AC4576" s="52">
        <f>IF(OR(K4576="",AND(P4576&lt;&gt;"Transferencia",P4576&lt;&gt;"Pago tarjeta")),"",IFERROR(IF(INDEX(ctaVinc,MATCH(K4576,ctaNombre,0))&amp;""&lt;&gt;"",INDEX(ctaVinc,MATCH(K4576,ctaNombre,0))&amp;"",K4576),K4576))</f>
        <v/>
      </c>
      <c r="AD4576" s="52">
        <f>IF(AB4576="","",IFERROR(INDEX(ctaTipo,MATCH(AB4576,ctaNombre,0))&amp;"",""))</f>
        <v/>
      </c>
      <c r="AE4576" s="52">
        <f>IF(AC4576="","",IFERROR(INDEX(ctaTipo,MATCH(AC4576,ctaNombre,0))&amp;"",""))</f>
        <v/>
      </c>
      <c r="AF4576" s="53">
        <f>IF(OR(P4576="",AB4576=""),"",IF(OR(P4576="Gasto",P4576="Transferencia",P4576="Pago tarjeta"),-1,1)*IF(IFERROR(INDEX(ctaMoneda,MATCH(AB4576,ctaNombre,0))&amp;"","DOP")="USD",T4576,S4576))</f>
        <v/>
      </c>
      <c r="AG4576" s="53">
        <f>IF(AC4576="","",IF(IFERROR(INDEX(ctaMoneda,MATCH(AC4576,ctaNombre,0))&amp;"","DOP")="USD",T4576,S4576))</f>
        <v/>
      </c>
      <c r="AH4576" s="53">
        <f>IF(P4576="","",IF(AND(AD4576&lt;&gt;"",COUNTIFS(tcTipo,AD4576,tcLiq,"Sí")&gt;0),IF(OR(P4576="Gasto",P4576="Transferencia",P4576="Pago tarjeta"),-1,1)*S4576,0)+IF(AND(AE4576&lt;&gt;"",COUNTIFS(tcTipo,AE4576,tcLiq,"Sí")&gt;0),S4576,0))</f>
        <v/>
      </c>
      <c r="AI4576" s="52">
        <f>IF(OR(L4576="",P4576=""),"",IF(COUNTIFS(L$6:L4576,L4576,P$6:P4576,"?*")=1,MAX(AI$5:AI4575)+1,""))</f>
        <v/>
      </c>
    </row>
    <row r="4577">
      <c r="B4577" s="47" t="n"/>
      <c r="C4577" s="48" t="n"/>
      <c r="D4577" s="48" t="n"/>
      <c r="E4577" s="48" t="n"/>
      <c r="F4577" s="48" t="n"/>
      <c r="G4577" s="49" t="n"/>
      <c r="H4577" s="48" t="n"/>
      <c r="I4577" s="50" t="n"/>
      <c r="J4577" s="48" t="n"/>
      <c r="K4577" s="48" t="n"/>
      <c r="L4577" s="48" t="n"/>
      <c r="M4577" s="48" t="n"/>
      <c r="N4577" s="48" t="n"/>
      <c r="O4577" s="51">
        <f>IF(AND(B4577="",G4577="",C4577="",D4577="",J4577=""),"",IF(B4577="","⚠ Falta fecha",IF(G4577="","⚠ Falta monto",IF(Q4577="","⚠ Falta cuenta",IF(ISNA(MATCH(Q4577,ctaNombre,0)),"⚠ Cuenta no registrada",IF(AND(OR(P4577="Gasto",P4577="Reembolso"),D4577=""),"⚠ Falta categoría",IF(AND(D4577&lt;&gt;"",E4577&lt;&gt;"",ISNA(MATCH(D4577&amp;"|"&amp;E4577,catClave,0))),"⚠ Subcategoría no corresponde",IF(AND(OR(P4577="Transferencia",P4577="Pago tarjeta"),K4577=""),"⚠ Falta cuenta destino",IF(AND(K4577&lt;&gt;"",P4577&lt;&gt;"Transferencia",P4577&lt;&gt;"Pago tarjeta"),"⚠ Destino solo aplica a transferencias",IF(AND(K4577&lt;&gt;"",K4577=Q4577),"⚠ Origen igual a destino",IF(AND(K4577&lt;&gt;"",ISNA(MATCH(K4577,ctaNombre,0))),"⚠ Destino no registrado",IF(AND(P4577="Pago tarjeta",AE4577&lt;&gt;"Tarjeta de crédito"),"⚠ El destino debe ser tarjeta de crédito",IF(AND(P4577="Gasto",E4577="Depósitos y retiros"),"⚠ Usa tipo Transferencia",IF(AND(P4577="Resultado trading",AD4577&lt;&gt;"Cuenta de trading"),"⚠ Usa una cuenta de trading",IF(AND(G4577&lt;=0,P4577&lt;&gt;"Ajuste",P4577&lt;&gt;"Resultado trading"),"⚠ El monto debe ser positivo","✓")))))))))))))))</f>
        <v/>
      </c>
      <c r="P4577" s="52">
        <f>IF(OR(B4577="",G4577=""),"",IF(C4577="","Gasto",C4577))</f>
        <v/>
      </c>
      <c r="Q4577" s="52">
        <f>IF(P4577="","",IF(J4577&lt;&gt;"",J4577,CuentaPred&amp;""))</f>
        <v/>
      </c>
      <c r="R4577" s="52">
        <f>IF(P4577="","",IF(ISNUMBER(I4577),I4577,TasaUSD))</f>
        <v/>
      </c>
      <c r="S4577" s="53">
        <f>IF(P4577="","",IF(H4577="USD",G4577*R4577,G4577))</f>
        <v/>
      </c>
      <c r="T4577" s="53">
        <f>IF(P4577="","",IF(H4577="USD",G4577,IF(R4577&gt;0,G4577/R4577,0)))</f>
        <v/>
      </c>
      <c r="U4577" s="53">
        <f>IF(P4577="","",IF(P4577="Gasto",S4577,IF(P4577="Reembolso",-S4577,0)))</f>
        <v/>
      </c>
      <c r="V4577" s="53">
        <f>IF(P4577="","",IF(P4577="Ingreso",S4577,0))</f>
        <v/>
      </c>
      <c r="W4577" s="53">
        <f>IF(P4577="","",IF(P4577="Resultado trading",S4577,0))</f>
        <v/>
      </c>
      <c r="X4577" s="52">
        <f>IF(OR(P4577="Gasto",P4577="Reembolso"),IF(M4577&lt;&gt;"",M4577,IFERROR(INDEX(catClasif,MATCH(D4577&amp;"|"&amp;E4577,catClave,0))&amp;"","Variable")),"")</f>
        <v/>
      </c>
      <c r="Y4577" s="52">
        <f>IF(P4577="","",IFERROR(INDEX(catGrupo,MATCH(D4577&amp;"|"&amp;E4577,catClave,0))&amp;"",""))</f>
        <v/>
      </c>
      <c r="Z4577" s="52">
        <f>IF(P4577="","",WEEKDAY(B4577,2))</f>
        <v/>
      </c>
      <c r="AA4577" s="52">
        <f>IF(P4577="","",IF(AND(P4577="Gasto",X4577="Variable",D4577&lt;&gt;catTrading,S4577&gt;0,S4577&lt;=Umbral),1,0))</f>
        <v/>
      </c>
      <c r="AB4577" s="52">
        <f>IF(OR(P4577="",Q4577=""),"",IFERROR(IF(INDEX(ctaVinc,MATCH(Q4577,ctaNombre,0))&amp;""&lt;&gt;"",INDEX(ctaVinc,MATCH(Q4577,ctaNombre,0))&amp;"",Q4577),Q4577))</f>
        <v/>
      </c>
      <c r="AC4577" s="52">
        <f>IF(OR(K4577="",AND(P4577&lt;&gt;"Transferencia",P4577&lt;&gt;"Pago tarjeta")),"",IFERROR(IF(INDEX(ctaVinc,MATCH(K4577,ctaNombre,0))&amp;""&lt;&gt;"",INDEX(ctaVinc,MATCH(K4577,ctaNombre,0))&amp;"",K4577),K4577))</f>
        <v/>
      </c>
      <c r="AD4577" s="52">
        <f>IF(AB4577="","",IFERROR(INDEX(ctaTipo,MATCH(AB4577,ctaNombre,0))&amp;"",""))</f>
        <v/>
      </c>
      <c r="AE4577" s="52">
        <f>IF(AC4577="","",IFERROR(INDEX(ctaTipo,MATCH(AC4577,ctaNombre,0))&amp;"",""))</f>
        <v/>
      </c>
      <c r="AF4577" s="53">
        <f>IF(OR(P4577="",AB4577=""),"",IF(OR(P4577="Gasto",P4577="Transferencia",P4577="Pago tarjeta"),-1,1)*IF(IFERROR(INDEX(ctaMoneda,MATCH(AB4577,ctaNombre,0))&amp;"","DOP")="USD",T4577,S4577))</f>
        <v/>
      </c>
      <c r="AG4577" s="53">
        <f>IF(AC4577="","",IF(IFERROR(INDEX(ctaMoneda,MATCH(AC4577,ctaNombre,0))&amp;"","DOP")="USD",T4577,S4577))</f>
        <v/>
      </c>
      <c r="AH4577" s="53">
        <f>IF(P4577="","",IF(AND(AD4577&lt;&gt;"",COUNTIFS(tcTipo,AD4577,tcLiq,"Sí")&gt;0),IF(OR(P4577="Gasto",P4577="Transferencia",P4577="Pago tarjeta"),-1,1)*S4577,0)+IF(AND(AE4577&lt;&gt;"",COUNTIFS(tcTipo,AE4577,tcLiq,"Sí")&gt;0),S4577,0))</f>
        <v/>
      </c>
      <c r="AI4577" s="52">
        <f>IF(OR(L4577="",P4577=""),"",IF(COUNTIFS(L$6:L4577,L4577,P$6:P4577,"?*")=1,MAX(AI$5:AI4576)+1,""))</f>
        <v/>
      </c>
    </row>
    <row r="4578">
      <c r="B4578" s="47" t="n"/>
      <c r="C4578" s="48" t="n"/>
      <c r="D4578" s="48" t="n"/>
      <c r="E4578" s="48" t="n"/>
      <c r="F4578" s="48" t="n"/>
      <c r="G4578" s="49" t="n"/>
      <c r="H4578" s="48" t="n"/>
      <c r="I4578" s="50" t="n"/>
      <c r="J4578" s="48" t="n"/>
      <c r="K4578" s="48" t="n"/>
      <c r="L4578" s="48" t="n"/>
      <c r="M4578" s="48" t="n"/>
      <c r="N4578" s="48" t="n"/>
      <c r="O4578" s="51">
        <f>IF(AND(B4578="",G4578="",C4578="",D4578="",J4578=""),"",IF(B4578="","⚠ Falta fecha",IF(G4578="","⚠ Falta monto",IF(Q4578="","⚠ Falta cuenta",IF(ISNA(MATCH(Q4578,ctaNombre,0)),"⚠ Cuenta no registrada",IF(AND(OR(P4578="Gasto",P4578="Reembolso"),D4578=""),"⚠ Falta categoría",IF(AND(D4578&lt;&gt;"",E4578&lt;&gt;"",ISNA(MATCH(D4578&amp;"|"&amp;E4578,catClave,0))),"⚠ Subcategoría no corresponde",IF(AND(OR(P4578="Transferencia",P4578="Pago tarjeta"),K4578=""),"⚠ Falta cuenta destino",IF(AND(K4578&lt;&gt;"",P4578&lt;&gt;"Transferencia",P4578&lt;&gt;"Pago tarjeta"),"⚠ Destino solo aplica a transferencias",IF(AND(K4578&lt;&gt;"",K4578=Q4578),"⚠ Origen igual a destino",IF(AND(K4578&lt;&gt;"",ISNA(MATCH(K4578,ctaNombre,0))),"⚠ Destino no registrado",IF(AND(P4578="Pago tarjeta",AE4578&lt;&gt;"Tarjeta de crédito"),"⚠ El destino debe ser tarjeta de crédito",IF(AND(P4578="Gasto",E4578="Depósitos y retiros"),"⚠ Usa tipo Transferencia",IF(AND(P4578="Resultado trading",AD4578&lt;&gt;"Cuenta de trading"),"⚠ Usa una cuenta de trading",IF(AND(G4578&lt;=0,P4578&lt;&gt;"Ajuste",P4578&lt;&gt;"Resultado trading"),"⚠ El monto debe ser positivo","✓")))))))))))))))</f>
        <v/>
      </c>
      <c r="P4578" s="52">
        <f>IF(OR(B4578="",G4578=""),"",IF(C4578="","Gasto",C4578))</f>
        <v/>
      </c>
      <c r="Q4578" s="52">
        <f>IF(P4578="","",IF(J4578&lt;&gt;"",J4578,CuentaPred&amp;""))</f>
        <v/>
      </c>
      <c r="R4578" s="52">
        <f>IF(P4578="","",IF(ISNUMBER(I4578),I4578,TasaUSD))</f>
        <v/>
      </c>
      <c r="S4578" s="53">
        <f>IF(P4578="","",IF(H4578="USD",G4578*R4578,G4578))</f>
        <v/>
      </c>
      <c r="T4578" s="53">
        <f>IF(P4578="","",IF(H4578="USD",G4578,IF(R4578&gt;0,G4578/R4578,0)))</f>
        <v/>
      </c>
      <c r="U4578" s="53">
        <f>IF(P4578="","",IF(P4578="Gasto",S4578,IF(P4578="Reembolso",-S4578,0)))</f>
        <v/>
      </c>
      <c r="V4578" s="53">
        <f>IF(P4578="","",IF(P4578="Ingreso",S4578,0))</f>
        <v/>
      </c>
      <c r="W4578" s="53">
        <f>IF(P4578="","",IF(P4578="Resultado trading",S4578,0))</f>
        <v/>
      </c>
      <c r="X4578" s="52">
        <f>IF(OR(P4578="Gasto",P4578="Reembolso"),IF(M4578&lt;&gt;"",M4578,IFERROR(INDEX(catClasif,MATCH(D4578&amp;"|"&amp;E4578,catClave,0))&amp;"","Variable")),"")</f>
        <v/>
      </c>
      <c r="Y4578" s="52">
        <f>IF(P4578="","",IFERROR(INDEX(catGrupo,MATCH(D4578&amp;"|"&amp;E4578,catClave,0))&amp;"",""))</f>
        <v/>
      </c>
      <c r="Z4578" s="52">
        <f>IF(P4578="","",WEEKDAY(B4578,2))</f>
        <v/>
      </c>
      <c r="AA4578" s="52">
        <f>IF(P4578="","",IF(AND(P4578="Gasto",X4578="Variable",D4578&lt;&gt;catTrading,S4578&gt;0,S4578&lt;=Umbral),1,0))</f>
        <v/>
      </c>
      <c r="AB4578" s="52">
        <f>IF(OR(P4578="",Q4578=""),"",IFERROR(IF(INDEX(ctaVinc,MATCH(Q4578,ctaNombre,0))&amp;""&lt;&gt;"",INDEX(ctaVinc,MATCH(Q4578,ctaNombre,0))&amp;"",Q4578),Q4578))</f>
        <v/>
      </c>
      <c r="AC4578" s="52">
        <f>IF(OR(K4578="",AND(P4578&lt;&gt;"Transferencia",P4578&lt;&gt;"Pago tarjeta")),"",IFERROR(IF(INDEX(ctaVinc,MATCH(K4578,ctaNombre,0))&amp;""&lt;&gt;"",INDEX(ctaVinc,MATCH(K4578,ctaNombre,0))&amp;"",K4578),K4578))</f>
        <v/>
      </c>
      <c r="AD4578" s="52">
        <f>IF(AB4578="","",IFERROR(INDEX(ctaTipo,MATCH(AB4578,ctaNombre,0))&amp;"",""))</f>
        <v/>
      </c>
      <c r="AE4578" s="52">
        <f>IF(AC4578="","",IFERROR(INDEX(ctaTipo,MATCH(AC4578,ctaNombre,0))&amp;"",""))</f>
        <v/>
      </c>
      <c r="AF4578" s="53">
        <f>IF(OR(P4578="",AB4578=""),"",IF(OR(P4578="Gasto",P4578="Transferencia",P4578="Pago tarjeta"),-1,1)*IF(IFERROR(INDEX(ctaMoneda,MATCH(AB4578,ctaNombre,0))&amp;"","DOP")="USD",T4578,S4578))</f>
        <v/>
      </c>
      <c r="AG4578" s="53">
        <f>IF(AC4578="","",IF(IFERROR(INDEX(ctaMoneda,MATCH(AC4578,ctaNombre,0))&amp;"","DOP")="USD",T4578,S4578))</f>
        <v/>
      </c>
      <c r="AH4578" s="53">
        <f>IF(P4578="","",IF(AND(AD4578&lt;&gt;"",COUNTIFS(tcTipo,AD4578,tcLiq,"Sí")&gt;0),IF(OR(P4578="Gasto",P4578="Transferencia",P4578="Pago tarjeta"),-1,1)*S4578,0)+IF(AND(AE4578&lt;&gt;"",COUNTIFS(tcTipo,AE4578,tcLiq,"Sí")&gt;0),S4578,0))</f>
        <v/>
      </c>
      <c r="AI4578" s="52">
        <f>IF(OR(L4578="",P4578=""),"",IF(COUNTIFS(L$6:L4578,L4578,P$6:P4578,"?*")=1,MAX(AI$5:AI4577)+1,""))</f>
        <v/>
      </c>
    </row>
    <row r="4579">
      <c r="B4579" s="47" t="n"/>
      <c r="C4579" s="48" t="n"/>
      <c r="D4579" s="48" t="n"/>
      <c r="E4579" s="48" t="n"/>
      <c r="F4579" s="48" t="n"/>
      <c r="G4579" s="49" t="n"/>
      <c r="H4579" s="48" t="n"/>
      <c r="I4579" s="50" t="n"/>
      <c r="J4579" s="48" t="n"/>
      <c r="K4579" s="48" t="n"/>
      <c r="L4579" s="48" t="n"/>
      <c r="M4579" s="48" t="n"/>
      <c r="N4579" s="48" t="n"/>
      <c r="O4579" s="51">
        <f>IF(AND(B4579="",G4579="",C4579="",D4579="",J4579=""),"",IF(B4579="","⚠ Falta fecha",IF(G4579="","⚠ Falta monto",IF(Q4579="","⚠ Falta cuenta",IF(ISNA(MATCH(Q4579,ctaNombre,0)),"⚠ Cuenta no registrada",IF(AND(OR(P4579="Gasto",P4579="Reembolso"),D4579=""),"⚠ Falta categoría",IF(AND(D4579&lt;&gt;"",E4579&lt;&gt;"",ISNA(MATCH(D4579&amp;"|"&amp;E4579,catClave,0))),"⚠ Subcategoría no corresponde",IF(AND(OR(P4579="Transferencia",P4579="Pago tarjeta"),K4579=""),"⚠ Falta cuenta destino",IF(AND(K4579&lt;&gt;"",P4579&lt;&gt;"Transferencia",P4579&lt;&gt;"Pago tarjeta"),"⚠ Destino solo aplica a transferencias",IF(AND(K4579&lt;&gt;"",K4579=Q4579),"⚠ Origen igual a destino",IF(AND(K4579&lt;&gt;"",ISNA(MATCH(K4579,ctaNombre,0))),"⚠ Destino no registrado",IF(AND(P4579="Pago tarjeta",AE4579&lt;&gt;"Tarjeta de crédito"),"⚠ El destino debe ser tarjeta de crédito",IF(AND(P4579="Gasto",E4579="Depósitos y retiros"),"⚠ Usa tipo Transferencia",IF(AND(P4579="Resultado trading",AD4579&lt;&gt;"Cuenta de trading"),"⚠ Usa una cuenta de trading",IF(AND(G4579&lt;=0,P4579&lt;&gt;"Ajuste",P4579&lt;&gt;"Resultado trading"),"⚠ El monto debe ser positivo","✓")))))))))))))))</f>
        <v/>
      </c>
      <c r="P4579" s="52">
        <f>IF(OR(B4579="",G4579=""),"",IF(C4579="","Gasto",C4579))</f>
        <v/>
      </c>
      <c r="Q4579" s="52">
        <f>IF(P4579="","",IF(J4579&lt;&gt;"",J4579,CuentaPred&amp;""))</f>
        <v/>
      </c>
      <c r="R4579" s="52">
        <f>IF(P4579="","",IF(ISNUMBER(I4579),I4579,TasaUSD))</f>
        <v/>
      </c>
      <c r="S4579" s="53">
        <f>IF(P4579="","",IF(H4579="USD",G4579*R4579,G4579))</f>
        <v/>
      </c>
      <c r="T4579" s="53">
        <f>IF(P4579="","",IF(H4579="USD",G4579,IF(R4579&gt;0,G4579/R4579,0)))</f>
        <v/>
      </c>
      <c r="U4579" s="53">
        <f>IF(P4579="","",IF(P4579="Gasto",S4579,IF(P4579="Reembolso",-S4579,0)))</f>
        <v/>
      </c>
      <c r="V4579" s="53">
        <f>IF(P4579="","",IF(P4579="Ingreso",S4579,0))</f>
        <v/>
      </c>
      <c r="W4579" s="53">
        <f>IF(P4579="","",IF(P4579="Resultado trading",S4579,0))</f>
        <v/>
      </c>
      <c r="X4579" s="52">
        <f>IF(OR(P4579="Gasto",P4579="Reembolso"),IF(M4579&lt;&gt;"",M4579,IFERROR(INDEX(catClasif,MATCH(D4579&amp;"|"&amp;E4579,catClave,0))&amp;"","Variable")),"")</f>
        <v/>
      </c>
      <c r="Y4579" s="52">
        <f>IF(P4579="","",IFERROR(INDEX(catGrupo,MATCH(D4579&amp;"|"&amp;E4579,catClave,0))&amp;"",""))</f>
        <v/>
      </c>
      <c r="Z4579" s="52">
        <f>IF(P4579="","",WEEKDAY(B4579,2))</f>
        <v/>
      </c>
      <c r="AA4579" s="52">
        <f>IF(P4579="","",IF(AND(P4579="Gasto",X4579="Variable",D4579&lt;&gt;catTrading,S4579&gt;0,S4579&lt;=Umbral),1,0))</f>
        <v/>
      </c>
      <c r="AB4579" s="52">
        <f>IF(OR(P4579="",Q4579=""),"",IFERROR(IF(INDEX(ctaVinc,MATCH(Q4579,ctaNombre,0))&amp;""&lt;&gt;"",INDEX(ctaVinc,MATCH(Q4579,ctaNombre,0))&amp;"",Q4579),Q4579))</f>
        <v/>
      </c>
      <c r="AC4579" s="52">
        <f>IF(OR(K4579="",AND(P4579&lt;&gt;"Transferencia",P4579&lt;&gt;"Pago tarjeta")),"",IFERROR(IF(INDEX(ctaVinc,MATCH(K4579,ctaNombre,0))&amp;""&lt;&gt;"",INDEX(ctaVinc,MATCH(K4579,ctaNombre,0))&amp;"",K4579),K4579))</f>
        <v/>
      </c>
      <c r="AD4579" s="52">
        <f>IF(AB4579="","",IFERROR(INDEX(ctaTipo,MATCH(AB4579,ctaNombre,0))&amp;"",""))</f>
        <v/>
      </c>
      <c r="AE4579" s="52">
        <f>IF(AC4579="","",IFERROR(INDEX(ctaTipo,MATCH(AC4579,ctaNombre,0))&amp;"",""))</f>
        <v/>
      </c>
      <c r="AF4579" s="53">
        <f>IF(OR(P4579="",AB4579=""),"",IF(OR(P4579="Gasto",P4579="Transferencia",P4579="Pago tarjeta"),-1,1)*IF(IFERROR(INDEX(ctaMoneda,MATCH(AB4579,ctaNombre,0))&amp;"","DOP")="USD",T4579,S4579))</f>
        <v/>
      </c>
      <c r="AG4579" s="53">
        <f>IF(AC4579="","",IF(IFERROR(INDEX(ctaMoneda,MATCH(AC4579,ctaNombre,0))&amp;"","DOP")="USD",T4579,S4579))</f>
        <v/>
      </c>
      <c r="AH4579" s="53">
        <f>IF(P4579="","",IF(AND(AD4579&lt;&gt;"",COUNTIFS(tcTipo,AD4579,tcLiq,"Sí")&gt;0),IF(OR(P4579="Gasto",P4579="Transferencia",P4579="Pago tarjeta"),-1,1)*S4579,0)+IF(AND(AE4579&lt;&gt;"",COUNTIFS(tcTipo,AE4579,tcLiq,"Sí")&gt;0),S4579,0))</f>
        <v/>
      </c>
      <c r="AI4579" s="52">
        <f>IF(OR(L4579="",P4579=""),"",IF(COUNTIFS(L$6:L4579,L4579,P$6:P4579,"?*")=1,MAX(AI$5:AI4578)+1,""))</f>
        <v/>
      </c>
    </row>
    <row r="4580">
      <c r="B4580" s="47" t="n"/>
      <c r="C4580" s="48" t="n"/>
      <c r="D4580" s="48" t="n"/>
      <c r="E4580" s="48" t="n"/>
      <c r="F4580" s="48" t="n"/>
      <c r="G4580" s="49" t="n"/>
      <c r="H4580" s="48" t="n"/>
      <c r="I4580" s="50" t="n"/>
      <c r="J4580" s="48" t="n"/>
      <c r="K4580" s="48" t="n"/>
      <c r="L4580" s="48" t="n"/>
      <c r="M4580" s="48" t="n"/>
      <c r="N4580" s="48" t="n"/>
      <c r="O4580" s="51">
        <f>IF(AND(B4580="",G4580="",C4580="",D4580="",J4580=""),"",IF(B4580="","⚠ Falta fecha",IF(G4580="","⚠ Falta monto",IF(Q4580="","⚠ Falta cuenta",IF(ISNA(MATCH(Q4580,ctaNombre,0)),"⚠ Cuenta no registrada",IF(AND(OR(P4580="Gasto",P4580="Reembolso"),D4580=""),"⚠ Falta categoría",IF(AND(D4580&lt;&gt;"",E4580&lt;&gt;"",ISNA(MATCH(D4580&amp;"|"&amp;E4580,catClave,0))),"⚠ Subcategoría no corresponde",IF(AND(OR(P4580="Transferencia",P4580="Pago tarjeta"),K4580=""),"⚠ Falta cuenta destino",IF(AND(K4580&lt;&gt;"",P4580&lt;&gt;"Transferencia",P4580&lt;&gt;"Pago tarjeta"),"⚠ Destino solo aplica a transferencias",IF(AND(K4580&lt;&gt;"",K4580=Q4580),"⚠ Origen igual a destino",IF(AND(K4580&lt;&gt;"",ISNA(MATCH(K4580,ctaNombre,0))),"⚠ Destino no registrado",IF(AND(P4580="Pago tarjeta",AE4580&lt;&gt;"Tarjeta de crédito"),"⚠ El destino debe ser tarjeta de crédito",IF(AND(P4580="Gasto",E4580="Depósitos y retiros"),"⚠ Usa tipo Transferencia",IF(AND(P4580="Resultado trading",AD4580&lt;&gt;"Cuenta de trading"),"⚠ Usa una cuenta de trading",IF(AND(G4580&lt;=0,P4580&lt;&gt;"Ajuste",P4580&lt;&gt;"Resultado trading"),"⚠ El monto debe ser positivo","✓")))))))))))))))</f>
        <v/>
      </c>
      <c r="P4580" s="52">
        <f>IF(OR(B4580="",G4580=""),"",IF(C4580="","Gasto",C4580))</f>
        <v/>
      </c>
      <c r="Q4580" s="52">
        <f>IF(P4580="","",IF(J4580&lt;&gt;"",J4580,CuentaPred&amp;""))</f>
        <v/>
      </c>
      <c r="R4580" s="52">
        <f>IF(P4580="","",IF(ISNUMBER(I4580),I4580,TasaUSD))</f>
        <v/>
      </c>
      <c r="S4580" s="53">
        <f>IF(P4580="","",IF(H4580="USD",G4580*R4580,G4580))</f>
        <v/>
      </c>
      <c r="T4580" s="53">
        <f>IF(P4580="","",IF(H4580="USD",G4580,IF(R4580&gt;0,G4580/R4580,0)))</f>
        <v/>
      </c>
      <c r="U4580" s="53">
        <f>IF(P4580="","",IF(P4580="Gasto",S4580,IF(P4580="Reembolso",-S4580,0)))</f>
        <v/>
      </c>
      <c r="V4580" s="53">
        <f>IF(P4580="","",IF(P4580="Ingreso",S4580,0))</f>
        <v/>
      </c>
      <c r="W4580" s="53">
        <f>IF(P4580="","",IF(P4580="Resultado trading",S4580,0))</f>
        <v/>
      </c>
      <c r="X4580" s="52">
        <f>IF(OR(P4580="Gasto",P4580="Reembolso"),IF(M4580&lt;&gt;"",M4580,IFERROR(INDEX(catClasif,MATCH(D4580&amp;"|"&amp;E4580,catClave,0))&amp;"","Variable")),"")</f>
        <v/>
      </c>
      <c r="Y4580" s="52">
        <f>IF(P4580="","",IFERROR(INDEX(catGrupo,MATCH(D4580&amp;"|"&amp;E4580,catClave,0))&amp;"",""))</f>
        <v/>
      </c>
      <c r="Z4580" s="52">
        <f>IF(P4580="","",WEEKDAY(B4580,2))</f>
        <v/>
      </c>
      <c r="AA4580" s="52">
        <f>IF(P4580="","",IF(AND(P4580="Gasto",X4580="Variable",D4580&lt;&gt;catTrading,S4580&gt;0,S4580&lt;=Umbral),1,0))</f>
        <v/>
      </c>
      <c r="AB4580" s="52">
        <f>IF(OR(P4580="",Q4580=""),"",IFERROR(IF(INDEX(ctaVinc,MATCH(Q4580,ctaNombre,0))&amp;""&lt;&gt;"",INDEX(ctaVinc,MATCH(Q4580,ctaNombre,0))&amp;"",Q4580),Q4580))</f>
        <v/>
      </c>
      <c r="AC4580" s="52">
        <f>IF(OR(K4580="",AND(P4580&lt;&gt;"Transferencia",P4580&lt;&gt;"Pago tarjeta")),"",IFERROR(IF(INDEX(ctaVinc,MATCH(K4580,ctaNombre,0))&amp;""&lt;&gt;"",INDEX(ctaVinc,MATCH(K4580,ctaNombre,0))&amp;"",K4580),K4580))</f>
        <v/>
      </c>
      <c r="AD4580" s="52">
        <f>IF(AB4580="","",IFERROR(INDEX(ctaTipo,MATCH(AB4580,ctaNombre,0))&amp;"",""))</f>
        <v/>
      </c>
      <c r="AE4580" s="52">
        <f>IF(AC4580="","",IFERROR(INDEX(ctaTipo,MATCH(AC4580,ctaNombre,0))&amp;"",""))</f>
        <v/>
      </c>
      <c r="AF4580" s="53">
        <f>IF(OR(P4580="",AB4580=""),"",IF(OR(P4580="Gasto",P4580="Transferencia",P4580="Pago tarjeta"),-1,1)*IF(IFERROR(INDEX(ctaMoneda,MATCH(AB4580,ctaNombre,0))&amp;"","DOP")="USD",T4580,S4580))</f>
        <v/>
      </c>
      <c r="AG4580" s="53">
        <f>IF(AC4580="","",IF(IFERROR(INDEX(ctaMoneda,MATCH(AC4580,ctaNombre,0))&amp;"","DOP")="USD",T4580,S4580))</f>
        <v/>
      </c>
      <c r="AH4580" s="53">
        <f>IF(P4580="","",IF(AND(AD4580&lt;&gt;"",COUNTIFS(tcTipo,AD4580,tcLiq,"Sí")&gt;0),IF(OR(P4580="Gasto",P4580="Transferencia",P4580="Pago tarjeta"),-1,1)*S4580,0)+IF(AND(AE4580&lt;&gt;"",COUNTIFS(tcTipo,AE4580,tcLiq,"Sí")&gt;0),S4580,0))</f>
        <v/>
      </c>
      <c r="AI4580" s="52">
        <f>IF(OR(L4580="",P4580=""),"",IF(COUNTIFS(L$6:L4580,L4580,P$6:P4580,"?*")=1,MAX(AI$5:AI4579)+1,""))</f>
        <v/>
      </c>
    </row>
    <row r="4581">
      <c r="B4581" s="47" t="n"/>
      <c r="C4581" s="48" t="n"/>
      <c r="D4581" s="48" t="n"/>
      <c r="E4581" s="48" t="n"/>
      <c r="F4581" s="48" t="n"/>
      <c r="G4581" s="49" t="n"/>
      <c r="H4581" s="48" t="n"/>
      <c r="I4581" s="50" t="n"/>
      <c r="J4581" s="48" t="n"/>
      <c r="K4581" s="48" t="n"/>
      <c r="L4581" s="48" t="n"/>
      <c r="M4581" s="48" t="n"/>
      <c r="N4581" s="48" t="n"/>
      <c r="O4581" s="51">
        <f>IF(AND(B4581="",G4581="",C4581="",D4581="",J4581=""),"",IF(B4581="","⚠ Falta fecha",IF(G4581="","⚠ Falta monto",IF(Q4581="","⚠ Falta cuenta",IF(ISNA(MATCH(Q4581,ctaNombre,0)),"⚠ Cuenta no registrada",IF(AND(OR(P4581="Gasto",P4581="Reembolso"),D4581=""),"⚠ Falta categoría",IF(AND(D4581&lt;&gt;"",E4581&lt;&gt;"",ISNA(MATCH(D4581&amp;"|"&amp;E4581,catClave,0))),"⚠ Subcategoría no corresponde",IF(AND(OR(P4581="Transferencia",P4581="Pago tarjeta"),K4581=""),"⚠ Falta cuenta destino",IF(AND(K4581&lt;&gt;"",P4581&lt;&gt;"Transferencia",P4581&lt;&gt;"Pago tarjeta"),"⚠ Destino solo aplica a transferencias",IF(AND(K4581&lt;&gt;"",K4581=Q4581),"⚠ Origen igual a destino",IF(AND(K4581&lt;&gt;"",ISNA(MATCH(K4581,ctaNombre,0))),"⚠ Destino no registrado",IF(AND(P4581="Pago tarjeta",AE4581&lt;&gt;"Tarjeta de crédito"),"⚠ El destino debe ser tarjeta de crédito",IF(AND(P4581="Gasto",E4581="Depósitos y retiros"),"⚠ Usa tipo Transferencia",IF(AND(P4581="Resultado trading",AD4581&lt;&gt;"Cuenta de trading"),"⚠ Usa una cuenta de trading",IF(AND(G4581&lt;=0,P4581&lt;&gt;"Ajuste",P4581&lt;&gt;"Resultado trading"),"⚠ El monto debe ser positivo","✓")))))))))))))))</f>
        <v/>
      </c>
      <c r="P4581" s="52">
        <f>IF(OR(B4581="",G4581=""),"",IF(C4581="","Gasto",C4581))</f>
        <v/>
      </c>
      <c r="Q4581" s="52">
        <f>IF(P4581="","",IF(J4581&lt;&gt;"",J4581,CuentaPred&amp;""))</f>
        <v/>
      </c>
      <c r="R4581" s="52">
        <f>IF(P4581="","",IF(ISNUMBER(I4581),I4581,TasaUSD))</f>
        <v/>
      </c>
      <c r="S4581" s="53">
        <f>IF(P4581="","",IF(H4581="USD",G4581*R4581,G4581))</f>
        <v/>
      </c>
      <c r="T4581" s="53">
        <f>IF(P4581="","",IF(H4581="USD",G4581,IF(R4581&gt;0,G4581/R4581,0)))</f>
        <v/>
      </c>
      <c r="U4581" s="53">
        <f>IF(P4581="","",IF(P4581="Gasto",S4581,IF(P4581="Reembolso",-S4581,0)))</f>
        <v/>
      </c>
      <c r="V4581" s="53">
        <f>IF(P4581="","",IF(P4581="Ingreso",S4581,0))</f>
        <v/>
      </c>
      <c r="W4581" s="53">
        <f>IF(P4581="","",IF(P4581="Resultado trading",S4581,0))</f>
        <v/>
      </c>
      <c r="X4581" s="52">
        <f>IF(OR(P4581="Gasto",P4581="Reembolso"),IF(M4581&lt;&gt;"",M4581,IFERROR(INDEX(catClasif,MATCH(D4581&amp;"|"&amp;E4581,catClave,0))&amp;"","Variable")),"")</f>
        <v/>
      </c>
      <c r="Y4581" s="52">
        <f>IF(P4581="","",IFERROR(INDEX(catGrupo,MATCH(D4581&amp;"|"&amp;E4581,catClave,0))&amp;"",""))</f>
        <v/>
      </c>
      <c r="Z4581" s="52">
        <f>IF(P4581="","",WEEKDAY(B4581,2))</f>
        <v/>
      </c>
      <c r="AA4581" s="52">
        <f>IF(P4581="","",IF(AND(P4581="Gasto",X4581="Variable",D4581&lt;&gt;catTrading,S4581&gt;0,S4581&lt;=Umbral),1,0))</f>
        <v/>
      </c>
      <c r="AB4581" s="52">
        <f>IF(OR(P4581="",Q4581=""),"",IFERROR(IF(INDEX(ctaVinc,MATCH(Q4581,ctaNombre,0))&amp;""&lt;&gt;"",INDEX(ctaVinc,MATCH(Q4581,ctaNombre,0))&amp;"",Q4581),Q4581))</f>
        <v/>
      </c>
      <c r="AC4581" s="52">
        <f>IF(OR(K4581="",AND(P4581&lt;&gt;"Transferencia",P4581&lt;&gt;"Pago tarjeta")),"",IFERROR(IF(INDEX(ctaVinc,MATCH(K4581,ctaNombre,0))&amp;""&lt;&gt;"",INDEX(ctaVinc,MATCH(K4581,ctaNombre,0))&amp;"",K4581),K4581))</f>
        <v/>
      </c>
      <c r="AD4581" s="52">
        <f>IF(AB4581="","",IFERROR(INDEX(ctaTipo,MATCH(AB4581,ctaNombre,0))&amp;"",""))</f>
        <v/>
      </c>
      <c r="AE4581" s="52">
        <f>IF(AC4581="","",IFERROR(INDEX(ctaTipo,MATCH(AC4581,ctaNombre,0))&amp;"",""))</f>
        <v/>
      </c>
      <c r="AF4581" s="53">
        <f>IF(OR(P4581="",AB4581=""),"",IF(OR(P4581="Gasto",P4581="Transferencia",P4581="Pago tarjeta"),-1,1)*IF(IFERROR(INDEX(ctaMoneda,MATCH(AB4581,ctaNombre,0))&amp;"","DOP")="USD",T4581,S4581))</f>
        <v/>
      </c>
      <c r="AG4581" s="53">
        <f>IF(AC4581="","",IF(IFERROR(INDEX(ctaMoneda,MATCH(AC4581,ctaNombre,0))&amp;"","DOP")="USD",T4581,S4581))</f>
        <v/>
      </c>
      <c r="AH4581" s="53">
        <f>IF(P4581="","",IF(AND(AD4581&lt;&gt;"",COUNTIFS(tcTipo,AD4581,tcLiq,"Sí")&gt;0),IF(OR(P4581="Gasto",P4581="Transferencia",P4581="Pago tarjeta"),-1,1)*S4581,0)+IF(AND(AE4581&lt;&gt;"",COUNTIFS(tcTipo,AE4581,tcLiq,"Sí")&gt;0),S4581,0))</f>
        <v/>
      </c>
      <c r="AI4581" s="52">
        <f>IF(OR(L4581="",P4581=""),"",IF(COUNTIFS(L$6:L4581,L4581,P$6:P4581,"?*")=1,MAX(AI$5:AI4580)+1,""))</f>
        <v/>
      </c>
    </row>
    <row r="4582">
      <c r="B4582" s="47" t="n"/>
      <c r="C4582" s="48" t="n"/>
      <c r="D4582" s="48" t="n"/>
      <c r="E4582" s="48" t="n"/>
      <c r="F4582" s="48" t="n"/>
      <c r="G4582" s="49" t="n"/>
      <c r="H4582" s="48" t="n"/>
      <c r="I4582" s="50" t="n"/>
      <c r="J4582" s="48" t="n"/>
      <c r="K4582" s="48" t="n"/>
      <c r="L4582" s="48" t="n"/>
      <c r="M4582" s="48" t="n"/>
      <c r="N4582" s="48" t="n"/>
      <c r="O4582" s="51">
        <f>IF(AND(B4582="",G4582="",C4582="",D4582="",J4582=""),"",IF(B4582="","⚠ Falta fecha",IF(G4582="","⚠ Falta monto",IF(Q4582="","⚠ Falta cuenta",IF(ISNA(MATCH(Q4582,ctaNombre,0)),"⚠ Cuenta no registrada",IF(AND(OR(P4582="Gasto",P4582="Reembolso"),D4582=""),"⚠ Falta categoría",IF(AND(D4582&lt;&gt;"",E4582&lt;&gt;"",ISNA(MATCH(D4582&amp;"|"&amp;E4582,catClave,0))),"⚠ Subcategoría no corresponde",IF(AND(OR(P4582="Transferencia",P4582="Pago tarjeta"),K4582=""),"⚠ Falta cuenta destino",IF(AND(K4582&lt;&gt;"",P4582&lt;&gt;"Transferencia",P4582&lt;&gt;"Pago tarjeta"),"⚠ Destino solo aplica a transferencias",IF(AND(K4582&lt;&gt;"",K4582=Q4582),"⚠ Origen igual a destino",IF(AND(K4582&lt;&gt;"",ISNA(MATCH(K4582,ctaNombre,0))),"⚠ Destino no registrado",IF(AND(P4582="Pago tarjeta",AE4582&lt;&gt;"Tarjeta de crédito"),"⚠ El destino debe ser tarjeta de crédito",IF(AND(P4582="Gasto",E4582="Depósitos y retiros"),"⚠ Usa tipo Transferencia",IF(AND(P4582="Resultado trading",AD4582&lt;&gt;"Cuenta de trading"),"⚠ Usa una cuenta de trading",IF(AND(G4582&lt;=0,P4582&lt;&gt;"Ajuste",P4582&lt;&gt;"Resultado trading"),"⚠ El monto debe ser positivo","✓")))))))))))))))</f>
        <v/>
      </c>
      <c r="P4582" s="52">
        <f>IF(OR(B4582="",G4582=""),"",IF(C4582="","Gasto",C4582))</f>
        <v/>
      </c>
      <c r="Q4582" s="52">
        <f>IF(P4582="","",IF(J4582&lt;&gt;"",J4582,CuentaPred&amp;""))</f>
        <v/>
      </c>
      <c r="R4582" s="52">
        <f>IF(P4582="","",IF(ISNUMBER(I4582),I4582,TasaUSD))</f>
        <v/>
      </c>
      <c r="S4582" s="53">
        <f>IF(P4582="","",IF(H4582="USD",G4582*R4582,G4582))</f>
        <v/>
      </c>
      <c r="T4582" s="53">
        <f>IF(P4582="","",IF(H4582="USD",G4582,IF(R4582&gt;0,G4582/R4582,0)))</f>
        <v/>
      </c>
      <c r="U4582" s="53">
        <f>IF(P4582="","",IF(P4582="Gasto",S4582,IF(P4582="Reembolso",-S4582,0)))</f>
        <v/>
      </c>
      <c r="V4582" s="53">
        <f>IF(P4582="","",IF(P4582="Ingreso",S4582,0))</f>
        <v/>
      </c>
      <c r="W4582" s="53">
        <f>IF(P4582="","",IF(P4582="Resultado trading",S4582,0))</f>
        <v/>
      </c>
      <c r="X4582" s="52">
        <f>IF(OR(P4582="Gasto",P4582="Reembolso"),IF(M4582&lt;&gt;"",M4582,IFERROR(INDEX(catClasif,MATCH(D4582&amp;"|"&amp;E4582,catClave,0))&amp;"","Variable")),"")</f>
        <v/>
      </c>
      <c r="Y4582" s="52">
        <f>IF(P4582="","",IFERROR(INDEX(catGrupo,MATCH(D4582&amp;"|"&amp;E4582,catClave,0))&amp;"",""))</f>
        <v/>
      </c>
      <c r="Z4582" s="52">
        <f>IF(P4582="","",WEEKDAY(B4582,2))</f>
        <v/>
      </c>
      <c r="AA4582" s="52">
        <f>IF(P4582="","",IF(AND(P4582="Gasto",X4582="Variable",D4582&lt;&gt;catTrading,S4582&gt;0,S4582&lt;=Umbral),1,0))</f>
        <v/>
      </c>
      <c r="AB4582" s="52">
        <f>IF(OR(P4582="",Q4582=""),"",IFERROR(IF(INDEX(ctaVinc,MATCH(Q4582,ctaNombre,0))&amp;""&lt;&gt;"",INDEX(ctaVinc,MATCH(Q4582,ctaNombre,0))&amp;"",Q4582),Q4582))</f>
        <v/>
      </c>
      <c r="AC4582" s="52">
        <f>IF(OR(K4582="",AND(P4582&lt;&gt;"Transferencia",P4582&lt;&gt;"Pago tarjeta")),"",IFERROR(IF(INDEX(ctaVinc,MATCH(K4582,ctaNombre,0))&amp;""&lt;&gt;"",INDEX(ctaVinc,MATCH(K4582,ctaNombre,0))&amp;"",K4582),K4582))</f>
        <v/>
      </c>
      <c r="AD4582" s="52">
        <f>IF(AB4582="","",IFERROR(INDEX(ctaTipo,MATCH(AB4582,ctaNombre,0))&amp;"",""))</f>
        <v/>
      </c>
      <c r="AE4582" s="52">
        <f>IF(AC4582="","",IFERROR(INDEX(ctaTipo,MATCH(AC4582,ctaNombre,0))&amp;"",""))</f>
        <v/>
      </c>
      <c r="AF4582" s="53">
        <f>IF(OR(P4582="",AB4582=""),"",IF(OR(P4582="Gasto",P4582="Transferencia",P4582="Pago tarjeta"),-1,1)*IF(IFERROR(INDEX(ctaMoneda,MATCH(AB4582,ctaNombre,0))&amp;"","DOP")="USD",T4582,S4582))</f>
        <v/>
      </c>
      <c r="AG4582" s="53">
        <f>IF(AC4582="","",IF(IFERROR(INDEX(ctaMoneda,MATCH(AC4582,ctaNombre,0))&amp;"","DOP")="USD",T4582,S4582))</f>
        <v/>
      </c>
      <c r="AH4582" s="53">
        <f>IF(P4582="","",IF(AND(AD4582&lt;&gt;"",COUNTIFS(tcTipo,AD4582,tcLiq,"Sí")&gt;0),IF(OR(P4582="Gasto",P4582="Transferencia",P4582="Pago tarjeta"),-1,1)*S4582,0)+IF(AND(AE4582&lt;&gt;"",COUNTIFS(tcTipo,AE4582,tcLiq,"Sí")&gt;0),S4582,0))</f>
        <v/>
      </c>
      <c r="AI4582" s="52">
        <f>IF(OR(L4582="",P4582=""),"",IF(COUNTIFS(L$6:L4582,L4582,P$6:P4582,"?*")=1,MAX(AI$5:AI4581)+1,""))</f>
        <v/>
      </c>
    </row>
    <row r="4583">
      <c r="B4583" s="47" t="n"/>
      <c r="C4583" s="48" t="n"/>
      <c r="D4583" s="48" t="n"/>
      <c r="E4583" s="48" t="n"/>
      <c r="F4583" s="48" t="n"/>
      <c r="G4583" s="49" t="n"/>
      <c r="H4583" s="48" t="n"/>
      <c r="I4583" s="50" t="n"/>
      <c r="J4583" s="48" t="n"/>
      <c r="K4583" s="48" t="n"/>
      <c r="L4583" s="48" t="n"/>
      <c r="M4583" s="48" t="n"/>
      <c r="N4583" s="48" t="n"/>
      <c r="O4583" s="51">
        <f>IF(AND(B4583="",G4583="",C4583="",D4583="",J4583=""),"",IF(B4583="","⚠ Falta fecha",IF(G4583="","⚠ Falta monto",IF(Q4583="","⚠ Falta cuenta",IF(ISNA(MATCH(Q4583,ctaNombre,0)),"⚠ Cuenta no registrada",IF(AND(OR(P4583="Gasto",P4583="Reembolso"),D4583=""),"⚠ Falta categoría",IF(AND(D4583&lt;&gt;"",E4583&lt;&gt;"",ISNA(MATCH(D4583&amp;"|"&amp;E4583,catClave,0))),"⚠ Subcategoría no corresponde",IF(AND(OR(P4583="Transferencia",P4583="Pago tarjeta"),K4583=""),"⚠ Falta cuenta destino",IF(AND(K4583&lt;&gt;"",P4583&lt;&gt;"Transferencia",P4583&lt;&gt;"Pago tarjeta"),"⚠ Destino solo aplica a transferencias",IF(AND(K4583&lt;&gt;"",K4583=Q4583),"⚠ Origen igual a destino",IF(AND(K4583&lt;&gt;"",ISNA(MATCH(K4583,ctaNombre,0))),"⚠ Destino no registrado",IF(AND(P4583="Pago tarjeta",AE4583&lt;&gt;"Tarjeta de crédito"),"⚠ El destino debe ser tarjeta de crédito",IF(AND(P4583="Gasto",E4583="Depósitos y retiros"),"⚠ Usa tipo Transferencia",IF(AND(P4583="Resultado trading",AD4583&lt;&gt;"Cuenta de trading"),"⚠ Usa una cuenta de trading",IF(AND(G4583&lt;=0,P4583&lt;&gt;"Ajuste",P4583&lt;&gt;"Resultado trading"),"⚠ El monto debe ser positivo","✓")))))))))))))))</f>
        <v/>
      </c>
      <c r="P4583" s="52">
        <f>IF(OR(B4583="",G4583=""),"",IF(C4583="","Gasto",C4583))</f>
        <v/>
      </c>
      <c r="Q4583" s="52">
        <f>IF(P4583="","",IF(J4583&lt;&gt;"",J4583,CuentaPred&amp;""))</f>
        <v/>
      </c>
      <c r="R4583" s="52">
        <f>IF(P4583="","",IF(ISNUMBER(I4583),I4583,TasaUSD))</f>
        <v/>
      </c>
      <c r="S4583" s="53">
        <f>IF(P4583="","",IF(H4583="USD",G4583*R4583,G4583))</f>
        <v/>
      </c>
      <c r="T4583" s="53">
        <f>IF(P4583="","",IF(H4583="USD",G4583,IF(R4583&gt;0,G4583/R4583,0)))</f>
        <v/>
      </c>
      <c r="U4583" s="53">
        <f>IF(P4583="","",IF(P4583="Gasto",S4583,IF(P4583="Reembolso",-S4583,0)))</f>
        <v/>
      </c>
      <c r="V4583" s="53">
        <f>IF(P4583="","",IF(P4583="Ingreso",S4583,0))</f>
        <v/>
      </c>
      <c r="W4583" s="53">
        <f>IF(P4583="","",IF(P4583="Resultado trading",S4583,0))</f>
        <v/>
      </c>
      <c r="X4583" s="52">
        <f>IF(OR(P4583="Gasto",P4583="Reembolso"),IF(M4583&lt;&gt;"",M4583,IFERROR(INDEX(catClasif,MATCH(D4583&amp;"|"&amp;E4583,catClave,0))&amp;"","Variable")),"")</f>
        <v/>
      </c>
      <c r="Y4583" s="52">
        <f>IF(P4583="","",IFERROR(INDEX(catGrupo,MATCH(D4583&amp;"|"&amp;E4583,catClave,0))&amp;"",""))</f>
        <v/>
      </c>
      <c r="Z4583" s="52">
        <f>IF(P4583="","",WEEKDAY(B4583,2))</f>
        <v/>
      </c>
      <c r="AA4583" s="52">
        <f>IF(P4583="","",IF(AND(P4583="Gasto",X4583="Variable",D4583&lt;&gt;catTrading,S4583&gt;0,S4583&lt;=Umbral),1,0))</f>
        <v/>
      </c>
      <c r="AB4583" s="52">
        <f>IF(OR(P4583="",Q4583=""),"",IFERROR(IF(INDEX(ctaVinc,MATCH(Q4583,ctaNombre,0))&amp;""&lt;&gt;"",INDEX(ctaVinc,MATCH(Q4583,ctaNombre,0))&amp;"",Q4583),Q4583))</f>
        <v/>
      </c>
      <c r="AC4583" s="52">
        <f>IF(OR(K4583="",AND(P4583&lt;&gt;"Transferencia",P4583&lt;&gt;"Pago tarjeta")),"",IFERROR(IF(INDEX(ctaVinc,MATCH(K4583,ctaNombre,0))&amp;""&lt;&gt;"",INDEX(ctaVinc,MATCH(K4583,ctaNombre,0))&amp;"",K4583),K4583))</f>
        <v/>
      </c>
      <c r="AD4583" s="52">
        <f>IF(AB4583="","",IFERROR(INDEX(ctaTipo,MATCH(AB4583,ctaNombre,0))&amp;"",""))</f>
        <v/>
      </c>
      <c r="AE4583" s="52">
        <f>IF(AC4583="","",IFERROR(INDEX(ctaTipo,MATCH(AC4583,ctaNombre,0))&amp;"",""))</f>
        <v/>
      </c>
      <c r="AF4583" s="53">
        <f>IF(OR(P4583="",AB4583=""),"",IF(OR(P4583="Gasto",P4583="Transferencia",P4583="Pago tarjeta"),-1,1)*IF(IFERROR(INDEX(ctaMoneda,MATCH(AB4583,ctaNombre,0))&amp;"","DOP")="USD",T4583,S4583))</f>
        <v/>
      </c>
      <c r="AG4583" s="53">
        <f>IF(AC4583="","",IF(IFERROR(INDEX(ctaMoneda,MATCH(AC4583,ctaNombre,0))&amp;"","DOP")="USD",T4583,S4583))</f>
        <v/>
      </c>
      <c r="AH4583" s="53">
        <f>IF(P4583="","",IF(AND(AD4583&lt;&gt;"",COUNTIFS(tcTipo,AD4583,tcLiq,"Sí")&gt;0),IF(OR(P4583="Gasto",P4583="Transferencia",P4583="Pago tarjeta"),-1,1)*S4583,0)+IF(AND(AE4583&lt;&gt;"",COUNTIFS(tcTipo,AE4583,tcLiq,"Sí")&gt;0),S4583,0))</f>
        <v/>
      </c>
      <c r="AI4583" s="52">
        <f>IF(OR(L4583="",P4583=""),"",IF(COUNTIFS(L$6:L4583,L4583,P$6:P4583,"?*")=1,MAX(AI$5:AI4582)+1,""))</f>
        <v/>
      </c>
    </row>
    <row r="4584">
      <c r="B4584" s="47" t="n"/>
      <c r="C4584" s="48" t="n"/>
      <c r="D4584" s="48" t="n"/>
      <c r="E4584" s="48" t="n"/>
      <c r="F4584" s="48" t="n"/>
      <c r="G4584" s="49" t="n"/>
      <c r="H4584" s="48" t="n"/>
      <c r="I4584" s="50" t="n"/>
      <c r="J4584" s="48" t="n"/>
      <c r="K4584" s="48" t="n"/>
      <c r="L4584" s="48" t="n"/>
      <c r="M4584" s="48" t="n"/>
      <c r="N4584" s="48" t="n"/>
      <c r="O4584" s="51">
        <f>IF(AND(B4584="",G4584="",C4584="",D4584="",J4584=""),"",IF(B4584="","⚠ Falta fecha",IF(G4584="","⚠ Falta monto",IF(Q4584="","⚠ Falta cuenta",IF(ISNA(MATCH(Q4584,ctaNombre,0)),"⚠ Cuenta no registrada",IF(AND(OR(P4584="Gasto",P4584="Reembolso"),D4584=""),"⚠ Falta categoría",IF(AND(D4584&lt;&gt;"",E4584&lt;&gt;"",ISNA(MATCH(D4584&amp;"|"&amp;E4584,catClave,0))),"⚠ Subcategoría no corresponde",IF(AND(OR(P4584="Transferencia",P4584="Pago tarjeta"),K4584=""),"⚠ Falta cuenta destino",IF(AND(K4584&lt;&gt;"",P4584&lt;&gt;"Transferencia",P4584&lt;&gt;"Pago tarjeta"),"⚠ Destino solo aplica a transferencias",IF(AND(K4584&lt;&gt;"",K4584=Q4584),"⚠ Origen igual a destino",IF(AND(K4584&lt;&gt;"",ISNA(MATCH(K4584,ctaNombre,0))),"⚠ Destino no registrado",IF(AND(P4584="Pago tarjeta",AE4584&lt;&gt;"Tarjeta de crédito"),"⚠ El destino debe ser tarjeta de crédito",IF(AND(P4584="Gasto",E4584="Depósitos y retiros"),"⚠ Usa tipo Transferencia",IF(AND(P4584="Resultado trading",AD4584&lt;&gt;"Cuenta de trading"),"⚠ Usa una cuenta de trading",IF(AND(G4584&lt;=0,P4584&lt;&gt;"Ajuste",P4584&lt;&gt;"Resultado trading"),"⚠ El monto debe ser positivo","✓")))))))))))))))</f>
        <v/>
      </c>
      <c r="P4584" s="52">
        <f>IF(OR(B4584="",G4584=""),"",IF(C4584="","Gasto",C4584))</f>
        <v/>
      </c>
      <c r="Q4584" s="52">
        <f>IF(P4584="","",IF(J4584&lt;&gt;"",J4584,CuentaPred&amp;""))</f>
        <v/>
      </c>
      <c r="R4584" s="52">
        <f>IF(P4584="","",IF(ISNUMBER(I4584),I4584,TasaUSD))</f>
        <v/>
      </c>
      <c r="S4584" s="53">
        <f>IF(P4584="","",IF(H4584="USD",G4584*R4584,G4584))</f>
        <v/>
      </c>
      <c r="T4584" s="53">
        <f>IF(P4584="","",IF(H4584="USD",G4584,IF(R4584&gt;0,G4584/R4584,0)))</f>
        <v/>
      </c>
      <c r="U4584" s="53">
        <f>IF(P4584="","",IF(P4584="Gasto",S4584,IF(P4584="Reembolso",-S4584,0)))</f>
        <v/>
      </c>
      <c r="V4584" s="53">
        <f>IF(P4584="","",IF(P4584="Ingreso",S4584,0))</f>
        <v/>
      </c>
      <c r="W4584" s="53">
        <f>IF(P4584="","",IF(P4584="Resultado trading",S4584,0))</f>
        <v/>
      </c>
      <c r="X4584" s="52">
        <f>IF(OR(P4584="Gasto",P4584="Reembolso"),IF(M4584&lt;&gt;"",M4584,IFERROR(INDEX(catClasif,MATCH(D4584&amp;"|"&amp;E4584,catClave,0))&amp;"","Variable")),"")</f>
        <v/>
      </c>
      <c r="Y4584" s="52">
        <f>IF(P4584="","",IFERROR(INDEX(catGrupo,MATCH(D4584&amp;"|"&amp;E4584,catClave,0))&amp;"",""))</f>
        <v/>
      </c>
      <c r="Z4584" s="52">
        <f>IF(P4584="","",WEEKDAY(B4584,2))</f>
        <v/>
      </c>
      <c r="AA4584" s="52">
        <f>IF(P4584="","",IF(AND(P4584="Gasto",X4584="Variable",D4584&lt;&gt;catTrading,S4584&gt;0,S4584&lt;=Umbral),1,0))</f>
        <v/>
      </c>
      <c r="AB4584" s="52">
        <f>IF(OR(P4584="",Q4584=""),"",IFERROR(IF(INDEX(ctaVinc,MATCH(Q4584,ctaNombre,0))&amp;""&lt;&gt;"",INDEX(ctaVinc,MATCH(Q4584,ctaNombre,0))&amp;"",Q4584),Q4584))</f>
        <v/>
      </c>
      <c r="AC4584" s="52">
        <f>IF(OR(K4584="",AND(P4584&lt;&gt;"Transferencia",P4584&lt;&gt;"Pago tarjeta")),"",IFERROR(IF(INDEX(ctaVinc,MATCH(K4584,ctaNombre,0))&amp;""&lt;&gt;"",INDEX(ctaVinc,MATCH(K4584,ctaNombre,0))&amp;"",K4584),K4584))</f>
        <v/>
      </c>
      <c r="AD4584" s="52">
        <f>IF(AB4584="","",IFERROR(INDEX(ctaTipo,MATCH(AB4584,ctaNombre,0))&amp;"",""))</f>
        <v/>
      </c>
      <c r="AE4584" s="52">
        <f>IF(AC4584="","",IFERROR(INDEX(ctaTipo,MATCH(AC4584,ctaNombre,0))&amp;"",""))</f>
        <v/>
      </c>
      <c r="AF4584" s="53">
        <f>IF(OR(P4584="",AB4584=""),"",IF(OR(P4584="Gasto",P4584="Transferencia",P4584="Pago tarjeta"),-1,1)*IF(IFERROR(INDEX(ctaMoneda,MATCH(AB4584,ctaNombre,0))&amp;"","DOP")="USD",T4584,S4584))</f>
        <v/>
      </c>
      <c r="AG4584" s="53">
        <f>IF(AC4584="","",IF(IFERROR(INDEX(ctaMoneda,MATCH(AC4584,ctaNombre,0))&amp;"","DOP")="USD",T4584,S4584))</f>
        <v/>
      </c>
      <c r="AH4584" s="53">
        <f>IF(P4584="","",IF(AND(AD4584&lt;&gt;"",COUNTIFS(tcTipo,AD4584,tcLiq,"Sí")&gt;0),IF(OR(P4584="Gasto",P4584="Transferencia",P4584="Pago tarjeta"),-1,1)*S4584,0)+IF(AND(AE4584&lt;&gt;"",COUNTIFS(tcTipo,AE4584,tcLiq,"Sí")&gt;0),S4584,0))</f>
        <v/>
      </c>
      <c r="AI4584" s="52">
        <f>IF(OR(L4584="",P4584=""),"",IF(COUNTIFS(L$6:L4584,L4584,P$6:P4584,"?*")=1,MAX(AI$5:AI4583)+1,""))</f>
        <v/>
      </c>
    </row>
    <row r="4585">
      <c r="B4585" s="47" t="n"/>
      <c r="C4585" s="48" t="n"/>
      <c r="D4585" s="48" t="n"/>
      <c r="E4585" s="48" t="n"/>
      <c r="F4585" s="48" t="n"/>
      <c r="G4585" s="49" t="n"/>
      <c r="H4585" s="48" t="n"/>
      <c r="I4585" s="50" t="n"/>
      <c r="J4585" s="48" t="n"/>
      <c r="K4585" s="48" t="n"/>
      <c r="L4585" s="48" t="n"/>
      <c r="M4585" s="48" t="n"/>
      <c r="N4585" s="48" t="n"/>
      <c r="O4585" s="51">
        <f>IF(AND(B4585="",G4585="",C4585="",D4585="",J4585=""),"",IF(B4585="","⚠ Falta fecha",IF(G4585="","⚠ Falta monto",IF(Q4585="","⚠ Falta cuenta",IF(ISNA(MATCH(Q4585,ctaNombre,0)),"⚠ Cuenta no registrada",IF(AND(OR(P4585="Gasto",P4585="Reembolso"),D4585=""),"⚠ Falta categoría",IF(AND(D4585&lt;&gt;"",E4585&lt;&gt;"",ISNA(MATCH(D4585&amp;"|"&amp;E4585,catClave,0))),"⚠ Subcategoría no corresponde",IF(AND(OR(P4585="Transferencia",P4585="Pago tarjeta"),K4585=""),"⚠ Falta cuenta destino",IF(AND(K4585&lt;&gt;"",P4585&lt;&gt;"Transferencia",P4585&lt;&gt;"Pago tarjeta"),"⚠ Destino solo aplica a transferencias",IF(AND(K4585&lt;&gt;"",K4585=Q4585),"⚠ Origen igual a destino",IF(AND(K4585&lt;&gt;"",ISNA(MATCH(K4585,ctaNombre,0))),"⚠ Destino no registrado",IF(AND(P4585="Pago tarjeta",AE4585&lt;&gt;"Tarjeta de crédito"),"⚠ El destino debe ser tarjeta de crédito",IF(AND(P4585="Gasto",E4585="Depósitos y retiros"),"⚠ Usa tipo Transferencia",IF(AND(P4585="Resultado trading",AD4585&lt;&gt;"Cuenta de trading"),"⚠ Usa una cuenta de trading",IF(AND(G4585&lt;=0,P4585&lt;&gt;"Ajuste",P4585&lt;&gt;"Resultado trading"),"⚠ El monto debe ser positivo","✓")))))))))))))))</f>
        <v/>
      </c>
      <c r="P4585" s="52">
        <f>IF(OR(B4585="",G4585=""),"",IF(C4585="","Gasto",C4585))</f>
        <v/>
      </c>
      <c r="Q4585" s="52">
        <f>IF(P4585="","",IF(J4585&lt;&gt;"",J4585,CuentaPred&amp;""))</f>
        <v/>
      </c>
      <c r="R4585" s="52">
        <f>IF(P4585="","",IF(ISNUMBER(I4585),I4585,TasaUSD))</f>
        <v/>
      </c>
      <c r="S4585" s="53">
        <f>IF(P4585="","",IF(H4585="USD",G4585*R4585,G4585))</f>
        <v/>
      </c>
      <c r="T4585" s="53">
        <f>IF(P4585="","",IF(H4585="USD",G4585,IF(R4585&gt;0,G4585/R4585,0)))</f>
        <v/>
      </c>
      <c r="U4585" s="53">
        <f>IF(P4585="","",IF(P4585="Gasto",S4585,IF(P4585="Reembolso",-S4585,0)))</f>
        <v/>
      </c>
      <c r="V4585" s="53">
        <f>IF(P4585="","",IF(P4585="Ingreso",S4585,0))</f>
        <v/>
      </c>
      <c r="W4585" s="53">
        <f>IF(P4585="","",IF(P4585="Resultado trading",S4585,0))</f>
        <v/>
      </c>
      <c r="X4585" s="52">
        <f>IF(OR(P4585="Gasto",P4585="Reembolso"),IF(M4585&lt;&gt;"",M4585,IFERROR(INDEX(catClasif,MATCH(D4585&amp;"|"&amp;E4585,catClave,0))&amp;"","Variable")),"")</f>
        <v/>
      </c>
      <c r="Y4585" s="52">
        <f>IF(P4585="","",IFERROR(INDEX(catGrupo,MATCH(D4585&amp;"|"&amp;E4585,catClave,0))&amp;"",""))</f>
        <v/>
      </c>
      <c r="Z4585" s="52">
        <f>IF(P4585="","",WEEKDAY(B4585,2))</f>
        <v/>
      </c>
      <c r="AA4585" s="52">
        <f>IF(P4585="","",IF(AND(P4585="Gasto",X4585="Variable",D4585&lt;&gt;catTrading,S4585&gt;0,S4585&lt;=Umbral),1,0))</f>
        <v/>
      </c>
      <c r="AB4585" s="52">
        <f>IF(OR(P4585="",Q4585=""),"",IFERROR(IF(INDEX(ctaVinc,MATCH(Q4585,ctaNombre,0))&amp;""&lt;&gt;"",INDEX(ctaVinc,MATCH(Q4585,ctaNombre,0))&amp;"",Q4585),Q4585))</f>
        <v/>
      </c>
      <c r="AC4585" s="52">
        <f>IF(OR(K4585="",AND(P4585&lt;&gt;"Transferencia",P4585&lt;&gt;"Pago tarjeta")),"",IFERROR(IF(INDEX(ctaVinc,MATCH(K4585,ctaNombre,0))&amp;""&lt;&gt;"",INDEX(ctaVinc,MATCH(K4585,ctaNombre,0))&amp;"",K4585),K4585))</f>
        <v/>
      </c>
      <c r="AD4585" s="52">
        <f>IF(AB4585="","",IFERROR(INDEX(ctaTipo,MATCH(AB4585,ctaNombre,0))&amp;"",""))</f>
        <v/>
      </c>
      <c r="AE4585" s="52">
        <f>IF(AC4585="","",IFERROR(INDEX(ctaTipo,MATCH(AC4585,ctaNombre,0))&amp;"",""))</f>
        <v/>
      </c>
      <c r="AF4585" s="53">
        <f>IF(OR(P4585="",AB4585=""),"",IF(OR(P4585="Gasto",P4585="Transferencia",P4585="Pago tarjeta"),-1,1)*IF(IFERROR(INDEX(ctaMoneda,MATCH(AB4585,ctaNombre,0))&amp;"","DOP")="USD",T4585,S4585))</f>
        <v/>
      </c>
      <c r="AG4585" s="53">
        <f>IF(AC4585="","",IF(IFERROR(INDEX(ctaMoneda,MATCH(AC4585,ctaNombre,0))&amp;"","DOP")="USD",T4585,S4585))</f>
        <v/>
      </c>
      <c r="AH4585" s="53">
        <f>IF(P4585="","",IF(AND(AD4585&lt;&gt;"",COUNTIFS(tcTipo,AD4585,tcLiq,"Sí")&gt;0),IF(OR(P4585="Gasto",P4585="Transferencia",P4585="Pago tarjeta"),-1,1)*S4585,0)+IF(AND(AE4585&lt;&gt;"",COUNTIFS(tcTipo,AE4585,tcLiq,"Sí")&gt;0),S4585,0))</f>
        <v/>
      </c>
      <c r="AI4585" s="52">
        <f>IF(OR(L4585="",P4585=""),"",IF(COUNTIFS(L$6:L4585,L4585,P$6:P4585,"?*")=1,MAX(AI$5:AI4584)+1,""))</f>
        <v/>
      </c>
    </row>
    <row r="4586">
      <c r="B4586" s="47" t="n"/>
      <c r="C4586" s="48" t="n"/>
      <c r="D4586" s="48" t="n"/>
      <c r="E4586" s="48" t="n"/>
      <c r="F4586" s="48" t="n"/>
      <c r="G4586" s="49" t="n"/>
      <c r="H4586" s="48" t="n"/>
      <c r="I4586" s="50" t="n"/>
      <c r="J4586" s="48" t="n"/>
      <c r="K4586" s="48" t="n"/>
      <c r="L4586" s="48" t="n"/>
      <c r="M4586" s="48" t="n"/>
      <c r="N4586" s="48" t="n"/>
      <c r="O4586" s="51">
        <f>IF(AND(B4586="",G4586="",C4586="",D4586="",J4586=""),"",IF(B4586="","⚠ Falta fecha",IF(G4586="","⚠ Falta monto",IF(Q4586="","⚠ Falta cuenta",IF(ISNA(MATCH(Q4586,ctaNombre,0)),"⚠ Cuenta no registrada",IF(AND(OR(P4586="Gasto",P4586="Reembolso"),D4586=""),"⚠ Falta categoría",IF(AND(D4586&lt;&gt;"",E4586&lt;&gt;"",ISNA(MATCH(D4586&amp;"|"&amp;E4586,catClave,0))),"⚠ Subcategoría no corresponde",IF(AND(OR(P4586="Transferencia",P4586="Pago tarjeta"),K4586=""),"⚠ Falta cuenta destino",IF(AND(K4586&lt;&gt;"",P4586&lt;&gt;"Transferencia",P4586&lt;&gt;"Pago tarjeta"),"⚠ Destino solo aplica a transferencias",IF(AND(K4586&lt;&gt;"",K4586=Q4586),"⚠ Origen igual a destino",IF(AND(K4586&lt;&gt;"",ISNA(MATCH(K4586,ctaNombre,0))),"⚠ Destino no registrado",IF(AND(P4586="Pago tarjeta",AE4586&lt;&gt;"Tarjeta de crédito"),"⚠ El destino debe ser tarjeta de crédito",IF(AND(P4586="Gasto",E4586="Depósitos y retiros"),"⚠ Usa tipo Transferencia",IF(AND(P4586="Resultado trading",AD4586&lt;&gt;"Cuenta de trading"),"⚠ Usa una cuenta de trading",IF(AND(G4586&lt;=0,P4586&lt;&gt;"Ajuste",P4586&lt;&gt;"Resultado trading"),"⚠ El monto debe ser positivo","✓")))))))))))))))</f>
        <v/>
      </c>
      <c r="P4586" s="52">
        <f>IF(OR(B4586="",G4586=""),"",IF(C4586="","Gasto",C4586))</f>
        <v/>
      </c>
      <c r="Q4586" s="52">
        <f>IF(P4586="","",IF(J4586&lt;&gt;"",J4586,CuentaPred&amp;""))</f>
        <v/>
      </c>
      <c r="R4586" s="52">
        <f>IF(P4586="","",IF(ISNUMBER(I4586),I4586,TasaUSD))</f>
        <v/>
      </c>
      <c r="S4586" s="53">
        <f>IF(P4586="","",IF(H4586="USD",G4586*R4586,G4586))</f>
        <v/>
      </c>
      <c r="T4586" s="53">
        <f>IF(P4586="","",IF(H4586="USD",G4586,IF(R4586&gt;0,G4586/R4586,0)))</f>
        <v/>
      </c>
      <c r="U4586" s="53">
        <f>IF(P4586="","",IF(P4586="Gasto",S4586,IF(P4586="Reembolso",-S4586,0)))</f>
        <v/>
      </c>
      <c r="V4586" s="53">
        <f>IF(P4586="","",IF(P4586="Ingreso",S4586,0))</f>
        <v/>
      </c>
      <c r="W4586" s="53">
        <f>IF(P4586="","",IF(P4586="Resultado trading",S4586,0))</f>
        <v/>
      </c>
      <c r="X4586" s="52">
        <f>IF(OR(P4586="Gasto",P4586="Reembolso"),IF(M4586&lt;&gt;"",M4586,IFERROR(INDEX(catClasif,MATCH(D4586&amp;"|"&amp;E4586,catClave,0))&amp;"","Variable")),"")</f>
        <v/>
      </c>
      <c r="Y4586" s="52">
        <f>IF(P4586="","",IFERROR(INDEX(catGrupo,MATCH(D4586&amp;"|"&amp;E4586,catClave,0))&amp;"",""))</f>
        <v/>
      </c>
      <c r="Z4586" s="52">
        <f>IF(P4586="","",WEEKDAY(B4586,2))</f>
        <v/>
      </c>
      <c r="AA4586" s="52">
        <f>IF(P4586="","",IF(AND(P4586="Gasto",X4586="Variable",D4586&lt;&gt;catTrading,S4586&gt;0,S4586&lt;=Umbral),1,0))</f>
        <v/>
      </c>
      <c r="AB4586" s="52">
        <f>IF(OR(P4586="",Q4586=""),"",IFERROR(IF(INDEX(ctaVinc,MATCH(Q4586,ctaNombre,0))&amp;""&lt;&gt;"",INDEX(ctaVinc,MATCH(Q4586,ctaNombre,0))&amp;"",Q4586),Q4586))</f>
        <v/>
      </c>
      <c r="AC4586" s="52">
        <f>IF(OR(K4586="",AND(P4586&lt;&gt;"Transferencia",P4586&lt;&gt;"Pago tarjeta")),"",IFERROR(IF(INDEX(ctaVinc,MATCH(K4586,ctaNombre,0))&amp;""&lt;&gt;"",INDEX(ctaVinc,MATCH(K4586,ctaNombre,0))&amp;"",K4586),K4586))</f>
        <v/>
      </c>
      <c r="AD4586" s="52">
        <f>IF(AB4586="","",IFERROR(INDEX(ctaTipo,MATCH(AB4586,ctaNombre,0))&amp;"",""))</f>
        <v/>
      </c>
      <c r="AE4586" s="52">
        <f>IF(AC4586="","",IFERROR(INDEX(ctaTipo,MATCH(AC4586,ctaNombre,0))&amp;"",""))</f>
        <v/>
      </c>
      <c r="AF4586" s="53">
        <f>IF(OR(P4586="",AB4586=""),"",IF(OR(P4586="Gasto",P4586="Transferencia",P4586="Pago tarjeta"),-1,1)*IF(IFERROR(INDEX(ctaMoneda,MATCH(AB4586,ctaNombre,0))&amp;"","DOP")="USD",T4586,S4586))</f>
        <v/>
      </c>
      <c r="AG4586" s="53">
        <f>IF(AC4586="","",IF(IFERROR(INDEX(ctaMoneda,MATCH(AC4586,ctaNombre,0))&amp;"","DOP")="USD",T4586,S4586))</f>
        <v/>
      </c>
      <c r="AH4586" s="53">
        <f>IF(P4586="","",IF(AND(AD4586&lt;&gt;"",COUNTIFS(tcTipo,AD4586,tcLiq,"Sí")&gt;0),IF(OR(P4586="Gasto",P4586="Transferencia",P4586="Pago tarjeta"),-1,1)*S4586,0)+IF(AND(AE4586&lt;&gt;"",COUNTIFS(tcTipo,AE4586,tcLiq,"Sí")&gt;0),S4586,0))</f>
        <v/>
      </c>
      <c r="AI4586" s="52">
        <f>IF(OR(L4586="",P4586=""),"",IF(COUNTIFS(L$6:L4586,L4586,P$6:P4586,"?*")=1,MAX(AI$5:AI4585)+1,""))</f>
        <v/>
      </c>
    </row>
    <row r="4587">
      <c r="B4587" s="47" t="n"/>
      <c r="C4587" s="48" t="n"/>
      <c r="D4587" s="48" t="n"/>
      <c r="E4587" s="48" t="n"/>
      <c r="F4587" s="48" t="n"/>
      <c r="G4587" s="49" t="n"/>
      <c r="H4587" s="48" t="n"/>
      <c r="I4587" s="50" t="n"/>
      <c r="J4587" s="48" t="n"/>
      <c r="K4587" s="48" t="n"/>
      <c r="L4587" s="48" t="n"/>
      <c r="M4587" s="48" t="n"/>
      <c r="N4587" s="48" t="n"/>
      <c r="O4587" s="51">
        <f>IF(AND(B4587="",G4587="",C4587="",D4587="",J4587=""),"",IF(B4587="","⚠ Falta fecha",IF(G4587="","⚠ Falta monto",IF(Q4587="","⚠ Falta cuenta",IF(ISNA(MATCH(Q4587,ctaNombre,0)),"⚠ Cuenta no registrada",IF(AND(OR(P4587="Gasto",P4587="Reembolso"),D4587=""),"⚠ Falta categoría",IF(AND(D4587&lt;&gt;"",E4587&lt;&gt;"",ISNA(MATCH(D4587&amp;"|"&amp;E4587,catClave,0))),"⚠ Subcategoría no corresponde",IF(AND(OR(P4587="Transferencia",P4587="Pago tarjeta"),K4587=""),"⚠ Falta cuenta destino",IF(AND(K4587&lt;&gt;"",P4587&lt;&gt;"Transferencia",P4587&lt;&gt;"Pago tarjeta"),"⚠ Destino solo aplica a transferencias",IF(AND(K4587&lt;&gt;"",K4587=Q4587),"⚠ Origen igual a destino",IF(AND(K4587&lt;&gt;"",ISNA(MATCH(K4587,ctaNombre,0))),"⚠ Destino no registrado",IF(AND(P4587="Pago tarjeta",AE4587&lt;&gt;"Tarjeta de crédito"),"⚠ El destino debe ser tarjeta de crédito",IF(AND(P4587="Gasto",E4587="Depósitos y retiros"),"⚠ Usa tipo Transferencia",IF(AND(P4587="Resultado trading",AD4587&lt;&gt;"Cuenta de trading"),"⚠ Usa una cuenta de trading",IF(AND(G4587&lt;=0,P4587&lt;&gt;"Ajuste",P4587&lt;&gt;"Resultado trading"),"⚠ El monto debe ser positivo","✓")))))))))))))))</f>
        <v/>
      </c>
      <c r="P4587" s="52">
        <f>IF(OR(B4587="",G4587=""),"",IF(C4587="","Gasto",C4587))</f>
        <v/>
      </c>
      <c r="Q4587" s="52">
        <f>IF(P4587="","",IF(J4587&lt;&gt;"",J4587,CuentaPred&amp;""))</f>
        <v/>
      </c>
      <c r="R4587" s="52">
        <f>IF(P4587="","",IF(ISNUMBER(I4587),I4587,TasaUSD))</f>
        <v/>
      </c>
      <c r="S4587" s="53">
        <f>IF(P4587="","",IF(H4587="USD",G4587*R4587,G4587))</f>
        <v/>
      </c>
      <c r="T4587" s="53">
        <f>IF(P4587="","",IF(H4587="USD",G4587,IF(R4587&gt;0,G4587/R4587,0)))</f>
        <v/>
      </c>
      <c r="U4587" s="53">
        <f>IF(P4587="","",IF(P4587="Gasto",S4587,IF(P4587="Reembolso",-S4587,0)))</f>
        <v/>
      </c>
      <c r="V4587" s="53">
        <f>IF(P4587="","",IF(P4587="Ingreso",S4587,0))</f>
        <v/>
      </c>
      <c r="W4587" s="53">
        <f>IF(P4587="","",IF(P4587="Resultado trading",S4587,0))</f>
        <v/>
      </c>
      <c r="X4587" s="52">
        <f>IF(OR(P4587="Gasto",P4587="Reembolso"),IF(M4587&lt;&gt;"",M4587,IFERROR(INDEX(catClasif,MATCH(D4587&amp;"|"&amp;E4587,catClave,0))&amp;"","Variable")),"")</f>
        <v/>
      </c>
      <c r="Y4587" s="52">
        <f>IF(P4587="","",IFERROR(INDEX(catGrupo,MATCH(D4587&amp;"|"&amp;E4587,catClave,0))&amp;"",""))</f>
        <v/>
      </c>
      <c r="Z4587" s="52">
        <f>IF(P4587="","",WEEKDAY(B4587,2))</f>
        <v/>
      </c>
      <c r="AA4587" s="52">
        <f>IF(P4587="","",IF(AND(P4587="Gasto",X4587="Variable",D4587&lt;&gt;catTrading,S4587&gt;0,S4587&lt;=Umbral),1,0))</f>
        <v/>
      </c>
      <c r="AB4587" s="52">
        <f>IF(OR(P4587="",Q4587=""),"",IFERROR(IF(INDEX(ctaVinc,MATCH(Q4587,ctaNombre,0))&amp;""&lt;&gt;"",INDEX(ctaVinc,MATCH(Q4587,ctaNombre,0))&amp;"",Q4587),Q4587))</f>
        <v/>
      </c>
      <c r="AC4587" s="52">
        <f>IF(OR(K4587="",AND(P4587&lt;&gt;"Transferencia",P4587&lt;&gt;"Pago tarjeta")),"",IFERROR(IF(INDEX(ctaVinc,MATCH(K4587,ctaNombre,0))&amp;""&lt;&gt;"",INDEX(ctaVinc,MATCH(K4587,ctaNombre,0))&amp;"",K4587),K4587))</f>
        <v/>
      </c>
      <c r="AD4587" s="52">
        <f>IF(AB4587="","",IFERROR(INDEX(ctaTipo,MATCH(AB4587,ctaNombre,0))&amp;"",""))</f>
        <v/>
      </c>
      <c r="AE4587" s="52">
        <f>IF(AC4587="","",IFERROR(INDEX(ctaTipo,MATCH(AC4587,ctaNombre,0))&amp;"",""))</f>
        <v/>
      </c>
      <c r="AF4587" s="53">
        <f>IF(OR(P4587="",AB4587=""),"",IF(OR(P4587="Gasto",P4587="Transferencia",P4587="Pago tarjeta"),-1,1)*IF(IFERROR(INDEX(ctaMoneda,MATCH(AB4587,ctaNombre,0))&amp;"","DOP")="USD",T4587,S4587))</f>
        <v/>
      </c>
      <c r="AG4587" s="53">
        <f>IF(AC4587="","",IF(IFERROR(INDEX(ctaMoneda,MATCH(AC4587,ctaNombre,0))&amp;"","DOP")="USD",T4587,S4587))</f>
        <v/>
      </c>
      <c r="AH4587" s="53">
        <f>IF(P4587="","",IF(AND(AD4587&lt;&gt;"",COUNTIFS(tcTipo,AD4587,tcLiq,"Sí")&gt;0),IF(OR(P4587="Gasto",P4587="Transferencia",P4587="Pago tarjeta"),-1,1)*S4587,0)+IF(AND(AE4587&lt;&gt;"",COUNTIFS(tcTipo,AE4587,tcLiq,"Sí")&gt;0),S4587,0))</f>
        <v/>
      </c>
      <c r="AI4587" s="52">
        <f>IF(OR(L4587="",P4587=""),"",IF(COUNTIFS(L$6:L4587,L4587,P$6:P4587,"?*")=1,MAX(AI$5:AI4586)+1,""))</f>
        <v/>
      </c>
    </row>
    <row r="4588">
      <c r="B4588" s="47" t="n"/>
      <c r="C4588" s="48" t="n"/>
      <c r="D4588" s="48" t="n"/>
      <c r="E4588" s="48" t="n"/>
      <c r="F4588" s="48" t="n"/>
      <c r="G4588" s="49" t="n"/>
      <c r="H4588" s="48" t="n"/>
      <c r="I4588" s="50" t="n"/>
      <c r="J4588" s="48" t="n"/>
      <c r="K4588" s="48" t="n"/>
      <c r="L4588" s="48" t="n"/>
      <c r="M4588" s="48" t="n"/>
      <c r="N4588" s="48" t="n"/>
      <c r="O4588" s="51">
        <f>IF(AND(B4588="",G4588="",C4588="",D4588="",J4588=""),"",IF(B4588="","⚠ Falta fecha",IF(G4588="","⚠ Falta monto",IF(Q4588="","⚠ Falta cuenta",IF(ISNA(MATCH(Q4588,ctaNombre,0)),"⚠ Cuenta no registrada",IF(AND(OR(P4588="Gasto",P4588="Reembolso"),D4588=""),"⚠ Falta categoría",IF(AND(D4588&lt;&gt;"",E4588&lt;&gt;"",ISNA(MATCH(D4588&amp;"|"&amp;E4588,catClave,0))),"⚠ Subcategoría no corresponde",IF(AND(OR(P4588="Transferencia",P4588="Pago tarjeta"),K4588=""),"⚠ Falta cuenta destino",IF(AND(K4588&lt;&gt;"",P4588&lt;&gt;"Transferencia",P4588&lt;&gt;"Pago tarjeta"),"⚠ Destino solo aplica a transferencias",IF(AND(K4588&lt;&gt;"",K4588=Q4588),"⚠ Origen igual a destino",IF(AND(K4588&lt;&gt;"",ISNA(MATCH(K4588,ctaNombre,0))),"⚠ Destino no registrado",IF(AND(P4588="Pago tarjeta",AE4588&lt;&gt;"Tarjeta de crédito"),"⚠ El destino debe ser tarjeta de crédito",IF(AND(P4588="Gasto",E4588="Depósitos y retiros"),"⚠ Usa tipo Transferencia",IF(AND(P4588="Resultado trading",AD4588&lt;&gt;"Cuenta de trading"),"⚠ Usa una cuenta de trading",IF(AND(G4588&lt;=0,P4588&lt;&gt;"Ajuste",P4588&lt;&gt;"Resultado trading"),"⚠ El monto debe ser positivo","✓")))))))))))))))</f>
        <v/>
      </c>
      <c r="P4588" s="52">
        <f>IF(OR(B4588="",G4588=""),"",IF(C4588="","Gasto",C4588))</f>
        <v/>
      </c>
      <c r="Q4588" s="52">
        <f>IF(P4588="","",IF(J4588&lt;&gt;"",J4588,CuentaPred&amp;""))</f>
        <v/>
      </c>
      <c r="R4588" s="52">
        <f>IF(P4588="","",IF(ISNUMBER(I4588),I4588,TasaUSD))</f>
        <v/>
      </c>
      <c r="S4588" s="53">
        <f>IF(P4588="","",IF(H4588="USD",G4588*R4588,G4588))</f>
        <v/>
      </c>
      <c r="T4588" s="53">
        <f>IF(P4588="","",IF(H4588="USD",G4588,IF(R4588&gt;0,G4588/R4588,0)))</f>
        <v/>
      </c>
      <c r="U4588" s="53">
        <f>IF(P4588="","",IF(P4588="Gasto",S4588,IF(P4588="Reembolso",-S4588,0)))</f>
        <v/>
      </c>
      <c r="V4588" s="53">
        <f>IF(P4588="","",IF(P4588="Ingreso",S4588,0))</f>
        <v/>
      </c>
      <c r="W4588" s="53">
        <f>IF(P4588="","",IF(P4588="Resultado trading",S4588,0))</f>
        <v/>
      </c>
      <c r="X4588" s="52">
        <f>IF(OR(P4588="Gasto",P4588="Reembolso"),IF(M4588&lt;&gt;"",M4588,IFERROR(INDEX(catClasif,MATCH(D4588&amp;"|"&amp;E4588,catClave,0))&amp;"","Variable")),"")</f>
        <v/>
      </c>
      <c r="Y4588" s="52">
        <f>IF(P4588="","",IFERROR(INDEX(catGrupo,MATCH(D4588&amp;"|"&amp;E4588,catClave,0))&amp;"",""))</f>
        <v/>
      </c>
      <c r="Z4588" s="52">
        <f>IF(P4588="","",WEEKDAY(B4588,2))</f>
        <v/>
      </c>
      <c r="AA4588" s="52">
        <f>IF(P4588="","",IF(AND(P4588="Gasto",X4588="Variable",D4588&lt;&gt;catTrading,S4588&gt;0,S4588&lt;=Umbral),1,0))</f>
        <v/>
      </c>
      <c r="AB4588" s="52">
        <f>IF(OR(P4588="",Q4588=""),"",IFERROR(IF(INDEX(ctaVinc,MATCH(Q4588,ctaNombre,0))&amp;""&lt;&gt;"",INDEX(ctaVinc,MATCH(Q4588,ctaNombre,0))&amp;"",Q4588),Q4588))</f>
        <v/>
      </c>
      <c r="AC4588" s="52">
        <f>IF(OR(K4588="",AND(P4588&lt;&gt;"Transferencia",P4588&lt;&gt;"Pago tarjeta")),"",IFERROR(IF(INDEX(ctaVinc,MATCH(K4588,ctaNombre,0))&amp;""&lt;&gt;"",INDEX(ctaVinc,MATCH(K4588,ctaNombre,0))&amp;"",K4588),K4588))</f>
        <v/>
      </c>
      <c r="AD4588" s="52">
        <f>IF(AB4588="","",IFERROR(INDEX(ctaTipo,MATCH(AB4588,ctaNombre,0))&amp;"",""))</f>
        <v/>
      </c>
      <c r="AE4588" s="52">
        <f>IF(AC4588="","",IFERROR(INDEX(ctaTipo,MATCH(AC4588,ctaNombre,0))&amp;"",""))</f>
        <v/>
      </c>
      <c r="AF4588" s="53">
        <f>IF(OR(P4588="",AB4588=""),"",IF(OR(P4588="Gasto",P4588="Transferencia",P4588="Pago tarjeta"),-1,1)*IF(IFERROR(INDEX(ctaMoneda,MATCH(AB4588,ctaNombre,0))&amp;"","DOP")="USD",T4588,S4588))</f>
        <v/>
      </c>
      <c r="AG4588" s="53">
        <f>IF(AC4588="","",IF(IFERROR(INDEX(ctaMoneda,MATCH(AC4588,ctaNombre,0))&amp;"","DOP")="USD",T4588,S4588))</f>
        <v/>
      </c>
      <c r="AH4588" s="53">
        <f>IF(P4588="","",IF(AND(AD4588&lt;&gt;"",COUNTIFS(tcTipo,AD4588,tcLiq,"Sí")&gt;0),IF(OR(P4588="Gasto",P4588="Transferencia",P4588="Pago tarjeta"),-1,1)*S4588,0)+IF(AND(AE4588&lt;&gt;"",COUNTIFS(tcTipo,AE4588,tcLiq,"Sí")&gt;0),S4588,0))</f>
        <v/>
      </c>
      <c r="AI4588" s="52">
        <f>IF(OR(L4588="",P4588=""),"",IF(COUNTIFS(L$6:L4588,L4588,P$6:P4588,"?*")=1,MAX(AI$5:AI4587)+1,""))</f>
        <v/>
      </c>
    </row>
    <row r="4589">
      <c r="B4589" s="47" t="n"/>
      <c r="C4589" s="48" t="n"/>
      <c r="D4589" s="48" t="n"/>
      <c r="E4589" s="48" t="n"/>
      <c r="F4589" s="48" t="n"/>
      <c r="G4589" s="49" t="n"/>
      <c r="H4589" s="48" t="n"/>
      <c r="I4589" s="50" t="n"/>
      <c r="J4589" s="48" t="n"/>
      <c r="K4589" s="48" t="n"/>
      <c r="L4589" s="48" t="n"/>
      <c r="M4589" s="48" t="n"/>
      <c r="N4589" s="48" t="n"/>
      <c r="O4589" s="51">
        <f>IF(AND(B4589="",G4589="",C4589="",D4589="",J4589=""),"",IF(B4589="","⚠ Falta fecha",IF(G4589="","⚠ Falta monto",IF(Q4589="","⚠ Falta cuenta",IF(ISNA(MATCH(Q4589,ctaNombre,0)),"⚠ Cuenta no registrada",IF(AND(OR(P4589="Gasto",P4589="Reembolso"),D4589=""),"⚠ Falta categoría",IF(AND(D4589&lt;&gt;"",E4589&lt;&gt;"",ISNA(MATCH(D4589&amp;"|"&amp;E4589,catClave,0))),"⚠ Subcategoría no corresponde",IF(AND(OR(P4589="Transferencia",P4589="Pago tarjeta"),K4589=""),"⚠ Falta cuenta destino",IF(AND(K4589&lt;&gt;"",P4589&lt;&gt;"Transferencia",P4589&lt;&gt;"Pago tarjeta"),"⚠ Destino solo aplica a transferencias",IF(AND(K4589&lt;&gt;"",K4589=Q4589),"⚠ Origen igual a destino",IF(AND(K4589&lt;&gt;"",ISNA(MATCH(K4589,ctaNombre,0))),"⚠ Destino no registrado",IF(AND(P4589="Pago tarjeta",AE4589&lt;&gt;"Tarjeta de crédito"),"⚠ El destino debe ser tarjeta de crédito",IF(AND(P4589="Gasto",E4589="Depósitos y retiros"),"⚠ Usa tipo Transferencia",IF(AND(P4589="Resultado trading",AD4589&lt;&gt;"Cuenta de trading"),"⚠ Usa una cuenta de trading",IF(AND(G4589&lt;=0,P4589&lt;&gt;"Ajuste",P4589&lt;&gt;"Resultado trading"),"⚠ El monto debe ser positivo","✓")))))))))))))))</f>
        <v/>
      </c>
      <c r="P4589" s="52">
        <f>IF(OR(B4589="",G4589=""),"",IF(C4589="","Gasto",C4589))</f>
        <v/>
      </c>
      <c r="Q4589" s="52">
        <f>IF(P4589="","",IF(J4589&lt;&gt;"",J4589,CuentaPred&amp;""))</f>
        <v/>
      </c>
      <c r="R4589" s="52">
        <f>IF(P4589="","",IF(ISNUMBER(I4589),I4589,TasaUSD))</f>
        <v/>
      </c>
      <c r="S4589" s="53">
        <f>IF(P4589="","",IF(H4589="USD",G4589*R4589,G4589))</f>
        <v/>
      </c>
      <c r="T4589" s="53">
        <f>IF(P4589="","",IF(H4589="USD",G4589,IF(R4589&gt;0,G4589/R4589,0)))</f>
        <v/>
      </c>
      <c r="U4589" s="53">
        <f>IF(P4589="","",IF(P4589="Gasto",S4589,IF(P4589="Reembolso",-S4589,0)))</f>
        <v/>
      </c>
      <c r="V4589" s="53">
        <f>IF(P4589="","",IF(P4589="Ingreso",S4589,0))</f>
        <v/>
      </c>
      <c r="W4589" s="53">
        <f>IF(P4589="","",IF(P4589="Resultado trading",S4589,0))</f>
        <v/>
      </c>
      <c r="X4589" s="52">
        <f>IF(OR(P4589="Gasto",P4589="Reembolso"),IF(M4589&lt;&gt;"",M4589,IFERROR(INDEX(catClasif,MATCH(D4589&amp;"|"&amp;E4589,catClave,0))&amp;"","Variable")),"")</f>
        <v/>
      </c>
      <c r="Y4589" s="52">
        <f>IF(P4589="","",IFERROR(INDEX(catGrupo,MATCH(D4589&amp;"|"&amp;E4589,catClave,0))&amp;"",""))</f>
        <v/>
      </c>
      <c r="Z4589" s="52">
        <f>IF(P4589="","",WEEKDAY(B4589,2))</f>
        <v/>
      </c>
      <c r="AA4589" s="52">
        <f>IF(P4589="","",IF(AND(P4589="Gasto",X4589="Variable",D4589&lt;&gt;catTrading,S4589&gt;0,S4589&lt;=Umbral),1,0))</f>
        <v/>
      </c>
      <c r="AB4589" s="52">
        <f>IF(OR(P4589="",Q4589=""),"",IFERROR(IF(INDEX(ctaVinc,MATCH(Q4589,ctaNombre,0))&amp;""&lt;&gt;"",INDEX(ctaVinc,MATCH(Q4589,ctaNombre,0))&amp;"",Q4589),Q4589))</f>
        <v/>
      </c>
      <c r="AC4589" s="52">
        <f>IF(OR(K4589="",AND(P4589&lt;&gt;"Transferencia",P4589&lt;&gt;"Pago tarjeta")),"",IFERROR(IF(INDEX(ctaVinc,MATCH(K4589,ctaNombre,0))&amp;""&lt;&gt;"",INDEX(ctaVinc,MATCH(K4589,ctaNombre,0))&amp;"",K4589),K4589))</f>
        <v/>
      </c>
      <c r="AD4589" s="52">
        <f>IF(AB4589="","",IFERROR(INDEX(ctaTipo,MATCH(AB4589,ctaNombre,0))&amp;"",""))</f>
        <v/>
      </c>
      <c r="AE4589" s="52">
        <f>IF(AC4589="","",IFERROR(INDEX(ctaTipo,MATCH(AC4589,ctaNombre,0))&amp;"",""))</f>
        <v/>
      </c>
      <c r="AF4589" s="53">
        <f>IF(OR(P4589="",AB4589=""),"",IF(OR(P4589="Gasto",P4589="Transferencia",P4589="Pago tarjeta"),-1,1)*IF(IFERROR(INDEX(ctaMoneda,MATCH(AB4589,ctaNombre,0))&amp;"","DOP")="USD",T4589,S4589))</f>
        <v/>
      </c>
      <c r="AG4589" s="53">
        <f>IF(AC4589="","",IF(IFERROR(INDEX(ctaMoneda,MATCH(AC4589,ctaNombre,0))&amp;"","DOP")="USD",T4589,S4589))</f>
        <v/>
      </c>
      <c r="AH4589" s="53">
        <f>IF(P4589="","",IF(AND(AD4589&lt;&gt;"",COUNTIFS(tcTipo,AD4589,tcLiq,"Sí")&gt;0),IF(OR(P4589="Gasto",P4589="Transferencia",P4589="Pago tarjeta"),-1,1)*S4589,0)+IF(AND(AE4589&lt;&gt;"",COUNTIFS(tcTipo,AE4589,tcLiq,"Sí")&gt;0),S4589,0))</f>
        <v/>
      </c>
      <c r="AI4589" s="52">
        <f>IF(OR(L4589="",P4589=""),"",IF(COUNTIFS(L$6:L4589,L4589,P$6:P4589,"?*")=1,MAX(AI$5:AI4588)+1,""))</f>
        <v/>
      </c>
    </row>
    <row r="4590">
      <c r="B4590" s="47" t="n"/>
      <c r="C4590" s="48" t="n"/>
      <c r="D4590" s="48" t="n"/>
      <c r="E4590" s="48" t="n"/>
      <c r="F4590" s="48" t="n"/>
      <c r="G4590" s="49" t="n"/>
      <c r="H4590" s="48" t="n"/>
      <c r="I4590" s="50" t="n"/>
      <c r="J4590" s="48" t="n"/>
      <c r="K4590" s="48" t="n"/>
      <c r="L4590" s="48" t="n"/>
      <c r="M4590" s="48" t="n"/>
      <c r="N4590" s="48" t="n"/>
      <c r="O4590" s="51">
        <f>IF(AND(B4590="",G4590="",C4590="",D4590="",J4590=""),"",IF(B4590="","⚠ Falta fecha",IF(G4590="","⚠ Falta monto",IF(Q4590="","⚠ Falta cuenta",IF(ISNA(MATCH(Q4590,ctaNombre,0)),"⚠ Cuenta no registrada",IF(AND(OR(P4590="Gasto",P4590="Reembolso"),D4590=""),"⚠ Falta categoría",IF(AND(D4590&lt;&gt;"",E4590&lt;&gt;"",ISNA(MATCH(D4590&amp;"|"&amp;E4590,catClave,0))),"⚠ Subcategoría no corresponde",IF(AND(OR(P4590="Transferencia",P4590="Pago tarjeta"),K4590=""),"⚠ Falta cuenta destino",IF(AND(K4590&lt;&gt;"",P4590&lt;&gt;"Transferencia",P4590&lt;&gt;"Pago tarjeta"),"⚠ Destino solo aplica a transferencias",IF(AND(K4590&lt;&gt;"",K4590=Q4590),"⚠ Origen igual a destino",IF(AND(K4590&lt;&gt;"",ISNA(MATCH(K4590,ctaNombre,0))),"⚠ Destino no registrado",IF(AND(P4590="Pago tarjeta",AE4590&lt;&gt;"Tarjeta de crédito"),"⚠ El destino debe ser tarjeta de crédito",IF(AND(P4590="Gasto",E4590="Depósitos y retiros"),"⚠ Usa tipo Transferencia",IF(AND(P4590="Resultado trading",AD4590&lt;&gt;"Cuenta de trading"),"⚠ Usa una cuenta de trading",IF(AND(G4590&lt;=0,P4590&lt;&gt;"Ajuste",P4590&lt;&gt;"Resultado trading"),"⚠ El monto debe ser positivo","✓")))))))))))))))</f>
        <v/>
      </c>
      <c r="P4590" s="52">
        <f>IF(OR(B4590="",G4590=""),"",IF(C4590="","Gasto",C4590))</f>
        <v/>
      </c>
      <c r="Q4590" s="52">
        <f>IF(P4590="","",IF(J4590&lt;&gt;"",J4590,CuentaPred&amp;""))</f>
        <v/>
      </c>
      <c r="R4590" s="52">
        <f>IF(P4590="","",IF(ISNUMBER(I4590),I4590,TasaUSD))</f>
        <v/>
      </c>
      <c r="S4590" s="53">
        <f>IF(P4590="","",IF(H4590="USD",G4590*R4590,G4590))</f>
        <v/>
      </c>
      <c r="T4590" s="53">
        <f>IF(P4590="","",IF(H4590="USD",G4590,IF(R4590&gt;0,G4590/R4590,0)))</f>
        <v/>
      </c>
      <c r="U4590" s="53">
        <f>IF(P4590="","",IF(P4590="Gasto",S4590,IF(P4590="Reembolso",-S4590,0)))</f>
        <v/>
      </c>
      <c r="V4590" s="53">
        <f>IF(P4590="","",IF(P4590="Ingreso",S4590,0))</f>
        <v/>
      </c>
      <c r="W4590" s="53">
        <f>IF(P4590="","",IF(P4590="Resultado trading",S4590,0))</f>
        <v/>
      </c>
      <c r="X4590" s="52">
        <f>IF(OR(P4590="Gasto",P4590="Reembolso"),IF(M4590&lt;&gt;"",M4590,IFERROR(INDEX(catClasif,MATCH(D4590&amp;"|"&amp;E4590,catClave,0))&amp;"","Variable")),"")</f>
        <v/>
      </c>
      <c r="Y4590" s="52">
        <f>IF(P4590="","",IFERROR(INDEX(catGrupo,MATCH(D4590&amp;"|"&amp;E4590,catClave,0))&amp;"",""))</f>
        <v/>
      </c>
      <c r="Z4590" s="52">
        <f>IF(P4590="","",WEEKDAY(B4590,2))</f>
        <v/>
      </c>
      <c r="AA4590" s="52">
        <f>IF(P4590="","",IF(AND(P4590="Gasto",X4590="Variable",D4590&lt;&gt;catTrading,S4590&gt;0,S4590&lt;=Umbral),1,0))</f>
        <v/>
      </c>
      <c r="AB4590" s="52">
        <f>IF(OR(P4590="",Q4590=""),"",IFERROR(IF(INDEX(ctaVinc,MATCH(Q4590,ctaNombre,0))&amp;""&lt;&gt;"",INDEX(ctaVinc,MATCH(Q4590,ctaNombre,0))&amp;"",Q4590),Q4590))</f>
        <v/>
      </c>
      <c r="AC4590" s="52">
        <f>IF(OR(K4590="",AND(P4590&lt;&gt;"Transferencia",P4590&lt;&gt;"Pago tarjeta")),"",IFERROR(IF(INDEX(ctaVinc,MATCH(K4590,ctaNombre,0))&amp;""&lt;&gt;"",INDEX(ctaVinc,MATCH(K4590,ctaNombre,0))&amp;"",K4590),K4590))</f>
        <v/>
      </c>
      <c r="AD4590" s="52">
        <f>IF(AB4590="","",IFERROR(INDEX(ctaTipo,MATCH(AB4590,ctaNombre,0))&amp;"",""))</f>
        <v/>
      </c>
      <c r="AE4590" s="52">
        <f>IF(AC4590="","",IFERROR(INDEX(ctaTipo,MATCH(AC4590,ctaNombre,0))&amp;"",""))</f>
        <v/>
      </c>
      <c r="AF4590" s="53">
        <f>IF(OR(P4590="",AB4590=""),"",IF(OR(P4590="Gasto",P4590="Transferencia",P4590="Pago tarjeta"),-1,1)*IF(IFERROR(INDEX(ctaMoneda,MATCH(AB4590,ctaNombre,0))&amp;"","DOP")="USD",T4590,S4590))</f>
        <v/>
      </c>
      <c r="AG4590" s="53">
        <f>IF(AC4590="","",IF(IFERROR(INDEX(ctaMoneda,MATCH(AC4590,ctaNombre,0))&amp;"","DOP")="USD",T4590,S4590))</f>
        <v/>
      </c>
      <c r="AH4590" s="53">
        <f>IF(P4590="","",IF(AND(AD4590&lt;&gt;"",COUNTIFS(tcTipo,AD4590,tcLiq,"Sí")&gt;0),IF(OR(P4590="Gasto",P4590="Transferencia",P4590="Pago tarjeta"),-1,1)*S4590,0)+IF(AND(AE4590&lt;&gt;"",COUNTIFS(tcTipo,AE4590,tcLiq,"Sí")&gt;0),S4590,0))</f>
        <v/>
      </c>
      <c r="AI4590" s="52">
        <f>IF(OR(L4590="",P4590=""),"",IF(COUNTIFS(L$6:L4590,L4590,P$6:P4590,"?*")=1,MAX(AI$5:AI4589)+1,""))</f>
        <v/>
      </c>
    </row>
    <row r="4591">
      <c r="B4591" s="47" t="n"/>
      <c r="C4591" s="48" t="n"/>
      <c r="D4591" s="48" t="n"/>
      <c r="E4591" s="48" t="n"/>
      <c r="F4591" s="48" t="n"/>
      <c r="G4591" s="49" t="n"/>
      <c r="H4591" s="48" t="n"/>
      <c r="I4591" s="50" t="n"/>
      <c r="J4591" s="48" t="n"/>
      <c r="K4591" s="48" t="n"/>
      <c r="L4591" s="48" t="n"/>
      <c r="M4591" s="48" t="n"/>
      <c r="N4591" s="48" t="n"/>
      <c r="O4591" s="51">
        <f>IF(AND(B4591="",G4591="",C4591="",D4591="",J4591=""),"",IF(B4591="","⚠ Falta fecha",IF(G4591="","⚠ Falta monto",IF(Q4591="","⚠ Falta cuenta",IF(ISNA(MATCH(Q4591,ctaNombre,0)),"⚠ Cuenta no registrada",IF(AND(OR(P4591="Gasto",P4591="Reembolso"),D4591=""),"⚠ Falta categoría",IF(AND(D4591&lt;&gt;"",E4591&lt;&gt;"",ISNA(MATCH(D4591&amp;"|"&amp;E4591,catClave,0))),"⚠ Subcategoría no corresponde",IF(AND(OR(P4591="Transferencia",P4591="Pago tarjeta"),K4591=""),"⚠ Falta cuenta destino",IF(AND(K4591&lt;&gt;"",P4591&lt;&gt;"Transferencia",P4591&lt;&gt;"Pago tarjeta"),"⚠ Destino solo aplica a transferencias",IF(AND(K4591&lt;&gt;"",K4591=Q4591),"⚠ Origen igual a destino",IF(AND(K4591&lt;&gt;"",ISNA(MATCH(K4591,ctaNombre,0))),"⚠ Destino no registrado",IF(AND(P4591="Pago tarjeta",AE4591&lt;&gt;"Tarjeta de crédito"),"⚠ El destino debe ser tarjeta de crédito",IF(AND(P4591="Gasto",E4591="Depósitos y retiros"),"⚠ Usa tipo Transferencia",IF(AND(P4591="Resultado trading",AD4591&lt;&gt;"Cuenta de trading"),"⚠ Usa una cuenta de trading",IF(AND(G4591&lt;=0,P4591&lt;&gt;"Ajuste",P4591&lt;&gt;"Resultado trading"),"⚠ El monto debe ser positivo","✓")))))))))))))))</f>
        <v/>
      </c>
      <c r="P4591" s="52">
        <f>IF(OR(B4591="",G4591=""),"",IF(C4591="","Gasto",C4591))</f>
        <v/>
      </c>
      <c r="Q4591" s="52">
        <f>IF(P4591="","",IF(J4591&lt;&gt;"",J4591,CuentaPred&amp;""))</f>
        <v/>
      </c>
      <c r="R4591" s="52">
        <f>IF(P4591="","",IF(ISNUMBER(I4591),I4591,TasaUSD))</f>
        <v/>
      </c>
      <c r="S4591" s="53">
        <f>IF(P4591="","",IF(H4591="USD",G4591*R4591,G4591))</f>
        <v/>
      </c>
      <c r="T4591" s="53">
        <f>IF(P4591="","",IF(H4591="USD",G4591,IF(R4591&gt;0,G4591/R4591,0)))</f>
        <v/>
      </c>
      <c r="U4591" s="53">
        <f>IF(P4591="","",IF(P4591="Gasto",S4591,IF(P4591="Reembolso",-S4591,0)))</f>
        <v/>
      </c>
      <c r="V4591" s="53">
        <f>IF(P4591="","",IF(P4591="Ingreso",S4591,0))</f>
        <v/>
      </c>
      <c r="W4591" s="53">
        <f>IF(P4591="","",IF(P4591="Resultado trading",S4591,0))</f>
        <v/>
      </c>
      <c r="X4591" s="52">
        <f>IF(OR(P4591="Gasto",P4591="Reembolso"),IF(M4591&lt;&gt;"",M4591,IFERROR(INDEX(catClasif,MATCH(D4591&amp;"|"&amp;E4591,catClave,0))&amp;"","Variable")),"")</f>
        <v/>
      </c>
      <c r="Y4591" s="52">
        <f>IF(P4591="","",IFERROR(INDEX(catGrupo,MATCH(D4591&amp;"|"&amp;E4591,catClave,0))&amp;"",""))</f>
        <v/>
      </c>
      <c r="Z4591" s="52">
        <f>IF(P4591="","",WEEKDAY(B4591,2))</f>
        <v/>
      </c>
      <c r="AA4591" s="52">
        <f>IF(P4591="","",IF(AND(P4591="Gasto",X4591="Variable",D4591&lt;&gt;catTrading,S4591&gt;0,S4591&lt;=Umbral),1,0))</f>
        <v/>
      </c>
      <c r="AB4591" s="52">
        <f>IF(OR(P4591="",Q4591=""),"",IFERROR(IF(INDEX(ctaVinc,MATCH(Q4591,ctaNombre,0))&amp;""&lt;&gt;"",INDEX(ctaVinc,MATCH(Q4591,ctaNombre,0))&amp;"",Q4591),Q4591))</f>
        <v/>
      </c>
      <c r="AC4591" s="52">
        <f>IF(OR(K4591="",AND(P4591&lt;&gt;"Transferencia",P4591&lt;&gt;"Pago tarjeta")),"",IFERROR(IF(INDEX(ctaVinc,MATCH(K4591,ctaNombre,0))&amp;""&lt;&gt;"",INDEX(ctaVinc,MATCH(K4591,ctaNombre,0))&amp;"",K4591),K4591))</f>
        <v/>
      </c>
      <c r="AD4591" s="52">
        <f>IF(AB4591="","",IFERROR(INDEX(ctaTipo,MATCH(AB4591,ctaNombre,0))&amp;"",""))</f>
        <v/>
      </c>
      <c r="AE4591" s="52">
        <f>IF(AC4591="","",IFERROR(INDEX(ctaTipo,MATCH(AC4591,ctaNombre,0))&amp;"",""))</f>
        <v/>
      </c>
      <c r="AF4591" s="53">
        <f>IF(OR(P4591="",AB4591=""),"",IF(OR(P4591="Gasto",P4591="Transferencia",P4591="Pago tarjeta"),-1,1)*IF(IFERROR(INDEX(ctaMoneda,MATCH(AB4591,ctaNombre,0))&amp;"","DOP")="USD",T4591,S4591))</f>
        <v/>
      </c>
      <c r="AG4591" s="53">
        <f>IF(AC4591="","",IF(IFERROR(INDEX(ctaMoneda,MATCH(AC4591,ctaNombre,0))&amp;"","DOP")="USD",T4591,S4591))</f>
        <v/>
      </c>
      <c r="AH4591" s="53">
        <f>IF(P4591="","",IF(AND(AD4591&lt;&gt;"",COUNTIFS(tcTipo,AD4591,tcLiq,"Sí")&gt;0),IF(OR(P4591="Gasto",P4591="Transferencia",P4591="Pago tarjeta"),-1,1)*S4591,0)+IF(AND(AE4591&lt;&gt;"",COUNTIFS(tcTipo,AE4591,tcLiq,"Sí")&gt;0),S4591,0))</f>
        <v/>
      </c>
      <c r="AI4591" s="52">
        <f>IF(OR(L4591="",P4591=""),"",IF(COUNTIFS(L$6:L4591,L4591,P$6:P4591,"?*")=1,MAX(AI$5:AI4590)+1,""))</f>
        <v/>
      </c>
    </row>
    <row r="4592">
      <c r="B4592" s="47" t="n"/>
      <c r="C4592" s="48" t="n"/>
      <c r="D4592" s="48" t="n"/>
      <c r="E4592" s="48" t="n"/>
      <c r="F4592" s="48" t="n"/>
      <c r="G4592" s="49" t="n"/>
      <c r="H4592" s="48" t="n"/>
      <c r="I4592" s="50" t="n"/>
      <c r="J4592" s="48" t="n"/>
      <c r="K4592" s="48" t="n"/>
      <c r="L4592" s="48" t="n"/>
      <c r="M4592" s="48" t="n"/>
      <c r="N4592" s="48" t="n"/>
      <c r="O4592" s="51">
        <f>IF(AND(B4592="",G4592="",C4592="",D4592="",J4592=""),"",IF(B4592="","⚠ Falta fecha",IF(G4592="","⚠ Falta monto",IF(Q4592="","⚠ Falta cuenta",IF(ISNA(MATCH(Q4592,ctaNombre,0)),"⚠ Cuenta no registrada",IF(AND(OR(P4592="Gasto",P4592="Reembolso"),D4592=""),"⚠ Falta categoría",IF(AND(D4592&lt;&gt;"",E4592&lt;&gt;"",ISNA(MATCH(D4592&amp;"|"&amp;E4592,catClave,0))),"⚠ Subcategoría no corresponde",IF(AND(OR(P4592="Transferencia",P4592="Pago tarjeta"),K4592=""),"⚠ Falta cuenta destino",IF(AND(K4592&lt;&gt;"",P4592&lt;&gt;"Transferencia",P4592&lt;&gt;"Pago tarjeta"),"⚠ Destino solo aplica a transferencias",IF(AND(K4592&lt;&gt;"",K4592=Q4592),"⚠ Origen igual a destino",IF(AND(K4592&lt;&gt;"",ISNA(MATCH(K4592,ctaNombre,0))),"⚠ Destino no registrado",IF(AND(P4592="Pago tarjeta",AE4592&lt;&gt;"Tarjeta de crédito"),"⚠ El destino debe ser tarjeta de crédito",IF(AND(P4592="Gasto",E4592="Depósitos y retiros"),"⚠ Usa tipo Transferencia",IF(AND(P4592="Resultado trading",AD4592&lt;&gt;"Cuenta de trading"),"⚠ Usa una cuenta de trading",IF(AND(G4592&lt;=0,P4592&lt;&gt;"Ajuste",P4592&lt;&gt;"Resultado trading"),"⚠ El monto debe ser positivo","✓")))))))))))))))</f>
        <v/>
      </c>
      <c r="P4592" s="52">
        <f>IF(OR(B4592="",G4592=""),"",IF(C4592="","Gasto",C4592))</f>
        <v/>
      </c>
      <c r="Q4592" s="52">
        <f>IF(P4592="","",IF(J4592&lt;&gt;"",J4592,CuentaPred&amp;""))</f>
        <v/>
      </c>
      <c r="R4592" s="52">
        <f>IF(P4592="","",IF(ISNUMBER(I4592),I4592,TasaUSD))</f>
        <v/>
      </c>
      <c r="S4592" s="53">
        <f>IF(P4592="","",IF(H4592="USD",G4592*R4592,G4592))</f>
        <v/>
      </c>
      <c r="T4592" s="53">
        <f>IF(P4592="","",IF(H4592="USD",G4592,IF(R4592&gt;0,G4592/R4592,0)))</f>
        <v/>
      </c>
      <c r="U4592" s="53">
        <f>IF(P4592="","",IF(P4592="Gasto",S4592,IF(P4592="Reembolso",-S4592,0)))</f>
        <v/>
      </c>
      <c r="V4592" s="53">
        <f>IF(P4592="","",IF(P4592="Ingreso",S4592,0))</f>
        <v/>
      </c>
      <c r="W4592" s="53">
        <f>IF(P4592="","",IF(P4592="Resultado trading",S4592,0))</f>
        <v/>
      </c>
      <c r="X4592" s="52">
        <f>IF(OR(P4592="Gasto",P4592="Reembolso"),IF(M4592&lt;&gt;"",M4592,IFERROR(INDEX(catClasif,MATCH(D4592&amp;"|"&amp;E4592,catClave,0))&amp;"","Variable")),"")</f>
        <v/>
      </c>
      <c r="Y4592" s="52">
        <f>IF(P4592="","",IFERROR(INDEX(catGrupo,MATCH(D4592&amp;"|"&amp;E4592,catClave,0))&amp;"",""))</f>
        <v/>
      </c>
      <c r="Z4592" s="52">
        <f>IF(P4592="","",WEEKDAY(B4592,2))</f>
        <v/>
      </c>
      <c r="AA4592" s="52">
        <f>IF(P4592="","",IF(AND(P4592="Gasto",X4592="Variable",D4592&lt;&gt;catTrading,S4592&gt;0,S4592&lt;=Umbral),1,0))</f>
        <v/>
      </c>
      <c r="AB4592" s="52">
        <f>IF(OR(P4592="",Q4592=""),"",IFERROR(IF(INDEX(ctaVinc,MATCH(Q4592,ctaNombre,0))&amp;""&lt;&gt;"",INDEX(ctaVinc,MATCH(Q4592,ctaNombre,0))&amp;"",Q4592),Q4592))</f>
        <v/>
      </c>
      <c r="AC4592" s="52">
        <f>IF(OR(K4592="",AND(P4592&lt;&gt;"Transferencia",P4592&lt;&gt;"Pago tarjeta")),"",IFERROR(IF(INDEX(ctaVinc,MATCH(K4592,ctaNombre,0))&amp;""&lt;&gt;"",INDEX(ctaVinc,MATCH(K4592,ctaNombre,0))&amp;"",K4592),K4592))</f>
        <v/>
      </c>
      <c r="AD4592" s="52">
        <f>IF(AB4592="","",IFERROR(INDEX(ctaTipo,MATCH(AB4592,ctaNombre,0))&amp;"",""))</f>
        <v/>
      </c>
      <c r="AE4592" s="52">
        <f>IF(AC4592="","",IFERROR(INDEX(ctaTipo,MATCH(AC4592,ctaNombre,0))&amp;"",""))</f>
        <v/>
      </c>
      <c r="AF4592" s="53">
        <f>IF(OR(P4592="",AB4592=""),"",IF(OR(P4592="Gasto",P4592="Transferencia",P4592="Pago tarjeta"),-1,1)*IF(IFERROR(INDEX(ctaMoneda,MATCH(AB4592,ctaNombre,0))&amp;"","DOP")="USD",T4592,S4592))</f>
        <v/>
      </c>
      <c r="AG4592" s="53">
        <f>IF(AC4592="","",IF(IFERROR(INDEX(ctaMoneda,MATCH(AC4592,ctaNombre,0))&amp;"","DOP")="USD",T4592,S4592))</f>
        <v/>
      </c>
      <c r="AH4592" s="53">
        <f>IF(P4592="","",IF(AND(AD4592&lt;&gt;"",COUNTIFS(tcTipo,AD4592,tcLiq,"Sí")&gt;0),IF(OR(P4592="Gasto",P4592="Transferencia",P4592="Pago tarjeta"),-1,1)*S4592,0)+IF(AND(AE4592&lt;&gt;"",COUNTIFS(tcTipo,AE4592,tcLiq,"Sí")&gt;0),S4592,0))</f>
        <v/>
      </c>
      <c r="AI4592" s="52">
        <f>IF(OR(L4592="",P4592=""),"",IF(COUNTIFS(L$6:L4592,L4592,P$6:P4592,"?*")=1,MAX(AI$5:AI4591)+1,""))</f>
        <v/>
      </c>
    </row>
    <row r="4593">
      <c r="B4593" s="47" t="n"/>
      <c r="C4593" s="48" t="n"/>
      <c r="D4593" s="48" t="n"/>
      <c r="E4593" s="48" t="n"/>
      <c r="F4593" s="48" t="n"/>
      <c r="G4593" s="49" t="n"/>
      <c r="H4593" s="48" t="n"/>
      <c r="I4593" s="50" t="n"/>
      <c r="J4593" s="48" t="n"/>
      <c r="K4593" s="48" t="n"/>
      <c r="L4593" s="48" t="n"/>
      <c r="M4593" s="48" t="n"/>
      <c r="N4593" s="48" t="n"/>
      <c r="O4593" s="51">
        <f>IF(AND(B4593="",G4593="",C4593="",D4593="",J4593=""),"",IF(B4593="","⚠ Falta fecha",IF(G4593="","⚠ Falta monto",IF(Q4593="","⚠ Falta cuenta",IF(ISNA(MATCH(Q4593,ctaNombre,0)),"⚠ Cuenta no registrada",IF(AND(OR(P4593="Gasto",P4593="Reembolso"),D4593=""),"⚠ Falta categoría",IF(AND(D4593&lt;&gt;"",E4593&lt;&gt;"",ISNA(MATCH(D4593&amp;"|"&amp;E4593,catClave,0))),"⚠ Subcategoría no corresponde",IF(AND(OR(P4593="Transferencia",P4593="Pago tarjeta"),K4593=""),"⚠ Falta cuenta destino",IF(AND(K4593&lt;&gt;"",P4593&lt;&gt;"Transferencia",P4593&lt;&gt;"Pago tarjeta"),"⚠ Destino solo aplica a transferencias",IF(AND(K4593&lt;&gt;"",K4593=Q4593),"⚠ Origen igual a destino",IF(AND(K4593&lt;&gt;"",ISNA(MATCH(K4593,ctaNombre,0))),"⚠ Destino no registrado",IF(AND(P4593="Pago tarjeta",AE4593&lt;&gt;"Tarjeta de crédito"),"⚠ El destino debe ser tarjeta de crédito",IF(AND(P4593="Gasto",E4593="Depósitos y retiros"),"⚠ Usa tipo Transferencia",IF(AND(P4593="Resultado trading",AD4593&lt;&gt;"Cuenta de trading"),"⚠ Usa una cuenta de trading",IF(AND(G4593&lt;=0,P4593&lt;&gt;"Ajuste",P4593&lt;&gt;"Resultado trading"),"⚠ El monto debe ser positivo","✓")))))))))))))))</f>
        <v/>
      </c>
      <c r="P4593" s="52">
        <f>IF(OR(B4593="",G4593=""),"",IF(C4593="","Gasto",C4593))</f>
        <v/>
      </c>
      <c r="Q4593" s="52">
        <f>IF(P4593="","",IF(J4593&lt;&gt;"",J4593,CuentaPred&amp;""))</f>
        <v/>
      </c>
      <c r="R4593" s="52">
        <f>IF(P4593="","",IF(ISNUMBER(I4593),I4593,TasaUSD))</f>
        <v/>
      </c>
      <c r="S4593" s="53">
        <f>IF(P4593="","",IF(H4593="USD",G4593*R4593,G4593))</f>
        <v/>
      </c>
      <c r="T4593" s="53">
        <f>IF(P4593="","",IF(H4593="USD",G4593,IF(R4593&gt;0,G4593/R4593,0)))</f>
        <v/>
      </c>
      <c r="U4593" s="53">
        <f>IF(P4593="","",IF(P4593="Gasto",S4593,IF(P4593="Reembolso",-S4593,0)))</f>
        <v/>
      </c>
      <c r="V4593" s="53">
        <f>IF(P4593="","",IF(P4593="Ingreso",S4593,0))</f>
        <v/>
      </c>
      <c r="W4593" s="53">
        <f>IF(P4593="","",IF(P4593="Resultado trading",S4593,0))</f>
        <v/>
      </c>
      <c r="X4593" s="52">
        <f>IF(OR(P4593="Gasto",P4593="Reembolso"),IF(M4593&lt;&gt;"",M4593,IFERROR(INDEX(catClasif,MATCH(D4593&amp;"|"&amp;E4593,catClave,0))&amp;"","Variable")),"")</f>
        <v/>
      </c>
      <c r="Y4593" s="52">
        <f>IF(P4593="","",IFERROR(INDEX(catGrupo,MATCH(D4593&amp;"|"&amp;E4593,catClave,0))&amp;"",""))</f>
        <v/>
      </c>
      <c r="Z4593" s="52">
        <f>IF(P4593="","",WEEKDAY(B4593,2))</f>
        <v/>
      </c>
      <c r="AA4593" s="52">
        <f>IF(P4593="","",IF(AND(P4593="Gasto",X4593="Variable",D4593&lt;&gt;catTrading,S4593&gt;0,S4593&lt;=Umbral),1,0))</f>
        <v/>
      </c>
      <c r="AB4593" s="52">
        <f>IF(OR(P4593="",Q4593=""),"",IFERROR(IF(INDEX(ctaVinc,MATCH(Q4593,ctaNombre,0))&amp;""&lt;&gt;"",INDEX(ctaVinc,MATCH(Q4593,ctaNombre,0))&amp;"",Q4593),Q4593))</f>
        <v/>
      </c>
      <c r="AC4593" s="52">
        <f>IF(OR(K4593="",AND(P4593&lt;&gt;"Transferencia",P4593&lt;&gt;"Pago tarjeta")),"",IFERROR(IF(INDEX(ctaVinc,MATCH(K4593,ctaNombre,0))&amp;""&lt;&gt;"",INDEX(ctaVinc,MATCH(K4593,ctaNombre,0))&amp;"",K4593),K4593))</f>
        <v/>
      </c>
      <c r="AD4593" s="52">
        <f>IF(AB4593="","",IFERROR(INDEX(ctaTipo,MATCH(AB4593,ctaNombre,0))&amp;"",""))</f>
        <v/>
      </c>
      <c r="AE4593" s="52">
        <f>IF(AC4593="","",IFERROR(INDEX(ctaTipo,MATCH(AC4593,ctaNombre,0))&amp;"",""))</f>
        <v/>
      </c>
      <c r="AF4593" s="53">
        <f>IF(OR(P4593="",AB4593=""),"",IF(OR(P4593="Gasto",P4593="Transferencia",P4593="Pago tarjeta"),-1,1)*IF(IFERROR(INDEX(ctaMoneda,MATCH(AB4593,ctaNombre,0))&amp;"","DOP")="USD",T4593,S4593))</f>
        <v/>
      </c>
      <c r="AG4593" s="53">
        <f>IF(AC4593="","",IF(IFERROR(INDEX(ctaMoneda,MATCH(AC4593,ctaNombre,0))&amp;"","DOP")="USD",T4593,S4593))</f>
        <v/>
      </c>
      <c r="AH4593" s="53">
        <f>IF(P4593="","",IF(AND(AD4593&lt;&gt;"",COUNTIFS(tcTipo,AD4593,tcLiq,"Sí")&gt;0),IF(OR(P4593="Gasto",P4593="Transferencia",P4593="Pago tarjeta"),-1,1)*S4593,0)+IF(AND(AE4593&lt;&gt;"",COUNTIFS(tcTipo,AE4593,tcLiq,"Sí")&gt;0),S4593,0))</f>
        <v/>
      </c>
      <c r="AI4593" s="52">
        <f>IF(OR(L4593="",P4593=""),"",IF(COUNTIFS(L$6:L4593,L4593,P$6:P4593,"?*")=1,MAX(AI$5:AI4592)+1,""))</f>
        <v/>
      </c>
    </row>
    <row r="4594">
      <c r="B4594" s="47" t="n"/>
      <c r="C4594" s="48" t="n"/>
      <c r="D4594" s="48" t="n"/>
      <c r="E4594" s="48" t="n"/>
      <c r="F4594" s="48" t="n"/>
      <c r="G4594" s="49" t="n"/>
      <c r="H4594" s="48" t="n"/>
      <c r="I4594" s="50" t="n"/>
      <c r="J4594" s="48" t="n"/>
      <c r="K4594" s="48" t="n"/>
      <c r="L4594" s="48" t="n"/>
      <c r="M4594" s="48" t="n"/>
      <c r="N4594" s="48" t="n"/>
      <c r="O4594" s="51">
        <f>IF(AND(B4594="",G4594="",C4594="",D4594="",J4594=""),"",IF(B4594="","⚠ Falta fecha",IF(G4594="","⚠ Falta monto",IF(Q4594="","⚠ Falta cuenta",IF(ISNA(MATCH(Q4594,ctaNombre,0)),"⚠ Cuenta no registrada",IF(AND(OR(P4594="Gasto",P4594="Reembolso"),D4594=""),"⚠ Falta categoría",IF(AND(D4594&lt;&gt;"",E4594&lt;&gt;"",ISNA(MATCH(D4594&amp;"|"&amp;E4594,catClave,0))),"⚠ Subcategoría no corresponde",IF(AND(OR(P4594="Transferencia",P4594="Pago tarjeta"),K4594=""),"⚠ Falta cuenta destino",IF(AND(K4594&lt;&gt;"",P4594&lt;&gt;"Transferencia",P4594&lt;&gt;"Pago tarjeta"),"⚠ Destino solo aplica a transferencias",IF(AND(K4594&lt;&gt;"",K4594=Q4594),"⚠ Origen igual a destino",IF(AND(K4594&lt;&gt;"",ISNA(MATCH(K4594,ctaNombre,0))),"⚠ Destino no registrado",IF(AND(P4594="Pago tarjeta",AE4594&lt;&gt;"Tarjeta de crédito"),"⚠ El destino debe ser tarjeta de crédito",IF(AND(P4594="Gasto",E4594="Depósitos y retiros"),"⚠ Usa tipo Transferencia",IF(AND(P4594="Resultado trading",AD4594&lt;&gt;"Cuenta de trading"),"⚠ Usa una cuenta de trading",IF(AND(G4594&lt;=0,P4594&lt;&gt;"Ajuste",P4594&lt;&gt;"Resultado trading"),"⚠ El monto debe ser positivo","✓")))))))))))))))</f>
        <v/>
      </c>
      <c r="P4594" s="52">
        <f>IF(OR(B4594="",G4594=""),"",IF(C4594="","Gasto",C4594))</f>
        <v/>
      </c>
      <c r="Q4594" s="52">
        <f>IF(P4594="","",IF(J4594&lt;&gt;"",J4594,CuentaPred&amp;""))</f>
        <v/>
      </c>
      <c r="R4594" s="52">
        <f>IF(P4594="","",IF(ISNUMBER(I4594),I4594,TasaUSD))</f>
        <v/>
      </c>
      <c r="S4594" s="53">
        <f>IF(P4594="","",IF(H4594="USD",G4594*R4594,G4594))</f>
        <v/>
      </c>
      <c r="T4594" s="53">
        <f>IF(P4594="","",IF(H4594="USD",G4594,IF(R4594&gt;0,G4594/R4594,0)))</f>
        <v/>
      </c>
      <c r="U4594" s="53">
        <f>IF(P4594="","",IF(P4594="Gasto",S4594,IF(P4594="Reembolso",-S4594,0)))</f>
        <v/>
      </c>
      <c r="V4594" s="53">
        <f>IF(P4594="","",IF(P4594="Ingreso",S4594,0))</f>
        <v/>
      </c>
      <c r="W4594" s="53">
        <f>IF(P4594="","",IF(P4594="Resultado trading",S4594,0))</f>
        <v/>
      </c>
      <c r="X4594" s="52">
        <f>IF(OR(P4594="Gasto",P4594="Reembolso"),IF(M4594&lt;&gt;"",M4594,IFERROR(INDEX(catClasif,MATCH(D4594&amp;"|"&amp;E4594,catClave,0))&amp;"","Variable")),"")</f>
        <v/>
      </c>
      <c r="Y4594" s="52">
        <f>IF(P4594="","",IFERROR(INDEX(catGrupo,MATCH(D4594&amp;"|"&amp;E4594,catClave,0))&amp;"",""))</f>
        <v/>
      </c>
      <c r="Z4594" s="52">
        <f>IF(P4594="","",WEEKDAY(B4594,2))</f>
        <v/>
      </c>
      <c r="AA4594" s="52">
        <f>IF(P4594="","",IF(AND(P4594="Gasto",X4594="Variable",D4594&lt;&gt;catTrading,S4594&gt;0,S4594&lt;=Umbral),1,0))</f>
        <v/>
      </c>
      <c r="AB4594" s="52">
        <f>IF(OR(P4594="",Q4594=""),"",IFERROR(IF(INDEX(ctaVinc,MATCH(Q4594,ctaNombre,0))&amp;""&lt;&gt;"",INDEX(ctaVinc,MATCH(Q4594,ctaNombre,0))&amp;"",Q4594),Q4594))</f>
        <v/>
      </c>
      <c r="AC4594" s="52">
        <f>IF(OR(K4594="",AND(P4594&lt;&gt;"Transferencia",P4594&lt;&gt;"Pago tarjeta")),"",IFERROR(IF(INDEX(ctaVinc,MATCH(K4594,ctaNombre,0))&amp;""&lt;&gt;"",INDEX(ctaVinc,MATCH(K4594,ctaNombre,0))&amp;"",K4594),K4594))</f>
        <v/>
      </c>
      <c r="AD4594" s="52">
        <f>IF(AB4594="","",IFERROR(INDEX(ctaTipo,MATCH(AB4594,ctaNombre,0))&amp;"",""))</f>
        <v/>
      </c>
      <c r="AE4594" s="52">
        <f>IF(AC4594="","",IFERROR(INDEX(ctaTipo,MATCH(AC4594,ctaNombre,0))&amp;"",""))</f>
        <v/>
      </c>
      <c r="AF4594" s="53">
        <f>IF(OR(P4594="",AB4594=""),"",IF(OR(P4594="Gasto",P4594="Transferencia",P4594="Pago tarjeta"),-1,1)*IF(IFERROR(INDEX(ctaMoneda,MATCH(AB4594,ctaNombre,0))&amp;"","DOP")="USD",T4594,S4594))</f>
        <v/>
      </c>
      <c r="AG4594" s="53">
        <f>IF(AC4594="","",IF(IFERROR(INDEX(ctaMoneda,MATCH(AC4594,ctaNombre,0))&amp;"","DOP")="USD",T4594,S4594))</f>
        <v/>
      </c>
      <c r="AH4594" s="53">
        <f>IF(P4594="","",IF(AND(AD4594&lt;&gt;"",COUNTIFS(tcTipo,AD4594,tcLiq,"Sí")&gt;0),IF(OR(P4594="Gasto",P4594="Transferencia",P4594="Pago tarjeta"),-1,1)*S4594,0)+IF(AND(AE4594&lt;&gt;"",COUNTIFS(tcTipo,AE4594,tcLiq,"Sí")&gt;0),S4594,0))</f>
        <v/>
      </c>
      <c r="AI4594" s="52">
        <f>IF(OR(L4594="",P4594=""),"",IF(COUNTIFS(L$6:L4594,L4594,P$6:P4594,"?*")=1,MAX(AI$5:AI4593)+1,""))</f>
        <v/>
      </c>
    </row>
    <row r="4595">
      <c r="B4595" s="47" t="n"/>
      <c r="C4595" s="48" t="n"/>
      <c r="D4595" s="48" t="n"/>
      <c r="E4595" s="48" t="n"/>
      <c r="F4595" s="48" t="n"/>
      <c r="G4595" s="49" t="n"/>
      <c r="H4595" s="48" t="n"/>
      <c r="I4595" s="50" t="n"/>
      <c r="J4595" s="48" t="n"/>
      <c r="K4595" s="48" t="n"/>
      <c r="L4595" s="48" t="n"/>
      <c r="M4595" s="48" t="n"/>
      <c r="N4595" s="48" t="n"/>
      <c r="O4595" s="51">
        <f>IF(AND(B4595="",G4595="",C4595="",D4595="",J4595=""),"",IF(B4595="","⚠ Falta fecha",IF(G4595="","⚠ Falta monto",IF(Q4595="","⚠ Falta cuenta",IF(ISNA(MATCH(Q4595,ctaNombre,0)),"⚠ Cuenta no registrada",IF(AND(OR(P4595="Gasto",P4595="Reembolso"),D4595=""),"⚠ Falta categoría",IF(AND(D4595&lt;&gt;"",E4595&lt;&gt;"",ISNA(MATCH(D4595&amp;"|"&amp;E4595,catClave,0))),"⚠ Subcategoría no corresponde",IF(AND(OR(P4595="Transferencia",P4595="Pago tarjeta"),K4595=""),"⚠ Falta cuenta destino",IF(AND(K4595&lt;&gt;"",P4595&lt;&gt;"Transferencia",P4595&lt;&gt;"Pago tarjeta"),"⚠ Destino solo aplica a transferencias",IF(AND(K4595&lt;&gt;"",K4595=Q4595),"⚠ Origen igual a destino",IF(AND(K4595&lt;&gt;"",ISNA(MATCH(K4595,ctaNombre,0))),"⚠ Destino no registrado",IF(AND(P4595="Pago tarjeta",AE4595&lt;&gt;"Tarjeta de crédito"),"⚠ El destino debe ser tarjeta de crédito",IF(AND(P4595="Gasto",E4595="Depósitos y retiros"),"⚠ Usa tipo Transferencia",IF(AND(P4595="Resultado trading",AD4595&lt;&gt;"Cuenta de trading"),"⚠ Usa una cuenta de trading",IF(AND(G4595&lt;=0,P4595&lt;&gt;"Ajuste",P4595&lt;&gt;"Resultado trading"),"⚠ El monto debe ser positivo","✓")))))))))))))))</f>
        <v/>
      </c>
      <c r="P4595" s="52">
        <f>IF(OR(B4595="",G4595=""),"",IF(C4595="","Gasto",C4595))</f>
        <v/>
      </c>
      <c r="Q4595" s="52">
        <f>IF(P4595="","",IF(J4595&lt;&gt;"",J4595,CuentaPred&amp;""))</f>
        <v/>
      </c>
      <c r="R4595" s="52">
        <f>IF(P4595="","",IF(ISNUMBER(I4595),I4595,TasaUSD))</f>
        <v/>
      </c>
      <c r="S4595" s="53">
        <f>IF(P4595="","",IF(H4595="USD",G4595*R4595,G4595))</f>
        <v/>
      </c>
      <c r="T4595" s="53">
        <f>IF(P4595="","",IF(H4595="USD",G4595,IF(R4595&gt;0,G4595/R4595,0)))</f>
        <v/>
      </c>
      <c r="U4595" s="53">
        <f>IF(P4595="","",IF(P4595="Gasto",S4595,IF(P4595="Reembolso",-S4595,0)))</f>
        <v/>
      </c>
      <c r="V4595" s="53">
        <f>IF(P4595="","",IF(P4595="Ingreso",S4595,0))</f>
        <v/>
      </c>
      <c r="W4595" s="53">
        <f>IF(P4595="","",IF(P4595="Resultado trading",S4595,0))</f>
        <v/>
      </c>
      <c r="X4595" s="52">
        <f>IF(OR(P4595="Gasto",P4595="Reembolso"),IF(M4595&lt;&gt;"",M4595,IFERROR(INDEX(catClasif,MATCH(D4595&amp;"|"&amp;E4595,catClave,0))&amp;"","Variable")),"")</f>
        <v/>
      </c>
      <c r="Y4595" s="52">
        <f>IF(P4595="","",IFERROR(INDEX(catGrupo,MATCH(D4595&amp;"|"&amp;E4595,catClave,0))&amp;"",""))</f>
        <v/>
      </c>
      <c r="Z4595" s="52">
        <f>IF(P4595="","",WEEKDAY(B4595,2))</f>
        <v/>
      </c>
      <c r="AA4595" s="52">
        <f>IF(P4595="","",IF(AND(P4595="Gasto",X4595="Variable",D4595&lt;&gt;catTrading,S4595&gt;0,S4595&lt;=Umbral),1,0))</f>
        <v/>
      </c>
      <c r="AB4595" s="52">
        <f>IF(OR(P4595="",Q4595=""),"",IFERROR(IF(INDEX(ctaVinc,MATCH(Q4595,ctaNombre,0))&amp;""&lt;&gt;"",INDEX(ctaVinc,MATCH(Q4595,ctaNombre,0))&amp;"",Q4595),Q4595))</f>
        <v/>
      </c>
      <c r="AC4595" s="52">
        <f>IF(OR(K4595="",AND(P4595&lt;&gt;"Transferencia",P4595&lt;&gt;"Pago tarjeta")),"",IFERROR(IF(INDEX(ctaVinc,MATCH(K4595,ctaNombre,0))&amp;""&lt;&gt;"",INDEX(ctaVinc,MATCH(K4595,ctaNombre,0))&amp;"",K4595),K4595))</f>
        <v/>
      </c>
      <c r="AD4595" s="52">
        <f>IF(AB4595="","",IFERROR(INDEX(ctaTipo,MATCH(AB4595,ctaNombre,0))&amp;"",""))</f>
        <v/>
      </c>
      <c r="AE4595" s="52">
        <f>IF(AC4595="","",IFERROR(INDEX(ctaTipo,MATCH(AC4595,ctaNombre,0))&amp;"",""))</f>
        <v/>
      </c>
      <c r="AF4595" s="53">
        <f>IF(OR(P4595="",AB4595=""),"",IF(OR(P4595="Gasto",P4595="Transferencia",P4595="Pago tarjeta"),-1,1)*IF(IFERROR(INDEX(ctaMoneda,MATCH(AB4595,ctaNombre,0))&amp;"","DOP")="USD",T4595,S4595))</f>
        <v/>
      </c>
      <c r="AG4595" s="53">
        <f>IF(AC4595="","",IF(IFERROR(INDEX(ctaMoneda,MATCH(AC4595,ctaNombre,0))&amp;"","DOP")="USD",T4595,S4595))</f>
        <v/>
      </c>
      <c r="AH4595" s="53">
        <f>IF(P4595="","",IF(AND(AD4595&lt;&gt;"",COUNTIFS(tcTipo,AD4595,tcLiq,"Sí")&gt;0),IF(OR(P4595="Gasto",P4595="Transferencia",P4595="Pago tarjeta"),-1,1)*S4595,0)+IF(AND(AE4595&lt;&gt;"",COUNTIFS(tcTipo,AE4595,tcLiq,"Sí")&gt;0),S4595,0))</f>
        <v/>
      </c>
      <c r="AI4595" s="52">
        <f>IF(OR(L4595="",P4595=""),"",IF(COUNTIFS(L$6:L4595,L4595,P$6:P4595,"?*")=1,MAX(AI$5:AI4594)+1,""))</f>
        <v/>
      </c>
    </row>
    <row r="4596">
      <c r="B4596" s="47" t="n"/>
      <c r="C4596" s="48" t="n"/>
      <c r="D4596" s="48" t="n"/>
      <c r="E4596" s="48" t="n"/>
      <c r="F4596" s="48" t="n"/>
      <c r="G4596" s="49" t="n"/>
      <c r="H4596" s="48" t="n"/>
      <c r="I4596" s="50" t="n"/>
      <c r="J4596" s="48" t="n"/>
      <c r="K4596" s="48" t="n"/>
      <c r="L4596" s="48" t="n"/>
      <c r="M4596" s="48" t="n"/>
      <c r="N4596" s="48" t="n"/>
      <c r="O4596" s="51">
        <f>IF(AND(B4596="",G4596="",C4596="",D4596="",J4596=""),"",IF(B4596="","⚠ Falta fecha",IF(G4596="","⚠ Falta monto",IF(Q4596="","⚠ Falta cuenta",IF(ISNA(MATCH(Q4596,ctaNombre,0)),"⚠ Cuenta no registrada",IF(AND(OR(P4596="Gasto",P4596="Reembolso"),D4596=""),"⚠ Falta categoría",IF(AND(D4596&lt;&gt;"",E4596&lt;&gt;"",ISNA(MATCH(D4596&amp;"|"&amp;E4596,catClave,0))),"⚠ Subcategoría no corresponde",IF(AND(OR(P4596="Transferencia",P4596="Pago tarjeta"),K4596=""),"⚠ Falta cuenta destino",IF(AND(K4596&lt;&gt;"",P4596&lt;&gt;"Transferencia",P4596&lt;&gt;"Pago tarjeta"),"⚠ Destino solo aplica a transferencias",IF(AND(K4596&lt;&gt;"",K4596=Q4596),"⚠ Origen igual a destino",IF(AND(K4596&lt;&gt;"",ISNA(MATCH(K4596,ctaNombre,0))),"⚠ Destino no registrado",IF(AND(P4596="Pago tarjeta",AE4596&lt;&gt;"Tarjeta de crédito"),"⚠ El destino debe ser tarjeta de crédito",IF(AND(P4596="Gasto",E4596="Depósitos y retiros"),"⚠ Usa tipo Transferencia",IF(AND(P4596="Resultado trading",AD4596&lt;&gt;"Cuenta de trading"),"⚠ Usa una cuenta de trading",IF(AND(G4596&lt;=0,P4596&lt;&gt;"Ajuste",P4596&lt;&gt;"Resultado trading"),"⚠ El monto debe ser positivo","✓")))))))))))))))</f>
        <v/>
      </c>
      <c r="P4596" s="52">
        <f>IF(OR(B4596="",G4596=""),"",IF(C4596="","Gasto",C4596))</f>
        <v/>
      </c>
      <c r="Q4596" s="52">
        <f>IF(P4596="","",IF(J4596&lt;&gt;"",J4596,CuentaPred&amp;""))</f>
        <v/>
      </c>
      <c r="R4596" s="52">
        <f>IF(P4596="","",IF(ISNUMBER(I4596),I4596,TasaUSD))</f>
        <v/>
      </c>
      <c r="S4596" s="53">
        <f>IF(P4596="","",IF(H4596="USD",G4596*R4596,G4596))</f>
        <v/>
      </c>
      <c r="T4596" s="53">
        <f>IF(P4596="","",IF(H4596="USD",G4596,IF(R4596&gt;0,G4596/R4596,0)))</f>
        <v/>
      </c>
      <c r="U4596" s="53">
        <f>IF(P4596="","",IF(P4596="Gasto",S4596,IF(P4596="Reembolso",-S4596,0)))</f>
        <v/>
      </c>
      <c r="V4596" s="53">
        <f>IF(P4596="","",IF(P4596="Ingreso",S4596,0))</f>
        <v/>
      </c>
      <c r="W4596" s="53">
        <f>IF(P4596="","",IF(P4596="Resultado trading",S4596,0))</f>
        <v/>
      </c>
      <c r="X4596" s="52">
        <f>IF(OR(P4596="Gasto",P4596="Reembolso"),IF(M4596&lt;&gt;"",M4596,IFERROR(INDEX(catClasif,MATCH(D4596&amp;"|"&amp;E4596,catClave,0))&amp;"","Variable")),"")</f>
        <v/>
      </c>
      <c r="Y4596" s="52">
        <f>IF(P4596="","",IFERROR(INDEX(catGrupo,MATCH(D4596&amp;"|"&amp;E4596,catClave,0))&amp;"",""))</f>
        <v/>
      </c>
      <c r="Z4596" s="52">
        <f>IF(P4596="","",WEEKDAY(B4596,2))</f>
        <v/>
      </c>
      <c r="AA4596" s="52">
        <f>IF(P4596="","",IF(AND(P4596="Gasto",X4596="Variable",D4596&lt;&gt;catTrading,S4596&gt;0,S4596&lt;=Umbral),1,0))</f>
        <v/>
      </c>
      <c r="AB4596" s="52">
        <f>IF(OR(P4596="",Q4596=""),"",IFERROR(IF(INDEX(ctaVinc,MATCH(Q4596,ctaNombre,0))&amp;""&lt;&gt;"",INDEX(ctaVinc,MATCH(Q4596,ctaNombre,0))&amp;"",Q4596),Q4596))</f>
        <v/>
      </c>
      <c r="AC4596" s="52">
        <f>IF(OR(K4596="",AND(P4596&lt;&gt;"Transferencia",P4596&lt;&gt;"Pago tarjeta")),"",IFERROR(IF(INDEX(ctaVinc,MATCH(K4596,ctaNombre,0))&amp;""&lt;&gt;"",INDEX(ctaVinc,MATCH(K4596,ctaNombre,0))&amp;"",K4596),K4596))</f>
        <v/>
      </c>
      <c r="AD4596" s="52">
        <f>IF(AB4596="","",IFERROR(INDEX(ctaTipo,MATCH(AB4596,ctaNombre,0))&amp;"",""))</f>
        <v/>
      </c>
      <c r="AE4596" s="52">
        <f>IF(AC4596="","",IFERROR(INDEX(ctaTipo,MATCH(AC4596,ctaNombre,0))&amp;"",""))</f>
        <v/>
      </c>
      <c r="AF4596" s="53">
        <f>IF(OR(P4596="",AB4596=""),"",IF(OR(P4596="Gasto",P4596="Transferencia",P4596="Pago tarjeta"),-1,1)*IF(IFERROR(INDEX(ctaMoneda,MATCH(AB4596,ctaNombre,0))&amp;"","DOP")="USD",T4596,S4596))</f>
        <v/>
      </c>
      <c r="AG4596" s="53">
        <f>IF(AC4596="","",IF(IFERROR(INDEX(ctaMoneda,MATCH(AC4596,ctaNombre,0))&amp;"","DOP")="USD",T4596,S4596))</f>
        <v/>
      </c>
      <c r="AH4596" s="53">
        <f>IF(P4596="","",IF(AND(AD4596&lt;&gt;"",COUNTIFS(tcTipo,AD4596,tcLiq,"Sí")&gt;0),IF(OR(P4596="Gasto",P4596="Transferencia",P4596="Pago tarjeta"),-1,1)*S4596,0)+IF(AND(AE4596&lt;&gt;"",COUNTIFS(tcTipo,AE4596,tcLiq,"Sí")&gt;0),S4596,0))</f>
        <v/>
      </c>
      <c r="AI4596" s="52">
        <f>IF(OR(L4596="",P4596=""),"",IF(COUNTIFS(L$6:L4596,L4596,P$6:P4596,"?*")=1,MAX(AI$5:AI4595)+1,""))</f>
        <v/>
      </c>
    </row>
    <row r="4597">
      <c r="B4597" s="47" t="n"/>
      <c r="C4597" s="48" t="n"/>
      <c r="D4597" s="48" t="n"/>
      <c r="E4597" s="48" t="n"/>
      <c r="F4597" s="48" t="n"/>
      <c r="G4597" s="49" t="n"/>
      <c r="H4597" s="48" t="n"/>
      <c r="I4597" s="50" t="n"/>
      <c r="J4597" s="48" t="n"/>
      <c r="K4597" s="48" t="n"/>
      <c r="L4597" s="48" t="n"/>
      <c r="M4597" s="48" t="n"/>
      <c r="N4597" s="48" t="n"/>
      <c r="O4597" s="51">
        <f>IF(AND(B4597="",G4597="",C4597="",D4597="",J4597=""),"",IF(B4597="","⚠ Falta fecha",IF(G4597="","⚠ Falta monto",IF(Q4597="","⚠ Falta cuenta",IF(ISNA(MATCH(Q4597,ctaNombre,0)),"⚠ Cuenta no registrada",IF(AND(OR(P4597="Gasto",P4597="Reembolso"),D4597=""),"⚠ Falta categoría",IF(AND(D4597&lt;&gt;"",E4597&lt;&gt;"",ISNA(MATCH(D4597&amp;"|"&amp;E4597,catClave,0))),"⚠ Subcategoría no corresponde",IF(AND(OR(P4597="Transferencia",P4597="Pago tarjeta"),K4597=""),"⚠ Falta cuenta destino",IF(AND(K4597&lt;&gt;"",P4597&lt;&gt;"Transferencia",P4597&lt;&gt;"Pago tarjeta"),"⚠ Destino solo aplica a transferencias",IF(AND(K4597&lt;&gt;"",K4597=Q4597),"⚠ Origen igual a destino",IF(AND(K4597&lt;&gt;"",ISNA(MATCH(K4597,ctaNombre,0))),"⚠ Destino no registrado",IF(AND(P4597="Pago tarjeta",AE4597&lt;&gt;"Tarjeta de crédito"),"⚠ El destino debe ser tarjeta de crédito",IF(AND(P4597="Gasto",E4597="Depósitos y retiros"),"⚠ Usa tipo Transferencia",IF(AND(P4597="Resultado trading",AD4597&lt;&gt;"Cuenta de trading"),"⚠ Usa una cuenta de trading",IF(AND(G4597&lt;=0,P4597&lt;&gt;"Ajuste",P4597&lt;&gt;"Resultado trading"),"⚠ El monto debe ser positivo","✓")))))))))))))))</f>
        <v/>
      </c>
      <c r="P4597" s="52">
        <f>IF(OR(B4597="",G4597=""),"",IF(C4597="","Gasto",C4597))</f>
        <v/>
      </c>
      <c r="Q4597" s="52">
        <f>IF(P4597="","",IF(J4597&lt;&gt;"",J4597,CuentaPred&amp;""))</f>
        <v/>
      </c>
      <c r="R4597" s="52">
        <f>IF(P4597="","",IF(ISNUMBER(I4597),I4597,TasaUSD))</f>
        <v/>
      </c>
      <c r="S4597" s="53">
        <f>IF(P4597="","",IF(H4597="USD",G4597*R4597,G4597))</f>
        <v/>
      </c>
      <c r="T4597" s="53">
        <f>IF(P4597="","",IF(H4597="USD",G4597,IF(R4597&gt;0,G4597/R4597,0)))</f>
        <v/>
      </c>
      <c r="U4597" s="53">
        <f>IF(P4597="","",IF(P4597="Gasto",S4597,IF(P4597="Reembolso",-S4597,0)))</f>
        <v/>
      </c>
      <c r="V4597" s="53">
        <f>IF(P4597="","",IF(P4597="Ingreso",S4597,0))</f>
        <v/>
      </c>
      <c r="W4597" s="53">
        <f>IF(P4597="","",IF(P4597="Resultado trading",S4597,0))</f>
        <v/>
      </c>
      <c r="X4597" s="52">
        <f>IF(OR(P4597="Gasto",P4597="Reembolso"),IF(M4597&lt;&gt;"",M4597,IFERROR(INDEX(catClasif,MATCH(D4597&amp;"|"&amp;E4597,catClave,0))&amp;"","Variable")),"")</f>
        <v/>
      </c>
      <c r="Y4597" s="52">
        <f>IF(P4597="","",IFERROR(INDEX(catGrupo,MATCH(D4597&amp;"|"&amp;E4597,catClave,0))&amp;"",""))</f>
        <v/>
      </c>
      <c r="Z4597" s="52">
        <f>IF(P4597="","",WEEKDAY(B4597,2))</f>
        <v/>
      </c>
      <c r="AA4597" s="52">
        <f>IF(P4597="","",IF(AND(P4597="Gasto",X4597="Variable",D4597&lt;&gt;catTrading,S4597&gt;0,S4597&lt;=Umbral),1,0))</f>
        <v/>
      </c>
      <c r="AB4597" s="52">
        <f>IF(OR(P4597="",Q4597=""),"",IFERROR(IF(INDEX(ctaVinc,MATCH(Q4597,ctaNombre,0))&amp;""&lt;&gt;"",INDEX(ctaVinc,MATCH(Q4597,ctaNombre,0))&amp;"",Q4597),Q4597))</f>
        <v/>
      </c>
      <c r="AC4597" s="52">
        <f>IF(OR(K4597="",AND(P4597&lt;&gt;"Transferencia",P4597&lt;&gt;"Pago tarjeta")),"",IFERROR(IF(INDEX(ctaVinc,MATCH(K4597,ctaNombre,0))&amp;""&lt;&gt;"",INDEX(ctaVinc,MATCH(K4597,ctaNombre,0))&amp;"",K4597),K4597))</f>
        <v/>
      </c>
      <c r="AD4597" s="52">
        <f>IF(AB4597="","",IFERROR(INDEX(ctaTipo,MATCH(AB4597,ctaNombre,0))&amp;"",""))</f>
        <v/>
      </c>
      <c r="AE4597" s="52">
        <f>IF(AC4597="","",IFERROR(INDEX(ctaTipo,MATCH(AC4597,ctaNombre,0))&amp;"",""))</f>
        <v/>
      </c>
      <c r="AF4597" s="53">
        <f>IF(OR(P4597="",AB4597=""),"",IF(OR(P4597="Gasto",P4597="Transferencia",P4597="Pago tarjeta"),-1,1)*IF(IFERROR(INDEX(ctaMoneda,MATCH(AB4597,ctaNombre,0))&amp;"","DOP")="USD",T4597,S4597))</f>
        <v/>
      </c>
      <c r="AG4597" s="53">
        <f>IF(AC4597="","",IF(IFERROR(INDEX(ctaMoneda,MATCH(AC4597,ctaNombre,0))&amp;"","DOP")="USD",T4597,S4597))</f>
        <v/>
      </c>
      <c r="AH4597" s="53">
        <f>IF(P4597="","",IF(AND(AD4597&lt;&gt;"",COUNTIFS(tcTipo,AD4597,tcLiq,"Sí")&gt;0),IF(OR(P4597="Gasto",P4597="Transferencia",P4597="Pago tarjeta"),-1,1)*S4597,0)+IF(AND(AE4597&lt;&gt;"",COUNTIFS(tcTipo,AE4597,tcLiq,"Sí")&gt;0),S4597,0))</f>
        <v/>
      </c>
      <c r="AI4597" s="52">
        <f>IF(OR(L4597="",P4597=""),"",IF(COUNTIFS(L$6:L4597,L4597,P$6:P4597,"?*")=1,MAX(AI$5:AI4596)+1,""))</f>
        <v/>
      </c>
    </row>
    <row r="4598">
      <c r="B4598" s="47" t="n"/>
      <c r="C4598" s="48" t="n"/>
      <c r="D4598" s="48" t="n"/>
      <c r="E4598" s="48" t="n"/>
      <c r="F4598" s="48" t="n"/>
      <c r="G4598" s="49" t="n"/>
      <c r="H4598" s="48" t="n"/>
      <c r="I4598" s="50" t="n"/>
      <c r="J4598" s="48" t="n"/>
      <c r="K4598" s="48" t="n"/>
      <c r="L4598" s="48" t="n"/>
      <c r="M4598" s="48" t="n"/>
      <c r="N4598" s="48" t="n"/>
      <c r="O4598" s="51">
        <f>IF(AND(B4598="",G4598="",C4598="",D4598="",J4598=""),"",IF(B4598="","⚠ Falta fecha",IF(G4598="","⚠ Falta monto",IF(Q4598="","⚠ Falta cuenta",IF(ISNA(MATCH(Q4598,ctaNombre,0)),"⚠ Cuenta no registrada",IF(AND(OR(P4598="Gasto",P4598="Reembolso"),D4598=""),"⚠ Falta categoría",IF(AND(D4598&lt;&gt;"",E4598&lt;&gt;"",ISNA(MATCH(D4598&amp;"|"&amp;E4598,catClave,0))),"⚠ Subcategoría no corresponde",IF(AND(OR(P4598="Transferencia",P4598="Pago tarjeta"),K4598=""),"⚠ Falta cuenta destino",IF(AND(K4598&lt;&gt;"",P4598&lt;&gt;"Transferencia",P4598&lt;&gt;"Pago tarjeta"),"⚠ Destino solo aplica a transferencias",IF(AND(K4598&lt;&gt;"",K4598=Q4598),"⚠ Origen igual a destino",IF(AND(K4598&lt;&gt;"",ISNA(MATCH(K4598,ctaNombre,0))),"⚠ Destino no registrado",IF(AND(P4598="Pago tarjeta",AE4598&lt;&gt;"Tarjeta de crédito"),"⚠ El destino debe ser tarjeta de crédito",IF(AND(P4598="Gasto",E4598="Depósitos y retiros"),"⚠ Usa tipo Transferencia",IF(AND(P4598="Resultado trading",AD4598&lt;&gt;"Cuenta de trading"),"⚠ Usa una cuenta de trading",IF(AND(G4598&lt;=0,P4598&lt;&gt;"Ajuste",P4598&lt;&gt;"Resultado trading"),"⚠ El monto debe ser positivo","✓")))))))))))))))</f>
        <v/>
      </c>
      <c r="P4598" s="52">
        <f>IF(OR(B4598="",G4598=""),"",IF(C4598="","Gasto",C4598))</f>
        <v/>
      </c>
      <c r="Q4598" s="52">
        <f>IF(P4598="","",IF(J4598&lt;&gt;"",J4598,CuentaPred&amp;""))</f>
        <v/>
      </c>
      <c r="R4598" s="52">
        <f>IF(P4598="","",IF(ISNUMBER(I4598),I4598,TasaUSD))</f>
        <v/>
      </c>
      <c r="S4598" s="53">
        <f>IF(P4598="","",IF(H4598="USD",G4598*R4598,G4598))</f>
        <v/>
      </c>
      <c r="T4598" s="53">
        <f>IF(P4598="","",IF(H4598="USD",G4598,IF(R4598&gt;0,G4598/R4598,0)))</f>
        <v/>
      </c>
      <c r="U4598" s="53">
        <f>IF(P4598="","",IF(P4598="Gasto",S4598,IF(P4598="Reembolso",-S4598,0)))</f>
        <v/>
      </c>
      <c r="V4598" s="53">
        <f>IF(P4598="","",IF(P4598="Ingreso",S4598,0))</f>
        <v/>
      </c>
      <c r="W4598" s="53">
        <f>IF(P4598="","",IF(P4598="Resultado trading",S4598,0))</f>
        <v/>
      </c>
      <c r="X4598" s="52">
        <f>IF(OR(P4598="Gasto",P4598="Reembolso"),IF(M4598&lt;&gt;"",M4598,IFERROR(INDEX(catClasif,MATCH(D4598&amp;"|"&amp;E4598,catClave,0))&amp;"","Variable")),"")</f>
        <v/>
      </c>
      <c r="Y4598" s="52">
        <f>IF(P4598="","",IFERROR(INDEX(catGrupo,MATCH(D4598&amp;"|"&amp;E4598,catClave,0))&amp;"",""))</f>
        <v/>
      </c>
      <c r="Z4598" s="52">
        <f>IF(P4598="","",WEEKDAY(B4598,2))</f>
        <v/>
      </c>
      <c r="AA4598" s="52">
        <f>IF(P4598="","",IF(AND(P4598="Gasto",X4598="Variable",D4598&lt;&gt;catTrading,S4598&gt;0,S4598&lt;=Umbral),1,0))</f>
        <v/>
      </c>
      <c r="AB4598" s="52">
        <f>IF(OR(P4598="",Q4598=""),"",IFERROR(IF(INDEX(ctaVinc,MATCH(Q4598,ctaNombre,0))&amp;""&lt;&gt;"",INDEX(ctaVinc,MATCH(Q4598,ctaNombre,0))&amp;"",Q4598),Q4598))</f>
        <v/>
      </c>
      <c r="AC4598" s="52">
        <f>IF(OR(K4598="",AND(P4598&lt;&gt;"Transferencia",P4598&lt;&gt;"Pago tarjeta")),"",IFERROR(IF(INDEX(ctaVinc,MATCH(K4598,ctaNombre,0))&amp;""&lt;&gt;"",INDEX(ctaVinc,MATCH(K4598,ctaNombre,0))&amp;"",K4598),K4598))</f>
        <v/>
      </c>
      <c r="AD4598" s="52">
        <f>IF(AB4598="","",IFERROR(INDEX(ctaTipo,MATCH(AB4598,ctaNombre,0))&amp;"",""))</f>
        <v/>
      </c>
      <c r="AE4598" s="52">
        <f>IF(AC4598="","",IFERROR(INDEX(ctaTipo,MATCH(AC4598,ctaNombre,0))&amp;"",""))</f>
        <v/>
      </c>
      <c r="AF4598" s="53">
        <f>IF(OR(P4598="",AB4598=""),"",IF(OR(P4598="Gasto",P4598="Transferencia",P4598="Pago tarjeta"),-1,1)*IF(IFERROR(INDEX(ctaMoneda,MATCH(AB4598,ctaNombre,0))&amp;"","DOP")="USD",T4598,S4598))</f>
        <v/>
      </c>
      <c r="AG4598" s="53">
        <f>IF(AC4598="","",IF(IFERROR(INDEX(ctaMoneda,MATCH(AC4598,ctaNombre,0))&amp;"","DOP")="USD",T4598,S4598))</f>
        <v/>
      </c>
      <c r="AH4598" s="53">
        <f>IF(P4598="","",IF(AND(AD4598&lt;&gt;"",COUNTIFS(tcTipo,AD4598,tcLiq,"Sí")&gt;0),IF(OR(P4598="Gasto",P4598="Transferencia",P4598="Pago tarjeta"),-1,1)*S4598,0)+IF(AND(AE4598&lt;&gt;"",COUNTIFS(tcTipo,AE4598,tcLiq,"Sí")&gt;0),S4598,0))</f>
        <v/>
      </c>
      <c r="AI4598" s="52">
        <f>IF(OR(L4598="",P4598=""),"",IF(COUNTIFS(L$6:L4598,L4598,P$6:P4598,"?*")=1,MAX(AI$5:AI4597)+1,""))</f>
        <v/>
      </c>
    </row>
    <row r="4599">
      <c r="B4599" s="47" t="n"/>
      <c r="C4599" s="48" t="n"/>
      <c r="D4599" s="48" t="n"/>
      <c r="E4599" s="48" t="n"/>
      <c r="F4599" s="48" t="n"/>
      <c r="G4599" s="49" t="n"/>
      <c r="H4599" s="48" t="n"/>
      <c r="I4599" s="50" t="n"/>
      <c r="J4599" s="48" t="n"/>
      <c r="K4599" s="48" t="n"/>
      <c r="L4599" s="48" t="n"/>
      <c r="M4599" s="48" t="n"/>
      <c r="N4599" s="48" t="n"/>
      <c r="O4599" s="51">
        <f>IF(AND(B4599="",G4599="",C4599="",D4599="",J4599=""),"",IF(B4599="","⚠ Falta fecha",IF(G4599="","⚠ Falta monto",IF(Q4599="","⚠ Falta cuenta",IF(ISNA(MATCH(Q4599,ctaNombre,0)),"⚠ Cuenta no registrada",IF(AND(OR(P4599="Gasto",P4599="Reembolso"),D4599=""),"⚠ Falta categoría",IF(AND(D4599&lt;&gt;"",E4599&lt;&gt;"",ISNA(MATCH(D4599&amp;"|"&amp;E4599,catClave,0))),"⚠ Subcategoría no corresponde",IF(AND(OR(P4599="Transferencia",P4599="Pago tarjeta"),K4599=""),"⚠ Falta cuenta destino",IF(AND(K4599&lt;&gt;"",P4599&lt;&gt;"Transferencia",P4599&lt;&gt;"Pago tarjeta"),"⚠ Destino solo aplica a transferencias",IF(AND(K4599&lt;&gt;"",K4599=Q4599),"⚠ Origen igual a destino",IF(AND(K4599&lt;&gt;"",ISNA(MATCH(K4599,ctaNombre,0))),"⚠ Destino no registrado",IF(AND(P4599="Pago tarjeta",AE4599&lt;&gt;"Tarjeta de crédito"),"⚠ El destino debe ser tarjeta de crédito",IF(AND(P4599="Gasto",E4599="Depósitos y retiros"),"⚠ Usa tipo Transferencia",IF(AND(P4599="Resultado trading",AD4599&lt;&gt;"Cuenta de trading"),"⚠ Usa una cuenta de trading",IF(AND(G4599&lt;=0,P4599&lt;&gt;"Ajuste",P4599&lt;&gt;"Resultado trading"),"⚠ El monto debe ser positivo","✓")))))))))))))))</f>
        <v/>
      </c>
      <c r="P4599" s="52">
        <f>IF(OR(B4599="",G4599=""),"",IF(C4599="","Gasto",C4599))</f>
        <v/>
      </c>
      <c r="Q4599" s="52">
        <f>IF(P4599="","",IF(J4599&lt;&gt;"",J4599,CuentaPred&amp;""))</f>
        <v/>
      </c>
      <c r="R4599" s="52">
        <f>IF(P4599="","",IF(ISNUMBER(I4599),I4599,TasaUSD))</f>
        <v/>
      </c>
      <c r="S4599" s="53">
        <f>IF(P4599="","",IF(H4599="USD",G4599*R4599,G4599))</f>
        <v/>
      </c>
      <c r="T4599" s="53">
        <f>IF(P4599="","",IF(H4599="USD",G4599,IF(R4599&gt;0,G4599/R4599,0)))</f>
        <v/>
      </c>
      <c r="U4599" s="53">
        <f>IF(P4599="","",IF(P4599="Gasto",S4599,IF(P4599="Reembolso",-S4599,0)))</f>
        <v/>
      </c>
      <c r="V4599" s="53">
        <f>IF(P4599="","",IF(P4599="Ingreso",S4599,0))</f>
        <v/>
      </c>
      <c r="W4599" s="53">
        <f>IF(P4599="","",IF(P4599="Resultado trading",S4599,0))</f>
        <v/>
      </c>
      <c r="X4599" s="52">
        <f>IF(OR(P4599="Gasto",P4599="Reembolso"),IF(M4599&lt;&gt;"",M4599,IFERROR(INDEX(catClasif,MATCH(D4599&amp;"|"&amp;E4599,catClave,0))&amp;"","Variable")),"")</f>
        <v/>
      </c>
      <c r="Y4599" s="52">
        <f>IF(P4599="","",IFERROR(INDEX(catGrupo,MATCH(D4599&amp;"|"&amp;E4599,catClave,0))&amp;"",""))</f>
        <v/>
      </c>
      <c r="Z4599" s="52">
        <f>IF(P4599="","",WEEKDAY(B4599,2))</f>
        <v/>
      </c>
      <c r="AA4599" s="52">
        <f>IF(P4599="","",IF(AND(P4599="Gasto",X4599="Variable",D4599&lt;&gt;catTrading,S4599&gt;0,S4599&lt;=Umbral),1,0))</f>
        <v/>
      </c>
      <c r="AB4599" s="52">
        <f>IF(OR(P4599="",Q4599=""),"",IFERROR(IF(INDEX(ctaVinc,MATCH(Q4599,ctaNombre,0))&amp;""&lt;&gt;"",INDEX(ctaVinc,MATCH(Q4599,ctaNombre,0))&amp;"",Q4599),Q4599))</f>
        <v/>
      </c>
      <c r="AC4599" s="52">
        <f>IF(OR(K4599="",AND(P4599&lt;&gt;"Transferencia",P4599&lt;&gt;"Pago tarjeta")),"",IFERROR(IF(INDEX(ctaVinc,MATCH(K4599,ctaNombre,0))&amp;""&lt;&gt;"",INDEX(ctaVinc,MATCH(K4599,ctaNombre,0))&amp;"",K4599),K4599))</f>
        <v/>
      </c>
      <c r="AD4599" s="52">
        <f>IF(AB4599="","",IFERROR(INDEX(ctaTipo,MATCH(AB4599,ctaNombre,0))&amp;"",""))</f>
        <v/>
      </c>
      <c r="AE4599" s="52">
        <f>IF(AC4599="","",IFERROR(INDEX(ctaTipo,MATCH(AC4599,ctaNombre,0))&amp;"",""))</f>
        <v/>
      </c>
      <c r="AF4599" s="53">
        <f>IF(OR(P4599="",AB4599=""),"",IF(OR(P4599="Gasto",P4599="Transferencia",P4599="Pago tarjeta"),-1,1)*IF(IFERROR(INDEX(ctaMoneda,MATCH(AB4599,ctaNombre,0))&amp;"","DOP")="USD",T4599,S4599))</f>
        <v/>
      </c>
      <c r="AG4599" s="53">
        <f>IF(AC4599="","",IF(IFERROR(INDEX(ctaMoneda,MATCH(AC4599,ctaNombre,0))&amp;"","DOP")="USD",T4599,S4599))</f>
        <v/>
      </c>
      <c r="AH4599" s="53">
        <f>IF(P4599="","",IF(AND(AD4599&lt;&gt;"",COUNTIFS(tcTipo,AD4599,tcLiq,"Sí")&gt;0),IF(OR(P4599="Gasto",P4599="Transferencia",P4599="Pago tarjeta"),-1,1)*S4599,0)+IF(AND(AE4599&lt;&gt;"",COUNTIFS(tcTipo,AE4599,tcLiq,"Sí")&gt;0),S4599,0))</f>
        <v/>
      </c>
      <c r="AI4599" s="52">
        <f>IF(OR(L4599="",P4599=""),"",IF(COUNTIFS(L$6:L4599,L4599,P$6:P4599,"?*")=1,MAX(AI$5:AI4598)+1,""))</f>
        <v/>
      </c>
    </row>
    <row r="4600">
      <c r="B4600" s="47" t="n"/>
      <c r="C4600" s="48" t="n"/>
      <c r="D4600" s="48" t="n"/>
      <c r="E4600" s="48" t="n"/>
      <c r="F4600" s="48" t="n"/>
      <c r="G4600" s="49" t="n"/>
      <c r="H4600" s="48" t="n"/>
      <c r="I4600" s="50" t="n"/>
      <c r="J4600" s="48" t="n"/>
      <c r="K4600" s="48" t="n"/>
      <c r="L4600" s="48" t="n"/>
      <c r="M4600" s="48" t="n"/>
      <c r="N4600" s="48" t="n"/>
      <c r="O4600" s="51">
        <f>IF(AND(B4600="",G4600="",C4600="",D4600="",J4600=""),"",IF(B4600="","⚠ Falta fecha",IF(G4600="","⚠ Falta monto",IF(Q4600="","⚠ Falta cuenta",IF(ISNA(MATCH(Q4600,ctaNombre,0)),"⚠ Cuenta no registrada",IF(AND(OR(P4600="Gasto",P4600="Reembolso"),D4600=""),"⚠ Falta categoría",IF(AND(D4600&lt;&gt;"",E4600&lt;&gt;"",ISNA(MATCH(D4600&amp;"|"&amp;E4600,catClave,0))),"⚠ Subcategoría no corresponde",IF(AND(OR(P4600="Transferencia",P4600="Pago tarjeta"),K4600=""),"⚠ Falta cuenta destino",IF(AND(K4600&lt;&gt;"",P4600&lt;&gt;"Transferencia",P4600&lt;&gt;"Pago tarjeta"),"⚠ Destino solo aplica a transferencias",IF(AND(K4600&lt;&gt;"",K4600=Q4600),"⚠ Origen igual a destino",IF(AND(K4600&lt;&gt;"",ISNA(MATCH(K4600,ctaNombre,0))),"⚠ Destino no registrado",IF(AND(P4600="Pago tarjeta",AE4600&lt;&gt;"Tarjeta de crédito"),"⚠ El destino debe ser tarjeta de crédito",IF(AND(P4600="Gasto",E4600="Depósitos y retiros"),"⚠ Usa tipo Transferencia",IF(AND(P4600="Resultado trading",AD4600&lt;&gt;"Cuenta de trading"),"⚠ Usa una cuenta de trading",IF(AND(G4600&lt;=0,P4600&lt;&gt;"Ajuste",P4600&lt;&gt;"Resultado trading"),"⚠ El monto debe ser positivo","✓")))))))))))))))</f>
        <v/>
      </c>
      <c r="P4600" s="52">
        <f>IF(OR(B4600="",G4600=""),"",IF(C4600="","Gasto",C4600))</f>
        <v/>
      </c>
      <c r="Q4600" s="52">
        <f>IF(P4600="","",IF(J4600&lt;&gt;"",J4600,CuentaPred&amp;""))</f>
        <v/>
      </c>
      <c r="R4600" s="52">
        <f>IF(P4600="","",IF(ISNUMBER(I4600),I4600,TasaUSD))</f>
        <v/>
      </c>
      <c r="S4600" s="53">
        <f>IF(P4600="","",IF(H4600="USD",G4600*R4600,G4600))</f>
        <v/>
      </c>
      <c r="T4600" s="53">
        <f>IF(P4600="","",IF(H4600="USD",G4600,IF(R4600&gt;0,G4600/R4600,0)))</f>
        <v/>
      </c>
      <c r="U4600" s="53">
        <f>IF(P4600="","",IF(P4600="Gasto",S4600,IF(P4600="Reembolso",-S4600,0)))</f>
        <v/>
      </c>
      <c r="V4600" s="53">
        <f>IF(P4600="","",IF(P4600="Ingreso",S4600,0))</f>
        <v/>
      </c>
      <c r="W4600" s="53">
        <f>IF(P4600="","",IF(P4600="Resultado trading",S4600,0))</f>
        <v/>
      </c>
      <c r="X4600" s="52">
        <f>IF(OR(P4600="Gasto",P4600="Reembolso"),IF(M4600&lt;&gt;"",M4600,IFERROR(INDEX(catClasif,MATCH(D4600&amp;"|"&amp;E4600,catClave,0))&amp;"","Variable")),"")</f>
        <v/>
      </c>
      <c r="Y4600" s="52">
        <f>IF(P4600="","",IFERROR(INDEX(catGrupo,MATCH(D4600&amp;"|"&amp;E4600,catClave,0))&amp;"",""))</f>
        <v/>
      </c>
      <c r="Z4600" s="52">
        <f>IF(P4600="","",WEEKDAY(B4600,2))</f>
        <v/>
      </c>
      <c r="AA4600" s="52">
        <f>IF(P4600="","",IF(AND(P4600="Gasto",X4600="Variable",D4600&lt;&gt;catTrading,S4600&gt;0,S4600&lt;=Umbral),1,0))</f>
        <v/>
      </c>
      <c r="AB4600" s="52">
        <f>IF(OR(P4600="",Q4600=""),"",IFERROR(IF(INDEX(ctaVinc,MATCH(Q4600,ctaNombre,0))&amp;""&lt;&gt;"",INDEX(ctaVinc,MATCH(Q4600,ctaNombre,0))&amp;"",Q4600),Q4600))</f>
        <v/>
      </c>
      <c r="AC4600" s="52">
        <f>IF(OR(K4600="",AND(P4600&lt;&gt;"Transferencia",P4600&lt;&gt;"Pago tarjeta")),"",IFERROR(IF(INDEX(ctaVinc,MATCH(K4600,ctaNombre,0))&amp;""&lt;&gt;"",INDEX(ctaVinc,MATCH(K4600,ctaNombre,0))&amp;"",K4600),K4600))</f>
        <v/>
      </c>
      <c r="AD4600" s="52">
        <f>IF(AB4600="","",IFERROR(INDEX(ctaTipo,MATCH(AB4600,ctaNombre,0))&amp;"",""))</f>
        <v/>
      </c>
      <c r="AE4600" s="52">
        <f>IF(AC4600="","",IFERROR(INDEX(ctaTipo,MATCH(AC4600,ctaNombre,0))&amp;"",""))</f>
        <v/>
      </c>
      <c r="AF4600" s="53">
        <f>IF(OR(P4600="",AB4600=""),"",IF(OR(P4600="Gasto",P4600="Transferencia",P4600="Pago tarjeta"),-1,1)*IF(IFERROR(INDEX(ctaMoneda,MATCH(AB4600,ctaNombre,0))&amp;"","DOP")="USD",T4600,S4600))</f>
        <v/>
      </c>
      <c r="AG4600" s="53">
        <f>IF(AC4600="","",IF(IFERROR(INDEX(ctaMoneda,MATCH(AC4600,ctaNombre,0))&amp;"","DOP")="USD",T4600,S4600))</f>
        <v/>
      </c>
      <c r="AH4600" s="53">
        <f>IF(P4600="","",IF(AND(AD4600&lt;&gt;"",COUNTIFS(tcTipo,AD4600,tcLiq,"Sí")&gt;0),IF(OR(P4600="Gasto",P4600="Transferencia",P4600="Pago tarjeta"),-1,1)*S4600,0)+IF(AND(AE4600&lt;&gt;"",COUNTIFS(tcTipo,AE4600,tcLiq,"Sí")&gt;0),S4600,0))</f>
        <v/>
      </c>
      <c r="AI4600" s="52">
        <f>IF(OR(L4600="",P4600=""),"",IF(COUNTIFS(L$6:L4600,L4600,P$6:P4600,"?*")=1,MAX(AI$5:AI4599)+1,""))</f>
        <v/>
      </c>
    </row>
    <row r="4601">
      <c r="B4601" s="47" t="n"/>
      <c r="C4601" s="48" t="n"/>
      <c r="D4601" s="48" t="n"/>
      <c r="E4601" s="48" t="n"/>
      <c r="F4601" s="48" t="n"/>
      <c r="G4601" s="49" t="n"/>
      <c r="H4601" s="48" t="n"/>
      <c r="I4601" s="50" t="n"/>
      <c r="J4601" s="48" t="n"/>
      <c r="K4601" s="48" t="n"/>
      <c r="L4601" s="48" t="n"/>
      <c r="M4601" s="48" t="n"/>
      <c r="N4601" s="48" t="n"/>
      <c r="O4601" s="51">
        <f>IF(AND(B4601="",G4601="",C4601="",D4601="",J4601=""),"",IF(B4601="","⚠ Falta fecha",IF(G4601="","⚠ Falta monto",IF(Q4601="","⚠ Falta cuenta",IF(ISNA(MATCH(Q4601,ctaNombre,0)),"⚠ Cuenta no registrada",IF(AND(OR(P4601="Gasto",P4601="Reembolso"),D4601=""),"⚠ Falta categoría",IF(AND(D4601&lt;&gt;"",E4601&lt;&gt;"",ISNA(MATCH(D4601&amp;"|"&amp;E4601,catClave,0))),"⚠ Subcategoría no corresponde",IF(AND(OR(P4601="Transferencia",P4601="Pago tarjeta"),K4601=""),"⚠ Falta cuenta destino",IF(AND(K4601&lt;&gt;"",P4601&lt;&gt;"Transferencia",P4601&lt;&gt;"Pago tarjeta"),"⚠ Destino solo aplica a transferencias",IF(AND(K4601&lt;&gt;"",K4601=Q4601),"⚠ Origen igual a destino",IF(AND(K4601&lt;&gt;"",ISNA(MATCH(K4601,ctaNombre,0))),"⚠ Destino no registrado",IF(AND(P4601="Pago tarjeta",AE4601&lt;&gt;"Tarjeta de crédito"),"⚠ El destino debe ser tarjeta de crédito",IF(AND(P4601="Gasto",E4601="Depósitos y retiros"),"⚠ Usa tipo Transferencia",IF(AND(P4601="Resultado trading",AD4601&lt;&gt;"Cuenta de trading"),"⚠ Usa una cuenta de trading",IF(AND(G4601&lt;=0,P4601&lt;&gt;"Ajuste",P4601&lt;&gt;"Resultado trading"),"⚠ El monto debe ser positivo","✓")))))))))))))))</f>
        <v/>
      </c>
      <c r="P4601" s="52">
        <f>IF(OR(B4601="",G4601=""),"",IF(C4601="","Gasto",C4601))</f>
        <v/>
      </c>
      <c r="Q4601" s="52">
        <f>IF(P4601="","",IF(J4601&lt;&gt;"",J4601,CuentaPred&amp;""))</f>
        <v/>
      </c>
      <c r="R4601" s="52">
        <f>IF(P4601="","",IF(ISNUMBER(I4601),I4601,TasaUSD))</f>
        <v/>
      </c>
      <c r="S4601" s="53">
        <f>IF(P4601="","",IF(H4601="USD",G4601*R4601,G4601))</f>
        <v/>
      </c>
      <c r="T4601" s="53">
        <f>IF(P4601="","",IF(H4601="USD",G4601,IF(R4601&gt;0,G4601/R4601,0)))</f>
        <v/>
      </c>
      <c r="U4601" s="53">
        <f>IF(P4601="","",IF(P4601="Gasto",S4601,IF(P4601="Reembolso",-S4601,0)))</f>
        <v/>
      </c>
      <c r="V4601" s="53">
        <f>IF(P4601="","",IF(P4601="Ingreso",S4601,0))</f>
        <v/>
      </c>
      <c r="W4601" s="53">
        <f>IF(P4601="","",IF(P4601="Resultado trading",S4601,0))</f>
        <v/>
      </c>
      <c r="X4601" s="52">
        <f>IF(OR(P4601="Gasto",P4601="Reembolso"),IF(M4601&lt;&gt;"",M4601,IFERROR(INDEX(catClasif,MATCH(D4601&amp;"|"&amp;E4601,catClave,0))&amp;"","Variable")),"")</f>
        <v/>
      </c>
      <c r="Y4601" s="52">
        <f>IF(P4601="","",IFERROR(INDEX(catGrupo,MATCH(D4601&amp;"|"&amp;E4601,catClave,0))&amp;"",""))</f>
        <v/>
      </c>
      <c r="Z4601" s="52">
        <f>IF(P4601="","",WEEKDAY(B4601,2))</f>
        <v/>
      </c>
      <c r="AA4601" s="52">
        <f>IF(P4601="","",IF(AND(P4601="Gasto",X4601="Variable",D4601&lt;&gt;catTrading,S4601&gt;0,S4601&lt;=Umbral),1,0))</f>
        <v/>
      </c>
      <c r="AB4601" s="52">
        <f>IF(OR(P4601="",Q4601=""),"",IFERROR(IF(INDEX(ctaVinc,MATCH(Q4601,ctaNombre,0))&amp;""&lt;&gt;"",INDEX(ctaVinc,MATCH(Q4601,ctaNombre,0))&amp;"",Q4601),Q4601))</f>
        <v/>
      </c>
      <c r="AC4601" s="52">
        <f>IF(OR(K4601="",AND(P4601&lt;&gt;"Transferencia",P4601&lt;&gt;"Pago tarjeta")),"",IFERROR(IF(INDEX(ctaVinc,MATCH(K4601,ctaNombre,0))&amp;""&lt;&gt;"",INDEX(ctaVinc,MATCH(K4601,ctaNombre,0))&amp;"",K4601),K4601))</f>
        <v/>
      </c>
      <c r="AD4601" s="52">
        <f>IF(AB4601="","",IFERROR(INDEX(ctaTipo,MATCH(AB4601,ctaNombre,0))&amp;"",""))</f>
        <v/>
      </c>
      <c r="AE4601" s="52">
        <f>IF(AC4601="","",IFERROR(INDEX(ctaTipo,MATCH(AC4601,ctaNombre,0))&amp;"",""))</f>
        <v/>
      </c>
      <c r="AF4601" s="53">
        <f>IF(OR(P4601="",AB4601=""),"",IF(OR(P4601="Gasto",P4601="Transferencia",P4601="Pago tarjeta"),-1,1)*IF(IFERROR(INDEX(ctaMoneda,MATCH(AB4601,ctaNombre,0))&amp;"","DOP")="USD",T4601,S4601))</f>
        <v/>
      </c>
      <c r="AG4601" s="53">
        <f>IF(AC4601="","",IF(IFERROR(INDEX(ctaMoneda,MATCH(AC4601,ctaNombre,0))&amp;"","DOP")="USD",T4601,S4601))</f>
        <v/>
      </c>
      <c r="AH4601" s="53">
        <f>IF(P4601="","",IF(AND(AD4601&lt;&gt;"",COUNTIFS(tcTipo,AD4601,tcLiq,"Sí")&gt;0),IF(OR(P4601="Gasto",P4601="Transferencia",P4601="Pago tarjeta"),-1,1)*S4601,0)+IF(AND(AE4601&lt;&gt;"",COUNTIFS(tcTipo,AE4601,tcLiq,"Sí")&gt;0),S4601,0))</f>
        <v/>
      </c>
      <c r="AI4601" s="52">
        <f>IF(OR(L4601="",P4601=""),"",IF(COUNTIFS(L$6:L4601,L4601,P$6:P4601,"?*")=1,MAX(AI$5:AI4600)+1,""))</f>
        <v/>
      </c>
    </row>
    <row r="4602">
      <c r="B4602" s="47" t="n"/>
      <c r="C4602" s="48" t="n"/>
      <c r="D4602" s="48" t="n"/>
      <c r="E4602" s="48" t="n"/>
      <c r="F4602" s="48" t="n"/>
      <c r="G4602" s="49" t="n"/>
      <c r="H4602" s="48" t="n"/>
      <c r="I4602" s="50" t="n"/>
      <c r="J4602" s="48" t="n"/>
      <c r="K4602" s="48" t="n"/>
      <c r="L4602" s="48" t="n"/>
      <c r="M4602" s="48" t="n"/>
      <c r="N4602" s="48" t="n"/>
      <c r="O4602" s="51">
        <f>IF(AND(B4602="",G4602="",C4602="",D4602="",J4602=""),"",IF(B4602="","⚠ Falta fecha",IF(G4602="","⚠ Falta monto",IF(Q4602="","⚠ Falta cuenta",IF(ISNA(MATCH(Q4602,ctaNombre,0)),"⚠ Cuenta no registrada",IF(AND(OR(P4602="Gasto",P4602="Reembolso"),D4602=""),"⚠ Falta categoría",IF(AND(D4602&lt;&gt;"",E4602&lt;&gt;"",ISNA(MATCH(D4602&amp;"|"&amp;E4602,catClave,0))),"⚠ Subcategoría no corresponde",IF(AND(OR(P4602="Transferencia",P4602="Pago tarjeta"),K4602=""),"⚠ Falta cuenta destino",IF(AND(K4602&lt;&gt;"",P4602&lt;&gt;"Transferencia",P4602&lt;&gt;"Pago tarjeta"),"⚠ Destino solo aplica a transferencias",IF(AND(K4602&lt;&gt;"",K4602=Q4602),"⚠ Origen igual a destino",IF(AND(K4602&lt;&gt;"",ISNA(MATCH(K4602,ctaNombre,0))),"⚠ Destino no registrado",IF(AND(P4602="Pago tarjeta",AE4602&lt;&gt;"Tarjeta de crédito"),"⚠ El destino debe ser tarjeta de crédito",IF(AND(P4602="Gasto",E4602="Depósitos y retiros"),"⚠ Usa tipo Transferencia",IF(AND(P4602="Resultado trading",AD4602&lt;&gt;"Cuenta de trading"),"⚠ Usa una cuenta de trading",IF(AND(G4602&lt;=0,P4602&lt;&gt;"Ajuste",P4602&lt;&gt;"Resultado trading"),"⚠ El monto debe ser positivo","✓")))))))))))))))</f>
        <v/>
      </c>
      <c r="P4602" s="52">
        <f>IF(OR(B4602="",G4602=""),"",IF(C4602="","Gasto",C4602))</f>
        <v/>
      </c>
      <c r="Q4602" s="52">
        <f>IF(P4602="","",IF(J4602&lt;&gt;"",J4602,CuentaPred&amp;""))</f>
        <v/>
      </c>
      <c r="R4602" s="52">
        <f>IF(P4602="","",IF(ISNUMBER(I4602),I4602,TasaUSD))</f>
        <v/>
      </c>
      <c r="S4602" s="53">
        <f>IF(P4602="","",IF(H4602="USD",G4602*R4602,G4602))</f>
        <v/>
      </c>
      <c r="T4602" s="53">
        <f>IF(P4602="","",IF(H4602="USD",G4602,IF(R4602&gt;0,G4602/R4602,0)))</f>
        <v/>
      </c>
      <c r="U4602" s="53">
        <f>IF(P4602="","",IF(P4602="Gasto",S4602,IF(P4602="Reembolso",-S4602,0)))</f>
        <v/>
      </c>
      <c r="V4602" s="53">
        <f>IF(P4602="","",IF(P4602="Ingreso",S4602,0))</f>
        <v/>
      </c>
      <c r="W4602" s="53">
        <f>IF(P4602="","",IF(P4602="Resultado trading",S4602,0))</f>
        <v/>
      </c>
      <c r="X4602" s="52">
        <f>IF(OR(P4602="Gasto",P4602="Reembolso"),IF(M4602&lt;&gt;"",M4602,IFERROR(INDEX(catClasif,MATCH(D4602&amp;"|"&amp;E4602,catClave,0))&amp;"","Variable")),"")</f>
        <v/>
      </c>
      <c r="Y4602" s="52">
        <f>IF(P4602="","",IFERROR(INDEX(catGrupo,MATCH(D4602&amp;"|"&amp;E4602,catClave,0))&amp;"",""))</f>
        <v/>
      </c>
      <c r="Z4602" s="52">
        <f>IF(P4602="","",WEEKDAY(B4602,2))</f>
        <v/>
      </c>
      <c r="AA4602" s="52">
        <f>IF(P4602="","",IF(AND(P4602="Gasto",X4602="Variable",D4602&lt;&gt;catTrading,S4602&gt;0,S4602&lt;=Umbral),1,0))</f>
        <v/>
      </c>
      <c r="AB4602" s="52">
        <f>IF(OR(P4602="",Q4602=""),"",IFERROR(IF(INDEX(ctaVinc,MATCH(Q4602,ctaNombre,0))&amp;""&lt;&gt;"",INDEX(ctaVinc,MATCH(Q4602,ctaNombre,0))&amp;"",Q4602),Q4602))</f>
        <v/>
      </c>
      <c r="AC4602" s="52">
        <f>IF(OR(K4602="",AND(P4602&lt;&gt;"Transferencia",P4602&lt;&gt;"Pago tarjeta")),"",IFERROR(IF(INDEX(ctaVinc,MATCH(K4602,ctaNombre,0))&amp;""&lt;&gt;"",INDEX(ctaVinc,MATCH(K4602,ctaNombre,0))&amp;"",K4602),K4602))</f>
        <v/>
      </c>
      <c r="AD4602" s="52">
        <f>IF(AB4602="","",IFERROR(INDEX(ctaTipo,MATCH(AB4602,ctaNombre,0))&amp;"",""))</f>
        <v/>
      </c>
      <c r="AE4602" s="52">
        <f>IF(AC4602="","",IFERROR(INDEX(ctaTipo,MATCH(AC4602,ctaNombre,0))&amp;"",""))</f>
        <v/>
      </c>
      <c r="AF4602" s="53">
        <f>IF(OR(P4602="",AB4602=""),"",IF(OR(P4602="Gasto",P4602="Transferencia",P4602="Pago tarjeta"),-1,1)*IF(IFERROR(INDEX(ctaMoneda,MATCH(AB4602,ctaNombre,0))&amp;"","DOP")="USD",T4602,S4602))</f>
        <v/>
      </c>
      <c r="AG4602" s="53">
        <f>IF(AC4602="","",IF(IFERROR(INDEX(ctaMoneda,MATCH(AC4602,ctaNombre,0))&amp;"","DOP")="USD",T4602,S4602))</f>
        <v/>
      </c>
      <c r="AH4602" s="53">
        <f>IF(P4602="","",IF(AND(AD4602&lt;&gt;"",COUNTIFS(tcTipo,AD4602,tcLiq,"Sí")&gt;0),IF(OR(P4602="Gasto",P4602="Transferencia",P4602="Pago tarjeta"),-1,1)*S4602,0)+IF(AND(AE4602&lt;&gt;"",COUNTIFS(tcTipo,AE4602,tcLiq,"Sí")&gt;0),S4602,0))</f>
        <v/>
      </c>
      <c r="AI4602" s="52">
        <f>IF(OR(L4602="",P4602=""),"",IF(COUNTIFS(L$6:L4602,L4602,P$6:P4602,"?*")=1,MAX(AI$5:AI4601)+1,""))</f>
        <v/>
      </c>
    </row>
    <row r="4603">
      <c r="B4603" s="47" t="n"/>
      <c r="C4603" s="48" t="n"/>
      <c r="D4603" s="48" t="n"/>
      <c r="E4603" s="48" t="n"/>
      <c r="F4603" s="48" t="n"/>
      <c r="G4603" s="49" t="n"/>
      <c r="H4603" s="48" t="n"/>
      <c r="I4603" s="50" t="n"/>
      <c r="J4603" s="48" t="n"/>
      <c r="K4603" s="48" t="n"/>
      <c r="L4603" s="48" t="n"/>
      <c r="M4603" s="48" t="n"/>
      <c r="N4603" s="48" t="n"/>
      <c r="O4603" s="51">
        <f>IF(AND(B4603="",G4603="",C4603="",D4603="",J4603=""),"",IF(B4603="","⚠ Falta fecha",IF(G4603="","⚠ Falta monto",IF(Q4603="","⚠ Falta cuenta",IF(ISNA(MATCH(Q4603,ctaNombre,0)),"⚠ Cuenta no registrada",IF(AND(OR(P4603="Gasto",P4603="Reembolso"),D4603=""),"⚠ Falta categoría",IF(AND(D4603&lt;&gt;"",E4603&lt;&gt;"",ISNA(MATCH(D4603&amp;"|"&amp;E4603,catClave,0))),"⚠ Subcategoría no corresponde",IF(AND(OR(P4603="Transferencia",P4603="Pago tarjeta"),K4603=""),"⚠ Falta cuenta destino",IF(AND(K4603&lt;&gt;"",P4603&lt;&gt;"Transferencia",P4603&lt;&gt;"Pago tarjeta"),"⚠ Destino solo aplica a transferencias",IF(AND(K4603&lt;&gt;"",K4603=Q4603),"⚠ Origen igual a destino",IF(AND(K4603&lt;&gt;"",ISNA(MATCH(K4603,ctaNombre,0))),"⚠ Destino no registrado",IF(AND(P4603="Pago tarjeta",AE4603&lt;&gt;"Tarjeta de crédito"),"⚠ El destino debe ser tarjeta de crédito",IF(AND(P4603="Gasto",E4603="Depósitos y retiros"),"⚠ Usa tipo Transferencia",IF(AND(P4603="Resultado trading",AD4603&lt;&gt;"Cuenta de trading"),"⚠ Usa una cuenta de trading",IF(AND(G4603&lt;=0,P4603&lt;&gt;"Ajuste",P4603&lt;&gt;"Resultado trading"),"⚠ El monto debe ser positivo","✓")))))))))))))))</f>
        <v/>
      </c>
      <c r="P4603" s="52">
        <f>IF(OR(B4603="",G4603=""),"",IF(C4603="","Gasto",C4603))</f>
        <v/>
      </c>
      <c r="Q4603" s="52">
        <f>IF(P4603="","",IF(J4603&lt;&gt;"",J4603,CuentaPred&amp;""))</f>
        <v/>
      </c>
      <c r="R4603" s="52">
        <f>IF(P4603="","",IF(ISNUMBER(I4603),I4603,TasaUSD))</f>
        <v/>
      </c>
      <c r="S4603" s="53">
        <f>IF(P4603="","",IF(H4603="USD",G4603*R4603,G4603))</f>
        <v/>
      </c>
      <c r="T4603" s="53">
        <f>IF(P4603="","",IF(H4603="USD",G4603,IF(R4603&gt;0,G4603/R4603,0)))</f>
        <v/>
      </c>
      <c r="U4603" s="53">
        <f>IF(P4603="","",IF(P4603="Gasto",S4603,IF(P4603="Reembolso",-S4603,0)))</f>
        <v/>
      </c>
      <c r="V4603" s="53">
        <f>IF(P4603="","",IF(P4603="Ingreso",S4603,0))</f>
        <v/>
      </c>
      <c r="W4603" s="53">
        <f>IF(P4603="","",IF(P4603="Resultado trading",S4603,0))</f>
        <v/>
      </c>
      <c r="X4603" s="52">
        <f>IF(OR(P4603="Gasto",P4603="Reembolso"),IF(M4603&lt;&gt;"",M4603,IFERROR(INDEX(catClasif,MATCH(D4603&amp;"|"&amp;E4603,catClave,0))&amp;"","Variable")),"")</f>
        <v/>
      </c>
      <c r="Y4603" s="52">
        <f>IF(P4603="","",IFERROR(INDEX(catGrupo,MATCH(D4603&amp;"|"&amp;E4603,catClave,0))&amp;"",""))</f>
        <v/>
      </c>
      <c r="Z4603" s="52">
        <f>IF(P4603="","",WEEKDAY(B4603,2))</f>
        <v/>
      </c>
      <c r="AA4603" s="52">
        <f>IF(P4603="","",IF(AND(P4603="Gasto",X4603="Variable",D4603&lt;&gt;catTrading,S4603&gt;0,S4603&lt;=Umbral),1,0))</f>
        <v/>
      </c>
      <c r="AB4603" s="52">
        <f>IF(OR(P4603="",Q4603=""),"",IFERROR(IF(INDEX(ctaVinc,MATCH(Q4603,ctaNombre,0))&amp;""&lt;&gt;"",INDEX(ctaVinc,MATCH(Q4603,ctaNombre,0))&amp;"",Q4603),Q4603))</f>
        <v/>
      </c>
      <c r="AC4603" s="52">
        <f>IF(OR(K4603="",AND(P4603&lt;&gt;"Transferencia",P4603&lt;&gt;"Pago tarjeta")),"",IFERROR(IF(INDEX(ctaVinc,MATCH(K4603,ctaNombre,0))&amp;""&lt;&gt;"",INDEX(ctaVinc,MATCH(K4603,ctaNombre,0))&amp;"",K4603),K4603))</f>
        <v/>
      </c>
      <c r="AD4603" s="52">
        <f>IF(AB4603="","",IFERROR(INDEX(ctaTipo,MATCH(AB4603,ctaNombre,0))&amp;"",""))</f>
        <v/>
      </c>
      <c r="AE4603" s="52">
        <f>IF(AC4603="","",IFERROR(INDEX(ctaTipo,MATCH(AC4603,ctaNombre,0))&amp;"",""))</f>
        <v/>
      </c>
      <c r="AF4603" s="53">
        <f>IF(OR(P4603="",AB4603=""),"",IF(OR(P4603="Gasto",P4603="Transferencia",P4603="Pago tarjeta"),-1,1)*IF(IFERROR(INDEX(ctaMoneda,MATCH(AB4603,ctaNombre,0))&amp;"","DOP")="USD",T4603,S4603))</f>
        <v/>
      </c>
      <c r="AG4603" s="53">
        <f>IF(AC4603="","",IF(IFERROR(INDEX(ctaMoneda,MATCH(AC4603,ctaNombre,0))&amp;"","DOP")="USD",T4603,S4603))</f>
        <v/>
      </c>
      <c r="AH4603" s="53">
        <f>IF(P4603="","",IF(AND(AD4603&lt;&gt;"",COUNTIFS(tcTipo,AD4603,tcLiq,"Sí")&gt;0),IF(OR(P4603="Gasto",P4603="Transferencia",P4603="Pago tarjeta"),-1,1)*S4603,0)+IF(AND(AE4603&lt;&gt;"",COUNTIFS(tcTipo,AE4603,tcLiq,"Sí")&gt;0),S4603,0))</f>
        <v/>
      </c>
      <c r="AI4603" s="52">
        <f>IF(OR(L4603="",P4603=""),"",IF(COUNTIFS(L$6:L4603,L4603,P$6:P4603,"?*")=1,MAX(AI$5:AI4602)+1,""))</f>
        <v/>
      </c>
    </row>
    <row r="4604">
      <c r="B4604" s="47" t="n"/>
      <c r="C4604" s="48" t="n"/>
      <c r="D4604" s="48" t="n"/>
      <c r="E4604" s="48" t="n"/>
      <c r="F4604" s="48" t="n"/>
      <c r="G4604" s="49" t="n"/>
      <c r="H4604" s="48" t="n"/>
      <c r="I4604" s="50" t="n"/>
      <c r="J4604" s="48" t="n"/>
      <c r="K4604" s="48" t="n"/>
      <c r="L4604" s="48" t="n"/>
      <c r="M4604" s="48" t="n"/>
      <c r="N4604" s="48" t="n"/>
      <c r="O4604" s="51">
        <f>IF(AND(B4604="",G4604="",C4604="",D4604="",J4604=""),"",IF(B4604="","⚠ Falta fecha",IF(G4604="","⚠ Falta monto",IF(Q4604="","⚠ Falta cuenta",IF(ISNA(MATCH(Q4604,ctaNombre,0)),"⚠ Cuenta no registrada",IF(AND(OR(P4604="Gasto",P4604="Reembolso"),D4604=""),"⚠ Falta categoría",IF(AND(D4604&lt;&gt;"",E4604&lt;&gt;"",ISNA(MATCH(D4604&amp;"|"&amp;E4604,catClave,0))),"⚠ Subcategoría no corresponde",IF(AND(OR(P4604="Transferencia",P4604="Pago tarjeta"),K4604=""),"⚠ Falta cuenta destino",IF(AND(K4604&lt;&gt;"",P4604&lt;&gt;"Transferencia",P4604&lt;&gt;"Pago tarjeta"),"⚠ Destino solo aplica a transferencias",IF(AND(K4604&lt;&gt;"",K4604=Q4604),"⚠ Origen igual a destino",IF(AND(K4604&lt;&gt;"",ISNA(MATCH(K4604,ctaNombre,0))),"⚠ Destino no registrado",IF(AND(P4604="Pago tarjeta",AE4604&lt;&gt;"Tarjeta de crédito"),"⚠ El destino debe ser tarjeta de crédito",IF(AND(P4604="Gasto",E4604="Depósitos y retiros"),"⚠ Usa tipo Transferencia",IF(AND(P4604="Resultado trading",AD4604&lt;&gt;"Cuenta de trading"),"⚠ Usa una cuenta de trading",IF(AND(G4604&lt;=0,P4604&lt;&gt;"Ajuste",P4604&lt;&gt;"Resultado trading"),"⚠ El monto debe ser positivo","✓")))))))))))))))</f>
        <v/>
      </c>
      <c r="P4604" s="52">
        <f>IF(OR(B4604="",G4604=""),"",IF(C4604="","Gasto",C4604))</f>
        <v/>
      </c>
      <c r="Q4604" s="52">
        <f>IF(P4604="","",IF(J4604&lt;&gt;"",J4604,CuentaPred&amp;""))</f>
        <v/>
      </c>
      <c r="R4604" s="52">
        <f>IF(P4604="","",IF(ISNUMBER(I4604),I4604,TasaUSD))</f>
        <v/>
      </c>
      <c r="S4604" s="53">
        <f>IF(P4604="","",IF(H4604="USD",G4604*R4604,G4604))</f>
        <v/>
      </c>
      <c r="T4604" s="53">
        <f>IF(P4604="","",IF(H4604="USD",G4604,IF(R4604&gt;0,G4604/R4604,0)))</f>
        <v/>
      </c>
      <c r="U4604" s="53">
        <f>IF(P4604="","",IF(P4604="Gasto",S4604,IF(P4604="Reembolso",-S4604,0)))</f>
        <v/>
      </c>
      <c r="V4604" s="53">
        <f>IF(P4604="","",IF(P4604="Ingreso",S4604,0))</f>
        <v/>
      </c>
      <c r="W4604" s="53">
        <f>IF(P4604="","",IF(P4604="Resultado trading",S4604,0))</f>
        <v/>
      </c>
      <c r="X4604" s="52">
        <f>IF(OR(P4604="Gasto",P4604="Reembolso"),IF(M4604&lt;&gt;"",M4604,IFERROR(INDEX(catClasif,MATCH(D4604&amp;"|"&amp;E4604,catClave,0))&amp;"","Variable")),"")</f>
        <v/>
      </c>
      <c r="Y4604" s="52">
        <f>IF(P4604="","",IFERROR(INDEX(catGrupo,MATCH(D4604&amp;"|"&amp;E4604,catClave,0))&amp;"",""))</f>
        <v/>
      </c>
      <c r="Z4604" s="52">
        <f>IF(P4604="","",WEEKDAY(B4604,2))</f>
        <v/>
      </c>
      <c r="AA4604" s="52">
        <f>IF(P4604="","",IF(AND(P4604="Gasto",X4604="Variable",D4604&lt;&gt;catTrading,S4604&gt;0,S4604&lt;=Umbral),1,0))</f>
        <v/>
      </c>
      <c r="AB4604" s="52">
        <f>IF(OR(P4604="",Q4604=""),"",IFERROR(IF(INDEX(ctaVinc,MATCH(Q4604,ctaNombre,0))&amp;""&lt;&gt;"",INDEX(ctaVinc,MATCH(Q4604,ctaNombre,0))&amp;"",Q4604),Q4604))</f>
        <v/>
      </c>
      <c r="AC4604" s="52">
        <f>IF(OR(K4604="",AND(P4604&lt;&gt;"Transferencia",P4604&lt;&gt;"Pago tarjeta")),"",IFERROR(IF(INDEX(ctaVinc,MATCH(K4604,ctaNombre,0))&amp;""&lt;&gt;"",INDEX(ctaVinc,MATCH(K4604,ctaNombre,0))&amp;"",K4604),K4604))</f>
        <v/>
      </c>
      <c r="AD4604" s="52">
        <f>IF(AB4604="","",IFERROR(INDEX(ctaTipo,MATCH(AB4604,ctaNombre,0))&amp;"",""))</f>
        <v/>
      </c>
      <c r="AE4604" s="52">
        <f>IF(AC4604="","",IFERROR(INDEX(ctaTipo,MATCH(AC4604,ctaNombre,0))&amp;"",""))</f>
        <v/>
      </c>
      <c r="AF4604" s="53">
        <f>IF(OR(P4604="",AB4604=""),"",IF(OR(P4604="Gasto",P4604="Transferencia",P4604="Pago tarjeta"),-1,1)*IF(IFERROR(INDEX(ctaMoneda,MATCH(AB4604,ctaNombre,0))&amp;"","DOP")="USD",T4604,S4604))</f>
        <v/>
      </c>
      <c r="AG4604" s="53">
        <f>IF(AC4604="","",IF(IFERROR(INDEX(ctaMoneda,MATCH(AC4604,ctaNombre,0))&amp;"","DOP")="USD",T4604,S4604))</f>
        <v/>
      </c>
      <c r="AH4604" s="53">
        <f>IF(P4604="","",IF(AND(AD4604&lt;&gt;"",COUNTIFS(tcTipo,AD4604,tcLiq,"Sí")&gt;0),IF(OR(P4604="Gasto",P4604="Transferencia",P4604="Pago tarjeta"),-1,1)*S4604,0)+IF(AND(AE4604&lt;&gt;"",COUNTIFS(tcTipo,AE4604,tcLiq,"Sí")&gt;0),S4604,0))</f>
        <v/>
      </c>
      <c r="AI4604" s="52">
        <f>IF(OR(L4604="",P4604=""),"",IF(COUNTIFS(L$6:L4604,L4604,P$6:P4604,"?*")=1,MAX(AI$5:AI4603)+1,""))</f>
        <v/>
      </c>
    </row>
    <row r="4605">
      <c r="B4605" s="47" t="n"/>
      <c r="C4605" s="48" t="n"/>
      <c r="D4605" s="48" t="n"/>
      <c r="E4605" s="48" t="n"/>
      <c r="F4605" s="48" t="n"/>
      <c r="G4605" s="49" t="n"/>
      <c r="H4605" s="48" t="n"/>
      <c r="I4605" s="50" t="n"/>
      <c r="J4605" s="48" t="n"/>
      <c r="K4605" s="48" t="n"/>
      <c r="L4605" s="48" t="n"/>
      <c r="M4605" s="48" t="n"/>
      <c r="N4605" s="48" t="n"/>
      <c r="O4605" s="51">
        <f>IF(AND(B4605="",G4605="",C4605="",D4605="",J4605=""),"",IF(B4605="","⚠ Falta fecha",IF(G4605="","⚠ Falta monto",IF(Q4605="","⚠ Falta cuenta",IF(ISNA(MATCH(Q4605,ctaNombre,0)),"⚠ Cuenta no registrada",IF(AND(OR(P4605="Gasto",P4605="Reembolso"),D4605=""),"⚠ Falta categoría",IF(AND(D4605&lt;&gt;"",E4605&lt;&gt;"",ISNA(MATCH(D4605&amp;"|"&amp;E4605,catClave,0))),"⚠ Subcategoría no corresponde",IF(AND(OR(P4605="Transferencia",P4605="Pago tarjeta"),K4605=""),"⚠ Falta cuenta destino",IF(AND(K4605&lt;&gt;"",P4605&lt;&gt;"Transferencia",P4605&lt;&gt;"Pago tarjeta"),"⚠ Destino solo aplica a transferencias",IF(AND(K4605&lt;&gt;"",K4605=Q4605),"⚠ Origen igual a destino",IF(AND(K4605&lt;&gt;"",ISNA(MATCH(K4605,ctaNombre,0))),"⚠ Destino no registrado",IF(AND(P4605="Pago tarjeta",AE4605&lt;&gt;"Tarjeta de crédito"),"⚠ El destino debe ser tarjeta de crédito",IF(AND(P4605="Gasto",E4605="Depósitos y retiros"),"⚠ Usa tipo Transferencia",IF(AND(P4605="Resultado trading",AD4605&lt;&gt;"Cuenta de trading"),"⚠ Usa una cuenta de trading",IF(AND(G4605&lt;=0,P4605&lt;&gt;"Ajuste",P4605&lt;&gt;"Resultado trading"),"⚠ El monto debe ser positivo","✓")))))))))))))))</f>
        <v/>
      </c>
      <c r="P4605" s="52">
        <f>IF(OR(B4605="",G4605=""),"",IF(C4605="","Gasto",C4605))</f>
        <v/>
      </c>
      <c r="Q4605" s="52">
        <f>IF(P4605="","",IF(J4605&lt;&gt;"",J4605,CuentaPred&amp;""))</f>
        <v/>
      </c>
      <c r="R4605" s="52">
        <f>IF(P4605="","",IF(ISNUMBER(I4605),I4605,TasaUSD))</f>
        <v/>
      </c>
      <c r="S4605" s="53">
        <f>IF(P4605="","",IF(H4605="USD",G4605*R4605,G4605))</f>
        <v/>
      </c>
      <c r="T4605" s="53">
        <f>IF(P4605="","",IF(H4605="USD",G4605,IF(R4605&gt;0,G4605/R4605,0)))</f>
        <v/>
      </c>
      <c r="U4605" s="53">
        <f>IF(P4605="","",IF(P4605="Gasto",S4605,IF(P4605="Reembolso",-S4605,0)))</f>
        <v/>
      </c>
      <c r="V4605" s="53">
        <f>IF(P4605="","",IF(P4605="Ingreso",S4605,0))</f>
        <v/>
      </c>
      <c r="W4605" s="53">
        <f>IF(P4605="","",IF(P4605="Resultado trading",S4605,0))</f>
        <v/>
      </c>
      <c r="X4605" s="52">
        <f>IF(OR(P4605="Gasto",P4605="Reembolso"),IF(M4605&lt;&gt;"",M4605,IFERROR(INDEX(catClasif,MATCH(D4605&amp;"|"&amp;E4605,catClave,0))&amp;"","Variable")),"")</f>
        <v/>
      </c>
      <c r="Y4605" s="52">
        <f>IF(P4605="","",IFERROR(INDEX(catGrupo,MATCH(D4605&amp;"|"&amp;E4605,catClave,0))&amp;"",""))</f>
        <v/>
      </c>
      <c r="Z4605" s="52">
        <f>IF(P4605="","",WEEKDAY(B4605,2))</f>
        <v/>
      </c>
      <c r="AA4605" s="52">
        <f>IF(P4605="","",IF(AND(P4605="Gasto",X4605="Variable",D4605&lt;&gt;catTrading,S4605&gt;0,S4605&lt;=Umbral),1,0))</f>
        <v/>
      </c>
      <c r="AB4605" s="52">
        <f>IF(OR(P4605="",Q4605=""),"",IFERROR(IF(INDEX(ctaVinc,MATCH(Q4605,ctaNombre,0))&amp;""&lt;&gt;"",INDEX(ctaVinc,MATCH(Q4605,ctaNombre,0))&amp;"",Q4605),Q4605))</f>
        <v/>
      </c>
      <c r="AC4605" s="52">
        <f>IF(OR(K4605="",AND(P4605&lt;&gt;"Transferencia",P4605&lt;&gt;"Pago tarjeta")),"",IFERROR(IF(INDEX(ctaVinc,MATCH(K4605,ctaNombre,0))&amp;""&lt;&gt;"",INDEX(ctaVinc,MATCH(K4605,ctaNombre,0))&amp;"",K4605),K4605))</f>
        <v/>
      </c>
      <c r="AD4605" s="52">
        <f>IF(AB4605="","",IFERROR(INDEX(ctaTipo,MATCH(AB4605,ctaNombre,0))&amp;"",""))</f>
        <v/>
      </c>
      <c r="AE4605" s="52">
        <f>IF(AC4605="","",IFERROR(INDEX(ctaTipo,MATCH(AC4605,ctaNombre,0))&amp;"",""))</f>
        <v/>
      </c>
      <c r="AF4605" s="53">
        <f>IF(OR(P4605="",AB4605=""),"",IF(OR(P4605="Gasto",P4605="Transferencia",P4605="Pago tarjeta"),-1,1)*IF(IFERROR(INDEX(ctaMoneda,MATCH(AB4605,ctaNombre,0))&amp;"","DOP")="USD",T4605,S4605))</f>
        <v/>
      </c>
      <c r="AG4605" s="53">
        <f>IF(AC4605="","",IF(IFERROR(INDEX(ctaMoneda,MATCH(AC4605,ctaNombre,0))&amp;"","DOP")="USD",T4605,S4605))</f>
        <v/>
      </c>
      <c r="AH4605" s="53">
        <f>IF(P4605="","",IF(AND(AD4605&lt;&gt;"",COUNTIFS(tcTipo,AD4605,tcLiq,"Sí")&gt;0),IF(OR(P4605="Gasto",P4605="Transferencia",P4605="Pago tarjeta"),-1,1)*S4605,0)+IF(AND(AE4605&lt;&gt;"",COUNTIFS(tcTipo,AE4605,tcLiq,"Sí")&gt;0),S4605,0))</f>
        <v/>
      </c>
      <c r="AI4605" s="52">
        <f>IF(OR(L4605="",P4605=""),"",IF(COUNTIFS(L$6:L4605,L4605,P$6:P4605,"?*")=1,MAX(AI$5:AI4604)+1,""))</f>
        <v/>
      </c>
    </row>
    <row r="4606">
      <c r="B4606" s="47" t="n"/>
      <c r="C4606" s="48" t="n"/>
      <c r="D4606" s="48" t="n"/>
      <c r="E4606" s="48" t="n"/>
      <c r="F4606" s="48" t="n"/>
      <c r="G4606" s="49" t="n"/>
      <c r="H4606" s="48" t="n"/>
      <c r="I4606" s="50" t="n"/>
      <c r="J4606" s="48" t="n"/>
      <c r="K4606" s="48" t="n"/>
      <c r="L4606" s="48" t="n"/>
      <c r="M4606" s="48" t="n"/>
      <c r="N4606" s="48" t="n"/>
      <c r="O4606" s="51">
        <f>IF(AND(B4606="",G4606="",C4606="",D4606="",J4606=""),"",IF(B4606="","⚠ Falta fecha",IF(G4606="","⚠ Falta monto",IF(Q4606="","⚠ Falta cuenta",IF(ISNA(MATCH(Q4606,ctaNombre,0)),"⚠ Cuenta no registrada",IF(AND(OR(P4606="Gasto",P4606="Reembolso"),D4606=""),"⚠ Falta categoría",IF(AND(D4606&lt;&gt;"",E4606&lt;&gt;"",ISNA(MATCH(D4606&amp;"|"&amp;E4606,catClave,0))),"⚠ Subcategoría no corresponde",IF(AND(OR(P4606="Transferencia",P4606="Pago tarjeta"),K4606=""),"⚠ Falta cuenta destino",IF(AND(K4606&lt;&gt;"",P4606&lt;&gt;"Transferencia",P4606&lt;&gt;"Pago tarjeta"),"⚠ Destino solo aplica a transferencias",IF(AND(K4606&lt;&gt;"",K4606=Q4606),"⚠ Origen igual a destino",IF(AND(K4606&lt;&gt;"",ISNA(MATCH(K4606,ctaNombre,0))),"⚠ Destino no registrado",IF(AND(P4606="Pago tarjeta",AE4606&lt;&gt;"Tarjeta de crédito"),"⚠ El destino debe ser tarjeta de crédito",IF(AND(P4606="Gasto",E4606="Depósitos y retiros"),"⚠ Usa tipo Transferencia",IF(AND(P4606="Resultado trading",AD4606&lt;&gt;"Cuenta de trading"),"⚠ Usa una cuenta de trading",IF(AND(G4606&lt;=0,P4606&lt;&gt;"Ajuste",P4606&lt;&gt;"Resultado trading"),"⚠ El monto debe ser positivo","✓")))))))))))))))</f>
        <v/>
      </c>
      <c r="P4606" s="52">
        <f>IF(OR(B4606="",G4606=""),"",IF(C4606="","Gasto",C4606))</f>
        <v/>
      </c>
      <c r="Q4606" s="52">
        <f>IF(P4606="","",IF(J4606&lt;&gt;"",J4606,CuentaPred&amp;""))</f>
        <v/>
      </c>
      <c r="R4606" s="52">
        <f>IF(P4606="","",IF(ISNUMBER(I4606),I4606,TasaUSD))</f>
        <v/>
      </c>
      <c r="S4606" s="53">
        <f>IF(P4606="","",IF(H4606="USD",G4606*R4606,G4606))</f>
        <v/>
      </c>
      <c r="T4606" s="53">
        <f>IF(P4606="","",IF(H4606="USD",G4606,IF(R4606&gt;0,G4606/R4606,0)))</f>
        <v/>
      </c>
      <c r="U4606" s="53">
        <f>IF(P4606="","",IF(P4606="Gasto",S4606,IF(P4606="Reembolso",-S4606,0)))</f>
        <v/>
      </c>
      <c r="V4606" s="53">
        <f>IF(P4606="","",IF(P4606="Ingreso",S4606,0))</f>
        <v/>
      </c>
      <c r="W4606" s="53">
        <f>IF(P4606="","",IF(P4606="Resultado trading",S4606,0))</f>
        <v/>
      </c>
      <c r="X4606" s="52">
        <f>IF(OR(P4606="Gasto",P4606="Reembolso"),IF(M4606&lt;&gt;"",M4606,IFERROR(INDEX(catClasif,MATCH(D4606&amp;"|"&amp;E4606,catClave,0))&amp;"","Variable")),"")</f>
        <v/>
      </c>
      <c r="Y4606" s="52">
        <f>IF(P4606="","",IFERROR(INDEX(catGrupo,MATCH(D4606&amp;"|"&amp;E4606,catClave,0))&amp;"",""))</f>
        <v/>
      </c>
      <c r="Z4606" s="52">
        <f>IF(P4606="","",WEEKDAY(B4606,2))</f>
        <v/>
      </c>
      <c r="AA4606" s="52">
        <f>IF(P4606="","",IF(AND(P4606="Gasto",X4606="Variable",D4606&lt;&gt;catTrading,S4606&gt;0,S4606&lt;=Umbral),1,0))</f>
        <v/>
      </c>
      <c r="AB4606" s="52">
        <f>IF(OR(P4606="",Q4606=""),"",IFERROR(IF(INDEX(ctaVinc,MATCH(Q4606,ctaNombre,0))&amp;""&lt;&gt;"",INDEX(ctaVinc,MATCH(Q4606,ctaNombre,0))&amp;"",Q4606),Q4606))</f>
        <v/>
      </c>
      <c r="AC4606" s="52">
        <f>IF(OR(K4606="",AND(P4606&lt;&gt;"Transferencia",P4606&lt;&gt;"Pago tarjeta")),"",IFERROR(IF(INDEX(ctaVinc,MATCH(K4606,ctaNombre,0))&amp;""&lt;&gt;"",INDEX(ctaVinc,MATCH(K4606,ctaNombre,0))&amp;"",K4606),K4606))</f>
        <v/>
      </c>
      <c r="AD4606" s="52">
        <f>IF(AB4606="","",IFERROR(INDEX(ctaTipo,MATCH(AB4606,ctaNombre,0))&amp;"",""))</f>
        <v/>
      </c>
      <c r="AE4606" s="52">
        <f>IF(AC4606="","",IFERROR(INDEX(ctaTipo,MATCH(AC4606,ctaNombre,0))&amp;"",""))</f>
        <v/>
      </c>
      <c r="AF4606" s="53">
        <f>IF(OR(P4606="",AB4606=""),"",IF(OR(P4606="Gasto",P4606="Transferencia",P4606="Pago tarjeta"),-1,1)*IF(IFERROR(INDEX(ctaMoneda,MATCH(AB4606,ctaNombre,0))&amp;"","DOP")="USD",T4606,S4606))</f>
        <v/>
      </c>
      <c r="AG4606" s="53">
        <f>IF(AC4606="","",IF(IFERROR(INDEX(ctaMoneda,MATCH(AC4606,ctaNombre,0))&amp;"","DOP")="USD",T4606,S4606))</f>
        <v/>
      </c>
      <c r="AH4606" s="53">
        <f>IF(P4606="","",IF(AND(AD4606&lt;&gt;"",COUNTIFS(tcTipo,AD4606,tcLiq,"Sí")&gt;0),IF(OR(P4606="Gasto",P4606="Transferencia",P4606="Pago tarjeta"),-1,1)*S4606,0)+IF(AND(AE4606&lt;&gt;"",COUNTIFS(tcTipo,AE4606,tcLiq,"Sí")&gt;0),S4606,0))</f>
        <v/>
      </c>
      <c r="AI4606" s="52">
        <f>IF(OR(L4606="",P4606=""),"",IF(COUNTIFS(L$6:L4606,L4606,P$6:P4606,"?*")=1,MAX(AI$5:AI4605)+1,""))</f>
        <v/>
      </c>
    </row>
    <row r="4607">
      <c r="B4607" s="47" t="n"/>
      <c r="C4607" s="48" t="n"/>
      <c r="D4607" s="48" t="n"/>
      <c r="E4607" s="48" t="n"/>
      <c r="F4607" s="48" t="n"/>
      <c r="G4607" s="49" t="n"/>
      <c r="H4607" s="48" t="n"/>
      <c r="I4607" s="50" t="n"/>
      <c r="J4607" s="48" t="n"/>
      <c r="K4607" s="48" t="n"/>
      <c r="L4607" s="48" t="n"/>
      <c r="M4607" s="48" t="n"/>
      <c r="N4607" s="48" t="n"/>
      <c r="O4607" s="51">
        <f>IF(AND(B4607="",G4607="",C4607="",D4607="",J4607=""),"",IF(B4607="","⚠ Falta fecha",IF(G4607="","⚠ Falta monto",IF(Q4607="","⚠ Falta cuenta",IF(ISNA(MATCH(Q4607,ctaNombre,0)),"⚠ Cuenta no registrada",IF(AND(OR(P4607="Gasto",P4607="Reembolso"),D4607=""),"⚠ Falta categoría",IF(AND(D4607&lt;&gt;"",E4607&lt;&gt;"",ISNA(MATCH(D4607&amp;"|"&amp;E4607,catClave,0))),"⚠ Subcategoría no corresponde",IF(AND(OR(P4607="Transferencia",P4607="Pago tarjeta"),K4607=""),"⚠ Falta cuenta destino",IF(AND(K4607&lt;&gt;"",P4607&lt;&gt;"Transferencia",P4607&lt;&gt;"Pago tarjeta"),"⚠ Destino solo aplica a transferencias",IF(AND(K4607&lt;&gt;"",K4607=Q4607),"⚠ Origen igual a destino",IF(AND(K4607&lt;&gt;"",ISNA(MATCH(K4607,ctaNombre,0))),"⚠ Destino no registrado",IF(AND(P4607="Pago tarjeta",AE4607&lt;&gt;"Tarjeta de crédito"),"⚠ El destino debe ser tarjeta de crédito",IF(AND(P4607="Gasto",E4607="Depósitos y retiros"),"⚠ Usa tipo Transferencia",IF(AND(P4607="Resultado trading",AD4607&lt;&gt;"Cuenta de trading"),"⚠ Usa una cuenta de trading",IF(AND(G4607&lt;=0,P4607&lt;&gt;"Ajuste",P4607&lt;&gt;"Resultado trading"),"⚠ El monto debe ser positivo","✓")))))))))))))))</f>
        <v/>
      </c>
      <c r="P4607" s="52">
        <f>IF(OR(B4607="",G4607=""),"",IF(C4607="","Gasto",C4607))</f>
        <v/>
      </c>
      <c r="Q4607" s="52">
        <f>IF(P4607="","",IF(J4607&lt;&gt;"",J4607,CuentaPred&amp;""))</f>
        <v/>
      </c>
      <c r="R4607" s="52">
        <f>IF(P4607="","",IF(ISNUMBER(I4607),I4607,TasaUSD))</f>
        <v/>
      </c>
      <c r="S4607" s="53">
        <f>IF(P4607="","",IF(H4607="USD",G4607*R4607,G4607))</f>
        <v/>
      </c>
      <c r="T4607" s="53">
        <f>IF(P4607="","",IF(H4607="USD",G4607,IF(R4607&gt;0,G4607/R4607,0)))</f>
        <v/>
      </c>
      <c r="U4607" s="53">
        <f>IF(P4607="","",IF(P4607="Gasto",S4607,IF(P4607="Reembolso",-S4607,0)))</f>
        <v/>
      </c>
      <c r="V4607" s="53">
        <f>IF(P4607="","",IF(P4607="Ingreso",S4607,0))</f>
        <v/>
      </c>
      <c r="W4607" s="53">
        <f>IF(P4607="","",IF(P4607="Resultado trading",S4607,0))</f>
        <v/>
      </c>
      <c r="X4607" s="52">
        <f>IF(OR(P4607="Gasto",P4607="Reembolso"),IF(M4607&lt;&gt;"",M4607,IFERROR(INDEX(catClasif,MATCH(D4607&amp;"|"&amp;E4607,catClave,0))&amp;"","Variable")),"")</f>
        <v/>
      </c>
      <c r="Y4607" s="52">
        <f>IF(P4607="","",IFERROR(INDEX(catGrupo,MATCH(D4607&amp;"|"&amp;E4607,catClave,0))&amp;"",""))</f>
        <v/>
      </c>
      <c r="Z4607" s="52">
        <f>IF(P4607="","",WEEKDAY(B4607,2))</f>
        <v/>
      </c>
      <c r="AA4607" s="52">
        <f>IF(P4607="","",IF(AND(P4607="Gasto",X4607="Variable",D4607&lt;&gt;catTrading,S4607&gt;0,S4607&lt;=Umbral),1,0))</f>
        <v/>
      </c>
      <c r="AB4607" s="52">
        <f>IF(OR(P4607="",Q4607=""),"",IFERROR(IF(INDEX(ctaVinc,MATCH(Q4607,ctaNombre,0))&amp;""&lt;&gt;"",INDEX(ctaVinc,MATCH(Q4607,ctaNombre,0))&amp;"",Q4607),Q4607))</f>
        <v/>
      </c>
      <c r="AC4607" s="52">
        <f>IF(OR(K4607="",AND(P4607&lt;&gt;"Transferencia",P4607&lt;&gt;"Pago tarjeta")),"",IFERROR(IF(INDEX(ctaVinc,MATCH(K4607,ctaNombre,0))&amp;""&lt;&gt;"",INDEX(ctaVinc,MATCH(K4607,ctaNombre,0))&amp;"",K4607),K4607))</f>
        <v/>
      </c>
      <c r="AD4607" s="52">
        <f>IF(AB4607="","",IFERROR(INDEX(ctaTipo,MATCH(AB4607,ctaNombre,0))&amp;"",""))</f>
        <v/>
      </c>
      <c r="AE4607" s="52">
        <f>IF(AC4607="","",IFERROR(INDEX(ctaTipo,MATCH(AC4607,ctaNombre,0))&amp;"",""))</f>
        <v/>
      </c>
      <c r="AF4607" s="53">
        <f>IF(OR(P4607="",AB4607=""),"",IF(OR(P4607="Gasto",P4607="Transferencia",P4607="Pago tarjeta"),-1,1)*IF(IFERROR(INDEX(ctaMoneda,MATCH(AB4607,ctaNombre,0))&amp;"","DOP")="USD",T4607,S4607))</f>
        <v/>
      </c>
      <c r="AG4607" s="53">
        <f>IF(AC4607="","",IF(IFERROR(INDEX(ctaMoneda,MATCH(AC4607,ctaNombre,0))&amp;"","DOP")="USD",T4607,S4607))</f>
        <v/>
      </c>
      <c r="AH4607" s="53">
        <f>IF(P4607="","",IF(AND(AD4607&lt;&gt;"",COUNTIFS(tcTipo,AD4607,tcLiq,"Sí")&gt;0),IF(OR(P4607="Gasto",P4607="Transferencia",P4607="Pago tarjeta"),-1,1)*S4607,0)+IF(AND(AE4607&lt;&gt;"",COUNTIFS(tcTipo,AE4607,tcLiq,"Sí")&gt;0),S4607,0))</f>
        <v/>
      </c>
      <c r="AI4607" s="52">
        <f>IF(OR(L4607="",P4607=""),"",IF(COUNTIFS(L$6:L4607,L4607,P$6:P4607,"?*")=1,MAX(AI$5:AI4606)+1,""))</f>
        <v/>
      </c>
    </row>
    <row r="4608">
      <c r="B4608" s="47" t="n"/>
      <c r="C4608" s="48" t="n"/>
      <c r="D4608" s="48" t="n"/>
      <c r="E4608" s="48" t="n"/>
      <c r="F4608" s="48" t="n"/>
      <c r="G4608" s="49" t="n"/>
      <c r="H4608" s="48" t="n"/>
      <c r="I4608" s="50" t="n"/>
      <c r="J4608" s="48" t="n"/>
      <c r="K4608" s="48" t="n"/>
      <c r="L4608" s="48" t="n"/>
      <c r="M4608" s="48" t="n"/>
      <c r="N4608" s="48" t="n"/>
      <c r="O4608" s="51">
        <f>IF(AND(B4608="",G4608="",C4608="",D4608="",J4608=""),"",IF(B4608="","⚠ Falta fecha",IF(G4608="","⚠ Falta monto",IF(Q4608="","⚠ Falta cuenta",IF(ISNA(MATCH(Q4608,ctaNombre,0)),"⚠ Cuenta no registrada",IF(AND(OR(P4608="Gasto",P4608="Reembolso"),D4608=""),"⚠ Falta categoría",IF(AND(D4608&lt;&gt;"",E4608&lt;&gt;"",ISNA(MATCH(D4608&amp;"|"&amp;E4608,catClave,0))),"⚠ Subcategoría no corresponde",IF(AND(OR(P4608="Transferencia",P4608="Pago tarjeta"),K4608=""),"⚠ Falta cuenta destino",IF(AND(K4608&lt;&gt;"",P4608&lt;&gt;"Transferencia",P4608&lt;&gt;"Pago tarjeta"),"⚠ Destino solo aplica a transferencias",IF(AND(K4608&lt;&gt;"",K4608=Q4608),"⚠ Origen igual a destino",IF(AND(K4608&lt;&gt;"",ISNA(MATCH(K4608,ctaNombre,0))),"⚠ Destino no registrado",IF(AND(P4608="Pago tarjeta",AE4608&lt;&gt;"Tarjeta de crédito"),"⚠ El destino debe ser tarjeta de crédito",IF(AND(P4608="Gasto",E4608="Depósitos y retiros"),"⚠ Usa tipo Transferencia",IF(AND(P4608="Resultado trading",AD4608&lt;&gt;"Cuenta de trading"),"⚠ Usa una cuenta de trading",IF(AND(G4608&lt;=0,P4608&lt;&gt;"Ajuste",P4608&lt;&gt;"Resultado trading"),"⚠ El monto debe ser positivo","✓")))))))))))))))</f>
        <v/>
      </c>
      <c r="P4608" s="52">
        <f>IF(OR(B4608="",G4608=""),"",IF(C4608="","Gasto",C4608))</f>
        <v/>
      </c>
      <c r="Q4608" s="52">
        <f>IF(P4608="","",IF(J4608&lt;&gt;"",J4608,CuentaPred&amp;""))</f>
        <v/>
      </c>
      <c r="R4608" s="52">
        <f>IF(P4608="","",IF(ISNUMBER(I4608),I4608,TasaUSD))</f>
        <v/>
      </c>
      <c r="S4608" s="53">
        <f>IF(P4608="","",IF(H4608="USD",G4608*R4608,G4608))</f>
        <v/>
      </c>
      <c r="T4608" s="53">
        <f>IF(P4608="","",IF(H4608="USD",G4608,IF(R4608&gt;0,G4608/R4608,0)))</f>
        <v/>
      </c>
      <c r="U4608" s="53">
        <f>IF(P4608="","",IF(P4608="Gasto",S4608,IF(P4608="Reembolso",-S4608,0)))</f>
        <v/>
      </c>
      <c r="V4608" s="53">
        <f>IF(P4608="","",IF(P4608="Ingreso",S4608,0))</f>
        <v/>
      </c>
      <c r="W4608" s="53">
        <f>IF(P4608="","",IF(P4608="Resultado trading",S4608,0))</f>
        <v/>
      </c>
      <c r="X4608" s="52">
        <f>IF(OR(P4608="Gasto",P4608="Reembolso"),IF(M4608&lt;&gt;"",M4608,IFERROR(INDEX(catClasif,MATCH(D4608&amp;"|"&amp;E4608,catClave,0))&amp;"","Variable")),"")</f>
        <v/>
      </c>
      <c r="Y4608" s="52">
        <f>IF(P4608="","",IFERROR(INDEX(catGrupo,MATCH(D4608&amp;"|"&amp;E4608,catClave,0))&amp;"",""))</f>
        <v/>
      </c>
      <c r="Z4608" s="52">
        <f>IF(P4608="","",WEEKDAY(B4608,2))</f>
        <v/>
      </c>
      <c r="AA4608" s="52">
        <f>IF(P4608="","",IF(AND(P4608="Gasto",X4608="Variable",D4608&lt;&gt;catTrading,S4608&gt;0,S4608&lt;=Umbral),1,0))</f>
        <v/>
      </c>
      <c r="AB4608" s="52">
        <f>IF(OR(P4608="",Q4608=""),"",IFERROR(IF(INDEX(ctaVinc,MATCH(Q4608,ctaNombre,0))&amp;""&lt;&gt;"",INDEX(ctaVinc,MATCH(Q4608,ctaNombre,0))&amp;"",Q4608),Q4608))</f>
        <v/>
      </c>
      <c r="AC4608" s="52">
        <f>IF(OR(K4608="",AND(P4608&lt;&gt;"Transferencia",P4608&lt;&gt;"Pago tarjeta")),"",IFERROR(IF(INDEX(ctaVinc,MATCH(K4608,ctaNombre,0))&amp;""&lt;&gt;"",INDEX(ctaVinc,MATCH(K4608,ctaNombre,0))&amp;"",K4608),K4608))</f>
        <v/>
      </c>
      <c r="AD4608" s="52">
        <f>IF(AB4608="","",IFERROR(INDEX(ctaTipo,MATCH(AB4608,ctaNombre,0))&amp;"",""))</f>
        <v/>
      </c>
      <c r="AE4608" s="52">
        <f>IF(AC4608="","",IFERROR(INDEX(ctaTipo,MATCH(AC4608,ctaNombre,0))&amp;"",""))</f>
        <v/>
      </c>
      <c r="AF4608" s="53">
        <f>IF(OR(P4608="",AB4608=""),"",IF(OR(P4608="Gasto",P4608="Transferencia",P4608="Pago tarjeta"),-1,1)*IF(IFERROR(INDEX(ctaMoneda,MATCH(AB4608,ctaNombre,0))&amp;"","DOP")="USD",T4608,S4608))</f>
        <v/>
      </c>
      <c r="AG4608" s="53">
        <f>IF(AC4608="","",IF(IFERROR(INDEX(ctaMoneda,MATCH(AC4608,ctaNombre,0))&amp;"","DOP")="USD",T4608,S4608))</f>
        <v/>
      </c>
      <c r="AH4608" s="53">
        <f>IF(P4608="","",IF(AND(AD4608&lt;&gt;"",COUNTIFS(tcTipo,AD4608,tcLiq,"Sí")&gt;0),IF(OR(P4608="Gasto",P4608="Transferencia",P4608="Pago tarjeta"),-1,1)*S4608,0)+IF(AND(AE4608&lt;&gt;"",COUNTIFS(tcTipo,AE4608,tcLiq,"Sí")&gt;0),S4608,0))</f>
        <v/>
      </c>
      <c r="AI4608" s="52">
        <f>IF(OR(L4608="",P4608=""),"",IF(COUNTIFS(L$6:L4608,L4608,P$6:P4608,"?*")=1,MAX(AI$5:AI4607)+1,""))</f>
        <v/>
      </c>
    </row>
    <row r="4609">
      <c r="B4609" s="47" t="n"/>
      <c r="C4609" s="48" t="n"/>
      <c r="D4609" s="48" t="n"/>
      <c r="E4609" s="48" t="n"/>
      <c r="F4609" s="48" t="n"/>
      <c r="G4609" s="49" t="n"/>
      <c r="H4609" s="48" t="n"/>
      <c r="I4609" s="50" t="n"/>
      <c r="J4609" s="48" t="n"/>
      <c r="K4609" s="48" t="n"/>
      <c r="L4609" s="48" t="n"/>
      <c r="M4609" s="48" t="n"/>
      <c r="N4609" s="48" t="n"/>
      <c r="O4609" s="51">
        <f>IF(AND(B4609="",G4609="",C4609="",D4609="",J4609=""),"",IF(B4609="","⚠ Falta fecha",IF(G4609="","⚠ Falta monto",IF(Q4609="","⚠ Falta cuenta",IF(ISNA(MATCH(Q4609,ctaNombre,0)),"⚠ Cuenta no registrada",IF(AND(OR(P4609="Gasto",P4609="Reembolso"),D4609=""),"⚠ Falta categoría",IF(AND(D4609&lt;&gt;"",E4609&lt;&gt;"",ISNA(MATCH(D4609&amp;"|"&amp;E4609,catClave,0))),"⚠ Subcategoría no corresponde",IF(AND(OR(P4609="Transferencia",P4609="Pago tarjeta"),K4609=""),"⚠ Falta cuenta destino",IF(AND(K4609&lt;&gt;"",P4609&lt;&gt;"Transferencia",P4609&lt;&gt;"Pago tarjeta"),"⚠ Destino solo aplica a transferencias",IF(AND(K4609&lt;&gt;"",K4609=Q4609),"⚠ Origen igual a destino",IF(AND(K4609&lt;&gt;"",ISNA(MATCH(K4609,ctaNombre,0))),"⚠ Destino no registrado",IF(AND(P4609="Pago tarjeta",AE4609&lt;&gt;"Tarjeta de crédito"),"⚠ El destino debe ser tarjeta de crédito",IF(AND(P4609="Gasto",E4609="Depósitos y retiros"),"⚠ Usa tipo Transferencia",IF(AND(P4609="Resultado trading",AD4609&lt;&gt;"Cuenta de trading"),"⚠ Usa una cuenta de trading",IF(AND(G4609&lt;=0,P4609&lt;&gt;"Ajuste",P4609&lt;&gt;"Resultado trading"),"⚠ El monto debe ser positivo","✓")))))))))))))))</f>
        <v/>
      </c>
      <c r="P4609" s="52">
        <f>IF(OR(B4609="",G4609=""),"",IF(C4609="","Gasto",C4609))</f>
        <v/>
      </c>
      <c r="Q4609" s="52">
        <f>IF(P4609="","",IF(J4609&lt;&gt;"",J4609,CuentaPred&amp;""))</f>
        <v/>
      </c>
      <c r="R4609" s="52">
        <f>IF(P4609="","",IF(ISNUMBER(I4609),I4609,TasaUSD))</f>
        <v/>
      </c>
      <c r="S4609" s="53">
        <f>IF(P4609="","",IF(H4609="USD",G4609*R4609,G4609))</f>
        <v/>
      </c>
      <c r="T4609" s="53">
        <f>IF(P4609="","",IF(H4609="USD",G4609,IF(R4609&gt;0,G4609/R4609,0)))</f>
        <v/>
      </c>
      <c r="U4609" s="53">
        <f>IF(P4609="","",IF(P4609="Gasto",S4609,IF(P4609="Reembolso",-S4609,0)))</f>
        <v/>
      </c>
      <c r="V4609" s="53">
        <f>IF(P4609="","",IF(P4609="Ingreso",S4609,0))</f>
        <v/>
      </c>
      <c r="W4609" s="53">
        <f>IF(P4609="","",IF(P4609="Resultado trading",S4609,0))</f>
        <v/>
      </c>
      <c r="X4609" s="52">
        <f>IF(OR(P4609="Gasto",P4609="Reembolso"),IF(M4609&lt;&gt;"",M4609,IFERROR(INDEX(catClasif,MATCH(D4609&amp;"|"&amp;E4609,catClave,0))&amp;"","Variable")),"")</f>
        <v/>
      </c>
      <c r="Y4609" s="52">
        <f>IF(P4609="","",IFERROR(INDEX(catGrupo,MATCH(D4609&amp;"|"&amp;E4609,catClave,0))&amp;"",""))</f>
        <v/>
      </c>
      <c r="Z4609" s="52">
        <f>IF(P4609="","",WEEKDAY(B4609,2))</f>
        <v/>
      </c>
      <c r="AA4609" s="52">
        <f>IF(P4609="","",IF(AND(P4609="Gasto",X4609="Variable",D4609&lt;&gt;catTrading,S4609&gt;0,S4609&lt;=Umbral),1,0))</f>
        <v/>
      </c>
      <c r="AB4609" s="52">
        <f>IF(OR(P4609="",Q4609=""),"",IFERROR(IF(INDEX(ctaVinc,MATCH(Q4609,ctaNombre,0))&amp;""&lt;&gt;"",INDEX(ctaVinc,MATCH(Q4609,ctaNombre,0))&amp;"",Q4609),Q4609))</f>
        <v/>
      </c>
      <c r="AC4609" s="52">
        <f>IF(OR(K4609="",AND(P4609&lt;&gt;"Transferencia",P4609&lt;&gt;"Pago tarjeta")),"",IFERROR(IF(INDEX(ctaVinc,MATCH(K4609,ctaNombre,0))&amp;""&lt;&gt;"",INDEX(ctaVinc,MATCH(K4609,ctaNombre,0))&amp;"",K4609),K4609))</f>
        <v/>
      </c>
      <c r="AD4609" s="52">
        <f>IF(AB4609="","",IFERROR(INDEX(ctaTipo,MATCH(AB4609,ctaNombre,0))&amp;"",""))</f>
        <v/>
      </c>
      <c r="AE4609" s="52">
        <f>IF(AC4609="","",IFERROR(INDEX(ctaTipo,MATCH(AC4609,ctaNombre,0))&amp;"",""))</f>
        <v/>
      </c>
      <c r="AF4609" s="53">
        <f>IF(OR(P4609="",AB4609=""),"",IF(OR(P4609="Gasto",P4609="Transferencia",P4609="Pago tarjeta"),-1,1)*IF(IFERROR(INDEX(ctaMoneda,MATCH(AB4609,ctaNombre,0))&amp;"","DOP")="USD",T4609,S4609))</f>
        <v/>
      </c>
      <c r="AG4609" s="53">
        <f>IF(AC4609="","",IF(IFERROR(INDEX(ctaMoneda,MATCH(AC4609,ctaNombre,0))&amp;"","DOP")="USD",T4609,S4609))</f>
        <v/>
      </c>
      <c r="AH4609" s="53">
        <f>IF(P4609="","",IF(AND(AD4609&lt;&gt;"",COUNTIFS(tcTipo,AD4609,tcLiq,"Sí")&gt;0),IF(OR(P4609="Gasto",P4609="Transferencia",P4609="Pago tarjeta"),-1,1)*S4609,0)+IF(AND(AE4609&lt;&gt;"",COUNTIFS(tcTipo,AE4609,tcLiq,"Sí")&gt;0),S4609,0))</f>
        <v/>
      </c>
      <c r="AI4609" s="52">
        <f>IF(OR(L4609="",P4609=""),"",IF(COUNTIFS(L$6:L4609,L4609,P$6:P4609,"?*")=1,MAX(AI$5:AI4608)+1,""))</f>
        <v/>
      </c>
    </row>
    <row r="4610">
      <c r="B4610" s="47" t="n"/>
      <c r="C4610" s="48" t="n"/>
      <c r="D4610" s="48" t="n"/>
      <c r="E4610" s="48" t="n"/>
      <c r="F4610" s="48" t="n"/>
      <c r="G4610" s="49" t="n"/>
      <c r="H4610" s="48" t="n"/>
      <c r="I4610" s="50" t="n"/>
      <c r="J4610" s="48" t="n"/>
      <c r="K4610" s="48" t="n"/>
      <c r="L4610" s="48" t="n"/>
      <c r="M4610" s="48" t="n"/>
      <c r="N4610" s="48" t="n"/>
      <c r="O4610" s="51">
        <f>IF(AND(B4610="",G4610="",C4610="",D4610="",J4610=""),"",IF(B4610="","⚠ Falta fecha",IF(G4610="","⚠ Falta monto",IF(Q4610="","⚠ Falta cuenta",IF(ISNA(MATCH(Q4610,ctaNombre,0)),"⚠ Cuenta no registrada",IF(AND(OR(P4610="Gasto",P4610="Reembolso"),D4610=""),"⚠ Falta categoría",IF(AND(D4610&lt;&gt;"",E4610&lt;&gt;"",ISNA(MATCH(D4610&amp;"|"&amp;E4610,catClave,0))),"⚠ Subcategoría no corresponde",IF(AND(OR(P4610="Transferencia",P4610="Pago tarjeta"),K4610=""),"⚠ Falta cuenta destino",IF(AND(K4610&lt;&gt;"",P4610&lt;&gt;"Transferencia",P4610&lt;&gt;"Pago tarjeta"),"⚠ Destino solo aplica a transferencias",IF(AND(K4610&lt;&gt;"",K4610=Q4610),"⚠ Origen igual a destino",IF(AND(K4610&lt;&gt;"",ISNA(MATCH(K4610,ctaNombre,0))),"⚠ Destino no registrado",IF(AND(P4610="Pago tarjeta",AE4610&lt;&gt;"Tarjeta de crédito"),"⚠ El destino debe ser tarjeta de crédito",IF(AND(P4610="Gasto",E4610="Depósitos y retiros"),"⚠ Usa tipo Transferencia",IF(AND(P4610="Resultado trading",AD4610&lt;&gt;"Cuenta de trading"),"⚠ Usa una cuenta de trading",IF(AND(G4610&lt;=0,P4610&lt;&gt;"Ajuste",P4610&lt;&gt;"Resultado trading"),"⚠ El monto debe ser positivo","✓")))))))))))))))</f>
        <v/>
      </c>
      <c r="P4610" s="52">
        <f>IF(OR(B4610="",G4610=""),"",IF(C4610="","Gasto",C4610))</f>
        <v/>
      </c>
      <c r="Q4610" s="52">
        <f>IF(P4610="","",IF(J4610&lt;&gt;"",J4610,CuentaPred&amp;""))</f>
        <v/>
      </c>
      <c r="R4610" s="52">
        <f>IF(P4610="","",IF(ISNUMBER(I4610),I4610,TasaUSD))</f>
        <v/>
      </c>
      <c r="S4610" s="53">
        <f>IF(P4610="","",IF(H4610="USD",G4610*R4610,G4610))</f>
        <v/>
      </c>
      <c r="T4610" s="53">
        <f>IF(P4610="","",IF(H4610="USD",G4610,IF(R4610&gt;0,G4610/R4610,0)))</f>
        <v/>
      </c>
      <c r="U4610" s="53">
        <f>IF(P4610="","",IF(P4610="Gasto",S4610,IF(P4610="Reembolso",-S4610,0)))</f>
        <v/>
      </c>
      <c r="V4610" s="53">
        <f>IF(P4610="","",IF(P4610="Ingreso",S4610,0))</f>
        <v/>
      </c>
      <c r="W4610" s="53">
        <f>IF(P4610="","",IF(P4610="Resultado trading",S4610,0))</f>
        <v/>
      </c>
      <c r="X4610" s="52">
        <f>IF(OR(P4610="Gasto",P4610="Reembolso"),IF(M4610&lt;&gt;"",M4610,IFERROR(INDEX(catClasif,MATCH(D4610&amp;"|"&amp;E4610,catClave,0))&amp;"","Variable")),"")</f>
        <v/>
      </c>
      <c r="Y4610" s="52">
        <f>IF(P4610="","",IFERROR(INDEX(catGrupo,MATCH(D4610&amp;"|"&amp;E4610,catClave,0))&amp;"",""))</f>
        <v/>
      </c>
      <c r="Z4610" s="52">
        <f>IF(P4610="","",WEEKDAY(B4610,2))</f>
        <v/>
      </c>
      <c r="AA4610" s="52">
        <f>IF(P4610="","",IF(AND(P4610="Gasto",X4610="Variable",D4610&lt;&gt;catTrading,S4610&gt;0,S4610&lt;=Umbral),1,0))</f>
        <v/>
      </c>
      <c r="AB4610" s="52">
        <f>IF(OR(P4610="",Q4610=""),"",IFERROR(IF(INDEX(ctaVinc,MATCH(Q4610,ctaNombre,0))&amp;""&lt;&gt;"",INDEX(ctaVinc,MATCH(Q4610,ctaNombre,0))&amp;"",Q4610),Q4610))</f>
        <v/>
      </c>
      <c r="AC4610" s="52">
        <f>IF(OR(K4610="",AND(P4610&lt;&gt;"Transferencia",P4610&lt;&gt;"Pago tarjeta")),"",IFERROR(IF(INDEX(ctaVinc,MATCH(K4610,ctaNombre,0))&amp;""&lt;&gt;"",INDEX(ctaVinc,MATCH(K4610,ctaNombre,0))&amp;"",K4610),K4610))</f>
        <v/>
      </c>
      <c r="AD4610" s="52">
        <f>IF(AB4610="","",IFERROR(INDEX(ctaTipo,MATCH(AB4610,ctaNombre,0))&amp;"",""))</f>
        <v/>
      </c>
      <c r="AE4610" s="52">
        <f>IF(AC4610="","",IFERROR(INDEX(ctaTipo,MATCH(AC4610,ctaNombre,0))&amp;"",""))</f>
        <v/>
      </c>
      <c r="AF4610" s="53">
        <f>IF(OR(P4610="",AB4610=""),"",IF(OR(P4610="Gasto",P4610="Transferencia",P4610="Pago tarjeta"),-1,1)*IF(IFERROR(INDEX(ctaMoneda,MATCH(AB4610,ctaNombre,0))&amp;"","DOP")="USD",T4610,S4610))</f>
        <v/>
      </c>
      <c r="AG4610" s="53">
        <f>IF(AC4610="","",IF(IFERROR(INDEX(ctaMoneda,MATCH(AC4610,ctaNombre,0))&amp;"","DOP")="USD",T4610,S4610))</f>
        <v/>
      </c>
      <c r="AH4610" s="53">
        <f>IF(P4610="","",IF(AND(AD4610&lt;&gt;"",COUNTIFS(tcTipo,AD4610,tcLiq,"Sí")&gt;0),IF(OR(P4610="Gasto",P4610="Transferencia",P4610="Pago tarjeta"),-1,1)*S4610,0)+IF(AND(AE4610&lt;&gt;"",COUNTIFS(tcTipo,AE4610,tcLiq,"Sí")&gt;0),S4610,0))</f>
        <v/>
      </c>
      <c r="AI4610" s="52">
        <f>IF(OR(L4610="",P4610=""),"",IF(COUNTIFS(L$6:L4610,L4610,P$6:P4610,"?*")=1,MAX(AI$5:AI4609)+1,""))</f>
        <v/>
      </c>
    </row>
    <row r="4611">
      <c r="B4611" s="47" t="n"/>
      <c r="C4611" s="48" t="n"/>
      <c r="D4611" s="48" t="n"/>
      <c r="E4611" s="48" t="n"/>
      <c r="F4611" s="48" t="n"/>
      <c r="G4611" s="49" t="n"/>
      <c r="H4611" s="48" t="n"/>
      <c r="I4611" s="50" t="n"/>
      <c r="J4611" s="48" t="n"/>
      <c r="K4611" s="48" t="n"/>
      <c r="L4611" s="48" t="n"/>
      <c r="M4611" s="48" t="n"/>
      <c r="N4611" s="48" t="n"/>
      <c r="O4611" s="51">
        <f>IF(AND(B4611="",G4611="",C4611="",D4611="",J4611=""),"",IF(B4611="","⚠ Falta fecha",IF(G4611="","⚠ Falta monto",IF(Q4611="","⚠ Falta cuenta",IF(ISNA(MATCH(Q4611,ctaNombre,0)),"⚠ Cuenta no registrada",IF(AND(OR(P4611="Gasto",P4611="Reembolso"),D4611=""),"⚠ Falta categoría",IF(AND(D4611&lt;&gt;"",E4611&lt;&gt;"",ISNA(MATCH(D4611&amp;"|"&amp;E4611,catClave,0))),"⚠ Subcategoría no corresponde",IF(AND(OR(P4611="Transferencia",P4611="Pago tarjeta"),K4611=""),"⚠ Falta cuenta destino",IF(AND(K4611&lt;&gt;"",P4611&lt;&gt;"Transferencia",P4611&lt;&gt;"Pago tarjeta"),"⚠ Destino solo aplica a transferencias",IF(AND(K4611&lt;&gt;"",K4611=Q4611),"⚠ Origen igual a destino",IF(AND(K4611&lt;&gt;"",ISNA(MATCH(K4611,ctaNombre,0))),"⚠ Destino no registrado",IF(AND(P4611="Pago tarjeta",AE4611&lt;&gt;"Tarjeta de crédito"),"⚠ El destino debe ser tarjeta de crédito",IF(AND(P4611="Gasto",E4611="Depósitos y retiros"),"⚠ Usa tipo Transferencia",IF(AND(P4611="Resultado trading",AD4611&lt;&gt;"Cuenta de trading"),"⚠ Usa una cuenta de trading",IF(AND(G4611&lt;=0,P4611&lt;&gt;"Ajuste",P4611&lt;&gt;"Resultado trading"),"⚠ El monto debe ser positivo","✓")))))))))))))))</f>
        <v/>
      </c>
      <c r="P4611" s="52">
        <f>IF(OR(B4611="",G4611=""),"",IF(C4611="","Gasto",C4611))</f>
        <v/>
      </c>
      <c r="Q4611" s="52">
        <f>IF(P4611="","",IF(J4611&lt;&gt;"",J4611,CuentaPred&amp;""))</f>
        <v/>
      </c>
      <c r="R4611" s="52">
        <f>IF(P4611="","",IF(ISNUMBER(I4611),I4611,TasaUSD))</f>
        <v/>
      </c>
      <c r="S4611" s="53">
        <f>IF(P4611="","",IF(H4611="USD",G4611*R4611,G4611))</f>
        <v/>
      </c>
      <c r="T4611" s="53">
        <f>IF(P4611="","",IF(H4611="USD",G4611,IF(R4611&gt;0,G4611/R4611,0)))</f>
        <v/>
      </c>
      <c r="U4611" s="53">
        <f>IF(P4611="","",IF(P4611="Gasto",S4611,IF(P4611="Reembolso",-S4611,0)))</f>
        <v/>
      </c>
      <c r="V4611" s="53">
        <f>IF(P4611="","",IF(P4611="Ingreso",S4611,0))</f>
        <v/>
      </c>
      <c r="W4611" s="53">
        <f>IF(P4611="","",IF(P4611="Resultado trading",S4611,0))</f>
        <v/>
      </c>
      <c r="X4611" s="52">
        <f>IF(OR(P4611="Gasto",P4611="Reembolso"),IF(M4611&lt;&gt;"",M4611,IFERROR(INDEX(catClasif,MATCH(D4611&amp;"|"&amp;E4611,catClave,0))&amp;"","Variable")),"")</f>
        <v/>
      </c>
      <c r="Y4611" s="52">
        <f>IF(P4611="","",IFERROR(INDEX(catGrupo,MATCH(D4611&amp;"|"&amp;E4611,catClave,0))&amp;"",""))</f>
        <v/>
      </c>
      <c r="Z4611" s="52">
        <f>IF(P4611="","",WEEKDAY(B4611,2))</f>
        <v/>
      </c>
      <c r="AA4611" s="52">
        <f>IF(P4611="","",IF(AND(P4611="Gasto",X4611="Variable",D4611&lt;&gt;catTrading,S4611&gt;0,S4611&lt;=Umbral),1,0))</f>
        <v/>
      </c>
      <c r="AB4611" s="52">
        <f>IF(OR(P4611="",Q4611=""),"",IFERROR(IF(INDEX(ctaVinc,MATCH(Q4611,ctaNombre,0))&amp;""&lt;&gt;"",INDEX(ctaVinc,MATCH(Q4611,ctaNombre,0))&amp;"",Q4611),Q4611))</f>
        <v/>
      </c>
      <c r="AC4611" s="52">
        <f>IF(OR(K4611="",AND(P4611&lt;&gt;"Transferencia",P4611&lt;&gt;"Pago tarjeta")),"",IFERROR(IF(INDEX(ctaVinc,MATCH(K4611,ctaNombre,0))&amp;""&lt;&gt;"",INDEX(ctaVinc,MATCH(K4611,ctaNombre,0))&amp;"",K4611),K4611))</f>
        <v/>
      </c>
      <c r="AD4611" s="52">
        <f>IF(AB4611="","",IFERROR(INDEX(ctaTipo,MATCH(AB4611,ctaNombre,0))&amp;"",""))</f>
        <v/>
      </c>
      <c r="AE4611" s="52">
        <f>IF(AC4611="","",IFERROR(INDEX(ctaTipo,MATCH(AC4611,ctaNombre,0))&amp;"",""))</f>
        <v/>
      </c>
      <c r="AF4611" s="53">
        <f>IF(OR(P4611="",AB4611=""),"",IF(OR(P4611="Gasto",P4611="Transferencia",P4611="Pago tarjeta"),-1,1)*IF(IFERROR(INDEX(ctaMoneda,MATCH(AB4611,ctaNombre,0))&amp;"","DOP")="USD",T4611,S4611))</f>
        <v/>
      </c>
      <c r="AG4611" s="53">
        <f>IF(AC4611="","",IF(IFERROR(INDEX(ctaMoneda,MATCH(AC4611,ctaNombre,0))&amp;"","DOP")="USD",T4611,S4611))</f>
        <v/>
      </c>
      <c r="AH4611" s="53">
        <f>IF(P4611="","",IF(AND(AD4611&lt;&gt;"",COUNTIFS(tcTipo,AD4611,tcLiq,"Sí")&gt;0),IF(OR(P4611="Gasto",P4611="Transferencia",P4611="Pago tarjeta"),-1,1)*S4611,0)+IF(AND(AE4611&lt;&gt;"",COUNTIFS(tcTipo,AE4611,tcLiq,"Sí")&gt;0),S4611,0))</f>
        <v/>
      </c>
      <c r="AI4611" s="52">
        <f>IF(OR(L4611="",P4611=""),"",IF(COUNTIFS(L$6:L4611,L4611,P$6:P4611,"?*")=1,MAX(AI$5:AI4610)+1,""))</f>
        <v/>
      </c>
    </row>
    <row r="4612">
      <c r="B4612" s="47" t="n"/>
      <c r="C4612" s="48" t="n"/>
      <c r="D4612" s="48" t="n"/>
      <c r="E4612" s="48" t="n"/>
      <c r="F4612" s="48" t="n"/>
      <c r="G4612" s="49" t="n"/>
      <c r="H4612" s="48" t="n"/>
      <c r="I4612" s="50" t="n"/>
      <c r="J4612" s="48" t="n"/>
      <c r="K4612" s="48" t="n"/>
      <c r="L4612" s="48" t="n"/>
      <c r="M4612" s="48" t="n"/>
      <c r="N4612" s="48" t="n"/>
      <c r="O4612" s="51">
        <f>IF(AND(B4612="",G4612="",C4612="",D4612="",J4612=""),"",IF(B4612="","⚠ Falta fecha",IF(G4612="","⚠ Falta monto",IF(Q4612="","⚠ Falta cuenta",IF(ISNA(MATCH(Q4612,ctaNombre,0)),"⚠ Cuenta no registrada",IF(AND(OR(P4612="Gasto",P4612="Reembolso"),D4612=""),"⚠ Falta categoría",IF(AND(D4612&lt;&gt;"",E4612&lt;&gt;"",ISNA(MATCH(D4612&amp;"|"&amp;E4612,catClave,0))),"⚠ Subcategoría no corresponde",IF(AND(OR(P4612="Transferencia",P4612="Pago tarjeta"),K4612=""),"⚠ Falta cuenta destino",IF(AND(K4612&lt;&gt;"",P4612&lt;&gt;"Transferencia",P4612&lt;&gt;"Pago tarjeta"),"⚠ Destino solo aplica a transferencias",IF(AND(K4612&lt;&gt;"",K4612=Q4612),"⚠ Origen igual a destino",IF(AND(K4612&lt;&gt;"",ISNA(MATCH(K4612,ctaNombre,0))),"⚠ Destino no registrado",IF(AND(P4612="Pago tarjeta",AE4612&lt;&gt;"Tarjeta de crédito"),"⚠ El destino debe ser tarjeta de crédito",IF(AND(P4612="Gasto",E4612="Depósitos y retiros"),"⚠ Usa tipo Transferencia",IF(AND(P4612="Resultado trading",AD4612&lt;&gt;"Cuenta de trading"),"⚠ Usa una cuenta de trading",IF(AND(G4612&lt;=0,P4612&lt;&gt;"Ajuste",P4612&lt;&gt;"Resultado trading"),"⚠ El monto debe ser positivo","✓")))))))))))))))</f>
        <v/>
      </c>
      <c r="P4612" s="52">
        <f>IF(OR(B4612="",G4612=""),"",IF(C4612="","Gasto",C4612))</f>
        <v/>
      </c>
      <c r="Q4612" s="52">
        <f>IF(P4612="","",IF(J4612&lt;&gt;"",J4612,CuentaPred&amp;""))</f>
        <v/>
      </c>
      <c r="R4612" s="52">
        <f>IF(P4612="","",IF(ISNUMBER(I4612),I4612,TasaUSD))</f>
        <v/>
      </c>
      <c r="S4612" s="53">
        <f>IF(P4612="","",IF(H4612="USD",G4612*R4612,G4612))</f>
        <v/>
      </c>
      <c r="T4612" s="53">
        <f>IF(P4612="","",IF(H4612="USD",G4612,IF(R4612&gt;0,G4612/R4612,0)))</f>
        <v/>
      </c>
      <c r="U4612" s="53">
        <f>IF(P4612="","",IF(P4612="Gasto",S4612,IF(P4612="Reembolso",-S4612,0)))</f>
        <v/>
      </c>
      <c r="V4612" s="53">
        <f>IF(P4612="","",IF(P4612="Ingreso",S4612,0))</f>
        <v/>
      </c>
      <c r="W4612" s="53">
        <f>IF(P4612="","",IF(P4612="Resultado trading",S4612,0))</f>
        <v/>
      </c>
      <c r="X4612" s="52">
        <f>IF(OR(P4612="Gasto",P4612="Reembolso"),IF(M4612&lt;&gt;"",M4612,IFERROR(INDEX(catClasif,MATCH(D4612&amp;"|"&amp;E4612,catClave,0))&amp;"","Variable")),"")</f>
        <v/>
      </c>
      <c r="Y4612" s="52">
        <f>IF(P4612="","",IFERROR(INDEX(catGrupo,MATCH(D4612&amp;"|"&amp;E4612,catClave,0))&amp;"",""))</f>
        <v/>
      </c>
      <c r="Z4612" s="52">
        <f>IF(P4612="","",WEEKDAY(B4612,2))</f>
        <v/>
      </c>
      <c r="AA4612" s="52">
        <f>IF(P4612="","",IF(AND(P4612="Gasto",X4612="Variable",D4612&lt;&gt;catTrading,S4612&gt;0,S4612&lt;=Umbral),1,0))</f>
        <v/>
      </c>
      <c r="AB4612" s="52">
        <f>IF(OR(P4612="",Q4612=""),"",IFERROR(IF(INDEX(ctaVinc,MATCH(Q4612,ctaNombre,0))&amp;""&lt;&gt;"",INDEX(ctaVinc,MATCH(Q4612,ctaNombre,0))&amp;"",Q4612),Q4612))</f>
        <v/>
      </c>
      <c r="AC4612" s="52">
        <f>IF(OR(K4612="",AND(P4612&lt;&gt;"Transferencia",P4612&lt;&gt;"Pago tarjeta")),"",IFERROR(IF(INDEX(ctaVinc,MATCH(K4612,ctaNombre,0))&amp;""&lt;&gt;"",INDEX(ctaVinc,MATCH(K4612,ctaNombre,0))&amp;"",K4612),K4612))</f>
        <v/>
      </c>
      <c r="AD4612" s="52">
        <f>IF(AB4612="","",IFERROR(INDEX(ctaTipo,MATCH(AB4612,ctaNombre,0))&amp;"",""))</f>
        <v/>
      </c>
      <c r="AE4612" s="52">
        <f>IF(AC4612="","",IFERROR(INDEX(ctaTipo,MATCH(AC4612,ctaNombre,0))&amp;"",""))</f>
        <v/>
      </c>
      <c r="AF4612" s="53">
        <f>IF(OR(P4612="",AB4612=""),"",IF(OR(P4612="Gasto",P4612="Transferencia",P4612="Pago tarjeta"),-1,1)*IF(IFERROR(INDEX(ctaMoneda,MATCH(AB4612,ctaNombre,0))&amp;"","DOP")="USD",T4612,S4612))</f>
        <v/>
      </c>
      <c r="AG4612" s="53">
        <f>IF(AC4612="","",IF(IFERROR(INDEX(ctaMoneda,MATCH(AC4612,ctaNombre,0))&amp;"","DOP")="USD",T4612,S4612))</f>
        <v/>
      </c>
      <c r="AH4612" s="53">
        <f>IF(P4612="","",IF(AND(AD4612&lt;&gt;"",COUNTIFS(tcTipo,AD4612,tcLiq,"Sí")&gt;0),IF(OR(P4612="Gasto",P4612="Transferencia",P4612="Pago tarjeta"),-1,1)*S4612,0)+IF(AND(AE4612&lt;&gt;"",COUNTIFS(tcTipo,AE4612,tcLiq,"Sí")&gt;0),S4612,0))</f>
        <v/>
      </c>
      <c r="AI4612" s="52">
        <f>IF(OR(L4612="",P4612=""),"",IF(COUNTIFS(L$6:L4612,L4612,P$6:P4612,"?*")=1,MAX(AI$5:AI4611)+1,""))</f>
        <v/>
      </c>
    </row>
    <row r="4613">
      <c r="B4613" s="47" t="n"/>
      <c r="C4613" s="48" t="n"/>
      <c r="D4613" s="48" t="n"/>
      <c r="E4613" s="48" t="n"/>
      <c r="F4613" s="48" t="n"/>
      <c r="G4613" s="49" t="n"/>
      <c r="H4613" s="48" t="n"/>
      <c r="I4613" s="50" t="n"/>
      <c r="J4613" s="48" t="n"/>
      <c r="K4613" s="48" t="n"/>
      <c r="L4613" s="48" t="n"/>
      <c r="M4613" s="48" t="n"/>
      <c r="N4613" s="48" t="n"/>
      <c r="O4613" s="51">
        <f>IF(AND(B4613="",G4613="",C4613="",D4613="",J4613=""),"",IF(B4613="","⚠ Falta fecha",IF(G4613="","⚠ Falta monto",IF(Q4613="","⚠ Falta cuenta",IF(ISNA(MATCH(Q4613,ctaNombre,0)),"⚠ Cuenta no registrada",IF(AND(OR(P4613="Gasto",P4613="Reembolso"),D4613=""),"⚠ Falta categoría",IF(AND(D4613&lt;&gt;"",E4613&lt;&gt;"",ISNA(MATCH(D4613&amp;"|"&amp;E4613,catClave,0))),"⚠ Subcategoría no corresponde",IF(AND(OR(P4613="Transferencia",P4613="Pago tarjeta"),K4613=""),"⚠ Falta cuenta destino",IF(AND(K4613&lt;&gt;"",P4613&lt;&gt;"Transferencia",P4613&lt;&gt;"Pago tarjeta"),"⚠ Destino solo aplica a transferencias",IF(AND(K4613&lt;&gt;"",K4613=Q4613),"⚠ Origen igual a destino",IF(AND(K4613&lt;&gt;"",ISNA(MATCH(K4613,ctaNombre,0))),"⚠ Destino no registrado",IF(AND(P4613="Pago tarjeta",AE4613&lt;&gt;"Tarjeta de crédito"),"⚠ El destino debe ser tarjeta de crédito",IF(AND(P4613="Gasto",E4613="Depósitos y retiros"),"⚠ Usa tipo Transferencia",IF(AND(P4613="Resultado trading",AD4613&lt;&gt;"Cuenta de trading"),"⚠ Usa una cuenta de trading",IF(AND(G4613&lt;=0,P4613&lt;&gt;"Ajuste",P4613&lt;&gt;"Resultado trading"),"⚠ El monto debe ser positivo","✓")))))))))))))))</f>
        <v/>
      </c>
      <c r="P4613" s="52">
        <f>IF(OR(B4613="",G4613=""),"",IF(C4613="","Gasto",C4613))</f>
        <v/>
      </c>
      <c r="Q4613" s="52">
        <f>IF(P4613="","",IF(J4613&lt;&gt;"",J4613,CuentaPred&amp;""))</f>
        <v/>
      </c>
      <c r="R4613" s="52">
        <f>IF(P4613="","",IF(ISNUMBER(I4613),I4613,TasaUSD))</f>
        <v/>
      </c>
      <c r="S4613" s="53">
        <f>IF(P4613="","",IF(H4613="USD",G4613*R4613,G4613))</f>
        <v/>
      </c>
      <c r="T4613" s="53">
        <f>IF(P4613="","",IF(H4613="USD",G4613,IF(R4613&gt;0,G4613/R4613,0)))</f>
        <v/>
      </c>
      <c r="U4613" s="53">
        <f>IF(P4613="","",IF(P4613="Gasto",S4613,IF(P4613="Reembolso",-S4613,0)))</f>
        <v/>
      </c>
      <c r="V4613" s="53">
        <f>IF(P4613="","",IF(P4613="Ingreso",S4613,0))</f>
        <v/>
      </c>
      <c r="W4613" s="53">
        <f>IF(P4613="","",IF(P4613="Resultado trading",S4613,0))</f>
        <v/>
      </c>
      <c r="X4613" s="52">
        <f>IF(OR(P4613="Gasto",P4613="Reembolso"),IF(M4613&lt;&gt;"",M4613,IFERROR(INDEX(catClasif,MATCH(D4613&amp;"|"&amp;E4613,catClave,0))&amp;"","Variable")),"")</f>
        <v/>
      </c>
      <c r="Y4613" s="52">
        <f>IF(P4613="","",IFERROR(INDEX(catGrupo,MATCH(D4613&amp;"|"&amp;E4613,catClave,0))&amp;"",""))</f>
        <v/>
      </c>
      <c r="Z4613" s="52">
        <f>IF(P4613="","",WEEKDAY(B4613,2))</f>
        <v/>
      </c>
      <c r="AA4613" s="52">
        <f>IF(P4613="","",IF(AND(P4613="Gasto",X4613="Variable",D4613&lt;&gt;catTrading,S4613&gt;0,S4613&lt;=Umbral),1,0))</f>
        <v/>
      </c>
      <c r="AB4613" s="52">
        <f>IF(OR(P4613="",Q4613=""),"",IFERROR(IF(INDEX(ctaVinc,MATCH(Q4613,ctaNombre,0))&amp;""&lt;&gt;"",INDEX(ctaVinc,MATCH(Q4613,ctaNombre,0))&amp;"",Q4613),Q4613))</f>
        <v/>
      </c>
      <c r="AC4613" s="52">
        <f>IF(OR(K4613="",AND(P4613&lt;&gt;"Transferencia",P4613&lt;&gt;"Pago tarjeta")),"",IFERROR(IF(INDEX(ctaVinc,MATCH(K4613,ctaNombre,0))&amp;""&lt;&gt;"",INDEX(ctaVinc,MATCH(K4613,ctaNombre,0))&amp;"",K4613),K4613))</f>
        <v/>
      </c>
      <c r="AD4613" s="52">
        <f>IF(AB4613="","",IFERROR(INDEX(ctaTipo,MATCH(AB4613,ctaNombre,0))&amp;"",""))</f>
        <v/>
      </c>
      <c r="AE4613" s="52">
        <f>IF(AC4613="","",IFERROR(INDEX(ctaTipo,MATCH(AC4613,ctaNombre,0))&amp;"",""))</f>
        <v/>
      </c>
      <c r="AF4613" s="53">
        <f>IF(OR(P4613="",AB4613=""),"",IF(OR(P4613="Gasto",P4613="Transferencia",P4613="Pago tarjeta"),-1,1)*IF(IFERROR(INDEX(ctaMoneda,MATCH(AB4613,ctaNombre,0))&amp;"","DOP")="USD",T4613,S4613))</f>
        <v/>
      </c>
      <c r="AG4613" s="53">
        <f>IF(AC4613="","",IF(IFERROR(INDEX(ctaMoneda,MATCH(AC4613,ctaNombre,0))&amp;"","DOP")="USD",T4613,S4613))</f>
        <v/>
      </c>
      <c r="AH4613" s="53">
        <f>IF(P4613="","",IF(AND(AD4613&lt;&gt;"",COUNTIFS(tcTipo,AD4613,tcLiq,"Sí")&gt;0),IF(OR(P4613="Gasto",P4613="Transferencia",P4613="Pago tarjeta"),-1,1)*S4613,0)+IF(AND(AE4613&lt;&gt;"",COUNTIFS(tcTipo,AE4613,tcLiq,"Sí")&gt;0),S4613,0))</f>
        <v/>
      </c>
      <c r="AI4613" s="52">
        <f>IF(OR(L4613="",P4613=""),"",IF(COUNTIFS(L$6:L4613,L4613,P$6:P4613,"?*")=1,MAX(AI$5:AI4612)+1,""))</f>
        <v/>
      </c>
    </row>
    <row r="4614">
      <c r="B4614" s="47" t="n"/>
      <c r="C4614" s="48" t="n"/>
      <c r="D4614" s="48" t="n"/>
      <c r="E4614" s="48" t="n"/>
      <c r="F4614" s="48" t="n"/>
      <c r="G4614" s="49" t="n"/>
      <c r="H4614" s="48" t="n"/>
      <c r="I4614" s="50" t="n"/>
      <c r="J4614" s="48" t="n"/>
      <c r="K4614" s="48" t="n"/>
      <c r="L4614" s="48" t="n"/>
      <c r="M4614" s="48" t="n"/>
      <c r="N4614" s="48" t="n"/>
      <c r="O4614" s="51">
        <f>IF(AND(B4614="",G4614="",C4614="",D4614="",J4614=""),"",IF(B4614="","⚠ Falta fecha",IF(G4614="","⚠ Falta monto",IF(Q4614="","⚠ Falta cuenta",IF(ISNA(MATCH(Q4614,ctaNombre,0)),"⚠ Cuenta no registrada",IF(AND(OR(P4614="Gasto",P4614="Reembolso"),D4614=""),"⚠ Falta categoría",IF(AND(D4614&lt;&gt;"",E4614&lt;&gt;"",ISNA(MATCH(D4614&amp;"|"&amp;E4614,catClave,0))),"⚠ Subcategoría no corresponde",IF(AND(OR(P4614="Transferencia",P4614="Pago tarjeta"),K4614=""),"⚠ Falta cuenta destino",IF(AND(K4614&lt;&gt;"",P4614&lt;&gt;"Transferencia",P4614&lt;&gt;"Pago tarjeta"),"⚠ Destino solo aplica a transferencias",IF(AND(K4614&lt;&gt;"",K4614=Q4614),"⚠ Origen igual a destino",IF(AND(K4614&lt;&gt;"",ISNA(MATCH(K4614,ctaNombre,0))),"⚠ Destino no registrado",IF(AND(P4614="Pago tarjeta",AE4614&lt;&gt;"Tarjeta de crédito"),"⚠ El destino debe ser tarjeta de crédito",IF(AND(P4614="Gasto",E4614="Depósitos y retiros"),"⚠ Usa tipo Transferencia",IF(AND(P4614="Resultado trading",AD4614&lt;&gt;"Cuenta de trading"),"⚠ Usa una cuenta de trading",IF(AND(G4614&lt;=0,P4614&lt;&gt;"Ajuste",P4614&lt;&gt;"Resultado trading"),"⚠ El monto debe ser positivo","✓")))))))))))))))</f>
        <v/>
      </c>
      <c r="P4614" s="52">
        <f>IF(OR(B4614="",G4614=""),"",IF(C4614="","Gasto",C4614))</f>
        <v/>
      </c>
      <c r="Q4614" s="52">
        <f>IF(P4614="","",IF(J4614&lt;&gt;"",J4614,CuentaPred&amp;""))</f>
        <v/>
      </c>
      <c r="R4614" s="52">
        <f>IF(P4614="","",IF(ISNUMBER(I4614),I4614,TasaUSD))</f>
        <v/>
      </c>
      <c r="S4614" s="53">
        <f>IF(P4614="","",IF(H4614="USD",G4614*R4614,G4614))</f>
        <v/>
      </c>
      <c r="T4614" s="53">
        <f>IF(P4614="","",IF(H4614="USD",G4614,IF(R4614&gt;0,G4614/R4614,0)))</f>
        <v/>
      </c>
      <c r="U4614" s="53">
        <f>IF(P4614="","",IF(P4614="Gasto",S4614,IF(P4614="Reembolso",-S4614,0)))</f>
        <v/>
      </c>
      <c r="V4614" s="53">
        <f>IF(P4614="","",IF(P4614="Ingreso",S4614,0))</f>
        <v/>
      </c>
      <c r="W4614" s="53">
        <f>IF(P4614="","",IF(P4614="Resultado trading",S4614,0))</f>
        <v/>
      </c>
      <c r="X4614" s="52">
        <f>IF(OR(P4614="Gasto",P4614="Reembolso"),IF(M4614&lt;&gt;"",M4614,IFERROR(INDEX(catClasif,MATCH(D4614&amp;"|"&amp;E4614,catClave,0))&amp;"","Variable")),"")</f>
        <v/>
      </c>
      <c r="Y4614" s="52">
        <f>IF(P4614="","",IFERROR(INDEX(catGrupo,MATCH(D4614&amp;"|"&amp;E4614,catClave,0))&amp;"",""))</f>
        <v/>
      </c>
      <c r="Z4614" s="52">
        <f>IF(P4614="","",WEEKDAY(B4614,2))</f>
        <v/>
      </c>
      <c r="AA4614" s="52">
        <f>IF(P4614="","",IF(AND(P4614="Gasto",X4614="Variable",D4614&lt;&gt;catTrading,S4614&gt;0,S4614&lt;=Umbral),1,0))</f>
        <v/>
      </c>
      <c r="AB4614" s="52">
        <f>IF(OR(P4614="",Q4614=""),"",IFERROR(IF(INDEX(ctaVinc,MATCH(Q4614,ctaNombre,0))&amp;""&lt;&gt;"",INDEX(ctaVinc,MATCH(Q4614,ctaNombre,0))&amp;"",Q4614),Q4614))</f>
        <v/>
      </c>
      <c r="AC4614" s="52">
        <f>IF(OR(K4614="",AND(P4614&lt;&gt;"Transferencia",P4614&lt;&gt;"Pago tarjeta")),"",IFERROR(IF(INDEX(ctaVinc,MATCH(K4614,ctaNombre,0))&amp;""&lt;&gt;"",INDEX(ctaVinc,MATCH(K4614,ctaNombre,0))&amp;"",K4614),K4614))</f>
        <v/>
      </c>
      <c r="AD4614" s="52">
        <f>IF(AB4614="","",IFERROR(INDEX(ctaTipo,MATCH(AB4614,ctaNombre,0))&amp;"",""))</f>
        <v/>
      </c>
      <c r="AE4614" s="52">
        <f>IF(AC4614="","",IFERROR(INDEX(ctaTipo,MATCH(AC4614,ctaNombre,0))&amp;"",""))</f>
        <v/>
      </c>
      <c r="AF4614" s="53">
        <f>IF(OR(P4614="",AB4614=""),"",IF(OR(P4614="Gasto",P4614="Transferencia",P4614="Pago tarjeta"),-1,1)*IF(IFERROR(INDEX(ctaMoneda,MATCH(AB4614,ctaNombre,0))&amp;"","DOP")="USD",T4614,S4614))</f>
        <v/>
      </c>
      <c r="AG4614" s="53">
        <f>IF(AC4614="","",IF(IFERROR(INDEX(ctaMoneda,MATCH(AC4614,ctaNombre,0))&amp;"","DOP")="USD",T4614,S4614))</f>
        <v/>
      </c>
      <c r="AH4614" s="53">
        <f>IF(P4614="","",IF(AND(AD4614&lt;&gt;"",COUNTIFS(tcTipo,AD4614,tcLiq,"Sí")&gt;0),IF(OR(P4614="Gasto",P4614="Transferencia",P4614="Pago tarjeta"),-1,1)*S4614,0)+IF(AND(AE4614&lt;&gt;"",COUNTIFS(tcTipo,AE4614,tcLiq,"Sí")&gt;0),S4614,0))</f>
        <v/>
      </c>
      <c r="AI4614" s="52">
        <f>IF(OR(L4614="",P4614=""),"",IF(COUNTIFS(L$6:L4614,L4614,P$6:P4614,"?*")=1,MAX(AI$5:AI4613)+1,""))</f>
        <v/>
      </c>
    </row>
    <row r="4615">
      <c r="B4615" s="47" t="n"/>
      <c r="C4615" s="48" t="n"/>
      <c r="D4615" s="48" t="n"/>
      <c r="E4615" s="48" t="n"/>
      <c r="F4615" s="48" t="n"/>
      <c r="G4615" s="49" t="n"/>
      <c r="H4615" s="48" t="n"/>
      <c r="I4615" s="50" t="n"/>
      <c r="J4615" s="48" t="n"/>
      <c r="K4615" s="48" t="n"/>
      <c r="L4615" s="48" t="n"/>
      <c r="M4615" s="48" t="n"/>
      <c r="N4615" s="48" t="n"/>
      <c r="O4615" s="51">
        <f>IF(AND(B4615="",G4615="",C4615="",D4615="",J4615=""),"",IF(B4615="","⚠ Falta fecha",IF(G4615="","⚠ Falta monto",IF(Q4615="","⚠ Falta cuenta",IF(ISNA(MATCH(Q4615,ctaNombre,0)),"⚠ Cuenta no registrada",IF(AND(OR(P4615="Gasto",P4615="Reembolso"),D4615=""),"⚠ Falta categoría",IF(AND(D4615&lt;&gt;"",E4615&lt;&gt;"",ISNA(MATCH(D4615&amp;"|"&amp;E4615,catClave,0))),"⚠ Subcategoría no corresponde",IF(AND(OR(P4615="Transferencia",P4615="Pago tarjeta"),K4615=""),"⚠ Falta cuenta destino",IF(AND(K4615&lt;&gt;"",P4615&lt;&gt;"Transferencia",P4615&lt;&gt;"Pago tarjeta"),"⚠ Destino solo aplica a transferencias",IF(AND(K4615&lt;&gt;"",K4615=Q4615),"⚠ Origen igual a destino",IF(AND(K4615&lt;&gt;"",ISNA(MATCH(K4615,ctaNombre,0))),"⚠ Destino no registrado",IF(AND(P4615="Pago tarjeta",AE4615&lt;&gt;"Tarjeta de crédito"),"⚠ El destino debe ser tarjeta de crédito",IF(AND(P4615="Gasto",E4615="Depósitos y retiros"),"⚠ Usa tipo Transferencia",IF(AND(P4615="Resultado trading",AD4615&lt;&gt;"Cuenta de trading"),"⚠ Usa una cuenta de trading",IF(AND(G4615&lt;=0,P4615&lt;&gt;"Ajuste",P4615&lt;&gt;"Resultado trading"),"⚠ El monto debe ser positivo","✓")))))))))))))))</f>
        <v/>
      </c>
      <c r="P4615" s="52">
        <f>IF(OR(B4615="",G4615=""),"",IF(C4615="","Gasto",C4615))</f>
        <v/>
      </c>
      <c r="Q4615" s="52">
        <f>IF(P4615="","",IF(J4615&lt;&gt;"",J4615,CuentaPred&amp;""))</f>
        <v/>
      </c>
      <c r="R4615" s="52">
        <f>IF(P4615="","",IF(ISNUMBER(I4615),I4615,TasaUSD))</f>
        <v/>
      </c>
      <c r="S4615" s="53">
        <f>IF(P4615="","",IF(H4615="USD",G4615*R4615,G4615))</f>
        <v/>
      </c>
      <c r="T4615" s="53">
        <f>IF(P4615="","",IF(H4615="USD",G4615,IF(R4615&gt;0,G4615/R4615,0)))</f>
        <v/>
      </c>
      <c r="U4615" s="53">
        <f>IF(P4615="","",IF(P4615="Gasto",S4615,IF(P4615="Reembolso",-S4615,0)))</f>
        <v/>
      </c>
      <c r="V4615" s="53">
        <f>IF(P4615="","",IF(P4615="Ingreso",S4615,0))</f>
        <v/>
      </c>
      <c r="W4615" s="53">
        <f>IF(P4615="","",IF(P4615="Resultado trading",S4615,0))</f>
        <v/>
      </c>
      <c r="X4615" s="52">
        <f>IF(OR(P4615="Gasto",P4615="Reembolso"),IF(M4615&lt;&gt;"",M4615,IFERROR(INDEX(catClasif,MATCH(D4615&amp;"|"&amp;E4615,catClave,0))&amp;"","Variable")),"")</f>
        <v/>
      </c>
      <c r="Y4615" s="52">
        <f>IF(P4615="","",IFERROR(INDEX(catGrupo,MATCH(D4615&amp;"|"&amp;E4615,catClave,0))&amp;"",""))</f>
        <v/>
      </c>
      <c r="Z4615" s="52">
        <f>IF(P4615="","",WEEKDAY(B4615,2))</f>
        <v/>
      </c>
      <c r="AA4615" s="52">
        <f>IF(P4615="","",IF(AND(P4615="Gasto",X4615="Variable",D4615&lt;&gt;catTrading,S4615&gt;0,S4615&lt;=Umbral),1,0))</f>
        <v/>
      </c>
      <c r="AB4615" s="52">
        <f>IF(OR(P4615="",Q4615=""),"",IFERROR(IF(INDEX(ctaVinc,MATCH(Q4615,ctaNombre,0))&amp;""&lt;&gt;"",INDEX(ctaVinc,MATCH(Q4615,ctaNombre,0))&amp;"",Q4615),Q4615))</f>
        <v/>
      </c>
      <c r="AC4615" s="52">
        <f>IF(OR(K4615="",AND(P4615&lt;&gt;"Transferencia",P4615&lt;&gt;"Pago tarjeta")),"",IFERROR(IF(INDEX(ctaVinc,MATCH(K4615,ctaNombre,0))&amp;""&lt;&gt;"",INDEX(ctaVinc,MATCH(K4615,ctaNombre,0))&amp;"",K4615),K4615))</f>
        <v/>
      </c>
      <c r="AD4615" s="52">
        <f>IF(AB4615="","",IFERROR(INDEX(ctaTipo,MATCH(AB4615,ctaNombre,0))&amp;"",""))</f>
        <v/>
      </c>
      <c r="AE4615" s="52">
        <f>IF(AC4615="","",IFERROR(INDEX(ctaTipo,MATCH(AC4615,ctaNombre,0))&amp;"",""))</f>
        <v/>
      </c>
      <c r="AF4615" s="53">
        <f>IF(OR(P4615="",AB4615=""),"",IF(OR(P4615="Gasto",P4615="Transferencia",P4615="Pago tarjeta"),-1,1)*IF(IFERROR(INDEX(ctaMoneda,MATCH(AB4615,ctaNombre,0))&amp;"","DOP")="USD",T4615,S4615))</f>
        <v/>
      </c>
      <c r="AG4615" s="53">
        <f>IF(AC4615="","",IF(IFERROR(INDEX(ctaMoneda,MATCH(AC4615,ctaNombre,0))&amp;"","DOP")="USD",T4615,S4615))</f>
        <v/>
      </c>
      <c r="AH4615" s="53">
        <f>IF(P4615="","",IF(AND(AD4615&lt;&gt;"",COUNTIFS(tcTipo,AD4615,tcLiq,"Sí")&gt;0),IF(OR(P4615="Gasto",P4615="Transferencia",P4615="Pago tarjeta"),-1,1)*S4615,0)+IF(AND(AE4615&lt;&gt;"",COUNTIFS(tcTipo,AE4615,tcLiq,"Sí")&gt;0),S4615,0))</f>
        <v/>
      </c>
      <c r="AI4615" s="52">
        <f>IF(OR(L4615="",P4615=""),"",IF(COUNTIFS(L$6:L4615,L4615,P$6:P4615,"?*")=1,MAX(AI$5:AI4614)+1,""))</f>
        <v/>
      </c>
    </row>
    <row r="4616">
      <c r="B4616" s="47" t="n"/>
      <c r="C4616" s="48" t="n"/>
      <c r="D4616" s="48" t="n"/>
      <c r="E4616" s="48" t="n"/>
      <c r="F4616" s="48" t="n"/>
      <c r="G4616" s="49" t="n"/>
      <c r="H4616" s="48" t="n"/>
      <c r="I4616" s="50" t="n"/>
      <c r="J4616" s="48" t="n"/>
      <c r="K4616" s="48" t="n"/>
      <c r="L4616" s="48" t="n"/>
      <c r="M4616" s="48" t="n"/>
      <c r="N4616" s="48" t="n"/>
      <c r="O4616" s="51">
        <f>IF(AND(B4616="",G4616="",C4616="",D4616="",J4616=""),"",IF(B4616="","⚠ Falta fecha",IF(G4616="","⚠ Falta monto",IF(Q4616="","⚠ Falta cuenta",IF(ISNA(MATCH(Q4616,ctaNombre,0)),"⚠ Cuenta no registrada",IF(AND(OR(P4616="Gasto",P4616="Reembolso"),D4616=""),"⚠ Falta categoría",IF(AND(D4616&lt;&gt;"",E4616&lt;&gt;"",ISNA(MATCH(D4616&amp;"|"&amp;E4616,catClave,0))),"⚠ Subcategoría no corresponde",IF(AND(OR(P4616="Transferencia",P4616="Pago tarjeta"),K4616=""),"⚠ Falta cuenta destino",IF(AND(K4616&lt;&gt;"",P4616&lt;&gt;"Transferencia",P4616&lt;&gt;"Pago tarjeta"),"⚠ Destino solo aplica a transferencias",IF(AND(K4616&lt;&gt;"",K4616=Q4616),"⚠ Origen igual a destino",IF(AND(K4616&lt;&gt;"",ISNA(MATCH(K4616,ctaNombre,0))),"⚠ Destino no registrado",IF(AND(P4616="Pago tarjeta",AE4616&lt;&gt;"Tarjeta de crédito"),"⚠ El destino debe ser tarjeta de crédito",IF(AND(P4616="Gasto",E4616="Depósitos y retiros"),"⚠ Usa tipo Transferencia",IF(AND(P4616="Resultado trading",AD4616&lt;&gt;"Cuenta de trading"),"⚠ Usa una cuenta de trading",IF(AND(G4616&lt;=0,P4616&lt;&gt;"Ajuste",P4616&lt;&gt;"Resultado trading"),"⚠ El monto debe ser positivo","✓")))))))))))))))</f>
        <v/>
      </c>
      <c r="P4616" s="52">
        <f>IF(OR(B4616="",G4616=""),"",IF(C4616="","Gasto",C4616))</f>
        <v/>
      </c>
      <c r="Q4616" s="52">
        <f>IF(P4616="","",IF(J4616&lt;&gt;"",J4616,CuentaPred&amp;""))</f>
        <v/>
      </c>
      <c r="R4616" s="52">
        <f>IF(P4616="","",IF(ISNUMBER(I4616),I4616,TasaUSD))</f>
        <v/>
      </c>
      <c r="S4616" s="53">
        <f>IF(P4616="","",IF(H4616="USD",G4616*R4616,G4616))</f>
        <v/>
      </c>
      <c r="T4616" s="53">
        <f>IF(P4616="","",IF(H4616="USD",G4616,IF(R4616&gt;0,G4616/R4616,0)))</f>
        <v/>
      </c>
      <c r="U4616" s="53">
        <f>IF(P4616="","",IF(P4616="Gasto",S4616,IF(P4616="Reembolso",-S4616,0)))</f>
        <v/>
      </c>
      <c r="V4616" s="53">
        <f>IF(P4616="","",IF(P4616="Ingreso",S4616,0))</f>
        <v/>
      </c>
      <c r="W4616" s="53">
        <f>IF(P4616="","",IF(P4616="Resultado trading",S4616,0))</f>
        <v/>
      </c>
      <c r="X4616" s="52">
        <f>IF(OR(P4616="Gasto",P4616="Reembolso"),IF(M4616&lt;&gt;"",M4616,IFERROR(INDEX(catClasif,MATCH(D4616&amp;"|"&amp;E4616,catClave,0))&amp;"","Variable")),"")</f>
        <v/>
      </c>
      <c r="Y4616" s="52">
        <f>IF(P4616="","",IFERROR(INDEX(catGrupo,MATCH(D4616&amp;"|"&amp;E4616,catClave,0))&amp;"",""))</f>
        <v/>
      </c>
      <c r="Z4616" s="52">
        <f>IF(P4616="","",WEEKDAY(B4616,2))</f>
        <v/>
      </c>
      <c r="AA4616" s="52">
        <f>IF(P4616="","",IF(AND(P4616="Gasto",X4616="Variable",D4616&lt;&gt;catTrading,S4616&gt;0,S4616&lt;=Umbral),1,0))</f>
        <v/>
      </c>
      <c r="AB4616" s="52">
        <f>IF(OR(P4616="",Q4616=""),"",IFERROR(IF(INDEX(ctaVinc,MATCH(Q4616,ctaNombre,0))&amp;""&lt;&gt;"",INDEX(ctaVinc,MATCH(Q4616,ctaNombre,0))&amp;"",Q4616),Q4616))</f>
        <v/>
      </c>
      <c r="AC4616" s="52">
        <f>IF(OR(K4616="",AND(P4616&lt;&gt;"Transferencia",P4616&lt;&gt;"Pago tarjeta")),"",IFERROR(IF(INDEX(ctaVinc,MATCH(K4616,ctaNombre,0))&amp;""&lt;&gt;"",INDEX(ctaVinc,MATCH(K4616,ctaNombre,0))&amp;"",K4616),K4616))</f>
        <v/>
      </c>
      <c r="AD4616" s="52">
        <f>IF(AB4616="","",IFERROR(INDEX(ctaTipo,MATCH(AB4616,ctaNombre,0))&amp;"",""))</f>
        <v/>
      </c>
      <c r="AE4616" s="52">
        <f>IF(AC4616="","",IFERROR(INDEX(ctaTipo,MATCH(AC4616,ctaNombre,0))&amp;"",""))</f>
        <v/>
      </c>
      <c r="AF4616" s="53">
        <f>IF(OR(P4616="",AB4616=""),"",IF(OR(P4616="Gasto",P4616="Transferencia",P4616="Pago tarjeta"),-1,1)*IF(IFERROR(INDEX(ctaMoneda,MATCH(AB4616,ctaNombre,0))&amp;"","DOP")="USD",T4616,S4616))</f>
        <v/>
      </c>
      <c r="AG4616" s="53">
        <f>IF(AC4616="","",IF(IFERROR(INDEX(ctaMoneda,MATCH(AC4616,ctaNombre,0))&amp;"","DOP")="USD",T4616,S4616))</f>
        <v/>
      </c>
      <c r="AH4616" s="53">
        <f>IF(P4616="","",IF(AND(AD4616&lt;&gt;"",COUNTIFS(tcTipo,AD4616,tcLiq,"Sí")&gt;0),IF(OR(P4616="Gasto",P4616="Transferencia",P4616="Pago tarjeta"),-1,1)*S4616,0)+IF(AND(AE4616&lt;&gt;"",COUNTIFS(tcTipo,AE4616,tcLiq,"Sí")&gt;0),S4616,0))</f>
        <v/>
      </c>
      <c r="AI4616" s="52">
        <f>IF(OR(L4616="",P4616=""),"",IF(COUNTIFS(L$6:L4616,L4616,P$6:P4616,"?*")=1,MAX(AI$5:AI4615)+1,""))</f>
        <v/>
      </c>
    </row>
    <row r="4617">
      <c r="B4617" s="47" t="n"/>
      <c r="C4617" s="48" t="n"/>
      <c r="D4617" s="48" t="n"/>
      <c r="E4617" s="48" t="n"/>
      <c r="F4617" s="48" t="n"/>
      <c r="G4617" s="49" t="n"/>
      <c r="H4617" s="48" t="n"/>
      <c r="I4617" s="50" t="n"/>
      <c r="J4617" s="48" t="n"/>
      <c r="K4617" s="48" t="n"/>
      <c r="L4617" s="48" t="n"/>
      <c r="M4617" s="48" t="n"/>
      <c r="N4617" s="48" t="n"/>
      <c r="O4617" s="51">
        <f>IF(AND(B4617="",G4617="",C4617="",D4617="",J4617=""),"",IF(B4617="","⚠ Falta fecha",IF(G4617="","⚠ Falta monto",IF(Q4617="","⚠ Falta cuenta",IF(ISNA(MATCH(Q4617,ctaNombre,0)),"⚠ Cuenta no registrada",IF(AND(OR(P4617="Gasto",P4617="Reembolso"),D4617=""),"⚠ Falta categoría",IF(AND(D4617&lt;&gt;"",E4617&lt;&gt;"",ISNA(MATCH(D4617&amp;"|"&amp;E4617,catClave,0))),"⚠ Subcategoría no corresponde",IF(AND(OR(P4617="Transferencia",P4617="Pago tarjeta"),K4617=""),"⚠ Falta cuenta destino",IF(AND(K4617&lt;&gt;"",P4617&lt;&gt;"Transferencia",P4617&lt;&gt;"Pago tarjeta"),"⚠ Destino solo aplica a transferencias",IF(AND(K4617&lt;&gt;"",K4617=Q4617),"⚠ Origen igual a destino",IF(AND(K4617&lt;&gt;"",ISNA(MATCH(K4617,ctaNombre,0))),"⚠ Destino no registrado",IF(AND(P4617="Pago tarjeta",AE4617&lt;&gt;"Tarjeta de crédito"),"⚠ El destino debe ser tarjeta de crédito",IF(AND(P4617="Gasto",E4617="Depósitos y retiros"),"⚠ Usa tipo Transferencia",IF(AND(P4617="Resultado trading",AD4617&lt;&gt;"Cuenta de trading"),"⚠ Usa una cuenta de trading",IF(AND(G4617&lt;=0,P4617&lt;&gt;"Ajuste",P4617&lt;&gt;"Resultado trading"),"⚠ El monto debe ser positivo","✓")))))))))))))))</f>
        <v/>
      </c>
      <c r="P4617" s="52">
        <f>IF(OR(B4617="",G4617=""),"",IF(C4617="","Gasto",C4617))</f>
        <v/>
      </c>
      <c r="Q4617" s="52">
        <f>IF(P4617="","",IF(J4617&lt;&gt;"",J4617,CuentaPred&amp;""))</f>
        <v/>
      </c>
      <c r="R4617" s="52">
        <f>IF(P4617="","",IF(ISNUMBER(I4617),I4617,TasaUSD))</f>
        <v/>
      </c>
      <c r="S4617" s="53">
        <f>IF(P4617="","",IF(H4617="USD",G4617*R4617,G4617))</f>
        <v/>
      </c>
      <c r="T4617" s="53">
        <f>IF(P4617="","",IF(H4617="USD",G4617,IF(R4617&gt;0,G4617/R4617,0)))</f>
        <v/>
      </c>
      <c r="U4617" s="53">
        <f>IF(P4617="","",IF(P4617="Gasto",S4617,IF(P4617="Reembolso",-S4617,0)))</f>
        <v/>
      </c>
      <c r="V4617" s="53">
        <f>IF(P4617="","",IF(P4617="Ingreso",S4617,0))</f>
        <v/>
      </c>
      <c r="W4617" s="53">
        <f>IF(P4617="","",IF(P4617="Resultado trading",S4617,0))</f>
        <v/>
      </c>
      <c r="X4617" s="52">
        <f>IF(OR(P4617="Gasto",P4617="Reembolso"),IF(M4617&lt;&gt;"",M4617,IFERROR(INDEX(catClasif,MATCH(D4617&amp;"|"&amp;E4617,catClave,0))&amp;"","Variable")),"")</f>
        <v/>
      </c>
      <c r="Y4617" s="52">
        <f>IF(P4617="","",IFERROR(INDEX(catGrupo,MATCH(D4617&amp;"|"&amp;E4617,catClave,0))&amp;"",""))</f>
        <v/>
      </c>
      <c r="Z4617" s="52">
        <f>IF(P4617="","",WEEKDAY(B4617,2))</f>
        <v/>
      </c>
      <c r="AA4617" s="52">
        <f>IF(P4617="","",IF(AND(P4617="Gasto",X4617="Variable",D4617&lt;&gt;catTrading,S4617&gt;0,S4617&lt;=Umbral),1,0))</f>
        <v/>
      </c>
      <c r="AB4617" s="52">
        <f>IF(OR(P4617="",Q4617=""),"",IFERROR(IF(INDEX(ctaVinc,MATCH(Q4617,ctaNombre,0))&amp;""&lt;&gt;"",INDEX(ctaVinc,MATCH(Q4617,ctaNombre,0))&amp;"",Q4617),Q4617))</f>
        <v/>
      </c>
      <c r="AC4617" s="52">
        <f>IF(OR(K4617="",AND(P4617&lt;&gt;"Transferencia",P4617&lt;&gt;"Pago tarjeta")),"",IFERROR(IF(INDEX(ctaVinc,MATCH(K4617,ctaNombre,0))&amp;""&lt;&gt;"",INDEX(ctaVinc,MATCH(K4617,ctaNombre,0))&amp;"",K4617),K4617))</f>
        <v/>
      </c>
      <c r="AD4617" s="52">
        <f>IF(AB4617="","",IFERROR(INDEX(ctaTipo,MATCH(AB4617,ctaNombre,0))&amp;"",""))</f>
        <v/>
      </c>
      <c r="AE4617" s="52">
        <f>IF(AC4617="","",IFERROR(INDEX(ctaTipo,MATCH(AC4617,ctaNombre,0))&amp;"",""))</f>
        <v/>
      </c>
      <c r="AF4617" s="53">
        <f>IF(OR(P4617="",AB4617=""),"",IF(OR(P4617="Gasto",P4617="Transferencia",P4617="Pago tarjeta"),-1,1)*IF(IFERROR(INDEX(ctaMoneda,MATCH(AB4617,ctaNombre,0))&amp;"","DOP")="USD",T4617,S4617))</f>
        <v/>
      </c>
      <c r="AG4617" s="53">
        <f>IF(AC4617="","",IF(IFERROR(INDEX(ctaMoneda,MATCH(AC4617,ctaNombre,0))&amp;"","DOP")="USD",T4617,S4617))</f>
        <v/>
      </c>
      <c r="AH4617" s="53">
        <f>IF(P4617="","",IF(AND(AD4617&lt;&gt;"",COUNTIFS(tcTipo,AD4617,tcLiq,"Sí")&gt;0),IF(OR(P4617="Gasto",P4617="Transferencia",P4617="Pago tarjeta"),-1,1)*S4617,0)+IF(AND(AE4617&lt;&gt;"",COUNTIFS(tcTipo,AE4617,tcLiq,"Sí")&gt;0),S4617,0))</f>
        <v/>
      </c>
      <c r="AI4617" s="52">
        <f>IF(OR(L4617="",P4617=""),"",IF(COUNTIFS(L$6:L4617,L4617,P$6:P4617,"?*")=1,MAX(AI$5:AI4616)+1,""))</f>
        <v/>
      </c>
    </row>
    <row r="4618">
      <c r="B4618" s="47" t="n"/>
      <c r="C4618" s="48" t="n"/>
      <c r="D4618" s="48" t="n"/>
      <c r="E4618" s="48" t="n"/>
      <c r="F4618" s="48" t="n"/>
      <c r="G4618" s="49" t="n"/>
      <c r="H4618" s="48" t="n"/>
      <c r="I4618" s="50" t="n"/>
      <c r="J4618" s="48" t="n"/>
      <c r="K4618" s="48" t="n"/>
      <c r="L4618" s="48" t="n"/>
      <c r="M4618" s="48" t="n"/>
      <c r="N4618" s="48" t="n"/>
      <c r="O4618" s="51">
        <f>IF(AND(B4618="",G4618="",C4618="",D4618="",J4618=""),"",IF(B4618="","⚠ Falta fecha",IF(G4618="","⚠ Falta monto",IF(Q4618="","⚠ Falta cuenta",IF(ISNA(MATCH(Q4618,ctaNombre,0)),"⚠ Cuenta no registrada",IF(AND(OR(P4618="Gasto",P4618="Reembolso"),D4618=""),"⚠ Falta categoría",IF(AND(D4618&lt;&gt;"",E4618&lt;&gt;"",ISNA(MATCH(D4618&amp;"|"&amp;E4618,catClave,0))),"⚠ Subcategoría no corresponde",IF(AND(OR(P4618="Transferencia",P4618="Pago tarjeta"),K4618=""),"⚠ Falta cuenta destino",IF(AND(K4618&lt;&gt;"",P4618&lt;&gt;"Transferencia",P4618&lt;&gt;"Pago tarjeta"),"⚠ Destino solo aplica a transferencias",IF(AND(K4618&lt;&gt;"",K4618=Q4618),"⚠ Origen igual a destino",IF(AND(K4618&lt;&gt;"",ISNA(MATCH(K4618,ctaNombre,0))),"⚠ Destino no registrado",IF(AND(P4618="Pago tarjeta",AE4618&lt;&gt;"Tarjeta de crédito"),"⚠ El destino debe ser tarjeta de crédito",IF(AND(P4618="Gasto",E4618="Depósitos y retiros"),"⚠ Usa tipo Transferencia",IF(AND(P4618="Resultado trading",AD4618&lt;&gt;"Cuenta de trading"),"⚠ Usa una cuenta de trading",IF(AND(G4618&lt;=0,P4618&lt;&gt;"Ajuste",P4618&lt;&gt;"Resultado trading"),"⚠ El monto debe ser positivo","✓")))))))))))))))</f>
        <v/>
      </c>
      <c r="P4618" s="52">
        <f>IF(OR(B4618="",G4618=""),"",IF(C4618="","Gasto",C4618))</f>
        <v/>
      </c>
      <c r="Q4618" s="52">
        <f>IF(P4618="","",IF(J4618&lt;&gt;"",J4618,CuentaPred&amp;""))</f>
        <v/>
      </c>
      <c r="R4618" s="52">
        <f>IF(P4618="","",IF(ISNUMBER(I4618),I4618,TasaUSD))</f>
        <v/>
      </c>
      <c r="S4618" s="53">
        <f>IF(P4618="","",IF(H4618="USD",G4618*R4618,G4618))</f>
        <v/>
      </c>
      <c r="T4618" s="53">
        <f>IF(P4618="","",IF(H4618="USD",G4618,IF(R4618&gt;0,G4618/R4618,0)))</f>
        <v/>
      </c>
      <c r="U4618" s="53">
        <f>IF(P4618="","",IF(P4618="Gasto",S4618,IF(P4618="Reembolso",-S4618,0)))</f>
        <v/>
      </c>
      <c r="V4618" s="53">
        <f>IF(P4618="","",IF(P4618="Ingreso",S4618,0))</f>
        <v/>
      </c>
      <c r="W4618" s="53">
        <f>IF(P4618="","",IF(P4618="Resultado trading",S4618,0))</f>
        <v/>
      </c>
      <c r="X4618" s="52">
        <f>IF(OR(P4618="Gasto",P4618="Reembolso"),IF(M4618&lt;&gt;"",M4618,IFERROR(INDEX(catClasif,MATCH(D4618&amp;"|"&amp;E4618,catClave,0))&amp;"","Variable")),"")</f>
        <v/>
      </c>
      <c r="Y4618" s="52">
        <f>IF(P4618="","",IFERROR(INDEX(catGrupo,MATCH(D4618&amp;"|"&amp;E4618,catClave,0))&amp;"",""))</f>
        <v/>
      </c>
      <c r="Z4618" s="52">
        <f>IF(P4618="","",WEEKDAY(B4618,2))</f>
        <v/>
      </c>
      <c r="AA4618" s="52">
        <f>IF(P4618="","",IF(AND(P4618="Gasto",X4618="Variable",D4618&lt;&gt;catTrading,S4618&gt;0,S4618&lt;=Umbral),1,0))</f>
        <v/>
      </c>
      <c r="AB4618" s="52">
        <f>IF(OR(P4618="",Q4618=""),"",IFERROR(IF(INDEX(ctaVinc,MATCH(Q4618,ctaNombre,0))&amp;""&lt;&gt;"",INDEX(ctaVinc,MATCH(Q4618,ctaNombre,0))&amp;"",Q4618),Q4618))</f>
        <v/>
      </c>
      <c r="AC4618" s="52">
        <f>IF(OR(K4618="",AND(P4618&lt;&gt;"Transferencia",P4618&lt;&gt;"Pago tarjeta")),"",IFERROR(IF(INDEX(ctaVinc,MATCH(K4618,ctaNombre,0))&amp;""&lt;&gt;"",INDEX(ctaVinc,MATCH(K4618,ctaNombre,0))&amp;"",K4618),K4618))</f>
        <v/>
      </c>
      <c r="AD4618" s="52">
        <f>IF(AB4618="","",IFERROR(INDEX(ctaTipo,MATCH(AB4618,ctaNombre,0))&amp;"",""))</f>
        <v/>
      </c>
      <c r="AE4618" s="52">
        <f>IF(AC4618="","",IFERROR(INDEX(ctaTipo,MATCH(AC4618,ctaNombre,0))&amp;"",""))</f>
        <v/>
      </c>
      <c r="AF4618" s="53">
        <f>IF(OR(P4618="",AB4618=""),"",IF(OR(P4618="Gasto",P4618="Transferencia",P4618="Pago tarjeta"),-1,1)*IF(IFERROR(INDEX(ctaMoneda,MATCH(AB4618,ctaNombre,0))&amp;"","DOP")="USD",T4618,S4618))</f>
        <v/>
      </c>
      <c r="AG4618" s="53">
        <f>IF(AC4618="","",IF(IFERROR(INDEX(ctaMoneda,MATCH(AC4618,ctaNombre,0))&amp;"","DOP")="USD",T4618,S4618))</f>
        <v/>
      </c>
      <c r="AH4618" s="53">
        <f>IF(P4618="","",IF(AND(AD4618&lt;&gt;"",COUNTIFS(tcTipo,AD4618,tcLiq,"Sí")&gt;0),IF(OR(P4618="Gasto",P4618="Transferencia",P4618="Pago tarjeta"),-1,1)*S4618,0)+IF(AND(AE4618&lt;&gt;"",COUNTIFS(tcTipo,AE4618,tcLiq,"Sí")&gt;0),S4618,0))</f>
        <v/>
      </c>
      <c r="AI4618" s="52">
        <f>IF(OR(L4618="",P4618=""),"",IF(COUNTIFS(L$6:L4618,L4618,P$6:P4618,"?*")=1,MAX(AI$5:AI4617)+1,""))</f>
        <v/>
      </c>
    </row>
    <row r="4619">
      <c r="B4619" s="47" t="n"/>
      <c r="C4619" s="48" t="n"/>
      <c r="D4619" s="48" t="n"/>
      <c r="E4619" s="48" t="n"/>
      <c r="F4619" s="48" t="n"/>
      <c r="G4619" s="49" t="n"/>
      <c r="H4619" s="48" t="n"/>
      <c r="I4619" s="50" t="n"/>
      <c r="J4619" s="48" t="n"/>
      <c r="K4619" s="48" t="n"/>
      <c r="L4619" s="48" t="n"/>
      <c r="M4619" s="48" t="n"/>
      <c r="N4619" s="48" t="n"/>
      <c r="O4619" s="51">
        <f>IF(AND(B4619="",G4619="",C4619="",D4619="",J4619=""),"",IF(B4619="","⚠ Falta fecha",IF(G4619="","⚠ Falta monto",IF(Q4619="","⚠ Falta cuenta",IF(ISNA(MATCH(Q4619,ctaNombre,0)),"⚠ Cuenta no registrada",IF(AND(OR(P4619="Gasto",P4619="Reembolso"),D4619=""),"⚠ Falta categoría",IF(AND(D4619&lt;&gt;"",E4619&lt;&gt;"",ISNA(MATCH(D4619&amp;"|"&amp;E4619,catClave,0))),"⚠ Subcategoría no corresponde",IF(AND(OR(P4619="Transferencia",P4619="Pago tarjeta"),K4619=""),"⚠ Falta cuenta destino",IF(AND(K4619&lt;&gt;"",P4619&lt;&gt;"Transferencia",P4619&lt;&gt;"Pago tarjeta"),"⚠ Destino solo aplica a transferencias",IF(AND(K4619&lt;&gt;"",K4619=Q4619),"⚠ Origen igual a destino",IF(AND(K4619&lt;&gt;"",ISNA(MATCH(K4619,ctaNombre,0))),"⚠ Destino no registrado",IF(AND(P4619="Pago tarjeta",AE4619&lt;&gt;"Tarjeta de crédito"),"⚠ El destino debe ser tarjeta de crédito",IF(AND(P4619="Gasto",E4619="Depósitos y retiros"),"⚠ Usa tipo Transferencia",IF(AND(P4619="Resultado trading",AD4619&lt;&gt;"Cuenta de trading"),"⚠ Usa una cuenta de trading",IF(AND(G4619&lt;=0,P4619&lt;&gt;"Ajuste",P4619&lt;&gt;"Resultado trading"),"⚠ El monto debe ser positivo","✓")))))))))))))))</f>
        <v/>
      </c>
      <c r="P4619" s="52">
        <f>IF(OR(B4619="",G4619=""),"",IF(C4619="","Gasto",C4619))</f>
        <v/>
      </c>
      <c r="Q4619" s="52">
        <f>IF(P4619="","",IF(J4619&lt;&gt;"",J4619,CuentaPred&amp;""))</f>
        <v/>
      </c>
      <c r="R4619" s="52">
        <f>IF(P4619="","",IF(ISNUMBER(I4619),I4619,TasaUSD))</f>
        <v/>
      </c>
      <c r="S4619" s="53">
        <f>IF(P4619="","",IF(H4619="USD",G4619*R4619,G4619))</f>
        <v/>
      </c>
      <c r="T4619" s="53">
        <f>IF(P4619="","",IF(H4619="USD",G4619,IF(R4619&gt;0,G4619/R4619,0)))</f>
        <v/>
      </c>
      <c r="U4619" s="53">
        <f>IF(P4619="","",IF(P4619="Gasto",S4619,IF(P4619="Reembolso",-S4619,0)))</f>
        <v/>
      </c>
      <c r="V4619" s="53">
        <f>IF(P4619="","",IF(P4619="Ingreso",S4619,0))</f>
        <v/>
      </c>
      <c r="W4619" s="53">
        <f>IF(P4619="","",IF(P4619="Resultado trading",S4619,0))</f>
        <v/>
      </c>
      <c r="X4619" s="52">
        <f>IF(OR(P4619="Gasto",P4619="Reembolso"),IF(M4619&lt;&gt;"",M4619,IFERROR(INDEX(catClasif,MATCH(D4619&amp;"|"&amp;E4619,catClave,0))&amp;"","Variable")),"")</f>
        <v/>
      </c>
      <c r="Y4619" s="52">
        <f>IF(P4619="","",IFERROR(INDEX(catGrupo,MATCH(D4619&amp;"|"&amp;E4619,catClave,0))&amp;"",""))</f>
        <v/>
      </c>
      <c r="Z4619" s="52">
        <f>IF(P4619="","",WEEKDAY(B4619,2))</f>
        <v/>
      </c>
      <c r="AA4619" s="52">
        <f>IF(P4619="","",IF(AND(P4619="Gasto",X4619="Variable",D4619&lt;&gt;catTrading,S4619&gt;0,S4619&lt;=Umbral),1,0))</f>
        <v/>
      </c>
      <c r="AB4619" s="52">
        <f>IF(OR(P4619="",Q4619=""),"",IFERROR(IF(INDEX(ctaVinc,MATCH(Q4619,ctaNombre,0))&amp;""&lt;&gt;"",INDEX(ctaVinc,MATCH(Q4619,ctaNombre,0))&amp;"",Q4619),Q4619))</f>
        <v/>
      </c>
      <c r="AC4619" s="52">
        <f>IF(OR(K4619="",AND(P4619&lt;&gt;"Transferencia",P4619&lt;&gt;"Pago tarjeta")),"",IFERROR(IF(INDEX(ctaVinc,MATCH(K4619,ctaNombre,0))&amp;""&lt;&gt;"",INDEX(ctaVinc,MATCH(K4619,ctaNombre,0))&amp;"",K4619),K4619))</f>
        <v/>
      </c>
      <c r="AD4619" s="52">
        <f>IF(AB4619="","",IFERROR(INDEX(ctaTipo,MATCH(AB4619,ctaNombre,0))&amp;"",""))</f>
        <v/>
      </c>
      <c r="AE4619" s="52">
        <f>IF(AC4619="","",IFERROR(INDEX(ctaTipo,MATCH(AC4619,ctaNombre,0))&amp;"",""))</f>
        <v/>
      </c>
      <c r="AF4619" s="53">
        <f>IF(OR(P4619="",AB4619=""),"",IF(OR(P4619="Gasto",P4619="Transferencia",P4619="Pago tarjeta"),-1,1)*IF(IFERROR(INDEX(ctaMoneda,MATCH(AB4619,ctaNombre,0))&amp;"","DOP")="USD",T4619,S4619))</f>
        <v/>
      </c>
      <c r="AG4619" s="53">
        <f>IF(AC4619="","",IF(IFERROR(INDEX(ctaMoneda,MATCH(AC4619,ctaNombre,0))&amp;"","DOP")="USD",T4619,S4619))</f>
        <v/>
      </c>
      <c r="AH4619" s="53">
        <f>IF(P4619="","",IF(AND(AD4619&lt;&gt;"",COUNTIFS(tcTipo,AD4619,tcLiq,"Sí")&gt;0),IF(OR(P4619="Gasto",P4619="Transferencia",P4619="Pago tarjeta"),-1,1)*S4619,0)+IF(AND(AE4619&lt;&gt;"",COUNTIFS(tcTipo,AE4619,tcLiq,"Sí")&gt;0),S4619,0))</f>
        <v/>
      </c>
      <c r="AI4619" s="52">
        <f>IF(OR(L4619="",P4619=""),"",IF(COUNTIFS(L$6:L4619,L4619,P$6:P4619,"?*")=1,MAX(AI$5:AI4618)+1,""))</f>
        <v/>
      </c>
    </row>
    <row r="4620">
      <c r="B4620" s="47" t="n"/>
      <c r="C4620" s="48" t="n"/>
      <c r="D4620" s="48" t="n"/>
      <c r="E4620" s="48" t="n"/>
      <c r="F4620" s="48" t="n"/>
      <c r="G4620" s="49" t="n"/>
      <c r="H4620" s="48" t="n"/>
      <c r="I4620" s="50" t="n"/>
      <c r="J4620" s="48" t="n"/>
      <c r="K4620" s="48" t="n"/>
      <c r="L4620" s="48" t="n"/>
      <c r="M4620" s="48" t="n"/>
      <c r="N4620" s="48" t="n"/>
      <c r="O4620" s="51">
        <f>IF(AND(B4620="",G4620="",C4620="",D4620="",J4620=""),"",IF(B4620="","⚠ Falta fecha",IF(G4620="","⚠ Falta monto",IF(Q4620="","⚠ Falta cuenta",IF(ISNA(MATCH(Q4620,ctaNombre,0)),"⚠ Cuenta no registrada",IF(AND(OR(P4620="Gasto",P4620="Reembolso"),D4620=""),"⚠ Falta categoría",IF(AND(D4620&lt;&gt;"",E4620&lt;&gt;"",ISNA(MATCH(D4620&amp;"|"&amp;E4620,catClave,0))),"⚠ Subcategoría no corresponde",IF(AND(OR(P4620="Transferencia",P4620="Pago tarjeta"),K4620=""),"⚠ Falta cuenta destino",IF(AND(K4620&lt;&gt;"",P4620&lt;&gt;"Transferencia",P4620&lt;&gt;"Pago tarjeta"),"⚠ Destino solo aplica a transferencias",IF(AND(K4620&lt;&gt;"",K4620=Q4620),"⚠ Origen igual a destino",IF(AND(K4620&lt;&gt;"",ISNA(MATCH(K4620,ctaNombre,0))),"⚠ Destino no registrado",IF(AND(P4620="Pago tarjeta",AE4620&lt;&gt;"Tarjeta de crédito"),"⚠ El destino debe ser tarjeta de crédito",IF(AND(P4620="Gasto",E4620="Depósitos y retiros"),"⚠ Usa tipo Transferencia",IF(AND(P4620="Resultado trading",AD4620&lt;&gt;"Cuenta de trading"),"⚠ Usa una cuenta de trading",IF(AND(G4620&lt;=0,P4620&lt;&gt;"Ajuste",P4620&lt;&gt;"Resultado trading"),"⚠ El monto debe ser positivo","✓")))))))))))))))</f>
        <v/>
      </c>
      <c r="P4620" s="52">
        <f>IF(OR(B4620="",G4620=""),"",IF(C4620="","Gasto",C4620))</f>
        <v/>
      </c>
      <c r="Q4620" s="52">
        <f>IF(P4620="","",IF(J4620&lt;&gt;"",J4620,CuentaPred&amp;""))</f>
        <v/>
      </c>
      <c r="R4620" s="52">
        <f>IF(P4620="","",IF(ISNUMBER(I4620),I4620,TasaUSD))</f>
        <v/>
      </c>
      <c r="S4620" s="53">
        <f>IF(P4620="","",IF(H4620="USD",G4620*R4620,G4620))</f>
        <v/>
      </c>
      <c r="T4620" s="53">
        <f>IF(P4620="","",IF(H4620="USD",G4620,IF(R4620&gt;0,G4620/R4620,0)))</f>
        <v/>
      </c>
      <c r="U4620" s="53">
        <f>IF(P4620="","",IF(P4620="Gasto",S4620,IF(P4620="Reembolso",-S4620,0)))</f>
        <v/>
      </c>
      <c r="V4620" s="53">
        <f>IF(P4620="","",IF(P4620="Ingreso",S4620,0))</f>
        <v/>
      </c>
      <c r="W4620" s="53">
        <f>IF(P4620="","",IF(P4620="Resultado trading",S4620,0))</f>
        <v/>
      </c>
      <c r="X4620" s="52">
        <f>IF(OR(P4620="Gasto",P4620="Reembolso"),IF(M4620&lt;&gt;"",M4620,IFERROR(INDEX(catClasif,MATCH(D4620&amp;"|"&amp;E4620,catClave,0))&amp;"","Variable")),"")</f>
        <v/>
      </c>
      <c r="Y4620" s="52">
        <f>IF(P4620="","",IFERROR(INDEX(catGrupo,MATCH(D4620&amp;"|"&amp;E4620,catClave,0))&amp;"",""))</f>
        <v/>
      </c>
      <c r="Z4620" s="52">
        <f>IF(P4620="","",WEEKDAY(B4620,2))</f>
        <v/>
      </c>
      <c r="AA4620" s="52">
        <f>IF(P4620="","",IF(AND(P4620="Gasto",X4620="Variable",D4620&lt;&gt;catTrading,S4620&gt;0,S4620&lt;=Umbral),1,0))</f>
        <v/>
      </c>
      <c r="AB4620" s="52">
        <f>IF(OR(P4620="",Q4620=""),"",IFERROR(IF(INDEX(ctaVinc,MATCH(Q4620,ctaNombre,0))&amp;""&lt;&gt;"",INDEX(ctaVinc,MATCH(Q4620,ctaNombre,0))&amp;"",Q4620),Q4620))</f>
        <v/>
      </c>
      <c r="AC4620" s="52">
        <f>IF(OR(K4620="",AND(P4620&lt;&gt;"Transferencia",P4620&lt;&gt;"Pago tarjeta")),"",IFERROR(IF(INDEX(ctaVinc,MATCH(K4620,ctaNombre,0))&amp;""&lt;&gt;"",INDEX(ctaVinc,MATCH(K4620,ctaNombre,0))&amp;"",K4620),K4620))</f>
        <v/>
      </c>
      <c r="AD4620" s="52">
        <f>IF(AB4620="","",IFERROR(INDEX(ctaTipo,MATCH(AB4620,ctaNombre,0))&amp;"",""))</f>
        <v/>
      </c>
      <c r="AE4620" s="52">
        <f>IF(AC4620="","",IFERROR(INDEX(ctaTipo,MATCH(AC4620,ctaNombre,0))&amp;"",""))</f>
        <v/>
      </c>
      <c r="AF4620" s="53">
        <f>IF(OR(P4620="",AB4620=""),"",IF(OR(P4620="Gasto",P4620="Transferencia",P4620="Pago tarjeta"),-1,1)*IF(IFERROR(INDEX(ctaMoneda,MATCH(AB4620,ctaNombre,0))&amp;"","DOP")="USD",T4620,S4620))</f>
        <v/>
      </c>
      <c r="AG4620" s="53">
        <f>IF(AC4620="","",IF(IFERROR(INDEX(ctaMoneda,MATCH(AC4620,ctaNombre,0))&amp;"","DOP")="USD",T4620,S4620))</f>
        <v/>
      </c>
      <c r="AH4620" s="53">
        <f>IF(P4620="","",IF(AND(AD4620&lt;&gt;"",COUNTIFS(tcTipo,AD4620,tcLiq,"Sí")&gt;0),IF(OR(P4620="Gasto",P4620="Transferencia",P4620="Pago tarjeta"),-1,1)*S4620,0)+IF(AND(AE4620&lt;&gt;"",COUNTIFS(tcTipo,AE4620,tcLiq,"Sí")&gt;0),S4620,0))</f>
        <v/>
      </c>
      <c r="AI4620" s="52">
        <f>IF(OR(L4620="",P4620=""),"",IF(COUNTIFS(L$6:L4620,L4620,P$6:P4620,"?*")=1,MAX(AI$5:AI4619)+1,""))</f>
        <v/>
      </c>
    </row>
    <row r="4621">
      <c r="B4621" s="47" t="n"/>
      <c r="C4621" s="48" t="n"/>
      <c r="D4621" s="48" t="n"/>
      <c r="E4621" s="48" t="n"/>
      <c r="F4621" s="48" t="n"/>
      <c r="G4621" s="49" t="n"/>
      <c r="H4621" s="48" t="n"/>
      <c r="I4621" s="50" t="n"/>
      <c r="J4621" s="48" t="n"/>
      <c r="K4621" s="48" t="n"/>
      <c r="L4621" s="48" t="n"/>
      <c r="M4621" s="48" t="n"/>
      <c r="N4621" s="48" t="n"/>
      <c r="O4621" s="51">
        <f>IF(AND(B4621="",G4621="",C4621="",D4621="",J4621=""),"",IF(B4621="","⚠ Falta fecha",IF(G4621="","⚠ Falta monto",IF(Q4621="","⚠ Falta cuenta",IF(ISNA(MATCH(Q4621,ctaNombre,0)),"⚠ Cuenta no registrada",IF(AND(OR(P4621="Gasto",P4621="Reembolso"),D4621=""),"⚠ Falta categoría",IF(AND(D4621&lt;&gt;"",E4621&lt;&gt;"",ISNA(MATCH(D4621&amp;"|"&amp;E4621,catClave,0))),"⚠ Subcategoría no corresponde",IF(AND(OR(P4621="Transferencia",P4621="Pago tarjeta"),K4621=""),"⚠ Falta cuenta destino",IF(AND(K4621&lt;&gt;"",P4621&lt;&gt;"Transferencia",P4621&lt;&gt;"Pago tarjeta"),"⚠ Destino solo aplica a transferencias",IF(AND(K4621&lt;&gt;"",K4621=Q4621),"⚠ Origen igual a destino",IF(AND(K4621&lt;&gt;"",ISNA(MATCH(K4621,ctaNombre,0))),"⚠ Destino no registrado",IF(AND(P4621="Pago tarjeta",AE4621&lt;&gt;"Tarjeta de crédito"),"⚠ El destino debe ser tarjeta de crédito",IF(AND(P4621="Gasto",E4621="Depósitos y retiros"),"⚠ Usa tipo Transferencia",IF(AND(P4621="Resultado trading",AD4621&lt;&gt;"Cuenta de trading"),"⚠ Usa una cuenta de trading",IF(AND(G4621&lt;=0,P4621&lt;&gt;"Ajuste",P4621&lt;&gt;"Resultado trading"),"⚠ El monto debe ser positivo","✓")))))))))))))))</f>
        <v/>
      </c>
      <c r="P4621" s="52">
        <f>IF(OR(B4621="",G4621=""),"",IF(C4621="","Gasto",C4621))</f>
        <v/>
      </c>
      <c r="Q4621" s="52">
        <f>IF(P4621="","",IF(J4621&lt;&gt;"",J4621,CuentaPred&amp;""))</f>
        <v/>
      </c>
      <c r="R4621" s="52">
        <f>IF(P4621="","",IF(ISNUMBER(I4621),I4621,TasaUSD))</f>
        <v/>
      </c>
      <c r="S4621" s="53">
        <f>IF(P4621="","",IF(H4621="USD",G4621*R4621,G4621))</f>
        <v/>
      </c>
      <c r="T4621" s="53">
        <f>IF(P4621="","",IF(H4621="USD",G4621,IF(R4621&gt;0,G4621/R4621,0)))</f>
        <v/>
      </c>
      <c r="U4621" s="53">
        <f>IF(P4621="","",IF(P4621="Gasto",S4621,IF(P4621="Reembolso",-S4621,0)))</f>
        <v/>
      </c>
      <c r="V4621" s="53">
        <f>IF(P4621="","",IF(P4621="Ingreso",S4621,0))</f>
        <v/>
      </c>
      <c r="W4621" s="53">
        <f>IF(P4621="","",IF(P4621="Resultado trading",S4621,0))</f>
        <v/>
      </c>
      <c r="X4621" s="52">
        <f>IF(OR(P4621="Gasto",P4621="Reembolso"),IF(M4621&lt;&gt;"",M4621,IFERROR(INDEX(catClasif,MATCH(D4621&amp;"|"&amp;E4621,catClave,0))&amp;"","Variable")),"")</f>
        <v/>
      </c>
      <c r="Y4621" s="52">
        <f>IF(P4621="","",IFERROR(INDEX(catGrupo,MATCH(D4621&amp;"|"&amp;E4621,catClave,0))&amp;"",""))</f>
        <v/>
      </c>
      <c r="Z4621" s="52">
        <f>IF(P4621="","",WEEKDAY(B4621,2))</f>
        <v/>
      </c>
      <c r="AA4621" s="52">
        <f>IF(P4621="","",IF(AND(P4621="Gasto",X4621="Variable",D4621&lt;&gt;catTrading,S4621&gt;0,S4621&lt;=Umbral),1,0))</f>
        <v/>
      </c>
      <c r="AB4621" s="52">
        <f>IF(OR(P4621="",Q4621=""),"",IFERROR(IF(INDEX(ctaVinc,MATCH(Q4621,ctaNombre,0))&amp;""&lt;&gt;"",INDEX(ctaVinc,MATCH(Q4621,ctaNombre,0))&amp;"",Q4621),Q4621))</f>
        <v/>
      </c>
      <c r="AC4621" s="52">
        <f>IF(OR(K4621="",AND(P4621&lt;&gt;"Transferencia",P4621&lt;&gt;"Pago tarjeta")),"",IFERROR(IF(INDEX(ctaVinc,MATCH(K4621,ctaNombre,0))&amp;""&lt;&gt;"",INDEX(ctaVinc,MATCH(K4621,ctaNombre,0))&amp;"",K4621),K4621))</f>
        <v/>
      </c>
      <c r="AD4621" s="52">
        <f>IF(AB4621="","",IFERROR(INDEX(ctaTipo,MATCH(AB4621,ctaNombre,0))&amp;"",""))</f>
        <v/>
      </c>
      <c r="AE4621" s="52">
        <f>IF(AC4621="","",IFERROR(INDEX(ctaTipo,MATCH(AC4621,ctaNombre,0))&amp;"",""))</f>
        <v/>
      </c>
      <c r="AF4621" s="53">
        <f>IF(OR(P4621="",AB4621=""),"",IF(OR(P4621="Gasto",P4621="Transferencia",P4621="Pago tarjeta"),-1,1)*IF(IFERROR(INDEX(ctaMoneda,MATCH(AB4621,ctaNombre,0))&amp;"","DOP")="USD",T4621,S4621))</f>
        <v/>
      </c>
      <c r="AG4621" s="53">
        <f>IF(AC4621="","",IF(IFERROR(INDEX(ctaMoneda,MATCH(AC4621,ctaNombre,0))&amp;"","DOP")="USD",T4621,S4621))</f>
        <v/>
      </c>
      <c r="AH4621" s="53">
        <f>IF(P4621="","",IF(AND(AD4621&lt;&gt;"",COUNTIFS(tcTipo,AD4621,tcLiq,"Sí")&gt;0),IF(OR(P4621="Gasto",P4621="Transferencia",P4621="Pago tarjeta"),-1,1)*S4621,0)+IF(AND(AE4621&lt;&gt;"",COUNTIFS(tcTipo,AE4621,tcLiq,"Sí")&gt;0),S4621,0))</f>
        <v/>
      </c>
      <c r="AI4621" s="52">
        <f>IF(OR(L4621="",P4621=""),"",IF(COUNTIFS(L$6:L4621,L4621,P$6:P4621,"?*")=1,MAX(AI$5:AI4620)+1,""))</f>
        <v/>
      </c>
    </row>
    <row r="4622">
      <c r="B4622" s="47" t="n"/>
      <c r="C4622" s="48" t="n"/>
      <c r="D4622" s="48" t="n"/>
      <c r="E4622" s="48" t="n"/>
      <c r="F4622" s="48" t="n"/>
      <c r="G4622" s="49" t="n"/>
      <c r="H4622" s="48" t="n"/>
      <c r="I4622" s="50" t="n"/>
      <c r="J4622" s="48" t="n"/>
      <c r="K4622" s="48" t="n"/>
      <c r="L4622" s="48" t="n"/>
      <c r="M4622" s="48" t="n"/>
      <c r="N4622" s="48" t="n"/>
      <c r="O4622" s="51">
        <f>IF(AND(B4622="",G4622="",C4622="",D4622="",J4622=""),"",IF(B4622="","⚠ Falta fecha",IF(G4622="","⚠ Falta monto",IF(Q4622="","⚠ Falta cuenta",IF(ISNA(MATCH(Q4622,ctaNombre,0)),"⚠ Cuenta no registrada",IF(AND(OR(P4622="Gasto",P4622="Reembolso"),D4622=""),"⚠ Falta categoría",IF(AND(D4622&lt;&gt;"",E4622&lt;&gt;"",ISNA(MATCH(D4622&amp;"|"&amp;E4622,catClave,0))),"⚠ Subcategoría no corresponde",IF(AND(OR(P4622="Transferencia",P4622="Pago tarjeta"),K4622=""),"⚠ Falta cuenta destino",IF(AND(K4622&lt;&gt;"",P4622&lt;&gt;"Transferencia",P4622&lt;&gt;"Pago tarjeta"),"⚠ Destino solo aplica a transferencias",IF(AND(K4622&lt;&gt;"",K4622=Q4622),"⚠ Origen igual a destino",IF(AND(K4622&lt;&gt;"",ISNA(MATCH(K4622,ctaNombre,0))),"⚠ Destino no registrado",IF(AND(P4622="Pago tarjeta",AE4622&lt;&gt;"Tarjeta de crédito"),"⚠ El destino debe ser tarjeta de crédito",IF(AND(P4622="Gasto",E4622="Depósitos y retiros"),"⚠ Usa tipo Transferencia",IF(AND(P4622="Resultado trading",AD4622&lt;&gt;"Cuenta de trading"),"⚠ Usa una cuenta de trading",IF(AND(G4622&lt;=0,P4622&lt;&gt;"Ajuste",P4622&lt;&gt;"Resultado trading"),"⚠ El monto debe ser positivo","✓")))))))))))))))</f>
        <v/>
      </c>
      <c r="P4622" s="52">
        <f>IF(OR(B4622="",G4622=""),"",IF(C4622="","Gasto",C4622))</f>
        <v/>
      </c>
      <c r="Q4622" s="52">
        <f>IF(P4622="","",IF(J4622&lt;&gt;"",J4622,CuentaPred&amp;""))</f>
        <v/>
      </c>
      <c r="R4622" s="52">
        <f>IF(P4622="","",IF(ISNUMBER(I4622),I4622,TasaUSD))</f>
        <v/>
      </c>
      <c r="S4622" s="53">
        <f>IF(P4622="","",IF(H4622="USD",G4622*R4622,G4622))</f>
        <v/>
      </c>
      <c r="T4622" s="53">
        <f>IF(P4622="","",IF(H4622="USD",G4622,IF(R4622&gt;0,G4622/R4622,0)))</f>
        <v/>
      </c>
      <c r="U4622" s="53">
        <f>IF(P4622="","",IF(P4622="Gasto",S4622,IF(P4622="Reembolso",-S4622,0)))</f>
        <v/>
      </c>
      <c r="V4622" s="53">
        <f>IF(P4622="","",IF(P4622="Ingreso",S4622,0))</f>
        <v/>
      </c>
      <c r="W4622" s="53">
        <f>IF(P4622="","",IF(P4622="Resultado trading",S4622,0))</f>
        <v/>
      </c>
      <c r="X4622" s="52">
        <f>IF(OR(P4622="Gasto",P4622="Reembolso"),IF(M4622&lt;&gt;"",M4622,IFERROR(INDEX(catClasif,MATCH(D4622&amp;"|"&amp;E4622,catClave,0))&amp;"","Variable")),"")</f>
        <v/>
      </c>
      <c r="Y4622" s="52">
        <f>IF(P4622="","",IFERROR(INDEX(catGrupo,MATCH(D4622&amp;"|"&amp;E4622,catClave,0))&amp;"",""))</f>
        <v/>
      </c>
      <c r="Z4622" s="52">
        <f>IF(P4622="","",WEEKDAY(B4622,2))</f>
        <v/>
      </c>
      <c r="AA4622" s="52">
        <f>IF(P4622="","",IF(AND(P4622="Gasto",X4622="Variable",D4622&lt;&gt;catTrading,S4622&gt;0,S4622&lt;=Umbral),1,0))</f>
        <v/>
      </c>
      <c r="AB4622" s="52">
        <f>IF(OR(P4622="",Q4622=""),"",IFERROR(IF(INDEX(ctaVinc,MATCH(Q4622,ctaNombre,0))&amp;""&lt;&gt;"",INDEX(ctaVinc,MATCH(Q4622,ctaNombre,0))&amp;"",Q4622),Q4622))</f>
        <v/>
      </c>
      <c r="AC4622" s="52">
        <f>IF(OR(K4622="",AND(P4622&lt;&gt;"Transferencia",P4622&lt;&gt;"Pago tarjeta")),"",IFERROR(IF(INDEX(ctaVinc,MATCH(K4622,ctaNombre,0))&amp;""&lt;&gt;"",INDEX(ctaVinc,MATCH(K4622,ctaNombre,0))&amp;"",K4622),K4622))</f>
        <v/>
      </c>
      <c r="AD4622" s="52">
        <f>IF(AB4622="","",IFERROR(INDEX(ctaTipo,MATCH(AB4622,ctaNombre,0))&amp;"",""))</f>
        <v/>
      </c>
      <c r="AE4622" s="52">
        <f>IF(AC4622="","",IFERROR(INDEX(ctaTipo,MATCH(AC4622,ctaNombre,0))&amp;"",""))</f>
        <v/>
      </c>
      <c r="AF4622" s="53">
        <f>IF(OR(P4622="",AB4622=""),"",IF(OR(P4622="Gasto",P4622="Transferencia",P4622="Pago tarjeta"),-1,1)*IF(IFERROR(INDEX(ctaMoneda,MATCH(AB4622,ctaNombre,0))&amp;"","DOP")="USD",T4622,S4622))</f>
        <v/>
      </c>
      <c r="AG4622" s="53">
        <f>IF(AC4622="","",IF(IFERROR(INDEX(ctaMoneda,MATCH(AC4622,ctaNombre,0))&amp;"","DOP")="USD",T4622,S4622))</f>
        <v/>
      </c>
      <c r="AH4622" s="53">
        <f>IF(P4622="","",IF(AND(AD4622&lt;&gt;"",COUNTIFS(tcTipo,AD4622,tcLiq,"Sí")&gt;0),IF(OR(P4622="Gasto",P4622="Transferencia",P4622="Pago tarjeta"),-1,1)*S4622,0)+IF(AND(AE4622&lt;&gt;"",COUNTIFS(tcTipo,AE4622,tcLiq,"Sí")&gt;0),S4622,0))</f>
        <v/>
      </c>
      <c r="AI4622" s="52">
        <f>IF(OR(L4622="",P4622=""),"",IF(COUNTIFS(L$6:L4622,L4622,P$6:P4622,"?*")=1,MAX(AI$5:AI4621)+1,""))</f>
        <v/>
      </c>
    </row>
    <row r="4623">
      <c r="B4623" s="47" t="n"/>
      <c r="C4623" s="48" t="n"/>
      <c r="D4623" s="48" t="n"/>
      <c r="E4623" s="48" t="n"/>
      <c r="F4623" s="48" t="n"/>
      <c r="G4623" s="49" t="n"/>
      <c r="H4623" s="48" t="n"/>
      <c r="I4623" s="50" t="n"/>
      <c r="J4623" s="48" t="n"/>
      <c r="K4623" s="48" t="n"/>
      <c r="L4623" s="48" t="n"/>
      <c r="M4623" s="48" t="n"/>
      <c r="N4623" s="48" t="n"/>
      <c r="O4623" s="51">
        <f>IF(AND(B4623="",G4623="",C4623="",D4623="",J4623=""),"",IF(B4623="","⚠ Falta fecha",IF(G4623="","⚠ Falta monto",IF(Q4623="","⚠ Falta cuenta",IF(ISNA(MATCH(Q4623,ctaNombre,0)),"⚠ Cuenta no registrada",IF(AND(OR(P4623="Gasto",P4623="Reembolso"),D4623=""),"⚠ Falta categoría",IF(AND(D4623&lt;&gt;"",E4623&lt;&gt;"",ISNA(MATCH(D4623&amp;"|"&amp;E4623,catClave,0))),"⚠ Subcategoría no corresponde",IF(AND(OR(P4623="Transferencia",P4623="Pago tarjeta"),K4623=""),"⚠ Falta cuenta destino",IF(AND(K4623&lt;&gt;"",P4623&lt;&gt;"Transferencia",P4623&lt;&gt;"Pago tarjeta"),"⚠ Destino solo aplica a transferencias",IF(AND(K4623&lt;&gt;"",K4623=Q4623),"⚠ Origen igual a destino",IF(AND(K4623&lt;&gt;"",ISNA(MATCH(K4623,ctaNombre,0))),"⚠ Destino no registrado",IF(AND(P4623="Pago tarjeta",AE4623&lt;&gt;"Tarjeta de crédito"),"⚠ El destino debe ser tarjeta de crédito",IF(AND(P4623="Gasto",E4623="Depósitos y retiros"),"⚠ Usa tipo Transferencia",IF(AND(P4623="Resultado trading",AD4623&lt;&gt;"Cuenta de trading"),"⚠ Usa una cuenta de trading",IF(AND(G4623&lt;=0,P4623&lt;&gt;"Ajuste",P4623&lt;&gt;"Resultado trading"),"⚠ El monto debe ser positivo","✓")))))))))))))))</f>
        <v/>
      </c>
      <c r="P4623" s="52">
        <f>IF(OR(B4623="",G4623=""),"",IF(C4623="","Gasto",C4623))</f>
        <v/>
      </c>
      <c r="Q4623" s="52">
        <f>IF(P4623="","",IF(J4623&lt;&gt;"",J4623,CuentaPred&amp;""))</f>
        <v/>
      </c>
      <c r="R4623" s="52">
        <f>IF(P4623="","",IF(ISNUMBER(I4623),I4623,TasaUSD))</f>
        <v/>
      </c>
      <c r="S4623" s="53">
        <f>IF(P4623="","",IF(H4623="USD",G4623*R4623,G4623))</f>
        <v/>
      </c>
      <c r="T4623" s="53">
        <f>IF(P4623="","",IF(H4623="USD",G4623,IF(R4623&gt;0,G4623/R4623,0)))</f>
        <v/>
      </c>
      <c r="U4623" s="53">
        <f>IF(P4623="","",IF(P4623="Gasto",S4623,IF(P4623="Reembolso",-S4623,0)))</f>
        <v/>
      </c>
      <c r="V4623" s="53">
        <f>IF(P4623="","",IF(P4623="Ingreso",S4623,0))</f>
        <v/>
      </c>
      <c r="W4623" s="53">
        <f>IF(P4623="","",IF(P4623="Resultado trading",S4623,0))</f>
        <v/>
      </c>
      <c r="X4623" s="52">
        <f>IF(OR(P4623="Gasto",P4623="Reembolso"),IF(M4623&lt;&gt;"",M4623,IFERROR(INDEX(catClasif,MATCH(D4623&amp;"|"&amp;E4623,catClave,0))&amp;"","Variable")),"")</f>
        <v/>
      </c>
      <c r="Y4623" s="52">
        <f>IF(P4623="","",IFERROR(INDEX(catGrupo,MATCH(D4623&amp;"|"&amp;E4623,catClave,0))&amp;"",""))</f>
        <v/>
      </c>
      <c r="Z4623" s="52">
        <f>IF(P4623="","",WEEKDAY(B4623,2))</f>
        <v/>
      </c>
      <c r="AA4623" s="52">
        <f>IF(P4623="","",IF(AND(P4623="Gasto",X4623="Variable",D4623&lt;&gt;catTrading,S4623&gt;0,S4623&lt;=Umbral),1,0))</f>
        <v/>
      </c>
      <c r="AB4623" s="52">
        <f>IF(OR(P4623="",Q4623=""),"",IFERROR(IF(INDEX(ctaVinc,MATCH(Q4623,ctaNombre,0))&amp;""&lt;&gt;"",INDEX(ctaVinc,MATCH(Q4623,ctaNombre,0))&amp;"",Q4623),Q4623))</f>
        <v/>
      </c>
      <c r="AC4623" s="52">
        <f>IF(OR(K4623="",AND(P4623&lt;&gt;"Transferencia",P4623&lt;&gt;"Pago tarjeta")),"",IFERROR(IF(INDEX(ctaVinc,MATCH(K4623,ctaNombre,0))&amp;""&lt;&gt;"",INDEX(ctaVinc,MATCH(K4623,ctaNombre,0))&amp;"",K4623),K4623))</f>
        <v/>
      </c>
      <c r="AD4623" s="52">
        <f>IF(AB4623="","",IFERROR(INDEX(ctaTipo,MATCH(AB4623,ctaNombre,0))&amp;"",""))</f>
        <v/>
      </c>
      <c r="AE4623" s="52">
        <f>IF(AC4623="","",IFERROR(INDEX(ctaTipo,MATCH(AC4623,ctaNombre,0))&amp;"",""))</f>
        <v/>
      </c>
      <c r="AF4623" s="53">
        <f>IF(OR(P4623="",AB4623=""),"",IF(OR(P4623="Gasto",P4623="Transferencia",P4623="Pago tarjeta"),-1,1)*IF(IFERROR(INDEX(ctaMoneda,MATCH(AB4623,ctaNombre,0))&amp;"","DOP")="USD",T4623,S4623))</f>
        <v/>
      </c>
      <c r="AG4623" s="53">
        <f>IF(AC4623="","",IF(IFERROR(INDEX(ctaMoneda,MATCH(AC4623,ctaNombre,0))&amp;"","DOP")="USD",T4623,S4623))</f>
        <v/>
      </c>
      <c r="AH4623" s="53">
        <f>IF(P4623="","",IF(AND(AD4623&lt;&gt;"",COUNTIFS(tcTipo,AD4623,tcLiq,"Sí")&gt;0),IF(OR(P4623="Gasto",P4623="Transferencia",P4623="Pago tarjeta"),-1,1)*S4623,0)+IF(AND(AE4623&lt;&gt;"",COUNTIFS(tcTipo,AE4623,tcLiq,"Sí")&gt;0),S4623,0))</f>
        <v/>
      </c>
      <c r="AI4623" s="52">
        <f>IF(OR(L4623="",P4623=""),"",IF(COUNTIFS(L$6:L4623,L4623,P$6:P4623,"?*")=1,MAX(AI$5:AI4622)+1,""))</f>
        <v/>
      </c>
    </row>
    <row r="4624">
      <c r="B4624" s="47" t="n"/>
      <c r="C4624" s="48" t="n"/>
      <c r="D4624" s="48" t="n"/>
      <c r="E4624" s="48" t="n"/>
      <c r="F4624" s="48" t="n"/>
      <c r="G4624" s="49" t="n"/>
      <c r="H4624" s="48" t="n"/>
      <c r="I4624" s="50" t="n"/>
      <c r="J4624" s="48" t="n"/>
      <c r="K4624" s="48" t="n"/>
      <c r="L4624" s="48" t="n"/>
      <c r="M4624" s="48" t="n"/>
      <c r="N4624" s="48" t="n"/>
      <c r="O4624" s="51">
        <f>IF(AND(B4624="",G4624="",C4624="",D4624="",J4624=""),"",IF(B4624="","⚠ Falta fecha",IF(G4624="","⚠ Falta monto",IF(Q4624="","⚠ Falta cuenta",IF(ISNA(MATCH(Q4624,ctaNombre,0)),"⚠ Cuenta no registrada",IF(AND(OR(P4624="Gasto",P4624="Reembolso"),D4624=""),"⚠ Falta categoría",IF(AND(D4624&lt;&gt;"",E4624&lt;&gt;"",ISNA(MATCH(D4624&amp;"|"&amp;E4624,catClave,0))),"⚠ Subcategoría no corresponde",IF(AND(OR(P4624="Transferencia",P4624="Pago tarjeta"),K4624=""),"⚠ Falta cuenta destino",IF(AND(K4624&lt;&gt;"",P4624&lt;&gt;"Transferencia",P4624&lt;&gt;"Pago tarjeta"),"⚠ Destino solo aplica a transferencias",IF(AND(K4624&lt;&gt;"",K4624=Q4624),"⚠ Origen igual a destino",IF(AND(K4624&lt;&gt;"",ISNA(MATCH(K4624,ctaNombre,0))),"⚠ Destino no registrado",IF(AND(P4624="Pago tarjeta",AE4624&lt;&gt;"Tarjeta de crédito"),"⚠ El destino debe ser tarjeta de crédito",IF(AND(P4624="Gasto",E4624="Depósitos y retiros"),"⚠ Usa tipo Transferencia",IF(AND(P4624="Resultado trading",AD4624&lt;&gt;"Cuenta de trading"),"⚠ Usa una cuenta de trading",IF(AND(G4624&lt;=0,P4624&lt;&gt;"Ajuste",P4624&lt;&gt;"Resultado trading"),"⚠ El monto debe ser positivo","✓")))))))))))))))</f>
        <v/>
      </c>
      <c r="P4624" s="52">
        <f>IF(OR(B4624="",G4624=""),"",IF(C4624="","Gasto",C4624))</f>
        <v/>
      </c>
      <c r="Q4624" s="52">
        <f>IF(P4624="","",IF(J4624&lt;&gt;"",J4624,CuentaPred&amp;""))</f>
        <v/>
      </c>
      <c r="R4624" s="52">
        <f>IF(P4624="","",IF(ISNUMBER(I4624),I4624,TasaUSD))</f>
        <v/>
      </c>
      <c r="S4624" s="53">
        <f>IF(P4624="","",IF(H4624="USD",G4624*R4624,G4624))</f>
        <v/>
      </c>
      <c r="T4624" s="53">
        <f>IF(P4624="","",IF(H4624="USD",G4624,IF(R4624&gt;0,G4624/R4624,0)))</f>
        <v/>
      </c>
      <c r="U4624" s="53">
        <f>IF(P4624="","",IF(P4624="Gasto",S4624,IF(P4624="Reembolso",-S4624,0)))</f>
        <v/>
      </c>
      <c r="V4624" s="53">
        <f>IF(P4624="","",IF(P4624="Ingreso",S4624,0))</f>
        <v/>
      </c>
      <c r="W4624" s="53">
        <f>IF(P4624="","",IF(P4624="Resultado trading",S4624,0))</f>
        <v/>
      </c>
      <c r="X4624" s="52">
        <f>IF(OR(P4624="Gasto",P4624="Reembolso"),IF(M4624&lt;&gt;"",M4624,IFERROR(INDEX(catClasif,MATCH(D4624&amp;"|"&amp;E4624,catClave,0))&amp;"","Variable")),"")</f>
        <v/>
      </c>
      <c r="Y4624" s="52">
        <f>IF(P4624="","",IFERROR(INDEX(catGrupo,MATCH(D4624&amp;"|"&amp;E4624,catClave,0))&amp;"",""))</f>
        <v/>
      </c>
      <c r="Z4624" s="52">
        <f>IF(P4624="","",WEEKDAY(B4624,2))</f>
        <v/>
      </c>
      <c r="AA4624" s="52">
        <f>IF(P4624="","",IF(AND(P4624="Gasto",X4624="Variable",D4624&lt;&gt;catTrading,S4624&gt;0,S4624&lt;=Umbral),1,0))</f>
        <v/>
      </c>
      <c r="AB4624" s="52">
        <f>IF(OR(P4624="",Q4624=""),"",IFERROR(IF(INDEX(ctaVinc,MATCH(Q4624,ctaNombre,0))&amp;""&lt;&gt;"",INDEX(ctaVinc,MATCH(Q4624,ctaNombre,0))&amp;"",Q4624),Q4624))</f>
        <v/>
      </c>
      <c r="AC4624" s="52">
        <f>IF(OR(K4624="",AND(P4624&lt;&gt;"Transferencia",P4624&lt;&gt;"Pago tarjeta")),"",IFERROR(IF(INDEX(ctaVinc,MATCH(K4624,ctaNombre,0))&amp;""&lt;&gt;"",INDEX(ctaVinc,MATCH(K4624,ctaNombre,0))&amp;"",K4624),K4624))</f>
        <v/>
      </c>
      <c r="AD4624" s="52">
        <f>IF(AB4624="","",IFERROR(INDEX(ctaTipo,MATCH(AB4624,ctaNombre,0))&amp;"",""))</f>
        <v/>
      </c>
      <c r="AE4624" s="52">
        <f>IF(AC4624="","",IFERROR(INDEX(ctaTipo,MATCH(AC4624,ctaNombre,0))&amp;"",""))</f>
        <v/>
      </c>
      <c r="AF4624" s="53">
        <f>IF(OR(P4624="",AB4624=""),"",IF(OR(P4624="Gasto",P4624="Transferencia",P4624="Pago tarjeta"),-1,1)*IF(IFERROR(INDEX(ctaMoneda,MATCH(AB4624,ctaNombre,0))&amp;"","DOP")="USD",T4624,S4624))</f>
        <v/>
      </c>
      <c r="AG4624" s="53">
        <f>IF(AC4624="","",IF(IFERROR(INDEX(ctaMoneda,MATCH(AC4624,ctaNombre,0))&amp;"","DOP")="USD",T4624,S4624))</f>
        <v/>
      </c>
      <c r="AH4624" s="53">
        <f>IF(P4624="","",IF(AND(AD4624&lt;&gt;"",COUNTIFS(tcTipo,AD4624,tcLiq,"Sí")&gt;0),IF(OR(P4624="Gasto",P4624="Transferencia",P4624="Pago tarjeta"),-1,1)*S4624,0)+IF(AND(AE4624&lt;&gt;"",COUNTIFS(tcTipo,AE4624,tcLiq,"Sí")&gt;0),S4624,0))</f>
        <v/>
      </c>
      <c r="AI4624" s="52">
        <f>IF(OR(L4624="",P4624=""),"",IF(COUNTIFS(L$6:L4624,L4624,P$6:P4624,"?*")=1,MAX(AI$5:AI4623)+1,""))</f>
        <v/>
      </c>
    </row>
    <row r="4625">
      <c r="B4625" s="47" t="n"/>
      <c r="C4625" s="48" t="n"/>
      <c r="D4625" s="48" t="n"/>
      <c r="E4625" s="48" t="n"/>
      <c r="F4625" s="48" t="n"/>
      <c r="G4625" s="49" t="n"/>
      <c r="H4625" s="48" t="n"/>
      <c r="I4625" s="50" t="n"/>
      <c r="J4625" s="48" t="n"/>
      <c r="K4625" s="48" t="n"/>
      <c r="L4625" s="48" t="n"/>
      <c r="M4625" s="48" t="n"/>
      <c r="N4625" s="48" t="n"/>
      <c r="O4625" s="51">
        <f>IF(AND(B4625="",G4625="",C4625="",D4625="",J4625=""),"",IF(B4625="","⚠ Falta fecha",IF(G4625="","⚠ Falta monto",IF(Q4625="","⚠ Falta cuenta",IF(ISNA(MATCH(Q4625,ctaNombre,0)),"⚠ Cuenta no registrada",IF(AND(OR(P4625="Gasto",P4625="Reembolso"),D4625=""),"⚠ Falta categoría",IF(AND(D4625&lt;&gt;"",E4625&lt;&gt;"",ISNA(MATCH(D4625&amp;"|"&amp;E4625,catClave,0))),"⚠ Subcategoría no corresponde",IF(AND(OR(P4625="Transferencia",P4625="Pago tarjeta"),K4625=""),"⚠ Falta cuenta destino",IF(AND(K4625&lt;&gt;"",P4625&lt;&gt;"Transferencia",P4625&lt;&gt;"Pago tarjeta"),"⚠ Destino solo aplica a transferencias",IF(AND(K4625&lt;&gt;"",K4625=Q4625),"⚠ Origen igual a destino",IF(AND(K4625&lt;&gt;"",ISNA(MATCH(K4625,ctaNombre,0))),"⚠ Destino no registrado",IF(AND(P4625="Pago tarjeta",AE4625&lt;&gt;"Tarjeta de crédito"),"⚠ El destino debe ser tarjeta de crédito",IF(AND(P4625="Gasto",E4625="Depósitos y retiros"),"⚠ Usa tipo Transferencia",IF(AND(P4625="Resultado trading",AD4625&lt;&gt;"Cuenta de trading"),"⚠ Usa una cuenta de trading",IF(AND(G4625&lt;=0,P4625&lt;&gt;"Ajuste",P4625&lt;&gt;"Resultado trading"),"⚠ El monto debe ser positivo","✓")))))))))))))))</f>
        <v/>
      </c>
      <c r="P4625" s="52">
        <f>IF(OR(B4625="",G4625=""),"",IF(C4625="","Gasto",C4625))</f>
        <v/>
      </c>
      <c r="Q4625" s="52">
        <f>IF(P4625="","",IF(J4625&lt;&gt;"",J4625,CuentaPred&amp;""))</f>
        <v/>
      </c>
      <c r="R4625" s="52">
        <f>IF(P4625="","",IF(ISNUMBER(I4625),I4625,TasaUSD))</f>
        <v/>
      </c>
      <c r="S4625" s="53">
        <f>IF(P4625="","",IF(H4625="USD",G4625*R4625,G4625))</f>
        <v/>
      </c>
      <c r="T4625" s="53">
        <f>IF(P4625="","",IF(H4625="USD",G4625,IF(R4625&gt;0,G4625/R4625,0)))</f>
        <v/>
      </c>
      <c r="U4625" s="53">
        <f>IF(P4625="","",IF(P4625="Gasto",S4625,IF(P4625="Reembolso",-S4625,0)))</f>
        <v/>
      </c>
      <c r="V4625" s="53">
        <f>IF(P4625="","",IF(P4625="Ingreso",S4625,0))</f>
        <v/>
      </c>
      <c r="W4625" s="53">
        <f>IF(P4625="","",IF(P4625="Resultado trading",S4625,0))</f>
        <v/>
      </c>
      <c r="X4625" s="52">
        <f>IF(OR(P4625="Gasto",P4625="Reembolso"),IF(M4625&lt;&gt;"",M4625,IFERROR(INDEX(catClasif,MATCH(D4625&amp;"|"&amp;E4625,catClave,0))&amp;"","Variable")),"")</f>
        <v/>
      </c>
      <c r="Y4625" s="52">
        <f>IF(P4625="","",IFERROR(INDEX(catGrupo,MATCH(D4625&amp;"|"&amp;E4625,catClave,0))&amp;"",""))</f>
        <v/>
      </c>
      <c r="Z4625" s="52">
        <f>IF(P4625="","",WEEKDAY(B4625,2))</f>
        <v/>
      </c>
      <c r="AA4625" s="52">
        <f>IF(P4625="","",IF(AND(P4625="Gasto",X4625="Variable",D4625&lt;&gt;catTrading,S4625&gt;0,S4625&lt;=Umbral),1,0))</f>
        <v/>
      </c>
      <c r="AB4625" s="52">
        <f>IF(OR(P4625="",Q4625=""),"",IFERROR(IF(INDEX(ctaVinc,MATCH(Q4625,ctaNombre,0))&amp;""&lt;&gt;"",INDEX(ctaVinc,MATCH(Q4625,ctaNombre,0))&amp;"",Q4625),Q4625))</f>
        <v/>
      </c>
      <c r="AC4625" s="52">
        <f>IF(OR(K4625="",AND(P4625&lt;&gt;"Transferencia",P4625&lt;&gt;"Pago tarjeta")),"",IFERROR(IF(INDEX(ctaVinc,MATCH(K4625,ctaNombre,0))&amp;""&lt;&gt;"",INDEX(ctaVinc,MATCH(K4625,ctaNombre,0))&amp;"",K4625),K4625))</f>
        <v/>
      </c>
      <c r="AD4625" s="52">
        <f>IF(AB4625="","",IFERROR(INDEX(ctaTipo,MATCH(AB4625,ctaNombre,0))&amp;"",""))</f>
        <v/>
      </c>
      <c r="AE4625" s="52">
        <f>IF(AC4625="","",IFERROR(INDEX(ctaTipo,MATCH(AC4625,ctaNombre,0))&amp;"",""))</f>
        <v/>
      </c>
      <c r="AF4625" s="53">
        <f>IF(OR(P4625="",AB4625=""),"",IF(OR(P4625="Gasto",P4625="Transferencia",P4625="Pago tarjeta"),-1,1)*IF(IFERROR(INDEX(ctaMoneda,MATCH(AB4625,ctaNombre,0))&amp;"","DOP")="USD",T4625,S4625))</f>
        <v/>
      </c>
      <c r="AG4625" s="53">
        <f>IF(AC4625="","",IF(IFERROR(INDEX(ctaMoneda,MATCH(AC4625,ctaNombre,0))&amp;"","DOP")="USD",T4625,S4625))</f>
        <v/>
      </c>
      <c r="AH4625" s="53">
        <f>IF(P4625="","",IF(AND(AD4625&lt;&gt;"",COUNTIFS(tcTipo,AD4625,tcLiq,"Sí")&gt;0),IF(OR(P4625="Gasto",P4625="Transferencia",P4625="Pago tarjeta"),-1,1)*S4625,0)+IF(AND(AE4625&lt;&gt;"",COUNTIFS(tcTipo,AE4625,tcLiq,"Sí")&gt;0),S4625,0))</f>
        <v/>
      </c>
      <c r="AI4625" s="52">
        <f>IF(OR(L4625="",P4625=""),"",IF(COUNTIFS(L$6:L4625,L4625,P$6:P4625,"?*")=1,MAX(AI$5:AI4624)+1,""))</f>
        <v/>
      </c>
    </row>
    <row r="4626">
      <c r="B4626" s="47" t="n"/>
      <c r="C4626" s="48" t="n"/>
      <c r="D4626" s="48" t="n"/>
      <c r="E4626" s="48" t="n"/>
      <c r="F4626" s="48" t="n"/>
      <c r="G4626" s="49" t="n"/>
      <c r="H4626" s="48" t="n"/>
      <c r="I4626" s="50" t="n"/>
      <c r="J4626" s="48" t="n"/>
      <c r="K4626" s="48" t="n"/>
      <c r="L4626" s="48" t="n"/>
      <c r="M4626" s="48" t="n"/>
      <c r="N4626" s="48" t="n"/>
      <c r="O4626" s="51">
        <f>IF(AND(B4626="",G4626="",C4626="",D4626="",J4626=""),"",IF(B4626="","⚠ Falta fecha",IF(G4626="","⚠ Falta monto",IF(Q4626="","⚠ Falta cuenta",IF(ISNA(MATCH(Q4626,ctaNombre,0)),"⚠ Cuenta no registrada",IF(AND(OR(P4626="Gasto",P4626="Reembolso"),D4626=""),"⚠ Falta categoría",IF(AND(D4626&lt;&gt;"",E4626&lt;&gt;"",ISNA(MATCH(D4626&amp;"|"&amp;E4626,catClave,0))),"⚠ Subcategoría no corresponde",IF(AND(OR(P4626="Transferencia",P4626="Pago tarjeta"),K4626=""),"⚠ Falta cuenta destino",IF(AND(K4626&lt;&gt;"",P4626&lt;&gt;"Transferencia",P4626&lt;&gt;"Pago tarjeta"),"⚠ Destino solo aplica a transferencias",IF(AND(K4626&lt;&gt;"",K4626=Q4626),"⚠ Origen igual a destino",IF(AND(K4626&lt;&gt;"",ISNA(MATCH(K4626,ctaNombre,0))),"⚠ Destino no registrado",IF(AND(P4626="Pago tarjeta",AE4626&lt;&gt;"Tarjeta de crédito"),"⚠ El destino debe ser tarjeta de crédito",IF(AND(P4626="Gasto",E4626="Depósitos y retiros"),"⚠ Usa tipo Transferencia",IF(AND(P4626="Resultado trading",AD4626&lt;&gt;"Cuenta de trading"),"⚠ Usa una cuenta de trading",IF(AND(G4626&lt;=0,P4626&lt;&gt;"Ajuste",P4626&lt;&gt;"Resultado trading"),"⚠ El monto debe ser positivo","✓")))))))))))))))</f>
        <v/>
      </c>
      <c r="P4626" s="52">
        <f>IF(OR(B4626="",G4626=""),"",IF(C4626="","Gasto",C4626))</f>
        <v/>
      </c>
      <c r="Q4626" s="52">
        <f>IF(P4626="","",IF(J4626&lt;&gt;"",J4626,CuentaPred&amp;""))</f>
        <v/>
      </c>
      <c r="R4626" s="52">
        <f>IF(P4626="","",IF(ISNUMBER(I4626),I4626,TasaUSD))</f>
        <v/>
      </c>
      <c r="S4626" s="53">
        <f>IF(P4626="","",IF(H4626="USD",G4626*R4626,G4626))</f>
        <v/>
      </c>
      <c r="T4626" s="53">
        <f>IF(P4626="","",IF(H4626="USD",G4626,IF(R4626&gt;0,G4626/R4626,0)))</f>
        <v/>
      </c>
      <c r="U4626" s="53">
        <f>IF(P4626="","",IF(P4626="Gasto",S4626,IF(P4626="Reembolso",-S4626,0)))</f>
        <v/>
      </c>
      <c r="V4626" s="53">
        <f>IF(P4626="","",IF(P4626="Ingreso",S4626,0))</f>
        <v/>
      </c>
      <c r="W4626" s="53">
        <f>IF(P4626="","",IF(P4626="Resultado trading",S4626,0))</f>
        <v/>
      </c>
      <c r="X4626" s="52">
        <f>IF(OR(P4626="Gasto",P4626="Reembolso"),IF(M4626&lt;&gt;"",M4626,IFERROR(INDEX(catClasif,MATCH(D4626&amp;"|"&amp;E4626,catClave,0))&amp;"","Variable")),"")</f>
        <v/>
      </c>
      <c r="Y4626" s="52">
        <f>IF(P4626="","",IFERROR(INDEX(catGrupo,MATCH(D4626&amp;"|"&amp;E4626,catClave,0))&amp;"",""))</f>
        <v/>
      </c>
      <c r="Z4626" s="52">
        <f>IF(P4626="","",WEEKDAY(B4626,2))</f>
        <v/>
      </c>
      <c r="AA4626" s="52">
        <f>IF(P4626="","",IF(AND(P4626="Gasto",X4626="Variable",D4626&lt;&gt;catTrading,S4626&gt;0,S4626&lt;=Umbral),1,0))</f>
        <v/>
      </c>
      <c r="AB4626" s="52">
        <f>IF(OR(P4626="",Q4626=""),"",IFERROR(IF(INDEX(ctaVinc,MATCH(Q4626,ctaNombre,0))&amp;""&lt;&gt;"",INDEX(ctaVinc,MATCH(Q4626,ctaNombre,0))&amp;"",Q4626),Q4626))</f>
        <v/>
      </c>
      <c r="AC4626" s="52">
        <f>IF(OR(K4626="",AND(P4626&lt;&gt;"Transferencia",P4626&lt;&gt;"Pago tarjeta")),"",IFERROR(IF(INDEX(ctaVinc,MATCH(K4626,ctaNombre,0))&amp;""&lt;&gt;"",INDEX(ctaVinc,MATCH(K4626,ctaNombre,0))&amp;"",K4626),K4626))</f>
        <v/>
      </c>
      <c r="AD4626" s="52">
        <f>IF(AB4626="","",IFERROR(INDEX(ctaTipo,MATCH(AB4626,ctaNombre,0))&amp;"",""))</f>
        <v/>
      </c>
      <c r="AE4626" s="52">
        <f>IF(AC4626="","",IFERROR(INDEX(ctaTipo,MATCH(AC4626,ctaNombre,0))&amp;"",""))</f>
        <v/>
      </c>
      <c r="AF4626" s="53">
        <f>IF(OR(P4626="",AB4626=""),"",IF(OR(P4626="Gasto",P4626="Transferencia",P4626="Pago tarjeta"),-1,1)*IF(IFERROR(INDEX(ctaMoneda,MATCH(AB4626,ctaNombre,0))&amp;"","DOP")="USD",T4626,S4626))</f>
        <v/>
      </c>
      <c r="AG4626" s="53">
        <f>IF(AC4626="","",IF(IFERROR(INDEX(ctaMoneda,MATCH(AC4626,ctaNombre,0))&amp;"","DOP")="USD",T4626,S4626))</f>
        <v/>
      </c>
      <c r="AH4626" s="53">
        <f>IF(P4626="","",IF(AND(AD4626&lt;&gt;"",COUNTIFS(tcTipo,AD4626,tcLiq,"Sí")&gt;0),IF(OR(P4626="Gasto",P4626="Transferencia",P4626="Pago tarjeta"),-1,1)*S4626,0)+IF(AND(AE4626&lt;&gt;"",COUNTIFS(tcTipo,AE4626,tcLiq,"Sí")&gt;0),S4626,0))</f>
        <v/>
      </c>
      <c r="AI4626" s="52">
        <f>IF(OR(L4626="",P4626=""),"",IF(COUNTIFS(L$6:L4626,L4626,P$6:P4626,"?*")=1,MAX(AI$5:AI4625)+1,""))</f>
        <v/>
      </c>
    </row>
    <row r="4627">
      <c r="B4627" s="47" t="n"/>
      <c r="C4627" s="48" t="n"/>
      <c r="D4627" s="48" t="n"/>
      <c r="E4627" s="48" t="n"/>
      <c r="F4627" s="48" t="n"/>
      <c r="G4627" s="49" t="n"/>
      <c r="H4627" s="48" t="n"/>
      <c r="I4627" s="50" t="n"/>
      <c r="J4627" s="48" t="n"/>
      <c r="K4627" s="48" t="n"/>
      <c r="L4627" s="48" t="n"/>
      <c r="M4627" s="48" t="n"/>
      <c r="N4627" s="48" t="n"/>
      <c r="O4627" s="51">
        <f>IF(AND(B4627="",G4627="",C4627="",D4627="",J4627=""),"",IF(B4627="","⚠ Falta fecha",IF(G4627="","⚠ Falta monto",IF(Q4627="","⚠ Falta cuenta",IF(ISNA(MATCH(Q4627,ctaNombre,0)),"⚠ Cuenta no registrada",IF(AND(OR(P4627="Gasto",P4627="Reembolso"),D4627=""),"⚠ Falta categoría",IF(AND(D4627&lt;&gt;"",E4627&lt;&gt;"",ISNA(MATCH(D4627&amp;"|"&amp;E4627,catClave,0))),"⚠ Subcategoría no corresponde",IF(AND(OR(P4627="Transferencia",P4627="Pago tarjeta"),K4627=""),"⚠ Falta cuenta destino",IF(AND(K4627&lt;&gt;"",P4627&lt;&gt;"Transferencia",P4627&lt;&gt;"Pago tarjeta"),"⚠ Destino solo aplica a transferencias",IF(AND(K4627&lt;&gt;"",K4627=Q4627),"⚠ Origen igual a destino",IF(AND(K4627&lt;&gt;"",ISNA(MATCH(K4627,ctaNombre,0))),"⚠ Destino no registrado",IF(AND(P4627="Pago tarjeta",AE4627&lt;&gt;"Tarjeta de crédito"),"⚠ El destino debe ser tarjeta de crédito",IF(AND(P4627="Gasto",E4627="Depósitos y retiros"),"⚠ Usa tipo Transferencia",IF(AND(P4627="Resultado trading",AD4627&lt;&gt;"Cuenta de trading"),"⚠ Usa una cuenta de trading",IF(AND(G4627&lt;=0,P4627&lt;&gt;"Ajuste",P4627&lt;&gt;"Resultado trading"),"⚠ El monto debe ser positivo","✓")))))))))))))))</f>
        <v/>
      </c>
      <c r="P4627" s="52">
        <f>IF(OR(B4627="",G4627=""),"",IF(C4627="","Gasto",C4627))</f>
        <v/>
      </c>
      <c r="Q4627" s="52">
        <f>IF(P4627="","",IF(J4627&lt;&gt;"",J4627,CuentaPred&amp;""))</f>
        <v/>
      </c>
      <c r="R4627" s="52">
        <f>IF(P4627="","",IF(ISNUMBER(I4627),I4627,TasaUSD))</f>
        <v/>
      </c>
      <c r="S4627" s="53">
        <f>IF(P4627="","",IF(H4627="USD",G4627*R4627,G4627))</f>
        <v/>
      </c>
      <c r="T4627" s="53">
        <f>IF(P4627="","",IF(H4627="USD",G4627,IF(R4627&gt;0,G4627/R4627,0)))</f>
        <v/>
      </c>
      <c r="U4627" s="53">
        <f>IF(P4627="","",IF(P4627="Gasto",S4627,IF(P4627="Reembolso",-S4627,0)))</f>
        <v/>
      </c>
      <c r="V4627" s="53">
        <f>IF(P4627="","",IF(P4627="Ingreso",S4627,0))</f>
        <v/>
      </c>
      <c r="W4627" s="53">
        <f>IF(P4627="","",IF(P4627="Resultado trading",S4627,0))</f>
        <v/>
      </c>
      <c r="X4627" s="52">
        <f>IF(OR(P4627="Gasto",P4627="Reembolso"),IF(M4627&lt;&gt;"",M4627,IFERROR(INDEX(catClasif,MATCH(D4627&amp;"|"&amp;E4627,catClave,0))&amp;"","Variable")),"")</f>
        <v/>
      </c>
      <c r="Y4627" s="52">
        <f>IF(P4627="","",IFERROR(INDEX(catGrupo,MATCH(D4627&amp;"|"&amp;E4627,catClave,0))&amp;"",""))</f>
        <v/>
      </c>
      <c r="Z4627" s="52">
        <f>IF(P4627="","",WEEKDAY(B4627,2))</f>
        <v/>
      </c>
      <c r="AA4627" s="52">
        <f>IF(P4627="","",IF(AND(P4627="Gasto",X4627="Variable",D4627&lt;&gt;catTrading,S4627&gt;0,S4627&lt;=Umbral),1,0))</f>
        <v/>
      </c>
      <c r="AB4627" s="52">
        <f>IF(OR(P4627="",Q4627=""),"",IFERROR(IF(INDEX(ctaVinc,MATCH(Q4627,ctaNombre,0))&amp;""&lt;&gt;"",INDEX(ctaVinc,MATCH(Q4627,ctaNombre,0))&amp;"",Q4627),Q4627))</f>
        <v/>
      </c>
      <c r="AC4627" s="52">
        <f>IF(OR(K4627="",AND(P4627&lt;&gt;"Transferencia",P4627&lt;&gt;"Pago tarjeta")),"",IFERROR(IF(INDEX(ctaVinc,MATCH(K4627,ctaNombre,0))&amp;""&lt;&gt;"",INDEX(ctaVinc,MATCH(K4627,ctaNombre,0))&amp;"",K4627),K4627))</f>
        <v/>
      </c>
      <c r="AD4627" s="52">
        <f>IF(AB4627="","",IFERROR(INDEX(ctaTipo,MATCH(AB4627,ctaNombre,0))&amp;"",""))</f>
        <v/>
      </c>
      <c r="AE4627" s="52">
        <f>IF(AC4627="","",IFERROR(INDEX(ctaTipo,MATCH(AC4627,ctaNombre,0))&amp;"",""))</f>
        <v/>
      </c>
      <c r="AF4627" s="53">
        <f>IF(OR(P4627="",AB4627=""),"",IF(OR(P4627="Gasto",P4627="Transferencia",P4627="Pago tarjeta"),-1,1)*IF(IFERROR(INDEX(ctaMoneda,MATCH(AB4627,ctaNombre,0))&amp;"","DOP")="USD",T4627,S4627))</f>
        <v/>
      </c>
      <c r="AG4627" s="53">
        <f>IF(AC4627="","",IF(IFERROR(INDEX(ctaMoneda,MATCH(AC4627,ctaNombre,0))&amp;"","DOP")="USD",T4627,S4627))</f>
        <v/>
      </c>
      <c r="AH4627" s="53">
        <f>IF(P4627="","",IF(AND(AD4627&lt;&gt;"",COUNTIFS(tcTipo,AD4627,tcLiq,"Sí")&gt;0),IF(OR(P4627="Gasto",P4627="Transferencia",P4627="Pago tarjeta"),-1,1)*S4627,0)+IF(AND(AE4627&lt;&gt;"",COUNTIFS(tcTipo,AE4627,tcLiq,"Sí")&gt;0),S4627,0))</f>
        <v/>
      </c>
      <c r="AI4627" s="52">
        <f>IF(OR(L4627="",P4627=""),"",IF(COUNTIFS(L$6:L4627,L4627,P$6:P4627,"?*")=1,MAX(AI$5:AI4626)+1,""))</f>
        <v/>
      </c>
    </row>
    <row r="4628">
      <c r="B4628" s="47" t="n"/>
      <c r="C4628" s="48" t="n"/>
      <c r="D4628" s="48" t="n"/>
      <c r="E4628" s="48" t="n"/>
      <c r="F4628" s="48" t="n"/>
      <c r="G4628" s="49" t="n"/>
      <c r="H4628" s="48" t="n"/>
      <c r="I4628" s="50" t="n"/>
      <c r="J4628" s="48" t="n"/>
      <c r="K4628" s="48" t="n"/>
      <c r="L4628" s="48" t="n"/>
      <c r="M4628" s="48" t="n"/>
      <c r="N4628" s="48" t="n"/>
      <c r="O4628" s="51">
        <f>IF(AND(B4628="",G4628="",C4628="",D4628="",J4628=""),"",IF(B4628="","⚠ Falta fecha",IF(G4628="","⚠ Falta monto",IF(Q4628="","⚠ Falta cuenta",IF(ISNA(MATCH(Q4628,ctaNombre,0)),"⚠ Cuenta no registrada",IF(AND(OR(P4628="Gasto",P4628="Reembolso"),D4628=""),"⚠ Falta categoría",IF(AND(D4628&lt;&gt;"",E4628&lt;&gt;"",ISNA(MATCH(D4628&amp;"|"&amp;E4628,catClave,0))),"⚠ Subcategoría no corresponde",IF(AND(OR(P4628="Transferencia",P4628="Pago tarjeta"),K4628=""),"⚠ Falta cuenta destino",IF(AND(K4628&lt;&gt;"",P4628&lt;&gt;"Transferencia",P4628&lt;&gt;"Pago tarjeta"),"⚠ Destino solo aplica a transferencias",IF(AND(K4628&lt;&gt;"",K4628=Q4628),"⚠ Origen igual a destino",IF(AND(K4628&lt;&gt;"",ISNA(MATCH(K4628,ctaNombre,0))),"⚠ Destino no registrado",IF(AND(P4628="Pago tarjeta",AE4628&lt;&gt;"Tarjeta de crédito"),"⚠ El destino debe ser tarjeta de crédito",IF(AND(P4628="Gasto",E4628="Depósitos y retiros"),"⚠ Usa tipo Transferencia",IF(AND(P4628="Resultado trading",AD4628&lt;&gt;"Cuenta de trading"),"⚠ Usa una cuenta de trading",IF(AND(G4628&lt;=0,P4628&lt;&gt;"Ajuste",P4628&lt;&gt;"Resultado trading"),"⚠ El monto debe ser positivo","✓")))))))))))))))</f>
        <v/>
      </c>
      <c r="P4628" s="52">
        <f>IF(OR(B4628="",G4628=""),"",IF(C4628="","Gasto",C4628))</f>
        <v/>
      </c>
      <c r="Q4628" s="52">
        <f>IF(P4628="","",IF(J4628&lt;&gt;"",J4628,CuentaPred&amp;""))</f>
        <v/>
      </c>
      <c r="R4628" s="52">
        <f>IF(P4628="","",IF(ISNUMBER(I4628),I4628,TasaUSD))</f>
        <v/>
      </c>
      <c r="S4628" s="53">
        <f>IF(P4628="","",IF(H4628="USD",G4628*R4628,G4628))</f>
        <v/>
      </c>
      <c r="T4628" s="53">
        <f>IF(P4628="","",IF(H4628="USD",G4628,IF(R4628&gt;0,G4628/R4628,0)))</f>
        <v/>
      </c>
      <c r="U4628" s="53">
        <f>IF(P4628="","",IF(P4628="Gasto",S4628,IF(P4628="Reembolso",-S4628,0)))</f>
        <v/>
      </c>
      <c r="V4628" s="53">
        <f>IF(P4628="","",IF(P4628="Ingreso",S4628,0))</f>
        <v/>
      </c>
      <c r="W4628" s="53">
        <f>IF(P4628="","",IF(P4628="Resultado trading",S4628,0))</f>
        <v/>
      </c>
      <c r="X4628" s="52">
        <f>IF(OR(P4628="Gasto",P4628="Reembolso"),IF(M4628&lt;&gt;"",M4628,IFERROR(INDEX(catClasif,MATCH(D4628&amp;"|"&amp;E4628,catClave,0))&amp;"","Variable")),"")</f>
        <v/>
      </c>
      <c r="Y4628" s="52">
        <f>IF(P4628="","",IFERROR(INDEX(catGrupo,MATCH(D4628&amp;"|"&amp;E4628,catClave,0))&amp;"",""))</f>
        <v/>
      </c>
      <c r="Z4628" s="52">
        <f>IF(P4628="","",WEEKDAY(B4628,2))</f>
        <v/>
      </c>
      <c r="AA4628" s="52">
        <f>IF(P4628="","",IF(AND(P4628="Gasto",X4628="Variable",D4628&lt;&gt;catTrading,S4628&gt;0,S4628&lt;=Umbral),1,0))</f>
        <v/>
      </c>
      <c r="AB4628" s="52">
        <f>IF(OR(P4628="",Q4628=""),"",IFERROR(IF(INDEX(ctaVinc,MATCH(Q4628,ctaNombre,0))&amp;""&lt;&gt;"",INDEX(ctaVinc,MATCH(Q4628,ctaNombre,0))&amp;"",Q4628),Q4628))</f>
        <v/>
      </c>
      <c r="AC4628" s="52">
        <f>IF(OR(K4628="",AND(P4628&lt;&gt;"Transferencia",P4628&lt;&gt;"Pago tarjeta")),"",IFERROR(IF(INDEX(ctaVinc,MATCH(K4628,ctaNombre,0))&amp;""&lt;&gt;"",INDEX(ctaVinc,MATCH(K4628,ctaNombre,0))&amp;"",K4628),K4628))</f>
        <v/>
      </c>
      <c r="AD4628" s="52">
        <f>IF(AB4628="","",IFERROR(INDEX(ctaTipo,MATCH(AB4628,ctaNombre,0))&amp;"",""))</f>
        <v/>
      </c>
      <c r="AE4628" s="52">
        <f>IF(AC4628="","",IFERROR(INDEX(ctaTipo,MATCH(AC4628,ctaNombre,0))&amp;"",""))</f>
        <v/>
      </c>
      <c r="AF4628" s="53">
        <f>IF(OR(P4628="",AB4628=""),"",IF(OR(P4628="Gasto",P4628="Transferencia",P4628="Pago tarjeta"),-1,1)*IF(IFERROR(INDEX(ctaMoneda,MATCH(AB4628,ctaNombre,0))&amp;"","DOP")="USD",T4628,S4628))</f>
        <v/>
      </c>
      <c r="AG4628" s="53">
        <f>IF(AC4628="","",IF(IFERROR(INDEX(ctaMoneda,MATCH(AC4628,ctaNombre,0))&amp;"","DOP")="USD",T4628,S4628))</f>
        <v/>
      </c>
      <c r="AH4628" s="53">
        <f>IF(P4628="","",IF(AND(AD4628&lt;&gt;"",COUNTIFS(tcTipo,AD4628,tcLiq,"Sí")&gt;0),IF(OR(P4628="Gasto",P4628="Transferencia",P4628="Pago tarjeta"),-1,1)*S4628,0)+IF(AND(AE4628&lt;&gt;"",COUNTIFS(tcTipo,AE4628,tcLiq,"Sí")&gt;0),S4628,0))</f>
        <v/>
      </c>
      <c r="AI4628" s="52">
        <f>IF(OR(L4628="",P4628=""),"",IF(COUNTIFS(L$6:L4628,L4628,P$6:P4628,"?*")=1,MAX(AI$5:AI4627)+1,""))</f>
        <v/>
      </c>
    </row>
    <row r="4629">
      <c r="B4629" s="47" t="n"/>
      <c r="C4629" s="48" t="n"/>
      <c r="D4629" s="48" t="n"/>
      <c r="E4629" s="48" t="n"/>
      <c r="F4629" s="48" t="n"/>
      <c r="G4629" s="49" t="n"/>
      <c r="H4629" s="48" t="n"/>
      <c r="I4629" s="50" t="n"/>
      <c r="J4629" s="48" t="n"/>
      <c r="K4629" s="48" t="n"/>
      <c r="L4629" s="48" t="n"/>
      <c r="M4629" s="48" t="n"/>
      <c r="N4629" s="48" t="n"/>
      <c r="O4629" s="51">
        <f>IF(AND(B4629="",G4629="",C4629="",D4629="",J4629=""),"",IF(B4629="","⚠ Falta fecha",IF(G4629="","⚠ Falta monto",IF(Q4629="","⚠ Falta cuenta",IF(ISNA(MATCH(Q4629,ctaNombre,0)),"⚠ Cuenta no registrada",IF(AND(OR(P4629="Gasto",P4629="Reembolso"),D4629=""),"⚠ Falta categoría",IF(AND(D4629&lt;&gt;"",E4629&lt;&gt;"",ISNA(MATCH(D4629&amp;"|"&amp;E4629,catClave,0))),"⚠ Subcategoría no corresponde",IF(AND(OR(P4629="Transferencia",P4629="Pago tarjeta"),K4629=""),"⚠ Falta cuenta destino",IF(AND(K4629&lt;&gt;"",P4629&lt;&gt;"Transferencia",P4629&lt;&gt;"Pago tarjeta"),"⚠ Destino solo aplica a transferencias",IF(AND(K4629&lt;&gt;"",K4629=Q4629),"⚠ Origen igual a destino",IF(AND(K4629&lt;&gt;"",ISNA(MATCH(K4629,ctaNombre,0))),"⚠ Destino no registrado",IF(AND(P4629="Pago tarjeta",AE4629&lt;&gt;"Tarjeta de crédito"),"⚠ El destino debe ser tarjeta de crédito",IF(AND(P4629="Gasto",E4629="Depósitos y retiros"),"⚠ Usa tipo Transferencia",IF(AND(P4629="Resultado trading",AD4629&lt;&gt;"Cuenta de trading"),"⚠ Usa una cuenta de trading",IF(AND(G4629&lt;=0,P4629&lt;&gt;"Ajuste",P4629&lt;&gt;"Resultado trading"),"⚠ El monto debe ser positivo","✓")))))))))))))))</f>
        <v/>
      </c>
      <c r="P4629" s="52">
        <f>IF(OR(B4629="",G4629=""),"",IF(C4629="","Gasto",C4629))</f>
        <v/>
      </c>
      <c r="Q4629" s="52">
        <f>IF(P4629="","",IF(J4629&lt;&gt;"",J4629,CuentaPred&amp;""))</f>
        <v/>
      </c>
      <c r="R4629" s="52">
        <f>IF(P4629="","",IF(ISNUMBER(I4629),I4629,TasaUSD))</f>
        <v/>
      </c>
      <c r="S4629" s="53">
        <f>IF(P4629="","",IF(H4629="USD",G4629*R4629,G4629))</f>
        <v/>
      </c>
      <c r="T4629" s="53">
        <f>IF(P4629="","",IF(H4629="USD",G4629,IF(R4629&gt;0,G4629/R4629,0)))</f>
        <v/>
      </c>
      <c r="U4629" s="53">
        <f>IF(P4629="","",IF(P4629="Gasto",S4629,IF(P4629="Reembolso",-S4629,0)))</f>
        <v/>
      </c>
      <c r="V4629" s="53">
        <f>IF(P4629="","",IF(P4629="Ingreso",S4629,0))</f>
        <v/>
      </c>
      <c r="W4629" s="53">
        <f>IF(P4629="","",IF(P4629="Resultado trading",S4629,0))</f>
        <v/>
      </c>
      <c r="X4629" s="52">
        <f>IF(OR(P4629="Gasto",P4629="Reembolso"),IF(M4629&lt;&gt;"",M4629,IFERROR(INDEX(catClasif,MATCH(D4629&amp;"|"&amp;E4629,catClave,0))&amp;"","Variable")),"")</f>
        <v/>
      </c>
      <c r="Y4629" s="52">
        <f>IF(P4629="","",IFERROR(INDEX(catGrupo,MATCH(D4629&amp;"|"&amp;E4629,catClave,0))&amp;"",""))</f>
        <v/>
      </c>
      <c r="Z4629" s="52">
        <f>IF(P4629="","",WEEKDAY(B4629,2))</f>
        <v/>
      </c>
      <c r="AA4629" s="52">
        <f>IF(P4629="","",IF(AND(P4629="Gasto",X4629="Variable",D4629&lt;&gt;catTrading,S4629&gt;0,S4629&lt;=Umbral),1,0))</f>
        <v/>
      </c>
      <c r="AB4629" s="52">
        <f>IF(OR(P4629="",Q4629=""),"",IFERROR(IF(INDEX(ctaVinc,MATCH(Q4629,ctaNombre,0))&amp;""&lt;&gt;"",INDEX(ctaVinc,MATCH(Q4629,ctaNombre,0))&amp;"",Q4629),Q4629))</f>
        <v/>
      </c>
      <c r="AC4629" s="52">
        <f>IF(OR(K4629="",AND(P4629&lt;&gt;"Transferencia",P4629&lt;&gt;"Pago tarjeta")),"",IFERROR(IF(INDEX(ctaVinc,MATCH(K4629,ctaNombre,0))&amp;""&lt;&gt;"",INDEX(ctaVinc,MATCH(K4629,ctaNombre,0))&amp;"",K4629),K4629))</f>
        <v/>
      </c>
      <c r="AD4629" s="52">
        <f>IF(AB4629="","",IFERROR(INDEX(ctaTipo,MATCH(AB4629,ctaNombre,0))&amp;"",""))</f>
        <v/>
      </c>
      <c r="AE4629" s="52">
        <f>IF(AC4629="","",IFERROR(INDEX(ctaTipo,MATCH(AC4629,ctaNombre,0))&amp;"",""))</f>
        <v/>
      </c>
      <c r="AF4629" s="53">
        <f>IF(OR(P4629="",AB4629=""),"",IF(OR(P4629="Gasto",P4629="Transferencia",P4629="Pago tarjeta"),-1,1)*IF(IFERROR(INDEX(ctaMoneda,MATCH(AB4629,ctaNombre,0))&amp;"","DOP")="USD",T4629,S4629))</f>
        <v/>
      </c>
      <c r="AG4629" s="53">
        <f>IF(AC4629="","",IF(IFERROR(INDEX(ctaMoneda,MATCH(AC4629,ctaNombre,0))&amp;"","DOP")="USD",T4629,S4629))</f>
        <v/>
      </c>
      <c r="AH4629" s="53">
        <f>IF(P4629="","",IF(AND(AD4629&lt;&gt;"",COUNTIFS(tcTipo,AD4629,tcLiq,"Sí")&gt;0),IF(OR(P4629="Gasto",P4629="Transferencia",P4629="Pago tarjeta"),-1,1)*S4629,0)+IF(AND(AE4629&lt;&gt;"",COUNTIFS(tcTipo,AE4629,tcLiq,"Sí")&gt;0),S4629,0))</f>
        <v/>
      </c>
      <c r="AI4629" s="52">
        <f>IF(OR(L4629="",P4629=""),"",IF(COUNTIFS(L$6:L4629,L4629,P$6:P4629,"?*")=1,MAX(AI$5:AI4628)+1,""))</f>
        <v/>
      </c>
    </row>
    <row r="4630">
      <c r="B4630" s="47" t="n"/>
      <c r="C4630" s="48" t="n"/>
      <c r="D4630" s="48" t="n"/>
      <c r="E4630" s="48" t="n"/>
      <c r="F4630" s="48" t="n"/>
      <c r="G4630" s="49" t="n"/>
      <c r="H4630" s="48" t="n"/>
      <c r="I4630" s="50" t="n"/>
      <c r="J4630" s="48" t="n"/>
      <c r="K4630" s="48" t="n"/>
      <c r="L4630" s="48" t="n"/>
      <c r="M4630" s="48" t="n"/>
      <c r="N4630" s="48" t="n"/>
      <c r="O4630" s="51">
        <f>IF(AND(B4630="",G4630="",C4630="",D4630="",J4630=""),"",IF(B4630="","⚠ Falta fecha",IF(G4630="","⚠ Falta monto",IF(Q4630="","⚠ Falta cuenta",IF(ISNA(MATCH(Q4630,ctaNombre,0)),"⚠ Cuenta no registrada",IF(AND(OR(P4630="Gasto",P4630="Reembolso"),D4630=""),"⚠ Falta categoría",IF(AND(D4630&lt;&gt;"",E4630&lt;&gt;"",ISNA(MATCH(D4630&amp;"|"&amp;E4630,catClave,0))),"⚠ Subcategoría no corresponde",IF(AND(OR(P4630="Transferencia",P4630="Pago tarjeta"),K4630=""),"⚠ Falta cuenta destino",IF(AND(K4630&lt;&gt;"",P4630&lt;&gt;"Transferencia",P4630&lt;&gt;"Pago tarjeta"),"⚠ Destino solo aplica a transferencias",IF(AND(K4630&lt;&gt;"",K4630=Q4630),"⚠ Origen igual a destino",IF(AND(K4630&lt;&gt;"",ISNA(MATCH(K4630,ctaNombre,0))),"⚠ Destino no registrado",IF(AND(P4630="Pago tarjeta",AE4630&lt;&gt;"Tarjeta de crédito"),"⚠ El destino debe ser tarjeta de crédito",IF(AND(P4630="Gasto",E4630="Depósitos y retiros"),"⚠ Usa tipo Transferencia",IF(AND(P4630="Resultado trading",AD4630&lt;&gt;"Cuenta de trading"),"⚠ Usa una cuenta de trading",IF(AND(G4630&lt;=0,P4630&lt;&gt;"Ajuste",P4630&lt;&gt;"Resultado trading"),"⚠ El monto debe ser positivo","✓")))))))))))))))</f>
        <v/>
      </c>
      <c r="P4630" s="52">
        <f>IF(OR(B4630="",G4630=""),"",IF(C4630="","Gasto",C4630))</f>
        <v/>
      </c>
      <c r="Q4630" s="52">
        <f>IF(P4630="","",IF(J4630&lt;&gt;"",J4630,CuentaPred&amp;""))</f>
        <v/>
      </c>
      <c r="R4630" s="52">
        <f>IF(P4630="","",IF(ISNUMBER(I4630),I4630,TasaUSD))</f>
        <v/>
      </c>
      <c r="S4630" s="53">
        <f>IF(P4630="","",IF(H4630="USD",G4630*R4630,G4630))</f>
        <v/>
      </c>
      <c r="T4630" s="53">
        <f>IF(P4630="","",IF(H4630="USD",G4630,IF(R4630&gt;0,G4630/R4630,0)))</f>
        <v/>
      </c>
      <c r="U4630" s="53">
        <f>IF(P4630="","",IF(P4630="Gasto",S4630,IF(P4630="Reembolso",-S4630,0)))</f>
        <v/>
      </c>
      <c r="V4630" s="53">
        <f>IF(P4630="","",IF(P4630="Ingreso",S4630,0))</f>
        <v/>
      </c>
      <c r="W4630" s="53">
        <f>IF(P4630="","",IF(P4630="Resultado trading",S4630,0))</f>
        <v/>
      </c>
      <c r="X4630" s="52">
        <f>IF(OR(P4630="Gasto",P4630="Reembolso"),IF(M4630&lt;&gt;"",M4630,IFERROR(INDEX(catClasif,MATCH(D4630&amp;"|"&amp;E4630,catClave,0))&amp;"","Variable")),"")</f>
        <v/>
      </c>
      <c r="Y4630" s="52">
        <f>IF(P4630="","",IFERROR(INDEX(catGrupo,MATCH(D4630&amp;"|"&amp;E4630,catClave,0))&amp;"",""))</f>
        <v/>
      </c>
      <c r="Z4630" s="52">
        <f>IF(P4630="","",WEEKDAY(B4630,2))</f>
        <v/>
      </c>
      <c r="AA4630" s="52">
        <f>IF(P4630="","",IF(AND(P4630="Gasto",X4630="Variable",D4630&lt;&gt;catTrading,S4630&gt;0,S4630&lt;=Umbral),1,0))</f>
        <v/>
      </c>
      <c r="AB4630" s="52">
        <f>IF(OR(P4630="",Q4630=""),"",IFERROR(IF(INDEX(ctaVinc,MATCH(Q4630,ctaNombre,0))&amp;""&lt;&gt;"",INDEX(ctaVinc,MATCH(Q4630,ctaNombre,0))&amp;"",Q4630),Q4630))</f>
        <v/>
      </c>
      <c r="AC4630" s="52">
        <f>IF(OR(K4630="",AND(P4630&lt;&gt;"Transferencia",P4630&lt;&gt;"Pago tarjeta")),"",IFERROR(IF(INDEX(ctaVinc,MATCH(K4630,ctaNombre,0))&amp;""&lt;&gt;"",INDEX(ctaVinc,MATCH(K4630,ctaNombre,0))&amp;"",K4630),K4630))</f>
        <v/>
      </c>
      <c r="AD4630" s="52">
        <f>IF(AB4630="","",IFERROR(INDEX(ctaTipo,MATCH(AB4630,ctaNombre,0))&amp;"",""))</f>
        <v/>
      </c>
      <c r="AE4630" s="52">
        <f>IF(AC4630="","",IFERROR(INDEX(ctaTipo,MATCH(AC4630,ctaNombre,0))&amp;"",""))</f>
        <v/>
      </c>
      <c r="AF4630" s="53">
        <f>IF(OR(P4630="",AB4630=""),"",IF(OR(P4630="Gasto",P4630="Transferencia",P4630="Pago tarjeta"),-1,1)*IF(IFERROR(INDEX(ctaMoneda,MATCH(AB4630,ctaNombre,0))&amp;"","DOP")="USD",T4630,S4630))</f>
        <v/>
      </c>
      <c r="AG4630" s="53">
        <f>IF(AC4630="","",IF(IFERROR(INDEX(ctaMoneda,MATCH(AC4630,ctaNombre,0))&amp;"","DOP")="USD",T4630,S4630))</f>
        <v/>
      </c>
      <c r="AH4630" s="53">
        <f>IF(P4630="","",IF(AND(AD4630&lt;&gt;"",COUNTIFS(tcTipo,AD4630,tcLiq,"Sí")&gt;0),IF(OR(P4630="Gasto",P4630="Transferencia",P4630="Pago tarjeta"),-1,1)*S4630,0)+IF(AND(AE4630&lt;&gt;"",COUNTIFS(tcTipo,AE4630,tcLiq,"Sí")&gt;0),S4630,0))</f>
        <v/>
      </c>
      <c r="AI4630" s="52">
        <f>IF(OR(L4630="",P4630=""),"",IF(COUNTIFS(L$6:L4630,L4630,P$6:P4630,"?*")=1,MAX(AI$5:AI4629)+1,""))</f>
        <v/>
      </c>
    </row>
    <row r="4631">
      <c r="B4631" s="47" t="n"/>
      <c r="C4631" s="48" t="n"/>
      <c r="D4631" s="48" t="n"/>
      <c r="E4631" s="48" t="n"/>
      <c r="F4631" s="48" t="n"/>
      <c r="G4631" s="49" t="n"/>
      <c r="H4631" s="48" t="n"/>
      <c r="I4631" s="50" t="n"/>
      <c r="J4631" s="48" t="n"/>
      <c r="K4631" s="48" t="n"/>
      <c r="L4631" s="48" t="n"/>
      <c r="M4631" s="48" t="n"/>
      <c r="N4631" s="48" t="n"/>
      <c r="O4631" s="51">
        <f>IF(AND(B4631="",G4631="",C4631="",D4631="",J4631=""),"",IF(B4631="","⚠ Falta fecha",IF(G4631="","⚠ Falta monto",IF(Q4631="","⚠ Falta cuenta",IF(ISNA(MATCH(Q4631,ctaNombre,0)),"⚠ Cuenta no registrada",IF(AND(OR(P4631="Gasto",P4631="Reembolso"),D4631=""),"⚠ Falta categoría",IF(AND(D4631&lt;&gt;"",E4631&lt;&gt;"",ISNA(MATCH(D4631&amp;"|"&amp;E4631,catClave,0))),"⚠ Subcategoría no corresponde",IF(AND(OR(P4631="Transferencia",P4631="Pago tarjeta"),K4631=""),"⚠ Falta cuenta destino",IF(AND(K4631&lt;&gt;"",P4631&lt;&gt;"Transferencia",P4631&lt;&gt;"Pago tarjeta"),"⚠ Destino solo aplica a transferencias",IF(AND(K4631&lt;&gt;"",K4631=Q4631),"⚠ Origen igual a destino",IF(AND(K4631&lt;&gt;"",ISNA(MATCH(K4631,ctaNombre,0))),"⚠ Destino no registrado",IF(AND(P4631="Pago tarjeta",AE4631&lt;&gt;"Tarjeta de crédito"),"⚠ El destino debe ser tarjeta de crédito",IF(AND(P4631="Gasto",E4631="Depósitos y retiros"),"⚠ Usa tipo Transferencia",IF(AND(P4631="Resultado trading",AD4631&lt;&gt;"Cuenta de trading"),"⚠ Usa una cuenta de trading",IF(AND(G4631&lt;=0,P4631&lt;&gt;"Ajuste",P4631&lt;&gt;"Resultado trading"),"⚠ El monto debe ser positivo","✓")))))))))))))))</f>
        <v/>
      </c>
      <c r="P4631" s="52">
        <f>IF(OR(B4631="",G4631=""),"",IF(C4631="","Gasto",C4631))</f>
        <v/>
      </c>
      <c r="Q4631" s="52">
        <f>IF(P4631="","",IF(J4631&lt;&gt;"",J4631,CuentaPred&amp;""))</f>
        <v/>
      </c>
      <c r="R4631" s="52">
        <f>IF(P4631="","",IF(ISNUMBER(I4631),I4631,TasaUSD))</f>
        <v/>
      </c>
      <c r="S4631" s="53">
        <f>IF(P4631="","",IF(H4631="USD",G4631*R4631,G4631))</f>
        <v/>
      </c>
      <c r="T4631" s="53">
        <f>IF(P4631="","",IF(H4631="USD",G4631,IF(R4631&gt;0,G4631/R4631,0)))</f>
        <v/>
      </c>
      <c r="U4631" s="53">
        <f>IF(P4631="","",IF(P4631="Gasto",S4631,IF(P4631="Reembolso",-S4631,0)))</f>
        <v/>
      </c>
      <c r="V4631" s="53">
        <f>IF(P4631="","",IF(P4631="Ingreso",S4631,0))</f>
        <v/>
      </c>
      <c r="W4631" s="53">
        <f>IF(P4631="","",IF(P4631="Resultado trading",S4631,0))</f>
        <v/>
      </c>
      <c r="X4631" s="52">
        <f>IF(OR(P4631="Gasto",P4631="Reembolso"),IF(M4631&lt;&gt;"",M4631,IFERROR(INDEX(catClasif,MATCH(D4631&amp;"|"&amp;E4631,catClave,0))&amp;"","Variable")),"")</f>
        <v/>
      </c>
      <c r="Y4631" s="52">
        <f>IF(P4631="","",IFERROR(INDEX(catGrupo,MATCH(D4631&amp;"|"&amp;E4631,catClave,0))&amp;"",""))</f>
        <v/>
      </c>
      <c r="Z4631" s="52">
        <f>IF(P4631="","",WEEKDAY(B4631,2))</f>
        <v/>
      </c>
      <c r="AA4631" s="52">
        <f>IF(P4631="","",IF(AND(P4631="Gasto",X4631="Variable",D4631&lt;&gt;catTrading,S4631&gt;0,S4631&lt;=Umbral),1,0))</f>
        <v/>
      </c>
      <c r="AB4631" s="52">
        <f>IF(OR(P4631="",Q4631=""),"",IFERROR(IF(INDEX(ctaVinc,MATCH(Q4631,ctaNombre,0))&amp;""&lt;&gt;"",INDEX(ctaVinc,MATCH(Q4631,ctaNombre,0))&amp;"",Q4631),Q4631))</f>
        <v/>
      </c>
      <c r="AC4631" s="52">
        <f>IF(OR(K4631="",AND(P4631&lt;&gt;"Transferencia",P4631&lt;&gt;"Pago tarjeta")),"",IFERROR(IF(INDEX(ctaVinc,MATCH(K4631,ctaNombre,0))&amp;""&lt;&gt;"",INDEX(ctaVinc,MATCH(K4631,ctaNombre,0))&amp;"",K4631),K4631))</f>
        <v/>
      </c>
      <c r="AD4631" s="52">
        <f>IF(AB4631="","",IFERROR(INDEX(ctaTipo,MATCH(AB4631,ctaNombre,0))&amp;"",""))</f>
        <v/>
      </c>
      <c r="AE4631" s="52">
        <f>IF(AC4631="","",IFERROR(INDEX(ctaTipo,MATCH(AC4631,ctaNombre,0))&amp;"",""))</f>
        <v/>
      </c>
      <c r="AF4631" s="53">
        <f>IF(OR(P4631="",AB4631=""),"",IF(OR(P4631="Gasto",P4631="Transferencia",P4631="Pago tarjeta"),-1,1)*IF(IFERROR(INDEX(ctaMoneda,MATCH(AB4631,ctaNombre,0))&amp;"","DOP")="USD",T4631,S4631))</f>
        <v/>
      </c>
      <c r="AG4631" s="53">
        <f>IF(AC4631="","",IF(IFERROR(INDEX(ctaMoneda,MATCH(AC4631,ctaNombre,0))&amp;"","DOP")="USD",T4631,S4631))</f>
        <v/>
      </c>
      <c r="AH4631" s="53">
        <f>IF(P4631="","",IF(AND(AD4631&lt;&gt;"",COUNTIFS(tcTipo,AD4631,tcLiq,"Sí")&gt;0),IF(OR(P4631="Gasto",P4631="Transferencia",P4631="Pago tarjeta"),-1,1)*S4631,0)+IF(AND(AE4631&lt;&gt;"",COUNTIFS(tcTipo,AE4631,tcLiq,"Sí")&gt;0),S4631,0))</f>
        <v/>
      </c>
      <c r="AI4631" s="52">
        <f>IF(OR(L4631="",P4631=""),"",IF(COUNTIFS(L$6:L4631,L4631,P$6:P4631,"?*")=1,MAX(AI$5:AI4630)+1,""))</f>
        <v/>
      </c>
    </row>
    <row r="4632">
      <c r="B4632" s="47" t="n"/>
      <c r="C4632" s="48" t="n"/>
      <c r="D4632" s="48" t="n"/>
      <c r="E4632" s="48" t="n"/>
      <c r="F4632" s="48" t="n"/>
      <c r="G4632" s="49" t="n"/>
      <c r="H4632" s="48" t="n"/>
      <c r="I4632" s="50" t="n"/>
      <c r="J4632" s="48" t="n"/>
      <c r="K4632" s="48" t="n"/>
      <c r="L4632" s="48" t="n"/>
      <c r="M4632" s="48" t="n"/>
      <c r="N4632" s="48" t="n"/>
      <c r="O4632" s="51">
        <f>IF(AND(B4632="",G4632="",C4632="",D4632="",J4632=""),"",IF(B4632="","⚠ Falta fecha",IF(G4632="","⚠ Falta monto",IF(Q4632="","⚠ Falta cuenta",IF(ISNA(MATCH(Q4632,ctaNombre,0)),"⚠ Cuenta no registrada",IF(AND(OR(P4632="Gasto",P4632="Reembolso"),D4632=""),"⚠ Falta categoría",IF(AND(D4632&lt;&gt;"",E4632&lt;&gt;"",ISNA(MATCH(D4632&amp;"|"&amp;E4632,catClave,0))),"⚠ Subcategoría no corresponde",IF(AND(OR(P4632="Transferencia",P4632="Pago tarjeta"),K4632=""),"⚠ Falta cuenta destino",IF(AND(K4632&lt;&gt;"",P4632&lt;&gt;"Transferencia",P4632&lt;&gt;"Pago tarjeta"),"⚠ Destino solo aplica a transferencias",IF(AND(K4632&lt;&gt;"",K4632=Q4632),"⚠ Origen igual a destino",IF(AND(K4632&lt;&gt;"",ISNA(MATCH(K4632,ctaNombre,0))),"⚠ Destino no registrado",IF(AND(P4632="Pago tarjeta",AE4632&lt;&gt;"Tarjeta de crédito"),"⚠ El destino debe ser tarjeta de crédito",IF(AND(P4632="Gasto",E4632="Depósitos y retiros"),"⚠ Usa tipo Transferencia",IF(AND(P4632="Resultado trading",AD4632&lt;&gt;"Cuenta de trading"),"⚠ Usa una cuenta de trading",IF(AND(G4632&lt;=0,P4632&lt;&gt;"Ajuste",P4632&lt;&gt;"Resultado trading"),"⚠ El monto debe ser positivo","✓")))))))))))))))</f>
        <v/>
      </c>
      <c r="P4632" s="52">
        <f>IF(OR(B4632="",G4632=""),"",IF(C4632="","Gasto",C4632))</f>
        <v/>
      </c>
      <c r="Q4632" s="52">
        <f>IF(P4632="","",IF(J4632&lt;&gt;"",J4632,CuentaPred&amp;""))</f>
        <v/>
      </c>
      <c r="R4632" s="52">
        <f>IF(P4632="","",IF(ISNUMBER(I4632),I4632,TasaUSD))</f>
        <v/>
      </c>
      <c r="S4632" s="53">
        <f>IF(P4632="","",IF(H4632="USD",G4632*R4632,G4632))</f>
        <v/>
      </c>
      <c r="T4632" s="53">
        <f>IF(P4632="","",IF(H4632="USD",G4632,IF(R4632&gt;0,G4632/R4632,0)))</f>
        <v/>
      </c>
      <c r="U4632" s="53">
        <f>IF(P4632="","",IF(P4632="Gasto",S4632,IF(P4632="Reembolso",-S4632,0)))</f>
        <v/>
      </c>
      <c r="V4632" s="53">
        <f>IF(P4632="","",IF(P4632="Ingreso",S4632,0))</f>
        <v/>
      </c>
      <c r="W4632" s="53">
        <f>IF(P4632="","",IF(P4632="Resultado trading",S4632,0))</f>
        <v/>
      </c>
      <c r="X4632" s="52">
        <f>IF(OR(P4632="Gasto",P4632="Reembolso"),IF(M4632&lt;&gt;"",M4632,IFERROR(INDEX(catClasif,MATCH(D4632&amp;"|"&amp;E4632,catClave,0))&amp;"","Variable")),"")</f>
        <v/>
      </c>
      <c r="Y4632" s="52">
        <f>IF(P4632="","",IFERROR(INDEX(catGrupo,MATCH(D4632&amp;"|"&amp;E4632,catClave,0))&amp;"",""))</f>
        <v/>
      </c>
      <c r="Z4632" s="52">
        <f>IF(P4632="","",WEEKDAY(B4632,2))</f>
        <v/>
      </c>
      <c r="AA4632" s="52">
        <f>IF(P4632="","",IF(AND(P4632="Gasto",X4632="Variable",D4632&lt;&gt;catTrading,S4632&gt;0,S4632&lt;=Umbral),1,0))</f>
        <v/>
      </c>
      <c r="AB4632" s="52">
        <f>IF(OR(P4632="",Q4632=""),"",IFERROR(IF(INDEX(ctaVinc,MATCH(Q4632,ctaNombre,0))&amp;""&lt;&gt;"",INDEX(ctaVinc,MATCH(Q4632,ctaNombre,0))&amp;"",Q4632),Q4632))</f>
        <v/>
      </c>
      <c r="AC4632" s="52">
        <f>IF(OR(K4632="",AND(P4632&lt;&gt;"Transferencia",P4632&lt;&gt;"Pago tarjeta")),"",IFERROR(IF(INDEX(ctaVinc,MATCH(K4632,ctaNombre,0))&amp;""&lt;&gt;"",INDEX(ctaVinc,MATCH(K4632,ctaNombre,0))&amp;"",K4632),K4632))</f>
        <v/>
      </c>
      <c r="AD4632" s="52">
        <f>IF(AB4632="","",IFERROR(INDEX(ctaTipo,MATCH(AB4632,ctaNombre,0))&amp;"",""))</f>
        <v/>
      </c>
      <c r="AE4632" s="52">
        <f>IF(AC4632="","",IFERROR(INDEX(ctaTipo,MATCH(AC4632,ctaNombre,0))&amp;"",""))</f>
        <v/>
      </c>
      <c r="AF4632" s="53">
        <f>IF(OR(P4632="",AB4632=""),"",IF(OR(P4632="Gasto",P4632="Transferencia",P4632="Pago tarjeta"),-1,1)*IF(IFERROR(INDEX(ctaMoneda,MATCH(AB4632,ctaNombre,0))&amp;"","DOP")="USD",T4632,S4632))</f>
        <v/>
      </c>
      <c r="AG4632" s="53">
        <f>IF(AC4632="","",IF(IFERROR(INDEX(ctaMoneda,MATCH(AC4632,ctaNombre,0))&amp;"","DOP")="USD",T4632,S4632))</f>
        <v/>
      </c>
      <c r="AH4632" s="53">
        <f>IF(P4632="","",IF(AND(AD4632&lt;&gt;"",COUNTIFS(tcTipo,AD4632,tcLiq,"Sí")&gt;0),IF(OR(P4632="Gasto",P4632="Transferencia",P4632="Pago tarjeta"),-1,1)*S4632,0)+IF(AND(AE4632&lt;&gt;"",COUNTIFS(tcTipo,AE4632,tcLiq,"Sí")&gt;0),S4632,0))</f>
        <v/>
      </c>
      <c r="AI4632" s="52">
        <f>IF(OR(L4632="",P4632=""),"",IF(COUNTIFS(L$6:L4632,L4632,P$6:P4632,"?*")=1,MAX(AI$5:AI4631)+1,""))</f>
        <v/>
      </c>
    </row>
    <row r="4633">
      <c r="B4633" s="47" t="n"/>
      <c r="C4633" s="48" t="n"/>
      <c r="D4633" s="48" t="n"/>
      <c r="E4633" s="48" t="n"/>
      <c r="F4633" s="48" t="n"/>
      <c r="G4633" s="49" t="n"/>
      <c r="H4633" s="48" t="n"/>
      <c r="I4633" s="50" t="n"/>
      <c r="J4633" s="48" t="n"/>
      <c r="K4633" s="48" t="n"/>
      <c r="L4633" s="48" t="n"/>
      <c r="M4633" s="48" t="n"/>
      <c r="N4633" s="48" t="n"/>
      <c r="O4633" s="51">
        <f>IF(AND(B4633="",G4633="",C4633="",D4633="",J4633=""),"",IF(B4633="","⚠ Falta fecha",IF(G4633="","⚠ Falta monto",IF(Q4633="","⚠ Falta cuenta",IF(ISNA(MATCH(Q4633,ctaNombre,0)),"⚠ Cuenta no registrada",IF(AND(OR(P4633="Gasto",P4633="Reembolso"),D4633=""),"⚠ Falta categoría",IF(AND(D4633&lt;&gt;"",E4633&lt;&gt;"",ISNA(MATCH(D4633&amp;"|"&amp;E4633,catClave,0))),"⚠ Subcategoría no corresponde",IF(AND(OR(P4633="Transferencia",P4633="Pago tarjeta"),K4633=""),"⚠ Falta cuenta destino",IF(AND(K4633&lt;&gt;"",P4633&lt;&gt;"Transferencia",P4633&lt;&gt;"Pago tarjeta"),"⚠ Destino solo aplica a transferencias",IF(AND(K4633&lt;&gt;"",K4633=Q4633),"⚠ Origen igual a destino",IF(AND(K4633&lt;&gt;"",ISNA(MATCH(K4633,ctaNombre,0))),"⚠ Destino no registrado",IF(AND(P4633="Pago tarjeta",AE4633&lt;&gt;"Tarjeta de crédito"),"⚠ El destino debe ser tarjeta de crédito",IF(AND(P4633="Gasto",E4633="Depósitos y retiros"),"⚠ Usa tipo Transferencia",IF(AND(P4633="Resultado trading",AD4633&lt;&gt;"Cuenta de trading"),"⚠ Usa una cuenta de trading",IF(AND(G4633&lt;=0,P4633&lt;&gt;"Ajuste",P4633&lt;&gt;"Resultado trading"),"⚠ El monto debe ser positivo","✓")))))))))))))))</f>
        <v/>
      </c>
      <c r="P4633" s="52">
        <f>IF(OR(B4633="",G4633=""),"",IF(C4633="","Gasto",C4633))</f>
        <v/>
      </c>
      <c r="Q4633" s="52">
        <f>IF(P4633="","",IF(J4633&lt;&gt;"",J4633,CuentaPred&amp;""))</f>
        <v/>
      </c>
      <c r="R4633" s="52">
        <f>IF(P4633="","",IF(ISNUMBER(I4633),I4633,TasaUSD))</f>
        <v/>
      </c>
      <c r="S4633" s="53">
        <f>IF(P4633="","",IF(H4633="USD",G4633*R4633,G4633))</f>
        <v/>
      </c>
      <c r="T4633" s="53">
        <f>IF(P4633="","",IF(H4633="USD",G4633,IF(R4633&gt;0,G4633/R4633,0)))</f>
        <v/>
      </c>
      <c r="U4633" s="53">
        <f>IF(P4633="","",IF(P4633="Gasto",S4633,IF(P4633="Reembolso",-S4633,0)))</f>
        <v/>
      </c>
      <c r="V4633" s="53">
        <f>IF(P4633="","",IF(P4633="Ingreso",S4633,0))</f>
        <v/>
      </c>
      <c r="W4633" s="53">
        <f>IF(P4633="","",IF(P4633="Resultado trading",S4633,0))</f>
        <v/>
      </c>
      <c r="X4633" s="52">
        <f>IF(OR(P4633="Gasto",P4633="Reembolso"),IF(M4633&lt;&gt;"",M4633,IFERROR(INDEX(catClasif,MATCH(D4633&amp;"|"&amp;E4633,catClave,0))&amp;"","Variable")),"")</f>
        <v/>
      </c>
      <c r="Y4633" s="52">
        <f>IF(P4633="","",IFERROR(INDEX(catGrupo,MATCH(D4633&amp;"|"&amp;E4633,catClave,0))&amp;"",""))</f>
        <v/>
      </c>
      <c r="Z4633" s="52">
        <f>IF(P4633="","",WEEKDAY(B4633,2))</f>
        <v/>
      </c>
      <c r="AA4633" s="52">
        <f>IF(P4633="","",IF(AND(P4633="Gasto",X4633="Variable",D4633&lt;&gt;catTrading,S4633&gt;0,S4633&lt;=Umbral),1,0))</f>
        <v/>
      </c>
      <c r="AB4633" s="52">
        <f>IF(OR(P4633="",Q4633=""),"",IFERROR(IF(INDEX(ctaVinc,MATCH(Q4633,ctaNombre,0))&amp;""&lt;&gt;"",INDEX(ctaVinc,MATCH(Q4633,ctaNombre,0))&amp;"",Q4633),Q4633))</f>
        <v/>
      </c>
      <c r="AC4633" s="52">
        <f>IF(OR(K4633="",AND(P4633&lt;&gt;"Transferencia",P4633&lt;&gt;"Pago tarjeta")),"",IFERROR(IF(INDEX(ctaVinc,MATCH(K4633,ctaNombre,0))&amp;""&lt;&gt;"",INDEX(ctaVinc,MATCH(K4633,ctaNombre,0))&amp;"",K4633),K4633))</f>
        <v/>
      </c>
      <c r="AD4633" s="52">
        <f>IF(AB4633="","",IFERROR(INDEX(ctaTipo,MATCH(AB4633,ctaNombre,0))&amp;"",""))</f>
        <v/>
      </c>
      <c r="AE4633" s="52">
        <f>IF(AC4633="","",IFERROR(INDEX(ctaTipo,MATCH(AC4633,ctaNombre,0))&amp;"",""))</f>
        <v/>
      </c>
      <c r="AF4633" s="53">
        <f>IF(OR(P4633="",AB4633=""),"",IF(OR(P4633="Gasto",P4633="Transferencia",P4633="Pago tarjeta"),-1,1)*IF(IFERROR(INDEX(ctaMoneda,MATCH(AB4633,ctaNombre,0))&amp;"","DOP")="USD",T4633,S4633))</f>
        <v/>
      </c>
      <c r="AG4633" s="53">
        <f>IF(AC4633="","",IF(IFERROR(INDEX(ctaMoneda,MATCH(AC4633,ctaNombre,0))&amp;"","DOP")="USD",T4633,S4633))</f>
        <v/>
      </c>
      <c r="AH4633" s="53">
        <f>IF(P4633="","",IF(AND(AD4633&lt;&gt;"",COUNTIFS(tcTipo,AD4633,tcLiq,"Sí")&gt;0),IF(OR(P4633="Gasto",P4633="Transferencia",P4633="Pago tarjeta"),-1,1)*S4633,0)+IF(AND(AE4633&lt;&gt;"",COUNTIFS(tcTipo,AE4633,tcLiq,"Sí")&gt;0),S4633,0))</f>
        <v/>
      </c>
      <c r="AI4633" s="52">
        <f>IF(OR(L4633="",P4633=""),"",IF(COUNTIFS(L$6:L4633,L4633,P$6:P4633,"?*")=1,MAX(AI$5:AI4632)+1,""))</f>
        <v/>
      </c>
    </row>
    <row r="4634">
      <c r="B4634" s="47" t="n"/>
      <c r="C4634" s="48" t="n"/>
      <c r="D4634" s="48" t="n"/>
      <c r="E4634" s="48" t="n"/>
      <c r="F4634" s="48" t="n"/>
      <c r="G4634" s="49" t="n"/>
      <c r="H4634" s="48" t="n"/>
      <c r="I4634" s="50" t="n"/>
      <c r="J4634" s="48" t="n"/>
      <c r="K4634" s="48" t="n"/>
      <c r="L4634" s="48" t="n"/>
      <c r="M4634" s="48" t="n"/>
      <c r="N4634" s="48" t="n"/>
      <c r="O4634" s="51">
        <f>IF(AND(B4634="",G4634="",C4634="",D4634="",J4634=""),"",IF(B4634="","⚠ Falta fecha",IF(G4634="","⚠ Falta monto",IF(Q4634="","⚠ Falta cuenta",IF(ISNA(MATCH(Q4634,ctaNombre,0)),"⚠ Cuenta no registrada",IF(AND(OR(P4634="Gasto",P4634="Reembolso"),D4634=""),"⚠ Falta categoría",IF(AND(D4634&lt;&gt;"",E4634&lt;&gt;"",ISNA(MATCH(D4634&amp;"|"&amp;E4634,catClave,0))),"⚠ Subcategoría no corresponde",IF(AND(OR(P4634="Transferencia",P4634="Pago tarjeta"),K4634=""),"⚠ Falta cuenta destino",IF(AND(K4634&lt;&gt;"",P4634&lt;&gt;"Transferencia",P4634&lt;&gt;"Pago tarjeta"),"⚠ Destino solo aplica a transferencias",IF(AND(K4634&lt;&gt;"",K4634=Q4634),"⚠ Origen igual a destino",IF(AND(K4634&lt;&gt;"",ISNA(MATCH(K4634,ctaNombre,0))),"⚠ Destino no registrado",IF(AND(P4634="Pago tarjeta",AE4634&lt;&gt;"Tarjeta de crédito"),"⚠ El destino debe ser tarjeta de crédito",IF(AND(P4634="Gasto",E4634="Depósitos y retiros"),"⚠ Usa tipo Transferencia",IF(AND(P4634="Resultado trading",AD4634&lt;&gt;"Cuenta de trading"),"⚠ Usa una cuenta de trading",IF(AND(G4634&lt;=0,P4634&lt;&gt;"Ajuste",P4634&lt;&gt;"Resultado trading"),"⚠ El monto debe ser positivo","✓")))))))))))))))</f>
        <v/>
      </c>
      <c r="P4634" s="52">
        <f>IF(OR(B4634="",G4634=""),"",IF(C4634="","Gasto",C4634))</f>
        <v/>
      </c>
      <c r="Q4634" s="52">
        <f>IF(P4634="","",IF(J4634&lt;&gt;"",J4634,CuentaPred&amp;""))</f>
        <v/>
      </c>
      <c r="R4634" s="52">
        <f>IF(P4634="","",IF(ISNUMBER(I4634),I4634,TasaUSD))</f>
        <v/>
      </c>
      <c r="S4634" s="53">
        <f>IF(P4634="","",IF(H4634="USD",G4634*R4634,G4634))</f>
        <v/>
      </c>
      <c r="T4634" s="53">
        <f>IF(P4634="","",IF(H4634="USD",G4634,IF(R4634&gt;0,G4634/R4634,0)))</f>
        <v/>
      </c>
      <c r="U4634" s="53">
        <f>IF(P4634="","",IF(P4634="Gasto",S4634,IF(P4634="Reembolso",-S4634,0)))</f>
        <v/>
      </c>
      <c r="V4634" s="53">
        <f>IF(P4634="","",IF(P4634="Ingreso",S4634,0))</f>
        <v/>
      </c>
      <c r="W4634" s="53">
        <f>IF(P4634="","",IF(P4634="Resultado trading",S4634,0))</f>
        <v/>
      </c>
      <c r="X4634" s="52">
        <f>IF(OR(P4634="Gasto",P4634="Reembolso"),IF(M4634&lt;&gt;"",M4634,IFERROR(INDEX(catClasif,MATCH(D4634&amp;"|"&amp;E4634,catClave,0))&amp;"","Variable")),"")</f>
        <v/>
      </c>
      <c r="Y4634" s="52">
        <f>IF(P4634="","",IFERROR(INDEX(catGrupo,MATCH(D4634&amp;"|"&amp;E4634,catClave,0))&amp;"",""))</f>
        <v/>
      </c>
      <c r="Z4634" s="52">
        <f>IF(P4634="","",WEEKDAY(B4634,2))</f>
        <v/>
      </c>
      <c r="AA4634" s="52">
        <f>IF(P4634="","",IF(AND(P4634="Gasto",X4634="Variable",D4634&lt;&gt;catTrading,S4634&gt;0,S4634&lt;=Umbral),1,0))</f>
        <v/>
      </c>
      <c r="AB4634" s="52">
        <f>IF(OR(P4634="",Q4634=""),"",IFERROR(IF(INDEX(ctaVinc,MATCH(Q4634,ctaNombre,0))&amp;""&lt;&gt;"",INDEX(ctaVinc,MATCH(Q4634,ctaNombre,0))&amp;"",Q4634),Q4634))</f>
        <v/>
      </c>
      <c r="AC4634" s="52">
        <f>IF(OR(K4634="",AND(P4634&lt;&gt;"Transferencia",P4634&lt;&gt;"Pago tarjeta")),"",IFERROR(IF(INDEX(ctaVinc,MATCH(K4634,ctaNombre,0))&amp;""&lt;&gt;"",INDEX(ctaVinc,MATCH(K4634,ctaNombre,0))&amp;"",K4634),K4634))</f>
        <v/>
      </c>
      <c r="AD4634" s="52">
        <f>IF(AB4634="","",IFERROR(INDEX(ctaTipo,MATCH(AB4634,ctaNombre,0))&amp;"",""))</f>
        <v/>
      </c>
      <c r="AE4634" s="52">
        <f>IF(AC4634="","",IFERROR(INDEX(ctaTipo,MATCH(AC4634,ctaNombre,0))&amp;"",""))</f>
        <v/>
      </c>
      <c r="AF4634" s="53">
        <f>IF(OR(P4634="",AB4634=""),"",IF(OR(P4634="Gasto",P4634="Transferencia",P4634="Pago tarjeta"),-1,1)*IF(IFERROR(INDEX(ctaMoneda,MATCH(AB4634,ctaNombre,0))&amp;"","DOP")="USD",T4634,S4634))</f>
        <v/>
      </c>
      <c r="AG4634" s="53">
        <f>IF(AC4634="","",IF(IFERROR(INDEX(ctaMoneda,MATCH(AC4634,ctaNombre,0))&amp;"","DOP")="USD",T4634,S4634))</f>
        <v/>
      </c>
      <c r="AH4634" s="53">
        <f>IF(P4634="","",IF(AND(AD4634&lt;&gt;"",COUNTIFS(tcTipo,AD4634,tcLiq,"Sí")&gt;0),IF(OR(P4634="Gasto",P4634="Transferencia",P4634="Pago tarjeta"),-1,1)*S4634,0)+IF(AND(AE4634&lt;&gt;"",COUNTIFS(tcTipo,AE4634,tcLiq,"Sí")&gt;0),S4634,0))</f>
        <v/>
      </c>
      <c r="AI4634" s="52">
        <f>IF(OR(L4634="",P4634=""),"",IF(COUNTIFS(L$6:L4634,L4634,P$6:P4634,"?*")=1,MAX(AI$5:AI4633)+1,""))</f>
        <v/>
      </c>
    </row>
    <row r="4635">
      <c r="B4635" s="47" t="n"/>
      <c r="C4635" s="48" t="n"/>
      <c r="D4635" s="48" t="n"/>
      <c r="E4635" s="48" t="n"/>
      <c r="F4635" s="48" t="n"/>
      <c r="G4635" s="49" t="n"/>
      <c r="H4635" s="48" t="n"/>
      <c r="I4635" s="50" t="n"/>
      <c r="J4635" s="48" t="n"/>
      <c r="K4635" s="48" t="n"/>
      <c r="L4635" s="48" t="n"/>
      <c r="M4635" s="48" t="n"/>
      <c r="N4635" s="48" t="n"/>
      <c r="O4635" s="51">
        <f>IF(AND(B4635="",G4635="",C4635="",D4635="",J4635=""),"",IF(B4635="","⚠ Falta fecha",IF(G4635="","⚠ Falta monto",IF(Q4635="","⚠ Falta cuenta",IF(ISNA(MATCH(Q4635,ctaNombre,0)),"⚠ Cuenta no registrada",IF(AND(OR(P4635="Gasto",P4635="Reembolso"),D4635=""),"⚠ Falta categoría",IF(AND(D4635&lt;&gt;"",E4635&lt;&gt;"",ISNA(MATCH(D4635&amp;"|"&amp;E4635,catClave,0))),"⚠ Subcategoría no corresponde",IF(AND(OR(P4635="Transferencia",P4635="Pago tarjeta"),K4635=""),"⚠ Falta cuenta destino",IF(AND(K4635&lt;&gt;"",P4635&lt;&gt;"Transferencia",P4635&lt;&gt;"Pago tarjeta"),"⚠ Destino solo aplica a transferencias",IF(AND(K4635&lt;&gt;"",K4635=Q4635),"⚠ Origen igual a destino",IF(AND(K4635&lt;&gt;"",ISNA(MATCH(K4635,ctaNombre,0))),"⚠ Destino no registrado",IF(AND(P4635="Pago tarjeta",AE4635&lt;&gt;"Tarjeta de crédito"),"⚠ El destino debe ser tarjeta de crédito",IF(AND(P4635="Gasto",E4635="Depósitos y retiros"),"⚠ Usa tipo Transferencia",IF(AND(P4635="Resultado trading",AD4635&lt;&gt;"Cuenta de trading"),"⚠ Usa una cuenta de trading",IF(AND(G4635&lt;=0,P4635&lt;&gt;"Ajuste",P4635&lt;&gt;"Resultado trading"),"⚠ El monto debe ser positivo","✓")))))))))))))))</f>
        <v/>
      </c>
      <c r="P4635" s="52">
        <f>IF(OR(B4635="",G4635=""),"",IF(C4635="","Gasto",C4635))</f>
        <v/>
      </c>
      <c r="Q4635" s="52">
        <f>IF(P4635="","",IF(J4635&lt;&gt;"",J4635,CuentaPred&amp;""))</f>
        <v/>
      </c>
      <c r="R4635" s="52">
        <f>IF(P4635="","",IF(ISNUMBER(I4635),I4635,TasaUSD))</f>
        <v/>
      </c>
      <c r="S4635" s="53">
        <f>IF(P4635="","",IF(H4635="USD",G4635*R4635,G4635))</f>
        <v/>
      </c>
      <c r="T4635" s="53">
        <f>IF(P4635="","",IF(H4635="USD",G4635,IF(R4635&gt;0,G4635/R4635,0)))</f>
        <v/>
      </c>
      <c r="U4635" s="53">
        <f>IF(P4635="","",IF(P4635="Gasto",S4635,IF(P4635="Reembolso",-S4635,0)))</f>
        <v/>
      </c>
      <c r="V4635" s="53">
        <f>IF(P4635="","",IF(P4635="Ingreso",S4635,0))</f>
        <v/>
      </c>
      <c r="W4635" s="53">
        <f>IF(P4635="","",IF(P4635="Resultado trading",S4635,0))</f>
        <v/>
      </c>
      <c r="X4635" s="52">
        <f>IF(OR(P4635="Gasto",P4635="Reembolso"),IF(M4635&lt;&gt;"",M4635,IFERROR(INDEX(catClasif,MATCH(D4635&amp;"|"&amp;E4635,catClave,0))&amp;"","Variable")),"")</f>
        <v/>
      </c>
      <c r="Y4635" s="52">
        <f>IF(P4635="","",IFERROR(INDEX(catGrupo,MATCH(D4635&amp;"|"&amp;E4635,catClave,0))&amp;"",""))</f>
        <v/>
      </c>
      <c r="Z4635" s="52">
        <f>IF(P4635="","",WEEKDAY(B4635,2))</f>
        <v/>
      </c>
      <c r="AA4635" s="52">
        <f>IF(P4635="","",IF(AND(P4635="Gasto",X4635="Variable",D4635&lt;&gt;catTrading,S4635&gt;0,S4635&lt;=Umbral),1,0))</f>
        <v/>
      </c>
      <c r="AB4635" s="52">
        <f>IF(OR(P4635="",Q4635=""),"",IFERROR(IF(INDEX(ctaVinc,MATCH(Q4635,ctaNombre,0))&amp;""&lt;&gt;"",INDEX(ctaVinc,MATCH(Q4635,ctaNombre,0))&amp;"",Q4635),Q4635))</f>
        <v/>
      </c>
      <c r="AC4635" s="52">
        <f>IF(OR(K4635="",AND(P4635&lt;&gt;"Transferencia",P4635&lt;&gt;"Pago tarjeta")),"",IFERROR(IF(INDEX(ctaVinc,MATCH(K4635,ctaNombre,0))&amp;""&lt;&gt;"",INDEX(ctaVinc,MATCH(K4635,ctaNombre,0))&amp;"",K4635),K4635))</f>
        <v/>
      </c>
      <c r="AD4635" s="52">
        <f>IF(AB4635="","",IFERROR(INDEX(ctaTipo,MATCH(AB4635,ctaNombre,0))&amp;"",""))</f>
        <v/>
      </c>
      <c r="AE4635" s="52">
        <f>IF(AC4635="","",IFERROR(INDEX(ctaTipo,MATCH(AC4635,ctaNombre,0))&amp;"",""))</f>
        <v/>
      </c>
      <c r="AF4635" s="53">
        <f>IF(OR(P4635="",AB4635=""),"",IF(OR(P4635="Gasto",P4635="Transferencia",P4635="Pago tarjeta"),-1,1)*IF(IFERROR(INDEX(ctaMoneda,MATCH(AB4635,ctaNombre,0))&amp;"","DOP")="USD",T4635,S4635))</f>
        <v/>
      </c>
      <c r="AG4635" s="53">
        <f>IF(AC4635="","",IF(IFERROR(INDEX(ctaMoneda,MATCH(AC4635,ctaNombre,0))&amp;"","DOP")="USD",T4635,S4635))</f>
        <v/>
      </c>
      <c r="AH4635" s="53">
        <f>IF(P4635="","",IF(AND(AD4635&lt;&gt;"",COUNTIFS(tcTipo,AD4635,tcLiq,"Sí")&gt;0),IF(OR(P4635="Gasto",P4635="Transferencia",P4635="Pago tarjeta"),-1,1)*S4635,0)+IF(AND(AE4635&lt;&gt;"",COUNTIFS(tcTipo,AE4635,tcLiq,"Sí")&gt;0),S4635,0))</f>
        <v/>
      </c>
      <c r="AI4635" s="52">
        <f>IF(OR(L4635="",P4635=""),"",IF(COUNTIFS(L$6:L4635,L4635,P$6:P4635,"?*")=1,MAX(AI$5:AI4634)+1,""))</f>
        <v/>
      </c>
    </row>
    <row r="4636">
      <c r="B4636" s="47" t="n"/>
      <c r="C4636" s="48" t="n"/>
      <c r="D4636" s="48" t="n"/>
      <c r="E4636" s="48" t="n"/>
      <c r="F4636" s="48" t="n"/>
      <c r="G4636" s="49" t="n"/>
      <c r="H4636" s="48" t="n"/>
      <c r="I4636" s="50" t="n"/>
      <c r="J4636" s="48" t="n"/>
      <c r="K4636" s="48" t="n"/>
      <c r="L4636" s="48" t="n"/>
      <c r="M4636" s="48" t="n"/>
      <c r="N4636" s="48" t="n"/>
      <c r="O4636" s="51">
        <f>IF(AND(B4636="",G4636="",C4636="",D4636="",J4636=""),"",IF(B4636="","⚠ Falta fecha",IF(G4636="","⚠ Falta monto",IF(Q4636="","⚠ Falta cuenta",IF(ISNA(MATCH(Q4636,ctaNombre,0)),"⚠ Cuenta no registrada",IF(AND(OR(P4636="Gasto",P4636="Reembolso"),D4636=""),"⚠ Falta categoría",IF(AND(D4636&lt;&gt;"",E4636&lt;&gt;"",ISNA(MATCH(D4636&amp;"|"&amp;E4636,catClave,0))),"⚠ Subcategoría no corresponde",IF(AND(OR(P4636="Transferencia",P4636="Pago tarjeta"),K4636=""),"⚠ Falta cuenta destino",IF(AND(K4636&lt;&gt;"",P4636&lt;&gt;"Transferencia",P4636&lt;&gt;"Pago tarjeta"),"⚠ Destino solo aplica a transferencias",IF(AND(K4636&lt;&gt;"",K4636=Q4636),"⚠ Origen igual a destino",IF(AND(K4636&lt;&gt;"",ISNA(MATCH(K4636,ctaNombre,0))),"⚠ Destino no registrado",IF(AND(P4636="Pago tarjeta",AE4636&lt;&gt;"Tarjeta de crédito"),"⚠ El destino debe ser tarjeta de crédito",IF(AND(P4636="Gasto",E4636="Depósitos y retiros"),"⚠ Usa tipo Transferencia",IF(AND(P4636="Resultado trading",AD4636&lt;&gt;"Cuenta de trading"),"⚠ Usa una cuenta de trading",IF(AND(G4636&lt;=0,P4636&lt;&gt;"Ajuste",P4636&lt;&gt;"Resultado trading"),"⚠ El monto debe ser positivo","✓")))))))))))))))</f>
        <v/>
      </c>
      <c r="P4636" s="52">
        <f>IF(OR(B4636="",G4636=""),"",IF(C4636="","Gasto",C4636))</f>
        <v/>
      </c>
      <c r="Q4636" s="52">
        <f>IF(P4636="","",IF(J4636&lt;&gt;"",J4636,CuentaPred&amp;""))</f>
        <v/>
      </c>
      <c r="R4636" s="52">
        <f>IF(P4636="","",IF(ISNUMBER(I4636),I4636,TasaUSD))</f>
        <v/>
      </c>
      <c r="S4636" s="53">
        <f>IF(P4636="","",IF(H4636="USD",G4636*R4636,G4636))</f>
        <v/>
      </c>
      <c r="T4636" s="53">
        <f>IF(P4636="","",IF(H4636="USD",G4636,IF(R4636&gt;0,G4636/R4636,0)))</f>
        <v/>
      </c>
      <c r="U4636" s="53">
        <f>IF(P4636="","",IF(P4636="Gasto",S4636,IF(P4636="Reembolso",-S4636,0)))</f>
        <v/>
      </c>
      <c r="V4636" s="53">
        <f>IF(P4636="","",IF(P4636="Ingreso",S4636,0))</f>
        <v/>
      </c>
      <c r="W4636" s="53">
        <f>IF(P4636="","",IF(P4636="Resultado trading",S4636,0))</f>
        <v/>
      </c>
      <c r="X4636" s="52">
        <f>IF(OR(P4636="Gasto",P4636="Reembolso"),IF(M4636&lt;&gt;"",M4636,IFERROR(INDEX(catClasif,MATCH(D4636&amp;"|"&amp;E4636,catClave,0))&amp;"","Variable")),"")</f>
        <v/>
      </c>
      <c r="Y4636" s="52">
        <f>IF(P4636="","",IFERROR(INDEX(catGrupo,MATCH(D4636&amp;"|"&amp;E4636,catClave,0))&amp;"",""))</f>
        <v/>
      </c>
      <c r="Z4636" s="52">
        <f>IF(P4636="","",WEEKDAY(B4636,2))</f>
        <v/>
      </c>
      <c r="AA4636" s="52">
        <f>IF(P4636="","",IF(AND(P4636="Gasto",X4636="Variable",D4636&lt;&gt;catTrading,S4636&gt;0,S4636&lt;=Umbral),1,0))</f>
        <v/>
      </c>
      <c r="AB4636" s="52">
        <f>IF(OR(P4636="",Q4636=""),"",IFERROR(IF(INDEX(ctaVinc,MATCH(Q4636,ctaNombre,0))&amp;""&lt;&gt;"",INDEX(ctaVinc,MATCH(Q4636,ctaNombre,0))&amp;"",Q4636),Q4636))</f>
        <v/>
      </c>
      <c r="AC4636" s="52">
        <f>IF(OR(K4636="",AND(P4636&lt;&gt;"Transferencia",P4636&lt;&gt;"Pago tarjeta")),"",IFERROR(IF(INDEX(ctaVinc,MATCH(K4636,ctaNombre,0))&amp;""&lt;&gt;"",INDEX(ctaVinc,MATCH(K4636,ctaNombre,0))&amp;"",K4636),K4636))</f>
        <v/>
      </c>
      <c r="AD4636" s="52">
        <f>IF(AB4636="","",IFERROR(INDEX(ctaTipo,MATCH(AB4636,ctaNombre,0))&amp;"",""))</f>
        <v/>
      </c>
      <c r="AE4636" s="52">
        <f>IF(AC4636="","",IFERROR(INDEX(ctaTipo,MATCH(AC4636,ctaNombre,0))&amp;"",""))</f>
        <v/>
      </c>
      <c r="AF4636" s="53">
        <f>IF(OR(P4636="",AB4636=""),"",IF(OR(P4636="Gasto",P4636="Transferencia",P4636="Pago tarjeta"),-1,1)*IF(IFERROR(INDEX(ctaMoneda,MATCH(AB4636,ctaNombre,0))&amp;"","DOP")="USD",T4636,S4636))</f>
        <v/>
      </c>
      <c r="AG4636" s="53">
        <f>IF(AC4636="","",IF(IFERROR(INDEX(ctaMoneda,MATCH(AC4636,ctaNombre,0))&amp;"","DOP")="USD",T4636,S4636))</f>
        <v/>
      </c>
      <c r="AH4636" s="53">
        <f>IF(P4636="","",IF(AND(AD4636&lt;&gt;"",COUNTIFS(tcTipo,AD4636,tcLiq,"Sí")&gt;0),IF(OR(P4636="Gasto",P4636="Transferencia",P4636="Pago tarjeta"),-1,1)*S4636,0)+IF(AND(AE4636&lt;&gt;"",COUNTIFS(tcTipo,AE4636,tcLiq,"Sí")&gt;0),S4636,0))</f>
        <v/>
      </c>
      <c r="AI4636" s="52">
        <f>IF(OR(L4636="",P4636=""),"",IF(COUNTIFS(L$6:L4636,L4636,P$6:P4636,"?*")=1,MAX(AI$5:AI4635)+1,""))</f>
        <v/>
      </c>
    </row>
    <row r="4637">
      <c r="B4637" s="47" t="n"/>
      <c r="C4637" s="48" t="n"/>
      <c r="D4637" s="48" t="n"/>
      <c r="E4637" s="48" t="n"/>
      <c r="F4637" s="48" t="n"/>
      <c r="G4637" s="49" t="n"/>
      <c r="H4637" s="48" t="n"/>
      <c r="I4637" s="50" t="n"/>
      <c r="J4637" s="48" t="n"/>
      <c r="K4637" s="48" t="n"/>
      <c r="L4637" s="48" t="n"/>
      <c r="M4637" s="48" t="n"/>
      <c r="N4637" s="48" t="n"/>
      <c r="O4637" s="51">
        <f>IF(AND(B4637="",G4637="",C4637="",D4637="",J4637=""),"",IF(B4637="","⚠ Falta fecha",IF(G4637="","⚠ Falta monto",IF(Q4637="","⚠ Falta cuenta",IF(ISNA(MATCH(Q4637,ctaNombre,0)),"⚠ Cuenta no registrada",IF(AND(OR(P4637="Gasto",P4637="Reembolso"),D4637=""),"⚠ Falta categoría",IF(AND(D4637&lt;&gt;"",E4637&lt;&gt;"",ISNA(MATCH(D4637&amp;"|"&amp;E4637,catClave,0))),"⚠ Subcategoría no corresponde",IF(AND(OR(P4637="Transferencia",P4637="Pago tarjeta"),K4637=""),"⚠ Falta cuenta destino",IF(AND(K4637&lt;&gt;"",P4637&lt;&gt;"Transferencia",P4637&lt;&gt;"Pago tarjeta"),"⚠ Destino solo aplica a transferencias",IF(AND(K4637&lt;&gt;"",K4637=Q4637),"⚠ Origen igual a destino",IF(AND(K4637&lt;&gt;"",ISNA(MATCH(K4637,ctaNombre,0))),"⚠ Destino no registrado",IF(AND(P4637="Pago tarjeta",AE4637&lt;&gt;"Tarjeta de crédito"),"⚠ El destino debe ser tarjeta de crédito",IF(AND(P4637="Gasto",E4637="Depósitos y retiros"),"⚠ Usa tipo Transferencia",IF(AND(P4637="Resultado trading",AD4637&lt;&gt;"Cuenta de trading"),"⚠ Usa una cuenta de trading",IF(AND(G4637&lt;=0,P4637&lt;&gt;"Ajuste",P4637&lt;&gt;"Resultado trading"),"⚠ El monto debe ser positivo","✓")))))))))))))))</f>
        <v/>
      </c>
      <c r="P4637" s="52">
        <f>IF(OR(B4637="",G4637=""),"",IF(C4637="","Gasto",C4637))</f>
        <v/>
      </c>
      <c r="Q4637" s="52">
        <f>IF(P4637="","",IF(J4637&lt;&gt;"",J4637,CuentaPred&amp;""))</f>
        <v/>
      </c>
      <c r="R4637" s="52">
        <f>IF(P4637="","",IF(ISNUMBER(I4637),I4637,TasaUSD))</f>
        <v/>
      </c>
      <c r="S4637" s="53">
        <f>IF(P4637="","",IF(H4637="USD",G4637*R4637,G4637))</f>
        <v/>
      </c>
      <c r="T4637" s="53">
        <f>IF(P4637="","",IF(H4637="USD",G4637,IF(R4637&gt;0,G4637/R4637,0)))</f>
        <v/>
      </c>
      <c r="U4637" s="53">
        <f>IF(P4637="","",IF(P4637="Gasto",S4637,IF(P4637="Reembolso",-S4637,0)))</f>
        <v/>
      </c>
      <c r="V4637" s="53">
        <f>IF(P4637="","",IF(P4637="Ingreso",S4637,0))</f>
        <v/>
      </c>
      <c r="W4637" s="53">
        <f>IF(P4637="","",IF(P4637="Resultado trading",S4637,0))</f>
        <v/>
      </c>
      <c r="X4637" s="52">
        <f>IF(OR(P4637="Gasto",P4637="Reembolso"),IF(M4637&lt;&gt;"",M4637,IFERROR(INDEX(catClasif,MATCH(D4637&amp;"|"&amp;E4637,catClave,0))&amp;"","Variable")),"")</f>
        <v/>
      </c>
      <c r="Y4637" s="52">
        <f>IF(P4637="","",IFERROR(INDEX(catGrupo,MATCH(D4637&amp;"|"&amp;E4637,catClave,0))&amp;"",""))</f>
        <v/>
      </c>
      <c r="Z4637" s="52">
        <f>IF(P4637="","",WEEKDAY(B4637,2))</f>
        <v/>
      </c>
      <c r="AA4637" s="52">
        <f>IF(P4637="","",IF(AND(P4637="Gasto",X4637="Variable",D4637&lt;&gt;catTrading,S4637&gt;0,S4637&lt;=Umbral),1,0))</f>
        <v/>
      </c>
      <c r="AB4637" s="52">
        <f>IF(OR(P4637="",Q4637=""),"",IFERROR(IF(INDEX(ctaVinc,MATCH(Q4637,ctaNombre,0))&amp;""&lt;&gt;"",INDEX(ctaVinc,MATCH(Q4637,ctaNombre,0))&amp;"",Q4637),Q4637))</f>
        <v/>
      </c>
      <c r="AC4637" s="52">
        <f>IF(OR(K4637="",AND(P4637&lt;&gt;"Transferencia",P4637&lt;&gt;"Pago tarjeta")),"",IFERROR(IF(INDEX(ctaVinc,MATCH(K4637,ctaNombre,0))&amp;""&lt;&gt;"",INDEX(ctaVinc,MATCH(K4637,ctaNombre,0))&amp;"",K4637),K4637))</f>
        <v/>
      </c>
      <c r="AD4637" s="52">
        <f>IF(AB4637="","",IFERROR(INDEX(ctaTipo,MATCH(AB4637,ctaNombre,0))&amp;"",""))</f>
        <v/>
      </c>
      <c r="AE4637" s="52">
        <f>IF(AC4637="","",IFERROR(INDEX(ctaTipo,MATCH(AC4637,ctaNombre,0))&amp;"",""))</f>
        <v/>
      </c>
      <c r="AF4637" s="53">
        <f>IF(OR(P4637="",AB4637=""),"",IF(OR(P4637="Gasto",P4637="Transferencia",P4637="Pago tarjeta"),-1,1)*IF(IFERROR(INDEX(ctaMoneda,MATCH(AB4637,ctaNombre,0))&amp;"","DOP")="USD",T4637,S4637))</f>
        <v/>
      </c>
      <c r="AG4637" s="53">
        <f>IF(AC4637="","",IF(IFERROR(INDEX(ctaMoneda,MATCH(AC4637,ctaNombre,0))&amp;"","DOP")="USD",T4637,S4637))</f>
        <v/>
      </c>
      <c r="AH4637" s="53">
        <f>IF(P4637="","",IF(AND(AD4637&lt;&gt;"",COUNTIFS(tcTipo,AD4637,tcLiq,"Sí")&gt;0),IF(OR(P4637="Gasto",P4637="Transferencia",P4637="Pago tarjeta"),-1,1)*S4637,0)+IF(AND(AE4637&lt;&gt;"",COUNTIFS(tcTipo,AE4637,tcLiq,"Sí")&gt;0),S4637,0))</f>
        <v/>
      </c>
      <c r="AI4637" s="52">
        <f>IF(OR(L4637="",P4637=""),"",IF(COUNTIFS(L$6:L4637,L4637,P$6:P4637,"?*")=1,MAX(AI$5:AI4636)+1,""))</f>
        <v/>
      </c>
    </row>
    <row r="4638">
      <c r="B4638" s="47" t="n"/>
      <c r="C4638" s="48" t="n"/>
      <c r="D4638" s="48" t="n"/>
      <c r="E4638" s="48" t="n"/>
      <c r="F4638" s="48" t="n"/>
      <c r="G4638" s="49" t="n"/>
      <c r="H4638" s="48" t="n"/>
      <c r="I4638" s="50" t="n"/>
      <c r="J4638" s="48" t="n"/>
      <c r="K4638" s="48" t="n"/>
      <c r="L4638" s="48" t="n"/>
      <c r="M4638" s="48" t="n"/>
      <c r="N4638" s="48" t="n"/>
      <c r="O4638" s="51">
        <f>IF(AND(B4638="",G4638="",C4638="",D4638="",J4638=""),"",IF(B4638="","⚠ Falta fecha",IF(G4638="","⚠ Falta monto",IF(Q4638="","⚠ Falta cuenta",IF(ISNA(MATCH(Q4638,ctaNombre,0)),"⚠ Cuenta no registrada",IF(AND(OR(P4638="Gasto",P4638="Reembolso"),D4638=""),"⚠ Falta categoría",IF(AND(D4638&lt;&gt;"",E4638&lt;&gt;"",ISNA(MATCH(D4638&amp;"|"&amp;E4638,catClave,0))),"⚠ Subcategoría no corresponde",IF(AND(OR(P4638="Transferencia",P4638="Pago tarjeta"),K4638=""),"⚠ Falta cuenta destino",IF(AND(K4638&lt;&gt;"",P4638&lt;&gt;"Transferencia",P4638&lt;&gt;"Pago tarjeta"),"⚠ Destino solo aplica a transferencias",IF(AND(K4638&lt;&gt;"",K4638=Q4638),"⚠ Origen igual a destino",IF(AND(K4638&lt;&gt;"",ISNA(MATCH(K4638,ctaNombre,0))),"⚠ Destino no registrado",IF(AND(P4638="Pago tarjeta",AE4638&lt;&gt;"Tarjeta de crédito"),"⚠ El destino debe ser tarjeta de crédito",IF(AND(P4638="Gasto",E4638="Depósitos y retiros"),"⚠ Usa tipo Transferencia",IF(AND(P4638="Resultado trading",AD4638&lt;&gt;"Cuenta de trading"),"⚠ Usa una cuenta de trading",IF(AND(G4638&lt;=0,P4638&lt;&gt;"Ajuste",P4638&lt;&gt;"Resultado trading"),"⚠ El monto debe ser positivo","✓")))))))))))))))</f>
        <v/>
      </c>
      <c r="P4638" s="52">
        <f>IF(OR(B4638="",G4638=""),"",IF(C4638="","Gasto",C4638))</f>
        <v/>
      </c>
      <c r="Q4638" s="52">
        <f>IF(P4638="","",IF(J4638&lt;&gt;"",J4638,CuentaPred&amp;""))</f>
        <v/>
      </c>
      <c r="R4638" s="52">
        <f>IF(P4638="","",IF(ISNUMBER(I4638),I4638,TasaUSD))</f>
        <v/>
      </c>
      <c r="S4638" s="53">
        <f>IF(P4638="","",IF(H4638="USD",G4638*R4638,G4638))</f>
        <v/>
      </c>
      <c r="T4638" s="53">
        <f>IF(P4638="","",IF(H4638="USD",G4638,IF(R4638&gt;0,G4638/R4638,0)))</f>
        <v/>
      </c>
      <c r="U4638" s="53">
        <f>IF(P4638="","",IF(P4638="Gasto",S4638,IF(P4638="Reembolso",-S4638,0)))</f>
        <v/>
      </c>
      <c r="V4638" s="53">
        <f>IF(P4638="","",IF(P4638="Ingreso",S4638,0))</f>
        <v/>
      </c>
      <c r="W4638" s="53">
        <f>IF(P4638="","",IF(P4638="Resultado trading",S4638,0))</f>
        <v/>
      </c>
      <c r="X4638" s="52">
        <f>IF(OR(P4638="Gasto",P4638="Reembolso"),IF(M4638&lt;&gt;"",M4638,IFERROR(INDEX(catClasif,MATCH(D4638&amp;"|"&amp;E4638,catClave,0))&amp;"","Variable")),"")</f>
        <v/>
      </c>
      <c r="Y4638" s="52">
        <f>IF(P4638="","",IFERROR(INDEX(catGrupo,MATCH(D4638&amp;"|"&amp;E4638,catClave,0))&amp;"",""))</f>
        <v/>
      </c>
      <c r="Z4638" s="52">
        <f>IF(P4638="","",WEEKDAY(B4638,2))</f>
        <v/>
      </c>
      <c r="AA4638" s="52">
        <f>IF(P4638="","",IF(AND(P4638="Gasto",X4638="Variable",D4638&lt;&gt;catTrading,S4638&gt;0,S4638&lt;=Umbral),1,0))</f>
        <v/>
      </c>
      <c r="AB4638" s="52">
        <f>IF(OR(P4638="",Q4638=""),"",IFERROR(IF(INDEX(ctaVinc,MATCH(Q4638,ctaNombre,0))&amp;""&lt;&gt;"",INDEX(ctaVinc,MATCH(Q4638,ctaNombre,0))&amp;"",Q4638),Q4638))</f>
        <v/>
      </c>
      <c r="AC4638" s="52">
        <f>IF(OR(K4638="",AND(P4638&lt;&gt;"Transferencia",P4638&lt;&gt;"Pago tarjeta")),"",IFERROR(IF(INDEX(ctaVinc,MATCH(K4638,ctaNombre,0))&amp;""&lt;&gt;"",INDEX(ctaVinc,MATCH(K4638,ctaNombre,0))&amp;"",K4638),K4638))</f>
        <v/>
      </c>
      <c r="AD4638" s="52">
        <f>IF(AB4638="","",IFERROR(INDEX(ctaTipo,MATCH(AB4638,ctaNombre,0))&amp;"",""))</f>
        <v/>
      </c>
      <c r="AE4638" s="52">
        <f>IF(AC4638="","",IFERROR(INDEX(ctaTipo,MATCH(AC4638,ctaNombre,0))&amp;"",""))</f>
        <v/>
      </c>
      <c r="AF4638" s="53">
        <f>IF(OR(P4638="",AB4638=""),"",IF(OR(P4638="Gasto",P4638="Transferencia",P4638="Pago tarjeta"),-1,1)*IF(IFERROR(INDEX(ctaMoneda,MATCH(AB4638,ctaNombre,0))&amp;"","DOP")="USD",T4638,S4638))</f>
        <v/>
      </c>
      <c r="AG4638" s="53">
        <f>IF(AC4638="","",IF(IFERROR(INDEX(ctaMoneda,MATCH(AC4638,ctaNombre,0))&amp;"","DOP")="USD",T4638,S4638))</f>
        <v/>
      </c>
      <c r="AH4638" s="53">
        <f>IF(P4638="","",IF(AND(AD4638&lt;&gt;"",COUNTIFS(tcTipo,AD4638,tcLiq,"Sí")&gt;0),IF(OR(P4638="Gasto",P4638="Transferencia",P4638="Pago tarjeta"),-1,1)*S4638,0)+IF(AND(AE4638&lt;&gt;"",COUNTIFS(tcTipo,AE4638,tcLiq,"Sí")&gt;0),S4638,0))</f>
        <v/>
      </c>
      <c r="AI4638" s="52">
        <f>IF(OR(L4638="",P4638=""),"",IF(COUNTIFS(L$6:L4638,L4638,P$6:P4638,"?*")=1,MAX(AI$5:AI4637)+1,""))</f>
        <v/>
      </c>
    </row>
    <row r="4639">
      <c r="B4639" s="47" t="n"/>
      <c r="C4639" s="48" t="n"/>
      <c r="D4639" s="48" t="n"/>
      <c r="E4639" s="48" t="n"/>
      <c r="F4639" s="48" t="n"/>
      <c r="G4639" s="49" t="n"/>
      <c r="H4639" s="48" t="n"/>
      <c r="I4639" s="50" t="n"/>
      <c r="J4639" s="48" t="n"/>
      <c r="K4639" s="48" t="n"/>
      <c r="L4639" s="48" t="n"/>
      <c r="M4639" s="48" t="n"/>
      <c r="N4639" s="48" t="n"/>
      <c r="O4639" s="51">
        <f>IF(AND(B4639="",G4639="",C4639="",D4639="",J4639=""),"",IF(B4639="","⚠ Falta fecha",IF(G4639="","⚠ Falta monto",IF(Q4639="","⚠ Falta cuenta",IF(ISNA(MATCH(Q4639,ctaNombre,0)),"⚠ Cuenta no registrada",IF(AND(OR(P4639="Gasto",P4639="Reembolso"),D4639=""),"⚠ Falta categoría",IF(AND(D4639&lt;&gt;"",E4639&lt;&gt;"",ISNA(MATCH(D4639&amp;"|"&amp;E4639,catClave,0))),"⚠ Subcategoría no corresponde",IF(AND(OR(P4639="Transferencia",P4639="Pago tarjeta"),K4639=""),"⚠ Falta cuenta destino",IF(AND(K4639&lt;&gt;"",P4639&lt;&gt;"Transferencia",P4639&lt;&gt;"Pago tarjeta"),"⚠ Destino solo aplica a transferencias",IF(AND(K4639&lt;&gt;"",K4639=Q4639),"⚠ Origen igual a destino",IF(AND(K4639&lt;&gt;"",ISNA(MATCH(K4639,ctaNombre,0))),"⚠ Destino no registrado",IF(AND(P4639="Pago tarjeta",AE4639&lt;&gt;"Tarjeta de crédito"),"⚠ El destino debe ser tarjeta de crédito",IF(AND(P4639="Gasto",E4639="Depósitos y retiros"),"⚠ Usa tipo Transferencia",IF(AND(P4639="Resultado trading",AD4639&lt;&gt;"Cuenta de trading"),"⚠ Usa una cuenta de trading",IF(AND(G4639&lt;=0,P4639&lt;&gt;"Ajuste",P4639&lt;&gt;"Resultado trading"),"⚠ El monto debe ser positivo","✓")))))))))))))))</f>
        <v/>
      </c>
      <c r="P4639" s="52">
        <f>IF(OR(B4639="",G4639=""),"",IF(C4639="","Gasto",C4639))</f>
        <v/>
      </c>
      <c r="Q4639" s="52">
        <f>IF(P4639="","",IF(J4639&lt;&gt;"",J4639,CuentaPred&amp;""))</f>
        <v/>
      </c>
      <c r="R4639" s="52">
        <f>IF(P4639="","",IF(ISNUMBER(I4639),I4639,TasaUSD))</f>
        <v/>
      </c>
      <c r="S4639" s="53">
        <f>IF(P4639="","",IF(H4639="USD",G4639*R4639,G4639))</f>
        <v/>
      </c>
      <c r="T4639" s="53">
        <f>IF(P4639="","",IF(H4639="USD",G4639,IF(R4639&gt;0,G4639/R4639,0)))</f>
        <v/>
      </c>
      <c r="U4639" s="53">
        <f>IF(P4639="","",IF(P4639="Gasto",S4639,IF(P4639="Reembolso",-S4639,0)))</f>
        <v/>
      </c>
      <c r="V4639" s="53">
        <f>IF(P4639="","",IF(P4639="Ingreso",S4639,0))</f>
        <v/>
      </c>
      <c r="W4639" s="53">
        <f>IF(P4639="","",IF(P4639="Resultado trading",S4639,0))</f>
        <v/>
      </c>
      <c r="X4639" s="52">
        <f>IF(OR(P4639="Gasto",P4639="Reembolso"),IF(M4639&lt;&gt;"",M4639,IFERROR(INDEX(catClasif,MATCH(D4639&amp;"|"&amp;E4639,catClave,0))&amp;"","Variable")),"")</f>
        <v/>
      </c>
      <c r="Y4639" s="52">
        <f>IF(P4639="","",IFERROR(INDEX(catGrupo,MATCH(D4639&amp;"|"&amp;E4639,catClave,0))&amp;"",""))</f>
        <v/>
      </c>
      <c r="Z4639" s="52">
        <f>IF(P4639="","",WEEKDAY(B4639,2))</f>
        <v/>
      </c>
      <c r="AA4639" s="52">
        <f>IF(P4639="","",IF(AND(P4639="Gasto",X4639="Variable",D4639&lt;&gt;catTrading,S4639&gt;0,S4639&lt;=Umbral),1,0))</f>
        <v/>
      </c>
      <c r="AB4639" s="52">
        <f>IF(OR(P4639="",Q4639=""),"",IFERROR(IF(INDEX(ctaVinc,MATCH(Q4639,ctaNombre,0))&amp;""&lt;&gt;"",INDEX(ctaVinc,MATCH(Q4639,ctaNombre,0))&amp;"",Q4639),Q4639))</f>
        <v/>
      </c>
      <c r="AC4639" s="52">
        <f>IF(OR(K4639="",AND(P4639&lt;&gt;"Transferencia",P4639&lt;&gt;"Pago tarjeta")),"",IFERROR(IF(INDEX(ctaVinc,MATCH(K4639,ctaNombre,0))&amp;""&lt;&gt;"",INDEX(ctaVinc,MATCH(K4639,ctaNombre,0))&amp;"",K4639),K4639))</f>
        <v/>
      </c>
      <c r="AD4639" s="52">
        <f>IF(AB4639="","",IFERROR(INDEX(ctaTipo,MATCH(AB4639,ctaNombre,0))&amp;"",""))</f>
        <v/>
      </c>
      <c r="AE4639" s="52">
        <f>IF(AC4639="","",IFERROR(INDEX(ctaTipo,MATCH(AC4639,ctaNombre,0))&amp;"",""))</f>
        <v/>
      </c>
      <c r="AF4639" s="53">
        <f>IF(OR(P4639="",AB4639=""),"",IF(OR(P4639="Gasto",P4639="Transferencia",P4639="Pago tarjeta"),-1,1)*IF(IFERROR(INDEX(ctaMoneda,MATCH(AB4639,ctaNombre,0))&amp;"","DOP")="USD",T4639,S4639))</f>
        <v/>
      </c>
      <c r="AG4639" s="53">
        <f>IF(AC4639="","",IF(IFERROR(INDEX(ctaMoneda,MATCH(AC4639,ctaNombre,0))&amp;"","DOP")="USD",T4639,S4639))</f>
        <v/>
      </c>
      <c r="AH4639" s="53">
        <f>IF(P4639="","",IF(AND(AD4639&lt;&gt;"",COUNTIFS(tcTipo,AD4639,tcLiq,"Sí")&gt;0),IF(OR(P4639="Gasto",P4639="Transferencia",P4639="Pago tarjeta"),-1,1)*S4639,0)+IF(AND(AE4639&lt;&gt;"",COUNTIFS(tcTipo,AE4639,tcLiq,"Sí")&gt;0),S4639,0))</f>
        <v/>
      </c>
      <c r="AI4639" s="52">
        <f>IF(OR(L4639="",P4639=""),"",IF(COUNTIFS(L$6:L4639,L4639,P$6:P4639,"?*")=1,MAX(AI$5:AI4638)+1,""))</f>
        <v/>
      </c>
    </row>
    <row r="4640">
      <c r="B4640" s="47" t="n"/>
      <c r="C4640" s="48" t="n"/>
      <c r="D4640" s="48" t="n"/>
      <c r="E4640" s="48" t="n"/>
      <c r="F4640" s="48" t="n"/>
      <c r="G4640" s="49" t="n"/>
      <c r="H4640" s="48" t="n"/>
      <c r="I4640" s="50" t="n"/>
      <c r="J4640" s="48" t="n"/>
      <c r="K4640" s="48" t="n"/>
      <c r="L4640" s="48" t="n"/>
      <c r="M4640" s="48" t="n"/>
      <c r="N4640" s="48" t="n"/>
      <c r="O4640" s="51">
        <f>IF(AND(B4640="",G4640="",C4640="",D4640="",J4640=""),"",IF(B4640="","⚠ Falta fecha",IF(G4640="","⚠ Falta monto",IF(Q4640="","⚠ Falta cuenta",IF(ISNA(MATCH(Q4640,ctaNombre,0)),"⚠ Cuenta no registrada",IF(AND(OR(P4640="Gasto",P4640="Reembolso"),D4640=""),"⚠ Falta categoría",IF(AND(D4640&lt;&gt;"",E4640&lt;&gt;"",ISNA(MATCH(D4640&amp;"|"&amp;E4640,catClave,0))),"⚠ Subcategoría no corresponde",IF(AND(OR(P4640="Transferencia",P4640="Pago tarjeta"),K4640=""),"⚠ Falta cuenta destino",IF(AND(K4640&lt;&gt;"",P4640&lt;&gt;"Transferencia",P4640&lt;&gt;"Pago tarjeta"),"⚠ Destino solo aplica a transferencias",IF(AND(K4640&lt;&gt;"",K4640=Q4640),"⚠ Origen igual a destino",IF(AND(K4640&lt;&gt;"",ISNA(MATCH(K4640,ctaNombre,0))),"⚠ Destino no registrado",IF(AND(P4640="Pago tarjeta",AE4640&lt;&gt;"Tarjeta de crédito"),"⚠ El destino debe ser tarjeta de crédito",IF(AND(P4640="Gasto",E4640="Depósitos y retiros"),"⚠ Usa tipo Transferencia",IF(AND(P4640="Resultado trading",AD4640&lt;&gt;"Cuenta de trading"),"⚠ Usa una cuenta de trading",IF(AND(G4640&lt;=0,P4640&lt;&gt;"Ajuste",P4640&lt;&gt;"Resultado trading"),"⚠ El monto debe ser positivo","✓")))))))))))))))</f>
        <v/>
      </c>
      <c r="P4640" s="52">
        <f>IF(OR(B4640="",G4640=""),"",IF(C4640="","Gasto",C4640))</f>
        <v/>
      </c>
      <c r="Q4640" s="52">
        <f>IF(P4640="","",IF(J4640&lt;&gt;"",J4640,CuentaPred&amp;""))</f>
        <v/>
      </c>
      <c r="R4640" s="52">
        <f>IF(P4640="","",IF(ISNUMBER(I4640),I4640,TasaUSD))</f>
        <v/>
      </c>
      <c r="S4640" s="53">
        <f>IF(P4640="","",IF(H4640="USD",G4640*R4640,G4640))</f>
        <v/>
      </c>
      <c r="T4640" s="53">
        <f>IF(P4640="","",IF(H4640="USD",G4640,IF(R4640&gt;0,G4640/R4640,0)))</f>
        <v/>
      </c>
      <c r="U4640" s="53">
        <f>IF(P4640="","",IF(P4640="Gasto",S4640,IF(P4640="Reembolso",-S4640,0)))</f>
        <v/>
      </c>
      <c r="V4640" s="53">
        <f>IF(P4640="","",IF(P4640="Ingreso",S4640,0))</f>
        <v/>
      </c>
      <c r="W4640" s="53">
        <f>IF(P4640="","",IF(P4640="Resultado trading",S4640,0))</f>
        <v/>
      </c>
      <c r="X4640" s="52">
        <f>IF(OR(P4640="Gasto",P4640="Reembolso"),IF(M4640&lt;&gt;"",M4640,IFERROR(INDEX(catClasif,MATCH(D4640&amp;"|"&amp;E4640,catClave,0))&amp;"","Variable")),"")</f>
        <v/>
      </c>
      <c r="Y4640" s="52">
        <f>IF(P4640="","",IFERROR(INDEX(catGrupo,MATCH(D4640&amp;"|"&amp;E4640,catClave,0))&amp;"",""))</f>
        <v/>
      </c>
      <c r="Z4640" s="52">
        <f>IF(P4640="","",WEEKDAY(B4640,2))</f>
        <v/>
      </c>
      <c r="AA4640" s="52">
        <f>IF(P4640="","",IF(AND(P4640="Gasto",X4640="Variable",D4640&lt;&gt;catTrading,S4640&gt;0,S4640&lt;=Umbral),1,0))</f>
        <v/>
      </c>
      <c r="AB4640" s="52">
        <f>IF(OR(P4640="",Q4640=""),"",IFERROR(IF(INDEX(ctaVinc,MATCH(Q4640,ctaNombre,0))&amp;""&lt;&gt;"",INDEX(ctaVinc,MATCH(Q4640,ctaNombre,0))&amp;"",Q4640),Q4640))</f>
        <v/>
      </c>
      <c r="AC4640" s="52">
        <f>IF(OR(K4640="",AND(P4640&lt;&gt;"Transferencia",P4640&lt;&gt;"Pago tarjeta")),"",IFERROR(IF(INDEX(ctaVinc,MATCH(K4640,ctaNombre,0))&amp;""&lt;&gt;"",INDEX(ctaVinc,MATCH(K4640,ctaNombre,0))&amp;"",K4640),K4640))</f>
        <v/>
      </c>
      <c r="AD4640" s="52">
        <f>IF(AB4640="","",IFERROR(INDEX(ctaTipo,MATCH(AB4640,ctaNombre,0))&amp;"",""))</f>
        <v/>
      </c>
      <c r="AE4640" s="52">
        <f>IF(AC4640="","",IFERROR(INDEX(ctaTipo,MATCH(AC4640,ctaNombre,0))&amp;"",""))</f>
        <v/>
      </c>
      <c r="AF4640" s="53">
        <f>IF(OR(P4640="",AB4640=""),"",IF(OR(P4640="Gasto",P4640="Transferencia",P4640="Pago tarjeta"),-1,1)*IF(IFERROR(INDEX(ctaMoneda,MATCH(AB4640,ctaNombre,0))&amp;"","DOP")="USD",T4640,S4640))</f>
        <v/>
      </c>
      <c r="AG4640" s="53">
        <f>IF(AC4640="","",IF(IFERROR(INDEX(ctaMoneda,MATCH(AC4640,ctaNombre,0))&amp;"","DOP")="USD",T4640,S4640))</f>
        <v/>
      </c>
      <c r="AH4640" s="53">
        <f>IF(P4640="","",IF(AND(AD4640&lt;&gt;"",COUNTIFS(tcTipo,AD4640,tcLiq,"Sí")&gt;0),IF(OR(P4640="Gasto",P4640="Transferencia",P4640="Pago tarjeta"),-1,1)*S4640,0)+IF(AND(AE4640&lt;&gt;"",COUNTIFS(tcTipo,AE4640,tcLiq,"Sí")&gt;0),S4640,0))</f>
        <v/>
      </c>
      <c r="AI4640" s="52">
        <f>IF(OR(L4640="",P4640=""),"",IF(COUNTIFS(L$6:L4640,L4640,P$6:P4640,"?*")=1,MAX(AI$5:AI4639)+1,""))</f>
        <v/>
      </c>
    </row>
    <row r="4641">
      <c r="B4641" s="47" t="n"/>
      <c r="C4641" s="48" t="n"/>
      <c r="D4641" s="48" t="n"/>
      <c r="E4641" s="48" t="n"/>
      <c r="F4641" s="48" t="n"/>
      <c r="G4641" s="49" t="n"/>
      <c r="H4641" s="48" t="n"/>
      <c r="I4641" s="50" t="n"/>
      <c r="J4641" s="48" t="n"/>
      <c r="K4641" s="48" t="n"/>
      <c r="L4641" s="48" t="n"/>
      <c r="M4641" s="48" t="n"/>
      <c r="N4641" s="48" t="n"/>
      <c r="O4641" s="51">
        <f>IF(AND(B4641="",G4641="",C4641="",D4641="",J4641=""),"",IF(B4641="","⚠ Falta fecha",IF(G4641="","⚠ Falta monto",IF(Q4641="","⚠ Falta cuenta",IF(ISNA(MATCH(Q4641,ctaNombre,0)),"⚠ Cuenta no registrada",IF(AND(OR(P4641="Gasto",P4641="Reembolso"),D4641=""),"⚠ Falta categoría",IF(AND(D4641&lt;&gt;"",E4641&lt;&gt;"",ISNA(MATCH(D4641&amp;"|"&amp;E4641,catClave,0))),"⚠ Subcategoría no corresponde",IF(AND(OR(P4641="Transferencia",P4641="Pago tarjeta"),K4641=""),"⚠ Falta cuenta destino",IF(AND(K4641&lt;&gt;"",P4641&lt;&gt;"Transferencia",P4641&lt;&gt;"Pago tarjeta"),"⚠ Destino solo aplica a transferencias",IF(AND(K4641&lt;&gt;"",K4641=Q4641),"⚠ Origen igual a destino",IF(AND(K4641&lt;&gt;"",ISNA(MATCH(K4641,ctaNombre,0))),"⚠ Destino no registrado",IF(AND(P4641="Pago tarjeta",AE4641&lt;&gt;"Tarjeta de crédito"),"⚠ El destino debe ser tarjeta de crédito",IF(AND(P4641="Gasto",E4641="Depósitos y retiros"),"⚠ Usa tipo Transferencia",IF(AND(P4641="Resultado trading",AD4641&lt;&gt;"Cuenta de trading"),"⚠ Usa una cuenta de trading",IF(AND(G4641&lt;=0,P4641&lt;&gt;"Ajuste",P4641&lt;&gt;"Resultado trading"),"⚠ El monto debe ser positivo","✓")))))))))))))))</f>
        <v/>
      </c>
      <c r="P4641" s="52">
        <f>IF(OR(B4641="",G4641=""),"",IF(C4641="","Gasto",C4641))</f>
        <v/>
      </c>
      <c r="Q4641" s="52">
        <f>IF(P4641="","",IF(J4641&lt;&gt;"",J4641,CuentaPred&amp;""))</f>
        <v/>
      </c>
      <c r="R4641" s="52">
        <f>IF(P4641="","",IF(ISNUMBER(I4641),I4641,TasaUSD))</f>
        <v/>
      </c>
      <c r="S4641" s="53">
        <f>IF(P4641="","",IF(H4641="USD",G4641*R4641,G4641))</f>
        <v/>
      </c>
      <c r="T4641" s="53">
        <f>IF(P4641="","",IF(H4641="USD",G4641,IF(R4641&gt;0,G4641/R4641,0)))</f>
        <v/>
      </c>
      <c r="U4641" s="53">
        <f>IF(P4641="","",IF(P4641="Gasto",S4641,IF(P4641="Reembolso",-S4641,0)))</f>
        <v/>
      </c>
      <c r="V4641" s="53">
        <f>IF(P4641="","",IF(P4641="Ingreso",S4641,0))</f>
        <v/>
      </c>
      <c r="W4641" s="53">
        <f>IF(P4641="","",IF(P4641="Resultado trading",S4641,0))</f>
        <v/>
      </c>
      <c r="X4641" s="52">
        <f>IF(OR(P4641="Gasto",P4641="Reembolso"),IF(M4641&lt;&gt;"",M4641,IFERROR(INDEX(catClasif,MATCH(D4641&amp;"|"&amp;E4641,catClave,0))&amp;"","Variable")),"")</f>
        <v/>
      </c>
      <c r="Y4641" s="52">
        <f>IF(P4641="","",IFERROR(INDEX(catGrupo,MATCH(D4641&amp;"|"&amp;E4641,catClave,0))&amp;"",""))</f>
        <v/>
      </c>
      <c r="Z4641" s="52">
        <f>IF(P4641="","",WEEKDAY(B4641,2))</f>
        <v/>
      </c>
      <c r="AA4641" s="52">
        <f>IF(P4641="","",IF(AND(P4641="Gasto",X4641="Variable",D4641&lt;&gt;catTrading,S4641&gt;0,S4641&lt;=Umbral),1,0))</f>
        <v/>
      </c>
      <c r="AB4641" s="52">
        <f>IF(OR(P4641="",Q4641=""),"",IFERROR(IF(INDEX(ctaVinc,MATCH(Q4641,ctaNombre,0))&amp;""&lt;&gt;"",INDEX(ctaVinc,MATCH(Q4641,ctaNombre,0))&amp;"",Q4641),Q4641))</f>
        <v/>
      </c>
      <c r="AC4641" s="52">
        <f>IF(OR(K4641="",AND(P4641&lt;&gt;"Transferencia",P4641&lt;&gt;"Pago tarjeta")),"",IFERROR(IF(INDEX(ctaVinc,MATCH(K4641,ctaNombre,0))&amp;""&lt;&gt;"",INDEX(ctaVinc,MATCH(K4641,ctaNombre,0))&amp;"",K4641),K4641))</f>
        <v/>
      </c>
      <c r="AD4641" s="52">
        <f>IF(AB4641="","",IFERROR(INDEX(ctaTipo,MATCH(AB4641,ctaNombre,0))&amp;"",""))</f>
        <v/>
      </c>
      <c r="AE4641" s="52">
        <f>IF(AC4641="","",IFERROR(INDEX(ctaTipo,MATCH(AC4641,ctaNombre,0))&amp;"",""))</f>
        <v/>
      </c>
      <c r="AF4641" s="53">
        <f>IF(OR(P4641="",AB4641=""),"",IF(OR(P4641="Gasto",P4641="Transferencia",P4641="Pago tarjeta"),-1,1)*IF(IFERROR(INDEX(ctaMoneda,MATCH(AB4641,ctaNombre,0))&amp;"","DOP")="USD",T4641,S4641))</f>
        <v/>
      </c>
      <c r="AG4641" s="53">
        <f>IF(AC4641="","",IF(IFERROR(INDEX(ctaMoneda,MATCH(AC4641,ctaNombre,0))&amp;"","DOP")="USD",T4641,S4641))</f>
        <v/>
      </c>
      <c r="AH4641" s="53">
        <f>IF(P4641="","",IF(AND(AD4641&lt;&gt;"",COUNTIFS(tcTipo,AD4641,tcLiq,"Sí")&gt;0),IF(OR(P4641="Gasto",P4641="Transferencia",P4641="Pago tarjeta"),-1,1)*S4641,0)+IF(AND(AE4641&lt;&gt;"",COUNTIFS(tcTipo,AE4641,tcLiq,"Sí")&gt;0),S4641,0))</f>
        <v/>
      </c>
      <c r="AI4641" s="52">
        <f>IF(OR(L4641="",P4641=""),"",IF(COUNTIFS(L$6:L4641,L4641,P$6:P4641,"?*")=1,MAX(AI$5:AI4640)+1,""))</f>
        <v/>
      </c>
    </row>
    <row r="4642">
      <c r="B4642" s="47" t="n"/>
      <c r="C4642" s="48" t="n"/>
      <c r="D4642" s="48" t="n"/>
      <c r="E4642" s="48" t="n"/>
      <c r="F4642" s="48" t="n"/>
      <c r="G4642" s="49" t="n"/>
      <c r="H4642" s="48" t="n"/>
      <c r="I4642" s="50" t="n"/>
      <c r="J4642" s="48" t="n"/>
      <c r="K4642" s="48" t="n"/>
      <c r="L4642" s="48" t="n"/>
      <c r="M4642" s="48" t="n"/>
      <c r="N4642" s="48" t="n"/>
      <c r="O4642" s="51">
        <f>IF(AND(B4642="",G4642="",C4642="",D4642="",J4642=""),"",IF(B4642="","⚠ Falta fecha",IF(G4642="","⚠ Falta monto",IF(Q4642="","⚠ Falta cuenta",IF(ISNA(MATCH(Q4642,ctaNombre,0)),"⚠ Cuenta no registrada",IF(AND(OR(P4642="Gasto",P4642="Reembolso"),D4642=""),"⚠ Falta categoría",IF(AND(D4642&lt;&gt;"",E4642&lt;&gt;"",ISNA(MATCH(D4642&amp;"|"&amp;E4642,catClave,0))),"⚠ Subcategoría no corresponde",IF(AND(OR(P4642="Transferencia",P4642="Pago tarjeta"),K4642=""),"⚠ Falta cuenta destino",IF(AND(K4642&lt;&gt;"",P4642&lt;&gt;"Transferencia",P4642&lt;&gt;"Pago tarjeta"),"⚠ Destino solo aplica a transferencias",IF(AND(K4642&lt;&gt;"",K4642=Q4642),"⚠ Origen igual a destino",IF(AND(K4642&lt;&gt;"",ISNA(MATCH(K4642,ctaNombre,0))),"⚠ Destino no registrado",IF(AND(P4642="Pago tarjeta",AE4642&lt;&gt;"Tarjeta de crédito"),"⚠ El destino debe ser tarjeta de crédito",IF(AND(P4642="Gasto",E4642="Depósitos y retiros"),"⚠ Usa tipo Transferencia",IF(AND(P4642="Resultado trading",AD4642&lt;&gt;"Cuenta de trading"),"⚠ Usa una cuenta de trading",IF(AND(G4642&lt;=0,P4642&lt;&gt;"Ajuste",P4642&lt;&gt;"Resultado trading"),"⚠ El monto debe ser positivo","✓")))))))))))))))</f>
        <v/>
      </c>
      <c r="P4642" s="52">
        <f>IF(OR(B4642="",G4642=""),"",IF(C4642="","Gasto",C4642))</f>
        <v/>
      </c>
      <c r="Q4642" s="52">
        <f>IF(P4642="","",IF(J4642&lt;&gt;"",J4642,CuentaPred&amp;""))</f>
        <v/>
      </c>
      <c r="R4642" s="52">
        <f>IF(P4642="","",IF(ISNUMBER(I4642),I4642,TasaUSD))</f>
        <v/>
      </c>
      <c r="S4642" s="53">
        <f>IF(P4642="","",IF(H4642="USD",G4642*R4642,G4642))</f>
        <v/>
      </c>
      <c r="T4642" s="53">
        <f>IF(P4642="","",IF(H4642="USD",G4642,IF(R4642&gt;0,G4642/R4642,0)))</f>
        <v/>
      </c>
      <c r="U4642" s="53">
        <f>IF(P4642="","",IF(P4642="Gasto",S4642,IF(P4642="Reembolso",-S4642,0)))</f>
        <v/>
      </c>
      <c r="V4642" s="53">
        <f>IF(P4642="","",IF(P4642="Ingreso",S4642,0))</f>
        <v/>
      </c>
      <c r="W4642" s="53">
        <f>IF(P4642="","",IF(P4642="Resultado trading",S4642,0))</f>
        <v/>
      </c>
      <c r="X4642" s="52">
        <f>IF(OR(P4642="Gasto",P4642="Reembolso"),IF(M4642&lt;&gt;"",M4642,IFERROR(INDEX(catClasif,MATCH(D4642&amp;"|"&amp;E4642,catClave,0))&amp;"","Variable")),"")</f>
        <v/>
      </c>
      <c r="Y4642" s="52">
        <f>IF(P4642="","",IFERROR(INDEX(catGrupo,MATCH(D4642&amp;"|"&amp;E4642,catClave,0))&amp;"",""))</f>
        <v/>
      </c>
      <c r="Z4642" s="52">
        <f>IF(P4642="","",WEEKDAY(B4642,2))</f>
        <v/>
      </c>
      <c r="AA4642" s="52">
        <f>IF(P4642="","",IF(AND(P4642="Gasto",X4642="Variable",D4642&lt;&gt;catTrading,S4642&gt;0,S4642&lt;=Umbral),1,0))</f>
        <v/>
      </c>
      <c r="AB4642" s="52">
        <f>IF(OR(P4642="",Q4642=""),"",IFERROR(IF(INDEX(ctaVinc,MATCH(Q4642,ctaNombre,0))&amp;""&lt;&gt;"",INDEX(ctaVinc,MATCH(Q4642,ctaNombre,0))&amp;"",Q4642),Q4642))</f>
        <v/>
      </c>
      <c r="AC4642" s="52">
        <f>IF(OR(K4642="",AND(P4642&lt;&gt;"Transferencia",P4642&lt;&gt;"Pago tarjeta")),"",IFERROR(IF(INDEX(ctaVinc,MATCH(K4642,ctaNombre,0))&amp;""&lt;&gt;"",INDEX(ctaVinc,MATCH(K4642,ctaNombre,0))&amp;"",K4642),K4642))</f>
        <v/>
      </c>
      <c r="AD4642" s="52">
        <f>IF(AB4642="","",IFERROR(INDEX(ctaTipo,MATCH(AB4642,ctaNombre,0))&amp;"",""))</f>
        <v/>
      </c>
      <c r="AE4642" s="52">
        <f>IF(AC4642="","",IFERROR(INDEX(ctaTipo,MATCH(AC4642,ctaNombre,0))&amp;"",""))</f>
        <v/>
      </c>
      <c r="AF4642" s="53">
        <f>IF(OR(P4642="",AB4642=""),"",IF(OR(P4642="Gasto",P4642="Transferencia",P4642="Pago tarjeta"),-1,1)*IF(IFERROR(INDEX(ctaMoneda,MATCH(AB4642,ctaNombre,0))&amp;"","DOP")="USD",T4642,S4642))</f>
        <v/>
      </c>
      <c r="AG4642" s="53">
        <f>IF(AC4642="","",IF(IFERROR(INDEX(ctaMoneda,MATCH(AC4642,ctaNombre,0))&amp;"","DOP")="USD",T4642,S4642))</f>
        <v/>
      </c>
      <c r="AH4642" s="53">
        <f>IF(P4642="","",IF(AND(AD4642&lt;&gt;"",COUNTIFS(tcTipo,AD4642,tcLiq,"Sí")&gt;0),IF(OR(P4642="Gasto",P4642="Transferencia",P4642="Pago tarjeta"),-1,1)*S4642,0)+IF(AND(AE4642&lt;&gt;"",COUNTIFS(tcTipo,AE4642,tcLiq,"Sí")&gt;0),S4642,0))</f>
        <v/>
      </c>
      <c r="AI4642" s="52">
        <f>IF(OR(L4642="",P4642=""),"",IF(COUNTIFS(L$6:L4642,L4642,P$6:P4642,"?*")=1,MAX(AI$5:AI4641)+1,""))</f>
        <v/>
      </c>
    </row>
    <row r="4643">
      <c r="B4643" s="47" t="n"/>
      <c r="C4643" s="48" t="n"/>
      <c r="D4643" s="48" t="n"/>
      <c r="E4643" s="48" t="n"/>
      <c r="F4643" s="48" t="n"/>
      <c r="G4643" s="49" t="n"/>
      <c r="H4643" s="48" t="n"/>
      <c r="I4643" s="50" t="n"/>
      <c r="J4643" s="48" t="n"/>
      <c r="K4643" s="48" t="n"/>
      <c r="L4643" s="48" t="n"/>
      <c r="M4643" s="48" t="n"/>
      <c r="N4643" s="48" t="n"/>
      <c r="O4643" s="51">
        <f>IF(AND(B4643="",G4643="",C4643="",D4643="",J4643=""),"",IF(B4643="","⚠ Falta fecha",IF(G4643="","⚠ Falta monto",IF(Q4643="","⚠ Falta cuenta",IF(ISNA(MATCH(Q4643,ctaNombre,0)),"⚠ Cuenta no registrada",IF(AND(OR(P4643="Gasto",P4643="Reembolso"),D4643=""),"⚠ Falta categoría",IF(AND(D4643&lt;&gt;"",E4643&lt;&gt;"",ISNA(MATCH(D4643&amp;"|"&amp;E4643,catClave,0))),"⚠ Subcategoría no corresponde",IF(AND(OR(P4643="Transferencia",P4643="Pago tarjeta"),K4643=""),"⚠ Falta cuenta destino",IF(AND(K4643&lt;&gt;"",P4643&lt;&gt;"Transferencia",P4643&lt;&gt;"Pago tarjeta"),"⚠ Destino solo aplica a transferencias",IF(AND(K4643&lt;&gt;"",K4643=Q4643),"⚠ Origen igual a destino",IF(AND(K4643&lt;&gt;"",ISNA(MATCH(K4643,ctaNombre,0))),"⚠ Destino no registrado",IF(AND(P4643="Pago tarjeta",AE4643&lt;&gt;"Tarjeta de crédito"),"⚠ El destino debe ser tarjeta de crédito",IF(AND(P4643="Gasto",E4643="Depósitos y retiros"),"⚠ Usa tipo Transferencia",IF(AND(P4643="Resultado trading",AD4643&lt;&gt;"Cuenta de trading"),"⚠ Usa una cuenta de trading",IF(AND(G4643&lt;=0,P4643&lt;&gt;"Ajuste",P4643&lt;&gt;"Resultado trading"),"⚠ El monto debe ser positivo","✓")))))))))))))))</f>
        <v/>
      </c>
      <c r="P4643" s="52">
        <f>IF(OR(B4643="",G4643=""),"",IF(C4643="","Gasto",C4643))</f>
        <v/>
      </c>
      <c r="Q4643" s="52">
        <f>IF(P4643="","",IF(J4643&lt;&gt;"",J4643,CuentaPred&amp;""))</f>
        <v/>
      </c>
      <c r="R4643" s="52">
        <f>IF(P4643="","",IF(ISNUMBER(I4643),I4643,TasaUSD))</f>
        <v/>
      </c>
      <c r="S4643" s="53">
        <f>IF(P4643="","",IF(H4643="USD",G4643*R4643,G4643))</f>
        <v/>
      </c>
      <c r="T4643" s="53">
        <f>IF(P4643="","",IF(H4643="USD",G4643,IF(R4643&gt;0,G4643/R4643,0)))</f>
        <v/>
      </c>
      <c r="U4643" s="53">
        <f>IF(P4643="","",IF(P4643="Gasto",S4643,IF(P4643="Reembolso",-S4643,0)))</f>
        <v/>
      </c>
      <c r="V4643" s="53">
        <f>IF(P4643="","",IF(P4643="Ingreso",S4643,0))</f>
        <v/>
      </c>
      <c r="W4643" s="53">
        <f>IF(P4643="","",IF(P4643="Resultado trading",S4643,0))</f>
        <v/>
      </c>
      <c r="X4643" s="52">
        <f>IF(OR(P4643="Gasto",P4643="Reembolso"),IF(M4643&lt;&gt;"",M4643,IFERROR(INDEX(catClasif,MATCH(D4643&amp;"|"&amp;E4643,catClave,0))&amp;"","Variable")),"")</f>
        <v/>
      </c>
      <c r="Y4643" s="52">
        <f>IF(P4643="","",IFERROR(INDEX(catGrupo,MATCH(D4643&amp;"|"&amp;E4643,catClave,0))&amp;"",""))</f>
        <v/>
      </c>
      <c r="Z4643" s="52">
        <f>IF(P4643="","",WEEKDAY(B4643,2))</f>
        <v/>
      </c>
      <c r="AA4643" s="52">
        <f>IF(P4643="","",IF(AND(P4643="Gasto",X4643="Variable",D4643&lt;&gt;catTrading,S4643&gt;0,S4643&lt;=Umbral),1,0))</f>
        <v/>
      </c>
      <c r="AB4643" s="52">
        <f>IF(OR(P4643="",Q4643=""),"",IFERROR(IF(INDEX(ctaVinc,MATCH(Q4643,ctaNombre,0))&amp;""&lt;&gt;"",INDEX(ctaVinc,MATCH(Q4643,ctaNombre,0))&amp;"",Q4643),Q4643))</f>
        <v/>
      </c>
      <c r="AC4643" s="52">
        <f>IF(OR(K4643="",AND(P4643&lt;&gt;"Transferencia",P4643&lt;&gt;"Pago tarjeta")),"",IFERROR(IF(INDEX(ctaVinc,MATCH(K4643,ctaNombre,0))&amp;""&lt;&gt;"",INDEX(ctaVinc,MATCH(K4643,ctaNombre,0))&amp;"",K4643),K4643))</f>
        <v/>
      </c>
      <c r="AD4643" s="52">
        <f>IF(AB4643="","",IFERROR(INDEX(ctaTipo,MATCH(AB4643,ctaNombre,0))&amp;"",""))</f>
        <v/>
      </c>
      <c r="AE4643" s="52">
        <f>IF(AC4643="","",IFERROR(INDEX(ctaTipo,MATCH(AC4643,ctaNombre,0))&amp;"",""))</f>
        <v/>
      </c>
      <c r="AF4643" s="53">
        <f>IF(OR(P4643="",AB4643=""),"",IF(OR(P4643="Gasto",P4643="Transferencia",P4643="Pago tarjeta"),-1,1)*IF(IFERROR(INDEX(ctaMoneda,MATCH(AB4643,ctaNombre,0))&amp;"","DOP")="USD",T4643,S4643))</f>
        <v/>
      </c>
      <c r="AG4643" s="53">
        <f>IF(AC4643="","",IF(IFERROR(INDEX(ctaMoneda,MATCH(AC4643,ctaNombre,0))&amp;"","DOP")="USD",T4643,S4643))</f>
        <v/>
      </c>
      <c r="AH4643" s="53">
        <f>IF(P4643="","",IF(AND(AD4643&lt;&gt;"",COUNTIFS(tcTipo,AD4643,tcLiq,"Sí")&gt;0),IF(OR(P4643="Gasto",P4643="Transferencia",P4643="Pago tarjeta"),-1,1)*S4643,0)+IF(AND(AE4643&lt;&gt;"",COUNTIFS(tcTipo,AE4643,tcLiq,"Sí")&gt;0),S4643,0))</f>
        <v/>
      </c>
      <c r="AI4643" s="52">
        <f>IF(OR(L4643="",P4643=""),"",IF(COUNTIFS(L$6:L4643,L4643,P$6:P4643,"?*")=1,MAX(AI$5:AI4642)+1,""))</f>
        <v/>
      </c>
    </row>
    <row r="4644">
      <c r="B4644" s="47" t="n"/>
      <c r="C4644" s="48" t="n"/>
      <c r="D4644" s="48" t="n"/>
      <c r="E4644" s="48" t="n"/>
      <c r="F4644" s="48" t="n"/>
      <c r="G4644" s="49" t="n"/>
      <c r="H4644" s="48" t="n"/>
      <c r="I4644" s="50" t="n"/>
      <c r="J4644" s="48" t="n"/>
      <c r="K4644" s="48" t="n"/>
      <c r="L4644" s="48" t="n"/>
      <c r="M4644" s="48" t="n"/>
      <c r="N4644" s="48" t="n"/>
      <c r="O4644" s="51">
        <f>IF(AND(B4644="",G4644="",C4644="",D4644="",J4644=""),"",IF(B4644="","⚠ Falta fecha",IF(G4644="","⚠ Falta monto",IF(Q4644="","⚠ Falta cuenta",IF(ISNA(MATCH(Q4644,ctaNombre,0)),"⚠ Cuenta no registrada",IF(AND(OR(P4644="Gasto",P4644="Reembolso"),D4644=""),"⚠ Falta categoría",IF(AND(D4644&lt;&gt;"",E4644&lt;&gt;"",ISNA(MATCH(D4644&amp;"|"&amp;E4644,catClave,0))),"⚠ Subcategoría no corresponde",IF(AND(OR(P4644="Transferencia",P4644="Pago tarjeta"),K4644=""),"⚠ Falta cuenta destino",IF(AND(K4644&lt;&gt;"",P4644&lt;&gt;"Transferencia",P4644&lt;&gt;"Pago tarjeta"),"⚠ Destino solo aplica a transferencias",IF(AND(K4644&lt;&gt;"",K4644=Q4644),"⚠ Origen igual a destino",IF(AND(K4644&lt;&gt;"",ISNA(MATCH(K4644,ctaNombre,0))),"⚠ Destino no registrado",IF(AND(P4644="Pago tarjeta",AE4644&lt;&gt;"Tarjeta de crédito"),"⚠ El destino debe ser tarjeta de crédito",IF(AND(P4644="Gasto",E4644="Depósitos y retiros"),"⚠ Usa tipo Transferencia",IF(AND(P4644="Resultado trading",AD4644&lt;&gt;"Cuenta de trading"),"⚠ Usa una cuenta de trading",IF(AND(G4644&lt;=0,P4644&lt;&gt;"Ajuste",P4644&lt;&gt;"Resultado trading"),"⚠ El monto debe ser positivo","✓")))))))))))))))</f>
        <v/>
      </c>
      <c r="P4644" s="52">
        <f>IF(OR(B4644="",G4644=""),"",IF(C4644="","Gasto",C4644))</f>
        <v/>
      </c>
      <c r="Q4644" s="52">
        <f>IF(P4644="","",IF(J4644&lt;&gt;"",J4644,CuentaPred&amp;""))</f>
        <v/>
      </c>
      <c r="R4644" s="52">
        <f>IF(P4644="","",IF(ISNUMBER(I4644),I4644,TasaUSD))</f>
        <v/>
      </c>
      <c r="S4644" s="53">
        <f>IF(P4644="","",IF(H4644="USD",G4644*R4644,G4644))</f>
        <v/>
      </c>
      <c r="T4644" s="53">
        <f>IF(P4644="","",IF(H4644="USD",G4644,IF(R4644&gt;0,G4644/R4644,0)))</f>
        <v/>
      </c>
      <c r="U4644" s="53">
        <f>IF(P4644="","",IF(P4644="Gasto",S4644,IF(P4644="Reembolso",-S4644,0)))</f>
        <v/>
      </c>
      <c r="V4644" s="53">
        <f>IF(P4644="","",IF(P4644="Ingreso",S4644,0))</f>
        <v/>
      </c>
      <c r="W4644" s="53">
        <f>IF(P4644="","",IF(P4644="Resultado trading",S4644,0))</f>
        <v/>
      </c>
      <c r="X4644" s="52">
        <f>IF(OR(P4644="Gasto",P4644="Reembolso"),IF(M4644&lt;&gt;"",M4644,IFERROR(INDEX(catClasif,MATCH(D4644&amp;"|"&amp;E4644,catClave,0))&amp;"","Variable")),"")</f>
        <v/>
      </c>
      <c r="Y4644" s="52">
        <f>IF(P4644="","",IFERROR(INDEX(catGrupo,MATCH(D4644&amp;"|"&amp;E4644,catClave,0))&amp;"",""))</f>
        <v/>
      </c>
      <c r="Z4644" s="52">
        <f>IF(P4644="","",WEEKDAY(B4644,2))</f>
        <v/>
      </c>
      <c r="AA4644" s="52">
        <f>IF(P4644="","",IF(AND(P4644="Gasto",X4644="Variable",D4644&lt;&gt;catTrading,S4644&gt;0,S4644&lt;=Umbral),1,0))</f>
        <v/>
      </c>
      <c r="AB4644" s="52">
        <f>IF(OR(P4644="",Q4644=""),"",IFERROR(IF(INDEX(ctaVinc,MATCH(Q4644,ctaNombre,0))&amp;""&lt;&gt;"",INDEX(ctaVinc,MATCH(Q4644,ctaNombre,0))&amp;"",Q4644),Q4644))</f>
        <v/>
      </c>
      <c r="AC4644" s="52">
        <f>IF(OR(K4644="",AND(P4644&lt;&gt;"Transferencia",P4644&lt;&gt;"Pago tarjeta")),"",IFERROR(IF(INDEX(ctaVinc,MATCH(K4644,ctaNombre,0))&amp;""&lt;&gt;"",INDEX(ctaVinc,MATCH(K4644,ctaNombre,0))&amp;"",K4644),K4644))</f>
        <v/>
      </c>
      <c r="AD4644" s="52">
        <f>IF(AB4644="","",IFERROR(INDEX(ctaTipo,MATCH(AB4644,ctaNombre,0))&amp;"",""))</f>
        <v/>
      </c>
      <c r="AE4644" s="52">
        <f>IF(AC4644="","",IFERROR(INDEX(ctaTipo,MATCH(AC4644,ctaNombre,0))&amp;"",""))</f>
        <v/>
      </c>
      <c r="AF4644" s="53">
        <f>IF(OR(P4644="",AB4644=""),"",IF(OR(P4644="Gasto",P4644="Transferencia",P4644="Pago tarjeta"),-1,1)*IF(IFERROR(INDEX(ctaMoneda,MATCH(AB4644,ctaNombre,0))&amp;"","DOP")="USD",T4644,S4644))</f>
        <v/>
      </c>
      <c r="AG4644" s="53">
        <f>IF(AC4644="","",IF(IFERROR(INDEX(ctaMoneda,MATCH(AC4644,ctaNombre,0))&amp;"","DOP")="USD",T4644,S4644))</f>
        <v/>
      </c>
      <c r="AH4644" s="53">
        <f>IF(P4644="","",IF(AND(AD4644&lt;&gt;"",COUNTIFS(tcTipo,AD4644,tcLiq,"Sí")&gt;0),IF(OR(P4644="Gasto",P4644="Transferencia",P4644="Pago tarjeta"),-1,1)*S4644,0)+IF(AND(AE4644&lt;&gt;"",COUNTIFS(tcTipo,AE4644,tcLiq,"Sí")&gt;0),S4644,0))</f>
        <v/>
      </c>
      <c r="AI4644" s="52">
        <f>IF(OR(L4644="",P4644=""),"",IF(COUNTIFS(L$6:L4644,L4644,P$6:P4644,"?*")=1,MAX(AI$5:AI4643)+1,""))</f>
        <v/>
      </c>
    </row>
    <row r="4645">
      <c r="B4645" s="47" t="n"/>
      <c r="C4645" s="48" t="n"/>
      <c r="D4645" s="48" t="n"/>
      <c r="E4645" s="48" t="n"/>
      <c r="F4645" s="48" t="n"/>
      <c r="G4645" s="49" t="n"/>
      <c r="H4645" s="48" t="n"/>
      <c r="I4645" s="50" t="n"/>
      <c r="J4645" s="48" t="n"/>
      <c r="K4645" s="48" t="n"/>
      <c r="L4645" s="48" t="n"/>
      <c r="M4645" s="48" t="n"/>
      <c r="N4645" s="48" t="n"/>
      <c r="O4645" s="51">
        <f>IF(AND(B4645="",G4645="",C4645="",D4645="",J4645=""),"",IF(B4645="","⚠ Falta fecha",IF(G4645="","⚠ Falta monto",IF(Q4645="","⚠ Falta cuenta",IF(ISNA(MATCH(Q4645,ctaNombre,0)),"⚠ Cuenta no registrada",IF(AND(OR(P4645="Gasto",P4645="Reembolso"),D4645=""),"⚠ Falta categoría",IF(AND(D4645&lt;&gt;"",E4645&lt;&gt;"",ISNA(MATCH(D4645&amp;"|"&amp;E4645,catClave,0))),"⚠ Subcategoría no corresponde",IF(AND(OR(P4645="Transferencia",P4645="Pago tarjeta"),K4645=""),"⚠ Falta cuenta destino",IF(AND(K4645&lt;&gt;"",P4645&lt;&gt;"Transferencia",P4645&lt;&gt;"Pago tarjeta"),"⚠ Destino solo aplica a transferencias",IF(AND(K4645&lt;&gt;"",K4645=Q4645),"⚠ Origen igual a destino",IF(AND(K4645&lt;&gt;"",ISNA(MATCH(K4645,ctaNombre,0))),"⚠ Destino no registrado",IF(AND(P4645="Pago tarjeta",AE4645&lt;&gt;"Tarjeta de crédito"),"⚠ El destino debe ser tarjeta de crédito",IF(AND(P4645="Gasto",E4645="Depósitos y retiros"),"⚠ Usa tipo Transferencia",IF(AND(P4645="Resultado trading",AD4645&lt;&gt;"Cuenta de trading"),"⚠ Usa una cuenta de trading",IF(AND(G4645&lt;=0,P4645&lt;&gt;"Ajuste",P4645&lt;&gt;"Resultado trading"),"⚠ El monto debe ser positivo","✓")))))))))))))))</f>
        <v/>
      </c>
      <c r="P4645" s="52">
        <f>IF(OR(B4645="",G4645=""),"",IF(C4645="","Gasto",C4645))</f>
        <v/>
      </c>
      <c r="Q4645" s="52">
        <f>IF(P4645="","",IF(J4645&lt;&gt;"",J4645,CuentaPred&amp;""))</f>
        <v/>
      </c>
      <c r="R4645" s="52">
        <f>IF(P4645="","",IF(ISNUMBER(I4645),I4645,TasaUSD))</f>
        <v/>
      </c>
      <c r="S4645" s="53">
        <f>IF(P4645="","",IF(H4645="USD",G4645*R4645,G4645))</f>
        <v/>
      </c>
      <c r="T4645" s="53">
        <f>IF(P4645="","",IF(H4645="USD",G4645,IF(R4645&gt;0,G4645/R4645,0)))</f>
        <v/>
      </c>
      <c r="U4645" s="53">
        <f>IF(P4645="","",IF(P4645="Gasto",S4645,IF(P4645="Reembolso",-S4645,0)))</f>
        <v/>
      </c>
      <c r="V4645" s="53">
        <f>IF(P4645="","",IF(P4645="Ingreso",S4645,0))</f>
        <v/>
      </c>
      <c r="W4645" s="53">
        <f>IF(P4645="","",IF(P4645="Resultado trading",S4645,0))</f>
        <v/>
      </c>
      <c r="X4645" s="52">
        <f>IF(OR(P4645="Gasto",P4645="Reembolso"),IF(M4645&lt;&gt;"",M4645,IFERROR(INDEX(catClasif,MATCH(D4645&amp;"|"&amp;E4645,catClave,0))&amp;"","Variable")),"")</f>
        <v/>
      </c>
      <c r="Y4645" s="52">
        <f>IF(P4645="","",IFERROR(INDEX(catGrupo,MATCH(D4645&amp;"|"&amp;E4645,catClave,0))&amp;"",""))</f>
        <v/>
      </c>
      <c r="Z4645" s="52">
        <f>IF(P4645="","",WEEKDAY(B4645,2))</f>
        <v/>
      </c>
      <c r="AA4645" s="52">
        <f>IF(P4645="","",IF(AND(P4645="Gasto",X4645="Variable",D4645&lt;&gt;catTrading,S4645&gt;0,S4645&lt;=Umbral),1,0))</f>
        <v/>
      </c>
      <c r="AB4645" s="52">
        <f>IF(OR(P4645="",Q4645=""),"",IFERROR(IF(INDEX(ctaVinc,MATCH(Q4645,ctaNombre,0))&amp;""&lt;&gt;"",INDEX(ctaVinc,MATCH(Q4645,ctaNombre,0))&amp;"",Q4645),Q4645))</f>
        <v/>
      </c>
      <c r="AC4645" s="52">
        <f>IF(OR(K4645="",AND(P4645&lt;&gt;"Transferencia",P4645&lt;&gt;"Pago tarjeta")),"",IFERROR(IF(INDEX(ctaVinc,MATCH(K4645,ctaNombre,0))&amp;""&lt;&gt;"",INDEX(ctaVinc,MATCH(K4645,ctaNombre,0))&amp;"",K4645),K4645))</f>
        <v/>
      </c>
      <c r="AD4645" s="52">
        <f>IF(AB4645="","",IFERROR(INDEX(ctaTipo,MATCH(AB4645,ctaNombre,0))&amp;"",""))</f>
        <v/>
      </c>
      <c r="AE4645" s="52">
        <f>IF(AC4645="","",IFERROR(INDEX(ctaTipo,MATCH(AC4645,ctaNombre,0))&amp;"",""))</f>
        <v/>
      </c>
      <c r="AF4645" s="53">
        <f>IF(OR(P4645="",AB4645=""),"",IF(OR(P4645="Gasto",P4645="Transferencia",P4645="Pago tarjeta"),-1,1)*IF(IFERROR(INDEX(ctaMoneda,MATCH(AB4645,ctaNombre,0))&amp;"","DOP")="USD",T4645,S4645))</f>
        <v/>
      </c>
      <c r="AG4645" s="53">
        <f>IF(AC4645="","",IF(IFERROR(INDEX(ctaMoneda,MATCH(AC4645,ctaNombre,0))&amp;"","DOP")="USD",T4645,S4645))</f>
        <v/>
      </c>
      <c r="AH4645" s="53">
        <f>IF(P4645="","",IF(AND(AD4645&lt;&gt;"",COUNTIFS(tcTipo,AD4645,tcLiq,"Sí")&gt;0),IF(OR(P4645="Gasto",P4645="Transferencia",P4645="Pago tarjeta"),-1,1)*S4645,0)+IF(AND(AE4645&lt;&gt;"",COUNTIFS(tcTipo,AE4645,tcLiq,"Sí")&gt;0),S4645,0))</f>
        <v/>
      </c>
      <c r="AI4645" s="52">
        <f>IF(OR(L4645="",P4645=""),"",IF(COUNTIFS(L$6:L4645,L4645,P$6:P4645,"?*")=1,MAX(AI$5:AI4644)+1,""))</f>
        <v/>
      </c>
    </row>
    <row r="4646">
      <c r="B4646" s="47" t="n"/>
      <c r="C4646" s="48" t="n"/>
      <c r="D4646" s="48" t="n"/>
      <c r="E4646" s="48" t="n"/>
      <c r="F4646" s="48" t="n"/>
      <c r="G4646" s="49" t="n"/>
      <c r="H4646" s="48" t="n"/>
      <c r="I4646" s="50" t="n"/>
      <c r="J4646" s="48" t="n"/>
      <c r="K4646" s="48" t="n"/>
      <c r="L4646" s="48" t="n"/>
      <c r="M4646" s="48" t="n"/>
      <c r="N4646" s="48" t="n"/>
      <c r="O4646" s="51">
        <f>IF(AND(B4646="",G4646="",C4646="",D4646="",J4646=""),"",IF(B4646="","⚠ Falta fecha",IF(G4646="","⚠ Falta monto",IF(Q4646="","⚠ Falta cuenta",IF(ISNA(MATCH(Q4646,ctaNombre,0)),"⚠ Cuenta no registrada",IF(AND(OR(P4646="Gasto",P4646="Reembolso"),D4646=""),"⚠ Falta categoría",IF(AND(D4646&lt;&gt;"",E4646&lt;&gt;"",ISNA(MATCH(D4646&amp;"|"&amp;E4646,catClave,0))),"⚠ Subcategoría no corresponde",IF(AND(OR(P4646="Transferencia",P4646="Pago tarjeta"),K4646=""),"⚠ Falta cuenta destino",IF(AND(K4646&lt;&gt;"",P4646&lt;&gt;"Transferencia",P4646&lt;&gt;"Pago tarjeta"),"⚠ Destino solo aplica a transferencias",IF(AND(K4646&lt;&gt;"",K4646=Q4646),"⚠ Origen igual a destino",IF(AND(K4646&lt;&gt;"",ISNA(MATCH(K4646,ctaNombre,0))),"⚠ Destino no registrado",IF(AND(P4646="Pago tarjeta",AE4646&lt;&gt;"Tarjeta de crédito"),"⚠ El destino debe ser tarjeta de crédito",IF(AND(P4646="Gasto",E4646="Depósitos y retiros"),"⚠ Usa tipo Transferencia",IF(AND(P4646="Resultado trading",AD4646&lt;&gt;"Cuenta de trading"),"⚠ Usa una cuenta de trading",IF(AND(G4646&lt;=0,P4646&lt;&gt;"Ajuste",P4646&lt;&gt;"Resultado trading"),"⚠ El monto debe ser positivo","✓")))))))))))))))</f>
        <v/>
      </c>
      <c r="P4646" s="52">
        <f>IF(OR(B4646="",G4646=""),"",IF(C4646="","Gasto",C4646))</f>
        <v/>
      </c>
      <c r="Q4646" s="52">
        <f>IF(P4646="","",IF(J4646&lt;&gt;"",J4646,CuentaPred&amp;""))</f>
        <v/>
      </c>
      <c r="R4646" s="52">
        <f>IF(P4646="","",IF(ISNUMBER(I4646),I4646,TasaUSD))</f>
        <v/>
      </c>
      <c r="S4646" s="53">
        <f>IF(P4646="","",IF(H4646="USD",G4646*R4646,G4646))</f>
        <v/>
      </c>
      <c r="T4646" s="53">
        <f>IF(P4646="","",IF(H4646="USD",G4646,IF(R4646&gt;0,G4646/R4646,0)))</f>
        <v/>
      </c>
      <c r="U4646" s="53">
        <f>IF(P4646="","",IF(P4646="Gasto",S4646,IF(P4646="Reembolso",-S4646,0)))</f>
        <v/>
      </c>
      <c r="V4646" s="53">
        <f>IF(P4646="","",IF(P4646="Ingreso",S4646,0))</f>
        <v/>
      </c>
      <c r="W4646" s="53">
        <f>IF(P4646="","",IF(P4646="Resultado trading",S4646,0))</f>
        <v/>
      </c>
      <c r="X4646" s="52">
        <f>IF(OR(P4646="Gasto",P4646="Reembolso"),IF(M4646&lt;&gt;"",M4646,IFERROR(INDEX(catClasif,MATCH(D4646&amp;"|"&amp;E4646,catClave,0))&amp;"","Variable")),"")</f>
        <v/>
      </c>
      <c r="Y4646" s="52">
        <f>IF(P4646="","",IFERROR(INDEX(catGrupo,MATCH(D4646&amp;"|"&amp;E4646,catClave,0))&amp;"",""))</f>
        <v/>
      </c>
      <c r="Z4646" s="52">
        <f>IF(P4646="","",WEEKDAY(B4646,2))</f>
        <v/>
      </c>
      <c r="AA4646" s="52">
        <f>IF(P4646="","",IF(AND(P4646="Gasto",X4646="Variable",D4646&lt;&gt;catTrading,S4646&gt;0,S4646&lt;=Umbral),1,0))</f>
        <v/>
      </c>
      <c r="AB4646" s="52">
        <f>IF(OR(P4646="",Q4646=""),"",IFERROR(IF(INDEX(ctaVinc,MATCH(Q4646,ctaNombre,0))&amp;""&lt;&gt;"",INDEX(ctaVinc,MATCH(Q4646,ctaNombre,0))&amp;"",Q4646),Q4646))</f>
        <v/>
      </c>
      <c r="AC4646" s="52">
        <f>IF(OR(K4646="",AND(P4646&lt;&gt;"Transferencia",P4646&lt;&gt;"Pago tarjeta")),"",IFERROR(IF(INDEX(ctaVinc,MATCH(K4646,ctaNombre,0))&amp;""&lt;&gt;"",INDEX(ctaVinc,MATCH(K4646,ctaNombre,0))&amp;"",K4646),K4646))</f>
        <v/>
      </c>
      <c r="AD4646" s="52">
        <f>IF(AB4646="","",IFERROR(INDEX(ctaTipo,MATCH(AB4646,ctaNombre,0))&amp;"",""))</f>
        <v/>
      </c>
      <c r="AE4646" s="52">
        <f>IF(AC4646="","",IFERROR(INDEX(ctaTipo,MATCH(AC4646,ctaNombre,0))&amp;"",""))</f>
        <v/>
      </c>
      <c r="AF4646" s="53">
        <f>IF(OR(P4646="",AB4646=""),"",IF(OR(P4646="Gasto",P4646="Transferencia",P4646="Pago tarjeta"),-1,1)*IF(IFERROR(INDEX(ctaMoneda,MATCH(AB4646,ctaNombre,0))&amp;"","DOP")="USD",T4646,S4646))</f>
        <v/>
      </c>
      <c r="AG4646" s="53">
        <f>IF(AC4646="","",IF(IFERROR(INDEX(ctaMoneda,MATCH(AC4646,ctaNombre,0))&amp;"","DOP")="USD",T4646,S4646))</f>
        <v/>
      </c>
      <c r="AH4646" s="53">
        <f>IF(P4646="","",IF(AND(AD4646&lt;&gt;"",COUNTIFS(tcTipo,AD4646,tcLiq,"Sí")&gt;0),IF(OR(P4646="Gasto",P4646="Transferencia",P4646="Pago tarjeta"),-1,1)*S4646,0)+IF(AND(AE4646&lt;&gt;"",COUNTIFS(tcTipo,AE4646,tcLiq,"Sí")&gt;0),S4646,0))</f>
        <v/>
      </c>
      <c r="AI4646" s="52">
        <f>IF(OR(L4646="",P4646=""),"",IF(COUNTIFS(L$6:L4646,L4646,P$6:P4646,"?*")=1,MAX(AI$5:AI4645)+1,""))</f>
        <v/>
      </c>
    </row>
    <row r="4647">
      <c r="B4647" s="47" t="n"/>
      <c r="C4647" s="48" t="n"/>
      <c r="D4647" s="48" t="n"/>
      <c r="E4647" s="48" t="n"/>
      <c r="F4647" s="48" t="n"/>
      <c r="G4647" s="49" t="n"/>
      <c r="H4647" s="48" t="n"/>
      <c r="I4647" s="50" t="n"/>
      <c r="J4647" s="48" t="n"/>
      <c r="K4647" s="48" t="n"/>
      <c r="L4647" s="48" t="n"/>
      <c r="M4647" s="48" t="n"/>
      <c r="N4647" s="48" t="n"/>
      <c r="O4647" s="51">
        <f>IF(AND(B4647="",G4647="",C4647="",D4647="",J4647=""),"",IF(B4647="","⚠ Falta fecha",IF(G4647="","⚠ Falta monto",IF(Q4647="","⚠ Falta cuenta",IF(ISNA(MATCH(Q4647,ctaNombre,0)),"⚠ Cuenta no registrada",IF(AND(OR(P4647="Gasto",P4647="Reembolso"),D4647=""),"⚠ Falta categoría",IF(AND(D4647&lt;&gt;"",E4647&lt;&gt;"",ISNA(MATCH(D4647&amp;"|"&amp;E4647,catClave,0))),"⚠ Subcategoría no corresponde",IF(AND(OR(P4647="Transferencia",P4647="Pago tarjeta"),K4647=""),"⚠ Falta cuenta destino",IF(AND(K4647&lt;&gt;"",P4647&lt;&gt;"Transferencia",P4647&lt;&gt;"Pago tarjeta"),"⚠ Destino solo aplica a transferencias",IF(AND(K4647&lt;&gt;"",K4647=Q4647),"⚠ Origen igual a destino",IF(AND(K4647&lt;&gt;"",ISNA(MATCH(K4647,ctaNombre,0))),"⚠ Destino no registrado",IF(AND(P4647="Pago tarjeta",AE4647&lt;&gt;"Tarjeta de crédito"),"⚠ El destino debe ser tarjeta de crédito",IF(AND(P4647="Gasto",E4647="Depósitos y retiros"),"⚠ Usa tipo Transferencia",IF(AND(P4647="Resultado trading",AD4647&lt;&gt;"Cuenta de trading"),"⚠ Usa una cuenta de trading",IF(AND(G4647&lt;=0,P4647&lt;&gt;"Ajuste",P4647&lt;&gt;"Resultado trading"),"⚠ El monto debe ser positivo","✓")))))))))))))))</f>
        <v/>
      </c>
      <c r="P4647" s="52">
        <f>IF(OR(B4647="",G4647=""),"",IF(C4647="","Gasto",C4647))</f>
        <v/>
      </c>
      <c r="Q4647" s="52">
        <f>IF(P4647="","",IF(J4647&lt;&gt;"",J4647,CuentaPred&amp;""))</f>
        <v/>
      </c>
      <c r="R4647" s="52">
        <f>IF(P4647="","",IF(ISNUMBER(I4647),I4647,TasaUSD))</f>
        <v/>
      </c>
      <c r="S4647" s="53">
        <f>IF(P4647="","",IF(H4647="USD",G4647*R4647,G4647))</f>
        <v/>
      </c>
      <c r="T4647" s="53">
        <f>IF(P4647="","",IF(H4647="USD",G4647,IF(R4647&gt;0,G4647/R4647,0)))</f>
        <v/>
      </c>
      <c r="U4647" s="53">
        <f>IF(P4647="","",IF(P4647="Gasto",S4647,IF(P4647="Reembolso",-S4647,0)))</f>
        <v/>
      </c>
      <c r="V4647" s="53">
        <f>IF(P4647="","",IF(P4647="Ingreso",S4647,0))</f>
        <v/>
      </c>
      <c r="W4647" s="53">
        <f>IF(P4647="","",IF(P4647="Resultado trading",S4647,0))</f>
        <v/>
      </c>
      <c r="X4647" s="52">
        <f>IF(OR(P4647="Gasto",P4647="Reembolso"),IF(M4647&lt;&gt;"",M4647,IFERROR(INDEX(catClasif,MATCH(D4647&amp;"|"&amp;E4647,catClave,0))&amp;"","Variable")),"")</f>
        <v/>
      </c>
      <c r="Y4647" s="52">
        <f>IF(P4647="","",IFERROR(INDEX(catGrupo,MATCH(D4647&amp;"|"&amp;E4647,catClave,0))&amp;"",""))</f>
        <v/>
      </c>
      <c r="Z4647" s="52">
        <f>IF(P4647="","",WEEKDAY(B4647,2))</f>
        <v/>
      </c>
      <c r="AA4647" s="52">
        <f>IF(P4647="","",IF(AND(P4647="Gasto",X4647="Variable",D4647&lt;&gt;catTrading,S4647&gt;0,S4647&lt;=Umbral),1,0))</f>
        <v/>
      </c>
      <c r="AB4647" s="52">
        <f>IF(OR(P4647="",Q4647=""),"",IFERROR(IF(INDEX(ctaVinc,MATCH(Q4647,ctaNombre,0))&amp;""&lt;&gt;"",INDEX(ctaVinc,MATCH(Q4647,ctaNombre,0))&amp;"",Q4647),Q4647))</f>
        <v/>
      </c>
      <c r="AC4647" s="52">
        <f>IF(OR(K4647="",AND(P4647&lt;&gt;"Transferencia",P4647&lt;&gt;"Pago tarjeta")),"",IFERROR(IF(INDEX(ctaVinc,MATCH(K4647,ctaNombre,0))&amp;""&lt;&gt;"",INDEX(ctaVinc,MATCH(K4647,ctaNombre,0))&amp;"",K4647),K4647))</f>
        <v/>
      </c>
      <c r="AD4647" s="52">
        <f>IF(AB4647="","",IFERROR(INDEX(ctaTipo,MATCH(AB4647,ctaNombre,0))&amp;"",""))</f>
        <v/>
      </c>
      <c r="AE4647" s="52">
        <f>IF(AC4647="","",IFERROR(INDEX(ctaTipo,MATCH(AC4647,ctaNombre,0))&amp;"",""))</f>
        <v/>
      </c>
      <c r="AF4647" s="53">
        <f>IF(OR(P4647="",AB4647=""),"",IF(OR(P4647="Gasto",P4647="Transferencia",P4647="Pago tarjeta"),-1,1)*IF(IFERROR(INDEX(ctaMoneda,MATCH(AB4647,ctaNombre,0))&amp;"","DOP")="USD",T4647,S4647))</f>
        <v/>
      </c>
      <c r="AG4647" s="53">
        <f>IF(AC4647="","",IF(IFERROR(INDEX(ctaMoneda,MATCH(AC4647,ctaNombre,0))&amp;"","DOP")="USD",T4647,S4647))</f>
        <v/>
      </c>
      <c r="AH4647" s="53">
        <f>IF(P4647="","",IF(AND(AD4647&lt;&gt;"",COUNTIFS(tcTipo,AD4647,tcLiq,"Sí")&gt;0),IF(OR(P4647="Gasto",P4647="Transferencia",P4647="Pago tarjeta"),-1,1)*S4647,0)+IF(AND(AE4647&lt;&gt;"",COUNTIFS(tcTipo,AE4647,tcLiq,"Sí")&gt;0),S4647,0))</f>
        <v/>
      </c>
      <c r="AI4647" s="52">
        <f>IF(OR(L4647="",P4647=""),"",IF(COUNTIFS(L$6:L4647,L4647,P$6:P4647,"?*")=1,MAX(AI$5:AI4646)+1,""))</f>
        <v/>
      </c>
    </row>
    <row r="4648">
      <c r="B4648" s="47" t="n"/>
      <c r="C4648" s="48" t="n"/>
      <c r="D4648" s="48" t="n"/>
      <c r="E4648" s="48" t="n"/>
      <c r="F4648" s="48" t="n"/>
      <c r="G4648" s="49" t="n"/>
      <c r="H4648" s="48" t="n"/>
      <c r="I4648" s="50" t="n"/>
      <c r="J4648" s="48" t="n"/>
      <c r="K4648" s="48" t="n"/>
      <c r="L4648" s="48" t="n"/>
      <c r="M4648" s="48" t="n"/>
      <c r="N4648" s="48" t="n"/>
      <c r="O4648" s="51">
        <f>IF(AND(B4648="",G4648="",C4648="",D4648="",J4648=""),"",IF(B4648="","⚠ Falta fecha",IF(G4648="","⚠ Falta monto",IF(Q4648="","⚠ Falta cuenta",IF(ISNA(MATCH(Q4648,ctaNombre,0)),"⚠ Cuenta no registrada",IF(AND(OR(P4648="Gasto",P4648="Reembolso"),D4648=""),"⚠ Falta categoría",IF(AND(D4648&lt;&gt;"",E4648&lt;&gt;"",ISNA(MATCH(D4648&amp;"|"&amp;E4648,catClave,0))),"⚠ Subcategoría no corresponde",IF(AND(OR(P4648="Transferencia",P4648="Pago tarjeta"),K4648=""),"⚠ Falta cuenta destino",IF(AND(K4648&lt;&gt;"",P4648&lt;&gt;"Transferencia",P4648&lt;&gt;"Pago tarjeta"),"⚠ Destino solo aplica a transferencias",IF(AND(K4648&lt;&gt;"",K4648=Q4648),"⚠ Origen igual a destino",IF(AND(K4648&lt;&gt;"",ISNA(MATCH(K4648,ctaNombre,0))),"⚠ Destino no registrado",IF(AND(P4648="Pago tarjeta",AE4648&lt;&gt;"Tarjeta de crédito"),"⚠ El destino debe ser tarjeta de crédito",IF(AND(P4648="Gasto",E4648="Depósitos y retiros"),"⚠ Usa tipo Transferencia",IF(AND(P4648="Resultado trading",AD4648&lt;&gt;"Cuenta de trading"),"⚠ Usa una cuenta de trading",IF(AND(G4648&lt;=0,P4648&lt;&gt;"Ajuste",P4648&lt;&gt;"Resultado trading"),"⚠ El monto debe ser positivo","✓")))))))))))))))</f>
        <v/>
      </c>
      <c r="P4648" s="52">
        <f>IF(OR(B4648="",G4648=""),"",IF(C4648="","Gasto",C4648))</f>
        <v/>
      </c>
      <c r="Q4648" s="52">
        <f>IF(P4648="","",IF(J4648&lt;&gt;"",J4648,CuentaPred&amp;""))</f>
        <v/>
      </c>
      <c r="R4648" s="52">
        <f>IF(P4648="","",IF(ISNUMBER(I4648),I4648,TasaUSD))</f>
        <v/>
      </c>
      <c r="S4648" s="53">
        <f>IF(P4648="","",IF(H4648="USD",G4648*R4648,G4648))</f>
        <v/>
      </c>
      <c r="T4648" s="53">
        <f>IF(P4648="","",IF(H4648="USD",G4648,IF(R4648&gt;0,G4648/R4648,0)))</f>
        <v/>
      </c>
      <c r="U4648" s="53">
        <f>IF(P4648="","",IF(P4648="Gasto",S4648,IF(P4648="Reembolso",-S4648,0)))</f>
        <v/>
      </c>
      <c r="V4648" s="53">
        <f>IF(P4648="","",IF(P4648="Ingreso",S4648,0))</f>
        <v/>
      </c>
      <c r="W4648" s="53">
        <f>IF(P4648="","",IF(P4648="Resultado trading",S4648,0))</f>
        <v/>
      </c>
      <c r="X4648" s="52">
        <f>IF(OR(P4648="Gasto",P4648="Reembolso"),IF(M4648&lt;&gt;"",M4648,IFERROR(INDEX(catClasif,MATCH(D4648&amp;"|"&amp;E4648,catClave,0))&amp;"","Variable")),"")</f>
        <v/>
      </c>
      <c r="Y4648" s="52">
        <f>IF(P4648="","",IFERROR(INDEX(catGrupo,MATCH(D4648&amp;"|"&amp;E4648,catClave,0))&amp;"",""))</f>
        <v/>
      </c>
      <c r="Z4648" s="52">
        <f>IF(P4648="","",WEEKDAY(B4648,2))</f>
        <v/>
      </c>
      <c r="AA4648" s="52">
        <f>IF(P4648="","",IF(AND(P4648="Gasto",X4648="Variable",D4648&lt;&gt;catTrading,S4648&gt;0,S4648&lt;=Umbral),1,0))</f>
        <v/>
      </c>
      <c r="AB4648" s="52">
        <f>IF(OR(P4648="",Q4648=""),"",IFERROR(IF(INDEX(ctaVinc,MATCH(Q4648,ctaNombre,0))&amp;""&lt;&gt;"",INDEX(ctaVinc,MATCH(Q4648,ctaNombre,0))&amp;"",Q4648),Q4648))</f>
        <v/>
      </c>
      <c r="AC4648" s="52">
        <f>IF(OR(K4648="",AND(P4648&lt;&gt;"Transferencia",P4648&lt;&gt;"Pago tarjeta")),"",IFERROR(IF(INDEX(ctaVinc,MATCH(K4648,ctaNombre,0))&amp;""&lt;&gt;"",INDEX(ctaVinc,MATCH(K4648,ctaNombre,0))&amp;"",K4648),K4648))</f>
        <v/>
      </c>
      <c r="AD4648" s="52">
        <f>IF(AB4648="","",IFERROR(INDEX(ctaTipo,MATCH(AB4648,ctaNombre,0))&amp;"",""))</f>
        <v/>
      </c>
      <c r="AE4648" s="52">
        <f>IF(AC4648="","",IFERROR(INDEX(ctaTipo,MATCH(AC4648,ctaNombre,0))&amp;"",""))</f>
        <v/>
      </c>
      <c r="AF4648" s="53">
        <f>IF(OR(P4648="",AB4648=""),"",IF(OR(P4648="Gasto",P4648="Transferencia",P4648="Pago tarjeta"),-1,1)*IF(IFERROR(INDEX(ctaMoneda,MATCH(AB4648,ctaNombre,0))&amp;"","DOP")="USD",T4648,S4648))</f>
        <v/>
      </c>
      <c r="AG4648" s="53">
        <f>IF(AC4648="","",IF(IFERROR(INDEX(ctaMoneda,MATCH(AC4648,ctaNombre,0))&amp;"","DOP")="USD",T4648,S4648))</f>
        <v/>
      </c>
      <c r="AH4648" s="53">
        <f>IF(P4648="","",IF(AND(AD4648&lt;&gt;"",COUNTIFS(tcTipo,AD4648,tcLiq,"Sí")&gt;0),IF(OR(P4648="Gasto",P4648="Transferencia",P4648="Pago tarjeta"),-1,1)*S4648,0)+IF(AND(AE4648&lt;&gt;"",COUNTIFS(tcTipo,AE4648,tcLiq,"Sí")&gt;0),S4648,0))</f>
        <v/>
      </c>
      <c r="AI4648" s="52">
        <f>IF(OR(L4648="",P4648=""),"",IF(COUNTIFS(L$6:L4648,L4648,P$6:P4648,"?*")=1,MAX(AI$5:AI4647)+1,""))</f>
        <v/>
      </c>
    </row>
    <row r="4649">
      <c r="B4649" s="47" t="n"/>
      <c r="C4649" s="48" t="n"/>
      <c r="D4649" s="48" t="n"/>
      <c r="E4649" s="48" t="n"/>
      <c r="F4649" s="48" t="n"/>
      <c r="G4649" s="49" t="n"/>
      <c r="H4649" s="48" t="n"/>
      <c r="I4649" s="50" t="n"/>
      <c r="J4649" s="48" t="n"/>
      <c r="K4649" s="48" t="n"/>
      <c r="L4649" s="48" t="n"/>
      <c r="M4649" s="48" t="n"/>
      <c r="N4649" s="48" t="n"/>
      <c r="O4649" s="51">
        <f>IF(AND(B4649="",G4649="",C4649="",D4649="",J4649=""),"",IF(B4649="","⚠ Falta fecha",IF(G4649="","⚠ Falta monto",IF(Q4649="","⚠ Falta cuenta",IF(ISNA(MATCH(Q4649,ctaNombre,0)),"⚠ Cuenta no registrada",IF(AND(OR(P4649="Gasto",P4649="Reembolso"),D4649=""),"⚠ Falta categoría",IF(AND(D4649&lt;&gt;"",E4649&lt;&gt;"",ISNA(MATCH(D4649&amp;"|"&amp;E4649,catClave,0))),"⚠ Subcategoría no corresponde",IF(AND(OR(P4649="Transferencia",P4649="Pago tarjeta"),K4649=""),"⚠ Falta cuenta destino",IF(AND(K4649&lt;&gt;"",P4649&lt;&gt;"Transferencia",P4649&lt;&gt;"Pago tarjeta"),"⚠ Destino solo aplica a transferencias",IF(AND(K4649&lt;&gt;"",K4649=Q4649),"⚠ Origen igual a destino",IF(AND(K4649&lt;&gt;"",ISNA(MATCH(K4649,ctaNombre,0))),"⚠ Destino no registrado",IF(AND(P4649="Pago tarjeta",AE4649&lt;&gt;"Tarjeta de crédito"),"⚠ El destino debe ser tarjeta de crédito",IF(AND(P4649="Gasto",E4649="Depósitos y retiros"),"⚠ Usa tipo Transferencia",IF(AND(P4649="Resultado trading",AD4649&lt;&gt;"Cuenta de trading"),"⚠ Usa una cuenta de trading",IF(AND(G4649&lt;=0,P4649&lt;&gt;"Ajuste",P4649&lt;&gt;"Resultado trading"),"⚠ El monto debe ser positivo","✓")))))))))))))))</f>
        <v/>
      </c>
      <c r="P4649" s="52">
        <f>IF(OR(B4649="",G4649=""),"",IF(C4649="","Gasto",C4649))</f>
        <v/>
      </c>
      <c r="Q4649" s="52">
        <f>IF(P4649="","",IF(J4649&lt;&gt;"",J4649,CuentaPred&amp;""))</f>
        <v/>
      </c>
      <c r="R4649" s="52">
        <f>IF(P4649="","",IF(ISNUMBER(I4649),I4649,TasaUSD))</f>
        <v/>
      </c>
      <c r="S4649" s="53">
        <f>IF(P4649="","",IF(H4649="USD",G4649*R4649,G4649))</f>
        <v/>
      </c>
      <c r="T4649" s="53">
        <f>IF(P4649="","",IF(H4649="USD",G4649,IF(R4649&gt;0,G4649/R4649,0)))</f>
        <v/>
      </c>
      <c r="U4649" s="53">
        <f>IF(P4649="","",IF(P4649="Gasto",S4649,IF(P4649="Reembolso",-S4649,0)))</f>
        <v/>
      </c>
      <c r="V4649" s="53">
        <f>IF(P4649="","",IF(P4649="Ingreso",S4649,0))</f>
        <v/>
      </c>
      <c r="W4649" s="53">
        <f>IF(P4649="","",IF(P4649="Resultado trading",S4649,0))</f>
        <v/>
      </c>
      <c r="X4649" s="52">
        <f>IF(OR(P4649="Gasto",P4649="Reembolso"),IF(M4649&lt;&gt;"",M4649,IFERROR(INDEX(catClasif,MATCH(D4649&amp;"|"&amp;E4649,catClave,0))&amp;"","Variable")),"")</f>
        <v/>
      </c>
      <c r="Y4649" s="52">
        <f>IF(P4649="","",IFERROR(INDEX(catGrupo,MATCH(D4649&amp;"|"&amp;E4649,catClave,0))&amp;"",""))</f>
        <v/>
      </c>
      <c r="Z4649" s="52">
        <f>IF(P4649="","",WEEKDAY(B4649,2))</f>
        <v/>
      </c>
      <c r="AA4649" s="52">
        <f>IF(P4649="","",IF(AND(P4649="Gasto",X4649="Variable",D4649&lt;&gt;catTrading,S4649&gt;0,S4649&lt;=Umbral),1,0))</f>
        <v/>
      </c>
      <c r="AB4649" s="52">
        <f>IF(OR(P4649="",Q4649=""),"",IFERROR(IF(INDEX(ctaVinc,MATCH(Q4649,ctaNombre,0))&amp;""&lt;&gt;"",INDEX(ctaVinc,MATCH(Q4649,ctaNombre,0))&amp;"",Q4649),Q4649))</f>
        <v/>
      </c>
      <c r="AC4649" s="52">
        <f>IF(OR(K4649="",AND(P4649&lt;&gt;"Transferencia",P4649&lt;&gt;"Pago tarjeta")),"",IFERROR(IF(INDEX(ctaVinc,MATCH(K4649,ctaNombre,0))&amp;""&lt;&gt;"",INDEX(ctaVinc,MATCH(K4649,ctaNombre,0))&amp;"",K4649),K4649))</f>
        <v/>
      </c>
      <c r="AD4649" s="52">
        <f>IF(AB4649="","",IFERROR(INDEX(ctaTipo,MATCH(AB4649,ctaNombre,0))&amp;"",""))</f>
        <v/>
      </c>
      <c r="AE4649" s="52">
        <f>IF(AC4649="","",IFERROR(INDEX(ctaTipo,MATCH(AC4649,ctaNombre,0))&amp;"",""))</f>
        <v/>
      </c>
      <c r="AF4649" s="53">
        <f>IF(OR(P4649="",AB4649=""),"",IF(OR(P4649="Gasto",P4649="Transferencia",P4649="Pago tarjeta"),-1,1)*IF(IFERROR(INDEX(ctaMoneda,MATCH(AB4649,ctaNombre,0))&amp;"","DOP")="USD",T4649,S4649))</f>
        <v/>
      </c>
      <c r="AG4649" s="53">
        <f>IF(AC4649="","",IF(IFERROR(INDEX(ctaMoneda,MATCH(AC4649,ctaNombre,0))&amp;"","DOP")="USD",T4649,S4649))</f>
        <v/>
      </c>
      <c r="AH4649" s="53">
        <f>IF(P4649="","",IF(AND(AD4649&lt;&gt;"",COUNTIFS(tcTipo,AD4649,tcLiq,"Sí")&gt;0),IF(OR(P4649="Gasto",P4649="Transferencia",P4649="Pago tarjeta"),-1,1)*S4649,0)+IF(AND(AE4649&lt;&gt;"",COUNTIFS(tcTipo,AE4649,tcLiq,"Sí")&gt;0),S4649,0))</f>
        <v/>
      </c>
      <c r="AI4649" s="52">
        <f>IF(OR(L4649="",P4649=""),"",IF(COUNTIFS(L$6:L4649,L4649,P$6:P4649,"?*")=1,MAX(AI$5:AI4648)+1,""))</f>
        <v/>
      </c>
    </row>
    <row r="4650">
      <c r="B4650" s="47" t="n"/>
      <c r="C4650" s="48" t="n"/>
      <c r="D4650" s="48" t="n"/>
      <c r="E4650" s="48" t="n"/>
      <c r="F4650" s="48" t="n"/>
      <c r="G4650" s="49" t="n"/>
      <c r="H4650" s="48" t="n"/>
      <c r="I4650" s="50" t="n"/>
      <c r="J4650" s="48" t="n"/>
      <c r="K4650" s="48" t="n"/>
      <c r="L4650" s="48" t="n"/>
      <c r="M4650" s="48" t="n"/>
      <c r="N4650" s="48" t="n"/>
      <c r="O4650" s="51">
        <f>IF(AND(B4650="",G4650="",C4650="",D4650="",J4650=""),"",IF(B4650="","⚠ Falta fecha",IF(G4650="","⚠ Falta monto",IF(Q4650="","⚠ Falta cuenta",IF(ISNA(MATCH(Q4650,ctaNombre,0)),"⚠ Cuenta no registrada",IF(AND(OR(P4650="Gasto",P4650="Reembolso"),D4650=""),"⚠ Falta categoría",IF(AND(D4650&lt;&gt;"",E4650&lt;&gt;"",ISNA(MATCH(D4650&amp;"|"&amp;E4650,catClave,0))),"⚠ Subcategoría no corresponde",IF(AND(OR(P4650="Transferencia",P4650="Pago tarjeta"),K4650=""),"⚠ Falta cuenta destino",IF(AND(K4650&lt;&gt;"",P4650&lt;&gt;"Transferencia",P4650&lt;&gt;"Pago tarjeta"),"⚠ Destino solo aplica a transferencias",IF(AND(K4650&lt;&gt;"",K4650=Q4650),"⚠ Origen igual a destino",IF(AND(K4650&lt;&gt;"",ISNA(MATCH(K4650,ctaNombre,0))),"⚠ Destino no registrado",IF(AND(P4650="Pago tarjeta",AE4650&lt;&gt;"Tarjeta de crédito"),"⚠ El destino debe ser tarjeta de crédito",IF(AND(P4650="Gasto",E4650="Depósitos y retiros"),"⚠ Usa tipo Transferencia",IF(AND(P4650="Resultado trading",AD4650&lt;&gt;"Cuenta de trading"),"⚠ Usa una cuenta de trading",IF(AND(G4650&lt;=0,P4650&lt;&gt;"Ajuste",P4650&lt;&gt;"Resultado trading"),"⚠ El monto debe ser positivo","✓")))))))))))))))</f>
        <v/>
      </c>
      <c r="P4650" s="52">
        <f>IF(OR(B4650="",G4650=""),"",IF(C4650="","Gasto",C4650))</f>
        <v/>
      </c>
      <c r="Q4650" s="52">
        <f>IF(P4650="","",IF(J4650&lt;&gt;"",J4650,CuentaPred&amp;""))</f>
        <v/>
      </c>
      <c r="R4650" s="52">
        <f>IF(P4650="","",IF(ISNUMBER(I4650),I4650,TasaUSD))</f>
        <v/>
      </c>
      <c r="S4650" s="53">
        <f>IF(P4650="","",IF(H4650="USD",G4650*R4650,G4650))</f>
        <v/>
      </c>
      <c r="T4650" s="53">
        <f>IF(P4650="","",IF(H4650="USD",G4650,IF(R4650&gt;0,G4650/R4650,0)))</f>
        <v/>
      </c>
      <c r="U4650" s="53">
        <f>IF(P4650="","",IF(P4650="Gasto",S4650,IF(P4650="Reembolso",-S4650,0)))</f>
        <v/>
      </c>
      <c r="V4650" s="53">
        <f>IF(P4650="","",IF(P4650="Ingreso",S4650,0))</f>
        <v/>
      </c>
      <c r="W4650" s="53">
        <f>IF(P4650="","",IF(P4650="Resultado trading",S4650,0))</f>
        <v/>
      </c>
      <c r="X4650" s="52">
        <f>IF(OR(P4650="Gasto",P4650="Reembolso"),IF(M4650&lt;&gt;"",M4650,IFERROR(INDEX(catClasif,MATCH(D4650&amp;"|"&amp;E4650,catClave,0))&amp;"","Variable")),"")</f>
        <v/>
      </c>
      <c r="Y4650" s="52">
        <f>IF(P4650="","",IFERROR(INDEX(catGrupo,MATCH(D4650&amp;"|"&amp;E4650,catClave,0))&amp;"",""))</f>
        <v/>
      </c>
      <c r="Z4650" s="52">
        <f>IF(P4650="","",WEEKDAY(B4650,2))</f>
        <v/>
      </c>
      <c r="AA4650" s="52">
        <f>IF(P4650="","",IF(AND(P4650="Gasto",X4650="Variable",D4650&lt;&gt;catTrading,S4650&gt;0,S4650&lt;=Umbral),1,0))</f>
        <v/>
      </c>
      <c r="AB4650" s="52">
        <f>IF(OR(P4650="",Q4650=""),"",IFERROR(IF(INDEX(ctaVinc,MATCH(Q4650,ctaNombre,0))&amp;""&lt;&gt;"",INDEX(ctaVinc,MATCH(Q4650,ctaNombre,0))&amp;"",Q4650),Q4650))</f>
        <v/>
      </c>
      <c r="AC4650" s="52">
        <f>IF(OR(K4650="",AND(P4650&lt;&gt;"Transferencia",P4650&lt;&gt;"Pago tarjeta")),"",IFERROR(IF(INDEX(ctaVinc,MATCH(K4650,ctaNombre,0))&amp;""&lt;&gt;"",INDEX(ctaVinc,MATCH(K4650,ctaNombre,0))&amp;"",K4650),K4650))</f>
        <v/>
      </c>
      <c r="AD4650" s="52">
        <f>IF(AB4650="","",IFERROR(INDEX(ctaTipo,MATCH(AB4650,ctaNombre,0))&amp;"",""))</f>
        <v/>
      </c>
      <c r="AE4650" s="52">
        <f>IF(AC4650="","",IFERROR(INDEX(ctaTipo,MATCH(AC4650,ctaNombre,0))&amp;"",""))</f>
        <v/>
      </c>
      <c r="AF4650" s="53">
        <f>IF(OR(P4650="",AB4650=""),"",IF(OR(P4650="Gasto",P4650="Transferencia",P4650="Pago tarjeta"),-1,1)*IF(IFERROR(INDEX(ctaMoneda,MATCH(AB4650,ctaNombre,0))&amp;"","DOP")="USD",T4650,S4650))</f>
        <v/>
      </c>
      <c r="AG4650" s="53">
        <f>IF(AC4650="","",IF(IFERROR(INDEX(ctaMoneda,MATCH(AC4650,ctaNombre,0))&amp;"","DOP")="USD",T4650,S4650))</f>
        <v/>
      </c>
      <c r="AH4650" s="53">
        <f>IF(P4650="","",IF(AND(AD4650&lt;&gt;"",COUNTIFS(tcTipo,AD4650,tcLiq,"Sí")&gt;0),IF(OR(P4650="Gasto",P4650="Transferencia",P4650="Pago tarjeta"),-1,1)*S4650,0)+IF(AND(AE4650&lt;&gt;"",COUNTIFS(tcTipo,AE4650,tcLiq,"Sí")&gt;0),S4650,0))</f>
        <v/>
      </c>
      <c r="AI4650" s="52">
        <f>IF(OR(L4650="",P4650=""),"",IF(COUNTIFS(L$6:L4650,L4650,P$6:P4650,"?*")=1,MAX(AI$5:AI4649)+1,""))</f>
        <v/>
      </c>
    </row>
    <row r="4651">
      <c r="B4651" s="47" t="n"/>
      <c r="C4651" s="48" t="n"/>
      <c r="D4651" s="48" t="n"/>
      <c r="E4651" s="48" t="n"/>
      <c r="F4651" s="48" t="n"/>
      <c r="G4651" s="49" t="n"/>
      <c r="H4651" s="48" t="n"/>
      <c r="I4651" s="50" t="n"/>
      <c r="J4651" s="48" t="n"/>
      <c r="K4651" s="48" t="n"/>
      <c r="L4651" s="48" t="n"/>
      <c r="M4651" s="48" t="n"/>
      <c r="N4651" s="48" t="n"/>
      <c r="O4651" s="51">
        <f>IF(AND(B4651="",G4651="",C4651="",D4651="",J4651=""),"",IF(B4651="","⚠ Falta fecha",IF(G4651="","⚠ Falta monto",IF(Q4651="","⚠ Falta cuenta",IF(ISNA(MATCH(Q4651,ctaNombre,0)),"⚠ Cuenta no registrada",IF(AND(OR(P4651="Gasto",P4651="Reembolso"),D4651=""),"⚠ Falta categoría",IF(AND(D4651&lt;&gt;"",E4651&lt;&gt;"",ISNA(MATCH(D4651&amp;"|"&amp;E4651,catClave,0))),"⚠ Subcategoría no corresponde",IF(AND(OR(P4651="Transferencia",P4651="Pago tarjeta"),K4651=""),"⚠ Falta cuenta destino",IF(AND(K4651&lt;&gt;"",P4651&lt;&gt;"Transferencia",P4651&lt;&gt;"Pago tarjeta"),"⚠ Destino solo aplica a transferencias",IF(AND(K4651&lt;&gt;"",K4651=Q4651),"⚠ Origen igual a destino",IF(AND(K4651&lt;&gt;"",ISNA(MATCH(K4651,ctaNombre,0))),"⚠ Destino no registrado",IF(AND(P4651="Pago tarjeta",AE4651&lt;&gt;"Tarjeta de crédito"),"⚠ El destino debe ser tarjeta de crédito",IF(AND(P4651="Gasto",E4651="Depósitos y retiros"),"⚠ Usa tipo Transferencia",IF(AND(P4651="Resultado trading",AD4651&lt;&gt;"Cuenta de trading"),"⚠ Usa una cuenta de trading",IF(AND(G4651&lt;=0,P4651&lt;&gt;"Ajuste",P4651&lt;&gt;"Resultado trading"),"⚠ El monto debe ser positivo","✓")))))))))))))))</f>
        <v/>
      </c>
      <c r="P4651" s="52">
        <f>IF(OR(B4651="",G4651=""),"",IF(C4651="","Gasto",C4651))</f>
        <v/>
      </c>
      <c r="Q4651" s="52">
        <f>IF(P4651="","",IF(J4651&lt;&gt;"",J4651,CuentaPred&amp;""))</f>
        <v/>
      </c>
      <c r="R4651" s="52">
        <f>IF(P4651="","",IF(ISNUMBER(I4651),I4651,TasaUSD))</f>
        <v/>
      </c>
      <c r="S4651" s="53">
        <f>IF(P4651="","",IF(H4651="USD",G4651*R4651,G4651))</f>
        <v/>
      </c>
      <c r="T4651" s="53">
        <f>IF(P4651="","",IF(H4651="USD",G4651,IF(R4651&gt;0,G4651/R4651,0)))</f>
        <v/>
      </c>
      <c r="U4651" s="53">
        <f>IF(P4651="","",IF(P4651="Gasto",S4651,IF(P4651="Reembolso",-S4651,0)))</f>
        <v/>
      </c>
      <c r="V4651" s="53">
        <f>IF(P4651="","",IF(P4651="Ingreso",S4651,0))</f>
        <v/>
      </c>
      <c r="W4651" s="53">
        <f>IF(P4651="","",IF(P4651="Resultado trading",S4651,0))</f>
        <v/>
      </c>
      <c r="X4651" s="52">
        <f>IF(OR(P4651="Gasto",P4651="Reembolso"),IF(M4651&lt;&gt;"",M4651,IFERROR(INDEX(catClasif,MATCH(D4651&amp;"|"&amp;E4651,catClave,0))&amp;"","Variable")),"")</f>
        <v/>
      </c>
      <c r="Y4651" s="52">
        <f>IF(P4651="","",IFERROR(INDEX(catGrupo,MATCH(D4651&amp;"|"&amp;E4651,catClave,0))&amp;"",""))</f>
        <v/>
      </c>
      <c r="Z4651" s="52">
        <f>IF(P4651="","",WEEKDAY(B4651,2))</f>
        <v/>
      </c>
      <c r="AA4651" s="52">
        <f>IF(P4651="","",IF(AND(P4651="Gasto",X4651="Variable",D4651&lt;&gt;catTrading,S4651&gt;0,S4651&lt;=Umbral),1,0))</f>
        <v/>
      </c>
      <c r="AB4651" s="52">
        <f>IF(OR(P4651="",Q4651=""),"",IFERROR(IF(INDEX(ctaVinc,MATCH(Q4651,ctaNombre,0))&amp;""&lt;&gt;"",INDEX(ctaVinc,MATCH(Q4651,ctaNombre,0))&amp;"",Q4651),Q4651))</f>
        <v/>
      </c>
      <c r="AC4651" s="52">
        <f>IF(OR(K4651="",AND(P4651&lt;&gt;"Transferencia",P4651&lt;&gt;"Pago tarjeta")),"",IFERROR(IF(INDEX(ctaVinc,MATCH(K4651,ctaNombre,0))&amp;""&lt;&gt;"",INDEX(ctaVinc,MATCH(K4651,ctaNombre,0))&amp;"",K4651),K4651))</f>
        <v/>
      </c>
      <c r="AD4651" s="52">
        <f>IF(AB4651="","",IFERROR(INDEX(ctaTipo,MATCH(AB4651,ctaNombre,0))&amp;"",""))</f>
        <v/>
      </c>
      <c r="AE4651" s="52">
        <f>IF(AC4651="","",IFERROR(INDEX(ctaTipo,MATCH(AC4651,ctaNombre,0))&amp;"",""))</f>
        <v/>
      </c>
      <c r="AF4651" s="53">
        <f>IF(OR(P4651="",AB4651=""),"",IF(OR(P4651="Gasto",P4651="Transferencia",P4651="Pago tarjeta"),-1,1)*IF(IFERROR(INDEX(ctaMoneda,MATCH(AB4651,ctaNombre,0))&amp;"","DOP")="USD",T4651,S4651))</f>
        <v/>
      </c>
      <c r="AG4651" s="53">
        <f>IF(AC4651="","",IF(IFERROR(INDEX(ctaMoneda,MATCH(AC4651,ctaNombre,0))&amp;"","DOP")="USD",T4651,S4651))</f>
        <v/>
      </c>
      <c r="AH4651" s="53">
        <f>IF(P4651="","",IF(AND(AD4651&lt;&gt;"",COUNTIFS(tcTipo,AD4651,tcLiq,"Sí")&gt;0),IF(OR(P4651="Gasto",P4651="Transferencia",P4651="Pago tarjeta"),-1,1)*S4651,0)+IF(AND(AE4651&lt;&gt;"",COUNTIFS(tcTipo,AE4651,tcLiq,"Sí")&gt;0),S4651,0))</f>
        <v/>
      </c>
      <c r="AI4651" s="52">
        <f>IF(OR(L4651="",P4651=""),"",IF(COUNTIFS(L$6:L4651,L4651,P$6:P4651,"?*")=1,MAX(AI$5:AI4650)+1,""))</f>
        <v/>
      </c>
    </row>
    <row r="4652">
      <c r="B4652" s="47" t="n"/>
      <c r="C4652" s="48" t="n"/>
      <c r="D4652" s="48" t="n"/>
      <c r="E4652" s="48" t="n"/>
      <c r="F4652" s="48" t="n"/>
      <c r="G4652" s="49" t="n"/>
      <c r="H4652" s="48" t="n"/>
      <c r="I4652" s="50" t="n"/>
      <c r="J4652" s="48" t="n"/>
      <c r="K4652" s="48" t="n"/>
      <c r="L4652" s="48" t="n"/>
      <c r="M4652" s="48" t="n"/>
      <c r="N4652" s="48" t="n"/>
      <c r="O4652" s="51">
        <f>IF(AND(B4652="",G4652="",C4652="",D4652="",J4652=""),"",IF(B4652="","⚠ Falta fecha",IF(G4652="","⚠ Falta monto",IF(Q4652="","⚠ Falta cuenta",IF(ISNA(MATCH(Q4652,ctaNombre,0)),"⚠ Cuenta no registrada",IF(AND(OR(P4652="Gasto",P4652="Reembolso"),D4652=""),"⚠ Falta categoría",IF(AND(D4652&lt;&gt;"",E4652&lt;&gt;"",ISNA(MATCH(D4652&amp;"|"&amp;E4652,catClave,0))),"⚠ Subcategoría no corresponde",IF(AND(OR(P4652="Transferencia",P4652="Pago tarjeta"),K4652=""),"⚠ Falta cuenta destino",IF(AND(K4652&lt;&gt;"",P4652&lt;&gt;"Transferencia",P4652&lt;&gt;"Pago tarjeta"),"⚠ Destino solo aplica a transferencias",IF(AND(K4652&lt;&gt;"",K4652=Q4652),"⚠ Origen igual a destino",IF(AND(K4652&lt;&gt;"",ISNA(MATCH(K4652,ctaNombre,0))),"⚠ Destino no registrado",IF(AND(P4652="Pago tarjeta",AE4652&lt;&gt;"Tarjeta de crédito"),"⚠ El destino debe ser tarjeta de crédito",IF(AND(P4652="Gasto",E4652="Depósitos y retiros"),"⚠ Usa tipo Transferencia",IF(AND(P4652="Resultado trading",AD4652&lt;&gt;"Cuenta de trading"),"⚠ Usa una cuenta de trading",IF(AND(G4652&lt;=0,P4652&lt;&gt;"Ajuste",P4652&lt;&gt;"Resultado trading"),"⚠ El monto debe ser positivo","✓")))))))))))))))</f>
        <v/>
      </c>
      <c r="P4652" s="52">
        <f>IF(OR(B4652="",G4652=""),"",IF(C4652="","Gasto",C4652))</f>
        <v/>
      </c>
      <c r="Q4652" s="52">
        <f>IF(P4652="","",IF(J4652&lt;&gt;"",J4652,CuentaPred&amp;""))</f>
        <v/>
      </c>
      <c r="R4652" s="52">
        <f>IF(P4652="","",IF(ISNUMBER(I4652),I4652,TasaUSD))</f>
        <v/>
      </c>
      <c r="S4652" s="53">
        <f>IF(P4652="","",IF(H4652="USD",G4652*R4652,G4652))</f>
        <v/>
      </c>
      <c r="T4652" s="53">
        <f>IF(P4652="","",IF(H4652="USD",G4652,IF(R4652&gt;0,G4652/R4652,0)))</f>
        <v/>
      </c>
      <c r="U4652" s="53">
        <f>IF(P4652="","",IF(P4652="Gasto",S4652,IF(P4652="Reembolso",-S4652,0)))</f>
        <v/>
      </c>
      <c r="V4652" s="53">
        <f>IF(P4652="","",IF(P4652="Ingreso",S4652,0))</f>
        <v/>
      </c>
      <c r="W4652" s="53">
        <f>IF(P4652="","",IF(P4652="Resultado trading",S4652,0))</f>
        <v/>
      </c>
      <c r="X4652" s="52">
        <f>IF(OR(P4652="Gasto",P4652="Reembolso"),IF(M4652&lt;&gt;"",M4652,IFERROR(INDEX(catClasif,MATCH(D4652&amp;"|"&amp;E4652,catClave,0))&amp;"","Variable")),"")</f>
        <v/>
      </c>
      <c r="Y4652" s="52">
        <f>IF(P4652="","",IFERROR(INDEX(catGrupo,MATCH(D4652&amp;"|"&amp;E4652,catClave,0))&amp;"",""))</f>
        <v/>
      </c>
      <c r="Z4652" s="52">
        <f>IF(P4652="","",WEEKDAY(B4652,2))</f>
        <v/>
      </c>
      <c r="AA4652" s="52">
        <f>IF(P4652="","",IF(AND(P4652="Gasto",X4652="Variable",D4652&lt;&gt;catTrading,S4652&gt;0,S4652&lt;=Umbral),1,0))</f>
        <v/>
      </c>
      <c r="AB4652" s="52">
        <f>IF(OR(P4652="",Q4652=""),"",IFERROR(IF(INDEX(ctaVinc,MATCH(Q4652,ctaNombre,0))&amp;""&lt;&gt;"",INDEX(ctaVinc,MATCH(Q4652,ctaNombre,0))&amp;"",Q4652),Q4652))</f>
        <v/>
      </c>
      <c r="AC4652" s="52">
        <f>IF(OR(K4652="",AND(P4652&lt;&gt;"Transferencia",P4652&lt;&gt;"Pago tarjeta")),"",IFERROR(IF(INDEX(ctaVinc,MATCH(K4652,ctaNombre,0))&amp;""&lt;&gt;"",INDEX(ctaVinc,MATCH(K4652,ctaNombre,0))&amp;"",K4652),K4652))</f>
        <v/>
      </c>
      <c r="AD4652" s="52">
        <f>IF(AB4652="","",IFERROR(INDEX(ctaTipo,MATCH(AB4652,ctaNombre,0))&amp;"",""))</f>
        <v/>
      </c>
      <c r="AE4652" s="52">
        <f>IF(AC4652="","",IFERROR(INDEX(ctaTipo,MATCH(AC4652,ctaNombre,0))&amp;"",""))</f>
        <v/>
      </c>
      <c r="AF4652" s="53">
        <f>IF(OR(P4652="",AB4652=""),"",IF(OR(P4652="Gasto",P4652="Transferencia",P4652="Pago tarjeta"),-1,1)*IF(IFERROR(INDEX(ctaMoneda,MATCH(AB4652,ctaNombre,0))&amp;"","DOP")="USD",T4652,S4652))</f>
        <v/>
      </c>
      <c r="AG4652" s="53">
        <f>IF(AC4652="","",IF(IFERROR(INDEX(ctaMoneda,MATCH(AC4652,ctaNombre,0))&amp;"","DOP")="USD",T4652,S4652))</f>
        <v/>
      </c>
      <c r="AH4652" s="53">
        <f>IF(P4652="","",IF(AND(AD4652&lt;&gt;"",COUNTIFS(tcTipo,AD4652,tcLiq,"Sí")&gt;0),IF(OR(P4652="Gasto",P4652="Transferencia",P4652="Pago tarjeta"),-1,1)*S4652,0)+IF(AND(AE4652&lt;&gt;"",COUNTIFS(tcTipo,AE4652,tcLiq,"Sí")&gt;0),S4652,0))</f>
        <v/>
      </c>
      <c r="AI4652" s="52">
        <f>IF(OR(L4652="",P4652=""),"",IF(COUNTIFS(L$6:L4652,L4652,P$6:P4652,"?*")=1,MAX(AI$5:AI4651)+1,""))</f>
        <v/>
      </c>
    </row>
    <row r="4653">
      <c r="B4653" s="47" t="n"/>
      <c r="C4653" s="48" t="n"/>
      <c r="D4653" s="48" t="n"/>
      <c r="E4653" s="48" t="n"/>
      <c r="F4653" s="48" t="n"/>
      <c r="G4653" s="49" t="n"/>
      <c r="H4653" s="48" t="n"/>
      <c r="I4653" s="50" t="n"/>
      <c r="J4653" s="48" t="n"/>
      <c r="K4653" s="48" t="n"/>
      <c r="L4653" s="48" t="n"/>
      <c r="M4653" s="48" t="n"/>
      <c r="N4653" s="48" t="n"/>
      <c r="O4653" s="51">
        <f>IF(AND(B4653="",G4653="",C4653="",D4653="",J4653=""),"",IF(B4653="","⚠ Falta fecha",IF(G4653="","⚠ Falta monto",IF(Q4653="","⚠ Falta cuenta",IF(ISNA(MATCH(Q4653,ctaNombre,0)),"⚠ Cuenta no registrada",IF(AND(OR(P4653="Gasto",P4653="Reembolso"),D4653=""),"⚠ Falta categoría",IF(AND(D4653&lt;&gt;"",E4653&lt;&gt;"",ISNA(MATCH(D4653&amp;"|"&amp;E4653,catClave,0))),"⚠ Subcategoría no corresponde",IF(AND(OR(P4653="Transferencia",P4653="Pago tarjeta"),K4653=""),"⚠ Falta cuenta destino",IF(AND(K4653&lt;&gt;"",P4653&lt;&gt;"Transferencia",P4653&lt;&gt;"Pago tarjeta"),"⚠ Destino solo aplica a transferencias",IF(AND(K4653&lt;&gt;"",K4653=Q4653),"⚠ Origen igual a destino",IF(AND(K4653&lt;&gt;"",ISNA(MATCH(K4653,ctaNombre,0))),"⚠ Destino no registrado",IF(AND(P4653="Pago tarjeta",AE4653&lt;&gt;"Tarjeta de crédito"),"⚠ El destino debe ser tarjeta de crédito",IF(AND(P4653="Gasto",E4653="Depósitos y retiros"),"⚠ Usa tipo Transferencia",IF(AND(P4653="Resultado trading",AD4653&lt;&gt;"Cuenta de trading"),"⚠ Usa una cuenta de trading",IF(AND(G4653&lt;=0,P4653&lt;&gt;"Ajuste",P4653&lt;&gt;"Resultado trading"),"⚠ El monto debe ser positivo","✓")))))))))))))))</f>
        <v/>
      </c>
      <c r="P4653" s="52">
        <f>IF(OR(B4653="",G4653=""),"",IF(C4653="","Gasto",C4653))</f>
        <v/>
      </c>
      <c r="Q4653" s="52">
        <f>IF(P4653="","",IF(J4653&lt;&gt;"",J4653,CuentaPred&amp;""))</f>
        <v/>
      </c>
      <c r="R4653" s="52">
        <f>IF(P4653="","",IF(ISNUMBER(I4653),I4653,TasaUSD))</f>
        <v/>
      </c>
      <c r="S4653" s="53">
        <f>IF(P4653="","",IF(H4653="USD",G4653*R4653,G4653))</f>
        <v/>
      </c>
      <c r="T4653" s="53">
        <f>IF(P4653="","",IF(H4653="USD",G4653,IF(R4653&gt;0,G4653/R4653,0)))</f>
        <v/>
      </c>
      <c r="U4653" s="53">
        <f>IF(P4653="","",IF(P4653="Gasto",S4653,IF(P4653="Reembolso",-S4653,0)))</f>
        <v/>
      </c>
      <c r="V4653" s="53">
        <f>IF(P4653="","",IF(P4653="Ingreso",S4653,0))</f>
        <v/>
      </c>
      <c r="W4653" s="53">
        <f>IF(P4653="","",IF(P4653="Resultado trading",S4653,0))</f>
        <v/>
      </c>
      <c r="X4653" s="52">
        <f>IF(OR(P4653="Gasto",P4653="Reembolso"),IF(M4653&lt;&gt;"",M4653,IFERROR(INDEX(catClasif,MATCH(D4653&amp;"|"&amp;E4653,catClave,0))&amp;"","Variable")),"")</f>
        <v/>
      </c>
      <c r="Y4653" s="52">
        <f>IF(P4653="","",IFERROR(INDEX(catGrupo,MATCH(D4653&amp;"|"&amp;E4653,catClave,0))&amp;"",""))</f>
        <v/>
      </c>
      <c r="Z4653" s="52">
        <f>IF(P4653="","",WEEKDAY(B4653,2))</f>
        <v/>
      </c>
      <c r="AA4653" s="52">
        <f>IF(P4653="","",IF(AND(P4653="Gasto",X4653="Variable",D4653&lt;&gt;catTrading,S4653&gt;0,S4653&lt;=Umbral),1,0))</f>
        <v/>
      </c>
      <c r="AB4653" s="52">
        <f>IF(OR(P4653="",Q4653=""),"",IFERROR(IF(INDEX(ctaVinc,MATCH(Q4653,ctaNombre,0))&amp;""&lt;&gt;"",INDEX(ctaVinc,MATCH(Q4653,ctaNombre,0))&amp;"",Q4653),Q4653))</f>
        <v/>
      </c>
      <c r="AC4653" s="52">
        <f>IF(OR(K4653="",AND(P4653&lt;&gt;"Transferencia",P4653&lt;&gt;"Pago tarjeta")),"",IFERROR(IF(INDEX(ctaVinc,MATCH(K4653,ctaNombre,0))&amp;""&lt;&gt;"",INDEX(ctaVinc,MATCH(K4653,ctaNombre,0))&amp;"",K4653),K4653))</f>
        <v/>
      </c>
      <c r="AD4653" s="52">
        <f>IF(AB4653="","",IFERROR(INDEX(ctaTipo,MATCH(AB4653,ctaNombre,0))&amp;"",""))</f>
        <v/>
      </c>
      <c r="AE4653" s="52">
        <f>IF(AC4653="","",IFERROR(INDEX(ctaTipo,MATCH(AC4653,ctaNombre,0))&amp;"",""))</f>
        <v/>
      </c>
      <c r="AF4653" s="53">
        <f>IF(OR(P4653="",AB4653=""),"",IF(OR(P4653="Gasto",P4653="Transferencia",P4653="Pago tarjeta"),-1,1)*IF(IFERROR(INDEX(ctaMoneda,MATCH(AB4653,ctaNombre,0))&amp;"","DOP")="USD",T4653,S4653))</f>
        <v/>
      </c>
      <c r="AG4653" s="53">
        <f>IF(AC4653="","",IF(IFERROR(INDEX(ctaMoneda,MATCH(AC4653,ctaNombre,0))&amp;"","DOP")="USD",T4653,S4653))</f>
        <v/>
      </c>
      <c r="AH4653" s="53">
        <f>IF(P4653="","",IF(AND(AD4653&lt;&gt;"",COUNTIFS(tcTipo,AD4653,tcLiq,"Sí")&gt;0),IF(OR(P4653="Gasto",P4653="Transferencia",P4653="Pago tarjeta"),-1,1)*S4653,0)+IF(AND(AE4653&lt;&gt;"",COUNTIFS(tcTipo,AE4653,tcLiq,"Sí")&gt;0),S4653,0))</f>
        <v/>
      </c>
      <c r="AI4653" s="52">
        <f>IF(OR(L4653="",P4653=""),"",IF(COUNTIFS(L$6:L4653,L4653,P$6:P4653,"?*")=1,MAX(AI$5:AI4652)+1,""))</f>
        <v/>
      </c>
    </row>
    <row r="4654">
      <c r="B4654" s="47" t="n"/>
      <c r="C4654" s="48" t="n"/>
      <c r="D4654" s="48" t="n"/>
      <c r="E4654" s="48" t="n"/>
      <c r="F4654" s="48" t="n"/>
      <c r="G4654" s="49" t="n"/>
      <c r="H4654" s="48" t="n"/>
      <c r="I4654" s="50" t="n"/>
      <c r="J4654" s="48" t="n"/>
      <c r="K4654" s="48" t="n"/>
      <c r="L4654" s="48" t="n"/>
      <c r="M4654" s="48" t="n"/>
      <c r="N4654" s="48" t="n"/>
      <c r="O4654" s="51">
        <f>IF(AND(B4654="",G4654="",C4654="",D4654="",J4654=""),"",IF(B4654="","⚠ Falta fecha",IF(G4654="","⚠ Falta monto",IF(Q4654="","⚠ Falta cuenta",IF(ISNA(MATCH(Q4654,ctaNombre,0)),"⚠ Cuenta no registrada",IF(AND(OR(P4654="Gasto",P4654="Reembolso"),D4654=""),"⚠ Falta categoría",IF(AND(D4654&lt;&gt;"",E4654&lt;&gt;"",ISNA(MATCH(D4654&amp;"|"&amp;E4654,catClave,0))),"⚠ Subcategoría no corresponde",IF(AND(OR(P4654="Transferencia",P4654="Pago tarjeta"),K4654=""),"⚠ Falta cuenta destino",IF(AND(K4654&lt;&gt;"",P4654&lt;&gt;"Transferencia",P4654&lt;&gt;"Pago tarjeta"),"⚠ Destino solo aplica a transferencias",IF(AND(K4654&lt;&gt;"",K4654=Q4654),"⚠ Origen igual a destino",IF(AND(K4654&lt;&gt;"",ISNA(MATCH(K4654,ctaNombre,0))),"⚠ Destino no registrado",IF(AND(P4654="Pago tarjeta",AE4654&lt;&gt;"Tarjeta de crédito"),"⚠ El destino debe ser tarjeta de crédito",IF(AND(P4654="Gasto",E4654="Depósitos y retiros"),"⚠ Usa tipo Transferencia",IF(AND(P4654="Resultado trading",AD4654&lt;&gt;"Cuenta de trading"),"⚠ Usa una cuenta de trading",IF(AND(G4654&lt;=0,P4654&lt;&gt;"Ajuste",P4654&lt;&gt;"Resultado trading"),"⚠ El monto debe ser positivo","✓")))))))))))))))</f>
        <v/>
      </c>
      <c r="P4654" s="52">
        <f>IF(OR(B4654="",G4654=""),"",IF(C4654="","Gasto",C4654))</f>
        <v/>
      </c>
      <c r="Q4654" s="52">
        <f>IF(P4654="","",IF(J4654&lt;&gt;"",J4654,CuentaPred&amp;""))</f>
        <v/>
      </c>
      <c r="R4654" s="52">
        <f>IF(P4654="","",IF(ISNUMBER(I4654),I4654,TasaUSD))</f>
        <v/>
      </c>
      <c r="S4654" s="53">
        <f>IF(P4654="","",IF(H4654="USD",G4654*R4654,G4654))</f>
        <v/>
      </c>
      <c r="T4654" s="53">
        <f>IF(P4654="","",IF(H4654="USD",G4654,IF(R4654&gt;0,G4654/R4654,0)))</f>
        <v/>
      </c>
      <c r="U4654" s="53">
        <f>IF(P4654="","",IF(P4654="Gasto",S4654,IF(P4654="Reembolso",-S4654,0)))</f>
        <v/>
      </c>
      <c r="V4654" s="53">
        <f>IF(P4654="","",IF(P4654="Ingreso",S4654,0))</f>
        <v/>
      </c>
      <c r="W4654" s="53">
        <f>IF(P4654="","",IF(P4654="Resultado trading",S4654,0))</f>
        <v/>
      </c>
      <c r="X4654" s="52">
        <f>IF(OR(P4654="Gasto",P4654="Reembolso"),IF(M4654&lt;&gt;"",M4654,IFERROR(INDEX(catClasif,MATCH(D4654&amp;"|"&amp;E4654,catClave,0))&amp;"","Variable")),"")</f>
        <v/>
      </c>
      <c r="Y4654" s="52">
        <f>IF(P4654="","",IFERROR(INDEX(catGrupo,MATCH(D4654&amp;"|"&amp;E4654,catClave,0))&amp;"",""))</f>
        <v/>
      </c>
      <c r="Z4654" s="52">
        <f>IF(P4654="","",WEEKDAY(B4654,2))</f>
        <v/>
      </c>
      <c r="AA4654" s="52">
        <f>IF(P4654="","",IF(AND(P4654="Gasto",X4654="Variable",D4654&lt;&gt;catTrading,S4654&gt;0,S4654&lt;=Umbral),1,0))</f>
        <v/>
      </c>
      <c r="AB4654" s="52">
        <f>IF(OR(P4654="",Q4654=""),"",IFERROR(IF(INDEX(ctaVinc,MATCH(Q4654,ctaNombre,0))&amp;""&lt;&gt;"",INDEX(ctaVinc,MATCH(Q4654,ctaNombre,0))&amp;"",Q4654),Q4654))</f>
        <v/>
      </c>
      <c r="AC4654" s="52">
        <f>IF(OR(K4654="",AND(P4654&lt;&gt;"Transferencia",P4654&lt;&gt;"Pago tarjeta")),"",IFERROR(IF(INDEX(ctaVinc,MATCH(K4654,ctaNombre,0))&amp;""&lt;&gt;"",INDEX(ctaVinc,MATCH(K4654,ctaNombre,0))&amp;"",K4654),K4654))</f>
        <v/>
      </c>
      <c r="AD4654" s="52">
        <f>IF(AB4654="","",IFERROR(INDEX(ctaTipo,MATCH(AB4654,ctaNombre,0))&amp;"",""))</f>
        <v/>
      </c>
      <c r="AE4654" s="52">
        <f>IF(AC4654="","",IFERROR(INDEX(ctaTipo,MATCH(AC4654,ctaNombre,0))&amp;"",""))</f>
        <v/>
      </c>
      <c r="AF4654" s="53">
        <f>IF(OR(P4654="",AB4654=""),"",IF(OR(P4654="Gasto",P4654="Transferencia",P4654="Pago tarjeta"),-1,1)*IF(IFERROR(INDEX(ctaMoneda,MATCH(AB4654,ctaNombre,0))&amp;"","DOP")="USD",T4654,S4654))</f>
        <v/>
      </c>
      <c r="AG4654" s="53">
        <f>IF(AC4654="","",IF(IFERROR(INDEX(ctaMoneda,MATCH(AC4654,ctaNombre,0))&amp;"","DOP")="USD",T4654,S4654))</f>
        <v/>
      </c>
      <c r="AH4654" s="53">
        <f>IF(P4654="","",IF(AND(AD4654&lt;&gt;"",COUNTIFS(tcTipo,AD4654,tcLiq,"Sí")&gt;0),IF(OR(P4654="Gasto",P4654="Transferencia",P4654="Pago tarjeta"),-1,1)*S4654,0)+IF(AND(AE4654&lt;&gt;"",COUNTIFS(tcTipo,AE4654,tcLiq,"Sí")&gt;0),S4654,0))</f>
        <v/>
      </c>
      <c r="AI4654" s="52">
        <f>IF(OR(L4654="",P4654=""),"",IF(COUNTIFS(L$6:L4654,L4654,P$6:P4654,"?*")=1,MAX(AI$5:AI4653)+1,""))</f>
        <v/>
      </c>
    </row>
    <row r="4655">
      <c r="B4655" s="47" t="n"/>
      <c r="C4655" s="48" t="n"/>
      <c r="D4655" s="48" t="n"/>
      <c r="E4655" s="48" t="n"/>
      <c r="F4655" s="48" t="n"/>
      <c r="G4655" s="49" t="n"/>
      <c r="H4655" s="48" t="n"/>
      <c r="I4655" s="50" t="n"/>
      <c r="J4655" s="48" t="n"/>
      <c r="K4655" s="48" t="n"/>
      <c r="L4655" s="48" t="n"/>
      <c r="M4655" s="48" t="n"/>
      <c r="N4655" s="48" t="n"/>
      <c r="O4655" s="51">
        <f>IF(AND(B4655="",G4655="",C4655="",D4655="",J4655=""),"",IF(B4655="","⚠ Falta fecha",IF(G4655="","⚠ Falta monto",IF(Q4655="","⚠ Falta cuenta",IF(ISNA(MATCH(Q4655,ctaNombre,0)),"⚠ Cuenta no registrada",IF(AND(OR(P4655="Gasto",P4655="Reembolso"),D4655=""),"⚠ Falta categoría",IF(AND(D4655&lt;&gt;"",E4655&lt;&gt;"",ISNA(MATCH(D4655&amp;"|"&amp;E4655,catClave,0))),"⚠ Subcategoría no corresponde",IF(AND(OR(P4655="Transferencia",P4655="Pago tarjeta"),K4655=""),"⚠ Falta cuenta destino",IF(AND(K4655&lt;&gt;"",P4655&lt;&gt;"Transferencia",P4655&lt;&gt;"Pago tarjeta"),"⚠ Destino solo aplica a transferencias",IF(AND(K4655&lt;&gt;"",K4655=Q4655),"⚠ Origen igual a destino",IF(AND(K4655&lt;&gt;"",ISNA(MATCH(K4655,ctaNombre,0))),"⚠ Destino no registrado",IF(AND(P4655="Pago tarjeta",AE4655&lt;&gt;"Tarjeta de crédito"),"⚠ El destino debe ser tarjeta de crédito",IF(AND(P4655="Gasto",E4655="Depósitos y retiros"),"⚠ Usa tipo Transferencia",IF(AND(P4655="Resultado trading",AD4655&lt;&gt;"Cuenta de trading"),"⚠ Usa una cuenta de trading",IF(AND(G4655&lt;=0,P4655&lt;&gt;"Ajuste",P4655&lt;&gt;"Resultado trading"),"⚠ El monto debe ser positivo","✓")))))))))))))))</f>
        <v/>
      </c>
      <c r="P4655" s="52">
        <f>IF(OR(B4655="",G4655=""),"",IF(C4655="","Gasto",C4655))</f>
        <v/>
      </c>
      <c r="Q4655" s="52">
        <f>IF(P4655="","",IF(J4655&lt;&gt;"",J4655,CuentaPred&amp;""))</f>
        <v/>
      </c>
      <c r="R4655" s="52">
        <f>IF(P4655="","",IF(ISNUMBER(I4655),I4655,TasaUSD))</f>
        <v/>
      </c>
      <c r="S4655" s="53">
        <f>IF(P4655="","",IF(H4655="USD",G4655*R4655,G4655))</f>
        <v/>
      </c>
      <c r="T4655" s="53">
        <f>IF(P4655="","",IF(H4655="USD",G4655,IF(R4655&gt;0,G4655/R4655,0)))</f>
        <v/>
      </c>
      <c r="U4655" s="53">
        <f>IF(P4655="","",IF(P4655="Gasto",S4655,IF(P4655="Reembolso",-S4655,0)))</f>
        <v/>
      </c>
      <c r="V4655" s="53">
        <f>IF(P4655="","",IF(P4655="Ingreso",S4655,0))</f>
        <v/>
      </c>
      <c r="W4655" s="53">
        <f>IF(P4655="","",IF(P4655="Resultado trading",S4655,0))</f>
        <v/>
      </c>
      <c r="X4655" s="52">
        <f>IF(OR(P4655="Gasto",P4655="Reembolso"),IF(M4655&lt;&gt;"",M4655,IFERROR(INDEX(catClasif,MATCH(D4655&amp;"|"&amp;E4655,catClave,0))&amp;"","Variable")),"")</f>
        <v/>
      </c>
      <c r="Y4655" s="52">
        <f>IF(P4655="","",IFERROR(INDEX(catGrupo,MATCH(D4655&amp;"|"&amp;E4655,catClave,0))&amp;"",""))</f>
        <v/>
      </c>
      <c r="Z4655" s="52">
        <f>IF(P4655="","",WEEKDAY(B4655,2))</f>
        <v/>
      </c>
      <c r="AA4655" s="52">
        <f>IF(P4655="","",IF(AND(P4655="Gasto",X4655="Variable",D4655&lt;&gt;catTrading,S4655&gt;0,S4655&lt;=Umbral),1,0))</f>
        <v/>
      </c>
      <c r="AB4655" s="52">
        <f>IF(OR(P4655="",Q4655=""),"",IFERROR(IF(INDEX(ctaVinc,MATCH(Q4655,ctaNombre,0))&amp;""&lt;&gt;"",INDEX(ctaVinc,MATCH(Q4655,ctaNombre,0))&amp;"",Q4655),Q4655))</f>
        <v/>
      </c>
      <c r="AC4655" s="52">
        <f>IF(OR(K4655="",AND(P4655&lt;&gt;"Transferencia",P4655&lt;&gt;"Pago tarjeta")),"",IFERROR(IF(INDEX(ctaVinc,MATCH(K4655,ctaNombre,0))&amp;""&lt;&gt;"",INDEX(ctaVinc,MATCH(K4655,ctaNombre,0))&amp;"",K4655),K4655))</f>
        <v/>
      </c>
      <c r="AD4655" s="52">
        <f>IF(AB4655="","",IFERROR(INDEX(ctaTipo,MATCH(AB4655,ctaNombre,0))&amp;"",""))</f>
        <v/>
      </c>
      <c r="AE4655" s="52">
        <f>IF(AC4655="","",IFERROR(INDEX(ctaTipo,MATCH(AC4655,ctaNombre,0))&amp;"",""))</f>
        <v/>
      </c>
      <c r="AF4655" s="53">
        <f>IF(OR(P4655="",AB4655=""),"",IF(OR(P4655="Gasto",P4655="Transferencia",P4655="Pago tarjeta"),-1,1)*IF(IFERROR(INDEX(ctaMoneda,MATCH(AB4655,ctaNombre,0))&amp;"","DOP")="USD",T4655,S4655))</f>
        <v/>
      </c>
      <c r="AG4655" s="53">
        <f>IF(AC4655="","",IF(IFERROR(INDEX(ctaMoneda,MATCH(AC4655,ctaNombre,0))&amp;"","DOP")="USD",T4655,S4655))</f>
        <v/>
      </c>
      <c r="AH4655" s="53">
        <f>IF(P4655="","",IF(AND(AD4655&lt;&gt;"",COUNTIFS(tcTipo,AD4655,tcLiq,"Sí")&gt;0),IF(OR(P4655="Gasto",P4655="Transferencia",P4655="Pago tarjeta"),-1,1)*S4655,0)+IF(AND(AE4655&lt;&gt;"",COUNTIFS(tcTipo,AE4655,tcLiq,"Sí")&gt;0),S4655,0))</f>
        <v/>
      </c>
      <c r="AI4655" s="52">
        <f>IF(OR(L4655="",P4655=""),"",IF(COUNTIFS(L$6:L4655,L4655,P$6:P4655,"?*")=1,MAX(AI$5:AI4654)+1,""))</f>
        <v/>
      </c>
    </row>
    <row r="4656">
      <c r="B4656" s="47" t="n"/>
      <c r="C4656" s="48" t="n"/>
      <c r="D4656" s="48" t="n"/>
      <c r="E4656" s="48" t="n"/>
      <c r="F4656" s="48" t="n"/>
      <c r="G4656" s="49" t="n"/>
      <c r="H4656" s="48" t="n"/>
      <c r="I4656" s="50" t="n"/>
      <c r="J4656" s="48" t="n"/>
      <c r="K4656" s="48" t="n"/>
      <c r="L4656" s="48" t="n"/>
      <c r="M4656" s="48" t="n"/>
      <c r="N4656" s="48" t="n"/>
      <c r="O4656" s="51">
        <f>IF(AND(B4656="",G4656="",C4656="",D4656="",J4656=""),"",IF(B4656="","⚠ Falta fecha",IF(G4656="","⚠ Falta monto",IF(Q4656="","⚠ Falta cuenta",IF(ISNA(MATCH(Q4656,ctaNombre,0)),"⚠ Cuenta no registrada",IF(AND(OR(P4656="Gasto",P4656="Reembolso"),D4656=""),"⚠ Falta categoría",IF(AND(D4656&lt;&gt;"",E4656&lt;&gt;"",ISNA(MATCH(D4656&amp;"|"&amp;E4656,catClave,0))),"⚠ Subcategoría no corresponde",IF(AND(OR(P4656="Transferencia",P4656="Pago tarjeta"),K4656=""),"⚠ Falta cuenta destino",IF(AND(K4656&lt;&gt;"",P4656&lt;&gt;"Transferencia",P4656&lt;&gt;"Pago tarjeta"),"⚠ Destino solo aplica a transferencias",IF(AND(K4656&lt;&gt;"",K4656=Q4656),"⚠ Origen igual a destino",IF(AND(K4656&lt;&gt;"",ISNA(MATCH(K4656,ctaNombre,0))),"⚠ Destino no registrado",IF(AND(P4656="Pago tarjeta",AE4656&lt;&gt;"Tarjeta de crédito"),"⚠ El destino debe ser tarjeta de crédito",IF(AND(P4656="Gasto",E4656="Depósitos y retiros"),"⚠ Usa tipo Transferencia",IF(AND(P4656="Resultado trading",AD4656&lt;&gt;"Cuenta de trading"),"⚠ Usa una cuenta de trading",IF(AND(G4656&lt;=0,P4656&lt;&gt;"Ajuste",P4656&lt;&gt;"Resultado trading"),"⚠ El monto debe ser positivo","✓")))))))))))))))</f>
        <v/>
      </c>
      <c r="P4656" s="52">
        <f>IF(OR(B4656="",G4656=""),"",IF(C4656="","Gasto",C4656))</f>
        <v/>
      </c>
      <c r="Q4656" s="52">
        <f>IF(P4656="","",IF(J4656&lt;&gt;"",J4656,CuentaPred&amp;""))</f>
        <v/>
      </c>
      <c r="R4656" s="52">
        <f>IF(P4656="","",IF(ISNUMBER(I4656),I4656,TasaUSD))</f>
        <v/>
      </c>
      <c r="S4656" s="53">
        <f>IF(P4656="","",IF(H4656="USD",G4656*R4656,G4656))</f>
        <v/>
      </c>
      <c r="T4656" s="53">
        <f>IF(P4656="","",IF(H4656="USD",G4656,IF(R4656&gt;0,G4656/R4656,0)))</f>
        <v/>
      </c>
      <c r="U4656" s="53">
        <f>IF(P4656="","",IF(P4656="Gasto",S4656,IF(P4656="Reembolso",-S4656,0)))</f>
        <v/>
      </c>
      <c r="V4656" s="53">
        <f>IF(P4656="","",IF(P4656="Ingreso",S4656,0))</f>
        <v/>
      </c>
      <c r="W4656" s="53">
        <f>IF(P4656="","",IF(P4656="Resultado trading",S4656,0))</f>
        <v/>
      </c>
      <c r="X4656" s="52">
        <f>IF(OR(P4656="Gasto",P4656="Reembolso"),IF(M4656&lt;&gt;"",M4656,IFERROR(INDEX(catClasif,MATCH(D4656&amp;"|"&amp;E4656,catClave,0))&amp;"","Variable")),"")</f>
        <v/>
      </c>
      <c r="Y4656" s="52">
        <f>IF(P4656="","",IFERROR(INDEX(catGrupo,MATCH(D4656&amp;"|"&amp;E4656,catClave,0))&amp;"",""))</f>
        <v/>
      </c>
      <c r="Z4656" s="52">
        <f>IF(P4656="","",WEEKDAY(B4656,2))</f>
        <v/>
      </c>
      <c r="AA4656" s="52">
        <f>IF(P4656="","",IF(AND(P4656="Gasto",X4656="Variable",D4656&lt;&gt;catTrading,S4656&gt;0,S4656&lt;=Umbral),1,0))</f>
        <v/>
      </c>
      <c r="AB4656" s="52">
        <f>IF(OR(P4656="",Q4656=""),"",IFERROR(IF(INDEX(ctaVinc,MATCH(Q4656,ctaNombre,0))&amp;""&lt;&gt;"",INDEX(ctaVinc,MATCH(Q4656,ctaNombre,0))&amp;"",Q4656),Q4656))</f>
        <v/>
      </c>
      <c r="AC4656" s="52">
        <f>IF(OR(K4656="",AND(P4656&lt;&gt;"Transferencia",P4656&lt;&gt;"Pago tarjeta")),"",IFERROR(IF(INDEX(ctaVinc,MATCH(K4656,ctaNombre,0))&amp;""&lt;&gt;"",INDEX(ctaVinc,MATCH(K4656,ctaNombre,0))&amp;"",K4656),K4656))</f>
        <v/>
      </c>
      <c r="AD4656" s="52">
        <f>IF(AB4656="","",IFERROR(INDEX(ctaTipo,MATCH(AB4656,ctaNombre,0))&amp;"",""))</f>
        <v/>
      </c>
      <c r="AE4656" s="52">
        <f>IF(AC4656="","",IFERROR(INDEX(ctaTipo,MATCH(AC4656,ctaNombre,0))&amp;"",""))</f>
        <v/>
      </c>
      <c r="AF4656" s="53">
        <f>IF(OR(P4656="",AB4656=""),"",IF(OR(P4656="Gasto",P4656="Transferencia",P4656="Pago tarjeta"),-1,1)*IF(IFERROR(INDEX(ctaMoneda,MATCH(AB4656,ctaNombre,0))&amp;"","DOP")="USD",T4656,S4656))</f>
        <v/>
      </c>
      <c r="AG4656" s="53">
        <f>IF(AC4656="","",IF(IFERROR(INDEX(ctaMoneda,MATCH(AC4656,ctaNombre,0))&amp;"","DOP")="USD",T4656,S4656))</f>
        <v/>
      </c>
      <c r="AH4656" s="53">
        <f>IF(P4656="","",IF(AND(AD4656&lt;&gt;"",COUNTIFS(tcTipo,AD4656,tcLiq,"Sí")&gt;0),IF(OR(P4656="Gasto",P4656="Transferencia",P4656="Pago tarjeta"),-1,1)*S4656,0)+IF(AND(AE4656&lt;&gt;"",COUNTIFS(tcTipo,AE4656,tcLiq,"Sí")&gt;0),S4656,0))</f>
        <v/>
      </c>
      <c r="AI4656" s="52">
        <f>IF(OR(L4656="",P4656=""),"",IF(COUNTIFS(L$6:L4656,L4656,P$6:P4656,"?*")=1,MAX(AI$5:AI4655)+1,""))</f>
        <v/>
      </c>
    </row>
    <row r="4657">
      <c r="B4657" s="47" t="n"/>
      <c r="C4657" s="48" t="n"/>
      <c r="D4657" s="48" t="n"/>
      <c r="E4657" s="48" t="n"/>
      <c r="F4657" s="48" t="n"/>
      <c r="G4657" s="49" t="n"/>
      <c r="H4657" s="48" t="n"/>
      <c r="I4657" s="50" t="n"/>
      <c r="J4657" s="48" t="n"/>
      <c r="K4657" s="48" t="n"/>
      <c r="L4657" s="48" t="n"/>
      <c r="M4657" s="48" t="n"/>
      <c r="N4657" s="48" t="n"/>
      <c r="O4657" s="51">
        <f>IF(AND(B4657="",G4657="",C4657="",D4657="",J4657=""),"",IF(B4657="","⚠ Falta fecha",IF(G4657="","⚠ Falta monto",IF(Q4657="","⚠ Falta cuenta",IF(ISNA(MATCH(Q4657,ctaNombre,0)),"⚠ Cuenta no registrada",IF(AND(OR(P4657="Gasto",P4657="Reembolso"),D4657=""),"⚠ Falta categoría",IF(AND(D4657&lt;&gt;"",E4657&lt;&gt;"",ISNA(MATCH(D4657&amp;"|"&amp;E4657,catClave,0))),"⚠ Subcategoría no corresponde",IF(AND(OR(P4657="Transferencia",P4657="Pago tarjeta"),K4657=""),"⚠ Falta cuenta destino",IF(AND(K4657&lt;&gt;"",P4657&lt;&gt;"Transferencia",P4657&lt;&gt;"Pago tarjeta"),"⚠ Destino solo aplica a transferencias",IF(AND(K4657&lt;&gt;"",K4657=Q4657),"⚠ Origen igual a destino",IF(AND(K4657&lt;&gt;"",ISNA(MATCH(K4657,ctaNombre,0))),"⚠ Destino no registrado",IF(AND(P4657="Pago tarjeta",AE4657&lt;&gt;"Tarjeta de crédito"),"⚠ El destino debe ser tarjeta de crédito",IF(AND(P4657="Gasto",E4657="Depósitos y retiros"),"⚠ Usa tipo Transferencia",IF(AND(P4657="Resultado trading",AD4657&lt;&gt;"Cuenta de trading"),"⚠ Usa una cuenta de trading",IF(AND(G4657&lt;=0,P4657&lt;&gt;"Ajuste",P4657&lt;&gt;"Resultado trading"),"⚠ El monto debe ser positivo","✓")))))))))))))))</f>
        <v/>
      </c>
      <c r="P4657" s="52">
        <f>IF(OR(B4657="",G4657=""),"",IF(C4657="","Gasto",C4657))</f>
        <v/>
      </c>
      <c r="Q4657" s="52">
        <f>IF(P4657="","",IF(J4657&lt;&gt;"",J4657,CuentaPred&amp;""))</f>
        <v/>
      </c>
      <c r="R4657" s="52">
        <f>IF(P4657="","",IF(ISNUMBER(I4657),I4657,TasaUSD))</f>
        <v/>
      </c>
      <c r="S4657" s="53">
        <f>IF(P4657="","",IF(H4657="USD",G4657*R4657,G4657))</f>
        <v/>
      </c>
      <c r="T4657" s="53">
        <f>IF(P4657="","",IF(H4657="USD",G4657,IF(R4657&gt;0,G4657/R4657,0)))</f>
        <v/>
      </c>
      <c r="U4657" s="53">
        <f>IF(P4657="","",IF(P4657="Gasto",S4657,IF(P4657="Reembolso",-S4657,0)))</f>
        <v/>
      </c>
      <c r="V4657" s="53">
        <f>IF(P4657="","",IF(P4657="Ingreso",S4657,0))</f>
        <v/>
      </c>
      <c r="W4657" s="53">
        <f>IF(P4657="","",IF(P4657="Resultado trading",S4657,0))</f>
        <v/>
      </c>
      <c r="X4657" s="52">
        <f>IF(OR(P4657="Gasto",P4657="Reembolso"),IF(M4657&lt;&gt;"",M4657,IFERROR(INDEX(catClasif,MATCH(D4657&amp;"|"&amp;E4657,catClave,0))&amp;"","Variable")),"")</f>
        <v/>
      </c>
      <c r="Y4657" s="52">
        <f>IF(P4657="","",IFERROR(INDEX(catGrupo,MATCH(D4657&amp;"|"&amp;E4657,catClave,0))&amp;"",""))</f>
        <v/>
      </c>
      <c r="Z4657" s="52">
        <f>IF(P4657="","",WEEKDAY(B4657,2))</f>
        <v/>
      </c>
      <c r="AA4657" s="52">
        <f>IF(P4657="","",IF(AND(P4657="Gasto",X4657="Variable",D4657&lt;&gt;catTrading,S4657&gt;0,S4657&lt;=Umbral),1,0))</f>
        <v/>
      </c>
      <c r="AB4657" s="52">
        <f>IF(OR(P4657="",Q4657=""),"",IFERROR(IF(INDEX(ctaVinc,MATCH(Q4657,ctaNombre,0))&amp;""&lt;&gt;"",INDEX(ctaVinc,MATCH(Q4657,ctaNombre,0))&amp;"",Q4657),Q4657))</f>
        <v/>
      </c>
      <c r="AC4657" s="52">
        <f>IF(OR(K4657="",AND(P4657&lt;&gt;"Transferencia",P4657&lt;&gt;"Pago tarjeta")),"",IFERROR(IF(INDEX(ctaVinc,MATCH(K4657,ctaNombre,0))&amp;""&lt;&gt;"",INDEX(ctaVinc,MATCH(K4657,ctaNombre,0))&amp;"",K4657),K4657))</f>
        <v/>
      </c>
      <c r="AD4657" s="52">
        <f>IF(AB4657="","",IFERROR(INDEX(ctaTipo,MATCH(AB4657,ctaNombre,0))&amp;"",""))</f>
        <v/>
      </c>
      <c r="AE4657" s="52">
        <f>IF(AC4657="","",IFERROR(INDEX(ctaTipo,MATCH(AC4657,ctaNombre,0))&amp;"",""))</f>
        <v/>
      </c>
      <c r="AF4657" s="53">
        <f>IF(OR(P4657="",AB4657=""),"",IF(OR(P4657="Gasto",P4657="Transferencia",P4657="Pago tarjeta"),-1,1)*IF(IFERROR(INDEX(ctaMoneda,MATCH(AB4657,ctaNombre,0))&amp;"","DOP")="USD",T4657,S4657))</f>
        <v/>
      </c>
      <c r="AG4657" s="53">
        <f>IF(AC4657="","",IF(IFERROR(INDEX(ctaMoneda,MATCH(AC4657,ctaNombre,0))&amp;"","DOP")="USD",T4657,S4657))</f>
        <v/>
      </c>
      <c r="AH4657" s="53">
        <f>IF(P4657="","",IF(AND(AD4657&lt;&gt;"",COUNTIFS(tcTipo,AD4657,tcLiq,"Sí")&gt;0),IF(OR(P4657="Gasto",P4657="Transferencia",P4657="Pago tarjeta"),-1,1)*S4657,0)+IF(AND(AE4657&lt;&gt;"",COUNTIFS(tcTipo,AE4657,tcLiq,"Sí")&gt;0),S4657,0))</f>
        <v/>
      </c>
      <c r="AI4657" s="52">
        <f>IF(OR(L4657="",P4657=""),"",IF(COUNTIFS(L$6:L4657,L4657,P$6:P4657,"?*")=1,MAX(AI$5:AI4656)+1,""))</f>
        <v/>
      </c>
    </row>
    <row r="4658">
      <c r="B4658" s="47" t="n"/>
      <c r="C4658" s="48" t="n"/>
      <c r="D4658" s="48" t="n"/>
      <c r="E4658" s="48" t="n"/>
      <c r="F4658" s="48" t="n"/>
      <c r="G4658" s="49" t="n"/>
      <c r="H4658" s="48" t="n"/>
      <c r="I4658" s="50" t="n"/>
      <c r="J4658" s="48" t="n"/>
      <c r="K4658" s="48" t="n"/>
      <c r="L4658" s="48" t="n"/>
      <c r="M4658" s="48" t="n"/>
      <c r="N4658" s="48" t="n"/>
      <c r="O4658" s="51">
        <f>IF(AND(B4658="",G4658="",C4658="",D4658="",J4658=""),"",IF(B4658="","⚠ Falta fecha",IF(G4658="","⚠ Falta monto",IF(Q4658="","⚠ Falta cuenta",IF(ISNA(MATCH(Q4658,ctaNombre,0)),"⚠ Cuenta no registrada",IF(AND(OR(P4658="Gasto",P4658="Reembolso"),D4658=""),"⚠ Falta categoría",IF(AND(D4658&lt;&gt;"",E4658&lt;&gt;"",ISNA(MATCH(D4658&amp;"|"&amp;E4658,catClave,0))),"⚠ Subcategoría no corresponde",IF(AND(OR(P4658="Transferencia",P4658="Pago tarjeta"),K4658=""),"⚠ Falta cuenta destino",IF(AND(K4658&lt;&gt;"",P4658&lt;&gt;"Transferencia",P4658&lt;&gt;"Pago tarjeta"),"⚠ Destino solo aplica a transferencias",IF(AND(K4658&lt;&gt;"",K4658=Q4658),"⚠ Origen igual a destino",IF(AND(K4658&lt;&gt;"",ISNA(MATCH(K4658,ctaNombre,0))),"⚠ Destino no registrado",IF(AND(P4658="Pago tarjeta",AE4658&lt;&gt;"Tarjeta de crédito"),"⚠ El destino debe ser tarjeta de crédito",IF(AND(P4658="Gasto",E4658="Depósitos y retiros"),"⚠ Usa tipo Transferencia",IF(AND(P4658="Resultado trading",AD4658&lt;&gt;"Cuenta de trading"),"⚠ Usa una cuenta de trading",IF(AND(G4658&lt;=0,P4658&lt;&gt;"Ajuste",P4658&lt;&gt;"Resultado trading"),"⚠ El monto debe ser positivo","✓")))))))))))))))</f>
        <v/>
      </c>
      <c r="P4658" s="52">
        <f>IF(OR(B4658="",G4658=""),"",IF(C4658="","Gasto",C4658))</f>
        <v/>
      </c>
      <c r="Q4658" s="52">
        <f>IF(P4658="","",IF(J4658&lt;&gt;"",J4658,CuentaPred&amp;""))</f>
        <v/>
      </c>
      <c r="R4658" s="52">
        <f>IF(P4658="","",IF(ISNUMBER(I4658),I4658,TasaUSD))</f>
        <v/>
      </c>
      <c r="S4658" s="53">
        <f>IF(P4658="","",IF(H4658="USD",G4658*R4658,G4658))</f>
        <v/>
      </c>
      <c r="T4658" s="53">
        <f>IF(P4658="","",IF(H4658="USD",G4658,IF(R4658&gt;0,G4658/R4658,0)))</f>
        <v/>
      </c>
      <c r="U4658" s="53">
        <f>IF(P4658="","",IF(P4658="Gasto",S4658,IF(P4658="Reembolso",-S4658,0)))</f>
        <v/>
      </c>
      <c r="V4658" s="53">
        <f>IF(P4658="","",IF(P4658="Ingreso",S4658,0))</f>
        <v/>
      </c>
      <c r="W4658" s="53">
        <f>IF(P4658="","",IF(P4658="Resultado trading",S4658,0))</f>
        <v/>
      </c>
      <c r="X4658" s="52">
        <f>IF(OR(P4658="Gasto",P4658="Reembolso"),IF(M4658&lt;&gt;"",M4658,IFERROR(INDEX(catClasif,MATCH(D4658&amp;"|"&amp;E4658,catClave,0))&amp;"","Variable")),"")</f>
        <v/>
      </c>
      <c r="Y4658" s="52">
        <f>IF(P4658="","",IFERROR(INDEX(catGrupo,MATCH(D4658&amp;"|"&amp;E4658,catClave,0))&amp;"",""))</f>
        <v/>
      </c>
      <c r="Z4658" s="52">
        <f>IF(P4658="","",WEEKDAY(B4658,2))</f>
        <v/>
      </c>
      <c r="AA4658" s="52">
        <f>IF(P4658="","",IF(AND(P4658="Gasto",X4658="Variable",D4658&lt;&gt;catTrading,S4658&gt;0,S4658&lt;=Umbral),1,0))</f>
        <v/>
      </c>
      <c r="AB4658" s="52">
        <f>IF(OR(P4658="",Q4658=""),"",IFERROR(IF(INDEX(ctaVinc,MATCH(Q4658,ctaNombre,0))&amp;""&lt;&gt;"",INDEX(ctaVinc,MATCH(Q4658,ctaNombre,0))&amp;"",Q4658),Q4658))</f>
        <v/>
      </c>
      <c r="AC4658" s="52">
        <f>IF(OR(K4658="",AND(P4658&lt;&gt;"Transferencia",P4658&lt;&gt;"Pago tarjeta")),"",IFERROR(IF(INDEX(ctaVinc,MATCH(K4658,ctaNombre,0))&amp;""&lt;&gt;"",INDEX(ctaVinc,MATCH(K4658,ctaNombre,0))&amp;"",K4658),K4658))</f>
        <v/>
      </c>
      <c r="AD4658" s="52">
        <f>IF(AB4658="","",IFERROR(INDEX(ctaTipo,MATCH(AB4658,ctaNombre,0))&amp;"",""))</f>
        <v/>
      </c>
      <c r="AE4658" s="52">
        <f>IF(AC4658="","",IFERROR(INDEX(ctaTipo,MATCH(AC4658,ctaNombre,0))&amp;"",""))</f>
        <v/>
      </c>
      <c r="AF4658" s="53">
        <f>IF(OR(P4658="",AB4658=""),"",IF(OR(P4658="Gasto",P4658="Transferencia",P4658="Pago tarjeta"),-1,1)*IF(IFERROR(INDEX(ctaMoneda,MATCH(AB4658,ctaNombre,0))&amp;"","DOP")="USD",T4658,S4658))</f>
        <v/>
      </c>
      <c r="AG4658" s="53">
        <f>IF(AC4658="","",IF(IFERROR(INDEX(ctaMoneda,MATCH(AC4658,ctaNombre,0))&amp;"","DOP")="USD",T4658,S4658))</f>
        <v/>
      </c>
      <c r="AH4658" s="53">
        <f>IF(P4658="","",IF(AND(AD4658&lt;&gt;"",COUNTIFS(tcTipo,AD4658,tcLiq,"Sí")&gt;0),IF(OR(P4658="Gasto",P4658="Transferencia",P4658="Pago tarjeta"),-1,1)*S4658,0)+IF(AND(AE4658&lt;&gt;"",COUNTIFS(tcTipo,AE4658,tcLiq,"Sí")&gt;0),S4658,0))</f>
        <v/>
      </c>
      <c r="AI4658" s="52">
        <f>IF(OR(L4658="",P4658=""),"",IF(COUNTIFS(L$6:L4658,L4658,P$6:P4658,"?*")=1,MAX(AI$5:AI4657)+1,""))</f>
        <v/>
      </c>
    </row>
    <row r="4659">
      <c r="B4659" s="47" t="n"/>
      <c r="C4659" s="48" t="n"/>
      <c r="D4659" s="48" t="n"/>
      <c r="E4659" s="48" t="n"/>
      <c r="F4659" s="48" t="n"/>
      <c r="G4659" s="49" t="n"/>
      <c r="H4659" s="48" t="n"/>
      <c r="I4659" s="50" t="n"/>
      <c r="J4659" s="48" t="n"/>
      <c r="K4659" s="48" t="n"/>
      <c r="L4659" s="48" t="n"/>
      <c r="M4659" s="48" t="n"/>
      <c r="N4659" s="48" t="n"/>
      <c r="O4659" s="51">
        <f>IF(AND(B4659="",G4659="",C4659="",D4659="",J4659=""),"",IF(B4659="","⚠ Falta fecha",IF(G4659="","⚠ Falta monto",IF(Q4659="","⚠ Falta cuenta",IF(ISNA(MATCH(Q4659,ctaNombre,0)),"⚠ Cuenta no registrada",IF(AND(OR(P4659="Gasto",P4659="Reembolso"),D4659=""),"⚠ Falta categoría",IF(AND(D4659&lt;&gt;"",E4659&lt;&gt;"",ISNA(MATCH(D4659&amp;"|"&amp;E4659,catClave,0))),"⚠ Subcategoría no corresponde",IF(AND(OR(P4659="Transferencia",P4659="Pago tarjeta"),K4659=""),"⚠ Falta cuenta destino",IF(AND(K4659&lt;&gt;"",P4659&lt;&gt;"Transferencia",P4659&lt;&gt;"Pago tarjeta"),"⚠ Destino solo aplica a transferencias",IF(AND(K4659&lt;&gt;"",K4659=Q4659),"⚠ Origen igual a destino",IF(AND(K4659&lt;&gt;"",ISNA(MATCH(K4659,ctaNombre,0))),"⚠ Destino no registrado",IF(AND(P4659="Pago tarjeta",AE4659&lt;&gt;"Tarjeta de crédito"),"⚠ El destino debe ser tarjeta de crédito",IF(AND(P4659="Gasto",E4659="Depósitos y retiros"),"⚠ Usa tipo Transferencia",IF(AND(P4659="Resultado trading",AD4659&lt;&gt;"Cuenta de trading"),"⚠ Usa una cuenta de trading",IF(AND(G4659&lt;=0,P4659&lt;&gt;"Ajuste",P4659&lt;&gt;"Resultado trading"),"⚠ El monto debe ser positivo","✓")))))))))))))))</f>
        <v/>
      </c>
      <c r="P4659" s="52">
        <f>IF(OR(B4659="",G4659=""),"",IF(C4659="","Gasto",C4659))</f>
        <v/>
      </c>
      <c r="Q4659" s="52">
        <f>IF(P4659="","",IF(J4659&lt;&gt;"",J4659,CuentaPred&amp;""))</f>
        <v/>
      </c>
      <c r="R4659" s="52">
        <f>IF(P4659="","",IF(ISNUMBER(I4659),I4659,TasaUSD))</f>
        <v/>
      </c>
      <c r="S4659" s="53">
        <f>IF(P4659="","",IF(H4659="USD",G4659*R4659,G4659))</f>
        <v/>
      </c>
      <c r="T4659" s="53">
        <f>IF(P4659="","",IF(H4659="USD",G4659,IF(R4659&gt;0,G4659/R4659,0)))</f>
        <v/>
      </c>
      <c r="U4659" s="53">
        <f>IF(P4659="","",IF(P4659="Gasto",S4659,IF(P4659="Reembolso",-S4659,0)))</f>
        <v/>
      </c>
      <c r="V4659" s="53">
        <f>IF(P4659="","",IF(P4659="Ingreso",S4659,0))</f>
        <v/>
      </c>
      <c r="W4659" s="53">
        <f>IF(P4659="","",IF(P4659="Resultado trading",S4659,0))</f>
        <v/>
      </c>
      <c r="X4659" s="52">
        <f>IF(OR(P4659="Gasto",P4659="Reembolso"),IF(M4659&lt;&gt;"",M4659,IFERROR(INDEX(catClasif,MATCH(D4659&amp;"|"&amp;E4659,catClave,0))&amp;"","Variable")),"")</f>
        <v/>
      </c>
      <c r="Y4659" s="52">
        <f>IF(P4659="","",IFERROR(INDEX(catGrupo,MATCH(D4659&amp;"|"&amp;E4659,catClave,0))&amp;"",""))</f>
        <v/>
      </c>
      <c r="Z4659" s="52">
        <f>IF(P4659="","",WEEKDAY(B4659,2))</f>
        <v/>
      </c>
      <c r="AA4659" s="52">
        <f>IF(P4659="","",IF(AND(P4659="Gasto",X4659="Variable",D4659&lt;&gt;catTrading,S4659&gt;0,S4659&lt;=Umbral),1,0))</f>
        <v/>
      </c>
      <c r="AB4659" s="52">
        <f>IF(OR(P4659="",Q4659=""),"",IFERROR(IF(INDEX(ctaVinc,MATCH(Q4659,ctaNombre,0))&amp;""&lt;&gt;"",INDEX(ctaVinc,MATCH(Q4659,ctaNombre,0))&amp;"",Q4659),Q4659))</f>
        <v/>
      </c>
      <c r="AC4659" s="52">
        <f>IF(OR(K4659="",AND(P4659&lt;&gt;"Transferencia",P4659&lt;&gt;"Pago tarjeta")),"",IFERROR(IF(INDEX(ctaVinc,MATCH(K4659,ctaNombre,0))&amp;""&lt;&gt;"",INDEX(ctaVinc,MATCH(K4659,ctaNombre,0))&amp;"",K4659),K4659))</f>
        <v/>
      </c>
      <c r="AD4659" s="52">
        <f>IF(AB4659="","",IFERROR(INDEX(ctaTipo,MATCH(AB4659,ctaNombre,0))&amp;"",""))</f>
        <v/>
      </c>
      <c r="AE4659" s="52">
        <f>IF(AC4659="","",IFERROR(INDEX(ctaTipo,MATCH(AC4659,ctaNombre,0))&amp;"",""))</f>
        <v/>
      </c>
      <c r="AF4659" s="53">
        <f>IF(OR(P4659="",AB4659=""),"",IF(OR(P4659="Gasto",P4659="Transferencia",P4659="Pago tarjeta"),-1,1)*IF(IFERROR(INDEX(ctaMoneda,MATCH(AB4659,ctaNombre,0))&amp;"","DOP")="USD",T4659,S4659))</f>
        <v/>
      </c>
      <c r="AG4659" s="53">
        <f>IF(AC4659="","",IF(IFERROR(INDEX(ctaMoneda,MATCH(AC4659,ctaNombre,0))&amp;"","DOP")="USD",T4659,S4659))</f>
        <v/>
      </c>
      <c r="AH4659" s="53">
        <f>IF(P4659="","",IF(AND(AD4659&lt;&gt;"",COUNTIFS(tcTipo,AD4659,tcLiq,"Sí")&gt;0),IF(OR(P4659="Gasto",P4659="Transferencia",P4659="Pago tarjeta"),-1,1)*S4659,0)+IF(AND(AE4659&lt;&gt;"",COUNTIFS(tcTipo,AE4659,tcLiq,"Sí")&gt;0),S4659,0))</f>
        <v/>
      </c>
      <c r="AI4659" s="52">
        <f>IF(OR(L4659="",P4659=""),"",IF(COUNTIFS(L$6:L4659,L4659,P$6:P4659,"?*")=1,MAX(AI$5:AI4658)+1,""))</f>
        <v/>
      </c>
    </row>
    <row r="4660">
      <c r="B4660" s="47" t="n"/>
      <c r="C4660" s="48" t="n"/>
      <c r="D4660" s="48" t="n"/>
      <c r="E4660" s="48" t="n"/>
      <c r="F4660" s="48" t="n"/>
      <c r="G4660" s="49" t="n"/>
      <c r="H4660" s="48" t="n"/>
      <c r="I4660" s="50" t="n"/>
      <c r="J4660" s="48" t="n"/>
      <c r="K4660" s="48" t="n"/>
      <c r="L4660" s="48" t="n"/>
      <c r="M4660" s="48" t="n"/>
      <c r="N4660" s="48" t="n"/>
      <c r="O4660" s="51">
        <f>IF(AND(B4660="",G4660="",C4660="",D4660="",J4660=""),"",IF(B4660="","⚠ Falta fecha",IF(G4660="","⚠ Falta monto",IF(Q4660="","⚠ Falta cuenta",IF(ISNA(MATCH(Q4660,ctaNombre,0)),"⚠ Cuenta no registrada",IF(AND(OR(P4660="Gasto",P4660="Reembolso"),D4660=""),"⚠ Falta categoría",IF(AND(D4660&lt;&gt;"",E4660&lt;&gt;"",ISNA(MATCH(D4660&amp;"|"&amp;E4660,catClave,0))),"⚠ Subcategoría no corresponde",IF(AND(OR(P4660="Transferencia",P4660="Pago tarjeta"),K4660=""),"⚠ Falta cuenta destino",IF(AND(K4660&lt;&gt;"",P4660&lt;&gt;"Transferencia",P4660&lt;&gt;"Pago tarjeta"),"⚠ Destino solo aplica a transferencias",IF(AND(K4660&lt;&gt;"",K4660=Q4660),"⚠ Origen igual a destino",IF(AND(K4660&lt;&gt;"",ISNA(MATCH(K4660,ctaNombre,0))),"⚠ Destino no registrado",IF(AND(P4660="Pago tarjeta",AE4660&lt;&gt;"Tarjeta de crédito"),"⚠ El destino debe ser tarjeta de crédito",IF(AND(P4660="Gasto",E4660="Depósitos y retiros"),"⚠ Usa tipo Transferencia",IF(AND(P4660="Resultado trading",AD4660&lt;&gt;"Cuenta de trading"),"⚠ Usa una cuenta de trading",IF(AND(G4660&lt;=0,P4660&lt;&gt;"Ajuste",P4660&lt;&gt;"Resultado trading"),"⚠ El monto debe ser positivo","✓")))))))))))))))</f>
        <v/>
      </c>
      <c r="P4660" s="52">
        <f>IF(OR(B4660="",G4660=""),"",IF(C4660="","Gasto",C4660))</f>
        <v/>
      </c>
      <c r="Q4660" s="52">
        <f>IF(P4660="","",IF(J4660&lt;&gt;"",J4660,CuentaPred&amp;""))</f>
        <v/>
      </c>
      <c r="R4660" s="52">
        <f>IF(P4660="","",IF(ISNUMBER(I4660),I4660,TasaUSD))</f>
        <v/>
      </c>
      <c r="S4660" s="53">
        <f>IF(P4660="","",IF(H4660="USD",G4660*R4660,G4660))</f>
        <v/>
      </c>
      <c r="T4660" s="53">
        <f>IF(P4660="","",IF(H4660="USD",G4660,IF(R4660&gt;0,G4660/R4660,0)))</f>
        <v/>
      </c>
      <c r="U4660" s="53">
        <f>IF(P4660="","",IF(P4660="Gasto",S4660,IF(P4660="Reembolso",-S4660,0)))</f>
        <v/>
      </c>
      <c r="V4660" s="53">
        <f>IF(P4660="","",IF(P4660="Ingreso",S4660,0))</f>
        <v/>
      </c>
      <c r="W4660" s="53">
        <f>IF(P4660="","",IF(P4660="Resultado trading",S4660,0))</f>
        <v/>
      </c>
      <c r="X4660" s="52">
        <f>IF(OR(P4660="Gasto",P4660="Reembolso"),IF(M4660&lt;&gt;"",M4660,IFERROR(INDEX(catClasif,MATCH(D4660&amp;"|"&amp;E4660,catClave,0))&amp;"","Variable")),"")</f>
        <v/>
      </c>
      <c r="Y4660" s="52">
        <f>IF(P4660="","",IFERROR(INDEX(catGrupo,MATCH(D4660&amp;"|"&amp;E4660,catClave,0))&amp;"",""))</f>
        <v/>
      </c>
      <c r="Z4660" s="52">
        <f>IF(P4660="","",WEEKDAY(B4660,2))</f>
        <v/>
      </c>
      <c r="AA4660" s="52">
        <f>IF(P4660="","",IF(AND(P4660="Gasto",X4660="Variable",D4660&lt;&gt;catTrading,S4660&gt;0,S4660&lt;=Umbral),1,0))</f>
        <v/>
      </c>
      <c r="AB4660" s="52">
        <f>IF(OR(P4660="",Q4660=""),"",IFERROR(IF(INDEX(ctaVinc,MATCH(Q4660,ctaNombre,0))&amp;""&lt;&gt;"",INDEX(ctaVinc,MATCH(Q4660,ctaNombre,0))&amp;"",Q4660),Q4660))</f>
        <v/>
      </c>
      <c r="AC4660" s="52">
        <f>IF(OR(K4660="",AND(P4660&lt;&gt;"Transferencia",P4660&lt;&gt;"Pago tarjeta")),"",IFERROR(IF(INDEX(ctaVinc,MATCH(K4660,ctaNombre,0))&amp;""&lt;&gt;"",INDEX(ctaVinc,MATCH(K4660,ctaNombre,0))&amp;"",K4660),K4660))</f>
        <v/>
      </c>
      <c r="AD4660" s="52">
        <f>IF(AB4660="","",IFERROR(INDEX(ctaTipo,MATCH(AB4660,ctaNombre,0))&amp;"",""))</f>
        <v/>
      </c>
      <c r="AE4660" s="52">
        <f>IF(AC4660="","",IFERROR(INDEX(ctaTipo,MATCH(AC4660,ctaNombre,0))&amp;"",""))</f>
        <v/>
      </c>
      <c r="AF4660" s="53">
        <f>IF(OR(P4660="",AB4660=""),"",IF(OR(P4660="Gasto",P4660="Transferencia",P4660="Pago tarjeta"),-1,1)*IF(IFERROR(INDEX(ctaMoneda,MATCH(AB4660,ctaNombre,0))&amp;"","DOP")="USD",T4660,S4660))</f>
        <v/>
      </c>
      <c r="AG4660" s="53">
        <f>IF(AC4660="","",IF(IFERROR(INDEX(ctaMoneda,MATCH(AC4660,ctaNombre,0))&amp;"","DOP")="USD",T4660,S4660))</f>
        <v/>
      </c>
      <c r="AH4660" s="53">
        <f>IF(P4660="","",IF(AND(AD4660&lt;&gt;"",COUNTIFS(tcTipo,AD4660,tcLiq,"Sí")&gt;0),IF(OR(P4660="Gasto",P4660="Transferencia",P4660="Pago tarjeta"),-1,1)*S4660,0)+IF(AND(AE4660&lt;&gt;"",COUNTIFS(tcTipo,AE4660,tcLiq,"Sí")&gt;0),S4660,0))</f>
        <v/>
      </c>
      <c r="AI4660" s="52">
        <f>IF(OR(L4660="",P4660=""),"",IF(COUNTIFS(L$6:L4660,L4660,P$6:P4660,"?*")=1,MAX(AI$5:AI4659)+1,""))</f>
        <v/>
      </c>
    </row>
    <row r="4661">
      <c r="B4661" s="47" t="n"/>
      <c r="C4661" s="48" t="n"/>
      <c r="D4661" s="48" t="n"/>
      <c r="E4661" s="48" t="n"/>
      <c r="F4661" s="48" t="n"/>
      <c r="G4661" s="49" t="n"/>
      <c r="H4661" s="48" t="n"/>
      <c r="I4661" s="50" t="n"/>
      <c r="J4661" s="48" t="n"/>
      <c r="K4661" s="48" t="n"/>
      <c r="L4661" s="48" t="n"/>
      <c r="M4661" s="48" t="n"/>
      <c r="N4661" s="48" t="n"/>
      <c r="O4661" s="51">
        <f>IF(AND(B4661="",G4661="",C4661="",D4661="",J4661=""),"",IF(B4661="","⚠ Falta fecha",IF(G4661="","⚠ Falta monto",IF(Q4661="","⚠ Falta cuenta",IF(ISNA(MATCH(Q4661,ctaNombre,0)),"⚠ Cuenta no registrada",IF(AND(OR(P4661="Gasto",P4661="Reembolso"),D4661=""),"⚠ Falta categoría",IF(AND(D4661&lt;&gt;"",E4661&lt;&gt;"",ISNA(MATCH(D4661&amp;"|"&amp;E4661,catClave,0))),"⚠ Subcategoría no corresponde",IF(AND(OR(P4661="Transferencia",P4661="Pago tarjeta"),K4661=""),"⚠ Falta cuenta destino",IF(AND(K4661&lt;&gt;"",P4661&lt;&gt;"Transferencia",P4661&lt;&gt;"Pago tarjeta"),"⚠ Destino solo aplica a transferencias",IF(AND(K4661&lt;&gt;"",K4661=Q4661),"⚠ Origen igual a destino",IF(AND(K4661&lt;&gt;"",ISNA(MATCH(K4661,ctaNombre,0))),"⚠ Destino no registrado",IF(AND(P4661="Pago tarjeta",AE4661&lt;&gt;"Tarjeta de crédito"),"⚠ El destino debe ser tarjeta de crédito",IF(AND(P4661="Gasto",E4661="Depósitos y retiros"),"⚠ Usa tipo Transferencia",IF(AND(P4661="Resultado trading",AD4661&lt;&gt;"Cuenta de trading"),"⚠ Usa una cuenta de trading",IF(AND(G4661&lt;=0,P4661&lt;&gt;"Ajuste",P4661&lt;&gt;"Resultado trading"),"⚠ El monto debe ser positivo","✓")))))))))))))))</f>
        <v/>
      </c>
      <c r="P4661" s="52">
        <f>IF(OR(B4661="",G4661=""),"",IF(C4661="","Gasto",C4661))</f>
        <v/>
      </c>
      <c r="Q4661" s="52">
        <f>IF(P4661="","",IF(J4661&lt;&gt;"",J4661,CuentaPred&amp;""))</f>
        <v/>
      </c>
      <c r="R4661" s="52">
        <f>IF(P4661="","",IF(ISNUMBER(I4661),I4661,TasaUSD))</f>
        <v/>
      </c>
      <c r="S4661" s="53">
        <f>IF(P4661="","",IF(H4661="USD",G4661*R4661,G4661))</f>
        <v/>
      </c>
      <c r="T4661" s="53">
        <f>IF(P4661="","",IF(H4661="USD",G4661,IF(R4661&gt;0,G4661/R4661,0)))</f>
        <v/>
      </c>
      <c r="U4661" s="53">
        <f>IF(P4661="","",IF(P4661="Gasto",S4661,IF(P4661="Reembolso",-S4661,0)))</f>
        <v/>
      </c>
      <c r="V4661" s="53">
        <f>IF(P4661="","",IF(P4661="Ingreso",S4661,0))</f>
        <v/>
      </c>
      <c r="W4661" s="53">
        <f>IF(P4661="","",IF(P4661="Resultado trading",S4661,0))</f>
        <v/>
      </c>
      <c r="X4661" s="52">
        <f>IF(OR(P4661="Gasto",P4661="Reembolso"),IF(M4661&lt;&gt;"",M4661,IFERROR(INDEX(catClasif,MATCH(D4661&amp;"|"&amp;E4661,catClave,0))&amp;"","Variable")),"")</f>
        <v/>
      </c>
      <c r="Y4661" s="52">
        <f>IF(P4661="","",IFERROR(INDEX(catGrupo,MATCH(D4661&amp;"|"&amp;E4661,catClave,0))&amp;"",""))</f>
        <v/>
      </c>
      <c r="Z4661" s="52">
        <f>IF(P4661="","",WEEKDAY(B4661,2))</f>
        <v/>
      </c>
      <c r="AA4661" s="52">
        <f>IF(P4661="","",IF(AND(P4661="Gasto",X4661="Variable",D4661&lt;&gt;catTrading,S4661&gt;0,S4661&lt;=Umbral),1,0))</f>
        <v/>
      </c>
      <c r="AB4661" s="52">
        <f>IF(OR(P4661="",Q4661=""),"",IFERROR(IF(INDEX(ctaVinc,MATCH(Q4661,ctaNombre,0))&amp;""&lt;&gt;"",INDEX(ctaVinc,MATCH(Q4661,ctaNombre,0))&amp;"",Q4661),Q4661))</f>
        <v/>
      </c>
      <c r="AC4661" s="52">
        <f>IF(OR(K4661="",AND(P4661&lt;&gt;"Transferencia",P4661&lt;&gt;"Pago tarjeta")),"",IFERROR(IF(INDEX(ctaVinc,MATCH(K4661,ctaNombre,0))&amp;""&lt;&gt;"",INDEX(ctaVinc,MATCH(K4661,ctaNombre,0))&amp;"",K4661),K4661))</f>
        <v/>
      </c>
      <c r="AD4661" s="52">
        <f>IF(AB4661="","",IFERROR(INDEX(ctaTipo,MATCH(AB4661,ctaNombre,0))&amp;"",""))</f>
        <v/>
      </c>
      <c r="AE4661" s="52">
        <f>IF(AC4661="","",IFERROR(INDEX(ctaTipo,MATCH(AC4661,ctaNombre,0))&amp;"",""))</f>
        <v/>
      </c>
      <c r="AF4661" s="53">
        <f>IF(OR(P4661="",AB4661=""),"",IF(OR(P4661="Gasto",P4661="Transferencia",P4661="Pago tarjeta"),-1,1)*IF(IFERROR(INDEX(ctaMoneda,MATCH(AB4661,ctaNombre,0))&amp;"","DOP")="USD",T4661,S4661))</f>
        <v/>
      </c>
      <c r="AG4661" s="53">
        <f>IF(AC4661="","",IF(IFERROR(INDEX(ctaMoneda,MATCH(AC4661,ctaNombre,0))&amp;"","DOP")="USD",T4661,S4661))</f>
        <v/>
      </c>
      <c r="AH4661" s="53">
        <f>IF(P4661="","",IF(AND(AD4661&lt;&gt;"",COUNTIFS(tcTipo,AD4661,tcLiq,"Sí")&gt;0),IF(OR(P4661="Gasto",P4661="Transferencia",P4661="Pago tarjeta"),-1,1)*S4661,0)+IF(AND(AE4661&lt;&gt;"",COUNTIFS(tcTipo,AE4661,tcLiq,"Sí")&gt;0),S4661,0))</f>
        <v/>
      </c>
      <c r="AI4661" s="52">
        <f>IF(OR(L4661="",P4661=""),"",IF(COUNTIFS(L$6:L4661,L4661,P$6:P4661,"?*")=1,MAX(AI$5:AI4660)+1,""))</f>
        <v/>
      </c>
    </row>
    <row r="4662">
      <c r="B4662" s="47" t="n"/>
      <c r="C4662" s="48" t="n"/>
      <c r="D4662" s="48" t="n"/>
      <c r="E4662" s="48" t="n"/>
      <c r="F4662" s="48" t="n"/>
      <c r="G4662" s="49" t="n"/>
      <c r="H4662" s="48" t="n"/>
      <c r="I4662" s="50" t="n"/>
      <c r="J4662" s="48" t="n"/>
      <c r="K4662" s="48" t="n"/>
      <c r="L4662" s="48" t="n"/>
      <c r="M4662" s="48" t="n"/>
      <c r="N4662" s="48" t="n"/>
      <c r="O4662" s="51">
        <f>IF(AND(B4662="",G4662="",C4662="",D4662="",J4662=""),"",IF(B4662="","⚠ Falta fecha",IF(G4662="","⚠ Falta monto",IF(Q4662="","⚠ Falta cuenta",IF(ISNA(MATCH(Q4662,ctaNombre,0)),"⚠ Cuenta no registrada",IF(AND(OR(P4662="Gasto",P4662="Reembolso"),D4662=""),"⚠ Falta categoría",IF(AND(D4662&lt;&gt;"",E4662&lt;&gt;"",ISNA(MATCH(D4662&amp;"|"&amp;E4662,catClave,0))),"⚠ Subcategoría no corresponde",IF(AND(OR(P4662="Transferencia",P4662="Pago tarjeta"),K4662=""),"⚠ Falta cuenta destino",IF(AND(K4662&lt;&gt;"",P4662&lt;&gt;"Transferencia",P4662&lt;&gt;"Pago tarjeta"),"⚠ Destino solo aplica a transferencias",IF(AND(K4662&lt;&gt;"",K4662=Q4662),"⚠ Origen igual a destino",IF(AND(K4662&lt;&gt;"",ISNA(MATCH(K4662,ctaNombre,0))),"⚠ Destino no registrado",IF(AND(P4662="Pago tarjeta",AE4662&lt;&gt;"Tarjeta de crédito"),"⚠ El destino debe ser tarjeta de crédito",IF(AND(P4662="Gasto",E4662="Depósitos y retiros"),"⚠ Usa tipo Transferencia",IF(AND(P4662="Resultado trading",AD4662&lt;&gt;"Cuenta de trading"),"⚠ Usa una cuenta de trading",IF(AND(G4662&lt;=0,P4662&lt;&gt;"Ajuste",P4662&lt;&gt;"Resultado trading"),"⚠ El monto debe ser positivo","✓")))))))))))))))</f>
        <v/>
      </c>
      <c r="P4662" s="52">
        <f>IF(OR(B4662="",G4662=""),"",IF(C4662="","Gasto",C4662))</f>
        <v/>
      </c>
      <c r="Q4662" s="52">
        <f>IF(P4662="","",IF(J4662&lt;&gt;"",J4662,CuentaPred&amp;""))</f>
        <v/>
      </c>
      <c r="R4662" s="52">
        <f>IF(P4662="","",IF(ISNUMBER(I4662),I4662,TasaUSD))</f>
        <v/>
      </c>
      <c r="S4662" s="53">
        <f>IF(P4662="","",IF(H4662="USD",G4662*R4662,G4662))</f>
        <v/>
      </c>
      <c r="T4662" s="53">
        <f>IF(P4662="","",IF(H4662="USD",G4662,IF(R4662&gt;0,G4662/R4662,0)))</f>
        <v/>
      </c>
      <c r="U4662" s="53">
        <f>IF(P4662="","",IF(P4662="Gasto",S4662,IF(P4662="Reembolso",-S4662,0)))</f>
        <v/>
      </c>
      <c r="V4662" s="53">
        <f>IF(P4662="","",IF(P4662="Ingreso",S4662,0))</f>
        <v/>
      </c>
      <c r="W4662" s="53">
        <f>IF(P4662="","",IF(P4662="Resultado trading",S4662,0))</f>
        <v/>
      </c>
      <c r="X4662" s="52">
        <f>IF(OR(P4662="Gasto",P4662="Reembolso"),IF(M4662&lt;&gt;"",M4662,IFERROR(INDEX(catClasif,MATCH(D4662&amp;"|"&amp;E4662,catClave,0))&amp;"","Variable")),"")</f>
        <v/>
      </c>
      <c r="Y4662" s="52">
        <f>IF(P4662="","",IFERROR(INDEX(catGrupo,MATCH(D4662&amp;"|"&amp;E4662,catClave,0))&amp;"",""))</f>
        <v/>
      </c>
      <c r="Z4662" s="52">
        <f>IF(P4662="","",WEEKDAY(B4662,2))</f>
        <v/>
      </c>
      <c r="AA4662" s="52">
        <f>IF(P4662="","",IF(AND(P4662="Gasto",X4662="Variable",D4662&lt;&gt;catTrading,S4662&gt;0,S4662&lt;=Umbral),1,0))</f>
        <v/>
      </c>
      <c r="AB4662" s="52">
        <f>IF(OR(P4662="",Q4662=""),"",IFERROR(IF(INDEX(ctaVinc,MATCH(Q4662,ctaNombre,0))&amp;""&lt;&gt;"",INDEX(ctaVinc,MATCH(Q4662,ctaNombre,0))&amp;"",Q4662),Q4662))</f>
        <v/>
      </c>
      <c r="AC4662" s="52">
        <f>IF(OR(K4662="",AND(P4662&lt;&gt;"Transferencia",P4662&lt;&gt;"Pago tarjeta")),"",IFERROR(IF(INDEX(ctaVinc,MATCH(K4662,ctaNombre,0))&amp;""&lt;&gt;"",INDEX(ctaVinc,MATCH(K4662,ctaNombre,0))&amp;"",K4662),K4662))</f>
        <v/>
      </c>
      <c r="AD4662" s="52">
        <f>IF(AB4662="","",IFERROR(INDEX(ctaTipo,MATCH(AB4662,ctaNombre,0))&amp;"",""))</f>
        <v/>
      </c>
      <c r="AE4662" s="52">
        <f>IF(AC4662="","",IFERROR(INDEX(ctaTipo,MATCH(AC4662,ctaNombre,0))&amp;"",""))</f>
        <v/>
      </c>
      <c r="AF4662" s="53">
        <f>IF(OR(P4662="",AB4662=""),"",IF(OR(P4662="Gasto",P4662="Transferencia",P4662="Pago tarjeta"),-1,1)*IF(IFERROR(INDEX(ctaMoneda,MATCH(AB4662,ctaNombre,0))&amp;"","DOP")="USD",T4662,S4662))</f>
        <v/>
      </c>
      <c r="AG4662" s="53">
        <f>IF(AC4662="","",IF(IFERROR(INDEX(ctaMoneda,MATCH(AC4662,ctaNombre,0))&amp;"","DOP")="USD",T4662,S4662))</f>
        <v/>
      </c>
      <c r="AH4662" s="53">
        <f>IF(P4662="","",IF(AND(AD4662&lt;&gt;"",COUNTIFS(tcTipo,AD4662,tcLiq,"Sí")&gt;0),IF(OR(P4662="Gasto",P4662="Transferencia",P4662="Pago tarjeta"),-1,1)*S4662,0)+IF(AND(AE4662&lt;&gt;"",COUNTIFS(tcTipo,AE4662,tcLiq,"Sí")&gt;0),S4662,0))</f>
        <v/>
      </c>
      <c r="AI4662" s="52">
        <f>IF(OR(L4662="",P4662=""),"",IF(COUNTIFS(L$6:L4662,L4662,P$6:P4662,"?*")=1,MAX(AI$5:AI4661)+1,""))</f>
        <v/>
      </c>
    </row>
    <row r="4663">
      <c r="B4663" s="47" t="n"/>
      <c r="C4663" s="48" t="n"/>
      <c r="D4663" s="48" t="n"/>
      <c r="E4663" s="48" t="n"/>
      <c r="F4663" s="48" t="n"/>
      <c r="G4663" s="49" t="n"/>
      <c r="H4663" s="48" t="n"/>
      <c r="I4663" s="50" t="n"/>
      <c r="J4663" s="48" t="n"/>
      <c r="K4663" s="48" t="n"/>
      <c r="L4663" s="48" t="n"/>
      <c r="M4663" s="48" t="n"/>
      <c r="N4663" s="48" t="n"/>
      <c r="O4663" s="51">
        <f>IF(AND(B4663="",G4663="",C4663="",D4663="",J4663=""),"",IF(B4663="","⚠ Falta fecha",IF(G4663="","⚠ Falta monto",IF(Q4663="","⚠ Falta cuenta",IF(ISNA(MATCH(Q4663,ctaNombre,0)),"⚠ Cuenta no registrada",IF(AND(OR(P4663="Gasto",P4663="Reembolso"),D4663=""),"⚠ Falta categoría",IF(AND(D4663&lt;&gt;"",E4663&lt;&gt;"",ISNA(MATCH(D4663&amp;"|"&amp;E4663,catClave,0))),"⚠ Subcategoría no corresponde",IF(AND(OR(P4663="Transferencia",P4663="Pago tarjeta"),K4663=""),"⚠ Falta cuenta destino",IF(AND(K4663&lt;&gt;"",P4663&lt;&gt;"Transferencia",P4663&lt;&gt;"Pago tarjeta"),"⚠ Destino solo aplica a transferencias",IF(AND(K4663&lt;&gt;"",K4663=Q4663),"⚠ Origen igual a destino",IF(AND(K4663&lt;&gt;"",ISNA(MATCH(K4663,ctaNombre,0))),"⚠ Destino no registrado",IF(AND(P4663="Pago tarjeta",AE4663&lt;&gt;"Tarjeta de crédito"),"⚠ El destino debe ser tarjeta de crédito",IF(AND(P4663="Gasto",E4663="Depósitos y retiros"),"⚠ Usa tipo Transferencia",IF(AND(P4663="Resultado trading",AD4663&lt;&gt;"Cuenta de trading"),"⚠ Usa una cuenta de trading",IF(AND(G4663&lt;=0,P4663&lt;&gt;"Ajuste",P4663&lt;&gt;"Resultado trading"),"⚠ El monto debe ser positivo","✓")))))))))))))))</f>
        <v/>
      </c>
      <c r="P4663" s="52">
        <f>IF(OR(B4663="",G4663=""),"",IF(C4663="","Gasto",C4663))</f>
        <v/>
      </c>
      <c r="Q4663" s="52">
        <f>IF(P4663="","",IF(J4663&lt;&gt;"",J4663,CuentaPred&amp;""))</f>
        <v/>
      </c>
      <c r="R4663" s="52">
        <f>IF(P4663="","",IF(ISNUMBER(I4663),I4663,TasaUSD))</f>
        <v/>
      </c>
      <c r="S4663" s="53">
        <f>IF(P4663="","",IF(H4663="USD",G4663*R4663,G4663))</f>
        <v/>
      </c>
      <c r="T4663" s="53">
        <f>IF(P4663="","",IF(H4663="USD",G4663,IF(R4663&gt;0,G4663/R4663,0)))</f>
        <v/>
      </c>
      <c r="U4663" s="53">
        <f>IF(P4663="","",IF(P4663="Gasto",S4663,IF(P4663="Reembolso",-S4663,0)))</f>
        <v/>
      </c>
      <c r="V4663" s="53">
        <f>IF(P4663="","",IF(P4663="Ingreso",S4663,0))</f>
        <v/>
      </c>
      <c r="W4663" s="53">
        <f>IF(P4663="","",IF(P4663="Resultado trading",S4663,0))</f>
        <v/>
      </c>
      <c r="X4663" s="52">
        <f>IF(OR(P4663="Gasto",P4663="Reembolso"),IF(M4663&lt;&gt;"",M4663,IFERROR(INDEX(catClasif,MATCH(D4663&amp;"|"&amp;E4663,catClave,0))&amp;"","Variable")),"")</f>
        <v/>
      </c>
      <c r="Y4663" s="52">
        <f>IF(P4663="","",IFERROR(INDEX(catGrupo,MATCH(D4663&amp;"|"&amp;E4663,catClave,0))&amp;"",""))</f>
        <v/>
      </c>
      <c r="Z4663" s="52">
        <f>IF(P4663="","",WEEKDAY(B4663,2))</f>
        <v/>
      </c>
      <c r="AA4663" s="52">
        <f>IF(P4663="","",IF(AND(P4663="Gasto",X4663="Variable",D4663&lt;&gt;catTrading,S4663&gt;0,S4663&lt;=Umbral),1,0))</f>
        <v/>
      </c>
      <c r="AB4663" s="52">
        <f>IF(OR(P4663="",Q4663=""),"",IFERROR(IF(INDEX(ctaVinc,MATCH(Q4663,ctaNombre,0))&amp;""&lt;&gt;"",INDEX(ctaVinc,MATCH(Q4663,ctaNombre,0))&amp;"",Q4663),Q4663))</f>
        <v/>
      </c>
      <c r="AC4663" s="52">
        <f>IF(OR(K4663="",AND(P4663&lt;&gt;"Transferencia",P4663&lt;&gt;"Pago tarjeta")),"",IFERROR(IF(INDEX(ctaVinc,MATCH(K4663,ctaNombre,0))&amp;""&lt;&gt;"",INDEX(ctaVinc,MATCH(K4663,ctaNombre,0))&amp;"",K4663),K4663))</f>
        <v/>
      </c>
      <c r="AD4663" s="52">
        <f>IF(AB4663="","",IFERROR(INDEX(ctaTipo,MATCH(AB4663,ctaNombre,0))&amp;"",""))</f>
        <v/>
      </c>
      <c r="AE4663" s="52">
        <f>IF(AC4663="","",IFERROR(INDEX(ctaTipo,MATCH(AC4663,ctaNombre,0))&amp;"",""))</f>
        <v/>
      </c>
      <c r="AF4663" s="53">
        <f>IF(OR(P4663="",AB4663=""),"",IF(OR(P4663="Gasto",P4663="Transferencia",P4663="Pago tarjeta"),-1,1)*IF(IFERROR(INDEX(ctaMoneda,MATCH(AB4663,ctaNombre,0))&amp;"","DOP")="USD",T4663,S4663))</f>
        <v/>
      </c>
      <c r="AG4663" s="53">
        <f>IF(AC4663="","",IF(IFERROR(INDEX(ctaMoneda,MATCH(AC4663,ctaNombre,0))&amp;"","DOP")="USD",T4663,S4663))</f>
        <v/>
      </c>
      <c r="AH4663" s="53">
        <f>IF(P4663="","",IF(AND(AD4663&lt;&gt;"",COUNTIFS(tcTipo,AD4663,tcLiq,"Sí")&gt;0),IF(OR(P4663="Gasto",P4663="Transferencia",P4663="Pago tarjeta"),-1,1)*S4663,0)+IF(AND(AE4663&lt;&gt;"",COUNTIFS(tcTipo,AE4663,tcLiq,"Sí")&gt;0),S4663,0))</f>
        <v/>
      </c>
      <c r="AI4663" s="52">
        <f>IF(OR(L4663="",P4663=""),"",IF(COUNTIFS(L$6:L4663,L4663,P$6:P4663,"?*")=1,MAX(AI$5:AI4662)+1,""))</f>
        <v/>
      </c>
    </row>
    <row r="4664">
      <c r="B4664" s="47" t="n"/>
      <c r="C4664" s="48" t="n"/>
      <c r="D4664" s="48" t="n"/>
      <c r="E4664" s="48" t="n"/>
      <c r="F4664" s="48" t="n"/>
      <c r="G4664" s="49" t="n"/>
      <c r="H4664" s="48" t="n"/>
      <c r="I4664" s="50" t="n"/>
      <c r="J4664" s="48" t="n"/>
      <c r="K4664" s="48" t="n"/>
      <c r="L4664" s="48" t="n"/>
      <c r="M4664" s="48" t="n"/>
      <c r="N4664" s="48" t="n"/>
      <c r="O4664" s="51">
        <f>IF(AND(B4664="",G4664="",C4664="",D4664="",J4664=""),"",IF(B4664="","⚠ Falta fecha",IF(G4664="","⚠ Falta monto",IF(Q4664="","⚠ Falta cuenta",IF(ISNA(MATCH(Q4664,ctaNombre,0)),"⚠ Cuenta no registrada",IF(AND(OR(P4664="Gasto",P4664="Reembolso"),D4664=""),"⚠ Falta categoría",IF(AND(D4664&lt;&gt;"",E4664&lt;&gt;"",ISNA(MATCH(D4664&amp;"|"&amp;E4664,catClave,0))),"⚠ Subcategoría no corresponde",IF(AND(OR(P4664="Transferencia",P4664="Pago tarjeta"),K4664=""),"⚠ Falta cuenta destino",IF(AND(K4664&lt;&gt;"",P4664&lt;&gt;"Transferencia",P4664&lt;&gt;"Pago tarjeta"),"⚠ Destino solo aplica a transferencias",IF(AND(K4664&lt;&gt;"",K4664=Q4664),"⚠ Origen igual a destino",IF(AND(K4664&lt;&gt;"",ISNA(MATCH(K4664,ctaNombre,0))),"⚠ Destino no registrado",IF(AND(P4664="Pago tarjeta",AE4664&lt;&gt;"Tarjeta de crédito"),"⚠ El destino debe ser tarjeta de crédito",IF(AND(P4664="Gasto",E4664="Depósitos y retiros"),"⚠ Usa tipo Transferencia",IF(AND(P4664="Resultado trading",AD4664&lt;&gt;"Cuenta de trading"),"⚠ Usa una cuenta de trading",IF(AND(G4664&lt;=0,P4664&lt;&gt;"Ajuste",P4664&lt;&gt;"Resultado trading"),"⚠ El monto debe ser positivo","✓")))))))))))))))</f>
        <v/>
      </c>
      <c r="P4664" s="52">
        <f>IF(OR(B4664="",G4664=""),"",IF(C4664="","Gasto",C4664))</f>
        <v/>
      </c>
      <c r="Q4664" s="52">
        <f>IF(P4664="","",IF(J4664&lt;&gt;"",J4664,CuentaPred&amp;""))</f>
        <v/>
      </c>
      <c r="R4664" s="52">
        <f>IF(P4664="","",IF(ISNUMBER(I4664),I4664,TasaUSD))</f>
        <v/>
      </c>
      <c r="S4664" s="53">
        <f>IF(P4664="","",IF(H4664="USD",G4664*R4664,G4664))</f>
        <v/>
      </c>
      <c r="T4664" s="53">
        <f>IF(P4664="","",IF(H4664="USD",G4664,IF(R4664&gt;0,G4664/R4664,0)))</f>
        <v/>
      </c>
      <c r="U4664" s="53">
        <f>IF(P4664="","",IF(P4664="Gasto",S4664,IF(P4664="Reembolso",-S4664,0)))</f>
        <v/>
      </c>
      <c r="V4664" s="53">
        <f>IF(P4664="","",IF(P4664="Ingreso",S4664,0))</f>
        <v/>
      </c>
      <c r="W4664" s="53">
        <f>IF(P4664="","",IF(P4664="Resultado trading",S4664,0))</f>
        <v/>
      </c>
      <c r="X4664" s="52">
        <f>IF(OR(P4664="Gasto",P4664="Reembolso"),IF(M4664&lt;&gt;"",M4664,IFERROR(INDEX(catClasif,MATCH(D4664&amp;"|"&amp;E4664,catClave,0))&amp;"","Variable")),"")</f>
        <v/>
      </c>
      <c r="Y4664" s="52">
        <f>IF(P4664="","",IFERROR(INDEX(catGrupo,MATCH(D4664&amp;"|"&amp;E4664,catClave,0))&amp;"",""))</f>
        <v/>
      </c>
      <c r="Z4664" s="52">
        <f>IF(P4664="","",WEEKDAY(B4664,2))</f>
        <v/>
      </c>
      <c r="AA4664" s="52">
        <f>IF(P4664="","",IF(AND(P4664="Gasto",X4664="Variable",D4664&lt;&gt;catTrading,S4664&gt;0,S4664&lt;=Umbral),1,0))</f>
        <v/>
      </c>
      <c r="AB4664" s="52">
        <f>IF(OR(P4664="",Q4664=""),"",IFERROR(IF(INDEX(ctaVinc,MATCH(Q4664,ctaNombre,0))&amp;""&lt;&gt;"",INDEX(ctaVinc,MATCH(Q4664,ctaNombre,0))&amp;"",Q4664),Q4664))</f>
        <v/>
      </c>
      <c r="AC4664" s="52">
        <f>IF(OR(K4664="",AND(P4664&lt;&gt;"Transferencia",P4664&lt;&gt;"Pago tarjeta")),"",IFERROR(IF(INDEX(ctaVinc,MATCH(K4664,ctaNombre,0))&amp;""&lt;&gt;"",INDEX(ctaVinc,MATCH(K4664,ctaNombre,0))&amp;"",K4664),K4664))</f>
        <v/>
      </c>
      <c r="AD4664" s="52">
        <f>IF(AB4664="","",IFERROR(INDEX(ctaTipo,MATCH(AB4664,ctaNombre,0))&amp;"",""))</f>
        <v/>
      </c>
      <c r="AE4664" s="52">
        <f>IF(AC4664="","",IFERROR(INDEX(ctaTipo,MATCH(AC4664,ctaNombre,0))&amp;"",""))</f>
        <v/>
      </c>
      <c r="AF4664" s="53">
        <f>IF(OR(P4664="",AB4664=""),"",IF(OR(P4664="Gasto",P4664="Transferencia",P4664="Pago tarjeta"),-1,1)*IF(IFERROR(INDEX(ctaMoneda,MATCH(AB4664,ctaNombre,0))&amp;"","DOP")="USD",T4664,S4664))</f>
        <v/>
      </c>
      <c r="AG4664" s="53">
        <f>IF(AC4664="","",IF(IFERROR(INDEX(ctaMoneda,MATCH(AC4664,ctaNombre,0))&amp;"","DOP")="USD",T4664,S4664))</f>
        <v/>
      </c>
      <c r="AH4664" s="53">
        <f>IF(P4664="","",IF(AND(AD4664&lt;&gt;"",COUNTIFS(tcTipo,AD4664,tcLiq,"Sí")&gt;0),IF(OR(P4664="Gasto",P4664="Transferencia",P4664="Pago tarjeta"),-1,1)*S4664,0)+IF(AND(AE4664&lt;&gt;"",COUNTIFS(tcTipo,AE4664,tcLiq,"Sí")&gt;0),S4664,0))</f>
        <v/>
      </c>
      <c r="AI4664" s="52">
        <f>IF(OR(L4664="",P4664=""),"",IF(COUNTIFS(L$6:L4664,L4664,P$6:P4664,"?*")=1,MAX(AI$5:AI4663)+1,""))</f>
        <v/>
      </c>
    </row>
    <row r="4665">
      <c r="B4665" s="47" t="n"/>
      <c r="C4665" s="48" t="n"/>
      <c r="D4665" s="48" t="n"/>
      <c r="E4665" s="48" t="n"/>
      <c r="F4665" s="48" t="n"/>
      <c r="G4665" s="49" t="n"/>
      <c r="H4665" s="48" t="n"/>
      <c r="I4665" s="50" t="n"/>
      <c r="J4665" s="48" t="n"/>
      <c r="K4665" s="48" t="n"/>
      <c r="L4665" s="48" t="n"/>
      <c r="M4665" s="48" t="n"/>
      <c r="N4665" s="48" t="n"/>
      <c r="O4665" s="51">
        <f>IF(AND(B4665="",G4665="",C4665="",D4665="",J4665=""),"",IF(B4665="","⚠ Falta fecha",IF(G4665="","⚠ Falta monto",IF(Q4665="","⚠ Falta cuenta",IF(ISNA(MATCH(Q4665,ctaNombre,0)),"⚠ Cuenta no registrada",IF(AND(OR(P4665="Gasto",P4665="Reembolso"),D4665=""),"⚠ Falta categoría",IF(AND(D4665&lt;&gt;"",E4665&lt;&gt;"",ISNA(MATCH(D4665&amp;"|"&amp;E4665,catClave,0))),"⚠ Subcategoría no corresponde",IF(AND(OR(P4665="Transferencia",P4665="Pago tarjeta"),K4665=""),"⚠ Falta cuenta destino",IF(AND(K4665&lt;&gt;"",P4665&lt;&gt;"Transferencia",P4665&lt;&gt;"Pago tarjeta"),"⚠ Destino solo aplica a transferencias",IF(AND(K4665&lt;&gt;"",K4665=Q4665),"⚠ Origen igual a destino",IF(AND(K4665&lt;&gt;"",ISNA(MATCH(K4665,ctaNombre,0))),"⚠ Destino no registrado",IF(AND(P4665="Pago tarjeta",AE4665&lt;&gt;"Tarjeta de crédito"),"⚠ El destino debe ser tarjeta de crédito",IF(AND(P4665="Gasto",E4665="Depósitos y retiros"),"⚠ Usa tipo Transferencia",IF(AND(P4665="Resultado trading",AD4665&lt;&gt;"Cuenta de trading"),"⚠ Usa una cuenta de trading",IF(AND(G4665&lt;=0,P4665&lt;&gt;"Ajuste",P4665&lt;&gt;"Resultado trading"),"⚠ El monto debe ser positivo","✓")))))))))))))))</f>
        <v/>
      </c>
      <c r="P4665" s="52">
        <f>IF(OR(B4665="",G4665=""),"",IF(C4665="","Gasto",C4665))</f>
        <v/>
      </c>
      <c r="Q4665" s="52">
        <f>IF(P4665="","",IF(J4665&lt;&gt;"",J4665,CuentaPred&amp;""))</f>
        <v/>
      </c>
      <c r="R4665" s="52">
        <f>IF(P4665="","",IF(ISNUMBER(I4665),I4665,TasaUSD))</f>
        <v/>
      </c>
      <c r="S4665" s="53">
        <f>IF(P4665="","",IF(H4665="USD",G4665*R4665,G4665))</f>
        <v/>
      </c>
      <c r="T4665" s="53">
        <f>IF(P4665="","",IF(H4665="USD",G4665,IF(R4665&gt;0,G4665/R4665,0)))</f>
        <v/>
      </c>
      <c r="U4665" s="53">
        <f>IF(P4665="","",IF(P4665="Gasto",S4665,IF(P4665="Reembolso",-S4665,0)))</f>
        <v/>
      </c>
      <c r="V4665" s="53">
        <f>IF(P4665="","",IF(P4665="Ingreso",S4665,0))</f>
        <v/>
      </c>
      <c r="W4665" s="53">
        <f>IF(P4665="","",IF(P4665="Resultado trading",S4665,0))</f>
        <v/>
      </c>
      <c r="X4665" s="52">
        <f>IF(OR(P4665="Gasto",P4665="Reembolso"),IF(M4665&lt;&gt;"",M4665,IFERROR(INDEX(catClasif,MATCH(D4665&amp;"|"&amp;E4665,catClave,0))&amp;"","Variable")),"")</f>
        <v/>
      </c>
      <c r="Y4665" s="52">
        <f>IF(P4665="","",IFERROR(INDEX(catGrupo,MATCH(D4665&amp;"|"&amp;E4665,catClave,0))&amp;"",""))</f>
        <v/>
      </c>
      <c r="Z4665" s="52">
        <f>IF(P4665="","",WEEKDAY(B4665,2))</f>
        <v/>
      </c>
      <c r="AA4665" s="52">
        <f>IF(P4665="","",IF(AND(P4665="Gasto",X4665="Variable",D4665&lt;&gt;catTrading,S4665&gt;0,S4665&lt;=Umbral),1,0))</f>
        <v/>
      </c>
      <c r="AB4665" s="52">
        <f>IF(OR(P4665="",Q4665=""),"",IFERROR(IF(INDEX(ctaVinc,MATCH(Q4665,ctaNombre,0))&amp;""&lt;&gt;"",INDEX(ctaVinc,MATCH(Q4665,ctaNombre,0))&amp;"",Q4665),Q4665))</f>
        <v/>
      </c>
      <c r="AC4665" s="52">
        <f>IF(OR(K4665="",AND(P4665&lt;&gt;"Transferencia",P4665&lt;&gt;"Pago tarjeta")),"",IFERROR(IF(INDEX(ctaVinc,MATCH(K4665,ctaNombre,0))&amp;""&lt;&gt;"",INDEX(ctaVinc,MATCH(K4665,ctaNombre,0))&amp;"",K4665),K4665))</f>
        <v/>
      </c>
      <c r="AD4665" s="52">
        <f>IF(AB4665="","",IFERROR(INDEX(ctaTipo,MATCH(AB4665,ctaNombre,0))&amp;"",""))</f>
        <v/>
      </c>
      <c r="AE4665" s="52">
        <f>IF(AC4665="","",IFERROR(INDEX(ctaTipo,MATCH(AC4665,ctaNombre,0))&amp;"",""))</f>
        <v/>
      </c>
      <c r="AF4665" s="53">
        <f>IF(OR(P4665="",AB4665=""),"",IF(OR(P4665="Gasto",P4665="Transferencia",P4665="Pago tarjeta"),-1,1)*IF(IFERROR(INDEX(ctaMoneda,MATCH(AB4665,ctaNombre,0))&amp;"","DOP")="USD",T4665,S4665))</f>
        <v/>
      </c>
      <c r="AG4665" s="53">
        <f>IF(AC4665="","",IF(IFERROR(INDEX(ctaMoneda,MATCH(AC4665,ctaNombre,0))&amp;"","DOP")="USD",T4665,S4665))</f>
        <v/>
      </c>
      <c r="AH4665" s="53">
        <f>IF(P4665="","",IF(AND(AD4665&lt;&gt;"",COUNTIFS(tcTipo,AD4665,tcLiq,"Sí")&gt;0),IF(OR(P4665="Gasto",P4665="Transferencia",P4665="Pago tarjeta"),-1,1)*S4665,0)+IF(AND(AE4665&lt;&gt;"",COUNTIFS(tcTipo,AE4665,tcLiq,"Sí")&gt;0),S4665,0))</f>
        <v/>
      </c>
      <c r="AI4665" s="52">
        <f>IF(OR(L4665="",P4665=""),"",IF(COUNTIFS(L$6:L4665,L4665,P$6:P4665,"?*")=1,MAX(AI$5:AI4664)+1,""))</f>
        <v/>
      </c>
    </row>
    <row r="4666">
      <c r="B4666" s="47" t="n"/>
      <c r="C4666" s="48" t="n"/>
      <c r="D4666" s="48" t="n"/>
      <c r="E4666" s="48" t="n"/>
      <c r="F4666" s="48" t="n"/>
      <c r="G4666" s="49" t="n"/>
      <c r="H4666" s="48" t="n"/>
      <c r="I4666" s="50" t="n"/>
      <c r="J4666" s="48" t="n"/>
      <c r="K4666" s="48" t="n"/>
      <c r="L4666" s="48" t="n"/>
      <c r="M4666" s="48" t="n"/>
      <c r="N4666" s="48" t="n"/>
      <c r="O4666" s="51">
        <f>IF(AND(B4666="",G4666="",C4666="",D4666="",J4666=""),"",IF(B4666="","⚠ Falta fecha",IF(G4666="","⚠ Falta monto",IF(Q4666="","⚠ Falta cuenta",IF(ISNA(MATCH(Q4666,ctaNombre,0)),"⚠ Cuenta no registrada",IF(AND(OR(P4666="Gasto",P4666="Reembolso"),D4666=""),"⚠ Falta categoría",IF(AND(D4666&lt;&gt;"",E4666&lt;&gt;"",ISNA(MATCH(D4666&amp;"|"&amp;E4666,catClave,0))),"⚠ Subcategoría no corresponde",IF(AND(OR(P4666="Transferencia",P4666="Pago tarjeta"),K4666=""),"⚠ Falta cuenta destino",IF(AND(K4666&lt;&gt;"",P4666&lt;&gt;"Transferencia",P4666&lt;&gt;"Pago tarjeta"),"⚠ Destino solo aplica a transferencias",IF(AND(K4666&lt;&gt;"",K4666=Q4666),"⚠ Origen igual a destino",IF(AND(K4666&lt;&gt;"",ISNA(MATCH(K4666,ctaNombre,0))),"⚠ Destino no registrado",IF(AND(P4666="Pago tarjeta",AE4666&lt;&gt;"Tarjeta de crédito"),"⚠ El destino debe ser tarjeta de crédito",IF(AND(P4666="Gasto",E4666="Depósitos y retiros"),"⚠ Usa tipo Transferencia",IF(AND(P4666="Resultado trading",AD4666&lt;&gt;"Cuenta de trading"),"⚠ Usa una cuenta de trading",IF(AND(G4666&lt;=0,P4666&lt;&gt;"Ajuste",P4666&lt;&gt;"Resultado trading"),"⚠ El monto debe ser positivo","✓")))))))))))))))</f>
        <v/>
      </c>
      <c r="P4666" s="52">
        <f>IF(OR(B4666="",G4666=""),"",IF(C4666="","Gasto",C4666))</f>
        <v/>
      </c>
      <c r="Q4666" s="52">
        <f>IF(P4666="","",IF(J4666&lt;&gt;"",J4666,CuentaPred&amp;""))</f>
        <v/>
      </c>
      <c r="R4666" s="52">
        <f>IF(P4666="","",IF(ISNUMBER(I4666),I4666,TasaUSD))</f>
        <v/>
      </c>
      <c r="S4666" s="53">
        <f>IF(P4666="","",IF(H4666="USD",G4666*R4666,G4666))</f>
        <v/>
      </c>
      <c r="T4666" s="53">
        <f>IF(P4666="","",IF(H4666="USD",G4666,IF(R4666&gt;0,G4666/R4666,0)))</f>
        <v/>
      </c>
      <c r="U4666" s="53">
        <f>IF(P4666="","",IF(P4666="Gasto",S4666,IF(P4666="Reembolso",-S4666,0)))</f>
        <v/>
      </c>
      <c r="V4666" s="53">
        <f>IF(P4666="","",IF(P4666="Ingreso",S4666,0))</f>
        <v/>
      </c>
      <c r="W4666" s="53">
        <f>IF(P4666="","",IF(P4666="Resultado trading",S4666,0))</f>
        <v/>
      </c>
      <c r="X4666" s="52">
        <f>IF(OR(P4666="Gasto",P4666="Reembolso"),IF(M4666&lt;&gt;"",M4666,IFERROR(INDEX(catClasif,MATCH(D4666&amp;"|"&amp;E4666,catClave,0))&amp;"","Variable")),"")</f>
        <v/>
      </c>
      <c r="Y4666" s="52">
        <f>IF(P4666="","",IFERROR(INDEX(catGrupo,MATCH(D4666&amp;"|"&amp;E4666,catClave,0))&amp;"",""))</f>
        <v/>
      </c>
      <c r="Z4666" s="52">
        <f>IF(P4666="","",WEEKDAY(B4666,2))</f>
        <v/>
      </c>
      <c r="AA4666" s="52">
        <f>IF(P4666="","",IF(AND(P4666="Gasto",X4666="Variable",D4666&lt;&gt;catTrading,S4666&gt;0,S4666&lt;=Umbral),1,0))</f>
        <v/>
      </c>
      <c r="AB4666" s="52">
        <f>IF(OR(P4666="",Q4666=""),"",IFERROR(IF(INDEX(ctaVinc,MATCH(Q4666,ctaNombre,0))&amp;""&lt;&gt;"",INDEX(ctaVinc,MATCH(Q4666,ctaNombre,0))&amp;"",Q4666),Q4666))</f>
        <v/>
      </c>
      <c r="AC4666" s="52">
        <f>IF(OR(K4666="",AND(P4666&lt;&gt;"Transferencia",P4666&lt;&gt;"Pago tarjeta")),"",IFERROR(IF(INDEX(ctaVinc,MATCH(K4666,ctaNombre,0))&amp;""&lt;&gt;"",INDEX(ctaVinc,MATCH(K4666,ctaNombre,0))&amp;"",K4666),K4666))</f>
        <v/>
      </c>
      <c r="AD4666" s="52">
        <f>IF(AB4666="","",IFERROR(INDEX(ctaTipo,MATCH(AB4666,ctaNombre,0))&amp;"",""))</f>
        <v/>
      </c>
      <c r="AE4666" s="52">
        <f>IF(AC4666="","",IFERROR(INDEX(ctaTipo,MATCH(AC4666,ctaNombre,0))&amp;"",""))</f>
        <v/>
      </c>
      <c r="AF4666" s="53">
        <f>IF(OR(P4666="",AB4666=""),"",IF(OR(P4666="Gasto",P4666="Transferencia",P4666="Pago tarjeta"),-1,1)*IF(IFERROR(INDEX(ctaMoneda,MATCH(AB4666,ctaNombre,0))&amp;"","DOP")="USD",T4666,S4666))</f>
        <v/>
      </c>
      <c r="AG4666" s="53">
        <f>IF(AC4666="","",IF(IFERROR(INDEX(ctaMoneda,MATCH(AC4666,ctaNombre,0))&amp;"","DOP")="USD",T4666,S4666))</f>
        <v/>
      </c>
      <c r="AH4666" s="53">
        <f>IF(P4666="","",IF(AND(AD4666&lt;&gt;"",COUNTIFS(tcTipo,AD4666,tcLiq,"Sí")&gt;0),IF(OR(P4666="Gasto",P4666="Transferencia",P4666="Pago tarjeta"),-1,1)*S4666,0)+IF(AND(AE4666&lt;&gt;"",COUNTIFS(tcTipo,AE4666,tcLiq,"Sí")&gt;0),S4666,0))</f>
        <v/>
      </c>
      <c r="AI4666" s="52">
        <f>IF(OR(L4666="",P4666=""),"",IF(COUNTIFS(L$6:L4666,L4666,P$6:P4666,"?*")=1,MAX(AI$5:AI4665)+1,""))</f>
        <v/>
      </c>
    </row>
    <row r="4667">
      <c r="B4667" s="47" t="n"/>
      <c r="C4667" s="48" t="n"/>
      <c r="D4667" s="48" t="n"/>
      <c r="E4667" s="48" t="n"/>
      <c r="F4667" s="48" t="n"/>
      <c r="G4667" s="49" t="n"/>
      <c r="H4667" s="48" t="n"/>
      <c r="I4667" s="50" t="n"/>
      <c r="J4667" s="48" t="n"/>
      <c r="K4667" s="48" t="n"/>
      <c r="L4667" s="48" t="n"/>
      <c r="M4667" s="48" t="n"/>
      <c r="N4667" s="48" t="n"/>
      <c r="O4667" s="51">
        <f>IF(AND(B4667="",G4667="",C4667="",D4667="",J4667=""),"",IF(B4667="","⚠ Falta fecha",IF(G4667="","⚠ Falta monto",IF(Q4667="","⚠ Falta cuenta",IF(ISNA(MATCH(Q4667,ctaNombre,0)),"⚠ Cuenta no registrada",IF(AND(OR(P4667="Gasto",P4667="Reembolso"),D4667=""),"⚠ Falta categoría",IF(AND(D4667&lt;&gt;"",E4667&lt;&gt;"",ISNA(MATCH(D4667&amp;"|"&amp;E4667,catClave,0))),"⚠ Subcategoría no corresponde",IF(AND(OR(P4667="Transferencia",P4667="Pago tarjeta"),K4667=""),"⚠ Falta cuenta destino",IF(AND(K4667&lt;&gt;"",P4667&lt;&gt;"Transferencia",P4667&lt;&gt;"Pago tarjeta"),"⚠ Destino solo aplica a transferencias",IF(AND(K4667&lt;&gt;"",K4667=Q4667),"⚠ Origen igual a destino",IF(AND(K4667&lt;&gt;"",ISNA(MATCH(K4667,ctaNombre,0))),"⚠ Destino no registrado",IF(AND(P4667="Pago tarjeta",AE4667&lt;&gt;"Tarjeta de crédito"),"⚠ El destino debe ser tarjeta de crédito",IF(AND(P4667="Gasto",E4667="Depósitos y retiros"),"⚠ Usa tipo Transferencia",IF(AND(P4667="Resultado trading",AD4667&lt;&gt;"Cuenta de trading"),"⚠ Usa una cuenta de trading",IF(AND(G4667&lt;=0,P4667&lt;&gt;"Ajuste",P4667&lt;&gt;"Resultado trading"),"⚠ El monto debe ser positivo","✓")))))))))))))))</f>
        <v/>
      </c>
      <c r="P4667" s="52">
        <f>IF(OR(B4667="",G4667=""),"",IF(C4667="","Gasto",C4667))</f>
        <v/>
      </c>
      <c r="Q4667" s="52">
        <f>IF(P4667="","",IF(J4667&lt;&gt;"",J4667,CuentaPred&amp;""))</f>
        <v/>
      </c>
      <c r="R4667" s="52">
        <f>IF(P4667="","",IF(ISNUMBER(I4667),I4667,TasaUSD))</f>
        <v/>
      </c>
      <c r="S4667" s="53">
        <f>IF(P4667="","",IF(H4667="USD",G4667*R4667,G4667))</f>
        <v/>
      </c>
      <c r="T4667" s="53">
        <f>IF(P4667="","",IF(H4667="USD",G4667,IF(R4667&gt;0,G4667/R4667,0)))</f>
        <v/>
      </c>
      <c r="U4667" s="53">
        <f>IF(P4667="","",IF(P4667="Gasto",S4667,IF(P4667="Reembolso",-S4667,0)))</f>
        <v/>
      </c>
      <c r="V4667" s="53">
        <f>IF(P4667="","",IF(P4667="Ingreso",S4667,0))</f>
        <v/>
      </c>
      <c r="W4667" s="53">
        <f>IF(P4667="","",IF(P4667="Resultado trading",S4667,0))</f>
        <v/>
      </c>
      <c r="X4667" s="52">
        <f>IF(OR(P4667="Gasto",P4667="Reembolso"),IF(M4667&lt;&gt;"",M4667,IFERROR(INDEX(catClasif,MATCH(D4667&amp;"|"&amp;E4667,catClave,0))&amp;"","Variable")),"")</f>
        <v/>
      </c>
      <c r="Y4667" s="52">
        <f>IF(P4667="","",IFERROR(INDEX(catGrupo,MATCH(D4667&amp;"|"&amp;E4667,catClave,0))&amp;"",""))</f>
        <v/>
      </c>
      <c r="Z4667" s="52">
        <f>IF(P4667="","",WEEKDAY(B4667,2))</f>
        <v/>
      </c>
      <c r="AA4667" s="52">
        <f>IF(P4667="","",IF(AND(P4667="Gasto",X4667="Variable",D4667&lt;&gt;catTrading,S4667&gt;0,S4667&lt;=Umbral),1,0))</f>
        <v/>
      </c>
      <c r="AB4667" s="52">
        <f>IF(OR(P4667="",Q4667=""),"",IFERROR(IF(INDEX(ctaVinc,MATCH(Q4667,ctaNombre,0))&amp;""&lt;&gt;"",INDEX(ctaVinc,MATCH(Q4667,ctaNombre,0))&amp;"",Q4667),Q4667))</f>
        <v/>
      </c>
      <c r="AC4667" s="52">
        <f>IF(OR(K4667="",AND(P4667&lt;&gt;"Transferencia",P4667&lt;&gt;"Pago tarjeta")),"",IFERROR(IF(INDEX(ctaVinc,MATCH(K4667,ctaNombre,0))&amp;""&lt;&gt;"",INDEX(ctaVinc,MATCH(K4667,ctaNombre,0))&amp;"",K4667),K4667))</f>
        <v/>
      </c>
      <c r="AD4667" s="52">
        <f>IF(AB4667="","",IFERROR(INDEX(ctaTipo,MATCH(AB4667,ctaNombre,0))&amp;"",""))</f>
        <v/>
      </c>
      <c r="AE4667" s="52">
        <f>IF(AC4667="","",IFERROR(INDEX(ctaTipo,MATCH(AC4667,ctaNombre,0))&amp;"",""))</f>
        <v/>
      </c>
      <c r="AF4667" s="53">
        <f>IF(OR(P4667="",AB4667=""),"",IF(OR(P4667="Gasto",P4667="Transferencia",P4667="Pago tarjeta"),-1,1)*IF(IFERROR(INDEX(ctaMoneda,MATCH(AB4667,ctaNombre,0))&amp;"","DOP")="USD",T4667,S4667))</f>
        <v/>
      </c>
      <c r="AG4667" s="53">
        <f>IF(AC4667="","",IF(IFERROR(INDEX(ctaMoneda,MATCH(AC4667,ctaNombre,0))&amp;"","DOP")="USD",T4667,S4667))</f>
        <v/>
      </c>
      <c r="AH4667" s="53">
        <f>IF(P4667="","",IF(AND(AD4667&lt;&gt;"",COUNTIFS(tcTipo,AD4667,tcLiq,"Sí")&gt;0),IF(OR(P4667="Gasto",P4667="Transferencia",P4667="Pago tarjeta"),-1,1)*S4667,0)+IF(AND(AE4667&lt;&gt;"",COUNTIFS(tcTipo,AE4667,tcLiq,"Sí")&gt;0),S4667,0))</f>
        <v/>
      </c>
      <c r="AI4667" s="52">
        <f>IF(OR(L4667="",P4667=""),"",IF(COUNTIFS(L$6:L4667,L4667,P$6:P4667,"?*")=1,MAX(AI$5:AI4666)+1,""))</f>
        <v/>
      </c>
    </row>
    <row r="4668">
      <c r="B4668" s="47" t="n"/>
      <c r="C4668" s="48" t="n"/>
      <c r="D4668" s="48" t="n"/>
      <c r="E4668" s="48" t="n"/>
      <c r="F4668" s="48" t="n"/>
      <c r="G4668" s="49" t="n"/>
      <c r="H4668" s="48" t="n"/>
      <c r="I4668" s="50" t="n"/>
      <c r="J4668" s="48" t="n"/>
      <c r="K4668" s="48" t="n"/>
      <c r="L4668" s="48" t="n"/>
      <c r="M4668" s="48" t="n"/>
      <c r="N4668" s="48" t="n"/>
      <c r="O4668" s="51">
        <f>IF(AND(B4668="",G4668="",C4668="",D4668="",J4668=""),"",IF(B4668="","⚠ Falta fecha",IF(G4668="","⚠ Falta monto",IF(Q4668="","⚠ Falta cuenta",IF(ISNA(MATCH(Q4668,ctaNombre,0)),"⚠ Cuenta no registrada",IF(AND(OR(P4668="Gasto",P4668="Reembolso"),D4668=""),"⚠ Falta categoría",IF(AND(D4668&lt;&gt;"",E4668&lt;&gt;"",ISNA(MATCH(D4668&amp;"|"&amp;E4668,catClave,0))),"⚠ Subcategoría no corresponde",IF(AND(OR(P4668="Transferencia",P4668="Pago tarjeta"),K4668=""),"⚠ Falta cuenta destino",IF(AND(K4668&lt;&gt;"",P4668&lt;&gt;"Transferencia",P4668&lt;&gt;"Pago tarjeta"),"⚠ Destino solo aplica a transferencias",IF(AND(K4668&lt;&gt;"",K4668=Q4668),"⚠ Origen igual a destino",IF(AND(K4668&lt;&gt;"",ISNA(MATCH(K4668,ctaNombre,0))),"⚠ Destino no registrado",IF(AND(P4668="Pago tarjeta",AE4668&lt;&gt;"Tarjeta de crédito"),"⚠ El destino debe ser tarjeta de crédito",IF(AND(P4668="Gasto",E4668="Depósitos y retiros"),"⚠ Usa tipo Transferencia",IF(AND(P4668="Resultado trading",AD4668&lt;&gt;"Cuenta de trading"),"⚠ Usa una cuenta de trading",IF(AND(G4668&lt;=0,P4668&lt;&gt;"Ajuste",P4668&lt;&gt;"Resultado trading"),"⚠ El monto debe ser positivo","✓")))))))))))))))</f>
        <v/>
      </c>
      <c r="P4668" s="52">
        <f>IF(OR(B4668="",G4668=""),"",IF(C4668="","Gasto",C4668))</f>
        <v/>
      </c>
      <c r="Q4668" s="52">
        <f>IF(P4668="","",IF(J4668&lt;&gt;"",J4668,CuentaPred&amp;""))</f>
        <v/>
      </c>
      <c r="R4668" s="52">
        <f>IF(P4668="","",IF(ISNUMBER(I4668),I4668,TasaUSD))</f>
        <v/>
      </c>
      <c r="S4668" s="53">
        <f>IF(P4668="","",IF(H4668="USD",G4668*R4668,G4668))</f>
        <v/>
      </c>
      <c r="T4668" s="53">
        <f>IF(P4668="","",IF(H4668="USD",G4668,IF(R4668&gt;0,G4668/R4668,0)))</f>
        <v/>
      </c>
      <c r="U4668" s="53">
        <f>IF(P4668="","",IF(P4668="Gasto",S4668,IF(P4668="Reembolso",-S4668,0)))</f>
        <v/>
      </c>
      <c r="V4668" s="53">
        <f>IF(P4668="","",IF(P4668="Ingreso",S4668,0))</f>
        <v/>
      </c>
      <c r="W4668" s="53">
        <f>IF(P4668="","",IF(P4668="Resultado trading",S4668,0))</f>
        <v/>
      </c>
      <c r="X4668" s="52">
        <f>IF(OR(P4668="Gasto",P4668="Reembolso"),IF(M4668&lt;&gt;"",M4668,IFERROR(INDEX(catClasif,MATCH(D4668&amp;"|"&amp;E4668,catClave,0))&amp;"","Variable")),"")</f>
        <v/>
      </c>
      <c r="Y4668" s="52">
        <f>IF(P4668="","",IFERROR(INDEX(catGrupo,MATCH(D4668&amp;"|"&amp;E4668,catClave,0))&amp;"",""))</f>
        <v/>
      </c>
      <c r="Z4668" s="52">
        <f>IF(P4668="","",WEEKDAY(B4668,2))</f>
        <v/>
      </c>
      <c r="AA4668" s="52">
        <f>IF(P4668="","",IF(AND(P4668="Gasto",X4668="Variable",D4668&lt;&gt;catTrading,S4668&gt;0,S4668&lt;=Umbral),1,0))</f>
        <v/>
      </c>
      <c r="AB4668" s="52">
        <f>IF(OR(P4668="",Q4668=""),"",IFERROR(IF(INDEX(ctaVinc,MATCH(Q4668,ctaNombre,0))&amp;""&lt;&gt;"",INDEX(ctaVinc,MATCH(Q4668,ctaNombre,0))&amp;"",Q4668),Q4668))</f>
        <v/>
      </c>
      <c r="AC4668" s="52">
        <f>IF(OR(K4668="",AND(P4668&lt;&gt;"Transferencia",P4668&lt;&gt;"Pago tarjeta")),"",IFERROR(IF(INDEX(ctaVinc,MATCH(K4668,ctaNombre,0))&amp;""&lt;&gt;"",INDEX(ctaVinc,MATCH(K4668,ctaNombre,0))&amp;"",K4668),K4668))</f>
        <v/>
      </c>
      <c r="AD4668" s="52">
        <f>IF(AB4668="","",IFERROR(INDEX(ctaTipo,MATCH(AB4668,ctaNombre,0))&amp;"",""))</f>
        <v/>
      </c>
      <c r="AE4668" s="52">
        <f>IF(AC4668="","",IFERROR(INDEX(ctaTipo,MATCH(AC4668,ctaNombre,0))&amp;"",""))</f>
        <v/>
      </c>
      <c r="AF4668" s="53">
        <f>IF(OR(P4668="",AB4668=""),"",IF(OR(P4668="Gasto",P4668="Transferencia",P4668="Pago tarjeta"),-1,1)*IF(IFERROR(INDEX(ctaMoneda,MATCH(AB4668,ctaNombre,0))&amp;"","DOP")="USD",T4668,S4668))</f>
        <v/>
      </c>
      <c r="AG4668" s="53">
        <f>IF(AC4668="","",IF(IFERROR(INDEX(ctaMoneda,MATCH(AC4668,ctaNombre,0))&amp;"","DOP")="USD",T4668,S4668))</f>
        <v/>
      </c>
      <c r="AH4668" s="53">
        <f>IF(P4668="","",IF(AND(AD4668&lt;&gt;"",COUNTIFS(tcTipo,AD4668,tcLiq,"Sí")&gt;0),IF(OR(P4668="Gasto",P4668="Transferencia",P4668="Pago tarjeta"),-1,1)*S4668,0)+IF(AND(AE4668&lt;&gt;"",COUNTIFS(tcTipo,AE4668,tcLiq,"Sí")&gt;0),S4668,0))</f>
        <v/>
      </c>
      <c r="AI4668" s="52">
        <f>IF(OR(L4668="",P4668=""),"",IF(COUNTIFS(L$6:L4668,L4668,P$6:P4668,"?*")=1,MAX(AI$5:AI4667)+1,""))</f>
        <v/>
      </c>
    </row>
    <row r="4669">
      <c r="B4669" s="47" t="n"/>
      <c r="C4669" s="48" t="n"/>
      <c r="D4669" s="48" t="n"/>
      <c r="E4669" s="48" t="n"/>
      <c r="F4669" s="48" t="n"/>
      <c r="G4669" s="49" t="n"/>
      <c r="H4669" s="48" t="n"/>
      <c r="I4669" s="50" t="n"/>
      <c r="J4669" s="48" t="n"/>
      <c r="K4669" s="48" t="n"/>
      <c r="L4669" s="48" t="n"/>
      <c r="M4669" s="48" t="n"/>
      <c r="N4669" s="48" t="n"/>
      <c r="O4669" s="51">
        <f>IF(AND(B4669="",G4669="",C4669="",D4669="",J4669=""),"",IF(B4669="","⚠ Falta fecha",IF(G4669="","⚠ Falta monto",IF(Q4669="","⚠ Falta cuenta",IF(ISNA(MATCH(Q4669,ctaNombre,0)),"⚠ Cuenta no registrada",IF(AND(OR(P4669="Gasto",P4669="Reembolso"),D4669=""),"⚠ Falta categoría",IF(AND(D4669&lt;&gt;"",E4669&lt;&gt;"",ISNA(MATCH(D4669&amp;"|"&amp;E4669,catClave,0))),"⚠ Subcategoría no corresponde",IF(AND(OR(P4669="Transferencia",P4669="Pago tarjeta"),K4669=""),"⚠ Falta cuenta destino",IF(AND(K4669&lt;&gt;"",P4669&lt;&gt;"Transferencia",P4669&lt;&gt;"Pago tarjeta"),"⚠ Destino solo aplica a transferencias",IF(AND(K4669&lt;&gt;"",K4669=Q4669),"⚠ Origen igual a destino",IF(AND(K4669&lt;&gt;"",ISNA(MATCH(K4669,ctaNombre,0))),"⚠ Destino no registrado",IF(AND(P4669="Pago tarjeta",AE4669&lt;&gt;"Tarjeta de crédito"),"⚠ El destino debe ser tarjeta de crédito",IF(AND(P4669="Gasto",E4669="Depósitos y retiros"),"⚠ Usa tipo Transferencia",IF(AND(P4669="Resultado trading",AD4669&lt;&gt;"Cuenta de trading"),"⚠ Usa una cuenta de trading",IF(AND(G4669&lt;=0,P4669&lt;&gt;"Ajuste",P4669&lt;&gt;"Resultado trading"),"⚠ El monto debe ser positivo","✓")))))))))))))))</f>
        <v/>
      </c>
      <c r="P4669" s="52">
        <f>IF(OR(B4669="",G4669=""),"",IF(C4669="","Gasto",C4669))</f>
        <v/>
      </c>
      <c r="Q4669" s="52">
        <f>IF(P4669="","",IF(J4669&lt;&gt;"",J4669,CuentaPred&amp;""))</f>
        <v/>
      </c>
      <c r="R4669" s="52">
        <f>IF(P4669="","",IF(ISNUMBER(I4669),I4669,TasaUSD))</f>
        <v/>
      </c>
      <c r="S4669" s="53">
        <f>IF(P4669="","",IF(H4669="USD",G4669*R4669,G4669))</f>
        <v/>
      </c>
      <c r="T4669" s="53">
        <f>IF(P4669="","",IF(H4669="USD",G4669,IF(R4669&gt;0,G4669/R4669,0)))</f>
        <v/>
      </c>
      <c r="U4669" s="53">
        <f>IF(P4669="","",IF(P4669="Gasto",S4669,IF(P4669="Reembolso",-S4669,0)))</f>
        <v/>
      </c>
      <c r="V4669" s="53">
        <f>IF(P4669="","",IF(P4669="Ingreso",S4669,0))</f>
        <v/>
      </c>
      <c r="W4669" s="53">
        <f>IF(P4669="","",IF(P4669="Resultado trading",S4669,0))</f>
        <v/>
      </c>
      <c r="X4669" s="52">
        <f>IF(OR(P4669="Gasto",P4669="Reembolso"),IF(M4669&lt;&gt;"",M4669,IFERROR(INDEX(catClasif,MATCH(D4669&amp;"|"&amp;E4669,catClave,0))&amp;"","Variable")),"")</f>
        <v/>
      </c>
      <c r="Y4669" s="52">
        <f>IF(P4669="","",IFERROR(INDEX(catGrupo,MATCH(D4669&amp;"|"&amp;E4669,catClave,0))&amp;"",""))</f>
        <v/>
      </c>
      <c r="Z4669" s="52">
        <f>IF(P4669="","",WEEKDAY(B4669,2))</f>
        <v/>
      </c>
      <c r="AA4669" s="52">
        <f>IF(P4669="","",IF(AND(P4669="Gasto",X4669="Variable",D4669&lt;&gt;catTrading,S4669&gt;0,S4669&lt;=Umbral),1,0))</f>
        <v/>
      </c>
      <c r="AB4669" s="52">
        <f>IF(OR(P4669="",Q4669=""),"",IFERROR(IF(INDEX(ctaVinc,MATCH(Q4669,ctaNombre,0))&amp;""&lt;&gt;"",INDEX(ctaVinc,MATCH(Q4669,ctaNombre,0))&amp;"",Q4669),Q4669))</f>
        <v/>
      </c>
      <c r="AC4669" s="52">
        <f>IF(OR(K4669="",AND(P4669&lt;&gt;"Transferencia",P4669&lt;&gt;"Pago tarjeta")),"",IFERROR(IF(INDEX(ctaVinc,MATCH(K4669,ctaNombre,0))&amp;""&lt;&gt;"",INDEX(ctaVinc,MATCH(K4669,ctaNombre,0))&amp;"",K4669),K4669))</f>
        <v/>
      </c>
      <c r="AD4669" s="52">
        <f>IF(AB4669="","",IFERROR(INDEX(ctaTipo,MATCH(AB4669,ctaNombre,0))&amp;"",""))</f>
        <v/>
      </c>
      <c r="AE4669" s="52">
        <f>IF(AC4669="","",IFERROR(INDEX(ctaTipo,MATCH(AC4669,ctaNombre,0))&amp;"",""))</f>
        <v/>
      </c>
      <c r="AF4669" s="53">
        <f>IF(OR(P4669="",AB4669=""),"",IF(OR(P4669="Gasto",P4669="Transferencia",P4669="Pago tarjeta"),-1,1)*IF(IFERROR(INDEX(ctaMoneda,MATCH(AB4669,ctaNombre,0))&amp;"","DOP")="USD",T4669,S4669))</f>
        <v/>
      </c>
      <c r="AG4669" s="53">
        <f>IF(AC4669="","",IF(IFERROR(INDEX(ctaMoneda,MATCH(AC4669,ctaNombre,0))&amp;"","DOP")="USD",T4669,S4669))</f>
        <v/>
      </c>
      <c r="AH4669" s="53">
        <f>IF(P4669="","",IF(AND(AD4669&lt;&gt;"",COUNTIFS(tcTipo,AD4669,tcLiq,"Sí")&gt;0),IF(OR(P4669="Gasto",P4669="Transferencia",P4669="Pago tarjeta"),-1,1)*S4669,0)+IF(AND(AE4669&lt;&gt;"",COUNTIFS(tcTipo,AE4669,tcLiq,"Sí")&gt;0),S4669,0))</f>
        <v/>
      </c>
      <c r="AI4669" s="52">
        <f>IF(OR(L4669="",P4669=""),"",IF(COUNTIFS(L$6:L4669,L4669,P$6:P4669,"?*")=1,MAX(AI$5:AI4668)+1,""))</f>
        <v/>
      </c>
    </row>
    <row r="4670">
      <c r="B4670" s="47" t="n"/>
      <c r="C4670" s="48" t="n"/>
      <c r="D4670" s="48" t="n"/>
      <c r="E4670" s="48" t="n"/>
      <c r="F4670" s="48" t="n"/>
      <c r="G4670" s="49" t="n"/>
      <c r="H4670" s="48" t="n"/>
      <c r="I4670" s="50" t="n"/>
      <c r="J4670" s="48" t="n"/>
      <c r="K4670" s="48" t="n"/>
      <c r="L4670" s="48" t="n"/>
      <c r="M4670" s="48" t="n"/>
      <c r="N4670" s="48" t="n"/>
      <c r="O4670" s="51">
        <f>IF(AND(B4670="",G4670="",C4670="",D4670="",J4670=""),"",IF(B4670="","⚠ Falta fecha",IF(G4670="","⚠ Falta monto",IF(Q4670="","⚠ Falta cuenta",IF(ISNA(MATCH(Q4670,ctaNombre,0)),"⚠ Cuenta no registrada",IF(AND(OR(P4670="Gasto",P4670="Reembolso"),D4670=""),"⚠ Falta categoría",IF(AND(D4670&lt;&gt;"",E4670&lt;&gt;"",ISNA(MATCH(D4670&amp;"|"&amp;E4670,catClave,0))),"⚠ Subcategoría no corresponde",IF(AND(OR(P4670="Transferencia",P4670="Pago tarjeta"),K4670=""),"⚠ Falta cuenta destino",IF(AND(K4670&lt;&gt;"",P4670&lt;&gt;"Transferencia",P4670&lt;&gt;"Pago tarjeta"),"⚠ Destino solo aplica a transferencias",IF(AND(K4670&lt;&gt;"",K4670=Q4670),"⚠ Origen igual a destino",IF(AND(K4670&lt;&gt;"",ISNA(MATCH(K4670,ctaNombre,0))),"⚠ Destino no registrado",IF(AND(P4670="Pago tarjeta",AE4670&lt;&gt;"Tarjeta de crédito"),"⚠ El destino debe ser tarjeta de crédito",IF(AND(P4670="Gasto",E4670="Depósitos y retiros"),"⚠ Usa tipo Transferencia",IF(AND(P4670="Resultado trading",AD4670&lt;&gt;"Cuenta de trading"),"⚠ Usa una cuenta de trading",IF(AND(G4670&lt;=0,P4670&lt;&gt;"Ajuste",P4670&lt;&gt;"Resultado trading"),"⚠ El monto debe ser positivo","✓")))))))))))))))</f>
        <v/>
      </c>
      <c r="P4670" s="52">
        <f>IF(OR(B4670="",G4670=""),"",IF(C4670="","Gasto",C4670))</f>
        <v/>
      </c>
      <c r="Q4670" s="52">
        <f>IF(P4670="","",IF(J4670&lt;&gt;"",J4670,CuentaPred&amp;""))</f>
        <v/>
      </c>
      <c r="R4670" s="52">
        <f>IF(P4670="","",IF(ISNUMBER(I4670),I4670,TasaUSD))</f>
        <v/>
      </c>
      <c r="S4670" s="53">
        <f>IF(P4670="","",IF(H4670="USD",G4670*R4670,G4670))</f>
        <v/>
      </c>
      <c r="T4670" s="53">
        <f>IF(P4670="","",IF(H4670="USD",G4670,IF(R4670&gt;0,G4670/R4670,0)))</f>
        <v/>
      </c>
      <c r="U4670" s="53">
        <f>IF(P4670="","",IF(P4670="Gasto",S4670,IF(P4670="Reembolso",-S4670,0)))</f>
        <v/>
      </c>
      <c r="V4670" s="53">
        <f>IF(P4670="","",IF(P4670="Ingreso",S4670,0))</f>
        <v/>
      </c>
      <c r="W4670" s="53">
        <f>IF(P4670="","",IF(P4670="Resultado trading",S4670,0))</f>
        <v/>
      </c>
      <c r="X4670" s="52">
        <f>IF(OR(P4670="Gasto",P4670="Reembolso"),IF(M4670&lt;&gt;"",M4670,IFERROR(INDEX(catClasif,MATCH(D4670&amp;"|"&amp;E4670,catClave,0))&amp;"","Variable")),"")</f>
        <v/>
      </c>
      <c r="Y4670" s="52">
        <f>IF(P4670="","",IFERROR(INDEX(catGrupo,MATCH(D4670&amp;"|"&amp;E4670,catClave,0))&amp;"",""))</f>
        <v/>
      </c>
      <c r="Z4670" s="52">
        <f>IF(P4670="","",WEEKDAY(B4670,2))</f>
        <v/>
      </c>
      <c r="AA4670" s="52">
        <f>IF(P4670="","",IF(AND(P4670="Gasto",X4670="Variable",D4670&lt;&gt;catTrading,S4670&gt;0,S4670&lt;=Umbral),1,0))</f>
        <v/>
      </c>
      <c r="AB4670" s="52">
        <f>IF(OR(P4670="",Q4670=""),"",IFERROR(IF(INDEX(ctaVinc,MATCH(Q4670,ctaNombre,0))&amp;""&lt;&gt;"",INDEX(ctaVinc,MATCH(Q4670,ctaNombre,0))&amp;"",Q4670),Q4670))</f>
        <v/>
      </c>
      <c r="AC4670" s="52">
        <f>IF(OR(K4670="",AND(P4670&lt;&gt;"Transferencia",P4670&lt;&gt;"Pago tarjeta")),"",IFERROR(IF(INDEX(ctaVinc,MATCH(K4670,ctaNombre,0))&amp;""&lt;&gt;"",INDEX(ctaVinc,MATCH(K4670,ctaNombre,0))&amp;"",K4670),K4670))</f>
        <v/>
      </c>
      <c r="AD4670" s="52">
        <f>IF(AB4670="","",IFERROR(INDEX(ctaTipo,MATCH(AB4670,ctaNombre,0))&amp;"",""))</f>
        <v/>
      </c>
      <c r="AE4670" s="52">
        <f>IF(AC4670="","",IFERROR(INDEX(ctaTipo,MATCH(AC4670,ctaNombre,0))&amp;"",""))</f>
        <v/>
      </c>
      <c r="AF4670" s="53">
        <f>IF(OR(P4670="",AB4670=""),"",IF(OR(P4670="Gasto",P4670="Transferencia",P4670="Pago tarjeta"),-1,1)*IF(IFERROR(INDEX(ctaMoneda,MATCH(AB4670,ctaNombre,0))&amp;"","DOP")="USD",T4670,S4670))</f>
        <v/>
      </c>
      <c r="AG4670" s="53">
        <f>IF(AC4670="","",IF(IFERROR(INDEX(ctaMoneda,MATCH(AC4670,ctaNombre,0))&amp;"","DOP")="USD",T4670,S4670))</f>
        <v/>
      </c>
      <c r="AH4670" s="53">
        <f>IF(P4670="","",IF(AND(AD4670&lt;&gt;"",COUNTIFS(tcTipo,AD4670,tcLiq,"Sí")&gt;0),IF(OR(P4670="Gasto",P4670="Transferencia",P4670="Pago tarjeta"),-1,1)*S4670,0)+IF(AND(AE4670&lt;&gt;"",COUNTIFS(tcTipo,AE4670,tcLiq,"Sí")&gt;0),S4670,0))</f>
        <v/>
      </c>
      <c r="AI4670" s="52">
        <f>IF(OR(L4670="",P4670=""),"",IF(COUNTIFS(L$6:L4670,L4670,P$6:P4670,"?*")=1,MAX(AI$5:AI4669)+1,""))</f>
        <v/>
      </c>
    </row>
    <row r="4671">
      <c r="B4671" s="47" t="n"/>
      <c r="C4671" s="48" t="n"/>
      <c r="D4671" s="48" t="n"/>
      <c r="E4671" s="48" t="n"/>
      <c r="F4671" s="48" t="n"/>
      <c r="G4671" s="49" t="n"/>
      <c r="H4671" s="48" t="n"/>
      <c r="I4671" s="50" t="n"/>
      <c r="J4671" s="48" t="n"/>
      <c r="K4671" s="48" t="n"/>
      <c r="L4671" s="48" t="n"/>
      <c r="M4671" s="48" t="n"/>
      <c r="N4671" s="48" t="n"/>
      <c r="O4671" s="51">
        <f>IF(AND(B4671="",G4671="",C4671="",D4671="",J4671=""),"",IF(B4671="","⚠ Falta fecha",IF(G4671="","⚠ Falta monto",IF(Q4671="","⚠ Falta cuenta",IF(ISNA(MATCH(Q4671,ctaNombre,0)),"⚠ Cuenta no registrada",IF(AND(OR(P4671="Gasto",P4671="Reembolso"),D4671=""),"⚠ Falta categoría",IF(AND(D4671&lt;&gt;"",E4671&lt;&gt;"",ISNA(MATCH(D4671&amp;"|"&amp;E4671,catClave,0))),"⚠ Subcategoría no corresponde",IF(AND(OR(P4671="Transferencia",P4671="Pago tarjeta"),K4671=""),"⚠ Falta cuenta destino",IF(AND(K4671&lt;&gt;"",P4671&lt;&gt;"Transferencia",P4671&lt;&gt;"Pago tarjeta"),"⚠ Destino solo aplica a transferencias",IF(AND(K4671&lt;&gt;"",K4671=Q4671),"⚠ Origen igual a destino",IF(AND(K4671&lt;&gt;"",ISNA(MATCH(K4671,ctaNombre,0))),"⚠ Destino no registrado",IF(AND(P4671="Pago tarjeta",AE4671&lt;&gt;"Tarjeta de crédito"),"⚠ El destino debe ser tarjeta de crédito",IF(AND(P4671="Gasto",E4671="Depósitos y retiros"),"⚠ Usa tipo Transferencia",IF(AND(P4671="Resultado trading",AD4671&lt;&gt;"Cuenta de trading"),"⚠ Usa una cuenta de trading",IF(AND(G4671&lt;=0,P4671&lt;&gt;"Ajuste",P4671&lt;&gt;"Resultado trading"),"⚠ El monto debe ser positivo","✓")))))))))))))))</f>
        <v/>
      </c>
      <c r="P4671" s="52">
        <f>IF(OR(B4671="",G4671=""),"",IF(C4671="","Gasto",C4671))</f>
        <v/>
      </c>
      <c r="Q4671" s="52">
        <f>IF(P4671="","",IF(J4671&lt;&gt;"",J4671,CuentaPred&amp;""))</f>
        <v/>
      </c>
      <c r="R4671" s="52">
        <f>IF(P4671="","",IF(ISNUMBER(I4671),I4671,TasaUSD))</f>
        <v/>
      </c>
      <c r="S4671" s="53">
        <f>IF(P4671="","",IF(H4671="USD",G4671*R4671,G4671))</f>
        <v/>
      </c>
      <c r="T4671" s="53">
        <f>IF(P4671="","",IF(H4671="USD",G4671,IF(R4671&gt;0,G4671/R4671,0)))</f>
        <v/>
      </c>
      <c r="U4671" s="53">
        <f>IF(P4671="","",IF(P4671="Gasto",S4671,IF(P4671="Reembolso",-S4671,0)))</f>
        <v/>
      </c>
      <c r="V4671" s="53">
        <f>IF(P4671="","",IF(P4671="Ingreso",S4671,0))</f>
        <v/>
      </c>
      <c r="W4671" s="53">
        <f>IF(P4671="","",IF(P4671="Resultado trading",S4671,0))</f>
        <v/>
      </c>
      <c r="X4671" s="52">
        <f>IF(OR(P4671="Gasto",P4671="Reembolso"),IF(M4671&lt;&gt;"",M4671,IFERROR(INDEX(catClasif,MATCH(D4671&amp;"|"&amp;E4671,catClave,0))&amp;"","Variable")),"")</f>
        <v/>
      </c>
      <c r="Y4671" s="52">
        <f>IF(P4671="","",IFERROR(INDEX(catGrupo,MATCH(D4671&amp;"|"&amp;E4671,catClave,0))&amp;"",""))</f>
        <v/>
      </c>
      <c r="Z4671" s="52">
        <f>IF(P4671="","",WEEKDAY(B4671,2))</f>
        <v/>
      </c>
      <c r="AA4671" s="52">
        <f>IF(P4671="","",IF(AND(P4671="Gasto",X4671="Variable",D4671&lt;&gt;catTrading,S4671&gt;0,S4671&lt;=Umbral),1,0))</f>
        <v/>
      </c>
      <c r="AB4671" s="52">
        <f>IF(OR(P4671="",Q4671=""),"",IFERROR(IF(INDEX(ctaVinc,MATCH(Q4671,ctaNombre,0))&amp;""&lt;&gt;"",INDEX(ctaVinc,MATCH(Q4671,ctaNombre,0))&amp;"",Q4671),Q4671))</f>
        <v/>
      </c>
      <c r="AC4671" s="52">
        <f>IF(OR(K4671="",AND(P4671&lt;&gt;"Transferencia",P4671&lt;&gt;"Pago tarjeta")),"",IFERROR(IF(INDEX(ctaVinc,MATCH(K4671,ctaNombre,0))&amp;""&lt;&gt;"",INDEX(ctaVinc,MATCH(K4671,ctaNombre,0))&amp;"",K4671),K4671))</f>
        <v/>
      </c>
      <c r="AD4671" s="52">
        <f>IF(AB4671="","",IFERROR(INDEX(ctaTipo,MATCH(AB4671,ctaNombre,0))&amp;"",""))</f>
        <v/>
      </c>
      <c r="AE4671" s="52">
        <f>IF(AC4671="","",IFERROR(INDEX(ctaTipo,MATCH(AC4671,ctaNombre,0))&amp;"",""))</f>
        <v/>
      </c>
      <c r="AF4671" s="53">
        <f>IF(OR(P4671="",AB4671=""),"",IF(OR(P4671="Gasto",P4671="Transferencia",P4671="Pago tarjeta"),-1,1)*IF(IFERROR(INDEX(ctaMoneda,MATCH(AB4671,ctaNombre,0))&amp;"","DOP")="USD",T4671,S4671))</f>
        <v/>
      </c>
      <c r="AG4671" s="53">
        <f>IF(AC4671="","",IF(IFERROR(INDEX(ctaMoneda,MATCH(AC4671,ctaNombre,0))&amp;"","DOP")="USD",T4671,S4671))</f>
        <v/>
      </c>
      <c r="AH4671" s="53">
        <f>IF(P4671="","",IF(AND(AD4671&lt;&gt;"",COUNTIFS(tcTipo,AD4671,tcLiq,"Sí")&gt;0),IF(OR(P4671="Gasto",P4671="Transferencia",P4671="Pago tarjeta"),-1,1)*S4671,0)+IF(AND(AE4671&lt;&gt;"",COUNTIFS(tcTipo,AE4671,tcLiq,"Sí")&gt;0),S4671,0))</f>
        <v/>
      </c>
      <c r="AI4671" s="52">
        <f>IF(OR(L4671="",P4671=""),"",IF(COUNTIFS(L$6:L4671,L4671,P$6:P4671,"?*")=1,MAX(AI$5:AI4670)+1,""))</f>
        <v/>
      </c>
    </row>
    <row r="4672">
      <c r="B4672" s="47" t="n"/>
      <c r="C4672" s="48" t="n"/>
      <c r="D4672" s="48" t="n"/>
      <c r="E4672" s="48" t="n"/>
      <c r="F4672" s="48" t="n"/>
      <c r="G4672" s="49" t="n"/>
      <c r="H4672" s="48" t="n"/>
      <c r="I4672" s="50" t="n"/>
      <c r="J4672" s="48" t="n"/>
      <c r="K4672" s="48" t="n"/>
      <c r="L4672" s="48" t="n"/>
      <c r="M4672" s="48" t="n"/>
      <c r="N4672" s="48" t="n"/>
      <c r="O4672" s="51">
        <f>IF(AND(B4672="",G4672="",C4672="",D4672="",J4672=""),"",IF(B4672="","⚠ Falta fecha",IF(G4672="","⚠ Falta monto",IF(Q4672="","⚠ Falta cuenta",IF(ISNA(MATCH(Q4672,ctaNombre,0)),"⚠ Cuenta no registrada",IF(AND(OR(P4672="Gasto",P4672="Reembolso"),D4672=""),"⚠ Falta categoría",IF(AND(D4672&lt;&gt;"",E4672&lt;&gt;"",ISNA(MATCH(D4672&amp;"|"&amp;E4672,catClave,0))),"⚠ Subcategoría no corresponde",IF(AND(OR(P4672="Transferencia",P4672="Pago tarjeta"),K4672=""),"⚠ Falta cuenta destino",IF(AND(K4672&lt;&gt;"",P4672&lt;&gt;"Transferencia",P4672&lt;&gt;"Pago tarjeta"),"⚠ Destino solo aplica a transferencias",IF(AND(K4672&lt;&gt;"",K4672=Q4672),"⚠ Origen igual a destino",IF(AND(K4672&lt;&gt;"",ISNA(MATCH(K4672,ctaNombre,0))),"⚠ Destino no registrado",IF(AND(P4672="Pago tarjeta",AE4672&lt;&gt;"Tarjeta de crédito"),"⚠ El destino debe ser tarjeta de crédito",IF(AND(P4672="Gasto",E4672="Depósitos y retiros"),"⚠ Usa tipo Transferencia",IF(AND(P4672="Resultado trading",AD4672&lt;&gt;"Cuenta de trading"),"⚠ Usa una cuenta de trading",IF(AND(G4672&lt;=0,P4672&lt;&gt;"Ajuste",P4672&lt;&gt;"Resultado trading"),"⚠ El monto debe ser positivo","✓")))))))))))))))</f>
        <v/>
      </c>
      <c r="P4672" s="52">
        <f>IF(OR(B4672="",G4672=""),"",IF(C4672="","Gasto",C4672))</f>
        <v/>
      </c>
      <c r="Q4672" s="52">
        <f>IF(P4672="","",IF(J4672&lt;&gt;"",J4672,CuentaPred&amp;""))</f>
        <v/>
      </c>
      <c r="R4672" s="52">
        <f>IF(P4672="","",IF(ISNUMBER(I4672),I4672,TasaUSD))</f>
        <v/>
      </c>
      <c r="S4672" s="53">
        <f>IF(P4672="","",IF(H4672="USD",G4672*R4672,G4672))</f>
        <v/>
      </c>
      <c r="T4672" s="53">
        <f>IF(P4672="","",IF(H4672="USD",G4672,IF(R4672&gt;0,G4672/R4672,0)))</f>
        <v/>
      </c>
      <c r="U4672" s="53">
        <f>IF(P4672="","",IF(P4672="Gasto",S4672,IF(P4672="Reembolso",-S4672,0)))</f>
        <v/>
      </c>
      <c r="V4672" s="53">
        <f>IF(P4672="","",IF(P4672="Ingreso",S4672,0))</f>
        <v/>
      </c>
      <c r="W4672" s="53">
        <f>IF(P4672="","",IF(P4672="Resultado trading",S4672,0))</f>
        <v/>
      </c>
      <c r="X4672" s="52">
        <f>IF(OR(P4672="Gasto",P4672="Reembolso"),IF(M4672&lt;&gt;"",M4672,IFERROR(INDEX(catClasif,MATCH(D4672&amp;"|"&amp;E4672,catClave,0))&amp;"","Variable")),"")</f>
        <v/>
      </c>
      <c r="Y4672" s="52">
        <f>IF(P4672="","",IFERROR(INDEX(catGrupo,MATCH(D4672&amp;"|"&amp;E4672,catClave,0))&amp;"",""))</f>
        <v/>
      </c>
      <c r="Z4672" s="52">
        <f>IF(P4672="","",WEEKDAY(B4672,2))</f>
        <v/>
      </c>
      <c r="AA4672" s="52">
        <f>IF(P4672="","",IF(AND(P4672="Gasto",X4672="Variable",D4672&lt;&gt;catTrading,S4672&gt;0,S4672&lt;=Umbral),1,0))</f>
        <v/>
      </c>
      <c r="AB4672" s="52">
        <f>IF(OR(P4672="",Q4672=""),"",IFERROR(IF(INDEX(ctaVinc,MATCH(Q4672,ctaNombre,0))&amp;""&lt;&gt;"",INDEX(ctaVinc,MATCH(Q4672,ctaNombre,0))&amp;"",Q4672),Q4672))</f>
        <v/>
      </c>
      <c r="AC4672" s="52">
        <f>IF(OR(K4672="",AND(P4672&lt;&gt;"Transferencia",P4672&lt;&gt;"Pago tarjeta")),"",IFERROR(IF(INDEX(ctaVinc,MATCH(K4672,ctaNombre,0))&amp;""&lt;&gt;"",INDEX(ctaVinc,MATCH(K4672,ctaNombre,0))&amp;"",K4672),K4672))</f>
        <v/>
      </c>
      <c r="AD4672" s="52">
        <f>IF(AB4672="","",IFERROR(INDEX(ctaTipo,MATCH(AB4672,ctaNombre,0))&amp;"",""))</f>
        <v/>
      </c>
      <c r="AE4672" s="52">
        <f>IF(AC4672="","",IFERROR(INDEX(ctaTipo,MATCH(AC4672,ctaNombre,0))&amp;"",""))</f>
        <v/>
      </c>
      <c r="AF4672" s="53">
        <f>IF(OR(P4672="",AB4672=""),"",IF(OR(P4672="Gasto",P4672="Transferencia",P4672="Pago tarjeta"),-1,1)*IF(IFERROR(INDEX(ctaMoneda,MATCH(AB4672,ctaNombre,0))&amp;"","DOP")="USD",T4672,S4672))</f>
        <v/>
      </c>
      <c r="AG4672" s="53">
        <f>IF(AC4672="","",IF(IFERROR(INDEX(ctaMoneda,MATCH(AC4672,ctaNombre,0))&amp;"","DOP")="USD",T4672,S4672))</f>
        <v/>
      </c>
      <c r="AH4672" s="53">
        <f>IF(P4672="","",IF(AND(AD4672&lt;&gt;"",COUNTIFS(tcTipo,AD4672,tcLiq,"Sí")&gt;0),IF(OR(P4672="Gasto",P4672="Transferencia",P4672="Pago tarjeta"),-1,1)*S4672,0)+IF(AND(AE4672&lt;&gt;"",COUNTIFS(tcTipo,AE4672,tcLiq,"Sí")&gt;0),S4672,0))</f>
        <v/>
      </c>
      <c r="AI4672" s="52">
        <f>IF(OR(L4672="",P4672=""),"",IF(COUNTIFS(L$6:L4672,L4672,P$6:P4672,"?*")=1,MAX(AI$5:AI4671)+1,""))</f>
        <v/>
      </c>
    </row>
    <row r="4673">
      <c r="B4673" s="47" t="n"/>
      <c r="C4673" s="48" t="n"/>
      <c r="D4673" s="48" t="n"/>
      <c r="E4673" s="48" t="n"/>
      <c r="F4673" s="48" t="n"/>
      <c r="G4673" s="49" t="n"/>
      <c r="H4673" s="48" t="n"/>
      <c r="I4673" s="50" t="n"/>
      <c r="J4673" s="48" t="n"/>
      <c r="K4673" s="48" t="n"/>
      <c r="L4673" s="48" t="n"/>
      <c r="M4673" s="48" t="n"/>
      <c r="N4673" s="48" t="n"/>
      <c r="O4673" s="51">
        <f>IF(AND(B4673="",G4673="",C4673="",D4673="",J4673=""),"",IF(B4673="","⚠ Falta fecha",IF(G4673="","⚠ Falta monto",IF(Q4673="","⚠ Falta cuenta",IF(ISNA(MATCH(Q4673,ctaNombre,0)),"⚠ Cuenta no registrada",IF(AND(OR(P4673="Gasto",P4673="Reembolso"),D4673=""),"⚠ Falta categoría",IF(AND(D4673&lt;&gt;"",E4673&lt;&gt;"",ISNA(MATCH(D4673&amp;"|"&amp;E4673,catClave,0))),"⚠ Subcategoría no corresponde",IF(AND(OR(P4673="Transferencia",P4673="Pago tarjeta"),K4673=""),"⚠ Falta cuenta destino",IF(AND(K4673&lt;&gt;"",P4673&lt;&gt;"Transferencia",P4673&lt;&gt;"Pago tarjeta"),"⚠ Destino solo aplica a transferencias",IF(AND(K4673&lt;&gt;"",K4673=Q4673),"⚠ Origen igual a destino",IF(AND(K4673&lt;&gt;"",ISNA(MATCH(K4673,ctaNombre,0))),"⚠ Destino no registrado",IF(AND(P4673="Pago tarjeta",AE4673&lt;&gt;"Tarjeta de crédito"),"⚠ El destino debe ser tarjeta de crédito",IF(AND(P4673="Gasto",E4673="Depósitos y retiros"),"⚠ Usa tipo Transferencia",IF(AND(P4673="Resultado trading",AD4673&lt;&gt;"Cuenta de trading"),"⚠ Usa una cuenta de trading",IF(AND(G4673&lt;=0,P4673&lt;&gt;"Ajuste",P4673&lt;&gt;"Resultado trading"),"⚠ El monto debe ser positivo","✓")))))))))))))))</f>
        <v/>
      </c>
      <c r="P4673" s="52">
        <f>IF(OR(B4673="",G4673=""),"",IF(C4673="","Gasto",C4673))</f>
        <v/>
      </c>
      <c r="Q4673" s="52">
        <f>IF(P4673="","",IF(J4673&lt;&gt;"",J4673,CuentaPred&amp;""))</f>
        <v/>
      </c>
      <c r="R4673" s="52">
        <f>IF(P4673="","",IF(ISNUMBER(I4673),I4673,TasaUSD))</f>
        <v/>
      </c>
      <c r="S4673" s="53">
        <f>IF(P4673="","",IF(H4673="USD",G4673*R4673,G4673))</f>
        <v/>
      </c>
      <c r="T4673" s="53">
        <f>IF(P4673="","",IF(H4673="USD",G4673,IF(R4673&gt;0,G4673/R4673,0)))</f>
        <v/>
      </c>
      <c r="U4673" s="53">
        <f>IF(P4673="","",IF(P4673="Gasto",S4673,IF(P4673="Reembolso",-S4673,0)))</f>
        <v/>
      </c>
      <c r="V4673" s="53">
        <f>IF(P4673="","",IF(P4673="Ingreso",S4673,0))</f>
        <v/>
      </c>
      <c r="W4673" s="53">
        <f>IF(P4673="","",IF(P4673="Resultado trading",S4673,0))</f>
        <v/>
      </c>
      <c r="X4673" s="52">
        <f>IF(OR(P4673="Gasto",P4673="Reembolso"),IF(M4673&lt;&gt;"",M4673,IFERROR(INDEX(catClasif,MATCH(D4673&amp;"|"&amp;E4673,catClave,0))&amp;"","Variable")),"")</f>
        <v/>
      </c>
      <c r="Y4673" s="52">
        <f>IF(P4673="","",IFERROR(INDEX(catGrupo,MATCH(D4673&amp;"|"&amp;E4673,catClave,0))&amp;"",""))</f>
        <v/>
      </c>
      <c r="Z4673" s="52">
        <f>IF(P4673="","",WEEKDAY(B4673,2))</f>
        <v/>
      </c>
      <c r="AA4673" s="52">
        <f>IF(P4673="","",IF(AND(P4673="Gasto",X4673="Variable",D4673&lt;&gt;catTrading,S4673&gt;0,S4673&lt;=Umbral),1,0))</f>
        <v/>
      </c>
      <c r="AB4673" s="52">
        <f>IF(OR(P4673="",Q4673=""),"",IFERROR(IF(INDEX(ctaVinc,MATCH(Q4673,ctaNombre,0))&amp;""&lt;&gt;"",INDEX(ctaVinc,MATCH(Q4673,ctaNombre,0))&amp;"",Q4673),Q4673))</f>
        <v/>
      </c>
      <c r="AC4673" s="52">
        <f>IF(OR(K4673="",AND(P4673&lt;&gt;"Transferencia",P4673&lt;&gt;"Pago tarjeta")),"",IFERROR(IF(INDEX(ctaVinc,MATCH(K4673,ctaNombre,0))&amp;""&lt;&gt;"",INDEX(ctaVinc,MATCH(K4673,ctaNombre,0))&amp;"",K4673),K4673))</f>
        <v/>
      </c>
      <c r="AD4673" s="52">
        <f>IF(AB4673="","",IFERROR(INDEX(ctaTipo,MATCH(AB4673,ctaNombre,0))&amp;"",""))</f>
        <v/>
      </c>
      <c r="AE4673" s="52">
        <f>IF(AC4673="","",IFERROR(INDEX(ctaTipo,MATCH(AC4673,ctaNombre,0))&amp;"",""))</f>
        <v/>
      </c>
      <c r="AF4673" s="53">
        <f>IF(OR(P4673="",AB4673=""),"",IF(OR(P4673="Gasto",P4673="Transferencia",P4673="Pago tarjeta"),-1,1)*IF(IFERROR(INDEX(ctaMoneda,MATCH(AB4673,ctaNombre,0))&amp;"","DOP")="USD",T4673,S4673))</f>
        <v/>
      </c>
      <c r="AG4673" s="53">
        <f>IF(AC4673="","",IF(IFERROR(INDEX(ctaMoneda,MATCH(AC4673,ctaNombre,0))&amp;"","DOP")="USD",T4673,S4673))</f>
        <v/>
      </c>
      <c r="AH4673" s="53">
        <f>IF(P4673="","",IF(AND(AD4673&lt;&gt;"",COUNTIFS(tcTipo,AD4673,tcLiq,"Sí")&gt;0),IF(OR(P4673="Gasto",P4673="Transferencia",P4673="Pago tarjeta"),-1,1)*S4673,0)+IF(AND(AE4673&lt;&gt;"",COUNTIFS(tcTipo,AE4673,tcLiq,"Sí")&gt;0),S4673,0))</f>
        <v/>
      </c>
      <c r="AI4673" s="52">
        <f>IF(OR(L4673="",P4673=""),"",IF(COUNTIFS(L$6:L4673,L4673,P$6:P4673,"?*")=1,MAX(AI$5:AI4672)+1,""))</f>
        <v/>
      </c>
    </row>
    <row r="4674">
      <c r="B4674" s="47" t="n"/>
      <c r="C4674" s="48" t="n"/>
      <c r="D4674" s="48" t="n"/>
      <c r="E4674" s="48" t="n"/>
      <c r="F4674" s="48" t="n"/>
      <c r="G4674" s="49" t="n"/>
      <c r="H4674" s="48" t="n"/>
      <c r="I4674" s="50" t="n"/>
      <c r="J4674" s="48" t="n"/>
      <c r="K4674" s="48" t="n"/>
      <c r="L4674" s="48" t="n"/>
      <c r="M4674" s="48" t="n"/>
      <c r="N4674" s="48" t="n"/>
      <c r="O4674" s="51">
        <f>IF(AND(B4674="",G4674="",C4674="",D4674="",J4674=""),"",IF(B4674="","⚠ Falta fecha",IF(G4674="","⚠ Falta monto",IF(Q4674="","⚠ Falta cuenta",IF(ISNA(MATCH(Q4674,ctaNombre,0)),"⚠ Cuenta no registrada",IF(AND(OR(P4674="Gasto",P4674="Reembolso"),D4674=""),"⚠ Falta categoría",IF(AND(D4674&lt;&gt;"",E4674&lt;&gt;"",ISNA(MATCH(D4674&amp;"|"&amp;E4674,catClave,0))),"⚠ Subcategoría no corresponde",IF(AND(OR(P4674="Transferencia",P4674="Pago tarjeta"),K4674=""),"⚠ Falta cuenta destino",IF(AND(K4674&lt;&gt;"",P4674&lt;&gt;"Transferencia",P4674&lt;&gt;"Pago tarjeta"),"⚠ Destino solo aplica a transferencias",IF(AND(K4674&lt;&gt;"",K4674=Q4674),"⚠ Origen igual a destino",IF(AND(K4674&lt;&gt;"",ISNA(MATCH(K4674,ctaNombre,0))),"⚠ Destino no registrado",IF(AND(P4674="Pago tarjeta",AE4674&lt;&gt;"Tarjeta de crédito"),"⚠ El destino debe ser tarjeta de crédito",IF(AND(P4674="Gasto",E4674="Depósitos y retiros"),"⚠ Usa tipo Transferencia",IF(AND(P4674="Resultado trading",AD4674&lt;&gt;"Cuenta de trading"),"⚠ Usa una cuenta de trading",IF(AND(G4674&lt;=0,P4674&lt;&gt;"Ajuste",P4674&lt;&gt;"Resultado trading"),"⚠ El monto debe ser positivo","✓")))))))))))))))</f>
        <v/>
      </c>
      <c r="P4674" s="52">
        <f>IF(OR(B4674="",G4674=""),"",IF(C4674="","Gasto",C4674))</f>
        <v/>
      </c>
      <c r="Q4674" s="52">
        <f>IF(P4674="","",IF(J4674&lt;&gt;"",J4674,CuentaPred&amp;""))</f>
        <v/>
      </c>
      <c r="R4674" s="52">
        <f>IF(P4674="","",IF(ISNUMBER(I4674),I4674,TasaUSD))</f>
        <v/>
      </c>
      <c r="S4674" s="53">
        <f>IF(P4674="","",IF(H4674="USD",G4674*R4674,G4674))</f>
        <v/>
      </c>
      <c r="T4674" s="53">
        <f>IF(P4674="","",IF(H4674="USD",G4674,IF(R4674&gt;0,G4674/R4674,0)))</f>
        <v/>
      </c>
      <c r="U4674" s="53">
        <f>IF(P4674="","",IF(P4674="Gasto",S4674,IF(P4674="Reembolso",-S4674,0)))</f>
        <v/>
      </c>
      <c r="V4674" s="53">
        <f>IF(P4674="","",IF(P4674="Ingreso",S4674,0))</f>
        <v/>
      </c>
      <c r="W4674" s="53">
        <f>IF(P4674="","",IF(P4674="Resultado trading",S4674,0))</f>
        <v/>
      </c>
      <c r="X4674" s="52">
        <f>IF(OR(P4674="Gasto",P4674="Reembolso"),IF(M4674&lt;&gt;"",M4674,IFERROR(INDEX(catClasif,MATCH(D4674&amp;"|"&amp;E4674,catClave,0))&amp;"","Variable")),"")</f>
        <v/>
      </c>
      <c r="Y4674" s="52">
        <f>IF(P4674="","",IFERROR(INDEX(catGrupo,MATCH(D4674&amp;"|"&amp;E4674,catClave,0))&amp;"",""))</f>
        <v/>
      </c>
      <c r="Z4674" s="52">
        <f>IF(P4674="","",WEEKDAY(B4674,2))</f>
        <v/>
      </c>
      <c r="AA4674" s="52">
        <f>IF(P4674="","",IF(AND(P4674="Gasto",X4674="Variable",D4674&lt;&gt;catTrading,S4674&gt;0,S4674&lt;=Umbral),1,0))</f>
        <v/>
      </c>
      <c r="AB4674" s="52">
        <f>IF(OR(P4674="",Q4674=""),"",IFERROR(IF(INDEX(ctaVinc,MATCH(Q4674,ctaNombre,0))&amp;""&lt;&gt;"",INDEX(ctaVinc,MATCH(Q4674,ctaNombre,0))&amp;"",Q4674),Q4674))</f>
        <v/>
      </c>
      <c r="AC4674" s="52">
        <f>IF(OR(K4674="",AND(P4674&lt;&gt;"Transferencia",P4674&lt;&gt;"Pago tarjeta")),"",IFERROR(IF(INDEX(ctaVinc,MATCH(K4674,ctaNombre,0))&amp;""&lt;&gt;"",INDEX(ctaVinc,MATCH(K4674,ctaNombre,0))&amp;"",K4674),K4674))</f>
        <v/>
      </c>
      <c r="AD4674" s="52">
        <f>IF(AB4674="","",IFERROR(INDEX(ctaTipo,MATCH(AB4674,ctaNombre,0))&amp;"",""))</f>
        <v/>
      </c>
      <c r="AE4674" s="52">
        <f>IF(AC4674="","",IFERROR(INDEX(ctaTipo,MATCH(AC4674,ctaNombre,0))&amp;"",""))</f>
        <v/>
      </c>
      <c r="AF4674" s="53">
        <f>IF(OR(P4674="",AB4674=""),"",IF(OR(P4674="Gasto",P4674="Transferencia",P4674="Pago tarjeta"),-1,1)*IF(IFERROR(INDEX(ctaMoneda,MATCH(AB4674,ctaNombre,0))&amp;"","DOP")="USD",T4674,S4674))</f>
        <v/>
      </c>
      <c r="AG4674" s="53">
        <f>IF(AC4674="","",IF(IFERROR(INDEX(ctaMoneda,MATCH(AC4674,ctaNombre,0))&amp;"","DOP")="USD",T4674,S4674))</f>
        <v/>
      </c>
      <c r="AH4674" s="53">
        <f>IF(P4674="","",IF(AND(AD4674&lt;&gt;"",COUNTIFS(tcTipo,AD4674,tcLiq,"Sí")&gt;0),IF(OR(P4674="Gasto",P4674="Transferencia",P4674="Pago tarjeta"),-1,1)*S4674,0)+IF(AND(AE4674&lt;&gt;"",COUNTIFS(tcTipo,AE4674,tcLiq,"Sí")&gt;0),S4674,0))</f>
        <v/>
      </c>
      <c r="AI4674" s="52">
        <f>IF(OR(L4674="",P4674=""),"",IF(COUNTIFS(L$6:L4674,L4674,P$6:P4674,"?*")=1,MAX(AI$5:AI4673)+1,""))</f>
        <v/>
      </c>
    </row>
    <row r="4675">
      <c r="B4675" s="47" t="n"/>
      <c r="C4675" s="48" t="n"/>
      <c r="D4675" s="48" t="n"/>
      <c r="E4675" s="48" t="n"/>
      <c r="F4675" s="48" t="n"/>
      <c r="G4675" s="49" t="n"/>
      <c r="H4675" s="48" t="n"/>
      <c r="I4675" s="50" t="n"/>
      <c r="J4675" s="48" t="n"/>
      <c r="K4675" s="48" t="n"/>
      <c r="L4675" s="48" t="n"/>
      <c r="M4675" s="48" t="n"/>
      <c r="N4675" s="48" t="n"/>
      <c r="O4675" s="51">
        <f>IF(AND(B4675="",G4675="",C4675="",D4675="",J4675=""),"",IF(B4675="","⚠ Falta fecha",IF(G4675="","⚠ Falta monto",IF(Q4675="","⚠ Falta cuenta",IF(ISNA(MATCH(Q4675,ctaNombre,0)),"⚠ Cuenta no registrada",IF(AND(OR(P4675="Gasto",P4675="Reembolso"),D4675=""),"⚠ Falta categoría",IF(AND(D4675&lt;&gt;"",E4675&lt;&gt;"",ISNA(MATCH(D4675&amp;"|"&amp;E4675,catClave,0))),"⚠ Subcategoría no corresponde",IF(AND(OR(P4675="Transferencia",P4675="Pago tarjeta"),K4675=""),"⚠ Falta cuenta destino",IF(AND(K4675&lt;&gt;"",P4675&lt;&gt;"Transferencia",P4675&lt;&gt;"Pago tarjeta"),"⚠ Destino solo aplica a transferencias",IF(AND(K4675&lt;&gt;"",K4675=Q4675),"⚠ Origen igual a destino",IF(AND(K4675&lt;&gt;"",ISNA(MATCH(K4675,ctaNombre,0))),"⚠ Destino no registrado",IF(AND(P4675="Pago tarjeta",AE4675&lt;&gt;"Tarjeta de crédito"),"⚠ El destino debe ser tarjeta de crédito",IF(AND(P4675="Gasto",E4675="Depósitos y retiros"),"⚠ Usa tipo Transferencia",IF(AND(P4675="Resultado trading",AD4675&lt;&gt;"Cuenta de trading"),"⚠ Usa una cuenta de trading",IF(AND(G4675&lt;=0,P4675&lt;&gt;"Ajuste",P4675&lt;&gt;"Resultado trading"),"⚠ El monto debe ser positivo","✓")))))))))))))))</f>
        <v/>
      </c>
      <c r="P4675" s="52">
        <f>IF(OR(B4675="",G4675=""),"",IF(C4675="","Gasto",C4675))</f>
        <v/>
      </c>
      <c r="Q4675" s="52">
        <f>IF(P4675="","",IF(J4675&lt;&gt;"",J4675,CuentaPred&amp;""))</f>
        <v/>
      </c>
      <c r="R4675" s="52">
        <f>IF(P4675="","",IF(ISNUMBER(I4675),I4675,TasaUSD))</f>
        <v/>
      </c>
      <c r="S4675" s="53">
        <f>IF(P4675="","",IF(H4675="USD",G4675*R4675,G4675))</f>
        <v/>
      </c>
      <c r="T4675" s="53">
        <f>IF(P4675="","",IF(H4675="USD",G4675,IF(R4675&gt;0,G4675/R4675,0)))</f>
        <v/>
      </c>
      <c r="U4675" s="53">
        <f>IF(P4675="","",IF(P4675="Gasto",S4675,IF(P4675="Reembolso",-S4675,0)))</f>
        <v/>
      </c>
      <c r="V4675" s="53">
        <f>IF(P4675="","",IF(P4675="Ingreso",S4675,0))</f>
        <v/>
      </c>
      <c r="W4675" s="53">
        <f>IF(P4675="","",IF(P4675="Resultado trading",S4675,0))</f>
        <v/>
      </c>
      <c r="X4675" s="52">
        <f>IF(OR(P4675="Gasto",P4675="Reembolso"),IF(M4675&lt;&gt;"",M4675,IFERROR(INDEX(catClasif,MATCH(D4675&amp;"|"&amp;E4675,catClave,0))&amp;"","Variable")),"")</f>
        <v/>
      </c>
      <c r="Y4675" s="52">
        <f>IF(P4675="","",IFERROR(INDEX(catGrupo,MATCH(D4675&amp;"|"&amp;E4675,catClave,0))&amp;"",""))</f>
        <v/>
      </c>
      <c r="Z4675" s="52">
        <f>IF(P4675="","",WEEKDAY(B4675,2))</f>
        <v/>
      </c>
      <c r="AA4675" s="52">
        <f>IF(P4675="","",IF(AND(P4675="Gasto",X4675="Variable",D4675&lt;&gt;catTrading,S4675&gt;0,S4675&lt;=Umbral),1,0))</f>
        <v/>
      </c>
      <c r="AB4675" s="52">
        <f>IF(OR(P4675="",Q4675=""),"",IFERROR(IF(INDEX(ctaVinc,MATCH(Q4675,ctaNombre,0))&amp;""&lt;&gt;"",INDEX(ctaVinc,MATCH(Q4675,ctaNombre,0))&amp;"",Q4675),Q4675))</f>
        <v/>
      </c>
      <c r="AC4675" s="52">
        <f>IF(OR(K4675="",AND(P4675&lt;&gt;"Transferencia",P4675&lt;&gt;"Pago tarjeta")),"",IFERROR(IF(INDEX(ctaVinc,MATCH(K4675,ctaNombre,0))&amp;""&lt;&gt;"",INDEX(ctaVinc,MATCH(K4675,ctaNombre,0))&amp;"",K4675),K4675))</f>
        <v/>
      </c>
      <c r="AD4675" s="52">
        <f>IF(AB4675="","",IFERROR(INDEX(ctaTipo,MATCH(AB4675,ctaNombre,0))&amp;"",""))</f>
        <v/>
      </c>
      <c r="AE4675" s="52">
        <f>IF(AC4675="","",IFERROR(INDEX(ctaTipo,MATCH(AC4675,ctaNombre,0))&amp;"",""))</f>
        <v/>
      </c>
      <c r="AF4675" s="53">
        <f>IF(OR(P4675="",AB4675=""),"",IF(OR(P4675="Gasto",P4675="Transferencia",P4675="Pago tarjeta"),-1,1)*IF(IFERROR(INDEX(ctaMoneda,MATCH(AB4675,ctaNombre,0))&amp;"","DOP")="USD",T4675,S4675))</f>
        <v/>
      </c>
      <c r="AG4675" s="53">
        <f>IF(AC4675="","",IF(IFERROR(INDEX(ctaMoneda,MATCH(AC4675,ctaNombre,0))&amp;"","DOP")="USD",T4675,S4675))</f>
        <v/>
      </c>
      <c r="AH4675" s="53">
        <f>IF(P4675="","",IF(AND(AD4675&lt;&gt;"",COUNTIFS(tcTipo,AD4675,tcLiq,"Sí")&gt;0),IF(OR(P4675="Gasto",P4675="Transferencia",P4675="Pago tarjeta"),-1,1)*S4675,0)+IF(AND(AE4675&lt;&gt;"",COUNTIFS(tcTipo,AE4675,tcLiq,"Sí")&gt;0),S4675,0))</f>
        <v/>
      </c>
      <c r="AI4675" s="52">
        <f>IF(OR(L4675="",P4675=""),"",IF(COUNTIFS(L$6:L4675,L4675,P$6:P4675,"?*")=1,MAX(AI$5:AI4674)+1,""))</f>
        <v/>
      </c>
    </row>
    <row r="4676">
      <c r="B4676" s="47" t="n"/>
      <c r="C4676" s="48" t="n"/>
      <c r="D4676" s="48" t="n"/>
      <c r="E4676" s="48" t="n"/>
      <c r="F4676" s="48" t="n"/>
      <c r="G4676" s="49" t="n"/>
      <c r="H4676" s="48" t="n"/>
      <c r="I4676" s="50" t="n"/>
      <c r="J4676" s="48" t="n"/>
      <c r="K4676" s="48" t="n"/>
      <c r="L4676" s="48" t="n"/>
      <c r="M4676" s="48" t="n"/>
      <c r="N4676" s="48" t="n"/>
      <c r="O4676" s="51">
        <f>IF(AND(B4676="",G4676="",C4676="",D4676="",J4676=""),"",IF(B4676="","⚠ Falta fecha",IF(G4676="","⚠ Falta monto",IF(Q4676="","⚠ Falta cuenta",IF(ISNA(MATCH(Q4676,ctaNombre,0)),"⚠ Cuenta no registrada",IF(AND(OR(P4676="Gasto",P4676="Reembolso"),D4676=""),"⚠ Falta categoría",IF(AND(D4676&lt;&gt;"",E4676&lt;&gt;"",ISNA(MATCH(D4676&amp;"|"&amp;E4676,catClave,0))),"⚠ Subcategoría no corresponde",IF(AND(OR(P4676="Transferencia",P4676="Pago tarjeta"),K4676=""),"⚠ Falta cuenta destino",IF(AND(K4676&lt;&gt;"",P4676&lt;&gt;"Transferencia",P4676&lt;&gt;"Pago tarjeta"),"⚠ Destino solo aplica a transferencias",IF(AND(K4676&lt;&gt;"",K4676=Q4676),"⚠ Origen igual a destino",IF(AND(K4676&lt;&gt;"",ISNA(MATCH(K4676,ctaNombre,0))),"⚠ Destino no registrado",IF(AND(P4676="Pago tarjeta",AE4676&lt;&gt;"Tarjeta de crédito"),"⚠ El destino debe ser tarjeta de crédito",IF(AND(P4676="Gasto",E4676="Depósitos y retiros"),"⚠ Usa tipo Transferencia",IF(AND(P4676="Resultado trading",AD4676&lt;&gt;"Cuenta de trading"),"⚠ Usa una cuenta de trading",IF(AND(G4676&lt;=0,P4676&lt;&gt;"Ajuste",P4676&lt;&gt;"Resultado trading"),"⚠ El monto debe ser positivo","✓")))))))))))))))</f>
        <v/>
      </c>
      <c r="P4676" s="52">
        <f>IF(OR(B4676="",G4676=""),"",IF(C4676="","Gasto",C4676))</f>
        <v/>
      </c>
      <c r="Q4676" s="52">
        <f>IF(P4676="","",IF(J4676&lt;&gt;"",J4676,CuentaPred&amp;""))</f>
        <v/>
      </c>
      <c r="R4676" s="52">
        <f>IF(P4676="","",IF(ISNUMBER(I4676),I4676,TasaUSD))</f>
        <v/>
      </c>
      <c r="S4676" s="53">
        <f>IF(P4676="","",IF(H4676="USD",G4676*R4676,G4676))</f>
        <v/>
      </c>
      <c r="T4676" s="53">
        <f>IF(P4676="","",IF(H4676="USD",G4676,IF(R4676&gt;0,G4676/R4676,0)))</f>
        <v/>
      </c>
      <c r="U4676" s="53">
        <f>IF(P4676="","",IF(P4676="Gasto",S4676,IF(P4676="Reembolso",-S4676,0)))</f>
        <v/>
      </c>
      <c r="V4676" s="53">
        <f>IF(P4676="","",IF(P4676="Ingreso",S4676,0))</f>
        <v/>
      </c>
      <c r="W4676" s="53">
        <f>IF(P4676="","",IF(P4676="Resultado trading",S4676,0))</f>
        <v/>
      </c>
      <c r="X4676" s="52">
        <f>IF(OR(P4676="Gasto",P4676="Reembolso"),IF(M4676&lt;&gt;"",M4676,IFERROR(INDEX(catClasif,MATCH(D4676&amp;"|"&amp;E4676,catClave,0))&amp;"","Variable")),"")</f>
        <v/>
      </c>
      <c r="Y4676" s="52">
        <f>IF(P4676="","",IFERROR(INDEX(catGrupo,MATCH(D4676&amp;"|"&amp;E4676,catClave,0))&amp;"",""))</f>
        <v/>
      </c>
      <c r="Z4676" s="52">
        <f>IF(P4676="","",WEEKDAY(B4676,2))</f>
        <v/>
      </c>
      <c r="AA4676" s="52">
        <f>IF(P4676="","",IF(AND(P4676="Gasto",X4676="Variable",D4676&lt;&gt;catTrading,S4676&gt;0,S4676&lt;=Umbral),1,0))</f>
        <v/>
      </c>
      <c r="AB4676" s="52">
        <f>IF(OR(P4676="",Q4676=""),"",IFERROR(IF(INDEX(ctaVinc,MATCH(Q4676,ctaNombre,0))&amp;""&lt;&gt;"",INDEX(ctaVinc,MATCH(Q4676,ctaNombre,0))&amp;"",Q4676),Q4676))</f>
        <v/>
      </c>
      <c r="AC4676" s="52">
        <f>IF(OR(K4676="",AND(P4676&lt;&gt;"Transferencia",P4676&lt;&gt;"Pago tarjeta")),"",IFERROR(IF(INDEX(ctaVinc,MATCH(K4676,ctaNombre,0))&amp;""&lt;&gt;"",INDEX(ctaVinc,MATCH(K4676,ctaNombre,0))&amp;"",K4676),K4676))</f>
        <v/>
      </c>
      <c r="AD4676" s="52">
        <f>IF(AB4676="","",IFERROR(INDEX(ctaTipo,MATCH(AB4676,ctaNombre,0))&amp;"",""))</f>
        <v/>
      </c>
      <c r="AE4676" s="52">
        <f>IF(AC4676="","",IFERROR(INDEX(ctaTipo,MATCH(AC4676,ctaNombre,0))&amp;"",""))</f>
        <v/>
      </c>
      <c r="AF4676" s="53">
        <f>IF(OR(P4676="",AB4676=""),"",IF(OR(P4676="Gasto",P4676="Transferencia",P4676="Pago tarjeta"),-1,1)*IF(IFERROR(INDEX(ctaMoneda,MATCH(AB4676,ctaNombre,0))&amp;"","DOP")="USD",T4676,S4676))</f>
        <v/>
      </c>
      <c r="AG4676" s="53">
        <f>IF(AC4676="","",IF(IFERROR(INDEX(ctaMoneda,MATCH(AC4676,ctaNombre,0))&amp;"","DOP")="USD",T4676,S4676))</f>
        <v/>
      </c>
      <c r="AH4676" s="53">
        <f>IF(P4676="","",IF(AND(AD4676&lt;&gt;"",COUNTIFS(tcTipo,AD4676,tcLiq,"Sí")&gt;0),IF(OR(P4676="Gasto",P4676="Transferencia",P4676="Pago tarjeta"),-1,1)*S4676,0)+IF(AND(AE4676&lt;&gt;"",COUNTIFS(tcTipo,AE4676,tcLiq,"Sí")&gt;0),S4676,0))</f>
        <v/>
      </c>
      <c r="AI4676" s="52">
        <f>IF(OR(L4676="",P4676=""),"",IF(COUNTIFS(L$6:L4676,L4676,P$6:P4676,"?*")=1,MAX(AI$5:AI4675)+1,""))</f>
        <v/>
      </c>
    </row>
    <row r="4677">
      <c r="B4677" s="47" t="n"/>
      <c r="C4677" s="48" t="n"/>
      <c r="D4677" s="48" t="n"/>
      <c r="E4677" s="48" t="n"/>
      <c r="F4677" s="48" t="n"/>
      <c r="G4677" s="49" t="n"/>
      <c r="H4677" s="48" t="n"/>
      <c r="I4677" s="50" t="n"/>
      <c r="J4677" s="48" t="n"/>
      <c r="K4677" s="48" t="n"/>
      <c r="L4677" s="48" t="n"/>
      <c r="M4677" s="48" t="n"/>
      <c r="N4677" s="48" t="n"/>
      <c r="O4677" s="51">
        <f>IF(AND(B4677="",G4677="",C4677="",D4677="",J4677=""),"",IF(B4677="","⚠ Falta fecha",IF(G4677="","⚠ Falta monto",IF(Q4677="","⚠ Falta cuenta",IF(ISNA(MATCH(Q4677,ctaNombre,0)),"⚠ Cuenta no registrada",IF(AND(OR(P4677="Gasto",P4677="Reembolso"),D4677=""),"⚠ Falta categoría",IF(AND(D4677&lt;&gt;"",E4677&lt;&gt;"",ISNA(MATCH(D4677&amp;"|"&amp;E4677,catClave,0))),"⚠ Subcategoría no corresponde",IF(AND(OR(P4677="Transferencia",P4677="Pago tarjeta"),K4677=""),"⚠ Falta cuenta destino",IF(AND(K4677&lt;&gt;"",P4677&lt;&gt;"Transferencia",P4677&lt;&gt;"Pago tarjeta"),"⚠ Destino solo aplica a transferencias",IF(AND(K4677&lt;&gt;"",K4677=Q4677),"⚠ Origen igual a destino",IF(AND(K4677&lt;&gt;"",ISNA(MATCH(K4677,ctaNombre,0))),"⚠ Destino no registrado",IF(AND(P4677="Pago tarjeta",AE4677&lt;&gt;"Tarjeta de crédito"),"⚠ El destino debe ser tarjeta de crédito",IF(AND(P4677="Gasto",E4677="Depósitos y retiros"),"⚠ Usa tipo Transferencia",IF(AND(P4677="Resultado trading",AD4677&lt;&gt;"Cuenta de trading"),"⚠ Usa una cuenta de trading",IF(AND(G4677&lt;=0,P4677&lt;&gt;"Ajuste",P4677&lt;&gt;"Resultado trading"),"⚠ El monto debe ser positivo","✓")))))))))))))))</f>
        <v/>
      </c>
      <c r="P4677" s="52">
        <f>IF(OR(B4677="",G4677=""),"",IF(C4677="","Gasto",C4677))</f>
        <v/>
      </c>
      <c r="Q4677" s="52">
        <f>IF(P4677="","",IF(J4677&lt;&gt;"",J4677,CuentaPred&amp;""))</f>
        <v/>
      </c>
      <c r="R4677" s="52">
        <f>IF(P4677="","",IF(ISNUMBER(I4677),I4677,TasaUSD))</f>
        <v/>
      </c>
      <c r="S4677" s="53">
        <f>IF(P4677="","",IF(H4677="USD",G4677*R4677,G4677))</f>
        <v/>
      </c>
      <c r="T4677" s="53">
        <f>IF(P4677="","",IF(H4677="USD",G4677,IF(R4677&gt;0,G4677/R4677,0)))</f>
        <v/>
      </c>
      <c r="U4677" s="53">
        <f>IF(P4677="","",IF(P4677="Gasto",S4677,IF(P4677="Reembolso",-S4677,0)))</f>
        <v/>
      </c>
      <c r="V4677" s="53">
        <f>IF(P4677="","",IF(P4677="Ingreso",S4677,0))</f>
        <v/>
      </c>
      <c r="W4677" s="53">
        <f>IF(P4677="","",IF(P4677="Resultado trading",S4677,0))</f>
        <v/>
      </c>
      <c r="X4677" s="52">
        <f>IF(OR(P4677="Gasto",P4677="Reembolso"),IF(M4677&lt;&gt;"",M4677,IFERROR(INDEX(catClasif,MATCH(D4677&amp;"|"&amp;E4677,catClave,0))&amp;"","Variable")),"")</f>
        <v/>
      </c>
      <c r="Y4677" s="52">
        <f>IF(P4677="","",IFERROR(INDEX(catGrupo,MATCH(D4677&amp;"|"&amp;E4677,catClave,0))&amp;"",""))</f>
        <v/>
      </c>
      <c r="Z4677" s="52">
        <f>IF(P4677="","",WEEKDAY(B4677,2))</f>
        <v/>
      </c>
      <c r="AA4677" s="52">
        <f>IF(P4677="","",IF(AND(P4677="Gasto",X4677="Variable",D4677&lt;&gt;catTrading,S4677&gt;0,S4677&lt;=Umbral),1,0))</f>
        <v/>
      </c>
      <c r="AB4677" s="52">
        <f>IF(OR(P4677="",Q4677=""),"",IFERROR(IF(INDEX(ctaVinc,MATCH(Q4677,ctaNombre,0))&amp;""&lt;&gt;"",INDEX(ctaVinc,MATCH(Q4677,ctaNombre,0))&amp;"",Q4677),Q4677))</f>
        <v/>
      </c>
      <c r="AC4677" s="52">
        <f>IF(OR(K4677="",AND(P4677&lt;&gt;"Transferencia",P4677&lt;&gt;"Pago tarjeta")),"",IFERROR(IF(INDEX(ctaVinc,MATCH(K4677,ctaNombre,0))&amp;""&lt;&gt;"",INDEX(ctaVinc,MATCH(K4677,ctaNombre,0))&amp;"",K4677),K4677))</f>
        <v/>
      </c>
      <c r="AD4677" s="52">
        <f>IF(AB4677="","",IFERROR(INDEX(ctaTipo,MATCH(AB4677,ctaNombre,0))&amp;"",""))</f>
        <v/>
      </c>
      <c r="AE4677" s="52">
        <f>IF(AC4677="","",IFERROR(INDEX(ctaTipo,MATCH(AC4677,ctaNombre,0))&amp;"",""))</f>
        <v/>
      </c>
      <c r="AF4677" s="53">
        <f>IF(OR(P4677="",AB4677=""),"",IF(OR(P4677="Gasto",P4677="Transferencia",P4677="Pago tarjeta"),-1,1)*IF(IFERROR(INDEX(ctaMoneda,MATCH(AB4677,ctaNombre,0))&amp;"","DOP")="USD",T4677,S4677))</f>
        <v/>
      </c>
      <c r="AG4677" s="53">
        <f>IF(AC4677="","",IF(IFERROR(INDEX(ctaMoneda,MATCH(AC4677,ctaNombre,0))&amp;"","DOP")="USD",T4677,S4677))</f>
        <v/>
      </c>
      <c r="AH4677" s="53">
        <f>IF(P4677="","",IF(AND(AD4677&lt;&gt;"",COUNTIFS(tcTipo,AD4677,tcLiq,"Sí")&gt;0),IF(OR(P4677="Gasto",P4677="Transferencia",P4677="Pago tarjeta"),-1,1)*S4677,0)+IF(AND(AE4677&lt;&gt;"",COUNTIFS(tcTipo,AE4677,tcLiq,"Sí")&gt;0),S4677,0))</f>
        <v/>
      </c>
      <c r="AI4677" s="52">
        <f>IF(OR(L4677="",P4677=""),"",IF(COUNTIFS(L$6:L4677,L4677,P$6:P4677,"?*")=1,MAX(AI$5:AI4676)+1,""))</f>
        <v/>
      </c>
    </row>
    <row r="4678">
      <c r="B4678" s="47" t="n"/>
      <c r="C4678" s="48" t="n"/>
      <c r="D4678" s="48" t="n"/>
      <c r="E4678" s="48" t="n"/>
      <c r="F4678" s="48" t="n"/>
      <c r="G4678" s="49" t="n"/>
      <c r="H4678" s="48" t="n"/>
      <c r="I4678" s="50" t="n"/>
      <c r="J4678" s="48" t="n"/>
      <c r="K4678" s="48" t="n"/>
      <c r="L4678" s="48" t="n"/>
      <c r="M4678" s="48" t="n"/>
      <c r="N4678" s="48" t="n"/>
      <c r="O4678" s="51">
        <f>IF(AND(B4678="",G4678="",C4678="",D4678="",J4678=""),"",IF(B4678="","⚠ Falta fecha",IF(G4678="","⚠ Falta monto",IF(Q4678="","⚠ Falta cuenta",IF(ISNA(MATCH(Q4678,ctaNombre,0)),"⚠ Cuenta no registrada",IF(AND(OR(P4678="Gasto",P4678="Reembolso"),D4678=""),"⚠ Falta categoría",IF(AND(D4678&lt;&gt;"",E4678&lt;&gt;"",ISNA(MATCH(D4678&amp;"|"&amp;E4678,catClave,0))),"⚠ Subcategoría no corresponde",IF(AND(OR(P4678="Transferencia",P4678="Pago tarjeta"),K4678=""),"⚠ Falta cuenta destino",IF(AND(K4678&lt;&gt;"",P4678&lt;&gt;"Transferencia",P4678&lt;&gt;"Pago tarjeta"),"⚠ Destino solo aplica a transferencias",IF(AND(K4678&lt;&gt;"",K4678=Q4678),"⚠ Origen igual a destino",IF(AND(K4678&lt;&gt;"",ISNA(MATCH(K4678,ctaNombre,0))),"⚠ Destino no registrado",IF(AND(P4678="Pago tarjeta",AE4678&lt;&gt;"Tarjeta de crédito"),"⚠ El destino debe ser tarjeta de crédito",IF(AND(P4678="Gasto",E4678="Depósitos y retiros"),"⚠ Usa tipo Transferencia",IF(AND(P4678="Resultado trading",AD4678&lt;&gt;"Cuenta de trading"),"⚠ Usa una cuenta de trading",IF(AND(G4678&lt;=0,P4678&lt;&gt;"Ajuste",P4678&lt;&gt;"Resultado trading"),"⚠ El monto debe ser positivo","✓")))))))))))))))</f>
        <v/>
      </c>
      <c r="P4678" s="52">
        <f>IF(OR(B4678="",G4678=""),"",IF(C4678="","Gasto",C4678))</f>
        <v/>
      </c>
      <c r="Q4678" s="52">
        <f>IF(P4678="","",IF(J4678&lt;&gt;"",J4678,CuentaPred&amp;""))</f>
        <v/>
      </c>
      <c r="R4678" s="52">
        <f>IF(P4678="","",IF(ISNUMBER(I4678),I4678,TasaUSD))</f>
        <v/>
      </c>
      <c r="S4678" s="53">
        <f>IF(P4678="","",IF(H4678="USD",G4678*R4678,G4678))</f>
        <v/>
      </c>
      <c r="T4678" s="53">
        <f>IF(P4678="","",IF(H4678="USD",G4678,IF(R4678&gt;0,G4678/R4678,0)))</f>
        <v/>
      </c>
      <c r="U4678" s="53">
        <f>IF(P4678="","",IF(P4678="Gasto",S4678,IF(P4678="Reembolso",-S4678,0)))</f>
        <v/>
      </c>
      <c r="V4678" s="53">
        <f>IF(P4678="","",IF(P4678="Ingreso",S4678,0))</f>
        <v/>
      </c>
      <c r="W4678" s="53">
        <f>IF(P4678="","",IF(P4678="Resultado trading",S4678,0))</f>
        <v/>
      </c>
      <c r="X4678" s="52">
        <f>IF(OR(P4678="Gasto",P4678="Reembolso"),IF(M4678&lt;&gt;"",M4678,IFERROR(INDEX(catClasif,MATCH(D4678&amp;"|"&amp;E4678,catClave,0))&amp;"","Variable")),"")</f>
        <v/>
      </c>
      <c r="Y4678" s="52">
        <f>IF(P4678="","",IFERROR(INDEX(catGrupo,MATCH(D4678&amp;"|"&amp;E4678,catClave,0))&amp;"",""))</f>
        <v/>
      </c>
      <c r="Z4678" s="52">
        <f>IF(P4678="","",WEEKDAY(B4678,2))</f>
        <v/>
      </c>
      <c r="AA4678" s="52">
        <f>IF(P4678="","",IF(AND(P4678="Gasto",X4678="Variable",D4678&lt;&gt;catTrading,S4678&gt;0,S4678&lt;=Umbral),1,0))</f>
        <v/>
      </c>
      <c r="AB4678" s="52">
        <f>IF(OR(P4678="",Q4678=""),"",IFERROR(IF(INDEX(ctaVinc,MATCH(Q4678,ctaNombre,0))&amp;""&lt;&gt;"",INDEX(ctaVinc,MATCH(Q4678,ctaNombre,0))&amp;"",Q4678),Q4678))</f>
        <v/>
      </c>
      <c r="AC4678" s="52">
        <f>IF(OR(K4678="",AND(P4678&lt;&gt;"Transferencia",P4678&lt;&gt;"Pago tarjeta")),"",IFERROR(IF(INDEX(ctaVinc,MATCH(K4678,ctaNombre,0))&amp;""&lt;&gt;"",INDEX(ctaVinc,MATCH(K4678,ctaNombre,0))&amp;"",K4678),K4678))</f>
        <v/>
      </c>
      <c r="AD4678" s="52">
        <f>IF(AB4678="","",IFERROR(INDEX(ctaTipo,MATCH(AB4678,ctaNombre,0))&amp;"",""))</f>
        <v/>
      </c>
      <c r="AE4678" s="52">
        <f>IF(AC4678="","",IFERROR(INDEX(ctaTipo,MATCH(AC4678,ctaNombre,0))&amp;"",""))</f>
        <v/>
      </c>
      <c r="AF4678" s="53">
        <f>IF(OR(P4678="",AB4678=""),"",IF(OR(P4678="Gasto",P4678="Transferencia",P4678="Pago tarjeta"),-1,1)*IF(IFERROR(INDEX(ctaMoneda,MATCH(AB4678,ctaNombre,0))&amp;"","DOP")="USD",T4678,S4678))</f>
        <v/>
      </c>
      <c r="AG4678" s="53">
        <f>IF(AC4678="","",IF(IFERROR(INDEX(ctaMoneda,MATCH(AC4678,ctaNombre,0))&amp;"","DOP")="USD",T4678,S4678))</f>
        <v/>
      </c>
      <c r="AH4678" s="53">
        <f>IF(P4678="","",IF(AND(AD4678&lt;&gt;"",COUNTIFS(tcTipo,AD4678,tcLiq,"Sí")&gt;0),IF(OR(P4678="Gasto",P4678="Transferencia",P4678="Pago tarjeta"),-1,1)*S4678,0)+IF(AND(AE4678&lt;&gt;"",COUNTIFS(tcTipo,AE4678,tcLiq,"Sí")&gt;0),S4678,0))</f>
        <v/>
      </c>
      <c r="AI4678" s="52">
        <f>IF(OR(L4678="",P4678=""),"",IF(COUNTIFS(L$6:L4678,L4678,P$6:P4678,"?*")=1,MAX(AI$5:AI4677)+1,""))</f>
        <v/>
      </c>
    </row>
    <row r="4679">
      <c r="B4679" s="47" t="n"/>
      <c r="C4679" s="48" t="n"/>
      <c r="D4679" s="48" t="n"/>
      <c r="E4679" s="48" t="n"/>
      <c r="F4679" s="48" t="n"/>
      <c r="G4679" s="49" t="n"/>
      <c r="H4679" s="48" t="n"/>
      <c r="I4679" s="50" t="n"/>
      <c r="J4679" s="48" t="n"/>
      <c r="K4679" s="48" t="n"/>
      <c r="L4679" s="48" t="n"/>
      <c r="M4679" s="48" t="n"/>
      <c r="N4679" s="48" t="n"/>
      <c r="O4679" s="51">
        <f>IF(AND(B4679="",G4679="",C4679="",D4679="",J4679=""),"",IF(B4679="","⚠ Falta fecha",IF(G4679="","⚠ Falta monto",IF(Q4679="","⚠ Falta cuenta",IF(ISNA(MATCH(Q4679,ctaNombre,0)),"⚠ Cuenta no registrada",IF(AND(OR(P4679="Gasto",P4679="Reembolso"),D4679=""),"⚠ Falta categoría",IF(AND(D4679&lt;&gt;"",E4679&lt;&gt;"",ISNA(MATCH(D4679&amp;"|"&amp;E4679,catClave,0))),"⚠ Subcategoría no corresponde",IF(AND(OR(P4679="Transferencia",P4679="Pago tarjeta"),K4679=""),"⚠ Falta cuenta destino",IF(AND(K4679&lt;&gt;"",P4679&lt;&gt;"Transferencia",P4679&lt;&gt;"Pago tarjeta"),"⚠ Destino solo aplica a transferencias",IF(AND(K4679&lt;&gt;"",K4679=Q4679),"⚠ Origen igual a destino",IF(AND(K4679&lt;&gt;"",ISNA(MATCH(K4679,ctaNombre,0))),"⚠ Destino no registrado",IF(AND(P4679="Pago tarjeta",AE4679&lt;&gt;"Tarjeta de crédito"),"⚠ El destino debe ser tarjeta de crédito",IF(AND(P4679="Gasto",E4679="Depósitos y retiros"),"⚠ Usa tipo Transferencia",IF(AND(P4679="Resultado trading",AD4679&lt;&gt;"Cuenta de trading"),"⚠ Usa una cuenta de trading",IF(AND(G4679&lt;=0,P4679&lt;&gt;"Ajuste",P4679&lt;&gt;"Resultado trading"),"⚠ El monto debe ser positivo","✓")))))))))))))))</f>
        <v/>
      </c>
      <c r="P4679" s="52">
        <f>IF(OR(B4679="",G4679=""),"",IF(C4679="","Gasto",C4679))</f>
        <v/>
      </c>
      <c r="Q4679" s="52">
        <f>IF(P4679="","",IF(J4679&lt;&gt;"",J4679,CuentaPred&amp;""))</f>
        <v/>
      </c>
      <c r="R4679" s="52">
        <f>IF(P4679="","",IF(ISNUMBER(I4679),I4679,TasaUSD))</f>
        <v/>
      </c>
      <c r="S4679" s="53">
        <f>IF(P4679="","",IF(H4679="USD",G4679*R4679,G4679))</f>
        <v/>
      </c>
      <c r="T4679" s="53">
        <f>IF(P4679="","",IF(H4679="USD",G4679,IF(R4679&gt;0,G4679/R4679,0)))</f>
        <v/>
      </c>
      <c r="U4679" s="53">
        <f>IF(P4679="","",IF(P4679="Gasto",S4679,IF(P4679="Reembolso",-S4679,0)))</f>
        <v/>
      </c>
      <c r="V4679" s="53">
        <f>IF(P4679="","",IF(P4679="Ingreso",S4679,0))</f>
        <v/>
      </c>
      <c r="W4679" s="53">
        <f>IF(P4679="","",IF(P4679="Resultado trading",S4679,0))</f>
        <v/>
      </c>
      <c r="X4679" s="52">
        <f>IF(OR(P4679="Gasto",P4679="Reembolso"),IF(M4679&lt;&gt;"",M4679,IFERROR(INDEX(catClasif,MATCH(D4679&amp;"|"&amp;E4679,catClave,0))&amp;"","Variable")),"")</f>
        <v/>
      </c>
      <c r="Y4679" s="52">
        <f>IF(P4679="","",IFERROR(INDEX(catGrupo,MATCH(D4679&amp;"|"&amp;E4679,catClave,0))&amp;"",""))</f>
        <v/>
      </c>
      <c r="Z4679" s="52">
        <f>IF(P4679="","",WEEKDAY(B4679,2))</f>
        <v/>
      </c>
      <c r="AA4679" s="52">
        <f>IF(P4679="","",IF(AND(P4679="Gasto",X4679="Variable",D4679&lt;&gt;catTrading,S4679&gt;0,S4679&lt;=Umbral),1,0))</f>
        <v/>
      </c>
      <c r="AB4679" s="52">
        <f>IF(OR(P4679="",Q4679=""),"",IFERROR(IF(INDEX(ctaVinc,MATCH(Q4679,ctaNombre,0))&amp;""&lt;&gt;"",INDEX(ctaVinc,MATCH(Q4679,ctaNombre,0))&amp;"",Q4679),Q4679))</f>
        <v/>
      </c>
      <c r="AC4679" s="52">
        <f>IF(OR(K4679="",AND(P4679&lt;&gt;"Transferencia",P4679&lt;&gt;"Pago tarjeta")),"",IFERROR(IF(INDEX(ctaVinc,MATCH(K4679,ctaNombre,0))&amp;""&lt;&gt;"",INDEX(ctaVinc,MATCH(K4679,ctaNombre,0))&amp;"",K4679),K4679))</f>
        <v/>
      </c>
      <c r="AD4679" s="52">
        <f>IF(AB4679="","",IFERROR(INDEX(ctaTipo,MATCH(AB4679,ctaNombre,0))&amp;"",""))</f>
        <v/>
      </c>
      <c r="AE4679" s="52">
        <f>IF(AC4679="","",IFERROR(INDEX(ctaTipo,MATCH(AC4679,ctaNombre,0))&amp;"",""))</f>
        <v/>
      </c>
      <c r="AF4679" s="53">
        <f>IF(OR(P4679="",AB4679=""),"",IF(OR(P4679="Gasto",P4679="Transferencia",P4679="Pago tarjeta"),-1,1)*IF(IFERROR(INDEX(ctaMoneda,MATCH(AB4679,ctaNombre,0))&amp;"","DOP")="USD",T4679,S4679))</f>
        <v/>
      </c>
      <c r="AG4679" s="53">
        <f>IF(AC4679="","",IF(IFERROR(INDEX(ctaMoneda,MATCH(AC4679,ctaNombre,0))&amp;"","DOP")="USD",T4679,S4679))</f>
        <v/>
      </c>
      <c r="AH4679" s="53">
        <f>IF(P4679="","",IF(AND(AD4679&lt;&gt;"",COUNTIFS(tcTipo,AD4679,tcLiq,"Sí")&gt;0),IF(OR(P4679="Gasto",P4679="Transferencia",P4679="Pago tarjeta"),-1,1)*S4679,0)+IF(AND(AE4679&lt;&gt;"",COUNTIFS(tcTipo,AE4679,tcLiq,"Sí")&gt;0),S4679,0))</f>
        <v/>
      </c>
      <c r="AI4679" s="52">
        <f>IF(OR(L4679="",P4679=""),"",IF(COUNTIFS(L$6:L4679,L4679,P$6:P4679,"?*")=1,MAX(AI$5:AI4678)+1,""))</f>
        <v/>
      </c>
    </row>
    <row r="4680">
      <c r="B4680" s="47" t="n"/>
      <c r="C4680" s="48" t="n"/>
      <c r="D4680" s="48" t="n"/>
      <c r="E4680" s="48" t="n"/>
      <c r="F4680" s="48" t="n"/>
      <c r="G4680" s="49" t="n"/>
      <c r="H4680" s="48" t="n"/>
      <c r="I4680" s="50" t="n"/>
      <c r="J4680" s="48" t="n"/>
      <c r="K4680" s="48" t="n"/>
      <c r="L4680" s="48" t="n"/>
      <c r="M4680" s="48" t="n"/>
      <c r="N4680" s="48" t="n"/>
      <c r="O4680" s="51">
        <f>IF(AND(B4680="",G4680="",C4680="",D4680="",J4680=""),"",IF(B4680="","⚠ Falta fecha",IF(G4680="","⚠ Falta monto",IF(Q4680="","⚠ Falta cuenta",IF(ISNA(MATCH(Q4680,ctaNombre,0)),"⚠ Cuenta no registrada",IF(AND(OR(P4680="Gasto",P4680="Reembolso"),D4680=""),"⚠ Falta categoría",IF(AND(D4680&lt;&gt;"",E4680&lt;&gt;"",ISNA(MATCH(D4680&amp;"|"&amp;E4680,catClave,0))),"⚠ Subcategoría no corresponde",IF(AND(OR(P4680="Transferencia",P4680="Pago tarjeta"),K4680=""),"⚠ Falta cuenta destino",IF(AND(K4680&lt;&gt;"",P4680&lt;&gt;"Transferencia",P4680&lt;&gt;"Pago tarjeta"),"⚠ Destino solo aplica a transferencias",IF(AND(K4680&lt;&gt;"",K4680=Q4680),"⚠ Origen igual a destino",IF(AND(K4680&lt;&gt;"",ISNA(MATCH(K4680,ctaNombre,0))),"⚠ Destino no registrado",IF(AND(P4680="Pago tarjeta",AE4680&lt;&gt;"Tarjeta de crédito"),"⚠ El destino debe ser tarjeta de crédito",IF(AND(P4680="Gasto",E4680="Depósitos y retiros"),"⚠ Usa tipo Transferencia",IF(AND(P4680="Resultado trading",AD4680&lt;&gt;"Cuenta de trading"),"⚠ Usa una cuenta de trading",IF(AND(G4680&lt;=0,P4680&lt;&gt;"Ajuste",P4680&lt;&gt;"Resultado trading"),"⚠ El monto debe ser positivo","✓")))))))))))))))</f>
        <v/>
      </c>
      <c r="P4680" s="52">
        <f>IF(OR(B4680="",G4680=""),"",IF(C4680="","Gasto",C4680))</f>
        <v/>
      </c>
      <c r="Q4680" s="52">
        <f>IF(P4680="","",IF(J4680&lt;&gt;"",J4680,CuentaPred&amp;""))</f>
        <v/>
      </c>
      <c r="R4680" s="52">
        <f>IF(P4680="","",IF(ISNUMBER(I4680),I4680,TasaUSD))</f>
        <v/>
      </c>
      <c r="S4680" s="53">
        <f>IF(P4680="","",IF(H4680="USD",G4680*R4680,G4680))</f>
        <v/>
      </c>
      <c r="T4680" s="53">
        <f>IF(P4680="","",IF(H4680="USD",G4680,IF(R4680&gt;0,G4680/R4680,0)))</f>
        <v/>
      </c>
      <c r="U4680" s="53">
        <f>IF(P4680="","",IF(P4680="Gasto",S4680,IF(P4680="Reembolso",-S4680,0)))</f>
        <v/>
      </c>
      <c r="V4680" s="53">
        <f>IF(P4680="","",IF(P4680="Ingreso",S4680,0))</f>
        <v/>
      </c>
      <c r="W4680" s="53">
        <f>IF(P4680="","",IF(P4680="Resultado trading",S4680,0))</f>
        <v/>
      </c>
      <c r="X4680" s="52">
        <f>IF(OR(P4680="Gasto",P4680="Reembolso"),IF(M4680&lt;&gt;"",M4680,IFERROR(INDEX(catClasif,MATCH(D4680&amp;"|"&amp;E4680,catClave,0))&amp;"","Variable")),"")</f>
        <v/>
      </c>
      <c r="Y4680" s="52">
        <f>IF(P4680="","",IFERROR(INDEX(catGrupo,MATCH(D4680&amp;"|"&amp;E4680,catClave,0))&amp;"",""))</f>
        <v/>
      </c>
      <c r="Z4680" s="52">
        <f>IF(P4680="","",WEEKDAY(B4680,2))</f>
        <v/>
      </c>
      <c r="AA4680" s="52">
        <f>IF(P4680="","",IF(AND(P4680="Gasto",X4680="Variable",D4680&lt;&gt;catTrading,S4680&gt;0,S4680&lt;=Umbral),1,0))</f>
        <v/>
      </c>
      <c r="AB4680" s="52">
        <f>IF(OR(P4680="",Q4680=""),"",IFERROR(IF(INDEX(ctaVinc,MATCH(Q4680,ctaNombre,0))&amp;""&lt;&gt;"",INDEX(ctaVinc,MATCH(Q4680,ctaNombre,0))&amp;"",Q4680),Q4680))</f>
        <v/>
      </c>
      <c r="AC4680" s="52">
        <f>IF(OR(K4680="",AND(P4680&lt;&gt;"Transferencia",P4680&lt;&gt;"Pago tarjeta")),"",IFERROR(IF(INDEX(ctaVinc,MATCH(K4680,ctaNombre,0))&amp;""&lt;&gt;"",INDEX(ctaVinc,MATCH(K4680,ctaNombre,0))&amp;"",K4680),K4680))</f>
        <v/>
      </c>
      <c r="AD4680" s="52">
        <f>IF(AB4680="","",IFERROR(INDEX(ctaTipo,MATCH(AB4680,ctaNombre,0))&amp;"",""))</f>
        <v/>
      </c>
      <c r="AE4680" s="52">
        <f>IF(AC4680="","",IFERROR(INDEX(ctaTipo,MATCH(AC4680,ctaNombre,0))&amp;"",""))</f>
        <v/>
      </c>
      <c r="AF4680" s="53">
        <f>IF(OR(P4680="",AB4680=""),"",IF(OR(P4680="Gasto",P4680="Transferencia",P4680="Pago tarjeta"),-1,1)*IF(IFERROR(INDEX(ctaMoneda,MATCH(AB4680,ctaNombre,0))&amp;"","DOP")="USD",T4680,S4680))</f>
        <v/>
      </c>
      <c r="AG4680" s="53">
        <f>IF(AC4680="","",IF(IFERROR(INDEX(ctaMoneda,MATCH(AC4680,ctaNombre,0))&amp;"","DOP")="USD",T4680,S4680))</f>
        <v/>
      </c>
      <c r="AH4680" s="53">
        <f>IF(P4680="","",IF(AND(AD4680&lt;&gt;"",COUNTIFS(tcTipo,AD4680,tcLiq,"Sí")&gt;0),IF(OR(P4680="Gasto",P4680="Transferencia",P4680="Pago tarjeta"),-1,1)*S4680,0)+IF(AND(AE4680&lt;&gt;"",COUNTIFS(tcTipo,AE4680,tcLiq,"Sí")&gt;0),S4680,0))</f>
        <v/>
      </c>
      <c r="AI4680" s="52">
        <f>IF(OR(L4680="",P4680=""),"",IF(COUNTIFS(L$6:L4680,L4680,P$6:P4680,"?*")=1,MAX(AI$5:AI4679)+1,""))</f>
        <v/>
      </c>
    </row>
    <row r="4681">
      <c r="B4681" s="47" t="n"/>
      <c r="C4681" s="48" t="n"/>
      <c r="D4681" s="48" t="n"/>
      <c r="E4681" s="48" t="n"/>
      <c r="F4681" s="48" t="n"/>
      <c r="G4681" s="49" t="n"/>
      <c r="H4681" s="48" t="n"/>
      <c r="I4681" s="50" t="n"/>
      <c r="J4681" s="48" t="n"/>
      <c r="K4681" s="48" t="n"/>
      <c r="L4681" s="48" t="n"/>
      <c r="M4681" s="48" t="n"/>
      <c r="N4681" s="48" t="n"/>
      <c r="O4681" s="51">
        <f>IF(AND(B4681="",G4681="",C4681="",D4681="",J4681=""),"",IF(B4681="","⚠ Falta fecha",IF(G4681="","⚠ Falta monto",IF(Q4681="","⚠ Falta cuenta",IF(ISNA(MATCH(Q4681,ctaNombre,0)),"⚠ Cuenta no registrada",IF(AND(OR(P4681="Gasto",P4681="Reembolso"),D4681=""),"⚠ Falta categoría",IF(AND(D4681&lt;&gt;"",E4681&lt;&gt;"",ISNA(MATCH(D4681&amp;"|"&amp;E4681,catClave,0))),"⚠ Subcategoría no corresponde",IF(AND(OR(P4681="Transferencia",P4681="Pago tarjeta"),K4681=""),"⚠ Falta cuenta destino",IF(AND(K4681&lt;&gt;"",P4681&lt;&gt;"Transferencia",P4681&lt;&gt;"Pago tarjeta"),"⚠ Destino solo aplica a transferencias",IF(AND(K4681&lt;&gt;"",K4681=Q4681),"⚠ Origen igual a destino",IF(AND(K4681&lt;&gt;"",ISNA(MATCH(K4681,ctaNombre,0))),"⚠ Destino no registrado",IF(AND(P4681="Pago tarjeta",AE4681&lt;&gt;"Tarjeta de crédito"),"⚠ El destino debe ser tarjeta de crédito",IF(AND(P4681="Gasto",E4681="Depósitos y retiros"),"⚠ Usa tipo Transferencia",IF(AND(P4681="Resultado trading",AD4681&lt;&gt;"Cuenta de trading"),"⚠ Usa una cuenta de trading",IF(AND(G4681&lt;=0,P4681&lt;&gt;"Ajuste",P4681&lt;&gt;"Resultado trading"),"⚠ El monto debe ser positivo","✓")))))))))))))))</f>
        <v/>
      </c>
      <c r="P4681" s="52">
        <f>IF(OR(B4681="",G4681=""),"",IF(C4681="","Gasto",C4681))</f>
        <v/>
      </c>
      <c r="Q4681" s="52">
        <f>IF(P4681="","",IF(J4681&lt;&gt;"",J4681,CuentaPred&amp;""))</f>
        <v/>
      </c>
      <c r="R4681" s="52">
        <f>IF(P4681="","",IF(ISNUMBER(I4681),I4681,TasaUSD))</f>
        <v/>
      </c>
      <c r="S4681" s="53">
        <f>IF(P4681="","",IF(H4681="USD",G4681*R4681,G4681))</f>
        <v/>
      </c>
      <c r="T4681" s="53">
        <f>IF(P4681="","",IF(H4681="USD",G4681,IF(R4681&gt;0,G4681/R4681,0)))</f>
        <v/>
      </c>
      <c r="U4681" s="53">
        <f>IF(P4681="","",IF(P4681="Gasto",S4681,IF(P4681="Reembolso",-S4681,0)))</f>
        <v/>
      </c>
      <c r="V4681" s="53">
        <f>IF(P4681="","",IF(P4681="Ingreso",S4681,0))</f>
        <v/>
      </c>
      <c r="W4681" s="53">
        <f>IF(P4681="","",IF(P4681="Resultado trading",S4681,0))</f>
        <v/>
      </c>
      <c r="X4681" s="52">
        <f>IF(OR(P4681="Gasto",P4681="Reembolso"),IF(M4681&lt;&gt;"",M4681,IFERROR(INDEX(catClasif,MATCH(D4681&amp;"|"&amp;E4681,catClave,0))&amp;"","Variable")),"")</f>
        <v/>
      </c>
      <c r="Y4681" s="52">
        <f>IF(P4681="","",IFERROR(INDEX(catGrupo,MATCH(D4681&amp;"|"&amp;E4681,catClave,0))&amp;"",""))</f>
        <v/>
      </c>
      <c r="Z4681" s="52">
        <f>IF(P4681="","",WEEKDAY(B4681,2))</f>
        <v/>
      </c>
      <c r="AA4681" s="52">
        <f>IF(P4681="","",IF(AND(P4681="Gasto",X4681="Variable",D4681&lt;&gt;catTrading,S4681&gt;0,S4681&lt;=Umbral),1,0))</f>
        <v/>
      </c>
      <c r="AB4681" s="52">
        <f>IF(OR(P4681="",Q4681=""),"",IFERROR(IF(INDEX(ctaVinc,MATCH(Q4681,ctaNombre,0))&amp;""&lt;&gt;"",INDEX(ctaVinc,MATCH(Q4681,ctaNombre,0))&amp;"",Q4681),Q4681))</f>
        <v/>
      </c>
      <c r="AC4681" s="52">
        <f>IF(OR(K4681="",AND(P4681&lt;&gt;"Transferencia",P4681&lt;&gt;"Pago tarjeta")),"",IFERROR(IF(INDEX(ctaVinc,MATCH(K4681,ctaNombre,0))&amp;""&lt;&gt;"",INDEX(ctaVinc,MATCH(K4681,ctaNombre,0))&amp;"",K4681),K4681))</f>
        <v/>
      </c>
      <c r="AD4681" s="52">
        <f>IF(AB4681="","",IFERROR(INDEX(ctaTipo,MATCH(AB4681,ctaNombre,0))&amp;"",""))</f>
        <v/>
      </c>
      <c r="AE4681" s="52">
        <f>IF(AC4681="","",IFERROR(INDEX(ctaTipo,MATCH(AC4681,ctaNombre,0))&amp;"",""))</f>
        <v/>
      </c>
      <c r="AF4681" s="53">
        <f>IF(OR(P4681="",AB4681=""),"",IF(OR(P4681="Gasto",P4681="Transferencia",P4681="Pago tarjeta"),-1,1)*IF(IFERROR(INDEX(ctaMoneda,MATCH(AB4681,ctaNombre,0))&amp;"","DOP")="USD",T4681,S4681))</f>
        <v/>
      </c>
      <c r="AG4681" s="53">
        <f>IF(AC4681="","",IF(IFERROR(INDEX(ctaMoneda,MATCH(AC4681,ctaNombre,0))&amp;"","DOP")="USD",T4681,S4681))</f>
        <v/>
      </c>
      <c r="AH4681" s="53">
        <f>IF(P4681="","",IF(AND(AD4681&lt;&gt;"",COUNTIFS(tcTipo,AD4681,tcLiq,"Sí")&gt;0),IF(OR(P4681="Gasto",P4681="Transferencia",P4681="Pago tarjeta"),-1,1)*S4681,0)+IF(AND(AE4681&lt;&gt;"",COUNTIFS(tcTipo,AE4681,tcLiq,"Sí")&gt;0),S4681,0))</f>
        <v/>
      </c>
      <c r="AI4681" s="52">
        <f>IF(OR(L4681="",P4681=""),"",IF(COUNTIFS(L$6:L4681,L4681,P$6:P4681,"?*")=1,MAX(AI$5:AI4680)+1,""))</f>
        <v/>
      </c>
    </row>
    <row r="4682">
      <c r="B4682" s="47" t="n"/>
      <c r="C4682" s="48" t="n"/>
      <c r="D4682" s="48" t="n"/>
      <c r="E4682" s="48" t="n"/>
      <c r="F4682" s="48" t="n"/>
      <c r="G4682" s="49" t="n"/>
      <c r="H4682" s="48" t="n"/>
      <c r="I4682" s="50" t="n"/>
      <c r="J4682" s="48" t="n"/>
      <c r="K4682" s="48" t="n"/>
      <c r="L4682" s="48" t="n"/>
      <c r="M4682" s="48" t="n"/>
      <c r="N4682" s="48" t="n"/>
      <c r="O4682" s="51">
        <f>IF(AND(B4682="",G4682="",C4682="",D4682="",J4682=""),"",IF(B4682="","⚠ Falta fecha",IF(G4682="","⚠ Falta monto",IF(Q4682="","⚠ Falta cuenta",IF(ISNA(MATCH(Q4682,ctaNombre,0)),"⚠ Cuenta no registrada",IF(AND(OR(P4682="Gasto",P4682="Reembolso"),D4682=""),"⚠ Falta categoría",IF(AND(D4682&lt;&gt;"",E4682&lt;&gt;"",ISNA(MATCH(D4682&amp;"|"&amp;E4682,catClave,0))),"⚠ Subcategoría no corresponde",IF(AND(OR(P4682="Transferencia",P4682="Pago tarjeta"),K4682=""),"⚠ Falta cuenta destino",IF(AND(K4682&lt;&gt;"",P4682&lt;&gt;"Transferencia",P4682&lt;&gt;"Pago tarjeta"),"⚠ Destino solo aplica a transferencias",IF(AND(K4682&lt;&gt;"",K4682=Q4682),"⚠ Origen igual a destino",IF(AND(K4682&lt;&gt;"",ISNA(MATCH(K4682,ctaNombre,0))),"⚠ Destino no registrado",IF(AND(P4682="Pago tarjeta",AE4682&lt;&gt;"Tarjeta de crédito"),"⚠ El destino debe ser tarjeta de crédito",IF(AND(P4682="Gasto",E4682="Depósitos y retiros"),"⚠ Usa tipo Transferencia",IF(AND(P4682="Resultado trading",AD4682&lt;&gt;"Cuenta de trading"),"⚠ Usa una cuenta de trading",IF(AND(G4682&lt;=0,P4682&lt;&gt;"Ajuste",P4682&lt;&gt;"Resultado trading"),"⚠ El monto debe ser positivo","✓")))))))))))))))</f>
        <v/>
      </c>
      <c r="P4682" s="52">
        <f>IF(OR(B4682="",G4682=""),"",IF(C4682="","Gasto",C4682))</f>
        <v/>
      </c>
      <c r="Q4682" s="52">
        <f>IF(P4682="","",IF(J4682&lt;&gt;"",J4682,CuentaPred&amp;""))</f>
        <v/>
      </c>
      <c r="R4682" s="52">
        <f>IF(P4682="","",IF(ISNUMBER(I4682),I4682,TasaUSD))</f>
        <v/>
      </c>
      <c r="S4682" s="53">
        <f>IF(P4682="","",IF(H4682="USD",G4682*R4682,G4682))</f>
        <v/>
      </c>
      <c r="T4682" s="53">
        <f>IF(P4682="","",IF(H4682="USD",G4682,IF(R4682&gt;0,G4682/R4682,0)))</f>
        <v/>
      </c>
      <c r="U4682" s="53">
        <f>IF(P4682="","",IF(P4682="Gasto",S4682,IF(P4682="Reembolso",-S4682,0)))</f>
        <v/>
      </c>
      <c r="V4682" s="53">
        <f>IF(P4682="","",IF(P4682="Ingreso",S4682,0))</f>
        <v/>
      </c>
      <c r="W4682" s="53">
        <f>IF(P4682="","",IF(P4682="Resultado trading",S4682,0))</f>
        <v/>
      </c>
      <c r="X4682" s="52">
        <f>IF(OR(P4682="Gasto",P4682="Reembolso"),IF(M4682&lt;&gt;"",M4682,IFERROR(INDEX(catClasif,MATCH(D4682&amp;"|"&amp;E4682,catClave,0))&amp;"","Variable")),"")</f>
        <v/>
      </c>
      <c r="Y4682" s="52">
        <f>IF(P4682="","",IFERROR(INDEX(catGrupo,MATCH(D4682&amp;"|"&amp;E4682,catClave,0))&amp;"",""))</f>
        <v/>
      </c>
      <c r="Z4682" s="52">
        <f>IF(P4682="","",WEEKDAY(B4682,2))</f>
        <v/>
      </c>
      <c r="AA4682" s="52">
        <f>IF(P4682="","",IF(AND(P4682="Gasto",X4682="Variable",D4682&lt;&gt;catTrading,S4682&gt;0,S4682&lt;=Umbral),1,0))</f>
        <v/>
      </c>
      <c r="AB4682" s="52">
        <f>IF(OR(P4682="",Q4682=""),"",IFERROR(IF(INDEX(ctaVinc,MATCH(Q4682,ctaNombre,0))&amp;""&lt;&gt;"",INDEX(ctaVinc,MATCH(Q4682,ctaNombre,0))&amp;"",Q4682),Q4682))</f>
        <v/>
      </c>
      <c r="AC4682" s="52">
        <f>IF(OR(K4682="",AND(P4682&lt;&gt;"Transferencia",P4682&lt;&gt;"Pago tarjeta")),"",IFERROR(IF(INDEX(ctaVinc,MATCH(K4682,ctaNombre,0))&amp;""&lt;&gt;"",INDEX(ctaVinc,MATCH(K4682,ctaNombre,0))&amp;"",K4682),K4682))</f>
        <v/>
      </c>
      <c r="AD4682" s="52">
        <f>IF(AB4682="","",IFERROR(INDEX(ctaTipo,MATCH(AB4682,ctaNombre,0))&amp;"",""))</f>
        <v/>
      </c>
      <c r="AE4682" s="52">
        <f>IF(AC4682="","",IFERROR(INDEX(ctaTipo,MATCH(AC4682,ctaNombre,0))&amp;"",""))</f>
        <v/>
      </c>
      <c r="AF4682" s="53">
        <f>IF(OR(P4682="",AB4682=""),"",IF(OR(P4682="Gasto",P4682="Transferencia",P4682="Pago tarjeta"),-1,1)*IF(IFERROR(INDEX(ctaMoneda,MATCH(AB4682,ctaNombre,0))&amp;"","DOP")="USD",T4682,S4682))</f>
        <v/>
      </c>
      <c r="AG4682" s="53">
        <f>IF(AC4682="","",IF(IFERROR(INDEX(ctaMoneda,MATCH(AC4682,ctaNombre,0))&amp;"","DOP")="USD",T4682,S4682))</f>
        <v/>
      </c>
      <c r="AH4682" s="53">
        <f>IF(P4682="","",IF(AND(AD4682&lt;&gt;"",COUNTIFS(tcTipo,AD4682,tcLiq,"Sí")&gt;0),IF(OR(P4682="Gasto",P4682="Transferencia",P4682="Pago tarjeta"),-1,1)*S4682,0)+IF(AND(AE4682&lt;&gt;"",COUNTIFS(tcTipo,AE4682,tcLiq,"Sí")&gt;0),S4682,0))</f>
        <v/>
      </c>
      <c r="AI4682" s="52">
        <f>IF(OR(L4682="",P4682=""),"",IF(COUNTIFS(L$6:L4682,L4682,P$6:P4682,"?*")=1,MAX(AI$5:AI4681)+1,""))</f>
        <v/>
      </c>
    </row>
    <row r="4683">
      <c r="B4683" s="47" t="n"/>
      <c r="C4683" s="48" t="n"/>
      <c r="D4683" s="48" t="n"/>
      <c r="E4683" s="48" t="n"/>
      <c r="F4683" s="48" t="n"/>
      <c r="G4683" s="49" t="n"/>
      <c r="H4683" s="48" t="n"/>
      <c r="I4683" s="50" t="n"/>
      <c r="J4683" s="48" t="n"/>
      <c r="K4683" s="48" t="n"/>
      <c r="L4683" s="48" t="n"/>
      <c r="M4683" s="48" t="n"/>
      <c r="N4683" s="48" t="n"/>
      <c r="O4683" s="51">
        <f>IF(AND(B4683="",G4683="",C4683="",D4683="",J4683=""),"",IF(B4683="","⚠ Falta fecha",IF(G4683="","⚠ Falta monto",IF(Q4683="","⚠ Falta cuenta",IF(ISNA(MATCH(Q4683,ctaNombre,0)),"⚠ Cuenta no registrada",IF(AND(OR(P4683="Gasto",P4683="Reembolso"),D4683=""),"⚠ Falta categoría",IF(AND(D4683&lt;&gt;"",E4683&lt;&gt;"",ISNA(MATCH(D4683&amp;"|"&amp;E4683,catClave,0))),"⚠ Subcategoría no corresponde",IF(AND(OR(P4683="Transferencia",P4683="Pago tarjeta"),K4683=""),"⚠ Falta cuenta destino",IF(AND(K4683&lt;&gt;"",P4683&lt;&gt;"Transferencia",P4683&lt;&gt;"Pago tarjeta"),"⚠ Destino solo aplica a transferencias",IF(AND(K4683&lt;&gt;"",K4683=Q4683),"⚠ Origen igual a destino",IF(AND(K4683&lt;&gt;"",ISNA(MATCH(K4683,ctaNombre,0))),"⚠ Destino no registrado",IF(AND(P4683="Pago tarjeta",AE4683&lt;&gt;"Tarjeta de crédito"),"⚠ El destino debe ser tarjeta de crédito",IF(AND(P4683="Gasto",E4683="Depósitos y retiros"),"⚠ Usa tipo Transferencia",IF(AND(P4683="Resultado trading",AD4683&lt;&gt;"Cuenta de trading"),"⚠ Usa una cuenta de trading",IF(AND(G4683&lt;=0,P4683&lt;&gt;"Ajuste",P4683&lt;&gt;"Resultado trading"),"⚠ El monto debe ser positivo","✓")))))))))))))))</f>
        <v/>
      </c>
      <c r="P4683" s="52">
        <f>IF(OR(B4683="",G4683=""),"",IF(C4683="","Gasto",C4683))</f>
        <v/>
      </c>
      <c r="Q4683" s="52">
        <f>IF(P4683="","",IF(J4683&lt;&gt;"",J4683,CuentaPred&amp;""))</f>
        <v/>
      </c>
      <c r="R4683" s="52">
        <f>IF(P4683="","",IF(ISNUMBER(I4683),I4683,TasaUSD))</f>
        <v/>
      </c>
      <c r="S4683" s="53">
        <f>IF(P4683="","",IF(H4683="USD",G4683*R4683,G4683))</f>
        <v/>
      </c>
      <c r="T4683" s="53">
        <f>IF(P4683="","",IF(H4683="USD",G4683,IF(R4683&gt;0,G4683/R4683,0)))</f>
        <v/>
      </c>
      <c r="U4683" s="53">
        <f>IF(P4683="","",IF(P4683="Gasto",S4683,IF(P4683="Reembolso",-S4683,0)))</f>
        <v/>
      </c>
      <c r="V4683" s="53">
        <f>IF(P4683="","",IF(P4683="Ingreso",S4683,0))</f>
        <v/>
      </c>
      <c r="W4683" s="53">
        <f>IF(P4683="","",IF(P4683="Resultado trading",S4683,0))</f>
        <v/>
      </c>
      <c r="X4683" s="52">
        <f>IF(OR(P4683="Gasto",P4683="Reembolso"),IF(M4683&lt;&gt;"",M4683,IFERROR(INDEX(catClasif,MATCH(D4683&amp;"|"&amp;E4683,catClave,0))&amp;"","Variable")),"")</f>
        <v/>
      </c>
      <c r="Y4683" s="52">
        <f>IF(P4683="","",IFERROR(INDEX(catGrupo,MATCH(D4683&amp;"|"&amp;E4683,catClave,0))&amp;"",""))</f>
        <v/>
      </c>
      <c r="Z4683" s="52">
        <f>IF(P4683="","",WEEKDAY(B4683,2))</f>
        <v/>
      </c>
      <c r="AA4683" s="52">
        <f>IF(P4683="","",IF(AND(P4683="Gasto",X4683="Variable",D4683&lt;&gt;catTrading,S4683&gt;0,S4683&lt;=Umbral),1,0))</f>
        <v/>
      </c>
      <c r="AB4683" s="52">
        <f>IF(OR(P4683="",Q4683=""),"",IFERROR(IF(INDEX(ctaVinc,MATCH(Q4683,ctaNombre,0))&amp;""&lt;&gt;"",INDEX(ctaVinc,MATCH(Q4683,ctaNombre,0))&amp;"",Q4683),Q4683))</f>
        <v/>
      </c>
      <c r="AC4683" s="52">
        <f>IF(OR(K4683="",AND(P4683&lt;&gt;"Transferencia",P4683&lt;&gt;"Pago tarjeta")),"",IFERROR(IF(INDEX(ctaVinc,MATCH(K4683,ctaNombre,0))&amp;""&lt;&gt;"",INDEX(ctaVinc,MATCH(K4683,ctaNombre,0))&amp;"",K4683),K4683))</f>
        <v/>
      </c>
      <c r="AD4683" s="52">
        <f>IF(AB4683="","",IFERROR(INDEX(ctaTipo,MATCH(AB4683,ctaNombre,0))&amp;"",""))</f>
        <v/>
      </c>
      <c r="AE4683" s="52">
        <f>IF(AC4683="","",IFERROR(INDEX(ctaTipo,MATCH(AC4683,ctaNombre,0))&amp;"",""))</f>
        <v/>
      </c>
      <c r="AF4683" s="53">
        <f>IF(OR(P4683="",AB4683=""),"",IF(OR(P4683="Gasto",P4683="Transferencia",P4683="Pago tarjeta"),-1,1)*IF(IFERROR(INDEX(ctaMoneda,MATCH(AB4683,ctaNombre,0))&amp;"","DOP")="USD",T4683,S4683))</f>
        <v/>
      </c>
      <c r="AG4683" s="53">
        <f>IF(AC4683="","",IF(IFERROR(INDEX(ctaMoneda,MATCH(AC4683,ctaNombre,0))&amp;"","DOP")="USD",T4683,S4683))</f>
        <v/>
      </c>
      <c r="AH4683" s="53">
        <f>IF(P4683="","",IF(AND(AD4683&lt;&gt;"",COUNTIFS(tcTipo,AD4683,tcLiq,"Sí")&gt;0),IF(OR(P4683="Gasto",P4683="Transferencia",P4683="Pago tarjeta"),-1,1)*S4683,0)+IF(AND(AE4683&lt;&gt;"",COUNTIFS(tcTipo,AE4683,tcLiq,"Sí")&gt;0),S4683,0))</f>
        <v/>
      </c>
      <c r="AI4683" s="52">
        <f>IF(OR(L4683="",P4683=""),"",IF(COUNTIFS(L$6:L4683,L4683,P$6:P4683,"?*")=1,MAX(AI$5:AI4682)+1,""))</f>
        <v/>
      </c>
    </row>
    <row r="4684">
      <c r="B4684" s="47" t="n"/>
      <c r="C4684" s="48" t="n"/>
      <c r="D4684" s="48" t="n"/>
      <c r="E4684" s="48" t="n"/>
      <c r="F4684" s="48" t="n"/>
      <c r="G4684" s="49" t="n"/>
      <c r="H4684" s="48" t="n"/>
      <c r="I4684" s="50" t="n"/>
      <c r="J4684" s="48" t="n"/>
      <c r="K4684" s="48" t="n"/>
      <c r="L4684" s="48" t="n"/>
      <c r="M4684" s="48" t="n"/>
      <c r="N4684" s="48" t="n"/>
      <c r="O4684" s="51">
        <f>IF(AND(B4684="",G4684="",C4684="",D4684="",J4684=""),"",IF(B4684="","⚠ Falta fecha",IF(G4684="","⚠ Falta monto",IF(Q4684="","⚠ Falta cuenta",IF(ISNA(MATCH(Q4684,ctaNombre,0)),"⚠ Cuenta no registrada",IF(AND(OR(P4684="Gasto",P4684="Reembolso"),D4684=""),"⚠ Falta categoría",IF(AND(D4684&lt;&gt;"",E4684&lt;&gt;"",ISNA(MATCH(D4684&amp;"|"&amp;E4684,catClave,0))),"⚠ Subcategoría no corresponde",IF(AND(OR(P4684="Transferencia",P4684="Pago tarjeta"),K4684=""),"⚠ Falta cuenta destino",IF(AND(K4684&lt;&gt;"",P4684&lt;&gt;"Transferencia",P4684&lt;&gt;"Pago tarjeta"),"⚠ Destino solo aplica a transferencias",IF(AND(K4684&lt;&gt;"",K4684=Q4684),"⚠ Origen igual a destino",IF(AND(K4684&lt;&gt;"",ISNA(MATCH(K4684,ctaNombre,0))),"⚠ Destino no registrado",IF(AND(P4684="Pago tarjeta",AE4684&lt;&gt;"Tarjeta de crédito"),"⚠ El destino debe ser tarjeta de crédito",IF(AND(P4684="Gasto",E4684="Depósitos y retiros"),"⚠ Usa tipo Transferencia",IF(AND(P4684="Resultado trading",AD4684&lt;&gt;"Cuenta de trading"),"⚠ Usa una cuenta de trading",IF(AND(G4684&lt;=0,P4684&lt;&gt;"Ajuste",P4684&lt;&gt;"Resultado trading"),"⚠ El monto debe ser positivo","✓")))))))))))))))</f>
        <v/>
      </c>
      <c r="P4684" s="52">
        <f>IF(OR(B4684="",G4684=""),"",IF(C4684="","Gasto",C4684))</f>
        <v/>
      </c>
      <c r="Q4684" s="52">
        <f>IF(P4684="","",IF(J4684&lt;&gt;"",J4684,CuentaPred&amp;""))</f>
        <v/>
      </c>
      <c r="R4684" s="52">
        <f>IF(P4684="","",IF(ISNUMBER(I4684),I4684,TasaUSD))</f>
        <v/>
      </c>
      <c r="S4684" s="53">
        <f>IF(P4684="","",IF(H4684="USD",G4684*R4684,G4684))</f>
        <v/>
      </c>
      <c r="T4684" s="53">
        <f>IF(P4684="","",IF(H4684="USD",G4684,IF(R4684&gt;0,G4684/R4684,0)))</f>
        <v/>
      </c>
      <c r="U4684" s="53">
        <f>IF(P4684="","",IF(P4684="Gasto",S4684,IF(P4684="Reembolso",-S4684,0)))</f>
        <v/>
      </c>
      <c r="V4684" s="53">
        <f>IF(P4684="","",IF(P4684="Ingreso",S4684,0))</f>
        <v/>
      </c>
      <c r="W4684" s="53">
        <f>IF(P4684="","",IF(P4684="Resultado trading",S4684,0))</f>
        <v/>
      </c>
      <c r="X4684" s="52">
        <f>IF(OR(P4684="Gasto",P4684="Reembolso"),IF(M4684&lt;&gt;"",M4684,IFERROR(INDEX(catClasif,MATCH(D4684&amp;"|"&amp;E4684,catClave,0))&amp;"","Variable")),"")</f>
        <v/>
      </c>
      <c r="Y4684" s="52">
        <f>IF(P4684="","",IFERROR(INDEX(catGrupo,MATCH(D4684&amp;"|"&amp;E4684,catClave,0))&amp;"",""))</f>
        <v/>
      </c>
      <c r="Z4684" s="52">
        <f>IF(P4684="","",WEEKDAY(B4684,2))</f>
        <v/>
      </c>
      <c r="AA4684" s="52">
        <f>IF(P4684="","",IF(AND(P4684="Gasto",X4684="Variable",D4684&lt;&gt;catTrading,S4684&gt;0,S4684&lt;=Umbral),1,0))</f>
        <v/>
      </c>
      <c r="AB4684" s="52">
        <f>IF(OR(P4684="",Q4684=""),"",IFERROR(IF(INDEX(ctaVinc,MATCH(Q4684,ctaNombre,0))&amp;""&lt;&gt;"",INDEX(ctaVinc,MATCH(Q4684,ctaNombre,0))&amp;"",Q4684),Q4684))</f>
        <v/>
      </c>
      <c r="AC4684" s="52">
        <f>IF(OR(K4684="",AND(P4684&lt;&gt;"Transferencia",P4684&lt;&gt;"Pago tarjeta")),"",IFERROR(IF(INDEX(ctaVinc,MATCH(K4684,ctaNombre,0))&amp;""&lt;&gt;"",INDEX(ctaVinc,MATCH(K4684,ctaNombre,0))&amp;"",K4684),K4684))</f>
        <v/>
      </c>
      <c r="AD4684" s="52">
        <f>IF(AB4684="","",IFERROR(INDEX(ctaTipo,MATCH(AB4684,ctaNombre,0))&amp;"",""))</f>
        <v/>
      </c>
      <c r="AE4684" s="52">
        <f>IF(AC4684="","",IFERROR(INDEX(ctaTipo,MATCH(AC4684,ctaNombre,0))&amp;"",""))</f>
        <v/>
      </c>
      <c r="AF4684" s="53">
        <f>IF(OR(P4684="",AB4684=""),"",IF(OR(P4684="Gasto",P4684="Transferencia",P4684="Pago tarjeta"),-1,1)*IF(IFERROR(INDEX(ctaMoneda,MATCH(AB4684,ctaNombre,0))&amp;"","DOP")="USD",T4684,S4684))</f>
        <v/>
      </c>
      <c r="AG4684" s="53">
        <f>IF(AC4684="","",IF(IFERROR(INDEX(ctaMoneda,MATCH(AC4684,ctaNombre,0))&amp;"","DOP")="USD",T4684,S4684))</f>
        <v/>
      </c>
      <c r="AH4684" s="53">
        <f>IF(P4684="","",IF(AND(AD4684&lt;&gt;"",COUNTIFS(tcTipo,AD4684,tcLiq,"Sí")&gt;0),IF(OR(P4684="Gasto",P4684="Transferencia",P4684="Pago tarjeta"),-1,1)*S4684,0)+IF(AND(AE4684&lt;&gt;"",COUNTIFS(tcTipo,AE4684,tcLiq,"Sí")&gt;0),S4684,0))</f>
        <v/>
      </c>
      <c r="AI4684" s="52">
        <f>IF(OR(L4684="",P4684=""),"",IF(COUNTIFS(L$6:L4684,L4684,P$6:P4684,"?*")=1,MAX(AI$5:AI4683)+1,""))</f>
        <v/>
      </c>
    </row>
    <row r="4685">
      <c r="B4685" s="47" t="n"/>
      <c r="C4685" s="48" t="n"/>
      <c r="D4685" s="48" t="n"/>
      <c r="E4685" s="48" t="n"/>
      <c r="F4685" s="48" t="n"/>
      <c r="G4685" s="49" t="n"/>
      <c r="H4685" s="48" t="n"/>
      <c r="I4685" s="50" t="n"/>
      <c r="J4685" s="48" t="n"/>
      <c r="K4685" s="48" t="n"/>
      <c r="L4685" s="48" t="n"/>
      <c r="M4685" s="48" t="n"/>
      <c r="N4685" s="48" t="n"/>
      <c r="O4685" s="51">
        <f>IF(AND(B4685="",G4685="",C4685="",D4685="",J4685=""),"",IF(B4685="","⚠ Falta fecha",IF(G4685="","⚠ Falta monto",IF(Q4685="","⚠ Falta cuenta",IF(ISNA(MATCH(Q4685,ctaNombre,0)),"⚠ Cuenta no registrada",IF(AND(OR(P4685="Gasto",P4685="Reembolso"),D4685=""),"⚠ Falta categoría",IF(AND(D4685&lt;&gt;"",E4685&lt;&gt;"",ISNA(MATCH(D4685&amp;"|"&amp;E4685,catClave,0))),"⚠ Subcategoría no corresponde",IF(AND(OR(P4685="Transferencia",P4685="Pago tarjeta"),K4685=""),"⚠ Falta cuenta destino",IF(AND(K4685&lt;&gt;"",P4685&lt;&gt;"Transferencia",P4685&lt;&gt;"Pago tarjeta"),"⚠ Destino solo aplica a transferencias",IF(AND(K4685&lt;&gt;"",K4685=Q4685),"⚠ Origen igual a destino",IF(AND(K4685&lt;&gt;"",ISNA(MATCH(K4685,ctaNombre,0))),"⚠ Destino no registrado",IF(AND(P4685="Pago tarjeta",AE4685&lt;&gt;"Tarjeta de crédito"),"⚠ El destino debe ser tarjeta de crédito",IF(AND(P4685="Gasto",E4685="Depósitos y retiros"),"⚠ Usa tipo Transferencia",IF(AND(P4685="Resultado trading",AD4685&lt;&gt;"Cuenta de trading"),"⚠ Usa una cuenta de trading",IF(AND(G4685&lt;=0,P4685&lt;&gt;"Ajuste",P4685&lt;&gt;"Resultado trading"),"⚠ El monto debe ser positivo","✓")))))))))))))))</f>
        <v/>
      </c>
      <c r="P4685" s="52">
        <f>IF(OR(B4685="",G4685=""),"",IF(C4685="","Gasto",C4685))</f>
        <v/>
      </c>
      <c r="Q4685" s="52">
        <f>IF(P4685="","",IF(J4685&lt;&gt;"",J4685,CuentaPred&amp;""))</f>
        <v/>
      </c>
      <c r="R4685" s="52">
        <f>IF(P4685="","",IF(ISNUMBER(I4685),I4685,TasaUSD))</f>
        <v/>
      </c>
      <c r="S4685" s="53">
        <f>IF(P4685="","",IF(H4685="USD",G4685*R4685,G4685))</f>
        <v/>
      </c>
      <c r="T4685" s="53">
        <f>IF(P4685="","",IF(H4685="USD",G4685,IF(R4685&gt;0,G4685/R4685,0)))</f>
        <v/>
      </c>
      <c r="U4685" s="53">
        <f>IF(P4685="","",IF(P4685="Gasto",S4685,IF(P4685="Reembolso",-S4685,0)))</f>
        <v/>
      </c>
      <c r="V4685" s="53">
        <f>IF(P4685="","",IF(P4685="Ingreso",S4685,0))</f>
        <v/>
      </c>
      <c r="W4685" s="53">
        <f>IF(P4685="","",IF(P4685="Resultado trading",S4685,0))</f>
        <v/>
      </c>
      <c r="X4685" s="52">
        <f>IF(OR(P4685="Gasto",P4685="Reembolso"),IF(M4685&lt;&gt;"",M4685,IFERROR(INDEX(catClasif,MATCH(D4685&amp;"|"&amp;E4685,catClave,0))&amp;"","Variable")),"")</f>
        <v/>
      </c>
      <c r="Y4685" s="52">
        <f>IF(P4685="","",IFERROR(INDEX(catGrupo,MATCH(D4685&amp;"|"&amp;E4685,catClave,0))&amp;"",""))</f>
        <v/>
      </c>
      <c r="Z4685" s="52">
        <f>IF(P4685="","",WEEKDAY(B4685,2))</f>
        <v/>
      </c>
      <c r="AA4685" s="52">
        <f>IF(P4685="","",IF(AND(P4685="Gasto",X4685="Variable",D4685&lt;&gt;catTrading,S4685&gt;0,S4685&lt;=Umbral),1,0))</f>
        <v/>
      </c>
      <c r="AB4685" s="52">
        <f>IF(OR(P4685="",Q4685=""),"",IFERROR(IF(INDEX(ctaVinc,MATCH(Q4685,ctaNombre,0))&amp;""&lt;&gt;"",INDEX(ctaVinc,MATCH(Q4685,ctaNombre,0))&amp;"",Q4685),Q4685))</f>
        <v/>
      </c>
      <c r="AC4685" s="52">
        <f>IF(OR(K4685="",AND(P4685&lt;&gt;"Transferencia",P4685&lt;&gt;"Pago tarjeta")),"",IFERROR(IF(INDEX(ctaVinc,MATCH(K4685,ctaNombre,0))&amp;""&lt;&gt;"",INDEX(ctaVinc,MATCH(K4685,ctaNombre,0))&amp;"",K4685),K4685))</f>
        <v/>
      </c>
      <c r="AD4685" s="52">
        <f>IF(AB4685="","",IFERROR(INDEX(ctaTipo,MATCH(AB4685,ctaNombre,0))&amp;"",""))</f>
        <v/>
      </c>
      <c r="AE4685" s="52">
        <f>IF(AC4685="","",IFERROR(INDEX(ctaTipo,MATCH(AC4685,ctaNombre,0))&amp;"",""))</f>
        <v/>
      </c>
      <c r="AF4685" s="53">
        <f>IF(OR(P4685="",AB4685=""),"",IF(OR(P4685="Gasto",P4685="Transferencia",P4685="Pago tarjeta"),-1,1)*IF(IFERROR(INDEX(ctaMoneda,MATCH(AB4685,ctaNombre,0))&amp;"","DOP")="USD",T4685,S4685))</f>
        <v/>
      </c>
      <c r="AG4685" s="53">
        <f>IF(AC4685="","",IF(IFERROR(INDEX(ctaMoneda,MATCH(AC4685,ctaNombre,0))&amp;"","DOP")="USD",T4685,S4685))</f>
        <v/>
      </c>
      <c r="AH4685" s="53">
        <f>IF(P4685="","",IF(AND(AD4685&lt;&gt;"",COUNTIFS(tcTipo,AD4685,tcLiq,"Sí")&gt;0),IF(OR(P4685="Gasto",P4685="Transferencia",P4685="Pago tarjeta"),-1,1)*S4685,0)+IF(AND(AE4685&lt;&gt;"",COUNTIFS(tcTipo,AE4685,tcLiq,"Sí")&gt;0),S4685,0))</f>
        <v/>
      </c>
      <c r="AI4685" s="52">
        <f>IF(OR(L4685="",P4685=""),"",IF(COUNTIFS(L$6:L4685,L4685,P$6:P4685,"?*")=1,MAX(AI$5:AI4684)+1,""))</f>
        <v/>
      </c>
    </row>
    <row r="4686">
      <c r="B4686" s="47" t="n"/>
      <c r="C4686" s="48" t="n"/>
      <c r="D4686" s="48" t="n"/>
      <c r="E4686" s="48" t="n"/>
      <c r="F4686" s="48" t="n"/>
      <c r="G4686" s="49" t="n"/>
      <c r="H4686" s="48" t="n"/>
      <c r="I4686" s="50" t="n"/>
      <c r="J4686" s="48" t="n"/>
      <c r="K4686" s="48" t="n"/>
      <c r="L4686" s="48" t="n"/>
      <c r="M4686" s="48" t="n"/>
      <c r="N4686" s="48" t="n"/>
      <c r="O4686" s="51">
        <f>IF(AND(B4686="",G4686="",C4686="",D4686="",J4686=""),"",IF(B4686="","⚠ Falta fecha",IF(G4686="","⚠ Falta monto",IF(Q4686="","⚠ Falta cuenta",IF(ISNA(MATCH(Q4686,ctaNombre,0)),"⚠ Cuenta no registrada",IF(AND(OR(P4686="Gasto",P4686="Reembolso"),D4686=""),"⚠ Falta categoría",IF(AND(D4686&lt;&gt;"",E4686&lt;&gt;"",ISNA(MATCH(D4686&amp;"|"&amp;E4686,catClave,0))),"⚠ Subcategoría no corresponde",IF(AND(OR(P4686="Transferencia",P4686="Pago tarjeta"),K4686=""),"⚠ Falta cuenta destino",IF(AND(K4686&lt;&gt;"",P4686&lt;&gt;"Transferencia",P4686&lt;&gt;"Pago tarjeta"),"⚠ Destino solo aplica a transferencias",IF(AND(K4686&lt;&gt;"",K4686=Q4686),"⚠ Origen igual a destino",IF(AND(K4686&lt;&gt;"",ISNA(MATCH(K4686,ctaNombre,0))),"⚠ Destino no registrado",IF(AND(P4686="Pago tarjeta",AE4686&lt;&gt;"Tarjeta de crédito"),"⚠ El destino debe ser tarjeta de crédito",IF(AND(P4686="Gasto",E4686="Depósitos y retiros"),"⚠ Usa tipo Transferencia",IF(AND(P4686="Resultado trading",AD4686&lt;&gt;"Cuenta de trading"),"⚠ Usa una cuenta de trading",IF(AND(G4686&lt;=0,P4686&lt;&gt;"Ajuste",P4686&lt;&gt;"Resultado trading"),"⚠ El monto debe ser positivo","✓")))))))))))))))</f>
        <v/>
      </c>
      <c r="P4686" s="52">
        <f>IF(OR(B4686="",G4686=""),"",IF(C4686="","Gasto",C4686))</f>
        <v/>
      </c>
      <c r="Q4686" s="52">
        <f>IF(P4686="","",IF(J4686&lt;&gt;"",J4686,CuentaPred&amp;""))</f>
        <v/>
      </c>
      <c r="R4686" s="52">
        <f>IF(P4686="","",IF(ISNUMBER(I4686),I4686,TasaUSD))</f>
        <v/>
      </c>
      <c r="S4686" s="53">
        <f>IF(P4686="","",IF(H4686="USD",G4686*R4686,G4686))</f>
        <v/>
      </c>
      <c r="T4686" s="53">
        <f>IF(P4686="","",IF(H4686="USD",G4686,IF(R4686&gt;0,G4686/R4686,0)))</f>
        <v/>
      </c>
      <c r="U4686" s="53">
        <f>IF(P4686="","",IF(P4686="Gasto",S4686,IF(P4686="Reembolso",-S4686,0)))</f>
        <v/>
      </c>
      <c r="V4686" s="53">
        <f>IF(P4686="","",IF(P4686="Ingreso",S4686,0))</f>
        <v/>
      </c>
      <c r="W4686" s="53">
        <f>IF(P4686="","",IF(P4686="Resultado trading",S4686,0))</f>
        <v/>
      </c>
      <c r="X4686" s="52">
        <f>IF(OR(P4686="Gasto",P4686="Reembolso"),IF(M4686&lt;&gt;"",M4686,IFERROR(INDEX(catClasif,MATCH(D4686&amp;"|"&amp;E4686,catClave,0))&amp;"","Variable")),"")</f>
        <v/>
      </c>
      <c r="Y4686" s="52">
        <f>IF(P4686="","",IFERROR(INDEX(catGrupo,MATCH(D4686&amp;"|"&amp;E4686,catClave,0))&amp;"",""))</f>
        <v/>
      </c>
      <c r="Z4686" s="52">
        <f>IF(P4686="","",WEEKDAY(B4686,2))</f>
        <v/>
      </c>
      <c r="AA4686" s="52">
        <f>IF(P4686="","",IF(AND(P4686="Gasto",X4686="Variable",D4686&lt;&gt;catTrading,S4686&gt;0,S4686&lt;=Umbral),1,0))</f>
        <v/>
      </c>
      <c r="AB4686" s="52">
        <f>IF(OR(P4686="",Q4686=""),"",IFERROR(IF(INDEX(ctaVinc,MATCH(Q4686,ctaNombre,0))&amp;""&lt;&gt;"",INDEX(ctaVinc,MATCH(Q4686,ctaNombre,0))&amp;"",Q4686),Q4686))</f>
        <v/>
      </c>
      <c r="AC4686" s="52">
        <f>IF(OR(K4686="",AND(P4686&lt;&gt;"Transferencia",P4686&lt;&gt;"Pago tarjeta")),"",IFERROR(IF(INDEX(ctaVinc,MATCH(K4686,ctaNombre,0))&amp;""&lt;&gt;"",INDEX(ctaVinc,MATCH(K4686,ctaNombre,0))&amp;"",K4686),K4686))</f>
        <v/>
      </c>
      <c r="AD4686" s="52">
        <f>IF(AB4686="","",IFERROR(INDEX(ctaTipo,MATCH(AB4686,ctaNombre,0))&amp;"",""))</f>
        <v/>
      </c>
      <c r="AE4686" s="52">
        <f>IF(AC4686="","",IFERROR(INDEX(ctaTipo,MATCH(AC4686,ctaNombre,0))&amp;"",""))</f>
        <v/>
      </c>
      <c r="AF4686" s="53">
        <f>IF(OR(P4686="",AB4686=""),"",IF(OR(P4686="Gasto",P4686="Transferencia",P4686="Pago tarjeta"),-1,1)*IF(IFERROR(INDEX(ctaMoneda,MATCH(AB4686,ctaNombre,0))&amp;"","DOP")="USD",T4686,S4686))</f>
        <v/>
      </c>
      <c r="AG4686" s="53">
        <f>IF(AC4686="","",IF(IFERROR(INDEX(ctaMoneda,MATCH(AC4686,ctaNombre,0))&amp;"","DOP")="USD",T4686,S4686))</f>
        <v/>
      </c>
      <c r="AH4686" s="53">
        <f>IF(P4686="","",IF(AND(AD4686&lt;&gt;"",COUNTIFS(tcTipo,AD4686,tcLiq,"Sí")&gt;0),IF(OR(P4686="Gasto",P4686="Transferencia",P4686="Pago tarjeta"),-1,1)*S4686,0)+IF(AND(AE4686&lt;&gt;"",COUNTIFS(tcTipo,AE4686,tcLiq,"Sí")&gt;0),S4686,0))</f>
        <v/>
      </c>
      <c r="AI4686" s="52">
        <f>IF(OR(L4686="",P4686=""),"",IF(COUNTIFS(L$6:L4686,L4686,P$6:P4686,"?*")=1,MAX(AI$5:AI4685)+1,""))</f>
        <v/>
      </c>
    </row>
    <row r="4687">
      <c r="B4687" s="47" t="n"/>
      <c r="C4687" s="48" t="n"/>
      <c r="D4687" s="48" t="n"/>
      <c r="E4687" s="48" t="n"/>
      <c r="F4687" s="48" t="n"/>
      <c r="G4687" s="49" t="n"/>
      <c r="H4687" s="48" t="n"/>
      <c r="I4687" s="50" t="n"/>
      <c r="J4687" s="48" t="n"/>
      <c r="K4687" s="48" t="n"/>
      <c r="L4687" s="48" t="n"/>
      <c r="M4687" s="48" t="n"/>
      <c r="N4687" s="48" t="n"/>
      <c r="O4687" s="51">
        <f>IF(AND(B4687="",G4687="",C4687="",D4687="",J4687=""),"",IF(B4687="","⚠ Falta fecha",IF(G4687="","⚠ Falta monto",IF(Q4687="","⚠ Falta cuenta",IF(ISNA(MATCH(Q4687,ctaNombre,0)),"⚠ Cuenta no registrada",IF(AND(OR(P4687="Gasto",P4687="Reembolso"),D4687=""),"⚠ Falta categoría",IF(AND(D4687&lt;&gt;"",E4687&lt;&gt;"",ISNA(MATCH(D4687&amp;"|"&amp;E4687,catClave,0))),"⚠ Subcategoría no corresponde",IF(AND(OR(P4687="Transferencia",P4687="Pago tarjeta"),K4687=""),"⚠ Falta cuenta destino",IF(AND(K4687&lt;&gt;"",P4687&lt;&gt;"Transferencia",P4687&lt;&gt;"Pago tarjeta"),"⚠ Destino solo aplica a transferencias",IF(AND(K4687&lt;&gt;"",K4687=Q4687),"⚠ Origen igual a destino",IF(AND(K4687&lt;&gt;"",ISNA(MATCH(K4687,ctaNombre,0))),"⚠ Destino no registrado",IF(AND(P4687="Pago tarjeta",AE4687&lt;&gt;"Tarjeta de crédito"),"⚠ El destino debe ser tarjeta de crédito",IF(AND(P4687="Gasto",E4687="Depósitos y retiros"),"⚠ Usa tipo Transferencia",IF(AND(P4687="Resultado trading",AD4687&lt;&gt;"Cuenta de trading"),"⚠ Usa una cuenta de trading",IF(AND(G4687&lt;=0,P4687&lt;&gt;"Ajuste",P4687&lt;&gt;"Resultado trading"),"⚠ El monto debe ser positivo","✓")))))))))))))))</f>
        <v/>
      </c>
      <c r="P4687" s="52">
        <f>IF(OR(B4687="",G4687=""),"",IF(C4687="","Gasto",C4687))</f>
        <v/>
      </c>
      <c r="Q4687" s="52">
        <f>IF(P4687="","",IF(J4687&lt;&gt;"",J4687,CuentaPred&amp;""))</f>
        <v/>
      </c>
      <c r="R4687" s="52">
        <f>IF(P4687="","",IF(ISNUMBER(I4687),I4687,TasaUSD))</f>
        <v/>
      </c>
      <c r="S4687" s="53">
        <f>IF(P4687="","",IF(H4687="USD",G4687*R4687,G4687))</f>
        <v/>
      </c>
      <c r="T4687" s="53">
        <f>IF(P4687="","",IF(H4687="USD",G4687,IF(R4687&gt;0,G4687/R4687,0)))</f>
        <v/>
      </c>
      <c r="U4687" s="53">
        <f>IF(P4687="","",IF(P4687="Gasto",S4687,IF(P4687="Reembolso",-S4687,0)))</f>
        <v/>
      </c>
      <c r="V4687" s="53">
        <f>IF(P4687="","",IF(P4687="Ingreso",S4687,0))</f>
        <v/>
      </c>
      <c r="W4687" s="53">
        <f>IF(P4687="","",IF(P4687="Resultado trading",S4687,0))</f>
        <v/>
      </c>
      <c r="X4687" s="52">
        <f>IF(OR(P4687="Gasto",P4687="Reembolso"),IF(M4687&lt;&gt;"",M4687,IFERROR(INDEX(catClasif,MATCH(D4687&amp;"|"&amp;E4687,catClave,0))&amp;"","Variable")),"")</f>
        <v/>
      </c>
      <c r="Y4687" s="52">
        <f>IF(P4687="","",IFERROR(INDEX(catGrupo,MATCH(D4687&amp;"|"&amp;E4687,catClave,0))&amp;"",""))</f>
        <v/>
      </c>
      <c r="Z4687" s="52">
        <f>IF(P4687="","",WEEKDAY(B4687,2))</f>
        <v/>
      </c>
      <c r="AA4687" s="52">
        <f>IF(P4687="","",IF(AND(P4687="Gasto",X4687="Variable",D4687&lt;&gt;catTrading,S4687&gt;0,S4687&lt;=Umbral),1,0))</f>
        <v/>
      </c>
      <c r="AB4687" s="52">
        <f>IF(OR(P4687="",Q4687=""),"",IFERROR(IF(INDEX(ctaVinc,MATCH(Q4687,ctaNombre,0))&amp;""&lt;&gt;"",INDEX(ctaVinc,MATCH(Q4687,ctaNombre,0))&amp;"",Q4687),Q4687))</f>
        <v/>
      </c>
      <c r="AC4687" s="52">
        <f>IF(OR(K4687="",AND(P4687&lt;&gt;"Transferencia",P4687&lt;&gt;"Pago tarjeta")),"",IFERROR(IF(INDEX(ctaVinc,MATCH(K4687,ctaNombre,0))&amp;""&lt;&gt;"",INDEX(ctaVinc,MATCH(K4687,ctaNombre,0))&amp;"",K4687),K4687))</f>
        <v/>
      </c>
      <c r="AD4687" s="52">
        <f>IF(AB4687="","",IFERROR(INDEX(ctaTipo,MATCH(AB4687,ctaNombre,0))&amp;"",""))</f>
        <v/>
      </c>
      <c r="AE4687" s="52">
        <f>IF(AC4687="","",IFERROR(INDEX(ctaTipo,MATCH(AC4687,ctaNombre,0))&amp;"",""))</f>
        <v/>
      </c>
      <c r="AF4687" s="53">
        <f>IF(OR(P4687="",AB4687=""),"",IF(OR(P4687="Gasto",P4687="Transferencia",P4687="Pago tarjeta"),-1,1)*IF(IFERROR(INDEX(ctaMoneda,MATCH(AB4687,ctaNombre,0))&amp;"","DOP")="USD",T4687,S4687))</f>
        <v/>
      </c>
      <c r="AG4687" s="53">
        <f>IF(AC4687="","",IF(IFERROR(INDEX(ctaMoneda,MATCH(AC4687,ctaNombre,0))&amp;"","DOP")="USD",T4687,S4687))</f>
        <v/>
      </c>
      <c r="AH4687" s="53">
        <f>IF(P4687="","",IF(AND(AD4687&lt;&gt;"",COUNTIFS(tcTipo,AD4687,tcLiq,"Sí")&gt;0),IF(OR(P4687="Gasto",P4687="Transferencia",P4687="Pago tarjeta"),-1,1)*S4687,0)+IF(AND(AE4687&lt;&gt;"",COUNTIFS(tcTipo,AE4687,tcLiq,"Sí")&gt;0),S4687,0))</f>
        <v/>
      </c>
      <c r="AI4687" s="52">
        <f>IF(OR(L4687="",P4687=""),"",IF(COUNTIFS(L$6:L4687,L4687,P$6:P4687,"?*")=1,MAX(AI$5:AI4686)+1,""))</f>
        <v/>
      </c>
    </row>
    <row r="4688">
      <c r="B4688" s="47" t="n"/>
      <c r="C4688" s="48" t="n"/>
      <c r="D4688" s="48" t="n"/>
      <c r="E4688" s="48" t="n"/>
      <c r="F4688" s="48" t="n"/>
      <c r="G4688" s="49" t="n"/>
      <c r="H4688" s="48" t="n"/>
      <c r="I4688" s="50" t="n"/>
      <c r="J4688" s="48" t="n"/>
      <c r="K4688" s="48" t="n"/>
      <c r="L4688" s="48" t="n"/>
      <c r="M4688" s="48" t="n"/>
      <c r="N4688" s="48" t="n"/>
      <c r="O4688" s="51">
        <f>IF(AND(B4688="",G4688="",C4688="",D4688="",J4688=""),"",IF(B4688="","⚠ Falta fecha",IF(G4688="","⚠ Falta monto",IF(Q4688="","⚠ Falta cuenta",IF(ISNA(MATCH(Q4688,ctaNombre,0)),"⚠ Cuenta no registrada",IF(AND(OR(P4688="Gasto",P4688="Reembolso"),D4688=""),"⚠ Falta categoría",IF(AND(D4688&lt;&gt;"",E4688&lt;&gt;"",ISNA(MATCH(D4688&amp;"|"&amp;E4688,catClave,0))),"⚠ Subcategoría no corresponde",IF(AND(OR(P4688="Transferencia",P4688="Pago tarjeta"),K4688=""),"⚠ Falta cuenta destino",IF(AND(K4688&lt;&gt;"",P4688&lt;&gt;"Transferencia",P4688&lt;&gt;"Pago tarjeta"),"⚠ Destino solo aplica a transferencias",IF(AND(K4688&lt;&gt;"",K4688=Q4688),"⚠ Origen igual a destino",IF(AND(K4688&lt;&gt;"",ISNA(MATCH(K4688,ctaNombre,0))),"⚠ Destino no registrado",IF(AND(P4688="Pago tarjeta",AE4688&lt;&gt;"Tarjeta de crédito"),"⚠ El destino debe ser tarjeta de crédito",IF(AND(P4688="Gasto",E4688="Depósitos y retiros"),"⚠ Usa tipo Transferencia",IF(AND(P4688="Resultado trading",AD4688&lt;&gt;"Cuenta de trading"),"⚠ Usa una cuenta de trading",IF(AND(G4688&lt;=0,P4688&lt;&gt;"Ajuste",P4688&lt;&gt;"Resultado trading"),"⚠ El monto debe ser positivo","✓")))))))))))))))</f>
        <v/>
      </c>
      <c r="P4688" s="52">
        <f>IF(OR(B4688="",G4688=""),"",IF(C4688="","Gasto",C4688))</f>
        <v/>
      </c>
      <c r="Q4688" s="52">
        <f>IF(P4688="","",IF(J4688&lt;&gt;"",J4688,CuentaPred&amp;""))</f>
        <v/>
      </c>
      <c r="R4688" s="52">
        <f>IF(P4688="","",IF(ISNUMBER(I4688),I4688,TasaUSD))</f>
        <v/>
      </c>
      <c r="S4688" s="53">
        <f>IF(P4688="","",IF(H4688="USD",G4688*R4688,G4688))</f>
        <v/>
      </c>
      <c r="T4688" s="53">
        <f>IF(P4688="","",IF(H4688="USD",G4688,IF(R4688&gt;0,G4688/R4688,0)))</f>
        <v/>
      </c>
      <c r="U4688" s="53">
        <f>IF(P4688="","",IF(P4688="Gasto",S4688,IF(P4688="Reembolso",-S4688,0)))</f>
        <v/>
      </c>
      <c r="V4688" s="53">
        <f>IF(P4688="","",IF(P4688="Ingreso",S4688,0))</f>
        <v/>
      </c>
      <c r="W4688" s="53">
        <f>IF(P4688="","",IF(P4688="Resultado trading",S4688,0))</f>
        <v/>
      </c>
      <c r="X4688" s="52">
        <f>IF(OR(P4688="Gasto",P4688="Reembolso"),IF(M4688&lt;&gt;"",M4688,IFERROR(INDEX(catClasif,MATCH(D4688&amp;"|"&amp;E4688,catClave,0))&amp;"","Variable")),"")</f>
        <v/>
      </c>
      <c r="Y4688" s="52">
        <f>IF(P4688="","",IFERROR(INDEX(catGrupo,MATCH(D4688&amp;"|"&amp;E4688,catClave,0))&amp;"",""))</f>
        <v/>
      </c>
      <c r="Z4688" s="52">
        <f>IF(P4688="","",WEEKDAY(B4688,2))</f>
        <v/>
      </c>
      <c r="AA4688" s="52">
        <f>IF(P4688="","",IF(AND(P4688="Gasto",X4688="Variable",D4688&lt;&gt;catTrading,S4688&gt;0,S4688&lt;=Umbral),1,0))</f>
        <v/>
      </c>
      <c r="AB4688" s="52">
        <f>IF(OR(P4688="",Q4688=""),"",IFERROR(IF(INDEX(ctaVinc,MATCH(Q4688,ctaNombre,0))&amp;""&lt;&gt;"",INDEX(ctaVinc,MATCH(Q4688,ctaNombre,0))&amp;"",Q4688),Q4688))</f>
        <v/>
      </c>
      <c r="AC4688" s="52">
        <f>IF(OR(K4688="",AND(P4688&lt;&gt;"Transferencia",P4688&lt;&gt;"Pago tarjeta")),"",IFERROR(IF(INDEX(ctaVinc,MATCH(K4688,ctaNombre,0))&amp;""&lt;&gt;"",INDEX(ctaVinc,MATCH(K4688,ctaNombre,0))&amp;"",K4688),K4688))</f>
        <v/>
      </c>
      <c r="AD4688" s="52">
        <f>IF(AB4688="","",IFERROR(INDEX(ctaTipo,MATCH(AB4688,ctaNombre,0))&amp;"",""))</f>
        <v/>
      </c>
      <c r="AE4688" s="52">
        <f>IF(AC4688="","",IFERROR(INDEX(ctaTipo,MATCH(AC4688,ctaNombre,0))&amp;"",""))</f>
        <v/>
      </c>
      <c r="AF4688" s="53">
        <f>IF(OR(P4688="",AB4688=""),"",IF(OR(P4688="Gasto",P4688="Transferencia",P4688="Pago tarjeta"),-1,1)*IF(IFERROR(INDEX(ctaMoneda,MATCH(AB4688,ctaNombre,0))&amp;"","DOP")="USD",T4688,S4688))</f>
        <v/>
      </c>
      <c r="AG4688" s="53">
        <f>IF(AC4688="","",IF(IFERROR(INDEX(ctaMoneda,MATCH(AC4688,ctaNombre,0))&amp;"","DOP")="USD",T4688,S4688))</f>
        <v/>
      </c>
      <c r="AH4688" s="53">
        <f>IF(P4688="","",IF(AND(AD4688&lt;&gt;"",COUNTIFS(tcTipo,AD4688,tcLiq,"Sí")&gt;0),IF(OR(P4688="Gasto",P4688="Transferencia",P4688="Pago tarjeta"),-1,1)*S4688,0)+IF(AND(AE4688&lt;&gt;"",COUNTIFS(tcTipo,AE4688,tcLiq,"Sí")&gt;0),S4688,0))</f>
        <v/>
      </c>
      <c r="AI4688" s="52">
        <f>IF(OR(L4688="",P4688=""),"",IF(COUNTIFS(L$6:L4688,L4688,P$6:P4688,"?*")=1,MAX(AI$5:AI4687)+1,""))</f>
        <v/>
      </c>
    </row>
    <row r="4689">
      <c r="B4689" s="47" t="n"/>
      <c r="C4689" s="48" t="n"/>
      <c r="D4689" s="48" t="n"/>
      <c r="E4689" s="48" t="n"/>
      <c r="F4689" s="48" t="n"/>
      <c r="G4689" s="49" t="n"/>
      <c r="H4689" s="48" t="n"/>
      <c r="I4689" s="50" t="n"/>
      <c r="J4689" s="48" t="n"/>
      <c r="K4689" s="48" t="n"/>
      <c r="L4689" s="48" t="n"/>
      <c r="M4689" s="48" t="n"/>
      <c r="N4689" s="48" t="n"/>
      <c r="O4689" s="51">
        <f>IF(AND(B4689="",G4689="",C4689="",D4689="",J4689=""),"",IF(B4689="","⚠ Falta fecha",IF(G4689="","⚠ Falta monto",IF(Q4689="","⚠ Falta cuenta",IF(ISNA(MATCH(Q4689,ctaNombre,0)),"⚠ Cuenta no registrada",IF(AND(OR(P4689="Gasto",P4689="Reembolso"),D4689=""),"⚠ Falta categoría",IF(AND(D4689&lt;&gt;"",E4689&lt;&gt;"",ISNA(MATCH(D4689&amp;"|"&amp;E4689,catClave,0))),"⚠ Subcategoría no corresponde",IF(AND(OR(P4689="Transferencia",P4689="Pago tarjeta"),K4689=""),"⚠ Falta cuenta destino",IF(AND(K4689&lt;&gt;"",P4689&lt;&gt;"Transferencia",P4689&lt;&gt;"Pago tarjeta"),"⚠ Destino solo aplica a transferencias",IF(AND(K4689&lt;&gt;"",K4689=Q4689),"⚠ Origen igual a destino",IF(AND(K4689&lt;&gt;"",ISNA(MATCH(K4689,ctaNombre,0))),"⚠ Destino no registrado",IF(AND(P4689="Pago tarjeta",AE4689&lt;&gt;"Tarjeta de crédito"),"⚠ El destino debe ser tarjeta de crédito",IF(AND(P4689="Gasto",E4689="Depósitos y retiros"),"⚠ Usa tipo Transferencia",IF(AND(P4689="Resultado trading",AD4689&lt;&gt;"Cuenta de trading"),"⚠ Usa una cuenta de trading",IF(AND(G4689&lt;=0,P4689&lt;&gt;"Ajuste",P4689&lt;&gt;"Resultado trading"),"⚠ El monto debe ser positivo","✓")))))))))))))))</f>
        <v/>
      </c>
      <c r="P4689" s="52">
        <f>IF(OR(B4689="",G4689=""),"",IF(C4689="","Gasto",C4689))</f>
        <v/>
      </c>
      <c r="Q4689" s="52">
        <f>IF(P4689="","",IF(J4689&lt;&gt;"",J4689,CuentaPred&amp;""))</f>
        <v/>
      </c>
      <c r="R4689" s="52">
        <f>IF(P4689="","",IF(ISNUMBER(I4689),I4689,TasaUSD))</f>
        <v/>
      </c>
      <c r="S4689" s="53">
        <f>IF(P4689="","",IF(H4689="USD",G4689*R4689,G4689))</f>
        <v/>
      </c>
      <c r="T4689" s="53">
        <f>IF(P4689="","",IF(H4689="USD",G4689,IF(R4689&gt;0,G4689/R4689,0)))</f>
        <v/>
      </c>
      <c r="U4689" s="53">
        <f>IF(P4689="","",IF(P4689="Gasto",S4689,IF(P4689="Reembolso",-S4689,0)))</f>
        <v/>
      </c>
      <c r="V4689" s="53">
        <f>IF(P4689="","",IF(P4689="Ingreso",S4689,0))</f>
        <v/>
      </c>
      <c r="W4689" s="53">
        <f>IF(P4689="","",IF(P4689="Resultado trading",S4689,0))</f>
        <v/>
      </c>
      <c r="X4689" s="52">
        <f>IF(OR(P4689="Gasto",P4689="Reembolso"),IF(M4689&lt;&gt;"",M4689,IFERROR(INDEX(catClasif,MATCH(D4689&amp;"|"&amp;E4689,catClave,0))&amp;"","Variable")),"")</f>
        <v/>
      </c>
      <c r="Y4689" s="52">
        <f>IF(P4689="","",IFERROR(INDEX(catGrupo,MATCH(D4689&amp;"|"&amp;E4689,catClave,0))&amp;"",""))</f>
        <v/>
      </c>
      <c r="Z4689" s="52">
        <f>IF(P4689="","",WEEKDAY(B4689,2))</f>
        <v/>
      </c>
      <c r="AA4689" s="52">
        <f>IF(P4689="","",IF(AND(P4689="Gasto",X4689="Variable",D4689&lt;&gt;catTrading,S4689&gt;0,S4689&lt;=Umbral),1,0))</f>
        <v/>
      </c>
      <c r="AB4689" s="52">
        <f>IF(OR(P4689="",Q4689=""),"",IFERROR(IF(INDEX(ctaVinc,MATCH(Q4689,ctaNombre,0))&amp;""&lt;&gt;"",INDEX(ctaVinc,MATCH(Q4689,ctaNombre,0))&amp;"",Q4689),Q4689))</f>
        <v/>
      </c>
      <c r="AC4689" s="52">
        <f>IF(OR(K4689="",AND(P4689&lt;&gt;"Transferencia",P4689&lt;&gt;"Pago tarjeta")),"",IFERROR(IF(INDEX(ctaVinc,MATCH(K4689,ctaNombre,0))&amp;""&lt;&gt;"",INDEX(ctaVinc,MATCH(K4689,ctaNombre,0))&amp;"",K4689),K4689))</f>
        <v/>
      </c>
      <c r="AD4689" s="52">
        <f>IF(AB4689="","",IFERROR(INDEX(ctaTipo,MATCH(AB4689,ctaNombre,0))&amp;"",""))</f>
        <v/>
      </c>
      <c r="AE4689" s="52">
        <f>IF(AC4689="","",IFERROR(INDEX(ctaTipo,MATCH(AC4689,ctaNombre,0))&amp;"",""))</f>
        <v/>
      </c>
      <c r="AF4689" s="53">
        <f>IF(OR(P4689="",AB4689=""),"",IF(OR(P4689="Gasto",P4689="Transferencia",P4689="Pago tarjeta"),-1,1)*IF(IFERROR(INDEX(ctaMoneda,MATCH(AB4689,ctaNombre,0))&amp;"","DOP")="USD",T4689,S4689))</f>
        <v/>
      </c>
      <c r="AG4689" s="53">
        <f>IF(AC4689="","",IF(IFERROR(INDEX(ctaMoneda,MATCH(AC4689,ctaNombre,0))&amp;"","DOP")="USD",T4689,S4689))</f>
        <v/>
      </c>
      <c r="AH4689" s="53">
        <f>IF(P4689="","",IF(AND(AD4689&lt;&gt;"",COUNTIFS(tcTipo,AD4689,tcLiq,"Sí")&gt;0),IF(OR(P4689="Gasto",P4689="Transferencia",P4689="Pago tarjeta"),-1,1)*S4689,0)+IF(AND(AE4689&lt;&gt;"",COUNTIFS(tcTipo,AE4689,tcLiq,"Sí")&gt;0),S4689,0))</f>
        <v/>
      </c>
      <c r="AI4689" s="52">
        <f>IF(OR(L4689="",P4689=""),"",IF(COUNTIFS(L$6:L4689,L4689,P$6:P4689,"?*")=1,MAX(AI$5:AI4688)+1,""))</f>
        <v/>
      </c>
    </row>
    <row r="4690">
      <c r="B4690" s="47" t="n"/>
      <c r="C4690" s="48" t="n"/>
      <c r="D4690" s="48" t="n"/>
      <c r="E4690" s="48" t="n"/>
      <c r="F4690" s="48" t="n"/>
      <c r="G4690" s="49" t="n"/>
      <c r="H4690" s="48" t="n"/>
      <c r="I4690" s="50" t="n"/>
      <c r="J4690" s="48" t="n"/>
      <c r="K4690" s="48" t="n"/>
      <c r="L4690" s="48" t="n"/>
      <c r="M4690" s="48" t="n"/>
      <c r="N4690" s="48" t="n"/>
      <c r="O4690" s="51">
        <f>IF(AND(B4690="",G4690="",C4690="",D4690="",J4690=""),"",IF(B4690="","⚠ Falta fecha",IF(G4690="","⚠ Falta monto",IF(Q4690="","⚠ Falta cuenta",IF(ISNA(MATCH(Q4690,ctaNombre,0)),"⚠ Cuenta no registrada",IF(AND(OR(P4690="Gasto",P4690="Reembolso"),D4690=""),"⚠ Falta categoría",IF(AND(D4690&lt;&gt;"",E4690&lt;&gt;"",ISNA(MATCH(D4690&amp;"|"&amp;E4690,catClave,0))),"⚠ Subcategoría no corresponde",IF(AND(OR(P4690="Transferencia",P4690="Pago tarjeta"),K4690=""),"⚠ Falta cuenta destino",IF(AND(K4690&lt;&gt;"",P4690&lt;&gt;"Transferencia",P4690&lt;&gt;"Pago tarjeta"),"⚠ Destino solo aplica a transferencias",IF(AND(K4690&lt;&gt;"",K4690=Q4690),"⚠ Origen igual a destino",IF(AND(K4690&lt;&gt;"",ISNA(MATCH(K4690,ctaNombre,0))),"⚠ Destino no registrado",IF(AND(P4690="Pago tarjeta",AE4690&lt;&gt;"Tarjeta de crédito"),"⚠ El destino debe ser tarjeta de crédito",IF(AND(P4690="Gasto",E4690="Depósitos y retiros"),"⚠ Usa tipo Transferencia",IF(AND(P4690="Resultado trading",AD4690&lt;&gt;"Cuenta de trading"),"⚠ Usa una cuenta de trading",IF(AND(G4690&lt;=0,P4690&lt;&gt;"Ajuste",P4690&lt;&gt;"Resultado trading"),"⚠ El monto debe ser positivo","✓")))))))))))))))</f>
        <v/>
      </c>
      <c r="P4690" s="52">
        <f>IF(OR(B4690="",G4690=""),"",IF(C4690="","Gasto",C4690))</f>
        <v/>
      </c>
      <c r="Q4690" s="52">
        <f>IF(P4690="","",IF(J4690&lt;&gt;"",J4690,CuentaPred&amp;""))</f>
        <v/>
      </c>
      <c r="R4690" s="52">
        <f>IF(P4690="","",IF(ISNUMBER(I4690),I4690,TasaUSD))</f>
        <v/>
      </c>
      <c r="S4690" s="53">
        <f>IF(P4690="","",IF(H4690="USD",G4690*R4690,G4690))</f>
        <v/>
      </c>
      <c r="T4690" s="53">
        <f>IF(P4690="","",IF(H4690="USD",G4690,IF(R4690&gt;0,G4690/R4690,0)))</f>
        <v/>
      </c>
      <c r="U4690" s="53">
        <f>IF(P4690="","",IF(P4690="Gasto",S4690,IF(P4690="Reembolso",-S4690,0)))</f>
        <v/>
      </c>
      <c r="V4690" s="53">
        <f>IF(P4690="","",IF(P4690="Ingreso",S4690,0))</f>
        <v/>
      </c>
      <c r="W4690" s="53">
        <f>IF(P4690="","",IF(P4690="Resultado trading",S4690,0))</f>
        <v/>
      </c>
      <c r="X4690" s="52">
        <f>IF(OR(P4690="Gasto",P4690="Reembolso"),IF(M4690&lt;&gt;"",M4690,IFERROR(INDEX(catClasif,MATCH(D4690&amp;"|"&amp;E4690,catClave,0))&amp;"","Variable")),"")</f>
        <v/>
      </c>
      <c r="Y4690" s="52">
        <f>IF(P4690="","",IFERROR(INDEX(catGrupo,MATCH(D4690&amp;"|"&amp;E4690,catClave,0))&amp;"",""))</f>
        <v/>
      </c>
      <c r="Z4690" s="52">
        <f>IF(P4690="","",WEEKDAY(B4690,2))</f>
        <v/>
      </c>
      <c r="AA4690" s="52">
        <f>IF(P4690="","",IF(AND(P4690="Gasto",X4690="Variable",D4690&lt;&gt;catTrading,S4690&gt;0,S4690&lt;=Umbral),1,0))</f>
        <v/>
      </c>
      <c r="AB4690" s="52">
        <f>IF(OR(P4690="",Q4690=""),"",IFERROR(IF(INDEX(ctaVinc,MATCH(Q4690,ctaNombre,0))&amp;""&lt;&gt;"",INDEX(ctaVinc,MATCH(Q4690,ctaNombre,0))&amp;"",Q4690),Q4690))</f>
        <v/>
      </c>
      <c r="AC4690" s="52">
        <f>IF(OR(K4690="",AND(P4690&lt;&gt;"Transferencia",P4690&lt;&gt;"Pago tarjeta")),"",IFERROR(IF(INDEX(ctaVinc,MATCH(K4690,ctaNombre,0))&amp;""&lt;&gt;"",INDEX(ctaVinc,MATCH(K4690,ctaNombre,0))&amp;"",K4690),K4690))</f>
        <v/>
      </c>
      <c r="AD4690" s="52">
        <f>IF(AB4690="","",IFERROR(INDEX(ctaTipo,MATCH(AB4690,ctaNombre,0))&amp;"",""))</f>
        <v/>
      </c>
      <c r="AE4690" s="52">
        <f>IF(AC4690="","",IFERROR(INDEX(ctaTipo,MATCH(AC4690,ctaNombre,0))&amp;"",""))</f>
        <v/>
      </c>
      <c r="AF4690" s="53">
        <f>IF(OR(P4690="",AB4690=""),"",IF(OR(P4690="Gasto",P4690="Transferencia",P4690="Pago tarjeta"),-1,1)*IF(IFERROR(INDEX(ctaMoneda,MATCH(AB4690,ctaNombre,0))&amp;"","DOP")="USD",T4690,S4690))</f>
        <v/>
      </c>
      <c r="AG4690" s="53">
        <f>IF(AC4690="","",IF(IFERROR(INDEX(ctaMoneda,MATCH(AC4690,ctaNombre,0))&amp;"","DOP")="USD",T4690,S4690))</f>
        <v/>
      </c>
      <c r="AH4690" s="53">
        <f>IF(P4690="","",IF(AND(AD4690&lt;&gt;"",COUNTIFS(tcTipo,AD4690,tcLiq,"Sí")&gt;0),IF(OR(P4690="Gasto",P4690="Transferencia",P4690="Pago tarjeta"),-1,1)*S4690,0)+IF(AND(AE4690&lt;&gt;"",COUNTIFS(tcTipo,AE4690,tcLiq,"Sí")&gt;0),S4690,0))</f>
        <v/>
      </c>
      <c r="AI4690" s="52">
        <f>IF(OR(L4690="",P4690=""),"",IF(COUNTIFS(L$6:L4690,L4690,P$6:P4690,"?*")=1,MAX(AI$5:AI4689)+1,""))</f>
        <v/>
      </c>
    </row>
    <row r="4691">
      <c r="B4691" s="47" t="n"/>
      <c r="C4691" s="48" t="n"/>
      <c r="D4691" s="48" t="n"/>
      <c r="E4691" s="48" t="n"/>
      <c r="F4691" s="48" t="n"/>
      <c r="G4691" s="49" t="n"/>
      <c r="H4691" s="48" t="n"/>
      <c r="I4691" s="50" t="n"/>
      <c r="J4691" s="48" t="n"/>
      <c r="K4691" s="48" t="n"/>
      <c r="L4691" s="48" t="n"/>
      <c r="M4691" s="48" t="n"/>
      <c r="N4691" s="48" t="n"/>
      <c r="O4691" s="51">
        <f>IF(AND(B4691="",G4691="",C4691="",D4691="",J4691=""),"",IF(B4691="","⚠ Falta fecha",IF(G4691="","⚠ Falta monto",IF(Q4691="","⚠ Falta cuenta",IF(ISNA(MATCH(Q4691,ctaNombre,0)),"⚠ Cuenta no registrada",IF(AND(OR(P4691="Gasto",P4691="Reembolso"),D4691=""),"⚠ Falta categoría",IF(AND(D4691&lt;&gt;"",E4691&lt;&gt;"",ISNA(MATCH(D4691&amp;"|"&amp;E4691,catClave,0))),"⚠ Subcategoría no corresponde",IF(AND(OR(P4691="Transferencia",P4691="Pago tarjeta"),K4691=""),"⚠ Falta cuenta destino",IF(AND(K4691&lt;&gt;"",P4691&lt;&gt;"Transferencia",P4691&lt;&gt;"Pago tarjeta"),"⚠ Destino solo aplica a transferencias",IF(AND(K4691&lt;&gt;"",K4691=Q4691),"⚠ Origen igual a destino",IF(AND(K4691&lt;&gt;"",ISNA(MATCH(K4691,ctaNombre,0))),"⚠ Destino no registrado",IF(AND(P4691="Pago tarjeta",AE4691&lt;&gt;"Tarjeta de crédito"),"⚠ El destino debe ser tarjeta de crédito",IF(AND(P4691="Gasto",E4691="Depósitos y retiros"),"⚠ Usa tipo Transferencia",IF(AND(P4691="Resultado trading",AD4691&lt;&gt;"Cuenta de trading"),"⚠ Usa una cuenta de trading",IF(AND(G4691&lt;=0,P4691&lt;&gt;"Ajuste",P4691&lt;&gt;"Resultado trading"),"⚠ El monto debe ser positivo","✓")))))))))))))))</f>
        <v/>
      </c>
      <c r="P4691" s="52">
        <f>IF(OR(B4691="",G4691=""),"",IF(C4691="","Gasto",C4691))</f>
        <v/>
      </c>
      <c r="Q4691" s="52">
        <f>IF(P4691="","",IF(J4691&lt;&gt;"",J4691,CuentaPred&amp;""))</f>
        <v/>
      </c>
      <c r="R4691" s="52">
        <f>IF(P4691="","",IF(ISNUMBER(I4691),I4691,TasaUSD))</f>
        <v/>
      </c>
      <c r="S4691" s="53">
        <f>IF(P4691="","",IF(H4691="USD",G4691*R4691,G4691))</f>
        <v/>
      </c>
      <c r="T4691" s="53">
        <f>IF(P4691="","",IF(H4691="USD",G4691,IF(R4691&gt;0,G4691/R4691,0)))</f>
        <v/>
      </c>
      <c r="U4691" s="53">
        <f>IF(P4691="","",IF(P4691="Gasto",S4691,IF(P4691="Reembolso",-S4691,0)))</f>
        <v/>
      </c>
      <c r="V4691" s="53">
        <f>IF(P4691="","",IF(P4691="Ingreso",S4691,0))</f>
        <v/>
      </c>
      <c r="W4691" s="53">
        <f>IF(P4691="","",IF(P4691="Resultado trading",S4691,0))</f>
        <v/>
      </c>
      <c r="X4691" s="52">
        <f>IF(OR(P4691="Gasto",P4691="Reembolso"),IF(M4691&lt;&gt;"",M4691,IFERROR(INDEX(catClasif,MATCH(D4691&amp;"|"&amp;E4691,catClave,0))&amp;"","Variable")),"")</f>
        <v/>
      </c>
      <c r="Y4691" s="52">
        <f>IF(P4691="","",IFERROR(INDEX(catGrupo,MATCH(D4691&amp;"|"&amp;E4691,catClave,0))&amp;"",""))</f>
        <v/>
      </c>
      <c r="Z4691" s="52">
        <f>IF(P4691="","",WEEKDAY(B4691,2))</f>
        <v/>
      </c>
      <c r="AA4691" s="52">
        <f>IF(P4691="","",IF(AND(P4691="Gasto",X4691="Variable",D4691&lt;&gt;catTrading,S4691&gt;0,S4691&lt;=Umbral),1,0))</f>
        <v/>
      </c>
      <c r="AB4691" s="52">
        <f>IF(OR(P4691="",Q4691=""),"",IFERROR(IF(INDEX(ctaVinc,MATCH(Q4691,ctaNombre,0))&amp;""&lt;&gt;"",INDEX(ctaVinc,MATCH(Q4691,ctaNombre,0))&amp;"",Q4691),Q4691))</f>
        <v/>
      </c>
      <c r="AC4691" s="52">
        <f>IF(OR(K4691="",AND(P4691&lt;&gt;"Transferencia",P4691&lt;&gt;"Pago tarjeta")),"",IFERROR(IF(INDEX(ctaVinc,MATCH(K4691,ctaNombre,0))&amp;""&lt;&gt;"",INDEX(ctaVinc,MATCH(K4691,ctaNombre,0))&amp;"",K4691),K4691))</f>
        <v/>
      </c>
      <c r="AD4691" s="52">
        <f>IF(AB4691="","",IFERROR(INDEX(ctaTipo,MATCH(AB4691,ctaNombre,0))&amp;"",""))</f>
        <v/>
      </c>
      <c r="AE4691" s="52">
        <f>IF(AC4691="","",IFERROR(INDEX(ctaTipo,MATCH(AC4691,ctaNombre,0))&amp;"",""))</f>
        <v/>
      </c>
      <c r="AF4691" s="53">
        <f>IF(OR(P4691="",AB4691=""),"",IF(OR(P4691="Gasto",P4691="Transferencia",P4691="Pago tarjeta"),-1,1)*IF(IFERROR(INDEX(ctaMoneda,MATCH(AB4691,ctaNombre,0))&amp;"","DOP")="USD",T4691,S4691))</f>
        <v/>
      </c>
      <c r="AG4691" s="53">
        <f>IF(AC4691="","",IF(IFERROR(INDEX(ctaMoneda,MATCH(AC4691,ctaNombre,0))&amp;"","DOP")="USD",T4691,S4691))</f>
        <v/>
      </c>
      <c r="AH4691" s="53">
        <f>IF(P4691="","",IF(AND(AD4691&lt;&gt;"",COUNTIFS(tcTipo,AD4691,tcLiq,"Sí")&gt;0),IF(OR(P4691="Gasto",P4691="Transferencia",P4691="Pago tarjeta"),-1,1)*S4691,0)+IF(AND(AE4691&lt;&gt;"",COUNTIFS(tcTipo,AE4691,tcLiq,"Sí")&gt;0),S4691,0))</f>
        <v/>
      </c>
      <c r="AI4691" s="52">
        <f>IF(OR(L4691="",P4691=""),"",IF(COUNTIFS(L$6:L4691,L4691,P$6:P4691,"?*")=1,MAX(AI$5:AI4690)+1,""))</f>
        <v/>
      </c>
    </row>
    <row r="4692">
      <c r="B4692" s="47" t="n"/>
      <c r="C4692" s="48" t="n"/>
      <c r="D4692" s="48" t="n"/>
      <c r="E4692" s="48" t="n"/>
      <c r="F4692" s="48" t="n"/>
      <c r="G4692" s="49" t="n"/>
      <c r="H4692" s="48" t="n"/>
      <c r="I4692" s="50" t="n"/>
      <c r="J4692" s="48" t="n"/>
      <c r="K4692" s="48" t="n"/>
      <c r="L4692" s="48" t="n"/>
      <c r="M4692" s="48" t="n"/>
      <c r="N4692" s="48" t="n"/>
      <c r="O4692" s="51">
        <f>IF(AND(B4692="",G4692="",C4692="",D4692="",J4692=""),"",IF(B4692="","⚠ Falta fecha",IF(G4692="","⚠ Falta monto",IF(Q4692="","⚠ Falta cuenta",IF(ISNA(MATCH(Q4692,ctaNombre,0)),"⚠ Cuenta no registrada",IF(AND(OR(P4692="Gasto",P4692="Reembolso"),D4692=""),"⚠ Falta categoría",IF(AND(D4692&lt;&gt;"",E4692&lt;&gt;"",ISNA(MATCH(D4692&amp;"|"&amp;E4692,catClave,0))),"⚠ Subcategoría no corresponde",IF(AND(OR(P4692="Transferencia",P4692="Pago tarjeta"),K4692=""),"⚠ Falta cuenta destino",IF(AND(K4692&lt;&gt;"",P4692&lt;&gt;"Transferencia",P4692&lt;&gt;"Pago tarjeta"),"⚠ Destino solo aplica a transferencias",IF(AND(K4692&lt;&gt;"",K4692=Q4692),"⚠ Origen igual a destino",IF(AND(K4692&lt;&gt;"",ISNA(MATCH(K4692,ctaNombre,0))),"⚠ Destino no registrado",IF(AND(P4692="Pago tarjeta",AE4692&lt;&gt;"Tarjeta de crédito"),"⚠ El destino debe ser tarjeta de crédito",IF(AND(P4692="Gasto",E4692="Depósitos y retiros"),"⚠ Usa tipo Transferencia",IF(AND(P4692="Resultado trading",AD4692&lt;&gt;"Cuenta de trading"),"⚠ Usa una cuenta de trading",IF(AND(G4692&lt;=0,P4692&lt;&gt;"Ajuste",P4692&lt;&gt;"Resultado trading"),"⚠ El monto debe ser positivo","✓")))))))))))))))</f>
        <v/>
      </c>
      <c r="P4692" s="52">
        <f>IF(OR(B4692="",G4692=""),"",IF(C4692="","Gasto",C4692))</f>
        <v/>
      </c>
      <c r="Q4692" s="52">
        <f>IF(P4692="","",IF(J4692&lt;&gt;"",J4692,CuentaPred&amp;""))</f>
        <v/>
      </c>
      <c r="R4692" s="52">
        <f>IF(P4692="","",IF(ISNUMBER(I4692),I4692,TasaUSD))</f>
        <v/>
      </c>
      <c r="S4692" s="53">
        <f>IF(P4692="","",IF(H4692="USD",G4692*R4692,G4692))</f>
        <v/>
      </c>
      <c r="T4692" s="53">
        <f>IF(P4692="","",IF(H4692="USD",G4692,IF(R4692&gt;0,G4692/R4692,0)))</f>
        <v/>
      </c>
      <c r="U4692" s="53">
        <f>IF(P4692="","",IF(P4692="Gasto",S4692,IF(P4692="Reembolso",-S4692,0)))</f>
        <v/>
      </c>
      <c r="V4692" s="53">
        <f>IF(P4692="","",IF(P4692="Ingreso",S4692,0))</f>
        <v/>
      </c>
      <c r="W4692" s="53">
        <f>IF(P4692="","",IF(P4692="Resultado trading",S4692,0))</f>
        <v/>
      </c>
      <c r="X4692" s="52">
        <f>IF(OR(P4692="Gasto",P4692="Reembolso"),IF(M4692&lt;&gt;"",M4692,IFERROR(INDEX(catClasif,MATCH(D4692&amp;"|"&amp;E4692,catClave,0))&amp;"","Variable")),"")</f>
        <v/>
      </c>
      <c r="Y4692" s="52">
        <f>IF(P4692="","",IFERROR(INDEX(catGrupo,MATCH(D4692&amp;"|"&amp;E4692,catClave,0))&amp;"",""))</f>
        <v/>
      </c>
      <c r="Z4692" s="52">
        <f>IF(P4692="","",WEEKDAY(B4692,2))</f>
        <v/>
      </c>
      <c r="AA4692" s="52">
        <f>IF(P4692="","",IF(AND(P4692="Gasto",X4692="Variable",D4692&lt;&gt;catTrading,S4692&gt;0,S4692&lt;=Umbral),1,0))</f>
        <v/>
      </c>
      <c r="AB4692" s="52">
        <f>IF(OR(P4692="",Q4692=""),"",IFERROR(IF(INDEX(ctaVinc,MATCH(Q4692,ctaNombre,0))&amp;""&lt;&gt;"",INDEX(ctaVinc,MATCH(Q4692,ctaNombre,0))&amp;"",Q4692),Q4692))</f>
        <v/>
      </c>
      <c r="AC4692" s="52">
        <f>IF(OR(K4692="",AND(P4692&lt;&gt;"Transferencia",P4692&lt;&gt;"Pago tarjeta")),"",IFERROR(IF(INDEX(ctaVinc,MATCH(K4692,ctaNombre,0))&amp;""&lt;&gt;"",INDEX(ctaVinc,MATCH(K4692,ctaNombre,0))&amp;"",K4692),K4692))</f>
        <v/>
      </c>
      <c r="AD4692" s="52">
        <f>IF(AB4692="","",IFERROR(INDEX(ctaTipo,MATCH(AB4692,ctaNombre,0))&amp;"",""))</f>
        <v/>
      </c>
      <c r="AE4692" s="52">
        <f>IF(AC4692="","",IFERROR(INDEX(ctaTipo,MATCH(AC4692,ctaNombre,0))&amp;"",""))</f>
        <v/>
      </c>
      <c r="AF4692" s="53">
        <f>IF(OR(P4692="",AB4692=""),"",IF(OR(P4692="Gasto",P4692="Transferencia",P4692="Pago tarjeta"),-1,1)*IF(IFERROR(INDEX(ctaMoneda,MATCH(AB4692,ctaNombre,0))&amp;"","DOP")="USD",T4692,S4692))</f>
        <v/>
      </c>
      <c r="AG4692" s="53">
        <f>IF(AC4692="","",IF(IFERROR(INDEX(ctaMoneda,MATCH(AC4692,ctaNombre,0))&amp;"","DOP")="USD",T4692,S4692))</f>
        <v/>
      </c>
      <c r="AH4692" s="53">
        <f>IF(P4692="","",IF(AND(AD4692&lt;&gt;"",COUNTIFS(tcTipo,AD4692,tcLiq,"Sí")&gt;0),IF(OR(P4692="Gasto",P4692="Transferencia",P4692="Pago tarjeta"),-1,1)*S4692,0)+IF(AND(AE4692&lt;&gt;"",COUNTIFS(tcTipo,AE4692,tcLiq,"Sí")&gt;0),S4692,0))</f>
        <v/>
      </c>
      <c r="AI4692" s="52">
        <f>IF(OR(L4692="",P4692=""),"",IF(COUNTIFS(L$6:L4692,L4692,P$6:P4692,"?*")=1,MAX(AI$5:AI4691)+1,""))</f>
        <v/>
      </c>
    </row>
    <row r="4693">
      <c r="B4693" s="47" t="n"/>
      <c r="C4693" s="48" t="n"/>
      <c r="D4693" s="48" t="n"/>
      <c r="E4693" s="48" t="n"/>
      <c r="F4693" s="48" t="n"/>
      <c r="G4693" s="49" t="n"/>
      <c r="H4693" s="48" t="n"/>
      <c r="I4693" s="50" t="n"/>
      <c r="J4693" s="48" t="n"/>
      <c r="K4693" s="48" t="n"/>
      <c r="L4693" s="48" t="n"/>
      <c r="M4693" s="48" t="n"/>
      <c r="N4693" s="48" t="n"/>
      <c r="O4693" s="51">
        <f>IF(AND(B4693="",G4693="",C4693="",D4693="",J4693=""),"",IF(B4693="","⚠ Falta fecha",IF(G4693="","⚠ Falta monto",IF(Q4693="","⚠ Falta cuenta",IF(ISNA(MATCH(Q4693,ctaNombre,0)),"⚠ Cuenta no registrada",IF(AND(OR(P4693="Gasto",P4693="Reembolso"),D4693=""),"⚠ Falta categoría",IF(AND(D4693&lt;&gt;"",E4693&lt;&gt;"",ISNA(MATCH(D4693&amp;"|"&amp;E4693,catClave,0))),"⚠ Subcategoría no corresponde",IF(AND(OR(P4693="Transferencia",P4693="Pago tarjeta"),K4693=""),"⚠ Falta cuenta destino",IF(AND(K4693&lt;&gt;"",P4693&lt;&gt;"Transferencia",P4693&lt;&gt;"Pago tarjeta"),"⚠ Destino solo aplica a transferencias",IF(AND(K4693&lt;&gt;"",K4693=Q4693),"⚠ Origen igual a destino",IF(AND(K4693&lt;&gt;"",ISNA(MATCH(K4693,ctaNombre,0))),"⚠ Destino no registrado",IF(AND(P4693="Pago tarjeta",AE4693&lt;&gt;"Tarjeta de crédito"),"⚠ El destino debe ser tarjeta de crédito",IF(AND(P4693="Gasto",E4693="Depósitos y retiros"),"⚠ Usa tipo Transferencia",IF(AND(P4693="Resultado trading",AD4693&lt;&gt;"Cuenta de trading"),"⚠ Usa una cuenta de trading",IF(AND(G4693&lt;=0,P4693&lt;&gt;"Ajuste",P4693&lt;&gt;"Resultado trading"),"⚠ El monto debe ser positivo","✓")))))))))))))))</f>
        <v/>
      </c>
      <c r="P4693" s="52">
        <f>IF(OR(B4693="",G4693=""),"",IF(C4693="","Gasto",C4693))</f>
        <v/>
      </c>
      <c r="Q4693" s="52">
        <f>IF(P4693="","",IF(J4693&lt;&gt;"",J4693,CuentaPred&amp;""))</f>
        <v/>
      </c>
      <c r="R4693" s="52">
        <f>IF(P4693="","",IF(ISNUMBER(I4693),I4693,TasaUSD))</f>
        <v/>
      </c>
      <c r="S4693" s="53">
        <f>IF(P4693="","",IF(H4693="USD",G4693*R4693,G4693))</f>
        <v/>
      </c>
      <c r="T4693" s="53">
        <f>IF(P4693="","",IF(H4693="USD",G4693,IF(R4693&gt;0,G4693/R4693,0)))</f>
        <v/>
      </c>
      <c r="U4693" s="53">
        <f>IF(P4693="","",IF(P4693="Gasto",S4693,IF(P4693="Reembolso",-S4693,0)))</f>
        <v/>
      </c>
      <c r="V4693" s="53">
        <f>IF(P4693="","",IF(P4693="Ingreso",S4693,0))</f>
        <v/>
      </c>
      <c r="W4693" s="53">
        <f>IF(P4693="","",IF(P4693="Resultado trading",S4693,0))</f>
        <v/>
      </c>
      <c r="X4693" s="52">
        <f>IF(OR(P4693="Gasto",P4693="Reembolso"),IF(M4693&lt;&gt;"",M4693,IFERROR(INDEX(catClasif,MATCH(D4693&amp;"|"&amp;E4693,catClave,0))&amp;"","Variable")),"")</f>
        <v/>
      </c>
      <c r="Y4693" s="52">
        <f>IF(P4693="","",IFERROR(INDEX(catGrupo,MATCH(D4693&amp;"|"&amp;E4693,catClave,0))&amp;"",""))</f>
        <v/>
      </c>
      <c r="Z4693" s="52">
        <f>IF(P4693="","",WEEKDAY(B4693,2))</f>
        <v/>
      </c>
      <c r="AA4693" s="52">
        <f>IF(P4693="","",IF(AND(P4693="Gasto",X4693="Variable",D4693&lt;&gt;catTrading,S4693&gt;0,S4693&lt;=Umbral),1,0))</f>
        <v/>
      </c>
      <c r="AB4693" s="52">
        <f>IF(OR(P4693="",Q4693=""),"",IFERROR(IF(INDEX(ctaVinc,MATCH(Q4693,ctaNombre,0))&amp;""&lt;&gt;"",INDEX(ctaVinc,MATCH(Q4693,ctaNombre,0))&amp;"",Q4693),Q4693))</f>
        <v/>
      </c>
      <c r="AC4693" s="52">
        <f>IF(OR(K4693="",AND(P4693&lt;&gt;"Transferencia",P4693&lt;&gt;"Pago tarjeta")),"",IFERROR(IF(INDEX(ctaVinc,MATCH(K4693,ctaNombre,0))&amp;""&lt;&gt;"",INDEX(ctaVinc,MATCH(K4693,ctaNombre,0))&amp;"",K4693),K4693))</f>
        <v/>
      </c>
      <c r="AD4693" s="52">
        <f>IF(AB4693="","",IFERROR(INDEX(ctaTipo,MATCH(AB4693,ctaNombre,0))&amp;"",""))</f>
        <v/>
      </c>
      <c r="AE4693" s="52">
        <f>IF(AC4693="","",IFERROR(INDEX(ctaTipo,MATCH(AC4693,ctaNombre,0))&amp;"",""))</f>
        <v/>
      </c>
      <c r="AF4693" s="53">
        <f>IF(OR(P4693="",AB4693=""),"",IF(OR(P4693="Gasto",P4693="Transferencia",P4693="Pago tarjeta"),-1,1)*IF(IFERROR(INDEX(ctaMoneda,MATCH(AB4693,ctaNombre,0))&amp;"","DOP")="USD",T4693,S4693))</f>
        <v/>
      </c>
      <c r="AG4693" s="53">
        <f>IF(AC4693="","",IF(IFERROR(INDEX(ctaMoneda,MATCH(AC4693,ctaNombre,0))&amp;"","DOP")="USD",T4693,S4693))</f>
        <v/>
      </c>
      <c r="AH4693" s="53">
        <f>IF(P4693="","",IF(AND(AD4693&lt;&gt;"",COUNTIFS(tcTipo,AD4693,tcLiq,"Sí")&gt;0),IF(OR(P4693="Gasto",P4693="Transferencia",P4693="Pago tarjeta"),-1,1)*S4693,0)+IF(AND(AE4693&lt;&gt;"",COUNTIFS(tcTipo,AE4693,tcLiq,"Sí")&gt;0),S4693,0))</f>
        <v/>
      </c>
      <c r="AI4693" s="52">
        <f>IF(OR(L4693="",P4693=""),"",IF(COUNTIFS(L$6:L4693,L4693,P$6:P4693,"?*")=1,MAX(AI$5:AI4692)+1,""))</f>
        <v/>
      </c>
    </row>
    <row r="4694">
      <c r="B4694" s="47" t="n"/>
      <c r="C4694" s="48" t="n"/>
      <c r="D4694" s="48" t="n"/>
      <c r="E4694" s="48" t="n"/>
      <c r="F4694" s="48" t="n"/>
      <c r="G4694" s="49" t="n"/>
      <c r="H4694" s="48" t="n"/>
      <c r="I4694" s="50" t="n"/>
      <c r="J4694" s="48" t="n"/>
      <c r="K4694" s="48" t="n"/>
      <c r="L4694" s="48" t="n"/>
      <c r="M4694" s="48" t="n"/>
      <c r="N4694" s="48" t="n"/>
      <c r="O4694" s="51">
        <f>IF(AND(B4694="",G4694="",C4694="",D4694="",J4694=""),"",IF(B4694="","⚠ Falta fecha",IF(G4694="","⚠ Falta monto",IF(Q4694="","⚠ Falta cuenta",IF(ISNA(MATCH(Q4694,ctaNombre,0)),"⚠ Cuenta no registrada",IF(AND(OR(P4694="Gasto",P4694="Reembolso"),D4694=""),"⚠ Falta categoría",IF(AND(D4694&lt;&gt;"",E4694&lt;&gt;"",ISNA(MATCH(D4694&amp;"|"&amp;E4694,catClave,0))),"⚠ Subcategoría no corresponde",IF(AND(OR(P4694="Transferencia",P4694="Pago tarjeta"),K4694=""),"⚠ Falta cuenta destino",IF(AND(K4694&lt;&gt;"",P4694&lt;&gt;"Transferencia",P4694&lt;&gt;"Pago tarjeta"),"⚠ Destino solo aplica a transferencias",IF(AND(K4694&lt;&gt;"",K4694=Q4694),"⚠ Origen igual a destino",IF(AND(K4694&lt;&gt;"",ISNA(MATCH(K4694,ctaNombre,0))),"⚠ Destino no registrado",IF(AND(P4694="Pago tarjeta",AE4694&lt;&gt;"Tarjeta de crédito"),"⚠ El destino debe ser tarjeta de crédito",IF(AND(P4694="Gasto",E4694="Depósitos y retiros"),"⚠ Usa tipo Transferencia",IF(AND(P4694="Resultado trading",AD4694&lt;&gt;"Cuenta de trading"),"⚠ Usa una cuenta de trading",IF(AND(G4694&lt;=0,P4694&lt;&gt;"Ajuste",P4694&lt;&gt;"Resultado trading"),"⚠ El monto debe ser positivo","✓")))))))))))))))</f>
        <v/>
      </c>
      <c r="P4694" s="52">
        <f>IF(OR(B4694="",G4694=""),"",IF(C4694="","Gasto",C4694))</f>
        <v/>
      </c>
      <c r="Q4694" s="52">
        <f>IF(P4694="","",IF(J4694&lt;&gt;"",J4694,CuentaPred&amp;""))</f>
        <v/>
      </c>
      <c r="R4694" s="52">
        <f>IF(P4694="","",IF(ISNUMBER(I4694),I4694,TasaUSD))</f>
        <v/>
      </c>
      <c r="S4694" s="53">
        <f>IF(P4694="","",IF(H4694="USD",G4694*R4694,G4694))</f>
        <v/>
      </c>
      <c r="T4694" s="53">
        <f>IF(P4694="","",IF(H4694="USD",G4694,IF(R4694&gt;0,G4694/R4694,0)))</f>
        <v/>
      </c>
      <c r="U4694" s="53">
        <f>IF(P4694="","",IF(P4694="Gasto",S4694,IF(P4694="Reembolso",-S4694,0)))</f>
        <v/>
      </c>
      <c r="V4694" s="53">
        <f>IF(P4694="","",IF(P4694="Ingreso",S4694,0))</f>
        <v/>
      </c>
      <c r="W4694" s="53">
        <f>IF(P4694="","",IF(P4694="Resultado trading",S4694,0))</f>
        <v/>
      </c>
      <c r="X4694" s="52">
        <f>IF(OR(P4694="Gasto",P4694="Reembolso"),IF(M4694&lt;&gt;"",M4694,IFERROR(INDEX(catClasif,MATCH(D4694&amp;"|"&amp;E4694,catClave,0))&amp;"","Variable")),"")</f>
        <v/>
      </c>
      <c r="Y4694" s="52">
        <f>IF(P4694="","",IFERROR(INDEX(catGrupo,MATCH(D4694&amp;"|"&amp;E4694,catClave,0))&amp;"",""))</f>
        <v/>
      </c>
      <c r="Z4694" s="52">
        <f>IF(P4694="","",WEEKDAY(B4694,2))</f>
        <v/>
      </c>
      <c r="AA4694" s="52">
        <f>IF(P4694="","",IF(AND(P4694="Gasto",X4694="Variable",D4694&lt;&gt;catTrading,S4694&gt;0,S4694&lt;=Umbral),1,0))</f>
        <v/>
      </c>
      <c r="AB4694" s="52">
        <f>IF(OR(P4694="",Q4694=""),"",IFERROR(IF(INDEX(ctaVinc,MATCH(Q4694,ctaNombre,0))&amp;""&lt;&gt;"",INDEX(ctaVinc,MATCH(Q4694,ctaNombre,0))&amp;"",Q4694),Q4694))</f>
        <v/>
      </c>
      <c r="AC4694" s="52">
        <f>IF(OR(K4694="",AND(P4694&lt;&gt;"Transferencia",P4694&lt;&gt;"Pago tarjeta")),"",IFERROR(IF(INDEX(ctaVinc,MATCH(K4694,ctaNombre,0))&amp;""&lt;&gt;"",INDEX(ctaVinc,MATCH(K4694,ctaNombre,0))&amp;"",K4694),K4694))</f>
        <v/>
      </c>
      <c r="AD4694" s="52">
        <f>IF(AB4694="","",IFERROR(INDEX(ctaTipo,MATCH(AB4694,ctaNombre,0))&amp;"",""))</f>
        <v/>
      </c>
      <c r="AE4694" s="52">
        <f>IF(AC4694="","",IFERROR(INDEX(ctaTipo,MATCH(AC4694,ctaNombre,0))&amp;"",""))</f>
        <v/>
      </c>
      <c r="AF4694" s="53">
        <f>IF(OR(P4694="",AB4694=""),"",IF(OR(P4694="Gasto",P4694="Transferencia",P4694="Pago tarjeta"),-1,1)*IF(IFERROR(INDEX(ctaMoneda,MATCH(AB4694,ctaNombre,0))&amp;"","DOP")="USD",T4694,S4694))</f>
        <v/>
      </c>
      <c r="AG4694" s="53">
        <f>IF(AC4694="","",IF(IFERROR(INDEX(ctaMoneda,MATCH(AC4694,ctaNombre,0))&amp;"","DOP")="USD",T4694,S4694))</f>
        <v/>
      </c>
      <c r="AH4694" s="53">
        <f>IF(P4694="","",IF(AND(AD4694&lt;&gt;"",COUNTIFS(tcTipo,AD4694,tcLiq,"Sí")&gt;0),IF(OR(P4694="Gasto",P4694="Transferencia",P4694="Pago tarjeta"),-1,1)*S4694,0)+IF(AND(AE4694&lt;&gt;"",COUNTIFS(tcTipo,AE4694,tcLiq,"Sí")&gt;0),S4694,0))</f>
        <v/>
      </c>
      <c r="AI4694" s="52">
        <f>IF(OR(L4694="",P4694=""),"",IF(COUNTIFS(L$6:L4694,L4694,P$6:P4694,"?*")=1,MAX(AI$5:AI4693)+1,""))</f>
        <v/>
      </c>
    </row>
    <row r="4695">
      <c r="B4695" s="47" t="n"/>
      <c r="C4695" s="48" t="n"/>
      <c r="D4695" s="48" t="n"/>
      <c r="E4695" s="48" t="n"/>
      <c r="F4695" s="48" t="n"/>
      <c r="G4695" s="49" t="n"/>
      <c r="H4695" s="48" t="n"/>
      <c r="I4695" s="50" t="n"/>
      <c r="J4695" s="48" t="n"/>
      <c r="K4695" s="48" t="n"/>
      <c r="L4695" s="48" t="n"/>
      <c r="M4695" s="48" t="n"/>
      <c r="N4695" s="48" t="n"/>
      <c r="O4695" s="51">
        <f>IF(AND(B4695="",G4695="",C4695="",D4695="",J4695=""),"",IF(B4695="","⚠ Falta fecha",IF(G4695="","⚠ Falta monto",IF(Q4695="","⚠ Falta cuenta",IF(ISNA(MATCH(Q4695,ctaNombre,0)),"⚠ Cuenta no registrada",IF(AND(OR(P4695="Gasto",P4695="Reembolso"),D4695=""),"⚠ Falta categoría",IF(AND(D4695&lt;&gt;"",E4695&lt;&gt;"",ISNA(MATCH(D4695&amp;"|"&amp;E4695,catClave,0))),"⚠ Subcategoría no corresponde",IF(AND(OR(P4695="Transferencia",P4695="Pago tarjeta"),K4695=""),"⚠ Falta cuenta destino",IF(AND(K4695&lt;&gt;"",P4695&lt;&gt;"Transferencia",P4695&lt;&gt;"Pago tarjeta"),"⚠ Destino solo aplica a transferencias",IF(AND(K4695&lt;&gt;"",K4695=Q4695),"⚠ Origen igual a destino",IF(AND(K4695&lt;&gt;"",ISNA(MATCH(K4695,ctaNombre,0))),"⚠ Destino no registrado",IF(AND(P4695="Pago tarjeta",AE4695&lt;&gt;"Tarjeta de crédito"),"⚠ El destino debe ser tarjeta de crédito",IF(AND(P4695="Gasto",E4695="Depósitos y retiros"),"⚠ Usa tipo Transferencia",IF(AND(P4695="Resultado trading",AD4695&lt;&gt;"Cuenta de trading"),"⚠ Usa una cuenta de trading",IF(AND(G4695&lt;=0,P4695&lt;&gt;"Ajuste",P4695&lt;&gt;"Resultado trading"),"⚠ El monto debe ser positivo","✓")))))))))))))))</f>
        <v/>
      </c>
      <c r="P4695" s="52">
        <f>IF(OR(B4695="",G4695=""),"",IF(C4695="","Gasto",C4695))</f>
        <v/>
      </c>
      <c r="Q4695" s="52">
        <f>IF(P4695="","",IF(J4695&lt;&gt;"",J4695,CuentaPred&amp;""))</f>
        <v/>
      </c>
      <c r="R4695" s="52">
        <f>IF(P4695="","",IF(ISNUMBER(I4695),I4695,TasaUSD))</f>
        <v/>
      </c>
      <c r="S4695" s="53">
        <f>IF(P4695="","",IF(H4695="USD",G4695*R4695,G4695))</f>
        <v/>
      </c>
      <c r="T4695" s="53">
        <f>IF(P4695="","",IF(H4695="USD",G4695,IF(R4695&gt;0,G4695/R4695,0)))</f>
        <v/>
      </c>
      <c r="U4695" s="53">
        <f>IF(P4695="","",IF(P4695="Gasto",S4695,IF(P4695="Reembolso",-S4695,0)))</f>
        <v/>
      </c>
      <c r="V4695" s="53">
        <f>IF(P4695="","",IF(P4695="Ingreso",S4695,0))</f>
        <v/>
      </c>
      <c r="W4695" s="53">
        <f>IF(P4695="","",IF(P4695="Resultado trading",S4695,0))</f>
        <v/>
      </c>
      <c r="X4695" s="52">
        <f>IF(OR(P4695="Gasto",P4695="Reembolso"),IF(M4695&lt;&gt;"",M4695,IFERROR(INDEX(catClasif,MATCH(D4695&amp;"|"&amp;E4695,catClave,0))&amp;"","Variable")),"")</f>
        <v/>
      </c>
      <c r="Y4695" s="52">
        <f>IF(P4695="","",IFERROR(INDEX(catGrupo,MATCH(D4695&amp;"|"&amp;E4695,catClave,0))&amp;"",""))</f>
        <v/>
      </c>
      <c r="Z4695" s="52">
        <f>IF(P4695="","",WEEKDAY(B4695,2))</f>
        <v/>
      </c>
      <c r="AA4695" s="52">
        <f>IF(P4695="","",IF(AND(P4695="Gasto",X4695="Variable",D4695&lt;&gt;catTrading,S4695&gt;0,S4695&lt;=Umbral),1,0))</f>
        <v/>
      </c>
      <c r="AB4695" s="52">
        <f>IF(OR(P4695="",Q4695=""),"",IFERROR(IF(INDEX(ctaVinc,MATCH(Q4695,ctaNombre,0))&amp;""&lt;&gt;"",INDEX(ctaVinc,MATCH(Q4695,ctaNombre,0))&amp;"",Q4695),Q4695))</f>
        <v/>
      </c>
      <c r="AC4695" s="52">
        <f>IF(OR(K4695="",AND(P4695&lt;&gt;"Transferencia",P4695&lt;&gt;"Pago tarjeta")),"",IFERROR(IF(INDEX(ctaVinc,MATCH(K4695,ctaNombre,0))&amp;""&lt;&gt;"",INDEX(ctaVinc,MATCH(K4695,ctaNombre,0))&amp;"",K4695),K4695))</f>
        <v/>
      </c>
      <c r="AD4695" s="52">
        <f>IF(AB4695="","",IFERROR(INDEX(ctaTipo,MATCH(AB4695,ctaNombre,0))&amp;"",""))</f>
        <v/>
      </c>
      <c r="AE4695" s="52">
        <f>IF(AC4695="","",IFERROR(INDEX(ctaTipo,MATCH(AC4695,ctaNombre,0))&amp;"",""))</f>
        <v/>
      </c>
      <c r="AF4695" s="53">
        <f>IF(OR(P4695="",AB4695=""),"",IF(OR(P4695="Gasto",P4695="Transferencia",P4695="Pago tarjeta"),-1,1)*IF(IFERROR(INDEX(ctaMoneda,MATCH(AB4695,ctaNombre,0))&amp;"","DOP")="USD",T4695,S4695))</f>
        <v/>
      </c>
      <c r="AG4695" s="53">
        <f>IF(AC4695="","",IF(IFERROR(INDEX(ctaMoneda,MATCH(AC4695,ctaNombre,0))&amp;"","DOP")="USD",T4695,S4695))</f>
        <v/>
      </c>
      <c r="AH4695" s="53">
        <f>IF(P4695="","",IF(AND(AD4695&lt;&gt;"",COUNTIFS(tcTipo,AD4695,tcLiq,"Sí")&gt;0),IF(OR(P4695="Gasto",P4695="Transferencia",P4695="Pago tarjeta"),-1,1)*S4695,0)+IF(AND(AE4695&lt;&gt;"",COUNTIFS(tcTipo,AE4695,tcLiq,"Sí")&gt;0),S4695,0))</f>
        <v/>
      </c>
      <c r="AI4695" s="52">
        <f>IF(OR(L4695="",P4695=""),"",IF(COUNTIFS(L$6:L4695,L4695,P$6:P4695,"?*")=1,MAX(AI$5:AI4694)+1,""))</f>
        <v/>
      </c>
    </row>
    <row r="4696">
      <c r="B4696" s="47" t="n"/>
      <c r="C4696" s="48" t="n"/>
      <c r="D4696" s="48" t="n"/>
      <c r="E4696" s="48" t="n"/>
      <c r="F4696" s="48" t="n"/>
      <c r="G4696" s="49" t="n"/>
      <c r="H4696" s="48" t="n"/>
      <c r="I4696" s="50" t="n"/>
      <c r="J4696" s="48" t="n"/>
      <c r="K4696" s="48" t="n"/>
      <c r="L4696" s="48" t="n"/>
      <c r="M4696" s="48" t="n"/>
      <c r="N4696" s="48" t="n"/>
      <c r="O4696" s="51">
        <f>IF(AND(B4696="",G4696="",C4696="",D4696="",J4696=""),"",IF(B4696="","⚠ Falta fecha",IF(G4696="","⚠ Falta monto",IF(Q4696="","⚠ Falta cuenta",IF(ISNA(MATCH(Q4696,ctaNombre,0)),"⚠ Cuenta no registrada",IF(AND(OR(P4696="Gasto",P4696="Reembolso"),D4696=""),"⚠ Falta categoría",IF(AND(D4696&lt;&gt;"",E4696&lt;&gt;"",ISNA(MATCH(D4696&amp;"|"&amp;E4696,catClave,0))),"⚠ Subcategoría no corresponde",IF(AND(OR(P4696="Transferencia",P4696="Pago tarjeta"),K4696=""),"⚠ Falta cuenta destino",IF(AND(K4696&lt;&gt;"",P4696&lt;&gt;"Transferencia",P4696&lt;&gt;"Pago tarjeta"),"⚠ Destino solo aplica a transferencias",IF(AND(K4696&lt;&gt;"",K4696=Q4696),"⚠ Origen igual a destino",IF(AND(K4696&lt;&gt;"",ISNA(MATCH(K4696,ctaNombre,0))),"⚠ Destino no registrado",IF(AND(P4696="Pago tarjeta",AE4696&lt;&gt;"Tarjeta de crédito"),"⚠ El destino debe ser tarjeta de crédito",IF(AND(P4696="Gasto",E4696="Depósitos y retiros"),"⚠ Usa tipo Transferencia",IF(AND(P4696="Resultado trading",AD4696&lt;&gt;"Cuenta de trading"),"⚠ Usa una cuenta de trading",IF(AND(G4696&lt;=0,P4696&lt;&gt;"Ajuste",P4696&lt;&gt;"Resultado trading"),"⚠ El monto debe ser positivo","✓")))))))))))))))</f>
        <v/>
      </c>
      <c r="P4696" s="52">
        <f>IF(OR(B4696="",G4696=""),"",IF(C4696="","Gasto",C4696))</f>
        <v/>
      </c>
      <c r="Q4696" s="52">
        <f>IF(P4696="","",IF(J4696&lt;&gt;"",J4696,CuentaPred&amp;""))</f>
        <v/>
      </c>
      <c r="R4696" s="52">
        <f>IF(P4696="","",IF(ISNUMBER(I4696),I4696,TasaUSD))</f>
        <v/>
      </c>
      <c r="S4696" s="53">
        <f>IF(P4696="","",IF(H4696="USD",G4696*R4696,G4696))</f>
        <v/>
      </c>
      <c r="T4696" s="53">
        <f>IF(P4696="","",IF(H4696="USD",G4696,IF(R4696&gt;0,G4696/R4696,0)))</f>
        <v/>
      </c>
      <c r="U4696" s="53">
        <f>IF(P4696="","",IF(P4696="Gasto",S4696,IF(P4696="Reembolso",-S4696,0)))</f>
        <v/>
      </c>
      <c r="V4696" s="53">
        <f>IF(P4696="","",IF(P4696="Ingreso",S4696,0))</f>
        <v/>
      </c>
      <c r="W4696" s="53">
        <f>IF(P4696="","",IF(P4696="Resultado trading",S4696,0))</f>
        <v/>
      </c>
      <c r="X4696" s="52">
        <f>IF(OR(P4696="Gasto",P4696="Reembolso"),IF(M4696&lt;&gt;"",M4696,IFERROR(INDEX(catClasif,MATCH(D4696&amp;"|"&amp;E4696,catClave,0))&amp;"","Variable")),"")</f>
        <v/>
      </c>
      <c r="Y4696" s="52">
        <f>IF(P4696="","",IFERROR(INDEX(catGrupo,MATCH(D4696&amp;"|"&amp;E4696,catClave,0))&amp;"",""))</f>
        <v/>
      </c>
      <c r="Z4696" s="52">
        <f>IF(P4696="","",WEEKDAY(B4696,2))</f>
        <v/>
      </c>
      <c r="AA4696" s="52">
        <f>IF(P4696="","",IF(AND(P4696="Gasto",X4696="Variable",D4696&lt;&gt;catTrading,S4696&gt;0,S4696&lt;=Umbral),1,0))</f>
        <v/>
      </c>
      <c r="AB4696" s="52">
        <f>IF(OR(P4696="",Q4696=""),"",IFERROR(IF(INDEX(ctaVinc,MATCH(Q4696,ctaNombre,0))&amp;""&lt;&gt;"",INDEX(ctaVinc,MATCH(Q4696,ctaNombre,0))&amp;"",Q4696),Q4696))</f>
        <v/>
      </c>
      <c r="AC4696" s="52">
        <f>IF(OR(K4696="",AND(P4696&lt;&gt;"Transferencia",P4696&lt;&gt;"Pago tarjeta")),"",IFERROR(IF(INDEX(ctaVinc,MATCH(K4696,ctaNombre,0))&amp;""&lt;&gt;"",INDEX(ctaVinc,MATCH(K4696,ctaNombre,0))&amp;"",K4696),K4696))</f>
        <v/>
      </c>
      <c r="AD4696" s="52">
        <f>IF(AB4696="","",IFERROR(INDEX(ctaTipo,MATCH(AB4696,ctaNombre,0))&amp;"",""))</f>
        <v/>
      </c>
      <c r="AE4696" s="52">
        <f>IF(AC4696="","",IFERROR(INDEX(ctaTipo,MATCH(AC4696,ctaNombre,0))&amp;"",""))</f>
        <v/>
      </c>
      <c r="AF4696" s="53">
        <f>IF(OR(P4696="",AB4696=""),"",IF(OR(P4696="Gasto",P4696="Transferencia",P4696="Pago tarjeta"),-1,1)*IF(IFERROR(INDEX(ctaMoneda,MATCH(AB4696,ctaNombre,0))&amp;"","DOP")="USD",T4696,S4696))</f>
        <v/>
      </c>
      <c r="AG4696" s="53">
        <f>IF(AC4696="","",IF(IFERROR(INDEX(ctaMoneda,MATCH(AC4696,ctaNombre,0))&amp;"","DOP")="USD",T4696,S4696))</f>
        <v/>
      </c>
      <c r="AH4696" s="53">
        <f>IF(P4696="","",IF(AND(AD4696&lt;&gt;"",COUNTIFS(tcTipo,AD4696,tcLiq,"Sí")&gt;0),IF(OR(P4696="Gasto",P4696="Transferencia",P4696="Pago tarjeta"),-1,1)*S4696,0)+IF(AND(AE4696&lt;&gt;"",COUNTIFS(tcTipo,AE4696,tcLiq,"Sí")&gt;0),S4696,0))</f>
        <v/>
      </c>
      <c r="AI4696" s="52">
        <f>IF(OR(L4696="",P4696=""),"",IF(COUNTIFS(L$6:L4696,L4696,P$6:P4696,"?*")=1,MAX(AI$5:AI4695)+1,""))</f>
        <v/>
      </c>
    </row>
    <row r="4697">
      <c r="B4697" s="47" t="n"/>
      <c r="C4697" s="48" t="n"/>
      <c r="D4697" s="48" t="n"/>
      <c r="E4697" s="48" t="n"/>
      <c r="F4697" s="48" t="n"/>
      <c r="G4697" s="49" t="n"/>
      <c r="H4697" s="48" t="n"/>
      <c r="I4697" s="50" t="n"/>
      <c r="J4697" s="48" t="n"/>
      <c r="K4697" s="48" t="n"/>
      <c r="L4697" s="48" t="n"/>
      <c r="M4697" s="48" t="n"/>
      <c r="N4697" s="48" t="n"/>
      <c r="O4697" s="51">
        <f>IF(AND(B4697="",G4697="",C4697="",D4697="",J4697=""),"",IF(B4697="","⚠ Falta fecha",IF(G4697="","⚠ Falta monto",IF(Q4697="","⚠ Falta cuenta",IF(ISNA(MATCH(Q4697,ctaNombre,0)),"⚠ Cuenta no registrada",IF(AND(OR(P4697="Gasto",P4697="Reembolso"),D4697=""),"⚠ Falta categoría",IF(AND(D4697&lt;&gt;"",E4697&lt;&gt;"",ISNA(MATCH(D4697&amp;"|"&amp;E4697,catClave,0))),"⚠ Subcategoría no corresponde",IF(AND(OR(P4697="Transferencia",P4697="Pago tarjeta"),K4697=""),"⚠ Falta cuenta destino",IF(AND(K4697&lt;&gt;"",P4697&lt;&gt;"Transferencia",P4697&lt;&gt;"Pago tarjeta"),"⚠ Destino solo aplica a transferencias",IF(AND(K4697&lt;&gt;"",K4697=Q4697),"⚠ Origen igual a destino",IF(AND(K4697&lt;&gt;"",ISNA(MATCH(K4697,ctaNombre,0))),"⚠ Destino no registrado",IF(AND(P4697="Pago tarjeta",AE4697&lt;&gt;"Tarjeta de crédito"),"⚠ El destino debe ser tarjeta de crédito",IF(AND(P4697="Gasto",E4697="Depósitos y retiros"),"⚠ Usa tipo Transferencia",IF(AND(P4697="Resultado trading",AD4697&lt;&gt;"Cuenta de trading"),"⚠ Usa una cuenta de trading",IF(AND(G4697&lt;=0,P4697&lt;&gt;"Ajuste",P4697&lt;&gt;"Resultado trading"),"⚠ El monto debe ser positivo","✓")))))))))))))))</f>
        <v/>
      </c>
      <c r="P4697" s="52">
        <f>IF(OR(B4697="",G4697=""),"",IF(C4697="","Gasto",C4697))</f>
        <v/>
      </c>
      <c r="Q4697" s="52">
        <f>IF(P4697="","",IF(J4697&lt;&gt;"",J4697,CuentaPred&amp;""))</f>
        <v/>
      </c>
      <c r="R4697" s="52">
        <f>IF(P4697="","",IF(ISNUMBER(I4697),I4697,TasaUSD))</f>
        <v/>
      </c>
      <c r="S4697" s="53">
        <f>IF(P4697="","",IF(H4697="USD",G4697*R4697,G4697))</f>
        <v/>
      </c>
      <c r="T4697" s="53">
        <f>IF(P4697="","",IF(H4697="USD",G4697,IF(R4697&gt;0,G4697/R4697,0)))</f>
        <v/>
      </c>
      <c r="U4697" s="53">
        <f>IF(P4697="","",IF(P4697="Gasto",S4697,IF(P4697="Reembolso",-S4697,0)))</f>
        <v/>
      </c>
      <c r="V4697" s="53">
        <f>IF(P4697="","",IF(P4697="Ingreso",S4697,0))</f>
        <v/>
      </c>
      <c r="W4697" s="53">
        <f>IF(P4697="","",IF(P4697="Resultado trading",S4697,0))</f>
        <v/>
      </c>
      <c r="X4697" s="52">
        <f>IF(OR(P4697="Gasto",P4697="Reembolso"),IF(M4697&lt;&gt;"",M4697,IFERROR(INDEX(catClasif,MATCH(D4697&amp;"|"&amp;E4697,catClave,0))&amp;"","Variable")),"")</f>
        <v/>
      </c>
      <c r="Y4697" s="52">
        <f>IF(P4697="","",IFERROR(INDEX(catGrupo,MATCH(D4697&amp;"|"&amp;E4697,catClave,0))&amp;"",""))</f>
        <v/>
      </c>
      <c r="Z4697" s="52">
        <f>IF(P4697="","",WEEKDAY(B4697,2))</f>
        <v/>
      </c>
      <c r="AA4697" s="52">
        <f>IF(P4697="","",IF(AND(P4697="Gasto",X4697="Variable",D4697&lt;&gt;catTrading,S4697&gt;0,S4697&lt;=Umbral),1,0))</f>
        <v/>
      </c>
      <c r="AB4697" s="52">
        <f>IF(OR(P4697="",Q4697=""),"",IFERROR(IF(INDEX(ctaVinc,MATCH(Q4697,ctaNombre,0))&amp;""&lt;&gt;"",INDEX(ctaVinc,MATCH(Q4697,ctaNombre,0))&amp;"",Q4697),Q4697))</f>
        <v/>
      </c>
      <c r="AC4697" s="52">
        <f>IF(OR(K4697="",AND(P4697&lt;&gt;"Transferencia",P4697&lt;&gt;"Pago tarjeta")),"",IFERROR(IF(INDEX(ctaVinc,MATCH(K4697,ctaNombre,0))&amp;""&lt;&gt;"",INDEX(ctaVinc,MATCH(K4697,ctaNombre,0))&amp;"",K4697),K4697))</f>
        <v/>
      </c>
      <c r="AD4697" s="52">
        <f>IF(AB4697="","",IFERROR(INDEX(ctaTipo,MATCH(AB4697,ctaNombre,0))&amp;"",""))</f>
        <v/>
      </c>
      <c r="AE4697" s="52">
        <f>IF(AC4697="","",IFERROR(INDEX(ctaTipo,MATCH(AC4697,ctaNombre,0))&amp;"",""))</f>
        <v/>
      </c>
      <c r="AF4697" s="53">
        <f>IF(OR(P4697="",AB4697=""),"",IF(OR(P4697="Gasto",P4697="Transferencia",P4697="Pago tarjeta"),-1,1)*IF(IFERROR(INDEX(ctaMoneda,MATCH(AB4697,ctaNombre,0))&amp;"","DOP")="USD",T4697,S4697))</f>
        <v/>
      </c>
      <c r="AG4697" s="53">
        <f>IF(AC4697="","",IF(IFERROR(INDEX(ctaMoneda,MATCH(AC4697,ctaNombre,0))&amp;"","DOP")="USD",T4697,S4697))</f>
        <v/>
      </c>
      <c r="AH4697" s="53">
        <f>IF(P4697="","",IF(AND(AD4697&lt;&gt;"",COUNTIFS(tcTipo,AD4697,tcLiq,"Sí")&gt;0),IF(OR(P4697="Gasto",P4697="Transferencia",P4697="Pago tarjeta"),-1,1)*S4697,0)+IF(AND(AE4697&lt;&gt;"",COUNTIFS(tcTipo,AE4697,tcLiq,"Sí")&gt;0),S4697,0))</f>
        <v/>
      </c>
      <c r="AI4697" s="52">
        <f>IF(OR(L4697="",P4697=""),"",IF(COUNTIFS(L$6:L4697,L4697,P$6:P4697,"?*")=1,MAX(AI$5:AI4696)+1,""))</f>
        <v/>
      </c>
    </row>
    <row r="4698">
      <c r="B4698" s="47" t="n"/>
      <c r="C4698" s="48" t="n"/>
      <c r="D4698" s="48" t="n"/>
      <c r="E4698" s="48" t="n"/>
      <c r="F4698" s="48" t="n"/>
      <c r="G4698" s="49" t="n"/>
      <c r="H4698" s="48" t="n"/>
      <c r="I4698" s="50" t="n"/>
      <c r="J4698" s="48" t="n"/>
      <c r="K4698" s="48" t="n"/>
      <c r="L4698" s="48" t="n"/>
      <c r="M4698" s="48" t="n"/>
      <c r="N4698" s="48" t="n"/>
      <c r="O4698" s="51">
        <f>IF(AND(B4698="",G4698="",C4698="",D4698="",J4698=""),"",IF(B4698="","⚠ Falta fecha",IF(G4698="","⚠ Falta monto",IF(Q4698="","⚠ Falta cuenta",IF(ISNA(MATCH(Q4698,ctaNombre,0)),"⚠ Cuenta no registrada",IF(AND(OR(P4698="Gasto",P4698="Reembolso"),D4698=""),"⚠ Falta categoría",IF(AND(D4698&lt;&gt;"",E4698&lt;&gt;"",ISNA(MATCH(D4698&amp;"|"&amp;E4698,catClave,0))),"⚠ Subcategoría no corresponde",IF(AND(OR(P4698="Transferencia",P4698="Pago tarjeta"),K4698=""),"⚠ Falta cuenta destino",IF(AND(K4698&lt;&gt;"",P4698&lt;&gt;"Transferencia",P4698&lt;&gt;"Pago tarjeta"),"⚠ Destino solo aplica a transferencias",IF(AND(K4698&lt;&gt;"",K4698=Q4698),"⚠ Origen igual a destino",IF(AND(K4698&lt;&gt;"",ISNA(MATCH(K4698,ctaNombre,0))),"⚠ Destino no registrado",IF(AND(P4698="Pago tarjeta",AE4698&lt;&gt;"Tarjeta de crédito"),"⚠ El destino debe ser tarjeta de crédito",IF(AND(P4698="Gasto",E4698="Depósitos y retiros"),"⚠ Usa tipo Transferencia",IF(AND(P4698="Resultado trading",AD4698&lt;&gt;"Cuenta de trading"),"⚠ Usa una cuenta de trading",IF(AND(G4698&lt;=0,P4698&lt;&gt;"Ajuste",P4698&lt;&gt;"Resultado trading"),"⚠ El monto debe ser positivo","✓")))))))))))))))</f>
        <v/>
      </c>
      <c r="P4698" s="52">
        <f>IF(OR(B4698="",G4698=""),"",IF(C4698="","Gasto",C4698))</f>
        <v/>
      </c>
      <c r="Q4698" s="52">
        <f>IF(P4698="","",IF(J4698&lt;&gt;"",J4698,CuentaPred&amp;""))</f>
        <v/>
      </c>
      <c r="R4698" s="52">
        <f>IF(P4698="","",IF(ISNUMBER(I4698),I4698,TasaUSD))</f>
        <v/>
      </c>
      <c r="S4698" s="53">
        <f>IF(P4698="","",IF(H4698="USD",G4698*R4698,G4698))</f>
        <v/>
      </c>
      <c r="T4698" s="53">
        <f>IF(P4698="","",IF(H4698="USD",G4698,IF(R4698&gt;0,G4698/R4698,0)))</f>
        <v/>
      </c>
      <c r="U4698" s="53">
        <f>IF(P4698="","",IF(P4698="Gasto",S4698,IF(P4698="Reembolso",-S4698,0)))</f>
        <v/>
      </c>
      <c r="V4698" s="53">
        <f>IF(P4698="","",IF(P4698="Ingreso",S4698,0))</f>
        <v/>
      </c>
      <c r="W4698" s="53">
        <f>IF(P4698="","",IF(P4698="Resultado trading",S4698,0))</f>
        <v/>
      </c>
      <c r="X4698" s="52">
        <f>IF(OR(P4698="Gasto",P4698="Reembolso"),IF(M4698&lt;&gt;"",M4698,IFERROR(INDEX(catClasif,MATCH(D4698&amp;"|"&amp;E4698,catClave,0))&amp;"","Variable")),"")</f>
        <v/>
      </c>
      <c r="Y4698" s="52">
        <f>IF(P4698="","",IFERROR(INDEX(catGrupo,MATCH(D4698&amp;"|"&amp;E4698,catClave,0))&amp;"",""))</f>
        <v/>
      </c>
      <c r="Z4698" s="52">
        <f>IF(P4698="","",WEEKDAY(B4698,2))</f>
        <v/>
      </c>
      <c r="AA4698" s="52">
        <f>IF(P4698="","",IF(AND(P4698="Gasto",X4698="Variable",D4698&lt;&gt;catTrading,S4698&gt;0,S4698&lt;=Umbral),1,0))</f>
        <v/>
      </c>
      <c r="AB4698" s="52">
        <f>IF(OR(P4698="",Q4698=""),"",IFERROR(IF(INDEX(ctaVinc,MATCH(Q4698,ctaNombre,0))&amp;""&lt;&gt;"",INDEX(ctaVinc,MATCH(Q4698,ctaNombre,0))&amp;"",Q4698),Q4698))</f>
        <v/>
      </c>
      <c r="AC4698" s="52">
        <f>IF(OR(K4698="",AND(P4698&lt;&gt;"Transferencia",P4698&lt;&gt;"Pago tarjeta")),"",IFERROR(IF(INDEX(ctaVinc,MATCH(K4698,ctaNombre,0))&amp;""&lt;&gt;"",INDEX(ctaVinc,MATCH(K4698,ctaNombre,0))&amp;"",K4698),K4698))</f>
        <v/>
      </c>
      <c r="AD4698" s="52">
        <f>IF(AB4698="","",IFERROR(INDEX(ctaTipo,MATCH(AB4698,ctaNombre,0))&amp;"",""))</f>
        <v/>
      </c>
      <c r="AE4698" s="52">
        <f>IF(AC4698="","",IFERROR(INDEX(ctaTipo,MATCH(AC4698,ctaNombre,0))&amp;"",""))</f>
        <v/>
      </c>
      <c r="AF4698" s="53">
        <f>IF(OR(P4698="",AB4698=""),"",IF(OR(P4698="Gasto",P4698="Transferencia",P4698="Pago tarjeta"),-1,1)*IF(IFERROR(INDEX(ctaMoneda,MATCH(AB4698,ctaNombre,0))&amp;"","DOP")="USD",T4698,S4698))</f>
        <v/>
      </c>
      <c r="AG4698" s="53">
        <f>IF(AC4698="","",IF(IFERROR(INDEX(ctaMoneda,MATCH(AC4698,ctaNombre,0))&amp;"","DOP")="USD",T4698,S4698))</f>
        <v/>
      </c>
      <c r="AH4698" s="53">
        <f>IF(P4698="","",IF(AND(AD4698&lt;&gt;"",COUNTIFS(tcTipo,AD4698,tcLiq,"Sí")&gt;0),IF(OR(P4698="Gasto",P4698="Transferencia",P4698="Pago tarjeta"),-1,1)*S4698,0)+IF(AND(AE4698&lt;&gt;"",COUNTIFS(tcTipo,AE4698,tcLiq,"Sí")&gt;0),S4698,0))</f>
        <v/>
      </c>
      <c r="AI4698" s="52">
        <f>IF(OR(L4698="",P4698=""),"",IF(COUNTIFS(L$6:L4698,L4698,P$6:P4698,"?*")=1,MAX(AI$5:AI4697)+1,""))</f>
        <v/>
      </c>
    </row>
    <row r="4699">
      <c r="B4699" s="47" t="n"/>
      <c r="C4699" s="48" t="n"/>
      <c r="D4699" s="48" t="n"/>
      <c r="E4699" s="48" t="n"/>
      <c r="F4699" s="48" t="n"/>
      <c r="G4699" s="49" t="n"/>
      <c r="H4699" s="48" t="n"/>
      <c r="I4699" s="50" t="n"/>
      <c r="J4699" s="48" t="n"/>
      <c r="K4699" s="48" t="n"/>
      <c r="L4699" s="48" t="n"/>
      <c r="M4699" s="48" t="n"/>
      <c r="N4699" s="48" t="n"/>
      <c r="O4699" s="51">
        <f>IF(AND(B4699="",G4699="",C4699="",D4699="",J4699=""),"",IF(B4699="","⚠ Falta fecha",IF(G4699="","⚠ Falta monto",IF(Q4699="","⚠ Falta cuenta",IF(ISNA(MATCH(Q4699,ctaNombre,0)),"⚠ Cuenta no registrada",IF(AND(OR(P4699="Gasto",P4699="Reembolso"),D4699=""),"⚠ Falta categoría",IF(AND(D4699&lt;&gt;"",E4699&lt;&gt;"",ISNA(MATCH(D4699&amp;"|"&amp;E4699,catClave,0))),"⚠ Subcategoría no corresponde",IF(AND(OR(P4699="Transferencia",P4699="Pago tarjeta"),K4699=""),"⚠ Falta cuenta destino",IF(AND(K4699&lt;&gt;"",P4699&lt;&gt;"Transferencia",P4699&lt;&gt;"Pago tarjeta"),"⚠ Destino solo aplica a transferencias",IF(AND(K4699&lt;&gt;"",K4699=Q4699),"⚠ Origen igual a destino",IF(AND(K4699&lt;&gt;"",ISNA(MATCH(K4699,ctaNombre,0))),"⚠ Destino no registrado",IF(AND(P4699="Pago tarjeta",AE4699&lt;&gt;"Tarjeta de crédito"),"⚠ El destino debe ser tarjeta de crédito",IF(AND(P4699="Gasto",E4699="Depósitos y retiros"),"⚠ Usa tipo Transferencia",IF(AND(P4699="Resultado trading",AD4699&lt;&gt;"Cuenta de trading"),"⚠ Usa una cuenta de trading",IF(AND(G4699&lt;=0,P4699&lt;&gt;"Ajuste",P4699&lt;&gt;"Resultado trading"),"⚠ El monto debe ser positivo","✓")))))))))))))))</f>
        <v/>
      </c>
      <c r="P4699" s="52">
        <f>IF(OR(B4699="",G4699=""),"",IF(C4699="","Gasto",C4699))</f>
        <v/>
      </c>
      <c r="Q4699" s="52">
        <f>IF(P4699="","",IF(J4699&lt;&gt;"",J4699,CuentaPred&amp;""))</f>
        <v/>
      </c>
      <c r="R4699" s="52">
        <f>IF(P4699="","",IF(ISNUMBER(I4699),I4699,TasaUSD))</f>
        <v/>
      </c>
      <c r="S4699" s="53">
        <f>IF(P4699="","",IF(H4699="USD",G4699*R4699,G4699))</f>
        <v/>
      </c>
      <c r="T4699" s="53">
        <f>IF(P4699="","",IF(H4699="USD",G4699,IF(R4699&gt;0,G4699/R4699,0)))</f>
        <v/>
      </c>
      <c r="U4699" s="53">
        <f>IF(P4699="","",IF(P4699="Gasto",S4699,IF(P4699="Reembolso",-S4699,0)))</f>
        <v/>
      </c>
      <c r="V4699" s="53">
        <f>IF(P4699="","",IF(P4699="Ingreso",S4699,0))</f>
        <v/>
      </c>
      <c r="W4699" s="53">
        <f>IF(P4699="","",IF(P4699="Resultado trading",S4699,0))</f>
        <v/>
      </c>
      <c r="X4699" s="52">
        <f>IF(OR(P4699="Gasto",P4699="Reembolso"),IF(M4699&lt;&gt;"",M4699,IFERROR(INDEX(catClasif,MATCH(D4699&amp;"|"&amp;E4699,catClave,0))&amp;"","Variable")),"")</f>
        <v/>
      </c>
      <c r="Y4699" s="52">
        <f>IF(P4699="","",IFERROR(INDEX(catGrupo,MATCH(D4699&amp;"|"&amp;E4699,catClave,0))&amp;"",""))</f>
        <v/>
      </c>
      <c r="Z4699" s="52">
        <f>IF(P4699="","",WEEKDAY(B4699,2))</f>
        <v/>
      </c>
      <c r="AA4699" s="52">
        <f>IF(P4699="","",IF(AND(P4699="Gasto",X4699="Variable",D4699&lt;&gt;catTrading,S4699&gt;0,S4699&lt;=Umbral),1,0))</f>
        <v/>
      </c>
      <c r="AB4699" s="52">
        <f>IF(OR(P4699="",Q4699=""),"",IFERROR(IF(INDEX(ctaVinc,MATCH(Q4699,ctaNombre,0))&amp;""&lt;&gt;"",INDEX(ctaVinc,MATCH(Q4699,ctaNombre,0))&amp;"",Q4699),Q4699))</f>
        <v/>
      </c>
      <c r="AC4699" s="52">
        <f>IF(OR(K4699="",AND(P4699&lt;&gt;"Transferencia",P4699&lt;&gt;"Pago tarjeta")),"",IFERROR(IF(INDEX(ctaVinc,MATCH(K4699,ctaNombre,0))&amp;""&lt;&gt;"",INDEX(ctaVinc,MATCH(K4699,ctaNombre,0))&amp;"",K4699),K4699))</f>
        <v/>
      </c>
      <c r="AD4699" s="52">
        <f>IF(AB4699="","",IFERROR(INDEX(ctaTipo,MATCH(AB4699,ctaNombre,0))&amp;"",""))</f>
        <v/>
      </c>
      <c r="AE4699" s="52">
        <f>IF(AC4699="","",IFERROR(INDEX(ctaTipo,MATCH(AC4699,ctaNombre,0))&amp;"",""))</f>
        <v/>
      </c>
      <c r="AF4699" s="53">
        <f>IF(OR(P4699="",AB4699=""),"",IF(OR(P4699="Gasto",P4699="Transferencia",P4699="Pago tarjeta"),-1,1)*IF(IFERROR(INDEX(ctaMoneda,MATCH(AB4699,ctaNombre,0))&amp;"","DOP")="USD",T4699,S4699))</f>
        <v/>
      </c>
      <c r="AG4699" s="53">
        <f>IF(AC4699="","",IF(IFERROR(INDEX(ctaMoneda,MATCH(AC4699,ctaNombre,0))&amp;"","DOP")="USD",T4699,S4699))</f>
        <v/>
      </c>
      <c r="AH4699" s="53">
        <f>IF(P4699="","",IF(AND(AD4699&lt;&gt;"",COUNTIFS(tcTipo,AD4699,tcLiq,"Sí")&gt;0),IF(OR(P4699="Gasto",P4699="Transferencia",P4699="Pago tarjeta"),-1,1)*S4699,0)+IF(AND(AE4699&lt;&gt;"",COUNTIFS(tcTipo,AE4699,tcLiq,"Sí")&gt;0),S4699,0))</f>
        <v/>
      </c>
      <c r="AI4699" s="52">
        <f>IF(OR(L4699="",P4699=""),"",IF(COUNTIFS(L$6:L4699,L4699,P$6:P4699,"?*")=1,MAX(AI$5:AI4698)+1,""))</f>
        <v/>
      </c>
    </row>
    <row r="4700">
      <c r="B4700" s="47" t="n"/>
      <c r="C4700" s="48" t="n"/>
      <c r="D4700" s="48" t="n"/>
      <c r="E4700" s="48" t="n"/>
      <c r="F4700" s="48" t="n"/>
      <c r="G4700" s="49" t="n"/>
      <c r="H4700" s="48" t="n"/>
      <c r="I4700" s="50" t="n"/>
      <c r="J4700" s="48" t="n"/>
      <c r="K4700" s="48" t="n"/>
      <c r="L4700" s="48" t="n"/>
      <c r="M4700" s="48" t="n"/>
      <c r="N4700" s="48" t="n"/>
      <c r="O4700" s="51">
        <f>IF(AND(B4700="",G4700="",C4700="",D4700="",J4700=""),"",IF(B4700="","⚠ Falta fecha",IF(G4700="","⚠ Falta monto",IF(Q4700="","⚠ Falta cuenta",IF(ISNA(MATCH(Q4700,ctaNombre,0)),"⚠ Cuenta no registrada",IF(AND(OR(P4700="Gasto",P4700="Reembolso"),D4700=""),"⚠ Falta categoría",IF(AND(D4700&lt;&gt;"",E4700&lt;&gt;"",ISNA(MATCH(D4700&amp;"|"&amp;E4700,catClave,0))),"⚠ Subcategoría no corresponde",IF(AND(OR(P4700="Transferencia",P4700="Pago tarjeta"),K4700=""),"⚠ Falta cuenta destino",IF(AND(K4700&lt;&gt;"",P4700&lt;&gt;"Transferencia",P4700&lt;&gt;"Pago tarjeta"),"⚠ Destino solo aplica a transferencias",IF(AND(K4700&lt;&gt;"",K4700=Q4700),"⚠ Origen igual a destino",IF(AND(K4700&lt;&gt;"",ISNA(MATCH(K4700,ctaNombre,0))),"⚠ Destino no registrado",IF(AND(P4700="Pago tarjeta",AE4700&lt;&gt;"Tarjeta de crédito"),"⚠ El destino debe ser tarjeta de crédito",IF(AND(P4700="Gasto",E4700="Depósitos y retiros"),"⚠ Usa tipo Transferencia",IF(AND(P4700="Resultado trading",AD4700&lt;&gt;"Cuenta de trading"),"⚠ Usa una cuenta de trading",IF(AND(G4700&lt;=0,P4700&lt;&gt;"Ajuste",P4700&lt;&gt;"Resultado trading"),"⚠ El monto debe ser positivo","✓")))))))))))))))</f>
        <v/>
      </c>
      <c r="P4700" s="52">
        <f>IF(OR(B4700="",G4700=""),"",IF(C4700="","Gasto",C4700))</f>
        <v/>
      </c>
      <c r="Q4700" s="52">
        <f>IF(P4700="","",IF(J4700&lt;&gt;"",J4700,CuentaPred&amp;""))</f>
        <v/>
      </c>
      <c r="R4700" s="52">
        <f>IF(P4700="","",IF(ISNUMBER(I4700),I4700,TasaUSD))</f>
        <v/>
      </c>
      <c r="S4700" s="53">
        <f>IF(P4700="","",IF(H4700="USD",G4700*R4700,G4700))</f>
        <v/>
      </c>
      <c r="T4700" s="53">
        <f>IF(P4700="","",IF(H4700="USD",G4700,IF(R4700&gt;0,G4700/R4700,0)))</f>
        <v/>
      </c>
      <c r="U4700" s="53">
        <f>IF(P4700="","",IF(P4700="Gasto",S4700,IF(P4700="Reembolso",-S4700,0)))</f>
        <v/>
      </c>
      <c r="V4700" s="53">
        <f>IF(P4700="","",IF(P4700="Ingreso",S4700,0))</f>
        <v/>
      </c>
      <c r="W4700" s="53">
        <f>IF(P4700="","",IF(P4700="Resultado trading",S4700,0))</f>
        <v/>
      </c>
      <c r="X4700" s="52">
        <f>IF(OR(P4700="Gasto",P4700="Reembolso"),IF(M4700&lt;&gt;"",M4700,IFERROR(INDEX(catClasif,MATCH(D4700&amp;"|"&amp;E4700,catClave,0))&amp;"","Variable")),"")</f>
        <v/>
      </c>
      <c r="Y4700" s="52">
        <f>IF(P4700="","",IFERROR(INDEX(catGrupo,MATCH(D4700&amp;"|"&amp;E4700,catClave,0))&amp;"",""))</f>
        <v/>
      </c>
      <c r="Z4700" s="52">
        <f>IF(P4700="","",WEEKDAY(B4700,2))</f>
        <v/>
      </c>
      <c r="AA4700" s="52">
        <f>IF(P4700="","",IF(AND(P4700="Gasto",X4700="Variable",D4700&lt;&gt;catTrading,S4700&gt;0,S4700&lt;=Umbral),1,0))</f>
        <v/>
      </c>
      <c r="AB4700" s="52">
        <f>IF(OR(P4700="",Q4700=""),"",IFERROR(IF(INDEX(ctaVinc,MATCH(Q4700,ctaNombre,0))&amp;""&lt;&gt;"",INDEX(ctaVinc,MATCH(Q4700,ctaNombre,0))&amp;"",Q4700),Q4700))</f>
        <v/>
      </c>
      <c r="AC4700" s="52">
        <f>IF(OR(K4700="",AND(P4700&lt;&gt;"Transferencia",P4700&lt;&gt;"Pago tarjeta")),"",IFERROR(IF(INDEX(ctaVinc,MATCH(K4700,ctaNombre,0))&amp;""&lt;&gt;"",INDEX(ctaVinc,MATCH(K4700,ctaNombre,0))&amp;"",K4700),K4700))</f>
        <v/>
      </c>
      <c r="AD4700" s="52">
        <f>IF(AB4700="","",IFERROR(INDEX(ctaTipo,MATCH(AB4700,ctaNombre,0))&amp;"",""))</f>
        <v/>
      </c>
      <c r="AE4700" s="52">
        <f>IF(AC4700="","",IFERROR(INDEX(ctaTipo,MATCH(AC4700,ctaNombre,0))&amp;"",""))</f>
        <v/>
      </c>
      <c r="AF4700" s="53">
        <f>IF(OR(P4700="",AB4700=""),"",IF(OR(P4700="Gasto",P4700="Transferencia",P4700="Pago tarjeta"),-1,1)*IF(IFERROR(INDEX(ctaMoneda,MATCH(AB4700,ctaNombre,0))&amp;"","DOP")="USD",T4700,S4700))</f>
        <v/>
      </c>
      <c r="AG4700" s="53">
        <f>IF(AC4700="","",IF(IFERROR(INDEX(ctaMoneda,MATCH(AC4700,ctaNombre,0))&amp;"","DOP")="USD",T4700,S4700))</f>
        <v/>
      </c>
      <c r="AH4700" s="53">
        <f>IF(P4700="","",IF(AND(AD4700&lt;&gt;"",COUNTIFS(tcTipo,AD4700,tcLiq,"Sí")&gt;0),IF(OR(P4700="Gasto",P4700="Transferencia",P4700="Pago tarjeta"),-1,1)*S4700,0)+IF(AND(AE4700&lt;&gt;"",COUNTIFS(tcTipo,AE4700,tcLiq,"Sí")&gt;0),S4700,0))</f>
        <v/>
      </c>
      <c r="AI4700" s="52">
        <f>IF(OR(L4700="",P4700=""),"",IF(COUNTIFS(L$6:L4700,L4700,P$6:P4700,"?*")=1,MAX(AI$5:AI4699)+1,""))</f>
        <v/>
      </c>
    </row>
    <row r="4701">
      <c r="B4701" s="47" t="n"/>
      <c r="C4701" s="48" t="n"/>
      <c r="D4701" s="48" t="n"/>
      <c r="E4701" s="48" t="n"/>
      <c r="F4701" s="48" t="n"/>
      <c r="G4701" s="49" t="n"/>
      <c r="H4701" s="48" t="n"/>
      <c r="I4701" s="50" t="n"/>
      <c r="J4701" s="48" t="n"/>
      <c r="K4701" s="48" t="n"/>
      <c r="L4701" s="48" t="n"/>
      <c r="M4701" s="48" t="n"/>
      <c r="N4701" s="48" t="n"/>
      <c r="O4701" s="51">
        <f>IF(AND(B4701="",G4701="",C4701="",D4701="",J4701=""),"",IF(B4701="","⚠ Falta fecha",IF(G4701="","⚠ Falta monto",IF(Q4701="","⚠ Falta cuenta",IF(ISNA(MATCH(Q4701,ctaNombre,0)),"⚠ Cuenta no registrada",IF(AND(OR(P4701="Gasto",P4701="Reembolso"),D4701=""),"⚠ Falta categoría",IF(AND(D4701&lt;&gt;"",E4701&lt;&gt;"",ISNA(MATCH(D4701&amp;"|"&amp;E4701,catClave,0))),"⚠ Subcategoría no corresponde",IF(AND(OR(P4701="Transferencia",P4701="Pago tarjeta"),K4701=""),"⚠ Falta cuenta destino",IF(AND(K4701&lt;&gt;"",P4701&lt;&gt;"Transferencia",P4701&lt;&gt;"Pago tarjeta"),"⚠ Destino solo aplica a transferencias",IF(AND(K4701&lt;&gt;"",K4701=Q4701),"⚠ Origen igual a destino",IF(AND(K4701&lt;&gt;"",ISNA(MATCH(K4701,ctaNombre,0))),"⚠ Destino no registrado",IF(AND(P4701="Pago tarjeta",AE4701&lt;&gt;"Tarjeta de crédito"),"⚠ El destino debe ser tarjeta de crédito",IF(AND(P4701="Gasto",E4701="Depósitos y retiros"),"⚠ Usa tipo Transferencia",IF(AND(P4701="Resultado trading",AD4701&lt;&gt;"Cuenta de trading"),"⚠ Usa una cuenta de trading",IF(AND(G4701&lt;=0,P4701&lt;&gt;"Ajuste",P4701&lt;&gt;"Resultado trading"),"⚠ El monto debe ser positivo","✓")))))))))))))))</f>
        <v/>
      </c>
      <c r="P4701" s="52">
        <f>IF(OR(B4701="",G4701=""),"",IF(C4701="","Gasto",C4701))</f>
        <v/>
      </c>
      <c r="Q4701" s="52">
        <f>IF(P4701="","",IF(J4701&lt;&gt;"",J4701,CuentaPred&amp;""))</f>
        <v/>
      </c>
      <c r="R4701" s="52">
        <f>IF(P4701="","",IF(ISNUMBER(I4701),I4701,TasaUSD))</f>
        <v/>
      </c>
      <c r="S4701" s="53">
        <f>IF(P4701="","",IF(H4701="USD",G4701*R4701,G4701))</f>
        <v/>
      </c>
      <c r="T4701" s="53">
        <f>IF(P4701="","",IF(H4701="USD",G4701,IF(R4701&gt;0,G4701/R4701,0)))</f>
        <v/>
      </c>
      <c r="U4701" s="53">
        <f>IF(P4701="","",IF(P4701="Gasto",S4701,IF(P4701="Reembolso",-S4701,0)))</f>
        <v/>
      </c>
      <c r="V4701" s="53">
        <f>IF(P4701="","",IF(P4701="Ingreso",S4701,0))</f>
        <v/>
      </c>
      <c r="W4701" s="53">
        <f>IF(P4701="","",IF(P4701="Resultado trading",S4701,0))</f>
        <v/>
      </c>
      <c r="X4701" s="52">
        <f>IF(OR(P4701="Gasto",P4701="Reembolso"),IF(M4701&lt;&gt;"",M4701,IFERROR(INDEX(catClasif,MATCH(D4701&amp;"|"&amp;E4701,catClave,0))&amp;"","Variable")),"")</f>
        <v/>
      </c>
      <c r="Y4701" s="52">
        <f>IF(P4701="","",IFERROR(INDEX(catGrupo,MATCH(D4701&amp;"|"&amp;E4701,catClave,0))&amp;"",""))</f>
        <v/>
      </c>
      <c r="Z4701" s="52">
        <f>IF(P4701="","",WEEKDAY(B4701,2))</f>
        <v/>
      </c>
      <c r="AA4701" s="52">
        <f>IF(P4701="","",IF(AND(P4701="Gasto",X4701="Variable",D4701&lt;&gt;catTrading,S4701&gt;0,S4701&lt;=Umbral),1,0))</f>
        <v/>
      </c>
      <c r="AB4701" s="52">
        <f>IF(OR(P4701="",Q4701=""),"",IFERROR(IF(INDEX(ctaVinc,MATCH(Q4701,ctaNombre,0))&amp;""&lt;&gt;"",INDEX(ctaVinc,MATCH(Q4701,ctaNombre,0))&amp;"",Q4701),Q4701))</f>
        <v/>
      </c>
      <c r="AC4701" s="52">
        <f>IF(OR(K4701="",AND(P4701&lt;&gt;"Transferencia",P4701&lt;&gt;"Pago tarjeta")),"",IFERROR(IF(INDEX(ctaVinc,MATCH(K4701,ctaNombre,0))&amp;""&lt;&gt;"",INDEX(ctaVinc,MATCH(K4701,ctaNombre,0))&amp;"",K4701),K4701))</f>
        <v/>
      </c>
      <c r="AD4701" s="52">
        <f>IF(AB4701="","",IFERROR(INDEX(ctaTipo,MATCH(AB4701,ctaNombre,0))&amp;"",""))</f>
        <v/>
      </c>
      <c r="AE4701" s="52">
        <f>IF(AC4701="","",IFERROR(INDEX(ctaTipo,MATCH(AC4701,ctaNombre,0))&amp;"",""))</f>
        <v/>
      </c>
      <c r="AF4701" s="53">
        <f>IF(OR(P4701="",AB4701=""),"",IF(OR(P4701="Gasto",P4701="Transferencia",P4701="Pago tarjeta"),-1,1)*IF(IFERROR(INDEX(ctaMoneda,MATCH(AB4701,ctaNombre,0))&amp;"","DOP")="USD",T4701,S4701))</f>
        <v/>
      </c>
      <c r="AG4701" s="53">
        <f>IF(AC4701="","",IF(IFERROR(INDEX(ctaMoneda,MATCH(AC4701,ctaNombre,0))&amp;"","DOP")="USD",T4701,S4701))</f>
        <v/>
      </c>
      <c r="AH4701" s="53">
        <f>IF(P4701="","",IF(AND(AD4701&lt;&gt;"",COUNTIFS(tcTipo,AD4701,tcLiq,"Sí")&gt;0),IF(OR(P4701="Gasto",P4701="Transferencia",P4701="Pago tarjeta"),-1,1)*S4701,0)+IF(AND(AE4701&lt;&gt;"",COUNTIFS(tcTipo,AE4701,tcLiq,"Sí")&gt;0),S4701,0))</f>
        <v/>
      </c>
      <c r="AI4701" s="52">
        <f>IF(OR(L4701="",P4701=""),"",IF(COUNTIFS(L$6:L4701,L4701,P$6:P4701,"?*")=1,MAX(AI$5:AI4700)+1,""))</f>
        <v/>
      </c>
    </row>
    <row r="4702">
      <c r="B4702" s="47" t="n"/>
      <c r="C4702" s="48" t="n"/>
      <c r="D4702" s="48" t="n"/>
      <c r="E4702" s="48" t="n"/>
      <c r="F4702" s="48" t="n"/>
      <c r="G4702" s="49" t="n"/>
      <c r="H4702" s="48" t="n"/>
      <c r="I4702" s="50" t="n"/>
      <c r="J4702" s="48" t="n"/>
      <c r="K4702" s="48" t="n"/>
      <c r="L4702" s="48" t="n"/>
      <c r="M4702" s="48" t="n"/>
      <c r="N4702" s="48" t="n"/>
      <c r="O4702" s="51">
        <f>IF(AND(B4702="",G4702="",C4702="",D4702="",J4702=""),"",IF(B4702="","⚠ Falta fecha",IF(G4702="","⚠ Falta monto",IF(Q4702="","⚠ Falta cuenta",IF(ISNA(MATCH(Q4702,ctaNombre,0)),"⚠ Cuenta no registrada",IF(AND(OR(P4702="Gasto",P4702="Reembolso"),D4702=""),"⚠ Falta categoría",IF(AND(D4702&lt;&gt;"",E4702&lt;&gt;"",ISNA(MATCH(D4702&amp;"|"&amp;E4702,catClave,0))),"⚠ Subcategoría no corresponde",IF(AND(OR(P4702="Transferencia",P4702="Pago tarjeta"),K4702=""),"⚠ Falta cuenta destino",IF(AND(K4702&lt;&gt;"",P4702&lt;&gt;"Transferencia",P4702&lt;&gt;"Pago tarjeta"),"⚠ Destino solo aplica a transferencias",IF(AND(K4702&lt;&gt;"",K4702=Q4702),"⚠ Origen igual a destino",IF(AND(K4702&lt;&gt;"",ISNA(MATCH(K4702,ctaNombre,0))),"⚠ Destino no registrado",IF(AND(P4702="Pago tarjeta",AE4702&lt;&gt;"Tarjeta de crédito"),"⚠ El destino debe ser tarjeta de crédito",IF(AND(P4702="Gasto",E4702="Depósitos y retiros"),"⚠ Usa tipo Transferencia",IF(AND(P4702="Resultado trading",AD4702&lt;&gt;"Cuenta de trading"),"⚠ Usa una cuenta de trading",IF(AND(G4702&lt;=0,P4702&lt;&gt;"Ajuste",P4702&lt;&gt;"Resultado trading"),"⚠ El monto debe ser positivo","✓")))))))))))))))</f>
        <v/>
      </c>
      <c r="P4702" s="52">
        <f>IF(OR(B4702="",G4702=""),"",IF(C4702="","Gasto",C4702))</f>
        <v/>
      </c>
      <c r="Q4702" s="52">
        <f>IF(P4702="","",IF(J4702&lt;&gt;"",J4702,CuentaPred&amp;""))</f>
        <v/>
      </c>
      <c r="R4702" s="52">
        <f>IF(P4702="","",IF(ISNUMBER(I4702),I4702,TasaUSD))</f>
        <v/>
      </c>
      <c r="S4702" s="53">
        <f>IF(P4702="","",IF(H4702="USD",G4702*R4702,G4702))</f>
        <v/>
      </c>
      <c r="T4702" s="53">
        <f>IF(P4702="","",IF(H4702="USD",G4702,IF(R4702&gt;0,G4702/R4702,0)))</f>
        <v/>
      </c>
      <c r="U4702" s="53">
        <f>IF(P4702="","",IF(P4702="Gasto",S4702,IF(P4702="Reembolso",-S4702,0)))</f>
        <v/>
      </c>
      <c r="V4702" s="53">
        <f>IF(P4702="","",IF(P4702="Ingreso",S4702,0))</f>
        <v/>
      </c>
      <c r="W4702" s="53">
        <f>IF(P4702="","",IF(P4702="Resultado trading",S4702,0))</f>
        <v/>
      </c>
      <c r="X4702" s="52">
        <f>IF(OR(P4702="Gasto",P4702="Reembolso"),IF(M4702&lt;&gt;"",M4702,IFERROR(INDEX(catClasif,MATCH(D4702&amp;"|"&amp;E4702,catClave,0))&amp;"","Variable")),"")</f>
        <v/>
      </c>
      <c r="Y4702" s="52">
        <f>IF(P4702="","",IFERROR(INDEX(catGrupo,MATCH(D4702&amp;"|"&amp;E4702,catClave,0))&amp;"",""))</f>
        <v/>
      </c>
      <c r="Z4702" s="52">
        <f>IF(P4702="","",WEEKDAY(B4702,2))</f>
        <v/>
      </c>
      <c r="AA4702" s="52">
        <f>IF(P4702="","",IF(AND(P4702="Gasto",X4702="Variable",D4702&lt;&gt;catTrading,S4702&gt;0,S4702&lt;=Umbral),1,0))</f>
        <v/>
      </c>
      <c r="AB4702" s="52">
        <f>IF(OR(P4702="",Q4702=""),"",IFERROR(IF(INDEX(ctaVinc,MATCH(Q4702,ctaNombre,0))&amp;""&lt;&gt;"",INDEX(ctaVinc,MATCH(Q4702,ctaNombre,0))&amp;"",Q4702),Q4702))</f>
        <v/>
      </c>
      <c r="AC4702" s="52">
        <f>IF(OR(K4702="",AND(P4702&lt;&gt;"Transferencia",P4702&lt;&gt;"Pago tarjeta")),"",IFERROR(IF(INDEX(ctaVinc,MATCH(K4702,ctaNombre,0))&amp;""&lt;&gt;"",INDEX(ctaVinc,MATCH(K4702,ctaNombre,0))&amp;"",K4702),K4702))</f>
        <v/>
      </c>
      <c r="AD4702" s="52">
        <f>IF(AB4702="","",IFERROR(INDEX(ctaTipo,MATCH(AB4702,ctaNombre,0))&amp;"",""))</f>
        <v/>
      </c>
      <c r="AE4702" s="52">
        <f>IF(AC4702="","",IFERROR(INDEX(ctaTipo,MATCH(AC4702,ctaNombre,0))&amp;"",""))</f>
        <v/>
      </c>
      <c r="AF4702" s="53">
        <f>IF(OR(P4702="",AB4702=""),"",IF(OR(P4702="Gasto",P4702="Transferencia",P4702="Pago tarjeta"),-1,1)*IF(IFERROR(INDEX(ctaMoneda,MATCH(AB4702,ctaNombre,0))&amp;"","DOP")="USD",T4702,S4702))</f>
        <v/>
      </c>
      <c r="AG4702" s="53">
        <f>IF(AC4702="","",IF(IFERROR(INDEX(ctaMoneda,MATCH(AC4702,ctaNombre,0))&amp;"","DOP")="USD",T4702,S4702))</f>
        <v/>
      </c>
      <c r="AH4702" s="53">
        <f>IF(P4702="","",IF(AND(AD4702&lt;&gt;"",COUNTIFS(tcTipo,AD4702,tcLiq,"Sí")&gt;0),IF(OR(P4702="Gasto",P4702="Transferencia",P4702="Pago tarjeta"),-1,1)*S4702,0)+IF(AND(AE4702&lt;&gt;"",COUNTIFS(tcTipo,AE4702,tcLiq,"Sí")&gt;0),S4702,0))</f>
        <v/>
      </c>
      <c r="AI4702" s="52">
        <f>IF(OR(L4702="",P4702=""),"",IF(COUNTIFS(L$6:L4702,L4702,P$6:P4702,"?*")=1,MAX(AI$5:AI4701)+1,""))</f>
        <v/>
      </c>
    </row>
    <row r="4703">
      <c r="B4703" s="47" t="n"/>
      <c r="C4703" s="48" t="n"/>
      <c r="D4703" s="48" t="n"/>
      <c r="E4703" s="48" t="n"/>
      <c r="F4703" s="48" t="n"/>
      <c r="G4703" s="49" t="n"/>
      <c r="H4703" s="48" t="n"/>
      <c r="I4703" s="50" t="n"/>
      <c r="J4703" s="48" t="n"/>
      <c r="K4703" s="48" t="n"/>
      <c r="L4703" s="48" t="n"/>
      <c r="M4703" s="48" t="n"/>
      <c r="N4703" s="48" t="n"/>
      <c r="O4703" s="51">
        <f>IF(AND(B4703="",G4703="",C4703="",D4703="",J4703=""),"",IF(B4703="","⚠ Falta fecha",IF(G4703="","⚠ Falta monto",IF(Q4703="","⚠ Falta cuenta",IF(ISNA(MATCH(Q4703,ctaNombre,0)),"⚠ Cuenta no registrada",IF(AND(OR(P4703="Gasto",P4703="Reembolso"),D4703=""),"⚠ Falta categoría",IF(AND(D4703&lt;&gt;"",E4703&lt;&gt;"",ISNA(MATCH(D4703&amp;"|"&amp;E4703,catClave,0))),"⚠ Subcategoría no corresponde",IF(AND(OR(P4703="Transferencia",P4703="Pago tarjeta"),K4703=""),"⚠ Falta cuenta destino",IF(AND(K4703&lt;&gt;"",P4703&lt;&gt;"Transferencia",P4703&lt;&gt;"Pago tarjeta"),"⚠ Destino solo aplica a transferencias",IF(AND(K4703&lt;&gt;"",K4703=Q4703),"⚠ Origen igual a destino",IF(AND(K4703&lt;&gt;"",ISNA(MATCH(K4703,ctaNombre,0))),"⚠ Destino no registrado",IF(AND(P4703="Pago tarjeta",AE4703&lt;&gt;"Tarjeta de crédito"),"⚠ El destino debe ser tarjeta de crédito",IF(AND(P4703="Gasto",E4703="Depósitos y retiros"),"⚠ Usa tipo Transferencia",IF(AND(P4703="Resultado trading",AD4703&lt;&gt;"Cuenta de trading"),"⚠ Usa una cuenta de trading",IF(AND(G4703&lt;=0,P4703&lt;&gt;"Ajuste",P4703&lt;&gt;"Resultado trading"),"⚠ El monto debe ser positivo","✓")))))))))))))))</f>
        <v/>
      </c>
      <c r="P4703" s="52">
        <f>IF(OR(B4703="",G4703=""),"",IF(C4703="","Gasto",C4703))</f>
        <v/>
      </c>
      <c r="Q4703" s="52">
        <f>IF(P4703="","",IF(J4703&lt;&gt;"",J4703,CuentaPred&amp;""))</f>
        <v/>
      </c>
      <c r="R4703" s="52">
        <f>IF(P4703="","",IF(ISNUMBER(I4703),I4703,TasaUSD))</f>
        <v/>
      </c>
      <c r="S4703" s="53">
        <f>IF(P4703="","",IF(H4703="USD",G4703*R4703,G4703))</f>
        <v/>
      </c>
      <c r="T4703" s="53">
        <f>IF(P4703="","",IF(H4703="USD",G4703,IF(R4703&gt;0,G4703/R4703,0)))</f>
        <v/>
      </c>
      <c r="U4703" s="53">
        <f>IF(P4703="","",IF(P4703="Gasto",S4703,IF(P4703="Reembolso",-S4703,0)))</f>
        <v/>
      </c>
      <c r="V4703" s="53">
        <f>IF(P4703="","",IF(P4703="Ingreso",S4703,0))</f>
        <v/>
      </c>
      <c r="W4703" s="53">
        <f>IF(P4703="","",IF(P4703="Resultado trading",S4703,0))</f>
        <v/>
      </c>
      <c r="X4703" s="52">
        <f>IF(OR(P4703="Gasto",P4703="Reembolso"),IF(M4703&lt;&gt;"",M4703,IFERROR(INDEX(catClasif,MATCH(D4703&amp;"|"&amp;E4703,catClave,0))&amp;"","Variable")),"")</f>
        <v/>
      </c>
      <c r="Y4703" s="52">
        <f>IF(P4703="","",IFERROR(INDEX(catGrupo,MATCH(D4703&amp;"|"&amp;E4703,catClave,0))&amp;"",""))</f>
        <v/>
      </c>
      <c r="Z4703" s="52">
        <f>IF(P4703="","",WEEKDAY(B4703,2))</f>
        <v/>
      </c>
      <c r="AA4703" s="52">
        <f>IF(P4703="","",IF(AND(P4703="Gasto",X4703="Variable",D4703&lt;&gt;catTrading,S4703&gt;0,S4703&lt;=Umbral),1,0))</f>
        <v/>
      </c>
      <c r="AB4703" s="52">
        <f>IF(OR(P4703="",Q4703=""),"",IFERROR(IF(INDEX(ctaVinc,MATCH(Q4703,ctaNombre,0))&amp;""&lt;&gt;"",INDEX(ctaVinc,MATCH(Q4703,ctaNombre,0))&amp;"",Q4703),Q4703))</f>
        <v/>
      </c>
      <c r="AC4703" s="52">
        <f>IF(OR(K4703="",AND(P4703&lt;&gt;"Transferencia",P4703&lt;&gt;"Pago tarjeta")),"",IFERROR(IF(INDEX(ctaVinc,MATCH(K4703,ctaNombre,0))&amp;""&lt;&gt;"",INDEX(ctaVinc,MATCH(K4703,ctaNombre,0))&amp;"",K4703),K4703))</f>
        <v/>
      </c>
      <c r="AD4703" s="52">
        <f>IF(AB4703="","",IFERROR(INDEX(ctaTipo,MATCH(AB4703,ctaNombre,0))&amp;"",""))</f>
        <v/>
      </c>
      <c r="AE4703" s="52">
        <f>IF(AC4703="","",IFERROR(INDEX(ctaTipo,MATCH(AC4703,ctaNombre,0))&amp;"",""))</f>
        <v/>
      </c>
      <c r="AF4703" s="53">
        <f>IF(OR(P4703="",AB4703=""),"",IF(OR(P4703="Gasto",P4703="Transferencia",P4703="Pago tarjeta"),-1,1)*IF(IFERROR(INDEX(ctaMoneda,MATCH(AB4703,ctaNombre,0))&amp;"","DOP")="USD",T4703,S4703))</f>
        <v/>
      </c>
      <c r="AG4703" s="53">
        <f>IF(AC4703="","",IF(IFERROR(INDEX(ctaMoneda,MATCH(AC4703,ctaNombre,0))&amp;"","DOP")="USD",T4703,S4703))</f>
        <v/>
      </c>
      <c r="AH4703" s="53">
        <f>IF(P4703="","",IF(AND(AD4703&lt;&gt;"",COUNTIFS(tcTipo,AD4703,tcLiq,"Sí")&gt;0),IF(OR(P4703="Gasto",P4703="Transferencia",P4703="Pago tarjeta"),-1,1)*S4703,0)+IF(AND(AE4703&lt;&gt;"",COUNTIFS(tcTipo,AE4703,tcLiq,"Sí")&gt;0),S4703,0))</f>
        <v/>
      </c>
      <c r="AI4703" s="52">
        <f>IF(OR(L4703="",P4703=""),"",IF(COUNTIFS(L$6:L4703,L4703,P$6:P4703,"?*")=1,MAX(AI$5:AI4702)+1,""))</f>
        <v/>
      </c>
    </row>
    <row r="4704">
      <c r="B4704" s="47" t="n"/>
      <c r="C4704" s="48" t="n"/>
      <c r="D4704" s="48" t="n"/>
      <c r="E4704" s="48" t="n"/>
      <c r="F4704" s="48" t="n"/>
      <c r="G4704" s="49" t="n"/>
      <c r="H4704" s="48" t="n"/>
      <c r="I4704" s="50" t="n"/>
      <c r="J4704" s="48" t="n"/>
      <c r="K4704" s="48" t="n"/>
      <c r="L4704" s="48" t="n"/>
      <c r="M4704" s="48" t="n"/>
      <c r="N4704" s="48" t="n"/>
      <c r="O4704" s="51">
        <f>IF(AND(B4704="",G4704="",C4704="",D4704="",J4704=""),"",IF(B4704="","⚠ Falta fecha",IF(G4704="","⚠ Falta monto",IF(Q4704="","⚠ Falta cuenta",IF(ISNA(MATCH(Q4704,ctaNombre,0)),"⚠ Cuenta no registrada",IF(AND(OR(P4704="Gasto",P4704="Reembolso"),D4704=""),"⚠ Falta categoría",IF(AND(D4704&lt;&gt;"",E4704&lt;&gt;"",ISNA(MATCH(D4704&amp;"|"&amp;E4704,catClave,0))),"⚠ Subcategoría no corresponde",IF(AND(OR(P4704="Transferencia",P4704="Pago tarjeta"),K4704=""),"⚠ Falta cuenta destino",IF(AND(K4704&lt;&gt;"",P4704&lt;&gt;"Transferencia",P4704&lt;&gt;"Pago tarjeta"),"⚠ Destino solo aplica a transferencias",IF(AND(K4704&lt;&gt;"",K4704=Q4704),"⚠ Origen igual a destino",IF(AND(K4704&lt;&gt;"",ISNA(MATCH(K4704,ctaNombre,0))),"⚠ Destino no registrado",IF(AND(P4704="Pago tarjeta",AE4704&lt;&gt;"Tarjeta de crédito"),"⚠ El destino debe ser tarjeta de crédito",IF(AND(P4704="Gasto",E4704="Depósitos y retiros"),"⚠ Usa tipo Transferencia",IF(AND(P4704="Resultado trading",AD4704&lt;&gt;"Cuenta de trading"),"⚠ Usa una cuenta de trading",IF(AND(G4704&lt;=0,P4704&lt;&gt;"Ajuste",P4704&lt;&gt;"Resultado trading"),"⚠ El monto debe ser positivo","✓")))))))))))))))</f>
        <v/>
      </c>
      <c r="P4704" s="52">
        <f>IF(OR(B4704="",G4704=""),"",IF(C4704="","Gasto",C4704))</f>
        <v/>
      </c>
      <c r="Q4704" s="52">
        <f>IF(P4704="","",IF(J4704&lt;&gt;"",J4704,CuentaPred&amp;""))</f>
        <v/>
      </c>
      <c r="R4704" s="52">
        <f>IF(P4704="","",IF(ISNUMBER(I4704),I4704,TasaUSD))</f>
        <v/>
      </c>
      <c r="S4704" s="53">
        <f>IF(P4704="","",IF(H4704="USD",G4704*R4704,G4704))</f>
        <v/>
      </c>
      <c r="T4704" s="53">
        <f>IF(P4704="","",IF(H4704="USD",G4704,IF(R4704&gt;0,G4704/R4704,0)))</f>
        <v/>
      </c>
      <c r="U4704" s="53">
        <f>IF(P4704="","",IF(P4704="Gasto",S4704,IF(P4704="Reembolso",-S4704,0)))</f>
        <v/>
      </c>
      <c r="V4704" s="53">
        <f>IF(P4704="","",IF(P4704="Ingreso",S4704,0))</f>
        <v/>
      </c>
      <c r="W4704" s="53">
        <f>IF(P4704="","",IF(P4704="Resultado trading",S4704,0))</f>
        <v/>
      </c>
      <c r="X4704" s="52">
        <f>IF(OR(P4704="Gasto",P4704="Reembolso"),IF(M4704&lt;&gt;"",M4704,IFERROR(INDEX(catClasif,MATCH(D4704&amp;"|"&amp;E4704,catClave,0))&amp;"","Variable")),"")</f>
        <v/>
      </c>
      <c r="Y4704" s="52">
        <f>IF(P4704="","",IFERROR(INDEX(catGrupo,MATCH(D4704&amp;"|"&amp;E4704,catClave,0))&amp;"",""))</f>
        <v/>
      </c>
      <c r="Z4704" s="52">
        <f>IF(P4704="","",WEEKDAY(B4704,2))</f>
        <v/>
      </c>
      <c r="AA4704" s="52">
        <f>IF(P4704="","",IF(AND(P4704="Gasto",X4704="Variable",D4704&lt;&gt;catTrading,S4704&gt;0,S4704&lt;=Umbral),1,0))</f>
        <v/>
      </c>
      <c r="AB4704" s="52">
        <f>IF(OR(P4704="",Q4704=""),"",IFERROR(IF(INDEX(ctaVinc,MATCH(Q4704,ctaNombre,0))&amp;""&lt;&gt;"",INDEX(ctaVinc,MATCH(Q4704,ctaNombre,0))&amp;"",Q4704),Q4704))</f>
        <v/>
      </c>
      <c r="AC4704" s="52">
        <f>IF(OR(K4704="",AND(P4704&lt;&gt;"Transferencia",P4704&lt;&gt;"Pago tarjeta")),"",IFERROR(IF(INDEX(ctaVinc,MATCH(K4704,ctaNombre,0))&amp;""&lt;&gt;"",INDEX(ctaVinc,MATCH(K4704,ctaNombre,0))&amp;"",K4704),K4704))</f>
        <v/>
      </c>
      <c r="AD4704" s="52">
        <f>IF(AB4704="","",IFERROR(INDEX(ctaTipo,MATCH(AB4704,ctaNombre,0))&amp;"",""))</f>
        <v/>
      </c>
      <c r="AE4704" s="52">
        <f>IF(AC4704="","",IFERROR(INDEX(ctaTipo,MATCH(AC4704,ctaNombre,0))&amp;"",""))</f>
        <v/>
      </c>
      <c r="AF4704" s="53">
        <f>IF(OR(P4704="",AB4704=""),"",IF(OR(P4704="Gasto",P4704="Transferencia",P4704="Pago tarjeta"),-1,1)*IF(IFERROR(INDEX(ctaMoneda,MATCH(AB4704,ctaNombre,0))&amp;"","DOP")="USD",T4704,S4704))</f>
        <v/>
      </c>
      <c r="AG4704" s="53">
        <f>IF(AC4704="","",IF(IFERROR(INDEX(ctaMoneda,MATCH(AC4704,ctaNombre,0))&amp;"","DOP")="USD",T4704,S4704))</f>
        <v/>
      </c>
      <c r="AH4704" s="53">
        <f>IF(P4704="","",IF(AND(AD4704&lt;&gt;"",COUNTIFS(tcTipo,AD4704,tcLiq,"Sí")&gt;0),IF(OR(P4704="Gasto",P4704="Transferencia",P4704="Pago tarjeta"),-1,1)*S4704,0)+IF(AND(AE4704&lt;&gt;"",COUNTIFS(tcTipo,AE4704,tcLiq,"Sí")&gt;0),S4704,0))</f>
        <v/>
      </c>
      <c r="AI4704" s="52">
        <f>IF(OR(L4704="",P4704=""),"",IF(COUNTIFS(L$6:L4704,L4704,P$6:P4704,"?*")=1,MAX(AI$5:AI4703)+1,""))</f>
        <v/>
      </c>
    </row>
    <row r="4705">
      <c r="B4705" s="47" t="n"/>
      <c r="C4705" s="48" t="n"/>
      <c r="D4705" s="48" t="n"/>
      <c r="E4705" s="48" t="n"/>
      <c r="F4705" s="48" t="n"/>
      <c r="G4705" s="49" t="n"/>
      <c r="H4705" s="48" t="n"/>
      <c r="I4705" s="50" t="n"/>
      <c r="J4705" s="48" t="n"/>
      <c r="K4705" s="48" t="n"/>
      <c r="L4705" s="48" t="n"/>
      <c r="M4705" s="48" t="n"/>
      <c r="N4705" s="48" t="n"/>
      <c r="O4705" s="51">
        <f>IF(AND(B4705="",G4705="",C4705="",D4705="",J4705=""),"",IF(B4705="","⚠ Falta fecha",IF(G4705="","⚠ Falta monto",IF(Q4705="","⚠ Falta cuenta",IF(ISNA(MATCH(Q4705,ctaNombre,0)),"⚠ Cuenta no registrada",IF(AND(OR(P4705="Gasto",P4705="Reembolso"),D4705=""),"⚠ Falta categoría",IF(AND(D4705&lt;&gt;"",E4705&lt;&gt;"",ISNA(MATCH(D4705&amp;"|"&amp;E4705,catClave,0))),"⚠ Subcategoría no corresponde",IF(AND(OR(P4705="Transferencia",P4705="Pago tarjeta"),K4705=""),"⚠ Falta cuenta destino",IF(AND(K4705&lt;&gt;"",P4705&lt;&gt;"Transferencia",P4705&lt;&gt;"Pago tarjeta"),"⚠ Destino solo aplica a transferencias",IF(AND(K4705&lt;&gt;"",K4705=Q4705),"⚠ Origen igual a destino",IF(AND(K4705&lt;&gt;"",ISNA(MATCH(K4705,ctaNombre,0))),"⚠ Destino no registrado",IF(AND(P4705="Pago tarjeta",AE4705&lt;&gt;"Tarjeta de crédito"),"⚠ El destino debe ser tarjeta de crédito",IF(AND(P4705="Gasto",E4705="Depósitos y retiros"),"⚠ Usa tipo Transferencia",IF(AND(P4705="Resultado trading",AD4705&lt;&gt;"Cuenta de trading"),"⚠ Usa una cuenta de trading",IF(AND(G4705&lt;=0,P4705&lt;&gt;"Ajuste",P4705&lt;&gt;"Resultado trading"),"⚠ El monto debe ser positivo","✓")))))))))))))))</f>
        <v/>
      </c>
      <c r="P4705" s="52">
        <f>IF(OR(B4705="",G4705=""),"",IF(C4705="","Gasto",C4705))</f>
        <v/>
      </c>
      <c r="Q4705" s="52">
        <f>IF(P4705="","",IF(J4705&lt;&gt;"",J4705,CuentaPred&amp;""))</f>
        <v/>
      </c>
      <c r="R4705" s="52">
        <f>IF(P4705="","",IF(ISNUMBER(I4705),I4705,TasaUSD))</f>
        <v/>
      </c>
      <c r="S4705" s="53">
        <f>IF(P4705="","",IF(H4705="USD",G4705*R4705,G4705))</f>
        <v/>
      </c>
      <c r="T4705" s="53">
        <f>IF(P4705="","",IF(H4705="USD",G4705,IF(R4705&gt;0,G4705/R4705,0)))</f>
        <v/>
      </c>
      <c r="U4705" s="53">
        <f>IF(P4705="","",IF(P4705="Gasto",S4705,IF(P4705="Reembolso",-S4705,0)))</f>
        <v/>
      </c>
      <c r="V4705" s="53">
        <f>IF(P4705="","",IF(P4705="Ingreso",S4705,0))</f>
        <v/>
      </c>
      <c r="W4705" s="53">
        <f>IF(P4705="","",IF(P4705="Resultado trading",S4705,0))</f>
        <v/>
      </c>
      <c r="X4705" s="52">
        <f>IF(OR(P4705="Gasto",P4705="Reembolso"),IF(M4705&lt;&gt;"",M4705,IFERROR(INDEX(catClasif,MATCH(D4705&amp;"|"&amp;E4705,catClave,0))&amp;"","Variable")),"")</f>
        <v/>
      </c>
      <c r="Y4705" s="52">
        <f>IF(P4705="","",IFERROR(INDEX(catGrupo,MATCH(D4705&amp;"|"&amp;E4705,catClave,0))&amp;"",""))</f>
        <v/>
      </c>
      <c r="Z4705" s="52">
        <f>IF(P4705="","",WEEKDAY(B4705,2))</f>
        <v/>
      </c>
      <c r="AA4705" s="52">
        <f>IF(P4705="","",IF(AND(P4705="Gasto",X4705="Variable",D4705&lt;&gt;catTrading,S4705&gt;0,S4705&lt;=Umbral),1,0))</f>
        <v/>
      </c>
      <c r="AB4705" s="52">
        <f>IF(OR(P4705="",Q4705=""),"",IFERROR(IF(INDEX(ctaVinc,MATCH(Q4705,ctaNombre,0))&amp;""&lt;&gt;"",INDEX(ctaVinc,MATCH(Q4705,ctaNombre,0))&amp;"",Q4705),Q4705))</f>
        <v/>
      </c>
      <c r="AC4705" s="52">
        <f>IF(OR(K4705="",AND(P4705&lt;&gt;"Transferencia",P4705&lt;&gt;"Pago tarjeta")),"",IFERROR(IF(INDEX(ctaVinc,MATCH(K4705,ctaNombre,0))&amp;""&lt;&gt;"",INDEX(ctaVinc,MATCH(K4705,ctaNombre,0))&amp;"",K4705),K4705))</f>
        <v/>
      </c>
      <c r="AD4705" s="52">
        <f>IF(AB4705="","",IFERROR(INDEX(ctaTipo,MATCH(AB4705,ctaNombre,0))&amp;"",""))</f>
        <v/>
      </c>
      <c r="AE4705" s="52">
        <f>IF(AC4705="","",IFERROR(INDEX(ctaTipo,MATCH(AC4705,ctaNombre,0))&amp;"",""))</f>
        <v/>
      </c>
      <c r="AF4705" s="53">
        <f>IF(OR(P4705="",AB4705=""),"",IF(OR(P4705="Gasto",P4705="Transferencia",P4705="Pago tarjeta"),-1,1)*IF(IFERROR(INDEX(ctaMoneda,MATCH(AB4705,ctaNombre,0))&amp;"","DOP")="USD",T4705,S4705))</f>
        <v/>
      </c>
      <c r="AG4705" s="53">
        <f>IF(AC4705="","",IF(IFERROR(INDEX(ctaMoneda,MATCH(AC4705,ctaNombre,0))&amp;"","DOP")="USD",T4705,S4705))</f>
        <v/>
      </c>
      <c r="AH4705" s="53">
        <f>IF(P4705="","",IF(AND(AD4705&lt;&gt;"",COUNTIFS(tcTipo,AD4705,tcLiq,"Sí")&gt;0),IF(OR(P4705="Gasto",P4705="Transferencia",P4705="Pago tarjeta"),-1,1)*S4705,0)+IF(AND(AE4705&lt;&gt;"",COUNTIFS(tcTipo,AE4705,tcLiq,"Sí")&gt;0),S4705,0))</f>
        <v/>
      </c>
      <c r="AI4705" s="52">
        <f>IF(OR(L4705="",P4705=""),"",IF(COUNTIFS(L$6:L4705,L4705,P$6:P4705,"?*")=1,MAX(AI$5:AI4704)+1,""))</f>
        <v/>
      </c>
    </row>
    <row r="4706">
      <c r="B4706" s="47" t="n"/>
      <c r="C4706" s="48" t="n"/>
      <c r="D4706" s="48" t="n"/>
      <c r="E4706" s="48" t="n"/>
      <c r="F4706" s="48" t="n"/>
      <c r="G4706" s="49" t="n"/>
      <c r="H4706" s="48" t="n"/>
      <c r="I4706" s="50" t="n"/>
      <c r="J4706" s="48" t="n"/>
      <c r="K4706" s="48" t="n"/>
      <c r="L4706" s="48" t="n"/>
      <c r="M4706" s="48" t="n"/>
      <c r="N4706" s="48" t="n"/>
      <c r="O4706" s="51">
        <f>IF(AND(B4706="",G4706="",C4706="",D4706="",J4706=""),"",IF(B4706="","⚠ Falta fecha",IF(G4706="","⚠ Falta monto",IF(Q4706="","⚠ Falta cuenta",IF(ISNA(MATCH(Q4706,ctaNombre,0)),"⚠ Cuenta no registrada",IF(AND(OR(P4706="Gasto",P4706="Reembolso"),D4706=""),"⚠ Falta categoría",IF(AND(D4706&lt;&gt;"",E4706&lt;&gt;"",ISNA(MATCH(D4706&amp;"|"&amp;E4706,catClave,0))),"⚠ Subcategoría no corresponde",IF(AND(OR(P4706="Transferencia",P4706="Pago tarjeta"),K4706=""),"⚠ Falta cuenta destino",IF(AND(K4706&lt;&gt;"",P4706&lt;&gt;"Transferencia",P4706&lt;&gt;"Pago tarjeta"),"⚠ Destino solo aplica a transferencias",IF(AND(K4706&lt;&gt;"",K4706=Q4706),"⚠ Origen igual a destino",IF(AND(K4706&lt;&gt;"",ISNA(MATCH(K4706,ctaNombre,0))),"⚠ Destino no registrado",IF(AND(P4706="Pago tarjeta",AE4706&lt;&gt;"Tarjeta de crédito"),"⚠ El destino debe ser tarjeta de crédito",IF(AND(P4706="Gasto",E4706="Depósitos y retiros"),"⚠ Usa tipo Transferencia",IF(AND(P4706="Resultado trading",AD4706&lt;&gt;"Cuenta de trading"),"⚠ Usa una cuenta de trading",IF(AND(G4706&lt;=0,P4706&lt;&gt;"Ajuste",P4706&lt;&gt;"Resultado trading"),"⚠ El monto debe ser positivo","✓")))))))))))))))</f>
        <v/>
      </c>
      <c r="P4706" s="52">
        <f>IF(OR(B4706="",G4706=""),"",IF(C4706="","Gasto",C4706))</f>
        <v/>
      </c>
      <c r="Q4706" s="52">
        <f>IF(P4706="","",IF(J4706&lt;&gt;"",J4706,CuentaPred&amp;""))</f>
        <v/>
      </c>
      <c r="R4706" s="52">
        <f>IF(P4706="","",IF(ISNUMBER(I4706),I4706,TasaUSD))</f>
        <v/>
      </c>
      <c r="S4706" s="53">
        <f>IF(P4706="","",IF(H4706="USD",G4706*R4706,G4706))</f>
        <v/>
      </c>
      <c r="T4706" s="53">
        <f>IF(P4706="","",IF(H4706="USD",G4706,IF(R4706&gt;0,G4706/R4706,0)))</f>
        <v/>
      </c>
      <c r="U4706" s="53">
        <f>IF(P4706="","",IF(P4706="Gasto",S4706,IF(P4706="Reembolso",-S4706,0)))</f>
        <v/>
      </c>
      <c r="V4706" s="53">
        <f>IF(P4706="","",IF(P4706="Ingreso",S4706,0))</f>
        <v/>
      </c>
      <c r="W4706" s="53">
        <f>IF(P4706="","",IF(P4706="Resultado trading",S4706,0))</f>
        <v/>
      </c>
      <c r="X4706" s="52">
        <f>IF(OR(P4706="Gasto",P4706="Reembolso"),IF(M4706&lt;&gt;"",M4706,IFERROR(INDEX(catClasif,MATCH(D4706&amp;"|"&amp;E4706,catClave,0))&amp;"","Variable")),"")</f>
        <v/>
      </c>
      <c r="Y4706" s="52">
        <f>IF(P4706="","",IFERROR(INDEX(catGrupo,MATCH(D4706&amp;"|"&amp;E4706,catClave,0))&amp;"",""))</f>
        <v/>
      </c>
      <c r="Z4706" s="52">
        <f>IF(P4706="","",WEEKDAY(B4706,2))</f>
        <v/>
      </c>
      <c r="AA4706" s="52">
        <f>IF(P4706="","",IF(AND(P4706="Gasto",X4706="Variable",D4706&lt;&gt;catTrading,S4706&gt;0,S4706&lt;=Umbral),1,0))</f>
        <v/>
      </c>
      <c r="AB4706" s="52">
        <f>IF(OR(P4706="",Q4706=""),"",IFERROR(IF(INDEX(ctaVinc,MATCH(Q4706,ctaNombre,0))&amp;""&lt;&gt;"",INDEX(ctaVinc,MATCH(Q4706,ctaNombre,0))&amp;"",Q4706),Q4706))</f>
        <v/>
      </c>
      <c r="AC4706" s="52">
        <f>IF(OR(K4706="",AND(P4706&lt;&gt;"Transferencia",P4706&lt;&gt;"Pago tarjeta")),"",IFERROR(IF(INDEX(ctaVinc,MATCH(K4706,ctaNombre,0))&amp;""&lt;&gt;"",INDEX(ctaVinc,MATCH(K4706,ctaNombre,0))&amp;"",K4706),K4706))</f>
        <v/>
      </c>
      <c r="AD4706" s="52">
        <f>IF(AB4706="","",IFERROR(INDEX(ctaTipo,MATCH(AB4706,ctaNombre,0))&amp;"",""))</f>
        <v/>
      </c>
      <c r="AE4706" s="52">
        <f>IF(AC4706="","",IFERROR(INDEX(ctaTipo,MATCH(AC4706,ctaNombre,0))&amp;"",""))</f>
        <v/>
      </c>
      <c r="AF4706" s="53">
        <f>IF(OR(P4706="",AB4706=""),"",IF(OR(P4706="Gasto",P4706="Transferencia",P4706="Pago tarjeta"),-1,1)*IF(IFERROR(INDEX(ctaMoneda,MATCH(AB4706,ctaNombre,0))&amp;"","DOP")="USD",T4706,S4706))</f>
        <v/>
      </c>
      <c r="AG4706" s="53">
        <f>IF(AC4706="","",IF(IFERROR(INDEX(ctaMoneda,MATCH(AC4706,ctaNombre,0))&amp;"","DOP")="USD",T4706,S4706))</f>
        <v/>
      </c>
      <c r="AH4706" s="53">
        <f>IF(P4706="","",IF(AND(AD4706&lt;&gt;"",COUNTIFS(tcTipo,AD4706,tcLiq,"Sí")&gt;0),IF(OR(P4706="Gasto",P4706="Transferencia",P4706="Pago tarjeta"),-1,1)*S4706,0)+IF(AND(AE4706&lt;&gt;"",COUNTIFS(tcTipo,AE4706,tcLiq,"Sí")&gt;0),S4706,0))</f>
        <v/>
      </c>
      <c r="AI4706" s="52">
        <f>IF(OR(L4706="",P4706=""),"",IF(COUNTIFS(L$6:L4706,L4706,P$6:P4706,"?*")=1,MAX(AI$5:AI4705)+1,""))</f>
        <v/>
      </c>
    </row>
    <row r="4707">
      <c r="B4707" s="47" t="n"/>
      <c r="C4707" s="48" t="n"/>
      <c r="D4707" s="48" t="n"/>
      <c r="E4707" s="48" t="n"/>
      <c r="F4707" s="48" t="n"/>
      <c r="G4707" s="49" t="n"/>
      <c r="H4707" s="48" t="n"/>
      <c r="I4707" s="50" t="n"/>
      <c r="J4707" s="48" t="n"/>
      <c r="K4707" s="48" t="n"/>
      <c r="L4707" s="48" t="n"/>
      <c r="M4707" s="48" t="n"/>
      <c r="N4707" s="48" t="n"/>
      <c r="O4707" s="51">
        <f>IF(AND(B4707="",G4707="",C4707="",D4707="",J4707=""),"",IF(B4707="","⚠ Falta fecha",IF(G4707="","⚠ Falta monto",IF(Q4707="","⚠ Falta cuenta",IF(ISNA(MATCH(Q4707,ctaNombre,0)),"⚠ Cuenta no registrada",IF(AND(OR(P4707="Gasto",P4707="Reembolso"),D4707=""),"⚠ Falta categoría",IF(AND(D4707&lt;&gt;"",E4707&lt;&gt;"",ISNA(MATCH(D4707&amp;"|"&amp;E4707,catClave,0))),"⚠ Subcategoría no corresponde",IF(AND(OR(P4707="Transferencia",P4707="Pago tarjeta"),K4707=""),"⚠ Falta cuenta destino",IF(AND(K4707&lt;&gt;"",P4707&lt;&gt;"Transferencia",P4707&lt;&gt;"Pago tarjeta"),"⚠ Destino solo aplica a transferencias",IF(AND(K4707&lt;&gt;"",K4707=Q4707),"⚠ Origen igual a destino",IF(AND(K4707&lt;&gt;"",ISNA(MATCH(K4707,ctaNombre,0))),"⚠ Destino no registrado",IF(AND(P4707="Pago tarjeta",AE4707&lt;&gt;"Tarjeta de crédito"),"⚠ El destino debe ser tarjeta de crédito",IF(AND(P4707="Gasto",E4707="Depósitos y retiros"),"⚠ Usa tipo Transferencia",IF(AND(P4707="Resultado trading",AD4707&lt;&gt;"Cuenta de trading"),"⚠ Usa una cuenta de trading",IF(AND(G4707&lt;=0,P4707&lt;&gt;"Ajuste",P4707&lt;&gt;"Resultado trading"),"⚠ El monto debe ser positivo","✓")))))))))))))))</f>
        <v/>
      </c>
      <c r="P4707" s="52">
        <f>IF(OR(B4707="",G4707=""),"",IF(C4707="","Gasto",C4707))</f>
        <v/>
      </c>
      <c r="Q4707" s="52">
        <f>IF(P4707="","",IF(J4707&lt;&gt;"",J4707,CuentaPred&amp;""))</f>
        <v/>
      </c>
      <c r="R4707" s="52">
        <f>IF(P4707="","",IF(ISNUMBER(I4707),I4707,TasaUSD))</f>
        <v/>
      </c>
      <c r="S4707" s="53">
        <f>IF(P4707="","",IF(H4707="USD",G4707*R4707,G4707))</f>
        <v/>
      </c>
      <c r="T4707" s="53">
        <f>IF(P4707="","",IF(H4707="USD",G4707,IF(R4707&gt;0,G4707/R4707,0)))</f>
        <v/>
      </c>
      <c r="U4707" s="53">
        <f>IF(P4707="","",IF(P4707="Gasto",S4707,IF(P4707="Reembolso",-S4707,0)))</f>
        <v/>
      </c>
      <c r="V4707" s="53">
        <f>IF(P4707="","",IF(P4707="Ingreso",S4707,0))</f>
        <v/>
      </c>
      <c r="W4707" s="53">
        <f>IF(P4707="","",IF(P4707="Resultado trading",S4707,0))</f>
        <v/>
      </c>
      <c r="X4707" s="52">
        <f>IF(OR(P4707="Gasto",P4707="Reembolso"),IF(M4707&lt;&gt;"",M4707,IFERROR(INDEX(catClasif,MATCH(D4707&amp;"|"&amp;E4707,catClave,0))&amp;"","Variable")),"")</f>
        <v/>
      </c>
      <c r="Y4707" s="52">
        <f>IF(P4707="","",IFERROR(INDEX(catGrupo,MATCH(D4707&amp;"|"&amp;E4707,catClave,0))&amp;"",""))</f>
        <v/>
      </c>
      <c r="Z4707" s="52">
        <f>IF(P4707="","",WEEKDAY(B4707,2))</f>
        <v/>
      </c>
      <c r="AA4707" s="52">
        <f>IF(P4707="","",IF(AND(P4707="Gasto",X4707="Variable",D4707&lt;&gt;catTrading,S4707&gt;0,S4707&lt;=Umbral),1,0))</f>
        <v/>
      </c>
      <c r="AB4707" s="52">
        <f>IF(OR(P4707="",Q4707=""),"",IFERROR(IF(INDEX(ctaVinc,MATCH(Q4707,ctaNombre,0))&amp;""&lt;&gt;"",INDEX(ctaVinc,MATCH(Q4707,ctaNombre,0))&amp;"",Q4707),Q4707))</f>
        <v/>
      </c>
      <c r="AC4707" s="52">
        <f>IF(OR(K4707="",AND(P4707&lt;&gt;"Transferencia",P4707&lt;&gt;"Pago tarjeta")),"",IFERROR(IF(INDEX(ctaVinc,MATCH(K4707,ctaNombre,0))&amp;""&lt;&gt;"",INDEX(ctaVinc,MATCH(K4707,ctaNombre,0))&amp;"",K4707),K4707))</f>
        <v/>
      </c>
      <c r="AD4707" s="52">
        <f>IF(AB4707="","",IFERROR(INDEX(ctaTipo,MATCH(AB4707,ctaNombre,0))&amp;"",""))</f>
        <v/>
      </c>
      <c r="AE4707" s="52">
        <f>IF(AC4707="","",IFERROR(INDEX(ctaTipo,MATCH(AC4707,ctaNombre,0))&amp;"",""))</f>
        <v/>
      </c>
      <c r="AF4707" s="53">
        <f>IF(OR(P4707="",AB4707=""),"",IF(OR(P4707="Gasto",P4707="Transferencia",P4707="Pago tarjeta"),-1,1)*IF(IFERROR(INDEX(ctaMoneda,MATCH(AB4707,ctaNombre,0))&amp;"","DOP")="USD",T4707,S4707))</f>
        <v/>
      </c>
      <c r="AG4707" s="53">
        <f>IF(AC4707="","",IF(IFERROR(INDEX(ctaMoneda,MATCH(AC4707,ctaNombre,0))&amp;"","DOP")="USD",T4707,S4707))</f>
        <v/>
      </c>
      <c r="AH4707" s="53">
        <f>IF(P4707="","",IF(AND(AD4707&lt;&gt;"",COUNTIFS(tcTipo,AD4707,tcLiq,"Sí")&gt;0),IF(OR(P4707="Gasto",P4707="Transferencia",P4707="Pago tarjeta"),-1,1)*S4707,0)+IF(AND(AE4707&lt;&gt;"",COUNTIFS(tcTipo,AE4707,tcLiq,"Sí")&gt;0),S4707,0))</f>
        <v/>
      </c>
      <c r="AI4707" s="52">
        <f>IF(OR(L4707="",P4707=""),"",IF(COUNTIFS(L$6:L4707,L4707,P$6:P4707,"?*")=1,MAX(AI$5:AI4706)+1,""))</f>
        <v/>
      </c>
    </row>
    <row r="4708">
      <c r="B4708" s="47" t="n"/>
      <c r="C4708" s="48" t="n"/>
      <c r="D4708" s="48" t="n"/>
      <c r="E4708" s="48" t="n"/>
      <c r="F4708" s="48" t="n"/>
      <c r="G4708" s="49" t="n"/>
      <c r="H4708" s="48" t="n"/>
      <c r="I4708" s="50" t="n"/>
      <c r="J4708" s="48" t="n"/>
      <c r="K4708" s="48" t="n"/>
      <c r="L4708" s="48" t="n"/>
      <c r="M4708" s="48" t="n"/>
      <c r="N4708" s="48" t="n"/>
      <c r="O4708" s="51">
        <f>IF(AND(B4708="",G4708="",C4708="",D4708="",J4708=""),"",IF(B4708="","⚠ Falta fecha",IF(G4708="","⚠ Falta monto",IF(Q4708="","⚠ Falta cuenta",IF(ISNA(MATCH(Q4708,ctaNombre,0)),"⚠ Cuenta no registrada",IF(AND(OR(P4708="Gasto",P4708="Reembolso"),D4708=""),"⚠ Falta categoría",IF(AND(D4708&lt;&gt;"",E4708&lt;&gt;"",ISNA(MATCH(D4708&amp;"|"&amp;E4708,catClave,0))),"⚠ Subcategoría no corresponde",IF(AND(OR(P4708="Transferencia",P4708="Pago tarjeta"),K4708=""),"⚠ Falta cuenta destino",IF(AND(K4708&lt;&gt;"",P4708&lt;&gt;"Transferencia",P4708&lt;&gt;"Pago tarjeta"),"⚠ Destino solo aplica a transferencias",IF(AND(K4708&lt;&gt;"",K4708=Q4708),"⚠ Origen igual a destino",IF(AND(K4708&lt;&gt;"",ISNA(MATCH(K4708,ctaNombre,0))),"⚠ Destino no registrado",IF(AND(P4708="Pago tarjeta",AE4708&lt;&gt;"Tarjeta de crédito"),"⚠ El destino debe ser tarjeta de crédito",IF(AND(P4708="Gasto",E4708="Depósitos y retiros"),"⚠ Usa tipo Transferencia",IF(AND(P4708="Resultado trading",AD4708&lt;&gt;"Cuenta de trading"),"⚠ Usa una cuenta de trading",IF(AND(G4708&lt;=0,P4708&lt;&gt;"Ajuste",P4708&lt;&gt;"Resultado trading"),"⚠ El monto debe ser positivo","✓")))))))))))))))</f>
        <v/>
      </c>
      <c r="P4708" s="52">
        <f>IF(OR(B4708="",G4708=""),"",IF(C4708="","Gasto",C4708))</f>
        <v/>
      </c>
      <c r="Q4708" s="52">
        <f>IF(P4708="","",IF(J4708&lt;&gt;"",J4708,CuentaPred&amp;""))</f>
        <v/>
      </c>
      <c r="R4708" s="52">
        <f>IF(P4708="","",IF(ISNUMBER(I4708),I4708,TasaUSD))</f>
        <v/>
      </c>
      <c r="S4708" s="53">
        <f>IF(P4708="","",IF(H4708="USD",G4708*R4708,G4708))</f>
        <v/>
      </c>
      <c r="T4708" s="53">
        <f>IF(P4708="","",IF(H4708="USD",G4708,IF(R4708&gt;0,G4708/R4708,0)))</f>
        <v/>
      </c>
      <c r="U4708" s="53">
        <f>IF(P4708="","",IF(P4708="Gasto",S4708,IF(P4708="Reembolso",-S4708,0)))</f>
        <v/>
      </c>
      <c r="V4708" s="53">
        <f>IF(P4708="","",IF(P4708="Ingreso",S4708,0))</f>
        <v/>
      </c>
      <c r="W4708" s="53">
        <f>IF(P4708="","",IF(P4708="Resultado trading",S4708,0))</f>
        <v/>
      </c>
      <c r="X4708" s="52">
        <f>IF(OR(P4708="Gasto",P4708="Reembolso"),IF(M4708&lt;&gt;"",M4708,IFERROR(INDEX(catClasif,MATCH(D4708&amp;"|"&amp;E4708,catClave,0))&amp;"","Variable")),"")</f>
        <v/>
      </c>
      <c r="Y4708" s="52">
        <f>IF(P4708="","",IFERROR(INDEX(catGrupo,MATCH(D4708&amp;"|"&amp;E4708,catClave,0))&amp;"",""))</f>
        <v/>
      </c>
      <c r="Z4708" s="52">
        <f>IF(P4708="","",WEEKDAY(B4708,2))</f>
        <v/>
      </c>
      <c r="AA4708" s="52">
        <f>IF(P4708="","",IF(AND(P4708="Gasto",X4708="Variable",D4708&lt;&gt;catTrading,S4708&gt;0,S4708&lt;=Umbral),1,0))</f>
        <v/>
      </c>
      <c r="AB4708" s="52">
        <f>IF(OR(P4708="",Q4708=""),"",IFERROR(IF(INDEX(ctaVinc,MATCH(Q4708,ctaNombre,0))&amp;""&lt;&gt;"",INDEX(ctaVinc,MATCH(Q4708,ctaNombre,0))&amp;"",Q4708),Q4708))</f>
        <v/>
      </c>
      <c r="AC4708" s="52">
        <f>IF(OR(K4708="",AND(P4708&lt;&gt;"Transferencia",P4708&lt;&gt;"Pago tarjeta")),"",IFERROR(IF(INDEX(ctaVinc,MATCH(K4708,ctaNombre,0))&amp;""&lt;&gt;"",INDEX(ctaVinc,MATCH(K4708,ctaNombre,0))&amp;"",K4708),K4708))</f>
        <v/>
      </c>
      <c r="AD4708" s="52">
        <f>IF(AB4708="","",IFERROR(INDEX(ctaTipo,MATCH(AB4708,ctaNombre,0))&amp;"",""))</f>
        <v/>
      </c>
      <c r="AE4708" s="52">
        <f>IF(AC4708="","",IFERROR(INDEX(ctaTipo,MATCH(AC4708,ctaNombre,0))&amp;"",""))</f>
        <v/>
      </c>
      <c r="AF4708" s="53">
        <f>IF(OR(P4708="",AB4708=""),"",IF(OR(P4708="Gasto",P4708="Transferencia",P4708="Pago tarjeta"),-1,1)*IF(IFERROR(INDEX(ctaMoneda,MATCH(AB4708,ctaNombre,0))&amp;"","DOP")="USD",T4708,S4708))</f>
        <v/>
      </c>
      <c r="AG4708" s="53">
        <f>IF(AC4708="","",IF(IFERROR(INDEX(ctaMoneda,MATCH(AC4708,ctaNombre,0))&amp;"","DOP")="USD",T4708,S4708))</f>
        <v/>
      </c>
      <c r="AH4708" s="53">
        <f>IF(P4708="","",IF(AND(AD4708&lt;&gt;"",COUNTIFS(tcTipo,AD4708,tcLiq,"Sí")&gt;0),IF(OR(P4708="Gasto",P4708="Transferencia",P4708="Pago tarjeta"),-1,1)*S4708,0)+IF(AND(AE4708&lt;&gt;"",COUNTIFS(tcTipo,AE4708,tcLiq,"Sí")&gt;0),S4708,0))</f>
        <v/>
      </c>
      <c r="AI4708" s="52">
        <f>IF(OR(L4708="",P4708=""),"",IF(COUNTIFS(L$6:L4708,L4708,P$6:P4708,"?*")=1,MAX(AI$5:AI4707)+1,""))</f>
        <v/>
      </c>
    </row>
    <row r="4709">
      <c r="B4709" s="47" t="n"/>
      <c r="C4709" s="48" t="n"/>
      <c r="D4709" s="48" t="n"/>
      <c r="E4709" s="48" t="n"/>
      <c r="F4709" s="48" t="n"/>
      <c r="G4709" s="49" t="n"/>
      <c r="H4709" s="48" t="n"/>
      <c r="I4709" s="50" t="n"/>
      <c r="J4709" s="48" t="n"/>
      <c r="K4709" s="48" t="n"/>
      <c r="L4709" s="48" t="n"/>
      <c r="M4709" s="48" t="n"/>
      <c r="N4709" s="48" t="n"/>
      <c r="O4709" s="51">
        <f>IF(AND(B4709="",G4709="",C4709="",D4709="",J4709=""),"",IF(B4709="","⚠ Falta fecha",IF(G4709="","⚠ Falta monto",IF(Q4709="","⚠ Falta cuenta",IF(ISNA(MATCH(Q4709,ctaNombre,0)),"⚠ Cuenta no registrada",IF(AND(OR(P4709="Gasto",P4709="Reembolso"),D4709=""),"⚠ Falta categoría",IF(AND(D4709&lt;&gt;"",E4709&lt;&gt;"",ISNA(MATCH(D4709&amp;"|"&amp;E4709,catClave,0))),"⚠ Subcategoría no corresponde",IF(AND(OR(P4709="Transferencia",P4709="Pago tarjeta"),K4709=""),"⚠ Falta cuenta destino",IF(AND(K4709&lt;&gt;"",P4709&lt;&gt;"Transferencia",P4709&lt;&gt;"Pago tarjeta"),"⚠ Destino solo aplica a transferencias",IF(AND(K4709&lt;&gt;"",K4709=Q4709),"⚠ Origen igual a destino",IF(AND(K4709&lt;&gt;"",ISNA(MATCH(K4709,ctaNombre,0))),"⚠ Destino no registrado",IF(AND(P4709="Pago tarjeta",AE4709&lt;&gt;"Tarjeta de crédito"),"⚠ El destino debe ser tarjeta de crédito",IF(AND(P4709="Gasto",E4709="Depósitos y retiros"),"⚠ Usa tipo Transferencia",IF(AND(P4709="Resultado trading",AD4709&lt;&gt;"Cuenta de trading"),"⚠ Usa una cuenta de trading",IF(AND(G4709&lt;=0,P4709&lt;&gt;"Ajuste",P4709&lt;&gt;"Resultado trading"),"⚠ El monto debe ser positivo","✓")))))))))))))))</f>
        <v/>
      </c>
      <c r="P4709" s="52">
        <f>IF(OR(B4709="",G4709=""),"",IF(C4709="","Gasto",C4709))</f>
        <v/>
      </c>
      <c r="Q4709" s="52">
        <f>IF(P4709="","",IF(J4709&lt;&gt;"",J4709,CuentaPred&amp;""))</f>
        <v/>
      </c>
      <c r="R4709" s="52">
        <f>IF(P4709="","",IF(ISNUMBER(I4709),I4709,TasaUSD))</f>
        <v/>
      </c>
      <c r="S4709" s="53">
        <f>IF(P4709="","",IF(H4709="USD",G4709*R4709,G4709))</f>
        <v/>
      </c>
      <c r="T4709" s="53">
        <f>IF(P4709="","",IF(H4709="USD",G4709,IF(R4709&gt;0,G4709/R4709,0)))</f>
        <v/>
      </c>
      <c r="U4709" s="53">
        <f>IF(P4709="","",IF(P4709="Gasto",S4709,IF(P4709="Reembolso",-S4709,0)))</f>
        <v/>
      </c>
      <c r="V4709" s="53">
        <f>IF(P4709="","",IF(P4709="Ingreso",S4709,0))</f>
        <v/>
      </c>
      <c r="W4709" s="53">
        <f>IF(P4709="","",IF(P4709="Resultado trading",S4709,0))</f>
        <v/>
      </c>
      <c r="X4709" s="52">
        <f>IF(OR(P4709="Gasto",P4709="Reembolso"),IF(M4709&lt;&gt;"",M4709,IFERROR(INDEX(catClasif,MATCH(D4709&amp;"|"&amp;E4709,catClave,0))&amp;"","Variable")),"")</f>
        <v/>
      </c>
      <c r="Y4709" s="52">
        <f>IF(P4709="","",IFERROR(INDEX(catGrupo,MATCH(D4709&amp;"|"&amp;E4709,catClave,0))&amp;"",""))</f>
        <v/>
      </c>
      <c r="Z4709" s="52">
        <f>IF(P4709="","",WEEKDAY(B4709,2))</f>
        <v/>
      </c>
      <c r="AA4709" s="52">
        <f>IF(P4709="","",IF(AND(P4709="Gasto",X4709="Variable",D4709&lt;&gt;catTrading,S4709&gt;0,S4709&lt;=Umbral),1,0))</f>
        <v/>
      </c>
      <c r="AB4709" s="52">
        <f>IF(OR(P4709="",Q4709=""),"",IFERROR(IF(INDEX(ctaVinc,MATCH(Q4709,ctaNombre,0))&amp;""&lt;&gt;"",INDEX(ctaVinc,MATCH(Q4709,ctaNombre,0))&amp;"",Q4709),Q4709))</f>
        <v/>
      </c>
      <c r="AC4709" s="52">
        <f>IF(OR(K4709="",AND(P4709&lt;&gt;"Transferencia",P4709&lt;&gt;"Pago tarjeta")),"",IFERROR(IF(INDEX(ctaVinc,MATCH(K4709,ctaNombre,0))&amp;""&lt;&gt;"",INDEX(ctaVinc,MATCH(K4709,ctaNombre,0))&amp;"",K4709),K4709))</f>
        <v/>
      </c>
      <c r="AD4709" s="52">
        <f>IF(AB4709="","",IFERROR(INDEX(ctaTipo,MATCH(AB4709,ctaNombre,0))&amp;"",""))</f>
        <v/>
      </c>
      <c r="AE4709" s="52">
        <f>IF(AC4709="","",IFERROR(INDEX(ctaTipo,MATCH(AC4709,ctaNombre,0))&amp;"",""))</f>
        <v/>
      </c>
      <c r="AF4709" s="53">
        <f>IF(OR(P4709="",AB4709=""),"",IF(OR(P4709="Gasto",P4709="Transferencia",P4709="Pago tarjeta"),-1,1)*IF(IFERROR(INDEX(ctaMoneda,MATCH(AB4709,ctaNombre,0))&amp;"","DOP")="USD",T4709,S4709))</f>
        <v/>
      </c>
      <c r="AG4709" s="53">
        <f>IF(AC4709="","",IF(IFERROR(INDEX(ctaMoneda,MATCH(AC4709,ctaNombre,0))&amp;"","DOP")="USD",T4709,S4709))</f>
        <v/>
      </c>
      <c r="AH4709" s="53">
        <f>IF(P4709="","",IF(AND(AD4709&lt;&gt;"",COUNTIFS(tcTipo,AD4709,tcLiq,"Sí")&gt;0),IF(OR(P4709="Gasto",P4709="Transferencia",P4709="Pago tarjeta"),-1,1)*S4709,0)+IF(AND(AE4709&lt;&gt;"",COUNTIFS(tcTipo,AE4709,tcLiq,"Sí")&gt;0),S4709,0))</f>
        <v/>
      </c>
      <c r="AI4709" s="52">
        <f>IF(OR(L4709="",P4709=""),"",IF(COUNTIFS(L$6:L4709,L4709,P$6:P4709,"?*")=1,MAX(AI$5:AI4708)+1,""))</f>
        <v/>
      </c>
    </row>
    <row r="4710">
      <c r="B4710" s="47" t="n"/>
      <c r="C4710" s="48" t="n"/>
      <c r="D4710" s="48" t="n"/>
      <c r="E4710" s="48" t="n"/>
      <c r="F4710" s="48" t="n"/>
      <c r="G4710" s="49" t="n"/>
      <c r="H4710" s="48" t="n"/>
      <c r="I4710" s="50" t="n"/>
      <c r="J4710" s="48" t="n"/>
      <c r="K4710" s="48" t="n"/>
      <c r="L4710" s="48" t="n"/>
      <c r="M4710" s="48" t="n"/>
      <c r="N4710" s="48" t="n"/>
      <c r="O4710" s="51">
        <f>IF(AND(B4710="",G4710="",C4710="",D4710="",J4710=""),"",IF(B4710="","⚠ Falta fecha",IF(G4710="","⚠ Falta monto",IF(Q4710="","⚠ Falta cuenta",IF(ISNA(MATCH(Q4710,ctaNombre,0)),"⚠ Cuenta no registrada",IF(AND(OR(P4710="Gasto",P4710="Reembolso"),D4710=""),"⚠ Falta categoría",IF(AND(D4710&lt;&gt;"",E4710&lt;&gt;"",ISNA(MATCH(D4710&amp;"|"&amp;E4710,catClave,0))),"⚠ Subcategoría no corresponde",IF(AND(OR(P4710="Transferencia",P4710="Pago tarjeta"),K4710=""),"⚠ Falta cuenta destino",IF(AND(K4710&lt;&gt;"",P4710&lt;&gt;"Transferencia",P4710&lt;&gt;"Pago tarjeta"),"⚠ Destino solo aplica a transferencias",IF(AND(K4710&lt;&gt;"",K4710=Q4710),"⚠ Origen igual a destino",IF(AND(K4710&lt;&gt;"",ISNA(MATCH(K4710,ctaNombre,0))),"⚠ Destino no registrado",IF(AND(P4710="Pago tarjeta",AE4710&lt;&gt;"Tarjeta de crédito"),"⚠ El destino debe ser tarjeta de crédito",IF(AND(P4710="Gasto",E4710="Depósitos y retiros"),"⚠ Usa tipo Transferencia",IF(AND(P4710="Resultado trading",AD4710&lt;&gt;"Cuenta de trading"),"⚠ Usa una cuenta de trading",IF(AND(G4710&lt;=0,P4710&lt;&gt;"Ajuste",P4710&lt;&gt;"Resultado trading"),"⚠ El monto debe ser positivo","✓")))))))))))))))</f>
        <v/>
      </c>
      <c r="P4710" s="52">
        <f>IF(OR(B4710="",G4710=""),"",IF(C4710="","Gasto",C4710))</f>
        <v/>
      </c>
      <c r="Q4710" s="52">
        <f>IF(P4710="","",IF(J4710&lt;&gt;"",J4710,CuentaPred&amp;""))</f>
        <v/>
      </c>
      <c r="R4710" s="52">
        <f>IF(P4710="","",IF(ISNUMBER(I4710),I4710,TasaUSD))</f>
        <v/>
      </c>
      <c r="S4710" s="53">
        <f>IF(P4710="","",IF(H4710="USD",G4710*R4710,G4710))</f>
        <v/>
      </c>
      <c r="T4710" s="53">
        <f>IF(P4710="","",IF(H4710="USD",G4710,IF(R4710&gt;0,G4710/R4710,0)))</f>
        <v/>
      </c>
      <c r="U4710" s="53">
        <f>IF(P4710="","",IF(P4710="Gasto",S4710,IF(P4710="Reembolso",-S4710,0)))</f>
        <v/>
      </c>
      <c r="V4710" s="53">
        <f>IF(P4710="","",IF(P4710="Ingreso",S4710,0))</f>
        <v/>
      </c>
      <c r="W4710" s="53">
        <f>IF(P4710="","",IF(P4710="Resultado trading",S4710,0))</f>
        <v/>
      </c>
      <c r="X4710" s="52">
        <f>IF(OR(P4710="Gasto",P4710="Reembolso"),IF(M4710&lt;&gt;"",M4710,IFERROR(INDEX(catClasif,MATCH(D4710&amp;"|"&amp;E4710,catClave,0))&amp;"","Variable")),"")</f>
        <v/>
      </c>
      <c r="Y4710" s="52">
        <f>IF(P4710="","",IFERROR(INDEX(catGrupo,MATCH(D4710&amp;"|"&amp;E4710,catClave,0))&amp;"",""))</f>
        <v/>
      </c>
      <c r="Z4710" s="52">
        <f>IF(P4710="","",WEEKDAY(B4710,2))</f>
        <v/>
      </c>
      <c r="AA4710" s="52">
        <f>IF(P4710="","",IF(AND(P4710="Gasto",X4710="Variable",D4710&lt;&gt;catTrading,S4710&gt;0,S4710&lt;=Umbral),1,0))</f>
        <v/>
      </c>
      <c r="AB4710" s="52">
        <f>IF(OR(P4710="",Q4710=""),"",IFERROR(IF(INDEX(ctaVinc,MATCH(Q4710,ctaNombre,0))&amp;""&lt;&gt;"",INDEX(ctaVinc,MATCH(Q4710,ctaNombre,0))&amp;"",Q4710),Q4710))</f>
        <v/>
      </c>
      <c r="AC4710" s="52">
        <f>IF(OR(K4710="",AND(P4710&lt;&gt;"Transferencia",P4710&lt;&gt;"Pago tarjeta")),"",IFERROR(IF(INDEX(ctaVinc,MATCH(K4710,ctaNombre,0))&amp;""&lt;&gt;"",INDEX(ctaVinc,MATCH(K4710,ctaNombre,0))&amp;"",K4710),K4710))</f>
        <v/>
      </c>
      <c r="AD4710" s="52">
        <f>IF(AB4710="","",IFERROR(INDEX(ctaTipo,MATCH(AB4710,ctaNombre,0))&amp;"",""))</f>
        <v/>
      </c>
      <c r="AE4710" s="52">
        <f>IF(AC4710="","",IFERROR(INDEX(ctaTipo,MATCH(AC4710,ctaNombre,0))&amp;"",""))</f>
        <v/>
      </c>
      <c r="AF4710" s="53">
        <f>IF(OR(P4710="",AB4710=""),"",IF(OR(P4710="Gasto",P4710="Transferencia",P4710="Pago tarjeta"),-1,1)*IF(IFERROR(INDEX(ctaMoneda,MATCH(AB4710,ctaNombre,0))&amp;"","DOP")="USD",T4710,S4710))</f>
        <v/>
      </c>
      <c r="AG4710" s="53">
        <f>IF(AC4710="","",IF(IFERROR(INDEX(ctaMoneda,MATCH(AC4710,ctaNombre,0))&amp;"","DOP")="USD",T4710,S4710))</f>
        <v/>
      </c>
      <c r="AH4710" s="53">
        <f>IF(P4710="","",IF(AND(AD4710&lt;&gt;"",COUNTIFS(tcTipo,AD4710,tcLiq,"Sí")&gt;0),IF(OR(P4710="Gasto",P4710="Transferencia",P4710="Pago tarjeta"),-1,1)*S4710,0)+IF(AND(AE4710&lt;&gt;"",COUNTIFS(tcTipo,AE4710,tcLiq,"Sí")&gt;0),S4710,0))</f>
        <v/>
      </c>
      <c r="AI4710" s="52">
        <f>IF(OR(L4710="",P4710=""),"",IF(COUNTIFS(L$6:L4710,L4710,P$6:P4710,"?*")=1,MAX(AI$5:AI4709)+1,""))</f>
        <v/>
      </c>
    </row>
    <row r="4711">
      <c r="B4711" s="47" t="n"/>
      <c r="C4711" s="48" t="n"/>
      <c r="D4711" s="48" t="n"/>
      <c r="E4711" s="48" t="n"/>
      <c r="F4711" s="48" t="n"/>
      <c r="G4711" s="49" t="n"/>
      <c r="H4711" s="48" t="n"/>
      <c r="I4711" s="50" t="n"/>
      <c r="J4711" s="48" t="n"/>
      <c r="K4711" s="48" t="n"/>
      <c r="L4711" s="48" t="n"/>
      <c r="M4711" s="48" t="n"/>
      <c r="N4711" s="48" t="n"/>
      <c r="O4711" s="51">
        <f>IF(AND(B4711="",G4711="",C4711="",D4711="",J4711=""),"",IF(B4711="","⚠ Falta fecha",IF(G4711="","⚠ Falta monto",IF(Q4711="","⚠ Falta cuenta",IF(ISNA(MATCH(Q4711,ctaNombre,0)),"⚠ Cuenta no registrada",IF(AND(OR(P4711="Gasto",P4711="Reembolso"),D4711=""),"⚠ Falta categoría",IF(AND(D4711&lt;&gt;"",E4711&lt;&gt;"",ISNA(MATCH(D4711&amp;"|"&amp;E4711,catClave,0))),"⚠ Subcategoría no corresponde",IF(AND(OR(P4711="Transferencia",P4711="Pago tarjeta"),K4711=""),"⚠ Falta cuenta destino",IF(AND(K4711&lt;&gt;"",P4711&lt;&gt;"Transferencia",P4711&lt;&gt;"Pago tarjeta"),"⚠ Destino solo aplica a transferencias",IF(AND(K4711&lt;&gt;"",K4711=Q4711),"⚠ Origen igual a destino",IF(AND(K4711&lt;&gt;"",ISNA(MATCH(K4711,ctaNombre,0))),"⚠ Destino no registrado",IF(AND(P4711="Pago tarjeta",AE4711&lt;&gt;"Tarjeta de crédito"),"⚠ El destino debe ser tarjeta de crédito",IF(AND(P4711="Gasto",E4711="Depósitos y retiros"),"⚠ Usa tipo Transferencia",IF(AND(P4711="Resultado trading",AD4711&lt;&gt;"Cuenta de trading"),"⚠ Usa una cuenta de trading",IF(AND(G4711&lt;=0,P4711&lt;&gt;"Ajuste",P4711&lt;&gt;"Resultado trading"),"⚠ El monto debe ser positivo","✓")))))))))))))))</f>
        <v/>
      </c>
      <c r="P4711" s="52">
        <f>IF(OR(B4711="",G4711=""),"",IF(C4711="","Gasto",C4711))</f>
        <v/>
      </c>
      <c r="Q4711" s="52">
        <f>IF(P4711="","",IF(J4711&lt;&gt;"",J4711,CuentaPred&amp;""))</f>
        <v/>
      </c>
      <c r="R4711" s="52">
        <f>IF(P4711="","",IF(ISNUMBER(I4711),I4711,TasaUSD))</f>
        <v/>
      </c>
      <c r="S4711" s="53">
        <f>IF(P4711="","",IF(H4711="USD",G4711*R4711,G4711))</f>
        <v/>
      </c>
      <c r="T4711" s="53">
        <f>IF(P4711="","",IF(H4711="USD",G4711,IF(R4711&gt;0,G4711/R4711,0)))</f>
        <v/>
      </c>
      <c r="U4711" s="53">
        <f>IF(P4711="","",IF(P4711="Gasto",S4711,IF(P4711="Reembolso",-S4711,0)))</f>
        <v/>
      </c>
      <c r="V4711" s="53">
        <f>IF(P4711="","",IF(P4711="Ingreso",S4711,0))</f>
        <v/>
      </c>
      <c r="W4711" s="53">
        <f>IF(P4711="","",IF(P4711="Resultado trading",S4711,0))</f>
        <v/>
      </c>
      <c r="X4711" s="52">
        <f>IF(OR(P4711="Gasto",P4711="Reembolso"),IF(M4711&lt;&gt;"",M4711,IFERROR(INDEX(catClasif,MATCH(D4711&amp;"|"&amp;E4711,catClave,0))&amp;"","Variable")),"")</f>
        <v/>
      </c>
      <c r="Y4711" s="52">
        <f>IF(P4711="","",IFERROR(INDEX(catGrupo,MATCH(D4711&amp;"|"&amp;E4711,catClave,0))&amp;"",""))</f>
        <v/>
      </c>
      <c r="Z4711" s="52">
        <f>IF(P4711="","",WEEKDAY(B4711,2))</f>
        <v/>
      </c>
      <c r="AA4711" s="52">
        <f>IF(P4711="","",IF(AND(P4711="Gasto",X4711="Variable",D4711&lt;&gt;catTrading,S4711&gt;0,S4711&lt;=Umbral),1,0))</f>
        <v/>
      </c>
      <c r="AB4711" s="52">
        <f>IF(OR(P4711="",Q4711=""),"",IFERROR(IF(INDEX(ctaVinc,MATCH(Q4711,ctaNombre,0))&amp;""&lt;&gt;"",INDEX(ctaVinc,MATCH(Q4711,ctaNombre,0))&amp;"",Q4711),Q4711))</f>
        <v/>
      </c>
      <c r="AC4711" s="52">
        <f>IF(OR(K4711="",AND(P4711&lt;&gt;"Transferencia",P4711&lt;&gt;"Pago tarjeta")),"",IFERROR(IF(INDEX(ctaVinc,MATCH(K4711,ctaNombre,0))&amp;""&lt;&gt;"",INDEX(ctaVinc,MATCH(K4711,ctaNombre,0))&amp;"",K4711),K4711))</f>
        <v/>
      </c>
      <c r="AD4711" s="52">
        <f>IF(AB4711="","",IFERROR(INDEX(ctaTipo,MATCH(AB4711,ctaNombre,0))&amp;"",""))</f>
        <v/>
      </c>
      <c r="AE4711" s="52">
        <f>IF(AC4711="","",IFERROR(INDEX(ctaTipo,MATCH(AC4711,ctaNombre,0))&amp;"",""))</f>
        <v/>
      </c>
      <c r="AF4711" s="53">
        <f>IF(OR(P4711="",AB4711=""),"",IF(OR(P4711="Gasto",P4711="Transferencia",P4711="Pago tarjeta"),-1,1)*IF(IFERROR(INDEX(ctaMoneda,MATCH(AB4711,ctaNombre,0))&amp;"","DOP")="USD",T4711,S4711))</f>
        <v/>
      </c>
      <c r="AG4711" s="53">
        <f>IF(AC4711="","",IF(IFERROR(INDEX(ctaMoneda,MATCH(AC4711,ctaNombre,0))&amp;"","DOP")="USD",T4711,S4711))</f>
        <v/>
      </c>
      <c r="AH4711" s="53">
        <f>IF(P4711="","",IF(AND(AD4711&lt;&gt;"",COUNTIFS(tcTipo,AD4711,tcLiq,"Sí")&gt;0),IF(OR(P4711="Gasto",P4711="Transferencia",P4711="Pago tarjeta"),-1,1)*S4711,0)+IF(AND(AE4711&lt;&gt;"",COUNTIFS(tcTipo,AE4711,tcLiq,"Sí")&gt;0),S4711,0))</f>
        <v/>
      </c>
      <c r="AI4711" s="52">
        <f>IF(OR(L4711="",P4711=""),"",IF(COUNTIFS(L$6:L4711,L4711,P$6:P4711,"?*")=1,MAX(AI$5:AI4710)+1,""))</f>
        <v/>
      </c>
    </row>
    <row r="4712">
      <c r="B4712" s="47" t="n"/>
      <c r="C4712" s="48" t="n"/>
      <c r="D4712" s="48" t="n"/>
      <c r="E4712" s="48" t="n"/>
      <c r="F4712" s="48" t="n"/>
      <c r="G4712" s="49" t="n"/>
      <c r="H4712" s="48" t="n"/>
      <c r="I4712" s="50" t="n"/>
      <c r="J4712" s="48" t="n"/>
      <c r="K4712" s="48" t="n"/>
      <c r="L4712" s="48" t="n"/>
      <c r="M4712" s="48" t="n"/>
      <c r="N4712" s="48" t="n"/>
      <c r="O4712" s="51">
        <f>IF(AND(B4712="",G4712="",C4712="",D4712="",J4712=""),"",IF(B4712="","⚠ Falta fecha",IF(G4712="","⚠ Falta monto",IF(Q4712="","⚠ Falta cuenta",IF(ISNA(MATCH(Q4712,ctaNombre,0)),"⚠ Cuenta no registrada",IF(AND(OR(P4712="Gasto",P4712="Reembolso"),D4712=""),"⚠ Falta categoría",IF(AND(D4712&lt;&gt;"",E4712&lt;&gt;"",ISNA(MATCH(D4712&amp;"|"&amp;E4712,catClave,0))),"⚠ Subcategoría no corresponde",IF(AND(OR(P4712="Transferencia",P4712="Pago tarjeta"),K4712=""),"⚠ Falta cuenta destino",IF(AND(K4712&lt;&gt;"",P4712&lt;&gt;"Transferencia",P4712&lt;&gt;"Pago tarjeta"),"⚠ Destino solo aplica a transferencias",IF(AND(K4712&lt;&gt;"",K4712=Q4712),"⚠ Origen igual a destino",IF(AND(K4712&lt;&gt;"",ISNA(MATCH(K4712,ctaNombre,0))),"⚠ Destino no registrado",IF(AND(P4712="Pago tarjeta",AE4712&lt;&gt;"Tarjeta de crédito"),"⚠ El destino debe ser tarjeta de crédito",IF(AND(P4712="Gasto",E4712="Depósitos y retiros"),"⚠ Usa tipo Transferencia",IF(AND(P4712="Resultado trading",AD4712&lt;&gt;"Cuenta de trading"),"⚠ Usa una cuenta de trading",IF(AND(G4712&lt;=0,P4712&lt;&gt;"Ajuste",P4712&lt;&gt;"Resultado trading"),"⚠ El monto debe ser positivo","✓")))))))))))))))</f>
        <v/>
      </c>
      <c r="P4712" s="52">
        <f>IF(OR(B4712="",G4712=""),"",IF(C4712="","Gasto",C4712))</f>
        <v/>
      </c>
      <c r="Q4712" s="52">
        <f>IF(P4712="","",IF(J4712&lt;&gt;"",J4712,CuentaPred&amp;""))</f>
        <v/>
      </c>
      <c r="R4712" s="52">
        <f>IF(P4712="","",IF(ISNUMBER(I4712),I4712,TasaUSD))</f>
        <v/>
      </c>
      <c r="S4712" s="53">
        <f>IF(P4712="","",IF(H4712="USD",G4712*R4712,G4712))</f>
        <v/>
      </c>
      <c r="T4712" s="53">
        <f>IF(P4712="","",IF(H4712="USD",G4712,IF(R4712&gt;0,G4712/R4712,0)))</f>
        <v/>
      </c>
      <c r="U4712" s="53">
        <f>IF(P4712="","",IF(P4712="Gasto",S4712,IF(P4712="Reembolso",-S4712,0)))</f>
        <v/>
      </c>
      <c r="V4712" s="53">
        <f>IF(P4712="","",IF(P4712="Ingreso",S4712,0))</f>
        <v/>
      </c>
      <c r="W4712" s="53">
        <f>IF(P4712="","",IF(P4712="Resultado trading",S4712,0))</f>
        <v/>
      </c>
      <c r="X4712" s="52">
        <f>IF(OR(P4712="Gasto",P4712="Reembolso"),IF(M4712&lt;&gt;"",M4712,IFERROR(INDEX(catClasif,MATCH(D4712&amp;"|"&amp;E4712,catClave,0))&amp;"","Variable")),"")</f>
        <v/>
      </c>
      <c r="Y4712" s="52">
        <f>IF(P4712="","",IFERROR(INDEX(catGrupo,MATCH(D4712&amp;"|"&amp;E4712,catClave,0))&amp;"",""))</f>
        <v/>
      </c>
      <c r="Z4712" s="52">
        <f>IF(P4712="","",WEEKDAY(B4712,2))</f>
        <v/>
      </c>
      <c r="AA4712" s="52">
        <f>IF(P4712="","",IF(AND(P4712="Gasto",X4712="Variable",D4712&lt;&gt;catTrading,S4712&gt;0,S4712&lt;=Umbral),1,0))</f>
        <v/>
      </c>
      <c r="AB4712" s="52">
        <f>IF(OR(P4712="",Q4712=""),"",IFERROR(IF(INDEX(ctaVinc,MATCH(Q4712,ctaNombre,0))&amp;""&lt;&gt;"",INDEX(ctaVinc,MATCH(Q4712,ctaNombre,0))&amp;"",Q4712),Q4712))</f>
        <v/>
      </c>
      <c r="AC4712" s="52">
        <f>IF(OR(K4712="",AND(P4712&lt;&gt;"Transferencia",P4712&lt;&gt;"Pago tarjeta")),"",IFERROR(IF(INDEX(ctaVinc,MATCH(K4712,ctaNombre,0))&amp;""&lt;&gt;"",INDEX(ctaVinc,MATCH(K4712,ctaNombre,0))&amp;"",K4712),K4712))</f>
        <v/>
      </c>
      <c r="AD4712" s="52">
        <f>IF(AB4712="","",IFERROR(INDEX(ctaTipo,MATCH(AB4712,ctaNombre,0))&amp;"",""))</f>
        <v/>
      </c>
      <c r="AE4712" s="52">
        <f>IF(AC4712="","",IFERROR(INDEX(ctaTipo,MATCH(AC4712,ctaNombre,0))&amp;"",""))</f>
        <v/>
      </c>
      <c r="AF4712" s="53">
        <f>IF(OR(P4712="",AB4712=""),"",IF(OR(P4712="Gasto",P4712="Transferencia",P4712="Pago tarjeta"),-1,1)*IF(IFERROR(INDEX(ctaMoneda,MATCH(AB4712,ctaNombre,0))&amp;"","DOP")="USD",T4712,S4712))</f>
        <v/>
      </c>
      <c r="AG4712" s="53">
        <f>IF(AC4712="","",IF(IFERROR(INDEX(ctaMoneda,MATCH(AC4712,ctaNombre,0))&amp;"","DOP")="USD",T4712,S4712))</f>
        <v/>
      </c>
      <c r="AH4712" s="53">
        <f>IF(P4712="","",IF(AND(AD4712&lt;&gt;"",COUNTIFS(tcTipo,AD4712,tcLiq,"Sí")&gt;0),IF(OR(P4712="Gasto",P4712="Transferencia",P4712="Pago tarjeta"),-1,1)*S4712,0)+IF(AND(AE4712&lt;&gt;"",COUNTIFS(tcTipo,AE4712,tcLiq,"Sí")&gt;0),S4712,0))</f>
        <v/>
      </c>
      <c r="AI4712" s="52">
        <f>IF(OR(L4712="",P4712=""),"",IF(COUNTIFS(L$6:L4712,L4712,P$6:P4712,"?*")=1,MAX(AI$5:AI4711)+1,""))</f>
        <v/>
      </c>
    </row>
    <row r="4713">
      <c r="B4713" s="47" t="n"/>
      <c r="C4713" s="48" t="n"/>
      <c r="D4713" s="48" t="n"/>
      <c r="E4713" s="48" t="n"/>
      <c r="F4713" s="48" t="n"/>
      <c r="G4713" s="49" t="n"/>
      <c r="H4713" s="48" t="n"/>
      <c r="I4713" s="50" t="n"/>
      <c r="J4713" s="48" t="n"/>
      <c r="K4713" s="48" t="n"/>
      <c r="L4713" s="48" t="n"/>
      <c r="M4713" s="48" t="n"/>
      <c r="N4713" s="48" t="n"/>
      <c r="O4713" s="51">
        <f>IF(AND(B4713="",G4713="",C4713="",D4713="",J4713=""),"",IF(B4713="","⚠ Falta fecha",IF(G4713="","⚠ Falta monto",IF(Q4713="","⚠ Falta cuenta",IF(ISNA(MATCH(Q4713,ctaNombre,0)),"⚠ Cuenta no registrada",IF(AND(OR(P4713="Gasto",P4713="Reembolso"),D4713=""),"⚠ Falta categoría",IF(AND(D4713&lt;&gt;"",E4713&lt;&gt;"",ISNA(MATCH(D4713&amp;"|"&amp;E4713,catClave,0))),"⚠ Subcategoría no corresponde",IF(AND(OR(P4713="Transferencia",P4713="Pago tarjeta"),K4713=""),"⚠ Falta cuenta destino",IF(AND(K4713&lt;&gt;"",P4713&lt;&gt;"Transferencia",P4713&lt;&gt;"Pago tarjeta"),"⚠ Destino solo aplica a transferencias",IF(AND(K4713&lt;&gt;"",K4713=Q4713),"⚠ Origen igual a destino",IF(AND(K4713&lt;&gt;"",ISNA(MATCH(K4713,ctaNombre,0))),"⚠ Destino no registrado",IF(AND(P4713="Pago tarjeta",AE4713&lt;&gt;"Tarjeta de crédito"),"⚠ El destino debe ser tarjeta de crédito",IF(AND(P4713="Gasto",E4713="Depósitos y retiros"),"⚠ Usa tipo Transferencia",IF(AND(P4713="Resultado trading",AD4713&lt;&gt;"Cuenta de trading"),"⚠ Usa una cuenta de trading",IF(AND(G4713&lt;=0,P4713&lt;&gt;"Ajuste",P4713&lt;&gt;"Resultado trading"),"⚠ El monto debe ser positivo","✓")))))))))))))))</f>
        <v/>
      </c>
      <c r="P4713" s="52">
        <f>IF(OR(B4713="",G4713=""),"",IF(C4713="","Gasto",C4713))</f>
        <v/>
      </c>
      <c r="Q4713" s="52">
        <f>IF(P4713="","",IF(J4713&lt;&gt;"",J4713,CuentaPred&amp;""))</f>
        <v/>
      </c>
      <c r="R4713" s="52">
        <f>IF(P4713="","",IF(ISNUMBER(I4713),I4713,TasaUSD))</f>
        <v/>
      </c>
      <c r="S4713" s="53">
        <f>IF(P4713="","",IF(H4713="USD",G4713*R4713,G4713))</f>
        <v/>
      </c>
      <c r="T4713" s="53">
        <f>IF(P4713="","",IF(H4713="USD",G4713,IF(R4713&gt;0,G4713/R4713,0)))</f>
        <v/>
      </c>
      <c r="U4713" s="53">
        <f>IF(P4713="","",IF(P4713="Gasto",S4713,IF(P4713="Reembolso",-S4713,0)))</f>
        <v/>
      </c>
      <c r="V4713" s="53">
        <f>IF(P4713="","",IF(P4713="Ingreso",S4713,0))</f>
        <v/>
      </c>
      <c r="W4713" s="53">
        <f>IF(P4713="","",IF(P4713="Resultado trading",S4713,0))</f>
        <v/>
      </c>
      <c r="X4713" s="52">
        <f>IF(OR(P4713="Gasto",P4713="Reembolso"),IF(M4713&lt;&gt;"",M4713,IFERROR(INDEX(catClasif,MATCH(D4713&amp;"|"&amp;E4713,catClave,0))&amp;"","Variable")),"")</f>
        <v/>
      </c>
      <c r="Y4713" s="52">
        <f>IF(P4713="","",IFERROR(INDEX(catGrupo,MATCH(D4713&amp;"|"&amp;E4713,catClave,0))&amp;"",""))</f>
        <v/>
      </c>
      <c r="Z4713" s="52">
        <f>IF(P4713="","",WEEKDAY(B4713,2))</f>
        <v/>
      </c>
      <c r="AA4713" s="52">
        <f>IF(P4713="","",IF(AND(P4713="Gasto",X4713="Variable",D4713&lt;&gt;catTrading,S4713&gt;0,S4713&lt;=Umbral),1,0))</f>
        <v/>
      </c>
      <c r="AB4713" s="52">
        <f>IF(OR(P4713="",Q4713=""),"",IFERROR(IF(INDEX(ctaVinc,MATCH(Q4713,ctaNombre,0))&amp;""&lt;&gt;"",INDEX(ctaVinc,MATCH(Q4713,ctaNombre,0))&amp;"",Q4713),Q4713))</f>
        <v/>
      </c>
      <c r="AC4713" s="52">
        <f>IF(OR(K4713="",AND(P4713&lt;&gt;"Transferencia",P4713&lt;&gt;"Pago tarjeta")),"",IFERROR(IF(INDEX(ctaVinc,MATCH(K4713,ctaNombre,0))&amp;""&lt;&gt;"",INDEX(ctaVinc,MATCH(K4713,ctaNombre,0))&amp;"",K4713),K4713))</f>
        <v/>
      </c>
      <c r="AD4713" s="52">
        <f>IF(AB4713="","",IFERROR(INDEX(ctaTipo,MATCH(AB4713,ctaNombre,0))&amp;"",""))</f>
        <v/>
      </c>
      <c r="AE4713" s="52">
        <f>IF(AC4713="","",IFERROR(INDEX(ctaTipo,MATCH(AC4713,ctaNombre,0))&amp;"",""))</f>
        <v/>
      </c>
      <c r="AF4713" s="53">
        <f>IF(OR(P4713="",AB4713=""),"",IF(OR(P4713="Gasto",P4713="Transferencia",P4713="Pago tarjeta"),-1,1)*IF(IFERROR(INDEX(ctaMoneda,MATCH(AB4713,ctaNombre,0))&amp;"","DOP")="USD",T4713,S4713))</f>
        <v/>
      </c>
      <c r="AG4713" s="53">
        <f>IF(AC4713="","",IF(IFERROR(INDEX(ctaMoneda,MATCH(AC4713,ctaNombre,0))&amp;"","DOP")="USD",T4713,S4713))</f>
        <v/>
      </c>
      <c r="AH4713" s="53">
        <f>IF(P4713="","",IF(AND(AD4713&lt;&gt;"",COUNTIFS(tcTipo,AD4713,tcLiq,"Sí")&gt;0),IF(OR(P4713="Gasto",P4713="Transferencia",P4713="Pago tarjeta"),-1,1)*S4713,0)+IF(AND(AE4713&lt;&gt;"",COUNTIFS(tcTipo,AE4713,tcLiq,"Sí")&gt;0),S4713,0))</f>
        <v/>
      </c>
      <c r="AI4713" s="52">
        <f>IF(OR(L4713="",P4713=""),"",IF(COUNTIFS(L$6:L4713,L4713,P$6:P4713,"?*")=1,MAX(AI$5:AI4712)+1,""))</f>
        <v/>
      </c>
    </row>
    <row r="4714">
      <c r="B4714" s="47" t="n"/>
      <c r="C4714" s="48" t="n"/>
      <c r="D4714" s="48" t="n"/>
      <c r="E4714" s="48" t="n"/>
      <c r="F4714" s="48" t="n"/>
      <c r="G4714" s="49" t="n"/>
      <c r="H4714" s="48" t="n"/>
      <c r="I4714" s="50" t="n"/>
      <c r="J4714" s="48" t="n"/>
      <c r="K4714" s="48" t="n"/>
      <c r="L4714" s="48" t="n"/>
      <c r="M4714" s="48" t="n"/>
      <c r="N4714" s="48" t="n"/>
      <c r="O4714" s="51">
        <f>IF(AND(B4714="",G4714="",C4714="",D4714="",J4714=""),"",IF(B4714="","⚠ Falta fecha",IF(G4714="","⚠ Falta monto",IF(Q4714="","⚠ Falta cuenta",IF(ISNA(MATCH(Q4714,ctaNombre,0)),"⚠ Cuenta no registrada",IF(AND(OR(P4714="Gasto",P4714="Reembolso"),D4714=""),"⚠ Falta categoría",IF(AND(D4714&lt;&gt;"",E4714&lt;&gt;"",ISNA(MATCH(D4714&amp;"|"&amp;E4714,catClave,0))),"⚠ Subcategoría no corresponde",IF(AND(OR(P4714="Transferencia",P4714="Pago tarjeta"),K4714=""),"⚠ Falta cuenta destino",IF(AND(K4714&lt;&gt;"",P4714&lt;&gt;"Transferencia",P4714&lt;&gt;"Pago tarjeta"),"⚠ Destino solo aplica a transferencias",IF(AND(K4714&lt;&gt;"",K4714=Q4714),"⚠ Origen igual a destino",IF(AND(K4714&lt;&gt;"",ISNA(MATCH(K4714,ctaNombre,0))),"⚠ Destino no registrado",IF(AND(P4714="Pago tarjeta",AE4714&lt;&gt;"Tarjeta de crédito"),"⚠ El destino debe ser tarjeta de crédito",IF(AND(P4714="Gasto",E4714="Depósitos y retiros"),"⚠ Usa tipo Transferencia",IF(AND(P4714="Resultado trading",AD4714&lt;&gt;"Cuenta de trading"),"⚠ Usa una cuenta de trading",IF(AND(G4714&lt;=0,P4714&lt;&gt;"Ajuste",P4714&lt;&gt;"Resultado trading"),"⚠ El monto debe ser positivo","✓")))))))))))))))</f>
        <v/>
      </c>
      <c r="P4714" s="52">
        <f>IF(OR(B4714="",G4714=""),"",IF(C4714="","Gasto",C4714))</f>
        <v/>
      </c>
      <c r="Q4714" s="52">
        <f>IF(P4714="","",IF(J4714&lt;&gt;"",J4714,CuentaPred&amp;""))</f>
        <v/>
      </c>
      <c r="R4714" s="52">
        <f>IF(P4714="","",IF(ISNUMBER(I4714),I4714,TasaUSD))</f>
        <v/>
      </c>
      <c r="S4714" s="53">
        <f>IF(P4714="","",IF(H4714="USD",G4714*R4714,G4714))</f>
        <v/>
      </c>
      <c r="T4714" s="53">
        <f>IF(P4714="","",IF(H4714="USD",G4714,IF(R4714&gt;0,G4714/R4714,0)))</f>
        <v/>
      </c>
      <c r="U4714" s="53">
        <f>IF(P4714="","",IF(P4714="Gasto",S4714,IF(P4714="Reembolso",-S4714,0)))</f>
        <v/>
      </c>
      <c r="V4714" s="53">
        <f>IF(P4714="","",IF(P4714="Ingreso",S4714,0))</f>
        <v/>
      </c>
      <c r="W4714" s="53">
        <f>IF(P4714="","",IF(P4714="Resultado trading",S4714,0))</f>
        <v/>
      </c>
      <c r="X4714" s="52">
        <f>IF(OR(P4714="Gasto",P4714="Reembolso"),IF(M4714&lt;&gt;"",M4714,IFERROR(INDEX(catClasif,MATCH(D4714&amp;"|"&amp;E4714,catClave,0))&amp;"","Variable")),"")</f>
        <v/>
      </c>
      <c r="Y4714" s="52">
        <f>IF(P4714="","",IFERROR(INDEX(catGrupo,MATCH(D4714&amp;"|"&amp;E4714,catClave,0))&amp;"",""))</f>
        <v/>
      </c>
      <c r="Z4714" s="52">
        <f>IF(P4714="","",WEEKDAY(B4714,2))</f>
        <v/>
      </c>
      <c r="AA4714" s="52">
        <f>IF(P4714="","",IF(AND(P4714="Gasto",X4714="Variable",D4714&lt;&gt;catTrading,S4714&gt;0,S4714&lt;=Umbral),1,0))</f>
        <v/>
      </c>
      <c r="AB4714" s="52">
        <f>IF(OR(P4714="",Q4714=""),"",IFERROR(IF(INDEX(ctaVinc,MATCH(Q4714,ctaNombre,0))&amp;""&lt;&gt;"",INDEX(ctaVinc,MATCH(Q4714,ctaNombre,0))&amp;"",Q4714),Q4714))</f>
        <v/>
      </c>
      <c r="AC4714" s="52">
        <f>IF(OR(K4714="",AND(P4714&lt;&gt;"Transferencia",P4714&lt;&gt;"Pago tarjeta")),"",IFERROR(IF(INDEX(ctaVinc,MATCH(K4714,ctaNombre,0))&amp;""&lt;&gt;"",INDEX(ctaVinc,MATCH(K4714,ctaNombre,0))&amp;"",K4714),K4714))</f>
        <v/>
      </c>
      <c r="AD4714" s="52">
        <f>IF(AB4714="","",IFERROR(INDEX(ctaTipo,MATCH(AB4714,ctaNombre,0))&amp;"",""))</f>
        <v/>
      </c>
      <c r="AE4714" s="52">
        <f>IF(AC4714="","",IFERROR(INDEX(ctaTipo,MATCH(AC4714,ctaNombre,0))&amp;"",""))</f>
        <v/>
      </c>
      <c r="AF4714" s="53">
        <f>IF(OR(P4714="",AB4714=""),"",IF(OR(P4714="Gasto",P4714="Transferencia",P4714="Pago tarjeta"),-1,1)*IF(IFERROR(INDEX(ctaMoneda,MATCH(AB4714,ctaNombre,0))&amp;"","DOP")="USD",T4714,S4714))</f>
        <v/>
      </c>
      <c r="AG4714" s="53">
        <f>IF(AC4714="","",IF(IFERROR(INDEX(ctaMoneda,MATCH(AC4714,ctaNombre,0))&amp;"","DOP")="USD",T4714,S4714))</f>
        <v/>
      </c>
      <c r="AH4714" s="53">
        <f>IF(P4714="","",IF(AND(AD4714&lt;&gt;"",COUNTIFS(tcTipo,AD4714,tcLiq,"Sí")&gt;0),IF(OR(P4714="Gasto",P4714="Transferencia",P4714="Pago tarjeta"),-1,1)*S4714,0)+IF(AND(AE4714&lt;&gt;"",COUNTIFS(tcTipo,AE4714,tcLiq,"Sí")&gt;0),S4714,0))</f>
        <v/>
      </c>
      <c r="AI4714" s="52">
        <f>IF(OR(L4714="",P4714=""),"",IF(COUNTIFS(L$6:L4714,L4714,P$6:P4714,"?*")=1,MAX(AI$5:AI4713)+1,""))</f>
        <v/>
      </c>
    </row>
    <row r="4715">
      <c r="B4715" s="47" t="n"/>
      <c r="C4715" s="48" t="n"/>
      <c r="D4715" s="48" t="n"/>
      <c r="E4715" s="48" t="n"/>
      <c r="F4715" s="48" t="n"/>
      <c r="G4715" s="49" t="n"/>
      <c r="H4715" s="48" t="n"/>
      <c r="I4715" s="50" t="n"/>
      <c r="J4715" s="48" t="n"/>
      <c r="K4715" s="48" t="n"/>
      <c r="L4715" s="48" t="n"/>
      <c r="M4715" s="48" t="n"/>
      <c r="N4715" s="48" t="n"/>
      <c r="O4715" s="51">
        <f>IF(AND(B4715="",G4715="",C4715="",D4715="",J4715=""),"",IF(B4715="","⚠ Falta fecha",IF(G4715="","⚠ Falta monto",IF(Q4715="","⚠ Falta cuenta",IF(ISNA(MATCH(Q4715,ctaNombre,0)),"⚠ Cuenta no registrada",IF(AND(OR(P4715="Gasto",P4715="Reembolso"),D4715=""),"⚠ Falta categoría",IF(AND(D4715&lt;&gt;"",E4715&lt;&gt;"",ISNA(MATCH(D4715&amp;"|"&amp;E4715,catClave,0))),"⚠ Subcategoría no corresponde",IF(AND(OR(P4715="Transferencia",P4715="Pago tarjeta"),K4715=""),"⚠ Falta cuenta destino",IF(AND(K4715&lt;&gt;"",P4715&lt;&gt;"Transferencia",P4715&lt;&gt;"Pago tarjeta"),"⚠ Destino solo aplica a transferencias",IF(AND(K4715&lt;&gt;"",K4715=Q4715),"⚠ Origen igual a destino",IF(AND(K4715&lt;&gt;"",ISNA(MATCH(K4715,ctaNombre,0))),"⚠ Destino no registrado",IF(AND(P4715="Pago tarjeta",AE4715&lt;&gt;"Tarjeta de crédito"),"⚠ El destino debe ser tarjeta de crédito",IF(AND(P4715="Gasto",E4715="Depósitos y retiros"),"⚠ Usa tipo Transferencia",IF(AND(P4715="Resultado trading",AD4715&lt;&gt;"Cuenta de trading"),"⚠ Usa una cuenta de trading",IF(AND(G4715&lt;=0,P4715&lt;&gt;"Ajuste",P4715&lt;&gt;"Resultado trading"),"⚠ El monto debe ser positivo","✓")))))))))))))))</f>
        <v/>
      </c>
      <c r="P4715" s="52">
        <f>IF(OR(B4715="",G4715=""),"",IF(C4715="","Gasto",C4715))</f>
        <v/>
      </c>
      <c r="Q4715" s="52">
        <f>IF(P4715="","",IF(J4715&lt;&gt;"",J4715,CuentaPred&amp;""))</f>
        <v/>
      </c>
      <c r="R4715" s="52">
        <f>IF(P4715="","",IF(ISNUMBER(I4715),I4715,TasaUSD))</f>
        <v/>
      </c>
      <c r="S4715" s="53">
        <f>IF(P4715="","",IF(H4715="USD",G4715*R4715,G4715))</f>
        <v/>
      </c>
      <c r="T4715" s="53">
        <f>IF(P4715="","",IF(H4715="USD",G4715,IF(R4715&gt;0,G4715/R4715,0)))</f>
        <v/>
      </c>
      <c r="U4715" s="53">
        <f>IF(P4715="","",IF(P4715="Gasto",S4715,IF(P4715="Reembolso",-S4715,0)))</f>
        <v/>
      </c>
      <c r="V4715" s="53">
        <f>IF(P4715="","",IF(P4715="Ingreso",S4715,0))</f>
        <v/>
      </c>
      <c r="W4715" s="53">
        <f>IF(P4715="","",IF(P4715="Resultado trading",S4715,0))</f>
        <v/>
      </c>
      <c r="X4715" s="52">
        <f>IF(OR(P4715="Gasto",P4715="Reembolso"),IF(M4715&lt;&gt;"",M4715,IFERROR(INDEX(catClasif,MATCH(D4715&amp;"|"&amp;E4715,catClave,0))&amp;"","Variable")),"")</f>
        <v/>
      </c>
      <c r="Y4715" s="52">
        <f>IF(P4715="","",IFERROR(INDEX(catGrupo,MATCH(D4715&amp;"|"&amp;E4715,catClave,0))&amp;"",""))</f>
        <v/>
      </c>
      <c r="Z4715" s="52">
        <f>IF(P4715="","",WEEKDAY(B4715,2))</f>
        <v/>
      </c>
      <c r="AA4715" s="52">
        <f>IF(P4715="","",IF(AND(P4715="Gasto",X4715="Variable",D4715&lt;&gt;catTrading,S4715&gt;0,S4715&lt;=Umbral),1,0))</f>
        <v/>
      </c>
      <c r="AB4715" s="52">
        <f>IF(OR(P4715="",Q4715=""),"",IFERROR(IF(INDEX(ctaVinc,MATCH(Q4715,ctaNombre,0))&amp;""&lt;&gt;"",INDEX(ctaVinc,MATCH(Q4715,ctaNombre,0))&amp;"",Q4715),Q4715))</f>
        <v/>
      </c>
      <c r="AC4715" s="52">
        <f>IF(OR(K4715="",AND(P4715&lt;&gt;"Transferencia",P4715&lt;&gt;"Pago tarjeta")),"",IFERROR(IF(INDEX(ctaVinc,MATCH(K4715,ctaNombre,0))&amp;""&lt;&gt;"",INDEX(ctaVinc,MATCH(K4715,ctaNombre,0))&amp;"",K4715),K4715))</f>
        <v/>
      </c>
      <c r="AD4715" s="52">
        <f>IF(AB4715="","",IFERROR(INDEX(ctaTipo,MATCH(AB4715,ctaNombre,0))&amp;"",""))</f>
        <v/>
      </c>
      <c r="AE4715" s="52">
        <f>IF(AC4715="","",IFERROR(INDEX(ctaTipo,MATCH(AC4715,ctaNombre,0))&amp;"",""))</f>
        <v/>
      </c>
      <c r="AF4715" s="53">
        <f>IF(OR(P4715="",AB4715=""),"",IF(OR(P4715="Gasto",P4715="Transferencia",P4715="Pago tarjeta"),-1,1)*IF(IFERROR(INDEX(ctaMoneda,MATCH(AB4715,ctaNombre,0))&amp;"","DOP")="USD",T4715,S4715))</f>
        <v/>
      </c>
      <c r="AG4715" s="53">
        <f>IF(AC4715="","",IF(IFERROR(INDEX(ctaMoneda,MATCH(AC4715,ctaNombre,0))&amp;"","DOP")="USD",T4715,S4715))</f>
        <v/>
      </c>
      <c r="AH4715" s="53">
        <f>IF(P4715="","",IF(AND(AD4715&lt;&gt;"",COUNTIFS(tcTipo,AD4715,tcLiq,"Sí")&gt;0),IF(OR(P4715="Gasto",P4715="Transferencia",P4715="Pago tarjeta"),-1,1)*S4715,0)+IF(AND(AE4715&lt;&gt;"",COUNTIFS(tcTipo,AE4715,tcLiq,"Sí")&gt;0),S4715,0))</f>
        <v/>
      </c>
      <c r="AI4715" s="52">
        <f>IF(OR(L4715="",P4715=""),"",IF(COUNTIFS(L$6:L4715,L4715,P$6:P4715,"?*")=1,MAX(AI$5:AI4714)+1,""))</f>
        <v/>
      </c>
    </row>
    <row r="4716">
      <c r="B4716" s="47" t="n"/>
      <c r="C4716" s="48" t="n"/>
      <c r="D4716" s="48" t="n"/>
      <c r="E4716" s="48" t="n"/>
      <c r="F4716" s="48" t="n"/>
      <c r="G4716" s="49" t="n"/>
      <c r="H4716" s="48" t="n"/>
      <c r="I4716" s="50" t="n"/>
      <c r="J4716" s="48" t="n"/>
      <c r="K4716" s="48" t="n"/>
      <c r="L4716" s="48" t="n"/>
      <c r="M4716" s="48" t="n"/>
      <c r="N4716" s="48" t="n"/>
      <c r="O4716" s="51">
        <f>IF(AND(B4716="",G4716="",C4716="",D4716="",J4716=""),"",IF(B4716="","⚠ Falta fecha",IF(G4716="","⚠ Falta monto",IF(Q4716="","⚠ Falta cuenta",IF(ISNA(MATCH(Q4716,ctaNombre,0)),"⚠ Cuenta no registrada",IF(AND(OR(P4716="Gasto",P4716="Reembolso"),D4716=""),"⚠ Falta categoría",IF(AND(D4716&lt;&gt;"",E4716&lt;&gt;"",ISNA(MATCH(D4716&amp;"|"&amp;E4716,catClave,0))),"⚠ Subcategoría no corresponde",IF(AND(OR(P4716="Transferencia",P4716="Pago tarjeta"),K4716=""),"⚠ Falta cuenta destino",IF(AND(K4716&lt;&gt;"",P4716&lt;&gt;"Transferencia",P4716&lt;&gt;"Pago tarjeta"),"⚠ Destino solo aplica a transferencias",IF(AND(K4716&lt;&gt;"",K4716=Q4716),"⚠ Origen igual a destino",IF(AND(K4716&lt;&gt;"",ISNA(MATCH(K4716,ctaNombre,0))),"⚠ Destino no registrado",IF(AND(P4716="Pago tarjeta",AE4716&lt;&gt;"Tarjeta de crédito"),"⚠ El destino debe ser tarjeta de crédito",IF(AND(P4716="Gasto",E4716="Depósitos y retiros"),"⚠ Usa tipo Transferencia",IF(AND(P4716="Resultado trading",AD4716&lt;&gt;"Cuenta de trading"),"⚠ Usa una cuenta de trading",IF(AND(G4716&lt;=0,P4716&lt;&gt;"Ajuste",P4716&lt;&gt;"Resultado trading"),"⚠ El monto debe ser positivo","✓")))))))))))))))</f>
        <v/>
      </c>
      <c r="P4716" s="52">
        <f>IF(OR(B4716="",G4716=""),"",IF(C4716="","Gasto",C4716))</f>
        <v/>
      </c>
      <c r="Q4716" s="52">
        <f>IF(P4716="","",IF(J4716&lt;&gt;"",J4716,CuentaPred&amp;""))</f>
        <v/>
      </c>
      <c r="R4716" s="52">
        <f>IF(P4716="","",IF(ISNUMBER(I4716),I4716,TasaUSD))</f>
        <v/>
      </c>
      <c r="S4716" s="53">
        <f>IF(P4716="","",IF(H4716="USD",G4716*R4716,G4716))</f>
        <v/>
      </c>
      <c r="T4716" s="53">
        <f>IF(P4716="","",IF(H4716="USD",G4716,IF(R4716&gt;0,G4716/R4716,0)))</f>
        <v/>
      </c>
      <c r="U4716" s="53">
        <f>IF(P4716="","",IF(P4716="Gasto",S4716,IF(P4716="Reembolso",-S4716,0)))</f>
        <v/>
      </c>
      <c r="V4716" s="53">
        <f>IF(P4716="","",IF(P4716="Ingreso",S4716,0))</f>
        <v/>
      </c>
      <c r="W4716" s="53">
        <f>IF(P4716="","",IF(P4716="Resultado trading",S4716,0))</f>
        <v/>
      </c>
      <c r="X4716" s="52">
        <f>IF(OR(P4716="Gasto",P4716="Reembolso"),IF(M4716&lt;&gt;"",M4716,IFERROR(INDEX(catClasif,MATCH(D4716&amp;"|"&amp;E4716,catClave,0))&amp;"","Variable")),"")</f>
        <v/>
      </c>
      <c r="Y4716" s="52">
        <f>IF(P4716="","",IFERROR(INDEX(catGrupo,MATCH(D4716&amp;"|"&amp;E4716,catClave,0))&amp;"",""))</f>
        <v/>
      </c>
      <c r="Z4716" s="52">
        <f>IF(P4716="","",WEEKDAY(B4716,2))</f>
        <v/>
      </c>
      <c r="AA4716" s="52">
        <f>IF(P4716="","",IF(AND(P4716="Gasto",X4716="Variable",D4716&lt;&gt;catTrading,S4716&gt;0,S4716&lt;=Umbral),1,0))</f>
        <v/>
      </c>
      <c r="AB4716" s="52">
        <f>IF(OR(P4716="",Q4716=""),"",IFERROR(IF(INDEX(ctaVinc,MATCH(Q4716,ctaNombre,0))&amp;""&lt;&gt;"",INDEX(ctaVinc,MATCH(Q4716,ctaNombre,0))&amp;"",Q4716),Q4716))</f>
        <v/>
      </c>
      <c r="AC4716" s="52">
        <f>IF(OR(K4716="",AND(P4716&lt;&gt;"Transferencia",P4716&lt;&gt;"Pago tarjeta")),"",IFERROR(IF(INDEX(ctaVinc,MATCH(K4716,ctaNombre,0))&amp;""&lt;&gt;"",INDEX(ctaVinc,MATCH(K4716,ctaNombre,0))&amp;"",K4716),K4716))</f>
        <v/>
      </c>
      <c r="AD4716" s="52">
        <f>IF(AB4716="","",IFERROR(INDEX(ctaTipo,MATCH(AB4716,ctaNombre,0))&amp;"",""))</f>
        <v/>
      </c>
      <c r="AE4716" s="52">
        <f>IF(AC4716="","",IFERROR(INDEX(ctaTipo,MATCH(AC4716,ctaNombre,0))&amp;"",""))</f>
        <v/>
      </c>
      <c r="AF4716" s="53">
        <f>IF(OR(P4716="",AB4716=""),"",IF(OR(P4716="Gasto",P4716="Transferencia",P4716="Pago tarjeta"),-1,1)*IF(IFERROR(INDEX(ctaMoneda,MATCH(AB4716,ctaNombre,0))&amp;"","DOP")="USD",T4716,S4716))</f>
        <v/>
      </c>
      <c r="AG4716" s="53">
        <f>IF(AC4716="","",IF(IFERROR(INDEX(ctaMoneda,MATCH(AC4716,ctaNombre,0))&amp;"","DOP")="USD",T4716,S4716))</f>
        <v/>
      </c>
      <c r="AH4716" s="53">
        <f>IF(P4716="","",IF(AND(AD4716&lt;&gt;"",COUNTIFS(tcTipo,AD4716,tcLiq,"Sí")&gt;0),IF(OR(P4716="Gasto",P4716="Transferencia",P4716="Pago tarjeta"),-1,1)*S4716,0)+IF(AND(AE4716&lt;&gt;"",COUNTIFS(tcTipo,AE4716,tcLiq,"Sí")&gt;0),S4716,0))</f>
        <v/>
      </c>
      <c r="AI4716" s="52">
        <f>IF(OR(L4716="",P4716=""),"",IF(COUNTIFS(L$6:L4716,L4716,P$6:P4716,"?*")=1,MAX(AI$5:AI4715)+1,""))</f>
        <v/>
      </c>
    </row>
    <row r="4717">
      <c r="B4717" s="47" t="n"/>
      <c r="C4717" s="48" t="n"/>
      <c r="D4717" s="48" t="n"/>
      <c r="E4717" s="48" t="n"/>
      <c r="F4717" s="48" t="n"/>
      <c r="G4717" s="49" t="n"/>
      <c r="H4717" s="48" t="n"/>
      <c r="I4717" s="50" t="n"/>
      <c r="J4717" s="48" t="n"/>
      <c r="K4717" s="48" t="n"/>
      <c r="L4717" s="48" t="n"/>
      <c r="M4717" s="48" t="n"/>
      <c r="N4717" s="48" t="n"/>
      <c r="O4717" s="51">
        <f>IF(AND(B4717="",G4717="",C4717="",D4717="",J4717=""),"",IF(B4717="","⚠ Falta fecha",IF(G4717="","⚠ Falta monto",IF(Q4717="","⚠ Falta cuenta",IF(ISNA(MATCH(Q4717,ctaNombre,0)),"⚠ Cuenta no registrada",IF(AND(OR(P4717="Gasto",P4717="Reembolso"),D4717=""),"⚠ Falta categoría",IF(AND(D4717&lt;&gt;"",E4717&lt;&gt;"",ISNA(MATCH(D4717&amp;"|"&amp;E4717,catClave,0))),"⚠ Subcategoría no corresponde",IF(AND(OR(P4717="Transferencia",P4717="Pago tarjeta"),K4717=""),"⚠ Falta cuenta destino",IF(AND(K4717&lt;&gt;"",P4717&lt;&gt;"Transferencia",P4717&lt;&gt;"Pago tarjeta"),"⚠ Destino solo aplica a transferencias",IF(AND(K4717&lt;&gt;"",K4717=Q4717),"⚠ Origen igual a destino",IF(AND(K4717&lt;&gt;"",ISNA(MATCH(K4717,ctaNombre,0))),"⚠ Destino no registrado",IF(AND(P4717="Pago tarjeta",AE4717&lt;&gt;"Tarjeta de crédito"),"⚠ El destino debe ser tarjeta de crédito",IF(AND(P4717="Gasto",E4717="Depósitos y retiros"),"⚠ Usa tipo Transferencia",IF(AND(P4717="Resultado trading",AD4717&lt;&gt;"Cuenta de trading"),"⚠ Usa una cuenta de trading",IF(AND(G4717&lt;=0,P4717&lt;&gt;"Ajuste",P4717&lt;&gt;"Resultado trading"),"⚠ El monto debe ser positivo","✓")))))))))))))))</f>
        <v/>
      </c>
      <c r="P4717" s="52">
        <f>IF(OR(B4717="",G4717=""),"",IF(C4717="","Gasto",C4717))</f>
        <v/>
      </c>
      <c r="Q4717" s="52">
        <f>IF(P4717="","",IF(J4717&lt;&gt;"",J4717,CuentaPred&amp;""))</f>
        <v/>
      </c>
      <c r="R4717" s="52">
        <f>IF(P4717="","",IF(ISNUMBER(I4717),I4717,TasaUSD))</f>
        <v/>
      </c>
      <c r="S4717" s="53">
        <f>IF(P4717="","",IF(H4717="USD",G4717*R4717,G4717))</f>
        <v/>
      </c>
      <c r="T4717" s="53">
        <f>IF(P4717="","",IF(H4717="USD",G4717,IF(R4717&gt;0,G4717/R4717,0)))</f>
        <v/>
      </c>
      <c r="U4717" s="53">
        <f>IF(P4717="","",IF(P4717="Gasto",S4717,IF(P4717="Reembolso",-S4717,0)))</f>
        <v/>
      </c>
      <c r="V4717" s="53">
        <f>IF(P4717="","",IF(P4717="Ingreso",S4717,0))</f>
        <v/>
      </c>
      <c r="W4717" s="53">
        <f>IF(P4717="","",IF(P4717="Resultado trading",S4717,0))</f>
        <v/>
      </c>
      <c r="X4717" s="52">
        <f>IF(OR(P4717="Gasto",P4717="Reembolso"),IF(M4717&lt;&gt;"",M4717,IFERROR(INDEX(catClasif,MATCH(D4717&amp;"|"&amp;E4717,catClave,0))&amp;"","Variable")),"")</f>
        <v/>
      </c>
      <c r="Y4717" s="52">
        <f>IF(P4717="","",IFERROR(INDEX(catGrupo,MATCH(D4717&amp;"|"&amp;E4717,catClave,0))&amp;"",""))</f>
        <v/>
      </c>
      <c r="Z4717" s="52">
        <f>IF(P4717="","",WEEKDAY(B4717,2))</f>
        <v/>
      </c>
      <c r="AA4717" s="52">
        <f>IF(P4717="","",IF(AND(P4717="Gasto",X4717="Variable",D4717&lt;&gt;catTrading,S4717&gt;0,S4717&lt;=Umbral),1,0))</f>
        <v/>
      </c>
      <c r="AB4717" s="52">
        <f>IF(OR(P4717="",Q4717=""),"",IFERROR(IF(INDEX(ctaVinc,MATCH(Q4717,ctaNombre,0))&amp;""&lt;&gt;"",INDEX(ctaVinc,MATCH(Q4717,ctaNombre,0))&amp;"",Q4717),Q4717))</f>
        <v/>
      </c>
      <c r="AC4717" s="52">
        <f>IF(OR(K4717="",AND(P4717&lt;&gt;"Transferencia",P4717&lt;&gt;"Pago tarjeta")),"",IFERROR(IF(INDEX(ctaVinc,MATCH(K4717,ctaNombre,0))&amp;""&lt;&gt;"",INDEX(ctaVinc,MATCH(K4717,ctaNombre,0))&amp;"",K4717),K4717))</f>
        <v/>
      </c>
      <c r="AD4717" s="52">
        <f>IF(AB4717="","",IFERROR(INDEX(ctaTipo,MATCH(AB4717,ctaNombre,0))&amp;"",""))</f>
        <v/>
      </c>
      <c r="AE4717" s="52">
        <f>IF(AC4717="","",IFERROR(INDEX(ctaTipo,MATCH(AC4717,ctaNombre,0))&amp;"",""))</f>
        <v/>
      </c>
      <c r="AF4717" s="53">
        <f>IF(OR(P4717="",AB4717=""),"",IF(OR(P4717="Gasto",P4717="Transferencia",P4717="Pago tarjeta"),-1,1)*IF(IFERROR(INDEX(ctaMoneda,MATCH(AB4717,ctaNombre,0))&amp;"","DOP")="USD",T4717,S4717))</f>
        <v/>
      </c>
      <c r="AG4717" s="53">
        <f>IF(AC4717="","",IF(IFERROR(INDEX(ctaMoneda,MATCH(AC4717,ctaNombre,0))&amp;"","DOP")="USD",T4717,S4717))</f>
        <v/>
      </c>
      <c r="AH4717" s="53">
        <f>IF(P4717="","",IF(AND(AD4717&lt;&gt;"",COUNTIFS(tcTipo,AD4717,tcLiq,"Sí")&gt;0),IF(OR(P4717="Gasto",P4717="Transferencia",P4717="Pago tarjeta"),-1,1)*S4717,0)+IF(AND(AE4717&lt;&gt;"",COUNTIFS(tcTipo,AE4717,tcLiq,"Sí")&gt;0),S4717,0))</f>
        <v/>
      </c>
      <c r="AI4717" s="52">
        <f>IF(OR(L4717="",P4717=""),"",IF(COUNTIFS(L$6:L4717,L4717,P$6:P4717,"?*")=1,MAX(AI$5:AI4716)+1,""))</f>
        <v/>
      </c>
    </row>
    <row r="4718">
      <c r="B4718" s="47" t="n"/>
      <c r="C4718" s="48" t="n"/>
      <c r="D4718" s="48" t="n"/>
      <c r="E4718" s="48" t="n"/>
      <c r="F4718" s="48" t="n"/>
      <c r="G4718" s="49" t="n"/>
      <c r="H4718" s="48" t="n"/>
      <c r="I4718" s="50" t="n"/>
      <c r="J4718" s="48" t="n"/>
      <c r="K4718" s="48" t="n"/>
      <c r="L4718" s="48" t="n"/>
      <c r="M4718" s="48" t="n"/>
      <c r="N4718" s="48" t="n"/>
      <c r="O4718" s="51">
        <f>IF(AND(B4718="",G4718="",C4718="",D4718="",J4718=""),"",IF(B4718="","⚠ Falta fecha",IF(G4718="","⚠ Falta monto",IF(Q4718="","⚠ Falta cuenta",IF(ISNA(MATCH(Q4718,ctaNombre,0)),"⚠ Cuenta no registrada",IF(AND(OR(P4718="Gasto",P4718="Reembolso"),D4718=""),"⚠ Falta categoría",IF(AND(D4718&lt;&gt;"",E4718&lt;&gt;"",ISNA(MATCH(D4718&amp;"|"&amp;E4718,catClave,0))),"⚠ Subcategoría no corresponde",IF(AND(OR(P4718="Transferencia",P4718="Pago tarjeta"),K4718=""),"⚠ Falta cuenta destino",IF(AND(K4718&lt;&gt;"",P4718&lt;&gt;"Transferencia",P4718&lt;&gt;"Pago tarjeta"),"⚠ Destino solo aplica a transferencias",IF(AND(K4718&lt;&gt;"",K4718=Q4718),"⚠ Origen igual a destino",IF(AND(K4718&lt;&gt;"",ISNA(MATCH(K4718,ctaNombre,0))),"⚠ Destino no registrado",IF(AND(P4718="Pago tarjeta",AE4718&lt;&gt;"Tarjeta de crédito"),"⚠ El destino debe ser tarjeta de crédito",IF(AND(P4718="Gasto",E4718="Depósitos y retiros"),"⚠ Usa tipo Transferencia",IF(AND(P4718="Resultado trading",AD4718&lt;&gt;"Cuenta de trading"),"⚠ Usa una cuenta de trading",IF(AND(G4718&lt;=0,P4718&lt;&gt;"Ajuste",P4718&lt;&gt;"Resultado trading"),"⚠ El monto debe ser positivo","✓")))))))))))))))</f>
        <v/>
      </c>
      <c r="P4718" s="52">
        <f>IF(OR(B4718="",G4718=""),"",IF(C4718="","Gasto",C4718))</f>
        <v/>
      </c>
      <c r="Q4718" s="52">
        <f>IF(P4718="","",IF(J4718&lt;&gt;"",J4718,CuentaPred&amp;""))</f>
        <v/>
      </c>
      <c r="R4718" s="52">
        <f>IF(P4718="","",IF(ISNUMBER(I4718),I4718,TasaUSD))</f>
        <v/>
      </c>
      <c r="S4718" s="53">
        <f>IF(P4718="","",IF(H4718="USD",G4718*R4718,G4718))</f>
        <v/>
      </c>
      <c r="T4718" s="53">
        <f>IF(P4718="","",IF(H4718="USD",G4718,IF(R4718&gt;0,G4718/R4718,0)))</f>
        <v/>
      </c>
      <c r="U4718" s="53">
        <f>IF(P4718="","",IF(P4718="Gasto",S4718,IF(P4718="Reembolso",-S4718,0)))</f>
        <v/>
      </c>
      <c r="V4718" s="53">
        <f>IF(P4718="","",IF(P4718="Ingreso",S4718,0))</f>
        <v/>
      </c>
      <c r="W4718" s="53">
        <f>IF(P4718="","",IF(P4718="Resultado trading",S4718,0))</f>
        <v/>
      </c>
      <c r="X4718" s="52">
        <f>IF(OR(P4718="Gasto",P4718="Reembolso"),IF(M4718&lt;&gt;"",M4718,IFERROR(INDEX(catClasif,MATCH(D4718&amp;"|"&amp;E4718,catClave,0))&amp;"","Variable")),"")</f>
        <v/>
      </c>
      <c r="Y4718" s="52">
        <f>IF(P4718="","",IFERROR(INDEX(catGrupo,MATCH(D4718&amp;"|"&amp;E4718,catClave,0))&amp;"",""))</f>
        <v/>
      </c>
      <c r="Z4718" s="52">
        <f>IF(P4718="","",WEEKDAY(B4718,2))</f>
        <v/>
      </c>
      <c r="AA4718" s="52">
        <f>IF(P4718="","",IF(AND(P4718="Gasto",X4718="Variable",D4718&lt;&gt;catTrading,S4718&gt;0,S4718&lt;=Umbral),1,0))</f>
        <v/>
      </c>
      <c r="AB4718" s="52">
        <f>IF(OR(P4718="",Q4718=""),"",IFERROR(IF(INDEX(ctaVinc,MATCH(Q4718,ctaNombre,0))&amp;""&lt;&gt;"",INDEX(ctaVinc,MATCH(Q4718,ctaNombre,0))&amp;"",Q4718),Q4718))</f>
        <v/>
      </c>
      <c r="AC4718" s="52">
        <f>IF(OR(K4718="",AND(P4718&lt;&gt;"Transferencia",P4718&lt;&gt;"Pago tarjeta")),"",IFERROR(IF(INDEX(ctaVinc,MATCH(K4718,ctaNombre,0))&amp;""&lt;&gt;"",INDEX(ctaVinc,MATCH(K4718,ctaNombre,0))&amp;"",K4718),K4718))</f>
        <v/>
      </c>
      <c r="AD4718" s="52">
        <f>IF(AB4718="","",IFERROR(INDEX(ctaTipo,MATCH(AB4718,ctaNombre,0))&amp;"",""))</f>
        <v/>
      </c>
      <c r="AE4718" s="52">
        <f>IF(AC4718="","",IFERROR(INDEX(ctaTipo,MATCH(AC4718,ctaNombre,0))&amp;"",""))</f>
        <v/>
      </c>
      <c r="AF4718" s="53">
        <f>IF(OR(P4718="",AB4718=""),"",IF(OR(P4718="Gasto",P4718="Transferencia",P4718="Pago tarjeta"),-1,1)*IF(IFERROR(INDEX(ctaMoneda,MATCH(AB4718,ctaNombre,0))&amp;"","DOP")="USD",T4718,S4718))</f>
        <v/>
      </c>
      <c r="AG4718" s="53">
        <f>IF(AC4718="","",IF(IFERROR(INDEX(ctaMoneda,MATCH(AC4718,ctaNombre,0))&amp;"","DOP")="USD",T4718,S4718))</f>
        <v/>
      </c>
      <c r="AH4718" s="53">
        <f>IF(P4718="","",IF(AND(AD4718&lt;&gt;"",COUNTIFS(tcTipo,AD4718,tcLiq,"Sí")&gt;0),IF(OR(P4718="Gasto",P4718="Transferencia",P4718="Pago tarjeta"),-1,1)*S4718,0)+IF(AND(AE4718&lt;&gt;"",COUNTIFS(tcTipo,AE4718,tcLiq,"Sí")&gt;0),S4718,0))</f>
        <v/>
      </c>
      <c r="AI4718" s="52">
        <f>IF(OR(L4718="",P4718=""),"",IF(COUNTIFS(L$6:L4718,L4718,P$6:P4718,"?*")=1,MAX(AI$5:AI4717)+1,""))</f>
        <v/>
      </c>
    </row>
    <row r="4719">
      <c r="B4719" s="47" t="n"/>
      <c r="C4719" s="48" t="n"/>
      <c r="D4719" s="48" t="n"/>
      <c r="E4719" s="48" t="n"/>
      <c r="F4719" s="48" t="n"/>
      <c r="G4719" s="49" t="n"/>
      <c r="H4719" s="48" t="n"/>
      <c r="I4719" s="50" t="n"/>
      <c r="J4719" s="48" t="n"/>
      <c r="K4719" s="48" t="n"/>
      <c r="L4719" s="48" t="n"/>
      <c r="M4719" s="48" t="n"/>
      <c r="N4719" s="48" t="n"/>
      <c r="O4719" s="51">
        <f>IF(AND(B4719="",G4719="",C4719="",D4719="",J4719=""),"",IF(B4719="","⚠ Falta fecha",IF(G4719="","⚠ Falta monto",IF(Q4719="","⚠ Falta cuenta",IF(ISNA(MATCH(Q4719,ctaNombre,0)),"⚠ Cuenta no registrada",IF(AND(OR(P4719="Gasto",P4719="Reembolso"),D4719=""),"⚠ Falta categoría",IF(AND(D4719&lt;&gt;"",E4719&lt;&gt;"",ISNA(MATCH(D4719&amp;"|"&amp;E4719,catClave,0))),"⚠ Subcategoría no corresponde",IF(AND(OR(P4719="Transferencia",P4719="Pago tarjeta"),K4719=""),"⚠ Falta cuenta destino",IF(AND(K4719&lt;&gt;"",P4719&lt;&gt;"Transferencia",P4719&lt;&gt;"Pago tarjeta"),"⚠ Destino solo aplica a transferencias",IF(AND(K4719&lt;&gt;"",K4719=Q4719),"⚠ Origen igual a destino",IF(AND(K4719&lt;&gt;"",ISNA(MATCH(K4719,ctaNombre,0))),"⚠ Destino no registrado",IF(AND(P4719="Pago tarjeta",AE4719&lt;&gt;"Tarjeta de crédito"),"⚠ El destino debe ser tarjeta de crédito",IF(AND(P4719="Gasto",E4719="Depósitos y retiros"),"⚠ Usa tipo Transferencia",IF(AND(P4719="Resultado trading",AD4719&lt;&gt;"Cuenta de trading"),"⚠ Usa una cuenta de trading",IF(AND(G4719&lt;=0,P4719&lt;&gt;"Ajuste",P4719&lt;&gt;"Resultado trading"),"⚠ El monto debe ser positivo","✓")))))))))))))))</f>
        <v/>
      </c>
      <c r="P4719" s="52">
        <f>IF(OR(B4719="",G4719=""),"",IF(C4719="","Gasto",C4719))</f>
        <v/>
      </c>
      <c r="Q4719" s="52">
        <f>IF(P4719="","",IF(J4719&lt;&gt;"",J4719,CuentaPred&amp;""))</f>
        <v/>
      </c>
      <c r="R4719" s="52">
        <f>IF(P4719="","",IF(ISNUMBER(I4719),I4719,TasaUSD))</f>
        <v/>
      </c>
      <c r="S4719" s="53">
        <f>IF(P4719="","",IF(H4719="USD",G4719*R4719,G4719))</f>
        <v/>
      </c>
      <c r="T4719" s="53">
        <f>IF(P4719="","",IF(H4719="USD",G4719,IF(R4719&gt;0,G4719/R4719,0)))</f>
        <v/>
      </c>
      <c r="U4719" s="53">
        <f>IF(P4719="","",IF(P4719="Gasto",S4719,IF(P4719="Reembolso",-S4719,0)))</f>
        <v/>
      </c>
      <c r="V4719" s="53">
        <f>IF(P4719="","",IF(P4719="Ingreso",S4719,0))</f>
        <v/>
      </c>
      <c r="W4719" s="53">
        <f>IF(P4719="","",IF(P4719="Resultado trading",S4719,0))</f>
        <v/>
      </c>
      <c r="X4719" s="52">
        <f>IF(OR(P4719="Gasto",P4719="Reembolso"),IF(M4719&lt;&gt;"",M4719,IFERROR(INDEX(catClasif,MATCH(D4719&amp;"|"&amp;E4719,catClave,0))&amp;"","Variable")),"")</f>
        <v/>
      </c>
      <c r="Y4719" s="52">
        <f>IF(P4719="","",IFERROR(INDEX(catGrupo,MATCH(D4719&amp;"|"&amp;E4719,catClave,0))&amp;"",""))</f>
        <v/>
      </c>
      <c r="Z4719" s="52">
        <f>IF(P4719="","",WEEKDAY(B4719,2))</f>
        <v/>
      </c>
      <c r="AA4719" s="52">
        <f>IF(P4719="","",IF(AND(P4719="Gasto",X4719="Variable",D4719&lt;&gt;catTrading,S4719&gt;0,S4719&lt;=Umbral),1,0))</f>
        <v/>
      </c>
      <c r="AB4719" s="52">
        <f>IF(OR(P4719="",Q4719=""),"",IFERROR(IF(INDEX(ctaVinc,MATCH(Q4719,ctaNombre,0))&amp;""&lt;&gt;"",INDEX(ctaVinc,MATCH(Q4719,ctaNombre,0))&amp;"",Q4719),Q4719))</f>
        <v/>
      </c>
      <c r="AC4719" s="52">
        <f>IF(OR(K4719="",AND(P4719&lt;&gt;"Transferencia",P4719&lt;&gt;"Pago tarjeta")),"",IFERROR(IF(INDEX(ctaVinc,MATCH(K4719,ctaNombre,0))&amp;""&lt;&gt;"",INDEX(ctaVinc,MATCH(K4719,ctaNombre,0))&amp;"",K4719),K4719))</f>
        <v/>
      </c>
      <c r="AD4719" s="52">
        <f>IF(AB4719="","",IFERROR(INDEX(ctaTipo,MATCH(AB4719,ctaNombre,0))&amp;"",""))</f>
        <v/>
      </c>
      <c r="AE4719" s="52">
        <f>IF(AC4719="","",IFERROR(INDEX(ctaTipo,MATCH(AC4719,ctaNombre,0))&amp;"",""))</f>
        <v/>
      </c>
      <c r="AF4719" s="53">
        <f>IF(OR(P4719="",AB4719=""),"",IF(OR(P4719="Gasto",P4719="Transferencia",P4719="Pago tarjeta"),-1,1)*IF(IFERROR(INDEX(ctaMoneda,MATCH(AB4719,ctaNombre,0))&amp;"","DOP")="USD",T4719,S4719))</f>
        <v/>
      </c>
      <c r="AG4719" s="53">
        <f>IF(AC4719="","",IF(IFERROR(INDEX(ctaMoneda,MATCH(AC4719,ctaNombre,0))&amp;"","DOP")="USD",T4719,S4719))</f>
        <v/>
      </c>
      <c r="AH4719" s="53">
        <f>IF(P4719="","",IF(AND(AD4719&lt;&gt;"",COUNTIFS(tcTipo,AD4719,tcLiq,"Sí")&gt;0),IF(OR(P4719="Gasto",P4719="Transferencia",P4719="Pago tarjeta"),-1,1)*S4719,0)+IF(AND(AE4719&lt;&gt;"",COUNTIFS(tcTipo,AE4719,tcLiq,"Sí")&gt;0),S4719,0))</f>
        <v/>
      </c>
      <c r="AI4719" s="52">
        <f>IF(OR(L4719="",P4719=""),"",IF(COUNTIFS(L$6:L4719,L4719,P$6:P4719,"?*")=1,MAX(AI$5:AI4718)+1,""))</f>
        <v/>
      </c>
    </row>
    <row r="4720">
      <c r="B4720" s="47" t="n"/>
      <c r="C4720" s="48" t="n"/>
      <c r="D4720" s="48" t="n"/>
      <c r="E4720" s="48" t="n"/>
      <c r="F4720" s="48" t="n"/>
      <c r="G4720" s="49" t="n"/>
      <c r="H4720" s="48" t="n"/>
      <c r="I4720" s="50" t="n"/>
      <c r="J4720" s="48" t="n"/>
      <c r="K4720" s="48" t="n"/>
      <c r="L4720" s="48" t="n"/>
      <c r="M4720" s="48" t="n"/>
      <c r="N4720" s="48" t="n"/>
      <c r="O4720" s="51">
        <f>IF(AND(B4720="",G4720="",C4720="",D4720="",J4720=""),"",IF(B4720="","⚠ Falta fecha",IF(G4720="","⚠ Falta monto",IF(Q4720="","⚠ Falta cuenta",IF(ISNA(MATCH(Q4720,ctaNombre,0)),"⚠ Cuenta no registrada",IF(AND(OR(P4720="Gasto",P4720="Reembolso"),D4720=""),"⚠ Falta categoría",IF(AND(D4720&lt;&gt;"",E4720&lt;&gt;"",ISNA(MATCH(D4720&amp;"|"&amp;E4720,catClave,0))),"⚠ Subcategoría no corresponde",IF(AND(OR(P4720="Transferencia",P4720="Pago tarjeta"),K4720=""),"⚠ Falta cuenta destino",IF(AND(K4720&lt;&gt;"",P4720&lt;&gt;"Transferencia",P4720&lt;&gt;"Pago tarjeta"),"⚠ Destino solo aplica a transferencias",IF(AND(K4720&lt;&gt;"",K4720=Q4720),"⚠ Origen igual a destino",IF(AND(K4720&lt;&gt;"",ISNA(MATCH(K4720,ctaNombre,0))),"⚠ Destino no registrado",IF(AND(P4720="Pago tarjeta",AE4720&lt;&gt;"Tarjeta de crédito"),"⚠ El destino debe ser tarjeta de crédito",IF(AND(P4720="Gasto",E4720="Depósitos y retiros"),"⚠ Usa tipo Transferencia",IF(AND(P4720="Resultado trading",AD4720&lt;&gt;"Cuenta de trading"),"⚠ Usa una cuenta de trading",IF(AND(G4720&lt;=0,P4720&lt;&gt;"Ajuste",P4720&lt;&gt;"Resultado trading"),"⚠ El monto debe ser positivo","✓")))))))))))))))</f>
        <v/>
      </c>
      <c r="P4720" s="52">
        <f>IF(OR(B4720="",G4720=""),"",IF(C4720="","Gasto",C4720))</f>
        <v/>
      </c>
      <c r="Q4720" s="52">
        <f>IF(P4720="","",IF(J4720&lt;&gt;"",J4720,CuentaPred&amp;""))</f>
        <v/>
      </c>
      <c r="R4720" s="52">
        <f>IF(P4720="","",IF(ISNUMBER(I4720),I4720,TasaUSD))</f>
        <v/>
      </c>
      <c r="S4720" s="53">
        <f>IF(P4720="","",IF(H4720="USD",G4720*R4720,G4720))</f>
        <v/>
      </c>
      <c r="T4720" s="53">
        <f>IF(P4720="","",IF(H4720="USD",G4720,IF(R4720&gt;0,G4720/R4720,0)))</f>
        <v/>
      </c>
      <c r="U4720" s="53">
        <f>IF(P4720="","",IF(P4720="Gasto",S4720,IF(P4720="Reembolso",-S4720,0)))</f>
        <v/>
      </c>
      <c r="V4720" s="53">
        <f>IF(P4720="","",IF(P4720="Ingreso",S4720,0))</f>
        <v/>
      </c>
      <c r="W4720" s="53">
        <f>IF(P4720="","",IF(P4720="Resultado trading",S4720,0))</f>
        <v/>
      </c>
      <c r="X4720" s="52">
        <f>IF(OR(P4720="Gasto",P4720="Reembolso"),IF(M4720&lt;&gt;"",M4720,IFERROR(INDEX(catClasif,MATCH(D4720&amp;"|"&amp;E4720,catClave,0))&amp;"","Variable")),"")</f>
        <v/>
      </c>
      <c r="Y4720" s="52">
        <f>IF(P4720="","",IFERROR(INDEX(catGrupo,MATCH(D4720&amp;"|"&amp;E4720,catClave,0))&amp;"",""))</f>
        <v/>
      </c>
      <c r="Z4720" s="52">
        <f>IF(P4720="","",WEEKDAY(B4720,2))</f>
        <v/>
      </c>
      <c r="AA4720" s="52">
        <f>IF(P4720="","",IF(AND(P4720="Gasto",X4720="Variable",D4720&lt;&gt;catTrading,S4720&gt;0,S4720&lt;=Umbral),1,0))</f>
        <v/>
      </c>
      <c r="AB4720" s="52">
        <f>IF(OR(P4720="",Q4720=""),"",IFERROR(IF(INDEX(ctaVinc,MATCH(Q4720,ctaNombre,0))&amp;""&lt;&gt;"",INDEX(ctaVinc,MATCH(Q4720,ctaNombre,0))&amp;"",Q4720),Q4720))</f>
        <v/>
      </c>
      <c r="AC4720" s="52">
        <f>IF(OR(K4720="",AND(P4720&lt;&gt;"Transferencia",P4720&lt;&gt;"Pago tarjeta")),"",IFERROR(IF(INDEX(ctaVinc,MATCH(K4720,ctaNombre,0))&amp;""&lt;&gt;"",INDEX(ctaVinc,MATCH(K4720,ctaNombre,0))&amp;"",K4720),K4720))</f>
        <v/>
      </c>
      <c r="AD4720" s="52">
        <f>IF(AB4720="","",IFERROR(INDEX(ctaTipo,MATCH(AB4720,ctaNombre,0))&amp;"",""))</f>
        <v/>
      </c>
      <c r="AE4720" s="52">
        <f>IF(AC4720="","",IFERROR(INDEX(ctaTipo,MATCH(AC4720,ctaNombre,0))&amp;"",""))</f>
        <v/>
      </c>
      <c r="AF4720" s="53">
        <f>IF(OR(P4720="",AB4720=""),"",IF(OR(P4720="Gasto",P4720="Transferencia",P4720="Pago tarjeta"),-1,1)*IF(IFERROR(INDEX(ctaMoneda,MATCH(AB4720,ctaNombre,0))&amp;"","DOP")="USD",T4720,S4720))</f>
        <v/>
      </c>
      <c r="AG4720" s="53">
        <f>IF(AC4720="","",IF(IFERROR(INDEX(ctaMoneda,MATCH(AC4720,ctaNombre,0))&amp;"","DOP")="USD",T4720,S4720))</f>
        <v/>
      </c>
      <c r="AH4720" s="53">
        <f>IF(P4720="","",IF(AND(AD4720&lt;&gt;"",COUNTIFS(tcTipo,AD4720,tcLiq,"Sí")&gt;0),IF(OR(P4720="Gasto",P4720="Transferencia",P4720="Pago tarjeta"),-1,1)*S4720,0)+IF(AND(AE4720&lt;&gt;"",COUNTIFS(tcTipo,AE4720,tcLiq,"Sí")&gt;0),S4720,0))</f>
        <v/>
      </c>
      <c r="AI4720" s="52">
        <f>IF(OR(L4720="",P4720=""),"",IF(COUNTIFS(L$6:L4720,L4720,P$6:P4720,"?*")=1,MAX(AI$5:AI4719)+1,""))</f>
        <v/>
      </c>
    </row>
    <row r="4721">
      <c r="B4721" s="47" t="n"/>
      <c r="C4721" s="48" t="n"/>
      <c r="D4721" s="48" t="n"/>
      <c r="E4721" s="48" t="n"/>
      <c r="F4721" s="48" t="n"/>
      <c r="G4721" s="49" t="n"/>
      <c r="H4721" s="48" t="n"/>
      <c r="I4721" s="50" t="n"/>
      <c r="J4721" s="48" t="n"/>
      <c r="K4721" s="48" t="n"/>
      <c r="L4721" s="48" t="n"/>
      <c r="M4721" s="48" t="n"/>
      <c r="N4721" s="48" t="n"/>
      <c r="O4721" s="51">
        <f>IF(AND(B4721="",G4721="",C4721="",D4721="",J4721=""),"",IF(B4721="","⚠ Falta fecha",IF(G4721="","⚠ Falta monto",IF(Q4721="","⚠ Falta cuenta",IF(ISNA(MATCH(Q4721,ctaNombre,0)),"⚠ Cuenta no registrada",IF(AND(OR(P4721="Gasto",P4721="Reembolso"),D4721=""),"⚠ Falta categoría",IF(AND(D4721&lt;&gt;"",E4721&lt;&gt;"",ISNA(MATCH(D4721&amp;"|"&amp;E4721,catClave,0))),"⚠ Subcategoría no corresponde",IF(AND(OR(P4721="Transferencia",P4721="Pago tarjeta"),K4721=""),"⚠ Falta cuenta destino",IF(AND(K4721&lt;&gt;"",P4721&lt;&gt;"Transferencia",P4721&lt;&gt;"Pago tarjeta"),"⚠ Destino solo aplica a transferencias",IF(AND(K4721&lt;&gt;"",K4721=Q4721),"⚠ Origen igual a destino",IF(AND(K4721&lt;&gt;"",ISNA(MATCH(K4721,ctaNombre,0))),"⚠ Destino no registrado",IF(AND(P4721="Pago tarjeta",AE4721&lt;&gt;"Tarjeta de crédito"),"⚠ El destino debe ser tarjeta de crédito",IF(AND(P4721="Gasto",E4721="Depósitos y retiros"),"⚠ Usa tipo Transferencia",IF(AND(P4721="Resultado trading",AD4721&lt;&gt;"Cuenta de trading"),"⚠ Usa una cuenta de trading",IF(AND(G4721&lt;=0,P4721&lt;&gt;"Ajuste",P4721&lt;&gt;"Resultado trading"),"⚠ El monto debe ser positivo","✓")))))))))))))))</f>
        <v/>
      </c>
      <c r="P4721" s="52">
        <f>IF(OR(B4721="",G4721=""),"",IF(C4721="","Gasto",C4721))</f>
        <v/>
      </c>
      <c r="Q4721" s="52">
        <f>IF(P4721="","",IF(J4721&lt;&gt;"",J4721,CuentaPred&amp;""))</f>
        <v/>
      </c>
      <c r="R4721" s="52">
        <f>IF(P4721="","",IF(ISNUMBER(I4721),I4721,TasaUSD))</f>
        <v/>
      </c>
      <c r="S4721" s="53">
        <f>IF(P4721="","",IF(H4721="USD",G4721*R4721,G4721))</f>
        <v/>
      </c>
      <c r="T4721" s="53">
        <f>IF(P4721="","",IF(H4721="USD",G4721,IF(R4721&gt;0,G4721/R4721,0)))</f>
        <v/>
      </c>
      <c r="U4721" s="53">
        <f>IF(P4721="","",IF(P4721="Gasto",S4721,IF(P4721="Reembolso",-S4721,0)))</f>
        <v/>
      </c>
      <c r="V4721" s="53">
        <f>IF(P4721="","",IF(P4721="Ingreso",S4721,0))</f>
        <v/>
      </c>
      <c r="W4721" s="53">
        <f>IF(P4721="","",IF(P4721="Resultado trading",S4721,0))</f>
        <v/>
      </c>
      <c r="X4721" s="52">
        <f>IF(OR(P4721="Gasto",P4721="Reembolso"),IF(M4721&lt;&gt;"",M4721,IFERROR(INDEX(catClasif,MATCH(D4721&amp;"|"&amp;E4721,catClave,0))&amp;"","Variable")),"")</f>
        <v/>
      </c>
      <c r="Y4721" s="52">
        <f>IF(P4721="","",IFERROR(INDEX(catGrupo,MATCH(D4721&amp;"|"&amp;E4721,catClave,0))&amp;"",""))</f>
        <v/>
      </c>
      <c r="Z4721" s="52">
        <f>IF(P4721="","",WEEKDAY(B4721,2))</f>
        <v/>
      </c>
      <c r="AA4721" s="52">
        <f>IF(P4721="","",IF(AND(P4721="Gasto",X4721="Variable",D4721&lt;&gt;catTrading,S4721&gt;0,S4721&lt;=Umbral),1,0))</f>
        <v/>
      </c>
      <c r="AB4721" s="52">
        <f>IF(OR(P4721="",Q4721=""),"",IFERROR(IF(INDEX(ctaVinc,MATCH(Q4721,ctaNombre,0))&amp;""&lt;&gt;"",INDEX(ctaVinc,MATCH(Q4721,ctaNombre,0))&amp;"",Q4721),Q4721))</f>
        <v/>
      </c>
      <c r="AC4721" s="52">
        <f>IF(OR(K4721="",AND(P4721&lt;&gt;"Transferencia",P4721&lt;&gt;"Pago tarjeta")),"",IFERROR(IF(INDEX(ctaVinc,MATCH(K4721,ctaNombre,0))&amp;""&lt;&gt;"",INDEX(ctaVinc,MATCH(K4721,ctaNombre,0))&amp;"",K4721),K4721))</f>
        <v/>
      </c>
      <c r="AD4721" s="52">
        <f>IF(AB4721="","",IFERROR(INDEX(ctaTipo,MATCH(AB4721,ctaNombre,0))&amp;"",""))</f>
        <v/>
      </c>
      <c r="AE4721" s="52">
        <f>IF(AC4721="","",IFERROR(INDEX(ctaTipo,MATCH(AC4721,ctaNombre,0))&amp;"",""))</f>
        <v/>
      </c>
      <c r="AF4721" s="53">
        <f>IF(OR(P4721="",AB4721=""),"",IF(OR(P4721="Gasto",P4721="Transferencia",P4721="Pago tarjeta"),-1,1)*IF(IFERROR(INDEX(ctaMoneda,MATCH(AB4721,ctaNombre,0))&amp;"","DOP")="USD",T4721,S4721))</f>
        <v/>
      </c>
      <c r="AG4721" s="53">
        <f>IF(AC4721="","",IF(IFERROR(INDEX(ctaMoneda,MATCH(AC4721,ctaNombre,0))&amp;"","DOP")="USD",T4721,S4721))</f>
        <v/>
      </c>
      <c r="AH4721" s="53">
        <f>IF(P4721="","",IF(AND(AD4721&lt;&gt;"",COUNTIFS(tcTipo,AD4721,tcLiq,"Sí")&gt;0),IF(OR(P4721="Gasto",P4721="Transferencia",P4721="Pago tarjeta"),-1,1)*S4721,0)+IF(AND(AE4721&lt;&gt;"",COUNTIFS(tcTipo,AE4721,tcLiq,"Sí")&gt;0),S4721,0))</f>
        <v/>
      </c>
      <c r="AI4721" s="52">
        <f>IF(OR(L4721="",P4721=""),"",IF(COUNTIFS(L$6:L4721,L4721,P$6:P4721,"?*")=1,MAX(AI$5:AI4720)+1,""))</f>
        <v/>
      </c>
    </row>
    <row r="4722">
      <c r="B4722" s="47" t="n"/>
      <c r="C4722" s="48" t="n"/>
      <c r="D4722" s="48" t="n"/>
      <c r="E4722" s="48" t="n"/>
      <c r="F4722" s="48" t="n"/>
      <c r="G4722" s="49" t="n"/>
      <c r="H4722" s="48" t="n"/>
      <c r="I4722" s="50" t="n"/>
      <c r="J4722" s="48" t="n"/>
      <c r="K4722" s="48" t="n"/>
      <c r="L4722" s="48" t="n"/>
      <c r="M4722" s="48" t="n"/>
      <c r="N4722" s="48" t="n"/>
      <c r="O4722" s="51">
        <f>IF(AND(B4722="",G4722="",C4722="",D4722="",J4722=""),"",IF(B4722="","⚠ Falta fecha",IF(G4722="","⚠ Falta monto",IF(Q4722="","⚠ Falta cuenta",IF(ISNA(MATCH(Q4722,ctaNombre,0)),"⚠ Cuenta no registrada",IF(AND(OR(P4722="Gasto",P4722="Reembolso"),D4722=""),"⚠ Falta categoría",IF(AND(D4722&lt;&gt;"",E4722&lt;&gt;"",ISNA(MATCH(D4722&amp;"|"&amp;E4722,catClave,0))),"⚠ Subcategoría no corresponde",IF(AND(OR(P4722="Transferencia",P4722="Pago tarjeta"),K4722=""),"⚠ Falta cuenta destino",IF(AND(K4722&lt;&gt;"",P4722&lt;&gt;"Transferencia",P4722&lt;&gt;"Pago tarjeta"),"⚠ Destino solo aplica a transferencias",IF(AND(K4722&lt;&gt;"",K4722=Q4722),"⚠ Origen igual a destino",IF(AND(K4722&lt;&gt;"",ISNA(MATCH(K4722,ctaNombre,0))),"⚠ Destino no registrado",IF(AND(P4722="Pago tarjeta",AE4722&lt;&gt;"Tarjeta de crédito"),"⚠ El destino debe ser tarjeta de crédito",IF(AND(P4722="Gasto",E4722="Depósitos y retiros"),"⚠ Usa tipo Transferencia",IF(AND(P4722="Resultado trading",AD4722&lt;&gt;"Cuenta de trading"),"⚠ Usa una cuenta de trading",IF(AND(G4722&lt;=0,P4722&lt;&gt;"Ajuste",P4722&lt;&gt;"Resultado trading"),"⚠ El monto debe ser positivo","✓")))))))))))))))</f>
        <v/>
      </c>
      <c r="P4722" s="52">
        <f>IF(OR(B4722="",G4722=""),"",IF(C4722="","Gasto",C4722))</f>
        <v/>
      </c>
      <c r="Q4722" s="52">
        <f>IF(P4722="","",IF(J4722&lt;&gt;"",J4722,CuentaPred&amp;""))</f>
        <v/>
      </c>
      <c r="R4722" s="52">
        <f>IF(P4722="","",IF(ISNUMBER(I4722),I4722,TasaUSD))</f>
        <v/>
      </c>
      <c r="S4722" s="53">
        <f>IF(P4722="","",IF(H4722="USD",G4722*R4722,G4722))</f>
        <v/>
      </c>
      <c r="T4722" s="53">
        <f>IF(P4722="","",IF(H4722="USD",G4722,IF(R4722&gt;0,G4722/R4722,0)))</f>
        <v/>
      </c>
      <c r="U4722" s="53">
        <f>IF(P4722="","",IF(P4722="Gasto",S4722,IF(P4722="Reembolso",-S4722,0)))</f>
        <v/>
      </c>
      <c r="V4722" s="53">
        <f>IF(P4722="","",IF(P4722="Ingreso",S4722,0))</f>
        <v/>
      </c>
      <c r="W4722" s="53">
        <f>IF(P4722="","",IF(P4722="Resultado trading",S4722,0))</f>
        <v/>
      </c>
      <c r="X4722" s="52">
        <f>IF(OR(P4722="Gasto",P4722="Reembolso"),IF(M4722&lt;&gt;"",M4722,IFERROR(INDEX(catClasif,MATCH(D4722&amp;"|"&amp;E4722,catClave,0))&amp;"","Variable")),"")</f>
        <v/>
      </c>
      <c r="Y4722" s="52">
        <f>IF(P4722="","",IFERROR(INDEX(catGrupo,MATCH(D4722&amp;"|"&amp;E4722,catClave,0))&amp;"",""))</f>
        <v/>
      </c>
      <c r="Z4722" s="52">
        <f>IF(P4722="","",WEEKDAY(B4722,2))</f>
        <v/>
      </c>
      <c r="AA4722" s="52">
        <f>IF(P4722="","",IF(AND(P4722="Gasto",X4722="Variable",D4722&lt;&gt;catTrading,S4722&gt;0,S4722&lt;=Umbral),1,0))</f>
        <v/>
      </c>
      <c r="AB4722" s="52">
        <f>IF(OR(P4722="",Q4722=""),"",IFERROR(IF(INDEX(ctaVinc,MATCH(Q4722,ctaNombre,0))&amp;""&lt;&gt;"",INDEX(ctaVinc,MATCH(Q4722,ctaNombre,0))&amp;"",Q4722),Q4722))</f>
        <v/>
      </c>
      <c r="AC4722" s="52">
        <f>IF(OR(K4722="",AND(P4722&lt;&gt;"Transferencia",P4722&lt;&gt;"Pago tarjeta")),"",IFERROR(IF(INDEX(ctaVinc,MATCH(K4722,ctaNombre,0))&amp;""&lt;&gt;"",INDEX(ctaVinc,MATCH(K4722,ctaNombre,0))&amp;"",K4722),K4722))</f>
        <v/>
      </c>
      <c r="AD4722" s="52">
        <f>IF(AB4722="","",IFERROR(INDEX(ctaTipo,MATCH(AB4722,ctaNombre,0))&amp;"",""))</f>
        <v/>
      </c>
      <c r="AE4722" s="52">
        <f>IF(AC4722="","",IFERROR(INDEX(ctaTipo,MATCH(AC4722,ctaNombre,0))&amp;"",""))</f>
        <v/>
      </c>
      <c r="AF4722" s="53">
        <f>IF(OR(P4722="",AB4722=""),"",IF(OR(P4722="Gasto",P4722="Transferencia",P4722="Pago tarjeta"),-1,1)*IF(IFERROR(INDEX(ctaMoneda,MATCH(AB4722,ctaNombre,0))&amp;"","DOP")="USD",T4722,S4722))</f>
        <v/>
      </c>
      <c r="AG4722" s="53">
        <f>IF(AC4722="","",IF(IFERROR(INDEX(ctaMoneda,MATCH(AC4722,ctaNombre,0))&amp;"","DOP")="USD",T4722,S4722))</f>
        <v/>
      </c>
      <c r="AH4722" s="53">
        <f>IF(P4722="","",IF(AND(AD4722&lt;&gt;"",COUNTIFS(tcTipo,AD4722,tcLiq,"Sí")&gt;0),IF(OR(P4722="Gasto",P4722="Transferencia",P4722="Pago tarjeta"),-1,1)*S4722,0)+IF(AND(AE4722&lt;&gt;"",COUNTIFS(tcTipo,AE4722,tcLiq,"Sí")&gt;0),S4722,0))</f>
        <v/>
      </c>
      <c r="AI4722" s="52">
        <f>IF(OR(L4722="",P4722=""),"",IF(COUNTIFS(L$6:L4722,L4722,P$6:P4722,"?*")=1,MAX(AI$5:AI4721)+1,""))</f>
        <v/>
      </c>
    </row>
    <row r="4723">
      <c r="B4723" s="47" t="n"/>
      <c r="C4723" s="48" t="n"/>
      <c r="D4723" s="48" t="n"/>
      <c r="E4723" s="48" t="n"/>
      <c r="F4723" s="48" t="n"/>
      <c r="G4723" s="49" t="n"/>
      <c r="H4723" s="48" t="n"/>
      <c r="I4723" s="50" t="n"/>
      <c r="J4723" s="48" t="n"/>
      <c r="K4723" s="48" t="n"/>
      <c r="L4723" s="48" t="n"/>
      <c r="M4723" s="48" t="n"/>
      <c r="N4723" s="48" t="n"/>
      <c r="O4723" s="51">
        <f>IF(AND(B4723="",G4723="",C4723="",D4723="",J4723=""),"",IF(B4723="","⚠ Falta fecha",IF(G4723="","⚠ Falta monto",IF(Q4723="","⚠ Falta cuenta",IF(ISNA(MATCH(Q4723,ctaNombre,0)),"⚠ Cuenta no registrada",IF(AND(OR(P4723="Gasto",P4723="Reembolso"),D4723=""),"⚠ Falta categoría",IF(AND(D4723&lt;&gt;"",E4723&lt;&gt;"",ISNA(MATCH(D4723&amp;"|"&amp;E4723,catClave,0))),"⚠ Subcategoría no corresponde",IF(AND(OR(P4723="Transferencia",P4723="Pago tarjeta"),K4723=""),"⚠ Falta cuenta destino",IF(AND(K4723&lt;&gt;"",P4723&lt;&gt;"Transferencia",P4723&lt;&gt;"Pago tarjeta"),"⚠ Destino solo aplica a transferencias",IF(AND(K4723&lt;&gt;"",K4723=Q4723),"⚠ Origen igual a destino",IF(AND(K4723&lt;&gt;"",ISNA(MATCH(K4723,ctaNombre,0))),"⚠ Destino no registrado",IF(AND(P4723="Pago tarjeta",AE4723&lt;&gt;"Tarjeta de crédito"),"⚠ El destino debe ser tarjeta de crédito",IF(AND(P4723="Gasto",E4723="Depósitos y retiros"),"⚠ Usa tipo Transferencia",IF(AND(P4723="Resultado trading",AD4723&lt;&gt;"Cuenta de trading"),"⚠ Usa una cuenta de trading",IF(AND(G4723&lt;=0,P4723&lt;&gt;"Ajuste",P4723&lt;&gt;"Resultado trading"),"⚠ El monto debe ser positivo","✓")))))))))))))))</f>
        <v/>
      </c>
      <c r="P4723" s="52">
        <f>IF(OR(B4723="",G4723=""),"",IF(C4723="","Gasto",C4723))</f>
        <v/>
      </c>
      <c r="Q4723" s="52">
        <f>IF(P4723="","",IF(J4723&lt;&gt;"",J4723,CuentaPred&amp;""))</f>
        <v/>
      </c>
      <c r="R4723" s="52">
        <f>IF(P4723="","",IF(ISNUMBER(I4723),I4723,TasaUSD))</f>
        <v/>
      </c>
      <c r="S4723" s="53">
        <f>IF(P4723="","",IF(H4723="USD",G4723*R4723,G4723))</f>
        <v/>
      </c>
      <c r="T4723" s="53">
        <f>IF(P4723="","",IF(H4723="USD",G4723,IF(R4723&gt;0,G4723/R4723,0)))</f>
        <v/>
      </c>
      <c r="U4723" s="53">
        <f>IF(P4723="","",IF(P4723="Gasto",S4723,IF(P4723="Reembolso",-S4723,0)))</f>
        <v/>
      </c>
      <c r="V4723" s="53">
        <f>IF(P4723="","",IF(P4723="Ingreso",S4723,0))</f>
        <v/>
      </c>
      <c r="W4723" s="53">
        <f>IF(P4723="","",IF(P4723="Resultado trading",S4723,0))</f>
        <v/>
      </c>
      <c r="X4723" s="52">
        <f>IF(OR(P4723="Gasto",P4723="Reembolso"),IF(M4723&lt;&gt;"",M4723,IFERROR(INDEX(catClasif,MATCH(D4723&amp;"|"&amp;E4723,catClave,0))&amp;"","Variable")),"")</f>
        <v/>
      </c>
      <c r="Y4723" s="52">
        <f>IF(P4723="","",IFERROR(INDEX(catGrupo,MATCH(D4723&amp;"|"&amp;E4723,catClave,0))&amp;"",""))</f>
        <v/>
      </c>
      <c r="Z4723" s="52">
        <f>IF(P4723="","",WEEKDAY(B4723,2))</f>
        <v/>
      </c>
      <c r="AA4723" s="52">
        <f>IF(P4723="","",IF(AND(P4723="Gasto",X4723="Variable",D4723&lt;&gt;catTrading,S4723&gt;0,S4723&lt;=Umbral),1,0))</f>
        <v/>
      </c>
      <c r="AB4723" s="52">
        <f>IF(OR(P4723="",Q4723=""),"",IFERROR(IF(INDEX(ctaVinc,MATCH(Q4723,ctaNombre,0))&amp;""&lt;&gt;"",INDEX(ctaVinc,MATCH(Q4723,ctaNombre,0))&amp;"",Q4723),Q4723))</f>
        <v/>
      </c>
      <c r="AC4723" s="52">
        <f>IF(OR(K4723="",AND(P4723&lt;&gt;"Transferencia",P4723&lt;&gt;"Pago tarjeta")),"",IFERROR(IF(INDEX(ctaVinc,MATCH(K4723,ctaNombre,0))&amp;""&lt;&gt;"",INDEX(ctaVinc,MATCH(K4723,ctaNombre,0))&amp;"",K4723),K4723))</f>
        <v/>
      </c>
      <c r="AD4723" s="52">
        <f>IF(AB4723="","",IFERROR(INDEX(ctaTipo,MATCH(AB4723,ctaNombre,0))&amp;"",""))</f>
        <v/>
      </c>
      <c r="AE4723" s="52">
        <f>IF(AC4723="","",IFERROR(INDEX(ctaTipo,MATCH(AC4723,ctaNombre,0))&amp;"",""))</f>
        <v/>
      </c>
      <c r="AF4723" s="53">
        <f>IF(OR(P4723="",AB4723=""),"",IF(OR(P4723="Gasto",P4723="Transferencia",P4723="Pago tarjeta"),-1,1)*IF(IFERROR(INDEX(ctaMoneda,MATCH(AB4723,ctaNombre,0))&amp;"","DOP")="USD",T4723,S4723))</f>
        <v/>
      </c>
      <c r="AG4723" s="53">
        <f>IF(AC4723="","",IF(IFERROR(INDEX(ctaMoneda,MATCH(AC4723,ctaNombre,0))&amp;"","DOP")="USD",T4723,S4723))</f>
        <v/>
      </c>
      <c r="AH4723" s="53">
        <f>IF(P4723="","",IF(AND(AD4723&lt;&gt;"",COUNTIFS(tcTipo,AD4723,tcLiq,"Sí")&gt;0),IF(OR(P4723="Gasto",P4723="Transferencia",P4723="Pago tarjeta"),-1,1)*S4723,0)+IF(AND(AE4723&lt;&gt;"",COUNTIFS(tcTipo,AE4723,tcLiq,"Sí")&gt;0),S4723,0))</f>
        <v/>
      </c>
      <c r="AI4723" s="52">
        <f>IF(OR(L4723="",P4723=""),"",IF(COUNTIFS(L$6:L4723,L4723,P$6:P4723,"?*")=1,MAX(AI$5:AI4722)+1,""))</f>
        <v/>
      </c>
    </row>
    <row r="4724">
      <c r="B4724" s="47" t="n"/>
      <c r="C4724" s="48" t="n"/>
      <c r="D4724" s="48" t="n"/>
      <c r="E4724" s="48" t="n"/>
      <c r="F4724" s="48" t="n"/>
      <c r="G4724" s="49" t="n"/>
      <c r="H4724" s="48" t="n"/>
      <c r="I4724" s="50" t="n"/>
      <c r="J4724" s="48" t="n"/>
      <c r="K4724" s="48" t="n"/>
      <c r="L4724" s="48" t="n"/>
      <c r="M4724" s="48" t="n"/>
      <c r="N4724" s="48" t="n"/>
      <c r="O4724" s="51">
        <f>IF(AND(B4724="",G4724="",C4724="",D4724="",J4724=""),"",IF(B4724="","⚠ Falta fecha",IF(G4724="","⚠ Falta monto",IF(Q4724="","⚠ Falta cuenta",IF(ISNA(MATCH(Q4724,ctaNombre,0)),"⚠ Cuenta no registrada",IF(AND(OR(P4724="Gasto",P4724="Reembolso"),D4724=""),"⚠ Falta categoría",IF(AND(D4724&lt;&gt;"",E4724&lt;&gt;"",ISNA(MATCH(D4724&amp;"|"&amp;E4724,catClave,0))),"⚠ Subcategoría no corresponde",IF(AND(OR(P4724="Transferencia",P4724="Pago tarjeta"),K4724=""),"⚠ Falta cuenta destino",IF(AND(K4724&lt;&gt;"",P4724&lt;&gt;"Transferencia",P4724&lt;&gt;"Pago tarjeta"),"⚠ Destino solo aplica a transferencias",IF(AND(K4724&lt;&gt;"",K4724=Q4724),"⚠ Origen igual a destino",IF(AND(K4724&lt;&gt;"",ISNA(MATCH(K4724,ctaNombre,0))),"⚠ Destino no registrado",IF(AND(P4724="Pago tarjeta",AE4724&lt;&gt;"Tarjeta de crédito"),"⚠ El destino debe ser tarjeta de crédito",IF(AND(P4724="Gasto",E4724="Depósitos y retiros"),"⚠ Usa tipo Transferencia",IF(AND(P4724="Resultado trading",AD4724&lt;&gt;"Cuenta de trading"),"⚠ Usa una cuenta de trading",IF(AND(G4724&lt;=0,P4724&lt;&gt;"Ajuste",P4724&lt;&gt;"Resultado trading"),"⚠ El monto debe ser positivo","✓")))))))))))))))</f>
        <v/>
      </c>
      <c r="P4724" s="52">
        <f>IF(OR(B4724="",G4724=""),"",IF(C4724="","Gasto",C4724))</f>
        <v/>
      </c>
      <c r="Q4724" s="52">
        <f>IF(P4724="","",IF(J4724&lt;&gt;"",J4724,CuentaPred&amp;""))</f>
        <v/>
      </c>
      <c r="R4724" s="52">
        <f>IF(P4724="","",IF(ISNUMBER(I4724),I4724,TasaUSD))</f>
        <v/>
      </c>
      <c r="S4724" s="53">
        <f>IF(P4724="","",IF(H4724="USD",G4724*R4724,G4724))</f>
        <v/>
      </c>
      <c r="T4724" s="53">
        <f>IF(P4724="","",IF(H4724="USD",G4724,IF(R4724&gt;0,G4724/R4724,0)))</f>
        <v/>
      </c>
      <c r="U4724" s="53">
        <f>IF(P4724="","",IF(P4724="Gasto",S4724,IF(P4724="Reembolso",-S4724,0)))</f>
        <v/>
      </c>
      <c r="V4724" s="53">
        <f>IF(P4724="","",IF(P4724="Ingreso",S4724,0))</f>
        <v/>
      </c>
      <c r="W4724" s="53">
        <f>IF(P4724="","",IF(P4724="Resultado trading",S4724,0))</f>
        <v/>
      </c>
      <c r="X4724" s="52">
        <f>IF(OR(P4724="Gasto",P4724="Reembolso"),IF(M4724&lt;&gt;"",M4724,IFERROR(INDEX(catClasif,MATCH(D4724&amp;"|"&amp;E4724,catClave,0))&amp;"","Variable")),"")</f>
        <v/>
      </c>
      <c r="Y4724" s="52">
        <f>IF(P4724="","",IFERROR(INDEX(catGrupo,MATCH(D4724&amp;"|"&amp;E4724,catClave,0))&amp;"",""))</f>
        <v/>
      </c>
      <c r="Z4724" s="52">
        <f>IF(P4724="","",WEEKDAY(B4724,2))</f>
        <v/>
      </c>
      <c r="AA4724" s="52">
        <f>IF(P4724="","",IF(AND(P4724="Gasto",X4724="Variable",D4724&lt;&gt;catTrading,S4724&gt;0,S4724&lt;=Umbral),1,0))</f>
        <v/>
      </c>
      <c r="AB4724" s="52">
        <f>IF(OR(P4724="",Q4724=""),"",IFERROR(IF(INDEX(ctaVinc,MATCH(Q4724,ctaNombre,0))&amp;""&lt;&gt;"",INDEX(ctaVinc,MATCH(Q4724,ctaNombre,0))&amp;"",Q4724),Q4724))</f>
        <v/>
      </c>
      <c r="AC4724" s="52">
        <f>IF(OR(K4724="",AND(P4724&lt;&gt;"Transferencia",P4724&lt;&gt;"Pago tarjeta")),"",IFERROR(IF(INDEX(ctaVinc,MATCH(K4724,ctaNombre,0))&amp;""&lt;&gt;"",INDEX(ctaVinc,MATCH(K4724,ctaNombre,0))&amp;"",K4724),K4724))</f>
        <v/>
      </c>
      <c r="AD4724" s="52">
        <f>IF(AB4724="","",IFERROR(INDEX(ctaTipo,MATCH(AB4724,ctaNombre,0))&amp;"",""))</f>
        <v/>
      </c>
      <c r="AE4724" s="52">
        <f>IF(AC4724="","",IFERROR(INDEX(ctaTipo,MATCH(AC4724,ctaNombre,0))&amp;"",""))</f>
        <v/>
      </c>
      <c r="AF4724" s="53">
        <f>IF(OR(P4724="",AB4724=""),"",IF(OR(P4724="Gasto",P4724="Transferencia",P4724="Pago tarjeta"),-1,1)*IF(IFERROR(INDEX(ctaMoneda,MATCH(AB4724,ctaNombre,0))&amp;"","DOP")="USD",T4724,S4724))</f>
        <v/>
      </c>
      <c r="AG4724" s="53">
        <f>IF(AC4724="","",IF(IFERROR(INDEX(ctaMoneda,MATCH(AC4724,ctaNombre,0))&amp;"","DOP")="USD",T4724,S4724))</f>
        <v/>
      </c>
      <c r="AH4724" s="53">
        <f>IF(P4724="","",IF(AND(AD4724&lt;&gt;"",COUNTIFS(tcTipo,AD4724,tcLiq,"Sí")&gt;0),IF(OR(P4724="Gasto",P4724="Transferencia",P4724="Pago tarjeta"),-1,1)*S4724,0)+IF(AND(AE4724&lt;&gt;"",COUNTIFS(tcTipo,AE4724,tcLiq,"Sí")&gt;0),S4724,0))</f>
        <v/>
      </c>
      <c r="AI4724" s="52">
        <f>IF(OR(L4724="",P4724=""),"",IF(COUNTIFS(L$6:L4724,L4724,P$6:P4724,"?*")=1,MAX(AI$5:AI4723)+1,""))</f>
        <v/>
      </c>
    </row>
    <row r="4725">
      <c r="B4725" s="47" t="n"/>
      <c r="C4725" s="48" t="n"/>
      <c r="D4725" s="48" t="n"/>
      <c r="E4725" s="48" t="n"/>
      <c r="F4725" s="48" t="n"/>
      <c r="G4725" s="49" t="n"/>
      <c r="H4725" s="48" t="n"/>
      <c r="I4725" s="50" t="n"/>
      <c r="J4725" s="48" t="n"/>
      <c r="K4725" s="48" t="n"/>
      <c r="L4725" s="48" t="n"/>
      <c r="M4725" s="48" t="n"/>
      <c r="N4725" s="48" t="n"/>
      <c r="O4725" s="51">
        <f>IF(AND(B4725="",G4725="",C4725="",D4725="",J4725=""),"",IF(B4725="","⚠ Falta fecha",IF(G4725="","⚠ Falta monto",IF(Q4725="","⚠ Falta cuenta",IF(ISNA(MATCH(Q4725,ctaNombre,0)),"⚠ Cuenta no registrada",IF(AND(OR(P4725="Gasto",P4725="Reembolso"),D4725=""),"⚠ Falta categoría",IF(AND(D4725&lt;&gt;"",E4725&lt;&gt;"",ISNA(MATCH(D4725&amp;"|"&amp;E4725,catClave,0))),"⚠ Subcategoría no corresponde",IF(AND(OR(P4725="Transferencia",P4725="Pago tarjeta"),K4725=""),"⚠ Falta cuenta destino",IF(AND(K4725&lt;&gt;"",P4725&lt;&gt;"Transferencia",P4725&lt;&gt;"Pago tarjeta"),"⚠ Destino solo aplica a transferencias",IF(AND(K4725&lt;&gt;"",K4725=Q4725),"⚠ Origen igual a destino",IF(AND(K4725&lt;&gt;"",ISNA(MATCH(K4725,ctaNombre,0))),"⚠ Destino no registrado",IF(AND(P4725="Pago tarjeta",AE4725&lt;&gt;"Tarjeta de crédito"),"⚠ El destino debe ser tarjeta de crédito",IF(AND(P4725="Gasto",E4725="Depósitos y retiros"),"⚠ Usa tipo Transferencia",IF(AND(P4725="Resultado trading",AD4725&lt;&gt;"Cuenta de trading"),"⚠ Usa una cuenta de trading",IF(AND(G4725&lt;=0,P4725&lt;&gt;"Ajuste",P4725&lt;&gt;"Resultado trading"),"⚠ El monto debe ser positivo","✓")))))))))))))))</f>
        <v/>
      </c>
      <c r="P4725" s="52">
        <f>IF(OR(B4725="",G4725=""),"",IF(C4725="","Gasto",C4725))</f>
        <v/>
      </c>
      <c r="Q4725" s="52">
        <f>IF(P4725="","",IF(J4725&lt;&gt;"",J4725,CuentaPred&amp;""))</f>
        <v/>
      </c>
      <c r="R4725" s="52">
        <f>IF(P4725="","",IF(ISNUMBER(I4725),I4725,TasaUSD))</f>
        <v/>
      </c>
      <c r="S4725" s="53">
        <f>IF(P4725="","",IF(H4725="USD",G4725*R4725,G4725))</f>
        <v/>
      </c>
      <c r="T4725" s="53">
        <f>IF(P4725="","",IF(H4725="USD",G4725,IF(R4725&gt;0,G4725/R4725,0)))</f>
        <v/>
      </c>
      <c r="U4725" s="53">
        <f>IF(P4725="","",IF(P4725="Gasto",S4725,IF(P4725="Reembolso",-S4725,0)))</f>
        <v/>
      </c>
      <c r="V4725" s="53">
        <f>IF(P4725="","",IF(P4725="Ingreso",S4725,0))</f>
        <v/>
      </c>
      <c r="W4725" s="53">
        <f>IF(P4725="","",IF(P4725="Resultado trading",S4725,0))</f>
        <v/>
      </c>
      <c r="X4725" s="52">
        <f>IF(OR(P4725="Gasto",P4725="Reembolso"),IF(M4725&lt;&gt;"",M4725,IFERROR(INDEX(catClasif,MATCH(D4725&amp;"|"&amp;E4725,catClave,0))&amp;"","Variable")),"")</f>
        <v/>
      </c>
      <c r="Y4725" s="52">
        <f>IF(P4725="","",IFERROR(INDEX(catGrupo,MATCH(D4725&amp;"|"&amp;E4725,catClave,0))&amp;"",""))</f>
        <v/>
      </c>
      <c r="Z4725" s="52">
        <f>IF(P4725="","",WEEKDAY(B4725,2))</f>
        <v/>
      </c>
      <c r="AA4725" s="52">
        <f>IF(P4725="","",IF(AND(P4725="Gasto",X4725="Variable",D4725&lt;&gt;catTrading,S4725&gt;0,S4725&lt;=Umbral),1,0))</f>
        <v/>
      </c>
      <c r="AB4725" s="52">
        <f>IF(OR(P4725="",Q4725=""),"",IFERROR(IF(INDEX(ctaVinc,MATCH(Q4725,ctaNombre,0))&amp;""&lt;&gt;"",INDEX(ctaVinc,MATCH(Q4725,ctaNombre,0))&amp;"",Q4725),Q4725))</f>
        <v/>
      </c>
      <c r="AC4725" s="52">
        <f>IF(OR(K4725="",AND(P4725&lt;&gt;"Transferencia",P4725&lt;&gt;"Pago tarjeta")),"",IFERROR(IF(INDEX(ctaVinc,MATCH(K4725,ctaNombre,0))&amp;""&lt;&gt;"",INDEX(ctaVinc,MATCH(K4725,ctaNombre,0))&amp;"",K4725),K4725))</f>
        <v/>
      </c>
      <c r="AD4725" s="52">
        <f>IF(AB4725="","",IFERROR(INDEX(ctaTipo,MATCH(AB4725,ctaNombre,0))&amp;"",""))</f>
        <v/>
      </c>
      <c r="AE4725" s="52">
        <f>IF(AC4725="","",IFERROR(INDEX(ctaTipo,MATCH(AC4725,ctaNombre,0))&amp;"",""))</f>
        <v/>
      </c>
      <c r="AF4725" s="53">
        <f>IF(OR(P4725="",AB4725=""),"",IF(OR(P4725="Gasto",P4725="Transferencia",P4725="Pago tarjeta"),-1,1)*IF(IFERROR(INDEX(ctaMoneda,MATCH(AB4725,ctaNombre,0))&amp;"","DOP")="USD",T4725,S4725))</f>
        <v/>
      </c>
      <c r="AG4725" s="53">
        <f>IF(AC4725="","",IF(IFERROR(INDEX(ctaMoneda,MATCH(AC4725,ctaNombre,0))&amp;"","DOP")="USD",T4725,S4725))</f>
        <v/>
      </c>
      <c r="AH4725" s="53">
        <f>IF(P4725="","",IF(AND(AD4725&lt;&gt;"",COUNTIFS(tcTipo,AD4725,tcLiq,"Sí")&gt;0),IF(OR(P4725="Gasto",P4725="Transferencia",P4725="Pago tarjeta"),-1,1)*S4725,0)+IF(AND(AE4725&lt;&gt;"",COUNTIFS(tcTipo,AE4725,tcLiq,"Sí")&gt;0),S4725,0))</f>
        <v/>
      </c>
      <c r="AI4725" s="52">
        <f>IF(OR(L4725="",P4725=""),"",IF(COUNTIFS(L$6:L4725,L4725,P$6:P4725,"?*")=1,MAX(AI$5:AI4724)+1,""))</f>
        <v/>
      </c>
    </row>
    <row r="4726">
      <c r="B4726" s="47" t="n"/>
      <c r="C4726" s="48" t="n"/>
      <c r="D4726" s="48" t="n"/>
      <c r="E4726" s="48" t="n"/>
      <c r="F4726" s="48" t="n"/>
      <c r="G4726" s="49" t="n"/>
      <c r="H4726" s="48" t="n"/>
      <c r="I4726" s="50" t="n"/>
      <c r="J4726" s="48" t="n"/>
      <c r="K4726" s="48" t="n"/>
      <c r="L4726" s="48" t="n"/>
      <c r="M4726" s="48" t="n"/>
      <c r="N4726" s="48" t="n"/>
      <c r="O4726" s="51">
        <f>IF(AND(B4726="",G4726="",C4726="",D4726="",J4726=""),"",IF(B4726="","⚠ Falta fecha",IF(G4726="","⚠ Falta monto",IF(Q4726="","⚠ Falta cuenta",IF(ISNA(MATCH(Q4726,ctaNombre,0)),"⚠ Cuenta no registrada",IF(AND(OR(P4726="Gasto",P4726="Reembolso"),D4726=""),"⚠ Falta categoría",IF(AND(D4726&lt;&gt;"",E4726&lt;&gt;"",ISNA(MATCH(D4726&amp;"|"&amp;E4726,catClave,0))),"⚠ Subcategoría no corresponde",IF(AND(OR(P4726="Transferencia",P4726="Pago tarjeta"),K4726=""),"⚠ Falta cuenta destino",IF(AND(K4726&lt;&gt;"",P4726&lt;&gt;"Transferencia",P4726&lt;&gt;"Pago tarjeta"),"⚠ Destino solo aplica a transferencias",IF(AND(K4726&lt;&gt;"",K4726=Q4726),"⚠ Origen igual a destino",IF(AND(K4726&lt;&gt;"",ISNA(MATCH(K4726,ctaNombre,0))),"⚠ Destino no registrado",IF(AND(P4726="Pago tarjeta",AE4726&lt;&gt;"Tarjeta de crédito"),"⚠ El destino debe ser tarjeta de crédito",IF(AND(P4726="Gasto",E4726="Depósitos y retiros"),"⚠ Usa tipo Transferencia",IF(AND(P4726="Resultado trading",AD4726&lt;&gt;"Cuenta de trading"),"⚠ Usa una cuenta de trading",IF(AND(G4726&lt;=0,P4726&lt;&gt;"Ajuste",P4726&lt;&gt;"Resultado trading"),"⚠ El monto debe ser positivo","✓")))))))))))))))</f>
        <v/>
      </c>
      <c r="P4726" s="52">
        <f>IF(OR(B4726="",G4726=""),"",IF(C4726="","Gasto",C4726))</f>
        <v/>
      </c>
      <c r="Q4726" s="52">
        <f>IF(P4726="","",IF(J4726&lt;&gt;"",J4726,CuentaPred&amp;""))</f>
        <v/>
      </c>
      <c r="R4726" s="52">
        <f>IF(P4726="","",IF(ISNUMBER(I4726),I4726,TasaUSD))</f>
        <v/>
      </c>
      <c r="S4726" s="53">
        <f>IF(P4726="","",IF(H4726="USD",G4726*R4726,G4726))</f>
        <v/>
      </c>
      <c r="T4726" s="53">
        <f>IF(P4726="","",IF(H4726="USD",G4726,IF(R4726&gt;0,G4726/R4726,0)))</f>
        <v/>
      </c>
      <c r="U4726" s="53">
        <f>IF(P4726="","",IF(P4726="Gasto",S4726,IF(P4726="Reembolso",-S4726,0)))</f>
        <v/>
      </c>
      <c r="V4726" s="53">
        <f>IF(P4726="","",IF(P4726="Ingreso",S4726,0))</f>
        <v/>
      </c>
      <c r="W4726" s="53">
        <f>IF(P4726="","",IF(P4726="Resultado trading",S4726,0))</f>
        <v/>
      </c>
      <c r="X4726" s="52">
        <f>IF(OR(P4726="Gasto",P4726="Reembolso"),IF(M4726&lt;&gt;"",M4726,IFERROR(INDEX(catClasif,MATCH(D4726&amp;"|"&amp;E4726,catClave,0))&amp;"","Variable")),"")</f>
        <v/>
      </c>
      <c r="Y4726" s="52">
        <f>IF(P4726="","",IFERROR(INDEX(catGrupo,MATCH(D4726&amp;"|"&amp;E4726,catClave,0))&amp;"",""))</f>
        <v/>
      </c>
      <c r="Z4726" s="52">
        <f>IF(P4726="","",WEEKDAY(B4726,2))</f>
        <v/>
      </c>
      <c r="AA4726" s="52">
        <f>IF(P4726="","",IF(AND(P4726="Gasto",X4726="Variable",D4726&lt;&gt;catTrading,S4726&gt;0,S4726&lt;=Umbral),1,0))</f>
        <v/>
      </c>
      <c r="AB4726" s="52">
        <f>IF(OR(P4726="",Q4726=""),"",IFERROR(IF(INDEX(ctaVinc,MATCH(Q4726,ctaNombre,0))&amp;""&lt;&gt;"",INDEX(ctaVinc,MATCH(Q4726,ctaNombre,0))&amp;"",Q4726),Q4726))</f>
        <v/>
      </c>
      <c r="AC4726" s="52">
        <f>IF(OR(K4726="",AND(P4726&lt;&gt;"Transferencia",P4726&lt;&gt;"Pago tarjeta")),"",IFERROR(IF(INDEX(ctaVinc,MATCH(K4726,ctaNombre,0))&amp;""&lt;&gt;"",INDEX(ctaVinc,MATCH(K4726,ctaNombre,0))&amp;"",K4726),K4726))</f>
        <v/>
      </c>
      <c r="AD4726" s="52">
        <f>IF(AB4726="","",IFERROR(INDEX(ctaTipo,MATCH(AB4726,ctaNombre,0))&amp;"",""))</f>
        <v/>
      </c>
      <c r="AE4726" s="52">
        <f>IF(AC4726="","",IFERROR(INDEX(ctaTipo,MATCH(AC4726,ctaNombre,0))&amp;"",""))</f>
        <v/>
      </c>
      <c r="AF4726" s="53">
        <f>IF(OR(P4726="",AB4726=""),"",IF(OR(P4726="Gasto",P4726="Transferencia",P4726="Pago tarjeta"),-1,1)*IF(IFERROR(INDEX(ctaMoneda,MATCH(AB4726,ctaNombre,0))&amp;"","DOP")="USD",T4726,S4726))</f>
        <v/>
      </c>
      <c r="AG4726" s="53">
        <f>IF(AC4726="","",IF(IFERROR(INDEX(ctaMoneda,MATCH(AC4726,ctaNombre,0))&amp;"","DOP")="USD",T4726,S4726))</f>
        <v/>
      </c>
      <c r="AH4726" s="53">
        <f>IF(P4726="","",IF(AND(AD4726&lt;&gt;"",COUNTIFS(tcTipo,AD4726,tcLiq,"Sí")&gt;0),IF(OR(P4726="Gasto",P4726="Transferencia",P4726="Pago tarjeta"),-1,1)*S4726,0)+IF(AND(AE4726&lt;&gt;"",COUNTIFS(tcTipo,AE4726,tcLiq,"Sí")&gt;0),S4726,0))</f>
        <v/>
      </c>
      <c r="AI4726" s="52">
        <f>IF(OR(L4726="",P4726=""),"",IF(COUNTIFS(L$6:L4726,L4726,P$6:P4726,"?*")=1,MAX(AI$5:AI4725)+1,""))</f>
        <v/>
      </c>
    </row>
    <row r="4727">
      <c r="B4727" s="47" t="n"/>
      <c r="C4727" s="48" t="n"/>
      <c r="D4727" s="48" t="n"/>
      <c r="E4727" s="48" t="n"/>
      <c r="F4727" s="48" t="n"/>
      <c r="G4727" s="49" t="n"/>
      <c r="H4727" s="48" t="n"/>
      <c r="I4727" s="50" t="n"/>
      <c r="J4727" s="48" t="n"/>
      <c r="K4727" s="48" t="n"/>
      <c r="L4727" s="48" t="n"/>
      <c r="M4727" s="48" t="n"/>
      <c r="N4727" s="48" t="n"/>
      <c r="O4727" s="51">
        <f>IF(AND(B4727="",G4727="",C4727="",D4727="",J4727=""),"",IF(B4727="","⚠ Falta fecha",IF(G4727="","⚠ Falta monto",IF(Q4727="","⚠ Falta cuenta",IF(ISNA(MATCH(Q4727,ctaNombre,0)),"⚠ Cuenta no registrada",IF(AND(OR(P4727="Gasto",P4727="Reembolso"),D4727=""),"⚠ Falta categoría",IF(AND(D4727&lt;&gt;"",E4727&lt;&gt;"",ISNA(MATCH(D4727&amp;"|"&amp;E4727,catClave,0))),"⚠ Subcategoría no corresponde",IF(AND(OR(P4727="Transferencia",P4727="Pago tarjeta"),K4727=""),"⚠ Falta cuenta destino",IF(AND(K4727&lt;&gt;"",P4727&lt;&gt;"Transferencia",P4727&lt;&gt;"Pago tarjeta"),"⚠ Destino solo aplica a transferencias",IF(AND(K4727&lt;&gt;"",K4727=Q4727),"⚠ Origen igual a destino",IF(AND(K4727&lt;&gt;"",ISNA(MATCH(K4727,ctaNombre,0))),"⚠ Destino no registrado",IF(AND(P4727="Pago tarjeta",AE4727&lt;&gt;"Tarjeta de crédito"),"⚠ El destino debe ser tarjeta de crédito",IF(AND(P4727="Gasto",E4727="Depósitos y retiros"),"⚠ Usa tipo Transferencia",IF(AND(P4727="Resultado trading",AD4727&lt;&gt;"Cuenta de trading"),"⚠ Usa una cuenta de trading",IF(AND(G4727&lt;=0,P4727&lt;&gt;"Ajuste",P4727&lt;&gt;"Resultado trading"),"⚠ El monto debe ser positivo","✓")))))))))))))))</f>
        <v/>
      </c>
      <c r="P4727" s="52">
        <f>IF(OR(B4727="",G4727=""),"",IF(C4727="","Gasto",C4727))</f>
        <v/>
      </c>
      <c r="Q4727" s="52">
        <f>IF(P4727="","",IF(J4727&lt;&gt;"",J4727,CuentaPred&amp;""))</f>
        <v/>
      </c>
      <c r="R4727" s="52">
        <f>IF(P4727="","",IF(ISNUMBER(I4727),I4727,TasaUSD))</f>
        <v/>
      </c>
      <c r="S4727" s="53">
        <f>IF(P4727="","",IF(H4727="USD",G4727*R4727,G4727))</f>
        <v/>
      </c>
      <c r="T4727" s="53">
        <f>IF(P4727="","",IF(H4727="USD",G4727,IF(R4727&gt;0,G4727/R4727,0)))</f>
        <v/>
      </c>
      <c r="U4727" s="53">
        <f>IF(P4727="","",IF(P4727="Gasto",S4727,IF(P4727="Reembolso",-S4727,0)))</f>
        <v/>
      </c>
      <c r="V4727" s="53">
        <f>IF(P4727="","",IF(P4727="Ingreso",S4727,0))</f>
        <v/>
      </c>
      <c r="W4727" s="53">
        <f>IF(P4727="","",IF(P4727="Resultado trading",S4727,0))</f>
        <v/>
      </c>
      <c r="X4727" s="52">
        <f>IF(OR(P4727="Gasto",P4727="Reembolso"),IF(M4727&lt;&gt;"",M4727,IFERROR(INDEX(catClasif,MATCH(D4727&amp;"|"&amp;E4727,catClave,0))&amp;"","Variable")),"")</f>
        <v/>
      </c>
      <c r="Y4727" s="52">
        <f>IF(P4727="","",IFERROR(INDEX(catGrupo,MATCH(D4727&amp;"|"&amp;E4727,catClave,0))&amp;"",""))</f>
        <v/>
      </c>
      <c r="Z4727" s="52">
        <f>IF(P4727="","",WEEKDAY(B4727,2))</f>
        <v/>
      </c>
      <c r="AA4727" s="52">
        <f>IF(P4727="","",IF(AND(P4727="Gasto",X4727="Variable",D4727&lt;&gt;catTrading,S4727&gt;0,S4727&lt;=Umbral),1,0))</f>
        <v/>
      </c>
      <c r="AB4727" s="52">
        <f>IF(OR(P4727="",Q4727=""),"",IFERROR(IF(INDEX(ctaVinc,MATCH(Q4727,ctaNombre,0))&amp;""&lt;&gt;"",INDEX(ctaVinc,MATCH(Q4727,ctaNombre,0))&amp;"",Q4727),Q4727))</f>
        <v/>
      </c>
      <c r="AC4727" s="52">
        <f>IF(OR(K4727="",AND(P4727&lt;&gt;"Transferencia",P4727&lt;&gt;"Pago tarjeta")),"",IFERROR(IF(INDEX(ctaVinc,MATCH(K4727,ctaNombre,0))&amp;""&lt;&gt;"",INDEX(ctaVinc,MATCH(K4727,ctaNombre,0))&amp;"",K4727),K4727))</f>
        <v/>
      </c>
      <c r="AD4727" s="52">
        <f>IF(AB4727="","",IFERROR(INDEX(ctaTipo,MATCH(AB4727,ctaNombre,0))&amp;"",""))</f>
        <v/>
      </c>
      <c r="AE4727" s="52">
        <f>IF(AC4727="","",IFERROR(INDEX(ctaTipo,MATCH(AC4727,ctaNombre,0))&amp;"",""))</f>
        <v/>
      </c>
      <c r="AF4727" s="53">
        <f>IF(OR(P4727="",AB4727=""),"",IF(OR(P4727="Gasto",P4727="Transferencia",P4727="Pago tarjeta"),-1,1)*IF(IFERROR(INDEX(ctaMoneda,MATCH(AB4727,ctaNombre,0))&amp;"","DOP")="USD",T4727,S4727))</f>
        <v/>
      </c>
      <c r="AG4727" s="53">
        <f>IF(AC4727="","",IF(IFERROR(INDEX(ctaMoneda,MATCH(AC4727,ctaNombre,0))&amp;"","DOP")="USD",T4727,S4727))</f>
        <v/>
      </c>
      <c r="AH4727" s="53">
        <f>IF(P4727="","",IF(AND(AD4727&lt;&gt;"",COUNTIFS(tcTipo,AD4727,tcLiq,"Sí")&gt;0),IF(OR(P4727="Gasto",P4727="Transferencia",P4727="Pago tarjeta"),-1,1)*S4727,0)+IF(AND(AE4727&lt;&gt;"",COUNTIFS(tcTipo,AE4727,tcLiq,"Sí")&gt;0),S4727,0))</f>
        <v/>
      </c>
      <c r="AI4727" s="52">
        <f>IF(OR(L4727="",P4727=""),"",IF(COUNTIFS(L$6:L4727,L4727,P$6:P4727,"?*")=1,MAX(AI$5:AI4726)+1,""))</f>
        <v/>
      </c>
    </row>
    <row r="4728">
      <c r="B4728" s="47" t="n"/>
      <c r="C4728" s="48" t="n"/>
      <c r="D4728" s="48" t="n"/>
      <c r="E4728" s="48" t="n"/>
      <c r="F4728" s="48" t="n"/>
      <c r="G4728" s="49" t="n"/>
      <c r="H4728" s="48" t="n"/>
      <c r="I4728" s="50" t="n"/>
      <c r="J4728" s="48" t="n"/>
      <c r="K4728" s="48" t="n"/>
      <c r="L4728" s="48" t="n"/>
      <c r="M4728" s="48" t="n"/>
      <c r="N4728" s="48" t="n"/>
      <c r="O4728" s="51">
        <f>IF(AND(B4728="",G4728="",C4728="",D4728="",J4728=""),"",IF(B4728="","⚠ Falta fecha",IF(G4728="","⚠ Falta monto",IF(Q4728="","⚠ Falta cuenta",IF(ISNA(MATCH(Q4728,ctaNombre,0)),"⚠ Cuenta no registrada",IF(AND(OR(P4728="Gasto",P4728="Reembolso"),D4728=""),"⚠ Falta categoría",IF(AND(D4728&lt;&gt;"",E4728&lt;&gt;"",ISNA(MATCH(D4728&amp;"|"&amp;E4728,catClave,0))),"⚠ Subcategoría no corresponde",IF(AND(OR(P4728="Transferencia",P4728="Pago tarjeta"),K4728=""),"⚠ Falta cuenta destino",IF(AND(K4728&lt;&gt;"",P4728&lt;&gt;"Transferencia",P4728&lt;&gt;"Pago tarjeta"),"⚠ Destino solo aplica a transferencias",IF(AND(K4728&lt;&gt;"",K4728=Q4728),"⚠ Origen igual a destino",IF(AND(K4728&lt;&gt;"",ISNA(MATCH(K4728,ctaNombre,0))),"⚠ Destino no registrado",IF(AND(P4728="Pago tarjeta",AE4728&lt;&gt;"Tarjeta de crédito"),"⚠ El destino debe ser tarjeta de crédito",IF(AND(P4728="Gasto",E4728="Depósitos y retiros"),"⚠ Usa tipo Transferencia",IF(AND(P4728="Resultado trading",AD4728&lt;&gt;"Cuenta de trading"),"⚠ Usa una cuenta de trading",IF(AND(G4728&lt;=0,P4728&lt;&gt;"Ajuste",P4728&lt;&gt;"Resultado trading"),"⚠ El monto debe ser positivo","✓")))))))))))))))</f>
        <v/>
      </c>
      <c r="P4728" s="52">
        <f>IF(OR(B4728="",G4728=""),"",IF(C4728="","Gasto",C4728))</f>
        <v/>
      </c>
      <c r="Q4728" s="52">
        <f>IF(P4728="","",IF(J4728&lt;&gt;"",J4728,CuentaPred&amp;""))</f>
        <v/>
      </c>
      <c r="R4728" s="52">
        <f>IF(P4728="","",IF(ISNUMBER(I4728),I4728,TasaUSD))</f>
        <v/>
      </c>
      <c r="S4728" s="53">
        <f>IF(P4728="","",IF(H4728="USD",G4728*R4728,G4728))</f>
        <v/>
      </c>
      <c r="T4728" s="53">
        <f>IF(P4728="","",IF(H4728="USD",G4728,IF(R4728&gt;0,G4728/R4728,0)))</f>
        <v/>
      </c>
      <c r="U4728" s="53">
        <f>IF(P4728="","",IF(P4728="Gasto",S4728,IF(P4728="Reembolso",-S4728,0)))</f>
        <v/>
      </c>
      <c r="V4728" s="53">
        <f>IF(P4728="","",IF(P4728="Ingreso",S4728,0))</f>
        <v/>
      </c>
      <c r="W4728" s="53">
        <f>IF(P4728="","",IF(P4728="Resultado trading",S4728,0))</f>
        <v/>
      </c>
      <c r="X4728" s="52">
        <f>IF(OR(P4728="Gasto",P4728="Reembolso"),IF(M4728&lt;&gt;"",M4728,IFERROR(INDEX(catClasif,MATCH(D4728&amp;"|"&amp;E4728,catClave,0))&amp;"","Variable")),"")</f>
        <v/>
      </c>
      <c r="Y4728" s="52">
        <f>IF(P4728="","",IFERROR(INDEX(catGrupo,MATCH(D4728&amp;"|"&amp;E4728,catClave,0))&amp;"",""))</f>
        <v/>
      </c>
      <c r="Z4728" s="52">
        <f>IF(P4728="","",WEEKDAY(B4728,2))</f>
        <v/>
      </c>
      <c r="AA4728" s="52">
        <f>IF(P4728="","",IF(AND(P4728="Gasto",X4728="Variable",D4728&lt;&gt;catTrading,S4728&gt;0,S4728&lt;=Umbral),1,0))</f>
        <v/>
      </c>
      <c r="AB4728" s="52">
        <f>IF(OR(P4728="",Q4728=""),"",IFERROR(IF(INDEX(ctaVinc,MATCH(Q4728,ctaNombre,0))&amp;""&lt;&gt;"",INDEX(ctaVinc,MATCH(Q4728,ctaNombre,0))&amp;"",Q4728),Q4728))</f>
        <v/>
      </c>
      <c r="AC4728" s="52">
        <f>IF(OR(K4728="",AND(P4728&lt;&gt;"Transferencia",P4728&lt;&gt;"Pago tarjeta")),"",IFERROR(IF(INDEX(ctaVinc,MATCH(K4728,ctaNombre,0))&amp;""&lt;&gt;"",INDEX(ctaVinc,MATCH(K4728,ctaNombre,0))&amp;"",K4728),K4728))</f>
        <v/>
      </c>
      <c r="AD4728" s="52">
        <f>IF(AB4728="","",IFERROR(INDEX(ctaTipo,MATCH(AB4728,ctaNombre,0))&amp;"",""))</f>
        <v/>
      </c>
      <c r="AE4728" s="52">
        <f>IF(AC4728="","",IFERROR(INDEX(ctaTipo,MATCH(AC4728,ctaNombre,0))&amp;"",""))</f>
        <v/>
      </c>
      <c r="AF4728" s="53">
        <f>IF(OR(P4728="",AB4728=""),"",IF(OR(P4728="Gasto",P4728="Transferencia",P4728="Pago tarjeta"),-1,1)*IF(IFERROR(INDEX(ctaMoneda,MATCH(AB4728,ctaNombre,0))&amp;"","DOP")="USD",T4728,S4728))</f>
        <v/>
      </c>
      <c r="AG4728" s="53">
        <f>IF(AC4728="","",IF(IFERROR(INDEX(ctaMoneda,MATCH(AC4728,ctaNombre,0))&amp;"","DOP")="USD",T4728,S4728))</f>
        <v/>
      </c>
      <c r="AH4728" s="53">
        <f>IF(P4728="","",IF(AND(AD4728&lt;&gt;"",COUNTIFS(tcTipo,AD4728,tcLiq,"Sí")&gt;0),IF(OR(P4728="Gasto",P4728="Transferencia",P4728="Pago tarjeta"),-1,1)*S4728,0)+IF(AND(AE4728&lt;&gt;"",COUNTIFS(tcTipo,AE4728,tcLiq,"Sí")&gt;0),S4728,0))</f>
        <v/>
      </c>
      <c r="AI4728" s="52">
        <f>IF(OR(L4728="",P4728=""),"",IF(COUNTIFS(L$6:L4728,L4728,P$6:P4728,"?*")=1,MAX(AI$5:AI4727)+1,""))</f>
        <v/>
      </c>
    </row>
    <row r="4729">
      <c r="B4729" s="47" t="n"/>
      <c r="C4729" s="48" t="n"/>
      <c r="D4729" s="48" t="n"/>
      <c r="E4729" s="48" t="n"/>
      <c r="F4729" s="48" t="n"/>
      <c r="G4729" s="49" t="n"/>
      <c r="H4729" s="48" t="n"/>
      <c r="I4729" s="50" t="n"/>
      <c r="J4729" s="48" t="n"/>
      <c r="K4729" s="48" t="n"/>
      <c r="L4729" s="48" t="n"/>
      <c r="M4729" s="48" t="n"/>
      <c r="N4729" s="48" t="n"/>
      <c r="O4729" s="51">
        <f>IF(AND(B4729="",G4729="",C4729="",D4729="",J4729=""),"",IF(B4729="","⚠ Falta fecha",IF(G4729="","⚠ Falta monto",IF(Q4729="","⚠ Falta cuenta",IF(ISNA(MATCH(Q4729,ctaNombre,0)),"⚠ Cuenta no registrada",IF(AND(OR(P4729="Gasto",P4729="Reembolso"),D4729=""),"⚠ Falta categoría",IF(AND(D4729&lt;&gt;"",E4729&lt;&gt;"",ISNA(MATCH(D4729&amp;"|"&amp;E4729,catClave,0))),"⚠ Subcategoría no corresponde",IF(AND(OR(P4729="Transferencia",P4729="Pago tarjeta"),K4729=""),"⚠ Falta cuenta destino",IF(AND(K4729&lt;&gt;"",P4729&lt;&gt;"Transferencia",P4729&lt;&gt;"Pago tarjeta"),"⚠ Destino solo aplica a transferencias",IF(AND(K4729&lt;&gt;"",K4729=Q4729),"⚠ Origen igual a destino",IF(AND(K4729&lt;&gt;"",ISNA(MATCH(K4729,ctaNombre,0))),"⚠ Destino no registrado",IF(AND(P4729="Pago tarjeta",AE4729&lt;&gt;"Tarjeta de crédito"),"⚠ El destino debe ser tarjeta de crédito",IF(AND(P4729="Gasto",E4729="Depósitos y retiros"),"⚠ Usa tipo Transferencia",IF(AND(P4729="Resultado trading",AD4729&lt;&gt;"Cuenta de trading"),"⚠ Usa una cuenta de trading",IF(AND(G4729&lt;=0,P4729&lt;&gt;"Ajuste",P4729&lt;&gt;"Resultado trading"),"⚠ El monto debe ser positivo","✓")))))))))))))))</f>
        <v/>
      </c>
      <c r="P4729" s="52">
        <f>IF(OR(B4729="",G4729=""),"",IF(C4729="","Gasto",C4729))</f>
        <v/>
      </c>
      <c r="Q4729" s="52">
        <f>IF(P4729="","",IF(J4729&lt;&gt;"",J4729,CuentaPred&amp;""))</f>
        <v/>
      </c>
      <c r="R4729" s="52">
        <f>IF(P4729="","",IF(ISNUMBER(I4729),I4729,TasaUSD))</f>
        <v/>
      </c>
      <c r="S4729" s="53">
        <f>IF(P4729="","",IF(H4729="USD",G4729*R4729,G4729))</f>
        <v/>
      </c>
      <c r="T4729" s="53">
        <f>IF(P4729="","",IF(H4729="USD",G4729,IF(R4729&gt;0,G4729/R4729,0)))</f>
        <v/>
      </c>
      <c r="U4729" s="53">
        <f>IF(P4729="","",IF(P4729="Gasto",S4729,IF(P4729="Reembolso",-S4729,0)))</f>
        <v/>
      </c>
      <c r="V4729" s="53">
        <f>IF(P4729="","",IF(P4729="Ingreso",S4729,0))</f>
        <v/>
      </c>
      <c r="W4729" s="53">
        <f>IF(P4729="","",IF(P4729="Resultado trading",S4729,0))</f>
        <v/>
      </c>
      <c r="X4729" s="52">
        <f>IF(OR(P4729="Gasto",P4729="Reembolso"),IF(M4729&lt;&gt;"",M4729,IFERROR(INDEX(catClasif,MATCH(D4729&amp;"|"&amp;E4729,catClave,0))&amp;"","Variable")),"")</f>
        <v/>
      </c>
      <c r="Y4729" s="52">
        <f>IF(P4729="","",IFERROR(INDEX(catGrupo,MATCH(D4729&amp;"|"&amp;E4729,catClave,0))&amp;"",""))</f>
        <v/>
      </c>
      <c r="Z4729" s="52">
        <f>IF(P4729="","",WEEKDAY(B4729,2))</f>
        <v/>
      </c>
      <c r="AA4729" s="52">
        <f>IF(P4729="","",IF(AND(P4729="Gasto",X4729="Variable",D4729&lt;&gt;catTrading,S4729&gt;0,S4729&lt;=Umbral),1,0))</f>
        <v/>
      </c>
      <c r="AB4729" s="52">
        <f>IF(OR(P4729="",Q4729=""),"",IFERROR(IF(INDEX(ctaVinc,MATCH(Q4729,ctaNombre,0))&amp;""&lt;&gt;"",INDEX(ctaVinc,MATCH(Q4729,ctaNombre,0))&amp;"",Q4729),Q4729))</f>
        <v/>
      </c>
      <c r="AC4729" s="52">
        <f>IF(OR(K4729="",AND(P4729&lt;&gt;"Transferencia",P4729&lt;&gt;"Pago tarjeta")),"",IFERROR(IF(INDEX(ctaVinc,MATCH(K4729,ctaNombre,0))&amp;""&lt;&gt;"",INDEX(ctaVinc,MATCH(K4729,ctaNombre,0))&amp;"",K4729),K4729))</f>
        <v/>
      </c>
      <c r="AD4729" s="52">
        <f>IF(AB4729="","",IFERROR(INDEX(ctaTipo,MATCH(AB4729,ctaNombre,0))&amp;"",""))</f>
        <v/>
      </c>
      <c r="AE4729" s="52">
        <f>IF(AC4729="","",IFERROR(INDEX(ctaTipo,MATCH(AC4729,ctaNombre,0))&amp;"",""))</f>
        <v/>
      </c>
      <c r="AF4729" s="53">
        <f>IF(OR(P4729="",AB4729=""),"",IF(OR(P4729="Gasto",P4729="Transferencia",P4729="Pago tarjeta"),-1,1)*IF(IFERROR(INDEX(ctaMoneda,MATCH(AB4729,ctaNombre,0))&amp;"","DOP")="USD",T4729,S4729))</f>
        <v/>
      </c>
      <c r="AG4729" s="53">
        <f>IF(AC4729="","",IF(IFERROR(INDEX(ctaMoneda,MATCH(AC4729,ctaNombre,0))&amp;"","DOP")="USD",T4729,S4729))</f>
        <v/>
      </c>
      <c r="AH4729" s="53">
        <f>IF(P4729="","",IF(AND(AD4729&lt;&gt;"",COUNTIFS(tcTipo,AD4729,tcLiq,"Sí")&gt;0),IF(OR(P4729="Gasto",P4729="Transferencia",P4729="Pago tarjeta"),-1,1)*S4729,0)+IF(AND(AE4729&lt;&gt;"",COUNTIFS(tcTipo,AE4729,tcLiq,"Sí")&gt;0),S4729,0))</f>
        <v/>
      </c>
      <c r="AI4729" s="52">
        <f>IF(OR(L4729="",P4729=""),"",IF(COUNTIFS(L$6:L4729,L4729,P$6:P4729,"?*")=1,MAX(AI$5:AI4728)+1,""))</f>
        <v/>
      </c>
    </row>
    <row r="4730">
      <c r="B4730" s="47" t="n"/>
      <c r="C4730" s="48" t="n"/>
      <c r="D4730" s="48" t="n"/>
      <c r="E4730" s="48" t="n"/>
      <c r="F4730" s="48" t="n"/>
      <c r="G4730" s="49" t="n"/>
      <c r="H4730" s="48" t="n"/>
      <c r="I4730" s="50" t="n"/>
      <c r="J4730" s="48" t="n"/>
      <c r="K4730" s="48" t="n"/>
      <c r="L4730" s="48" t="n"/>
      <c r="M4730" s="48" t="n"/>
      <c r="N4730" s="48" t="n"/>
      <c r="O4730" s="51">
        <f>IF(AND(B4730="",G4730="",C4730="",D4730="",J4730=""),"",IF(B4730="","⚠ Falta fecha",IF(G4730="","⚠ Falta monto",IF(Q4730="","⚠ Falta cuenta",IF(ISNA(MATCH(Q4730,ctaNombre,0)),"⚠ Cuenta no registrada",IF(AND(OR(P4730="Gasto",P4730="Reembolso"),D4730=""),"⚠ Falta categoría",IF(AND(D4730&lt;&gt;"",E4730&lt;&gt;"",ISNA(MATCH(D4730&amp;"|"&amp;E4730,catClave,0))),"⚠ Subcategoría no corresponde",IF(AND(OR(P4730="Transferencia",P4730="Pago tarjeta"),K4730=""),"⚠ Falta cuenta destino",IF(AND(K4730&lt;&gt;"",P4730&lt;&gt;"Transferencia",P4730&lt;&gt;"Pago tarjeta"),"⚠ Destino solo aplica a transferencias",IF(AND(K4730&lt;&gt;"",K4730=Q4730),"⚠ Origen igual a destino",IF(AND(K4730&lt;&gt;"",ISNA(MATCH(K4730,ctaNombre,0))),"⚠ Destino no registrado",IF(AND(P4730="Pago tarjeta",AE4730&lt;&gt;"Tarjeta de crédito"),"⚠ El destino debe ser tarjeta de crédito",IF(AND(P4730="Gasto",E4730="Depósitos y retiros"),"⚠ Usa tipo Transferencia",IF(AND(P4730="Resultado trading",AD4730&lt;&gt;"Cuenta de trading"),"⚠ Usa una cuenta de trading",IF(AND(G4730&lt;=0,P4730&lt;&gt;"Ajuste",P4730&lt;&gt;"Resultado trading"),"⚠ El monto debe ser positivo","✓")))))))))))))))</f>
        <v/>
      </c>
      <c r="P4730" s="52">
        <f>IF(OR(B4730="",G4730=""),"",IF(C4730="","Gasto",C4730))</f>
        <v/>
      </c>
      <c r="Q4730" s="52">
        <f>IF(P4730="","",IF(J4730&lt;&gt;"",J4730,CuentaPred&amp;""))</f>
        <v/>
      </c>
      <c r="R4730" s="52">
        <f>IF(P4730="","",IF(ISNUMBER(I4730),I4730,TasaUSD))</f>
        <v/>
      </c>
      <c r="S4730" s="53">
        <f>IF(P4730="","",IF(H4730="USD",G4730*R4730,G4730))</f>
        <v/>
      </c>
      <c r="T4730" s="53">
        <f>IF(P4730="","",IF(H4730="USD",G4730,IF(R4730&gt;0,G4730/R4730,0)))</f>
        <v/>
      </c>
      <c r="U4730" s="53">
        <f>IF(P4730="","",IF(P4730="Gasto",S4730,IF(P4730="Reembolso",-S4730,0)))</f>
        <v/>
      </c>
      <c r="V4730" s="53">
        <f>IF(P4730="","",IF(P4730="Ingreso",S4730,0))</f>
        <v/>
      </c>
      <c r="W4730" s="53">
        <f>IF(P4730="","",IF(P4730="Resultado trading",S4730,0))</f>
        <v/>
      </c>
      <c r="X4730" s="52">
        <f>IF(OR(P4730="Gasto",P4730="Reembolso"),IF(M4730&lt;&gt;"",M4730,IFERROR(INDEX(catClasif,MATCH(D4730&amp;"|"&amp;E4730,catClave,0))&amp;"","Variable")),"")</f>
        <v/>
      </c>
      <c r="Y4730" s="52">
        <f>IF(P4730="","",IFERROR(INDEX(catGrupo,MATCH(D4730&amp;"|"&amp;E4730,catClave,0))&amp;"",""))</f>
        <v/>
      </c>
      <c r="Z4730" s="52">
        <f>IF(P4730="","",WEEKDAY(B4730,2))</f>
        <v/>
      </c>
      <c r="AA4730" s="52">
        <f>IF(P4730="","",IF(AND(P4730="Gasto",X4730="Variable",D4730&lt;&gt;catTrading,S4730&gt;0,S4730&lt;=Umbral),1,0))</f>
        <v/>
      </c>
      <c r="AB4730" s="52">
        <f>IF(OR(P4730="",Q4730=""),"",IFERROR(IF(INDEX(ctaVinc,MATCH(Q4730,ctaNombre,0))&amp;""&lt;&gt;"",INDEX(ctaVinc,MATCH(Q4730,ctaNombre,0))&amp;"",Q4730),Q4730))</f>
        <v/>
      </c>
      <c r="AC4730" s="52">
        <f>IF(OR(K4730="",AND(P4730&lt;&gt;"Transferencia",P4730&lt;&gt;"Pago tarjeta")),"",IFERROR(IF(INDEX(ctaVinc,MATCH(K4730,ctaNombre,0))&amp;""&lt;&gt;"",INDEX(ctaVinc,MATCH(K4730,ctaNombre,0))&amp;"",K4730),K4730))</f>
        <v/>
      </c>
      <c r="AD4730" s="52">
        <f>IF(AB4730="","",IFERROR(INDEX(ctaTipo,MATCH(AB4730,ctaNombre,0))&amp;"",""))</f>
        <v/>
      </c>
      <c r="AE4730" s="52">
        <f>IF(AC4730="","",IFERROR(INDEX(ctaTipo,MATCH(AC4730,ctaNombre,0))&amp;"",""))</f>
        <v/>
      </c>
      <c r="AF4730" s="53">
        <f>IF(OR(P4730="",AB4730=""),"",IF(OR(P4730="Gasto",P4730="Transferencia",P4730="Pago tarjeta"),-1,1)*IF(IFERROR(INDEX(ctaMoneda,MATCH(AB4730,ctaNombre,0))&amp;"","DOP")="USD",T4730,S4730))</f>
        <v/>
      </c>
      <c r="AG4730" s="53">
        <f>IF(AC4730="","",IF(IFERROR(INDEX(ctaMoneda,MATCH(AC4730,ctaNombre,0))&amp;"","DOP")="USD",T4730,S4730))</f>
        <v/>
      </c>
      <c r="AH4730" s="53">
        <f>IF(P4730="","",IF(AND(AD4730&lt;&gt;"",COUNTIFS(tcTipo,AD4730,tcLiq,"Sí")&gt;0),IF(OR(P4730="Gasto",P4730="Transferencia",P4730="Pago tarjeta"),-1,1)*S4730,0)+IF(AND(AE4730&lt;&gt;"",COUNTIFS(tcTipo,AE4730,tcLiq,"Sí")&gt;0),S4730,0))</f>
        <v/>
      </c>
      <c r="AI4730" s="52">
        <f>IF(OR(L4730="",P4730=""),"",IF(COUNTIFS(L$6:L4730,L4730,P$6:P4730,"?*")=1,MAX(AI$5:AI4729)+1,""))</f>
        <v/>
      </c>
    </row>
    <row r="4731">
      <c r="B4731" s="47" t="n"/>
      <c r="C4731" s="48" t="n"/>
      <c r="D4731" s="48" t="n"/>
      <c r="E4731" s="48" t="n"/>
      <c r="F4731" s="48" t="n"/>
      <c r="G4731" s="49" t="n"/>
      <c r="H4731" s="48" t="n"/>
      <c r="I4731" s="50" t="n"/>
      <c r="J4731" s="48" t="n"/>
      <c r="K4731" s="48" t="n"/>
      <c r="L4731" s="48" t="n"/>
      <c r="M4731" s="48" t="n"/>
      <c r="N4731" s="48" t="n"/>
      <c r="O4731" s="51">
        <f>IF(AND(B4731="",G4731="",C4731="",D4731="",J4731=""),"",IF(B4731="","⚠ Falta fecha",IF(G4731="","⚠ Falta monto",IF(Q4731="","⚠ Falta cuenta",IF(ISNA(MATCH(Q4731,ctaNombre,0)),"⚠ Cuenta no registrada",IF(AND(OR(P4731="Gasto",P4731="Reembolso"),D4731=""),"⚠ Falta categoría",IF(AND(D4731&lt;&gt;"",E4731&lt;&gt;"",ISNA(MATCH(D4731&amp;"|"&amp;E4731,catClave,0))),"⚠ Subcategoría no corresponde",IF(AND(OR(P4731="Transferencia",P4731="Pago tarjeta"),K4731=""),"⚠ Falta cuenta destino",IF(AND(K4731&lt;&gt;"",P4731&lt;&gt;"Transferencia",P4731&lt;&gt;"Pago tarjeta"),"⚠ Destino solo aplica a transferencias",IF(AND(K4731&lt;&gt;"",K4731=Q4731),"⚠ Origen igual a destino",IF(AND(K4731&lt;&gt;"",ISNA(MATCH(K4731,ctaNombre,0))),"⚠ Destino no registrado",IF(AND(P4731="Pago tarjeta",AE4731&lt;&gt;"Tarjeta de crédito"),"⚠ El destino debe ser tarjeta de crédito",IF(AND(P4731="Gasto",E4731="Depósitos y retiros"),"⚠ Usa tipo Transferencia",IF(AND(P4731="Resultado trading",AD4731&lt;&gt;"Cuenta de trading"),"⚠ Usa una cuenta de trading",IF(AND(G4731&lt;=0,P4731&lt;&gt;"Ajuste",P4731&lt;&gt;"Resultado trading"),"⚠ El monto debe ser positivo","✓")))))))))))))))</f>
        <v/>
      </c>
      <c r="P4731" s="52">
        <f>IF(OR(B4731="",G4731=""),"",IF(C4731="","Gasto",C4731))</f>
        <v/>
      </c>
      <c r="Q4731" s="52">
        <f>IF(P4731="","",IF(J4731&lt;&gt;"",J4731,CuentaPred&amp;""))</f>
        <v/>
      </c>
      <c r="R4731" s="52">
        <f>IF(P4731="","",IF(ISNUMBER(I4731),I4731,TasaUSD))</f>
        <v/>
      </c>
      <c r="S4731" s="53">
        <f>IF(P4731="","",IF(H4731="USD",G4731*R4731,G4731))</f>
        <v/>
      </c>
      <c r="T4731" s="53">
        <f>IF(P4731="","",IF(H4731="USD",G4731,IF(R4731&gt;0,G4731/R4731,0)))</f>
        <v/>
      </c>
      <c r="U4731" s="53">
        <f>IF(P4731="","",IF(P4731="Gasto",S4731,IF(P4731="Reembolso",-S4731,0)))</f>
        <v/>
      </c>
      <c r="V4731" s="53">
        <f>IF(P4731="","",IF(P4731="Ingreso",S4731,0))</f>
        <v/>
      </c>
      <c r="W4731" s="53">
        <f>IF(P4731="","",IF(P4731="Resultado trading",S4731,0))</f>
        <v/>
      </c>
      <c r="X4731" s="52">
        <f>IF(OR(P4731="Gasto",P4731="Reembolso"),IF(M4731&lt;&gt;"",M4731,IFERROR(INDEX(catClasif,MATCH(D4731&amp;"|"&amp;E4731,catClave,0))&amp;"","Variable")),"")</f>
        <v/>
      </c>
      <c r="Y4731" s="52">
        <f>IF(P4731="","",IFERROR(INDEX(catGrupo,MATCH(D4731&amp;"|"&amp;E4731,catClave,0))&amp;"",""))</f>
        <v/>
      </c>
      <c r="Z4731" s="52">
        <f>IF(P4731="","",WEEKDAY(B4731,2))</f>
        <v/>
      </c>
      <c r="AA4731" s="52">
        <f>IF(P4731="","",IF(AND(P4731="Gasto",X4731="Variable",D4731&lt;&gt;catTrading,S4731&gt;0,S4731&lt;=Umbral),1,0))</f>
        <v/>
      </c>
      <c r="AB4731" s="52">
        <f>IF(OR(P4731="",Q4731=""),"",IFERROR(IF(INDEX(ctaVinc,MATCH(Q4731,ctaNombre,0))&amp;""&lt;&gt;"",INDEX(ctaVinc,MATCH(Q4731,ctaNombre,0))&amp;"",Q4731),Q4731))</f>
        <v/>
      </c>
      <c r="AC4731" s="52">
        <f>IF(OR(K4731="",AND(P4731&lt;&gt;"Transferencia",P4731&lt;&gt;"Pago tarjeta")),"",IFERROR(IF(INDEX(ctaVinc,MATCH(K4731,ctaNombre,0))&amp;""&lt;&gt;"",INDEX(ctaVinc,MATCH(K4731,ctaNombre,0))&amp;"",K4731),K4731))</f>
        <v/>
      </c>
      <c r="AD4731" s="52">
        <f>IF(AB4731="","",IFERROR(INDEX(ctaTipo,MATCH(AB4731,ctaNombre,0))&amp;"",""))</f>
        <v/>
      </c>
      <c r="AE4731" s="52">
        <f>IF(AC4731="","",IFERROR(INDEX(ctaTipo,MATCH(AC4731,ctaNombre,0))&amp;"",""))</f>
        <v/>
      </c>
      <c r="AF4731" s="53">
        <f>IF(OR(P4731="",AB4731=""),"",IF(OR(P4731="Gasto",P4731="Transferencia",P4731="Pago tarjeta"),-1,1)*IF(IFERROR(INDEX(ctaMoneda,MATCH(AB4731,ctaNombre,0))&amp;"","DOP")="USD",T4731,S4731))</f>
        <v/>
      </c>
      <c r="AG4731" s="53">
        <f>IF(AC4731="","",IF(IFERROR(INDEX(ctaMoneda,MATCH(AC4731,ctaNombre,0))&amp;"","DOP")="USD",T4731,S4731))</f>
        <v/>
      </c>
      <c r="AH4731" s="53">
        <f>IF(P4731="","",IF(AND(AD4731&lt;&gt;"",COUNTIFS(tcTipo,AD4731,tcLiq,"Sí")&gt;0),IF(OR(P4731="Gasto",P4731="Transferencia",P4731="Pago tarjeta"),-1,1)*S4731,0)+IF(AND(AE4731&lt;&gt;"",COUNTIFS(tcTipo,AE4731,tcLiq,"Sí")&gt;0),S4731,0))</f>
        <v/>
      </c>
      <c r="AI4731" s="52">
        <f>IF(OR(L4731="",P4731=""),"",IF(COUNTIFS(L$6:L4731,L4731,P$6:P4731,"?*")=1,MAX(AI$5:AI4730)+1,""))</f>
        <v/>
      </c>
    </row>
    <row r="4732">
      <c r="B4732" s="47" t="n"/>
      <c r="C4732" s="48" t="n"/>
      <c r="D4732" s="48" t="n"/>
      <c r="E4732" s="48" t="n"/>
      <c r="F4732" s="48" t="n"/>
      <c r="G4732" s="49" t="n"/>
      <c r="H4732" s="48" t="n"/>
      <c r="I4732" s="50" t="n"/>
      <c r="J4732" s="48" t="n"/>
      <c r="K4732" s="48" t="n"/>
      <c r="L4732" s="48" t="n"/>
      <c r="M4732" s="48" t="n"/>
      <c r="N4732" s="48" t="n"/>
      <c r="O4732" s="51">
        <f>IF(AND(B4732="",G4732="",C4732="",D4732="",J4732=""),"",IF(B4732="","⚠ Falta fecha",IF(G4732="","⚠ Falta monto",IF(Q4732="","⚠ Falta cuenta",IF(ISNA(MATCH(Q4732,ctaNombre,0)),"⚠ Cuenta no registrada",IF(AND(OR(P4732="Gasto",P4732="Reembolso"),D4732=""),"⚠ Falta categoría",IF(AND(D4732&lt;&gt;"",E4732&lt;&gt;"",ISNA(MATCH(D4732&amp;"|"&amp;E4732,catClave,0))),"⚠ Subcategoría no corresponde",IF(AND(OR(P4732="Transferencia",P4732="Pago tarjeta"),K4732=""),"⚠ Falta cuenta destino",IF(AND(K4732&lt;&gt;"",P4732&lt;&gt;"Transferencia",P4732&lt;&gt;"Pago tarjeta"),"⚠ Destino solo aplica a transferencias",IF(AND(K4732&lt;&gt;"",K4732=Q4732),"⚠ Origen igual a destino",IF(AND(K4732&lt;&gt;"",ISNA(MATCH(K4732,ctaNombre,0))),"⚠ Destino no registrado",IF(AND(P4732="Pago tarjeta",AE4732&lt;&gt;"Tarjeta de crédito"),"⚠ El destino debe ser tarjeta de crédito",IF(AND(P4732="Gasto",E4732="Depósitos y retiros"),"⚠ Usa tipo Transferencia",IF(AND(P4732="Resultado trading",AD4732&lt;&gt;"Cuenta de trading"),"⚠ Usa una cuenta de trading",IF(AND(G4732&lt;=0,P4732&lt;&gt;"Ajuste",P4732&lt;&gt;"Resultado trading"),"⚠ El monto debe ser positivo","✓")))))))))))))))</f>
        <v/>
      </c>
      <c r="P4732" s="52">
        <f>IF(OR(B4732="",G4732=""),"",IF(C4732="","Gasto",C4732))</f>
        <v/>
      </c>
      <c r="Q4732" s="52">
        <f>IF(P4732="","",IF(J4732&lt;&gt;"",J4732,CuentaPred&amp;""))</f>
        <v/>
      </c>
      <c r="R4732" s="52">
        <f>IF(P4732="","",IF(ISNUMBER(I4732),I4732,TasaUSD))</f>
        <v/>
      </c>
      <c r="S4732" s="53">
        <f>IF(P4732="","",IF(H4732="USD",G4732*R4732,G4732))</f>
        <v/>
      </c>
      <c r="T4732" s="53">
        <f>IF(P4732="","",IF(H4732="USD",G4732,IF(R4732&gt;0,G4732/R4732,0)))</f>
        <v/>
      </c>
      <c r="U4732" s="53">
        <f>IF(P4732="","",IF(P4732="Gasto",S4732,IF(P4732="Reembolso",-S4732,0)))</f>
        <v/>
      </c>
      <c r="V4732" s="53">
        <f>IF(P4732="","",IF(P4732="Ingreso",S4732,0))</f>
        <v/>
      </c>
      <c r="W4732" s="53">
        <f>IF(P4732="","",IF(P4732="Resultado trading",S4732,0))</f>
        <v/>
      </c>
      <c r="X4732" s="52">
        <f>IF(OR(P4732="Gasto",P4732="Reembolso"),IF(M4732&lt;&gt;"",M4732,IFERROR(INDEX(catClasif,MATCH(D4732&amp;"|"&amp;E4732,catClave,0))&amp;"","Variable")),"")</f>
        <v/>
      </c>
      <c r="Y4732" s="52">
        <f>IF(P4732="","",IFERROR(INDEX(catGrupo,MATCH(D4732&amp;"|"&amp;E4732,catClave,0))&amp;"",""))</f>
        <v/>
      </c>
      <c r="Z4732" s="52">
        <f>IF(P4732="","",WEEKDAY(B4732,2))</f>
        <v/>
      </c>
      <c r="AA4732" s="52">
        <f>IF(P4732="","",IF(AND(P4732="Gasto",X4732="Variable",D4732&lt;&gt;catTrading,S4732&gt;0,S4732&lt;=Umbral),1,0))</f>
        <v/>
      </c>
      <c r="AB4732" s="52">
        <f>IF(OR(P4732="",Q4732=""),"",IFERROR(IF(INDEX(ctaVinc,MATCH(Q4732,ctaNombre,0))&amp;""&lt;&gt;"",INDEX(ctaVinc,MATCH(Q4732,ctaNombre,0))&amp;"",Q4732),Q4732))</f>
        <v/>
      </c>
      <c r="AC4732" s="52">
        <f>IF(OR(K4732="",AND(P4732&lt;&gt;"Transferencia",P4732&lt;&gt;"Pago tarjeta")),"",IFERROR(IF(INDEX(ctaVinc,MATCH(K4732,ctaNombre,0))&amp;""&lt;&gt;"",INDEX(ctaVinc,MATCH(K4732,ctaNombre,0))&amp;"",K4732),K4732))</f>
        <v/>
      </c>
      <c r="AD4732" s="52">
        <f>IF(AB4732="","",IFERROR(INDEX(ctaTipo,MATCH(AB4732,ctaNombre,0))&amp;"",""))</f>
        <v/>
      </c>
      <c r="AE4732" s="52">
        <f>IF(AC4732="","",IFERROR(INDEX(ctaTipo,MATCH(AC4732,ctaNombre,0))&amp;"",""))</f>
        <v/>
      </c>
      <c r="AF4732" s="53">
        <f>IF(OR(P4732="",AB4732=""),"",IF(OR(P4732="Gasto",P4732="Transferencia",P4732="Pago tarjeta"),-1,1)*IF(IFERROR(INDEX(ctaMoneda,MATCH(AB4732,ctaNombre,0))&amp;"","DOP")="USD",T4732,S4732))</f>
        <v/>
      </c>
      <c r="AG4732" s="53">
        <f>IF(AC4732="","",IF(IFERROR(INDEX(ctaMoneda,MATCH(AC4732,ctaNombre,0))&amp;"","DOP")="USD",T4732,S4732))</f>
        <v/>
      </c>
      <c r="AH4732" s="53">
        <f>IF(P4732="","",IF(AND(AD4732&lt;&gt;"",COUNTIFS(tcTipo,AD4732,tcLiq,"Sí")&gt;0),IF(OR(P4732="Gasto",P4732="Transferencia",P4732="Pago tarjeta"),-1,1)*S4732,0)+IF(AND(AE4732&lt;&gt;"",COUNTIFS(tcTipo,AE4732,tcLiq,"Sí")&gt;0),S4732,0))</f>
        <v/>
      </c>
      <c r="AI4732" s="52">
        <f>IF(OR(L4732="",P4732=""),"",IF(COUNTIFS(L$6:L4732,L4732,P$6:P4732,"?*")=1,MAX(AI$5:AI4731)+1,""))</f>
        <v/>
      </c>
    </row>
    <row r="4733">
      <c r="B4733" s="47" t="n"/>
      <c r="C4733" s="48" t="n"/>
      <c r="D4733" s="48" t="n"/>
      <c r="E4733" s="48" t="n"/>
      <c r="F4733" s="48" t="n"/>
      <c r="G4733" s="49" t="n"/>
      <c r="H4733" s="48" t="n"/>
      <c r="I4733" s="50" t="n"/>
      <c r="J4733" s="48" t="n"/>
      <c r="K4733" s="48" t="n"/>
      <c r="L4733" s="48" t="n"/>
      <c r="M4733" s="48" t="n"/>
      <c r="N4733" s="48" t="n"/>
      <c r="O4733" s="51">
        <f>IF(AND(B4733="",G4733="",C4733="",D4733="",J4733=""),"",IF(B4733="","⚠ Falta fecha",IF(G4733="","⚠ Falta monto",IF(Q4733="","⚠ Falta cuenta",IF(ISNA(MATCH(Q4733,ctaNombre,0)),"⚠ Cuenta no registrada",IF(AND(OR(P4733="Gasto",P4733="Reembolso"),D4733=""),"⚠ Falta categoría",IF(AND(D4733&lt;&gt;"",E4733&lt;&gt;"",ISNA(MATCH(D4733&amp;"|"&amp;E4733,catClave,0))),"⚠ Subcategoría no corresponde",IF(AND(OR(P4733="Transferencia",P4733="Pago tarjeta"),K4733=""),"⚠ Falta cuenta destino",IF(AND(K4733&lt;&gt;"",P4733&lt;&gt;"Transferencia",P4733&lt;&gt;"Pago tarjeta"),"⚠ Destino solo aplica a transferencias",IF(AND(K4733&lt;&gt;"",K4733=Q4733),"⚠ Origen igual a destino",IF(AND(K4733&lt;&gt;"",ISNA(MATCH(K4733,ctaNombre,0))),"⚠ Destino no registrado",IF(AND(P4733="Pago tarjeta",AE4733&lt;&gt;"Tarjeta de crédito"),"⚠ El destino debe ser tarjeta de crédito",IF(AND(P4733="Gasto",E4733="Depósitos y retiros"),"⚠ Usa tipo Transferencia",IF(AND(P4733="Resultado trading",AD4733&lt;&gt;"Cuenta de trading"),"⚠ Usa una cuenta de trading",IF(AND(G4733&lt;=0,P4733&lt;&gt;"Ajuste",P4733&lt;&gt;"Resultado trading"),"⚠ El monto debe ser positivo","✓")))))))))))))))</f>
        <v/>
      </c>
      <c r="P4733" s="52">
        <f>IF(OR(B4733="",G4733=""),"",IF(C4733="","Gasto",C4733))</f>
        <v/>
      </c>
      <c r="Q4733" s="52">
        <f>IF(P4733="","",IF(J4733&lt;&gt;"",J4733,CuentaPred&amp;""))</f>
        <v/>
      </c>
      <c r="R4733" s="52">
        <f>IF(P4733="","",IF(ISNUMBER(I4733),I4733,TasaUSD))</f>
        <v/>
      </c>
      <c r="S4733" s="53">
        <f>IF(P4733="","",IF(H4733="USD",G4733*R4733,G4733))</f>
        <v/>
      </c>
      <c r="T4733" s="53">
        <f>IF(P4733="","",IF(H4733="USD",G4733,IF(R4733&gt;0,G4733/R4733,0)))</f>
        <v/>
      </c>
      <c r="U4733" s="53">
        <f>IF(P4733="","",IF(P4733="Gasto",S4733,IF(P4733="Reembolso",-S4733,0)))</f>
        <v/>
      </c>
      <c r="V4733" s="53">
        <f>IF(P4733="","",IF(P4733="Ingreso",S4733,0))</f>
        <v/>
      </c>
      <c r="W4733" s="53">
        <f>IF(P4733="","",IF(P4733="Resultado trading",S4733,0))</f>
        <v/>
      </c>
      <c r="X4733" s="52">
        <f>IF(OR(P4733="Gasto",P4733="Reembolso"),IF(M4733&lt;&gt;"",M4733,IFERROR(INDEX(catClasif,MATCH(D4733&amp;"|"&amp;E4733,catClave,0))&amp;"","Variable")),"")</f>
        <v/>
      </c>
      <c r="Y4733" s="52">
        <f>IF(P4733="","",IFERROR(INDEX(catGrupo,MATCH(D4733&amp;"|"&amp;E4733,catClave,0))&amp;"",""))</f>
        <v/>
      </c>
      <c r="Z4733" s="52">
        <f>IF(P4733="","",WEEKDAY(B4733,2))</f>
        <v/>
      </c>
      <c r="AA4733" s="52">
        <f>IF(P4733="","",IF(AND(P4733="Gasto",X4733="Variable",D4733&lt;&gt;catTrading,S4733&gt;0,S4733&lt;=Umbral),1,0))</f>
        <v/>
      </c>
      <c r="AB4733" s="52">
        <f>IF(OR(P4733="",Q4733=""),"",IFERROR(IF(INDEX(ctaVinc,MATCH(Q4733,ctaNombre,0))&amp;""&lt;&gt;"",INDEX(ctaVinc,MATCH(Q4733,ctaNombre,0))&amp;"",Q4733),Q4733))</f>
        <v/>
      </c>
      <c r="AC4733" s="52">
        <f>IF(OR(K4733="",AND(P4733&lt;&gt;"Transferencia",P4733&lt;&gt;"Pago tarjeta")),"",IFERROR(IF(INDEX(ctaVinc,MATCH(K4733,ctaNombre,0))&amp;""&lt;&gt;"",INDEX(ctaVinc,MATCH(K4733,ctaNombre,0))&amp;"",K4733),K4733))</f>
        <v/>
      </c>
      <c r="AD4733" s="52">
        <f>IF(AB4733="","",IFERROR(INDEX(ctaTipo,MATCH(AB4733,ctaNombre,0))&amp;"",""))</f>
        <v/>
      </c>
      <c r="AE4733" s="52">
        <f>IF(AC4733="","",IFERROR(INDEX(ctaTipo,MATCH(AC4733,ctaNombre,0))&amp;"",""))</f>
        <v/>
      </c>
      <c r="AF4733" s="53">
        <f>IF(OR(P4733="",AB4733=""),"",IF(OR(P4733="Gasto",P4733="Transferencia",P4733="Pago tarjeta"),-1,1)*IF(IFERROR(INDEX(ctaMoneda,MATCH(AB4733,ctaNombre,0))&amp;"","DOP")="USD",T4733,S4733))</f>
        <v/>
      </c>
      <c r="AG4733" s="53">
        <f>IF(AC4733="","",IF(IFERROR(INDEX(ctaMoneda,MATCH(AC4733,ctaNombre,0))&amp;"","DOP")="USD",T4733,S4733))</f>
        <v/>
      </c>
      <c r="AH4733" s="53">
        <f>IF(P4733="","",IF(AND(AD4733&lt;&gt;"",COUNTIFS(tcTipo,AD4733,tcLiq,"Sí")&gt;0),IF(OR(P4733="Gasto",P4733="Transferencia",P4733="Pago tarjeta"),-1,1)*S4733,0)+IF(AND(AE4733&lt;&gt;"",COUNTIFS(tcTipo,AE4733,tcLiq,"Sí")&gt;0),S4733,0))</f>
        <v/>
      </c>
      <c r="AI4733" s="52">
        <f>IF(OR(L4733="",P4733=""),"",IF(COUNTIFS(L$6:L4733,L4733,P$6:P4733,"?*")=1,MAX(AI$5:AI4732)+1,""))</f>
        <v/>
      </c>
    </row>
    <row r="4734">
      <c r="B4734" s="47" t="n"/>
      <c r="C4734" s="48" t="n"/>
      <c r="D4734" s="48" t="n"/>
      <c r="E4734" s="48" t="n"/>
      <c r="F4734" s="48" t="n"/>
      <c r="G4734" s="49" t="n"/>
      <c r="H4734" s="48" t="n"/>
      <c r="I4734" s="50" t="n"/>
      <c r="J4734" s="48" t="n"/>
      <c r="K4734" s="48" t="n"/>
      <c r="L4734" s="48" t="n"/>
      <c r="M4734" s="48" t="n"/>
      <c r="N4734" s="48" t="n"/>
      <c r="O4734" s="51">
        <f>IF(AND(B4734="",G4734="",C4734="",D4734="",J4734=""),"",IF(B4734="","⚠ Falta fecha",IF(G4734="","⚠ Falta monto",IF(Q4734="","⚠ Falta cuenta",IF(ISNA(MATCH(Q4734,ctaNombre,0)),"⚠ Cuenta no registrada",IF(AND(OR(P4734="Gasto",P4734="Reembolso"),D4734=""),"⚠ Falta categoría",IF(AND(D4734&lt;&gt;"",E4734&lt;&gt;"",ISNA(MATCH(D4734&amp;"|"&amp;E4734,catClave,0))),"⚠ Subcategoría no corresponde",IF(AND(OR(P4734="Transferencia",P4734="Pago tarjeta"),K4734=""),"⚠ Falta cuenta destino",IF(AND(K4734&lt;&gt;"",P4734&lt;&gt;"Transferencia",P4734&lt;&gt;"Pago tarjeta"),"⚠ Destino solo aplica a transferencias",IF(AND(K4734&lt;&gt;"",K4734=Q4734),"⚠ Origen igual a destino",IF(AND(K4734&lt;&gt;"",ISNA(MATCH(K4734,ctaNombre,0))),"⚠ Destino no registrado",IF(AND(P4734="Pago tarjeta",AE4734&lt;&gt;"Tarjeta de crédito"),"⚠ El destino debe ser tarjeta de crédito",IF(AND(P4734="Gasto",E4734="Depósitos y retiros"),"⚠ Usa tipo Transferencia",IF(AND(P4734="Resultado trading",AD4734&lt;&gt;"Cuenta de trading"),"⚠ Usa una cuenta de trading",IF(AND(G4734&lt;=0,P4734&lt;&gt;"Ajuste",P4734&lt;&gt;"Resultado trading"),"⚠ El monto debe ser positivo","✓")))))))))))))))</f>
        <v/>
      </c>
      <c r="P4734" s="52">
        <f>IF(OR(B4734="",G4734=""),"",IF(C4734="","Gasto",C4734))</f>
        <v/>
      </c>
      <c r="Q4734" s="52">
        <f>IF(P4734="","",IF(J4734&lt;&gt;"",J4734,CuentaPred&amp;""))</f>
        <v/>
      </c>
      <c r="R4734" s="52">
        <f>IF(P4734="","",IF(ISNUMBER(I4734),I4734,TasaUSD))</f>
        <v/>
      </c>
      <c r="S4734" s="53">
        <f>IF(P4734="","",IF(H4734="USD",G4734*R4734,G4734))</f>
        <v/>
      </c>
      <c r="T4734" s="53">
        <f>IF(P4734="","",IF(H4734="USD",G4734,IF(R4734&gt;0,G4734/R4734,0)))</f>
        <v/>
      </c>
      <c r="U4734" s="53">
        <f>IF(P4734="","",IF(P4734="Gasto",S4734,IF(P4734="Reembolso",-S4734,0)))</f>
        <v/>
      </c>
      <c r="V4734" s="53">
        <f>IF(P4734="","",IF(P4734="Ingreso",S4734,0))</f>
        <v/>
      </c>
      <c r="W4734" s="53">
        <f>IF(P4734="","",IF(P4734="Resultado trading",S4734,0))</f>
        <v/>
      </c>
      <c r="X4734" s="52">
        <f>IF(OR(P4734="Gasto",P4734="Reembolso"),IF(M4734&lt;&gt;"",M4734,IFERROR(INDEX(catClasif,MATCH(D4734&amp;"|"&amp;E4734,catClave,0))&amp;"","Variable")),"")</f>
        <v/>
      </c>
      <c r="Y4734" s="52">
        <f>IF(P4734="","",IFERROR(INDEX(catGrupo,MATCH(D4734&amp;"|"&amp;E4734,catClave,0))&amp;"",""))</f>
        <v/>
      </c>
      <c r="Z4734" s="52">
        <f>IF(P4734="","",WEEKDAY(B4734,2))</f>
        <v/>
      </c>
      <c r="AA4734" s="52">
        <f>IF(P4734="","",IF(AND(P4734="Gasto",X4734="Variable",D4734&lt;&gt;catTrading,S4734&gt;0,S4734&lt;=Umbral),1,0))</f>
        <v/>
      </c>
      <c r="AB4734" s="52">
        <f>IF(OR(P4734="",Q4734=""),"",IFERROR(IF(INDEX(ctaVinc,MATCH(Q4734,ctaNombre,0))&amp;""&lt;&gt;"",INDEX(ctaVinc,MATCH(Q4734,ctaNombre,0))&amp;"",Q4734),Q4734))</f>
        <v/>
      </c>
      <c r="AC4734" s="52">
        <f>IF(OR(K4734="",AND(P4734&lt;&gt;"Transferencia",P4734&lt;&gt;"Pago tarjeta")),"",IFERROR(IF(INDEX(ctaVinc,MATCH(K4734,ctaNombre,0))&amp;""&lt;&gt;"",INDEX(ctaVinc,MATCH(K4734,ctaNombre,0))&amp;"",K4734),K4734))</f>
        <v/>
      </c>
      <c r="AD4734" s="52">
        <f>IF(AB4734="","",IFERROR(INDEX(ctaTipo,MATCH(AB4734,ctaNombre,0))&amp;"",""))</f>
        <v/>
      </c>
      <c r="AE4734" s="52">
        <f>IF(AC4734="","",IFERROR(INDEX(ctaTipo,MATCH(AC4734,ctaNombre,0))&amp;"",""))</f>
        <v/>
      </c>
      <c r="AF4734" s="53">
        <f>IF(OR(P4734="",AB4734=""),"",IF(OR(P4734="Gasto",P4734="Transferencia",P4734="Pago tarjeta"),-1,1)*IF(IFERROR(INDEX(ctaMoneda,MATCH(AB4734,ctaNombre,0))&amp;"","DOP")="USD",T4734,S4734))</f>
        <v/>
      </c>
      <c r="AG4734" s="53">
        <f>IF(AC4734="","",IF(IFERROR(INDEX(ctaMoneda,MATCH(AC4734,ctaNombre,0))&amp;"","DOP")="USD",T4734,S4734))</f>
        <v/>
      </c>
      <c r="AH4734" s="53">
        <f>IF(P4734="","",IF(AND(AD4734&lt;&gt;"",COUNTIFS(tcTipo,AD4734,tcLiq,"Sí")&gt;0),IF(OR(P4734="Gasto",P4734="Transferencia",P4734="Pago tarjeta"),-1,1)*S4734,0)+IF(AND(AE4734&lt;&gt;"",COUNTIFS(tcTipo,AE4734,tcLiq,"Sí")&gt;0),S4734,0))</f>
        <v/>
      </c>
      <c r="AI4734" s="52">
        <f>IF(OR(L4734="",P4734=""),"",IF(COUNTIFS(L$6:L4734,L4734,P$6:P4734,"?*")=1,MAX(AI$5:AI4733)+1,""))</f>
        <v/>
      </c>
    </row>
    <row r="4735">
      <c r="B4735" s="47" t="n"/>
      <c r="C4735" s="48" t="n"/>
      <c r="D4735" s="48" t="n"/>
      <c r="E4735" s="48" t="n"/>
      <c r="F4735" s="48" t="n"/>
      <c r="G4735" s="49" t="n"/>
      <c r="H4735" s="48" t="n"/>
      <c r="I4735" s="50" t="n"/>
      <c r="J4735" s="48" t="n"/>
      <c r="K4735" s="48" t="n"/>
      <c r="L4735" s="48" t="n"/>
      <c r="M4735" s="48" t="n"/>
      <c r="N4735" s="48" t="n"/>
      <c r="O4735" s="51">
        <f>IF(AND(B4735="",G4735="",C4735="",D4735="",J4735=""),"",IF(B4735="","⚠ Falta fecha",IF(G4735="","⚠ Falta monto",IF(Q4735="","⚠ Falta cuenta",IF(ISNA(MATCH(Q4735,ctaNombre,0)),"⚠ Cuenta no registrada",IF(AND(OR(P4735="Gasto",P4735="Reembolso"),D4735=""),"⚠ Falta categoría",IF(AND(D4735&lt;&gt;"",E4735&lt;&gt;"",ISNA(MATCH(D4735&amp;"|"&amp;E4735,catClave,0))),"⚠ Subcategoría no corresponde",IF(AND(OR(P4735="Transferencia",P4735="Pago tarjeta"),K4735=""),"⚠ Falta cuenta destino",IF(AND(K4735&lt;&gt;"",P4735&lt;&gt;"Transferencia",P4735&lt;&gt;"Pago tarjeta"),"⚠ Destino solo aplica a transferencias",IF(AND(K4735&lt;&gt;"",K4735=Q4735),"⚠ Origen igual a destino",IF(AND(K4735&lt;&gt;"",ISNA(MATCH(K4735,ctaNombre,0))),"⚠ Destino no registrado",IF(AND(P4735="Pago tarjeta",AE4735&lt;&gt;"Tarjeta de crédito"),"⚠ El destino debe ser tarjeta de crédito",IF(AND(P4735="Gasto",E4735="Depósitos y retiros"),"⚠ Usa tipo Transferencia",IF(AND(P4735="Resultado trading",AD4735&lt;&gt;"Cuenta de trading"),"⚠ Usa una cuenta de trading",IF(AND(G4735&lt;=0,P4735&lt;&gt;"Ajuste",P4735&lt;&gt;"Resultado trading"),"⚠ El monto debe ser positivo","✓")))))))))))))))</f>
        <v/>
      </c>
      <c r="P4735" s="52">
        <f>IF(OR(B4735="",G4735=""),"",IF(C4735="","Gasto",C4735))</f>
        <v/>
      </c>
      <c r="Q4735" s="52">
        <f>IF(P4735="","",IF(J4735&lt;&gt;"",J4735,CuentaPred&amp;""))</f>
        <v/>
      </c>
      <c r="R4735" s="52">
        <f>IF(P4735="","",IF(ISNUMBER(I4735),I4735,TasaUSD))</f>
        <v/>
      </c>
      <c r="S4735" s="53">
        <f>IF(P4735="","",IF(H4735="USD",G4735*R4735,G4735))</f>
        <v/>
      </c>
      <c r="T4735" s="53">
        <f>IF(P4735="","",IF(H4735="USD",G4735,IF(R4735&gt;0,G4735/R4735,0)))</f>
        <v/>
      </c>
      <c r="U4735" s="53">
        <f>IF(P4735="","",IF(P4735="Gasto",S4735,IF(P4735="Reembolso",-S4735,0)))</f>
        <v/>
      </c>
      <c r="V4735" s="53">
        <f>IF(P4735="","",IF(P4735="Ingreso",S4735,0))</f>
        <v/>
      </c>
      <c r="W4735" s="53">
        <f>IF(P4735="","",IF(P4735="Resultado trading",S4735,0))</f>
        <v/>
      </c>
      <c r="X4735" s="52">
        <f>IF(OR(P4735="Gasto",P4735="Reembolso"),IF(M4735&lt;&gt;"",M4735,IFERROR(INDEX(catClasif,MATCH(D4735&amp;"|"&amp;E4735,catClave,0))&amp;"","Variable")),"")</f>
        <v/>
      </c>
      <c r="Y4735" s="52">
        <f>IF(P4735="","",IFERROR(INDEX(catGrupo,MATCH(D4735&amp;"|"&amp;E4735,catClave,0))&amp;"",""))</f>
        <v/>
      </c>
      <c r="Z4735" s="52">
        <f>IF(P4735="","",WEEKDAY(B4735,2))</f>
        <v/>
      </c>
      <c r="AA4735" s="52">
        <f>IF(P4735="","",IF(AND(P4735="Gasto",X4735="Variable",D4735&lt;&gt;catTrading,S4735&gt;0,S4735&lt;=Umbral),1,0))</f>
        <v/>
      </c>
      <c r="AB4735" s="52">
        <f>IF(OR(P4735="",Q4735=""),"",IFERROR(IF(INDEX(ctaVinc,MATCH(Q4735,ctaNombre,0))&amp;""&lt;&gt;"",INDEX(ctaVinc,MATCH(Q4735,ctaNombre,0))&amp;"",Q4735),Q4735))</f>
        <v/>
      </c>
      <c r="AC4735" s="52">
        <f>IF(OR(K4735="",AND(P4735&lt;&gt;"Transferencia",P4735&lt;&gt;"Pago tarjeta")),"",IFERROR(IF(INDEX(ctaVinc,MATCH(K4735,ctaNombre,0))&amp;""&lt;&gt;"",INDEX(ctaVinc,MATCH(K4735,ctaNombre,0))&amp;"",K4735),K4735))</f>
        <v/>
      </c>
      <c r="AD4735" s="52">
        <f>IF(AB4735="","",IFERROR(INDEX(ctaTipo,MATCH(AB4735,ctaNombre,0))&amp;"",""))</f>
        <v/>
      </c>
      <c r="AE4735" s="52">
        <f>IF(AC4735="","",IFERROR(INDEX(ctaTipo,MATCH(AC4735,ctaNombre,0))&amp;"",""))</f>
        <v/>
      </c>
      <c r="AF4735" s="53">
        <f>IF(OR(P4735="",AB4735=""),"",IF(OR(P4735="Gasto",P4735="Transferencia",P4735="Pago tarjeta"),-1,1)*IF(IFERROR(INDEX(ctaMoneda,MATCH(AB4735,ctaNombre,0))&amp;"","DOP")="USD",T4735,S4735))</f>
        <v/>
      </c>
      <c r="AG4735" s="53">
        <f>IF(AC4735="","",IF(IFERROR(INDEX(ctaMoneda,MATCH(AC4735,ctaNombre,0))&amp;"","DOP")="USD",T4735,S4735))</f>
        <v/>
      </c>
      <c r="AH4735" s="53">
        <f>IF(P4735="","",IF(AND(AD4735&lt;&gt;"",COUNTIFS(tcTipo,AD4735,tcLiq,"Sí")&gt;0),IF(OR(P4735="Gasto",P4735="Transferencia",P4735="Pago tarjeta"),-1,1)*S4735,0)+IF(AND(AE4735&lt;&gt;"",COUNTIFS(tcTipo,AE4735,tcLiq,"Sí")&gt;0),S4735,0))</f>
        <v/>
      </c>
      <c r="AI4735" s="52">
        <f>IF(OR(L4735="",P4735=""),"",IF(COUNTIFS(L$6:L4735,L4735,P$6:P4735,"?*")=1,MAX(AI$5:AI4734)+1,""))</f>
        <v/>
      </c>
    </row>
    <row r="4736">
      <c r="B4736" s="47" t="n"/>
      <c r="C4736" s="48" t="n"/>
      <c r="D4736" s="48" t="n"/>
      <c r="E4736" s="48" t="n"/>
      <c r="F4736" s="48" t="n"/>
      <c r="G4736" s="49" t="n"/>
      <c r="H4736" s="48" t="n"/>
      <c r="I4736" s="50" t="n"/>
      <c r="J4736" s="48" t="n"/>
      <c r="K4736" s="48" t="n"/>
      <c r="L4736" s="48" t="n"/>
      <c r="M4736" s="48" t="n"/>
      <c r="N4736" s="48" t="n"/>
      <c r="O4736" s="51">
        <f>IF(AND(B4736="",G4736="",C4736="",D4736="",J4736=""),"",IF(B4736="","⚠ Falta fecha",IF(G4736="","⚠ Falta monto",IF(Q4736="","⚠ Falta cuenta",IF(ISNA(MATCH(Q4736,ctaNombre,0)),"⚠ Cuenta no registrada",IF(AND(OR(P4736="Gasto",P4736="Reembolso"),D4736=""),"⚠ Falta categoría",IF(AND(D4736&lt;&gt;"",E4736&lt;&gt;"",ISNA(MATCH(D4736&amp;"|"&amp;E4736,catClave,0))),"⚠ Subcategoría no corresponde",IF(AND(OR(P4736="Transferencia",P4736="Pago tarjeta"),K4736=""),"⚠ Falta cuenta destino",IF(AND(K4736&lt;&gt;"",P4736&lt;&gt;"Transferencia",P4736&lt;&gt;"Pago tarjeta"),"⚠ Destino solo aplica a transferencias",IF(AND(K4736&lt;&gt;"",K4736=Q4736),"⚠ Origen igual a destino",IF(AND(K4736&lt;&gt;"",ISNA(MATCH(K4736,ctaNombre,0))),"⚠ Destino no registrado",IF(AND(P4736="Pago tarjeta",AE4736&lt;&gt;"Tarjeta de crédito"),"⚠ El destino debe ser tarjeta de crédito",IF(AND(P4736="Gasto",E4736="Depósitos y retiros"),"⚠ Usa tipo Transferencia",IF(AND(P4736="Resultado trading",AD4736&lt;&gt;"Cuenta de trading"),"⚠ Usa una cuenta de trading",IF(AND(G4736&lt;=0,P4736&lt;&gt;"Ajuste",P4736&lt;&gt;"Resultado trading"),"⚠ El monto debe ser positivo","✓")))))))))))))))</f>
        <v/>
      </c>
      <c r="P4736" s="52">
        <f>IF(OR(B4736="",G4736=""),"",IF(C4736="","Gasto",C4736))</f>
        <v/>
      </c>
      <c r="Q4736" s="52">
        <f>IF(P4736="","",IF(J4736&lt;&gt;"",J4736,CuentaPred&amp;""))</f>
        <v/>
      </c>
      <c r="R4736" s="52">
        <f>IF(P4736="","",IF(ISNUMBER(I4736),I4736,TasaUSD))</f>
        <v/>
      </c>
      <c r="S4736" s="53">
        <f>IF(P4736="","",IF(H4736="USD",G4736*R4736,G4736))</f>
        <v/>
      </c>
      <c r="T4736" s="53">
        <f>IF(P4736="","",IF(H4736="USD",G4736,IF(R4736&gt;0,G4736/R4736,0)))</f>
        <v/>
      </c>
      <c r="U4736" s="53">
        <f>IF(P4736="","",IF(P4736="Gasto",S4736,IF(P4736="Reembolso",-S4736,0)))</f>
        <v/>
      </c>
      <c r="V4736" s="53">
        <f>IF(P4736="","",IF(P4736="Ingreso",S4736,0))</f>
        <v/>
      </c>
      <c r="W4736" s="53">
        <f>IF(P4736="","",IF(P4736="Resultado trading",S4736,0))</f>
        <v/>
      </c>
      <c r="X4736" s="52">
        <f>IF(OR(P4736="Gasto",P4736="Reembolso"),IF(M4736&lt;&gt;"",M4736,IFERROR(INDEX(catClasif,MATCH(D4736&amp;"|"&amp;E4736,catClave,0))&amp;"","Variable")),"")</f>
        <v/>
      </c>
      <c r="Y4736" s="52">
        <f>IF(P4736="","",IFERROR(INDEX(catGrupo,MATCH(D4736&amp;"|"&amp;E4736,catClave,0))&amp;"",""))</f>
        <v/>
      </c>
      <c r="Z4736" s="52">
        <f>IF(P4736="","",WEEKDAY(B4736,2))</f>
        <v/>
      </c>
      <c r="AA4736" s="52">
        <f>IF(P4736="","",IF(AND(P4736="Gasto",X4736="Variable",D4736&lt;&gt;catTrading,S4736&gt;0,S4736&lt;=Umbral),1,0))</f>
        <v/>
      </c>
      <c r="AB4736" s="52">
        <f>IF(OR(P4736="",Q4736=""),"",IFERROR(IF(INDEX(ctaVinc,MATCH(Q4736,ctaNombre,0))&amp;""&lt;&gt;"",INDEX(ctaVinc,MATCH(Q4736,ctaNombre,0))&amp;"",Q4736),Q4736))</f>
        <v/>
      </c>
      <c r="AC4736" s="52">
        <f>IF(OR(K4736="",AND(P4736&lt;&gt;"Transferencia",P4736&lt;&gt;"Pago tarjeta")),"",IFERROR(IF(INDEX(ctaVinc,MATCH(K4736,ctaNombre,0))&amp;""&lt;&gt;"",INDEX(ctaVinc,MATCH(K4736,ctaNombre,0))&amp;"",K4736),K4736))</f>
        <v/>
      </c>
      <c r="AD4736" s="52">
        <f>IF(AB4736="","",IFERROR(INDEX(ctaTipo,MATCH(AB4736,ctaNombre,0))&amp;"",""))</f>
        <v/>
      </c>
      <c r="AE4736" s="52">
        <f>IF(AC4736="","",IFERROR(INDEX(ctaTipo,MATCH(AC4736,ctaNombre,0))&amp;"",""))</f>
        <v/>
      </c>
      <c r="AF4736" s="53">
        <f>IF(OR(P4736="",AB4736=""),"",IF(OR(P4736="Gasto",P4736="Transferencia",P4736="Pago tarjeta"),-1,1)*IF(IFERROR(INDEX(ctaMoneda,MATCH(AB4736,ctaNombre,0))&amp;"","DOP")="USD",T4736,S4736))</f>
        <v/>
      </c>
      <c r="AG4736" s="53">
        <f>IF(AC4736="","",IF(IFERROR(INDEX(ctaMoneda,MATCH(AC4736,ctaNombre,0))&amp;"","DOP")="USD",T4736,S4736))</f>
        <v/>
      </c>
      <c r="AH4736" s="53">
        <f>IF(P4736="","",IF(AND(AD4736&lt;&gt;"",COUNTIFS(tcTipo,AD4736,tcLiq,"Sí")&gt;0),IF(OR(P4736="Gasto",P4736="Transferencia",P4736="Pago tarjeta"),-1,1)*S4736,0)+IF(AND(AE4736&lt;&gt;"",COUNTIFS(tcTipo,AE4736,tcLiq,"Sí")&gt;0),S4736,0))</f>
        <v/>
      </c>
      <c r="AI4736" s="52">
        <f>IF(OR(L4736="",P4736=""),"",IF(COUNTIFS(L$6:L4736,L4736,P$6:P4736,"?*")=1,MAX(AI$5:AI4735)+1,""))</f>
        <v/>
      </c>
    </row>
    <row r="4737">
      <c r="B4737" s="47" t="n"/>
      <c r="C4737" s="48" t="n"/>
      <c r="D4737" s="48" t="n"/>
      <c r="E4737" s="48" t="n"/>
      <c r="F4737" s="48" t="n"/>
      <c r="G4737" s="49" t="n"/>
      <c r="H4737" s="48" t="n"/>
      <c r="I4737" s="50" t="n"/>
      <c r="J4737" s="48" t="n"/>
      <c r="K4737" s="48" t="n"/>
      <c r="L4737" s="48" t="n"/>
      <c r="M4737" s="48" t="n"/>
      <c r="N4737" s="48" t="n"/>
      <c r="O4737" s="51">
        <f>IF(AND(B4737="",G4737="",C4737="",D4737="",J4737=""),"",IF(B4737="","⚠ Falta fecha",IF(G4737="","⚠ Falta monto",IF(Q4737="","⚠ Falta cuenta",IF(ISNA(MATCH(Q4737,ctaNombre,0)),"⚠ Cuenta no registrada",IF(AND(OR(P4737="Gasto",P4737="Reembolso"),D4737=""),"⚠ Falta categoría",IF(AND(D4737&lt;&gt;"",E4737&lt;&gt;"",ISNA(MATCH(D4737&amp;"|"&amp;E4737,catClave,0))),"⚠ Subcategoría no corresponde",IF(AND(OR(P4737="Transferencia",P4737="Pago tarjeta"),K4737=""),"⚠ Falta cuenta destino",IF(AND(K4737&lt;&gt;"",P4737&lt;&gt;"Transferencia",P4737&lt;&gt;"Pago tarjeta"),"⚠ Destino solo aplica a transferencias",IF(AND(K4737&lt;&gt;"",K4737=Q4737),"⚠ Origen igual a destino",IF(AND(K4737&lt;&gt;"",ISNA(MATCH(K4737,ctaNombre,0))),"⚠ Destino no registrado",IF(AND(P4737="Pago tarjeta",AE4737&lt;&gt;"Tarjeta de crédito"),"⚠ El destino debe ser tarjeta de crédito",IF(AND(P4737="Gasto",E4737="Depósitos y retiros"),"⚠ Usa tipo Transferencia",IF(AND(P4737="Resultado trading",AD4737&lt;&gt;"Cuenta de trading"),"⚠ Usa una cuenta de trading",IF(AND(G4737&lt;=0,P4737&lt;&gt;"Ajuste",P4737&lt;&gt;"Resultado trading"),"⚠ El monto debe ser positivo","✓")))))))))))))))</f>
        <v/>
      </c>
      <c r="P4737" s="52">
        <f>IF(OR(B4737="",G4737=""),"",IF(C4737="","Gasto",C4737))</f>
        <v/>
      </c>
      <c r="Q4737" s="52">
        <f>IF(P4737="","",IF(J4737&lt;&gt;"",J4737,CuentaPred&amp;""))</f>
        <v/>
      </c>
      <c r="R4737" s="52">
        <f>IF(P4737="","",IF(ISNUMBER(I4737),I4737,TasaUSD))</f>
        <v/>
      </c>
      <c r="S4737" s="53">
        <f>IF(P4737="","",IF(H4737="USD",G4737*R4737,G4737))</f>
        <v/>
      </c>
      <c r="T4737" s="53">
        <f>IF(P4737="","",IF(H4737="USD",G4737,IF(R4737&gt;0,G4737/R4737,0)))</f>
        <v/>
      </c>
      <c r="U4737" s="53">
        <f>IF(P4737="","",IF(P4737="Gasto",S4737,IF(P4737="Reembolso",-S4737,0)))</f>
        <v/>
      </c>
      <c r="V4737" s="53">
        <f>IF(P4737="","",IF(P4737="Ingreso",S4737,0))</f>
        <v/>
      </c>
      <c r="W4737" s="53">
        <f>IF(P4737="","",IF(P4737="Resultado trading",S4737,0))</f>
        <v/>
      </c>
      <c r="X4737" s="52">
        <f>IF(OR(P4737="Gasto",P4737="Reembolso"),IF(M4737&lt;&gt;"",M4737,IFERROR(INDEX(catClasif,MATCH(D4737&amp;"|"&amp;E4737,catClave,0))&amp;"","Variable")),"")</f>
        <v/>
      </c>
      <c r="Y4737" s="52">
        <f>IF(P4737="","",IFERROR(INDEX(catGrupo,MATCH(D4737&amp;"|"&amp;E4737,catClave,0))&amp;"",""))</f>
        <v/>
      </c>
      <c r="Z4737" s="52">
        <f>IF(P4737="","",WEEKDAY(B4737,2))</f>
        <v/>
      </c>
      <c r="AA4737" s="52">
        <f>IF(P4737="","",IF(AND(P4737="Gasto",X4737="Variable",D4737&lt;&gt;catTrading,S4737&gt;0,S4737&lt;=Umbral),1,0))</f>
        <v/>
      </c>
      <c r="AB4737" s="52">
        <f>IF(OR(P4737="",Q4737=""),"",IFERROR(IF(INDEX(ctaVinc,MATCH(Q4737,ctaNombre,0))&amp;""&lt;&gt;"",INDEX(ctaVinc,MATCH(Q4737,ctaNombre,0))&amp;"",Q4737),Q4737))</f>
        <v/>
      </c>
      <c r="AC4737" s="52">
        <f>IF(OR(K4737="",AND(P4737&lt;&gt;"Transferencia",P4737&lt;&gt;"Pago tarjeta")),"",IFERROR(IF(INDEX(ctaVinc,MATCH(K4737,ctaNombre,0))&amp;""&lt;&gt;"",INDEX(ctaVinc,MATCH(K4737,ctaNombre,0))&amp;"",K4737),K4737))</f>
        <v/>
      </c>
      <c r="AD4737" s="52">
        <f>IF(AB4737="","",IFERROR(INDEX(ctaTipo,MATCH(AB4737,ctaNombre,0))&amp;"",""))</f>
        <v/>
      </c>
      <c r="AE4737" s="52">
        <f>IF(AC4737="","",IFERROR(INDEX(ctaTipo,MATCH(AC4737,ctaNombre,0))&amp;"",""))</f>
        <v/>
      </c>
      <c r="AF4737" s="53">
        <f>IF(OR(P4737="",AB4737=""),"",IF(OR(P4737="Gasto",P4737="Transferencia",P4737="Pago tarjeta"),-1,1)*IF(IFERROR(INDEX(ctaMoneda,MATCH(AB4737,ctaNombre,0))&amp;"","DOP")="USD",T4737,S4737))</f>
        <v/>
      </c>
      <c r="AG4737" s="53">
        <f>IF(AC4737="","",IF(IFERROR(INDEX(ctaMoneda,MATCH(AC4737,ctaNombre,0))&amp;"","DOP")="USD",T4737,S4737))</f>
        <v/>
      </c>
      <c r="AH4737" s="53">
        <f>IF(P4737="","",IF(AND(AD4737&lt;&gt;"",COUNTIFS(tcTipo,AD4737,tcLiq,"Sí")&gt;0),IF(OR(P4737="Gasto",P4737="Transferencia",P4737="Pago tarjeta"),-1,1)*S4737,0)+IF(AND(AE4737&lt;&gt;"",COUNTIFS(tcTipo,AE4737,tcLiq,"Sí")&gt;0),S4737,0))</f>
        <v/>
      </c>
      <c r="AI4737" s="52">
        <f>IF(OR(L4737="",P4737=""),"",IF(COUNTIFS(L$6:L4737,L4737,P$6:P4737,"?*")=1,MAX(AI$5:AI4736)+1,""))</f>
        <v/>
      </c>
    </row>
    <row r="4738">
      <c r="B4738" s="47" t="n"/>
      <c r="C4738" s="48" t="n"/>
      <c r="D4738" s="48" t="n"/>
      <c r="E4738" s="48" t="n"/>
      <c r="F4738" s="48" t="n"/>
      <c r="G4738" s="49" t="n"/>
      <c r="H4738" s="48" t="n"/>
      <c r="I4738" s="50" t="n"/>
      <c r="J4738" s="48" t="n"/>
      <c r="K4738" s="48" t="n"/>
      <c r="L4738" s="48" t="n"/>
      <c r="M4738" s="48" t="n"/>
      <c r="N4738" s="48" t="n"/>
      <c r="O4738" s="51">
        <f>IF(AND(B4738="",G4738="",C4738="",D4738="",J4738=""),"",IF(B4738="","⚠ Falta fecha",IF(G4738="","⚠ Falta monto",IF(Q4738="","⚠ Falta cuenta",IF(ISNA(MATCH(Q4738,ctaNombre,0)),"⚠ Cuenta no registrada",IF(AND(OR(P4738="Gasto",P4738="Reembolso"),D4738=""),"⚠ Falta categoría",IF(AND(D4738&lt;&gt;"",E4738&lt;&gt;"",ISNA(MATCH(D4738&amp;"|"&amp;E4738,catClave,0))),"⚠ Subcategoría no corresponde",IF(AND(OR(P4738="Transferencia",P4738="Pago tarjeta"),K4738=""),"⚠ Falta cuenta destino",IF(AND(K4738&lt;&gt;"",P4738&lt;&gt;"Transferencia",P4738&lt;&gt;"Pago tarjeta"),"⚠ Destino solo aplica a transferencias",IF(AND(K4738&lt;&gt;"",K4738=Q4738),"⚠ Origen igual a destino",IF(AND(K4738&lt;&gt;"",ISNA(MATCH(K4738,ctaNombre,0))),"⚠ Destino no registrado",IF(AND(P4738="Pago tarjeta",AE4738&lt;&gt;"Tarjeta de crédito"),"⚠ El destino debe ser tarjeta de crédito",IF(AND(P4738="Gasto",E4738="Depósitos y retiros"),"⚠ Usa tipo Transferencia",IF(AND(P4738="Resultado trading",AD4738&lt;&gt;"Cuenta de trading"),"⚠ Usa una cuenta de trading",IF(AND(G4738&lt;=0,P4738&lt;&gt;"Ajuste",P4738&lt;&gt;"Resultado trading"),"⚠ El monto debe ser positivo","✓")))))))))))))))</f>
        <v/>
      </c>
      <c r="P4738" s="52">
        <f>IF(OR(B4738="",G4738=""),"",IF(C4738="","Gasto",C4738))</f>
        <v/>
      </c>
      <c r="Q4738" s="52">
        <f>IF(P4738="","",IF(J4738&lt;&gt;"",J4738,CuentaPred&amp;""))</f>
        <v/>
      </c>
      <c r="R4738" s="52">
        <f>IF(P4738="","",IF(ISNUMBER(I4738),I4738,TasaUSD))</f>
        <v/>
      </c>
      <c r="S4738" s="53">
        <f>IF(P4738="","",IF(H4738="USD",G4738*R4738,G4738))</f>
        <v/>
      </c>
      <c r="T4738" s="53">
        <f>IF(P4738="","",IF(H4738="USD",G4738,IF(R4738&gt;0,G4738/R4738,0)))</f>
        <v/>
      </c>
      <c r="U4738" s="53">
        <f>IF(P4738="","",IF(P4738="Gasto",S4738,IF(P4738="Reembolso",-S4738,0)))</f>
        <v/>
      </c>
      <c r="V4738" s="53">
        <f>IF(P4738="","",IF(P4738="Ingreso",S4738,0))</f>
        <v/>
      </c>
      <c r="W4738" s="53">
        <f>IF(P4738="","",IF(P4738="Resultado trading",S4738,0))</f>
        <v/>
      </c>
      <c r="X4738" s="52">
        <f>IF(OR(P4738="Gasto",P4738="Reembolso"),IF(M4738&lt;&gt;"",M4738,IFERROR(INDEX(catClasif,MATCH(D4738&amp;"|"&amp;E4738,catClave,0))&amp;"","Variable")),"")</f>
        <v/>
      </c>
      <c r="Y4738" s="52">
        <f>IF(P4738="","",IFERROR(INDEX(catGrupo,MATCH(D4738&amp;"|"&amp;E4738,catClave,0))&amp;"",""))</f>
        <v/>
      </c>
      <c r="Z4738" s="52">
        <f>IF(P4738="","",WEEKDAY(B4738,2))</f>
        <v/>
      </c>
      <c r="AA4738" s="52">
        <f>IF(P4738="","",IF(AND(P4738="Gasto",X4738="Variable",D4738&lt;&gt;catTrading,S4738&gt;0,S4738&lt;=Umbral),1,0))</f>
        <v/>
      </c>
      <c r="AB4738" s="52">
        <f>IF(OR(P4738="",Q4738=""),"",IFERROR(IF(INDEX(ctaVinc,MATCH(Q4738,ctaNombre,0))&amp;""&lt;&gt;"",INDEX(ctaVinc,MATCH(Q4738,ctaNombre,0))&amp;"",Q4738),Q4738))</f>
        <v/>
      </c>
      <c r="AC4738" s="52">
        <f>IF(OR(K4738="",AND(P4738&lt;&gt;"Transferencia",P4738&lt;&gt;"Pago tarjeta")),"",IFERROR(IF(INDEX(ctaVinc,MATCH(K4738,ctaNombre,0))&amp;""&lt;&gt;"",INDEX(ctaVinc,MATCH(K4738,ctaNombre,0))&amp;"",K4738),K4738))</f>
        <v/>
      </c>
      <c r="AD4738" s="52">
        <f>IF(AB4738="","",IFERROR(INDEX(ctaTipo,MATCH(AB4738,ctaNombre,0))&amp;"",""))</f>
        <v/>
      </c>
      <c r="AE4738" s="52">
        <f>IF(AC4738="","",IFERROR(INDEX(ctaTipo,MATCH(AC4738,ctaNombre,0))&amp;"",""))</f>
        <v/>
      </c>
      <c r="AF4738" s="53">
        <f>IF(OR(P4738="",AB4738=""),"",IF(OR(P4738="Gasto",P4738="Transferencia",P4738="Pago tarjeta"),-1,1)*IF(IFERROR(INDEX(ctaMoneda,MATCH(AB4738,ctaNombre,0))&amp;"","DOP")="USD",T4738,S4738))</f>
        <v/>
      </c>
      <c r="AG4738" s="53">
        <f>IF(AC4738="","",IF(IFERROR(INDEX(ctaMoneda,MATCH(AC4738,ctaNombre,0))&amp;"","DOP")="USD",T4738,S4738))</f>
        <v/>
      </c>
      <c r="AH4738" s="53">
        <f>IF(P4738="","",IF(AND(AD4738&lt;&gt;"",COUNTIFS(tcTipo,AD4738,tcLiq,"Sí")&gt;0),IF(OR(P4738="Gasto",P4738="Transferencia",P4738="Pago tarjeta"),-1,1)*S4738,0)+IF(AND(AE4738&lt;&gt;"",COUNTIFS(tcTipo,AE4738,tcLiq,"Sí")&gt;0),S4738,0))</f>
        <v/>
      </c>
      <c r="AI4738" s="52">
        <f>IF(OR(L4738="",P4738=""),"",IF(COUNTIFS(L$6:L4738,L4738,P$6:P4738,"?*")=1,MAX(AI$5:AI4737)+1,""))</f>
        <v/>
      </c>
    </row>
    <row r="4739">
      <c r="B4739" s="47" t="n"/>
      <c r="C4739" s="48" t="n"/>
      <c r="D4739" s="48" t="n"/>
      <c r="E4739" s="48" t="n"/>
      <c r="F4739" s="48" t="n"/>
      <c r="G4739" s="49" t="n"/>
      <c r="H4739" s="48" t="n"/>
      <c r="I4739" s="50" t="n"/>
      <c r="J4739" s="48" t="n"/>
      <c r="K4739" s="48" t="n"/>
      <c r="L4739" s="48" t="n"/>
      <c r="M4739" s="48" t="n"/>
      <c r="N4739" s="48" t="n"/>
      <c r="O4739" s="51">
        <f>IF(AND(B4739="",G4739="",C4739="",D4739="",J4739=""),"",IF(B4739="","⚠ Falta fecha",IF(G4739="","⚠ Falta monto",IF(Q4739="","⚠ Falta cuenta",IF(ISNA(MATCH(Q4739,ctaNombre,0)),"⚠ Cuenta no registrada",IF(AND(OR(P4739="Gasto",P4739="Reembolso"),D4739=""),"⚠ Falta categoría",IF(AND(D4739&lt;&gt;"",E4739&lt;&gt;"",ISNA(MATCH(D4739&amp;"|"&amp;E4739,catClave,0))),"⚠ Subcategoría no corresponde",IF(AND(OR(P4739="Transferencia",P4739="Pago tarjeta"),K4739=""),"⚠ Falta cuenta destino",IF(AND(K4739&lt;&gt;"",P4739&lt;&gt;"Transferencia",P4739&lt;&gt;"Pago tarjeta"),"⚠ Destino solo aplica a transferencias",IF(AND(K4739&lt;&gt;"",K4739=Q4739),"⚠ Origen igual a destino",IF(AND(K4739&lt;&gt;"",ISNA(MATCH(K4739,ctaNombre,0))),"⚠ Destino no registrado",IF(AND(P4739="Pago tarjeta",AE4739&lt;&gt;"Tarjeta de crédito"),"⚠ El destino debe ser tarjeta de crédito",IF(AND(P4739="Gasto",E4739="Depósitos y retiros"),"⚠ Usa tipo Transferencia",IF(AND(P4739="Resultado trading",AD4739&lt;&gt;"Cuenta de trading"),"⚠ Usa una cuenta de trading",IF(AND(G4739&lt;=0,P4739&lt;&gt;"Ajuste",P4739&lt;&gt;"Resultado trading"),"⚠ El monto debe ser positivo","✓")))))))))))))))</f>
        <v/>
      </c>
      <c r="P4739" s="52">
        <f>IF(OR(B4739="",G4739=""),"",IF(C4739="","Gasto",C4739))</f>
        <v/>
      </c>
      <c r="Q4739" s="52">
        <f>IF(P4739="","",IF(J4739&lt;&gt;"",J4739,CuentaPred&amp;""))</f>
        <v/>
      </c>
      <c r="R4739" s="52">
        <f>IF(P4739="","",IF(ISNUMBER(I4739),I4739,TasaUSD))</f>
        <v/>
      </c>
      <c r="S4739" s="53">
        <f>IF(P4739="","",IF(H4739="USD",G4739*R4739,G4739))</f>
        <v/>
      </c>
      <c r="T4739" s="53">
        <f>IF(P4739="","",IF(H4739="USD",G4739,IF(R4739&gt;0,G4739/R4739,0)))</f>
        <v/>
      </c>
      <c r="U4739" s="53">
        <f>IF(P4739="","",IF(P4739="Gasto",S4739,IF(P4739="Reembolso",-S4739,0)))</f>
        <v/>
      </c>
      <c r="V4739" s="53">
        <f>IF(P4739="","",IF(P4739="Ingreso",S4739,0))</f>
        <v/>
      </c>
      <c r="W4739" s="53">
        <f>IF(P4739="","",IF(P4739="Resultado trading",S4739,0))</f>
        <v/>
      </c>
      <c r="X4739" s="52">
        <f>IF(OR(P4739="Gasto",P4739="Reembolso"),IF(M4739&lt;&gt;"",M4739,IFERROR(INDEX(catClasif,MATCH(D4739&amp;"|"&amp;E4739,catClave,0))&amp;"","Variable")),"")</f>
        <v/>
      </c>
      <c r="Y4739" s="52">
        <f>IF(P4739="","",IFERROR(INDEX(catGrupo,MATCH(D4739&amp;"|"&amp;E4739,catClave,0))&amp;"",""))</f>
        <v/>
      </c>
      <c r="Z4739" s="52">
        <f>IF(P4739="","",WEEKDAY(B4739,2))</f>
        <v/>
      </c>
      <c r="AA4739" s="52">
        <f>IF(P4739="","",IF(AND(P4739="Gasto",X4739="Variable",D4739&lt;&gt;catTrading,S4739&gt;0,S4739&lt;=Umbral),1,0))</f>
        <v/>
      </c>
      <c r="AB4739" s="52">
        <f>IF(OR(P4739="",Q4739=""),"",IFERROR(IF(INDEX(ctaVinc,MATCH(Q4739,ctaNombre,0))&amp;""&lt;&gt;"",INDEX(ctaVinc,MATCH(Q4739,ctaNombre,0))&amp;"",Q4739),Q4739))</f>
        <v/>
      </c>
      <c r="AC4739" s="52">
        <f>IF(OR(K4739="",AND(P4739&lt;&gt;"Transferencia",P4739&lt;&gt;"Pago tarjeta")),"",IFERROR(IF(INDEX(ctaVinc,MATCH(K4739,ctaNombre,0))&amp;""&lt;&gt;"",INDEX(ctaVinc,MATCH(K4739,ctaNombre,0))&amp;"",K4739),K4739))</f>
        <v/>
      </c>
      <c r="AD4739" s="52">
        <f>IF(AB4739="","",IFERROR(INDEX(ctaTipo,MATCH(AB4739,ctaNombre,0))&amp;"",""))</f>
        <v/>
      </c>
      <c r="AE4739" s="52">
        <f>IF(AC4739="","",IFERROR(INDEX(ctaTipo,MATCH(AC4739,ctaNombre,0))&amp;"",""))</f>
        <v/>
      </c>
      <c r="AF4739" s="53">
        <f>IF(OR(P4739="",AB4739=""),"",IF(OR(P4739="Gasto",P4739="Transferencia",P4739="Pago tarjeta"),-1,1)*IF(IFERROR(INDEX(ctaMoneda,MATCH(AB4739,ctaNombre,0))&amp;"","DOP")="USD",T4739,S4739))</f>
        <v/>
      </c>
      <c r="AG4739" s="53">
        <f>IF(AC4739="","",IF(IFERROR(INDEX(ctaMoneda,MATCH(AC4739,ctaNombre,0))&amp;"","DOP")="USD",T4739,S4739))</f>
        <v/>
      </c>
      <c r="AH4739" s="53">
        <f>IF(P4739="","",IF(AND(AD4739&lt;&gt;"",COUNTIFS(tcTipo,AD4739,tcLiq,"Sí")&gt;0),IF(OR(P4739="Gasto",P4739="Transferencia",P4739="Pago tarjeta"),-1,1)*S4739,0)+IF(AND(AE4739&lt;&gt;"",COUNTIFS(tcTipo,AE4739,tcLiq,"Sí")&gt;0),S4739,0))</f>
        <v/>
      </c>
      <c r="AI4739" s="52">
        <f>IF(OR(L4739="",P4739=""),"",IF(COUNTIFS(L$6:L4739,L4739,P$6:P4739,"?*")=1,MAX(AI$5:AI4738)+1,""))</f>
        <v/>
      </c>
    </row>
    <row r="4740">
      <c r="B4740" s="47" t="n"/>
      <c r="C4740" s="48" t="n"/>
      <c r="D4740" s="48" t="n"/>
      <c r="E4740" s="48" t="n"/>
      <c r="F4740" s="48" t="n"/>
      <c r="G4740" s="49" t="n"/>
      <c r="H4740" s="48" t="n"/>
      <c r="I4740" s="50" t="n"/>
      <c r="J4740" s="48" t="n"/>
      <c r="K4740" s="48" t="n"/>
      <c r="L4740" s="48" t="n"/>
      <c r="M4740" s="48" t="n"/>
      <c r="N4740" s="48" t="n"/>
      <c r="O4740" s="51">
        <f>IF(AND(B4740="",G4740="",C4740="",D4740="",J4740=""),"",IF(B4740="","⚠ Falta fecha",IF(G4740="","⚠ Falta monto",IF(Q4740="","⚠ Falta cuenta",IF(ISNA(MATCH(Q4740,ctaNombre,0)),"⚠ Cuenta no registrada",IF(AND(OR(P4740="Gasto",P4740="Reembolso"),D4740=""),"⚠ Falta categoría",IF(AND(D4740&lt;&gt;"",E4740&lt;&gt;"",ISNA(MATCH(D4740&amp;"|"&amp;E4740,catClave,0))),"⚠ Subcategoría no corresponde",IF(AND(OR(P4740="Transferencia",P4740="Pago tarjeta"),K4740=""),"⚠ Falta cuenta destino",IF(AND(K4740&lt;&gt;"",P4740&lt;&gt;"Transferencia",P4740&lt;&gt;"Pago tarjeta"),"⚠ Destino solo aplica a transferencias",IF(AND(K4740&lt;&gt;"",K4740=Q4740),"⚠ Origen igual a destino",IF(AND(K4740&lt;&gt;"",ISNA(MATCH(K4740,ctaNombre,0))),"⚠ Destino no registrado",IF(AND(P4740="Pago tarjeta",AE4740&lt;&gt;"Tarjeta de crédito"),"⚠ El destino debe ser tarjeta de crédito",IF(AND(P4740="Gasto",E4740="Depósitos y retiros"),"⚠ Usa tipo Transferencia",IF(AND(P4740="Resultado trading",AD4740&lt;&gt;"Cuenta de trading"),"⚠ Usa una cuenta de trading",IF(AND(G4740&lt;=0,P4740&lt;&gt;"Ajuste",P4740&lt;&gt;"Resultado trading"),"⚠ El monto debe ser positivo","✓")))))))))))))))</f>
        <v/>
      </c>
      <c r="P4740" s="52">
        <f>IF(OR(B4740="",G4740=""),"",IF(C4740="","Gasto",C4740))</f>
        <v/>
      </c>
      <c r="Q4740" s="52">
        <f>IF(P4740="","",IF(J4740&lt;&gt;"",J4740,CuentaPred&amp;""))</f>
        <v/>
      </c>
      <c r="R4740" s="52">
        <f>IF(P4740="","",IF(ISNUMBER(I4740),I4740,TasaUSD))</f>
        <v/>
      </c>
      <c r="S4740" s="53">
        <f>IF(P4740="","",IF(H4740="USD",G4740*R4740,G4740))</f>
        <v/>
      </c>
      <c r="T4740" s="53">
        <f>IF(P4740="","",IF(H4740="USD",G4740,IF(R4740&gt;0,G4740/R4740,0)))</f>
        <v/>
      </c>
      <c r="U4740" s="53">
        <f>IF(P4740="","",IF(P4740="Gasto",S4740,IF(P4740="Reembolso",-S4740,0)))</f>
        <v/>
      </c>
      <c r="V4740" s="53">
        <f>IF(P4740="","",IF(P4740="Ingreso",S4740,0))</f>
        <v/>
      </c>
      <c r="W4740" s="53">
        <f>IF(P4740="","",IF(P4740="Resultado trading",S4740,0))</f>
        <v/>
      </c>
      <c r="X4740" s="52">
        <f>IF(OR(P4740="Gasto",P4740="Reembolso"),IF(M4740&lt;&gt;"",M4740,IFERROR(INDEX(catClasif,MATCH(D4740&amp;"|"&amp;E4740,catClave,0))&amp;"","Variable")),"")</f>
        <v/>
      </c>
      <c r="Y4740" s="52">
        <f>IF(P4740="","",IFERROR(INDEX(catGrupo,MATCH(D4740&amp;"|"&amp;E4740,catClave,0))&amp;"",""))</f>
        <v/>
      </c>
      <c r="Z4740" s="52">
        <f>IF(P4740="","",WEEKDAY(B4740,2))</f>
        <v/>
      </c>
      <c r="AA4740" s="52">
        <f>IF(P4740="","",IF(AND(P4740="Gasto",X4740="Variable",D4740&lt;&gt;catTrading,S4740&gt;0,S4740&lt;=Umbral),1,0))</f>
        <v/>
      </c>
      <c r="AB4740" s="52">
        <f>IF(OR(P4740="",Q4740=""),"",IFERROR(IF(INDEX(ctaVinc,MATCH(Q4740,ctaNombre,0))&amp;""&lt;&gt;"",INDEX(ctaVinc,MATCH(Q4740,ctaNombre,0))&amp;"",Q4740),Q4740))</f>
        <v/>
      </c>
      <c r="AC4740" s="52">
        <f>IF(OR(K4740="",AND(P4740&lt;&gt;"Transferencia",P4740&lt;&gt;"Pago tarjeta")),"",IFERROR(IF(INDEX(ctaVinc,MATCH(K4740,ctaNombre,0))&amp;""&lt;&gt;"",INDEX(ctaVinc,MATCH(K4740,ctaNombre,0))&amp;"",K4740),K4740))</f>
        <v/>
      </c>
      <c r="AD4740" s="52">
        <f>IF(AB4740="","",IFERROR(INDEX(ctaTipo,MATCH(AB4740,ctaNombre,0))&amp;"",""))</f>
        <v/>
      </c>
      <c r="AE4740" s="52">
        <f>IF(AC4740="","",IFERROR(INDEX(ctaTipo,MATCH(AC4740,ctaNombre,0))&amp;"",""))</f>
        <v/>
      </c>
      <c r="AF4740" s="53">
        <f>IF(OR(P4740="",AB4740=""),"",IF(OR(P4740="Gasto",P4740="Transferencia",P4740="Pago tarjeta"),-1,1)*IF(IFERROR(INDEX(ctaMoneda,MATCH(AB4740,ctaNombre,0))&amp;"","DOP")="USD",T4740,S4740))</f>
        <v/>
      </c>
      <c r="AG4740" s="53">
        <f>IF(AC4740="","",IF(IFERROR(INDEX(ctaMoneda,MATCH(AC4740,ctaNombre,0))&amp;"","DOP")="USD",T4740,S4740))</f>
        <v/>
      </c>
      <c r="AH4740" s="53">
        <f>IF(P4740="","",IF(AND(AD4740&lt;&gt;"",COUNTIFS(tcTipo,AD4740,tcLiq,"Sí")&gt;0),IF(OR(P4740="Gasto",P4740="Transferencia",P4740="Pago tarjeta"),-1,1)*S4740,0)+IF(AND(AE4740&lt;&gt;"",COUNTIFS(tcTipo,AE4740,tcLiq,"Sí")&gt;0),S4740,0))</f>
        <v/>
      </c>
      <c r="AI4740" s="52">
        <f>IF(OR(L4740="",P4740=""),"",IF(COUNTIFS(L$6:L4740,L4740,P$6:P4740,"?*")=1,MAX(AI$5:AI4739)+1,""))</f>
        <v/>
      </c>
    </row>
    <row r="4741">
      <c r="B4741" s="47" t="n"/>
      <c r="C4741" s="48" t="n"/>
      <c r="D4741" s="48" t="n"/>
      <c r="E4741" s="48" t="n"/>
      <c r="F4741" s="48" t="n"/>
      <c r="G4741" s="49" t="n"/>
      <c r="H4741" s="48" t="n"/>
      <c r="I4741" s="50" t="n"/>
      <c r="J4741" s="48" t="n"/>
      <c r="K4741" s="48" t="n"/>
      <c r="L4741" s="48" t="n"/>
      <c r="M4741" s="48" t="n"/>
      <c r="N4741" s="48" t="n"/>
      <c r="O4741" s="51">
        <f>IF(AND(B4741="",G4741="",C4741="",D4741="",J4741=""),"",IF(B4741="","⚠ Falta fecha",IF(G4741="","⚠ Falta monto",IF(Q4741="","⚠ Falta cuenta",IF(ISNA(MATCH(Q4741,ctaNombre,0)),"⚠ Cuenta no registrada",IF(AND(OR(P4741="Gasto",P4741="Reembolso"),D4741=""),"⚠ Falta categoría",IF(AND(D4741&lt;&gt;"",E4741&lt;&gt;"",ISNA(MATCH(D4741&amp;"|"&amp;E4741,catClave,0))),"⚠ Subcategoría no corresponde",IF(AND(OR(P4741="Transferencia",P4741="Pago tarjeta"),K4741=""),"⚠ Falta cuenta destino",IF(AND(K4741&lt;&gt;"",P4741&lt;&gt;"Transferencia",P4741&lt;&gt;"Pago tarjeta"),"⚠ Destino solo aplica a transferencias",IF(AND(K4741&lt;&gt;"",K4741=Q4741),"⚠ Origen igual a destino",IF(AND(K4741&lt;&gt;"",ISNA(MATCH(K4741,ctaNombre,0))),"⚠ Destino no registrado",IF(AND(P4741="Pago tarjeta",AE4741&lt;&gt;"Tarjeta de crédito"),"⚠ El destino debe ser tarjeta de crédito",IF(AND(P4741="Gasto",E4741="Depósitos y retiros"),"⚠ Usa tipo Transferencia",IF(AND(P4741="Resultado trading",AD4741&lt;&gt;"Cuenta de trading"),"⚠ Usa una cuenta de trading",IF(AND(G4741&lt;=0,P4741&lt;&gt;"Ajuste",P4741&lt;&gt;"Resultado trading"),"⚠ El monto debe ser positivo","✓")))))))))))))))</f>
        <v/>
      </c>
      <c r="P4741" s="52">
        <f>IF(OR(B4741="",G4741=""),"",IF(C4741="","Gasto",C4741))</f>
        <v/>
      </c>
      <c r="Q4741" s="52">
        <f>IF(P4741="","",IF(J4741&lt;&gt;"",J4741,CuentaPred&amp;""))</f>
        <v/>
      </c>
      <c r="R4741" s="52">
        <f>IF(P4741="","",IF(ISNUMBER(I4741),I4741,TasaUSD))</f>
        <v/>
      </c>
      <c r="S4741" s="53">
        <f>IF(P4741="","",IF(H4741="USD",G4741*R4741,G4741))</f>
        <v/>
      </c>
      <c r="T4741" s="53">
        <f>IF(P4741="","",IF(H4741="USD",G4741,IF(R4741&gt;0,G4741/R4741,0)))</f>
        <v/>
      </c>
      <c r="U4741" s="53">
        <f>IF(P4741="","",IF(P4741="Gasto",S4741,IF(P4741="Reembolso",-S4741,0)))</f>
        <v/>
      </c>
      <c r="V4741" s="53">
        <f>IF(P4741="","",IF(P4741="Ingreso",S4741,0))</f>
        <v/>
      </c>
      <c r="W4741" s="53">
        <f>IF(P4741="","",IF(P4741="Resultado trading",S4741,0))</f>
        <v/>
      </c>
      <c r="X4741" s="52">
        <f>IF(OR(P4741="Gasto",P4741="Reembolso"),IF(M4741&lt;&gt;"",M4741,IFERROR(INDEX(catClasif,MATCH(D4741&amp;"|"&amp;E4741,catClave,0))&amp;"","Variable")),"")</f>
        <v/>
      </c>
      <c r="Y4741" s="52">
        <f>IF(P4741="","",IFERROR(INDEX(catGrupo,MATCH(D4741&amp;"|"&amp;E4741,catClave,0))&amp;"",""))</f>
        <v/>
      </c>
      <c r="Z4741" s="52">
        <f>IF(P4741="","",WEEKDAY(B4741,2))</f>
        <v/>
      </c>
      <c r="AA4741" s="52">
        <f>IF(P4741="","",IF(AND(P4741="Gasto",X4741="Variable",D4741&lt;&gt;catTrading,S4741&gt;0,S4741&lt;=Umbral),1,0))</f>
        <v/>
      </c>
      <c r="AB4741" s="52">
        <f>IF(OR(P4741="",Q4741=""),"",IFERROR(IF(INDEX(ctaVinc,MATCH(Q4741,ctaNombre,0))&amp;""&lt;&gt;"",INDEX(ctaVinc,MATCH(Q4741,ctaNombre,0))&amp;"",Q4741),Q4741))</f>
        <v/>
      </c>
      <c r="AC4741" s="52">
        <f>IF(OR(K4741="",AND(P4741&lt;&gt;"Transferencia",P4741&lt;&gt;"Pago tarjeta")),"",IFERROR(IF(INDEX(ctaVinc,MATCH(K4741,ctaNombre,0))&amp;""&lt;&gt;"",INDEX(ctaVinc,MATCH(K4741,ctaNombre,0))&amp;"",K4741),K4741))</f>
        <v/>
      </c>
      <c r="AD4741" s="52">
        <f>IF(AB4741="","",IFERROR(INDEX(ctaTipo,MATCH(AB4741,ctaNombre,0))&amp;"",""))</f>
        <v/>
      </c>
      <c r="AE4741" s="52">
        <f>IF(AC4741="","",IFERROR(INDEX(ctaTipo,MATCH(AC4741,ctaNombre,0))&amp;"",""))</f>
        <v/>
      </c>
      <c r="AF4741" s="53">
        <f>IF(OR(P4741="",AB4741=""),"",IF(OR(P4741="Gasto",P4741="Transferencia",P4741="Pago tarjeta"),-1,1)*IF(IFERROR(INDEX(ctaMoneda,MATCH(AB4741,ctaNombre,0))&amp;"","DOP")="USD",T4741,S4741))</f>
        <v/>
      </c>
      <c r="AG4741" s="53">
        <f>IF(AC4741="","",IF(IFERROR(INDEX(ctaMoneda,MATCH(AC4741,ctaNombre,0))&amp;"","DOP")="USD",T4741,S4741))</f>
        <v/>
      </c>
      <c r="AH4741" s="53">
        <f>IF(P4741="","",IF(AND(AD4741&lt;&gt;"",COUNTIFS(tcTipo,AD4741,tcLiq,"Sí")&gt;0),IF(OR(P4741="Gasto",P4741="Transferencia",P4741="Pago tarjeta"),-1,1)*S4741,0)+IF(AND(AE4741&lt;&gt;"",COUNTIFS(tcTipo,AE4741,tcLiq,"Sí")&gt;0),S4741,0))</f>
        <v/>
      </c>
      <c r="AI4741" s="52">
        <f>IF(OR(L4741="",P4741=""),"",IF(COUNTIFS(L$6:L4741,L4741,P$6:P4741,"?*")=1,MAX(AI$5:AI4740)+1,""))</f>
        <v/>
      </c>
    </row>
    <row r="4742">
      <c r="B4742" s="47" t="n"/>
      <c r="C4742" s="48" t="n"/>
      <c r="D4742" s="48" t="n"/>
      <c r="E4742" s="48" t="n"/>
      <c r="F4742" s="48" t="n"/>
      <c r="G4742" s="49" t="n"/>
      <c r="H4742" s="48" t="n"/>
      <c r="I4742" s="50" t="n"/>
      <c r="J4742" s="48" t="n"/>
      <c r="K4742" s="48" t="n"/>
      <c r="L4742" s="48" t="n"/>
      <c r="M4742" s="48" t="n"/>
      <c r="N4742" s="48" t="n"/>
      <c r="O4742" s="51">
        <f>IF(AND(B4742="",G4742="",C4742="",D4742="",J4742=""),"",IF(B4742="","⚠ Falta fecha",IF(G4742="","⚠ Falta monto",IF(Q4742="","⚠ Falta cuenta",IF(ISNA(MATCH(Q4742,ctaNombre,0)),"⚠ Cuenta no registrada",IF(AND(OR(P4742="Gasto",P4742="Reembolso"),D4742=""),"⚠ Falta categoría",IF(AND(D4742&lt;&gt;"",E4742&lt;&gt;"",ISNA(MATCH(D4742&amp;"|"&amp;E4742,catClave,0))),"⚠ Subcategoría no corresponde",IF(AND(OR(P4742="Transferencia",P4742="Pago tarjeta"),K4742=""),"⚠ Falta cuenta destino",IF(AND(K4742&lt;&gt;"",P4742&lt;&gt;"Transferencia",P4742&lt;&gt;"Pago tarjeta"),"⚠ Destino solo aplica a transferencias",IF(AND(K4742&lt;&gt;"",K4742=Q4742),"⚠ Origen igual a destino",IF(AND(K4742&lt;&gt;"",ISNA(MATCH(K4742,ctaNombre,0))),"⚠ Destino no registrado",IF(AND(P4742="Pago tarjeta",AE4742&lt;&gt;"Tarjeta de crédito"),"⚠ El destino debe ser tarjeta de crédito",IF(AND(P4742="Gasto",E4742="Depósitos y retiros"),"⚠ Usa tipo Transferencia",IF(AND(P4742="Resultado trading",AD4742&lt;&gt;"Cuenta de trading"),"⚠ Usa una cuenta de trading",IF(AND(G4742&lt;=0,P4742&lt;&gt;"Ajuste",P4742&lt;&gt;"Resultado trading"),"⚠ El monto debe ser positivo","✓")))))))))))))))</f>
        <v/>
      </c>
      <c r="P4742" s="52">
        <f>IF(OR(B4742="",G4742=""),"",IF(C4742="","Gasto",C4742))</f>
        <v/>
      </c>
      <c r="Q4742" s="52">
        <f>IF(P4742="","",IF(J4742&lt;&gt;"",J4742,CuentaPred&amp;""))</f>
        <v/>
      </c>
      <c r="R4742" s="52">
        <f>IF(P4742="","",IF(ISNUMBER(I4742),I4742,TasaUSD))</f>
        <v/>
      </c>
      <c r="S4742" s="53">
        <f>IF(P4742="","",IF(H4742="USD",G4742*R4742,G4742))</f>
        <v/>
      </c>
      <c r="T4742" s="53">
        <f>IF(P4742="","",IF(H4742="USD",G4742,IF(R4742&gt;0,G4742/R4742,0)))</f>
        <v/>
      </c>
      <c r="U4742" s="53">
        <f>IF(P4742="","",IF(P4742="Gasto",S4742,IF(P4742="Reembolso",-S4742,0)))</f>
        <v/>
      </c>
      <c r="V4742" s="53">
        <f>IF(P4742="","",IF(P4742="Ingreso",S4742,0))</f>
        <v/>
      </c>
      <c r="W4742" s="53">
        <f>IF(P4742="","",IF(P4742="Resultado trading",S4742,0))</f>
        <v/>
      </c>
      <c r="X4742" s="52">
        <f>IF(OR(P4742="Gasto",P4742="Reembolso"),IF(M4742&lt;&gt;"",M4742,IFERROR(INDEX(catClasif,MATCH(D4742&amp;"|"&amp;E4742,catClave,0))&amp;"","Variable")),"")</f>
        <v/>
      </c>
      <c r="Y4742" s="52">
        <f>IF(P4742="","",IFERROR(INDEX(catGrupo,MATCH(D4742&amp;"|"&amp;E4742,catClave,0))&amp;"",""))</f>
        <v/>
      </c>
      <c r="Z4742" s="52">
        <f>IF(P4742="","",WEEKDAY(B4742,2))</f>
        <v/>
      </c>
      <c r="AA4742" s="52">
        <f>IF(P4742="","",IF(AND(P4742="Gasto",X4742="Variable",D4742&lt;&gt;catTrading,S4742&gt;0,S4742&lt;=Umbral),1,0))</f>
        <v/>
      </c>
      <c r="AB4742" s="52">
        <f>IF(OR(P4742="",Q4742=""),"",IFERROR(IF(INDEX(ctaVinc,MATCH(Q4742,ctaNombre,0))&amp;""&lt;&gt;"",INDEX(ctaVinc,MATCH(Q4742,ctaNombre,0))&amp;"",Q4742),Q4742))</f>
        <v/>
      </c>
      <c r="AC4742" s="52">
        <f>IF(OR(K4742="",AND(P4742&lt;&gt;"Transferencia",P4742&lt;&gt;"Pago tarjeta")),"",IFERROR(IF(INDEX(ctaVinc,MATCH(K4742,ctaNombre,0))&amp;""&lt;&gt;"",INDEX(ctaVinc,MATCH(K4742,ctaNombre,0))&amp;"",K4742),K4742))</f>
        <v/>
      </c>
      <c r="AD4742" s="52">
        <f>IF(AB4742="","",IFERROR(INDEX(ctaTipo,MATCH(AB4742,ctaNombre,0))&amp;"",""))</f>
        <v/>
      </c>
      <c r="AE4742" s="52">
        <f>IF(AC4742="","",IFERROR(INDEX(ctaTipo,MATCH(AC4742,ctaNombre,0))&amp;"",""))</f>
        <v/>
      </c>
      <c r="AF4742" s="53">
        <f>IF(OR(P4742="",AB4742=""),"",IF(OR(P4742="Gasto",P4742="Transferencia",P4742="Pago tarjeta"),-1,1)*IF(IFERROR(INDEX(ctaMoneda,MATCH(AB4742,ctaNombre,0))&amp;"","DOP")="USD",T4742,S4742))</f>
        <v/>
      </c>
      <c r="AG4742" s="53">
        <f>IF(AC4742="","",IF(IFERROR(INDEX(ctaMoneda,MATCH(AC4742,ctaNombre,0))&amp;"","DOP")="USD",T4742,S4742))</f>
        <v/>
      </c>
      <c r="AH4742" s="53">
        <f>IF(P4742="","",IF(AND(AD4742&lt;&gt;"",COUNTIFS(tcTipo,AD4742,tcLiq,"Sí")&gt;0),IF(OR(P4742="Gasto",P4742="Transferencia",P4742="Pago tarjeta"),-1,1)*S4742,0)+IF(AND(AE4742&lt;&gt;"",COUNTIFS(tcTipo,AE4742,tcLiq,"Sí")&gt;0),S4742,0))</f>
        <v/>
      </c>
      <c r="AI4742" s="52">
        <f>IF(OR(L4742="",P4742=""),"",IF(COUNTIFS(L$6:L4742,L4742,P$6:P4742,"?*")=1,MAX(AI$5:AI4741)+1,""))</f>
        <v/>
      </c>
    </row>
    <row r="4743">
      <c r="B4743" s="47" t="n"/>
      <c r="C4743" s="48" t="n"/>
      <c r="D4743" s="48" t="n"/>
      <c r="E4743" s="48" t="n"/>
      <c r="F4743" s="48" t="n"/>
      <c r="G4743" s="49" t="n"/>
      <c r="H4743" s="48" t="n"/>
      <c r="I4743" s="50" t="n"/>
      <c r="J4743" s="48" t="n"/>
      <c r="K4743" s="48" t="n"/>
      <c r="L4743" s="48" t="n"/>
      <c r="M4743" s="48" t="n"/>
      <c r="N4743" s="48" t="n"/>
      <c r="O4743" s="51">
        <f>IF(AND(B4743="",G4743="",C4743="",D4743="",J4743=""),"",IF(B4743="","⚠ Falta fecha",IF(G4743="","⚠ Falta monto",IF(Q4743="","⚠ Falta cuenta",IF(ISNA(MATCH(Q4743,ctaNombre,0)),"⚠ Cuenta no registrada",IF(AND(OR(P4743="Gasto",P4743="Reembolso"),D4743=""),"⚠ Falta categoría",IF(AND(D4743&lt;&gt;"",E4743&lt;&gt;"",ISNA(MATCH(D4743&amp;"|"&amp;E4743,catClave,0))),"⚠ Subcategoría no corresponde",IF(AND(OR(P4743="Transferencia",P4743="Pago tarjeta"),K4743=""),"⚠ Falta cuenta destino",IF(AND(K4743&lt;&gt;"",P4743&lt;&gt;"Transferencia",P4743&lt;&gt;"Pago tarjeta"),"⚠ Destino solo aplica a transferencias",IF(AND(K4743&lt;&gt;"",K4743=Q4743),"⚠ Origen igual a destino",IF(AND(K4743&lt;&gt;"",ISNA(MATCH(K4743,ctaNombre,0))),"⚠ Destino no registrado",IF(AND(P4743="Pago tarjeta",AE4743&lt;&gt;"Tarjeta de crédito"),"⚠ El destino debe ser tarjeta de crédito",IF(AND(P4743="Gasto",E4743="Depósitos y retiros"),"⚠ Usa tipo Transferencia",IF(AND(P4743="Resultado trading",AD4743&lt;&gt;"Cuenta de trading"),"⚠ Usa una cuenta de trading",IF(AND(G4743&lt;=0,P4743&lt;&gt;"Ajuste",P4743&lt;&gt;"Resultado trading"),"⚠ El monto debe ser positivo","✓")))))))))))))))</f>
        <v/>
      </c>
      <c r="P4743" s="52">
        <f>IF(OR(B4743="",G4743=""),"",IF(C4743="","Gasto",C4743))</f>
        <v/>
      </c>
      <c r="Q4743" s="52">
        <f>IF(P4743="","",IF(J4743&lt;&gt;"",J4743,CuentaPred&amp;""))</f>
        <v/>
      </c>
      <c r="R4743" s="52">
        <f>IF(P4743="","",IF(ISNUMBER(I4743),I4743,TasaUSD))</f>
        <v/>
      </c>
      <c r="S4743" s="53">
        <f>IF(P4743="","",IF(H4743="USD",G4743*R4743,G4743))</f>
        <v/>
      </c>
      <c r="T4743" s="53">
        <f>IF(P4743="","",IF(H4743="USD",G4743,IF(R4743&gt;0,G4743/R4743,0)))</f>
        <v/>
      </c>
      <c r="U4743" s="53">
        <f>IF(P4743="","",IF(P4743="Gasto",S4743,IF(P4743="Reembolso",-S4743,0)))</f>
        <v/>
      </c>
      <c r="V4743" s="53">
        <f>IF(P4743="","",IF(P4743="Ingreso",S4743,0))</f>
        <v/>
      </c>
      <c r="W4743" s="53">
        <f>IF(P4743="","",IF(P4743="Resultado trading",S4743,0))</f>
        <v/>
      </c>
      <c r="X4743" s="52">
        <f>IF(OR(P4743="Gasto",P4743="Reembolso"),IF(M4743&lt;&gt;"",M4743,IFERROR(INDEX(catClasif,MATCH(D4743&amp;"|"&amp;E4743,catClave,0))&amp;"","Variable")),"")</f>
        <v/>
      </c>
      <c r="Y4743" s="52">
        <f>IF(P4743="","",IFERROR(INDEX(catGrupo,MATCH(D4743&amp;"|"&amp;E4743,catClave,0))&amp;"",""))</f>
        <v/>
      </c>
      <c r="Z4743" s="52">
        <f>IF(P4743="","",WEEKDAY(B4743,2))</f>
        <v/>
      </c>
      <c r="AA4743" s="52">
        <f>IF(P4743="","",IF(AND(P4743="Gasto",X4743="Variable",D4743&lt;&gt;catTrading,S4743&gt;0,S4743&lt;=Umbral),1,0))</f>
        <v/>
      </c>
      <c r="AB4743" s="52">
        <f>IF(OR(P4743="",Q4743=""),"",IFERROR(IF(INDEX(ctaVinc,MATCH(Q4743,ctaNombre,0))&amp;""&lt;&gt;"",INDEX(ctaVinc,MATCH(Q4743,ctaNombre,0))&amp;"",Q4743),Q4743))</f>
        <v/>
      </c>
      <c r="AC4743" s="52">
        <f>IF(OR(K4743="",AND(P4743&lt;&gt;"Transferencia",P4743&lt;&gt;"Pago tarjeta")),"",IFERROR(IF(INDEX(ctaVinc,MATCH(K4743,ctaNombre,0))&amp;""&lt;&gt;"",INDEX(ctaVinc,MATCH(K4743,ctaNombre,0))&amp;"",K4743),K4743))</f>
        <v/>
      </c>
      <c r="AD4743" s="52">
        <f>IF(AB4743="","",IFERROR(INDEX(ctaTipo,MATCH(AB4743,ctaNombre,0))&amp;"",""))</f>
        <v/>
      </c>
      <c r="AE4743" s="52">
        <f>IF(AC4743="","",IFERROR(INDEX(ctaTipo,MATCH(AC4743,ctaNombre,0))&amp;"",""))</f>
        <v/>
      </c>
      <c r="AF4743" s="53">
        <f>IF(OR(P4743="",AB4743=""),"",IF(OR(P4743="Gasto",P4743="Transferencia",P4743="Pago tarjeta"),-1,1)*IF(IFERROR(INDEX(ctaMoneda,MATCH(AB4743,ctaNombre,0))&amp;"","DOP")="USD",T4743,S4743))</f>
        <v/>
      </c>
      <c r="AG4743" s="53">
        <f>IF(AC4743="","",IF(IFERROR(INDEX(ctaMoneda,MATCH(AC4743,ctaNombre,0))&amp;"","DOP")="USD",T4743,S4743))</f>
        <v/>
      </c>
      <c r="AH4743" s="53">
        <f>IF(P4743="","",IF(AND(AD4743&lt;&gt;"",COUNTIFS(tcTipo,AD4743,tcLiq,"Sí")&gt;0),IF(OR(P4743="Gasto",P4743="Transferencia",P4743="Pago tarjeta"),-1,1)*S4743,0)+IF(AND(AE4743&lt;&gt;"",COUNTIFS(tcTipo,AE4743,tcLiq,"Sí")&gt;0),S4743,0))</f>
        <v/>
      </c>
      <c r="AI4743" s="52">
        <f>IF(OR(L4743="",P4743=""),"",IF(COUNTIFS(L$6:L4743,L4743,P$6:P4743,"?*")=1,MAX(AI$5:AI4742)+1,""))</f>
        <v/>
      </c>
    </row>
    <row r="4744">
      <c r="B4744" s="47" t="n"/>
      <c r="C4744" s="48" t="n"/>
      <c r="D4744" s="48" t="n"/>
      <c r="E4744" s="48" t="n"/>
      <c r="F4744" s="48" t="n"/>
      <c r="G4744" s="49" t="n"/>
      <c r="H4744" s="48" t="n"/>
      <c r="I4744" s="50" t="n"/>
      <c r="J4744" s="48" t="n"/>
      <c r="K4744" s="48" t="n"/>
      <c r="L4744" s="48" t="n"/>
      <c r="M4744" s="48" t="n"/>
      <c r="N4744" s="48" t="n"/>
      <c r="O4744" s="51">
        <f>IF(AND(B4744="",G4744="",C4744="",D4744="",J4744=""),"",IF(B4744="","⚠ Falta fecha",IF(G4744="","⚠ Falta monto",IF(Q4744="","⚠ Falta cuenta",IF(ISNA(MATCH(Q4744,ctaNombre,0)),"⚠ Cuenta no registrada",IF(AND(OR(P4744="Gasto",P4744="Reembolso"),D4744=""),"⚠ Falta categoría",IF(AND(D4744&lt;&gt;"",E4744&lt;&gt;"",ISNA(MATCH(D4744&amp;"|"&amp;E4744,catClave,0))),"⚠ Subcategoría no corresponde",IF(AND(OR(P4744="Transferencia",P4744="Pago tarjeta"),K4744=""),"⚠ Falta cuenta destino",IF(AND(K4744&lt;&gt;"",P4744&lt;&gt;"Transferencia",P4744&lt;&gt;"Pago tarjeta"),"⚠ Destino solo aplica a transferencias",IF(AND(K4744&lt;&gt;"",K4744=Q4744),"⚠ Origen igual a destino",IF(AND(K4744&lt;&gt;"",ISNA(MATCH(K4744,ctaNombre,0))),"⚠ Destino no registrado",IF(AND(P4744="Pago tarjeta",AE4744&lt;&gt;"Tarjeta de crédito"),"⚠ El destino debe ser tarjeta de crédito",IF(AND(P4744="Gasto",E4744="Depósitos y retiros"),"⚠ Usa tipo Transferencia",IF(AND(P4744="Resultado trading",AD4744&lt;&gt;"Cuenta de trading"),"⚠ Usa una cuenta de trading",IF(AND(G4744&lt;=0,P4744&lt;&gt;"Ajuste",P4744&lt;&gt;"Resultado trading"),"⚠ El monto debe ser positivo","✓")))))))))))))))</f>
        <v/>
      </c>
      <c r="P4744" s="52">
        <f>IF(OR(B4744="",G4744=""),"",IF(C4744="","Gasto",C4744))</f>
        <v/>
      </c>
      <c r="Q4744" s="52">
        <f>IF(P4744="","",IF(J4744&lt;&gt;"",J4744,CuentaPred&amp;""))</f>
        <v/>
      </c>
      <c r="R4744" s="52">
        <f>IF(P4744="","",IF(ISNUMBER(I4744),I4744,TasaUSD))</f>
        <v/>
      </c>
      <c r="S4744" s="53">
        <f>IF(P4744="","",IF(H4744="USD",G4744*R4744,G4744))</f>
        <v/>
      </c>
      <c r="T4744" s="53">
        <f>IF(P4744="","",IF(H4744="USD",G4744,IF(R4744&gt;0,G4744/R4744,0)))</f>
        <v/>
      </c>
      <c r="U4744" s="53">
        <f>IF(P4744="","",IF(P4744="Gasto",S4744,IF(P4744="Reembolso",-S4744,0)))</f>
        <v/>
      </c>
      <c r="V4744" s="53">
        <f>IF(P4744="","",IF(P4744="Ingreso",S4744,0))</f>
        <v/>
      </c>
      <c r="W4744" s="53">
        <f>IF(P4744="","",IF(P4744="Resultado trading",S4744,0))</f>
        <v/>
      </c>
      <c r="X4744" s="52">
        <f>IF(OR(P4744="Gasto",P4744="Reembolso"),IF(M4744&lt;&gt;"",M4744,IFERROR(INDEX(catClasif,MATCH(D4744&amp;"|"&amp;E4744,catClave,0))&amp;"","Variable")),"")</f>
        <v/>
      </c>
      <c r="Y4744" s="52">
        <f>IF(P4744="","",IFERROR(INDEX(catGrupo,MATCH(D4744&amp;"|"&amp;E4744,catClave,0))&amp;"",""))</f>
        <v/>
      </c>
      <c r="Z4744" s="52">
        <f>IF(P4744="","",WEEKDAY(B4744,2))</f>
        <v/>
      </c>
      <c r="AA4744" s="52">
        <f>IF(P4744="","",IF(AND(P4744="Gasto",X4744="Variable",D4744&lt;&gt;catTrading,S4744&gt;0,S4744&lt;=Umbral),1,0))</f>
        <v/>
      </c>
      <c r="AB4744" s="52">
        <f>IF(OR(P4744="",Q4744=""),"",IFERROR(IF(INDEX(ctaVinc,MATCH(Q4744,ctaNombre,0))&amp;""&lt;&gt;"",INDEX(ctaVinc,MATCH(Q4744,ctaNombre,0))&amp;"",Q4744),Q4744))</f>
        <v/>
      </c>
      <c r="AC4744" s="52">
        <f>IF(OR(K4744="",AND(P4744&lt;&gt;"Transferencia",P4744&lt;&gt;"Pago tarjeta")),"",IFERROR(IF(INDEX(ctaVinc,MATCH(K4744,ctaNombre,0))&amp;""&lt;&gt;"",INDEX(ctaVinc,MATCH(K4744,ctaNombre,0))&amp;"",K4744),K4744))</f>
        <v/>
      </c>
      <c r="AD4744" s="52">
        <f>IF(AB4744="","",IFERROR(INDEX(ctaTipo,MATCH(AB4744,ctaNombre,0))&amp;"",""))</f>
        <v/>
      </c>
      <c r="AE4744" s="52">
        <f>IF(AC4744="","",IFERROR(INDEX(ctaTipo,MATCH(AC4744,ctaNombre,0))&amp;"",""))</f>
        <v/>
      </c>
      <c r="AF4744" s="53">
        <f>IF(OR(P4744="",AB4744=""),"",IF(OR(P4744="Gasto",P4744="Transferencia",P4744="Pago tarjeta"),-1,1)*IF(IFERROR(INDEX(ctaMoneda,MATCH(AB4744,ctaNombre,0))&amp;"","DOP")="USD",T4744,S4744))</f>
        <v/>
      </c>
      <c r="AG4744" s="53">
        <f>IF(AC4744="","",IF(IFERROR(INDEX(ctaMoneda,MATCH(AC4744,ctaNombre,0))&amp;"","DOP")="USD",T4744,S4744))</f>
        <v/>
      </c>
      <c r="AH4744" s="53">
        <f>IF(P4744="","",IF(AND(AD4744&lt;&gt;"",COUNTIFS(tcTipo,AD4744,tcLiq,"Sí")&gt;0),IF(OR(P4744="Gasto",P4744="Transferencia",P4744="Pago tarjeta"),-1,1)*S4744,0)+IF(AND(AE4744&lt;&gt;"",COUNTIFS(tcTipo,AE4744,tcLiq,"Sí")&gt;0),S4744,0))</f>
        <v/>
      </c>
      <c r="AI4744" s="52">
        <f>IF(OR(L4744="",P4744=""),"",IF(COUNTIFS(L$6:L4744,L4744,P$6:P4744,"?*")=1,MAX(AI$5:AI4743)+1,""))</f>
        <v/>
      </c>
    </row>
    <row r="4745">
      <c r="B4745" s="47" t="n"/>
      <c r="C4745" s="48" t="n"/>
      <c r="D4745" s="48" t="n"/>
      <c r="E4745" s="48" t="n"/>
      <c r="F4745" s="48" t="n"/>
      <c r="G4745" s="49" t="n"/>
      <c r="H4745" s="48" t="n"/>
      <c r="I4745" s="50" t="n"/>
      <c r="J4745" s="48" t="n"/>
      <c r="K4745" s="48" t="n"/>
      <c r="L4745" s="48" t="n"/>
      <c r="M4745" s="48" t="n"/>
      <c r="N4745" s="48" t="n"/>
      <c r="O4745" s="51">
        <f>IF(AND(B4745="",G4745="",C4745="",D4745="",J4745=""),"",IF(B4745="","⚠ Falta fecha",IF(G4745="","⚠ Falta monto",IF(Q4745="","⚠ Falta cuenta",IF(ISNA(MATCH(Q4745,ctaNombre,0)),"⚠ Cuenta no registrada",IF(AND(OR(P4745="Gasto",P4745="Reembolso"),D4745=""),"⚠ Falta categoría",IF(AND(D4745&lt;&gt;"",E4745&lt;&gt;"",ISNA(MATCH(D4745&amp;"|"&amp;E4745,catClave,0))),"⚠ Subcategoría no corresponde",IF(AND(OR(P4745="Transferencia",P4745="Pago tarjeta"),K4745=""),"⚠ Falta cuenta destino",IF(AND(K4745&lt;&gt;"",P4745&lt;&gt;"Transferencia",P4745&lt;&gt;"Pago tarjeta"),"⚠ Destino solo aplica a transferencias",IF(AND(K4745&lt;&gt;"",K4745=Q4745),"⚠ Origen igual a destino",IF(AND(K4745&lt;&gt;"",ISNA(MATCH(K4745,ctaNombre,0))),"⚠ Destino no registrado",IF(AND(P4745="Pago tarjeta",AE4745&lt;&gt;"Tarjeta de crédito"),"⚠ El destino debe ser tarjeta de crédito",IF(AND(P4745="Gasto",E4745="Depósitos y retiros"),"⚠ Usa tipo Transferencia",IF(AND(P4745="Resultado trading",AD4745&lt;&gt;"Cuenta de trading"),"⚠ Usa una cuenta de trading",IF(AND(G4745&lt;=0,P4745&lt;&gt;"Ajuste",P4745&lt;&gt;"Resultado trading"),"⚠ El monto debe ser positivo","✓")))))))))))))))</f>
        <v/>
      </c>
      <c r="P4745" s="52">
        <f>IF(OR(B4745="",G4745=""),"",IF(C4745="","Gasto",C4745))</f>
        <v/>
      </c>
      <c r="Q4745" s="52">
        <f>IF(P4745="","",IF(J4745&lt;&gt;"",J4745,CuentaPred&amp;""))</f>
        <v/>
      </c>
      <c r="R4745" s="52">
        <f>IF(P4745="","",IF(ISNUMBER(I4745),I4745,TasaUSD))</f>
        <v/>
      </c>
      <c r="S4745" s="53">
        <f>IF(P4745="","",IF(H4745="USD",G4745*R4745,G4745))</f>
        <v/>
      </c>
      <c r="T4745" s="53">
        <f>IF(P4745="","",IF(H4745="USD",G4745,IF(R4745&gt;0,G4745/R4745,0)))</f>
        <v/>
      </c>
      <c r="U4745" s="53">
        <f>IF(P4745="","",IF(P4745="Gasto",S4745,IF(P4745="Reembolso",-S4745,0)))</f>
        <v/>
      </c>
      <c r="V4745" s="53">
        <f>IF(P4745="","",IF(P4745="Ingreso",S4745,0))</f>
        <v/>
      </c>
      <c r="W4745" s="53">
        <f>IF(P4745="","",IF(P4745="Resultado trading",S4745,0))</f>
        <v/>
      </c>
      <c r="X4745" s="52">
        <f>IF(OR(P4745="Gasto",P4745="Reembolso"),IF(M4745&lt;&gt;"",M4745,IFERROR(INDEX(catClasif,MATCH(D4745&amp;"|"&amp;E4745,catClave,0))&amp;"","Variable")),"")</f>
        <v/>
      </c>
      <c r="Y4745" s="52">
        <f>IF(P4745="","",IFERROR(INDEX(catGrupo,MATCH(D4745&amp;"|"&amp;E4745,catClave,0))&amp;"",""))</f>
        <v/>
      </c>
      <c r="Z4745" s="52">
        <f>IF(P4745="","",WEEKDAY(B4745,2))</f>
        <v/>
      </c>
      <c r="AA4745" s="52">
        <f>IF(P4745="","",IF(AND(P4745="Gasto",X4745="Variable",D4745&lt;&gt;catTrading,S4745&gt;0,S4745&lt;=Umbral),1,0))</f>
        <v/>
      </c>
      <c r="AB4745" s="52">
        <f>IF(OR(P4745="",Q4745=""),"",IFERROR(IF(INDEX(ctaVinc,MATCH(Q4745,ctaNombre,0))&amp;""&lt;&gt;"",INDEX(ctaVinc,MATCH(Q4745,ctaNombre,0))&amp;"",Q4745),Q4745))</f>
        <v/>
      </c>
      <c r="AC4745" s="52">
        <f>IF(OR(K4745="",AND(P4745&lt;&gt;"Transferencia",P4745&lt;&gt;"Pago tarjeta")),"",IFERROR(IF(INDEX(ctaVinc,MATCH(K4745,ctaNombre,0))&amp;""&lt;&gt;"",INDEX(ctaVinc,MATCH(K4745,ctaNombre,0))&amp;"",K4745),K4745))</f>
        <v/>
      </c>
      <c r="AD4745" s="52">
        <f>IF(AB4745="","",IFERROR(INDEX(ctaTipo,MATCH(AB4745,ctaNombre,0))&amp;"",""))</f>
        <v/>
      </c>
      <c r="AE4745" s="52">
        <f>IF(AC4745="","",IFERROR(INDEX(ctaTipo,MATCH(AC4745,ctaNombre,0))&amp;"",""))</f>
        <v/>
      </c>
      <c r="AF4745" s="53">
        <f>IF(OR(P4745="",AB4745=""),"",IF(OR(P4745="Gasto",P4745="Transferencia",P4745="Pago tarjeta"),-1,1)*IF(IFERROR(INDEX(ctaMoneda,MATCH(AB4745,ctaNombre,0))&amp;"","DOP")="USD",T4745,S4745))</f>
        <v/>
      </c>
      <c r="AG4745" s="53">
        <f>IF(AC4745="","",IF(IFERROR(INDEX(ctaMoneda,MATCH(AC4745,ctaNombre,0))&amp;"","DOP")="USD",T4745,S4745))</f>
        <v/>
      </c>
      <c r="AH4745" s="53">
        <f>IF(P4745="","",IF(AND(AD4745&lt;&gt;"",COUNTIFS(tcTipo,AD4745,tcLiq,"Sí")&gt;0),IF(OR(P4745="Gasto",P4745="Transferencia",P4745="Pago tarjeta"),-1,1)*S4745,0)+IF(AND(AE4745&lt;&gt;"",COUNTIFS(tcTipo,AE4745,tcLiq,"Sí")&gt;0),S4745,0))</f>
        <v/>
      </c>
      <c r="AI4745" s="52">
        <f>IF(OR(L4745="",P4745=""),"",IF(COUNTIFS(L$6:L4745,L4745,P$6:P4745,"?*")=1,MAX(AI$5:AI4744)+1,""))</f>
        <v/>
      </c>
    </row>
    <row r="4746">
      <c r="B4746" s="47" t="n"/>
      <c r="C4746" s="48" t="n"/>
      <c r="D4746" s="48" t="n"/>
      <c r="E4746" s="48" t="n"/>
      <c r="F4746" s="48" t="n"/>
      <c r="G4746" s="49" t="n"/>
      <c r="H4746" s="48" t="n"/>
      <c r="I4746" s="50" t="n"/>
      <c r="J4746" s="48" t="n"/>
      <c r="K4746" s="48" t="n"/>
      <c r="L4746" s="48" t="n"/>
      <c r="M4746" s="48" t="n"/>
      <c r="N4746" s="48" t="n"/>
      <c r="O4746" s="51">
        <f>IF(AND(B4746="",G4746="",C4746="",D4746="",J4746=""),"",IF(B4746="","⚠ Falta fecha",IF(G4746="","⚠ Falta monto",IF(Q4746="","⚠ Falta cuenta",IF(ISNA(MATCH(Q4746,ctaNombre,0)),"⚠ Cuenta no registrada",IF(AND(OR(P4746="Gasto",P4746="Reembolso"),D4746=""),"⚠ Falta categoría",IF(AND(D4746&lt;&gt;"",E4746&lt;&gt;"",ISNA(MATCH(D4746&amp;"|"&amp;E4746,catClave,0))),"⚠ Subcategoría no corresponde",IF(AND(OR(P4746="Transferencia",P4746="Pago tarjeta"),K4746=""),"⚠ Falta cuenta destino",IF(AND(K4746&lt;&gt;"",P4746&lt;&gt;"Transferencia",P4746&lt;&gt;"Pago tarjeta"),"⚠ Destino solo aplica a transferencias",IF(AND(K4746&lt;&gt;"",K4746=Q4746),"⚠ Origen igual a destino",IF(AND(K4746&lt;&gt;"",ISNA(MATCH(K4746,ctaNombre,0))),"⚠ Destino no registrado",IF(AND(P4746="Pago tarjeta",AE4746&lt;&gt;"Tarjeta de crédito"),"⚠ El destino debe ser tarjeta de crédito",IF(AND(P4746="Gasto",E4746="Depósitos y retiros"),"⚠ Usa tipo Transferencia",IF(AND(P4746="Resultado trading",AD4746&lt;&gt;"Cuenta de trading"),"⚠ Usa una cuenta de trading",IF(AND(G4746&lt;=0,P4746&lt;&gt;"Ajuste",P4746&lt;&gt;"Resultado trading"),"⚠ El monto debe ser positivo","✓")))))))))))))))</f>
        <v/>
      </c>
      <c r="P4746" s="52">
        <f>IF(OR(B4746="",G4746=""),"",IF(C4746="","Gasto",C4746))</f>
        <v/>
      </c>
      <c r="Q4746" s="52">
        <f>IF(P4746="","",IF(J4746&lt;&gt;"",J4746,CuentaPred&amp;""))</f>
        <v/>
      </c>
      <c r="R4746" s="52">
        <f>IF(P4746="","",IF(ISNUMBER(I4746),I4746,TasaUSD))</f>
        <v/>
      </c>
      <c r="S4746" s="53">
        <f>IF(P4746="","",IF(H4746="USD",G4746*R4746,G4746))</f>
        <v/>
      </c>
      <c r="T4746" s="53">
        <f>IF(P4746="","",IF(H4746="USD",G4746,IF(R4746&gt;0,G4746/R4746,0)))</f>
        <v/>
      </c>
      <c r="U4746" s="53">
        <f>IF(P4746="","",IF(P4746="Gasto",S4746,IF(P4746="Reembolso",-S4746,0)))</f>
        <v/>
      </c>
      <c r="V4746" s="53">
        <f>IF(P4746="","",IF(P4746="Ingreso",S4746,0))</f>
        <v/>
      </c>
      <c r="W4746" s="53">
        <f>IF(P4746="","",IF(P4746="Resultado trading",S4746,0))</f>
        <v/>
      </c>
      <c r="X4746" s="52">
        <f>IF(OR(P4746="Gasto",P4746="Reembolso"),IF(M4746&lt;&gt;"",M4746,IFERROR(INDEX(catClasif,MATCH(D4746&amp;"|"&amp;E4746,catClave,0))&amp;"","Variable")),"")</f>
        <v/>
      </c>
      <c r="Y4746" s="52">
        <f>IF(P4746="","",IFERROR(INDEX(catGrupo,MATCH(D4746&amp;"|"&amp;E4746,catClave,0))&amp;"",""))</f>
        <v/>
      </c>
      <c r="Z4746" s="52">
        <f>IF(P4746="","",WEEKDAY(B4746,2))</f>
        <v/>
      </c>
      <c r="AA4746" s="52">
        <f>IF(P4746="","",IF(AND(P4746="Gasto",X4746="Variable",D4746&lt;&gt;catTrading,S4746&gt;0,S4746&lt;=Umbral),1,0))</f>
        <v/>
      </c>
      <c r="AB4746" s="52">
        <f>IF(OR(P4746="",Q4746=""),"",IFERROR(IF(INDEX(ctaVinc,MATCH(Q4746,ctaNombre,0))&amp;""&lt;&gt;"",INDEX(ctaVinc,MATCH(Q4746,ctaNombre,0))&amp;"",Q4746),Q4746))</f>
        <v/>
      </c>
      <c r="AC4746" s="52">
        <f>IF(OR(K4746="",AND(P4746&lt;&gt;"Transferencia",P4746&lt;&gt;"Pago tarjeta")),"",IFERROR(IF(INDEX(ctaVinc,MATCH(K4746,ctaNombre,0))&amp;""&lt;&gt;"",INDEX(ctaVinc,MATCH(K4746,ctaNombre,0))&amp;"",K4746),K4746))</f>
        <v/>
      </c>
      <c r="AD4746" s="52">
        <f>IF(AB4746="","",IFERROR(INDEX(ctaTipo,MATCH(AB4746,ctaNombre,0))&amp;"",""))</f>
        <v/>
      </c>
      <c r="AE4746" s="52">
        <f>IF(AC4746="","",IFERROR(INDEX(ctaTipo,MATCH(AC4746,ctaNombre,0))&amp;"",""))</f>
        <v/>
      </c>
      <c r="AF4746" s="53">
        <f>IF(OR(P4746="",AB4746=""),"",IF(OR(P4746="Gasto",P4746="Transferencia",P4746="Pago tarjeta"),-1,1)*IF(IFERROR(INDEX(ctaMoneda,MATCH(AB4746,ctaNombre,0))&amp;"","DOP")="USD",T4746,S4746))</f>
        <v/>
      </c>
      <c r="AG4746" s="53">
        <f>IF(AC4746="","",IF(IFERROR(INDEX(ctaMoneda,MATCH(AC4746,ctaNombre,0))&amp;"","DOP")="USD",T4746,S4746))</f>
        <v/>
      </c>
      <c r="AH4746" s="53">
        <f>IF(P4746="","",IF(AND(AD4746&lt;&gt;"",COUNTIFS(tcTipo,AD4746,tcLiq,"Sí")&gt;0),IF(OR(P4746="Gasto",P4746="Transferencia",P4746="Pago tarjeta"),-1,1)*S4746,0)+IF(AND(AE4746&lt;&gt;"",COUNTIFS(tcTipo,AE4746,tcLiq,"Sí")&gt;0),S4746,0))</f>
        <v/>
      </c>
      <c r="AI4746" s="52">
        <f>IF(OR(L4746="",P4746=""),"",IF(COUNTIFS(L$6:L4746,L4746,P$6:P4746,"?*")=1,MAX(AI$5:AI4745)+1,""))</f>
        <v/>
      </c>
    </row>
    <row r="4747">
      <c r="B4747" s="47" t="n"/>
      <c r="C4747" s="48" t="n"/>
      <c r="D4747" s="48" t="n"/>
      <c r="E4747" s="48" t="n"/>
      <c r="F4747" s="48" t="n"/>
      <c r="G4747" s="49" t="n"/>
      <c r="H4747" s="48" t="n"/>
      <c r="I4747" s="50" t="n"/>
      <c r="J4747" s="48" t="n"/>
      <c r="K4747" s="48" t="n"/>
      <c r="L4747" s="48" t="n"/>
      <c r="M4747" s="48" t="n"/>
      <c r="N4747" s="48" t="n"/>
      <c r="O4747" s="51">
        <f>IF(AND(B4747="",G4747="",C4747="",D4747="",J4747=""),"",IF(B4747="","⚠ Falta fecha",IF(G4747="","⚠ Falta monto",IF(Q4747="","⚠ Falta cuenta",IF(ISNA(MATCH(Q4747,ctaNombre,0)),"⚠ Cuenta no registrada",IF(AND(OR(P4747="Gasto",P4747="Reembolso"),D4747=""),"⚠ Falta categoría",IF(AND(D4747&lt;&gt;"",E4747&lt;&gt;"",ISNA(MATCH(D4747&amp;"|"&amp;E4747,catClave,0))),"⚠ Subcategoría no corresponde",IF(AND(OR(P4747="Transferencia",P4747="Pago tarjeta"),K4747=""),"⚠ Falta cuenta destino",IF(AND(K4747&lt;&gt;"",P4747&lt;&gt;"Transferencia",P4747&lt;&gt;"Pago tarjeta"),"⚠ Destino solo aplica a transferencias",IF(AND(K4747&lt;&gt;"",K4747=Q4747),"⚠ Origen igual a destino",IF(AND(K4747&lt;&gt;"",ISNA(MATCH(K4747,ctaNombre,0))),"⚠ Destino no registrado",IF(AND(P4747="Pago tarjeta",AE4747&lt;&gt;"Tarjeta de crédito"),"⚠ El destino debe ser tarjeta de crédito",IF(AND(P4747="Gasto",E4747="Depósitos y retiros"),"⚠ Usa tipo Transferencia",IF(AND(P4747="Resultado trading",AD4747&lt;&gt;"Cuenta de trading"),"⚠ Usa una cuenta de trading",IF(AND(G4747&lt;=0,P4747&lt;&gt;"Ajuste",P4747&lt;&gt;"Resultado trading"),"⚠ El monto debe ser positivo","✓")))))))))))))))</f>
        <v/>
      </c>
      <c r="P4747" s="52">
        <f>IF(OR(B4747="",G4747=""),"",IF(C4747="","Gasto",C4747))</f>
        <v/>
      </c>
      <c r="Q4747" s="52">
        <f>IF(P4747="","",IF(J4747&lt;&gt;"",J4747,CuentaPred&amp;""))</f>
        <v/>
      </c>
      <c r="R4747" s="52">
        <f>IF(P4747="","",IF(ISNUMBER(I4747),I4747,TasaUSD))</f>
        <v/>
      </c>
      <c r="S4747" s="53">
        <f>IF(P4747="","",IF(H4747="USD",G4747*R4747,G4747))</f>
        <v/>
      </c>
      <c r="T4747" s="53">
        <f>IF(P4747="","",IF(H4747="USD",G4747,IF(R4747&gt;0,G4747/R4747,0)))</f>
        <v/>
      </c>
      <c r="U4747" s="53">
        <f>IF(P4747="","",IF(P4747="Gasto",S4747,IF(P4747="Reembolso",-S4747,0)))</f>
        <v/>
      </c>
      <c r="V4747" s="53">
        <f>IF(P4747="","",IF(P4747="Ingreso",S4747,0))</f>
        <v/>
      </c>
      <c r="W4747" s="53">
        <f>IF(P4747="","",IF(P4747="Resultado trading",S4747,0))</f>
        <v/>
      </c>
      <c r="X4747" s="52">
        <f>IF(OR(P4747="Gasto",P4747="Reembolso"),IF(M4747&lt;&gt;"",M4747,IFERROR(INDEX(catClasif,MATCH(D4747&amp;"|"&amp;E4747,catClave,0))&amp;"","Variable")),"")</f>
        <v/>
      </c>
      <c r="Y4747" s="52">
        <f>IF(P4747="","",IFERROR(INDEX(catGrupo,MATCH(D4747&amp;"|"&amp;E4747,catClave,0))&amp;"",""))</f>
        <v/>
      </c>
      <c r="Z4747" s="52">
        <f>IF(P4747="","",WEEKDAY(B4747,2))</f>
        <v/>
      </c>
      <c r="AA4747" s="52">
        <f>IF(P4747="","",IF(AND(P4747="Gasto",X4747="Variable",D4747&lt;&gt;catTrading,S4747&gt;0,S4747&lt;=Umbral),1,0))</f>
        <v/>
      </c>
      <c r="AB4747" s="52">
        <f>IF(OR(P4747="",Q4747=""),"",IFERROR(IF(INDEX(ctaVinc,MATCH(Q4747,ctaNombre,0))&amp;""&lt;&gt;"",INDEX(ctaVinc,MATCH(Q4747,ctaNombre,0))&amp;"",Q4747),Q4747))</f>
        <v/>
      </c>
      <c r="AC4747" s="52">
        <f>IF(OR(K4747="",AND(P4747&lt;&gt;"Transferencia",P4747&lt;&gt;"Pago tarjeta")),"",IFERROR(IF(INDEX(ctaVinc,MATCH(K4747,ctaNombre,0))&amp;""&lt;&gt;"",INDEX(ctaVinc,MATCH(K4747,ctaNombre,0))&amp;"",K4747),K4747))</f>
        <v/>
      </c>
      <c r="AD4747" s="52">
        <f>IF(AB4747="","",IFERROR(INDEX(ctaTipo,MATCH(AB4747,ctaNombre,0))&amp;"",""))</f>
        <v/>
      </c>
      <c r="AE4747" s="52">
        <f>IF(AC4747="","",IFERROR(INDEX(ctaTipo,MATCH(AC4747,ctaNombre,0))&amp;"",""))</f>
        <v/>
      </c>
      <c r="AF4747" s="53">
        <f>IF(OR(P4747="",AB4747=""),"",IF(OR(P4747="Gasto",P4747="Transferencia",P4747="Pago tarjeta"),-1,1)*IF(IFERROR(INDEX(ctaMoneda,MATCH(AB4747,ctaNombre,0))&amp;"","DOP")="USD",T4747,S4747))</f>
        <v/>
      </c>
      <c r="AG4747" s="53">
        <f>IF(AC4747="","",IF(IFERROR(INDEX(ctaMoneda,MATCH(AC4747,ctaNombre,0))&amp;"","DOP")="USD",T4747,S4747))</f>
        <v/>
      </c>
      <c r="AH4747" s="53">
        <f>IF(P4747="","",IF(AND(AD4747&lt;&gt;"",COUNTIFS(tcTipo,AD4747,tcLiq,"Sí")&gt;0),IF(OR(P4747="Gasto",P4747="Transferencia",P4747="Pago tarjeta"),-1,1)*S4747,0)+IF(AND(AE4747&lt;&gt;"",COUNTIFS(tcTipo,AE4747,tcLiq,"Sí")&gt;0),S4747,0))</f>
        <v/>
      </c>
      <c r="AI4747" s="52">
        <f>IF(OR(L4747="",P4747=""),"",IF(COUNTIFS(L$6:L4747,L4747,P$6:P4747,"?*")=1,MAX(AI$5:AI4746)+1,""))</f>
        <v/>
      </c>
    </row>
    <row r="4748">
      <c r="B4748" s="47" t="n"/>
      <c r="C4748" s="48" t="n"/>
      <c r="D4748" s="48" t="n"/>
      <c r="E4748" s="48" t="n"/>
      <c r="F4748" s="48" t="n"/>
      <c r="G4748" s="49" t="n"/>
      <c r="H4748" s="48" t="n"/>
      <c r="I4748" s="50" t="n"/>
      <c r="J4748" s="48" t="n"/>
      <c r="K4748" s="48" t="n"/>
      <c r="L4748" s="48" t="n"/>
      <c r="M4748" s="48" t="n"/>
      <c r="N4748" s="48" t="n"/>
      <c r="O4748" s="51">
        <f>IF(AND(B4748="",G4748="",C4748="",D4748="",J4748=""),"",IF(B4748="","⚠ Falta fecha",IF(G4748="","⚠ Falta monto",IF(Q4748="","⚠ Falta cuenta",IF(ISNA(MATCH(Q4748,ctaNombre,0)),"⚠ Cuenta no registrada",IF(AND(OR(P4748="Gasto",P4748="Reembolso"),D4748=""),"⚠ Falta categoría",IF(AND(D4748&lt;&gt;"",E4748&lt;&gt;"",ISNA(MATCH(D4748&amp;"|"&amp;E4748,catClave,0))),"⚠ Subcategoría no corresponde",IF(AND(OR(P4748="Transferencia",P4748="Pago tarjeta"),K4748=""),"⚠ Falta cuenta destino",IF(AND(K4748&lt;&gt;"",P4748&lt;&gt;"Transferencia",P4748&lt;&gt;"Pago tarjeta"),"⚠ Destino solo aplica a transferencias",IF(AND(K4748&lt;&gt;"",K4748=Q4748),"⚠ Origen igual a destino",IF(AND(K4748&lt;&gt;"",ISNA(MATCH(K4748,ctaNombre,0))),"⚠ Destino no registrado",IF(AND(P4748="Pago tarjeta",AE4748&lt;&gt;"Tarjeta de crédito"),"⚠ El destino debe ser tarjeta de crédito",IF(AND(P4748="Gasto",E4748="Depósitos y retiros"),"⚠ Usa tipo Transferencia",IF(AND(P4748="Resultado trading",AD4748&lt;&gt;"Cuenta de trading"),"⚠ Usa una cuenta de trading",IF(AND(G4748&lt;=0,P4748&lt;&gt;"Ajuste",P4748&lt;&gt;"Resultado trading"),"⚠ El monto debe ser positivo","✓")))))))))))))))</f>
        <v/>
      </c>
      <c r="P4748" s="52">
        <f>IF(OR(B4748="",G4748=""),"",IF(C4748="","Gasto",C4748))</f>
        <v/>
      </c>
      <c r="Q4748" s="52">
        <f>IF(P4748="","",IF(J4748&lt;&gt;"",J4748,CuentaPred&amp;""))</f>
        <v/>
      </c>
      <c r="R4748" s="52">
        <f>IF(P4748="","",IF(ISNUMBER(I4748),I4748,TasaUSD))</f>
        <v/>
      </c>
      <c r="S4748" s="53">
        <f>IF(P4748="","",IF(H4748="USD",G4748*R4748,G4748))</f>
        <v/>
      </c>
      <c r="T4748" s="53">
        <f>IF(P4748="","",IF(H4748="USD",G4748,IF(R4748&gt;0,G4748/R4748,0)))</f>
        <v/>
      </c>
      <c r="U4748" s="53">
        <f>IF(P4748="","",IF(P4748="Gasto",S4748,IF(P4748="Reembolso",-S4748,0)))</f>
        <v/>
      </c>
      <c r="V4748" s="53">
        <f>IF(P4748="","",IF(P4748="Ingreso",S4748,0))</f>
        <v/>
      </c>
      <c r="W4748" s="53">
        <f>IF(P4748="","",IF(P4748="Resultado trading",S4748,0))</f>
        <v/>
      </c>
      <c r="X4748" s="52">
        <f>IF(OR(P4748="Gasto",P4748="Reembolso"),IF(M4748&lt;&gt;"",M4748,IFERROR(INDEX(catClasif,MATCH(D4748&amp;"|"&amp;E4748,catClave,0))&amp;"","Variable")),"")</f>
        <v/>
      </c>
      <c r="Y4748" s="52">
        <f>IF(P4748="","",IFERROR(INDEX(catGrupo,MATCH(D4748&amp;"|"&amp;E4748,catClave,0))&amp;"",""))</f>
        <v/>
      </c>
      <c r="Z4748" s="52">
        <f>IF(P4748="","",WEEKDAY(B4748,2))</f>
        <v/>
      </c>
      <c r="AA4748" s="52">
        <f>IF(P4748="","",IF(AND(P4748="Gasto",X4748="Variable",D4748&lt;&gt;catTrading,S4748&gt;0,S4748&lt;=Umbral),1,0))</f>
        <v/>
      </c>
      <c r="AB4748" s="52">
        <f>IF(OR(P4748="",Q4748=""),"",IFERROR(IF(INDEX(ctaVinc,MATCH(Q4748,ctaNombre,0))&amp;""&lt;&gt;"",INDEX(ctaVinc,MATCH(Q4748,ctaNombre,0))&amp;"",Q4748),Q4748))</f>
        <v/>
      </c>
      <c r="AC4748" s="52">
        <f>IF(OR(K4748="",AND(P4748&lt;&gt;"Transferencia",P4748&lt;&gt;"Pago tarjeta")),"",IFERROR(IF(INDEX(ctaVinc,MATCH(K4748,ctaNombre,0))&amp;""&lt;&gt;"",INDEX(ctaVinc,MATCH(K4748,ctaNombre,0))&amp;"",K4748),K4748))</f>
        <v/>
      </c>
      <c r="AD4748" s="52">
        <f>IF(AB4748="","",IFERROR(INDEX(ctaTipo,MATCH(AB4748,ctaNombre,0))&amp;"",""))</f>
        <v/>
      </c>
      <c r="AE4748" s="52">
        <f>IF(AC4748="","",IFERROR(INDEX(ctaTipo,MATCH(AC4748,ctaNombre,0))&amp;"",""))</f>
        <v/>
      </c>
      <c r="AF4748" s="53">
        <f>IF(OR(P4748="",AB4748=""),"",IF(OR(P4748="Gasto",P4748="Transferencia",P4748="Pago tarjeta"),-1,1)*IF(IFERROR(INDEX(ctaMoneda,MATCH(AB4748,ctaNombre,0))&amp;"","DOP")="USD",T4748,S4748))</f>
        <v/>
      </c>
      <c r="AG4748" s="53">
        <f>IF(AC4748="","",IF(IFERROR(INDEX(ctaMoneda,MATCH(AC4748,ctaNombre,0))&amp;"","DOP")="USD",T4748,S4748))</f>
        <v/>
      </c>
      <c r="AH4748" s="53">
        <f>IF(P4748="","",IF(AND(AD4748&lt;&gt;"",COUNTIFS(tcTipo,AD4748,tcLiq,"Sí")&gt;0),IF(OR(P4748="Gasto",P4748="Transferencia",P4748="Pago tarjeta"),-1,1)*S4748,0)+IF(AND(AE4748&lt;&gt;"",COUNTIFS(tcTipo,AE4748,tcLiq,"Sí")&gt;0),S4748,0))</f>
        <v/>
      </c>
      <c r="AI4748" s="52">
        <f>IF(OR(L4748="",P4748=""),"",IF(COUNTIFS(L$6:L4748,L4748,P$6:P4748,"?*")=1,MAX(AI$5:AI4747)+1,""))</f>
        <v/>
      </c>
    </row>
    <row r="4749">
      <c r="B4749" s="47" t="n"/>
      <c r="C4749" s="48" t="n"/>
      <c r="D4749" s="48" t="n"/>
      <c r="E4749" s="48" t="n"/>
      <c r="F4749" s="48" t="n"/>
      <c r="G4749" s="49" t="n"/>
      <c r="H4749" s="48" t="n"/>
      <c r="I4749" s="50" t="n"/>
      <c r="J4749" s="48" t="n"/>
      <c r="K4749" s="48" t="n"/>
      <c r="L4749" s="48" t="n"/>
      <c r="M4749" s="48" t="n"/>
      <c r="N4749" s="48" t="n"/>
      <c r="O4749" s="51">
        <f>IF(AND(B4749="",G4749="",C4749="",D4749="",J4749=""),"",IF(B4749="","⚠ Falta fecha",IF(G4749="","⚠ Falta monto",IF(Q4749="","⚠ Falta cuenta",IF(ISNA(MATCH(Q4749,ctaNombre,0)),"⚠ Cuenta no registrada",IF(AND(OR(P4749="Gasto",P4749="Reembolso"),D4749=""),"⚠ Falta categoría",IF(AND(D4749&lt;&gt;"",E4749&lt;&gt;"",ISNA(MATCH(D4749&amp;"|"&amp;E4749,catClave,0))),"⚠ Subcategoría no corresponde",IF(AND(OR(P4749="Transferencia",P4749="Pago tarjeta"),K4749=""),"⚠ Falta cuenta destino",IF(AND(K4749&lt;&gt;"",P4749&lt;&gt;"Transferencia",P4749&lt;&gt;"Pago tarjeta"),"⚠ Destino solo aplica a transferencias",IF(AND(K4749&lt;&gt;"",K4749=Q4749),"⚠ Origen igual a destino",IF(AND(K4749&lt;&gt;"",ISNA(MATCH(K4749,ctaNombre,0))),"⚠ Destino no registrado",IF(AND(P4749="Pago tarjeta",AE4749&lt;&gt;"Tarjeta de crédito"),"⚠ El destino debe ser tarjeta de crédito",IF(AND(P4749="Gasto",E4749="Depósitos y retiros"),"⚠ Usa tipo Transferencia",IF(AND(P4749="Resultado trading",AD4749&lt;&gt;"Cuenta de trading"),"⚠ Usa una cuenta de trading",IF(AND(G4749&lt;=0,P4749&lt;&gt;"Ajuste",P4749&lt;&gt;"Resultado trading"),"⚠ El monto debe ser positivo","✓")))))))))))))))</f>
        <v/>
      </c>
      <c r="P4749" s="52">
        <f>IF(OR(B4749="",G4749=""),"",IF(C4749="","Gasto",C4749))</f>
        <v/>
      </c>
      <c r="Q4749" s="52">
        <f>IF(P4749="","",IF(J4749&lt;&gt;"",J4749,CuentaPred&amp;""))</f>
        <v/>
      </c>
      <c r="R4749" s="52">
        <f>IF(P4749="","",IF(ISNUMBER(I4749),I4749,TasaUSD))</f>
        <v/>
      </c>
      <c r="S4749" s="53">
        <f>IF(P4749="","",IF(H4749="USD",G4749*R4749,G4749))</f>
        <v/>
      </c>
      <c r="T4749" s="53">
        <f>IF(P4749="","",IF(H4749="USD",G4749,IF(R4749&gt;0,G4749/R4749,0)))</f>
        <v/>
      </c>
      <c r="U4749" s="53">
        <f>IF(P4749="","",IF(P4749="Gasto",S4749,IF(P4749="Reembolso",-S4749,0)))</f>
        <v/>
      </c>
      <c r="V4749" s="53">
        <f>IF(P4749="","",IF(P4749="Ingreso",S4749,0))</f>
        <v/>
      </c>
      <c r="W4749" s="53">
        <f>IF(P4749="","",IF(P4749="Resultado trading",S4749,0))</f>
        <v/>
      </c>
      <c r="X4749" s="52">
        <f>IF(OR(P4749="Gasto",P4749="Reembolso"),IF(M4749&lt;&gt;"",M4749,IFERROR(INDEX(catClasif,MATCH(D4749&amp;"|"&amp;E4749,catClave,0))&amp;"","Variable")),"")</f>
        <v/>
      </c>
      <c r="Y4749" s="52">
        <f>IF(P4749="","",IFERROR(INDEX(catGrupo,MATCH(D4749&amp;"|"&amp;E4749,catClave,0))&amp;"",""))</f>
        <v/>
      </c>
      <c r="Z4749" s="52">
        <f>IF(P4749="","",WEEKDAY(B4749,2))</f>
        <v/>
      </c>
      <c r="AA4749" s="52">
        <f>IF(P4749="","",IF(AND(P4749="Gasto",X4749="Variable",D4749&lt;&gt;catTrading,S4749&gt;0,S4749&lt;=Umbral),1,0))</f>
        <v/>
      </c>
      <c r="AB4749" s="52">
        <f>IF(OR(P4749="",Q4749=""),"",IFERROR(IF(INDEX(ctaVinc,MATCH(Q4749,ctaNombre,0))&amp;""&lt;&gt;"",INDEX(ctaVinc,MATCH(Q4749,ctaNombre,0))&amp;"",Q4749),Q4749))</f>
        <v/>
      </c>
      <c r="AC4749" s="52">
        <f>IF(OR(K4749="",AND(P4749&lt;&gt;"Transferencia",P4749&lt;&gt;"Pago tarjeta")),"",IFERROR(IF(INDEX(ctaVinc,MATCH(K4749,ctaNombre,0))&amp;""&lt;&gt;"",INDEX(ctaVinc,MATCH(K4749,ctaNombre,0))&amp;"",K4749),K4749))</f>
        <v/>
      </c>
      <c r="AD4749" s="52">
        <f>IF(AB4749="","",IFERROR(INDEX(ctaTipo,MATCH(AB4749,ctaNombre,0))&amp;"",""))</f>
        <v/>
      </c>
      <c r="AE4749" s="52">
        <f>IF(AC4749="","",IFERROR(INDEX(ctaTipo,MATCH(AC4749,ctaNombre,0))&amp;"",""))</f>
        <v/>
      </c>
      <c r="AF4749" s="53">
        <f>IF(OR(P4749="",AB4749=""),"",IF(OR(P4749="Gasto",P4749="Transferencia",P4749="Pago tarjeta"),-1,1)*IF(IFERROR(INDEX(ctaMoneda,MATCH(AB4749,ctaNombre,0))&amp;"","DOP")="USD",T4749,S4749))</f>
        <v/>
      </c>
      <c r="AG4749" s="53">
        <f>IF(AC4749="","",IF(IFERROR(INDEX(ctaMoneda,MATCH(AC4749,ctaNombre,0))&amp;"","DOP")="USD",T4749,S4749))</f>
        <v/>
      </c>
      <c r="AH4749" s="53">
        <f>IF(P4749="","",IF(AND(AD4749&lt;&gt;"",COUNTIFS(tcTipo,AD4749,tcLiq,"Sí")&gt;0),IF(OR(P4749="Gasto",P4749="Transferencia",P4749="Pago tarjeta"),-1,1)*S4749,0)+IF(AND(AE4749&lt;&gt;"",COUNTIFS(tcTipo,AE4749,tcLiq,"Sí")&gt;0),S4749,0))</f>
        <v/>
      </c>
      <c r="AI4749" s="52">
        <f>IF(OR(L4749="",P4749=""),"",IF(COUNTIFS(L$6:L4749,L4749,P$6:P4749,"?*")=1,MAX(AI$5:AI4748)+1,""))</f>
        <v/>
      </c>
    </row>
    <row r="4750">
      <c r="B4750" s="47" t="n"/>
      <c r="C4750" s="48" t="n"/>
      <c r="D4750" s="48" t="n"/>
      <c r="E4750" s="48" t="n"/>
      <c r="F4750" s="48" t="n"/>
      <c r="G4750" s="49" t="n"/>
      <c r="H4750" s="48" t="n"/>
      <c r="I4750" s="50" t="n"/>
      <c r="J4750" s="48" t="n"/>
      <c r="K4750" s="48" t="n"/>
      <c r="L4750" s="48" t="n"/>
      <c r="M4750" s="48" t="n"/>
      <c r="N4750" s="48" t="n"/>
      <c r="O4750" s="51">
        <f>IF(AND(B4750="",G4750="",C4750="",D4750="",J4750=""),"",IF(B4750="","⚠ Falta fecha",IF(G4750="","⚠ Falta monto",IF(Q4750="","⚠ Falta cuenta",IF(ISNA(MATCH(Q4750,ctaNombre,0)),"⚠ Cuenta no registrada",IF(AND(OR(P4750="Gasto",P4750="Reembolso"),D4750=""),"⚠ Falta categoría",IF(AND(D4750&lt;&gt;"",E4750&lt;&gt;"",ISNA(MATCH(D4750&amp;"|"&amp;E4750,catClave,0))),"⚠ Subcategoría no corresponde",IF(AND(OR(P4750="Transferencia",P4750="Pago tarjeta"),K4750=""),"⚠ Falta cuenta destino",IF(AND(K4750&lt;&gt;"",P4750&lt;&gt;"Transferencia",P4750&lt;&gt;"Pago tarjeta"),"⚠ Destino solo aplica a transferencias",IF(AND(K4750&lt;&gt;"",K4750=Q4750),"⚠ Origen igual a destino",IF(AND(K4750&lt;&gt;"",ISNA(MATCH(K4750,ctaNombre,0))),"⚠ Destino no registrado",IF(AND(P4750="Pago tarjeta",AE4750&lt;&gt;"Tarjeta de crédito"),"⚠ El destino debe ser tarjeta de crédito",IF(AND(P4750="Gasto",E4750="Depósitos y retiros"),"⚠ Usa tipo Transferencia",IF(AND(P4750="Resultado trading",AD4750&lt;&gt;"Cuenta de trading"),"⚠ Usa una cuenta de trading",IF(AND(G4750&lt;=0,P4750&lt;&gt;"Ajuste",P4750&lt;&gt;"Resultado trading"),"⚠ El monto debe ser positivo","✓")))))))))))))))</f>
        <v/>
      </c>
      <c r="P4750" s="52">
        <f>IF(OR(B4750="",G4750=""),"",IF(C4750="","Gasto",C4750))</f>
        <v/>
      </c>
      <c r="Q4750" s="52">
        <f>IF(P4750="","",IF(J4750&lt;&gt;"",J4750,CuentaPred&amp;""))</f>
        <v/>
      </c>
      <c r="R4750" s="52">
        <f>IF(P4750="","",IF(ISNUMBER(I4750),I4750,TasaUSD))</f>
        <v/>
      </c>
      <c r="S4750" s="53">
        <f>IF(P4750="","",IF(H4750="USD",G4750*R4750,G4750))</f>
        <v/>
      </c>
      <c r="T4750" s="53">
        <f>IF(P4750="","",IF(H4750="USD",G4750,IF(R4750&gt;0,G4750/R4750,0)))</f>
        <v/>
      </c>
      <c r="U4750" s="53">
        <f>IF(P4750="","",IF(P4750="Gasto",S4750,IF(P4750="Reembolso",-S4750,0)))</f>
        <v/>
      </c>
      <c r="V4750" s="53">
        <f>IF(P4750="","",IF(P4750="Ingreso",S4750,0))</f>
        <v/>
      </c>
      <c r="W4750" s="53">
        <f>IF(P4750="","",IF(P4750="Resultado trading",S4750,0))</f>
        <v/>
      </c>
      <c r="X4750" s="52">
        <f>IF(OR(P4750="Gasto",P4750="Reembolso"),IF(M4750&lt;&gt;"",M4750,IFERROR(INDEX(catClasif,MATCH(D4750&amp;"|"&amp;E4750,catClave,0))&amp;"","Variable")),"")</f>
        <v/>
      </c>
      <c r="Y4750" s="52">
        <f>IF(P4750="","",IFERROR(INDEX(catGrupo,MATCH(D4750&amp;"|"&amp;E4750,catClave,0))&amp;"",""))</f>
        <v/>
      </c>
      <c r="Z4750" s="52">
        <f>IF(P4750="","",WEEKDAY(B4750,2))</f>
        <v/>
      </c>
      <c r="AA4750" s="52">
        <f>IF(P4750="","",IF(AND(P4750="Gasto",X4750="Variable",D4750&lt;&gt;catTrading,S4750&gt;0,S4750&lt;=Umbral),1,0))</f>
        <v/>
      </c>
      <c r="AB4750" s="52">
        <f>IF(OR(P4750="",Q4750=""),"",IFERROR(IF(INDEX(ctaVinc,MATCH(Q4750,ctaNombre,0))&amp;""&lt;&gt;"",INDEX(ctaVinc,MATCH(Q4750,ctaNombre,0))&amp;"",Q4750),Q4750))</f>
        <v/>
      </c>
      <c r="AC4750" s="52">
        <f>IF(OR(K4750="",AND(P4750&lt;&gt;"Transferencia",P4750&lt;&gt;"Pago tarjeta")),"",IFERROR(IF(INDEX(ctaVinc,MATCH(K4750,ctaNombre,0))&amp;""&lt;&gt;"",INDEX(ctaVinc,MATCH(K4750,ctaNombre,0))&amp;"",K4750),K4750))</f>
        <v/>
      </c>
      <c r="AD4750" s="52">
        <f>IF(AB4750="","",IFERROR(INDEX(ctaTipo,MATCH(AB4750,ctaNombre,0))&amp;"",""))</f>
        <v/>
      </c>
      <c r="AE4750" s="52">
        <f>IF(AC4750="","",IFERROR(INDEX(ctaTipo,MATCH(AC4750,ctaNombre,0))&amp;"",""))</f>
        <v/>
      </c>
      <c r="AF4750" s="53">
        <f>IF(OR(P4750="",AB4750=""),"",IF(OR(P4750="Gasto",P4750="Transferencia",P4750="Pago tarjeta"),-1,1)*IF(IFERROR(INDEX(ctaMoneda,MATCH(AB4750,ctaNombre,0))&amp;"","DOP")="USD",T4750,S4750))</f>
        <v/>
      </c>
      <c r="AG4750" s="53">
        <f>IF(AC4750="","",IF(IFERROR(INDEX(ctaMoneda,MATCH(AC4750,ctaNombre,0))&amp;"","DOP")="USD",T4750,S4750))</f>
        <v/>
      </c>
      <c r="AH4750" s="53">
        <f>IF(P4750="","",IF(AND(AD4750&lt;&gt;"",COUNTIFS(tcTipo,AD4750,tcLiq,"Sí")&gt;0),IF(OR(P4750="Gasto",P4750="Transferencia",P4750="Pago tarjeta"),-1,1)*S4750,0)+IF(AND(AE4750&lt;&gt;"",COUNTIFS(tcTipo,AE4750,tcLiq,"Sí")&gt;0),S4750,0))</f>
        <v/>
      </c>
      <c r="AI4750" s="52">
        <f>IF(OR(L4750="",P4750=""),"",IF(COUNTIFS(L$6:L4750,L4750,P$6:P4750,"?*")=1,MAX(AI$5:AI4749)+1,""))</f>
        <v/>
      </c>
    </row>
    <row r="4751">
      <c r="B4751" s="47" t="n"/>
      <c r="C4751" s="48" t="n"/>
      <c r="D4751" s="48" t="n"/>
      <c r="E4751" s="48" t="n"/>
      <c r="F4751" s="48" t="n"/>
      <c r="G4751" s="49" t="n"/>
      <c r="H4751" s="48" t="n"/>
      <c r="I4751" s="50" t="n"/>
      <c r="J4751" s="48" t="n"/>
      <c r="K4751" s="48" t="n"/>
      <c r="L4751" s="48" t="n"/>
      <c r="M4751" s="48" t="n"/>
      <c r="N4751" s="48" t="n"/>
      <c r="O4751" s="51">
        <f>IF(AND(B4751="",G4751="",C4751="",D4751="",J4751=""),"",IF(B4751="","⚠ Falta fecha",IF(G4751="","⚠ Falta monto",IF(Q4751="","⚠ Falta cuenta",IF(ISNA(MATCH(Q4751,ctaNombre,0)),"⚠ Cuenta no registrada",IF(AND(OR(P4751="Gasto",P4751="Reembolso"),D4751=""),"⚠ Falta categoría",IF(AND(D4751&lt;&gt;"",E4751&lt;&gt;"",ISNA(MATCH(D4751&amp;"|"&amp;E4751,catClave,0))),"⚠ Subcategoría no corresponde",IF(AND(OR(P4751="Transferencia",P4751="Pago tarjeta"),K4751=""),"⚠ Falta cuenta destino",IF(AND(K4751&lt;&gt;"",P4751&lt;&gt;"Transferencia",P4751&lt;&gt;"Pago tarjeta"),"⚠ Destino solo aplica a transferencias",IF(AND(K4751&lt;&gt;"",K4751=Q4751),"⚠ Origen igual a destino",IF(AND(K4751&lt;&gt;"",ISNA(MATCH(K4751,ctaNombre,0))),"⚠ Destino no registrado",IF(AND(P4751="Pago tarjeta",AE4751&lt;&gt;"Tarjeta de crédito"),"⚠ El destino debe ser tarjeta de crédito",IF(AND(P4751="Gasto",E4751="Depósitos y retiros"),"⚠ Usa tipo Transferencia",IF(AND(P4751="Resultado trading",AD4751&lt;&gt;"Cuenta de trading"),"⚠ Usa una cuenta de trading",IF(AND(G4751&lt;=0,P4751&lt;&gt;"Ajuste",P4751&lt;&gt;"Resultado trading"),"⚠ El monto debe ser positivo","✓")))))))))))))))</f>
        <v/>
      </c>
      <c r="P4751" s="52">
        <f>IF(OR(B4751="",G4751=""),"",IF(C4751="","Gasto",C4751))</f>
        <v/>
      </c>
      <c r="Q4751" s="52">
        <f>IF(P4751="","",IF(J4751&lt;&gt;"",J4751,CuentaPred&amp;""))</f>
        <v/>
      </c>
      <c r="R4751" s="52">
        <f>IF(P4751="","",IF(ISNUMBER(I4751),I4751,TasaUSD))</f>
        <v/>
      </c>
      <c r="S4751" s="53">
        <f>IF(P4751="","",IF(H4751="USD",G4751*R4751,G4751))</f>
        <v/>
      </c>
      <c r="T4751" s="53">
        <f>IF(P4751="","",IF(H4751="USD",G4751,IF(R4751&gt;0,G4751/R4751,0)))</f>
        <v/>
      </c>
      <c r="U4751" s="53">
        <f>IF(P4751="","",IF(P4751="Gasto",S4751,IF(P4751="Reembolso",-S4751,0)))</f>
        <v/>
      </c>
      <c r="V4751" s="53">
        <f>IF(P4751="","",IF(P4751="Ingreso",S4751,0))</f>
        <v/>
      </c>
      <c r="W4751" s="53">
        <f>IF(P4751="","",IF(P4751="Resultado trading",S4751,0))</f>
        <v/>
      </c>
      <c r="X4751" s="52">
        <f>IF(OR(P4751="Gasto",P4751="Reembolso"),IF(M4751&lt;&gt;"",M4751,IFERROR(INDEX(catClasif,MATCH(D4751&amp;"|"&amp;E4751,catClave,0))&amp;"","Variable")),"")</f>
        <v/>
      </c>
      <c r="Y4751" s="52">
        <f>IF(P4751="","",IFERROR(INDEX(catGrupo,MATCH(D4751&amp;"|"&amp;E4751,catClave,0))&amp;"",""))</f>
        <v/>
      </c>
      <c r="Z4751" s="52">
        <f>IF(P4751="","",WEEKDAY(B4751,2))</f>
        <v/>
      </c>
      <c r="AA4751" s="52">
        <f>IF(P4751="","",IF(AND(P4751="Gasto",X4751="Variable",D4751&lt;&gt;catTrading,S4751&gt;0,S4751&lt;=Umbral),1,0))</f>
        <v/>
      </c>
      <c r="AB4751" s="52">
        <f>IF(OR(P4751="",Q4751=""),"",IFERROR(IF(INDEX(ctaVinc,MATCH(Q4751,ctaNombre,0))&amp;""&lt;&gt;"",INDEX(ctaVinc,MATCH(Q4751,ctaNombre,0))&amp;"",Q4751),Q4751))</f>
        <v/>
      </c>
      <c r="AC4751" s="52">
        <f>IF(OR(K4751="",AND(P4751&lt;&gt;"Transferencia",P4751&lt;&gt;"Pago tarjeta")),"",IFERROR(IF(INDEX(ctaVinc,MATCH(K4751,ctaNombre,0))&amp;""&lt;&gt;"",INDEX(ctaVinc,MATCH(K4751,ctaNombre,0))&amp;"",K4751),K4751))</f>
        <v/>
      </c>
      <c r="AD4751" s="52">
        <f>IF(AB4751="","",IFERROR(INDEX(ctaTipo,MATCH(AB4751,ctaNombre,0))&amp;"",""))</f>
        <v/>
      </c>
      <c r="AE4751" s="52">
        <f>IF(AC4751="","",IFERROR(INDEX(ctaTipo,MATCH(AC4751,ctaNombre,0))&amp;"",""))</f>
        <v/>
      </c>
      <c r="AF4751" s="53">
        <f>IF(OR(P4751="",AB4751=""),"",IF(OR(P4751="Gasto",P4751="Transferencia",P4751="Pago tarjeta"),-1,1)*IF(IFERROR(INDEX(ctaMoneda,MATCH(AB4751,ctaNombre,0))&amp;"","DOP")="USD",T4751,S4751))</f>
        <v/>
      </c>
      <c r="AG4751" s="53">
        <f>IF(AC4751="","",IF(IFERROR(INDEX(ctaMoneda,MATCH(AC4751,ctaNombre,0))&amp;"","DOP")="USD",T4751,S4751))</f>
        <v/>
      </c>
      <c r="AH4751" s="53">
        <f>IF(P4751="","",IF(AND(AD4751&lt;&gt;"",COUNTIFS(tcTipo,AD4751,tcLiq,"Sí")&gt;0),IF(OR(P4751="Gasto",P4751="Transferencia",P4751="Pago tarjeta"),-1,1)*S4751,0)+IF(AND(AE4751&lt;&gt;"",COUNTIFS(tcTipo,AE4751,tcLiq,"Sí")&gt;0),S4751,0))</f>
        <v/>
      </c>
      <c r="AI4751" s="52">
        <f>IF(OR(L4751="",P4751=""),"",IF(COUNTIFS(L$6:L4751,L4751,P$6:P4751,"?*")=1,MAX(AI$5:AI4750)+1,""))</f>
        <v/>
      </c>
    </row>
    <row r="4752">
      <c r="B4752" s="47" t="n"/>
      <c r="C4752" s="48" t="n"/>
      <c r="D4752" s="48" t="n"/>
      <c r="E4752" s="48" t="n"/>
      <c r="F4752" s="48" t="n"/>
      <c r="G4752" s="49" t="n"/>
      <c r="H4752" s="48" t="n"/>
      <c r="I4752" s="50" t="n"/>
      <c r="J4752" s="48" t="n"/>
      <c r="K4752" s="48" t="n"/>
      <c r="L4752" s="48" t="n"/>
      <c r="M4752" s="48" t="n"/>
      <c r="N4752" s="48" t="n"/>
      <c r="O4752" s="51">
        <f>IF(AND(B4752="",G4752="",C4752="",D4752="",J4752=""),"",IF(B4752="","⚠ Falta fecha",IF(G4752="","⚠ Falta monto",IF(Q4752="","⚠ Falta cuenta",IF(ISNA(MATCH(Q4752,ctaNombre,0)),"⚠ Cuenta no registrada",IF(AND(OR(P4752="Gasto",P4752="Reembolso"),D4752=""),"⚠ Falta categoría",IF(AND(D4752&lt;&gt;"",E4752&lt;&gt;"",ISNA(MATCH(D4752&amp;"|"&amp;E4752,catClave,0))),"⚠ Subcategoría no corresponde",IF(AND(OR(P4752="Transferencia",P4752="Pago tarjeta"),K4752=""),"⚠ Falta cuenta destino",IF(AND(K4752&lt;&gt;"",P4752&lt;&gt;"Transferencia",P4752&lt;&gt;"Pago tarjeta"),"⚠ Destino solo aplica a transferencias",IF(AND(K4752&lt;&gt;"",K4752=Q4752),"⚠ Origen igual a destino",IF(AND(K4752&lt;&gt;"",ISNA(MATCH(K4752,ctaNombre,0))),"⚠ Destino no registrado",IF(AND(P4752="Pago tarjeta",AE4752&lt;&gt;"Tarjeta de crédito"),"⚠ El destino debe ser tarjeta de crédito",IF(AND(P4752="Gasto",E4752="Depósitos y retiros"),"⚠ Usa tipo Transferencia",IF(AND(P4752="Resultado trading",AD4752&lt;&gt;"Cuenta de trading"),"⚠ Usa una cuenta de trading",IF(AND(G4752&lt;=0,P4752&lt;&gt;"Ajuste",P4752&lt;&gt;"Resultado trading"),"⚠ El monto debe ser positivo","✓")))))))))))))))</f>
        <v/>
      </c>
      <c r="P4752" s="52">
        <f>IF(OR(B4752="",G4752=""),"",IF(C4752="","Gasto",C4752))</f>
        <v/>
      </c>
      <c r="Q4752" s="52">
        <f>IF(P4752="","",IF(J4752&lt;&gt;"",J4752,CuentaPred&amp;""))</f>
        <v/>
      </c>
      <c r="R4752" s="52">
        <f>IF(P4752="","",IF(ISNUMBER(I4752),I4752,TasaUSD))</f>
        <v/>
      </c>
      <c r="S4752" s="53">
        <f>IF(P4752="","",IF(H4752="USD",G4752*R4752,G4752))</f>
        <v/>
      </c>
      <c r="T4752" s="53">
        <f>IF(P4752="","",IF(H4752="USD",G4752,IF(R4752&gt;0,G4752/R4752,0)))</f>
        <v/>
      </c>
      <c r="U4752" s="53">
        <f>IF(P4752="","",IF(P4752="Gasto",S4752,IF(P4752="Reembolso",-S4752,0)))</f>
        <v/>
      </c>
      <c r="V4752" s="53">
        <f>IF(P4752="","",IF(P4752="Ingreso",S4752,0))</f>
        <v/>
      </c>
      <c r="W4752" s="53">
        <f>IF(P4752="","",IF(P4752="Resultado trading",S4752,0))</f>
        <v/>
      </c>
      <c r="X4752" s="52">
        <f>IF(OR(P4752="Gasto",P4752="Reembolso"),IF(M4752&lt;&gt;"",M4752,IFERROR(INDEX(catClasif,MATCH(D4752&amp;"|"&amp;E4752,catClave,0))&amp;"","Variable")),"")</f>
        <v/>
      </c>
      <c r="Y4752" s="52">
        <f>IF(P4752="","",IFERROR(INDEX(catGrupo,MATCH(D4752&amp;"|"&amp;E4752,catClave,0))&amp;"",""))</f>
        <v/>
      </c>
      <c r="Z4752" s="52">
        <f>IF(P4752="","",WEEKDAY(B4752,2))</f>
        <v/>
      </c>
      <c r="AA4752" s="52">
        <f>IF(P4752="","",IF(AND(P4752="Gasto",X4752="Variable",D4752&lt;&gt;catTrading,S4752&gt;0,S4752&lt;=Umbral),1,0))</f>
        <v/>
      </c>
      <c r="AB4752" s="52">
        <f>IF(OR(P4752="",Q4752=""),"",IFERROR(IF(INDEX(ctaVinc,MATCH(Q4752,ctaNombre,0))&amp;""&lt;&gt;"",INDEX(ctaVinc,MATCH(Q4752,ctaNombre,0))&amp;"",Q4752),Q4752))</f>
        <v/>
      </c>
      <c r="AC4752" s="52">
        <f>IF(OR(K4752="",AND(P4752&lt;&gt;"Transferencia",P4752&lt;&gt;"Pago tarjeta")),"",IFERROR(IF(INDEX(ctaVinc,MATCH(K4752,ctaNombre,0))&amp;""&lt;&gt;"",INDEX(ctaVinc,MATCH(K4752,ctaNombre,0))&amp;"",K4752),K4752))</f>
        <v/>
      </c>
      <c r="AD4752" s="52">
        <f>IF(AB4752="","",IFERROR(INDEX(ctaTipo,MATCH(AB4752,ctaNombre,0))&amp;"",""))</f>
        <v/>
      </c>
      <c r="AE4752" s="52">
        <f>IF(AC4752="","",IFERROR(INDEX(ctaTipo,MATCH(AC4752,ctaNombre,0))&amp;"",""))</f>
        <v/>
      </c>
      <c r="AF4752" s="53">
        <f>IF(OR(P4752="",AB4752=""),"",IF(OR(P4752="Gasto",P4752="Transferencia",P4752="Pago tarjeta"),-1,1)*IF(IFERROR(INDEX(ctaMoneda,MATCH(AB4752,ctaNombre,0))&amp;"","DOP")="USD",T4752,S4752))</f>
        <v/>
      </c>
      <c r="AG4752" s="53">
        <f>IF(AC4752="","",IF(IFERROR(INDEX(ctaMoneda,MATCH(AC4752,ctaNombre,0))&amp;"","DOP")="USD",T4752,S4752))</f>
        <v/>
      </c>
      <c r="AH4752" s="53">
        <f>IF(P4752="","",IF(AND(AD4752&lt;&gt;"",COUNTIFS(tcTipo,AD4752,tcLiq,"Sí")&gt;0),IF(OR(P4752="Gasto",P4752="Transferencia",P4752="Pago tarjeta"),-1,1)*S4752,0)+IF(AND(AE4752&lt;&gt;"",COUNTIFS(tcTipo,AE4752,tcLiq,"Sí")&gt;0),S4752,0))</f>
        <v/>
      </c>
      <c r="AI4752" s="52">
        <f>IF(OR(L4752="",P4752=""),"",IF(COUNTIFS(L$6:L4752,L4752,P$6:P4752,"?*")=1,MAX(AI$5:AI4751)+1,""))</f>
        <v/>
      </c>
    </row>
    <row r="4753">
      <c r="B4753" s="47" t="n"/>
      <c r="C4753" s="48" t="n"/>
      <c r="D4753" s="48" t="n"/>
      <c r="E4753" s="48" t="n"/>
      <c r="F4753" s="48" t="n"/>
      <c r="G4753" s="49" t="n"/>
      <c r="H4753" s="48" t="n"/>
      <c r="I4753" s="50" t="n"/>
      <c r="J4753" s="48" t="n"/>
      <c r="K4753" s="48" t="n"/>
      <c r="L4753" s="48" t="n"/>
      <c r="M4753" s="48" t="n"/>
      <c r="N4753" s="48" t="n"/>
      <c r="O4753" s="51">
        <f>IF(AND(B4753="",G4753="",C4753="",D4753="",J4753=""),"",IF(B4753="","⚠ Falta fecha",IF(G4753="","⚠ Falta monto",IF(Q4753="","⚠ Falta cuenta",IF(ISNA(MATCH(Q4753,ctaNombre,0)),"⚠ Cuenta no registrada",IF(AND(OR(P4753="Gasto",P4753="Reembolso"),D4753=""),"⚠ Falta categoría",IF(AND(D4753&lt;&gt;"",E4753&lt;&gt;"",ISNA(MATCH(D4753&amp;"|"&amp;E4753,catClave,0))),"⚠ Subcategoría no corresponde",IF(AND(OR(P4753="Transferencia",P4753="Pago tarjeta"),K4753=""),"⚠ Falta cuenta destino",IF(AND(K4753&lt;&gt;"",P4753&lt;&gt;"Transferencia",P4753&lt;&gt;"Pago tarjeta"),"⚠ Destino solo aplica a transferencias",IF(AND(K4753&lt;&gt;"",K4753=Q4753),"⚠ Origen igual a destino",IF(AND(K4753&lt;&gt;"",ISNA(MATCH(K4753,ctaNombre,0))),"⚠ Destino no registrado",IF(AND(P4753="Pago tarjeta",AE4753&lt;&gt;"Tarjeta de crédito"),"⚠ El destino debe ser tarjeta de crédito",IF(AND(P4753="Gasto",E4753="Depósitos y retiros"),"⚠ Usa tipo Transferencia",IF(AND(P4753="Resultado trading",AD4753&lt;&gt;"Cuenta de trading"),"⚠ Usa una cuenta de trading",IF(AND(G4753&lt;=0,P4753&lt;&gt;"Ajuste",P4753&lt;&gt;"Resultado trading"),"⚠ El monto debe ser positivo","✓")))))))))))))))</f>
        <v/>
      </c>
      <c r="P4753" s="52">
        <f>IF(OR(B4753="",G4753=""),"",IF(C4753="","Gasto",C4753))</f>
        <v/>
      </c>
      <c r="Q4753" s="52">
        <f>IF(P4753="","",IF(J4753&lt;&gt;"",J4753,CuentaPred&amp;""))</f>
        <v/>
      </c>
      <c r="R4753" s="52">
        <f>IF(P4753="","",IF(ISNUMBER(I4753),I4753,TasaUSD))</f>
        <v/>
      </c>
      <c r="S4753" s="53">
        <f>IF(P4753="","",IF(H4753="USD",G4753*R4753,G4753))</f>
        <v/>
      </c>
      <c r="T4753" s="53">
        <f>IF(P4753="","",IF(H4753="USD",G4753,IF(R4753&gt;0,G4753/R4753,0)))</f>
        <v/>
      </c>
      <c r="U4753" s="53">
        <f>IF(P4753="","",IF(P4753="Gasto",S4753,IF(P4753="Reembolso",-S4753,0)))</f>
        <v/>
      </c>
      <c r="V4753" s="53">
        <f>IF(P4753="","",IF(P4753="Ingreso",S4753,0))</f>
        <v/>
      </c>
      <c r="W4753" s="53">
        <f>IF(P4753="","",IF(P4753="Resultado trading",S4753,0))</f>
        <v/>
      </c>
      <c r="X4753" s="52">
        <f>IF(OR(P4753="Gasto",P4753="Reembolso"),IF(M4753&lt;&gt;"",M4753,IFERROR(INDEX(catClasif,MATCH(D4753&amp;"|"&amp;E4753,catClave,0))&amp;"","Variable")),"")</f>
        <v/>
      </c>
      <c r="Y4753" s="52">
        <f>IF(P4753="","",IFERROR(INDEX(catGrupo,MATCH(D4753&amp;"|"&amp;E4753,catClave,0))&amp;"",""))</f>
        <v/>
      </c>
      <c r="Z4753" s="52">
        <f>IF(P4753="","",WEEKDAY(B4753,2))</f>
        <v/>
      </c>
      <c r="AA4753" s="52">
        <f>IF(P4753="","",IF(AND(P4753="Gasto",X4753="Variable",D4753&lt;&gt;catTrading,S4753&gt;0,S4753&lt;=Umbral),1,0))</f>
        <v/>
      </c>
      <c r="AB4753" s="52">
        <f>IF(OR(P4753="",Q4753=""),"",IFERROR(IF(INDEX(ctaVinc,MATCH(Q4753,ctaNombre,0))&amp;""&lt;&gt;"",INDEX(ctaVinc,MATCH(Q4753,ctaNombre,0))&amp;"",Q4753),Q4753))</f>
        <v/>
      </c>
      <c r="AC4753" s="52">
        <f>IF(OR(K4753="",AND(P4753&lt;&gt;"Transferencia",P4753&lt;&gt;"Pago tarjeta")),"",IFERROR(IF(INDEX(ctaVinc,MATCH(K4753,ctaNombre,0))&amp;""&lt;&gt;"",INDEX(ctaVinc,MATCH(K4753,ctaNombre,0))&amp;"",K4753),K4753))</f>
        <v/>
      </c>
      <c r="AD4753" s="52">
        <f>IF(AB4753="","",IFERROR(INDEX(ctaTipo,MATCH(AB4753,ctaNombre,0))&amp;"",""))</f>
        <v/>
      </c>
      <c r="AE4753" s="52">
        <f>IF(AC4753="","",IFERROR(INDEX(ctaTipo,MATCH(AC4753,ctaNombre,0))&amp;"",""))</f>
        <v/>
      </c>
      <c r="AF4753" s="53">
        <f>IF(OR(P4753="",AB4753=""),"",IF(OR(P4753="Gasto",P4753="Transferencia",P4753="Pago tarjeta"),-1,1)*IF(IFERROR(INDEX(ctaMoneda,MATCH(AB4753,ctaNombre,0))&amp;"","DOP")="USD",T4753,S4753))</f>
        <v/>
      </c>
      <c r="AG4753" s="53">
        <f>IF(AC4753="","",IF(IFERROR(INDEX(ctaMoneda,MATCH(AC4753,ctaNombre,0))&amp;"","DOP")="USD",T4753,S4753))</f>
        <v/>
      </c>
      <c r="AH4753" s="53">
        <f>IF(P4753="","",IF(AND(AD4753&lt;&gt;"",COUNTIFS(tcTipo,AD4753,tcLiq,"Sí")&gt;0),IF(OR(P4753="Gasto",P4753="Transferencia",P4753="Pago tarjeta"),-1,1)*S4753,0)+IF(AND(AE4753&lt;&gt;"",COUNTIFS(tcTipo,AE4753,tcLiq,"Sí")&gt;0),S4753,0))</f>
        <v/>
      </c>
      <c r="AI4753" s="52">
        <f>IF(OR(L4753="",P4753=""),"",IF(COUNTIFS(L$6:L4753,L4753,P$6:P4753,"?*")=1,MAX(AI$5:AI4752)+1,""))</f>
        <v/>
      </c>
    </row>
    <row r="4754">
      <c r="B4754" s="47" t="n"/>
      <c r="C4754" s="48" t="n"/>
      <c r="D4754" s="48" t="n"/>
      <c r="E4754" s="48" t="n"/>
      <c r="F4754" s="48" t="n"/>
      <c r="G4754" s="49" t="n"/>
      <c r="H4754" s="48" t="n"/>
      <c r="I4754" s="50" t="n"/>
      <c r="J4754" s="48" t="n"/>
      <c r="K4754" s="48" t="n"/>
      <c r="L4754" s="48" t="n"/>
      <c r="M4754" s="48" t="n"/>
      <c r="N4754" s="48" t="n"/>
      <c r="O4754" s="51">
        <f>IF(AND(B4754="",G4754="",C4754="",D4754="",J4754=""),"",IF(B4754="","⚠ Falta fecha",IF(G4754="","⚠ Falta monto",IF(Q4754="","⚠ Falta cuenta",IF(ISNA(MATCH(Q4754,ctaNombre,0)),"⚠ Cuenta no registrada",IF(AND(OR(P4754="Gasto",P4754="Reembolso"),D4754=""),"⚠ Falta categoría",IF(AND(D4754&lt;&gt;"",E4754&lt;&gt;"",ISNA(MATCH(D4754&amp;"|"&amp;E4754,catClave,0))),"⚠ Subcategoría no corresponde",IF(AND(OR(P4754="Transferencia",P4754="Pago tarjeta"),K4754=""),"⚠ Falta cuenta destino",IF(AND(K4754&lt;&gt;"",P4754&lt;&gt;"Transferencia",P4754&lt;&gt;"Pago tarjeta"),"⚠ Destino solo aplica a transferencias",IF(AND(K4754&lt;&gt;"",K4754=Q4754),"⚠ Origen igual a destino",IF(AND(K4754&lt;&gt;"",ISNA(MATCH(K4754,ctaNombre,0))),"⚠ Destino no registrado",IF(AND(P4754="Pago tarjeta",AE4754&lt;&gt;"Tarjeta de crédito"),"⚠ El destino debe ser tarjeta de crédito",IF(AND(P4754="Gasto",E4754="Depósitos y retiros"),"⚠ Usa tipo Transferencia",IF(AND(P4754="Resultado trading",AD4754&lt;&gt;"Cuenta de trading"),"⚠ Usa una cuenta de trading",IF(AND(G4754&lt;=0,P4754&lt;&gt;"Ajuste",P4754&lt;&gt;"Resultado trading"),"⚠ El monto debe ser positivo","✓")))))))))))))))</f>
        <v/>
      </c>
      <c r="P4754" s="52">
        <f>IF(OR(B4754="",G4754=""),"",IF(C4754="","Gasto",C4754))</f>
        <v/>
      </c>
      <c r="Q4754" s="52">
        <f>IF(P4754="","",IF(J4754&lt;&gt;"",J4754,CuentaPred&amp;""))</f>
        <v/>
      </c>
      <c r="R4754" s="52">
        <f>IF(P4754="","",IF(ISNUMBER(I4754),I4754,TasaUSD))</f>
        <v/>
      </c>
      <c r="S4754" s="53">
        <f>IF(P4754="","",IF(H4754="USD",G4754*R4754,G4754))</f>
        <v/>
      </c>
      <c r="T4754" s="53">
        <f>IF(P4754="","",IF(H4754="USD",G4754,IF(R4754&gt;0,G4754/R4754,0)))</f>
        <v/>
      </c>
      <c r="U4754" s="53">
        <f>IF(P4754="","",IF(P4754="Gasto",S4754,IF(P4754="Reembolso",-S4754,0)))</f>
        <v/>
      </c>
      <c r="V4754" s="53">
        <f>IF(P4754="","",IF(P4754="Ingreso",S4754,0))</f>
        <v/>
      </c>
      <c r="W4754" s="53">
        <f>IF(P4754="","",IF(P4754="Resultado trading",S4754,0))</f>
        <v/>
      </c>
      <c r="X4754" s="52">
        <f>IF(OR(P4754="Gasto",P4754="Reembolso"),IF(M4754&lt;&gt;"",M4754,IFERROR(INDEX(catClasif,MATCH(D4754&amp;"|"&amp;E4754,catClave,0))&amp;"","Variable")),"")</f>
        <v/>
      </c>
      <c r="Y4754" s="52">
        <f>IF(P4754="","",IFERROR(INDEX(catGrupo,MATCH(D4754&amp;"|"&amp;E4754,catClave,0))&amp;"",""))</f>
        <v/>
      </c>
      <c r="Z4754" s="52">
        <f>IF(P4754="","",WEEKDAY(B4754,2))</f>
        <v/>
      </c>
      <c r="AA4754" s="52">
        <f>IF(P4754="","",IF(AND(P4754="Gasto",X4754="Variable",D4754&lt;&gt;catTrading,S4754&gt;0,S4754&lt;=Umbral),1,0))</f>
        <v/>
      </c>
      <c r="AB4754" s="52">
        <f>IF(OR(P4754="",Q4754=""),"",IFERROR(IF(INDEX(ctaVinc,MATCH(Q4754,ctaNombre,0))&amp;""&lt;&gt;"",INDEX(ctaVinc,MATCH(Q4754,ctaNombre,0))&amp;"",Q4754),Q4754))</f>
        <v/>
      </c>
      <c r="AC4754" s="52">
        <f>IF(OR(K4754="",AND(P4754&lt;&gt;"Transferencia",P4754&lt;&gt;"Pago tarjeta")),"",IFERROR(IF(INDEX(ctaVinc,MATCH(K4754,ctaNombre,0))&amp;""&lt;&gt;"",INDEX(ctaVinc,MATCH(K4754,ctaNombre,0))&amp;"",K4754),K4754))</f>
        <v/>
      </c>
      <c r="AD4754" s="52">
        <f>IF(AB4754="","",IFERROR(INDEX(ctaTipo,MATCH(AB4754,ctaNombre,0))&amp;"",""))</f>
        <v/>
      </c>
      <c r="AE4754" s="52">
        <f>IF(AC4754="","",IFERROR(INDEX(ctaTipo,MATCH(AC4754,ctaNombre,0))&amp;"",""))</f>
        <v/>
      </c>
      <c r="AF4754" s="53">
        <f>IF(OR(P4754="",AB4754=""),"",IF(OR(P4754="Gasto",P4754="Transferencia",P4754="Pago tarjeta"),-1,1)*IF(IFERROR(INDEX(ctaMoneda,MATCH(AB4754,ctaNombre,0))&amp;"","DOP")="USD",T4754,S4754))</f>
        <v/>
      </c>
      <c r="AG4754" s="53">
        <f>IF(AC4754="","",IF(IFERROR(INDEX(ctaMoneda,MATCH(AC4754,ctaNombre,0))&amp;"","DOP")="USD",T4754,S4754))</f>
        <v/>
      </c>
      <c r="AH4754" s="53">
        <f>IF(P4754="","",IF(AND(AD4754&lt;&gt;"",COUNTIFS(tcTipo,AD4754,tcLiq,"Sí")&gt;0),IF(OR(P4754="Gasto",P4754="Transferencia",P4754="Pago tarjeta"),-1,1)*S4754,0)+IF(AND(AE4754&lt;&gt;"",COUNTIFS(tcTipo,AE4754,tcLiq,"Sí")&gt;0),S4754,0))</f>
        <v/>
      </c>
      <c r="AI4754" s="52">
        <f>IF(OR(L4754="",P4754=""),"",IF(COUNTIFS(L$6:L4754,L4754,P$6:P4754,"?*")=1,MAX(AI$5:AI4753)+1,""))</f>
        <v/>
      </c>
    </row>
    <row r="4755">
      <c r="B4755" s="47" t="n"/>
      <c r="C4755" s="48" t="n"/>
      <c r="D4755" s="48" t="n"/>
      <c r="E4755" s="48" t="n"/>
      <c r="F4755" s="48" t="n"/>
      <c r="G4755" s="49" t="n"/>
      <c r="H4755" s="48" t="n"/>
      <c r="I4755" s="50" t="n"/>
      <c r="J4755" s="48" t="n"/>
      <c r="K4755" s="48" t="n"/>
      <c r="L4755" s="48" t="n"/>
      <c r="M4755" s="48" t="n"/>
      <c r="N4755" s="48" t="n"/>
      <c r="O4755" s="51">
        <f>IF(AND(B4755="",G4755="",C4755="",D4755="",J4755=""),"",IF(B4755="","⚠ Falta fecha",IF(G4755="","⚠ Falta monto",IF(Q4755="","⚠ Falta cuenta",IF(ISNA(MATCH(Q4755,ctaNombre,0)),"⚠ Cuenta no registrada",IF(AND(OR(P4755="Gasto",P4755="Reembolso"),D4755=""),"⚠ Falta categoría",IF(AND(D4755&lt;&gt;"",E4755&lt;&gt;"",ISNA(MATCH(D4755&amp;"|"&amp;E4755,catClave,0))),"⚠ Subcategoría no corresponde",IF(AND(OR(P4755="Transferencia",P4755="Pago tarjeta"),K4755=""),"⚠ Falta cuenta destino",IF(AND(K4755&lt;&gt;"",P4755&lt;&gt;"Transferencia",P4755&lt;&gt;"Pago tarjeta"),"⚠ Destino solo aplica a transferencias",IF(AND(K4755&lt;&gt;"",K4755=Q4755),"⚠ Origen igual a destino",IF(AND(K4755&lt;&gt;"",ISNA(MATCH(K4755,ctaNombre,0))),"⚠ Destino no registrado",IF(AND(P4755="Pago tarjeta",AE4755&lt;&gt;"Tarjeta de crédito"),"⚠ El destino debe ser tarjeta de crédito",IF(AND(P4755="Gasto",E4755="Depósitos y retiros"),"⚠ Usa tipo Transferencia",IF(AND(P4755="Resultado trading",AD4755&lt;&gt;"Cuenta de trading"),"⚠ Usa una cuenta de trading",IF(AND(G4755&lt;=0,P4755&lt;&gt;"Ajuste",P4755&lt;&gt;"Resultado trading"),"⚠ El monto debe ser positivo","✓")))))))))))))))</f>
        <v/>
      </c>
      <c r="P4755" s="52">
        <f>IF(OR(B4755="",G4755=""),"",IF(C4755="","Gasto",C4755))</f>
        <v/>
      </c>
      <c r="Q4755" s="52">
        <f>IF(P4755="","",IF(J4755&lt;&gt;"",J4755,CuentaPred&amp;""))</f>
        <v/>
      </c>
      <c r="R4755" s="52">
        <f>IF(P4755="","",IF(ISNUMBER(I4755),I4755,TasaUSD))</f>
        <v/>
      </c>
      <c r="S4755" s="53">
        <f>IF(P4755="","",IF(H4755="USD",G4755*R4755,G4755))</f>
        <v/>
      </c>
      <c r="T4755" s="53">
        <f>IF(P4755="","",IF(H4755="USD",G4755,IF(R4755&gt;0,G4755/R4755,0)))</f>
        <v/>
      </c>
      <c r="U4755" s="53">
        <f>IF(P4755="","",IF(P4755="Gasto",S4755,IF(P4755="Reembolso",-S4755,0)))</f>
        <v/>
      </c>
      <c r="V4755" s="53">
        <f>IF(P4755="","",IF(P4755="Ingreso",S4755,0))</f>
        <v/>
      </c>
      <c r="W4755" s="53">
        <f>IF(P4755="","",IF(P4755="Resultado trading",S4755,0))</f>
        <v/>
      </c>
      <c r="X4755" s="52">
        <f>IF(OR(P4755="Gasto",P4755="Reembolso"),IF(M4755&lt;&gt;"",M4755,IFERROR(INDEX(catClasif,MATCH(D4755&amp;"|"&amp;E4755,catClave,0))&amp;"","Variable")),"")</f>
        <v/>
      </c>
      <c r="Y4755" s="52">
        <f>IF(P4755="","",IFERROR(INDEX(catGrupo,MATCH(D4755&amp;"|"&amp;E4755,catClave,0))&amp;"",""))</f>
        <v/>
      </c>
      <c r="Z4755" s="52">
        <f>IF(P4755="","",WEEKDAY(B4755,2))</f>
        <v/>
      </c>
      <c r="AA4755" s="52">
        <f>IF(P4755="","",IF(AND(P4755="Gasto",X4755="Variable",D4755&lt;&gt;catTrading,S4755&gt;0,S4755&lt;=Umbral),1,0))</f>
        <v/>
      </c>
      <c r="AB4755" s="52">
        <f>IF(OR(P4755="",Q4755=""),"",IFERROR(IF(INDEX(ctaVinc,MATCH(Q4755,ctaNombre,0))&amp;""&lt;&gt;"",INDEX(ctaVinc,MATCH(Q4755,ctaNombre,0))&amp;"",Q4755),Q4755))</f>
        <v/>
      </c>
      <c r="AC4755" s="52">
        <f>IF(OR(K4755="",AND(P4755&lt;&gt;"Transferencia",P4755&lt;&gt;"Pago tarjeta")),"",IFERROR(IF(INDEX(ctaVinc,MATCH(K4755,ctaNombre,0))&amp;""&lt;&gt;"",INDEX(ctaVinc,MATCH(K4755,ctaNombre,0))&amp;"",K4755),K4755))</f>
        <v/>
      </c>
      <c r="AD4755" s="52">
        <f>IF(AB4755="","",IFERROR(INDEX(ctaTipo,MATCH(AB4755,ctaNombre,0))&amp;"",""))</f>
        <v/>
      </c>
      <c r="AE4755" s="52">
        <f>IF(AC4755="","",IFERROR(INDEX(ctaTipo,MATCH(AC4755,ctaNombre,0))&amp;"",""))</f>
        <v/>
      </c>
      <c r="AF4755" s="53">
        <f>IF(OR(P4755="",AB4755=""),"",IF(OR(P4755="Gasto",P4755="Transferencia",P4755="Pago tarjeta"),-1,1)*IF(IFERROR(INDEX(ctaMoneda,MATCH(AB4755,ctaNombre,0))&amp;"","DOP")="USD",T4755,S4755))</f>
        <v/>
      </c>
      <c r="AG4755" s="53">
        <f>IF(AC4755="","",IF(IFERROR(INDEX(ctaMoneda,MATCH(AC4755,ctaNombre,0))&amp;"","DOP")="USD",T4755,S4755))</f>
        <v/>
      </c>
      <c r="AH4755" s="53">
        <f>IF(P4755="","",IF(AND(AD4755&lt;&gt;"",COUNTIFS(tcTipo,AD4755,tcLiq,"Sí")&gt;0),IF(OR(P4755="Gasto",P4755="Transferencia",P4755="Pago tarjeta"),-1,1)*S4755,0)+IF(AND(AE4755&lt;&gt;"",COUNTIFS(tcTipo,AE4755,tcLiq,"Sí")&gt;0),S4755,0))</f>
        <v/>
      </c>
      <c r="AI4755" s="52">
        <f>IF(OR(L4755="",P4755=""),"",IF(COUNTIFS(L$6:L4755,L4755,P$6:P4755,"?*")=1,MAX(AI$5:AI4754)+1,""))</f>
        <v/>
      </c>
    </row>
    <row r="4756">
      <c r="B4756" s="47" t="n"/>
      <c r="C4756" s="48" t="n"/>
      <c r="D4756" s="48" t="n"/>
      <c r="E4756" s="48" t="n"/>
      <c r="F4756" s="48" t="n"/>
      <c r="G4756" s="49" t="n"/>
      <c r="H4756" s="48" t="n"/>
      <c r="I4756" s="50" t="n"/>
      <c r="J4756" s="48" t="n"/>
      <c r="K4756" s="48" t="n"/>
      <c r="L4756" s="48" t="n"/>
      <c r="M4756" s="48" t="n"/>
      <c r="N4756" s="48" t="n"/>
      <c r="O4756" s="51">
        <f>IF(AND(B4756="",G4756="",C4756="",D4756="",J4756=""),"",IF(B4756="","⚠ Falta fecha",IF(G4756="","⚠ Falta monto",IF(Q4756="","⚠ Falta cuenta",IF(ISNA(MATCH(Q4756,ctaNombre,0)),"⚠ Cuenta no registrada",IF(AND(OR(P4756="Gasto",P4756="Reembolso"),D4756=""),"⚠ Falta categoría",IF(AND(D4756&lt;&gt;"",E4756&lt;&gt;"",ISNA(MATCH(D4756&amp;"|"&amp;E4756,catClave,0))),"⚠ Subcategoría no corresponde",IF(AND(OR(P4756="Transferencia",P4756="Pago tarjeta"),K4756=""),"⚠ Falta cuenta destino",IF(AND(K4756&lt;&gt;"",P4756&lt;&gt;"Transferencia",P4756&lt;&gt;"Pago tarjeta"),"⚠ Destino solo aplica a transferencias",IF(AND(K4756&lt;&gt;"",K4756=Q4756),"⚠ Origen igual a destino",IF(AND(K4756&lt;&gt;"",ISNA(MATCH(K4756,ctaNombre,0))),"⚠ Destino no registrado",IF(AND(P4756="Pago tarjeta",AE4756&lt;&gt;"Tarjeta de crédito"),"⚠ El destino debe ser tarjeta de crédito",IF(AND(P4756="Gasto",E4756="Depósitos y retiros"),"⚠ Usa tipo Transferencia",IF(AND(P4756="Resultado trading",AD4756&lt;&gt;"Cuenta de trading"),"⚠ Usa una cuenta de trading",IF(AND(G4756&lt;=0,P4756&lt;&gt;"Ajuste",P4756&lt;&gt;"Resultado trading"),"⚠ El monto debe ser positivo","✓")))))))))))))))</f>
        <v/>
      </c>
      <c r="P4756" s="52">
        <f>IF(OR(B4756="",G4756=""),"",IF(C4756="","Gasto",C4756))</f>
        <v/>
      </c>
      <c r="Q4756" s="52">
        <f>IF(P4756="","",IF(J4756&lt;&gt;"",J4756,CuentaPred&amp;""))</f>
        <v/>
      </c>
      <c r="R4756" s="52">
        <f>IF(P4756="","",IF(ISNUMBER(I4756),I4756,TasaUSD))</f>
        <v/>
      </c>
      <c r="S4756" s="53">
        <f>IF(P4756="","",IF(H4756="USD",G4756*R4756,G4756))</f>
        <v/>
      </c>
      <c r="T4756" s="53">
        <f>IF(P4756="","",IF(H4756="USD",G4756,IF(R4756&gt;0,G4756/R4756,0)))</f>
        <v/>
      </c>
      <c r="U4756" s="53">
        <f>IF(P4756="","",IF(P4756="Gasto",S4756,IF(P4756="Reembolso",-S4756,0)))</f>
        <v/>
      </c>
      <c r="V4756" s="53">
        <f>IF(P4756="","",IF(P4756="Ingreso",S4756,0))</f>
        <v/>
      </c>
      <c r="W4756" s="53">
        <f>IF(P4756="","",IF(P4756="Resultado trading",S4756,0))</f>
        <v/>
      </c>
      <c r="X4756" s="52">
        <f>IF(OR(P4756="Gasto",P4756="Reembolso"),IF(M4756&lt;&gt;"",M4756,IFERROR(INDEX(catClasif,MATCH(D4756&amp;"|"&amp;E4756,catClave,0))&amp;"","Variable")),"")</f>
        <v/>
      </c>
      <c r="Y4756" s="52">
        <f>IF(P4756="","",IFERROR(INDEX(catGrupo,MATCH(D4756&amp;"|"&amp;E4756,catClave,0))&amp;"",""))</f>
        <v/>
      </c>
      <c r="Z4756" s="52">
        <f>IF(P4756="","",WEEKDAY(B4756,2))</f>
        <v/>
      </c>
      <c r="AA4756" s="52">
        <f>IF(P4756="","",IF(AND(P4756="Gasto",X4756="Variable",D4756&lt;&gt;catTrading,S4756&gt;0,S4756&lt;=Umbral),1,0))</f>
        <v/>
      </c>
      <c r="AB4756" s="52">
        <f>IF(OR(P4756="",Q4756=""),"",IFERROR(IF(INDEX(ctaVinc,MATCH(Q4756,ctaNombre,0))&amp;""&lt;&gt;"",INDEX(ctaVinc,MATCH(Q4756,ctaNombre,0))&amp;"",Q4756),Q4756))</f>
        <v/>
      </c>
      <c r="AC4756" s="52">
        <f>IF(OR(K4756="",AND(P4756&lt;&gt;"Transferencia",P4756&lt;&gt;"Pago tarjeta")),"",IFERROR(IF(INDEX(ctaVinc,MATCH(K4756,ctaNombre,0))&amp;""&lt;&gt;"",INDEX(ctaVinc,MATCH(K4756,ctaNombre,0))&amp;"",K4756),K4756))</f>
        <v/>
      </c>
      <c r="AD4756" s="52">
        <f>IF(AB4756="","",IFERROR(INDEX(ctaTipo,MATCH(AB4756,ctaNombre,0))&amp;"",""))</f>
        <v/>
      </c>
      <c r="AE4756" s="52">
        <f>IF(AC4756="","",IFERROR(INDEX(ctaTipo,MATCH(AC4756,ctaNombre,0))&amp;"",""))</f>
        <v/>
      </c>
      <c r="AF4756" s="53">
        <f>IF(OR(P4756="",AB4756=""),"",IF(OR(P4756="Gasto",P4756="Transferencia",P4756="Pago tarjeta"),-1,1)*IF(IFERROR(INDEX(ctaMoneda,MATCH(AB4756,ctaNombre,0))&amp;"","DOP")="USD",T4756,S4756))</f>
        <v/>
      </c>
      <c r="AG4756" s="53">
        <f>IF(AC4756="","",IF(IFERROR(INDEX(ctaMoneda,MATCH(AC4756,ctaNombre,0))&amp;"","DOP")="USD",T4756,S4756))</f>
        <v/>
      </c>
      <c r="AH4756" s="53">
        <f>IF(P4756="","",IF(AND(AD4756&lt;&gt;"",COUNTIFS(tcTipo,AD4756,tcLiq,"Sí")&gt;0),IF(OR(P4756="Gasto",P4756="Transferencia",P4756="Pago tarjeta"),-1,1)*S4756,0)+IF(AND(AE4756&lt;&gt;"",COUNTIFS(tcTipo,AE4756,tcLiq,"Sí")&gt;0),S4756,0))</f>
        <v/>
      </c>
      <c r="AI4756" s="52">
        <f>IF(OR(L4756="",P4756=""),"",IF(COUNTIFS(L$6:L4756,L4756,P$6:P4756,"?*")=1,MAX(AI$5:AI4755)+1,""))</f>
        <v/>
      </c>
    </row>
    <row r="4757">
      <c r="B4757" s="47" t="n"/>
      <c r="C4757" s="48" t="n"/>
      <c r="D4757" s="48" t="n"/>
      <c r="E4757" s="48" t="n"/>
      <c r="F4757" s="48" t="n"/>
      <c r="G4757" s="49" t="n"/>
      <c r="H4757" s="48" t="n"/>
      <c r="I4757" s="50" t="n"/>
      <c r="J4757" s="48" t="n"/>
      <c r="K4757" s="48" t="n"/>
      <c r="L4757" s="48" t="n"/>
      <c r="M4757" s="48" t="n"/>
      <c r="N4757" s="48" t="n"/>
      <c r="O4757" s="51">
        <f>IF(AND(B4757="",G4757="",C4757="",D4757="",J4757=""),"",IF(B4757="","⚠ Falta fecha",IF(G4757="","⚠ Falta monto",IF(Q4757="","⚠ Falta cuenta",IF(ISNA(MATCH(Q4757,ctaNombre,0)),"⚠ Cuenta no registrada",IF(AND(OR(P4757="Gasto",P4757="Reembolso"),D4757=""),"⚠ Falta categoría",IF(AND(D4757&lt;&gt;"",E4757&lt;&gt;"",ISNA(MATCH(D4757&amp;"|"&amp;E4757,catClave,0))),"⚠ Subcategoría no corresponde",IF(AND(OR(P4757="Transferencia",P4757="Pago tarjeta"),K4757=""),"⚠ Falta cuenta destino",IF(AND(K4757&lt;&gt;"",P4757&lt;&gt;"Transferencia",P4757&lt;&gt;"Pago tarjeta"),"⚠ Destino solo aplica a transferencias",IF(AND(K4757&lt;&gt;"",K4757=Q4757),"⚠ Origen igual a destino",IF(AND(K4757&lt;&gt;"",ISNA(MATCH(K4757,ctaNombre,0))),"⚠ Destino no registrado",IF(AND(P4757="Pago tarjeta",AE4757&lt;&gt;"Tarjeta de crédito"),"⚠ El destino debe ser tarjeta de crédito",IF(AND(P4757="Gasto",E4757="Depósitos y retiros"),"⚠ Usa tipo Transferencia",IF(AND(P4757="Resultado trading",AD4757&lt;&gt;"Cuenta de trading"),"⚠ Usa una cuenta de trading",IF(AND(G4757&lt;=0,P4757&lt;&gt;"Ajuste",P4757&lt;&gt;"Resultado trading"),"⚠ El monto debe ser positivo","✓")))))))))))))))</f>
        <v/>
      </c>
      <c r="P4757" s="52">
        <f>IF(OR(B4757="",G4757=""),"",IF(C4757="","Gasto",C4757))</f>
        <v/>
      </c>
      <c r="Q4757" s="52">
        <f>IF(P4757="","",IF(J4757&lt;&gt;"",J4757,CuentaPred&amp;""))</f>
        <v/>
      </c>
      <c r="R4757" s="52">
        <f>IF(P4757="","",IF(ISNUMBER(I4757),I4757,TasaUSD))</f>
        <v/>
      </c>
      <c r="S4757" s="53">
        <f>IF(P4757="","",IF(H4757="USD",G4757*R4757,G4757))</f>
        <v/>
      </c>
      <c r="T4757" s="53">
        <f>IF(P4757="","",IF(H4757="USD",G4757,IF(R4757&gt;0,G4757/R4757,0)))</f>
        <v/>
      </c>
      <c r="U4757" s="53">
        <f>IF(P4757="","",IF(P4757="Gasto",S4757,IF(P4757="Reembolso",-S4757,0)))</f>
        <v/>
      </c>
      <c r="V4757" s="53">
        <f>IF(P4757="","",IF(P4757="Ingreso",S4757,0))</f>
        <v/>
      </c>
      <c r="W4757" s="53">
        <f>IF(P4757="","",IF(P4757="Resultado trading",S4757,0))</f>
        <v/>
      </c>
      <c r="X4757" s="52">
        <f>IF(OR(P4757="Gasto",P4757="Reembolso"),IF(M4757&lt;&gt;"",M4757,IFERROR(INDEX(catClasif,MATCH(D4757&amp;"|"&amp;E4757,catClave,0))&amp;"","Variable")),"")</f>
        <v/>
      </c>
      <c r="Y4757" s="52">
        <f>IF(P4757="","",IFERROR(INDEX(catGrupo,MATCH(D4757&amp;"|"&amp;E4757,catClave,0))&amp;"",""))</f>
        <v/>
      </c>
      <c r="Z4757" s="52">
        <f>IF(P4757="","",WEEKDAY(B4757,2))</f>
        <v/>
      </c>
      <c r="AA4757" s="52">
        <f>IF(P4757="","",IF(AND(P4757="Gasto",X4757="Variable",D4757&lt;&gt;catTrading,S4757&gt;0,S4757&lt;=Umbral),1,0))</f>
        <v/>
      </c>
      <c r="AB4757" s="52">
        <f>IF(OR(P4757="",Q4757=""),"",IFERROR(IF(INDEX(ctaVinc,MATCH(Q4757,ctaNombre,0))&amp;""&lt;&gt;"",INDEX(ctaVinc,MATCH(Q4757,ctaNombre,0))&amp;"",Q4757),Q4757))</f>
        <v/>
      </c>
      <c r="AC4757" s="52">
        <f>IF(OR(K4757="",AND(P4757&lt;&gt;"Transferencia",P4757&lt;&gt;"Pago tarjeta")),"",IFERROR(IF(INDEX(ctaVinc,MATCH(K4757,ctaNombre,0))&amp;""&lt;&gt;"",INDEX(ctaVinc,MATCH(K4757,ctaNombre,0))&amp;"",K4757),K4757))</f>
        <v/>
      </c>
      <c r="AD4757" s="52">
        <f>IF(AB4757="","",IFERROR(INDEX(ctaTipo,MATCH(AB4757,ctaNombre,0))&amp;"",""))</f>
        <v/>
      </c>
      <c r="AE4757" s="52">
        <f>IF(AC4757="","",IFERROR(INDEX(ctaTipo,MATCH(AC4757,ctaNombre,0))&amp;"",""))</f>
        <v/>
      </c>
      <c r="AF4757" s="53">
        <f>IF(OR(P4757="",AB4757=""),"",IF(OR(P4757="Gasto",P4757="Transferencia",P4757="Pago tarjeta"),-1,1)*IF(IFERROR(INDEX(ctaMoneda,MATCH(AB4757,ctaNombre,0))&amp;"","DOP")="USD",T4757,S4757))</f>
        <v/>
      </c>
      <c r="AG4757" s="53">
        <f>IF(AC4757="","",IF(IFERROR(INDEX(ctaMoneda,MATCH(AC4757,ctaNombre,0))&amp;"","DOP")="USD",T4757,S4757))</f>
        <v/>
      </c>
      <c r="AH4757" s="53">
        <f>IF(P4757="","",IF(AND(AD4757&lt;&gt;"",COUNTIFS(tcTipo,AD4757,tcLiq,"Sí")&gt;0),IF(OR(P4757="Gasto",P4757="Transferencia",P4757="Pago tarjeta"),-1,1)*S4757,0)+IF(AND(AE4757&lt;&gt;"",COUNTIFS(tcTipo,AE4757,tcLiq,"Sí")&gt;0),S4757,0))</f>
        <v/>
      </c>
      <c r="AI4757" s="52">
        <f>IF(OR(L4757="",P4757=""),"",IF(COUNTIFS(L$6:L4757,L4757,P$6:P4757,"?*")=1,MAX(AI$5:AI4756)+1,""))</f>
        <v/>
      </c>
    </row>
    <row r="4758">
      <c r="B4758" s="47" t="n"/>
      <c r="C4758" s="48" t="n"/>
      <c r="D4758" s="48" t="n"/>
      <c r="E4758" s="48" t="n"/>
      <c r="F4758" s="48" t="n"/>
      <c r="G4758" s="49" t="n"/>
      <c r="H4758" s="48" t="n"/>
      <c r="I4758" s="50" t="n"/>
      <c r="J4758" s="48" t="n"/>
      <c r="K4758" s="48" t="n"/>
      <c r="L4758" s="48" t="n"/>
      <c r="M4758" s="48" t="n"/>
      <c r="N4758" s="48" t="n"/>
      <c r="O4758" s="51">
        <f>IF(AND(B4758="",G4758="",C4758="",D4758="",J4758=""),"",IF(B4758="","⚠ Falta fecha",IF(G4758="","⚠ Falta monto",IF(Q4758="","⚠ Falta cuenta",IF(ISNA(MATCH(Q4758,ctaNombre,0)),"⚠ Cuenta no registrada",IF(AND(OR(P4758="Gasto",P4758="Reembolso"),D4758=""),"⚠ Falta categoría",IF(AND(D4758&lt;&gt;"",E4758&lt;&gt;"",ISNA(MATCH(D4758&amp;"|"&amp;E4758,catClave,0))),"⚠ Subcategoría no corresponde",IF(AND(OR(P4758="Transferencia",P4758="Pago tarjeta"),K4758=""),"⚠ Falta cuenta destino",IF(AND(K4758&lt;&gt;"",P4758&lt;&gt;"Transferencia",P4758&lt;&gt;"Pago tarjeta"),"⚠ Destino solo aplica a transferencias",IF(AND(K4758&lt;&gt;"",K4758=Q4758),"⚠ Origen igual a destino",IF(AND(K4758&lt;&gt;"",ISNA(MATCH(K4758,ctaNombre,0))),"⚠ Destino no registrado",IF(AND(P4758="Pago tarjeta",AE4758&lt;&gt;"Tarjeta de crédito"),"⚠ El destino debe ser tarjeta de crédito",IF(AND(P4758="Gasto",E4758="Depósitos y retiros"),"⚠ Usa tipo Transferencia",IF(AND(P4758="Resultado trading",AD4758&lt;&gt;"Cuenta de trading"),"⚠ Usa una cuenta de trading",IF(AND(G4758&lt;=0,P4758&lt;&gt;"Ajuste",P4758&lt;&gt;"Resultado trading"),"⚠ El monto debe ser positivo","✓")))))))))))))))</f>
        <v/>
      </c>
      <c r="P4758" s="52">
        <f>IF(OR(B4758="",G4758=""),"",IF(C4758="","Gasto",C4758))</f>
        <v/>
      </c>
      <c r="Q4758" s="52">
        <f>IF(P4758="","",IF(J4758&lt;&gt;"",J4758,CuentaPred&amp;""))</f>
        <v/>
      </c>
      <c r="R4758" s="52">
        <f>IF(P4758="","",IF(ISNUMBER(I4758),I4758,TasaUSD))</f>
        <v/>
      </c>
      <c r="S4758" s="53">
        <f>IF(P4758="","",IF(H4758="USD",G4758*R4758,G4758))</f>
        <v/>
      </c>
      <c r="T4758" s="53">
        <f>IF(P4758="","",IF(H4758="USD",G4758,IF(R4758&gt;0,G4758/R4758,0)))</f>
        <v/>
      </c>
      <c r="U4758" s="53">
        <f>IF(P4758="","",IF(P4758="Gasto",S4758,IF(P4758="Reembolso",-S4758,0)))</f>
        <v/>
      </c>
      <c r="V4758" s="53">
        <f>IF(P4758="","",IF(P4758="Ingreso",S4758,0))</f>
        <v/>
      </c>
      <c r="W4758" s="53">
        <f>IF(P4758="","",IF(P4758="Resultado trading",S4758,0))</f>
        <v/>
      </c>
      <c r="X4758" s="52">
        <f>IF(OR(P4758="Gasto",P4758="Reembolso"),IF(M4758&lt;&gt;"",M4758,IFERROR(INDEX(catClasif,MATCH(D4758&amp;"|"&amp;E4758,catClave,0))&amp;"","Variable")),"")</f>
        <v/>
      </c>
      <c r="Y4758" s="52">
        <f>IF(P4758="","",IFERROR(INDEX(catGrupo,MATCH(D4758&amp;"|"&amp;E4758,catClave,0))&amp;"",""))</f>
        <v/>
      </c>
      <c r="Z4758" s="52">
        <f>IF(P4758="","",WEEKDAY(B4758,2))</f>
        <v/>
      </c>
      <c r="AA4758" s="52">
        <f>IF(P4758="","",IF(AND(P4758="Gasto",X4758="Variable",D4758&lt;&gt;catTrading,S4758&gt;0,S4758&lt;=Umbral),1,0))</f>
        <v/>
      </c>
      <c r="AB4758" s="52">
        <f>IF(OR(P4758="",Q4758=""),"",IFERROR(IF(INDEX(ctaVinc,MATCH(Q4758,ctaNombre,0))&amp;""&lt;&gt;"",INDEX(ctaVinc,MATCH(Q4758,ctaNombre,0))&amp;"",Q4758),Q4758))</f>
        <v/>
      </c>
      <c r="AC4758" s="52">
        <f>IF(OR(K4758="",AND(P4758&lt;&gt;"Transferencia",P4758&lt;&gt;"Pago tarjeta")),"",IFERROR(IF(INDEX(ctaVinc,MATCH(K4758,ctaNombre,0))&amp;""&lt;&gt;"",INDEX(ctaVinc,MATCH(K4758,ctaNombre,0))&amp;"",K4758),K4758))</f>
        <v/>
      </c>
      <c r="AD4758" s="52">
        <f>IF(AB4758="","",IFERROR(INDEX(ctaTipo,MATCH(AB4758,ctaNombre,0))&amp;"",""))</f>
        <v/>
      </c>
      <c r="AE4758" s="52">
        <f>IF(AC4758="","",IFERROR(INDEX(ctaTipo,MATCH(AC4758,ctaNombre,0))&amp;"",""))</f>
        <v/>
      </c>
      <c r="AF4758" s="53">
        <f>IF(OR(P4758="",AB4758=""),"",IF(OR(P4758="Gasto",P4758="Transferencia",P4758="Pago tarjeta"),-1,1)*IF(IFERROR(INDEX(ctaMoneda,MATCH(AB4758,ctaNombre,0))&amp;"","DOP")="USD",T4758,S4758))</f>
        <v/>
      </c>
      <c r="AG4758" s="53">
        <f>IF(AC4758="","",IF(IFERROR(INDEX(ctaMoneda,MATCH(AC4758,ctaNombre,0))&amp;"","DOP")="USD",T4758,S4758))</f>
        <v/>
      </c>
      <c r="AH4758" s="53">
        <f>IF(P4758="","",IF(AND(AD4758&lt;&gt;"",COUNTIFS(tcTipo,AD4758,tcLiq,"Sí")&gt;0),IF(OR(P4758="Gasto",P4758="Transferencia",P4758="Pago tarjeta"),-1,1)*S4758,0)+IF(AND(AE4758&lt;&gt;"",COUNTIFS(tcTipo,AE4758,tcLiq,"Sí")&gt;0),S4758,0))</f>
        <v/>
      </c>
      <c r="AI4758" s="52">
        <f>IF(OR(L4758="",P4758=""),"",IF(COUNTIFS(L$6:L4758,L4758,P$6:P4758,"?*")=1,MAX(AI$5:AI4757)+1,""))</f>
        <v/>
      </c>
    </row>
    <row r="4759">
      <c r="B4759" s="47" t="n"/>
      <c r="C4759" s="48" t="n"/>
      <c r="D4759" s="48" t="n"/>
      <c r="E4759" s="48" t="n"/>
      <c r="F4759" s="48" t="n"/>
      <c r="G4759" s="49" t="n"/>
      <c r="H4759" s="48" t="n"/>
      <c r="I4759" s="50" t="n"/>
      <c r="J4759" s="48" t="n"/>
      <c r="K4759" s="48" t="n"/>
      <c r="L4759" s="48" t="n"/>
      <c r="M4759" s="48" t="n"/>
      <c r="N4759" s="48" t="n"/>
      <c r="O4759" s="51">
        <f>IF(AND(B4759="",G4759="",C4759="",D4759="",J4759=""),"",IF(B4759="","⚠ Falta fecha",IF(G4759="","⚠ Falta monto",IF(Q4759="","⚠ Falta cuenta",IF(ISNA(MATCH(Q4759,ctaNombre,0)),"⚠ Cuenta no registrada",IF(AND(OR(P4759="Gasto",P4759="Reembolso"),D4759=""),"⚠ Falta categoría",IF(AND(D4759&lt;&gt;"",E4759&lt;&gt;"",ISNA(MATCH(D4759&amp;"|"&amp;E4759,catClave,0))),"⚠ Subcategoría no corresponde",IF(AND(OR(P4759="Transferencia",P4759="Pago tarjeta"),K4759=""),"⚠ Falta cuenta destino",IF(AND(K4759&lt;&gt;"",P4759&lt;&gt;"Transferencia",P4759&lt;&gt;"Pago tarjeta"),"⚠ Destino solo aplica a transferencias",IF(AND(K4759&lt;&gt;"",K4759=Q4759),"⚠ Origen igual a destino",IF(AND(K4759&lt;&gt;"",ISNA(MATCH(K4759,ctaNombre,0))),"⚠ Destino no registrado",IF(AND(P4759="Pago tarjeta",AE4759&lt;&gt;"Tarjeta de crédito"),"⚠ El destino debe ser tarjeta de crédito",IF(AND(P4759="Gasto",E4759="Depósitos y retiros"),"⚠ Usa tipo Transferencia",IF(AND(P4759="Resultado trading",AD4759&lt;&gt;"Cuenta de trading"),"⚠ Usa una cuenta de trading",IF(AND(G4759&lt;=0,P4759&lt;&gt;"Ajuste",P4759&lt;&gt;"Resultado trading"),"⚠ El monto debe ser positivo","✓")))))))))))))))</f>
        <v/>
      </c>
      <c r="P4759" s="52">
        <f>IF(OR(B4759="",G4759=""),"",IF(C4759="","Gasto",C4759))</f>
        <v/>
      </c>
      <c r="Q4759" s="52">
        <f>IF(P4759="","",IF(J4759&lt;&gt;"",J4759,CuentaPred&amp;""))</f>
        <v/>
      </c>
      <c r="R4759" s="52">
        <f>IF(P4759="","",IF(ISNUMBER(I4759),I4759,TasaUSD))</f>
        <v/>
      </c>
      <c r="S4759" s="53">
        <f>IF(P4759="","",IF(H4759="USD",G4759*R4759,G4759))</f>
        <v/>
      </c>
      <c r="T4759" s="53">
        <f>IF(P4759="","",IF(H4759="USD",G4759,IF(R4759&gt;0,G4759/R4759,0)))</f>
        <v/>
      </c>
      <c r="U4759" s="53">
        <f>IF(P4759="","",IF(P4759="Gasto",S4759,IF(P4759="Reembolso",-S4759,0)))</f>
        <v/>
      </c>
      <c r="V4759" s="53">
        <f>IF(P4759="","",IF(P4759="Ingreso",S4759,0))</f>
        <v/>
      </c>
      <c r="W4759" s="53">
        <f>IF(P4759="","",IF(P4759="Resultado trading",S4759,0))</f>
        <v/>
      </c>
      <c r="X4759" s="52">
        <f>IF(OR(P4759="Gasto",P4759="Reembolso"),IF(M4759&lt;&gt;"",M4759,IFERROR(INDEX(catClasif,MATCH(D4759&amp;"|"&amp;E4759,catClave,0))&amp;"","Variable")),"")</f>
        <v/>
      </c>
      <c r="Y4759" s="52">
        <f>IF(P4759="","",IFERROR(INDEX(catGrupo,MATCH(D4759&amp;"|"&amp;E4759,catClave,0))&amp;"",""))</f>
        <v/>
      </c>
      <c r="Z4759" s="52">
        <f>IF(P4759="","",WEEKDAY(B4759,2))</f>
        <v/>
      </c>
      <c r="AA4759" s="52">
        <f>IF(P4759="","",IF(AND(P4759="Gasto",X4759="Variable",D4759&lt;&gt;catTrading,S4759&gt;0,S4759&lt;=Umbral),1,0))</f>
        <v/>
      </c>
      <c r="AB4759" s="52">
        <f>IF(OR(P4759="",Q4759=""),"",IFERROR(IF(INDEX(ctaVinc,MATCH(Q4759,ctaNombre,0))&amp;""&lt;&gt;"",INDEX(ctaVinc,MATCH(Q4759,ctaNombre,0))&amp;"",Q4759),Q4759))</f>
        <v/>
      </c>
      <c r="AC4759" s="52">
        <f>IF(OR(K4759="",AND(P4759&lt;&gt;"Transferencia",P4759&lt;&gt;"Pago tarjeta")),"",IFERROR(IF(INDEX(ctaVinc,MATCH(K4759,ctaNombre,0))&amp;""&lt;&gt;"",INDEX(ctaVinc,MATCH(K4759,ctaNombre,0))&amp;"",K4759),K4759))</f>
        <v/>
      </c>
      <c r="AD4759" s="52">
        <f>IF(AB4759="","",IFERROR(INDEX(ctaTipo,MATCH(AB4759,ctaNombre,0))&amp;"",""))</f>
        <v/>
      </c>
      <c r="AE4759" s="52">
        <f>IF(AC4759="","",IFERROR(INDEX(ctaTipo,MATCH(AC4759,ctaNombre,0))&amp;"",""))</f>
        <v/>
      </c>
      <c r="AF4759" s="53">
        <f>IF(OR(P4759="",AB4759=""),"",IF(OR(P4759="Gasto",P4759="Transferencia",P4759="Pago tarjeta"),-1,1)*IF(IFERROR(INDEX(ctaMoneda,MATCH(AB4759,ctaNombre,0))&amp;"","DOP")="USD",T4759,S4759))</f>
        <v/>
      </c>
      <c r="AG4759" s="53">
        <f>IF(AC4759="","",IF(IFERROR(INDEX(ctaMoneda,MATCH(AC4759,ctaNombre,0))&amp;"","DOP")="USD",T4759,S4759))</f>
        <v/>
      </c>
      <c r="AH4759" s="53">
        <f>IF(P4759="","",IF(AND(AD4759&lt;&gt;"",COUNTIFS(tcTipo,AD4759,tcLiq,"Sí")&gt;0),IF(OR(P4759="Gasto",P4759="Transferencia",P4759="Pago tarjeta"),-1,1)*S4759,0)+IF(AND(AE4759&lt;&gt;"",COUNTIFS(tcTipo,AE4759,tcLiq,"Sí")&gt;0),S4759,0))</f>
        <v/>
      </c>
      <c r="AI4759" s="52">
        <f>IF(OR(L4759="",P4759=""),"",IF(COUNTIFS(L$6:L4759,L4759,P$6:P4759,"?*")=1,MAX(AI$5:AI4758)+1,""))</f>
        <v/>
      </c>
    </row>
    <row r="4760">
      <c r="B4760" s="47" t="n"/>
      <c r="C4760" s="48" t="n"/>
      <c r="D4760" s="48" t="n"/>
      <c r="E4760" s="48" t="n"/>
      <c r="F4760" s="48" t="n"/>
      <c r="G4760" s="49" t="n"/>
      <c r="H4760" s="48" t="n"/>
      <c r="I4760" s="50" t="n"/>
      <c r="J4760" s="48" t="n"/>
      <c r="K4760" s="48" t="n"/>
      <c r="L4760" s="48" t="n"/>
      <c r="M4760" s="48" t="n"/>
      <c r="N4760" s="48" t="n"/>
      <c r="O4760" s="51">
        <f>IF(AND(B4760="",G4760="",C4760="",D4760="",J4760=""),"",IF(B4760="","⚠ Falta fecha",IF(G4760="","⚠ Falta monto",IF(Q4760="","⚠ Falta cuenta",IF(ISNA(MATCH(Q4760,ctaNombre,0)),"⚠ Cuenta no registrada",IF(AND(OR(P4760="Gasto",P4760="Reembolso"),D4760=""),"⚠ Falta categoría",IF(AND(D4760&lt;&gt;"",E4760&lt;&gt;"",ISNA(MATCH(D4760&amp;"|"&amp;E4760,catClave,0))),"⚠ Subcategoría no corresponde",IF(AND(OR(P4760="Transferencia",P4760="Pago tarjeta"),K4760=""),"⚠ Falta cuenta destino",IF(AND(K4760&lt;&gt;"",P4760&lt;&gt;"Transferencia",P4760&lt;&gt;"Pago tarjeta"),"⚠ Destino solo aplica a transferencias",IF(AND(K4760&lt;&gt;"",K4760=Q4760),"⚠ Origen igual a destino",IF(AND(K4760&lt;&gt;"",ISNA(MATCH(K4760,ctaNombre,0))),"⚠ Destino no registrado",IF(AND(P4760="Pago tarjeta",AE4760&lt;&gt;"Tarjeta de crédito"),"⚠ El destino debe ser tarjeta de crédito",IF(AND(P4760="Gasto",E4760="Depósitos y retiros"),"⚠ Usa tipo Transferencia",IF(AND(P4760="Resultado trading",AD4760&lt;&gt;"Cuenta de trading"),"⚠ Usa una cuenta de trading",IF(AND(G4760&lt;=0,P4760&lt;&gt;"Ajuste",P4760&lt;&gt;"Resultado trading"),"⚠ El monto debe ser positivo","✓")))))))))))))))</f>
        <v/>
      </c>
      <c r="P4760" s="52">
        <f>IF(OR(B4760="",G4760=""),"",IF(C4760="","Gasto",C4760))</f>
        <v/>
      </c>
      <c r="Q4760" s="52">
        <f>IF(P4760="","",IF(J4760&lt;&gt;"",J4760,CuentaPred&amp;""))</f>
        <v/>
      </c>
      <c r="R4760" s="52">
        <f>IF(P4760="","",IF(ISNUMBER(I4760),I4760,TasaUSD))</f>
        <v/>
      </c>
      <c r="S4760" s="53">
        <f>IF(P4760="","",IF(H4760="USD",G4760*R4760,G4760))</f>
        <v/>
      </c>
      <c r="T4760" s="53">
        <f>IF(P4760="","",IF(H4760="USD",G4760,IF(R4760&gt;0,G4760/R4760,0)))</f>
        <v/>
      </c>
      <c r="U4760" s="53">
        <f>IF(P4760="","",IF(P4760="Gasto",S4760,IF(P4760="Reembolso",-S4760,0)))</f>
        <v/>
      </c>
      <c r="V4760" s="53">
        <f>IF(P4760="","",IF(P4760="Ingreso",S4760,0))</f>
        <v/>
      </c>
      <c r="W4760" s="53">
        <f>IF(P4760="","",IF(P4760="Resultado trading",S4760,0))</f>
        <v/>
      </c>
      <c r="X4760" s="52">
        <f>IF(OR(P4760="Gasto",P4760="Reembolso"),IF(M4760&lt;&gt;"",M4760,IFERROR(INDEX(catClasif,MATCH(D4760&amp;"|"&amp;E4760,catClave,0))&amp;"","Variable")),"")</f>
        <v/>
      </c>
      <c r="Y4760" s="52">
        <f>IF(P4760="","",IFERROR(INDEX(catGrupo,MATCH(D4760&amp;"|"&amp;E4760,catClave,0))&amp;"",""))</f>
        <v/>
      </c>
      <c r="Z4760" s="52">
        <f>IF(P4760="","",WEEKDAY(B4760,2))</f>
        <v/>
      </c>
      <c r="AA4760" s="52">
        <f>IF(P4760="","",IF(AND(P4760="Gasto",X4760="Variable",D4760&lt;&gt;catTrading,S4760&gt;0,S4760&lt;=Umbral),1,0))</f>
        <v/>
      </c>
      <c r="AB4760" s="52">
        <f>IF(OR(P4760="",Q4760=""),"",IFERROR(IF(INDEX(ctaVinc,MATCH(Q4760,ctaNombre,0))&amp;""&lt;&gt;"",INDEX(ctaVinc,MATCH(Q4760,ctaNombre,0))&amp;"",Q4760),Q4760))</f>
        <v/>
      </c>
      <c r="AC4760" s="52">
        <f>IF(OR(K4760="",AND(P4760&lt;&gt;"Transferencia",P4760&lt;&gt;"Pago tarjeta")),"",IFERROR(IF(INDEX(ctaVinc,MATCH(K4760,ctaNombre,0))&amp;""&lt;&gt;"",INDEX(ctaVinc,MATCH(K4760,ctaNombre,0))&amp;"",K4760),K4760))</f>
        <v/>
      </c>
      <c r="AD4760" s="52">
        <f>IF(AB4760="","",IFERROR(INDEX(ctaTipo,MATCH(AB4760,ctaNombre,0))&amp;"",""))</f>
        <v/>
      </c>
      <c r="AE4760" s="52">
        <f>IF(AC4760="","",IFERROR(INDEX(ctaTipo,MATCH(AC4760,ctaNombre,0))&amp;"",""))</f>
        <v/>
      </c>
      <c r="AF4760" s="53">
        <f>IF(OR(P4760="",AB4760=""),"",IF(OR(P4760="Gasto",P4760="Transferencia",P4760="Pago tarjeta"),-1,1)*IF(IFERROR(INDEX(ctaMoneda,MATCH(AB4760,ctaNombre,0))&amp;"","DOP")="USD",T4760,S4760))</f>
        <v/>
      </c>
      <c r="AG4760" s="53">
        <f>IF(AC4760="","",IF(IFERROR(INDEX(ctaMoneda,MATCH(AC4760,ctaNombre,0))&amp;"","DOP")="USD",T4760,S4760))</f>
        <v/>
      </c>
      <c r="AH4760" s="53">
        <f>IF(P4760="","",IF(AND(AD4760&lt;&gt;"",COUNTIFS(tcTipo,AD4760,tcLiq,"Sí")&gt;0),IF(OR(P4760="Gasto",P4760="Transferencia",P4760="Pago tarjeta"),-1,1)*S4760,0)+IF(AND(AE4760&lt;&gt;"",COUNTIFS(tcTipo,AE4760,tcLiq,"Sí")&gt;0),S4760,0))</f>
        <v/>
      </c>
      <c r="AI4760" s="52">
        <f>IF(OR(L4760="",P4760=""),"",IF(COUNTIFS(L$6:L4760,L4760,P$6:P4760,"?*")=1,MAX(AI$5:AI4759)+1,""))</f>
        <v/>
      </c>
    </row>
    <row r="4761">
      <c r="B4761" s="47" t="n"/>
      <c r="C4761" s="48" t="n"/>
      <c r="D4761" s="48" t="n"/>
      <c r="E4761" s="48" t="n"/>
      <c r="F4761" s="48" t="n"/>
      <c r="G4761" s="49" t="n"/>
      <c r="H4761" s="48" t="n"/>
      <c r="I4761" s="50" t="n"/>
      <c r="J4761" s="48" t="n"/>
      <c r="K4761" s="48" t="n"/>
      <c r="L4761" s="48" t="n"/>
      <c r="M4761" s="48" t="n"/>
      <c r="N4761" s="48" t="n"/>
      <c r="O4761" s="51">
        <f>IF(AND(B4761="",G4761="",C4761="",D4761="",J4761=""),"",IF(B4761="","⚠ Falta fecha",IF(G4761="","⚠ Falta monto",IF(Q4761="","⚠ Falta cuenta",IF(ISNA(MATCH(Q4761,ctaNombre,0)),"⚠ Cuenta no registrada",IF(AND(OR(P4761="Gasto",P4761="Reembolso"),D4761=""),"⚠ Falta categoría",IF(AND(D4761&lt;&gt;"",E4761&lt;&gt;"",ISNA(MATCH(D4761&amp;"|"&amp;E4761,catClave,0))),"⚠ Subcategoría no corresponde",IF(AND(OR(P4761="Transferencia",P4761="Pago tarjeta"),K4761=""),"⚠ Falta cuenta destino",IF(AND(K4761&lt;&gt;"",P4761&lt;&gt;"Transferencia",P4761&lt;&gt;"Pago tarjeta"),"⚠ Destino solo aplica a transferencias",IF(AND(K4761&lt;&gt;"",K4761=Q4761),"⚠ Origen igual a destino",IF(AND(K4761&lt;&gt;"",ISNA(MATCH(K4761,ctaNombre,0))),"⚠ Destino no registrado",IF(AND(P4761="Pago tarjeta",AE4761&lt;&gt;"Tarjeta de crédito"),"⚠ El destino debe ser tarjeta de crédito",IF(AND(P4761="Gasto",E4761="Depósitos y retiros"),"⚠ Usa tipo Transferencia",IF(AND(P4761="Resultado trading",AD4761&lt;&gt;"Cuenta de trading"),"⚠ Usa una cuenta de trading",IF(AND(G4761&lt;=0,P4761&lt;&gt;"Ajuste",P4761&lt;&gt;"Resultado trading"),"⚠ El monto debe ser positivo","✓")))))))))))))))</f>
        <v/>
      </c>
      <c r="P4761" s="52">
        <f>IF(OR(B4761="",G4761=""),"",IF(C4761="","Gasto",C4761))</f>
        <v/>
      </c>
      <c r="Q4761" s="52">
        <f>IF(P4761="","",IF(J4761&lt;&gt;"",J4761,CuentaPred&amp;""))</f>
        <v/>
      </c>
      <c r="R4761" s="52">
        <f>IF(P4761="","",IF(ISNUMBER(I4761),I4761,TasaUSD))</f>
        <v/>
      </c>
      <c r="S4761" s="53">
        <f>IF(P4761="","",IF(H4761="USD",G4761*R4761,G4761))</f>
        <v/>
      </c>
      <c r="T4761" s="53">
        <f>IF(P4761="","",IF(H4761="USD",G4761,IF(R4761&gt;0,G4761/R4761,0)))</f>
        <v/>
      </c>
      <c r="U4761" s="53">
        <f>IF(P4761="","",IF(P4761="Gasto",S4761,IF(P4761="Reembolso",-S4761,0)))</f>
        <v/>
      </c>
      <c r="V4761" s="53">
        <f>IF(P4761="","",IF(P4761="Ingreso",S4761,0))</f>
        <v/>
      </c>
      <c r="W4761" s="53">
        <f>IF(P4761="","",IF(P4761="Resultado trading",S4761,0))</f>
        <v/>
      </c>
      <c r="X4761" s="52">
        <f>IF(OR(P4761="Gasto",P4761="Reembolso"),IF(M4761&lt;&gt;"",M4761,IFERROR(INDEX(catClasif,MATCH(D4761&amp;"|"&amp;E4761,catClave,0))&amp;"","Variable")),"")</f>
        <v/>
      </c>
      <c r="Y4761" s="52">
        <f>IF(P4761="","",IFERROR(INDEX(catGrupo,MATCH(D4761&amp;"|"&amp;E4761,catClave,0))&amp;"",""))</f>
        <v/>
      </c>
      <c r="Z4761" s="52">
        <f>IF(P4761="","",WEEKDAY(B4761,2))</f>
        <v/>
      </c>
      <c r="AA4761" s="52">
        <f>IF(P4761="","",IF(AND(P4761="Gasto",X4761="Variable",D4761&lt;&gt;catTrading,S4761&gt;0,S4761&lt;=Umbral),1,0))</f>
        <v/>
      </c>
      <c r="AB4761" s="52">
        <f>IF(OR(P4761="",Q4761=""),"",IFERROR(IF(INDEX(ctaVinc,MATCH(Q4761,ctaNombre,0))&amp;""&lt;&gt;"",INDEX(ctaVinc,MATCH(Q4761,ctaNombre,0))&amp;"",Q4761),Q4761))</f>
        <v/>
      </c>
      <c r="AC4761" s="52">
        <f>IF(OR(K4761="",AND(P4761&lt;&gt;"Transferencia",P4761&lt;&gt;"Pago tarjeta")),"",IFERROR(IF(INDEX(ctaVinc,MATCH(K4761,ctaNombre,0))&amp;""&lt;&gt;"",INDEX(ctaVinc,MATCH(K4761,ctaNombre,0))&amp;"",K4761),K4761))</f>
        <v/>
      </c>
      <c r="AD4761" s="52">
        <f>IF(AB4761="","",IFERROR(INDEX(ctaTipo,MATCH(AB4761,ctaNombre,0))&amp;"",""))</f>
        <v/>
      </c>
      <c r="AE4761" s="52">
        <f>IF(AC4761="","",IFERROR(INDEX(ctaTipo,MATCH(AC4761,ctaNombre,0))&amp;"",""))</f>
        <v/>
      </c>
      <c r="AF4761" s="53">
        <f>IF(OR(P4761="",AB4761=""),"",IF(OR(P4761="Gasto",P4761="Transferencia",P4761="Pago tarjeta"),-1,1)*IF(IFERROR(INDEX(ctaMoneda,MATCH(AB4761,ctaNombre,0))&amp;"","DOP")="USD",T4761,S4761))</f>
        <v/>
      </c>
      <c r="AG4761" s="53">
        <f>IF(AC4761="","",IF(IFERROR(INDEX(ctaMoneda,MATCH(AC4761,ctaNombre,0))&amp;"","DOP")="USD",T4761,S4761))</f>
        <v/>
      </c>
      <c r="AH4761" s="53">
        <f>IF(P4761="","",IF(AND(AD4761&lt;&gt;"",COUNTIFS(tcTipo,AD4761,tcLiq,"Sí")&gt;0),IF(OR(P4761="Gasto",P4761="Transferencia",P4761="Pago tarjeta"),-1,1)*S4761,0)+IF(AND(AE4761&lt;&gt;"",COUNTIFS(tcTipo,AE4761,tcLiq,"Sí")&gt;0),S4761,0))</f>
        <v/>
      </c>
      <c r="AI4761" s="52">
        <f>IF(OR(L4761="",P4761=""),"",IF(COUNTIFS(L$6:L4761,L4761,P$6:P4761,"?*")=1,MAX(AI$5:AI4760)+1,""))</f>
        <v/>
      </c>
    </row>
    <row r="4762">
      <c r="B4762" s="47" t="n"/>
      <c r="C4762" s="48" t="n"/>
      <c r="D4762" s="48" t="n"/>
      <c r="E4762" s="48" t="n"/>
      <c r="F4762" s="48" t="n"/>
      <c r="G4762" s="49" t="n"/>
      <c r="H4762" s="48" t="n"/>
      <c r="I4762" s="50" t="n"/>
      <c r="J4762" s="48" t="n"/>
      <c r="K4762" s="48" t="n"/>
      <c r="L4762" s="48" t="n"/>
      <c r="M4762" s="48" t="n"/>
      <c r="N4762" s="48" t="n"/>
      <c r="O4762" s="51">
        <f>IF(AND(B4762="",G4762="",C4762="",D4762="",J4762=""),"",IF(B4762="","⚠ Falta fecha",IF(G4762="","⚠ Falta monto",IF(Q4762="","⚠ Falta cuenta",IF(ISNA(MATCH(Q4762,ctaNombre,0)),"⚠ Cuenta no registrada",IF(AND(OR(P4762="Gasto",P4762="Reembolso"),D4762=""),"⚠ Falta categoría",IF(AND(D4762&lt;&gt;"",E4762&lt;&gt;"",ISNA(MATCH(D4762&amp;"|"&amp;E4762,catClave,0))),"⚠ Subcategoría no corresponde",IF(AND(OR(P4762="Transferencia",P4762="Pago tarjeta"),K4762=""),"⚠ Falta cuenta destino",IF(AND(K4762&lt;&gt;"",P4762&lt;&gt;"Transferencia",P4762&lt;&gt;"Pago tarjeta"),"⚠ Destino solo aplica a transferencias",IF(AND(K4762&lt;&gt;"",K4762=Q4762),"⚠ Origen igual a destino",IF(AND(K4762&lt;&gt;"",ISNA(MATCH(K4762,ctaNombre,0))),"⚠ Destino no registrado",IF(AND(P4762="Pago tarjeta",AE4762&lt;&gt;"Tarjeta de crédito"),"⚠ El destino debe ser tarjeta de crédito",IF(AND(P4762="Gasto",E4762="Depósitos y retiros"),"⚠ Usa tipo Transferencia",IF(AND(P4762="Resultado trading",AD4762&lt;&gt;"Cuenta de trading"),"⚠ Usa una cuenta de trading",IF(AND(G4762&lt;=0,P4762&lt;&gt;"Ajuste",P4762&lt;&gt;"Resultado trading"),"⚠ El monto debe ser positivo","✓")))))))))))))))</f>
        <v/>
      </c>
      <c r="P4762" s="52">
        <f>IF(OR(B4762="",G4762=""),"",IF(C4762="","Gasto",C4762))</f>
        <v/>
      </c>
      <c r="Q4762" s="52">
        <f>IF(P4762="","",IF(J4762&lt;&gt;"",J4762,CuentaPred&amp;""))</f>
        <v/>
      </c>
      <c r="R4762" s="52">
        <f>IF(P4762="","",IF(ISNUMBER(I4762),I4762,TasaUSD))</f>
        <v/>
      </c>
      <c r="S4762" s="53">
        <f>IF(P4762="","",IF(H4762="USD",G4762*R4762,G4762))</f>
        <v/>
      </c>
      <c r="T4762" s="53">
        <f>IF(P4762="","",IF(H4762="USD",G4762,IF(R4762&gt;0,G4762/R4762,0)))</f>
        <v/>
      </c>
      <c r="U4762" s="53">
        <f>IF(P4762="","",IF(P4762="Gasto",S4762,IF(P4762="Reembolso",-S4762,0)))</f>
        <v/>
      </c>
      <c r="V4762" s="53">
        <f>IF(P4762="","",IF(P4762="Ingreso",S4762,0))</f>
        <v/>
      </c>
      <c r="W4762" s="53">
        <f>IF(P4762="","",IF(P4762="Resultado trading",S4762,0))</f>
        <v/>
      </c>
      <c r="X4762" s="52">
        <f>IF(OR(P4762="Gasto",P4762="Reembolso"),IF(M4762&lt;&gt;"",M4762,IFERROR(INDEX(catClasif,MATCH(D4762&amp;"|"&amp;E4762,catClave,0))&amp;"","Variable")),"")</f>
        <v/>
      </c>
      <c r="Y4762" s="52">
        <f>IF(P4762="","",IFERROR(INDEX(catGrupo,MATCH(D4762&amp;"|"&amp;E4762,catClave,0))&amp;"",""))</f>
        <v/>
      </c>
      <c r="Z4762" s="52">
        <f>IF(P4762="","",WEEKDAY(B4762,2))</f>
        <v/>
      </c>
      <c r="AA4762" s="52">
        <f>IF(P4762="","",IF(AND(P4762="Gasto",X4762="Variable",D4762&lt;&gt;catTrading,S4762&gt;0,S4762&lt;=Umbral),1,0))</f>
        <v/>
      </c>
      <c r="AB4762" s="52">
        <f>IF(OR(P4762="",Q4762=""),"",IFERROR(IF(INDEX(ctaVinc,MATCH(Q4762,ctaNombre,0))&amp;""&lt;&gt;"",INDEX(ctaVinc,MATCH(Q4762,ctaNombre,0))&amp;"",Q4762),Q4762))</f>
        <v/>
      </c>
      <c r="AC4762" s="52">
        <f>IF(OR(K4762="",AND(P4762&lt;&gt;"Transferencia",P4762&lt;&gt;"Pago tarjeta")),"",IFERROR(IF(INDEX(ctaVinc,MATCH(K4762,ctaNombre,0))&amp;""&lt;&gt;"",INDEX(ctaVinc,MATCH(K4762,ctaNombre,0))&amp;"",K4762),K4762))</f>
        <v/>
      </c>
      <c r="AD4762" s="52">
        <f>IF(AB4762="","",IFERROR(INDEX(ctaTipo,MATCH(AB4762,ctaNombre,0))&amp;"",""))</f>
        <v/>
      </c>
      <c r="AE4762" s="52">
        <f>IF(AC4762="","",IFERROR(INDEX(ctaTipo,MATCH(AC4762,ctaNombre,0))&amp;"",""))</f>
        <v/>
      </c>
      <c r="AF4762" s="53">
        <f>IF(OR(P4762="",AB4762=""),"",IF(OR(P4762="Gasto",P4762="Transferencia",P4762="Pago tarjeta"),-1,1)*IF(IFERROR(INDEX(ctaMoneda,MATCH(AB4762,ctaNombre,0))&amp;"","DOP")="USD",T4762,S4762))</f>
        <v/>
      </c>
      <c r="AG4762" s="53">
        <f>IF(AC4762="","",IF(IFERROR(INDEX(ctaMoneda,MATCH(AC4762,ctaNombre,0))&amp;"","DOP")="USD",T4762,S4762))</f>
        <v/>
      </c>
      <c r="AH4762" s="53">
        <f>IF(P4762="","",IF(AND(AD4762&lt;&gt;"",COUNTIFS(tcTipo,AD4762,tcLiq,"Sí")&gt;0),IF(OR(P4762="Gasto",P4762="Transferencia",P4762="Pago tarjeta"),-1,1)*S4762,0)+IF(AND(AE4762&lt;&gt;"",COUNTIFS(tcTipo,AE4762,tcLiq,"Sí")&gt;0),S4762,0))</f>
        <v/>
      </c>
      <c r="AI4762" s="52">
        <f>IF(OR(L4762="",P4762=""),"",IF(COUNTIFS(L$6:L4762,L4762,P$6:P4762,"?*")=1,MAX(AI$5:AI4761)+1,""))</f>
        <v/>
      </c>
    </row>
    <row r="4763">
      <c r="B4763" s="47" t="n"/>
      <c r="C4763" s="48" t="n"/>
      <c r="D4763" s="48" t="n"/>
      <c r="E4763" s="48" t="n"/>
      <c r="F4763" s="48" t="n"/>
      <c r="G4763" s="49" t="n"/>
      <c r="H4763" s="48" t="n"/>
      <c r="I4763" s="50" t="n"/>
      <c r="J4763" s="48" t="n"/>
      <c r="K4763" s="48" t="n"/>
      <c r="L4763" s="48" t="n"/>
      <c r="M4763" s="48" t="n"/>
      <c r="N4763" s="48" t="n"/>
      <c r="O4763" s="51">
        <f>IF(AND(B4763="",G4763="",C4763="",D4763="",J4763=""),"",IF(B4763="","⚠ Falta fecha",IF(G4763="","⚠ Falta monto",IF(Q4763="","⚠ Falta cuenta",IF(ISNA(MATCH(Q4763,ctaNombre,0)),"⚠ Cuenta no registrada",IF(AND(OR(P4763="Gasto",P4763="Reembolso"),D4763=""),"⚠ Falta categoría",IF(AND(D4763&lt;&gt;"",E4763&lt;&gt;"",ISNA(MATCH(D4763&amp;"|"&amp;E4763,catClave,0))),"⚠ Subcategoría no corresponde",IF(AND(OR(P4763="Transferencia",P4763="Pago tarjeta"),K4763=""),"⚠ Falta cuenta destino",IF(AND(K4763&lt;&gt;"",P4763&lt;&gt;"Transferencia",P4763&lt;&gt;"Pago tarjeta"),"⚠ Destino solo aplica a transferencias",IF(AND(K4763&lt;&gt;"",K4763=Q4763),"⚠ Origen igual a destino",IF(AND(K4763&lt;&gt;"",ISNA(MATCH(K4763,ctaNombre,0))),"⚠ Destino no registrado",IF(AND(P4763="Pago tarjeta",AE4763&lt;&gt;"Tarjeta de crédito"),"⚠ El destino debe ser tarjeta de crédito",IF(AND(P4763="Gasto",E4763="Depósitos y retiros"),"⚠ Usa tipo Transferencia",IF(AND(P4763="Resultado trading",AD4763&lt;&gt;"Cuenta de trading"),"⚠ Usa una cuenta de trading",IF(AND(G4763&lt;=0,P4763&lt;&gt;"Ajuste",P4763&lt;&gt;"Resultado trading"),"⚠ El monto debe ser positivo","✓")))))))))))))))</f>
        <v/>
      </c>
      <c r="P4763" s="52">
        <f>IF(OR(B4763="",G4763=""),"",IF(C4763="","Gasto",C4763))</f>
        <v/>
      </c>
      <c r="Q4763" s="52">
        <f>IF(P4763="","",IF(J4763&lt;&gt;"",J4763,CuentaPred&amp;""))</f>
        <v/>
      </c>
      <c r="R4763" s="52">
        <f>IF(P4763="","",IF(ISNUMBER(I4763),I4763,TasaUSD))</f>
        <v/>
      </c>
      <c r="S4763" s="53">
        <f>IF(P4763="","",IF(H4763="USD",G4763*R4763,G4763))</f>
        <v/>
      </c>
      <c r="T4763" s="53">
        <f>IF(P4763="","",IF(H4763="USD",G4763,IF(R4763&gt;0,G4763/R4763,0)))</f>
        <v/>
      </c>
      <c r="U4763" s="53">
        <f>IF(P4763="","",IF(P4763="Gasto",S4763,IF(P4763="Reembolso",-S4763,0)))</f>
        <v/>
      </c>
      <c r="V4763" s="53">
        <f>IF(P4763="","",IF(P4763="Ingreso",S4763,0))</f>
        <v/>
      </c>
      <c r="W4763" s="53">
        <f>IF(P4763="","",IF(P4763="Resultado trading",S4763,0))</f>
        <v/>
      </c>
      <c r="X4763" s="52">
        <f>IF(OR(P4763="Gasto",P4763="Reembolso"),IF(M4763&lt;&gt;"",M4763,IFERROR(INDEX(catClasif,MATCH(D4763&amp;"|"&amp;E4763,catClave,0))&amp;"","Variable")),"")</f>
        <v/>
      </c>
      <c r="Y4763" s="52">
        <f>IF(P4763="","",IFERROR(INDEX(catGrupo,MATCH(D4763&amp;"|"&amp;E4763,catClave,0))&amp;"",""))</f>
        <v/>
      </c>
      <c r="Z4763" s="52">
        <f>IF(P4763="","",WEEKDAY(B4763,2))</f>
        <v/>
      </c>
      <c r="AA4763" s="52">
        <f>IF(P4763="","",IF(AND(P4763="Gasto",X4763="Variable",D4763&lt;&gt;catTrading,S4763&gt;0,S4763&lt;=Umbral),1,0))</f>
        <v/>
      </c>
      <c r="AB4763" s="52">
        <f>IF(OR(P4763="",Q4763=""),"",IFERROR(IF(INDEX(ctaVinc,MATCH(Q4763,ctaNombre,0))&amp;""&lt;&gt;"",INDEX(ctaVinc,MATCH(Q4763,ctaNombre,0))&amp;"",Q4763),Q4763))</f>
        <v/>
      </c>
      <c r="AC4763" s="52">
        <f>IF(OR(K4763="",AND(P4763&lt;&gt;"Transferencia",P4763&lt;&gt;"Pago tarjeta")),"",IFERROR(IF(INDEX(ctaVinc,MATCH(K4763,ctaNombre,0))&amp;""&lt;&gt;"",INDEX(ctaVinc,MATCH(K4763,ctaNombre,0))&amp;"",K4763),K4763))</f>
        <v/>
      </c>
      <c r="AD4763" s="52">
        <f>IF(AB4763="","",IFERROR(INDEX(ctaTipo,MATCH(AB4763,ctaNombre,0))&amp;"",""))</f>
        <v/>
      </c>
      <c r="AE4763" s="52">
        <f>IF(AC4763="","",IFERROR(INDEX(ctaTipo,MATCH(AC4763,ctaNombre,0))&amp;"",""))</f>
        <v/>
      </c>
      <c r="AF4763" s="53">
        <f>IF(OR(P4763="",AB4763=""),"",IF(OR(P4763="Gasto",P4763="Transferencia",P4763="Pago tarjeta"),-1,1)*IF(IFERROR(INDEX(ctaMoneda,MATCH(AB4763,ctaNombre,0))&amp;"","DOP")="USD",T4763,S4763))</f>
        <v/>
      </c>
      <c r="AG4763" s="53">
        <f>IF(AC4763="","",IF(IFERROR(INDEX(ctaMoneda,MATCH(AC4763,ctaNombre,0))&amp;"","DOP")="USD",T4763,S4763))</f>
        <v/>
      </c>
      <c r="AH4763" s="53">
        <f>IF(P4763="","",IF(AND(AD4763&lt;&gt;"",COUNTIFS(tcTipo,AD4763,tcLiq,"Sí")&gt;0),IF(OR(P4763="Gasto",P4763="Transferencia",P4763="Pago tarjeta"),-1,1)*S4763,0)+IF(AND(AE4763&lt;&gt;"",COUNTIFS(tcTipo,AE4763,tcLiq,"Sí")&gt;0),S4763,0))</f>
        <v/>
      </c>
      <c r="AI4763" s="52">
        <f>IF(OR(L4763="",P4763=""),"",IF(COUNTIFS(L$6:L4763,L4763,P$6:P4763,"?*")=1,MAX(AI$5:AI4762)+1,""))</f>
        <v/>
      </c>
    </row>
    <row r="4764">
      <c r="B4764" s="47" t="n"/>
      <c r="C4764" s="48" t="n"/>
      <c r="D4764" s="48" t="n"/>
      <c r="E4764" s="48" t="n"/>
      <c r="F4764" s="48" t="n"/>
      <c r="G4764" s="49" t="n"/>
      <c r="H4764" s="48" t="n"/>
      <c r="I4764" s="50" t="n"/>
      <c r="J4764" s="48" t="n"/>
      <c r="K4764" s="48" t="n"/>
      <c r="L4764" s="48" t="n"/>
      <c r="M4764" s="48" t="n"/>
      <c r="N4764" s="48" t="n"/>
      <c r="O4764" s="51">
        <f>IF(AND(B4764="",G4764="",C4764="",D4764="",J4764=""),"",IF(B4764="","⚠ Falta fecha",IF(G4764="","⚠ Falta monto",IF(Q4764="","⚠ Falta cuenta",IF(ISNA(MATCH(Q4764,ctaNombre,0)),"⚠ Cuenta no registrada",IF(AND(OR(P4764="Gasto",P4764="Reembolso"),D4764=""),"⚠ Falta categoría",IF(AND(D4764&lt;&gt;"",E4764&lt;&gt;"",ISNA(MATCH(D4764&amp;"|"&amp;E4764,catClave,0))),"⚠ Subcategoría no corresponde",IF(AND(OR(P4764="Transferencia",P4764="Pago tarjeta"),K4764=""),"⚠ Falta cuenta destino",IF(AND(K4764&lt;&gt;"",P4764&lt;&gt;"Transferencia",P4764&lt;&gt;"Pago tarjeta"),"⚠ Destino solo aplica a transferencias",IF(AND(K4764&lt;&gt;"",K4764=Q4764),"⚠ Origen igual a destino",IF(AND(K4764&lt;&gt;"",ISNA(MATCH(K4764,ctaNombre,0))),"⚠ Destino no registrado",IF(AND(P4764="Pago tarjeta",AE4764&lt;&gt;"Tarjeta de crédito"),"⚠ El destino debe ser tarjeta de crédito",IF(AND(P4764="Gasto",E4764="Depósitos y retiros"),"⚠ Usa tipo Transferencia",IF(AND(P4764="Resultado trading",AD4764&lt;&gt;"Cuenta de trading"),"⚠ Usa una cuenta de trading",IF(AND(G4764&lt;=0,P4764&lt;&gt;"Ajuste",P4764&lt;&gt;"Resultado trading"),"⚠ El monto debe ser positivo","✓")))))))))))))))</f>
        <v/>
      </c>
      <c r="P4764" s="52">
        <f>IF(OR(B4764="",G4764=""),"",IF(C4764="","Gasto",C4764))</f>
        <v/>
      </c>
      <c r="Q4764" s="52">
        <f>IF(P4764="","",IF(J4764&lt;&gt;"",J4764,CuentaPred&amp;""))</f>
        <v/>
      </c>
      <c r="R4764" s="52">
        <f>IF(P4764="","",IF(ISNUMBER(I4764),I4764,TasaUSD))</f>
        <v/>
      </c>
      <c r="S4764" s="53">
        <f>IF(P4764="","",IF(H4764="USD",G4764*R4764,G4764))</f>
        <v/>
      </c>
      <c r="T4764" s="53">
        <f>IF(P4764="","",IF(H4764="USD",G4764,IF(R4764&gt;0,G4764/R4764,0)))</f>
        <v/>
      </c>
      <c r="U4764" s="53">
        <f>IF(P4764="","",IF(P4764="Gasto",S4764,IF(P4764="Reembolso",-S4764,0)))</f>
        <v/>
      </c>
      <c r="V4764" s="53">
        <f>IF(P4764="","",IF(P4764="Ingreso",S4764,0))</f>
        <v/>
      </c>
      <c r="W4764" s="53">
        <f>IF(P4764="","",IF(P4764="Resultado trading",S4764,0))</f>
        <v/>
      </c>
      <c r="X4764" s="52">
        <f>IF(OR(P4764="Gasto",P4764="Reembolso"),IF(M4764&lt;&gt;"",M4764,IFERROR(INDEX(catClasif,MATCH(D4764&amp;"|"&amp;E4764,catClave,0))&amp;"","Variable")),"")</f>
        <v/>
      </c>
      <c r="Y4764" s="52">
        <f>IF(P4764="","",IFERROR(INDEX(catGrupo,MATCH(D4764&amp;"|"&amp;E4764,catClave,0))&amp;"",""))</f>
        <v/>
      </c>
      <c r="Z4764" s="52">
        <f>IF(P4764="","",WEEKDAY(B4764,2))</f>
        <v/>
      </c>
      <c r="AA4764" s="52">
        <f>IF(P4764="","",IF(AND(P4764="Gasto",X4764="Variable",D4764&lt;&gt;catTrading,S4764&gt;0,S4764&lt;=Umbral),1,0))</f>
        <v/>
      </c>
      <c r="AB4764" s="52">
        <f>IF(OR(P4764="",Q4764=""),"",IFERROR(IF(INDEX(ctaVinc,MATCH(Q4764,ctaNombre,0))&amp;""&lt;&gt;"",INDEX(ctaVinc,MATCH(Q4764,ctaNombre,0))&amp;"",Q4764),Q4764))</f>
        <v/>
      </c>
      <c r="AC4764" s="52">
        <f>IF(OR(K4764="",AND(P4764&lt;&gt;"Transferencia",P4764&lt;&gt;"Pago tarjeta")),"",IFERROR(IF(INDEX(ctaVinc,MATCH(K4764,ctaNombre,0))&amp;""&lt;&gt;"",INDEX(ctaVinc,MATCH(K4764,ctaNombre,0))&amp;"",K4764),K4764))</f>
        <v/>
      </c>
      <c r="AD4764" s="52">
        <f>IF(AB4764="","",IFERROR(INDEX(ctaTipo,MATCH(AB4764,ctaNombre,0))&amp;"",""))</f>
        <v/>
      </c>
      <c r="AE4764" s="52">
        <f>IF(AC4764="","",IFERROR(INDEX(ctaTipo,MATCH(AC4764,ctaNombre,0))&amp;"",""))</f>
        <v/>
      </c>
      <c r="AF4764" s="53">
        <f>IF(OR(P4764="",AB4764=""),"",IF(OR(P4764="Gasto",P4764="Transferencia",P4764="Pago tarjeta"),-1,1)*IF(IFERROR(INDEX(ctaMoneda,MATCH(AB4764,ctaNombre,0))&amp;"","DOP")="USD",T4764,S4764))</f>
        <v/>
      </c>
      <c r="AG4764" s="53">
        <f>IF(AC4764="","",IF(IFERROR(INDEX(ctaMoneda,MATCH(AC4764,ctaNombre,0))&amp;"","DOP")="USD",T4764,S4764))</f>
        <v/>
      </c>
      <c r="AH4764" s="53">
        <f>IF(P4764="","",IF(AND(AD4764&lt;&gt;"",COUNTIFS(tcTipo,AD4764,tcLiq,"Sí")&gt;0),IF(OR(P4764="Gasto",P4764="Transferencia",P4764="Pago tarjeta"),-1,1)*S4764,0)+IF(AND(AE4764&lt;&gt;"",COUNTIFS(tcTipo,AE4764,tcLiq,"Sí")&gt;0),S4764,0))</f>
        <v/>
      </c>
      <c r="AI4764" s="52">
        <f>IF(OR(L4764="",P4764=""),"",IF(COUNTIFS(L$6:L4764,L4764,P$6:P4764,"?*")=1,MAX(AI$5:AI4763)+1,""))</f>
        <v/>
      </c>
    </row>
    <row r="4765">
      <c r="B4765" s="47" t="n"/>
      <c r="C4765" s="48" t="n"/>
      <c r="D4765" s="48" t="n"/>
      <c r="E4765" s="48" t="n"/>
      <c r="F4765" s="48" t="n"/>
      <c r="G4765" s="49" t="n"/>
      <c r="H4765" s="48" t="n"/>
      <c r="I4765" s="50" t="n"/>
      <c r="J4765" s="48" t="n"/>
      <c r="K4765" s="48" t="n"/>
      <c r="L4765" s="48" t="n"/>
      <c r="M4765" s="48" t="n"/>
      <c r="N4765" s="48" t="n"/>
      <c r="O4765" s="51">
        <f>IF(AND(B4765="",G4765="",C4765="",D4765="",J4765=""),"",IF(B4765="","⚠ Falta fecha",IF(G4765="","⚠ Falta monto",IF(Q4765="","⚠ Falta cuenta",IF(ISNA(MATCH(Q4765,ctaNombre,0)),"⚠ Cuenta no registrada",IF(AND(OR(P4765="Gasto",P4765="Reembolso"),D4765=""),"⚠ Falta categoría",IF(AND(D4765&lt;&gt;"",E4765&lt;&gt;"",ISNA(MATCH(D4765&amp;"|"&amp;E4765,catClave,0))),"⚠ Subcategoría no corresponde",IF(AND(OR(P4765="Transferencia",P4765="Pago tarjeta"),K4765=""),"⚠ Falta cuenta destino",IF(AND(K4765&lt;&gt;"",P4765&lt;&gt;"Transferencia",P4765&lt;&gt;"Pago tarjeta"),"⚠ Destino solo aplica a transferencias",IF(AND(K4765&lt;&gt;"",K4765=Q4765),"⚠ Origen igual a destino",IF(AND(K4765&lt;&gt;"",ISNA(MATCH(K4765,ctaNombre,0))),"⚠ Destino no registrado",IF(AND(P4765="Pago tarjeta",AE4765&lt;&gt;"Tarjeta de crédito"),"⚠ El destino debe ser tarjeta de crédito",IF(AND(P4765="Gasto",E4765="Depósitos y retiros"),"⚠ Usa tipo Transferencia",IF(AND(P4765="Resultado trading",AD4765&lt;&gt;"Cuenta de trading"),"⚠ Usa una cuenta de trading",IF(AND(G4765&lt;=0,P4765&lt;&gt;"Ajuste",P4765&lt;&gt;"Resultado trading"),"⚠ El monto debe ser positivo","✓")))))))))))))))</f>
        <v/>
      </c>
      <c r="P4765" s="52">
        <f>IF(OR(B4765="",G4765=""),"",IF(C4765="","Gasto",C4765))</f>
        <v/>
      </c>
      <c r="Q4765" s="52">
        <f>IF(P4765="","",IF(J4765&lt;&gt;"",J4765,CuentaPred&amp;""))</f>
        <v/>
      </c>
      <c r="R4765" s="52">
        <f>IF(P4765="","",IF(ISNUMBER(I4765),I4765,TasaUSD))</f>
        <v/>
      </c>
      <c r="S4765" s="53">
        <f>IF(P4765="","",IF(H4765="USD",G4765*R4765,G4765))</f>
        <v/>
      </c>
      <c r="T4765" s="53">
        <f>IF(P4765="","",IF(H4765="USD",G4765,IF(R4765&gt;0,G4765/R4765,0)))</f>
        <v/>
      </c>
      <c r="U4765" s="53">
        <f>IF(P4765="","",IF(P4765="Gasto",S4765,IF(P4765="Reembolso",-S4765,0)))</f>
        <v/>
      </c>
      <c r="V4765" s="53">
        <f>IF(P4765="","",IF(P4765="Ingreso",S4765,0))</f>
        <v/>
      </c>
      <c r="W4765" s="53">
        <f>IF(P4765="","",IF(P4765="Resultado trading",S4765,0))</f>
        <v/>
      </c>
      <c r="X4765" s="52">
        <f>IF(OR(P4765="Gasto",P4765="Reembolso"),IF(M4765&lt;&gt;"",M4765,IFERROR(INDEX(catClasif,MATCH(D4765&amp;"|"&amp;E4765,catClave,0))&amp;"","Variable")),"")</f>
        <v/>
      </c>
      <c r="Y4765" s="52">
        <f>IF(P4765="","",IFERROR(INDEX(catGrupo,MATCH(D4765&amp;"|"&amp;E4765,catClave,0))&amp;"",""))</f>
        <v/>
      </c>
      <c r="Z4765" s="52">
        <f>IF(P4765="","",WEEKDAY(B4765,2))</f>
        <v/>
      </c>
      <c r="AA4765" s="52">
        <f>IF(P4765="","",IF(AND(P4765="Gasto",X4765="Variable",D4765&lt;&gt;catTrading,S4765&gt;0,S4765&lt;=Umbral),1,0))</f>
        <v/>
      </c>
      <c r="AB4765" s="52">
        <f>IF(OR(P4765="",Q4765=""),"",IFERROR(IF(INDEX(ctaVinc,MATCH(Q4765,ctaNombre,0))&amp;""&lt;&gt;"",INDEX(ctaVinc,MATCH(Q4765,ctaNombre,0))&amp;"",Q4765),Q4765))</f>
        <v/>
      </c>
      <c r="AC4765" s="52">
        <f>IF(OR(K4765="",AND(P4765&lt;&gt;"Transferencia",P4765&lt;&gt;"Pago tarjeta")),"",IFERROR(IF(INDEX(ctaVinc,MATCH(K4765,ctaNombre,0))&amp;""&lt;&gt;"",INDEX(ctaVinc,MATCH(K4765,ctaNombre,0))&amp;"",K4765),K4765))</f>
        <v/>
      </c>
      <c r="AD4765" s="52">
        <f>IF(AB4765="","",IFERROR(INDEX(ctaTipo,MATCH(AB4765,ctaNombre,0))&amp;"",""))</f>
        <v/>
      </c>
      <c r="AE4765" s="52">
        <f>IF(AC4765="","",IFERROR(INDEX(ctaTipo,MATCH(AC4765,ctaNombre,0))&amp;"",""))</f>
        <v/>
      </c>
      <c r="AF4765" s="53">
        <f>IF(OR(P4765="",AB4765=""),"",IF(OR(P4765="Gasto",P4765="Transferencia",P4765="Pago tarjeta"),-1,1)*IF(IFERROR(INDEX(ctaMoneda,MATCH(AB4765,ctaNombre,0))&amp;"","DOP")="USD",T4765,S4765))</f>
        <v/>
      </c>
      <c r="AG4765" s="53">
        <f>IF(AC4765="","",IF(IFERROR(INDEX(ctaMoneda,MATCH(AC4765,ctaNombre,0))&amp;"","DOP")="USD",T4765,S4765))</f>
        <v/>
      </c>
      <c r="AH4765" s="53">
        <f>IF(P4765="","",IF(AND(AD4765&lt;&gt;"",COUNTIFS(tcTipo,AD4765,tcLiq,"Sí")&gt;0),IF(OR(P4765="Gasto",P4765="Transferencia",P4765="Pago tarjeta"),-1,1)*S4765,0)+IF(AND(AE4765&lt;&gt;"",COUNTIFS(tcTipo,AE4765,tcLiq,"Sí")&gt;0),S4765,0))</f>
        <v/>
      </c>
      <c r="AI4765" s="52">
        <f>IF(OR(L4765="",P4765=""),"",IF(COUNTIFS(L$6:L4765,L4765,P$6:P4765,"?*")=1,MAX(AI$5:AI4764)+1,""))</f>
        <v/>
      </c>
    </row>
    <row r="4766">
      <c r="B4766" s="47" t="n"/>
      <c r="C4766" s="48" t="n"/>
      <c r="D4766" s="48" t="n"/>
      <c r="E4766" s="48" t="n"/>
      <c r="F4766" s="48" t="n"/>
      <c r="G4766" s="49" t="n"/>
      <c r="H4766" s="48" t="n"/>
      <c r="I4766" s="50" t="n"/>
      <c r="J4766" s="48" t="n"/>
      <c r="K4766" s="48" t="n"/>
      <c r="L4766" s="48" t="n"/>
      <c r="M4766" s="48" t="n"/>
      <c r="N4766" s="48" t="n"/>
      <c r="O4766" s="51">
        <f>IF(AND(B4766="",G4766="",C4766="",D4766="",J4766=""),"",IF(B4766="","⚠ Falta fecha",IF(G4766="","⚠ Falta monto",IF(Q4766="","⚠ Falta cuenta",IF(ISNA(MATCH(Q4766,ctaNombre,0)),"⚠ Cuenta no registrada",IF(AND(OR(P4766="Gasto",P4766="Reembolso"),D4766=""),"⚠ Falta categoría",IF(AND(D4766&lt;&gt;"",E4766&lt;&gt;"",ISNA(MATCH(D4766&amp;"|"&amp;E4766,catClave,0))),"⚠ Subcategoría no corresponde",IF(AND(OR(P4766="Transferencia",P4766="Pago tarjeta"),K4766=""),"⚠ Falta cuenta destino",IF(AND(K4766&lt;&gt;"",P4766&lt;&gt;"Transferencia",P4766&lt;&gt;"Pago tarjeta"),"⚠ Destino solo aplica a transferencias",IF(AND(K4766&lt;&gt;"",K4766=Q4766),"⚠ Origen igual a destino",IF(AND(K4766&lt;&gt;"",ISNA(MATCH(K4766,ctaNombre,0))),"⚠ Destino no registrado",IF(AND(P4766="Pago tarjeta",AE4766&lt;&gt;"Tarjeta de crédito"),"⚠ El destino debe ser tarjeta de crédito",IF(AND(P4766="Gasto",E4766="Depósitos y retiros"),"⚠ Usa tipo Transferencia",IF(AND(P4766="Resultado trading",AD4766&lt;&gt;"Cuenta de trading"),"⚠ Usa una cuenta de trading",IF(AND(G4766&lt;=0,P4766&lt;&gt;"Ajuste",P4766&lt;&gt;"Resultado trading"),"⚠ El monto debe ser positivo","✓")))))))))))))))</f>
        <v/>
      </c>
      <c r="P4766" s="52">
        <f>IF(OR(B4766="",G4766=""),"",IF(C4766="","Gasto",C4766))</f>
        <v/>
      </c>
      <c r="Q4766" s="52">
        <f>IF(P4766="","",IF(J4766&lt;&gt;"",J4766,CuentaPred&amp;""))</f>
        <v/>
      </c>
      <c r="R4766" s="52">
        <f>IF(P4766="","",IF(ISNUMBER(I4766),I4766,TasaUSD))</f>
        <v/>
      </c>
      <c r="S4766" s="53">
        <f>IF(P4766="","",IF(H4766="USD",G4766*R4766,G4766))</f>
        <v/>
      </c>
      <c r="T4766" s="53">
        <f>IF(P4766="","",IF(H4766="USD",G4766,IF(R4766&gt;0,G4766/R4766,0)))</f>
        <v/>
      </c>
      <c r="U4766" s="53">
        <f>IF(P4766="","",IF(P4766="Gasto",S4766,IF(P4766="Reembolso",-S4766,0)))</f>
        <v/>
      </c>
      <c r="V4766" s="53">
        <f>IF(P4766="","",IF(P4766="Ingreso",S4766,0))</f>
        <v/>
      </c>
      <c r="W4766" s="53">
        <f>IF(P4766="","",IF(P4766="Resultado trading",S4766,0))</f>
        <v/>
      </c>
      <c r="X4766" s="52">
        <f>IF(OR(P4766="Gasto",P4766="Reembolso"),IF(M4766&lt;&gt;"",M4766,IFERROR(INDEX(catClasif,MATCH(D4766&amp;"|"&amp;E4766,catClave,0))&amp;"","Variable")),"")</f>
        <v/>
      </c>
      <c r="Y4766" s="52">
        <f>IF(P4766="","",IFERROR(INDEX(catGrupo,MATCH(D4766&amp;"|"&amp;E4766,catClave,0))&amp;"",""))</f>
        <v/>
      </c>
      <c r="Z4766" s="52">
        <f>IF(P4766="","",WEEKDAY(B4766,2))</f>
        <v/>
      </c>
      <c r="AA4766" s="52">
        <f>IF(P4766="","",IF(AND(P4766="Gasto",X4766="Variable",D4766&lt;&gt;catTrading,S4766&gt;0,S4766&lt;=Umbral),1,0))</f>
        <v/>
      </c>
      <c r="AB4766" s="52">
        <f>IF(OR(P4766="",Q4766=""),"",IFERROR(IF(INDEX(ctaVinc,MATCH(Q4766,ctaNombre,0))&amp;""&lt;&gt;"",INDEX(ctaVinc,MATCH(Q4766,ctaNombre,0))&amp;"",Q4766),Q4766))</f>
        <v/>
      </c>
      <c r="AC4766" s="52">
        <f>IF(OR(K4766="",AND(P4766&lt;&gt;"Transferencia",P4766&lt;&gt;"Pago tarjeta")),"",IFERROR(IF(INDEX(ctaVinc,MATCH(K4766,ctaNombre,0))&amp;""&lt;&gt;"",INDEX(ctaVinc,MATCH(K4766,ctaNombre,0))&amp;"",K4766),K4766))</f>
        <v/>
      </c>
      <c r="AD4766" s="52">
        <f>IF(AB4766="","",IFERROR(INDEX(ctaTipo,MATCH(AB4766,ctaNombre,0))&amp;"",""))</f>
        <v/>
      </c>
      <c r="AE4766" s="52">
        <f>IF(AC4766="","",IFERROR(INDEX(ctaTipo,MATCH(AC4766,ctaNombre,0))&amp;"",""))</f>
        <v/>
      </c>
      <c r="AF4766" s="53">
        <f>IF(OR(P4766="",AB4766=""),"",IF(OR(P4766="Gasto",P4766="Transferencia",P4766="Pago tarjeta"),-1,1)*IF(IFERROR(INDEX(ctaMoneda,MATCH(AB4766,ctaNombre,0))&amp;"","DOP")="USD",T4766,S4766))</f>
        <v/>
      </c>
      <c r="AG4766" s="53">
        <f>IF(AC4766="","",IF(IFERROR(INDEX(ctaMoneda,MATCH(AC4766,ctaNombre,0))&amp;"","DOP")="USD",T4766,S4766))</f>
        <v/>
      </c>
      <c r="AH4766" s="53">
        <f>IF(P4766="","",IF(AND(AD4766&lt;&gt;"",COUNTIFS(tcTipo,AD4766,tcLiq,"Sí")&gt;0),IF(OR(P4766="Gasto",P4766="Transferencia",P4766="Pago tarjeta"),-1,1)*S4766,0)+IF(AND(AE4766&lt;&gt;"",COUNTIFS(tcTipo,AE4766,tcLiq,"Sí")&gt;0),S4766,0))</f>
        <v/>
      </c>
      <c r="AI4766" s="52">
        <f>IF(OR(L4766="",P4766=""),"",IF(COUNTIFS(L$6:L4766,L4766,P$6:P4766,"?*")=1,MAX(AI$5:AI4765)+1,""))</f>
        <v/>
      </c>
    </row>
    <row r="4767">
      <c r="B4767" s="47" t="n"/>
      <c r="C4767" s="48" t="n"/>
      <c r="D4767" s="48" t="n"/>
      <c r="E4767" s="48" t="n"/>
      <c r="F4767" s="48" t="n"/>
      <c r="G4767" s="49" t="n"/>
      <c r="H4767" s="48" t="n"/>
      <c r="I4767" s="50" t="n"/>
      <c r="J4767" s="48" t="n"/>
      <c r="K4767" s="48" t="n"/>
      <c r="L4767" s="48" t="n"/>
      <c r="M4767" s="48" t="n"/>
      <c r="N4767" s="48" t="n"/>
      <c r="O4767" s="51">
        <f>IF(AND(B4767="",G4767="",C4767="",D4767="",J4767=""),"",IF(B4767="","⚠ Falta fecha",IF(G4767="","⚠ Falta monto",IF(Q4767="","⚠ Falta cuenta",IF(ISNA(MATCH(Q4767,ctaNombre,0)),"⚠ Cuenta no registrada",IF(AND(OR(P4767="Gasto",P4767="Reembolso"),D4767=""),"⚠ Falta categoría",IF(AND(D4767&lt;&gt;"",E4767&lt;&gt;"",ISNA(MATCH(D4767&amp;"|"&amp;E4767,catClave,0))),"⚠ Subcategoría no corresponde",IF(AND(OR(P4767="Transferencia",P4767="Pago tarjeta"),K4767=""),"⚠ Falta cuenta destino",IF(AND(K4767&lt;&gt;"",P4767&lt;&gt;"Transferencia",P4767&lt;&gt;"Pago tarjeta"),"⚠ Destino solo aplica a transferencias",IF(AND(K4767&lt;&gt;"",K4767=Q4767),"⚠ Origen igual a destino",IF(AND(K4767&lt;&gt;"",ISNA(MATCH(K4767,ctaNombre,0))),"⚠ Destino no registrado",IF(AND(P4767="Pago tarjeta",AE4767&lt;&gt;"Tarjeta de crédito"),"⚠ El destino debe ser tarjeta de crédito",IF(AND(P4767="Gasto",E4767="Depósitos y retiros"),"⚠ Usa tipo Transferencia",IF(AND(P4767="Resultado trading",AD4767&lt;&gt;"Cuenta de trading"),"⚠ Usa una cuenta de trading",IF(AND(G4767&lt;=0,P4767&lt;&gt;"Ajuste",P4767&lt;&gt;"Resultado trading"),"⚠ El monto debe ser positivo","✓")))))))))))))))</f>
        <v/>
      </c>
      <c r="P4767" s="52">
        <f>IF(OR(B4767="",G4767=""),"",IF(C4767="","Gasto",C4767))</f>
        <v/>
      </c>
      <c r="Q4767" s="52">
        <f>IF(P4767="","",IF(J4767&lt;&gt;"",J4767,CuentaPred&amp;""))</f>
        <v/>
      </c>
      <c r="R4767" s="52">
        <f>IF(P4767="","",IF(ISNUMBER(I4767),I4767,TasaUSD))</f>
        <v/>
      </c>
      <c r="S4767" s="53">
        <f>IF(P4767="","",IF(H4767="USD",G4767*R4767,G4767))</f>
        <v/>
      </c>
      <c r="T4767" s="53">
        <f>IF(P4767="","",IF(H4767="USD",G4767,IF(R4767&gt;0,G4767/R4767,0)))</f>
        <v/>
      </c>
      <c r="U4767" s="53">
        <f>IF(P4767="","",IF(P4767="Gasto",S4767,IF(P4767="Reembolso",-S4767,0)))</f>
        <v/>
      </c>
      <c r="V4767" s="53">
        <f>IF(P4767="","",IF(P4767="Ingreso",S4767,0))</f>
        <v/>
      </c>
      <c r="W4767" s="53">
        <f>IF(P4767="","",IF(P4767="Resultado trading",S4767,0))</f>
        <v/>
      </c>
      <c r="X4767" s="52">
        <f>IF(OR(P4767="Gasto",P4767="Reembolso"),IF(M4767&lt;&gt;"",M4767,IFERROR(INDEX(catClasif,MATCH(D4767&amp;"|"&amp;E4767,catClave,0))&amp;"","Variable")),"")</f>
        <v/>
      </c>
      <c r="Y4767" s="52">
        <f>IF(P4767="","",IFERROR(INDEX(catGrupo,MATCH(D4767&amp;"|"&amp;E4767,catClave,0))&amp;"",""))</f>
        <v/>
      </c>
      <c r="Z4767" s="52">
        <f>IF(P4767="","",WEEKDAY(B4767,2))</f>
        <v/>
      </c>
      <c r="AA4767" s="52">
        <f>IF(P4767="","",IF(AND(P4767="Gasto",X4767="Variable",D4767&lt;&gt;catTrading,S4767&gt;0,S4767&lt;=Umbral),1,0))</f>
        <v/>
      </c>
      <c r="AB4767" s="52">
        <f>IF(OR(P4767="",Q4767=""),"",IFERROR(IF(INDEX(ctaVinc,MATCH(Q4767,ctaNombre,0))&amp;""&lt;&gt;"",INDEX(ctaVinc,MATCH(Q4767,ctaNombre,0))&amp;"",Q4767),Q4767))</f>
        <v/>
      </c>
      <c r="AC4767" s="52">
        <f>IF(OR(K4767="",AND(P4767&lt;&gt;"Transferencia",P4767&lt;&gt;"Pago tarjeta")),"",IFERROR(IF(INDEX(ctaVinc,MATCH(K4767,ctaNombre,0))&amp;""&lt;&gt;"",INDEX(ctaVinc,MATCH(K4767,ctaNombre,0))&amp;"",K4767),K4767))</f>
        <v/>
      </c>
      <c r="AD4767" s="52">
        <f>IF(AB4767="","",IFERROR(INDEX(ctaTipo,MATCH(AB4767,ctaNombre,0))&amp;"",""))</f>
        <v/>
      </c>
      <c r="AE4767" s="52">
        <f>IF(AC4767="","",IFERROR(INDEX(ctaTipo,MATCH(AC4767,ctaNombre,0))&amp;"",""))</f>
        <v/>
      </c>
      <c r="AF4767" s="53">
        <f>IF(OR(P4767="",AB4767=""),"",IF(OR(P4767="Gasto",P4767="Transferencia",P4767="Pago tarjeta"),-1,1)*IF(IFERROR(INDEX(ctaMoneda,MATCH(AB4767,ctaNombre,0))&amp;"","DOP")="USD",T4767,S4767))</f>
        <v/>
      </c>
      <c r="AG4767" s="53">
        <f>IF(AC4767="","",IF(IFERROR(INDEX(ctaMoneda,MATCH(AC4767,ctaNombre,0))&amp;"","DOP")="USD",T4767,S4767))</f>
        <v/>
      </c>
      <c r="AH4767" s="53">
        <f>IF(P4767="","",IF(AND(AD4767&lt;&gt;"",COUNTIFS(tcTipo,AD4767,tcLiq,"Sí")&gt;0),IF(OR(P4767="Gasto",P4767="Transferencia",P4767="Pago tarjeta"),-1,1)*S4767,0)+IF(AND(AE4767&lt;&gt;"",COUNTIFS(tcTipo,AE4767,tcLiq,"Sí")&gt;0),S4767,0))</f>
        <v/>
      </c>
      <c r="AI4767" s="52">
        <f>IF(OR(L4767="",P4767=""),"",IF(COUNTIFS(L$6:L4767,L4767,P$6:P4767,"?*")=1,MAX(AI$5:AI4766)+1,""))</f>
        <v/>
      </c>
    </row>
    <row r="4768">
      <c r="B4768" s="47" t="n"/>
      <c r="C4768" s="48" t="n"/>
      <c r="D4768" s="48" t="n"/>
      <c r="E4768" s="48" t="n"/>
      <c r="F4768" s="48" t="n"/>
      <c r="G4768" s="49" t="n"/>
      <c r="H4768" s="48" t="n"/>
      <c r="I4768" s="50" t="n"/>
      <c r="J4768" s="48" t="n"/>
      <c r="K4768" s="48" t="n"/>
      <c r="L4768" s="48" t="n"/>
      <c r="M4768" s="48" t="n"/>
      <c r="N4768" s="48" t="n"/>
      <c r="O4768" s="51">
        <f>IF(AND(B4768="",G4768="",C4768="",D4768="",J4768=""),"",IF(B4768="","⚠ Falta fecha",IF(G4768="","⚠ Falta monto",IF(Q4768="","⚠ Falta cuenta",IF(ISNA(MATCH(Q4768,ctaNombre,0)),"⚠ Cuenta no registrada",IF(AND(OR(P4768="Gasto",P4768="Reembolso"),D4768=""),"⚠ Falta categoría",IF(AND(D4768&lt;&gt;"",E4768&lt;&gt;"",ISNA(MATCH(D4768&amp;"|"&amp;E4768,catClave,0))),"⚠ Subcategoría no corresponde",IF(AND(OR(P4768="Transferencia",P4768="Pago tarjeta"),K4768=""),"⚠ Falta cuenta destino",IF(AND(K4768&lt;&gt;"",P4768&lt;&gt;"Transferencia",P4768&lt;&gt;"Pago tarjeta"),"⚠ Destino solo aplica a transferencias",IF(AND(K4768&lt;&gt;"",K4768=Q4768),"⚠ Origen igual a destino",IF(AND(K4768&lt;&gt;"",ISNA(MATCH(K4768,ctaNombre,0))),"⚠ Destino no registrado",IF(AND(P4768="Pago tarjeta",AE4768&lt;&gt;"Tarjeta de crédito"),"⚠ El destino debe ser tarjeta de crédito",IF(AND(P4768="Gasto",E4768="Depósitos y retiros"),"⚠ Usa tipo Transferencia",IF(AND(P4768="Resultado trading",AD4768&lt;&gt;"Cuenta de trading"),"⚠ Usa una cuenta de trading",IF(AND(G4768&lt;=0,P4768&lt;&gt;"Ajuste",P4768&lt;&gt;"Resultado trading"),"⚠ El monto debe ser positivo","✓")))))))))))))))</f>
        <v/>
      </c>
      <c r="P4768" s="52">
        <f>IF(OR(B4768="",G4768=""),"",IF(C4768="","Gasto",C4768))</f>
        <v/>
      </c>
      <c r="Q4768" s="52">
        <f>IF(P4768="","",IF(J4768&lt;&gt;"",J4768,CuentaPred&amp;""))</f>
        <v/>
      </c>
      <c r="R4768" s="52">
        <f>IF(P4768="","",IF(ISNUMBER(I4768),I4768,TasaUSD))</f>
        <v/>
      </c>
      <c r="S4768" s="53">
        <f>IF(P4768="","",IF(H4768="USD",G4768*R4768,G4768))</f>
        <v/>
      </c>
      <c r="T4768" s="53">
        <f>IF(P4768="","",IF(H4768="USD",G4768,IF(R4768&gt;0,G4768/R4768,0)))</f>
        <v/>
      </c>
      <c r="U4768" s="53">
        <f>IF(P4768="","",IF(P4768="Gasto",S4768,IF(P4768="Reembolso",-S4768,0)))</f>
        <v/>
      </c>
      <c r="V4768" s="53">
        <f>IF(P4768="","",IF(P4768="Ingreso",S4768,0))</f>
        <v/>
      </c>
      <c r="W4768" s="53">
        <f>IF(P4768="","",IF(P4768="Resultado trading",S4768,0))</f>
        <v/>
      </c>
      <c r="X4768" s="52">
        <f>IF(OR(P4768="Gasto",P4768="Reembolso"),IF(M4768&lt;&gt;"",M4768,IFERROR(INDEX(catClasif,MATCH(D4768&amp;"|"&amp;E4768,catClave,0))&amp;"","Variable")),"")</f>
        <v/>
      </c>
      <c r="Y4768" s="52">
        <f>IF(P4768="","",IFERROR(INDEX(catGrupo,MATCH(D4768&amp;"|"&amp;E4768,catClave,0))&amp;"",""))</f>
        <v/>
      </c>
      <c r="Z4768" s="52">
        <f>IF(P4768="","",WEEKDAY(B4768,2))</f>
        <v/>
      </c>
      <c r="AA4768" s="52">
        <f>IF(P4768="","",IF(AND(P4768="Gasto",X4768="Variable",D4768&lt;&gt;catTrading,S4768&gt;0,S4768&lt;=Umbral),1,0))</f>
        <v/>
      </c>
      <c r="AB4768" s="52">
        <f>IF(OR(P4768="",Q4768=""),"",IFERROR(IF(INDEX(ctaVinc,MATCH(Q4768,ctaNombre,0))&amp;""&lt;&gt;"",INDEX(ctaVinc,MATCH(Q4768,ctaNombre,0))&amp;"",Q4768),Q4768))</f>
        <v/>
      </c>
      <c r="AC4768" s="52">
        <f>IF(OR(K4768="",AND(P4768&lt;&gt;"Transferencia",P4768&lt;&gt;"Pago tarjeta")),"",IFERROR(IF(INDEX(ctaVinc,MATCH(K4768,ctaNombre,0))&amp;""&lt;&gt;"",INDEX(ctaVinc,MATCH(K4768,ctaNombre,0))&amp;"",K4768),K4768))</f>
        <v/>
      </c>
      <c r="AD4768" s="52">
        <f>IF(AB4768="","",IFERROR(INDEX(ctaTipo,MATCH(AB4768,ctaNombre,0))&amp;"",""))</f>
        <v/>
      </c>
      <c r="AE4768" s="52">
        <f>IF(AC4768="","",IFERROR(INDEX(ctaTipo,MATCH(AC4768,ctaNombre,0))&amp;"",""))</f>
        <v/>
      </c>
      <c r="AF4768" s="53">
        <f>IF(OR(P4768="",AB4768=""),"",IF(OR(P4768="Gasto",P4768="Transferencia",P4768="Pago tarjeta"),-1,1)*IF(IFERROR(INDEX(ctaMoneda,MATCH(AB4768,ctaNombre,0))&amp;"","DOP")="USD",T4768,S4768))</f>
        <v/>
      </c>
      <c r="AG4768" s="53">
        <f>IF(AC4768="","",IF(IFERROR(INDEX(ctaMoneda,MATCH(AC4768,ctaNombre,0))&amp;"","DOP")="USD",T4768,S4768))</f>
        <v/>
      </c>
      <c r="AH4768" s="53">
        <f>IF(P4768="","",IF(AND(AD4768&lt;&gt;"",COUNTIFS(tcTipo,AD4768,tcLiq,"Sí")&gt;0),IF(OR(P4768="Gasto",P4768="Transferencia",P4768="Pago tarjeta"),-1,1)*S4768,0)+IF(AND(AE4768&lt;&gt;"",COUNTIFS(tcTipo,AE4768,tcLiq,"Sí")&gt;0),S4768,0))</f>
        <v/>
      </c>
      <c r="AI4768" s="52">
        <f>IF(OR(L4768="",P4768=""),"",IF(COUNTIFS(L$6:L4768,L4768,P$6:P4768,"?*")=1,MAX(AI$5:AI4767)+1,""))</f>
        <v/>
      </c>
    </row>
    <row r="4769">
      <c r="B4769" s="47" t="n"/>
      <c r="C4769" s="48" t="n"/>
      <c r="D4769" s="48" t="n"/>
      <c r="E4769" s="48" t="n"/>
      <c r="F4769" s="48" t="n"/>
      <c r="G4769" s="49" t="n"/>
      <c r="H4769" s="48" t="n"/>
      <c r="I4769" s="50" t="n"/>
      <c r="J4769" s="48" t="n"/>
      <c r="K4769" s="48" t="n"/>
      <c r="L4769" s="48" t="n"/>
      <c r="M4769" s="48" t="n"/>
      <c r="N4769" s="48" t="n"/>
      <c r="O4769" s="51">
        <f>IF(AND(B4769="",G4769="",C4769="",D4769="",J4769=""),"",IF(B4769="","⚠ Falta fecha",IF(G4769="","⚠ Falta monto",IF(Q4769="","⚠ Falta cuenta",IF(ISNA(MATCH(Q4769,ctaNombre,0)),"⚠ Cuenta no registrada",IF(AND(OR(P4769="Gasto",P4769="Reembolso"),D4769=""),"⚠ Falta categoría",IF(AND(D4769&lt;&gt;"",E4769&lt;&gt;"",ISNA(MATCH(D4769&amp;"|"&amp;E4769,catClave,0))),"⚠ Subcategoría no corresponde",IF(AND(OR(P4769="Transferencia",P4769="Pago tarjeta"),K4769=""),"⚠ Falta cuenta destino",IF(AND(K4769&lt;&gt;"",P4769&lt;&gt;"Transferencia",P4769&lt;&gt;"Pago tarjeta"),"⚠ Destino solo aplica a transferencias",IF(AND(K4769&lt;&gt;"",K4769=Q4769),"⚠ Origen igual a destino",IF(AND(K4769&lt;&gt;"",ISNA(MATCH(K4769,ctaNombre,0))),"⚠ Destino no registrado",IF(AND(P4769="Pago tarjeta",AE4769&lt;&gt;"Tarjeta de crédito"),"⚠ El destino debe ser tarjeta de crédito",IF(AND(P4769="Gasto",E4769="Depósitos y retiros"),"⚠ Usa tipo Transferencia",IF(AND(P4769="Resultado trading",AD4769&lt;&gt;"Cuenta de trading"),"⚠ Usa una cuenta de trading",IF(AND(G4769&lt;=0,P4769&lt;&gt;"Ajuste",P4769&lt;&gt;"Resultado trading"),"⚠ El monto debe ser positivo","✓")))))))))))))))</f>
        <v/>
      </c>
      <c r="P4769" s="52">
        <f>IF(OR(B4769="",G4769=""),"",IF(C4769="","Gasto",C4769))</f>
        <v/>
      </c>
      <c r="Q4769" s="52">
        <f>IF(P4769="","",IF(J4769&lt;&gt;"",J4769,CuentaPred&amp;""))</f>
        <v/>
      </c>
      <c r="R4769" s="52">
        <f>IF(P4769="","",IF(ISNUMBER(I4769),I4769,TasaUSD))</f>
        <v/>
      </c>
      <c r="S4769" s="53">
        <f>IF(P4769="","",IF(H4769="USD",G4769*R4769,G4769))</f>
        <v/>
      </c>
      <c r="T4769" s="53">
        <f>IF(P4769="","",IF(H4769="USD",G4769,IF(R4769&gt;0,G4769/R4769,0)))</f>
        <v/>
      </c>
      <c r="U4769" s="53">
        <f>IF(P4769="","",IF(P4769="Gasto",S4769,IF(P4769="Reembolso",-S4769,0)))</f>
        <v/>
      </c>
      <c r="V4769" s="53">
        <f>IF(P4769="","",IF(P4769="Ingreso",S4769,0))</f>
        <v/>
      </c>
      <c r="W4769" s="53">
        <f>IF(P4769="","",IF(P4769="Resultado trading",S4769,0))</f>
        <v/>
      </c>
      <c r="X4769" s="52">
        <f>IF(OR(P4769="Gasto",P4769="Reembolso"),IF(M4769&lt;&gt;"",M4769,IFERROR(INDEX(catClasif,MATCH(D4769&amp;"|"&amp;E4769,catClave,0))&amp;"","Variable")),"")</f>
        <v/>
      </c>
      <c r="Y4769" s="52">
        <f>IF(P4769="","",IFERROR(INDEX(catGrupo,MATCH(D4769&amp;"|"&amp;E4769,catClave,0))&amp;"",""))</f>
        <v/>
      </c>
      <c r="Z4769" s="52">
        <f>IF(P4769="","",WEEKDAY(B4769,2))</f>
        <v/>
      </c>
      <c r="AA4769" s="52">
        <f>IF(P4769="","",IF(AND(P4769="Gasto",X4769="Variable",D4769&lt;&gt;catTrading,S4769&gt;0,S4769&lt;=Umbral),1,0))</f>
        <v/>
      </c>
      <c r="AB4769" s="52">
        <f>IF(OR(P4769="",Q4769=""),"",IFERROR(IF(INDEX(ctaVinc,MATCH(Q4769,ctaNombre,0))&amp;""&lt;&gt;"",INDEX(ctaVinc,MATCH(Q4769,ctaNombre,0))&amp;"",Q4769),Q4769))</f>
        <v/>
      </c>
      <c r="AC4769" s="52">
        <f>IF(OR(K4769="",AND(P4769&lt;&gt;"Transferencia",P4769&lt;&gt;"Pago tarjeta")),"",IFERROR(IF(INDEX(ctaVinc,MATCH(K4769,ctaNombre,0))&amp;""&lt;&gt;"",INDEX(ctaVinc,MATCH(K4769,ctaNombre,0))&amp;"",K4769),K4769))</f>
        <v/>
      </c>
      <c r="AD4769" s="52">
        <f>IF(AB4769="","",IFERROR(INDEX(ctaTipo,MATCH(AB4769,ctaNombre,0))&amp;"",""))</f>
        <v/>
      </c>
      <c r="AE4769" s="52">
        <f>IF(AC4769="","",IFERROR(INDEX(ctaTipo,MATCH(AC4769,ctaNombre,0))&amp;"",""))</f>
        <v/>
      </c>
      <c r="AF4769" s="53">
        <f>IF(OR(P4769="",AB4769=""),"",IF(OR(P4769="Gasto",P4769="Transferencia",P4769="Pago tarjeta"),-1,1)*IF(IFERROR(INDEX(ctaMoneda,MATCH(AB4769,ctaNombre,0))&amp;"","DOP")="USD",T4769,S4769))</f>
        <v/>
      </c>
      <c r="AG4769" s="53">
        <f>IF(AC4769="","",IF(IFERROR(INDEX(ctaMoneda,MATCH(AC4769,ctaNombre,0))&amp;"","DOP")="USD",T4769,S4769))</f>
        <v/>
      </c>
      <c r="AH4769" s="53">
        <f>IF(P4769="","",IF(AND(AD4769&lt;&gt;"",COUNTIFS(tcTipo,AD4769,tcLiq,"Sí")&gt;0),IF(OR(P4769="Gasto",P4769="Transferencia",P4769="Pago tarjeta"),-1,1)*S4769,0)+IF(AND(AE4769&lt;&gt;"",COUNTIFS(tcTipo,AE4769,tcLiq,"Sí")&gt;0),S4769,0))</f>
        <v/>
      </c>
      <c r="AI4769" s="52">
        <f>IF(OR(L4769="",P4769=""),"",IF(COUNTIFS(L$6:L4769,L4769,P$6:P4769,"?*")=1,MAX(AI$5:AI4768)+1,""))</f>
        <v/>
      </c>
    </row>
    <row r="4770">
      <c r="B4770" s="47" t="n"/>
      <c r="C4770" s="48" t="n"/>
      <c r="D4770" s="48" t="n"/>
      <c r="E4770" s="48" t="n"/>
      <c r="F4770" s="48" t="n"/>
      <c r="G4770" s="49" t="n"/>
      <c r="H4770" s="48" t="n"/>
      <c r="I4770" s="50" t="n"/>
      <c r="J4770" s="48" t="n"/>
      <c r="K4770" s="48" t="n"/>
      <c r="L4770" s="48" t="n"/>
      <c r="M4770" s="48" t="n"/>
      <c r="N4770" s="48" t="n"/>
      <c r="O4770" s="51">
        <f>IF(AND(B4770="",G4770="",C4770="",D4770="",J4770=""),"",IF(B4770="","⚠ Falta fecha",IF(G4770="","⚠ Falta monto",IF(Q4770="","⚠ Falta cuenta",IF(ISNA(MATCH(Q4770,ctaNombre,0)),"⚠ Cuenta no registrada",IF(AND(OR(P4770="Gasto",P4770="Reembolso"),D4770=""),"⚠ Falta categoría",IF(AND(D4770&lt;&gt;"",E4770&lt;&gt;"",ISNA(MATCH(D4770&amp;"|"&amp;E4770,catClave,0))),"⚠ Subcategoría no corresponde",IF(AND(OR(P4770="Transferencia",P4770="Pago tarjeta"),K4770=""),"⚠ Falta cuenta destino",IF(AND(K4770&lt;&gt;"",P4770&lt;&gt;"Transferencia",P4770&lt;&gt;"Pago tarjeta"),"⚠ Destino solo aplica a transferencias",IF(AND(K4770&lt;&gt;"",K4770=Q4770),"⚠ Origen igual a destino",IF(AND(K4770&lt;&gt;"",ISNA(MATCH(K4770,ctaNombre,0))),"⚠ Destino no registrado",IF(AND(P4770="Pago tarjeta",AE4770&lt;&gt;"Tarjeta de crédito"),"⚠ El destino debe ser tarjeta de crédito",IF(AND(P4770="Gasto",E4770="Depósitos y retiros"),"⚠ Usa tipo Transferencia",IF(AND(P4770="Resultado trading",AD4770&lt;&gt;"Cuenta de trading"),"⚠ Usa una cuenta de trading",IF(AND(G4770&lt;=0,P4770&lt;&gt;"Ajuste",P4770&lt;&gt;"Resultado trading"),"⚠ El monto debe ser positivo","✓")))))))))))))))</f>
        <v/>
      </c>
      <c r="P4770" s="52">
        <f>IF(OR(B4770="",G4770=""),"",IF(C4770="","Gasto",C4770))</f>
        <v/>
      </c>
      <c r="Q4770" s="52">
        <f>IF(P4770="","",IF(J4770&lt;&gt;"",J4770,CuentaPred&amp;""))</f>
        <v/>
      </c>
      <c r="R4770" s="52">
        <f>IF(P4770="","",IF(ISNUMBER(I4770),I4770,TasaUSD))</f>
        <v/>
      </c>
      <c r="S4770" s="53">
        <f>IF(P4770="","",IF(H4770="USD",G4770*R4770,G4770))</f>
        <v/>
      </c>
      <c r="T4770" s="53">
        <f>IF(P4770="","",IF(H4770="USD",G4770,IF(R4770&gt;0,G4770/R4770,0)))</f>
        <v/>
      </c>
      <c r="U4770" s="53">
        <f>IF(P4770="","",IF(P4770="Gasto",S4770,IF(P4770="Reembolso",-S4770,0)))</f>
        <v/>
      </c>
      <c r="V4770" s="53">
        <f>IF(P4770="","",IF(P4770="Ingreso",S4770,0))</f>
        <v/>
      </c>
      <c r="W4770" s="53">
        <f>IF(P4770="","",IF(P4770="Resultado trading",S4770,0))</f>
        <v/>
      </c>
      <c r="X4770" s="52">
        <f>IF(OR(P4770="Gasto",P4770="Reembolso"),IF(M4770&lt;&gt;"",M4770,IFERROR(INDEX(catClasif,MATCH(D4770&amp;"|"&amp;E4770,catClave,0))&amp;"","Variable")),"")</f>
        <v/>
      </c>
      <c r="Y4770" s="52">
        <f>IF(P4770="","",IFERROR(INDEX(catGrupo,MATCH(D4770&amp;"|"&amp;E4770,catClave,0))&amp;"",""))</f>
        <v/>
      </c>
      <c r="Z4770" s="52">
        <f>IF(P4770="","",WEEKDAY(B4770,2))</f>
        <v/>
      </c>
      <c r="AA4770" s="52">
        <f>IF(P4770="","",IF(AND(P4770="Gasto",X4770="Variable",D4770&lt;&gt;catTrading,S4770&gt;0,S4770&lt;=Umbral),1,0))</f>
        <v/>
      </c>
      <c r="AB4770" s="52">
        <f>IF(OR(P4770="",Q4770=""),"",IFERROR(IF(INDEX(ctaVinc,MATCH(Q4770,ctaNombre,0))&amp;""&lt;&gt;"",INDEX(ctaVinc,MATCH(Q4770,ctaNombre,0))&amp;"",Q4770),Q4770))</f>
        <v/>
      </c>
      <c r="AC4770" s="52">
        <f>IF(OR(K4770="",AND(P4770&lt;&gt;"Transferencia",P4770&lt;&gt;"Pago tarjeta")),"",IFERROR(IF(INDEX(ctaVinc,MATCH(K4770,ctaNombre,0))&amp;""&lt;&gt;"",INDEX(ctaVinc,MATCH(K4770,ctaNombre,0))&amp;"",K4770),K4770))</f>
        <v/>
      </c>
      <c r="AD4770" s="52">
        <f>IF(AB4770="","",IFERROR(INDEX(ctaTipo,MATCH(AB4770,ctaNombre,0))&amp;"",""))</f>
        <v/>
      </c>
      <c r="AE4770" s="52">
        <f>IF(AC4770="","",IFERROR(INDEX(ctaTipo,MATCH(AC4770,ctaNombre,0))&amp;"",""))</f>
        <v/>
      </c>
      <c r="AF4770" s="53">
        <f>IF(OR(P4770="",AB4770=""),"",IF(OR(P4770="Gasto",P4770="Transferencia",P4770="Pago tarjeta"),-1,1)*IF(IFERROR(INDEX(ctaMoneda,MATCH(AB4770,ctaNombre,0))&amp;"","DOP")="USD",T4770,S4770))</f>
        <v/>
      </c>
      <c r="AG4770" s="53">
        <f>IF(AC4770="","",IF(IFERROR(INDEX(ctaMoneda,MATCH(AC4770,ctaNombre,0))&amp;"","DOP")="USD",T4770,S4770))</f>
        <v/>
      </c>
      <c r="AH4770" s="53">
        <f>IF(P4770="","",IF(AND(AD4770&lt;&gt;"",COUNTIFS(tcTipo,AD4770,tcLiq,"Sí")&gt;0),IF(OR(P4770="Gasto",P4770="Transferencia",P4770="Pago tarjeta"),-1,1)*S4770,0)+IF(AND(AE4770&lt;&gt;"",COUNTIFS(tcTipo,AE4770,tcLiq,"Sí")&gt;0),S4770,0))</f>
        <v/>
      </c>
      <c r="AI4770" s="52">
        <f>IF(OR(L4770="",P4770=""),"",IF(COUNTIFS(L$6:L4770,L4770,P$6:P4770,"?*")=1,MAX(AI$5:AI4769)+1,""))</f>
        <v/>
      </c>
    </row>
    <row r="4771">
      <c r="B4771" s="47" t="n"/>
      <c r="C4771" s="48" t="n"/>
      <c r="D4771" s="48" t="n"/>
      <c r="E4771" s="48" t="n"/>
      <c r="F4771" s="48" t="n"/>
      <c r="G4771" s="49" t="n"/>
      <c r="H4771" s="48" t="n"/>
      <c r="I4771" s="50" t="n"/>
      <c r="J4771" s="48" t="n"/>
      <c r="K4771" s="48" t="n"/>
      <c r="L4771" s="48" t="n"/>
      <c r="M4771" s="48" t="n"/>
      <c r="N4771" s="48" t="n"/>
      <c r="O4771" s="51">
        <f>IF(AND(B4771="",G4771="",C4771="",D4771="",J4771=""),"",IF(B4771="","⚠ Falta fecha",IF(G4771="","⚠ Falta monto",IF(Q4771="","⚠ Falta cuenta",IF(ISNA(MATCH(Q4771,ctaNombre,0)),"⚠ Cuenta no registrada",IF(AND(OR(P4771="Gasto",P4771="Reembolso"),D4771=""),"⚠ Falta categoría",IF(AND(D4771&lt;&gt;"",E4771&lt;&gt;"",ISNA(MATCH(D4771&amp;"|"&amp;E4771,catClave,0))),"⚠ Subcategoría no corresponde",IF(AND(OR(P4771="Transferencia",P4771="Pago tarjeta"),K4771=""),"⚠ Falta cuenta destino",IF(AND(K4771&lt;&gt;"",P4771&lt;&gt;"Transferencia",P4771&lt;&gt;"Pago tarjeta"),"⚠ Destino solo aplica a transferencias",IF(AND(K4771&lt;&gt;"",K4771=Q4771),"⚠ Origen igual a destino",IF(AND(K4771&lt;&gt;"",ISNA(MATCH(K4771,ctaNombre,0))),"⚠ Destino no registrado",IF(AND(P4771="Pago tarjeta",AE4771&lt;&gt;"Tarjeta de crédito"),"⚠ El destino debe ser tarjeta de crédito",IF(AND(P4771="Gasto",E4771="Depósitos y retiros"),"⚠ Usa tipo Transferencia",IF(AND(P4771="Resultado trading",AD4771&lt;&gt;"Cuenta de trading"),"⚠ Usa una cuenta de trading",IF(AND(G4771&lt;=0,P4771&lt;&gt;"Ajuste",P4771&lt;&gt;"Resultado trading"),"⚠ El monto debe ser positivo","✓")))))))))))))))</f>
        <v/>
      </c>
      <c r="P4771" s="52">
        <f>IF(OR(B4771="",G4771=""),"",IF(C4771="","Gasto",C4771))</f>
        <v/>
      </c>
      <c r="Q4771" s="52">
        <f>IF(P4771="","",IF(J4771&lt;&gt;"",J4771,CuentaPred&amp;""))</f>
        <v/>
      </c>
      <c r="R4771" s="52">
        <f>IF(P4771="","",IF(ISNUMBER(I4771),I4771,TasaUSD))</f>
        <v/>
      </c>
      <c r="S4771" s="53">
        <f>IF(P4771="","",IF(H4771="USD",G4771*R4771,G4771))</f>
        <v/>
      </c>
      <c r="T4771" s="53">
        <f>IF(P4771="","",IF(H4771="USD",G4771,IF(R4771&gt;0,G4771/R4771,0)))</f>
        <v/>
      </c>
      <c r="U4771" s="53">
        <f>IF(P4771="","",IF(P4771="Gasto",S4771,IF(P4771="Reembolso",-S4771,0)))</f>
        <v/>
      </c>
      <c r="V4771" s="53">
        <f>IF(P4771="","",IF(P4771="Ingreso",S4771,0))</f>
        <v/>
      </c>
      <c r="W4771" s="53">
        <f>IF(P4771="","",IF(P4771="Resultado trading",S4771,0))</f>
        <v/>
      </c>
      <c r="X4771" s="52">
        <f>IF(OR(P4771="Gasto",P4771="Reembolso"),IF(M4771&lt;&gt;"",M4771,IFERROR(INDEX(catClasif,MATCH(D4771&amp;"|"&amp;E4771,catClave,0))&amp;"","Variable")),"")</f>
        <v/>
      </c>
      <c r="Y4771" s="52">
        <f>IF(P4771="","",IFERROR(INDEX(catGrupo,MATCH(D4771&amp;"|"&amp;E4771,catClave,0))&amp;"",""))</f>
        <v/>
      </c>
      <c r="Z4771" s="52">
        <f>IF(P4771="","",WEEKDAY(B4771,2))</f>
        <v/>
      </c>
      <c r="AA4771" s="52">
        <f>IF(P4771="","",IF(AND(P4771="Gasto",X4771="Variable",D4771&lt;&gt;catTrading,S4771&gt;0,S4771&lt;=Umbral),1,0))</f>
        <v/>
      </c>
      <c r="AB4771" s="52">
        <f>IF(OR(P4771="",Q4771=""),"",IFERROR(IF(INDEX(ctaVinc,MATCH(Q4771,ctaNombre,0))&amp;""&lt;&gt;"",INDEX(ctaVinc,MATCH(Q4771,ctaNombre,0))&amp;"",Q4771),Q4771))</f>
        <v/>
      </c>
      <c r="AC4771" s="52">
        <f>IF(OR(K4771="",AND(P4771&lt;&gt;"Transferencia",P4771&lt;&gt;"Pago tarjeta")),"",IFERROR(IF(INDEX(ctaVinc,MATCH(K4771,ctaNombre,0))&amp;""&lt;&gt;"",INDEX(ctaVinc,MATCH(K4771,ctaNombre,0))&amp;"",K4771),K4771))</f>
        <v/>
      </c>
      <c r="AD4771" s="52">
        <f>IF(AB4771="","",IFERROR(INDEX(ctaTipo,MATCH(AB4771,ctaNombre,0))&amp;"",""))</f>
        <v/>
      </c>
      <c r="AE4771" s="52">
        <f>IF(AC4771="","",IFERROR(INDEX(ctaTipo,MATCH(AC4771,ctaNombre,0))&amp;"",""))</f>
        <v/>
      </c>
      <c r="AF4771" s="53">
        <f>IF(OR(P4771="",AB4771=""),"",IF(OR(P4771="Gasto",P4771="Transferencia",P4771="Pago tarjeta"),-1,1)*IF(IFERROR(INDEX(ctaMoneda,MATCH(AB4771,ctaNombre,0))&amp;"","DOP")="USD",T4771,S4771))</f>
        <v/>
      </c>
      <c r="AG4771" s="53">
        <f>IF(AC4771="","",IF(IFERROR(INDEX(ctaMoneda,MATCH(AC4771,ctaNombre,0))&amp;"","DOP")="USD",T4771,S4771))</f>
        <v/>
      </c>
      <c r="AH4771" s="53">
        <f>IF(P4771="","",IF(AND(AD4771&lt;&gt;"",COUNTIFS(tcTipo,AD4771,tcLiq,"Sí")&gt;0),IF(OR(P4771="Gasto",P4771="Transferencia",P4771="Pago tarjeta"),-1,1)*S4771,0)+IF(AND(AE4771&lt;&gt;"",COUNTIFS(tcTipo,AE4771,tcLiq,"Sí")&gt;0),S4771,0))</f>
        <v/>
      </c>
      <c r="AI4771" s="52">
        <f>IF(OR(L4771="",P4771=""),"",IF(COUNTIFS(L$6:L4771,L4771,P$6:P4771,"?*")=1,MAX(AI$5:AI4770)+1,""))</f>
        <v/>
      </c>
    </row>
    <row r="4772">
      <c r="B4772" s="47" t="n"/>
      <c r="C4772" s="48" t="n"/>
      <c r="D4772" s="48" t="n"/>
      <c r="E4772" s="48" t="n"/>
      <c r="F4772" s="48" t="n"/>
      <c r="G4772" s="49" t="n"/>
      <c r="H4772" s="48" t="n"/>
      <c r="I4772" s="50" t="n"/>
      <c r="J4772" s="48" t="n"/>
      <c r="K4772" s="48" t="n"/>
      <c r="L4772" s="48" t="n"/>
      <c r="M4772" s="48" t="n"/>
      <c r="N4772" s="48" t="n"/>
      <c r="O4772" s="51">
        <f>IF(AND(B4772="",G4772="",C4772="",D4772="",J4772=""),"",IF(B4772="","⚠ Falta fecha",IF(G4772="","⚠ Falta monto",IF(Q4772="","⚠ Falta cuenta",IF(ISNA(MATCH(Q4772,ctaNombre,0)),"⚠ Cuenta no registrada",IF(AND(OR(P4772="Gasto",P4772="Reembolso"),D4772=""),"⚠ Falta categoría",IF(AND(D4772&lt;&gt;"",E4772&lt;&gt;"",ISNA(MATCH(D4772&amp;"|"&amp;E4772,catClave,0))),"⚠ Subcategoría no corresponde",IF(AND(OR(P4772="Transferencia",P4772="Pago tarjeta"),K4772=""),"⚠ Falta cuenta destino",IF(AND(K4772&lt;&gt;"",P4772&lt;&gt;"Transferencia",P4772&lt;&gt;"Pago tarjeta"),"⚠ Destino solo aplica a transferencias",IF(AND(K4772&lt;&gt;"",K4772=Q4772),"⚠ Origen igual a destino",IF(AND(K4772&lt;&gt;"",ISNA(MATCH(K4772,ctaNombre,0))),"⚠ Destino no registrado",IF(AND(P4772="Pago tarjeta",AE4772&lt;&gt;"Tarjeta de crédito"),"⚠ El destino debe ser tarjeta de crédito",IF(AND(P4772="Gasto",E4772="Depósitos y retiros"),"⚠ Usa tipo Transferencia",IF(AND(P4772="Resultado trading",AD4772&lt;&gt;"Cuenta de trading"),"⚠ Usa una cuenta de trading",IF(AND(G4772&lt;=0,P4772&lt;&gt;"Ajuste",P4772&lt;&gt;"Resultado trading"),"⚠ El monto debe ser positivo","✓")))))))))))))))</f>
        <v/>
      </c>
      <c r="P4772" s="52">
        <f>IF(OR(B4772="",G4772=""),"",IF(C4772="","Gasto",C4772))</f>
        <v/>
      </c>
      <c r="Q4772" s="52">
        <f>IF(P4772="","",IF(J4772&lt;&gt;"",J4772,CuentaPred&amp;""))</f>
        <v/>
      </c>
      <c r="R4772" s="52">
        <f>IF(P4772="","",IF(ISNUMBER(I4772),I4772,TasaUSD))</f>
        <v/>
      </c>
      <c r="S4772" s="53">
        <f>IF(P4772="","",IF(H4772="USD",G4772*R4772,G4772))</f>
        <v/>
      </c>
      <c r="T4772" s="53">
        <f>IF(P4772="","",IF(H4772="USD",G4772,IF(R4772&gt;0,G4772/R4772,0)))</f>
        <v/>
      </c>
      <c r="U4772" s="53">
        <f>IF(P4772="","",IF(P4772="Gasto",S4772,IF(P4772="Reembolso",-S4772,0)))</f>
        <v/>
      </c>
      <c r="V4772" s="53">
        <f>IF(P4772="","",IF(P4772="Ingreso",S4772,0))</f>
        <v/>
      </c>
      <c r="W4772" s="53">
        <f>IF(P4772="","",IF(P4772="Resultado trading",S4772,0))</f>
        <v/>
      </c>
      <c r="X4772" s="52">
        <f>IF(OR(P4772="Gasto",P4772="Reembolso"),IF(M4772&lt;&gt;"",M4772,IFERROR(INDEX(catClasif,MATCH(D4772&amp;"|"&amp;E4772,catClave,0))&amp;"","Variable")),"")</f>
        <v/>
      </c>
      <c r="Y4772" s="52">
        <f>IF(P4772="","",IFERROR(INDEX(catGrupo,MATCH(D4772&amp;"|"&amp;E4772,catClave,0))&amp;"",""))</f>
        <v/>
      </c>
      <c r="Z4772" s="52">
        <f>IF(P4772="","",WEEKDAY(B4772,2))</f>
        <v/>
      </c>
      <c r="AA4772" s="52">
        <f>IF(P4772="","",IF(AND(P4772="Gasto",X4772="Variable",D4772&lt;&gt;catTrading,S4772&gt;0,S4772&lt;=Umbral),1,0))</f>
        <v/>
      </c>
      <c r="AB4772" s="52">
        <f>IF(OR(P4772="",Q4772=""),"",IFERROR(IF(INDEX(ctaVinc,MATCH(Q4772,ctaNombre,0))&amp;""&lt;&gt;"",INDEX(ctaVinc,MATCH(Q4772,ctaNombre,0))&amp;"",Q4772),Q4772))</f>
        <v/>
      </c>
      <c r="AC4772" s="52">
        <f>IF(OR(K4772="",AND(P4772&lt;&gt;"Transferencia",P4772&lt;&gt;"Pago tarjeta")),"",IFERROR(IF(INDEX(ctaVinc,MATCH(K4772,ctaNombre,0))&amp;""&lt;&gt;"",INDEX(ctaVinc,MATCH(K4772,ctaNombre,0))&amp;"",K4772),K4772))</f>
        <v/>
      </c>
      <c r="AD4772" s="52">
        <f>IF(AB4772="","",IFERROR(INDEX(ctaTipo,MATCH(AB4772,ctaNombre,0))&amp;"",""))</f>
        <v/>
      </c>
      <c r="AE4772" s="52">
        <f>IF(AC4772="","",IFERROR(INDEX(ctaTipo,MATCH(AC4772,ctaNombre,0))&amp;"",""))</f>
        <v/>
      </c>
      <c r="AF4772" s="53">
        <f>IF(OR(P4772="",AB4772=""),"",IF(OR(P4772="Gasto",P4772="Transferencia",P4772="Pago tarjeta"),-1,1)*IF(IFERROR(INDEX(ctaMoneda,MATCH(AB4772,ctaNombre,0))&amp;"","DOP")="USD",T4772,S4772))</f>
        <v/>
      </c>
      <c r="AG4772" s="53">
        <f>IF(AC4772="","",IF(IFERROR(INDEX(ctaMoneda,MATCH(AC4772,ctaNombre,0))&amp;"","DOP")="USD",T4772,S4772))</f>
        <v/>
      </c>
      <c r="AH4772" s="53">
        <f>IF(P4772="","",IF(AND(AD4772&lt;&gt;"",COUNTIFS(tcTipo,AD4772,tcLiq,"Sí")&gt;0),IF(OR(P4772="Gasto",P4772="Transferencia",P4772="Pago tarjeta"),-1,1)*S4772,0)+IF(AND(AE4772&lt;&gt;"",COUNTIFS(tcTipo,AE4772,tcLiq,"Sí")&gt;0),S4772,0))</f>
        <v/>
      </c>
      <c r="AI4772" s="52">
        <f>IF(OR(L4772="",P4772=""),"",IF(COUNTIFS(L$6:L4772,L4772,P$6:P4772,"?*")=1,MAX(AI$5:AI4771)+1,""))</f>
        <v/>
      </c>
    </row>
    <row r="4773">
      <c r="B4773" s="47" t="n"/>
      <c r="C4773" s="48" t="n"/>
      <c r="D4773" s="48" t="n"/>
      <c r="E4773" s="48" t="n"/>
      <c r="F4773" s="48" t="n"/>
      <c r="G4773" s="49" t="n"/>
      <c r="H4773" s="48" t="n"/>
      <c r="I4773" s="50" t="n"/>
      <c r="J4773" s="48" t="n"/>
      <c r="K4773" s="48" t="n"/>
      <c r="L4773" s="48" t="n"/>
      <c r="M4773" s="48" t="n"/>
      <c r="N4773" s="48" t="n"/>
      <c r="O4773" s="51">
        <f>IF(AND(B4773="",G4773="",C4773="",D4773="",J4773=""),"",IF(B4773="","⚠ Falta fecha",IF(G4773="","⚠ Falta monto",IF(Q4773="","⚠ Falta cuenta",IF(ISNA(MATCH(Q4773,ctaNombre,0)),"⚠ Cuenta no registrada",IF(AND(OR(P4773="Gasto",P4773="Reembolso"),D4773=""),"⚠ Falta categoría",IF(AND(D4773&lt;&gt;"",E4773&lt;&gt;"",ISNA(MATCH(D4773&amp;"|"&amp;E4773,catClave,0))),"⚠ Subcategoría no corresponde",IF(AND(OR(P4773="Transferencia",P4773="Pago tarjeta"),K4773=""),"⚠ Falta cuenta destino",IF(AND(K4773&lt;&gt;"",P4773&lt;&gt;"Transferencia",P4773&lt;&gt;"Pago tarjeta"),"⚠ Destino solo aplica a transferencias",IF(AND(K4773&lt;&gt;"",K4773=Q4773),"⚠ Origen igual a destino",IF(AND(K4773&lt;&gt;"",ISNA(MATCH(K4773,ctaNombre,0))),"⚠ Destino no registrado",IF(AND(P4773="Pago tarjeta",AE4773&lt;&gt;"Tarjeta de crédito"),"⚠ El destino debe ser tarjeta de crédito",IF(AND(P4773="Gasto",E4773="Depósitos y retiros"),"⚠ Usa tipo Transferencia",IF(AND(P4773="Resultado trading",AD4773&lt;&gt;"Cuenta de trading"),"⚠ Usa una cuenta de trading",IF(AND(G4773&lt;=0,P4773&lt;&gt;"Ajuste",P4773&lt;&gt;"Resultado trading"),"⚠ El monto debe ser positivo","✓")))))))))))))))</f>
        <v/>
      </c>
      <c r="P4773" s="52">
        <f>IF(OR(B4773="",G4773=""),"",IF(C4773="","Gasto",C4773))</f>
        <v/>
      </c>
      <c r="Q4773" s="52">
        <f>IF(P4773="","",IF(J4773&lt;&gt;"",J4773,CuentaPred&amp;""))</f>
        <v/>
      </c>
      <c r="R4773" s="52">
        <f>IF(P4773="","",IF(ISNUMBER(I4773),I4773,TasaUSD))</f>
        <v/>
      </c>
      <c r="S4773" s="53">
        <f>IF(P4773="","",IF(H4773="USD",G4773*R4773,G4773))</f>
        <v/>
      </c>
      <c r="T4773" s="53">
        <f>IF(P4773="","",IF(H4773="USD",G4773,IF(R4773&gt;0,G4773/R4773,0)))</f>
        <v/>
      </c>
      <c r="U4773" s="53">
        <f>IF(P4773="","",IF(P4773="Gasto",S4773,IF(P4773="Reembolso",-S4773,0)))</f>
        <v/>
      </c>
      <c r="V4773" s="53">
        <f>IF(P4773="","",IF(P4773="Ingreso",S4773,0))</f>
        <v/>
      </c>
      <c r="W4773" s="53">
        <f>IF(P4773="","",IF(P4773="Resultado trading",S4773,0))</f>
        <v/>
      </c>
      <c r="X4773" s="52">
        <f>IF(OR(P4773="Gasto",P4773="Reembolso"),IF(M4773&lt;&gt;"",M4773,IFERROR(INDEX(catClasif,MATCH(D4773&amp;"|"&amp;E4773,catClave,0))&amp;"","Variable")),"")</f>
        <v/>
      </c>
      <c r="Y4773" s="52">
        <f>IF(P4773="","",IFERROR(INDEX(catGrupo,MATCH(D4773&amp;"|"&amp;E4773,catClave,0))&amp;"",""))</f>
        <v/>
      </c>
      <c r="Z4773" s="52">
        <f>IF(P4773="","",WEEKDAY(B4773,2))</f>
        <v/>
      </c>
      <c r="AA4773" s="52">
        <f>IF(P4773="","",IF(AND(P4773="Gasto",X4773="Variable",D4773&lt;&gt;catTrading,S4773&gt;0,S4773&lt;=Umbral),1,0))</f>
        <v/>
      </c>
      <c r="AB4773" s="52">
        <f>IF(OR(P4773="",Q4773=""),"",IFERROR(IF(INDEX(ctaVinc,MATCH(Q4773,ctaNombre,0))&amp;""&lt;&gt;"",INDEX(ctaVinc,MATCH(Q4773,ctaNombre,0))&amp;"",Q4773),Q4773))</f>
        <v/>
      </c>
      <c r="AC4773" s="52">
        <f>IF(OR(K4773="",AND(P4773&lt;&gt;"Transferencia",P4773&lt;&gt;"Pago tarjeta")),"",IFERROR(IF(INDEX(ctaVinc,MATCH(K4773,ctaNombre,0))&amp;""&lt;&gt;"",INDEX(ctaVinc,MATCH(K4773,ctaNombre,0))&amp;"",K4773),K4773))</f>
        <v/>
      </c>
      <c r="AD4773" s="52">
        <f>IF(AB4773="","",IFERROR(INDEX(ctaTipo,MATCH(AB4773,ctaNombre,0))&amp;"",""))</f>
        <v/>
      </c>
      <c r="AE4773" s="52">
        <f>IF(AC4773="","",IFERROR(INDEX(ctaTipo,MATCH(AC4773,ctaNombre,0))&amp;"",""))</f>
        <v/>
      </c>
      <c r="AF4773" s="53">
        <f>IF(OR(P4773="",AB4773=""),"",IF(OR(P4773="Gasto",P4773="Transferencia",P4773="Pago tarjeta"),-1,1)*IF(IFERROR(INDEX(ctaMoneda,MATCH(AB4773,ctaNombre,0))&amp;"","DOP")="USD",T4773,S4773))</f>
        <v/>
      </c>
      <c r="AG4773" s="53">
        <f>IF(AC4773="","",IF(IFERROR(INDEX(ctaMoneda,MATCH(AC4773,ctaNombre,0))&amp;"","DOP")="USD",T4773,S4773))</f>
        <v/>
      </c>
      <c r="AH4773" s="53">
        <f>IF(P4773="","",IF(AND(AD4773&lt;&gt;"",COUNTIFS(tcTipo,AD4773,tcLiq,"Sí")&gt;0),IF(OR(P4773="Gasto",P4773="Transferencia",P4773="Pago tarjeta"),-1,1)*S4773,0)+IF(AND(AE4773&lt;&gt;"",COUNTIFS(tcTipo,AE4773,tcLiq,"Sí")&gt;0),S4773,0))</f>
        <v/>
      </c>
      <c r="AI4773" s="52">
        <f>IF(OR(L4773="",P4773=""),"",IF(COUNTIFS(L$6:L4773,L4773,P$6:P4773,"?*")=1,MAX(AI$5:AI4772)+1,""))</f>
        <v/>
      </c>
    </row>
    <row r="4774">
      <c r="B4774" s="47" t="n"/>
      <c r="C4774" s="48" t="n"/>
      <c r="D4774" s="48" t="n"/>
      <c r="E4774" s="48" t="n"/>
      <c r="F4774" s="48" t="n"/>
      <c r="G4774" s="49" t="n"/>
      <c r="H4774" s="48" t="n"/>
      <c r="I4774" s="50" t="n"/>
      <c r="J4774" s="48" t="n"/>
      <c r="K4774" s="48" t="n"/>
      <c r="L4774" s="48" t="n"/>
      <c r="M4774" s="48" t="n"/>
      <c r="N4774" s="48" t="n"/>
      <c r="O4774" s="51">
        <f>IF(AND(B4774="",G4774="",C4774="",D4774="",J4774=""),"",IF(B4774="","⚠ Falta fecha",IF(G4774="","⚠ Falta monto",IF(Q4774="","⚠ Falta cuenta",IF(ISNA(MATCH(Q4774,ctaNombre,0)),"⚠ Cuenta no registrada",IF(AND(OR(P4774="Gasto",P4774="Reembolso"),D4774=""),"⚠ Falta categoría",IF(AND(D4774&lt;&gt;"",E4774&lt;&gt;"",ISNA(MATCH(D4774&amp;"|"&amp;E4774,catClave,0))),"⚠ Subcategoría no corresponde",IF(AND(OR(P4774="Transferencia",P4774="Pago tarjeta"),K4774=""),"⚠ Falta cuenta destino",IF(AND(K4774&lt;&gt;"",P4774&lt;&gt;"Transferencia",P4774&lt;&gt;"Pago tarjeta"),"⚠ Destino solo aplica a transferencias",IF(AND(K4774&lt;&gt;"",K4774=Q4774),"⚠ Origen igual a destino",IF(AND(K4774&lt;&gt;"",ISNA(MATCH(K4774,ctaNombre,0))),"⚠ Destino no registrado",IF(AND(P4774="Pago tarjeta",AE4774&lt;&gt;"Tarjeta de crédito"),"⚠ El destino debe ser tarjeta de crédito",IF(AND(P4774="Gasto",E4774="Depósitos y retiros"),"⚠ Usa tipo Transferencia",IF(AND(P4774="Resultado trading",AD4774&lt;&gt;"Cuenta de trading"),"⚠ Usa una cuenta de trading",IF(AND(G4774&lt;=0,P4774&lt;&gt;"Ajuste",P4774&lt;&gt;"Resultado trading"),"⚠ El monto debe ser positivo","✓")))))))))))))))</f>
        <v/>
      </c>
      <c r="P4774" s="52">
        <f>IF(OR(B4774="",G4774=""),"",IF(C4774="","Gasto",C4774))</f>
        <v/>
      </c>
      <c r="Q4774" s="52">
        <f>IF(P4774="","",IF(J4774&lt;&gt;"",J4774,CuentaPred&amp;""))</f>
        <v/>
      </c>
      <c r="R4774" s="52">
        <f>IF(P4774="","",IF(ISNUMBER(I4774),I4774,TasaUSD))</f>
        <v/>
      </c>
      <c r="S4774" s="53">
        <f>IF(P4774="","",IF(H4774="USD",G4774*R4774,G4774))</f>
        <v/>
      </c>
      <c r="T4774" s="53">
        <f>IF(P4774="","",IF(H4774="USD",G4774,IF(R4774&gt;0,G4774/R4774,0)))</f>
        <v/>
      </c>
      <c r="U4774" s="53">
        <f>IF(P4774="","",IF(P4774="Gasto",S4774,IF(P4774="Reembolso",-S4774,0)))</f>
        <v/>
      </c>
      <c r="V4774" s="53">
        <f>IF(P4774="","",IF(P4774="Ingreso",S4774,0))</f>
        <v/>
      </c>
      <c r="W4774" s="53">
        <f>IF(P4774="","",IF(P4774="Resultado trading",S4774,0))</f>
        <v/>
      </c>
      <c r="X4774" s="52">
        <f>IF(OR(P4774="Gasto",P4774="Reembolso"),IF(M4774&lt;&gt;"",M4774,IFERROR(INDEX(catClasif,MATCH(D4774&amp;"|"&amp;E4774,catClave,0))&amp;"","Variable")),"")</f>
        <v/>
      </c>
      <c r="Y4774" s="52">
        <f>IF(P4774="","",IFERROR(INDEX(catGrupo,MATCH(D4774&amp;"|"&amp;E4774,catClave,0))&amp;"",""))</f>
        <v/>
      </c>
      <c r="Z4774" s="52">
        <f>IF(P4774="","",WEEKDAY(B4774,2))</f>
        <v/>
      </c>
      <c r="AA4774" s="52">
        <f>IF(P4774="","",IF(AND(P4774="Gasto",X4774="Variable",D4774&lt;&gt;catTrading,S4774&gt;0,S4774&lt;=Umbral),1,0))</f>
        <v/>
      </c>
      <c r="AB4774" s="52">
        <f>IF(OR(P4774="",Q4774=""),"",IFERROR(IF(INDEX(ctaVinc,MATCH(Q4774,ctaNombre,0))&amp;""&lt;&gt;"",INDEX(ctaVinc,MATCH(Q4774,ctaNombre,0))&amp;"",Q4774),Q4774))</f>
        <v/>
      </c>
      <c r="AC4774" s="52">
        <f>IF(OR(K4774="",AND(P4774&lt;&gt;"Transferencia",P4774&lt;&gt;"Pago tarjeta")),"",IFERROR(IF(INDEX(ctaVinc,MATCH(K4774,ctaNombre,0))&amp;""&lt;&gt;"",INDEX(ctaVinc,MATCH(K4774,ctaNombre,0))&amp;"",K4774),K4774))</f>
        <v/>
      </c>
      <c r="AD4774" s="52">
        <f>IF(AB4774="","",IFERROR(INDEX(ctaTipo,MATCH(AB4774,ctaNombre,0))&amp;"",""))</f>
        <v/>
      </c>
      <c r="AE4774" s="52">
        <f>IF(AC4774="","",IFERROR(INDEX(ctaTipo,MATCH(AC4774,ctaNombre,0))&amp;"",""))</f>
        <v/>
      </c>
      <c r="AF4774" s="53">
        <f>IF(OR(P4774="",AB4774=""),"",IF(OR(P4774="Gasto",P4774="Transferencia",P4774="Pago tarjeta"),-1,1)*IF(IFERROR(INDEX(ctaMoneda,MATCH(AB4774,ctaNombre,0))&amp;"","DOP")="USD",T4774,S4774))</f>
        <v/>
      </c>
      <c r="AG4774" s="53">
        <f>IF(AC4774="","",IF(IFERROR(INDEX(ctaMoneda,MATCH(AC4774,ctaNombre,0))&amp;"","DOP")="USD",T4774,S4774))</f>
        <v/>
      </c>
      <c r="AH4774" s="53">
        <f>IF(P4774="","",IF(AND(AD4774&lt;&gt;"",COUNTIFS(tcTipo,AD4774,tcLiq,"Sí")&gt;0),IF(OR(P4774="Gasto",P4774="Transferencia",P4774="Pago tarjeta"),-1,1)*S4774,0)+IF(AND(AE4774&lt;&gt;"",COUNTIFS(tcTipo,AE4774,tcLiq,"Sí")&gt;0),S4774,0))</f>
        <v/>
      </c>
      <c r="AI4774" s="52">
        <f>IF(OR(L4774="",P4774=""),"",IF(COUNTIFS(L$6:L4774,L4774,P$6:P4774,"?*")=1,MAX(AI$5:AI4773)+1,""))</f>
        <v/>
      </c>
    </row>
    <row r="4775">
      <c r="B4775" s="47" t="n"/>
      <c r="C4775" s="48" t="n"/>
      <c r="D4775" s="48" t="n"/>
      <c r="E4775" s="48" t="n"/>
      <c r="F4775" s="48" t="n"/>
      <c r="G4775" s="49" t="n"/>
      <c r="H4775" s="48" t="n"/>
      <c r="I4775" s="50" t="n"/>
      <c r="J4775" s="48" t="n"/>
      <c r="K4775" s="48" t="n"/>
      <c r="L4775" s="48" t="n"/>
      <c r="M4775" s="48" t="n"/>
      <c r="N4775" s="48" t="n"/>
      <c r="O4775" s="51">
        <f>IF(AND(B4775="",G4775="",C4775="",D4775="",J4775=""),"",IF(B4775="","⚠ Falta fecha",IF(G4775="","⚠ Falta monto",IF(Q4775="","⚠ Falta cuenta",IF(ISNA(MATCH(Q4775,ctaNombre,0)),"⚠ Cuenta no registrada",IF(AND(OR(P4775="Gasto",P4775="Reembolso"),D4775=""),"⚠ Falta categoría",IF(AND(D4775&lt;&gt;"",E4775&lt;&gt;"",ISNA(MATCH(D4775&amp;"|"&amp;E4775,catClave,0))),"⚠ Subcategoría no corresponde",IF(AND(OR(P4775="Transferencia",P4775="Pago tarjeta"),K4775=""),"⚠ Falta cuenta destino",IF(AND(K4775&lt;&gt;"",P4775&lt;&gt;"Transferencia",P4775&lt;&gt;"Pago tarjeta"),"⚠ Destino solo aplica a transferencias",IF(AND(K4775&lt;&gt;"",K4775=Q4775),"⚠ Origen igual a destino",IF(AND(K4775&lt;&gt;"",ISNA(MATCH(K4775,ctaNombre,0))),"⚠ Destino no registrado",IF(AND(P4775="Pago tarjeta",AE4775&lt;&gt;"Tarjeta de crédito"),"⚠ El destino debe ser tarjeta de crédito",IF(AND(P4775="Gasto",E4775="Depósitos y retiros"),"⚠ Usa tipo Transferencia",IF(AND(P4775="Resultado trading",AD4775&lt;&gt;"Cuenta de trading"),"⚠ Usa una cuenta de trading",IF(AND(G4775&lt;=0,P4775&lt;&gt;"Ajuste",P4775&lt;&gt;"Resultado trading"),"⚠ El monto debe ser positivo","✓")))))))))))))))</f>
        <v/>
      </c>
      <c r="P4775" s="52">
        <f>IF(OR(B4775="",G4775=""),"",IF(C4775="","Gasto",C4775))</f>
        <v/>
      </c>
      <c r="Q4775" s="52">
        <f>IF(P4775="","",IF(J4775&lt;&gt;"",J4775,CuentaPred&amp;""))</f>
        <v/>
      </c>
      <c r="R4775" s="52">
        <f>IF(P4775="","",IF(ISNUMBER(I4775),I4775,TasaUSD))</f>
        <v/>
      </c>
      <c r="S4775" s="53">
        <f>IF(P4775="","",IF(H4775="USD",G4775*R4775,G4775))</f>
        <v/>
      </c>
      <c r="T4775" s="53">
        <f>IF(P4775="","",IF(H4775="USD",G4775,IF(R4775&gt;0,G4775/R4775,0)))</f>
        <v/>
      </c>
      <c r="U4775" s="53">
        <f>IF(P4775="","",IF(P4775="Gasto",S4775,IF(P4775="Reembolso",-S4775,0)))</f>
        <v/>
      </c>
      <c r="V4775" s="53">
        <f>IF(P4775="","",IF(P4775="Ingreso",S4775,0))</f>
        <v/>
      </c>
      <c r="W4775" s="53">
        <f>IF(P4775="","",IF(P4775="Resultado trading",S4775,0))</f>
        <v/>
      </c>
      <c r="X4775" s="52">
        <f>IF(OR(P4775="Gasto",P4775="Reembolso"),IF(M4775&lt;&gt;"",M4775,IFERROR(INDEX(catClasif,MATCH(D4775&amp;"|"&amp;E4775,catClave,0))&amp;"","Variable")),"")</f>
        <v/>
      </c>
      <c r="Y4775" s="52">
        <f>IF(P4775="","",IFERROR(INDEX(catGrupo,MATCH(D4775&amp;"|"&amp;E4775,catClave,0))&amp;"",""))</f>
        <v/>
      </c>
      <c r="Z4775" s="52">
        <f>IF(P4775="","",WEEKDAY(B4775,2))</f>
        <v/>
      </c>
      <c r="AA4775" s="52">
        <f>IF(P4775="","",IF(AND(P4775="Gasto",X4775="Variable",D4775&lt;&gt;catTrading,S4775&gt;0,S4775&lt;=Umbral),1,0))</f>
        <v/>
      </c>
      <c r="AB4775" s="52">
        <f>IF(OR(P4775="",Q4775=""),"",IFERROR(IF(INDEX(ctaVinc,MATCH(Q4775,ctaNombre,0))&amp;""&lt;&gt;"",INDEX(ctaVinc,MATCH(Q4775,ctaNombre,0))&amp;"",Q4775),Q4775))</f>
        <v/>
      </c>
      <c r="AC4775" s="52">
        <f>IF(OR(K4775="",AND(P4775&lt;&gt;"Transferencia",P4775&lt;&gt;"Pago tarjeta")),"",IFERROR(IF(INDEX(ctaVinc,MATCH(K4775,ctaNombre,0))&amp;""&lt;&gt;"",INDEX(ctaVinc,MATCH(K4775,ctaNombre,0))&amp;"",K4775),K4775))</f>
        <v/>
      </c>
      <c r="AD4775" s="52">
        <f>IF(AB4775="","",IFERROR(INDEX(ctaTipo,MATCH(AB4775,ctaNombre,0))&amp;"",""))</f>
        <v/>
      </c>
      <c r="AE4775" s="52">
        <f>IF(AC4775="","",IFERROR(INDEX(ctaTipo,MATCH(AC4775,ctaNombre,0))&amp;"",""))</f>
        <v/>
      </c>
      <c r="AF4775" s="53">
        <f>IF(OR(P4775="",AB4775=""),"",IF(OR(P4775="Gasto",P4775="Transferencia",P4775="Pago tarjeta"),-1,1)*IF(IFERROR(INDEX(ctaMoneda,MATCH(AB4775,ctaNombre,0))&amp;"","DOP")="USD",T4775,S4775))</f>
        <v/>
      </c>
      <c r="AG4775" s="53">
        <f>IF(AC4775="","",IF(IFERROR(INDEX(ctaMoneda,MATCH(AC4775,ctaNombre,0))&amp;"","DOP")="USD",T4775,S4775))</f>
        <v/>
      </c>
      <c r="AH4775" s="53">
        <f>IF(P4775="","",IF(AND(AD4775&lt;&gt;"",COUNTIFS(tcTipo,AD4775,tcLiq,"Sí")&gt;0),IF(OR(P4775="Gasto",P4775="Transferencia",P4775="Pago tarjeta"),-1,1)*S4775,0)+IF(AND(AE4775&lt;&gt;"",COUNTIFS(tcTipo,AE4775,tcLiq,"Sí")&gt;0),S4775,0))</f>
        <v/>
      </c>
      <c r="AI4775" s="52">
        <f>IF(OR(L4775="",P4775=""),"",IF(COUNTIFS(L$6:L4775,L4775,P$6:P4775,"?*")=1,MAX(AI$5:AI4774)+1,""))</f>
        <v/>
      </c>
    </row>
    <row r="4776">
      <c r="B4776" s="47" t="n"/>
      <c r="C4776" s="48" t="n"/>
      <c r="D4776" s="48" t="n"/>
      <c r="E4776" s="48" t="n"/>
      <c r="F4776" s="48" t="n"/>
      <c r="G4776" s="49" t="n"/>
      <c r="H4776" s="48" t="n"/>
      <c r="I4776" s="50" t="n"/>
      <c r="J4776" s="48" t="n"/>
      <c r="K4776" s="48" t="n"/>
      <c r="L4776" s="48" t="n"/>
      <c r="M4776" s="48" t="n"/>
      <c r="N4776" s="48" t="n"/>
      <c r="O4776" s="51">
        <f>IF(AND(B4776="",G4776="",C4776="",D4776="",J4776=""),"",IF(B4776="","⚠ Falta fecha",IF(G4776="","⚠ Falta monto",IF(Q4776="","⚠ Falta cuenta",IF(ISNA(MATCH(Q4776,ctaNombre,0)),"⚠ Cuenta no registrada",IF(AND(OR(P4776="Gasto",P4776="Reembolso"),D4776=""),"⚠ Falta categoría",IF(AND(D4776&lt;&gt;"",E4776&lt;&gt;"",ISNA(MATCH(D4776&amp;"|"&amp;E4776,catClave,0))),"⚠ Subcategoría no corresponde",IF(AND(OR(P4776="Transferencia",P4776="Pago tarjeta"),K4776=""),"⚠ Falta cuenta destino",IF(AND(K4776&lt;&gt;"",P4776&lt;&gt;"Transferencia",P4776&lt;&gt;"Pago tarjeta"),"⚠ Destino solo aplica a transferencias",IF(AND(K4776&lt;&gt;"",K4776=Q4776),"⚠ Origen igual a destino",IF(AND(K4776&lt;&gt;"",ISNA(MATCH(K4776,ctaNombre,0))),"⚠ Destino no registrado",IF(AND(P4776="Pago tarjeta",AE4776&lt;&gt;"Tarjeta de crédito"),"⚠ El destino debe ser tarjeta de crédito",IF(AND(P4776="Gasto",E4776="Depósitos y retiros"),"⚠ Usa tipo Transferencia",IF(AND(P4776="Resultado trading",AD4776&lt;&gt;"Cuenta de trading"),"⚠ Usa una cuenta de trading",IF(AND(G4776&lt;=0,P4776&lt;&gt;"Ajuste",P4776&lt;&gt;"Resultado trading"),"⚠ El monto debe ser positivo","✓")))))))))))))))</f>
        <v/>
      </c>
      <c r="P4776" s="52">
        <f>IF(OR(B4776="",G4776=""),"",IF(C4776="","Gasto",C4776))</f>
        <v/>
      </c>
      <c r="Q4776" s="52">
        <f>IF(P4776="","",IF(J4776&lt;&gt;"",J4776,CuentaPred&amp;""))</f>
        <v/>
      </c>
      <c r="R4776" s="52">
        <f>IF(P4776="","",IF(ISNUMBER(I4776),I4776,TasaUSD))</f>
        <v/>
      </c>
      <c r="S4776" s="53">
        <f>IF(P4776="","",IF(H4776="USD",G4776*R4776,G4776))</f>
        <v/>
      </c>
      <c r="T4776" s="53">
        <f>IF(P4776="","",IF(H4776="USD",G4776,IF(R4776&gt;0,G4776/R4776,0)))</f>
        <v/>
      </c>
      <c r="U4776" s="53">
        <f>IF(P4776="","",IF(P4776="Gasto",S4776,IF(P4776="Reembolso",-S4776,0)))</f>
        <v/>
      </c>
      <c r="V4776" s="53">
        <f>IF(P4776="","",IF(P4776="Ingreso",S4776,0))</f>
        <v/>
      </c>
      <c r="W4776" s="53">
        <f>IF(P4776="","",IF(P4776="Resultado trading",S4776,0))</f>
        <v/>
      </c>
      <c r="X4776" s="52">
        <f>IF(OR(P4776="Gasto",P4776="Reembolso"),IF(M4776&lt;&gt;"",M4776,IFERROR(INDEX(catClasif,MATCH(D4776&amp;"|"&amp;E4776,catClave,0))&amp;"","Variable")),"")</f>
        <v/>
      </c>
      <c r="Y4776" s="52">
        <f>IF(P4776="","",IFERROR(INDEX(catGrupo,MATCH(D4776&amp;"|"&amp;E4776,catClave,0))&amp;"",""))</f>
        <v/>
      </c>
      <c r="Z4776" s="52">
        <f>IF(P4776="","",WEEKDAY(B4776,2))</f>
        <v/>
      </c>
      <c r="AA4776" s="52">
        <f>IF(P4776="","",IF(AND(P4776="Gasto",X4776="Variable",D4776&lt;&gt;catTrading,S4776&gt;0,S4776&lt;=Umbral),1,0))</f>
        <v/>
      </c>
      <c r="AB4776" s="52">
        <f>IF(OR(P4776="",Q4776=""),"",IFERROR(IF(INDEX(ctaVinc,MATCH(Q4776,ctaNombre,0))&amp;""&lt;&gt;"",INDEX(ctaVinc,MATCH(Q4776,ctaNombre,0))&amp;"",Q4776),Q4776))</f>
        <v/>
      </c>
      <c r="AC4776" s="52">
        <f>IF(OR(K4776="",AND(P4776&lt;&gt;"Transferencia",P4776&lt;&gt;"Pago tarjeta")),"",IFERROR(IF(INDEX(ctaVinc,MATCH(K4776,ctaNombre,0))&amp;""&lt;&gt;"",INDEX(ctaVinc,MATCH(K4776,ctaNombre,0))&amp;"",K4776),K4776))</f>
        <v/>
      </c>
      <c r="AD4776" s="52">
        <f>IF(AB4776="","",IFERROR(INDEX(ctaTipo,MATCH(AB4776,ctaNombre,0))&amp;"",""))</f>
        <v/>
      </c>
      <c r="AE4776" s="52">
        <f>IF(AC4776="","",IFERROR(INDEX(ctaTipo,MATCH(AC4776,ctaNombre,0))&amp;"",""))</f>
        <v/>
      </c>
      <c r="AF4776" s="53">
        <f>IF(OR(P4776="",AB4776=""),"",IF(OR(P4776="Gasto",P4776="Transferencia",P4776="Pago tarjeta"),-1,1)*IF(IFERROR(INDEX(ctaMoneda,MATCH(AB4776,ctaNombre,0))&amp;"","DOP")="USD",T4776,S4776))</f>
        <v/>
      </c>
      <c r="AG4776" s="53">
        <f>IF(AC4776="","",IF(IFERROR(INDEX(ctaMoneda,MATCH(AC4776,ctaNombre,0))&amp;"","DOP")="USD",T4776,S4776))</f>
        <v/>
      </c>
      <c r="AH4776" s="53">
        <f>IF(P4776="","",IF(AND(AD4776&lt;&gt;"",COUNTIFS(tcTipo,AD4776,tcLiq,"Sí")&gt;0),IF(OR(P4776="Gasto",P4776="Transferencia",P4776="Pago tarjeta"),-1,1)*S4776,0)+IF(AND(AE4776&lt;&gt;"",COUNTIFS(tcTipo,AE4776,tcLiq,"Sí")&gt;0),S4776,0))</f>
        <v/>
      </c>
      <c r="AI4776" s="52">
        <f>IF(OR(L4776="",P4776=""),"",IF(COUNTIFS(L$6:L4776,L4776,P$6:P4776,"?*")=1,MAX(AI$5:AI4775)+1,""))</f>
        <v/>
      </c>
    </row>
    <row r="4777">
      <c r="B4777" s="47" t="n"/>
      <c r="C4777" s="48" t="n"/>
      <c r="D4777" s="48" t="n"/>
      <c r="E4777" s="48" t="n"/>
      <c r="F4777" s="48" t="n"/>
      <c r="G4777" s="49" t="n"/>
      <c r="H4777" s="48" t="n"/>
      <c r="I4777" s="50" t="n"/>
      <c r="J4777" s="48" t="n"/>
      <c r="K4777" s="48" t="n"/>
      <c r="L4777" s="48" t="n"/>
      <c r="M4777" s="48" t="n"/>
      <c r="N4777" s="48" t="n"/>
      <c r="O4777" s="51">
        <f>IF(AND(B4777="",G4777="",C4777="",D4777="",J4777=""),"",IF(B4777="","⚠ Falta fecha",IF(G4777="","⚠ Falta monto",IF(Q4777="","⚠ Falta cuenta",IF(ISNA(MATCH(Q4777,ctaNombre,0)),"⚠ Cuenta no registrada",IF(AND(OR(P4777="Gasto",P4777="Reembolso"),D4777=""),"⚠ Falta categoría",IF(AND(D4777&lt;&gt;"",E4777&lt;&gt;"",ISNA(MATCH(D4777&amp;"|"&amp;E4777,catClave,0))),"⚠ Subcategoría no corresponde",IF(AND(OR(P4777="Transferencia",P4777="Pago tarjeta"),K4777=""),"⚠ Falta cuenta destino",IF(AND(K4777&lt;&gt;"",P4777&lt;&gt;"Transferencia",P4777&lt;&gt;"Pago tarjeta"),"⚠ Destino solo aplica a transferencias",IF(AND(K4777&lt;&gt;"",K4777=Q4777),"⚠ Origen igual a destino",IF(AND(K4777&lt;&gt;"",ISNA(MATCH(K4777,ctaNombre,0))),"⚠ Destino no registrado",IF(AND(P4777="Pago tarjeta",AE4777&lt;&gt;"Tarjeta de crédito"),"⚠ El destino debe ser tarjeta de crédito",IF(AND(P4777="Gasto",E4777="Depósitos y retiros"),"⚠ Usa tipo Transferencia",IF(AND(P4777="Resultado trading",AD4777&lt;&gt;"Cuenta de trading"),"⚠ Usa una cuenta de trading",IF(AND(G4777&lt;=0,P4777&lt;&gt;"Ajuste",P4777&lt;&gt;"Resultado trading"),"⚠ El monto debe ser positivo","✓")))))))))))))))</f>
        <v/>
      </c>
      <c r="P4777" s="52">
        <f>IF(OR(B4777="",G4777=""),"",IF(C4777="","Gasto",C4777))</f>
        <v/>
      </c>
      <c r="Q4777" s="52">
        <f>IF(P4777="","",IF(J4777&lt;&gt;"",J4777,CuentaPred&amp;""))</f>
        <v/>
      </c>
      <c r="R4777" s="52">
        <f>IF(P4777="","",IF(ISNUMBER(I4777),I4777,TasaUSD))</f>
        <v/>
      </c>
      <c r="S4777" s="53">
        <f>IF(P4777="","",IF(H4777="USD",G4777*R4777,G4777))</f>
        <v/>
      </c>
      <c r="T4777" s="53">
        <f>IF(P4777="","",IF(H4777="USD",G4777,IF(R4777&gt;0,G4777/R4777,0)))</f>
        <v/>
      </c>
      <c r="U4777" s="53">
        <f>IF(P4777="","",IF(P4777="Gasto",S4777,IF(P4777="Reembolso",-S4777,0)))</f>
        <v/>
      </c>
      <c r="V4777" s="53">
        <f>IF(P4777="","",IF(P4777="Ingreso",S4777,0))</f>
        <v/>
      </c>
      <c r="W4777" s="53">
        <f>IF(P4777="","",IF(P4777="Resultado trading",S4777,0))</f>
        <v/>
      </c>
      <c r="X4777" s="52">
        <f>IF(OR(P4777="Gasto",P4777="Reembolso"),IF(M4777&lt;&gt;"",M4777,IFERROR(INDEX(catClasif,MATCH(D4777&amp;"|"&amp;E4777,catClave,0))&amp;"","Variable")),"")</f>
        <v/>
      </c>
      <c r="Y4777" s="52">
        <f>IF(P4777="","",IFERROR(INDEX(catGrupo,MATCH(D4777&amp;"|"&amp;E4777,catClave,0))&amp;"",""))</f>
        <v/>
      </c>
      <c r="Z4777" s="52">
        <f>IF(P4777="","",WEEKDAY(B4777,2))</f>
        <v/>
      </c>
      <c r="AA4777" s="52">
        <f>IF(P4777="","",IF(AND(P4777="Gasto",X4777="Variable",D4777&lt;&gt;catTrading,S4777&gt;0,S4777&lt;=Umbral),1,0))</f>
        <v/>
      </c>
      <c r="AB4777" s="52">
        <f>IF(OR(P4777="",Q4777=""),"",IFERROR(IF(INDEX(ctaVinc,MATCH(Q4777,ctaNombre,0))&amp;""&lt;&gt;"",INDEX(ctaVinc,MATCH(Q4777,ctaNombre,0))&amp;"",Q4777),Q4777))</f>
        <v/>
      </c>
      <c r="AC4777" s="52">
        <f>IF(OR(K4777="",AND(P4777&lt;&gt;"Transferencia",P4777&lt;&gt;"Pago tarjeta")),"",IFERROR(IF(INDEX(ctaVinc,MATCH(K4777,ctaNombre,0))&amp;""&lt;&gt;"",INDEX(ctaVinc,MATCH(K4777,ctaNombre,0))&amp;"",K4777),K4777))</f>
        <v/>
      </c>
      <c r="AD4777" s="52">
        <f>IF(AB4777="","",IFERROR(INDEX(ctaTipo,MATCH(AB4777,ctaNombre,0))&amp;"",""))</f>
        <v/>
      </c>
      <c r="AE4777" s="52">
        <f>IF(AC4777="","",IFERROR(INDEX(ctaTipo,MATCH(AC4777,ctaNombre,0))&amp;"",""))</f>
        <v/>
      </c>
      <c r="AF4777" s="53">
        <f>IF(OR(P4777="",AB4777=""),"",IF(OR(P4777="Gasto",P4777="Transferencia",P4777="Pago tarjeta"),-1,1)*IF(IFERROR(INDEX(ctaMoneda,MATCH(AB4777,ctaNombre,0))&amp;"","DOP")="USD",T4777,S4777))</f>
        <v/>
      </c>
      <c r="AG4777" s="53">
        <f>IF(AC4777="","",IF(IFERROR(INDEX(ctaMoneda,MATCH(AC4777,ctaNombre,0))&amp;"","DOP")="USD",T4777,S4777))</f>
        <v/>
      </c>
      <c r="AH4777" s="53">
        <f>IF(P4777="","",IF(AND(AD4777&lt;&gt;"",COUNTIFS(tcTipo,AD4777,tcLiq,"Sí")&gt;0),IF(OR(P4777="Gasto",P4777="Transferencia",P4777="Pago tarjeta"),-1,1)*S4777,0)+IF(AND(AE4777&lt;&gt;"",COUNTIFS(tcTipo,AE4777,tcLiq,"Sí")&gt;0),S4777,0))</f>
        <v/>
      </c>
      <c r="AI4777" s="52">
        <f>IF(OR(L4777="",P4777=""),"",IF(COUNTIFS(L$6:L4777,L4777,P$6:P4777,"?*")=1,MAX(AI$5:AI4776)+1,""))</f>
        <v/>
      </c>
    </row>
    <row r="4778">
      <c r="B4778" s="47" t="n"/>
      <c r="C4778" s="48" t="n"/>
      <c r="D4778" s="48" t="n"/>
      <c r="E4778" s="48" t="n"/>
      <c r="F4778" s="48" t="n"/>
      <c r="G4778" s="49" t="n"/>
      <c r="H4778" s="48" t="n"/>
      <c r="I4778" s="50" t="n"/>
      <c r="J4778" s="48" t="n"/>
      <c r="K4778" s="48" t="n"/>
      <c r="L4778" s="48" t="n"/>
      <c r="M4778" s="48" t="n"/>
      <c r="N4778" s="48" t="n"/>
      <c r="O4778" s="51">
        <f>IF(AND(B4778="",G4778="",C4778="",D4778="",J4778=""),"",IF(B4778="","⚠ Falta fecha",IF(G4778="","⚠ Falta monto",IF(Q4778="","⚠ Falta cuenta",IF(ISNA(MATCH(Q4778,ctaNombre,0)),"⚠ Cuenta no registrada",IF(AND(OR(P4778="Gasto",P4778="Reembolso"),D4778=""),"⚠ Falta categoría",IF(AND(D4778&lt;&gt;"",E4778&lt;&gt;"",ISNA(MATCH(D4778&amp;"|"&amp;E4778,catClave,0))),"⚠ Subcategoría no corresponde",IF(AND(OR(P4778="Transferencia",P4778="Pago tarjeta"),K4778=""),"⚠ Falta cuenta destino",IF(AND(K4778&lt;&gt;"",P4778&lt;&gt;"Transferencia",P4778&lt;&gt;"Pago tarjeta"),"⚠ Destino solo aplica a transferencias",IF(AND(K4778&lt;&gt;"",K4778=Q4778),"⚠ Origen igual a destino",IF(AND(K4778&lt;&gt;"",ISNA(MATCH(K4778,ctaNombre,0))),"⚠ Destino no registrado",IF(AND(P4778="Pago tarjeta",AE4778&lt;&gt;"Tarjeta de crédito"),"⚠ El destino debe ser tarjeta de crédito",IF(AND(P4778="Gasto",E4778="Depósitos y retiros"),"⚠ Usa tipo Transferencia",IF(AND(P4778="Resultado trading",AD4778&lt;&gt;"Cuenta de trading"),"⚠ Usa una cuenta de trading",IF(AND(G4778&lt;=0,P4778&lt;&gt;"Ajuste",P4778&lt;&gt;"Resultado trading"),"⚠ El monto debe ser positivo","✓")))))))))))))))</f>
        <v/>
      </c>
      <c r="P4778" s="52">
        <f>IF(OR(B4778="",G4778=""),"",IF(C4778="","Gasto",C4778))</f>
        <v/>
      </c>
      <c r="Q4778" s="52">
        <f>IF(P4778="","",IF(J4778&lt;&gt;"",J4778,CuentaPred&amp;""))</f>
        <v/>
      </c>
      <c r="R4778" s="52">
        <f>IF(P4778="","",IF(ISNUMBER(I4778),I4778,TasaUSD))</f>
        <v/>
      </c>
      <c r="S4778" s="53">
        <f>IF(P4778="","",IF(H4778="USD",G4778*R4778,G4778))</f>
        <v/>
      </c>
      <c r="T4778" s="53">
        <f>IF(P4778="","",IF(H4778="USD",G4778,IF(R4778&gt;0,G4778/R4778,0)))</f>
        <v/>
      </c>
      <c r="U4778" s="53">
        <f>IF(P4778="","",IF(P4778="Gasto",S4778,IF(P4778="Reembolso",-S4778,0)))</f>
        <v/>
      </c>
      <c r="V4778" s="53">
        <f>IF(P4778="","",IF(P4778="Ingreso",S4778,0))</f>
        <v/>
      </c>
      <c r="W4778" s="53">
        <f>IF(P4778="","",IF(P4778="Resultado trading",S4778,0))</f>
        <v/>
      </c>
      <c r="X4778" s="52">
        <f>IF(OR(P4778="Gasto",P4778="Reembolso"),IF(M4778&lt;&gt;"",M4778,IFERROR(INDEX(catClasif,MATCH(D4778&amp;"|"&amp;E4778,catClave,0))&amp;"","Variable")),"")</f>
        <v/>
      </c>
      <c r="Y4778" s="52">
        <f>IF(P4778="","",IFERROR(INDEX(catGrupo,MATCH(D4778&amp;"|"&amp;E4778,catClave,0))&amp;"",""))</f>
        <v/>
      </c>
      <c r="Z4778" s="52">
        <f>IF(P4778="","",WEEKDAY(B4778,2))</f>
        <v/>
      </c>
      <c r="AA4778" s="52">
        <f>IF(P4778="","",IF(AND(P4778="Gasto",X4778="Variable",D4778&lt;&gt;catTrading,S4778&gt;0,S4778&lt;=Umbral),1,0))</f>
        <v/>
      </c>
      <c r="AB4778" s="52">
        <f>IF(OR(P4778="",Q4778=""),"",IFERROR(IF(INDEX(ctaVinc,MATCH(Q4778,ctaNombre,0))&amp;""&lt;&gt;"",INDEX(ctaVinc,MATCH(Q4778,ctaNombre,0))&amp;"",Q4778),Q4778))</f>
        <v/>
      </c>
      <c r="AC4778" s="52">
        <f>IF(OR(K4778="",AND(P4778&lt;&gt;"Transferencia",P4778&lt;&gt;"Pago tarjeta")),"",IFERROR(IF(INDEX(ctaVinc,MATCH(K4778,ctaNombre,0))&amp;""&lt;&gt;"",INDEX(ctaVinc,MATCH(K4778,ctaNombre,0))&amp;"",K4778),K4778))</f>
        <v/>
      </c>
      <c r="AD4778" s="52">
        <f>IF(AB4778="","",IFERROR(INDEX(ctaTipo,MATCH(AB4778,ctaNombre,0))&amp;"",""))</f>
        <v/>
      </c>
      <c r="AE4778" s="52">
        <f>IF(AC4778="","",IFERROR(INDEX(ctaTipo,MATCH(AC4778,ctaNombre,0))&amp;"",""))</f>
        <v/>
      </c>
      <c r="AF4778" s="53">
        <f>IF(OR(P4778="",AB4778=""),"",IF(OR(P4778="Gasto",P4778="Transferencia",P4778="Pago tarjeta"),-1,1)*IF(IFERROR(INDEX(ctaMoneda,MATCH(AB4778,ctaNombre,0))&amp;"","DOP")="USD",T4778,S4778))</f>
        <v/>
      </c>
      <c r="AG4778" s="53">
        <f>IF(AC4778="","",IF(IFERROR(INDEX(ctaMoneda,MATCH(AC4778,ctaNombre,0))&amp;"","DOP")="USD",T4778,S4778))</f>
        <v/>
      </c>
      <c r="AH4778" s="53">
        <f>IF(P4778="","",IF(AND(AD4778&lt;&gt;"",COUNTIFS(tcTipo,AD4778,tcLiq,"Sí")&gt;0),IF(OR(P4778="Gasto",P4778="Transferencia",P4778="Pago tarjeta"),-1,1)*S4778,0)+IF(AND(AE4778&lt;&gt;"",COUNTIFS(tcTipo,AE4778,tcLiq,"Sí")&gt;0),S4778,0))</f>
        <v/>
      </c>
      <c r="AI4778" s="52">
        <f>IF(OR(L4778="",P4778=""),"",IF(COUNTIFS(L$6:L4778,L4778,P$6:P4778,"?*")=1,MAX(AI$5:AI4777)+1,""))</f>
        <v/>
      </c>
    </row>
    <row r="4779">
      <c r="B4779" s="47" t="n"/>
      <c r="C4779" s="48" t="n"/>
      <c r="D4779" s="48" t="n"/>
      <c r="E4779" s="48" t="n"/>
      <c r="F4779" s="48" t="n"/>
      <c r="G4779" s="49" t="n"/>
      <c r="H4779" s="48" t="n"/>
      <c r="I4779" s="50" t="n"/>
      <c r="J4779" s="48" t="n"/>
      <c r="K4779" s="48" t="n"/>
      <c r="L4779" s="48" t="n"/>
      <c r="M4779" s="48" t="n"/>
      <c r="N4779" s="48" t="n"/>
      <c r="O4779" s="51">
        <f>IF(AND(B4779="",G4779="",C4779="",D4779="",J4779=""),"",IF(B4779="","⚠ Falta fecha",IF(G4779="","⚠ Falta monto",IF(Q4779="","⚠ Falta cuenta",IF(ISNA(MATCH(Q4779,ctaNombre,0)),"⚠ Cuenta no registrada",IF(AND(OR(P4779="Gasto",P4779="Reembolso"),D4779=""),"⚠ Falta categoría",IF(AND(D4779&lt;&gt;"",E4779&lt;&gt;"",ISNA(MATCH(D4779&amp;"|"&amp;E4779,catClave,0))),"⚠ Subcategoría no corresponde",IF(AND(OR(P4779="Transferencia",P4779="Pago tarjeta"),K4779=""),"⚠ Falta cuenta destino",IF(AND(K4779&lt;&gt;"",P4779&lt;&gt;"Transferencia",P4779&lt;&gt;"Pago tarjeta"),"⚠ Destino solo aplica a transferencias",IF(AND(K4779&lt;&gt;"",K4779=Q4779),"⚠ Origen igual a destino",IF(AND(K4779&lt;&gt;"",ISNA(MATCH(K4779,ctaNombre,0))),"⚠ Destino no registrado",IF(AND(P4779="Pago tarjeta",AE4779&lt;&gt;"Tarjeta de crédito"),"⚠ El destino debe ser tarjeta de crédito",IF(AND(P4779="Gasto",E4779="Depósitos y retiros"),"⚠ Usa tipo Transferencia",IF(AND(P4779="Resultado trading",AD4779&lt;&gt;"Cuenta de trading"),"⚠ Usa una cuenta de trading",IF(AND(G4779&lt;=0,P4779&lt;&gt;"Ajuste",P4779&lt;&gt;"Resultado trading"),"⚠ El monto debe ser positivo","✓")))))))))))))))</f>
        <v/>
      </c>
      <c r="P4779" s="52">
        <f>IF(OR(B4779="",G4779=""),"",IF(C4779="","Gasto",C4779))</f>
        <v/>
      </c>
      <c r="Q4779" s="52">
        <f>IF(P4779="","",IF(J4779&lt;&gt;"",J4779,CuentaPred&amp;""))</f>
        <v/>
      </c>
      <c r="R4779" s="52">
        <f>IF(P4779="","",IF(ISNUMBER(I4779),I4779,TasaUSD))</f>
        <v/>
      </c>
      <c r="S4779" s="53">
        <f>IF(P4779="","",IF(H4779="USD",G4779*R4779,G4779))</f>
        <v/>
      </c>
      <c r="T4779" s="53">
        <f>IF(P4779="","",IF(H4779="USD",G4779,IF(R4779&gt;0,G4779/R4779,0)))</f>
        <v/>
      </c>
      <c r="U4779" s="53">
        <f>IF(P4779="","",IF(P4779="Gasto",S4779,IF(P4779="Reembolso",-S4779,0)))</f>
        <v/>
      </c>
      <c r="V4779" s="53">
        <f>IF(P4779="","",IF(P4779="Ingreso",S4779,0))</f>
        <v/>
      </c>
      <c r="W4779" s="53">
        <f>IF(P4779="","",IF(P4779="Resultado trading",S4779,0))</f>
        <v/>
      </c>
      <c r="X4779" s="52">
        <f>IF(OR(P4779="Gasto",P4779="Reembolso"),IF(M4779&lt;&gt;"",M4779,IFERROR(INDEX(catClasif,MATCH(D4779&amp;"|"&amp;E4779,catClave,0))&amp;"","Variable")),"")</f>
        <v/>
      </c>
      <c r="Y4779" s="52">
        <f>IF(P4779="","",IFERROR(INDEX(catGrupo,MATCH(D4779&amp;"|"&amp;E4779,catClave,0))&amp;"",""))</f>
        <v/>
      </c>
      <c r="Z4779" s="52">
        <f>IF(P4779="","",WEEKDAY(B4779,2))</f>
        <v/>
      </c>
      <c r="AA4779" s="52">
        <f>IF(P4779="","",IF(AND(P4779="Gasto",X4779="Variable",D4779&lt;&gt;catTrading,S4779&gt;0,S4779&lt;=Umbral),1,0))</f>
        <v/>
      </c>
      <c r="AB4779" s="52">
        <f>IF(OR(P4779="",Q4779=""),"",IFERROR(IF(INDEX(ctaVinc,MATCH(Q4779,ctaNombre,0))&amp;""&lt;&gt;"",INDEX(ctaVinc,MATCH(Q4779,ctaNombre,0))&amp;"",Q4779),Q4779))</f>
        <v/>
      </c>
      <c r="AC4779" s="52">
        <f>IF(OR(K4779="",AND(P4779&lt;&gt;"Transferencia",P4779&lt;&gt;"Pago tarjeta")),"",IFERROR(IF(INDEX(ctaVinc,MATCH(K4779,ctaNombre,0))&amp;""&lt;&gt;"",INDEX(ctaVinc,MATCH(K4779,ctaNombre,0))&amp;"",K4779),K4779))</f>
        <v/>
      </c>
      <c r="AD4779" s="52">
        <f>IF(AB4779="","",IFERROR(INDEX(ctaTipo,MATCH(AB4779,ctaNombre,0))&amp;"",""))</f>
        <v/>
      </c>
      <c r="AE4779" s="52">
        <f>IF(AC4779="","",IFERROR(INDEX(ctaTipo,MATCH(AC4779,ctaNombre,0))&amp;"",""))</f>
        <v/>
      </c>
      <c r="AF4779" s="53">
        <f>IF(OR(P4779="",AB4779=""),"",IF(OR(P4779="Gasto",P4779="Transferencia",P4779="Pago tarjeta"),-1,1)*IF(IFERROR(INDEX(ctaMoneda,MATCH(AB4779,ctaNombre,0))&amp;"","DOP")="USD",T4779,S4779))</f>
        <v/>
      </c>
      <c r="AG4779" s="53">
        <f>IF(AC4779="","",IF(IFERROR(INDEX(ctaMoneda,MATCH(AC4779,ctaNombre,0))&amp;"","DOP")="USD",T4779,S4779))</f>
        <v/>
      </c>
      <c r="AH4779" s="53">
        <f>IF(P4779="","",IF(AND(AD4779&lt;&gt;"",COUNTIFS(tcTipo,AD4779,tcLiq,"Sí")&gt;0),IF(OR(P4779="Gasto",P4779="Transferencia",P4779="Pago tarjeta"),-1,1)*S4779,0)+IF(AND(AE4779&lt;&gt;"",COUNTIFS(tcTipo,AE4779,tcLiq,"Sí")&gt;0),S4779,0))</f>
        <v/>
      </c>
      <c r="AI4779" s="52">
        <f>IF(OR(L4779="",P4779=""),"",IF(COUNTIFS(L$6:L4779,L4779,P$6:P4779,"?*")=1,MAX(AI$5:AI4778)+1,""))</f>
        <v/>
      </c>
    </row>
    <row r="4780">
      <c r="B4780" s="47" t="n"/>
      <c r="C4780" s="48" t="n"/>
      <c r="D4780" s="48" t="n"/>
      <c r="E4780" s="48" t="n"/>
      <c r="F4780" s="48" t="n"/>
      <c r="G4780" s="49" t="n"/>
      <c r="H4780" s="48" t="n"/>
      <c r="I4780" s="50" t="n"/>
      <c r="J4780" s="48" t="n"/>
      <c r="K4780" s="48" t="n"/>
      <c r="L4780" s="48" t="n"/>
      <c r="M4780" s="48" t="n"/>
      <c r="N4780" s="48" t="n"/>
      <c r="O4780" s="51">
        <f>IF(AND(B4780="",G4780="",C4780="",D4780="",J4780=""),"",IF(B4780="","⚠ Falta fecha",IF(G4780="","⚠ Falta monto",IF(Q4780="","⚠ Falta cuenta",IF(ISNA(MATCH(Q4780,ctaNombre,0)),"⚠ Cuenta no registrada",IF(AND(OR(P4780="Gasto",P4780="Reembolso"),D4780=""),"⚠ Falta categoría",IF(AND(D4780&lt;&gt;"",E4780&lt;&gt;"",ISNA(MATCH(D4780&amp;"|"&amp;E4780,catClave,0))),"⚠ Subcategoría no corresponde",IF(AND(OR(P4780="Transferencia",P4780="Pago tarjeta"),K4780=""),"⚠ Falta cuenta destino",IF(AND(K4780&lt;&gt;"",P4780&lt;&gt;"Transferencia",P4780&lt;&gt;"Pago tarjeta"),"⚠ Destino solo aplica a transferencias",IF(AND(K4780&lt;&gt;"",K4780=Q4780),"⚠ Origen igual a destino",IF(AND(K4780&lt;&gt;"",ISNA(MATCH(K4780,ctaNombre,0))),"⚠ Destino no registrado",IF(AND(P4780="Pago tarjeta",AE4780&lt;&gt;"Tarjeta de crédito"),"⚠ El destino debe ser tarjeta de crédito",IF(AND(P4780="Gasto",E4780="Depósitos y retiros"),"⚠ Usa tipo Transferencia",IF(AND(P4780="Resultado trading",AD4780&lt;&gt;"Cuenta de trading"),"⚠ Usa una cuenta de trading",IF(AND(G4780&lt;=0,P4780&lt;&gt;"Ajuste",P4780&lt;&gt;"Resultado trading"),"⚠ El monto debe ser positivo","✓")))))))))))))))</f>
        <v/>
      </c>
      <c r="P4780" s="52">
        <f>IF(OR(B4780="",G4780=""),"",IF(C4780="","Gasto",C4780))</f>
        <v/>
      </c>
      <c r="Q4780" s="52">
        <f>IF(P4780="","",IF(J4780&lt;&gt;"",J4780,CuentaPred&amp;""))</f>
        <v/>
      </c>
      <c r="R4780" s="52">
        <f>IF(P4780="","",IF(ISNUMBER(I4780),I4780,TasaUSD))</f>
        <v/>
      </c>
      <c r="S4780" s="53">
        <f>IF(P4780="","",IF(H4780="USD",G4780*R4780,G4780))</f>
        <v/>
      </c>
      <c r="T4780" s="53">
        <f>IF(P4780="","",IF(H4780="USD",G4780,IF(R4780&gt;0,G4780/R4780,0)))</f>
        <v/>
      </c>
      <c r="U4780" s="53">
        <f>IF(P4780="","",IF(P4780="Gasto",S4780,IF(P4780="Reembolso",-S4780,0)))</f>
        <v/>
      </c>
      <c r="V4780" s="53">
        <f>IF(P4780="","",IF(P4780="Ingreso",S4780,0))</f>
        <v/>
      </c>
      <c r="W4780" s="53">
        <f>IF(P4780="","",IF(P4780="Resultado trading",S4780,0))</f>
        <v/>
      </c>
      <c r="X4780" s="52">
        <f>IF(OR(P4780="Gasto",P4780="Reembolso"),IF(M4780&lt;&gt;"",M4780,IFERROR(INDEX(catClasif,MATCH(D4780&amp;"|"&amp;E4780,catClave,0))&amp;"","Variable")),"")</f>
        <v/>
      </c>
      <c r="Y4780" s="52">
        <f>IF(P4780="","",IFERROR(INDEX(catGrupo,MATCH(D4780&amp;"|"&amp;E4780,catClave,0))&amp;"",""))</f>
        <v/>
      </c>
      <c r="Z4780" s="52">
        <f>IF(P4780="","",WEEKDAY(B4780,2))</f>
        <v/>
      </c>
      <c r="AA4780" s="52">
        <f>IF(P4780="","",IF(AND(P4780="Gasto",X4780="Variable",D4780&lt;&gt;catTrading,S4780&gt;0,S4780&lt;=Umbral),1,0))</f>
        <v/>
      </c>
      <c r="AB4780" s="52">
        <f>IF(OR(P4780="",Q4780=""),"",IFERROR(IF(INDEX(ctaVinc,MATCH(Q4780,ctaNombre,0))&amp;""&lt;&gt;"",INDEX(ctaVinc,MATCH(Q4780,ctaNombre,0))&amp;"",Q4780),Q4780))</f>
        <v/>
      </c>
      <c r="AC4780" s="52">
        <f>IF(OR(K4780="",AND(P4780&lt;&gt;"Transferencia",P4780&lt;&gt;"Pago tarjeta")),"",IFERROR(IF(INDEX(ctaVinc,MATCH(K4780,ctaNombre,0))&amp;""&lt;&gt;"",INDEX(ctaVinc,MATCH(K4780,ctaNombre,0))&amp;"",K4780),K4780))</f>
        <v/>
      </c>
      <c r="AD4780" s="52">
        <f>IF(AB4780="","",IFERROR(INDEX(ctaTipo,MATCH(AB4780,ctaNombre,0))&amp;"",""))</f>
        <v/>
      </c>
      <c r="AE4780" s="52">
        <f>IF(AC4780="","",IFERROR(INDEX(ctaTipo,MATCH(AC4780,ctaNombre,0))&amp;"",""))</f>
        <v/>
      </c>
      <c r="AF4780" s="53">
        <f>IF(OR(P4780="",AB4780=""),"",IF(OR(P4780="Gasto",P4780="Transferencia",P4780="Pago tarjeta"),-1,1)*IF(IFERROR(INDEX(ctaMoneda,MATCH(AB4780,ctaNombre,0))&amp;"","DOP")="USD",T4780,S4780))</f>
        <v/>
      </c>
      <c r="AG4780" s="53">
        <f>IF(AC4780="","",IF(IFERROR(INDEX(ctaMoneda,MATCH(AC4780,ctaNombre,0))&amp;"","DOP")="USD",T4780,S4780))</f>
        <v/>
      </c>
      <c r="AH4780" s="53">
        <f>IF(P4780="","",IF(AND(AD4780&lt;&gt;"",COUNTIFS(tcTipo,AD4780,tcLiq,"Sí")&gt;0),IF(OR(P4780="Gasto",P4780="Transferencia",P4780="Pago tarjeta"),-1,1)*S4780,0)+IF(AND(AE4780&lt;&gt;"",COUNTIFS(tcTipo,AE4780,tcLiq,"Sí")&gt;0),S4780,0))</f>
        <v/>
      </c>
      <c r="AI4780" s="52">
        <f>IF(OR(L4780="",P4780=""),"",IF(COUNTIFS(L$6:L4780,L4780,P$6:P4780,"?*")=1,MAX(AI$5:AI4779)+1,""))</f>
        <v/>
      </c>
    </row>
    <row r="4781">
      <c r="B4781" s="47" t="n"/>
      <c r="C4781" s="48" t="n"/>
      <c r="D4781" s="48" t="n"/>
      <c r="E4781" s="48" t="n"/>
      <c r="F4781" s="48" t="n"/>
      <c r="G4781" s="49" t="n"/>
      <c r="H4781" s="48" t="n"/>
      <c r="I4781" s="50" t="n"/>
      <c r="J4781" s="48" t="n"/>
      <c r="K4781" s="48" t="n"/>
      <c r="L4781" s="48" t="n"/>
      <c r="M4781" s="48" t="n"/>
      <c r="N4781" s="48" t="n"/>
      <c r="O4781" s="51">
        <f>IF(AND(B4781="",G4781="",C4781="",D4781="",J4781=""),"",IF(B4781="","⚠ Falta fecha",IF(G4781="","⚠ Falta monto",IF(Q4781="","⚠ Falta cuenta",IF(ISNA(MATCH(Q4781,ctaNombre,0)),"⚠ Cuenta no registrada",IF(AND(OR(P4781="Gasto",P4781="Reembolso"),D4781=""),"⚠ Falta categoría",IF(AND(D4781&lt;&gt;"",E4781&lt;&gt;"",ISNA(MATCH(D4781&amp;"|"&amp;E4781,catClave,0))),"⚠ Subcategoría no corresponde",IF(AND(OR(P4781="Transferencia",P4781="Pago tarjeta"),K4781=""),"⚠ Falta cuenta destino",IF(AND(K4781&lt;&gt;"",P4781&lt;&gt;"Transferencia",P4781&lt;&gt;"Pago tarjeta"),"⚠ Destino solo aplica a transferencias",IF(AND(K4781&lt;&gt;"",K4781=Q4781),"⚠ Origen igual a destino",IF(AND(K4781&lt;&gt;"",ISNA(MATCH(K4781,ctaNombre,0))),"⚠ Destino no registrado",IF(AND(P4781="Pago tarjeta",AE4781&lt;&gt;"Tarjeta de crédito"),"⚠ El destino debe ser tarjeta de crédito",IF(AND(P4781="Gasto",E4781="Depósitos y retiros"),"⚠ Usa tipo Transferencia",IF(AND(P4781="Resultado trading",AD4781&lt;&gt;"Cuenta de trading"),"⚠ Usa una cuenta de trading",IF(AND(G4781&lt;=0,P4781&lt;&gt;"Ajuste",P4781&lt;&gt;"Resultado trading"),"⚠ El monto debe ser positivo","✓")))))))))))))))</f>
        <v/>
      </c>
      <c r="P4781" s="52">
        <f>IF(OR(B4781="",G4781=""),"",IF(C4781="","Gasto",C4781))</f>
        <v/>
      </c>
      <c r="Q4781" s="52">
        <f>IF(P4781="","",IF(J4781&lt;&gt;"",J4781,CuentaPred&amp;""))</f>
        <v/>
      </c>
      <c r="R4781" s="52">
        <f>IF(P4781="","",IF(ISNUMBER(I4781),I4781,TasaUSD))</f>
        <v/>
      </c>
      <c r="S4781" s="53">
        <f>IF(P4781="","",IF(H4781="USD",G4781*R4781,G4781))</f>
        <v/>
      </c>
      <c r="T4781" s="53">
        <f>IF(P4781="","",IF(H4781="USD",G4781,IF(R4781&gt;0,G4781/R4781,0)))</f>
        <v/>
      </c>
      <c r="U4781" s="53">
        <f>IF(P4781="","",IF(P4781="Gasto",S4781,IF(P4781="Reembolso",-S4781,0)))</f>
        <v/>
      </c>
      <c r="V4781" s="53">
        <f>IF(P4781="","",IF(P4781="Ingreso",S4781,0))</f>
        <v/>
      </c>
      <c r="W4781" s="53">
        <f>IF(P4781="","",IF(P4781="Resultado trading",S4781,0))</f>
        <v/>
      </c>
      <c r="X4781" s="52">
        <f>IF(OR(P4781="Gasto",P4781="Reembolso"),IF(M4781&lt;&gt;"",M4781,IFERROR(INDEX(catClasif,MATCH(D4781&amp;"|"&amp;E4781,catClave,0))&amp;"","Variable")),"")</f>
        <v/>
      </c>
      <c r="Y4781" s="52">
        <f>IF(P4781="","",IFERROR(INDEX(catGrupo,MATCH(D4781&amp;"|"&amp;E4781,catClave,0))&amp;"",""))</f>
        <v/>
      </c>
      <c r="Z4781" s="52">
        <f>IF(P4781="","",WEEKDAY(B4781,2))</f>
        <v/>
      </c>
      <c r="AA4781" s="52">
        <f>IF(P4781="","",IF(AND(P4781="Gasto",X4781="Variable",D4781&lt;&gt;catTrading,S4781&gt;0,S4781&lt;=Umbral),1,0))</f>
        <v/>
      </c>
      <c r="AB4781" s="52">
        <f>IF(OR(P4781="",Q4781=""),"",IFERROR(IF(INDEX(ctaVinc,MATCH(Q4781,ctaNombre,0))&amp;""&lt;&gt;"",INDEX(ctaVinc,MATCH(Q4781,ctaNombre,0))&amp;"",Q4781),Q4781))</f>
        <v/>
      </c>
      <c r="AC4781" s="52">
        <f>IF(OR(K4781="",AND(P4781&lt;&gt;"Transferencia",P4781&lt;&gt;"Pago tarjeta")),"",IFERROR(IF(INDEX(ctaVinc,MATCH(K4781,ctaNombre,0))&amp;""&lt;&gt;"",INDEX(ctaVinc,MATCH(K4781,ctaNombre,0))&amp;"",K4781),K4781))</f>
        <v/>
      </c>
      <c r="AD4781" s="52">
        <f>IF(AB4781="","",IFERROR(INDEX(ctaTipo,MATCH(AB4781,ctaNombre,0))&amp;"",""))</f>
        <v/>
      </c>
      <c r="AE4781" s="52">
        <f>IF(AC4781="","",IFERROR(INDEX(ctaTipo,MATCH(AC4781,ctaNombre,0))&amp;"",""))</f>
        <v/>
      </c>
      <c r="AF4781" s="53">
        <f>IF(OR(P4781="",AB4781=""),"",IF(OR(P4781="Gasto",P4781="Transferencia",P4781="Pago tarjeta"),-1,1)*IF(IFERROR(INDEX(ctaMoneda,MATCH(AB4781,ctaNombre,0))&amp;"","DOP")="USD",T4781,S4781))</f>
        <v/>
      </c>
      <c r="AG4781" s="53">
        <f>IF(AC4781="","",IF(IFERROR(INDEX(ctaMoneda,MATCH(AC4781,ctaNombre,0))&amp;"","DOP")="USD",T4781,S4781))</f>
        <v/>
      </c>
      <c r="AH4781" s="53">
        <f>IF(P4781="","",IF(AND(AD4781&lt;&gt;"",COUNTIFS(tcTipo,AD4781,tcLiq,"Sí")&gt;0),IF(OR(P4781="Gasto",P4781="Transferencia",P4781="Pago tarjeta"),-1,1)*S4781,0)+IF(AND(AE4781&lt;&gt;"",COUNTIFS(tcTipo,AE4781,tcLiq,"Sí")&gt;0),S4781,0))</f>
        <v/>
      </c>
      <c r="AI4781" s="52">
        <f>IF(OR(L4781="",P4781=""),"",IF(COUNTIFS(L$6:L4781,L4781,P$6:P4781,"?*")=1,MAX(AI$5:AI4780)+1,""))</f>
        <v/>
      </c>
    </row>
    <row r="4782">
      <c r="B4782" s="47" t="n"/>
      <c r="C4782" s="48" t="n"/>
      <c r="D4782" s="48" t="n"/>
      <c r="E4782" s="48" t="n"/>
      <c r="F4782" s="48" t="n"/>
      <c r="G4782" s="49" t="n"/>
      <c r="H4782" s="48" t="n"/>
      <c r="I4782" s="50" t="n"/>
      <c r="J4782" s="48" t="n"/>
      <c r="K4782" s="48" t="n"/>
      <c r="L4782" s="48" t="n"/>
      <c r="M4782" s="48" t="n"/>
      <c r="N4782" s="48" t="n"/>
      <c r="O4782" s="51">
        <f>IF(AND(B4782="",G4782="",C4782="",D4782="",J4782=""),"",IF(B4782="","⚠ Falta fecha",IF(G4782="","⚠ Falta monto",IF(Q4782="","⚠ Falta cuenta",IF(ISNA(MATCH(Q4782,ctaNombre,0)),"⚠ Cuenta no registrada",IF(AND(OR(P4782="Gasto",P4782="Reembolso"),D4782=""),"⚠ Falta categoría",IF(AND(D4782&lt;&gt;"",E4782&lt;&gt;"",ISNA(MATCH(D4782&amp;"|"&amp;E4782,catClave,0))),"⚠ Subcategoría no corresponde",IF(AND(OR(P4782="Transferencia",P4782="Pago tarjeta"),K4782=""),"⚠ Falta cuenta destino",IF(AND(K4782&lt;&gt;"",P4782&lt;&gt;"Transferencia",P4782&lt;&gt;"Pago tarjeta"),"⚠ Destino solo aplica a transferencias",IF(AND(K4782&lt;&gt;"",K4782=Q4782),"⚠ Origen igual a destino",IF(AND(K4782&lt;&gt;"",ISNA(MATCH(K4782,ctaNombre,0))),"⚠ Destino no registrado",IF(AND(P4782="Pago tarjeta",AE4782&lt;&gt;"Tarjeta de crédito"),"⚠ El destino debe ser tarjeta de crédito",IF(AND(P4782="Gasto",E4782="Depósitos y retiros"),"⚠ Usa tipo Transferencia",IF(AND(P4782="Resultado trading",AD4782&lt;&gt;"Cuenta de trading"),"⚠ Usa una cuenta de trading",IF(AND(G4782&lt;=0,P4782&lt;&gt;"Ajuste",P4782&lt;&gt;"Resultado trading"),"⚠ El monto debe ser positivo","✓")))))))))))))))</f>
        <v/>
      </c>
      <c r="P4782" s="52">
        <f>IF(OR(B4782="",G4782=""),"",IF(C4782="","Gasto",C4782))</f>
        <v/>
      </c>
      <c r="Q4782" s="52">
        <f>IF(P4782="","",IF(J4782&lt;&gt;"",J4782,CuentaPred&amp;""))</f>
        <v/>
      </c>
      <c r="R4782" s="52">
        <f>IF(P4782="","",IF(ISNUMBER(I4782),I4782,TasaUSD))</f>
        <v/>
      </c>
      <c r="S4782" s="53">
        <f>IF(P4782="","",IF(H4782="USD",G4782*R4782,G4782))</f>
        <v/>
      </c>
      <c r="T4782" s="53">
        <f>IF(P4782="","",IF(H4782="USD",G4782,IF(R4782&gt;0,G4782/R4782,0)))</f>
        <v/>
      </c>
      <c r="U4782" s="53">
        <f>IF(P4782="","",IF(P4782="Gasto",S4782,IF(P4782="Reembolso",-S4782,0)))</f>
        <v/>
      </c>
      <c r="V4782" s="53">
        <f>IF(P4782="","",IF(P4782="Ingreso",S4782,0))</f>
        <v/>
      </c>
      <c r="W4782" s="53">
        <f>IF(P4782="","",IF(P4782="Resultado trading",S4782,0))</f>
        <v/>
      </c>
      <c r="X4782" s="52">
        <f>IF(OR(P4782="Gasto",P4782="Reembolso"),IF(M4782&lt;&gt;"",M4782,IFERROR(INDEX(catClasif,MATCH(D4782&amp;"|"&amp;E4782,catClave,0))&amp;"","Variable")),"")</f>
        <v/>
      </c>
      <c r="Y4782" s="52">
        <f>IF(P4782="","",IFERROR(INDEX(catGrupo,MATCH(D4782&amp;"|"&amp;E4782,catClave,0))&amp;"",""))</f>
        <v/>
      </c>
      <c r="Z4782" s="52">
        <f>IF(P4782="","",WEEKDAY(B4782,2))</f>
        <v/>
      </c>
      <c r="AA4782" s="52">
        <f>IF(P4782="","",IF(AND(P4782="Gasto",X4782="Variable",D4782&lt;&gt;catTrading,S4782&gt;0,S4782&lt;=Umbral),1,0))</f>
        <v/>
      </c>
      <c r="AB4782" s="52">
        <f>IF(OR(P4782="",Q4782=""),"",IFERROR(IF(INDEX(ctaVinc,MATCH(Q4782,ctaNombre,0))&amp;""&lt;&gt;"",INDEX(ctaVinc,MATCH(Q4782,ctaNombre,0))&amp;"",Q4782),Q4782))</f>
        <v/>
      </c>
      <c r="AC4782" s="52">
        <f>IF(OR(K4782="",AND(P4782&lt;&gt;"Transferencia",P4782&lt;&gt;"Pago tarjeta")),"",IFERROR(IF(INDEX(ctaVinc,MATCH(K4782,ctaNombre,0))&amp;""&lt;&gt;"",INDEX(ctaVinc,MATCH(K4782,ctaNombre,0))&amp;"",K4782),K4782))</f>
        <v/>
      </c>
      <c r="AD4782" s="52">
        <f>IF(AB4782="","",IFERROR(INDEX(ctaTipo,MATCH(AB4782,ctaNombre,0))&amp;"",""))</f>
        <v/>
      </c>
      <c r="AE4782" s="52">
        <f>IF(AC4782="","",IFERROR(INDEX(ctaTipo,MATCH(AC4782,ctaNombre,0))&amp;"",""))</f>
        <v/>
      </c>
      <c r="AF4782" s="53">
        <f>IF(OR(P4782="",AB4782=""),"",IF(OR(P4782="Gasto",P4782="Transferencia",P4782="Pago tarjeta"),-1,1)*IF(IFERROR(INDEX(ctaMoneda,MATCH(AB4782,ctaNombre,0))&amp;"","DOP")="USD",T4782,S4782))</f>
        <v/>
      </c>
      <c r="AG4782" s="53">
        <f>IF(AC4782="","",IF(IFERROR(INDEX(ctaMoneda,MATCH(AC4782,ctaNombre,0))&amp;"","DOP")="USD",T4782,S4782))</f>
        <v/>
      </c>
      <c r="AH4782" s="53">
        <f>IF(P4782="","",IF(AND(AD4782&lt;&gt;"",COUNTIFS(tcTipo,AD4782,tcLiq,"Sí")&gt;0),IF(OR(P4782="Gasto",P4782="Transferencia",P4782="Pago tarjeta"),-1,1)*S4782,0)+IF(AND(AE4782&lt;&gt;"",COUNTIFS(tcTipo,AE4782,tcLiq,"Sí")&gt;0),S4782,0))</f>
        <v/>
      </c>
      <c r="AI4782" s="52">
        <f>IF(OR(L4782="",P4782=""),"",IF(COUNTIFS(L$6:L4782,L4782,P$6:P4782,"?*")=1,MAX(AI$5:AI4781)+1,""))</f>
        <v/>
      </c>
    </row>
    <row r="4783">
      <c r="B4783" s="47" t="n"/>
      <c r="C4783" s="48" t="n"/>
      <c r="D4783" s="48" t="n"/>
      <c r="E4783" s="48" t="n"/>
      <c r="F4783" s="48" t="n"/>
      <c r="G4783" s="49" t="n"/>
      <c r="H4783" s="48" t="n"/>
      <c r="I4783" s="50" t="n"/>
      <c r="J4783" s="48" t="n"/>
      <c r="K4783" s="48" t="n"/>
      <c r="L4783" s="48" t="n"/>
      <c r="M4783" s="48" t="n"/>
      <c r="N4783" s="48" t="n"/>
      <c r="O4783" s="51">
        <f>IF(AND(B4783="",G4783="",C4783="",D4783="",J4783=""),"",IF(B4783="","⚠ Falta fecha",IF(G4783="","⚠ Falta monto",IF(Q4783="","⚠ Falta cuenta",IF(ISNA(MATCH(Q4783,ctaNombre,0)),"⚠ Cuenta no registrada",IF(AND(OR(P4783="Gasto",P4783="Reembolso"),D4783=""),"⚠ Falta categoría",IF(AND(D4783&lt;&gt;"",E4783&lt;&gt;"",ISNA(MATCH(D4783&amp;"|"&amp;E4783,catClave,0))),"⚠ Subcategoría no corresponde",IF(AND(OR(P4783="Transferencia",P4783="Pago tarjeta"),K4783=""),"⚠ Falta cuenta destino",IF(AND(K4783&lt;&gt;"",P4783&lt;&gt;"Transferencia",P4783&lt;&gt;"Pago tarjeta"),"⚠ Destino solo aplica a transferencias",IF(AND(K4783&lt;&gt;"",K4783=Q4783),"⚠ Origen igual a destino",IF(AND(K4783&lt;&gt;"",ISNA(MATCH(K4783,ctaNombre,0))),"⚠ Destino no registrado",IF(AND(P4783="Pago tarjeta",AE4783&lt;&gt;"Tarjeta de crédito"),"⚠ El destino debe ser tarjeta de crédito",IF(AND(P4783="Gasto",E4783="Depósitos y retiros"),"⚠ Usa tipo Transferencia",IF(AND(P4783="Resultado trading",AD4783&lt;&gt;"Cuenta de trading"),"⚠ Usa una cuenta de trading",IF(AND(G4783&lt;=0,P4783&lt;&gt;"Ajuste",P4783&lt;&gt;"Resultado trading"),"⚠ El monto debe ser positivo","✓")))))))))))))))</f>
        <v/>
      </c>
      <c r="P4783" s="52">
        <f>IF(OR(B4783="",G4783=""),"",IF(C4783="","Gasto",C4783))</f>
        <v/>
      </c>
      <c r="Q4783" s="52">
        <f>IF(P4783="","",IF(J4783&lt;&gt;"",J4783,CuentaPred&amp;""))</f>
        <v/>
      </c>
      <c r="R4783" s="52">
        <f>IF(P4783="","",IF(ISNUMBER(I4783),I4783,TasaUSD))</f>
        <v/>
      </c>
      <c r="S4783" s="53">
        <f>IF(P4783="","",IF(H4783="USD",G4783*R4783,G4783))</f>
        <v/>
      </c>
      <c r="T4783" s="53">
        <f>IF(P4783="","",IF(H4783="USD",G4783,IF(R4783&gt;0,G4783/R4783,0)))</f>
        <v/>
      </c>
      <c r="U4783" s="53">
        <f>IF(P4783="","",IF(P4783="Gasto",S4783,IF(P4783="Reembolso",-S4783,0)))</f>
        <v/>
      </c>
      <c r="V4783" s="53">
        <f>IF(P4783="","",IF(P4783="Ingreso",S4783,0))</f>
        <v/>
      </c>
      <c r="W4783" s="53">
        <f>IF(P4783="","",IF(P4783="Resultado trading",S4783,0))</f>
        <v/>
      </c>
      <c r="X4783" s="52">
        <f>IF(OR(P4783="Gasto",P4783="Reembolso"),IF(M4783&lt;&gt;"",M4783,IFERROR(INDEX(catClasif,MATCH(D4783&amp;"|"&amp;E4783,catClave,0))&amp;"","Variable")),"")</f>
        <v/>
      </c>
      <c r="Y4783" s="52">
        <f>IF(P4783="","",IFERROR(INDEX(catGrupo,MATCH(D4783&amp;"|"&amp;E4783,catClave,0))&amp;"",""))</f>
        <v/>
      </c>
      <c r="Z4783" s="52">
        <f>IF(P4783="","",WEEKDAY(B4783,2))</f>
        <v/>
      </c>
      <c r="AA4783" s="52">
        <f>IF(P4783="","",IF(AND(P4783="Gasto",X4783="Variable",D4783&lt;&gt;catTrading,S4783&gt;0,S4783&lt;=Umbral),1,0))</f>
        <v/>
      </c>
      <c r="AB4783" s="52">
        <f>IF(OR(P4783="",Q4783=""),"",IFERROR(IF(INDEX(ctaVinc,MATCH(Q4783,ctaNombre,0))&amp;""&lt;&gt;"",INDEX(ctaVinc,MATCH(Q4783,ctaNombre,0))&amp;"",Q4783),Q4783))</f>
        <v/>
      </c>
      <c r="AC4783" s="52">
        <f>IF(OR(K4783="",AND(P4783&lt;&gt;"Transferencia",P4783&lt;&gt;"Pago tarjeta")),"",IFERROR(IF(INDEX(ctaVinc,MATCH(K4783,ctaNombre,0))&amp;""&lt;&gt;"",INDEX(ctaVinc,MATCH(K4783,ctaNombre,0))&amp;"",K4783),K4783))</f>
        <v/>
      </c>
      <c r="AD4783" s="52">
        <f>IF(AB4783="","",IFERROR(INDEX(ctaTipo,MATCH(AB4783,ctaNombre,0))&amp;"",""))</f>
        <v/>
      </c>
      <c r="AE4783" s="52">
        <f>IF(AC4783="","",IFERROR(INDEX(ctaTipo,MATCH(AC4783,ctaNombre,0))&amp;"",""))</f>
        <v/>
      </c>
      <c r="AF4783" s="53">
        <f>IF(OR(P4783="",AB4783=""),"",IF(OR(P4783="Gasto",P4783="Transferencia",P4783="Pago tarjeta"),-1,1)*IF(IFERROR(INDEX(ctaMoneda,MATCH(AB4783,ctaNombre,0))&amp;"","DOP")="USD",T4783,S4783))</f>
        <v/>
      </c>
      <c r="AG4783" s="53">
        <f>IF(AC4783="","",IF(IFERROR(INDEX(ctaMoneda,MATCH(AC4783,ctaNombre,0))&amp;"","DOP")="USD",T4783,S4783))</f>
        <v/>
      </c>
      <c r="AH4783" s="53">
        <f>IF(P4783="","",IF(AND(AD4783&lt;&gt;"",COUNTIFS(tcTipo,AD4783,tcLiq,"Sí")&gt;0),IF(OR(P4783="Gasto",P4783="Transferencia",P4783="Pago tarjeta"),-1,1)*S4783,0)+IF(AND(AE4783&lt;&gt;"",COUNTIFS(tcTipo,AE4783,tcLiq,"Sí")&gt;0),S4783,0))</f>
        <v/>
      </c>
      <c r="AI4783" s="52">
        <f>IF(OR(L4783="",P4783=""),"",IF(COUNTIFS(L$6:L4783,L4783,P$6:P4783,"?*")=1,MAX(AI$5:AI4782)+1,""))</f>
        <v/>
      </c>
    </row>
    <row r="4784">
      <c r="B4784" s="47" t="n"/>
      <c r="C4784" s="48" t="n"/>
      <c r="D4784" s="48" t="n"/>
      <c r="E4784" s="48" t="n"/>
      <c r="F4784" s="48" t="n"/>
      <c r="G4784" s="49" t="n"/>
      <c r="H4784" s="48" t="n"/>
      <c r="I4784" s="50" t="n"/>
      <c r="J4784" s="48" t="n"/>
      <c r="K4784" s="48" t="n"/>
      <c r="L4784" s="48" t="n"/>
      <c r="M4784" s="48" t="n"/>
      <c r="N4784" s="48" t="n"/>
      <c r="O4784" s="51">
        <f>IF(AND(B4784="",G4784="",C4784="",D4784="",J4784=""),"",IF(B4784="","⚠ Falta fecha",IF(G4784="","⚠ Falta monto",IF(Q4784="","⚠ Falta cuenta",IF(ISNA(MATCH(Q4784,ctaNombre,0)),"⚠ Cuenta no registrada",IF(AND(OR(P4784="Gasto",P4784="Reembolso"),D4784=""),"⚠ Falta categoría",IF(AND(D4784&lt;&gt;"",E4784&lt;&gt;"",ISNA(MATCH(D4784&amp;"|"&amp;E4784,catClave,0))),"⚠ Subcategoría no corresponde",IF(AND(OR(P4784="Transferencia",P4784="Pago tarjeta"),K4784=""),"⚠ Falta cuenta destino",IF(AND(K4784&lt;&gt;"",P4784&lt;&gt;"Transferencia",P4784&lt;&gt;"Pago tarjeta"),"⚠ Destino solo aplica a transferencias",IF(AND(K4784&lt;&gt;"",K4784=Q4784),"⚠ Origen igual a destino",IF(AND(K4784&lt;&gt;"",ISNA(MATCH(K4784,ctaNombre,0))),"⚠ Destino no registrado",IF(AND(P4784="Pago tarjeta",AE4784&lt;&gt;"Tarjeta de crédito"),"⚠ El destino debe ser tarjeta de crédito",IF(AND(P4784="Gasto",E4784="Depósitos y retiros"),"⚠ Usa tipo Transferencia",IF(AND(P4784="Resultado trading",AD4784&lt;&gt;"Cuenta de trading"),"⚠ Usa una cuenta de trading",IF(AND(G4784&lt;=0,P4784&lt;&gt;"Ajuste",P4784&lt;&gt;"Resultado trading"),"⚠ El monto debe ser positivo","✓")))))))))))))))</f>
        <v/>
      </c>
      <c r="P4784" s="52">
        <f>IF(OR(B4784="",G4784=""),"",IF(C4784="","Gasto",C4784))</f>
        <v/>
      </c>
      <c r="Q4784" s="52">
        <f>IF(P4784="","",IF(J4784&lt;&gt;"",J4784,CuentaPred&amp;""))</f>
        <v/>
      </c>
      <c r="R4784" s="52">
        <f>IF(P4784="","",IF(ISNUMBER(I4784),I4784,TasaUSD))</f>
        <v/>
      </c>
      <c r="S4784" s="53">
        <f>IF(P4784="","",IF(H4784="USD",G4784*R4784,G4784))</f>
        <v/>
      </c>
      <c r="T4784" s="53">
        <f>IF(P4784="","",IF(H4784="USD",G4784,IF(R4784&gt;0,G4784/R4784,0)))</f>
        <v/>
      </c>
      <c r="U4784" s="53">
        <f>IF(P4784="","",IF(P4784="Gasto",S4784,IF(P4784="Reembolso",-S4784,0)))</f>
        <v/>
      </c>
      <c r="V4784" s="53">
        <f>IF(P4784="","",IF(P4784="Ingreso",S4784,0))</f>
        <v/>
      </c>
      <c r="W4784" s="53">
        <f>IF(P4784="","",IF(P4784="Resultado trading",S4784,0))</f>
        <v/>
      </c>
      <c r="X4784" s="52">
        <f>IF(OR(P4784="Gasto",P4784="Reembolso"),IF(M4784&lt;&gt;"",M4784,IFERROR(INDEX(catClasif,MATCH(D4784&amp;"|"&amp;E4784,catClave,0))&amp;"","Variable")),"")</f>
        <v/>
      </c>
      <c r="Y4784" s="52">
        <f>IF(P4784="","",IFERROR(INDEX(catGrupo,MATCH(D4784&amp;"|"&amp;E4784,catClave,0))&amp;"",""))</f>
        <v/>
      </c>
      <c r="Z4784" s="52">
        <f>IF(P4784="","",WEEKDAY(B4784,2))</f>
        <v/>
      </c>
      <c r="AA4784" s="52">
        <f>IF(P4784="","",IF(AND(P4784="Gasto",X4784="Variable",D4784&lt;&gt;catTrading,S4784&gt;0,S4784&lt;=Umbral),1,0))</f>
        <v/>
      </c>
      <c r="AB4784" s="52">
        <f>IF(OR(P4784="",Q4784=""),"",IFERROR(IF(INDEX(ctaVinc,MATCH(Q4784,ctaNombre,0))&amp;""&lt;&gt;"",INDEX(ctaVinc,MATCH(Q4784,ctaNombre,0))&amp;"",Q4784),Q4784))</f>
        <v/>
      </c>
      <c r="AC4784" s="52">
        <f>IF(OR(K4784="",AND(P4784&lt;&gt;"Transferencia",P4784&lt;&gt;"Pago tarjeta")),"",IFERROR(IF(INDEX(ctaVinc,MATCH(K4784,ctaNombre,0))&amp;""&lt;&gt;"",INDEX(ctaVinc,MATCH(K4784,ctaNombre,0))&amp;"",K4784),K4784))</f>
        <v/>
      </c>
      <c r="AD4784" s="52">
        <f>IF(AB4784="","",IFERROR(INDEX(ctaTipo,MATCH(AB4784,ctaNombre,0))&amp;"",""))</f>
        <v/>
      </c>
      <c r="AE4784" s="52">
        <f>IF(AC4784="","",IFERROR(INDEX(ctaTipo,MATCH(AC4784,ctaNombre,0))&amp;"",""))</f>
        <v/>
      </c>
      <c r="AF4784" s="53">
        <f>IF(OR(P4784="",AB4784=""),"",IF(OR(P4784="Gasto",P4784="Transferencia",P4784="Pago tarjeta"),-1,1)*IF(IFERROR(INDEX(ctaMoneda,MATCH(AB4784,ctaNombre,0))&amp;"","DOP")="USD",T4784,S4784))</f>
        <v/>
      </c>
      <c r="AG4784" s="53">
        <f>IF(AC4784="","",IF(IFERROR(INDEX(ctaMoneda,MATCH(AC4784,ctaNombre,0))&amp;"","DOP")="USD",T4784,S4784))</f>
        <v/>
      </c>
      <c r="AH4784" s="53">
        <f>IF(P4784="","",IF(AND(AD4784&lt;&gt;"",COUNTIFS(tcTipo,AD4784,tcLiq,"Sí")&gt;0),IF(OR(P4784="Gasto",P4784="Transferencia",P4784="Pago tarjeta"),-1,1)*S4784,0)+IF(AND(AE4784&lt;&gt;"",COUNTIFS(tcTipo,AE4784,tcLiq,"Sí")&gt;0),S4784,0))</f>
        <v/>
      </c>
      <c r="AI4784" s="52">
        <f>IF(OR(L4784="",P4784=""),"",IF(COUNTIFS(L$6:L4784,L4784,P$6:P4784,"?*")=1,MAX(AI$5:AI4783)+1,""))</f>
        <v/>
      </c>
    </row>
    <row r="4785">
      <c r="B4785" s="47" t="n"/>
      <c r="C4785" s="48" t="n"/>
      <c r="D4785" s="48" t="n"/>
      <c r="E4785" s="48" t="n"/>
      <c r="F4785" s="48" t="n"/>
      <c r="G4785" s="49" t="n"/>
      <c r="H4785" s="48" t="n"/>
      <c r="I4785" s="50" t="n"/>
      <c r="J4785" s="48" t="n"/>
      <c r="K4785" s="48" t="n"/>
      <c r="L4785" s="48" t="n"/>
      <c r="M4785" s="48" t="n"/>
      <c r="N4785" s="48" t="n"/>
      <c r="O4785" s="51">
        <f>IF(AND(B4785="",G4785="",C4785="",D4785="",J4785=""),"",IF(B4785="","⚠ Falta fecha",IF(G4785="","⚠ Falta monto",IF(Q4785="","⚠ Falta cuenta",IF(ISNA(MATCH(Q4785,ctaNombre,0)),"⚠ Cuenta no registrada",IF(AND(OR(P4785="Gasto",P4785="Reembolso"),D4785=""),"⚠ Falta categoría",IF(AND(D4785&lt;&gt;"",E4785&lt;&gt;"",ISNA(MATCH(D4785&amp;"|"&amp;E4785,catClave,0))),"⚠ Subcategoría no corresponde",IF(AND(OR(P4785="Transferencia",P4785="Pago tarjeta"),K4785=""),"⚠ Falta cuenta destino",IF(AND(K4785&lt;&gt;"",P4785&lt;&gt;"Transferencia",P4785&lt;&gt;"Pago tarjeta"),"⚠ Destino solo aplica a transferencias",IF(AND(K4785&lt;&gt;"",K4785=Q4785),"⚠ Origen igual a destino",IF(AND(K4785&lt;&gt;"",ISNA(MATCH(K4785,ctaNombre,0))),"⚠ Destino no registrado",IF(AND(P4785="Pago tarjeta",AE4785&lt;&gt;"Tarjeta de crédito"),"⚠ El destino debe ser tarjeta de crédito",IF(AND(P4785="Gasto",E4785="Depósitos y retiros"),"⚠ Usa tipo Transferencia",IF(AND(P4785="Resultado trading",AD4785&lt;&gt;"Cuenta de trading"),"⚠ Usa una cuenta de trading",IF(AND(G4785&lt;=0,P4785&lt;&gt;"Ajuste",P4785&lt;&gt;"Resultado trading"),"⚠ El monto debe ser positivo","✓")))))))))))))))</f>
        <v/>
      </c>
      <c r="P4785" s="52">
        <f>IF(OR(B4785="",G4785=""),"",IF(C4785="","Gasto",C4785))</f>
        <v/>
      </c>
      <c r="Q4785" s="52">
        <f>IF(P4785="","",IF(J4785&lt;&gt;"",J4785,CuentaPred&amp;""))</f>
        <v/>
      </c>
      <c r="R4785" s="52">
        <f>IF(P4785="","",IF(ISNUMBER(I4785),I4785,TasaUSD))</f>
        <v/>
      </c>
      <c r="S4785" s="53">
        <f>IF(P4785="","",IF(H4785="USD",G4785*R4785,G4785))</f>
        <v/>
      </c>
      <c r="T4785" s="53">
        <f>IF(P4785="","",IF(H4785="USD",G4785,IF(R4785&gt;0,G4785/R4785,0)))</f>
        <v/>
      </c>
      <c r="U4785" s="53">
        <f>IF(P4785="","",IF(P4785="Gasto",S4785,IF(P4785="Reembolso",-S4785,0)))</f>
        <v/>
      </c>
      <c r="V4785" s="53">
        <f>IF(P4785="","",IF(P4785="Ingreso",S4785,0))</f>
        <v/>
      </c>
      <c r="W4785" s="53">
        <f>IF(P4785="","",IF(P4785="Resultado trading",S4785,0))</f>
        <v/>
      </c>
      <c r="X4785" s="52">
        <f>IF(OR(P4785="Gasto",P4785="Reembolso"),IF(M4785&lt;&gt;"",M4785,IFERROR(INDEX(catClasif,MATCH(D4785&amp;"|"&amp;E4785,catClave,0))&amp;"","Variable")),"")</f>
        <v/>
      </c>
      <c r="Y4785" s="52">
        <f>IF(P4785="","",IFERROR(INDEX(catGrupo,MATCH(D4785&amp;"|"&amp;E4785,catClave,0))&amp;"",""))</f>
        <v/>
      </c>
      <c r="Z4785" s="52">
        <f>IF(P4785="","",WEEKDAY(B4785,2))</f>
        <v/>
      </c>
      <c r="AA4785" s="52">
        <f>IF(P4785="","",IF(AND(P4785="Gasto",X4785="Variable",D4785&lt;&gt;catTrading,S4785&gt;0,S4785&lt;=Umbral),1,0))</f>
        <v/>
      </c>
      <c r="AB4785" s="52">
        <f>IF(OR(P4785="",Q4785=""),"",IFERROR(IF(INDEX(ctaVinc,MATCH(Q4785,ctaNombre,0))&amp;""&lt;&gt;"",INDEX(ctaVinc,MATCH(Q4785,ctaNombre,0))&amp;"",Q4785),Q4785))</f>
        <v/>
      </c>
      <c r="AC4785" s="52">
        <f>IF(OR(K4785="",AND(P4785&lt;&gt;"Transferencia",P4785&lt;&gt;"Pago tarjeta")),"",IFERROR(IF(INDEX(ctaVinc,MATCH(K4785,ctaNombre,0))&amp;""&lt;&gt;"",INDEX(ctaVinc,MATCH(K4785,ctaNombre,0))&amp;"",K4785),K4785))</f>
        <v/>
      </c>
      <c r="AD4785" s="52">
        <f>IF(AB4785="","",IFERROR(INDEX(ctaTipo,MATCH(AB4785,ctaNombre,0))&amp;"",""))</f>
        <v/>
      </c>
      <c r="AE4785" s="52">
        <f>IF(AC4785="","",IFERROR(INDEX(ctaTipo,MATCH(AC4785,ctaNombre,0))&amp;"",""))</f>
        <v/>
      </c>
      <c r="AF4785" s="53">
        <f>IF(OR(P4785="",AB4785=""),"",IF(OR(P4785="Gasto",P4785="Transferencia",P4785="Pago tarjeta"),-1,1)*IF(IFERROR(INDEX(ctaMoneda,MATCH(AB4785,ctaNombre,0))&amp;"","DOP")="USD",T4785,S4785))</f>
        <v/>
      </c>
      <c r="AG4785" s="53">
        <f>IF(AC4785="","",IF(IFERROR(INDEX(ctaMoneda,MATCH(AC4785,ctaNombre,0))&amp;"","DOP")="USD",T4785,S4785))</f>
        <v/>
      </c>
      <c r="AH4785" s="53">
        <f>IF(P4785="","",IF(AND(AD4785&lt;&gt;"",COUNTIFS(tcTipo,AD4785,tcLiq,"Sí")&gt;0),IF(OR(P4785="Gasto",P4785="Transferencia",P4785="Pago tarjeta"),-1,1)*S4785,0)+IF(AND(AE4785&lt;&gt;"",COUNTIFS(tcTipo,AE4785,tcLiq,"Sí")&gt;0),S4785,0))</f>
        <v/>
      </c>
      <c r="AI4785" s="52">
        <f>IF(OR(L4785="",P4785=""),"",IF(COUNTIFS(L$6:L4785,L4785,P$6:P4785,"?*")=1,MAX(AI$5:AI4784)+1,""))</f>
        <v/>
      </c>
    </row>
    <row r="4786">
      <c r="B4786" s="47" t="n"/>
      <c r="C4786" s="48" t="n"/>
      <c r="D4786" s="48" t="n"/>
      <c r="E4786" s="48" t="n"/>
      <c r="F4786" s="48" t="n"/>
      <c r="G4786" s="49" t="n"/>
      <c r="H4786" s="48" t="n"/>
      <c r="I4786" s="50" t="n"/>
      <c r="J4786" s="48" t="n"/>
      <c r="K4786" s="48" t="n"/>
      <c r="L4786" s="48" t="n"/>
      <c r="M4786" s="48" t="n"/>
      <c r="N4786" s="48" t="n"/>
      <c r="O4786" s="51">
        <f>IF(AND(B4786="",G4786="",C4786="",D4786="",J4786=""),"",IF(B4786="","⚠ Falta fecha",IF(G4786="","⚠ Falta monto",IF(Q4786="","⚠ Falta cuenta",IF(ISNA(MATCH(Q4786,ctaNombre,0)),"⚠ Cuenta no registrada",IF(AND(OR(P4786="Gasto",P4786="Reembolso"),D4786=""),"⚠ Falta categoría",IF(AND(D4786&lt;&gt;"",E4786&lt;&gt;"",ISNA(MATCH(D4786&amp;"|"&amp;E4786,catClave,0))),"⚠ Subcategoría no corresponde",IF(AND(OR(P4786="Transferencia",P4786="Pago tarjeta"),K4786=""),"⚠ Falta cuenta destino",IF(AND(K4786&lt;&gt;"",P4786&lt;&gt;"Transferencia",P4786&lt;&gt;"Pago tarjeta"),"⚠ Destino solo aplica a transferencias",IF(AND(K4786&lt;&gt;"",K4786=Q4786),"⚠ Origen igual a destino",IF(AND(K4786&lt;&gt;"",ISNA(MATCH(K4786,ctaNombre,0))),"⚠ Destino no registrado",IF(AND(P4786="Pago tarjeta",AE4786&lt;&gt;"Tarjeta de crédito"),"⚠ El destino debe ser tarjeta de crédito",IF(AND(P4786="Gasto",E4786="Depósitos y retiros"),"⚠ Usa tipo Transferencia",IF(AND(P4786="Resultado trading",AD4786&lt;&gt;"Cuenta de trading"),"⚠ Usa una cuenta de trading",IF(AND(G4786&lt;=0,P4786&lt;&gt;"Ajuste",P4786&lt;&gt;"Resultado trading"),"⚠ El monto debe ser positivo","✓")))))))))))))))</f>
        <v/>
      </c>
      <c r="P4786" s="52">
        <f>IF(OR(B4786="",G4786=""),"",IF(C4786="","Gasto",C4786))</f>
        <v/>
      </c>
      <c r="Q4786" s="52">
        <f>IF(P4786="","",IF(J4786&lt;&gt;"",J4786,CuentaPred&amp;""))</f>
        <v/>
      </c>
      <c r="R4786" s="52">
        <f>IF(P4786="","",IF(ISNUMBER(I4786),I4786,TasaUSD))</f>
        <v/>
      </c>
      <c r="S4786" s="53">
        <f>IF(P4786="","",IF(H4786="USD",G4786*R4786,G4786))</f>
        <v/>
      </c>
      <c r="T4786" s="53">
        <f>IF(P4786="","",IF(H4786="USD",G4786,IF(R4786&gt;0,G4786/R4786,0)))</f>
        <v/>
      </c>
      <c r="U4786" s="53">
        <f>IF(P4786="","",IF(P4786="Gasto",S4786,IF(P4786="Reembolso",-S4786,0)))</f>
        <v/>
      </c>
      <c r="V4786" s="53">
        <f>IF(P4786="","",IF(P4786="Ingreso",S4786,0))</f>
        <v/>
      </c>
      <c r="W4786" s="53">
        <f>IF(P4786="","",IF(P4786="Resultado trading",S4786,0))</f>
        <v/>
      </c>
      <c r="X4786" s="52">
        <f>IF(OR(P4786="Gasto",P4786="Reembolso"),IF(M4786&lt;&gt;"",M4786,IFERROR(INDEX(catClasif,MATCH(D4786&amp;"|"&amp;E4786,catClave,0))&amp;"","Variable")),"")</f>
        <v/>
      </c>
      <c r="Y4786" s="52">
        <f>IF(P4786="","",IFERROR(INDEX(catGrupo,MATCH(D4786&amp;"|"&amp;E4786,catClave,0))&amp;"",""))</f>
        <v/>
      </c>
      <c r="Z4786" s="52">
        <f>IF(P4786="","",WEEKDAY(B4786,2))</f>
        <v/>
      </c>
      <c r="AA4786" s="52">
        <f>IF(P4786="","",IF(AND(P4786="Gasto",X4786="Variable",D4786&lt;&gt;catTrading,S4786&gt;0,S4786&lt;=Umbral),1,0))</f>
        <v/>
      </c>
      <c r="AB4786" s="52">
        <f>IF(OR(P4786="",Q4786=""),"",IFERROR(IF(INDEX(ctaVinc,MATCH(Q4786,ctaNombre,0))&amp;""&lt;&gt;"",INDEX(ctaVinc,MATCH(Q4786,ctaNombre,0))&amp;"",Q4786),Q4786))</f>
        <v/>
      </c>
      <c r="AC4786" s="52">
        <f>IF(OR(K4786="",AND(P4786&lt;&gt;"Transferencia",P4786&lt;&gt;"Pago tarjeta")),"",IFERROR(IF(INDEX(ctaVinc,MATCH(K4786,ctaNombre,0))&amp;""&lt;&gt;"",INDEX(ctaVinc,MATCH(K4786,ctaNombre,0))&amp;"",K4786),K4786))</f>
        <v/>
      </c>
      <c r="AD4786" s="52">
        <f>IF(AB4786="","",IFERROR(INDEX(ctaTipo,MATCH(AB4786,ctaNombre,0))&amp;"",""))</f>
        <v/>
      </c>
      <c r="AE4786" s="52">
        <f>IF(AC4786="","",IFERROR(INDEX(ctaTipo,MATCH(AC4786,ctaNombre,0))&amp;"",""))</f>
        <v/>
      </c>
      <c r="AF4786" s="53">
        <f>IF(OR(P4786="",AB4786=""),"",IF(OR(P4786="Gasto",P4786="Transferencia",P4786="Pago tarjeta"),-1,1)*IF(IFERROR(INDEX(ctaMoneda,MATCH(AB4786,ctaNombre,0))&amp;"","DOP")="USD",T4786,S4786))</f>
        <v/>
      </c>
      <c r="AG4786" s="53">
        <f>IF(AC4786="","",IF(IFERROR(INDEX(ctaMoneda,MATCH(AC4786,ctaNombre,0))&amp;"","DOP")="USD",T4786,S4786))</f>
        <v/>
      </c>
      <c r="AH4786" s="53">
        <f>IF(P4786="","",IF(AND(AD4786&lt;&gt;"",COUNTIFS(tcTipo,AD4786,tcLiq,"Sí")&gt;0),IF(OR(P4786="Gasto",P4786="Transferencia",P4786="Pago tarjeta"),-1,1)*S4786,0)+IF(AND(AE4786&lt;&gt;"",COUNTIFS(tcTipo,AE4786,tcLiq,"Sí")&gt;0),S4786,0))</f>
        <v/>
      </c>
      <c r="AI4786" s="52">
        <f>IF(OR(L4786="",P4786=""),"",IF(COUNTIFS(L$6:L4786,L4786,P$6:P4786,"?*")=1,MAX(AI$5:AI4785)+1,""))</f>
        <v/>
      </c>
    </row>
    <row r="4787">
      <c r="B4787" s="47" t="n"/>
      <c r="C4787" s="48" t="n"/>
      <c r="D4787" s="48" t="n"/>
      <c r="E4787" s="48" t="n"/>
      <c r="F4787" s="48" t="n"/>
      <c r="G4787" s="49" t="n"/>
      <c r="H4787" s="48" t="n"/>
      <c r="I4787" s="50" t="n"/>
      <c r="J4787" s="48" t="n"/>
      <c r="K4787" s="48" t="n"/>
      <c r="L4787" s="48" t="n"/>
      <c r="M4787" s="48" t="n"/>
      <c r="N4787" s="48" t="n"/>
      <c r="O4787" s="51">
        <f>IF(AND(B4787="",G4787="",C4787="",D4787="",J4787=""),"",IF(B4787="","⚠ Falta fecha",IF(G4787="","⚠ Falta monto",IF(Q4787="","⚠ Falta cuenta",IF(ISNA(MATCH(Q4787,ctaNombre,0)),"⚠ Cuenta no registrada",IF(AND(OR(P4787="Gasto",P4787="Reembolso"),D4787=""),"⚠ Falta categoría",IF(AND(D4787&lt;&gt;"",E4787&lt;&gt;"",ISNA(MATCH(D4787&amp;"|"&amp;E4787,catClave,0))),"⚠ Subcategoría no corresponde",IF(AND(OR(P4787="Transferencia",P4787="Pago tarjeta"),K4787=""),"⚠ Falta cuenta destino",IF(AND(K4787&lt;&gt;"",P4787&lt;&gt;"Transferencia",P4787&lt;&gt;"Pago tarjeta"),"⚠ Destino solo aplica a transferencias",IF(AND(K4787&lt;&gt;"",K4787=Q4787),"⚠ Origen igual a destino",IF(AND(K4787&lt;&gt;"",ISNA(MATCH(K4787,ctaNombre,0))),"⚠ Destino no registrado",IF(AND(P4787="Pago tarjeta",AE4787&lt;&gt;"Tarjeta de crédito"),"⚠ El destino debe ser tarjeta de crédito",IF(AND(P4787="Gasto",E4787="Depósitos y retiros"),"⚠ Usa tipo Transferencia",IF(AND(P4787="Resultado trading",AD4787&lt;&gt;"Cuenta de trading"),"⚠ Usa una cuenta de trading",IF(AND(G4787&lt;=0,P4787&lt;&gt;"Ajuste",P4787&lt;&gt;"Resultado trading"),"⚠ El monto debe ser positivo","✓")))))))))))))))</f>
        <v/>
      </c>
      <c r="P4787" s="52">
        <f>IF(OR(B4787="",G4787=""),"",IF(C4787="","Gasto",C4787))</f>
        <v/>
      </c>
      <c r="Q4787" s="52">
        <f>IF(P4787="","",IF(J4787&lt;&gt;"",J4787,CuentaPred&amp;""))</f>
        <v/>
      </c>
      <c r="R4787" s="52">
        <f>IF(P4787="","",IF(ISNUMBER(I4787),I4787,TasaUSD))</f>
        <v/>
      </c>
      <c r="S4787" s="53">
        <f>IF(P4787="","",IF(H4787="USD",G4787*R4787,G4787))</f>
        <v/>
      </c>
      <c r="T4787" s="53">
        <f>IF(P4787="","",IF(H4787="USD",G4787,IF(R4787&gt;0,G4787/R4787,0)))</f>
        <v/>
      </c>
      <c r="U4787" s="53">
        <f>IF(P4787="","",IF(P4787="Gasto",S4787,IF(P4787="Reembolso",-S4787,0)))</f>
        <v/>
      </c>
      <c r="V4787" s="53">
        <f>IF(P4787="","",IF(P4787="Ingreso",S4787,0))</f>
        <v/>
      </c>
      <c r="W4787" s="53">
        <f>IF(P4787="","",IF(P4787="Resultado trading",S4787,0))</f>
        <v/>
      </c>
      <c r="X4787" s="52">
        <f>IF(OR(P4787="Gasto",P4787="Reembolso"),IF(M4787&lt;&gt;"",M4787,IFERROR(INDEX(catClasif,MATCH(D4787&amp;"|"&amp;E4787,catClave,0))&amp;"","Variable")),"")</f>
        <v/>
      </c>
      <c r="Y4787" s="52">
        <f>IF(P4787="","",IFERROR(INDEX(catGrupo,MATCH(D4787&amp;"|"&amp;E4787,catClave,0))&amp;"",""))</f>
        <v/>
      </c>
      <c r="Z4787" s="52">
        <f>IF(P4787="","",WEEKDAY(B4787,2))</f>
        <v/>
      </c>
      <c r="AA4787" s="52">
        <f>IF(P4787="","",IF(AND(P4787="Gasto",X4787="Variable",D4787&lt;&gt;catTrading,S4787&gt;0,S4787&lt;=Umbral),1,0))</f>
        <v/>
      </c>
      <c r="AB4787" s="52">
        <f>IF(OR(P4787="",Q4787=""),"",IFERROR(IF(INDEX(ctaVinc,MATCH(Q4787,ctaNombre,0))&amp;""&lt;&gt;"",INDEX(ctaVinc,MATCH(Q4787,ctaNombre,0))&amp;"",Q4787),Q4787))</f>
        <v/>
      </c>
      <c r="AC4787" s="52">
        <f>IF(OR(K4787="",AND(P4787&lt;&gt;"Transferencia",P4787&lt;&gt;"Pago tarjeta")),"",IFERROR(IF(INDEX(ctaVinc,MATCH(K4787,ctaNombre,0))&amp;""&lt;&gt;"",INDEX(ctaVinc,MATCH(K4787,ctaNombre,0))&amp;"",K4787),K4787))</f>
        <v/>
      </c>
      <c r="AD4787" s="52">
        <f>IF(AB4787="","",IFERROR(INDEX(ctaTipo,MATCH(AB4787,ctaNombre,0))&amp;"",""))</f>
        <v/>
      </c>
      <c r="AE4787" s="52">
        <f>IF(AC4787="","",IFERROR(INDEX(ctaTipo,MATCH(AC4787,ctaNombre,0))&amp;"",""))</f>
        <v/>
      </c>
      <c r="AF4787" s="53">
        <f>IF(OR(P4787="",AB4787=""),"",IF(OR(P4787="Gasto",P4787="Transferencia",P4787="Pago tarjeta"),-1,1)*IF(IFERROR(INDEX(ctaMoneda,MATCH(AB4787,ctaNombre,0))&amp;"","DOP")="USD",T4787,S4787))</f>
        <v/>
      </c>
      <c r="AG4787" s="53">
        <f>IF(AC4787="","",IF(IFERROR(INDEX(ctaMoneda,MATCH(AC4787,ctaNombre,0))&amp;"","DOP")="USD",T4787,S4787))</f>
        <v/>
      </c>
      <c r="AH4787" s="53">
        <f>IF(P4787="","",IF(AND(AD4787&lt;&gt;"",COUNTIFS(tcTipo,AD4787,tcLiq,"Sí")&gt;0),IF(OR(P4787="Gasto",P4787="Transferencia",P4787="Pago tarjeta"),-1,1)*S4787,0)+IF(AND(AE4787&lt;&gt;"",COUNTIFS(tcTipo,AE4787,tcLiq,"Sí")&gt;0),S4787,0))</f>
        <v/>
      </c>
      <c r="AI4787" s="52">
        <f>IF(OR(L4787="",P4787=""),"",IF(COUNTIFS(L$6:L4787,L4787,P$6:P4787,"?*")=1,MAX(AI$5:AI4786)+1,""))</f>
        <v/>
      </c>
    </row>
    <row r="4788">
      <c r="B4788" s="47" t="n"/>
      <c r="C4788" s="48" t="n"/>
      <c r="D4788" s="48" t="n"/>
      <c r="E4788" s="48" t="n"/>
      <c r="F4788" s="48" t="n"/>
      <c r="G4788" s="49" t="n"/>
      <c r="H4788" s="48" t="n"/>
      <c r="I4788" s="50" t="n"/>
      <c r="J4788" s="48" t="n"/>
      <c r="K4788" s="48" t="n"/>
      <c r="L4788" s="48" t="n"/>
      <c r="M4788" s="48" t="n"/>
      <c r="N4788" s="48" t="n"/>
      <c r="O4788" s="51">
        <f>IF(AND(B4788="",G4788="",C4788="",D4788="",J4788=""),"",IF(B4788="","⚠ Falta fecha",IF(G4788="","⚠ Falta monto",IF(Q4788="","⚠ Falta cuenta",IF(ISNA(MATCH(Q4788,ctaNombre,0)),"⚠ Cuenta no registrada",IF(AND(OR(P4788="Gasto",P4788="Reembolso"),D4788=""),"⚠ Falta categoría",IF(AND(D4788&lt;&gt;"",E4788&lt;&gt;"",ISNA(MATCH(D4788&amp;"|"&amp;E4788,catClave,0))),"⚠ Subcategoría no corresponde",IF(AND(OR(P4788="Transferencia",P4788="Pago tarjeta"),K4788=""),"⚠ Falta cuenta destino",IF(AND(K4788&lt;&gt;"",P4788&lt;&gt;"Transferencia",P4788&lt;&gt;"Pago tarjeta"),"⚠ Destino solo aplica a transferencias",IF(AND(K4788&lt;&gt;"",K4788=Q4788),"⚠ Origen igual a destino",IF(AND(K4788&lt;&gt;"",ISNA(MATCH(K4788,ctaNombre,0))),"⚠ Destino no registrado",IF(AND(P4788="Pago tarjeta",AE4788&lt;&gt;"Tarjeta de crédito"),"⚠ El destino debe ser tarjeta de crédito",IF(AND(P4788="Gasto",E4788="Depósitos y retiros"),"⚠ Usa tipo Transferencia",IF(AND(P4788="Resultado trading",AD4788&lt;&gt;"Cuenta de trading"),"⚠ Usa una cuenta de trading",IF(AND(G4788&lt;=0,P4788&lt;&gt;"Ajuste",P4788&lt;&gt;"Resultado trading"),"⚠ El monto debe ser positivo","✓")))))))))))))))</f>
        <v/>
      </c>
      <c r="P4788" s="52">
        <f>IF(OR(B4788="",G4788=""),"",IF(C4788="","Gasto",C4788))</f>
        <v/>
      </c>
      <c r="Q4788" s="52">
        <f>IF(P4788="","",IF(J4788&lt;&gt;"",J4788,CuentaPred&amp;""))</f>
        <v/>
      </c>
      <c r="R4788" s="52">
        <f>IF(P4788="","",IF(ISNUMBER(I4788),I4788,TasaUSD))</f>
        <v/>
      </c>
      <c r="S4788" s="53">
        <f>IF(P4788="","",IF(H4788="USD",G4788*R4788,G4788))</f>
        <v/>
      </c>
      <c r="T4788" s="53">
        <f>IF(P4788="","",IF(H4788="USD",G4788,IF(R4788&gt;0,G4788/R4788,0)))</f>
        <v/>
      </c>
      <c r="U4788" s="53">
        <f>IF(P4788="","",IF(P4788="Gasto",S4788,IF(P4788="Reembolso",-S4788,0)))</f>
        <v/>
      </c>
      <c r="V4788" s="53">
        <f>IF(P4788="","",IF(P4788="Ingreso",S4788,0))</f>
        <v/>
      </c>
      <c r="W4788" s="53">
        <f>IF(P4788="","",IF(P4788="Resultado trading",S4788,0))</f>
        <v/>
      </c>
      <c r="X4788" s="52">
        <f>IF(OR(P4788="Gasto",P4788="Reembolso"),IF(M4788&lt;&gt;"",M4788,IFERROR(INDEX(catClasif,MATCH(D4788&amp;"|"&amp;E4788,catClave,0))&amp;"","Variable")),"")</f>
        <v/>
      </c>
      <c r="Y4788" s="52">
        <f>IF(P4788="","",IFERROR(INDEX(catGrupo,MATCH(D4788&amp;"|"&amp;E4788,catClave,0))&amp;"",""))</f>
        <v/>
      </c>
      <c r="Z4788" s="52">
        <f>IF(P4788="","",WEEKDAY(B4788,2))</f>
        <v/>
      </c>
      <c r="AA4788" s="52">
        <f>IF(P4788="","",IF(AND(P4788="Gasto",X4788="Variable",D4788&lt;&gt;catTrading,S4788&gt;0,S4788&lt;=Umbral),1,0))</f>
        <v/>
      </c>
      <c r="AB4788" s="52">
        <f>IF(OR(P4788="",Q4788=""),"",IFERROR(IF(INDEX(ctaVinc,MATCH(Q4788,ctaNombre,0))&amp;""&lt;&gt;"",INDEX(ctaVinc,MATCH(Q4788,ctaNombre,0))&amp;"",Q4788),Q4788))</f>
        <v/>
      </c>
      <c r="AC4788" s="52">
        <f>IF(OR(K4788="",AND(P4788&lt;&gt;"Transferencia",P4788&lt;&gt;"Pago tarjeta")),"",IFERROR(IF(INDEX(ctaVinc,MATCH(K4788,ctaNombre,0))&amp;""&lt;&gt;"",INDEX(ctaVinc,MATCH(K4788,ctaNombre,0))&amp;"",K4788),K4788))</f>
        <v/>
      </c>
      <c r="AD4788" s="52">
        <f>IF(AB4788="","",IFERROR(INDEX(ctaTipo,MATCH(AB4788,ctaNombre,0))&amp;"",""))</f>
        <v/>
      </c>
      <c r="AE4788" s="52">
        <f>IF(AC4788="","",IFERROR(INDEX(ctaTipo,MATCH(AC4788,ctaNombre,0))&amp;"",""))</f>
        <v/>
      </c>
      <c r="AF4788" s="53">
        <f>IF(OR(P4788="",AB4788=""),"",IF(OR(P4788="Gasto",P4788="Transferencia",P4788="Pago tarjeta"),-1,1)*IF(IFERROR(INDEX(ctaMoneda,MATCH(AB4788,ctaNombre,0))&amp;"","DOP")="USD",T4788,S4788))</f>
        <v/>
      </c>
      <c r="AG4788" s="53">
        <f>IF(AC4788="","",IF(IFERROR(INDEX(ctaMoneda,MATCH(AC4788,ctaNombre,0))&amp;"","DOP")="USD",T4788,S4788))</f>
        <v/>
      </c>
      <c r="AH4788" s="53">
        <f>IF(P4788="","",IF(AND(AD4788&lt;&gt;"",COUNTIFS(tcTipo,AD4788,tcLiq,"Sí")&gt;0),IF(OR(P4788="Gasto",P4788="Transferencia",P4788="Pago tarjeta"),-1,1)*S4788,0)+IF(AND(AE4788&lt;&gt;"",COUNTIFS(tcTipo,AE4788,tcLiq,"Sí")&gt;0),S4788,0))</f>
        <v/>
      </c>
      <c r="AI4788" s="52">
        <f>IF(OR(L4788="",P4788=""),"",IF(COUNTIFS(L$6:L4788,L4788,P$6:P4788,"?*")=1,MAX(AI$5:AI4787)+1,""))</f>
        <v/>
      </c>
    </row>
    <row r="4789">
      <c r="B4789" s="47" t="n"/>
      <c r="C4789" s="48" t="n"/>
      <c r="D4789" s="48" t="n"/>
      <c r="E4789" s="48" t="n"/>
      <c r="F4789" s="48" t="n"/>
      <c r="G4789" s="49" t="n"/>
      <c r="H4789" s="48" t="n"/>
      <c r="I4789" s="50" t="n"/>
      <c r="J4789" s="48" t="n"/>
      <c r="K4789" s="48" t="n"/>
      <c r="L4789" s="48" t="n"/>
      <c r="M4789" s="48" t="n"/>
      <c r="N4789" s="48" t="n"/>
      <c r="O4789" s="51">
        <f>IF(AND(B4789="",G4789="",C4789="",D4789="",J4789=""),"",IF(B4789="","⚠ Falta fecha",IF(G4789="","⚠ Falta monto",IF(Q4789="","⚠ Falta cuenta",IF(ISNA(MATCH(Q4789,ctaNombre,0)),"⚠ Cuenta no registrada",IF(AND(OR(P4789="Gasto",P4789="Reembolso"),D4789=""),"⚠ Falta categoría",IF(AND(D4789&lt;&gt;"",E4789&lt;&gt;"",ISNA(MATCH(D4789&amp;"|"&amp;E4789,catClave,0))),"⚠ Subcategoría no corresponde",IF(AND(OR(P4789="Transferencia",P4789="Pago tarjeta"),K4789=""),"⚠ Falta cuenta destino",IF(AND(K4789&lt;&gt;"",P4789&lt;&gt;"Transferencia",P4789&lt;&gt;"Pago tarjeta"),"⚠ Destino solo aplica a transferencias",IF(AND(K4789&lt;&gt;"",K4789=Q4789),"⚠ Origen igual a destino",IF(AND(K4789&lt;&gt;"",ISNA(MATCH(K4789,ctaNombre,0))),"⚠ Destino no registrado",IF(AND(P4789="Pago tarjeta",AE4789&lt;&gt;"Tarjeta de crédito"),"⚠ El destino debe ser tarjeta de crédito",IF(AND(P4789="Gasto",E4789="Depósitos y retiros"),"⚠ Usa tipo Transferencia",IF(AND(P4789="Resultado trading",AD4789&lt;&gt;"Cuenta de trading"),"⚠ Usa una cuenta de trading",IF(AND(G4789&lt;=0,P4789&lt;&gt;"Ajuste",P4789&lt;&gt;"Resultado trading"),"⚠ El monto debe ser positivo","✓")))))))))))))))</f>
        <v/>
      </c>
      <c r="P4789" s="52">
        <f>IF(OR(B4789="",G4789=""),"",IF(C4789="","Gasto",C4789))</f>
        <v/>
      </c>
      <c r="Q4789" s="52">
        <f>IF(P4789="","",IF(J4789&lt;&gt;"",J4789,CuentaPred&amp;""))</f>
        <v/>
      </c>
      <c r="R4789" s="52">
        <f>IF(P4789="","",IF(ISNUMBER(I4789),I4789,TasaUSD))</f>
        <v/>
      </c>
      <c r="S4789" s="53">
        <f>IF(P4789="","",IF(H4789="USD",G4789*R4789,G4789))</f>
        <v/>
      </c>
      <c r="T4789" s="53">
        <f>IF(P4789="","",IF(H4789="USD",G4789,IF(R4789&gt;0,G4789/R4789,0)))</f>
        <v/>
      </c>
      <c r="U4789" s="53">
        <f>IF(P4789="","",IF(P4789="Gasto",S4789,IF(P4789="Reembolso",-S4789,0)))</f>
        <v/>
      </c>
      <c r="V4789" s="53">
        <f>IF(P4789="","",IF(P4789="Ingreso",S4789,0))</f>
        <v/>
      </c>
      <c r="W4789" s="53">
        <f>IF(P4789="","",IF(P4789="Resultado trading",S4789,0))</f>
        <v/>
      </c>
      <c r="X4789" s="52">
        <f>IF(OR(P4789="Gasto",P4789="Reembolso"),IF(M4789&lt;&gt;"",M4789,IFERROR(INDEX(catClasif,MATCH(D4789&amp;"|"&amp;E4789,catClave,0))&amp;"","Variable")),"")</f>
        <v/>
      </c>
      <c r="Y4789" s="52">
        <f>IF(P4789="","",IFERROR(INDEX(catGrupo,MATCH(D4789&amp;"|"&amp;E4789,catClave,0))&amp;"",""))</f>
        <v/>
      </c>
      <c r="Z4789" s="52">
        <f>IF(P4789="","",WEEKDAY(B4789,2))</f>
        <v/>
      </c>
      <c r="AA4789" s="52">
        <f>IF(P4789="","",IF(AND(P4789="Gasto",X4789="Variable",D4789&lt;&gt;catTrading,S4789&gt;0,S4789&lt;=Umbral),1,0))</f>
        <v/>
      </c>
      <c r="AB4789" s="52">
        <f>IF(OR(P4789="",Q4789=""),"",IFERROR(IF(INDEX(ctaVinc,MATCH(Q4789,ctaNombre,0))&amp;""&lt;&gt;"",INDEX(ctaVinc,MATCH(Q4789,ctaNombre,0))&amp;"",Q4789),Q4789))</f>
        <v/>
      </c>
      <c r="AC4789" s="52">
        <f>IF(OR(K4789="",AND(P4789&lt;&gt;"Transferencia",P4789&lt;&gt;"Pago tarjeta")),"",IFERROR(IF(INDEX(ctaVinc,MATCH(K4789,ctaNombre,0))&amp;""&lt;&gt;"",INDEX(ctaVinc,MATCH(K4789,ctaNombre,0))&amp;"",K4789),K4789))</f>
        <v/>
      </c>
      <c r="AD4789" s="52">
        <f>IF(AB4789="","",IFERROR(INDEX(ctaTipo,MATCH(AB4789,ctaNombre,0))&amp;"",""))</f>
        <v/>
      </c>
      <c r="AE4789" s="52">
        <f>IF(AC4789="","",IFERROR(INDEX(ctaTipo,MATCH(AC4789,ctaNombre,0))&amp;"",""))</f>
        <v/>
      </c>
      <c r="AF4789" s="53">
        <f>IF(OR(P4789="",AB4789=""),"",IF(OR(P4789="Gasto",P4789="Transferencia",P4789="Pago tarjeta"),-1,1)*IF(IFERROR(INDEX(ctaMoneda,MATCH(AB4789,ctaNombre,0))&amp;"","DOP")="USD",T4789,S4789))</f>
        <v/>
      </c>
      <c r="AG4789" s="53">
        <f>IF(AC4789="","",IF(IFERROR(INDEX(ctaMoneda,MATCH(AC4789,ctaNombre,0))&amp;"","DOP")="USD",T4789,S4789))</f>
        <v/>
      </c>
      <c r="AH4789" s="53">
        <f>IF(P4789="","",IF(AND(AD4789&lt;&gt;"",COUNTIFS(tcTipo,AD4789,tcLiq,"Sí")&gt;0),IF(OR(P4789="Gasto",P4789="Transferencia",P4789="Pago tarjeta"),-1,1)*S4789,0)+IF(AND(AE4789&lt;&gt;"",COUNTIFS(tcTipo,AE4789,tcLiq,"Sí")&gt;0),S4789,0))</f>
        <v/>
      </c>
      <c r="AI4789" s="52">
        <f>IF(OR(L4789="",P4789=""),"",IF(COUNTIFS(L$6:L4789,L4789,P$6:P4789,"?*")=1,MAX(AI$5:AI4788)+1,""))</f>
        <v/>
      </c>
    </row>
    <row r="4790">
      <c r="B4790" s="47" t="n"/>
      <c r="C4790" s="48" t="n"/>
      <c r="D4790" s="48" t="n"/>
      <c r="E4790" s="48" t="n"/>
      <c r="F4790" s="48" t="n"/>
      <c r="G4790" s="49" t="n"/>
      <c r="H4790" s="48" t="n"/>
      <c r="I4790" s="50" t="n"/>
      <c r="J4790" s="48" t="n"/>
      <c r="K4790" s="48" t="n"/>
      <c r="L4790" s="48" t="n"/>
      <c r="M4790" s="48" t="n"/>
      <c r="N4790" s="48" t="n"/>
      <c r="O4790" s="51">
        <f>IF(AND(B4790="",G4790="",C4790="",D4790="",J4790=""),"",IF(B4790="","⚠ Falta fecha",IF(G4790="","⚠ Falta monto",IF(Q4790="","⚠ Falta cuenta",IF(ISNA(MATCH(Q4790,ctaNombre,0)),"⚠ Cuenta no registrada",IF(AND(OR(P4790="Gasto",P4790="Reembolso"),D4790=""),"⚠ Falta categoría",IF(AND(D4790&lt;&gt;"",E4790&lt;&gt;"",ISNA(MATCH(D4790&amp;"|"&amp;E4790,catClave,0))),"⚠ Subcategoría no corresponde",IF(AND(OR(P4790="Transferencia",P4790="Pago tarjeta"),K4790=""),"⚠ Falta cuenta destino",IF(AND(K4790&lt;&gt;"",P4790&lt;&gt;"Transferencia",P4790&lt;&gt;"Pago tarjeta"),"⚠ Destino solo aplica a transferencias",IF(AND(K4790&lt;&gt;"",K4790=Q4790),"⚠ Origen igual a destino",IF(AND(K4790&lt;&gt;"",ISNA(MATCH(K4790,ctaNombre,0))),"⚠ Destino no registrado",IF(AND(P4790="Pago tarjeta",AE4790&lt;&gt;"Tarjeta de crédito"),"⚠ El destino debe ser tarjeta de crédito",IF(AND(P4790="Gasto",E4790="Depósitos y retiros"),"⚠ Usa tipo Transferencia",IF(AND(P4790="Resultado trading",AD4790&lt;&gt;"Cuenta de trading"),"⚠ Usa una cuenta de trading",IF(AND(G4790&lt;=0,P4790&lt;&gt;"Ajuste",P4790&lt;&gt;"Resultado trading"),"⚠ El monto debe ser positivo","✓")))))))))))))))</f>
        <v/>
      </c>
      <c r="P4790" s="52">
        <f>IF(OR(B4790="",G4790=""),"",IF(C4790="","Gasto",C4790))</f>
        <v/>
      </c>
      <c r="Q4790" s="52">
        <f>IF(P4790="","",IF(J4790&lt;&gt;"",J4790,CuentaPred&amp;""))</f>
        <v/>
      </c>
      <c r="R4790" s="52">
        <f>IF(P4790="","",IF(ISNUMBER(I4790),I4790,TasaUSD))</f>
        <v/>
      </c>
      <c r="S4790" s="53">
        <f>IF(P4790="","",IF(H4790="USD",G4790*R4790,G4790))</f>
        <v/>
      </c>
      <c r="T4790" s="53">
        <f>IF(P4790="","",IF(H4790="USD",G4790,IF(R4790&gt;0,G4790/R4790,0)))</f>
        <v/>
      </c>
      <c r="U4790" s="53">
        <f>IF(P4790="","",IF(P4790="Gasto",S4790,IF(P4790="Reembolso",-S4790,0)))</f>
        <v/>
      </c>
      <c r="V4790" s="53">
        <f>IF(P4790="","",IF(P4790="Ingreso",S4790,0))</f>
        <v/>
      </c>
      <c r="W4790" s="53">
        <f>IF(P4790="","",IF(P4790="Resultado trading",S4790,0))</f>
        <v/>
      </c>
      <c r="X4790" s="52">
        <f>IF(OR(P4790="Gasto",P4790="Reembolso"),IF(M4790&lt;&gt;"",M4790,IFERROR(INDEX(catClasif,MATCH(D4790&amp;"|"&amp;E4790,catClave,0))&amp;"","Variable")),"")</f>
        <v/>
      </c>
      <c r="Y4790" s="52">
        <f>IF(P4790="","",IFERROR(INDEX(catGrupo,MATCH(D4790&amp;"|"&amp;E4790,catClave,0))&amp;"",""))</f>
        <v/>
      </c>
      <c r="Z4790" s="52">
        <f>IF(P4790="","",WEEKDAY(B4790,2))</f>
        <v/>
      </c>
      <c r="AA4790" s="52">
        <f>IF(P4790="","",IF(AND(P4790="Gasto",X4790="Variable",D4790&lt;&gt;catTrading,S4790&gt;0,S4790&lt;=Umbral),1,0))</f>
        <v/>
      </c>
      <c r="AB4790" s="52">
        <f>IF(OR(P4790="",Q4790=""),"",IFERROR(IF(INDEX(ctaVinc,MATCH(Q4790,ctaNombre,0))&amp;""&lt;&gt;"",INDEX(ctaVinc,MATCH(Q4790,ctaNombre,0))&amp;"",Q4790),Q4790))</f>
        <v/>
      </c>
      <c r="AC4790" s="52">
        <f>IF(OR(K4790="",AND(P4790&lt;&gt;"Transferencia",P4790&lt;&gt;"Pago tarjeta")),"",IFERROR(IF(INDEX(ctaVinc,MATCH(K4790,ctaNombre,0))&amp;""&lt;&gt;"",INDEX(ctaVinc,MATCH(K4790,ctaNombre,0))&amp;"",K4790),K4790))</f>
        <v/>
      </c>
      <c r="AD4790" s="52">
        <f>IF(AB4790="","",IFERROR(INDEX(ctaTipo,MATCH(AB4790,ctaNombre,0))&amp;"",""))</f>
        <v/>
      </c>
      <c r="AE4790" s="52">
        <f>IF(AC4790="","",IFERROR(INDEX(ctaTipo,MATCH(AC4790,ctaNombre,0))&amp;"",""))</f>
        <v/>
      </c>
      <c r="AF4790" s="53">
        <f>IF(OR(P4790="",AB4790=""),"",IF(OR(P4790="Gasto",P4790="Transferencia",P4790="Pago tarjeta"),-1,1)*IF(IFERROR(INDEX(ctaMoneda,MATCH(AB4790,ctaNombre,0))&amp;"","DOP")="USD",T4790,S4790))</f>
        <v/>
      </c>
      <c r="AG4790" s="53">
        <f>IF(AC4790="","",IF(IFERROR(INDEX(ctaMoneda,MATCH(AC4790,ctaNombre,0))&amp;"","DOP")="USD",T4790,S4790))</f>
        <v/>
      </c>
      <c r="AH4790" s="53">
        <f>IF(P4790="","",IF(AND(AD4790&lt;&gt;"",COUNTIFS(tcTipo,AD4790,tcLiq,"Sí")&gt;0),IF(OR(P4790="Gasto",P4790="Transferencia",P4790="Pago tarjeta"),-1,1)*S4790,0)+IF(AND(AE4790&lt;&gt;"",COUNTIFS(tcTipo,AE4790,tcLiq,"Sí")&gt;0),S4790,0))</f>
        <v/>
      </c>
      <c r="AI4790" s="52">
        <f>IF(OR(L4790="",P4790=""),"",IF(COUNTIFS(L$6:L4790,L4790,P$6:P4790,"?*")=1,MAX(AI$5:AI4789)+1,""))</f>
        <v/>
      </c>
    </row>
    <row r="4791">
      <c r="B4791" s="47" t="n"/>
      <c r="C4791" s="48" t="n"/>
      <c r="D4791" s="48" t="n"/>
      <c r="E4791" s="48" t="n"/>
      <c r="F4791" s="48" t="n"/>
      <c r="G4791" s="49" t="n"/>
      <c r="H4791" s="48" t="n"/>
      <c r="I4791" s="50" t="n"/>
      <c r="J4791" s="48" t="n"/>
      <c r="K4791" s="48" t="n"/>
      <c r="L4791" s="48" t="n"/>
      <c r="M4791" s="48" t="n"/>
      <c r="N4791" s="48" t="n"/>
      <c r="O4791" s="51">
        <f>IF(AND(B4791="",G4791="",C4791="",D4791="",J4791=""),"",IF(B4791="","⚠ Falta fecha",IF(G4791="","⚠ Falta monto",IF(Q4791="","⚠ Falta cuenta",IF(ISNA(MATCH(Q4791,ctaNombre,0)),"⚠ Cuenta no registrada",IF(AND(OR(P4791="Gasto",P4791="Reembolso"),D4791=""),"⚠ Falta categoría",IF(AND(D4791&lt;&gt;"",E4791&lt;&gt;"",ISNA(MATCH(D4791&amp;"|"&amp;E4791,catClave,0))),"⚠ Subcategoría no corresponde",IF(AND(OR(P4791="Transferencia",P4791="Pago tarjeta"),K4791=""),"⚠ Falta cuenta destino",IF(AND(K4791&lt;&gt;"",P4791&lt;&gt;"Transferencia",P4791&lt;&gt;"Pago tarjeta"),"⚠ Destino solo aplica a transferencias",IF(AND(K4791&lt;&gt;"",K4791=Q4791),"⚠ Origen igual a destino",IF(AND(K4791&lt;&gt;"",ISNA(MATCH(K4791,ctaNombre,0))),"⚠ Destino no registrado",IF(AND(P4791="Pago tarjeta",AE4791&lt;&gt;"Tarjeta de crédito"),"⚠ El destino debe ser tarjeta de crédito",IF(AND(P4791="Gasto",E4791="Depósitos y retiros"),"⚠ Usa tipo Transferencia",IF(AND(P4791="Resultado trading",AD4791&lt;&gt;"Cuenta de trading"),"⚠ Usa una cuenta de trading",IF(AND(G4791&lt;=0,P4791&lt;&gt;"Ajuste",P4791&lt;&gt;"Resultado trading"),"⚠ El monto debe ser positivo","✓")))))))))))))))</f>
        <v/>
      </c>
      <c r="P4791" s="52">
        <f>IF(OR(B4791="",G4791=""),"",IF(C4791="","Gasto",C4791))</f>
        <v/>
      </c>
      <c r="Q4791" s="52">
        <f>IF(P4791="","",IF(J4791&lt;&gt;"",J4791,CuentaPred&amp;""))</f>
        <v/>
      </c>
      <c r="R4791" s="52">
        <f>IF(P4791="","",IF(ISNUMBER(I4791),I4791,TasaUSD))</f>
        <v/>
      </c>
      <c r="S4791" s="53">
        <f>IF(P4791="","",IF(H4791="USD",G4791*R4791,G4791))</f>
        <v/>
      </c>
      <c r="T4791" s="53">
        <f>IF(P4791="","",IF(H4791="USD",G4791,IF(R4791&gt;0,G4791/R4791,0)))</f>
        <v/>
      </c>
      <c r="U4791" s="53">
        <f>IF(P4791="","",IF(P4791="Gasto",S4791,IF(P4791="Reembolso",-S4791,0)))</f>
        <v/>
      </c>
      <c r="V4791" s="53">
        <f>IF(P4791="","",IF(P4791="Ingreso",S4791,0))</f>
        <v/>
      </c>
      <c r="W4791" s="53">
        <f>IF(P4791="","",IF(P4791="Resultado trading",S4791,0))</f>
        <v/>
      </c>
      <c r="X4791" s="52">
        <f>IF(OR(P4791="Gasto",P4791="Reembolso"),IF(M4791&lt;&gt;"",M4791,IFERROR(INDEX(catClasif,MATCH(D4791&amp;"|"&amp;E4791,catClave,0))&amp;"","Variable")),"")</f>
        <v/>
      </c>
      <c r="Y4791" s="52">
        <f>IF(P4791="","",IFERROR(INDEX(catGrupo,MATCH(D4791&amp;"|"&amp;E4791,catClave,0))&amp;"",""))</f>
        <v/>
      </c>
      <c r="Z4791" s="52">
        <f>IF(P4791="","",WEEKDAY(B4791,2))</f>
        <v/>
      </c>
      <c r="AA4791" s="52">
        <f>IF(P4791="","",IF(AND(P4791="Gasto",X4791="Variable",D4791&lt;&gt;catTrading,S4791&gt;0,S4791&lt;=Umbral),1,0))</f>
        <v/>
      </c>
      <c r="AB4791" s="52">
        <f>IF(OR(P4791="",Q4791=""),"",IFERROR(IF(INDEX(ctaVinc,MATCH(Q4791,ctaNombre,0))&amp;""&lt;&gt;"",INDEX(ctaVinc,MATCH(Q4791,ctaNombre,0))&amp;"",Q4791),Q4791))</f>
        <v/>
      </c>
      <c r="AC4791" s="52">
        <f>IF(OR(K4791="",AND(P4791&lt;&gt;"Transferencia",P4791&lt;&gt;"Pago tarjeta")),"",IFERROR(IF(INDEX(ctaVinc,MATCH(K4791,ctaNombre,0))&amp;""&lt;&gt;"",INDEX(ctaVinc,MATCH(K4791,ctaNombre,0))&amp;"",K4791),K4791))</f>
        <v/>
      </c>
      <c r="AD4791" s="52">
        <f>IF(AB4791="","",IFERROR(INDEX(ctaTipo,MATCH(AB4791,ctaNombre,0))&amp;"",""))</f>
        <v/>
      </c>
      <c r="AE4791" s="52">
        <f>IF(AC4791="","",IFERROR(INDEX(ctaTipo,MATCH(AC4791,ctaNombre,0))&amp;"",""))</f>
        <v/>
      </c>
      <c r="AF4791" s="53">
        <f>IF(OR(P4791="",AB4791=""),"",IF(OR(P4791="Gasto",P4791="Transferencia",P4791="Pago tarjeta"),-1,1)*IF(IFERROR(INDEX(ctaMoneda,MATCH(AB4791,ctaNombre,0))&amp;"","DOP")="USD",T4791,S4791))</f>
        <v/>
      </c>
      <c r="AG4791" s="53">
        <f>IF(AC4791="","",IF(IFERROR(INDEX(ctaMoneda,MATCH(AC4791,ctaNombre,0))&amp;"","DOP")="USD",T4791,S4791))</f>
        <v/>
      </c>
      <c r="AH4791" s="53">
        <f>IF(P4791="","",IF(AND(AD4791&lt;&gt;"",COUNTIFS(tcTipo,AD4791,tcLiq,"Sí")&gt;0),IF(OR(P4791="Gasto",P4791="Transferencia",P4791="Pago tarjeta"),-1,1)*S4791,0)+IF(AND(AE4791&lt;&gt;"",COUNTIFS(tcTipo,AE4791,tcLiq,"Sí")&gt;0),S4791,0))</f>
        <v/>
      </c>
      <c r="AI4791" s="52">
        <f>IF(OR(L4791="",P4791=""),"",IF(COUNTIFS(L$6:L4791,L4791,P$6:P4791,"?*")=1,MAX(AI$5:AI4790)+1,""))</f>
        <v/>
      </c>
    </row>
    <row r="4792">
      <c r="B4792" s="47" t="n"/>
      <c r="C4792" s="48" t="n"/>
      <c r="D4792" s="48" t="n"/>
      <c r="E4792" s="48" t="n"/>
      <c r="F4792" s="48" t="n"/>
      <c r="G4792" s="49" t="n"/>
      <c r="H4792" s="48" t="n"/>
      <c r="I4792" s="50" t="n"/>
      <c r="J4792" s="48" t="n"/>
      <c r="K4792" s="48" t="n"/>
      <c r="L4792" s="48" t="n"/>
      <c r="M4792" s="48" t="n"/>
      <c r="N4792" s="48" t="n"/>
      <c r="O4792" s="51">
        <f>IF(AND(B4792="",G4792="",C4792="",D4792="",J4792=""),"",IF(B4792="","⚠ Falta fecha",IF(G4792="","⚠ Falta monto",IF(Q4792="","⚠ Falta cuenta",IF(ISNA(MATCH(Q4792,ctaNombre,0)),"⚠ Cuenta no registrada",IF(AND(OR(P4792="Gasto",P4792="Reembolso"),D4792=""),"⚠ Falta categoría",IF(AND(D4792&lt;&gt;"",E4792&lt;&gt;"",ISNA(MATCH(D4792&amp;"|"&amp;E4792,catClave,0))),"⚠ Subcategoría no corresponde",IF(AND(OR(P4792="Transferencia",P4792="Pago tarjeta"),K4792=""),"⚠ Falta cuenta destino",IF(AND(K4792&lt;&gt;"",P4792&lt;&gt;"Transferencia",P4792&lt;&gt;"Pago tarjeta"),"⚠ Destino solo aplica a transferencias",IF(AND(K4792&lt;&gt;"",K4792=Q4792),"⚠ Origen igual a destino",IF(AND(K4792&lt;&gt;"",ISNA(MATCH(K4792,ctaNombre,0))),"⚠ Destino no registrado",IF(AND(P4792="Pago tarjeta",AE4792&lt;&gt;"Tarjeta de crédito"),"⚠ El destino debe ser tarjeta de crédito",IF(AND(P4792="Gasto",E4792="Depósitos y retiros"),"⚠ Usa tipo Transferencia",IF(AND(P4792="Resultado trading",AD4792&lt;&gt;"Cuenta de trading"),"⚠ Usa una cuenta de trading",IF(AND(G4792&lt;=0,P4792&lt;&gt;"Ajuste",P4792&lt;&gt;"Resultado trading"),"⚠ El monto debe ser positivo","✓")))))))))))))))</f>
        <v/>
      </c>
      <c r="P4792" s="52">
        <f>IF(OR(B4792="",G4792=""),"",IF(C4792="","Gasto",C4792))</f>
        <v/>
      </c>
      <c r="Q4792" s="52">
        <f>IF(P4792="","",IF(J4792&lt;&gt;"",J4792,CuentaPred&amp;""))</f>
        <v/>
      </c>
      <c r="R4792" s="52">
        <f>IF(P4792="","",IF(ISNUMBER(I4792),I4792,TasaUSD))</f>
        <v/>
      </c>
      <c r="S4792" s="53">
        <f>IF(P4792="","",IF(H4792="USD",G4792*R4792,G4792))</f>
        <v/>
      </c>
      <c r="T4792" s="53">
        <f>IF(P4792="","",IF(H4792="USD",G4792,IF(R4792&gt;0,G4792/R4792,0)))</f>
        <v/>
      </c>
      <c r="U4792" s="53">
        <f>IF(P4792="","",IF(P4792="Gasto",S4792,IF(P4792="Reembolso",-S4792,0)))</f>
        <v/>
      </c>
      <c r="V4792" s="53">
        <f>IF(P4792="","",IF(P4792="Ingreso",S4792,0))</f>
        <v/>
      </c>
      <c r="W4792" s="53">
        <f>IF(P4792="","",IF(P4792="Resultado trading",S4792,0))</f>
        <v/>
      </c>
      <c r="X4792" s="52">
        <f>IF(OR(P4792="Gasto",P4792="Reembolso"),IF(M4792&lt;&gt;"",M4792,IFERROR(INDEX(catClasif,MATCH(D4792&amp;"|"&amp;E4792,catClave,0))&amp;"","Variable")),"")</f>
        <v/>
      </c>
      <c r="Y4792" s="52">
        <f>IF(P4792="","",IFERROR(INDEX(catGrupo,MATCH(D4792&amp;"|"&amp;E4792,catClave,0))&amp;"",""))</f>
        <v/>
      </c>
      <c r="Z4792" s="52">
        <f>IF(P4792="","",WEEKDAY(B4792,2))</f>
        <v/>
      </c>
      <c r="AA4792" s="52">
        <f>IF(P4792="","",IF(AND(P4792="Gasto",X4792="Variable",D4792&lt;&gt;catTrading,S4792&gt;0,S4792&lt;=Umbral),1,0))</f>
        <v/>
      </c>
      <c r="AB4792" s="52">
        <f>IF(OR(P4792="",Q4792=""),"",IFERROR(IF(INDEX(ctaVinc,MATCH(Q4792,ctaNombre,0))&amp;""&lt;&gt;"",INDEX(ctaVinc,MATCH(Q4792,ctaNombre,0))&amp;"",Q4792),Q4792))</f>
        <v/>
      </c>
      <c r="AC4792" s="52">
        <f>IF(OR(K4792="",AND(P4792&lt;&gt;"Transferencia",P4792&lt;&gt;"Pago tarjeta")),"",IFERROR(IF(INDEX(ctaVinc,MATCH(K4792,ctaNombre,0))&amp;""&lt;&gt;"",INDEX(ctaVinc,MATCH(K4792,ctaNombre,0))&amp;"",K4792),K4792))</f>
        <v/>
      </c>
      <c r="AD4792" s="52">
        <f>IF(AB4792="","",IFERROR(INDEX(ctaTipo,MATCH(AB4792,ctaNombre,0))&amp;"",""))</f>
        <v/>
      </c>
      <c r="AE4792" s="52">
        <f>IF(AC4792="","",IFERROR(INDEX(ctaTipo,MATCH(AC4792,ctaNombre,0))&amp;"",""))</f>
        <v/>
      </c>
      <c r="AF4792" s="53">
        <f>IF(OR(P4792="",AB4792=""),"",IF(OR(P4792="Gasto",P4792="Transferencia",P4792="Pago tarjeta"),-1,1)*IF(IFERROR(INDEX(ctaMoneda,MATCH(AB4792,ctaNombre,0))&amp;"","DOP")="USD",T4792,S4792))</f>
        <v/>
      </c>
      <c r="AG4792" s="53">
        <f>IF(AC4792="","",IF(IFERROR(INDEX(ctaMoneda,MATCH(AC4792,ctaNombre,0))&amp;"","DOP")="USD",T4792,S4792))</f>
        <v/>
      </c>
      <c r="AH4792" s="53">
        <f>IF(P4792="","",IF(AND(AD4792&lt;&gt;"",COUNTIFS(tcTipo,AD4792,tcLiq,"Sí")&gt;0),IF(OR(P4792="Gasto",P4792="Transferencia",P4792="Pago tarjeta"),-1,1)*S4792,0)+IF(AND(AE4792&lt;&gt;"",COUNTIFS(tcTipo,AE4792,tcLiq,"Sí")&gt;0),S4792,0))</f>
        <v/>
      </c>
      <c r="AI4792" s="52">
        <f>IF(OR(L4792="",P4792=""),"",IF(COUNTIFS(L$6:L4792,L4792,P$6:P4792,"?*")=1,MAX(AI$5:AI4791)+1,""))</f>
        <v/>
      </c>
    </row>
    <row r="4793">
      <c r="B4793" s="47" t="n"/>
      <c r="C4793" s="48" t="n"/>
      <c r="D4793" s="48" t="n"/>
      <c r="E4793" s="48" t="n"/>
      <c r="F4793" s="48" t="n"/>
      <c r="G4793" s="49" t="n"/>
      <c r="H4793" s="48" t="n"/>
      <c r="I4793" s="50" t="n"/>
      <c r="J4793" s="48" t="n"/>
      <c r="K4793" s="48" t="n"/>
      <c r="L4793" s="48" t="n"/>
      <c r="M4793" s="48" t="n"/>
      <c r="N4793" s="48" t="n"/>
      <c r="O4793" s="51">
        <f>IF(AND(B4793="",G4793="",C4793="",D4793="",J4793=""),"",IF(B4793="","⚠ Falta fecha",IF(G4793="","⚠ Falta monto",IF(Q4793="","⚠ Falta cuenta",IF(ISNA(MATCH(Q4793,ctaNombre,0)),"⚠ Cuenta no registrada",IF(AND(OR(P4793="Gasto",P4793="Reembolso"),D4793=""),"⚠ Falta categoría",IF(AND(D4793&lt;&gt;"",E4793&lt;&gt;"",ISNA(MATCH(D4793&amp;"|"&amp;E4793,catClave,0))),"⚠ Subcategoría no corresponde",IF(AND(OR(P4793="Transferencia",P4793="Pago tarjeta"),K4793=""),"⚠ Falta cuenta destino",IF(AND(K4793&lt;&gt;"",P4793&lt;&gt;"Transferencia",P4793&lt;&gt;"Pago tarjeta"),"⚠ Destino solo aplica a transferencias",IF(AND(K4793&lt;&gt;"",K4793=Q4793),"⚠ Origen igual a destino",IF(AND(K4793&lt;&gt;"",ISNA(MATCH(K4793,ctaNombre,0))),"⚠ Destino no registrado",IF(AND(P4793="Pago tarjeta",AE4793&lt;&gt;"Tarjeta de crédito"),"⚠ El destino debe ser tarjeta de crédito",IF(AND(P4793="Gasto",E4793="Depósitos y retiros"),"⚠ Usa tipo Transferencia",IF(AND(P4793="Resultado trading",AD4793&lt;&gt;"Cuenta de trading"),"⚠ Usa una cuenta de trading",IF(AND(G4793&lt;=0,P4793&lt;&gt;"Ajuste",P4793&lt;&gt;"Resultado trading"),"⚠ El monto debe ser positivo","✓")))))))))))))))</f>
        <v/>
      </c>
      <c r="P4793" s="52">
        <f>IF(OR(B4793="",G4793=""),"",IF(C4793="","Gasto",C4793))</f>
        <v/>
      </c>
      <c r="Q4793" s="52">
        <f>IF(P4793="","",IF(J4793&lt;&gt;"",J4793,CuentaPred&amp;""))</f>
        <v/>
      </c>
      <c r="R4793" s="52">
        <f>IF(P4793="","",IF(ISNUMBER(I4793),I4793,TasaUSD))</f>
        <v/>
      </c>
      <c r="S4793" s="53">
        <f>IF(P4793="","",IF(H4793="USD",G4793*R4793,G4793))</f>
        <v/>
      </c>
      <c r="T4793" s="53">
        <f>IF(P4793="","",IF(H4793="USD",G4793,IF(R4793&gt;0,G4793/R4793,0)))</f>
        <v/>
      </c>
      <c r="U4793" s="53">
        <f>IF(P4793="","",IF(P4793="Gasto",S4793,IF(P4793="Reembolso",-S4793,0)))</f>
        <v/>
      </c>
      <c r="V4793" s="53">
        <f>IF(P4793="","",IF(P4793="Ingreso",S4793,0))</f>
        <v/>
      </c>
      <c r="W4793" s="53">
        <f>IF(P4793="","",IF(P4793="Resultado trading",S4793,0))</f>
        <v/>
      </c>
      <c r="X4793" s="52">
        <f>IF(OR(P4793="Gasto",P4793="Reembolso"),IF(M4793&lt;&gt;"",M4793,IFERROR(INDEX(catClasif,MATCH(D4793&amp;"|"&amp;E4793,catClave,0))&amp;"","Variable")),"")</f>
        <v/>
      </c>
      <c r="Y4793" s="52">
        <f>IF(P4793="","",IFERROR(INDEX(catGrupo,MATCH(D4793&amp;"|"&amp;E4793,catClave,0))&amp;"",""))</f>
        <v/>
      </c>
      <c r="Z4793" s="52">
        <f>IF(P4793="","",WEEKDAY(B4793,2))</f>
        <v/>
      </c>
      <c r="AA4793" s="52">
        <f>IF(P4793="","",IF(AND(P4793="Gasto",X4793="Variable",D4793&lt;&gt;catTrading,S4793&gt;0,S4793&lt;=Umbral),1,0))</f>
        <v/>
      </c>
      <c r="AB4793" s="52">
        <f>IF(OR(P4793="",Q4793=""),"",IFERROR(IF(INDEX(ctaVinc,MATCH(Q4793,ctaNombre,0))&amp;""&lt;&gt;"",INDEX(ctaVinc,MATCH(Q4793,ctaNombre,0))&amp;"",Q4793),Q4793))</f>
        <v/>
      </c>
      <c r="AC4793" s="52">
        <f>IF(OR(K4793="",AND(P4793&lt;&gt;"Transferencia",P4793&lt;&gt;"Pago tarjeta")),"",IFERROR(IF(INDEX(ctaVinc,MATCH(K4793,ctaNombre,0))&amp;""&lt;&gt;"",INDEX(ctaVinc,MATCH(K4793,ctaNombre,0))&amp;"",K4793),K4793))</f>
        <v/>
      </c>
      <c r="AD4793" s="52">
        <f>IF(AB4793="","",IFERROR(INDEX(ctaTipo,MATCH(AB4793,ctaNombre,0))&amp;"",""))</f>
        <v/>
      </c>
      <c r="AE4793" s="52">
        <f>IF(AC4793="","",IFERROR(INDEX(ctaTipo,MATCH(AC4793,ctaNombre,0))&amp;"",""))</f>
        <v/>
      </c>
      <c r="AF4793" s="53">
        <f>IF(OR(P4793="",AB4793=""),"",IF(OR(P4793="Gasto",P4793="Transferencia",P4793="Pago tarjeta"),-1,1)*IF(IFERROR(INDEX(ctaMoneda,MATCH(AB4793,ctaNombre,0))&amp;"","DOP")="USD",T4793,S4793))</f>
        <v/>
      </c>
      <c r="AG4793" s="53">
        <f>IF(AC4793="","",IF(IFERROR(INDEX(ctaMoneda,MATCH(AC4793,ctaNombre,0))&amp;"","DOP")="USD",T4793,S4793))</f>
        <v/>
      </c>
      <c r="AH4793" s="53">
        <f>IF(P4793="","",IF(AND(AD4793&lt;&gt;"",COUNTIFS(tcTipo,AD4793,tcLiq,"Sí")&gt;0),IF(OR(P4793="Gasto",P4793="Transferencia",P4793="Pago tarjeta"),-1,1)*S4793,0)+IF(AND(AE4793&lt;&gt;"",COUNTIFS(tcTipo,AE4793,tcLiq,"Sí")&gt;0),S4793,0))</f>
        <v/>
      </c>
      <c r="AI4793" s="52">
        <f>IF(OR(L4793="",P4793=""),"",IF(COUNTIFS(L$6:L4793,L4793,P$6:P4793,"?*")=1,MAX(AI$5:AI4792)+1,""))</f>
        <v/>
      </c>
    </row>
    <row r="4794">
      <c r="B4794" s="47" t="n"/>
      <c r="C4794" s="48" t="n"/>
      <c r="D4794" s="48" t="n"/>
      <c r="E4794" s="48" t="n"/>
      <c r="F4794" s="48" t="n"/>
      <c r="G4794" s="49" t="n"/>
      <c r="H4794" s="48" t="n"/>
      <c r="I4794" s="50" t="n"/>
      <c r="J4794" s="48" t="n"/>
      <c r="K4794" s="48" t="n"/>
      <c r="L4794" s="48" t="n"/>
      <c r="M4794" s="48" t="n"/>
      <c r="N4794" s="48" t="n"/>
      <c r="O4794" s="51">
        <f>IF(AND(B4794="",G4794="",C4794="",D4794="",J4794=""),"",IF(B4794="","⚠ Falta fecha",IF(G4794="","⚠ Falta monto",IF(Q4794="","⚠ Falta cuenta",IF(ISNA(MATCH(Q4794,ctaNombre,0)),"⚠ Cuenta no registrada",IF(AND(OR(P4794="Gasto",P4794="Reembolso"),D4794=""),"⚠ Falta categoría",IF(AND(D4794&lt;&gt;"",E4794&lt;&gt;"",ISNA(MATCH(D4794&amp;"|"&amp;E4794,catClave,0))),"⚠ Subcategoría no corresponde",IF(AND(OR(P4794="Transferencia",P4794="Pago tarjeta"),K4794=""),"⚠ Falta cuenta destino",IF(AND(K4794&lt;&gt;"",P4794&lt;&gt;"Transferencia",P4794&lt;&gt;"Pago tarjeta"),"⚠ Destino solo aplica a transferencias",IF(AND(K4794&lt;&gt;"",K4794=Q4794),"⚠ Origen igual a destino",IF(AND(K4794&lt;&gt;"",ISNA(MATCH(K4794,ctaNombre,0))),"⚠ Destino no registrado",IF(AND(P4794="Pago tarjeta",AE4794&lt;&gt;"Tarjeta de crédito"),"⚠ El destino debe ser tarjeta de crédito",IF(AND(P4794="Gasto",E4794="Depósitos y retiros"),"⚠ Usa tipo Transferencia",IF(AND(P4794="Resultado trading",AD4794&lt;&gt;"Cuenta de trading"),"⚠ Usa una cuenta de trading",IF(AND(G4794&lt;=0,P4794&lt;&gt;"Ajuste",P4794&lt;&gt;"Resultado trading"),"⚠ El monto debe ser positivo","✓")))))))))))))))</f>
        <v/>
      </c>
      <c r="P4794" s="52">
        <f>IF(OR(B4794="",G4794=""),"",IF(C4794="","Gasto",C4794))</f>
        <v/>
      </c>
      <c r="Q4794" s="52">
        <f>IF(P4794="","",IF(J4794&lt;&gt;"",J4794,CuentaPred&amp;""))</f>
        <v/>
      </c>
      <c r="R4794" s="52">
        <f>IF(P4794="","",IF(ISNUMBER(I4794),I4794,TasaUSD))</f>
        <v/>
      </c>
      <c r="S4794" s="53">
        <f>IF(P4794="","",IF(H4794="USD",G4794*R4794,G4794))</f>
        <v/>
      </c>
      <c r="T4794" s="53">
        <f>IF(P4794="","",IF(H4794="USD",G4794,IF(R4794&gt;0,G4794/R4794,0)))</f>
        <v/>
      </c>
      <c r="U4794" s="53">
        <f>IF(P4794="","",IF(P4794="Gasto",S4794,IF(P4794="Reembolso",-S4794,0)))</f>
        <v/>
      </c>
      <c r="V4794" s="53">
        <f>IF(P4794="","",IF(P4794="Ingreso",S4794,0))</f>
        <v/>
      </c>
      <c r="W4794" s="53">
        <f>IF(P4794="","",IF(P4794="Resultado trading",S4794,0))</f>
        <v/>
      </c>
      <c r="X4794" s="52">
        <f>IF(OR(P4794="Gasto",P4794="Reembolso"),IF(M4794&lt;&gt;"",M4794,IFERROR(INDEX(catClasif,MATCH(D4794&amp;"|"&amp;E4794,catClave,0))&amp;"","Variable")),"")</f>
        <v/>
      </c>
      <c r="Y4794" s="52">
        <f>IF(P4794="","",IFERROR(INDEX(catGrupo,MATCH(D4794&amp;"|"&amp;E4794,catClave,0))&amp;"",""))</f>
        <v/>
      </c>
      <c r="Z4794" s="52">
        <f>IF(P4794="","",WEEKDAY(B4794,2))</f>
        <v/>
      </c>
      <c r="AA4794" s="52">
        <f>IF(P4794="","",IF(AND(P4794="Gasto",X4794="Variable",D4794&lt;&gt;catTrading,S4794&gt;0,S4794&lt;=Umbral),1,0))</f>
        <v/>
      </c>
      <c r="AB4794" s="52">
        <f>IF(OR(P4794="",Q4794=""),"",IFERROR(IF(INDEX(ctaVinc,MATCH(Q4794,ctaNombre,0))&amp;""&lt;&gt;"",INDEX(ctaVinc,MATCH(Q4794,ctaNombre,0))&amp;"",Q4794),Q4794))</f>
        <v/>
      </c>
      <c r="AC4794" s="52">
        <f>IF(OR(K4794="",AND(P4794&lt;&gt;"Transferencia",P4794&lt;&gt;"Pago tarjeta")),"",IFERROR(IF(INDEX(ctaVinc,MATCH(K4794,ctaNombre,0))&amp;""&lt;&gt;"",INDEX(ctaVinc,MATCH(K4794,ctaNombre,0))&amp;"",K4794),K4794))</f>
        <v/>
      </c>
      <c r="AD4794" s="52">
        <f>IF(AB4794="","",IFERROR(INDEX(ctaTipo,MATCH(AB4794,ctaNombre,0))&amp;"",""))</f>
        <v/>
      </c>
      <c r="AE4794" s="52">
        <f>IF(AC4794="","",IFERROR(INDEX(ctaTipo,MATCH(AC4794,ctaNombre,0))&amp;"",""))</f>
        <v/>
      </c>
      <c r="AF4794" s="53">
        <f>IF(OR(P4794="",AB4794=""),"",IF(OR(P4794="Gasto",P4794="Transferencia",P4794="Pago tarjeta"),-1,1)*IF(IFERROR(INDEX(ctaMoneda,MATCH(AB4794,ctaNombre,0))&amp;"","DOP")="USD",T4794,S4794))</f>
        <v/>
      </c>
      <c r="AG4794" s="53">
        <f>IF(AC4794="","",IF(IFERROR(INDEX(ctaMoneda,MATCH(AC4794,ctaNombre,0))&amp;"","DOP")="USD",T4794,S4794))</f>
        <v/>
      </c>
      <c r="AH4794" s="53">
        <f>IF(P4794="","",IF(AND(AD4794&lt;&gt;"",COUNTIFS(tcTipo,AD4794,tcLiq,"Sí")&gt;0),IF(OR(P4794="Gasto",P4794="Transferencia",P4794="Pago tarjeta"),-1,1)*S4794,0)+IF(AND(AE4794&lt;&gt;"",COUNTIFS(tcTipo,AE4794,tcLiq,"Sí")&gt;0),S4794,0))</f>
        <v/>
      </c>
      <c r="AI4794" s="52">
        <f>IF(OR(L4794="",P4794=""),"",IF(COUNTIFS(L$6:L4794,L4794,P$6:P4794,"?*")=1,MAX(AI$5:AI4793)+1,""))</f>
        <v/>
      </c>
    </row>
    <row r="4795">
      <c r="B4795" s="47" t="n"/>
      <c r="C4795" s="48" t="n"/>
      <c r="D4795" s="48" t="n"/>
      <c r="E4795" s="48" t="n"/>
      <c r="F4795" s="48" t="n"/>
      <c r="G4795" s="49" t="n"/>
      <c r="H4795" s="48" t="n"/>
      <c r="I4795" s="50" t="n"/>
      <c r="J4795" s="48" t="n"/>
      <c r="K4795" s="48" t="n"/>
      <c r="L4795" s="48" t="n"/>
      <c r="M4795" s="48" t="n"/>
      <c r="N4795" s="48" t="n"/>
      <c r="O4795" s="51">
        <f>IF(AND(B4795="",G4795="",C4795="",D4795="",J4795=""),"",IF(B4795="","⚠ Falta fecha",IF(G4795="","⚠ Falta monto",IF(Q4795="","⚠ Falta cuenta",IF(ISNA(MATCH(Q4795,ctaNombre,0)),"⚠ Cuenta no registrada",IF(AND(OR(P4795="Gasto",P4795="Reembolso"),D4795=""),"⚠ Falta categoría",IF(AND(D4795&lt;&gt;"",E4795&lt;&gt;"",ISNA(MATCH(D4795&amp;"|"&amp;E4795,catClave,0))),"⚠ Subcategoría no corresponde",IF(AND(OR(P4795="Transferencia",P4795="Pago tarjeta"),K4795=""),"⚠ Falta cuenta destino",IF(AND(K4795&lt;&gt;"",P4795&lt;&gt;"Transferencia",P4795&lt;&gt;"Pago tarjeta"),"⚠ Destino solo aplica a transferencias",IF(AND(K4795&lt;&gt;"",K4795=Q4795),"⚠ Origen igual a destino",IF(AND(K4795&lt;&gt;"",ISNA(MATCH(K4795,ctaNombre,0))),"⚠ Destino no registrado",IF(AND(P4795="Pago tarjeta",AE4795&lt;&gt;"Tarjeta de crédito"),"⚠ El destino debe ser tarjeta de crédito",IF(AND(P4795="Gasto",E4795="Depósitos y retiros"),"⚠ Usa tipo Transferencia",IF(AND(P4795="Resultado trading",AD4795&lt;&gt;"Cuenta de trading"),"⚠ Usa una cuenta de trading",IF(AND(G4795&lt;=0,P4795&lt;&gt;"Ajuste",P4795&lt;&gt;"Resultado trading"),"⚠ El monto debe ser positivo","✓")))))))))))))))</f>
        <v/>
      </c>
      <c r="P4795" s="52">
        <f>IF(OR(B4795="",G4795=""),"",IF(C4795="","Gasto",C4795))</f>
        <v/>
      </c>
      <c r="Q4795" s="52">
        <f>IF(P4795="","",IF(J4795&lt;&gt;"",J4795,CuentaPred&amp;""))</f>
        <v/>
      </c>
      <c r="R4795" s="52">
        <f>IF(P4795="","",IF(ISNUMBER(I4795),I4795,TasaUSD))</f>
        <v/>
      </c>
      <c r="S4795" s="53">
        <f>IF(P4795="","",IF(H4795="USD",G4795*R4795,G4795))</f>
        <v/>
      </c>
      <c r="T4795" s="53">
        <f>IF(P4795="","",IF(H4795="USD",G4795,IF(R4795&gt;0,G4795/R4795,0)))</f>
        <v/>
      </c>
      <c r="U4795" s="53">
        <f>IF(P4795="","",IF(P4795="Gasto",S4795,IF(P4795="Reembolso",-S4795,0)))</f>
        <v/>
      </c>
      <c r="V4795" s="53">
        <f>IF(P4795="","",IF(P4795="Ingreso",S4795,0))</f>
        <v/>
      </c>
      <c r="W4795" s="53">
        <f>IF(P4795="","",IF(P4795="Resultado trading",S4795,0))</f>
        <v/>
      </c>
      <c r="X4795" s="52">
        <f>IF(OR(P4795="Gasto",P4795="Reembolso"),IF(M4795&lt;&gt;"",M4795,IFERROR(INDEX(catClasif,MATCH(D4795&amp;"|"&amp;E4795,catClave,0))&amp;"","Variable")),"")</f>
        <v/>
      </c>
      <c r="Y4795" s="52">
        <f>IF(P4795="","",IFERROR(INDEX(catGrupo,MATCH(D4795&amp;"|"&amp;E4795,catClave,0))&amp;"",""))</f>
        <v/>
      </c>
      <c r="Z4795" s="52">
        <f>IF(P4795="","",WEEKDAY(B4795,2))</f>
        <v/>
      </c>
      <c r="AA4795" s="52">
        <f>IF(P4795="","",IF(AND(P4795="Gasto",X4795="Variable",D4795&lt;&gt;catTrading,S4795&gt;0,S4795&lt;=Umbral),1,0))</f>
        <v/>
      </c>
      <c r="AB4795" s="52">
        <f>IF(OR(P4795="",Q4795=""),"",IFERROR(IF(INDEX(ctaVinc,MATCH(Q4795,ctaNombre,0))&amp;""&lt;&gt;"",INDEX(ctaVinc,MATCH(Q4795,ctaNombre,0))&amp;"",Q4795),Q4795))</f>
        <v/>
      </c>
      <c r="AC4795" s="52">
        <f>IF(OR(K4795="",AND(P4795&lt;&gt;"Transferencia",P4795&lt;&gt;"Pago tarjeta")),"",IFERROR(IF(INDEX(ctaVinc,MATCH(K4795,ctaNombre,0))&amp;""&lt;&gt;"",INDEX(ctaVinc,MATCH(K4795,ctaNombre,0))&amp;"",K4795),K4795))</f>
        <v/>
      </c>
      <c r="AD4795" s="52">
        <f>IF(AB4795="","",IFERROR(INDEX(ctaTipo,MATCH(AB4795,ctaNombre,0))&amp;"",""))</f>
        <v/>
      </c>
      <c r="AE4795" s="52">
        <f>IF(AC4795="","",IFERROR(INDEX(ctaTipo,MATCH(AC4795,ctaNombre,0))&amp;"",""))</f>
        <v/>
      </c>
      <c r="AF4795" s="53">
        <f>IF(OR(P4795="",AB4795=""),"",IF(OR(P4795="Gasto",P4795="Transferencia",P4795="Pago tarjeta"),-1,1)*IF(IFERROR(INDEX(ctaMoneda,MATCH(AB4795,ctaNombre,0))&amp;"","DOP")="USD",T4795,S4795))</f>
        <v/>
      </c>
      <c r="AG4795" s="53">
        <f>IF(AC4795="","",IF(IFERROR(INDEX(ctaMoneda,MATCH(AC4795,ctaNombre,0))&amp;"","DOP")="USD",T4795,S4795))</f>
        <v/>
      </c>
      <c r="AH4795" s="53">
        <f>IF(P4795="","",IF(AND(AD4795&lt;&gt;"",COUNTIFS(tcTipo,AD4795,tcLiq,"Sí")&gt;0),IF(OR(P4795="Gasto",P4795="Transferencia",P4795="Pago tarjeta"),-1,1)*S4795,0)+IF(AND(AE4795&lt;&gt;"",COUNTIFS(tcTipo,AE4795,tcLiq,"Sí")&gt;0),S4795,0))</f>
        <v/>
      </c>
      <c r="AI4795" s="52">
        <f>IF(OR(L4795="",P4795=""),"",IF(COUNTIFS(L$6:L4795,L4795,P$6:P4795,"?*")=1,MAX(AI$5:AI4794)+1,""))</f>
        <v/>
      </c>
    </row>
    <row r="4796">
      <c r="B4796" s="47" t="n"/>
      <c r="C4796" s="48" t="n"/>
      <c r="D4796" s="48" t="n"/>
      <c r="E4796" s="48" t="n"/>
      <c r="F4796" s="48" t="n"/>
      <c r="G4796" s="49" t="n"/>
      <c r="H4796" s="48" t="n"/>
      <c r="I4796" s="50" t="n"/>
      <c r="J4796" s="48" t="n"/>
      <c r="K4796" s="48" t="n"/>
      <c r="L4796" s="48" t="n"/>
      <c r="M4796" s="48" t="n"/>
      <c r="N4796" s="48" t="n"/>
      <c r="O4796" s="51">
        <f>IF(AND(B4796="",G4796="",C4796="",D4796="",J4796=""),"",IF(B4796="","⚠ Falta fecha",IF(G4796="","⚠ Falta monto",IF(Q4796="","⚠ Falta cuenta",IF(ISNA(MATCH(Q4796,ctaNombre,0)),"⚠ Cuenta no registrada",IF(AND(OR(P4796="Gasto",P4796="Reembolso"),D4796=""),"⚠ Falta categoría",IF(AND(D4796&lt;&gt;"",E4796&lt;&gt;"",ISNA(MATCH(D4796&amp;"|"&amp;E4796,catClave,0))),"⚠ Subcategoría no corresponde",IF(AND(OR(P4796="Transferencia",P4796="Pago tarjeta"),K4796=""),"⚠ Falta cuenta destino",IF(AND(K4796&lt;&gt;"",P4796&lt;&gt;"Transferencia",P4796&lt;&gt;"Pago tarjeta"),"⚠ Destino solo aplica a transferencias",IF(AND(K4796&lt;&gt;"",K4796=Q4796),"⚠ Origen igual a destino",IF(AND(K4796&lt;&gt;"",ISNA(MATCH(K4796,ctaNombre,0))),"⚠ Destino no registrado",IF(AND(P4796="Pago tarjeta",AE4796&lt;&gt;"Tarjeta de crédito"),"⚠ El destino debe ser tarjeta de crédito",IF(AND(P4796="Gasto",E4796="Depósitos y retiros"),"⚠ Usa tipo Transferencia",IF(AND(P4796="Resultado trading",AD4796&lt;&gt;"Cuenta de trading"),"⚠ Usa una cuenta de trading",IF(AND(G4796&lt;=0,P4796&lt;&gt;"Ajuste",P4796&lt;&gt;"Resultado trading"),"⚠ El monto debe ser positivo","✓")))))))))))))))</f>
        <v/>
      </c>
      <c r="P4796" s="52">
        <f>IF(OR(B4796="",G4796=""),"",IF(C4796="","Gasto",C4796))</f>
        <v/>
      </c>
      <c r="Q4796" s="52">
        <f>IF(P4796="","",IF(J4796&lt;&gt;"",J4796,CuentaPred&amp;""))</f>
        <v/>
      </c>
      <c r="R4796" s="52">
        <f>IF(P4796="","",IF(ISNUMBER(I4796),I4796,TasaUSD))</f>
        <v/>
      </c>
      <c r="S4796" s="53">
        <f>IF(P4796="","",IF(H4796="USD",G4796*R4796,G4796))</f>
        <v/>
      </c>
      <c r="T4796" s="53">
        <f>IF(P4796="","",IF(H4796="USD",G4796,IF(R4796&gt;0,G4796/R4796,0)))</f>
        <v/>
      </c>
      <c r="U4796" s="53">
        <f>IF(P4796="","",IF(P4796="Gasto",S4796,IF(P4796="Reembolso",-S4796,0)))</f>
        <v/>
      </c>
      <c r="V4796" s="53">
        <f>IF(P4796="","",IF(P4796="Ingreso",S4796,0))</f>
        <v/>
      </c>
      <c r="W4796" s="53">
        <f>IF(P4796="","",IF(P4796="Resultado trading",S4796,0))</f>
        <v/>
      </c>
      <c r="X4796" s="52">
        <f>IF(OR(P4796="Gasto",P4796="Reembolso"),IF(M4796&lt;&gt;"",M4796,IFERROR(INDEX(catClasif,MATCH(D4796&amp;"|"&amp;E4796,catClave,0))&amp;"","Variable")),"")</f>
        <v/>
      </c>
      <c r="Y4796" s="52">
        <f>IF(P4796="","",IFERROR(INDEX(catGrupo,MATCH(D4796&amp;"|"&amp;E4796,catClave,0))&amp;"",""))</f>
        <v/>
      </c>
      <c r="Z4796" s="52">
        <f>IF(P4796="","",WEEKDAY(B4796,2))</f>
        <v/>
      </c>
      <c r="AA4796" s="52">
        <f>IF(P4796="","",IF(AND(P4796="Gasto",X4796="Variable",D4796&lt;&gt;catTrading,S4796&gt;0,S4796&lt;=Umbral),1,0))</f>
        <v/>
      </c>
      <c r="AB4796" s="52">
        <f>IF(OR(P4796="",Q4796=""),"",IFERROR(IF(INDEX(ctaVinc,MATCH(Q4796,ctaNombre,0))&amp;""&lt;&gt;"",INDEX(ctaVinc,MATCH(Q4796,ctaNombre,0))&amp;"",Q4796),Q4796))</f>
        <v/>
      </c>
      <c r="AC4796" s="52">
        <f>IF(OR(K4796="",AND(P4796&lt;&gt;"Transferencia",P4796&lt;&gt;"Pago tarjeta")),"",IFERROR(IF(INDEX(ctaVinc,MATCH(K4796,ctaNombre,0))&amp;""&lt;&gt;"",INDEX(ctaVinc,MATCH(K4796,ctaNombre,0))&amp;"",K4796),K4796))</f>
        <v/>
      </c>
      <c r="AD4796" s="52">
        <f>IF(AB4796="","",IFERROR(INDEX(ctaTipo,MATCH(AB4796,ctaNombre,0))&amp;"",""))</f>
        <v/>
      </c>
      <c r="AE4796" s="52">
        <f>IF(AC4796="","",IFERROR(INDEX(ctaTipo,MATCH(AC4796,ctaNombre,0))&amp;"",""))</f>
        <v/>
      </c>
      <c r="AF4796" s="53">
        <f>IF(OR(P4796="",AB4796=""),"",IF(OR(P4796="Gasto",P4796="Transferencia",P4796="Pago tarjeta"),-1,1)*IF(IFERROR(INDEX(ctaMoneda,MATCH(AB4796,ctaNombre,0))&amp;"","DOP")="USD",T4796,S4796))</f>
        <v/>
      </c>
      <c r="AG4796" s="53">
        <f>IF(AC4796="","",IF(IFERROR(INDEX(ctaMoneda,MATCH(AC4796,ctaNombre,0))&amp;"","DOP")="USD",T4796,S4796))</f>
        <v/>
      </c>
      <c r="AH4796" s="53">
        <f>IF(P4796="","",IF(AND(AD4796&lt;&gt;"",COUNTIFS(tcTipo,AD4796,tcLiq,"Sí")&gt;0),IF(OR(P4796="Gasto",P4796="Transferencia",P4796="Pago tarjeta"),-1,1)*S4796,0)+IF(AND(AE4796&lt;&gt;"",COUNTIFS(tcTipo,AE4796,tcLiq,"Sí")&gt;0),S4796,0))</f>
        <v/>
      </c>
      <c r="AI4796" s="52">
        <f>IF(OR(L4796="",P4796=""),"",IF(COUNTIFS(L$6:L4796,L4796,P$6:P4796,"?*")=1,MAX(AI$5:AI4795)+1,""))</f>
        <v/>
      </c>
    </row>
    <row r="4797">
      <c r="B4797" s="47" t="n"/>
      <c r="C4797" s="48" t="n"/>
      <c r="D4797" s="48" t="n"/>
      <c r="E4797" s="48" t="n"/>
      <c r="F4797" s="48" t="n"/>
      <c r="G4797" s="49" t="n"/>
      <c r="H4797" s="48" t="n"/>
      <c r="I4797" s="50" t="n"/>
      <c r="J4797" s="48" t="n"/>
      <c r="K4797" s="48" t="n"/>
      <c r="L4797" s="48" t="n"/>
      <c r="M4797" s="48" t="n"/>
      <c r="N4797" s="48" t="n"/>
      <c r="O4797" s="51">
        <f>IF(AND(B4797="",G4797="",C4797="",D4797="",J4797=""),"",IF(B4797="","⚠ Falta fecha",IF(G4797="","⚠ Falta monto",IF(Q4797="","⚠ Falta cuenta",IF(ISNA(MATCH(Q4797,ctaNombre,0)),"⚠ Cuenta no registrada",IF(AND(OR(P4797="Gasto",P4797="Reembolso"),D4797=""),"⚠ Falta categoría",IF(AND(D4797&lt;&gt;"",E4797&lt;&gt;"",ISNA(MATCH(D4797&amp;"|"&amp;E4797,catClave,0))),"⚠ Subcategoría no corresponde",IF(AND(OR(P4797="Transferencia",P4797="Pago tarjeta"),K4797=""),"⚠ Falta cuenta destino",IF(AND(K4797&lt;&gt;"",P4797&lt;&gt;"Transferencia",P4797&lt;&gt;"Pago tarjeta"),"⚠ Destino solo aplica a transferencias",IF(AND(K4797&lt;&gt;"",K4797=Q4797),"⚠ Origen igual a destino",IF(AND(K4797&lt;&gt;"",ISNA(MATCH(K4797,ctaNombre,0))),"⚠ Destino no registrado",IF(AND(P4797="Pago tarjeta",AE4797&lt;&gt;"Tarjeta de crédito"),"⚠ El destino debe ser tarjeta de crédito",IF(AND(P4797="Gasto",E4797="Depósitos y retiros"),"⚠ Usa tipo Transferencia",IF(AND(P4797="Resultado trading",AD4797&lt;&gt;"Cuenta de trading"),"⚠ Usa una cuenta de trading",IF(AND(G4797&lt;=0,P4797&lt;&gt;"Ajuste",P4797&lt;&gt;"Resultado trading"),"⚠ El monto debe ser positivo","✓")))))))))))))))</f>
        <v/>
      </c>
      <c r="P4797" s="52">
        <f>IF(OR(B4797="",G4797=""),"",IF(C4797="","Gasto",C4797))</f>
        <v/>
      </c>
      <c r="Q4797" s="52">
        <f>IF(P4797="","",IF(J4797&lt;&gt;"",J4797,CuentaPred&amp;""))</f>
        <v/>
      </c>
      <c r="R4797" s="52">
        <f>IF(P4797="","",IF(ISNUMBER(I4797),I4797,TasaUSD))</f>
        <v/>
      </c>
      <c r="S4797" s="53">
        <f>IF(P4797="","",IF(H4797="USD",G4797*R4797,G4797))</f>
        <v/>
      </c>
      <c r="T4797" s="53">
        <f>IF(P4797="","",IF(H4797="USD",G4797,IF(R4797&gt;0,G4797/R4797,0)))</f>
        <v/>
      </c>
      <c r="U4797" s="53">
        <f>IF(P4797="","",IF(P4797="Gasto",S4797,IF(P4797="Reembolso",-S4797,0)))</f>
        <v/>
      </c>
      <c r="V4797" s="53">
        <f>IF(P4797="","",IF(P4797="Ingreso",S4797,0))</f>
        <v/>
      </c>
      <c r="W4797" s="53">
        <f>IF(P4797="","",IF(P4797="Resultado trading",S4797,0))</f>
        <v/>
      </c>
      <c r="X4797" s="52">
        <f>IF(OR(P4797="Gasto",P4797="Reembolso"),IF(M4797&lt;&gt;"",M4797,IFERROR(INDEX(catClasif,MATCH(D4797&amp;"|"&amp;E4797,catClave,0))&amp;"","Variable")),"")</f>
        <v/>
      </c>
      <c r="Y4797" s="52">
        <f>IF(P4797="","",IFERROR(INDEX(catGrupo,MATCH(D4797&amp;"|"&amp;E4797,catClave,0))&amp;"",""))</f>
        <v/>
      </c>
      <c r="Z4797" s="52">
        <f>IF(P4797="","",WEEKDAY(B4797,2))</f>
        <v/>
      </c>
      <c r="AA4797" s="52">
        <f>IF(P4797="","",IF(AND(P4797="Gasto",X4797="Variable",D4797&lt;&gt;catTrading,S4797&gt;0,S4797&lt;=Umbral),1,0))</f>
        <v/>
      </c>
      <c r="AB4797" s="52">
        <f>IF(OR(P4797="",Q4797=""),"",IFERROR(IF(INDEX(ctaVinc,MATCH(Q4797,ctaNombre,0))&amp;""&lt;&gt;"",INDEX(ctaVinc,MATCH(Q4797,ctaNombre,0))&amp;"",Q4797),Q4797))</f>
        <v/>
      </c>
      <c r="AC4797" s="52">
        <f>IF(OR(K4797="",AND(P4797&lt;&gt;"Transferencia",P4797&lt;&gt;"Pago tarjeta")),"",IFERROR(IF(INDEX(ctaVinc,MATCH(K4797,ctaNombre,0))&amp;""&lt;&gt;"",INDEX(ctaVinc,MATCH(K4797,ctaNombre,0))&amp;"",K4797),K4797))</f>
        <v/>
      </c>
      <c r="AD4797" s="52">
        <f>IF(AB4797="","",IFERROR(INDEX(ctaTipo,MATCH(AB4797,ctaNombre,0))&amp;"",""))</f>
        <v/>
      </c>
      <c r="AE4797" s="52">
        <f>IF(AC4797="","",IFERROR(INDEX(ctaTipo,MATCH(AC4797,ctaNombre,0))&amp;"",""))</f>
        <v/>
      </c>
      <c r="AF4797" s="53">
        <f>IF(OR(P4797="",AB4797=""),"",IF(OR(P4797="Gasto",P4797="Transferencia",P4797="Pago tarjeta"),-1,1)*IF(IFERROR(INDEX(ctaMoneda,MATCH(AB4797,ctaNombre,0))&amp;"","DOP")="USD",T4797,S4797))</f>
        <v/>
      </c>
      <c r="AG4797" s="53">
        <f>IF(AC4797="","",IF(IFERROR(INDEX(ctaMoneda,MATCH(AC4797,ctaNombre,0))&amp;"","DOP")="USD",T4797,S4797))</f>
        <v/>
      </c>
      <c r="AH4797" s="53">
        <f>IF(P4797="","",IF(AND(AD4797&lt;&gt;"",COUNTIFS(tcTipo,AD4797,tcLiq,"Sí")&gt;0),IF(OR(P4797="Gasto",P4797="Transferencia",P4797="Pago tarjeta"),-1,1)*S4797,0)+IF(AND(AE4797&lt;&gt;"",COUNTIFS(tcTipo,AE4797,tcLiq,"Sí")&gt;0),S4797,0))</f>
        <v/>
      </c>
      <c r="AI4797" s="52">
        <f>IF(OR(L4797="",P4797=""),"",IF(COUNTIFS(L$6:L4797,L4797,P$6:P4797,"?*")=1,MAX(AI$5:AI4796)+1,""))</f>
        <v/>
      </c>
    </row>
    <row r="4798">
      <c r="B4798" s="47" t="n"/>
      <c r="C4798" s="48" t="n"/>
      <c r="D4798" s="48" t="n"/>
      <c r="E4798" s="48" t="n"/>
      <c r="F4798" s="48" t="n"/>
      <c r="G4798" s="49" t="n"/>
      <c r="H4798" s="48" t="n"/>
      <c r="I4798" s="50" t="n"/>
      <c r="J4798" s="48" t="n"/>
      <c r="K4798" s="48" t="n"/>
      <c r="L4798" s="48" t="n"/>
      <c r="M4798" s="48" t="n"/>
      <c r="N4798" s="48" t="n"/>
      <c r="O4798" s="51">
        <f>IF(AND(B4798="",G4798="",C4798="",D4798="",J4798=""),"",IF(B4798="","⚠ Falta fecha",IF(G4798="","⚠ Falta monto",IF(Q4798="","⚠ Falta cuenta",IF(ISNA(MATCH(Q4798,ctaNombre,0)),"⚠ Cuenta no registrada",IF(AND(OR(P4798="Gasto",P4798="Reembolso"),D4798=""),"⚠ Falta categoría",IF(AND(D4798&lt;&gt;"",E4798&lt;&gt;"",ISNA(MATCH(D4798&amp;"|"&amp;E4798,catClave,0))),"⚠ Subcategoría no corresponde",IF(AND(OR(P4798="Transferencia",P4798="Pago tarjeta"),K4798=""),"⚠ Falta cuenta destino",IF(AND(K4798&lt;&gt;"",P4798&lt;&gt;"Transferencia",P4798&lt;&gt;"Pago tarjeta"),"⚠ Destino solo aplica a transferencias",IF(AND(K4798&lt;&gt;"",K4798=Q4798),"⚠ Origen igual a destino",IF(AND(K4798&lt;&gt;"",ISNA(MATCH(K4798,ctaNombre,0))),"⚠ Destino no registrado",IF(AND(P4798="Pago tarjeta",AE4798&lt;&gt;"Tarjeta de crédito"),"⚠ El destino debe ser tarjeta de crédito",IF(AND(P4798="Gasto",E4798="Depósitos y retiros"),"⚠ Usa tipo Transferencia",IF(AND(P4798="Resultado trading",AD4798&lt;&gt;"Cuenta de trading"),"⚠ Usa una cuenta de trading",IF(AND(G4798&lt;=0,P4798&lt;&gt;"Ajuste",P4798&lt;&gt;"Resultado trading"),"⚠ El monto debe ser positivo","✓")))))))))))))))</f>
        <v/>
      </c>
      <c r="P4798" s="52">
        <f>IF(OR(B4798="",G4798=""),"",IF(C4798="","Gasto",C4798))</f>
        <v/>
      </c>
      <c r="Q4798" s="52">
        <f>IF(P4798="","",IF(J4798&lt;&gt;"",J4798,CuentaPred&amp;""))</f>
        <v/>
      </c>
      <c r="R4798" s="52">
        <f>IF(P4798="","",IF(ISNUMBER(I4798),I4798,TasaUSD))</f>
        <v/>
      </c>
      <c r="S4798" s="53">
        <f>IF(P4798="","",IF(H4798="USD",G4798*R4798,G4798))</f>
        <v/>
      </c>
      <c r="T4798" s="53">
        <f>IF(P4798="","",IF(H4798="USD",G4798,IF(R4798&gt;0,G4798/R4798,0)))</f>
        <v/>
      </c>
      <c r="U4798" s="53">
        <f>IF(P4798="","",IF(P4798="Gasto",S4798,IF(P4798="Reembolso",-S4798,0)))</f>
        <v/>
      </c>
      <c r="V4798" s="53">
        <f>IF(P4798="","",IF(P4798="Ingreso",S4798,0))</f>
        <v/>
      </c>
      <c r="W4798" s="53">
        <f>IF(P4798="","",IF(P4798="Resultado trading",S4798,0))</f>
        <v/>
      </c>
      <c r="X4798" s="52">
        <f>IF(OR(P4798="Gasto",P4798="Reembolso"),IF(M4798&lt;&gt;"",M4798,IFERROR(INDEX(catClasif,MATCH(D4798&amp;"|"&amp;E4798,catClave,0))&amp;"","Variable")),"")</f>
        <v/>
      </c>
      <c r="Y4798" s="52">
        <f>IF(P4798="","",IFERROR(INDEX(catGrupo,MATCH(D4798&amp;"|"&amp;E4798,catClave,0))&amp;"",""))</f>
        <v/>
      </c>
      <c r="Z4798" s="52">
        <f>IF(P4798="","",WEEKDAY(B4798,2))</f>
        <v/>
      </c>
      <c r="AA4798" s="52">
        <f>IF(P4798="","",IF(AND(P4798="Gasto",X4798="Variable",D4798&lt;&gt;catTrading,S4798&gt;0,S4798&lt;=Umbral),1,0))</f>
        <v/>
      </c>
      <c r="AB4798" s="52">
        <f>IF(OR(P4798="",Q4798=""),"",IFERROR(IF(INDEX(ctaVinc,MATCH(Q4798,ctaNombre,0))&amp;""&lt;&gt;"",INDEX(ctaVinc,MATCH(Q4798,ctaNombre,0))&amp;"",Q4798),Q4798))</f>
        <v/>
      </c>
      <c r="AC4798" s="52">
        <f>IF(OR(K4798="",AND(P4798&lt;&gt;"Transferencia",P4798&lt;&gt;"Pago tarjeta")),"",IFERROR(IF(INDEX(ctaVinc,MATCH(K4798,ctaNombre,0))&amp;""&lt;&gt;"",INDEX(ctaVinc,MATCH(K4798,ctaNombre,0))&amp;"",K4798),K4798))</f>
        <v/>
      </c>
      <c r="AD4798" s="52">
        <f>IF(AB4798="","",IFERROR(INDEX(ctaTipo,MATCH(AB4798,ctaNombre,0))&amp;"",""))</f>
        <v/>
      </c>
      <c r="AE4798" s="52">
        <f>IF(AC4798="","",IFERROR(INDEX(ctaTipo,MATCH(AC4798,ctaNombre,0))&amp;"",""))</f>
        <v/>
      </c>
      <c r="AF4798" s="53">
        <f>IF(OR(P4798="",AB4798=""),"",IF(OR(P4798="Gasto",P4798="Transferencia",P4798="Pago tarjeta"),-1,1)*IF(IFERROR(INDEX(ctaMoneda,MATCH(AB4798,ctaNombre,0))&amp;"","DOP")="USD",T4798,S4798))</f>
        <v/>
      </c>
      <c r="AG4798" s="53">
        <f>IF(AC4798="","",IF(IFERROR(INDEX(ctaMoneda,MATCH(AC4798,ctaNombre,0))&amp;"","DOP")="USD",T4798,S4798))</f>
        <v/>
      </c>
      <c r="AH4798" s="53">
        <f>IF(P4798="","",IF(AND(AD4798&lt;&gt;"",COUNTIFS(tcTipo,AD4798,tcLiq,"Sí")&gt;0),IF(OR(P4798="Gasto",P4798="Transferencia",P4798="Pago tarjeta"),-1,1)*S4798,0)+IF(AND(AE4798&lt;&gt;"",COUNTIFS(tcTipo,AE4798,tcLiq,"Sí")&gt;0),S4798,0))</f>
        <v/>
      </c>
      <c r="AI4798" s="52">
        <f>IF(OR(L4798="",P4798=""),"",IF(COUNTIFS(L$6:L4798,L4798,P$6:P4798,"?*")=1,MAX(AI$5:AI4797)+1,""))</f>
        <v/>
      </c>
    </row>
    <row r="4799">
      <c r="B4799" s="47" t="n"/>
      <c r="C4799" s="48" t="n"/>
      <c r="D4799" s="48" t="n"/>
      <c r="E4799" s="48" t="n"/>
      <c r="F4799" s="48" t="n"/>
      <c r="G4799" s="49" t="n"/>
      <c r="H4799" s="48" t="n"/>
      <c r="I4799" s="50" t="n"/>
      <c r="J4799" s="48" t="n"/>
      <c r="K4799" s="48" t="n"/>
      <c r="L4799" s="48" t="n"/>
      <c r="M4799" s="48" t="n"/>
      <c r="N4799" s="48" t="n"/>
      <c r="O4799" s="51">
        <f>IF(AND(B4799="",G4799="",C4799="",D4799="",J4799=""),"",IF(B4799="","⚠ Falta fecha",IF(G4799="","⚠ Falta monto",IF(Q4799="","⚠ Falta cuenta",IF(ISNA(MATCH(Q4799,ctaNombre,0)),"⚠ Cuenta no registrada",IF(AND(OR(P4799="Gasto",P4799="Reembolso"),D4799=""),"⚠ Falta categoría",IF(AND(D4799&lt;&gt;"",E4799&lt;&gt;"",ISNA(MATCH(D4799&amp;"|"&amp;E4799,catClave,0))),"⚠ Subcategoría no corresponde",IF(AND(OR(P4799="Transferencia",P4799="Pago tarjeta"),K4799=""),"⚠ Falta cuenta destino",IF(AND(K4799&lt;&gt;"",P4799&lt;&gt;"Transferencia",P4799&lt;&gt;"Pago tarjeta"),"⚠ Destino solo aplica a transferencias",IF(AND(K4799&lt;&gt;"",K4799=Q4799),"⚠ Origen igual a destino",IF(AND(K4799&lt;&gt;"",ISNA(MATCH(K4799,ctaNombre,0))),"⚠ Destino no registrado",IF(AND(P4799="Pago tarjeta",AE4799&lt;&gt;"Tarjeta de crédito"),"⚠ El destino debe ser tarjeta de crédito",IF(AND(P4799="Gasto",E4799="Depósitos y retiros"),"⚠ Usa tipo Transferencia",IF(AND(P4799="Resultado trading",AD4799&lt;&gt;"Cuenta de trading"),"⚠ Usa una cuenta de trading",IF(AND(G4799&lt;=0,P4799&lt;&gt;"Ajuste",P4799&lt;&gt;"Resultado trading"),"⚠ El monto debe ser positivo","✓")))))))))))))))</f>
        <v/>
      </c>
      <c r="P4799" s="52">
        <f>IF(OR(B4799="",G4799=""),"",IF(C4799="","Gasto",C4799))</f>
        <v/>
      </c>
      <c r="Q4799" s="52">
        <f>IF(P4799="","",IF(J4799&lt;&gt;"",J4799,CuentaPred&amp;""))</f>
        <v/>
      </c>
      <c r="R4799" s="52">
        <f>IF(P4799="","",IF(ISNUMBER(I4799),I4799,TasaUSD))</f>
        <v/>
      </c>
      <c r="S4799" s="53">
        <f>IF(P4799="","",IF(H4799="USD",G4799*R4799,G4799))</f>
        <v/>
      </c>
      <c r="T4799" s="53">
        <f>IF(P4799="","",IF(H4799="USD",G4799,IF(R4799&gt;0,G4799/R4799,0)))</f>
        <v/>
      </c>
      <c r="U4799" s="53">
        <f>IF(P4799="","",IF(P4799="Gasto",S4799,IF(P4799="Reembolso",-S4799,0)))</f>
        <v/>
      </c>
      <c r="V4799" s="53">
        <f>IF(P4799="","",IF(P4799="Ingreso",S4799,0))</f>
        <v/>
      </c>
      <c r="W4799" s="53">
        <f>IF(P4799="","",IF(P4799="Resultado trading",S4799,0))</f>
        <v/>
      </c>
      <c r="X4799" s="52">
        <f>IF(OR(P4799="Gasto",P4799="Reembolso"),IF(M4799&lt;&gt;"",M4799,IFERROR(INDEX(catClasif,MATCH(D4799&amp;"|"&amp;E4799,catClave,0))&amp;"","Variable")),"")</f>
        <v/>
      </c>
      <c r="Y4799" s="52">
        <f>IF(P4799="","",IFERROR(INDEX(catGrupo,MATCH(D4799&amp;"|"&amp;E4799,catClave,0))&amp;"",""))</f>
        <v/>
      </c>
      <c r="Z4799" s="52">
        <f>IF(P4799="","",WEEKDAY(B4799,2))</f>
        <v/>
      </c>
      <c r="AA4799" s="52">
        <f>IF(P4799="","",IF(AND(P4799="Gasto",X4799="Variable",D4799&lt;&gt;catTrading,S4799&gt;0,S4799&lt;=Umbral),1,0))</f>
        <v/>
      </c>
      <c r="AB4799" s="52">
        <f>IF(OR(P4799="",Q4799=""),"",IFERROR(IF(INDEX(ctaVinc,MATCH(Q4799,ctaNombre,0))&amp;""&lt;&gt;"",INDEX(ctaVinc,MATCH(Q4799,ctaNombre,0))&amp;"",Q4799),Q4799))</f>
        <v/>
      </c>
      <c r="AC4799" s="52">
        <f>IF(OR(K4799="",AND(P4799&lt;&gt;"Transferencia",P4799&lt;&gt;"Pago tarjeta")),"",IFERROR(IF(INDEX(ctaVinc,MATCH(K4799,ctaNombre,0))&amp;""&lt;&gt;"",INDEX(ctaVinc,MATCH(K4799,ctaNombre,0))&amp;"",K4799),K4799))</f>
        <v/>
      </c>
      <c r="AD4799" s="52">
        <f>IF(AB4799="","",IFERROR(INDEX(ctaTipo,MATCH(AB4799,ctaNombre,0))&amp;"",""))</f>
        <v/>
      </c>
      <c r="AE4799" s="52">
        <f>IF(AC4799="","",IFERROR(INDEX(ctaTipo,MATCH(AC4799,ctaNombre,0))&amp;"",""))</f>
        <v/>
      </c>
      <c r="AF4799" s="53">
        <f>IF(OR(P4799="",AB4799=""),"",IF(OR(P4799="Gasto",P4799="Transferencia",P4799="Pago tarjeta"),-1,1)*IF(IFERROR(INDEX(ctaMoneda,MATCH(AB4799,ctaNombre,0))&amp;"","DOP")="USD",T4799,S4799))</f>
        <v/>
      </c>
      <c r="AG4799" s="53">
        <f>IF(AC4799="","",IF(IFERROR(INDEX(ctaMoneda,MATCH(AC4799,ctaNombre,0))&amp;"","DOP")="USD",T4799,S4799))</f>
        <v/>
      </c>
      <c r="AH4799" s="53">
        <f>IF(P4799="","",IF(AND(AD4799&lt;&gt;"",COUNTIFS(tcTipo,AD4799,tcLiq,"Sí")&gt;0),IF(OR(P4799="Gasto",P4799="Transferencia",P4799="Pago tarjeta"),-1,1)*S4799,0)+IF(AND(AE4799&lt;&gt;"",COUNTIFS(tcTipo,AE4799,tcLiq,"Sí")&gt;0),S4799,0))</f>
        <v/>
      </c>
      <c r="AI4799" s="52">
        <f>IF(OR(L4799="",P4799=""),"",IF(COUNTIFS(L$6:L4799,L4799,P$6:P4799,"?*")=1,MAX(AI$5:AI4798)+1,""))</f>
        <v/>
      </c>
    </row>
    <row r="4800">
      <c r="B4800" s="47" t="n"/>
      <c r="C4800" s="48" t="n"/>
      <c r="D4800" s="48" t="n"/>
      <c r="E4800" s="48" t="n"/>
      <c r="F4800" s="48" t="n"/>
      <c r="G4800" s="49" t="n"/>
      <c r="H4800" s="48" t="n"/>
      <c r="I4800" s="50" t="n"/>
      <c r="J4800" s="48" t="n"/>
      <c r="K4800" s="48" t="n"/>
      <c r="L4800" s="48" t="n"/>
      <c r="M4800" s="48" t="n"/>
      <c r="N4800" s="48" t="n"/>
      <c r="O4800" s="51">
        <f>IF(AND(B4800="",G4800="",C4800="",D4800="",J4800=""),"",IF(B4800="","⚠ Falta fecha",IF(G4800="","⚠ Falta monto",IF(Q4800="","⚠ Falta cuenta",IF(ISNA(MATCH(Q4800,ctaNombre,0)),"⚠ Cuenta no registrada",IF(AND(OR(P4800="Gasto",P4800="Reembolso"),D4800=""),"⚠ Falta categoría",IF(AND(D4800&lt;&gt;"",E4800&lt;&gt;"",ISNA(MATCH(D4800&amp;"|"&amp;E4800,catClave,0))),"⚠ Subcategoría no corresponde",IF(AND(OR(P4800="Transferencia",P4800="Pago tarjeta"),K4800=""),"⚠ Falta cuenta destino",IF(AND(K4800&lt;&gt;"",P4800&lt;&gt;"Transferencia",P4800&lt;&gt;"Pago tarjeta"),"⚠ Destino solo aplica a transferencias",IF(AND(K4800&lt;&gt;"",K4800=Q4800),"⚠ Origen igual a destino",IF(AND(K4800&lt;&gt;"",ISNA(MATCH(K4800,ctaNombre,0))),"⚠ Destino no registrado",IF(AND(P4800="Pago tarjeta",AE4800&lt;&gt;"Tarjeta de crédito"),"⚠ El destino debe ser tarjeta de crédito",IF(AND(P4800="Gasto",E4800="Depósitos y retiros"),"⚠ Usa tipo Transferencia",IF(AND(P4800="Resultado trading",AD4800&lt;&gt;"Cuenta de trading"),"⚠ Usa una cuenta de trading",IF(AND(G4800&lt;=0,P4800&lt;&gt;"Ajuste",P4800&lt;&gt;"Resultado trading"),"⚠ El monto debe ser positivo","✓")))))))))))))))</f>
        <v/>
      </c>
      <c r="P4800" s="52">
        <f>IF(OR(B4800="",G4800=""),"",IF(C4800="","Gasto",C4800))</f>
        <v/>
      </c>
      <c r="Q4800" s="52">
        <f>IF(P4800="","",IF(J4800&lt;&gt;"",J4800,CuentaPred&amp;""))</f>
        <v/>
      </c>
      <c r="R4800" s="52">
        <f>IF(P4800="","",IF(ISNUMBER(I4800),I4800,TasaUSD))</f>
        <v/>
      </c>
      <c r="S4800" s="53">
        <f>IF(P4800="","",IF(H4800="USD",G4800*R4800,G4800))</f>
        <v/>
      </c>
      <c r="T4800" s="53">
        <f>IF(P4800="","",IF(H4800="USD",G4800,IF(R4800&gt;0,G4800/R4800,0)))</f>
        <v/>
      </c>
      <c r="U4800" s="53">
        <f>IF(P4800="","",IF(P4800="Gasto",S4800,IF(P4800="Reembolso",-S4800,0)))</f>
        <v/>
      </c>
      <c r="V4800" s="53">
        <f>IF(P4800="","",IF(P4800="Ingreso",S4800,0))</f>
        <v/>
      </c>
      <c r="W4800" s="53">
        <f>IF(P4800="","",IF(P4800="Resultado trading",S4800,0))</f>
        <v/>
      </c>
      <c r="X4800" s="52">
        <f>IF(OR(P4800="Gasto",P4800="Reembolso"),IF(M4800&lt;&gt;"",M4800,IFERROR(INDEX(catClasif,MATCH(D4800&amp;"|"&amp;E4800,catClave,0))&amp;"","Variable")),"")</f>
        <v/>
      </c>
      <c r="Y4800" s="52">
        <f>IF(P4800="","",IFERROR(INDEX(catGrupo,MATCH(D4800&amp;"|"&amp;E4800,catClave,0))&amp;"",""))</f>
        <v/>
      </c>
      <c r="Z4800" s="52">
        <f>IF(P4800="","",WEEKDAY(B4800,2))</f>
        <v/>
      </c>
      <c r="AA4800" s="52">
        <f>IF(P4800="","",IF(AND(P4800="Gasto",X4800="Variable",D4800&lt;&gt;catTrading,S4800&gt;0,S4800&lt;=Umbral),1,0))</f>
        <v/>
      </c>
      <c r="AB4800" s="52">
        <f>IF(OR(P4800="",Q4800=""),"",IFERROR(IF(INDEX(ctaVinc,MATCH(Q4800,ctaNombre,0))&amp;""&lt;&gt;"",INDEX(ctaVinc,MATCH(Q4800,ctaNombre,0))&amp;"",Q4800),Q4800))</f>
        <v/>
      </c>
      <c r="AC4800" s="52">
        <f>IF(OR(K4800="",AND(P4800&lt;&gt;"Transferencia",P4800&lt;&gt;"Pago tarjeta")),"",IFERROR(IF(INDEX(ctaVinc,MATCH(K4800,ctaNombre,0))&amp;""&lt;&gt;"",INDEX(ctaVinc,MATCH(K4800,ctaNombre,0))&amp;"",K4800),K4800))</f>
        <v/>
      </c>
      <c r="AD4800" s="52">
        <f>IF(AB4800="","",IFERROR(INDEX(ctaTipo,MATCH(AB4800,ctaNombre,0))&amp;"",""))</f>
        <v/>
      </c>
      <c r="AE4800" s="52">
        <f>IF(AC4800="","",IFERROR(INDEX(ctaTipo,MATCH(AC4800,ctaNombre,0))&amp;"",""))</f>
        <v/>
      </c>
      <c r="AF4800" s="53">
        <f>IF(OR(P4800="",AB4800=""),"",IF(OR(P4800="Gasto",P4800="Transferencia",P4800="Pago tarjeta"),-1,1)*IF(IFERROR(INDEX(ctaMoneda,MATCH(AB4800,ctaNombre,0))&amp;"","DOP")="USD",T4800,S4800))</f>
        <v/>
      </c>
      <c r="AG4800" s="53">
        <f>IF(AC4800="","",IF(IFERROR(INDEX(ctaMoneda,MATCH(AC4800,ctaNombre,0))&amp;"","DOP")="USD",T4800,S4800))</f>
        <v/>
      </c>
      <c r="AH4800" s="53">
        <f>IF(P4800="","",IF(AND(AD4800&lt;&gt;"",COUNTIFS(tcTipo,AD4800,tcLiq,"Sí")&gt;0),IF(OR(P4800="Gasto",P4800="Transferencia",P4800="Pago tarjeta"),-1,1)*S4800,0)+IF(AND(AE4800&lt;&gt;"",COUNTIFS(tcTipo,AE4800,tcLiq,"Sí")&gt;0),S4800,0))</f>
        <v/>
      </c>
      <c r="AI4800" s="52">
        <f>IF(OR(L4800="",P4800=""),"",IF(COUNTIFS(L$6:L4800,L4800,P$6:P4800,"?*")=1,MAX(AI$5:AI4799)+1,""))</f>
        <v/>
      </c>
    </row>
    <row r="4801">
      <c r="B4801" s="47" t="n"/>
      <c r="C4801" s="48" t="n"/>
      <c r="D4801" s="48" t="n"/>
      <c r="E4801" s="48" t="n"/>
      <c r="F4801" s="48" t="n"/>
      <c r="G4801" s="49" t="n"/>
      <c r="H4801" s="48" t="n"/>
      <c r="I4801" s="50" t="n"/>
      <c r="J4801" s="48" t="n"/>
      <c r="K4801" s="48" t="n"/>
      <c r="L4801" s="48" t="n"/>
      <c r="M4801" s="48" t="n"/>
      <c r="N4801" s="48" t="n"/>
      <c r="O4801" s="51">
        <f>IF(AND(B4801="",G4801="",C4801="",D4801="",J4801=""),"",IF(B4801="","⚠ Falta fecha",IF(G4801="","⚠ Falta monto",IF(Q4801="","⚠ Falta cuenta",IF(ISNA(MATCH(Q4801,ctaNombre,0)),"⚠ Cuenta no registrada",IF(AND(OR(P4801="Gasto",P4801="Reembolso"),D4801=""),"⚠ Falta categoría",IF(AND(D4801&lt;&gt;"",E4801&lt;&gt;"",ISNA(MATCH(D4801&amp;"|"&amp;E4801,catClave,0))),"⚠ Subcategoría no corresponde",IF(AND(OR(P4801="Transferencia",P4801="Pago tarjeta"),K4801=""),"⚠ Falta cuenta destino",IF(AND(K4801&lt;&gt;"",P4801&lt;&gt;"Transferencia",P4801&lt;&gt;"Pago tarjeta"),"⚠ Destino solo aplica a transferencias",IF(AND(K4801&lt;&gt;"",K4801=Q4801),"⚠ Origen igual a destino",IF(AND(K4801&lt;&gt;"",ISNA(MATCH(K4801,ctaNombre,0))),"⚠ Destino no registrado",IF(AND(P4801="Pago tarjeta",AE4801&lt;&gt;"Tarjeta de crédito"),"⚠ El destino debe ser tarjeta de crédito",IF(AND(P4801="Gasto",E4801="Depósitos y retiros"),"⚠ Usa tipo Transferencia",IF(AND(P4801="Resultado trading",AD4801&lt;&gt;"Cuenta de trading"),"⚠ Usa una cuenta de trading",IF(AND(G4801&lt;=0,P4801&lt;&gt;"Ajuste",P4801&lt;&gt;"Resultado trading"),"⚠ El monto debe ser positivo","✓")))))))))))))))</f>
        <v/>
      </c>
      <c r="P4801" s="52">
        <f>IF(OR(B4801="",G4801=""),"",IF(C4801="","Gasto",C4801))</f>
        <v/>
      </c>
      <c r="Q4801" s="52">
        <f>IF(P4801="","",IF(J4801&lt;&gt;"",J4801,CuentaPred&amp;""))</f>
        <v/>
      </c>
      <c r="R4801" s="52">
        <f>IF(P4801="","",IF(ISNUMBER(I4801),I4801,TasaUSD))</f>
        <v/>
      </c>
      <c r="S4801" s="53">
        <f>IF(P4801="","",IF(H4801="USD",G4801*R4801,G4801))</f>
        <v/>
      </c>
      <c r="T4801" s="53">
        <f>IF(P4801="","",IF(H4801="USD",G4801,IF(R4801&gt;0,G4801/R4801,0)))</f>
        <v/>
      </c>
      <c r="U4801" s="53">
        <f>IF(P4801="","",IF(P4801="Gasto",S4801,IF(P4801="Reembolso",-S4801,0)))</f>
        <v/>
      </c>
      <c r="V4801" s="53">
        <f>IF(P4801="","",IF(P4801="Ingreso",S4801,0))</f>
        <v/>
      </c>
      <c r="W4801" s="53">
        <f>IF(P4801="","",IF(P4801="Resultado trading",S4801,0))</f>
        <v/>
      </c>
      <c r="X4801" s="52">
        <f>IF(OR(P4801="Gasto",P4801="Reembolso"),IF(M4801&lt;&gt;"",M4801,IFERROR(INDEX(catClasif,MATCH(D4801&amp;"|"&amp;E4801,catClave,0))&amp;"","Variable")),"")</f>
        <v/>
      </c>
      <c r="Y4801" s="52">
        <f>IF(P4801="","",IFERROR(INDEX(catGrupo,MATCH(D4801&amp;"|"&amp;E4801,catClave,0))&amp;"",""))</f>
        <v/>
      </c>
      <c r="Z4801" s="52">
        <f>IF(P4801="","",WEEKDAY(B4801,2))</f>
        <v/>
      </c>
      <c r="AA4801" s="52">
        <f>IF(P4801="","",IF(AND(P4801="Gasto",X4801="Variable",D4801&lt;&gt;catTrading,S4801&gt;0,S4801&lt;=Umbral),1,0))</f>
        <v/>
      </c>
      <c r="AB4801" s="52">
        <f>IF(OR(P4801="",Q4801=""),"",IFERROR(IF(INDEX(ctaVinc,MATCH(Q4801,ctaNombre,0))&amp;""&lt;&gt;"",INDEX(ctaVinc,MATCH(Q4801,ctaNombre,0))&amp;"",Q4801),Q4801))</f>
        <v/>
      </c>
      <c r="AC4801" s="52">
        <f>IF(OR(K4801="",AND(P4801&lt;&gt;"Transferencia",P4801&lt;&gt;"Pago tarjeta")),"",IFERROR(IF(INDEX(ctaVinc,MATCH(K4801,ctaNombre,0))&amp;""&lt;&gt;"",INDEX(ctaVinc,MATCH(K4801,ctaNombre,0))&amp;"",K4801),K4801))</f>
        <v/>
      </c>
      <c r="AD4801" s="52">
        <f>IF(AB4801="","",IFERROR(INDEX(ctaTipo,MATCH(AB4801,ctaNombre,0))&amp;"",""))</f>
        <v/>
      </c>
      <c r="AE4801" s="52">
        <f>IF(AC4801="","",IFERROR(INDEX(ctaTipo,MATCH(AC4801,ctaNombre,0))&amp;"",""))</f>
        <v/>
      </c>
      <c r="AF4801" s="53">
        <f>IF(OR(P4801="",AB4801=""),"",IF(OR(P4801="Gasto",P4801="Transferencia",P4801="Pago tarjeta"),-1,1)*IF(IFERROR(INDEX(ctaMoneda,MATCH(AB4801,ctaNombre,0))&amp;"","DOP")="USD",T4801,S4801))</f>
        <v/>
      </c>
      <c r="AG4801" s="53">
        <f>IF(AC4801="","",IF(IFERROR(INDEX(ctaMoneda,MATCH(AC4801,ctaNombre,0))&amp;"","DOP")="USD",T4801,S4801))</f>
        <v/>
      </c>
      <c r="AH4801" s="53">
        <f>IF(P4801="","",IF(AND(AD4801&lt;&gt;"",COUNTIFS(tcTipo,AD4801,tcLiq,"Sí")&gt;0),IF(OR(P4801="Gasto",P4801="Transferencia",P4801="Pago tarjeta"),-1,1)*S4801,0)+IF(AND(AE4801&lt;&gt;"",COUNTIFS(tcTipo,AE4801,tcLiq,"Sí")&gt;0),S4801,0))</f>
        <v/>
      </c>
      <c r="AI4801" s="52">
        <f>IF(OR(L4801="",P4801=""),"",IF(COUNTIFS(L$6:L4801,L4801,P$6:P4801,"?*")=1,MAX(AI$5:AI4800)+1,""))</f>
        <v/>
      </c>
    </row>
    <row r="4802">
      <c r="B4802" s="47" t="n"/>
      <c r="C4802" s="48" t="n"/>
      <c r="D4802" s="48" t="n"/>
      <c r="E4802" s="48" t="n"/>
      <c r="F4802" s="48" t="n"/>
      <c r="G4802" s="49" t="n"/>
      <c r="H4802" s="48" t="n"/>
      <c r="I4802" s="50" t="n"/>
      <c r="J4802" s="48" t="n"/>
      <c r="K4802" s="48" t="n"/>
      <c r="L4802" s="48" t="n"/>
      <c r="M4802" s="48" t="n"/>
      <c r="N4802" s="48" t="n"/>
      <c r="O4802" s="51">
        <f>IF(AND(B4802="",G4802="",C4802="",D4802="",J4802=""),"",IF(B4802="","⚠ Falta fecha",IF(G4802="","⚠ Falta monto",IF(Q4802="","⚠ Falta cuenta",IF(ISNA(MATCH(Q4802,ctaNombre,0)),"⚠ Cuenta no registrada",IF(AND(OR(P4802="Gasto",P4802="Reembolso"),D4802=""),"⚠ Falta categoría",IF(AND(D4802&lt;&gt;"",E4802&lt;&gt;"",ISNA(MATCH(D4802&amp;"|"&amp;E4802,catClave,0))),"⚠ Subcategoría no corresponde",IF(AND(OR(P4802="Transferencia",P4802="Pago tarjeta"),K4802=""),"⚠ Falta cuenta destino",IF(AND(K4802&lt;&gt;"",P4802&lt;&gt;"Transferencia",P4802&lt;&gt;"Pago tarjeta"),"⚠ Destino solo aplica a transferencias",IF(AND(K4802&lt;&gt;"",K4802=Q4802),"⚠ Origen igual a destino",IF(AND(K4802&lt;&gt;"",ISNA(MATCH(K4802,ctaNombre,0))),"⚠ Destino no registrado",IF(AND(P4802="Pago tarjeta",AE4802&lt;&gt;"Tarjeta de crédito"),"⚠ El destino debe ser tarjeta de crédito",IF(AND(P4802="Gasto",E4802="Depósitos y retiros"),"⚠ Usa tipo Transferencia",IF(AND(P4802="Resultado trading",AD4802&lt;&gt;"Cuenta de trading"),"⚠ Usa una cuenta de trading",IF(AND(G4802&lt;=0,P4802&lt;&gt;"Ajuste",P4802&lt;&gt;"Resultado trading"),"⚠ El monto debe ser positivo","✓")))))))))))))))</f>
        <v/>
      </c>
      <c r="P4802" s="52">
        <f>IF(OR(B4802="",G4802=""),"",IF(C4802="","Gasto",C4802))</f>
        <v/>
      </c>
      <c r="Q4802" s="52">
        <f>IF(P4802="","",IF(J4802&lt;&gt;"",J4802,CuentaPred&amp;""))</f>
        <v/>
      </c>
      <c r="R4802" s="52">
        <f>IF(P4802="","",IF(ISNUMBER(I4802),I4802,TasaUSD))</f>
        <v/>
      </c>
      <c r="S4802" s="53">
        <f>IF(P4802="","",IF(H4802="USD",G4802*R4802,G4802))</f>
        <v/>
      </c>
      <c r="T4802" s="53">
        <f>IF(P4802="","",IF(H4802="USD",G4802,IF(R4802&gt;0,G4802/R4802,0)))</f>
        <v/>
      </c>
      <c r="U4802" s="53">
        <f>IF(P4802="","",IF(P4802="Gasto",S4802,IF(P4802="Reembolso",-S4802,0)))</f>
        <v/>
      </c>
      <c r="V4802" s="53">
        <f>IF(P4802="","",IF(P4802="Ingreso",S4802,0))</f>
        <v/>
      </c>
      <c r="W4802" s="53">
        <f>IF(P4802="","",IF(P4802="Resultado trading",S4802,0))</f>
        <v/>
      </c>
      <c r="X4802" s="52">
        <f>IF(OR(P4802="Gasto",P4802="Reembolso"),IF(M4802&lt;&gt;"",M4802,IFERROR(INDEX(catClasif,MATCH(D4802&amp;"|"&amp;E4802,catClave,0))&amp;"","Variable")),"")</f>
        <v/>
      </c>
      <c r="Y4802" s="52">
        <f>IF(P4802="","",IFERROR(INDEX(catGrupo,MATCH(D4802&amp;"|"&amp;E4802,catClave,0))&amp;"",""))</f>
        <v/>
      </c>
      <c r="Z4802" s="52">
        <f>IF(P4802="","",WEEKDAY(B4802,2))</f>
        <v/>
      </c>
      <c r="AA4802" s="52">
        <f>IF(P4802="","",IF(AND(P4802="Gasto",X4802="Variable",D4802&lt;&gt;catTrading,S4802&gt;0,S4802&lt;=Umbral),1,0))</f>
        <v/>
      </c>
      <c r="AB4802" s="52">
        <f>IF(OR(P4802="",Q4802=""),"",IFERROR(IF(INDEX(ctaVinc,MATCH(Q4802,ctaNombre,0))&amp;""&lt;&gt;"",INDEX(ctaVinc,MATCH(Q4802,ctaNombre,0))&amp;"",Q4802),Q4802))</f>
        <v/>
      </c>
      <c r="AC4802" s="52">
        <f>IF(OR(K4802="",AND(P4802&lt;&gt;"Transferencia",P4802&lt;&gt;"Pago tarjeta")),"",IFERROR(IF(INDEX(ctaVinc,MATCH(K4802,ctaNombre,0))&amp;""&lt;&gt;"",INDEX(ctaVinc,MATCH(K4802,ctaNombre,0))&amp;"",K4802),K4802))</f>
        <v/>
      </c>
      <c r="AD4802" s="52">
        <f>IF(AB4802="","",IFERROR(INDEX(ctaTipo,MATCH(AB4802,ctaNombre,0))&amp;"",""))</f>
        <v/>
      </c>
      <c r="AE4802" s="52">
        <f>IF(AC4802="","",IFERROR(INDEX(ctaTipo,MATCH(AC4802,ctaNombre,0))&amp;"",""))</f>
        <v/>
      </c>
      <c r="AF4802" s="53">
        <f>IF(OR(P4802="",AB4802=""),"",IF(OR(P4802="Gasto",P4802="Transferencia",P4802="Pago tarjeta"),-1,1)*IF(IFERROR(INDEX(ctaMoneda,MATCH(AB4802,ctaNombre,0))&amp;"","DOP")="USD",T4802,S4802))</f>
        <v/>
      </c>
      <c r="AG4802" s="53">
        <f>IF(AC4802="","",IF(IFERROR(INDEX(ctaMoneda,MATCH(AC4802,ctaNombre,0))&amp;"","DOP")="USD",T4802,S4802))</f>
        <v/>
      </c>
      <c r="AH4802" s="53">
        <f>IF(P4802="","",IF(AND(AD4802&lt;&gt;"",COUNTIFS(tcTipo,AD4802,tcLiq,"Sí")&gt;0),IF(OR(P4802="Gasto",P4802="Transferencia",P4802="Pago tarjeta"),-1,1)*S4802,0)+IF(AND(AE4802&lt;&gt;"",COUNTIFS(tcTipo,AE4802,tcLiq,"Sí")&gt;0),S4802,0))</f>
        <v/>
      </c>
      <c r="AI4802" s="52">
        <f>IF(OR(L4802="",P4802=""),"",IF(COUNTIFS(L$6:L4802,L4802,P$6:P4802,"?*")=1,MAX(AI$5:AI4801)+1,""))</f>
        <v/>
      </c>
    </row>
    <row r="4803">
      <c r="B4803" s="47" t="n"/>
      <c r="C4803" s="48" t="n"/>
      <c r="D4803" s="48" t="n"/>
      <c r="E4803" s="48" t="n"/>
      <c r="F4803" s="48" t="n"/>
      <c r="G4803" s="49" t="n"/>
      <c r="H4803" s="48" t="n"/>
      <c r="I4803" s="50" t="n"/>
      <c r="J4803" s="48" t="n"/>
      <c r="K4803" s="48" t="n"/>
      <c r="L4803" s="48" t="n"/>
      <c r="M4803" s="48" t="n"/>
      <c r="N4803" s="48" t="n"/>
      <c r="O4803" s="51">
        <f>IF(AND(B4803="",G4803="",C4803="",D4803="",J4803=""),"",IF(B4803="","⚠ Falta fecha",IF(G4803="","⚠ Falta monto",IF(Q4803="","⚠ Falta cuenta",IF(ISNA(MATCH(Q4803,ctaNombre,0)),"⚠ Cuenta no registrada",IF(AND(OR(P4803="Gasto",P4803="Reembolso"),D4803=""),"⚠ Falta categoría",IF(AND(D4803&lt;&gt;"",E4803&lt;&gt;"",ISNA(MATCH(D4803&amp;"|"&amp;E4803,catClave,0))),"⚠ Subcategoría no corresponde",IF(AND(OR(P4803="Transferencia",P4803="Pago tarjeta"),K4803=""),"⚠ Falta cuenta destino",IF(AND(K4803&lt;&gt;"",P4803&lt;&gt;"Transferencia",P4803&lt;&gt;"Pago tarjeta"),"⚠ Destino solo aplica a transferencias",IF(AND(K4803&lt;&gt;"",K4803=Q4803),"⚠ Origen igual a destino",IF(AND(K4803&lt;&gt;"",ISNA(MATCH(K4803,ctaNombre,0))),"⚠ Destino no registrado",IF(AND(P4803="Pago tarjeta",AE4803&lt;&gt;"Tarjeta de crédito"),"⚠ El destino debe ser tarjeta de crédito",IF(AND(P4803="Gasto",E4803="Depósitos y retiros"),"⚠ Usa tipo Transferencia",IF(AND(P4803="Resultado trading",AD4803&lt;&gt;"Cuenta de trading"),"⚠ Usa una cuenta de trading",IF(AND(G4803&lt;=0,P4803&lt;&gt;"Ajuste",P4803&lt;&gt;"Resultado trading"),"⚠ El monto debe ser positivo","✓")))))))))))))))</f>
        <v/>
      </c>
      <c r="P4803" s="52">
        <f>IF(OR(B4803="",G4803=""),"",IF(C4803="","Gasto",C4803))</f>
        <v/>
      </c>
      <c r="Q4803" s="52">
        <f>IF(P4803="","",IF(J4803&lt;&gt;"",J4803,CuentaPred&amp;""))</f>
        <v/>
      </c>
      <c r="R4803" s="52">
        <f>IF(P4803="","",IF(ISNUMBER(I4803),I4803,TasaUSD))</f>
        <v/>
      </c>
      <c r="S4803" s="53">
        <f>IF(P4803="","",IF(H4803="USD",G4803*R4803,G4803))</f>
        <v/>
      </c>
      <c r="T4803" s="53">
        <f>IF(P4803="","",IF(H4803="USD",G4803,IF(R4803&gt;0,G4803/R4803,0)))</f>
        <v/>
      </c>
      <c r="U4803" s="53">
        <f>IF(P4803="","",IF(P4803="Gasto",S4803,IF(P4803="Reembolso",-S4803,0)))</f>
        <v/>
      </c>
      <c r="V4803" s="53">
        <f>IF(P4803="","",IF(P4803="Ingreso",S4803,0))</f>
        <v/>
      </c>
      <c r="W4803" s="53">
        <f>IF(P4803="","",IF(P4803="Resultado trading",S4803,0))</f>
        <v/>
      </c>
      <c r="X4803" s="52">
        <f>IF(OR(P4803="Gasto",P4803="Reembolso"),IF(M4803&lt;&gt;"",M4803,IFERROR(INDEX(catClasif,MATCH(D4803&amp;"|"&amp;E4803,catClave,0))&amp;"","Variable")),"")</f>
        <v/>
      </c>
      <c r="Y4803" s="52">
        <f>IF(P4803="","",IFERROR(INDEX(catGrupo,MATCH(D4803&amp;"|"&amp;E4803,catClave,0))&amp;"",""))</f>
        <v/>
      </c>
      <c r="Z4803" s="52">
        <f>IF(P4803="","",WEEKDAY(B4803,2))</f>
        <v/>
      </c>
      <c r="AA4803" s="52">
        <f>IF(P4803="","",IF(AND(P4803="Gasto",X4803="Variable",D4803&lt;&gt;catTrading,S4803&gt;0,S4803&lt;=Umbral),1,0))</f>
        <v/>
      </c>
      <c r="AB4803" s="52">
        <f>IF(OR(P4803="",Q4803=""),"",IFERROR(IF(INDEX(ctaVinc,MATCH(Q4803,ctaNombre,0))&amp;""&lt;&gt;"",INDEX(ctaVinc,MATCH(Q4803,ctaNombre,0))&amp;"",Q4803),Q4803))</f>
        <v/>
      </c>
      <c r="AC4803" s="52">
        <f>IF(OR(K4803="",AND(P4803&lt;&gt;"Transferencia",P4803&lt;&gt;"Pago tarjeta")),"",IFERROR(IF(INDEX(ctaVinc,MATCH(K4803,ctaNombre,0))&amp;""&lt;&gt;"",INDEX(ctaVinc,MATCH(K4803,ctaNombre,0))&amp;"",K4803),K4803))</f>
        <v/>
      </c>
      <c r="AD4803" s="52">
        <f>IF(AB4803="","",IFERROR(INDEX(ctaTipo,MATCH(AB4803,ctaNombre,0))&amp;"",""))</f>
        <v/>
      </c>
      <c r="AE4803" s="52">
        <f>IF(AC4803="","",IFERROR(INDEX(ctaTipo,MATCH(AC4803,ctaNombre,0))&amp;"",""))</f>
        <v/>
      </c>
      <c r="AF4803" s="53">
        <f>IF(OR(P4803="",AB4803=""),"",IF(OR(P4803="Gasto",P4803="Transferencia",P4803="Pago tarjeta"),-1,1)*IF(IFERROR(INDEX(ctaMoneda,MATCH(AB4803,ctaNombre,0))&amp;"","DOP")="USD",T4803,S4803))</f>
        <v/>
      </c>
      <c r="AG4803" s="53">
        <f>IF(AC4803="","",IF(IFERROR(INDEX(ctaMoneda,MATCH(AC4803,ctaNombre,0))&amp;"","DOP")="USD",T4803,S4803))</f>
        <v/>
      </c>
      <c r="AH4803" s="53">
        <f>IF(P4803="","",IF(AND(AD4803&lt;&gt;"",COUNTIFS(tcTipo,AD4803,tcLiq,"Sí")&gt;0),IF(OR(P4803="Gasto",P4803="Transferencia",P4803="Pago tarjeta"),-1,1)*S4803,0)+IF(AND(AE4803&lt;&gt;"",COUNTIFS(tcTipo,AE4803,tcLiq,"Sí")&gt;0),S4803,0))</f>
        <v/>
      </c>
      <c r="AI4803" s="52">
        <f>IF(OR(L4803="",P4803=""),"",IF(COUNTIFS(L$6:L4803,L4803,P$6:P4803,"?*")=1,MAX(AI$5:AI4802)+1,""))</f>
        <v/>
      </c>
    </row>
    <row r="4804">
      <c r="B4804" s="47" t="n"/>
      <c r="C4804" s="48" t="n"/>
      <c r="D4804" s="48" t="n"/>
      <c r="E4804" s="48" t="n"/>
      <c r="F4804" s="48" t="n"/>
      <c r="G4804" s="49" t="n"/>
      <c r="H4804" s="48" t="n"/>
      <c r="I4804" s="50" t="n"/>
      <c r="J4804" s="48" t="n"/>
      <c r="K4804" s="48" t="n"/>
      <c r="L4804" s="48" t="n"/>
      <c r="M4804" s="48" t="n"/>
      <c r="N4804" s="48" t="n"/>
      <c r="O4804" s="51">
        <f>IF(AND(B4804="",G4804="",C4804="",D4804="",J4804=""),"",IF(B4804="","⚠ Falta fecha",IF(G4804="","⚠ Falta monto",IF(Q4804="","⚠ Falta cuenta",IF(ISNA(MATCH(Q4804,ctaNombre,0)),"⚠ Cuenta no registrada",IF(AND(OR(P4804="Gasto",P4804="Reembolso"),D4804=""),"⚠ Falta categoría",IF(AND(D4804&lt;&gt;"",E4804&lt;&gt;"",ISNA(MATCH(D4804&amp;"|"&amp;E4804,catClave,0))),"⚠ Subcategoría no corresponde",IF(AND(OR(P4804="Transferencia",P4804="Pago tarjeta"),K4804=""),"⚠ Falta cuenta destino",IF(AND(K4804&lt;&gt;"",P4804&lt;&gt;"Transferencia",P4804&lt;&gt;"Pago tarjeta"),"⚠ Destino solo aplica a transferencias",IF(AND(K4804&lt;&gt;"",K4804=Q4804),"⚠ Origen igual a destino",IF(AND(K4804&lt;&gt;"",ISNA(MATCH(K4804,ctaNombre,0))),"⚠ Destino no registrado",IF(AND(P4804="Pago tarjeta",AE4804&lt;&gt;"Tarjeta de crédito"),"⚠ El destino debe ser tarjeta de crédito",IF(AND(P4804="Gasto",E4804="Depósitos y retiros"),"⚠ Usa tipo Transferencia",IF(AND(P4804="Resultado trading",AD4804&lt;&gt;"Cuenta de trading"),"⚠ Usa una cuenta de trading",IF(AND(G4804&lt;=0,P4804&lt;&gt;"Ajuste",P4804&lt;&gt;"Resultado trading"),"⚠ El monto debe ser positivo","✓")))))))))))))))</f>
        <v/>
      </c>
      <c r="P4804" s="52">
        <f>IF(OR(B4804="",G4804=""),"",IF(C4804="","Gasto",C4804))</f>
        <v/>
      </c>
      <c r="Q4804" s="52">
        <f>IF(P4804="","",IF(J4804&lt;&gt;"",J4804,CuentaPred&amp;""))</f>
        <v/>
      </c>
      <c r="R4804" s="52">
        <f>IF(P4804="","",IF(ISNUMBER(I4804),I4804,TasaUSD))</f>
        <v/>
      </c>
      <c r="S4804" s="53">
        <f>IF(P4804="","",IF(H4804="USD",G4804*R4804,G4804))</f>
        <v/>
      </c>
      <c r="T4804" s="53">
        <f>IF(P4804="","",IF(H4804="USD",G4804,IF(R4804&gt;0,G4804/R4804,0)))</f>
        <v/>
      </c>
      <c r="U4804" s="53">
        <f>IF(P4804="","",IF(P4804="Gasto",S4804,IF(P4804="Reembolso",-S4804,0)))</f>
        <v/>
      </c>
      <c r="V4804" s="53">
        <f>IF(P4804="","",IF(P4804="Ingreso",S4804,0))</f>
        <v/>
      </c>
      <c r="W4804" s="53">
        <f>IF(P4804="","",IF(P4804="Resultado trading",S4804,0))</f>
        <v/>
      </c>
      <c r="X4804" s="52">
        <f>IF(OR(P4804="Gasto",P4804="Reembolso"),IF(M4804&lt;&gt;"",M4804,IFERROR(INDEX(catClasif,MATCH(D4804&amp;"|"&amp;E4804,catClave,0))&amp;"","Variable")),"")</f>
        <v/>
      </c>
      <c r="Y4804" s="52">
        <f>IF(P4804="","",IFERROR(INDEX(catGrupo,MATCH(D4804&amp;"|"&amp;E4804,catClave,0))&amp;"",""))</f>
        <v/>
      </c>
      <c r="Z4804" s="52">
        <f>IF(P4804="","",WEEKDAY(B4804,2))</f>
        <v/>
      </c>
      <c r="AA4804" s="52">
        <f>IF(P4804="","",IF(AND(P4804="Gasto",X4804="Variable",D4804&lt;&gt;catTrading,S4804&gt;0,S4804&lt;=Umbral),1,0))</f>
        <v/>
      </c>
      <c r="AB4804" s="52">
        <f>IF(OR(P4804="",Q4804=""),"",IFERROR(IF(INDEX(ctaVinc,MATCH(Q4804,ctaNombre,0))&amp;""&lt;&gt;"",INDEX(ctaVinc,MATCH(Q4804,ctaNombre,0))&amp;"",Q4804),Q4804))</f>
        <v/>
      </c>
      <c r="AC4804" s="52">
        <f>IF(OR(K4804="",AND(P4804&lt;&gt;"Transferencia",P4804&lt;&gt;"Pago tarjeta")),"",IFERROR(IF(INDEX(ctaVinc,MATCH(K4804,ctaNombre,0))&amp;""&lt;&gt;"",INDEX(ctaVinc,MATCH(K4804,ctaNombre,0))&amp;"",K4804),K4804))</f>
        <v/>
      </c>
      <c r="AD4804" s="52">
        <f>IF(AB4804="","",IFERROR(INDEX(ctaTipo,MATCH(AB4804,ctaNombre,0))&amp;"",""))</f>
        <v/>
      </c>
      <c r="AE4804" s="52">
        <f>IF(AC4804="","",IFERROR(INDEX(ctaTipo,MATCH(AC4804,ctaNombre,0))&amp;"",""))</f>
        <v/>
      </c>
      <c r="AF4804" s="53">
        <f>IF(OR(P4804="",AB4804=""),"",IF(OR(P4804="Gasto",P4804="Transferencia",P4804="Pago tarjeta"),-1,1)*IF(IFERROR(INDEX(ctaMoneda,MATCH(AB4804,ctaNombre,0))&amp;"","DOP")="USD",T4804,S4804))</f>
        <v/>
      </c>
      <c r="AG4804" s="53">
        <f>IF(AC4804="","",IF(IFERROR(INDEX(ctaMoneda,MATCH(AC4804,ctaNombre,0))&amp;"","DOP")="USD",T4804,S4804))</f>
        <v/>
      </c>
      <c r="AH4804" s="53">
        <f>IF(P4804="","",IF(AND(AD4804&lt;&gt;"",COUNTIFS(tcTipo,AD4804,tcLiq,"Sí")&gt;0),IF(OR(P4804="Gasto",P4804="Transferencia",P4804="Pago tarjeta"),-1,1)*S4804,0)+IF(AND(AE4804&lt;&gt;"",COUNTIFS(tcTipo,AE4804,tcLiq,"Sí")&gt;0),S4804,0))</f>
        <v/>
      </c>
      <c r="AI4804" s="52">
        <f>IF(OR(L4804="",P4804=""),"",IF(COUNTIFS(L$6:L4804,L4804,P$6:P4804,"?*")=1,MAX(AI$5:AI4803)+1,""))</f>
        <v/>
      </c>
    </row>
    <row r="4805">
      <c r="B4805" s="47" t="n"/>
      <c r="C4805" s="48" t="n"/>
      <c r="D4805" s="48" t="n"/>
      <c r="E4805" s="48" t="n"/>
      <c r="F4805" s="48" t="n"/>
      <c r="G4805" s="49" t="n"/>
      <c r="H4805" s="48" t="n"/>
      <c r="I4805" s="50" t="n"/>
      <c r="J4805" s="48" t="n"/>
      <c r="K4805" s="48" t="n"/>
      <c r="L4805" s="48" t="n"/>
      <c r="M4805" s="48" t="n"/>
      <c r="N4805" s="48" t="n"/>
      <c r="O4805" s="51">
        <f>IF(AND(B4805="",G4805="",C4805="",D4805="",J4805=""),"",IF(B4805="","⚠ Falta fecha",IF(G4805="","⚠ Falta monto",IF(Q4805="","⚠ Falta cuenta",IF(ISNA(MATCH(Q4805,ctaNombre,0)),"⚠ Cuenta no registrada",IF(AND(OR(P4805="Gasto",P4805="Reembolso"),D4805=""),"⚠ Falta categoría",IF(AND(D4805&lt;&gt;"",E4805&lt;&gt;"",ISNA(MATCH(D4805&amp;"|"&amp;E4805,catClave,0))),"⚠ Subcategoría no corresponde",IF(AND(OR(P4805="Transferencia",P4805="Pago tarjeta"),K4805=""),"⚠ Falta cuenta destino",IF(AND(K4805&lt;&gt;"",P4805&lt;&gt;"Transferencia",P4805&lt;&gt;"Pago tarjeta"),"⚠ Destino solo aplica a transferencias",IF(AND(K4805&lt;&gt;"",K4805=Q4805),"⚠ Origen igual a destino",IF(AND(K4805&lt;&gt;"",ISNA(MATCH(K4805,ctaNombre,0))),"⚠ Destino no registrado",IF(AND(P4805="Pago tarjeta",AE4805&lt;&gt;"Tarjeta de crédito"),"⚠ El destino debe ser tarjeta de crédito",IF(AND(P4805="Gasto",E4805="Depósitos y retiros"),"⚠ Usa tipo Transferencia",IF(AND(P4805="Resultado trading",AD4805&lt;&gt;"Cuenta de trading"),"⚠ Usa una cuenta de trading",IF(AND(G4805&lt;=0,P4805&lt;&gt;"Ajuste",P4805&lt;&gt;"Resultado trading"),"⚠ El monto debe ser positivo","✓")))))))))))))))</f>
        <v/>
      </c>
      <c r="P4805" s="52">
        <f>IF(OR(B4805="",G4805=""),"",IF(C4805="","Gasto",C4805))</f>
        <v/>
      </c>
      <c r="Q4805" s="52">
        <f>IF(P4805="","",IF(J4805&lt;&gt;"",J4805,CuentaPred&amp;""))</f>
        <v/>
      </c>
      <c r="R4805" s="52">
        <f>IF(P4805="","",IF(ISNUMBER(I4805),I4805,TasaUSD))</f>
        <v/>
      </c>
      <c r="S4805" s="53">
        <f>IF(P4805="","",IF(H4805="USD",G4805*R4805,G4805))</f>
        <v/>
      </c>
      <c r="T4805" s="53">
        <f>IF(P4805="","",IF(H4805="USD",G4805,IF(R4805&gt;0,G4805/R4805,0)))</f>
        <v/>
      </c>
      <c r="U4805" s="53">
        <f>IF(P4805="","",IF(P4805="Gasto",S4805,IF(P4805="Reembolso",-S4805,0)))</f>
        <v/>
      </c>
      <c r="V4805" s="53">
        <f>IF(P4805="","",IF(P4805="Ingreso",S4805,0))</f>
        <v/>
      </c>
      <c r="W4805" s="53">
        <f>IF(P4805="","",IF(P4805="Resultado trading",S4805,0))</f>
        <v/>
      </c>
      <c r="X4805" s="52">
        <f>IF(OR(P4805="Gasto",P4805="Reembolso"),IF(M4805&lt;&gt;"",M4805,IFERROR(INDEX(catClasif,MATCH(D4805&amp;"|"&amp;E4805,catClave,0))&amp;"","Variable")),"")</f>
        <v/>
      </c>
      <c r="Y4805" s="52">
        <f>IF(P4805="","",IFERROR(INDEX(catGrupo,MATCH(D4805&amp;"|"&amp;E4805,catClave,0))&amp;"",""))</f>
        <v/>
      </c>
      <c r="Z4805" s="52">
        <f>IF(P4805="","",WEEKDAY(B4805,2))</f>
        <v/>
      </c>
      <c r="AA4805" s="52">
        <f>IF(P4805="","",IF(AND(P4805="Gasto",X4805="Variable",D4805&lt;&gt;catTrading,S4805&gt;0,S4805&lt;=Umbral),1,0))</f>
        <v/>
      </c>
      <c r="AB4805" s="52">
        <f>IF(OR(P4805="",Q4805=""),"",IFERROR(IF(INDEX(ctaVinc,MATCH(Q4805,ctaNombre,0))&amp;""&lt;&gt;"",INDEX(ctaVinc,MATCH(Q4805,ctaNombre,0))&amp;"",Q4805),Q4805))</f>
        <v/>
      </c>
      <c r="AC4805" s="52">
        <f>IF(OR(K4805="",AND(P4805&lt;&gt;"Transferencia",P4805&lt;&gt;"Pago tarjeta")),"",IFERROR(IF(INDEX(ctaVinc,MATCH(K4805,ctaNombre,0))&amp;""&lt;&gt;"",INDEX(ctaVinc,MATCH(K4805,ctaNombre,0))&amp;"",K4805),K4805))</f>
        <v/>
      </c>
      <c r="AD4805" s="52">
        <f>IF(AB4805="","",IFERROR(INDEX(ctaTipo,MATCH(AB4805,ctaNombre,0))&amp;"",""))</f>
        <v/>
      </c>
      <c r="AE4805" s="52">
        <f>IF(AC4805="","",IFERROR(INDEX(ctaTipo,MATCH(AC4805,ctaNombre,0))&amp;"",""))</f>
        <v/>
      </c>
      <c r="AF4805" s="53">
        <f>IF(OR(P4805="",AB4805=""),"",IF(OR(P4805="Gasto",P4805="Transferencia",P4805="Pago tarjeta"),-1,1)*IF(IFERROR(INDEX(ctaMoneda,MATCH(AB4805,ctaNombre,0))&amp;"","DOP")="USD",T4805,S4805))</f>
        <v/>
      </c>
      <c r="AG4805" s="53">
        <f>IF(AC4805="","",IF(IFERROR(INDEX(ctaMoneda,MATCH(AC4805,ctaNombre,0))&amp;"","DOP")="USD",T4805,S4805))</f>
        <v/>
      </c>
      <c r="AH4805" s="53">
        <f>IF(P4805="","",IF(AND(AD4805&lt;&gt;"",COUNTIFS(tcTipo,AD4805,tcLiq,"Sí")&gt;0),IF(OR(P4805="Gasto",P4805="Transferencia",P4805="Pago tarjeta"),-1,1)*S4805,0)+IF(AND(AE4805&lt;&gt;"",COUNTIFS(tcTipo,AE4805,tcLiq,"Sí")&gt;0),S4805,0))</f>
        <v/>
      </c>
      <c r="AI4805" s="52">
        <f>IF(OR(L4805="",P4805=""),"",IF(COUNTIFS(L$6:L4805,L4805,P$6:P4805,"?*")=1,MAX(AI$5:AI4804)+1,""))</f>
        <v/>
      </c>
    </row>
    <row r="4806">
      <c r="B4806" s="47" t="n"/>
      <c r="C4806" s="48" t="n"/>
      <c r="D4806" s="48" t="n"/>
      <c r="E4806" s="48" t="n"/>
      <c r="F4806" s="48" t="n"/>
      <c r="G4806" s="49" t="n"/>
      <c r="H4806" s="48" t="n"/>
      <c r="I4806" s="50" t="n"/>
      <c r="J4806" s="48" t="n"/>
      <c r="K4806" s="48" t="n"/>
      <c r="L4806" s="48" t="n"/>
      <c r="M4806" s="48" t="n"/>
      <c r="N4806" s="48" t="n"/>
      <c r="O4806" s="51">
        <f>IF(AND(B4806="",G4806="",C4806="",D4806="",J4806=""),"",IF(B4806="","⚠ Falta fecha",IF(G4806="","⚠ Falta monto",IF(Q4806="","⚠ Falta cuenta",IF(ISNA(MATCH(Q4806,ctaNombre,0)),"⚠ Cuenta no registrada",IF(AND(OR(P4806="Gasto",P4806="Reembolso"),D4806=""),"⚠ Falta categoría",IF(AND(D4806&lt;&gt;"",E4806&lt;&gt;"",ISNA(MATCH(D4806&amp;"|"&amp;E4806,catClave,0))),"⚠ Subcategoría no corresponde",IF(AND(OR(P4806="Transferencia",P4806="Pago tarjeta"),K4806=""),"⚠ Falta cuenta destino",IF(AND(K4806&lt;&gt;"",P4806&lt;&gt;"Transferencia",P4806&lt;&gt;"Pago tarjeta"),"⚠ Destino solo aplica a transferencias",IF(AND(K4806&lt;&gt;"",K4806=Q4806),"⚠ Origen igual a destino",IF(AND(K4806&lt;&gt;"",ISNA(MATCH(K4806,ctaNombre,0))),"⚠ Destino no registrado",IF(AND(P4806="Pago tarjeta",AE4806&lt;&gt;"Tarjeta de crédito"),"⚠ El destino debe ser tarjeta de crédito",IF(AND(P4806="Gasto",E4806="Depósitos y retiros"),"⚠ Usa tipo Transferencia",IF(AND(P4806="Resultado trading",AD4806&lt;&gt;"Cuenta de trading"),"⚠ Usa una cuenta de trading",IF(AND(G4806&lt;=0,P4806&lt;&gt;"Ajuste",P4806&lt;&gt;"Resultado trading"),"⚠ El monto debe ser positivo","✓")))))))))))))))</f>
        <v/>
      </c>
      <c r="P4806" s="52">
        <f>IF(OR(B4806="",G4806=""),"",IF(C4806="","Gasto",C4806))</f>
        <v/>
      </c>
      <c r="Q4806" s="52">
        <f>IF(P4806="","",IF(J4806&lt;&gt;"",J4806,CuentaPred&amp;""))</f>
        <v/>
      </c>
      <c r="R4806" s="52">
        <f>IF(P4806="","",IF(ISNUMBER(I4806),I4806,TasaUSD))</f>
        <v/>
      </c>
      <c r="S4806" s="53">
        <f>IF(P4806="","",IF(H4806="USD",G4806*R4806,G4806))</f>
        <v/>
      </c>
      <c r="T4806" s="53">
        <f>IF(P4806="","",IF(H4806="USD",G4806,IF(R4806&gt;0,G4806/R4806,0)))</f>
        <v/>
      </c>
      <c r="U4806" s="53">
        <f>IF(P4806="","",IF(P4806="Gasto",S4806,IF(P4806="Reembolso",-S4806,0)))</f>
        <v/>
      </c>
      <c r="V4806" s="53">
        <f>IF(P4806="","",IF(P4806="Ingreso",S4806,0))</f>
        <v/>
      </c>
      <c r="W4806" s="53">
        <f>IF(P4806="","",IF(P4806="Resultado trading",S4806,0))</f>
        <v/>
      </c>
      <c r="X4806" s="52">
        <f>IF(OR(P4806="Gasto",P4806="Reembolso"),IF(M4806&lt;&gt;"",M4806,IFERROR(INDEX(catClasif,MATCH(D4806&amp;"|"&amp;E4806,catClave,0))&amp;"","Variable")),"")</f>
        <v/>
      </c>
      <c r="Y4806" s="52">
        <f>IF(P4806="","",IFERROR(INDEX(catGrupo,MATCH(D4806&amp;"|"&amp;E4806,catClave,0))&amp;"",""))</f>
        <v/>
      </c>
      <c r="Z4806" s="52">
        <f>IF(P4806="","",WEEKDAY(B4806,2))</f>
        <v/>
      </c>
      <c r="AA4806" s="52">
        <f>IF(P4806="","",IF(AND(P4806="Gasto",X4806="Variable",D4806&lt;&gt;catTrading,S4806&gt;0,S4806&lt;=Umbral),1,0))</f>
        <v/>
      </c>
      <c r="AB4806" s="52">
        <f>IF(OR(P4806="",Q4806=""),"",IFERROR(IF(INDEX(ctaVinc,MATCH(Q4806,ctaNombre,0))&amp;""&lt;&gt;"",INDEX(ctaVinc,MATCH(Q4806,ctaNombre,0))&amp;"",Q4806),Q4806))</f>
        <v/>
      </c>
      <c r="AC4806" s="52">
        <f>IF(OR(K4806="",AND(P4806&lt;&gt;"Transferencia",P4806&lt;&gt;"Pago tarjeta")),"",IFERROR(IF(INDEX(ctaVinc,MATCH(K4806,ctaNombre,0))&amp;""&lt;&gt;"",INDEX(ctaVinc,MATCH(K4806,ctaNombre,0))&amp;"",K4806),K4806))</f>
        <v/>
      </c>
      <c r="AD4806" s="52">
        <f>IF(AB4806="","",IFERROR(INDEX(ctaTipo,MATCH(AB4806,ctaNombre,0))&amp;"",""))</f>
        <v/>
      </c>
      <c r="AE4806" s="52">
        <f>IF(AC4806="","",IFERROR(INDEX(ctaTipo,MATCH(AC4806,ctaNombre,0))&amp;"",""))</f>
        <v/>
      </c>
      <c r="AF4806" s="53">
        <f>IF(OR(P4806="",AB4806=""),"",IF(OR(P4806="Gasto",P4806="Transferencia",P4806="Pago tarjeta"),-1,1)*IF(IFERROR(INDEX(ctaMoneda,MATCH(AB4806,ctaNombre,0))&amp;"","DOP")="USD",T4806,S4806))</f>
        <v/>
      </c>
      <c r="AG4806" s="53">
        <f>IF(AC4806="","",IF(IFERROR(INDEX(ctaMoneda,MATCH(AC4806,ctaNombre,0))&amp;"","DOP")="USD",T4806,S4806))</f>
        <v/>
      </c>
      <c r="AH4806" s="53">
        <f>IF(P4806="","",IF(AND(AD4806&lt;&gt;"",COUNTIFS(tcTipo,AD4806,tcLiq,"Sí")&gt;0),IF(OR(P4806="Gasto",P4806="Transferencia",P4806="Pago tarjeta"),-1,1)*S4806,0)+IF(AND(AE4806&lt;&gt;"",COUNTIFS(tcTipo,AE4806,tcLiq,"Sí")&gt;0),S4806,0))</f>
        <v/>
      </c>
      <c r="AI4806" s="52">
        <f>IF(OR(L4806="",P4806=""),"",IF(COUNTIFS(L$6:L4806,L4806,P$6:P4806,"?*")=1,MAX(AI$5:AI4805)+1,""))</f>
        <v/>
      </c>
    </row>
    <row r="4807">
      <c r="B4807" s="47" t="n"/>
      <c r="C4807" s="48" t="n"/>
      <c r="D4807" s="48" t="n"/>
      <c r="E4807" s="48" t="n"/>
      <c r="F4807" s="48" t="n"/>
      <c r="G4807" s="49" t="n"/>
      <c r="H4807" s="48" t="n"/>
      <c r="I4807" s="50" t="n"/>
      <c r="J4807" s="48" t="n"/>
      <c r="K4807" s="48" t="n"/>
      <c r="L4807" s="48" t="n"/>
      <c r="M4807" s="48" t="n"/>
      <c r="N4807" s="48" t="n"/>
      <c r="O4807" s="51">
        <f>IF(AND(B4807="",G4807="",C4807="",D4807="",J4807=""),"",IF(B4807="","⚠ Falta fecha",IF(G4807="","⚠ Falta monto",IF(Q4807="","⚠ Falta cuenta",IF(ISNA(MATCH(Q4807,ctaNombre,0)),"⚠ Cuenta no registrada",IF(AND(OR(P4807="Gasto",P4807="Reembolso"),D4807=""),"⚠ Falta categoría",IF(AND(D4807&lt;&gt;"",E4807&lt;&gt;"",ISNA(MATCH(D4807&amp;"|"&amp;E4807,catClave,0))),"⚠ Subcategoría no corresponde",IF(AND(OR(P4807="Transferencia",P4807="Pago tarjeta"),K4807=""),"⚠ Falta cuenta destino",IF(AND(K4807&lt;&gt;"",P4807&lt;&gt;"Transferencia",P4807&lt;&gt;"Pago tarjeta"),"⚠ Destino solo aplica a transferencias",IF(AND(K4807&lt;&gt;"",K4807=Q4807),"⚠ Origen igual a destino",IF(AND(K4807&lt;&gt;"",ISNA(MATCH(K4807,ctaNombre,0))),"⚠ Destino no registrado",IF(AND(P4807="Pago tarjeta",AE4807&lt;&gt;"Tarjeta de crédito"),"⚠ El destino debe ser tarjeta de crédito",IF(AND(P4807="Gasto",E4807="Depósitos y retiros"),"⚠ Usa tipo Transferencia",IF(AND(P4807="Resultado trading",AD4807&lt;&gt;"Cuenta de trading"),"⚠ Usa una cuenta de trading",IF(AND(G4807&lt;=0,P4807&lt;&gt;"Ajuste",P4807&lt;&gt;"Resultado trading"),"⚠ El monto debe ser positivo","✓")))))))))))))))</f>
        <v/>
      </c>
      <c r="P4807" s="52">
        <f>IF(OR(B4807="",G4807=""),"",IF(C4807="","Gasto",C4807))</f>
        <v/>
      </c>
      <c r="Q4807" s="52">
        <f>IF(P4807="","",IF(J4807&lt;&gt;"",J4807,CuentaPred&amp;""))</f>
        <v/>
      </c>
      <c r="R4807" s="52">
        <f>IF(P4807="","",IF(ISNUMBER(I4807),I4807,TasaUSD))</f>
        <v/>
      </c>
      <c r="S4807" s="53">
        <f>IF(P4807="","",IF(H4807="USD",G4807*R4807,G4807))</f>
        <v/>
      </c>
      <c r="T4807" s="53">
        <f>IF(P4807="","",IF(H4807="USD",G4807,IF(R4807&gt;0,G4807/R4807,0)))</f>
        <v/>
      </c>
      <c r="U4807" s="53">
        <f>IF(P4807="","",IF(P4807="Gasto",S4807,IF(P4807="Reembolso",-S4807,0)))</f>
        <v/>
      </c>
      <c r="V4807" s="53">
        <f>IF(P4807="","",IF(P4807="Ingreso",S4807,0))</f>
        <v/>
      </c>
      <c r="W4807" s="53">
        <f>IF(P4807="","",IF(P4807="Resultado trading",S4807,0))</f>
        <v/>
      </c>
      <c r="X4807" s="52">
        <f>IF(OR(P4807="Gasto",P4807="Reembolso"),IF(M4807&lt;&gt;"",M4807,IFERROR(INDEX(catClasif,MATCH(D4807&amp;"|"&amp;E4807,catClave,0))&amp;"","Variable")),"")</f>
        <v/>
      </c>
      <c r="Y4807" s="52">
        <f>IF(P4807="","",IFERROR(INDEX(catGrupo,MATCH(D4807&amp;"|"&amp;E4807,catClave,0))&amp;"",""))</f>
        <v/>
      </c>
      <c r="Z4807" s="52">
        <f>IF(P4807="","",WEEKDAY(B4807,2))</f>
        <v/>
      </c>
      <c r="AA4807" s="52">
        <f>IF(P4807="","",IF(AND(P4807="Gasto",X4807="Variable",D4807&lt;&gt;catTrading,S4807&gt;0,S4807&lt;=Umbral),1,0))</f>
        <v/>
      </c>
      <c r="AB4807" s="52">
        <f>IF(OR(P4807="",Q4807=""),"",IFERROR(IF(INDEX(ctaVinc,MATCH(Q4807,ctaNombre,0))&amp;""&lt;&gt;"",INDEX(ctaVinc,MATCH(Q4807,ctaNombre,0))&amp;"",Q4807),Q4807))</f>
        <v/>
      </c>
      <c r="AC4807" s="52">
        <f>IF(OR(K4807="",AND(P4807&lt;&gt;"Transferencia",P4807&lt;&gt;"Pago tarjeta")),"",IFERROR(IF(INDEX(ctaVinc,MATCH(K4807,ctaNombre,0))&amp;""&lt;&gt;"",INDEX(ctaVinc,MATCH(K4807,ctaNombre,0))&amp;"",K4807),K4807))</f>
        <v/>
      </c>
      <c r="AD4807" s="52">
        <f>IF(AB4807="","",IFERROR(INDEX(ctaTipo,MATCH(AB4807,ctaNombre,0))&amp;"",""))</f>
        <v/>
      </c>
      <c r="AE4807" s="52">
        <f>IF(AC4807="","",IFERROR(INDEX(ctaTipo,MATCH(AC4807,ctaNombre,0))&amp;"",""))</f>
        <v/>
      </c>
      <c r="AF4807" s="53">
        <f>IF(OR(P4807="",AB4807=""),"",IF(OR(P4807="Gasto",P4807="Transferencia",P4807="Pago tarjeta"),-1,1)*IF(IFERROR(INDEX(ctaMoneda,MATCH(AB4807,ctaNombre,0))&amp;"","DOP")="USD",T4807,S4807))</f>
        <v/>
      </c>
      <c r="AG4807" s="53">
        <f>IF(AC4807="","",IF(IFERROR(INDEX(ctaMoneda,MATCH(AC4807,ctaNombre,0))&amp;"","DOP")="USD",T4807,S4807))</f>
        <v/>
      </c>
      <c r="AH4807" s="53">
        <f>IF(P4807="","",IF(AND(AD4807&lt;&gt;"",COUNTIFS(tcTipo,AD4807,tcLiq,"Sí")&gt;0),IF(OR(P4807="Gasto",P4807="Transferencia",P4807="Pago tarjeta"),-1,1)*S4807,0)+IF(AND(AE4807&lt;&gt;"",COUNTIFS(tcTipo,AE4807,tcLiq,"Sí")&gt;0),S4807,0))</f>
        <v/>
      </c>
      <c r="AI4807" s="52">
        <f>IF(OR(L4807="",P4807=""),"",IF(COUNTIFS(L$6:L4807,L4807,P$6:P4807,"?*")=1,MAX(AI$5:AI4806)+1,""))</f>
        <v/>
      </c>
    </row>
    <row r="4808">
      <c r="B4808" s="47" t="n"/>
      <c r="C4808" s="48" t="n"/>
      <c r="D4808" s="48" t="n"/>
      <c r="E4808" s="48" t="n"/>
      <c r="F4808" s="48" t="n"/>
      <c r="G4808" s="49" t="n"/>
      <c r="H4808" s="48" t="n"/>
      <c r="I4808" s="50" t="n"/>
      <c r="J4808" s="48" t="n"/>
      <c r="K4808" s="48" t="n"/>
      <c r="L4808" s="48" t="n"/>
      <c r="M4808" s="48" t="n"/>
      <c r="N4808" s="48" t="n"/>
      <c r="O4808" s="51">
        <f>IF(AND(B4808="",G4808="",C4808="",D4808="",J4808=""),"",IF(B4808="","⚠ Falta fecha",IF(G4808="","⚠ Falta monto",IF(Q4808="","⚠ Falta cuenta",IF(ISNA(MATCH(Q4808,ctaNombre,0)),"⚠ Cuenta no registrada",IF(AND(OR(P4808="Gasto",P4808="Reembolso"),D4808=""),"⚠ Falta categoría",IF(AND(D4808&lt;&gt;"",E4808&lt;&gt;"",ISNA(MATCH(D4808&amp;"|"&amp;E4808,catClave,0))),"⚠ Subcategoría no corresponde",IF(AND(OR(P4808="Transferencia",P4808="Pago tarjeta"),K4808=""),"⚠ Falta cuenta destino",IF(AND(K4808&lt;&gt;"",P4808&lt;&gt;"Transferencia",P4808&lt;&gt;"Pago tarjeta"),"⚠ Destino solo aplica a transferencias",IF(AND(K4808&lt;&gt;"",K4808=Q4808),"⚠ Origen igual a destino",IF(AND(K4808&lt;&gt;"",ISNA(MATCH(K4808,ctaNombre,0))),"⚠ Destino no registrado",IF(AND(P4808="Pago tarjeta",AE4808&lt;&gt;"Tarjeta de crédito"),"⚠ El destino debe ser tarjeta de crédito",IF(AND(P4808="Gasto",E4808="Depósitos y retiros"),"⚠ Usa tipo Transferencia",IF(AND(P4808="Resultado trading",AD4808&lt;&gt;"Cuenta de trading"),"⚠ Usa una cuenta de trading",IF(AND(G4808&lt;=0,P4808&lt;&gt;"Ajuste",P4808&lt;&gt;"Resultado trading"),"⚠ El monto debe ser positivo","✓")))))))))))))))</f>
        <v/>
      </c>
      <c r="P4808" s="52">
        <f>IF(OR(B4808="",G4808=""),"",IF(C4808="","Gasto",C4808))</f>
        <v/>
      </c>
      <c r="Q4808" s="52">
        <f>IF(P4808="","",IF(J4808&lt;&gt;"",J4808,CuentaPred&amp;""))</f>
        <v/>
      </c>
      <c r="R4808" s="52">
        <f>IF(P4808="","",IF(ISNUMBER(I4808),I4808,TasaUSD))</f>
        <v/>
      </c>
      <c r="S4808" s="53">
        <f>IF(P4808="","",IF(H4808="USD",G4808*R4808,G4808))</f>
        <v/>
      </c>
      <c r="T4808" s="53">
        <f>IF(P4808="","",IF(H4808="USD",G4808,IF(R4808&gt;0,G4808/R4808,0)))</f>
        <v/>
      </c>
      <c r="U4808" s="53">
        <f>IF(P4808="","",IF(P4808="Gasto",S4808,IF(P4808="Reembolso",-S4808,0)))</f>
        <v/>
      </c>
      <c r="V4808" s="53">
        <f>IF(P4808="","",IF(P4808="Ingreso",S4808,0))</f>
        <v/>
      </c>
      <c r="W4808" s="53">
        <f>IF(P4808="","",IF(P4808="Resultado trading",S4808,0))</f>
        <v/>
      </c>
      <c r="X4808" s="52">
        <f>IF(OR(P4808="Gasto",P4808="Reembolso"),IF(M4808&lt;&gt;"",M4808,IFERROR(INDEX(catClasif,MATCH(D4808&amp;"|"&amp;E4808,catClave,0))&amp;"","Variable")),"")</f>
        <v/>
      </c>
      <c r="Y4808" s="52">
        <f>IF(P4808="","",IFERROR(INDEX(catGrupo,MATCH(D4808&amp;"|"&amp;E4808,catClave,0))&amp;"",""))</f>
        <v/>
      </c>
      <c r="Z4808" s="52">
        <f>IF(P4808="","",WEEKDAY(B4808,2))</f>
        <v/>
      </c>
      <c r="AA4808" s="52">
        <f>IF(P4808="","",IF(AND(P4808="Gasto",X4808="Variable",D4808&lt;&gt;catTrading,S4808&gt;0,S4808&lt;=Umbral),1,0))</f>
        <v/>
      </c>
      <c r="AB4808" s="52">
        <f>IF(OR(P4808="",Q4808=""),"",IFERROR(IF(INDEX(ctaVinc,MATCH(Q4808,ctaNombre,0))&amp;""&lt;&gt;"",INDEX(ctaVinc,MATCH(Q4808,ctaNombre,0))&amp;"",Q4808),Q4808))</f>
        <v/>
      </c>
      <c r="AC4808" s="52">
        <f>IF(OR(K4808="",AND(P4808&lt;&gt;"Transferencia",P4808&lt;&gt;"Pago tarjeta")),"",IFERROR(IF(INDEX(ctaVinc,MATCH(K4808,ctaNombre,0))&amp;""&lt;&gt;"",INDEX(ctaVinc,MATCH(K4808,ctaNombre,0))&amp;"",K4808),K4808))</f>
        <v/>
      </c>
      <c r="AD4808" s="52">
        <f>IF(AB4808="","",IFERROR(INDEX(ctaTipo,MATCH(AB4808,ctaNombre,0))&amp;"",""))</f>
        <v/>
      </c>
      <c r="AE4808" s="52">
        <f>IF(AC4808="","",IFERROR(INDEX(ctaTipo,MATCH(AC4808,ctaNombre,0))&amp;"",""))</f>
        <v/>
      </c>
      <c r="AF4808" s="53">
        <f>IF(OR(P4808="",AB4808=""),"",IF(OR(P4808="Gasto",P4808="Transferencia",P4808="Pago tarjeta"),-1,1)*IF(IFERROR(INDEX(ctaMoneda,MATCH(AB4808,ctaNombre,0))&amp;"","DOP")="USD",T4808,S4808))</f>
        <v/>
      </c>
      <c r="AG4808" s="53">
        <f>IF(AC4808="","",IF(IFERROR(INDEX(ctaMoneda,MATCH(AC4808,ctaNombre,0))&amp;"","DOP")="USD",T4808,S4808))</f>
        <v/>
      </c>
      <c r="AH4808" s="53">
        <f>IF(P4808="","",IF(AND(AD4808&lt;&gt;"",COUNTIFS(tcTipo,AD4808,tcLiq,"Sí")&gt;0),IF(OR(P4808="Gasto",P4808="Transferencia",P4808="Pago tarjeta"),-1,1)*S4808,0)+IF(AND(AE4808&lt;&gt;"",COUNTIFS(tcTipo,AE4808,tcLiq,"Sí")&gt;0),S4808,0))</f>
        <v/>
      </c>
      <c r="AI4808" s="52">
        <f>IF(OR(L4808="",P4808=""),"",IF(COUNTIFS(L$6:L4808,L4808,P$6:P4808,"?*")=1,MAX(AI$5:AI4807)+1,""))</f>
        <v/>
      </c>
    </row>
    <row r="4809">
      <c r="B4809" s="47" t="n"/>
      <c r="C4809" s="48" t="n"/>
      <c r="D4809" s="48" t="n"/>
      <c r="E4809" s="48" t="n"/>
      <c r="F4809" s="48" t="n"/>
      <c r="G4809" s="49" t="n"/>
      <c r="H4809" s="48" t="n"/>
      <c r="I4809" s="50" t="n"/>
      <c r="J4809" s="48" t="n"/>
      <c r="K4809" s="48" t="n"/>
      <c r="L4809" s="48" t="n"/>
      <c r="M4809" s="48" t="n"/>
      <c r="N4809" s="48" t="n"/>
      <c r="O4809" s="51">
        <f>IF(AND(B4809="",G4809="",C4809="",D4809="",J4809=""),"",IF(B4809="","⚠ Falta fecha",IF(G4809="","⚠ Falta monto",IF(Q4809="","⚠ Falta cuenta",IF(ISNA(MATCH(Q4809,ctaNombre,0)),"⚠ Cuenta no registrada",IF(AND(OR(P4809="Gasto",P4809="Reembolso"),D4809=""),"⚠ Falta categoría",IF(AND(D4809&lt;&gt;"",E4809&lt;&gt;"",ISNA(MATCH(D4809&amp;"|"&amp;E4809,catClave,0))),"⚠ Subcategoría no corresponde",IF(AND(OR(P4809="Transferencia",P4809="Pago tarjeta"),K4809=""),"⚠ Falta cuenta destino",IF(AND(K4809&lt;&gt;"",P4809&lt;&gt;"Transferencia",P4809&lt;&gt;"Pago tarjeta"),"⚠ Destino solo aplica a transferencias",IF(AND(K4809&lt;&gt;"",K4809=Q4809),"⚠ Origen igual a destino",IF(AND(K4809&lt;&gt;"",ISNA(MATCH(K4809,ctaNombre,0))),"⚠ Destino no registrado",IF(AND(P4809="Pago tarjeta",AE4809&lt;&gt;"Tarjeta de crédito"),"⚠ El destino debe ser tarjeta de crédito",IF(AND(P4809="Gasto",E4809="Depósitos y retiros"),"⚠ Usa tipo Transferencia",IF(AND(P4809="Resultado trading",AD4809&lt;&gt;"Cuenta de trading"),"⚠ Usa una cuenta de trading",IF(AND(G4809&lt;=0,P4809&lt;&gt;"Ajuste",P4809&lt;&gt;"Resultado trading"),"⚠ El monto debe ser positivo","✓")))))))))))))))</f>
        <v/>
      </c>
      <c r="P4809" s="52">
        <f>IF(OR(B4809="",G4809=""),"",IF(C4809="","Gasto",C4809))</f>
        <v/>
      </c>
      <c r="Q4809" s="52">
        <f>IF(P4809="","",IF(J4809&lt;&gt;"",J4809,CuentaPred&amp;""))</f>
        <v/>
      </c>
      <c r="R4809" s="52">
        <f>IF(P4809="","",IF(ISNUMBER(I4809),I4809,TasaUSD))</f>
        <v/>
      </c>
      <c r="S4809" s="53">
        <f>IF(P4809="","",IF(H4809="USD",G4809*R4809,G4809))</f>
        <v/>
      </c>
      <c r="T4809" s="53">
        <f>IF(P4809="","",IF(H4809="USD",G4809,IF(R4809&gt;0,G4809/R4809,0)))</f>
        <v/>
      </c>
      <c r="U4809" s="53">
        <f>IF(P4809="","",IF(P4809="Gasto",S4809,IF(P4809="Reembolso",-S4809,0)))</f>
        <v/>
      </c>
      <c r="V4809" s="53">
        <f>IF(P4809="","",IF(P4809="Ingreso",S4809,0))</f>
        <v/>
      </c>
      <c r="W4809" s="53">
        <f>IF(P4809="","",IF(P4809="Resultado trading",S4809,0))</f>
        <v/>
      </c>
      <c r="X4809" s="52">
        <f>IF(OR(P4809="Gasto",P4809="Reembolso"),IF(M4809&lt;&gt;"",M4809,IFERROR(INDEX(catClasif,MATCH(D4809&amp;"|"&amp;E4809,catClave,0))&amp;"","Variable")),"")</f>
        <v/>
      </c>
      <c r="Y4809" s="52">
        <f>IF(P4809="","",IFERROR(INDEX(catGrupo,MATCH(D4809&amp;"|"&amp;E4809,catClave,0))&amp;"",""))</f>
        <v/>
      </c>
      <c r="Z4809" s="52">
        <f>IF(P4809="","",WEEKDAY(B4809,2))</f>
        <v/>
      </c>
      <c r="AA4809" s="52">
        <f>IF(P4809="","",IF(AND(P4809="Gasto",X4809="Variable",D4809&lt;&gt;catTrading,S4809&gt;0,S4809&lt;=Umbral),1,0))</f>
        <v/>
      </c>
      <c r="AB4809" s="52">
        <f>IF(OR(P4809="",Q4809=""),"",IFERROR(IF(INDEX(ctaVinc,MATCH(Q4809,ctaNombre,0))&amp;""&lt;&gt;"",INDEX(ctaVinc,MATCH(Q4809,ctaNombre,0))&amp;"",Q4809),Q4809))</f>
        <v/>
      </c>
      <c r="AC4809" s="52">
        <f>IF(OR(K4809="",AND(P4809&lt;&gt;"Transferencia",P4809&lt;&gt;"Pago tarjeta")),"",IFERROR(IF(INDEX(ctaVinc,MATCH(K4809,ctaNombre,0))&amp;""&lt;&gt;"",INDEX(ctaVinc,MATCH(K4809,ctaNombre,0))&amp;"",K4809),K4809))</f>
        <v/>
      </c>
      <c r="AD4809" s="52">
        <f>IF(AB4809="","",IFERROR(INDEX(ctaTipo,MATCH(AB4809,ctaNombre,0))&amp;"",""))</f>
        <v/>
      </c>
      <c r="AE4809" s="52">
        <f>IF(AC4809="","",IFERROR(INDEX(ctaTipo,MATCH(AC4809,ctaNombre,0))&amp;"",""))</f>
        <v/>
      </c>
      <c r="AF4809" s="53">
        <f>IF(OR(P4809="",AB4809=""),"",IF(OR(P4809="Gasto",P4809="Transferencia",P4809="Pago tarjeta"),-1,1)*IF(IFERROR(INDEX(ctaMoneda,MATCH(AB4809,ctaNombre,0))&amp;"","DOP")="USD",T4809,S4809))</f>
        <v/>
      </c>
      <c r="AG4809" s="53">
        <f>IF(AC4809="","",IF(IFERROR(INDEX(ctaMoneda,MATCH(AC4809,ctaNombre,0))&amp;"","DOP")="USD",T4809,S4809))</f>
        <v/>
      </c>
      <c r="AH4809" s="53">
        <f>IF(P4809="","",IF(AND(AD4809&lt;&gt;"",COUNTIFS(tcTipo,AD4809,tcLiq,"Sí")&gt;0),IF(OR(P4809="Gasto",P4809="Transferencia",P4809="Pago tarjeta"),-1,1)*S4809,0)+IF(AND(AE4809&lt;&gt;"",COUNTIFS(tcTipo,AE4809,tcLiq,"Sí")&gt;0),S4809,0))</f>
        <v/>
      </c>
      <c r="AI4809" s="52">
        <f>IF(OR(L4809="",P4809=""),"",IF(COUNTIFS(L$6:L4809,L4809,P$6:P4809,"?*")=1,MAX(AI$5:AI4808)+1,""))</f>
        <v/>
      </c>
    </row>
    <row r="4810">
      <c r="B4810" s="47" t="n"/>
      <c r="C4810" s="48" t="n"/>
      <c r="D4810" s="48" t="n"/>
      <c r="E4810" s="48" t="n"/>
      <c r="F4810" s="48" t="n"/>
      <c r="G4810" s="49" t="n"/>
      <c r="H4810" s="48" t="n"/>
      <c r="I4810" s="50" t="n"/>
      <c r="J4810" s="48" t="n"/>
      <c r="K4810" s="48" t="n"/>
      <c r="L4810" s="48" t="n"/>
      <c r="M4810" s="48" t="n"/>
      <c r="N4810" s="48" t="n"/>
      <c r="O4810" s="51">
        <f>IF(AND(B4810="",G4810="",C4810="",D4810="",J4810=""),"",IF(B4810="","⚠ Falta fecha",IF(G4810="","⚠ Falta monto",IF(Q4810="","⚠ Falta cuenta",IF(ISNA(MATCH(Q4810,ctaNombre,0)),"⚠ Cuenta no registrada",IF(AND(OR(P4810="Gasto",P4810="Reembolso"),D4810=""),"⚠ Falta categoría",IF(AND(D4810&lt;&gt;"",E4810&lt;&gt;"",ISNA(MATCH(D4810&amp;"|"&amp;E4810,catClave,0))),"⚠ Subcategoría no corresponde",IF(AND(OR(P4810="Transferencia",P4810="Pago tarjeta"),K4810=""),"⚠ Falta cuenta destino",IF(AND(K4810&lt;&gt;"",P4810&lt;&gt;"Transferencia",P4810&lt;&gt;"Pago tarjeta"),"⚠ Destino solo aplica a transferencias",IF(AND(K4810&lt;&gt;"",K4810=Q4810),"⚠ Origen igual a destino",IF(AND(K4810&lt;&gt;"",ISNA(MATCH(K4810,ctaNombre,0))),"⚠ Destino no registrado",IF(AND(P4810="Pago tarjeta",AE4810&lt;&gt;"Tarjeta de crédito"),"⚠ El destino debe ser tarjeta de crédito",IF(AND(P4810="Gasto",E4810="Depósitos y retiros"),"⚠ Usa tipo Transferencia",IF(AND(P4810="Resultado trading",AD4810&lt;&gt;"Cuenta de trading"),"⚠ Usa una cuenta de trading",IF(AND(G4810&lt;=0,P4810&lt;&gt;"Ajuste",P4810&lt;&gt;"Resultado trading"),"⚠ El monto debe ser positivo","✓")))))))))))))))</f>
        <v/>
      </c>
      <c r="P4810" s="52">
        <f>IF(OR(B4810="",G4810=""),"",IF(C4810="","Gasto",C4810))</f>
        <v/>
      </c>
      <c r="Q4810" s="52">
        <f>IF(P4810="","",IF(J4810&lt;&gt;"",J4810,CuentaPred&amp;""))</f>
        <v/>
      </c>
      <c r="R4810" s="52">
        <f>IF(P4810="","",IF(ISNUMBER(I4810),I4810,TasaUSD))</f>
        <v/>
      </c>
      <c r="S4810" s="53">
        <f>IF(P4810="","",IF(H4810="USD",G4810*R4810,G4810))</f>
        <v/>
      </c>
      <c r="T4810" s="53">
        <f>IF(P4810="","",IF(H4810="USD",G4810,IF(R4810&gt;0,G4810/R4810,0)))</f>
        <v/>
      </c>
      <c r="U4810" s="53">
        <f>IF(P4810="","",IF(P4810="Gasto",S4810,IF(P4810="Reembolso",-S4810,0)))</f>
        <v/>
      </c>
      <c r="V4810" s="53">
        <f>IF(P4810="","",IF(P4810="Ingreso",S4810,0))</f>
        <v/>
      </c>
      <c r="W4810" s="53">
        <f>IF(P4810="","",IF(P4810="Resultado trading",S4810,0))</f>
        <v/>
      </c>
      <c r="X4810" s="52">
        <f>IF(OR(P4810="Gasto",P4810="Reembolso"),IF(M4810&lt;&gt;"",M4810,IFERROR(INDEX(catClasif,MATCH(D4810&amp;"|"&amp;E4810,catClave,0))&amp;"","Variable")),"")</f>
        <v/>
      </c>
      <c r="Y4810" s="52">
        <f>IF(P4810="","",IFERROR(INDEX(catGrupo,MATCH(D4810&amp;"|"&amp;E4810,catClave,0))&amp;"",""))</f>
        <v/>
      </c>
      <c r="Z4810" s="52">
        <f>IF(P4810="","",WEEKDAY(B4810,2))</f>
        <v/>
      </c>
      <c r="AA4810" s="52">
        <f>IF(P4810="","",IF(AND(P4810="Gasto",X4810="Variable",D4810&lt;&gt;catTrading,S4810&gt;0,S4810&lt;=Umbral),1,0))</f>
        <v/>
      </c>
      <c r="AB4810" s="52">
        <f>IF(OR(P4810="",Q4810=""),"",IFERROR(IF(INDEX(ctaVinc,MATCH(Q4810,ctaNombre,0))&amp;""&lt;&gt;"",INDEX(ctaVinc,MATCH(Q4810,ctaNombre,0))&amp;"",Q4810),Q4810))</f>
        <v/>
      </c>
      <c r="AC4810" s="52">
        <f>IF(OR(K4810="",AND(P4810&lt;&gt;"Transferencia",P4810&lt;&gt;"Pago tarjeta")),"",IFERROR(IF(INDEX(ctaVinc,MATCH(K4810,ctaNombre,0))&amp;""&lt;&gt;"",INDEX(ctaVinc,MATCH(K4810,ctaNombre,0))&amp;"",K4810),K4810))</f>
        <v/>
      </c>
      <c r="AD4810" s="52">
        <f>IF(AB4810="","",IFERROR(INDEX(ctaTipo,MATCH(AB4810,ctaNombre,0))&amp;"",""))</f>
        <v/>
      </c>
      <c r="AE4810" s="52">
        <f>IF(AC4810="","",IFERROR(INDEX(ctaTipo,MATCH(AC4810,ctaNombre,0))&amp;"",""))</f>
        <v/>
      </c>
      <c r="AF4810" s="53">
        <f>IF(OR(P4810="",AB4810=""),"",IF(OR(P4810="Gasto",P4810="Transferencia",P4810="Pago tarjeta"),-1,1)*IF(IFERROR(INDEX(ctaMoneda,MATCH(AB4810,ctaNombre,0))&amp;"","DOP")="USD",T4810,S4810))</f>
        <v/>
      </c>
      <c r="AG4810" s="53">
        <f>IF(AC4810="","",IF(IFERROR(INDEX(ctaMoneda,MATCH(AC4810,ctaNombre,0))&amp;"","DOP")="USD",T4810,S4810))</f>
        <v/>
      </c>
      <c r="AH4810" s="53">
        <f>IF(P4810="","",IF(AND(AD4810&lt;&gt;"",COUNTIFS(tcTipo,AD4810,tcLiq,"Sí")&gt;0),IF(OR(P4810="Gasto",P4810="Transferencia",P4810="Pago tarjeta"),-1,1)*S4810,0)+IF(AND(AE4810&lt;&gt;"",COUNTIFS(tcTipo,AE4810,tcLiq,"Sí")&gt;0),S4810,0))</f>
        <v/>
      </c>
      <c r="AI4810" s="52">
        <f>IF(OR(L4810="",P4810=""),"",IF(COUNTIFS(L$6:L4810,L4810,P$6:P4810,"?*")=1,MAX(AI$5:AI4809)+1,""))</f>
        <v/>
      </c>
    </row>
    <row r="4811">
      <c r="B4811" s="47" t="n"/>
      <c r="C4811" s="48" t="n"/>
      <c r="D4811" s="48" t="n"/>
      <c r="E4811" s="48" t="n"/>
      <c r="F4811" s="48" t="n"/>
      <c r="G4811" s="49" t="n"/>
      <c r="H4811" s="48" t="n"/>
      <c r="I4811" s="50" t="n"/>
      <c r="J4811" s="48" t="n"/>
      <c r="K4811" s="48" t="n"/>
      <c r="L4811" s="48" t="n"/>
      <c r="M4811" s="48" t="n"/>
      <c r="N4811" s="48" t="n"/>
      <c r="O4811" s="51">
        <f>IF(AND(B4811="",G4811="",C4811="",D4811="",J4811=""),"",IF(B4811="","⚠ Falta fecha",IF(G4811="","⚠ Falta monto",IF(Q4811="","⚠ Falta cuenta",IF(ISNA(MATCH(Q4811,ctaNombre,0)),"⚠ Cuenta no registrada",IF(AND(OR(P4811="Gasto",P4811="Reembolso"),D4811=""),"⚠ Falta categoría",IF(AND(D4811&lt;&gt;"",E4811&lt;&gt;"",ISNA(MATCH(D4811&amp;"|"&amp;E4811,catClave,0))),"⚠ Subcategoría no corresponde",IF(AND(OR(P4811="Transferencia",P4811="Pago tarjeta"),K4811=""),"⚠ Falta cuenta destino",IF(AND(K4811&lt;&gt;"",P4811&lt;&gt;"Transferencia",P4811&lt;&gt;"Pago tarjeta"),"⚠ Destino solo aplica a transferencias",IF(AND(K4811&lt;&gt;"",K4811=Q4811),"⚠ Origen igual a destino",IF(AND(K4811&lt;&gt;"",ISNA(MATCH(K4811,ctaNombre,0))),"⚠ Destino no registrado",IF(AND(P4811="Pago tarjeta",AE4811&lt;&gt;"Tarjeta de crédito"),"⚠ El destino debe ser tarjeta de crédito",IF(AND(P4811="Gasto",E4811="Depósitos y retiros"),"⚠ Usa tipo Transferencia",IF(AND(P4811="Resultado trading",AD4811&lt;&gt;"Cuenta de trading"),"⚠ Usa una cuenta de trading",IF(AND(G4811&lt;=0,P4811&lt;&gt;"Ajuste",P4811&lt;&gt;"Resultado trading"),"⚠ El monto debe ser positivo","✓")))))))))))))))</f>
        <v/>
      </c>
      <c r="P4811" s="52">
        <f>IF(OR(B4811="",G4811=""),"",IF(C4811="","Gasto",C4811))</f>
        <v/>
      </c>
      <c r="Q4811" s="52">
        <f>IF(P4811="","",IF(J4811&lt;&gt;"",J4811,CuentaPred&amp;""))</f>
        <v/>
      </c>
      <c r="R4811" s="52">
        <f>IF(P4811="","",IF(ISNUMBER(I4811),I4811,TasaUSD))</f>
        <v/>
      </c>
      <c r="S4811" s="53">
        <f>IF(P4811="","",IF(H4811="USD",G4811*R4811,G4811))</f>
        <v/>
      </c>
      <c r="T4811" s="53">
        <f>IF(P4811="","",IF(H4811="USD",G4811,IF(R4811&gt;0,G4811/R4811,0)))</f>
        <v/>
      </c>
      <c r="U4811" s="53">
        <f>IF(P4811="","",IF(P4811="Gasto",S4811,IF(P4811="Reembolso",-S4811,0)))</f>
        <v/>
      </c>
      <c r="V4811" s="53">
        <f>IF(P4811="","",IF(P4811="Ingreso",S4811,0))</f>
        <v/>
      </c>
      <c r="W4811" s="53">
        <f>IF(P4811="","",IF(P4811="Resultado trading",S4811,0))</f>
        <v/>
      </c>
      <c r="X4811" s="52">
        <f>IF(OR(P4811="Gasto",P4811="Reembolso"),IF(M4811&lt;&gt;"",M4811,IFERROR(INDEX(catClasif,MATCH(D4811&amp;"|"&amp;E4811,catClave,0))&amp;"","Variable")),"")</f>
        <v/>
      </c>
      <c r="Y4811" s="52">
        <f>IF(P4811="","",IFERROR(INDEX(catGrupo,MATCH(D4811&amp;"|"&amp;E4811,catClave,0))&amp;"",""))</f>
        <v/>
      </c>
      <c r="Z4811" s="52">
        <f>IF(P4811="","",WEEKDAY(B4811,2))</f>
        <v/>
      </c>
      <c r="AA4811" s="52">
        <f>IF(P4811="","",IF(AND(P4811="Gasto",X4811="Variable",D4811&lt;&gt;catTrading,S4811&gt;0,S4811&lt;=Umbral),1,0))</f>
        <v/>
      </c>
      <c r="AB4811" s="52">
        <f>IF(OR(P4811="",Q4811=""),"",IFERROR(IF(INDEX(ctaVinc,MATCH(Q4811,ctaNombre,0))&amp;""&lt;&gt;"",INDEX(ctaVinc,MATCH(Q4811,ctaNombre,0))&amp;"",Q4811),Q4811))</f>
        <v/>
      </c>
      <c r="AC4811" s="52">
        <f>IF(OR(K4811="",AND(P4811&lt;&gt;"Transferencia",P4811&lt;&gt;"Pago tarjeta")),"",IFERROR(IF(INDEX(ctaVinc,MATCH(K4811,ctaNombre,0))&amp;""&lt;&gt;"",INDEX(ctaVinc,MATCH(K4811,ctaNombre,0))&amp;"",K4811),K4811))</f>
        <v/>
      </c>
      <c r="AD4811" s="52">
        <f>IF(AB4811="","",IFERROR(INDEX(ctaTipo,MATCH(AB4811,ctaNombre,0))&amp;"",""))</f>
        <v/>
      </c>
      <c r="AE4811" s="52">
        <f>IF(AC4811="","",IFERROR(INDEX(ctaTipo,MATCH(AC4811,ctaNombre,0))&amp;"",""))</f>
        <v/>
      </c>
      <c r="AF4811" s="53">
        <f>IF(OR(P4811="",AB4811=""),"",IF(OR(P4811="Gasto",P4811="Transferencia",P4811="Pago tarjeta"),-1,1)*IF(IFERROR(INDEX(ctaMoneda,MATCH(AB4811,ctaNombre,0))&amp;"","DOP")="USD",T4811,S4811))</f>
        <v/>
      </c>
      <c r="AG4811" s="53">
        <f>IF(AC4811="","",IF(IFERROR(INDEX(ctaMoneda,MATCH(AC4811,ctaNombre,0))&amp;"","DOP")="USD",T4811,S4811))</f>
        <v/>
      </c>
      <c r="AH4811" s="53">
        <f>IF(P4811="","",IF(AND(AD4811&lt;&gt;"",COUNTIFS(tcTipo,AD4811,tcLiq,"Sí")&gt;0),IF(OR(P4811="Gasto",P4811="Transferencia",P4811="Pago tarjeta"),-1,1)*S4811,0)+IF(AND(AE4811&lt;&gt;"",COUNTIFS(tcTipo,AE4811,tcLiq,"Sí")&gt;0),S4811,0))</f>
        <v/>
      </c>
      <c r="AI4811" s="52">
        <f>IF(OR(L4811="",P4811=""),"",IF(COUNTIFS(L$6:L4811,L4811,P$6:P4811,"?*")=1,MAX(AI$5:AI4810)+1,""))</f>
        <v/>
      </c>
    </row>
    <row r="4812">
      <c r="B4812" s="47" t="n"/>
      <c r="C4812" s="48" t="n"/>
      <c r="D4812" s="48" t="n"/>
      <c r="E4812" s="48" t="n"/>
      <c r="F4812" s="48" t="n"/>
      <c r="G4812" s="49" t="n"/>
      <c r="H4812" s="48" t="n"/>
      <c r="I4812" s="50" t="n"/>
      <c r="J4812" s="48" t="n"/>
      <c r="K4812" s="48" t="n"/>
      <c r="L4812" s="48" t="n"/>
      <c r="M4812" s="48" t="n"/>
      <c r="N4812" s="48" t="n"/>
      <c r="O4812" s="51">
        <f>IF(AND(B4812="",G4812="",C4812="",D4812="",J4812=""),"",IF(B4812="","⚠ Falta fecha",IF(G4812="","⚠ Falta monto",IF(Q4812="","⚠ Falta cuenta",IF(ISNA(MATCH(Q4812,ctaNombre,0)),"⚠ Cuenta no registrada",IF(AND(OR(P4812="Gasto",P4812="Reembolso"),D4812=""),"⚠ Falta categoría",IF(AND(D4812&lt;&gt;"",E4812&lt;&gt;"",ISNA(MATCH(D4812&amp;"|"&amp;E4812,catClave,0))),"⚠ Subcategoría no corresponde",IF(AND(OR(P4812="Transferencia",P4812="Pago tarjeta"),K4812=""),"⚠ Falta cuenta destino",IF(AND(K4812&lt;&gt;"",P4812&lt;&gt;"Transferencia",P4812&lt;&gt;"Pago tarjeta"),"⚠ Destino solo aplica a transferencias",IF(AND(K4812&lt;&gt;"",K4812=Q4812),"⚠ Origen igual a destino",IF(AND(K4812&lt;&gt;"",ISNA(MATCH(K4812,ctaNombre,0))),"⚠ Destino no registrado",IF(AND(P4812="Pago tarjeta",AE4812&lt;&gt;"Tarjeta de crédito"),"⚠ El destino debe ser tarjeta de crédito",IF(AND(P4812="Gasto",E4812="Depósitos y retiros"),"⚠ Usa tipo Transferencia",IF(AND(P4812="Resultado trading",AD4812&lt;&gt;"Cuenta de trading"),"⚠ Usa una cuenta de trading",IF(AND(G4812&lt;=0,P4812&lt;&gt;"Ajuste",P4812&lt;&gt;"Resultado trading"),"⚠ El monto debe ser positivo","✓")))))))))))))))</f>
        <v/>
      </c>
      <c r="P4812" s="52">
        <f>IF(OR(B4812="",G4812=""),"",IF(C4812="","Gasto",C4812))</f>
        <v/>
      </c>
      <c r="Q4812" s="52">
        <f>IF(P4812="","",IF(J4812&lt;&gt;"",J4812,CuentaPred&amp;""))</f>
        <v/>
      </c>
      <c r="R4812" s="52">
        <f>IF(P4812="","",IF(ISNUMBER(I4812),I4812,TasaUSD))</f>
        <v/>
      </c>
      <c r="S4812" s="53">
        <f>IF(P4812="","",IF(H4812="USD",G4812*R4812,G4812))</f>
        <v/>
      </c>
      <c r="T4812" s="53">
        <f>IF(P4812="","",IF(H4812="USD",G4812,IF(R4812&gt;0,G4812/R4812,0)))</f>
        <v/>
      </c>
      <c r="U4812" s="53">
        <f>IF(P4812="","",IF(P4812="Gasto",S4812,IF(P4812="Reembolso",-S4812,0)))</f>
        <v/>
      </c>
      <c r="V4812" s="53">
        <f>IF(P4812="","",IF(P4812="Ingreso",S4812,0))</f>
        <v/>
      </c>
      <c r="W4812" s="53">
        <f>IF(P4812="","",IF(P4812="Resultado trading",S4812,0))</f>
        <v/>
      </c>
      <c r="X4812" s="52">
        <f>IF(OR(P4812="Gasto",P4812="Reembolso"),IF(M4812&lt;&gt;"",M4812,IFERROR(INDEX(catClasif,MATCH(D4812&amp;"|"&amp;E4812,catClave,0))&amp;"","Variable")),"")</f>
        <v/>
      </c>
      <c r="Y4812" s="52">
        <f>IF(P4812="","",IFERROR(INDEX(catGrupo,MATCH(D4812&amp;"|"&amp;E4812,catClave,0))&amp;"",""))</f>
        <v/>
      </c>
      <c r="Z4812" s="52">
        <f>IF(P4812="","",WEEKDAY(B4812,2))</f>
        <v/>
      </c>
      <c r="AA4812" s="52">
        <f>IF(P4812="","",IF(AND(P4812="Gasto",X4812="Variable",D4812&lt;&gt;catTrading,S4812&gt;0,S4812&lt;=Umbral),1,0))</f>
        <v/>
      </c>
      <c r="AB4812" s="52">
        <f>IF(OR(P4812="",Q4812=""),"",IFERROR(IF(INDEX(ctaVinc,MATCH(Q4812,ctaNombre,0))&amp;""&lt;&gt;"",INDEX(ctaVinc,MATCH(Q4812,ctaNombre,0))&amp;"",Q4812),Q4812))</f>
        <v/>
      </c>
      <c r="AC4812" s="52">
        <f>IF(OR(K4812="",AND(P4812&lt;&gt;"Transferencia",P4812&lt;&gt;"Pago tarjeta")),"",IFERROR(IF(INDEX(ctaVinc,MATCH(K4812,ctaNombre,0))&amp;""&lt;&gt;"",INDEX(ctaVinc,MATCH(K4812,ctaNombre,0))&amp;"",K4812),K4812))</f>
        <v/>
      </c>
      <c r="AD4812" s="52">
        <f>IF(AB4812="","",IFERROR(INDEX(ctaTipo,MATCH(AB4812,ctaNombre,0))&amp;"",""))</f>
        <v/>
      </c>
      <c r="AE4812" s="52">
        <f>IF(AC4812="","",IFERROR(INDEX(ctaTipo,MATCH(AC4812,ctaNombre,0))&amp;"",""))</f>
        <v/>
      </c>
      <c r="AF4812" s="53">
        <f>IF(OR(P4812="",AB4812=""),"",IF(OR(P4812="Gasto",P4812="Transferencia",P4812="Pago tarjeta"),-1,1)*IF(IFERROR(INDEX(ctaMoneda,MATCH(AB4812,ctaNombre,0))&amp;"","DOP")="USD",T4812,S4812))</f>
        <v/>
      </c>
      <c r="AG4812" s="53">
        <f>IF(AC4812="","",IF(IFERROR(INDEX(ctaMoneda,MATCH(AC4812,ctaNombre,0))&amp;"","DOP")="USD",T4812,S4812))</f>
        <v/>
      </c>
      <c r="AH4812" s="53">
        <f>IF(P4812="","",IF(AND(AD4812&lt;&gt;"",COUNTIFS(tcTipo,AD4812,tcLiq,"Sí")&gt;0),IF(OR(P4812="Gasto",P4812="Transferencia",P4812="Pago tarjeta"),-1,1)*S4812,0)+IF(AND(AE4812&lt;&gt;"",COUNTIFS(tcTipo,AE4812,tcLiq,"Sí")&gt;0),S4812,0))</f>
        <v/>
      </c>
      <c r="AI4812" s="52">
        <f>IF(OR(L4812="",P4812=""),"",IF(COUNTIFS(L$6:L4812,L4812,P$6:P4812,"?*")=1,MAX(AI$5:AI4811)+1,""))</f>
        <v/>
      </c>
    </row>
    <row r="4813">
      <c r="B4813" s="47" t="n"/>
      <c r="C4813" s="48" t="n"/>
      <c r="D4813" s="48" t="n"/>
      <c r="E4813" s="48" t="n"/>
      <c r="F4813" s="48" t="n"/>
      <c r="G4813" s="49" t="n"/>
      <c r="H4813" s="48" t="n"/>
      <c r="I4813" s="50" t="n"/>
      <c r="J4813" s="48" t="n"/>
      <c r="K4813" s="48" t="n"/>
      <c r="L4813" s="48" t="n"/>
      <c r="M4813" s="48" t="n"/>
      <c r="N4813" s="48" t="n"/>
      <c r="O4813" s="51">
        <f>IF(AND(B4813="",G4813="",C4813="",D4813="",J4813=""),"",IF(B4813="","⚠ Falta fecha",IF(G4813="","⚠ Falta monto",IF(Q4813="","⚠ Falta cuenta",IF(ISNA(MATCH(Q4813,ctaNombre,0)),"⚠ Cuenta no registrada",IF(AND(OR(P4813="Gasto",P4813="Reembolso"),D4813=""),"⚠ Falta categoría",IF(AND(D4813&lt;&gt;"",E4813&lt;&gt;"",ISNA(MATCH(D4813&amp;"|"&amp;E4813,catClave,0))),"⚠ Subcategoría no corresponde",IF(AND(OR(P4813="Transferencia",P4813="Pago tarjeta"),K4813=""),"⚠ Falta cuenta destino",IF(AND(K4813&lt;&gt;"",P4813&lt;&gt;"Transferencia",P4813&lt;&gt;"Pago tarjeta"),"⚠ Destino solo aplica a transferencias",IF(AND(K4813&lt;&gt;"",K4813=Q4813),"⚠ Origen igual a destino",IF(AND(K4813&lt;&gt;"",ISNA(MATCH(K4813,ctaNombre,0))),"⚠ Destino no registrado",IF(AND(P4813="Pago tarjeta",AE4813&lt;&gt;"Tarjeta de crédito"),"⚠ El destino debe ser tarjeta de crédito",IF(AND(P4813="Gasto",E4813="Depósitos y retiros"),"⚠ Usa tipo Transferencia",IF(AND(P4813="Resultado trading",AD4813&lt;&gt;"Cuenta de trading"),"⚠ Usa una cuenta de trading",IF(AND(G4813&lt;=0,P4813&lt;&gt;"Ajuste",P4813&lt;&gt;"Resultado trading"),"⚠ El monto debe ser positivo","✓")))))))))))))))</f>
        <v/>
      </c>
      <c r="P4813" s="52">
        <f>IF(OR(B4813="",G4813=""),"",IF(C4813="","Gasto",C4813))</f>
        <v/>
      </c>
      <c r="Q4813" s="52">
        <f>IF(P4813="","",IF(J4813&lt;&gt;"",J4813,CuentaPred&amp;""))</f>
        <v/>
      </c>
      <c r="R4813" s="52">
        <f>IF(P4813="","",IF(ISNUMBER(I4813),I4813,TasaUSD))</f>
        <v/>
      </c>
      <c r="S4813" s="53">
        <f>IF(P4813="","",IF(H4813="USD",G4813*R4813,G4813))</f>
        <v/>
      </c>
      <c r="T4813" s="53">
        <f>IF(P4813="","",IF(H4813="USD",G4813,IF(R4813&gt;0,G4813/R4813,0)))</f>
        <v/>
      </c>
      <c r="U4813" s="53">
        <f>IF(P4813="","",IF(P4813="Gasto",S4813,IF(P4813="Reembolso",-S4813,0)))</f>
        <v/>
      </c>
      <c r="V4813" s="53">
        <f>IF(P4813="","",IF(P4813="Ingreso",S4813,0))</f>
        <v/>
      </c>
      <c r="W4813" s="53">
        <f>IF(P4813="","",IF(P4813="Resultado trading",S4813,0))</f>
        <v/>
      </c>
      <c r="X4813" s="52">
        <f>IF(OR(P4813="Gasto",P4813="Reembolso"),IF(M4813&lt;&gt;"",M4813,IFERROR(INDEX(catClasif,MATCH(D4813&amp;"|"&amp;E4813,catClave,0))&amp;"","Variable")),"")</f>
        <v/>
      </c>
      <c r="Y4813" s="52">
        <f>IF(P4813="","",IFERROR(INDEX(catGrupo,MATCH(D4813&amp;"|"&amp;E4813,catClave,0))&amp;"",""))</f>
        <v/>
      </c>
      <c r="Z4813" s="52">
        <f>IF(P4813="","",WEEKDAY(B4813,2))</f>
        <v/>
      </c>
      <c r="AA4813" s="52">
        <f>IF(P4813="","",IF(AND(P4813="Gasto",X4813="Variable",D4813&lt;&gt;catTrading,S4813&gt;0,S4813&lt;=Umbral),1,0))</f>
        <v/>
      </c>
      <c r="AB4813" s="52">
        <f>IF(OR(P4813="",Q4813=""),"",IFERROR(IF(INDEX(ctaVinc,MATCH(Q4813,ctaNombre,0))&amp;""&lt;&gt;"",INDEX(ctaVinc,MATCH(Q4813,ctaNombre,0))&amp;"",Q4813),Q4813))</f>
        <v/>
      </c>
      <c r="AC4813" s="52">
        <f>IF(OR(K4813="",AND(P4813&lt;&gt;"Transferencia",P4813&lt;&gt;"Pago tarjeta")),"",IFERROR(IF(INDEX(ctaVinc,MATCH(K4813,ctaNombre,0))&amp;""&lt;&gt;"",INDEX(ctaVinc,MATCH(K4813,ctaNombre,0))&amp;"",K4813),K4813))</f>
        <v/>
      </c>
      <c r="AD4813" s="52">
        <f>IF(AB4813="","",IFERROR(INDEX(ctaTipo,MATCH(AB4813,ctaNombre,0))&amp;"",""))</f>
        <v/>
      </c>
      <c r="AE4813" s="52">
        <f>IF(AC4813="","",IFERROR(INDEX(ctaTipo,MATCH(AC4813,ctaNombre,0))&amp;"",""))</f>
        <v/>
      </c>
      <c r="AF4813" s="53">
        <f>IF(OR(P4813="",AB4813=""),"",IF(OR(P4813="Gasto",P4813="Transferencia",P4813="Pago tarjeta"),-1,1)*IF(IFERROR(INDEX(ctaMoneda,MATCH(AB4813,ctaNombre,0))&amp;"","DOP")="USD",T4813,S4813))</f>
        <v/>
      </c>
      <c r="AG4813" s="53">
        <f>IF(AC4813="","",IF(IFERROR(INDEX(ctaMoneda,MATCH(AC4813,ctaNombre,0))&amp;"","DOP")="USD",T4813,S4813))</f>
        <v/>
      </c>
      <c r="AH4813" s="53">
        <f>IF(P4813="","",IF(AND(AD4813&lt;&gt;"",COUNTIFS(tcTipo,AD4813,tcLiq,"Sí")&gt;0),IF(OR(P4813="Gasto",P4813="Transferencia",P4813="Pago tarjeta"),-1,1)*S4813,0)+IF(AND(AE4813&lt;&gt;"",COUNTIFS(tcTipo,AE4813,tcLiq,"Sí")&gt;0),S4813,0))</f>
        <v/>
      </c>
      <c r="AI4813" s="52">
        <f>IF(OR(L4813="",P4813=""),"",IF(COUNTIFS(L$6:L4813,L4813,P$6:P4813,"?*")=1,MAX(AI$5:AI4812)+1,""))</f>
        <v/>
      </c>
    </row>
    <row r="4814">
      <c r="B4814" s="47" t="n"/>
      <c r="C4814" s="48" t="n"/>
      <c r="D4814" s="48" t="n"/>
      <c r="E4814" s="48" t="n"/>
      <c r="F4814" s="48" t="n"/>
      <c r="G4814" s="49" t="n"/>
      <c r="H4814" s="48" t="n"/>
      <c r="I4814" s="50" t="n"/>
      <c r="J4814" s="48" t="n"/>
      <c r="K4814" s="48" t="n"/>
      <c r="L4814" s="48" t="n"/>
      <c r="M4814" s="48" t="n"/>
      <c r="N4814" s="48" t="n"/>
      <c r="O4814" s="51">
        <f>IF(AND(B4814="",G4814="",C4814="",D4814="",J4814=""),"",IF(B4814="","⚠ Falta fecha",IF(G4814="","⚠ Falta monto",IF(Q4814="","⚠ Falta cuenta",IF(ISNA(MATCH(Q4814,ctaNombre,0)),"⚠ Cuenta no registrada",IF(AND(OR(P4814="Gasto",P4814="Reembolso"),D4814=""),"⚠ Falta categoría",IF(AND(D4814&lt;&gt;"",E4814&lt;&gt;"",ISNA(MATCH(D4814&amp;"|"&amp;E4814,catClave,0))),"⚠ Subcategoría no corresponde",IF(AND(OR(P4814="Transferencia",P4814="Pago tarjeta"),K4814=""),"⚠ Falta cuenta destino",IF(AND(K4814&lt;&gt;"",P4814&lt;&gt;"Transferencia",P4814&lt;&gt;"Pago tarjeta"),"⚠ Destino solo aplica a transferencias",IF(AND(K4814&lt;&gt;"",K4814=Q4814),"⚠ Origen igual a destino",IF(AND(K4814&lt;&gt;"",ISNA(MATCH(K4814,ctaNombre,0))),"⚠ Destino no registrado",IF(AND(P4814="Pago tarjeta",AE4814&lt;&gt;"Tarjeta de crédito"),"⚠ El destino debe ser tarjeta de crédito",IF(AND(P4814="Gasto",E4814="Depósitos y retiros"),"⚠ Usa tipo Transferencia",IF(AND(P4814="Resultado trading",AD4814&lt;&gt;"Cuenta de trading"),"⚠ Usa una cuenta de trading",IF(AND(G4814&lt;=0,P4814&lt;&gt;"Ajuste",P4814&lt;&gt;"Resultado trading"),"⚠ El monto debe ser positivo","✓")))))))))))))))</f>
        <v/>
      </c>
      <c r="P4814" s="52">
        <f>IF(OR(B4814="",G4814=""),"",IF(C4814="","Gasto",C4814))</f>
        <v/>
      </c>
      <c r="Q4814" s="52">
        <f>IF(P4814="","",IF(J4814&lt;&gt;"",J4814,CuentaPred&amp;""))</f>
        <v/>
      </c>
      <c r="R4814" s="52">
        <f>IF(P4814="","",IF(ISNUMBER(I4814),I4814,TasaUSD))</f>
        <v/>
      </c>
      <c r="S4814" s="53">
        <f>IF(P4814="","",IF(H4814="USD",G4814*R4814,G4814))</f>
        <v/>
      </c>
      <c r="T4814" s="53">
        <f>IF(P4814="","",IF(H4814="USD",G4814,IF(R4814&gt;0,G4814/R4814,0)))</f>
        <v/>
      </c>
      <c r="U4814" s="53">
        <f>IF(P4814="","",IF(P4814="Gasto",S4814,IF(P4814="Reembolso",-S4814,0)))</f>
        <v/>
      </c>
      <c r="V4814" s="53">
        <f>IF(P4814="","",IF(P4814="Ingreso",S4814,0))</f>
        <v/>
      </c>
      <c r="W4814" s="53">
        <f>IF(P4814="","",IF(P4814="Resultado trading",S4814,0))</f>
        <v/>
      </c>
      <c r="X4814" s="52">
        <f>IF(OR(P4814="Gasto",P4814="Reembolso"),IF(M4814&lt;&gt;"",M4814,IFERROR(INDEX(catClasif,MATCH(D4814&amp;"|"&amp;E4814,catClave,0))&amp;"","Variable")),"")</f>
        <v/>
      </c>
      <c r="Y4814" s="52">
        <f>IF(P4814="","",IFERROR(INDEX(catGrupo,MATCH(D4814&amp;"|"&amp;E4814,catClave,0))&amp;"",""))</f>
        <v/>
      </c>
      <c r="Z4814" s="52">
        <f>IF(P4814="","",WEEKDAY(B4814,2))</f>
        <v/>
      </c>
      <c r="AA4814" s="52">
        <f>IF(P4814="","",IF(AND(P4814="Gasto",X4814="Variable",D4814&lt;&gt;catTrading,S4814&gt;0,S4814&lt;=Umbral),1,0))</f>
        <v/>
      </c>
      <c r="AB4814" s="52">
        <f>IF(OR(P4814="",Q4814=""),"",IFERROR(IF(INDEX(ctaVinc,MATCH(Q4814,ctaNombre,0))&amp;""&lt;&gt;"",INDEX(ctaVinc,MATCH(Q4814,ctaNombre,0))&amp;"",Q4814),Q4814))</f>
        <v/>
      </c>
      <c r="AC4814" s="52">
        <f>IF(OR(K4814="",AND(P4814&lt;&gt;"Transferencia",P4814&lt;&gt;"Pago tarjeta")),"",IFERROR(IF(INDEX(ctaVinc,MATCH(K4814,ctaNombre,0))&amp;""&lt;&gt;"",INDEX(ctaVinc,MATCH(K4814,ctaNombre,0))&amp;"",K4814),K4814))</f>
        <v/>
      </c>
      <c r="AD4814" s="52">
        <f>IF(AB4814="","",IFERROR(INDEX(ctaTipo,MATCH(AB4814,ctaNombre,0))&amp;"",""))</f>
        <v/>
      </c>
      <c r="AE4814" s="52">
        <f>IF(AC4814="","",IFERROR(INDEX(ctaTipo,MATCH(AC4814,ctaNombre,0))&amp;"",""))</f>
        <v/>
      </c>
      <c r="AF4814" s="53">
        <f>IF(OR(P4814="",AB4814=""),"",IF(OR(P4814="Gasto",P4814="Transferencia",P4814="Pago tarjeta"),-1,1)*IF(IFERROR(INDEX(ctaMoneda,MATCH(AB4814,ctaNombre,0))&amp;"","DOP")="USD",T4814,S4814))</f>
        <v/>
      </c>
      <c r="AG4814" s="53">
        <f>IF(AC4814="","",IF(IFERROR(INDEX(ctaMoneda,MATCH(AC4814,ctaNombre,0))&amp;"","DOP")="USD",T4814,S4814))</f>
        <v/>
      </c>
      <c r="AH4814" s="53">
        <f>IF(P4814="","",IF(AND(AD4814&lt;&gt;"",COUNTIFS(tcTipo,AD4814,tcLiq,"Sí")&gt;0),IF(OR(P4814="Gasto",P4814="Transferencia",P4814="Pago tarjeta"),-1,1)*S4814,0)+IF(AND(AE4814&lt;&gt;"",COUNTIFS(tcTipo,AE4814,tcLiq,"Sí")&gt;0),S4814,0))</f>
        <v/>
      </c>
      <c r="AI4814" s="52">
        <f>IF(OR(L4814="",P4814=""),"",IF(COUNTIFS(L$6:L4814,L4814,P$6:P4814,"?*")=1,MAX(AI$5:AI4813)+1,""))</f>
        <v/>
      </c>
    </row>
    <row r="4815">
      <c r="B4815" s="47" t="n"/>
      <c r="C4815" s="48" t="n"/>
      <c r="D4815" s="48" t="n"/>
      <c r="E4815" s="48" t="n"/>
      <c r="F4815" s="48" t="n"/>
      <c r="G4815" s="49" t="n"/>
      <c r="H4815" s="48" t="n"/>
      <c r="I4815" s="50" t="n"/>
      <c r="J4815" s="48" t="n"/>
      <c r="K4815" s="48" t="n"/>
      <c r="L4815" s="48" t="n"/>
      <c r="M4815" s="48" t="n"/>
      <c r="N4815" s="48" t="n"/>
      <c r="O4815" s="51">
        <f>IF(AND(B4815="",G4815="",C4815="",D4815="",J4815=""),"",IF(B4815="","⚠ Falta fecha",IF(G4815="","⚠ Falta monto",IF(Q4815="","⚠ Falta cuenta",IF(ISNA(MATCH(Q4815,ctaNombre,0)),"⚠ Cuenta no registrada",IF(AND(OR(P4815="Gasto",P4815="Reembolso"),D4815=""),"⚠ Falta categoría",IF(AND(D4815&lt;&gt;"",E4815&lt;&gt;"",ISNA(MATCH(D4815&amp;"|"&amp;E4815,catClave,0))),"⚠ Subcategoría no corresponde",IF(AND(OR(P4815="Transferencia",P4815="Pago tarjeta"),K4815=""),"⚠ Falta cuenta destino",IF(AND(K4815&lt;&gt;"",P4815&lt;&gt;"Transferencia",P4815&lt;&gt;"Pago tarjeta"),"⚠ Destino solo aplica a transferencias",IF(AND(K4815&lt;&gt;"",K4815=Q4815),"⚠ Origen igual a destino",IF(AND(K4815&lt;&gt;"",ISNA(MATCH(K4815,ctaNombre,0))),"⚠ Destino no registrado",IF(AND(P4815="Pago tarjeta",AE4815&lt;&gt;"Tarjeta de crédito"),"⚠ El destino debe ser tarjeta de crédito",IF(AND(P4815="Gasto",E4815="Depósitos y retiros"),"⚠ Usa tipo Transferencia",IF(AND(P4815="Resultado trading",AD4815&lt;&gt;"Cuenta de trading"),"⚠ Usa una cuenta de trading",IF(AND(G4815&lt;=0,P4815&lt;&gt;"Ajuste",P4815&lt;&gt;"Resultado trading"),"⚠ El monto debe ser positivo","✓")))))))))))))))</f>
        <v/>
      </c>
      <c r="P4815" s="52">
        <f>IF(OR(B4815="",G4815=""),"",IF(C4815="","Gasto",C4815))</f>
        <v/>
      </c>
      <c r="Q4815" s="52">
        <f>IF(P4815="","",IF(J4815&lt;&gt;"",J4815,CuentaPred&amp;""))</f>
        <v/>
      </c>
      <c r="R4815" s="52">
        <f>IF(P4815="","",IF(ISNUMBER(I4815),I4815,TasaUSD))</f>
        <v/>
      </c>
      <c r="S4815" s="53">
        <f>IF(P4815="","",IF(H4815="USD",G4815*R4815,G4815))</f>
        <v/>
      </c>
      <c r="T4815" s="53">
        <f>IF(P4815="","",IF(H4815="USD",G4815,IF(R4815&gt;0,G4815/R4815,0)))</f>
        <v/>
      </c>
      <c r="U4815" s="53">
        <f>IF(P4815="","",IF(P4815="Gasto",S4815,IF(P4815="Reembolso",-S4815,0)))</f>
        <v/>
      </c>
      <c r="V4815" s="53">
        <f>IF(P4815="","",IF(P4815="Ingreso",S4815,0))</f>
        <v/>
      </c>
      <c r="W4815" s="53">
        <f>IF(P4815="","",IF(P4815="Resultado trading",S4815,0))</f>
        <v/>
      </c>
      <c r="X4815" s="52">
        <f>IF(OR(P4815="Gasto",P4815="Reembolso"),IF(M4815&lt;&gt;"",M4815,IFERROR(INDEX(catClasif,MATCH(D4815&amp;"|"&amp;E4815,catClave,0))&amp;"","Variable")),"")</f>
        <v/>
      </c>
      <c r="Y4815" s="52">
        <f>IF(P4815="","",IFERROR(INDEX(catGrupo,MATCH(D4815&amp;"|"&amp;E4815,catClave,0))&amp;"",""))</f>
        <v/>
      </c>
      <c r="Z4815" s="52">
        <f>IF(P4815="","",WEEKDAY(B4815,2))</f>
        <v/>
      </c>
      <c r="AA4815" s="52">
        <f>IF(P4815="","",IF(AND(P4815="Gasto",X4815="Variable",D4815&lt;&gt;catTrading,S4815&gt;0,S4815&lt;=Umbral),1,0))</f>
        <v/>
      </c>
      <c r="AB4815" s="52">
        <f>IF(OR(P4815="",Q4815=""),"",IFERROR(IF(INDEX(ctaVinc,MATCH(Q4815,ctaNombre,0))&amp;""&lt;&gt;"",INDEX(ctaVinc,MATCH(Q4815,ctaNombre,0))&amp;"",Q4815),Q4815))</f>
        <v/>
      </c>
      <c r="AC4815" s="52">
        <f>IF(OR(K4815="",AND(P4815&lt;&gt;"Transferencia",P4815&lt;&gt;"Pago tarjeta")),"",IFERROR(IF(INDEX(ctaVinc,MATCH(K4815,ctaNombre,0))&amp;""&lt;&gt;"",INDEX(ctaVinc,MATCH(K4815,ctaNombre,0))&amp;"",K4815),K4815))</f>
        <v/>
      </c>
      <c r="AD4815" s="52">
        <f>IF(AB4815="","",IFERROR(INDEX(ctaTipo,MATCH(AB4815,ctaNombre,0))&amp;"",""))</f>
        <v/>
      </c>
      <c r="AE4815" s="52">
        <f>IF(AC4815="","",IFERROR(INDEX(ctaTipo,MATCH(AC4815,ctaNombre,0))&amp;"",""))</f>
        <v/>
      </c>
      <c r="AF4815" s="53">
        <f>IF(OR(P4815="",AB4815=""),"",IF(OR(P4815="Gasto",P4815="Transferencia",P4815="Pago tarjeta"),-1,1)*IF(IFERROR(INDEX(ctaMoneda,MATCH(AB4815,ctaNombre,0))&amp;"","DOP")="USD",T4815,S4815))</f>
        <v/>
      </c>
      <c r="AG4815" s="53">
        <f>IF(AC4815="","",IF(IFERROR(INDEX(ctaMoneda,MATCH(AC4815,ctaNombre,0))&amp;"","DOP")="USD",T4815,S4815))</f>
        <v/>
      </c>
      <c r="AH4815" s="53">
        <f>IF(P4815="","",IF(AND(AD4815&lt;&gt;"",COUNTIFS(tcTipo,AD4815,tcLiq,"Sí")&gt;0),IF(OR(P4815="Gasto",P4815="Transferencia",P4815="Pago tarjeta"),-1,1)*S4815,0)+IF(AND(AE4815&lt;&gt;"",COUNTIFS(tcTipo,AE4815,tcLiq,"Sí")&gt;0),S4815,0))</f>
        <v/>
      </c>
      <c r="AI4815" s="52">
        <f>IF(OR(L4815="",P4815=""),"",IF(COUNTIFS(L$6:L4815,L4815,P$6:P4815,"?*")=1,MAX(AI$5:AI4814)+1,""))</f>
        <v/>
      </c>
    </row>
    <row r="4816">
      <c r="B4816" s="47" t="n"/>
      <c r="C4816" s="48" t="n"/>
      <c r="D4816" s="48" t="n"/>
      <c r="E4816" s="48" t="n"/>
      <c r="F4816" s="48" t="n"/>
      <c r="G4816" s="49" t="n"/>
      <c r="H4816" s="48" t="n"/>
      <c r="I4816" s="50" t="n"/>
      <c r="J4816" s="48" t="n"/>
      <c r="K4816" s="48" t="n"/>
      <c r="L4816" s="48" t="n"/>
      <c r="M4816" s="48" t="n"/>
      <c r="N4816" s="48" t="n"/>
      <c r="O4816" s="51">
        <f>IF(AND(B4816="",G4816="",C4816="",D4816="",J4816=""),"",IF(B4816="","⚠ Falta fecha",IF(G4816="","⚠ Falta monto",IF(Q4816="","⚠ Falta cuenta",IF(ISNA(MATCH(Q4816,ctaNombre,0)),"⚠ Cuenta no registrada",IF(AND(OR(P4816="Gasto",P4816="Reembolso"),D4816=""),"⚠ Falta categoría",IF(AND(D4816&lt;&gt;"",E4816&lt;&gt;"",ISNA(MATCH(D4816&amp;"|"&amp;E4816,catClave,0))),"⚠ Subcategoría no corresponde",IF(AND(OR(P4816="Transferencia",P4816="Pago tarjeta"),K4816=""),"⚠ Falta cuenta destino",IF(AND(K4816&lt;&gt;"",P4816&lt;&gt;"Transferencia",P4816&lt;&gt;"Pago tarjeta"),"⚠ Destino solo aplica a transferencias",IF(AND(K4816&lt;&gt;"",K4816=Q4816),"⚠ Origen igual a destino",IF(AND(K4816&lt;&gt;"",ISNA(MATCH(K4816,ctaNombre,0))),"⚠ Destino no registrado",IF(AND(P4816="Pago tarjeta",AE4816&lt;&gt;"Tarjeta de crédito"),"⚠ El destino debe ser tarjeta de crédito",IF(AND(P4816="Gasto",E4816="Depósitos y retiros"),"⚠ Usa tipo Transferencia",IF(AND(P4816="Resultado trading",AD4816&lt;&gt;"Cuenta de trading"),"⚠ Usa una cuenta de trading",IF(AND(G4816&lt;=0,P4816&lt;&gt;"Ajuste",P4816&lt;&gt;"Resultado trading"),"⚠ El monto debe ser positivo","✓")))))))))))))))</f>
        <v/>
      </c>
      <c r="P4816" s="52">
        <f>IF(OR(B4816="",G4816=""),"",IF(C4816="","Gasto",C4816))</f>
        <v/>
      </c>
      <c r="Q4816" s="52">
        <f>IF(P4816="","",IF(J4816&lt;&gt;"",J4816,CuentaPred&amp;""))</f>
        <v/>
      </c>
      <c r="R4816" s="52">
        <f>IF(P4816="","",IF(ISNUMBER(I4816),I4816,TasaUSD))</f>
        <v/>
      </c>
      <c r="S4816" s="53">
        <f>IF(P4816="","",IF(H4816="USD",G4816*R4816,G4816))</f>
        <v/>
      </c>
      <c r="T4816" s="53">
        <f>IF(P4816="","",IF(H4816="USD",G4816,IF(R4816&gt;0,G4816/R4816,0)))</f>
        <v/>
      </c>
      <c r="U4816" s="53">
        <f>IF(P4816="","",IF(P4816="Gasto",S4816,IF(P4816="Reembolso",-S4816,0)))</f>
        <v/>
      </c>
      <c r="V4816" s="53">
        <f>IF(P4816="","",IF(P4816="Ingreso",S4816,0))</f>
        <v/>
      </c>
      <c r="W4816" s="53">
        <f>IF(P4816="","",IF(P4816="Resultado trading",S4816,0))</f>
        <v/>
      </c>
      <c r="X4816" s="52">
        <f>IF(OR(P4816="Gasto",P4816="Reembolso"),IF(M4816&lt;&gt;"",M4816,IFERROR(INDEX(catClasif,MATCH(D4816&amp;"|"&amp;E4816,catClave,0))&amp;"","Variable")),"")</f>
        <v/>
      </c>
      <c r="Y4816" s="52">
        <f>IF(P4816="","",IFERROR(INDEX(catGrupo,MATCH(D4816&amp;"|"&amp;E4816,catClave,0))&amp;"",""))</f>
        <v/>
      </c>
      <c r="Z4816" s="52">
        <f>IF(P4816="","",WEEKDAY(B4816,2))</f>
        <v/>
      </c>
      <c r="AA4816" s="52">
        <f>IF(P4816="","",IF(AND(P4816="Gasto",X4816="Variable",D4816&lt;&gt;catTrading,S4816&gt;0,S4816&lt;=Umbral),1,0))</f>
        <v/>
      </c>
      <c r="AB4816" s="52">
        <f>IF(OR(P4816="",Q4816=""),"",IFERROR(IF(INDEX(ctaVinc,MATCH(Q4816,ctaNombre,0))&amp;""&lt;&gt;"",INDEX(ctaVinc,MATCH(Q4816,ctaNombre,0))&amp;"",Q4816),Q4816))</f>
        <v/>
      </c>
      <c r="AC4816" s="52">
        <f>IF(OR(K4816="",AND(P4816&lt;&gt;"Transferencia",P4816&lt;&gt;"Pago tarjeta")),"",IFERROR(IF(INDEX(ctaVinc,MATCH(K4816,ctaNombre,0))&amp;""&lt;&gt;"",INDEX(ctaVinc,MATCH(K4816,ctaNombre,0))&amp;"",K4816),K4816))</f>
        <v/>
      </c>
      <c r="AD4816" s="52">
        <f>IF(AB4816="","",IFERROR(INDEX(ctaTipo,MATCH(AB4816,ctaNombre,0))&amp;"",""))</f>
        <v/>
      </c>
      <c r="AE4816" s="52">
        <f>IF(AC4816="","",IFERROR(INDEX(ctaTipo,MATCH(AC4816,ctaNombre,0))&amp;"",""))</f>
        <v/>
      </c>
      <c r="AF4816" s="53">
        <f>IF(OR(P4816="",AB4816=""),"",IF(OR(P4816="Gasto",P4816="Transferencia",P4816="Pago tarjeta"),-1,1)*IF(IFERROR(INDEX(ctaMoneda,MATCH(AB4816,ctaNombre,0))&amp;"","DOP")="USD",T4816,S4816))</f>
        <v/>
      </c>
      <c r="AG4816" s="53">
        <f>IF(AC4816="","",IF(IFERROR(INDEX(ctaMoneda,MATCH(AC4816,ctaNombre,0))&amp;"","DOP")="USD",T4816,S4816))</f>
        <v/>
      </c>
      <c r="AH4816" s="53">
        <f>IF(P4816="","",IF(AND(AD4816&lt;&gt;"",COUNTIFS(tcTipo,AD4816,tcLiq,"Sí")&gt;0),IF(OR(P4816="Gasto",P4816="Transferencia",P4816="Pago tarjeta"),-1,1)*S4816,0)+IF(AND(AE4816&lt;&gt;"",COUNTIFS(tcTipo,AE4816,tcLiq,"Sí")&gt;0),S4816,0))</f>
        <v/>
      </c>
      <c r="AI4816" s="52">
        <f>IF(OR(L4816="",P4816=""),"",IF(COUNTIFS(L$6:L4816,L4816,P$6:P4816,"?*")=1,MAX(AI$5:AI4815)+1,""))</f>
        <v/>
      </c>
    </row>
    <row r="4817">
      <c r="B4817" s="47" t="n"/>
      <c r="C4817" s="48" t="n"/>
      <c r="D4817" s="48" t="n"/>
      <c r="E4817" s="48" t="n"/>
      <c r="F4817" s="48" t="n"/>
      <c r="G4817" s="49" t="n"/>
      <c r="H4817" s="48" t="n"/>
      <c r="I4817" s="50" t="n"/>
      <c r="J4817" s="48" t="n"/>
      <c r="K4817" s="48" t="n"/>
      <c r="L4817" s="48" t="n"/>
      <c r="M4817" s="48" t="n"/>
      <c r="N4817" s="48" t="n"/>
      <c r="O4817" s="51">
        <f>IF(AND(B4817="",G4817="",C4817="",D4817="",J4817=""),"",IF(B4817="","⚠ Falta fecha",IF(G4817="","⚠ Falta monto",IF(Q4817="","⚠ Falta cuenta",IF(ISNA(MATCH(Q4817,ctaNombre,0)),"⚠ Cuenta no registrada",IF(AND(OR(P4817="Gasto",P4817="Reembolso"),D4817=""),"⚠ Falta categoría",IF(AND(D4817&lt;&gt;"",E4817&lt;&gt;"",ISNA(MATCH(D4817&amp;"|"&amp;E4817,catClave,0))),"⚠ Subcategoría no corresponde",IF(AND(OR(P4817="Transferencia",P4817="Pago tarjeta"),K4817=""),"⚠ Falta cuenta destino",IF(AND(K4817&lt;&gt;"",P4817&lt;&gt;"Transferencia",P4817&lt;&gt;"Pago tarjeta"),"⚠ Destino solo aplica a transferencias",IF(AND(K4817&lt;&gt;"",K4817=Q4817),"⚠ Origen igual a destino",IF(AND(K4817&lt;&gt;"",ISNA(MATCH(K4817,ctaNombre,0))),"⚠ Destino no registrado",IF(AND(P4817="Pago tarjeta",AE4817&lt;&gt;"Tarjeta de crédito"),"⚠ El destino debe ser tarjeta de crédito",IF(AND(P4817="Gasto",E4817="Depósitos y retiros"),"⚠ Usa tipo Transferencia",IF(AND(P4817="Resultado trading",AD4817&lt;&gt;"Cuenta de trading"),"⚠ Usa una cuenta de trading",IF(AND(G4817&lt;=0,P4817&lt;&gt;"Ajuste",P4817&lt;&gt;"Resultado trading"),"⚠ El monto debe ser positivo","✓")))))))))))))))</f>
        <v/>
      </c>
      <c r="P4817" s="52">
        <f>IF(OR(B4817="",G4817=""),"",IF(C4817="","Gasto",C4817))</f>
        <v/>
      </c>
      <c r="Q4817" s="52">
        <f>IF(P4817="","",IF(J4817&lt;&gt;"",J4817,CuentaPred&amp;""))</f>
        <v/>
      </c>
      <c r="R4817" s="52">
        <f>IF(P4817="","",IF(ISNUMBER(I4817),I4817,TasaUSD))</f>
        <v/>
      </c>
      <c r="S4817" s="53">
        <f>IF(P4817="","",IF(H4817="USD",G4817*R4817,G4817))</f>
        <v/>
      </c>
      <c r="T4817" s="53">
        <f>IF(P4817="","",IF(H4817="USD",G4817,IF(R4817&gt;0,G4817/R4817,0)))</f>
        <v/>
      </c>
      <c r="U4817" s="53">
        <f>IF(P4817="","",IF(P4817="Gasto",S4817,IF(P4817="Reembolso",-S4817,0)))</f>
        <v/>
      </c>
      <c r="V4817" s="53">
        <f>IF(P4817="","",IF(P4817="Ingreso",S4817,0))</f>
        <v/>
      </c>
      <c r="W4817" s="53">
        <f>IF(P4817="","",IF(P4817="Resultado trading",S4817,0))</f>
        <v/>
      </c>
      <c r="X4817" s="52">
        <f>IF(OR(P4817="Gasto",P4817="Reembolso"),IF(M4817&lt;&gt;"",M4817,IFERROR(INDEX(catClasif,MATCH(D4817&amp;"|"&amp;E4817,catClave,0))&amp;"","Variable")),"")</f>
        <v/>
      </c>
      <c r="Y4817" s="52">
        <f>IF(P4817="","",IFERROR(INDEX(catGrupo,MATCH(D4817&amp;"|"&amp;E4817,catClave,0))&amp;"",""))</f>
        <v/>
      </c>
      <c r="Z4817" s="52">
        <f>IF(P4817="","",WEEKDAY(B4817,2))</f>
        <v/>
      </c>
      <c r="AA4817" s="52">
        <f>IF(P4817="","",IF(AND(P4817="Gasto",X4817="Variable",D4817&lt;&gt;catTrading,S4817&gt;0,S4817&lt;=Umbral),1,0))</f>
        <v/>
      </c>
      <c r="AB4817" s="52">
        <f>IF(OR(P4817="",Q4817=""),"",IFERROR(IF(INDEX(ctaVinc,MATCH(Q4817,ctaNombre,0))&amp;""&lt;&gt;"",INDEX(ctaVinc,MATCH(Q4817,ctaNombre,0))&amp;"",Q4817),Q4817))</f>
        <v/>
      </c>
      <c r="AC4817" s="52">
        <f>IF(OR(K4817="",AND(P4817&lt;&gt;"Transferencia",P4817&lt;&gt;"Pago tarjeta")),"",IFERROR(IF(INDEX(ctaVinc,MATCH(K4817,ctaNombre,0))&amp;""&lt;&gt;"",INDEX(ctaVinc,MATCH(K4817,ctaNombre,0))&amp;"",K4817),K4817))</f>
        <v/>
      </c>
      <c r="AD4817" s="52">
        <f>IF(AB4817="","",IFERROR(INDEX(ctaTipo,MATCH(AB4817,ctaNombre,0))&amp;"",""))</f>
        <v/>
      </c>
      <c r="AE4817" s="52">
        <f>IF(AC4817="","",IFERROR(INDEX(ctaTipo,MATCH(AC4817,ctaNombre,0))&amp;"",""))</f>
        <v/>
      </c>
      <c r="AF4817" s="53">
        <f>IF(OR(P4817="",AB4817=""),"",IF(OR(P4817="Gasto",P4817="Transferencia",P4817="Pago tarjeta"),-1,1)*IF(IFERROR(INDEX(ctaMoneda,MATCH(AB4817,ctaNombre,0))&amp;"","DOP")="USD",T4817,S4817))</f>
        <v/>
      </c>
      <c r="AG4817" s="53">
        <f>IF(AC4817="","",IF(IFERROR(INDEX(ctaMoneda,MATCH(AC4817,ctaNombre,0))&amp;"","DOP")="USD",T4817,S4817))</f>
        <v/>
      </c>
      <c r="AH4817" s="53">
        <f>IF(P4817="","",IF(AND(AD4817&lt;&gt;"",COUNTIFS(tcTipo,AD4817,tcLiq,"Sí")&gt;0),IF(OR(P4817="Gasto",P4817="Transferencia",P4817="Pago tarjeta"),-1,1)*S4817,0)+IF(AND(AE4817&lt;&gt;"",COUNTIFS(tcTipo,AE4817,tcLiq,"Sí")&gt;0),S4817,0))</f>
        <v/>
      </c>
      <c r="AI4817" s="52">
        <f>IF(OR(L4817="",P4817=""),"",IF(COUNTIFS(L$6:L4817,L4817,P$6:P4817,"?*")=1,MAX(AI$5:AI4816)+1,""))</f>
        <v/>
      </c>
    </row>
    <row r="4818">
      <c r="B4818" s="47" t="n"/>
      <c r="C4818" s="48" t="n"/>
      <c r="D4818" s="48" t="n"/>
      <c r="E4818" s="48" t="n"/>
      <c r="F4818" s="48" t="n"/>
      <c r="G4818" s="49" t="n"/>
      <c r="H4818" s="48" t="n"/>
      <c r="I4818" s="50" t="n"/>
      <c r="J4818" s="48" t="n"/>
      <c r="K4818" s="48" t="n"/>
      <c r="L4818" s="48" t="n"/>
      <c r="M4818" s="48" t="n"/>
      <c r="N4818" s="48" t="n"/>
      <c r="O4818" s="51">
        <f>IF(AND(B4818="",G4818="",C4818="",D4818="",J4818=""),"",IF(B4818="","⚠ Falta fecha",IF(G4818="","⚠ Falta monto",IF(Q4818="","⚠ Falta cuenta",IF(ISNA(MATCH(Q4818,ctaNombre,0)),"⚠ Cuenta no registrada",IF(AND(OR(P4818="Gasto",P4818="Reembolso"),D4818=""),"⚠ Falta categoría",IF(AND(D4818&lt;&gt;"",E4818&lt;&gt;"",ISNA(MATCH(D4818&amp;"|"&amp;E4818,catClave,0))),"⚠ Subcategoría no corresponde",IF(AND(OR(P4818="Transferencia",P4818="Pago tarjeta"),K4818=""),"⚠ Falta cuenta destino",IF(AND(K4818&lt;&gt;"",P4818&lt;&gt;"Transferencia",P4818&lt;&gt;"Pago tarjeta"),"⚠ Destino solo aplica a transferencias",IF(AND(K4818&lt;&gt;"",K4818=Q4818),"⚠ Origen igual a destino",IF(AND(K4818&lt;&gt;"",ISNA(MATCH(K4818,ctaNombre,0))),"⚠ Destino no registrado",IF(AND(P4818="Pago tarjeta",AE4818&lt;&gt;"Tarjeta de crédito"),"⚠ El destino debe ser tarjeta de crédito",IF(AND(P4818="Gasto",E4818="Depósitos y retiros"),"⚠ Usa tipo Transferencia",IF(AND(P4818="Resultado trading",AD4818&lt;&gt;"Cuenta de trading"),"⚠ Usa una cuenta de trading",IF(AND(G4818&lt;=0,P4818&lt;&gt;"Ajuste",P4818&lt;&gt;"Resultado trading"),"⚠ El monto debe ser positivo","✓")))))))))))))))</f>
        <v/>
      </c>
      <c r="P4818" s="52">
        <f>IF(OR(B4818="",G4818=""),"",IF(C4818="","Gasto",C4818))</f>
        <v/>
      </c>
      <c r="Q4818" s="52">
        <f>IF(P4818="","",IF(J4818&lt;&gt;"",J4818,CuentaPred&amp;""))</f>
        <v/>
      </c>
      <c r="R4818" s="52">
        <f>IF(P4818="","",IF(ISNUMBER(I4818),I4818,TasaUSD))</f>
        <v/>
      </c>
      <c r="S4818" s="53">
        <f>IF(P4818="","",IF(H4818="USD",G4818*R4818,G4818))</f>
        <v/>
      </c>
      <c r="T4818" s="53">
        <f>IF(P4818="","",IF(H4818="USD",G4818,IF(R4818&gt;0,G4818/R4818,0)))</f>
        <v/>
      </c>
      <c r="U4818" s="53">
        <f>IF(P4818="","",IF(P4818="Gasto",S4818,IF(P4818="Reembolso",-S4818,0)))</f>
        <v/>
      </c>
      <c r="V4818" s="53">
        <f>IF(P4818="","",IF(P4818="Ingreso",S4818,0))</f>
        <v/>
      </c>
      <c r="W4818" s="53">
        <f>IF(P4818="","",IF(P4818="Resultado trading",S4818,0))</f>
        <v/>
      </c>
      <c r="X4818" s="52">
        <f>IF(OR(P4818="Gasto",P4818="Reembolso"),IF(M4818&lt;&gt;"",M4818,IFERROR(INDEX(catClasif,MATCH(D4818&amp;"|"&amp;E4818,catClave,0))&amp;"","Variable")),"")</f>
        <v/>
      </c>
      <c r="Y4818" s="52">
        <f>IF(P4818="","",IFERROR(INDEX(catGrupo,MATCH(D4818&amp;"|"&amp;E4818,catClave,0))&amp;"",""))</f>
        <v/>
      </c>
      <c r="Z4818" s="52">
        <f>IF(P4818="","",WEEKDAY(B4818,2))</f>
        <v/>
      </c>
      <c r="AA4818" s="52">
        <f>IF(P4818="","",IF(AND(P4818="Gasto",X4818="Variable",D4818&lt;&gt;catTrading,S4818&gt;0,S4818&lt;=Umbral),1,0))</f>
        <v/>
      </c>
      <c r="AB4818" s="52">
        <f>IF(OR(P4818="",Q4818=""),"",IFERROR(IF(INDEX(ctaVinc,MATCH(Q4818,ctaNombre,0))&amp;""&lt;&gt;"",INDEX(ctaVinc,MATCH(Q4818,ctaNombre,0))&amp;"",Q4818),Q4818))</f>
        <v/>
      </c>
      <c r="AC4818" s="52">
        <f>IF(OR(K4818="",AND(P4818&lt;&gt;"Transferencia",P4818&lt;&gt;"Pago tarjeta")),"",IFERROR(IF(INDEX(ctaVinc,MATCH(K4818,ctaNombre,0))&amp;""&lt;&gt;"",INDEX(ctaVinc,MATCH(K4818,ctaNombre,0))&amp;"",K4818),K4818))</f>
        <v/>
      </c>
      <c r="AD4818" s="52">
        <f>IF(AB4818="","",IFERROR(INDEX(ctaTipo,MATCH(AB4818,ctaNombre,0))&amp;"",""))</f>
        <v/>
      </c>
      <c r="AE4818" s="52">
        <f>IF(AC4818="","",IFERROR(INDEX(ctaTipo,MATCH(AC4818,ctaNombre,0))&amp;"",""))</f>
        <v/>
      </c>
      <c r="AF4818" s="53">
        <f>IF(OR(P4818="",AB4818=""),"",IF(OR(P4818="Gasto",P4818="Transferencia",P4818="Pago tarjeta"),-1,1)*IF(IFERROR(INDEX(ctaMoneda,MATCH(AB4818,ctaNombre,0))&amp;"","DOP")="USD",T4818,S4818))</f>
        <v/>
      </c>
      <c r="AG4818" s="53">
        <f>IF(AC4818="","",IF(IFERROR(INDEX(ctaMoneda,MATCH(AC4818,ctaNombre,0))&amp;"","DOP")="USD",T4818,S4818))</f>
        <v/>
      </c>
      <c r="AH4818" s="53">
        <f>IF(P4818="","",IF(AND(AD4818&lt;&gt;"",COUNTIFS(tcTipo,AD4818,tcLiq,"Sí")&gt;0),IF(OR(P4818="Gasto",P4818="Transferencia",P4818="Pago tarjeta"),-1,1)*S4818,0)+IF(AND(AE4818&lt;&gt;"",COUNTIFS(tcTipo,AE4818,tcLiq,"Sí")&gt;0),S4818,0))</f>
        <v/>
      </c>
      <c r="AI4818" s="52">
        <f>IF(OR(L4818="",P4818=""),"",IF(COUNTIFS(L$6:L4818,L4818,P$6:P4818,"?*")=1,MAX(AI$5:AI4817)+1,""))</f>
        <v/>
      </c>
    </row>
    <row r="4819">
      <c r="B4819" s="47" t="n"/>
      <c r="C4819" s="48" t="n"/>
      <c r="D4819" s="48" t="n"/>
      <c r="E4819" s="48" t="n"/>
      <c r="F4819" s="48" t="n"/>
      <c r="G4819" s="49" t="n"/>
      <c r="H4819" s="48" t="n"/>
      <c r="I4819" s="50" t="n"/>
      <c r="J4819" s="48" t="n"/>
      <c r="K4819" s="48" t="n"/>
      <c r="L4819" s="48" t="n"/>
      <c r="M4819" s="48" t="n"/>
      <c r="N4819" s="48" t="n"/>
      <c r="O4819" s="51">
        <f>IF(AND(B4819="",G4819="",C4819="",D4819="",J4819=""),"",IF(B4819="","⚠ Falta fecha",IF(G4819="","⚠ Falta monto",IF(Q4819="","⚠ Falta cuenta",IF(ISNA(MATCH(Q4819,ctaNombre,0)),"⚠ Cuenta no registrada",IF(AND(OR(P4819="Gasto",P4819="Reembolso"),D4819=""),"⚠ Falta categoría",IF(AND(D4819&lt;&gt;"",E4819&lt;&gt;"",ISNA(MATCH(D4819&amp;"|"&amp;E4819,catClave,0))),"⚠ Subcategoría no corresponde",IF(AND(OR(P4819="Transferencia",P4819="Pago tarjeta"),K4819=""),"⚠ Falta cuenta destino",IF(AND(K4819&lt;&gt;"",P4819&lt;&gt;"Transferencia",P4819&lt;&gt;"Pago tarjeta"),"⚠ Destino solo aplica a transferencias",IF(AND(K4819&lt;&gt;"",K4819=Q4819),"⚠ Origen igual a destino",IF(AND(K4819&lt;&gt;"",ISNA(MATCH(K4819,ctaNombre,0))),"⚠ Destino no registrado",IF(AND(P4819="Pago tarjeta",AE4819&lt;&gt;"Tarjeta de crédito"),"⚠ El destino debe ser tarjeta de crédito",IF(AND(P4819="Gasto",E4819="Depósitos y retiros"),"⚠ Usa tipo Transferencia",IF(AND(P4819="Resultado trading",AD4819&lt;&gt;"Cuenta de trading"),"⚠ Usa una cuenta de trading",IF(AND(G4819&lt;=0,P4819&lt;&gt;"Ajuste",P4819&lt;&gt;"Resultado trading"),"⚠ El monto debe ser positivo","✓")))))))))))))))</f>
        <v/>
      </c>
      <c r="P4819" s="52">
        <f>IF(OR(B4819="",G4819=""),"",IF(C4819="","Gasto",C4819))</f>
        <v/>
      </c>
      <c r="Q4819" s="52">
        <f>IF(P4819="","",IF(J4819&lt;&gt;"",J4819,CuentaPred&amp;""))</f>
        <v/>
      </c>
      <c r="R4819" s="52">
        <f>IF(P4819="","",IF(ISNUMBER(I4819),I4819,TasaUSD))</f>
        <v/>
      </c>
      <c r="S4819" s="53">
        <f>IF(P4819="","",IF(H4819="USD",G4819*R4819,G4819))</f>
        <v/>
      </c>
      <c r="T4819" s="53">
        <f>IF(P4819="","",IF(H4819="USD",G4819,IF(R4819&gt;0,G4819/R4819,0)))</f>
        <v/>
      </c>
      <c r="U4819" s="53">
        <f>IF(P4819="","",IF(P4819="Gasto",S4819,IF(P4819="Reembolso",-S4819,0)))</f>
        <v/>
      </c>
      <c r="V4819" s="53">
        <f>IF(P4819="","",IF(P4819="Ingreso",S4819,0))</f>
        <v/>
      </c>
      <c r="W4819" s="53">
        <f>IF(P4819="","",IF(P4819="Resultado trading",S4819,0))</f>
        <v/>
      </c>
      <c r="X4819" s="52">
        <f>IF(OR(P4819="Gasto",P4819="Reembolso"),IF(M4819&lt;&gt;"",M4819,IFERROR(INDEX(catClasif,MATCH(D4819&amp;"|"&amp;E4819,catClave,0))&amp;"","Variable")),"")</f>
        <v/>
      </c>
      <c r="Y4819" s="52">
        <f>IF(P4819="","",IFERROR(INDEX(catGrupo,MATCH(D4819&amp;"|"&amp;E4819,catClave,0))&amp;"",""))</f>
        <v/>
      </c>
      <c r="Z4819" s="52">
        <f>IF(P4819="","",WEEKDAY(B4819,2))</f>
        <v/>
      </c>
      <c r="AA4819" s="52">
        <f>IF(P4819="","",IF(AND(P4819="Gasto",X4819="Variable",D4819&lt;&gt;catTrading,S4819&gt;0,S4819&lt;=Umbral),1,0))</f>
        <v/>
      </c>
      <c r="AB4819" s="52">
        <f>IF(OR(P4819="",Q4819=""),"",IFERROR(IF(INDEX(ctaVinc,MATCH(Q4819,ctaNombre,0))&amp;""&lt;&gt;"",INDEX(ctaVinc,MATCH(Q4819,ctaNombre,0))&amp;"",Q4819),Q4819))</f>
        <v/>
      </c>
      <c r="AC4819" s="52">
        <f>IF(OR(K4819="",AND(P4819&lt;&gt;"Transferencia",P4819&lt;&gt;"Pago tarjeta")),"",IFERROR(IF(INDEX(ctaVinc,MATCH(K4819,ctaNombre,0))&amp;""&lt;&gt;"",INDEX(ctaVinc,MATCH(K4819,ctaNombre,0))&amp;"",K4819),K4819))</f>
        <v/>
      </c>
      <c r="AD4819" s="52">
        <f>IF(AB4819="","",IFERROR(INDEX(ctaTipo,MATCH(AB4819,ctaNombre,0))&amp;"",""))</f>
        <v/>
      </c>
      <c r="AE4819" s="52">
        <f>IF(AC4819="","",IFERROR(INDEX(ctaTipo,MATCH(AC4819,ctaNombre,0))&amp;"",""))</f>
        <v/>
      </c>
      <c r="AF4819" s="53">
        <f>IF(OR(P4819="",AB4819=""),"",IF(OR(P4819="Gasto",P4819="Transferencia",P4819="Pago tarjeta"),-1,1)*IF(IFERROR(INDEX(ctaMoneda,MATCH(AB4819,ctaNombre,0))&amp;"","DOP")="USD",T4819,S4819))</f>
        <v/>
      </c>
      <c r="AG4819" s="53">
        <f>IF(AC4819="","",IF(IFERROR(INDEX(ctaMoneda,MATCH(AC4819,ctaNombre,0))&amp;"","DOP")="USD",T4819,S4819))</f>
        <v/>
      </c>
      <c r="AH4819" s="53">
        <f>IF(P4819="","",IF(AND(AD4819&lt;&gt;"",COUNTIFS(tcTipo,AD4819,tcLiq,"Sí")&gt;0),IF(OR(P4819="Gasto",P4819="Transferencia",P4819="Pago tarjeta"),-1,1)*S4819,0)+IF(AND(AE4819&lt;&gt;"",COUNTIFS(tcTipo,AE4819,tcLiq,"Sí")&gt;0),S4819,0))</f>
        <v/>
      </c>
      <c r="AI4819" s="52">
        <f>IF(OR(L4819="",P4819=""),"",IF(COUNTIFS(L$6:L4819,L4819,P$6:P4819,"?*")=1,MAX(AI$5:AI4818)+1,""))</f>
        <v/>
      </c>
    </row>
    <row r="4820">
      <c r="B4820" s="47" t="n"/>
      <c r="C4820" s="48" t="n"/>
      <c r="D4820" s="48" t="n"/>
      <c r="E4820" s="48" t="n"/>
      <c r="F4820" s="48" t="n"/>
      <c r="G4820" s="49" t="n"/>
      <c r="H4820" s="48" t="n"/>
      <c r="I4820" s="50" t="n"/>
      <c r="J4820" s="48" t="n"/>
      <c r="K4820" s="48" t="n"/>
      <c r="L4820" s="48" t="n"/>
      <c r="M4820" s="48" t="n"/>
      <c r="N4820" s="48" t="n"/>
      <c r="O4820" s="51">
        <f>IF(AND(B4820="",G4820="",C4820="",D4820="",J4820=""),"",IF(B4820="","⚠ Falta fecha",IF(G4820="","⚠ Falta monto",IF(Q4820="","⚠ Falta cuenta",IF(ISNA(MATCH(Q4820,ctaNombre,0)),"⚠ Cuenta no registrada",IF(AND(OR(P4820="Gasto",P4820="Reembolso"),D4820=""),"⚠ Falta categoría",IF(AND(D4820&lt;&gt;"",E4820&lt;&gt;"",ISNA(MATCH(D4820&amp;"|"&amp;E4820,catClave,0))),"⚠ Subcategoría no corresponde",IF(AND(OR(P4820="Transferencia",P4820="Pago tarjeta"),K4820=""),"⚠ Falta cuenta destino",IF(AND(K4820&lt;&gt;"",P4820&lt;&gt;"Transferencia",P4820&lt;&gt;"Pago tarjeta"),"⚠ Destino solo aplica a transferencias",IF(AND(K4820&lt;&gt;"",K4820=Q4820),"⚠ Origen igual a destino",IF(AND(K4820&lt;&gt;"",ISNA(MATCH(K4820,ctaNombre,0))),"⚠ Destino no registrado",IF(AND(P4820="Pago tarjeta",AE4820&lt;&gt;"Tarjeta de crédito"),"⚠ El destino debe ser tarjeta de crédito",IF(AND(P4820="Gasto",E4820="Depósitos y retiros"),"⚠ Usa tipo Transferencia",IF(AND(P4820="Resultado trading",AD4820&lt;&gt;"Cuenta de trading"),"⚠ Usa una cuenta de trading",IF(AND(G4820&lt;=0,P4820&lt;&gt;"Ajuste",P4820&lt;&gt;"Resultado trading"),"⚠ El monto debe ser positivo","✓")))))))))))))))</f>
        <v/>
      </c>
      <c r="P4820" s="52">
        <f>IF(OR(B4820="",G4820=""),"",IF(C4820="","Gasto",C4820))</f>
        <v/>
      </c>
      <c r="Q4820" s="52">
        <f>IF(P4820="","",IF(J4820&lt;&gt;"",J4820,CuentaPred&amp;""))</f>
        <v/>
      </c>
      <c r="R4820" s="52">
        <f>IF(P4820="","",IF(ISNUMBER(I4820),I4820,TasaUSD))</f>
        <v/>
      </c>
      <c r="S4820" s="53">
        <f>IF(P4820="","",IF(H4820="USD",G4820*R4820,G4820))</f>
        <v/>
      </c>
      <c r="T4820" s="53">
        <f>IF(P4820="","",IF(H4820="USD",G4820,IF(R4820&gt;0,G4820/R4820,0)))</f>
        <v/>
      </c>
      <c r="U4820" s="53">
        <f>IF(P4820="","",IF(P4820="Gasto",S4820,IF(P4820="Reembolso",-S4820,0)))</f>
        <v/>
      </c>
      <c r="V4820" s="53">
        <f>IF(P4820="","",IF(P4820="Ingreso",S4820,0))</f>
        <v/>
      </c>
      <c r="W4820" s="53">
        <f>IF(P4820="","",IF(P4820="Resultado trading",S4820,0))</f>
        <v/>
      </c>
      <c r="X4820" s="52">
        <f>IF(OR(P4820="Gasto",P4820="Reembolso"),IF(M4820&lt;&gt;"",M4820,IFERROR(INDEX(catClasif,MATCH(D4820&amp;"|"&amp;E4820,catClave,0))&amp;"","Variable")),"")</f>
        <v/>
      </c>
      <c r="Y4820" s="52">
        <f>IF(P4820="","",IFERROR(INDEX(catGrupo,MATCH(D4820&amp;"|"&amp;E4820,catClave,0))&amp;"",""))</f>
        <v/>
      </c>
      <c r="Z4820" s="52">
        <f>IF(P4820="","",WEEKDAY(B4820,2))</f>
        <v/>
      </c>
      <c r="AA4820" s="52">
        <f>IF(P4820="","",IF(AND(P4820="Gasto",X4820="Variable",D4820&lt;&gt;catTrading,S4820&gt;0,S4820&lt;=Umbral),1,0))</f>
        <v/>
      </c>
      <c r="AB4820" s="52">
        <f>IF(OR(P4820="",Q4820=""),"",IFERROR(IF(INDEX(ctaVinc,MATCH(Q4820,ctaNombre,0))&amp;""&lt;&gt;"",INDEX(ctaVinc,MATCH(Q4820,ctaNombre,0))&amp;"",Q4820),Q4820))</f>
        <v/>
      </c>
      <c r="AC4820" s="52">
        <f>IF(OR(K4820="",AND(P4820&lt;&gt;"Transferencia",P4820&lt;&gt;"Pago tarjeta")),"",IFERROR(IF(INDEX(ctaVinc,MATCH(K4820,ctaNombre,0))&amp;""&lt;&gt;"",INDEX(ctaVinc,MATCH(K4820,ctaNombre,0))&amp;"",K4820),K4820))</f>
        <v/>
      </c>
      <c r="AD4820" s="52">
        <f>IF(AB4820="","",IFERROR(INDEX(ctaTipo,MATCH(AB4820,ctaNombre,0))&amp;"",""))</f>
        <v/>
      </c>
      <c r="AE4820" s="52">
        <f>IF(AC4820="","",IFERROR(INDEX(ctaTipo,MATCH(AC4820,ctaNombre,0))&amp;"",""))</f>
        <v/>
      </c>
      <c r="AF4820" s="53">
        <f>IF(OR(P4820="",AB4820=""),"",IF(OR(P4820="Gasto",P4820="Transferencia",P4820="Pago tarjeta"),-1,1)*IF(IFERROR(INDEX(ctaMoneda,MATCH(AB4820,ctaNombre,0))&amp;"","DOP")="USD",T4820,S4820))</f>
        <v/>
      </c>
      <c r="AG4820" s="53">
        <f>IF(AC4820="","",IF(IFERROR(INDEX(ctaMoneda,MATCH(AC4820,ctaNombre,0))&amp;"","DOP")="USD",T4820,S4820))</f>
        <v/>
      </c>
      <c r="AH4820" s="53">
        <f>IF(P4820="","",IF(AND(AD4820&lt;&gt;"",COUNTIFS(tcTipo,AD4820,tcLiq,"Sí")&gt;0),IF(OR(P4820="Gasto",P4820="Transferencia",P4820="Pago tarjeta"),-1,1)*S4820,0)+IF(AND(AE4820&lt;&gt;"",COUNTIFS(tcTipo,AE4820,tcLiq,"Sí")&gt;0),S4820,0))</f>
        <v/>
      </c>
      <c r="AI4820" s="52">
        <f>IF(OR(L4820="",P4820=""),"",IF(COUNTIFS(L$6:L4820,L4820,P$6:P4820,"?*")=1,MAX(AI$5:AI4819)+1,""))</f>
        <v/>
      </c>
    </row>
    <row r="4821">
      <c r="B4821" s="47" t="n"/>
      <c r="C4821" s="48" t="n"/>
      <c r="D4821" s="48" t="n"/>
      <c r="E4821" s="48" t="n"/>
      <c r="F4821" s="48" t="n"/>
      <c r="G4821" s="49" t="n"/>
      <c r="H4821" s="48" t="n"/>
      <c r="I4821" s="50" t="n"/>
      <c r="J4821" s="48" t="n"/>
      <c r="K4821" s="48" t="n"/>
      <c r="L4821" s="48" t="n"/>
      <c r="M4821" s="48" t="n"/>
      <c r="N4821" s="48" t="n"/>
      <c r="O4821" s="51">
        <f>IF(AND(B4821="",G4821="",C4821="",D4821="",J4821=""),"",IF(B4821="","⚠ Falta fecha",IF(G4821="","⚠ Falta monto",IF(Q4821="","⚠ Falta cuenta",IF(ISNA(MATCH(Q4821,ctaNombre,0)),"⚠ Cuenta no registrada",IF(AND(OR(P4821="Gasto",P4821="Reembolso"),D4821=""),"⚠ Falta categoría",IF(AND(D4821&lt;&gt;"",E4821&lt;&gt;"",ISNA(MATCH(D4821&amp;"|"&amp;E4821,catClave,0))),"⚠ Subcategoría no corresponde",IF(AND(OR(P4821="Transferencia",P4821="Pago tarjeta"),K4821=""),"⚠ Falta cuenta destino",IF(AND(K4821&lt;&gt;"",P4821&lt;&gt;"Transferencia",P4821&lt;&gt;"Pago tarjeta"),"⚠ Destino solo aplica a transferencias",IF(AND(K4821&lt;&gt;"",K4821=Q4821),"⚠ Origen igual a destino",IF(AND(K4821&lt;&gt;"",ISNA(MATCH(K4821,ctaNombre,0))),"⚠ Destino no registrado",IF(AND(P4821="Pago tarjeta",AE4821&lt;&gt;"Tarjeta de crédito"),"⚠ El destino debe ser tarjeta de crédito",IF(AND(P4821="Gasto",E4821="Depósitos y retiros"),"⚠ Usa tipo Transferencia",IF(AND(P4821="Resultado trading",AD4821&lt;&gt;"Cuenta de trading"),"⚠ Usa una cuenta de trading",IF(AND(G4821&lt;=0,P4821&lt;&gt;"Ajuste",P4821&lt;&gt;"Resultado trading"),"⚠ El monto debe ser positivo","✓")))))))))))))))</f>
        <v/>
      </c>
      <c r="P4821" s="52">
        <f>IF(OR(B4821="",G4821=""),"",IF(C4821="","Gasto",C4821))</f>
        <v/>
      </c>
      <c r="Q4821" s="52">
        <f>IF(P4821="","",IF(J4821&lt;&gt;"",J4821,CuentaPred&amp;""))</f>
        <v/>
      </c>
      <c r="R4821" s="52">
        <f>IF(P4821="","",IF(ISNUMBER(I4821),I4821,TasaUSD))</f>
        <v/>
      </c>
      <c r="S4821" s="53">
        <f>IF(P4821="","",IF(H4821="USD",G4821*R4821,G4821))</f>
        <v/>
      </c>
      <c r="T4821" s="53">
        <f>IF(P4821="","",IF(H4821="USD",G4821,IF(R4821&gt;0,G4821/R4821,0)))</f>
        <v/>
      </c>
      <c r="U4821" s="53">
        <f>IF(P4821="","",IF(P4821="Gasto",S4821,IF(P4821="Reembolso",-S4821,0)))</f>
        <v/>
      </c>
      <c r="V4821" s="53">
        <f>IF(P4821="","",IF(P4821="Ingreso",S4821,0))</f>
        <v/>
      </c>
      <c r="W4821" s="53">
        <f>IF(P4821="","",IF(P4821="Resultado trading",S4821,0))</f>
        <v/>
      </c>
      <c r="X4821" s="52">
        <f>IF(OR(P4821="Gasto",P4821="Reembolso"),IF(M4821&lt;&gt;"",M4821,IFERROR(INDEX(catClasif,MATCH(D4821&amp;"|"&amp;E4821,catClave,0))&amp;"","Variable")),"")</f>
        <v/>
      </c>
      <c r="Y4821" s="52">
        <f>IF(P4821="","",IFERROR(INDEX(catGrupo,MATCH(D4821&amp;"|"&amp;E4821,catClave,0))&amp;"",""))</f>
        <v/>
      </c>
      <c r="Z4821" s="52">
        <f>IF(P4821="","",WEEKDAY(B4821,2))</f>
        <v/>
      </c>
      <c r="AA4821" s="52">
        <f>IF(P4821="","",IF(AND(P4821="Gasto",X4821="Variable",D4821&lt;&gt;catTrading,S4821&gt;0,S4821&lt;=Umbral),1,0))</f>
        <v/>
      </c>
      <c r="AB4821" s="52">
        <f>IF(OR(P4821="",Q4821=""),"",IFERROR(IF(INDEX(ctaVinc,MATCH(Q4821,ctaNombre,0))&amp;""&lt;&gt;"",INDEX(ctaVinc,MATCH(Q4821,ctaNombre,0))&amp;"",Q4821),Q4821))</f>
        <v/>
      </c>
      <c r="AC4821" s="52">
        <f>IF(OR(K4821="",AND(P4821&lt;&gt;"Transferencia",P4821&lt;&gt;"Pago tarjeta")),"",IFERROR(IF(INDEX(ctaVinc,MATCH(K4821,ctaNombre,0))&amp;""&lt;&gt;"",INDEX(ctaVinc,MATCH(K4821,ctaNombre,0))&amp;"",K4821),K4821))</f>
        <v/>
      </c>
      <c r="AD4821" s="52">
        <f>IF(AB4821="","",IFERROR(INDEX(ctaTipo,MATCH(AB4821,ctaNombre,0))&amp;"",""))</f>
        <v/>
      </c>
      <c r="AE4821" s="52">
        <f>IF(AC4821="","",IFERROR(INDEX(ctaTipo,MATCH(AC4821,ctaNombre,0))&amp;"",""))</f>
        <v/>
      </c>
      <c r="AF4821" s="53">
        <f>IF(OR(P4821="",AB4821=""),"",IF(OR(P4821="Gasto",P4821="Transferencia",P4821="Pago tarjeta"),-1,1)*IF(IFERROR(INDEX(ctaMoneda,MATCH(AB4821,ctaNombre,0))&amp;"","DOP")="USD",T4821,S4821))</f>
        <v/>
      </c>
      <c r="AG4821" s="53">
        <f>IF(AC4821="","",IF(IFERROR(INDEX(ctaMoneda,MATCH(AC4821,ctaNombre,0))&amp;"","DOP")="USD",T4821,S4821))</f>
        <v/>
      </c>
      <c r="AH4821" s="53">
        <f>IF(P4821="","",IF(AND(AD4821&lt;&gt;"",COUNTIFS(tcTipo,AD4821,tcLiq,"Sí")&gt;0),IF(OR(P4821="Gasto",P4821="Transferencia",P4821="Pago tarjeta"),-1,1)*S4821,0)+IF(AND(AE4821&lt;&gt;"",COUNTIFS(tcTipo,AE4821,tcLiq,"Sí")&gt;0),S4821,0))</f>
        <v/>
      </c>
      <c r="AI4821" s="52">
        <f>IF(OR(L4821="",P4821=""),"",IF(COUNTIFS(L$6:L4821,L4821,P$6:P4821,"?*")=1,MAX(AI$5:AI4820)+1,""))</f>
        <v/>
      </c>
    </row>
    <row r="4822">
      <c r="B4822" s="47" t="n"/>
      <c r="C4822" s="48" t="n"/>
      <c r="D4822" s="48" t="n"/>
      <c r="E4822" s="48" t="n"/>
      <c r="F4822" s="48" t="n"/>
      <c r="G4822" s="49" t="n"/>
      <c r="H4822" s="48" t="n"/>
      <c r="I4822" s="50" t="n"/>
      <c r="J4822" s="48" t="n"/>
      <c r="K4822" s="48" t="n"/>
      <c r="L4822" s="48" t="n"/>
      <c r="M4822" s="48" t="n"/>
      <c r="N4822" s="48" t="n"/>
      <c r="O4822" s="51">
        <f>IF(AND(B4822="",G4822="",C4822="",D4822="",J4822=""),"",IF(B4822="","⚠ Falta fecha",IF(G4822="","⚠ Falta monto",IF(Q4822="","⚠ Falta cuenta",IF(ISNA(MATCH(Q4822,ctaNombre,0)),"⚠ Cuenta no registrada",IF(AND(OR(P4822="Gasto",P4822="Reembolso"),D4822=""),"⚠ Falta categoría",IF(AND(D4822&lt;&gt;"",E4822&lt;&gt;"",ISNA(MATCH(D4822&amp;"|"&amp;E4822,catClave,0))),"⚠ Subcategoría no corresponde",IF(AND(OR(P4822="Transferencia",P4822="Pago tarjeta"),K4822=""),"⚠ Falta cuenta destino",IF(AND(K4822&lt;&gt;"",P4822&lt;&gt;"Transferencia",P4822&lt;&gt;"Pago tarjeta"),"⚠ Destino solo aplica a transferencias",IF(AND(K4822&lt;&gt;"",K4822=Q4822),"⚠ Origen igual a destino",IF(AND(K4822&lt;&gt;"",ISNA(MATCH(K4822,ctaNombre,0))),"⚠ Destino no registrado",IF(AND(P4822="Pago tarjeta",AE4822&lt;&gt;"Tarjeta de crédito"),"⚠ El destino debe ser tarjeta de crédito",IF(AND(P4822="Gasto",E4822="Depósitos y retiros"),"⚠ Usa tipo Transferencia",IF(AND(P4822="Resultado trading",AD4822&lt;&gt;"Cuenta de trading"),"⚠ Usa una cuenta de trading",IF(AND(G4822&lt;=0,P4822&lt;&gt;"Ajuste",P4822&lt;&gt;"Resultado trading"),"⚠ El monto debe ser positivo","✓")))))))))))))))</f>
        <v/>
      </c>
      <c r="P4822" s="52">
        <f>IF(OR(B4822="",G4822=""),"",IF(C4822="","Gasto",C4822))</f>
        <v/>
      </c>
      <c r="Q4822" s="52">
        <f>IF(P4822="","",IF(J4822&lt;&gt;"",J4822,CuentaPred&amp;""))</f>
        <v/>
      </c>
      <c r="R4822" s="52">
        <f>IF(P4822="","",IF(ISNUMBER(I4822),I4822,TasaUSD))</f>
        <v/>
      </c>
      <c r="S4822" s="53">
        <f>IF(P4822="","",IF(H4822="USD",G4822*R4822,G4822))</f>
        <v/>
      </c>
      <c r="T4822" s="53">
        <f>IF(P4822="","",IF(H4822="USD",G4822,IF(R4822&gt;0,G4822/R4822,0)))</f>
        <v/>
      </c>
      <c r="U4822" s="53">
        <f>IF(P4822="","",IF(P4822="Gasto",S4822,IF(P4822="Reembolso",-S4822,0)))</f>
        <v/>
      </c>
      <c r="V4822" s="53">
        <f>IF(P4822="","",IF(P4822="Ingreso",S4822,0))</f>
        <v/>
      </c>
      <c r="W4822" s="53">
        <f>IF(P4822="","",IF(P4822="Resultado trading",S4822,0))</f>
        <v/>
      </c>
      <c r="X4822" s="52">
        <f>IF(OR(P4822="Gasto",P4822="Reembolso"),IF(M4822&lt;&gt;"",M4822,IFERROR(INDEX(catClasif,MATCH(D4822&amp;"|"&amp;E4822,catClave,0))&amp;"","Variable")),"")</f>
        <v/>
      </c>
      <c r="Y4822" s="52">
        <f>IF(P4822="","",IFERROR(INDEX(catGrupo,MATCH(D4822&amp;"|"&amp;E4822,catClave,0))&amp;"",""))</f>
        <v/>
      </c>
      <c r="Z4822" s="52">
        <f>IF(P4822="","",WEEKDAY(B4822,2))</f>
        <v/>
      </c>
      <c r="AA4822" s="52">
        <f>IF(P4822="","",IF(AND(P4822="Gasto",X4822="Variable",D4822&lt;&gt;catTrading,S4822&gt;0,S4822&lt;=Umbral),1,0))</f>
        <v/>
      </c>
      <c r="AB4822" s="52">
        <f>IF(OR(P4822="",Q4822=""),"",IFERROR(IF(INDEX(ctaVinc,MATCH(Q4822,ctaNombre,0))&amp;""&lt;&gt;"",INDEX(ctaVinc,MATCH(Q4822,ctaNombre,0))&amp;"",Q4822),Q4822))</f>
        <v/>
      </c>
      <c r="AC4822" s="52">
        <f>IF(OR(K4822="",AND(P4822&lt;&gt;"Transferencia",P4822&lt;&gt;"Pago tarjeta")),"",IFERROR(IF(INDEX(ctaVinc,MATCH(K4822,ctaNombre,0))&amp;""&lt;&gt;"",INDEX(ctaVinc,MATCH(K4822,ctaNombre,0))&amp;"",K4822),K4822))</f>
        <v/>
      </c>
      <c r="AD4822" s="52">
        <f>IF(AB4822="","",IFERROR(INDEX(ctaTipo,MATCH(AB4822,ctaNombre,0))&amp;"",""))</f>
        <v/>
      </c>
      <c r="AE4822" s="52">
        <f>IF(AC4822="","",IFERROR(INDEX(ctaTipo,MATCH(AC4822,ctaNombre,0))&amp;"",""))</f>
        <v/>
      </c>
      <c r="AF4822" s="53">
        <f>IF(OR(P4822="",AB4822=""),"",IF(OR(P4822="Gasto",P4822="Transferencia",P4822="Pago tarjeta"),-1,1)*IF(IFERROR(INDEX(ctaMoneda,MATCH(AB4822,ctaNombre,0))&amp;"","DOP")="USD",T4822,S4822))</f>
        <v/>
      </c>
      <c r="AG4822" s="53">
        <f>IF(AC4822="","",IF(IFERROR(INDEX(ctaMoneda,MATCH(AC4822,ctaNombre,0))&amp;"","DOP")="USD",T4822,S4822))</f>
        <v/>
      </c>
      <c r="AH4822" s="53">
        <f>IF(P4822="","",IF(AND(AD4822&lt;&gt;"",COUNTIFS(tcTipo,AD4822,tcLiq,"Sí")&gt;0),IF(OR(P4822="Gasto",P4822="Transferencia",P4822="Pago tarjeta"),-1,1)*S4822,0)+IF(AND(AE4822&lt;&gt;"",COUNTIFS(tcTipo,AE4822,tcLiq,"Sí")&gt;0),S4822,0))</f>
        <v/>
      </c>
      <c r="AI4822" s="52">
        <f>IF(OR(L4822="",P4822=""),"",IF(COUNTIFS(L$6:L4822,L4822,P$6:P4822,"?*")=1,MAX(AI$5:AI4821)+1,""))</f>
        <v/>
      </c>
    </row>
    <row r="4823">
      <c r="B4823" s="47" t="n"/>
      <c r="C4823" s="48" t="n"/>
      <c r="D4823" s="48" t="n"/>
      <c r="E4823" s="48" t="n"/>
      <c r="F4823" s="48" t="n"/>
      <c r="G4823" s="49" t="n"/>
      <c r="H4823" s="48" t="n"/>
      <c r="I4823" s="50" t="n"/>
      <c r="J4823" s="48" t="n"/>
      <c r="K4823" s="48" t="n"/>
      <c r="L4823" s="48" t="n"/>
      <c r="M4823" s="48" t="n"/>
      <c r="N4823" s="48" t="n"/>
      <c r="O4823" s="51">
        <f>IF(AND(B4823="",G4823="",C4823="",D4823="",J4823=""),"",IF(B4823="","⚠ Falta fecha",IF(G4823="","⚠ Falta monto",IF(Q4823="","⚠ Falta cuenta",IF(ISNA(MATCH(Q4823,ctaNombre,0)),"⚠ Cuenta no registrada",IF(AND(OR(P4823="Gasto",P4823="Reembolso"),D4823=""),"⚠ Falta categoría",IF(AND(D4823&lt;&gt;"",E4823&lt;&gt;"",ISNA(MATCH(D4823&amp;"|"&amp;E4823,catClave,0))),"⚠ Subcategoría no corresponde",IF(AND(OR(P4823="Transferencia",P4823="Pago tarjeta"),K4823=""),"⚠ Falta cuenta destino",IF(AND(K4823&lt;&gt;"",P4823&lt;&gt;"Transferencia",P4823&lt;&gt;"Pago tarjeta"),"⚠ Destino solo aplica a transferencias",IF(AND(K4823&lt;&gt;"",K4823=Q4823),"⚠ Origen igual a destino",IF(AND(K4823&lt;&gt;"",ISNA(MATCH(K4823,ctaNombre,0))),"⚠ Destino no registrado",IF(AND(P4823="Pago tarjeta",AE4823&lt;&gt;"Tarjeta de crédito"),"⚠ El destino debe ser tarjeta de crédito",IF(AND(P4823="Gasto",E4823="Depósitos y retiros"),"⚠ Usa tipo Transferencia",IF(AND(P4823="Resultado trading",AD4823&lt;&gt;"Cuenta de trading"),"⚠ Usa una cuenta de trading",IF(AND(G4823&lt;=0,P4823&lt;&gt;"Ajuste",P4823&lt;&gt;"Resultado trading"),"⚠ El monto debe ser positivo","✓")))))))))))))))</f>
        <v/>
      </c>
      <c r="P4823" s="52">
        <f>IF(OR(B4823="",G4823=""),"",IF(C4823="","Gasto",C4823))</f>
        <v/>
      </c>
      <c r="Q4823" s="52">
        <f>IF(P4823="","",IF(J4823&lt;&gt;"",J4823,CuentaPred&amp;""))</f>
        <v/>
      </c>
      <c r="R4823" s="52">
        <f>IF(P4823="","",IF(ISNUMBER(I4823),I4823,TasaUSD))</f>
        <v/>
      </c>
      <c r="S4823" s="53">
        <f>IF(P4823="","",IF(H4823="USD",G4823*R4823,G4823))</f>
        <v/>
      </c>
      <c r="T4823" s="53">
        <f>IF(P4823="","",IF(H4823="USD",G4823,IF(R4823&gt;0,G4823/R4823,0)))</f>
        <v/>
      </c>
      <c r="U4823" s="53">
        <f>IF(P4823="","",IF(P4823="Gasto",S4823,IF(P4823="Reembolso",-S4823,0)))</f>
        <v/>
      </c>
      <c r="V4823" s="53">
        <f>IF(P4823="","",IF(P4823="Ingreso",S4823,0))</f>
        <v/>
      </c>
      <c r="W4823" s="53">
        <f>IF(P4823="","",IF(P4823="Resultado trading",S4823,0))</f>
        <v/>
      </c>
      <c r="X4823" s="52">
        <f>IF(OR(P4823="Gasto",P4823="Reembolso"),IF(M4823&lt;&gt;"",M4823,IFERROR(INDEX(catClasif,MATCH(D4823&amp;"|"&amp;E4823,catClave,0))&amp;"","Variable")),"")</f>
        <v/>
      </c>
      <c r="Y4823" s="52">
        <f>IF(P4823="","",IFERROR(INDEX(catGrupo,MATCH(D4823&amp;"|"&amp;E4823,catClave,0))&amp;"",""))</f>
        <v/>
      </c>
      <c r="Z4823" s="52">
        <f>IF(P4823="","",WEEKDAY(B4823,2))</f>
        <v/>
      </c>
      <c r="AA4823" s="52">
        <f>IF(P4823="","",IF(AND(P4823="Gasto",X4823="Variable",D4823&lt;&gt;catTrading,S4823&gt;0,S4823&lt;=Umbral),1,0))</f>
        <v/>
      </c>
      <c r="AB4823" s="52">
        <f>IF(OR(P4823="",Q4823=""),"",IFERROR(IF(INDEX(ctaVinc,MATCH(Q4823,ctaNombre,0))&amp;""&lt;&gt;"",INDEX(ctaVinc,MATCH(Q4823,ctaNombre,0))&amp;"",Q4823),Q4823))</f>
        <v/>
      </c>
      <c r="AC4823" s="52">
        <f>IF(OR(K4823="",AND(P4823&lt;&gt;"Transferencia",P4823&lt;&gt;"Pago tarjeta")),"",IFERROR(IF(INDEX(ctaVinc,MATCH(K4823,ctaNombre,0))&amp;""&lt;&gt;"",INDEX(ctaVinc,MATCH(K4823,ctaNombre,0))&amp;"",K4823),K4823))</f>
        <v/>
      </c>
      <c r="AD4823" s="52">
        <f>IF(AB4823="","",IFERROR(INDEX(ctaTipo,MATCH(AB4823,ctaNombre,0))&amp;"",""))</f>
        <v/>
      </c>
      <c r="AE4823" s="52">
        <f>IF(AC4823="","",IFERROR(INDEX(ctaTipo,MATCH(AC4823,ctaNombre,0))&amp;"",""))</f>
        <v/>
      </c>
      <c r="AF4823" s="53">
        <f>IF(OR(P4823="",AB4823=""),"",IF(OR(P4823="Gasto",P4823="Transferencia",P4823="Pago tarjeta"),-1,1)*IF(IFERROR(INDEX(ctaMoneda,MATCH(AB4823,ctaNombre,0))&amp;"","DOP")="USD",T4823,S4823))</f>
        <v/>
      </c>
      <c r="AG4823" s="53">
        <f>IF(AC4823="","",IF(IFERROR(INDEX(ctaMoneda,MATCH(AC4823,ctaNombre,0))&amp;"","DOP")="USD",T4823,S4823))</f>
        <v/>
      </c>
      <c r="AH4823" s="53">
        <f>IF(P4823="","",IF(AND(AD4823&lt;&gt;"",COUNTIFS(tcTipo,AD4823,tcLiq,"Sí")&gt;0),IF(OR(P4823="Gasto",P4823="Transferencia",P4823="Pago tarjeta"),-1,1)*S4823,0)+IF(AND(AE4823&lt;&gt;"",COUNTIFS(tcTipo,AE4823,tcLiq,"Sí")&gt;0),S4823,0))</f>
        <v/>
      </c>
      <c r="AI4823" s="52">
        <f>IF(OR(L4823="",P4823=""),"",IF(COUNTIFS(L$6:L4823,L4823,P$6:P4823,"?*")=1,MAX(AI$5:AI4822)+1,""))</f>
        <v/>
      </c>
    </row>
    <row r="4824">
      <c r="B4824" s="47" t="n"/>
      <c r="C4824" s="48" t="n"/>
      <c r="D4824" s="48" t="n"/>
      <c r="E4824" s="48" t="n"/>
      <c r="F4824" s="48" t="n"/>
      <c r="G4824" s="49" t="n"/>
      <c r="H4824" s="48" t="n"/>
      <c r="I4824" s="50" t="n"/>
      <c r="J4824" s="48" t="n"/>
      <c r="K4824" s="48" t="n"/>
      <c r="L4824" s="48" t="n"/>
      <c r="M4824" s="48" t="n"/>
      <c r="N4824" s="48" t="n"/>
      <c r="O4824" s="51">
        <f>IF(AND(B4824="",G4824="",C4824="",D4824="",J4824=""),"",IF(B4824="","⚠ Falta fecha",IF(G4824="","⚠ Falta monto",IF(Q4824="","⚠ Falta cuenta",IF(ISNA(MATCH(Q4824,ctaNombre,0)),"⚠ Cuenta no registrada",IF(AND(OR(P4824="Gasto",P4824="Reembolso"),D4824=""),"⚠ Falta categoría",IF(AND(D4824&lt;&gt;"",E4824&lt;&gt;"",ISNA(MATCH(D4824&amp;"|"&amp;E4824,catClave,0))),"⚠ Subcategoría no corresponde",IF(AND(OR(P4824="Transferencia",P4824="Pago tarjeta"),K4824=""),"⚠ Falta cuenta destino",IF(AND(K4824&lt;&gt;"",P4824&lt;&gt;"Transferencia",P4824&lt;&gt;"Pago tarjeta"),"⚠ Destino solo aplica a transferencias",IF(AND(K4824&lt;&gt;"",K4824=Q4824),"⚠ Origen igual a destino",IF(AND(K4824&lt;&gt;"",ISNA(MATCH(K4824,ctaNombre,0))),"⚠ Destino no registrado",IF(AND(P4824="Pago tarjeta",AE4824&lt;&gt;"Tarjeta de crédito"),"⚠ El destino debe ser tarjeta de crédito",IF(AND(P4824="Gasto",E4824="Depósitos y retiros"),"⚠ Usa tipo Transferencia",IF(AND(P4824="Resultado trading",AD4824&lt;&gt;"Cuenta de trading"),"⚠ Usa una cuenta de trading",IF(AND(G4824&lt;=0,P4824&lt;&gt;"Ajuste",P4824&lt;&gt;"Resultado trading"),"⚠ El monto debe ser positivo","✓")))))))))))))))</f>
        <v/>
      </c>
      <c r="P4824" s="52">
        <f>IF(OR(B4824="",G4824=""),"",IF(C4824="","Gasto",C4824))</f>
        <v/>
      </c>
      <c r="Q4824" s="52">
        <f>IF(P4824="","",IF(J4824&lt;&gt;"",J4824,CuentaPred&amp;""))</f>
        <v/>
      </c>
      <c r="R4824" s="52">
        <f>IF(P4824="","",IF(ISNUMBER(I4824),I4824,TasaUSD))</f>
        <v/>
      </c>
      <c r="S4824" s="53">
        <f>IF(P4824="","",IF(H4824="USD",G4824*R4824,G4824))</f>
        <v/>
      </c>
      <c r="T4824" s="53">
        <f>IF(P4824="","",IF(H4824="USD",G4824,IF(R4824&gt;0,G4824/R4824,0)))</f>
        <v/>
      </c>
      <c r="U4824" s="53">
        <f>IF(P4824="","",IF(P4824="Gasto",S4824,IF(P4824="Reembolso",-S4824,0)))</f>
        <v/>
      </c>
      <c r="V4824" s="53">
        <f>IF(P4824="","",IF(P4824="Ingreso",S4824,0))</f>
        <v/>
      </c>
      <c r="W4824" s="53">
        <f>IF(P4824="","",IF(P4824="Resultado trading",S4824,0))</f>
        <v/>
      </c>
      <c r="X4824" s="52">
        <f>IF(OR(P4824="Gasto",P4824="Reembolso"),IF(M4824&lt;&gt;"",M4824,IFERROR(INDEX(catClasif,MATCH(D4824&amp;"|"&amp;E4824,catClave,0))&amp;"","Variable")),"")</f>
        <v/>
      </c>
      <c r="Y4824" s="52">
        <f>IF(P4824="","",IFERROR(INDEX(catGrupo,MATCH(D4824&amp;"|"&amp;E4824,catClave,0))&amp;"",""))</f>
        <v/>
      </c>
      <c r="Z4824" s="52">
        <f>IF(P4824="","",WEEKDAY(B4824,2))</f>
        <v/>
      </c>
      <c r="AA4824" s="52">
        <f>IF(P4824="","",IF(AND(P4824="Gasto",X4824="Variable",D4824&lt;&gt;catTrading,S4824&gt;0,S4824&lt;=Umbral),1,0))</f>
        <v/>
      </c>
      <c r="AB4824" s="52">
        <f>IF(OR(P4824="",Q4824=""),"",IFERROR(IF(INDEX(ctaVinc,MATCH(Q4824,ctaNombre,0))&amp;""&lt;&gt;"",INDEX(ctaVinc,MATCH(Q4824,ctaNombre,0))&amp;"",Q4824),Q4824))</f>
        <v/>
      </c>
      <c r="AC4824" s="52">
        <f>IF(OR(K4824="",AND(P4824&lt;&gt;"Transferencia",P4824&lt;&gt;"Pago tarjeta")),"",IFERROR(IF(INDEX(ctaVinc,MATCH(K4824,ctaNombre,0))&amp;""&lt;&gt;"",INDEX(ctaVinc,MATCH(K4824,ctaNombre,0))&amp;"",K4824),K4824))</f>
        <v/>
      </c>
      <c r="AD4824" s="52">
        <f>IF(AB4824="","",IFERROR(INDEX(ctaTipo,MATCH(AB4824,ctaNombre,0))&amp;"",""))</f>
        <v/>
      </c>
      <c r="AE4824" s="52">
        <f>IF(AC4824="","",IFERROR(INDEX(ctaTipo,MATCH(AC4824,ctaNombre,0))&amp;"",""))</f>
        <v/>
      </c>
      <c r="AF4824" s="53">
        <f>IF(OR(P4824="",AB4824=""),"",IF(OR(P4824="Gasto",P4824="Transferencia",P4824="Pago tarjeta"),-1,1)*IF(IFERROR(INDEX(ctaMoneda,MATCH(AB4824,ctaNombre,0))&amp;"","DOP")="USD",T4824,S4824))</f>
        <v/>
      </c>
      <c r="AG4824" s="53">
        <f>IF(AC4824="","",IF(IFERROR(INDEX(ctaMoneda,MATCH(AC4824,ctaNombre,0))&amp;"","DOP")="USD",T4824,S4824))</f>
        <v/>
      </c>
      <c r="AH4824" s="53">
        <f>IF(P4824="","",IF(AND(AD4824&lt;&gt;"",COUNTIFS(tcTipo,AD4824,tcLiq,"Sí")&gt;0),IF(OR(P4824="Gasto",P4824="Transferencia",P4824="Pago tarjeta"),-1,1)*S4824,0)+IF(AND(AE4824&lt;&gt;"",COUNTIFS(tcTipo,AE4824,tcLiq,"Sí")&gt;0),S4824,0))</f>
        <v/>
      </c>
      <c r="AI4824" s="52">
        <f>IF(OR(L4824="",P4824=""),"",IF(COUNTIFS(L$6:L4824,L4824,P$6:P4824,"?*")=1,MAX(AI$5:AI4823)+1,""))</f>
        <v/>
      </c>
    </row>
    <row r="4825">
      <c r="B4825" s="47" t="n"/>
      <c r="C4825" s="48" t="n"/>
      <c r="D4825" s="48" t="n"/>
      <c r="E4825" s="48" t="n"/>
      <c r="F4825" s="48" t="n"/>
      <c r="G4825" s="49" t="n"/>
      <c r="H4825" s="48" t="n"/>
      <c r="I4825" s="50" t="n"/>
      <c r="J4825" s="48" t="n"/>
      <c r="K4825" s="48" t="n"/>
      <c r="L4825" s="48" t="n"/>
      <c r="M4825" s="48" t="n"/>
      <c r="N4825" s="48" t="n"/>
      <c r="O4825" s="51">
        <f>IF(AND(B4825="",G4825="",C4825="",D4825="",J4825=""),"",IF(B4825="","⚠ Falta fecha",IF(G4825="","⚠ Falta monto",IF(Q4825="","⚠ Falta cuenta",IF(ISNA(MATCH(Q4825,ctaNombre,0)),"⚠ Cuenta no registrada",IF(AND(OR(P4825="Gasto",P4825="Reembolso"),D4825=""),"⚠ Falta categoría",IF(AND(D4825&lt;&gt;"",E4825&lt;&gt;"",ISNA(MATCH(D4825&amp;"|"&amp;E4825,catClave,0))),"⚠ Subcategoría no corresponde",IF(AND(OR(P4825="Transferencia",P4825="Pago tarjeta"),K4825=""),"⚠ Falta cuenta destino",IF(AND(K4825&lt;&gt;"",P4825&lt;&gt;"Transferencia",P4825&lt;&gt;"Pago tarjeta"),"⚠ Destino solo aplica a transferencias",IF(AND(K4825&lt;&gt;"",K4825=Q4825),"⚠ Origen igual a destino",IF(AND(K4825&lt;&gt;"",ISNA(MATCH(K4825,ctaNombre,0))),"⚠ Destino no registrado",IF(AND(P4825="Pago tarjeta",AE4825&lt;&gt;"Tarjeta de crédito"),"⚠ El destino debe ser tarjeta de crédito",IF(AND(P4825="Gasto",E4825="Depósitos y retiros"),"⚠ Usa tipo Transferencia",IF(AND(P4825="Resultado trading",AD4825&lt;&gt;"Cuenta de trading"),"⚠ Usa una cuenta de trading",IF(AND(G4825&lt;=0,P4825&lt;&gt;"Ajuste",P4825&lt;&gt;"Resultado trading"),"⚠ El monto debe ser positivo","✓")))))))))))))))</f>
        <v/>
      </c>
      <c r="P4825" s="52">
        <f>IF(OR(B4825="",G4825=""),"",IF(C4825="","Gasto",C4825))</f>
        <v/>
      </c>
      <c r="Q4825" s="52">
        <f>IF(P4825="","",IF(J4825&lt;&gt;"",J4825,CuentaPred&amp;""))</f>
        <v/>
      </c>
      <c r="R4825" s="52">
        <f>IF(P4825="","",IF(ISNUMBER(I4825),I4825,TasaUSD))</f>
        <v/>
      </c>
      <c r="S4825" s="53">
        <f>IF(P4825="","",IF(H4825="USD",G4825*R4825,G4825))</f>
        <v/>
      </c>
      <c r="T4825" s="53">
        <f>IF(P4825="","",IF(H4825="USD",G4825,IF(R4825&gt;0,G4825/R4825,0)))</f>
        <v/>
      </c>
      <c r="U4825" s="53">
        <f>IF(P4825="","",IF(P4825="Gasto",S4825,IF(P4825="Reembolso",-S4825,0)))</f>
        <v/>
      </c>
      <c r="V4825" s="53">
        <f>IF(P4825="","",IF(P4825="Ingreso",S4825,0))</f>
        <v/>
      </c>
      <c r="W4825" s="53">
        <f>IF(P4825="","",IF(P4825="Resultado trading",S4825,0))</f>
        <v/>
      </c>
      <c r="X4825" s="52">
        <f>IF(OR(P4825="Gasto",P4825="Reembolso"),IF(M4825&lt;&gt;"",M4825,IFERROR(INDEX(catClasif,MATCH(D4825&amp;"|"&amp;E4825,catClave,0))&amp;"","Variable")),"")</f>
        <v/>
      </c>
      <c r="Y4825" s="52">
        <f>IF(P4825="","",IFERROR(INDEX(catGrupo,MATCH(D4825&amp;"|"&amp;E4825,catClave,0))&amp;"",""))</f>
        <v/>
      </c>
      <c r="Z4825" s="52">
        <f>IF(P4825="","",WEEKDAY(B4825,2))</f>
        <v/>
      </c>
      <c r="AA4825" s="52">
        <f>IF(P4825="","",IF(AND(P4825="Gasto",X4825="Variable",D4825&lt;&gt;catTrading,S4825&gt;0,S4825&lt;=Umbral),1,0))</f>
        <v/>
      </c>
      <c r="AB4825" s="52">
        <f>IF(OR(P4825="",Q4825=""),"",IFERROR(IF(INDEX(ctaVinc,MATCH(Q4825,ctaNombre,0))&amp;""&lt;&gt;"",INDEX(ctaVinc,MATCH(Q4825,ctaNombre,0))&amp;"",Q4825),Q4825))</f>
        <v/>
      </c>
      <c r="AC4825" s="52">
        <f>IF(OR(K4825="",AND(P4825&lt;&gt;"Transferencia",P4825&lt;&gt;"Pago tarjeta")),"",IFERROR(IF(INDEX(ctaVinc,MATCH(K4825,ctaNombre,0))&amp;""&lt;&gt;"",INDEX(ctaVinc,MATCH(K4825,ctaNombre,0))&amp;"",K4825),K4825))</f>
        <v/>
      </c>
      <c r="AD4825" s="52">
        <f>IF(AB4825="","",IFERROR(INDEX(ctaTipo,MATCH(AB4825,ctaNombre,0))&amp;"",""))</f>
        <v/>
      </c>
      <c r="AE4825" s="52">
        <f>IF(AC4825="","",IFERROR(INDEX(ctaTipo,MATCH(AC4825,ctaNombre,0))&amp;"",""))</f>
        <v/>
      </c>
      <c r="AF4825" s="53">
        <f>IF(OR(P4825="",AB4825=""),"",IF(OR(P4825="Gasto",P4825="Transferencia",P4825="Pago tarjeta"),-1,1)*IF(IFERROR(INDEX(ctaMoneda,MATCH(AB4825,ctaNombre,0))&amp;"","DOP")="USD",T4825,S4825))</f>
        <v/>
      </c>
      <c r="AG4825" s="53">
        <f>IF(AC4825="","",IF(IFERROR(INDEX(ctaMoneda,MATCH(AC4825,ctaNombre,0))&amp;"","DOP")="USD",T4825,S4825))</f>
        <v/>
      </c>
      <c r="AH4825" s="53">
        <f>IF(P4825="","",IF(AND(AD4825&lt;&gt;"",COUNTIFS(tcTipo,AD4825,tcLiq,"Sí")&gt;0),IF(OR(P4825="Gasto",P4825="Transferencia",P4825="Pago tarjeta"),-1,1)*S4825,0)+IF(AND(AE4825&lt;&gt;"",COUNTIFS(tcTipo,AE4825,tcLiq,"Sí")&gt;0),S4825,0))</f>
        <v/>
      </c>
      <c r="AI4825" s="52">
        <f>IF(OR(L4825="",P4825=""),"",IF(COUNTIFS(L$6:L4825,L4825,P$6:P4825,"?*")=1,MAX(AI$5:AI4824)+1,""))</f>
        <v/>
      </c>
    </row>
    <row r="4826">
      <c r="B4826" s="47" t="n"/>
      <c r="C4826" s="48" t="n"/>
      <c r="D4826" s="48" t="n"/>
      <c r="E4826" s="48" t="n"/>
      <c r="F4826" s="48" t="n"/>
      <c r="G4826" s="49" t="n"/>
      <c r="H4826" s="48" t="n"/>
      <c r="I4826" s="50" t="n"/>
      <c r="J4826" s="48" t="n"/>
      <c r="K4826" s="48" t="n"/>
      <c r="L4826" s="48" t="n"/>
      <c r="M4826" s="48" t="n"/>
      <c r="N4826" s="48" t="n"/>
      <c r="O4826" s="51">
        <f>IF(AND(B4826="",G4826="",C4826="",D4826="",J4826=""),"",IF(B4826="","⚠ Falta fecha",IF(G4826="","⚠ Falta monto",IF(Q4826="","⚠ Falta cuenta",IF(ISNA(MATCH(Q4826,ctaNombre,0)),"⚠ Cuenta no registrada",IF(AND(OR(P4826="Gasto",P4826="Reembolso"),D4826=""),"⚠ Falta categoría",IF(AND(D4826&lt;&gt;"",E4826&lt;&gt;"",ISNA(MATCH(D4826&amp;"|"&amp;E4826,catClave,0))),"⚠ Subcategoría no corresponde",IF(AND(OR(P4826="Transferencia",P4826="Pago tarjeta"),K4826=""),"⚠ Falta cuenta destino",IF(AND(K4826&lt;&gt;"",P4826&lt;&gt;"Transferencia",P4826&lt;&gt;"Pago tarjeta"),"⚠ Destino solo aplica a transferencias",IF(AND(K4826&lt;&gt;"",K4826=Q4826),"⚠ Origen igual a destino",IF(AND(K4826&lt;&gt;"",ISNA(MATCH(K4826,ctaNombre,0))),"⚠ Destino no registrado",IF(AND(P4826="Pago tarjeta",AE4826&lt;&gt;"Tarjeta de crédito"),"⚠ El destino debe ser tarjeta de crédito",IF(AND(P4826="Gasto",E4826="Depósitos y retiros"),"⚠ Usa tipo Transferencia",IF(AND(P4826="Resultado trading",AD4826&lt;&gt;"Cuenta de trading"),"⚠ Usa una cuenta de trading",IF(AND(G4826&lt;=0,P4826&lt;&gt;"Ajuste",P4826&lt;&gt;"Resultado trading"),"⚠ El monto debe ser positivo","✓")))))))))))))))</f>
        <v/>
      </c>
      <c r="P4826" s="52">
        <f>IF(OR(B4826="",G4826=""),"",IF(C4826="","Gasto",C4826))</f>
        <v/>
      </c>
      <c r="Q4826" s="52">
        <f>IF(P4826="","",IF(J4826&lt;&gt;"",J4826,CuentaPred&amp;""))</f>
        <v/>
      </c>
      <c r="R4826" s="52">
        <f>IF(P4826="","",IF(ISNUMBER(I4826),I4826,TasaUSD))</f>
        <v/>
      </c>
      <c r="S4826" s="53">
        <f>IF(P4826="","",IF(H4826="USD",G4826*R4826,G4826))</f>
        <v/>
      </c>
      <c r="T4826" s="53">
        <f>IF(P4826="","",IF(H4826="USD",G4826,IF(R4826&gt;0,G4826/R4826,0)))</f>
        <v/>
      </c>
      <c r="U4826" s="53">
        <f>IF(P4826="","",IF(P4826="Gasto",S4826,IF(P4826="Reembolso",-S4826,0)))</f>
        <v/>
      </c>
      <c r="V4826" s="53">
        <f>IF(P4826="","",IF(P4826="Ingreso",S4826,0))</f>
        <v/>
      </c>
      <c r="W4826" s="53">
        <f>IF(P4826="","",IF(P4826="Resultado trading",S4826,0))</f>
        <v/>
      </c>
      <c r="X4826" s="52">
        <f>IF(OR(P4826="Gasto",P4826="Reembolso"),IF(M4826&lt;&gt;"",M4826,IFERROR(INDEX(catClasif,MATCH(D4826&amp;"|"&amp;E4826,catClave,0))&amp;"","Variable")),"")</f>
        <v/>
      </c>
      <c r="Y4826" s="52">
        <f>IF(P4826="","",IFERROR(INDEX(catGrupo,MATCH(D4826&amp;"|"&amp;E4826,catClave,0))&amp;"",""))</f>
        <v/>
      </c>
      <c r="Z4826" s="52">
        <f>IF(P4826="","",WEEKDAY(B4826,2))</f>
        <v/>
      </c>
      <c r="AA4826" s="52">
        <f>IF(P4826="","",IF(AND(P4826="Gasto",X4826="Variable",D4826&lt;&gt;catTrading,S4826&gt;0,S4826&lt;=Umbral),1,0))</f>
        <v/>
      </c>
      <c r="AB4826" s="52">
        <f>IF(OR(P4826="",Q4826=""),"",IFERROR(IF(INDEX(ctaVinc,MATCH(Q4826,ctaNombre,0))&amp;""&lt;&gt;"",INDEX(ctaVinc,MATCH(Q4826,ctaNombre,0))&amp;"",Q4826),Q4826))</f>
        <v/>
      </c>
      <c r="AC4826" s="52">
        <f>IF(OR(K4826="",AND(P4826&lt;&gt;"Transferencia",P4826&lt;&gt;"Pago tarjeta")),"",IFERROR(IF(INDEX(ctaVinc,MATCH(K4826,ctaNombre,0))&amp;""&lt;&gt;"",INDEX(ctaVinc,MATCH(K4826,ctaNombre,0))&amp;"",K4826),K4826))</f>
        <v/>
      </c>
      <c r="AD4826" s="52">
        <f>IF(AB4826="","",IFERROR(INDEX(ctaTipo,MATCH(AB4826,ctaNombre,0))&amp;"",""))</f>
        <v/>
      </c>
      <c r="AE4826" s="52">
        <f>IF(AC4826="","",IFERROR(INDEX(ctaTipo,MATCH(AC4826,ctaNombre,0))&amp;"",""))</f>
        <v/>
      </c>
      <c r="AF4826" s="53">
        <f>IF(OR(P4826="",AB4826=""),"",IF(OR(P4826="Gasto",P4826="Transferencia",P4826="Pago tarjeta"),-1,1)*IF(IFERROR(INDEX(ctaMoneda,MATCH(AB4826,ctaNombre,0))&amp;"","DOP")="USD",T4826,S4826))</f>
        <v/>
      </c>
      <c r="AG4826" s="53">
        <f>IF(AC4826="","",IF(IFERROR(INDEX(ctaMoneda,MATCH(AC4826,ctaNombre,0))&amp;"","DOP")="USD",T4826,S4826))</f>
        <v/>
      </c>
      <c r="AH4826" s="53">
        <f>IF(P4826="","",IF(AND(AD4826&lt;&gt;"",COUNTIFS(tcTipo,AD4826,tcLiq,"Sí")&gt;0),IF(OR(P4826="Gasto",P4826="Transferencia",P4826="Pago tarjeta"),-1,1)*S4826,0)+IF(AND(AE4826&lt;&gt;"",COUNTIFS(tcTipo,AE4826,tcLiq,"Sí")&gt;0),S4826,0))</f>
        <v/>
      </c>
      <c r="AI4826" s="52">
        <f>IF(OR(L4826="",P4826=""),"",IF(COUNTIFS(L$6:L4826,L4826,P$6:P4826,"?*")=1,MAX(AI$5:AI4825)+1,""))</f>
        <v/>
      </c>
    </row>
    <row r="4827">
      <c r="B4827" s="47" t="n"/>
      <c r="C4827" s="48" t="n"/>
      <c r="D4827" s="48" t="n"/>
      <c r="E4827" s="48" t="n"/>
      <c r="F4827" s="48" t="n"/>
      <c r="G4827" s="49" t="n"/>
      <c r="H4827" s="48" t="n"/>
      <c r="I4827" s="50" t="n"/>
      <c r="J4827" s="48" t="n"/>
      <c r="K4827" s="48" t="n"/>
      <c r="L4827" s="48" t="n"/>
      <c r="M4827" s="48" t="n"/>
      <c r="N4827" s="48" t="n"/>
      <c r="O4827" s="51">
        <f>IF(AND(B4827="",G4827="",C4827="",D4827="",J4827=""),"",IF(B4827="","⚠ Falta fecha",IF(G4827="","⚠ Falta monto",IF(Q4827="","⚠ Falta cuenta",IF(ISNA(MATCH(Q4827,ctaNombre,0)),"⚠ Cuenta no registrada",IF(AND(OR(P4827="Gasto",P4827="Reembolso"),D4827=""),"⚠ Falta categoría",IF(AND(D4827&lt;&gt;"",E4827&lt;&gt;"",ISNA(MATCH(D4827&amp;"|"&amp;E4827,catClave,0))),"⚠ Subcategoría no corresponde",IF(AND(OR(P4827="Transferencia",P4827="Pago tarjeta"),K4827=""),"⚠ Falta cuenta destino",IF(AND(K4827&lt;&gt;"",P4827&lt;&gt;"Transferencia",P4827&lt;&gt;"Pago tarjeta"),"⚠ Destino solo aplica a transferencias",IF(AND(K4827&lt;&gt;"",K4827=Q4827),"⚠ Origen igual a destino",IF(AND(K4827&lt;&gt;"",ISNA(MATCH(K4827,ctaNombre,0))),"⚠ Destino no registrado",IF(AND(P4827="Pago tarjeta",AE4827&lt;&gt;"Tarjeta de crédito"),"⚠ El destino debe ser tarjeta de crédito",IF(AND(P4827="Gasto",E4827="Depósitos y retiros"),"⚠ Usa tipo Transferencia",IF(AND(P4827="Resultado trading",AD4827&lt;&gt;"Cuenta de trading"),"⚠ Usa una cuenta de trading",IF(AND(G4827&lt;=0,P4827&lt;&gt;"Ajuste",P4827&lt;&gt;"Resultado trading"),"⚠ El monto debe ser positivo","✓")))))))))))))))</f>
        <v/>
      </c>
      <c r="P4827" s="52">
        <f>IF(OR(B4827="",G4827=""),"",IF(C4827="","Gasto",C4827))</f>
        <v/>
      </c>
      <c r="Q4827" s="52">
        <f>IF(P4827="","",IF(J4827&lt;&gt;"",J4827,CuentaPred&amp;""))</f>
        <v/>
      </c>
      <c r="R4827" s="52">
        <f>IF(P4827="","",IF(ISNUMBER(I4827),I4827,TasaUSD))</f>
        <v/>
      </c>
      <c r="S4827" s="53">
        <f>IF(P4827="","",IF(H4827="USD",G4827*R4827,G4827))</f>
        <v/>
      </c>
      <c r="T4827" s="53">
        <f>IF(P4827="","",IF(H4827="USD",G4827,IF(R4827&gt;0,G4827/R4827,0)))</f>
        <v/>
      </c>
      <c r="U4827" s="53">
        <f>IF(P4827="","",IF(P4827="Gasto",S4827,IF(P4827="Reembolso",-S4827,0)))</f>
        <v/>
      </c>
      <c r="V4827" s="53">
        <f>IF(P4827="","",IF(P4827="Ingreso",S4827,0))</f>
        <v/>
      </c>
      <c r="W4827" s="53">
        <f>IF(P4827="","",IF(P4827="Resultado trading",S4827,0))</f>
        <v/>
      </c>
      <c r="X4827" s="52">
        <f>IF(OR(P4827="Gasto",P4827="Reembolso"),IF(M4827&lt;&gt;"",M4827,IFERROR(INDEX(catClasif,MATCH(D4827&amp;"|"&amp;E4827,catClave,0))&amp;"","Variable")),"")</f>
        <v/>
      </c>
      <c r="Y4827" s="52">
        <f>IF(P4827="","",IFERROR(INDEX(catGrupo,MATCH(D4827&amp;"|"&amp;E4827,catClave,0))&amp;"",""))</f>
        <v/>
      </c>
      <c r="Z4827" s="52">
        <f>IF(P4827="","",WEEKDAY(B4827,2))</f>
        <v/>
      </c>
      <c r="AA4827" s="52">
        <f>IF(P4827="","",IF(AND(P4827="Gasto",X4827="Variable",D4827&lt;&gt;catTrading,S4827&gt;0,S4827&lt;=Umbral),1,0))</f>
        <v/>
      </c>
      <c r="AB4827" s="52">
        <f>IF(OR(P4827="",Q4827=""),"",IFERROR(IF(INDEX(ctaVinc,MATCH(Q4827,ctaNombre,0))&amp;""&lt;&gt;"",INDEX(ctaVinc,MATCH(Q4827,ctaNombre,0))&amp;"",Q4827),Q4827))</f>
        <v/>
      </c>
      <c r="AC4827" s="52">
        <f>IF(OR(K4827="",AND(P4827&lt;&gt;"Transferencia",P4827&lt;&gt;"Pago tarjeta")),"",IFERROR(IF(INDEX(ctaVinc,MATCH(K4827,ctaNombre,0))&amp;""&lt;&gt;"",INDEX(ctaVinc,MATCH(K4827,ctaNombre,0))&amp;"",K4827),K4827))</f>
        <v/>
      </c>
      <c r="AD4827" s="52">
        <f>IF(AB4827="","",IFERROR(INDEX(ctaTipo,MATCH(AB4827,ctaNombre,0))&amp;"",""))</f>
        <v/>
      </c>
      <c r="AE4827" s="52">
        <f>IF(AC4827="","",IFERROR(INDEX(ctaTipo,MATCH(AC4827,ctaNombre,0))&amp;"",""))</f>
        <v/>
      </c>
      <c r="AF4827" s="53">
        <f>IF(OR(P4827="",AB4827=""),"",IF(OR(P4827="Gasto",P4827="Transferencia",P4827="Pago tarjeta"),-1,1)*IF(IFERROR(INDEX(ctaMoneda,MATCH(AB4827,ctaNombre,0))&amp;"","DOP")="USD",T4827,S4827))</f>
        <v/>
      </c>
      <c r="AG4827" s="53">
        <f>IF(AC4827="","",IF(IFERROR(INDEX(ctaMoneda,MATCH(AC4827,ctaNombre,0))&amp;"","DOP")="USD",T4827,S4827))</f>
        <v/>
      </c>
      <c r="AH4827" s="53">
        <f>IF(P4827="","",IF(AND(AD4827&lt;&gt;"",COUNTIFS(tcTipo,AD4827,tcLiq,"Sí")&gt;0),IF(OR(P4827="Gasto",P4827="Transferencia",P4827="Pago tarjeta"),-1,1)*S4827,0)+IF(AND(AE4827&lt;&gt;"",COUNTIFS(tcTipo,AE4827,tcLiq,"Sí")&gt;0),S4827,0))</f>
        <v/>
      </c>
      <c r="AI4827" s="52">
        <f>IF(OR(L4827="",P4827=""),"",IF(COUNTIFS(L$6:L4827,L4827,P$6:P4827,"?*")=1,MAX(AI$5:AI4826)+1,""))</f>
        <v/>
      </c>
    </row>
    <row r="4828">
      <c r="B4828" s="47" t="n"/>
      <c r="C4828" s="48" t="n"/>
      <c r="D4828" s="48" t="n"/>
      <c r="E4828" s="48" t="n"/>
      <c r="F4828" s="48" t="n"/>
      <c r="G4828" s="49" t="n"/>
      <c r="H4828" s="48" t="n"/>
      <c r="I4828" s="50" t="n"/>
      <c r="J4828" s="48" t="n"/>
      <c r="K4828" s="48" t="n"/>
      <c r="L4828" s="48" t="n"/>
      <c r="M4828" s="48" t="n"/>
      <c r="N4828" s="48" t="n"/>
      <c r="O4828" s="51">
        <f>IF(AND(B4828="",G4828="",C4828="",D4828="",J4828=""),"",IF(B4828="","⚠ Falta fecha",IF(G4828="","⚠ Falta monto",IF(Q4828="","⚠ Falta cuenta",IF(ISNA(MATCH(Q4828,ctaNombre,0)),"⚠ Cuenta no registrada",IF(AND(OR(P4828="Gasto",P4828="Reembolso"),D4828=""),"⚠ Falta categoría",IF(AND(D4828&lt;&gt;"",E4828&lt;&gt;"",ISNA(MATCH(D4828&amp;"|"&amp;E4828,catClave,0))),"⚠ Subcategoría no corresponde",IF(AND(OR(P4828="Transferencia",P4828="Pago tarjeta"),K4828=""),"⚠ Falta cuenta destino",IF(AND(K4828&lt;&gt;"",P4828&lt;&gt;"Transferencia",P4828&lt;&gt;"Pago tarjeta"),"⚠ Destino solo aplica a transferencias",IF(AND(K4828&lt;&gt;"",K4828=Q4828),"⚠ Origen igual a destino",IF(AND(K4828&lt;&gt;"",ISNA(MATCH(K4828,ctaNombre,0))),"⚠ Destino no registrado",IF(AND(P4828="Pago tarjeta",AE4828&lt;&gt;"Tarjeta de crédito"),"⚠ El destino debe ser tarjeta de crédito",IF(AND(P4828="Gasto",E4828="Depósitos y retiros"),"⚠ Usa tipo Transferencia",IF(AND(P4828="Resultado trading",AD4828&lt;&gt;"Cuenta de trading"),"⚠ Usa una cuenta de trading",IF(AND(G4828&lt;=0,P4828&lt;&gt;"Ajuste",P4828&lt;&gt;"Resultado trading"),"⚠ El monto debe ser positivo","✓")))))))))))))))</f>
        <v/>
      </c>
      <c r="P4828" s="52">
        <f>IF(OR(B4828="",G4828=""),"",IF(C4828="","Gasto",C4828))</f>
        <v/>
      </c>
      <c r="Q4828" s="52">
        <f>IF(P4828="","",IF(J4828&lt;&gt;"",J4828,CuentaPred&amp;""))</f>
        <v/>
      </c>
      <c r="R4828" s="52">
        <f>IF(P4828="","",IF(ISNUMBER(I4828),I4828,TasaUSD))</f>
        <v/>
      </c>
      <c r="S4828" s="53">
        <f>IF(P4828="","",IF(H4828="USD",G4828*R4828,G4828))</f>
        <v/>
      </c>
      <c r="T4828" s="53">
        <f>IF(P4828="","",IF(H4828="USD",G4828,IF(R4828&gt;0,G4828/R4828,0)))</f>
        <v/>
      </c>
      <c r="U4828" s="53">
        <f>IF(P4828="","",IF(P4828="Gasto",S4828,IF(P4828="Reembolso",-S4828,0)))</f>
        <v/>
      </c>
      <c r="V4828" s="53">
        <f>IF(P4828="","",IF(P4828="Ingreso",S4828,0))</f>
        <v/>
      </c>
      <c r="W4828" s="53">
        <f>IF(P4828="","",IF(P4828="Resultado trading",S4828,0))</f>
        <v/>
      </c>
      <c r="X4828" s="52">
        <f>IF(OR(P4828="Gasto",P4828="Reembolso"),IF(M4828&lt;&gt;"",M4828,IFERROR(INDEX(catClasif,MATCH(D4828&amp;"|"&amp;E4828,catClave,0))&amp;"","Variable")),"")</f>
        <v/>
      </c>
      <c r="Y4828" s="52">
        <f>IF(P4828="","",IFERROR(INDEX(catGrupo,MATCH(D4828&amp;"|"&amp;E4828,catClave,0))&amp;"",""))</f>
        <v/>
      </c>
      <c r="Z4828" s="52">
        <f>IF(P4828="","",WEEKDAY(B4828,2))</f>
        <v/>
      </c>
      <c r="AA4828" s="52">
        <f>IF(P4828="","",IF(AND(P4828="Gasto",X4828="Variable",D4828&lt;&gt;catTrading,S4828&gt;0,S4828&lt;=Umbral),1,0))</f>
        <v/>
      </c>
      <c r="AB4828" s="52">
        <f>IF(OR(P4828="",Q4828=""),"",IFERROR(IF(INDEX(ctaVinc,MATCH(Q4828,ctaNombre,0))&amp;""&lt;&gt;"",INDEX(ctaVinc,MATCH(Q4828,ctaNombre,0))&amp;"",Q4828),Q4828))</f>
        <v/>
      </c>
      <c r="AC4828" s="52">
        <f>IF(OR(K4828="",AND(P4828&lt;&gt;"Transferencia",P4828&lt;&gt;"Pago tarjeta")),"",IFERROR(IF(INDEX(ctaVinc,MATCH(K4828,ctaNombre,0))&amp;""&lt;&gt;"",INDEX(ctaVinc,MATCH(K4828,ctaNombre,0))&amp;"",K4828),K4828))</f>
        <v/>
      </c>
      <c r="AD4828" s="52">
        <f>IF(AB4828="","",IFERROR(INDEX(ctaTipo,MATCH(AB4828,ctaNombre,0))&amp;"",""))</f>
        <v/>
      </c>
      <c r="AE4828" s="52">
        <f>IF(AC4828="","",IFERROR(INDEX(ctaTipo,MATCH(AC4828,ctaNombre,0))&amp;"",""))</f>
        <v/>
      </c>
      <c r="AF4828" s="53">
        <f>IF(OR(P4828="",AB4828=""),"",IF(OR(P4828="Gasto",P4828="Transferencia",P4828="Pago tarjeta"),-1,1)*IF(IFERROR(INDEX(ctaMoneda,MATCH(AB4828,ctaNombre,0))&amp;"","DOP")="USD",T4828,S4828))</f>
        <v/>
      </c>
      <c r="AG4828" s="53">
        <f>IF(AC4828="","",IF(IFERROR(INDEX(ctaMoneda,MATCH(AC4828,ctaNombre,0))&amp;"","DOP")="USD",T4828,S4828))</f>
        <v/>
      </c>
      <c r="AH4828" s="53">
        <f>IF(P4828="","",IF(AND(AD4828&lt;&gt;"",COUNTIFS(tcTipo,AD4828,tcLiq,"Sí")&gt;0),IF(OR(P4828="Gasto",P4828="Transferencia",P4828="Pago tarjeta"),-1,1)*S4828,0)+IF(AND(AE4828&lt;&gt;"",COUNTIFS(tcTipo,AE4828,tcLiq,"Sí")&gt;0),S4828,0))</f>
        <v/>
      </c>
      <c r="AI4828" s="52">
        <f>IF(OR(L4828="",P4828=""),"",IF(COUNTIFS(L$6:L4828,L4828,P$6:P4828,"?*")=1,MAX(AI$5:AI4827)+1,""))</f>
        <v/>
      </c>
    </row>
    <row r="4829">
      <c r="B4829" s="47" t="n"/>
      <c r="C4829" s="48" t="n"/>
      <c r="D4829" s="48" t="n"/>
      <c r="E4829" s="48" t="n"/>
      <c r="F4829" s="48" t="n"/>
      <c r="G4829" s="49" t="n"/>
      <c r="H4829" s="48" t="n"/>
      <c r="I4829" s="50" t="n"/>
      <c r="J4829" s="48" t="n"/>
      <c r="K4829" s="48" t="n"/>
      <c r="L4829" s="48" t="n"/>
      <c r="M4829" s="48" t="n"/>
      <c r="N4829" s="48" t="n"/>
      <c r="O4829" s="51">
        <f>IF(AND(B4829="",G4829="",C4829="",D4829="",J4829=""),"",IF(B4829="","⚠ Falta fecha",IF(G4829="","⚠ Falta monto",IF(Q4829="","⚠ Falta cuenta",IF(ISNA(MATCH(Q4829,ctaNombre,0)),"⚠ Cuenta no registrada",IF(AND(OR(P4829="Gasto",P4829="Reembolso"),D4829=""),"⚠ Falta categoría",IF(AND(D4829&lt;&gt;"",E4829&lt;&gt;"",ISNA(MATCH(D4829&amp;"|"&amp;E4829,catClave,0))),"⚠ Subcategoría no corresponde",IF(AND(OR(P4829="Transferencia",P4829="Pago tarjeta"),K4829=""),"⚠ Falta cuenta destino",IF(AND(K4829&lt;&gt;"",P4829&lt;&gt;"Transferencia",P4829&lt;&gt;"Pago tarjeta"),"⚠ Destino solo aplica a transferencias",IF(AND(K4829&lt;&gt;"",K4829=Q4829),"⚠ Origen igual a destino",IF(AND(K4829&lt;&gt;"",ISNA(MATCH(K4829,ctaNombre,0))),"⚠ Destino no registrado",IF(AND(P4829="Pago tarjeta",AE4829&lt;&gt;"Tarjeta de crédito"),"⚠ El destino debe ser tarjeta de crédito",IF(AND(P4829="Gasto",E4829="Depósitos y retiros"),"⚠ Usa tipo Transferencia",IF(AND(P4829="Resultado trading",AD4829&lt;&gt;"Cuenta de trading"),"⚠ Usa una cuenta de trading",IF(AND(G4829&lt;=0,P4829&lt;&gt;"Ajuste",P4829&lt;&gt;"Resultado trading"),"⚠ El monto debe ser positivo","✓")))))))))))))))</f>
        <v/>
      </c>
      <c r="P4829" s="52">
        <f>IF(OR(B4829="",G4829=""),"",IF(C4829="","Gasto",C4829))</f>
        <v/>
      </c>
      <c r="Q4829" s="52">
        <f>IF(P4829="","",IF(J4829&lt;&gt;"",J4829,CuentaPred&amp;""))</f>
        <v/>
      </c>
      <c r="R4829" s="52">
        <f>IF(P4829="","",IF(ISNUMBER(I4829),I4829,TasaUSD))</f>
        <v/>
      </c>
      <c r="S4829" s="53">
        <f>IF(P4829="","",IF(H4829="USD",G4829*R4829,G4829))</f>
        <v/>
      </c>
      <c r="T4829" s="53">
        <f>IF(P4829="","",IF(H4829="USD",G4829,IF(R4829&gt;0,G4829/R4829,0)))</f>
        <v/>
      </c>
      <c r="U4829" s="53">
        <f>IF(P4829="","",IF(P4829="Gasto",S4829,IF(P4829="Reembolso",-S4829,0)))</f>
        <v/>
      </c>
      <c r="V4829" s="53">
        <f>IF(P4829="","",IF(P4829="Ingreso",S4829,0))</f>
        <v/>
      </c>
      <c r="W4829" s="53">
        <f>IF(P4829="","",IF(P4829="Resultado trading",S4829,0))</f>
        <v/>
      </c>
      <c r="X4829" s="52">
        <f>IF(OR(P4829="Gasto",P4829="Reembolso"),IF(M4829&lt;&gt;"",M4829,IFERROR(INDEX(catClasif,MATCH(D4829&amp;"|"&amp;E4829,catClave,0))&amp;"","Variable")),"")</f>
        <v/>
      </c>
      <c r="Y4829" s="52">
        <f>IF(P4829="","",IFERROR(INDEX(catGrupo,MATCH(D4829&amp;"|"&amp;E4829,catClave,0))&amp;"",""))</f>
        <v/>
      </c>
      <c r="Z4829" s="52">
        <f>IF(P4829="","",WEEKDAY(B4829,2))</f>
        <v/>
      </c>
      <c r="AA4829" s="52">
        <f>IF(P4829="","",IF(AND(P4829="Gasto",X4829="Variable",D4829&lt;&gt;catTrading,S4829&gt;0,S4829&lt;=Umbral),1,0))</f>
        <v/>
      </c>
      <c r="AB4829" s="52">
        <f>IF(OR(P4829="",Q4829=""),"",IFERROR(IF(INDEX(ctaVinc,MATCH(Q4829,ctaNombre,0))&amp;""&lt;&gt;"",INDEX(ctaVinc,MATCH(Q4829,ctaNombre,0))&amp;"",Q4829),Q4829))</f>
        <v/>
      </c>
      <c r="AC4829" s="52">
        <f>IF(OR(K4829="",AND(P4829&lt;&gt;"Transferencia",P4829&lt;&gt;"Pago tarjeta")),"",IFERROR(IF(INDEX(ctaVinc,MATCH(K4829,ctaNombre,0))&amp;""&lt;&gt;"",INDEX(ctaVinc,MATCH(K4829,ctaNombre,0))&amp;"",K4829),K4829))</f>
        <v/>
      </c>
      <c r="AD4829" s="52">
        <f>IF(AB4829="","",IFERROR(INDEX(ctaTipo,MATCH(AB4829,ctaNombre,0))&amp;"",""))</f>
        <v/>
      </c>
      <c r="AE4829" s="52">
        <f>IF(AC4829="","",IFERROR(INDEX(ctaTipo,MATCH(AC4829,ctaNombre,0))&amp;"",""))</f>
        <v/>
      </c>
      <c r="AF4829" s="53">
        <f>IF(OR(P4829="",AB4829=""),"",IF(OR(P4829="Gasto",P4829="Transferencia",P4829="Pago tarjeta"),-1,1)*IF(IFERROR(INDEX(ctaMoneda,MATCH(AB4829,ctaNombre,0))&amp;"","DOP")="USD",T4829,S4829))</f>
        <v/>
      </c>
      <c r="AG4829" s="53">
        <f>IF(AC4829="","",IF(IFERROR(INDEX(ctaMoneda,MATCH(AC4829,ctaNombre,0))&amp;"","DOP")="USD",T4829,S4829))</f>
        <v/>
      </c>
      <c r="AH4829" s="53">
        <f>IF(P4829="","",IF(AND(AD4829&lt;&gt;"",COUNTIFS(tcTipo,AD4829,tcLiq,"Sí")&gt;0),IF(OR(P4829="Gasto",P4829="Transferencia",P4829="Pago tarjeta"),-1,1)*S4829,0)+IF(AND(AE4829&lt;&gt;"",COUNTIFS(tcTipo,AE4829,tcLiq,"Sí")&gt;0),S4829,0))</f>
        <v/>
      </c>
      <c r="AI4829" s="52">
        <f>IF(OR(L4829="",P4829=""),"",IF(COUNTIFS(L$6:L4829,L4829,P$6:P4829,"?*")=1,MAX(AI$5:AI4828)+1,""))</f>
        <v/>
      </c>
    </row>
    <row r="4830">
      <c r="B4830" s="47" t="n"/>
      <c r="C4830" s="48" t="n"/>
      <c r="D4830" s="48" t="n"/>
      <c r="E4830" s="48" t="n"/>
      <c r="F4830" s="48" t="n"/>
      <c r="G4830" s="49" t="n"/>
      <c r="H4830" s="48" t="n"/>
      <c r="I4830" s="50" t="n"/>
      <c r="J4830" s="48" t="n"/>
      <c r="K4830" s="48" t="n"/>
      <c r="L4830" s="48" t="n"/>
      <c r="M4830" s="48" t="n"/>
      <c r="N4830" s="48" t="n"/>
      <c r="O4830" s="51">
        <f>IF(AND(B4830="",G4830="",C4830="",D4830="",J4830=""),"",IF(B4830="","⚠ Falta fecha",IF(G4830="","⚠ Falta monto",IF(Q4830="","⚠ Falta cuenta",IF(ISNA(MATCH(Q4830,ctaNombre,0)),"⚠ Cuenta no registrada",IF(AND(OR(P4830="Gasto",P4830="Reembolso"),D4830=""),"⚠ Falta categoría",IF(AND(D4830&lt;&gt;"",E4830&lt;&gt;"",ISNA(MATCH(D4830&amp;"|"&amp;E4830,catClave,0))),"⚠ Subcategoría no corresponde",IF(AND(OR(P4830="Transferencia",P4830="Pago tarjeta"),K4830=""),"⚠ Falta cuenta destino",IF(AND(K4830&lt;&gt;"",P4830&lt;&gt;"Transferencia",P4830&lt;&gt;"Pago tarjeta"),"⚠ Destino solo aplica a transferencias",IF(AND(K4830&lt;&gt;"",K4830=Q4830),"⚠ Origen igual a destino",IF(AND(K4830&lt;&gt;"",ISNA(MATCH(K4830,ctaNombre,0))),"⚠ Destino no registrado",IF(AND(P4830="Pago tarjeta",AE4830&lt;&gt;"Tarjeta de crédito"),"⚠ El destino debe ser tarjeta de crédito",IF(AND(P4830="Gasto",E4830="Depósitos y retiros"),"⚠ Usa tipo Transferencia",IF(AND(P4830="Resultado trading",AD4830&lt;&gt;"Cuenta de trading"),"⚠ Usa una cuenta de trading",IF(AND(G4830&lt;=0,P4830&lt;&gt;"Ajuste",P4830&lt;&gt;"Resultado trading"),"⚠ El monto debe ser positivo","✓")))))))))))))))</f>
        <v/>
      </c>
      <c r="P4830" s="52">
        <f>IF(OR(B4830="",G4830=""),"",IF(C4830="","Gasto",C4830))</f>
        <v/>
      </c>
      <c r="Q4830" s="52">
        <f>IF(P4830="","",IF(J4830&lt;&gt;"",J4830,CuentaPred&amp;""))</f>
        <v/>
      </c>
      <c r="R4830" s="52">
        <f>IF(P4830="","",IF(ISNUMBER(I4830),I4830,TasaUSD))</f>
        <v/>
      </c>
      <c r="S4830" s="53">
        <f>IF(P4830="","",IF(H4830="USD",G4830*R4830,G4830))</f>
        <v/>
      </c>
      <c r="T4830" s="53">
        <f>IF(P4830="","",IF(H4830="USD",G4830,IF(R4830&gt;0,G4830/R4830,0)))</f>
        <v/>
      </c>
      <c r="U4830" s="53">
        <f>IF(P4830="","",IF(P4830="Gasto",S4830,IF(P4830="Reembolso",-S4830,0)))</f>
        <v/>
      </c>
      <c r="V4830" s="53">
        <f>IF(P4830="","",IF(P4830="Ingreso",S4830,0))</f>
        <v/>
      </c>
      <c r="W4830" s="53">
        <f>IF(P4830="","",IF(P4830="Resultado trading",S4830,0))</f>
        <v/>
      </c>
      <c r="X4830" s="52">
        <f>IF(OR(P4830="Gasto",P4830="Reembolso"),IF(M4830&lt;&gt;"",M4830,IFERROR(INDEX(catClasif,MATCH(D4830&amp;"|"&amp;E4830,catClave,0))&amp;"","Variable")),"")</f>
        <v/>
      </c>
      <c r="Y4830" s="52">
        <f>IF(P4830="","",IFERROR(INDEX(catGrupo,MATCH(D4830&amp;"|"&amp;E4830,catClave,0))&amp;"",""))</f>
        <v/>
      </c>
      <c r="Z4830" s="52">
        <f>IF(P4830="","",WEEKDAY(B4830,2))</f>
        <v/>
      </c>
      <c r="AA4830" s="52">
        <f>IF(P4830="","",IF(AND(P4830="Gasto",X4830="Variable",D4830&lt;&gt;catTrading,S4830&gt;0,S4830&lt;=Umbral),1,0))</f>
        <v/>
      </c>
      <c r="AB4830" s="52">
        <f>IF(OR(P4830="",Q4830=""),"",IFERROR(IF(INDEX(ctaVinc,MATCH(Q4830,ctaNombre,0))&amp;""&lt;&gt;"",INDEX(ctaVinc,MATCH(Q4830,ctaNombre,0))&amp;"",Q4830),Q4830))</f>
        <v/>
      </c>
      <c r="AC4830" s="52">
        <f>IF(OR(K4830="",AND(P4830&lt;&gt;"Transferencia",P4830&lt;&gt;"Pago tarjeta")),"",IFERROR(IF(INDEX(ctaVinc,MATCH(K4830,ctaNombre,0))&amp;""&lt;&gt;"",INDEX(ctaVinc,MATCH(K4830,ctaNombre,0))&amp;"",K4830),K4830))</f>
        <v/>
      </c>
      <c r="AD4830" s="52">
        <f>IF(AB4830="","",IFERROR(INDEX(ctaTipo,MATCH(AB4830,ctaNombre,0))&amp;"",""))</f>
        <v/>
      </c>
      <c r="AE4830" s="52">
        <f>IF(AC4830="","",IFERROR(INDEX(ctaTipo,MATCH(AC4830,ctaNombre,0))&amp;"",""))</f>
        <v/>
      </c>
      <c r="AF4830" s="53">
        <f>IF(OR(P4830="",AB4830=""),"",IF(OR(P4830="Gasto",P4830="Transferencia",P4830="Pago tarjeta"),-1,1)*IF(IFERROR(INDEX(ctaMoneda,MATCH(AB4830,ctaNombre,0))&amp;"","DOP")="USD",T4830,S4830))</f>
        <v/>
      </c>
      <c r="AG4830" s="53">
        <f>IF(AC4830="","",IF(IFERROR(INDEX(ctaMoneda,MATCH(AC4830,ctaNombre,0))&amp;"","DOP")="USD",T4830,S4830))</f>
        <v/>
      </c>
      <c r="AH4830" s="53">
        <f>IF(P4830="","",IF(AND(AD4830&lt;&gt;"",COUNTIFS(tcTipo,AD4830,tcLiq,"Sí")&gt;0),IF(OR(P4830="Gasto",P4830="Transferencia",P4830="Pago tarjeta"),-1,1)*S4830,0)+IF(AND(AE4830&lt;&gt;"",COUNTIFS(tcTipo,AE4830,tcLiq,"Sí")&gt;0),S4830,0))</f>
        <v/>
      </c>
      <c r="AI4830" s="52">
        <f>IF(OR(L4830="",P4830=""),"",IF(COUNTIFS(L$6:L4830,L4830,P$6:P4830,"?*")=1,MAX(AI$5:AI4829)+1,""))</f>
        <v/>
      </c>
    </row>
    <row r="4831">
      <c r="B4831" s="47" t="n"/>
      <c r="C4831" s="48" t="n"/>
      <c r="D4831" s="48" t="n"/>
      <c r="E4831" s="48" t="n"/>
      <c r="F4831" s="48" t="n"/>
      <c r="G4831" s="49" t="n"/>
      <c r="H4831" s="48" t="n"/>
      <c r="I4831" s="50" t="n"/>
      <c r="J4831" s="48" t="n"/>
      <c r="K4831" s="48" t="n"/>
      <c r="L4831" s="48" t="n"/>
      <c r="M4831" s="48" t="n"/>
      <c r="N4831" s="48" t="n"/>
      <c r="O4831" s="51">
        <f>IF(AND(B4831="",G4831="",C4831="",D4831="",J4831=""),"",IF(B4831="","⚠ Falta fecha",IF(G4831="","⚠ Falta monto",IF(Q4831="","⚠ Falta cuenta",IF(ISNA(MATCH(Q4831,ctaNombre,0)),"⚠ Cuenta no registrada",IF(AND(OR(P4831="Gasto",P4831="Reembolso"),D4831=""),"⚠ Falta categoría",IF(AND(D4831&lt;&gt;"",E4831&lt;&gt;"",ISNA(MATCH(D4831&amp;"|"&amp;E4831,catClave,0))),"⚠ Subcategoría no corresponde",IF(AND(OR(P4831="Transferencia",P4831="Pago tarjeta"),K4831=""),"⚠ Falta cuenta destino",IF(AND(K4831&lt;&gt;"",P4831&lt;&gt;"Transferencia",P4831&lt;&gt;"Pago tarjeta"),"⚠ Destino solo aplica a transferencias",IF(AND(K4831&lt;&gt;"",K4831=Q4831),"⚠ Origen igual a destino",IF(AND(K4831&lt;&gt;"",ISNA(MATCH(K4831,ctaNombre,0))),"⚠ Destino no registrado",IF(AND(P4831="Pago tarjeta",AE4831&lt;&gt;"Tarjeta de crédito"),"⚠ El destino debe ser tarjeta de crédito",IF(AND(P4831="Gasto",E4831="Depósitos y retiros"),"⚠ Usa tipo Transferencia",IF(AND(P4831="Resultado trading",AD4831&lt;&gt;"Cuenta de trading"),"⚠ Usa una cuenta de trading",IF(AND(G4831&lt;=0,P4831&lt;&gt;"Ajuste",P4831&lt;&gt;"Resultado trading"),"⚠ El monto debe ser positivo","✓")))))))))))))))</f>
        <v/>
      </c>
      <c r="P4831" s="52">
        <f>IF(OR(B4831="",G4831=""),"",IF(C4831="","Gasto",C4831))</f>
        <v/>
      </c>
      <c r="Q4831" s="52">
        <f>IF(P4831="","",IF(J4831&lt;&gt;"",J4831,CuentaPred&amp;""))</f>
        <v/>
      </c>
      <c r="R4831" s="52">
        <f>IF(P4831="","",IF(ISNUMBER(I4831),I4831,TasaUSD))</f>
        <v/>
      </c>
      <c r="S4831" s="53">
        <f>IF(P4831="","",IF(H4831="USD",G4831*R4831,G4831))</f>
        <v/>
      </c>
      <c r="T4831" s="53">
        <f>IF(P4831="","",IF(H4831="USD",G4831,IF(R4831&gt;0,G4831/R4831,0)))</f>
        <v/>
      </c>
      <c r="U4831" s="53">
        <f>IF(P4831="","",IF(P4831="Gasto",S4831,IF(P4831="Reembolso",-S4831,0)))</f>
        <v/>
      </c>
      <c r="V4831" s="53">
        <f>IF(P4831="","",IF(P4831="Ingreso",S4831,0))</f>
        <v/>
      </c>
      <c r="W4831" s="53">
        <f>IF(P4831="","",IF(P4831="Resultado trading",S4831,0))</f>
        <v/>
      </c>
      <c r="X4831" s="52">
        <f>IF(OR(P4831="Gasto",P4831="Reembolso"),IF(M4831&lt;&gt;"",M4831,IFERROR(INDEX(catClasif,MATCH(D4831&amp;"|"&amp;E4831,catClave,0))&amp;"","Variable")),"")</f>
        <v/>
      </c>
      <c r="Y4831" s="52">
        <f>IF(P4831="","",IFERROR(INDEX(catGrupo,MATCH(D4831&amp;"|"&amp;E4831,catClave,0))&amp;"",""))</f>
        <v/>
      </c>
      <c r="Z4831" s="52">
        <f>IF(P4831="","",WEEKDAY(B4831,2))</f>
        <v/>
      </c>
      <c r="AA4831" s="52">
        <f>IF(P4831="","",IF(AND(P4831="Gasto",X4831="Variable",D4831&lt;&gt;catTrading,S4831&gt;0,S4831&lt;=Umbral),1,0))</f>
        <v/>
      </c>
      <c r="AB4831" s="52">
        <f>IF(OR(P4831="",Q4831=""),"",IFERROR(IF(INDEX(ctaVinc,MATCH(Q4831,ctaNombre,0))&amp;""&lt;&gt;"",INDEX(ctaVinc,MATCH(Q4831,ctaNombre,0))&amp;"",Q4831),Q4831))</f>
        <v/>
      </c>
      <c r="AC4831" s="52">
        <f>IF(OR(K4831="",AND(P4831&lt;&gt;"Transferencia",P4831&lt;&gt;"Pago tarjeta")),"",IFERROR(IF(INDEX(ctaVinc,MATCH(K4831,ctaNombre,0))&amp;""&lt;&gt;"",INDEX(ctaVinc,MATCH(K4831,ctaNombre,0))&amp;"",K4831),K4831))</f>
        <v/>
      </c>
      <c r="AD4831" s="52">
        <f>IF(AB4831="","",IFERROR(INDEX(ctaTipo,MATCH(AB4831,ctaNombre,0))&amp;"",""))</f>
        <v/>
      </c>
      <c r="AE4831" s="52">
        <f>IF(AC4831="","",IFERROR(INDEX(ctaTipo,MATCH(AC4831,ctaNombre,0))&amp;"",""))</f>
        <v/>
      </c>
      <c r="AF4831" s="53">
        <f>IF(OR(P4831="",AB4831=""),"",IF(OR(P4831="Gasto",P4831="Transferencia",P4831="Pago tarjeta"),-1,1)*IF(IFERROR(INDEX(ctaMoneda,MATCH(AB4831,ctaNombre,0))&amp;"","DOP")="USD",T4831,S4831))</f>
        <v/>
      </c>
      <c r="AG4831" s="53">
        <f>IF(AC4831="","",IF(IFERROR(INDEX(ctaMoneda,MATCH(AC4831,ctaNombre,0))&amp;"","DOP")="USD",T4831,S4831))</f>
        <v/>
      </c>
      <c r="AH4831" s="53">
        <f>IF(P4831="","",IF(AND(AD4831&lt;&gt;"",COUNTIFS(tcTipo,AD4831,tcLiq,"Sí")&gt;0),IF(OR(P4831="Gasto",P4831="Transferencia",P4831="Pago tarjeta"),-1,1)*S4831,0)+IF(AND(AE4831&lt;&gt;"",COUNTIFS(tcTipo,AE4831,tcLiq,"Sí")&gt;0),S4831,0))</f>
        <v/>
      </c>
      <c r="AI4831" s="52">
        <f>IF(OR(L4831="",P4831=""),"",IF(COUNTIFS(L$6:L4831,L4831,P$6:P4831,"?*")=1,MAX(AI$5:AI4830)+1,""))</f>
        <v/>
      </c>
    </row>
    <row r="4832">
      <c r="B4832" s="47" t="n"/>
      <c r="C4832" s="48" t="n"/>
      <c r="D4832" s="48" t="n"/>
      <c r="E4832" s="48" t="n"/>
      <c r="F4832" s="48" t="n"/>
      <c r="G4832" s="49" t="n"/>
      <c r="H4832" s="48" t="n"/>
      <c r="I4832" s="50" t="n"/>
      <c r="J4832" s="48" t="n"/>
      <c r="K4832" s="48" t="n"/>
      <c r="L4832" s="48" t="n"/>
      <c r="M4832" s="48" t="n"/>
      <c r="N4832" s="48" t="n"/>
      <c r="O4832" s="51">
        <f>IF(AND(B4832="",G4832="",C4832="",D4832="",J4832=""),"",IF(B4832="","⚠ Falta fecha",IF(G4832="","⚠ Falta monto",IF(Q4832="","⚠ Falta cuenta",IF(ISNA(MATCH(Q4832,ctaNombre,0)),"⚠ Cuenta no registrada",IF(AND(OR(P4832="Gasto",P4832="Reembolso"),D4832=""),"⚠ Falta categoría",IF(AND(D4832&lt;&gt;"",E4832&lt;&gt;"",ISNA(MATCH(D4832&amp;"|"&amp;E4832,catClave,0))),"⚠ Subcategoría no corresponde",IF(AND(OR(P4832="Transferencia",P4832="Pago tarjeta"),K4832=""),"⚠ Falta cuenta destino",IF(AND(K4832&lt;&gt;"",P4832&lt;&gt;"Transferencia",P4832&lt;&gt;"Pago tarjeta"),"⚠ Destino solo aplica a transferencias",IF(AND(K4832&lt;&gt;"",K4832=Q4832),"⚠ Origen igual a destino",IF(AND(K4832&lt;&gt;"",ISNA(MATCH(K4832,ctaNombre,0))),"⚠ Destino no registrado",IF(AND(P4832="Pago tarjeta",AE4832&lt;&gt;"Tarjeta de crédito"),"⚠ El destino debe ser tarjeta de crédito",IF(AND(P4832="Gasto",E4832="Depósitos y retiros"),"⚠ Usa tipo Transferencia",IF(AND(P4832="Resultado trading",AD4832&lt;&gt;"Cuenta de trading"),"⚠ Usa una cuenta de trading",IF(AND(G4832&lt;=0,P4832&lt;&gt;"Ajuste",P4832&lt;&gt;"Resultado trading"),"⚠ El monto debe ser positivo","✓")))))))))))))))</f>
        <v/>
      </c>
      <c r="P4832" s="52">
        <f>IF(OR(B4832="",G4832=""),"",IF(C4832="","Gasto",C4832))</f>
        <v/>
      </c>
      <c r="Q4832" s="52">
        <f>IF(P4832="","",IF(J4832&lt;&gt;"",J4832,CuentaPred&amp;""))</f>
        <v/>
      </c>
      <c r="R4832" s="52">
        <f>IF(P4832="","",IF(ISNUMBER(I4832),I4832,TasaUSD))</f>
        <v/>
      </c>
      <c r="S4832" s="53">
        <f>IF(P4832="","",IF(H4832="USD",G4832*R4832,G4832))</f>
        <v/>
      </c>
      <c r="T4832" s="53">
        <f>IF(P4832="","",IF(H4832="USD",G4832,IF(R4832&gt;0,G4832/R4832,0)))</f>
        <v/>
      </c>
      <c r="U4832" s="53">
        <f>IF(P4832="","",IF(P4832="Gasto",S4832,IF(P4832="Reembolso",-S4832,0)))</f>
        <v/>
      </c>
      <c r="V4832" s="53">
        <f>IF(P4832="","",IF(P4832="Ingreso",S4832,0))</f>
        <v/>
      </c>
      <c r="W4832" s="53">
        <f>IF(P4832="","",IF(P4832="Resultado trading",S4832,0))</f>
        <v/>
      </c>
      <c r="X4832" s="52">
        <f>IF(OR(P4832="Gasto",P4832="Reembolso"),IF(M4832&lt;&gt;"",M4832,IFERROR(INDEX(catClasif,MATCH(D4832&amp;"|"&amp;E4832,catClave,0))&amp;"","Variable")),"")</f>
        <v/>
      </c>
      <c r="Y4832" s="52">
        <f>IF(P4832="","",IFERROR(INDEX(catGrupo,MATCH(D4832&amp;"|"&amp;E4832,catClave,0))&amp;"",""))</f>
        <v/>
      </c>
      <c r="Z4832" s="52">
        <f>IF(P4832="","",WEEKDAY(B4832,2))</f>
        <v/>
      </c>
      <c r="AA4832" s="52">
        <f>IF(P4832="","",IF(AND(P4832="Gasto",X4832="Variable",D4832&lt;&gt;catTrading,S4832&gt;0,S4832&lt;=Umbral),1,0))</f>
        <v/>
      </c>
      <c r="AB4832" s="52">
        <f>IF(OR(P4832="",Q4832=""),"",IFERROR(IF(INDEX(ctaVinc,MATCH(Q4832,ctaNombre,0))&amp;""&lt;&gt;"",INDEX(ctaVinc,MATCH(Q4832,ctaNombre,0))&amp;"",Q4832),Q4832))</f>
        <v/>
      </c>
      <c r="AC4832" s="52">
        <f>IF(OR(K4832="",AND(P4832&lt;&gt;"Transferencia",P4832&lt;&gt;"Pago tarjeta")),"",IFERROR(IF(INDEX(ctaVinc,MATCH(K4832,ctaNombre,0))&amp;""&lt;&gt;"",INDEX(ctaVinc,MATCH(K4832,ctaNombre,0))&amp;"",K4832),K4832))</f>
        <v/>
      </c>
      <c r="AD4832" s="52">
        <f>IF(AB4832="","",IFERROR(INDEX(ctaTipo,MATCH(AB4832,ctaNombre,0))&amp;"",""))</f>
        <v/>
      </c>
      <c r="AE4832" s="52">
        <f>IF(AC4832="","",IFERROR(INDEX(ctaTipo,MATCH(AC4832,ctaNombre,0))&amp;"",""))</f>
        <v/>
      </c>
      <c r="AF4832" s="53">
        <f>IF(OR(P4832="",AB4832=""),"",IF(OR(P4832="Gasto",P4832="Transferencia",P4832="Pago tarjeta"),-1,1)*IF(IFERROR(INDEX(ctaMoneda,MATCH(AB4832,ctaNombre,0))&amp;"","DOP")="USD",T4832,S4832))</f>
        <v/>
      </c>
      <c r="AG4832" s="53">
        <f>IF(AC4832="","",IF(IFERROR(INDEX(ctaMoneda,MATCH(AC4832,ctaNombre,0))&amp;"","DOP")="USD",T4832,S4832))</f>
        <v/>
      </c>
      <c r="AH4832" s="53">
        <f>IF(P4832="","",IF(AND(AD4832&lt;&gt;"",COUNTIFS(tcTipo,AD4832,tcLiq,"Sí")&gt;0),IF(OR(P4832="Gasto",P4832="Transferencia",P4832="Pago tarjeta"),-1,1)*S4832,0)+IF(AND(AE4832&lt;&gt;"",COUNTIFS(tcTipo,AE4832,tcLiq,"Sí")&gt;0),S4832,0))</f>
        <v/>
      </c>
      <c r="AI4832" s="52">
        <f>IF(OR(L4832="",P4832=""),"",IF(COUNTIFS(L$6:L4832,L4832,P$6:P4832,"?*")=1,MAX(AI$5:AI4831)+1,""))</f>
        <v/>
      </c>
    </row>
    <row r="4833">
      <c r="B4833" s="47" t="n"/>
      <c r="C4833" s="48" t="n"/>
      <c r="D4833" s="48" t="n"/>
      <c r="E4833" s="48" t="n"/>
      <c r="F4833" s="48" t="n"/>
      <c r="G4833" s="49" t="n"/>
      <c r="H4833" s="48" t="n"/>
      <c r="I4833" s="50" t="n"/>
      <c r="J4833" s="48" t="n"/>
      <c r="K4833" s="48" t="n"/>
      <c r="L4833" s="48" t="n"/>
      <c r="M4833" s="48" t="n"/>
      <c r="N4833" s="48" t="n"/>
      <c r="O4833" s="51">
        <f>IF(AND(B4833="",G4833="",C4833="",D4833="",J4833=""),"",IF(B4833="","⚠ Falta fecha",IF(G4833="","⚠ Falta monto",IF(Q4833="","⚠ Falta cuenta",IF(ISNA(MATCH(Q4833,ctaNombre,0)),"⚠ Cuenta no registrada",IF(AND(OR(P4833="Gasto",P4833="Reembolso"),D4833=""),"⚠ Falta categoría",IF(AND(D4833&lt;&gt;"",E4833&lt;&gt;"",ISNA(MATCH(D4833&amp;"|"&amp;E4833,catClave,0))),"⚠ Subcategoría no corresponde",IF(AND(OR(P4833="Transferencia",P4833="Pago tarjeta"),K4833=""),"⚠ Falta cuenta destino",IF(AND(K4833&lt;&gt;"",P4833&lt;&gt;"Transferencia",P4833&lt;&gt;"Pago tarjeta"),"⚠ Destino solo aplica a transferencias",IF(AND(K4833&lt;&gt;"",K4833=Q4833),"⚠ Origen igual a destino",IF(AND(K4833&lt;&gt;"",ISNA(MATCH(K4833,ctaNombre,0))),"⚠ Destino no registrado",IF(AND(P4833="Pago tarjeta",AE4833&lt;&gt;"Tarjeta de crédito"),"⚠ El destino debe ser tarjeta de crédito",IF(AND(P4833="Gasto",E4833="Depósitos y retiros"),"⚠ Usa tipo Transferencia",IF(AND(P4833="Resultado trading",AD4833&lt;&gt;"Cuenta de trading"),"⚠ Usa una cuenta de trading",IF(AND(G4833&lt;=0,P4833&lt;&gt;"Ajuste",P4833&lt;&gt;"Resultado trading"),"⚠ El monto debe ser positivo","✓")))))))))))))))</f>
        <v/>
      </c>
      <c r="P4833" s="52">
        <f>IF(OR(B4833="",G4833=""),"",IF(C4833="","Gasto",C4833))</f>
        <v/>
      </c>
      <c r="Q4833" s="52">
        <f>IF(P4833="","",IF(J4833&lt;&gt;"",J4833,CuentaPred&amp;""))</f>
        <v/>
      </c>
      <c r="R4833" s="52">
        <f>IF(P4833="","",IF(ISNUMBER(I4833),I4833,TasaUSD))</f>
        <v/>
      </c>
      <c r="S4833" s="53">
        <f>IF(P4833="","",IF(H4833="USD",G4833*R4833,G4833))</f>
        <v/>
      </c>
      <c r="T4833" s="53">
        <f>IF(P4833="","",IF(H4833="USD",G4833,IF(R4833&gt;0,G4833/R4833,0)))</f>
        <v/>
      </c>
      <c r="U4833" s="53">
        <f>IF(P4833="","",IF(P4833="Gasto",S4833,IF(P4833="Reembolso",-S4833,0)))</f>
        <v/>
      </c>
      <c r="V4833" s="53">
        <f>IF(P4833="","",IF(P4833="Ingreso",S4833,0))</f>
        <v/>
      </c>
      <c r="W4833" s="53">
        <f>IF(P4833="","",IF(P4833="Resultado trading",S4833,0))</f>
        <v/>
      </c>
      <c r="X4833" s="52">
        <f>IF(OR(P4833="Gasto",P4833="Reembolso"),IF(M4833&lt;&gt;"",M4833,IFERROR(INDEX(catClasif,MATCH(D4833&amp;"|"&amp;E4833,catClave,0))&amp;"","Variable")),"")</f>
        <v/>
      </c>
      <c r="Y4833" s="52">
        <f>IF(P4833="","",IFERROR(INDEX(catGrupo,MATCH(D4833&amp;"|"&amp;E4833,catClave,0))&amp;"",""))</f>
        <v/>
      </c>
      <c r="Z4833" s="52">
        <f>IF(P4833="","",WEEKDAY(B4833,2))</f>
        <v/>
      </c>
      <c r="AA4833" s="52">
        <f>IF(P4833="","",IF(AND(P4833="Gasto",X4833="Variable",D4833&lt;&gt;catTrading,S4833&gt;0,S4833&lt;=Umbral),1,0))</f>
        <v/>
      </c>
      <c r="AB4833" s="52">
        <f>IF(OR(P4833="",Q4833=""),"",IFERROR(IF(INDEX(ctaVinc,MATCH(Q4833,ctaNombre,0))&amp;""&lt;&gt;"",INDEX(ctaVinc,MATCH(Q4833,ctaNombre,0))&amp;"",Q4833),Q4833))</f>
        <v/>
      </c>
      <c r="AC4833" s="52">
        <f>IF(OR(K4833="",AND(P4833&lt;&gt;"Transferencia",P4833&lt;&gt;"Pago tarjeta")),"",IFERROR(IF(INDEX(ctaVinc,MATCH(K4833,ctaNombre,0))&amp;""&lt;&gt;"",INDEX(ctaVinc,MATCH(K4833,ctaNombre,0))&amp;"",K4833),K4833))</f>
        <v/>
      </c>
      <c r="AD4833" s="52">
        <f>IF(AB4833="","",IFERROR(INDEX(ctaTipo,MATCH(AB4833,ctaNombre,0))&amp;"",""))</f>
        <v/>
      </c>
      <c r="AE4833" s="52">
        <f>IF(AC4833="","",IFERROR(INDEX(ctaTipo,MATCH(AC4833,ctaNombre,0))&amp;"",""))</f>
        <v/>
      </c>
      <c r="AF4833" s="53">
        <f>IF(OR(P4833="",AB4833=""),"",IF(OR(P4833="Gasto",P4833="Transferencia",P4833="Pago tarjeta"),-1,1)*IF(IFERROR(INDEX(ctaMoneda,MATCH(AB4833,ctaNombre,0))&amp;"","DOP")="USD",T4833,S4833))</f>
        <v/>
      </c>
      <c r="AG4833" s="53">
        <f>IF(AC4833="","",IF(IFERROR(INDEX(ctaMoneda,MATCH(AC4833,ctaNombre,0))&amp;"","DOP")="USD",T4833,S4833))</f>
        <v/>
      </c>
      <c r="AH4833" s="53">
        <f>IF(P4833="","",IF(AND(AD4833&lt;&gt;"",COUNTIFS(tcTipo,AD4833,tcLiq,"Sí")&gt;0),IF(OR(P4833="Gasto",P4833="Transferencia",P4833="Pago tarjeta"),-1,1)*S4833,0)+IF(AND(AE4833&lt;&gt;"",COUNTIFS(tcTipo,AE4833,tcLiq,"Sí")&gt;0),S4833,0))</f>
        <v/>
      </c>
      <c r="AI4833" s="52">
        <f>IF(OR(L4833="",P4833=""),"",IF(COUNTIFS(L$6:L4833,L4833,P$6:P4833,"?*")=1,MAX(AI$5:AI4832)+1,""))</f>
        <v/>
      </c>
    </row>
    <row r="4834">
      <c r="B4834" s="47" t="n"/>
      <c r="C4834" s="48" t="n"/>
      <c r="D4834" s="48" t="n"/>
      <c r="E4834" s="48" t="n"/>
      <c r="F4834" s="48" t="n"/>
      <c r="G4834" s="49" t="n"/>
      <c r="H4834" s="48" t="n"/>
      <c r="I4834" s="50" t="n"/>
      <c r="J4834" s="48" t="n"/>
      <c r="K4834" s="48" t="n"/>
      <c r="L4834" s="48" t="n"/>
      <c r="M4834" s="48" t="n"/>
      <c r="N4834" s="48" t="n"/>
      <c r="O4834" s="51">
        <f>IF(AND(B4834="",G4834="",C4834="",D4834="",J4834=""),"",IF(B4834="","⚠ Falta fecha",IF(G4834="","⚠ Falta monto",IF(Q4834="","⚠ Falta cuenta",IF(ISNA(MATCH(Q4834,ctaNombre,0)),"⚠ Cuenta no registrada",IF(AND(OR(P4834="Gasto",P4834="Reembolso"),D4834=""),"⚠ Falta categoría",IF(AND(D4834&lt;&gt;"",E4834&lt;&gt;"",ISNA(MATCH(D4834&amp;"|"&amp;E4834,catClave,0))),"⚠ Subcategoría no corresponde",IF(AND(OR(P4834="Transferencia",P4834="Pago tarjeta"),K4834=""),"⚠ Falta cuenta destino",IF(AND(K4834&lt;&gt;"",P4834&lt;&gt;"Transferencia",P4834&lt;&gt;"Pago tarjeta"),"⚠ Destino solo aplica a transferencias",IF(AND(K4834&lt;&gt;"",K4834=Q4834),"⚠ Origen igual a destino",IF(AND(K4834&lt;&gt;"",ISNA(MATCH(K4834,ctaNombre,0))),"⚠ Destino no registrado",IF(AND(P4834="Pago tarjeta",AE4834&lt;&gt;"Tarjeta de crédito"),"⚠ El destino debe ser tarjeta de crédito",IF(AND(P4834="Gasto",E4834="Depósitos y retiros"),"⚠ Usa tipo Transferencia",IF(AND(P4834="Resultado trading",AD4834&lt;&gt;"Cuenta de trading"),"⚠ Usa una cuenta de trading",IF(AND(G4834&lt;=0,P4834&lt;&gt;"Ajuste",P4834&lt;&gt;"Resultado trading"),"⚠ El monto debe ser positivo","✓")))))))))))))))</f>
        <v/>
      </c>
      <c r="P4834" s="52">
        <f>IF(OR(B4834="",G4834=""),"",IF(C4834="","Gasto",C4834))</f>
        <v/>
      </c>
      <c r="Q4834" s="52">
        <f>IF(P4834="","",IF(J4834&lt;&gt;"",J4834,CuentaPred&amp;""))</f>
        <v/>
      </c>
      <c r="R4834" s="52">
        <f>IF(P4834="","",IF(ISNUMBER(I4834),I4834,TasaUSD))</f>
        <v/>
      </c>
      <c r="S4834" s="53">
        <f>IF(P4834="","",IF(H4834="USD",G4834*R4834,G4834))</f>
        <v/>
      </c>
      <c r="T4834" s="53">
        <f>IF(P4834="","",IF(H4834="USD",G4834,IF(R4834&gt;0,G4834/R4834,0)))</f>
        <v/>
      </c>
      <c r="U4834" s="53">
        <f>IF(P4834="","",IF(P4834="Gasto",S4834,IF(P4834="Reembolso",-S4834,0)))</f>
        <v/>
      </c>
      <c r="V4834" s="53">
        <f>IF(P4834="","",IF(P4834="Ingreso",S4834,0))</f>
        <v/>
      </c>
      <c r="W4834" s="53">
        <f>IF(P4834="","",IF(P4834="Resultado trading",S4834,0))</f>
        <v/>
      </c>
      <c r="X4834" s="52">
        <f>IF(OR(P4834="Gasto",P4834="Reembolso"),IF(M4834&lt;&gt;"",M4834,IFERROR(INDEX(catClasif,MATCH(D4834&amp;"|"&amp;E4834,catClave,0))&amp;"","Variable")),"")</f>
        <v/>
      </c>
      <c r="Y4834" s="52">
        <f>IF(P4834="","",IFERROR(INDEX(catGrupo,MATCH(D4834&amp;"|"&amp;E4834,catClave,0))&amp;"",""))</f>
        <v/>
      </c>
      <c r="Z4834" s="52">
        <f>IF(P4834="","",WEEKDAY(B4834,2))</f>
        <v/>
      </c>
      <c r="AA4834" s="52">
        <f>IF(P4834="","",IF(AND(P4834="Gasto",X4834="Variable",D4834&lt;&gt;catTrading,S4834&gt;0,S4834&lt;=Umbral),1,0))</f>
        <v/>
      </c>
      <c r="AB4834" s="52">
        <f>IF(OR(P4834="",Q4834=""),"",IFERROR(IF(INDEX(ctaVinc,MATCH(Q4834,ctaNombre,0))&amp;""&lt;&gt;"",INDEX(ctaVinc,MATCH(Q4834,ctaNombre,0))&amp;"",Q4834),Q4834))</f>
        <v/>
      </c>
      <c r="AC4834" s="52">
        <f>IF(OR(K4834="",AND(P4834&lt;&gt;"Transferencia",P4834&lt;&gt;"Pago tarjeta")),"",IFERROR(IF(INDEX(ctaVinc,MATCH(K4834,ctaNombre,0))&amp;""&lt;&gt;"",INDEX(ctaVinc,MATCH(K4834,ctaNombre,0))&amp;"",K4834),K4834))</f>
        <v/>
      </c>
      <c r="AD4834" s="52">
        <f>IF(AB4834="","",IFERROR(INDEX(ctaTipo,MATCH(AB4834,ctaNombre,0))&amp;"",""))</f>
        <v/>
      </c>
      <c r="AE4834" s="52">
        <f>IF(AC4834="","",IFERROR(INDEX(ctaTipo,MATCH(AC4834,ctaNombre,0))&amp;"",""))</f>
        <v/>
      </c>
      <c r="AF4834" s="53">
        <f>IF(OR(P4834="",AB4834=""),"",IF(OR(P4834="Gasto",P4834="Transferencia",P4834="Pago tarjeta"),-1,1)*IF(IFERROR(INDEX(ctaMoneda,MATCH(AB4834,ctaNombre,0))&amp;"","DOP")="USD",T4834,S4834))</f>
        <v/>
      </c>
      <c r="AG4834" s="53">
        <f>IF(AC4834="","",IF(IFERROR(INDEX(ctaMoneda,MATCH(AC4834,ctaNombre,0))&amp;"","DOP")="USD",T4834,S4834))</f>
        <v/>
      </c>
      <c r="AH4834" s="53">
        <f>IF(P4834="","",IF(AND(AD4834&lt;&gt;"",COUNTIFS(tcTipo,AD4834,tcLiq,"Sí")&gt;0),IF(OR(P4834="Gasto",P4834="Transferencia",P4834="Pago tarjeta"),-1,1)*S4834,0)+IF(AND(AE4834&lt;&gt;"",COUNTIFS(tcTipo,AE4834,tcLiq,"Sí")&gt;0),S4834,0))</f>
        <v/>
      </c>
      <c r="AI4834" s="52">
        <f>IF(OR(L4834="",P4834=""),"",IF(COUNTIFS(L$6:L4834,L4834,P$6:P4834,"?*")=1,MAX(AI$5:AI4833)+1,""))</f>
        <v/>
      </c>
    </row>
    <row r="4835">
      <c r="B4835" s="47" t="n"/>
      <c r="C4835" s="48" t="n"/>
      <c r="D4835" s="48" t="n"/>
      <c r="E4835" s="48" t="n"/>
      <c r="F4835" s="48" t="n"/>
      <c r="G4835" s="49" t="n"/>
      <c r="H4835" s="48" t="n"/>
      <c r="I4835" s="50" t="n"/>
      <c r="J4835" s="48" t="n"/>
      <c r="K4835" s="48" t="n"/>
      <c r="L4835" s="48" t="n"/>
      <c r="M4835" s="48" t="n"/>
      <c r="N4835" s="48" t="n"/>
      <c r="O4835" s="51">
        <f>IF(AND(B4835="",G4835="",C4835="",D4835="",J4835=""),"",IF(B4835="","⚠ Falta fecha",IF(G4835="","⚠ Falta monto",IF(Q4835="","⚠ Falta cuenta",IF(ISNA(MATCH(Q4835,ctaNombre,0)),"⚠ Cuenta no registrada",IF(AND(OR(P4835="Gasto",P4835="Reembolso"),D4835=""),"⚠ Falta categoría",IF(AND(D4835&lt;&gt;"",E4835&lt;&gt;"",ISNA(MATCH(D4835&amp;"|"&amp;E4835,catClave,0))),"⚠ Subcategoría no corresponde",IF(AND(OR(P4835="Transferencia",P4835="Pago tarjeta"),K4835=""),"⚠ Falta cuenta destino",IF(AND(K4835&lt;&gt;"",P4835&lt;&gt;"Transferencia",P4835&lt;&gt;"Pago tarjeta"),"⚠ Destino solo aplica a transferencias",IF(AND(K4835&lt;&gt;"",K4835=Q4835),"⚠ Origen igual a destino",IF(AND(K4835&lt;&gt;"",ISNA(MATCH(K4835,ctaNombre,0))),"⚠ Destino no registrado",IF(AND(P4835="Pago tarjeta",AE4835&lt;&gt;"Tarjeta de crédito"),"⚠ El destino debe ser tarjeta de crédito",IF(AND(P4835="Gasto",E4835="Depósitos y retiros"),"⚠ Usa tipo Transferencia",IF(AND(P4835="Resultado trading",AD4835&lt;&gt;"Cuenta de trading"),"⚠ Usa una cuenta de trading",IF(AND(G4835&lt;=0,P4835&lt;&gt;"Ajuste",P4835&lt;&gt;"Resultado trading"),"⚠ El monto debe ser positivo","✓")))))))))))))))</f>
        <v/>
      </c>
      <c r="P4835" s="52">
        <f>IF(OR(B4835="",G4835=""),"",IF(C4835="","Gasto",C4835))</f>
        <v/>
      </c>
      <c r="Q4835" s="52">
        <f>IF(P4835="","",IF(J4835&lt;&gt;"",J4835,CuentaPred&amp;""))</f>
        <v/>
      </c>
      <c r="R4835" s="52">
        <f>IF(P4835="","",IF(ISNUMBER(I4835),I4835,TasaUSD))</f>
        <v/>
      </c>
      <c r="S4835" s="53">
        <f>IF(P4835="","",IF(H4835="USD",G4835*R4835,G4835))</f>
        <v/>
      </c>
      <c r="T4835" s="53">
        <f>IF(P4835="","",IF(H4835="USD",G4835,IF(R4835&gt;0,G4835/R4835,0)))</f>
        <v/>
      </c>
      <c r="U4835" s="53">
        <f>IF(P4835="","",IF(P4835="Gasto",S4835,IF(P4835="Reembolso",-S4835,0)))</f>
        <v/>
      </c>
      <c r="V4835" s="53">
        <f>IF(P4835="","",IF(P4835="Ingreso",S4835,0))</f>
        <v/>
      </c>
      <c r="W4835" s="53">
        <f>IF(P4835="","",IF(P4835="Resultado trading",S4835,0))</f>
        <v/>
      </c>
      <c r="X4835" s="52">
        <f>IF(OR(P4835="Gasto",P4835="Reembolso"),IF(M4835&lt;&gt;"",M4835,IFERROR(INDEX(catClasif,MATCH(D4835&amp;"|"&amp;E4835,catClave,0))&amp;"","Variable")),"")</f>
        <v/>
      </c>
      <c r="Y4835" s="52">
        <f>IF(P4835="","",IFERROR(INDEX(catGrupo,MATCH(D4835&amp;"|"&amp;E4835,catClave,0))&amp;"",""))</f>
        <v/>
      </c>
      <c r="Z4835" s="52">
        <f>IF(P4835="","",WEEKDAY(B4835,2))</f>
        <v/>
      </c>
      <c r="AA4835" s="52">
        <f>IF(P4835="","",IF(AND(P4835="Gasto",X4835="Variable",D4835&lt;&gt;catTrading,S4835&gt;0,S4835&lt;=Umbral),1,0))</f>
        <v/>
      </c>
      <c r="AB4835" s="52">
        <f>IF(OR(P4835="",Q4835=""),"",IFERROR(IF(INDEX(ctaVinc,MATCH(Q4835,ctaNombre,0))&amp;""&lt;&gt;"",INDEX(ctaVinc,MATCH(Q4835,ctaNombre,0))&amp;"",Q4835),Q4835))</f>
        <v/>
      </c>
      <c r="AC4835" s="52">
        <f>IF(OR(K4835="",AND(P4835&lt;&gt;"Transferencia",P4835&lt;&gt;"Pago tarjeta")),"",IFERROR(IF(INDEX(ctaVinc,MATCH(K4835,ctaNombre,0))&amp;""&lt;&gt;"",INDEX(ctaVinc,MATCH(K4835,ctaNombre,0))&amp;"",K4835),K4835))</f>
        <v/>
      </c>
      <c r="AD4835" s="52">
        <f>IF(AB4835="","",IFERROR(INDEX(ctaTipo,MATCH(AB4835,ctaNombre,0))&amp;"",""))</f>
        <v/>
      </c>
      <c r="AE4835" s="52">
        <f>IF(AC4835="","",IFERROR(INDEX(ctaTipo,MATCH(AC4835,ctaNombre,0))&amp;"",""))</f>
        <v/>
      </c>
      <c r="AF4835" s="53">
        <f>IF(OR(P4835="",AB4835=""),"",IF(OR(P4835="Gasto",P4835="Transferencia",P4835="Pago tarjeta"),-1,1)*IF(IFERROR(INDEX(ctaMoneda,MATCH(AB4835,ctaNombre,0))&amp;"","DOP")="USD",T4835,S4835))</f>
        <v/>
      </c>
      <c r="AG4835" s="53">
        <f>IF(AC4835="","",IF(IFERROR(INDEX(ctaMoneda,MATCH(AC4835,ctaNombre,0))&amp;"","DOP")="USD",T4835,S4835))</f>
        <v/>
      </c>
      <c r="AH4835" s="53">
        <f>IF(P4835="","",IF(AND(AD4835&lt;&gt;"",COUNTIFS(tcTipo,AD4835,tcLiq,"Sí")&gt;0),IF(OR(P4835="Gasto",P4835="Transferencia",P4835="Pago tarjeta"),-1,1)*S4835,0)+IF(AND(AE4835&lt;&gt;"",COUNTIFS(tcTipo,AE4835,tcLiq,"Sí")&gt;0),S4835,0))</f>
        <v/>
      </c>
      <c r="AI4835" s="52">
        <f>IF(OR(L4835="",P4835=""),"",IF(COUNTIFS(L$6:L4835,L4835,P$6:P4835,"?*")=1,MAX(AI$5:AI4834)+1,""))</f>
        <v/>
      </c>
    </row>
    <row r="4836">
      <c r="B4836" s="47" t="n"/>
      <c r="C4836" s="48" t="n"/>
      <c r="D4836" s="48" t="n"/>
      <c r="E4836" s="48" t="n"/>
      <c r="F4836" s="48" t="n"/>
      <c r="G4836" s="49" t="n"/>
      <c r="H4836" s="48" t="n"/>
      <c r="I4836" s="50" t="n"/>
      <c r="J4836" s="48" t="n"/>
      <c r="K4836" s="48" t="n"/>
      <c r="L4836" s="48" t="n"/>
      <c r="M4836" s="48" t="n"/>
      <c r="N4836" s="48" t="n"/>
      <c r="O4836" s="51">
        <f>IF(AND(B4836="",G4836="",C4836="",D4836="",J4836=""),"",IF(B4836="","⚠ Falta fecha",IF(G4836="","⚠ Falta monto",IF(Q4836="","⚠ Falta cuenta",IF(ISNA(MATCH(Q4836,ctaNombre,0)),"⚠ Cuenta no registrada",IF(AND(OR(P4836="Gasto",P4836="Reembolso"),D4836=""),"⚠ Falta categoría",IF(AND(D4836&lt;&gt;"",E4836&lt;&gt;"",ISNA(MATCH(D4836&amp;"|"&amp;E4836,catClave,0))),"⚠ Subcategoría no corresponde",IF(AND(OR(P4836="Transferencia",P4836="Pago tarjeta"),K4836=""),"⚠ Falta cuenta destino",IF(AND(K4836&lt;&gt;"",P4836&lt;&gt;"Transferencia",P4836&lt;&gt;"Pago tarjeta"),"⚠ Destino solo aplica a transferencias",IF(AND(K4836&lt;&gt;"",K4836=Q4836),"⚠ Origen igual a destino",IF(AND(K4836&lt;&gt;"",ISNA(MATCH(K4836,ctaNombre,0))),"⚠ Destino no registrado",IF(AND(P4836="Pago tarjeta",AE4836&lt;&gt;"Tarjeta de crédito"),"⚠ El destino debe ser tarjeta de crédito",IF(AND(P4836="Gasto",E4836="Depósitos y retiros"),"⚠ Usa tipo Transferencia",IF(AND(P4836="Resultado trading",AD4836&lt;&gt;"Cuenta de trading"),"⚠ Usa una cuenta de trading",IF(AND(G4836&lt;=0,P4836&lt;&gt;"Ajuste",P4836&lt;&gt;"Resultado trading"),"⚠ El monto debe ser positivo","✓")))))))))))))))</f>
        <v/>
      </c>
      <c r="P4836" s="52">
        <f>IF(OR(B4836="",G4836=""),"",IF(C4836="","Gasto",C4836))</f>
        <v/>
      </c>
      <c r="Q4836" s="52">
        <f>IF(P4836="","",IF(J4836&lt;&gt;"",J4836,CuentaPred&amp;""))</f>
        <v/>
      </c>
      <c r="R4836" s="52">
        <f>IF(P4836="","",IF(ISNUMBER(I4836),I4836,TasaUSD))</f>
        <v/>
      </c>
      <c r="S4836" s="53">
        <f>IF(P4836="","",IF(H4836="USD",G4836*R4836,G4836))</f>
        <v/>
      </c>
      <c r="T4836" s="53">
        <f>IF(P4836="","",IF(H4836="USD",G4836,IF(R4836&gt;0,G4836/R4836,0)))</f>
        <v/>
      </c>
      <c r="U4836" s="53">
        <f>IF(P4836="","",IF(P4836="Gasto",S4836,IF(P4836="Reembolso",-S4836,0)))</f>
        <v/>
      </c>
      <c r="V4836" s="53">
        <f>IF(P4836="","",IF(P4836="Ingreso",S4836,0))</f>
        <v/>
      </c>
      <c r="W4836" s="53">
        <f>IF(P4836="","",IF(P4836="Resultado trading",S4836,0))</f>
        <v/>
      </c>
      <c r="X4836" s="52">
        <f>IF(OR(P4836="Gasto",P4836="Reembolso"),IF(M4836&lt;&gt;"",M4836,IFERROR(INDEX(catClasif,MATCH(D4836&amp;"|"&amp;E4836,catClave,0))&amp;"","Variable")),"")</f>
        <v/>
      </c>
      <c r="Y4836" s="52">
        <f>IF(P4836="","",IFERROR(INDEX(catGrupo,MATCH(D4836&amp;"|"&amp;E4836,catClave,0))&amp;"",""))</f>
        <v/>
      </c>
      <c r="Z4836" s="52">
        <f>IF(P4836="","",WEEKDAY(B4836,2))</f>
        <v/>
      </c>
      <c r="AA4836" s="52">
        <f>IF(P4836="","",IF(AND(P4836="Gasto",X4836="Variable",D4836&lt;&gt;catTrading,S4836&gt;0,S4836&lt;=Umbral),1,0))</f>
        <v/>
      </c>
      <c r="AB4836" s="52">
        <f>IF(OR(P4836="",Q4836=""),"",IFERROR(IF(INDEX(ctaVinc,MATCH(Q4836,ctaNombre,0))&amp;""&lt;&gt;"",INDEX(ctaVinc,MATCH(Q4836,ctaNombre,0))&amp;"",Q4836),Q4836))</f>
        <v/>
      </c>
      <c r="AC4836" s="52">
        <f>IF(OR(K4836="",AND(P4836&lt;&gt;"Transferencia",P4836&lt;&gt;"Pago tarjeta")),"",IFERROR(IF(INDEX(ctaVinc,MATCH(K4836,ctaNombre,0))&amp;""&lt;&gt;"",INDEX(ctaVinc,MATCH(K4836,ctaNombre,0))&amp;"",K4836),K4836))</f>
        <v/>
      </c>
      <c r="AD4836" s="52">
        <f>IF(AB4836="","",IFERROR(INDEX(ctaTipo,MATCH(AB4836,ctaNombre,0))&amp;"",""))</f>
        <v/>
      </c>
      <c r="AE4836" s="52">
        <f>IF(AC4836="","",IFERROR(INDEX(ctaTipo,MATCH(AC4836,ctaNombre,0))&amp;"",""))</f>
        <v/>
      </c>
      <c r="AF4836" s="53">
        <f>IF(OR(P4836="",AB4836=""),"",IF(OR(P4836="Gasto",P4836="Transferencia",P4836="Pago tarjeta"),-1,1)*IF(IFERROR(INDEX(ctaMoneda,MATCH(AB4836,ctaNombre,0))&amp;"","DOP")="USD",T4836,S4836))</f>
        <v/>
      </c>
      <c r="AG4836" s="53">
        <f>IF(AC4836="","",IF(IFERROR(INDEX(ctaMoneda,MATCH(AC4836,ctaNombre,0))&amp;"","DOP")="USD",T4836,S4836))</f>
        <v/>
      </c>
      <c r="AH4836" s="53">
        <f>IF(P4836="","",IF(AND(AD4836&lt;&gt;"",COUNTIFS(tcTipo,AD4836,tcLiq,"Sí")&gt;0),IF(OR(P4836="Gasto",P4836="Transferencia",P4836="Pago tarjeta"),-1,1)*S4836,0)+IF(AND(AE4836&lt;&gt;"",COUNTIFS(tcTipo,AE4836,tcLiq,"Sí")&gt;0),S4836,0))</f>
        <v/>
      </c>
      <c r="AI4836" s="52">
        <f>IF(OR(L4836="",P4836=""),"",IF(COUNTIFS(L$6:L4836,L4836,P$6:P4836,"?*")=1,MAX(AI$5:AI4835)+1,""))</f>
        <v/>
      </c>
    </row>
    <row r="4837">
      <c r="B4837" s="47" t="n"/>
      <c r="C4837" s="48" t="n"/>
      <c r="D4837" s="48" t="n"/>
      <c r="E4837" s="48" t="n"/>
      <c r="F4837" s="48" t="n"/>
      <c r="G4837" s="49" t="n"/>
      <c r="H4837" s="48" t="n"/>
      <c r="I4837" s="50" t="n"/>
      <c r="J4837" s="48" t="n"/>
      <c r="K4837" s="48" t="n"/>
      <c r="L4837" s="48" t="n"/>
      <c r="M4837" s="48" t="n"/>
      <c r="N4837" s="48" t="n"/>
      <c r="O4837" s="51">
        <f>IF(AND(B4837="",G4837="",C4837="",D4837="",J4837=""),"",IF(B4837="","⚠ Falta fecha",IF(G4837="","⚠ Falta monto",IF(Q4837="","⚠ Falta cuenta",IF(ISNA(MATCH(Q4837,ctaNombre,0)),"⚠ Cuenta no registrada",IF(AND(OR(P4837="Gasto",P4837="Reembolso"),D4837=""),"⚠ Falta categoría",IF(AND(D4837&lt;&gt;"",E4837&lt;&gt;"",ISNA(MATCH(D4837&amp;"|"&amp;E4837,catClave,0))),"⚠ Subcategoría no corresponde",IF(AND(OR(P4837="Transferencia",P4837="Pago tarjeta"),K4837=""),"⚠ Falta cuenta destino",IF(AND(K4837&lt;&gt;"",P4837&lt;&gt;"Transferencia",P4837&lt;&gt;"Pago tarjeta"),"⚠ Destino solo aplica a transferencias",IF(AND(K4837&lt;&gt;"",K4837=Q4837),"⚠ Origen igual a destino",IF(AND(K4837&lt;&gt;"",ISNA(MATCH(K4837,ctaNombre,0))),"⚠ Destino no registrado",IF(AND(P4837="Pago tarjeta",AE4837&lt;&gt;"Tarjeta de crédito"),"⚠ El destino debe ser tarjeta de crédito",IF(AND(P4837="Gasto",E4837="Depósitos y retiros"),"⚠ Usa tipo Transferencia",IF(AND(P4837="Resultado trading",AD4837&lt;&gt;"Cuenta de trading"),"⚠ Usa una cuenta de trading",IF(AND(G4837&lt;=0,P4837&lt;&gt;"Ajuste",P4837&lt;&gt;"Resultado trading"),"⚠ El monto debe ser positivo","✓")))))))))))))))</f>
        <v/>
      </c>
      <c r="P4837" s="52">
        <f>IF(OR(B4837="",G4837=""),"",IF(C4837="","Gasto",C4837))</f>
        <v/>
      </c>
      <c r="Q4837" s="52">
        <f>IF(P4837="","",IF(J4837&lt;&gt;"",J4837,CuentaPred&amp;""))</f>
        <v/>
      </c>
      <c r="R4837" s="52">
        <f>IF(P4837="","",IF(ISNUMBER(I4837),I4837,TasaUSD))</f>
        <v/>
      </c>
      <c r="S4837" s="53">
        <f>IF(P4837="","",IF(H4837="USD",G4837*R4837,G4837))</f>
        <v/>
      </c>
      <c r="T4837" s="53">
        <f>IF(P4837="","",IF(H4837="USD",G4837,IF(R4837&gt;0,G4837/R4837,0)))</f>
        <v/>
      </c>
      <c r="U4837" s="53">
        <f>IF(P4837="","",IF(P4837="Gasto",S4837,IF(P4837="Reembolso",-S4837,0)))</f>
        <v/>
      </c>
      <c r="V4837" s="53">
        <f>IF(P4837="","",IF(P4837="Ingreso",S4837,0))</f>
        <v/>
      </c>
      <c r="W4837" s="53">
        <f>IF(P4837="","",IF(P4837="Resultado trading",S4837,0))</f>
        <v/>
      </c>
      <c r="X4837" s="52">
        <f>IF(OR(P4837="Gasto",P4837="Reembolso"),IF(M4837&lt;&gt;"",M4837,IFERROR(INDEX(catClasif,MATCH(D4837&amp;"|"&amp;E4837,catClave,0))&amp;"","Variable")),"")</f>
        <v/>
      </c>
      <c r="Y4837" s="52">
        <f>IF(P4837="","",IFERROR(INDEX(catGrupo,MATCH(D4837&amp;"|"&amp;E4837,catClave,0))&amp;"",""))</f>
        <v/>
      </c>
      <c r="Z4837" s="52">
        <f>IF(P4837="","",WEEKDAY(B4837,2))</f>
        <v/>
      </c>
      <c r="AA4837" s="52">
        <f>IF(P4837="","",IF(AND(P4837="Gasto",X4837="Variable",D4837&lt;&gt;catTrading,S4837&gt;0,S4837&lt;=Umbral),1,0))</f>
        <v/>
      </c>
      <c r="AB4837" s="52">
        <f>IF(OR(P4837="",Q4837=""),"",IFERROR(IF(INDEX(ctaVinc,MATCH(Q4837,ctaNombre,0))&amp;""&lt;&gt;"",INDEX(ctaVinc,MATCH(Q4837,ctaNombre,0))&amp;"",Q4837),Q4837))</f>
        <v/>
      </c>
      <c r="AC4837" s="52">
        <f>IF(OR(K4837="",AND(P4837&lt;&gt;"Transferencia",P4837&lt;&gt;"Pago tarjeta")),"",IFERROR(IF(INDEX(ctaVinc,MATCH(K4837,ctaNombre,0))&amp;""&lt;&gt;"",INDEX(ctaVinc,MATCH(K4837,ctaNombre,0))&amp;"",K4837),K4837))</f>
        <v/>
      </c>
      <c r="AD4837" s="52">
        <f>IF(AB4837="","",IFERROR(INDEX(ctaTipo,MATCH(AB4837,ctaNombre,0))&amp;"",""))</f>
        <v/>
      </c>
      <c r="AE4837" s="52">
        <f>IF(AC4837="","",IFERROR(INDEX(ctaTipo,MATCH(AC4837,ctaNombre,0))&amp;"",""))</f>
        <v/>
      </c>
      <c r="AF4837" s="53">
        <f>IF(OR(P4837="",AB4837=""),"",IF(OR(P4837="Gasto",P4837="Transferencia",P4837="Pago tarjeta"),-1,1)*IF(IFERROR(INDEX(ctaMoneda,MATCH(AB4837,ctaNombre,0))&amp;"","DOP")="USD",T4837,S4837))</f>
        <v/>
      </c>
      <c r="AG4837" s="53">
        <f>IF(AC4837="","",IF(IFERROR(INDEX(ctaMoneda,MATCH(AC4837,ctaNombre,0))&amp;"","DOP")="USD",T4837,S4837))</f>
        <v/>
      </c>
      <c r="AH4837" s="53">
        <f>IF(P4837="","",IF(AND(AD4837&lt;&gt;"",COUNTIFS(tcTipo,AD4837,tcLiq,"Sí")&gt;0),IF(OR(P4837="Gasto",P4837="Transferencia",P4837="Pago tarjeta"),-1,1)*S4837,0)+IF(AND(AE4837&lt;&gt;"",COUNTIFS(tcTipo,AE4837,tcLiq,"Sí")&gt;0),S4837,0))</f>
        <v/>
      </c>
      <c r="AI4837" s="52">
        <f>IF(OR(L4837="",P4837=""),"",IF(COUNTIFS(L$6:L4837,L4837,P$6:P4837,"?*")=1,MAX(AI$5:AI4836)+1,""))</f>
        <v/>
      </c>
    </row>
    <row r="4838">
      <c r="B4838" s="47" t="n"/>
      <c r="C4838" s="48" t="n"/>
      <c r="D4838" s="48" t="n"/>
      <c r="E4838" s="48" t="n"/>
      <c r="F4838" s="48" t="n"/>
      <c r="G4838" s="49" t="n"/>
      <c r="H4838" s="48" t="n"/>
      <c r="I4838" s="50" t="n"/>
      <c r="J4838" s="48" t="n"/>
      <c r="K4838" s="48" t="n"/>
      <c r="L4838" s="48" t="n"/>
      <c r="M4838" s="48" t="n"/>
      <c r="N4838" s="48" t="n"/>
      <c r="O4838" s="51">
        <f>IF(AND(B4838="",G4838="",C4838="",D4838="",J4838=""),"",IF(B4838="","⚠ Falta fecha",IF(G4838="","⚠ Falta monto",IF(Q4838="","⚠ Falta cuenta",IF(ISNA(MATCH(Q4838,ctaNombre,0)),"⚠ Cuenta no registrada",IF(AND(OR(P4838="Gasto",P4838="Reembolso"),D4838=""),"⚠ Falta categoría",IF(AND(D4838&lt;&gt;"",E4838&lt;&gt;"",ISNA(MATCH(D4838&amp;"|"&amp;E4838,catClave,0))),"⚠ Subcategoría no corresponde",IF(AND(OR(P4838="Transferencia",P4838="Pago tarjeta"),K4838=""),"⚠ Falta cuenta destino",IF(AND(K4838&lt;&gt;"",P4838&lt;&gt;"Transferencia",P4838&lt;&gt;"Pago tarjeta"),"⚠ Destino solo aplica a transferencias",IF(AND(K4838&lt;&gt;"",K4838=Q4838),"⚠ Origen igual a destino",IF(AND(K4838&lt;&gt;"",ISNA(MATCH(K4838,ctaNombre,0))),"⚠ Destino no registrado",IF(AND(P4838="Pago tarjeta",AE4838&lt;&gt;"Tarjeta de crédito"),"⚠ El destino debe ser tarjeta de crédito",IF(AND(P4838="Gasto",E4838="Depósitos y retiros"),"⚠ Usa tipo Transferencia",IF(AND(P4838="Resultado trading",AD4838&lt;&gt;"Cuenta de trading"),"⚠ Usa una cuenta de trading",IF(AND(G4838&lt;=0,P4838&lt;&gt;"Ajuste",P4838&lt;&gt;"Resultado trading"),"⚠ El monto debe ser positivo","✓")))))))))))))))</f>
        <v/>
      </c>
      <c r="P4838" s="52">
        <f>IF(OR(B4838="",G4838=""),"",IF(C4838="","Gasto",C4838))</f>
        <v/>
      </c>
      <c r="Q4838" s="52">
        <f>IF(P4838="","",IF(J4838&lt;&gt;"",J4838,CuentaPred&amp;""))</f>
        <v/>
      </c>
      <c r="R4838" s="52">
        <f>IF(P4838="","",IF(ISNUMBER(I4838),I4838,TasaUSD))</f>
        <v/>
      </c>
      <c r="S4838" s="53">
        <f>IF(P4838="","",IF(H4838="USD",G4838*R4838,G4838))</f>
        <v/>
      </c>
      <c r="T4838" s="53">
        <f>IF(P4838="","",IF(H4838="USD",G4838,IF(R4838&gt;0,G4838/R4838,0)))</f>
        <v/>
      </c>
      <c r="U4838" s="53">
        <f>IF(P4838="","",IF(P4838="Gasto",S4838,IF(P4838="Reembolso",-S4838,0)))</f>
        <v/>
      </c>
      <c r="V4838" s="53">
        <f>IF(P4838="","",IF(P4838="Ingreso",S4838,0))</f>
        <v/>
      </c>
      <c r="W4838" s="53">
        <f>IF(P4838="","",IF(P4838="Resultado trading",S4838,0))</f>
        <v/>
      </c>
      <c r="X4838" s="52">
        <f>IF(OR(P4838="Gasto",P4838="Reembolso"),IF(M4838&lt;&gt;"",M4838,IFERROR(INDEX(catClasif,MATCH(D4838&amp;"|"&amp;E4838,catClave,0))&amp;"","Variable")),"")</f>
        <v/>
      </c>
      <c r="Y4838" s="52">
        <f>IF(P4838="","",IFERROR(INDEX(catGrupo,MATCH(D4838&amp;"|"&amp;E4838,catClave,0))&amp;"",""))</f>
        <v/>
      </c>
      <c r="Z4838" s="52">
        <f>IF(P4838="","",WEEKDAY(B4838,2))</f>
        <v/>
      </c>
      <c r="AA4838" s="52">
        <f>IF(P4838="","",IF(AND(P4838="Gasto",X4838="Variable",D4838&lt;&gt;catTrading,S4838&gt;0,S4838&lt;=Umbral),1,0))</f>
        <v/>
      </c>
      <c r="AB4838" s="52">
        <f>IF(OR(P4838="",Q4838=""),"",IFERROR(IF(INDEX(ctaVinc,MATCH(Q4838,ctaNombre,0))&amp;""&lt;&gt;"",INDEX(ctaVinc,MATCH(Q4838,ctaNombre,0))&amp;"",Q4838),Q4838))</f>
        <v/>
      </c>
      <c r="AC4838" s="52">
        <f>IF(OR(K4838="",AND(P4838&lt;&gt;"Transferencia",P4838&lt;&gt;"Pago tarjeta")),"",IFERROR(IF(INDEX(ctaVinc,MATCH(K4838,ctaNombre,0))&amp;""&lt;&gt;"",INDEX(ctaVinc,MATCH(K4838,ctaNombre,0))&amp;"",K4838),K4838))</f>
        <v/>
      </c>
      <c r="AD4838" s="52">
        <f>IF(AB4838="","",IFERROR(INDEX(ctaTipo,MATCH(AB4838,ctaNombre,0))&amp;"",""))</f>
        <v/>
      </c>
      <c r="AE4838" s="52">
        <f>IF(AC4838="","",IFERROR(INDEX(ctaTipo,MATCH(AC4838,ctaNombre,0))&amp;"",""))</f>
        <v/>
      </c>
      <c r="AF4838" s="53">
        <f>IF(OR(P4838="",AB4838=""),"",IF(OR(P4838="Gasto",P4838="Transferencia",P4838="Pago tarjeta"),-1,1)*IF(IFERROR(INDEX(ctaMoneda,MATCH(AB4838,ctaNombre,0))&amp;"","DOP")="USD",T4838,S4838))</f>
        <v/>
      </c>
      <c r="AG4838" s="53">
        <f>IF(AC4838="","",IF(IFERROR(INDEX(ctaMoneda,MATCH(AC4838,ctaNombre,0))&amp;"","DOP")="USD",T4838,S4838))</f>
        <v/>
      </c>
      <c r="AH4838" s="53">
        <f>IF(P4838="","",IF(AND(AD4838&lt;&gt;"",COUNTIFS(tcTipo,AD4838,tcLiq,"Sí")&gt;0),IF(OR(P4838="Gasto",P4838="Transferencia",P4838="Pago tarjeta"),-1,1)*S4838,0)+IF(AND(AE4838&lt;&gt;"",COUNTIFS(tcTipo,AE4838,tcLiq,"Sí")&gt;0),S4838,0))</f>
        <v/>
      </c>
      <c r="AI4838" s="52">
        <f>IF(OR(L4838="",P4838=""),"",IF(COUNTIFS(L$6:L4838,L4838,P$6:P4838,"?*")=1,MAX(AI$5:AI4837)+1,""))</f>
        <v/>
      </c>
    </row>
    <row r="4839">
      <c r="B4839" s="47" t="n"/>
      <c r="C4839" s="48" t="n"/>
      <c r="D4839" s="48" t="n"/>
      <c r="E4839" s="48" t="n"/>
      <c r="F4839" s="48" t="n"/>
      <c r="G4839" s="49" t="n"/>
      <c r="H4839" s="48" t="n"/>
      <c r="I4839" s="50" t="n"/>
      <c r="J4839" s="48" t="n"/>
      <c r="K4839" s="48" t="n"/>
      <c r="L4839" s="48" t="n"/>
      <c r="M4839" s="48" t="n"/>
      <c r="N4839" s="48" t="n"/>
      <c r="O4839" s="51">
        <f>IF(AND(B4839="",G4839="",C4839="",D4839="",J4839=""),"",IF(B4839="","⚠ Falta fecha",IF(G4839="","⚠ Falta monto",IF(Q4839="","⚠ Falta cuenta",IF(ISNA(MATCH(Q4839,ctaNombre,0)),"⚠ Cuenta no registrada",IF(AND(OR(P4839="Gasto",P4839="Reembolso"),D4839=""),"⚠ Falta categoría",IF(AND(D4839&lt;&gt;"",E4839&lt;&gt;"",ISNA(MATCH(D4839&amp;"|"&amp;E4839,catClave,0))),"⚠ Subcategoría no corresponde",IF(AND(OR(P4839="Transferencia",P4839="Pago tarjeta"),K4839=""),"⚠ Falta cuenta destino",IF(AND(K4839&lt;&gt;"",P4839&lt;&gt;"Transferencia",P4839&lt;&gt;"Pago tarjeta"),"⚠ Destino solo aplica a transferencias",IF(AND(K4839&lt;&gt;"",K4839=Q4839),"⚠ Origen igual a destino",IF(AND(K4839&lt;&gt;"",ISNA(MATCH(K4839,ctaNombre,0))),"⚠ Destino no registrado",IF(AND(P4839="Pago tarjeta",AE4839&lt;&gt;"Tarjeta de crédito"),"⚠ El destino debe ser tarjeta de crédito",IF(AND(P4839="Gasto",E4839="Depósitos y retiros"),"⚠ Usa tipo Transferencia",IF(AND(P4839="Resultado trading",AD4839&lt;&gt;"Cuenta de trading"),"⚠ Usa una cuenta de trading",IF(AND(G4839&lt;=0,P4839&lt;&gt;"Ajuste",P4839&lt;&gt;"Resultado trading"),"⚠ El monto debe ser positivo","✓")))))))))))))))</f>
        <v/>
      </c>
      <c r="P4839" s="52">
        <f>IF(OR(B4839="",G4839=""),"",IF(C4839="","Gasto",C4839))</f>
        <v/>
      </c>
      <c r="Q4839" s="52">
        <f>IF(P4839="","",IF(J4839&lt;&gt;"",J4839,CuentaPred&amp;""))</f>
        <v/>
      </c>
      <c r="R4839" s="52">
        <f>IF(P4839="","",IF(ISNUMBER(I4839),I4839,TasaUSD))</f>
        <v/>
      </c>
      <c r="S4839" s="53">
        <f>IF(P4839="","",IF(H4839="USD",G4839*R4839,G4839))</f>
        <v/>
      </c>
      <c r="T4839" s="53">
        <f>IF(P4839="","",IF(H4839="USD",G4839,IF(R4839&gt;0,G4839/R4839,0)))</f>
        <v/>
      </c>
      <c r="U4839" s="53">
        <f>IF(P4839="","",IF(P4839="Gasto",S4839,IF(P4839="Reembolso",-S4839,0)))</f>
        <v/>
      </c>
      <c r="V4839" s="53">
        <f>IF(P4839="","",IF(P4839="Ingreso",S4839,0))</f>
        <v/>
      </c>
      <c r="W4839" s="53">
        <f>IF(P4839="","",IF(P4839="Resultado trading",S4839,0))</f>
        <v/>
      </c>
      <c r="X4839" s="52">
        <f>IF(OR(P4839="Gasto",P4839="Reembolso"),IF(M4839&lt;&gt;"",M4839,IFERROR(INDEX(catClasif,MATCH(D4839&amp;"|"&amp;E4839,catClave,0))&amp;"","Variable")),"")</f>
        <v/>
      </c>
      <c r="Y4839" s="52">
        <f>IF(P4839="","",IFERROR(INDEX(catGrupo,MATCH(D4839&amp;"|"&amp;E4839,catClave,0))&amp;"",""))</f>
        <v/>
      </c>
      <c r="Z4839" s="52">
        <f>IF(P4839="","",WEEKDAY(B4839,2))</f>
        <v/>
      </c>
      <c r="AA4839" s="52">
        <f>IF(P4839="","",IF(AND(P4839="Gasto",X4839="Variable",D4839&lt;&gt;catTrading,S4839&gt;0,S4839&lt;=Umbral),1,0))</f>
        <v/>
      </c>
      <c r="AB4839" s="52">
        <f>IF(OR(P4839="",Q4839=""),"",IFERROR(IF(INDEX(ctaVinc,MATCH(Q4839,ctaNombre,0))&amp;""&lt;&gt;"",INDEX(ctaVinc,MATCH(Q4839,ctaNombre,0))&amp;"",Q4839),Q4839))</f>
        <v/>
      </c>
      <c r="AC4839" s="52">
        <f>IF(OR(K4839="",AND(P4839&lt;&gt;"Transferencia",P4839&lt;&gt;"Pago tarjeta")),"",IFERROR(IF(INDEX(ctaVinc,MATCH(K4839,ctaNombre,0))&amp;""&lt;&gt;"",INDEX(ctaVinc,MATCH(K4839,ctaNombre,0))&amp;"",K4839),K4839))</f>
        <v/>
      </c>
      <c r="AD4839" s="52">
        <f>IF(AB4839="","",IFERROR(INDEX(ctaTipo,MATCH(AB4839,ctaNombre,0))&amp;"",""))</f>
        <v/>
      </c>
      <c r="AE4839" s="52">
        <f>IF(AC4839="","",IFERROR(INDEX(ctaTipo,MATCH(AC4839,ctaNombre,0))&amp;"",""))</f>
        <v/>
      </c>
      <c r="AF4839" s="53">
        <f>IF(OR(P4839="",AB4839=""),"",IF(OR(P4839="Gasto",P4839="Transferencia",P4839="Pago tarjeta"),-1,1)*IF(IFERROR(INDEX(ctaMoneda,MATCH(AB4839,ctaNombre,0))&amp;"","DOP")="USD",T4839,S4839))</f>
        <v/>
      </c>
      <c r="AG4839" s="53">
        <f>IF(AC4839="","",IF(IFERROR(INDEX(ctaMoneda,MATCH(AC4839,ctaNombre,0))&amp;"","DOP")="USD",T4839,S4839))</f>
        <v/>
      </c>
      <c r="AH4839" s="53">
        <f>IF(P4839="","",IF(AND(AD4839&lt;&gt;"",COUNTIFS(tcTipo,AD4839,tcLiq,"Sí")&gt;0),IF(OR(P4839="Gasto",P4839="Transferencia",P4839="Pago tarjeta"),-1,1)*S4839,0)+IF(AND(AE4839&lt;&gt;"",COUNTIFS(tcTipo,AE4839,tcLiq,"Sí")&gt;0),S4839,0))</f>
        <v/>
      </c>
      <c r="AI4839" s="52">
        <f>IF(OR(L4839="",P4839=""),"",IF(COUNTIFS(L$6:L4839,L4839,P$6:P4839,"?*")=1,MAX(AI$5:AI4838)+1,""))</f>
        <v/>
      </c>
    </row>
    <row r="4840">
      <c r="B4840" s="47" t="n"/>
      <c r="C4840" s="48" t="n"/>
      <c r="D4840" s="48" t="n"/>
      <c r="E4840" s="48" t="n"/>
      <c r="F4840" s="48" t="n"/>
      <c r="G4840" s="49" t="n"/>
      <c r="H4840" s="48" t="n"/>
      <c r="I4840" s="50" t="n"/>
      <c r="J4840" s="48" t="n"/>
      <c r="K4840" s="48" t="n"/>
      <c r="L4840" s="48" t="n"/>
      <c r="M4840" s="48" t="n"/>
      <c r="N4840" s="48" t="n"/>
      <c r="O4840" s="51">
        <f>IF(AND(B4840="",G4840="",C4840="",D4840="",J4840=""),"",IF(B4840="","⚠ Falta fecha",IF(G4840="","⚠ Falta monto",IF(Q4840="","⚠ Falta cuenta",IF(ISNA(MATCH(Q4840,ctaNombre,0)),"⚠ Cuenta no registrada",IF(AND(OR(P4840="Gasto",P4840="Reembolso"),D4840=""),"⚠ Falta categoría",IF(AND(D4840&lt;&gt;"",E4840&lt;&gt;"",ISNA(MATCH(D4840&amp;"|"&amp;E4840,catClave,0))),"⚠ Subcategoría no corresponde",IF(AND(OR(P4840="Transferencia",P4840="Pago tarjeta"),K4840=""),"⚠ Falta cuenta destino",IF(AND(K4840&lt;&gt;"",P4840&lt;&gt;"Transferencia",P4840&lt;&gt;"Pago tarjeta"),"⚠ Destino solo aplica a transferencias",IF(AND(K4840&lt;&gt;"",K4840=Q4840),"⚠ Origen igual a destino",IF(AND(K4840&lt;&gt;"",ISNA(MATCH(K4840,ctaNombre,0))),"⚠ Destino no registrado",IF(AND(P4840="Pago tarjeta",AE4840&lt;&gt;"Tarjeta de crédito"),"⚠ El destino debe ser tarjeta de crédito",IF(AND(P4840="Gasto",E4840="Depósitos y retiros"),"⚠ Usa tipo Transferencia",IF(AND(P4840="Resultado trading",AD4840&lt;&gt;"Cuenta de trading"),"⚠ Usa una cuenta de trading",IF(AND(G4840&lt;=0,P4840&lt;&gt;"Ajuste",P4840&lt;&gt;"Resultado trading"),"⚠ El monto debe ser positivo","✓")))))))))))))))</f>
        <v/>
      </c>
      <c r="P4840" s="52">
        <f>IF(OR(B4840="",G4840=""),"",IF(C4840="","Gasto",C4840))</f>
        <v/>
      </c>
      <c r="Q4840" s="52">
        <f>IF(P4840="","",IF(J4840&lt;&gt;"",J4840,CuentaPred&amp;""))</f>
        <v/>
      </c>
      <c r="R4840" s="52">
        <f>IF(P4840="","",IF(ISNUMBER(I4840),I4840,TasaUSD))</f>
        <v/>
      </c>
      <c r="S4840" s="53">
        <f>IF(P4840="","",IF(H4840="USD",G4840*R4840,G4840))</f>
        <v/>
      </c>
      <c r="T4840" s="53">
        <f>IF(P4840="","",IF(H4840="USD",G4840,IF(R4840&gt;0,G4840/R4840,0)))</f>
        <v/>
      </c>
      <c r="U4840" s="53">
        <f>IF(P4840="","",IF(P4840="Gasto",S4840,IF(P4840="Reembolso",-S4840,0)))</f>
        <v/>
      </c>
      <c r="V4840" s="53">
        <f>IF(P4840="","",IF(P4840="Ingreso",S4840,0))</f>
        <v/>
      </c>
      <c r="W4840" s="53">
        <f>IF(P4840="","",IF(P4840="Resultado trading",S4840,0))</f>
        <v/>
      </c>
      <c r="X4840" s="52">
        <f>IF(OR(P4840="Gasto",P4840="Reembolso"),IF(M4840&lt;&gt;"",M4840,IFERROR(INDEX(catClasif,MATCH(D4840&amp;"|"&amp;E4840,catClave,0))&amp;"","Variable")),"")</f>
        <v/>
      </c>
      <c r="Y4840" s="52">
        <f>IF(P4840="","",IFERROR(INDEX(catGrupo,MATCH(D4840&amp;"|"&amp;E4840,catClave,0))&amp;"",""))</f>
        <v/>
      </c>
      <c r="Z4840" s="52">
        <f>IF(P4840="","",WEEKDAY(B4840,2))</f>
        <v/>
      </c>
      <c r="AA4840" s="52">
        <f>IF(P4840="","",IF(AND(P4840="Gasto",X4840="Variable",D4840&lt;&gt;catTrading,S4840&gt;0,S4840&lt;=Umbral),1,0))</f>
        <v/>
      </c>
      <c r="AB4840" s="52">
        <f>IF(OR(P4840="",Q4840=""),"",IFERROR(IF(INDEX(ctaVinc,MATCH(Q4840,ctaNombre,0))&amp;""&lt;&gt;"",INDEX(ctaVinc,MATCH(Q4840,ctaNombre,0))&amp;"",Q4840),Q4840))</f>
        <v/>
      </c>
      <c r="AC4840" s="52">
        <f>IF(OR(K4840="",AND(P4840&lt;&gt;"Transferencia",P4840&lt;&gt;"Pago tarjeta")),"",IFERROR(IF(INDEX(ctaVinc,MATCH(K4840,ctaNombre,0))&amp;""&lt;&gt;"",INDEX(ctaVinc,MATCH(K4840,ctaNombre,0))&amp;"",K4840),K4840))</f>
        <v/>
      </c>
      <c r="AD4840" s="52">
        <f>IF(AB4840="","",IFERROR(INDEX(ctaTipo,MATCH(AB4840,ctaNombre,0))&amp;"",""))</f>
        <v/>
      </c>
      <c r="AE4840" s="52">
        <f>IF(AC4840="","",IFERROR(INDEX(ctaTipo,MATCH(AC4840,ctaNombre,0))&amp;"",""))</f>
        <v/>
      </c>
      <c r="AF4840" s="53">
        <f>IF(OR(P4840="",AB4840=""),"",IF(OR(P4840="Gasto",P4840="Transferencia",P4840="Pago tarjeta"),-1,1)*IF(IFERROR(INDEX(ctaMoneda,MATCH(AB4840,ctaNombre,0))&amp;"","DOP")="USD",T4840,S4840))</f>
        <v/>
      </c>
      <c r="AG4840" s="53">
        <f>IF(AC4840="","",IF(IFERROR(INDEX(ctaMoneda,MATCH(AC4840,ctaNombre,0))&amp;"","DOP")="USD",T4840,S4840))</f>
        <v/>
      </c>
      <c r="AH4840" s="53">
        <f>IF(P4840="","",IF(AND(AD4840&lt;&gt;"",COUNTIFS(tcTipo,AD4840,tcLiq,"Sí")&gt;0),IF(OR(P4840="Gasto",P4840="Transferencia",P4840="Pago tarjeta"),-1,1)*S4840,0)+IF(AND(AE4840&lt;&gt;"",COUNTIFS(tcTipo,AE4840,tcLiq,"Sí")&gt;0),S4840,0))</f>
        <v/>
      </c>
      <c r="AI4840" s="52">
        <f>IF(OR(L4840="",P4840=""),"",IF(COUNTIFS(L$6:L4840,L4840,P$6:P4840,"?*")=1,MAX(AI$5:AI4839)+1,""))</f>
        <v/>
      </c>
    </row>
    <row r="4841">
      <c r="B4841" s="47" t="n"/>
      <c r="C4841" s="48" t="n"/>
      <c r="D4841" s="48" t="n"/>
      <c r="E4841" s="48" t="n"/>
      <c r="F4841" s="48" t="n"/>
      <c r="G4841" s="49" t="n"/>
      <c r="H4841" s="48" t="n"/>
      <c r="I4841" s="50" t="n"/>
      <c r="J4841" s="48" t="n"/>
      <c r="K4841" s="48" t="n"/>
      <c r="L4841" s="48" t="n"/>
      <c r="M4841" s="48" t="n"/>
      <c r="N4841" s="48" t="n"/>
      <c r="O4841" s="51">
        <f>IF(AND(B4841="",G4841="",C4841="",D4841="",J4841=""),"",IF(B4841="","⚠ Falta fecha",IF(G4841="","⚠ Falta monto",IF(Q4841="","⚠ Falta cuenta",IF(ISNA(MATCH(Q4841,ctaNombre,0)),"⚠ Cuenta no registrada",IF(AND(OR(P4841="Gasto",P4841="Reembolso"),D4841=""),"⚠ Falta categoría",IF(AND(D4841&lt;&gt;"",E4841&lt;&gt;"",ISNA(MATCH(D4841&amp;"|"&amp;E4841,catClave,0))),"⚠ Subcategoría no corresponde",IF(AND(OR(P4841="Transferencia",P4841="Pago tarjeta"),K4841=""),"⚠ Falta cuenta destino",IF(AND(K4841&lt;&gt;"",P4841&lt;&gt;"Transferencia",P4841&lt;&gt;"Pago tarjeta"),"⚠ Destino solo aplica a transferencias",IF(AND(K4841&lt;&gt;"",K4841=Q4841),"⚠ Origen igual a destino",IF(AND(K4841&lt;&gt;"",ISNA(MATCH(K4841,ctaNombre,0))),"⚠ Destino no registrado",IF(AND(P4841="Pago tarjeta",AE4841&lt;&gt;"Tarjeta de crédito"),"⚠ El destino debe ser tarjeta de crédito",IF(AND(P4841="Gasto",E4841="Depósitos y retiros"),"⚠ Usa tipo Transferencia",IF(AND(P4841="Resultado trading",AD4841&lt;&gt;"Cuenta de trading"),"⚠ Usa una cuenta de trading",IF(AND(G4841&lt;=0,P4841&lt;&gt;"Ajuste",P4841&lt;&gt;"Resultado trading"),"⚠ El monto debe ser positivo","✓")))))))))))))))</f>
        <v/>
      </c>
      <c r="P4841" s="52">
        <f>IF(OR(B4841="",G4841=""),"",IF(C4841="","Gasto",C4841))</f>
        <v/>
      </c>
      <c r="Q4841" s="52">
        <f>IF(P4841="","",IF(J4841&lt;&gt;"",J4841,CuentaPred&amp;""))</f>
        <v/>
      </c>
      <c r="R4841" s="52">
        <f>IF(P4841="","",IF(ISNUMBER(I4841),I4841,TasaUSD))</f>
        <v/>
      </c>
      <c r="S4841" s="53">
        <f>IF(P4841="","",IF(H4841="USD",G4841*R4841,G4841))</f>
        <v/>
      </c>
      <c r="T4841" s="53">
        <f>IF(P4841="","",IF(H4841="USD",G4841,IF(R4841&gt;0,G4841/R4841,0)))</f>
        <v/>
      </c>
      <c r="U4841" s="53">
        <f>IF(P4841="","",IF(P4841="Gasto",S4841,IF(P4841="Reembolso",-S4841,0)))</f>
        <v/>
      </c>
      <c r="V4841" s="53">
        <f>IF(P4841="","",IF(P4841="Ingreso",S4841,0))</f>
        <v/>
      </c>
      <c r="W4841" s="53">
        <f>IF(P4841="","",IF(P4841="Resultado trading",S4841,0))</f>
        <v/>
      </c>
      <c r="X4841" s="52">
        <f>IF(OR(P4841="Gasto",P4841="Reembolso"),IF(M4841&lt;&gt;"",M4841,IFERROR(INDEX(catClasif,MATCH(D4841&amp;"|"&amp;E4841,catClave,0))&amp;"","Variable")),"")</f>
        <v/>
      </c>
      <c r="Y4841" s="52">
        <f>IF(P4841="","",IFERROR(INDEX(catGrupo,MATCH(D4841&amp;"|"&amp;E4841,catClave,0))&amp;"",""))</f>
        <v/>
      </c>
      <c r="Z4841" s="52">
        <f>IF(P4841="","",WEEKDAY(B4841,2))</f>
        <v/>
      </c>
      <c r="AA4841" s="52">
        <f>IF(P4841="","",IF(AND(P4841="Gasto",X4841="Variable",D4841&lt;&gt;catTrading,S4841&gt;0,S4841&lt;=Umbral),1,0))</f>
        <v/>
      </c>
      <c r="AB4841" s="52">
        <f>IF(OR(P4841="",Q4841=""),"",IFERROR(IF(INDEX(ctaVinc,MATCH(Q4841,ctaNombre,0))&amp;""&lt;&gt;"",INDEX(ctaVinc,MATCH(Q4841,ctaNombre,0))&amp;"",Q4841),Q4841))</f>
        <v/>
      </c>
      <c r="AC4841" s="52">
        <f>IF(OR(K4841="",AND(P4841&lt;&gt;"Transferencia",P4841&lt;&gt;"Pago tarjeta")),"",IFERROR(IF(INDEX(ctaVinc,MATCH(K4841,ctaNombre,0))&amp;""&lt;&gt;"",INDEX(ctaVinc,MATCH(K4841,ctaNombre,0))&amp;"",K4841),K4841))</f>
        <v/>
      </c>
      <c r="AD4841" s="52">
        <f>IF(AB4841="","",IFERROR(INDEX(ctaTipo,MATCH(AB4841,ctaNombre,0))&amp;"",""))</f>
        <v/>
      </c>
      <c r="AE4841" s="52">
        <f>IF(AC4841="","",IFERROR(INDEX(ctaTipo,MATCH(AC4841,ctaNombre,0))&amp;"",""))</f>
        <v/>
      </c>
      <c r="AF4841" s="53">
        <f>IF(OR(P4841="",AB4841=""),"",IF(OR(P4841="Gasto",P4841="Transferencia",P4841="Pago tarjeta"),-1,1)*IF(IFERROR(INDEX(ctaMoneda,MATCH(AB4841,ctaNombre,0))&amp;"","DOP")="USD",T4841,S4841))</f>
        <v/>
      </c>
      <c r="AG4841" s="53">
        <f>IF(AC4841="","",IF(IFERROR(INDEX(ctaMoneda,MATCH(AC4841,ctaNombre,0))&amp;"","DOP")="USD",T4841,S4841))</f>
        <v/>
      </c>
      <c r="AH4841" s="53">
        <f>IF(P4841="","",IF(AND(AD4841&lt;&gt;"",COUNTIFS(tcTipo,AD4841,tcLiq,"Sí")&gt;0),IF(OR(P4841="Gasto",P4841="Transferencia",P4841="Pago tarjeta"),-1,1)*S4841,0)+IF(AND(AE4841&lt;&gt;"",COUNTIFS(tcTipo,AE4841,tcLiq,"Sí")&gt;0),S4841,0))</f>
        <v/>
      </c>
      <c r="AI4841" s="52">
        <f>IF(OR(L4841="",P4841=""),"",IF(COUNTIFS(L$6:L4841,L4841,P$6:P4841,"?*")=1,MAX(AI$5:AI4840)+1,""))</f>
        <v/>
      </c>
    </row>
    <row r="4842">
      <c r="B4842" s="47" t="n"/>
      <c r="C4842" s="48" t="n"/>
      <c r="D4842" s="48" t="n"/>
      <c r="E4842" s="48" t="n"/>
      <c r="F4842" s="48" t="n"/>
      <c r="G4842" s="49" t="n"/>
      <c r="H4842" s="48" t="n"/>
      <c r="I4842" s="50" t="n"/>
      <c r="J4842" s="48" t="n"/>
      <c r="K4842" s="48" t="n"/>
      <c r="L4842" s="48" t="n"/>
      <c r="M4842" s="48" t="n"/>
      <c r="N4842" s="48" t="n"/>
      <c r="O4842" s="51">
        <f>IF(AND(B4842="",G4842="",C4842="",D4842="",J4842=""),"",IF(B4842="","⚠ Falta fecha",IF(G4842="","⚠ Falta monto",IF(Q4842="","⚠ Falta cuenta",IF(ISNA(MATCH(Q4842,ctaNombre,0)),"⚠ Cuenta no registrada",IF(AND(OR(P4842="Gasto",P4842="Reembolso"),D4842=""),"⚠ Falta categoría",IF(AND(D4842&lt;&gt;"",E4842&lt;&gt;"",ISNA(MATCH(D4842&amp;"|"&amp;E4842,catClave,0))),"⚠ Subcategoría no corresponde",IF(AND(OR(P4842="Transferencia",P4842="Pago tarjeta"),K4842=""),"⚠ Falta cuenta destino",IF(AND(K4842&lt;&gt;"",P4842&lt;&gt;"Transferencia",P4842&lt;&gt;"Pago tarjeta"),"⚠ Destino solo aplica a transferencias",IF(AND(K4842&lt;&gt;"",K4842=Q4842),"⚠ Origen igual a destino",IF(AND(K4842&lt;&gt;"",ISNA(MATCH(K4842,ctaNombre,0))),"⚠ Destino no registrado",IF(AND(P4842="Pago tarjeta",AE4842&lt;&gt;"Tarjeta de crédito"),"⚠ El destino debe ser tarjeta de crédito",IF(AND(P4842="Gasto",E4842="Depósitos y retiros"),"⚠ Usa tipo Transferencia",IF(AND(P4842="Resultado trading",AD4842&lt;&gt;"Cuenta de trading"),"⚠ Usa una cuenta de trading",IF(AND(G4842&lt;=0,P4842&lt;&gt;"Ajuste",P4842&lt;&gt;"Resultado trading"),"⚠ El monto debe ser positivo","✓")))))))))))))))</f>
        <v/>
      </c>
      <c r="P4842" s="52">
        <f>IF(OR(B4842="",G4842=""),"",IF(C4842="","Gasto",C4842))</f>
        <v/>
      </c>
      <c r="Q4842" s="52">
        <f>IF(P4842="","",IF(J4842&lt;&gt;"",J4842,CuentaPred&amp;""))</f>
        <v/>
      </c>
      <c r="R4842" s="52">
        <f>IF(P4842="","",IF(ISNUMBER(I4842),I4842,TasaUSD))</f>
        <v/>
      </c>
      <c r="S4842" s="53">
        <f>IF(P4842="","",IF(H4842="USD",G4842*R4842,G4842))</f>
        <v/>
      </c>
      <c r="T4842" s="53">
        <f>IF(P4842="","",IF(H4842="USD",G4842,IF(R4842&gt;0,G4842/R4842,0)))</f>
        <v/>
      </c>
      <c r="U4842" s="53">
        <f>IF(P4842="","",IF(P4842="Gasto",S4842,IF(P4842="Reembolso",-S4842,0)))</f>
        <v/>
      </c>
      <c r="V4842" s="53">
        <f>IF(P4842="","",IF(P4842="Ingreso",S4842,0))</f>
        <v/>
      </c>
      <c r="W4842" s="53">
        <f>IF(P4842="","",IF(P4842="Resultado trading",S4842,0))</f>
        <v/>
      </c>
      <c r="X4842" s="52">
        <f>IF(OR(P4842="Gasto",P4842="Reembolso"),IF(M4842&lt;&gt;"",M4842,IFERROR(INDEX(catClasif,MATCH(D4842&amp;"|"&amp;E4842,catClave,0))&amp;"","Variable")),"")</f>
        <v/>
      </c>
      <c r="Y4842" s="52">
        <f>IF(P4842="","",IFERROR(INDEX(catGrupo,MATCH(D4842&amp;"|"&amp;E4842,catClave,0))&amp;"",""))</f>
        <v/>
      </c>
      <c r="Z4842" s="52">
        <f>IF(P4842="","",WEEKDAY(B4842,2))</f>
        <v/>
      </c>
      <c r="AA4842" s="52">
        <f>IF(P4842="","",IF(AND(P4842="Gasto",X4842="Variable",D4842&lt;&gt;catTrading,S4842&gt;0,S4842&lt;=Umbral),1,0))</f>
        <v/>
      </c>
      <c r="AB4842" s="52">
        <f>IF(OR(P4842="",Q4842=""),"",IFERROR(IF(INDEX(ctaVinc,MATCH(Q4842,ctaNombre,0))&amp;""&lt;&gt;"",INDEX(ctaVinc,MATCH(Q4842,ctaNombre,0))&amp;"",Q4842),Q4842))</f>
        <v/>
      </c>
      <c r="AC4842" s="52">
        <f>IF(OR(K4842="",AND(P4842&lt;&gt;"Transferencia",P4842&lt;&gt;"Pago tarjeta")),"",IFERROR(IF(INDEX(ctaVinc,MATCH(K4842,ctaNombre,0))&amp;""&lt;&gt;"",INDEX(ctaVinc,MATCH(K4842,ctaNombre,0))&amp;"",K4842),K4842))</f>
        <v/>
      </c>
      <c r="AD4842" s="52">
        <f>IF(AB4842="","",IFERROR(INDEX(ctaTipo,MATCH(AB4842,ctaNombre,0))&amp;"",""))</f>
        <v/>
      </c>
      <c r="AE4842" s="52">
        <f>IF(AC4842="","",IFERROR(INDEX(ctaTipo,MATCH(AC4842,ctaNombre,0))&amp;"",""))</f>
        <v/>
      </c>
      <c r="AF4842" s="53">
        <f>IF(OR(P4842="",AB4842=""),"",IF(OR(P4842="Gasto",P4842="Transferencia",P4842="Pago tarjeta"),-1,1)*IF(IFERROR(INDEX(ctaMoneda,MATCH(AB4842,ctaNombre,0))&amp;"","DOP")="USD",T4842,S4842))</f>
        <v/>
      </c>
      <c r="AG4842" s="53">
        <f>IF(AC4842="","",IF(IFERROR(INDEX(ctaMoneda,MATCH(AC4842,ctaNombre,0))&amp;"","DOP")="USD",T4842,S4842))</f>
        <v/>
      </c>
      <c r="AH4842" s="53">
        <f>IF(P4842="","",IF(AND(AD4842&lt;&gt;"",COUNTIFS(tcTipo,AD4842,tcLiq,"Sí")&gt;0),IF(OR(P4842="Gasto",P4842="Transferencia",P4842="Pago tarjeta"),-1,1)*S4842,0)+IF(AND(AE4842&lt;&gt;"",COUNTIFS(tcTipo,AE4842,tcLiq,"Sí")&gt;0),S4842,0))</f>
        <v/>
      </c>
      <c r="AI4842" s="52">
        <f>IF(OR(L4842="",P4842=""),"",IF(COUNTIFS(L$6:L4842,L4842,P$6:P4842,"?*")=1,MAX(AI$5:AI4841)+1,""))</f>
        <v/>
      </c>
    </row>
    <row r="4843">
      <c r="B4843" s="47" t="n"/>
      <c r="C4843" s="48" t="n"/>
      <c r="D4843" s="48" t="n"/>
      <c r="E4843" s="48" t="n"/>
      <c r="F4843" s="48" t="n"/>
      <c r="G4843" s="49" t="n"/>
      <c r="H4843" s="48" t="n"/>
      <c r="I4843" s="50" t="n"/>
      <c r="J4843" s="48" t="n"/>
      <c r="K4843" s="48" t="n"/>
      <c r="L4843" s="48" t="n"/>
      <c r="M4843" s="48" t="n"/>
      <c r="N4843" s="48" t="n"/>
      <c r="O4843" s="51">
        <f>IF(AND(B4843="",G4843="",C4843="",D4843="",J4843=""),"",IF(B4843="","⚠ Falta fecha",IF(G4843="","⚠ Falta monto",IF(Q4843="","⚠ Falta cuenta",IF(ISNA(MATCH(Q4843,ctaNombre,0)),"⚠ Cuenta no registrada",IF(AND(OR(P4843="Gasto",P4843="Reembolso"),D4843=""),"⚠ Falta categoría",IF(AND(D4843&lt;&gt;"",E4843&lt;&gt;"",ISNA(MATCH(D4843&amp;"|"&amp;E4843,catClave,0))),"⚠ Subcategoría no corresponde",IF(AND(OR(P4843="Transferencia",P4843="Pago tarjeta"),K4843=""),"⚠ Falta cuenta destino",IF(AND(K4843&lt;&gt;"",P4843&lt;&gt;"Transferencia",P4843&lt;&gt;"Pago tarjeta"),"⚠ Destino solo aplica a transferencias",IF(AND(K4843&lt;&gt;"",K4843=Q4843),"⚠ Origen igual a destino",IF(AND(K4843&lt;&gt;"",ISNA(MATCH(K4843,ctaNombre,0))),"⚠ Destino no registrado",IF(AND(P4843="Pago tarjeta",AE4843&lt;&gt;"Tarjeta de crédito"),"⚠ El destino debe ser tarjeta de crédito",IF(AND(P4843="Gasto",E4843="Depósitos y retiros"),"⚠ Usa tipo Transferencia",IF(AND(P4843="Resultado trading",AD4843&lt;&gt;"Cuenta de trading"),"⚠ Usa una cuenta de trading",IF(AND(G4843&lt;=0,P4843&lt;&gt;"Ajuste",P4843&lt;&gt;"Resultado trading"),"⚠ El monto debe ser positivo","✓")))))))))))))))</f>
        <v/>
      </c>
      <c r="P4843" s="52">
        <f>IF(OR(B4843="",G4843=""),"",IF(C4843="","Gasto",C4843))</f>
        <v/>
      </c>
      <c r="Q4843" s="52">
        <f>IF(P4843="","",IF(J4843&lt;&gt;"",J4843,CuentaPred&amp;""))</f>
        <v/>
      </c>
      <c r="R4843" s="52">
        <f>IF(P4843="","",IF(ISNUMBER(I4843),I4843,TasaUSD))</f>
        <v/>
      </c>
      <c r="S4843" s="53">
        <f>IF(P4843="","",IF(H4843="USD",G4843*R4843,G4843))</f>
        <v/>
      </c>
      <c r="T4843" s="53">
        <f>IF(P4843="","",IF(H4843="USD",G4843,IF(R4843&gt;0,G4843/R4843,0)))</f>
        <v/>
      </c>
      <c r="U4843" s="53">
        <f>IF(P4843="","",IF(P4843="Gasto",S4843,IF(P4843="Reembolso",-S4843,0)))</f>
        <v/>
      </c>
      <c r="V4843" s="53">
        <f>IF(P4843="","",IF(P4843="Ingreso",S4843,0))</f>
        <v/>
      </c>
      <c r="W4843" s="53">
        <f>IF(P4843="","",IF(P4843="Resultado trading",S4843,0))</f>
        <v/>
      </c>
      <c r="X4843" s="52">
        <f>IF(OR(P4843="Gasto",P4843="Reembolso"),IF(M4843&lt;&gt;"",M4843,IFERROR(INDEX(catClasif,MATCH(D4843&amp;"|"&amp;E4843,catClave,0))&amp;"","Variable")),"")</f>
        <v/>
      </c>
      <c r="Y4843" s="52">
        <f>IF(P4843="","",IFERROR(INDEX(catGrupo,MATCH(D4843&amp;"|"&amp;E4843,catClave,0))&amp;"",""))</f>
        <v/>
      </c>
      <c r="Z4843" s="52">
        <f>IF(P4843="","",WEEKDAY(B4843,2))</f>
        <v/>
      </c>
      <c r="AA4843" s="52">
        <f>IF(P4843="","",IF(AND(P4843="Gasto",X4843="Variable",D4843&lt;&gt;catTrading,S4843&gt;0,S4843&lt;=Umbral),1,0))</f>
        <v/>
      </c>
      <c r="AB4843" s="52">
        <f>IF(OR(P4843="",Q4843=""),"",IFERROR(IF(INDEX(ctaVinc,MATCH(Q4843,ctaNombre,0))&amp;""&lt;&gt;"",INDEX(ctaVinc,MATCH(Q4843,ctaNombre,0))&amp;"",Q4843),Q4843))</f>
        <v/>
      </c>
      <c r="AC4843" s="52">
        <f>IF(OR(K4843="",AND(P4843&lt;&gt;"Transferencia",P4843&lt;&gt;"Pago tarjeta")),"",IFERROR(IF(INDEX(ctaVinc,MATCH(K4843,ctaNombre,0))&amp;""&lt;&gt;"",INDEX(ctaVinc,MATCH(K4843,ctaNombre,0))&amp;"",K4843),K4843))</f>
        <v/>
      </c>
      <c r="AD4843" s="52">
        <f>IF(AB4843="","",IFERROR(INDEX(ctaTipo,MATCH(AB4843,ctaNombre,0))&amp;"",""))</f>
        <v/>
      </c>
      <c r="AE4843" s="52">
        <f>IF(AC4843="","",IFERROR(INDEX(ctaTipo,MATCH(AC4843,ctaNombre,0))&amp;"",""))</f>
        <v/>
      </c>
      <c r="AF4843" s="53">
        <f>IF(OR(P4843="",AB4843=""),"",IF(OR(P4843="Gasto",P4843="Transferencia",P4843="Pago tarjeta"),-1,1)*IF(IFERROR(INDEX(ctaMoneda,MATCH(AB4843,ctaNombre,0))&amp;"","DOP")="USD",T4843,S4843))</f>
        <v/>
      </c>
      <c r="AG4843" s="53">
        <f>IF(AC4843="","",IF(IFERROR(INDEX(ctaMoneda,MATCH(AC4843,ctaNombre,0))&amp;"","DOP")="USD",T4843,S4843))</f>
        <v/>
      </c>
      <c r="AH4843" s="53">
        <f>IF(P4843="","",IF(AND(AD4843&lt;&gt;"",COUNTIFS(tcTipo,AD4843,tcLiq,"Sí")&gt;0),IF(OR(P4843="Gasto",P4843="Transferencia",P4843="Pago tarjeta"),-1,1)*S4843,0)+IF(AND(AE4843&lt;&gt;"",COUNTIFS(tcTipo,AE4843,tcLiq,"Sí")&gt;0),S4843,0))</f>
        <v/>
      </c>
      <c r="AI4843" s="52">
        <f>IF(OR(L4843="",P4843=""),"",IF(COUNTIFS(L$6:L4843,L4843,P$6:P4843,"?*")=1,MAX(AI$5:AI4842)+1,""))</f>
        <v/>
      </c>
    </row>
    <row r="4844">
      <c r="B4844" s="47" t="n"/>
      <c r="C4844" s="48" t="n"/>
      <c r="D4844" s="48" t="n"/>
      <c r="E4844" s="48" t="n"/>
      <c r="F4844" s="48" t="n"/>
      <c r="G4844" s="49" t="n"/>
      <c r="H4844" s="48" t="n"/>
      <c r="I4844" s="50" t="n"/>
      <c r="J4844" s="48" t="n"/>
      <c r="K4844" s="48" t="n"/>
      <c r="L4844" s="48" t="n"/>
      <c r="M4844" s="48" t="n"/>
      <c r="N4844" s="48" t="n"/>
      <c r="O4844" s="51">
        <f>IF(AND(B4844="",G4844="",C4844="",D4844="",J4844=""),"",IF(B4844="","⚠ Falta fecha",IF(G4844="","⚠ Falta monto",IF(Q4844="","⚠ Falta cuenta",IF(ISNA(MATCH(Q4844,ctaNombre,0)),"⚠ Cuenta no registrada",IF(AND(OR(P4844="Gasto",P4844="Reembolso"),D4844=""),"⚠ Falta categoría",IF(AND(D4844&lt;&gt;"",E4844&lt;&gt;"",ISNA(MATCH(D4844&amp;"|"&amp;E4844,catClave,0))),"⚠ Subcategoría no corresponde",IF(AND(OR(P4844="Transferencia",P4844="Pago tarjeta"),K4844=""),"⚠ Falta cuenta destino",IF(AND(K4844&lt;&gt;"",P4844&lt;&gt;"Transferencia",P4844&lt;&gt;"Pago tarjeta"),"⚠ Destino solo aplica a transferencias",IF(AND(K4844&lt;&gt;"",K4844=Q4844),"⚠ Origen igual a destino",IF(AND(K4844&lt;&gt;"",ISNA(MATCH(K4844,ctaNombre,0))),"⚠ Destino no registrado",IF(AND(P4844="Pago tarjeta",AE4844&lt;&gt;"Tarjeta de crédito"),"⚠ El destino debe ser tarjeta de crédito",IF(AND(P4844="Gasto",E4844="Depósitos y retiros"),"⚠ Usa tipo Transferencia",IF(AND(P4844="Resultado trading",AD4844&lt;&gt;"Cuenta de trading"),"⚠ Usa una cuenta de trading",IF(AND(G4844&lt;=0,P4844&lt;&gt;"Ajuste",P4844&lt;&gt;"Resultado trading"),"⚠ El monto debe ser positivo","✓")))))))))))))))</f>
        <v/>
      </c>
      <c r="P4844" s="52">
        <f>IF(OR(B4844="",G4844=""),"",IF(C4844="","Gasto",C4844))</f>
        <v/>
      </c>
      <c r="Q4844" s="52">
        <f>IF(P4844="","",IF(J4844&lt;&gt;"",J4844,CuentaPred&amp;""))</f>
        <v/>
      </c>
      <c r="R4844" s="52">
        <f>IF(P4844="","",IF(ISNUMBER(I4844),I4844,TasaUSD))</f>
        <v/>
      </c>
      <c r="S4844" s="53">
        <f>IF(P4844="","",IF(H4844="USD",G4844*R4844,G4844))</f>
        <v/>
      </c>
      <c r="T4844" s="53">
        <f>IF(P4844="","",IF(H4844="USD",G4844,IF(R4844&gt;0,G4844/R4844,0)))</f>
        <v/>
      </c>
      <c r="U4844" s="53">
        <f>IF(P4844="","",IF(P4844="Gasto",S4844,IF(P4844="Reembolso",-S4844,0)))</f>
        <v/>
      </c>
      <c r="V4844" s="53">
        <f>IF(P4844="","",IF(P4844="Ingreso",S4844,0))</f>
        <v/>
      </c>
      <c r="W4844" s="53">
        <f>IF(P4844="","",IF(P4844="Resultado trading",S4844,0))</f>
        <v/>
      </c>
      <c r="X4844" s="52">
        <f>IF(OR(P4844="Gasto",P4844="Reembolso"),IF(M4844&lt;&gt;"",M4844,IFERROR(INDEX(catClasif,MATCH(D4844&amp;"|"&amp;E4844,catClave,0))&amp;"","Variable")),"")</f>
        <v/>
      </c>
      <c r="Y4844" s="52">
        <f>IF(P4844="","",IFERROR(INDEX(catGrupo,MATCH(D4844&amp;"|"&amp;E4844,catClave,0))&amp;"",""))</f>
        <v/>
      </c>
      <c r="Z4844" s="52">
        <f>IF(P4844="","",WEEKDAY(B4844,2))</f>
        <v/>
      </c>
      <c r="AA4844" s="52">
        <f>IF(P4844="","",IF(AND(P4844="Gasto",X4844="Variable",D4844&lt;&gt;catTrading,S4844&gt;0,S4844&lt;=Umbral),1,0))</f>
        <v/>
      </c>
      <c r="AB4844" s="52">
        <f>IF(OR(P4844="",Q4844=""),"",IFERROR(IF(INDEX(ctaVinc,MATCH(Q4844,ctaNombre,0))&amp;""&lt;&gt;"",INDEX(ctaVinc,MATCH(Q4844,ctaNombre,0))&amp;"",Q4844),Q4844))</f>
        <v/>
      </c>
      <c r="AC4844" s="52">
        <f>IF(OR(K4844="",AND(P4844&lt;&gt;"Transferencia",P4844&lt;&gt;"Pago tarjeta")),"",IFERROR(IF(INDEX(ctaVinc,MATCH(K4844,ctaNombre,0))&amp;""&lt;&gt;"",INDEX(ctaVinc,MATCH(K4844,ctaNombre,0))&amp;"",K4844),K4844))</f>
        <v/>
      </c>
      <c r="AD4844" s="52">
        <f>IF(AB4844="","",IFERROR(INDEX(ctaTipo,MATCH(AB4844,ctaNombre,0))&amp;"",""))</f>
        <v/>
      </c>
      <c r="AE4844" s="52">
        <f>IF(AC4844="","",IFERROR(INDEX(ctaTipo,MATCH(AC4844,ctaNombre,0))&amp;"",""))</f>
        <v/>
      </c>
      <c r="AF4844" s="53">
        <f>IF(OR(P4844="",AB4844=""),"",IF(OR(P4844="Gasto",P4844="Transferencia",P4844="Pago tarjeta"),-1,1)*IF(IFERROR(INDEX(ctaMoneda,MATCH(AB4844,ctaNombre,0))&amp;"","DOP")="USD",T4844,S4844))</f>
        <v/>
      </c>
      <c r="AG4844" s="53">
        <f>IF(AC4844="","",IF(IFERROR(INDEX(ctaMoneda,MATCH(AC4844,ctaNombre,0))&amp;"","DOP")="USD",T4844,S4844))</f>
        <v/>
      </c>
      <c r="AH4844" s="53">
        <f>IF(P4844="","",IF(AND(AD4844&lt;&gt;"",COUNTIFS(tcTipo,AD4844,tcLiq,"Sí")&gt;0),IF(OR(P4844="Gasto",P4844="Transferencia",P4844="Pago tarjeta"),-1,1)*S4844,0)+IF(AND(AE4844&lt;&gt;"",COUNTIFS(tcTipo,AE4844,tcLiq,"Sí")&gt;0),S4844,0))</f>
        <v/>
      </c>
      <c r="AI4844" s="52">
        <f>IF(OR(L4844="",P4844=""),"",IF(COUNTIFS(L$6:L4844,L4844,P$6:P4844,"?*")=1,MAX(AI$5:AI4843)+1,""))</f>
        <v/>
      </c>
    </row>
    <row r="4845">
      <c r="B4845" s="47" t="n"/>
      <c r="C4845" s="48" t="n"/>
      <c r="D4845" s="48" t="n"/>
      <c r="E4845" s="48" t="n"/>
      <c r="F4845" s="48" t="n"/>
      <c r="G4845" s="49" t="n"/>
      <c r="H4845" s="48" t="n"/>
      <c r="I4845" s="50" t="n"/>
      <c r="J4845" s="48" t="n"/>
      <c r="K4845" s="48" t="n"/>
      <c r="L4845" s="48" t="n"/>
      <c r="M4845" s="48" t="n"/>
      <c r="N4845" s="48" t="n"/>
      <c r="O4845" s="51">
        <f>IF(AND(B4845="",G4845="",C4845="",D4845="",J4845=""),"",IF(B4845="","⚠ Falta fecha",IF(G4845="","⚠ Falta monto",IF(Q4845="","⚠ Falta cuenta",IF(ISNA(MATCH(Q4845,ctaNombre,0)),"⚠ Cuenta no registrada",IF(AND(OR(P4845="Gasto",P4845="Reembolso"),D4845=""),"⚠ Falta categoría",IF(AND(D4845&lt;&gt;"",E4845&lt;&gt;"",ISNA(MATCH(D4845&amp;"|"&amp;E4845,catClave,0))),"⚠ Subcategoría no corresponde",IF(AND(OR(P4845="Transferencia",P4845="Pago tarjeta"),K4845=""),"⚠ Falta cuenta destino",IF(AND(K4845&lt;&gt;"",P4845&lt;&gt;"Transferencia",P4845&lt;&gt;"Pago tarjeta"),"⚠ Destino solo aplica a transferencias",IF(AND(K4845&lt;&gt;"",K4845=Q4845),"⚠ Origen igual a destino",IF(AND(K4845&lt;&gt;"",ISNA(MATCH(K4845,ctaNombre,0))),"⚠ Destino no registrado",IF(AND(P4845="Pago tarjeta",AE4845&lt;&gt;"Tarjeta de crédito"),"⚠ El destino debe ser tarjeta de crédito",IF(AND(P4845="Gasto",E4845="Depósitos y retiros"),"⚠ Usa tipo Transferencia",IF(AND(P4845="Resultado trading",AD4845&lt;&gt;"Cuenta de trading"),"⚠ Usa una cuenta de trading",IF(AND(G4845&lt;=0,P4845&lt;&gt;"Ajuste",P4845&lt;&gt;"Resultado trading"),"⚠ El monto debe ser positivo","✓")))))))))))))))</f>
        <v/>
      </c>
      <c r="P4845" s="52">
        <f>IF(OR(B4845="",G4845=""),"",IF(C4845="","Gasto",C4845))</f>
        <v/>
      </c>
      <c r="Q4845" s="52">
        <f>IF(P4845="","",IF(J4845&lt;&gt;"",J4845,CuentaPred&amp;""))</f>
        <v/>
      </c>
      <c r="R4845" s="52">
        <f>IF(P4845="","",IF(ISNUMBER(I4845),I4845,TasaUSD))</f>
        <v/>
      </c>
      <c r="S4845" s="53">
        <f>IF(P4845="","",IF(H4845="USD",G4845*R4845,G4845))</f>
        <v/>
      </c>
      <c r="T4845" s="53">
        <f>IF(P4845="","",IF(H4845="USD",G4845,IF(R4845&gt;0,G4845/R4845,0)))</f>
        <v/>
      </c>
      <c r="U4845" s="53">
        <f>IF(P4845="","",IF(P4845="Gasto",S4845,IF(P4845="Reembolso",-S4845,0)))</f>
        <v/>
      </c>
      <c r="V4845" s="53">
        <f>IF(P4845="","",IF(P4845="Ingreso",S4845,0))</f>
        <v/>
      </c>
      <c r="W4845" s="53">
        <f>IF(P4845="","",IF(P4845="Resultado trading",S4845,0))</f>
        <v/>
      </c>
      <c r="X4845" s="52">
        <f>IF(OR(P4845="Gasto",P4845="Reembolso"),IF(M4845&lt;&gt;"",M4845,IFERROR(INDEX(catClasif,MATCH(D4845&amp;"|"&amp;E4845,catClave,0))&amp;"","Variable")),"")</f>
        <v/>
      </c>
      <c r="Y4845" s="52">
        <f>IF(P4845="","",IFERROR(INDEX(catGrupo,MATCH(D4845&amp;"|"&amp;E4845,catClave,0))&amp;"",""))</f>
        <v/>
      </c>
      <c r="Z4845" s="52">
        <f>IF(P4845="","",WEEKDAY(B4845,2))</f>
        <v/>
      </c>
      <c r="AA4845" s="52">
        <f>IF(P4845="","",IF(AND(P4845="Gasto",X4845="Variable",D4845&lt;&gt;catTrading,S4845&gt;0,S4845&lt;=Umbral),1,0))</f>
        <v/>
      </c>
      <c r="AB4845" s="52">
        <f>IF(OR(P4845="",Q4845=""),"",IFERROR(IF(INDEX(ctaVinc,MATCH(Q4845,ctaNombre,0))&amp;""&lt;&gt;"",INDEX(ctaVinc,MATCH(Q4845,ctaNombre,0))&amp;"",Q4845),Q4845))</f>
        <v/>
      </c>
      <c r="AC4845" s="52">
        <f>IF(OR(K4845="",AND(P4845&lt;&gt;"Transferencia",P4845&lt;&gt;"Pago tarjeta")),"",IFERROR(IF(INDEX(ctaVinc,MATCH(K4845,ctaNombre,0))&amp;""&lt;&gt;"",INDEX(ctaVinc,MATCH(K4845,ctaNombre,0))&amp;"",K4845),K4845))</f>
        <v/>
      </c>
      <c r="AD4845" s="52">
        <f>IF(AB4845="","",IFERROR(INDEX(ctaTipo,MATCH(AB4845,ctaNombre,0))&amp;"",""))</f>
        <v/>
      </c>
      <c r="AE4845" s="52">
        <f>IF(AC4845="","",IFERROR(INDEX(ctaTipo,MATCH(AC4845,ctaNombre,0))&amp;"",""))</f>
        <v/>
      </c>
      <c r="AF4845" s="53">
        <f>IF(OR(P4845="",AB4845=""),"",IF(OR(P4845="Gasto",P4845="Transferencia",P4845="Pago tarjeta"),-1,1)*IF(IFERROR(INDEX(ctaMoneda,MATCH(AB4845,ctaNombre,0))&amp;"","DOP")="USD",T4845,S4845))</f>
        <v/>
      </c>
      <c r="AG4845" s="53">
        <f>IF(AC4845="","",IF(IFERROR(INDEX(ctaMoneda,MATCH(AC4845,ctaNombre,0))&amp;"","DOP")="USD",T4845,S4845))</f>
        <v/>
      </c>
      <c r="AH4845" s="53">
        <f>IF(P4845="","",IF(AND(AD4845&lt;&gt;"",COUNTIFS(tcTipo,AD4845,tcLiq,"Sí")&gt;0),IF(OR(P4845="Gasto",P4845="Transferencia",P4845="Pago tarjeta"),-1,1)*S4845,0)+IF(AND(AE4845&lt;&gt;"",COUNTIFS(tcTipo,AE4845,tcLiq,"Sí")&gt;0),S4845,0))</f>
        <v/>
      </c>
      <c r="AI4845" s="52">
        <f>IF(OR(L4845="",P4845=""),"",IF(COUNTIFS(L$6:L4845,L4845,P$6:P4845,"?*")=1,MAX(AI$5:AI4844)+1,""))</f>
        <v/>
      </c>
    </row>
    <row r="4846">
      <c r="B4846" s="47" t="n"/>
      <c r="C4846" s="48" t="n"/>
      <c r="D4846" s="48" t="n"/>
      <c r="E4846" s="48" t="n"/>
      <c r="F4846" s="48" t="n"/>
      <c r="G4846" s="49" t="n"/>
      <c r="H4846" s="48" t="n"/>
      <c r="I4846" s="50" t="n"/>
      <c r="J4846" s="48" t="n"/>
      <c r="K4846" s="48" t="n"/>
      <c r="L4846" s="48" t="n"/>
      <c r="M4846" s="48" t="n"/>
      <c r="N4846" s="48" t="n"/>
      <c r="O4846" s="51">
        <f>IF(AND(B4846="",G4846="",C4846="",D4846="",J4846=""),"",IF(B4846="","⚠ Falta fecha",IF(G4846="","⚠ Falta monto",IF(Q4846="","⚠ Falta cuenta",IF(ISNA(MATCH(Q4846,ctaNombre,0)),"⚠ Cuenta no registrada",IF(AND(OR(P4846="Gasto",P4846="Reembolso"),D4846=""),"⚠ Falta categoría",IF(AND(D4846&lt;&gt;"",E4846&lt;&gt;"",ISNA(MATCH(D4846&amp;"|"&amp;E4846,catClave,0))),"⚠ Subcategoría no corresponde",IF(AND(OR(P4846="Transferencia",P4846="Pago tarjeta"),K4846=""),"⚠ Falta cuenta destino",IF(AND(K4846&lt;&gt;"",P4846&lt;&gt;"Transferencia",P4846&lt;&gt;"Pago tarjeta"),"⚠ Destino solo aplica a transferencias",IF(AND(K4846&lt;&gt;"",K4846=Q4846),"⚠ Origen igual a destino",IF(AND(K4846&lt;&gt;"",ISNA(MATCH(K4846,ctaNombre,0))),"⚠ Destino no registrado",IF(AND(P4846="Pago tarjeta",AE4846&lt;&gt;"Tarjeta de crédito"),"⚠ El destino debe ser tarjeta de crédito",IF(AND(P4846="Gasto",E4846="Depósitos y retiros"),"⚠ Usa tipo Transferencia",IF(AND(P4846="Resultado trading",AD4846&lt;&gt;"Cuenta de trading"),"⚠ Usa una cuenta de trading",IF(AND(G4846&lt;=0,P4846&lt;&gt;"Ajuste",P4846&lt;&gt;"Resultado trading"),"⚠ El monto debe ser positivo","✓")))))))))))))))</f>
        <v/>
      </c>
      <c r="P4846" s="52">
        <f>IF(OR(B4846="",G4846=""),"",IF(C4846="","Gasto",C4846))</f>
        <v/>
      </c>
      <c r="Q4846" s="52">
        <f>IF(P4846="","",IF(J4846&lt;&gt;"",J4846,CuentaPred&amp;""))</f>
        <v/>
      </c>
      <c r="R4846" s="52">
        <f>IF(P4846="","",IF(ISNUMBER(I4846),I4846,TasaUSD))</f>
        <v/>
      </c>
      <c r="S4846" s="53">
        <f>IF(P4846="","",IF(H4846="USD",G4846*R4846,G4846))</f>
        <v/>
      </c>
      <c r="T4846" s="53">
        <f>IF(P4846="","",IF(H4846="USD",G4846,IF(R4846&gt;0,G4846/R4846,0)))</f>
        <v/>
      </c>
      <c r="U4846" s="53">
        <f>IF(P4846="","",IF(P4846="Gasto",S4846,IF(P4846="Reembolso",-S4846,0)))</f>
        <v/>
      </c>
      <c r="V4846" s="53">
        <f>IF(P4846="","",IF(P4846="Ingreso",S4846,0))</f>
        <v/>
      </c>
      <c r="W4846" s="53">
        <f>IF(P4846="","",IF(P4846="Resultado trading",S4846,0))</f>
        <v/>
      </c>
      <c r="X4846" s="52">
        <f>IF(OR(P4846="Gasto",P4846="Reembolso"),IF(M4846&lt;&gt;"",M4846,IFERROR(INDEX(catClasif,MATCH(D4846&amp;"|"&amp;E4846,catClave,0))&amp;"","Variable")),"")</f>
        <v/>
      </c>
      <c r="Y4846" s="52">
        <f>IF(P4846="","",IFERROR(INDEX(catGrupo,MATCH(D4846&amp;"|"&amp;E4846,catClave,0))&amp;"",""))</f>
        <v/>
      </c>
      <c r="Z4846" s="52">
        <f>IF(P4846="","",WEEKDAY(B4846,2))</f>
        <v/>
      </c>
      <c r="AA4846" s="52">
        <f>IF(P4846="","",IF(AND(P4846="Gasto",X4846="Variable",D4846&lt;&gt;catTrading,S4846&gt;0,S4846&lt;=Umbral),1,0))</f>
        <v/>
      </c>
      <c r="AB4846" s="52">
        <f>IF(OR(P4846="",Q4846=""),"",IFERROR(IF(INDEX(ctaVinc,MATCH(Q4846,ctaNombre,0))&amp;""&lt;&gt;"",INDEX(ctaVinc,MATCH(Q4846,ctaNombre,0))&amp;"",Q4846),Q4846))</f>
        <v/>
      </c>
      <c r="AC4846" s="52">
        <f>IF(OR(K4846="",AND(P4846&lt;&gt;"Transferencia",P4846&lt;&gt;"Pago tarjeta")),"",IFERROR(IF(INDEX(ctaVinc,MATCH(K4846,ctaNombre,0))&amp;""&lt;&gt;"",INDEX(ctaVinc,MATCH(K4846,ctaNombre,0))&amp;"",K4846),K4846))</f>
        <v/>
      </c>
      <c r="AD4846" s="52">
        <f>IF(AB4846="","",IFERROR(INDEX(ctaTipo,MATCH(AB4846,ctaNombre,0))&amp;"",""))</f>
        <v/>
      </c>
      <c r="AE4846" s="52">
        <f>IF(AC4846="","",IFERROR(INDEX(ctaTipo,MATCH(AC4846,ctaNombre,0))&amp;"",""))</f>
        <v/>
      </c>
      <c r="AF4846" s="53">
        <f>IF(OR(P4846="",AB4846=""),"",IF(OR(P4846="Gasto",P4846="Transferencia",P4846="Pago tarjeta"),-1,1)*IF(IFERROR(INDEX(ctaMoneda,MATCH(AB4846,ctaNombre,0))&amp;"","DOP")="USD",T4846,S4846))</f>
        <v/>
      </c>
      <c r="AG4846" s="53">
        <f>IF(AC4846="","",IF(IFERROR(INDEX(ctaMoneda,MATCH(AC4846,ctaNombre,0))&amp;"","DOP")="USD",T4846,S4846))</f>
        <v/>
      </c>
      <c r="AH4846" s="53">
        <f>IF(P4846="","",IF(AND(AD4846&lt;&gt;"",COUNTIFS(tcTipo,AD4846,tcLiq,"Sí")&gt;0),IF(OR(P4846="Gasto",P4846="Transferencia",P4846="Pago tarjeta"),-1,1)*S4846,0)+IF(AND(AE4846&lt;&gt;"",COUNTIFS(tcTipo,AE4846,tcLiq,"Sí")&gt;0),S4846,0))</f>
        <v/>
      </c>
      <c r="AI4846" s="52">
        <f>IF(OR(L4846="",P4846=""),"",IF(COUNTIFS(L$6:L4846,L4846,P$6:P4846,"?*")=1,MAX(AI$5:AI4845)+1,""))</f>
        <v/>
      </c>
    </row>
    <row r="4847">
      <c r="B4847" s="47" t="n"/>
      <c r="C4847" s="48" t="n"/>
      <c r="D4847" s="48" t="n"/>
      <c r="E4847" s="48" t="n"/>
      <c r="F4847" s="48" t="n"/>
      <c r="G4847" s="49" t="n"/>
      <c r="H4847" s="48" t="n"/>
      <c r="I4847" s="50" t="n"/>
      <c r="J4847" s="48" t="n"/>
      <c r="K4847" s="48" t="n"/>
      <c r="L4847" s="48" t="n"/>
      <c r="M4847" s="48" t="n"/>
      <c r="N4847" s="48" t="n"/>
      <c r="O4847" s="51">
        <f>IF(AND(B4847="",G4847="",C4847="",D4847="",J4847=""),"",IF(B4847="","⚠ Falta fecha",IF(G4847="","⚠ Falta monto",IF(Q4847="","⚠ Falta cuenta",IF(ISNA(MATCH(Q4847,ctaNombre,0)),"⚠ Cuenta no registrada",IF(AND(OR(P4847="Gasto",P4847="Reembolso"),D4847=""),"⚠ Falta categoría",IF(AND(D4847&lt;&gt;"",E4847&lt;&gt;"",ISNA(MATCH(D4847&amp;"|"&amp;E4847,catClave,0))),"⚠ Subcategoría no corresponde",IF(AND(OR(P4847="Transferencia",P4847="Pago tarjeta"),K4847=""),"⚠ Falta cuenta destino",IF(AND(K4847&lt;&gt;"",P4847&lt;&gt;"Transferencia",P4847&lt;&gt;"Pago tarjeta"),"⚠ Destino solo aplica a transferencias",IF(AND(K4847&lt;&gt;"",K4847=Q4847),"⚠ Origen igual a destino",IF(AND(K4847&lt;&gt;"",ISNA(MATCH(K4847,ctaNombre,0))),"⚠ Destino no registrado",IF(AND(P4847="Pago tarjeta",AE4847&lt;&gt;"Tarjeta de crédito"),"⚠ El destino debe ser tarjeta de crédito",IF(AND(P4847="Gasto",E4847="Depósitos y retiros"),"⚠ Usa tipo Transferencia",IF(AND(P4847="Resultado trading",AD4847&lt;&gt;"Cuenta de trading"),"⚠ Usa una cuenta de trading",IF(AND(G4847&lt;=0,P4847&lt;&gt;"Ajuste",P4847&lt;&gt;"Resultado trading"),"⚠ El monto debe ser positivo","✓")))))))))))))))</f>
        <v/>
      </c>
      <c r="P4847" s="52">
        <f>IF(OR(B4847="",G4847=""),"",IF(C4847="","Gasto",C4847))</f>
        <v/>
      </c>
      <c r="Q4847" s="52">
        <f>IF(P4847="","",IF(J4847&lt;&gt;"",J4847,CuentaPred&amp;""))</f>
        <v/>
      </c>
      <c r="R4847" s="52">
        <f>IF(P4847="","",IF(ISNUMBER(I4847),I4847,TasaUSD))</f>
        <v/>
      </c>
      <c r="S4847" s="53">
        <f>IF(P4847="","",IF(H4847="USD",G4847*R4847,G4847))</f>
        <v/>
      </c>
      <c r="T4847" s="53">
        <f>IF(P4847="","",IF(H4847="USD",G4847,IF(R4847&gt;0,G4847/R4847,0)))</f>
        <v/>
      </c>
      <c r="U4847" s="53">
        <f>IF(P4847="","",IF(P4847="Gasto",S4847,IF(P4847="Reembolso",-S4847,0)))</f>
        <v/>
      </c>
      <c r="V4847" s="53">
        <f>IF(P4847="","",IF(P4847="Ingreso",S4847,0))</f>
        <v/>
      </c>
      <c r="W4847" s="53">
        <f>IF(P4847="","",IF(P4847="Resultado trading",S4847,0))</f>
        <v/>
      </c>
      <c r="X4847" s="52">
        <f>IF(OR(P4847="Gasto",P4847="Reembolso"),IF(M4847&lt;&gt;"",M4847,IFERROR(INDEX(catClasif,MATCH(D4847&amp;"|"&amp;E4847,catClave,0))&amp;"","Variable")),"")</f>
        <v/>
      </c>
      <c r="Y4847" s="52">
        <f>IF(P4847="","",IFERROR(INDEX(catGrupo,MATCH(D4847&amp;"|"&amp;E4847,catClave,0))&amp;"",""))</f>
        <v/>
      </c>
      <c r="Z4847" s="52">
        <f>IF(P4847="","",WEEKDAY(B4847,2))</f>
        <v/>
      </c>
      <c r="AA4847" s="52">
        <f>IF(P4847="","",IF(AND(P4847="Gasto",X4847="Variable",D4847&lt;&gt;catTrading,S4847&gt;0,S4847&lt;=Umbral),1,0))</f>
        <v/>
      </c>
      <c r="AB4847" s="52">
        <f>IF(OR(P4847="",Q4847=""),"",IFERROR(IF(INDEX(ctaVinc,MATCH(Q4847,ctaNombre,0))&amp;""&lt;&gt;"",INDEX(ctaVinc,MATCH(Q4847,ctaNombre,0))&amp;"",Q4847),Q4847))</f>
        <v/>
      </c>
      <c r="AC4847" s="52">
        <f>IF(OR(K4847="",AND(P4847&lt;&gt;"Transferencia",P4847&lt;&gt;"Pago tarjeta")),"",IFERROR(IF(INDEX(ctaVinc,MATCH(K4847,ctaNombre,0))&amp;""&lt;&gt;"",INDEX(ctaVinc,MATCH(K4847,ctaNombre,0))&amp;"",K4847),K4847))</f>
        <v/>
      </c>
      <c r="AD4847" s="52">
        <f>IF(AB4847="","",IFERROR(INDEX(ctaTipo,MATCH(AB4847,ctaNombre,0))&amp;"",""))</f>
        <v/>
      </c>
      <c r="AE4847" s="52">
        <f>IF(AC4847="","",IFERROR(INDEX(ctaTipo,MATCH(AC4847,ctaNombre,0))&amp;"",""))</f>
        <v/>
      </c>
      <c r="AF4847" s="53">
        <f>IF(OR(P4847="",AB4847=""),"",IF(OR(P4847="Gasto",P4847="Transferencia",P4847="Pago tarjeta"),-1,1)*IF(IFERROR(INDEX(ctaMoneda,MATCH(AB4847,ctaNombre,0))&amp;"","DOP")="USD",T4847,S4847))</f>
        <v/>
      </c>
      <c r="AG4847" s="53">
        <f>IF(AC4847="","",IF(IFERROR(INDEX(ctaMoneda,MATCH(AC4847,ctaNombre,0))&amp;"","DOP")="USD",T4847,S4847))</f>
        <v/>
      </c>
      <c r="AH4847" s="53">
        <f>IF(P4847="","",IF(AND(AD4847&lt;&gt;"",COUNTIFS(tcTipo,AD4847,tcLiq,"Sí")&gt;0),IF(OR(P4847="Gasto",P4847="Transferencia",P4847="Pago tarjeta"),-1,1)*S4847,0)+IF(AND(AE4847&lt;&gt;"",COUNTIFS(tcTipo,AE4847,tcLiq,"Sí")&gt;0),S4847,0))</f>
        <v/>
      </c>
      <c r="AI4847" s="52">
        <f>IF(OR(L4847="",P4847=""),"",IF(COUNTIFS(L$6:L4847,L4847,P$6:P4847,"?*")=1,MAX(AI$5:AI4846)+1,""))</f>
        <v/>
      </c>
    </row>
    <row r="4848">
      <c r="B4848" s="47" t="n"/>
      <c r="C4848" s="48" t="n"/>
      <c r="D4848" s="48" t="n"/>
      <c r="E4848" s="48" t="n"/>
      <c r="F4848" s="48" t="n"/>
      <c r="G4848" s="49" t="n"/>
      <c r="H4848" s="48" t="n"/>
      <c r="I4848" s="50" t="n"/>
      <c r="J4848" s="48" t="n"/>
      <c r="K4848" s="48" t="n"/>
      <c r="L4848" s="48" t="n"/>
      <c r="M4848" s="48" t="n"/>
      <c r="N4848" s="48" t="n"/>
      <c r="O4848" s="51">
        <f>IF(AND(B4848="",G4848="",C4848="",D4848="",J4848=""),"",IF(B4848="","⚠ Falta fecha",IF(G4848="","⚠ Falta monto",IF(Q4848="","⚠ Falta cuenta",IF(ISNA(MATCH(Q4848,ctaNombre,0)),"⚠ Cuenta no registrada",IF(AND(OR(P4848="Gasto",P4848="Reembolso"),D4848=""),"⚠ Falta categoría",IF(AND(D4848&lt;&gt;"",E4848&lt;&gt;"",ISNA(MATCH(D4848&amp;"|"&amp;E4848,catClave,0))),"⚠ Subcategoría no corresponde",IF(AND(OR(P4848="Transferencia",P4848="Pago tarjeta"),K4848=""),"⚠ Falta cuenta destino",IF(AND(K4848&lt;&gt;"",P4848&lt;&gt;"Transferencia",P4848&lt;&gt;"Pago tarjeta"),"⚠ Destino solo aplica a transferencias",IF(AND(K4848&lt;&gt;"",K4848=Q4848),"⚠ Origen igual a destino",IF(AND(K4848&lt;&gt;"",ISNA(MATCH(K4848,ctaNombre,0))),"⚠ Destino no registrado",IF(AND(P4848="Pago tarjeta",AE4848&lt;&gt;"Tarjeta de crédito"),"⚠ El destino debe ser tarjeta de crédito",IF(AND(P4848="Gasto",E4848="Depósitos y retiros"),"⚠ Usa tipo Transferencia",IF(AND(P4848="Resultado trading",AD4848&lt;&gt;"Cuenta de trading"),"⚠ Usa una cuenta de trading",IF(AND(G4848&lt;=0,P4848&lt;&gt;"Ajuste",P4848&lt;&gt;"Resultado trading"),"⚠ El monto debe ser positivo","✓")))))))))))))))</f>
        <v/>
      </c>
      <c r="P4848" s="52">
        <f>IF(OR(B4848="",G4848=""),"",IF(C4848="","Gasto",C4848))</f>
        <v/>
      </c>
      <c r="Q4848" s="52">
        <f>IF(P4848="","",IF(J4848&lt;&gt;"",J4848,CuentaPred&amp;""))</f>
        <v/>
      </c>
      <c r="R4848" s="52">
        <f>IF(P4848="","",IF(ISNUMBER(I4848),I4848,TasaUSD))</f>
        <v/>
      </c>
      <c r="S4848" s="53">
        <f>IF(P4848="","",IF(H4848="USD",G4848*R4848,G4848))</f>
        <v/>
      </c>
      <c r="T4848" s="53">
        <f>IF(P4848="","",IF(H4848="USD",G4848,IF(R4848&gt;0,G4848/R4848,0)))</f>
        <v/>
      </c>
      <c r="U4848" s="53">
        <f>IF(P4848="","",IF(P4848="Gasto",S4848,IF(P4848="Reembolso",-S4848,0)))</f>
        <v/>
      </c>
      <c r="V4848" s="53">
        <f>IF(P4848="","",IF(P4848="Ingreso",S4848,0))</f>
        <v/>
      </c>
      <c r="W4848" s="53">
        <f>IF(P4848="","",IF(P4848="Resultado trading",S4848,0))</f>
        <v/>
      </c>
      <c r="X4848" s="52">
        <f>IF(OR(P4848="Gasto",P4848="Reembolso"),IF(M4848&lt;&gt;"",M4848,IFERROR(INDEX(catClasif,MATCH(D4848&amp;"|"&amp;E4848,catClave,0))&amp;"","Variable")),"")</f>
        <v/>
      </c>
      <c r="Y4848" s="52">
        <f>IF(P4848="","",IFERROR(INDEX(catGrupo,MATCH(D4848&amp;"|"&amp;E4848,catClave,0))&amp;"",""))</f>
        <v/>
      </c>
      <c r="Z4848" s="52">
        <f>IF(P4848="","",WEEKDAY(B4848,2))</f>
        <v/>
      </c>
      <c r="AA4848" s="52">
        <f>IF(P4848="","",IF(AND(P4848="Gasto",X4848="Variable",D4848&lt;&gt;catTrading,S4848&gt;0,S4848&lt;=Umbral),1,0))</f>
        <v/>
      </c>
      <c r="AB4848" s="52">
        <f>IF(OR(P4848="",Q4848=""),"",IFERROR(IF(INDEX(ctaVinc,MATCH(Q4848,ctaNombre,0))&amp;""&lt;&gt;"",INDEX(ctaVinc,MATCH(Q4848,ctaNombre,0))&amp;"",Q4848),Q4848))</f>
        <v/>
      </c>
      <c r="AC4848" s="52">
        <f>IF(OR(K4848="",AND(P4848&lt;&gt;"Transferencia",P4848&lt;&gt;"Pago tarjeta")),"",IFERROR(IF(INDEX(ctaVinc,MATCH(K4848,ctaNombre,0))&amp;""&lt;&gt;"",INDEX(ctaVinc,MATCH(K4848,ctaNombre,0))&amp;"",K4848),K4848))</f>
        <v/>
      </c>
      <c r="AD4848" s="52">
        <f>IF(AB4848="","",IFERROR(INDEX(ctaTipo,MATCH(AB4848,ctaNombre,0))&amp;"",""))</f>
        <v/>
      </c>
      <c r="AE4848" s="52">
        <f>IF(AC4848="","",IFERROR(INDEX(ctaTipo,MATCH(AC4848,ctaNombre,0))&amp;"",""))</f>
        <v/>
      </c>
      <c r="AF4848" s="53">
        <f>IF(OR(P4848="",AB4848=""),"",IF(OR(P4848="Gasto",P4848="Transferencia",P4848="Pago tarjeta"),-1,1)*IF(IFERROR(INDEX(ctaMoneda,MATCH(AB4848,ctaNombre,0))&amp;"","DOP")="USD",T4848,S4848))</f>
        <v/>
      </c>
      <c r="AG4848" s="53">
        <f>IF(AC4848="","",IF(IFERROR(INDEX(ctaMoneda,MATCH(AC4848,ctaNombre,0))&amp;"","DOP")="USD",T4848,S4848))</f>
        <v/>
      </c>
      <c r="AH4848" s="53">
        <f>IF(P4848="","",IF(AND(AD4848&lt;&gt;"",COUNTIFS(tcTipo,AD4848,tcLiq,"Sí")&gt;0),IF(OR(P4848="Gasto",P4848="Transferencia",P4848="Pago tarjeta"),-1,1)*S4848,0)+IF(AND(AE4848&lt;&gt;"",COUNTIFS(tcTipo,AE4848,tcLiq,"Sí")&gt;0),S4848,0))</f>
        <v/>
      </c>
      <c r="AI4848" s="52">
        <f>IF(OR(L4848="",P4848=""),"",IF(COUNTIFS(L$6:L4848,L4848,P$6:P4848,"?*")=1,MAX(AI$5:AI4847)+1,""))</f>
        <v/>
      </c>
    </row>
    <row r="4849">
      <c r="B4849" s="47" t="n"/>
      <c r="C4849" s="48" t="n"/>
      <c r="D4849" s="48" t="n"/>
      <c r="E4849" s="48" t="n"/>
      <c r="F4849" s="48" t="n"/>
      <c r="G4849" s="49" t="n"/>
      <c r="H4849" s="48" t="n"/>
      <c r="I4849" s="50" t="n"/>
      <c r="J4849" s="48" t="n"/>
      <c r="K4849" s="48" t="n"/>
      <c r="L4849" s="48" t="n"/>
      <c r="M4849" s="48" t="n"/>
      <c r="N4849" s="48" t="n"/>
      <c r="O4849" s="51">
        <f>IF(AND(B4849="",G4849="",C4849="",D4849="",J4849=""),"",IF(B4849="","⚠ Falta fecha",IF(G4849="","⚠ Falta monto",IF(Q4849="","⚠ Falta cuenta",IF(ISNA(MATCH(Q4849,ctaNombre,0)),"⚠ Cuenta no registrada",IF(AND(OR(P4849="Gasto",P4849="Reembolso"),D4849=""),"⚠ Falta categoría",IF(AND(D4849&lt;&gt;"",E4849&lt;&gt;"",ISNA(MATCH(D4849&amp;"|"&amp;E4849,catClave,0))),"⚠ Subcategoría no corresponde",IF(AND(OR(P4849="Transferencia",P4849="Pago tarjeta"),K4849=""),"⚠ Falta cuenta destino",IF(AND(K4849&lt;&gt;"",P4849&lt;&gt;"Transferencia",P4849&lt;&gt;"Pago tarjeta"),"⚠ Destino solo aplica a transferencias",IF(AND(K4849&lt;&gt;"",K4849=Q4849),"⚠ Origen igual a destino",IF(AND(K4849&lt;&gt;"",ISNA(MATCH(K4849,ctaNombre,0))),"⚠ Destino no registrado",IF(AND(P4849="Pago tarjeta",AE4849&lt;&gt;"Tarjeta de crédito"),"⚠ El destino debe ser tarjeta de crédito",IF(AND(P4849="Gasto",E4849="Depósitos y retiros"),"⚠ Usa tipo Transferencia",IF(AND(P4849="Resultado trading",AD4849&lt;&gt;"Cuenta de trading"),"⚠ Usa una cuenta de trading",IF(AND(G4849&lt;=0,P4849&lt;&gt;"Ajuste",P4849&lt;&gt;"Resultado trading"),"⚠ El monto debe ser positivo","✓")))))))))))))))</f>
        <v/>
      </c>
      <c r="P4849" s="52">
        <f>IF(OR(B4849="",G4849=""),"",IF(C4849="","Gasto",C4849))</f>
        <v/>
      </c>
      <c r="Q4849" s="52">
        <f>IF(P4849="","",IF(J4849&lt;&gt;"",J4849,CuentaPred&amp;""))</f>
        <v/>
      </c>
      <c r="R4849" s="52">
        <f>IF(P4849="","",IF(ISNUMBER(I4849),I4849,TasaUSD))</f>
        <v/>
      </c>
      <c r="S4849" s="53">
        <f>IF(P4849="","",IF(H4849="USD",G4849*R4849,G4849))</f>
        <v/>
      </c>
      <c r="T4849" s="53">
        <f>IF(P4849="","",IF(H4849="USD",G4849,IF(R4849&gt;0,G4849/R4849,0)))</f>
        <v/>
      </c>
      <c r="U4849" s="53">
        <f>IF(P4849="","",IF(P4849="Gasto",S4849,IF(P4849="Reembolso",-S4849,0)))</f>
        <v/>
      </c>
      <c r="V4849" s="53">
        <f>IF(P4849="","",IF(P4849="Ingreso",S4849,0))</f>
        <v/>
      </c>
      <c r="W4849" s="53">
        <f>IF(P4849="","",IF(P4849="Resultado trading",S4849,0))</f>
        <v/>
      </c>
      <c r="X4849" s="52">
        <f>IF(OR(P4849="Gasto",P4849="Reembolso"),IF(M4849&lt;&gt;"",M4849,IFERROR(INDEX(catClasif,MATCH(D4849&amp;"|"&amp;E4849,catClave,0))&amp;"","Variable")),"")</f>
        <v/>
      </c>
      <c r="Y4849" s="52">
        <f>IF(P4849="","",IFERROR(INDEX(catGrupo,MATCH(D4849&amp;"|"&amp;E4849,catClave,0))&amp;"",""))</f>
        <v/>
      </c>
      <c r="Z4849" s="52">
        <f>IF(P4849="","",WEEKDAY(B4849,2))</f>
        <v/>
      </c>
      <c r="AA4849" s="52">
        <f>IF(P4849="","",IF(AND(P4849="Gasto",X4849="Variable",D4849&lt;&gt;catTrading,S4849&gt;0,S4849&lt;=Umbral),1,0))</f>
        <v/>
      </c>
      <c r="AB4849" s="52">
        <f>IF(OR(P4849="",Q4849=""),"",IFERROR(IF(INDEX(ctaVinc,MATCH(Q4849,ctaNombre,0))&amp;""&lt;&gt;"",INDEX(ctaVinc,MATCH(Q4849,ctaNombre,0))&amp;"",Q4849),Q4849))</f>
        <v/>
      </c>
      <c r="AC4849" s="52">
        <f>IF(OR(K4849="",AND(P4849&lt;&gt;"Transferencia",P4849&lt;&gt;"Pago tarjeta")),"",IFERROR(IF(INDEX(ctaVinc,MATCH(K4849,ctaNombre,0))&amp;""&lt;&gt;"",INDEX(ctaVinc,MATCH(K4849,ctaNombre,0))&amp;"",K4849),K4849))</f>
        <v/>
      </c>
      <c r="AD4849" s="52">
        <f>IF(AB4849="","",IFERROR(INDEX(ctaTipo,MATCH(AB4849,ctaNombre,0))&amp;"",""))</f>
        <v/>
      </c>
      <c r="AE4849" s="52">
        <f>IF(AC4849="","",IFERROR(INDEX(ctaTipo,MATCH(AC4849,ctaNombre,0))&amp;"",""))</f>
        <v/>
      </c>
      <c r="AF4849" s="53">
        <f>IF(OR(P4849="",AB4849=""),"",IF(OR(P4849="Gasto",P4849="Transferencia",P4849="Pago tarjeta"),-1,1)*IF(IFERROR(INDEX(ctaMoneda,MATCH(AB4849,ctaNombre,0))&amp;"","DOP")="USD",T4849,S4849))</f>
        <v/>
      </c>
      <c r="AG4849" s="53">
        <f>IF(AC4849="","",IF(IFERROR(INDEX(ctaMoneda,MATCH(AC4849,ctaNombre,0))&amp;"","DOP")="USD",T4849,S4849))</f>
        <v/>
      </c>
      <c r="AH4849" s="53">
        <f>IF(P4849="","",IF(AND(AD4849&lt;&gt;"",COUNTIFS(tcTipo,AD4849,tcLiq,"Sí")&gt;0),IF(OR(P4849="Gasto",P4849="Transferencia",P4849="Pago tarjeta"),-1,1)*S4849,0)+IF(AND(AE4849&lt;&gt;"",COUNTIFS(tcTipo,AE4849,tcLiq,"Sí")&gt;0),S4849,0))</f>
        <v/>
      </c>
      <c r="AI4849" s="52">
        <f>IF(OR(L4849="",P4849=""),"",IF(COUNTIFS(L$6:L4849,L4849,P$6:P4849,"?*")=1,MAX(AI$5:AI4848)+1,""))</f>
        <v/>
      </c>
    </row>
    <row r="4850">
      <c r="B4850" s="47" t="n"/>
      <c r="C4850" s="48" t="n"/>
      <c r="D4850" s="48" t="n"/>
      <c r="E4850" s="48" t="n"/>
      <c r="F4850" s="48" t="n"/>
      <c r="G4850" s="49" t="n"/>
      <c r="H4850" s="48" t="n"/>
      <c r="I4850" s="50" t="n"/>
      <c r="J4850" s="48" t="n"/>
      <c r="K4850" s="48" t="n"/>
      <c r="L4850" s="48" t="n"/>
      <c r="M4850" s="48" t="n"/>
      <c r="N4850" s="48" t="n"/>
      <c r="O4850" s="51">
        <f>IF(AND(B4850="",G4850="",C4850="",D4850="",J4850=""),"",IF(B4850="","⚠ Falta fecha",IF(G4850="","⚠ Falta monto",IF(Q4850="","⚠ Falta cuenta",IF(ISNA(MATCH(Q4850,ctaNombre,0)),"⚠ Cuenta no registrada",IF(AND(OR(P4850="Gasto",P4850="Reembolso"),D4850=""),"⚠ Falta categoría",IF(AND(D4850&lt;&gt;"",E4850&lt;&gt;"",ISNA(MATCH(D4850&amp;"|"&amp;E4850,catClave,0))),"⚠ Subcategoría no corresponde",IF(AND(OR(P4850="Transferencia",P4850="Pago tarjeta"),K4850=""),"⚠ Falta cuenta destino",IF(AND(K4850&lt;&gt;"",P4850&lt;&gt;"Transferencia",P4850&lt;&gt;"Pago tarjeta"),"⚠ Destino solo aplica a transferencias",IF(AND(K4850&lt;&gt;"",K4850=Q4850),"⚠ Origen igual a destino",IF(AND(K4850&lt;&gt;"",ISNA(MATCH(K4850,ctaNombre,0))),"⚠ Destino no registrado",IF(AND(P4850="Pago tarjeta",AE4850&lt;&gt;"Tarjeta de crédito"),"⚠ El destino debe ser tarjeta de crédito",IF(AND(P4850="Gasto",E4850="Depósitos y retiros"),"⚠ Usa tipo Transferencia",IF(AND(P4850="Resultado trading",AD4850&lt;&gt;"Cuenta de trading"),"⚠ Usa una cuenta de trading",IF(AND(G4850&lt;=0,P4850&lt;&gt;"Ajuste",P4850&lt;&gt;"Resultado trading"),"⚠ El monto debe ser positivo","✓")))))))))))))))</f>
        <v/>
      </c>
      <c r="P4850" s="52">
        <f>IF(OR(B4850="",G4850=""),"",IF(C4850="","Gasto",C4850))</f>
        <v/>
      </c>
      <c r="Q4850" s="52">
        <f>IF(P4850="","",IF(J4850&lt;&gt;"",J4850,CuentaPred&amp;""))</f>
        <v/>
      </c>
      <c r="R4850" s="52">
        <f>IF(P4850="","",IF(ISNUMBER(I4850),I4850,TasaUSD))</f>
        <v/>
      </c>
      <c r="S4850" s="53">
        <f>IF(P4850="","",IF(H4850="USD",G4850*R4850,G4850))</f>
        <v/>
      </c>
      <c r="T4850" s="53">
        <f>IF(P4850="","",IF(H4850="USD",G4850,IF(R4850&gt;0,G4850/R4850,0)))</f>
        <v/>
      </c>
      <c r="U4850" s="53">
        <f>IF(P4850="","",IF(P4850="Gasto",S4850,IF(P4850="Reembolso",-S4850,0)))</f>
        <v/>
      </c>
      <c r="V4850" s="53">
        <f>IF(P4850="","",IF(P4850="Ingreso",S4850,0))</f>
        <v/>
      </c>
      <c r="W4850" s="53">
        <f>IF(P4850="","",IF(P4850="Resultado trading",S4850,0))</f>
        <v/>
      </c>
      <c r="X4850" s="52">
        <f>IF(OR(P4850="Gasto",P4850="Reembolso"),IF(M4850&lt;&gt;"",M4850,IFERROR(INDEX(catClasif,MATCH(D4850&amp;"|"&amp;E4850,catClave,0))&amp;"","Variable")),"")</f>
        <v/>
      </c>
      <c r="Y4850" s="52">
        <f>IF(P4850="","",IFERROR(INDEX(catGrupo,MATCH(D4850&amp;"|"&amp;E4850,catClave,0))&amp;"",""))</f>
        <v/>
      </c>
      <c r="Z4850" s="52">
        <f>IF(P4850="","",WEEKDAY(B4850,2))</f>
        <v/>
      </c>
      <c r="AA4850" s="52">
        <f>IF(P4850="","",IF(AND(P4850="Gasto",X4850="Variable",D4850&lt;&gt;catTrading,S4850&gt;0,S4850&lt;=Umbral),1,0))</f>
        <v/>
      </c>
      <c r="AB4850" s="52">
        <f>IF(OR(P4850="",Q4850=""),"",IFERROR(IF(INDEX(ctaVinc,MATCH(Q4850,ctaNombre,0))&amp;""&lt;&gt;"",INDEX(ctaVinc,MATCH(Q4850,ctaNombre,0))&amp;"",Q4850),Q4850))</f>
        <v/>
      </c>
      <c r="AC4850" s="52">
        <f>IF(OR(K4850="",AND(P4850&lt;&gt;"Transferencia",P4850&lt;&gt;"Pago tarjeta")),"",IFERROR(IF(INDEX(ctaVinc,MATCH(K4850,ctaNombre,0))&amp;""&lt;&gt;"",INDEX(ctaVinc,MATCH(K4850,ctaNombre,0))&amp;"",K4850),K4850))</f>
        <v/>
      </c>
      <c r="AD4850" s="52">
        <f>IF(AB4850="","",IFERROR(INDEX(ctaTipo,MATCH(AB4850,ctaNombre,0))&amp;"",""))</f>
        <v/>
      </c>
      <c r="AE4850" s="52">
        <f>IF(AC4850="","",IFERROR(INDEX(ctaTipo,MATCH(AC4850,ctaNombre,0))&amp;"",""))</f>
        <v/>
      </c>
      <c r="AF4850" s="53">
        <f>IF(OR(P4850="",AB4850=""),"",IF(OR(P4850="Gasto",P4850="Transferencia",P4850="Pago tarjeta"),-1,1)*IF(IFERROR(INDEX(ctaMoneda,MATCH(AB4850,ctaNombre,0))&amp;"","DOP")="USD",T4850,S4850))</f>
        <v/>
      </c>
      <c r="AG4850" s="53">
        <f>IF(AC4850="","",IF(IFERROR(INDEX(ctaMoneda,MATCH(AC4850,ctaNombre,0))&amp;"","DOP")="USD",T4850,S4850))</f>
        <v/>
      </c>
      <c r="AH4850" s="53">
        <f>IF(P4850="","",IF(AND(AD4850&lt;&gt;"",COUNTIFS(tcTipo,AD4850,tcLiq,"Sí")&gt;0),IF(OR(P4850="Gasto",P4850="Transferencia",P4850="Pago tarjeta"),-1,1)*S4850,0)+IF(AND(AE4850&lt;&gt;"",COUNTIFS(tcTipo,AE4850,tcLiq,"Sí")&gt;0),S4850,0))</f>
        <v/>
      </c>
      <c r="AI4850" s="52">
        <f>IF(OR(L4850="",P4850=""),"",IF(COUNTIFS(L$6:L4850,L4850,P$6:P4850,"?*")=1,MAX(AI$5:AI4849)+1,""))</f>
        <v/>
      </c>
    </row>
    <row r="4851">
      <c r="B4851" s="47" t="n"/>
      <c r="C4851" s="48" t="n"/>
      <c r="D4851" s="48" t="n"/>
      <c r="E4851" s="48" t="n"/>
      <c r="F4851" s="48" t="n"/>
      <c r="G4851" s="49" t="n"/>
      <c r="H4851" s="48" t="n"/>
      <c r="I4851" s="50" t="n"/>
      <c r="J4851" s="48" t="n"/>
      <c r="K4851" s="48" t="n"/>
      <c r="L4851" s="48" t="n"/>
      <c r="M4851" s="48" t="n"/>
      <c r="N4851" s="48" t="n"/>
      <c r="O4851" s="51">
        <f>IF(AND(B4851="",G4851="",C4851="",D4851="",J4851=""),"",IF(B4851="","⚠ Falta fecha",IF(G4851="","⚠ Falta monto",IF(Q4851="","⚠ Falta cuenta",IF(ISNA(MATCH(Q4851,ctaNombre,0)),"⚠ Cuenta no registrada",IF(AND(OR(P4851="Gasto",P4851="Reembolso"),D4851=""),"⚠ Falta categoría",IF(AND(D4851&lt;&gt;"",E4851&lt;&gt;"",ISNA(MATCH(D4851&amp;"|"&amp;E4851,catClave,0))),"⚠ Subcategoría no corresponde",IF(AND(OR(P4851="Transferencia",P4851="Pago tarjeta"),K4851=""),"⚠ Falta cuenta destino",IF(AND(K4851&lt;&gt;"",P4851&lt;&gt;"Transferencia",P4851&lt;&gt;"Pago tarjeta"),"⚠ Destino solo aplica a transferencias",IF(AND(K4851&lt;&gt;"",K4851=Q4851),"⚠ Origen igual a destino",IF(AND(K4851&lt;&gt;"",ISNA(MATCH(K4851,ctaNombre,0))),"⚠ Destino no registrado",IF(AND(P4851="Pago tarjeta",AE4851&lt;&gt;"Tarjeta de crédito"),"⚠ El destino debe ser tarjeta de crédito",IF(AND(P4851="Gasto",E4851="Depósitos y retiros"),"⚠ Usa tipo Transferencia",IF(AND(P4851="Resultado trading",AD4851&lt;&gt;"Cuenta de trading"),"⚠ Usa una cuenta de trading",IF(AND(G4851&lt;=0,P4851&lt;&gt;"Ajuste",P4851&lt;&gt;"Resultado trading"),"⚠ El monto debe ser positivo","✓")))))))))))))))</f>
        <v/>
      </c>
      <c r="P4851" s="52">
        <f>IF(OR(B4851="",G4851=""),"",IF(C4851="","Gasto",C4851))</f>
        <v/>
      </c>
      <c r="Q4851" s="52">
        <f>IF(P4851="","",IF(J4851&lt;&gt;"",J4851,CuentaPred&amp;""))</f>
        <v/>
      </c>
      <c r="R4851" s="52">
        <f>IF(P4851="","",IF(ISNUMBER(I4851),I4851,TasaUSD))</f>
        <v/>
      </c>
      <c r="S4851" s="53">
        <f>IF(P4851="","",IF(H4851="USD",G4851*R4851,G4851))</f>
        <v/>
      </c>
      <c r="T4851" s="53">
        <f>IF(P4851="","",IF(H4851="USD",G4851,IF(R4851&gt;0,G4851/R4851,0)))</f>
        <v/>
      </c>
      <c r="U4851" s="53">
        <f>IF(P4851="","",IF(P4851="Gasto",S4851,IF(P4851="Reembolso",-S4851,0)))</f>
        <v/>
      </c>
      <c r="V4851" s="53">
        <f>IF(P4851="","",IF(P4851="Ingreso",S4851,0))</f>
        <v/>
      </c>
      <c r="W4851" s="53">
        <f>IF(P4851="","",IF(P4851="Resultado trading",S4851,0))</f>
        <v/>
      </c>
      <c r="X4851" s="52">
        <f>IF(OR(P4851="Gasto",P4851="Reembolso"),IF(M4851&lt;&gt;"",M4851,IFERROR(INDEX(catClasif,MATCH(D4851&amp;"|"&amp;E4851,catClave,0))&amp;"","Variable")),"")</f>
        <v/>
      </c>
      <c r="Y4851" s="52">
        <f>IF(P4851="","",IFERROR(INDEX(catGrupo,MATCH(D4851&amp;"|"&amp;E4851,catClave,0))&amp;"",""))</f>
        <v/>
      </c>
      <c r="Z4851" s="52">
        <f>IF(P4851="","",WEEKDAY(B4851,2))</f>
        <v/>
      </c>
      <c r="AA4851" s="52">
        <f>IF(P4851="","",IF(AND(P4851="Gasto",X4851="Variable",D4851&lt;&gt;catTrading,S4851&gt;0,S4851&lt;=Umbral),1,0))</f>
        <v/>
      </c>
      <c r="AB4851" s="52">
        <f>IF(OR(P4851="",Q4851=""),"",IFERROR(IF(INDEX(ctaVinc,MATCH(Q4851,ctaNombre,0))&amp;""&lt;&gt;"",INDEX(ctaVinc,MATCH(Q4851,ctaNombre,0))&amp;"",Q4851),Q4851))</f>
        <v/>
      </c>
      <c r="AC4851" s="52">
        <f>IF(OR(K4851="",AND(P4851&lt;&gt;"Transferencia",P4851&lt;&gt;"Pago tarjeta")),"",IFERROR(IF(INDEX(ctaVinc,MATCH(K4851,ctaNombre,0))&amp;""&lt;&gt;"",INDEX(ctaVinc,MATCH(K4851,ctaNombre,0))&amp;"",K4851),K4851))</f>
        <v/>
      </c>
      <c r="AD4851" s="52">
        <f>IF(AB4851="","",IFERROR(INDEX(ctaTipo,MATCH(AB4851,ctaNombre,0))&amp;"",""))</f>
        <v/>
      </c>
      <c r="AE4851" s="52">
        <f>IF(AC4851="","",IFERROR(INDEX(ctaTipo,MATCH(AC4851,ctaNombre,0))&amp;"",""))</f>
        <v/>
      </c>
      <c r="AF4851" s="53">
        <f>IF(OR(P4851="",AB4851=""),"",IF(OR(P4851="Gasto",P4851="Transferencia",P4851="Pago tarjeta"),-1,1)*IF(IFERROR(INDEX(ctaMoneda,MATCH(AB4851,ctaNombre,0))&amp;"","DOP")="USD",T4851,S4851))</f>
        <v/>
      </c>
      <c r="AG4851" s="53">
        <f>IF(AC4851="","",IF(IFERROR(INDEX(ctaMoneda,MATCH(AC4851,ctaNombre,0))&amp;"","DOP")="USD",T4851,S4851))</f>
        <v/>
      </c>
      <c r="AH4851" s="53">
        <f>IF(P4851="","",IF(AND(AD4851&lt;&gt;"",COUNTIFS(tcTipo,AD4851,tcLiq,"Sí")&gt;0),IF(OR(P4851="Gasto",P4851="Transferencia",P4851="Pago tarjeta"),-1,1)*S4851,0)+IF(AND(AE4851&lt;&gt;"",COUNTIFS(tcTipo,AE4851,tcLiq,"Sí")&gt;0),S4851,0))</f>
        <v/>
      </c>
      <c r="AI4851" s="52">
        <f>IF(OR(L4851="",P4851=""),"",IF(COUNTIFS(L$6:L4851,L4851,P$6:P4851,"?*")=1,MAX(AI$5:AI4850)+1,""))</f>
        <v/>
      </c>
    </row>
    <row r="4852">
      <c r="B4852" s="47" t="n"/>
      <c r="C4852" s="48" t="n"/>
      <c r="D4852" s="48" t="n"/>
      <c r="E4852" s="48" t="n"/>
      <c r="F4852" s="48" t="n"/>
      <c r="G4852" s="49" t="n"/>
      <c r="H4852" s="48" t="n"/>
      <c r="I4852" s="50" t="n"/>
      <c r="J4852" s="48" t="n"/>
      <c r="K4852" s="48" t="n"/>
      <c r="L4852" s="48" t="n"/>
      <c r="M4852" s="48" t="n"/>
      <c r="N4852" s="48" t="n"/>
      <c r="O4852" s="51">
        <f>IF(AND(B4852="",G4852="",C4852="",D4852="",J4852=""),"",IF(B4852="","⚠ Falta fecha",IF(G4852="","⚠ Falta monto",IF(Q4852="","⚠ Falta cuenta",IF(ISNA(MATCH(Q4852,ctaNombre,0)),"⚠ Cuenta no registrada",IF(AND(OR(P4852="Gasto",P4852="Reembolso"),D4852=""),"⚠ Falta categoría",IF(AND(D4852&lt;&gt;"",E4852&lt;&gt;"",ISNA(MATCH(D4852&amp;"|"&amp;E4852,catClave,0))),"⚠ Subcategoría no corresponde",IF(AND(OR(P4852="Transferencia",P4852="Pago tarjeta"),K4852=""),"⚠ Falta cuenta destino",IF(AND(K4852&lt;&gt;"",P4852&lt;&gt;"Transferencia",P4852&lt;&gt;"Pago tarjeta"),"⚠ Destino solo aplica a transferencias",IF(AND(K4852&lt;&gt;"",K4852=Q4852),"⚠ Origen igual a destino",IF(AND(K4852&lt;&gt;"",ISNA(MATCH(K4852,ctaNombre,0))),"⚠ Destino no registrado",IF(AND(P4852="Pago tarjeta",AE4852&lt;&gt;"Tarjeta de crédito"),"⚠ El destino debe ser tarjeta de crédito",IF(AND(P4852="Gasto",E4852="Depósitos y retiros"),"⚠ Usa tipo Transferencia",IF(AND(P4852="Resultado trading",AD4852&lt;&gt;"Cuenta de trading"),"⚠ Usa una cuenta de trading",IF(AND(G4852&lt;=0,P4852&lt;&gt;"Ajuste",P4852&lt;&gt;"Resultado trading"),"⚠ El monto debe ser positivo","✓")))))))))))))))</f>
        <v/>
      </c>
      <c r="P4852" s="52">
        <f>IF(OR(B4852="",G4852=""),"",IF(C4852="","Gasto",C4852))</f>
        <v/>
      </c>
      <c r="Q4852" s="52">
        <f>IF(P4852="","",IF(J4852&lt;&gt;"",J4852,CuentaPred&amp;""))</f>
        <v/>
      </c>
      <c r="R4852" s="52">
        <f>IF(P4852="","",IF(ISNUMBER(I4852),I4852,TasaUSD))</f>
        <v/>
      </c>
      <c r="S4852" s="53">
        <f>IF(P4852="","",IF(H4852="USD",G4852*R4852,G4852))</f>
        <v/>
      </c>
      <c r="T4852" s="53">
        <f>IF(P4852="","",IF(H4852="USD",G4852,IF(R4852&gt;0,G4852/R4852,0)))</f>
        <v/>
      </c>
      <c r="U4852" s="53">
        <f>IF(P4852="","",IF(P4852="Gasto",S4852,IF(P4852="Reembolso",-S4852,0)))</f>
        <v/>
      </c>
      <c r="V4852" s="53">
        <f>IF(P4852="","",IF(P4852="Ingreso",S4852,0))</f>
        <v/>
      </c>
      <c r="W4852" s="53">
        <f>IF(P4852="","",IF(P4852="Resultado trading",S4852,0))</f>
        <v/>
      </c>
      <c r="X4852" s="52">
        <f>IF(OR(P4852="Gasto",P4852="Reembolso"),IF(M4852&lt;&gt;"",M4852,IFERROR(INDEX(catClasif,MATCH(D4852&amp;"|"&amp;E4852,catClave,0))&amp;"","Variable")),"")</f>
        <v/>
      </c>
      <c r="Y4852" s="52">
        <f>IF(P4852="","",IFERROR(INDEX(catGrupo,MATCH(D4852&amp;"|"&amp;E4852,catClave,0))&amp;"",""))</f>
        <v/>
      </c>
      <c r="Z4852" s="52">
        <f>IF(P4852="","",WEEKDAY(B4852,2))</f>
        <v/>
      </c>
      <c r="AA4852" s="52">
        <f>IF(P4852="","",IF(AND(P4852="Gasto",X4852="Variable",D4852&lt;&gt;catTrading,S4852&gt;0,S4852&lt;=Umbral),1,0))</f>
        <v/>
      </c>
      <c r="AB4852" s="52">
        <f>IF(OR(P4852="",Q4852=""),"",IFERROR(IF(INDEX(ctaVinc,MATCH(Q4852,ctaNombre,0))&amp;""&lt;&gt;"",INDEX(ctaVinc,MATCH(Q4852,ctaNombre,0))&amp;"",Q4852),Q4852))</f>
        <v/>
      </c>
      <c r="AC4852" s="52">
        <f>IF(OR(K4852="",AND(P4852&lt;&gt;"Transferencia",P4852&lt;&gt;"Pago tarjeta")),"",IFERROR(IF(INDEX(ctaVinc,MATCH(K4852,ctaNombre,0))&amp;""&lt;&gt;"",INDEX(ctaVinc,MATCH(K4852,ctaNombre,0))&amp;"",K4852),K4852))</f>
        <v/>
      </c>
      <c r="AD4852" s="52">
        <f>IF(AB4852="","",IFERROR(INDEX(ctaTipo,MATCH(AB4852,ctaNombre,0))&amp;"",""))</f>
        <v/>
      </c>
      <c r="AE4852" s="52">
        <f>IF(AC4852="","",IFERROR(INDEX(ctaTipo,MATCH(AC4852,ctaNombre,0))&amp;"",""))</f>
        <v/>
      </c>
      <c r="AF4852" s="53">
        <f>IF(OR(P4852="",AB4852=""),"",IF(OR(P4852="Gasto",P4852="Transferencia",P4852="Pago tarjeta"),-1,1)*IF(IFERROR(INDEX(ctaMoneda,MATCH(AB4852,ctaNombre,0))&amp;"","DOP")="USD",T4852,S4852))</f>
        <v/>
      </c>
      <c r="AG4852" s="53">
        <f>IF(AC4852="","",IF(IFERROR(INDEX(ctaMoneda,MATCH(AC4852,ctaNombre,0))&amp;"","DOP")="USD",T4852,S4852))</f>
        <v/>
      </c>
      <c r="AH4852" s="53">
        <f>IF(P4852="","",IF(AND(AD4852&lt;&gt;"",COUNTIFS(tcTipo,AD4852,tcLiq,"Sí")&gt;0),IF(OR(P4852="Gasto",P4852="Transferencia",P4852="Pago tarjeta"),-1,1)*S4852,0)+IF(AND(AE4852&lt;&gt;"",COUNTIFS(tcTipo,AE4852,tcLiq,"Sí")&gt;0),S4852,0))</f>
        <v/>
      </c>
      <c r="AI4852" s="52">
        <f>IF(OR(L4852="",P4852=""),"",IF(COUNTIFS(L$6:L4852,L4852,P$6:P4852,"?*")=1,MAX(AI$5:AI4851)+1,""))</f>
        <v/>
      </c>
    </row>
    <row r="4853">
      <c r="B4853" s="47" t="n"/>
      <c r="C4853" s="48" t="n"/>
      <c r="D4853" s="48" t="n"/>
      <c r="E4853" s="48" t="n"/>
      <c r="F4853" s="48" t="n"/>
      <c r="G4853" s="49" t="n"/>
      <c r="H4853" s="48" t="n"/>
      <c r="I4853" s="50" t="n"/>
      <c r="J4853" s="48" t="n"/>
      <c r="K4853" s="48" t="n"/>
      <c r="L4853" s="48" t="n"/>
      <c r="M4853" s="48" t="n"/>
      <c r="N4853" s="48" t="n"/>
      <c r="O4853" s="51">
        <f>IF(AND(B4853="",G4853="",C4853="",D4853="",J4853=""),"",IF(B4853="","⚠ Falta fecha",IF(G4853="","⚠ Falta monto",IF(Q4853="","⚠ Falta cuenta",IF(ISNA(MATCH(Q4853,ctaNombre,0)),"⚠ Cuenta no registrada",IF(AND(OR(P4853="Gasto",P4853="Reembolso"),D4853=""),"⚠ Falta categoría",IF(AND(D4853&lt;&gt;"",E4853&lt;&gt;"",ISNA(MATCH(D4853&amp;"|"&amp;E4853,catClave,0))),"⚠ Subcategoría no corresponde",IF(AND(OR(P4853="Transferencia",P4853="Pago tarjeta"),K4853=""),"⚠ Falta cuenta destino",IF(AND(K4853&lt;&gt;"",P4853&lt;&gt;"Transferencia",P4853&lt;&gt;"Pago tarjeta"),"⚠ Destino solo aplica a transferencias",IF(AND(K4853&lt;&gt;"",K4853=Q4853),"⚠ Origen igual a destino",IF(AND(K4853&lt;&gt;"",ISNA(MATCH(K4853,ctaNombre,0))),"⚠ Destino no registrado",IF(AND(P4853="Pago tarjeta",AE4853&lt;&gt;"Tarjeta de crédito"),"⚠ El destino debe ser tarjeta de crédito",IF(AND(P4853="Gasto",E4853="Depósitos y retiros"),"⚠ Usa tipo Transferencia",IF(AND(P4853="Resultado trading",AD4853&lt;&gt;"Cuenta de trading"),"⚠ Usa una cuenta de trading",IF(AND(G4853&lt;=0,P4853&lt;&gt;"Ajuste",P4853&lt;&gt;"Resultado trading"),"⚠ El monto debe ser positivo","✓")))))))))))))))</f>
        <v/>
      </c>
      <c r="P4853" s="52">
        <f>IF(OR(B4853="",G4853=""),"",IF(C4853="","Gasto",C4853))</f>
        <v/>
      </c>
      <c r="Q4853" s="52">
        <f>IF(P4853="","",IF(J4853&lt;&gt;"",J4853,CuentaPred&amp;""))</f>
        <v/>
      </c>
      <c r="R4853" s="52">
        <f>IF(P4853="","",IF(ISNUMBER(I4853),I4853,TasaUSD))</f>
        <v/>
      </c>
      <c r="S4853" s="53">
        <f>IF(P4853="","",IF(H4853="USD",G4853*R4853,G4853))</f>
        <v/>
      </c>
      <c r="T4853" s="53">
        <f>IF(P4853="","",IF(H4853="USD",G4853,IF(R4853&gt;0,G4853/R4853,0)))</f>
        <v/>
      </c>
      <c r="U4853" s="53">
        <f>IF(P4853="","",IF(P4853="Gasto",S4853,IF(P4853="Reembolso",-S4853,0)))</f>
        <v/>
      </c>
      <c r="V4853" s="53">
        <f>IF(P4853="","",IF(P4853="Ingreso",S4853,0))</f>
        <v/>
      </c>
      <c r="W4853" s="53">
        <f>IF(P4853="","",IF(P4853="Resultado trading",S4853,0))</f>
        <v/>
      </c>
      <c r="X4853" s="52">
        <f>IF(OR(P4853="Gasto",P4853="Reembolso"),IF(M4853&lt;&gt;"",M4853,IFERROR(INDEX(catClasif,MATCH(D4853&amp;"|"&amp;E4853,catClave,0))&amp;"","Variable")),"")</f>
        <v/>
      </c>
      <c r="Y4853" s="52">
        <f>IF(P4853="","",IFERROR(INDEX(catGrupo,MATCH(D4853&amp;"|"&amp;E4853,catClave,0))&amp;"",""))</f>
        <v/>
      </c>
      <c r="Z4853" s="52">
        <f>IF(P4853="","",WEEKDAY(B4853,2))</f>
        <v/>
      </c>
      <c r="AA4853" s="52">
        <f>IF(P4853="","",IF(AND(P4853="Gasto",X4853="Variable",D4853&lt;&gt;catTrading,S4853&gt;0,S4853&lt;=Umbral),1,0))</f>
        <v/>
      </c>
      <c r="AB4853" s="52">
        <f>IF(OR(P4853="",Q4853=""),"",IFERROR(IF(INDEX(ctaVinc,MATCH(Q4853,ctaNombre,0))&amp;""&lt;&gt;"",INDEX(ctaVinc,MATCH(Q4853,ctaNombre,0))&amp;"",Q4853),Q4853))</f>
        <v/>
      </c>
      <c r="AC4853" s="52">
        <f>IF(OR(K4853="",AND(P4853&lt;&gt;"Transferencia",P4853&lt;&gt;"Pago tarjeta")),"",IFERROR(IF(INDEX(ctaVinc,MATCH(K4853,ctaNombre,0))&amp;""&lt;&gt;"",INDEX(ctaVinc,MATCH(K4853,ctaNombre,0))&amp;"",K4853),K4853))</f>
        <v/>
      </c>
      <c r="AD4853" s="52">
        <f>IF(AB4853="","",IFERROR(INDEX(ctaTipo,MATCH(AB4853,ctaNombre,0))&amp;"",""))</f>
        <v/>
      </c>
      <c r="AE4853" s="52">
        <f>IF(AC4853="","",IFERROR(INDEX(ctaTipo,MATCH(AC4853,ctaNombre,0))&amp;"",""))</f>
        <v/>
      </c>
      <c r="AF4853" s="53">
        <f>IF(OR(P4853="",AB4853=""),"",IF(OR(P4853="Gasto",P4853="Transferencia",P4853="Pago tarjeta"),-1,1)*IF(IFERROR(INDEX(ctaMoneda,MATCH(AB4853,ctaNombre,0))&amp;"","DOP")="USD",T4853,S4853))</f>
        <v/>
      </c>
      <c r="AG4853" s="53">
        <f>IF(AC4853="","",IF(IFERROR(INDEX(ctaMoneda,MATCH(AC4853,ctaNombre,0))&amp;"","DOP")="USD",T4853,S4853))</f>
        <v/>
      </c>
      <c r="AH4853" s="53">
        <f>IF(P4853="","",IF(AND(AD4853&lt;&gt;"",COUNTIFS(tcTipo,AD4853,tcLiq,"Sí")&gt;0),IF(OR(P4853="Gasto",P4853="Transferencia",P4853="Pago tarjeta"),-1,1)*S4853,0)+IF(AND(AE4853&lt;&gt;"",COUNTIFS(tcTipo,AE4853,tcLiq,"Sí")&gt;0),S4853,0))</f>
        <v/>
      </c>
      <c r="AI4853" s="52">
        <f>IF(OR(L4853="",P4853=""),"",IF(COUNTIFS(L$6:L4853,L4853,P$6:P4853,"?*")=1,MAX(AI$5:AI4852)+1,""))</f>
        <v/>
      </c>
    </row>
    <row r="4854">
      <c r="B4854" s="47" t="n"/>
      <c r="C4854" s="48" t="n"/>
      <c r="D4854" s="48" t="n"/>
      <c r="E4854" s="48" t="n"/>
      <c r="F4854" s="48" t="n"/>
      <c r="G4854" s="49" t="n"/>
      <c r="H4854" s="48" t="n"/>
      <c r="I4854" s="50" t="n"/>
      <c r="J4854" s="48" t="n"/>
      <c r="K4854" s="48" t="n"/>
      <c r="L4854" s="48" t="n"/>
      <c r="M4854" s="48" t="n"/>
      <c r="N4854" s="48" t="n"/>
      <c r="O4854" s="51">
        <f>IF(AND(B4854="",G4854="",C4854="",D4854="",J4854=""),"",IF(B4854="","⚠ Falta fecha",IF(G4854="","⚠ Falta monto",IF(Q4854="","⚠ Falta cuenta",IF(ISNA(MATCH(Q4854,ctaNombre,0)),"⚠ Cuenta no registrada",IF(AND(OR(P4854="Gasto",P4854="Reembolso"),D4854=""),"⚠ Falta categoría",IF(AND(D4854&lt;&gt;"",E4854&lt;&gt;"",ISNA(MATCH(D4854&amp;"|"&amp;E4854,catClave,0))),"⚠ Subcategoría no corresponde",IF(AND(OR(P4854="Transferencia",P4854="Pago tarjeta"),K4854=""),"⚠ Falta cuenta destino",IF(AND(K4854&lt;&gt;"",P4854&lt;&gt;"Transferencia",P4854&lt;&gt;"Pago tarjeta"),"⚠ Destino solo aplica a transferencias",IF(AND(K4854&lt;&gt;"",K4854=Q4854),"⚠ Origen igual a destino",IF(AND(K4854&lt;&gt;"",ISNA(MATCH(K4854,ctaNombre,0))),"⚠ Destino no registrado",IF(AND(P4854="Pago tarjeta",AE4854&lt;&gt;"Tarjeta de crédito"),"⚠ El destino debe ser tarjeta de crédito",IF(AND(P4854="Gasto",E4854="Depósitos y retiros"),"⚠ Usa tipo Transferencia",IF(AND(P4854="Resultado trading",AD4854&lt;&gt;"Cuenta de trading"),"⚠ Usa una cuenta de trading",IF(AND(G4854&lt;=0,P4854&lt;&gt;"Ajuste",P4854&lt;&gt;"Resultado trading"),"⚠ El monto debe ser positivo","✓")))))))))))))))</f>
        <v/>
      </c>
      <c r="P4854" s="52">
        <f>IF(OR(B4854="",G4854=""),"",IF(C4854="","Gasto",C4854))</f>
        <v/>
      </c>
      <c r="Q4854" s="52">
        <f>IF(P4854="","",IF(J4854&lt;&gt;"",J4854,CuentaPred&amp;""))</f>
        <v/>
      </c>
      <c r="R4854" s="52">
        <f>IF(P4854="","",IF(ISNUMBER(I4854),I4854,TasaUSD))</f>
        <v/>
      </c>
      <c r="S4854" s="53">
        <f>IF(P4854="","",IF(H4854="USD",G4854*R4854,G4854))</f>
        <v/>
      </c>
      <c r="T4854" s="53">
        <f>IF(P4854="","",IF(H4854="USD",G4854,IF(R4854&gt;0,G4854/R4854,0)))</f>
        <v/>
      </c>
      <c r="U4854" s="53">
        <f>IF(P4854="","",IF(P4854="Gasto",S4854,IF(P4854="Reembolso",-S4854,0)))</f>
        <v/>
      </c>
      <c r="V4854" s="53">
        <f>IF(P4854="","",IF(P4854="Ingreso",S4854,0))</f>
        <v/>
      </c>
      <c r="W4854" s="53">
        <f>IF(P4854="","",IF(P4854="Resultado trading",S4854,0))</f>
        <v/>
      </c>
      <c r="X4854" s="52">
        <f>IF(OR(P4854="Gasto",P4854="Reembolso"),IF(M4854&lt;&gt;"",M4854,IFERROR(INDEX(catClasif,MATCH(D4854&amp;"|"&amp;E4854,catClave,0))&amp;"","Variable")),"")</f>
        <v/>
      </c>
      <c r="Y4854" s="52">
        <f>IF(P4854="","",IFERROR(INDEX(catGrupo,MATCH(D4854&amp;"|"&amp;E4854,catClave,0))&amp;"",""))</f>
        <v/>
      </c>
      <c r="Z4854" s="52">
        <f>IF(P4854="","",WEEKDAY(B4854,2))</f>
        <v/>
      </c>
      <c r="AA4854" s="52">
        <f>IF(P4854="","",IF(AND(P4854="Gasto",X4854="Variable",D4854&lt;&gt;catTrading,S4854&gt;0,S4854&lt;=Umbral),1,0))</f>
        <v/>
      </c>
      <c r="AB4854" s="52">
        <f>IF(OR(P4854="",Q4854=""),"",IFERROR(IF(INDEX(ctaVinc,MATCH(Q4854,ctaNombre,0))&amp;""&lt;&gt;"",INDEX(ctaVinc,MATCH(Q4854,ctaNombre,0))&amp;"",Q4854),Q4854))</f>
        <v/>
      </c>
      <c r="AC4854" s="52">
        <f>IF(OR(K4854="",AND(P4854&lt;&gt;"Transferencia",P4854&lt;&gt;"Pago tarjeta")),"",IFERROR(IF(INDEX(ctaVinc,MATCH(K4854,ctaNombre,0))&amp;""&lt;&gt;"",INDEX(ctaVinc,MATCH(K4854,ctaNombre,0))&amp;"",K4854),K4854))</f>
        <v/>
      </c>
      <c r="AD4854" s="52">
        <f>IF(AB4854="","",IFERROR(INDEX(ctaTipo,MATCH(AB4854,ctaNombre,0))&amp;"",""))</f>
        <v/>
      </c>
      <c r="AE4854" s="52">
        <f>IF(AC4854="","",IFERROR(INDEX(ctaTipo,MATCH(AC4854,ctaNombre,0))&amp;"",""))</f>
        <v/>
      </c>
      <c r="AF4854" s="53">
        <f>IF(OR(P4854="",AB4854=""),"",IF(OR(P4854="Gasto",P4854="Transferencia",P4854="Pago tarjeta"),-1,1)*IF(IFERROR(INDEX(ctaMoneda,MATCH(AB4854,ctaNombre,0))&amp;"","DOP")="USD",T4854,S4854))</f>
        <v/>
      </c>
      <c r="AG4854" s="53">
        <f>IF(AC4854="","",IF(IFERROR(INDEX(ctaMoneda,MATCH(AC4854,ctaNombre,0))&amp;"","DOP")="USD",T4854,S4854))</f>
        <v/>
      </c>
      <c r="AH4854" s="53">
        <f>IF(P4854="","",IF(AND(AD4854&lt;&gt;"",COUNTIFS(tcTipo,AD4854,tcLiq,"Sí")&gt;0),IF(OR(P4854="Gasto",P4854="Transferencia",P4854="Pago tarjeta"),-1,1)*S4854,0)+IF(AND(AE4854&lt;&gt;"",COUNTIFS(tcTipo,AE4854,tcLiq,"Sí")&gt;0),S4854,0))</f>
        <v/>
      </c>
      <c r="AI4854" s="52">
        <f>IF(OR(L4854="",P4854=""),"",IF(COUNTIFS(L$6:L4854,L4854,P$6:P4854,"?*")=1,MAX(AI$5:AI4853)+1,""))</f>
        <v/>
      </c>
    </row>
    <row r="4855">
      <c r="B4855" s="47" t="n"/>
      <c r="C4855" s="48" t="n"/>
      <c r="D4855" s="48" t="n"/>
      <c r="E4855" s="48" t="n"/>
      <c r="F4855" s="48" t="n"/>
      <c r="G4855" s="49" t="n"/>
      <c r="H4855" s="48" t="n"/>
      <c r="I4855" s="50" t="n"/>
      <c r="J4855" s="48" t="n"/>
      <c r="K4855" s="48" t="n"/>
      <c r="L4855" s="48" t="n"/>
      <c r="M4855" s="48" t="n"/>
      <c r="N4855" s="48" t="n"/>
      <c r="O4855" s="51">
        <f>IF(AND(B4855="",G4855="",C4855="",D4855="",J4855=""),"",IF(B4855="","⚠ Falta fecha",IF(G4855="","⚠ Falta monto",IF(Q4855="","⚠ Falta cuenta",IF(ISNA(MATCH(Q4855,ctaNombre,0)),"⚠ Cuenta no registrada",IF(AND(OR(P4855="Gasto",P4855="Reembolso"),D4855=""),"⚠ Falta categoría",IF(AND(D4855&lt;&gt;"",E4855&lt;&gt;"",ISNA(MATCH(D4855&amp;"|"&amp;E4855,catClave,0))),"⚠ Subcategoría no corresponde",IF(AND(OR(P4855="Transferencia",P4855="Pago tarjeta"),K4855=""),"⚠ Falta cuenta destino",IF(AND(K4855&lt;&gt;"",P4855&lt;&gt;"Transferencia",P4855&lt;&gt;"Pago tarjeta"),"⚠ Destino solo aplica a transferencias",IF(AND(K4855&lt;&gt;"",K4855=Q4855),"⚠ Origen igual a destino",IF(AND(K4855&lt;&gt;"",ISNA(MATCH(K4855,ctaNombre,0))),"⚠ Destino no registrado",IF(AND(P4855="Pago tarjeta",AE4855&lt;&gt;"Tarjeta de crédito"),"⚠ El destino debe ser tarjeta de crédito",IF(AND(P4855="Gasto",E4855="Depósitos y retiros"),"⚠ Usa tipo Transferencia",IF(AND(P4855="Resultado trading",AD4855&lt;&gt;"Cuenta de trading"),"⚠ Usa una cuenta de trading",IF(AND(G4855&lt;=0,P4855&lt;&gt;"Ajuste",P4855&lt;&gt;"Resultado trading"),"⚠ El monto debe ser positivo","✓")))))))))))))))</f>
        <v/>
      </c>
      <c r="P4855" s="52">
        <f>IF(OR(B4855="",G4855=""),"",IF(C4855="","Gasto",C4855))</f>
        <v/>
      </c>
      <c r="Q4855" s="52">
        <f>IF(P4855="","",IF(J4855&lt;&gt;"",J4855,CuentaPred&amp;""))</f>
        <v/>
      </c>
      <c r="R4855" s="52">
        <f>IF(P4855="","",IF(ISNUMBER(I4855),I4855,TasaUSD))</f>
        <v/>
      </c>
      <c r="S4855" s="53">
        <f>IF(P4855="","",IF(H4855="USD",G4855*R4855,G4855))</f>
        <v/>
      </c>
      <c r="T4855" s="53">
        <f>IF(P4855="","",IF(H4855="USD",G4855,IF(R4855&gt;0,G4855/R4855,0)))</f>
        <v/>
      </c>
      <c r="U4855" s="53">
        <f>IF(P4855="","",IF(P4855="Gasto",S4855,IF(P4855="Reembolso",-S4855,0)))</f>
        <v/>
      </c>
      <c r="V4855" s="53">
        <f>IF(P4855="","",IF(P4855="Ingreso",S4855,0))</f>
        <v/>
      </c>
      <c r="W4855" s="53">
        <f>IF(P4855="","",IF(P4855="Resultado trading",S4855,0))</f>
        <v/>
      </c>
      <c r="X4855" s="52">
        <f>IF(OR(P4855="Gasto",P4855="Reembolso"),IF(M4855&lt;&gt;"",M4855,IFERROR(INDEX(catClasif,MATCH(D4855&amp;"|"&amp;E4855,catClave,0))&amp;"","Variable")),"")</f>
        <v/>
      </c>
      <c r="Y4855" s="52">
        <f>IF(P4855="","",IFERROR(INDEX(catGrupo,MATCH(D4855&amp;"|"&amp;E4855,catClave,0))&amp;"",""))</f>
        <v/>
      </c>
      <c r="Z4855" s="52">
        <f>IF(P4855="","",WEEKDAY(B4855,2))</f>
        <v/>
      </c>
      <c r="AA4855" s="52">
        <f>IF(P4855="","",IF(AND(P4855="Gasto",X4855="Variable",D4855&lt;&gt;catTrading,S4855&gt;0,S4855&lt;=Umbral),1,0))</f>
        <v/>
      </c>
      <c r="AB4855" s="52">
        <f>IF(OR(P4855="",Q4855=""),"",IFERROR(IF(INDEX(ctaVinc,MATCH(Q4855,ctaNombre,0))&amp;""&lt;&gt;"",INDEX(ctaVinc,MATCH(Q4855,ctaNombre,0))&amp;"",Q4855),Q4855))</f>
        <v/>
      </c>
      <c r="AC4855" s="52">
        <f>IF(OR(K4855="",AND(P4855&lt;&gt;"Transferencia",P4855&lt;&gt;"Pago tarjeta")),"",IFERROR(IF(INDEX(ctaVinc,MATCH(K4855,ctaNombre,0))&amp;""&lt;&gt;"",INDEX(ctaVinc,MATCH(K4855,ctaNombre,0))&amp;"",K4855),K4855))</f>
        <v/>
      </c>
      <c r="AD4855" s="52">
        <f>IF(AB4855="","",IFERROR(INDEX(ctaTipo,MATCH(AB4855,ctaNombre,0))&amp;"",""))</f>
        <v/>
      </c>
      <c r="AE4855" s="52">
        <f>IF(AC4855="","",IFERROR(INDEX(ctaTipo,MATCH(AC4855,ctaNombre,0))&amp;"",""))</f>
        <v/>
      </c>
      <c r="AF4855" s="53">
        <f>IF(OR(P4855="",AB4855=""),"",IF(OR(P4855="Gasto",P4855="Transferencia",P4855="Pago tarjeta"),-1,1)*IF(IFERROR(INDEX(ctaMoneda,MATCH(AB4855,ctaNombre,0))&amp;"","DOP")="USD",T4855,S4855))</f>
        <v/>
      </c>
      <c r="AG4855" s="53">
        <f>IF(AC4855="","",IF(IFERROR(INDEX(ctaMoneda,MATCH(AC4855,ctaNombre,0))&amp;"","DOP")="USD",T4855,S4855))</f>
        <v/>
      </c>
      <c r="AH4855" s="53">
        <f>IF(P4855="","",IF(AND(AD4855&lt;&gt;"",COUNTIFS(tcTipo,AD4855,tcLiq,"Sí")&gt;0),IF(OR(P4855="Gasto",P4855="Transferencia",P4855="Pago tarjeta"),-1,1)*S4855,0)+IF(AND(AE4855&lt;&gt;"",COUNTIFS(tcTipo,AE4855,tcLiq,"Sí")&gt;0),S4855,0))</f>
        <v/>
      </c>
      <c r="AI4855" s="52">
        <f>IF(OR(L4855="",P4855=""),"",IF(COUNTIFS(L$6:L4855,L4855,P$6:P4855,"?*")=1,MAX(AI$5:AI4854)+1,""))</f>
        <v/>
      </c>
    </row>
    <row r="4856">
      <c r="B4856" s="47" t="n"/>
      <c r="C4856" s="48" t="n"/>
      <c r="D4856" s="48" t="n"/>
      <c r="E4856" s="48" t="n"/>
      <c r="F4856" s="48" t="n"/>
      <c r="G4856" s="49" t="n"/>
      <c r="H4856" s="48" t="n"/>
      <c r="I4856" s="50" t="n"/>
      <c r="J4856" s="48" t="n"/>
      <c r="K4856" s="48" t="n"/>
      <c r="L4856" s="48" t="n"/>
      <c r="M4856" s="48" t="n"/>
      <c r="N4856" s="48" t="n"/>
      <c r="O4856" s="51">
        <f>IF(AND(B4856="",G4856="",C4856="",D4856="",J4856=""),"",IF(B4856="","⚠ Falta fecha",IF(G4856="","⚠ Falta monto",IF(Q4856="","⚠ Falta cuenta",IF(ISNA(MATCH(Q4856,ctaNombre,0)),"⚠ Cuenta no registrada",IF(AND(OR(P4856="Gasto",P4856="Reembolso"),D4856=""),"⚠ Falta categoría",IF(AND(D4856&lt;&gt;"",E4856&lt;&gt;"",ISNA(MATCH(D4856&amp;"|"&amp;E4856,catClave,0))),"⚠ Subcategoría no corresponde",IF(AND(OR(P4856="Transferencia",P4856="Pago tarjeta"),K4856=""),"⚠ Falta cuenta destino",IF(AND(K4856&lt;&gt;"",P4856&lt;&gt;"Transferencia",P4856&lt;&gt;"Pago tarjeta"),"⚠ Destino solo aplica a transferencias",IF(AND(K4856&lt;&gt;"",K4856=Q4856),"⚠ Origen igual a destino",IF(AND(K4856&lt;&gt;"",ISNA(MATCH(K4856,ctaNombre,0))),"⚠ Destino no registrado",IF(AND(P4856="Pago tarjeta",AE4856&lt;&gt;"Tarjeta de crédito"),"⚠ El destino debe ser tarjeta de crédito",IF(AND(P4856="Gasto",E4856="Depósitos y retiros"),"⚠ Usa tipo Transferencia",IF(AND(P4856="Resultado trading",AD4856&lt;&gt;"Cuenta de trading"),"⚠ Usa una cuenta de trading",IF(AND(G4856&lt;=0,P4856&lt;&gt;"Ajuste",P4856&lt;&gt;"Resultado trading"),"⚠ El monto debe ser positivo","✓")))))))))))))))</f>
        <v/>
      </c>
      <c r="P4856" s="52">
        <f>IF(OR(B4856="",G4856=""),"",IF(C4856="","Gasto",C4856))</f>
        <v/>
      </c>
      <c r="Q4856" s="52">
        <f>IF(P4856="","",IF(J4856&lt;&gt;"",J4856,CuentaPred&amp;""))</f>
        <v/>
      </c>
      <c r="R4856" s="52">
        <f>IF(P4856="","",IF(ISNUMBER(I4856),I4856,TasaUSD))</f>
        <v/>
      </c>
      <c r="S4856" s="53">
        <f>IF(P4856="","",IF(H4856="USD",G4856*R4856,G4856))</f>
        <v/>
      </c>
      <c r="T4856" s="53">
        <f>IF(P4856="","",IF(H4856="USD",G4856,IF(R4856&gt;0,G4856/R4856,0)))</f>
        <v/>
      </c>
      <c r="U4856" s="53">
        <f>IF(P4856="","",IF(P4856="Gasto",S4856,IF(P4856="Reembolso",-S4856,0)))</f>
        <v/>
      </c>
      <c r="V4856" s="53">
        <f>IF(P4856="","",IF(P4856="Ingreso",S4856,0))</f>
        <v/>
      </c>
      <c r="W4856" s="53">
        <f>IF(P4856="","",IF(P4856="Resultado trading",S4856,0))</f>
        <v/>
      </c>
      <c r="X4856" s="52">
        <f>IF(OR(P4856="Gasto",P4856="Reembolso"),IF(M4856&lt;&gt;"",M4856,IFERROR(INDEX(catClasif,MATCH(D4856&amp;"|"&amp;E4856,catClave,0))&amp;"","Variable")),"")</f>
        <v/>
      </c>
      <c r="Y4856" s="52">
        <f>IF(P4856="","",IFERROR(INDEX(catGrupo,MATCH(D4856&amp;"|"&amp;E4856,catClave,0))&amp;"",""))</f>
        <v/>
      </c>
      <c r="Z4856" s="52">
        <f>IF(P4856="","",WEEKDAY(B4856,2))</f>
        <v/>
      </c>
      <c r="AA4856" s="52">
        <f>IF(P4856="","",IF(AND(P4856="Gasto",X4856="Variable",D4856&lt;&gt;catTrading,S4856&gt;0,S4856&lt;=Umbral),1,0))</f>
        <v/>
      </c>
      <c r="AB4856" s="52">
        <f>IF(OR(P4856="",Q4856=""),"",IFERROR(IF(INDEX(ctaVinc,MATCH(Q4856,ctaNombre,0))&amp;""&lt;&gt;"",INDEX(ctaVinc,MATCH(Q4856,ctaNombre,0))&amp;"",Q4856),Q4856))</f>
        <v/>
      </c>
      <c r="AC4856" s="52">
        <f>IF(OR(K4856="",AND(P4856&lt;&gt;"Transferencia",P4856&lt;&gt;"Pago tarjeta")),"",IFERROR(IF(INDEX(ctaVinc,MATCH(K4856,ctaNombre,0))&amp;""&lt;&gt;"",INDEX(ctaVinc,MATCH(K4856,ctaNombre,0))&amp;"",K4856),K4856))</f>
        <v/>
      </c>
      <c r="AD4856" s="52">
        <f>IF(AB4856="","",IFERROR(INDEX(ctaTipo,MATCH(AB4856,ctaNombre,0))&amp;"",""))</f>
        <v/>
      </c>
      <c r="AE4856" s="52">
        <f>IF(AC4856="","",IFERROR(INDEX(ctaTipo,MATCH(AC4856,ctaNombre,0))&amp;"",""))</f>
        <v/>
      </c>
      <c r="AF4856" s="53">
        <f>IF(OR(P4856="",AB4856=""),"",IF(OR(P4856="Gasto",P4856="Transferencia",P4856="Pago tarjeta"),-1,1)*IF(IFERROR(INDEX(ctaMoneda,MATCH(AB4856,ctaNombre,0))&amp;"","DOP")="USD",T4856,S4856))</f>
        <v/>
      </c>
      <c r="AG4856" s="53">
        <f>IF(AC4856="","",IF(IFERROR(INDEX(ctaMoneda,MATCH(AC4856,ctaNombre,0))&amp;"","DOP")="USD",T4856,S4856))</f>
        <v/>
      </c>
      <c r="AH4856" s="53">
        <f>IF(P4856="","",IF(AND(AD4856&lt;&gt;"",COUNTIFS(tcTipo,AD4856,tcLiq,"Sí")&gt;0),IF(OR(P4856="Gasto",P4856="Transferencia",P4856="Pago tarjeta"),-1,1)*S4856,0)+IF(AND(AE4856&lt;&gt;"",COUNTIFS(tcTipo,AE4856,tcLiq,"Sí")&gt;0),S4856,0))</f>
        <v/>
      </c>
      <c r="AI4856" s="52">
        <f>IF(OR(L4856="",P4856=""),"",IF(COUNTIFS(L$6:L4856,L4856,P$6:P4856,"?*")=1,MAX(AI$5:AI4855)+1,""))</f>
        <v/>
      </c>
    </row>
    <row r="4857">
      <c r="B4857" s="47" t="n"/>
      <c r="C4857" s="48" t="n"/>
      <c r="D4857" s="48" t="n"/>
      <c r="E4857" s="48" t="n"/>
      <c r="F4857" s="48" t="n"/>
      <c r="G4857" s="49" t="n"/>
      <c r="H4857" s="48" t="n"/>
      <c r="I4857" s="50" t="n"/>
      <c r="J4857" s="48" t="n"/>
      <c r="K4857" s="48" t="n"/>
      <c r="L4857" s="48" t="n"/>
      <c r="M4857" s="48" t="n"/>
      <c r="N4857" s="48" t="n"/>
      <c r="O4857" s="51">
        <f>IF(AND(B4857="",G4857="",C4857="",D4857="",J4857=""),"",IF(B4857="","⚠ Falta fecha",IF(G4857="","⚠ Falta monto",IF(Q4857="","⚠ Falta cuenta",IF(ISNA(MATCH(Q4857,ctaNombre,0)),"⚠ Cuenta no registrada",IF(AND(OR(P4857="Gasto",P4857="Reembolso"),D4857=""),"⚠ Falta categoría",IF(AND(D4857&lt;&gt;"",E4857&lt;&gt;"",ISNA(MATCH(D4857&amp;"|"&amp;E4857,catClave,0))),"⚠ Subcategoría no corresponde",IF(AND(OR(P4857="Transferencia",P4857="Pago tarjeta"),K4857=""),"⚠ Falta cuenta destino",IF(AND(K4857&lt;&gt;"",P4857&lt;&gt;"Transferencia",P4857&lt;&gt;"Pago tarjeta"),"⚠ Destino solo aplica a transferencias",IF(AND(K4857&lt;&gt;"",K4857=Q4857),"⚠ Origen igual a destino",IF(AND(K4857&lt;&gt;"",ISNA(MATCH(K4857,ctaNombre,0))),"⚠ Destino no registrado",IF(AND(P4857="Pago tarjeta",AE4857&lt;&gt;"Tarjeta de crédito"),"⚠ El destino debe ser tarjeta de crédito",IF(AND(P4857="Gasto",E4857="Depósitos y retiros"),"⚠ Usa tipo Transferencia",IF(AND(P4857="Resultado trading",AD4857&lt;&gt;"Cuenta de trading"),"⚠ Usa una cuenta de trading",IF(AND(G4857&lt;=0,P4857&lt;&gt;"Ajuste",P4857&lt;&gt;"Resultado trading"),"⚠ El monto debe ser positivo","✓")))))))))))))))</f>
        <v/>
      </c>
      <c r="P4857" s="52">
        <f>IF(OR(B4857="",G4857=""),"",IF(C4857="","Gasto",C4857))</f>
        <v/>
      </c>
      <c r="Q4857" s="52">
        <f>IF(P4857="","",IF(J4857&lt;&gt;"",J4857,CuentaPred&amp;""))</f>
        <v/>
      </c>
      <c r="R4857" s="52">
        <f>IF(P4857="","",IF(ISNUMBER(I4857),I4857,TasaUSD))</f>
        <v/>
      </c>
      <c r="S4857" s="53">
        <f>IF(P4857="","",IF(H4857="USD",G4857*R4857,G4857))</f>
        <v/>
      </c>
      <c r="T4857" s="53">
        <f>IF(P4857="","",IF(H4857="USD",G4857,IF(R4857&gt;0,G4857/R4857,0)))</f>
        <v/>
      </c>
      <c r="U4857" s="53">
        <f>IF(P4857="","",IF(P4857="Gasto",S4857,IF(P4857="Reembolso",-S4857,0)))</f>
        <v/>
      </c>
      <c r="V4857" s="53">
        <f>IF(P4857="","",IF(P4857="Ingreso",S4857,0))</f>
        <v/>
      </c>
      <c r="W4857" s="53">
        <f>IF(P4857="","",IF(P4857="Resultado trading",S4857,0))</f>
        <v/>
      </c>
      <c r="X4857" s="52">
        <f>IF(OR(P4857="Gasto",P4857="Reembolso"),IF(M4857&lt;&gt;"",M4857,IFERROR(INDEX(catClasif,MATCH(D4857&amp;"|"&amp;E4857,catClave,0))&amp;"","Variable")),"")</f>
        <v/>
      </c>
      <c r="Y4857" s="52">
        <f>IF(P4857="","",IFERROR(INDEX(catGrupo,MATCH(D4857&amp;"|"&amp;E4857,catClave,0))&amp;"",""))</f>
        <v/>
      </c>
      <c r="Z4857" s="52">
        <f>IF(P4857="","",WEEKDAY(B4857,2))</f>
        <v/>
      </c>
      <c r="AA4857" s="52">
        <f>IF(P4857="","",IF(AND(P4857="Gasto",X4857="Variable",D4857&lt;&gt;catTrading,S4857&gt;0,S4857&lt;=Umbral),1,0))</f>
        <v/>
      </c>
      <c r="AB4857" s="52">
        <f>IF(OR(P4857="",Q4857=""),"",IFERROR(IF(INDEX(ctaVinc,MATCH(Q4857,ctaNombre,0))&amp;""&lt;&gt;"",INDEX(ctaVinc,MATCH(Q4857,ctaNombre,0))&amp;"",Q4857),Q4857))</f>
        <v/>
      </c>
      <c r="AC4857" s="52">
        <f>IF(OR(K4857="",AND(P4857&lt;&gt;"Transferencia",P4857&lt;&gt;"Pago tarjeta")),"",IFERROR(IF(INDEX(ctaVinc,MATCH(K4857,ctaNombre,0))&amp;""&lt;&gt;"",INDEX(ctaVinc,MATCH(K4857,ctaNombre,0))&amp;"",K4857),K4857))</f>
        <v/>
      </c>
      <c r="AD4857" s="52">
        <f>IF(AB4857="","",IFERROR(INDEX(ctaTipo,MATCH(AB4857,ctaNombre,0))&amp;"",""))</f>
        <v/>
      </c>
      <c r="AE4857" s="52">
        <f>IF(AC4857="","",IFERROR(INDEX(ctaTipo,MATCH(AC4857,ctaNombre,0))&amp;"",""))</f>
        <v/>
      </c>
      <c r="AF4857" s="53">
        <f>IF(OR(P4857="",AB4857=""),"",IF(OR(P4857="Gasto",P4857="Transferencia",P4857="Pago tarjeta"),-1,1)*IF(IFERROR(INDEX(ctaMoneda,MATCH(AB4857,ctaNombre,0))&amp;"","DOP")="USD",T4857,S4857))</f>
        <v/>
      </c>
      <c r="AG4857" s="53">
        <f>IF(AC4857="","",IF(IFERROR(INDEX(ctaMoneda,MATCH(AC4857,ctaNombre,0))&amp;"","DOP")="USD",T4857,S4857))</f>
        <v/>
      </c>
      <c r="AH4857" s="53">
        <f>IF(P4857="","",IF(AND(AD4857&lt;&gt;"",COUNTIFS(tcTipo,AD4857,tcLiq,"Sí")&gt;0),IF(OR(P4857="Gasto",P4857="Transferencia",P4857="Pago tarjeta"),-1,1)*S4857,0)+IF(AND(AE4857&lt;&gt;"",COUNTIFS(tcTipo,AE4857,tcLiq,"Sí")&gt;0),S4857,0))</f>
        <v/>
      </c>
      <c r="AI4857" s="52">
        <f>IF(OR(L4857="",P4857=""),"",IF(COUNTIFS(L$6:L4857,L4857,P$6:P4857,"?*")=1,MAX(AI$5:AI4856)+1,""))</f>
        <v/>
      </c>
    </row>
    <row r="4858">
      <c r="B4858" s="47" t="n"/>
      <c r="C4858" s="48" t="n"/>
      <c r="D4858" s="48" t="n"/>
      <c r="E4858" s="48" t="n"/>
      <c r="F4858" s="48" t="n"/>
      <c r="G4858" s="49" t="n"/>
      <c r="H4858" s="48" t="n"/>
      <c r="I4858" s="50" t="n"/>
      <c r="J4858" s="48" t="n"/>
      <c r="K4858" s="48" t="n"/>
      <c r="L4858" s="48" t="n"/>
      <c r="M4858" s="48" t="n"/>
      <c r="N4858" s="48" t="n"/>
      <c r="O4858" s="51">
        <f>IF(AND(B4858="",G4858="",C4858="",D4858="",J4858=""),"",IF(B4858="","⚠ Falta fecha",IF(G4858="","⚠ Falta monto",IF(Q4858="","⚠ Falta cuenta",IF(ISNA(MATCH(Q4858,ctaNombre,0)),"⚠ Cuenta no registrada",IF(AND(OR(P4858="Gasto",P4858="Reembolso"),D4858=""),"⚠ Falta categoría",IF(AND(D4858&lt;&gt;"",E4858&lt;&gt;"",ISNA(MATCH(D4858&amp;"|"&amp;E4858,catClave,0))),"⚠ Subcategoría no corresponde",IF(AND(OR(P4858="Transferencia",P4858="Pago tarjeta"),K4858=""),"⚠ Falta cuenta destino",IF(AND(K4858&lt;&gt;"",P4858&lt;&gt;"Transferencia",P4858&lt;&gt;"Pago tarjeta"),"⚠ Destino solo aplica a transferencias",IF(AND(K4858&lt;&gt;"",K4858=Q4858),"⚠ Origen igual a destino",IF(AND(K4858&lt;&gt;"",ISNA(MATCH(K4858,ctaNombre,0))),"⚠ Destino no registrado",IF(AND(P4858="Pago tarjeta",AE4858&lt;&gt;"Tarjeta de crédito"),"⚠ El destino debe ser tarjeta de crédito",IF(AND(P4858="Gasto",E4858="Depósitos y retiros"),"⚠ Usa tipo Transferencia",IF(AND(P4858="Resultado trading",AD4858&lt;&gt;"Cuenta de trading"),"⚠ Usa una cuenta de trading",IF(AND(G4858&lt;=0,P4858&lt;&gt;"Ajuste",P4858&lt;&gt;"Resultado trading"),"⚠ El monto debe ser positivo","✓")))))))))))))))</f>
        <v/>
      </c>
      <c r="P4858" s="52">
        <f>IF(OR(B4858="",G4858=""),"",IF(C4858="","Gasto",C4858))</f>
        <v/>
      </c>
      <c r="Q4858" s="52">
        <f>IF(P4858="","",IF(J4858&lt;&gt;"",J4858,CuentaPred&amp;""))</f>
        <v/>
      </c>
      <c r="R4858" s="52">
        <f>IF(P4858="","",IF(ISNUMBER(I4858),I4858,TasaUSD))</f>
        <v/>
      </c>
      <c r="S4858" s="53">
        <f>IF(P4858="","",IF(H4858="USD",G4858*R4858,G4858))</f>
        <v/>
      </c>
      <c r="T4858" s="53">
        <f>IF(P4858="","",IF(H4858="USD",G4858,IF(R4858&gt;0,G4858/R4858,0)))</f>
        <v/>
      </c>
      <c r="U4858" s="53">
        <f>IF(P4858="","",IF(P4858="Gasto",S4858,IF(P4858="Reembolso",-S4858,0)))</f>
        <v/>
      </c>
      <c r="V4858" s="53">
        <f>IF(P4858="","",IF(P4858="Ingreso",S4858,0))</f>
        <v/>
      </c>
      <c r="W4858" s="53">
        <f>IF(P4858="","",IF(P4858="Resultado trading",S4858,0))</f>
        <v/>
      </c>
      <c r="X4858" s="52">
        <f>IF(OR(P4858="Gasto",P4858="Reembolso"),IF(M4858&lt;&gt;"",M4858,IFERROR(INDEX(catClasif,MATCH(D4858&amp;"|"&amp;E4858,catClave,0))&amp;"","Variable")),"")</f>
        <v/>
      </c>
      <c r="Y4858" s="52">
        <f>IF(P4858="","",IFERROR(INDEX(catGrupo,MATCH(D4858&amp;"|"&amp;E4858,catClave,0))&amp;"",""))</f>
        <v/>
      </c>
      <c r="Z4858" s="52">
        <f>IF(P4858="","",WEEKDAY(B4858,2))</f>
        <v/>
      </c>
      <c r="AA4858" s="52">
        <f>IF(P4858="","",IF(AND(P4858="Gasto",X4858="Variable",D4858&lt;&gt;catTrading,S4858&gt;0,S4858&lt;=Umbral),1,0))</f>
        <v/>
      </c>
      <c r="AB4858" s="52">
        <f>IF(OR(P4858="",Q4858=""),"",IFERROR(IF(INDEX(ctaVinc,MATCH(Q4858,ctaNombre,0))&amp;""&lt;&gt;"",INDEX(ctaVinc,MATCH(Q4858,ctaNombre,0))&amp;"",Q4858),Q4858))</f>
        <v/>
      </c>
      <c r="AC4858" s="52">
        <f>IF(OR(K4858="",AND(P4858&lt;&gt;"Transferencia",P4858&lt;&gt;"Pago tarjeta")),"",IFERROR(IF(INDEX(ctaVinc,MATCH(K4858,ctaNombre,0))&amp;""&lt;&gt;"",INDEX(ctaVinc,MATCH(K4858,ctaNombre,0))&amp;"",K4858),K4858))</f>
        <v/>
      </c>
      <c r="AD4858" s="52">
        <f>IF(AB4858="","",IFERROR(INDEX(ctaTipo,MATCH(AB4858,ctaNombre,0))&amp;"",""))</f>
        <v/>
      </c>
      <c r="AE4858" s="52">
        <f>IF(AC4858="","",IFERROR(INDEX(ctaTipo,MATCH(AC4858,ctaNombre,0))&amp;"",""))</f>
        <v/>
      </c>
      <c r="AF4858" s="53">
        <f>IF(OR(P4858="",AB4858=""),"",IF(OR(P4858="Gasto",P4858="Transferencia",P4858="Pago tarjeta"),-1,1)*IF(IFERROR(INDEX(ctaMoneda,MATCH(AB4858,ctaNombre,0))&amp;"","DOP")="USD",T4858,S4858))</f>
        <v/>
      </c>
      <c r="AG4858" s="53">
        <f>IF(AC4858="","",IF(IFERROR(INDEX(ctaMoneda,MATCH(AC4858,ctaNombre,0))&amp;"","DOP")="USD",T4858,S4858))</f>
        <v/>
      </c>
      <c r="AH4858" s="53">
        <f>IF(P4858="","",IF(AND(AD4858&lt;&gt;"",COUNTIFS(tcTipo,AD4858,tcLiq,"Sí")&gt;0),IF(OR(P4858="Gasto",P4858="Transferencia",P4858="Pago tarjeta"),-1,1)*S4858,0)+IF(AND(AE4858&lt;&gt;"",COUNTIFS(tcTipo,AE4858,tcLiq,"Sí")&gt;0),S4858,0))</f>
        <v/>
      </c>
      <c r="AI4858" s="52">
        <f>IF(OR(L4858="",P4858=""),"",IF(COUNTIFS(L$6:L4858,L4858,P$6:P4858,"?*")=1,MAX(AI$5:AI4857)+1,""))</f>
        <v/>
      </c>
    </row>
    <row r="4859">
      <c r="B4859" s="47" t="n"/>
      <c r="C4859" s="48" t="n"/>
      <c r="D4859" s="48" t="n"/>
      <c r="E4859" s="48" t="n"/>
      <c r="F4859" s="48" t="n"/>
      <c r="G4859" s="49" t="n"/>
      <c r="H4859" s="48" t="n"/>
      <c r="I4859" s="50" t="n"/>
      <c r="J4859" s="48" t="n"/>
      <c r="K4859" s="48" t="n"/>
      <c r="L4859" s="48" t="n"/>
      <c r="M4859" s="48" t="n"/>
      <c r="N4859" s="48" t="n"/>
      <c r="O4859" s="51">
        <f>IF(AND(B4859="",G4859="",C4859="",D4859="",J4859=""),"",IF(B4859="","⚠ Falta fecha",IF(G4859="","⚠ Falta monto",IF(Q4859="","⚠ Falta cuenta",IF(ISNA(MATCH(Q4859,ctaNombre,0)),"⚠ Cuenta no registrada",IF(AND(OR(P4859="Gasto",P4859="Reembolso"),D4859=""),"⚠ Falta categoría",IF(AND(D4859&lt;&gt;"",E4859&lt;&gt;"",ISNA(MATCH(D4859&amp;"|"&amp;E4859,catClave,0))),"⚠ Subcategoría no corresponde",IF(AND(OR(P4859="Transferencia",P4859="Pago tarjeta"),K4859=""),"⚠ Falta cuenta destino",IF(AND(K4859&lt;&gt;"",P4859&lt;&gt;"Transferencia",P4859&lt;&gt;"Pago tarjeta"),"⚠ Destino solo aplica a transferencias",IF(AND(K4859&lt;&gt;"",K4859=Q4859),"⚠ Origen igual a destino",IF(AND(K4859&lt;&gt;"",ISNA(MATCH(K4859,ctaNombre,0))),"⚠ Destino no registrado",IF(AND(P4859="Pago tarjeta",AE4859&lt;&gt;"Tarjeta de crédito"),"⚠ El destino debe ser tarjeta de crédito",IF(AND(P4859="Gasto",E4859="Depósitos y retiros"),"⚠ Usa tipo Transferencia",IF(AND(P4859="Resultado trading",AD4859&lt;&gt;"Cuenta de trading"),"⚠ Usa una cuenta de trading",IF(AND(G4859&lt;=0,P4859&lt;&gt;"Ajuste",P4859&lt;&gt;"Resultado trading"),"⚠ El monto debe ser positivo","✓")))))))))))))))</f>
        <v/>
      </c>
      <c r="P4859" s="52">
        <f>IF(OR(B4859="",G4859=""),"",IF(C4859="","Gasto",C4859))</f>
        <v/>
      </c>
      <c r="Q4859" s="52">
        <f>IF(P4859="","",IF(J4859&lt;&gt;"",J4859,CuentaPred&amp;""))</f>
        <v/>
      </c>
      <c r="R4859" s="52">
        <f>IF(P4859="","",IF(ISNUMBER(I4859),I4859,TasaUSD))</f>
        <v/>
      </c>
      <c r="S4859" s="53">
        <f>IF(P4859="","",IF(H4859="USD",G4859*R4859,G4859))</f>
        <v/>
      </c>
      <c r="T4859" s="53">
        <f>IF(P4859="","",IF(H4859="USD",G4859,IF(R4859&gt;0,G4859/R4859,0)))</f>
        <v/>
      </c>
      <c r="U4859" s="53">
        <f>IF(P4859="","",IF(P4859="Gasto",S4859,IF(P4859="Reembolso",-S4859,0)))</f>
        <v/>
      </c>
      <c r="V4859" s="53">
        <f>IF(P4859="","",IF(P4859="Ingreso",S4859,0))</f>
        <v/>
      </c>
      <c r="W4859" s="53">
        <f>IF(P4859="","",IF(P4859="Resultado trading",S4859,0))</f>
        <v/>
      </c>
      <c r="X4859" s="52">
        <f>IF(OR(P4859="Gasto",P4859="Reembolso"),IF(M4859&lt;&gt;"",M4859,IFERROR(INDEX(catClasif,MATCH(D4859&amp;"|"&amp;E4859,catClave,0))&amp;"","Variable")),"")</f>
        <v/>
      </c>
      <c r="Y4859" s="52">
        <f>IF(P4859="","",IFERROR(INDEX(catGrupo,MATCH(D4859&amp;"|"&amp;E4859,catClave,0))&amp;"",""))</f>
        <v/>
      </c>
      <c r="Z4859" s="52">
        <f>IF(P4859="","",WEEKDAY(B4859,2))</f>
        <v/>
      </c>
      <c r="AA4859" s="52">
        <f>IF(P4859="","",IF(AND(P4859="Gasto",X4859="Variable",D4859&lt;&gt;catTrading,S4859&gt;0,S4859&lt;=Umbral),1,0))</f>
        <v/>
      </c>
      <c r="AB4859" s="52">
        <f>IF(OR(P4859="",Q4859=""),"",IFERROR(IF(INDEX(ctaVinc,MATCH(Q4859,ctaNombre,0))&amp;""&lt;&gt;"",INDEX(ctaVinc,MATCH(Q4859,ctaNombre,0))&amp;"",Q4859),Q4859))</f>
        <v/>
      </c>
      <c r="AC4859" s="52">
        <f>IF(OR(K4859="",AND(P4859&lt;&gt;"Transferencia",P4859&lt;&gt;"Pago tarjeta")),"",IFERROR(IF(INDEX(ctaVinc,MATCH(K4859,ctaNombre,0))&amp;""&lt;&gt;"",INDEX(ctaVinc,MATCH(K4859,ctaNombre,0))&amp;"",K4859),K4859))</f>
        <v/>
      </c>
      <c r="AD4859" s="52">
        <f>IF(AB4859="","",IFERROR(INDEX(ctaTipo,MATCH(AB4859,ctaNombre,0))&amp;"",""))</f>
        <v/>
      </c>
      <c r="AE4859" s="52">
        <f>IF(AC4859="","",IFERROR(INDEX(ctaTipo,MATCH(AC4859,ctaNombre,0))&amp;"",""))</f>
        <v/>
      </c>
      <c r="AF4859" s="53">
        <f>IF(OR(P4859="",AB4859=""),"",IF(OR(P4859="Gasto",P4859="Transferencia",P4859="Pago tarjeta"),-1,1)*IF(IFERROR(INDEX(ctaMoneda,MATCH(AB4859,ctaNombre,0))&amp;"","DOP")="USD",T4859,S4859))</f>
        <v/>
      </c>
      <c r="AG4859" s="53">
        <f>IF(AC4859="","",IF(IFERROR(INDEX(ctaMoneda,MATCH(AC4859,ctaNombre,0))&amp;"","DOP")="USD",T4859,S4859))</f>
        <v/>
      </c>
      <c r="AH4859" s="53">
        <f>IF(P4859="","",IF(AND(AD4859&lt;&gt;"",COUNTIFS(tcTipo,AD4859,tcLiq,"Sí")&gt;0),IF(OR(P4859="Gasto",P4859="Transferencia",P4859="Pago tarjeta"),-1,1)*S4859,0)+IF(AND(AE4859&lt;&gt;"",COUNTIFS(tcTipo,AE4859,tcLiq,"Sí")&gt;0),S4859,0))</f>
        <v/>
      </c>
      <c r="AI4859" s="52">
        <f>IF(OR(L4859="",P4859=""),"",IF(COUNTIFS(L$6:L4859,L4859,P$6:P4859,"?*")=1,MAX(AI$5:AI4858)+1,""))</f>
        <v/>
      </c>
    </row>
    <row r="4860">
      <c r="B4860" s="47" t="n"/>
      <c r="C4860" s="48" t="n"/>
      <c r="D4860" s="48" t="n"/>
      <c r="E4860" s="48" t="n"/>
      <c r="F4860" s="48" t="n"/>
      <c r="G4860" s="49" t="n"/>
      <c r="H4860" s="48" t="n"/>
      <c r="I4860" s="50" t="n"/>
      <c r="J4860" s="48" t="n"/>
      <c r="K4860" s="48" t="n"/>
      <c r="L4860" s="48" t="n"/>
      <c r="M4860" s="48" t="n"/>
      <c r="N4860" s="48" t="n"/>
      <c r="O4860" s="51">
        <f>IF(AND(B4860="",G4860="",C4860="",D4860="",J4860=""),"",IF(B4860="","⚠ Falta fecha",IF(G4860="","⚠ Falta monto",IF(Q4860="","⚠ Falta cuenta",IF(ISNA(MATCH(Q4860,ctaNombre,0)),"⚠ Cuenta no registrada",IF(AND(OR(P4860="Gasto",P4860="Reembolso"),D4860=""),"⚠ Falta categoría",IF(AND(D4860&lt;&gt;"",E4860&lt;&gt;"",ISNA(MATCH(D4860&amp;"|"&amp;E4860,catClave,0))),"⚠ Subcategoría no corresponde",IF(AND(OR(P4860="Transferencia",P4860="Pago tarjeta"),K4860=""),"⚠ Falta cuenta destino",IF(AND(K4860&lt;&gt;"",P4860&lt;&gt;"Transferencia",P4860&lt;&gt;"Pago tarjeta"),"⚠ Destino solo aplica a transferencias",IF(AND(K4860&lt;&gt;"",K4860=Q4860),"⚠ Origen igual a destino",IF(AND(K4860&lt;&gt;"",ISNA(MATCH(K4860,ctaNombre,0))),"⚠ Destino no registrado",IF(AND(P4860="Pago tarjeta",AE4860&lt;&gt;"Tarjeta de crédito"),"⚠ El destino debe ser tarjeta de crédito",IF(AND(P4860="Gasto",E4860="Depósitos y retiros"),"⚠ Usa tipo Transferencia",IF(AND(P4860="Resultado trading",AD4860&lt;&gt;"Cuenta de trading"),"⚠ Usa una cuenta de trading",IF(AND(G4860&lt;=0,P4860&lt;&gt;"Ajuste",P4860&lt;&gt;"Resultado trading"),"⚠ El monto debe ser positivo","✓")))))))))))))))</f>
        <v/>
      </c>
      <c r="P4860" s="52">
        <f>IF(OR(B4860="",G4860=""),"",IF(C4860="","Gasto",C4860))</f>
        <v/>
      </c>
      <c r="Q4860" s="52">
        <f>IF(P4860="","",IF(J4860&lt;&gt;"",J4860,CuentaPred&amp;""))</f>
        <v/>
      </c>
      <c r="R4860" s="52">
        <f>IF(P4860="","",IF(ISNUMBER(I4860),I4860,TasaUSD))</f>
        <v/>
      </c>
      <c r="S4860" s="53">
        <f>IF(P4860="","",IF(H4860="USD",G4860*R4860,G4860))</f>
        <v/>
      </c>
      <c r="T4860" s="53">
        <f>IF(P4860="","",IF(H4860="USD",G4860,IF(R4860&gt;0,G4860/R4860,0)))</f>
        <v/>
      </c>
      <c r="U4860" s="53">
        <f>IF(P4860="","",IF(P4860="Gasto",S4860,IF(P4860="Reembolso",-S4860,0)))</f>
        <v/>
      </c>
      <c r="V4860" s="53">
        <f>IF(P4860="","",IF(P4860="Ingreso",S4860,0))</f>
        <v/>
      </c>
      <c r="W4860" s="53">
        <f>IF(P4860="","",IF(P4860="Resultado trading",S4860,0))</f>
        <v/>
      </c>
      <c r="X4860" s="52">
        <f>IF(OR(P4860="Gasto",P4860="Reembolso"),IF(M4860&lt;&gt;"",M4860,IFERROR(INDEX(catClasif,MATCH(D4860&amp;"|"&amp;E4860,catClave,0))&amp;"","Variable")),"")</f>
        <v/>
      </c>
      <c r="Y4860" s="52">
        <f>IF(P4860="","",IFERROR(INDEX(catGrupo,MATCH(D4860&amp;"|"&amp;E4860,catClave,0))&amp;"",""))</f>
        <v/>
      </c>
      <c r="Z4860" s="52">
        <f>IF(P4860="","",WEEKDAY(B4860,2))</f>
        <v/>
      </c>
      <c r="AA4860" s="52">
        <f>IF(P4860="","",IF(AND(P4860="Gasto",X4860="Variable",D4860&lt;&gt;catTrading,S4860&gt;0,S4860&lt;=Umbral),1,0))</f>
        <v/>
      </c>
      <c r="AB4860" s="52">
        <f>IF(OR(P4860="",Q4860=""),"",IFERROR(IF(INDEX(ctaVinc,MATCH(Q4860,ctaNombre,0))&amp;""&lt;&gt;"",INDEX(ctaVinc,MATCH(Q4860,ctaNombre,0))&amp;"",Q4860),Q4860))</f>
        <v/>
      </c>
      <c r="AC4860" s="52">
        <f>IF(OR(K4860="",AND(P4860&lt;&gt;"Transferencia",P4860&lt;&gt;"Pago tarjeta")),"",IFERROR(IF(INDEX(ctaVinc,MATCH(K4860,ctaNombre,0))&amp;""&lt;&gt;"",INDEX(ctaVinc,MATCH(K4860,ctaNombre,0))&amp;"",K4860),K4860))</f>
        <v/>
      </c>
      <c r="AD4860" s="52">
        <f>IF(AB4860="","",IFERROR(INDEX(ctaTipo,MATCH(AB4860,ctaNombre,0))&amp;"",""))</f>
        <v/>
      </c>
      <c r="AE4860" s="52">
        <f>IF(AC4860="","",IFERROR(INDEX(ctaTipo,MATCH(AC4860,ctaNombre,0))&amp;"",""))</f>
        <v/>
      </c>
      <c r="AF4860" s="53">
        <f>IF(OR(P4860="",AB4860=""),"",IF(OR(P4860="Gasto",P4860="Transferencia",P4860="Pago tarjeta"),-1,1)*IF(IFERROR(INDEX(ctaMoneda,MATCH(AB4860,ctaNombre,0))&amp;"","DOP")="USD",T4860,S4860))</f>
        <v/>
      </c>
      <c r="AG4860" s="53">
        <f>IF(AC4860="","",IF(IFERROR(INDEX(ctaMoneda,MATCH(AC4860,ctaNombre,0))&amp;"","DOP")="USD",T4860,S4860))</f>
        <v/>
      </c>
      <c r="AH4860" s="53">
        <f>IF(P4860="","",IF(AND(AD4860&lt;&gt;"",COUNTIFS(tcTipo,AD4860,tcLiq,"Sí")&gt;0),IF(OR(P4860="Gasto",P4860="Transferencia",P4860="Pago tarjeta"),-1,1)*S4860,0)+IF(AND(AE4860&lt;&gt;"",COUNTIFS(tcTipo,AE4860,tcLiq,"Sí")&gt;0),S4860,0))</f>
        <v/>
      </c>
      <c r="AI4860" s="52">
        <f>IF(OR(L4860="",P4860=""),"",IF(COUNTIFS(L$6:L4860,L4860,P$6:P4860,"?*")=1,MAX(AI$5:AI4859)+1,""))</f>
        <v/>
      </c>
    </row>
    <row r="4861">
      <c r="B4861" s="47" t="n"/>
      <c r="C4861" s="48" t="n"/>
      <c r="D4861" s="48" t="n"/>
      <c r="E4861" s="48" t="n"/>
      <c r="F4861" s="48" t="n"/>
      <c r="G4861" s="49" t="n"/>
      <c r="H4861" s="48" t="n"/>
      <c r="I4861" s="50" t="n"/>
      <c r="J4861" s="48" t="n"/>
      <c r="K4861" s="48" t="n"/>
      <c r="L4861" s="48" t="n"/>
      <c r="M4861" s="48" t="n"/>
      <c r="N4861" s="48" t="n"/>
      <c r="O4861" s="51">
        <f>IF(AND(B4861="",G4861="",C4861="",D4861="",J4861=""),"",IF(B4861="","⚠ Falta fecha",IF(G4861="","⚠ Falta monto",IF(Q4861="","⚠ Falta cuenta",IF(ISNA(MATCH(Q4861,ctaNombre,0)),"⚠ Cuenta no registrada",IF(AND(OR(P4861="Gasto",P4861="Reembolso"),D4861=""),"⚠ Falta categoría",IF(AND(D4861&lt;&gt;"",E4861&lt;&gt;"",ISNA(MATCH(D4861&amp;"|"&amp;E4861,catClave,0))),"⚠ Subcategoría no corresponde",IF(AND(OR(P4861="Transferencia",P4861="Pago tarjeta"),K4861=""),"⚠ Falta cuenta destino",IF(AND(K4861&lt;&gt;"",P4861&lt;&gt;"Transferencia",P4861&lt;&gt;"Pago tarjeta"),"⚠ Destino solo aplica a transferencias",IF(AND(K4861&lt;&gt;"",K4861=Q4861),"⚠ Origen igual a destino",IF(AND(K4861&lt;&gt;"",ISNA(MATCH(K4861,ctaNombre,0))),"⚠ Destino no registrado",IF(AND(P4861="Pago tarjeta",AE4861&lt;&gt;"Tarjeta de crédito"),"⚠ El destino debe ser tarjeta de crédito",IF(AND(P4861="Gasto",E4861="Depósitos y retiros"),"⚠ Usa tipo Transferencia",IF(AND(P4861="Resultado trading",AD4861&lt;&gt;"Cuenta de trading"),"⚠ Usa una cuenta de trading",IF(AND(G4861&lt;=0,P4861&lt;&gt;"Ajuste",P4861&lt;&gt;"Resultado trading"),"⚠ El monto debe ser positivo","✓")))))))))))))))</f>
        <v/>
      </c>
      <c r="P4861" s="52">
        <f>IF(OR(B4861="",G4861=""),"",IF(C4861="","Gasto",C4861))</f>
        <v/>
      </c>
      <c r="Q4861" s="52">
        <f>IF(P4861="","",IF(J4861&lt;&gt;"",J4861,CuentaPred&amp;""))</f>
        <v/>
      </c>
      <c r="R4861" s="52">
        <f>IF(P4861="","",IF(ISNUMBER(I4861),I4861,TasaUSD))</f>
        <v/>
      </c>
      <c r="S4861" s="53">
        <f>IF(P4861="","",IF(H4861="USD",G4861*R4861,G4861))</f>
        <v/>
      </c>
      <c r="T4861" s="53">
        <f>IF(P4861="","",IF(H4861="USD",G4861,IF(R4861&gt;0,G4861/R4861,0)))</f>
        <v/>
      </c>
      <c r="U4861" s="53">
        <f>IF(P4861="","",IF(P4861="Gasto",S4861,IF(P4861="Reembolso",-S4861,0)))</f>
        <v/>
      </c>
      <c r="V4861" s="53">
        <f>IF(P4861="","",IF(P4861="Ingreso",S4861,0))</f>
        <v/>
      </c>
      <c r="W4861" s="53">
        <f>IF(P4861="","",IF(P4861="Resultado trading",S4861,0))</f>
        <v/>
      </c>
      <c r="X4861" s="52">
        <f>IF(OR(P4861="Gasto",P4861="Reembolso"),IF(M4861&lt;&gt;"",M4861,IFERROR(INDEX(catClasif,MATCH(D4861&amp;"|"&amp;E4861,catClave,0))&amp;"","Variable")),"")</f>
        <v/>
      </c>
      <c r="Y4861" s="52">
        <f>IF(P4861="","",IFERROR(INDEX(catGrupo,MATCH(D4861&amp;"|"&amp;E4861,catClave,0))&amp;"",""))</f>
        <v/>
      </c>
      <c r="Z4861" s="52">
        <f>IF(P4861="","",WEEKDAY(B4861,2))</f>
        <v/>
      </c>
      <c r="AA4861" s="52">
        <f>IF(P4861="","",IF(AND(P4861="Gasto",X4861="Variable",D4861&lt;&gt;catTrading,S4861&gt;0,S4861&lt;=Umbral),1,0))</f>
        <v/>
      </c>
      <c r="AB4861" s="52">
        <f>IF(OR(P4861="",Q4861=""),"",IFERROR(IF(INDEX(ctaVinc,MATCH(Q4861,ctaNombre,0))&amp;""&lt;&gt;"",INDEX(ctaVinc,MATCH(Q4861,ctaNombre,0))&amp;"",Q4861),Q4861))</f>
        <v/>
      </c>
      <c r="AC4861" s="52">
        <f>IF(OR(K4861="",AND(P4861&lt;&gt;"Transferencia",P4861&lt;&gt;"Pago tarjeta")),"",IFERROR(IF(INDEX(ctaVinc,MATCH(K4861,ctaNombre,0))&amp;""&lt;&gt;"",INDEX(ctaVinc,MATCH(K4861,ctaNombre,0))&amp;"",K4861),K4861))</f>
        <v/>
      </c>
      <c r="AD4861" s="52">
        <f>IF(AB4861="","",IFERROR(INDEX(ctaTipo,MATCH(AB4861,ctaNombre,0))&amp;"",""))</f>
        <v/>
      </c>
      <c r="AE4861" s="52">
        <f>IF(AC4861="","",IFERROR(INDEX(ctaTipo,MATCH(AC4861,ctaNombre,0))&amp;"",""))</f>
        <v/>
      </c>
      <c r="AF4861" s="53">
        <f>IF(OR(P4861="",AB4861=""),"",IF(OR(P4861="Gasto",P4861="Transferencia",P4861="Pago tarjeta"),-1,1)*IF(IFERROR(INDEX(ctaMoneda,MATCH(AB4861,ctaNombre,0))&amp;"","DOP")="USD",T4861,S4861))</f>
        <v/>
      </c>
      <c r="AG4861" s="53">
        <f>IF(AC4861="","",IF(IFERROR(INDEX(ctaMoneda,MATCH(AC4861,ctaNombre,0))&amp;"","DOP")="USD",T4861,S4861))</f>
        <v/>
      </c>
      <c r="AH4861" s="53">
        <f>IF(P4861="","",IF(AND(AD4861&lt;&gt;"",COUNTIFS(tcTipo,AD4861,tcLiq,"Sí")&gt;0),IF(OR(P4861="Gasto",P4861="Transferencia",P4861="Pago tarjeta"),-1,1)*S4861,0)+IF(AND(AE4861&lt;&gt;"",COUNTIFS(tcTipo,AE4861,tcLiq,"Sí")&gt;0),S4861,0))</f>
        <v/>
      </c>
      <c r="AI4861" s="52">
        <f>IF(OR(L4861="",P4861=""),"",IF(COUNTIFS(L$6:L4861,L4861,P$6:P4861,"?*")=1,MAX(AI$5:AI4860)+1,""))</f>
        <v/>
      </c>
    </row>
    <row r="4862">
      <c r="B4862" s="47" t="n"/>
      <c r="C4862" s="48" t="n"/>
      <c r="D4862" s="48" t="n"/>
      <c r="E4862" s="48" t="n"/>
      <c r="F4862" s="48" t="n"/>
      <c r="G4862" s="49" t="n"/>
      <c r="H4862" s="48" t="n"/>
      <c r="I4862" s="50" t="n"/>
      <c r="J4862" s="48" t="n"/>
      <c r="K4862" s="48" t="n"/>
      <c r="L4862" s="48" t="n"/>
      <c r="M4862" s="48" t="n"/>
      <c r="N4862" s="48" t="n"/>
      <c r="O4862" s="51">
        <f>IF(AND(B4862="",G4862="",C4862="",D4862="",J4862=""),"",IF(B4862="","⚠ Falta fecha",IF(G4862="","⚠ Falta monto",IF(Q4862="","⚠ Falta cuenta",IF(ISNA(MATCH(Q4862,ctaNombre,0)),"⚠ Cuenta no registrada",IF(AND(OR(P4862="Gasto",P4862="Reembolso"),D4862=""),"⚠ Falta categoría",IF(AND(D4862&lt;&gt;"",E4862&lt;&gt;"",ISNA(MATCH(D4862&amp;"|"&amp;E4862,catClave,0))),"⚠ Subcategoría no corresponde",IF(AND(OR(P4862="Transferencia",P4862="Pago tarjeta"),K4862=""),"⚠ Falta cuenta destino",IF(AND(K4862&lt;&gt;"",P4862&lt;&gt;"Transferencia",P4862&lt;&gt;"Pago tarjeta"),"⚠ Destino solo aplica a transferencias",IF(AND(K4862&lt;&gt;"",K4862=Q4862),"⚠ Origen igual a destino",IF(AND(K4862&lt;&gt;"",ISNA(MATCH(K4862,ctaNombre,0))),"⚠ Destino no registrado",IF(AND(P4862="Pago tarjeta",AE4862&lt;&gt;"Tarjeta de crédito"),"⚠ El destino debe ser tarjeta de crédito",IF(AND(P4862="Gasto",E4862="Depósitos y retiros"),"⚠ Usa tipo Transferencia",IF(AND(P4862="Resultado trading",AD4862&lt;&gt;"Cuenta de trading"),"⚠ Usa una cuenta de trading",IF(AND(G4862&lt;=0,P4862&lt;&gt;"Ajuste",P4862&lt;&gt;"Resultado trading"),"⚠ El monto debe ser positivo","✓")))))))))))))))</f>
        <v/>
      </c>
      <c r="P4862" s="52">
        <f>IF(OR(B4862="",G4862=""),"",IF(C4862="","Gasto",C4862))</f>
        <v/>
      </c>
      <c r="Q4862" s="52">
        <f>IF(P4862="","",IF(J4862&lt;&gt;"",J4862,CuentaPred&amp;""))</f>
        <v/>
      </c>
      <c r="R4862" s="52">
        <f>IF(P4862="","",IF(ISNUMBER(I4862),I4862,TasaUSD))</f>
        <v/>
      </c>
      <c r="S4862" s="53">
        <f>IF(P4862="","",IF(H4862="USD",G4862*R4862,G4862))</f>
        <v/>
      </c>
      <c r="T4862" s="53">
        <f>IF(P4862="","",IF(H4862="USD",G4862,IF(R4862&gt;0,G4862/R4862,0)))</f>
        <v/>
      </c>
      <c r="U4862" s="53">
        <f>IF(P4862="","",IF(P4862="Gasto",S4862,IF(P4862="Reembolso",-S4862,0)))</f>
        <v/>
      </c>
      <c r="V4862" s="53">
        <f>IF(P4862="","",IF(P4862="Ingreso",S4862,0))</f>
        <v/>
      </c>
      <c r="W4862" s="53">
        <f>IF(P4862="","",IF(P4862="Resultado trading",S4862,0))</f>
        <v/>
      </c>
      <c r="X4862" s="52">
        <f>IF(OR(P4862="Gasto",P4862="Reembolso"),IF(M4862&lt;&gt;"",M4862,IFERROR(INDEX(catClasif,MATCH(D4862&amp;"|"&amp;E4862,catClave,0))&amp;"","Variable")),"")</f>
        <v/>
      </c>
      <c r="Y4862" s="52">
        <f>IF(P4862="","",IFERROR(INDEX(catGrupo,MATCH(D4862&amp;"|"&amp;E4862,catClave,0))&amp;"",""))</f>
        <v/>
      </c>
      <c r="Z4862" s="52">
        <f>IF(P4862="","",WEEKDAY(B4862,2))</f>
        <v/>
      </c>
      <c r="AA4862" s="52">
        <f>IF(P4862="","",IF(AND(P4862="Gasto",X4862="Variable",D4862&lt;&gt;catTrading,S4862&gt;0,S4862&lt;=Umbral),1,0))</f>
        <v/>
      </c>
      <c r="AB4862" s="52">
        <f>IF(OR(P4862="",Q4862=""),"",IFERROR(IF(INDEX(ctaVinc,MATCH(Q4862,ctaNombre,0))&amp;""&lt;&gt;"",INDEX(ctaVinc,MATCH(Q4862,ctaNombre,0))&amp;"",Q4862),Q4862))</f>
        <v/>
      </c>
      <c r="AC4862" s="52">
        <f>IF(OR(K4862="",AND(P4862&lt;&gt;"Transferencia",P4862&lt;&gt;"Pago tarjeta")),"",IFERROR(IF(INDEX(ctaVinc,MATCH(K4862,ctaNombre,0))&amp;""&lt;&gt;"",INDEX(ctaVinc,MATCH(K4862,ctaNombre,0))&amp;"",K4862),K4862))</f>
        <v/>
      </c>
      <c r="AD4862" s="52">
        <f>IF(AB4862="","",IFERROR(INDEX(ctaTipo,MATCH(AB4862,ctaNombre,0))&amp;"",""))</f>
        <v/>
      </c>
      <c r="AE4862" s="52">
        <f>IF(AC4862="","",IFERROR(INDEX(ctaTipo,MATCH(AC4862,ctaNombre,0))&amp;"",""))</f>
        <v/>
      </c>
      <c r="AF4862" s="53">
        <f>IF(OR(P4862="",AB4862=""),"",IF(OR(P4862="Gasto",P4862="Transferencia",P4862="Pago tarjeta"),-1,1)*IF(IFERROR(INDEX(ctaMoneda,MATCH(AB4862,ctaNombre,0))&amp;"","DOP")="USD",T4862,S4862))</f>
        <v/>
      </c>
      <c r="AG4862" s="53">
        <f>IF(AC4862="","",IF(IFERROR(INDEX(ctaMoneda,MATCH(AC4862,ctaNombre,0))&amp;"","DOP")="USD",T4862,S4862))</f>
        <v/>
      </c>
      <c r="AH4862" s="53">
        <f>IF(P4862="","",IF(AND(AD4862&lt;&gt;"",COUNTIFS(tcTipo,AD4862,tcLiq,"Sí")&gt;0),IF(OR(P4862="Gasto",P4862="Transferencia",P4862="Pago tarjeta"),-1,1)*S4862,0)+IF(AND(AE4862&lt;&gt;"",COUNTIFS(tcTipo,AE4862,tcLiq,"Sí")&gt;0),S4862,0))</f>
        <v/>
      </c>
      <c r="AI4862" s="52">
        <f>IF(OR(L4862="",P4862=""),"",IF(COUNTIFS(L$6:L4862,L4862,P$6:P4862,"?*")=1,MAX(AI$5:AI4861)+1,""))</f>
        <v/>
      </c>
    </row>
    <row r="4863">
      <c r="B4863" s="47" t="n"/>
      <c r="C4863" s="48" t="n"/>
      <c r="D4863" s="48" t="n"/>
      <c r="E4863" s="48" t="n"/>
      <c r="F4863" s="48" t="n"/>
      <c r="G4863" s="49" t="n"/>
      <c r="H4863" s="48" t="n"/>
      <c r="I4863" s="50" t="n"/>
      <c r="J4863" s="48" t="n"/>
      <c r="K4863" s="48" t="n"/>
      <c r="L4863" s="48" t="n"/>
      <c r="M4863" s="48" t="n"/>
      <c r="N4863" s="48" t="n"/>
      <c r="O4863" s="51">
        <f>IF(AND(B4863="",G4863="",C4863="",D4863="",J4863=""),"",IF(B4863="","⚠ Falta fecha",IF(G4863="","⚠ Falta monto",IF(Q4863="","⚠ Falta cuenta",IF(ISNA(MATCH(Q4863,ctaNombre,0)),"⚠ Cuenta no registrada",IF(AND(OR(P4863="Gasto",P4863="Reembolso"),D4863=""),"⚠ Falta categoría",IF(AND(D4863&lt;&gt;"",E4863&lt;&gt;"",ISNA(MATCH(D4863&amp;"|"&amp;E4863,catClave,0))),"⚠ Subcategoría no corresponde",IF(AND(OR(P4863="Transferencia",P4863="Pago tarjeta"),K4863=""),"⚠ Falta cuenta destino",IF(AND(K4863&lt;&gt;"",P4863&lt;&gt;"Transferencia",P4863&lt;&gt;"Pago tarjeta"),"⚠ Destino solo aplica a transferencias",IF(AND(K4863&lt;&gt;"",K4863=Q4863),"⚠ Origen igual a destino",IF(AND(K4863&lt;&gt;"",ISNA(MATCH(K4863,ctaNombre,0))),"⚠ Destino no registrado",IF(AND(P4863="Pago tarjeta",AE4863&lt;&gt;"Tarjeta de crédito"),"⚠ El destino debe ser tarjeta de crédito",IF(AND(P4863="Gasto",E4863="Depósitos y retiros"),"⚠ Usa tipo Transferencia",IF(AND(P4863="Resultado trading",AD4863&lt;&gt;"Cuenta de trading"),"⚠ Usa una cuenta de trading",IF(AND(G4863&lt;=0,P4863&lt;&gt;"Ajuste",P4863&lt;&gt;"Resultado trading"),"⚠ El monto debe ser positivo","✓")))))))))))))))</f>
        <v/>
      </c>
      <c r="P4863" s="52">
        <f>IF(OR(B4863="",G4863=""),"",IF(C4863="","Gasto",C4863))</f>
        <v/>
      </c>
      <c r="Q4863" s="52">
        <f>IF(P4863="","",IF(J4863&lt;&gt;"",J4863,CuentaPred&amp;""))</f>
        <v/>
      </c>
      <c r="R4863" s="52">
        <f>IF(P4863="","",IF(ISNUMBER(I4863),I4863,TasaUSD))</f>
        <v/>
      </c>
      <c r="S4863" s="53">
        <f>IF(P4863="","",IF(H4863="USD",G4863*R4863,G4863))</f>
        <v/>
      </c>
      <c r="T4863" s="53">
        <f>IF(P4863="","",IF(H4863="USD",G4863,IF(R4863&gt;0,G4863/R4863,0)))</f>
        <v/>
      </c>
      <c r="U4863" s="53">
        <f>IF(P4863="","",IF(P4863="Gasto",S4863,IF(P4863="Reembolso",-S4863,0)))</f>
        <v/>
      </c>
      <c r="V4863" s="53">
        <f>IF(P4863="","",IF(P4863="Ingreso",S4863,0))</f>
        <v/>
      </c>
      <c r="W4863" s="53">
        <f>IF(P4863="","",IF(P4863="Resultado trading",S4863,0))</f>
        <v/>
      </c>
      <c r="X4863" s="52">
        <f>IF(OR(P4863="Gasto",P4863="Reembolso"),IF(M4863&lt;&gt;"",M4863,IFERROR(INDEX(catClasif,MATCH(D4863&amp;"|"&amp;E4863,catClave,0))&amp;"","Variable")),"")</f>
        <v/>
      </c>
      <c r="Y4863" s="52">
        <f>IF(P4863="","",IFERROR(INDEX(catGrupo,MATCH(D4863&amp;"|"&amp;E4863,catClave,0))&amp;"",""))</f>
        <v/>
      </c>
      <c r="Z4863" s="52">
        <f>IF(P4863="","",WEEKDAY(B4863,2))</f>
        <v/>
      </c>
      <c r="AA4863" s="52">
        <f>IF(P4863="","",IF(AND(P4863="Gasto",X4863="Variable",D4863&lt;&gt;catTrading,S4863&gt;0,S4863&lt;=Umbral),1,0))</f>
        <v/>
      </c>
      <c r="AB4863" s="52">
        <f>IF(OR(P4863="",Q4863=""),"",IFERROR(IF(INDEX(ctaVinc,MATCH(Q4863,ctaNombre,0))&amp;""&lt;&gt;"",INDEX(ctaVinc,MATCH(Q4863,ctaNombre,0))&amp;"",Q4863),Q4863))</f>
        <v/>
      </c>
      <c r="AC4863" s="52">
        <f>IF(OR(K4863="",AND(P4863&lt;&gt;"Transferencia",P4863&lt;&gt;"Pago tarjeta")),"",IFERROR(IF(INDEX(ctaVinc,MATCH(K4863,ctaNombre,0))&amp;""&lt;&gt;"",INDEX(ctaVinc,MATCH(K4863,ctaNombre,0))&amp;"",K4863),K4863))</f>
        <v/>
      </c>
      <c r="AD4863" s="52">
        <f>IF(AB4863="","",IFERROR(INDEX(ctaTipo,MATCH(AB4863,ctaNombre,0))&amp;"",""))</f>
        <v/>
      </c>
      <c r="AE4863" s="52">
        <f>IF(AC4863="","",IFERROR(INDEX(ctaTipo,MATCH(AC4863,ctaNombre,0))&amp;"",""))</f>
        <v/>
      </c>
      <c r="AF4863" s="53">
        <f>IF(OR(P4863="",AB4863=""),"",IF(OR(P4863="Gasto",P4863="Transferencia",P4863="Pago tarjeta"),-1,1)*IF(IFERROR(INDEX(ctaMoneda,MATCH(AB4863,ctaNombre,0))&amp;"","DOP")="USD",T4863,S4863))</f>
        <v/>
      </c>
      <c r="AG4863" s="53">
        <f>IF(AC4863="","",IF(IFERROR(INDEX(ctaMoneda,MATCH(AC4863,ctaNombre,0))&amp;"","DOP")="USD",T4863,S4863))</f>
        <v/>
      </c>
      <c r="AH4863" s="53">
        <f>IF(P4863="","",IF(AND(AD4863&lt;&gt;"",COUNTIFS(tcTipo,AD4863,tcLiq,"Sí")&gt;0),IF(OR(P4863="Gasto",P4863="Transferencia",P4863="Pago tarjeta"),-1,1)*S4863,0)+IF(AND(AE4863&lt;&gt;"",COUNTIFS(tcTipo,AE4863,tcLiq,"Sí")&gt;0),S4863,0))</f>
        <v/>
      </c>
      <c r="AI4863" s="52">
        <f>IF(OR(L4863="",P4863=""),"",IF(COUNTIFS(L$6:L4863,L4863,P$6:P4863,"?*")=1,MAX(AI$5:AI4862)+1,""))</f>
        <v/>
      </c>
    </row>
    <row r="4864">
      <c r="B4864" s="47" t="n"/>
      <c r="C4864" s="48" t="n"/>
      <c r="D4864" s="48" t="n"/>
      <c r="E4864" s="48" t="n"/>
      <c r="F4864" s="48" t="n"/>
      <c r="G4864" s="49" t="n"/>
      <c r="H4864" s="48" t="n"/>
      <c r="I4864" s="50" t="n"/>
      <c r="J4864" s="48" t="n"/>
      <c r="K4864" s="48" t="n"/>
      <c r="L4864" s="48" t="n"/>
      <c r="M4864" s="48" t="n"/>
      <c r="N4864" s="48" t="n"/>
      <c r="O4864" s="51">
        <f>IF(AND(B4864="",G4864="",C4864="",D4864="",J4864=""),"",IF(B4864="","⚠ Falta fecha",IF(G4864="","⚠ Falta monto",IF(Q4864="","⚠ Falta cuenta",IF(ISNA(MATCH(Q4864,ctaNombre,0)),"⚠ Cuenta no registrada",IF(AND(OR(P4864="Gasto",P4864="Reembolso"),D4864=""),"⚠ Falta categoría",IF(AND(D4864&lt;&gt;"",E4864&lt;&gt;"",ISNA(MATCH(D4864&amp;"|"&amp;E4864,catClave,0))),"⚠ Subcategoría no corresponde",IF(AND(OR(P4864="Transferencia",P4864="Pago tarjeta"),K4864=""),"⚠ Falta cuenta destino",IF(AND(K4864&lt;&gt;"",P4864&lt;&gt;"Transferencia",P4864&lt;&gt;"Pago tarjeta"),"⚠ Destino solo aplica a transferencias",IF(AND(K4864&lt;&gt;"",K4864=Q4864),"⚠ Origen igual a destino",IF(AND(K4864&lt;&gt;"",ISNA(MATCH(K4864,ctaNombre,0))),"⚠ Destino no registrado",IF(AND(P4864="Pago tarjeta",AE4864&lt;&gt;"Tarjeta de crédito"),"⚠ El destino debe ser tarjeta de crédito",IF(AND(P4864="Gasto",E4864="Depósitos y retiros"),"⚠ Usa tipo Transferencia",IF(AND(P4864="Resultado trading",AD4864&lt;&gt;"Cuenta de trading"),"⚠ Usa una cuenta de trading",IF(AND(G4864&lt;=0,P4864&lt;&gt;"Ajuste",P4864&lt;&gt;"Resultado trading"),"⚠ El monto debe ser positivo","✓")))))))))))))))</f>
        <v/>
      </c>
      <c r="P4864" s="52">
        <f>IF(OR(B4864="",G4864=""),"",IF(C4864="","Gasto",C4864))</f>
        <v/>
      </c>
      <c r="Q4864" s="52">
        <f>IF(P4864="","",IF(J4864&lt;&gt;"",J4864,CuentaPred&amp;""))</f>
        <v/>
      </c>
      <c r="R4864" s="52">
        <f>IF(P4864="","",IF(ISNUMBER(I4864),I4864,TasaUSD))</f>
        <v/>
      </c>
      <c r="S4864" s="53">
        <f>IF(P4864="","",IF(H4864="USD",G4864*R4864,G4864))</f>
        <v/>
      </c>
      <c r="T4864" s="53">
        <f>IF(P4864="","",IF(H4864="USD",G4864,IF(R4864&gt;0,G4864/R4864,0)))</f>
        <v/>
      </c>
      <c r="U4864" s="53">
        <f>IF(P4864="","",IF(P4864="Gasto",S4864,IF(P4864="Reembolso",-S4864,0)))</f>
        <v/>
      </c>
      <c r="V4864" s="53">
        <f>IF(P4864="","",IF(P4864="Ingreso",S4864,0))</f>
        <v/>
      </c>
      <c r="W4864" s="53">
        <f>IF(P4864="","",IF(P4864="Resultado trading",S4864,0))</f>
        <v/>
      </c>
      <c r="X4864" s="52">
        <f>IF(OR(P4864="Gasto",P4864="Reembolso"),IF(M4864&lt;&gt;"",M4864,IFERROR(INDEX(catClasif,MATCH(D4864&amp;"|"&amp;E4864,catClave,0))&amp;"","Variable")),"")</f>
        <v/>
      </c>
      <c r="Y4864" s="52">
        <f>IF(P4864="","",IFERROR(INDEX(catGrupo,MATCH(D4864&amp;"|"&amp;E4864,catClave,0))&amp;"",""))</f>
        <v/>
      </c>
      <c r="Z4864" s="52">
        <f>IF(P4864="","",WEEKDAY(B4864,2))</f>
        <v/>
      </c>
      <c r="AA4864" s="52">
        <f>IF(P4864="","",IF(AND(P4864="Gasto",X4864="Variable",D4864&lt;&gt;catTrading,S4864&gt;0,S4864&lt;=Umbral),1,0))</f>
        <v/>
      </c>
      <c r="AB4864" s="52">
        <f>IF(OR(P4864="",Q4864=""),"",IFERROR(IF(INDEX(ctaVinc,MATCH(Q4864,ctaNombre,0))&amp;""&lt;&gt;"",INDEX(ctaVinc,MATCH(Q4864,ctaNombre,0))&amp;"",Q4864),Q4864))</f>
        <v/>
      </c>
      <c r="AC4864" s="52">
        <f>IF(OR(K4864="",AND(P4864&lt;&gt;"Transferencia",P4864&lt;&gt;"Pago tarjeta")),"",IFERROR(IF(INDEX(ctaVinc,MATCH(K4864,ctaNombre,0))&amp;""&lt;&gt;"",INDEX(ctaVinc,MATCH(K4864,ctaNombre,0))&amp;"",K4864),K4864))</f>
        <v/>
      </c>
      <c r="AD4864" s="52">
        <f>IF(AB4864="","",IFERROR(INDEX(ctaTipo,MATCH(AB4864,ctaNombre,0))&amp;"",""))</f>
        <v/>
      </c>
      <c r="AE4864" s="52">
        <f>IF(AC4864="","",IFERROR(INDEX(ctaTipo,MATCH(AC4864,ctaNombre,0))&amp;"",""))</f>
        <v/>
      </c>
      <c r="AF4864" s="53">
        <f>IF(OR(P4864="",AB4864=""),"",IF(OR(P4864="Gasto",P4864="Transferencia",P4864="Pago tarjeta"),-1,1)*IF(IFERROR(INDEX(ctaMoneda,MATCH(AB4864,ctaNombre,0))&amp;"","DOP")="USD",T4864,S4864))</f>
        <v/>
      </c>
      <c r="AG4864" s="53">
        <f>IF(AC4864="","",IF(IFERROR(INDEX(ctaMoneda,MATCH(AC4864,ctaNombre,0))&amp;"","DOP")="USD",T4864,S4864))</f>
        <v/>
      </c>
      <c r="AH4864" s="53">
        <f>IF(P4864="","",IF(AND(AD4864&lt;&gt;"",COUNTIFS(tcTipo,AD4864,tcLiq,"Sí")&gt;0),IF(OR(P4864="Gasto",P4864="Transferencia",P4864="Pago tarjeta"),-1,1)*S4864,0)+IF(AND(AE4864&lt;&gt;"",COUNTIFS(tcTipo,AE4864,tcLiq,"Sí")&gt;0),S4864,0))</f>
        <v/>
      </c>
      <c r="AI4864" s="52">
        <f>IF(OR(L4864="",P4864=""),"",IF(COUNTIFS(L$6:L4864,L4864,P$6:P4864,"?*")=1,MAX(AI$5:AI4863)+1,""))</f>
        <v/>
      </c>
    </row>
    <row r="4865">
      <c r="B4865" s="47" t="n"/>
      <c r="C4865" s="48" t="n"/>
      <c r="D4865" s="48" t="n"/>
      <c r="E4865" s="48" t="n"/>
      <c r="F4865" s="48" t="n"/>
      <c r="G4865" s="49" t="n"/>
      <c r="H4865" s="48" t="n"/>
      <c r="I4865" s="50" t="n"/>
      <c r="J4865" s="48" t="n"/>
      <c r="K4865" s="48" t="n"/>
      <c r="L4865" s="48" t="n"/>
      <c r="M4865" s="48" t="n"/>
      <c r="N4865" s="48" t="n"/>
      <c r="O4865" s="51">
        <f>IF(AND(B4865="",G4865="",C4865="",D4865="",J4865=""),"",IF(B4865="","⚠ Falta fecha",IF(G4865="","⚠ Falta monto",IF(Q4865="","⚠ Falta cuenta",IF(ISNA(MATCH(Q4865,ctaNombre,0)),"⚠ Cuenta no registrada",IF(AND(OR(P4865="Gasto",P4865="Reembolso"),D4865=""),"⚠ Falta categoría",IF(AND(D4865&lt;&gt;"",E4865&lt;&gt;"",ISNA(MATCH(D4865&amp;"|"&amp;E4865,catClave,0))),"⚠ Subcategoría no corresponde",IF(AND(OR(P4865="Transferencia",P4865="Pago tarjeta"),K4865=""),"⚠ Falta cuenta destino",IF(AND(K4865&lt;&gt;"",P4865&lt;&gt;"Transferencia",P4865&lt;&gt;"Pago tarjeta"),"⚠ Destino solo aplica a transferencias",IF(AND(K4865&lt;&gt;"",K4865=Q4865),"⚠ Origen igual a destino",IF(AND(K4865&lt;&gt;"",ISNA(MATCH(K4865,ctaNombre,0))),"⚠ Destino no registrado",IF(AND(P4865="Pago tarjeta",AE4865&lt;&gt;"Tarjeta de crédito"),"⚠ El destino debe ser tarjeta de crédito",IF(AND(P4865="Gasto",E4865="Depósitos y retiros"),"⚠ Usa tipo Transferencia",IF(AND(P4865="Resultado trading",AD4865&lt;&gt;"Cuenta de trading"),"⚠ Usa una cuenta de trading",IF(AND(G4865&lt;=0,P4865&lt;&gt;"Ajuste",P4865&lt;&gt;"Resultado trading"),"⚠ El monto debe ser positivo","✓")))))))))))))))</f>
        <v/>
      </c>
      <c r="P4865" s="52">
        <f>IF(OR(B4865="",G4865=""),"",IF(C4865="","Gasto",C4865))</f>
        <v/>
      </c>
      <c r="Q4865" s="52">
        <f>IF(P4865="","",IF(J4865&lt;&gt;"",J4865,CuentaPred&amp;""))</f>
        <v/>
      </c>
      <c r="R4865" s="52">
        <f>IF(P4865="","",IF(ISNUMBER(I4865),I4865,TasaUSD))</f>
        <v/>
      </c>
      <c r="S4865" s="53">
        <f>IF(P4865="","",IF(H4865="USD",G4865*R4865,G4865))</f>
        <v/>
      </c>
      <c r="T4865" s="53">
        <f>IF(P4865="","",IF(H4865="USD",G4865,IF(R4865&gt;0,G4865/R4865,0)))</f>
        <v/>
      </c>
      <c r="U4865" s="53">
        <f>IF(P4865="","",IF(P4865="Gasto",S4865,IF(P4865="Reembolso",-S4865,0)))</f>
        <v/>
      </c>
      <c r="V4865" s="53">
        <f>IF(P4865="","",IF(P4865="Ingreso",S4865,0))</f>
        <v/>
      </c>
      <c r="W4865" s="53">
        <f>IF(P4865="","",IF(P4865="Resultado trading",S4865,0))</f>
        <v/>
      </c>
      <c r="X4865" s="52">
        <f>IF(OR(P4865="Gasto",P4865="Reembolso"),IF(M4865&lt;&gt;"",M4865,IFERROR(INDEX(catClasif,MATCH(D4865&amp;"|"&amp;E4865,catClave,0))&amp;"","Variable")),"")</f>
        <v/>
      </c>
      <c r="Y4865" s="52">
        <f>IF(P4865="","",IFERROR(INDEX(catGrupo,MATCH(D4865&amp;"|"&amp;E4865,catClave,0))&amp;"",""))</f>
        <v/>
      </c>
      <c r="Z4865" s="52">
        <f>IF(P4865="","",WEEKDAY(B4865,2))</f>
        <v/>
      </c>
      <c r="AA4865" s="52">
        <f>IF(P4865="","",IF(AND(P4865="Gasto",X4865="Variable",D4865&lt;&gt;catTrading,S4865&gt;0,S4865&lt;=Umbral),1,0))</f>
        <v/>
      </c>
      <c r="AB4865" s="52">
        <f>IF(OR(P4865="",Q4865=""),"",IFERROR(IF(INDEX(ctaVinc,MATCH(Q4865,ctaNombre,0))&amp;""&lt;&gt;"",INDEX(ctaVinc,MATCH(Q4865,ctaNombre,0))&amp;"",Q4865),Q4865))</f>
        <v/>
      </c>
      <c r="AC4865" s="52">
        <f>IF(OR(K4865="",AND(P4865&lt;&gt;"Transferencia",P4865&lt;&gt;"Pago tarjeta")),"",IFERROR(IF(INDEX(ctaVinc,MATCH(K4865,ctaNombre,0))&amp;""&lt;&gt;"",INDEX(ctaVinc,MATCH(K4865,ctaNombre,0))&amp;"",K4865),K4865))</f>
        <v/>
      </c>
      <c r="AD4865" s="52">
        <f>IF(AB4865="","",IFERROR(INDEX(ctaTipo,MATCH(AB4865,ctaNombre,0))&amp;"",""))</f>
        <v/>
      </c>
      <c r="AE4865" s="52">
        <f>IF(AC4865="","",IFERROR(INDEX(ctaTipo,MATCH(AC4865,ctaNombre,0))&amp;"",""))</f>
        <v/>
      </c>
      <c r="AF4865" s="53">
        <f>IF(OR(P4865="",AB4865=""),"",IF(OR(P4865="Gasto",P4865="Transferencia",P4865="Pago tarjeta"),-1,1)*IF(IFERROR(INDEX(ctaMoneda,MATCH(AB4865,ctaNombre,0))&amp;"","DOP")="USD",T4865,S4865))</f>
        <v/>
      </c>
      <c r="AG4865" s="53">
        <f>IF(AC4865="","",IF(IFERROR(INDEX(ctaMoneda,MATCH(AC4865,ctaNombre,0))&amp;"","DOP")="USD",T4865,S4865))</f>
        <v/>
      </c>
      <c r="AH4865" s="53">
        <f>IF(P4865="","",IF(AND(AD4865&lt;&gt;"",COUNTIFS(tcTipo,AD4865,tcLiq,"Sí")&gt;0),IF(OR(P4865="Gasto",P4865="Transferencia",P4865="Pago tarjeta"),-1,1)*S4865,0)+IF(AND(AE4865&lt;&gt;"",COUNTIFS(tcTipo,AE4865,tcLiq,"Sí")&gt;0),S4865,0))</f>
        <v/>
      </c>
      <c r="AI4865" s="52">
        <f>IF(OR(L4865="",P4865=""),"",IF(COUNTIFS(L$6:L4865,L4865,P$6:P4865,"?*")=1,MAX(AI$5:AI4864)+1,""))</f>
        <v/>
      </c>
    </row>
    <row r="4866">
      <c r="B4866" s="47" t="n"/>
      <c r="C4866" s="48" t="n"/>
      <c r="D4866" s="48" t="n"/>
      <c r="E4866" s="48" t="n"/>
      <c r="F4866" s="48" t="n"/>
      <c r="G4866" s="49" t="n"/>
      <c r="H4866" s="48" t="n"/>
      <c r="I4866" s="50" t="n"/>
      <c r="J4866" s="48" t="n"/>
      <c r="K4866" s="48" t="n"/>
      <c r="L4866" s="48" t="n"/>
      <c r="M4866" s="48" t="n"/>
      <c r="N4866" s="48" t="n"/>
      <c r="O4866" s="51">
        <f>IF(AND(B4866="",G4866="",C4866="",D4866="",J4866=""),"",IF(B4866="","⚠ Falta fecha",IF(G4866="","⚠ Falta monto",IF(Q4866="","⚠ Falta cuenta",IF(ISNA(MATCH(Q4866,ctaNombre,0)),"⚠ Cuenta no registrada",IF(AND(OR(P4866="Gasto",P4866="Reembolso"),D4866=""),"⚠ Falta categoría",IF(AND(D4866&lt;&gt;"",E4866&lt;&gt;"",ISNA(MATCH(D4866&amp;"|"&amp;E4866,catClave,0))),"⚠ Subcategoría no corresponde",IF(AND(OR(P4866="Transferencia",P4866="Pago tarjeta"),K4866=""),"⚠ Falta cuenta destino",IF(AND(K4866&lt;&gt;"",P4866&lt;&gt;"Transferencia",P4866&lt;&gt;"Pago tarjeta"),"⚠ Destino solo aplica a transferencias",IF(AND(K4866&lt;&gt;"",K4866=Q4866),"⚠ Origen igual a destino",IF(AND(K4866&lt;&gt;"",ISNA(MATCH(K4866,ctaNombre,0))),"⚠ Destino no registrado",IF(AND(P4866="Pago tarjeta",AE4866&lt;&gt;"Tarjeta de crédito"),"⚠ El destino debe ser tarjeta de crédito",IF(AND(P4866="Gasto",E4866="Depósitos y retiros"),"⚠ Usa tipo Transferencia",IF(AND(P4866="Resultado trading",AD4866&lt;&gt;"Cuenta de trading"),"⚠ Usa una cuenta de trading",IF(AND(G4866&lt;=0,P4866&lt;&gt;"Ajuste",P4866&lt;&gt;"Resultado trading"),"⚠ El monto debe ser positivo","✓")))))))))))))))</f>
        <v/>
      </c>
      <c r="P4866" s="52">
        <f>IF(OR(B4866="",G4866=""),"",IF(C4866="","Gasto",C4866))</f>
        <v/>
      </c>
      <c r="Q4866" s="52">
        <f>IF(P4866="","",IF(J4866&lt;&gt;"",J4866,CuentaPred&amp;""))</f>
        <v/>
      </c>
      <c r="R4866" s="52">
        <f>IF(P4866="","",IF(ISNUMBER(I4866),I4866,TasaUSD))</f>
        <v/>
      </c>
      <c r="S4866" s="53">
        <f>IF(P4866="","",IF(H4866="USD",G4866*R4866,G4866))</f>
        <v/>
      </c>
      <c r="T4866" s="53">
        <f>IF(P4866="","",IF(H4866="USD",G4866,IF(R4866&gt;0,G4866/R4866,0)))</f>
        <v/>
      </c>
      <c r="U4866" s="53">
        <f>IF(P4866="","",IF(P4866="Gasto",S4866,IF(P4866="Reembolso",-S4866,0)))</f>
        <v/>
      </c>
      <c r="V4866" s="53">
        <f>IF(P4866="","",IF(P4866="Ingreso",S4866,0))</f>
        <v/>
      </c>
      <c r="W4866" s="53">
        <f>IF(P4866="","",IF(P4866="Resultado trading",S4866,0))</f>
        <v/>
      </c>
      <c r="X4866" s="52">
        <f>IF(OR(P4866="Gasto",P4866="Reembolso"),IF(M4866&lt;&gt;"",M4866,IFERROR(INDEX(catClasif,MATCH(D4866&amp;"|"&amp;E4866,catClave,0))&amp;"","Variable")),"")</f>
        <v/>
      </c>
      <c r="Y4866" s="52">
        <f>IF(P4866="","",IFERROR(INDEX(catGrupo,MATCH(D4866&amp;"|"&amp;E4866,catClave,0))&amp;"",""))</f>
        <v/>
      </c>
      <c r="Z4866" s="52">
        <f>IF(P4866="","",WEEKDAY(B4866,2))</f>
        <v/>
      </c>
      <c r="AA4866" s="52">
        <f>IF(P4866="","",IF(AND(P4866="Gasto",X4866="Variable",D4866&lt;&gt;catTrading,S4866&gt;0,S4866&lt;=Umbral),1,0))</f>
        <v/>
      </c>
      <c r="AB4866" s="52">
        <f>IF(OR(P4866="",Q4866=""),"",IFERROR(IF(INDEX(ctaVinc,MATCH(Q4866,ctaNombre,0))&amp;""&lt;&gt;"",INDEX(ctaVinc,MATCH(Q4866,ctaNombre,0))&amp;"",Q4866),Q4866))</f>
        <v/>
      </c>
      <c r="AC4866" s="52">
        <f>IF(OR(K4866="",AND(P4866&lt;&gt;"Transferencia",P4866&lt;&gt;"Pago tarjeta")),"",IFERROR(IF(INDEX(ctaVinc,MATCH(K4866,ctaNombre,0))&amp;""&lt;&gt;"",INDEX(ctaVinc,MATCH(K4866,ctaNombre,0))&amp;"",K4866),K4866))</f>
        <v/>
      </c>
      <c r="AD4866" s="52">
        <f>IF(AB4866="","",IFERROR(INDEX(ctaTipo,MATCH(AB4866,ctaNombre,0))&amp;"",""))</f>
        <v/>
      </c>
      <c r="AE4866" s="52">
        <f>IF(AC4866="","",IFERROR(INDEX(ctaTipo,MATCH(AC4866,ctaNombre,0))&amp;"",""))</f>
        <v/>
      </c>
      <c r="AF4866" s="53">
        <f>IF(OR(P4866="",AB4866=""),"",IF(OR(P4866="Gasto",P4866="Transferencia",P4866="Pago tarjeta"),-1,1)*IF(IFERROR(INDEX(ctaMoneda,MATCH(AB4866,ctaNombre,0))&amp;"","DOP")="USD",T4866,S4866))</f>
        <v/>
      </c>
      <c r="AG4866" s="53">
        <f>IF(AC4866="","",IF(IFERROR(INDEX(ctaMoneda,MATCH(AC4866,ctaNombre,0))&amp;"","DOP")="USD",T4866,S4866))</f>
        <v/>
      </c>
      <c r="AH4866" s="53">
        <f>IF(P4866="","",IF(AND(AD4866&lt;&gt;"",COUNTIFS(tcTipo,AD4866,tcLiq,"Sí")&gt;0),IF(OR(P4866="Gasto",P4866="Transferencia",P4866="Pago tarjeta"),-1,1)*S4866,0)+IF(AND(AE4866&lt;&gt;"",COUNTIFS(tcTipo,AE4866,tcLiq,"Sí")&gt;0),S4866,0))</f>
        <v/>
      </c>
      <c r="AI4866" s="52">
        <f>IF(OR(L4866="",P4866=""),"",IF(COUNTIFS(L$6:L4866,L4866,P$6:P4866,"?*")=1,MAX(AI$5:AI4865)+1,""))</f>
        <v/>
      </c>
    </row>
    <row r="4867">
      <c r="B4867" s="47" t="n"/>
      <c r="C4867" s="48" t="n"/>
      <c r="D4867" s="48" t="n"/>
      <c r="E4867" s="48" t="n"/>
      <c r="F4867" s="48" t="n"/>
      <c r="G4867" s="49" t="n"/>
      <c r="H4867" s="48" t="n"/>
      <c r="I4867" s="50" t="n"/>
      <c r="J4867" s="48" t="n"/>
      <c r="K4867" s="48" t="n"/>
      <c r="L4867" s="48" t="n"/>
      <c r="M4867" s="48" t="n"/>
      <c r="N4867" s="48" t="n"/>
      <c r="O4867" s="51">
        <f>IF(AND(B4867="",G4867="",C4867="",D4867="",J4867=""),"",IF(B4867="","⚠ Falta fecha",IF(G4867="","⚠ Falta monto",IF(Q4867="","⚠ Falta cuenta",IF(ISNA(MATCH(Q4867,ctaNombre,0)),"⚠ Cuenta no registrada",IF(AND(OR(P4867="Gasto",P4867="Reembolso"),D4867=""),"⚠ Falta categoría",IF(AND(D4867&lt;&gt;"",E4867&lt;&gt;"",ISNA(MATCH(D4867&amp;"|"&amp;E4867,catClave,0))),"⚠ Subcategoría no corresponde",IF(AND(OR(P4867="Transferencia",P4867="Pago tarjeta"),K4867=""),"⚠ Falta cuenta destino",IF(AND(K4867&lt;&gt;"",P4867&lt;&gt;"Transferencia",P4867&lt;&gt;"Pago tarjeta"),"⚠ Destino solo aplica a transferencias",IF(AND(K4867&lt;&gt;"",K4867=Q4867),"⚠ Origen igual a destino",IF(AND(K4867&lt;&gt;"",ISNA(MATCH(K4867,ctaNombre,0))),"⚠ Destino no registrado",IF(AND(P4867="Pago tarjeta",AE4867&lt;&gt;"Tarjeta de crédito"),"⚠ El destino debe ser tarjeta de crédito",IF(AND(P4867="Gasto",E4867="Depósitos y retiros"),"⚠ Usa tipo Transferencia",IF(AND(P4867="Resultado trading",AD4867&lt;&gt;"Cuenta de trading"),"⚠ Usa una cuenta de trading",IF(AND(G4867&lt;=0,P4867&lt;&gt;"Ajuste",P4867&lt;&gt;"Resultado trading"),"⚠ El monto debe ser positivo","✓")))))))))))))))</f>
        <v/>
      </c>
      <c r="P4867" s="52">
        <f>IF(OR(B4867="",G4867=""),"",IF(C4867="","Gasto",C4867))</f>
        <v/>
      </c>
      <c r="Q4867" s="52">
        <f>IF(P4867="","",IF(J4867&lt;&gt;"",J4867,CuentaPred&amp;""))</f>
        <v/>
      </c>
      <c r="R4867" s="52">
        <f>IF(P4867="","",IF(ISNUMBER(I4867),I4867,TasaUSD))</f>
        <v/>
      </c>
      <c r="S4867" s="53">
        <f>IF(P4867="","",IF(H4867="USD",G4867*R4867,G4867))</f>
        <v/>
      </c>
      <c r="T4867" s="53">
        <f>IF(P4867="","",IF(H4867="USD",G4867,IF(R4867&gt;0,G4867/R4867,0)))</f>
        <v/>
      </c>
      <c r="U4867" s="53">
        <f>IF(P4867="","",IF(P4867="Gasto",S4867,IF(P4867="Reembolso",-S4867,0)))</f>
        <v/>
      </c>
      <c r="V4867" s="53">
        <f>IF(P4867="","",IF(P4867="Ingreso",S4867,0))</f>
        <v/>
      </c>
      <c r="W4867" s="53">
        <f>IF(P4867="","",IF(P4867="Resultado trading",S4867,0))</f>
        <v/>
      </c>
      <c r="X4867" s="52">
        <f>IF(OR(P4867="Gasto",P4867="Reembolso"),IF(M4867&lt;&gt;"",M4867,IFERROR(INDEX(catClasif,MATCH(D4867&amp;"|"&amp;E4867,catClave,0))&amp;"","Variable")),"")</f>
        <v/>
      </c>
      <c r="Y4867" s="52">
        <f>IF(P4867="","",IFERROR(INDEX(catGrupo,MATCH(D4867&amp;"|"&amp;E4867,catClave,0))&amp;"",""))</f>
        <v/>
      </c>
      <c r="Z4867" s="52">
        <f>IF(P4867="","",WEEKDAY(B4867,2))</f>
        <v/>
      </c>
      <c r="AA4867" s="52">
        <f>IF(P4867="","",IF(AND(P4867="Gasto",X4867="Variable",D4867&lt;&gt;catTrading,S4867&gt;0,S4867&lt;=Umbral),1,0))</f>
        <v/>
      </c>
      <c r="AB4867" s="52">
        <f>IF(OR(P4867="",Q4867=""),"",IFERROR(IF(INDEX(ctaVinc,MATCH(Q4867,ctaNombre,0))&amp;""&lt;&gt;"",INDEX(ctaVinc,MATCH(Q4867,ctaNombre,0))&amp;"",Q4867),Q4867))</f>
        <v/>
      </c>
      <c r="AC4867" s="52">
        <f>IF(OR(K4867="",AND(P4867&lt;&gt;"Transferencia",P4867&lt;&gt;"Pago tarjeta")),"",IFERROR(IF(INDEX(ctaVinc,MATCH(K4867,ctaNombre,0))&amp;""&lt;&gt;"",INDEX(ctaVinc,MATCH(K4867,ctaNombre,0))&amp;"",K4867),K4867))</f>
        <v/>
      </c>
      <c r="AD4867" s="52">
        <f>IF(AB4867="","",IFERROR(INDEX(ctaTipo,MATCH(AB4867,ctaNombre,0))&amp;"",""))</f>
        <v/>
      </c>
      <c r="AE4867" s="52">
        <f>IF(AC4867="","",IFERROR(INDEX(ctaTipo,MATCH(AC4867,ctaNombre,0))&amp;"",""))</f>
        <v/>
      </c>
      <c r="AF4867" s="53">
        <f>IF(OR(P4867="",AB4867=""),"",IF(OR(P4867="Gasto",P4867="Transferencia",P4867="Pago tarjeta"),-1,1)*IF(IFERROR(INDEX(ctaMoneda,MATCH(AB4867,ctaNombre,0))&amp;"","DOP")="USD",T4867,S4867))</f>
        <v/>
      </c>
      <c r="AG4867" s="53">
        <f>IF(AC4867="","",IF(IFERROR(INDEX(ctaMoneda,MATCH(AC4867,ctaNombre,0))&amp;"","DOP")="USD",T4867,S4867))</f>
        <v/>
      </c>
      <c r="AH4867" s="53">
        <f>IF(P4867="","",IF(AND(AD4867&lt;&gt;"",COUNTIFS(tcTipo,AD4867,tcLiq,"Sí")&gt;0),IF(OR(P4867="Gasto",P4867="Transferencia",P4867="Pago tarjeta"),-1,1)*S4867,0)+IF(AND(AE4867&lt;&gt;"",COUNTIFS(tcTipo,AE4867,tcLiq,"Sí")&gt;0),S4867,0))</f>
        <v/>
      </c>
      <c r="AI4867" s="52">
        <f>IF(OR(L4867="",P4867=""),"",IF(COUNTIFS(L$6:L4867,L4867,P$6:P4867,"?*")=1,MAX(AI$5:AI4866)+1,""))</f>
        <v/>
      </c>
    </row>
    <row r="4868">
      <c r="B4868" s="47" t="n"/>
      <c r="C4868" s="48" t="n"/>
      <c r="D4868" s="48" t="n"/>
      <c r="E4868" s="48" t="n"/>
      <c r="F4868" s="48" t="n"/>
      <c r="G4868" s="49" t="n"/>
      <c r="H4868" s="48" t="n"/>
      <c r="I4868" s="50" t="n"/>
      <c r="J4868" s="48" t="n"/>
      <c r="K4868" s="48" t="n"/>
      <c r="L4868" s="48" t="n"/>
      <c r="M4868" s="48" t="n"/>
      <c r="N4868" s="48" t="n"/>
      <c r="O4868" s="51">
        <f>IF(AND(B4868="",G4868="",C4868="",D4868="",J4868=""),"",IF(B4868="","⚠ Falta fecha",IF(G4868="","⚠ Falta monto",IF(Q4868="","⚠ Falta cuenta",IF(ISNA(MATCH(Q4868,ctaNombre,0)),"⚠ Cuenta no registrada",IF(AND(OR(P4868="Gasto",P4868="Reembolso"),D4868=""),"⚠ Falta categoría",IF(AND(D4868&lt;&gt;"",E4868&lt;&gt;"",ISNA(MATCH(D4868&amp;"|"&amp;E4868,catClave,0))),"⚠ Subcategoría no corresponde",IF(AND(OR(P4868="Transferencia",P4868="Pago tarjeta"),K4868=""),"⚠ Falta cuenta destino",IF(AND(K4868&lt;&gt;"",P4868&lt;&gt;"Transferencia",P4868&lt;&gt;"Pago tarjeta"),"⚠ Destino solo aplica a transferencias",IF(AND(K4868&lt;&gt;"",K4868=Q4868),"⚠ Origen igual a destino",IF(AND(K4868&lt;&gt;"",ISNA(MATCH(K4868,ctaNombre,0))),"⚠ Destino no registrado",IF(AND(P4868="Pago tarjeta",AE4868&lt;&gt;"Tarjeta de crédito"),"⚠ El destino debe ser tarjeta de crédito",IF(AND(P4868="Gasto",E4868="Depósitos y retiros"),"⚠ Usa tipo Transferencia",IF(AND(P4868="Resultado trading",AD4868&lt;&gt;"Cuenta de trading"),"⚠ Usa una cuenta de trading",IF(AND(G4868&lt;=0,P4868&lt;&gt;"Ajuste",P4868&lt;&gt;"Resultado trading"),"⚠ El monto debe ser positivo","✓")))))))))))))))</f>
        <v/>
      </c>
      <c r="P4868" s="52">
        <f>IF(OR(B4868="",G4868=""),"",IF(C4868="","Gasto",C4868))</f>
        <v/>
      </c>
      <c r="Q4868" s="52">
        <f>IF(P4868="","",IF(J4868&lt;&gt;"",J4868,CuentaPred&amp;""))</f>
        <v/>
      </c>
      <c r="R4868" s="52">
        <f>IF(P4868="","",IF(ISNUMBER(I4868),I4868,TasaUSD))</f>
        <v/>
      </c>
      <c r="S4868" s="53">
        <f>IF(P4868="","",IF(H4868="USD",G4868*R4868,G4868))</f>
        <v/>
      </c>
      <c r="T4868" s="53">
        <f>IF(P4868="","",IF(H4868="USD",G4868,IF(R4868&gt;0,G4868/R4868,0)))</f>
        <v/>
      </c>
      <c r="U4868" s="53">
        <f>IF(P4868="","",IF(P4868="Gasto",S4868,IF(P4868="Reembolso",-S4868,0)))</f>
        <v/>
      </c>
      <c r="V4868" s="53">
        <f>IF(P4868="","",IF(P4868="Ingreso",S4868,0))</f>
        <v/>
      </c>
      <c r="W4868" s="53">
        <f>IF(P4868="","",IF(P4868="Resultado trading",S4868,0))</f>
        <v/>
      </c>
      <c r="X4868" s="52">
        <f>IF(OR(P4868="Gasto",P4868="Reembolso"),IF(M4868&lt;&gt;"",M4868,IFERROR(INDEX(catClasif,MATCH(D4868&amp;"|"&amp;E4868,catClave,0))&amp;"","Variable")),"")</f>
        <v/>
      </c>
      <c r="Y4868" s="52">
        <f>IF(P4868="","",IFERROR(INDEX(catGrupo,MATCH(D4868&amp;"|"&amp;E4868,catClave,0))&amp;"",""))</f>
        <v/>
      </c>
      <c r="Z4868" s="52">
        <f>IF(P4868="","",WEEKDAY(B4868,2))</f>
        <v/>
      </c>
      <c r="AA4868" s="52">
        <f>IF(P4868="","",IF(AND(P4868="Gasto",X4868="Variable",D4868&lt;&gt;catTrading,S4868&gt;0,S4868&lt;=Umbral),1,0))</f>
        <v/>
      </c>
      <c r="AB4868" s="52">
        <f>IF(OR(P4868="",Q4868=""),"",IFERROR(IF(INDEX(ctaVinc,MATCH(Q4868,ctaNombre,0))&amp;""&lt;&gt;"",INDEX(ctaVinc,MATCH(Q4868,ctaNombre,0))&amp;"",Q4868),Q4868))</f>
        <v/>
      </c>
      <c r="AC4868" s="52">
        <f>IF(OR(K4868="",AND(P4868&lt;&gt;"Transferencia",P4868&lt;&gt;"Pago tarjeta")),"",IFERROR(IF(INDEX(ctaVinc,MATCH(K4868,ctaNombre,0))&amp;""&lt;&gt;"",INDEX(ctaVinc,MATCH(K4868,ctaNombre,0))&amp;"",K4868),K4868))</f>
        <v/>
      </c>
      <c r="AD4868" s="52">
        <f>IF(AB4868="","",IFERROR(INDEX(ctaTipo,MATCH(AB4868,ctaNombre,0))&amp;"",""))</f>
        <v/>
      </c>
      <c r="AE4868" s="52">
        <f>IF(AC4868="","",IFERROR(INDEX(ctaTipo,MATCH(AC4868,ctaNombre,0))&amp;"",""))</f>
        <v/>
      </c>
      <c r="AF4868" s="53">
        <f>IF(OR(P4868="",AB4868=""),"",IF(OR(P4868="Gasto",P4868="Transferencia",P4868="Pago tarjeta"),-1,1)*IF(IFERROR(INDEX(ctaMoneda,MATCH(AB4868,ctaNombre,0))&amp;"","DOP")="USD",T4868,S4868))</f>
        <v/>
      </c>
      <c r="AG4868" s="53">
        <f>IF(AC4868="","",IF(IFERROR(INDEX(ctaMoneda,MATCH(AC4868,ctaNombre,0))&amp;"","DOP")="USD",T4868,S4868))</f>
        <v/>
      </c>
      <c r="AH4868" s="53">
        <f>IF(P4868="","",IF(AND(AD4868&lt;&gt;"",COUNTIFS(tcTipo,AD4868,tcLiq,"Sí")&gt;0),IF(OR(P4868="Gasto",P4868="Transferencia",P4868="Pago tarjeta"),-1,1)*S4868,0)+IF(AND(AE4868&lt;&gt;"",COUNTIFS(tcTipo,AE4868,tcLiq,"Sí")&gt;0),S4868,0))</f>
        <v/>
      </c>
      <c r="AI4868" s="52">
        <f>IF(OR(L4868="",P4868=""),"",IF(COUNTIFS(L$6:L4868,L4868,P$6:P4868,"?*")=1,MAX(AI$5:AI4867)+1,""))</f>
        <v/>
      </c>
    </row>
    <row r="4869">
      <c r="B4869" s="47" t="n"/>
      <c r="C4869" s="48" t="n"/>
      <c r="D4869" s="48" t="n"/>
      <c r="E4869" s="48" t="n"/>
      <c r="F4869" s="48" t="n"/>
      <c r="G4869" s="49" t="n"/>
      <c r="H4869" s="48" t="n"/>
      <c r="I4869" s="50" t="n"/>
      <c r="J4869" s="48" t="n"/>
      <c r="K4869" s="48" t="n"/>
      <c r="L4869" s="48" t="n"/>
      <c r="M4869" s="48" t="n"/>
      <c r="N4869" s="48" t="n"/>
      <c r="O4869" s="51">
        <f>IF(AND(B4869="",G4869="",C4869="",D4869="",J4869=""),"",IF(B4869="","⚠ Falta fecha",IF(G4869="","⚠ Falta monto",IF(Q4869="","⚠ Falta cuenta",IF(ISNA(MATCH(Q4869,ctaNombre,0)),"⚠ Cuenta no registrada",IF(AND(OR(P4869="Gasto",P4869="Reembolso"),D4869=""),"⚠ Falta categoría",IF(AND(D4869&lt;&gt;"",E4869&lt;&gt;"",ISNA(MATCH(D4869&amp;"|"&amp;E4869,catClave,0))),"⚠ Subcategoría no corresponde",IF(AND(OR(P4869="Transferencia",P4869="Pago tarjeta"),K4869=""),"⚠ Falta cuenta destino",IF(AND(K4869&lt;&gt;"",P4869&lt;&gt;"Transferencia",P4869&lt;&gt;"Pago tarjeta"),"⚠ Destino solo aplica a transferencias",IF(AND(K4869&lt;&gt;"",K4869=Q4869),"⚠ Origen igual a destino",IF(AND(K4869&lt;&gt;"",ISNA(MATCH(K4869,ctaNombre,0))),"⚠ Destino no registrado",IF(AND(P4869="Pago tarjeta",AE4869&lt;&gt;"Tarjeta de crédito"),"⚠ El destino debe ser tarjeta de crédito",IF(AND(P4869="Gasto",E4869="Depósitos y retiros"),"⚠ Usa tipo Transferencia",IF(AND(P4869="Resultado trading",AD4869&lt;&gt;"Cuenta de trading"),"⚠ Usa una cuenta de trading",IF(AND(G4869&lt;=0,P4869&lt;&gt;"Ajuste",P4869&lt;&gt;"Resultado trading"),"⚠ El monto debe ser positivo","✓")))))))))))))))</f>
        <v/>
      </c>
      <c r="P4869" s="52">
        <f>IF(OR(B4869="",G4869=""),"",IF(C4869="","Gasto",C4869))</f>
        <v/>
      </c>
      <c r="Q4869" s="52">
        <f>IF(P4869="","",IF(J4869&lt;&gt;"",J4869,CuentaPred&amp;""))</f>
        <v/>
      </c>
      <c r="R4869" s="52">
        <f>IF(P4869="","",IF(ISNUMBER(I4869),I4869,TasaUSD))</f>
        <v/>
      </c>
      <c r="S4869" s="53">
        <f>IF(P4869="","",IF(H4869="USD",G4869*R4869,G4869))</f>
        <v/>
      </c>
      <c r="T4869" s="53">
        <f>IF(P4869="","",IF(H4869="USD",G4869,IF(R4869&gt;0,G4869/R4869,0)))</f>
        <v/>
      </c>
      <c r="U4869" s="53">
        <f>IF(P4869="","",IF(P4869="Gasto",S4869,IF(P4869="Reembolso",-S4869,0)))</f>
        <v/>
      </c>
      <c r="V4869" s="53">
        <f>IF(P4869="","",IF(P4869="Ingreso",S4869,0))</f>
        <v/>
      </c>
      <c r="W4869" s="53">
        <f>IF(P4869="","",IF(P4869="Resultado trading",S4869,0))</f>
        <v/>
      </c>
      <c r="X4869" s="52">
        <f>IF(OR(P4869="Gasto",P4869="Reembolso"),IF(M4869&lt;&gt;"",M4869,IFERROR(INDEX(catClasif,MATCH(D4869&amp;"|"&amp;E4869,catClave,0))&amp;"","Variable")),"")</f>
        <v/>
      </c>
      <c r="Y4869" s="52">
        <f>IF(P4869="","",IFERROR(INDEX(catGrupo,MATCH(D4869&amp;"|"&amp;E4869,catClave,0))&amp;"",""))</f>
        <v/>
      </c>
      <c r="Z4869" s="52">
        <f>IF(P4869="","",WEEKDAY(B4869,2))</f>
        <v/>
      </c>
      <c r="AA4869" s="52">
        <f>IF(P4869="","",IF(AND(P4869="Gasto",X4869="Variable",D4869&lt;&gt;catTrading,S4869&gt;0,S4869&lt;=Umbral),1,0))</f>
        <v/>
      </c>
      <c r="AB4869" s="52">
        <f>IF(OR(P4869="",Q4869=""),"",IFERROR(IF(INDEX(ctaVinc,MATCH(Q4869,ctaNombre,0))&amp;""&lt;&gt;"",INDEX(ctaVinc,MATCH(Q4869,ctaNombre,0))&amp;"",Q4869),Q4869))</f>
        <v/>
      </c>
      <c r="AC4869" s="52">
        <f>IF(OR(K4869="",AND(P4869&lt;&gt;"Transferencia",P4869&lt;&gt;"Pago tarjeta")),"",IFERROR(IF(INDEX(ctaVinc,MATCH(K4869,ctaNombre,0))&amp;""&lt;&gt;"",INDEX(ctaVinc,MATCH(K4869,ctaNombre,0))&amp;"",K4869),K4869))</f>
        <v/>
      </c>
      <c r="AD4869" s="52">
        <f>IF(AB4869="","",IFERROR(INDEX(ctaTipo,MATCH(AB4869,ctaNombre,0))&amp;"",""))</f>
        <v/>
      </c>
      <c r="AE4869" s="52">
        <f>IF(AC4869="","",IFERROR(INDEX(ctaTipo,MATCH(AC4869,ctaNombre,0))&amp;"",""))</f>
        <v/>
      </c>
      <c r="AF4869" s="53">
        <f>IF(OR(P4869="",AB4869=""),"",IF(OR(P4869="Gasto",P4869="Transferencia",P4869="Pago tarjeta"),-1,1)*IF(IFERROR(INDEX(ctaMoneda,MATCH(AB4869,ctaNombre,0))&amp;"","DOP")="USD",T4869,S4869))</f>
        <v/>
      </c>
      <c r="AG4869" s="53">
        <f>IF(AC4869="","",IF(IFERROR(INDEX(ctaMoneda,MATCH(AC4869,ctaNombre,0))&amp;"","DOP")="USD",T4869,S4869))</f>
        <v/>
      </c>
      <c r="AH4869" s="53">
        <f>IF(P4869="","",IF(AND(AD4869&lt;&gt;"",COUNTIFS(tcTipo,AD4869,tcLiq,"Sí")&gt;0),IF(OR(P4869="Gasto",P4869="Transferencia",P4869="Pago tarjeta"),-1,1)*S4869,0)+IF(AND(AE4869&lt;&gt;"",COUNTIFS(tcTipo,AE4869,tcLiq,"Sí")&gt;0),S4869,0))</f>
        <v/>
      </c>
      <c r="AI4869" s="52">
        <f>IF(OR(L4869="",P4869=""),"",IF(COUNTIFS(L$6:L4869,L4869,P$6:P4869,"?*")=1,MAX(AI$5:AI4868)+1,""))</f>
        <v/>
      </c>
    </row>
    <row r="4870">
      <c r="B4870" s="47" t="n"/>
      <c r="C4870" s="48" t="n"/>
      <c r="D4870" s="48" t="n"/>
      <c r="E4870" s="48" t="n"/>
      <c r="F4870" s="48" t="n"/>
      <c r="G4870" s="49" t="n"/>
      <c r="H4870" s="48" t="n"/>
      <c r="I4870" s="50" t="n"/>
      <c r="J4870" s="48" t="n"/>
      <c r="K4870" s="48" t="n"/>
      <c r="L4870" s="48" t="n"/>
      <c r="M4870" s="48" t="n"/>
      <c r="N4870" s="48" t="n"/>
      <c r="O4870" s="51">
        <f>IF(AND(B4870="",G4870="",C4870="",D4870="",J4870=""),"",IF(B4870="","⚠ Falta fecha",IF(G4870="","⚠ Falta monto",IF(Q4870="","⚠ Falta cuenta",IF(ISNA(MATCH(Q4870,ctaNombre,0)),"⚠ Cuenta no registrada",IF(AND(OR(P4870="Gasto",P4870="Reembolso"),D4870=""),"⚠ Falta categoría",IF(AND(D4870&lt;&gt;"",E4870&lt;&gt;"",ISNA(MATCH(D4870&amp;"|"&amp;E4870,catClave,0))),"⚠ Subcategoría no corresponde",IF(AND(OR(P4870="Transferencia",P4870="Pago tarjeta"),K4870=""),"⚠ Falta cuenta destino",IF(AND(K4870&lt;&gt;"",P4870&lt;&gt;"Transferencia",P4870&lt;&gt;"Pago tarjeta"),"⚠ Destino solo aplica a transferencias",IF(AND(K4870&lt;&gt;"",K4870=Q4870),"⚠ Origen igual a destino",IF(AND(K4870&lt;&gt;"",ISNA(MATCH(K4870,ctaNombre,0))),"⚠ Destino no registrado",IF(AND(P4870="Pago tarjeta",AE4870&lt;&gt;"Tarjeta de crédito"),"⚠ El destino debe ser tarjeta de crédito",IF(AND(P4870="Gasto",E4870="Depósitos y retiros"),"⚠ Usa tipo Transferencia",IF(AND(P4870="Resultado trading",AD4870&lt;&gt;"Cuenta de trading"),"⚠ Usa una cuenta de trading",IF(AND(G4870&lt;=0,P4870&lt;&gt;"Ajuste",P4870&lt;&gt;"Resultado trading"),"⚠ El monto debe ser positivo","✓")))))))))))))))</f>
        <v/>
      </c>
      <c r="P4870" s="52">
        <f>IF(OR(B4870="",G4870=""),"",IF(C4870="","Gasto",C4870))</f>
        <v/>
      </c>
      <c r="Q4870" s="52">
        <f>IF(P4870="","",IF(J4870&lt;&gt;"",J4870,CuentaPred&amp;""))</f>
        <v/>
      </c>
      <c r="R4870" s="52">
        <f>IF(P4870="","",IF(ISNUMBER(I4870),I4870,TasaUSD))</f>
        <v/>
      </c>
      <c r="S4870" s="53">
        <f>IF(P4870="","",IF(H4870="USD",G4870*R4870,G4870))</f>
        <v/>
      </c>
      <c r="T4870" s="53">
        <f>IF(P4870="","",IF(H4870="USD",G4870,IF(R4870&gt;0,G4870/R4870,0)))</f>
        <v/>
      </c>
      <c r="U4870" s="53">
        <f>IF(P4870="","",IF(P4870="Gasto",S4870,IF(P4870="Reembolso",-S4870,0)))</f>
        <v/>
      </c>
      <c r="V4870" s="53">
        <f>IF(P4870="","",IF(P4870="Ingreso",S4870,0))</f>
        <v/>
      </c>
      <c r="W4870" s="53">
        <f>IF(P4870="","",IF(P4870="Resultado trading",S4870,0))</f>
        <v/>
      </c>
      <c r="X4870" s="52">
        <f>IF(OR(P4870="Gasto",P4870="Reembolso"),IF(M4870&lt;&gt;"",M4870,IFERROR(INDEX(catClasif,MATCH(D4870&amp;"|"&amp;E4870,catClave,0))&amp;"","Variable")),"")</f>
        <v/>
      </c>
      <c r="Y4870" s="52">
        <f>IF(P4870="","",IFERROR(INDEX(catGrupo,MATCH(D4870&amp;"|"&amp;E4870,catClave,0))&amp;"",""))</f>
        <v/>
      </c>
      <c r="Z4870" s="52">
        <f>IF(P4870="","",WEEKDAY(B4870,2))</f>
        <v/>
      </c>
      <c r="AA4870" s="52">
        <f>IF(P4870="","",IF(AND(P4870="Gasto",X4870="Variable",D4870&lt;&gt;catTrading,S4870&gt;0,S4870&lt;=Umbral),1,0))</f>
        <v/>
      </c>
      <c r="AB4870" s="52">
        <f>IF(OR(P4870="",Q4870=""),"",IFERROR(IF(INDEX(ctaVinc,MATCH(Q4870,ctaNombre,0))&amp;""&lt;&gt;"",INDEX(ctaVinc,MATCH(Q4870,ctaNombre,0))&amp;"",Q4870),Q4870))</f>
        <v/>
      </c>
      <c r="AC4870" s="52">
        <f>IF(OR(K4870="",AND(P4870&lt;&gt;"Transferencia",P4870&lt;&gt;"Pago tarjeta")),"",IFERROR(IF(INDEX(ctaVinc,MATCH(K4870,ctaNombre,0))&amp;""&lt;&gt;"",INDEX(ctaVinc,MATCH(K4870,ctaNombre,0))&amp;"",K4870),K4870))</f>
        <v/>
      </c>
      <c r="AD4870" s="52">
        <f>IF(AB4870="","",IFERROR(INDEX(ctaTipo,MATCH(AB4870,ctaNombre,0))&amp;"",""))</f>
        <v/>
      </c>
      <c r="AE4870" s="52">
        <f>IF(AC4870="","",IFERROR(INDEX(ctaTipo,MATCH(AC4870,ctaNombre,0))&amp;"",""))</f>
        <v/>
      </c>
      <c r="AF4870" s="53">
        <f>IF(OR(P4870="",AB4870=""),"",IF(OR(P4870="Gasto",P4870="Transferencia",P4870="Pago tarjeta"),-1,1)*IF(IFERROR(INDEX(ctaMoneda,MATCH(AB4870,ctaNombre,0))&amp;"","DOP")="USD",T4870,S4870))</f>
        <v/>
      </c>
      <c r="AG4870" s="53">
        <f>IF(AC4870="","",IF(IFERROR(INDEX(ctaMoneda,MATCH(AC4870,ctaNombre,0))&amp;"","DOP")="USD",T4870,S4870))</f>
        <v/>
      </c>
      <c r="AH4870" s="53">
        <f>IF(P4870="","",IF(AND(AD4870&lt;&gt;"",COUNTIFS(tcTipo,AD4870,tcLiq,"Sí")&gt;0),IF(OR(P4870="Gasto",P4870="Transferencia",P4870="Pago tarjeta"),-1,1)*S4870,0)+IF(AND(AE4870&lt;&gt;"",COUNTIFS(tcTipo,AE4870,tcLiq,"Sí")&gt;0),S4870,0))</f>
        <v/>
      </c>
      <c r="AI4870" s="52">
        <f>IF(OR(L4870="",P4870=""),"",IF(COUNTIFS(L$6:L4870,L4870,P$6:P4870,"?*")=1,MAX(AI$5:AI4869)+1,""))</f>
        <v/>
      </c>
    </row>
    <row r="4871">
      <c r="B4871" s="47" t="n"/>
      <c r="C4871" s="48" t="n"/>
      <c r="D4871" s="48" t="n"/>
      <c r="E4871" s="48" t="n"/>
      <c r="F4871" s="48" t="n"/>
      <c r="G4871" s="49" t="n"/>
      <c r="H4871" s="48" t="n"/>
      <c r="I4871" s="50" t="n"/>
      <c r="J4871" s="48" t="n"/>
      <c r="K4871" s="48" t="n"/>
      <c r="L4871" s="48" t="n"/>
      <c r="M4871" s="48" t="n"/>
      <c r="N4871" s="48" t="n"/>
      <c r="O4871" s="51">
        <f>IF(AND(B4871="",G4871="",C4871="",D4871="",J4871=""),"",IF(B4871="","⚠ Falta fecha",IF(G4871="","⚠ Falta monto",IF(Q4871="","⚠ Falta cuenta",IF(ISNA(MATCH(Q4871,ctaNombre,0)),"⚠ Cuenta no registrada",IF(AND(OR(P4871="Gasto",P4871="Reembolso"),D4871=""),"⚠ Falta categoría",IF(AND(D4871&lt;&gt;"",E4871&lt;&gt;"",ISNA(MATCH(D4871&amp;"|"&amp;E4871,catClave,0))),"⚠ Subcategoría no corresponde",IF(AND(OR(P4871="Transferencia",P4871="Pago tarjeta"),K4871=""),"⚠ Falta cuenta destino",IF(AND(K4871&lt;&gt;"",P4871&lt;&gt;"Transferencia",P4871&lt;&gt;"Pago tarjeta"),"⚠ Destino solo aplica a transferencias",IF(AND(K4871&lt;&gt;"",K4871=Q4871),"⚠ Origen igual a destino",IF(AND(K4871&lt;&gt;"",ISNA(MATCH(K4871,ctaNombre,0))),"⚠ Destino no registrado",IF(AND(P4871="Pago tarjeta",AE4871&lt;&gt;"Tarjeta de crédito"),"⚠ El destino debe ser tarjeta de crédito",IF(AND(P4871="Gasto",E4871="Depósitos y retiros"),"⚠ Usa tipo Transferencia",IF(AND(P4871="Resultado trading",AD4871&lt;&gt;"Cuenta de trading"),"⚠ Usa una cuenta de trading",IF(AND(G4871&lt;=0,P4871&lt;&gt;"Ajuste",P4871&lt;&gt;"Resultado trading"),"⚠ El monto debe ser positivo","✓")))))))))))))))</f>
        <v/>
      </c>
      <c r="P4871" s="52">
        <f>IF(OR(B4871="",G4871=""),"",IF(C4871="","Gasto",C4871))</f>
        <v/>
      </c>
      <c r="Q4871" s="52">
        <f>IF(P4871="","",IF(J4871&lt;&gt;"",J4871,CuentaPred&amp;""))</f>
        <v/>
      </c>
      <c r="R4871" s="52">
        <f>IF(P4871="","",IF(ISNUMBER(I4871),I4871,TasaUSD))</f>
        <v/>
      </c>
      <c r="S4871" s="53">
        <f>IF(P4871="","",IF(H4871="USD",G4871*R4871,G4871))</f>
        <v/>
      </c>
      <c r="T4871" s="53">
        <f>IF(P4871="","",IF(H4871="USD",G4871,IF(R4871&gt;0,G4871/R4871,0)))</f>
        <v/>
      </c>
      <c r="U4871" s="53">
        <f>IF(P4871="","",IF(P4871="Gasto",S4871,IF(P4871="Reembolso",-S4871,0)))</f>
        <v/>
      </c>
      <c r="V4871" s="53">
        <f>IF(P4871="","",IF(P4871="Ingreso",S4871,0))</f>
        <v/>
      </c>
      <c r="W4871" s="53">
        <f>IF(P4871="","",IF(P4871="Resultado trading",S4871,0))</f>
        <v/>
      </c>
      <c r="X4871" s="52">
        <f>IF(OR(P4871="Gasto",P4871="Reembolso"),IF(M4871&lt;&gt;"",M4871,IFERROR(INDEX(catClasif,MATCH(D4871&amp;"|"&amp;E4871,catClave,0))&amp;"","Variable")),"")</f>
        <v/>
      </c>
      <c r="Y4871" s="52">
        <f>IF(P4871="","",IFERROR(INDEX(catGrupo,MATCH(D4871&amp;"|"&amp;E4871,catClave,0))&amp;"",""))</f>
        <v/>
      </c>
      <c r="Z4871" s="52">
        <f>IF(P4871="","",WEEKDAY(B4871,2))</f>
        <v/>
      </c>
      <c r="AA4871" s="52">
        <f>IF(P4871="","",IF(AND(P4871="Gasto",X4871="Variable",D4871&lt;&gt;catTrading,S4871&gt;0,S4871&lt;=Umbral),1,0))</f>
        <v/>
      </c>
      <c r="AB4871" s="52">
        <f>IF(OR(P4871="",Q4871=""),"",IFERROR(IF(INDEX(ctaVinc,MATCH(Q4871,ctaNombre,0))&amp;""&lt;&gt;"",INDEX(ctaVinc,MATCH(Q4871,ctaNombre,0))&amp;"",Q4871),Q4871))</f>
        <v/>
      </c>
      <c r="AC4871" s="52">
        <f>IF(OR(K4871="",AND(P4871&lt;&gt;"Transferencia",P4871&lt;&gt;"Pago tarjeta")),"",IFERROR(IF(INDEX(ctaVinc,MATCH(K4871,ctaNombre,0))&amp;""&lt;&gt;"",INDEX(ctaVinc,MATCH(K4871,ctaNombre,0))&amp;"",K4871),K4871))</f>
        <v/>
      </c>
      <c r="AD4871" s="52">
        <f>IF(AB4871="","",IFERROR(INDEX(ctaTipo,MATCH(AB4871,ctaNombre,0))&amp;"",""))</f>
        <v/>
      </c>
      <c r="AE4871" s="52">
        <f>IF(AC4871="","",IFERROR(INDEX(ctaTipo,MATCH(AC4871,ctaNombre,0))&amp;"",""))</f>
        <v/>
      </c>
      <c r="AF4871" s="53">
        <f>IF(OR(P4871="",AB4871=""),"",IF(OR(P4871="Gasto",P4871="Transferencia",P4871="Pago tarjeta"),-1,1)*IF(IFERROR(INDEX(ctaMoneda,MATCH(AB4871,ctaNombre,0))&amp;"","DOP")="USD",T4871,S4871))</f>
        <v/>
      </c>
      <c r="AG4871" s="53">
        <f>IF(AC4871="","",IF(IFERROR(INDEX(ctaMoneda,MATCH(AC4871,ctaNombre,0))&amp;"","DOP")="USD",T4871,S4871))</f>
        <v/>
      </c>
      <c r="AH4871" s="53">
        <f>IF(P4871="","",IF(AND(AD4871&lt;&gt;"",COUNTIFS(tcTipo,AD4871,tcLiq,"Sí")&gt;0),IF(OR(P4871="Gasto",P4871="Transferencia",P4871="Pago tarjeta"),-1,1)*S4871,0)+IF(AND(AE4871&lt;&gt;"",COUNTIFS(tcTipo,AE4871,tcLiq,"Sí")&gt;0),S4871,0))</f>
        <v/>
      </c>
      <c r="AI4871" s="52">
        <f>IF(OR(L4871="",P4871=""),"",IF(COUNTIFS(L$6:L4871,L4871,P$6:P4871,"?*")=1,MAX(AI$5:AI4870)+1,""))</f>
        <v/>
      </c>
    </row>
    <row r="4872">
      <c r="B4872" s="47" t="n"/>
      <c r="C4872" s="48" t="n"/>
      <c r="D4872" s="48" t="n"/>
      <c r="E4872" s="48" t="n"/>
      <c r="F4872" s="48" t="n"/>
      <c r="G4872" s="49" t="n"/>
      <c r="H4872" s="48" t="n"/>
      <c r="I4872" s="50" t="n"/>
      <c r="J4872" s="48" t="n"/>
      <c r="K4872" s="48" t="n"/>
      <c r="L4872" s="48" t="n"/>
      <c r="M4872" s="48" t="n"/>
      <c r="N4872" s="48" t="n"/>
      <c r="O4872" s="51">
        <f>IF(AND(B4872="",G4872="",C4872="",D4872="",J4872=""),"",IF(B4872="","⚠ Falta fecha",IF(G4872="","⚠ Falta monto",IF(Q4872="","⚠ Falta cuenta",IF(ISNA(MATCH(Q4872,ctaNombre,0)),"⚠ Cuenta no registrada",IF(AND(OR(P4872="Gasto",P4872="Reembolso"),D4872=""),"⚠ Falta categoría",IF(AND(D4872&lt;&gt;"",E4872&lt;&gt;"",ISNA(MATCH(D4872&amp;"|"&amp;E4872,catClave,0))),"⚠ Subcategoría no corresponde",IF(AND(OR(P4872="Transferencia",P4872="Pago tarjeta"),K4872=""),"⚠ Falta cuenta destino",IF(AND(K4872&lt;&gt;"",P4872&lt;&gt;"Transferencia",P4872&lt;&gt;"Pago tarjeta"),"⚠ Destino solo aplica a transferencias",IF(AND(K4872&lt;&gt;"",K4872=Q4872),"⚠ Origen igual a destino",IF(AND(K4872&lt;&gt;"",ISNA(MATCH(K4872,ctaNombre,0))),"⚠ Destino no registrado",IF(AND(P4872="Pago tarjeta",AE4872&lt;&gt;"Tarjeta de crédito"),"⚠ El destino debe ser tarjeta de crédito",IF(AND(P4872="Gasto",E4872="Depósitos y retiros"),"⚠ Usa tipo Transferencia",IF(AND(P4872="Resultado trading",AD4872&lt;&gt;"Cuenta de trading"),"⚠ Usa una cuenta de trading",IF(AND(G4872&lt;=0,P4872&lt;&gt;"Ajuste",P4872&lt;&gt;"Resultado trading"),"⚠ El monto debe ser positivo","✓")))))))))))))))</f>
        <v/>
      </c>
      <c r="P4872" s="52">
        <f>IF(OR(B4872="",G4872=""),"",IF(C4872="","Gasto",C4872))</f>
        <v/>
      </c>
      <c r="Q4872" s="52">
        <f>IF(P4872="","",IF(J4872&lt;&gt;"",J4872,CuentaPred&amp;""))</f>
        <v/>
      </c>
      <c r="R4872" s="52">
        <f>IF(P4872="","",IF(ISNUMBER(I4872),I4872,TasaUSD))</f>
        <v/>
      </c>
      <c r="S4872" s="53">
        <f>IF(P4872="","",IF(H4872="USD",G4872*R4872,G4872))</f>
        <v/>
      </c>
      <c r="T4872" s="53">
        <f>IF(P4872="","",IF(H4872="USD",G4872,IF(R4872&gt;0,G4872/R4872,0)))</f>
        <v/>
      </c>
      <c r="U4872" s="53">
        <f>IF(P4872="","",IF(P4872="Gasto",S4872,IF(P4872="Reembolso",-S4872,0)))</f>
        <v/>
      </c>
      <c r="V4872" s="53">
        <f>IF(P4872="","",IF(P4872="Ingreso",S4872,0))</f>
        <v/>
      </c>
      <c r="W4872" s="53">
        <f>IF(P4872="","",IF(P4872="Resultado trading",S4872,0))</f>
        <v/>
      </c>
      <c r="X4872" s="52">
        <f>IF(OR(P4872="Gasto",P4872="Reembolso"),IF(M4872&lt;&gt;"",M4872,IFERROR(INDEX(catClasif,MATCH(D4872&amp;"|"&amp;E4872,catClave,0))&amp;"","Variable")),"")</f>
        <v/>
      </c>
      <c r="Y4872" s="52">
        <f>IF(P4872="","",IFERROR(INDEX(catGrupo,MATCH(D4872&amp;"|"&amp;E4872,catClave,0))&amp;"",""))</f>
        <v/>
      </c>
      <c r="Z4872" s="52">
        <f>IF(P4872="","",WEEKDAY(B4872,2))</f>
        <v/>
      </c>
      <c r="AA4872" s="52">
        <f>IF(P4872="","",IF(AND(P4872="Gasto",X4872="Variable",D4872&lt;&gt;catTrading,S4872&gt;0,S4872&lt;=Umbral),1,0))</f>
        <v/>
      </c>
      <c r="AB4872" s="52">
        <f>IF(OR(P4872="",Q4872=""),"",IFERROR(IF(INDEX(ctaVinc,MATCH(Q4872,ctaNombre,0))&amp;""&lt;&gt;"",INDEX(ctaVinc,MATCH(Q4872,ctaNombre,0))&amp;"",Q4872),Q4872))</f>
        <v/>
      </c>
      <c r="AC4872" s="52">
        <f>IF(OR(K4872="",AND(P4872&lt;&gt;"Transferencia",P4872&lt;&gt;"Pago tarjeta")),"",IFERROR(IF(INDEX(ctaVinc,MATCH(K4872,ctaNombre,0))&amp;""&lt;&gt;"",INDEX(ctaVinc,MATCH(K4872,ctaNombre,0))&amp;"",K4872),K4872))</f>
        <v/>
      </c>
      <c r="AD4872" s="52">
        <f>IF(AB4872="","",IFERROR(INDEX(ctaTipo,MATCH(AB4872,ctaNombre,0))&amp;"",""))</f>
        <v/>
      </c>
      <c r="AE4872" s="52">
        <f>IF(AC4872="","",IFERROR(INDEX(ctaTipo,MATCH(AC4872,ctaNombre,0))&amp;"",""))</f>
        <v/>
      </c>
      <c r="AF4872" s="53">
        <f>IF(OR(P4872="",AB4872=""),"",IF(OR(P4872="Gasto",P4872="Transferencia",P4872="Pago tarjeta"),-1,1)*IF(IFERROR(INDEX(ctaMoneda,MATCH(AB4872,ctaNombre,0))&amp;"","DOP")="USD",T4872,S4872))</f>
        <v/>
      </c>
      <c r="AG4872" s="53">
        <f>IF(AC4872="","",IF(IFERROR(INDEX(ctaMoneda,MATCH(AC4872,ctaNombre,0))&amp;"","DOP")="USD",T4872,S4872))</f>
        <v/>
      </c>
      <c r="AH4872" s="53">
        <f>IF(P4872="","",IF(AND(AD4872&lt;&gt;"",COUNTIFS(tcTipo,AD4872,tcLiq,"Sí")&gt;0),IF(OR(P4872="Gasto",P4872="Transferencia",P4872="Pago tarjeta"),-1,1)*S4872,0)+IF(AND(AE4872&lt;&gt;"",COUNTIFS(tcTipo,AE4872,tcLiq,"Sí")&gt;0),S4872,0))</f>
        <v/>
      </c>
      <c r="AI4872" s="52">
        <f>IF(OR(L4872="",P4872=""),"",IF(COUNTIFS(L$6:L4872,L4872,P$6:P4872,"?*")=1,MAX(AI$5:AI4871)+1,""))</f>
        <v/>
      </c>
    </row>
    <row r="4873">
      <c r="B4873" s="47" t="n"/>
      <c r="C4873" s="48" t="n"/>
      <c r="D4873" s="48" t="n"/>
      <c r="E4873" s="48" t="n"/>
      <c r="F4873" s="48" t="n"/>
      <c r="G4873" s="49" t="n"/>
      <c r="H4873" s="48" t="n"/>
      <c r="I4873" s="50" t="n"/>
      <c r="J4873" s="48" t="n"/>
      <c r="K4873" s="48" t="n"/>
      <c r="L4873" s="48" t="n"/>
      <c r="M4873" s="48" t="n"/>
      <c r="N4873" s="48" t="n"/>
      <c r="O4873" s="51">
        <f>IF(AND(B4873="",G4873="",C4873="",D4873="",J4873=""),"",IF(B4873="","⚠ Falta fecha",IF(G4873="","⚠ Falta monto",IF(Q4873="","⚠ Falta cuenta",IF(ISNA(MATCH(Q4873,ctaNombre,0)),"⚠ Cuenta no registrada",IF(AND(OR(P4873="Gasto",P4873="Reembolso"),D4873=""),"⚠ Falta categoría",IF(AND(D4873&lt;&gt;"",E4873&lt;&gt;"",ISNA(MATCH(D4873&amp;"|"&amp;E4873,catClave,0))),"⚠ Subcategoría no corresponde",IF(AND(OR(P4873="Transferencia",P4873="Pago tarjeta"),K4873=""),"⚠ Falta cuenta destino",IF(AND(K4873&lt;&gt;"",P4873&lt;&gt;"Transferencia",P4873&lt;&gt;"Pago tarjeta"),"⚠ Destino solo aplica a transferencias",IF(AND(K4873&lt;&gt;"",K4873=Q4873),"⚠ Origen igual a destino",IF(AND(K4873&lt;&gt;"",ISNA(MATCH(K4873,ctaNombre,0))),"⚠ Destino no registrado",IF(AND(P4873="Pago tarjeta",AE4873&lt;&gt;"Tarjeta de crédito"),"⚠ El destino debe ser tarjeta de crédito",IF(AND(P4873="Gasto",E4873="Depósitos y retiros"),"⚠ Usa tipo Transferencia",IF(AND(P4873="Resultado trading",AD4873&lt;&gt;"Cuenta de trading"),"⚠ Usa una cuenta de trading",IF(AND(G4873&lt;=0,P4873&lt;&gt;"Ajuste",P4873&lt;&gt;"Resultado trading"),"⚠ El monto debe ser positivo","✓")))))))))))))))</f>
        <v/>
      </c>
      <c r="P4873" s="52">
        <f>IF(OR(B4873="",G4873=""),"",IF(C4873="","Gasto",C4873))</f>
        <v/>
      </c>
      <c r="Q4873" s="52">
        <f>IF(P4873="","",IF(J4873&lt;&gt;"",J4873,CuentaPred&amp;""))</f>
        <v/>
      </c>
      <c r="R4873" s="52">
        <f>IF(P4873="","",IF(ISNUMBER(I4873),I4873,TasaUSD))</f>
        <v/>
      </c>
      <c r="S4873" s="53">
        <f>IF(P4873="","",IF(H4873="USD",G4873*R4873,G4873))</f>
        <v/>
      </c>
      <c r="T4873" s="53">
        <f>IF(P4873="","",IF(H4873="USD",G4873,IF(R4873&gt;0,G4873/R4873,0)))</f>
        <v/>
      </c>
      <c r="U4873" s="53">
        <f>IF(P4873="","",IF(P4873="Gasto",S4873,IF(P4873="Reembolso",-S4873,0)))</f>
        <v/>
      </c>
      <c r="V4873" s="53">
        <f>IF(P4873="","",IF(P4873="Ingreso",S4873,0))</f>
        <v/>
      </c>
      <c r="W4873" s="53">
        <f>IF(P4873="","",IF(P4873="Resultado trading",S4873,0))</f>
        <v/>
      </c>
      <c r="X4873" s="52">
        <f>IF(OR(P4873="Gasto",P4873="Reembolso"),IF(M4873&lt;&gt;"",M4873,IFERROR(INDEX(catClasif,MATCH(D4873&amp;"|"&amp;E4873,catClave,0))&amp;"","Variable")),"")</f>
        <v/>
      </c>
      <c r="Y4873" s="52">
        <f>IF(P4873="","",IFERROR(INDEX(catGrupo,MATCH(D4873&amp;"|"&amp;E4873,catClave,0))&amp;"",""))</f>
        <v/>
      </c>
      <c r="Z4873" s="52">
        <f>IF(P4873="","",WEEKDAY(B4873,2))</f>
        <v/>
      </c>
      <c r="AA4873" s="52">
        <f>IF(P4873="","",IF(AND(P4873="Gasto",X4873="Variable",D4873&lt;&gt;catTrading,S4873&gt;0,S4873&lt;=Umbral),1,0))</f>
        <v/>
      </c>
      <c r="AB4873" s="52">
        <f>IF(OR(P4873="",Q4873=""),"",IFERROR(IF(INDEX(ctaVinc,MATCH(Q4873,ctaNombre,0))&amp;""&lt;&gt;"",INDEX(ctaVinc,MATCH(Q4873,ctaNombre,0))&amp;"",Q4873),Q4873))</f>
        <v/>
      </c>
      <c r="AC4873" s="52">
        <f>IF(OR(K4873="",AND(P4873&lt;&gt;"Transferencia",P4873&lt;&gt;"Pago tarjeta")),"",IFERROR(IF(INDEX(ctaVinc,MATCH(K4873,ctaNombre,0))&amp;""&lt;&gt;"",INDEX(ctaVinc,MATCH(K4873,ctaNombre,0))&amp;"",K4873),K4873))</f>
        <v/>
      </c>
      <c r="AD4873" s="52">
        <f>IF(AB4873="","",IFERROR(INDEX(ctaTipo,MATCH(AB4873,ctaNombre,0))&amp;"",""))</f>
        <v/>
      </c>
      <c r="AE4873" s="52">
        <f>IF(AC4873="","",IFERROR(INDEX(ctaTipo,MATCH(AC4873,ctaNombre,0))&amp;"",""))</f>
        <v/>
      </c>
      <c r="AF4873" s="53">
        <f>IF(OR(P4873="",AB4873=""),"",IF(OR(P4873="Gasto",P4873="Transferencia",P4873="Pago tarjeta"),-1,1)*IF(IFERROR(INDEX(ctaMoneda,MATCH(AB4873,ctaNombre,0))&amp;"","DOP")="USD",T4873,S4873))</f>
        <v/>
      </c>
      <c r="AG4873" s="53">
        <f>IF(AC4873="","",IF(IFERROR(INDEX(ctaMoneda,MATCH(AC4873,ctaNombre,0))&amp;"","DOP")="USD",T4873,S4873))</f>
        <v/>
      </c>
      <c r="AH4873" s="53">
        <f>IF(P4873="","",IF(AND(AD4873&lt;&gt;"",COUNTIFS(tcTipo,AD4873,tcLiq,"Sí")&gt;0),IF(OR(P4873="Gasto",P4873="Transferencia",P4873="Pago tarjeta"),-1,1)*S4873,0)+IF(AND(AE4873&lt;&gt;"",COUNTIFS(tcTipo,AE4873,tcLiq,"Sí")&gt;0),S4873,0))</f>
        <v/>
      </c>
      <c r="AI4873" s="52">
        <f>IF(OR(L4873="",P4873=""),"",IF(COUNTIFS(L$6:L4873,L4873,P$6:P4873,"?*")=1,MAX(AI$5:AI4872)+1,""))</f>
        <v/>
      </c>
    </row>
    <row r="4874">
      <c r="B4874" s="47" t="n"/>
      <c r="C4874" s="48" t="n"/>
      <c r="D4874" s="48" t="n"/>
      <c r="E4874" s="48" t="n"/>
      <c r="F4874" s="48" t="n"/>
      <c r="G4874" s="49" t="n"/>
      <c r="H4874" s="48" t="n"/>
      <c r="I4874" s="50" t="n"/>
      <c r="J4874" s="48" t="n"/>
      <c r="K4874" s="48" t="n"/>
      <c r="L4874" s="48" t="n"/>
      <c r="M4874" s="48" t="n"/>
      <c r="N4874" s="48" t="n"/>
      <c r="O4874" s="51">
        <f>IF(AND(B4874="",G4874="",C4874="",D4874="",J4874=""),"",IF(B4874="","⚠ Falta fecha",IF(G4874="","⚠ Falta monto",IF(Q4874="","⚠ Falta cuenta",IF(ISNA(MATCH(Q4874,ctaNombre,0)),"⚠ Cuenta no registrada",IF(AND(OR(P4874="Gasto",P4874="Reembolso"),D4874=""),"⚠ Falta categoría",IF(AND(D4874&lt;&gt;"",E4874&lt;&gt;"",ISNA(MATCH(D4874&amp;"|"&amp;E4874,catClave,0))),"⚠ Subcategoría no corresponde",IF(AND(OR(P4874="Transferencia",P4874="Pago tarjeta"),K4874=""),"⚠ Falta cuenta destino",IF(AND(K4874&lt;&gt;"",P4874&lt;&gt;"Transferencia",P4874&lt;&gt;"Pago tarjeta"),"⚠ Destino solo aplica a transferencias",IF(AND(K4874&lt;&gt;"",K4874=Q4874),"⚠ Origen igual a destino",IF(AND(K4874&lt;&gt;"",ISNA(MATCH(K4874,ctaNombre,0))),"⚠ Destino no registrado",IF(AND(P4874="Pago tarjeta",AE4874&lt;&gt;"Tarjeta de crédito"),"⚠ El destino debe ser tarjeta de crédito",IF(AND(P4874="Gasto",E4874="Depósitos y retiros"),"⚠ Usa tipo Transferencia",IF(AND(P4874="Resultado trading",AD4874&lt;&gt;"Cuenta de trading"),"⚠ Usa una cuenta de trading",IF(AND(G4874&lt;=0,P4874&lt;&gt;"Ajuste",P4874&lt;&gt;"Resultado trading"),"⚠ El monto debe ser positivo","✓")))))))))))))))</f>
        <v/>
      </c>
      <c r="P4874" s="52">
        <f>IF(OR(B4874="",G4874=""),"",IF(C4874="","Gasto",C4874))</f>
        <v/>
      </c>
      <c r="Q4874" s="52">
        <f>IF(P4874="","",IF(J4874&lt;&gt;"",J4874,CuentaPred&amp;""))</f>
        <v/>
      </c>
      <c r="R4874" s="52">
        <f>IF(P4874="","",IF(ISNUMBER(I4874),I4874,TasaUSD))</f>
        <v/>
      </c>
      <c r="S4874" s="53">
        <f>IF(P4874="","",IF(H4874="USD",G4874*R4874,G4874))</f>
        <v/>
      </c>
      <c r="T4874" s="53">
        <f>IF(P4874="","",IF(H4874="USD",G4874,IF(R4874&gt;0,G4874/R4874,0)))</f>
        <v/>
      </c>
      <c r="U4874" s="53">
        <f>IF(P4874="","",IF(P4874="Gasto",S4874,IF(P4874="Reembolso",-S4874,0)))</f>
        <v/>
      </c>
      <c r="V4874" s="53">
        <f>IF(P4874="","",IF(P4874="Ingreso",S4874,0))</f>
        <v/>
      </c>
      <c r="W4874" s="53">
        <f>IF(P4874="","",IF(P4874="Resultado trading",S4874,0))</f>
        <v/>
      </c>
      <c r="X4874" s="52">
        <f>IF(OR(P4874="Gasto",P4874="Reembolso"),IF(M4874&lt;&gt;"",M4874,IFERROR(INDEX(catClasif,MATCH(D4874&amp;"|"&amp;E4874,catClave,0))&amp;"","Variable")),"")</f>
        <v/>
      </c>
      <c r="Y4874" s="52">
        <f>IF(P4874="","",IFERROR(INDEX(catGrupo,MATCH(D4874&amp;"|"&amp;E4874,catClave,0))&amp;"",""))</f>
        <v/>
      </c>
      <c r="Z4874" s="52">
        <f>IF(P4874="","",WEEKDAY(B4874,2))</f>
        <v/>
      </c>
      <c r="AA4874" s="52">
        <f>IF(P4874="","",IF(AND(P4874="Gasto",X4874="Variable",D4874&lt;&gt;catTrading,S4874&gt;0,S4874&lt;=Umbral),1,0))</f>
        <v/>
      </c>
      <c r="AB4874" s="52">
        <f>IF(OR(P4874="",Q4874=""),"",IFERROR(IF(INDEX(ctaVinc,MATCH(Q4874,ctaNombre,0))&amp;""&lt;&gt;"",INDEX(ctaVinc,MATCH(Q4874,ctaNombre,0))&amp;"",Q4874),Q4874))</f>
        <v/>
      </c>
      <c r="AC4874" s="52">
        <f>IF(OR(K4874="",AND(P4874&lt;&gt;"Transferencia",P4874&lt;&gt;"Pago tarjeta")),"",IFERROR(IF(INDEX(ctaVinc,MATCH(K4874,ctaNombre,0))&amp;""&lt;&gt;"",INDEX(ctaVinc,MATCH(K4874,ctaNombre,0))&amp;"",K4874),K4874))</f>
        <v/>
      </c>
      <c r="AD4874" s="52">
        <f>IF(AB4874="","",IFERROR(INDEX(ctaTipo,MATCH(AB4874,ctaNombre,0))&amp;"",""))</f>
        <v/>
      </c>
      <c r="AE4874" s="52">
        <f>IF(AC4874="","",IFERROR(INDEX(ctaTipo,MATCH(AC4874,ctaNombre,0))&amp;"",""))</f>
        <v/>
      </c>
      <c r="AF4874" s="53">
        <f>IF(OR(P4874="",AB4874=""),"",IF(OR(P4874="Gasto",P4874="Transferencia",P4874="Pago tarjeta"),-1,1)*IF(IFERROR(INDEX(ctaMoneda,MATCH(AB4874,ctaNombre,0))&amp;"","DOP")="USD",T4874,S4874))</f>
        <v/>
      </c>
      <c r="AG4874" s="53">
        <f>IF(AC4874="","",IF(IFERROR(INDEX(ctaMoneda,MATCH(AC4874,ctaNombre,0))&amp;"","DOP")="USD",T4874,S4874))</f>
        <v/>
      </c>
      <c r="AH4874" s="53">
        <f>IF(P4874="","",IF(AND(AD4874&lt;&gt;"",COUNTIFS(tcTipo,AD4874,tcLiq,"Sí")&gt;0),IF(OR(P4874="Gasto",P4874="Transferencia",P4874="Pago tarjeta"),-1,1)*S4874,0)+IF(AND(AE4874&lt;&gt;"",COUNTIFS(tcTipo,AE4874,tcLiq,"Sí")&gt;0),S4874,0))</f>
        <v/>
      </c>
      <c r="AI4874" s="52">
        <f>IF(OR(L4874="",P4874=""),"",IF(COUNTIFS(L$6:L4874,L4874,P$6:P4874,"?*")=1,MAX(AI$5:AI4873)+1,""))</f>
        <v/>
      </c>
    </row>
    <row r="4875">
      <c r="B4875" s="47" t="n"/>
      <c r="C4875" s="48" t="n"/>
      <c r="D4875" s="48" t="n"/>
      <c r="E4875" s="48" t="n"/>
      <c r="F4875" s="48" t="n"/>
      <c r="G4875" s="49" t="n"/>
      <c r="H4875" s="48" t="n"/>
      <c r="I4875" s="50" t="n"/>
      <c r="J4875" s="48" t="n"/>
      <c r="K4875" s="48" t="n"/>
      <c r="L4875" s="48" t="n"/>
      <c r="M4875" s="48" t="n"/>
      <c r="N4875" s="48" t="n"/>
      <c r="O4875" s="51">
        <f>IF(AND(B4875="",G4875="",C4875="",D4875="",J4875=""),"",IF(B4875="","⚠ Falta fecha",IF(G4875="","⚠ Falta monto",IF(Q4875="","⚠ Falta cuenta",IF(ISNA(MATCH(Q4875,ctaNombre,0)),"⚠ Cuenta no registrada",IF(AND(OR(P4875="Gasto",P4875="Reembolso"),D4875=""),"⚠ Falta categoría",IF(AND(D4875&lt;&gt;"",E4875&lt;&gt;"",ISNA(MATCH(D4875&amp;"|"&amp;E4875,catClave,0))),"⚠ Subcategoría no corresponde",IF(AND(OR(P4875="Transferencia",P4875="Pago tarjeta"),K4875=""),"⚠ Falta cuenta destino",IF(AND(K4875&lt;&gt;"",P4875&lt;&gt;"Transferencia",P4875&lt;&gt;"Pago tarjeta"),"⚠ Destino solo aplica a transferencias",IF(AND(K4875&lt;&gt;"",K4875=Q4875),"⚠ Origen igual a destino",IF(AND(K4875&lt;&gt;"",ISNA(MATCH(K4875,ctaNombre,0))),"⚠ Destino no registrado",IF(AND(P4875="Pago tarjeta",AE4875&lt;&gt;"Tarjeta de crédito"),"⚠ El destino debe ser tarjeta de crédito",IF(AND(P4875="Gasto",E4875="Depósitos y retiros"),"⚠ Usa tipo Transferencia",IF(AND(P4875="Resultado trading",AD4875&lt;&gt;"Cuenta de trading"),"⚠ Usa una cuenta de trading",IF(AND(G4875&lt;=0,P4875&lt;&gt;"Ajuste",P4875&lt;&gt;"Resultado trading"),"⚠ El monto debe ser positivo","✓")))))))))))))))</f>
        <v/>
      </c>
      <c r="P4875" s="52">
        <f>IF(OR(B4875="",G4875=""),"",IF(C4875="","Gasto",C4875))</f>
        <v/>
      </c>
      <c r="Q4875" s="52">
        <f>IF(P4875="","",IF(J4875&lt;&gt;"",J4875,CuentaPred&amp;""))</f>
        <v/>
      </c>
      <c r="R4875" s="52">
        <f>IF(P4875="","",IF(ISNUMBER(I4875),I4875,TasaUSD))</f>
        <v/>
      </c>
      <c r="S4875" s="53">
        <f>IF(P4875="","",IF(H4875="USD",G4875*R4875,G4875))</f>
        <v/>
      </c>
      <c r="T4875" s="53">
        <f>IF(P4875="","",IF(H4875="USD",G4875,IF(R4875&gt;0,G4875/R4875,0)))</f>
        <v/>
      </c>
      <c r="U4875" s="53">
        <f>IF(P4875="","",IF(P4875="Gasto",S4875,IF(P4875="Reembolso",-S4875,0)))</f>
        <v/>
      </c>
      <c r="V4875" s="53">
        <f>IF(P4875="","",IF(P4875="Ingreso",S4875,0))</f>
        <v/>
      </c>
      <c r="W4875" s="53">
        <f>IF(P4875="","",IF(P4875="Resultado trading",S4875,0))</f>
        <v/>
      </c>
      <c r="X4875" s="52">
        <f>IF(OR(P4875="Gasto",P4875="Reembolso"),IF(M4875&lt;&gt;"",M4875,IFERROR(INDEX(catClasif,MATCH(D4875&amp;"|"&amp;E4875,catClave,0))&amp;"","Variable")),"")</f>
        <v/>
      </c>
      <c r="Y4875" s="52">
        <f>IF(P4875="","",IFERROR(INDEX(catGrupo,MATCH(D4875&amp;"|"&amp;E4875,catClave,0))&amp;"",""))</f>
        <v/>
      </c>
      <c r="Z4875" s="52">
        <f>IF(P4875="","",WEEKDAY(B4875,2))</f>
        <v/>
      </c>
      <c r="AA4875" s="52">
        <f>IF(P4875="","",IF(AND(P4875="Gasto",X4875="Variable",D4875&lt;&gt;catTrading,S4875&gt;0,S4875&lt;=Umbral),1,0))</f>
        <v/>
      </c>
      <c r="AB4875" s="52">
        <f>IF(OR(P4875="",Q4875=""),"",IFERROR(IF(INDEX(ctaVinc,MATCH(Q4875,ctaNombre,0))&amp;""&lt;&gt;"",INDEX(ctaVinc,MATCH(Q4875,ctaNombre,0))&amp;"",Q4875),Q4875))</f>
        <v/>
      </c>
      <c r="AC4875" s="52">
        <f>IF(OR(K4875="",AND(P4875&lt;&gt;"Transferencia",P4875&lt;&gt;"Pago tarjeta")),"",IFERROR(IF(INDEX(ctaVinc,MATCH(K4875,ctaNombre,0))&amp;""&lt;&gt;"",INDEX(ctaVinc,MATCH(K4875,ctaNombre,0))&amp;"",K4875),K4875))</f>
        <v/>
      </c>
      <c r="AD4875" s="52">
        <f>IF(AB4875="","",IFERROR(INDEX(ctaTipo,MATCH(AB4875,ctaNombre,0))&amp;"",""))</f>
        <v/>
      </c>
      <c r="AE4875" s="52">
        <f>IF(AC4875="","",IFERROR(INDEX(ctaTipo,MATCH(AC4875,ctaNombre,0))&amp;"",""))</f>
        <v/>
      </c>
      <c r="AF4875" s="53">
        <f>IF(OR(P4875="",AB4875=""),"",IF(OR(P4875="Gasto",P4875="Transferencia",P4875="Pago tarjeta"),-1,1)*IF(IFERROR(INDEX(ctaMoneda,MATCH(AB4875,ctaNombre,0))&amp;"","DOP")="USD",T4875,S4875))</f>
        <v/>
      </c>
      <c r="AG4875" s="53">
        <f>IF(AC4875="","",IF(IFERROR(INDEX(ctaMoneda,MATCH(AC4875,ctaNombre,0))&amp;"","DOP")="USD",T4875,S4875))</f>
        <v/>
      </c>
      <c r="AH4875" s="53">
        <f>IF(P4875="","",IF(AND(AD4875&lt;&gt;"",COUNTIFS(tcTipo,AD4875,tcLiq,"Sí")&gt;0),IF(OR(P4875="Gasto",P4875="Transferencia",P4875="Pago tarjeta"),-1,1)*S4875,0)+IF(AND(AE4875&lt;&gt;"",COUNTIFS(tcTipo,AE4875,tcLiq,"Sí")&gt;0),S4875,0))</f>
        <v/>
      </c>
      <c r="AI4875" s="52">
        <f>IF(OR(L4875="",P4875=""),"",IF(COUNTIFS(L$6:L4875,L4875,P$6:P4875,"?*")=1,MAX(AI$5:AI4874)+1,""))</f>
        <v/>
      </c>
    </row>
    <row r="4876">
      <c r="B4876" s="47" t="n"/>
      <c r="C4876" s="48" t="n"/>
      <c r="D4876" s="48" t="n"/>
      <c r="E4876" s="48" t="n"/>
      <c r="F4876" s="48" t="n"/>
      <c r="G4876" s="49" t="n"/>
      <c r="H4876" s="48" t="n"/>
      <c r="I4876" s="50" t="n"/>
      <c r="J4876" s="48" t="n"/>
      <c r="K4876" s="48" t="n"/>
      <c r="L4876" s="48" t="n"/>
      <c r="M4876" s="48" t="n"/>
      <c r="N4876" s="48" t="n"/>
      <c r="O4876" s="51">
        <f>IF(AND(B4876="",G4876="",C4876="",D4876="",J4876=""),"",IF(B4876="","⚠ Falta fecha",IF(G4876="","⚠ Falta monto",IF(Q4876="","⚠ Falta cuenta",IF(ISNA(MATCH(Q4876,ctaNombre,0)),"⚠ Cuenta no registrada",IF(AND(OR(P4876="Gasto",P4876="Reembolso"),D4876=""),"⚠ Falta categoría",IF(AND(D4876&lt;&gt;"",E4876&lt;&gt;"",ISNA(MATCH(D4876&amp;"|"&amp;E4876,catClave,0))),"⚠ Subcategoría no corresponde",IF(AND(OR(P4876="Transferencia",P4876="Pago tarjeta"),K4876=""),"⚠ Falta cuenta destino",IF(AND(K4876&lt;&gt;"",P4876&lt;&gt;"Transferencia",P4876&lt;&gt;"Pago tarjeta"),"⚠ Destino solo aplica a transferencias",IF(AND(K4876&lt;&gt;"",K4876=Q4876),"⚠ Origen igual a destino",IF(AND(K4876&lt;&gt;"",ISNA(MATCH(K4876,ctaNombre,0))),"⚠ Destino no registrado",IF(AND(P4876="Pago tarjeta",AE4876&lt;&gt;"Tarjeta de crédito"),"⚠ El destino debe ser tarjeta de crédito",IF(AND(P4876="Gasto",E4876="Depósitos y retiros"),"⚠ Usa tipo Transferencia",IF(AND(P4876="Resultado trading",AD4876&lt;&gt;"Cuenta de trading"),"⚠ Usa una cuenta de trading",IF(AND(G4876&lt;=0,P4876&lt;&gt;"Ajuste",P4876&lt;&gt;"Resultado trading"),"⚠ El monto debe ser positivo","✓")))))))))))))))</f>
        <v/>
      </c>
      <c r="P4876" s="52">
        <f>IF(OR(B4876="",G4876=""),"",IF(C4876="","Gasto",C4876))</f>
        <v/>
      </c>
      <c r="Q4876" s="52">
        <f>IF(P4876="","",IF(J4876&lt;&gt;"",J4876,CuentaPred&amp;""))</f>
        <v/>
      </c>
      <c r="R4876" s="52">
        <f>IF(P4876="","",IF(ISNUMBER(I4876),I4876,TasaUSD))</f>
        <v/>
      </c>
      <c r="S4876" s="53">
        <f>IF(P4876="","",IF(H4876="USD",G4876*R4876,G4876))</f>
        <v/>
      </c>
      <c r="T4876" s="53">
        <f>IF(P4876="","",IF(H4876="USD",G4876,IF(R4876&gt;0,G4876/R4876,0)))</f>
        <v/>
      </c>
      <c r="U4876" s="53">
        <f>IF(P4876="","",IF(P4876="Gasto",S4876,IF(P4876="Reembolso",-S4876,0)))</f>
        <v/>
      </c>
      <c r="V4876" s="53">
        <f>IF(P4876="","",IF(P4876="Ingreso",S4876,0))</f>
        <v/>
      </c>
      <c r="W4876" s="53">
        <f>IF(P4876="","",IF(P4876="Resultado trading",S4876,0))</f>
        <v/>
      </c>
      <c r="X4876" s="52">
        <f>IF(OR(P4876="Gasto",P4876="Reembolso"),IF(M4876&lt;&gt;"",M4876,IFERROR(INDEX(catClasif,MATCH(D4876&amp;"|"&amp;E4876,catClave,0))&amp;"","Variable")),"")</f>
        <v/>
      </c>
      <c r="Y4876" s="52">
        <f>IF(P4876="","",IFERROR(INDEX(catGrupo,MATCH(D4876&amp;"|"&amp;E4876,catClave,0))&amp;"",""))</f>
        <v/>
      </c>
      <c r="Z4876" s="52">
        <f>IF(P4876="","",WEEKDAY(B4876,2))</f>
        <v/>
      </c>
      <c r="AA4876" s="52">
        <f>IF(P4876="","",IF(AND(P4876="Gasto",X4876="Variable",D4876&lt;&gt;catTrading,S4876&gt;0,S4876&lt;=Umbral),1,0))</f>
        <v/>
      </c>
      <c r="AB4876" s="52">
        <f>IF(OR(P4876="",Q4876=""),"",IFERROR(IF(INDEX(ctaVinc,MATCH(Q4876,ctaNombre,0))&amp;""&lt;&gt;"",INDEX(ctaVinc,MATCH(Q4876,ctaNombre,0))&amp;"",Q4876),Q4876))</f>
        <v/>
      </c>
      <c r="AC4876" s="52">
        <f>IF(OR(K4876="",AND(P4876&lt;&gt;"Transferencia",P4876&lt;&gt;"Pago tarjeta")),"",IFERROR(IF(INDEX(ctaVinc,MATCH(K4876,ctaNombre,0))&amp;""&lt;&gt;"",INDEX(ctaVinc,MATCH(K4876,ctaNombre,0))&amp;"",K4876),K4876))</f>
        <v/>
      </c>
      <c r="AD4876" s="52">
        <f>IF(AB4876="","",IFERROR(INDEX(ctaTipo,MATCH(AB4876,ctaNombre,0))&amp;"",""))</f>
        <v/>
      </c>
      <c r="AE4876" s="52">
        <f>IF(AC4876="","",IFERROR(INDEX(ctaTipo,MATCH(AC4876,ctaNombre,0))&amp;"",""))</f>
        <v/>
      </c>
      <c r="AF4876" s="53">
        <f>IF(OR(P4876="",AB4876=""),"",IF(OR(P4876="Gasto",P4876="Transferencia",P4876="Pago tarjeta"),-1,1)*IF(IFERROR(INDEX(ctaMoneda,MATCH(AB4876,ctaNombre,0))&amp;"","DOP")="USD",T4876,S4876))</f>
        <v/>
      </c>
      <c r="AG4876" s="53">
        <f>IF(AC4876="","",IF(IFERROR(INDEX(ctaMoneda,MATCH(AC4876,ctaNombre,0))&amp;"","DOP")="USD",T4876,S4876))</f>
        <v/>
      </c>
      <c r="AH4876" s="53">
        <f>IF(P4876="","",IF(AND(AD4876&lt;&gt;"",COUNTIFS(tcTipo,AD4876,tcLiq,"Sí")&gt;0),IF(OR(P4876="Gasto",P4876="Transferencia",P4876="Pago tarjeta"),-1,1)*S4876,0)+IF(AND(AE4876&lt;&gt;"",COUNTIFS(tcTipo,AE4876,tcLiq,"Sí")&gt;0),S4876,0))</f>
        <v/>
      </c>
      <c r="AI4876" s="52">
        <f>IF(OR(L4876="",P4876=""),"",IF(COUNTIFS(L$6:L4876,L4876,P$6:P4876,"?*")=1,MAX(AI$5:AI4875)+1,""))</f>
        <v/>
      </c>
    </row>
    <row r="4877">
      <c r="B4877" s="47" t="n"/>
      <c r="C4877" s="48" t="n"/>
      <c r="D4877" s="48" t="n"/>
      <c r="E4877" s="48" t="n"/>
      <c r="F4877" s="48" t="n"/>
      <c r="G4877" s="49" t="n"/>
      <c r="H4877" s="48" t="n"/>
      <c r="I4877" s="50" t="n"/>
      <c r="J4877" s="48" t="n"/>
      <c r="K4877" s="48" t="n"/>
      <c r="L4877" s="48" t="n"/>
      <c r="M4877" s="48" t="n"/>
      <c r="N4877" s="48" t="n"/>
      <c r="O4877" s="51">
        <f>IF(AND(B4877="",G4877="",C4877="",D4877="",J4877=""),"",IF(B4877="","⚠ Falta fecha",IF(G4877="","⚠ Falta monto",IF(Q4877="","⚠ Falta cuenta",IF(ISNA(MATCH(Q4877,ctaNombre,0)),"⚠ Cuenta no registrada",IF(AND(OR(P4877="Gasto",P4877="Reembolso"),D4877=""),"⚠ Falta categoría",IF(AND(D4877&lt;&gt;"",E4877&lt;&gt;"",ISNA(MATCH(D4877&amp;"|"&amp;E4877,catClave,0))),"⚠ Subcategoría no corresponde",IF(AND(OR(P4877="Transferencia",P4877="Pago tarjeta"),K4877=""),"⚠ Falta cuenta destino",IF(AND(K4877&lt;&gt;"",P4877&lt;&gt;"Transferencia",P4877&lt;&gt;"Pago tarjeta"),"⚠ Destino solo aplica a transferencias",IF(AND(K4877&lt;&gt;"",K4877=Q4877),"⚠ Origen igual a destino",IF(AND(K4877&lt;&gt;"",ISNA(MATCH(K4877,ctaNombre,0))),"⚠ Destino no registrado",IF(AND(P4877="Pago tarjeta",AE4877&lt;&gt;"Tarjeta de crédito"),"⚠ El destino debe ser tarjeta de crédito",IF(AND(P4877="Gasto",E4877="Depósitos y retiros"),"⚠ Usa tipo Transferencia",IF(AND(P4877="Resultado trading",AD4877&lt;&gt;"Cuenta de trading"),"⚠ Usa una cuenta de trading",IF(AND(G4877&lt;=0,P4877&lt;&gt;"Ajuste",P4877&lt;&gt;"Resultado trading"),"⚠ El monto debe ser positivo","✓")))))))))))))))</f>
        <v/>
      </c>
      <c r="P4877" s="52">
        <f>IF(OR(B4877="",G4877=""),"",IF(C4877="","Gasto",C4877))</f>
        <v/>
      </c>
      <c r="Q4877" s="52">
        <f>IF(P4877="","",IF(J4877&lt;&gt;"",J4877,CuentaPred&amp;""))</f>
        <v/>
      </c>
      <c r="R4877" s="52">
        <f>IF(P4877="","",IF(ISNUMBER(I4877),I4877,TasaUSD))</f>
        <v/>
      </c>
      <c r="S4877" s="53">
        <f>IF(P4877="","",IF(H4877="USD",G4877*R4877,G4877))</f>
        <v/>
      </c>
      <c r="T4877" s="53">
        <f>IF(P4877="","",IF(H4877="USD",G4877,IF(R4877&gt;0,G4877/R4877,0)))</f>
        <v/>
      </c>
      <c r="U4877" s="53">
        <f>IF(P4877="","",IF(P4877="Gasto",S4877,IF(P4877="Reembolso",-S4877,0)))</f>
        <v/>
      </c>
      <c r="V4877" s="53">
        <f>IF(P4877="","",IF(P4877="Ingreso",S4877,0))</f>
        <v/>
      </c>
      <c r="W4877" s="53">
        <f>IF(P4877="","",IF(P4877="Resultado trading",S4877,0))</f>
        <v/>
      </c>
      <c r="X4877" s="52">
        <f>IF(OR(P4877="Gasto",P4877="Reembolso"),IF(M4877&lt;&gt;"",M4877,IFERROR(INDEX(catClasif,MATCH(D4877&amp;"|"&amp;E4877,catClave,0))&amp;"","Variable")),"")</f>
        <v/>
      </c>
      <c r="Y4877" s="52">
        <f>IF(P4877="","",IFERROR(INDEX(catGrupo,MATCH(D4877&amp;"|"&amp;E4877,catClave,0))&amp;"",""))</f>
        <v/>
      </c>
      <c r="Z4877" s="52">
        <f>IF(P4877="","",WEEKDAY(B4877,2))</f>
        <v/>
      </c>
      <c r="AA4877" s="52">
        <f>IF(P4877="","",IF(AND(P4877="Gasto",X4877="Variable",D4877&lt;&gt;catTrading,S4877&gt;0,S4877&lt;=Umbral),1,0))</f>
        <v/>
      </c>
      <c r="AB4877" s="52">
        <f>IF(OR(P4877="",Q4877=""),"",IFERROR(IF(INDEX(ctaVinc,MATCH(Q4877,ctaNombre,0))&amp;""&lt;&gt;"",INDEX(ctaVinc,MATCH(Q4877,ctaNombre,0))&amp;"",Q4877),Q4877))</f>
        <v/>
      </c>
      <c r="AC4877" s="52">
        <f>IF(OR(K4877="",AND(P4877&lt;&gt;"Transferencia",P4877&lt;&gt;"Pago tarjeta")),"",IFERROR(IF(INDEX(ctaVinc,MATCH(K4877,ctaNombre,0))&amp;""&lt;&gt;"",INDEX(ctaVinc,MATCH(K4877,ctaNombre,0))&amp;"",K4877),K4877))</f>
        <v/>
      </c>
      <c r="AD4877" s="52">
        <f>IF(AB4877="","",IFERROR(INDEX(ctaTipo,MATCH(AB4877,ctaNombre,0))&amp;"",""))</f>
        <v/>
      </c>
      <c r="AE4877" s="52">
        <f>IF(AC4877="","",IFERROR(INDEX(ctaTipo,MATCH(AC4877,ctaNombre,0))&amp;"",""))</f>
        <v/>
      </c>
      <c r="AF4877" s="53">
        <f>IF(OR(P4877="",AB4877=""),"",IF(OR(P4877="Gasto",P4877="Transferencia",P4877="Pago tarjeta"),-1,1)*IF(IFERROR(INDEX(ctaMoneda,MATCH(AB4877,ctaNombre,0))&amp;"","DOP")="USD",T4877,S4877))</f>
        <v/>
      </c>
      <c r="AG4877" s="53">
        <f>IF(AC4877="","",IF(IFERROR(INDEX(ctaMoneda,MATCH(AC4877,ctaNombre,0))&amp;"","DOP")="USD",T4877,S4877))</f>
        <v/>
      </c>
      <c r="AH4877" s="53">
        <f>IF(P4877="","",IF(AND(AD4877&lt;&gt;"",COUNTIFS(tcTipo,AD4877,tcLiq,"Sí")&gt;0),IF(OR(P4877="Gasto",P4877="Transferencia",P4877="Pago tarjeta"),-1,1)*S4877,0)+IF(AND(AE4877&lt;&gt;"",COUNTIFS(tcTipo,AE4877,tcLiq,"Sí")&gt;0),S4877,0))</f>
        <v/>
      </c>
      <c r="AI4877" s="52">
        <f>IF(OR(L4877="",P4877=""),"",IF(COUNTIFS(L$6:L4877,L4877,P$6:P4877,"?*")=1,MAX(AI$5:AI4876)+1,""))</f>
        <v/>
      </c>
    </row>
    <row r="4878">
      <c r="B4878" s="47" t="n"/>
      <c r="C4878" s="48" t="n"/>
      <c r="D4878" s="48" t="n"/>
      <c r="E4878" s="48" t="n"/>
      <c r="F4878" s="48" t="n"/>
      <c r="G4878" s="49" t="n"/>
      <c r="H4878" s="48" t="n"/>
      <c r="I4878" s="50" t="n"/>
      <c r="J4878" s="48" t="n"/>
      <c r="K4878" s="48" t="n"/>
      <c r="L4878" s="48" t="n"/>
      <c r="M4878" s="48" t="n"/>
      <c r="N4878" s="48" t="n"/>
      <c r="O4878" s="51">
        <f>IF(AND(B4878="",G4878="",C4878="",D4878="",J4878=""),"",IF(B4878="","⚠ Falta fecha",IF(G4878="","⚠ Falta monto",IF(Q4878="","⚠ Falta cuenta",IF(ISNA(MATCH(Q4878,ctaNombre,0)),"⚠ Cuenta no registrada",IF(AND(OR(P4878="Gasto",P4878="Reembolso"),D4878=""),"⚠ Falta categoría",IF(AND(D4878&lt;&gt;"",E4878&lt;&gt;"",ISNA(MATCH(D4878&amp;"|"&amp;E4878,catClave,0))),"⚠ Subcategoría no corresponde",IF(AND(OR(P4878="Transferencia",P4878="Pago tarjeta"),K4878=""),"⚠ Falta cuenta destino",IF(AND(K4878&lt;&gt;"",P4878&lt;&gt;"Transferencia",P4878&lt;&gt;"Pago tarjeta"),"⚠ Destino solo aplica a transferencias",IF(AND(K4878&lt;&gt;"",K4878=Q4878),"⚠ Origen igual a destino",IF(AND(K4878&lt;&gt;"",ISNA(MATCH(K4878,ctaNombre,0))),"⚠ Destino no registrado",IF(AND(P4878="Pago tarjeta",AE4878&lt;&gt;"Tarjeta de crédito"),"⚠ El destino debe ser tarjeta de crédito",IF(AND(P4878="Gasto",E4878="Depósitos y retiros"),"⚠ Usa tipo Transferencia",IF(AND(P4878="Resultado trading",AD4878&lt;&gt;"Cuenta de trading"),"⚠ Usa una cuenta de trading",IF(AND(G4878&lt;=0,P4878&lt;&gt;"Ajuste",P4878&lt;&gt;"Resultado trading"),"⚠ El monto debe ser positivo","✓")))))))))))))))</f>
        <v/>
      </c>
      <c r="P4878" s="52">
        <f>IF(OR(B4878="",G4878=""),"",IF(C4878="","Gasto",C4878))</f>
        <v/>
      </c>
      <c r="Q4878" s="52">
        <f>IF(P4878="","",IF(J4878&lt;&gt;"",J4878,CuentaPred&amp;""))</f>
        <v/>
      </c>
      <c r="R4878" s="52">
        <f>IF(P4878="","",IF(ISNUMBER(I4878),I4878,TasaUSD))</f>
        <v/>
      </c>
      <c r="S4878" s="53">
        <f>IF(P4878="","",IF(H4878="USD",G4878*R4878,G4878))</f>
        <v/>
      </c>
      <c r="T4878" s="53">
        <f>IF(P4878="","",IF(H4878="USD",G4878,IF(R4878&gt;0,G4878/R4878,0)))</f>
        <v/>
      </c>
      <c r="U4878" s="53">
        <f>IF(P4878="","",IF(P4878="Gasto",S4878,IF(P4878="Reembolso",-S4878,0)))</f>
        <v/>
      </c>
      <c r="V4878" s="53">
        <f>IF(P4878="","",IF(P4878="Ingreso",S4878,0))</f>
        <v/>
      </c>
      <c r="W4878" s="53">
        <f>IF(P4878="","",IF(P4878="Resultado trading",S4878,0))</f>
        <v/>
      </c>
      <c r="X4878" s="52">
        <f>IF(OR(P4878="Gasto",P4878="Reembolso"),IF(M4878&lt;&gt;"",M4878,IFERROR(INDEX(catClasif,MATCH(D4878&amp;"|"&amp;E4878,catClave,0))&amp;"","Variable")),"")</f>
        <v/>
      </c>
      <c r="Y4878" s="52">
        <f>IF(P4878="","",IFERROR(INDEX(catGrupo,MATCH(D4878&amp;"|"&amp;E4878,catClave,0))&amp;"",""))</f>
        <v/>
      </c>
      <c r="Z4878" s="52">
        <f>IF(P4878="","",WEEKDAY(B4878,2))</f>
        <v/>
      </c>
      <c r="AA4878" s="52">
        <f>IF(P4878="","",IF(AND(P4878="Gasto",X4878="Variable",D4878&lt;&gt;catTrading,S4878&gt;0,S4878&lt;=Umbral),1,0))</f>
        <v/>
      </c>
      <c r="AB4878" s="52">
        <f>IF(OR(P4878="",Q4878=""),"",IFERROR(IF(INDEX(ctaVinc,MATCH(Q4878,ctaNombre,0))&amp;""&lt;&gt;"",INDEX(ctaVinc,MATCH(Q4878,ctaNombre,0))&amp;"",Q4878),Q4878))</f>
        <v/>
      </c>
      <c r="AC4878" s="52">
        <f>IF(OR(K4878="",AND(P4878&lt;&gt;"Transferencia",P4878&lt;&gt;"Pago tarjeta")),"",IFERROR(IF(INDEX(ctaVinc,MATCH(K4878,ctaNombre,0))&amp;""&lt;&gt;"",INDEX(ctaVinc,MATCH(K4878,ctaNombre,0))&amp;"",K4878),K4878))</f>
        <v/>
      </c>
      <c r="AD4878" s="52">
        <f>IF(AB4878="","",IFERROR(INDEX(ctaTipo,MATCH(AB4878,ctaNombre,0))&amp;"",""))</f>
        <v/>
      </c>
      <c r="AE4878" s="52">
        <f>IF(AC4878="","",IFERROR(INDEX(ctaTipo,MATCH(AC4878,ctaNombre,0))&amp;"",""))</f>
        <v/>
      </c>
      <c r="AF4878" s="53">
        <f>IF(OR(P4878="",AB4878=""),"",IF(OR(P4878="Gasto",P4878="Transferencia",P4878="Pago tarjeta"),-1,1)*IF(IFERROR(INDEX(ctaMoneda,MATCH(AB4878,ctaNombre,0))&amp;"","DOP")="USD",T4878,S4878))</f>
        <v/>
      </c>
      <c r="AG4878" s="53">
        <f>IF(AC4878="","",IF(IFERROR(INDEX(ctaMoneda,MATCH(AC4878,ctaNombre,0))&amp;"","DOP")="USD",T4878,S4878))</f>
        <v/>
      </c>
      <c r="AH4878" s="53">
        <f>IF(P4878="","",IF(AND(AD4878&lt;&gt;"",COUNTIFS(tcTipo,AD4878,tcLiq,"Sí")&gt;0),IF(OR(P4878="Gasto",P4878="Transferencia",P4878="Pago tarjeta"),-1,1)*S4878,0)+IF(AND(AE4878&lt;&gt;"",COUNTIFS(tcTipo,AE4878,tcLiq,"Sí")&gt;0),S4878,0))</f>
        <v/>
      </c>
      <c r="AI4878" s="52">
        <f>IF(OR(L4878="",P4878=""),"",IF(COUNTIFS(L$6:L4878,L4878,P$6:P4878,"?*")=1,MAX(AI$5:AI4877)+1,""))</f>
        <v/>
      </c>
    </row>
    <row r="4879">
      <c r="B4879" s="47" t="n"/>
      <c r="C4879" s="48" t="n"/>
      <c r="D4879" s="48" t="n"/>
      <c r="E4879" s="48" t="n"/>
      <c r="F4879" s="48" t="n"/>
      <c r="G4879" s="49" t="n"/>
      <c r="H4879" s="48" t="n"/>
      <c r="I4879" s="50" t="n"/>
      <c r="J4879" s="48" t="n"/>
      <c r="K4879" s="48" t="n"/>
      <c r="L4879" s="48" t="n"/>
      <c r="M4879" s="48" t="n"/>
      <c r="N4879" s="48" t="n"/>
      <c r="O4879" s="51">
        <f>IF(AND(B4879="",G4879="",C4879="",D4879="",J4879=""),"",IF(B4879="","⚠ Falta fecha",IF(G4879="","⚠ Falta monto",IF(Q4879="","⚠ Falta cuenta",IF(ISNA(MATCH(Q4879,ctaNombre,0)),"⚠ Cuenta no registrada",IF(AND(OR(P4879="Gasto",P4879="Reembolso"),D4879=""),"⚠ Falta categoría",IF(AND(D4879&lt;&gt;"",E4879&lt;&gt;"",ISNA(MATCH(D4879&amp;"|"&amp;E4879,catClave,0))),"⚠ Subcategoría no corresponde",IF(AND(OR(P4879="Transferencia",P4879="Pago tarjeta"),K4879=""),"⚠ Falta cuenta destino",IF(AND(K4879&lt;&gt;"",P4879&lt;&gt;"Transferencia",P4879&lt;&gt;"Pago tarjeta"),"⚠ Destino solo aplica a transferencias",IF(AND(K4879&lt;&gt;"",K4879=Q4879),"⚠ Origen igual a destino",IF(AND(K4879&lt;&gt;"",ISNA(MATCH(K4879,ctaNombre,0))),"⚠ Destino no registrado",IF(AND(P4879="Pago tarjeta",AE4879&lt;&gt;"Tarjeta de crédito"),"⚠ El destino debe ser tarjeta de crédito",IF(AND(P4879="Gasto",E4879="Depósitos y retiros"),"⚠ Usa tipo Transferencia",IF(AND(P4879="Resultado trading",AD4879&lt;&gt;"Cuenta de trading"),"⚠ Usa una cuenta de trading",IF(AND(G4879&lt;=0,P4879&lt;&gt;"Ajuste",P4879&lt;&gt;"Resultado trading"),"⚠ El monto debe ser positivo","✓")))))))))))))))</f>
        <v/>
      </c>
      <c r="P4879" s="52">
        <f>IF(OR(B4879="",G4879=""),"",IF(C4879="","Gasto",C4879))</f>
        <v/>
      </c>
      <c r="Q4879" s="52">
        <f>IF(P4879="","",IF(J4879&lt;&gt;"",J4879,CuentaPred&amp;""))</f>
        <v/>
      </c>
      <c r="R4879" s="52">
        <f>IF(P4879="","",IF(ISNUMBER(I4879),I4879,TasaUSD))</f>
        <v/>
      </c>
      <c r="S4879" s="53">
        <f>IF(P4879="","",IF(H4879="USD",G4879*R4879,G4879))</f>
        <v/>
      </c>
      <c r="T4879" s="53">
        <f>IF(P4879="","",IF(H4879="USD",G4879,IF(R4879&gt;0,G4879/R4879,0)))</f>
        <v/>
      </c>
      <c r="U4879" s="53">
        <f>IF(P4879="","",IF(P4879="Gasto",S4879,IF(P4879="Reembolso",-S4879,0)))</f>
        <v/>
      </c>
      <c r="V4879" s="53">
        <f>IF(P4879="","",IF(P4879="Ingreso",S4879,0))</f>
        <v/>
      </c>
      <c r="W4879" s="53">
        <f>IF(P4879="","",IF(P4879="Resultado trading",S4879,0))</f>
        <v/>
      </c>
      <c r="X4879" s="52">
        <f>IF(OR(P4879="Gasto",P4879="Reembolso"),IF(M4879&lt;&gt;"",M4879,IFERROR(INDEX(catClasif,MATCH(D4879&amp;"|"&amp;E4879,catClave,0))&amp;"","Variable")),"")</f>
        <v/>
      </c>
      <c r="Y4879" s="52">
        <f>IF(P4879="","",IFERROR(INDEX(catGrupo,MATCH(D4879&amp;"|"&amp;E4879,catClave,0))&amp;"",""))</f>
        <v/>
      </c>
      <c r="Z4879" s="52">
        <f>IF(P4879="","",WEEKDAY(B4879,2))</f>
        <v/>
      </c>
      <c r="AA4879" s="52">
        <f>IF(P4879="","",IF(AND(P4879="Gasto",X4879="Variable",D4879&lt;&gt;catTrading,S4879&gt;0,S4879&lt;=Umbral),1,0))</f>
        <v/>
      </c>
      <c r="AB4879" s="52">
        <f>IF(OR(P4879="",Q4879=""),"",IFERROR(IF(INDEX(ctaVinc,MATCH(Q4879,ctaNombre,0))&amp;""&lt;&gt;"",INDEX(ctaVinc,MATCH(Q4879,ctaNombre,0))&amp;"",Q4879),Q4879))</f>
        <v/>
      </c>
      <c r="AC4879" s="52">
        <f>IF(OR(K4879="",AND(P4879&lt;&gt;"Transferencia",P4879&lt;&gt;"Pago tarjeta")),"",IFERROR(IF(INDEX(ctaVinc,MATCH(K4879,ctaNombre,0))&amp;""&lt;&gt;"",INDEX(ctaVinc,MATCH(K4879,ctaNombre,0))&amp;"",K4879),K4879))</f>
        <v/>
      </c>
      <c r="AD4879" s="52">
        <f>IF(AB4879="","",IFERROR(INDEX(ctaTipo,MATCH(AB4879,ctaNombre,0))&amp;"",""))</f>
        <v/>
      </c>
      <c r="AE4879" s="52">
        <f>IF(AC4879="","",IFERROR(INDEX(ctaTipo,MATCH(AC4879,ctaNombre,0))&amp;"",""))</f>
        <v/>
      </c>
      <c r="AF4879" s="53">
        <f>IF(OR(P4879="",AB4879=""),"",IF(OR(P4879="Gasto",P4879="Transferencia",P4879="Pago tarjeta"),-1,1)*IF(IFERROR(INDEX(ctaMoneda,MATCH(AB4879,ctaNombre,0))&amp;"","DOP")="USD",T4879,S4879))</f>
        <v/>
      </c>
      <c r="AG4879" s="53">
        <f>IF(AC4879="","",IF(IFERROR(INDEX(ctaMoneda,MATCH(AC4879,ctaNombre,0))&amp;"","DOP")="USD",T4879,S4879))</f>
        <v/>
      </c>
      <c r="AH4879" s="53">
        <f>IF(P4879="","",IF(AND(AD4879&lt;&gt;"",COUNTIFS(tcTipo,AD4879,tcLiq,"Sí")&gt;0),IF(OR(P4879="Gasto",P4879="Transferencia",P4879="Pago tarjeta"),-1,1)*S4879,0)+IF(AND(AE4879&lt;&gt;"",COUNTIFS(tcTipo,AE4879,tcLiq,"Sí")&gt;0),S4879,0))</f>
        <v/>
      </c>
      <c r="AI4879" s="52">
        <f>IF(OR(L4879="",P4879=""),"",IF(COUNTIFS(L$6:L4879,L4879,P$6:P4879,"?*")=1,MAX(AI$5:AI4878)+1,""))</f>
        <v/>
      </c>
    </row>
    <row r="4880">
      <c r="B4880" s="47" t="n"/>
      <c r="C4880" s="48" t="n"/>
      <c r="D4880" s="48" t="n"/>
      <c r="E4880" s="48" t="n"/>
      <c r="F4880" s="48" t="n"/>
      <c r="G4880" s="49" t="n"/>
      <c r="H4880" s="48" t="n"/>
      <c r="I4880" s="50" t="n"/>
      <c r="J4880" s="48" t="n"/>
      <c r="K4880" s="48" t="n"/>
      <c r="L4880" s="48" t="n"/>
      <c r="M4880" s="48" t="n"/>
      <c r="N4880" s="48" t="n"/>
      <c r="O4880" s="51">
        <f>IF(AND(B4880="",G4880="",C4880="",D4880="",J4880=""),"",IF(B4880="","⚠ Falta fecha",IF(G4880="","⚠ Falta monto",IF(Q4880="","⚠ Falta cuenta",IF(ISNA(MATCH(Q4880,ctaNombre,0)),"⚠ Cuenta no registrada",IF(AND(OR(P4880="Gasto",P4880="Reembolso"),D4880=""),"⚠ Falta categoría",IF(AND(D4880&lt;&gt;"",E4880&lt;&gt;"",ISNA(MATCH(D4880&amp;"|"&amp;E4880,catClave,0))),"⚠ Subcategoría no corresponde",IF(AND(OR(P4880="Transferencia",P4880="Pago tarjeta"),K4880=""),"⚠ Falta cuenta destino",IF(AND(K4880&lt;&gt;"",P4880&lt;&gt;"Transferencia",P4880&lt;&gt;"Pago tarjeta"),"⚠ Destino solo aplica a transferencias",IF(AND(K4880&lt;&gt;"",K4880=Q4880),"⚠ Origen igual a destino",IF(AND(K4880&lt;&gt;"",ISNA(MATCH(K4880,ctaNombre,0))),"⚠ Destino no registrado",IF(AND(P4880="Pago tarjeta",AE4880&lt;&gt;"Tarjeta de crédito"),"⚠ El destino debe ser tarjeta de crédito",IF(AND(P4880="Gasto",E4880="Depósitos y retiros"),"⚠ Usa tipo Transferencia",IF(AND(P4880="Resultado trading",AD4880&lt;&gt;"Cuenta de trading"),"⚠ Usa una cuenta de trading",IF(AND(G4880&lt;=0,P4880&lt;&gt;"Ajuste",P4880&lt;&gt;"Resultado trading"),"⚠ El monto debe ser positivo","✓")))))))))))))))</f>
        <v/>
      </c>
      <c r="P4880" s="52">
        <f>IF(OR(B4880="",G4880=""),"",IF(C4880="","Gasto",C4880))</f>
        <v/>
      </c>
      <c r="Q4880" s="52">
        <f>IF(P4880="","",IF(J4880&lt;&gt;"",J4880,CuentaPred&amp;""))</f>
        <v/>
      </c>
      <c r="R4880" s="52">
        <f>IF(P4880="","",IF(ISNUMBER(I4880),I4880,TasaUSD))</f>
        <v/>
      </c>
      <c r="S4880" s="53">
        <f>IF(P4880="","",IF(H4880="USD",G4880*R4880,G4880))</f>
        <v/>
      </c>
      <c r="T4880" s="53">
        <f>IF(P4880="","",IF(H4880="USD",G4880,IF(R4880&gt;0,G4880/R4880,0)))</f>
        <v/>
      </c>
      <c r="U4880" s="53">
        <f>IF(P4880="","",IF(P4880="Gasto",S4880,IF(P4880="Reembolso",-S4880,0)))</f>
        <v/>
      </c>
      <c r="V4880" s="53">
        <f>IF(P4880="","",IF(P4880="Ingreso",S4880,0))</f>
        <v/>
      </c>
      <c r="W4880" s="53">
        <f>IF(P4880="","",IF(P4880="Resultado trading",S4880,0))</f>
        <v/>
      </c>
      <c r="X4880" s="52">
        <f>IF(OR(P4880="Gasto",P4880="Reembolso"),IF(M4880&lt;&gt;"",M4880,IFERROR(INDEX(catClasif,MATCH(D4880&amp;"|"&amp;E4880,catClave,0))&amp;"","Variable")),"")</f>
        <v/>
      </c>
      <c r="Y4880" s="52">
        <f>IF(P4880="","",IFERROR(INDEX(catGrupo,MATCH(D4880&amp;"|"&amp;E4880,catClave,0))&amp;"",""))</f>
        <v/>
      </c>
      <c r="Z4880" s="52">
        <f>IF(P4880="","",WEEKDAY(B4880,2))</f>
        <v/>
      </c>
      <c r="AA4880" s="52">
        <f>IF(P4880="","",IF(AND(P4880="Gasto",X4880="Variable",D4880&lt;&gt;catTrading,S4880&gt;0,S4880&lt;=Umbral),1,0))</f>
        <v/>
      </c>
      <c r="AB4880" s="52">
        <f>IF(OR(P4880="",Q4880=""),"",IFERROR(IF(INDEX(ctaVinc,MATCH(Q4880,ctaNombre,0))&amp;""&lt;&gt;"",INDEX(ctaVinc,MATCH(Q4880,ctaNombre,0))&amp;"",Q4880),Q4880))</f>
        <v/>
      </c>
      <c r="AC4880" s="52">
        <f>IF(OR(K4880="",AND(P4880&lt;&gt;"Transferencia",P4880&lt;&gt;"Pago tarjeta")),"",IFERROR(IF(INDEX(ctaVinc,MATCH(K4880,ctaNombre,0))&amp;""&lt;&gt;"",INDEX(ctaVinc,MATCH(K4880,ctaNombre,0))&amp;"",K4880),K4880))</f>
        <v/>
      </c>
      <c r="AD4880" s="52">
        <f>IF(AB4880="","",IFERROR(INDEX(ctaTipo,MATCH(AB4880,ctaNombre,0))&amp;"",""))</f>
        <v/>
      </c>
      <c r="AE4880" s="52">
        <f>IF(AC4880="","",IFERROR(INDEX(ctaTipo,MATCH(AC4880,ctaNombre,0))&amp;"",""))</f>
        <v/>
      </c>
      <c r="AF4880" s="53">
        <f>IF(OR(P4880="",AB4880=""),"",IF(OR(P4880="Gasto",P4880="Transferencia",P4880="Pago tarjeta"),-1,1)*IF(IFERROR(INDEX(ctaMoneda,MATCH(AB4880,ctaNombre,0))&amp;"","DOP")="USD",T4880,S4880))</f>
        <v/>
      </c>
      <c r="AG4880" s="53">
        <f>IF(AC4880="","",IF(IFERROR(INDEX(ctaMoneda,MATCH(AC4880,ctaNombre,0))&amp;"","DOP")="USD",T4880,S4880))</f>
        <v/>
      </c>
      <c r="AH4880" s="53">
        <f>IF(P4880="","",IF(AND(AD4880&lt;&gt;"",COUNTIFS(tcTipo,AD4880,tcLiq,"Sí")&gt;0),IF(OR(P4880="Gasto",P4880="Transferencia",P4880="Pago tarjeta"),-1,1)*S4880,0)+IF(AND(AE4880&lt;&gt;"",COUNTIFS(tcTipo,AE4880,tcLiq,"Sí")&gt;0),S4880,0))</f>
        <v/>
      </c>
      <c r="AI4880" s="52">
        <f>IF(OR(L4880="",P4880=""),"",IF(COUNTIFS(L$6:L4880,L4880,P$6:P4880,"?*")=1,MAX(AI$5:AI4879)+1,""))</f>
        <v/>
      </c>
    </row>
    <row r="4881">
      <c r="B4881" s="47" t="n"/>
      <c r="C4881" s="48" t="n"/>
      <c r="D4881" s="48" t="n"/>
      <c r="E4881" s="48" t="n"/>
      <c r="F4881" s="48" t="n"/>
      <c r="G4881" s="49" t="n"/>
      <c r="H4881" s="48" t="n"/>
      <c r="I4881" s="50" t="n"/>
      <c r="J4881" s="48" t="n"/>
      <c r="K4881" s="48" t="n"/>
      <c r="L4881" s="48" t="n"/>
      <c r="M4881" s="48" t="n"/>
      <c r="N4881" s="48" t="n"/>
      <c r="O4881" s="51">
        <f>IF(AND(B4881="",G4881="",C4881="",D4881="",J4881=""),"",IF(B4881="","⚠ Falta fecha",IF(G4881="","⚠ Falta monto",IF(Q4881="","⚠ Falta cuenta",IF(ISNA(MATCH(Q4881,ctaNombre,0)),"⚠ Cuenta no registrada",IF(AND(OR(P4881="Gasto",P4881="Reembolso"),D4881=""),"⚠ Falta categoría",IF(AND(D4881&lt;&gt;"",E4881&lt;&gt;"",ISNA(MATCH(D4881&amp;"|"&amp;E4881,catClave,0))),"⚠ Subcategoría no corresponde",IF(AND(OR(P4881="Transferencia",P4881="Pago tarjeta"),K4881=""),"⚠ Falta cuenta destino",IF(AND(K4881&lt;&gt;"",P4881&lt;&gt;"Transferencia",P4881&lt;&gt;"Pago tarjeta"),"⚠ Destino solo aplica a transferencias",IF(AND(K4881&lt;&gt;"",K4881=Q4881),"⚠ Origen igual a destino",IF(AND(K4881&lt;&gt;"",ISNA(MATCH(K4881,ctaNombre,0))),"⚠ Destino no registrado",IF(AND(P4881="Pago tarjeta",AE4881&lt;&gt;"Tarjeta de crédito"),"⚠ El destino debe ser tarjeta de crédito",IF(AND(P4881="Gasto",E4881="Depósitos y retiros"),"⚠ Usa tipo Transferencia",IF(AND(P4881="Resultado trading",AD4881&lt;&gt;"Cuenta de trading"),"⚠ Usa una cuenta de trading",IF(AND(G4881&lt;=0,P4881&lt;&gt;"Ajuste",P4881&lt;&gt;"Resultado trading"),"⚠ El monto debe ser positivo","✓")))))))))))))))</f>
        <v/>
      </c>
      <c r="P4881" s="52">
        <f>IF(OR(B4881="",G4881=""),"",IF(C4881="","Gasto",C4881))</f>
        <v/>
      </c>
      <c r="Q4881" s="52">
        <f>IF(P4881="","",IF(J4881&lt;&gt;"",J4881,CuentaPred&amp;""))</f>
        <v/>
      </c>
      <c r="R4881" s="52">
        <f>IF(P4881="","",IF(ISNUMBER(I4881),I4881,TasaUSD))</f>
        <v/>
      </c>
      <c r="S4881" s="53">
        <f>IF(P4881="","",IF(H4881="USD",G4881*R4881,G4881))</f>
        <v/>
      </c>
      <c r="T4881" s="53">
        <f>IF(P4881="","",IF(H4881="USD",G4881,IF(R4881&gt;0,G4881/R4881,0)))</f>
        <v/>
      </c>
      <c r="U4881" s="53">
        <f>IF(P4881="","",IF(P4881="Gasto",S4881,IF(P4881="Reembolso",-S4881,0)))</f>
        <v/>
      </c>
      <c r="V4881" s="53">
        <f>IF(P4881="","",IF(P4881="Ingreso",S4881,0))</f>
        <v/>
      </c>
      <c r="W4881" s="53">
        <f>IF(P4881="","",IF(P4881="Resultado trading",S4881,0))</f>
        <v/>
      </c>
      <c r="X4881" s="52">
        <f>IF(OR(P4881="Gasto",P4881="Reembolso"),IF(M4881&lt;&gt;"",M4881,IFERROR(INDEX(catClasif,MATCH(D4881&amp;"|"&amp;E4881,catClave,0))&amp;"","Variable")),"")</f>
        <v/>
      </c>
      <c r="Y4881" s="52">
        <f>IF(P4881="","",IFERROR(INDEX(catGrupo,MATCH(D4881&amp;"|"&amp;E4881,catClave,0))&amp;"",""))</f>
        <v/>
      </c>
      <c r="Z4881" s="52">
        <f>IF(P4881="","",WEEKDAY(B4881,2))</f>
        <v/>
      </c>
      <c r="AA4881" s="52">
        <f>IF(P4881="","",IF(AND(P4881="Gasto",X4881="Variable",D4881&lt;&gt;catTrading,S4881&gt;0,S4881&lt;=Umbral),1,0))</f>
        <v/>
      </c>
      <c r="AB4881" s="52">
        <f>IF(OR(P4881="",Q4881=""),"",IFERROR(IF(INDEX(ctaVinc,MATCH(Q4881,ctaNombre,0))&amp;""&lt;&gt;"",INDEX(ctaVinc,MATCH(Q4881,ctaNombre,0))&amp;"",Q4881),Q4881))</f>
        <v/>
      </c>
      <c r="AC4881" s="52">
        <f>IF(OR(K4881="",AND(P4881&lt;&gt;"Transferencia",P4881&lt;&gt;"Pago tarjeta")),"",IFERROR(IF(INDEX(ctaVinc,MATCH(K4881,ctaNombre,0))&amp;""&lt;&gt;"",INDEX(ctaVinc,MATCH(K4881,ctaNombre,0))&amp;"",K4881),K4881))</f>
        <v/>
      </c>
      <c r="AD4881" s="52">
        <f>IF(AB4881="","",IFERROR(INDEX(ctaTipo,MATCH(AB4881,ctaNombre,0))&amp;"",""))</f>
        <v/>
      </c>
      <c r="AE4881" s="52">
        <f>IF(AC4881="","",IFERROR(INDEX(ctaTipo,MATCH(AC4881,ctaNombre,0))&amp;"",""))</f>
        <v/>
      </c>
      <c r="AF4881" s="53">
        <f>IF(OR(P4881="",AB4881=""),"",IF(OR(P4881="Gasto",P4881="Transferencia",P4881="Pago tarjeta"),-1,1)*IF(IFERROR(INDEX(ctaMoneda,MATCH(AB4881,ctaNombre,0))&amp;"","DOP")="USD",T4881,S4881))</f>
        <v/>
      </c>
      <c r="AG4881" s="53">
        <f>IF(AC4881="","",IF(IFERROR(INDEX(ctaMoneda,MATCH(AC4881,ctaNombre,0))&amp;"","DOP")="USD",T4881,S4881))</f>
        <v/>
      </c>
      <c r="AH4881" s="53">
        <f>IF(P4881="","",IF(AND(AD4881&lt;&gt;"",COUNTIFS(tcTipo,AD4881,tcLiq,"Sí")&gt;0),IF(OR(P4881="Gasto",P4881="Transferencia",P4881="Pago tarjeta"),-1,1)*S4881,0)+IF(AND(AE4881&lt;&gt;"",COUNTIFS(tcTipo,AE4881,tcLiq,"Sí")&gt;0),S4881,0))</f>
        <v/>
      </c>
      <c r="AI4881" s="52">
        <f>IF(OR(L4881="",P4881=""),"",IF(COUNTIFS(L$6:L4881,L4881,P$6:P4881,"?*")=1,MAX(AI$5:AI4880)+1,""))</f>
        <v/>
      </c>
    </row>
    <row r="4882">
      <c r="B4882" s="47" t="n"/>
      <c r="C4882" s="48" t="n"/>
      <c r="D4882" s="48" t="n"/>
      <c r="E4882" s="48" t="n"/>
      <c r="F4882" s="48" t="n"/>
      <c r="G4882" s="49" t="n"/>
      <c r="H4882" s="48" t="n"/>
      <c r="I4882" s="50" t="n"/>
      <c r="J4882" s="48" t="n"/>
      <c r="K4882" s="48" t="n"/>
      <c r="L4882" s="48" t="n"/>
      <c r="M4882" s="48" t="n"/>
      <c r="N4882" s="48" t="n"/>
      <c r="O4882" s="51">
        <f>IF(AND(B4882="",G4882="",C4882="",D4882="",J4882=""),"",IF(B4882="","⚠ Falta fecha",IF(G4882="","⚠ Falta monto",IF(Q4882="","⚠ Falta cuenta",IF(ISNA(MATCH(Q4882,ctaNombre,0)),"⚠ Cuenta no registrada",IF(AND(OR(P4882="Gasto",P4882="Reembolso"),D4882=""),"⚠ Falta categoría",IF(AND(D4882&lt;&gt;"",E4882&lt;&gt;"",ISNA(MATCH(D4882&amp;"|"&amp;E4882,catClave,0))),"⚠ Subcategoría no corresponde",IF(AND(OR(P4882="Transferencia",P4882="Pago tarjeta"),K4882=""),"⚠ Falta cuenta destino",IF(AND(K4882&lt;&gt;"",P4882&lt;&gt;"Transferencia",P4882&lt;&gt;"Pago tarjeta"),"⚠ Destino solo aplica a transferencias",IF(AND(K4882&lt;&gt;"",K4882=Q4882),"⚠ Origen igual a destino",IF(AND(K4882&lt;&gt;"",ISNA(MATCH(K4882,ctaNombre,0))),"⚠ Destino no registrado",IF(AND(P4882="Pago tarjeta",AE4882&lt;&gt;"Tarjeta de crédito"),"⚠ El destino debe ser tarjeta de crédito",IF(AND(P4882="Gasto",E4882="Depósitos y retiros"),"⚠ Usa tipo Transferencia",IF(AND(P4882="Resultado trading",AD4882&lt;&gt;"Cuenta de trading"),"⚠ Usa una cuenta de trading",IF(AND(G4882&lt;=0,P4882&lt;&gt;"Ajuste",P4882&lt;&gt;"Resultado trading"),"⚠ El monto debe ser positivo","✓")))))))))))))))</f>
        <v/>
      </c>
      <c r="P4882" s="52">
        <f>IF(OR(B4882="",G4882=""),"",IF(C4882="","Gasto",C4882))</f>
        <v/>
      </c>
      <c r="Q4882" s="52">
        <f>IF(P4882="","",IF(J4882&lt;&gt;"",J4882,CuentaPred&amp;""))</f>
        <v/>
      </c>
      <c r="R4882" s="52">
        <f>IF(P4882="","",IF(ISNUMBER(I4882),I4882,TasaUSD))</f>
        <v/>
      </c>
      <c r="S4882" s="53">
        <f>IF(P4882="","",IF(H4882="USD",G4882*R4882,G4882))</f>
        <v/>
      </c>
      <c r="T4882" s="53">
        <f>IF(P4882="","",IF(H4882="USD",G4882,IF(R4882&gt;0,G4882/R4882,0)))</f>
        <v/>
      </c>
      <c r="U4882" s="53">
        <f>IF(P4882="","",IF(P4882="Gasto",S4882,IF(P4882="Reembolso",-S4882,0)))</f>
        <v/>
      </c>
      <c r="V4882" s="53">
        <f>IF(P4882="","",IF(P4882="Ingreso",S4882,0))</f>
        <v/>
      </c>
      <c r="W4882" s="53">
        <f>IF(P4882="","",IF(P4882="Resultado trading",S4882,0))</f>
        <v/>
      </c>
      <c r="X4882" s="52">
        <f>IF(OR(P4882="Gasto",P4882="Reembolso"),IF(M4882&lt;&gt;"",M4882,IFERROR(INDEX(catClasif,MATCH(D4882&amp;"|"&amp;E4882,catClave,0))&amp;"","Variable")),"")</f>
        <v/>
      </c>
      <c r="Y4882" s="52">
        <f>IF(P4882="","",IFERROR(INDEX(catGrupo,MATCH(D4882&amp;"|"&amp;E4882,catClave,0))&amp;"",""))</f>
        <v/>
      </c>
      <c r="Z4882" s="52">
        <f>IF(P4882="","",WEEKDAY(B4882,2))</f>
        <v/>
      </c>
      <c r="AA4882" s="52">
        <f>IF(P4882="","",IF(AND(P4882="Gasto",X4882="Variable",D4882&lt;&gt;catTrading,S4882&gt;0,S4882&lt;=Umbral),1,0))</f>
        <v/>
      </c>
      <c r="AB4882" s="52">
        <f>IF(OR(P4882="",Q4882=""),"",IFERROR(IF(INDEX(ctaVinc,MATCH(Q4882,ctaNombre,0))&amp;""&lt;&gt;"",INDEX(ctaVinc,MATCH(Q4882,ctaNombre,0))&amp;"",Q4882),Q4882))</f>
        <v/>
      </c>
      <c r="AC4882" s="52">
        <f>IF(OR(K4882="",AND(P4882&lt;&gt;"Transferencia",P4882&lt;&gt;"Pago tarjeta")),"",IFERROR(IF(INDEX(ctaVinc,MATCH(K4882,ctaNombre,0))&amp;""&lt;&gt;"",INDEX(ctaVinc,MATCH(K4882,ctaNombre,0))&amp;"",K4882),K4882))</f>
        <v/>
      </c>
      <c r="AD4882" s="52">
        <f>IF(AB4882="","",IFERROR(INDEX(ctaTipo,MATCH(AB4882,ctaNombre,0))&amp;"",""))</f>
        <v/>
      </c>
      <c r="AE4882" s="52">
        <f>IF(AC4882="","",IFERROR(INDEX(ctaTipo,MATCH(AC4882,ctaNombre,0))&amp;"",""))</f>
        <v/>
      </c>
      <c r="AF4882" s="53">
        <f>IF(OR(P4882="",AB4882=""),"",IF(OR(P4882="Gasto",P4882="Transferencia",P4882="Pago tarjeta"),-1,1)*IF(IFERROR(INDEX(ctaMoneda,MATCH(AB4882,ctaNombre,0))&amp;"","DOP")="USD",T4882,S4882))</f>
        <v/>
      </c>
      <c r="AG4882" s="53">
        <f>IF(AC4882="","",IF(IFERROR(INDEX(ctaMoneda,MATCH(AC4882,ctaNombre,0))&amp;"","DOP")="USD",T4882,S4882))</f>
        <v/>
      </c>
      <c r="AH4882" s="53">
        <f>IF(P4882="","",IF(AND(AD4882&lt;&gt;"",COUNTIFS(tcTipo,AD4882,tcLiq,"Sí")&gt;0),IF(OR(P4882="Gasto",P4882="Transferencia",P4882="Pago tarjeta"),-1,1)*S4882,0)+IF(AND(AE4882&lt;&gt;"",COUNTIFS(tcTipo,AE4882,tcLiq,"Sí")&gt;0),S4882,0))</f>
        <v/>
      </c>
      <c r="AI4882" s="52">
        <f>IF(OR(L4882="",P4882=""),"",IF(COUNTIFS(L$6:L4882,L4882,P$6:P4882,"?*")=1,MAX(AI$5:AI4881)+1,""))</f>
        <v/>
      </c>
    </row>
    <row r="4883">
      <c r="B4883" s="47" t="n"/>
      <c r="C4883" s="48" t="n"/>
      <c r="D4883" s="48" t="n"/>
      <c r="E4883" s="48" t="n"/>
      <c r="F4883" s="48" t="n"/>
      <c r="G4883" s="49" t="n"/>
      <c r="H4883" s="48" t="n"/>
      <c r="I4883" s="50" t="n"/>
      <c r="J4883" s="48" t="n"/>
      <c r="K4883" s="48" t="n"/>
      <c r="L4883" s="48" t="n"/>
      <c r="M4883" s="48" t="n"/>
      <c r="N4883" s="48" t="n"/>
      <c r="O4883" s="51">
        <f>IF(AND(B4883="",G4883="",C4883="",D4883="",J4883=""),"",IF(B4883="","⚠ Falta fecha",IF(G4883="","⚠ Falta monto",IF(Q4883="","⚠ Falta cuenta",IF(ISNA(MATCH(Q4883,ctaNombre,0)),"⚠ Cuenta no registrada",IF(AND(OR(P4883="Gasto",P4883="Reembolso"),D4883=""),"⚠ Falta categoría",IF(AND(D4883&lt;&gt;"",E4883&lt;&gt;"",ISNA(MATCH(D4883&amp;"|"&amp;E4883,catClave,0))),"⚠ Subcategoría no corresponde",IF(AND(OR(P4883="Transferencia",P4883="Pago tarjeta"),K4883=""),"⚠ Falta cuenta destino",IF(AND(K4883&lt;&gt;"",P4883&lt;&gt;"Transferencia",P4883&lt;&gt;"Pago tarjeta"),"⚠ Destino solo aplica a transferencias",IF(AND(K4883&lt;&gt;"",K4883=Q4883),"⚠ Origen igual a destino",IF(AND(K4883&lt;&gt;"",ISNA(MATCH(K4883,ctaNombre,0))),"⚠ Destino no registrado",IF(AND(P4883="Pago tarjeta",AE4883&lt;&gt;"Tarjeta de crédito"),"⚠ El destino debe ser tarjeta de crédito",IF(AND(P4883="Gasto",E4883="Depósitos y retiros"),"⚠ Usa tipo Transferencia",IF(AND(P4883="Resultado trading",AD4883&lt;&gt;"Cuenta de trading"),"⚠ Usa una cuenta de trading",IF(AND(G4883&lt;=0,P4883&lt;&gt;"Ajuste",P4883&lt;&gt;"Resultado trading"),"⚠ El monto debe ser positivo","✓")))))))))))))))</f>
        <v/>
      </c>
      <c r="P4883" s="52">
        <f>IF(OR(B4883="",G4883=""),"",IF(C4883="","Gasto",C4883))</f>
        <v/>
      </c>
      <c r="Q4883" s="52">
        <f>IF(P4883="","",IF(J4883&lt;&gt;"",J4883,CuentaPred&amp;""))</f>
        <v/>
      </c>
      <c r="R4883" s="52">
        <f>IF(P4883="","",IF(ISNUMBER(I4883),I4883,TasaUSD))</f>
        <v/>
      </c>
      <c r="S4883" s="53">
        <f>IF(P4883="","",IF(H4883="USD",G4883*R4883,G4883))</f>
        <v/>
      </c>
      <c r="T4883" s="53">
        <f>IF(P4883="","",IF(H4883="USD",G4883,IF(R4883&gt;0,G4883/R4883,0)))</f>
        <v/>
      </c>
      <c r="U4883" s="53">
        <f>IF(P4883="","",IF(P4883="Gasto",S4883,IF(P4883="Reembolso",-S4883,0)))</f>
        <v/>
      </c>
      <c r="V4883" s="53">
        <f>IF(P4883="","",IF(P4883="Ingreso",S4883,0))</f>
        <v/>
      </c>
      <c r="W4883" s="53">
        <f>IF(P4883="","",IF(P4883="Resultado trading",S4883,0))</f>
        <v/>
      </c>
      <c r="X4883" s="52">
        <f>IF(OR(P4883="Gasto",P4883="Reembolso"),IF(M4883&lt;&gt;"",M4883,IFERROR(INDEX(catClasif,MATCH(D4883&amp;"|"&amp;E4883,catClave,0))&amp;"","Variable")),"")</f>
        <v/>
      </c>
      <c r="Y4883" s="52">
        <f>IF(P4883="","",IFERROR(INDEX(catGrupo,MATCH(D4883&amp;"|"&amp;E4883,catClave,0))&amp;"",""))</f>
        <v/>
      </c>
      <c r="Z4883" s="52">
        <f>IF(P4883="","",WEEKDAY(B4883,2))</f>
        <v/>
      </c>
      <c r="AA4883" s="52">
        <f>IF(P4883="","",IF(AND(P4883="Gasto",X4883="Variable",D4883&lt;&gt;catTrading,S4883&gt;0,S4883&lt;=Umbral),1,0))</f>
        <v/>
      </c>
      <c r="AB4883" s="52">
        <f>IF(OR(P4883="",Q4883=""),"",IFERROR(IF(INDEX(ctaVinc,MATCH(Q4883,ctaNombre,0))&amp;""&lt;&gt;"",INDEX(ctaVinc,MATCH(Q4883,ctaNombre,0))&amp;"",Q4883),Q4883))</f>
        <v/>
      </c>
      <c r="AC4883" s="52">
        <f>IF(OR(K4883="",AND(P4883&lt;&gt;"Transferencia",P4883&lt;&gt;"Pago tarjeta")),"",IFERROR(IF(INDEX(ctaVinc,MATCH(K4883,ctaNombre,0))&amp;""&lt;&gt;"",INDEX(ctaVinc,MATCH(K4883,ctaNombre,0))&amp;"",K4883),K4883))</f>
        <v/>
      </c>
      <c r="AD4883" s="52">
        <f>IF(AB4883="","",IFERROR(INDEX(ctaTipo,MATCH(AB4883,ctaNombre,0))&amp;"",""))</f>
        <v/>
      </c>
      <c r="AE4883" s="52">
        <f>IF(AC4883="","",IFERROR(INDEX(ctaTipo,MATCH(AC4883,ctaNombre,0))&amp;"",""))</f>
        <v/>
      </c>
      <c r="AF4883" s="53">
        <f>IF(OR(P4883="",AB4883=""),"",IF(OR(P4883="Gasto",P4883="Transferencia",P4883="Pago tarjeta"),-1,1)*IF(IFERROR(INDEX(ctaMoneda,MATCH(AB4883,ctaNombre,0))&amp;"","DOP")="USD",T4883,S4883))</f>
        <v/>
      </c>
      <c r="AG4883" s="53">
        <f>IF(AC4883="","",IF(IFERROR(INDEX(ctaMoneda,MATCH(AC4883,ctaNombre,0))&amp;"","DOP")="USD",T4883,S4883))</f>
        <v/>
      </c>
      <c r="AH4883" s="53">
        <f>IF(P4883="","",IF(AND(AD4883&lt;&gt;"",COUNTIFS(tcTipo,AD4883,tcLiq,"Sí")&gt;0),IF(OR(P4883="Gasto",P4883="Transferencia",P4883="Pago tarjeta"),-1,1)*S4883,0)+IF(AND(AE4883&lt;&gt;"",COUNTIFS(tcTipo,AE4883,tcLiq,"Sí")&gt;0),S4883,0))</f>
        <v/>
      </c>
      <c r="AI4883" s="52">
        <f>IF(OR(L4883="",P4883=""),"",IF(COUNTIFS(L$6:L4883,L4883,P$6:P4883,"?*")=1,MAX(AI$5:AI4882)+1,""))</f>
        <v/>
      </c>
    </row>
    <row r="4884">
      <c r="B4884" s="47" t="n"/>
      <c r="C4884" s="48" t="n"/>
      <c r="D4884" s="48" t="n"/>
      <c r="E4884" s="48" t="n"/>
      <c r="F4884" s="48" t="n"/>
      <c r="G4884" s="49" t="n"/>
      <c r="H4884" s="48" t="n"/>
      <c r="I4884" s="50" t="n"/>
      <c r="J4884" s="48" t="n"/>
      <c r="K4884" s="48" t="n"/>
      <c r="L4884" s="48" t="n"/>
      <c r="M4884" s="48" t="n"/>
      <c r="N4884" s="48" t="n"/>
      <c r="O4884" s="51">
        <f>IF(AND(B4884="",G4884="",C4884="",D4884="",J4884=""),"",IF(B4884="","⚠ Falta fecha",IF(G4884="","⚠ Falta monto",IF(Q4884="","⚠ Falta cuenta",IF(ISNA(MATCH(Q4884,ctaNombre,0)),"⚠ Cuenta no registrada",IF(AND(OR(P4884="Gasto",P4884="Reembolso"),D4884=""),"⚠ Falta categoría",IF(AND(D4884&lt;&gt;"",E4884&lt;&gt;"",ISNA(MATCH(D4884&amp;"|"&amp;E4884,catClave,0))),"⚠ Subcategoría no corresponde",IF(AND(OR(P4884="Transferencia",P4884="Pago tarjeta"),K4884=""),"⚠ Falta cuenta destino",IF(AND(K4884&lt;&gt;"",P4884&lt;&gt;"Transferencia",P4884&lt;&gt;"Pago tarjeta"),"⚠ Destino solo aplica a transferencias",IF(AND(K4884&lt;&gt;"",K4884=Q4884),"⚠ Origen igual a destino",IF(AND(K4884&lt;&gt;"",ISNA(MATCH(K4884,ctaNombre,0))),"⚠ Destino no registrado",IF(AND(P4884="Pago tarjeta",AE4884&lt;&gt;"Tarjeta de crédito"),"⚠ El destino debe ser tarjeta de crédito",IF(AND(P4884="Gasto",E4884="Depósitos y retiros"),"⚠ Usa tipo Transferencia",IF(AND(P4884="Resultado trading",AD4884&lt;&gt;"Cuenta de trading"),"⚠ Usa una cuenta de trading",IF(AND(G4884&lt;=0,P4884&lt;&gt;"Ajuste",P4884&lt;&gt;"Resultado trading"),"⚠ El monto debe ser positivo","✓")))))))))))))))</f>
        <v/>
      </c>
      <c r="P4884" s="52">
        <f>IF(OR(B4884="",G4884=""),"",IF(C4884="","Gasto",C4884))</f>
        <v/>
      </c>
      <c r="Q4884" s="52">
        <f>IF(P4884="","",IF(J4884&lt;&gt;"",J4884,CuentaPred&amp;""))</f>
        <v/>
      </c>
      <c r="R4884" s="52">
        <f>IF(P4884="","",IF(ISNUMBER(I4884),I4884,TasaUSD))</f>
        <v/>
      </c>
      <c r="S4884" s="53">
        <f>IF(P4884="","",IF(H4884="USD",G4884*R4884,G4884))</f>
        <v/>
      </c>
      <c r="T4884" s="53">
        <f>IF(P4884="","",IF(H4884="USD",G4884,IF(R4884&gt;0,G4884/R4884,0)))</f>
        <v/>
      </c>
      <c r="U4884" s="53">
        <f>IF(P4884="","",IF(P4884="Gasto",S4884,IF(P4884="Reembolso",-S4884,0)))</f>
        <v/>
      </c>
      <c r="V4884" s="53">
        <f>IF(P4884="","",IF(P4884="Ingreso",S4884,0))</f>
        <v/>
      </c>
      <c r="W4884" s="53">
        <f>IF(P4884="","",IF(P4884="Resultado trading",S4884,0))</f>
        <v/>
      </c>
      <c r="X4884" s="52">
        <f>IF(OR(P4884="Gasto",P4884="Reembolso"),IF(M4884&lt;&gt;"",M4884,IFERROR(INDEX(catClasif,MATCH(D4884&amp;"|"&amp;E4884,catClave,0))&amp;"","Variable")),"")</f>
        <v/>
      </c>
      <c r="Y4884" s="52">
        <f>IF(P4884="","",IFERROR(INDEX(catGrupo,MATCH(D4884&amp;"|"&amp;E4884,catClave,0))&amp;"",""))</f>
        <v/>
      </c>
      <c r="Z4884" s="52">
        <f>IF(P4884="","",WEEKDAY(B4884,2))</f>
        <v/>
      </c>
      <c r="AA4884" s="52">
        <f>IF(P4884="","",IF(AND(P4884="Gasto",X4884="Variable",D4884&lt;&gt;catTrading,S4884&gt;0,S4884&lt;=Umbral),1,0))</f>
        <v/>
      </c>
      <c r="AB4884" s="52">
        <f>IF(OR(P4884="",Q4884=""),"",IFERROR(IF(INDEX(ctaVinc,MATCH(Q4884,ctaNombre,0))&amp;""&lt;&gt;"",INDEX(ctaVinc,MATCH(Q4884,ctaNombre,0))&amp;"",Q4884),Q4884))</f>
        <v/>
      </c>
      <c r="AC4884" s="52">
        <f>IF(OR(K4884="",AND(P4884&lt;&gt;"Transferencia",P4884&lt;&gt;"Pago tarjeta")),"",IFERROR(IF(INDEX(ctaVinc,MATCH(K4884,ctaNombre,0))&amp;""&lt;&gt;"",INDEX(ctaVinc,MATCH(K4884,ctaNombre,0))&amp;"",K4884),K4884))</f>
        <v/>
      </c>
      <c r="AD4884" s="52">
        <f>IF(AB4884="","",IFERROR(INDEX(ctaTipo,MATCH(AB4884,ctaNombre,0))&amp;"",""))</f>
        <v/>
      </c>
      <c r="AE4884" s="52">
        <f>IF(AC4884="","",IFERROR(INDEX(ctaTipo,MATCH(AC4884,ctaNombre,0))&amp;"",""))</f>
        <v/>
      </c>
      <c r="AF4884" s="53">
        <f>IF(OR(P4884="",AB4884=""),"",IF(OR(P4884="Gasto",P4884="Transferencia",P4884="Pago tarjeta"),-1,1)*IF(IFERROR(INDEX(ctaMoneda,MATCH(AB4884,ctaNombre,0))&amp;"","DOP")="USD",T4884,S4884))</f>
        <v/>
      </c>
      <c r="AG4884" s="53">
        <f>IF(AC4884="","",IF(IFERROR(INDEX(ctaMoneda,MATCH(AC4884,ctaNombre,0))&amp;"","DOP")="USD",T4884,S4884))</f>
        <v/>
      </c>
      <c r="AH4884" s="53">
        <f>IF(P4884="","",IF(AND(AD4884&lt;&gt;"",COUNTIFS(tcTipo,AD4884,tcLiq,"Sí")&gt;0),IF(OR(P4884="Gasto",P4884="Transferencia",P4884="Pago tarjeta"),-1,1)*S4884,0)+IF(AND(AE4884&lt;&gt;"",COUNTIFS(tcTipo,AE4884,tcLiq,"Sí")&gt;0),S4884,0))</f>
        <v/>
      </c>
      <c r="AI4884" s="52">
        <f>IF(OR(L4884="",P4884=""),"",IF(COUNTIFS(L$6:L4884,L4884,P$6:P4884,"?*")=1,MAX(AI$5:AI4883)+1,""))</f>
        <v/>
      </c>
    </row>
    <row r="4885">
      <c r="B4885" s="47" t="n"/>
      <c r="C4885" s="48" t="n"/>
      <c r="D4885" s="48" t="n"/>
      <c r="E4885" s="48" t="n"/>
      <c r="F4885" s="48" t="n"/>
      <c r="G4885" s="49" t="n"/>
      <c r="H4885" s="48" t="n"/>
      <c r="I4885" s="50" t="n"/>
      <c r="J4885" s="48" t="n"/>
      <c r="K4885" s="48" t="n"/>
      <c r="L4885" s="48" t="n"/>
      <c r="M4885" s="48" t="n"/>
      <c r="N4885" s="48" t="n"/>
      <c r="O4885" s="51">
        <f>IF(AND(B4885="",G4885="",C4885="",D4885="",J4885=""),"",IF(B4885="","⚠ Falta fecha",IF(G4885="","⚠ Falta monto",IF(Q4885="","⚠ Falta cuenta",IF(ISNA(MATCH(Q4885,ctaNombre,0)),"⚠ Cuenta no registrada",IF(AND(OR(P4885="Gasto",P4885="Reembolso"),D4885=""),"⚠ Falta categoría",IF(AND(D4885&lt;&gt;"",E4885&lt;&gt;"",ISNA(MATCH(D4885&amp;"|"&amp;E4885,catClave,0))),"⚠ Subcategoría no corresponde",IF(AND(OR(P4885="Transferencia",P4885="Pago tarjeta"),K4885=""),"⚠ Falta cuenta destino",IF(AND(K4885&lt;&gt;"",P4885&lt;&gt;"Transferencia",P4885&lt;&gt;"Pago tarjeta"),"⚠ Destino solo aplica a transferencias",IF(AND(K4885&lt;&gt;"",K4885=Q4885),"⚠ Origen igual a destino",IF(AND(K4885&lt;&gt;"",ISNA(MATCH(K4885,ctaNombre,0))),"⚠ Destino no registrado",IF(AND(P4885="Pago tarjeta",AE4885&lt;&gt;"Tarjeta de crédito"),"⚠ El destino debe ser tarjeta de crédito",IF(AND(P4885="Gasto",E4885="Depósitos y retiros"),"⚠ Usa tipo Transferencia",IF(AND(P4885="Resultado trading",AD4885&lt;&gt;"Cuenta de trading"),"⚠ Usa una cuenta de trading",IF(AND(G4885&lt;=0,P4885&lt;&gt;"Ajuste",P4885&lt;&gt;"Resultado trading"),"⚠ El monto debe ser positivo","✓")))))))))))))))</f>
        <v/>
      </c>
      <c r="P4885" s="52">
        <f>IF(OR(B4885="",G4885=""),"",IF(C4885="","Gasto",C4885))</f>
        <v/>
      </c>
      <c r="Q4885" s="52">
        <f>IF(P4885="","",IF(J4885&lt;&gt;"",J4885,CuentaPred&amp;""))</f>
        <v/>
      </c>
      <c r="R4885" s="52">
        <f>IF(P4885="","",IF(ISNUMBER(I4885),I4885,TasaUSD))</f>
        <v/>
      </c>
      <c r="S4885" s="53">
        <f>IF(P4885="","",IF(H4885="USD",G4885*R4885,G4885))</f>
        <v/>
      </c>
      <c r="T4885" s="53">
        <f>IF(P4885="","",IF(H4885="USD",G4885,IF(R4885&gt;0,G4885/R4885,0)))</f>
        <v/>
      </c>
      <c r="U4885" s="53">
        <f>IF(P4885="","",IF(P4885="Gasto",S4885,IF(P4885="Reembolso",-S4885,0)))</f>
        <v/>
      </c>
      <c r="V4885" s="53">
        <f>IF(P4885="","",IF(P4885="Ingreso",S4885,0))</f>
        <v/>
      </c>
      <c r="W4885" s="53">
        <f>IF(P4885="","",IF(P4885="Resultado trading",S4885,0))</f>
        <v/>
      </c>
      <c r="X4885" s="52">
        <f>IF(OR(P4885="Gasto",P4885="Reembolso"),IF(M4885&lt;&gt;"",M4885,IFERROR(INDEX(catClasif,MATCH(D4885&amp;"|"&amp;E4885,catClave,0))&amp;"","Variable")),"")</f>
        <v/>
      </c>
      <c r="Y4885" s="52">
        <f>IF(P4885="","",IFERROR(INDEX(catGrupo,MATCH(D4885&amp;"|"&amp;E4885,catClave,0))&amp;"",""))</f>
        <v/>
      </c>
      <c r="Z4885" s="52">
        <f>IF(P4885="","",WEEKDAY(B4885,2))</f>
        <v/>
      </c>
      <c r="AA4885" s="52">
        <f>IF(P4885="","",IF(AND(P4885="Gasto",X4885="Variable",D4885&lt;&gt;catTrading,S4885&gt;0,S4885&lt;=Umbral),1,0))</f>
        <v/>
      </c>
      <c r="AB4885" s="52">
        <f>IF(OR(P4885="",Q4885=""),"",IFERROR(IF(INDEX(ctaVinc,MATCH(Q4885,ctaNombre,0))&amp;""&lt;&gt;"",INDEX(ctaVinc,MATCH(Q4885,ctaNombre,0))&amp;"",Q4885),Q4885))</f>
        <v/>
      </c>
      <c r="AC4885" s="52">
        <f>IF(OR(K4885="",AND(P4885&lt;&gt;"Transferencia",P4885&lt;&gt;"Pago tarjeta")),"",IFERROR(IF(INDEX(ctaVinc,MATCH(K4885,ctaNombre,0))&amp;""&lt;&gt;"",INDEX(ctaVinc,MATCH(K4885,ctaNombre,0))&amp;"",K4885),K4885))</f>
        <v/>
      </c>
      <c r="AD4885" s="52">
        <f>IF(AB4885="","",IFERROR(INDEX(ctaTipo,MATCH(AB4885,ctaNombre,0))&amp;"",""))</f>
        <v/>
      </c>
      <c r="AE4885" s="52">
        <f>IF(AC4885="","",IFERROR(INDEX(ctaTipo,MATCH(AC4885,ctaNombre,0))&amp;"",""))</f>
        <v/>
      </c>
      <c r="AF4885" s="53">
        <f>IF(OR(P4885="",AB4885=""),"",IF(OR(P4885="Gasto",P4885="Transferencia",P4885="Pago tarjeta"),-1,1)*IF(IFERROR(INDEX(ctaMoneda,MATCH(AB4885,ctaNombre,0))&amp;"","DOP")="USD",T4885,S4885))</f>
        <v/>
      </c>
      <c r="AG4885" s="53">
        <f>IF(AC4885="","",IF(IFERROR(INDEX(ctaMoneda,MATCH(AC4885,ctaNombre,0))&amp;"","DOP")="USD",T4885,S4885))</f>
        <v/>
      </c>
      <c r="AH4885" s="53">
        <f>IF(P4885="","",IF(AND(AD4885&lt;&gt;"",COUNTIFS(tcTipo,AD4885,tcLiq,"Sí")&gt;0),IF(OR(P4885="Gasto",P4885="Transferencia",P4885="Pago tarjeta"),-1,1)*S4885,0)+IF(AND(AE4885&lt;&gt;"",COUNTIFS(tcTipo,AE4885,tcLiq,"Sí")&gt;0),S4885,0))</f>
        <v/>
      </c>
      <c r="AI4885" s="52">
        <f>IF(OR(L4885="",P4885=""),"",IF(COUNTIFS(L$6:L4885,L4885,P$6:P4885,"?*")=1,MAX(AI$5:AI4884)+1,""))</f>
        <v/>
      </c>
    </row>
    <row r="4886">
      <c r="B4886" s="47" t="n"/>
      <c r="C4886" s="48" t="n"/>
      <c r="D4886" s="48" t="n"/>
      <c r="E4886" s="48" t="n"/>
      <c r="F4886" s="48" t="n"/>
      <c r="G4886" s="49" t="n"/>
      <c r="H4886" s="48" t="n"/>
      <c r="I4886" s="50" t="n"/>
      <c r="J4886" s="48" t="n"/>
      <c r="K4886" s="48" t="n"/>
      <c r="L4886" s="48" t="n"/>
      <c r="M4886" s="48" t="n"/>
      <c r="N4886" s="48" t="n"/>
      <c r="O4886" s="51">
        <f>IF(AND(B4886="",G4886="",C4886="",D4886="",J4886=""),"",IF(B4886="","⚠ Falta fecha",IF(G4886="","⚠ Falta monto",IF(Q4886="","⚠ Falta cuenta",IF(ISNA(MATCH(Q4886,ctaNombre,0)),"⚠ Cuenta no registrada",IF(AND(OR(P4886="Gasto",P4886="Reembolso"),D4886=""),"⚠ Falta categoría",IF(AND(D4886&lt;&gt;"",E4886&lt;&gt;"",ISNA(MATCH(D4886&amp;"|"&amp;E4886,catClave,0))),"⚠ Subcategoría no corresponde",IF(AND(OR(P4886="Transferencia",P4886="Pago tarjeta"),K4886=""),"⚠ Falta cuenta destino",IF(AND(K4886&lt;&gt;"",P4886&lt;&gt;"Transferencia",P4886&lt;&gt;"Pago tarjeta"),"⚠ Destino solo aplica a transferencias",IF(AND(K4886&lt;&gt;"",K4886=Q4886),"⚠ Origen igual a destino",IF(AND(K4886&lt;&gt;"",ISNA(MATCH(K4886,ctaNombre,0))),"⚠ Destino no registrado",IF(AND(P4886="Pago tarjeta",AE4886&lt;&gt;"Tarjeta de crédito"),"⚠ El destino debe ser tarjeta de crédito",IF(AND(P4886="Gasto",E4886="Depósitos y retiros"),"⚠ Usa tipo Transferencia",IF(AND(P4886="Resultado trading",AD4886&lt;&gt;"Cuenta de trading"),"⚠ Usa una cuenta de trading",IF(AND(G4886&lt;=0,P4886&lt;&gt;"Ajuste",P4886&lt;&gt;"Resultado trading"),"⚠ El monto debe ser positivo","✓")))))))))))))))</f>
        <v/>
      </c>
      <c r="P4886" s="52">
        <f>IF(OR(B4886="",G4886=""),"",IF(C4886="","Gasto",C4886))</f>
        <v/>
      </c>
      <c r="Q4886" s="52">
        <f>IF(P4886="","",IF(J4886&lt;&gt;"",J4886,CuentaPred&amp;""))</f>
        <v/>
      </c>
      <c r="R4886" s="52">
        <f>IF(P4886="","",IF(ISNUMBER(I4886),I4886,TasaUSD))</f>
        <v/>
      </c>
      <c r="S4886" s="53">
        <f>IF(P4886="","",IF(H4886="USD",G4886*R4886,G4886))</f>
        <v/>
      </c>
      <c r="T4886" s="53">
        <f>IF(P4886="","",IF(H4886="USD",G4886,IF(R4886&gt;0,G4886/R4886,0)))</f>
        <v/>
      </c>
      <c r="U4886" s="53">
        <f>IF(P4886="","",IF(P4886="Gasto",S4886,IF(P4886="Reembolso",-S4886,0)))</f>
        <v/>
      </c>
      <c r="V4886" s="53">
        <f>IF(P4886="","",IF(P4886="Ingreso",S4886,0))</f>
        <v/>
      </c>
      <c r="W4886" s="53">
        <f>IF(P4886="","",IF(P4886="Resultado trading",S4886,0))</f>
        <v/>
      </c>
      <c r="X4886" s="52">
        <f>IF(OR(P4886="Gasto",P4886="Reembolso"),IF(M4886&lt;&gt;"",M4886,IFERROR(INDEX(catClasif,MATCH(D4886&amp;"|"&amp;E4886,catClave,0))&amp;"","Variable")),"")</f>
        <v/>
      </c>
      <c r="Y4886" s="52">
        <f>IF(P4886="","",IFERROR(INDEX(catGrupo,MATCH(D4886&amp;"|"&amp;E4886,catClave,0))&amp;"",""))</f>
        <v/>
      </c>
      <c r="Z4886" s="52">
        <f>IF(P4886="","",WEEKDAY(B4886,2))</f>
        <v/>
      </c>
      <c r="AA4886" s="52">
        <f>IF(P4886="","",IF(AND(P4886="Gasto",X4886="Variable",D4886&lt;&gt;catTrading,S4886&gt;0,S4886&lt;=Umbral),1,0))</f>
        <v/>
      </c>
      <c r="AB4886" s="52">
        <f>IF(OR(P4886="",Q4886=""),"",IFERROR(IF(INDEX(ctaVinc,MATCH(Q4886,ctaNombre,0))&amp;""&lt;&gt;"",INDEX(ctaVinc,MATCH(Q4886,ctaNombre,0))&amp;"",Q4886),Q4886))</f>
        <v/>
      </c>
      <c r="AC4886" s="52">
        <f>IF(OR(K4886="",AND(P4886&lt;&gt;"Transferencia",P4886&lt;&gt;"Pago tarjeta")),"",IFERROR(IF(INDEX(ctaVinc,MATCH(K4886,ctaNombre,0))&amp;""&lt;&gt;"",INDEX(ctaVinc,MATCH(K4886,ctaNombre,0))&amp;"",K4886),K4886))</f>
        <v/>
      </c>
      <c r="AD4886" s="52">
        <f>IF(AB4886="","",IFERROR(INDEX(ctaTipo,MATCH(AB4886,ctaNombre,0))&amp;"",""))</f>
        <v/>
      </c>
      <c r="AE4886" s="52">
        <f>IF(AC4886="","",IFERROR(INDEX(ctaTipo,MATCH(AC4886,ctaNombre,0))&amp;"",""))</f>
        <v/>
      </c>
      <c r="AF4886" s="53">
        <f>IF(OR(P4886="",AB4886=""),"",IF(OR(P4886="Gasto",P4886="Transferencia",P4886="Pago tarjeta"),-1,1)*IF(IFERROR(INDEX(ctaMoneda,MATCH(AB4886,ctaNombre,0))&amp;"","DOP")="USD",T4886,S4886))</f>
        <v/>
      </c>
      <c r="AG4886" s="53">
        <f>IF(AC4886="","",IF(IFERROR(INDEX(ctaMoneda,MATCH(AC4886,ctaNombre,0))&amp;"","DOP")="USD",T4886,S4886))</f>
        <v/>
      </c>
      <c r="AH4886" s="53">
        <f>IF(P4886="","",IF(AND(AD4886&lt;&gt;"",COUNTIFS(tcTipo,AD4886,tcLiq,"Sí")&gt;0),IF(OR(P4886="Gasto",P4886="Transferencia",P4886="Pago tarjeta"),-1,1)*S4886,0)+IF(AND(AE4886&lt;&gt;"",COUNTIFS(tcTipo,AE4886,tcLiq,"Sí")&gt;0),S4886,0))</f>
        <v/>
      </c>
      <c r="AI4886" s="52">
        <f>IF(OR(L4886="",P4886=""),"",IF(COUNTIFS(L$6:L4886,L4886,P$6:P4886,"?*")=1,MAX(AI$5:AI4885)+1,""))</f>
        <v/>
      </c>
    </row>
    <row r="4887">
      <c r="B4887" s="47" t="n"/>
      <c r="C4887" s="48" t="n"/>
      <c r="D4887" s="48" t="n"/>
      <c r="E4887" s="48" t="n"/>
      <c r="F4887" s="48" t="n"/>
      <c r="G4887" s="49" t="n"/>
      <c r="H4887" s="48" t="n"/>
      <c r="I4887" s="50" t="n"/>
      <c r="J4887" s="48" t="n"/>
      <c r="K4887" s="48" t="n"/>
      <c r="L4887" s="48" t="n"/>
      <c r="M4887" s="48" t="n"/>
      <c r="N4887" s="48" t="n"/>
      <c r="O4887" s="51">
        <f>IF(AND(B4887="",G4887="",C4887="",D4887="",J4887=""),"",IF(B4887="","⚠ Falta fecha",IF(G4887="","⚠ Falta monto",IF(Q4887="","⚠ Falta cuenta",IF(ISNA(MATCH(Q4887,ctaNombre,0)),"⚠ Cuenta no registrada",IF(AND(OR(P4887="Gasto",P4887="Reembolso"),D4887=""),"⚠ Falta categoría",IF(AND(D4887&lt;&gt;"",E4887&lt;&gt;"",ISNA(MATCH(D4887&amp;"|"&amp;E4887,catClave,0))),"⚠ Subcategoría no corresponde",IF(AND(OR(P4887="Transferencia",P4887="Pago tarjeta"),K4887=""),"⚠ Falta cuenta destino",IF(AND(K4887&lt;&gt;"",P4887&lt;&gt;"Transferencia",P4887&lt;&gt;"Pago tarjeta"),"⚠ Destino solo aplica a transferencias",IF(AND(K4887&lt;&gt;"",K4887=Q4887),"⚠ Origen igual a destino",IF(AND(K4887&lt;&gt;"",ISNA(MATCH(K4887,ctaNombre,0))),"⚠ Destino no registrado",IF(AND(P4887="Pago tarjeta",AE4887&lt;&gt;"Tarjeta de crédito"),"⚠ El destino debe ser tarjeta de crédito",IF(AND(P4887="Gasto",E4887="Depósitos y retiros"),"⚠ Usa tipo Transferencia",IF(AND(P4887="Resultado trading",AD4887&lt;&gt;"Cuenta de trading"),"⚠ Usa una cuenta de trading",IF(AND(G4887&lt;=0,P4887&lt;&gt;"Ajuste",P4887&lt;&gt;"Resultado trading"),"⚠ El monto debe ser positivo","✓")))))))))))))))</f>
        <v/>
      </c>
      <c r="P4887" s="52">
        <f>IF(OR(B4887="",G4887=""),"",IF(C4887="","Gasto",C4887))</f>
        <v/>
      </c>
      <c r="Q4887" s="52">
        <f>IF(P4887="","",IF(J4887&lt;&gt;"",J4887,CuentaPred&amp;""))</f>
        <v/>
      </c>
      <c r="R4887" s="52">
        <f>IF(P4887="","",IF(ISNUMBER(I4887),I4887,TasaUSD))</f>
        <v/>
      </c>
      <c r="S4887" s="53">
        <f>IF(P4887="","",IF(H4887="USD",G4887*R4887,G4887))</f>
        <v/>
      </c>
      <c r="T4887" s="53">
        <f>IF(P4887="","",IF(H4887="USD",G4887,IF(R4887&gt;0,G4887/R4887,0)))</f>
        <v/>
      </c>
      <c r="U4887" s="53">
        <f>IF(P4887="","",IF(P4887="Gasto",S4887,IF(P4887="Reembolso",-S4887,0)))</f>
        <v/>
      </c>
      <c r="V4887" s="53">
        <f>IF(P4887="","",IF(P4887="Ingreso",S4887,0))</f>
        <v/>
      </c>
      <c r="W4887" s="53">
        <f>IF(P4887="","",IF(P4887="Resultado trading",S4887,0))</f>
        <v/>
      </c>
      <c r="X4887" s="52">
        <f>IF(OR(P4887="Gasto",P4887="Reembolso"),IF(M4887&lt;&gt;"",M4887,IFERROR(INDEX(catClasif,MATCH(D4887&amp;"|"&amp;E4887,catClave,0))&amp;"","Variable")),"")</f>
        <v/>
      </c>
      <c r="Y4887" s="52">
        <f>IF(P4887="","",IFERROR(INDEX(catGrupo,MATCH(D4887&amp;"|"&amp;E4887,catClave,0))&amp;"",""))</f>
        <v/>
      </c>
      <c r="Z4887" s="52">
        <f>IF(P4887="","",WEEKDAY(B4887,2))</f>
        <v/>
      </c>
      <c r="AA4887" s="52">
        <f>IF(P4887="","",IF(AND(P4887="Gasto",X4887="Variable",D4887&lt;&gt;catTrading,S4887&gt;0,S4887&lt;=Umbral),1,0))</f>
        <v/>
      </c>
      <c r="AB4887" s="52">
        <f>IF(OR(P4887="",Q4887=""),"",IFERROR(IF(INDEX(ctaVinc,MATCH(Q4887,ctaNombre,0))&amp;""&lt;&gt;"",INDEX(ctaVinc,MATCH(Q4887,ctaNombre,0))&amp;"",Q4887),Q4887))</f>
        <v/>
      </c>
      <c r="AC4887" s="52">
        <f>IF(OR(K4887="",AND(P4887&lt;&gt;"Transferencia",P4887&lt;&gt;"Pago tarjeta")),"",IFERROR(IF(INDEX(ctaVinc,MATCH(K4887,ctaNombre,0))&amp;""&lt;&gt;"",INDEX(ctaVinc,MATCH(K4887,ctaNombre,0))&amp;"",K4887),K4887))</f>
        <v/>
      </c>
      <c r="AD4887" s="52">
        <f>IF(AB4887="","",IFERROR(INDEX(ctaTipo,MATCH(AB4887,ctaNombre,0))&amp;"",""))</f>
        <v/>
      </c>
      <c r="AE4887" s="52">
        <f>IF(AC4887="","",IFERROR(INDEX(ctaTipo,MATCH(AC4887,ctaNombre,0))&amp;"",""))</f>
        <v/>
      </c>
      <c r="AF4887" s="53">
        <f>IF(OR(P4887="",AB4887=""),"",IF(OR(P4887="Gasto",P4887="Transferencia",P4887="Pago tarjeta"),-1,1)*IF(IFERROR(INDEX(ctaMoneda,MATCH(AB4887,ctaNombre,0))&amp;"","DOP")="USD",T4887,S4887))</f>
        <v/>
      </c>
      <c r="AG4887" s="53">
        <f>IF(AC4887="","",IF(IFERROR(INDEX(ctaMoneda,MATCH(AC4887,ctaNombre,0))&amp;"","DOP")="USD",T4887,S4887))</f>
        <v/>
      </c>
      <c r="AH4887" s="53">
        <f>IF(P4887="","",IF(AND(AD4887&lt;&gt;"",COUNTIFS(tcTipo,AD4887,tcLiq,"Sí")&gt;0),IF(OR(P4887="Gasto",P4887="Transferencia",P4887="Pago tarjeta"),-1,1)*S4887,0)+IF(AND(AE4887&lt;&gt;"",COUNTIFS(tcTipo,AE4887,tcLiq,"Sí")&gt;0),S4887,0))</f>
        <v/>
      </c>
      <c r="AI4887" s="52">
        <f>IF(OR(L4887="",P4887=""),"",IF(COUNTIFS(L$6:L4887,L4887,P$6:P4887,"?*")=1,MAX(AI$5:AI4886)+1,""))</f>
        <v/>
      </c>
    </row>
    <row r="4888">
      <c r="B4888" s="47" t="n"/>
      <c r="C4888" s="48" t="n"/>
      <c r="D4888" s="48" t="n"/>
      <c r="E4888" s="48" t="n"/>
      <c r="F4888" s="48" t="n"/>
      <c r="G4888" s="49" t="n"/>
      <c r="H4888" s="48" t="n"/>
      <c r="I4888" s="50" t="n"/>
      <c r="J4888" s="48" t="n"/>
      <c r="K4888" s="48" t="n"/>
      <c r="L4888" s="48" t="n"/>
      <c r="M4888" s="48" t="n"/>
      <c r="N4888" s="48" t="n"/>
      <c r="O4888" s="51">
        <f>IF(AND(B4888="",G4888="",C4888="",D4888="",J4888=""),"",IF(B4888="","⚠ Falta fecha",IF(G4888="","⚠ Falta monto",IF(Q4888="","⚠ Falta cuenta",IF(ISNA(MATCH(Q4888,ctaNombre,0)),"⚠ Cuenta no registrada",IF(AND(OR(P4888="Gasto",P4888="Reembolso"),D4888=""),"⚠ Falta categoría",IF(AND(D4888&lt;&gt;"",E4888&lt;&gt;"",ISNA(MATCH(D4888&amp;"|"&amp;E4888,catClave,0))),"⚠ Subcategoría no corresponde",IF(AND(OR(P4888="Transferencia",P4888="Pago tarjeta"),K4888=""),"⚠ Falta cuenta destino",IF(AND(K4888&lt;&gt;"",P4888&lt;&gt;"Transferencia",P4888&lt;&gt;"Pago tarjeta"),"⚠ Destino solo aplica a transferencias",IF(AND(K4888&lt;&gt;"",K4888=Q4888),"⚠ Origen igual a destino",IF(AND(K4888&lt;&gt;"",ISNA(MATCH(K4888,ctaNombre,0))),"⚠ Destino no registrado",IF(AND(P4888="Pago tarjeta",AE4888&lt;&gt;"Tarjeta de crédito"),"⚠ El destino debe ser tarjeta de crédito",IF(AND(P4888="Gasto",E4888="Depósitos y retiros"),"⚠ Usa tipo Transferencia",IF(AND(P4888="Resultado trading",AD4888&lt;&gt;"Cuenta de trading"),"⚠ Usa una cuenta de trading",IF(AND(G4888&lt;=0,P4888&lt;&gt;"Ajuste",P4888&lt;&gt;"Resultado trading"),"⚠ El monto debe ser positivo","✓")))))))))))))))</f>
        <v/>
      </c>
      <c r="P4888" s="52">
        <f>IF(OR(B4888="",G4888=""),"",IF(C4888="","Gasto",C4888))</f>
        <v/>
      </c>
      <c r="Q4888" s="52">
        <f>IF(P4888="","",IF(J4888&lt;&gt;"",J4888,CuentaPred&amp;""))</f>
        <v/>
      </c>
      <c r="R4888" s="52">
        <f>IF(P4888="","",IF(ISNUMBER(I4888),I4888,TasaUSD))</f>
        <v/>
      </c>
      <c r="S4888" s="53">
        <f>IF(P4888="","",IF(H4888="USD",G4888*R4888,G4888))</f>
        <v/>
      </c>
      <c r="T4888" s="53">
        <f>IF(P4888="","",IF(H4888="USD",G4888,IF(R4888&gt;0,G4888/R4888,0)))</f>
        <v/>
      </c>
      <c r="U4888" s="53">
        <f>IF(P4888="","",IF(P4888="Gasto",S4888,IF(P4888="Reembolso",-S4888,0)))</f>
        <v/>
      </c>
      <c r="V4888" s="53">
        <f>IF(P4888="","",IF(P4888="Ingreso",S4888,0))</f>
        <v/>
      </c>
      <c r="W4888" s="53">
        <f>IF(P4888="","",IF(P4888="Resultado trading",S4888,0))</f>
        <v/>
      </c>
      <c r="X4888" s="52">
        <f>IF(OR(P4888="Gasto",P4888="Reembolso"),IF(M4888&lt;&gt;"",M4888,IFERROR(INDEX(catClasif,MATCH(D4888&amp;"|"&amp;E4888,catClave,0))&amp;"","Variable")),"")</f>
        <v/>
      </c>
      <c r="Y4888" s="52">
        <f>IF(P4888="","",IFERROR(INDEX(catGrupo,MATCH(D4888&amp;"|"&amp;E4888,catClave,0))&amp;"",""))</f>
        <v/>
      </c>
      <c r="Z4888" s="52">
        <f>IF(P4888="","",WEEKDAY(B4888,2))</f>
        <v/>
      </c>
      <c r="AA4888" s="52">
        <f>IF(P4888="","",IF(AND(P4888="Gasto",X4888="Variable",D4888&lt;&gt;catTrading,S4888&gt;0,S4888&lt;=Umbral),1,0))</f>
        <v/>
      </c>
      <c r="AB4888" s="52">
        <f>IF(OR(P4888="",Q4888=""),"",IFERROR(IF(INDEX(ctaVinc,MATCH(Q4888,ctaNombre,0))&amp;""&lt;&gt;"",INDEX(ctaVinc,MATCH(Q4888,ctaNombre,0))&amp;"",Q4888),Q4888))</f>
        <v/>
      </c>
      <c r="AC4888" s="52">
        <f>IF(OR(K4888="",AND(P4888&lt;&gt;"Transferencia",P4888&lt;&gt;"Pago tarjeta")),"",IFERROR(IF(INDEX(ctaVinc,MATCH(K4888,ctaNombre,0))&amp;""&lt;&gt;"",INDEX(ctaVinc,MATCH(K4888,ctaNombre,0))&amp;"",K4888),K4888))</f>
        <v/>
      </c>
      <c r="AD4888" s="52">
        <f>IF(AB4888="","",IFERROR(INDEX(ctaTipo,MATCH(AB4888,ctaNombre,0))&amp;"",""))</f>
        <v/>
      </c>
      <c r="AE4888" s="52">
        <f>IF(AC4888="","",IFERROR(INDEX(ctaTipo,MATCH(AC4888,ctaNombre,0))&amp;"",""))</f>
        <v/>
      </c>
      <c r="AF4888" s="53">
        <f>IF(OR(P4888="",AB4888=""),"",IF(OR(P4888="Gasto",P4888="Transferencia",P4888="Pago tarjeta"),-1,1)*IF(IFERROR(INDEX(ctaMoneda,MATCH(AB4888,ctaNombre,0))&amp;"","DOP")="USD",T4888,S4888))</f>
        <v/>
      </c>
      <c r="AG4888" s="53">
        <f>IF(AC4888="","",IF(IFERROR(INDEX(ctaMoneda,MATCH(AC4888,ctaNombre,0))&amp;"","DOP")="USD",T4888,S4888))</f>
        <v/>
      </c>
      <c r="AH4888" s="53">
        <f>IF(P4888="","",IF(AND(AD4888&lt;&gt;"",COUNTIFS(tcTipo,AD4888,tcLiq,"Sí")&gt;0),IF(OR(P4888="Gasto",P4888="Transferencia",P4888="Pago tarjeta"),-1,1)*S4888,0)+IF(AND(AE4888&lt;&gt;"",COUNTIFS(tcTipo,AE4888,tcLiq,"Sí")&gt;0),S4888,0))</f>
        <v/>
      </c>
      <c r="AI4888" s="52">
        <f>IF(OR(L4888="",P4888=""),"",IF(COUNTIFS(L$6:L4888,L4888,P$6:P4888,"?*")=1,MAX(AI$5:AI4887)+1,""))</f>
        <v/>
      </c>
    </row>
    <row r="4889">
      <c r="B4889" s="47" t="n"/>
      <c r="C4889" s="48" t="n"/>
      <c r="D4889" s="48" t="n"/>
      <c r="E4889" s="48" t="n"/>
      <c r="F4889" s="48" t="n"/>
      <c r="G4889" s="49" t="n"/>
      <c r="H4889" s="48" t="n"/>
      <c r="I4889" s="50" t="n"/>
      <c r="J4889" s="48" t="n"/>
      <c r="K4889" s="48" t="n"/>
      <c r="L4889" s="48" t="n"/>
      <c r="M4889" s="48" t="n"/>
      <c r="N4889" s="48" t="n"/>
      <c r="O4889" s="51">
        <f>IF(AND(B4889="",G4889="",C4889="",D4889="",J4889=""),"",IF(B4889="","⚠ Falta fecha",IF(G4889="","⚠ Falta monto",IF(Q4889="","⚠ Falta cuenta",IF(ISNA(MATCH(Q4889,ctaNombre,0)),"⚠ Cuenta no registrada",IF(AND(OR(P4889="Gasto",P4889="Reembolso"),D4889=""),"⚠ Falta categoría",IF(AND(D4889&lt;&gt;"",E4889&lt;&gt;"",ISNA(MATCH(D4889&amp;"|"&amp;E4889,catClave,0))),"⚠ Subcategoría no corresponde",IF(AND(OR(P4889="Transferencia",P4889="Pago tarjeta"),K4889=""),"⚠ Falta cuenta destino",IF(AND(K4889&lt;&gt;"",P4889&lt;&gt;"Transferencia",P4889&lt;&gt;"Pago tarjeta"),"⚠ Destino solo aplica a transferencias",IF(AND(K4889&lt;&gt;"",K4889=Q4889),"⚠ Origen igual a destino",IF(AND(K4889&lt;&gt;"",ISNA(MATCH(K4889,ctaNombre,0))),"⚠ Destino no registrado",IF(AND(P4889="Pago tarjeta",AE4889&lt;&gt;"Tarjeta de crédito"),"⚠ El destino debe ser tarjeta de crédito",IF(AND(P4889="Gasto",E4889="Depósitos y retiros"),"⚠ Usa tipo Transferencia",IF(AND(P4889="Resultado trading",AD4889&lt;&gt;"Cuenta de trading"),"⚠ Usa una cuenta de trading",IF(AND(G4889&lt;=0,P4889&lt;&gt;"Ajuste",P4889&lt;&gt;"Resultado trading"),"⚠ El monto debe ser positivo","✓")))))))))))))))</f>
        <v/>
      </c>
      <c r="P4889" s="52">
        <f>IF(OR(B4889="",G4889=""),"",IF(C4889="","Gasto",C4889))</f>
        <v/>
      </c>
      <c r="Q4889" s="52">
        <f>IF(P4889="","",IF(J4889&lt;&gt;"",J4889,CuentaPred&amp;""))</f>
        <v/>
      </c>
      <c r="R4889" s="52">
        <f>IF(P4889="","",IF(ISNUMBER(I4889),I4889,TasaUSD))</f>
        <v/>
      </c>
      <c r="S4889" s="53">
        <f>IF(P4889="","",IF(H4889="USD",G4889*R4889,G4889))</f>
        <v/>
      </c>
      <c r="T4889" s="53">
        <f>IF(P4889="","",IF(H4889="USD",G4889,IF(R4889&gt;0,G4889/R4889,0)))</f>
        <v/>
      </c>
      <c r="U4889" s="53">
        <f>IF(P4889="","",IF(P4889="Gasto",S4889,IF(P4889="Reembolso",-S4889,0)))</f>
        <v/>
      </c>
      <c r="V4889" s="53">
        <f>IF(P4889="","",IF(P4889="Ingreso",S4889,0))</f>
        <v/>
      </c>
      <c r="W4889" s="53">
        <f>IF(P4889="","",IF(P4889="Resultado trading",S4889,0))</f>
        <v/>
      </c>
      <c r="X4889" s="52">
        <f>IF(OR(P4889="Gasto",P4889="Reembolso"),IF(M4889&lt;&gt;"",M4889,IFERROR(INDEX(catClasif,MATCH(D4889&amp;"|"&amp;E4889,catClave,0))&amp;"","Variable")),"")</f>
        <v/>
      </c>
      <c r="Y4889" s="52">
        <f>IF(P4889="","",IFERROR(INDEX(catGrupo,MATCH(D4889&amp;"|"&amp;E4889,catClave,0))&amp;"",""))</f>
        <v/>
      </c>
      <c r="Z4889" s="52">
        <f>IF(P4889="","",WEEKDAY(B4889,2))</f>
        <v/>
      </c>
      <c r="AA4889" s="52">
        <f>IF(P4889="","",IF(AND(P4889="Gasto",X4889="Variable",D4889&lt;&gt;catTrading,S4889&gt;0,S4889&lt;=Umbral),1,0))</f>
        <v/>
      </c>
      <c r="AB4889" s="52">
        <f>IF(OR(P4889="",Q4889=""),"",IFERROR(IF(INDEX(ctaVinc,MATCH(Q4889,ctaNombre,0))&amp;""&lt;&gt;"",INDEX(ctaVinc,MATCH(Q4889,ctaNombre,0))&amp;"",Q4889),Q4889))</f>
        <v/>
      </c>
      <c r="AC4889" s="52">
        <f>IF(OR(K4889="",AND(P4889&lt;&gt;"Transferencia",P4889&lt;&gt;"Pago tarjeta")),"",IFERROR(IF(INDEX(ctaVinc,MATCH(K4889,ctaNombre,0))&amp;""&lt;&gt;"",INDEX(ctaVinc,MATCH(K4889,ctaNombre,0))&amp;"",K4889),K4889))</f>
        <v/>
      </c>
      <c r="AD4889" s="52">
        <f>IF(AB4889="","",IFERROR(INDEX(ctaTipo,MATCH(AB4889,ctaNombre,0))&amp;"",""))</f>
        <v/>
      </c>
      <c r="AE4889" s="52">
        <f>IF(AC4889="","",IFERROR(INDEX(ctaTipo,MATCH(AC4889,ctaNombre,0))&amp;"",""))</f>
        <v/>
      </c>
      <c r="AF4889" s="53">
        <f>IF(OR(P4889="",AB4889=""),"",IF(OR(P4889="Gasto",P4889="Transferencia",P4889="Pago tarjeta"),-1,1)*IF(IFERROR(INDEX(ctaMoneda,MATCH(AB4889,ctaNombre,0))&amp;"","DOP")="USD",T4889,S4889))</f>
        <v/>
      </c>
      <c r="AG4889" s="53">
        <f>IF(AC4889="","",IF(IFERROR(INDEX(ctaMoneda,MATCH(AC4889,ctaNombre,0))&amp;"","DOP")="USD",T4889,S4889))</f>
        <v/>
      </c>
      <c r="AH4889" s="53">
        <f>IF(P4889="","",IF(AND(AD4889&lt;&gt;"",COUNTIFS(tcTipo,AD4889,tcLiq,"Sí")&gt;0),IF(OR(P4889="Gasto",P4889="Transferencia",P4889="Pago tarjeta"),-1,1)*S4889,0)+IF(AND(AE4889&lt;&gt;"",COUNTIFS(tcTipo,AE4889,tcLiq,"Sí")&gt;0),S4889,0))</f>
        <v/>
      </c>
      <c r="AI4889" s="52">
        <f>IF(OR(L4889="",P4889=""),"",IF(COUNTIFS(L$6:L4889,L4889,P$6:P4889,"?*")=1,MAX(AI$5:AI4888)+1,""))</f>
        <v/>
      </c>
    </row>
    <row r="4890">
      <c r="B4890" s="47" t="n"/>
      <c r="C4890" s="48" t="n"/>
      <c r="D4890" s="48" t="n"/>
      <c r="E4890" s="48" t="n"/>
      <c r="F4890" s="48" t="n"/>
      <c r="G4890" s="49" t="n"/>
      <c r="H4890" s="48" t="n"/>
      <c r="I4890" s="50" t="n"/>
      <c r="J4890" s="48" t="n"/>
      <c r="K4890" s="48" t="n"/>
      <c r="L4890" s="48" t="n"/>
      <c r="M4890" s="48" t="n"/>
      <c r="N4890" s="48" t="n"/>
      <c r="O4890" s="51">
        <f>IF(AND(B4890="",G4890="",C4890="",D4890="",J4890=""),"",IF(B4890="","⚠ Falta fecha",IF(G4890="","⚠ Falta monto",IF(Q4890="","⚠ Falta cuenta",IF(ISNA(MATCH(Q4890,ctaNombre,0)),"⚠ Cuenta no registrada",IF(AND(OR(P4890="Gasto",P4890="Reembolso"),D4890=""),"⚠ Falta categoría",IF(AND(D4890&lt;&gt;"",E4890&lt;&gt;"",ISNA(MATCH(D4890&amp;"|"&amp;E4890,catClave,0))),"⚠ Subcategoría no corresponde",IF(AND(OR(P4890="Transferencia",P4890="Pago tarjeta"),K4890=""),"⚠ Falta cuenta destino",IF(AND(K4890&lt;&gt;"",P4890&lt;&gt;"Transferencia",P4890&lt;&gt;"Pago tarjeta"),"⚠ Destino solo aplica a transferencias",IF(AND(K4890&lt;&gt;"",K4890=Q4890),"⚠ Origen igual a destino",IF(AND(K4890&lt;&gt;"",ISNA(MATCH(K4890,ctaNombre,0))),"⚠ Destino no registrado",IF(AND(P4890="Pago tarjeta",AE4890&lt;&gt;"Tarjeta de crédito"),"⚠ El destino debe ser tarjeta de crédito",IF(AND(P4890="Gasto",E4890="Depósitos y retiros"),"⚠ Usa tipo Transferencia",IF(AND(P4890="Resultado trading",AD4890&lt;&gt;"Cuenta de trading"),"⚠ Usa una cuenta de trading",IF(AND(G4890&lt;=0,P4890&lt;&gt;"Ajuste",P4890&lt;&gt;"Resultado trading"),"⚠ El monto debe ser positivo","✓")))))))))))))))</f>
        <v/>
      </c>
      <c r="P4890" s="52">
        <f>IF(OR(B4890="",G4890=""),"",IF(C4890="","Gasto",C4890))</f>
        <v/>
      </c>
      <c r="Q4890" s="52">
        <f>IF(P4890="","",IF(J4890&lt;&gt;"",J4890,CuentaPred&amp;""))</f>
        <v/>
      </c>
      <c r="R4890" s="52">
        <f>IF(P4890="","",IF(ISNUMBER(I4890),I4890,TasaUSD))</f>
        <v/>
      </c>
      <c r="S4890" s="53">
        <f>IF(P4890="","",IF(H4890="USD",G4890*R4890,G4890))</f>
        <v/>
      </c>
      <c r="T4890" s="53">
        <f>IF(P4890="","",IF(H4890="USD",G4890,IF(R4890&gt;0,G4890/R4890,0)))</f>
        <v/>
      </c>
      <c r="U4890" s="53">
        <f>IF(P4890="","",IF(P4890="Gasto",S4890,IF(P4890="Reembolso",-S4890,0)))</f>
        <v/>
      </c>
      <c r="V4890" s="53">
        <f>IF(P4890="","",IF(P4890="Ingreso",S4890,0))</f>
        <v/>
      </c>
      <c r="W4890" s="53">
        <f>IF(P4890="","",IF(P4890="Resultado trading",S4890,0))</f>
        <v/>
      </c>
      <c r="X4890" s="52">
        <f>IF(OR(P4890="Gasto",P4890="Reembolso"),IF(M4890&lt;&gt;"",M4890,IFERROR(INDEX(catClasif,MATCH(D4890&amp;"|"&amp;E4890,catClave,0))&amp;"","Variable")),"")</f>
        <v/>
      </c>
      <c r="Y4890" s="52">
        <f>IF(P4890="","",IFERROR(INDEX(catGrupo,MATCH(D4890&amp;"|"&amp;E4890,catClave,0))&amp;"",""))</f>
        <v/>
      </c>
      <c r="Z4890" s="52">
        <f>IF(P4890="","",WEEKDAY(B4890,2))</f>
        <v/>
      </c>
      <c r="AA4890" s="52">
        <f>IF(P4890="","",IF(AND(P4890="Gasto",X4890="Variable",D4890&lt;&gt;catTrading,S4890&gt;0,S4890&lt;=Umbral),1,0))</f>
        <v/>
      </c>
      <c r="AB4890" s="52">
        <f>IF(OR(P4890="",Q4890=""),"",IFERROR(IF(INDEX(ctaVinc,MATCH(Q4890,ctaNombre,0))&amp;""&lt;&gt;"",INDEX(ctaVinc,MATCH(Q4890,ctaNombre,0))&amp;"",Q4890),Q4890))</f>
        <v/>
      </c>
      <c r="AC4890" s="52">
        <f>IF(OR(K4890="",AND(P4890&lt;&gt;"Transferencia",P4890&lt;&gt;"Pago tarjeta")),"",IFERROR(IF(INDEX(ctaVinc,MATCH(K4890,ctaNombre,0))&amp;""&lt;&gt;"",INDEX(ctaVinc,MATCH(K4890,ctaNombre,0))&amp;"",K4890),K4890))</f>
        <v/>
      </c>
      <c r="AD4890" s="52">
        <f>IF(AB4890="","",IFERROR(INDEX(ctaTipo,MATCH(AB4890,ctaNombre,0))&amp;"",""))</f>
        <v/>
      </c>
      <c r="AE4890" s="52">
        <f>IF(AC4890="","",IFERROR(INDEX(ctaTipo,MATCH(AC4890,ctaNombre,0))&amp;"",""))</f>
        <v/>
      </c>
      <c r="AF4890" s="53">
        <f>IF(OR(P4890="",AB4890=""),"",IF(OR(P4890="Gasto",P4890="Transferencia",P4890="Pago tarjeta"),-1,1)*IF(IFERROR(INDEX(ctaMoneda,MATCH(AB4890,ctaNombre,0))&amp;"","DOP")="USD",T4890,S4890))</f>
        <v/>
      </c>
      <c r="AG4890" s="53">
        <f>IF(AC4890="","",IF(IFERROR(INDEX(ctaMoneda,MATCH(AC4890,ctaNombre,0))&amp;"","DOP")="USD",T4890,S4890))</f>
        <v/>
      </c>
      <c r="AH4890" s="53">
        <f>IF(P4890="","",IF(AND(AD4890&lt;&gt;"",COUNTIFS(tcTipo,AD4890,tcLiq,"Sí")&gt;0),IF(OR(P4890="Gasto",P4890="Transferencia",P4890="Pago tarjeta"),-1,1)*S4890,0)+IF(AND(AE4890&lt;&gt;"",COUNTIFS(tcTipo,AE4890,tcLiq,"Sí")&gt;0),S4890,0))</f>
        <v/>
      </c>
      <c r="AI4890" s="52">
        <f>IF(OR(L4890="",P4890=""),"",IF(COUNTIFS(L$6:L4890,L4890,P$6:P4890,"?*")=1,MAX(AI$5:AI4889)+1,""))</f>
        <v/>
      </c>
    </row>
    <row r="4891">
      <c r="B4891" s="47" t="n"/>
      <c r="C4891" s="48" t="n"/>
      <c r="D4891" s="48" t="n"/>
      <c r="E4891" s="48" t="n"/>
      <c r="F4891" s="48" t="n"/>
      <c r="G4891" s="49" t="n"/>
      <c r="H4891" s="48" t="n"/>
      <c r="I4891" s="50" t="n"/>
      <c r="J4891" s="48" t="n"/>
      <c r="K4891" s="48" t="n"/>
      <c r="L4891" s="48" t="n"/>
      <c r="M4891" s="48" t="n"/>
      <c r="N4891" s="48" t="n"/>
      <c r="O4891" s="51">
        <f>IF(AND(B4891="",G4891="",C4891="",D4891="",J4891=""),"",IF(B4891="","⚠ Falta fecha",IF(G4891="","⚠ Falta monto",IF(Q4891="","⚠ Falta cuenta",IF(ISNA(MATCH(Q4891,ctaNombre,0)),"⚠ Cuenta no registrada",IF(AND(OR(P4891="Gasto",P4891="Reembolso"),D4891=""),"⚠ Falta categoría",IF(AND(D4891&lt;&gt;"",E4891&lt;&gt;"",ISNA(MATCH(D4891&amp;"|"&amp;E4891,catClave,0))),"⚠ Subcategoría no corresponde",IF(AND(OR(P4891="Transferencia",P4891="Pago tarjeta"),K4891=""),"⚠ Falta cuenta destino",IF(AND(K4891&lt;&gt;"",P4891&lt;&gt;"Transferencia",P4891&lt;&gt;"Pago tarjeta"),"⚠ Destino solo aplica a transferencias",IF(AND(K4891&lt;&gt;"",K4891=Q4891),"⚠ Origen igual a destino",IF(AND(K4891&lt;&gt;"",ISNA(MATCH(K4891,ctaNombre,0))),"⚠ Destino no registrado",IF(AND(P4891="Pago tarjeta",AE4891&lt;&gt;"Tarjeta de crédito"),"⚠ El destino debe ser tarjeta de crédito",IF(AND(P4891="Gasto",E4891="Depósitos y retiros"),"⚠ Usa tipo Transferencia",IF(AND(P4891="Resultado trading",AD4891&lt;&gt;"Cuenta de trading"),"⚠ Usa una cuenta de trading",IF(AND(G4891&lt;=0,P4891&lt;&gt;"Ajuste",P4891&lt;&gt;"Resultado trading"),"⚠ El monto debe ser positivo","✓")))))))))))))))</f>
        <v/>
      </c>
      <c r="P4891" s="52">
        <f>IF(OR(B4891="",G4891=""),"",IF(C4891="","Gasto",C4891))</f>
        <v/>
      </c>
      <c r="Q4891" s="52">
        <f>IF(P4891="","",IF(J4891&lt;&gt;"",J4891,CuentaPred&amp;""))</f>
        <v/>
      </c>
      <c r="R4891" s="52">
        <f>IF(P4891="","",IF(ISNUMBER(I4891),I4891,TasaUSD))</f>
        <v/>
      </c>
      <c r="S4891" s="53">
        <f>IF(P4891="","",IF(H4891="USD",G4891*R4891,G4891))</f>
        <v/>
      </c>
      <c r="T4891" s="53">
        <f>IF(P4891="","",IF(H4891="USD",G4891,IF(R4891&gt;0,G4891/R4891,0)))</f>
        <v/>
      </c>
      <c r="U4891" s="53">
        <f>IF(P4891="","",IF(P4891="Gasto",S4891,IF(P4891="Reembolso",-S4891,0)))</f>
        <v/>
      </c>
      <c r="V4891" s="53">
        <f>IF(P4891="","",IF(P4891="Ingreso",S4891,0))</f>
        <v/>
      </c>
      <c r="W4891" s="53">
        <f>IF(P4891="","",IF(P4891="Resultado trading",S4891,0))</f>
        <v/>
      </c>
      <c r="X4891" s="52">
        <f>IF(OR(P4891="Gasto",P4891="Reembolso"),IF(M4891&lt;&gt;"",M4891,IFERROR(INDEX(catClasif,MATCH(D4891&amp;"|"&amp;E4891,catClave,0))&amp;"","Variable")),"")</f>
        <v/>
      </c>
      <c r="Y4891" s="52">
        <f>IF(P4891="","",IFERROR(INDEX(catGrupo,MATCH(D4891&amp;"|"&amp;E4891,catClave,0))&amp;"",""))</f>
        <v/>
      </c>
      <c r="Z4891" s="52">
        <f>IF(P4891="","",WEEKDAY(B4891,2))</f>
        <v/>
      </c>
      <c r="AA4891" s="52">
        <f>IF(P4891="","",IF(AND(P4891="Gasto",X4891="Variable",D4891&lt;&gt;catTrading,S4891&gt;0,S4891&lt;=Umbral),1,0))</f>
        <v/>
      </c>
      <c r="AB4891" s="52">
        <f>IF(OR(P4891="",Q4891=""),"",IFERROR(IF(INDEX(ctaVinc,MATCH(Q4891,ctaNombre,0))&amp;""&lt;&gt;"",INDEX(ctaVinc,MATCH(Q4891,ctaNombre,0))&amp;"",Q4891),Q4891))</f>
        <v/>
      </c>
      <c r="AC4891" s="52">
        <f>IF(OR(K4891="",AND(P4891&lt;&gt;"Transferencia",P4891&lt;&gt;"Pago tarjeta")),"",IFERROR(IF(INDEX(ctaVinc,MATCH(K4891,ctaNombre,0))&amp;""&lt;&gt;"",INDEX(ctaVinc,MATCH(K4891,ctaNombre,0))&amp;"",K4891),K4891))</f>
        <v/>
      </c>
      <c r="AD4891" s="52">
        <f>IF(AB4891="","",IFERROR(INDEX(ctaTipo,MATCH(AB4891,ctaNombre,0))&amp;"",""))</f>
        <v/>
      </c>
      <c r="AE4891" s="52">
        <f>IF(AC4891="","",IFERROR(INDEX(ctaTipo,MATCH(AC4891,ctaNombre,0))&amp;"",""))</f>
        <v/>
      </c>
      <c r="AF4891" s="53">
        <f>IF(OR(P4891="",AB4891=""),"",IF(OR(P4891="Gasto",P4891="Transferencia",P4891="Pago tarjeta"),-1,1)*IF(IFERROR(INDEX(ctaMoneda,MATCH(AB4891,ctaNombre,0))&amp;"","DOP")="USD",T4891,S4891))</f>
        <v/>
      </c>
      <c r="AG4891" s="53">
        <f>IF(AC4891="","",IF(IFERROR(INDEX(ctaMoneda,MATCH(AC4891,ctaNombre,0))&amp;"","DOP")="USD",T4891,S4891))</f>
        <v/>
      </c>
      <c r="AH4891" s="53">
        <f>IF(P4891="","",IF(AND(AD4891&lt;&gt;"",COUNTIFS(tcTipo,AD4891,tcLiq,"Sí")&gt;0),IF(OR(P4891="Gasto",P4891="Transferencia",P4891="Pago tarjeta"),-1,1)*S4891,0)+IF(AND(AE4891&lt;&gt;"",COUNTIFS(tcTipo,AE4891,tcLiq,"Sí")&gt;0),S4891,0))</f>
        <v/>
      </c>
      <c r="AI4891" s="52">
        <f>IF(OR(L4891="",P4891=""),"",IF(COUNTIFS(L$6:L4891,L4891,P$6:P4891,"?*")=1,MAX(AI$5:AI4890)+1,""))</f>
        <v/>
      </c>
    </row>
    <row r="4892">
      <c r="B4892" s="47" t="n"/>
      <c r="C4892" s="48" t="n"/>
      <c r="D4892" s="48" t="n"/>
      <c r="E4892" s="48" t="n"/>
      <c r="F4892" s="48" t="n"/>
      <c r="G4892" s="49" t="n"/>
      <c r="H4892" s="48" t="n"/>
      <c r="I4892" s="50" t="n"/>
      <c r="J4892" s="48" t="n"/>
      <c r="K4892" s="48" t="n"/>
      <c r="L4892" s="48" t="n"/>
      <c r="M4892" s="48" t="n"/>
      <c r="N4892" s="48" t="n"/>
      <c r="O4892" s="51">
        <f>IF(AND(B4892="",G4892="",C4892="",D4892="",J4892=""),"",IF(B4892="","⚠ Falta fecha",IF(G4892="","⚠ Falta monto",IF(Q4892="","⚠ Falta cuenta",IF(ISNA(MATCH(Q4892,ctaNombre,0)),"⚠ Cuenta no registrada",IF(AND(OR(P4892="Gasto",P4892="Reembolso"),D4892=""),"⚠ Falta categoría",IF(AND(D4892&lt;&gt;"",E4892&lt;&gt;"",ISNA(MATCH(D4892&amp;"|"&amp;E4892,catClave,0))),"⚠ Subcategoría no corresponde",IF(AND(OR(P4892="Transferencia",P4892="Pago tarjeta"),K4892=""),"⚠ Falta cuenta destino",IF(AND(K4892&lt;&gt;"",P4892&lt;&gt;"Transferencia",P4892&lt;&gt;"Pago tarjeta"),"⚠ Destino solo aplica a transferencias",IF(AND(K4892&lt;&gt;"",K4892=Q4892),"⚠ Origen igual a destino",IF(AND(K4892&lt;&gt;"",ISNA(MATCH(K4892,ctaNombre,0))),"⚠ Destino no registrado",IF(AND(P4892="Pago tarjeta",AE4892&lt;&gt;"Tarjeta de crédito"),"⚠ El destino debe ser tarjeta de crédito",IF(AND(P4892="Gasto",E4892="Depósitos y retiros"),"⚠ Usa tipo Transferencia",IF(AND(P4892="Resultado trading",AD4892&lt;&gt;"Cuenta de trading"),"⚠ Usa una cuenta de trading",IF(AND(G4892&lt;=0,P4892&lt;&gt;"Ajuste",P4892&lt;&gt;"Resultado trading"),"⚠ El monto debe ser positivo","✓")))))))))))))))</f>
        <v/>
      </c>
      <c r="P4892" s="52">
        <f>IF(OR(B4892="",G4892=""),"",IF(C4892="","Gasto",C4892))</f>
        <v/>
      </c>
      <c r="Q4892" s="52">
        <f>IF(P4892="","",IF(J4892&lt;&gt;"",J4892,CuentaPred&amp;""))</f>
        <v/>
      </c>
      <c r="R4892" s="52">
        <f>IF(P4892="","",IF(ISNUMBER(I4892),I4892,TasaUSD))</f>
        <v/>
      </c>
      <c r="S4892" s="53">
        <f>IF(P4892="","",IF(H4892="USD",G4892*R4892,G4892))</f>
        <v/>
      </c>
      <c r="T4892" s="53">
        <f>IF(P4892="","",IF(H4892="USD",G4892,IF(R4892&gt;0,G4892/R4892,0)))</f>
        <v/>
      </c>
      <c r="U4892" s="53">
        <f>IF(P4892="","",IF(P4892="Gasto",S4892,IF(P4892="Reembolso",-S4892,0)))</f>
        <v/>
      </c>
      <c r="V4892" s="53">
        <f>IF(P4892="","",IF(P4892="Ingreso",S4892,0))</f>
        <v/>
      </c>
      <c r="W4892" s="53">
        <f>IF(P4892="","",IF(P4892="Resultado trading",S4892,0))</f>
        <v/>
      </c>
      <c r="X4892" s="52">
        <f>IF(OR(P4892="Gasto",P4892="Reembolso"),IF(M4892&lt;&gt;"",M4892,IFERROR(INDEX(catClasif,MATCH(D4892&amp;"|"&amp;E4892,catClave,0))&amp;"","Variable")),"")</f>
        <v/>
      </c>
      <c r="Y4892" s="52">
        <f>IF(P4892="","",IFERROR(INDEX(catGrupo,MATCH(D4892&amp;"|"&amp;E4892,catClave,0))&amp;"",""))</f>
        <v/>
      </c>
      <c r="Z4892" s="52">
        <f>IF(P4892="","",WEEKDAY(B4892,2))</f>
        <v/>
      </c>
      <c r="AA4892" s="52">
        <f>IF(P4892="","",IF(AND(P4892="Gasto",X4892="Variable",D4892&lt;&gt;catTrading,S4892&gt;0,S4892&lt;=Umbral),1,0))</f>
        <v/>
      </c>
      <c r="AB4892" s="52">
        <f>IF(OR(P4892="",Q4892=""),"",IFERROR(IF(INDEX(ctaVinc,MATCH(Q4892,ctaNombre,0))&amp;""&lt;&gt;"",INDEX(ctaVinc,MATCH(Q4892,ctaNombre,0))&amp;"",Q4892),Q4892))</f>
        <v/>
      </c>
      <c r="AC4892" s="52">
        <f>IF(OR(K4892="",AND(P4892&lt;&gt;"Transferencia",P4892&lt;&gt;"Pago tarjeta")),"",IFERROR(IF(INDEX(ctaVinc,MATCH(K4892,ctaNombre,0))&amp;""&lt;&gt;"",INDEX(ctaVinc,MATCH(K4892,ctaNombre,0))&amp;"",K4892),K4892))</f>
        <v/>
      </c>
      <c r="AD4892" s="52">
        <f>IF(AB4892="","",IFERROR(INDEX(ctaTipo,MATCH(AB4892,ctaNombre,0))&amp;"",""))</f>
        <v/>
      </c>
      <c r="AE4892" s="52">
        <f>IF(AC4892="","",IFERROR(INDEX(ctaTipo,MATCH(AC4892,ctaNombre,0))&amp;"",""))</f>
        <v/>
      </c>
      <c r="AF4892" s="53">
        <f>IF(OR(P4892="",AB4892=""),"",IF(OR(P4892="Gasto",P4892="Transferencia",P4892="Pago tarjeta"),-1,1)*IF(IFERROR(INDEX(ctaMoneda,MATCH(AB4892,ctaNombre,0))&amp;"","DOP")="USD",T4892,S4892))</f>
        <v/>
      </c>
      <c r="AG4892" s="53">
        <f>IF(AC4892="","",IF(IFERROR(INDEX(ctaMoneda,MATCH(AC4892,ctaNombre,0))&amp;"","DOP")="USD",T4892,S4892))</f>
        <v/>
      </c>
      <c r="AH4892" s="53">
        <f>IF(P4892="","",IF(AND(AD4892&lt;&gt;"",COUNTIFS(tcTipo,AD4892,tcLiq,"Sí")&gt;0),IF(OR(P4892="Gasto",P4892="Transferencia",P4892="Pago tarjeta"),-1,1)*S4892,0)+IF(AND(AE4892&lt;&gt;"",COUNTIFS(tcTipo,AE4892,tcLiq,"Sí")&gt;0),S4892,0))</f>
        <v/>
      </c>
      <c r="AI4892" s="52">
        <f>IF(OR(L4892="",P4892=""),"",IF(COUNTIFS(L$6:L4892,L4892,P$6:P4892,"?*")=1,MAX(AI$5:AI4891)+1,""))</f>
        <v/>
      </c>
    </row>
    <row r="4893">
      <c r="B4893" s="47" t="n"/>
      <c r="C4893" s="48" t="n"/>
      <c r="D4893" s="48" t="n"/>
      <c r="E4893" s="48" t="n"/>
      <c r="F4893" s="48" t="n"/>
      <c r="G4893" s="49" t="n"/>
      <c r="H4893" s="48" t="n"/>
      <c r="I4893" s="50" t="n"/>
      <c r="J4893" s="48" t="n"/>
      <c r="K4893" s="48" t="n"/>
      <c r="L4893" s="48" t="n"/>
      <c r="M4893" s="48" t="n"/>
      <c r="N4893" s="48" t="n"/>
      <c r="O4893" s="51">
        <f>IF(AND(B4893="",G4893="",C4893="",D4893="",J4893=""),"",IF(B4893="","⚠ Falta fecha",IF(G4893="","⚠ Falta monto",IF(Q4893="","⚠ Falta cuenta",IF(ISNA(MATCH(Q4893,ctaNombre,0)),"⚠ Cuenta no registrada",IF(AND(OR(P4893="Gasto",P4893="Reembolso"),D4893=""),"⚠ Falta categoría",IF(AND(D4893&lt;&gt;"",E4893&lt;&gt;"",ISNA(MATCH(D4893&amp;"|"&amp;E4893,catClave,0))),"⚠ Subcategoría no corresponde",IF(AND(OR(P4893="Transferencia",P4893="Pago tarjeta"),K4893=""),"⚠ Falta cuenta destino",IF(AND(K4893&lt;&gt;"",P4893&lt;&gt;"Transferencia",P4893&lt;&gt;"Pago tarjeta"),"⚠ Destino solo aplica a transferencias",IF(AND(K4893&lt;&gt;"",K4893=Q4893),"⚠ Origen igual a destino",IF(AND(K4893&lt;&gt;"",ISNA(MATCH(K4893,ctaNombre,0))),"⚠ Destino no registrado",IF(AND(P4893="Pago tarjeta",AE4893&lt;&gt;"Tarjeta de crédito"),"⚠ El destino debe ser tarjeta de crédito",IF(AND(P4893="Gasto",E4893="Depósitos y retiros"),"⚠ Usa tipo Transferencia",IF(AND(P4893="Resultado trading",AD4893&lt;&gt;"Cuenta de trading"),"⚠ Usa una cuenta de trading",IF(AND(G4893&lt;=0,P4893&lt;&gt;"Ajuste",P4893&lt;&gt;"Resultado trading"),"⚠ El monto debe ser positivo","✓")))))))))))))))</f>
        <v/>
      </c>
      <c r="P4893" s="52">
        <f>IF(OR(B4893="",G4893=""),"",IF(C4893="","Gasto",C4893))</f>
        <v/>
      </c>
      <c r="Q4893" s="52">
        <f>IF(P4893="","",IF(J4893&lt;&gt;"",J4893,CuentaPred&amp;""))</f>
        <v/>
      </c>
      <c r="R4893" s="52">
        <f>IF(P4893="","",IF(ISNUMBER(I4893),I4893,TasaUSD))</f>
        <v/>
      </c>
      <c r="S4893" s="53">
        <f>IF(P4893="","",IF(H4893="USD",G4893*R4893,G4893))</f>
        <v/>
      </c>
      <c r="T4893" s="53">
        <f>IF(P4893="","",IF(H4893="USD",G4893,IF(R4893&gt;0,G4893/R4893,0)))</f>
        <v/>
      </c>
      <c r="U4893" s="53">
        <f>IF(P4893="","",IF(P4893="Gasto",S4893,IF(P4893="Reembolso",-S4893,0)))</f>
        <v/>
      </c>
      <c r="V4893" s="53">
        <f>IF(P4893="","",IF(P4893="Ingreso",S4893,0))</f>
        <v/>
      </c>
      <c r="W4893" s="53">
        <f>IF(P4893="","",IF(P4893="Resultado trading",S4893,0))</f>
        <v/>
      </c>
      <c r="X4893" s="52">
        <f>IF(OR(P4893="Gasto",P4893="Reembolso"),IF(M4893&lt;&gt;"",M4893,IFERROR(INDEX(catClasif,MATCH(D4893&amp;"|"&amp;E4893,catClave,0))&amp;"","Variable")),"")</f>
        <v/>
      </c>
      <c r="Y4893" s="52">
        <f>IF(P4893="","",IFERROR(INDEX(catGrupo,MATCH(D4893&amp;"|"&amp;E4893,catClave,0))&amp;"",""))</f>
        <v/>
      </c>
      <c r="Z4893" s="52">
        <f>IF(P4893="","",WEEKDAY(B4893,2))</f>
        <v/>
      </c>
      <c r="AA4893" s="52">
        <f>IF(P4893="","",IF(AND(P4893="Gasto",X4893="Variable",D4893&lt;&gt;catTrading,S4893&gt;0,S4893&lt;=Umbral),1,0))</f>
        <v/>
      </c>
      <c r="AB4893" s="52">
        <f>IF(OR(P4893="",Q4893=""),"",IFERROR(IF(INDEX(ctaVinc,MATCH(Q4893,ctaNombre,0))&amp;""&lt;&gt;"",INDEX(ctaVinc,MATCH(Q4893,ctaNombre,0))&amp;"",Q4893),Q4893))</f>
        <v/>
      </c>
      <c r="AC4893" s="52">
        <f>IF(OR(K4893="",AND(P4893&lt;&gt;"Transferencia",P4893&lt;&gt;"Pago tarjeta")),"",IFERROR(IF(INDEX(ctaVinc,MATCH(K4893,ctaNombre,0))&amp;""&lt;&gt;"",INDEX(ctaVinc,MATCH(K4893,ctaNombre,0))&amp;"",K4893),K4893))</f>
        <v/>
      </c>
      <c r="AD4893" s="52">
        <f>IF(AB4893="","",IFERROR(INDEX(ctaTipo,MATCH(AB4893,ctaNombre,0))&amp;"",""))</f>
        <v/>
      </c>
      <c r="AE4893" s="52">
        <f>IF(AC4893="","",IFERROR(INDEX(ctaTipo,MATCH(AC4893,ctaNombre,0))&amp;"",""))</f>
        <v/>
      </c>
      <c r="AF4893" s="53">
        <f>IF(OR(P4893="",AB4893=""),"",IF(OR(P4893="Gasto",P4893="Transferencia",P4893="Pago tarjeta"),-1,1)*IF(IFERROR(INDEX(ctaMoneda,MATCH(AB4893,ctaNombre,0))&amp;"","DOP")="USD",T4893,S4893))</f>
        <v/>
      </c>
      <c r="AG4893" s="53">
        <f>IF(AC4893="","",IF(IFERROR(INDEX(ctaMoneda,MATCH(AC4893,ctaNombre,0))&amp;"","DOP")="USD",T4893,S4893))</f>
        <v/>
      </c>
      <c r="AH4893" s="53">
        <f>IF(P4893="","",IF(AND(AD4893&lt;&gt;"",COUNTIFS(tcTipo,AD4893,tcLiq,"Sí")&gt;0),IF(OR(P4893="Gasto",P4893="Transferencia",P4893="Pago tarjeta"),-1,1)*S4893,0)+IF(AND(AE4893&lt;&gt;"",COUNTIFS(tcTipo,AE4893,tcLiq,"Sí")&gt;0),S4893,0))</f>
        <v/>
      </c>
      <c r="AI4893" s="52">
        <f>IF(OR(L4893="",P4893=""),"",IF(COUNTIFS(L$6:L4893,L4893,P$6:P4893,"?*")=1,MAX(AI$5:AI4892)+1,""))</f>
        <v/>
      </c>
    </row>
    <row r="4894">
      <c r="B4894" s="47" t="n"/>
      <c r="C4894" s="48" t="n"/>
      <c r="D4894" s="48" t="n"/>
      <c r="E4894" s="48" t="n"/>
      <c r="F4894" s="48" t="n"/>
      <c r="G4894" s="49" t="n"/>
      <c r="H4894" s="48" t="n"/>
      <c r="I4894" s="50" t="n"/>
      <c r="J4894" s="48" t="n"/>
      <c r="K4894" s="48" t="n"/>
      <c r="L4894" s="48" t="n"/>
      <c r="M4894" s="48" t="n"/>
      <c r="N4894" s="48" t="n"/>
      <c r="O4894" s="51">
        <f>IF(AND(B4894="",G4894="",C4894="",D4894="",J4894=""),"",IF(B4894="","⚠ Falta fecha",IF(G4894="","⚠ Falta monto",IF(Q4894="","⚠ Falta cuenta",IF(ISNA(MATCH(Q4894,ctaNombre,0)),"⚠ Cuenta no registrada",IF(AND(OR(P4894="Gasto",P4894="Reembolso"),D4894=""),"⚠ Falta categoría",IF(AND(D4894&lt;&gt;"",E4894&lt;&gt;"",ISNA(MATCH(D4894&amp;"|"&amp;E4894,catClave,0))),"⚠ Subcategoría no corresponde",IF(AND(OR(P4894="Transferencia",P4894="Pago tarjeta"),K4894=""),"⚠ Falta cuenta destino",IF(AND(K4894&lt;&gt;"",P4894&lt;&gt;"Transferencia",P4894&lt;&gt;"Pago tarjeta"),"⚠ Destino solo aplica a transferencias",IF(AND(K4894&lt;&gt;"",K4894=Q4894),"⚠ Origen igual a destino",IF(AND(K4894&lt;&gt;"",ISNA(MATCH(K4894,ctaNombre,0))),"⚠ Destino no registrado",IF(AND(P4894="Pago tarjeta",AE4894&lt;&gt;"Tarjeta de crédito"),"⚠ El destino debe ser tarjeta de crédito",IF(AND(P4894="Gasto",E4894="Depósitos y retiros"),"⚠ Usa tipo Transferencia",IF(AND(P4894="Resultado trading",AD4894&lt;&gt;"Cuenta de trading"),"⚠ Usa una cuenta de trading",IF(AND(G4894&lt;=0,P4894&lt;&gt;"Ajuste",P4894&lt;&gt;"Resultado trading"),"⚠ El monto debe ser positivo","✓")))))))))))))))</f>
        <v/>
      </c>
      <c r="P4894" s="52">
        <f>IF(OR(B4894="",G4894=""),"",IF(C4894="","Gasto",C4894))</f>
        <v/>
      </c>
      <c r="Q4894" s="52">
        <f>IF(P4894="","",IF(J4894&lt;&gt;"",J4894,CuentaPred&amp;""))</f>
        <v/>
      </c>
      <c r="R4894" s="52">
        <f>IF(P4894="","",IF(ISNUMBER(I4894),I4894,TasaUSD))</f>
        <v/>
      </c>
      <c r="S4894" s="53">
        <f>IF(P4894="","",IF(H4894="USD",G4894*R4894,G4894))</f>
        <v/>
      </c>
      <c r="T4894" s="53">
        <f>IF(P4894="","",IF(H4894="USD",G4894,IF(R4894&gt;0,G4894/R4894,0)))</f>
        <v/>
      </c>
      <c r="U4894" s="53">
        <f>IF(P4894="","",IF(P4894="Gasto",S4894,IF(P4894="Reembolso",-S4894,0)))</f>
        <v/>
      </c>
      <c r="V4894" s="53">
        <f>IF(P4894="","",IF(P4894="Ingreso",S4894,0))</f>
        <v/>
      </c>
      <c r="W4894" s="53">
        <f>IF(P4894="","",IF(P4894="Resultado trading",S4894,0))</f>
        <v/>
      </c>
      <c r="X4894" s="52">
        <f>IF(OR(P4894="Gasto",P4894="Reembolso"),IF(M4894&lt;&gt;"",M4894,IFERROR(INDEX(catClasif,MATCH(D4894&amp;"|"&amp;E4894,catClave,0))&amp;"","Variable")),"")</f>
        <v/>
      </c>
      <c r="Y4894" s="52">
        <f>IF(P4894="","",IFERROR(INDEX(catGrupo,MATCH(D4894&amp;"|"&amp;E4894,catClave,0))&amp;"",""))</f>
        <v/>
      </c>
      <c r="Z4894" s="52">
        <f>IF(P4894="","",WEEKDAY(B4894,2))</f>
        <v/>
      </c>
      <c r="AA4894" s="52">
        <f>IF(P4894="","",IF(AND(P4894="Gasto",X4894="Variable",D4894&lt;&gt;catTrading,S4894&gt;0,S4894&lt;=Umbral),1,0))</f>
        <v/>
      </c>
      <c r="AB4894" s="52">
        <f>IF(OR(P4894="",Q4894=""),"",IFERROR(IF(INDEX(ctaVinc,MATCH(Q4894,ctaNombre,0))&amp;""&lt;&gt;"",INDEX(ctaVinc,MATCH(Q4894,ctaNombre,0))&amp;"",Q4894),Q4894))</f>
        <v/>
      </c>
      <c r="AC4894" s="52">
        <f>IF(OR(K4894="",AND(P4894&lt;&gt;"Transferencia",P4894&lt;&gt;"Pago tarjeta")),"",IFERROR(IF(INDEX(ctaVinc,MATCH(K4894,ctaNombre,0))&amp;""&lt;&gt;"",INDEX(ctaVinc,MATCH(K4894,ctaNombre,0))&amp;"",K4894),K4894))</f>
        <v/>
      </c>
      <c r="AD4894" s="52">
        <f>IF(AB4894="","",IFERROR(INDEX(ctaTipo,MATCH(AB4894,ctaNombre,0))&amp;"",""))</f>
        <v/>
      </c>
      <c r="AE4894" s="52">
        <f>IF(AC4894="","",IFERROR(INDEX(ctaTipo,MATCH(AC4894,ctaNombre,0))&amp;"",""))</f>
        <v/>
      </c>
      <c r="AF4894" s="53">
        <f>IF(OR(P4894="",AB4894=""),"",IF(OR(P4894="Gasto",P4894="Transferencia",P4894="Pago tarjeta"),-1,1)*IF(IFERROR(INDEX(ctaMoneda,MATCH(AB4894,ctaNombre,0))&amp;"","DOP")="USD",T4894,S4894))</f>
        <v/>
      </c>
      <c r="AG4894" s="53">
        <f>IF(AC4894="","",IF(IFERROR(INDEX(ctaMoneda,MATCH(AC4894,ctaNombre,0))&amp;"","DOP")="USD",T4894,S4894))</f>
        <v/>
      </c>
      <c r="AH4894" s="53">
        <f>IF(P4894="","",IF(AND(AD4894&lt;&gt;"",COUNTIFS(tcTipo,AD4894,tcLiq,"Sí")&gt;0),IF(OR(P4894="Gasto",P4894="Transferencia",P4894="Pago tarjeta"),-1,1)*S4894,0)+IF(AND(AE4894&lt;&gt;"",COUNTIFS(tcTipo,AE4894,tcLiq,"Sí")&gt;0),S4894,0))</f>
        <v/>
      </c>
      <c r="AI4894" s="52">
        <f>IF(OR(L4894="",P4894=""),"",IF(COUNTIFS(L$6:L4894,L4894,P$6:P4894,"?*")=1,MAX(AI$5:AI4893)+1,""))</f>
        <v/>
      </c>
    </row>
    <row r="4895">
      <c r="B4895" s="47" t="n"/>
      <c r="C4895" s="48" t="n"/>
      <c r="D4895" s="48" t="n"/>
      <c r="E4895" s="48" t="n"/>
      <c r="F4895" s="48" t="n"/>
      <c r="G4895" s="49" t="n"/>
      <c r="H4895" s="48" t="n"/>
      <c r="I4895" s="50" t="n"/>
      <c r="J4895" s="48" t="n"/>
      <c r="K4895" s="48" t="n"/>
      <c r="L4895" s="48" t="n"/>
      <c r="M4895" s="48" t="n"/>
      <c r="N4895" s="48" t="n"/>
      <c r="O4895" s="51">
        <f>IF(AND(B4895="",G4895="",C4895="",D4895="",J4895=""),"",IF(B4895="","⚠ Falta fecha",IF(G4895="","⚠ Falta monto",IF(Q4895="","⚠ Falta cuenta",IF(ISNA(MATCH(Q4895,ctaNombre,0)),"⚠ Cuenta no registrada",IF(AND(OR(P4895="Gasto",P4895="Reembolso"),D4895=""),"⚠ Falta categoría",IF(AND(D4895&lt;&gt;"",E4895&lt;&gt;"",ISNA(MATCH(D4895&amp;"|"&amp;E4895,catClave,0))),"⚠ Subcategoría no corresponde",IF(AND(OR(P4895="Transferencia",P4895="Pago tarjeta"),K4895=""),"⚠ Falta cuenta destino",IF(AND(K4895&lt;&gt;"",P4895&lt;&gt;"Transferencia",P4895&lt;&gt;"Pago tarjeta"),"⚠ Destino solo aplica a transferencias",IF(AND(K4895&lt;&gt;"",K4895=Q4895),"⚠ Origen igual a destino",IF(AND(K4895&lt;&gt;"",ISNA(MATCH(K4895,ctaNombre,0))),"⚠ Destino no registrado",IF(AND(P4895="Pago tarjeta",AE4895&lt;&gt;"Tarjeta de crédito"),"⚠ El destino debe ser tarjeta de crédito",IF(AND(P4895="Gasto",E4895="Depósitos y retiros"),"⚠ Usa tipo Transferencia",IF(AND(P4895="Resultado trading",AD4895&lt;&gt;"Cuenta de trading"),"⚠ Usa una cuenta de trading",IF(AND(G4895&lt;=0,P4895&lt;&gt;"Ajuste",P4895&lt;&gt;"Resultado trading"),"⚠ El monto debe ser positivo","✓")))))))))))))))</f>
        <v/>
      </c>
      <c r="P4895" s="52">
        <f>IF(OR(B4895="",G4895=""),"",IF(C4895="","Gasto",C4895))</f>
        <v/>
      </c>
      <c r="Q4895" s="52">
        <f>IF(P4895="","",IF(J4895&lt;&gt;"",J4895,CuentaPred&amp;""))</f>
        <v/>
      </c>
      <c r="R4895" s="52">
        <f>IF(P4895="","",IF(ISNUMBER(I4895),I4895,TasaUSD))</f>
        <v/>
      </c>
      <c r="S4895" s="53">
        <f>IF(P4895="","",IF(H4895="USD",G4895*R4895,G4895))</f>
        <v/>
      </c>
      <c r="T4895" s="53">
        <f>IF(P4895="","",IF(H4895="USD",G4895,IF(R4895&gt;0,G4895/R4895,0)))</f>
        <v/>
      </c>
      <c r="U4895" s="53">
        <f>IF(P4895="","",IF(P4895="Gasto",S4895,IF(P4895="Reembolso",-S4895,0)))</f>
        <v/>
      </c>
      <c r="V4895" s="53">
        <f>IF(P4895="","",IF(P4895="Ingreso",S4895,0))</f>
        <v/>
      </c>
      <c r="W4895" s="53">
        <f>IF(P4895="","",IF(P4895="Resultado trading",S4895,0))</f>
        <v/>
      </c>
      <c r="X4895" s="52">
        <f>IF(OR(P4895="Gasto",P4895="Reembolso"),IF(M4895&lt;&gt;"",M4895,IFERROR(INDEX(catClasif,MATCH(D4895&amp;"|"&amp;E4895,catClave,0))&amp;"","Variable")),"")</f>
        <v/>
      </c>
      <c r="Y4895" s="52">
        <f>IF(P4895="","",IFERROR(INDEX(catGrupo,MATCH(D4895&amp;"|"&amp;E4895,catClave,0))&amp;"",""))</f>
        <v/>
      </c>
      <c r="Z4895" s="52">
        <f>IF(P4895="","",WEEKDAY(B4895,2))</f>
        <v/>
      </c>
      <c r="AA4895" s="52">
        <f>IF(P4895="","",IF(AND(P4895="Gasto",X4895="Variable",D4895&lt;&gt;catTrading,S4895&gt;0,S4895&lt;=Umbral),1,0))</f>
        <v/>
      </c>
      <c r="AB4895" s="52">
        <f>IF(OR(P4895="",Q4895=""),"",IFERROR(IF(INDEX(ctaVinc,MATCH(Q4895,ctaNombre,0))&amp;""&lt;&gt;"",INDEX(ctaVinc,MATCH(Q4895,ctaNombre,0))&amp;"",Q4895),Q4895))</f>
        <v/>
      </c>
      <c r="AC4895" s="52">
        <f>IF(OR(K4895="",AND(P4895&lt;&gt;"Transferencia",P4895&lt;&gt;"Pago tarjeta")),"",IFERROR(IF(INDEX(ctaVinc,MATCH(K4895,ctaNombre,0))&amp;""&lt;&gt;"",INDEX(ctaVinc,MATCH(K4895,ctaNombre,0))&amp;"",K4895),K4895))</f>
        <v/>
      </c>
      <c r="AD4895" s="52">
        <f>IF(AB4895="","",IFERROR(INDEX(ctaTipo,MATCH(AB4895,ctaNombre,0))&amp;"",""))</f>
        <v/>
      </c>
      <c r="AE4895" s="52">
        <f>IF(AC4895="","",IFERROR(INDEX(ctaTipo,MATCH(AC4895,ctaNombre,0))&amp;"",""))</f>
        <v/>
      </c>
      <c r="AF4895" s="53">
        <f>IF(OR(P4895="",AB4895=""),"",IF(OR(P4895="Gasto",P4895="Transferencia",P4895="Pago tarjeta"),-1,1)*IF(IFERROR(INDEX(ctaMoneda,MATCH(AB4895,ctaNombre,0))&amp;"","DOP")="USD",T4895,S4895))</f>
        <v/>
      </c>
      <c r="AG4895" s="53">
        <f>IF(AC4895="","",IF(IFERROR(INDEX(ctaMoneda,MATCH(AC4895,ctaNombre,0))&amp;"","DOP")="USD",T4895,S4895))</f>
        <v/>
      </c>
      <c r="AH4895" s="53">
        <f>IF(P4895="","",IF(AND(AD4895&lt;&gt;"",COUNTIFS(tcTipo,AD4895,tcLiq,"Sí")&gt;0),IF(OR(P4895="Gasto",P4895="Transferencia",P4895="Pago tarjeta"),-1,1)*S4895,0)+IF(AND(AE4895&lt;&gt;"",COUNTIFS(tcTipo,AE4895,tcLiq,"Sí")&gt;0),S4895,0))</f>
        <v/>
      </c>
      <c r="AI4895" s="52">
        <f>IF(OR(L4895="",P4895=""),"",IF(COUNTIFS(L$6:L4895,L4895,P$6:P4895,"?*")=1,MAX(AI$5:AI4894)+1,""))</f>
        <v/>
      </c>
    </row>
    <row r="4896">
      <c r="B4896" s="47" t="n"/>
      <c r="C4896" s="48" t="n"/>
      <c r="D4896" s="48" t="n"/>
      <c r="E4896" s="48" t="n"/>
      <c r="F4896" s="48" t="n"/>
      <c r="G4896" s="49" t="n"/>
      <c r="H4896" s="48" t="n"/>
      <c r="I4896" s="50" t="n"/>
      <c r="J4896" s="48" t="n"/>
      <c r="K4896" s="48" t="n"/>
      <c r="L4896" s="48" t="n"/>
      <c r="M4896" s="48" t="n"/>
      <c r="N4896" s="48" t="n"/>
      <c r="O4896" s="51">
        <f>IF(AND(B4896="",G4896="",C4896="",D4896="",J4896=""),"",IF(B4896="","⚠ Falta fecha",IF(G4896="","⚠ Falta monto",IF(Q4896="","⚠ Falta cuenta",IF(ISNA(MATCH(Q4896,ctaNombre,0)),"⚠ Cuenta no registrada",IF(AND(OR(P4896="Gasto",P4896="Reembolso"),D4896=""),"⚠ Falta categoría",IF(AND(D4896&lt;&gt;"",E4896&lt;&gt;"",ISNA(MATCH(D4896&amp;"|"&amp;E4896,catClave,0))),"⚠ Subcategoría no corresponde",IF(AND(OR(P4896="Transferencia",P4896="Pago tarjeta"),K4896=""),"⚠ Falta cuenta destino",IF(AND(K4896&lt;&gt;"",P4896&lt;&gt;"Transferencia",P4896&lt;&gt;"Pago tarjeta"),"⚠ Destino solo aplica a transferencias",IF(AND(K4896&lt;&gt;"",K4896=Q4896),"⚠ Origen igual a destino",IF(AND(K4896&lt;&gt;"",ISNA(MATCH(K4896,ctaNombre,0))),"⚠ Destino no registrado",IF(AND(P4896="Pago tarjeta",AE4896&lt;&gt;"Tarjeta de crédito"),"⚠ El destino debe ser tarjeta de crédito",IF(AND(P4896="Gasto",E4896="Depósitos y retiros"),"⚠ Usa tipo Transferencia",IF(AND(P4896="Resultado trading",AD4896&lt;&gt;"Cuenta de trading"),"⚠ Usa una cuenta de trading",IF(AND(G4896&lt;=0,P4896&lt;&gt;"Ajuste",P4896&lt;&gt;"Resultado trading"),"⚠ El monto debe ser positivo","✓")))))))))))))))</f>
        <v/>
      </c>
      <c r="P4896" s="52">
        <f>IF(OR(B4896="",G4896=""),"",IF(C4896="","Gasto",C4896))</f>
        <v/>
      </c>
      <c r="Q4896" s="52">
        <f>IF(P4896="","",IF(J4896&lt;&gt;"",J4896,CuentaPred&amp;""))</f>
        <v/>
      </c>
      <c r="R4896" s="52">
        <f>IF(P4896="","",IF(ISNUMBER(I4896),I4896,TasaUSD))</f>
        <v/>
      </c>
      <c r="S4896" s="53">
        <f>IF(P4896="","",IF(H4896="USD",G4896*R4896,G4896))</f>
        <v/>
      </c>
      <c r="T4896" s="53">
        <f>IF(P4896="","",IF(H4896="USD",G4896,IF(R4896&gt;0,G4896/R4896,0)))</f>
        <v/>
      </c>
      <c r="U4896" s="53">
        <f>IF(P4896="","",IF(P4896="Gasto",S4896,IF(P4896="Reembolso",-S4896,0)))</f>
        <v/>
      </c>
      <c r="V4896" s="53">
        <f>IF(P4896="","",IF(P4896="Ingreso",S4896,0))</f>
        <v/>
      </c>
      <c r="W4896" s="53">
        <f>IF(P4896="","",IF(P4896="Resultado trading",S4896,0))</f>
        <v/>
      </c>
      <c r="X4896" s="52">
        <f>IF(OR(P4896="Gasto",P4896="Reembolso"),IF(M4896&lt;&gt;"",M4896,IFERROR(INDEX(catClasif,MATCH(D4896&amp;"|"&amp;E4896,catClave,0))&amp;"","Variable")),"")</f>
        <v/>
      </c>
      <c r="Y4896" s="52">
        <f>IF(P4896="","",IFERROR(INDEX(catGrupo,MATCH(D4896&amp;"|"&amp;E4896,catClave,0))&amp;"",""))</f>
        <v/>
      </c>
      <c r="Z4896" s="52">
        <f>IF(P4896="","",WEEKDAY(B4896,2))</f>
        <v/>
      </c>
      <c r="AA4896" s="52">
        <f>IF(P4896="","",IF(AND(P4896="Gasto",X4896="Variable",D4896&lt;&gt;catTrading,S4896&gt;0,S4896&lt;=Umbral),1,0))</f>
        <v/>
      </c>
      <c r="AB4896" s="52">
        <f>IF(OR(P4896="",Q4896=""),"",IFERROR(IF(INDEX(ctaVinc,MATCH(Q4896,ctaNombre,0))&amp;""&lt;&gt;"",INDEX(ctaVinc,MATCH(Q4896,ctaNombre,0))&amp;"",Q4896),Q4896))</f>
        <v/>
      </c>
      <c r="AC4896" s="52">
        <f>IF(OR(K4896="",AND(P4896&lt;&gt;"Transferencia",P4896&lt;&gt;"Pago tarjeta")),"",IFERROR(IF(INDEX(ctaVinc,MATCH(K4896,ctaNombre,0))&amp;""&lt;&gt;"",INDEX(ctaVinc,MATCH(K4896,ctaNombre,0))&amp;"",K4896),K4896))</f>
        <v/>
      </c>
      <c r="AD4896" s="52">
        <f>IF(AB4896="","",IFERROR(INDEX(ctaTipo,MATCH(AB4896,ctaNombre,0))&amp;"",""))</f>
        <v/>
      </c>
      <c r="AE4896" s="52">
        <f>IF(AC4896="","",IFERROR(INDEX(ctaTipo,MATCH(AC4896,ctaNombre,0))&amp;"",""))</f>
        <v/>
      </c>
      <c r="AF4896" s="53">
        <f>IF(OR(P4896="",AB4896=""),"",IF(OR(P4896="Gasto",P4896="Transferencia",P4896="Pago tarjeta"),-1,1)*IF(IFERROR(INDEX(ctaMoneda,MATCH(AB4896,ctaNombre,0))&amp;"","DOP")="USD",T4896,S4896))</f>
        <v/>
      </c>
      <c r="AG4896" s="53">
        <f>IF(AC4896="","",IF(IFERROR(INDEX(ctaMoneda,MATCH(AC4896,ctaNombre,0))&amp;"","DOP")="USD",T4896,S4896))</f>
        <v/>
      </c>
      <c r="AH4896" s="53">
        <f>IF(P4896="","",IF(AND(AD4896&lt;&gt;"",COUNTIFS(tcTipo,AD4896,tcLiq,"Sí")&gt;0),IF(OR(P4896="Gasto",P4896="Transferencia",P4896="Pago tarjeta"),-1,1)*S4896,0)+IF(AND(AE4896&lt;&gt;"",COUNTIFS(tcTipo,AE4896,tcLiq,"Sí")&gt;0),S4896,0))</f>
        <v/>
      </c>
      <c r="AI4896" s="52">
        <f>IF(OR(L4896="",P4896=""),"",IF(COUNTIFS(L$6:L4896,L4896,P$6:P4896,"?*")=1,MAX(AI$5:AI4895)+1,""))</f>
        <v/>
      </c>
    </row>
    <row r="4897">
      <c r="B4897" s="47" t="n"/>
      <c r="C4897" s="48" t="n"/>
      <c r="D4897" s="48" t="n"/>
      <c r="E4897" s="48" t="n"/>
      <c r="F4897" s="48" t="n"/>
      <c r="G4897" s="49" t="n"/>
      <c r="H4897" s="48" t="n"/>
      <c r="I4897" s="50" t="n"/>
      <c r="J4897" s="48" t="n"/>
      <c r="K4897" s="48" t="n"/>
      <c r="L4897" s="48" t="n"/>
      <c r="M4897" s="48" t="n"/>
      <c r="N4897" s="48" t="n"/>
      <c r="O4897" s="51">
        <f>IF(AND(B4897="",G4897="",C4897="",D4897="",J4897=""),"",IF(B4897="","⚠ Falta fecha",IF(G4897="","⚠ Falta monto",IF(Q4897="","⚠ Falta cuenta",IF(ISNA(MATCH(Q4897,ctaNombre,0)),"⚠ Cuenta no registrada",IF(AND(OR(P4897="Gasto",P4897="Reembolso"),D4897=""),"⚠ Falta categoría",IF(AND(D4897&lt;&gt;"",E4897&lt;&gt;"",ISNA(MATCH(D4897&amp;"|"&amp;E4897,catClave,0))),"⚠ Subcategoría no corresponde",IF(AND(OR(P4897="Transferencia",P4897="Pago tarjeta"),K4897=""),"⚠ Falta cuenta destino",IF(AND(K4897&lt;&gt;"",P4897&lt;&gt;"Transferencia",P4897&lt;&gt;"Pago tarjeta"),"⚠ Destino solo aplica a transferencias",IF(AND(K4897&lt;&gt;"",K4897=Q4897),"⚠ Origen igual a destino",IF(AND(K4897&lt;&gt;"",ISNA(MATCH(K4897,ctaNombre,0))),"⚠ Destino no registrado",IF(AND(P4897="Pago tarjeta",AE4897&lt;&gt;"Tarjeta de crédito"),"⚠ El destino debe ser tarjeta de crédito",IF(AND(P4897="Gasto",E4897="Depósitos y retiros"),"⚠ Usa tipo Transferencia",IF(AND(P4897="Resultado trading",AD4897&lt;&gt;"Cuenta de trading"),"⚠ Usa una cuenta de trading",IF(AND(G4897&lt;=0,P4897&lt;&gt;"Ajuste",P4897&lt;&gt;"Resultado trading"),"⚠ El monto debe ser positivo","✓")))))))))))))))</f>
        <v/>
      </c>
      <c r="P4897" s="52">
        <f>IF(OR(B4897="",G4897=""),"",IF(C4897="","Gasto",C4897))</f>
        <v/>
      </c>
      <c r="Q4897" s="52">
        <f>IF(P4897="","",IF(J4897&lt;&gt;"",J4897,CuentaPred&amp;""))</f>
        <v/>
      </c>
      <c r="R4897" s="52">
        <f>IF(P4897="","",IF(ISNUMBER(I4897),I4897,TasaUSD))</f>
        <v/>
      </c>
      <c r="S4897" s="53">
        <f>IF(P4897="","",IF(H4897="USD",G4897*R4897,G4897))</f>
        <v/>
      </c>
      <c r="T4897" s="53">
        <f>IF(P4897="","",IF(H4897="USD",G4897,IF(R4897&gt;0,G4897/R4897,0)))</f>
        <v/>
      </c>
      <c r="U4897" s="53">
        <f>IF(P4897="","",IF(P4897="Gasto",S4897,IF(P4897="Reembolso",-S4897,0)))</f>
        <v/>
      </c>
      <c r="V4897" s="53">
        <f>IF(P4897="","",IF(P4897="Ingreso",S4897,0))</f>
        <v/>
      </c>
      <c r="W4897" s="53">
        <f>IF(P4897="","",IF(P4897="Resultado trading",S4897,0))</f>
        <v/>
      </c>
      <c r="X4897" s="52">
        <f>IF(OR(P4897="Gasto",P4897="Reembolso"),IF(M4897&lt;&gt;"",M4897,IFERROR(INDEX(catClasif,MATCH(D4897&amp;"|"&amp;E4897,catClave,0))&amp;"","Variable")),"")</f>
        <v/>
      </c>
      <c r="Y4897" s="52">
        <f>IF(P4897="","",IFERROR(INDEX(catGrupo,MATCH(D4897&amp;"|"&amp;E4897,catClave,0))&amp;"",""))</f>
        <v/>
      </c>
      <c r="Z4897" s="52">
        <f>IF(P4897="","",WEEKDAY(B4897,2))</f>
        <v/>
      </c>
      <c r="AA4897" s="52">
        <f>IF(P4897="","",IF(AND(P4897="Gasto",X4897="Variable",D4897&lt;&gt;catTrading,S4897&gt;0,S4897&lt;=Umbral),1,0))</f>
        <v/>
      </c>
      <c r="AB4897" s="52">
        <f>IF(OR(P4897="",Q4897=""),"",IFERROR(IF(INDEX(ctaVinc,MATCH(Q4897,ctaNombre,0))&amp;""&lt;&gt;"",INDEX(ctaVinc,MATCH(Q4897,ctaNombre,0))&amp;"",Q4897),Q4897))</f>
        <v/>
      </c>
      <c r="AC4897" s="52">
        <f>IF(OR(K4897="",AND(P4897&lt;&gt;"Transferencia",P4897&lt;&gt;"Pago tarjeta")),"",IFERROR(IF(INDEX(ctaVinc,MATCH(K4897,ctaNombre,0))&amp;""&lt;&gt;"",INDEX(ctaVinc,MATCH(K4897,ctaNombre,0))&amp;"",K4897),K4897))</f>
        <v/>
      </c>
      <c r="AD4897" s="52">
        <f>IF(AB4897="","",IFERROR(INDEX(ctaTipo,MATCH(AB4897,ctaNombre,0))&amp;"",""))</f>
        <v/>
      </c>
      <c r="AE4897" s="52">
        <f>IF(AC4897="","",IFERROR(INDEX(ctaTipo,MATCH(AC4897,ctaNombre,0))&amp;"",""))</f>
        <v/>
      </c>
      <c r="AF4897" s="53">
        <f>IF(OR(P4897="",AB4897=""),"",IF(OR(P4897="Gasto",P4897="Transferencia",P4897="Pago tarjeta"),-1,1)*IF(IFERROR(INDEX(ctaMoneda,MATCH(AB4897,ctaNombre,0))&amp;"","DOP")="USD",T4897,S4897))</f>
        <v/>
      </c>
      <c r="AG4897" s="53">
        <f>IF(AC4897="","",IF(IFERROR(INDEX(ctaMoneda,MATCH(AC4897,ctaNombre,0))&amp;"","DOP")="USD",T4897,S4897))</f>
        <v/>
      </c>
      <c r="AH4897" s="53">
        <f>IF(P4897="","",IF(AND(AD4897&lt;&gt;"",COUNTIFS(tcTipo,AD4897,tcLiq,"Sí")&gt;0),IF(OR(P4897="Gasto",P4897="Transferencia",P4897="Pago tarjeta"),-1,1)*S4897,0)+IF(AND(AE4897&lt;&gt;"",COUNTIFS(tcTipo,AE4897,tcLiq,"Sí")&gt;0),S4897,0))</f>
        <v/>
      </c>
      <c r="AI4897" s="52">
        <f>IF(OR(L4897="",P4897=""),"",IF(COUNTIFS(L$6:L4897,L4897,P$6:P4897,"?*")=1,MAX(AI$5:AI4896)+1,""))</f>
        <v/>
      </c>
    </row>
    <row r="4898">
      <c r="B4898" s="47" t="n"/>
      <c r="C4898" s="48" t="n"/>
      <c r="D4898" s="48" t="n"/>
      <c r="E4898" s="48" t="n"/>
      <c r="F4898" s="48" t="n"/>
      <c r="G4898" s="49" t="n"/>
      <c r="H4898" s="48" t="n"/>
      <c r="I4898" s="50" t="n"/>
      <c r="J4898" s="48" t="n"/>
      <c r="K4898" s="48" t="n"/>
      <c r="L4898" s="48" t="n"/>
      <c r="M4898" s="48" t="n"/>
      <c r="N4898" s="48" t="n"/>
      <c r="O4898" s="51">
        <f>IF(AND(B4898="",G4898="",C4898="",D4898="",J4898=""),"",IF(B4898="","⚠ Falta fecha",IF(G4898="","⚠ Falta monto",IF(Q4898="","⚠ Falta cuenta",IF(ISNA(MATCH(Q4898,ctaNombre,0)),"⚠ Cuenta no registrada",IF(AND(OR(P4898="Gasto",P4898="Reembolso"),D4898=""),"⚠ Falta categoría",IF(AND(D4898&lt;&gt;"",E4898&lt;&gt;"",ISNA(MATCH(D4898&amp;"|"&amp;E4898,catClave,0))),"⚠ Subcategoría no corresponde",IF(AND(OR(P4898="Transferencia",P4898="Pago tarjeta"),K4898=""),"⚠ Falta cuenta destino",IF(AND(K4898&lt;&gt;"",P4898&lt;&gt;"Transferencia",P4898&lt;&gt;"Pago tarjeta"),"⚠ Destino solo aplica a transferencias",IF(AND(K4898&lt;&gt;"",K4898=Q4898),"⚠ Origen igual a destino",IF(AND(K4898&lt;&gt;"",ISNA(MATCH(K4898,ctaNombre,0))),"⚠ Destino no registrado",IF(AND(P4898="Pago tarjeta",AE4898&lt;&gt;"Tarjeta de crédito"),"⚠ El destino debe ser tarjeta de crédito",IF(AND(P4898="Gasto",E4898="Depósitos y retiros"),"⚠ Usa tipo Transferencia",IF(AND(P4898="Resultado trading",AD4898&lt;&gt;"Cuenta de trading"),"⚠ Usa una cuenta de trading",IF(AND(G4898&lt;=0,P4898&lt;&gt;"Ajuste",P4898&lt;&gt;"Resultado trading"),"⚠ El monto debe ser positivo","✓")))))))))))))))</f>
        <v/>
      </c>
      <c r="P4898" s="52">
        <f>IF(OR(B4898="",G4898=""),"",IF(C4898="","Gasto",C4898))</f>
        <v/>
      </c>
      <c r="Q4898" s="52">
        <f>IF(P4898="","",IF(J4898&lt;&gt;"",J4898,CuentaPred&amp;""))</f>
        <v/>
      </c>
      <c r="R4898" s="52">
        <f>IF(P4898="","",IF(ISNUMBER(I4898),I4898,TasaUSD))</f>
        <v/>
      </c>
      <c r="S4898" s="53">
        <f>IF(P4898="","",IF(H4898="USD",G4898*R4898,G4898))</f>
        <v/>
      </c>
      <c r="T4898" s="53">
        <f>IF(P4898="","",IF(H4898="USD",G4898,IF(R4898&gt;0,G4898/R4898,0)))</f>
        <v/>
      </c>
      <c r="U4898" s="53">
        <f>IF(P4898="","",IF(P4898="Gasto",S4898,IF(P4898="Reembolso",-S4898,0)))</f>
        <v/>
      </c>
      <c r="V4898" s="53">
        <f>IF(P4898="","",IF(P4898="Ingreso",S4898,0))</f>
        <v/>
      </c>
      <c r="W4898" s="53">
        <f>IF(P4898="","",IF(P4898="Resultado trading",S4898,0))</f>
        <v/>
      </c>
      <c r="X4898" s="52">
        <f>IF(OR(P4898="Gasto",P4898="Reembolso"),IF(M4898&lt;&gt;"",M4898,IFERROR(INDEX(catClasif,MATCH(D4898&amp;"|"&amp;E4898,catClave,0))&amp;"","Variable")),"")</f>
        <v/>
      </c>
      <c r="Y4898" s="52">
        <f>IF(P4898="","",IFERROR(INDEX(catGrupo,MATCH(D4898&amp;"|"&amp;E4898,catClave,0))&amp;"",""))</f>
        <v/>
      </c>
      <c r="Z4898" s="52">
        <f>IF(P4898="","",WEEKDAY(B4898,2))</f>
        <v/>
      </c>
      <c r="AA4898" s="52">
        <f>IF(P4898="","",IF(AND(P4898="Gasto",X4898="Variable",D4898&lt;&gt;catTrading,S4898&gt;0,S4898&lt;=Umbral),1,0))</f>
        <v/>
      </c>
      <c r="AB4898" s="52">
        <f>IF(OR(P4898="",Q4898=""),"",IFERROR(IF(INDEX(ctaVinc,MATCH(Q4898,ctaNombre,0))&amp;""&lt;&gt;"",INDEX(ctaVinc,MATCH(Q4898,ctaNombre,0))&amp;"",Q4898),Q4898))</f>
        <v/>
      </c>
      <c r="AC4898" s="52">
        <f>IF(OR(K4898="",AND(P4898&lt;&gt;"Transferencia",P4898&lt;&gt;"Pago tarjeta")),"",IFERROR(IF(INDEX(ctaVinc,MATCH(K4898,ctaNombre,0))&amp;""&lt;&gt;"",INDEX(ctaVinc,MATCH(K4898,ctaNombre,0))&amp;"",K4898),K4898))</f>
        <v/>
      </c>
      <c r="AD4898" s="52">
        <f>IF(AB4898="","",IFERROR(INDEX(ctaTipo,MATCH(AB4898,ctaNombre,0))&amp;"",""))</f>
        <v/>
      </c>
      <c r="AE4898" s="52">
        <f>IF(AC4898="","",IFERROR(INDEX(ctaTipo,MATCH(AC4898,ctaNombre,0))&amp;"",""))</f>
        <v/>
      </c>
      <c r="AF4898" s="53">
        <f>IF(OR(P4898="",AB4898=""),"",IF(OR(P4898="Gasto",P4898="Transferencia",P4898="Pago tarjeta"),-1,1)*IF(IFERROR(INDEX(ctaMoneda,MATCH(AB4898,ctaNombre,0))&amp;"","DOP")="USD",T4898,S4898))</f>
        <v/>
      </c>
      <c r="AG4898" s="53">
        <f>IF(AC4898="","",IF(IFERROR(INDEX(ctaMoneda,MATCH(AC4898,ctaNombre,0))&amp;"","DOP")="USD",T4898,S4898))</f>
        <v/>
      </c>
      <c r="AH4898" s="53">
        <f>IF(P4898="","",IF(AND(AD4898&lt;&gt;"",COUNTIFS(tcTipo,AD4898,tcLiq,"Sí")&gt;0),IF(OR(P4898="Gasto",P4898="Transferencia",P4898="Pago tarjeta"),-1,1)*S4898,0)+IF(AND(AE4898&lt;&gt;"",COUNTIFS(tcTipo,AE4898,tcLiq,"Sí")&gt;0),S4898,0))</f>
        <v/>
      </c>
      <c r="AI4898" s="52">
        <f>IF(OR(L4898="",P4898=""),"",IF(COUNTIFS(L$6:L4898,L4898,P$6:P4898,"?*")=1,MAX(AI$5:AI4897)+1,""))</f>
        <v/>
      </c>
    </row>
    <row r="4899">
      <c r="B4899" s="47" t="n"/>
      <c r="C4899" s="48" t="n"/>
      <c r="D4899" s="48" t="n"/>
      <c r="E4899" s="48" t="n"/>
      <c r="F4899" s="48" t="n"/>
      <c r="G4899" s="49" t="n"/>
      <c r="H4899" s="48" t="n"/>
      <c r="I4899" s="50" t="n"/>
      <c r="J4899" s="48" t="n"/>
      <c r="K4899" s="48" t="n"/>
      <c r="L4899" s="48" t="n"/>
      <c r="M4899" s="48" t="n"/>
      <c r="N4899" s="48" t="n"/>
      <c r="O4899" s="51">
        <f>IF(AND(B4899="",G4899="",C4899="",D4899="",J4899=""),"",IF(B4899="","⚠ Falta fecha",IF(G4899="","⚠ Falta monto",IF(Q4899="","⚠ Falta cuenta",IF(ISNA(MATCH(Q4899,ctaNombre,0)),"⚠ Cuenta no registrada",IF(AND(OR(P4899="Gasto",P4899="Reembolso"),D4899=""),"⚠ Falta categoría",IF(AND(D4899&lt;&gt;"",E4899&lt;&gt;"",ISNA(MATCH(D4899&amp;"|"&amp;E4899,catClave,0))),"⚠ Subcategoría no corresponde",IF(AND(OR(P4899="Transferencia",P4899="Pago tarjeta"),K4899=""),"⚠ Falta cuenta destino",IF(AND(K4899&lt;&gt;"",P4899&lt;&gt;"Transferencia",P4899&lt;&gt;"Pago tarjeta"),"⚠ Destino solo aplica a transferencias",IF(AND(K4899&lt;&gt;"",K4899=Q4899),"⚠ Origen igual a destino",IF(AND(K4899&lt;&gt;"",ISNA(MATCH(K4899,ctaNombre,0))),"⚠ Destino no registrado",IF(AND(P4899="Pago tarjeta",AE4899&lt;&gt;"Tarjeta de crédito"),"⚠ El destino debe ser tarjeta de crédito",IF(AND(P4899="Gasto",E4899="Depósitos y retiros"),"⚠ Usa tipo Transferencia",IF(AND(P4899="Resultado trading",AD4899&lt;&gt;"Cuenta de trading"),"⚠ Usa una cuenta de trading",IF(AND(G4899&lt;=0,P4899&lt;&gt;"Ajuste",P4899&lt;&gt;"Resultado trading"),"⚠ El monto debe ser positivo","✓")))))))))))))))</f>
        <v/>
      </c>
      <c r="P4899" s="52">
        <f>IF(OR(B4899="",G4899=""),"",IF(C4899="","Gasto",C4899))</f>
        <v/>
      </c>
      <c r="Q4899" s="52">
        <f>IF(P4899="","",IF(J4899&lt;&gt;"",J4899,CuentaPred&amp;""))</f>
        <v/>
      </c>
      <c r="R4899" s="52">
        <f>IF(P4899="","",IF(ISNUMBER(I4899),I4899,TasaUSD))</f>
        <v/>
      </c>
      <c r="S4899" s="53">
        <f>IF(P4899="","",IF(H4899="USD",G4899*R4899,G4899))</f>
        <v/>
      </c>
      <c r="T4899" s="53">
        <f>IF(P4899="","",IF(H4899="USD",G4899,IF(R4899&gt;0,G4899/R4899,0)))</f>
        <v/>
      </c>
      <c r="U4899" s="53">
        <f>IF(P4899="","",IF(P4899="Gasto",S4899,IF(P4899="Reembolso",-S4899,0)))</f>
        <v/>
      </c>
      <c r="V4899" s="53">
        <f>IF(P4899="","",IF(P4899="Ingreso",S4899,0))</f>
        <v/>
      </c>
      <c r="W4899" s="53">
        <f>IF(P4899="","",IF(P4899="Resultado trading",S4899,0))</f>
        <v/>
      </c>
      <c r="X4899" s="52">
        <f>IF(OR(P4899="Gasto",P4899="Reembolso"),IF(M4899&lt;&gt;"",M4899,IFERROR(INDEX(catClasif,MATCH(D4899&amp;"|"&amp;E4899,catClave,0))&amp;"","Variable")),"")</f>
        <v/>
      </c>
      <c r="Y4899" s="52">
        <f>IF(P4899="","",IFERROR(INDEX(catGrupo,MATCH(D4899&amp;"|"&amp;E4899,catClave,0))&amp;"",""))</f>
        <v/>
      </c>
      <c r="Z4899" s="52">
        <f>IF(P4899="","",WEEKDAY(B4899,2))</f>
        <v/>
      </c>
      <c r="AA4899" s="52">
        <f>IF(P4899="","",IF(AND(P4899="Gasto",X4899="Variable",D4899&lt;&gt;catTrading,S4899&gt;0,S4899&lt;=Umbral),1,0))</f>
        <v/>
      </c>
      <c r="AB4899" s="52">
        <f>IF(OR(P4899="",Q4899=""),"",IFERROR(IF(INDEX(ctaVinc,MATCH(Q4899,ctaNombre,0))&amp;""&lt;&gt;"",INDEX(ctaVinc,MATCH(Q4899,ctaNombre,0))&amp;"",Q4899),Q4899))</f>
        <v/>
      </c>
      <c r="AC4899" s="52">
        <f>IF(OR(K4899="",AND(P4899&lt;&gt;"Transferencia",P4899&lt;&gt;"Pago tarjeta")),"",IFERROR(IF(INDEX(ctaVinc,MATCH(K4899,ctaNombre,0))&amp;""&lt;&gt;"",INDEX(ctaVinc,MATCH(K4899,ctaNombre,0))&amp;"",K4899),K4899))</f>
        <v/>
      </c>
      <c r="AD4899" s="52">
        <f>IF(AB4899="","",IFERROR(INDEX(ctaTipo,MATCH(AB4899,ctaNombre,0))&amp;"",""))</f>
        <v/>
      </c>
      <c r="AE4899" s="52">
        <f>IF(AC4899="","",IFERROR(INDEX(ctaTipo,MATCH(AC4899,ctaNombre,0))&amp;"",""))</f>
        <v/>
      </c>
      <c r="AF4899" s="53">
        <f>IF(OR(P4899="",AB4899=""),"",IF(OR(P4899="Gasto",P4899="Transferencia",P4899="Pago tarjeta"),-1,1)*IF(IFERROR(INDEX(ctaMoneda,MATCH(AB4899,ctaNombre,0))&amp;"","DOP")="USD",T4899,S4899))</f>
        <v/>
      </c>
      <c r="AG4899" s="53">
        <f>IF(AC4899="","",IF(IFERROR(INDEX(ctaMoneda,MATCH(AC4899,ctaNombre,0))&amp;"","DOP")="USD",T4899,S4899))</f>
        <v/>
      </c>
      <c r="AH4899" s="53">
        <f>IF(P4899="","",IF(AND(AD4899&lt;&gt;"",COUNTIFS(tcTipo,AD4899,tcLiq,"Sí")&gt;0),IF(OR(P4899="Gasto",P4899="Transferencia",P4899="Pago tarjeta"),-1,1)*S4899,0)+IF(AND(AE4899&lt;&gt;"",COUNTIFS(tcTipo,AE4899,tcLiq,"Sí")&gt;0),S4899,0))</f>
        <v/>
      </c>
      <c r="AI4899" s="52">
        <f>IF(OR(L4899="",P4899=""),"",IF(COUNTIFS(L$6:L4899,L4899,P$6:P4899,"?*")=1,MAX(AI$5:AI4898)+1,""))</f>
        <v/>
      </c>
    </row>
    <row r="4900">
      <c r="B4900" s="47" t="n"/>
      <c r="C4900" s="48" t="n"/>
      <c r="D4900" s="48" t="n"/>
      <c r="E4900" s="48" t="n"/>
      <c r="F4900" s="48" t="n"/>
      <c r="G4900" s="49" t="n"/>
      <c r="H4900" s="48" t="n"/>
      <c r="I4900" s="50" t="n"/>
      <c r="J4900" s="48" t="n"/>
      <c r="K4900" s="48" t="n"/>
      <c r="L4900" s="48" t="n"/>
      <c r="M4900" s="48" t="n"/>
      <c r="N4900" s="48" t="n"/>
      <c r="O4900" s="51">
        <f>IF(AND(B4900="",G4900="",C4900="",D4900="",J4900=""),"",IF(B4900="","⚠ Falta fecha",IF(G4900="","⚠ Falta monto",IF(Q4900="","⚠ Falta cuenta",IF(ISNA(MATCH(Q4900,ctaNombre,0)),"⚠ Cuenta no registrada",IF(AND(OR(P4900="Gasto",P4900="Reembolso"),D4900=""),"⚠ Falta categoría",IF(AND(D4900&lt;&gt;"",E4900&lt;&gt;"",ISNA(MATCH(D4900&amp;"|"&amp;E4900,catClave,0))),"⚠ Subcategoría no corresponde",IF(AND(OR(P4900="Transferencia",P4900="Pago tarjeta"),K4900=""),"⚠ Falta cuenta destino",IF(AND(K4900&lt;&gt;"",P4900&lt;&gt;"Transferencia",P4900&lt;&gt;"Pago tarjeta"),"⚠ Destino solo aplica a transferencias",IF(AND(K4900&lt;&gt;"",K4900=Q4900),"⚠ Origen igual a destino",IF(AND(K4900&lt;&gt;"",ISNA(MATCH(K4900,ctaNombre,0))),"⚠ Destino no registrado",IF(AND(P4900="Pago tarjeta",AE4900&lt;&gt;"Tarjeta de crédito"),"⚠ El destino debe ser tarjeta de crédito",IF(AND(P4900="Gasto",E4900="Depósitos y retiros"),"⚠ Usa tipo Transferencia",IF(AND(P4900="Resultado trading",AD4900&lt;&gt;"Cuenta de trading"),"⚠ Usa una cuenta de trading",IF(AND(G4900&lt;=0,P4900&lt;&gt;"Ajuste",P4900&lt;&gt;"Resultado trading"),"⚠ El monto debe ser positivo","✓")))))))))))))))</f>
        <v/>
      </c>
      <c r="P4900" s="52">
        <f>IF(OR(B4900="",G4900=""),"",IF(C4900="","Gasto",C4900))</f>
        <v/>
      </c>
      <c r="Q4900" s="52">
        <f>IF(P4900="","",IF(J4900&lt;&gt;"",J4900,CuentaPred&amp;""))</f>
        <v/>
      </c>
      <c r="R4900" s="52">
        <f>IF(P4900="","",IF(ISNUMBER(I4900),I4900,TasaUSD))</f>
        <v/>
      </c>
      <c r="S4900" s="53">
        <f>IF(P4900="","",IF(H4900="USD",G4900*R4900,G4900))</f>
        <v/>
      </c>
      <c r="T4900" s="53">
        <f>IF(P4900="","",IF(H4900="USD",G4900,IF(R4900&gt;0,G4900/R4900,0)))</f>
        <v/>
      </c>
      <c r="U4900" s="53">
        <f>IF(P4900="","",IF(P4900="Gasto",S4900,IF(P4900="Reembolso",-S4900,0)))</f>
        <v/>
      </c>
      <c r="V4900" s="53">
        <f>IF(P4900="","",IF(P4900="Ingreso",S4900,0))</f>
        <v/>
      </c>
      <c r="W4900" s="53">
        <f>IF(P4900="","",IF(P4900="Resultado trading",S4900,0))</f>
        <v/>
      </c>
      <c r="X4900" s="52">
        <f>IF(OR(P4900="Gasto",P4900="Reembolso"),IF(M4900&lt;&gt;"",M4900,IFERROR(INDEX(catClasif,MATCH(D4900&amp;"|"&amp;E4900,catClave,0))&amp;"","Variable")),"")</f>
        <v/>
      </c>
      <c r="Y4900" s="52">
        <f>IF(P4900="","",IFERROR(INDEX(catGrupo,MATCH(D4900&amp;"|"&amp;E4900,catClave,0))&amp;"",""))</f>
        <v/>
      </c>
      <c r="Z4900" s="52">
        <f>IF(P4900="","",WEEKDAY(B4900,2))</f>
        <v/>
      </c>
      <c r="AA4900" s="52">
        <f>IF(P4900="","",IF(AND(P4900="Gasto",X4900="Variable",D4900&lt;&gt;catTrading,S4900&gt;0,S4900&lt;=Umbral),1,0))</f>
        <v/>
      </c>
      <c r="AB4900" s="52">
        <f>IF(OR(P4900="",Q4900=""),"",IFERROR(IF(INDEX(ctaVinc,MATCH(Q4900,ctaNombre,0))&amp;""&lt;&gt;"",INDEX(ctaVinc,MATCH(Q4900,ctaNombre,0))&amp;"",Q4900),Q4900))</f>
        <v/>
      </c>
      <c r="AC4900" s="52">
        <f>IF(OR(K4900="",AND(P4900&lt;&gt;"Transferencia",P4900&lt;&gt;"Pago tarjeta")),"",IFERROR(IF(INDEX(ctaVinc,MATCH(K4900,ctaNombre,0))&amp;""&lt;&gt;"",INDEX(ctaVinc,MATCH(K4900,ctaNombre,0))&amp;"",K4900),K4900))</f>
        <v/>
      </c>
      <c r="AD4900" s="52">
        <f>IF(AB4900="","",IFERROR(INDEX(ctaTipo,MATCH(AB4900,ctaNombre,0))&amp;"",""))</f>
        <v/>
      </c>
      <c r="AE4900" s="52">
        <f>IF(AC4900="","",IFERROR(INDEX(ctaTipo,MATCH(AC4900,ctaNombre,0))&amp;"",""))</f>
        <v/>
      </c>
      <c r="AF4900" s="53">
        <f>IF(OR(P4900="",AB4900=""),"",IF(OR(P4900="Gasto",P4900="Transferencia",P4900="Pago tarjeta"),-1,1)*IF(IFERROR(INDEX(ctaMoneda,MATCH(AB4900,ctaNombre,0))&amp;"","DOP")="USD",T4900,S4900))</f>
        <v/>
      </c>
      <c r="AG4900" s="53">
        <f>IF(AC4900="","",IF(IFERROR(INDEX(ctaMoneda,MATCH(AC4900,ctaNombre,0))&amp;"","DOP")="USD",T4900,S4900))</f>
        <v/>
      </c>
      <c r="AH4900" s="53">
        <f>IF(P4900="","",IF(AND(AD4900&lt;&gt;"",COUNTIFS(tcTipo,AD4900,tcLiq,"Sí")&gt;0),IF(OR(P4900="Gasto",P4900="Transferencia",P4900="Pago tarjeta"),-1,1)*S4900,0)+IF(AND(AE4900&lt;&gt;"",COUNTIFS(tcTipo,AE4900,tcLiq,"Sí")&gt;0),S4900,0))</f>
        <v/>
      </c>
      <c r="AI4900" s="52">
        <f>IF(OR(L4900="",P4900=""),"",IF(COUNTIFS(L$6:L4900,L4900,P$6:P4900,"?*")=1,MAX(AI$5:AI4899)+1,""))</f>
        <v/>
      </c>
    </row>
    <row r="4901">
      <c r="B4901" s="47" t="n"/>
      <c r="C4901" s="48" t="n"/>
      <c r="D4901" s="48" t="n"/>
      <c r="E4901" s="48" t="n"/>
      <c r="F4901" s="48" t="n"/>
      <c r="G4901" s="49" t="n"/>
      <c r="H4901" s="48" t="n"/>
      <c r="I4901" s="50" t="n"/>
      <c r="J4901" s="48" t="n"/>
      <c r="K4901" s="48" t="n"/>
      <c r="L4901" s="48" t="n"/>
      <c r="M4901" s="48" t="n"/>
      <c r="N4901" s="48" t="n"/>
      <c r="O4901" s="51">
        <f>IF(AND(B4901="",G4901="",C4901="",D4901="",J4901=""),"",IF(B4901="","⚠ Falta fecha",IF(G4901="","⚠ Falta monto",IF(Q4901="","⚠ Falta cuenta",IF(ISNA(MATCH(Q4901,ctaNombre,0)),"⚠ Cuenta no registrada",IF(AND(OR(P4901="Gasto",P4901="Reembolso"),D4901=""),"⚠ Falta categoría",IF(AND(D4901&lt;&gt;"",E4901&lt;&gt;"",ISNA(MATCH(D4901&amp;"|"&amp;E4901,catClave,0))),"⚠ Subcategoría no corresponde",IF(AND(OR(P4901="Transferencia",P4901="Pago tarjeta"),K4901=""),"⚠ Falta cuenta destino",IF(AND(K4901&lt;&gt;"",P4901&lt;&gt;"Transferencia",P4901&lt;&gt;"Pago tarjeta"),"⚠ Destino solo aplica a transferencias",IF(AND(K4901&lt;&gt;"",K4901=Q4901),"⚠ Origen igual a destino",IF(AND(K4901&lt;&gt;"",ISNA(MATCH(K4901,ctaNombre,0))),"⚠ Destino no registrado",IF(AND(P4901="Pago tarjeta",AE4901&lt;&gt;"Tarjeta de crédito"),"⚠ El destino debe ser tarjeta de crédito",IF(AND(P4901="Gasto",E4901="Depósitos y retiros"),"⚠ Usa tipo Transferencia",IF(AND(P4901="Resultado trading",AD4901&lt;&gt;"Cuenta de trading"),"⚠ Usa una cuenta de trading",IF(AND(G4901&lt;=0,P4901&lt;&gt;"Ajuste",P4901&lt;&gt;"Resultado trading"),"⚠ El monto debe ser positivo","✓")))))))))))))))</f>
        <v/>
      </c>
      <c r="P4901" s="52">
        <f>IF(OR(B4901="",G4901=""),"",IF(C4901="","Gasto",C4901))</f>
        <v/>
      </c>
      <c r="Q4901" s="52">
        <f>IF(P4901="","",IF(J4901&lt;&gt;"",J4901,CuentaPred&amp;""))</f>
        <v/>
      </c>
      <c r="R4901" s="52">
        <f>IF(P4901="","",IF(ISNUMBER(I4901),I4901,TasaUSD))</f>
        <v/>
      </c>
      <c r="S4901" s="53">
        <f>IF(P4901="","",IF(H4901="USD",G4901*R4901,G4901))</f>
        <v/>
      </c>
      <c r="T4901" s="53">
        <f>IF(P4901="","",IF(H4901="USD",G4901,IF(R4901&gt;0,G4901/R4901,0)))</f>
        <v/>
      </c>
      <c r="U4901" s="53">
        <f>IF(P4901="","",IF(P4901="Gasto",S4901,IF(P4901="Reembolso",-S4901,0)))</f>
        <v/>
      </c>
      <c r="V4901" s="53">
        <f>IF(P4901="","",IF(P4901="Ingreso",S4901,0))</f>
        <v/>
      </c>
      <c r="W4901" s="53">
        <f>IF(P4901="","",IF(P4901="Resultado trading",S4901,0))</f>
        <v/>
      </c>
      <c r="X4901" s="52">
        <f>IF(OR(P4901="Gasto",P4901="Reembolso"),IF(M4901&lt;&gt;"",M4901,IFERROR(INDEX(catClasif,MATCH(D4901&amp;"|"&amp;E4901,catClave,0))&amp;"","Variable")),"")</f>
        <v/>
      </c>
      <c r="Y4901" s="52">
        <f>IF(P4901="","",IFERROR(INDEX(catGrupo,MATCH(D4901&amp;"|"&amp;E4901,catClave,0))&amp;"",""))</f>
        <v/>
      </c>
      <c r="Z4901" s="52">
        <f>IF(P4901="","",WEEKDAY(B4901,2))</f>
        <v/>
      </c>
      <c r="AA4901" s="52">
        <f>IF(P4901="","",IF(AND(P4901="Gasto",X4901="Variable",D4901&lt;&gt;catTrading,S4901&gt;0,S4901&lt;=Umbral),1,0))</f>
        <v/>
      </c>
      <c r="AB4901" s="52">
        <f>IF(OR(P4901="",Q4901=""),"",IFERROR(IF(INDEX(ctaVinc,MATCH(Q4901,ctaNombre,0))&amp;""&lt;&gt;"",INDEX(ctaVinc,MATCH(Q4901,ctaNombre,0))&amp;"",Q4901),Q4901))</f>
        <v/>
      </c>
      <c r="AC4901" s="52">
        <f>IF(OR(K4901="",AND(P4901&lt;&gt;"Transferencia",P4901&lt;&gt;"Pago tarjeta")),"",IFERROR(IF(INDEX(ctaVinc,MATCH(K4901,ctaNombre,0))&amp;""&lt;&gt;"",INDEX(ctaVinc,MATCH(K4901,ctaNombre,0))&amp;"",K4901),K4901))</f>
        <v/>
      </c>
      <c r="AD4901" s="52">
        <f>IF(AB4901="","",IFERROR(INDEX(ctaTipo,MATCH(AB4901,ctaNombre,0))&amp;"",""))</f>
        <v/>
      </c>
      <c r="AE4901" s="52">
        <f>IF(AC4901="","",IFERROR(INDEX(ctaTipo,MATCH(AC4901,ctaNombre,0))&amp;"",""))</f>
        <v/>
      </c>
      <c r="AF4901" s="53">
        <f>IF(OR(P4901="",AB4901=""),"",IF(OR(P4901="Gasto",P4901="Transferencia",P4901="Pago tarjeta"),-1,1)*IF(IFERROR(INDEX(ctaMoneda,MATCH(AB4901,ctaNombre,0))&amp;"","DOP")="USD",T4901,S4901))</f>
        <v/>
      </c>
      <c r="AG4901" s="53">
        <f>IF(AC4901="","",IF(IFERROR(INDEX(ctaMoneda,MATCH(AC4901,ctaNombre,0))&amp;"","DOP")="USD",T4901,S4901))</f>
        <v/>
      </c>
      <c r="AH4901" s="53">
        <f>IF(P4901="","",IF(AND(AD4901&lt;&gt;"",COUNTIFS(tcTipo,AD4901,tcLiq,"Sí")&gt;0),IF(OR(P4901="Gasto",P4901="Transferencia",P4901="Pago tarjeta"),-1,1)*S4901,0)+IF(AND(AE4901&lt;&gt;"",COUNTIFS(tcTipo,AE4901,tcLiq,"Sí")&gt;0),S4901,0))</f>
        <v/>
      </c>
      <c r="AI4901" s="52">
        <f>IF(OR(L4901="",P4901=""),"",IF(COUNTIFS(L$6:L4901,L4901,P$6:P4901,"?*")=1,MAX(AI$5:AI4900)+1,""))</f>
        <v/>
      </c>
    </row>
    <row r="4902">
      <c r="B4902" s="47" t="n"/>
      <c r="C4902" s="48" t="n"/>
      <c r="D4902" s="48" t="n"/>
      <c r="E4902" s="48" t="n"/>
      <c r="F4902" s="48" t="n"/>
      <c r="G4902" s="49" t="n"/>
      <c r="H4902" s="48" t="n"/>
      <c r="I4902" s="50" t="n"/>
      <c r="J4902" s="48" t="n"/>
      <c r="K4902" s="48" t="n"/>
      <c r="L4902" s="48" t="n"/>
      <c r="M4902" s="48" t="n"/>
      <c r="N4902" s="48" t="n"/>
      <c r="O4902" s="51">
        <f>IF(AND(B4902="",G4902="",C4902="",D4902="",J4902=""),"",IF(B4902="","⚠ Falta fecha",IF(G4902="","⚠ Falta monto",IF(Q4902="","⚠ Falta cuenta",IF(ISNA(MATCH(Q4902,ctaNombre,0)),"⚠ Cuenta no registrada",IF(AND(OR(P4902="Gasto",P4902="Reembolso"),D4902=""),"⚠ Falta categoría",IF(AND(D4902&lt;&gt;"",E4902&lt;&gt;"",ISNA(MATCH(D4902&amp;"|"&amp;E4902,catClave,0))),"⚠ Subcategoría no corresponde",IF(AND(OR(P4902="Transferencia",P4902="Pago tarjeta"),K4902=""),"⚠ Falta cuenta destino",IF(AND(K4902&lt;&gt;"",P4902&lt;&gt;"Transferencia",P4902&lt;&gt;"Pago tarjeta"),"⚠ Destino solo aplica a transferencias",IF(AND(K4902&lt;&gt;"",K4902=Q4902),"⚠ Origen igual a destino",IF(AND(K4902&lt;&gt;"",ISNA(MATCH(K4902,ctaNombre,0))),"⚠ Destino no registrado",IF(AND(P4902="Pago tarjeta",AE4902&lt;&gt;"Tarjeta de crédito"),"⚠ El destino debe ser tarjeta de crédito",IF(AND(P4902="Gasto",E4902="Depósitos y retiros"),"⚠ Usa tipo Transferencia",IF(AND(P4902="Resultado trading",AD4902&lt;&gt;"Cuenta de trading"),"⚠ Usa una cuenta de trading",IF(AND(G4902&lt;=0,P4902&lt;&gt;"Ajuste",P4902&lt;&gt;"Resultado trading"),"⚠ El monto debe ser positivo","✓")))))))))))))))</f>
        <v/>
      </c>
      <c r="P4902" s="52">
        <f>IF(OR(B4902="",G4902=""),"",IF(C4902="","Gasto",C4902))</f>
        <v/>
      </c>
      <c r="Q4902" s="52">
        <f>IF(P4902="","",IF(J4902&lt;&gt;"",J4902,CuentaPred&amp;""))</f>
        <v/>
      </c>
      <c r="R4902" s="52">
        <f>IF(P4902="","",IF(ISNUMBER(I4902),I4902,TasaUSD))</f>
        <v/>
      </c>
      <c r="S4902" s="53">
        <f>IF(P4902="","",IF(H4902="USD",G4902*R4902,G4902))</f>
        <v/>
      </c>
      <c r="T4902" s="53">
        <f>IF(P4902="","",IF(H4902="USD",G4902,IF(R4902&gt;0,G4902/R4902,0)))</f>
        <v/>
      </c>
      <c r="U4902" s="53">
        <f>IF(P4902="","",IF(P4902="Gasto",S4902,IF(P4902="Reembolso",-S4902,0)))</f>
        <v/>
      </c>
      <c r="V4902" s="53">
        <f>IF(P4902="","",IF(P4902="Ingreso",S4902,0))</f>
        <v/>
      </c>
      <c r="W4902" s="53">
        <f>IF(P4902="","",IF(P4902="Resultado trading",S4902,0))</f>
        <v/>
      </c>
      <c r="X4902" s="52">
        <f>IF(OR(P4902="Gasto",P4902="Reembolso"),IF(M4902&lt;&gt;"",M4902,IFERROR(INDEX(catClasif,MATCH(D4902&amp;"|"&amp;E4902,catClave,0))&amp;"","Variable")),"")</f>
        <v/>
      </c>
      <c r="Y4902" s="52">
        <f>IF(P4902="","",IFERROR(INDEX(catGrupo,MATCH(D4902&amp;"|"&amp;E4902,catClave,0))&amp;"",""))</f>
        <v/>
      </c>
      <c r="Z4902" s="52">
        <f>IF(P4902="","",WEEKDAY(B4902,2))</f>
        <v/>
      </c>
      <c r="AA4902" s="52">
        <f>IF(P4902="","",IF(AND(P4902="Gasto",X4902="Variable",D4902&lt;&gt;catTrading,S4902&gt;0,S4902&lt;=Umbral),1,0))</f>
        <v/>
      </c>
      <c r="AB4902" s="52">
        <f>IF(OR(P4902="",Q4902=""),"",IFERROR(IF(INDEX(ctaVinc,MATCH(Q4902,ctaNombre,0))&amp;""&lt;&gt;"",INDEX(ctaVinc,MATCH(Q4902,ctaNombre,0))&amp;"",Q4902),Q4902))</f>
        <v/>
      </c>
      <c r="AC4902" s="52">
        <f>IF(OR(K4902="",AND(P4902&lt;&gt;"Transferencia",P4902&lt;&gt;"Pago tarjeta")),"",IFERROR(IF(INDEX(ctaVinc,MATCH(K4902,ctaNombre,0))&amp;""&lt;&gt;"",INDEX(ctaVinc,MATCH(K4902,ctaNombre,0))&amp;"",K4902),K4902))</f>
        <v/>
      </c>
      <c r="AD4902" s="52">
        <f>IF(AB4902="","",IFERROR(INDEX(ctaTipo,MATCH(AB4902,ctaNombre,0))&amp;"",""))</f>
        <v/>
      </c>
      <c r="AE4902" s="52">
        <f>IF(AC4902="","",IFERROR(INDEX(ctaTipo,MATCH(AC4902,ctaNombre,0))&amp;"",""))</f>
        <v/>
      </c>
      <c r="AF4902" s="53">
        <f>IF(OR(P4902="",AB4902=""),"",IF(OR(P4902="Gasto",P4902="Transferencia",P4902="Pago tarjeta"),-1,1)*IF(IFERROR(INDEX(ctaMoneda,MATCH(AB4902,ctaNombre,0))&amp;"","DOP")="USD",T4902,S4902))</f>
        <v/>
      </c>
      <c r="AG4902" s="53">
        <f>IF(AC4902="","",IF(IFERROR(INDEX(ctaMoneda,MATCH(AC4902,ctaNombre,0))&amp;"","DOP")="USD",T4902,S4902))</f>
        <v/>
      </c>
      <c r="AH4902" s="53">
        <f>IF(P4902="","",IF(AND(AD4902&lt;&gt;"",COUNTIFS(tcTipo,AD4902,tcLiq,"Sí")&gt;0),IF(OR(P4902="Gasto",P4902="Transferencia",P4902="Pago tarjeta"),-1,1)*S4902,0)+IF(AND(AE4902&lt;&gt;"",COUNTIFS(tcTipo,AE4902,tcLiq,"Sí")&gt;0),S4902,0))</f>
        <v/>
      </c>
      <c r="AI4902" s="52">
        <f>IF(OR(L4902="",P4902=""),"",IF(COUNTIFS(L$6:L4902,L4902,P$6:P4902,"?*")=1,MAX(AI$5:AI4901)+1,""))</f>
        <v/>
      </c>
    </row>
    <row r="4903">
      <c r="B4903" s="47" t="n"/>
      <c r="C4903" s="48" t="n"/>
      <c r="D4903" s="48" t="n"/>
      <c r="E4903" s="48" t="n"/>
      <c r="F4903" s="48" t="n"/>
      <c r="G4903" s="49" t="n"/>
      <c r="H4903" s="48" t="n"/>
      <c r="I4903" s="50" t="n"/>
      <c r="J4903" s="48" t="n"/>
      <c r="K4903" s="48" t="n"/>
      <c r="L4903" s="48" t="n"/>
      <c r="M4903" s="48" t="n"/>
      <c r="N4903" s="48" t="n"/>
      <c r="O4903" s="51">
        <f>IF(AND(B4903="",G4903="",C4903="",D4903="",J4903=""),"",IF(B4903="","⚠ Falta fecha",IF(G4903="","⚠ Falta monto",IF(Q4903="","⚠ Falta cuenta",IF(ISNA(MATCH(Q4903,ctaNombre,0)),"⚠ Cuenta no registrada",IF(AND(OR(P4903="Gasto",P4903="Reembolso"),D4903=""),"⚠ Falta categoría",IF(AND(D4903&lt;&gt;"",E4903&lt;&gt;"",ISNA(MATCH(D4903&amp;"|"&amp;E4903,catClave,0))),"⚠ Subcategoría no corresponde",IF(AND(OR(P4903="Transferencia",P4903="Pago tarjeta"),K4903=""),"⚠ Falta cuenta destino",IF(AND(K4903&lt;&gt;"",P4903&lt;&gt;"Transferencia",P4903&lt;&gt;"Pago tarjeta"),"⚠ Destino solo aplica a transferencias",IF(AND(K4903&lt;&gt;"",K4903=Q4903),"⚠ Origen igual a destino",IF(AND(K4903&lt;&gt;"",ISNA(MATCH(K4903,ctaNombre,0))),"⚠ Destino no registrado",IF(AND(P4903="Pago tarjeta",AE4903&lt;&gt;"Tarjeta de crédito"),"⚠ El destino debe ser tarjeta de crédito",IF(AND(P4903="Gasto",E4903="Depósitos y retiros"),"⚠ Usa tipo Transferencia",IF(AND(P4903="Resultado trading",AD4903&lt;&gt;"Cuenta de trading"),"⚠ Usa una cuenta de trading",IF(AND(G4903&lt;=0,P4903&lt;&gt;"Ajuste",P4903&lt;&gt;"Resultado trading"),"⚠ El monto debe ser positivo","✓")))))))))))))))</f>
        <v/>
      </c>
      <c r="P4903" s="52">
        <f>IF(OR(B4903="",G4903=""),"",IF(C4903="","Gasto",C4903))</f>
        <v/>
      </c>
      <c r="Q4903" s="52">
        <f>IF(P4903="","",IF(J4903&lt;&gt;"",J4903,CuentaPred&amp;""))</f>
        <v/>
      </c>
      <c r="R4903" s="52">
        <f>IF(P4903="","",IF(ISNUMBER(I4903),I4903,TasaUSD))</f>
        <v/>
      </c>
      <c r="S4903" s="53">
        <f>IF(P4903="","",IF(H4903="USD",G4903*R4903,G4903))</f>
        <v/>
      </c>
      <c r="T4903" s="53">
        <f>IF(P4903="","",IF(H4903="USD",G4903,IF(R4903&gt;0,G4903/R4903,0)))</f>
        <v/>
      </c>
      <c r="U4903" s="53">
        <f>IF(P4903="","",IF(P4903="Gasto",S4903,IF(P4903="Reembolso",-S4903,0)))</f>
        <v/>
      </c>
      <c r="V4903" s="53">
        <f>IF(P4903="","",IF(P4903="Ingreso",S4903,0))</f>
        <v/>
      </c>
      <c r="W4903" s="53">
        <f>IF(P4903="","",IF(P4903="Resultado trading",S4903,0))</f>
        <v/>
      </c>
      <c r="X4903" s="52">
        <f>IF(OR(P4903="Gasto",P4903="Reembolso"),IF(M4903&lt;&gt;"",M4903,IFERROR(INDEX(catClasif,MATCH(D4903&amp;"|"&amp;E4903,catClave,0))&amp;"","Variable")),"")</f>
        <v/>
      </c>
      <c r="Y4903" s="52">
        <f>IF(P4903="","",IFERROR(INDEX(catGrupo,MATCH(D4903&amp;"|"&amp;E4903,catClave,0))&amp;"",""))</f>
        <v/>
      </c>
      <c r="Z4903" s="52">
        <f>IF(P4903="","",WEEKDAY(B4903,2))</f>
        <v/>
      </c>
      <c r="AA4903" s="52">
        <f>IF(P4903="","",IF(AND(P4903="Gasto",X4903="Variable",D4903&lt;&gt;catTrading,S4903&gt;0,S4903&lt;=Umbral),1,0))</f>
        <v/>
      </c>
      <c r="AB4903" s="52">
        <f>IF(OR(P4903="",Q4903=""),"",IFERROR(IF(INDEX(ctaVinc,MATCH(Q4903,ctaNombre,0))&amp;""&lt;&gt;"",INDEX(ctaVinc,MATCH(Q4903,ctaNombre,0))&amp;"",Q4903),Q4903))</f>
        <v/>
      </c>
      <c r="AC4903" s="52">
        <f>IF(OR(K4903="",AND(P4903&lt;&gt;"Transferencia",P4903&lt;&gt;"Pago tarjeta")),"",IFERROR(IF(INDEX(ctaVinc,MATCH(K4903,ctaNombre,0))&amp;""&lt;&gt;"",INDEX(ctaVinc,MATCH(K4903,ctaNombre,0))&amp;"",K4903),K4903))</f>
        <v/>
      </c>
      <c r="AD4903" s="52">
        <f>IF(AB4903="","",IFERROR(INDEX(ctaTipo,MATCH(AB4903,ctaNombre,0))&amp;"",""))</f>
        <v/>
      </c>
      <c r="AE4903" s="52">
        <f>IF(AC4903="","",IFERROR(INDEX(ctaTipo,MATCH(AC4903,ctaNombre,0))&amp;"",""))</f>
        <v/>
      </c>
      <c r="AF4903" s="53">
        <f>IF(OR(P4903="",AB4903=""),"",IF(OR(P4903="Gasto",P4903="Transferencia",P4903="Pago tarjeta"),-1,1)*IF(IFERROR(INDEX(ctaMoneda,MATCH(AB4903,ctaNombre,0))&amp;"","DOP")="USD",T4903,S4903))</f>
        <v/>
      </c>
      <c r="AG4903" s="53">
        <f>IF(AC4903="","",IF(IFERROR(INDEX(ctaMoneda,MATCH(AC4903,ctaNombre,0))&amp;"","DOP")="USD",T4903,S4903))</f>
        <v/>
      </c>
      <c r="AH4903" s="53">
        <f>IF(P4903="","",IF(AND(AD4903&lt;&gt;"",COUNTIFS(tcTipo,AD4903,tcLiq,"Sí")&gt;0),IF(OR(P4903="Gasto",P4903="Transferencia",P4903="Pago tarjeta"),-1,1)*S4903,0)+IF(AND(AE4903&lt;&gt;"",COUNTIFS(tcTipo,AE4903,tcLiq,"Sí")&gt;0),S4903,0))</f>
        <v/>
      </c>
      <c r="AI4903" s="52">
        <f>IF(OR(L4903="",P4903=""),"",IF(COUNTIFS(L$6:L4903,L4903,P$6:P4903,"?*")=1,MAX(AI$5:AI4902)+1,""))</f>
        <v/>
      </c>
    </row>
    <row r="4904">
      <c r="B4904" s="47" t="n"/>
      <c r="C4904" s="48" t="n"/>
      <c r="D4904" s="48" t="n"/>
      <c r="E4904" s="48" t="n"/>
      <c r="F4904" s="48" t="n"/>
      <c r="G4904" s="49" t="n"/>
      <c r="H4904" s="48" t="n"/>
      <c r="I4904" s="50" t="n"/>
      <c r="J4904" s="48" t="n"/>
      <c r="K4904" s="48" t="n"/>
      <c r="L4904" s="48" t="n"/>
      <c r="M4904" s="48" t="n"/>
      <c r="N4904" s="48" t="n"/>
      <c r="O4904" s="51">
        <f>IF(AND(B4904="",G4904="",C4904="",D4904="",J4904=""),"",IF(B4904="","⚠ Falta fecha",IF(G4904="","⚠ Falta monto",IF(Q4904="","⚠ Falta cuenta",IF(ISNA(MATCH(Q4904,ctaNombre,0)),"⚠ Cuenta no registrada",IF(AND(OR(P4904="Gasto",P4904="Reembolso"),D4904=""),"⚠ Falta categoría",IF(AND(D4904&lt;&gt;"",E4904&lt;&gt;"",ISNA(MATCH(D4904&amp;"|"&amp;E4904,catClave,0))),"⚠ Subcategoría no corresponde",IF(AND(OR(P4904="Transferencia",P4904="Pago tarjeta"),K4904=""),"⚠ Falta cuenta destino",IF(AND(K4904&lt;&gt;"",P4904&lt;&gt;"Transferencia",P4904&lt;&gt;"Pago tarjeta"),"⚠ Destino solo aplica a transferencias",IF(AND(K4904&lt;&gt;"",K4904=Q4904),"⚠ Origen igual a destino",IF(AND(K4904&lt;&gt;"",ISNA(MATCH(K4904,ctaNombre,0))),"⚠ Destino no registrado",IF(AND(P4904="Pago tarjeta",AE4904&lt;&gt;"Tarjeta de crédito"),"⚠ El destino debe ser tarjeta de crédito",IF(AND(P4904="Gasto",E4904="Depósitos y retiros"),"⚠ Usa tipo Transferencia",IF(AND(P4904="Resultado trading",AD4904&lt;&gt;"Cuenta de trading"),"⚠ Usa una cuenta de trading",IF(AND(G4904&lt;=0,P4904&lt;&gt;"Ajuste",P4904&lt;&gt;"Resultado trading"),"⚠ El monto debe ser positivo","✓")))))))))))))))</f>
        <v/>
      </c>
      <c r="P4904" s="52">
        <f>IF(OR(B4904="",G4904=""),"",IF(C4904="","Gasto",C4904))</f>
        <v/>
      </c>
      <c r="Q4904" s="52">
        <f>IF(P4904="","",IF(J4904&lt;&gt;"",J4904,CuentaPred&amp;""))</f>
        <v/>
      </c>
      <c r="R4904" s="52">
        <f>IF(P4904="","",IF(ISNUMBER(I4904),I4904,TasaUSD))</f>
        <v/>
      </c>
      <c r="S4904" s="53">
        <f>IF(P4904="","",IF(H4904="USD",G4904*R4904,G4904))</f>
        <v/>
      </c>
      <c r="T4904" s="53">
        <f>IF(P4904="","",IF(H4904="USD",G4904,IF(R4904&gt;0,G4904/R4904,0)))</f>
        <v/>
      </c>
      <c r="U4904" s="53">
        <f>IF(P4904="","",IF(P4904="Gasto",S4904,IF(P4904="Reembolso",-S4904,0)))</f>
        <v/>
      </c>
      <c r="V4904" s="53">
        <f>IF(P4904="","",IF(P4904="Ingreso",S4904,0))</f>
        <v/>
      </c>
      <c r="W4904" s="53">
        <f>IF(P4904="","",IF(P4904="Resultado trading",S4904,0))</f>
        <v/>
      </c>
      <c r="X4904" s="52">
        <f>IF(OR(P4904="Gasto",P4904="Reembolso"),IF(M4904&lt;&gt;"",M4904,IFERROR(INDEX(catClasif,MATCH(D4904&amp;"|"&amp;E4904,catClave,0))&amp;"","Variable")),"")</f>
        <v/>
      </c>
      <c r="Y4904" s="52">
        <f>IF(P4904="","",IFERROR(INDEX(catGrupo,MATCH(D4904&amp;"|"&amp;E4904,catClave,0))&amp;"",""))</f>
        <v/>
      </c>
      <c r="Z4904" s="52">
        <f>IF(P4904="","",WEEKDAY(B4904,2))</f>
        <v/>
      </c>
      <c r="AA4904" s="52">
        <f>IF(P4904="","",IF(AND(P4904="Gasto",X4904="Variable",D4904&lt;&gt;catTrading,S4904&gt;0,S4904&lt;=Umbral),1,0))</f>
        <v/>
      </c>
      <c r="AB4904" s="52">
        <f>IF(OR(P4904="",Q4904=""),"",IFERROR(IF(INDEX(ctaVinc,MATCH(Q4904,ctaNombre,0))&amp;""&lt;&gt;"",INDEX(ctaVinc,MATCH(Q4904,ctaNombre,0))&amp;"",Q4904),Q4904))</f>
        <v/>
      </c>
      <c r="AC4904" s="52">
        <f>IF(OR(K4904="",AND(P4904&lt;&gt;"Transferencia",P4904&lt;&gt;"Pago tarjeta")),"",IFERROR(IF(INDEX(ctaVinc,MATCH(K4904,ctaNombre,0))&amp;""&lt;&gt;"",INDEX(ctaVinc,MATCH(K4904,ctaNombre,0))&amp;"",K4904),K4904))</f>
        <v/>
      </c>
      <c r="AD4904" s="52">
        <f>IF(AB4904="","",IFERROR(INDEX(ctaTipo,MATCH(AB4904,ctaNombre,0))&amp;"",""))</f>
        <v/>
      </c>
      <c r="AE4904" s="52">
        <f>IF(AC4904="","",IFERROR(INDEX(ctaTipo,MATCH(AC4904,ctaNombre,0))&amp;"",""))</f>
        <v/>
      </c>
      <c r="AF4904" s="53">
        <f>IF(OR(P4904="",AB4904=""),"",IF(OR(P4904="Gasto",P4904="Transferencia",P4904="Pago tarjeta"),-1,1)*IF(IFERROR(INDEX(ctaMoneda,MATCH(AB4904,ctaNombre,0))&amp;"","DOP")="USD",T4904,S4904))</f>
        <v/>
      </c>
      <c r="AG4904" s="53">
        <f>IF(AC4904="","",IF(IFERROR(INDEX(ctaMoneda,MATCH(AC4904,ctaNombre,0))&amp;"","DOP")="USD",T4904,S4904))</f>
        <v/>
      </c>
      <c r="AH4904" s="53">
        <f>IF(P4904="","",IF(AND(AD4904&lt;&gt;"",COUNTIFS(tcTipo,AD4904,tcLiq,"Sí")&gt;0),IF(OR(P4904="Gasto",P4904="Transferencia",P4904="Pago tarjeta"),-1,1)*S4904,0)+IF(AND(AE4904&lt;&gt;"",COUNTIFS(tcTipo,AE4904,tcLiq,"Sí")&gt;0),S4904,0))</f>
        <v/>
      </c>
      <c r="AI4904" s="52">
        <f>IF(OR(L4904="",P4904=""),"",IF(COUNTIFS(L$6:L4904,L4904,P$6:P4904,"?*")=1,MAX(AI$5:AI4903)+1,""))</f>
        <v/>
      </c>
    </row>
    <row r="4905">
      <c r="B4905" s="47" t="n"/>
      <c r="C4905" s="48" t="n"/>
      <c r="D4905" s="48" t="n"/>
      <c r="E4905" s="48" t="n"/>
      <c r="F4905" s="48" t="n"/>
      <c r="G4905" s="49" t="n"/>
      <c r="H4905" s="48" t="n"/>
      <c r="I4905" s="50" t="n"/>
      <c r="J4905" s="48" t="n"/>
      <c r="K4905" s="48" t="n"/>
      <c r="L4905" s="48" t="n"/>
      <c r="M4905" s="48" t="n"/>
      <c r="N4905" s="48" t="n"/>
      <c r="O4905" s="51">
        <f>IF(AND(B4905="",G4905="",C4905="",D4905="",J4905=""),"",IF(B4905="","⚠ Falta fecha",IF(G4905="","⚠ Falta monto",IF(Q4905="","⚠ Falta cuenta",IF(ISNA(MATCH(Q4905,ctaNombre,0)),"⚠ Cuenta no registrada",IF(AND(OR(P4905="Gasto",P4905="Reembolso"),D4905=""),"⚠ Falta categoría",IF(AND(D4905&lt;&gt;"",E4905&lt;&gt;"",ISNA(MATCH(D4905&amp;"|"&amp;E4905,catClave,0))),"⚠ Subcategoría no corresponde",IF(AND(OR(P4905="Transferencia",P4905="Pago tarjeta"),K4905=""),"⚠ Falta cuenta destino",IF(AND(K4905&lt;&gt;"",P4905&lt;&gt;"Transferencia",P4905&lt;&gt;"Pago tarjeta"),"⚠ Destino solo aplica a transferencias",IF(AND(K4905&lt;&gt;"",K4905=Q4905),"⚠ Origen igual a destino",IF(AND(K4905&lt;&gt;"",ISNA(MATCH(K4905,ctaNombre,0))),"⚠ Destino no registrado",IF(AND(P4905="Pago tarjeta",AE4905&lt;&gt;"Tarjeta de crédito"),"⚠ El destino debe ser tarjeta de crédito",IF(AND(P4905="Gasto",E4905="Depósitos y retiros"),"⚠ Usa tipo Transferencia",IF(AND(P4905="Resultado trading",AD4905&lt;&gt;"Cuenta de trading"),"⚠ Usa una cuenta de trading",IF(AND(G4905&lt;=0,P4905&lt;&gt;"Ajuste",P4905&lt;&gt;"Resultado trading"),"⚠ El monto debe ser positivo","✓")))))))))))))))</f>
        <v/>
      </c>
      <c r="P4905" s="52">
        <f>IF(OR(B4905="",G4905=""),"",IF(C4905="","Gasto",C4905))</f>
        <v/>
      </c>
      <c r="Q4905" s="52">
        <f>IF(P4905="","",IF(J4905&lt;&gt;"",J4905,CuentaPred&amp;""))</f>
        <v/>
      </c>
      <c r="R4905" s="52">
        <f>IF(P4905="","",IF(ISNUMBER(I4905),I4905,TasaUSD))</f>
        <v/>
      </c>
      <c r="S4905" s="53">
        <f>IF(P4905="","",IF(H4905="USD",G4905*R4905,G4905))</f>
        <v/>
      </c>
      <c r="T4905" s="53">
        <f>IF(P4905="","",IF(H4905="USD",G4905,IF(R4905&gt;0,G4905/R4905,0)))</f>
        <v/>
      </c>
      <c r="U4905" s="53">
        <f>IF(P4905="","",IF(P4905="Gasto",S4905,IF(P4905="Reembolso",-S4905,0)))</f>
        <v/>
      </c>
      <c r="V4905" s="53">
        <f>IF(P4905="","",IF(P4905="Ingreso",S4905,0))</f>
        <v/>
      </c>
      <c r="W4905" s="53">
        <f>IF(P4905="","",IF(P4905="Resultado trading",S4905,0))</f>
        <v/>
      </c>
      <c r="X4905" s="52">
        <f>IF(OR(P4905="Gasto",P4905="Reembolso"),IF(M4905&lt;&gt;"",M4905,IFERROR(INDEX(catClasif,MATCH(D4905&amp;"|"&amp;E4905,catClave,0))&amp;"","Variable")),"")</f>
        <v/>
      </c>
      <c r="Y4905" s="52">
        <f>IF(P4905="","",IFERROR(INDEX(catGrupo,MATCH(D4905&amp;"|"&amp;E4905,catClave,0))&amp;"",""))</f>
        <v/>
      </c>
      <c r="Z4905" s="52">
        <f>IF(P4905="","",WEEKDAY(B4905,2))</f>
        <v/>
      </c>
      <c r="AA4905" s="52">
        <f>IF(P4905="","",IF(AND(P4905="Gasto",X4905="Variable",D4905&lt;&gt;catTrading,S4905&gt;0,S4905&lt;=Umbral),1,0))</f>
        <v/>
      </c>
      <c r="AB4905" s="52">
        <f>IF(OR(P4905="",Q4905=""),"",IFERROR(IF(INDEX(ctaVinc,MATCH(Q4905,ctaNombre,0))&amp;""&lt;&gt;"",INDEX(ctaVinc,MATCH(Q4905,ctaNombre,0))&amp;"",Q4905),Q4905))</f>
        <v/>
      </c>
      <c r="AC4905" s="52">
        <f>IF(OR(K4905="",AND(P4905&lt;&gt;"Transferencia",P4905&lt;&gt;"Pago tarjeta")),"",IFERROR(IF(INDEX(ctaVinc,MATCH(K4905,ctaNombre,0))&amp;""&lt;&gt;"",INDEX(ctaVinc,MATCH(K4905,ctaNombre,0))&amp;"",K4905),K4905))</f>
        <v/>
      </c>
      <c r="AD4905" s="52">
        <f>IF(AB4905="","",IFERROR(INDEX(ctaTipo,MATCH(AB4905,ctaNombre,0))&amp;"",""))</f>
        <v/>
      </c>
      <c r="AE4905" s="52">
        <f>IF(AC4905="","",IFERROR(INDEX(ctaTipo,MATCH(AC4905,ctaNombre,0))&amp;"",""))</f>
        <v/>
      </c>
      <c r="AF4905" s="53">
        <f>IF(OR(P4905="",AB4905=""),"",IF(OR(P4905="Gasto",P4905="Transferencia",P4905="Pago tarjeta"),-1,1)*IF(IFERROR(INDEX(ctaMoneda,MATCH(AB4905,ctaNombre,0))&amp;"","DOP")="USD",T4905,S4905))</f>
        <v/>
      </c>
      <c r="AG4905" s="53">
        <f>IF(AC4905="","",IF(IFERROR(INDEX(ctaMoneda,MATCH(AC4905,ctaNombre,0))&amp;"","DOP")="USD",T4905,S4905))</f>
        <v/>
      </c>
      <c r="AH4905" s="53">
        <f>IF(P4905="","",IF(AND(AD4905&lt;&gt;"",COUNTIFS(tcTipo,AD4905,tcLiq,"Sí")&gt;0),IF(OR(P4905="Gasto",P4905="Transferencia",P4905="Pago tarjeta"),-1,1)*S4905,0)+IF(AND(AE4905&lt;&gt;"",COUNTIFS(tcTipo,AE4905,tcLiq,"Sí")&gt;0),S4905,0))</f>
        <v/>
      </c>
      <c r="AI4905" s="52">
        <f>IF(OR(L4905="",P4905=""),"",IF(COUNTIFS(L$6:L4905,L4905,P$6:P4905,"?*")=1,MAX(AI$5:AI4904)+1,""))</f>
        <v/>
      </c>
    </row>
    <row r="4906">
      <c r="B4906" s="47" t="n"/>
      <c r="C4906" s="48" t="n"/>
      <c r="D4906" s="48" t="n"/>
      <c r="E4906" s="48" t="n"/>
      <c r="F4906" s="48" t="n"/>
      <c r="G4906" s="49" t="n"/>
      <c r="H4906" s="48" t="n"/>
      <c r="I4906" s="50" t="n"/>
      <c r="J4906" s="48" t="n"/>
      <c r="K4906" s="48" t="n"/>
      <c r="L4906" s="48" t="n"/>
      <c r="M4906" s="48" t="n"/>
      <c r="N4906" s="48" t="n"/>
      <c r="O4906" s="51">
        <f>IF(AND(B4906="",G4906="",C4906="",D4906="",J4906=""),"",IF(B4906="","⚠ Falta fecha",IF(G4906="","⚠ Falta monto",IF(Q4906="","⚠ Falta cuenta",IF(ISNA(MATCH(Q4906,ctaNombre,0)),"⚠ Cuenta no registrada",IF(AND(OR(P4906="Gasto",P4906="Reembolso"),D4906=""),"⚠ Falta categoría",IF(AND(D4906&lt;&gt;"",E4906&lt;&gt;"",ISNA(MATCH(D4906&amp;"|"&amp;E4906,catClave,0))),"⚠ Subcategoría no corresponde",IF(AND(OR(P4906="Transferencia",P4906="Pago tarjeta"),K4906=""),"⚠ Falta cuenta destino",IF(AND(K4906&lt;&gt;"",P4906&lt;&gt;"Transferencia",P4906&lt;&gt;"Pago tarjeta"),"⚠ Destino solo aplica a transferencias",IF(AND(K4906&lt;&gt;"",K4906=Q4906),"⚠ Origen igual a destino",IF(AND(K4906&lt;&gt;"",ISNA(MATCH(K4906,ctaNombre,0))),"⚠ Destino no registrado",IF(AND(P4906="Pago tarjeta",AE4906&lt;&gt;"Tarjeta de crédito"),"⚠ El destino debe ser tarjeta de crédito",IF(AND(P4906="Gasto",E4906="Depósitos y retiros"),"⚠ Usa tipo Transferencia",IF(AND(P4906="Resultado trading",AD4906&lt;&gt;"Cuenta de trading"),"⚠ Usa una cuenta de trading",IF(AND(G4906&lt;=0,P4906&lt;&gt;"Ajuste",P4906&lt;&gt;"Resultado trading"),"⚠ El monto debe ser positivo","✓")))))))))))))))</f>
        <v/>
      </c>
      <c r="P4906" s="52">
        <f>IF(OR(B4906="",G4906=""),"",IF(C4906="","Gasto",C4906))</f>
        <v/>
      </c>
      <c r="Q4906" s="52">
        <f>IF(P4906="","",IF(J4906&lt;&gt;"",J4906,CuentaPred&amp;""))</f>
        <v/>
      </c>
      <c r="R4906" s="52">
        <f>IF(P4906="","",IF(ISNUMBER(I4906),I4906,TasaUSD))</f>
        <v/>
      </c>
      <c r="S4906" s="53">
        <f>IF(P4906="","",IF(H4906="USD",G4906*R4906,G4906))</f>
        <v/>
      </c>
      <c r="T4906" s="53">
        <f>IF(P4906="","",IF(H4906="USD",G4906,IF(R4906&gt;0,G4906/R4906,0)))</f>
        <v/>
      </c>
      <c r="U4906" s="53">
        <f>IF(P4906="","",IF(P4906="Gasto",S4906,IF(P4906="Reembolso",-S4906,0)))</f>
        <v/>
      </c>
      <c r="V4906" s="53">
        <f>IF(P4906="","",IF(P4906="Ingreso",S4906,0))</f>
        <v/>
      </c>
      <c r="W4906" s="53">
        <f>IF(P4906="","",IF(P4906="Resultado trading",S4906,0))</f>
        <v/>
      </c>
      <c r="X4906" s="52">
        <f>IF(OR(P4906="Gasto",P4906="Reembolso"),IF(M4906&lt;&gt;"",M4906,IFERROR(INDEX(catClasif,MATCH(D4906&amp;"|"&amp;E4906,catClave,0))&amp;"","Variable")),"")</f>
        <v/>
      </c>
      <c r="Y4906" s="52">
        <f>IF(P4906="","",IFERROR(INDEX(catGrupo,MATCH(D4906&amp;"|"&amp;E4906,catClave,0))&amp;"",""))</f>
        <v/>
      </c>
      <c r="Z4906" s="52">
        <f>IF(P4906="","",WEEKDAY(B4906,2))</f>
        <v/>
      </c>
      <c r="AA4906" s="52">
        <f>IF(P4906="","",IF(AND(P4906="Gasto",X4906="Variable",D4906&lt;&gt;catTrading,S4906&gt;0,S4906&lt;=Umbral),1,0))</f>
        <v/>
      </c>
      <c r="AB4906" s="52">
        <f>IF(OR(P4906="",Q4906=""),"",IFERROR(IF(INDEX(ctaVinc,MATCH(Q4906,ctaNombre,0))&amp;""&lt;&gt;"",INDEX(ctaVinc,MATCH(Q4906,ctaNombre,0))&amp;"",Q4906),Q4906))</f>
        <v/>
      </c>
      <c r="AC4906" s="52">
        <f>IF(OR(K4906="",AND(P4906&lt;&gt;"Transferencia",P4906&lt;&gt;"Pago tarjeta")),"",IFERROR(IF(INDEX(ctaVinc,MATCH(K4906,ctaNombre,0))&amp;""&lt;&gt;"",INDEX(ctaVinc,MATCH(K4906,ctaNombre,0))&amp;"",K4906),K4906))</f>
        <v/>
      </c>
      <c r="AD4906" s="52">
        <f>IF(AB4906="","",IFERROR(INDEX(ctaTipo,MATCH(AB4906,ctaNombre,0))&amp;"",""))</f>
        <v/>
      </c>
      <c r="AE4906" s="52">
        <f>IF(AC4906="","",IFERROR(INDEX(ctaTipo,MATCH(AC4906,ctaNombre,0))&amp;"",""))</f>
        <v/>
      </c>
      <c r="AF4906" s="53">
        <f>IF(OR(P4906="",AB4906=""),"",IF(OR(P4906="Gasto",P4906="Transferencia",P4906="Pago tarjeta"),-1,1)*IF(IFERROR(INDEX(ctaMoneda,MATCH(AB4906,ctaNombre,0))&amp;"","DOP")="USD",T4906,S4906))</f>
        <v/>
      </c>
      <c r="AG4906" s="53">
        <f>IF(AC4906="","",IF(IFERROR(INDEX(ctaMoneda,MATCH(AC4906,ctaNombre,0))&amp;"","DOP")="USD",T4906,S4906))</f>
        <v/>
      </c>
      <c r="AH4906" s="53">
        <f>IF(P4906="","",IF(AND(AD4906&lt;&gt;"",COUNTIFS(tcTipo,AD4906,tcLiq,"Sí")&gt;0),IF(OR(P4906="Gasto",P4906="Transferencia",P4906="Pago tarjeta"),-1,1)*S4906,0)+IF(AND(AE4906&lt;&gt;"",COUNTIFS(tcTipo,AE4906,tcLiq,"Sí")&gt;0),S4906,0))</f>
        <v/>
      </c>
      <c r="AI4906" s="52">
        <f>IF(OR(L4906="",P4906=""),"",IF(COUNTIFS(L$6:L4906,L4906,P$6:P4906,"?*")=1,MAX(AI$5:AI4905)+1,""))</f>
        <v/>
      </c>
    </row>
    <row r="4907">
      <c r="B4907" s="47" t="n"/>
      <c r="C4907" s="48" t="n"/>
      <c r="D4907" s="48" t="n"/>
      <c r="E4907" s="48" t="n"/>
      <c r="F4907" s="48" t="n"/>
      <c r="G4907" s="49" t="n"/>
      <c r="H4907" s="48" t="n"/>
      <c r="I4907" s="50" t="n"/>
      <c r="J4907" s="48" t="n"/>
      <c r="K4907" s="48" t="n"/>
      <c r="L4907" s="48" t="n"/>
      <c r="M4907" s="48" t="n"/>
      <c r="N4907" s="48" t="n"/>
      <c r="O4907" s="51">
        <f>IF(AND(B4907="",G4907="",C4907="",D4907="",J4907=""),"",IF(B4907="","⚠ Falta fecha",IF(G4907="","⚠ Falta monto",IF(Q4907="","⚠ Falta cuenta",IF(ISNA(MATCH(Q4907,ctaNombre,0)),"⚠ Cuenta no registrada",IF(AND(OR(P4907="Gasto",P4907="Reembolso"),D4907=""),"⚠ Falta categoría",IF(AND(D4907&lt;&gt;"",E4907&lt;&gt;"",ISNA(MATCH(D4907&amp;"|"&amp;E4907,catClave,0))),"⚠ Subcategoría no corresponde",IF(AND(OR(P4907="Transferencia",P4907="Pago tarjeta"),K4907=""),"⚠ Falta cuenta destino",IF(AND(K4907&lt;&gt;"",P4907&lt;&gt;"Transferencia",P4907&lt;&gt;"Pago tarjeta"),"⚠ Destino solo aplica a transferencias",IF(AND(K4907&lt;&gt;"",K4907=Q4907),"⚠ Origen igual a destino",IF(AND(K4907&lt;&gt;"",ISNA(MATCH(K4907,ctaNombre,0))),"⚠ Destino no registrado",IF(AND(P4907="Pago tarjeta",AE4907&lt;&gt;"Tarjeta de crédito"),"⚠ El destino debe ser tarjeta de crédito",IF(AND(P4907="Gasto",E4907="Depósitos y retiros"),"⚠ Usa tipo Transferencia",IF(AND(P4907="Resultado trading",AD4907&lt;&gt;"Cuenta de trading"),"⚠ Usa una cuenta de trading",IF(AND(G4907&lt;=0,P4907&lt;&gt;"Ajuste",P4907&lt;&gt;"Resultado trading"),"⚠ El monto debe ser positivo","✓")))))))))))))))</f>
        <v/>
      </c>
      <c r="P4907" s="52">
        <f>IF(OR(B4907="",G4907=""),"",IF(C4907="","Gasto",C4907))</f>
        <v/>
      </c>
      <c r="Q4907" s="52">
        <f>IF(P4907="","",IF(J4907&lt;&gt;"",J4907,CuentaPred&amp;""))</f>
        <v/>
      </c>
      <c r="R4907" s="52">
        <f>IF(P4907="","",IF(ISNUMBER(I4907),I4907,TasaUSD))</f>
        <v/>
      </c>
      <c r="S4907" s="53">
        <f>IF(P4907="","",IF(H4907="USD",G4907*R4907,G4907))</f>
        <v/>
      </c>
      <c r="T4907" s="53">
        <f>IF(P4907="","",IF(H4907="USD",G4907,IF(R4907&gt;0,G4907/R4907,0)))</f>
        <v/>
      </c>
      <c r="U4907" s="53">
        <f>IF(P4907="","",IF(P4907="Gasto",S4907,IF(P4907="Reembolso",-S4907,0)))</f>
        <v/>
      </c>
      <c r="V4907" s="53">
        <f>IF(P4907="","",IF(P4907="Ingreso",S4907,0))</f>
        <v/>
      </c>
      <c r="W4907" s="53">
        <f>IF(P4907="","",IF(P4907="Resultado trading",S4907,0))</f>
        <v/>
      </c>
      <c r="X4907" s="52">
        <f>IF(OR(P4907="Gasto",P4907="Reembolso"),IF(M4907&lt;&gt;"",M4907,IFERROR(INDEX(catClasif,MATCH(D4907&amp;"|"&amp;E4907,catClave,0))&amp;"","Variable")),"")</f>
        <v/>
      </c>
      <c r="Y4907" s="52">
        <f>IF(P4907="","",IFERROR(INDEX(catGrupo,MATCH(D4907&amp;"|"&amp;E4907,catClave,0))&amp;"",""))</f>
        <v/>
      </c>
      <c r="Z4907" s="52">
        <f>IF(P4907="","",WEEKDAY(B4907,2))</f>
        <v/>
      </c>
      <c r="AA4907" s="52">
        <f>IF(P4907="","",IF(AND(P4907="Gasto",X4907="Variable",D4907&lt;&gt;catTrading,S4907&gt;0,S4907&lt;=Umbral),1,0))</f>
        <v/>
      </c>
      <c r="AB4907" s="52">
        <f>IF(OR(P4907="",Q4907=""),"",IFERROR(IF(INDEX(ctaVinc,MATCH(Q4907,ctaNombre,0))&amp;""&lt;&gt;"",INDEX(ctaVinc,MATCH(Q4907,ctaNombre,0))&amp;"",Q4907),Q4907))</f>
        <v/>
      </c>
      <c r="AC4907" s="52">
        <f>IF(OR(K4907="",AND(P4907&lt;&gt;"Transferencia",P4907&lt;&gt;"Pago tarjeta")),"",IFERROR(IF(INDEX(ctaVinc,MATCH(K4907,ctaNombre,0))&amp;""&lt;&gt;"",INDEX(ctaVinc,MATCH(K4907,ctaNombre,0))&amp;"",K4907),K4907))</f>
        <v/>
      </c>
      <c r="AD4907" s="52">
        <f>IF(AB4907="","",IFERROR(INDEX(ctaTipo,MATCH(AB4907,ctaNombre,0))&amp;"",""))</f>
        <v/>
      </c>
      <c r="AE4907" s="52">
        <f>IF(AC4907="","",IFERROR(INDEX(ctaTipo,MATCH(AC4907,ctaNombre,0))&amp;"",""))</f>
        <v/>
      </c>
      <c r="AF4907" s="53">
        <f>IF(OR(P4907="",AB4907=""),"",IF(OR(P4907="Gasto",P4907="Transferencia",P4907="Pago tarjeta"),-1,1)*IF(IFERROR(INDEX(ctaMoneda,MATCH(AB4907,ctaNombre,0))&amp;"","DOP")="USD",T4907,S4907))</f>
        <v/>
      </c>
      <c r="AG4907" s="53">
        <f>IF(AC4907="","",IF(IFERROR(INDEX(ctaMoneda,MATCH(AC4907,ctaNombre,0))&amp;"","DOP")="USD",T4907,S4907))</f>
        <v/>
      </c>
      <c r="AH4907" s="53">
        <f>IF(P4907="","",IF(AND(AD4907&lt;&gt;"",COUNTIFS(tcTipo,AD4907,tcLiq,"Sí")&gt;0),IF(OR(P4907="Gasto",P4907="Transferencia",P4907="Pago tarjeta"),-1,1)*S4907,0)+IF(AND(AE4907&lt;&gt;"",COUNTIFS(tcTipo,AE4907,tcLiq,"Sí")&gt;0),S4907,0))</f>
        <v/>
      </c>
      <c r="AI4907" s="52">
        <f>IF(OR(L4907="",P4907=""),"",IF(COUNTIFS(L$6:L4907,L4907,P$6:P4907,"?*")=1,MAX(AI$5:AI4906)+1,""))</f>
        <v/>
      </c>
    </row>
    <row r="4908">
      <c r="B4908" s="47" t="n"/>
      <c r="C4908" s="48" t="n"/>
      <c r="D4908" s="48" t="n"/>
      <c r="E4908" s="48" t="n"/>
      <c r="F4908" s="48" t="n"/>
      <c r="G4908" s="49" t="n"/>
      <c r="H4908" s="48" t="n"/>
      <c r="I4908" s="50" t="n"/>
      <c r="J4908" s="48" t="n"/>
      <c r="K4908" s="48" t="n"/>
      <c r="L4908" s="48" t="n"/>
      <c r="M4908" s="48" t="n"/>
      <c r="N4908" s="48" t="n"/>
      <c r="O4908" s="51">
        <f>IF(AND(B4908="",G4908="",C4908="",D4908="",J4908=""),"",IF(B4908="","⚠ Falta fecha",IF(G4908="","⚠ Falta monto",IF(Q4908="","⚠ Falta cuenta",IF(ISNA(MATCH(Q4908,ctaNombre,0)),"⚠ Cuenta no registrada",IF(AND(OR(P4908="Gasto",P4908="Reembolso"),D4908=""),"⚠ Falta categoría",IF(AND(D4908&lt;&gt;"",E4908&lt;&gt;"",ISNA(MATCH(D4908&amp;"|"&amp;E4908,catClave,0))),"⚠ Subcategoría no corresponde",IF(AND(OR(P4908="Transferencia",P4908="Pago tarjeta"),K4908=""),"⚠ Falta cuenta destino",IF(AND(K4908&lt;&gt;"",P4908&lt;&gt;"Transferencia",P4908&lt;&gt;"Pago tarjeta"),"⚠ Destino solo aplica a transferencias",IF(AND(K4908&lt;&gt;"",K4908=Q4908),"⚠ Origen igual a destino",IF(AND(K4908&lt;&gt;"",ISNA(MATCH(K4908,ctaNombre,0))),"⚠ Destino no registrado",IF(AND(P4908="Pago tarjeta",AE4908&lt;&gt;"Tarjeta de crédito"),"⚠ El destino debe ser tarjeta de crédito",IF(AND(P4908="Gasto",E4908="Depósitos y retiros"),"⚠ Usa tipo Transferencia",IF(AND(P4908="Resultado trading",AD4908&lt;&gt;"Cuenta de trading"),"⚠ Usa una cuenta de trading",IF(AND(G4908&lt;=0,P4908&lt;&gt;"Ajuste",P4908&lt;&gt;"Resultado trading"),"⚠ El monto debe ser positivo","✓")))))))))))))))</f>
        <v/>
      </c>
      <c r="P4908" s="52">
        <f>IF(OR(B4908="",G4908=""),"",IF(C4908="","Gasto",C4908))</f>
        <v/>
      </c>
      <c r="Q4908" s="52">
        <f>IF(P4908="","",IF(J4908&lt;&gt;"",J4908,CuentaPred&amp;""))</f>
        <v/>
      </c>
      <c r="R4908" s="52">
        <f>IF(P4908="","",IF(ISNUMBER(I4908),I4908,TasaUSD))</f>
        <v/>
      </c>
      <c r="S4908" s="53">
        <f>IF(P4908="","",IF(H4908="USD",G4908*R4908,G4908))</f>
        <v/>
      </c>
      <c r="T4908" s="53">
        <f>IF(P4908="","",IF(H4908="USD",G4908,IF(R4908&gt;0,G4908/R4908,0)))</f>
        <v/>
      </c>
      <c r="U4908" s="53">
        <f>IF(P4908="","",IF(P4908="Gasto",S4908,IF(P4908="Reembolso",-S4908,0)))</f>
        <v/>
      </c>
      <c r="V4908" s="53">
        <f>IF(P4908="","",IF(P4908="Ingreso",S4908,0))</f>
        <v/>
      </c>
      <c r="W4908" s="53">
        <f>IF(P4908="","",IF(P4908="Resultado trading",S4908,0))</f>
        <v/>
      </c>
      <c r="X4908" s="52">
        <f>IF(OR(P4908="Gasto",P4908="Reembolso"),IF(M4908&lt;&gt;"",M4908,IFERROR(INDEX(catClasif,MATCH(D4908&amp;"|"&amp;E4908,catClave,0))&amp;"","Variable")),"")</f>
        <v/>
      </c>
      <c r="Y4908" s="52">
        <f>IF(P4908="","",IFERROR(INDEX(catGrupo,MATCH(D4908&amp;"|"&amp;E4908,catClave,0))&amp;"",""))</f>
        <v/>
      </c>
      <c r="Z4908" s="52">
        <f>IF(P4908="","",WEEKDAY(B4908,2))</f>
        <v/>
      </c>
      <c r="AA4908" s="52">
        <f>IF(P4908="","",IF(AND(P4908="Gasto",X4908="Variable",D4908&lt;&gt;catTrading,S4908&gt;0,S4908&lt;=Umbral),1,0))</f>
        <v/>
      </c>
      <c r="AB4908" s="52">
        <f>IF(OR(P4908="",Q4908=""),"",IFERROR(IF(INDEX(ctaVinc,MATCH(Q4908,ctaNombre,0))&amp;""&lt;&gt;"",INDEX(ctaVinc,MATCH(Q4908,ctaNombre,0))&amp;"",Q4908),Q4908))</f>
        <v/>
      </c>
      <c r="AC4908" s="52">
        <f>IF(OR(K4908="",AND(P4908&lt;&gt;"Transferencia",P4908&lt;&gt;"Pago tarjeta")),"",IFERROR(IF(INDEX(ctaVinc,MATCH(K4908,ctaNombre,0))&amp;""&lt;&gt;"",INDEX(ctaVinc,MATCH(K4908,ctaNombre,0))&amp;"",K4908),K4908))</f>
        <v/>
      </c>
      <c r="AD4908" s="52">
        <f>IF(AB4908="","",IFERROR(INDEX(ctaTipo,MATCH(AB4908,ctaNombre,0))&amp;"",""))</f>
        <v/>
      </c>
      <c r="AE4908" s="52">
        <f>IF(AC4908="","",IFERROR(INDEX(ctaTipo,MATCH(AC4908,ctaNombre,0))&amp;"",""))</f>
        <v/>
      </c>
      <c r="AF4908" s="53">
        <f>IF(OR(P4908="",AB4908=""),"",IF(OR(P4908="Gasto",P4908="Transferencia",P4908="Pago tarjeta"),-1,1)*IF(IFERROR(INDEX(ctaMoneda,MATCH(AB4908,ctaNombre,0))&amp;"","DOP")="USD",T4908,S4908))</f>
        <v/>
      </c>
      <c r="AG4908" s="53">
        <f>IF(AC4908="","",IF(IFERROR(INDEX(ctaMoneda,MATCH(AC4908,ctaNombre,0))&amp;"","DOP")="USD",T4908,S4908))</f>
        <v/>
      </c>
      <c r="AH4908" s="53">
        <f>IF(P4908="","",IF(AND(AD4908&lt;&gt;"",COUNTIFS(tcTipo,AD4908,tcLiq,"Sí")&gt;0),IF(OR(P4908="Gasto",P4908="Transferencia",P4908="Pago tarjeta"),-1,1)*S4908,0)+IF(AND(AE4908&lt;&gt;"",COUNTIFS(tcTipo,AE4908,tcLiq,"Sí")&gt;0),S4908,0))</f>
        <v/>
      </c>
      <c r="AI4908" s="52">
        <f>IF(OR(L4908="",P4908=""),"",IF(COUNTIFS(L$6:L4908,L4908,P$6:P4908,"?*")=1,MAX(AI$5:AI4907)+1,""))</f>
        <v/>
      </c>
    </row>
    <row r="4909">
      <c r="B4909" s="47" t="n"/>
      <c r="C4909" s="48" t="n"/>
      <c r="D4909" s="48" t="n"/>
      <c r="E4909" s="48" t="n"/>
      <c r="F4909" s="48" t="n"/>
      <c r="G4909" s="49" t="n"/>
      <c r="H4909" s="48" t="n"/>
      <c r="I4909" s="50" t="n"/>
      <c r="J4909" s="48" t="n"/>
      <c r="K4909" s="48" t="n"/>
      <c r="L4909" s="48" t="n"/>
      <c r="M4909" s="48" t="n"/>
      <c r="N4909" s="48" t="n"/>
      <c r="O4909" s="51">
        <f>IF(AND(B4909="",G4909="",C4909="",D4909="",J4909=""),"",IF(B4909="","⚠ Falta fecha",IF(G4909="","⚠ Falta monto",IF(Q4909="","⚠ Falta cuenta",IF(ISNA(MATCH(Q4909,ctaNombre,0)),"⚠ Cuenta no registrada",IF(AND(OR(P4909="Gasto",P4909="Reembolso"),D4909=""),"⚠ Falta categoría",IF(AND(D4909&lt;&gt;"",E4909&lt;&gt;"",ISNA(MATCH(D4909&amp;"|"&amp;E4909,catClave,0))),"⚠ Subcategoría no corresponde",IF(AND(OR(P4909="Transferencia",P4909="Pago tarjeta"),K4909=""),"⚠ Falta cuenta destino",IF(AND(K4909&lt;&gt;"",P4909&lt;&gt;"Transferencia",P4909&lt;&gt;"Pago tarjeta"),"⚠ Destino solo aplica a transferencias",IF(AND(K4909&lt;&gt;"",K4909=Q4909),"⚠ Origen igual a destino",IF(AND(K4909&lt;&gt;"",ISNA(MATCH(K4909,ctaNombre,0))),"⚠ Destino no registrado",IF(AND(P4909="Pago tarjeta",AE4909&lt;&gt;"Tarjeta de crédito"),"⚠ El destino debe ser tarjeta de crédito",IF(AND(P4909="Gasto",E4909="Depósitos y retiros"),"⚠ Usa tipo Transferencia",IF(AND(P4909="Resultado trading",AD4909&lt;&gt;"Cuenta de trading"),"⚠ Usa una cuenta de trading",IF(AND(G4909&lt;=0,P4909&lt;&gt;"Ajuste",P4909&lt;&gt;"Resultado trading"),"⚠ El monto debe ser positivo","✓")))))))))))))))</f>
        <v/>
      </c>
      <c r="P4909" s="52">
        <f>IF(OR(B4909="",G4909=""),"",IF(C4909="","Gasto",C4909))</f>
        <v/>
      </c>
      <c r="Q4909" s="52">
        <f>IF(P4909="","",IF(J4909&lt;&gt;"",J4909,CuentaPred&amp;""))</f>
        <v/>
      </c>
      <c r="R4909" s="52">
        <f>IF(P4909="","",IF(ISNUMBER(I4909),I4909,TasaUSD))</f>
        <v/>
      </c>
      <c r="S4909" s="53">
        <f>IF(P4909="","",IF(H4909="USD",G4909*R4909,G4909))</f>
        <v/>
      </c>
      <c r="T4909" s="53">
        <f>IF(P4909="","",IF(H4909="USD",G4909,IF(R4909&gt;0,G4909/R4909,0)))</f>
        <v/>
      </c>
      <c r="U4909" s="53">
        <f>IF(P4909="","",IF(P4909="Gasto",S4909,IF(P4909="Reembolso",-S4909,0)))</f>
        <v/>
      </c>
      <c r="V4909" s="53">
        <f>IF(P4909="","",IF(P4909="Ingreso",S4909,0))</f>
        <v/>
      </c>
      <c r="W4909" s="53">
        <f>IF(P4909="","",IF(P4909="Resultado trading",S4909,0))</f>
        <v/>
      </c>
      <c r="X4909" s="52">
        <f>IF(OR(P4909="Gasto",P4909="Reembolso"),IF(M4909&lt;&gt;"",M4909,IFERROR(INDEX(catClasif,MATCH(D4909&amp;"|"&amp;E4909,catClave,0))&amp;"","Variable")),"")</f>
        <v/>
      </c>
      <c r="Y4909" s="52">
        <f>IF(P4909="","",IFERROR(INDEX(catGrupo,MATCH(D4909&amp;"|"&amp;E4909,catClave,0))&amp;"",""))</f>
        <v/>
      </c>
      <c r="Z4909" s="52">
        <f>IF(P4909="","",WEEKDAY(B4909,2))</f>
        <v/>
      </c>
      <c r="AA4909" s="52">
        <f>IF(P4909="","",IF(AND(P4909="Gasto",X4909="Variable",D4909&lt;&gt;catTrading,S4909&gt;0,S4909&lt;=Umbral),1,0))</f>
        <v/>
      </c>
      <c r="AB4909" s="52">
        <f>IF(OR(P4909="",Q4909=""),"",IFERROR(IF(INDEX(ctaVinc,MATCH(Q4909,ctaNombre,0))&amp;""&lt;&gt;"",INDEX(ctaVinc,MATCH(Q4909,ctaNombre,0))&amp;"",Q4909),Q4909))</f>
        <v/>
      </c>
      <c r="AC4909" s="52">
        <f>IF(OR(K4909="",AND(P4909&lt;&gt;"Transferencia",P4909&lt;&gt;"Pago tarjeta")),"",IFERROR(IF(INDEX(ctaVinc,MATCH(K4909,ctaNombre,0))&amp;""&lt;&gt;"",INDEX(ctaVinc,MATCH(K4909,ctaNombre,0))&amp;"",K4909),K4909))</f>
        <v/>
      </c>
      <c r="AD4909" s="52">
        <f>IF(AB4909="","",IFERROR(INDEX(ctaTipo,MATCH(AB4909,ctaNombre,0))&amp;"",""))</f>
        <v/>
      </c>
      <c r="AE4909" s="52">
        <f>IF(AC4909="","",IFERROR(INDEX(ctaTipo,MATCH(AC4909,ctaNombre,0))&amp;"",""))</f>
        <v/>
      </c>
      <c r="AF4909" s="53">
        <f>IF(OR(P4909="",AB4909=""),"",IF(OR(P4909="Gasto",P4909="Transferencia",P4909="Pago tarjeta"),-1,1)*IF(IFERROR(INDEX(ctaMoneda,MATCH(AB4909,ctaNombre,0))&amp;"","DOP")="USD",T4909,S4909))</f>
        <v/>
      </c>
      <c r="AG4909" s="53">
        <f>IF(AC4909="","",IF(IFERROR(INDEX(ctaMoneda,MATCH(AC4909,ctaNombre,0))&amp;"","DOP")="USD",T4909,S4909))</f>
        <v/>
      </c>
      <c r="AH4909" s="53">
        <f>IF(P4909="","",IF(AND(AD4909&lt;&gt;"",COUNTIFS(tcTipo,AD4909,tcLiq,"Sí")&gt;0),IF(OR(P4909="Gasto",P4909="Transferencia",P4909="Pago tarjeta"),-1,1)*S4909,0)+IF(AND(AE4909&lt;&gt;"",COUNTIFS(tcTipo,AE4909,tcLiq,"Sí")&gt;0),S4909,0))</f>
        <v/>
      </c>
      <c r="AI4909" s="52">
        <f>IF(OR(L4909="",P4909=""),"",IF(COUNTIFS(L$6:L4909,L4909,P$6:P4909,"?*")=1,MAX(AI$5:AI4908)+1,""))</f>
        <v/>
      </c>
    </row>
    <row r="4910">
      <c r="B4910" s="47" t="n"/>
      <c r="C4910" s="48" t="n"/>
      <c r="D4910" s="48" t="n"/>
      <c r="E4910" s="48" t="n"/>
      <c r="F4910" s="48" t="n"/>
      <c r="G4910" s="49" t="n"/>
      <c r="H4910" s="48" t="n"/>
      <c r="I4910" s="50" t="n"/>
      <c r="J4910" s="48" t="n"/>
      <c r="K4910" s="48" t="n"/>
      <c r="L4910" s="48" t="n"/>
      <c r="M4910" s="48" t="n"/>
      <c r="N4910" s="48" t="n"/>
      <c r="O4910" s="51">
        <f>IF(AND(B4910="",G4910="",C4910="",D4910="",J4910=""),"",IF(B4910="","⚠ Falta fecha",IF(G4910="","⚠ Falta monto",IF(Q4910="","⚠ Falta cuenta",IF(ISNA(MATCH(Q4910,ctaNombre,0)),"⚠ Cuenta no registrada",IF(AND(OR(P4910="Gasto",P4910="Reembolso"),D4910=""),"⚠ Falta categoría",IF(AND(D4910&lt;&gt;"",E4910&lt;&gt;"",ISNA(MATCH(D4910&amp;"|"&amp;E4910,catClave,0))),"⚠ Subcategoría no corresponde",IF(AND(OR(P4910="Transferencia",P4910="Pago tarjeta"),K4910=""),"⚠ Falta cuenta destino",IF(AND(K4910&lt;&gt;"",P4910&lt;&gt;"Transferencia",P4910&lt;&gt;"Pago tarjeta"),"⚠ Destino solo aplica a transferencias",IF(AND(K4910&lt;&gt;"",K4910=Q4910),"⚠ Origen igual a destino",IF(AND(K4910&lt;&gt;"",ISNA(MATCH(K4910,ctaNombre,0))),"⚠ Destino no registrado",IF(AND(P4910="Pago tarjeta",AE4910&lt;&gt;"Tarjeta de crédito"),"⚠ El destino debe ser tarjeta de crédito",IF(AND(P4910="Gasto",E4910="Depósitos y retiros"),"⚠ Usa tipo Transferencia",IF(AND(P4910="Resultado trading",AD4910&lt;&gt;"Cuenta de trading"),"⚠ Usa una cuenta de trading",IF(AND(G4910&lt;=0,P4910&lt;&gt;"Ajuste",P4910&lt;&gt;"Resultado trading"),"⚠ El monto debe ser positivo","✓")))))))))))))))</f>
        <v/>
      </c>
      <c r="P4910" s="52">
        <f>IF(OR(B4910="",G4910=""),"",IF(C4910="","Gasto",C4910))</f>
        <v/>
      </c>
      <c r="Q4910" s="52">
        <f>IF(P4910="","",IF(J4910&lt;&gt;"",J4910,CuentaPred&amp;""))</f>
        <v/>
      </c>
      <c r="R4910" s="52">
        <f>IF(P4910="","",IF(ISNUMBER(I4910),I4910,TasaUSD))</f>
        <v/>
      </c>
      <c r="S4910" s="53">
        <f>IF(P4910="","",IF(H4910="USD",G4910*R4910,G4910))</f>
        <v/>
      </c>
      <c r="T4910" s="53">
        <f>IF(P4910="","",IF(H4910="USD",G4910,IF(R4910&gt;0,G4910/R4910,0)))</f>
        <v/>
      </c>
      <c r="U4910" s="53">
        <f>IF(P4910="","",IF(P4910="Gasto",S4910,IF(P4910="Reembolso",-S4910,0)))</f>
        <v/>
      </c>
      <c r="V4910" s="53">
        <f>IF(P4910="","",IF(P4910="Ingreso",S4910,0))</f>
        <v/>
      </c>
      <c r="W4910" s="53">
        <f>IF(P4910="","",IF(P4910="Resultado trading",S4910,0))</f>
        <v/>
      </c>
      <c r="X4910" s="52">
        <f>IF(OR(P4910="Gasto",P4910="Reembolso"),IF(M4910&lt;&gt;"",M4910,IFERROR(INDEX(catClasif,MATCH(D4910&amp;"|"&amp;E4910,catClave,0))&amp;"","Variable")),"")</f>
        <v/>
      </c>
      <c r="Y4910" s="52">
        <f>IF(P4910="","",IFERROR(INDEX(catGrupo,MATCH(D4910&amp;"|"&amp;E4910,catClave,0))&amp;"",""))</f>
        <v/>
      </c>
      <c r="Z4910" s="52">
        <f>IF(P4910="","",WEEKDAY(B4910,2))</f>
        <v/>
      </c>
      <c r="AA4910" s="52">
        <f>IF(P4910="","",IF(AND(P4910="Gasto",X4910="Variable",D4910&lt;&gt;catTrading,S4910&gt;0,S4910&lt;=Umbral),1,0))</f>
        <v/>
      </c>
      <c r="AB4910" s="52">
        <f>IF(OR(P4910="",Q4910=""),"",IFERROR(IF(INDEX(ctaVinc,MATCH(Q4910,ctaNombre,0))&amp;""&lt;&gt;"",INDEX(ctaVinc,MATCH(Q4910,ctaNombre,0))&amp;"",Q4910),Q4910))</f>
        <v/>
      </c>
      <c r="AC4910" s="52">
        <f>IF(OR(K4910="",AND(P4910&lt;&gt;"Transferencia",P4910&lt;&gt;"Pago tarjeta")),"",IFERROR(IF(INDEX(ctaVinc,MATCH(K4910,ctaNombre,0))&amp;""&lt;&gt;"",INDEX(ctaVinc,MATCH(K4910,ctaNombre,0))&amp;"",K4910),K4910))</f>
        <v/>
      </c>
      <c r="AD4910" s="52">
        <f>IF(AB4910="","",IFERROR(INDEX(ctaTipo,MATCH(AB4910,ctaNombre,0))&amp;"",""))</f>
        <v/>
      </c>
      <c r="AE4910" s="52">
        <f>IF(AC4910="","",IFERROR(INDEX(ctaTipo,MATCH(AC4910,ctaNombre,0))&amp;"",""))</f>
        <v/>
      </c>
      <c r="AF4910" s="53">
        <f>IF(OR(P4910="",AB4910=""),"",IF(OR(P4910="Gasto",P4910="Transferencia",P4910="Pago tarjeta"),-1,1)*IF(IFERROR(INDEX(ctaMoneda,MATCH(AB4910,ctaNombre,0))&amp;"","DOP")="USD",T4910,S4910))</f>
        <v/>
      </c>
      <c r="AG4910" s="53">
        <f>IF(AC4910="","",IF(IFERROR(INDEX(ctaMoneda,MATCH(AC4910,ctaNombre,0))&amp;"","DOP")="USD",T4910,S4910))</f>
        <v/>
      </c>
      <c r="AH4910" s="53">
        <f>IF(P4910="","",IF(AND(AD4910&lt;&gt;"",COUNTIFS(tcTipo,AD4910,tcLiq,"Sí")&gt;0),IF(OR(P4910="Gasto",P4910="Transferencia",P4910="Pago tarjeta"),-1,1)*S4910,0)+IF(AND(AE4910&lt;&gt;"",COUNTIFS(tcTipo,AE4910,tcLiq,"Sí")&gt;0),S4910,0))</f>
        <v/>
      </c>
      <c r="AI4910" s="52">
        <f>IF(OR(L4910="",P4910=""),"",IF(COUNTIFS(L$6:L4910,L4910,P$6:P4910,"?*")=1,MAX(AI$5:AI4909)+1,""))</f>
        <v/>
      </c>
    </row>
    <row r="4911">
      <c r="B4911" s="47" t="n"/>
      <c r="C4911" s="48" t="n"/>
      <c r="D4911" s="48" t="n"/>
      <c r="E4911" s="48" t="n"/>
      <c r="F4911" s="48" t="n"/>
      <c r="G4911" s="49" t="n"/>
      <c r="H4911" s="48" t="n"/>
      <c r="I4911" s="50" t="n"/>
      <c r="J4911" s="48" t="n"/>
      <c r="K4911" s="48" t="n"/>
      <c r="L4911" s="48" t="n"/>
      <c r="M4911" s="48" t="n"/>
      <c r="N4911" s="48" t="n"/>
      <c r="O4911" s="51">
        <f>IF(AND(B4911="",G4911="",C4911="",D4911="",J4911=""),"",IF(B4911="","⚠ Falta fecha",IF(G4911="","⚠ Falta monto",IF(Q4911="","⚠ Falta cuenta",IF(ISNA(MATCH(Q4911,ctaNombre,0)),"⚠ Cuenta no registrada",IF(AND(OR(P4911="Gasto",P4911="Reembolso"),D4911=""),"⚠ Falta categoría",IF(AND(D4911&lt;&gt;"",E4911&lt;&gt;"",ISNA(MATCH(D4911&amp;"|"&amp;E4911,catClave,0))),"⚠ Subcategoría no corresponde",IF(AND(OR(P4911="Transferencia",P4911="Pago tarjeta"),K4911=""),"⚠ Falta cuenta destino",IF(AND(K4911&lt;&gt;"",P4911&lt;&gt;"Transferencia",P4911&lt;&gt;"Pago tarjeta"),"⚠ Destino solo aplica a transferencias",IF(AND(K4911&lt;&gt;"",K4911=Q4911),"⚠ Origen igual a destino",IF(AND(K4911&lt;&gt;"",ISNA(MATCH(K4911,ctaNombre,0))),"⚠ Destino no registrado",IF(AND(P4911="Pago tarjeta",AE4911&lt;&gt;"Tarjeta de crédito"),"⚠ El destino debe ser tarjeta de crédito",IF(AND(P4911="Gasto",E4911="Depósitos y retiros"),"⚠ Usa tipo Transferencia",IF(AND(P4911="Resultado trading",AD4911&lt;&gt;"Cuenta de trading"),"⚠ Usa una cuenta de trading",IF(AND(G4911&lt;=0,P4911&lt;&gt;"Ajuste",P4911&lt;&gt;"Resultado trading"),"⚠ El monto debe ser positivo","✓")))))))))))))))</f>
        <v/>
      </c>
      <c r="P4911" s="52">
        <f>IF(OR(B4911="",G4911=""),"",IF(C4911="","Gasto",C4911))</f>
        <v/>
      </c>
      <c r="Q4911" s="52">
        <f>IF(P4911="","",IF(J4911&lt;&gt;"",J4911,CuentaPred&amp;""))</f>
        <v/>
      </c>
      <c r="R4911" s="52">
        <f>IF(P4911="","",IF(ISNUMBER(I4911),I4911,TasaUSD))</f>
        <v/>
      </c>
      <c r="S4911" s="53">
        <f>IF(P4911="","",IF(H4911="USD",G4911*R4911,G4911))</f>
        <v/>
      </c>
      <c r="T4911" s="53">
        <f>IF(P4911="","",IF(H4911="USD",G4911,IF(R4911&gt;0,G4911/R4911,0)))</f>
        <v/>
      </c>
      <c r="U4911" s="53">
        <f>IF(P4911="","",IF(P4911="Gasto",S4911,IF(P4911="Reembolso",-S4911,0)))</f>
        <v/>
      </c>
      <c r="V4911" s="53">
        <f>IF(P4911="","",IF(P4911="Ingreso",S4911,0))</f>
        <v/>
      </c>
      <c r="W4911" s="53">
        <f>IF(P4911="","",IF(P4911="Resultado trading",S4911,0))</f>
        <v/>
      </c>
      <c r="X4911" s="52">
        <f>IF(OR(P4911="Gasto",P4911="Reembolso"),IF(M4911&lt;&gt;"",M4911,IFERROR(INDEX(catClasif,MATCH(D4911&amp;"|"&amp;E4911,catClave,0))&amp;"","Variable")),"")</f>
        <v/>
      </c>
      <c r="Y4911" s="52">
        <f>IF(P4911="","",IFERROR(INDEX(catGrupo,MATCH(D4911&amp;"|"&amp;E4911,catClave,0))&amp;"",""))</f>
        <v/>
      </c>
      <c r="Z4911" s="52">
        <f>IF(P4911="","",WEEKDAY(B4911,2))</f>
        <v/>
      </c>
      <c r="AA4911" s="52">
        <f>IF(P4911="","",IF(AND(P4911="Gasto",X4911="Variable",D4911&lt;&gt;catTrading,S4911&gt;0,S4911&lt;=Umbral),1,0))</f>
        <v/>
      </c>
      <c r="AB4911" s="52">
        <f>IF(OR(P4911="",Q4911=""),"",IFERROR(IF(INDEX(ctaVinc,MATCH(Q4911,ctaNombre,0))&amp;""&lt;&gt;"",INDEX(ctaVinc,MATCH(Q4911,ctaNombre,0))&amp;"",Q4911),Q4911))</f>
        <v/>
      </c>
      <c r="AC4911" s="52">
        <f>IF(OR(K4911="",AND(P4911&lt;&gt;"Transferencia",P4911&lt;&gt;"Pago tarjeta")),"",IFERROR(IF(INDEX(ctaVinc,MATCH(K4911,ctaNombre,0))&amp;""&lt;&gt;"",INDEX(ctaVinc,MATCH(K4911,ctaNombre,0))&amp;"",K4911),K4911))</f>
        <v/>
      </c>
      <c r="AD4911" s="52">
        <f>IF(AB4911="","",IFERROR(INDEX(ctaTipo,MATCH(AB4911,ctaNombre,0))&amp;"",""))</f>
        <v/>
      </c>
      <c r="AE4911" s="52">
        <f>IF(AC4911="","",IFERROR(INDEX(ctaTipo,MATCH(AC4911,ctaNombre,0))&amp;"",""))</f>
        <v/>
      </c>
      <c r="AF4911" s="53">
        <f>IF(OR(P4911="",AB4911=""),"",IF(OR(P4911="Gasto",P4911="Transferencia",P4911="Pago tarjeta"),-1,1)*IF(IFERROR(INDEX(ctaMoneda,MATCH(AB4911,ctaNombre,0))&amp;"","DOP")="USD",T4911,S4911))</f>
        <v/>
      </c>
      <c r="AG4911" s="53">
        <f>IF(AC4911="","",IF(IFERROR(INDEX(ctaMoneda,MATCH(AC4911,ctaNombre,0))&amp;"","DOP")="USD",T4911,S4911))</f>
        <v/>
      </c>
      <c r="AH4911" s="53">
        <f>IF(P4911="","",IF(AND(AD4911&lt;&gt;"",COUNTIFS(tcTipo,AD4911,tcLiq,"Sí")&gt;0),IF(OR(P4911="Gasto",P4911="Transferencia",P4911="Pago tarjeta"),-1,1)*S4911,0)+IF(AND(AE4911&lt;&gt;"",COUNTIFS(tcTipo,AE4911,tcLiq,"Sí")&gt;0),S4911,0))</f>
        <v/>
      </c>
      <c r="AI4911" s="52">
        <f>IF(OR(L4911="",P4911=""),"",IF(COUNTIFS(L$6:L4911,L4911,P$6:P4911,"?*")=1,MAX(AI$5:AI4910)+1,""))</f>
        <v/>
      </c>
    </row>
    <row r="4912">
      <c r="B4912" s="47" t="n"/>
      <c r="C4912" s="48" t="n"/>
      <c r="D4912" s="48" t="n"/>
      <c r="E4912" s="48" t="n"/>
      <c r="F4912" s="48" t="n"/>
      <c r="G4912" s="49" t="n"/>
      <c r="H4912" s="48" t="n"/>
      <c r="I4912" s="50" t="n"/>
      <c r="J4912" s="48" t="n"/>
      <c r="K4912" s="48" t="n"/>
      <c r="L4912" s="48" t="n"/>
      <c r="M4912" s="48" t="n"/>
      <c r="N4912" s="48" t="n"/>
      <c r="O4912" s="51">
        <f>IF(AND(B4912="",G4912="",C4912="",D4912="",J4912=""),"",IF(B4912="","⚠ Falta fecha",IF(G4912="","⚠ Falta monto",IF(Q4912="","⚠ Falta cuenta",IF(ISNA(MATCH(Q4912,ctaNombre,0)),"⚠ Cuenta no registrada",IF(AND(OR(P4912="Gasto",P4912="Reembolso"),D4912=""),"⚠ Falta categoría",IF(AND(D4912&lt;&gt;"",E4912&lt;&gt;"",ISNA(MATCH(D4912&amp;"|"&amp;E4912,catClave,0))),"⚠ Subcategoría no corresponde",IF(AND(OR(P4912="Transferencia",P4912="Pago tarjeta"),K4912=""),"⚠ Falta cuenta destino",IF(AND(K4912&lt;&gt;"",P4912&lt;&gt;"Transferencia",P4912&lt;&gt;"Pago tarjeta"),"⚠ Destino solo aplica a transferencias",IF(AND(K4912&lt;&gt;"",K4912=Q4912),"⚠ Origen igual a destino",IF(AND(K4912&lt;&gt;"",ISNA(MATCH(K4912,ctaNombre,0))),"⚠ Destino no registrado",IF(AND(P4912="Pago tarjeta",AE4912&lt;&gt;"Tarjeta de crédito"),"⚠ El destino debe ser tarjeta de crédito",IF(AND(P4912="Gasto",E4912="Depósitos y retiros"),"⚠ Usa tipo Transferencia",IF(AND(P4912="Resultado trading",AD4912&lt;&gt;"Cuenta de trading"),"⚠ Usa una cuenta de trading",IF(AND(G4912&lt;=0,P4912&lt;&gt;"Ajuste",P4912&lt;&gt;"Resultado trading"),"⚠ El monto debe ser positivo","✓")))))))))))))))</f>
        <v/>
      </c>
      <c r="P4912" s="52">
        <f>IF(OR(B4912="",G4912=""),"",IF(C4912="","Gasto",C4912))</f>
        <v/>
      </c>
      <c r="Q4912" s="52">
        <f>IF(P4912="","",IF(J4912&lt;&gt;"",J4912,CuentaPred&amp;""))</f>
        <v/>
      </c>
      <c r="R4912" s="52">
        <f>IF(P4912="","",IF(ISNUMBER(I4912),I4912,TasaUSD))</f>
        <v/>
      </c>
      <c r="S4912" s="53">
        <f>IF(P4912="","",IF(H4912="USD",G4912*R4912,G4912))</f>
        <v/>
      </c>
      <c r="T4912" s="53">
        <f>IF(P4912="","",IF(H4912="USD",G4912,IF(R4912&gt;0,G4912/R4912,0)))</f>
        <v/>
      </c>
      <c r="U4912" s="53">
        <f>IF(P4912="","",IF(P4912="Gasto",S4912,IF(P4912="Reembolso",-S4912,0)))</f>
        <v/>
      </c>
      <c r="V4912" s="53">
        <f>IF(P4912="","",IF(P4912="Ingreso",S4912,0))</f>
        <v/>
      </c>
      <c r="W4912" s="53">
        <f>IF(P4912="","",IF(P4912="Resultado trading",S4912,0))</f>
        <v/>
      </c>
      <c r="X4912" s="52">
        <f>IF(OR(P4912="Gasto",P4912="Reembolso"),IF(M4912&lt;&gt;"",M4912,IFERROR(INDEX(catClasif,MATCH(D4912&amp;"|"&amp;E4912,catClave,0))&amp;"","Variable")),"")</f>
        <v/>
      </c>
      <c r="Y4912" s="52">
        <f>IF(P4912="","",IFERROR(INDEX(catGrupo,MATCH(D4912&amp;"|"&amp;E4912,catClave,0))&amp;"",""))</f>
        <v/>
      </c>
      <c r="Z4912" s="52">
        <f>IF(P4912="","",WEEKDAY(B4912,2))</f>
        <v/>
      </c>
      <c r="AA4912" s="52">
        <f>IF(P4912="","",IF(AND(P4912="Gasto",X4912="Variable",D4912&lt;&gt;catTrading,S4912&gt;0,S4912&lt;=Umbral),1,0))</f>
        <v/>
      </c>
      <c r="AB4912" s="52">
        <f>IF(OR(P4912="",Q4912=""),"",IFERROR(IF(INDEX(ctaVinc,MATCH(Q4912,ctaNombre,0))&amp;""&lt;&gt;"",INDEX(ctaVinc,MATCH(Q4912,ctaNombre,0))&amp;"",Q4912),Q4912))</f>
        <v/>
      </c>
      <c r="AC4912" s="52">
        <f>IF(OR(K4912="",AND(P4912&lt;&gt;"Transferencia",P4912&lt;&gt;"Pago tarjeta")),"",IFERROR(IF(INDEX(ctaVinc,MATCH(K4912,ctaNombre,0))&amp;""&lt;&gt;"",INDEX(ctaVinc,MATCH(K4912,ctaNombre,0))&amp;"",K4912),K4912))</f>
        <v/>
      </c>
      <c r="AD4912" s="52">
        <f>IF(AB4912="","",IFERROR(INDEX(ctaTipo,MATCH(AB4912,ctaNombre,0))&amp;"",""))</f>
        <v/>
      </c>
      <c r="AE4912" s="52">
        <f>IF(AC4912="","",IFERROR(INDEX(ctaTipo,MATCH(AC4912,ctaNombre,0))&amp;"",""))</f>
        <v/>
      </c>
      <c r="AF4912" s="53">
        <f>IF(OR(P4912="",AB4912=""),"",IF(OR(P4912="Gasto",P4912="Transferencia",P4912="Pago tarjeta"),-1,1)*IF(IFERROR(INDEX(ctaMoneda,MATCH(AB4912,ctaNombre,0))&amp;"","DOP")="USD",T4912,S4912))</f>
        <v/>
      </c>
      <c r="AG4912" s="53">
        <f>IF(AC4912="","",IF(IFERROR(INDEX(ctaMoneda,MATCH(AC4912,ctaNombre,0))&amp;"","DOP")="USD",T4912,S4912))</f>
        <v/>
      </c>
      <c r="AH4912" s="53">
        <f>IF(P4912="","",IF(AND(AD4912&lt;&gt;"",COUNTIFS(tcTipo,AD4912,tcLiq,"Sí")&gt;0),IF(OR(P4912="Gasto",P4912="Transferencia",P4912="Pago tarjeta"),-1,1)*S4912,0)+IF(AND(AE4912&lt;&gt;"",COUNTIFS(tcTipo,AE4912,tcLiq,"Sí")&gt;0),S4912,0))</f>
        <v/>
      </c>
      <c r="AI4912" s="52">
        <f>IF(OR(L4912="",P4912=""),"",IF(COUNTIFS(L$6:L4912,L4912,P$6:P4912,"?*")=1,MAX(AI$5:AI4911)+1,""))</f>
        <v/>
      </c>
    </row>
    <row r="4913">
      <c r="B4913" s="47" t="n"/>
      <c r="C4913" s="48" t="n"/>
      <c r="D4913" s="48" t="n"/>
      <c r="E4913" s="48" t="n"/>
      <c r="F4913" s="48" t="n"/>
      <c r="G4913" s="49" t="n"/>
      <c r="H4913" s="48" t="n"/>
      <c r="I4913" s="50" t="n"/>
      <c r="J4913" s="48" t="n"/>
      <c r="K4913" s="48" t="n"/>
      <c r="L4913" s="48" t="n"/>
      <c r="M4913" s="48" t="n"/>
      <c r="N4913" s="48" t="n"/>
      <c r="O4913" s="51">
        <f>IF(AND(B4913="",G4913="",C4913="",D4913="",J4913=""),"",IF(B4913="","⚠ Falta fecha",IF(G4913="","⚠ Falta monto",IF(Q4913="","⚠ Falta cuenta",IF(ISNA(MATCH(Q4913,ctaNombre,0)),"⚠ Cuenta no registrada",IF(AND(OR(P4913="Gasto",P4913="Reembolso"),D4913=""),"⚠ Falta categoría",IF(AND(D4913&lt;&gt;"",E4913&lt;&gt;"",ISNA(MATCH(D4913&amp;"|"&amp;E4913,catClave,0))),"⚠ Subcategoría no corresponde",IF(AND(OR(P4913="Transferencia",P4913="Pago tarjeta"),K4913=""),"⚠ Falta cuenta destino",IF(AND(K4913&lt;&gt;"",P4913&lt;&gt;"Transferencia",P4913&lt;&gt;"Pago tarjeta"),"⚠ Destino solo aplica a transferencias",IF(AND(K4913&lt;&gt;"",K4913=Q4913),"⚠ Origen igual a destino",IF(AND(K4913&lt;&gt;"",ISNA(MATCH(K4913,ctaNombre,0))),"⚠ Destino no registrado",IF(AND(P4913="Pago tarjeta",AE4913&lt;&gt;"Tarjeta de crédito"),"⚠ El destino debe ser tarjeta de crédito",IF(AND(P4913="Gasto",E4913="Depósitos y retiros"),"⚠ Usa tipo Transferencia",IF(AND(P4913="Resultado trading",AD4913&lt;&gt;"Cuenta de trading"),"⚠ Usa una cuenta de trading",IF(AND(G4913&lt;=0,P4913&lt;&gt;"Ajuste",P4913&lt;&gt;"Resultado trading"),"⚠ El monto debe ser positivo","✓")))))))))))))))</f>
        <v/>
      </c>
      <c r="P4913" s="52">
        <f>IF(OR(B4913="",G4913=""),"",IF(C4913="","Gasto",C4913))</f>
        <v/>
      </c>
      <c r="Q4913" s="52">
        <f>IF(P4913="","",IF(J4913&lt;&gt;"",J4913,CuentaPred&amp;""))</f>
        <v/>
      </c>
      <c r="R4913" s="52">
        <f>IF(P4913="","",IF(ISNUMBER(I4913),I4913,TasaUSD))</f>
        <v/>
      </c>
      <c r="S4913" s="53">
        <f>IF(P4913="","",IF(H4913="USD",G4913*R4913,G4913))</f>
        <v/>
      </c>
      <c r="T4913" s="53">
        <f>IF(P4913="","",IF(H4913="USD",G4913,IF(R4913&gt;0,G4913/R4913,0)))</f>
        <v/>
      </c>
      <c r="U4913" s="53">
        <f>IF(P4913="","",IF(P4913="Gasto",S4913,IF(P4913="Reembolso",-S4913,0)))</f>
        <v/>
      </c>
      <c r="V4913" s="53">
        <f>IF(P4913="","",IF(P4913="Ingreso",S4913,0))</f>
        <v/>
      </c>
      <c r="W4913" s="53">
        <f>IF(P4913="","",IF(P4913="Resultado trading",S4913,0))</f>
        <v/>
      </c>
      <c r="X4913" s="52">
        <f>IF(OR(P4913="Gasto",P4913="Reembolso"),IF(M4913&lt;&gt;"",M4913,IFERROR(INDEX(catClasif,MATCH(D4913&amp;"|"&amp;E4913,catClave,0))&amp;"","Variable")),"")</f>
        <v/>
      </c>
      <c r="Y4913" s="52">
        <f>IF(P4913="","",IFERROR(INDEX(catGrupo,MATCH(D4913&amp;"|"&amp;E4913,catClave,0))&amp;"",""))</f>
        <v/>
      </c>
      <c r="Z4913" s="52">
        <f>IF(P4913="","",WEEKDAY(B4913,2))</f>
        <v/>
      </c>
      <c r="AA4913" s="52">
        <f>IF(P4913="","",IF(AND(P4913="Gasto",X4913="Variable",D4913&lt;&gt;catTrading,S4913&gt;0,S4913&lt;=Umbral),1,0))</f>
        <v/>
      </c>
      <c r="AB4913" s="52">
        <f>IF(OR(P4913="",Q4913=""),"",IFERROR(IF(INDEX(ctaVinc,MATCH(Q4913,ctaNombre,0))&amp;""&lt;&gt;"",INDEX(ctaVinc,MATCH(Q4913,ctaNombre,0))&amp;"",Q4913),Q4913))</f>
        <v/>
      </c>
      <c r="AC4913" s="52">
        <f>IF(OR(K4913="",AND(P4913&lt;&gt;"Transferencia",P4913&lt;&gt;"Pago tarjeta")),"",IFERROR(IF(INDEX(ctaVinc,MATCH(K4913,ctaNombre,0))&amp;""&lt;&gt;"",INDEX(ctaVinc,MATCH(K4913,ctaNombre,0))&amp;"",K4913),K4913))</f>
        <v/>
      </c>
      <c r="AD4913" s="52">
        <f>IF(AB4913="","",IFERROR(INDEX(ctaTipo,MATCH(AB4913,ctaNombre,0))&amp;"",""))</f>
        <v/>
      </c>
      <c r="AE4913" s="52">
        <f>IF(AC4913="","",IFERROR(INDEX(ctaTipo,MATCH(AC4913,ctaNombre,0))&amp;"",""))</f>
        <v/>
      </c>
      <c r="AF4913" s="53">
        <f>IF(OR(P4913="",AB4913=""),"",IF(OR(P4913="Gasto",P4913="Transferencia",P4913="Pago tarjeta"),-1,1)*IF(IFERROR(INDEX(ctaMoneda,MATCH(AB4913,ctaNombre,0))&amp;"","DOP")="USD",T4913,S4913))</f>
        <v/>
      </c>
      <c r="AG4913" s="53">
        <f>IF(AC4913="","",IF(IFERROR(INDEX(ctaMoneda,MATCH(AC4913,ctaNombre,0))&amp;"","DOP")="USD",T4913,S4913))</f>
        <v/>
      </c>
      <c r="AH4913" s="53">
        <f>IF(P4913="","",IF(AND(AD4913&lt;&gt;"",COUNTIFS(tcTipo,AD4913,tcLiq,"Sí")&gt;0),IF(OR(P4913="Gasto",P4913="Transferencia",P4913="Pago tarjeta"),-1,1)*S4913,0)+IF(AND(AE4913&lt;&gt;"",COUNTIFS(tcTipo,AE4913,tcLiq,"Sí")&gt;0),S4913,0))</f>
        <v/>
      </c>
      <c r="AI4913" s="52">
        <f>IF(OR(L4913="",P4913=""),"",IF(COUNTIFS(L$6:L4913,L4913,P$6:P4913,"?*")=1,MAX(AI$5:AI4912)+1,""))</f>
        <v/>
      </c>
    </row>
    <row r="4914">
      <c r="B4914" s="47" t="n"/>
      <c r="C4914" s="48" t="n"/>
      <c r="D4914" s="48" t="n"/>
      <c r="E4914" s="48" t="n"/>
      <c r="F4914" s="48" t="n"/>
      <c r="G4914" s="49" t="n"/>
      <c r="H4914" s="48" t="n"/>
      <c r="I4914" s="50" t="n"/>
      <c r="J4914" s="48" t="n"/>
      <c r="K4914" s="48" t="n"/>
      <c r="L4914" s="48" t="n"/>
      <c r="M4914" s="48" t="n"/>
      <c r="N4914" s="48" t="n"/>
      <c r="O4914" s="51">
        <f>IF(AND(B4914="",G4914="",C4914="",D4914="",J4914=""),"",IF(B4914="","⚠ Falta fecha",IF(G4914="","⚠ Falta monto",IF(Q4914="","⚠ Falta cuenta",IF(ISNA(MATCH(Q4914,ctaNombre,0)),"⚠ Cuenta no registrada",IF(AND(OR(P4914="Gasto",P4914="Reembolso"),D4914=""),"⚠ Falta categoría",IF(AND(D4914&lt;&gt;"",E4914&lt;&gt;"",ISNA(MATCH(D4914&amp;"|"&amp;E4914,catClave,0))),"⚠ Subcategoría no corresponde",IF(AND(OR(P4914="Transferencia",P4914="Pago tarjeta"),K4914=""),"⚠ Falta cuenta destino",IF(AND(K4914&lt;&gt;"",P4914&lt;&gt;"Transferencia",P4914&lt;&gt;"Pago tarjeta"),"⚠ Destino solo aplica a transferencias",IF(AND(K4914&lt;&gt;"",K4914=Q4914),"⚠ Origen igual a destino",IF(AND(K4914&lt;&gt;"",ISNA(MATCH(K4914,ctaNombre,0))),"⚠ Destino no registrado",IF(AND(P4914="Pago tarjeta",AE4914&lt;&gt;"Tarjeta de crédito"),"⚠ El destino debe ser tarjeta de crédito",IF(AND(P4914="Gasto",E4914="Depósitos y retiros"),"⚠ Usa tipo Transferencia",IF(AND(P4914="Resultado trading",AD4914&lt;&gt;"Cuenta de trading"),"⚠ Usa una cuenta de trading",IF(AND(G4914&lt;=0,P4914&lt;&gt;"Ajuste",P4914&lt;&gt;"Resultado trading"),"⚠ El monto debe ser positivo","✓")))))))))))))))</f>
        <v/>
      </c>
      <c r="P4914" s="52">
        <f>IF(OR(B4914="",G4914=""),"",IF(C4914="","Gasto",C4914))</f>
        <v/>
      </c>
      <c r="Q4914" s="52">
        <f>IF(P4914="","",IF(J4914&lt;&gt;"",J4914,CuentaPred&amp;""))</f>
        <v/>
      </c>
      <c r="R4914" s="52">
        <f>IF(P4914="","",IF(ISNUMBER(I4914),I4914,TasaUSD))</f>
        <v/>
      </c>
      <c r="S4914" s="53">
        <f>IF(P4914="","",IF(H4914="USD",G4914*R4914,G4914))</f>
        <v/>
      </c>
      <c r="T4914" s="53">
        <f>IF(P4914="","",IF(H4914="USD",G4914,IF(R4914&gt;0,G4914/R4914,0)))</f>
        <v/>
      </c>
      <c r="U4914" s="53">
        <f>IF(P4914="","",IF(P4914="Gasto",S4914,IF(P4914="Reembolso",-S4914,0)))</f>
        <v/>
      </c>
      <c r="V4914" s="53">
        <f>IF(P4914="","",IF(P4914="Ingreso",S4914,0))</f>
        <v/>
      </c>
      <c r="W4914" s="53">
        <f>IF(P4914="","",IF(P4914="Resultado trading",S4914,0))</f>
        <v/>
      </c>
      <c r="X4914" s="52">
        <f>IF(OR(P4914="Gasto",P4914="Reembolso"),IF(M4914&lt;&gt;"",M4914,IFERROR(INDEX(catClasif,MATCH(D4914&amp;"|"&amp;E4914,catClave,0))&amp;"","Variable")),"")</f>
        <v/>
      </c>
      <c r="Y4914" s="52">
        <f>IF(P4914="","",IFERROR(INDEX(catGrupo,MATCH(D4914&amp;"|"&amp;E4914,catClave,0))&amp;"",""))</f>
        <v/>
      </c>
      <c r="Z4914" s="52">
        <f>IF(P4914="","",WEEKDAY(B4914,2))</f>
        <v/>
      </c>
      <c r="AA4914" s="52">
        <f>IF(P4914="","",IF(AND(P4914="Gasto",X4914="Variable",D4914&lt;&gt;catTrading,S4914&gt;0,S4914&lt;=Umbral),1,0))</f>
        <v/>
      </c>
      <c r="AB4914" s="52">
        <f>IF(OR(P4914="",Q4914=""),"",IFERROR(IF(INDEX(ctaVinc,MATCH(Q4914,ctaNombre,0))&amp;""&lt;&gt;"",INDEX(ctaVinc,MATCH(Q4914,ctaNombre,0))&amp;"",Q4914),Q4914))</f>
        <v/>
      </c>
      <c r="AC4914" s="52">
        <f>IF(OR(K4914="",AND(P4914&lt;&gt;"Transferencia",P4914&lt;&gt;"Pago tarjeta")),"",IFERROR(IF(INDEX(ctaVinc,MATCH(K4914,ctaNombre,0))&amp;""&lt;&gt;"",INDEX(ctaVinc,MATCH(K4914,ctaNombre,0))&amp;"",K4914),K4914))</f>
        <v/>
      </c>
      <c r="AD4914" s="52">
        <f>IF(AB4914="","",IFERROR(INDEX(ctaTipo,MATCH(AB4914,ctaNombre,0))&amp;"",""))</f>
        <v/>
      </c>
      <c r="AE4914" s="52">
        <f>IF(AC4914="","",IFERROR(INDEX(ctaTipo,MATCH(AC4914,ctaNombre,0))&amp;"",""))</f>
        <v/>
      </c>
      <c r="AF4914" s="53">
        <f>IF(OR(P4914="",AB4914=""),"",IF(OR(P4914="Gasto",P4914="Transferencia",P4914="Pago tarjeta"),-1,1)*IF(IFERROR(INDEX(ctaMoneda,MATCH(AB4914,ctaNombre,0))&amp;"","DOP")="USD",T4914,S4914))</f>
        <v/>
      </c>
      <c r="AG4914" s="53">
        <f>IF(AC4914="","",IF(IFERROR(INDEX(ctaMoneda,MATCH(AC4914,ctaNombre,0))&amp;"","DOP")="USD",T4914,S4914))</f>
        <v/>
      </c>
      <c r="AH4914" s="53">
        <f>IF(P4914="","",IF(AND(AD4914&lt;&gt;"",COUNTIFS(tcTipo,AD4914,tcLiq,"Sí")&gt;0),IF(OR(P4914="Gasto",P4914="Transferencia",P4914="Pago tarjeta"),-1,1)*S4914,0)+IF(AND(AE4914&lt;&gt;"",COUNTIFS(tcTipo,AE4914,tcLiq,"Sí")&gt;0),S4914,0))</f>
        <v/>
      </c>
      <c r="AI4914" s="52">
        <f>IF(OR(L4914="",P4914=""),"",IF(COUNTIFS(L$6:L4914,L4914,P$6:P4914,"?*")=1,MAX(AI$5:AI4913)+1,""))</f>
        <v/>
      </c>
    </row>
    <row r="4915">
      <c r="B4915" s="47" t="n"/>
      <c r="C4915" s="48" t="n"/>
      <c r="D4915" s="48" t="n"/>
      <c r="E4915" s="48" t="n"/>
      <c r="F4915" s="48" t="n"/>
      <c r="G4915" s="49" t="n"/>
      <c r="H4915" s="48" t="n"/>
      <c r="I4915" s="50" t="n"/>
      <c r="J4915" s="48" t="n"/>
      <c r="K4915" s="48" t="n"/>
      <c r="L4915" s="48" t="n"/>
      <c r="M4915" s="48" t="n"/>
      <c r="N4915" s="48" t="n"/>
      <c r="O4915" s="51">
        <f>IF(AND(B4915="",G4915="",C4915="",D4915="",J4915=""),"",IF(B4915="","⚠ Falta fecha",IF(G4915="","⚠ Falta monto",IF(Q4915="","⚠ Falta cuenta",IF(ISNA(MATCH(Q4915,ctaNombre,0)),"⚠ Cuenta no registrada",IF(AND(OR(P4915="Gasto",P4915="Reembolso"),D4915=""),"⚠ Falta categoría",IF(AND(D4915&lt;&gt;"",E4915&lt;&gt;"",ISNA(MATCH(D4915&amp;"|"&amp;E4915,catClave,0))),"⚠ Subcategoría no corresponde",IF(AND(OR(P4915="Transferencia",P4915="Pago tarjeta"),K4915=""),"⚠ Falta cuenta destino",IF(AND(K4915&lt;&gt;"",P4915&lt;&gt;"Transferencia",P4915&lt;&gt;"Pago tarjeta"),"⚠ Destino solo aplica a transferencias",IF(AND(K4915&lt;&gt;"",K4915=Q4915),"⚠ Origen igual a destino",IF(AND(K4915&lt;&gt;"",ISNA(MATCH(K4915,ctaNombre,0))),"⚠ Destino no registrado",IF(AND(P4915="Pago tarjeta",AE4915&lt;&gt;"Tarjeta de crédito"),"⚠ El destino debe ser tarjeta de crédito",IF(AND(P4915="Gasto",E4915="Depósitos y retiros"),"⚠ Usa tipo Transferencia",IF(AND(P4915="Resultado trading",AD4915&lt;&gt;"Cuenta de trading"),"⚠ Usa una cuenta de trading",IF(AND(G4915&lt;=0,P4915&lt;&gt;"Ajuste",P4915&lt;&gt;"Resultado trading"),"⚠ El monto debe ser positivo","✓")))))))))))))))</f>
        <v/>
      </c>
      <c r="P4915" s="52">
        <f>IF(OR(B4915="",G4915=""),"",IF(C4915="","Gasto",C4915))</f>
        <v/>
      </c>
      <c r="Q4915" s="52">
        <f>IF(P4915="","",IF(J4915&lt;&gt;"",J4915,CuentaPred&amp;""))</f>
        <v/>
      </c>
      <c r="R4915" s="52">
        <f>IF(P4915="","",IF(ISNUMBER(I4915),I4915,TasaUSD))</f>
        <v/>
      </c>
      <c r="S4915" s="53">
        <f>IF(P4915="","",IF(H4915="USD",G4915*R4915,G4915))</f>
        <v/>
      </c>
      <c r="T4915" s="53">
        <f>IF(P4915="","",IF(H4915="USD",G4915,IF(R4915&gt;0,G4915/R4915,0)))</f>
        <v/>
      </c>
      <c r="U4915" s="53">
        <f>IF(P4915="","",IF(P4915="Gasto",S4915,IF(P4915="Reembolso",-S4915,0)))</f>
        <v/>
      </c>
      <c r="V4915" s="53">
        <f>IF(P4915="","",IF(P4915="Ingreso",S4915,0))</f>
        <v/>
      </c>
      <c r="W4915" s="53">
        <f>IF(P4915="","",IF(P4915="Resultado trading",S4915,0))</f>
        <v/>
      </c>
      <c r="X4915" s="52">
        <f>IF(OR(P4915="Gasto",P4915="Reembolso"),IF(M4915&lt;&gt;"",M4915,IFERROR(INDEX(catClasif,MATCH(D4915&amp;"|"&amp;E4915,catClave,0))&amp;"","Variable")),"")</f>
        <v/>
      </c>
      <c r="Y4915" s="52">
        <f>IF(P4915="","",IFERROR(INDEX(catGrupo,MATCH(D4915&amp;"|"&amp;E4915,catClave,0))&amp;"",""))</f>
        <v/>
      </c>
      <c r="Z4915" s="52">
        <f>IF(P4915="","",WEEKDAY(B4915,2))</f>
        <v/>
      </c>
      <c r="AA4915" s="52">
        <f>IF(P4915="","",IF(AND(P4915="Gasto",X4915="Variable",D4915&lt;&gt;catTrading,S4915&gt;0,S4915&lt;=Umbral),1,0))</f>
        <v/>
      </c>
      <c r="AB4915" s="52">
        <f>IF(OR(P4915="",Q4915=""),"",IFERROR(IF(INDEX(ctaVinc,MATCH(Q4915,ctaNombre,0))&amp;""&lt;&gt;"",INDEX(ctaVinc,MATCH(Q4915,ctaNombre,0))&amp;"",Q4915),Q4915))</f>
        <v/>
      </c>
      <c r="AC4915" s="52">
        <f>IF(OR(K4915="",AND(P4915&lt;&gt;"Transferencia",P4915&lt;&gt;"Pago tarjeta")),"",IFERROR(IF(INDEX(ctaVinc,MATCH(K4915,ctaNombre,0))&amp;""&lt;&gt;"",INDEX(ctaVinc,MATCH(K4915,ctaNombre,0))&amp;"",K4915),K4915))</f>
        <v/>
      </c>
      <c r="AD4915" s="52">
        <f>IF(AB4915="","",IFERROR(INDEX(ctaTipo,MATCH(AB4915,ctaNombre,0))&amp;"",""))</f>
        <v/>
      </c>
      <c r="AE4915" s="52">
        <f>IF(AC4915="","",IFERROR(INDEX(ctaTipo,MATCH(AC4915,ctaNombre,0))&amp;"",""))</f>
        <v/>
      </c>
      <c r="AF4915" s="53">
        <f>IF(OR(P4915="",AB4915=""),"",IF(OR(P4915="Gasto",P4915="Transferencia",P4915="Pago tarjeta"),-1,1)*IF(IFERROR(INDEX(ctaMoneda,MATCH(AB4915,ctaNombre,0))&amp;"","DOP")="USD",T4915,S4915))</f>
        <v/>
      </c>
      <c r="AG4915" s="53">
        <f>IF(AC4915="","",IF(IFERROR(INDEX(ctaMoneda,MATCH(AC4915,ctaNombre,0))&amp;"","DOP")="USD",T4915,S4915))</f>
        <v/>
      </c>
      <c r="AH4915" s="53">
        <f>IF(P4915="","",IF(AND(AD4915&lt;&gt;"",COUNTIFS(tcTipo,AD4915,tcLiq,"Sí")&gt;0),IF(OR(P4915="Gasto",P4915="Transferencia",P4915="Pago tarjeta"),-1,1)*S4915,0)+IF(AND(AE4915&lt;&gt;"",COUNTIFS(tcTipo,AE4915,tcLiq,"Sí")&gt;0),S4915,0))</f>
        <v/>
      </c>
      <c r="AI4915" s="52">
        <f>IF(OR(L4915="",P4915=""),"",IF(COUNTIFS(L$6:L4915,L4915,P$6:P4915,"?*")=1,MAX(AI$5:AI4914)+1,""))</f>
        <v/>
      </c>
    </row>
    <row r="4916">
      <c r="B4916" s="47" t="n"/>
      <c r="C4916" s="48" t="n"/>
      <c r="D4916" s="48" t="n"/>
      <c r="E4916" s="48" t="n"/>
      <c r="F4916" s="48" t="n"/>
      <c r="G4916" s="49" t="n"/>
      <c r="H4916" s="48" t="n"/>
      <c r="I4916" s="50" t="n"/>
      <c r="J4916" s="48" t="n"/>
      <c r="K4916" s="48" t="n"/>
      <c r="L4916" s="48" t="n"/>
      <c r="M4916" s="48" t="n"/>
      <c r="N4916" s="48" t="n"/>
      <c r="O4916" s="51">
        <f>IF(AND(B4916="",G4916="",C4916="",D4916="",J4916=""),"",IF(B4916="","⚠ Falta fecha",IF(G4916="","⚠ Falta monto",IF(Q4916="","⚠ Falta cuenta",IF(ISNA(MATCH(Q4916,ctaNombre,0)),"⚠ Cuenta no registrada",IF(AND(OR(P4916="Gasto",P4916="Reembolso"),D4916=""),"⚠ Falta categoría",IF(AND(D4916&lt;&gt;"",E4916&lt;&gt;"",ISNA(MATCH(D4916&amp;"|"&amp;E4916,catClave,0))),"⚠ Subcategoría no corresponde",IF(AND(OR(P4916="Transferencia",P4916="Pago tarjeta"),K4916=""),"⚠ Falta cuenta destino",IF(AND(K4916&lt;&gt;"",P4916&lt;&gt;"Transferencia",P4916&lt;&gt;"Pago tarjeta"),"⚠ Destino solo aplica a transferencias",IF(AND(K4916&lt;&gt;"",K4916=Q4916),"⚠ Origen igual a destino",IF(AND(K4916&lt;&gt;"",ISNA(MATCH(K4916,ctaNombre,0))),"⚠ Destino no registrado",IF(AND(P4916="Pago tarjeta",AE4916&lt;&gt;"Tarjeta de crédito"),"⚠ El destino debe ser tarjeta de crédito",IF(AND(P4916="Gasto",E4916="Depósitos y retiros"),"⚠ Usa tipo Transferencia",IF(AND(P4916="Resultado trading",AD4916&lt;&gt;"Cuenta de trading"),"⚠ Usa una cuenta de trading",IF(AND(G4916&lt;=0,P4916&lt;&gt;"Ajuste",P4916&lt;&gt;"Resultado trading"),"⚠ El monto debe ser positivo","✓")))))))))))))))</f>
        <v/>
      </c>
      <c r="P4916" s="52">
        <f>IF(OR(B4916="",G4916=""),"",IF(C4916="","Gasto",C4916))</f>
        <v/>
      </c>
      <c r="Q4916" s="52">
        <f>IF(P4916="","",IF(J4916&lt;&gt;"",J4916,CuentaPred&amp;""))</f>
        <v/>
      </c>
      <c r="R4916" s="52">
        <f>IF(P4916="","",IF(ISNUMBER(I4916),I4916,TasaUSD))</f>
        <v/>
      </c>
      <c r="S4916" s="53">
        <f>IF(P4916="","",IF(H4916="USD",G4916*R4916,G4916))</f>
        <v/>
      </c>
      <c r="T4916" s="53">
        <f>IF(P4916="","",IF(H4916="USD",G4916,IF(R4916&gt;0,G4916/R4916,0)))</f>
        <v/>
      </c>
      <c r="U4916" s="53">
        <f>IF(P4916="","",IF(P4916="Gasto",S4916,IF(P4916="Reembolso",-S4916,0)))</f>
        <v/>
      </c>
      <c r="V4916" s="53">
        <f>IF(P4916="","",IF(P4916="Ingreso",S4916,0))</f>
        <v/>
      </c>
      <c r="W4916" s="53">
        <f>IF(P4916="","",IF(P4916="Resultado trading",S4916,0))</f>
        <v/>
      </c>
      <c r="X4916" s="52">
        <f>IF(OR(P4916="Gasto",P4916="Reembolso"),IF(M4916&lt;&gt;"",M4916,IFERROR(INDEX(catClasif,MATCH(D4916&amp;"|"&amp;E4916,catClave,0))&amp;"","Variable")),"")</f>
        <v/>
      </c>
      <c r="Y4916" s="52">
        <f>IF(P4916="","",IFERROR(INDEX(catGrupo,MATCH(D4916&amp;"|"&amp;E4916,catClave,0))&amp;"",""))</f>
        <v/>
      </c>
      <c r="Z4916" s="52">
        <f>IF(P4916="","",WEEKDAY(B4916,2))</f>
        <v/>
      </c>
      <c r="AA4916" s="52">
        <f>IF(P4916="","",IF(AND(P4916="Gasto",X4916="Variable",D4916&lt;&gt;catTrading,S4916&gt;0,S4916&lt;=Umbral),1,0))</f>
        <v/>
      </c>
      <c r="AB4916" s="52">
        <f>IF(OR(P4916="",Q4916=""),"",IFERROR(IF(INDEX(ctaVinc,MATCH(Q4916,ctaNombre,0))&amp;""&lt;&gt;"",INDEX(ctaVinc,MATCH(Q4916,ctaNombre,0))&amp;"",Q4916),Q4916))</f>
        <v/>
      </c>
      <c r="AC4916" s="52">
        <f>IF(OR(K4916="",AND(P4916&lt;&gt;"Transferencia",P4916&lt;&gt;"Pago tarjeta")),"",IFERROR(IF(INDEX(ctaVinc,MATCH(K4916,ctaNombre,0))&amp;""&lt;&gt;"",INDEX(ctaVinc,MATCH(K4916,ctaNombre,0))&amp;"",K4916),K4916))</f>
        <v/>
      </c>
      <c r="AD4916" s="52">
        <f>IF(AB4916="","",IFERROR(INDEX(ctaTipo,MATCH(AB4916,ctaNombre,0))&amp;"",""))</f>
        <v/>
      </c>
      <c r="AE4916" s="52">
        <f>IF(AC4916="","",IFERROR(INDEX(ctaTipo,MATCH(AC4916,ctaNombre,0))&amp;"",""))</f>
        <v/>
      </c>
      <c r="AF4916" s="53">
        <f>IF(OR(P4916="",AB4916=""),"",IF(OR(P4916="Gasto",P4916="Transferencia",P4916="Pago tarjeta"),-1,1)*IF(IFERROR(INDEX(ctaMoneda,MATCH(AB4916,ctaNombre,0))&amp;"","DOP")="USD",T4916,S4916))</f>
        <v/>
      </c>
      <c r="AG4916" s="53">
        <f>IF(AC4916="","",IF(IFERROR(INDEX(ctaMoneda,MATCH(AC4916,ctaNombre,0))&amp;"","DOP")="USD",T4916,S4916))</f>
        <v/>
      </c>
      <c r="AH4916" s="53">
        <f>IF(P4916="","",IF(AND(AD4916&lt;&gt;"",COUNTIFS(tcTipo,AD4916,tcLiq,"Sí")&gt;0),IF(OR(P4916="Gasto",P4916="Transferencia",P4916="Pago tarjeta"),-1,1)*S4916,0)+IF(AND(AE4916&lt;&gt;"",COUNTIFS(tcTipo,AE4916,tcLiq,"Sí")&gt;0),S4916,0))</f>
        <v/>
      </c>
      <c r="AI4916" s="52">
        <f>IF(OR(L4916="",P4916=""),"",IF(COUNTIFS(L$6:L4916,L4916,P$6:P4916,"?*")=1,MAX(AI$5:AI4915)+1,""))</f>
        <v/>
      </c>
    </row>
    <row r="4917">
      <c r="B4917" s="47" t="n"/>
      <c r="C4917" s="48" t="n"/>
      <c r="D4917" s="48" t="n"/>
      <c r="E4917" s="48" t="n"/>
      <c r="F4917" s="48" t="n"/>
      <c r="G4917" s="49" t="n"/>
      <c r="H4917" s="48" t="n"/>
      <c r="I4917" s="50" t="n"/>
      <c r="J4917" s="48" t="n"/>
      <c r="K4917" s="48" t="n"/>
      <c r="L4917" s="48" t="n"/>
      <c r="M4917" s="48" t="n"/>
      <c r="N4917" s="48" t="n"/>
      <c r="O4917" s="51">
        <f>IF(AND(B4917="",G4917="",C4917="",D4917="",J4917=""),"",IF(B4917="","⚠ Falta fecha",IF(G4917="","⚠ Falta monto",IF(Q4917="","⚠ Falta cuenta",IF(ISNA(MATCH(Q4917,ctaNombre,0)),"⚠ Cuenta no registrada",IF(AND(OR(P4917="Gasto",P4917="Reembolso"),D4917=""),"⚠ Falta categoría",IF(AND(D4917&lt;&gt;"",E4917&lt;&gt;"",ISNA(MATCH(D4917&amp;"|"&amp;E4917,catClave,0))),"⚠ Subcategoría no corresponde",IF(AND(OR(P4917="Transferencia",P4917="Pago tarjeta"),K4917=""),"⚠ Falta cuenta destino",IF(AND(K4917&lt;&gt;"",P4917&lt;&gt;"Transferencia",P4917&lt;&gt;"Pago tarjeta"),"⚠ Destino solo aplica a transferencias",IF(AND(K4917&lt;&gt;"",K4917=Q4917),"⚠ Origen igual a destino",IF(AND(K4917&lt;&gt;"",ISNA(MATCH(K4917,ctaNombre,0))),"⚠ Destino no registrado",IF(AND(P4917="Pago tarjeta",AE4917&lt;&gt;"Tarjeta de crédito"),"⚠ El destino debe ser tarjeta de crédito",IF(AND(P4917="Gasto",E4917="Depósitos y retiros"),"⚠ Usa tipo Transferencia",IF(AND(P4917="Resultado trading",AD4917&lt;&gt;"Cuenta de trading"),"⚠ Usa una cuenta de trading",IF(AND(G4917&lt;=0,P4917&lt;&gt;"Ajuste",P4917&lt;&gt;"Resultado trading"),"⚠ El monto debe ser positivo","✓")))))))))))))))</f>
        <v/>
      </c>
      <c r="P4917" s="52">
        <f>IF(OR(B4917="",G4917=""),"",IF(C4917="","Gasto",C4917))</f>
        <v/>
      </c>
      <c r="Q4917" s="52">
        <f>IF(P4917="","",IF(J4917&lt;&gt;"",J4917,CuentaPred&amp;""))</f>
        <v/>
      </c>
      <c r="R4917" s="52">
        <f>IF(P4917="","",IF(ISNUMBER(I4917),I4917,TasaUSD))</f>
        <v/>
      </c>
      <c r="S4917" s="53">
        <f>IF(P4917="","",IF(H4917="USD",G4917*R4917,G4917))</f>
        <v/>
      </c>
      <c r="T4917" s="53">
        <f>IF(P4917="","",IF(H4917="USD",G4917,IF(R4917&gt;0,G4917/R4917,0)))</f>
        <v/>
      </c>
      <c r="U4917" s="53">
        <f>IF(P4917="","",IF(P4917="Gasto",S4917,IF(P4917="Reembolso",-S4917,0)))</f>
        <v/>
      </c>
      <c r="V4917" s="53">
        <f>IF(P4917="","",IF(P4917="Ingreso",S4917,0))</f>
        <v/>
      </c>
      <c r="W4917" s="53">
        <f>IF(P4917="","",IF(P4917="Resultado trading",S4917,0))</f>
        <v/>
      </c>
      <c r="X4917" s="52">
        <f>IF(OR(P4917="Gasto",P4917="Reembolso"),IF(M4917&lt;&gt;"",M4917,IFERROR(INDEX(catClasif,MATCH(D4917&amp;"|"&amp;E4917,catClave,0))&amp;"","Variable")),"")</f>
        <v/>
      </c>
      <c r="Y4917" s="52">
        <f>IF(P4917="","",IFERROR(INDEX(catGrupo,MATCH(D4917&amp;"|"&amp;E4917,catClave,0))&amp;"",""))</f>
        <v/>
      </c>
      <c r="Z4917" s="52">
        <f>IF(P4917="","",WEEKDAY(B4917,2))</f>
        <v/>
      </c>
      <c r="AA4917" s="52">
        <f>IF(P4917="","",IF(AND(P4917="Gasto",X4917="Variable",D4917&lt;&gt;catTrading,S4917&gt;0,S4917&lt;=Umbral),1,0))</f>
        <v/>
      </c>
      <c r="AB4917" s="52">
        <f>IF(OR(P4917="",Q4917=""),"",IFERROR(IF(INDEX(ctaVinc,MATCH(Q4917,ctaNombre,0))&amp;""&lt;&gt;"",INDEX(ctaVinc,MATCH(Q4917,ctaNombre,0))&amp;"",Q4917),Q4917))</f>
        <v/>
      </c>
      <c r="AC4917" s="52">
        <f>IF(OR(K4917="",AND(P4917&lt;&gt;"Transferencia",P4917&lt;&gt;"Pago tarjeta")),"",IFERROR(IF(INDEX(ctaVinc,MATCH(K4917,ctaNombre,0))&amp;""&lt;&gt;"",INDEX(ctaVinc,MATCH(K4917,ctaNombre,0))&amp;"",K4917),K4917))</f>
        <v/>
      </c>
      <c r="AD4917" s="52">
        <f>IF(AB4917="","",IFERROR(INDEX(ctaTipo,MATCH(AB4917,ctaNombre,0))&amp;"",""))</f>
        <v/>
      </c>
      <c r="AE4917" s="52">
        <f>IF(AC4917="","",IFERROR(INDEX(ctaTipo,MATCH(AC4917,ctaNombre,0))&amp;"",""))</f>
        <v/>
      </c>
      <c r="AF4917" s="53">
        <f>IF(OR(P4917="",AB4917=""),"",IF(OR(P4917="Gasto",P4917="Transferencia",P4917="Pago tarjeta"),-1,1)*IF(IFERROR(INDEX(ctaMoneda,MATCH(AB4917,ctaNombre,0))&amp;"","DOP")="USD",T4917,S4917))</f>
        <v/>
      </c>
      <c r="AG4917" s="53">
        <f>IF(AC4917="","",IF(IFERROR(INDEX(ctaMoneda,MATCH(AC4917,ctaNombre,0))&amp;"","DOP")="USD",T4917,S4917))</f>
        <v/>
      </c>
      <c r="AH4917" s="53">
        <f>IF(P4917="","",IF(AND(AD4917&lt;&gt;"",COUNTIFS(tcTipo,AD4917,tcLiq,"Sí")&gt;0),IF(OR(P4917="Gasto",P4917="Transferencia",P4917="Pago tarjeta"),-1,1)*S4917,0)+IF(AND(AE4917&lt;&gt;"",COUNTIFS(tcTipo,AE4917,tcLiq,"Sí")&gt;0),S4917,0))</f>
        <v/>
      </c>
      <c r="AI4917" s="52">
        <f>IF(OR(L4917="",P4917=""),"",IF(COUNTIFS(L$6:L4917,L4917,P$6:P4917,"?*")=1,MAX(AI$5:AI4916)+1,""))</f>
        <v/>
      </c>
    </row>
    <row r="4918">
      <c r="B4918" s="47" t="n"/>
      <c r="C4918" s="48" t="n"/>
      <c r="D4918" s="48" t="n"/>
      <c r="E4918" s="48" t="n"/>
      <c r="F4918" s="48" t="n"/>
      <c r="G4918" s="49" t="n"/>
      <c r="H4918" s="48" t="n"/>
      <c r="I4918" s="50" t="n"/>
      <c r="J4918" s="48" t="n"/>
      <c r="K4918" s="48" t="n"/>
      <c r="L4918" s="48" t="n"/>
      <c r="M4918" s="48" t="n"/>
      <c r="N4918" s="48" t="n"/>
      <c r="O4918" s="51">
        <f>IF(AND(B4918="",G4918="",C4918="",D4918="",J4918=""),"",IF(B4918="","⚠ Falta fecha",IF(G4918="","⚠ Falta monto",IF(Q4918="","⚠ Falta cuenta",IF(ISNA(MATCH(Q4918,ctaNombre,0)),"⚠ Cuenta no registrada",IF(AND(OR(P4918="Gasto",P4918="Reembolso"),D4918=""),"⚠ Falta categoría",IF(AND(D4918&lt;&gt;"",E4918&lt;&gt;"",ISNA(MATCH(D4918&amp;"|"&amp;E4918,catClave,0))),"⚠ Subcategoría no corresponde",IF(AND(OR(P4918="Transferencia",P4918="Pago tarjeta"),K4918=""),"⚠ Falta cuenta destino",IF(AND(K4918&lt;&gt;"",P4918&lt;&gt;"Transferencia",P4918&lt;&gt;"Pago tarjeta"),"⚠ Destino solo aplica a transferencias",IF(AND(K4918&lt;&gt;"",K4918=Q4918),"⚠ Origen igual a destino",IF(AND(K4918&lt;&gt;"",ISNA(MATCH(K4918,ctaNombre,0))),"⚠ Destino no registrado",IF(AND(P4918="Pago tarjeta",AE4918&lt;&gt;"Tarjeta de crédito"),"⚠ El destino debe ser tarjeta de crédito",IF(AND(P4918="Gasto",E4918="Depósitos y retiros"),"⚠ Usa tipo Transferencia",IF(AND(P4918="Resultado trading",AD4918&lt;&gt;"Cuenta de trading"),"⚠ Usa una cuenta de trading",IF(AND(G4918&lt;=0,P4918&lt;&gt;"Ajuste",P4918&lt;&gt;"Resultado trading"),"⚠ El monto debe ser positivo","✓")))))))))))))))</f>
        <v/>
      </c>
      <c r="P4918" s="52">
        <f>IF(OR(B4918="",G4918=""),"",IF(C4918="","Gasto",C4918))</f>
        <v/>
      </c>
      <c r="Q4918" s="52">
        <f>IF(P4918="","",IF(J4918&lt;&gt;"",J4918,CuentaPred&amp;""))</f>
        <v/>
      </c>
      <c r="R4918" s="52">
        <f>IF(P4918="","",IF(ISNUMBER(I4918),I4918,TasaUSD))</f>
        <v/>
      </c>
      <c r="S4918" s="53">
        <f>IF(P4918="","",IF(H4918="USD",G4918*R4918,G4918))</f>
        <v/>
      </c>
      <c r="T4918" s="53">
        <f>IF(P4918="","",IF(H4918="USD",G4918,IF(R4918&gt;0,G4918/R4918,0)))</f>
        <v/>
      </c>
      <c r="U4918" s="53">
        <f>IF(P4918="","",IF(P4918="Gasto",S4918,IF(P4918="Reembolso",-S4918,0)))</f>
        <v/>
      </c>
      <c r="V4918" s="53">
        <f>IF(P4918="","",IF(P4918="Ingreso",S4918,0))</f>
        <v/>
      </c>
      <c r="W4918" s="53">
        <f>IF(P4918="","",IF(P4918="Resultado trading",S4918,0))</f>
        <v/>
      </c>
      <c r="X4918" s="52">
        <f>IF(OR(P4918="Gasto",P4918="Reembolso"),IF(M4918&lt;&gt;"",M4918,IFERROR(INDEX(catClasif,MATCH(D4918&amp;"|"&amp;E4918,catClave,0))&amp;"","Variable")),"")</f>
        <v/>
      </c>
      <c r="Y4918" s="52">
        <f>IF(P4918="","",IFERROR(INDEX(catGrupo,MATCH(D4918&amp;"|"&amp;E4918,catClave,0))&amp;"",""))</f>
        <v/>
      </c>
      <c r="Z4918" s="52">
        <f>IF(P4918="","",WEEKDAY(B4918,2))</f>
        <v/>
      </c>
      <c r="AA4918" s="52">
        <f>IF(P4918="","",IF(AND(P4918="Gasto",X4918="Variable",D4918&lt;&gt;catTrading,S4918&gt;0,S4918&lt;=Umbral),1,0))</f>
        <v/>
      </c>
      <c r="AB4918" s="52">
        <f>IF(OR(P4918="",Q4918=""),"",IFERROR(IF(INDEX(ctaVinc,MATCH(Q4918,ctaNombre,0))&amp;""&lt;&gt;"",INDEX(ctaVinc,MATCH(Q4918,ctaNombre,0))&amp;"",Q4918),Q4918))</f>
        <v/>
      </c>
      <c r="AC4918" s="52">
        <f>IF(OR(K4918="",AND(P4918&lt;&gt;"Transferencia",P4918&lt;&gt;"Pago tarjeta")),"",IFERROR(IF(INDEX(ctaVinc,MATCH(K4918,ctaNombre,0))&amp;""&lt;&gt;"",INDEX(ctaVinc,MATCH(K4918,ctaNombre,0))&amp;"",K4918),K4918))</f>
        <v/>
      </c>
      <c r="AD4918" s="52">
        <f>IF(AB4918="","",IFERROR(INDEX(ctaTipo,MATCH(AB4918,ctaNombre,0))&amp;"",""))</f>
        <v/>
      </c>
      <c r="AE4918" s="52">
        <f>IF(AC4918="","",IFERROR(INDEX(ctaTipo,MATCH(AC4918,ctaNombre,0))&amp;"",""))</f>
        <v/>
      </c>
      <c r="AF4918" s="53">
        <f>IF(OR(P4918="",AB4918=""),"",IF(OR(P4918="Gasto",P4918="Transferencia",P4918="Pago tarjeta"),-1,1)*IF(IFERROR(INDEX(ctaMoneda,MATCH(AB4918,ctaNombre,0))&amp;"","DOP")="USD",T4918,S4918))</f>
        <v/>
      </c>
      <c r="AG4918" s="53">
        <f>IF(AC4918="","",IF(IFERROR(INDEX(ctaMoneda,MATCH(AC4918,ctaNombre,0))&amp;"","DOP")="USD",T4918,S4918))</f>
        <v/>
      </c>
      <c r="AH4918" s="53">
        <f>IF(P4918="","",IF(AND(AD4918&lt;&gt;"",COUNTIFS(tcTipo,AD4918,tcLiq,"Sí")&gt;0),IF(OR(P4918="Gasto",P4918="Transferencia",P4918="Pago tarjeta"),-1,1)*S4918,0)+IF(AND(AE4918&lt;&gt;"",COUNTIFS(tcTipo,AE4918,tcLiq,"Sí")&gt;0),S4918,0))</f>
        <v/>
      </c>
      <c r="AI4918" s="52">
        <f>IF(OR(L4918="",P4918=""),"",IF(COUNTIFS(L$6:L4918,L4918,P$6:P4918,"?*")=1,MAX(AI$5:AI4917)+1,""))</f>
        <v/>
      </c>
    </row>
    <row r="4919">
      <c r="B4919" s="47" t="n"/>
      <c r="C4919" s="48" t="n"/>
      <c r="D4919" s="48" t="n"/>
      <c r="E4919" s="48" t="n"/>
      <c r="F4919" s="48" t="n"/>
      <c r="G4919" s="49" t="n"/>
      <c r="H4919" s="48" t="n"/>
      <c r="I4919" s="50" t="n"/>
      <c r="J4919" s="48" t="n"/>
      <c r="K4919" s="48" t="n"/>
      <c r="L4919" s="48" t="n"/>
      <c r="M4919" s="48" t="n"/>
      <c r="N4919" s="48" t="n"/>
      <c r="O4919" s="51">
        <f>IF(AND(B4919="",G4919="",C4919="",D4919="",J4919=""),"",IF(B4919="","⚠ Falta fecha",IF(G4919="","⚠ Falta monto",IF(Q4919="","⚠ Falta cuenta",IF(ISNA(MATCH(Q4919,ctaNombre,0)),"⚠ Cuenta no registrada",IF(AND(OR(P4919="Gasto",P4919="Reembolso"),D4919=""),"⚠ Falta categoría",IF(AND(D4919&lt;&gt;"",E4919&lt;&gt;"",ISNA(MATCH(D4919&amp;"|"&amp;E4919,catClave,0))),"⚠ Subcategoría no corresponde",IF(AND(OR(P4919="Transferencia",P4919="Pago tarjeta"),K4919=""),"⚠ Falta cuenta destino",IF(AND(K4919&lt;&gt;"",P4919&lt;&gt;"Transferencia",P4919&lt;&gt;"Pago tarjeta"),"⚠ Destino solo aplica a transferencias",IF(AND(K4919&lt;&gt;"",K4919=Q4919),"⚠ Origen igual a destino",IF(AND(K4919&lt;&gt;"",ISNA(MATCH(K4919,ctaNombre,0))),"⚠ Destino no registrado",IF(AND(P4919="Pago tarjeta",AE4919&lt;&gt;"Tarjeta de crédito"),"⚠ El destino debe ser tarjeta de crédito",IF(AND(P4919="Gasto",E4919="Depósitos y retiros"),"⚠ Usa tipo Transferencia",IF(AND(P4919="Resultado trading",AD4919&lt;&gt;"Cuenta de trading"),"⚠ Usa una cuenta de trading",IF(AND(G4919&lt;=0,P4919&lt;&gt;"Ajuste",P4919&lt;&gt;"Resultado trading"),"⚠ El monto debe ser positivo","✓")))))))))))))))</f>
        <v/>
      </c>
      <c r="P4919" s="52">
        <f>IF(OR(B4919="",G4919=""),"",IF(C4919="","Gasto",C4919))</f>
        <v/>
      </c>
      <c r="Q4919" s="52">
        <f>IF(P4919="","",IF(J4919&lt;&gt;"",J4919,CuentaPred&amp;""))</f>
        <v/>
      </c>
      <c r="R4919" s="52">
        <f>IF(P4919="","",IF(ISNUMBER(I4919),I4919,TasaUSD))</f>
        <v/>
      </c>
      <c r="S4919" s="53">
        <f>IF(P4919="","",IF(H4919="USD",G4919*R4919,G4919))</f>
        <v/>
      </c>
      <c r="T4919" s="53">
        <f>IF(P4919="","",IF(H4919="USD",G4919,IF(R4919&gt;0,G4919/R4919,0)))</f>
        <v/>
      </c>
      <c r="U4919" s="53">
        <f>IF(P4919="","",IF(P4919="Gasto",S4919,IF(P4919="Reembolso",-S4919,0)))</f>
        <v/>
      </c>
      <c r="V4919" s="53">
        <f>IF(P4919="","",IF(P4919="Ingreso",S4919,0))</f>
        <v/>
      </c>
      <c r="W4919" s="53">
        <f>IF(P4919="","",IF(P4919="Resultado trading",S4919,0))</f>
        <v/>
      </c>
      <c r="X4919" s="52">
        <f>IF(OR(P4919="Gasto",P4919="Reembolso"),IF(M4919&lt;&gt;"",M4919,IFERROR(INDEX(catClasif,MATCH(D4919&amp;"|"&amp;E4919,catClave,0))&amp;"","Variable")),"")</f>
        <v/>
      </c>
      <c r="Y4919" s="52">
        <f>IF(P4919="","",IFERROR(INDEX(catGrupo,MATCH(D4919&amp;"|"&amp;E4919,catClave,0))&amp;"",""))</f>
        <v/>
      </c>
      <c r="Z4919" s="52">
        <f>IF(P4919="","",WEEKDAY(B4919,2))</f>
        <v/>
      </c>
      <c r="AA4919" s="52">
        <f>IF(P4919="","",IF(AND(P4919="Gasto",X4919="Variable",D4919&lt;&gt;catTrading,S4919&gt;0,S4919&lt;=Umbral),1,0))</f>
        <v/>
      </c>
      <c r="AB4919" s="52">
        <f>IF(OR(P4919="",Q4919=""),"",IFERROR(IF(INDEX(ctaVinc,MATCH(Q4919,ctaNombre,0))&amp;""&lt;&gt;"",INDEX(ctaVinc,MATCH(Q4919,ctaNombre,0))&amp;"",Q4919),Q4919))</f>
        <v/>
      </c>
      <c r="AC4919" s="52">
        <f>IF(OR(K4919="",AND(P4919&lt;&gt;"Transferencia",P4919&lt;&gt;"Pago tarjeta")),"",IFERROR(IF(INDEX(ctaVinc,MATCH(K4919,ctaNombre,0))&amp;""&lt;&gt;"",INDEX(ctaVinc,MATCH(K4919,ctaNombre,0))&amp;"",K4919),K4919))</f>
        <v/>
      </c>
      <c r="AD4919" s="52">
        <f>IF(AB4919="","",IFERROR(INDEX(ctaTipo,MATCH(AB4919,ctaNombre,0))&amp;"",""))</f>
        <v/>
      </c>
      <c r="AE4919" s="52">
        <f>IF(AC4919="","",IFERROR(INDEX(ctaTipo,MATCH(AC4919,ctaNombre,0))&amp;"",""))</f>
        <v/>
      </c>
      <c r="AF4919" s="53">
        <f>IF(OR(P4919="",AB4919=""),"",IF(OR(P4919="Gasto",P4919="Transferencia",P4919="Pago tarjeta"),-1,1)*IF(IFERROR(INDEX(ctaMoneda,MATCH(AB4919,ctaNombre,0))&amp;"","DOP")="USD",T4919,S4919))</f>
        <v/>
      </c>
      <c r="AG4919" s="53">
        <f>IF(AC4919="","",IF(IFERROR(INDEX(ctaMoneda,MATCH(AC4919,ctaNombre,0))&amp;"","DOP")="USD",T4919,S4919))</f>
        <v/>
      </c>
      <c r="AH4919" s="53">
        <f>IF(P4919="","",IF(AND(AD4919&lt;&gt;"",COUNTIFS(tcTipo,AD4919,tcLiq,"Sí")&gt;0),IF(OR(P4919="Gasto",P4919="Transferencia",P4919="Pago tarjeta"),-1,1)*S4919,0)+IF(AND(AE4919&lt;&gt;"",COUNTIFS(tcTipo,AE4919,tcLiq,"Sí")&gt;0),S4919,0))</f>
        <v/>
      </c>
      <c r="AI4919" s="52">
        <f>IF(OR(L4919="",P4919=""),"",IF(COUNTIFS(L$6:L4919,L4919,P$6:P4919,"?*")=1,MAX(AI$5:AI4918)+1,""))</f>
        <v/>
      </c>
    </row>
    <row r="4920">
      <c r="B4920" s="47" t="n"/>
      <c r="C4920" s="48" t="n"/>
      <c r="D4920" s="48" t="n"/>
      <c r="E4920" s="48" t="n"/>
      <c r="F4920" s="48" t="n"/>
      <c r="G4920" s="49" t="n"/>
      <c r="H4920" s="48" t="n"/>
      <c r="I4920" s="50" t="n"/>
      <c r="J4920" s="48" t="n"/>
      <c r="K4920" s="48" t="n"/>
      <c r="L4920" s="48" t="n"/>
      <c r="M4920" s="48" t="n"/>
      <c r="N4920" s="48" t="n"/>
      <c r="O4920" s="51">
        <f>IF(AND(B4920="",G4920="",C4920="",D4920="",J4920=""),"",IF(B4920="","⚠ Falta fecha",IF(G4920="","⚠ Falta monto",IF(Q4920="","⚠ Falta cuenta",IF(ISNA(MATCH(Q4920,ctaNombre,0)),"⚠ Cuenta no registrada",IF(AND(OR(P4920="Gasto",P4920="Reembolso"),D4920=""),"⚠ Falta categoría",IF(AND(D4920&lt;&gt;"",E4920&lt;&gt;"",ISNA(MATCH(D4920&amp;"|"&amp;E4920,catClave,0))),"⚠ Subcategoría no corresponde",IF(AND(OR(P4920="Transferencia",P4920="Pago tarjeta"),K4920=""),"⚠ Falta cuenta destino",IF(AND(K4920&lt;&gt;"",P4920&lt;&gt;"Transferencia",P4920&lt;&gt;"Pago tarjeta"),"⚠ Destino solo aplica a transferencias",IF(AND(K4920&lt;&gt;"",K4920=Q4920),"⚠ Origen igual a destino",IF(AND(K4920&lt;&gt;"",ISNA(MATCH(K4920,ctaNombre,0))),"⚠ Destino no registrado",IF(AND(P4920="Pago tarjeta",AE4920&lt;&gt;"Tarjeta de crédito"),"⚠ El destino debe ser tarjeta de crédito",IF(AND(P4920="Gasto",E4920="Depósitos y retiros"),"⚠ Usa tipo Transferencia",IF(AND(P4920="Resultado trading",AD4920&lt;&gt;"Cuenta de trading"),"⚠ Usa una cuenta de trading",IF(AND(G4920&lt;=0,P4920&lt;&gt;"Ajuste",P4920&lt;&gt;"Resultado trading"),"⚠ El monto debe ser positivo","✓")))))))))))))))</f>
        <v/>
      </c>
      <c r="P4920" s="52">
        <f>IF(OR(B4920="",G4920=""),"",IF(C4920="","Gasto",C4920))</f>
        <v/>
      </c>
      <c r="Q4920" s="52">
        <f>IF(P4920="","",IF(J4920&lt;&gt;"",J4920,CuentaPred&amp;""))</f>
        <v/>
      </c>
      <c r="R4920" s="52">
        <f>IF(P4920="","",IF(ISNUMBER(I4920),I4920,TasaUSD))</f>
        <v/>
      </c>
      <c r="S4920" s="53">
        <f>IF(P4920="","",IF(H4920="USD",G4920*R4920,G4920))</f>
        <v/>
      </c>
      <c r="T4920" s="53">
        <f>IF(P4920="","",IF(H4920="USD",G4920,IF(R4920&gt;0,G4920/R4920,0)))</f>
        <v/>
      </c>
      <c r="U4920" s="53">
        <f>IF(P4920="","",IF(P4920="Gasto",S4920,IF(P4920="Reembolso",-S4920,0)))</f>
        <v/>
      </c>
      <c r="V4920" s="53">
        <f>IF(P4920="","",IF(P4920="Ingreso",S4920,0))</f>
        <v/>
      </c>
      <c r="W4920" s="53">
        <f>IF(P4920="","",IF(P4920="Resultado trading",S4920,0))</f>
        <v/>
      </c>
      <c r="X4920" s="52">
        <f>IF(OR(P4920="Gasto",P4920="Reembolso"),IF(M4920&lt;&gt;"",M4920,IFERROR(INDEX(catClasif,MATCH(D4920&amp;"|"&amp;E4920,catClave,0))&amp;"","Variable")),"")</f>
        <v/>
      </c>
      <c r="Y4920" s="52">
        <f>IF(P4920="","",IFERROR(INDEX(catGrupo,MATCH(D4920&amp;"|"&amp;E4920,catClave,0))&amp;"",""))</f>
        <v/>
      </c>
      <c r="Z4920" s="52">
        <f>IF(P4920="","",WEEKDAY(B4920,2))</f>
        <v/>
      </c>
      <c r="AA4920" s="52">
        <f>IF(P4920="","",IF(AND(P4920="Gasto",X4920="Variable",D4920&lt;&gt;catTrading,S4920&gt;0,S4920&lt;=Umbral),1,0))</f>
        <v/>
      </c>
      <c r="AB4920" s="52">
        <f>IF(OR(P4920="",Q4920=""),"",IFERROR(IF(INDEX(ctaVinc,MATCH(Q4920,ctaNombre,0))&amp;""&lt;&gt;"",INDEX(ctaVinc,MATCH(Q4920,ctaNombre,0))&amp;"",Q4920),Q4920))</f>
        <v/>
      </c>
      <c r="AC4920" s="52">
        <f>IF(OR(K4920="",AND(P4920&lt;&gt;"Transferencia",P4920&lt;&gt;"Pago tarjeta")),"",IFERROR(IF(INDEX(ctaVinc,MATCH(K4920,ctaNombre,0))&amp;""&lt;&gt;"",INDEX(ctaVinc,MATCH(K4920,ctaNombre,0))&amp;"",K4920),K4920))</f>
        <v/>
      </c>
      <c r="AD4920" s="52">
        <f>IF(AB4920="","",IFERROR(INDEX(ctaTipo,MATCH(AB4920,ctaNombre,0))&amp;"",""))</f>
        <v/>
      </c>
      <c r="AE4920" s="52">
        <f>IF(AC4920="","",IFERROR(INDEX(ctaTipo,MATCH(AC4920,ctaNombre,0))&amp;"",""))</f>
        <v/>
      </c>
      <c r="AF4920" s="53">
        <f>IF(OR(P4920="",AB4920=""),"",IF(OR(P4920="Gasto",P4920="Transferencia",P4920="Pago tarjeta"),-1,1)*IF(IFERROR(INDEX(ctaMoneda,MATCH(AB4920,ctaNombre,0))&amp;"","DOP")="USD",T4920,S4920))</f>
        <v/>
      </c>
      <c r="AG4920" s="53">
        <f>IF(AC4920="","",IF(IFERROR(INDEX(ctaMoneda,MATCH(AC4920,ctaNombre,0))&amp;"","DOP")="USD",T4920,S4920))</f>
        <v/>
      </c>
      <c r="AH4920" s="53">
        <f>IF(P4920="","",IF(AND(AD4920&lt;&gt;"",COUNTIFS(tcTipo,AD4920,tcLiq,"Sí")&gt;0),IF(OR(P4920="Gasto",P4920="Transferencia",P4920="Pago tarjeta"),-1,1)*S4920,0)+IF(AND(AE4920&lt;&gt;"",COUNTIFS(tcTipo,AE4920,tcLiq,"Sí")&gt;0),S4920,0))</f>
        <v/>
      </c>
      <c r="AI4920" s="52">
        <f>IF(OR(L4920="",P4920=""),"",IF(COUNTIFS(L$6:L4920,L4920,P$6:P4920,"?*")=1,MAX(AI$5:AI4919)+1,""))</f>
        <v/>
      </c>
    </row>
    <row r="4921">
      <c r="B4921" s="47" t="n"/>
      <c r="C4921" s="48" t="n"/>
      <c r="D4921" s="48" t="n"/>
      <c r="E4921" s="48" t="n"/>
      <c r="F4921" s="48" t="n"/>
      <c r="G4921" s="49" t="n"/>
      <c r="H4921" s="48" t="n"/>
      <c r="I4921" s="50" t="n"/>
      <c r="J4921" s="48" t="n"/>
      <c r="K4921" s="48" t="n"/>
      <c r="L4921" s="48" t="n"/>
      <c r="M4921" s="48" t="n"/>
      <c r="N4921" s="48" t="n"/>
      <c r="O4921" s="51">
        <f>IF(AND(B4921="",G4921="",C4921="",D4921="",J4921=""),"",IF(B4921="","⚠ Falta fecha",IF(G4921="","⚠ Falta monto",IF(Q4921="","⚠ Falta cuenta",IF(ISNA(MATCH(Q4921,ctaNombre,0)),"⚠ Cuenta no registrada",IF(AND(OR(P4921="Gasto",P4921="Reembolso"),D4921=""),"⚠ Falta categoría",IF(AND(D4921&lt;&gt;"",E4921&lt;&gt;"",ISNA(MATCH(D4921&amp;"|"&amp;E4921,catClave,0))),"⚠ Subcategoría no corresponde",IF(AND(OR(P4921="Transferencia",P4921="Pago tarjeta"),K4921=""),"⚠ Falta cuenta destino",IF(AND(K4921&lt;&gt;"",P4921&lt;&gt;"Transferencia",P4921&lt;&gt;"Pago tarjeta"),"⚠ Destino solo aplica a transferencias",IF(AND(K4921&lt;&gt;"",K4921=Q4921),"⚠ Origen igual a destino",IF(AND(K4921&lt;&gt;"",ISNA(MATCH(K4921,ctaNombre,0))),"⚠ Destino no registrado",IF(AND(P4921="Pago tarjeta",AE4921&lt;&gt;"Tarjeta de crédito"),"⚠ El destino debe ser tarjeta de crédito",IF(AND(P4921="Gasto",E4921="Depósitos y retiros"),"⚠ Usa tipo Transferencia",IF(AND(P4921="Resultado trading",AD4921&lt;&gt;"Cuenta de trading"),"⚠ Usa una cuenta de trading",IF(AND(G4921&lt;=0,P4921&lt;&gt;"Ajuste",P4921&lt;&gt;"Resultado trading"),"⚠ El monto debe ser positivo","✓")))))))))))))))</f>
        <v/>
      </c>
      <c r="P4921" s="52">
        <f>IF(OR(B4921="",G4921=""),"",IF(C4921="","Gasto",C4921))</f>
        <v/>
      </c>
      <c r="Q4921" s="52">
        <f>IF(P4921="","",IF(J4921&lt;&gt;"",J4921,CuentaPred&amp;""))</f>
        <v/>
      </c>
      <c r="R4921" s="52">
        <f>IF(P4921="","",IF(ISNUMBER(I4921),I4921,TasaUSD))</f>
        <v/>
      </c>
      <c r="S4921" s="53">
        <f>IF(P4921="","",IF(H4921="USD",G4921*R4921,G4921))</f>
        <v/>
      </c>
      <c r="T4921" s="53">
        <f>IF(P4921="","",IF(H4921="USD",G4921,IF(R4921&gt;0,G4921/R4921,0)))</f>
        <v/>
      </c>
      <c r="U4921" s="53">
        <f>IF(P4921="","",IF(P4921="Gasto",S4921,IF(P4921="Reembolso",-S4921,0)))</f>
        <v/>
      </c>
      <c r="V4921" s="53">
        <f>IF(P4921="","",IF(P4921="Ingreso",S4921,0))</f>
        <v/>
      </c>
      <c r="W4921" s="53">
        <f>IF(P4921="","",IF(P4921="Resultado trading",S4921,0))</f>
        <v/>
      </c>
      <c r="X4921" s="52">
        <f>IF(OR(P4921="Gasto",P4921="Reembolso"),IF(M4921&lt;&gt;"",M4921,IFERROR(INDEX(catClasif,MATCH(D4921&amp;"|"&amp;E4921,catClave,0))&amp;"","Variable")),"")</f>
        <v/>
      </c>
      <c r="Y4921" s="52">
        <f>IF(P4921="","",IFERROR(INDEX(catGrupo,MATCH(D4921&amp;"|"&amp;E4921,catClave,0))&amp;"",""))</f>
        <v/>
      </c>
      <c r="Z4921" s="52">
        <f>IF(P4921="","",WEEKDAY(B4921,2))</f>
        <v/>
      </c>
      <c r="AA4921" s="52">
        <f>IF(P4921="","",IF(AND(P4921="Gasto",X4921="Variable",D4921&lt;&gt;catTrading,S4921&gt;0,S4921&lt;=Umbral),1,0))</f>
        <v/>
      </c>
      <c r="AB4921" s="52">
        <f>IF(OR(P4921="",Q4921=""),"",IFERROR(IF(INDEX(ctaVinc,MATCH(Q4921,ctaNombre,0))&amp;""&lt;&gt;"",INDEX(ctaVinc,MATCH(Q4921,ctaNombre,0))&amp;"",Q4921),Q4921))</f>
        <v/>
      </c>
      <c r="AC4921" s="52">
        <f>IF(OR(K4921="",AND(P4921&lt;&gt;"Transferencia",P4921&lt;&gt;"Pago tarjeta")),"",IFERROR(IF(INDEX(ctaVinc,MATCH(K4921,ctaNombre,0))&amp;""&lt;&gt;"",INDEX(ctaVinc,MATCH(K4921,ctaNombre,0))&amp;"",K4921),K4921))</f>
        <v/>
      </c>
      <c r="AD4921" s="52">
        <f>IF(AB4921="","",IFERROR(INDEX(ctaTipo,MATCH(AB4921,ctaNombre,0))&amp;"",""))</f>
        <v/>
      </c>
      <c r="AE4921" s="52">
        <f>IF(AC4921="","",IFERROR(INDEX(ctaTipo,MATCH(AC4921,ctaNombre,0))&amp;"",""))</f>
        <v/>
      </c>
      <c r="AF4921" s="53">
        <f>IF(OR(P4921="",AB4921=""),"",IF(OR(P4921="Gasto",P4921="Transferencia",P4921="Pago tarjeta"),-1,1)*IF(IFERROR(INDEX(ctaMoneda,MATCH(AB4921,ctaNombre,0))&amp;"","DOP")="USD",T4921,S4921))</f>
        <v/>
      </c>
      <c r="AG4921" s="53">
        <f>IF(AC4921="","",IF(IFERROR(INDEX(ctaMoneda,MATCH(AC4921,ctaNombre,0))&amp;"","DOP")="USD",T4921,S4921))</f>
        <v/>
      </c>
      <c r="AH4921" s="53">
        <f>IF(P4921="","",IF(AND(AD4921&lt;&gt;"",COUNTIFS(tcTipo,AD4921,tcLiq,"Sí")&gt;0),IF(OR(P4921="Gasto",P4921="Transferencia",P4921="Pago tarjeta"),-1,1)*S4921,0)+IF(AND(AE4921&lt;&gt;"",COUNTIFS(tcTipo,AE4921,tcLiq,"Sí")&gt;0),S4921,0))</f>
        <v/>
      </c>
      <c r="AI4921" s="52">
        <f>IF(OR(L4921="",P4921=""),"",IF(COUNTIFS(L$6:L4921,L4921,P$6:P4921,"?*")=1,MAX(AI$5:AI4920)+1,""))</f>
        <v/>
      </c>
    </row>
    <row r="4922">
      <c r="B4922" s="47" t="n"/>
      <c r="C4922" s="48" t="n"/>
      <c r="D4922" s="48" t="n"/>
      <c r="E4922" s="48" t="n"/>
      <c r="F4922" s="48" t="n"/>
      <c r="G4922" s="49" t="n"/>
      <c r="H4922" s="48" t="n"/>
      <c r="I4922" s="50" t="n"/>
      <c r="J4922" s="48" t="n"/>
      <c r="K4922" s="48" t="n"/>
      <c r="L4922" s="48" t="n"/>
      <c r="M4922" s="48" t="n"/>
      <c r="N4922" s="48" t="n"/>
      <c r="O4922" s="51">
        <f>IF(AND(B4922="",G4922="",C4922="",D4922="",J4922=""),"",IF(B4922="","⚠ Falta fecha",IF(G4922="","⚠ Falta monto",IF(Q4922="","⚠ Falta cuenta",IF(ISNA(MATCH(Q4922,ctaNombre,0)),"⚠ Cuenta no registrada",IF(AND(OR(P4922="Gasto",P4922="Reembolso"),D4922=""),"⚠ Falta categoría",IF(AND(D4922&lt;&gt;"",E4922&lt;&gt;"",ISNA(MATCH(D4922&amp;"|"&amp;E4922,catClave,0))),"⚠ Subcategoría no corresponde",IF(AND(OR(P4922="Transferencia",P4922="Pago tarjeta"),K4922=""),"⚠ Falta cuenta destino",IF(AND(K4922&lt;&gt;"",P4922&lt;&gt;"Transferencia",P4922&lt;&gt;"Pago tarjeta"),"⚠ Destino solo aplica a transferencias",IF(AND(K4922&lt;&gt;"",K4922=Q4922),"⚠ Origen igual a destino",IF(AND(K4922&lt;&gt;"",ISNA(MATCH(K4922,ctaNombre,0))),"⚠ Destino no registrado",IF(AND(P4922="Pago tarjeta",AE4922&lt;&gt;"Tarjeta de crédito"),"⚠ El destino debe ser tarjeta de crédito",IF(AND(P4922="Gasto",E4922="Depósitos y retiros"),"⚠ Usa tipo Transferencia",IF(AND(P4922="Resultado trading",AD4922&lt;&gt;"Cuenta de trading"),"⚠ Usa una cuenta de trading",IF(AND(G4922&lt;=0,P4922&lt;&gt;"Ajuste",P4922&lt;&gt;"Resultado trading"),"⚠ El monto debe ser positivo","✓")))))))))))))))</f>
        <v/>
      </c>
      <c r="P4922" s="52">
        <f>IF(OR(B4922="",G4922=""),"",IF(C4922="","Gasto",C4922))</f>
        <v/>
      </c>
      <c r="Q4922" s="52">
        <f>IF(P4922="","",IF(J4922&lt;&gt;"",J4922,CuentaPred&amp;""))</f>
        <v/>
      </c>
      <c r="R4922" s="52">
        <f>IF(P4922="","",IF(ISNUMBER(I4922),I4922,TasaUSD))</f>
        <v/>
      </c>
      <c r="S4922" s="53">
        <f>IF(P4922="","",IF(H4922="USD",G4922*R4922,G4922))</f>
        <v/>
      </c>
      <c r="T4922" s="53">
        <f>IF(P4922="","",IF(H4922="USD",G4922,IF(R4922&gt;0,G4922/R4922,0)))</f>
        <v/>
      </c>
      <c r="U4922" s="53">
        <f>IF(P4922="","",IF(P4922="Gasto",S4922,IF(P4922="Reembolso",-S4922,0)))</f>
        <v/>
      </c>
      <c r="V4922" s="53">
        <f>IF(P4922="","",IF(P4922="Ingreso",S4922,0))</f>
        <v/>
      </c>
      <c r="W4922" s="53">
        <f>IF(P4922="","",IF(P4922="Resultado trading",S4922,0))</f>
        <v/>
      </c>
      <c r="X4922" s="52">
        <f>IF(OR(P4922="Gasto",P4922="Reembolso"),IF(M4922&lt;&gt;"",M4922,IFERROR(INDEX(catClasif,MATCH(D4922&amp;"|"&amp;E4922,catClave,0))&amp;"","Variable")),"")</f>
        <v/>
      </c>
      <c r="Y4922" s="52">
        <f>IF(P4922="","",IFERROR(INDEX(catGrupo,MATCH(D4922&amp;"|"&amp;E4922,catClave,0))&amp;"",""))</f>
        <v/>
      </c>
      <c r="Z4922" s="52">
        <f>IF(P4922="","",WEEKDAY(B4922,2))</f>
        <v/>
      </c>
      <c r="AA4922" s="52">
        <f>IF(P4922="","",IF(AND(P4922="Gasto",X4922="Variable",D4922&lt;&gt;catTrading,S4922&gt;0,S4922&lt;=Umbral),1,0))</f>
        <v/>
      </c>
      <c r="AB4922" s="52">
        <f>IF(OR(P4922="",Q4922=""),"",IFERROR(IF(INDEX(ctaVinc,MATCH(Q4922,ctaNombre,0))&amp;""&lt;&gt;"",INDEX(ctaVinc,MATCH(Q4922,ctaNombre,0))&amp;"",Q4922),Q4922))</f>
        <v/>
      </c>
      <c r="AC4922" s="52">
        <f>IF(OR(K4922="",AND(P4922&lt;&gt;"Transferencia",P4922&lt;&gt;"Pago tarjeta")),"",IFERROR(IF(INDEX(ctaVinc,MATCH(K4922,ctaNombre,0))&amp;""&lt;&gt;"",INDEX(ctaVinc,MATCH(K4922,ctaNombre,0))&amp;"",K4922),K4922))</f>
        <v/>
      </c>
      <c r="AD4922" s="52">
        <f>IF(AB4922="","",IFERROR(INDEX(ctaTipo,MATCH(AB4922,ctaNombre,0))&amp;"",""))</f>
        <v/>
      </c>
      <c r="AE4922" s="52">
        <f>IF(AC4922="","",IFERROR(INDEX(ctaTipo,MATCH(AC4922,ctaNombre,0))&amp;"",""))</f>
        <v/>
      </c>
      <c r="AF4922" s="53">
        <f>IF(OR(P4922="",AB4922=""),"",IF(OR(P4922="Gasto",P4922="Transferencia",P4922="Pago tarjeta"),-1,1)*IF(IFERROR(INDEX(ctaMoneda,MATCH(AB4922,ctaNombre,0))&amp;"","DOP")="USD",T4922,S4922))</f>
        <v/>
      </c>
      <c r="AG4922" s="53">
        <f>IF(AC4922="","",IF(IFERROR(INDEX(ctaMoneda,MATCH(AC4922,ctaNombre,0))&amp;"","DOP")="USD",T4922,S4922))</f>
        <v/>
      </c>
      <c r="AH4922" s="53">
        <f>IF(P4922="","",IF(AND(AD4922&lt;&gt;"",COUNTIFS(tcTipo,AD4922,tcLiq,"Sí")&gt;0),IF(OR(P4922="Gasto",P4922="Transferencia",P4922="Pago tarjeta"),-1,1)*S4922,0)+IF(AND(AE4922&lt;&gt;"",COUNTIFS(tcTipo,AE4922,tcLiq,"Sí")&gt;0),S4922,0))</f>
        <v/>
      </c>
      <c r="AI4922" s="52">
        <f>IF(OR(L4922="",P4922=""),"",IF(COUNTIFS(L$6:L4922,L4922,P$6:P4922,"?*")=1,MAX(AI$5:AI4921)+1,""))</f>
        <v/>
      </c>
    </row>
    <row r="4923">
      <c r="B4923" s="47" t="n"/>
      <c r="C4923" s="48" t="n"/>
      <c r="D4923" s="48" t="n"/>
      <c r="E4923" s="48" t="n"/>
      <c r="F4923" s="48" t="n"/>
      <c r="G4923" s="49" t="n"/>
      <c r="H4923" s="48" t="n"/>
      <c r="I4923" s="50" t="n"/>
      <c r="J4923" s="48" t="n"/>
      <c r="K4923" s="48" t="n"/>
      <c r="L4923" s="48" t="n"/>
      <c r="M4923" s="48" t="n"/>
      <c r="N4923" s="48" t="n"/>
      <c r="O4923" s="51">
        <f>IF(AND(B4923="",G4923="",C4923="",D4923="",J4923=""),"",IF(B4923="","⚠ Falta fecha",IF(G4923="","⚠ Falta monto",IF(Q4923="","⚠ Falta cuenta",IF(ISNA(MATCH(Q4923,ctaNombre,0)),"⚠ Cuenta no registrada",IF(AND(OR(P4923="Gasto",P4923="Reembolso"),D4923=""),"⚠ Falta categoría",IF(AND(D4923&lt;&gt;"",E4923&lt;&gt;"",ISNA(MATCH(D4923&amp;"|"&amp;E4923,catClave,0))),"⚠ Subcategoría no corresponde",IF(AND(OR(P4923="Transferencia",P4923="Pago tarjeta"),K4923=""),"⚠ Falta cuenta destino",IF(AND(K4923&lt;&gt;"",P4923&lt;&gt;"Transferencia",P4923&lt;&gt;"Pago tarjeta"),"⚠ Destino solo aplica a transferencias",IF(AND(K4923&lt;&gt;"",K4923=Q4923),"⚠ Origen igual a destino",IF(AND(K4923&lt;&gt;"",ISNA(MATCH(K4923,ctaNombre,0))),"⚠ Destino no registrado",IF(AND(P4923="Pago tarjeta",AE4923&lt;&gt;"Tarjeta de crédito"),"⚠ El destino debe ser tarjeta de crédito",IF(AND(P4923="Gasto",E4923="Depósitos y retiros"),"⚠ Usa tipo Transferencia",IF(AND(P4923="Resultado trading",AD4923&lt;&gt;"Cuenta de trading"),"⚠ Usa una cuenta de trading",IF(AND(G4923&lt;=0,P4923&lt;&gt;"Ajuste",P4923&lt;&gt;"Resultado trading"),"⚠ El monto debe ser positivo","✓")))))))))))))))</f>
        <v/>
      </c>
      <c r="P4923" s="52">
        <f>IF(OR(B4923="",G4923=""),"",IF(C4923="","Gasto",C4923))</f>
        <v/>
      </c>
      <c r="Q4923" s="52">
        <f>IF(P4923="","",IF(J4923&lt;&gt;"",J4923,CuentaPred&amp;""))</f>
        <v/>
      </c>
      <c r="R4923" s="52">
        <f>IF(P4923="","",IF(ISNUMBER(I4923),I4923,TasaUSD))</f>
        <v/>
      </c>
      <c r="S4923" s="53">
        <f>IF(P4923="","",IF(H4923="USD",G4923*R4923,G4923))</f>
        <v/>
      </c>
      <c r="T4923" s="53">
        <f>IF(P4923="","",IF(H4923="USD",G4923,IF(R4923&gt;0,G4923/R4923,0)))</f>
        <v/>
      </c>
      <c r="U4923" s="53">
        <f>IF(P4923="","",IF(P4923="Gasto",S4923,IF(P4923="Reembolso",-S4923,0)))</f>
        <v/>
      </c>
      <c r="V4923" s="53">
        <f>IF(P4923="","",IF(P4923="Ingreso",S4923,0))</f>
        <v/>
      </c>
      <c r="W4923" s="53">
        <f>IF(P4923="","",IF(P4923="Resultado trading",S4923,0))</f>
        <v/>
      </c>
      <c r="X4923" s="52">
        <f>IF(OR(P4923="Gasto",P4923="Reembolso"),IF(M4923&lt;&gt;"",M4923,IFERROR(INDEX(catClasif,MATCH(D4923&amp;"|"&amp;E4923,catClave,0))&amp;"","Variable")),"")</f>
        <v/>
      </c>
      <c r="Y4923" s="52">
        <f>IF(P4923="","",IFERROR(INDEX(catGrupo,MATCH(D4923&amp;"|"&amp;E4923,catClave,0))&amp;"",""))</f>
        <v/>
      </c>
      <c r="Z4923" s="52">
        <f>IF(P4923="","",WEEKDAY(B4923,2))</f>
        <v/>
      </c>
      <c r="AA4923" s="52">
        <f>IF(P4923="","",IF(AND(P4923="Gasto",X4923="Variable",D4923&lt;&gt;catTrading,S4923&gt;0,S4923&lt;=Umbral),1,0))</f>
        <v/>
      </c>
      <c r="AB4923" s="52">
        <f>IF(OR(P4923="",Q4923=""),"",IFERROR(IF(INDEX(ctaVinc,MATCH(Q4923,ctaNombre,0))&amp;""&lt;&gt;"",INDEX(ctaVinc,MATCH(Q4923,ctaNombre,0))&amp;"",Q4923),Q4923))</f>
        <v/>
      </c>
      <c r="AC4923" s="52">
        <f>IF(OR(K4923="",AND(P4923&lt;&gt;"Transferencia",P4923&lt;&gt;"Pago tarjeta")),"",IFERROR(IF(INDEX(ctaVinc,MATCH(K4923,ctaNombre,0))&amp;""&lt;&gt;"",INDEX(ctaVinc,MATCH(K4923,ctaNombre,0))&amp;"",K4923),K4923))</f>
        <v/>
      </c>
      <c r="AD4923" s="52">
        <f>IF(AB4923="","",IFERROR(INDEX(ctaTipo,MATCH(AB4923,ctaNombre,0))&amp;"",""))</f>
        <v/>
      </c>
      <c r="AE4923" s="52">
        <f>IF(AC4923="","",IFERROR(INDEX(ctaTipo,MATCH(AC4923,ctaNombre,0))&amp;"",""))</f>
        <v/>
      </c>
      <c r="AF4923" s="53">
        <f>IF(OR(P4923="",AB4923=""),"",IF(OR(P4923="Gasto",P4923="Transferencia",P4923="Pago tarjeta"),-1,1)*IF(IFERROR(INDEX(ctaMoneda,MATCH(AB4923,ctaNombre,0))&amp;"","DOP")="USD",T4923,S4923))</f>
        <v/>
      </c>
      <c r="AG4923" s="53">
        <f>IF(AC4923="","",IF(IFERROR(INDEX(ctaMoneda,MATCH(AC4923,ctaNombre,0))&amp;"","DOP")="USD",T4923,S4923))</f>
        <v/>
      </c>
      <c r="AH4923" s="53">
        <f>IF(P4923="","",IF(AND(AD4923&lt;&gt;"",COUNTIFS(tcTipo,AD4923,tcLiq,"Sí")&gt;0),IF(OR(P4923="Gasto",P4923="Transferencia",P4923="Pago tarjeta"),-1,1)*S4923,0)+IF(AND(AE4923&lt;&gt;"",COUNTIFS(tcTipo,AE4923,tcLiq,"Sí")&gt;0),S4923,0))</f>
        <v/>
      </c>
      <c r="AI4923" s="52">
        <f>IF(OR(L4923="",P4923=""),"",IF(COUNTIFS(L$6:L4923,L4923,P$6:P4923,"?*")=1,MAX(AI$5:AI4922)+1,""))</f>
        <v/>
      </c>
    </row>
    <row r="4924">
      <c r="B4924" s="47" t="n"/>
      <c r="C4924" s="48" t="n"/>
      <c r="D4924" s="48" t="n"/>
      <c r="E4924" s="48" t="n"/>
      <c r="F4924" s="48" t="n"/>
      <c r="G4924" s="49" t="n"/>
      <c r="H4924" s="48" t="n"/>
      <c r="I4924" s="50" t="n"/>
      <c r="J4924" s="48" t="n"/>
      <c r="K4924" s="48" t="n"/>
      <c r="L4924" s="48" t="n"/>
      <c r="M4924" s="48" t="n"/>
      <c r="N4924" s="48" t="n"/>
      <c r="O4924" s="51">
        <f>IF(AND(B4924="",G4924="",C4924="",D4924="",J4924=""),"",IF(B4924="","⚠ Falta fecha",IF(G4924="","⚠ Falta monto",IF(Q4924="","⚠ Falta cuenta",IF(ISNA(MATCH(Q4924,ctaNombre,0)),"⚠ Cuenta no registrada",IF(AND(OR(P4924="Gasto",P4924="Reembolso"),D4924=""),"⚠ Falta categoría",IF(AND(D4924&lt;&gt;"",E4924&lt;&gt;"",ISNA(MATCH(D4924&amp;"|"&amp;E4924,catClave,0))),"⚠ Subcategoría no corresponde",IF(AND(OR(P4924="Transferencia",P4924="Pago tarjeta"),K4924=""),"⚠ Falta cuenta destino",IF(AND(K4924&lt;&gt;"",P4924&lt;&gt;"Transferencia",P4924&lt;&gt;"Pago tarjeta"),"⚠ Destino solo aplica a transferencias",IF(AND(K4924&lt;&gt;"",K4924=Q4924),"⚠ Origen igual a destino",IF(AND(K4924&lt;&gt;"",ISNA(MATCH(K4924,ctaNombre,0))),"⚠ Destino no registrado",IF(AND(P4924="Pago tarjeta",AE4924&lt;&gt;"Tarjeta de crédito"),"⚠ El destino debe ser tarjeta de crédito",IF(AND(P4924="Gasto",E4924="Depósitos y retiros"),"⚠ Usa tipo Transferencia",IF(AND(P4924="Resultado trading",AD4924&lt;&gt;"Cuenta de trading"),"⚠ Usa una cuenta de trading",IF(AND(G4924&lt;=0,P4924&lt;&gt;"Ajuste",P4924&lt;&gt;"Resultado trading"),"⚠ El monto debe ser positivo","✓")))))))))))))))</f>
        <v/>
      </c>
      <c r="P4924" s="52">
        <f>IF(OR(B4924="",G4924=""),"",IF(C4924="","Gasto",C4924))</f>
        <v/>
      </c>
      <c r="Q4924" s="52">
        <f>IF(P4924="","",IF(J4924&lt;&gt;"",J4924,CuentaPred&amp;""))</f>
        <v/>
      </c>
      <c r="R4924" s="52">
        <f>IF(P4924="","",IF(ISNUMBER(I4924),I4924,TasaUSD))</f>
        <v/>
      </c>
      <c r="S4924" s="53">
        <f>IF(P4924="","",IF(H4924="USD",G4924*R4924,G4924))</f>
        <v/>
      </c>
      <c r="T4924" s="53">
        <f>IF(P4924="","",IF(H4924="USD",G4924,IF(R4924&gt;0,G4924/R4924,0)))</f>
        <v/>
      </c>
      <c r="U4924" s="53">
        <f>IF(P4924="","",IF(P4924="Gasto",S4924,IF(P4924="Reembolso",-S4924,0)))</f>
        <v/>
      </c>
      <c r="V4924" s="53">
        <f>IF(P4924="","",IF(P4924="Ingreso",S4924,0))</f>
        <v/>
      </c>
      <c r="W4924" s="53">
        <f>IF(P4924="","",IF(P4924="Resultado trading",S4924,0))</f>
        <v/>
      </c>
      <c r="X4924" s="52">
        <f>IF(OR(P4924="Gasto",P4924="Reembolso"),IF(M4924&lt;&gt;"",M4924,IFERROR(INDEX(catClasif,MATCH(D4924&amp;"|"&amp;E4924,catClave,0))&amp;"","Variable")),"")</f>
        <v/>
      </c>
      <c r="Y4924" s="52">
        <f>IF(P4924="","",IFERROR(INDEX(catGrupo,MATCH(D4924&amp;"|"&amp;E4924,catClave,0))&amp;"",""))</f>
        <v/>
      </c>
      <c r="Z4924" s="52">
        <f>IF(P4924="","",WEEKDAY(B4924,2))</f>
        <v/>
      </c>
      <c r="AA4924" s="52">
        <f>IF(P4924="","",IF(AND(P4924="Gasto",X4924="Variable",D4924&lt;&gt;catTrading,S4924&gt;0,S4924&lt;=Umbral),1,0))</f>
        <v/>
      </c>
      <c r="AB4924" s="52">
        <f>IF(OR(P4924="",Q4924=""),"",IFERROR(IF(INDEX(ctaVinc,MATCH(Q4924,ctaNombre,0))&amp;""&lt;&gt;"",INDEX(ctaVinc,MATCH(Q4924,ctaNombre,0))&amp;"",Q4924),Q4924))</f>
        <v/>
      </c>
      <c r="AC4924" s="52">
        <f>IF(OR(K4924="",AND(P4924&lt;&gt;"Transferencia",P4924&lt;&gt;"Pago tarjeta")),"",IFERROR(IF(INDEX(ctaVinc,MATCH(K4924,ctaNombre,0))&amp;""&lt;&gt;"",INDEX(ctaVinc,MATCH(K4924,ctaNombre,0))&amp;"",K4924),K4924))</f>
        <v/>
      </c>
      <c r="AD4924" s="52">
        <f>IF(AB4924="","",IFERROR(INDEX(ctaTipo,MATCH(AB4924,ctaNombre,0))&amp;"",""))</f>
        <v/>
      </c>
      <c r="AE4924" s="52">
        <f>IF(AC4924="","",IFERROR(INDEX(ctaTipo,MATCH(AC4924,ctaNombre,0))&amp;"",""))</f>
        <v/>
      </c>
      <c r="AF4924" s="53">
        <f>IF(OR(P4924="",AB4924=""),"",IF(OR(P4924="Gasto",P4924="Transferencia",P4924="Pago tarjeta"),-1,1)*IF(IFERROR(INDEX(ctaMoneda,MATCH(AB4924,ctaNombre,0))&amp;"","DOP")="USD",T4924,S4924))</f>
        <v/>
      </c>
      <c r="AG4924" s="53">
        <f>IF(AC4924="","",IF(IFERROR(INDEX(ctaMoneda,MATCH(AC4924,ctaNombre,0))&amp;"","DOP")="USD",T4924,S4924))</f>
        <v/>
      </c>
      <c r="AH4924" s="53">
        <f>IF(P4924="","",IF(AND(AD4924&lt;&gt;"",COUNTIFS(tcTipo,AD4924,tcLiq,"Sí")&gt;0),IF(OR(P4924="Gasto",P4924="Transferencia",P4924="Pago tarjeta"),-1,1)*S4924,0)+IF(AND(AE4924&lt;&gt;"",COUNTIFS(tcTipo,AE4924,tcLiq,"Sí")&gt;0),S4924,0))</f>
        <v/>
      </c>
      <c r="AI4924" s="52">
        <f>IF(OR(L4924="",P4924=""),"",IF(COUNTIFS(L$6:L4924,L4924,P$6:P4924,"?*")=1,MAX(AI$5:AI4923)+1,""))</f>
        <v/>
      </c>
    </row>
    <row r="4925">
      <c r="B4925" s="47" t="n"/>
      <c r="C4925" s="48" t="n"/>
      <c r="D4925" s="48" t="n"/>
      <c r="E4925" s="48" t="n"/>
      <c r="F4925" s="48" t="n"/>
      <c r="G4925" s="49" t="n"/>
      <c r="H4925" s="48" t="n"/>
      <c r="I4925" s="50" t="n"/>
      <c r="J4925" s="48" t="n"/>
      <c r="K4925" s="48" t="n"/>
      <c r="L4925" s="48" t="n"/>
      <c r="M4925" s="48" t="n"/>
      <c r="N4925" s="48" t="n"/>
      <c r="O4925" s="51">
        <f>IF(AND(B4925="",G4925="",C4925="",D4925="",J4925=""),"",IF(B4925="","⚠ Falta fecha",IF(G4925="","⚠ Falta monto",IF(Q4925="","⚠ Falta cuenta",IF(ISNA(MATCH(Q4925,ctaNombre,0)),"⚠ Cuenta no registrada",IF(AND(OR(P4925="Gasto",P4925="Reembolso"),D4925=""),"⚠ Falta categoría",IF(AND(D4925&lt;&gt;"",E4925&lt;&gt;"",ISNA(MATCH(D4925&amp;"|"&amp;E4925,catClave,0))),"⚠ Subcategoría no corresponde",IF(AND(OR(P4925="Transferencia",P4925="Pago tarjeta"),K4925=""),"⚠ Falta cuenta destino",IF(AND(K4925&lt;&gt;"",P4925&lt;&gt;"Transferencia",P4925&lt;&gt;"Pago tarjeta"),"⚠ Destino solo aplica a transferencias",IF(AND(K4925&lt;&gt;"",K4925=Q4925),"⚠ Origen igual a destino",IF(AND(K4925&lt;&gt;"",ISNA(MATCH(K4925,ctaNombre,0))),"⚠ Destino no registrado",IF(AND(P4925="Pago tarjeta",AE4925&lt;&gt;"Tarjeta de crédito"),"⚠ El destino debe ser tarjeta de crédito",IF(AND(P4925="Gasto",E4925="Depósitos y retiros"),"⚠ Usa tipo Transferencia",IF(AND(P4925="Resultado trading",AD4925&lt;&gt;"Cuenta de trading"),"⚠ Usa una cuenta de trading",IF(AND(G4925&lt;=0,P4925&lt;&gt;"Ajuste",P4925&lt;&gt;"Resultado trading"),"⚠ El monto debe ser positivo","✓")))))))))))))))</f>
        <v/>
      </c>
      <c r="P4925" s="52">
        <f>IF(OR(B4925="",G4925=""),"",IF(C4925="","Gasto",C4925))</f>
        <v/>
      </c>
      <c r="Q4925" s="52">
        <f>IF(P4925="","",IF(J4925&lt;&gt;"",J4925,CuentaPred&amp;""))</f>
        <v/>
      </c>
      <c r="R4925" s="52">
        <f>IF(P4925="","",IF(ISNUMBER(I4925),I4925,TasaUSD))</f>
        <v/>
      </c>
      <c r="S4925" s="53">
        <f>IF(P4925="","",IF(H4925="USD",G4925*R4925,G4925))</f>
        <v/>
      </c>
      <c r="T4925" s="53">
        <f>IF(P4925="","",IF(H4925="USD",G4925,IF(R4925&gt;0,G4925/R4925,0)))</f>
        <v/>
      </c>
      <c r="U4925" s="53">
        <f>IF(P4925="","",IF(P4925="Gasto",S4925,IF(P4925="Reembolso",-S4925,0)))</f>
        <v/>
      </c>
      <c r="V4925" s="53">
        <f>IF(P4925="","",IF(P4925="Ingreso",S4925,0))</f>
        <v/>
      </c>
      <c r="W4925" s="53">
        <f>IF(P4925="","",IF(P4925="Resultado trading",S4925,0))</f>
        <v/>
      </c>
      <c r="X4925" s="52">
        <f>IF(OR(P4925="Gasto",P4925="Reembolso"),IF(M4925&lt;&gt;"",M4925,IFERROR(INDEX(catClasif,MATCH(D4925&amp;"|"&amp;E4925,catClave,0))&amp;"","Variable")),"")</f>
        <v/>
      </c>
      <c r="Y4925" s="52">
        <f>IF(P4925="","",IFERROR(INDEX(catGrupo,MATCH(D4925&amp;"|"&amp;E4925,catClave,0))&amp;"",""))</f>
        <v/>
      </c>
      <c r="Z4925" s="52">
        <f>IF(P4925="","",WEEKDAY(B4925,2))</f>
        <v/>
      </c>
      <c r="AA4925" s="52">
        <f>IF(P4925="","",IF(AND(P4925="Gasto",X4925="Variable",D4925&lt;&gt;catTrading,S4925&gt;0,S4925&lt;=Umbral),1,0))</f>
        <v/>
      </c>
      <c r="AB4925" s="52">
        <f>IF(OR(P4925="",Q4925=""),"",IFERROR(IF(INDEX(ctaVinc,MATCH(Q4925,ctaNombre,0))&amp;""&lt;&gt;"",INDEX(ctaVinc,MATCH(Q4925,ctaNombre,0))&amp;"",Q4925),Q4925))</f>
        <v/>
      </c>
      <c r="AC4925" s="52">
        <f>IF(OR(K4925="",AND(P4925&lt;&gt;"Transferencia",P4925&lt;&gt;"Pago tarjeta")),"",IFERROR(IF(INDEX(ctaVinc,MATCH(K4925,ctaNombre,0))&amp;""&lt;&gt;"",INDEX(ctaVinc,MATCH(K4925,ctaNombre,0))&amp;"",K4925),K4925))</f>
        <v/>
      </c>
      <c r="AD4925" s="52">
        <f>IF(AB4925="","",IFERROR(INDEX(ctaTipo,MATCH(AB4925,ctaNombre,0))&amp;"",""))</f>
        <v/>
      </c>
      <c r="AE4925" s="52">
        <f>IF(AC4925="","",IFERROR(INDEX(ctaTipo,MATCH(AC4925,ctaNombre,0))&amp;"",""))</f>
        <v/>
      </c>
      <c r="AF4925" s="53">
        <f>IF(OR(P4925="",AB4925=""),"",IF(OR(P4925="Gasto",P4925="Transferencia",P4925="Pago tarjeta"),-1,1)*IF(IFERROR(INDEX(ctaMoneda,MATCH(AB4925,ctaNombre,0))&amp;"","DOP")="USD",T4925,S4925))</f>
        <v/>
      </c>
      <c r="AG4925" s="53">
        <f>IF(AC4925="","",IF(IFERROR(INDEX(ctaMoneda,MATCH(AC4925,ctaNombre,0))&amp;"","DOP")="USD",T4925,S4925))</f>
        <v/>
      </c>
      <c r="AH4925" s="53">
        <f>IF(P4925="","",IF(AND(AD4925&lt;&gt;"",COUNTIFS(tcTipo,AD4925,tcLiq,"Sí")&gt;0),IF(OR(P4925="Gasto",P4925="Transferencia",P4925="Pago tarjeta"),-1,1)*S4925,0)+IF(AND(AE4925&lt;&gt;"",COUNTIFS(tcTipo,AE4925,tcLiq,"Sí")&gt;0),S4925,0))</f>
        <v/>
      </c>
      <c r="AI4925" s="52">
        <f>IF(OR(L4925="",P4925=""),"",IF(COUNTIFS(L$6:L4925,L4925,P$6:P4925,"?*")=1,MAX(AI$5:AI4924)+1,""))</f>
        <v/>
      </c>
    </row>
    <row r="4926">
      <c r="B4926" s="47" t="n"/>
      <c r="C4926" s="48" t="n"/>
      <c r="D4926" s="48" t="n"/>
      <c r="E4926" s="48" t="n"/>
      <c r="F4926" s="48" t="n"/>
      <c r="G4926" s="49" t="n"/>
      <c r="H4926" s="48" t="n"/>
      <c r="I4926" s="50" t="n"/>
      <c r="J4926" s="48" t="n"/>
      <c r="K4926" s="48" t="n"/>
      <c r="L4926" s="48" t="n"/>
      <c r="M4926" s="48" t="n"/>
      <c r="N4926" s="48" t="n"/>
      <c r="O4926" s="51">
        <f>IF(AND(B4926="",G4926="",C4926="",D4926="",J4926=""),"",IF(B4926="","⚠ Falta fecha",IF(G4926="","⚠ Falta monto",IF(Q4926="","⚠ Falta cuenta",IF(ISNA(MATCH(Q4926,ctaNombre,0)),"⚠ Cuenta no registrada",IF(AND(OR(P4926="Gasto",P4926="Reembolso"),D4926=""),"⚠ Falta categoría",IF(AND(D4926&lt;&gt;"",E4926&lt;&gt;"",ISNA(MATCH(D4926&amp;"|"&amp;E4926,catClave,0))),"⚠ Subcategoría no corresponde",IF(AND(OR(P4926="Transferencia",P4926="Pago tarjeta"),K4926=""),"⚠ Falta cuenta destino",IF(AND(K4926&lt;&gt;"",P4926&lt;&gt;"Transferencia",P4926&lt;&gt;"Pago tarjeta"),"⚠ Destino solo aplica a transferencias",IF(AND(K4926&lt;&gt;"",K4926=Q4926),"⚠ Origen igual a destino",IF(AND(K4926&lt;&gt;"",ISNA(MATCH(K4926,ctaNombre,0))),"⚠ Destino no registrado",IF(AND(P4926="Pago tarjeta",AE4926&lt;&gt;"Tarjeta de crédito"),"⚠ El destino debe ser tarjeta de crédito",IF(AND(P4926="Gasto",E4926="Depósitos y retiros"),"⚠ Usa tipo Transferencia",IF(AND(P4926="Resultado trading",AD4926&lt;&gt;"Cuenta de trading"),"⚠ Usa una cuenta de trading",IF(AND(G4926&lt;=0,P4926&lt;&gt;"Ajuste",P4926&lt;&gt;"Resultado trading"),"⚠ El monto debe ser positivo","✓")))))))))))))))</f>
        <v/>
      </c>
      <c r="P4926" s="52">
        <f>IF(OR(B4926="",G4926=""),"",IF(C4926="","Gasto",C4926))</f>
        <v/>
      </c>
      <c r="Q4926" s="52">
        <f>IF(P4926="","",IF(J4926&lt;&gt;"",J4926,CuentaPred&amp;""))</f>
        <v/>
      </c>
      <c r="R4926" s="52">
        <f>IF(P4926="","",IF(ISNUMBER(I4926),I4926,TasaUSD))</f>
        <v/>
      </c>
      <c r="S4926" s="53">
        <f>IF(P4926="","",IF(H4926="USD",G4926*R4926,G4926))</f>
        <v/>
      </c>
      <c r="T4926" s="53">
        <f>IF(P4926="","",IF(H4926="USD",G4926,IF(R4926&gt;0,G4926/R4926,0)))</f>
        <v/>
      </c>
      <c r="U4926" s="53">
        <f>IF(P4926="","",IF(P4926="Gasto",S4926,IF(P4926="Reembolso",-S4926,0)))</f>
        <v/>
      </c>
      <c r="V4926" s="53">
        <f>IF(P4926="","",IF(P4926="Ingreso",S4926,0))</f>
        <v/>
      </c>
      <c r="W4926" s="53">
        <f>IF(P4926="","",IF(P4926="Resultado trading",S4926,0))</f>
        <v/>
      </c>
      <c r="X4926" s="52">
        <f>IF(OR(P4926="Gasto",P4926="Reembolso"),IF(M4926&lt;&gt;"",M4926,IFERROR(INDEX(catClasif,MATCH(D4926&amp;"|"&amp;E4926,catClave,0))&amp;"","Variable")),"")</f>
        <v/>
      </c>
      <c r="Y4926" s="52">
        <f>IF(P4926="","",IFERROR(INDEX(catGrupo,MATCH(D4926&amp;"|"&amp;E4926,catClave,0))&amp;"",""))</f>
        <v/>
      </c>
      <c r="Z4926" s="52">
        <f>IF(P4926="","",WEEKDAY(B4926,2))</f>
        <v/>
      </c>
      <c r="AA4926" s="52">
        <f>IF(P4926="","",IF(AND(P4926="Gasto",X4926="Variable",D4926&lt;&gt;catTrading,S4926&gt;0,S4926&lt;=Umbral),1,0))</f>
        <v/>
      </c>
      <c r="AB4926" s="52">
        <f>IF(OR(P4926="",Q4926=""),"",IFERROR(IF(INDEX(ctaVinc,MATCH(Q4926,ctaNombre,0))&amp;""&lt;&gt;"",INDEX(ctaVinc,MATCH(Q4926,ctaNombre,0))&amp;"",Q4926),Q4926))</f>
        <v/>
      </c>
      <c r="AC4926" s="52">
        <f>IF(OR(K4926="",AND(P4926&lt;&gt;"Transferencia",P4926&lt;&gt;"Pago tarjeta")),"",IFERROR(IF(INDEX(ctaVinc,MATCH(K4926,ctaNombre,0))&amp;""&lt;&gt;"",INDEX(ctaVinc,MATCH(K4926,ctaNombre,0))&amp;"",K4926),K4926))</f>
        <v/>
      </c>
      <c r="AD4926" s="52">
        <f>IF(AB4926="","",IFERROR(INDEX(ctaTipo,MATCH(AB4926,ctaNombre,0))&amp;"",""))</f>
        <v/>
      </c>
      <c r="AE4926" s="52">
        <f>IF(AC4926="","",IFERROR(INDEX(ctaTipo,MATCH(AC4926,ctaNombre,0))&amp;"",""))</f>
        <v/>
      </c>
      <c r="AF4926" s="53">
        <f>IF(OR(P4926="",AB4926=""),"",IF(OR(P4926="Gasto",P4926="Transferencia",P4926="Pago tarjeta"),-1,1)*IF(IFERROR(INDEX(ctaMoneda,MATCH(AB4926,ctaNombre,0))&amp;"","DOP")="USD",T4926,S4926))</f>
        <v/>
      </c>
      <c r="AG4926" s="53">
        <f>IF(AC4926="","",IF(IFERROR(INDEX(ctaMoneda,MATCH(AC4926,ctaNombre,0))&amp;"","DOP")="USD",T4926,S4926))</f>
        <v/>
      </c>
      <c r="AH4926" s="53">
        <f>IF(P4926="","",IF(AND(AD4926&lt;&gt;"",COUNTIFS(tcTipo,AD4926,tcLiq,"Sí")&gt;0),IF(OR(P4926="Gasto",P4926="Transferencia",P4926="Pago tarjeta"),-1,1)*S4926,0)+IF(AND(AE4926&lt;&gt;"",COUNTIFS(tcTipo,AE4926,tcLiq,"Sí")&gt;0),S4926,0))</f>
        <v/>
      </c>
      <c r="AI4926" s="52">
        <f>IF(OR(L4926="",P4926=""),"",IF(COUNTIFS(L$6:L4926,L4926,P$6:P4926,"?*")=1,MAX(AI$5:AI4925)+1,""))</f>
        <v/>
      </c>
    </row>
    <row r="4927">
      <c r="B4927" s="47" t="n"/>
      <c r="C4927" s="48" t="n"/>
      <c r="D4927" s="48" t="n"/>
      <c r="E4927" s="48" t="n"/>
      <c r="F4927" s="48" t="n"/>
      <c r="G4927" s="49" t="n"/>
      <c r="H4927" s="48" t="n"/>
      <c r="I4927" s="50" t="n"/>
      <c r="J4927" s="48" t="n"/>
      <c r="K4927" s="48" t="n"/>
      <c r="L4927" s="48" t="n"/>
      <c r="M4927" s="48" t="n"/>
      <c r="N4927" s="48" t="n"/>
      <c r="O4927" s="51">
        <f>IF(AND(B4927="",G4927="",C4927="",D4927="",J4927=""),"",IF(B4927="","⚠ Falta fecha",IF(G4927="","⚠ Falta monto",IF(Q4927="","⚠ Falta cuenta",IF(ISNA(MATCH(Q4927,ctaNombre,0)),"⚠ Cuenta no registrada",IF(AND(OR(P4927="Gasto",P4927="Reembolso"),D4927=""),"⚠ Falta categoría",IF(AND(D4927&lt;&gt;"",E4927&lt;&gt;"",ISNA(MATCH(D4927&amp;"|"&amp;E4927,catClave,0))),"⚠ Subcategoría no corresponde",IF(AND(OR(P4927="Transferencia",P4927="Pago tarjeta"),K4927=""),"⚠ Falta cuenta destino",IF(AND(K4927&lt;&gt;"",P4927&lt;&gt;"Transferencia",P4927&lt;&gt;"Pago tarjeta"),"⚠ Destino solo aplica a transferencias",IF(AND(K4927&lt;&gt;"",K4927=Q4927),"⚠ Origen igual a destino",IF(AND(K4927&lt;&gt;"",ISNA(MATCH(K4927,ctaNombre,0))),"⚠ Destino no registrado",IF(AND(P4927="Pago tarjeta",AE4927&lt;&gt;"Tarjeta de crédito"),"⚠ El destino debe ser tarjeta de crédito",IF(AND(P4927="Gasto",E4927="Depósitos y retiros"),"⚠ Usa tipo Transferencia",IF(AND(P4927="Resultado trading",AD4927&lt;&gt;"Cuenta de trading"),"⚠ Usa una cuenta de trading",IF(AND(G4927&lt;=0,P4927&lt;&gt;"Ajuste",P4927&lt;&gt;"Resultado trading"),"⚠ El monto debe ser positivo","✓")))))))))))))))</f>
        <v/>
      </c>
      <c r="P4927" s="52">
        <f>IF(OR(B4927="",G4927=""),"",IF(C4927="","Gasto",C4927))</f>
        <v/>
      </c>
      <c r="Q4927" s="52">
        <f>IF(P4927="","",IF(J4927&lt;&gt;"",J4927,CuentaPred&amp;""))</f>
        <v/>
      </c>
      <c r="R4927" s="52">
        <f>IF(P4927="","",IF(ISNUMBER(I4927),I4927,TasaUSD))</f>
        <v/>
      </c>
      <c r="S4927" s="53">
        <f>IF(P4927="","",IF(H4927="USD",G4927*R4927,G4927))</f>
        <v/>
      </c>
      <c r="T4927" s="53">
        <f>IF(P4927="","",IF(H4927="USD",G4927,IF(R4927&gt;0,G4927/R4927,0)))</f>
        <v/>
      </c>
      <c r="U4927" s="53">
        <f>IF(P4927="","",IF(P4927="Gasto",S4927,IF(P4927="Reembolso",-S4927,0)))</f>
        <v/>
      </c>
      <c r="V4927" s="53">
        <f>IF(P4927="","",IF(P4927="Ingreso",S4927,0))</f>
        <v/>
      </c>
      <c r="W4927" s="53">
        <f>IF(P4927="","",IF(P4927="Resultado trading",S4927,0))</f>
        <v/>
      </c>
      <c r="X4927" s="52">
        <f>IF(OR(P4927="Gasto",P4927="Reembolso"),IF(M4927&lt;&gt;"",M4927,IFERROR(INDEX(catClasif,MATCH(D4927&amp;"|"&amp;E4927,catClave,0))&amp;"","Variable")),"")</f>
        <v/>
      </c>
      <c r="Y4927" s="52">
        <f>IF(P4927="","",IFERROR(INDEX(catGrupo,MATCH(D4927&amp;"|"&amp;E4927,catClave,0))&amp;"",""))</f>
        <v/>
      </c>
      <c r="Z4927" s="52">
        <f>IF(P4927="","",WEEKDAY(B4927,2))</f>
        <v/>
      </c>
      <c r="AA4927" s="52">
        <f>IF(P4927="","",IF(AND(P4927="Gasto",X4927="Variable",D4927&lt;&gt;catTrading,S4927&gt;0,S4927&lt;=Umbral),1,0))</f>
        <v/>
      </c>
      <c r="AB4927" s="52">
        <f>IF(OR(P4927="",Q4927=""),"",IFERROR(IF(INDEX(ctaVinc,MATCH(Q4927,ctaNombre,0))&amp;""&lt;&gt;"",INDEX(ctaVinc,MATCH(Q4927,ctaNombre,0))&amp;"",Q4927),Q4927))</f>
        <v/>
      </c>
      <c r="AC4927" s="52">
        <f>IF(OR(K4927="",AND(P4927&lt;&gt;"Transferencia",P4927&lt;&gt;"Pago tarjeta")),"",IFERROR(IF(INDEX(ctaVinc,MATCH(K4927,ctaNombre,0))&amp;""&lt;&gt;"",INDEX(ctaVinc,MATCH(K4927,ctaNombre,0))&amp;"",K4927),K4927))</f>
        <v/>
      </c>
      <c r="AD4927" s="52">
        <f>IF(AB4927="","",IFERROR(INDEX(ctaTipo,MATCH(AB4927,ctaNombre,0))&amp;"",""))</f>
        <v/>
      </c>
      <c r="AE4927" s="52">
        <f>IF(AC4927="","",IFERROR(INDEX(ctaTipo,MATCH(AC4927,ctaNombre,0))&amp;"",""))</f>
        <v/>
      </c>
      <c r="AF4927" s="53">
        <f>IF(OR(P4927="",AB4927=""),"",IF(OR(P4927="Gasto",P4927="Transferencia",P4927="Pago tarjeta"),-1,1)*IF(IFERROR(INDEX(ctaMoneda,MATCH(AB4927,ctaNombre,0))&amp;"","DOP")="USD",T4927,S4927))</f>
        <v/>
      </c>
      <c r="AG4927" s="53">
        <f>IF(AC4927="","",IF(IFERROR(INDEX(ctaMoneda,MATCH(AC4927,ctaNombre,0))&amp;"","DOP")="USD",T4927,S4927))</f>
        <v/>
      </c>
      <c r="AH4927" s="53">
        <f>IF(P4927="","",IF(AND(AD4927&lt;&gt;"",COUNTIFS(tcTipo,AD4927,tcLiq,"Sí")&gt;0),IF(OR(P4927="Gasto",P4927="Transferencia",P4927="Pago tarjeta"),-1,1)*S4927,0)+IF(AND(AE4927&lt;&gt;"",COUNTIFS(tcTipo,AE4927,tcLiq,"Sí")&gt;0),S4927,0))</f>
        <v/>
      </c>
      <c r="AI4927" s="52">
        <f>IF(OR(L4927="",P4927=""),"",IF(COUNTIFS(L$6:L4927,L4927,P$6:P4927,"?*")=1,MAX(AI$5:AI4926)+1,""))</f>
        <v/>
      </c>
    </row>
    <row r="4928">
      <c r="B4928" s="47" t="n"/>
      <c r="C4928" s="48" t="n"/>
      <c r="D4928" s="48" t="n"/>
      <c r="E4928" s="48" t="n"/>
      <c r="F4928" s="48" t="n"/>
      <c r="G4928" s="49" t="n"/>
      <c r="H4928" s="48" t="n"/>
      <c r="I4928" s="50" t="n"/>
      <c r="J4928" s="48" t="n"/>
      <c r="K4928" s="48" t="n"/>
      <c r="L4928" s="48" t="n"/>
      <c r="M4928" s="48" t="n"/>
      <c r="N4928" s="48" t="n"/>
      <c r="O4928" s="51">
        <f>IF(AND(B4928="",G4928="",C4928="",D4928="",J4928=""),"",IF(B4928="","⚠ Falta fecha",IF(G4928="","⚠ Falta monto",IF(Q4928="","⚠ Falta cuenta",IF(ISNA(MATCH(Q4928,ctaNombre,0)),"⚠ Cuenta no registrada",IF(AND(OR(P4928="Gasto",P4928="Reembolso"),D4928=""),"⚠ Falta categoría",IF(AND(D4928&lt;&gt;"",E4928&lt;&gt;"",ISNA(MATCH(D4928&amp;"|"&amp;E4928,catClave,0))),"⚠ Subcategoría no corresponde",IF(AND(OR(P4928="Transferencia",P4928="Pago tarjeta"),K4928=""),"⚠ Falta cuenta destino",IF(AND(K4928&lt;&gt;"",P4928&lt;&gt;"Transferencia",P4928&lt;&gt;"Pago tarjeta"),"⚠ Destino solo aplica a transferencias",IF(AND(K4928&lt;&gt;"",K4928=Q4928),"⚠ Origen igual a destino",IF(AND(K4928&lt;&gt;"",ISNA(MATCH(K4928,ctaNombre,0))),"⚠ Destino no registrado",IF(AND(P4928="Pago tarjeta",AE4928&lt;&gt;"Tarjeta de crédito"),"⚠ El destino debe ser tarjeta de crédito",IF(AND(P4928="Gasto",E4928="Depósitos y retiros"),"⚠ Usa tipo Transferencia",IF(AND(P4928="Resultado trading",AD4928&lt;&gt;"Cuenta de trading"),"⚠ Usa una cuenta de trading",IF(AND(G4928&lt;=0,P4928&lt;&gt;"Ajuste",P4928&lt;&gt;"Resultado trading"),"⚠ El monto debe ser positivo","✓")))))))))))))))</f>
        <v/>
      </c>
      <c r="P4928" s="52">
        <f>IF(OR(B4928="",G4928=""),"",IF(C4928="","Gasto",C4928))</f>
        <v/>
      </c>
      <c r="Q4928" s="52">
        <f>IF(P4928="","",IF(J4928&lt;&gt;"",J4928,CuentaPred&amp;""))</f>
        <v/>
      </c>
      <c r="R4928" s="52">
        <f>IF(P4928="","",IF(ISNUMBER(I4928),I4928,TasaUSD))</f>
        <v/>
      </c>
      <c r="S4928" s="53">
        <f>IF(P4928="","",IF(H4928="USD",G4928*R4928,G4928))</f>
        <v/>
      </c>
      <c r="T4928" s="53">
        <f>IF(P4928="","",IF(H4928="USD",G4928,IF(R4928&gt;0,G4928/R4928,0)))</f>
        <v/>
      </c>
      <c r="U4928" s="53">
        <f>IF(P4928="","",IF(P4928="Gasto",S4928,IF(P4928="Reembolso",-S4928,0)))</f>
        <v/>
      </c>
      <c r="V4928" s="53">
        <f>IF(P4928="","",IF(P4928="Ingreso",S4928,0))</f>
        <v/>
      </c>
      <c r="W4928" s="53">
        <f>IF(P4928="","",IF(P4928="Resultado trading",S4928,0))</f>
        <v/>
      </c>
      <c r="X4928" s="52">
        <f>IF(OR(P4928="Gasto",P4928="Reembolso"),IF(M4928&lt;&gt;"",M4928,IFERROR(INDEX(catClasif,MATCH(D4928&amp;"|"&amp;E4928,catClave,0))&amp;"","Variable")),"")</f>
        <v/>
      </c>
      <c r="Y4928" s="52">
        <f>IF(P4928="","",IFERROR(INDEX(catGrupo,MATCH(D4928&amp;"|"&amp;E4928,catClave,0))&amp;"",""))</f>
        <v/>
      </c>
      <c r="Z4928" s="52">
        <f>IF(P4928="","",WEEKDAY(B4928,2))</f>
        <v/>
      </c>
      <c r="AA4928" s="52">
        <f>IF(P4928="","",IF(AND(P4928="Gasto",X4928="Variable",D4928&lt;&gt;catTrading,S4928&gt;0,S4928&lt;=Umbral),1,0))</f>
        <v/>
      </c>
      <c r="AB4928" s="52">
        <f>IF(OR(P4928="",Q4928=""),"",IFERROR(IF(INDEX(ctaVinc,MATCH(Q4928,ctaNombre,0))&amp;""&lt;&gt;"",INDEX(ctaVinc,MATCH(Q4928,ctaNombre,0))&amp;"",Q4928),Q4928))</f>
        <v/>
      </c>
      <c r="AC4928" s="52">
        <f>IF(OR(K4928="",AND(P4928&lt;&gt;"Transferencia",P4928&lt;&gt;"Pago tarjeta")),"",IFERROR(IF(INDEX(ctaVinc,MATCH(K4928,ctaNombre,0))&amp;""&lt;&gt;"",INDEX(ctaVinc,MATCH(K4928,ctaNombre,0))&amp;"",K4928),K4928))</f>
        <v/>
      </c>
      <c r="AD4928" s="52">
        <f>IF(AB4928="","",IFERROR(INDEX(ctaTipo,MATCH(AB4928,ctaNombre,0))&amp;"",""))</f>
        <v/>
      </c>
      <c r="AE4928" s="52">
        <f>IF(AC4928="","",IFERROR(INDEX(ctaTipo,MATCH(AC4928,ctaNombre,0))&amp;"",""))</f>
        <v/>
      </c>
      <c r="AF4928" s="53">
        <f>IF(OR(P4928="",AB4928=""),"",IF(OR(P4928="Gasto",P4928="Transferencia",P4928="Pago tarjeta"),-1,1)*IF(IFERROR(INDEX(ctaMoneda,MATCH(AB4928,ctaNombre,0))&amp;"","DOP")="USD",T4928,S4928))</f>
        <v/>
      </c>
      <c r="AG4928" s="53">
        <f>IF(AC4928="","",IF(IFERROR(INDEX(ctaMoneda,MATCH(AC4928,ctaNombre,0))&amp;"","DOP")="USD",T4928,S4928))</f>
        <v/>
      </c>
      <c r="AH4928" s="53">
        <f>IF(P4928="","",IF(AND(AD4928&lt;&gt;"",COUNTIFS(tcTipo,AD4928,tcLiq,"Sí")&gt;0),IF(OR(P4928="Gasto",P4928="Transferencia",P4928="Pago tarjeta"),-1,1)*S4928,0)+IF(AND(AE4928&lt;&gt;"",COUNTIFS(tcTipo,AE4928,tcLiq,"Sí")&gt;0),S4928,0))</f>
        <v/>
      </c>
      <c r="AI4928" s="52">
        <f>IF(OR(L4928="",P4928=""),"",IF(COUNTIFS(L$6:L4928,L4928,P$6:P4928,"?*")=1,MAX(AI$5:AI4927)+1,""))</f>
        <v/>
      </c>
    </row>
    <row r="4929">
      <c r="B4929" s="47" t="n"/>
      <c r="C4929" s="48" t="n"/>
      <c r="D4929" s="48" t="n"/>
      <c r="E4929" s="48" t="n"/>
      <c r="F4929" s="48" t="n"/>
      <c r="G4929" s="49" t="n"/>
      <c r="H4929" s="48" t="n"/>
      <c r="I4929" s="50" t="n"/>
      <c r="J4929" s="48" t="n"/>
      <c r="K4929" s="48" t="n"/>
      <c r="L4929" s="48" t="n"/>
      <c r="M4929" s="48" t="n"/>
      <c r="N4929" s="48" t="n"/>
      <c r="O4929" s="51">
        <f>IF(AND(B4929="",G4929="",C4929="",D4929="",J4929=""),"",IF(B4929="","⚠ Falta fecha",IF(G4929="","⚠ Falta monto",IF(Q4929="","⚠ Falta cuenta",IF(ISNA(MATCH(Q4929,ctaNombre,0)),"⚠ Cuenta no registrada",IF(AND(OR(P4929="Gasto",P4929="Reembolso"),D4929=""),"⚠ Falta categoría",IF(AND(D4929&lt;&gt;"",E4929&lt;&gt;"",ISNA(MATCH(D4929&amp;"|"&amp;E4929,catClave,0))),"⚠ Subcategoría no corresponde",IF(AND(OR(P4929="Transferencia",P4929="Pago tarjeta"),K4929=""),"⚠ Falta cuenta destino",IF(AND(K4929&lt;&gt;"",P4929&lt;&gt;"Transferencia",P4929&lt;&gt;"Pago tarjeta"),"⚠ Destino solo aplica a transferencias",IF(AND(K4929&lt;&gt;"",K4929=Q4929),"⚠ Origen igual a destino",IF(AND(K4929&lt;&gt;"",ISNA(MATCH(K4929,ctaNombre,0))),"⚠ Destino no registrado",IF(AND(P4929="Pago tarjeta",AE4929&lt;&gt;"Tarjeta de crédito"),"⚠ El destino debe ser tarjeta de crédito",IF(AND(P4929="Gasto",E4929="Depósitos y retiros"),"⚠ Usa tipo Transferencia",IF(AND(P4929="Resultado trading",AD4929&lt;&gt;"Cuenta de trading"),"⚠ Usa una cuenta de trading",IF(AND(G4929&lt;=0,P4929&lt;&gt;"Ajuste",P4929&lt;&gt;"Resultado trading"),"⚠ El monto debe ser positivo","✓")))))))))))))))</f>
        <v/>
      </c>
      <c r="P4929" s="52">
        <f>IF(OR(B4929="",G4929=""),"",IF(C4929="","Gasto",C4929))</f>
        <v/>
      </c>
      <c r="Q4929" s="52">
        <f>IF(P4929="","",IF(J4929&lt;&gt;"",J4929,CuentaPred&amp;""))</f>
        <v/>
      </c>
      <c r="R4929" s="52">
        <f>IF(P4929="","",IF(ISNUMBER(I4929),I4929,TasaUSD))</f>
        <v/>
      </c>
      <c r="S4929" s="53">
        <f>IF(P4929="","",IF(H4929="USD",G4929*R4929,G4929))</f>
        <v/>
      </c>
      <c r="T4929" s="53">
        <f>IF(P4929="","",IF(H4929="USD",G4929,IF(R4929&gt;0,G4929/R4929,0)))</f>
        <v/>
      </c>
      <c r="U4929" s="53">
        <f>IF(P4929="","",IF(P4929="Gasto",S4929,IF(P4929="Reembolso",-S4929,0)))</f>
        <v/>
      </c>
      <c r="V4929" s="53">
        <f>IF(P4929="","",IF(P4929="Ingreso",S4929,0))</f>
        <v/>
      </c>
      <c r="W4929" s="53">
        <f>IF(P4929="","",IF(P4929="Resultado trading",S4929,0))</f>
        <v/>
      </c>
      <c r="X4929" s="52">
        <f>IF(OR(P4929="Gasto",P4929="Reembolso"),IF(M4929&lt;&gt;"",M4929,IFERROR(INDEX(catClasif,MATCH(D4929&amp;"|"&amp;E4929,catClave,0))&amp;"","Variable")),"")</f>
        <v/>
      </c>
      <c r="Y4929" s="52">
        <f>IF(P4929="","",IFERROR(INDEX(catGrupo,MATCH(D4929&amp;"|"&amp;E4929,catClave,0))&amp;"",""))</f>
        <v/>
      </c>
      <c r="Z4929" s="52">
        <f>IF(P4929="","",WEEKDAY(B4929,2))</f>
        <v/>
      </c>
      <c r="AA4929" s="52">
        <f>IF(P4929="","",IF(AND(P4929="Gasto",X4929="Variable",D4929&lt;&gt;catTrading,S4929&gt;0,S4929&lt;=Umbral),1,0))</f>
        <v/>
      </c>
      <c r="AB4929" s="52">
        <f>IF(OR(P4929="",Q4929=""),"",IFERROR(IF(INDEX(ctaVinc,MATCH(Q4929,ctaNombre,0))&amp;""&lt;&gt;"",INDEX(ctaVinc,MATCH(Q4929,ctaNombre,0))&amp;"",Q4929),Q4929))</f>
        <v/>
      </c>
      <c r="AC4929" s="52">
        <f>IF(OR(K4929="",AND(P4929&lt;&gt;"Transferencia",P4929&lt;&gt;"Pago tarjeta")),"",IFERROR(IF(INDEX(ctaVinc,MATCH(K4929,ctaNombre,0))&amp;""&lt;&gt;"",INDEX(ctaVinc,MATCH(K4929,ctaNombre,0))&amp;"",K4929),K4929))</f>
        <v/>
      </c>
      <c r="AD4929" s="52">
        <f>IF(AB4929="","",IFERROR(INDEX(ctaTipo,MATCH(AB4929,ctaNombre,0))&amp;"",""))</f>
        <v/>
      </c>
      <c r="AE4929" s="52">
        <f>IF(AC4929="","",IFERROR(INDEX(ctaTipo,MATCH(AC4929,ctaNombre,0))&amp;"",""))</f>
        <v/>
      </c>
      <c r="AF4929" s="53">
        <f>IF(OR(P4929="",AB4929=""),"",IF(OR(P4929="Gasto",P4929="Transferencia",P4929="Pago tarjeta"),-1,1)*IF(IFERROR(INDEX(ctaMoneda,MATCH(AB4929,ctaNombre,0))&amp;"","DOP")="USD",T4929,S4929))</f>
        <v/>
      </c>
      <c r="AG4929" s="53">
        <f>IF(AC4929="","",IF(IFERROR(INDEX(ctaMoneda,MATCH(AC4929,ctaNombre,0))&amp;"","DOP")="USD",T4929,S4929))</f>
        <v/>
      </c>
      <c r="AH4929" s="53">
        <f>IF(P4929="","",IF(AND(AD4929&lt;&gt;"",COUNTIFS(tcTipo,AD4929,tcLiq,"Sí")&gt;0),IF(OR(P4929="Gasto",P4929="Transferencia",P4929="Pago tarjeta"),-1,1)*S4929,0)+IF(AND(AE4929&lt;&gt;"",COUNTIFS(tcTipo,AE4929,tcLiq,"Sí")&gt;0),S4929,0))</f>
        <v/>
      </c>
      <c r="AI4929" s="52">
        <f>IF(OR(L4929="",P4929=""),"",IF(COUNTIFS(L$6:L4929,L4929,P$6:P4929,"?*")=1,MAX(AI$5:AI4928)+1,""))</f>
        <v/>
      </c>
    </row>
    <row r="4930">
      <c r="B4930" s="47" t="n"/>
      <c r="C4930" s="48" t="n"/>
      <c r="D4930" s="48" t="n"/>
      <c r="E4930" s="48" t="n"/>
      <c r="F4930" s="48" t="n"/>
      <c r="G4930" s="49" t="n"/>
      <c r="H4930" s="48" t="n"/>
      <c r="I4930" s="50" t="n"/>
      <c r="J4930" s="48" t="n"/>
      <c r="K4930" s="48" t="n"/>
      <c r="L4930" s="48" t="n"/>
      <c r="M4930" s="48" t="n"/>
      <c r="N4930" s="48" t="n"/>
      <c r="O4930" s="51">
        <f>IF(AND(B4930="",G4930="",C4930="",D4930="",J4930=""),"",IF(B4930="","⚠ Falta fecha",IF(G4930="","⚠ Falta monto",IF(Q4930="","⚠ Falta cuenta",IF(ISNA(MATCH(Q4930,ctaNombre,0)),"⚠ Cuenta no registrada",IF(AND(OR(P4930="Gasto",P4930="Reembolso"),D4930=""),"⚠ Falta categoría",IF(AND(D4930&lt;&gt;"",E4930&lt;&gt;"",ISNA(MATCH(D4930&amp;"|"&amp;E4930,catClave,0))),"⚠ Subcategoría no corresponde",IF(AND(OR(P4930="Transferencia",P4930="Pago tarjeta"),K4930=""),"⚠ Falta cuenta destino",IF(AND(K4930&lt;&gt;"",P4930&lt;&gt;"Transferencia",P4930&lt;&gt;"Pago tarjeta"),"⚠ Destino solo aplica a transferencias",IF(AND(K4930&lt;&gt;"",K4930=Q4930),"⚠ Origen igual a destino",IF(AND(K4930&lt;&gt;"",ISNA(MATCH(K4930,ctaNombre,0))),"⚠ Destino no registrado",IF(AND(P4930="Pago tarjeta",AE4930&lt;&gt;"Tarjeta de crédito"),"⚠ El destino debe ser tarjeta de crédito",IF(AND(P4930="Gasto",E4930="Depósitos y retiros"),"⚠ Usa tipo Transferencia",IF(AND(P4930="Resultado trading",AD4930&lt;&gt;"Cuenta de trading"),"⚠ Usa una cuenta de trading",IF(AND(G4930&lt;=0,P4930&lt;&gt;"Ajuste",P4930&lt;&gt;"Resultado trading"),"⚠ El monto debe ser positivo","✓")))))))))))))))</f>
        <v/>
      </c>
      <c r="P4930" s="52">
        <f>IF(OR(B4930="",G4930=""),"",IF(C4930="","Gasto",C4930))</f>
        <v/>
      </c>
      <c r="Q4930" s="52">
        <f>IF(P4930="","",IF(J4930&lt;&gt;"",J4930,CuentaPred&amp;""))</f>
        <v/>
      </c>
      <c r="R4930" s="52">
        <f>IF(P4930="","",IF(ISNUMBER(I4930),I4930,TasaUSD))</f>
        <v/>
      </c>
      <c r="S4930" s="53">
        <f>IF(P4930="","",IF(H4930="USD",G4930*R4930,G4930))</f>
        <v/>
      </c>
      <c r="T4930" s="53">
        <f>IF(P4930="","",IF(H4930="USD",G4930,IF(R4930&gt;0,G4930/R4930,0)))</f>
        <v/>
      </c>
      <c r="U4930" s="53">
        <f>IF(P4930="","",IF(P4930="Gasto",S4930,IF(P4930="Reembolso",-S4930,0)))</f>
        <v/>
      </c>
      <c r="V4930" s="53">
        <f>IF(P4930="","",IF(P4930="Ingreso",S4930,0))</f>
        <v/>
      </c>
      <c r="W4930" s="53">
        <f>IF(P4930="","",IF(P4930="Resultado trading",S4930,0))</f>
        <v/>
      </c>
      <c r="X4930" s="52">
        <f>IF(OR(P4930="Gasto",P4930="Reembolso"),IF(M4930&lt;&gt;"",M4930,IFERROR(INDEX(catClasif,MATCH(D4930&amp;"|"&amp;E4930,catClave,0))&amp;"","Variable")),"")</f>
        <v/>
      </c>
      <c r="Y4930" s="52">
        <f>IF(P4930="","",IFERROR(INDEX(catGrupo,MATCH(D4930&amp;"|"&amp;E4930,catClave,0))&amp;"",""))</f>
        <v/>
      </c>
      <c r="Z4930" s="52">
        <f>IF(P4930="","",WEEKDAY(B4930,2))</f>
        <v/>
      </c>
      <c r="AA4930" s="52">
        <f>IF(P4930="","",IF(AND(P4930="Gasto",X4930="Variable",D4930&lt;&gt;catTrading,S4930&gt;0,S4930&lt;=Umbral),1,0))</f>
        <v/>
      </c>
      <c r="AB4930" s="52">
        <f>IF(OR(P4930="",Q4930=""),"",IFERROR(IF(INDEX(ctaVinc,MATCH(Q4930,ctaNombre,0))&amp;""&lt;&gt;"",INDEX(ctaVinc,MATCH(Q4930,ctaNombre,0))&amp;"",Q4930),Q4930))</f>
        <v/>
      </c>
      <c r="AC4930" s="52">
        <f>IF(OR(K4930="",AND(P4930&lt;&gt;"Transferencia",P4930&lt;&gt;"Pago tarjeta")),"",IFERROR(IF(INDEX(ctaVinc,MATCH(K4930,ctaNombre,0))&amp;""&lt;&gt;"",INDEX(ctaVinc,MATCH(K4930,ctaNombre,0))&amp;"",K4930),K4930))</f>
        <v/>
      </c>
      <c r="AD4930" s="52">
        <f>IF(AB4930="","",IFERROR(INDEX(ctaTipo,MATCH(AB4930,ctaNombre,0))&amp;"",""))</f>
        <v/>
      </c>
      <c r="AE4930" s="52">
        <f>IF(AC4930="","",IFERROR(INDEX(ctaTipo,MATCH(AC4930,ctaNombre,0))&amp;"",""))</f>
        <v/>
      </c>
      <c r="AF4930" s="53">
        <f>IF(OR(P4930="",AB4930=""),"",IF(OR(P4930="Gasto",P4930="Transferencia",P4930="Pago tarjeta"),-1,1)*IF(IFERROR(INDEX(ctaMoneda,MATCH(AB4930,ctaNombre,0))&amp;"","DOP")="USD",T4930,S4930))</f>
        <v/>
      </c>
      <c r="AG4930" s="53">
        <f>IF(AC4930="","",IF(IFERROR(INDEX(ctaMoneda,MATCH(AC4930,ctaNombre,0))&amp;"","DOP")="USD",T4930,S4930))</f>
        <v/>
      </c>
      <c r="AH4930" s="53">
        <f>IF(P4930="","",IF(AND(AD4930&lt;&gt;"",COUNTIFS(tcTipo,AD4930,tcLiq,"Sí")&gt;0),IF(OR(P4930="Gasto",P4930="Transferencia",P4930="Pago tarjeta"),-1,1)*S4930,0)+IF(AND(AE4930&lt;&gt;"",COUNTIFS(tcTipo,AE4930,tcLiq,"Sí")&gt;0),S4930,0))</f>
        <v/>
      </c>
      <c r="AI4930" s="52">
        <f>IF(OR(L4930="",P4930=""),"",IF(COUNTIFS(L$6:L4930,L4930,P$6:P4930,"?*")=1,MAX(AI$5:AI4929)+1,""))</f>
        <v/>
      </c>
    </row>
    <row r="4931">
      <c r="B4931" s="47" t="n"/>
      <c r="C4931" s="48" t="n"/>
      <c r="D4931" s="48" t="n"/>
      <c r="E4931" s="48" t="n"/>
      <c r="F4931" s="48" t="n"/>
      <c r="G4931" s="49" t="n"/>
      <c r="H4931" s="48" t="n"/>
      <c r="I4931" s="50" t="n"/>
      <c r="J4931" s="48" t="n"/>
      <c r="K4931" s="48" t="n"/>
      <c r="L4931" s="48" t="n"/>
      <c r="M4931" s="48" t="n"/>
      <c r="N4931" s="48" t="n"/>
      <c r="O4931" s="51">
        <f>IF(AND(B4931="",G4931="",C4931="",D4931="",J4931=""),"",IF(B4931="","⚠ Falta fecha",IF(G4931="","⚠ Falta monto",IF(Q4931="","⚠ Falta cuenta",IF(ISNA(MATCH(Q4931,ctaNombre,0)),"⚠ Cuenta no registrada",IF(AND(OR(P4931="Gasto",P4931="Reembolso"),D4931=""),"⚠ Falta categoría",IF(AND(D4931&lt;&gt;"",E4931&lt;&gt;"",ISNA(MATCH(D4931&amp;"|"&amp;E4931,catClave,0))),"⚠ Subcategoría no corresponde",IF(AND(OR(P4931="Transferencia",P4931="Pago tarjeta"),K4931=""),"⚠ Falta cuenta destino",IF(AND(K4931&lt;&gt;"",P4931&lt;&gt;"Transferencia",P4931&lt;&gt;"Pago tarjeta"),"⚠ Destino solo aplica a transferencias",IF(AND(K4931&lt;&gt;"",K4931=Q4931),"⚠ Origen igual a destino",IF(AND(K4931&lt;&gt;"",ISNA(MATCH(K4931,ctaNombre,0))),"⚠ Destino no registrado",IF(AND(P4931="Pago tarjeta",AE4931&lt;&gt;"Tarjeta de crédito"),"⚠ El destino debe ser tarjeta de crédito",IF(AND(P4931="Gasto",E4931="Depósitos y retiros"),"⚠ Usa tipo Transferencia",IF(AND(P4931="Resultado trading",AD4931&lt;&gt;"Cuenta de trading"),"⚠ Usa una cuenta de trading",IF(AND(G4931&lt;=0,P4931&lt;&gt;"Ajuste",P4931&lt;&gt;"Resultado trading"),"⚠ El monto debe ser positivo","✓")))))))))))))))</f>
        <v/>
      </c>
      <c r="P4931" s="52">
        <f>IF(OR(B4931="",G4931=""),"",IF(C4931="","Gasto",C4931))</f>
        <v/>
      </c>
      <c r="Q4931" s="52">
        <f>IF(P4931="","",IF(J4931&lt;&gt;"",J4931,CuentaPred&amp;""))</f>
        <v/>
      </c>
      <c r="R4931" s="52">
        <f>IF(P4931="","",IF(ISNUMBER(I4931),I4931,TasaUSD))</f>
        <v/>
      </c>
      <c r="S4931" s="53">
        <f>IF(P4931="","",IF(H4931="USD",G4931*R4931,G4931))</f>
        <v/>
      </c>
      <c r="T4931" s="53">
        <f>IF(P4931="","",IF(H4931="USD",G4931,IF(R4931&gt;0,G4931/R4931,0)))</f>
        <v/>
      </c>
      <c r="U4931" s="53">
        <f>IF(P4931="","",IF(P4931="Gasto",S4931,IF(P4931="Reembolso",-S4931,0)))</f>
        <v/>
      </c>
      <c r="V4931" s="53">
        <f>IF(P4931="","",IF(P4931="Ingreso",S4931,0))</f>
        <v/>
      </c>
      <c r="W4931" s="53">
        <f>IF(P4931="","",IF(P4931="Resultado trading",S4931,0))</f>
        <v/>
      </c>
      <c r="X4931" s="52">
        <f>IF(OR(P4931="Gasto",P4931="Reembolso"),IF(M4931&lt;&gt;"",M4931,IFERROR(INDEX(catClasif,MATCH(D4931&amp;"|"&amp;E4931,catClave,0))&amp;"","Variable")),"")</f>
        <v/>
      </c>
      <c r="Y4931" s="52">
        <f>IF(P4931="","",IFERROR(INDEX(catGrupo,MATCH(D4931&amp;"|"&amp;E4931,catClave,0))&amp;"",""))</f>
        <v/>
      </c>
      <c r="Z4931" s="52">
        <f>IF(P4931="","",WEEKDAY(B4931,2))</f>
        <v/>
      </c>
      <c r="AA4931" s="52">
        <f>IF(P4931="","",IF(AND(P4931="Gasto",X4931="Variable",D4931&lt;&gt;catTrading,S4931&gt;0,S4931&lt;=Umbral),1,0))</f>
        <v/>
      </c>
      <c r="AB4931" s="52">
        <f>IF(OR(P4931="",Q4931=""),"",IFERROR(IF(INDEX(ctaVinc,MATCH(Q4931,ctaNombre,0))&amp;""&lt;&gt;"",INDEX(ctaVinc,MATCH(Q4931,ctaNombre,0))&amp;"",Q4931),Q4931))</f>
        <v/>
      </c>
      <c r="AC4931" s="52">
        <f>IF(OR(K4931="",AND(P4931&lt;&gt;"Transferencia",P4931&lt;&gt;"Pago tarjeta")),"",IFERROR(IF(INDEX(ctaVinc,MATCH(K4931,ctaNombre,0))&amp;""&lt;&gt;"",INDEX(ctaVinc,MATCH(K4931,ctaNombre,0))&amp;"",K4931),K4931))</f>
        <v/>
      </c>
      <c r="AD4931" s="52">
        <f>IF(AB4931="","",IFERROR(INDEX(ctaTipo,MATCH(AB4931,ctaNombre,0))&amp;"",""))</f>
        <v/>
      </c>
      <c r="AE4931" s="52">
        <f>IF(AC4931="","",IFERROR(INDEX(ctaTipo,MATCH(AC4931,ctaNombre,0))&amp;"",""))</f>
        <v/>
      </c>
      <c r="AF4931" s="53">
        <f>IF(OR(P4931="",AB4931=""),"",IF(OR(P4931="Gasto",P4931="Transferencia",P4931="Pago tarjeta"),-1,1)*IF(IFERROR(INDEX(ctaMoneda,MATCH(AB4931,ctaNombre,0))&amp;"","DOP")="USD",T4931,S4931))</f>
        <v/>
      </c>
      <c r="AG4931" s="53">
        <f>IF(AC4931="","",IF(IFERROR(INDEX(ctaMoneda,MATCH(AC4931,ctaNombre,0))&amp;"","DOP")="USD",T4931,S4931))</f>
        <v/>
      </c>
      <c r="AH4931" s="53">
        <f>IF(P4931="","",IF(AND(AD4931&lt;&gt;"",COUNTIFS(tcTipo,AD4931,tcLiq,"Sí")&gt;0),IF(OR(P4931="Gasto",P4931="Transferencia",P4931="Pago tarjeta"),-1,1)*S4931,0)+IF(AND(AE4931&lt;&gt;"",COUNTIFS(tcTipo,AE4931,tcLiq,"Sí")&gt;0),S4931,0))</f>
        <v/>
      </c>
      <c r="AI4931" s="52">
        <f>IF(OR(L4931="",P4931=""),"",IF(COUNTIFS(L$6:L4931,L4931,P$6:P4931,"?*")=1,MAX(AI$5:AI4930)+1,""))</f>
        <v/>
      </c>
    </row>
    <row r="4932">
      <c r="B4932" s="47" t="n"/>
      <c r="C4932" s="48" t="n"/>
      <c r="D4932" s="48" t="n"/>
      <c r="E4932" s="48" t="n"/>
      <c r="F4932" s="48" t="n"/>
      <c r="G4932" s="49" t="n"/>
      <c r="H4932" s="48" t="n"/>
      <c r="I4932" s="50" t="n"/>
      <c r="J4932" s="48" t="n"/>
      <c r="K4932" s="48" t="n"/>
      <c r="L4932" s="48" t="n"/>
      <c r="M4932" s="48" t="n"/>
      <c r="N4932" s="48" t="n"/>
      <c r="O4932" s="51">
        <f>IF(AND(B4932="",G4932="",C4932="",D4932="",J4932=""),"",IF(B4932="","⚠ Falta fecha",IF(G4932="","⚠ Falta monto",IF(Q4932="","⚠ Falta cuenta",IF(ISNA(MATCH(Q4932,ctaNombre,0)),"⚠ Cuenta no registrada",IF(AND(OR(P4932="Gasto",P4932="Reembolso"),D4932=""),"⚠ Falta categoría",IF(AND(D4932&lt;&gt;"",E4932&lt;&gt;"",ISNA(MATCH(D4932&amp;"|"&amp;E4932,catClave,0))),"⚠ Subcategoría no corresponde",IF(AND(OR(P4932="Transferencia",P4932="Pago tarjeta"),K4932=""),"⚠ Falta cuenta destino",IF(AND(K4932&lt;&gt;"",P4932&lt;&gt;"Transferencia",P4932&lt;&gt;"Pago tarjeta"),"⚠ Destino solo aplica a transferencias",IF(AND(K4932&lt;&gt;"",K4932=Q4932),"⚠ Origen igual a destino",IF(AND(K4932&lt;&gt;"",ISNA(MATCH(K4932,ctaNombre,0))),"⚠ Destino no registrado",IF(AND(P4932="Pago tarjeta",AE4932&lt;&gt;"Tarjeta de crédito"),"⚠ El destino debe ser tarjeta de crédito",IF(AND(P4932="Gasto",E4932="Depósitos y retiros"),"⚠ Usa tipo Transferencia",IF(AND(P4932="Resultado trading",AD4932&lt;&gt;"Cuenta de trading"),"⚠ Usa una cuenta de trading",IF(AND(G4932&lt;=0,P4932&lt;&gt;"Ajuste",P4932&lt;&gt;"Resultado trading"),"⚠ El monto debe ser positivo","✓")))))))))))))))</f>
        <v/>
      </c>
      <c r="P4932" s="52">
        <f>IF(OR(B4932="",G4932=""),"",IF(C4932="","Gasto",C4932))</f>
        <v/>
      </c>
      <c r="Q4932" s="52">
        <f>IF(P4932="","",IF(J4932&lt;&gt;"",J4932,CuentaPred&amp;""))</f>
        <v/>
      </c>
      <c r="R4932" s="52">
        <f>IF(P4932="","",IF(ISNUMBER(I4932),I4932,TasaUSD))</f>
        <v/>
      </c>
      <c r="S4932" s="53">
        <f>IF(P4932="","",IF(H4932="USD",G4932*R4932,G4932))</f>
        <v/>
      </c>
      <c r="T4932" s="53">
        <f>IF(P4932="","",IF(H4932="USD",G4932,IF(R4932&gt;0,G4932/R4932,0)))</f>
        <v/>
      </c>
      <c r="U4932" s="53">
        <f>IF(P4932="","",IF(P4932="Gasto",S4932,IF(P4932="Reembolso",-S4932,0)))</f>
        <v/>
      </c>
      <c r="V4932" s="53">
        <f>IF(P4932="","",IF(P4932="Ingreso",S4932,0))</f>
        <v/>
      </c>
      <c r="W4932" s="53">
        <f>IF(P4932="","",IF(P4932="Resultado trading",S4932,0))</f>
        <v/>
      </c>
      <c r="X4932" s="52">
        <f>IF(OR(P4932="Gasto",P4932="Reembolso"),IF(M4932&lt;&gt;"",M4932,IFERROR(INDEX(catClasif,MATCH(D4932&amp;"|"&amp;E4932,catClave,0))&amp;"","Variable")),"")</f>
        <v/>
      </c>
      <c r="Y4932" s="52">
        <f>IF(P4932="","",IFERROR(INDEX(catGrupo,MATCH(D4932&amp;"|"&amp;E4932,catClave,0))&amp;"",""))</f>
        <v/>
      </c>
      <c r="Z4932" s="52">
        <f>IF(P4932="","",WEEKDAY(B4932,2))</f>
        <v/>
      </c>
      <c r="AA4932" s="52">
        <f>IF(P4932="","",IF(AND(P4932="Gasto",X4932="Variable",D4932&lt;&gt;catTrading,S4932&gt;0,S4932&lt;=Umbral),1,0))</f>
        <v/>
      </c>
      <c r="AB4932" s="52">
        <f>IF(OR(P4932="",Q4932=""),"",IFERROR(IF(INDEX(ctaVinc,MATCH(Q4932,ctaNombre,0))&amp;""&lt;&gt;"",INDEX(ctaVinc,MATCH(Q4932,ctaNombre,0))&amp;"",Q4932),Q4932))</f>
        <v/>
      </c>
      <c r="AC4932" s="52">
        <f>IF(OR(K4932="",AND(P4932&lt;&gt;"Transferencia",P4932&lt;&gt;"Pago tarjeta")),"",IFERROR(IF(INDEX(ctaVinc,MATCH(K4932,ctaNombre,0))&amp;""&lt;&gt;"",INDEX(ctaVinc,MATCH(K4932,ctaNombre,0))&amp;"",K4932),K4932))</f>
        <v/>
      </c>
      <c r="AD4932" s="52">
        <f>IF(AB4932="","",IFERROR(INDEX(ctaTipo,MATCH(AB4932,ctaNombre,0))&amp;"",""))</f>
        <v/>
      </c>
      <c r="AE4932" s="52">
        <f>IF(AC4932="","",IFERROR(INDEX(ctaTipo,MATCH(AC4932,ctaNombre,0))&amp;"",""))</f>
        <v/>
      </c>
      <c r="AF4932" s="53">
        <f>IF(OR(P4932="",AB4932=""),"",IF(OR(P4932="Gasto",P4932="Transferencia",P4932="Pago tarjeta"),-1,1)*IF(IFERROR(INDEX(ctaMoneda,MATCH(AB4932,ctaNombre,0))&amp;"","DOP")="USD",T4932,S4932))</f>
        <v/>
      </c>
      <c r="AG4932" s="53">
        <f>IF(AC4932="","",IF(IFERROR(INDEX(ctaMoneda,MATCH(AC4932,ctaNombre,0))&amp;"","DOP")="USD",T4932,S4932))</f>
        <v/>
      </c>
      <c r="AH4932" s="53">
        <f>IF(P4932="","",IF(AND(AD4932&lt;&gt;"",COUNTIFS(tcTipo,AD4932,tcLiq,"Sí")&gt;0),IF(OR(P4932="Gasto",P4932="Transferencia",P4932="Pago tarjeta"),-1,1)*S4932,0)+IF(AND(AE4932&lt;&gt;"",COUNTIFS(tcTipo,AE4932,tcLiq,"Sí")&gt;0),S4932,0))</f>
        <v/>
      </c>
      <c r="AI4932" s="52">
        <f>IF(OR(L4932="",P4932=""),"",IF(COUNTIFS(L$6:L4932,L4932,P$6:P4932,"?*")=1,MAX(AI$5:AI4931)+1,""))</f>
        <v/>
      </c>
    </row>
    <row r="4933">
      <c r="B4933" s="47" t="n"/>
      <c r="C4933" s="48" t="n"/>
      <c r="D4933" s="48" t="n"/>
      <c r="E4933" s="48" t="n"/>
      <c r="F4933" s="48" t="n"/>
      <c r="G4933" s="49" t="n"/>
      <c r="H4933" s="48" t="n"/>
      <c r="I4933" s="50" t="n"/>
      <c r="J4933" s="48" t="n"/>
      <c r="K4933" s="48" t="n"/>
      <c r="L4933" s="48" t="n"/>
      <c r="M4933" s="48" t="n"/>
      <c r="N4933" s="48" t="n"/>
      <c r="O4933" s="51">
        <f>IF(AND(B4933="",G4933="",C4933="",D4933="",J4933=""),"",IF(B4933="","⚠ Falta fecha",IF(G4933="","⚠ Falta monto",IF(Q4933="","⚠ Falta cuenta",IF(ISNA(MATCH(Q4933,ctaNombre,0)),"⚠ Cuenta no registrada",IF(AND(OR(P4933="Gasto",P4933="Reembolso"),D4933=""),"⚠ Falta categoría",IF(AND(D4933&lt;&gt;"",E4933&lt;&gt;"",ISNA(MATCH(D4933&amp;"|"&amp;E4933,catClave,0))),"⚠ Subcategoría no corresponde",IF(AND(OR(P4933="Transferencia",P4933="Pago tarjeta"),K4933=""),"⚠ Falta cuenta destino",IF(AND(K4933&lt;&gt;"",P4933&lt;&gt;"Transferencia",P4933&lt;&gt;"Pago tarjeta"),"⚠ Destino solo aplica a transferencias",IF(AND(K4933&lt;&gt;"",K4933=Q4933),"⚠ Origen igual a destino",IF(AND(K4933&lt;&gt;"",ISNA(MATCH(K4933,ctaNombre,0))),"⚠ Destino no registrado",IF(AND(P4933="Pago tarjeta",AE4933&lt;&gt;"Tarjeta de crédito"),"⚠ El destino debe ser tarjeta de crédito",IF(AND(P4933="Gasto",E4933="Depósitos y retiros"),"⚠ Usa tipo Transferencia",IF(AND(P4933="Resultado trading",AD4933&lt;&gt;"Cuenta de trading"),"⚠ Usa una cuenta de trading",IF(AND(G4933&lt;=0,P4933&lt;&gt;"Ajuste",P4933&lt;&gt;"Resultado trading"),"⚠ El monto debe ser positivo","✓")))))))))))))))</f>
        <v/>
      </c>
      <c r="P4933" s="52">
        <f>IF(OR(B4933="",G4933=""),"",IF(C4933="","Gasto",C4933))</f>
        <v/>
      </c>
      <c r="Q4933" s="52">
        <f>IF(P4933="","",IF(J4933&lt;&gt;"",J4933,CuentaPred&amp;""))</f>
        <v/>
      </c>
      <c r="R4933" s="52">
        <f>IF(P4933="","",IF(ISNUMBER(I4933),I4933,TasaUSD))</f>
        <v/>
      </c>
      <c r="S4933" s="53">
        <f>IF(P4933="","",IF(H4933="USD",G4933*R4933,G4933))</f>
        <v/>
      </c>
      <c r="T4933" s="53">
        <f>IF(P4933="","",IF(H4933="USD",G4933,IF(R4933&gt;0,G4933/R4933,0)))</f>
        <v/>
      </c>
      <c r="U4933" s="53">
        <f>IF(P4933="","",IF(P4933="Gasto",S4933,IF(P4933="Reembolso",-S4933,0)))</f>
        <v/>
      </c>
      <c r="V4933" s="53">
        <f>IF(P4933="","",IF(P4933="Ingreso",S4933,0))</f>
        <v/>
      </c>
      <c r="W4933" s="53">
        <f>IF(P4933="","",IF(P4933="Resultado trading",S4933,0))</f>
        <v/>
      </c>
      <c r="X4933" s="52">
        <f>IF(OR(P4933="Gasto",P4933="Reembolso"),IF(M4933&lt;&gt;"",M4933,IFERROR(INDEX(catClasif,MATCH(D4933&amp;"|"&amp;E4933,catClave,0))&amp;"","Variable")),"")</f>
        <v/>
      </c>
      <c r="Y4933" s="52">
        <f>IF(P4933="","",IFERROR(INDEX(catGrupo,MATCH(D4933&amp;"|"&amp;E4933,catClave,0))&amp;"",""))</f>
        <v/>
      </c>
      <c r="Z4933" s="52">
        <f>IF(P4933="","",WEEKDAY(B4933,2))</f>
        <v/>
      </c>
      <c r="AA4933" s="52">
        <f>IF(P4933="","",IF(AND(P4933="Gasto",X4933="Variable",D4933&lt;&gt;catTrading,S4933&gt;0,S4933&lt;=Umbral),1,0))</f>
        <v/>
      </c>
      <c r="AB4933" s="52">
        <f>IF(OR(P4933="",Q4933=""),"",IFERROR(IF(INDEX(ctaVinc,MATCH(Q4933,ctaNombre,0))&amp;""&lt;&gt;"",INDEX(ctaVinc,MATCH(Q4933,ctaNombre,0))&amp;"",Q4933),Q4933))</f>
        <v/>
      </c>
      <c r="AC4933" s="52">
        <f>IF(OR(K4933="",AND(P4933&lt;&gt;"Transferencia",P4933&lt;&gt;"Pago tarjeta")),"",IFERROR(IF(INDEX(ctaVinc,MATCH(K4933,ctaNombre,0))&amp;""&lt;&gt;"",INDEX(ctaVinc,MATCH(K4933,ctaNombre,0))&amp;"",K4933),K4933))</f>
        <v/>
      </c>
      <c r="AD4933" s="52">
        <f>IF(AB4933="","",IFERROR(INDEX(ctaTipo,MATCH(AB4933,ctaNombre,0))&amp;"",""))</f>
        <v/>
      </c>
      <c r="AE4933" s="52">
        <f>IF(AC4933="","",IFERROR(INDEX(ctaTipo,MATCH(AC4933,ctaNombre,0))&amp;"",""))</f>
        <v/>
      </c>
      <c r="AF4933" s="53">
        <f>IF(OR(P4933="",AB4933=""),"",IF(OR(P4933="Gasto",P4933="Transferencia",P4933="Pago tarjeta"),-1,1)*IF(IFERROR(INDEX(ctaMoneda,MATCH(AB4933,ctaNombre,0))&amp;"","DOP")="USD",T4933,S4933))</f>
        <v/>
      </c>
      <c r="AG4933" s="53">
        <f>IF(AC4933="","",IF(IFERROR(INDEX(ctaMoneda,MATCH(AC4933,ctaNombre,0))&amp;"","DOP")="USD",T4933,S4933))</f>
        <v/>
      </c>
      <c r="AH4933" s="53">
        <f>IF(P4933="","",IF(AND(AD4933&lt;&gt;"",COUNTIFS(tcTipo,AD4933,tcLiq,"Sí")&gt;0),IF(OR(P4933="Gasto",P4933="Transferencia",P4933="Pago tarjeta"),-1,1)*S4933,0)+IF(AND(AE4933&lt;&gt;"",COUNTIFS(tcTipo,AE4933,tcLiq,"Sí")&gt;0),S4933,0))</f>
        <v/>
      </c>
      <c r="AI4933" s="52">
        <f>IF(OR(L4933="",P4933=""),"",IF(COUNTIFS(L$6:L4933,L4933,P$6:P4933,"?*")=1,MAX(AI$5:AI4932)+1,""))</f>
        <v/>
      </c>
    </row>
    <row r="4934">
      <c r="B4934" s="47" t="n"/>
      <c r="C4934" s="48" t="n"/>
      <c r="D4934" s="48" t="n"/>
      <c r="E4934" s="48" t="n"/>
      <c r="F4934" s="48" t="n"/>
      <c r="G4934" s="49" t="n"/>
      <c r="H4934" s="48" t="n"/>
      <c r="I4934" s="50" t="n"/>
      <c r="J4934" s="48" t="n"/>
      <c r="K4934" s="48" t="n"/>
      <c r="L4934" s="48" t="n"/>
      <c r="M4934" s="48" t="n"/>
      <c r="N4934" s="48" t="n"/>
      <c r="O4934" s="51">
        <f>IF(AND(B4934="",G4934="",C4934="",D4934="",J4934=""),"",IF(B4934="","⚠ Falta fecha",IF(G4934="","⚠ Falta monto",IF(Q4934="","⚠ Falta cuenta",IF(ISNA(MATCH(Q4934,ctaNombre,0)),"⚠ Cuenta no registrada",IF(AND(OR(P4934="Gasto",P4934="Reembolso"),D4934=""),"⚠ Falta categoría",IF(AND(D4934&lt;&gt;"",E4934&lt;&gt;"",ISNA(MATCH(D4934&amp;"|"&amp;E4934,catClave,0))),"⚠ Subcategoría no corresponde",IF(AND(OR(P4934="Transferencia",P4934="Pago tarjeta"),K4934=""),"⚠ Falta cuenta destino",IF(AND(K4934&lt;&gt;"",P4934&lt;&gt;"Transferencia",P4934&lt;&gt;"Pago tarjeta"),"⚠ Destino solo aplica a transferencias",IF(AND(K4934&lt;&gt;"",K4934=Q4934),"⚠ Origen igual a destino",IF(AND(K4934&lt;&gt;"",ISNA(MATCH(K4934,ctaNombre,0))),"⚠ Destino no registrado",IF(AND(P4934="Pago tarjeta",AE4934&lt;&gt;"Tarjeta de crédito"),"⚠ El destino debe ser tarjeta de crédito",IF(AND(P4934="Gasto",E4934="Depósitos y retiros"),"⚠ Usa tipo Transferencia",IF(AND(P4934="Resultado trading",AD4934&lt;&gt;"Cuenta de trading"),"⚠ Usa una cuenta de trading",IF(AND(G4934&lt;=0,P4934&lt;&gt;"Ajuste",P4934&lt;&gt;"Resultado trading"),"⚠ El monto debe ser positivo","✓")))))))))))))))</f>
        <v/>
      </c>
      <c r="P4934" s="52">
        <f>IF(OR(B4934="",G4934=""),"",IF(C4934="","Gasto",C4934))</f>
        <v/>
      </c>
      <c r="Q4934" s="52">
        <f>IF(P4934="","",IF(J4934&lt;&gt;"",J4934,CuentaPred&amp;""))</f>
        <v/>
      </c>
      <c r="R4934" s="52">
        <f>IF(P4934="","",IF(ISNUMBER(I4934),I4934,TasaUSD))</f>
        <v/>
      </c>
      <c r="S4934" s="53">
        <f>IF(P4934="","",IF(H4934="USD",G4934*R4934,G4934))</f>
        <v/>
      </c>
      <c r="T4934" s="53">
        <f>IF(P4934="","",IF(H4934="USD",G4934,IF(R4934&gt;0,G4934/R4934,0)))</f>
        <v/>
      </c>
      <c r="U4934" s="53">
        <f>IF(P4934="","",IF(P4934="Gasto",S4934,IF(P4934="Reembolso",-S4934,0)))</f>
        <v/>
      </c>
      <c r="V4934" s="53">
        <f>IF(P4934="","",IF(P4934="Ingreso",S4934,0))</f>
        <v/>
      </c>
      <c r="W4934" s="53">
        <f>IF(P4934="","",IF(P4934="Resultado trading",S4934,0))</f>
        <v/>
      </c>
      <c r="X4934" s="52">
        <f>IF(OR(P4934="Gasto",P4934="Reembolso"),IF(M4934&lt;&gt;"",M4934,IFERROR(INDEX(catClasif,MATCH(D4934&amp;"|"&amp;E4934,catClave,0))&amp;"","Variable")),"")</f>
        <v/>
      </c>
      <c r="Y4934" s="52">
        <f>IF(P4934="","",IFERROR(INDEX(catGrupo,MATCH(D4934&amp;"|"&amp;E4934,catClave,0))&amp;"",""))</f>
        <v/>
      </c>
      <c r="Z4934" s="52">
        <f>IF(P4934="","",WEEKDAY(B4934,2))</f>
        <v/>
      </c>
      <c r="AA4934" s="52">
        <f>IF(P4934="","",IF(AND(P4934="Gasto",X4934="Variable",D4934&lt;&gt;catTrading,S4934&gt;0,S4934&lt;=Umbral),1,0))</f>
        <v/>
      </c>
      <c r="AB4934" s="52">
        <f>IF(OR(P4934="",Q4934=""),"",IFERROR(IF(INDEX(ctaVinc,MATCH(Q4934,ctaNombre,0))&amp;""&lt;&gt;"",INDEX(ctaVinc,MATCH(Q4934,ctaNombre,0))&amp;"",Q4934),Q4934))</f>
        <v/>
      </c>
      <c r="AC4934" s="52">
        <f>IF(OR(K4934="",AND(P4934&lt;&gt;"Transferencia",P4934&lt;&gt;"Pago tarjeta")),"",IFERROR(IF(INDEX(ctaVinc,MATCH(K4934,ctaNombre,0))&amp;""&lt;&gt;"",INDEX(ctaVinc,MATCH(K4934,ctaNombre,0))&amp;"",K4934),K4934))</f>
        <v/>
      </c>
      <c r="AD4934" s="52">
        <f>IF(AB4934="","",IFERROR(INDEX(ctaTipo,MATCH(AB4934,ctaNombre,0))&amp;"",""))</f>
        <v/>
      </c>
      <c r="AE4934" s="52">
        <f>IF(AC4934="","",IFERROR(INDEX(ctaTipo,MATCH(AC4934,ctaNombre,0))&amp;"",""))</f>
        <v/>
      </c>
      <c r="AF4934" s="53">
        <f>IF(OR(P4934="",AB4934=""),"",IF(OR(P4934="Gasto",P4934="Transferencia",P4934="Pago tarjeta"),-1,1)*IF(IFERROR(INDEX(ctaMoneda,MATCH(AB4934,ctaNombre,0))&amp;"","DOP")="USD",T4934,S4934))</f>
        <v/>
      </c>
      <c r="AG4934" s="53">
        <f>IF(AC4934="","",IF(IFERROR(INDEX(ctaMoneda,MATCH(AC4934,ctaNombre,0))&amp;"","DOP")="USD",T4934,S4934))</f>
        <v/>
      </c>
      <c r="AH4934" s="53">
        <f>IF(P4934="","",IF(AND(AD4934&lt;&gt;"",COUNTIFS(tcTipo,AD4934,tcLiq,"Sí")&gt;0),IF(OR(P4934="Gasto",P4934="Transferencia",P4934="Pago tarjeta"),-1,1)*S4934,0)+IF(AND(AE4934&lt;&gt;"",COUNTIFS(tcTipo,AE4934,tcLiq,"Sí")&gt;0),S4934,0))</f>
        <v/>
      </c>
      <c r="AI4934" s="52">
        <f>IF(OR(L4934="",P4934=""),"",IF(COUNTIFS(L$6:L4934,L4934,P$6:P4934,"?*")=1,MAX(AI$5:AI4933)+1,""))</f>
        <v/>
      </c>
    </row>
    <row r="4935">
      <c r="B4935" s="47" t="n"/>
      <c r="C4935" s="48" t="n"/>
      <c r="D4935" s="48" t="n"/>
      <c r="E4935" s="48" t="n"/>
      <c r="F4935" s="48" t="n"/>
      <c r="G4935" s="49" t="n"/>
      <c r="H4935" s="48" t="n"/>
      <c r="I4935" s="50" t="n"/>
      <c r="J4935" s="48" t="n"/>
      <c r="K4935" s="48" t="n"/>
      <c r="L4935" s="48" t="n"/>
      <c r="M4935" s="48" t="n"/>
      <c r="N4935" s="48" t="n"/>
      <c r="O4935" s="51">
        <f>IF(AND(B4935="",G4935="",C4935="",D4935="",J4935=""),"",IF(B4935="","⚠ Falta fecha",IF(G4935="","⚠ Falta monto",IF(Q4935="","⚠ Falta cuenta",IF(ISNA(MATCH(Q4935,ctaNombre,0)),"⚠ Cuenta no registrada",IF(AND(OR(P4935="Gasto",P4935="Reembolso"),D4935=""),"⚠ Falta categoría",IF(AND(D4935&lt;&gt;"",E4935&lt;&gt;"",ISNA(MATCH(D4935&amp;"|"&amp;E4935,catClave,0))),"⚠ Subcategoría no corresponde",IF(AND(OR(P4935="Transferencia",P4935="Pago tarjeta"),K4935=""),"⚠ Falta cuenta destino",IF(AND(K4935&lt;&gt;"",P4935&lt;&gt;"Transferencia",P4935&lt;&gt;"Pago tarjeta"),"⚠ Destino solo aplica a transferencias",IF(AND(K4935&lt;&gt;"",K4935=Q4935),"⚠ Origen igual a destino",IF(AND(K4935&lt;&gt;"",ISNA(MATCH(K4935,ctaNombre,0))),"⚠ Destino no registrado",IF(AND(P4935="Pago tarjeta",AE4935&lt;&gt;"Tarjeta de crédito"),"⚠ El destino debe ser tarjeta de crédito",IF(AND(P4935="Gasto",E4935="Depósitos y retiros"),"⚠ Usa tipo Transferencia",IF(AND(P4935="Resultado trading",AD4935&lt;&gt;"Cuenta de trading"),"⚠ Usa una cuenta de trading",IF(AND(G4935&lt;=0,P4935&lt;&gt;"Ajuste",P4935&lt;&gt;"Resultado trading"),"⚠ El monto debe ser positivo","✓")))))))))))))))</f>
        <v/>
      </c>
      <c r="P4935" s="52">
        <f>IF(OR(B4935="",G4935=""),"",IF(C4935="","Gasto",C4935))</f>
        <v/>
      </c>
      <c r="Q4935" s="52">
        <f>IF(P4935="","",IF(J4935&lt;&gt;"",J4935,CuentaPred&amp;""))</f>
        <v/>
      </c>
      <c r="R4935" s="52">
        <f>IF(P4935="","",IF(ISNUMBER(I4935),I4935,TasaUSD))</f>
        <v/>
      </c>
      <c r="S4935" s="53">
        <f>IF(P4935="","",IF(H4935="USD",G4935*R4935,G4935))</f>
        <v/>
      </c>
      <c r="T4935" s="53">
        <f>IF(P4935="","",IF(H4935="USD",G4935,IF(R4935&gt;0,G4935/R4935,0)))</f>
        <v/>
      </c>
      <c r="U4935" s="53">
        <f>IF(P4935="","",IF(P4935="Gasto",S4935,IF(P4935="Reembolso",-S4935,0)))</f>
        <v/>
      </c>
      <c r="V4935" s="53">
        <f>IF(P4935="","",IF(P4935="Ingreso",S4935,0))</f>
        <v/>
      </c>
      <c r="W4935" s="53">
        <f>IF(P4935="","",IF(P4935="Resultado trading",S4935,0))</f>
        <v/>
      </c>
      <c r="X4935" s="52">
        <f>IF(OR(P4935="Gasto",P4935="Reembolso"),IF(M4935&lt;&gt;"",M4935,IFERROR(INDEX(catClasif,MATCH(D4935&amp;"|"&amp;E4935,catClave,0))&amp;"","Variable")),"")</f>
        <v/>
      </c>
      <c r="Y4935" s="52">
        <f>IF(P4935="","",IFERROR(INDEX(catGrupo,MATCH(D4935&amp;"|"&amp;E4935,catClave,0))&amp;"",""))</f>
        <v/>
      </c>
      <c r="Z4935" s="52">
        <f>IF(P4935="","",WEEKDAY(B4935,2))</f>
        <v/>
      </c>
      <c r="AA4935" s="52">
        <f>IF(P4935="","",IF(AND(P4935="Gasto",X4935="Variable",D4935&lt;&gt;catTrading,S4935&gt;0,S4935&lt;=Umbral),1,0))</f>
        <v/>
      </c>
      <c r="AB4935" s="52">
        <f>IF(OR(P4935="",Q4935=""),"",IFERROR(IF(INDEX(ctaVinc,MATCH(Q4935,ctaNombre,0))&amp;""&lt;&gt;"",INDEX(ctaVinc,MATCH(Q4935,ctaNombre,0))&amp;"",Q4935),Q4935))</f>
        <v/>
      </c>
      <c r="AC4935" s="52">
        <f>IF(OR(K4935="",AND(P4935&lt;&gt;"Transferencia",P4935&lt;&gt;"Pago tarjeta")),"",IFERROR(IF(INDEX(ctaVinc,MATCH(K4935,ctaNombre,0))&amp;""&lt;&gt;"",INDEX(ctaVinc,MATCH(K4935,ctaNombre,0))&amp;"",K4935),K4935))</f>
        <v/>
      </c>
      <c r="AD4935" s="52">
        <f>IF(AB4935="","",IFERROR(INDEX(ctaTipo,MATCH(AB4935,ctaNombre,0))&amp;"",""))</f>
        <v/>
      </c>
      <c r="AE4935" s="52">
        <f>IF(AC4935="","",IFERROR(INDEX(ctaTipo,MATCH(AC4935,ctaNombre,0))&amp;"",""))</f>
        <v/>
      </c>
      <c r="AF4935" s="53">
        <f>IF(OR(P4935="",AB4935=""),"",IF(OR(P4935="Gasto",P4935="Transferencia",P4935="Pago tarjeta"),-1,1)*IF(IFERROR(INDEX(ctaMoneda,MATCH(AB4935,ctaNombre,0))&amp;"","DOP")="USD",T4935,S4935))</f>
        <v/>
      </c>
      <c r="AG4935" s="53">
        <f>IF(AC4935="","",IF(IFERROR(INDEX(ctaMoneda,MATCH(AC4935,ctaNombre,0))&amp;"","DOP")="USD",T4935,S4935))</f>
        <v/>
      </c>
      <c r="AH4935" s="53">
        <f>IF(P4935="","",IF(AND(AD4935&lt;&gt;"",COUNTIFS(tcTipo,AD4935,tcLiq,"Sí")&gt;0),IF(OR(P4935="Gasto",P4935="Transferencia",P4935="Pago tarjeta"),-1,1)*S4935,0)+IF(AND(AE4935&lt;&gt;"",COUNTIFS(tcTipo,AE4935,tcLiq,"Sí")&gt;0),S4935,0))</f>
        <v/>
      </c>
      <c r="AI4935" s="52">
        <f>IF(OR(L4935="",P4935=""),"",IF(COUNTIFS(L$6:L4935,L4935,P$6:P4935,"?*")=1,MAX(AI$5:AI4934)+1,""))</f>
        <v/>
      </c>
    </row>
    <row r="4936">
      <c r="B4936" s="47" t="n"/>
      <c r="C4936" s="48" t="n"/>
      <c r="D4936" s="48" t="n"/>
      <c r="E4936" s="48" t="n"/>
      <c r="F4936" s="48" t="n"/>
      <c r="G4936" s="49" t="n"/>
      <c r="H4936" s="48" t="n"/>
      <c r="I4936" s="50" t="n"/>
      <c r="J4936" s="48" t="n"/>
      <c r="K4936" s="48" t="n"/>
      <c r="L4936" s="48" t="n"/>
      <c r="M4936" s="48" t="n"/>
      <c r="N4936" s="48" t="n"/>
      <c r="O4936" s="51">
        <f>IF(AND(B4936="",G4936="",C4936="",D4936="",J4936=""),"",IF(B4936="","⚠ Falta fecha",IF(G4936="","⚠ Falta monto",IF(Q4936="","⚠ Falta cuenta",IF(ISNA(MATCH(Q4936,ctaNombre,0)),"⚠ Cuenta no registrada",IF(AND(OR(P4936="Gasto",P4936="Reembolso"),D4936=""),"⚠ Falta categoría",IF(AND(D4936&lt;&gt;"",E4936&lt;&gt;"",ISNA(MATCH(D4936&amp;"|"&amp;E4936,catClave,0))),"⚠ Subcategoría no corresponde",IF(AND(OR(P4936="Transferencia",P4936="Pago tarjeta"),K4936=""),"⚠ Falta cuenta destino",IF(AND(K4936&lt;&gt;"",P4936&lt;&gt;"Transferencia",P4936&lt;&gt;"Pago tarjeta"),"⚠ Destino solo aplica a transferencias",IF(AND(K4936&lt;&gt;"",K4936=Q4936),"⚠ Origen igual a destino",IF(AND(K4936&lt;&gt;"",ISNA(MATCH(K4936,ctaNombre,0))),"⚠ Destino no registrado",IF(AND(P4936="Pago tarjeta",AE4936&lt;&gt;"Tarjeta de crédito"),"⚠ El destino debe ser tarjeta de crédito",IF(AND(P4936="Gasto",E4936="Depósitos y retiros"),"⚠ Usa tipo Transferencia",IF(AND(P4936="Resultado trading",AD4936&lt;&gt;"Cuenta de trading"),"⚠ Usa una cuenta de trading",IF(AND(G4936&lt;=0,P4936&lt;&gt;"Ajuste",P4936&lt;&gt;"Resultado trading"),"⚠ El monto debe ser positivo","✓")))))))))))))))</f>
        <v/>
      </c>
      <c r="P4936" s="52">
        <f>IF(OR(B4936="",G4936=""),"",IF(C4936="","Gasto",C4936))</f>
        <v/>
      </c>
      <c r="Q4936" s="52">
        <f>IF(P4936="","",IF(J4936&lt;&gt;"",J4936,CuentaPred&amp;""))</f>
        <v/>
      </c>
      <c r="R4936" s="52">
        <f>IF(P4936="","",IF(ISNUMBER(I4936),I4936,TasaUSD))</f>
        <v/>
      </c>
      <c r="S4936" s="53">
        <f>IF(P4936="","",IF(H4936="USD",G4936*R4936,G4936))</f>
        <v/>
      </c>
      <c r="T4936" s="53">
        <f>IF(P4936="","",IF(H4936="USD",G4936,IF(R4936&gt;0,G4936/R4936,0)))</f>
        <v/>
      </c>
      <c r="U4936" s="53">
        <f>IF(P4936="","",IF(P4936="Gasto",S4936,IF(P4936="Reembolso",-S4936,0)))</f>
        <v/>
      </c>
      <c r="V4936" s="53">
        <f>IF(P4936="","",IF(P4936="Ingreso",S4936,0))</f>
        <v/>
      </c>
      <c r="W4936" s="53">
        <f>IF(P4936="","",IF(P4936="Resultado trading",S4936,0))</f>
        <v/>
      </c>
      <c r="X4936" s="52">
        <f>IF(OR(P4936="Gasto",P4936="Reembolso"),IF(M4936&lt;&gt;"",M4936,IFERROR(INDEX(catClasif,MATCH(D4936&amp;"|"&amp;E4936,catClave,0))&amp;"","Variable")),"")</f>
        <v/>
      </c>
      <c r="Y4936" s="52">
        <f>IF(P4936="","",IFERROR(INDEX(catGrupo,MATCH(D4936&amp;"|"&amp;E4936,catClave,0))&amp;"",""))</f>
        <v/>
      </c>
      <c r="Z4936" s="52">
        <f>IF(P4936="","",WEEKDAY(B4936,2))</f>
        <v/>
      </c>
      <c r="AA4936" s="52">
        <f>IF(P4936="","",IF(AND(P4936="Gasto",X4936="Variable",D4936&lt;&gt;catTrading,S4936&gt;0,S4936&lt;=Umbral),1,0))</f>
        <v/>
      </c>
      <c r="AB4936" s="52">
        <f>IF(OR(P4936="",Q4936=""),"",IFERROR(IF(INDEX(ctaVinc,MATCH(Q4936,ctaNombre,0))&amp;""&lt;&gt;"",INDEX(ctaVinc,MATCH(Q4936,ctaNombre,0))&amp;"",Q4936),Q4936))</f>
        <v/>
      </c>
      <c r="AC4936" s="52">
        <f>IF(OR(K4936="",AND(P4936&lt;&gt;"Transferencia",P4936&lt;&gt;"Pago tarjeta")),"",IFERROR(IF(INDEX(ctaVinc,MATCH(K4936,ctaNombre,0))&amp;""&lt;&gt;"",INDEX(ctaVinc,MATCH(K4936,ctaNombre,0))&amp;"",K4936),K4936))</f>
        <v/>
      </c>
      <c r="AD4936" s="52">
        <f>IF(AB4936="","",IFERROR(INDEX(ctaTipo,MATCH(AB4936,ctaNombre,0))&amp;"",""))</f>
        <v/>
      </c>
      <c r="AE4936" s="52">
        <f>IF(AC4936="","",IFERROR(INDEX(ctaTipo,MATCH(AC4936,ctaNombre,0))&amp;"",""))</f>
        <v/>
      </c>
      <c r="AF4936" s="53">
        <f>IF(OR(P4936="",AB4936=""),"",IF(OR(P4936="Gasto",P4936="Transferencia",P4936="Pago tarjeta"),-1,1)*IF(IFERROR(INDEX(ctaMoneda,MATCH(AB4936,ctaNombre,0))&amp;"","DOP")="USD",T4936,S4936))</f>
        <v/>
      </c>
      <c r="AG4936" s="53">
        <f>IF(AC4936="","",IF(IFERROR(INDEX(ctaMoneda,MATCH(AC4936,ctaNombre,0))&amp;"","DOP")="USD",T4936,S4936))</f>
        <v/>
      </c>
      <c r="AH4936" s="53">
        <f>IF(P4936="","",IF(AND(AD4936&lt;&gt;"",COUNTIFS(tcTipo,AD4936,tcLiq,"Sí")&gt;0),IF(OR(P4936="Gasto",P4936="Transferencia",P4936="Pago tarjeta"),-1,1)*S4936,0)+IF(AND(AE4936&lt;&gt;"",COUNTIFS(tcTipo,AE4936,tcLiq,"Sí")&gt;0),S4936,0))</f>
        <v/>
      </c>
      <c r="AI4936" s="52">
        <f>IF(OR(L4936="",P4936=""),"",IF(COUNTIFS(L$6:L4936,L4936,P$6:P4936,"?*")=1,MAX(AI$5:AI4935)+1,""))</f>
        <v/>
      </c>
    </row>
    <row r="4937">
      <c r="B4937" s="47" t="n"/>
      <c r="C4937" s="48" t="n"/>
      <c r="D4937" s="48" t="n"/>
      <c r="E4937" s="48" t="n"/>
      <c r="F4937" s="48" t="n"/>
      <c r="G4937" s="49" t="n"/>
      <c r="H4937" s="48" t="n"/>
      <c r="I4937" s="50" t="n"/>
      <c r="J4937" s="48" t="n"/>
      <c r="K4937" s="48" t="n"/>
      <c r="L4937" s="48" t="n"/>
      <c r="M4937" s="48" t="n"/>
      <c r="N4937" s="48" t="n"/>
      <c r="O4937" s="51">
        <f>IF(AND(B4937="",G4937="",C4937="",D4937="",J4937=""),"",IF(B4937="","⚠ Falta fecha",IF(G4937="","⚠ Falta monto",IF(Q4937="","⚠ Falta cuenta",IF(ISNA(MATCH(Q4937,ctaNombre,0)),"⚠ Cuenta no registrada",IF(AND(OR(P4937="Gasto",P4937="Reembolso"),D4937=""),"⚠ Falta categoría",IF(AND(D4937&lt;&gt;"",E4937&lt;&gt;"",ISNA(MATCH(D4937&amp;"|"&amp;E4937,catClave,0))),"⚠ Subcategoría no corresponde",IF(AND(OR(P4937="Transferencia",P4937="Pago tarjeta"),K4937=""),"⚠ Falta cuenta destino",IF(AND(K4937&lt;&gt;"",P4937&lt;&gt;"Transferencia",P4937&lt;&gt;"Pago tarjeta"),"⚠ Destino solo aplica a transferencias",IF(AND(K4937&lt;&gt;"",K4937=Q4937),"⚠ Origen igual a destino",IF(AND(K4937&lt;&gt;"",ISNA(MATCH(K4937,ctaNombre,0))),"⚠ Destino no registrado",IF(AND(P4937="Pago tarjeta",AE4937&lt;&gt;"Tarjeta de crédito"),"⚠ El destino debe ser tarjeta de crédito",IF(AND(P4937="Gasto",E4937="Depósitos y retiros"),"⚠ Usa tipo Transferencia",IF(AND(P4937="Resultado trading",AD4937&lt;&gt;"Cuenta de trading"),"⚠ Usa una cuenta de trading",IF(AND(G4937&lt;=0,P4937&lt;&gt;"Ajuste",P4937&lt;&gt;"Resultado trading"),"⚠ El monto debe ser positivo","✓")))))))))))))))</f>
        <v/>
      </c>
      <c r="P4937" s="52">
        <f>IF(OR(B4937="",G4937=""),"",IF(C4937="","Gasto",C4937))</f>
        <v/>
      </c>
      <c r="Q4937" s="52">
        <f>IF(P4937="","",IF(J4937&lt;&gt;"",J4937,CuentaPred&amp;""))</f>
        <v/>
      </c>
      <c r="R4937" s="52">
        <f>IF(P4937="","",IF(ISNUMBER(I4937),I4937,TasaUSD))</f>
        <v/>
      </c>
      <c r="S4937" s="53">
        <f>IF(P4937="","",IF(H4937="USD",G4937*R4937,G4937))</f>
        <v/>
      </c>
      <c r="T4937" s="53">
        <f>IF(P4937="","",IF(H4937="USD",G4937,IF(R4937&gt;0,G4937/R4937,0)))</f>
        <v/>
      </c>
      <c r="U4937" s="53">
        <f>IF(P4937="","",IF(P4937="Gasto",S4937,IF(P4937="Reembolso",-S4937,0)))</f>
        <v/>
      </c>
      <c r="V4937" s="53">
        <f>IF(P4937="","",IF(P4937="Ingreso",S4937,0))</f>
        <v/>
      </c>
      <c r="W4937" s="53">
        <f>IF(P4937="","",IF(P4937="Resultado trading",S4937,0))</f>
        <v/>
      </c>
      <c r="X4937" s="52">
        <f>IF(OR(P4937="Gasto",P4937="Reembolso"),IF(M4937&lt;&gt;"",M4937,IFERROR(INDEX(catClasif,MATCH(D4937&amp;"|"&amp;E4937,catClave,0))&amp;"","Variable")),"")</f>
        <v/>
      </c>
      <c r="Y4937" s="52">
        <f>IF(P4937="","",IFERROR(INDEX(catGrupo,MATCH(D4937&amp;"|"&amp;E4937,catClave,0))&amp;"",""))</f>
        <v/>
      </c>
      <c r="Z4937" s="52">
        <f>IF(P4937="","",WEEKDAY(B4937,2))</f>
        <v/>
      </c>
      <c r="AA4937" s="52">
        <f>IF(P4937="","",IF(AND(P4937="Gasto",X4937="Variable",D4937&lt;&gt;catTrading,S4937&gt;0,S4937&lt;=Umbral),1,0))</f>
        <v/>
      </c>
      <c r="AB4937" s="52">
        <f>IF(OR(P4937="",Q4937=""),"",IFERROR(IF(INDEX(ctaVinc,MATCH(Q4937,ctaNombre,0))&amp;""&lt;&gt;"",INDEX(ctaVinc,MATCH(Q4937,ctaNombre,0))&amp;"",Q4937),Q4937))</f>
        <v/>
      </c>
      <c r="AC4937" s="52">
        <f>IF(OR(K4937="",AND(P4937&lt;&gt;"Transferencia",P4937&lt;&gt;"Pago tarjeta")),"",IFERROR(IF(INDEX(ctaVinc,MATCH(K4937,ctaNombre,0))&amp;""&lt;&gt;"",INDEX(ctaVinc,MATCH(K4937,ctaNombre,0))&amp;"",K4937),K4937))</f>
        <v/>
      </c>
      <c r="AD4937" s="52">
        <f>IF(AB4937="","",IFERROR(INDEX(ctaTipo,MATCH(AB4937,ctaNombre,0))&amp;"",""))</f>
        <v/>
      </c>
      <c r="AE4937" s="52">
        <f>IF(AC4937="","",IFERROR(INDEX(ctaTipo,MATCH(AC4937,ctaNombre,0))&amp;"",""))</f>
        <v/>
      </c>
      <c r="AF4937" s="53">
        <f>IF(OR(P4937="",AB4937=""),"",IF(OR(P4937="Gasto",P4937="Transferencia",P4937="Pago tarjeta"),-1,1)*IF(IFERROR(INDEX(ctaMoneda,MATCH(AB4937,ctaNombre,0))&amp;"","DOP")="USD",T4937,S4937))</f>
        <v/>
      </c>
      <c r="AG4937" s="53">
        <f>IF(AC4937="","",IF(IFERROR(INDEX(ctaMoneda,MATCH(AC4937,ctaNombre,0))&amp;"","DOP")="USD",T4937,S4937))</f>
        <v/>
      </c>
      <c r="AH4937" s="53">
        <f>IF(P4937="","",IF(AND(AD4937&lt;&gt;"",COUNTIFS(tcTipo,AD4937,tcLiq,"Sí")&gt;0),IF(OR(P4937="Gasto",P4937="Transferencia",P4937="Pago tarjeta"),-1,1)*S4937,0)+IF(AND(AE4937&lt;&gt;"",COUNTIFS(tcTipo,AE4937,tcLiq,"Sí")&gt;0),S4937,0))</f>
        <v/>
      </c>
      <c r="AI4937" s="52">
        <f>IF(OR(L4937="",P4937=""),"",IF(COUNTIFS(L$6:L4937,L4937,P$6:P4937,"?*")=1,MAX(AI$5:AI4936)+1,""))</f>
        <v/>
      </c>
    </row>
    <row r="4938">
      <c r="B4938" s="47" t="n"/>
      <c r="C4938" s="48" t="n"/>
      <c r="D4938" s="48" t="n"/>
      <c r="E4938" s="48" t="n"/>
      <c r="F4938" s="48" t="n"/>
      <c r="G4938" s="49" t="n"/>
      <c r="H4938" s="48" t="n"/>
      <c r="I4938" s="50" t="n"/>
      <c r="J4938" s="48" t="n"/>
      <c r="K4938" s="48" t="n"/>
      <c r="L4938" s="48" t="n"/>
      <c r="M4938" s="48" t="n"/>
      <c r="N4938" s="48" t="n"/>
      <c r="O4938" s="51">
        <f>IF(AND(B4938="",G4938="",C4938="",D4938="",J4938=""),"",IF(B4938="","⚠ Falta fecha",IF(G4938="","⚠ Falta monto",IF(Q4938="","⚠ Falta cuenta",IF(ISNA(MATCH(Q4938,ctaNombre,0)),"⚠ Cuenta no registrada",IF(AND(OR(P4938="Gasto",P4938="Reembolso"),D4938=""),"⚠ Falta categoría",IF(AND(D4938&lt;&gt;"",E4938&lt;&gt;"",ISNA(MATCH(D4938&amp;"|"&amp;E4938,catClave,0))),"⚠ Subcategoría no corresponde",IF(AND(OR(P4938="Transferencia",P4938="Pago tarjeta"),K4938=""),"⚠ Falta cuenta destino",IF(AND(K4938&lt;&gt;"",P4938&lt;&gt;"Transferencia",P4938&lt;&gt;"Pago tarjeta"),"⚠ Destino solo aplica a transferencias",IF(AND(K4938&lt;&gt;"",K4938=Q4938),"⚠ Origen igual a destino",IF(AND(K4938&lt;&gt;"",ISNA(MATCH(K4938,ctaNombre,0))),"⚠ Destino no registrado",IF(AND(P4938="Pago tarjeta",AE4938&lt;&gt;"Tarjeta de crédito"),"⚠ El destino debe ser tarjeta de crédito",IF(AND(P4938="Gasto",E4938="Depósitos y retiros"),"⚠ Usa tipo Transferencia",IF(AND(P4938="Resultado trading",AD4938&lt;&gt;"Cuenta de trading"),"⚠ Usa una cuenta de trading",IF(AND(G4938&lt;=0,P4938&lt;&gt;"Ajuste",P4938&lt;&gt;"Resultado trading"),"⚠ El monto debe ser positivo","✓")))))))))))))))</f>
        <v/>
      </c>
      <c r="P4938" s="52">
        <f>IF(OR(B4938="",G4938=""),"",IF(C4938="","Gasto",C4938))</f>
        <v/>
      </c>
      <c r="Q4938" s="52">
        <f>IF(P4938="","",IF(J4938&lt;&gt;"",J4938,CuentaPred&amp;""))</f>
        <v/>
      </c>
      <c r="R4938" s="52">
        <f>IF(P4938="","",IF(ISNUMBER(I4938),I4938,TasaUSD))</f>
        <v/>
      </c>
      <c r="S4938" s="53">
        <f>IF(P4938="","",IF(H4938="USD",G4938*R4938,G4938))</f>
        <v/>
      </c>
      <c r="T4938" s="53">
        <f>IF(P4938="","",IF(H4938="USD",G4938,IF(R4938&gt;0,G4938/R4938,0)))</f>
        <v/>
      </c>
      <c r="U4938" s="53">
        <f>IF(P4938="","",IF(P4938="Gasto",S4938,IF(P4938="Reembolso",-S4938,0)))</f>
        <v/>
      </c>
      <c r="V4938" s="53">
        <f>IF(P4938="","",IF(P4938="Ingreso",S4938,0))</f>
        <v/>
      </c>
      <c r="W4938" s="53">
        <f>IF(P4938="","",IF(P4938="Resultado trading",S4938,0))</f>
        <v/>
      </c>
      <c r="X4938" s="52">
        <f>IF(OR(P4938="Gasto",P4938="Reembolso"),IF(M4938&lt;&gt;"",M4938,IFERROR(INDEX(catClasif,MATCH(D4938&amp;"|"&amp;E4938,catClave,0))&amp;"","Variable")),"")</f>
        <v/>
      </c>
      <c r="Y4938" s="52">
        <f>IF(P4938="","",IFERROR(INDEX(catGrupo,MATCH(D4938&amp;"|"&amp;E4938,catClave,0))&amp;"",""))</f>
        <v/>
      </c>
      <c r="Z4938" s="52">
        <f>IF(P4938="","",WEEKDAY(B4938,2))</f>
        <v/>
      </c>
      <c r="AA4938" s="52">
        <f>IF(P4938="","",IF(AND(P4938="Gasto",X4938="Variable",D4938&lt;&gt;catTrading,S4938&gt;0,S4938&lt;=Umbral),1,0))</f>
        <v/>
      </c>
      <c r="AB4938" s="52">
        <f>IF(OR(P4938="",Q4938=""),"",IFERROR(IF(INDEX(ctaVinc,MATCH(Q4938,ctaNombre,0))&amp;""&lt;&gt;"",INDEX(ctaVinc,MATCH(Q4938,ctaNombre,0))&amp;"",Q4938),Q4938))</f>
        <v/>
      </c>
      <c r="AC4938" s="52">
        <f>IF(OR(K4938="",AND(P4938&lt;&gt;"Transferencia",P4938&lt;&gt;"Pago tarjeta")),"",IFERROR(IF(INDEX(ctaVinc,MATCH(K4938,ctaNombre,0))&amp;""&lt;&gt;"",INDEX(ctaVinc,MATCH(K4938,ctaNombre,0))&amp;"",K4938),K4938))</f>
        <v/>
      </c>
      <c r="AD4938" s="52">
        <f>IF(AB4938="","",IFERROR(INDEX(ctaTipo,MATCH(AB4938,ctaNombre,0))&amp;"",""))</f>
        <v/>
      </c>
      <c r="AE4938" s="52">
        <f>IF(AC4938="","",IFERROR(INDEX(ctaTipo,MATCH(AC4938,ctaNombre,0))&amp;"",""))</f>
        <v/>
      </c>
      <c r="AF4938" s="53">
        <f>IF(OR(P4938="",AB4938=""),"",IF(OR(P4938="Gasto",P4938="Transferencia",P4938="Pago tarjeta"),-1,1)*IF(IFERROR(INDEX(ctaMoneda,MATCH(AB4938,ctaNombre,0))&amp;"","DOP")="USD",T4938,S4938))</f>
        <v/>
      </c>
      <c r="AG4938" s="53">
        <f>IF(AC4938="","",IF(IFERROR(INDEX(ctaMoneda,MATCH(AC4938,ctaNombre,0))&amp;"","DOP")="USD",T4938,S4938))</f>
        <v/>
      </c>
      <c r="AH4938" s="53">
        <f>IF(P4938="","",IF(AND(AD4938&lt;&gt;"",COUNTIFS(tcTipo,AD4938,tcLiq,"Sí")&gt;0),IF(OR(P4938="Gasto",P4938="Transferencia",P4938="Pago tarjeta"),-1,1)*S4938,0)+IF(AND(AE4938&lt;&gt;"",COUNTIFS(tcTipo,AE4938,tcLiq,"Sí")&gt;0),S4938,0))</f>
        <v/>
      </c>
      <c r="AI4938" s="52">
        <f>IF(OR(L4938="",P4938=""),"",IF(COUNTIFS(L$6:L4938,L4938,P$6:P4938,"?*")=1,MAX(AI$5:AI4937)+1,""))</f>
        <v/>
      </c>
    </row>
    <row r="4939">
      <c r="B4939" s="47" t="n"/>
      <c r="C4939" s="48" t="n"/>
      <c r="D4939" s="48" t="n"/>
      <c r="E4939" s="48" t="n"/>
      <c r="F4939" s="48" t="n"/>
      <c r="G4939" s="49" t="n"/>
      <c r="H4939" s="48" t="n"/>
      <c r="I4939" s="50" t="n"/>
      <c r="J4939" s="48" t="n"/>
      <c r="K4939" s="48" t="n"/>
      <c r="L4939" s="48" t="n"/>
      <c r="M4939" s="48" t="n"/>
      <c r="N4939" s="48" t="n"/>
      <c r="O4939" s="51">
        <f>IF(AND(B4939="",G4939="",C4939="",D4939="",J4939=""),"",IF(B4939="","⚠ Falta fecha",IF(G4939="","⚠ Falta monto",IF(Q4939="","⚠ Falta cuenta",IF(ISNA(MATCH(Q4939,ctaNombre,0)),"⚠ Cuenta no registrada",IF(AND(OR(P4939="Gasto",P4939="Reembolso"),D4939=""),"⚠ Falta categoría",IF(AND(D4939&lt;&gt;"",E4939&lt;&gt;"",ISNA(MATCH(D4939&amp;"|"&amp;E4939,catClave,0))),"⚠ Subcategoría no corresponde",IF(AND(OR(P4939="Transferencia",P4939="Pago tarjeta"),K4939=""),"⚠ Falta cuenta destino",IF(AND(K4939&lt;&gt;"",P4939&lt;&gt;"Transferencia",P4939&lt;&gt;"Pago tarjeta"),"⚠ Destino solo aplica a transferencias",IF(AND(K4939&lt;&gt;"",K4939=Q4939),"⚠ Origen igual a destino",IF(AND(K4939&lt;&gt;"",ISNA(MATCH(K4939,ctaNombre,0))),"⚠ Destino no registrado",IF(AND(P4939="Pago tarjeta",AE4939&lt;&gt;"Tarjeta de crédito"),"⚠ El destino debe ser tarjeta de crédito",IF(AND(P4939="Gasto",E4939="Depósitos y retiros"),"⚠ Usa tipo Transferencia",IF(AND(P4939="Resultado trading",AD4939&lt;&gt;"Cuenta de trading"),"⚠ Usa una cuenta de trading",IF(AND(G4939&lt;=0,P4939&lt;&gt;"Ajuste",P4939&lt;&gt;"Resultado trading"),"⚠ El monto debe ser positivo","✓")))))))))))))))</f>
        <v/>
      </c>
      <c r="P4939" s="52">
        <f>IF(OR(B4939="",G4939=""),"",IF(C4939="","Gasto",C4939))</f>
        <v/>
      </c>
      <c r="Q4939" s="52">
        <f>IF(P4939="","",IF(J4939&lt;&gt;"",J4939,CuentaPred&amp;""))</f>
        <v/>
      </c>
      <c r="R4939" s="52">
        <f>IF(P4939="","",IF(ISNUMBER(I4939),I4939,TasaUSD))</f>
        <v/>
      </c>
      <c r="S4939" s="53">
        <f>IF(P4939="","",IF(H4939="USD",G4939*R4939,G4939))</f>
        <v/>
      </c>
      <c r="T4939" s="53">
        <f>IF(P4939="","",IF(H4939="USD",G4939,IF(R4939&gt;0,G4939/R4939,0)))</f>
        <v/>
      </c>
      <c r="U4939" s="53">
        <f>IF(P4939="","",IF(P4939="Gasto",S4939,IF(P4939="Reembolso",-S4939,0)))</f>
        <v/>
      </c>
      <c r="V4939" s="53">
        <f>IF(P4939="","",IF(P4939="Ingreso",S4939,0))</f>
        <v/>
      </c>
      <c r="W4939" s="53">
        <f>IF(P4939="","",IF(P4939="Resultado trading",S4939,0))</f>
        <v/>
      </c>
      <c r="X4939" s="52">
        <f>IF(OR(P4939="Gasto",P4939="Reembolso"),IF(M4939&lt;&gt;"",M4939,IFERROR(INDEX(catClasif,MATCH(D4939&amp;"|"&amp;E4939,catClave,0))&amp;"","Variable")),"")</f>
        <v/>
      </c>
      <c r="Y4939" s="52">
        <f>IF(P4939="","",IFERROR(INDEX(catGrupo,MATCH(D4939&amp;"|"&amp;E4939,catClave,0))&amp;"",""))</f>
        <v/>
      </c>
      <c r="Z4939" s="52">
        <f>IF(P4939="","",WEEKDAY(B4939,2))</f>
        <v/>
      </c>
      <c r="AA4939" s="52">
        <f>IF(P4939="","",IF(AND(P4939="Gasto",X4939="Variable",D4939&lt;&gt;catTrading,S4939&gt;0,S4939&lt;=Umbral),1,0))</f>
        <v/>
      </c>
      <c r="AB4939" s="52">
        <f>IF(OR(P4939="",Q4939=""),"",IFERROR(IF(INDEX(ctaVinc,MATCH(Q4939,ctaNombre,0))&amp;""&lt;&gt;"",INDEX(ctaVinc,MATCH(Q4939,ctaNombre,0))&amp;"",Q4939),Q4939))</f>
        <v/>
      </c>
      <c r="AC4939" s="52">
        <f>IF(OR(K4939="",AND(P4939&lt;&gt;"Transferencia",P4939&lt;&gt;"Pago tarjeta")),"",IFERROR(IF(INDEX(ctaVinc,MATCH(K4939,ctaNombre,0))&amp;""&lt;&gt;"",INDEX(ctaVinc,MATCH(K4939,ctaNombre,0))&amp;"",K4939),K4939))</f>
        <v/>
      </c>
      <c r="AD4939" s="52">
        <f>IF(AB4939="","",IFERROR(INDEX(ctaTipo,MATCH(AB4939,ctaNombre,0))&amp;"",""))</f>
        <v/>
      </c>
      <c r="AE4939" s="52">
        <f>IF(AC4939="","",IFERROR(INDEX(ctaTipo,MATCH(AC4939,ctaNombre,0))&amp;"",""))</f>
        <v/>
      </c>
      <c r="AF4939" s="53">
        <f>IF(OR(P4939="",AB4939=""),"",IF(OR(P4939="Gasto",P4939="Transferencia",P4939="Pago tarjeta"),-1,1)*IF(IFERROR(INDEX(ctaMoneda,MATCH(AB4939,ctaNombre,0))&amp;"","DOP")="USD",T4939,S4939))</f>
        <v/>
      </c>
      <c r="AG4939" s="53">
        <f>IF(AC4939="","",IF(IFERROR(INDEX(ctaMoneda,MATCH(AC4939,ctaNombre,0))&amp;"","DOP")="USD",T4939,S4939))</f>
        <v/>
      </c>
      <c r="AH4939" s="53">
        <f>IF(P4939="","",IF(AND(AD4939&lt;&gt;"",COUNTIFS(tcTipo,AD4939,tcLiq,"Sí")&gt;0),IF(OR(P4939="Gasto",P4939="Transferencia",P4939="Pago tarjeta"),-1,1)*S4939,0)+IF(AND(AE4939&lt;&gt;"",COUNTIFS(tcTipo,AE4939,tcLiq,"Sí")&gt;0),S4939,0))</f>
        <v/>
      </c>
      <c r="AI4939" s="52">
        <f>IF(OR(L4939="",P4939=""),"",IF(COUNTIFS(L$6:L4939,L4939,P$6:P4939,"?*")=1,MAX(AI$5:AI4938)+1,""))</f>
        <v/>
      </c>
    </row>
    <row r="4940">
      <c r="B4940" s="47" t="n"/>
      <c r="C4940" s="48" t="n"/>
      <c r="D4940" s="48" t="n"/>
      <c r="E4940" s="48" t="n"/>
      <c r="F4940" s="48" t="n"/>
      <c r="G4940" s="49" t="n"/>
      <c r="H4940" s="48" t="n"/>
      <c r="I4940" s="50" t="n"/>
      <c r="J4940" s="48" t="n"/>
      <c r="K4940" s="48" t="n"/>
      <c r="L4940" s="48" t="n"/>
      <c r="M4940" s="48" t="n"/>
      <c r="N4940" s="48" t="n"/>
      <c r="O4940" s="51">
        <f>IF(AND(B4940="",G4940="",C4940="",D4940="",J4940=""),"",IF(B4940="","⚠ Falta fecha",IF(G4940="","⚠ Falta monto",IF(Q4940="","⚠ Falta cuenta",IF(ISNA(MATCH(Q4940,ctaNombre,0)),"⚠ Cuenta no registrada",IF(AND(OR(P4940="Gasto",P4940="Reembolso"),D4940=""),"⚠ Falta categoría",IF(AND(D4940&lt;&gt;"",E4940&lt;&gt;"",ISNA(MATCH(D4940&amp;"|"&amp;E4940,catClave,0))),"⚠ Subcategoría no corresponde",IF(AND(OR(P4940="Transferencia",P4940="Pago tarjeta"),K4940=""),"⚠ Falta cuenta destino",IF(AND(K4940&lt;&gt;"",P4940&lt;&gt;"Transferencia",P4940&lt;&gt;"Pago tarjeta"),"⚠ Destino solo aplica a transferencias",IF(AND(K4940&lt;&gt;"",K4940=Q4940),"⚠ Origen igual a destino",IF(AND(K4940&lt;&gt;"",ISNA(MATCH(K4940,ctaNombre,0))),"⚠ Destino no registrado",IF(AND(P4940="Pago tarjeta",AE4940&lt;&gt;"Tarjeta de crédito"),"⚠ El destino debe ser tarjeta de crédito",IF(AND(P4940="Gasto",E4940="Depósitos y retiros"),"⚠ Usa tipo Transferencia",IF(AND(P4940="Resultado trading",AD4940&lt;&gt;"Cuenta de trading"),"⚠ Usa una cuenta de trading",IF(AND(G4940&lt;=0,P4940&lt;&gt;"Ajuste",P4940&lt;&gt;"Resultado trading"),"⚠ El monto debe ser positivo","✓")))))))))))))))</f>
        <v/>
      </c>
      <c r="P4940" s="52">
        <f>IF(OR(B4940="",G4940=""),"",IF(C4940="","Gasto",C4940))</f>
        <v/>
      </c>
      <c r="Q4940" s="52">
        <f>IF(P4940="","",IF(J4940&lt;&gt;"",J4940,CuentaPred&amp;""))</f>
        <v/>
      </c>
      <c r="R4940" s="52">
        <f>IF(P4940="","",IF(ISNUMBER(I4940),I4940,TasaUSD))</f>
        <v/>
      </c>
      <c r="S4940" s="53">
        <f>IF(P4940="","",IF(H4940="USD",G4940*R4940,G4940))</f>
        <v/>
      </c>
      <c r="T4940" s="53">
        <f>IF(P4940="","",IF(H4940="USD",G4940,IF(R4940&gt;0,G4940/R4940,0)))</f>
        <v/>
      </c>
      <c r="U4940" s="53">
        <f>IF(P4940="","",IF(P4940="Gasto",S4940,IF(P4940="Reembolso",-S4940,0)))</f>
        <v/>
      </c>
      <c r="V4940" s="53">
        <f>IF(P4940="","",IF(P4940="Ingreso",S4940,0))</f>
        <v/>
      </c>
      <c r="W4940" s="53">
        <f>IF(P4940="","",IF(P4940="Resultado trading",S4940,0))</f>
        <v/>
      </c>
      <c r="X4940" s="52">
        <f>IF(OR(P4940="Gasto",P4940="Reembolso"),IF(M4940&lt;&gt;"",M4940,IFERROR(INDEX(catClasif,MATCH(D4940&amp;"|"&amp;E4940,catClave,0))&amp;"","Variable")),"")</f>
        <v/>
      </c>
      <c r="Y4940" s="52">
        <f>IF(P4940="","",IFERROR(INDEX(catGrupo,MATCH(D4940&amp;"|"&amp;E4940,catClave,0))&amp;"",""))</f>
        <v/>
      </c>
      <c r="Z4940" s="52">
        <f>IF(P4940="","",WEEKDAY(B4940,2))</f>
        <v/>
      </c>
      <c r="AA4940" s="52">
        <f>IF(P4940="","",IF(AND(P4940="Gasto",X4940="Variable",D4940&lt;&gt;catTrading,S4940&gt;0,S4940&lt;=Umbral),1,0))</f>
        <v/>
      </c>
      <c r="AB4940" s="52">
        <f>IF(OR(P4940="",Q4940=""),"",IFERROR(IF(INDEX(ctaVinc,MATCH(Q4940,ctaNombre,0))&amp;""&lt;&gt;"",INDEX(ctaVinc,MATCH(Q4940,ctaNombre,0))&amp;"",Q4940),Q4940))</f>
        <v/>
      </c>
      <c r="AC4940" s="52">
        <f>IF(OR(K4940="",AND(P4940&lt;&gt;"Transferencia",P4940&lt;&gt;"Pago tarjeta")),"",IFERROR(IF(INDEX(ctaVinc,MATCH(K4940,ctaNombre,0))&amp;""&lt;&gt;"",INDEX(ctaVinc,MATCH(K4940,ctaNombre,0))&amp;"",K4940),K4940))</f>
        <v/>
      </c>
      <c r="AD4940" s="52">
        <f>IF(AB4940="","",IFERROR(INDEX(ctaTipo,MATCH(AB4940,ctaNombre,0))&amp;"",""))</f>
        <v/>
      </c>
      <c r="AE4940" s="52">
        <f>IF(AC4940="","",IFERROR(INDEX(ctaTipo,MATCH(AC4940,ctaNombre,0))&amp;"",""))</f>
        <v/>
      </c>
      <c r="AF4940" s="53">
        <f>IF(OR(P4940="",AB4940=""),"",IF(OR(P4940="Gasto",P4940="Transferencia",P4940="Pago tarjeta"),-1,1)*IF(IFERROR(INDEX(ctaMoneda,MATCH(AB4940,ctaNombre,0))&amp;"","DOP")="USD",T4940,S4940))</f>
        <v/>
      </c>
      <c r="AG4940" s="53">
        <f>IF(AC4940="","",IF(IFERROR(INDEX(ctaMoneda,MATCH(AC4940,ctaNombre,0))&amp;"","DOP")="USD",T4940,S4940))</f>
        <v/>
      </c>
      <c r="AH4940" s="53">
        <f>IF(P4940="","",IF(AND(AD4940&lt;&gt;"",COUNTIFS(tcTipo,AD4940,tcLiq,"Sí")&gt;0),IF(OR(P4940="Gasto",P4940="Transferencia",P4940="Pago tarjeta"),-1,1)*S4940,0)+IF(AND(AE4940&lt;&gt;"",COUNTIFS(tcTipo,AE4940,tcLiq,"Sí")&gt;0),S4940,0))</f>
        <v/>
      </c>
      <c r="AI4940" s="52">
        <f>IF(OR(L4940="",P4940=""),"",IF(COUNTIFS(L$6:L4940,L4940,P$6:P4940,"?*")=1,MAX(AI$5:AI4939)+1,""))</f>
        <v/>
      </c>
    </row>
    <row r="4941">
      <c r="B4941" s="47" t="n"/>
      <c r="C4941" s="48" t="n"/>
      <c r="D4941" s="48" t="n"/>
      <c r="E4941" s="48" t="n"/>
      <c r="F4941" s="48" t="n"/>
      <c r="G4941" s="49" t="n"/>
      <c r="H4941" s="48" t="n"/>
      <c r="I4941" s="50" t="n"/>
      <c r="J4941" s="48" t="n"/>
      <c r="K4941" s="48" t="n"/>
      <c r="L4941" s="48" t="n"/>
      <c r="M4941" s="48" t="n"/>
      <c r="N4941" s="48" t="n"/>
      <c r="O4941" s="51">
        <f>IF(AND(B4941="",G4941="",C4941="",D4941="",J4941=""),"",IF(B4941="","⚠ Falta fecha",IF(G4941="","⚠ Falta monto",IF(Q4941="","⚠ Falta cuenta",IF(ISNA(MATCH(Q4941,ctaNombre,0)),"⚠ Cuenta no registrada",IF(AND(OR(P4941="Gasto",P4941="Reembolso"),D4941=""),"⚠ Falta categoría",IF(AND(D4941&lt;&gt;"",E4941&lt;&gt;"",ISNA(MATCH(D4941&amp;"|"&amp;E4941,catClave,0))),"⚠ Subcategoría no corresponde",IF(AND(OR(P4941="Transferencia",P4941="Pago tarjeta"),K4941=""),"⚠ Falta cuenta destino",IF(AND(K4941&lt;&gt;"",P4941&lt;&gt;"Transferencia",P4941&lt;&gt;"Pago tarjeta"),"⚠ Destino solo aplica a transferencias",IF(AND(K4941&lt;&gt;"",K4941=Q4941),"⚠ Origen igual a destino",IF(AND(K4941&lt;&gt;"",ISNA(MATCH(K4941,ctaNombre,0))),"⚠ Destino no registrado",IF(AND(P4941="Pago tarjeta",AE4941&lt;&gt;"Tarjeta de crédito"),"⚠ El destino debe ser tarjeta de crédito",IF(AND(P4941="Gasto",E4941="Depósitos y retiros"),"⚠ Usa tipo Transferencia",IF(AND(P4941="Resultado trading",AD4941&lt;&gt;"Cuenta de trading"),"⚠ Usa una cuenta de trading",IF(AND(G4941&lt;=0,P4941&lt;&gt;"Ajuste",P4941&lt;&gt;"Resultado trading"),"⚠ El monto debe ser positivo","✓")))))))))))))))</f>
        <v/>
      </c>
      <c r="P4941" s="52">
        <f>IF(OR(B4941="",G4941=""),"",IF(C4941="","Gasto",C4941))</f>
        <v/>
      </c>
      <c r="Q4941" s="52">
        <f>IF(P4941="","",IF(J4941&lt;&gt;"",J4941,CuentaPred&amp;""))</f>
        <v/>
      </c>
      <c r="R4941" s="52">
        <f>IF(P4941="","",IF(ISNUMBER(I4941),I4941,TasaUSD))</f>
        <v/>
      </c>
      <c r="S4941" s="53">
        <f>IF(P4941="","",IF(H4941="USD",G4941*R4941,G4941))</f>
        <v/>
      </c>
      <c r="T4941" s="53">
        <f>IF(P4941="","",IF(H4941="USD",G4941,IF(R4941&gt;0,G4941/R4941,0)))</f>
        <v/>
      </c>
      <c r="U4941" s="53">
        <f>IF(P4941="","",IF(P4941="Gasto",S4941,IF(P4941="Reembolso",-S4941,0)))</f>
        <v/>
      </c>
      <c r="V4941" s="53">
        <f>IF(P4941="","",IF(P4941="Ingreso",S4941,0))</f>
        <v/>
      </c>
      <c r="W4941" s="53">
        <f>IF(P4941="","",IF(P4941="Resultado trading",S4941,0))</f>
        <v/>
      </c>
      <c r="X4941" s="52">
        <f>IF(OR(P4941="Gasto",P4941="Reembolso"),IF(M4941&lt;&gt;"",M4941,IFERROR(INDEX(catClasif,MATCH(D4941&amp;"|"&amp;E4941,catClave,0))&amp;"","Variable")),"")</f>
        <v/>
      </c>
      <c r="Y4941" s="52">
        <f>IF(P4941="","",IFERROR(INDEX(catGrupo,MATCH(D4941&amp;"|"&amp;E4941,catClave,0))&amp;"",""))</f>
        <v/>
      </c>
      <c r="Z4941" s="52">
        <f>IF(P4941="","",WEEKDAY(B4941,2))</f>
        <v/>
      </c>
      <c r="AA4941" s="52">
        <f>IF(P4941="","",IF(AND(P4941="Gasto",X4941="Variable",D4941&lt;&gt;catTrading,S4941&gt;0,S4941&lt;=Umbral),1,0))</f>
        <v/>
      </c>
      <c r="AB4941" s="52">
        <f>IF(OR(P4941="",Q4941=""),"",IFERROR(IF(INDEX(ctaVinc,MATCH(Q4941,ctaNombre,0))&amp;""&lt;&gt;"",INDEX(ctaVinc,MATCH(Q4941,ctaNombre,0))&amp;"",Q4941),Q4941))</f>
        <v/>
      </c>
      <c r="AC4941" s="52">
        <f>IF(OR(K4941="",AND(P4941&lt;&gt;"Transferencia",P4941&lt;&gt;"Pago tarjeta")),"",IFERROR(IF(INDEX(ctaVinc,MATCH(K4941,ctaNombre,0))&amp;""&lt;&gt;"",INDEX(ctaVinc,MATCH(K4941,ctaNombre,0))&amp;"",K4941),K4941))</f>
        <v/>
      </c>
      <c r="AD4941" s="52">
        <f>IF(AB4941="","",IFERROR(INDEX(ctaTipo,MATCH(AB4941,ctaNombre,0))&amp;"",""))</f>
        <v/>
      </c>
      <c r="AE4941" s="52">
        <f>IF(AC4941="","",IFERROR(INDEX(ctaTipo,MATCH(AC4941,ctaNombre,0))&amp;"",""))</f>
        <v/>
      </c>
      <c r="AF4941" s="53">
        <f>IF(OR(P4941="",AB4941=""),"",IF(OR(P4941="Gasto",P4941="Transferencia",P4941="Pago tarjeta"),-1,1)*IF(IFERROR(INDEX(ctaMoneda,MATCH(AB4941,ctaNombre,0))&amp;"","DOP")="USD",T4941,S4941))</f>
        <v/>
      </c>
      <c r="AG4941" s="53">
        <f>IF(AC4941="","",IF(IFERROR(INDEX(ctaMoneda,MATCH(AC4941,ctaNombre,0))&amp;"","DOP")="USD",T4941,S4941))</f>
        <v/>
      </c>
      <c r="AH4941" s="53">
        <f>IF(P4941="","",IF(AND(AD4941&lt;&gt;"",COUNTIFS(tcTipo,AD4941,tcLiq,"Sí")&gt;0),IF(OR(P4941="Gasto",P4941="Transferencia",P4941="Pago tarjeta"),-1,1)*S4941,0)+IF(AND(AE4941&lt;&gt;"",COUNTIFS(tcTipo,AE4941,tcLiq,"Sí")&gt;0),S4941,0))</f>
        <v/>
      </c>
      <c r="AI4941" s="52">
        <f>IF(OR(L4941="",P4941=""),"",IF(COUNTIFS(L$6:L4941,L4941,P$6:P4941,"?*")=1,MAX(AI$5:AI4940)+1,""))</f>
        <v/>
      </c>
    </row>
    <row r="4942">
      <c r="B4942" s="47" t="n"/>
      <c r="C4942" s="48" t="n"/>
      <c r="D4942" s="48" t="n"/>
      <c r="E4942" s="48" t="n"/>
      <c r="F4942" s="48" t="n"/>
      <c r="G4942" s="49" t="n"/>
      <c r="H4942" s="48" t="n"/>
      <c r="I4942" s="50" t="n"/>
      <c r="J4942" s="48" t="n"/>
      <c r="K4942" s="48" t="n"/>
      <c r="L4942" s="48" t="n"/>
      <c r="M4942" s="48" t="n"/>
      <c r="N4942" s="48" t="n"/>
      <c r="O4942" s="51">
        <f>IF(AND(B4942="",G4942="",C4942="",D4942="",J4942=""),"",IF(B4942="","⚠ Falta fecha",IF(G4942="","⚠ Falta monto",IF(Q4942="","⚠ Falta cuenta",IF(ISNA(MATCH(Q4942,ctaNombre,0)),"⚠ Cuenta no registrada",IF(AND(OR(P4942="Gasto",P4942="Reembolso"),D4942=""),"⚠ Falta categoría",IF(AND(D4942&lt;&gt;"",E4942&lt;&gt;"",ISNA(MATCH(D4942&amp;"|"&amp;E4942,catClave,0))),"⚠ Subcategoría no corresponde",IF(AND(OR(P4942="Transferencia",P4942="Pago tarjeta"),K4942=""),"⚠ Falta cuenta destino",IF(AND(K4942&lt;&gt;"",P4942&lt;&gt;"Transferencia",P4942&lt;&gt;"Pago tarjeta"),"⚠ Destino solo aplica a transferencias",IF(AND(K4942&lt;&gt;"",K4942=Q4942),"⚠ Origen igual a destino",IF(AND(K4942&lt;&gt;"",ISNA(MATCH(K4942,ctaNombre,0))),"⚠ Destino no registrado",IF(AND(P4942="Pago tarjeta",AE4942&lt;&gt;"Tarjeta de crédito"),"⚠ El destino debe ser tarjeta de crédito",IF(AND(P4942="Gasto",E4942="Depósitos y retiros"),"⚠ Usa tipo Transferencia",IF(AND(P4942="Resultado trading",AD4942&lt;&gt;"Cuenta de trading"),"⚠ Usa una cuenta de trading",IF(AND(G4942&lt;=0,P4942&lt;&gt;"Ajuste",P4942&lt;&gt;"Resultado trading"),"⚠ El monto debe ser positivo","✓")))))))))))))))</f>
        <v/>
      </c>
      <c r="P4942" s="52">
        <f>IF(OR(B4942="",G4942=""),"",IF(C4942="","Gasto",C4942))</f>
        <v/>
      </c>
      <c r="Q4942" s="52">
        <f>IF(P4942="","",IF(J4942&lt;&gt;"",J4942,CuentaPred&amp;""))</f>
        <v/>
      </c>
      <c r="R4942" s="52">
        <f>IF(P4942="","",IF(ISNUMBER(I4942),I4942,TasaUSD))</f>
        <v/>
      </c>
      <c r="S4942" s="53">
        <f>IF(P4942="","",IF(H4942="USD",G4942*R4942,G4942))</f>
        <v/>
      </c>
      <c r="T4942" s="53">
        <f>IF(P4942="","",IF(H4942="USD",G4942,IF(R4942&gt;0,G4942/R4942,0)))</f>
        <v/>
      </c>
      <c r="U4942" s="53">
        <f>IF(P4942="","",IF(P4942="Gasto",S4942,IF(P4942="Reembolso",-S4942,0)))</f>
        <v/>
      </c>
      <c r="V4942" s="53">
        <f>IF(P4942="","",IF(P4942="Ingreso",S4942,0))</f>
        <v/>
      </c>
      <c r="W4942" s="53">
        <f>IF(P4942="","",IF(P4942="Resultado trading",S4942,0))</f>
        <v/>
      </c>
      <c r="X4942" s="52">
        <f>IF(OR(P4942="Gasto",P4942="Reembolso"),IF(M4942&lt;&gt;"",M4942,IFERROR(INDEX(catClasif,MATCH(D4942&amp;"|"&amp;E4942,catClave,0))&amp;"","Variable")),"")</f>
        <v/>
      </c>
      <c r="Y4942" s="52">
        <f>IF(P4942="","",IFERROR(INDEX(catGrupo,MATCH(D4942&amp;"|"&amp;E4942,catClave,0))&amp;"",""))</f>
        <v/>
      </c>
      <c r="Z4942" s="52">
        <f>IF(P4942="","",WEEKDAY(B4942,2))</f>
        <v/>
      </c>
      <c r="AA4942" s="52">
        <f>IF(P4942="","",IF(AND(P4942="Gasto",X4942="Variable",D4942&lt;&gt;catTrading,S4942&gt;0,S4942&lt;=Umbral),1,0))</f>
        <v/>
      </c>
      <c r="AB4942" s="52">
        <f>IF(OR(P4942="",Q4942=""),"",IFERROR(IF(INDEX(ctaVinc,MATCH(Q4942,ctaNombre,0))&amp;""&lt;&gt;"",INDEX(ctaVinc,MATCH(Q4942,ctaNombre,0))&amp;"",Q4942),Q4942))</f>
        <v/>
      </c>
      <c r="AC4942" s="52">
        <f>IF(OR(K4942="",AND(P4942&lt;&gt;"Transferencia",P4942&lt;&gt;"Pago tarjeta")),"",IFERROR(IF(INDEX(ctaVinc,MATCH(K4942,ctaNombre,0))&amp;""&lt;&gt;"",INDEX(ctaVinc,MATCH(K4942,ctaNombre,0))&amp;"",K4942),K4942))</f>
        <v/>
      </c>
      <c r="AD4942" s="52">
        <f>IF(AB4942="","",IFERROR(INDEX(ctaTipo,MATCH(AB4942,ctaNombre,0))&amp;"",""))</f>
        <v/>
      </c>
      <c r="AE4942" s="52">
        <f>IF(AC4942="","",IFERROR(INDEX(ctaTipo,MATCH(AC4942,ctaNombre,0))&amp;"",""))</f>
        <v/>
      </c>
      <c r="AF4942" s="53">
        <f>IF(OR(P4942="",AB4942=""),"",IF(OR(P4942="Gasto",P4942="Transferencia",P4942="Pago tarjeta"),-1,1)*IF(IFERROR(INDEX(ctaMoneda,MATCH(AB4942,ctaNombre,0))&amp;"","DOP")="USD",T4942,S4942))</f>
        <v/>
      </c>
      <c r="AG4942" s="53">
        <f>IF(AC4942="","",IF(IFERROR(INDEX(ctaMoneda,MATCH(AC4942,ctaNombre,0))&amp;"","DOP")="USD",T4942,S4942))</f>
        <v/>
      </c>
      <c r="AH4942" s="53">
        <f>IF(P4942="","",IF(AND(AD4942&lt;&gt;"",COUNTIFS(tcTipo,AD4942,tcLiq,"Sí")&gt;0),IF(OR(P4942="Gasto",P4942="Transferencia",P4942="Pago tarjeta"),-1,1)*S4942,0)+IF(AND(AE4942&lt;&gt;"",COUNTIFS(tcTipo,AE4942,tcLiq,"Sí")&gt;0),S4942,0))</f>
        <v/>
      </c>
      <c r="AI4942" s="52">
        <f>IF(OR(L4942="",P4942=""),"",IF(COUNTIFS(L$6:L4942,L4942,P$6:P4942,"?*")=1,MAX(AI$5:AI4941)+1,""))</f>
        <v/>
      </c>
    </row>
    <row r="4943">
      <c r="B4943" s="47" t="n"/>
      <c r="C4943" s="48" t="n"/>
      <c r="D4943" s="48" t="n"/>
      <c r="E4943" s="48" t="n"/>
      <c r="F4943" s="48" t="n"/>
      <c r="G4943" s="49" t="n"/>
      <c r="H4943" s="48" t="n"/>
      <c r="I4943" s="50" t="n"/>
      <c r="J4943" s="48" t="n"/>
      <c r="K4943" s="48" t="n"/>
      <c r="L4943" s="48" t="n"/>
      <c r="M4943" s="48" t="n"/>
      <c r="N4943" s="48" t="n"/>
      <c r="O4943" s="51">
        <f>IF(AND(B4943="",G4943="",C4943="",D4943="",J4943=""),"",IF(B4943="","⚠ Falta fecha",IF(G4943="","⚠ Falta monto",IF(Q4943="","⚠ Falta cuenta",IF(ISNA(MATCH(Q4943,ctaNombre,0)),"⚠ Cuenta no registrada",IF(AND(OR(P4943="Gasto",P4943="Reembolso"),D4943=""),"⚠ Falta categoría",IF(AND(D4943&lt;&gt;"",E4943&lt;&gt;"",ISNA(MATCH(D4943&amp;"|"&amp;E4943,catClave,0))),"⚠ Subcategoría no corresponde",IF(AND(OR(P4943="Transferencia",P4943="Pago tarjeta"),K4943=""),"⚠ Falta cuenta destino",IF(AND(K4943&lt;&gt;"",P4943&lt;&gt;"Transferencia",P4943&lt;&gt;"Pago tarjeta"),"⚠ Destino solo aplica a transferencias",IF(AND(K4943&lt;&gt;"",K4943=Q4943),"⚠ Origen igual a destino",IF(AND(K4943&lt;&gt;"",ISNA(MATCH(K4943,ctaNombre,0))),"⚠ Destino no registrado",IF(AND(P4943="Pago tarjeta",AE4943&lt;&gt;"Tarjeta de crédito"),"⚠ El destino debe ser tarjeta de crédito",IF(AND(P4943="Gasto",E4943="Depósitos y retiros"),"⚠ Usa tipo Transferencia",IF(AND(P4943="Resultado trading",AD4943&lt;&gt;"Cuenta de trading"),"⚠ Usa una cuenta de trading",IF(AND(G4943&lt;=0,P4943&lt;&gt;"Ajuste",P4943&lt;&gt;"Resultado trading"),"⚠ El monto debe ser positivo","✓")))))))))))))))</f>
        <v/>
      </c>
      <c r="P4943" s="52">
        <f>IF(OR(B4943="",G4943=""),"",IF(C4943="","Gasto",C4943))</f>
        <v/>
      </c>
      <c r="Q4943" s="52">
        <f>IF(P4943="","",IF(J4943&lt;&gt;"",J4943,CuentaPred&amp;""))</f>
        <v/>
      </c>
      <c r="R4943" s="52">
        <f>IF(P4943="","",IF(ISNUMBER(I4943),I4943,TasaUSD))</f>
        <v/>
      </c>
      <c r="S4943" s="53">
        <f>IF(P4943="","",IF(H4943="USD",G4943*R4943,G4943))</f>
        <v/>
      </c>
      <c r="T4943" s="53">
        <f>IF(P4943="","",IF(H4943="USD",G4943,IF(R4943&gt;0,G4943/R4943,0)))</f>
        <v/>
      </c>
      <c r="U4943" s="53">
        <f>IF(P4943="","",IF(P4943="Gasto",S4943,IF(P4943="Reembolso",-S4943,0)))</f>
        <v/>
      </c>
      <c r="V4943" s="53">
        <f>IF(P4943="","",IF(P4943="Ingreso",S4943,0))</f>
        <v/>
      </c>
      <c r="W4943" s="53">
        <f>IF(P4943="","",IF(P4943="Resultado trading",S4943,0))</f>
        <v/>
      </c>
      <c r="X4943" s="52">
        <f>IF(OR(P4943="Gasto",P4943="Reembolso"),IF(M4943&lt;&gt;"",M4943,IFERROR(INDEX(catClasif,MATCH(D4943&amp;"|"&amp;E4943,catClave,0))&amp;"","Variable")),"")</f>
        <v/>
      </c>
      <c r="Y4943" s="52">
        <f>IF(P4943="","",IFERROR(INDEX(catGrupo,MATCH(D4943&amp;"|"&amp;E4943,catClave,0))&amp;"",""))</f>
        <v/>
      </c>
      <c r="Z4943" s="52">
        <f>IF(P4943="","",WEEKDAY(B4943,2))</f>
        <v/>
      </c>
      <c r="AA4943" s="52">
        <f>IF(P4943="","",IF(AND(P4943="Gasto",X4943="Variable",D4943&lt;&gt;catTrading,S4943&gt;0,S4943&lt;=Umbral),1,0))</f>
        <v/>
      </c>
      <c r="AB4943" s="52">
        <f>IF(OR(P4943="",Q4943=""),"",IFERROR(IF(INDEX(ctaVinc,MATCH(Q4943,ctaNombre,0))&amp;""&lt;&gt;"",INDEX(ctaVinc,MATCH(Q4943,ctaNombre,0))&amp;"",Q4943),Q4943))</f>
        <v/>
      </c>
      <c r="AC4943" s="52">
        <f>IF(OR(K4943="",AND(P4943&lt;&gt;"Transferencia",P4943&lt;&gt;"Pago tarjeta")),"",IFERROR(IF(INDEX(ctaVinc,MATCH(K4943,ctaNombre,0))&amp;""&lt;&gt;"",INDEX(ctaVinc,MATCH(K4943,ctaNombre,0))&amp;"",K4943),K4943))</f>
        <v/>
      </c>
      <c r="AD4943" s="52">
        <f>IF(AB4943="","",IFERROR(INDEX(ctaTipo,MATCH(AB4943,ctaNombre,0))&amp;"",""))</f>
        <v/>
      </c>
      <c r="AE4943" s="52">
        <f>IF(AC4943="","",IFERROR(INDEX(ctaTipo,MATCH(AC4943,ctaNombre,0))&amp;"",""))</f>
        <v/>
      </c>
      <c r="AF4943" s="53">
        <f>IF(OR(P4943="",AB4943=""),"",IF(OR(P4943="Gasto",P4943="Transferencia",P4943="Pago tarjeta"),-1,1)*IF(IFERROR(INDEX(ctaMoneda,MATCH(AB4943,ctaNombre,0))&amp;"","DOP")="USD",T4943,S4943))</f>
        <v/>
      </c>
      <c r="AG4943" s="53">
        <f>IF(AC4943="","",IF(IFERROR(INDEX(ctaMoneda,MATCH(AC4943,ctaNombre,0))&amp;"","DOP")="USD",T4943,S4943))</f>
        <v/>
      </c>
      <c r="AH4943" s="53">
        <f>IF(P4943="","",IF(AND(AD4943&lt;&gt;"",COUNTIFS(tcTipo,AD4943,tcLiq,"Sí")&gt;0),IF(OR(P4943="Gasto",P4943="Transferencia",P4943="Pago tarjeta"),-1,1)*S4943,0)+IF(AND(AE4943&lt;&gt;"",COUNTIFS(tcTipo,AE4943,tcLiq,"Sí")&gt;0),S4943,0))</f>
        <v/>
      </c>
      <c r="AI4943" s="52">
        <f>IF(OR(L4943="",P4943=""),"",IF(COUNTIFS(L$6:L4943,L4943,P$6:P4943,"?*")=1,MAX(AI$5:AI4942)+1,""))</f>
        <v/>
      </c>
    </row>
    <row r="4944">
      <c r="B4944" s="47" t="n"/>
      <c r="C4944" s="48" t="n"/>
      <c r="D4944" s="48" t="n"/>
      <c r="E4944" s="48" t="n"/>
      <c r="F4944" s="48" t="n"/>
      <c r="G4944" s="49" t="n"/>
      <c r="H4944" s="48" t="n"/>
      <c r="I4944" s="50" t="n"/>
      <c r="J4944" s="48" t="n"/>
      <c r="K4944" s="48" t="n"/>
      <c r="L4944" s="48" t="n"/>
      <c r="M4944" s="48" t="n"/>
      <c r="N4944" s="48" t="n"/>
      <c r="O4944" s="51">
        <f>IF(AND(B4944="",G4944="",C4944="",D4944="",J4944=""),"",IF(B4944="","⚠ Falta fecha",IF(G4944="","⚠ Falta monto",IF(Q4944="","⚠ Falta cuenta",IF(ISNA(MATCH(Q4944,ctaNombre,0)),"⚠ Cuenta no registrada",IF(AND(OR(P4944="Gasto",P4944="Reembolso"),D4944=""),"⚠ Falta categoría",IF(AND(D4944&lt;&gt;"",E4944&lt;&gt;"",ISNA(MATCH(D4944&amp;"|"&amp;E4944,catClave,0))),"⚠ Subcategoría no corresponde",IF(AND(OR(P4944="Transferencia",P4944="Pago tarjeta"),K4944=""),"⚠ Falta cuenta destino",IF(AND(K4944&lt;&gt;"",P4944&lt;&gt;"Transferencia",P4944&lt;&gt;"Pago tarjeta"),"⚠ Destino solo aplica a transferencias",IF(AND(K4944&lt;&gt;"",K4944=Q4944),"⚠ Origen igual a destino",IF(AND(K4944&lt;&gt;"",ISNA(MATCH(K4944,ctaNombre,0))),"⚠ Destino no registrado",IF(AND(P4944="Pago tarjeta",AE4944&lt;&gt;"Tarjeta de crédito"),"⚠ El destino debe ser tarjeta de crédito",IF(AND(P4944="Gasto",E4944="Depósitos y retiros"),"⚠ Usa tipo Transferencia",IF(AND(P4944="Resultado trading",AD4944&lt;&gt;"Cuenta de trading"),"⚠ Usa una cuenta de trading",IF(AND(G4944&lt;=0,P4944&lt;&gt;"Ajuste",P4944&lt;&gt;"Resultado trading"),"⚠ El monto debe ser positivo","✓")))))))))))))))</f>
        <v/>
      </c>
      <c r="P4944" s="52">
        <f>IF(OR(B4944="",G4944=""),"",IF(C4944="","Gasto",C4944))</f>
        <v/>
      </c>
      <c r="Q4944" s="52">
        <f>IF(P4944="","",IF(J4944&lt;&gt;"",J4944,CuentaPred&amp;""))</f>
        <v/>
      </c>
      <c r="R4944" s="52">
        <f>IF(P4944="","",IF(ISNUMBER(I4944),I4944,TasaUSD))</f>
        <v/>
      </c>
      <c r="S4944" s="53">
        <f>IF(P4944="","",IF(H4944="USD",G4944*R4944,G4944))</f>
        <v/>
      </c>
      <c r="T4944" s="53">
        <f>IF(P4944="","",IF(H4944="USD",G4944,IF(R4944&gt;0,G4944/R4944,0)))</f>
        <v/>
      </c>
      <c r="U4944" s="53">
        <f>IF(P4944="","",IF(P4944="Gasto",S4944,IF(P4944="Reembolso",-S4944,0)))</f>
        <v/>
      </c>
      <c r="V4944" s="53">
        <f>IF(P4944="","",IF(P4944="Ingreso",S4944,0))</f>
        <v/>
      </c>
      <c r="W4944" s="53">
        <f>IF(P4944="","",IF(P4944="Resultado trading",S4944,0))</f>
        <v/>
      </c>
      <c r="X4944" s="52">
        <f>IF(OR(P4944="Gasto",P4944="Reembolso"),IF(M4944&lt;&gt;"",M4944,IFERROR(INDEX(catClasif,MATCH(D4944&amp;"|"&amp;E4944,catClave,0))&amp;"","Variable")),"")</f>
        <v/>
      </c>
      <c r="Y4944" s="52">
        <f>IF(P4944="","",IFERROR(INDEX(catGrupo,MATCH(D4944&amp;"|"&amp;E4944,catClave,0))&amp;"",""))</f>
        <v/>
      </c>
      <c r="Z4944" s="52">
        <f>IF(P4944="","",WEEKDAY(B4944,2))</f>
        <v/>
      </c>
      <c r="AA4944" s="52">
        <f>IF(P4944="","",IF(AND(P4944="Gasto",X4944="Variable",D4944&lt;&gt;catTrading,S4944&gt;0,S4944&lt;=Umbral),1,0))</f>
        <v/>
      </c>
      <c r="AB4944" s="52">
        <f>IF(OR(P4944="",Q4944=""),"",IFERROR(IF(INDEX(ctaVinc,MATCH(Q4944,ctaNombre,0))&amp;""&lt;&gt;"",INDEX(ctaVinc,MATCH(Q4944,ctaNombre,0))&amp;"",Q4944),Q4944))</f>
        <v/>
      </c>
      <c r="AC4944" s="52">
        <f>IF(OR(K4944="",AND(P4944&lt;&gt;"Transferencia",P4944&lt;&gt;"Pago tarjeta")),"",IFERROR(IF(INDEX(ctaVinc,MATCH(K4944,ctaNombre,0))&amp;""&lt;&gt;"",INDEX(ctaVinc,MATCH(K4944,ctaNombre,0))&amp;"",K4944),K4944))</f>
        <v/>
      </c>
      <c r="AD4944" s="52">
        <f>IF(AB4944="","",IFERROR(INDEX(ctaTipo,MATCH(AB4944,ctaNombre,0))&amp;"",""))</f>
        <v/>
      </c>
      <c r="AE4944" s="52">
        <f>IF(AC4944="","",IFERROR(INDEX(ctaTipo,MATCH(AC4944,ctaNombre,0))&amp;"",""))</f>
        <v/>
      </c>
      <c r="AF4944" s="53">
        <f>IF(OR(P4944="",AB4944=""),"",IF(OR(P4944="Gasto",P4944="Transferencia",P4944="Pago tarjeta"),-1,1)*IF(IFERROR(INDEX(ctaMoneda,MATCH(AB4944,ctaNombre,0))&amp;"","DOP")="USD",T4944,S4944))</f>
        <v/>
      </c>
      <c r="AG4944" s="53">
        <f>IF(AC4944="","",IF(IFERROR(INDEX(ctaMoneda,MATCH(AC4944,ctaNombre,0))&amp;"","DOP")="USD",T4944,S4944))</f>
        <v/>
      </c>
      <c r="AH4944" s="53">
        <f>IF(P4944="","",IF(AND(AD4944&lt;&gt;"",COUNTIFS(tcTipo,AD4944,tcLiq,"Sí")&gt;0),IF(OR(P4944="Gasto",P4944="Transferencia",P4944="Pago tarjeta"),-1,1)*S4944,0)+IF(AND(AE4944&lt;&gt;"",COUNTIFS(tcTipo,AE4944,tcLiq,"Sí")&gt;0),S4944,0))</f>
        <v/>
      </c>
      <c r="AI4944" s="52">
        <f>IF(OR(L4944="",P4944=""),"",IF(COUNTIFS(L$6:L4944,L4944,P$6:P4944,"?*")=1,MAX(AI$5:AI4943)+1,""))</f>
        <v/>
      </c>
    </row>
    <row r="4945">
      <c r="B4945" s="47" t="n"/>
      <c r="C4945" s="48" t="n"/>
      <c r="D4945" s="48" t="n"/>
      <c r="E4945" s="48" t="n"/>
      <c r="F4945" s="48" t="n"/>
      <c r="G4945" s="49" t="n"/>
      <c r="H4945" s="48" t="n"/>
      <c r="I4945" s="50" t="n"/>
      <c r="J4945" s="48" t="n"/>
      <c r="K4945" s="48" t="n"/>
      <c r="L4945" s="48" t="n"/>
      <c r="M4945" s="48" t="n"/>
      <c r="N4945" s="48" t="n"/>
      <c r="O4945" s="51">
        <f>IF(AND(B4945="",G4945="",C4945="",D4945="",J4945=""),"",IF(B4945="","⚠ Falta fecha",IF(G4945="","⚠ Falta monto",IF(Q4945="","⚠ Falta cuenta",IF(ISNA(MATCH(Q4945,ctaNombre,0)),"⚠ Cuenta no registrada",IF(AND(OR(P4945="Gasto",P4945="Reembolso"),D4945=""),"⚠ Falta categoría",IF(AND(D4945&lt;&gt;"",E4945&lt;&gt;"",ISNA(MATCH(D4945&amp;"|"&amp;E4945,catClave,0))),"⚠ Subcategoría no corresponde",IF(AND(OR(P4945="Transferencia",P4945="Pago tarjeta"),K4945=""),"⚠ Falta cuenta destino",IF(AND(K4945&lt;&gt;"",P4945&lt;&gt;"Transferencia",P4945&lt;&gt;"Pago tarjeta"),"⚠ Destino solo aplica a transferencias",IF(AND(K4945&lt;&gt;"",K4945=Q4945),"⚠ Origen igual a destino",IF(AND(K4945&lt;&gt;"",ISNA(MATCH(K4945,ctaNombre,0))),"⚠ Destino no registrado",IF(AND(P4945="Pago tarjeta",AE4945&lt;&gt;"Tarjeta de crédito"),"⚠ El destino debe ser tarjeta de crédito",IF(AND(P4945="Gasto",E4945="Depósitos y retiros"),"⚠ Usa tipo Transferencia",IF(AND(P4945="Resultado trading",AD4945&lt;&gt;"Cuenta de trading"),"⚠ Usa una cuenta de trading",IF(AND(G4945&lt;=0,P4945&lt;&gt;"Ajuste",P4945&lt;&gt;"Resultado trading"),"⚠ El monto debe ser positivo","✓")))))))))))))))</f>
        <v/>
      </c>
      <c r="P4945" s="52">
        <f>IF(OR(B4945="",G4945=""),"",IF(C4945="","Gasto",C4945))</f>
        <v/>
      </c>
      <c r="Q4945" s="52">
        <f>IF(P4945="","",IF(J4945&lt;&gt;"",J4945,CuentaPred&amp;""))</f>
        <v/>
      </c>
      <c r="R4945" s="52">
        <f>IF(P4945="","",IF(ISNUMBER(I4945),I4945,TasaUSD))</f>
        <v/>
      </c>
      <c r="S4945" s="53">
        <f>IF(P4945="","",IF(H4945="USD",G4945*R4945,G4945))</f>
        <v/>
      </c>
      <c r="T4945" s="53">
        <f>IF(P4945="","",IF(H4945="USD",G4945,IF(R4945&gt;0,G4945/R4945,0)))</f>
        <v/>
      </c>
      <c r="U4945" s="53">
        <f>IF(P4945="","",IF(P4945="Gasto",S4945,IF(P4945="Reembolso",-S4945,0)))</f>
        <v/>
      </c>
      <c r="V4945" s="53">
        <f>IF(P4945="","",IF(P4945="Ingreso",S4945,0))</f>
        <v/>
      </c>
      <c r="W4945" s="53">
        <f>IF(P4945="","",IF(P4945="Resultado trading",S4945,0))</f>
        <v/>
      </c>
      <c r="X4945" s="52">
        <f>IF(OR(P4945="Gasto",P4945="Reembolso"),IF(M4945&lt;&gt;"",M4945,IFERROR(INDEX(catClasif,MATCH(D4945&amp;"|"&amp;E4945,catClave,0))&amp;"","Variable")),"")</f>
        <v/>
      </c>
      <c r="Y4945" s="52">
        <f>IF(P4945="","",IFERROR(INDEX(catGrupo,MATCH(D4945&amp;"|"&amp;E4945,catClave,0))&amp;"",""))</f>
        <v/>
      </c>
      <c r="Z4945" s="52">
        <f>IF(P4945="","",WEEKDAY(B4945,2))</f>
        <v/>
      </c>
      <c r="AA4945" s="52">
        <f>IF(P4945="","",IF(AND(P4945="Gasto",X4945="Variable",D4945&lt;&gt;catTrading,S4945&gt;0,S4945&lt;=Umbral),1,0))</f>
        <v/>
      </c>
      <c r="AB4945" s="52">
        <f>IF(OR(P4945="",Q4945=""),"",IFERROR(IF(INDEX(ctaVinc,MATCH(Q4945,ctaNombre,0))&amp;""&lt;&gt;"",INDEX(ctaVinc,MATCH(Q4945,ctaNombre,0))&amp;"",Q4945),Q4945))</f>
        <v/>
      </c>
      <c r="AC4945" s="52">
        <f>IF(OR(K4945="",AND(P4945&lt;&gt;"Transferencia",P4945&lt;&gt;"Pago tarjeta")),"",IFERROR(IF(INDEX(ctaVinc,MATCH(K4945,ctaNombre,0))&amp;""&lt;&gt;"",INDEX(ctaVinc,MATCH(K4945,ctaNombre,0))&amp;"",K4945),K4945))</f>
        <v/>
      </c>
      <c r="AD4945" s="52">
        <f>IF(AB4945="","",IFERROR(INDEX(ctaTipo,MATCH(AB4945,ctaNombre,0))&amp;"",""))</f>
        <v/>
      </c>
      <c r="AE4945" s="52">
        <f>IF(AC4945="","",IFERROR(INDEX(ctaTipo,MATCH(AC4945,ctaNombre,0))&amp;"",""))</f>
        <v/>
      </c>
      <c r="AF4945" s="53">
        <f>IF(OR(P4945="",AB4945=""),"",IF(OR(P4945="Gasto",P4945="Transferencia",P4945="Pago tarjeta"),-1,1)*IF(IFERROR(INDEX(ctaMoneda,MATCH(AB4945,ctaNombre,0))&amp;"","DOP")="USD",T4945,S4945))</f>
        <v/>
      </c>
      <c r="AG4945" s="53">
        <f>IF(AC4945="","",IF(IFERROR(INDEX(ctaMoneda,MATCH(AC4945,ctaNombre,0))&amp;"","DOP")="USD",T4945,S4945))</f>
        <v/>
      </c>
      <c r="AH4945" s="53">
        <f>IF(P4945="","",IF(AND(AD4945&lt;&gt;"",COUNTIFS(tcTipo,AD4945,tcLiq,"Sí")&gt;0),IF(OR(P4945="Gasto",P4945="Transferencia",P4945="Pago tarjeta"),-1,1)*S4945,0)+IF(AND(AE4945&lt;&gt;"",COUNTIFS(tcTipo,AE4945,tcLiq,"Sí")&gt;0),S4945,0))</f>
        <v/>
      </c>
      <c r="AI4945" s="52">
        <f>IF(OR(L4945="",P4945=""),"",IF(COUNTIFS(L$6:L4945,L4945,P$6:P4945,"?*")=1,MAX(AI$5:AI4944)+1,""))</f>
        <v/>
      </c>
    </row>
    <row r="4946">
      <c r="B4946" s="47" t="n"/>
      <c r="C4946" s="48" t="n"/>
      <c r="D4946" s="48" t="n"/>
      <c r="E4946" s="48" t="n"/>
      <c r="F4946" s="48" t="n"/>
      <c r="G4946" s="49" t="n"/>
      <c r="H4946" s="48" t="n"/>
      <c r="I4946" s="50" t="n"/>
      <c r="J4946" s="48" t="n"/>
      <c r="K4946" s="48" t="n"/>
      <c r="L4946" s="48" t="n"/>
      <c r="M4946" s="48" t="n"/>
      <c r="N4946" s="48" t="n"/>
      <c r="O4946" s="51">
        <f>IF(AND(B4946="",G4946="",C4946="",D4946="",J4946=""),"",IF(B4946="","⚠ Falta fecha",IF(G4946="","⚠ Falta monto",IF(Q4946="","⚠ Falta cuenta",IF(ISNA(MATCH(Q4946,ctaNombre,0)),"⚠ Cuenta no registrada",IF(AND(OR(P4946="Gasto",P4946="Reembolso"),D4946=""),"⚠ Falta categoría",IF(AND(D4946&lt;&gt;"",E4946&lt;&gt;"",ISNA(MATCH(D4946&amp;"|"&amp;E4946,catClave,0))),"⚠ Subcategoría no corresponde",IF(AND(OR(P4946="Transferencia",P4946="Pago tarjeta"),K4946=""),"⚠ Falta cuenta destino",IF(AND(K4946&lt;&gt;"",P4946&lt;&gt;"Transferencia",P4946&lt;&gt;"Pago tarjeta"),"⚠ Destino solo aplica a transferencias",IF(AND(K4946&lt;&gt;"",K4946=Q4946),"⚠ Origen igual a destino",IF(AND(K4946&lt;&gt;"",ISNA(MATCH(K4946,ctaNombre,0))),"⚠ Destino no registrado",IF(AND(P4946="Pago tarjeta",AE4946&lt;&gt;"Tarjeta de crédito"),"⚠ El destino debe ser tarjeta de crédito",IF(AND(P4946="Gasto",E4946="Depósitos y retiros"),"⚠ Usa tipo Transferencia",IF(AND(P4946="Resultado trading",AD4946&lt;&gt;"Cuenta de trading"),"⚠ Usa una cuenta de trading",IF(AND(G4946&lt;=0,P4946&lt;&gt;"Ajuste",P4946&lt;&gt;"Resultado trading"),"⚠ El monto debe ser positivo","✓")))))))))))))))</f>
        <v/>
      </c>
      <c r="P4946" s="52">
        <f>IF(OR(B4946="",G4946=""),"",IF(C4946="","Gasto",C4946))</f>
        <v/>
      </c>
      <c r="Q4946" s="52">
        <f>IF(P4946="","",IF(J4946&lt;&gt;"",J4946,CuentaPred&amp;""))</f>
        <v/>
      </c>
      <c r="R4946" s="52">
        <f>IF(P4946="","",IF(ISNUMBER(I4946),I4946,TasaUSD))</f>
        <v/>
      </c>
      <c r="S4946" s="53">
        <f>IF(P4946="","",IF(H4946="USD",G4946*R4946,G4946))</f>
        <v/>
      </c>
      <c r="T4946" s="53">
        <f>IF(P4946="","",IF(H4946="USD",G4946,IF(R4946&gt;0,G4946/R4946,0)))</f>
        <v/>
      </c>
      <c r="U4946" s="53">
        <f>IF(P4946="","",IF(P4946="Gasto",S4946,IF(P4946="Reembolso",-S4946,0)))</f>
        <v/>
      </c>
      <c r="V4946" s="53">
        <f>IF(P4946="","",IF(P4946="Ingreso",S4946,0))</f>
        <v/>
      </c>
      <c r="W4946" s="53">
        <f>IF(P4946="","",IF(P4946="Resultado trading",S4946,0))</f>
        <v/>
      </c>
      <c r="X4946" s="52">
        <f>IF(OR(P4946="Gasto",P4946="Reembolso"),IF(M4946&lt;&gt;"",M4946,IFERROR(INDEX(catClasif,MATCH(D4946&amp;"|"&amp;E4946,catClave,0))&amp;"","Variable")),"")</f>
        <v/>
      </c>
      <c r="Y4946" s="52">
        <f>IF(P4946="","",IFERROR(INDEX(catGrupo,MATCH(D4946&amp;"|"&amp;E4946,catClave,0))&amp;"",""))</f>
        <v/>
      </c>
      <c r="Z4946" s="52">
        <f>IF(P4946="","",WEEKDAY(B4946,2))</f>
        <v/>
      </c>
      <c r="AA4946" s="52">
        <f>IF(P4946="","",IF(AND(P4946="Gasto",X4946="Variable",D4946&lt;&gt;catTrading,S4946&gt;0,S4946&lt;=Umbral),1,0))</f>
        <v/>
      </c>
      <c r="AB4946" s="52">
        <f>IF(OR(P4946="",Q4946=""),"",IFERROR(IF(INDEX(ctaVinc,MATCH(Q4946,ctaNombre,0))&amp;""&lt;&gt;"",INDEX(ctaVinc,MATCH(Q4946,ctaNombre,0))&amp;"",Q4946),Q4946))</f>
        <v/>
      </c>
      <c r="AC4946" s="52">
        <f>IF(OR(K4946="",AND(P4946&lt;&gt;"Transferencia",P4946&lt;&gt;"Pago tarjeta")),"",IFERROR(IF(INDEX(ctaVinc,MATCH(K4946,ctaNombre,0))&amp;""&lt;&gt;"",INDEX(ctaVinc,MATCH(K4946,ctaNombre,0))&amp;"",K4946),K4946))</f>
        <v/>
      </c>
      <c r="AD4946" s="52">
        <f>IF(AB4946="","",IFERROR(INDEX(ctaTipo,MATCH(AB4946,ctaNombre,0))&amp;"",""))</f>
        <v/>
      </c>
      <c r="AE4946" s="52">
        <f>IF(AC4946="","",IFERROR(INDEX(ctaTipo,MATCH(AC4946,ctaNombre,0))&amp;"",""))</f>
        <v/>
      </c>
      <c r="AF4946" s="53">
        <f>IF(OR(P4946="",AB4946=""),"",IF(OR(P4946="Gasto",P4946="Transferencia",P4946="Pago tarjeta"),-1,1)*IF(IFERROR(INDEX(ctaMoneda,MATCH(AB4946,ctaNombre,0))&amp;"","DOP")="USD",T4946,S4946))</f>
        <v/>
      </c>
      <c r="AG4946" s="53">
        <f>IF(AC4946="","",IF(IFERROR(INDEX(ctaMoneda,MATCH(AC4946,ctaNombre,0))&amp;"","DOP")="USD",T4946,S4946))</f>
        <v/>
      </c>
      <c r="AH4946" s="53">
        <f>IF(P4946="","",IF(AND(AD4946&lt;&gt;"",COUNTIFS(tcTipo,AD4946,tcLiq,"Sí")&gt;0),IF(OR(P4946="Gasto",P4946="Transferencia",P4946="Pago tarjeta"),-1,1)*S4946,0)+IF(AND(AE4946&lt;&gt;"",COUNTIFS(tcTipo,AE4946,tcLiq,"Sí")&gt;0),S4946,0))</f>
        <v/>
      </c>
      <c r="AI4946" s="52">
        <f>IF(OR(L4946="",P4946=""),"",IF(COUNTIFS(L$6:L4946,L4946,P$6:P4946,"?*")=1,MAX(AI$5:AI4945)+1,""))</f>
        <v/>
      </c>
    </row>
    <row r="4947">
      <c r="B4947" s="47" t="n"/>
      <c r="C4947" s="48" t="n"/>
      <c r="D4947" s="48" t="n"/>
      <c r="E4947" s="48" t="n"/>
      <c r="F4947" s="48" t="n"/>
      <c r="G4947" s="49" t="n"/>
      <c r="H4947" s="48" t="n"/>
      <c r="I4947" s="50" t="n"/>
      <c r="J4947" s="48" t="n"/>
      <c r="K4947" s="48" t="n"/>
      <c r="L4947" s="48" t="n"/>
      <c r="M4947" s="48" t="n"/>
      <c r="N4947" s="48" t="n"/>
      <c r="O4947" s="51">
        <f>IF(AND(B4947="",G4947="",C4947="",D4947="",J4947=""),"",IF(B4947="","⚠ Falta fecha",IF(G4947="","⚠ Falta monto",IF(Q4947="","⚠ Falta cuenta",IF(ISNA(MATCH(Q4947,ctaNombre,0)),"⚠ Cuenta no registrada",IF(AND(OR(P4947="Gasto",P4947="Reembolso"),D4947=""),"⚠ Falta categoría",IF(AND(D4947&lt;&gt;"",E4947&lt;&gt;"",ISNA(MATCH(D4947&amp;"|"&amp;E4947,catClave,0))),"⚠ Subcategoría no corresponde",IF(AND(OR(P4947="Transferencia",P4947="Pago tarjeta"),K4947=""),"⚠ Falta cuenta destino",IF(AND(K4947&lt;&gt;"",P4947&lt;&gt;"Transferencia",P4947&lt;&gt;"Pago tarjeta"),"⚠ Destino solo aplica a transferencias",IF(AND(K4947&lt;&gt;"",K4947=Q4947),"⚠ Origen igual a destino",IF(AND(K4947&lt;&gt;"",ISNA(MATCH(K4947,ctaNombre,0))),"⚠ Destino no registrado",IF(AND(P4947="Pago tarjeta",AE4947&lt;&gt;"Tarjeta de crédito"),"⚠ El destino debe ser tarjeta de crédito",IF(AND(P4947="Gasto",E4947="Depósitos y retiros"),"⚠ Usa tipo Transferencia",IF(AND(P4947="Resultado trading",AD4947&lt;&gt;"Cuenta de trading"),"⚠ Usa una cuenta de trading",IF(AND(G4947&lt;=0,P4947&lt;&gt;"Ajuste",P4947&lt;&gt;"Resultado trading"),"⚠ El monto debe ser positivo","✓")))))))))))))))</f>
        <v/>
      </c>
      <c r="P4947" s="52">
        <f>IF(OR(B4947="",G4947=""),"",IF(C4947="","Gasto",C4947))</f>
        <v/>
      </c>
      <c r="Q4947" s="52">
        <f>IF(P4947="","",IF(J4947&lt;&gt;"",J4947,CuentaPred&amp;""))</f>
        <v/>
      </c>
      <c r="R4947" s="52">
        <f>IF(P4947="","",IF(ISNUMBER(I4947),I4947,TasaUSD))</f>
        <v/>
      </c>
      <c r="S4947" s="53">
        <f>IF(P4947="","",IF(H4947="USD",G4947*R4947,G4947))</f>
        <v/>
      </c>
      <c r="T4947" s="53">
        <f>IF(P4947="","",IF(H4947="USD",G4947,IF(R4947&gt;0,G4947/R4947,0)))</f>
        <v/>
      </c>
      <c r="U4947" s="53">
        <f>IF(P4947="","",IF(P4947="Gasto",S4947,IF(P4947="Reembolso",-S4947,0)))</f>
        <v/>
      </c>
      <c r="V4947" s="53">
        <f>IF(P4947="","",IF(P4947="Ingreso",S4947,0))</f>
        <v/>
      </c>
      <c r="W4947" s="53">
        <f>IF(P4947="","",IF(P4947="Resultado trading",S4947,0))</f>
        <v/>
      </c>
      <c r="X4947" s="52">
        <f>IF(OR(P4947="Gasto",P4947="Reembolso"),IF(M4947&lt;&gt;"",M4947,IFERROR(INDEX(catClasif,MATCH(D4947&amp;"|"&amp;E4947,catClave,0))&amp;"","Variable")),"")</f>
        <v/>
      </c>
      <c r="Y4947" s="52">
        <f>IF(P4947="","",IFERROR(INDEX(catGrupo,MATCH(D4947&amp;"|"&amp;E4947,catClave,0))&amp;"",""))</f>
        <v/>
      </c>
      <c r="Z4947" s="52">
        <f>IF(P4947="","",WEEKDAY(B4947,2))</f>
        <v/>
      </c>
      <c r="AA4947" s="52">
        <f>IF(P4947="","",IF(AND(P4947="Gasto",X4947="Variable",D4947&lt;&gt;catTrading,S4947&gt;0,S4947&lt;=Umbral),1,0))</f>
        <v/>
      </c>
      <c r="AB4947" s="52">
        <f>IF(OR(P4947="",Q4947=""),"",IFERROR(IF(INDEX(ctaVinc,MATCH(Q4947,ctaNombre,0))&amp;""&lt;&gt;"",INDEX(ctaVinc,MATCH(Q4947,ctaNombre,0))&amp;"",Q4947),Q4947))</f>
        <v/>
      </c>
      <c r="AC4947" s="52">
        <f>IF(OR(K4947="",AND(P4947&lt;&gt;"Transferencia",P4947&lt;&gt;"Pago tarjeta")),"",IFERROR(IF(INDEX(ctaVinc,MATCH(K4947,ctaNombre,0))&amp;""&lt;&gt;"",INDEX(ctaVinc,MATCH(K4947,ctaNombre,0))&amp;"",K4947),K4947))</f>
        <v/>
      </c>
      <c r="AD4947" s="52">
        <f>IF(AB4947="","",IFERROR(INDEX(ctaTipo,MATCH(AB4947,ctaNombre,0))&amp;"",""))</f>
        <v/>
      </c>
      <c r="AE4947" s="52">
        <f>IF(AC4947="","",IFERROR(INDEX(ctaTipo,MATCH(AC4947,ctaNombre,0))&amp;"",""))</f>
        <v/>
      </c>
      <c r="AF4947" s="53">
        <f>IF(OR(P4947="",AB4947=""),"",IF(OR(P4947="Gasto",P4947="Transferencia",P4947="Pago tarjeta"),-1,1)*IF(IFERROR(INDEX(ctaMoneda,MATCH(AB4947,ctaNombre,0))&amp;"","DOP")="USD",T4947,S4947))</f>
        <v/>
      </c>
      <c r="AG4947" s="53">
        <f>IF(AC4947="","",IF(IFERROR(INDEX(ctaMoneda,MATCH(AC4947,ctaNombre,0))&amp;"","DOP")="USD",T4947,S4947))</f>
        <v/>
      </c>
      <c r="AH4947" s="53">
        <f>IF(P4947="","",IF(AND(AD4947&lt;&gt;"",COUNTIFS(tcTipo,AD4947,tcLiq,"Sí")&gt;0),IF(OR(P4947="Gasto",P4947="Transferencia",P4947="Pago tarjeta"),-1,1)*S4947,0)+IF(AND(AE4947&lt;&gt;"",COUNTIFS(tcTipo,AE4947,tcLiq,"Sí")&gt;0),S4947,0))</f>
        <v/>
      </c>
      <c r="AI4947" s="52">
        <f>IF(OR(L4947="",P4947=""),"",IF(COUNTIFS(L$6:L4947,L4947,P$6:P4947,"?*")=1,MAX(AI$5:AI4946)+1,""))</f>
        <v/>
      </c>
    </row>
    <row r="4948">
      <c r="B4948" s="47" t="n"/>
      <c r="C4948" s="48" t="n"/>
      <c r="D4948" s="48" t="n"/>
      <c r="E4948" s="48" t="n"/>
      <c r="F4948" s="48" t="n"/>
      <c r="G4948" s="49" t="n"/>
      <c r="H4948" s="48" t="n"/>
      <c r="I4948" s="50" t="n"/>
      <c r="J4948" s="48" t="n"/>
      <c r="K4948" s="48" t="n"/>
      <c r="L4948" s="48" t="n"/>
      <c r="M4948" s="48" t="n"/>
      <c r="N4948" s="48" t="n"/>
      <c r="O4948" s="51">
        <f>IF(AND(B4948="",G4948="",C4948="",D4948="",J4948=""),"",IF(B4948="","⚠ Falta fecha",IF(G4948="","⚠ Falta monto",IF(Q4948="","⚠ Falta cuenta",IF(ISNA(MATCH(Q4948,ctaNombre,0)),"⚠ Cuenta no registrada",IF(AND(OR(P4948="Gasto",P4948="Reembolso"),D4948=""),"⚠ Falta categoría",IF(AND(D4948&lt;&gt;"",E4948&lt;&gt;"",ISNA(MATCH(D4948&amp;"|"&amp;E4948,catClave,0))),"⚠ Subcategoría no corresponde",IF(AND(OR(P4948="Transferencia",P4948="Pago tarjeta"),K4948=""),"⚠ Falta cuenta destino",IF(AND(K4948&lt;&gt;"",P4948&lt;&gt;"Transferencia",P4948&lt;&gt;"Pago tarjeta"),"⚠ Destino solo aplica a transferencias",IF(AND(K4948&lt;&gt;"",K4948=Q4948),"⚠ Origen igual a destino",IF(AND(K4948&lt;&gt;"",ISNA(MATCH(K4948,ctaNombre,0))),"⚠ Destino no registrado",IF(AND(P4948="Pago tarjeta",AE4948&lt;&gt;"Tarjeta de crédito"),"⚠ El destino debe ser tarjeta de crédito",IF(AND(P4948="Gasto",E4948="Depósitos y retiros"),"⚠ Usa tipo Transferencia",IF(AND(P4948="Resultado trading",AD4948&lt;&gt;"Cuenta de trading"),"⚠ Usa una cuenta de trading",IF(AND(G4948&lt;=0,P4948&lt;&gt;"Ajuste",P4948&lt;&gt;"Resultado trading"),"⚠ El monto debe ser positivo","✓")))))))))))))))</f>
        <v/>
      </c>
      <c r="P4948" s="52">
        <f>IF(OR(B4948="",G4948=""),"",IF(C4948="","Gasto",C4948))</f>
        <v/>
      </c>
      <c r="Q4948" s="52">
        <f>IF(P4948="","",IF(J4948&lt;&gt;"",J4948,CuentaPred&amp;""))</f>
        <v/>
      </c>
      <c r="R4948" s="52">
        <f>IF(P4948="","",IF(ISNUMBER(I4948),I4948,TasaUSD))</f>
        <v/>
      </c>
      <c r="S4948" s="53">
        <f>IF(P4948="","",IF(H4948="USD",G4948*R4948,G4948))</f>
        <v/>
      </c>
      <c r="T4948" s="53">
        <f>IF(P4948="","",IF(H4948="USD",G4948,IF(R4948&gt;0,G4948/R4948,0)))</f>
        <v/>
      </c>
      <c r="U4948" s="53">
        <f>IF(P4948="","",IF(P4948="Gasto",S4948,IF(P4948="Reembolso",-S4948,0)))</f>
        <v/>
      </c>
      <c r="V4948" s="53">
        <f>IF(P4948="","",IF(P4948="Ingreso",S4948,0))</f>
        <v/>
      </c>
      <c r="W4948" s="53">
        <f>IF(P4948="","",IF(P4948="Resultado trading",S4948,0))</f>
        <v/>
      </c>
      <c r="X4948" s="52">
        <f>IF(OR(P4948="Gasto",P4948="Reembolso"),IF(M4948&lt;&gt;"",M4948,IFERROR(INDEX(catClasif,MATCH(D4948&amp;"|"&amp;E4948,catClave,0))&amp;"","Variable")),"")</f>
        <v/>
      </c>
      <c r="Y4948" s="52">
        <f>IF(P4948="","",IFERROR(INDEX(catGrupo,MATCH(D4948&amp;"|"&amp;E4948,catClave,0))&amp;"",""))</f>
        <v/>
      </c>
      <c r="Z4948" s="52">
        <f>IF(P4948="","",WEEKDAY(B4948,2))</f>
        <v/>
      </c>
      <c r="AA4948" s="52">
        <f>IF(P4948="","",IF(AND(P4948="Gasto",X4948="Variable",D4948&lt;&gt;catTrading,S4948&gt;0,S4948&lt;=Umbral),1,0))</f>
        <v/>
      </c>
      <c r="AB4948" s="52">
        <f>IF(OR(P4948="",Q4948=""),"",IFERROR(IF(INDEX(ctaVinc,MATCH(Q4948,ctaNombre,0))&amp;""&lt;&gt;"",INDEX(ctaVinc,MATCH(Q4948,ctaNombre,0))&amp;"",Q4948),Q4948))</f>
        <v/>
      </c>
      <c r="AC4948" s="52">
        <f>IF(OR(K4948="",AND(P4948&lt;&gt;"Transferencia",P4948&lt;&gt;"Pago tarjeta")),"",IFERROR(IF(INDEX(ctaVinc,MATCH(K4948,ctaNombre,0))&amp;""&lt;&gt;"",INDEX(ctaVinc,MATCH(K4948,ctaNombre,0))&amp;"",K4948),K4948))</f>
        <v/>
      </c>
      <c r="AD4948" s="52">
        <f>IF(AB4948="","",IFERROR(INDEX(ctaTipo,MATCH(AB4948,ctaNombre,0))&amp;"",""))</f>
        <v/>
      </c>
      <c r="AE4948" s="52">
        <f>IF(AC4948="","",IFERROR(INDEX(ctaTipo,MATCH(AC4948,ctaNombre,0))&amp;"",""))</f>
        <v/>
      </c>
      <c r="AF4948" s="53">
        <f>IF(OR(P4948="",AB4948=""),"",IF(OR(P4948="Gasto",P4948="Transferencia",P4948="Pago tarjeta"),-1,1)*IF(IFERROR(INDEX(ctaMoneda,MATCH(AB4948,ctaNombre,0))&amp;"","DOP")="USD",T4948,S4948))</f>
        <v/>
      </c>
      <c r="AG4948" s="53">
        <f>IF(AC4948="","",IF(IFERROR(INDEX(ctaMoneda,MATCH(AC4948,ctaNombre,0))&amp;"","DOP")="USD",T4948,S4948))</f>
        <v/>
      </c>
      <c r="AH4948" s="53">
        <f>IF(P4948="","",IF(AND(AD4948&lt;&gt;"",COUNTIFS(tcTipo,AD4948,tcLiq,"Sí")&gt;0),IF(OR(P4948="Gasto",P4948="Transferencia",P4948="Pago tarjeta"),-1,1)*S4948,0)+IF(AND(AE4948&lt;&gt;"",COUNTIFS(tcTipo,AE4948,tcLiq,"Sí")&gt;0),S4948,0))</f>
        <v/>
      </c>
      <c r="AI4948" s="52">
        <f>IF(OR(L4948="",P4948=""),"",IF(COUNTIFS(L$6:L4948,L4948,P$6:P4948,"?*")=1,MAX(AI$5:AI4947)+1,""))</f>
        <v/>
      </c>
    </row>
    <row r="4949">
      <c r="B4949" s="47" t="n"/>
      <c r="C4949" s="48" t="n"/>
      <c r="D4949" s="48" t="n"/>
      <c r="E4949" s="48" t="n"/>
      <c r="F4949" s="48" t="n"/>
      <c r="G4949" s="49" t="n"/>
      <c r="H4949" s="48" t="n"/>
      <c r="I4949" s="50" t="n"/>
      <c r="J4949" s="48" t="n"/>
      <c r="K4949" s="48" t="n"/>
      <c r="L4949" s="48" t="n"/>
      <c r="M4949" s="48" t="n"/>
      <c r="N4949" s="48" t="n"/>
      <c r="O4949" s="51">
        <f>IF(AND(B4949="",G4949="",C4949="",D4949="",J4949=""),"",IF(B4949="","⚠ Falta fecha",IF(G4949="","⚠ Falta monto",IF(Q4949="","⚠ Falta cuenta",IF(ISNA(MATCH(Q4949,ctaNombre,0)),"⚠ Cuenta no registrada",IF(AND(OR(P4949="Gasto",P4949="Reembolso"),D4949=""),"⚠ Falta categoría",IF(AND(D4949&lt;&gt;"",E4949&lt;&gt;"",ISNA(MATCH(D4949&amp;"|"&amp;E4949,catClave,0))),"⚠ Subcategoría no corresponde",IF(AND(OR(P4949="Transferencia",P4949="Pago tarjeta"),K4949=""),"⚠ Falta cuenta destino",IF(AND(K4949&lt;&gt;"",P4949&lt;&gt;"Transferencia",P4949&lt;&gt;"Pago tarjeta"),"⚠ Destino solo aplica a transferencias",IF(AND(K4949&lt;&gt;"",K4949=Q4949),"⚠ Origen igual a destino",IF(AND(K4949&lt;&gt;"",ISNA(MATCH(K4949,ctaNombre,0))),"⚠ Destino no registrado",IF(AND(P4949="Pago tarjeta",AE4949&lt;&gt;"Tarjeta de crédito"),"⚠ El destino debe ser tarjeta de crédito",IF(AND(P4949="Gasto",E4949="Depósitos y retiros"),"⚠ Usa tipo Transferencia",IF(AND(P4949="Resultado trading",AD4949&lt;&gt;"Cuenta de trading"),"⚠ Usa una cuenta de trading",IF(AND(G4949&lt;=0,P4949&lt;&gt;"Ajuste",P4949&lt;&gt;"Resultado trading"),"⚠ El monto debe ser positivo","✓")))))))))))))))</f>
        <v/>
      </c>
      <c r="P4949" s="52">
        <f>IF(OR(B4949="",G4949=""),"",IF(C4949="","Gasto",C4949))</f>
        <v/>
      </c>
      <c r="Q4949" s="52">
        <f>IF(P4949="","",IF(J4949&lt;&gt;"",J4949,CuentaPred&amp;""))</f>
        <v/>
      </c>
      <c r="R4949" s="52">
        <f>IF(P4949="","",IF(ISNUMBER(I4949),I4949,TasaUSD))</f>
        <v/>
      </c>
      <c r="S4949" s="53">
        <f>IF(P4949="","",IF(H4949="USD",G4949*R4949,G4949))</f>
        <v/>
      </c>
      <c r="T4949" s="53">
        <f>IF(P4949="","",IF(H4949="USD",G4949,IF(R4949&gt;0,G4949/R4949,0)))</f>
        <v/>
      </c>
      <c r="U4949" s="53">
        <f>IF(P4949="","",IF(P4949="Gasto",S4949,IF(P4949="Reembolso",-S4949,0)))</f>
        <v/>
      </c>
      <c r="V4949" s="53">
        <f>IF(P4949="","",IF(P4949="Ingreso",S4949,0))</f>
        <v/>
      </c>
      <c r="W4949" s="53">
        <f>IF(P4949="","",IF(P4949="Resultado trading",S4949,0))</f>
        <v/>
      </c>
      <c r="X4949" s="52">
        <f>IF(OR(P4949="Gasto",P4949="Reembolso"),IF(M4949&lt;&gt;"",M4949,IFERROR(INDEX(catClasif,MATCH(D4949&amp;"|"&amp;E4949,catClave,0))&amp;"","Variable")),"")</f>
        <v/>
      </c>
      <c r="Y4949" s="52">
        <f>IF(P4949="","",IFERROR(INDEX(catGrupo,MATCH(D4949&amp;"|"&amp;E4949,catClave,0))&amp;"",""))</f>
        <v/>
      </c>
      <c r="Z4949" s="52">
        <f>IF(P4949="","",WEEKDAY(B4949,2))</f>
        <v/>
      </c>
      <c r="AA4949" s="52">
        <f>IF(P4949="","",IF(AND(P4949="Gasto",X4949="Variable",D4949&lt;&gt;catTrading,S4949&gt;0,S4949&lt;=Umbral),1,0))</f>
        <v/>
      </c>
      <c r="AB4949" s="52">
        <f>IF(OR(P4949="",Q4949=""),"",IFERROR(IF(INDEX(ctaVinc,MATCH(Q4949,ctaNombre,0))&amp;""&lt;&gt;"",INDEX(ctaVinc,MATCH(Q4949,ctaNombre,0))&amp;"",Q4949),Q4949))</f>
        <v/>
      </c>
      <c r="AC4949" s="52">
        <f>IF(OR(K4949="",AND(P4949&lt;&gt;"Transferencia",P4949&lt;&gt;"Pago tarjeta")),"",IFERROR(IF(INDEX(ctaVinc,MATCH(K4949,ctaNombre,0))&amp;""&lt;&gt;"",INDEX(ctaVinc,MATCH(K4949,ctaNombre,0))&amp;"",K4949),K4949))</f>
        <v/>
      </c>
      <c r="AD4949" s="52">
        <f>IF(AB4949="","",IFERROR(INDEX(ctaTipo,MATCH(AB4949,ctaNombre,0))&amp;"",""))</f>
        <v/>
      </c>
      <c r="AE4949" s="52">
        <f>IF(AC4949="","",IFERROR(INDEX(ctaTipo,MATCH(AC4949,ctaNombre,0))&amp;"",""))</f>
        <v/>
      </c>
      <c r="AF4949" s="53">
        <f>IF(OR(P4949="",AB4949=""),"",IF(OR(P4949="Gasto",P4949="Transferencia",P4949="Pago tarjeta"),-1,1)*IF(IFERROR(INDEX(ctaMoneda,MATCH(AB4949,ctaNombre,0))&amp;"","DOP")="USD",T4949,S4949))</f>
        <v/>
      </c>
      <c r="AG4949" s="53">
        <f>IF(AC4949="","",IF(IFERROR(INDEX(ctaMoneda,MATCH(AC4949,ctaNombre,0))&amp;"","DOP")="USD",T4949,S4949))</f>
        <v/>
      </c>
      <c r="AH4949" s="53">
        <f>IF(P4949="","",IF(AND(AD4949&lt;&gt;"",COUNTIFS(tcTipo,AD4949,tcLiq,"Sí")&gt;0),IF(OR(P4949="Gasto",P4949="Transferencia",P4949="Pago tarjeta"),-1,1)*S4949,0)+IF(AND(AE4949&lt;&gt;"",COUNTIFS(tcTipo,AE4949,tcLiq,"Sí")&gt;0),S4949,0))</f>
        <v/>
      </c>
      <c r="AI4949" s="52">
        <f>IF(OR(L4949="",P4949=""),"",IF(COUNTIFS(L$6:L4949,L4949,P$6:P4949,"?*")=1,MAX(AI$5:AI4948)+1,""))</f>
        <v/>
      </c>
    </row>
    <row r="4950">
      <c r="B4950" s="47" t="n"/>
      <c r="C4950" s="48" t="n"/>
      <c r="D4950" s="48" t="n"/>
      <c r="E4950" s="48" t="n"/>
      <c r="F4950" s="48" t="n"/>
      <c r="G4950" s="49" t="n"/>
      <c r="H4950" s="48" t="n"/>
      <c r="I4950" s="50" t="n"/>
      <c r="J4950" s="48" t="n"/>
      <c r="K4950" s="48" t="n"/>
      <c r="L4950" s="48" t="n"/>
      <c r="M4950" s="48" t="n"/>
      <c r="N4950" s="48" t="n"/>
      <c r="O4950" s="51">
        <f>IF(AND(B4950="",G4950="",C4950="",D4950="",J4950=""),"",IF(B4950="","⚠ Falta fecha",IF(G4950="","⚠ Falta monto",IF(Q4950="","⚠ Falta cuenta",IF(ISNA(MATCH(Q4950,ctaNombre,0)),"⚠ Cuenta no registrada",IF(AND(OR(P4950="Gasto",P4950="Reembolso"),D4950=""),"⚠ Falta categoría",IF(AND(D4950&lt;&gt;"",E4950&lt;&gt;"",ISNA(MATCH(D4950&amp;"|"&amp;E4950,catClave,0))),"⚠ Subcategoría no corresponde",IF(AND(OR(P4950="Transferencia",P4950="Pago tarjeta"),K4950=""),"⚠ Falta cuenta destino",IF(AND(K4950&lt;&gt;"",P4950&lt;&gt;"Transferencia",P4950&lt;&gt;"Pago tarjeta"),"⚠ Destino solo aplica a transferencias",IF(AND(K4950&lt;&gt;"",K4950=Q4950),"⚠ Origen igual a destino",IF(AND(K4950&lt;&gt;"",ISNA(MATCH(K4950,ctaNombre,0))),"⚠ Destino no registrado",IF(AND(P4950="Pago tarjeta",AE4950&lt;&gt;"Tarjeta de crédito"),"⚠ El destino debe ser tarjeta de crédito",IF(AND(P4950="Gasto",E4950="Depósitos y retiros"),"⚠ Usa tipo Transferencia",IF(AND(P4950="Resultado trading",AD4950&lt;&gt;"Cuenta de trading"),"⚠ Usa una cuenta de trading",IF(AND(G4950&lt;=0,P4950&lt;&gt;"Ajuste",P4950&lt;&gt;"Resultado trading"),"⚠ El monto debe ser positivo","✓")))))))))))))))</f>
        <v/>
      </c>
      <c r="P4950" s="52">
        <f>IF(OR(B4950="",G4950=""),"",IF(C4950="","Gasto",C4950))</f>
        <v/>
      </c>
      <c r="Q4950" s="52">
        <f>IF(P4950="","",IF(J4950&lt;&gt;"",J4950,CuentaPred&amp;""))</f>
        <v/>
      </c>
      <c r="R4950" s="52">
        <f>IF(P4950="","",IF(ISNUMBER(I4950),I4950,TasaUSD))</f>
        <v/>
      </c>
      <c r="S4950" s="53">
        <f>IF(P4950="","",IF(H4950="USD",G4950*R4950,G4950))</f>
        <v/>
      </c>
      <c r="T4950" s="53">
        <f>IF(P4950="","",IF(H4950="USD",G4950,IF(R4950&gt;0,G4950/R4950,0)))</f>
        <v/>
      </c>
      <c r="U4950" s="53">
        <f>IF(P4950="","",IF(P4950="Gasto",S4950,IF(P4950="Reembolso",-S4950,0)))</f>
        <v/>
      </c>
      <c r="V4950" s="53">
        <f>IF(P4950="","",IF(P4950="Ingreso",S4950,0))</f>
        <v/>
      </c>
      <c r="W4950" s="53">
        <f>IF(P4950="","",IF(P4950="Resultado trading",S4950,0))</f>
        <v/>
      </c>
      <c r="X4950" s="52">
        <f>IF(OR(P4950="Gasto",P4950="Reembolso"),IF(M4950&lt;&gt;"",M4950,IFERROR(INDEX(catClasif,MATCH(D4950&amp;"|"&amp;E4950,catClave,0))&amp;"","Variable")),"")</f>
        <v/>
      </c>
      <c r="Y4950" s="52">
        <f>IF(P4950="","",IFERROR(INDEX(catGrupo,MATCH(D4950&amp;"|"&amp;E4950,catClave,0))&amp;"",""))</f>
        <v/>
      </c>
      <c r="Z4950" s="52">
        <f>IF(P4950="","",WEEKDAY(B4950,2))</f>
        <v/>
      </c>
      <c r="AA4950" s="52">
        <f>IF(P4950="","",IF(AND(P4950="Gasto",X4950="Variable",D4950&lt;&gt;catTrading,S4950&gt;0,S4950&lt;=Umbral),1,0))</f>
        <v/>
      </c>
      <c r="AB4950" s="52">
        <f>IF(OR(P4950="",Q4950=""),"",IFERROR(IF(INDEX(ctaVinc,MATCH(Q4950,ctaNombre,0))&amp;""&lt;&gt;"",INDEX(ctaVinc,MATCH(Q4950,ctaNombre,0))&amp;"",Q4950),Q4950))</f>
        <v/>
      </c>
      <c r="AC4950" s="52">
        <f>IF(OR(K4950="",AND(P4950&lt;&gt;"Transferencia",P4950&lt;&gt;"Pago tarjeta")),"",IFERROR(IF(INDEX(ctaVinc,MATCH(K4950,ctaNombre,0))&amp;""&lt;&gt;"",INDEX(ctaVinc,MATCH(K4950,ctaNombre,0))&amp;"",K4950),K4950))</f>
        <v/>
      </c>
      <c r="AD4950" s="52">
        <f>IF(AB4950="","",IFERROR(INDEX(ctaTipo,MATCH(AB4950,ctaNombre,0))&amp;"",""))</f>
        <v/>
      </c>
      <c r="AE4950" s="52">
        <f>IF(AC4950="","",IFERROR(INDEX(ctaTipo,MATCH(AC4950,ctaNombre,0))&amp;"",""))</f>
        <v/>
      </c>
      <c r="AF4950" s="53">
        <f>IF(OR(P4950="",AB4950=""),"",IF(OR(P4950="Gasto",P4950="Transferencia",P4950="Pago tarjeta"),-1,1)*IF(IFERROR(INDEX(ctaMoneda,MATCH(AB4950,ctaNombre,0))&amp;"","DOP")="USD",T4950,S4950))</f>
        <v/>
      </c>
      <c r="AG4950" s="53">
        <f>IF(AC4950="","",IF(IFERROR(INDEX(ctaMoneda,MATCH(AC4950,ctaNombre,0))&amp;"","DOP")="USD",T4950,S4950))</f>
        <v/>
      </c>
      <c r="AH4950" s="53">
        <f>IF(P4950="","",IF(AND(AD4950&lt;&gt;"",COUNTIFS(tcTipo,AD4950,tcLiq,"Sí")&gt;0),IF(OR(P4950="Gasto",P4950="Transferencia",P4950="Pago tarjeta"),-1,1)*S4950,0)+IF(AND(AE4950&lt;&gt;"",COUNTIFS(tcTipo,AE4950,tcLiq,"Sí")&gt;0),S4950,0))</f>
        <v/>
      </c>
      <c r="AI4950" s="52">
        <f>IF(OR(L4950="",P4950=""),"",IF(COUNTIFS(L$6:L4950,L4950,P$6:P4950,"?*")=1,MAX(AI$5:AI4949)+1,""))</f>
        <v/>
      </c>
    </row>
    <row r="4951">
      <c r="B4951" s="47" t="n"/>
      <c r="C4951" s="48" t="n"/>
      <c r="D4951" s="48" t="n"/>
      <c r="E4951" s="48" t="n"/>
      <c r="F4951" s="48" t="n"/>
      <c r="G4951" s="49" t="n"/>
      <c r="H4951" s="48" t="n"/>
      <c r="I4951" s="50" t="n"/>
      <c r="J4951" s="48" t="n"/>
      <c r="K4951" s="48" t="n"/>
      <c r="L4951" s="48" t="n"/>
      <c r="M4951" s="48" t="n"/>
      <c r="N4951" s="48" t="n"/>
      <c r="O4951" s="51">
        <f>IF(AND(B4951="",G4951="",C4951="",D4951="",J4951=""),"",IF(B4951="","⚠ Falta fecha",IF(G4951="","⚠ Falta monto",IF(Q4951="","⚠ Falta cuenta",IF(ISNA(MATCH(Q4951,ctaNombre,0)),"⚠ Cuenta no registrada",IF(AND(OR(P4951="Gasto",P4951="Reembolso"),D4951=""),"⚠ Falta categoría",IF(AND(D4951&lt;&gt;"",E4951&lt;&gt;"",ISNA(MATCH(D4951&amp;"|"&amp;E4951,catClave,0))),"⚠ Subcategoría no corresponde",IF(AND(OR(P4951="Transferencia",P4951="Pago tarjeta"),K4951=""),"⚠ Falta cuenta destino",IF(AND(K4951&lt;&gt;"",P4951&lt;&gt;"Transferencia",P4951&lt;&gt;"Pago tarjeta"),"⚠ Destino solo aplica a transferencias",IF(AND(K4951&lt;&gt;"",K4951=Q4951),"⚠ Origen igual a destino",IF(AND(K4951&lt;&gt;"",ISNA(MATCH(K4951,ctaNombre,0))),"⚠ Destino no registrado",IF(AND(P4951="Pago tarjeta",AE4951&lt;&gt;"Tarjeta de crédito"),"⚠ El destino debe ser tarjeta de crédito",IF(AND(P4951="Gasto",E4951="Depósitos y retiros"),"⚠ Usa tipo Transferencia",IF(AND(P4951="Resultado trading",AD4951&lt;&gt;"Cuenta de trading"),"⚠ Usa una cuenta de trading",IF(AND(G4951&lt;=0,P4951&lt;&gt;"Ajuste",P4951&lt;&gt;"Resultado trading"),"⚠ El monto debe ser positivo","✓")))))))))))))))</f>
        <v/>
      </c>
      <c r="P4951" s="52">
        <f>IF(OR(B4951="",G4951=""),"",IF(C4951="","Gasto",C4951))</f>
        <v/>
      </c>
      <c r="Q4951" s="52">
        <f>IF(P4951="","",IF(J4951&lt;&gt;"",J4951,CuentaPred&amp;""))</f>
        <v/>
      </c>
      <c r="R4951" s="52">
        <f>IF(P4951="","",IF(ISNUMBER(I4951),I4951,TasaUSD))</f>
        <v/>
      </c>
      <c r="S4951" s="53">
        <f>IF(P4951="","",IF(H4951="USD",G4951*R4951,G4951))</f>
        <v/>
      </c>
      <c r="T4951" s="53">
        <f>IF(P4951="","",IF(H4951="USD",G4951,IF(R4951&gt;0,G4951/R4951,0)))</f>
        <v/>
      </c>
      <c r="U4951" s="53">
        <f>IF(P4951="","",IF(P4951="Gasto",S4951,IF(P4951="Reembolso",-S4951,0)))</f>
        <v/>
      </c>
      <c r="V4951" s="53">
        <f>IF(P4951="","",IF(P4951="Ingreso",S4951,0))</f>
        <v/>
      </c>
      <c r="W4951" s="53">
        <f>IF(P4951="","",IF(P4951="Resultado trading",S4951,0))</f>
        <v/>
      </c>
      <c r="X4951" s="52">
        <f>IF(OR(P4951="Gasto",P4951="Reembolso"),IF(M4951&lt;&gt;"",M4951,IFERROR(INDEX(catClasif,MATCH(D4951&amp;"|"&amp;E4951,catClave,0))&amp;"","Variable")),"")</f>
        <v/>
      </c>
      <c r="Y4951" s="52">
        <f>IF(P4951="","",IFERROR(INDEX(catGrupo,MATCH(D4951&amp;"|"&amp;E4951,catClave,0))&amp;"",""))</f>
        <v/>
      </c>
      <c r="Z4951" s="52">
        <f>IF(P4951="","",WEEKDAY(B4951,2))</f>
        <v/>
      </c>
      <c r="AA4951" s="52">
        <f>IF(P4951="","",IF(AND(P4951="Gasto",X4951="Variable",D4951&lt;&gt;catTrading,S4951&gt;0,S4951&lt;=Umbral),1,0))</f>
        <v/>
      </c>
      <c r="AB4951" s="52">
        <f>IF(OR(P4951="",Q4951=""),"",IFERROR(IF(INDEX(ctaVinc,MATCH(Q4951,ctaNombre,0))&amp;""&lt;&gt;"",INDEX(ctaVinc,MATCH(Q4951,ctaNombre,0))&amp;"",Q4951),Q4951))</f>
        <v/>
      </c>
      <c r="AC4951" s="52">
        <f>IF(OR(K4951="",AND(P4951&lt;&gt;"Transferencia",P4951&lt;&gt;"Pago tarjeta")),"",IFERROR(IF(INDEX(ctaVinc,MATCH(K4951,ctaNombre,0))&amp;""&lt;&gt;"",INDEX(ctaVinc,MATCH(K4951,ctaNombre,0))&amp;"",K4951),K4951))</f>
        <v/>
      </c>
      <c r="AD4951" s="52">
        <f>IF(AB4951="","",IFERROR(INDEX(ctaTipo,MATCH(AB4951,ctaNombre,0))&amp;"",""))</f>
        <v/>
      </c>
      <c r="AE4951" s="52">
        <f>IF(AC4951="","",IFERROR(INDEX(ctaTipo,MATCH(AC4951,ctaNombre,0))&amp;"",""))</f>
        <v/>
      </c>
      <c r="AF4951" s="53">
        <f>IF(OR(P4951="",AB4951=""),"",IF(OR(P4951="Gasto",P4951="Transferencia",P4951="Pago tarjeta"),-1,1)*IF(IFERROR(INDEX(ctaMoneda,MATCH(AB4951,ctaNombre,0))&amp;"","DOP")="USD",T4951,S4951))</f>
        <v/>
      </c>
      <c r="AG4951" s="53">
        <f>IF(AC4951="","",IF(IFERROR(INDEX(ctaMoneda,MATCH(AC4951,ctaNombre,0))&amp;"","DOP")="USD",T4951,S4951))</f>
        <v/>
      </c>
      <c r="AH4951" s="53">
        <f>IF(P4951="","",IF(AND(AD4951&lt;&gt;"",COUNTIFS(tcTipo,AD4951,tcLiq,"Sí")&gt;0),IF(OR(P4951="Gasto",P4951="Transferencia",P4951="Pago tarjeta"),-1,1)*S4951,0)+IF(AND(AE4951&lt;&gt;"",COUNTIFS(tcTipo,AE4951,tcLiq,"Sí")&gt;0),S4951,0))</f>
        <v/>
      </c>
      <c r="AI4951" s="52">
        <f>IF(OR(L4951="",P4951=""),"",IF(COUNTIFS(L$6:L4951,L4951,P$6:P4951,"?*")=1,MAX(AI$5:AI4950)+1,""))</f>
        <v/>
      </c>
    </row>
    <row r="4952">
      <c r="B4952" s="47" t="n"/>
      <c r="C4952" s="48" t="n"/>
      <c r="D4952" s="48" t="n"/>
      <c r="E4952" s="48" t="n"/>
      <c r="F4952" s="48" t="n"/>
      <c r="G4952" s="49" t="n"/>
      <c r="H4952" s="48" t="n"/>
      <c r="I4952" s="50" t="n"/>
      <c r="J4952" s="48" t="n"/>
      <c r="K4952" s="48" t="n"/>
      <c r="L4952" s="48" t="n"/>
      <c r="M4952" s="48" t="n"/>
      <c r="N4952" s="48" t="n"/>
      <c r="O4952" s="51">
        <f>IF(AND(B4952="",G4952="",C4952="",D4952="",J4952=""),"",IF(B4952="","⚠ Falta fecha",IF(G4952="","⚠ Falta monto",IF(Q4952="","⚠ Falta cuenta",IF(ISNA(MATCH(Q4952,ctaNombre,0)),"⚠ Cuenta no registrada",IF(AND(OR(P4952="Gasto",P4952="Reembolso"),D4952=""),"⚠ Falta categoría",IF(AND(D4952&lt;&gt;"",E4952&lt;&gt;"",ISNA(MATCH(D4952&amp;"|"&amp;E4952,catClave,0))),"⚠ Subcategoría no corresponde",IF(AND(OR(P4952="Transferencia",P4952="Pago tarjeta"),K4952=""),"⚠ Falta cuenta destino",IF(AND(K4952&lt;&gt;"",P4952&lt;&gt;"Transferencia",P4952&lt;&gt;"Pago tarjeta"),"⚠ Destino solo aplica a transferencias",IF(AND(K4952&lt;&gt;"",K4952=Q4952),"⚠ Origen igual a destino",IF(AND(K4952&lt;&gt;"",ISNA(MATCH(K4952,ctaNombre,0))),"⚠ Destino no registrado",IF(AND(P4952="Pago tarjeta",AE4952&lt;&gt;"Tarjeta de crédito"),"⚠ El destino debe ser tarjeta de crédito",IF(AND(P4952="Gasto",E4952="Depósitos y retiros"),"⚠ Usa tipo Transferencia",IF(AND(P4952="Resultado trading",AD4952&lt;&gt;"Cuenta de trading"),"⚠ Usa una cuenta de trading",IF(AND(G4952&lt;=0,P4952&lt;&gt;"Ajuste",P4952&lt;&gt;"Resultado trading"),"⚠ El monto debe ser positivo","✓")))))))))))))))</f>
        <v/>
      </c>
      <c r="P4952" s="52">
        <f>IF(OR(B4952="",G4952=""),"",IF(C4952="","Gasto",C4952))</f>
        <v/>
      </c>
      <c r="Q4952" s="52">
        <f>IF(P4952="","",IF(J4952&lt;&gt;"",J4952,CuentaPred&amp;""))</f>
        <v/>
      </c>
      <c r="R4952" s="52">
        <f>IF(P4952="","",IF(ISNUMBER(I4952),I4952,TasaUSD))</f>
        <v/>
      </c>
      <c r="S4952" s="53">
        <f>IF(P4952="","",IF(H4952="USD",G4952*R4952,G4952))</f>
        <v/>
      </c>
      <c r="T4952" s="53">
        <f>IF(P4952="","",IF(H4952="USD",G4952,IF(R4952&gt;0,G4952/R4952,0)))</f>
        <v/>
      </c>
      <c r="U4952" s="53">
        <f>IF(P4952="","",IF(P4952="Gasto",S4952,IF(P4952="Reembolso",-S4952,0)))</f>
        <v/>
      </c>
      <c r="V4952" s="53">
        <f>IF(P4952="","",IF(P4952="Ingreso",S4952,0))</f>
        <v/>
      </c>
      <c r="W4952" s="53">
        <f>IF(P4952="","",IF(P4952="Resultado trading",S4952,0))</f>
        <v/>
      </c>
      <c r="X4952" s="52">
        <f>IF(OR(P4952="Gasto",P4952="Reembolso"),IF(M4952&lt;&gt;"",M4952,IFERROR(INDEX(catClasif,MATCH(D4952&amp;"|"&amp;E4952,catClave,0))&amp;"","Variable")),"")</f>
        <v/>
      </c>
      <c r="Y4952" s="52">
        <f>IF(P4952="","",IFERROR(INDEX(catGrupo,MATCH(D4952&amp;"|"&amp;E4952,catClave,0))&amp;"",""))</f>
        <v/>
      </c>
      <c r="Z4952" s="52">
        <f>IF(P4952="","",WEEKDAY(B4952,2))</f>
        <v/>
      </c>
      <c r="AA4952" s="52">
        <f>IF(P4952="","",IF(AND(P4952="Gasto",X4952="Variable",D4952&lt;&gt;catTrading,S4952&gt;0,S4952&lt;=Umbral),1,0))</f>
        <v/>
      </c>
      <c r="AB4952" s="52">
        <f>IF(OR(P4952="",Q4952=""),"",IFERROR(IF(INDEX(ctaVinc,MATCH(Q4952,ctaNombre,0))&amp;""&lt;&gt;"",INDEX(ctaVinc,MATCH(Q4952,ctaNombre,0))&amp;"",Q4952),Q4952))</f>
        <v/>
      </c>
      <c r="AC4952" s="52">
        <f>IF(OR(K4952="",AND(P4952&lt;&gt;"Transferencia",P4952&lt;&gt;"Pago tarjeta")),"",IFERROR(IF(INDEX(ctaVinc,MATCH(K4952,ctaNombre,0))&amp;""&lt;&gt;"",INDEX(ctaVinc,MATCH(K4952,ctaNombre,0))&amp;"",K4952),K4952))</f>
        <v/>
      </c>
      <c r="AD4952" s="52">
        <f>IF(AB4952="","",IFERROR(INDEX(ctaTipo,MATCH(AB4952,ctaNombre,0))&amp;"",""))</f>
        <v/>
      </c>
      <c r="AE4952" s="52">
        <f>IF(AC4952="","",IFERROR(INDEX(ctaTipo,MATCH(AC4952,ctaNombre,0))&amp;"",""))</f>
        <v/>
      </c>
      <c r="AF4952" s="53">
        <f>IF(OR(P4952="",AB4952=""),"",IF(OR(P4952="Gasto",P4952="Transferencia",P4952="Pago tarjeta"),-1,1)*IF(IFERROR(INDEX(ctaMoneda,MATCH(AB4952,ctaNombre,0))&amp;"","DOP")="USD",T4952,S4952))</f>
        <v/>
      </c>
      <c r="AG4952" s="53">
        <f>IF(AC4952="","",IF(IFERROR(INDEX(ctaMoneda,MATCH(AC4952,ctaNombre,0))&amp;"","DOP")="USD",T4952,S4952))</f>
        <v/>
      </c>
      <c r="AH4952" s="53">
        <f>IF(P4952="","",IF(AND(AD4952&lt;&gt;"",COUNTIFS(tcTipo,AD4952,tcLiq,"Sí")&gt;0),IF(OR(P4952="Gasto",P4952="Transferencia",P4952="Pago tarjeta"),-1,1)*S4952,0)+IF(AND(AE4952&lt;&gt;"",COUNTIFS(tcTipo,AE4952,tcLiq,"Sí")&gt;0),S4952,0))</f>
        <v/>
      </c>
      <c r="AI4952" s="52">
        <f>IF(OR(L4952="",P4952=""),"",IF(COUNTIFS(L$6:L4952,L4952,P$6:P4952,"?*")=1,MAX(AI$5:AI4951)+1,""))</f>
        <v/>
      </c>
    </row>
    <row r="4953">
      <c r="B4953" s="47" t="n"/>
      <c r="C4953" s="48" t="n"/>
      <c r="D4953" s="48" t="n"/>
      <c r="E4953" s="48" t="n"/>
      <c r="F4953" s="48" t="n"/>
      <c r="G4953" s="49" t="n"/>
      <c r="H4953" s="48" t="n"/>
      <c r="I4953" s="50" t="n"/>
      <c r="J4953" s="48" t="n"/>
      <c r="K4953" s="48" t="n"/>
      <c r="L4953" s="48" t="n"/>
      <c r="M4953" s="48" t="n"/>
      <c r="N4953" s="48" t="n"/>
      <c r="O4953" s="51">
        <f>IF(AND(B4953="",G4953="",C4953="",D4953="",J4953=""),"",IF(B4953="","⚠ Falta fecha",IF(G4953="","⚠ Falta monto",IF(Q4953="","⚠ Falta cuenta",IF(ISNA(MATCH(Q4953,ctaNombre,0)),"⚠ Cuenta no registrada",IF(AND(OR(P4953="Gasto",P4953="Reembolso"),D4953=""),"⚠ Falta categoría",IF(AND(D4953&lt;&gt;"",E4953&lt;&gt;"",ISNA(MATCH(D4953&amp;"|"&amp;E4953,catClave,0))),"⚠ Subcategoría no corresponde",IF(AND(OR(P4953="Transferencia",P4953="Pago tarjeta"),K4953=""),"⚠ Falta cuenta destino",IF(AND(K4953&lt;&gt;"",P4953&lt;&gt;"Transferencia",P4953&lt;&gt;"Pago tarjeta"),"⚠ Destino solo aplica a transferencias",IF(AND(K4953&lt;&gt;"",K4953=Q4953),"⚠ Origen igual a destino",IF(AND(K4953&lt;&gt;"",ISNA(MATCH(K4953,ctaNombre,0))),"⚠ Destino no registrado",IF(AND(P4953="Pago tarjeta",AE4953&lt;&gt;"Tarjeta de crédito"),"⚠ El destino debe ser tarjeta de crédito",IF(AND(P4953="Gasto",E4953="Depósitos y retiros"),"⚠ Usa tipo Transferencia",IF(AND(P4953="Resultado trading",AD4953&lt;&gt;"Cuenta de trading"),"⚠ Usa una cuenta de trading",IF(AND(G4953&lt;=0,P4953&lt;&gt;"Ajuste",P4953&lt;&gt;"Resultado trading"),"⚠ El monto debe ser positivo","✓")))))))))))))))</f>
        <v/>
      </c>
      <c r="P4953" s="52">
        <f>IF(OR(B4953="",G4953=""),"",IF(C4953="","Gasto",C4953))</f>
        <v/>
      </c>
      <c r="Q4953" s="52">
        <f>IF(P4953="","",IF(J4953&lt;&gt;"",J4953,CuentaPred&amp;""))</f>
        <v/>
      </c>
      <c r="R4953" s="52">
        <f>IF(P4953="","",IF(ISNUMBER(I4953),I4953,TasaUSD))</f>
        <v/>
      </c>
      <c r="S4953" s="53">
        <f>IF(P4953="","",IF(H4953="USD",G4953*R4953,G4953))</f>
        <v/>
      </c>
      <c r="T4953" s="53">
        <f>IF(P4953="","",IF(H4953="USD",G4953,IF(R4953&gt;0,G4953/R4953,0)))</f>
        <v/>
      </c>
      <c r="U4953" s="53">
        <f>IF(P4953="","",IF(P4953="Gasto",S4953,IF(P4953="Reembolso",-S4953,0)))</f>
        <v/>
      </c>
      <c r="V4953" s="53">
        <f>IF(P4953="","",IF(P4953="Ingreso",S4953,0))</f>
        <v/>
      </c>
      <c r="W4953" s="53">
        <f>IF(P4953="","",IF(P4953="Resultado trading",S4953,0))</f>
        <v/>
      </c>
      <c r="X4953" s="52">
        <f>IF(OR(P4953="Gasto",P4953="Reembolso"),IF(M4953&lt;&gt;"",M4953,IFERROR(INDEX(catClasif,MATCH(D4953&amp;"|"&amp;E4953,catClave,0))&amp;"","Variable")),"")</f>
        <v/>
      </c>
      <c r="Y4953" s="52">
        <f>IF(P4953="","",IFERROR(INDEX(catGrupo,MATCH(D4953&amp;"|"&amp;E4953,catClave,0))&amp;"",""))</f>
        <v/>
      </c>
      <c r="Z4953" s="52">
        <f>IF(P4953="","",WEEKDAY(B4953,2))</f>
        <v/>
      </c>
      <c r="AA4953" s="52">
        <f>IF(P4953="","",IF(AND(P4953="Gasto",X4953="Variable",D4953&lt;&gt;catTrading,S4953&gt;0,S4953&lt;=Umbral),1,0))</f>
        <v/>
      </c>
      <c r="AB4953" s="52">
        <f>IF(OR(P4953="",Q4953=""),"",IFERROR(IF(INDEX(ctaVinc,MATCH(Q4953,ctaNombre,0))&amp;""&lt;&gt;"",INDEX(ctaVinc,MATCH(Q4953,ctaNombre,0))&amp;"",Q4953),Q4953))</f>
        <v/>
      </c>
      <c r="AC4953" s="52">
        <f>IF(OR(K4953="",AND(P4953&lt;&gt;"Transferencia",P4953&lt;&gt;"Pago tarjeta")),"",IFERROR(IF(INDEX(ctaVinc,MATCH(K4953,ctaNombre,0))&amp;""&lt;&gt;"",INDEX(ctaVinc,MATCH(K4953,ctaNombre,0))&amp;"",K4953),K4953))</f>
        <v/>
      </c>
      <c r="AD4953" s="52">
        <f>IF(AB4953="","",IFERROR(INDEX(ctaTipo,MATCH(AB4953,ctaNombre,0))&amp;"",""))</f>
        <v/>
      </c>
      <c r="AE4953" s="52">
        <f>IF(AC4953="","",IFERROR(INDEX(ctaTipo,MATCH(AC4953,ctaNombre,0))&amp;"",""))</f>
        <v/>
      </c>
      <c r="AF4953" s="53">
        <f>IF(OR(P4953="",AB4953=""),"",IF(OR(P4953="Gasto",P4953="Transferencia",P4953="Pago tarjeta"),-1,1)*IF(IFERROR(INDEX(ctaMoneda,MATCH(AB4953,ctaNombre,0))&amp;"","DOP")="USD",T4953,S4953))</f>
        <v/>
      </c>
      <c r="AG4953" s="53">
        <f>IF(AC4953="","",IF(IFERROR(INDEX(ctaMoneda,MATCH(AC4953,ctaNombre,0))&amp;"","DOP")="USD",T4953,S4953))</f>
        <v/>
      </c>
      <c r="AH4953" s="53">
        <f>IF(P4953="","",IF(AND(AD4953&lt;&gt;"",COUNTIFS(tcTipo,AD4953,tcLiq,"Sí")&gt;0),IF(OR(P4953="Gasto",P4953="Transferencia",P4953="Pago tarjeta"),-1,1)*S4953,0)+IF(AND(AE4953&lt;&gt;"",COUNTIFS(tcTipo,AE4953,tcLiq,"Sí")&gt;0),S4953,0))</f>
        <v/>
      </c>
      <c r="AI4953" s="52">
        <f>IF(OR(L4953="",P4953=""),"",IF(COUNTIFS(L$6:L4953,L4953,P$6:P4953,"?*")=1,MAX(AI$5:AI4952)+1,""))</f>
        <v/>
      </c>
    </row>
    <row r="4954">
      <c r="B4954" s="47" t="n"/>
      <c r="C4954" s="48" t="n"/>
      <c r="D4954" s="48" t="n"/>
      <c r="E4954" s="48" t="n"/>
      <c r="F4954" s="48" t="n"/>
      <c r="G4954" s="49" t="n"/>
      <c r="H4954" s="48" t="n"/>
      <c r="I4954" s="50" t="n"/>
      <c r="J4954" s="48" t="n"/>
      <c r="K4954" s="48" t="n"/>
      <c r="L4954" s="48" t="n"/>
      <c r="M4954" s="48" t="n"/>
      <c r="N4954" s="48" t="n"/>
      <c r="O4954" s="51">
        <f>IF(AND(B4954="",G4954="",C4954="",D4954="",J4954=""),"",IF(B4954="","⚠ Falta fecha",IF(G4954="","⚠ Falta monto",IF(Q4954="","⚠ Falta cuenta",IF(ISNA(MATCH(Q4954,ctaNombre,0)),"⚠ Cuenta no registrada",IF(AND(OR(P4954="Gasto",P4954="Reembolso"),D4954=""),"⚠ Falta categoría",IF(AND(D4954&lt;&gt;"",E4954&lt;&gt;"",ISNA(MATCH(D4954&amp;"|"&amp;E4954,catClave,0))),"⚠ Subcategoría no corresponde",IF(AND(OR(P4954="Transferencia",P4954="Pago tarjeta"),K4954=""),"⚠ Falta cuenta destino",IF(AND(K4954&lt;&gt;"",P4954&lt;&gt;"Transferencia",P4954&lt;&gt;"Pago tarjeta"),"⚠ Destino solo aplica a transferencias",IF(AND(K4954&lt;&gt;"",K4954=Q4954),"⚠ Origen igual a destino",IF(AND(K4954&lt;&gt;"",ISNA(MATCH(K4954,ctaNombre,0))),"⚠ Destino no registrado",IF(AND(P4954="Pago tarjeta",AE4954&lt;&gt;"Tarjeta de crédito"),"⚠ El destino debe ser tarjeta de crédito",IF(AND(P4954="Gasto",E4954="Depósitos y retiros"),"⚠ Usa tipo Transferencia",IF(AND(P4954="Resultado trading",AD4954&lt;&gt;"Cuenta de trading"),"⚠ Usa una cuenta de trading",IF(AND(G4954&lt;=0,P4954&lt;&gt;"Ajuste",P4954&lt;&gt;"Resultado trading"),"⚠ El monto debe ser positivo","✓")))))))))))))))</f>
        <v/>
      </c>
      <c r="P4954" s="52">
        <f>IF(OR(B4954="",G4954=""),"",IF(C4954="","Gasto",C4954))</f>
        <v/>
      </c>
      <c r="Q4954" s="52">
        <f>IF(P4954="","",IF(J4954&lt;&gt;"",J4954,CuentaPred&amp;""))</f>
        <v/>
      </c>
      <c r="R4954" s="52">
        <f>IF(P4954="","",IF(ISNUMBER(I4954),I4954,TasaUSD))</f>
        <v/>
      </c>
      <c r="S4954" s="53">
        <f>IF(P4954="","",IF(H4954="USD",G4954*R4954,G4954))</f>
        <v/>
      </c>
      <c r="T4954" s="53">
        <f>IF(P4954="","",IF(H4954="USD",G4954,IF(R4954&gt;0,G4954/R4954,0)))</f>
        <v/>
      </c>
      <c r="U4954" s="53">
        <f>IF(P4954="","",IF(P4954="Gasto",S4954,IF(P4954="Reembolso",-S4954,0)))</f>
        <v/>
      </c>
      <c r="V4954" s="53">
        <f>IF(P4954="","",IF(P4954="Ingreso",S4954,0))</f>
        <v/>
      </c>
      <c r="W4954" s="53">
        <f>IF(P4954="","",IF(P4954="Resultado trading",S4954,0))</f>
        <v/>
      </c>
      <c r="X4954" s="52">
        <f>IF(OR(P4954="Gasto",P4954="Reembolso"),IF(M4954&lt;&gt;"",M4954,IFERROR(INDEX(catClasif,MATCH(D4954&amp;"|"&amp;E4954,catClave,0))&amp;"","Variable")),"")</f>
        <v/>
      </c>
      <c r="Y4954" s="52">
        <f>IF(P4954="","",IFERROR(INDEX(catGrupo,MATCH(D4954&amp;"|"&amp;E4954,catClave,0))&amp;"",""))</f>
        <v/>
      </c>
      <c r="Z4954" s="52">
        <f>IF(P4954="","",WEEKDAY(B4954,2))</f>
        <v/>
      </c>
      <c r="AA4954" s="52">
        <f>IF(P4954="","",IF(AND(P4954="Gasto",X4954="Variable",D4954&lt;&gt;catTrading,S4954&gt;0,S4954&lt;=Umbral),1,0))</f>
        <v/>
      </c>
      <c r="AB4954" s="52">
        <f>IF(OR(P4954="",Q4954=""),"",IFERROR(IF(INDEX(ctaVinc,MATCH(Q4954,ctaNombre,0))&amp;""&lt;&gt;"",INDEX(ctaVinc,MATCH(Q4954,ctaNombre,0))&amp;"",Q4954),Q4954))</f>
        <v/>
      </c>
      <c r="AC4954" s="52">
        <f>IF(OR(K4954="",AND(P4954&lt;&gt;"Transferencia",P4954&lt;&gt;"Pago tarjeta")),"",IFERROR(IF(INDEX(ctaVinc,MATCH(K4954,ctaNombre,0))&amp;""&lt;&gt;"",INDEX(ctaVinc,MATCH(K4954,ctaNombre,0))&amp;"",K4954),K4954))</f>
        <v/>
      </c>
      <c r="AD4954" s="52">
        <f>IF(AB4954="","",IFERROR(INDEX(ctaTipo,MATCH(AB4954,ctaNombre,0))&amp;"",""))</f>
        <v/>
      </c>
      <c r="AE4954" s="52">
        <f>IF(AC4954="","",IFERROR(INDEX(ctaTipo,MATCH(AC4954,ctaNombre,0))&amp;"",""))</f>
        <v/>
      </c>
      <c r="AF4954" s="53">
        <f>IF(OR(P4954="",AB4954=""),"",IF(OR(P4954="Gasto",P4954="Transferencia",P4954="Pago tarjeta"),-1,1)*IF(IFERROR(INDEX(ctaMoneda,MATCH(AB4954,ctaNombre,0))&amp;"","DOP")="USD",T4954,S4954))</f>
        <v/>
      </c>
      <c r="AG4954" s="53">
        <f>IF(AC4954="","",IF(IFERROR(INDEX(ctaMoneda,MATCH(AC4954,ctaNombre,0))&amp;"","DOP")="USD",T4954,S4954))</f>
        <v/>
      </c>
      <c r="AH4954" s="53">
        <f>IF(P4954="","",IF(AND(AD4954&lt;&gt;"",COUNTIFS(tcTipo,AD4954,tcLiq,"Sí")&gt;0),IF(OR(P4954="Gasto",P4954="Transferencia",P4954="Pago tarjeta"),-1,1)*S4954,0)+IF(AND(AE4954&lt;&gt;"",COUNTIFS(tcTipo,AE4954,tcLiq,"Sí")&gt;0),S4954,0))</f>
        <v/>
      </c>
      <c r="AI4954" s="52">
        <f>IF(OR(L4954="",P4954=""),"",IF(COUNTIFS(L$6:L4954,L4954,P$6:P4954,"?*")=1,MAX(AI$5:AI4953)+1,""))</f>
        <v/>
      </c>
    </row>
    <row r="4955">
      <c r="B4955" s="47" t="n"/>
      <c r="C4955" s="48" t="n"/>
      <c r="D4955" s="48" t="n"/>
      <c r="E4955" s="48" t="n"/>
      <c r="F4955" s="48" t="n"/>
      <c r="G4955" s="49" t="n"/>
      <c r="H4955" s="48" t="n"/>
      <c r="I4955" s="50" t="n"/>
      <c r="J4955" s="48" t="n"/>
      <c r="K4955" s="48" t="n"/>
      <c r="L4955" s="48" t="n"/>
      <c r="M4955" s="48" t="n"/>
      <c r="N4955" s="48" t="n"/>
      <c r="O4955" s="51">
        <f>IF(AND(B4955="",G4955="",C4955="",D4955="",J4955=""),"",IF(B4955="","⚠ Falta fecha",IF(G4955="","⚠ Falta monto",IF(Q4955="","⚠ Falta cuenta",IF(ISNA(MATCH(Q4955,ctaNombre,0)),"⚠ Cuenta no registrada",IF(AND(OR(P4955="Gasto",P4955="Reembolso"),D4955=""),"⚠ Falta categoría",IF(AND(D4955&lt;&gt;"",E4955&lt;&gt;"",ISNA(MATCH(D4955&amp;"|"&amp;E4955,catClave,0))),"⚠ Subcategoría no corresponde",IF(AND(OR(P4955="Transferencia",P4955="Pago tarjeta"),K4955=""),"⚠ Falta cuenta destino",IF(AND(K4955&lt;&gt;"",P4955&lt;&gt;"Transferencia",P4955&lt;&gt;"Pago tarjeta"),"⚠ Destino solo aplica a transferencias",IF(AND(K4955&lt;&gt;"",K4955=Q4955),"⚠ Origen igual a destino",IF(AND(K4955&lt;&gt;"",ISNA(MATCH(K4955,ctaNombre,0))),"⚠ Destino no registrado",IF(AND(P4955="Pago tarjeta",AE4955&lt;&gt;"Tarjeta de crédito"),"⚠ El destino debe ser tarjeta de crédito",IF(AND(P4955="Gasto",E4955="Depósitos y retiros"),"⚠ Usa tipo Transferencia",IF(AND(P4955="Resultado trading",AD4955&lt;&gt;"Cuenta de trading"),"⚠ Usa una cuenta de trading",IF(AND(G4955&lt;=0,P4955&lt;&gt;"Ajuste",P4955&lt;&gt;"Resultado trading"),"⚠ El monto debe ser positivo","✓")))))))))))))))</f>
        <v/>
      </c>
      <c r="P4955" s="52">
        <f>IF(OR(B4955="",G4955=""),"",IF(C4955="","Gasto",C4955))</f>
        <v/>
      </c>
      <c r="Q4955" s="52">
        <f>IF(P4955="","",IF(J4955&lt;&gt;"",J4955,CuentaPred&amp;""))</f>
        <v/>
      </c>
      <c r="R4955" s="52">
        <f>IF(P4955="","",IF(ISNUMBER(I4955),I4955,TasaUSD))</f>
        <v/>
      </c>
      <c r="S4955" s="53">
        <f>IF(P4955="","",IF(H4955="USD",G4955*R4955,G4955))</f>
        <v/>
      </c>
      <c r="T4955" s="53">
        <f>IF(P4955="","",IF(H4955="USD",G4955,IF(R4955&gt;0,G4955/R4955,0)))</f>
        <v/>
      </c>
      <c r="U4955" s="53">
        <f>IF(P4955="","",IF(P4955="Gasto",S4955,IF(P4955="Reembolso",-S4955,0)))</f>
        <v/>
      </c>
      <c r="V4955" s="53">
        <f>IF(P4955="","",IF(P4955="Ingreso",S4955,0))</f>
        <v/>
      </c>
      <c r="W4955" s="53">
        <f>IF(P4955="","",IF(P4955="Resultado trading",S4955,0))</f>
        <v/>
      </c>
      <c r="X4955" s="52">
        <f>IF(OR(P4955="Gasto",P4955="Reembolso"),IF(M4955&lt;&gt;"",M4955,IFERROR(INDEX(catClasif,MATCH(D4955&amp;"|"&amp;E4955,catClave,0))&amp;"","Variable")),"")</f>
        <v/>
      </c>
      <c r="Y4955" s="52">
        <f>IF(P4955="","",IFERROR(INDEX(catGrupo,MATCH(D4955&amp;"|"&amp;E4955,catClave,0))&amp;"",""))</f>
        <v/>
      </c>
      <c r="Z4955" s="52">
        <f>IF(P4955="","",WEEKDAY(B4955,2))</f>
        <v/>
      </c>
      <c r="AA4955" s="52">
        <f>IF(P4955="","",IF(AND(P4955="Gasto",X4955="Variable",D4955&lt;&gt;catTrading,S4955&gt;0,S4955&lt;=Umbral),1,0))</f>
        <v/>
      </c>
      <c r="AB4955" s="52">
        <f>IF(OR(P4955="",Q4955=""),"",IFERROR(IF(INDEX(ctaVinc,MATCH(Q4955,ctaNombre,0))&amp;""&lt;&gt;"",INDEX(ctaVinc,MATCH(Q4955,ctaNombre,0))&amp;"",Q4955),Q4955))</f>
        <v/>
      </c>
      <c r="AC4955" s="52">
        <f>IF(OR(K4955="",AND(P4955&lt;&gt;"Transferencia",P4955&lt;&gt;"Pago tarjeta")),"",IFERROR(IF(INDEX(ctaVinc,MATCH(K4955,ctaNombre,0))&amp;""&lt;&gt;"",INDEX(ctaVinc,MATCH(K4955,ctaNombre,0))&amp;"",K4955),K4955))</f>
        <v/>
      </c>
      <c r="AD4955" s="52">
        <f>IF(AB4955="","",IFERROR(INDEX(ctaTipo,MATCH(AB4955,ctaNombre,0))&amp;"",""))</f>
        <v/>
      </c>
      <c r="AE4955" s="52">
        <f>IF(AC4955="","",IFERROR(INDEX(ctaTipo,MATCH(AC4955,ctaNombre,0))&amp;"",""))</f>
        <v/>
      </c>
      <c r="AF4955" s="53">
        <f>IF(OR(P4955="",AB4955=""),"",IF(OR(P4955="Gasto",P4955="Transferencia",P4955="Pago tarjeta"),-1,1)*IF(IFERROR(INDEX(ctaMoneda,MATCH(AB4955,ctaNombre,0))&amp;"","DOP")="USD",T4955,S4955))</f>
        <v/>
      </c>
      <c r="AG4955" s="53">
        <f>IF(AC4955="","",IF(IFERROR(INDEX(ctaMoneda,MATCH(AC4955,ctaNombre,0))&amp;"","DOP")="USD",T4955,S4955))</f>
        <v/>
      </c>
      <c r="AH4955" s="53">
        <f>IF(P4955="","",IF(AND(AD4955&lt;&gt;"",COUNTIFS(tcTipo,AD4955,tcLiq,"Sí")&gt;0),IF(OR(P4955="Gasto",P4955="Transferencia",P4955="Pago tarjeta"),-1,1)*S4955,0)+IF(AND(AE4955&lt;&gt;"",COUNTIFS(tcTipo,AE4955,tcLiq,"Sí")&gt;0),S4955,0))</f>
        <v/>
      </c>
      <c r="AI4955" s="52">
        <f>IF(OR(L4955="",P4955=""),"",IF(COUNTIFS(L$6:L4955,L4955,P$6:P4955,"?*")=1,MAX(AI$5:AI4954)+1,""))</f>
        <v/>
      </c>
    </row>
    <row r="4956">
      <c r="B4956" s="47" t="n"/>
      <c r="C4956" s="48" t="n"/>
      <c r="D4956" s="48" t="n"/>
      <c r="E4956" s="48" t="n"/>
      <c r="F4956" s="48" t="n"/>
      <c r="G4956" s="49" t="n"/>
      <c r="H4956" s="48" t="n"/>
      <c r="I4956" s="50" t="n"/>
      <c r="J4956" s="48" t="n"/>
      <c r="K4956" s="48" t="n"/>
      <c r="L4956" s="48" t="n"/>
      <c r="M4956" s="48" t="n"/>
      <c r="N4956" s="48" t="n"/>
      <c r="O4956" s="51">
        <f>IF(AND(B4956="",G4956="",C4956="",D4956="",J4956=""),"",IF(B4956="","⚠ Falta fecha",IF(G4956="","⚠ Falta monto",IF(Q4956="","⚠ Falta cuenta",IF(ISNA(MATCH(Q4956,ctaNombre,0)),"⚠ Cuenta no registrada",IF(AND(OR(P4956="Gasto",P4956="Reembolso"),D4956=""),"⚠ Falta categoría",IF(AND(D4956&lt;&gt;"",E4956&lt;&gt;"",ISNA(MATCH(D4956&amp;"|"&amp;E4956,catClave,0))),"⚠ Subcategoría no corresponde",IF(AND(OR(P4956="Transferencia",P4956="Pago tarjeta"),K4956=""),"⚠ Falta cuenta destino",IF(AND(K4956&lt;&gt;"",P4956&lt;&gt;"Transferencia",P4956&lt;&gt;"Pago tarjeta"),"⚠ Destino solo aplica a transferencias",IF(AND(K4956&lt;&gt;"",K4956=Q4956),"⚠ Origen igual a destino",IF(AND(K4956&lt;&gt;"",ISNA(MATCH(K4956,ctaNombre,0))),"⚠ Destino no registrado",IF(AND(P4956="Pago tarjeta",AE4956&lt;&gt;"Tarjeta de crédito"),"⚠ El destino debe ser tarjeta de crédito",IF(AND(P4956="Gasto",E4956="Depósitos y retiros"),"⚠ Usa tipo Transferencia",IF(AND(P4956="Resultado trading",AD4956&lt;&gt;"Cuenta de trading"),"⚠ Usa una cuenta de trading",IF(AND(G4956&lt;=0,P4956&lt;&gt;"Ajuste",P4956&lt;&gt;"Resultado trading"),"⚠ El monto debe ser positivo","✓")))))))))))))))</f>
        <v/>
      </c>
      <c r="P4956" s="52">
        <f>IF(OR(B4956="",G4956=""),"",IF(C4956="","Gasto",C4956))</f>
        <v/>
      </c>
      <c r="Q4956" s="52">
        <f>IF(P4956="","",IF(J4956&lt;&gt;"",J4956,CuentaPred&amp;""))</f>
        <v/>
      </c>
      <c r="R4956" s="52">
        <f>IF(P4956="","",IF(ISNUMBER(I4956),I4956,TasaUSD))</f>
        <v/>
      </c>
      <c r="S4956" s="53">
        <f>IF(P4956="","",IF(H4956="USD",G4956*R4956,G4956))</f>
        <v/>
      </c>
      <c r="T4956" s="53">
        <f>IF(P4956="","",IF(H4956="USD",G4956,IF(R4956&gt;0,G4956/R4956,0)))</f>
        <v/>
      </c>
      <c r="U4956" s="53">
        <f>IF(P4956="","",IF(P4956="Gasto",S4956,IF(P4956="Reembolso",-S4956,0)))</f>
        <v/>
      </c>
      <c r="V4956" s="53">
        <f>IF(P4956="","",IF(P4956="Ingreso",S4956,0))</f>
        <v/>
      </c>
      <c r="W4956" s="53">
        <f>IF(P4956="","",IF(P4956="Resultado trading",S4956,0))</f>
        <v/>
      </c>
      <c r="X4956" s="52">
        <f>IF(OR(P4956="Gasto",P4956="Reembolso"),IF(M4956&lt;&gt;"",M4956,IFERROR(INDEX(catClasif,MATCH(D4956&amp;"|"&amp;E4956,catClave,0))&amp;"","Variable")),"")</f>
        <v/>
      </c>
      <c r="Y4956" s="52">
        <f>IF(P4956="","",IFERROR(INDEX(catGrupo,MATCH(D4956&amp;"|"&amp;E4956,catClave,0))&amp;"",""))</f>
        <v/>
      </c>
      <c r="Z4956" s="52">
        <f>IF(P4956="","",WEEKDAY(B4956,2))</f>
        <v/>
      </c>
      <c r="AA4956" s="52">
        <f>IF(P4956="","",IF(AND(P4956="Gasto",X4956="Variable",D4956&lt;&gt;catTrading,S4956&gt;0,S4956&lt;=Umbral),1,0))</f>
        <v/>
      </c>
      <c r="AB4956" s="52">
        <f>IF(OR(P4956="",Q4956=""),"",IFERROR(IF(INDEX(ctaVinc,MATCH(Q4956,ctaNombre,0))&amp;""&lt;&gt;"",INDEX(ctaVinc,MATCH(Q4956,ctaNombre,0))&amp;"",Q4956),Q4956))</f>
        <v/>
      </c>
      <c r="AC4956" s="52">
        <f>IF(OR(K4956="",AND(P4956&lt;&gt;"Transferencia",P4956&lt;&gt;"Pago tarjeta")),"",IFERROR(IF(INDEX(ctaVinc,MATCH(K4956,ctaNombre,0))&amp;""&lt;&gt;"",INDEX(ctaVinc,MATCH(K4956,ctaNombre,0))&amp;"",K4956),K4956))</f>
        <v/>
      </c>
      <c r="AD4956" s="52">
        <f>IF(AB4956="","",IFERROR(INDEX(ctaTipo,MATCH(AB4956,ctaNombre,0))&amp;"",""))</f>
        <v/>
      </c>
      <c r="AE4956" s="52">
        <f>IF(AC4956="","",IFERROR(INDEX(ctaTipo,MATCH(AC4956,ctaNombre,0))&amp;"",""))</f>
        <v/>
      </c>
      <c r="AF4956" s="53">
        <f>IF(OR(P4956="",AB4956=""),"",IF(OR(P4956="Gasto",P4956="Transferencia",P4956="Pago tarjeta"),-1,1)*IF(IFERROR(INDEX(ctaMoneda,MATCH(AB4956,ctaNombre,0))&amp;"","DOP")="USD",T4956,S4956))</f>
        <v/>
      </c>
      <c r="AG4956" s="53">
        <f>IF(AC4956="","",IF(IFERROR(INDEX(ctaMoneda,MATCH(AC4956,ctaNombre,0))&amp;"","DOP")="USD",T4956,S4956))</f>
        <v/>
      </c>
      <c r="AH4956" s="53">
        <f>IF(P4956="","",IF(AND(AD4956&lt;&gt;"",COUNTIFS(tcTipo,AD4956,tcLiq,"Sí")&gt;0),IF(OR(P4956="Gasto",P4956="Transferencia",P4956="Pago tarjeta"),-1,1)*S4956,0)+IF(AND(AE4956&lt;&gt;"",COUNTIFS(tcTipo,AE4956,tcLiq,"Sí")&gt;0),S4956,0))</f>
        <v/>
      </c>
      <c r="AI4956" s="52">
        <f>IF(OR(L4956="",P4956=""),"",IF(COUNTIFS(L$6:L4956,L4956,P$6:P4956,"?*")=1,MAX(AI$5:AI4955)+1,""))</f>
        <v/>
      </c>
    </row>
    <row r="4957">
      <c r="B4957" s="47" t="n"/>
      <c r="C4957" s="48" t="n"/>
      <c r="D4957" s="48" t="n"/>
      <c r="E4957" s="48" t="n"/>
      <c r="F4957" s="48" t="n"/>
      <c r="G4957" s="49" t="n"/>
      <c r="H4957" s="48" t="n"/>
      <c r="I4957" s="50" t="n"/>
      <c r="J4957" s="48" t="n"/>
      <c r="K4957" s="48" t="n"/>
      <c r="L4957" s="48" t="n"/>
      <c r="M4957" s="48" t="n"/>
      <c r="N4957" s="48" t="n"/>
      <c r="O4957" s="51">
        <f>IF(AND(B4957="",G4957="",C4957="",D4957="",J4957=""),"",IF(B4957="","⚠ Falta fecha",IF(G4957="","⚠ Falta monto",IF(Q4957="","⚠ Falta cuenta",IF(ISNA(MATCH(Q4957,ctaNombre,0)),"⚠ Cuenta no registrada",IF(AND(OR(P4957="Gasto",P4957="Reembolso"),D4957=""),"⚠ Falta categoría",IF(AND(D4957&lt;&gt;"",E4957&lt;&gt;"",ISNA(MATCH(D4957&amp;"|"&amp;E4957,catClave,0))),"⚠ Subcategoría no corresponde",IF(AND(OR(P4957="Transferencia",P4957="Pago tarjeta"),K4957=""),"⚠ Falta cuenta destino",IF(AND(K4957&lt;&gt;"",P4957&lt;&gt;"Transferencia",P4957&lt;&gt;"Pago tarjeta"),"⚠ Destino solo aplica a transferencias",IF(AND(K4957&lt;&gt;"",K4957=Q4957),"⚠ Origen igual a destino",IF(AND(K4957&lt;&gt;"",ISNA(MATCH(K4957,ctaNombre,0))),"⚠ Destino no registrado",IF(AND(P4957="Pago tarjeta",AE4957&lt;&gt;"Tarjeta de crédito"),"⚠ El destino debe ser tarjeta de crédito",IF(AND(P4957="Gasto",E4957="Depósitos y retiros"),"⚠ Usa tipo Transferencia",IF(AND(P4957="Resultado trading",AD4957&lt;&gt;"Cuenta de trading"),"⚠ Usa una cuenta de trading",IF(AND(G4957&lt;=0,P4957&lt;&gt;"Ajuste",P4957&lt;&gt;"Resultado trading"),"⚠ El monto debe ser positivo","✓")))))))))))))))</f>
        <v/>
      </c>
      <c r="P4957" s="52">
        <f>IF(OR(B4957="",G4957=""),"",IF(C4957="","Gasto",C4957))</f>
        <v/>
      </c>
      <c r="Q4957" s="52">
        <f>IF(P4957="","",IF(J4957&lt;&gt;"",J4957,CuentaPred&amp;""))</f>
        <v/>
      </c>
      <c r="R4957" s="52">
        <f>IF(P4957="","",IF(ISNUMBER(I4957),I4957,TasaUSD))</f>
        <v/>
      </c>
      <c r="S4957" s="53">
        <f>IF(P4957="","",IF(H4957="USD",G4957*R4957,G4957))</f>
        <v/>
      </c>
      <c r="T4957" s="53">
        <f>IF(P4957="","",IF(H4957="USD",G4957,IF(R4957&gt;0,G4957/R4957,0)))</f>
        <v/>
      </c>
      <c r="U4957" s="53">
        <f>IF(P4957="","",IF(P4957="Gasto",S4957,IF(P4957="Reembolso",-S4957,0)))</f>
        <v/>
      </c>
      <c r="V4957" s="53">
        <f>IF(P4957="","",IF(P4957="Ingreso",S4957,0))</f>
        <v/>
      </c>
      <c r="W4957" s="53">
        <f>IF(P4957="","",IF(P4957="Resultado trading",S4957,0))</f>
        <v/>
      </c>
      <c r="X4957" s="52">
        <f>IF(OR(P4957="Gasto",P4957="Reembolso"),IF(M4957&lt;&gt;"",M4957,IFERROR(INDEX(catClasif,MATCH(D4957&amp;"|"&amp;E4957,catClave,0))&amp;"","Variable")),"")</f>
        <v/>
      </c>
      <c r="Y4957" s="52">
        <f>IF(P4957="","",IFERROR(INDEX(catGrupo,MATCH(D4957&amp;"|"&amp;E4957,catClave,0))&amp;"",""))</f>
        <v/>
      </c>
      <c r="Z4957" s="52">
        <f>IF(P4957="","",WEEKDAY(B4957,2))</f>
        <v/>
      </c>
      <c r="AA4957" s="52">
        <f>IF(P4957="","",IF(AND(P4957="Gasto",X4957="Variable",D4957&lt;&gt;catTrading,S4957&gt;0,S4957&lt;=Umbral),1,0))</f>
        <v/>
      </c>
      <c r="AB4957" s="52">
        <f>IF(OR(P4957="",Q4957=""),"",IFERROR(IF(INDEX(ctaVinc,MATCH(Q4957,ctaNombre,0))&amp;""&lt;&gt;"",INDEX(ctaVinc,MATCH(Q4957,ctaNombre,0))&amp;"",Q4957),Q4957))</f>
        <v/>
      </c>
      <c r="AC4957" s="52">
        <f>IF(OR(K4957="",AND(P4957&lt;&gt;"Transferencia",P4957&lt;&gt;"Pago tarjeta")),"",IFERROR(IF(INDEX(ctaVinc,MATCH(K4957,ctaNombre,0))&amp;""&lt;&gt;"",INDEX(ctaVinc,MATCH(K4957,ctaNombre,0))&amp;"",K4957),K4957))</f>
        <v/>
      </c>
      <c r="AD4957" s="52">
        <f>IF(AB4957="","",IFERROR(INDEX(ctaTipo,MATCH(AB4957,ctaNombre,0))&amp;"",""))</f>
        <v/>
      </c>
      <c r="AE4957" s="52">
        <f>IF(AC4957="","",IFERROR(INDEX(ctaTipo,MATCH(AC4957,ctaNombre,0))&amp;"",""))</f>
        <v/>
      </c>
      <c r="AF4957" s="53">
        <f>IF(OR(P4957="",AB4957=""),"",IF(OR(P4957="Gasto",P4957="Transferencia",P4957="Pago tarjeta"),-1,1)*IF(IFERROR(INDEX(ctaMoneda,MATCH(AB4957,ctaNombre,0))&amp;"","DOP")="USD",T4957,S4957))</f>
        <v/>
      </c>
      <c r="AG4957" s="53">
        <f>IF(AC4957="","",IF(IFERROR(INDEX(ctaMoneda,MATCH(AC4957,ctaNombre,0))&amp;"","DOP")="USD",T4957,S4957))</f>
        <v/>
      </c>
      <c r="AH4957" s="53">
        <f>IF(P4957="","",IF(AND(AD4957&lt;&gt;"",COUNTIFS(tcTipo,AD4957,tcLiq,"Sí")&gt;0),IF(OR(P4957="Gasto",P4957="Transferencia",P4957="Pago tarjeta"),-1,1)*S4957,0)+IF(AND(AE4957&lt;&gt;"",COUNTIFS(tcTipo,AE4957,tcLiq,"Sí")&gt;0),S4957,0))</f>
        <v/>
      </c>
      <c r="AI4957" s="52">
        <f>IF(OR(L4957="",P4957=""),"",IF(COUNTIFS(L$6:L4957,L4957,P$6:P4957,"?*")=1,MAX(AI$5:AI4956)+1,""))</f>
        <v/>
      </c>
    </row>
    <row r="4958">
      <c r="B4958" s="47" t="n"/>
      <c r="C4958" s="48" t="n"/>
      <c r="D4958" s="48" t="n"/>
      <c r="E4958" s="48" t="n"/>
      <c r="F4958" s="48" t="n"/>
      <c r="G4958" s="49" t="n"/>
      <c r="H4958" s="48" t="n"/>
      <c r="I4958" s="50" t="n"/>
      <c r="J4958" s="48" t="n"/>
      <c r="K4958" s="48" t="n"/>
      <c r="L4958" s="48" t="n"/>
      <c r="M4958" s="48" t="n"/>
      <c r="N4958" s="48" t="n"/>
      <c r="O4958" s="51">
        <f>IF(AND(B4958="",G4958="",C4958="",D4958="",J4958=""),"",IF(B4958="","⚠ Falta fecha",IF(G4958="","⚠ Falta monto",IF(Q4958="","⚠ Falta cuenta",IF(ISNA(MATCH(Q4958,ctaNombre,0)),"⚠ Cuenta no registrada",IF(AND(OR(P4958="Gasto",P4958="Reembolso"),D4958=""),"⚠ Falta categoría",IF(AND(D4958&lt;&gt;"",E4958&lt;&gt;"",ISNA(MATCH(D4958&amp;"|"&amp;E4958,catClave,0))),"⚠ Subcategoría no corresponde",IF(AND(OR(P4958="Transferencia",P4958="Pago tarjeta"),K4958=""),"⚠ Falta cuenta destino",IF(AND(K4958&lt;&gt;"",P4958&lt;&gt;"Transferencia",P4958&lt;&gt;"Pago tarjeta"),"⚠ Destino solo aplica a transferencias",IF(AND(K4958&lt;&gt;"",K4958=Q4958),"⚠ Origen igual a destino",IF(AND(K4958&lt;&gt;"",ISNA(MATCH(K4958,ctaNombre,0))),"⚠ Destino no registrado",IF(AND(P4958="Pago tarjeta",AE4958&lt;&gt;"Tarjeta de crédito"),"⚠ El destino debe ser tarjeta de crédito",IF(AND(P4958="Gasto",E4958="Depósitos y retiros"),"⚠ Usa tipo Transferencia",IF(AND(P4958="Resultado trading",AD4958&lt;&gt;"Cuenta de trading"),"⚠ Usa una cuenta de trading",IF(AND(G4958&lt;=0,P4958&lt;&gt;"Ajuste",P4958&lt;&gt;"Resultado trading"),"⚠ El monto debe ser positivo","✓")))))))))))))))</f>
        <v/>
      </c>
      <c r="P4958" s="52">
        <f>IF(OR(B4958="",G4958=""),"",IF(C4958="","Gasto",C4958))</f>
        <v/>
      </c>
      <c r="Q4958" s="52">
        <f>IF(P4958="","",IF(J4958&lt;&gt;"",J4958,CuentaPred&amp;""))</f>
        <v/>
      </c>
      <c r="R4958" s="52">
        <f>IF(P4958="","",IF(ISNUMBER(I4958),I4958,TasaUSD))</f>
        <v/>
      </c>
      <c r="S4958" s="53">
        <f>IF(P4958="","",IF(H4958="USD",G4958*R4958,G4958))</f>
        <v/>
      </c>
      <c r="T4958" s="53">
        <f>IF(P4958="","",IF(H4958="USD",G4958,IF(R4958&gt;0,G4958/R4958,0)))</f>
        <v/>
      </c>
      <c r="U4958" s="53">
        <f>IF(P4958="","",IF(P4958="Gasto",S4958,IF(P4958="Reembolso",-S4958,0)))</f>
        <v/>
      </c>
      <c r="V4958" s="53">
        <f>IF(P4958="","",IF(P4958="Ingreso",S4958,0))</f>
        <v/>
      </c>
      <c r="W4958" s="53">
        <f>IF(P4958="","",IF(P4958="Resultado trading",S4958,0))</f>
        <v/>
      </c>
      <c r="X4958" s="52">
        <f>IF(OR(P4958="Gasto",P4958="Reembolso"),IF(M4958&lt;&gt;"",M4958,IFERROR(INDEX(catClasif,MATCH(D4958&amp;"|"&amp;E4958,catClave,0))&amp;"","Variable")),"")</f>
        <v/>
      </c>
      <c r="Y4958" s="52">
        <f>IF(P4958="","",IFERROR(INDEX(catGrupo,MATCH(D4958&amp;"|"&amp;E4958,catClave,0))&amp;"",""))</f>
        <v/>
      </c>
      <c r="Z4958" s="52">
        <f>IF(P4958="","",WEEKDAY(B4958,2))</f>
        <v/>
      </c>
      <c r="AA4958" s="52">
        <f>IF(P4958="","",IF(AND(P4958="Gasto",X4958="Variable",D4958&lt;&gt;catTrading,S4958&gt;0,S4958&lt;=Umbral),1,0))</f>
        <v/>
      </c>
      <c r="AB4958" s="52">
        <f>IF(OR(P4958="",Q4958=""),"",IFERROR(IF(INDEX(ctaVinc,MATCH(Q4958,ctaNombre,0))&amp;""&lt;&gt;"",INDEX(ctaVinc,MATCH(Q4958,ctaNombre,0))&amp;"",Q4958),Q4958))</f>
        <v/>
      </c>
      <c r="AC4958" s="52">
        <f>IF(OR(K4958="",AND(P4958&lt;&gt;"Transferencia",P4958&lt;&gt;"Pago tarjeta")),"",IFERROR(IF(INDEX(ctaVinc,MATCH(K4958,ctaNombre,0))&amp;""&lt;&gt;"",INDEX(ctaVinc,MATCH(K4958,ctaNombre,0))&amp;"",K4958),K4958))</f>
        <v/>
      </c>
      <c r="AD4958" s="52">
        <f>IF(AB4958="","",IFERROR(INDEX(ctaTipo,MATCH(AB4958,ctaNombre,0))&amp;"",""))</f>
        <v/>
      </c>
      <c r="AE4958" s="52">
        <f>IF(AC4958="","",IFERROR(INDEX(ctaTipo,MATCH(AC4958,ctaNombre,0))&amp;"",""))</f>
        <v/>
      </c>
      <c r="AF4958" s="53">
        <f>IF(OR(P4958="",AB4958=""),"",IF(OR(P4958="Gasto",P4958="Transferencia",P4958="Pago tarjeta"),-1,1)*IF(IFERROR(INDEX(ctaMoneda,MATCH(AB4958,ctaNombre,0))&amp;"","DOP")="USD",T4958,S4958))</f>
        <v/>
      </c>
      <c r="AG4958" s="53">
        <f>IF(AC4958="","",IF(IFERROR(INDEX(ctaMoneda,MATCH(AC4958,ctaNombre,0))&amp;"","DOP")="USD",T4958,S4958))</f>
        <v/>
      </c>
      <c r="AH4958" s="53">
        <f>IF(P4958="","",IF(AND(AD4958&lt;&gt;"",COUNTIFS(tcTipo,AD4958,tcLiq,"Sí")&gt;0),IF(OR(P4958="Gasto",P4958="Transferencia",P4958="Pago tarjeta"),-1,1)*S4958,0)+IF(AND(AE4958&lt;&gt;"",COUNTIFS(tcTipo,AE4958,tcLiq,"Sí")&gt;0),S4958,0))</f>
        <v/>
      </c>
      <c r="AI4958" s="52">
        <f>IF(OR(L4958="",P4958=""),"",IF(COUNTIFS(L$6:L4958,L4958,P$6:P4958,"?*")=1,MAX(AI$5:AI4957)+1,""))</f>
        <v/>
      </c>
    </row>
    <row r="4959">
      <c r="B4959" s="47" t="n"/>
      <c r="C4959" s="48" t="n"/>
      <c r="D4959" s="48" t="n"/>
      <c r="E4959" s="48" t="n"/>
      <c r="F4959" s="48" t="n"/>
      <c r="G4959" s="49" t="n"/>
      <c r="H4959" s="48" t="n"/>
      <c r="I4959" s="50" t="n"/>
      <c r="J4959" s="48" t="n"/>
      <c r="K4959" s="48" t="n"/>
      <c r="L4959" s="48" t="n"/>
      <c r="M4959" s="48" t="n"/>
      <c r="N4959" s="48" t="n"/>
      <c r="O4959" s="51">
        <f>IF(AND(B4959="",G4959="",C4959="",D4959="",J4959=""),"",IF(B4959="","⚠ Falta fecha",IF(G4959="","⚠ Falta monto",IF(Q4959="","⚠ Falta cuenta",IF(ISNA(MATCH(Q4959,ctaNombre,0)),"⚠ Cuenta no registrada",IF(AND(OR(P4959="Gasto",P4959="Reembolso"),D4959=""),"⚠ Falta categoría",IF(AND(D4959&lt;&gt;"",E4959&lt;&gt;"",ISNA(MATCH(D4959&amp;"|"&amp;E4959,catClave,0))),"⚠ Subcategoría no corresponde",IF(AND(OR(P4959="Transferencia",P4959="Pago tarjeta"),K4959=""),"⚠ Falta cuenta destino",IF(AND(K4959&lt;&gt;"",P4959&lt;&gt;"Transferencia",P4959&lt;&gt;"Pago tarjeta"),"⚠ Destino solo aplica a transferencias",IF(AND(K4959&lt;&gt;"",K4959=Q4959),"⚠ Origen igual a destino",IF(AND(K4959&lt;&gt;"",ISNA(MATCH(K4959,ctaNombre,0))),"⚠ Destino no registrado",IF(AND(P4959="Pago tarjeta",AE4959&lt;&gt;"Tarjeta de crédito"),"⚠ El destino debe ser tarjeta de crédito",IF(AND(P4959="Gasto",E4959="Depósitos y retiros"),"⚠ Usa tipo Transferencia",IF(AND(P4959="Resultado trading",AD4959&lt;&gt;"Cuenta de trading"),"⚠ Usa una cuenta de trading",IF(AND(G4959&lt;=0,P4959&lt;&gt;"Ajuste",P4959&lt;&gt;"Resultado trading"),"⚠ El monto debe ser positivo","✓")))))))))))))))</f>
        <v/>
      </c>
      <c r="P4959" s="52">
        <f>IF(OR(B4959="",G4959=""),"",IF(C4959="","Gasto",C4959))</f>
        <v/>
      </c>
      <c r="Q4959" s="52">
        <f>IF(P4959="","",IF(J4959&lt;&gt;"",J4959,CuentaPred&amp;""))</f>
        <v/>
      </c>
      <c r="R4959" s="52">
        <f>IF(P4959="","",IF(ISNUMBER(I4959),I4959,TasaUSD))</f>
        <v/>
      </c>
      <c r="S4959" s="53">
        <f>IF(P4959="","",IF(H4959="USD",G4959*R4959,G4959))</f>
        <v/>
      </c>
      <c r="T4959" s="53">
        <f>IF(P4959="","",IF(H4959="USD",G4959,IF(R4959&gt;0,G4959/R4959,0)))</f>
        <v/>
      </c>
      <c r="U4959" s="53">
        <f>IF(P4959="","",IF(P4959="Gasto",S4959,IF(P4959="Reembolso",-S4959,0)))</f>
        <v/>
      </c>
      <c r="V4959" s="53">
        <f>IF(P4959="","",IF(P4959="Ingreso",S4959,0))</f>
        <v/>
      </c>
      <c r="W4959" s="53">
        <f>IF(P4959="","",IF(P4959="Resultado trading",S4959,0))</f>
        <v/>
      </c>
      <c r="X4959" s="52">
        <f>IF(OR(P4959="Gasto",P4959="Reembolso"),IF(M4959&lt;&gt;"",M4959,IFERROR(INDEX(catClasif,MATCH(D4959&amp;"|"&amp;E4959,catClave,0))&amp;"","Variable")),"")</f>
        <v/>
      </c>
      <c r="Y4959" s="52">
        <f>IF(P4959="","",IFERROR(INDEX(catGrupo,MATCH(D4959&amp;"|"&amp;E4959,catClave,0))&amp;"",""))</f>
        <v/>
      </c>
      <c r="Z4959" s="52">
        <f>IF(P4959="","",WEEKDAY(B4959,2))</f>
        <v/>
      </c>
      <c r="AA4959" s="52">
        <f>IF(P4959="","",IF(AND(P4959="Gasto",X4959="Variable",D4959&lt;&gt;catTrading,S4959&gt;0,S4959&lt;=Umbral),1,0))</f>
        <v/>
      </c>
      <c r="AB4959" s="52">
        <f>IF(OR(P4959="",Q4959=""),"",IFERROR(IF(INDEX(ctaVinc,MATCH(Q4959,ctaNombre,0))&amp;""&lt;&gt;"",INDEX(ctaVinc,MATCH(Q4959,ctaNombre,0))&amp;"",Q4959),Q4959))</f>
        <v/>
      </c>
      <c r="AC4959" s="52">
        <f>IF(OR(K4959="",AND(P4959&lt;&gt;"Transferencia",P4959&lt;&gt;"Pago tarjeta")),"",IFERROR(IF(INDEX(ctaVinc,MATCH(K4959,ctaNombre,0))&amp;""&lt;&gt;"",INDEX(ctaVinc,MATCH(K4959,ctaNombre,0))&amp;"",K4959),K4959))</f>
        <v/>
      </c>
      <c r="AD4959" s="52">
        <f>IF(AB4959="","",IFERROR(INDEX(ctaTipo,MATCH(AB4959,ctaNombre,0))&amp;"",""))</f>
        <v/>
      </c>
      <c r="AE4959" s="52">
        <f>IF(AC4959="","",IFERROR(INDEX(ctaTipo,MATCH(AC4959,ctaNombre,0))&amp;"",""))</f>
        <v/>
      </c>
      <c r="AF4959" s="53">
        <f>IF(OR(P4959="",AB4959=""),"",IF(OR(P4959="Gasto",P4959="Transferencia",P4959="Pago tarjeta"),-1,1)*IF(IFERROR(INDEX(ctaMoneda,MATCH(AB4959,ctaNombre,0))&amp;"","DOP")="USD",T4959,S4959))</f>
        <v/>
      </c>
      <c r="AG4959" s="53">
        <f>IF(AC4959="","",IF(IFERROR(INDEX(ctaMoneda,MATCH(AC4959,ctaNombre,0))&amp;"","DOP")="USD",T4959,S4959))</f>
        <v/>
      </c>
      <c r="AH4959" s="53">
        <f>IF(P4959="","",IF(AND(AD4959&lt;&gt;"",COUNTIFS(tcTipo,AD4959,tcLiq,"Sí")&gt;0),IF(OR(P4959="Gasto",P4959="Transferencia",P4959="Pago tarjeta"),-1,1)*S4959,0)+IF(AND(AE4959&lt;&gt;"",COUNTIFS(tcTipo,AE4959,tcLiq,"Sí")&gt;0),S4959,0))</f>
        <v/>
      </c>
      <c r="AI4959" s="52">
        <f>IF(OR(L4959="",P4959=""),"",IF(COUNTIFS(L$6:L4959,L4959,P$6:P4959,"?*")=1,MAX(AI$5:AI4958)+1,""))</f>
        <v/>
      </c>
    </row>
    <row r="4960">
      <c r="B4960" s="47" t="n"/>
      <c r="C4960" s="48" t="n"/>
      <c r="D4960" s="48" t="n"/>
      <c r="E4960" s="48" t="n"/>
      <c r="F4960" s="48" t="n"/>
      <c r="G4960" s="49" t="n"/>
      <c r="H4960" s="48" t="n"/>
      <c r="I4960" s="50" t="n"/>
      <c r="J4960" s="48" t="n"/>
      <c r="K4960" s="48" t="n"/>
      <c r="L4960" s="48" t="n"/>
      <c r="M4960" s="48" t="n"/>
      <c r="N4960" s="48" t="n"/>
      <c r="O4960" s="51">
        <f>IF(AND(B4960="",G4960="",C4960="",D4960="",J4960=""),"",IF(B4960="","⚠ Falta fecha",IF(G4960="","⚠ Falta monto",IF(Q4960="","⚠ Falta cuenta",IF(ISNA(MATCH(Q4960,ctaNombre,0)),"⚠ Cuenta no registrada",IF(AND(OR(P4960="Gasto",P4960="Reembolso"),D4960=""),"⚠ Falta categoría",IF(AND(D4960&lt;&gt;"",E4960&lt;&gt;"",ISNA(MATCH(D4960&amp;"|"&amp;E4960,catClave,0))),"⚠ Subcategoría no corresponde",IF(AND(OR(P4960="Transferencia",P4960="Pago tarjeta"),K4960=""),"⚠ Falta cuenta destino",IF(AND(K4960&lt;&gt;"",P4960&lt;&gt;"Transferencia",P4960&lt;&gt;"Pago tarjeta"),"⚠ Destino solo aplica a transferencias",IF(AND(K4960&lt;&gt;"",K4960=Q4960),"⚠ Origen igual a destino",IF(AND(K4960&lt;&gt;"",ISNA(MATCH(K4960,ctaNombre,0))),"⚠ Destino no registrado",IF(AND(P4960="Pago tarjeta",AE4960&lt;&gt;"Tarjeta de crédito"),"⚠ El destino debe ser tarjeta de crédito",IF(AND(P4960="Gasto",E4960="Depósitos y retiros"),"⚠ Usa tipo Transferencia",IF(AND(P4960="Resultado trading",AD4960&lt;&gt;"Cuenta de trading"),"⚠ Usa una cuenta de trading",IF(AND(G4960&lt;=0,P4960&lt;&gt;"Ajuste",P4960&lt;&gt;"Resultado trading"),"⚠ El monto debe ser positivo","✓")))))))))))))))</f>
        <v/>
      </c>
      <c r="P4960" s="52">
        <f>IF(OR(B4960="",G4960=""),"",IF(C4960="","Gasto",C4960))</f>
        <v/>
      </c>
      <c r="Q4960" s="52">
        <f>IF(P4960="","",IF(J4960&lt;&gt;"",J4960,CuentaPred&amp;""))</f>
        <v/>
      </c>
      <c r="R4960" s="52">
        <f>IF(P4960="","",IF(ISNUMBER(I4960),I4960,TasaUSD))</f>
        <v/>
      </c>
      <c r="S4960" s="53">
        <f>IF(P4960="","",IF(H4960="USD",G4960*R4960,G4960))</f>
        <v/>
      </c>
      <c r="T4960" s="53">
        <f>IF(P4960="","",IF(H4960="USD",G4960,IF(R4960&gt;0,G4960/R4960,0)))</f>
        <v/>
      </c>
      <c r="U4960" s="53">
        <f>IF(P4960="","",IF(P4960="Gasto",S4960,IF(P4960="Reembolso",-S4960,0)))</f>
        <v/>
      </c>
      <c r="V4960" s="53">
        <f>IF(P4960="","",IF(P4960="Ingreso",S4960,0))</f>
        <v/>
      </c>
      <c r="W4960" s="53">
        <f>IF(P4960="","",IF(P4960="Resultado trading",S4960,0))</f>
        <v/>
      </c>
      <c r="X4960" s="52">
        <f>IF(OR(P4960="Gasto",P4960="Reembolso"),IF(M4960&lt;&gt;"",M4960,IFERROR(INDEX(catClasif,MATCH(D4960&amp;"|"&amp;E4960,catClave,0))&amp;"","Variable")),"")</f>
        <v/>
      </c>
      <c r="Y4960" s="52">
        <f>IF(P4960="","",IFERROR(INDEX(catGrupo,MATCH(D4960&amp;"|"&amp;E4960,catClave,0))&amp;"",""))</f>
        <v/>
      </c>
      <c r="Z4960" s="52">
        <f>IF(P4960="","",WEEKDAY(B4960,2))</f>
        <v/>
      </c>
      <c r="AA4960" s="52">
        <f>IF(P4960="","",IF(AND(P4960="Gasto",X4960="Variable",D4960&lt;&gt;catTrading,S4960&gt;0,S4960&lt;=Umbral),1,0))</f>
        <v/>
      </c>
      <c r="AB4960" s="52">
        <f>IF(OR(P4960="",Q4960=""),"",IFERROR(IF(INDEX(ctaVinc,MATCH(Q4960,ctaNombre,0))&amp;""&lt;&gt;"",INDEX(ctaVinc,MATCH(Q4960,ctaNombre,0))&amp;"",Q4960),Q4960))</f>
        <v/>
      </c>
      <c r="AC4960" s="52">
        <f>IF(OR(K4960="",AND(P4960&lt;&gt;"Transferencia",P4960&lt;&gt;"Pago tarjeta")),"",IFERROR(IF(INDEX(ctaVinc,MATCH(K4960,ctaNombre,0))&amp;""&lt;&gt;"",INDEX(ctaVinc,MATCH(K4960,ctaNombre,0))&amp;"",K4960),K4960))</f>
        <v/>
      </c>
      <c r="AD4960" s="52">
        <f>IF(AB4960="","",IFERROR(INDEX(ctaTipo,MATCH(AB4960,ctaNombre,0))&amp;"",""))</f>
        <v/>
      </c>
      <c r="AE4960" s="52">
        <f>IF(AC4960="","",IFERROR(INDEX(ctaTipo,MATCH(AC4960,ctaNombre,0))&amp;"",""))</f>
        <v/>
      </c>
      <c r="AF4960" s="53">
        <f>IF(OR(P4960="",AB4960=""),"",IF(OR(P4960="Gasto",P4960="Transferencia",P4960="Pago tarjeta"),-1,1)*IF(IFERROR(INDEX(ctaMoneda,MATCH(AB4960,ctaNombre,0))&amp;"","DOP")="USD",T4960,S4960))</f>
        <v/>
      </c>
      <c r="AG4960" s="53">
        <f>IF(AC4960="","",IF(IFERROR(INDEX(ctaMoneda,MATCH(AC4960,ctaNombre,0))&amp;"","DOP")="USD",T4960,S4960))</f>
        <v/>
      </c>
      <c r="AH4960" s="53">
        <f>IF(P4960="","",IF(AND(AD4960&lt;&gt;"",COUNTIFS(tcTipo,AD4960,tcLiq,"Sí")&gt;0),IF(OR(P4960="Gasto",P4960="Transferencia",P4960="Pago tarjeta"),-1,1)*S4960,0)+IF(AND(AE4960&lt;&gt;"",COUNTIFS(tcTipo,AE4960,tcLiq,"Sí")&gt;0),S4960,0))</f>
        <v/>
      </c>
      <c r="AI4960" s="52">
        <f>IF(OR(L4960="",P4960=""),"",IF(COUNTIFS(L$6:L4960,L4960,P$6:P4960,"?*")=1,MAX(AI$5:AI4959)+1,""))</f>
        <v/>
      </c>
    </row>
    <row r="4961">
      <c r="B4961" s="47" t="n"/>
      <c r="C4961" s="48" t="n"/>
      <c r="D4961" s="48" t="n"/>
      <c r="E4961" s="48" t="n"/>
      <c r="F4961" s="48" t="n"/>
      <c r="G4961" s="49" t="n"/>
      <c r="H4961" s="48" t="n"/>
      <c r="I4961" s="50" t="n"/>
      <c r="J4961" s="48" t="n"/>
      <c r="K4961" s="48" t="n"/>
      <c r="L4961" s="48" t="n"/>
      <c r="M4961" s="48" t="n"/>
      <c r="N4961" s="48" t="n"/>
      <c r="O4961" s="51">
        <f>IF(AND(B4961="",G4961="",C4961="",D4961="",J4961=""),"",IF(B4961="","⚠ Falta fecha",IF(G4961="","⚠ Falta monto",IF(Q4961="","⚠ Falta cuenta",IF(ISNA(MATCH(Q4961,ctaNombre,0)),"⚠ Cuenta no registrada",IF(AND(OR(P4961="Gasto",P4961="Reembolso"),D4961=""),"⚠ Falta categoría",IF(AND(D4961&lt;&gt;"",E4961&lt;&gt;"",ISNA(MATCH(D4961&amp;"|"&amp;E4961,catClave,0))),"⚠ Subcategoría no corresponde",IF(AND(OR(P4961="Transferencia",P4961="Pago tarjeta"),K4961=""),"⚠ Falta cuenta destino",IF(AND(K4961&lt;&gt;"",P4961&lt;&gt;"Transferencia",P4961&lt;&gt;"Pago tarjeta"),"⚠ Destino solo aplica a transferencias",IF(AND(K4961&lt;&gt;"",K4961=Q4961),"⚠ Origen igual a destino",IF(AND(K4961&lt;&gt;"",ISNA(MATCH(K4961,ctaNombre,0))),"⚠ Destino no registrado",IF(AND(P4961="Pago tarjeta",AE4961&lt;&gt;"Tarjeta de crédito"),"⚠ El destino debe ser tarjeta de crédito",IF(AND(P4961="Gasto",E4961="Depósitos y retiros"),"⚠ Usa tipo Transferencia",IF(AND(P4961="Resultado trading",AD4961&lt;&gt;"Cuenta de trading"),"⚠ Usa una cuenta de trading",IF(AND(G4961&lt;=0,P4961&lt;&gt;"Ajuste",P4961&lt;&gt;"Resultado trading"),"⚠ El monto debe ser positivo","✓")))))))))))))))</f>
        <v/>
      </c>
      <c r="P4961" s="52">
        <f>IF(OR(B4961="",G4961=""),"",IF(C4961="","Gasto",C4961))</f>
        <v/>
      </c>
      <c r="Q4961" s="52">
        <f>IF(P4961="","",IF(J4961&lt;&gt;"",J4961,CuentaPred&amp;""))</f>
        <v/>
      </c>
      <c r="R4961" s="52">
        <f>IF(P4961="","",IF(ISNUMBER(I4961),I4961,TasaUSD))</f>
        <v/>
      </c>
      <c r="S4961" s="53">
        <f>IF(P4961="","",IF(H4961="USD",G4961*R4961,G4961))</f>
        <v/>
      </c>
      <c r="T4961" s="53">
        <f>IF(P4961="","",IF(H4961="USD",G4961,IF(R4961&gt;0,G4961/R4961,0)))</f>
        <v/>
      </c>
      <c r="U4961" s="53">
        <f>IF(P4961="","",IF(P4961="Gasto",S4961,IF(P4961="Reembolso",-S4961,0)))</f>
        <v/>
      </c>
      <c r="V4961" s="53">
        <f>IF(P4961="","",IF(P4961="Ingreso",S4961,0))</f>
        <v/>
      </c>
      <c r="W4961" s="53">
        <f>IF(P4961="","",IF(P4961="Resultado trading",S4961,0))</f>
        <v/>
      </c>
      <c r="X4961" s="52">
        <f>IF(OR(P4961="Gasto",P4961="Reembolso"),IF(M4961&lt;&gt;"",M4961,IFERROR(INDEX(catClasif,MATCH(D4961&amp;"|"&amp;E4961,catClave,0))&amp;"","Variable")),"")</f>
        <v/>
      </c>
      <c r="Y4961" s="52">
        <f>IF(P4961="","",IFERROR(INDEX(catGrupo,MATCH(D4961&amp;"|"&amp;E4961,catClave,0))&amp;"",""))</f>
        <v/>
      </c>
      <c r="Z4961" s="52">
        <f>IF(P4961="","",WEEKDAY(B4961,2))</f>
        <v/>
      </c>
      <c r="AA4961" s="52">
        <f>IF(P4961="","",IF(AND(P4961="Gasto",X4961="Variable",D4961&lt;&gt;catTrading,S4961&gt;0,S4961&lt;=Umbral),1,0))</f>
        <v/>
      </c>
      <c r="AB4961" s="52">
        <f>IF(OR(P4961="",Q4961=""),"",IFERROR(IF(INDEX(ctaVinc,MATCH(Q4961,ctaNombre,0))&amp;""&lt;&gt;"",INDEX(ctaVinc,MATCH(Q4961,ctaNombre,0))&amp;"",Q4961),Q4961))</f>
        <v/>
      </c>
      <c r="AC4961" s="52">
        <f>IF(OR(K4961="",AND(P4961&lt;&gt;"Transferencia",P4961&lt;&gt;"Pago tarjeta")),"",IFERROR(IF(INDEX(ctaVinc,MATCH(K4961,ctaNombre,0))&amp;""&lt;&gt;"",INDEX(ctaVinc,MATCH(K4961,ctaNombre,0))&amp;"",K4961),K4961))</f>
        <v/>
      </c>
      <c r="AD4961" s="52">
        <f>IF(AB4961="","",IFERROR(INDEX(ctaTipo,MATCH(AB4961,ctaNombre,0))&amp;"",""))</f>
        <v/>
      </c>
      <c r="AE4961" s="52">
        <f>IF(AC4961="","",IFERROR(INDEX(ctaTipo,MATCH(AC4961,ctaNombre,0))&amp;"",""))</f>
        <v/>
      </c>
      <c r="AF4961" s="53">
        <f>IF(OR(P4961="",AB4961=""),"",IF(OR(P4961="Gasto",P4961="Transferencia",P4961="Pago tarjeta"),-1,1)*IF(IFERROR(INDEX(ctaMoneda,MATCH(AB4961,ctaNombre,0))&amp;"","DOP")="USD",T4961,S4961))</f>
        <v/>
      </c>
      <c r="AG4961" s="53">
        <f>IF(AC4961="","",IF(IFERROR(INDEX(ctaMoneda,MATCH(AC4961,ctaNombre,0))&amp;"","DOP")="USD",T4961,S4961))</f>
        <v/>
      </c>
      <c r="AH4961" s="53">
        <f>IF(P4961="","",IF(AND(AD4961&lt;&gt;"",COUNTIFS(tcTipo,AD4961,tcLiq,"Sí")&gt;0),IF(OR(P4961="Gasto",P4961="Transferencia",P4961="Pago tarjeta"),-1,1)*S4961,0)+IF(AND(AE4961&lt;&gt;"",COUNTIFS(tcTipo,AE4961,tcLiq,"Sí")&gt;0),S4961,0))</f>
        <v/>
      </c>
      <c r="AI4961" s="52">
        <f>IF(OR(L4961="",P4961=""),"",IF(COUNTIFS(L$6:L4961,L4961,P$6:P4961,"?*")=1,MAX(AI$5:AI4960)+1,""))</f>
        <v/>
      </c>
    </row>
    <row r="4962">
      <c r="B4962" s="47" t="n"/>
      <c r="C4962" s="48" t="n"/>
      <c r="D4962" s="48" t="n"/>
      <c r="E4962" s="48" t="n"/>
      <c r="F4962" s="48" t="n"/>
      <c r="G4962" s="49" t="n"/>
      <c r="H4962" s="48" t="n"/>
      <c r="I4962" s="50" t="n"/>
      <c r="J4962" s="48" t="n"/>
      <c r="K4962" s="48" t="n"/>
      <c r="L4962" s="48" t="n"/>
      <c r="M4962" s="48" t="n"/>
      <c r="N4962" s="48" t="n"/>
      <c r="O4962" s="51">
        <f>IF(AND(B4962="",G4962="",C4962="",D4962="",J4962=""),"",IF(B4962="","⚠ Falta fecha",IF(G4962="","⚠ Falta monto",IF(Q4962="","⚠ Falta cuenta",IF(ISNA(MATCH(Q4962,ctaNombre,0)),"⚠ Cuenta no registrada",IF(AND(OR(P4962="Gasto",P4962="Reembolso"),D4962=""),"⚠ Falta categoría",IF(AND(D4962&lt;&gt;"",E4962&lt;&gt;"",ISNA(MATCH(D4962&amp;"|"&amp;E4962,catClave,0))),"⚠ Subcategoría no corresponde",IF(AND(OR(P4962="Transferencia",P4962="Pago tarjeta"),K4962=""),"⚠ Falta cuenta destino",IF(AND(K4962&lt;&gt;"",P4962&lt;&gt;"Transferencia",P4962&lt;&gt;"Pago tarjeta"),"⚠ Destino solo aplica a transferencias",IF(AND(K4962&lt;&gt;"",K4962=Q4962),"⚠ Origen igual a destino",IF(AND(K4962&lt;&gt;"",ISNA(MATCH(K4962,ctaNombre,0))),"⚠ Destino no registrado",IF(AND(P4962="Pago tarjeta",AE4962&lt;&gt;"Tarjeta de crédito"),"⚠ El destino debe ser tarjeta de crédito",IF(AND(P4962="Gasto",E4962="Depósitos y retiros"),"⚠ Usa tipo Transferencia",IF(AND(P4962="Resultado trading",AD4962&lt;&gt;"Cuenta de trading"),"⚠ Usa una cuenta de trading",IF(AND(G4962&lt;=0,P4962&lt;&gt;"Ajuste",P4962&lt;&gt;"Resultado trading"),"⚠ El monto debe ser positivo","✓")))))))))))))))</f>
        <v/>
      </c>
      <c r="P4962" s="52">
        <f>IF(OR(B4962="",G4962=""),"",IF(C4962="","Gasto",C4962))</f>
        <v/>
      </c>
      <c r="Q4962" s="52">
        <f>IF(P4962="","",IF(J4962&lt;&gt;"",J4962,CuentaPred&amp;""))</f>
        <v/>
      </c>
      <c r="R4962" s="52">
        <f>IF(P4962="","",IF(ISNUMBER(I4962),I4962,TasaUSD))</f>
        <v/>
      </c>
      <c r="S4962" s="53">
        <f>IF(P4962="","",IF(H4962="USD",G4962*R4962,G4962))</f>
        <v/>
      </c>
      <c r="T4962" s="53">
        <f>IF(P4962="","",IF(H4962="USD",G4962,IF(R4962&gt;0,G4962/R4962,0)))</f>
        <v/>
      </c>
      <c r="U4962" s="53">
        <f>IF(P4962="","",IF(P4962="Gasto",S4962,IF(P4962="Reembolso",-S4962,0)))</f>
        <v/>
      </c>
      <c r="V4962" s="53">
        <f>IF(P4962="","",IF(P4962="Ingreso",S4962,0))</f>
        <v/>
      </c>
      <c r="W4962" s="53">
        <f>IF(P4962="","",IF(P4962="Resultado trading",S4962,0))</f>
        <v/>
      </c>
      <c r="X4962" s="52">
        <f>IF(OR(P4962="Gasto",P4962="Reembolso"),IF(M4962&lt;&gt;"",M4962,IFERROR(INDEX(catClasif,MATCH(D4962&amp;"|"&amp;E4962,catClave,0))&amp;"","Variable")),"")</f>
        <v/>
      </c>
      <c r="Y4962" s="52">
        <f>IF(P4962="","",IFERROR(INDEX(catGrupo,MATCH(D4962&amp;"|"&amp;E4962,catClave,0))&amp;"",""))</f>
        <v/>
      </c>
      <c r="Z4962" s="52">
        <f>IF(P4962="","",WEEKDAY(B4962,2))</f>
        <v/>
      </c>
      <c r="AA4962" s="52">
        <f>IF(P4962="","",IF(AND(P4962="Gasto",X4962="Variable",D4962&lt;&gt;catTrading,S4962&gt;0,S4962&lt;=Umbral),1,0))</f>
        <v/>
      </c>
      <c r="AB4962" s="52">
        <f>IF(OR(P4962="",Q4962=""),"",IFERROR(IF(INDEX(ctaVinc,MATCH(Q4962,ctaNombre,0))&amp;""&lt;&gt;"",INDEX(ctaVinc,MATCH(Q4962,ctaNombre,0))&amp;"",Q4962),Q4962))</f>
        <v/>
      </c>
      <c r="AC4962" s="52">
        <f>IF(OR(K4962="",AND(P4962&lt;&gt;"Transferencia",P4962&lt;&gt;"Pago tarjeta")),"",IFERROR(IF(INDEX(ctaVinc,MATCH(K4962,ctaNombre,0))&amp;""&lt;&gt;"",INDEX(ctaVinc,MATCH(K4962,ctaNombre,0))&amp;"",K4962),K4962))</f>
        <v/>
      </c>
      <c r="AD4962" s="52">
        <f>IF(AB4962="","",IFERROR(INDEX(ctaTipo,MATCH(AB4962,ctaNombre,0))&amp;"",""))</f>
        <v/>
      </c>
      <c r="AE4962" s="52">
        <f>IF(AC4962="","",IFERROR(INDEX(ctaTipo,MATCH(AC4962,ctaNombre,0))&amp;"",""))</f>
        <v/>
      </c>
      <c r="AF4962" s="53">
        <f>IF(OR(P4962="",AB4962=""),"",IF(OR(P4962="Gasto",P4962="Transferencia",P4962="Pago tarjeta"),-1,1)*IF(IFERROR(INDEX(ctaMoneda,MATCH(AB4962,ctaNombre,0))&amp;"","DOP")="USD",T4962,S4962))</f>
        <v/>
      </c>
      <c r="AG4962" s="53">
        <f>IF(AC4962="","",IF(IFERROR(INDEX(ctaMoneda,MATCH(AC4962,ctaNombre,0))&amp;"","DOP")="USD",T4962,S4962))</f>
        <v/>
      </c>
      <c r="AH4962" s="53">
        <f>IF(P4962="","",IF(AND(AD4962&lt;&gt;"",COUNTIFS(tcTipo,AD4962,tcLiq,"Sí")&gt;0),IF(OR(P4962="Gasto",P4962="Transferencia",P4962="Pago tarjeta"),-1,1)*S4962,0)+IF(AND(AE4962&lt;&gt;"",COUNTIFS(tcTipo,AE4962,tcLiq,"Sí")&gt;0),S4962,0))</f>
        <v/>
      </c>
      <c r="AI4962" s="52">
        <f>IF(OR(L4962="",P4962=""),"",IF(COUNTIFS(L$6:L4962,L4962,P$6:P4962,"?*")=1,MAX(AI$5:AI4961)+1,""))</f>
        <v/>
      </c>
    </row>
    <row r="4963">
      <c r="B4963" s="47" t="n"/>
      <c r="C4963" s="48" t="n"/>
      <c r="D4963" s="48" t="n"/>
      <c r="E4963" s="48" t="n"/>
      <c r="F4963" s="48" t="n"/>
      <c r="G4963" s="49" t="n"/>
      <c r="H4963" s="48" t="n"/>
      <c r="I4963" s="50" t="n"/>
      <c r="J4963" s="48" t="n"/>
      <c r="K4963" s="48" t="n"/>
      <c r="L4963" s="48" t="n"/>
      <c r="M4963" s="48" t="n"/>
      <c r="N4963" s="48" t="n"/>
      <c r="O4963" s="51">
        <f>IF(AND(B4963="",G4963="",C4963="",D4963="",J4963=""),"",IF(B4963="","⚠ Falta fecha",IF(G4963="","⚠ Falta monto",IF(Q4963="","⚠ Falta cuenta",IF(ISNA(MATCH(Q4963,ctaNombre,0)),"⚠ Cuenta no registrada",IF(AND(OR(P4963="Gasto",P4963="Reembolso"),D4963=""),"⚠ Falta categoría",IF(AND(D4963&lt;&gt;"",E4963&lt;&gt;"",ISNA(MATCH(D4963&amp;"|"&amp;E4963,catClave,0))),"⚠ Subcategoría no corresponde",IF(AND(OR(P4963="Transferencia",P4963="Pago tarjeta"),K4963=""),"⚠ Falta cuenta destino",IF(AND(K4963&lt;&gt;"",P4963&lt;&gt;"Transferencia",P4963&lt;&gt;"Pago tarjeta"),"⚠ Destino solo aplica a transferencias",IF(AND(K4963&lt;&gt;"",K4963=Q4963),"⚠ Origen igual a destino",IF(AND(K4963&lt;&gt;"",ISNA(MATCH(K4963,ctaNombre,0))),"⚠ Destino no registrado",IF(AND(P4963="Pago tarjeta",AE4963&lt;&gt;"Tarjeta de crédito"),"⚠ El destino debe ser tarjeta de crédito",IF(AND(P4963="Gasto",E4963="Depósitos y retiros"),"⚠ Usa tipo Transferencia",IF(AND(P4963="Resultado trading",AD4963&lt;&gt;"Cuenta de trading"),"⚠ Usa una cuenta de trading",IF(AND(G4963&lt;=0,P4963&lt;&gt;"Ajuste",P4963&lt;&gt;"Resultado trading"),"⚠ El monto debe ser positivo","✓")))))))))))))))</f>
        <v/>
      </c>
      <c r="P4963" s="52">
        <f>IF(OR(B4963="",G4963=""),"",IF(C4963="","Gasto",C4963))</f>
        <v/>
      </c>
      <c r="Q4963" s="52">
        <f>IF(P4963="","",IF(J4963&lt;&gt;"",J4963,CuentaPred&amp;""))</f>
        <v/>
      </c>
      <c r="R4963" s="52">
        <f>IF(P4963="","",IF(ISNUMBER(I4963),I4963,TasaUSD))</f>
        <v/>
      </c>
      <c r="S4963" s="53">
        <f>IF(P4963="","",IF(H4963="USD",G4963*R4963,G4963))</f>
        <v/>
      </c>
      <c r="T4963" s="53">
        <f>IF(P4963="","",IF(H4963="USD",G4963,IF(R4963&gt;0,G4963/R4963,0)))</f>
        <v/>
      </c>
      <c r="U4963" s="53">
        <f>IF(P4963="","",IF(P4963="Gasto",S4963,IF(P4963="Reembolso",-S4963,0)))</f>
        <v/>
      </c>
      <c r="V4963" s="53">
        <f>IF(P4963="","",IF(P4963="Ingreso",S4963,0))</f>
        <v/>
      </c>
      <c r="W4963" s="53">
        <f>IF(P4963="","",IF(P4963="Resultado trading",S4963,0))</f>
        <v/>
      </c>
      <c r="X4963" s="52">
        <f>IF(OR(P4963="Gasto",P4963="Reembolso"),IF(M4963&lt;&gt;"",M4963,IFERROR(INDEX(catClasif,MATCH(D4963&amp;"|"&amp;E4963,catClave,0))&amp;"","Variable")),"")</f>
        <v/>
      </c>
      <c r="Y4963" s="52">
        <f>IF(P4963="","",IFERROR(INDEX(catGrupo,MATCH(D4963&amp;"|"&amp;E4963,catClave,0))&amp;"",""))</f>
        <v/>
      </c>
      <c r="Z4963" s="52">
        <f>IF(P4963="","",WEEKDAY(B4963,2))</f>
        <v/>
      </c>
      <c r="AA4963" s="52">
        <f>IF(P4963="","",IF(AND(P4963="Gasto",X4963="Variable",D4963&lt;&gt;catTrading,S4963&gt;0,S4963&lt;=Umbral),1,0))</f>
        <v/>
      </c>
      <c r="AB4963" s="52">
        <f>IF(OR(P4963="",Q4963=""),"",IFERROR(IF(INDEX(ctaVinc,MATCH(Q4963,ctaNombre,0))&amp;""&lt;&gt;"",INDEX(ctaVinc,MATCH(Q4963,ctaNombre,0))&amp;"",Q4963),Q4963))</f>
        <v/>
      </c>
      <c r="AC4963" s="52">
        <f>IF(OR(K4963="",AND(P4963&lt;&gt;"Transferencia",P4963&lt;&gt;"Pago tarjeta")),"",IFERROR(IF(INDEX(ctaVinc,MATCH(K4963,ctaNombre,0))&amp;""&lt;&gt;"",INDEX(ctaVinc,MATCH(K4963,ctaNombre,0))&amp;"",K4963),K4963))</f>
        <v/>
      </c>
      <c r="AD4963" s="52">
        <f>IF(AB4963="","",IFERROR(INDEX(ctaTipo,MATCH(AB4963,ctaNombre,0))&amp;"",""))</f>
        <v/>
      </c>
      <c r="AE4963" s="52">
        <f>IF(AC4963="","",IFERROR(INDEX(ctaTipo,MATCH(AC4963,ctaNombre,0))&amp;"",""))</f>
        <v/>
      </c>
      <c r="AF4963" s="53">
        <f>IF(OR(P4963="",AB4963=""),"",IF(OR(P4963="Gasto",P4963="Transferencia",P4963="Pago tarjeta"),-1,1)*IF(IFERROR(INDEX(ctaMoneda,MATCH(AB4963,ctaNombre,0))&amp;"","DOP")="USD",T4963,S4963))</f>
        <v/>
      </c>
      <c r="AG4963" s="53">
        <f>IF(AC4963="","",IF(IFERROR(INDEX(ctaMoneda,MATCH(AC4963,ctaNombre,0))&amp;"","DOP")="USD",T4963,S4963))</f>
        <v/>
      </c>
      <c r="AH4963" s="53">
        <f>IF(P4963="","",IF(AND(AD4963&lt;&gt;"",COUNTIFS(tcTipo,AD4963,tcLiq,"Sí")&gt;0),IF(OR(P4963="Gasto",P4963="Transferencia",P4963="Pago tarjeta"),-1,1)*S4963,0)+IF(AND(AE4963&lt;&gt;"",COUNTIFS(tcTipo,AE4963,tcLiq,"Sí")&gt;0),S4963,0))</f>
        <v/>
      </c>
      <c r="AI4963" s="52">
        <f>IF(OR(L4963="",P4963=""),"",IF(COUNTIFS(L$6:L4963,L4963,P$6:P4963,"?*")=1,MAX(AI$5:AI4962)+1,""))</f>
        <v/>
      </c>
    </row>
    <row r="4964">
      <c r="B4964" s="47" t="n"/>
      <c r="C4964" s="48" t="n"/>
      <c r="D4964" s="48" t="n"/>
      <c r="E4964" s="48" t="n"/>
      <c r="F4964" s="48" t="n"/>
      <c r="G4964" s="49" t="n"/>
      <c r="H4964" s="48" t="n"/>
      <c r="I4964" s="50" t="n"/>
      <c r="J4964" s="48" t="n"/>
      <c r="K4964" s="48" t="n"/>
      <c r="L4964" s="48" t="n"/>
      <c r="M4964" s="48" t="n"/>
      <c r="N4964" s="48" t="n"/>
      <c r="O4964" s="51">
        <f>IF(AND(B4964="",G4964="",C4964="",D4964="",J4964=""),"",IF(B4964="","⚠ Falta fecha",IF(G4964="","⚠ Falta monto",IF(Q4964="","⚠ Falta cuenta",IF(ISNA(MATCH(Q4964,ctaNombre,0)),"⚠ Cuenta no registrada",IF(AND(OR(P4964="Gasto",P4964="Reembolso"),D4964=""),"⚠ Falta categoría",IF(AND(D4964&lt;&gt;"",E4964&lt;&gt;"",ISNA(MATCH(D4964&amp;"|"&amp;E4964,catClave,0))),"⚠ Subcategoría no corresponde",IF(AND(OR(P4964="Transferencia",P4964="Pago tarjeta"),K4964=""),"⚠ Falta cuenta destino",IF(AND(K4964&lt;&gt;"",P4964&lt;&gt;"Transferencia",P4964&lt;&gt;"Pago tarjeta"),"⚠ Destino solo aplica a transferencias",IF(AND(K4964&lt;&gt;"",K4964=Q4964),"⚠ Origen igual a destino",IF(AND(K4964&lt;&gt;"",ISNA(MATCH(K4964,ctaNombre,0))),"⚠ Destino no registrado",IF(AND(P4964="Pago tarjeta",AE4964&lt;&gt;"Tarjeta de crédito"),"⚠ El destino debe ser tarjeta de crédito",IF(AND(P4964="Gasto",E4964="Depósitos y retiros"),"⚠ Usa tipo Transferencia",IF(AND(P4964="Resultado trading",AD4964&lt;&gt;"Cuenta de trading"),"⚠ Usa una cuenta de trading",IF(AND(G4964&lt;=0,P4964&lt;&gt;"Ajuste",P4964&lt;&gt;"Resultado trading"),"⚠ El monto debe ser positivo","✓")))))))))))))))</f>
        <v/>
      </c>
      <c r="P4964" s="52">
        <f>IF(OR(B4964="",G4964=""),"",IF(C4964="","Gasto",C4964))</f>
        <v/>
      </c>
      <c r="Q4964" s="52">
        <f>IF(P4964="","",IF(J4964&lt;&gt;"",J4964,CuentaPred&amp;""))</f>
        <v/>
      </c>
      <c r="R4964" s="52">
        <f>IF(P4964="","",IF(ISNUMBER(I4964),I4964,TasaUSD))</f>
        <v/>
      </c>
      <c r="S4964" s="53">
        <f>IF(P4964="","",IF(H4964="USD",G4964*R4964,G4964))</f>
        <v/>
      </c>
      <c r="T4964" s="53">
        <f>IF(P4964="","",IF(H4964="USD",G4964,IF(R4964&gt;0,G4964/R4964,0)))</f>
        <v/>
      </c>
      <c r="U4964" s="53">
        <f>IF(P4964="","",IF(P4964="Gasto",S4964,IF(P4964="Reembolso",-S4964,0)))</f>
        <v/>
      </c>
      <c r="V4964" s="53">
        <f>IF(P4964="","",IF(P4964="Ingreso",S4964,0))</f>
        <v/>
      </c>
      <c r="W4964" s="53">
        <f>IF(P4964="","",IF(P4964="Resultado trading",S4964,0))</f>
        <v/>
      </c>
      <c r="X4964" s="52">
        <f>IF(OR(P4964="Gasto",P4964="Reembolso"),IF(M4964&lt;&gt;"",M4964,IFERROR(INDEX(catClasif,MATCH(D4964&amp;"|"&amp;E4964,catClave,0))&amp;"","Variable")),"")</f>
        <v/>
      </c>
      <c r="Y4964" s="52">
        <f>IF(P4964="","",IFERROR(INDEX(catGrupo,MATCH(D4964&amp;"|"&amp;E4964,catClave,0))&amp;"",""))</f>
        <v/>
      </c>
      <c r="Z4964" s="52">
        <f>IF(P4964="","",WEEKDAY(B4964,2))</f>
        <v/>
      </c>
      <c r="AA4964" s="52">
        <f>IF(P4964="","",IF(AND(P4964="Gasto",X4964="Variable",D4964&lt;&gt;catTrading,S4964&gt;0,S4964&lt;=Umbral),1,0))</f>
        <v/>
      </c>
      <c r="AB4964" s="52">
        <f>IF(OR(P4964="",Q4964=""),"",IFERROR(IF(INDEX(ctaVinc,MATCH(Q4964,ctaNombre,0))&amp;""&lt;&gt;"",INDEX(ctaVinc,MATCH(Q4964,ctaNombre,0))&amp;"",Q4964),Q4964))</f>
        <v/>
      </c>
      <c r="AC4964" s="52">
        <f>IF(OR(K4964="",AND(P4964&lt;&gt;"Transferencia",P4964&lt;&gt;"Pago tarjeta")),"",IFERROR(IF(INDEX(ctaVinc,MATCH(K4964,ctaNombre,0))&amp;""&lt;&gt;"",INDEX(ctaVinc,MATCH(K4964,ctaNombre,0))&amp;"",K4964),K4964))</f>
        <v/>
      </c>
      <c r="AD4964" s="52">
        <f>IF(AB4964="","",IFERROR(INDEX(ctaTipo,MATCH(AB4964,ctaNombre,0))&amp;"",""))</f>
        <v/>
      </c>
      <c r="AE4964" s="52">
        <f>IF(AC4964="","",IFERROR(INDEX(ctaTipo,MATCH(AC4964,ctaNombre,0))&amp;"",""))</f>
        <v/>
      </c>
      <c r="AF4964" s="53">
        <f>IF(OR(P4964="",AB4964=""),"",IF(OR(P4964="Gasto",P4964="Transferencia",P4964="Pago tarjeta"),-1,1)*IF(IFERROR(INDEX(ctaMoneda,MATCH(AB4964,ctaNombre,0))&amp;"","DOP")="USD",T4964,S4964))</f>
        <v/>
      </c>
      <c r="AG4964" s="53">
        <f>IF(AC4964="","",IF(IFERROR(INDEX(ctaMoneda,MATCH(AC4964,ctaNombre,0))&amp;"","DOP")="USD",T4964,S4964))</f>
        <v/>
      </c>
      <c r="AH4964" s="53">
        <f>IF(P4964="","",IF(AND(AD4964&lt;&gt;"",COUNTIFS(tcTipo,AD4964,tcLiq,"Sí")&gt;0),IF(OR(P4964="Gasto",P4964="Transferencia",P4964="Pago tarjeta"),-1,1)*S4964,0)+IF(AND(AE4964&lt;&gt;"",COUNTIFS(tcTipo,AE4964,tcLiq,"Sí")&gt;0),S4964,0))</f>
        <v/>
      </c>
      <c r="AI4964" s="52">
        <f>IF(OR(L4964="",P4964=""),"",IF(COUNTIFS(L$6:L4964,L4964,P$6:P4964,"?*")=1,MAX(AI$5:AI4963)+1,""))</f>
        <v/>
      </c>
    </row>
    <row r="4965">
      <c r="B4965" s="47" t="n"/>
      <c r="C4965" s="48" t="n"/>
      <c r="D4965" s="48" t="n"/>
      <c r="E4965" s="48" t="n"/>
      <c r="F4965" s="48" t="n"/>
      <c r="G4965" s="49" t="n"/>
      <c r="H4965" s="48" t="n"/>
      <c r="I4965" s="50" t="n"/>
      <c r="J4965" s="48" t="n"/>
      <c r="K4965" s="48" t="n"/>
      <c r="L4965" s="48" t="n"/>
      <c r="M4965" s="48" t="n"/>
      <c r="N4965" s="48" t="n"/>
      <c r="O4965" s="51">
        <f>IF(AND(B4965="",G4965="",C4965="",D4965="",J4965=""),"",IF(B4965="","⚠ Falta fecha",IF(G4965="","⚠ Falta monto",IF(Q4965="","⚠ Falta cuenta",IF(ISNA(MATCH(Q4965,ctaNombre,0)),"⚠ Cuenta no registrada",IF(AND(OR(P4965="Gasto",P4965="Reembolso"),D4965=""),"⚠ Falta categoría",IF(AND(D4965&lt;&gt;"",E4965&lt;&gt;"",ISNA(MATCH(D4965&amp;"|"&amp;E4965,catClave,0))),"⚠ Subcategoría no corresponde",IF(AND(OR(P4965="Transferencia",P4965="Pago tarjeta"),K4965=""),"⚠ Falta cuenta destino",IF(AND(K4965&lt;&gt;"",P4965&lt;&gt;"Transferencia",P4965&lt;&gt;"Pago tarjeta"),"⚠ Destino solo aplica a transferencias",IF(AND(K4965&lt;&gt;"",K4965=Q4965),"⚠ Origen igual a destino",IF(AND(K4965&lt;&gt;"",ISNA(MATCH(K4965,ctaNombre,0))),"⚠ Destino no registrado",IF(AND(P4965="Pago tarjeta",AE4965&lt;&gt;"Tarjeta de crédito"),"⚠ El destino debe ser tarjeta de crédito",IF(AND(P4965="Gasto",E4965="Depósitos y retiros"),"⚠ Usa tipo Transferencia",IF(AND(P4965="Resultado trading",AD4965&lt;&gt;"Cuenta de trading"),"⚠ Usa una cuenta de trading",IF(AND(G4965&lt;=0,P4965&lt;&gt;"Ajuste",P4965&lt;&gt;"Resultado trading"),"⚠ El monto debe ser positivo","✓")))))))))))))))</f>
        <v/>
      </c>
      <c r="P4965" s="52">
        <f>IF(OR(B4965="",G4965=""),"",IF(C4965="","Gasto",C4965))</f>
        <v/>
      </c>
      <c r="Q4965" s="52">
        <f>IF(P4965="","",IF(J4965&lt;&gt;"",J4965,CuentaPred&amp;""))</f>
        <v/>
      </c>
      <c r="R4965" s="52">
        <f>IF(P4965="","",IF(ISNUMBER(I4965),I4965,TasaUSD))</f>
        <v/>
      </c>
      <c r="S4965" s="53">
        <f>IF(P4965="","",IF(H4965="USD",G4965*R4965,G4965))</f>
        <v/>
      </c>
      <c r="T4965" s="53">
        <f>IF(P4965="","",IF(H4965="USD",G4965,IF(R4965&gt;0,G4965/R4965,0)))</f>
        <v/>
      </c>
      <c r="U4965" s="53">
        <f>IF(P4965="","",IF(P4965="Gasto",S4965,IF(P4965="Reembolso",-S4965,0)))</f>
        <v/>
      </c>
      <c r="V4965" s="53">
        <f>IF(P4965="","",IF(P4965="Ingreso",S4965,0))</f>
        <v/>
      </c>
      <c r="W4965" s="53">
        <f>IF(P4965="","",IF(P4965="Resultado trading",S4965,0))</f>
        <v/>
      </c>
      <c r="X4965" s="52">
        <f>IF(OR(P4965="Gasto",P4965="Reembolso"),IF(M4965&lt;&gt;"",M4965,IFERROR(INDEX(catClasif,MATCH(D4965&amp;"|"&amp;E4965,catClave,0))&amp;"","Variable")),"")</f>
        <v/>
      </c>
      <c r="Y4965" s="52">
        <f>IF(P4965="","",IFERROR(INDEX(catGrupo,MATCH(D4965&amp;"|"&amp;E4965,catClave,0))&amp;"",""))</f>
        <v/>
      </c>
      <c r="Z4965" s="52">
        <f>IF(P4965="","",WEEKDAY(B4965,2))</f>
        <v/>
      </c>
      <c r="AA4965" s="52">
        <f>IF(P4965="","",IF(AND(P4965="Gasto",X4965="Variable",D4965&lt;&gt;catTrading,S4965&gt;0,S4965&lt;=Umbral),1,0))</f>
        <v/>
      </c>
      <c r="AB4965" s="52">
        <f>IF(OR(P4965="",Q4965=""),"",IFERROR(IF(INDEX(ctaVinc,MATCH(Q4965,ctaNombre,0))&amp;""&lt;&gt;"",INDEX(ctaVinc,MATCH(Q4965,ctaNombre,0))&amp;"",Q4965),Q4965))</f>
        <v/>
      </c>
      <c r="AC4965" s="52">
        <f>IF(OR(K4965="",AND(P4965&lt;&gt;"Transferencia",P4965&lt;&gt;"Pago tarjeta")),"",IFERROR(IF(INDEX(ctaVinc,MATCH(K4965,ctaNombre,0))&amp;""&lt;&gt;"",INDEX(ctaVinc,MATCH(K4965,ctaNombre,0))&amp;"",K4965),K4965))</f>
        <v/>
      </c>
      <c r="AD4965" s="52">
        <f>IF(AB4965="","",IFERROR(INDEX(ctaTipo,MATCH(AB4965,ctaNombre,0))&amp;"",""))</f>
        <v/>
      </c>
      <c r="AE4965" s="52">
        <f>IF(AC4965="","",IFERROR(INDEX(ctaTipo,MATCH(AC4965,ctaNombre,0))&amp;"",""))</f>
        <v/>
      </c>
      <c r="AF4965" s="53">
        <f>IF(OR(P4965="",AB4965=""),"",IF(OR(P4965="Gasto",P4965="Transferencia",P4965="Pago tarjeta"),-1,1)*IF(IFERROR(INDEX(ctaMoneda,MATCH(AB4965,ctaNombre,0))&amp;"","DOP")="USD",T4965,S4965))</f>
        <v/>
      </c>
      <c r="AG4965" s="53">
        <f>IF(AC4965="","",IF(IFERROR(INDEX(ctaMoneda,MATCH(AC4965,ctaNombre,0))&amp;"","DOP")="USD",T4965,S4965))</f>
        <v/>
      </c>
      <c r="AH4965" s="53">
        <f>IF(P4965="","",IF(AND(AD4965&lt;&gt;"",COUNTIFS(tcTipo,AD4965,tcLiq,"Sí")&gt;0),IF(OR(P4965="Gasto",P4965="Transferencia",P4965="Pago tarjeta"),-1,1)*S4965,0)+IF(AND(AE4965&lt;&gt;"",COUNTIFS(tcTipo,AE4965,tcLiq,"Sí")&gt;0),S4965,0))</f>
        <v/>
      </c>
      <c r="AI4965" s="52">
        <f>IF(OR(L4965="",P4965=""),"",IF(COUNTIFS(L$6:L4965,L4965,P$6:P4965,"?*")=1,MAX(AI$5:AI4964)+1,""))</f>
        <v/>
      </c>
    </row>
    <row r="4966">
      <c r="B4966" s="47" t="n"/>
      <c r="C4966" s="48" t="n"/>
      <c r="D4966" s="48" t="n"/>
      <c r="E4966" s="48" t="n"/>
      <c r="F4966" s="48" t="n"/>
      <c r="G4966" s="49" t="n"/>
      <c r="H4966" s="48" t="n"/>
      <c r="I4966" s="50" t="n"/>
      <c r="J4966" s="48" t="n"/>
      <c r="K4966" s="48" t="n"/>
      <c r="L4966" s="48" t="n"/>
      <c r="M4966" s="48" t="n"/>
      <c r="N4966" s="48" t="n"/>
      <c r="O4966" s="51">
        <f>IF(AND(B4966="",G4966="",C4966="",D4966="",J4966=""),"",IF(B4966="","⚠ Falta fecha",IF(G4966="","⚠ Falta monto",IF(Q4966="","⚠ Falta cuenta",IF(ISNA(MATCH(Q4966,ctaNombre,0)),"⚠ Cuenta no registrada",IF(AND(OR(P4966="Gasto",P4966="Reembolso"),D4966=""),"⚠ Falta categoría",IF(AND(D4966&lt;&gt;"",E4966&lt;&gt;"",ISNA(MATCH(D4966&amp;"|"&amp;E4966,catClave,0))),"⚠ Subcategoría no corresponde",IF(AND(OR(P4966="Transferencia",P4966="Pago tarjeta"),K4966=""),"⚠ Falta cuenta destino",IF(AND(K4966&lt;&gt;"",P4966&lt;&gt;"Transferencia",P4966&lt;&gt;"Pago tarjeta"),"⚠ Destino solo aplica a transferencias",IF(AND(K4966&lt;&gt;"",K4966=Q4966),"⚠ Origen igual a destino",IF(AND(K4966&lt;&gt;"",ISNA(MATCH(K4966,ctaNombre,0))),"⚠ Destino no registrado",IF(AND(P4966="Pago tarjeta",AE4966&lt;&gt;"Tarjeta de crédito"),"⚠ El destino debe ser tarjeta de crédito",IF(AND(P4966="Gasto",E4966="Depósitos y retiros"),"⚠ Usa tipo Transferencia",IF(AND(P4966="Resultado trading",AD4966&lt;&gt;"Cuenta de trading"),"⚠ Usa una cuenta de trading",IF(AND(G4966&lt;=0,P4966&lt;&gt;"Ajuste",P4966&lt;&gt;"Resultado trading"),"⚠ El monto debe ser positivo","✓")))))))))))))))</f>
        <v/>
      </c>
      <c r="P4966" s="52">
        <f>IF(OR(B4966="",G4966=""),"",IF(C4966="","Gasto",C4966))</f>
        <v/>
      </c>
      <c r="Q4966" s="52">
        <f>IF(P4966="","",IF(J4966&lt;&gt;"",J4966,CuentaPred&amp;""))</f>
        <v/>
      </c>
      <c r="R4966" s="52">
        <f>IF(P4966="","",IF(ISNUMBER(I4966),I4966,TasaUSD))</f>
        <v/>
      </c>
      <c r="S4966" s="53">
        <f>IF(P4966="","",IF(H4966="USD",G4966*R4966,G4966))</f>
        <v/>
      </c>
      <c r="T4966" s="53">
        <f>IF(P4966="","",IF(H4966="USD",G4966,IF(R4966&gt;0,G4966/R4966,0)))</f>
        <v/>
      </c>
      <c r="U4966" s="53">
        <f>IF(P4966="","",IF(P4966="Gasto",S4966,IF(P4966="Reembolso",-S4966,0)))</f>
        <v/>
      </c>
      <c r="V4966" s="53">
        <f>IF(P4966="","",IF(P4966="Ingreso",S4966,0))</f>
        <v/>
      </c>
      <c r="W4966" s="53">
        <f>IF(P4966="","",IF(P4966="Resultado trading",S4966,0))</f>
        <v/>
      </c>
      <c r="X4966" s="52">
        <f>IF(OR(P4966="Gasto",P4966="Reembolso"),IF(M4966&lt;&gt;"",M4966,IFERROR(INDEX(catClasif,MATCH(D4966&amp;"|"&amp;E4966,catClave,0))&amp;"","Variable")),"")</f>
        <v/>
      </c>
      <c r="Y4966" s="52">
        <f>IF(P4966="","",IFERROR(INDEX(catGrupo,MATCH(D4966&amp;"|"&amp;E4966,catClave,0))&amp;"",""))</f>
        <v/>
      </c>
      <c r="Z4966" s="52">
        <f>IF(P4966="","",WEEKDAY(B4966,2))</f>
        <v/>
      </c>
      <c r="AA4966" s="52">
        <f>IF(P4966="","",IF(AND(P4966="Gasto",X4966="Variable",D4966&lt;&gt;catTrading,S4966&gt;0,S4966&lt;=Umbral),1,0))</f>
        <v/>
      </c>
      <c r="AB4966" s="52">
        <f>IF(OR(P4966="",Q4966=""),"",IFERROR(IF(INDEX(ctaVinc,MATCH(Q4966,ctaNombre,0))&amp;""&lt;&gt;"",INDEX(ctaVinc,MATCH(Q4966,ctaNombre,0))&amp;"",Q4966),Q4966))</f>
        <v/>
      </c>
      <c r="AC4966" s="52">
        <f>IF(OR(K4966="",AND(P4966&lt;&gt;"Transferencia",P4966&lt;&gt;"Pago tarjeta")),"",IFERROR(IF(INDEX(ctaVinc,MATCH(K4966,ctaNombre,0))&amp;""&lt;&gt;"",INDEX(ctaVinc,MATCH(K4966,ctaNombre,0))&amp;"",K4966),K4966))</f>
        <v/>
      </c>
      <c r="AD4966" s="52">
        <f>IF(AB4966="","",IFERROR(INDEX(ctaTipo,MATCH(AB4966,ctaNombre,0))&amp;"",""))</f>
        <v/>
      </c>
      <c r="AE4966" s="52">
        <f>IF(AC4966="","",IFERROR(INDEX(ctaTipo,MATCH(AC4966,ctaNombre,0))&amp;"",""))</f>
        <v/>
      </c>
      <c r="AF4966" s="53">
        <f>IF(OR(P4966="",AB4966=""),"",IF(OR(P4966="Gasto",P4966="Transferencia",P4966="Pago tarjeta"),-1,1)*IF(IFERROR(INDEX(ctaMoneda,MATCH(AB4966,ctaNombre,0))&amp;"","DOP")="USD",T4966,S4966))</f>
        <v/>
      </c>
      <c r="AG4966" s="53">
        <f>IF(AC4966="","",IF(IFERROR(INDEX(ctaMoneda,MATCH(AC4966,ctaNombre,0))&amp;"","DOP")="USD",T4966,S4966))</f>
        <v/>
      </c>
      <c r="AH4966" s="53">
        <f>IF(P4966="","",IF(AND(AD4966&lt;&gt;"",COUNTIFS(tcTipo,AD4966,tcLiq,"Sí")&gt;0),IF(OR(P4966="Gasto",P4966="Transferencia",P4966="Pago tarjeta"),-1,1)*S4966,0)+IF(AND(AE4966&lt;&gt;"",COUNTIFS(tcTipo,AE4966,tcLiq,"Sí")&gt;0),S4966,0))</f>
        <v/>
      </c>
      <c r="AI4966" s="52">
        <f>IF(OR(L4966="",P4966=""),"",IF(COUNTIFS(L$6:L4966,L4966,P$6:P4966,"?*")=1,MAX(AI$5:AI4965)+1,""))</f>
        <v/>
      </c>
    </row>
    <row r="4967">
      <c r="B4967" s="47" t="n"/>
      <c r="C4967" s="48" t="n"/>
      <c r="D4967" s="48" t="n"/>
      <c r="E4967" s="48" t="n"/>
      <c r="F4967" s="48" t="n"/>
      <c r="G4967" s="49" t="n"/>
      <c r="H4967" s="48" t="n"/>
      <c r="I4967" s="50" t="n"/>
      <c r="J4967" s="48" t="n"/>
      <c r="K4967" s="48" t="n"/>
      <c r="L4967" s="48" t="n"/>
      <c r="M4967" s="48" t="n"/>
      <c r="N4967" s="48" t="n"/>
      <c r="O4967" s="51">
        <f>IF(AND(B4967="",G4967="",C4967="",D4967="",J4967=""),"",IF(B4967="","⚠ Falta fecha",IF(G4967="","⚠ Falta monto",IF(Q4967="","⚠ Falta cuenta",IF(ISNA(MATCH(Q4967,ctaNombre,0)),"⚠ Cuenta no registrada",IF(AND(OR(P4967="Gasto",P4967="Reembolso"),D4967=""),"⚠ Falta categoría",IF(AND(D4967&lt;&gt;"",E4967&lt;&gt;"",ISNA(MATCH(D4967&amp;"|"&amp;E4967,catClave,0))),"⚠ Subcategoría no corresponde",IF(AND(OR(P4967="Transferencia",P4967="Pago tarjeta"),K4967=""),"⚠ Falta cuenta destino",IF(AND(K4967&lt;&gt;"",P4967&lt;&gt;"Transferencia",P4967&lt;&gt;"Pago tarjeta"),"⚠ Destino solo aplica a transferencias",IF(AND(K4967&lt;&gt;"",K4967=Q4967),"⚠ Origen igual a destino",IF(AND(K4967&lt;&gt;"",ISNA(MATCH(K4967,ctaNombre,0))),"⚠ Destino no registrado",IF(AND(P4967="Pago tarjeta",AE4967&lt;&gt;"Tarjeta de crédito"),"⚠ El destino debe ser tarjeta de crédito",IF(AND(P4967="Gasto",E4967="Depósitos y retiros"),"⚠ Usa tipo Transferencia",IF(AND(P4967="Resultado trading",AD4967&lt;&gt;"Cuenta de trading"),"⚠ Usa una cuenta de trading",IF(AND(G4967&lt;=0,P4967&lt;&gt;"Ajuste",P4967&lt;&gt;"Resultado trading"),"⚠ El monto debe ser positivo","✓")))))))))))))))</f>
        <v/>
      </c>
      <c r="P4967" s="52">
        <f>IF(OR(B4967="",G4967=""),"",IF(C4967="","Gasto",C4967))</f>
        <v/>
      </c>
      <c r="Q4967" s="52">
        <f>IF(P4967="","",IF(J4967&lt;&gt;"",J4967,CuentaPred&amp;""))</f>
        <v/>
      </c>
      <c r="R4967" s="52">
        <f>IF(P4967="","",IF(ISNUMBER(I4967),I4967,TasaUSD))</f>
        <v/>
      </c>
      <c r="S4967" s="53">
        <f>IF(P4967="","",IF(H4967="USD",G4967*R4967,G4967))</f>
        <v/>
      </c>
      <c r="T4967" s="53">
        <f>IF(P4967="","",IF(H4967="USD",G4967,IF(R4967&gt;0,G4967/R4967,0)))</f>
        <v/>
      </c>
      <c r="U4967" s="53">
        <f>IF(P4967="","",IF(P4967="Gasto",S4967,IF(P4967="Reembolso",-S4967,0)))</f>
        <v/>
      </c>
      <c r="V4967" s="53">
        <f>IF(P4967="","",IF(P4967="Ingreso",S4967,0))</f>
        <v/>
      </c>
      <c r="W4967" s="53">
        <f>IF(P4967="","",IF(P4967="Resultado trading",S4967,0))</f>
        <v/>
      </c>
      <c r="X4967" s="52">
        <f>IF(OR(P4967="Gasto",P4967="Reembolso"),IF(M4967&lt;&gt;"",M4967,IFERROR(INDEX(catClasif,MATCH(D4967&amp;"|"&amp;E4967,catClave,0))&amp;"","Variable")),"")</f>
        <v/>
      </c>
      <c r="Y4967" s="52">
        <f>IF(P4967="","",IFERROR(INDEX(catGrupo,MATCH(D4967&amp;"|"&amp;E4967,catClave,0))&amp;"",""))</f>
        <v/>
      </c>
      <c r="Z4967" s="52">
        <f>IF(P4967="","",WEEKDAY(B4967,2))</f>
        <v/>
      </c>
      <c r="AA4967" s="52">
        <f>IF(P4967="","",IF(AND(P4967="Gasto",X4967="Variable",D4967&lt;&gt;catTrading,S4967&gt;0,S4967&lt;=Umbral),1,0))</f>
        <v/>
      </c>
      <c r="AB4967" s="52">
        <f>IF(OR(P4967="",Q4967=""),"",IFERROR(IF(INDEX(ctaVinc,MATCH(Q4967,ctaNombre,0))&amp;""&lt;&gt;"",INDEX(ctaVinc,MATCH(Q4967,ctaNombre,0))&amp;"",Q4967),Q4967))</f>
        <v/>
      </c>
      <c r="AC4967" s="52">
        <f>IF(OR(K4967="",AND(P4967&lt;&gt;"Transferencia",P4967&lt;&gt;"Pago tarjeta")),"",IFERROR(IF(INDEX(ctaVinc,MATCH(K4967,ctaNombre,0))&amp;""&lt;&gt;"",INDEX(ctaVinc,MATCH(K4967,ctaNombre,0))&amp;"",K4967),K4967))</f>
        <v/>
      </c>
      <c r="AD4967" s="52">
        <f>IF(AB4967="","",IFERROR(INDEX(ctaTipo,MATCH(AB4967,ctaNombre,0))&amp;"",""))</f>
        <v/>
      </c>
      <c r="AE4967" s="52">
        <f>IF(AC4967="","",IFERROR(INDEX(ctaTipo,MATCH(AC4967,ctaNombre,0))&amp;"",""))</f>
        <v/>
      </c>
      <c r="AF4967" s="53">
        <f>IF(OR(P4967="",AB4967=""),"",IF(OR(P4967="Gasto",P4967="Transferencia",P4967="Pago tarjeta"),-1,1)*IF(IFERROR(INDEX(ctaMoneda,MATCH(AB4967,ctaNombre,0))&amp;"","DOP")="USD",T4967,S4967))</f>
        <v/>
      </c>
      <c r="AG4967" s="53">
        <f>IF(AC4967="","",IF(IFERROR(INDEX(ctaMoneda,MATCH(AC4967,ctaNombre,0))&amp;"","DOP")="USD",T4967,S4967))</f>
        <v/>
      </c>
      <c r="AH4967" s="53">
        <f>IF(P4967="","",IF(AND(AD4967&lt;&gt;"",COUNTIFS(tcTipo,AD4967,tcLiq,"Sí")&gt;0),IF(OR(P4967="Gasto",P4967="Transferencia",P4967="Pago tarjeta"),-1,1)*S4967,0)+IF(AND(AE4967&lt;&gt;"",COUNTIFS(tcTipo,AE4967,tcLiq,"Sí")&gt;0),S4967,0))</f>
        <v/>
      </c>
      <c r="AI4967" s="52">
        <f>IF(OR(L4967="",P4967=""),"",IF(COUNTIFS(L$6:L4967,L4967,P$6:P4967,"?*")=1,MAX(AI$5:AI4966)+1,""))</f>
        <v/>
      </c>
    </row>
    <row r="4968">
      <c r="B4968" s="47" t="n"/>
      <c r="C4968" s="48" t="n"/>
      <c r="D4968" s="48" t="n"/>
      <c r="E4968" s="48" t="n"/>
      <c r="F4968" s="48" t="n"/>
      <c r="G4968" s="49" t="n"/>
      <c r="H4968" s="48" t="n"/>
      <c r="I4968" s="50" t="n"/>
      <c r="J4968" s="48" t="n"/>
      <c r="K4968" s="48" t="n"/>
      <c r="L4968" s="48" t="n"/>
      <c r="M4968" s="48" t="n"/>
      <c r="N4968" s="48" t="n"/>
      <c r="O4968" s="51">
        <f>IF(AND(B4968="",G4968="",C4968="",D4968="",J4968=""),"",IF(B4968="","⚠ Falta fecha",IF(G4968="","⚠ Falta monto",IF(Q4968="","⚠ Falta cuenta",IF(ISNA(MATCH(Q4968,ctaNombre,0)),"⚠ Cuenta no registrada",IF(AND(OR(P4968="Gasto",P4968="Reembolso"),D4968=""),"⚠ Falta categoría",IF(AND(D4968&lt;&gt;"",E4968&lt;&gt;"",ISNA(MATCH(D4968&amp;"|"&amp;E4968,catClave,0))),"⚠ Subcategoría no corresponde",IF(AND(OR(P4968="Transferencia",P4968="Pago tarjeta"),K4968=""),"⚠ Falta cuenta destino",IF(AND(K4968&lt;&gt;"",P4968&lt;&gt;"Transferencia",P4968&lt;&gt;"Pago tarjeta"),"⚠ Destino solo aplica a transferencias",IF(AND(K4968&lt;&gt;"",K4968=Q4968),"⚠ Origen igual a destino",IF(AND(K4968&lt;&gt;"",ISNA(MATCH(K4968,ctaNombre,0))),"⚠ Destino no registrado",IF(AND(P4968="Pago tarjeta",AE4968&lt;&gt;"Tarjeta de crédito"),"⚠ El destino debe ser tarjeta de crédito",IF(AND(P4968="Gasto",E4968="Depósitos y retiros"),"⚠ Usa tipo Transferencia",IF(AND(P4968="Resultado trading",AD4968&lt;&gt;"Cuenta de trading"),"⚠ Usa una cuenta de trading",IF(AND(G4968&lt;=0,P4968&lt;&gt;"Ajuste",P4968&lt;&gt;"Resultado trading"),"⚠ El monto debe ser positivo","✓")))))))))))))))</f>
        <v/>
      </c>
      <c r="P4968" s="52">
        <f>IF(OR(B4968="",G4968=""),"",IF(C4968="","Gasto",C4968))</f>
        <v/>
      </c>
      <c r="Q4968" s="52">
        <f>IF(P4968="","",IF(J4968&lt;&gt;"",J4968,CuentaPred&amp;""))</f>
        <v/>
      </c>
      <c r="R4968" s="52">
        <f>IF(P4968="","",IF(ISNUMBER(I4968),I4968,TasaUSD))</f>
        <v/>
      </c>
      <c r="S4968" s="53">
        <f>IF(P4968="","",IF(H4968="USD",G4968*R4968,G4968))</f>
        <v/>
      </c>
      <c r="T4968" s="53">
        <f>IF(P4968="","",IF(H4968="USD",G4968,IF(R4968&gt;0,G4968/R4968,0)))</f>
        <v/>
      </c>
      <c r="U4968" s="53">
        <f>IF(P4968="","",IF(P4968="Gasto",S4968,IF(P4968="Reembolso",-S4968,0)))</f>
        <v/>
      </c>
      <c r="V4968" s="53">
        <f>IF(P4968="","",IF(P4968="Ingreso",S4968,0))</f>
        <v/>
      </c>
      <c r="W4968" s="53">
        <f>IF(P4968="","",IF(P4968="Resultado trading",S4968,0))</f>
        <v/>
      </c>
      <c r="X4968" s="52">
        <f>IF(OR(P4968="Gasto",P4968="Reembolso"),IF(M4968&lt;&gt;"",M4968,IFERROR(INDEX(catClasif,MATCH(D4968&amp;"|"&amp;E4968,catClave,0))&amp;"","Variable")),"")</f>
        <v/>
      </c>
      <c r="Y4968" s="52">
        <f>IF(P4968="","",IFERROR(INDEX(catGrupo,MATCH(D4968&amp;"|"&amp;E4968,catClave,0))&amp;"",""))</f>
        <v/>
      </c>
      <c r="Z4968" s="52">
        <f>IF(P4968="","",WEEKDAY(B4968,2))</f>
        <v/>
      </c>
      <c r="AA4968" s="52">
        <f>IF(P4968="","",IF(AND(P4968="Gasto",X4968="Variable",D4968&lt;&gt;catTrading,S4968&gt;0,S4968&lt;=Umbral),1,0))</f>
        <v/>
      </c>
      <c r="AB4968" s="52">
        <f>IF(OR(P4968="",Q4968=""),"",IFERROR(IF(INDEX(ctaVinc,MATCH(Q4968,ctaNombre,0))&amp;""&lt;&gt;"",INDEX(ctaVinc,MATCH(Q4968,ctaNombre,0))&amp;"",Q4968),Q4968))</f>
        <v/>
      </c>
      <c r="AC4968" s="52">
        <f>IF(OR(K4968="",AND(P4968&lt;&gt;"Transferencia",P4968&lt;&gt;"Pago tarjeta")),"",IFERROR(IF(INDEX(ctaVinc,MATCH(K4968,ctaNombre,0))&amp;""&lt;&gt;"",INDEX(ctaVinc,MATCH(K4968,ctaNombre,0))&amp;"",K4968),K4968))</f>
        <v/>
      </c>
      <c r="AD4968" s="52">
        <f>IF(AB4968="","",IFERROR(INDEX(ctaTipo,MATCH(AB4968,ctaNombre,0))&amp;"",""))</f>
        <v/>
      </c>
      <c r="AE4968" s="52">
        <f>IF(AC4968="","",IFERROR(INDEX(ctaTipo,MATCH(AC4968,ctaNombre,0))&amp;"",""))</f>
        <v/>
      </c>
      <c r="AF4968" s="53">
        <f>IF(OR(P4968="",AB4968=""),"",IF(OR(P4968="Gasto",P4968="Transferencia",P4968="Pago tarjeta"),-1,1)*IF(IFERROR(INDEX(ctaMoneda,MATCH(AB4968,ctaNombre,0))&amp;"","DOP")="USD",T4968,S4968))</f>
        <v/>
      </c>
      <c r="AG4968" s="53">
        <f>IF(AC4968="","",IF(IFERROR(INDEX(ctaMoneda,MATCH(AC4968,ctaNombre,0))&amp;"","DOP")="USD",T4968,S4968))</f>
        <v/>
      </c>
      <c r="AH4968" s="53">
        <f>IF(P4968="","",IF(AND(AD4968&lt;&gt;"",COUNTIFS(tcTipo,AD4968,tcLiq,"Sí")&gt;0),IF(OR(P4968="Gasto",P4968="Transferencia",P4968="Pago tarjeta"),-1,1)*S4968,0)+IF(AND(AE4968&lt;&gt;"",COUNTIFS(tcTipo,AE4968,tcLiq,"Sí")&gt;0),S4968,0))</f>
        <v/>
      </c>
      <c r="AI4968" s="52">
        <f>IF(OR(L4968="",P4968=""),"",IF(COUNTIFS(L$6:L4968,L4968,P$6:P4968,"?*")=1,MAX(AI$5:AI4967)+1,""))</f>
        <v/>
      </c>
    </row>
    <row r="4969">
      <c r="B4969" s="47" t="n"/>
      <c r="C4969" s="48" t="n"/>
      <c r="D4969" s="48" t="n"/>
      <c r="E4969" s="48" t="n"/>
      <c r="F4969" s="48" t="n"/>
      <c r="G4969" s="49" t="n"/>
      <c r="H4969" s="48" t="n"/>
      <c r="I4969" s="50" t="n"/>
      <c r="J4969" s="48" t="n"/>
      <c r="K4969" s="48" t="n"/>
      <c r="L4969" s="48" t="n"/>
      <c r="M4969" s="48" t="n"/>
      <c r="N4969" s="48" t="n"/>
      <c r="O4969" s="51">
        <f>IF(AND(B4969="",G4969="",C4969="",D4969="",J4969=""),"",IF(B4969="","⚠ Falta fecha",IF(G4969="","⚠ Falta monto",IF(Q4969="","⚠ Falta cuenta",IF(ISNA(MATCH(Q4969,ctaNombre,0)),"⚠ Cuenta no registrada",IF(AND(OR(P4969="Gasto",P4969="Reembolso"),D4969=""),"⚠ Falta categoría",IF(AND(D4969&lt;&gt;"",E4969&lt;&gt;"",ISNA(MATCH(D4969&amp;"|"&amp;E4969,catClave,0))),"⚠ Subcategoría no corresponde",IF(AND(OR(P4969="Transferencia",P4969="Pago tarjeta"),K4969=""),"⚠ Falta cuenta destino",IF(AND(K4969&lt;&gt;"",P4969&lt;&gt;"Transferencia",P4969&lt;&gt;"Pago tarjeta"),"⚠ Destino solo aplica a transferencias",IF(AND(K4969&lt;&gt;"",K4969=Q4969),"⚠ Origen igual a destino",IF(AND(K4969&lt;&gt;"",ISNA(MATCH(K4969,ctaNombre,0))),"⚠ Destino no registrado",IF(AND(P4969="Pago tarjeta",AE4969&lt;&gt;"Tarjeta de crédito"),"⚠ El destino debe ser tarjeta de crédito",IF(AND(P4969="Gasto",E4969="Depósitos y retiros"),"⚠ Usa tipo Transferencia",IF(AND(P4969="Resultado trading",AD4969&lt;&gt;"Cuenta de trading"),"⚠ Usa una cuenta de trading",IF(AND(G4969&lt;=0,P4969&lt;&gt;"Ajuste",P4969&lt;&gt;"Resultado trading"),"⚠ El monto debe ser positivo","✓")))))))))))))))</f>
        <v/>
      </c>
      <c r="P4969" s="52">
        <f>IF(OR(B4969="",G4969=""),"",IF(C4969="","Gasto",C4969))</f>
        <v/>
      </c>
      <c r="Q4969" s="52">
        <f>IF(P4969="","",IF(J4969&lt;&gt;"",J4969,CuentaPred&amp;""))</f>
        <v/>
      </c>
      <c r="R4969" s="52">
        <f>IF(P4969="","",IF(ISNUMBER(I4969),I4969,TasaUSD))</f>
        <v/>
      </c>
      <c r="S4969" s="53">
        <f>IF(P4969="","",IF(H4969="USD",G4969*R4969,G4969))</f>
        <v/>
      </c>
      <c r="T4969" s="53">
        <f>IF(P4969="","",IF(H4969="USD",G4969,IF(R4969&gt;0,G4969/R4969,0)))</f>
        <v/>
      </c>
      <c r="U4969" s="53">
        <f>IF(P4969="","",IF(P4969="Gasto",S4969,IF(P4969="Reembolso",-S4969,0)))</f>
        <v/>
      </c>
      <c r="V4969" s="53">
        <f>IF(P4969="","",IF(P4969="Ingreso",S4969,0))</f>
        <v/>
      </c>
      <c r="W4969" s="53">
        <f>IF(P4969="","",IF(P4969="Resultado trading",S4969,0))</f>
        <v/>
      </c>
      <c r="X4969" s="52">
        <f>IF(OR(P4969="Gasto",P4969="Reembolso"),IF(M4969&lt;&gt;"",M4969,IFERROR(INDEX(catClasif,MATCH(D4969&amp;"|"&amp;E4969,catClave,0))&amp;"","Variable")),"")</f>
        <v/>
      </c>
      <c r="Y4969" s="52">
        <f>IF(P4969="","",IFERROR(INDEX(catGrupo,MATCH(D4969&amp;"|"&amp;E4969,catClave,0))&amp;"",""))</f>
        <v/>
      </c>
      <c r="Z4969" s="52">
        <f>IF(P4969="","",WEEKDAY(B4969,2))</f>
        <v/>
      </c>
      <c r="AA4969" s="52">
        <f>IF(P4969="","",IF(AND(P4969="Gasto",X4969="Variable",D4969&lt;&gt;catTrading,S4969&gt;0,S4969&lt;=Umbral),1,0))</f>
        <v/>
      </c>
      <c r="AB4969" s="52">
        <f>IF(OR(P4969="",Q4969=""),"",IFERROR(IF(INDEX(ctaVinc,MATCH(Q4969,ctaNombre,0))&amp;""&lt;&gt;"",INDEX(ctaVinc,MATCH(Q4969,ctaNombre,0))&amp;"",Q4969),Q4969))</f>
        <v/>
      </c>
      <c r="AC4969" s="52">
        <f>IF(OR(K4969="",AND(P4969&lt;&gt;"Transferencia",P4969&lt;&gt;"Pago tarjeta")),"",IFERROR(IF(INDEX(ctaVinc,MATCH(K4969,ctaNombre,0))&amp;""&lt;&gt;"",INDEX(ctaVinc,MATCH(K4969,ctaNombre,0))&amp;"",K4969),K4969))</f>
        <v/>
      </c>
      <c r="AD4969" s="52">
        <f>IF(AB4969="","",IFERROR(INDEX(ctaTipo,MATCH(AB4969,ctaNombre,0))&amp;"",""))</f>
        <v/>
      </c>
      <c r="AE4969" s="52">
        <f>IF(AC4969="","",IFERROR(INDEX(ctaTipo,MATCH(AC4969,ctaNombre,0))&amp;"",""))</f>
        <v/>
      </c>
      <c r="AF4969" s="53">
        <f>IF(OR(P4969="",AB4969=""),"",IF(OR(P4969="Gasto",P4969="Transferencia",P4969="Pago tarjeta"),-1,1)*IF(IFERROR(INDEX(ctaMoneda,MATCH(AB4969,ctaNombre,0))&amp;"","DOP")="USD",T4969,S4969))</f>
        <v/>
      </c>
      <c r="AG4969" s="53">
        <f>IF(AC4969="","",IF(IFERROR(INDEX(ctaMoneda,MATCH(AC4969,ctaNombre,0))&amp;"","DOP")="USD",T4969,S4969))</f>
        <v/>
      </c>
      <c r="AH4969" s="53">
        <f>IF(P4969="","",IF(AND(AD4969&lt;&gt;"",COUNTIFS(tcTipo,AD4969,tcLiq,"Sí")&gt;0),IF(OR(P4969="Gasto",P4969="Transferencia",P4969="Pago tarjeta"),-1,1)*S4969,0)+IF(AND(AE4969&lt;&gt;"",COUNTIFS(tcTipo,AE4969,tcLiq,"Sí")&gt;0),S4969,0))</f>
        <v/>
      </c>
      <c r="AI4969" s="52">
        <f>IF(OR(L4969="",P4969=""),"",IF(COUNTIFS(L$6:L4969,L4969,P$6:P4969,"?*")=1,MAX(AI$5:AI4968)+1,""))</f>
        <v/>
      </c>
    </row>
    <row r="4970">
      <c r="B4970" s="47" t="n"/>
      <c r="C4970" s="48" t="n"/>
      <c r="D4970" s="48" t="n"/>
      <c r="E4970" s="48" t="n"/>
      <c r="F4970" s="48" t="n"/>
      <c r="G4970" s="49" t="n"/>
      <c r="H4970" s="48" t="n"/>
      <c r="I4970" s="50" t="n"/>
      <c r="J4970" s="48" t="n"/>
      <c r="K4970" s="48" t="n"/>
      <c r="L4970" s="48" t="n"/>
      <c r="M4970" s="48" t="n"/>
      <c r="N4970" s="48" t="n"/>
      <c r="O4970" s="51">
        <f>IF(AND(B4970="",G4970="",C4970="",D4970="",J4970=""),"",IF(B4970="","⚠ Falta fecha",IF(G4970="","⚠ Falta monto",IF(Q4970="","⚠ Falta cuenta",IF(ISNA(MATCH(Q4970,ctaNombre,0)),"⚠ Cuenta no registrada",IF(AND(OR(P4970="Gasto",P4970="Reembolso"),D4970=""),"⚠ Falta categoría",IF(AND(D4970&lt;&gt;"",E4970&lt;&gt;"",ISNA(MATCH(D4970&amp;"|"&amp;E4970,catClave,0))),"⚠ Subcategoría no corresponde",IF(AND(OR(P4970="Transferencia",P4970="Pago tarjeta"),K4970=""),"⚠ Falta cuenta destino",IF(AND(K4970&lt;&gt;"",P4970&lt;&gt;"Transferencia",P4970&lt;&gt;"Pago tarjeta"),"⚠ Destino solo aplica a transferencias",IF(AND(K4970&lt;&gt;"",K4970=Q4970),"⚠ Origen igual a destino",IF(AND(K4970&lt;&gt;"",ISNA(MATCH(K4970,ctaNombre,0))),"⚠ Destino no registrado",IF(AND(P4970="Pago tarjeta",AE4970&lt;&gt;"Tarjeta de crédito"),"⚠ El destino debe ser tarjeta de crédito",IF(AND(P4970="Gasto",E4970="Depósitos y retiros"),"⚠ Usa tipo Transferencia",IF(AND(P4970="Resultado trading",AD4970&lt;&gt;"Cuenta de trading"),"⚠ Usa una cuenta de trading",IF(AND(G4970&lt;=0,P4970&lt;&gt;"Ajuste",P4970&lt;&gt;"Resultado trading"),"⚠ El monto debe ser positivo","✓")))))))))))))))</f>
        <v/>
      </c>
      <c r="P4970" s="52">
        <f>IF(OR(B4970="",G4970=""),"",IF(C4970="","Gasto",C4970))</f>
        <v/>
      </c>
      <c r="Q4970" s="52">
        <f>IF(P4970="","",IF(J4970&lt;&gt;"",J4970,CuentaPred&amp;""))</f>
        <v/>
      </c>
      <c r="R4970" s="52">
        <f>IF(P4970="","",IF(ISNUMBER(I4970),I4970,TasaUSD))</f>
        <v/>
      </c>
      <c r="S4970" s="53">
        <f>IF(P4970="","",IF(H4970="USD",G4970*R4970,G4970))</f>
        <v/>
      </c>
      <c r="T4970" s="53">
        <f>IF(P4970="","",IF(H4970="USD",G4970,IF(R4970&gt;0,G4970/R4970,0)))</f>
        <v/>
      </c>
      <c r="U4970" s="53">
        <f>IF(P4970="","",IF(P4970="Gasto",S4970,IF(P4970="Reembolso",-S4970,0)))</f>
        <v/>
      </c>
      <c r="V4970" s="53">
        <f>IF(P4970="","",IF(P4970="Ingreso",S4970,0))</f>
        <v/>
      </c>
      <c r="W4970" s="53">
        <f>IF(P4970="","",IF(P4970="Resultado trading",S4970,0))</f>
        <v/>
      </c>
      <c r="X4970" s="52">
        <f>IF(OR(P4970="Gasto",P4970="Reembolso"),IF(M4970&lt;&gt;"",M4970,IFERROR(INDEX(catClasif,MATCH(D4970&amp;"|"&amp;E4970,catClave,0))&amp;"","Variable")),"")</f>
        <v/>
      </c>
      <c r="Y4970" s="52">
        <f>IF(P4970="","",IFERROR(INDEX(catGrupo,MATCH(D4970&amp;"|"&amp;E4970,catClave,0))&amp;"",""))</f>
        <v/>
      </c>
      <c r="Z4970" s="52">
        <f>IF(P4970="","",WEEKDAY(B4970,2))</f>
        <v/>
      </c>
      <c r="AA4970" s="52">
        <f>IF(P4970="","",IF(AND(P4970="Gasto",X4970="Variable",D4970&lt;&gt;catTrading,S4970&gt;0,S4970&lt;=Umbral),1,0))</f>
        <v/>
      </c>
      <c r="AB4970" s="52">
        <f>IF(OR(P4970="",Q4970=""),"",IFERROR(IF(INDEX(ctaVinc,MATCH(Q4970,ctaNombre,0))&amp;""&lt;&gt;"",INDEX(ctaVinc,MATCH(Q4970,ctaNombre,0))&amp;"",Q4970),Q4970))</f>
        <v/>
      </c>
      <c r="AC4970" s="52">
        <f>IF(OR(K4970="",AND(P4970&lt;&gt;"Transferencia",P4970&lt;&gt;"Pago tarjeta")),"",IFERROR(IF(INDEX(ctaVinc,MATCH(K4970,ctaNombre,0))&amp;""&lt;&gt;"",INDEX(ctaVinc,MATCH(K4970,ctaNombre,0))&amp;"",K4970),K4970))</f>
        <v/>
      </c>
      <c r="AD4970" s="52">
        <f>IF(AB4970="","",IFERROR(INDEX(ctaTipo,MATCH(AB4970,ctaNombre,0))&amp;"",""))</f>
        <v/>
      </c>
      <c r="AE4970" s="52">
        <f>IF(AC4970="","",IFERROR(INDEX(ctaTipo,MATCH(AC4970,ctaNombre,0))&amp;"",""))</f>
        <v/>
      </c>
      <c r="AF4970" s="53">
        <f>IF(OR(P4970="",AB4970=""),"",IF(OR(P4970="Gasto",P4970="Transferencia",P4970="Pago tarjeta"),-1,1)*IF(IFERROR(INDEX(ctaMoneda,MATCH(AB4970,ctaNombre,0))&amp;"","DOP")="USD",T4970,S4970))</f>
        <v/>
      </c>
      <c r="AG4970" s="53">
        <f>IF(AC4970="","",IF(IFERROR(INDEX(ctaMoneda,MATCH(AC4970,ctaNombre,0))&amp;"","DOP")="USD",T4970,S4970))</f>
        <v/>
      </c>
      <c r="AH4970" s="53">
        <f>IF(P4970="","",IF(AND(AD4970&lt;&gt;"",COUNTIFS(tcTipo,AD4970,tcLiq,"Sí")&gt;0),IF(OR(P4970="Gasto",P4970="Transferencia",P4970="Pago tarjeta"),-1,1)*S4970,0)+IF(AND(AE4970&lt;&gt;"",COUNTIFS(tcTipo,AE4970,tcLiq,"Sí")&gt;0),S4970,0))</f>
        <v/>
      </c>
      <c r="AI4970" s="52">
        <f>IF(OR(L4970="",P4970=""),"",IF(COUNTIFS(L$6:L4970,L4970,P$6:P4970,"?*")=1,MAX(AI$5:AI4969)+1,""))</f>
        <v/>
      </c>
    </row>
    <row r="4971">
      <c r="B4971" s="47" t="n"/>
      <c r="C4971" s="48" t="n"/>
      <c r="D4971" s="48" t="n"/>
      <c r="E4971" s="48" t="n"/>
      <c r="F4971" s="48" t="n"/>
      <c r="G4971" s="49" t="n"/>
      <c r="H4971" s="48" t="n"/>
      <c r="I4971" s="50" t="n"/>
      <c r="J4971" s="48" t="n"/>
      <c r="K4971" s="48" t="n"/>
      <c r="L4971" s="48" t="n"/>
      <c r="M4971" s="48" t="n"/>
      <c r="N4971" s="48" t="n"/>
      <c r="O4971" s="51">
        <f>IF(AND(B4971="",G4971="",C4971="",D4971="",J4971=""),"",IF(B4971="","⚠ Falta fecha",IF(G4971="","⚠ Falta monto",IF(Q4971="","⚠ Falta cuenta",IF(ISNA(MATCH(Q4971,ctaNombre,0)),"⚠ Cuenta no registrada",IF(AND(OR(P4971="Gasto",P4971="Reembolso"),D4971=""),"⚠ Falta categoría",IF(AND(D4971&lt;&gt;"",E4971&lt;&gt;"",ISNA(MATCH(D4971&amp;"|"&amp;E4971,catClave,0))),"⚠ Subcategoría no corresponde",IF(AND(OR(P4971="Transferencia",P4971="Pago tarjeta"),K4971=""),"⚠ Falta cuenta destino",IF(AND(K4971&lt;&gt;"",P4971&lt;&gt;"Transferencia",P4971&lt;&gt;"Pago tarjeta"),"⚠ Destino solo aplica a transferencias",IF(AND(K4971&lt;&gt;"",K4971=Q4971),"⚠ Origen igual a destino",IF(AND(K4971&lt;&gt;"",ISNA(MATCH(K4971,ctaNombre,0))),"⚠ Destino no registrado",IF(AND(P4971="Pago tarjeta",AE4971&lt;&gt;"Tarjeta de crédito"),"⚠ El destino debe ser tarjeta de crédito",IF(AND(P4971="Gasto",E4971="Depósitos y retiros"),"⚠ Usa tipo Transferencia",IF(AND(P4971="Resultado trading",AD4971&lt;&gt;"Cuenta de trading"),"⚠ Usa una cuenta de trading",IF(AND(G4971&lt;=0,P4971&lt;&gt;"Ajuste",P4971&lt;&gt;"Resultado trading"),"⚠ El monto debe ser positivo","✓")))))))))))))))</f>
        <v/>
      </c>
      <c r="P4971" s="52">
        <f>IF(OR(B4971="",G4971=""),"",IF(C4971="","Gasto",C4971))</f>
        <v/>
      </c>
      <c r="Q4971" s="52">
        <f>IF(P4971="","",IF(J4971&lt;&gt;"",J4971,CuentaPred&amp;""))</f>
        <v/>
      </c>
      <c r="R4971" s="52">
        <f>IF(P4971="","",IF(ISNUMBER(I4971),I4971,TasaUSD))</f>
        <v/>
      </c>
      <c r="S4971" s="53">
        <f>IF(P4971="","",IF(H4971="USD",G4971*R4971,G4971))</f>
        <v/>
      </c>
      <c r="T4971" s="53">
        <f>IF(P4971="","",IF(H4971="USD",G4971,IF(R4971&gt;0,G4971/R4971,0)))</f>
        <v/>
      </c>
      <c r="U4971" s="53">
        <f>IF(P4971="","",IF(P4971="Gasto",S4971,IF(P4971="Reembolso",-S4971,0)))</f>
        <v/>
      </c>
      <c r="V4971" s="53">
        <f>IF(P4971="","",IF(P4971="Ingreso",S4971,0))</f>
        <v/>
      </c>
      <c r="W4971" s="53">
        <f>IF(P4971="","",IF(P4971="Resultado trading",S4971,0))</f>
        <v/>
      </c>
      <c r="X4971" s="52">
        <f>IF(OR(P4971="Gasto",P4971="Reembolso"),IF(M4971&lt;&gt;"",M4971,IFERROR(INDEX(catClasif,MATCH(D4971&amp;"|"&amp;E4971,catClave,0))&amp;"","Variable")),"")</f>
        <v/>
      </c>
      <c r="Y4971" s="52">
        <f>IF(P4971="","",IFERROR(INDEX(catGrupo,MATCH(D4971&amp;"|"&amp;E4971,catClave,0))&amp;"",""))</f>
        <v/>
      </c>
      <c r="Z4971" s="52">
        <f>IF(P4971="","",WEEKDAY(B4971,2))</f>
        <v/>
      </c>
      <c r="AA4971" s="52">
        <f>IF(P4971="","",IF(AND(P4971="Gasto",X4971="Variable",D4971&lt;&gt;catTrading,S4971&gt;0,S4971&lt;=Umbral),1,0))</f>
        <v/>
      </c>
      <c r="AB4971" s="52">
        <f>IF(OR(P4971="",Q4971=""),"",IFERROR(IF(INDEX(ctaVinc,MATCH(Q4971,ctaNombre,0))&amp;""&lt;&gt;"",INDEX(ctaVinc,MATCH(Q4971,ctaNombre,0))&amp;"",Q4971),Q4971))</f>
        <v/>
      </c>
      <c r="AC4971" s="52">
        <f>IF(OR(K4971="",AND(P4971&lt;&gt;"Transferencia",P4971&lt;&gt;"Pago tarjeta")),"",IFERROR(IF(INDEX(ctaVinc,MATCH(K4971,ctaNombre,0))&amp;""&lt;&gt;"",INDEX(ctaVinc,MATCH(K4971,ctaNombre,0))&amp;"",K4971),K4971))</f>
        <v/>
      </c>
      <c r="AD4971" s="52">
        <f>IF(AB4971="","",IFERROR(INDEX(ctaTipo,MATCH(AB4971,ctaNombre,0))&amp;"",""))</f>
        <v/>
      </c>
      <c r="AE4971" s="52">
        <f>IF(AC4971="","",IFERROR(INDEX(ctaTipo,MATCH(AC4971,ctaNombre,0))&amp;"",""))</f>
        <v/>
      </c>
      <c r="AF4971" s="53">
        <f>IF(OR(P4971="",AB4971=""),"",IF(OR(P4971="Gasto",P4971="Transferencia",P4971="Pago tarjeta"),-1,1)*IF(IFERROR(INDEX(ctaMoneda,MATCH(AB4971,ctaNombre,0))&amp;"","DOP")="USD",T4971,S4971))</f>
        <v/>
      </c>
      <c r="AG4971" s="53">
        <f>IF(AC4971="","",IF(IFERROR(INDEX(ctaMoneda,MATCH(AC4971,ctaNombre,0))&amp;"","DOP")="USD",T4971,S4971))</f>
        <v/>
      </c>
      <c r="AH4971" s="53">
        <f>IF(P4971="","",IF(AND(AD4971&lt;&gt;"",COUNTIFS(tcTipo,AD4971,tcLiq,"Sí")&gt;0),IF(OR(P4971="Gasto",P4971="Transferencia",P4971="Pago tarjeta"),-1,1)*S4971,0)+IF(AND(AE4971&lt;&gt;"",COUNTIFS(tcTipo,AE4971,tcLiq,"Sí")&gt;0),S4971,0))</f>
        <v/>
      </c>
      <c r="AI4971" s="52">
        <f>IF(OR(L4971="",P4971=""),"",IF(COUNTIFS(L$6:L4971,L4971,P$6:P4971,"?*")=1,MAX(AI$5:AI4970)+1,""))</f>
        <v/>
      </c>
    </row>
    <row r="4972">
      <c r="B4972" s="47" t="n"/>
      <c r="C4972" s="48" t="n"/>
      <c r="D4972" s="48" t="n"/>
      <c r="E4972" s="48" t="n"/>
      <c r="F4972" s="48" t="n"/>
      <c r="G4972" s="49" t="n"/>
      <c r="H4972" s="48" t="n"/>
      <c r="I4972" s="50" t="n"/>
      <c r="J4972" s="48" t="n"/>
      <c r="K4972" s="48" t="n"/>
      <c r="L4972" s="48" t="n"/>
      <c r="M4972" s="48" t="n"/>
      <c r="N4972" s="48" t="n"/>
      <c r="O4972" s="51">
        <f>IF(AND(B4972="",G4972="",C4972="",D4972="",J4972=""),"",IF(B4972="","⚠ Falta fecha",IF(G4972="","⚠ Falta monto",IF(Q4972="","⚠ Falta cuenta",IF(ISNA(MATCH(Q4972,ctaNombre,0)),"⚠ Cuenta no registrada",IF(AND(OR(P4972="Gasto",P4972="Reembolso"),D4972=""),"⚠ Falta categoría",IF(AND(D4972&lt;&gt;"",E4972&lt;&gt;"",ISNA(MATCH(D4972&amp;"|"&amp;E4972,catClave,0))),"⚠ Subcategoría no corresponde",IF(AND(OR(P4972="Transferencia",P4972="Pago tarjeta"),K4972=""),"⚠ Falta cuenta destino",IF(AND(K4972&lt;&gt;"",P4972&lt;&gt;"Transferencia",P4972&lt;&gt;"Pago tarjeta"),"⚠ Destino solo aplica a transferencias",IF(AND(K4972&lt;&gt;"",K4972=Q4972),"⚠ Origen igual a destino",IF(AND(K4972&lt;&gt;"",ISNA(MATCH(K4972,ctaNombre,0))),"⚠ Destino no registrado",IF(AND(P4972="Pago tarjeta",AE4972&lt;&gt;"Tarjeta de crédito"),"⚠ El destino debe ser tarjeta de crédito",IF(AND(P4972="Gasto",E4972="Depósitos y retiros"),"⚠ Usa tipo Transferencia",IF(AND(P4972="Resultado trading",AD4972&lt;&gt;"Cuenta de trading"),"⚠ Usa una cuenta de trading",IF(AND(G4972&lt;=0,P4972&lt;&gt;"Ajuste",P4972&lt;&gt;"Resultado trading"),"⚠ El monto debe ser positivo","✓")))))))))))))))</f>
        <v/>
      </c>
      <c r="P4972" s="52">
        <f>IF(OR(B4972="",G4972=""),"",IF(C4972="","Gasto",C4972))</f>
        <v/>
      </c>
      <c r="Q4972" s="52">
        <f>IF(P4972="","",IF(J4972&lt;&gt;"",J4972,CuentaPred&amp;""))</f>
        <v/>
      </c>
      <c r="R4972" s="52">
        <f>IF(P4972="","",IF(ISNUMBER(I4972),I4972,TasaUSD))</f>
        <v/>
      </c>
      <c r="S4972" s="53">
        <f>IF(P4972="","",IF(H4972="USD",G4972*R4972,G4972))</f>
        <v/>
      </c>
      <c r="T4972" s="53">
        <f>IF(P4972="","",IF(H4972="USD",G4972,IF(R4972&gt;0,G4972/R4972,0)))</f>
        <v/>
      </c>
      <c r="U4972" s="53">
        <f>IF(P4972="","",IF(P4972="Gasto",S4972,IF(P4972="Reembolso",-S4972,0)))</f>
        <v/>
      </c>
      <c r="V4972" s="53">
        <f>IF(P4972="","",IF(P4972="Ingreso",S4972,0))</f>
        <v/>
      </c>
      <c r="W4972" s="53">
        <f>IF(P4972="","",IF(P4972="Resultado trading",S4972,0))</f>
        <v/>
      </c>
      <c r="X4972" s="52">
        <f>IF(OR(P4972="Gasto",P4972="Reembolso"),IF(M4972&lt;&gt;"",M4972,IFERROR(INDEX(catClasif,MATCH(D4972&amp;"|"&amp;E4972,catClave,0))&amp;"","Variable")),"")</f>
        <v/>
      </c>
      <c r="Y4972" s="52">
        <f>IF(P4972="","",IFERROR(INDEX(catGrupo,MATCH(D4972&amp;"|"&amp;E4972,catClave,0))&amp;"",""))</f>
        <v/>
      </c>
      <c r="Z4972" s="52">
        <f>IF(P4972="","",WEEKDAY(B4972,2))</f>
        <v/>
      </c>
      <c r="AA4972" s="52">
        <f>IF(P4972="","",IF(AND(P4972="Gasto",X4972="Variable",D4972&lt;&gt;catTrading,S4972&gt;0,S4972&lt;=Umbral),1,0))</f>
        <v/>
      </c>
      <c r="AB4972" s="52">
        <f>IF(OR(P4972="",Q4972=""),"",IFERROR(IF(INDEX(ctaVinc,MATCH(Q4972,ctaNombre,0))&amp;""&lt;&gt;"",INDEX(ctaVinc,MATCH(Q4972,ctaNombre,0))&amp;"",Q4972),Q4972))</f>
        <v/>
      </c>
      <c r="AC4972" s="52">
        <f>IF(OR(K4972="",AND(P4972&lt;&gt;"Transferencia",P4972&lt;&gt;"Pago tarjeta")),"",IFERROR(IF(INDEX(ctaVinc,MATCH(K4972,ctaNombre,0))&amp;""&lt;&gt;"",INDEX(ctaVinc,MATCH(K4972,ctaNombre,0))&amp;"",K4972),K4972))</f>
        <v/>
      </c>
      <c r="AD4972" s="52">
        <f>IF(AB4972="","",IFERROR(INDEX(ctaTipo,MATCH(AB4972,ctaNombre,0))&amp;"",""))</f>
        <v/>
      </c>
      <c r="AE4972" s="52">
        <f>IF(AC4972="","",IFERROR(INDEX(ctaTipo,MATCH(AC4972,ctaNombre,0))&amp;"",""))</f>
        <v/>
      </c>
      <c r="AF4972" s="53">
        <f>IF(OR(P4972="",AB4972=""),"",IF(OR(P4972="Gasto",P4972="Transferencia",P4972="Pago tarjeta"),-1,1)*IF(IFERROR(INDEX(ctaMoneda,MATCH(AB4972,ctaNombre,0))&amp;"","DOP")="USD",T4972,S4972))</f>
        <v/>
      </c>
      <c r="AG4972" s="53">
        <f>IF(AC4972="","",IF(IFERROR(INDEX(ctaMoneda,MATCH(AC4972,ctaNombre,0))&amp;"","DOP")="USD",T4972,S4972))</f>
        <v/>
      </c>
      <c r="AH4972" s="53">
        <f>IF(P4972="","",IF(AND(AD4972&lt;&gt;"",COUNTIFS(tcTipo,AD4972,tcLiq,"Sí")&gt;0),IF(OR(P4972="Gasto",P4972="Transferencia",P4972="Pago tarjeta"),-1,1)*S4972,0)+IF(AND(AE4972&lt;&gt;"",COUNTIFS(tcTipo,AE4972,tcLiq,"Sí")&gt;0),S4972,0))</f>
        <v/>
      </c>
      <c r="AI4972" s="52">
        <f>IF(OR(L4972="",P4972=""),"",IF(COUNTIFS(L$6:L4972,L4972,P$6:P4972,"?*")=1,MAX(AI$5:AI4971)+1,""))</f>
        <v/>
      </c>
    </row>
    <row r="4973">
      <c r="B4973" s="47" t="n"/>
      <c r="C4973" s="48" t="n"/>
      <c r="D4973" s="48" t="n"/>
      <c r="E4973" s="48" t="n"/>
      <c r="F4973" s="48" t="n"/>
      <c r="G4973" s="49" t="n"/>
      <c r="H4973" s="48" t="n"/>
      <c r="I4973" s="50" t="n"/>
      <c r="J4973" s="48" t="n"/>
      <c r="K4973" s="48" t="n"/>
      <c r="L4973" s="48" t="n"/>
      <c r="M4973" s="48" t="n"/>
      <c r="N4973" s="48" t="n"/>
      <c r="O4973" s="51">
        <f>IF(AND(B4973="",G4973="",C4973="",D4973="",J4973=""),"",IF(B4973="","⚠ Falta fecha",IF(G4973="","⚠ Falta monto",IF(Q4973="","⚠ Falta cuenta",IF(ISNA(MATCH(Q4973,ctaNombre,0)),"⚠ Cuenta no registrada",IF(AND(OR(P4973="Gasto",P4973="Reembolso"),D4973=""),"⚠ Falta categoría",IF(AND(D4973&lt;&gt;"",E4973&lt;&gt;"",ISNA(MATCH(D4973&amp;"|"&amp;E4973,catClave,0))),"⚠ Subcategoría no corresponde",IF(AND(OR(P4973="Transferencia",P4973="Pago tarjeta"),K4973=""),"⚠ Falta cuenta destino",IF(AND(K4973&lt;&gt;"",P4973&lt;&gt;"Transferencia",P4973&lt;&gt;"Pago tarjeta"),"⚠ Destino solo aplica a transferencias",IF(AND(K4973&lt;&gt;"",K4973=Q4973),"⚠ Origen igual a destino",IF(AND(K4973&lt;&gt;"",ISNA(MATCH(K4973,ctaNombre,0))),"⚠ Destino no registrado",IF(AND(P4973="Pago tarjeta",AE4973&lt;&gt;"Tarjeta de crédito"),"⚠ El destino debe ser tarjeta de crédito",IF(AND(P4973="Gasto",E4973="Depósitos y retiros"),"⚠ Usa tipo Transferencia",IF(AND(P4973="Resultado trading",AD4973&lt;&gt;"Cuenta de trading"),"⚠ Usa una cuenta de trading",IF(AND(G4973&lt;=0,P4973&lt;&gt;"Ajuste",P4973&lt;&gt;"Resultado trading"),"⚠ El monto debe ser positivo","✓")))))))))))))))</f>
        <v/>
      </c>
      <c r="P4973" s="52">
        <f>IF(OR(B4973="",G4973=""),"",IF(C4973="","Gasto",C4973))</f>
        <v/>
      </c>
      <c r="Q4973" s="52">
        <f>IF(P4973="","",IF(J4973&lt;&gt;"",J4973,CuentaPred&amp;""))</f>
        <v/>
      </c>
      <c r="R4973" s="52">
        <f>IF(P4973="","",IF(ISNUMBER(I4973),I4973,TasaUSD))</f>
        <v/>
      </c>
      <c r="S4973" s="53">
        <f>IF(P4973="","",IF(H4973="USD",G4973*R4973,G4973))</f>
        <v/>
      </c>
      <c r="T4973" s="53">
        <f>IF(P4973="","",IF(H4973="USD",G4973,IF(R4973&gt;0,G4973/R4973,0)))</f>
        <v/>
      </c>
      <c r="U4973" s="53">
        <f>IF(P4973="","",IF(P4973="Gasto",S4973,IF(P4973="Reembolso",-S4973,0)))</f>
        <v/>
      </c>
      <c r="V4973" s="53">
        <f>IF(P4973="","",IF(P4973="Ingreso",S4973,0))</f>
        <v/>
      </c>
      <c r="W4973" s="53">
        <f>IF(P4973="","",IF(P4973="Resultado trading",S4973,0))</f>
        <v/>
      </c>
      <c r="X4973" s="52">
        <f>IF(OR(P4973="Gasto",P4973="Reembolso"),IF(M4973&lt;&gt;"",M4973,IFERROR(INDEX(catClasif,MATCH(D4973&amp;"|"&amp;E4973,catClave,0))&amp;"","Variable")),"")</f>
        <v/>
      </c>
      <c r="Y4973" s="52">
        <f>IF(P4973="","",IFERROR(INDEX(catGrupo,MATCH(D4973&amp;"|"&amp;E4973,catClave,0))&amp;"",""))</f>
        <v/>
      </c>
      <c r="Z4973" s="52">
        <f>IF(P4973="","",WEEKDAY(B4973,2))</f>
        <v/>
      </c>
      <c r="AA4973" s="52">
        <f>IF(P4973="","",IF(AND(P4973="Gasto",X4973="Variable",D4973&lt;&gt;catTrading,S4973&gt;0,S4973&lt;=Umbral),1,0))</f>
        <v/>
      </c>
      <c r="AB4973" s="52">
        <f>IF(OR(P4973="",Q4973=""),"",IFERROR(IF(INDEX(ctaVinc,MATCH(Q4973,ctaNombre,0))&amp;""&lt;&gt;"",INDEX(ctaVinc,MATCH(Q4973,ctaNombre,0))&amp;"",Q4973),Q4973))</f>
        <v/>
      </c>
      <c r="AC4973" s="52">
        <f>IF(OR(K4973="",AND(P4973&lt;&gt;"Transferencia",P4973&lt;&gt;"Pago tarjeta")),"",IFERROR(IF(INDEX(ctaVinc,MATCH(K4973,ctaNombre,0))&amp;""&lt;&gt;"",INDEX(ctaVinc,MATCH(K4973,ctaNombre,0))&amp;"",K4973),K4973))</f>
        <v/>
      </c>
      <c r="AD4973" s="52">
        <f>IF(AB4973="","",IFERROR(INDEX(ctaTipo,MATCH(AB4973,ctaNombre,0))&amp;"",""))</f>
        <v/>
      </c>
      <c r="AE4973" s="52">
        <f>IF(AC4973="","",IFERROR(INDEX(ctaTipo,MATCH(AC4973,ctaNombre,0))&amp;"",""))</f>
        <v/>
      </c>
      <c r="AF4973" s="53">
        <f>IF(OR(P4973="",AB4973=""),"",IF(OR(P4973="Gasto",P4973="Transferencia",P4973="Pago tarjeta"),-1,1)*IF(IFERROR(INDEX(ctaMoneda,MATCH(AB4973,ctaNombre,0))&amp;"","DOP")="USD",T4973,S4973))</f>
        <v/>
      </c>
      <c r="AG4973" s="53">
        <f>IF(AC4973="","",IF(IFERROR(INDEX(ctaMoneda,MATCH(AC4973,ctaNombre,0))&amp;"","DOP")="USD",T4973,S4973))</f>
        <v/>
      </c>
      <c r="AH4973" s="53">
        <f>IF(P4973="","",IF(AND(AD4973&lt;&gt;"",COUNTIFS(tcTipo,AD4973,tcLiq,"Sí")&gt;0),IF(OR(P4973="Gasto",P4973="Transferencia",P4973="Pago tarjeta"),-1,1)*S4973,0)+IF(AND(AE4973&lt;&gt;"",COUNTIFS(tcTipo,AE4973,tcLiq,"Sí")&gt;0),S4973,0))</f>
        <v/>
      </c>
      <c r="AI4973" s="52">
        <f>IF(OR(L4973="",P4973=""),"",IF(COUNTIFS(L$6:L4973,L4973,P$6:P4973,"?*")=1,MAX(AI$5:AI4972)+1,""))</f>
        <v/>
      </c>
    </row>
    <row r="4974">
      <c r="B4974" s="47" t="n"/>
      <c r="C4974" s="48" t="n"/>
      <c r="D4974" s="48" t="n"/>
      <c r="E4974" s="48" t="n"/>
      <c r="F4974" s="48" t="n"/>
      <c r="G4974" s="49" t="n"/>
      <c r="H4974" s="48" t="n"/>
      <c r="I4974" s="50" t="n"/>
      <c r="J4974" s="48" t="n"/>
      <c r="K4974" s="48" t="n"/>
      <c r="L4974" s="48" t="n"/>
      <c r="M4974" s="48" t="n"/>
      <c r="N4974" s="48" t="n"/>
      <c r="O4974" s="51">
        <f>IF(AND(B4974="",G4974="",C4974="",D4974="",J4974=""),"",IF(B4974="","⚠ Falta fecha",IF(G4974="","⚠ Falta monto",IF(Q4974="","⚠ Falta cuenta",IF(ISNA(MATCH(Q4974,ctaNombre,0)),"⚠ Cuenta no registrada",IF(AND(OR(P4974="Gasto",P4974="Reembolso"),D4974=""),"⚠ Falta categoría",IF(AND(D4974&lt;&gt;"",E4974&lt;&gt;"",ISNA(MATCH(D4974&amp;"|"&amp;E4974,catClave,0))),"⚠ Subcategoría no corresponde",IF(AND(OR(P4974="Transferencia",P4974="Pago tarjeta"),K4974=""),"⚠ Falta cuenta destino",IF(AND(K4974&lt;&gt;"",P4974&lt;&gt;"Transferencia",P4974&lt;&gt;"Pago tarjeta"),"⚠ Destino solo aplica a transferencias",IF(AND(K4974&lt;&gt;"",K4974=Q4974),"⚠ Origen igual a destino",IF(AND(K4974&lt;&gt;"",ISNA(MATCH(K4974,ctaNombre,0))),"⚠ Destino no registrado",IF(AND(P4974="Pago tarjeta",AE4974&lt;&gt;"Tarjeta de crédito"),"⚠ El destino debe ser tarjeta de crédito",IF(AND(P4974="Gasto",E4974="Depósitos y retiros"),"⚠ Usa tipo Transferencia",IF(AND(P4974="Resultado trading",AD4974&lt;&gt;"Cuenta de trading"),"⚠ Usa una cuenta de trading",IF(AND(G4974&lt;=0,P4974&lt;&gt;"Ajuste",P4974&lt;&gt;"Resultado trading"),"⚠ El monto debe ser positivo","✓")))))))))))))))</f>
        <v/>
      </c>
      <c r="P4974" s="52">
        <f>IF(OR(B4974="",G4974=""),"",IF(C4974="","Gasto",C4974))</f>
        <v/>
      </c>
      <c r="Q4974" s="52">
        <f>IF(P4974="","",IF(J4974&lt;&gt;"",J4974,CuentaPred&amp;""))</f>
        <v/>
      </c>
      <c r="R4974" s="52">
        <f>IF(P4974="","",IF(ISNUMBER(I4974),I4974,TasaUSD))</f>
        <v/>
      </c>
      <c r="S4974" s="53">
        <f>IF(P4974="","",IF(H4974="USD",G4974*R4974,G4974))</f>
        <v/>
      </c>
      <c r="T4974" s="53">
        <f>IF(P4974="","",IF(H4974="USD",G4974,IF(R4974&gt;0,G4974/R4974,0)))</f>
        <v/>
      </c>
      <c r="U4974" s="53">
        <f>IF(P4974="","",IF(P4974="Gasto",S4974,IF(P4974="Reembolso",-S4974,0)))</f>
        <v/>
      </c>
      <c r="V4974" s="53">
        <f>IF(P4974="","",IF(P4974="Ingreso",S4974,0))</f>
        <v/>
      </c>
      <c r="W4974" s="53">
        <f>IF(P4974="","",IF(P4974="Resultado trading",S4974,0))</f>
        <v/>
      </c>
      <c r="X4974" s="52">
        <f>IF(OR(P4974="Gasto",P4974="Reembolso"),IF(M4974&lt;&gt;"",M4974,IFERROR(INDEX(catClasif,MATCH(D4974&amp;"|"&amp;E4974,catClave,0))&amp;"","Variable")),"")</f>
        <v/>
      </c>
      <c r="Y4974" s="52">
        <f>IF(P4974="","",IFERROR(INDEX(catGrupo,MATCH(D4974&amp;"|"&amp;E4974,catClave,0))&amp;"",""))</f>
        <v/>
      </c>
      <c r="Z4974" s="52">
        <f>IF(P4974="","",WEEKDAY(B4974,2))</f>
        <v/>
      </c>
      <c r="AA4974" s="52">
        <f>IF(P4974="","",IF(AND(P4974="Gasto",X4974="Variable",D4974&lt;&gt;catTrading,S4974&gt;0,S4974&lt;=Umbral),1,0))</f>
        <v/>
      </c>
      <c r="AB4974" s="52">
        <f>IF(OR(P4974="",Q4974=""),"",IFERROR(IF(INDEX(ctaVinc,MATCH(Q4974,ctaNombre,0))&amp;""&lt;&gt;"",INDEX(ctaVinc,MATCH(Q4974,ctaNombre,0))&amp;"",Q4974),Q4974))</f>
        <v/>
      </c>
      <c r="AC4974" s="52">
        <f>IF(OR(K4974="",AND(P4974&lt;&gt;"Transferencia",P4974&lt;&gt;"Pago tarjeta")),"",IFERROR(IF(INDEX(ctaVinc,MATCH(K4974,ctaNombre,0))&amp;""&lt;&gt;"",INDEX(ctaVinc,MATCH(K4974,ctaNombre,0))&amp;"",K4974),K4974))</f>
        <v/>
      </c>
      <c r="AD4974" s="52">
        <f>IF(AB4974="","",IFERROR(INDEX(ctaTipo,MATCH(AB4974,ctaNombre,0))&amp;"",""))</f>
        <v/>
      </c>
      <c r="AE4974" s="52">
        <f>IF(AC4974="","",IFERROR(INDEX(ctaTipo,MATCH(AC4974,ctaNombre,0))&amp;"",""))</f>
        <v/>
      </c>
      <c r="AF4974" s="53">
        <f>IF(OR(P4974="",AB4974=""),"",IF(OR(P4974="Gasto",P4974="Transferencia",P4974="Pago tarjeta"),-1,1)*IF(IFERROR(INDEX(ctaMoneda,MATCH(AB4974,ctaNombre,0))&amp;"","DOP")="USD",T4974,S4974))</f>
        <v/>
      </c>
      <c r="AG4974" s="53">
        <f>IF(AC4974="","",IF(IFERROR(INDEX(ctaMoneda,MATCH(AC4974,ctaNombre,0))&amp;"","DOP")="USD",T4974,S4974))</f>
        <v/>
      </c>
      <c r="AH4974" s="53">
        <f>IF(P4974="","",IF(AND(AD4974&lt;&gt;"",COUNTIFS(tcTipo,AD4974,tcLiq,"Sí")&gt;0),IF(OR(P4974="Gasto",P4974="Transferencia",P4974="Pago tarjeta"),-1,1)*S4974,0)+IF(AND(AE4974&lt;&gt;"",COUNTIFS(tcTipo,AE4974,tcLiq,"Sí")&gt;0),S4974,0))</f>
        <v/>
      </c>
      <c r="AI4974" s="52">
        <f>IF(OR(L4974="",P4974=""),"",IF(COUNTIFS(L$6:L4974,L4974,P$6:P4974,"?*")=1,MAX(AI$5:AI4973)+1,""))</f>
        <v/>
      </c>
    </row>
    <row r="4975">
      <c r="B4975" s="47" t="n"/>
      <c r="C4975" s="48" t="n"/>
      <c r="D4975" s="48" t="n"/>
      <c r="E4975" s="48" t="n"/>
      <c r="F4975" s="48" t="n"/>
      <c r="G4975" s="49" t="n"/>
      <c r="H4975" s="48" t="n"/>
      <c r="I4975" s="50" t="n"/>
      <c r="J4975" s="48" t="n"/>
      <c r="K4975" s="48" t="n"/>
      <c r="L4975" s="48" t="n"/>
      <c r="M4975" s="48" t="n"/>
      <c r="N4975" s="48" t="n"/>
      <c r="O4975" s="51">
        <f>IF(AND(B4975="",G4975="",C4975="",D4975="",J4975=""),"",IF(B4975="","⚠ Falta fecha",IF(G4975="","⚠ Falta monto",IF(Q4975="","⚠ Falta cuenta",IF(ISNA(MATCH(Q4975,ctaNombre,0)),"⚠ Cuenta no registrada",IF(AND(OR(P4975="Gasto",P4975="Reembolso"),D4975=""),"⚠ Falta categoría",IF(AND(D4975&lt;&gt;"",E4975&lt;&gt;"",ISNA(MATCH(D4975&amp;"|"&amp;E4975,catClave,0))),"⚠ Subcategoría no corresponde",IF(AND(OR(P4975="Transferencia",P4975="Pago tarjeta"),K4975=""),"⚠ Falta cuenta destino",IF(AND(K4975&lt;&gt;"",P4975&lt;&gt;"Transferencia",P4975&lt;&gt;"Pago tarjeta"),"⚠ Destino solo aplica a transferencias",IF(AND(K4975&lt;&gt;"",K4975=Q4975),"⚠ Origen igual a destino",IF(AND(K4975&lt;&gt;"",ISNA(MATCH(K4975,ctaNombre,0))),"⚠ Destino no registrado",IF(AND(P4975="Pago tarjeta",AE4975&lt;&gt;"Tarjeta de crédito"),"⚠ El destino debe ser tarjeta de crédito",IF(AND(P4975="Gasto",E4975="Depósitos y retiros"),"⚠ Usa tipo Transferencia",IF(AND(P4975="Resultado trading",AD4975&lt;&gt;"Cuenta de trading"),"⚠ Usa una cuenta de trading",IF(AND(G4975&lt;=0,P4975&lt;&gt;"Ajuste",P4975&lt;&gt;"Resultado trading"),"⚠ El monto debe ser positivo","✓")))))))))))))))</f>
        <v/>
      </c>
      <c r="P4975" s="52">
        <f>IF(OR(B4975="",G4975=""),"",IF(C4975="","Gasto",C4975))</f>
        <v/>
      </c>
      <c r="Q4975" s="52">
        <f>IF(P4975="","",IF(J4975&lt;&gt;"",J4975,CuentaPred&amp;""))</f>
        <v/>
      </c>
      <c r="R4975" s="52">
        <f>IF(P4975="","",IF(ISNUMBER(I4975),I4975,TasaUSD))</f>
        <v/>
      </c>
      <c r="S4975" s="53">
        <f>IF(P4975="","",IF(H4975="USD",G4975*R4975,G4975))</f>
        <v/>
      </c>
      <c r="T4975" s="53">
        <f>IF(P4975="","",IF(H4975="USD",G4975,IF(R4975&gt;0,G4975/R4975,0)))</f>
        <v/>
      </c>
      <c r="U4975" s="53">
        <f>IF(P4975="","",IF(P4975="Gasto",S4975,IF(P4975="Reembolso",-S4975,0)))</f>
        <v/>
      </c>
      <c r="V4975" s="53">
        <f>IF(P4975="","",IF(P4975="Ingreso",S4975,0))</f>
        <v/>
      </c>
      <c r="W4975" s="53">
        <f>IF(P4975="","",IF(P4975="Resultado trading",S4975,0))</f>
        <v/>
      </c>
      <c r="X4975" s="52">
        <f>IF(OR(P4975="Gasto",P4975="Reembolso"),IF(M4975&lt;&gt;"",M4975,IFERROR(INDEX(catClasif,MATCH(D4975&amp;"|"&amp;E4975,catClave,0))&amp;"","Variable")),"")</f>
        <v/>
      </c>
      <c r="Y4975" s="52">
        <f>IF(P4975="","",IFERROR(INDEX(catGrupo,MATCH(D4975&amp;"|"&amp;E4975,catClave,0))&amp;"",""))</f>
        <v/>
      </c>
      <c r="Z4975" s="52">
        <f>IF(P4975="","",WEEKDAY(B4975,2))</f>
        <v/>
      </c>
      <c r="AA4975" s="52">
        <f>IF(P4975="","",IF(AND(P4975="Gasto",X4975="Variable",D4975&lt;&gt;catTrading,S4975&gt;0,S4975&lt;=Umbral),1,0))</f>
        <v/>
      </c>
      <c r="AB4975" s="52">
        <f>IF(OR(P4975="",Q4975=""),"",IFERROR(IF(INDEX(ctaVinc,MATCH(Q4975,ctaNombre,0))&amp;""&lt;&gt;"",INDEX(ctaVinc,MATCH(Q4975,ctaNombre,0))&amp;"",Q4975),Q4975))</f>
        <v/>
      </c>
      <c r="AC4975" s="52">
        <f>IF(OR(K4975="",AND(P4975&lt;&gt;"Transferencia",P4975&lt;&gt;"Pago tarjeta")),"",IFERROR(IF(INDEX(ctaVinc,MATCH(K4975,ctaNombre,0))&amp;""&lt;&gt;"",INDEX(ctaVinc,MATCH(K4975,ctaNombre,0))&amp;"",K4975),K4975))</f>
        <v/>
      </c>
      <c r="AD4975" s="52">
        <f>IF(AB4975="","",IFERROR(INDEX(ctaTipo,MATCH(AB4975,ctaNombre,0))&amp;"",""))</f>
        <v/>
      </c>
      <c r="AE4975" s="52">
        <f>IF(AC4975="","",IFERROR(INDEX(ctaTipo,MATCH(AC4975,ctaNombre,0))&amp;"",""))</f>
        <v/>
      </c>
      <c r="AF4975" s="53">
        <f>IF(OR(P4975="",AB4975=""),"",IF(OR(P4975="Gasto",P4975="Transferencia",P4975="Pago tarjeta"),-1,1)*IF(IFERROR(INDEX(ctaMoneda,MATCH(AB4975,ctaNombre,0))&amp;"","DOP")="USD",T4975,S4975))</f>
        <v/>
      </c>
      <c r="AG4975" s="53">
        <f>IF(AC4975="","",IF(IFERROR(INDEX(ctaMoneda,MATCH(AC4975,ctaNombre,0))&amp;"","DOP")="USD",T4975,S4975))</f>
        <v/>
      </c>
      <c r="AH4975" s="53">
        <f>IF(P4975="","",IF(AND(AD4975&lt;&gt;"",COUNTIFS(tcTipo,AD4975,tcLiq,"Sí")&gt;0),IF(OR(P4975="Gasto",P4975="Transferencia",P4975="Pago tarjeta"),-1,1)*S4975,0)+IF(AND(AE4975&lt;&gt;"",COUNTIFS(tcTipo,AE4975,tcLiq,"Sí")&gt;0),S4975,0))</f>
        <v/>
      </c>
      <c r="AI4975" s="52">
        <f>IF(OR(L4975="",P4975=""),"",IF(COUNTIFS(L$6:L4975,L4975,P$6:P4975,"?*")=1,MAX(AI$5:AI4974)+1,""))</f>
        <v/>
      </c>
    </row>
    <row r="4976">
      <c r="B4976" s="47" t="n"/>
      <c r="C4976" s="48" t="n"/>
      <c r="D4976" s="48" t="n"/>
      <c r="E4976" s="48" t="n"/>
      <c r="F4976" s="48" t="n"/>
      <c r="G4976" s="49" t="n"/>
      <c r="H4976" s="48" t="n"/>
      <c r="I4976" s="50" t="n"/>
      <c r="J4976" s="48" t="n"/>
      <c r="K4976" s="48" t="n"/>
      <c r="L4976" s="48" t="n"/>
      <c r="M4976" s="48" t="n"/>
      <c r="N4976" s="48" t="n"/>
      <c r="O4976" s="51">
        <f>IF(AND(B4976="",G4976="",C4976="",D4976="",J4976=""),"",IF(B4976="","⚠ Falta fecha",IF(G4976="","⚠ Falta monto",IF(Q4976="","⚠ Falta cuenta",IF(ISNA(MATCH(Q4976,ctaNombre,0)),"⚠ Cuenta no registrada",IF(AND(OR(P4976="Gasto",P4976="Reembolso"),D4976=""),"⚠ Falta categoría",IF(AND(D4976&lt;&gt;"",E4976&lt;&gt;"",ISNA(MATCH(D4976&amp;"|"&amp;E4976,catClave,0))),"⚠ Subcategoría no corresponde",IF(AND(OR(P4976="Transferencia",P4976="Pago tarjeta"),K4976=""),"⚠ Falta cuenta destino",IF(AND(K4976&lt;&gt;"",P4976&lt;&gt;"Transferencia",P4976&lt;&gt;"Pago tarjeta"),"⚠ Destino solo aplica a transferencias",IF(AND(K4976&lt;&gt;"",K4976=Q4976),"⚠ Origen igual a destino",IF(AND(K4976&lt;&gt;"",ISNA(MATCH(K4976,ctaNombre,0))),"⚠ Destino no registrado",IF(AND(P4976="Pago tarjeta",AE4976&lt;&gt;"Tarjeta de crédito"),"⚠ El destino debe ser tarjeta de crédito",IF(AND(P4976="Gasto",E4976="Depósitos y retiros"),"⚠ Usa tipo Transferencia",IF(AND(P4976="Resultado trading",AD4976&lt;&gt;"Cuenta de trading"),"⚠ Usa una cuenta de trading",IF(AND(G4976&lt;=0,P4976&lt;&gt;"Ajuste",P4976&lt;&gt;"Resultado trading"),"⚠ El monto debe ser positivo","✓")))))))))))))))</f>
        <v/>
      </c>
      <c r="P4976" s="52">
        <f>IF(OR(B4976="",G4976=""),"",IF(C4976="","Gasto",C4976))</f>
        <v/>
      </c>
      <c r="Q4976" s="52">
        <f>IF(P4976="","",IF(J4976&lt;&gt;"",J4976,CuentaPred&amp;""))</f>
        <v/>
      </c>
      <c r="R4976" s="52">
        <f>IF(P4976="","",IF(ISNUMBER(I4976),I4976,TasaUSD))</f>
        <v/>
      </c>
      <c r="S4976" s="53">
        <f>IF(P4976="","",IF(H4976="USD",G4976*R4976,G4976))</f>
        <v/>
      </c>
      <c r="T4976" s="53">
        <f>IF(P4976="","",IF(H4976="USD",G4976,IF(R4976&gt;0,G4976/R4976,0)))</f>
        <v/>
      </c>
      <c r="U4976" s="53">
        <f>IF(P4976="","",IF(P4976="Gasto",S4976,IF(P4976="Reembolso",-S4976,0)))</f>
        <v/>
      </c>
      <c r="V4976" s="53">
        <f>IF(P4976="","",IF(P4976="Ingreso",S4976,0))</f>
        <v/>
      </c>
      <c r="W4976" s="53">
        <f>IF(P4976="","",IF(P4976="Resultado trading",S4976,0))</f>
        <v/>
      </c>
      <c r="X4976" s="52">
        <f>IF(OR(P4976="Gasto",P4976="Reembolso"),IF(M4976&lt;&gt;"",M4976,IFERROR(INDEX(catClasif,MATCH(D4976&amp;"|"&amp;E4976,catClave,0))&amp;"","Variable")),"")</f>
        <v/>
      </c>
      <c r="Y4976" s="52">
        <f>IF(P4976="","",IFERROR(INDEX(catGrupo,MATCH(D4976&amp;"|"&amp;E4976,catClave,0))&amp;"",""))</f>
        <v/>
      </c>
      <c r="Z4976" s="52">
        <f>IF(P4976="","",WEEKDAY(B4976,2))</f>
        <v/>
      </c>
      <c r="AA4976" s="52">
        <f>IF(P4976="","",IF(AND(P4976="Gasto",X4976="Variable",D4976&lt;&gt;catTrading,S4976&gt;0,S4976&lt;=Umbral),1,0))</f>
        <v/>
      </c>
      <c r="AB4976" s="52">
        <f>IF(OR(P4976="",Q4976=""),"",IFERROR(IF(INDEX(ctaVinc,MATCH(Q4976,ctaNombre,0))&amp;""&lt;&gt;"",INDEX(ctaVinc,MATCH(Q4976,ctaNombre,0))&amp;"",Q4976),Q4976))</f>
        <v/>
      </c>
      <c r="AC4976" s="52">
        <f>IF(OR(K4976="",AND(P4976&lt;&gt;"Transferencia",P4976&lt;&gt;"Pago tarjeta")),"",IFERROR(IF(INDEX(ctaVinc,MATCH(K4976,ctaNombre,0))&amp;""&lt;&gt;"",INDEX(ctaVinc,MATCH(K4976,ctaNombre,0))&amp;"",K4976),K4976))</f>
        <v/>
      </c>
      <c r="AD4976" s="52">
        <f>IF(AB4976="","",IFERROR(INDEX(ctaTipo,MATCH(AB4976,ctaNombre,0))&amp;"",""))</f>
        <v/>
      </c>
      <c r="AE4976" s="52">
        <f>IF(AC4976="","",IFERROR(INDEX(ctaTipo,MATCH(AC4976,ctaNombre,0))&amp;"",""))</f>
        <v/>
      </c>
      <c r="AF4976" s="53">
        <f>IF(OR(P4976="",AB4976=""),"",IF(OR(P4976="Gasto",P4976="Transferencia",P4976="Pago tarjeta"),-1,1)*IF(IFERROR(INDEX(ctaMoneda,MATCH(AB4976,ctaNombre,0))&amp;"","DOP")="USD",T4976,S4976))</f>
        <v/>
      </c>
      <c r="AG4976" s="53">
        <f>IF(AC4976="","",IF(IFERROR(INDEX(ctaMoneda,MATCH(AC4976,ctaNombre,0))&amp;"","DOP")="USD",T4976,S4976))</f>
        <v/>
      </c>
      <c r="AH4976" s="53">
        <f>IF(P4976="","",IF(AND(AD4976&lt;&gt;"",COUNTIFS(tcTipo,AD4976,tcLiq,"Sí")&gt;0),IF(OR(P4976="Gasto",P4976="Transferencia",P4976="Pago tarjeta"),-1,1)*S4976,0)+IF(AND(AE4976&lt;&gt;"",COUNTIFS(tcTipo,AE4976,tcLiq,"Sí")&gt;0),S4976,0))</f>
        <v/>
      </c>
      <c r="AI4976" s="52">
        <f>IF(OR(L4976="",P4976=""),"",IF(COUNTIFS(L$6:L4976,L4976,P$6:P4976,"?*")=1,MAX(AI$5:AI4975)+1,""))</f>
        <v/>
      </c>
    </row>
    <row r="4977">
      <c r="B4977" s="47" t="n"/>
      <c r="C4977" s="48" t="n"/>
      <c r="D4977" s="48" t="n"/>
      <c r="E4977" s="48" t="n"/>
      <c r="F4977" s="48" t="n"/>
      <c r="G4977" s="49" t="n"/>
      <c r="H4977" s="48" t="n"/>
      <c r="I4977" s="50" t="n"/>
      <c r="J4977" s="48" t="n"/>
      <c r="K4977" s="48" t="n"/>
      <c r="L4977" s="48" t="n"/>
      <c r="M4977" s="48" t="n"/>
      <c r="N4977" s="48" t="n"/>
      <c r="O4977" s="51">
        <f>IF(AND(B4977="",G4977="",C4977="",D4977="",J4977=""),"",IF(B4977="","⚠ Falta fecha",IF(G4977="","⚠ Falta monto",IF(Q4977="","⚠ Falta cuenta",IF(ISNA(MATCH(Q4977,ctaNombre,0)),"⚠ Cuenta no registrada",IF(AND(OR(P4977="Gasto",P4977="Reembolso"),D4977=""),"⚠ Falta categoría",IF(AND(D4977&lt;&gt;"",E4977&lt;&gt;"",ISNA(MATCH(D4977&amp;"|"&amp;E4977,catClave,0))),"⚠ Subcategoría no corresponde",IF(AND(OR(P4977="Transferencia",P4977="Pago tarjeta"),K4977=""),"⚠ Falta cuenta destino",IF(AND(K4977&lt;&gt;"",P4977&lt;&gt;"Transferencia",P4977&lt;&gt;"Pago tarjeta"),"⚠ Destino solo aplica a transferencias",IF(AND(K4977&lt;&gt;"",K4977=Q4977),"⚠ Origen igual a destino",IF(AND(K4977&lt;&gt;"",ISNA(MATCH(K4977,ctaNombre,0))),"⚠ Destino no registrado",IF(AND(P4977="Pago tarjeta",AE4977&lt;&gt;"Tarjeta de crédito"),"⚠ El destino debe ser tarjeta de crédito",IF(AND(P4977="Gasto",E4977="Depósitos y retiros"),"⚠ Usa tipo Transferencia",IF(AND(P4977="Resultado trading",AD4977&lt;&gt;"Cuenta de trading"),"⚠ Usa una cuenta de trading",IF(AND(G4977&lt;=0,P4977&lt;&gt;"Ajuste",P4977&lt;&gt;"Resultado trading"),"⚠ El monto debe ser positivo","✓")))))))))))))))</f>
        <v/>
      </c>
      <c r="P4977" s="52">
        <f>IF(OR(B4977="",G4977=""),"",IF(C4977="","Gasto",C4977))</f>
        <v/>
      </c>
      <c r="Q4977" s="52">
        <f>IF(P4977="","",IF(J4977&lt;&gt;"",J4977,CuentaPred&amp;""))</f>
        <v/>
      </c>
      <c r="R4977" s="52">
        <f>IF(P4977="","",IF(ISNUMBER(I4977),I4977,TasaUSD))</f>
        <v/>
      </c>
      <c r="S4977" s="53">
        <f>IF(P4977="","",IF(H4977="USD",G4977*R4977,G4977))</f>
        <v/>
      </c>
      <c r="T4977" s="53">
        <f>IF(P4977="","",IF(H4977="USD",G4977,IF(R4977&gt;0,G4977/R4977,0)))</f>
        <v/>
      </c>
      <c r="U4977" s="53">
        <f>IF(P4977="","",IF(P4977="Gasto",S4977,IF(P4977="Reembolso",-S4977,0)))</f>
        <v/>
      </c>
      <c r="V4977" s="53">
        <f>IF(P4977="","",IF(P4977="Ingreso",S4977,0))</f>
        <v/>
      </c>
      <c r="W4977" s="53">
        <f>IF(P4977="","",IF(P4977="Resultado trading",S4977,0))</f>
        <v/>
      </c>
      <c r="X4977" s="52">
        <f>IF(OR(P4977="Gasto",P4977="Reembolso"),IF(M4977&lt;&gt;"",M4977,IFERROR(INDEX(catClasif,MATCH(D4977&amp;"|"&amp;E4977,catClave,0))&amp;"","Variable")),"")</f>
        <v/>
      </c>
      <c r="Y4977" s="52">
        <f>IF(P4977="","",IFERROR(INDEX(catGrupo,MATCH(D4977&amp;"|"&amp;E4977,catClave,0))&amp;"",""))</f>
        <v/>
      </c>
      <c r="Z4977" s="52">
        <f>IF(P4977="","",WEEKDAY(B4977,2))</f>
        <v/>
      </c>
      <c r="AA4977" s="52">
        <f>IF(P4977="","",IF(AND(P4977="Gasto",X4977="Variable",D4977&lt;&gt;catTrading,S4977&gt;0,S4977&lt;=Umbral),1,0))</f>
        <v/>
      </c>
      <c r="AB4977" s="52">
        <f>IF(OR(P4977="",Q4977=""),"",IFERROR(IF(INDEX(ctaVinc,MATCH(Q4977,ctaNombre,0))&amp;""&lt;&gt;"",INDEX(ctaVinc,MATCH(Q4977,ctaNombre,0))&amp;"",Q4977),Q4977))</f>
        <v/>
      </c>
      <c r="AC4977" s="52">
        <f>IF(OR(K4977="",AND(P4977&lt;&gt;"Transferencia",P4977&lt;&gt;"Pago tarjeta")),"",IFERROR(IF(INDEX(ctaVinc,MATCH(K4977,ctaNombre,0))&amp;""&lt;&gt;"",INDEX(ctaVinc,MATCH(K4977,ctaNombre,0))&amp;"",K4977),K4977))</f>
        <v/>
      </c>
      <c r="AD4977" s="52">
        <f>IF(AB4977="","",IFERROR(INDEX(ctaTipo,MATCH(AB4977,ctaNombre,0))&amp;"",""))</f>
        <v/>
      </c>
      <c r="AE4977" s="52">
        <f>IF(AC4977="","",IFERROR(INDEX(ctaTipo,MATCH(AC4977,ctaNombre,0))&amp;"",""))</f>
        <v/>
      </c>
      <c r="AF4977" s="53">
        <f>IF(OR(P4977="",AB4977=""),"",IF(OR(P4977="Gasto",P4977="Transferencia",P4977="Pago tarjeta"),-1,1)*IF(IFERROR(INDEX(ctaMoneda,MATCH(AB4977,ctaNombre,0))&amp;"","DOP")="USD",T4977,S4977))</f>
        <v/>
      </c>
      <c r="AG4977" s="53">
        <f>IF(AC4977="","",IF(IFERROR(INDEX(ctaMoneda,MATCH(AC4977,ctaNombre,0))&amp;"","DOP")="USD",T4977,S4977))</f>
        <v/>
      </c>
      <c r="AH4977" s="53">
        <f>IF(P4977="","",IF(AND(AD4977&lt;&gt;"",COUNTIFS(tcTipo,AD4977,tcLiq,"Sí")&gt;0),IF(OR(P4977="Gasto",P4977="Transferencia",P4977="Pago tarjeta"),-1,1)*S4977,0)+IF(AND(AE4977&lt;&gt;"",COUNTIFS(tcTipo,AE4977,tcLiq,"Sí")&gt;0),S4977,0))</f>
        <v/>
      </c>
      <c r="AI4977" s="52">
        <f>IF(OR(L4977="",P4977=""),"",IF(COUNTIFS(L$6:L4977,L4977,P$6:P4977,"?*")=1,MAX(AI$5:AI4976)+1,""))</f>
        <v/>
      </c>
    </row>
    <row r="4978">
      <c r="B4978" s="47" t="n"/>
      <c r="C4978" s="48" t="n"/>
      <c r="D4978" s="48" t="n"/>
      <c r="E4978" s="48" t="n"/>
      <c r="F4978" s="48" t="n"/>
      <c r="G4978" s="49" t="n"/>
      <c r="H4978" s="48" t="n"/>
      <c r="I4978" s="50" t="n"/>
      <c r="J4978" s="48" t="n"/>
      <c r="K4978" s="48" t="n"/>
      <c r="L4978" s="48" t="n"/>
      <c r="M4978" s="48" t="n"/>
      <c r="N4978" s="48" t="n"/>
      <c r="O4978" s="51">
        <f>IF(AND(B4978="",G4978="",C4978="",D4978="",J4978=""),"",IF(B4978="","⚠ Falta fecha",IF(G4978="","⚠ Falta monto",IF(Q4978="","⚠ Falta cuenta",IF(ISNA(MATCH(Q4978,ctaNombre,0)),"⚠ Cuenta no registrada",IF(AND(OR(P4978="Gasto",P4978="Reembolso"),D4978=""),"⚠ Falta categoría",IF(AND(D4978&lt;&gt;"",E4978&lt;&gt;"",ISNA(MATCH(D4978&amp;"|"&amp;E4978,catClave,0))),"⚠ Subcategoría no corresponde",IF(AND(OR(P4978="Transferencia",P4978="Pago tarjeta"),K4978=""),"⚠ Falta cuenta destino",IF(AND(K4978&lt;&gt;"",P4978&lt;&gt;"Transferencia",P4978&lt;&gt;"Pago tarjeta"),"⚠ Destino solo aplica a transferencias",IF(AND(K4978&lt;&gt;"",K4978=Q4978),"⚠ Origen igual a destino",IF(AND(K4978&lt;&gt;"",ISNA(MATCH(K4978,ctaNombre,0))),"⚠ Destino no registrado",IF(AND(P4978="Pago tarjeta",AE4978&lt;&gt;"Tarjeta de crédito"),"⚠ El destino debe ser tarjeta de crédito",IF(AND(P4978="Gasto",E4978="Depósitos y retiros"),"⚠ Usa tipo Transferencia",IF(AND(P4978="Resultado trading",AD4978&lt;&gt;"Cuenta de trading"),"⚠ Usa una cuenta de trading",IF(AND(G4978&lt;=0,P4978&lt;&gt;"Ajuste",P4978&lt;&gt;"Resultado trading"),"⚠ El monto debe ser positivo","✓")))))))))))))))</f>
        <v/>
      </c>
      <c r="P4978" s="52">
        <f>IF(OR(B4978="",G4978=""),"",IF(C4978="","Gasto",C4978))</f>
        <v/>
      </c>
      <c r="Q4978" s="52">
        <f>IF(P4978="","",IF(J4978&lt;&gt;"",J4978,CuentaPred&amp;""))</f>
        <v/>
      </c>
      <c r="R4978" s="52">
        <f>IF(P4978="","",IF(ISNUMBER(I4978),I4978,TasaUSD))</f>
        <v/>
      </c>
      <c r="S4978" s="53">
        <f>IF(P4978="","",IF(H4978="USD",G4978*R4978,G4978))</f>
        <v/>
      </c>
      <c r="T4978" s="53">
        <f>IF(P4978="","",IF(H4978="USD",G4978,IF(R4978&gt;0,G4978/R4978,0)))</f>
        <v/>
      </c>
      <c r="U4978" s="53">
        <f>IF(P4978="","",IF(P4978="Gasto",S4978,IF(P4978="Reembolso",-S4978,0)))</f>
        <v/>
      </c>
      <c r="V4978" s="53">
        <f>IF(P4978="","",IF(P4978="Ingreso",S4978,0))</f>
        <v/>
      </c>
      <c r="W4978" s="53">
        <f>IF(P4978="","",IF(P4978="Resultado trading",S4978,0))</f>
        <v/>
      </c>
      <c r="X4978" s="52">
        <f>IF(OR(P4978="Gasto",P4978="Reembolso"),IF(M4978&lt;&gt;"",M4978,IFERROR(INDEX(catClasif,MATCH(D4978&amp;"|"&amp;E4978,catClave,0))&amp;"","Variable")),"")</f>
        <v/>
      </c>
      <c r="Y4978" s="52">
        <f>IF(P4978="","",IFERROR(INDEX(catGrupo,MATCH(D4978&amp;"|"&amp;E4978,catClave,0))&amp;"",""))</f>
        <v/>
      </c>
      <c r="Z4978" s="52">
        <f>IF(P4978="","",WEEKDAY(B4978,2))</f>
        <v/>
      </c>
      <c r="AA4978" s="52">
        <f>IF(P4978="","",IF(AND(P4978="Gasto",X4978="Variable",D4978&lt;&gt;catTrading,S4978&gt;0,S4978&lt;=Umbral),1,0))</f>
        <v/>
      </c>
      <c r="AB4978" s="52">
        <f>IF(OR(P4978="",Q4978=""),"",IFERROR(IF(INDEX(ctaVinc,MATCH(Q4978,ctaNombre,0))&amp;""&lt;&gt;"",INDEX(ctaVinc,MATCH(Q4978,ctaNombre,0))&amp;"",Q4978),Q4978))</f>
        <v/>
      </c>
      <c r="AC4978" s="52">
        <f>IF(OR(K4978="",AND(P4978&lt;&gt;"Transferencia",P4978&lt;&gt;"Pago tarjeta")),"",IFERROR(IF(INDEX(ctaVinc,MATCH(K4978,ctaNombre,0))&amp;""&lt;&gt;"",INDEX(ctaVinc,MATCH(K4978,ctaNombre,0))&amp;"",K4978),K4978))</f>
        <v/>
      </c>
      <c r="AD4978" s="52">
        <f>IF(AB4978="","",IFERROR(INDEX(ctaTipo,MATCH(AB4978,ctaNombre,0))&amp;"",""))</f>
        <v/>
      </c>
      <c r="AE4978" s="52">
        <f>IF(AC4978="","",IFERROR(INDEX(ctaTipo,MATCH(AC4978,ctaNombre,0))&amp;"",""))</f>
        <v/>
      </c>
      <c r="AF4978" s="53">
        <f>IF(OR(P4978="",AB4978=""),"",IF(OR(P4978="Gasto",P4978="Transferencia",P4978="Pago tarjeta"),-1,1)*IF(IFERROR(INDEX(ctaMoneda,MATCH(AB4978,ctaNombre,0))&amp;"","DOP")="USD",T4978,S4978))</f>
        <v/>
      </c>
      <c r="AG4978" s="53">
        <f>IF(AC4978="","",IF(IFERROR(INDEX(ctaMoneda,MATCH(AC4978,ctaNombre,0))&amp;"","DOP")="USD",T4978,S4978))</f>
        <v/>
      </c>
      <c r="AH4978" s="53">
        <f>IF(P4978="","",IF(AND(AD4978&lt;&gt;"",COUNTIFS(tcTipo,AD4978,tcLiq,"Sí")&gt;0),IF(OR(P4978="Gasto",P4978="Transferencia",P4978="Pago tarjeta"),-1,1)*S4978,0)+IF(AND(AE4978&lt;&gt;"",COUNTIFS(tcTipo,AE4978,tcLiq,"Sí")&gt;0),S4978,0))</f>
        <v/>
      </c>
      <c r="AI4978" s="52">
        <f>IF(OR(L4978="",P4978=""),"",IF(COUNTIFS(L$6:L4978,L4978,P$6:P4978,"?*")=1,MAX(AI$5:AI4977)+1,""))</f>
        <v/>
      </c>
    </row>
    <row r="4979">
      <c r="B4979" s="47" t="n"/>
      <c r="C4979" s="48" t="n"/>
      <c r="D4979" s="48" t="n"/>
      <c r="E4979" s="48" t="n"/>
      <c r="F4979" s="48" t="n"/>
      <c r="G4979" s="49" t="n"/>
      <c r="H4979" s="48" t="n"/>
      <c r="I4979" s="50" t="n"/>
      <c r="J4979" s="48" t="n"/>
      <c r="K4979" s="48" t="n"/>
      <c r="L4979" s="48" t="n"/>
      <c r="M4979" s="48" t="n"/>
      <c r="N4979" s="48" t="n"/>
      <c r="O4979" s="51">
        <f>IF(AND(B4979="",G4979="",C4979="",D4979="",J4979=""),"",IF(B4979="","⚠ Falta fecha",IF(G4979="","⚠ Falta monto",IF(Q4979="","⚠ Falta cuenta",IF(ISNA(MATCH(Q4979,ctaNombre,0)),"⚠ Cuenta no registrada",IF(AND(OR(P4979="Gasto",P4979="Reembolso"),D4979=""),"⚠ Falta categoría",IF(AND(D4979&lt;&gt;"",E4979&lt;&gt;"",ISNA(MATCH(D4979&amp;"|"&amp;E4979,catClave,0))),"⚠ Subcategoría no corresponde",IF(AND(OR(P4979="Transferencia",P4979="Pago tarjeta"),K4979=""),"⚠ Falta cuenta destino",IF(AND(K4979&lt;&gt;"",P4979&lt;&gt;"Transferencia",P4979&lt;&gt;"Pago tarjeta"),"⚠ Destino solo aplica a transferencias",IF(AND(K4979&lt;&gt;"",K4979=Q4979),"⚠ Origen igual a destino",IF(AND(K4979&lt;&gt;"",ISNA(MATCH(K4979,ctaNombre,0))),"⚠ Destino no registrado",IF(AND(P4979="Pago tarjeta",AE4979&lt;&gt;"Tarjeta de crédito"),"⚠ El destino debe ser tarjeta de crédito",IF(AND(P4979="Gasto",E4979="Depósitos y retiros"),"⚠ Usa tipo Transferencia",IF(AND(P4979="Resultado trading",AD4979&lt;&gt;"Cuenta de trading"),"⚠ Usa una cuenta de trading",IF(AND(G4979&lt;=0,P4979&lt;&gt;"Ajuste",P4979&lt;&gt;"Resultado trading"),"⚠ El monto debe ser positivo","✓")))))))))))))))</f>
        <v/>
      </c>
      <c r="P4979" s="52">
        <f>IF(OR(B4979="",G4979=""),"",IF(C4979="","Gasto",C4979))</f>
        <v/>
      </c>
      <c r="Q4979" s="52">
        <f>IF(P4979="","",IF(J4979&lt;&gt;"",J4979,CuentaPred&amp;""))</f>
        <v/>
      </c>
      <c r="R4979" s="52">
        <f>IF(P4979="","",IF(ISNUMBER(I4979),I4979,TasaUSD))</f>
        <v/>
      </c>
      <c r="S4979" s="53">
        <f>IF(P4979="","",IF(H4979="USD",G4979*R4979,G4979))</f>
        <v/>
      </c>
      <c r="T4979" s="53">
        <f>IF(P4979="","",IF(H4979="USD",G4979,IF(R4979&gt;0,G4979/R4979,0)))</f>
        <v/>
      </c>
      <c r="U4979" s="53">
        <f>IF(P4979="","",IF(P4979="Gasto",S4979,IF(P4979="Reembolso",-S4979,0)))</f>
        <v/>
      </c>
      <c r="V4979" s="53">
        <f>IF(P4979="","",IF(P4979="Ingreso",S4979,0))</f>
        <v/>
      </c>
      <c r="W4979" s="53">
        <f>IF(P4979="","",IF(P4979="Resultado trading",S4979,0))</f>
        <v/>
      </c>
      <c r="X4979" s="52">
        <f>IF(OR(P4979="Gasto",P4979="Reembolso"),IF(M4979&lt;&gt;"",M4979,IFERROR(INDEX(catClasif,MATCH(D4979&amp;"|"&amp;E4979,catClave,0))&amp;"","Variable")),"")</f>
        <v/>
      </c>
      <c r="Y4979" s="52">
        <f>IF(P4979="","",IFERROR(INDEX(catGrupo,MATCH(D4979&amp;"|"&amp;E4979,catClave,0))&amp;"",""))</f>
        <v/>
      </c>
      <c r="Z4979" s="52">
        <f>IF(P4979="","",WEEKDAY(B4979,2))</f>
        <v/>
      </c>
      <c r="AA4979" s="52">
        <f>IF(P4979="","",IF(AND(P4979="Gasto",X4979="Variable",D4979&lt;&gt;catTrading,S4979&gt;0,S4979&lt;=Umbral),1,0))</f>
        <v/>
      </c>
      <c r="AB4979" s="52">
        <f>IF(OR(P4979="",Q4979=""),"",IFERROR(IF(INDEX(ctaVinc,MATCH(Q4979,ctaNombre,0))&amp;""&lt;&gt;"",INDEX(ctaVinc,MATCH(Q4979,ctaNombre,0))&amp;"",Q4979),Q4979))</f>
        <v/>
      </c>
      <c r="AC4979" s="52">
        <f>IF(OR(K4979="",AND(P4979&lt;&gt;"Transferencia",P4979&lt;&gt;"Pago tarjeta")),"",IFERROR(IF(INDEX(ctaVinc,MATCH(K4979,ctaNombre,0))&amp;""&lt;&gt;"",INDEX(ctaVinc,MATCH(K4979,ctaNombre,0))&amp;"",K4979),K4979))</f>
        <v/>
      </c>
      <c r="AD4979" s="52">
        <f>IF(AB4979="","",IFERROR(INDEX(ctaTipo,MATCH(AB4979,ctaNombre,0))&amp;"",""))</f>
        <v/>
      </c>
      <c r="AE4979" s="52">
        <f>IF(AC4979="","",IFERROR(INDEX(ctaTipo,MATCH(AC4979,ctaNombre,0))&amp;"",""))</f>
        <v/>
      </c>
      <c r="AF4979" s="53">
        <f>IF(OR(P4979="",AB4979=""),"",IF(OR(P4979="Gasto",P4979="Transferencia",P4979="Pago tarjeta"),-1,1)*IF(IFERROR(INDEX(ctaMoneda,MATCH(AB4979,ctaNombre,0))&amp;"","DOP")="USD",T4979,S4979))</f>
        <v/>
      </c>
      <c r="AG4979" s="53">
        <f>IF(AC4979="","",IF(IFERROR(INDEX(ctaMoneda,MATCH(AC4979,ctaNombre,0))&amp;"","DOP")="USD",T4979,S4979))</f>
        <v/>
      </c>
      <c r="AH4979" s="53">
        <f>IF(P4979="","",IF(AND(AD4979&lt;&gt;"",COUNTIFS(tcTipo,AD4979,tcLiq,"Sí")&gt;0),IF(OR(P4979="Gasto",P4979="Transferencia",P4979="Pago tarjeta"),-1,1)*S4979,0)+IF(AND(AE4979&lt;&gt;"",COUNTIFS(tcTipo,AE4979,tcLiq,"Sí")&gt;0),S4979,0))</f>
        <v/>
      </c>
      <c r="AI4979" s="52">
        <f>IF(OR(L4979="",P4979=""),"",IF(COUNTIFS(L$6:L4979,L4979,P$6:P4979,"?*")=1,MAX(AI$5:AI4978)+1,""))</f>
        <v/>
      </c>
    </row>
    <row r="4980">
      <c r="B4980" s="47" t="n"/>
      <c r="C4980" s="48" t="n"/>
      <c r="D4980" s="48" t="n"/>
      <c r="E4980" s="48" t="n"/>
      <c r="F4980" s="48" t="n"/>
      <c r="G4980" s="49" t="n"/>
      <c r="H4980" s="48" t="n"/>
      <c r="I4980" s="50" t="n"/>
      <c r="J4980" s="48" t="n"/>
      <c r="K4980" s="48" t="n"/>
      <c r="L4980" s="48" t="n"/>
      <c r="M4980" s="48" t="n"/>
      <c r="N4980" s="48" t="n"/>
      <c r="O4980" s="51">
        <f>IF(AND(B4980="",G4980="",C4980="",D4980="",J4980=""),"",IF(B4980="","⚠ Falta fecha",IF(G4980="","⚠ Falta monto",IF(Q4980="","⚠ Falta cuenta",IF(ISNA(MATCH(Q4980,ctaNombre,0)),"⚠ Cuenta no registrada",IF(AND(OR(P4980="Gasto",P4980="Reembolso"),D4980=""),"⚠ Falta categoría",IF(AND(D4980&lt;&gt;"",E4980&lt;&gt;"",ISNA(MATCH(D4980&amp;"|"&amp;E4980,catClave,0))),"⚠ Subcategoría no corresponde",IF(AND(OR(P4980="Transferencia",P4980="Pago tarjeta"),K4980=""),"⚠ Falta cuenta destino",IF(AND(K4980&lt;&gt;"",P4980&lt;&gt;"Transferencia",P4980&lt;&gt;"Pago tarjeta"),"⚠ Destino solo aplica a transferencias",IF(AND(K4980&lt;&gt;"",K4980=Q4980),"⚠ Origen igual a destino",IF(AND(K4980&lt;&gt;"",ISNA(MATCH(K4980,ctaNombre,0))),"⚠ Destino no registrado",IF(AND(P4980="Pago tarjeta",AE4980&lt;&gt;"Tarjeta de crédito"),"⚠ El destino debe ser tarjeta de crédito",IF(AND(P4980="Gasto",E4980="Depósitos y retiros"),"⚠ Usa tipo Transferencia",IF(AND(P4980="Resultado trading",AD4980&lt;&gt;"Cuenta de trading"),"⚠ Usa una cuenta de trading",IF(AND(G4980&lt;=0,P4980&lt;&gt;"Ajuste",P4980&lt;&gt;"Resultado trading"),"⚠ El monto debe ser positivo","✓")))))))))))))))</f>
        <v/>
      </c>
      <c r="P4980" s="52">
        <f>IF(OR(B4980="",G4980=""),"",IF(C4980="","Gasto",C4980))</f>
        <v/>
      </c>
      <c r="Q4980" s="52">
        <f>IF(P4980="","",IF(J4980&lt;&gt;"",J4980,CuentaPred&amp;""))</f>
        <v/>
      </c>
      <c r="R4980" s="52">
        <f>IF(P4980="","",IF(ISNUMBER(I4980),I4980,TasaUSD))</f>
        <v/>
      </c>
      <c r="S4980" s="53">
        <f>IF(P4980="","",IF(H4980="USD",G4980*R4980,G4980))</f>
        <v/>
      </c>
      <c r="T4980" s="53">
        <f>IF(P4980="","",IF(H4980="USD",G4980,IF(R4980&gt;0,G4980/R4980,0)))</f>
        <v/>
      </c>
      <c r="U4980" s="53">
        <f>IF(P4980="","",IF(P4980="Gasto",S4980,IF(P4980="Reembolso",-S4980,0)))</f>
        <v/>
      </c>
      <c r="V4980" s="53">
        <f>IF(P4980="","",IF(P4980="Ingreso",S4980,0))</f>
        <v/>
      </c>
      <c r="W4980" s="53">
        <f>IF(P4980="","",IF(P4980="Resultado trading",S4980,0))</f>
        <v/>
      </c>
      <c r="X4980" s="52">
        <f>IF(OR(P4980="Gasto",P4980="Reembolso"),IF(M4980&lt;&gt;"",M4980,IFERROR(INDEX(catClasif,MATCH(D4980&amp;"|"&amp;E4980,catClave,0))&amp;"","Variable")),"")</f>
        <v/>
      </c>
      <c r="Y4980" s="52">
        <f>IF(P4980="","",IFERROR(INDEX(catGrupo,MATCH(D4980&amp;"|"&amp;E4980,catClave,0))&amp;"",""))</f>
        <v/>
      </c>
      <c r="Z4980" s="52">
        <f>IF(P4980="","",WEEKDAY(B4980,2))</f>
        <v/>
      </c>
      <c r="AA4980" s="52">
        <f>IF(P4980="","",IF(AND(P4980="Gasto",X4980="Variable",D4980&lt;&gt;catTrading,S4980&gt;0,S4980&lt;=Umbral),1,0))</f>
        <v/>
      </c>
      <c r="AB4980" s="52">
        <f>IF(OR(P4980="",Q4980=""),"",IFERROR(IF(INDEX(ctaVinc,MATCH(Q4980,ctaNombre,0))&amp;""&lt;&gt;"",INDEX(ctaVinc,MATCH(Q4980,ctaNombre,0))&amp;"",Q4980),Q4980))</f>
        <v/>
      </c>
      <c r="AC4980" s="52">
        <f>IF(OR(K4980="",AND(P4980&lt;&gt;"Transferencia",P4980&lt;&gt;"Pago tarjeta")),"",IFERROR(IF(INDEX(ctaVinc,MATCH(K4980,ctaNombre,0))&amp;""&lt;&gt;"",INDEX(ctaVinc,MATCH(K4980,ctaNombre,0))&amp;"",K4980),K4980))</f>
        <v/>
      </c>
      <c r="AD4980" s="52">
        <f>IF(AB4980="","",IFERROR(INDEX(ctaTipo,MATCH(AB4980,ctaNombre,0))&amp;"",""))</f>
        <v/>
      </c>
      <c r="AE4980" s="52">
        <f>IF(AC4980="","",IFERROR(INDEX(ctaTipo,MATCH(AC4980,ctaNombre,0))&amp;"",""))</f>
        <v/>
      </c>
      <c r="AF4980" s="53">
        <f>IF(OR(P4980="",AB4980=""),"",IF(OR(P4980="Gasto",P4980="Transferencia",P4980="Pago tarjeta"),-1,1)*IF(IFERROR(INDEX(ctaMoneda,MATCH(AB4980,ctaNombre,0))&amp;"","DOP")="USD",T4980,S4980))</f>
        <v/>
      </c>
      <c r="AG4980" s="53">
        <f>IF(AC4980="","",IF(IFERROR(INDEX(ctaMoneda,MATCH(AC4980,ctaNombre,0))&amp;"","DOP")="USD",T4980,S4980))</f>
        <v/>
      </c>
      <c r="AH4980" s="53">
        <f>IF(P4980="","",IF(AND(AD4980&lt;&gt;"",COUNTIFS(tcTipo,AD4980,tcLiq,"Sí")&gt;0),IF(OR(P4980="Gasto",P4980="Transferencia",P4980="Pago tarjeta"),-1,1)*S4980,0)+IF(AND(AE4980&lt;&gt;"",COUNTIFS(tcTipo,AE4980,tcLiq,"Sí")&gt;0),S4980,0))</f>
        <v/>
      </c>
      <c r="AI4980" s="52">
        <f>IF(OR(L4980="",P4980=""),"",IF(COUNTIFS(L$6:L4980,L4980,P$6:P4980,"?*")=1,MAX(AI$5:AI4979)+1,""))</f>
        <v/>
      </c>
    </row>
    <row r="4981">
      <c r="B4981" s="47" t="n"/>
      <c r="C4981" s="48" t="n"/>
      <c r="D4981" s="48" t="n"/>
      <c r="E4981" s="48" t="n"/>
      <c r="F4981" s="48" t="n"/>
      <c r="G4981" s="49" t="n"/>
      <c r="H4981" s="48" t="n"/>
      <c r="I4981" s="50" t="n"/>
      <c r="J4981" s="48" t="n"/>
      <c r="K4981" s="48" t="n"/>
      <c r="L4981" s="48" t="n"/>
      <c r="M4981" s="48" t="n"/>
      <c r="N4981" s="48" t="n"/>
      <c r="O4981" s="51">
        <f>IF(AND(B4981="",G4981="",C4981="",D4981="",J4981=""),"",IF(B4981="","⚠ Falta fecha",IF(G4981="","⚠ Falta monto",IF(Q4981="","⚠ Falta cuenta",IF(ISNA(MATCH(Q4981,ctaNombre,0)),"⚠ Cuenta no registrada",IF(AND(OR(P4981="Gasto",P4981="Reembolso"),D4981=""),"⚠ Falta categoría",IF(AND(D4981&lt;&gt;"",E4981&lt;&gt;"",ISNA(MATCH(D4981&amp;"|"&amp;E4981,catClave,0))),"⚠ Subcategoría no corresponde",IF(AND(OR(P4981="Transferencia",P4981="Pago tarjeta"),K4981=""),"⚠ Falta cuenta destino",IF(AND(K4981&lt;&gt;"",P4981&lt;&gt;"Transferencia",P4981&lt;&gt;"Pago tarjeta"),"⚠ Destino solo aplica a transferencias",IF(AND(K4981&lt;&gt;"",K4981=Q4981),"⚠ Origen igual a destino",IF(AND(K4981&lt;&gt;"",ISNA(MATCH(K4981,ctaNombre,0))),"⚠ Destino no registrado",IF(AND(P4981="Pago tarjeta",AE4981&lt;&gt;"Tarjeta de crédito"),"⚠ El destino debe ser tarjeta de crédito",IF(AND(P4981="Gasto",E4981="Depósitos y retiros"),"⚠ Usa tipo Transferencia",IF(AND(P4981="Resultado trading",AD4981&lt;&gt;"Cuenta de trading"),"⚠ Usa una cuenta de trading",IF(AND(G4981&lt;=0,P4981&lt;&gt;"Ajuste",P4981&lt;&gt;"Resultado trading"),"⚠ El monto debe ser positivo","✓")))))))))))))))</f>
        <v/>
      </c>
      <c r="P4981" s="52">
        <f>IF(OR(B4981="",G4981=""),"",IF(C4981="","Gasto",C4981))</f>
        <v/>
      </c>
      <c r="Q4981" s="52">
        <f>IF(P4981="","",IF(J4981&lt;&gt;"",J4981,CuentaPred&amp;""))</f>
        <v/>
      </c>
      <c r="R4981" s="52">
        <f>IF(P4981="","",IF(ISNUMBER(I4981),I4981,TasaUSD))</f>
        <v/>
      </c>
      <c r="S4981" s="53">
        <f>IF(P4981="","",IF(H4981="USD",G4981*R4981,G4981))</f>
        <v/>
      </c>
      <c r="T4981" s="53">
        <f>IF(P4981="","",IF(H4981="USD",G4981,IF(R4981&gt;0,G4981/R4981,0)))</f>
        <v/>
      </c>
      <c r="U4981" s="53">
        <f>IF(P4981="","",IF(P4981="Gasto",S4981,IF(P4981="Reembolso",-S4981,0)))</f>
        <v/>
      </c>
      <c r="V4981" s="53">
        <f>IF(P4981="","",IF(P4981="Ingreso",S4981,0))</f>
        <v/>
      </c>
      <c r="W4981" s="53">
        <f>IF(P4981="","",IF(P4981="Resultado trading",S4981,0))</f>
        <v/>
      </c>
      <c r="X4981" s="52">
        <f>IF(OR(P4981="Gasto",P4981="Reembolso"),IF(M4981&lt;&gt;"",M4981,IFERROR(INDEX(catClasif,MATCH(D4981&amp;"|"&amp;E4981,catClave,0))&amp;"","Variable")),"")</f>
        <v/>
      </c>
      <c r="Y4981" s="52">
        <f>IF(P4981="","",IFERROR(INDEX(catGrupo,MATCH(D4981&amp;"|"&amp;E4981,catClave,0))&amp;"",""))</f>
        <v/>
      </c>
      <c r="Z4981" s="52">
        <f>IF(P4981="","",WEEKDAY(B4981,2))</f>
        <v/>
      </c>
      <c r="AA4981" s="52">
        <f>IF(P4981="","",IF(AND(P4981="Gasto",X4981="Variable",D4981&lt;&gt;catTrading,S4981&gt;0,S4981&lt;=Umbral),1,0))</f>
        <v/>
      </c>
      <c r="AB4981" s="52">
        <f>IF(OR(P4981="",Q4981=""),"",IFERROR(IF(INDEX(ctaVinc,MATCH(Q4981,ctaNombre,0))&amp;""&lt;&gt;"",INDEX(ctaVinc,MATCH(Q4981,ctaNombre,0))&amp;"",Q4981),Q4981))</f>
        <v/>
      </c>
      <c r="AC4981" s="52">
        <f>IF(OR(K4981="",AND(P4981&lt;&gt;"Transferencia",P4981&lt;&gt;"Pago tarjeta")),"",IFERROR(IF(INDEX(ctaVinc,MATCH(K4981,ctaNombre,0))&amp;""&lt;&gt;"",INDEX(ctaVinc,MATCH(K4981,ctaNombre,0))&amp;"",K4981),K4981))</f>
        <v/>
      </c>
      <c r="AD4981" s="52">
        <f>IF(AB4981="","",IFERROR(INDEX(ctaTipo,MATCH(AB4981,ctaNombre,0))&amp;"",""))</f>
        <v/>
      </c>
      <c r="AE4981" s="52">
        <f>IF(AC4981="","",IFERROR(INDEX(ctaTipo,MATCH(AC4981,ctaNombre,0))&amp;"",""))</f>
        <v/>
      </c>
      <c r="AF4981" s="53">
        <f>IF(OR(P4981="",AB4981=""),"",IF(OR(P4981="Gasto",P4981="Transferencia",P4981="Pago tarjeta"),-1,1)*IF(IFERROR(INDEX(ctaMoneda,MATCH(AB4981,ctaNombre,0))&amp;"","DOP")="USD",T4981,S4981))</f>
        <v/>
      </c>
      <c r="AG4981" s="53">
        <f>IF(AC4981="","",IF(IFERROR(INDEX(ctaMoneda,MATCH(AC4981,ctaNombre,0))&amp;"","DOP")="USD",T4981,S4981))</f>
        <v/>
      </c>
      <c r="AH4981" s="53">
        <f>IF(P4981="","",IF(AND(AD4981&lt;&gt;"",COUNTIFS(tcTipo,AD4981,tcLiq,"Sí")&gt;0),IF(OR(P4981="Gasto",P4981="Transferencia",P4981="Pago tarjeta"),-1,1)*S4981,0)+IF(AND(AE4981&lt;&gt;"",COUNTIFS(tcTipo,AE4981,tcLiq,"Sí")&gt;0),S4981,0))</f>
        <v/>
      </c>
      <c r="AI4981" s="52">
        <f>IF(OR(L4981="",P4981=""),"",IF(COUNTIFS(L$6:L4981,L4981,P$6:P4981,"?*")=1,MAX(AI$5:AI4980)+1,""))</f>
        <v/>
      </c>
    </row>
    <row r="4982">
      <c r="B4982" s="47" t="n"/>
      <c r="C4982" s="48" t="n"/>
      <c r="D4982" s="48" t="n"/>
      <c r="E4982" s="48" t="n"/>
      <c r="F4982" s="48" t="n"/>
      <c r="G4982" s="49" t="n"/>
      <c r="H4982" s="48" t="n"/>
      <c r="I4982" s="50" t="n"/>
      <c r="J4982" s="48" t="n"/>
      <c r="K4982" s="48" t="n"/>
      <c r="L4982" s="48" t="n"/>
      <c r="M4982" s="48" t="n"/>
      <c r="N4982" s="48" t="n"/>
      <c r="O4982" s="51">
        <f>IF(AND(B4982="",G4982="",C4982="",D4982="",J4982=""),"",IF(B4982="","⚠ Falta fecha",IF(G4982="","⚠ Falta monto",IF(Q4982="","⚠ Falta cuenta",IF(ISNA(MATCH(Q4982,ctaNombre,0)),"⚠ Cuenta no registrada",IF(AND(OR(P4982="Gasto",P4982="Reembolso"),D4982=""),"⚠ Falta categoría",IF(AND(D4982&lt;&gt;"",E4982&lt;&gt;"",ISNA(MATCH(D4982&amp;"|"&amp;E4982,catClave,0))),"⚠ Subcategoría no corresponde",IF(AND(OR(P4982="Transferencia",P4982="Pago tarjeta"),K4982=""),"⚠ Falta cuenta destino",IF(AND(K4982&lt;&gt;"",P4982&lt;&gt;"Transferencia",P4982&lt;&gt;"Pago tarjeta"),"⚠ Destino solo aplica a transferencias",IF(AND(K4982&lt;&gt;"",K4982=Q4982),"⚠ Origen igual a destino",IF(AND(K4982&lt;&gt;"",ISNA(MATCH(K4982,ctaNombre,0))),"⚠ Destino no registrado",IF(AND(P4982="Pago tarjeta",AE4982&lt;&gt;"Tarjeta de crédito"),"⚠ El destino debe ser tarjeta de crédito",IF(AND(P4982="Gasto",E4982="Depósitos y retiros"),"⚠ Usa tipo Transferencia",IF(AND(P4982="Resultado trading",AD4982&lt;&gt;"Cuenta de trading"),"⚠ Usa una cuenta de trading",IF(AND(G4982&lt;=0,P4982&lt;&gt;"Ajuste",P4982&lt;&gt;"Resultado trading"),"⚠ El monto debe ser positivo","✓")))))))))))))))</f>
        <v/>
      </c>
      <c r="P4982" s="52">
        <f>IF(OR(B4982="",G4982=""),"",IF(C4982="","Gasto",C4982))</f>
        <v/>
      </c>
      <c r="Q4982" s="52">
        <f>IF(P4982="","",IF(J4982&lt;&gt;"",J4982,CuentaPred&amp;""))</f>
        <v/>
      </c>
      <c r="R4982" s="52">
        <f>IF(P4982="","",IF(ISNUMBER(I4982),I4982,TasaUSD))</f>
        <v/>
      </c>
      <c r="S4982" s="53">
        <f>IF(P4982="","",IF(H4982="USD",G4982*R4982,G4982))</f>
        <v/>
      </c>
      <c r="T4982" s="53">
        <f>IF(P4982="","",IF(H4982="USD",G4982,IF(R4982&gt;0,G4982/R4982,0)))</f>
        <v/>
      </c>
      <c r="U4982" s="53">
        <f>IF(P4982="","",IF(P4982="Gasto",S4982,IF(P4982="Reembolso",-S4982,0)))</f>
        <v/>
      </c>
      <c r="V4982" s="53">
        <f>IF(P4982="","",IF(P4982="Ingreso",S4982,0))</f>
        <v/>
      </c>
      <c r="W4982" s="53">
        <f>IF(P4982="","",IF(P4982="Resultado trading",S4982,0))</f>
        <v/>
      </c>
      <c r="X4982" s="52">
        <f>IF(OR(P4982="Gasto",P4982="Reembolso"),IF(M4982&lt;&gt;"",M4982,IFERROR(INDEX(catClasif,MATCH(D4982&amp;"|"&amp;E4982,catClave,0))&amp;"","Variable")),"")</f>
        <v/>
      </c>
      <c r="Y4982" s="52">
        <f>IF(P4982="","",IFERROR(INDEX(catGrupo,MATCH(D4982&amp;"|"&amp;E4982,catClave,0))&amp;"",""))</f>
        <v/>
      </c>
      <c r="Z4982" s="52">
        <f>IF(P4982="","",WEEKDAY(B4982,2))</f>
        <v/>
      </c>
      <c r="AA4982" s="52">
        <f>IF(P4982="","",IF(AND(P4982="Gasto",X4982="Variable",D4982&lt;&gt;catTrading,S4982&gt;0,S4982&lt;=Umbral),1,0))</f>
        <v/>
      </c>
      <c r="AB4982" s="52">
        <f>IF(OR(P4982="",Q4982=""),"",IFERROR(IF(INDEX(ctaVinc,MATCH(Q4982,ctaNombre,0))&amp;""&lt;&gt;"",INDEX(ctaVinc,MATCH(Q4982,ctaNombre,0))&amp;"",Q4982),Q4982))</f>
        <v/>
      </c>
      <c r="AC4982" s="52">
        <f>IF(OR(K4982="",AND(P4982&lt;&gt;"Transferencia",P4982&lt;&gt;"Pago tarjeta")),"",IFERROR(IF(INDEX(ctaVinc,MATCH(K4982,ctaNombre,0))&amp;""&lt;&gt;"",INDEX(ctaVinc,MATCH(K4982,ctaNombre,0))&amp;"",K4982),K4982))</f>
        <v/>
      </c>
      <c r="AD4982" s="52">
        <f>IF(AB4982="","",IFERROR(INDEX(ctaTipo,MATCH(AB4982,ctaNombre,0))&amp;"",""))</f>
        <v/>
      </c>
      <c r="AE4982" s="52">
        <f>IF(AC4982="","",IFERROR(INDEX(ctaTipo,MATCH(AC4982,ctaNombre,0))&amp;"",""))</f>
        <v/>
      </c>
      <c r="AF4982" s="53">
        <f>IF(OR(P4982="",AB4982=""),"",IF(OR(P4982="Gasto",P4982="Transferencia",P4982="Pago tarjeta"),-1,1)*IF(IFERROR(INDEX(ctaMoneda,MATCH(AB4982,ctaNombre,0))&amp;"","DOP")="USD",T4982,S4982))</f>
        <v/>
      </c>
      <c r="AG4982" s="53">
        <f>IF(AC4982="","",IF(IFERROR(INDEX(ctaMoneda,MATCH(AC4982,ctaNombre,0))&amp;"","DOP")="USD",T4982,S4982))</f>
        <v/>
      </c>
      <c r="AH4982" s="53">
        <f>IF(P4982="","",IF(AND(AD4982&lt;&gt;"",COUNTIFS(tcTipo,AD4982,tcLiq,"Sí")&gt;0),IF(OR(P4982="Gasto",P4982="Transferencia",P4982="Pago tarjeta"),-1,1)*S4982,0)+IF(AND(AE4982&lt;&gt;"",COUNTIFS(tcTipo,AE4982,tcLiq,"Sí")&gt;0),S4982,0))</f>
        <v/>
      </c>
      <c r="AI4982" s="52">
        <f>IF(OR(L4982="",P4982=""),"",IF(COUNTIFS(L$6:L4982,L4982,P$6:P4982,"?*")=1,MAX(AI$5:AI4981)+1,""))</f>
        <v/>
      </c>
    </row>
    <row r="4983">
      <c r="B4983" s="47" t="n"/>
      <c r="C4983" s="48" t="n"/>
      <c r="D4983" s="48" t="n"/>
      <c r="E4983" s="48" t="n"/>
      <c r="F4983" s="48" t="n"/>
      <c r="G4983" s="49" t="n"/>
      <c r="H4983" s="48" t="n"/>
      <c r="I4983" s="50" t="n"/>
      <c r="J4983" s="48" t="n"/>
      <c r="K4983" s="48" t="n"/>
      <c r="L4983" s="48" t="n"/>
      <c r="M4983" s="48" t="n"/>
      <c r="N4983" s="48" t="n"/>
      <c r="O4983" s="51">
        <f>IF(AND(B4983="",G4983="",C4983="",D4983="",J4983=""),"",IF(B4983="","⚠ Falta fecha",IF(G4983="","⚠ Falta monto",IF(Q4983="","⚠ Falta cuenta",IF(ISNA(MATCH(Q4983,ctaNombre,0)),"⚠ Cuenta no registrada",IF(AND(OR(P4983="Gasto",P4983="Reembolso"),D4983=""),"⚠ Falta categoría",IF(AND(D4983&lt;&gt;"",E4983&lt;&gt;"",ISNA(MATCH(D4983&amp;"|"&amp;E4983,catClave,0))),"⚠ Subcategoría no corresponde",IF(AND(OR(P4983="Transferencia",P4983="Pago tarjeta"),K4983=""),"⚠ Falta cuenta destino",IF(AND(K4983&lt;&gt;"",P4983&lt;&gt;"Transferencia",P4983&lt;&gt;"Pago tarjeta"),"⚠ Destino solo aplica a transferencias",IF(AND(K4983&lt;&gt;"",K4983=Q4983),"⚠ Origen igual a destino",IF(AND(K4983&lt;&gt;"",ISNA(MATCH(K4983,ctaNombre,0))),"⚠ Destino no registrado",IF(AND(P4983="Pago tarjeta",AE4983&lt;&gt;"Tarjeta de crédito"),"⚠ El destino debe ser tarjeta de crédito",IF(AND(P4983="Gasto",E4983="Depósitos y retiros"),"⚠ Usa tipo Transferencia",IF(AND(P4983="Resultado trading",AD4983&lt;&gt;"Cuenta de trading"),"⚠ Usa una cuenta de trading",IF(AND(G4983&lt;=0,P4983&lt;&gt;"Ajuste",P4983&lt;&gt;"Resultado trading"),"⚠ El monto debe ser positivo","✓")))))))))))))))</f>
        <v/>
      </c>
      <c r="P4983" s="52">
        <f>IF(OR(B4983="",G4983=""),"",IF(C4983="","Gasto",C4983))</f>
        <v/>
      </c>
      <c r="Q4983" s="52">
        <f>IF(P4983="","",IF(J4983&lt;&gt;"",J4983,CuentaPred&amp;""))</f>
        <v/>
      </c>
      <c r="R4983" s="52">
        <f>IF(P4983="","",IF(ISNUMBER(I4983),I4983,TasaUSD))</f>
        <v/>
      </c>
      <c r="S4983" s="53">
        <f>IF(P4983="","",IF(H4983="USD",G4983*R4983,G4983))</f>
        <v/>
      </c>
      <c r="T4983" s="53">
        <f>IF(P4983="","",IF(H4983="USD",G4983,IF(R4983&gt;0,G4983/R4983,0)))</f>
        <v/>
      </c>
      <c r="U4983" s="53">
        <f>IF(P4983="","",IF(P4983="Gasto",S4983,IF(P4983="Reembolso",-S4983,0)))</f>
        <v/>
      </c>
      <c r="V4983" s="53">
        <f>IF(P4983="","",IF(P4983="Ingreso",S4983,0))</f>
        <v/>
      </c>
      <c r="W4983" s="53">
        <f>IF(P4983="","",IF(P4983="Resultado trading",S4983,0))</f>
        <v/>
      </c>
      <c r="X4983" s="52">
        <f>IF(OR(P4983="Gasto",P4983="Reembolso"),IF(M4983&lt;&gt;"",M4983,IFERROR(INDEX(catClasif,MATCH(D4983&amp;"|"&amp;E4983,catClave,0))&amp;"","Variable")),"")</f>
        <v/>
      </c>
      <c r="Y4983" s="52">
        <f>IF(P4983="","",IFERROR(INDEX(catGrupo,MATCH(D4983&amp;"|"&amp;E4983,catClave,0))&amp;"",""))</f>
        <v/>
      </c>
      <c r="Z4983" s="52">
        <f>IF(P4983="","",WEEKDAY(B4983,2))</f>
        <v/>
      </c>
      <c r="AA4983" s="52">
        <f>IF(P4983="","",IF(AND(P4983="Gasto",X4983="Variable",D4983&lt;&gt;catTrading,S4983&gt;0,S4983&lt;=Umbral),1,0))</f>
        <v/>
      </c>
      <c r="AB4983" s="52">
        <f>IF(OR(P4983="",Q4983=""),"",IFERROR(IF(INDEX(ctaVinc,MATCH(Q4983,ctaNombre,0))&amp;""&lt;&gt;"",INDEX(ctaVinc,MATCH(Q4983,ctaNombre,0))&amp;"",Q4983),Q4983))</f>
        <v/>
      </c>
      <c r="AC4983" s="52">
        <f>IF(OR(K4983="",AND(P4983&lt;&gt;"Transferencia",P4983&lt;&gt;"Pago tarjeta")),"",IFERROR(IF(INDEX(ctaVinc,MATCH(K4983,ctaNombre,0))&amp;""&lt;&gt;"",INDEX(ctaVinc,MATCH(K4983,ctaNombre,0))&amp;"",K4983),K4983))</f>
        <v/>
      </c>
      <c r="AD4983" s="52">
        <f>IF(AB4983="","",IFERROR(INDEX(ctaTipo,MATCH(AB4983,ctaNombre,0))&amp;"",""))</f>
        <v/>
      </c>
      <c r="AE4983" s="52">
        <f>IF(AC4983="","",IFERROR(INDEX(ctaTipo,MATCH(AC4983,ctaNombre,0))&amp;"",""))</f>
        <v/>
      </c>
      <c r="AF4983" s="53">
        <f>IF(OR(P4983="",AB4983=""),"",IF(OR(P4983="Gasto",P4983="Transferencia",P4983="Pago tarjeta"),-1,1)*IF(IFERROR(INDEX(ctaMoneda,MATCH(AB4983,ctaNombre,0))&amp;"","DOP")="USD",T4983,S4983))</f>
        <v/>
      </c>
      <c r="AG4983" s="53">
        <f>IF(AC4983="","",IF(IFERROR(INDEX(ctaMoneda,MATCH(AC4983,ctaNombre,0))&amp;"","DOP")="USD",T4983,S4983))</f>
        <v/>
      </c>
      <c r="AH4983" s="53">
        <f>IF(P4983="","",IF(AND(AD4983&lt;&gt;"",COUNTIFS(tcTipo,AD4983,tcLiq,"Sí")&gt;0),IF(OR(P4983="Gasto",P4983="Transferencia",P4983="Pago tarjeta"),-1,1)*S4983,0)+IF(AND(AE4983&lt;&gt;"",COUNTIFS(tcTipo,AE4983,tcLiq,"Sí")&gt;0),S4983,0))</f>
        <v/>
      </c>
      <c r="AI4983" s="52">
        <f>IF(OR(L4983="",P4983=""),"",IF(COUNTIFS(L$6:L4983,L4983,P$6:P4983,"?*")=1,MAX(AI$5:AI4982)+1,""))</f>
        <v/>
      </c>
    </row>
    <row r="4984">
      <c r="B4984" s="47" t="n"/>
      <c r="C4984" s="48" t="n"/>
      <c r="D4984" s="48" t="n"/>
      <c r="E4984" s="48" t="n"/>
      <c r="F4984" s="48" t="n"/>
      <c r="G4984" s="49" t="n"/>
      <c r="H4984" s="48" t="n"/>
      <c r="I4984" s="50" t="n"/>
      <c r="J4984" s="48" t="n"/>
      <c r="K4984" s="48" t="n"/>
      <c r="L4984" s="48" t="n"/>
      <c r="M4984" s="48" t="n"/>
      <c r="N4984" s="48" t="n"/>
      <c r="O4984" s="51">
        <f>IF(AND(B4984="",G4984="",C4984="",D4984="",J4984=""),"",IF(B4984="","⚠ Falta fecha",IF(G4984="","⚠ Falta monto",IF(Q4984="","⚠ Falta cuenta",IF(ISNA(MATCH(Q4984,ctaNombre,0)),"⚠ Cuenta no registrada",IF(AND(OR(P4984="Gasto",P4984="Reembolso"),D4984=""),"⚠ Falta categoría",IF(AND(D4984&lt;&gt;"",E4984&lt;&gt;"",ISNA(MATCH(D4984&amp;"|"&amp;E4984,catClave,0))),"⚠ Subcategoría no corresponde",IF(AND(OR(P4984="Transferencia",P4984="Pago tarjeta"),K4984=""),"⚠ Falta cuenta destino",IF(AND(K4984&lt;&gt;"",P4984&lt;&gt;"Transferencia",P4984&lt;&gt;"Pago tarjeta"),"⚠ Destino solo aplica a transferencias",IF(AND(K4984&lt;&gt;"",K4984=Q4984),"⚠ Origen igual a destino",IF(AND(K4984&lt;&gt;"",ISNA(MATCH(K4984,ctaNombre,0))),"⚠ Destino no registrado",IF(AND(P4984="Pago tarjeta",AE4984&lt;&gt;"Tarjeta de crédito"),"⚠ El destino debe ser tarjeta de crédito",IF(AND(P4984="Gasto",E4984="Depósitos y retiros"),"⚠ Usa tipo Transferencia",IF(AND(P4984="Resultado trading",AD4984&lt;&gt;"Cuenta de trading"),"⚠ Usa una cuenta de trading",IF(AND(G4984&lt;=0,P4984&lt;&gt;"Ajuste",P4984&lt;&gt;"Resultado trading"),"⚠ El monto debe ser positivo","✓")))))))))))))))</f>
        <v/>
      </c>
      <c r="P4984" s="52">
        <f>IF(OR(B4984="",G4984=""),"",IF(C4984="","Gasto",C4984))</f>
        <v/>
      </c>
      <c r="Q4984" s="52">
        <f>IF(P4984="","",IF(J4984&lt;&gt;"",J4984,CuentaPred&amp;""))</f>
        <v/>
      </c>
      <c r="R4984" s="52">
        <f>IF(P4984="","",IF(ISNUMBER(I4984),I4984,TasaUSD))</f>
        <v/>
      </c>
      <c r="S4984" s="53">
        <f>IF(P4984="","",IF(H4984="USD",G4984*R4984,G4984))</f>
        <v/>
      </c>
      <c r="T4984" s="53">
        <f>IF(P4984="","",IF(H4984="USD",G4984,IF(R4984&gt;0,G4984/R4984,0)))</f>
        <v/>
      </c>
      <c r="U4984" s="53">
        <f>IF(P4984="","",IF(P4984="Gasto",S4984,IF(P4984="Reembolso",-S4984,0)))</f>
        <v/>
      </c>
      <c r="V4984" s="53">
        <f>IF(P4984="","",IF(P4984="Ingreso",S4984,0))</f>
        <v/>
      </c>
      <c r="W4984" s="53">
        <f>IF(P4984="","",IF(P4984="Resultado trading",S4984,0))</f>
        <v/>
      </c>
      <c r="X4984" s="52">
        <f>IF(OR(P4984="Gasto",P4984="Reembolso"),IF(M4984&lt;&gt;"",M4984,IFERROR(INDEX(catClasif,MATCH(D4984&amp;"|"&amp;E4984,catClave,0))&amp;"","Variable")),"")</f>
        <v/>
      </c>
      <c r="Y4984" s="52">
        <f>IF(P4984="","",IFERROR(INDEX(catGrupo,MATCH(D4984&amp;"|"&amp;E4984,catClave,0))&amp;"",""))</f>
        <v/>
      </c>
      <c r="Z4984" s="52">
        <f>IF(P4984="","",WEEKDAY(B4984,2))</f>
        <v/>
      </c>
      <c r="AA4984" s="52">
        <f>IF(P4984="","",IF(AND(P4984="Gasto",X4984="Variable",D4984&lt;&gt;catTrading,S4984&gt;0,S4984&lt;=Umbral),1,0))</f>
        <v/>
      </c>
      <c r="AB4984" s="52">
        <f>IF(OR(P4984="",Q4984=""),"",IFERROR(IF(INDEX(ctaVinc,MATCH(Q4984,ctaNombre,0))&amp;""&lt;&gt;"",INDEX(ctaVinc,MATCH(Q4984,ctaNombre,0))&amp;"",Q4984),Q4984))</f>
        <v/>
      </c>
      <c r="AC4984" s="52">
        <f>IF(OR(K4984="",AND(P4984&lt;&gt;"Transferencia",P4984&lt;&gt;"Pago tarjeta")),"",IFERROR(IF(INDEX(ctaVinc,MATCH(K4984,ctaNombre,0))&amp;""&lt;&gt;"",INDEX(ctaVinc,MATCH(K4984,ctaNombre,0))&amp;"",K4984),K4984))</f>
        <v/>
      </c>
      <c r="AD4984" s="52">
        <f>IF(AB4984="","",IFERROR(INDEX(ctaTipo,MATCH(AB4984,ctaNombre,0))&amp;"",""))</f>
        <v/>
      </c>
      <c r="AE4984" s="52">
        <f>IF(AC4984="","",IFERROR(INDEX(ctaTipo,MATCH(AC4984,ctaNombre,0))&amp;"",""))</f>
        <v/>
      </c>
      <c r="AF4984" s="53">
        <f>IF(OR(P4984="",AB4984=""),"",IF(OR(P4984="Gasto",P4984="Transferencia",P4984="Pago tarjeta"),-1,1)*IF(IFERROR(INDEX(ctaMoneda,MATCH(AB4984,ctaNombre,0))&amp;"","DOP")="USD",T4984,S4984))</f>
        <v/>
      </c>
      <c r="AG4984" s="53">
        <f>IF(AC4984="","",IF(IFERROR(INDEX(ctaMoneda,MATCH(AC4984,ctaNombre,0))&amp;"","DOP")="USD",T4984,S4984))</f>
        <v/>
      </c>
      <c r="AH4984" s="53">
        <f>IF(P4984="","",IF(AND(AD4984&lt;&gt;"",COUNTIFS(tcTipo,AD4984,tcLiq,"Sí")&gt;0),IF(OR(P4984="Gasto",P4984="Transferencia",P4984="Pago tarjeta"),-1,1)*S4984,0)+IF(AND(AE4984&lt;&gt;"",COUNTIFS(tcTipo,AE4984,tcLiq,"Sí")&gt;0),S4984,0))</f>
        <v/>
      </c>
      <c r="AI4984" s="52">
        <f>IF(OR(L4984="",P4984=""),"",IF(COUNTIFS(L$6:L4984,L4984,P$6:P4984,"?*")=1,MAX(AI$5:AI4983)+1,""))</f>
        <v/>
      </c>
    </row>
    <row r="4985">
      <c r="B4985" s="47" t="n"/>
      <c r="C4985" s="48" t="n"/>
      <c r="D4985" s="48" t="n"/>
      <c r="E4985" s="48" t="n"/>
      <c r="F4985" s="48" t="n"/>
      <c r="G4985" s="49" t="n"/>
      <c r="H4985" s="48" t="n"/>
      <c r="I4985" s="50" t="n"/>
      <c r="J4985" s="48" t="n"/>
      <c r="K4985" s="48" t="n"/>
      <c r="L4985" s="48" t="n"/>
      <c r="M4985" s="48" t="n"/>
      <c r="N4985" s="48" t="n"/>
      <c r="O4985" s="51">
        <f>IF(AND(B4985="",G4985="",C4985="",D4985="",J4985=""),"",IF(B4985="","⚠ Falta fecha",IF(G4985="","⚠ Falta monto",IF(Q4985="","⚠ Falta cuenta",IF(ISNA(MATCH(Q4985,ctaNombre,0)),"⚠ Cuenta no registrada",IF(AND(OR(P4985="Gasto",P4985="Reembolso"),D4985=""),"⚠ Falta categoría",IF(AND(D4985&lt;&gt;"",E4985&lt;&gt;"",ISNA(MATCH(D4985&amp;"|"&amp;E4985,catClave,0))),"⚠ Subcategoría no corresponde",IF(AND(OR(P4985="Transferencia",P4985="Pago tarjeta"),K4985=""),"⚠ Falta cuenta destino",IF(AND(K4985&lt;&gt;"",P4985&lt;&gt;"Transferencia",P4985&lt;&gt;"Pago tarjeta"),"⚠ Destino solo aplica a transferencias",IF(AND(K4985&lt;&gt;"",K4985=Q4985),"⚠ Origen igual a destino",IF(AND(K4985&lt;&gt;"",ISNA(MATCH(K4985,ctaNombre,0))),"⚠ Destino no registrado",IF(AND(P4985="Pago tarjeta",AE4985&lt;&gt;"Tarjeta de crédito"),"⚠ El destino debe ser tarjeta de crédito",IF(AND(P4985="Gasto",E4985="Depósitos y retiros"),"⚠ Usa tipo Transferencia",IF(AND(P4985="Resultado trading",AD4985&lt;&gt;"Cuenta de trading"),"⚠ Usa una cuenta de trading",IF(AND(G4985&lt;=0,P4985&lt;&gt;"Ajuste",P4985&lt;&gt;"Resultado trading"),"⚠ El monto debe ser positivo","✓")))))))))))))))</f>
        <v/>
      </c>
      <c r="P4985" s="52">
        <f>IF(OR(B4985="",G4985=""),"",IF(C4985="","Gasto",C4985))</f>
        <v/>
      </c>
      <c r="Q4985" s="52">
        <f>IF(P4985="","",IF(J4985&lt;&gt;"",J4985,CuentaPred&amp;""))</f>
        <v/>
      </c>
      <c r="R4985" s="52">
        <f>IF(P4985="","",IF(ISNUMBER(I4985),I4985,TasaUSD))</f>
        <v/>
      </c>
      <c r="S4985" s="53">
        <f>IF(P4985="","",IF(H4985="USD",G4985*R4985,G4985))</f>
        <v/>
      </c>
      <c r="T4985" s="53">
        <f>IF(P4985="","",IF(H4985="USD",G4985,IF(R4985&gt;0,G4985/R4985,0)))</f>
        <v/>
      </c>
      <c r="U4985" s="53">
        <f>IF(P4985="","",IF(P4985="Gasto",S4985,IF(P4985="Reembolso",-S4985,0)))</f>
        <v/>
      </c>
      <c r="V4985" s="53">
        <f>IF(P4985="","",IF(P4985="Ingreso",S4985,0))</f>
        <v/>
      </c>
      <c r="W4985" s="53">
        <f>IF(P4985="","",IF(P4985="Resultado trading",S4985,0))</f>
        <v/>
      </c>
      <c r="X4985" s="52">
        <f>IF(OR(P4985="Gasto",P4985="Reembolso"),IF(M4985&lt;&gt;"",M4985,IFERROR(INDEX(catClasif,MATCH(D4985&amp;"|"&amp;E4985,catClave,0))&amp;"","Variable")),"")</f>
        <v/>
      </c>
      <c r="Y4985" s="52">
        <f>IF(P4985="","",IFERROR(INDEX(catGrupo,MATCH(D4985&amp;"|"&amp;E4985,catClave,0))&amp;"",""))</f>
        <v/>
      </c>
      <c r="Z4985" s="52">
        <f>IF(P4985="","",WEEKDAY(B4985,2))</f>
        <v/>
      </c>
      <c r="AA4985" s="52">
        <f>IF(P4985="","",IF(AND(P4985="Gasto",X4985="Variable",D4985&lt;&gt;catTrading,S4985&gt;0,S4985&lt;=Umbral),1,0))</f>
        <v/>
      </c>
      <c r="AB4985" s="52">
        <f>IF(OR(P4985="",Q4985=""),"",IFERROR(IF(INDEX(ctaVinc,MATCH(Q4985,ctaNombre,0))&amp;""&lt;&gt;"",INDEX(ctaVinc,MATCH(Q4985,ctaNombre,0))&amp;"",Q4985),Q4985))</f>
        <v/>
      </c>
      <c r="AC4985" s="52">
        <f>IF(OR(K4985="",AND(P4985&lt;&gt;"Transferencia",P4985&lt;&gt;"Pago tarjeta")),"",IFERROR(IF(INDEX(ctaVinc,MATCH(K4985,ctaNombre,0))&amp;""&lt;&gt;"",INDEX(ctaVinc,MATCH(K4985,ctaNombre,0))&amp;"",K4985),K4985))</f>
        <v/>
      </c>
      <c r="AD4985" s="52">
        <f>IF(AB4985="","",IFERROR(INDEX(ctaTipo,MATCH(AB4985,ctaNombre,0))&amp;"",""))</f>
        <v/>
      </c>
      <c r="AE4985" s="52">
        <f>IF(AC4985="","",IFERROR(INDEX(ctaTipo,MATCH(AC4985,ctaNombre,0))&amp;"",""))</f>
        <v/>
      </c>
      <c r="AF4985" s="53">
        <f>IF(OR(P4985="",AB4985=""),"",IF(OR(P4985="Gasto",P4985="Transferencia",P4985="Pago tarjeta"),-1,1)*IF(IFERROR(INDEX(ctaMoneda,MATCH(AB4985,ctaNombre,0))&amp;"","DOP")="USD",T4985,S4985))</f>
        <v/>
      </c>
      <c r="AG4985" s="53">
        <f>IF(AC4985="","",IF(IFERROR(INDEX(ctaMoneda,MATCH(AC4985,ctaNombre,0))&amp;"","DOP")="USD",T4985,S4985))</f>
        <v/>
      </c>
      <c r="AH4985" s="53">
        <f>IF(P4985="","",IF(AND(AD4985&lt;&gt;"",COUNTIFS(tcTipo,AD4985,tcLiq,"Sí")&gt;0),IF(OR(P4985="Gasto",P4985="Transferencia",P4985="Pago tarjeta"),-1,1)*S4985,0)+IF(AND(AE4985&lt;&gt;"",COUNTIFS(tcTipo,AE4985,tcLiq,"Sí")&gt;0),S4985,0))</f>
        <v/>
      </c>
      <c r="AI4985" s="52">
        <f>IF(OR(L4985="",P4985=""),"",IF(COUNTIFS(L$6:L4985,L4985,P$6:P4985,"?*")=1,MAX(AI$5:AI4984)+1,""))</f>
        <v/>
      </c>
    </row>
    <row r="4986">
      <c r="B4986" s="47" t="n"/>
      <c r="C4986" s="48" t="n"/>
      <c r="D4986" s="48" t="n"/>
      <c r="E4986" s="48" t="n"/>
      <c r="F4986" s="48" t="n"/>
      <c r="G4986" s="49" t="n"/>
      <c r="H4986" s="48" t="n"/>
      <c r="I4986" s="50" t="n"/>
      <c r="J4986" s="48" t="n"/>
      <c r="K4986" s="48" t="n"/>
      <c r="L4986" s="48" t="n"/>
      <c r="M4986" s="48" t="n"/>
      <c r="N4986" s="48" t="n"/>
      <c r="O4986" s="51">
        <f>IF(AND(B4986="",G4986="",C4986="",D4986="",J4986=""),"",IF(B4986="","⚠ Falta fecha",IF(G4986="","⚠ Falta monto",IF(Q4986="","⚠ Falta cuenta",IF(ISNA(MATCH(Q4986,ctaNombre,0)),"⚠ Cuenta no registrada",IF(AND(OR(P4986="Gasto",P4986="Reembolso"),D4986=""),"⚠ Falta categoría",IF(AND(D4986&lt;&gt;"",E4986&lt;&gt;"",ISNA(MATCH(D4986&amp;"|"&amp;E4986,catClave,0))),"⚠ Subcategoría no corresponde",IF(AND(OR(P4986="Transferencia",P4986="Pago tarjeta"),K4986=""),"⚠ Falta cuenta destino",IF(AND(K4986&lt;&gt;"",P4986&lt;&gt;"Transferencia",P4986&lt;&gt;"Pago tarjeta"),"⚠ Destino solo aplica a transferencias",IF(AND(K4986&lt;&gt;"",K4986=Q4986),"⚠ Origen igual a destino",IF(AND(K4986&lt;&gt;"",ISNA(MATCH(K4986,ctaNombre,0))),"⚠ Destino no registrado",IF(AND(P4986="Pago tarjeta",AE4986&lt;&gt;"Tarjeta de crédito"),"⚠ El destino debe ser tarjeta de crédito",IF(AND(P4986="Gasto",E4986="Depósitos y retiros"),"⚠ Usa tipo Transferencia",IF(AND(P4986="Resultado trading",AD4986&lt;&gt;"Cuenta de trading"),"⚠ Usa una cuenta de trading",IF(AND(G4986&lt;=0,P4986&lt;&gt;"Ajuste",P4986&lt;&gt;"Resultado trading"),"⚠ El monto debe ser positivo","✓")))))))))))))))</f>
        <v/>
      </c>
      <c r="P4986" s="52">
        <f>IF(OR(B4986="",G4986=""),"",IF(C4986="","Gasto",C4986))</f>
        <v/>
      </c>
      <c r="Q4986" s="52">
        <f>IF(P4986="","",IF(J4986&lt;&gt;"",J4986,CuentaPred&amp;""))</f>
        <v/>
      </c>
      <c r="R4986" s="52">
        <f>IF(P4986="","",IF(ISNUMBER(I4986),I4986,TasaUSD))</f>
        <v/>
      </c>
      <c r="S4986" s="53">
        <f>IF(P4986="","",IF(H4986="USD",G4986*R4986,G4986))</f>
        <v/>
      </c>
      <c r="T4986" s="53">
        <f>IF(P4986="","",IF(H4986="USD",G4986,IF(R4986&gt;0,G4986/R4986,0)))</f>
        <v/>
      </c>
      <c r="U4986" s="53">
        <f>IF(P4986="","",IF(P4986="Gasto",S4986,IF(P4986="Reembolso",-S4986,0)))</f>
        <v/>
      </c>
      <c r="V4986" s="53">
        <f>IF(P4986="","",IF(P4986="Ingreso",S4986,0))</f>
        <v/>
      </c>
      <c r="W4986" s="53">
        <f>IF(P4986="","",IF(P4986="Resultado trading",S4986,0))</f>
        <v/>
      </c>
      <c r="X4986" s="52">
        <f>IF(OR(P4986="Gasto",P4986="Reembolso"),IF(M4986&lt;&gt;"",M4986,IFERROR(INDEX(catClasif,MATCH(D4986&amp;"|"&amp;E4986,catClave,0))&amp;"","Variable")),"")</f>
        <v/>
      </c>
      <c r="Y4986" s="52">
        <f>IF(P4986="","",IFERROR(INDEX(catGrupo,MATCH(D4986&amp;"|"&amp;E4986,catClave,0))&amp;"",""))</f>
        <v/>
      </c>
      <c r="Z4986" s="52">
        <f>IF(P4986="","",WEEKDAY(B4986,2))</f>
        <v/>
      </c>
      <c r="AA4986" s="52">
        <f>IF(P4986="","",IF(AND(P4986="Gasto",X4986="Variable",D4986&lt;&gt;catTrading,S4986&gt;0,S4986&lt;=Umbral),1,0))</f>
        <v/>
      </c>
      <c r="AB4986" s="52">
        <f>IF(OR(P4986="",Q4986=""),"",IFERROR(IF(INDEX(ctaVinc,MATCH(Q4986,ctaNombre,0))&amp;""&lt;&gt;"",INDEX(ctaVinc,MATCH(Q4986,ctaNombre,0))&amp;"",Q4986),Q4986))</f>
        <v/>
      </c>
      <c r="AC4986" s="52">
        <f>IF(OR(K4986="",AND(P4986&lt;&gt;"Transferencia",P4986&lt;&gt;"Pago tarjeta")),"",IFERROR(IF(INDEX(ctaVinc,MATCH(K4986,ctaNombre,0))&amp;""&lt;&gt;"",INDEX(ctaVinc,MATCH(K4986,ctaNombre,0))&amp;"",K4986),K4986))</f>
        <v/>
      </c>
      <c r="AD4986" s="52">
        <f>IF(AB4986="","",IFERROR(INDEX(ctaTipo,MATCH(AB4986,ctaNombre,0))&amp;"",""))</f>
        <v/>
      </c>
      <c r="AE4986" s="52">
        <f>IF(AC4986="","",IFERROR(INDEX(ctaTipo,MATCH(AC4986,ctaNombre,0))&amp;"",""))</f>
        <v/>
      </c>
      <c r="AF4986" s="53">
        <f>IF(OR(P4986="",AB4986=""),"",IF(OR(P4986="Gasto",P4986="Transferencia",P4986="Pago tarjeta"),-1,1)*IF(IFERROR(INDEX(ctaMoneda,MATCH(AB4986,ctaNombre,0))&amp;"","DOP")="USD",T4986,S4986))</f>
        <v/>
      </c>
      <c r="AG4986" s="53">
        <f>IF(AC4986="","",IF(IFERROR(INDEX(ctaMoneda,MATCH(AC4986,ctaNombre,0))&amp;"","DOP")="USD",T4986,S4986))</f>
        <v/>
      </c>
      <c r="AH4986" s="53">
        <f>IF(P4986="","",IF(AND(AD4986&lt;&gt;"",COUNTIFS(tcTipo,AD4986,tcLiq,"Sí")&gt;0),IF(OR(P4986="Gasto",P4986="Transferencia",P4986="Pago tarjeta"),-1,1)*S4986,0)+IF(AND(AE4986&lt;&gt;"",COUNTIFS(tcTipo,AE4986,tcLiq,"Sí")&gt;0),S4986,0))</f>
        <v/>
      </c>
      <c r="AI4986" s="52">
        <f>IF(OR(L4986="",P4986=""),"",IF(COUNTIFS(L$6:L4986,L4986,P$6:P4986,"?*")=1,MAX(AI$5:AI4985)+1,""))</f>
        <v/>
      </c>
    </row>
    <row r="4987">
      <c r="B4987" s="47" t="n"/>
      <c r="C4987" s="48" t="n"/>
      <c r="D4987" s="48" t="n"/>
      <c r="E4987" s="48" t="n"/>
      <c r="F4987" s="48" t="n"/>
      <c r="G4987" s="49" t="n"/>
      <c r="H4987" s="48" t="n"/>
      <c r="I4987" s="50" t="n"/>
      <c r="J4987" s="48" t="n"/>
      <c r="K4987" s="48" t="n"/>
      <c r="L4987" s="48" t="n"/>
      <c r="M4987" s="48" t="n"/>
      <c r="N4987" s="48" t="n"/>
      <c r="O4987" s="51">
        <f>IF(AND(B4987="",G4987="",C4987="",D4987="",J4987=""),"",IF(B4987="","⚠ Falta fecha",IF(G4987="","⚠ Falta monto",IF(Q4987="","⚠ Falta cuenta",IF(ISNA(MATCH(Q4987,ctaNombre,0)),"⚠ Cuenta no registrada",IF(AND(OR(P4987="Gasto",P4987="Reembolso"),D4987=""),"⚠ Falta categoría",IF(AND(D4987&lt;&gt;"",E4987&lt;&gt;"",ISNA(MATCH(D4987&amp;"|"&amp;E4987,catClave,0))),"⚠ Subcategoría no corresponde",IF(AND(OR(P4987="Transferencia",P4987="Pago tarjeta"),K4987=""),"⚠ Falta cuenta destino",IF(AND(K4987&lt;&gt;"",P4987&lt;&gt;"Transferencia",P4987&lt;&gt;"Pago tarjeta"),"⚠ Destino solo aplica a transferencias",IF(AND(K4987&lt;&gt;"",K4987=Q4987),"⚠ Origen igual a destino",IF(AND(K4987&lt;&gt;"",ISNA(MATCH(K4987,ctaNombre,0))),"⚠ Destino no registrado",IF(AND(P4987="Pago tarjeta",AE4987&lt;&gt;"Tarjeta de crédito"),"⚠ El destino debe ser tarjeta de crédito",IF(AND(P4987="Gasto",E4987="Depósitos y retiros"),"⚠ Usa tipo Transferencia",IF(AND(P4987="Resultado trading",AD4987&lt;&gt;"Cuenta de trading"),"⚠ Usa una cuenta de trading",IF(AND(G4987&lt;=0,P4987&lt;&gt;"Ajuste",P4987&lt;&gt;"Resultado trading"),"⚠ El monto debe ser positivo","✓")))))))))))))))</f>
        <v/>
      </c>
      <c r="P4987" s="52">
        <f>IF(OR(B4987="",G4987=""),"",IF(C4987="","Gasto",C4987))</f>
        <v/>
      </c>
      <c r="Q4987" s="52">
        <f>IF(P4987="","",IF(J4987&lt;&gt;"",J4987,CuentaPred&amp;""))</f>
        <v/>
      </c>
      <c r="R4987" s="52">
        <f>IF(P4987="","",IF(ISNUMBER(I4987),I4987,TasaUSD))</f>
        <v/>
      </c>
      <c r="S4987" s="53">
        <f>IF(P4987="","",IF(H4987="USD",G4987*R4987,G4987))</f>
        <v/>
      </c>
      <c r="T4987" s="53">
        <f>IF(P4987="","",IF(H4987="USD",G4987,IF(R4987&gt;0,G4987/R4987,0)))</f>
        <v/>
      </c>
      <c r="U4987" s="53">
        <f>IF(P4987="","",IF(P4987="Gasto",S4987,IF(P4987="Reembolso",-S4987,0)))</f>
        <v/>
      </c>
      <c r="V4987" s="53">
        <f>IF(P4987="","",IF(P4987="Ingreso",S4987,0))</f>
        <v/>
      </c>
      <c r="W4987" s="53">
        <f>IF(P4987="","",IF(P4987="Resultado trading",S4987,0))</f>
        <v/>
      </c>
      <c r="X4987" s="52">
        <f>IF(OR(P4987="Gasto",P4987="Reembolso"),IF(M4987&lt;&gt;"",M4987,IFERROR(INDEX(catClasif,MATCH(D4987&amp;"|"&amp;E4987,catClave,0))&amp;"","Variable")),"")</f>
        <v/>
      </c>
      <c r="Y4987" s="52">
        <f>IF(P4987="","",IFERROR(INDEX(catGrupo,MATCH(D4987&amp;"|"&amp;E4987,catClave,0))&amp;"",""))</f>
        <v/>
      </c>
      <c r="Z4987" s="52">
        <f>IF(P4987="","",WEEKDAY(B4987,2))</f>
        <v/>
      </c>
      <c r="AA4987" s="52">
        <f>IF(P4987="","",IF(AND(P4987="Gasto",X4987="Variable",D4987&lt;&gt;catTrading,S4987&gt;0,S4987&lt;=Umbral),1,0))</f>
        <v/>
      </c>
      <c r="AB4987" s="52">
        <f>IF(OR(P4987="",Q4987=""),"",IFERROR(IF(INDEX(ctaVinc,MATCH(Q4987,ctaNombre,0))&amp;""&lt;&gt;"",INDEX(ctaVinc,MATCH(Q4987,ctaNombre,0))&amp;"",Q4987),Q4987))</f>
        <v/>
      </c>
      <c r="AC4987" s="52">
        <f>IF(OR(K4987="",AND(P4987&lt;&gt;"Transferencia",P4987&lt;&gt;"Pago tarjeta")),"",IFERROR(IF(INDEX(ctaVinc,MATCH(K4987,ctaNombre,0))&amp;""&lt;&gt;"",INDEX(ctaVinc,MATCH(K4987,ctaNombre,0))&amp;"",K4987),K4987))</f>
        <v/>
      </c>
      <c r="AD4987" s="52">
        <f>IF(AB4987="","",IFERROR(INDEX(ctaTipo,MATCH(AB4987,ctaNombre,0))&amp;"",""))</f>
        <v/>
      </c>
      <c r="AE4987" s="52">
        <f>IF(AC4987="","",IFERROR(INDEX(ctaTipo,MATCH(AC4987,ctaNombre,0))&amp;"",""))</f>
        <v/>
      </c>
      <c r="AF4987" s="53">
        <f>IF(OR(P4987="",AB4987=""),"",IF(OR(P4987="Gasto",P4987="Transferencia",P4987="Pago tarjeta"),-1,1)*IF(IFERROR(INDEX(ctaMoneda,MATCH(AB4987,ctaNombre,0))&amp;"","DOP")="USD",T4987,S4987))</f>
        <v/>
      </c>
      <c r="AG4987" s="53">
        <f>IF(AC4987="","",IF(IFERROR(INDEX(ctaMoneda,MATCH(AC4987,ctaNombre,0))&amp;"","DOP")="USD",T4987,S4987))</f>
        <v/>
      </c>
      <c r="AH4987" s="53">
        <f>IF(P4987="","",IF(AND(AD4987&lt;&gt;"",COUNTIFS(tcTipo,AD4987,tcLiq,"Sí")&gt;0),IF(OR(P4987="Gasto",P4987="Transferencia",P4987="Pago tarjeta"),-1,1)*S4987,0)+IF(AND(AE4987&lt;&gt;"",COUNTIFS(tcTipo,AE4987,tcLiq,"Sí")&gt;0),S4987,0))</f>
        <v/>
      </c>
      <c r="AI4987" s="52">
        <f>IF(OR(L4987="",P4987=""),"",IF(COUNTIFS(L$6:L4987,L4987,P$6:P4987,"?*")=1,MAX(AI$5:AI4986)+1,""))</f>
        <v/>
      </c>
    </row>
    <row r="4988">
      <c r="B4988" s="47" t="n"/>
      <c r="C4988" s="48" t="n"/>
      <c r="D4988" s="48" t="n"/>
      <c r="E4988" s="48" t="n"/>
      <c r="F4988" s="48" t="n"/>
      <c r="G4988" s="49" t="n"/>
      <c r="H4988" s="48" t="n"/>
      <c r="I4988" s="50" t="n"/>
      <c r="J4988" s="48" t="n"/>
      <c r="K4988" s="48" t="n"/>
      <c r="L4988" s="48" t="n"/>
      <c r="M4988" s="48" t="n"/>
      <c r="N4988" s="48" t="n"/>
      <c r="O4988" s="51">
        <f>IF(AND(B4988="",G4988="",C4988="",D4988="",J4988=""),"",IF(B4988="","⚠ Falta fecha",IF(G4988="","⚠ Falta monto",IF(Q4988="","⚠ Falta cuenta",IF(ISNA(MATCH(Q4988,ctaNombre,0)),"⚠ Cuenta no registrada",IF(AND(OR(P4988="Gasto",P4988="Reembolso"),D4988=""),"⚠ Falta categoría",IF(AND(D4988&lt;&gt;"",E4988&lt;&gt;"",ISNA(MATCH(D4988&amp;"|"&amp;E4988,catClave,0))),"⚠ Subcategoría no corresponde",IF(AND(OR(P4988="Transferencia",P4988="Pago tarjeta"),K4988=""),"⚠ Falta cuenta destino",IF(AND(K4988&lt;&gt;"",P4988&lt;&gt;"Transferencia",P4988&lt;&gt;"Pago tarjeta"),"⚠ Destino solo aplica a transferencias",IF(AND(K4988&lt;&gt;"",K4988=Q4988),"⚠ Origen igual a destino",IF(AND(K4988&lt;&gt;"",ISNA(MATCH(K4988,ctaNombre,0))),"⚠ Destino no registrado",IF(AND(P4988="Pago tarjeta",AE4988&lt;&gt;"Tarjeta de crédito"),"⚠ El destino debe ser tarjeta de crédito",IF(AND(P4988="Gasto",E4988="Depósitos y retiros"),"⚠ Usa tipo Transferencia",IF(AND(P4988="Resultado trading",AD4988&lt;&gt;"Cuenta de trading"),"⚠ Usa una cuenta de trading",IF(AND(G4988&lt;=0,P4988&lt;&gt;"Ajuste",P4988&lt;&gt;"Resultado trading"),"⚠ El monto debe ser positivo","✓")))))))))))))))</f>
        <v/>
      </c>
      <c r="P4988" s="52">
        <f>IF(OR(B4988="",G4988=""),"",IF(C4988="","Gasto",C4988))</f>
        <v/>
      </c>
      <c r="Q4988" s="52">
        <f>IF(P4988="","",IF(J4988&lt;&gt;"",J4988,CuentaPred&amp;""))</f>
        <v/>
      </c>
      <c r="R4988" s="52">
        <f>IF(P4988="","",IF(ISNUMBER(I4988),I4988,TasaUSD))</f>
        <v/>
      </c>
      <c r="S4988" s="53">
        <f>IF(P4988="","",IF(H4988="USD",G4988*R4988,G4988))</f>
        <v/>
      </c>
      <c r="T4988" s="53">
        <f>IF(P4988="","",IF(H4988="USD",G4988,IF(R4988&gt;0,G4988/R4988,0)))</f>
        <v/>
      </c>
      <c r="U4988" s="53">
        <f>IF(P4988="","",IF(P4988="Gasto",S4988,IF(P4988="Reembolso",-S4988,0)))</f>
        <v/>
      </c>
      <c r="V4988" s="53">
        <f>IF(P4988="","",IF(P4988="Ingreso",S4988,0))</f>
        <v/>
      </c>
      <c r="W4988" s="53">
        <f>IF(P4988="","",IF(P4988="Resultado trading",S4988,0))</f>
        <v/>
      </c>
      <c r="X4988" s="52">
        <f>IF(OR(P4988="Gasto",P4988="Reembolso"),IF(M4988&lt;&gt;"",M4988,IFERROR(INDEX(catClasif,MATCH(D4988&amp;"|"&amp;E4988,catClave,0))&amp;"","Variable")),"")</f>
        <v/>
      </c>
      <c r="Y4988" s="52">
        <f>IF(P4988="","",IFERROR(INDEX(catGrupo,MATCH(D4988&amp;"|"&amp;E4988,catClave,0))&amp;"",""))</f>
        <v/>
      </c>
      <c r="Z4988" s="52">
        <f>IF(P4988="","",WEEKDAY(B4988,2))</f>
        <v/>
      </c>
      <c r="AA4988" s="52">
        <f>IF(P4988="","",IF(AND(P4988="Gasto",X4988="Variable",D4988&lt;&gt;catTrading,S4988&gt;0,S4988&lt;=Umbral),1,0))</f>
        <v/>
      </c>
      <c r="AB4988" s="52">
        <f>IF(OR(P4988="",Q4988=""),"",IFERROR(IF(INDEX(ctaVinc,MATCH(Q4988,ctaNombre,0))&amp;""&lt;&gt;"",INDEX(ctaVinc,MATCH(Q4988,ctaNombre,0))&amp;"",Q4988),Q4988))</f>
        <v/>
      </c>
      <c r="AC4988" s="52">
        <f>IF(OR(K4988="",AND(P4988&lt;&gt;"Transferencia",P4988&lt;&gt;"Pago tarjeta")),"",IFERROR(IF(INDEX(ctaVinc,MATCH(K4988,ctaNombre,0))&amp;""&lt;&gt;"",INDEX(ctaVinc,MATCH(K4988,ctaNombre,0))&amp;"",K4988),K4988))</f>
        <v/>
      </c>
      <c r="AD4988" s="52">
        <f>IF(AB4988="","",IFERROR(INDEX(ctaTipo,MATCH(AB4988,ctaNombre,0))&amp;"",""))</f>
        <v/>
      </c>
      <c r="AE4988" s="52">
        <f>IF(AC4988="","",IFERROR(INDEX(ctaTipo,MATCH(AC4988,ctaNombre,0))&amp;"",""))</f>
        <v/>
      </c>
      <c r="AF4988" s="53">
        <f>IF(OR(P4988="",AB4988=""),"",IF(OR(P4988="Gasto",P4988="Transferencia",P4988="Pago tarjeta"),-1,1)*IF(IFERROR(INDEX(ctaMoneda,MATCH(AB4988,ctaNombre,0))&amp;"","DOP")="USD",T4988,S4988))</f>
        <v/>
      </c>
      <c r="AG4988" s="53">
        <f>IF(AC4988="","",IF(IFERROR(INDEX(ctaMoneda,MATCH(AC4988,ctaNombre,0))&amp;"","DOP")="USD",T4988,S4988))</f>
        <v/>
      </c>
      <c r="AH4988" s="53">
        <f>IF(P4988="","",IF(AND(AD4988&lt;&gt;"",COUNTIFS(tcTipo,AD4988,tcLiq,"Sí")&gt;0),IF(OR(P4988="Gasto",P4988="Transferencia",P4988="Pago tarjeta"),-1,1)*S4988,0)+IF(AND(AE4988&lt;&gt;"",COUNTIFS(tcTipo,AE4988,tcLiq,"Sí")&gt;0),S4988,0))</f>
        <v/>
      </c>
      <c r="AI4988" s="52">
        <f>IF(OR(L4988="",P4988=""),"",IF(COUNTIFS(L$6:L4988,L4988,P$6:P4988,"?*")=1,MAX(AI$5:AI4987)+1,""))</f>
        <v/>
      </c>
    </row>
    <row r="4989">
      <c r="B4989" s="47" t="n"/>
      <c r="C4989" s="48" t="n"/>
      <c r="D4989" s="48" t="n"/>
      <c r="E4989" s="48" t="n"/>
      <c r="F4989" s="48" t="n"/>
      <c r="G4989" s="49" t="n"/>
      <c r="H4989" s="48" t="n"/>
      <c r="I4989" s="50" t="n"/>
      <c r="J4989" s="48" t="n"/>
      <c r="K4989" s="48" t="n"/>
      <c r="L4989" s="48" t="n"/>
      <c r="M4989" s="48" t="n"/>
      <c r="N4989" s="48" t="n"/>
      <c r="O4989" s="51">
        <f>IF(AND(B4989="",G4989="",C4989="",D4989="",J4989=""),"",IF(B4989="","⚠ Falta fecha",IF(G4989="","⚠ Falta monto",IF(Q4989="","⚠ Falta cuenta",IF(ISNA(MATCH(Q4989,ctaNombre,0)),"⚠ Cuenta no registrada",IF(AND(OR(P4989="Gasto",P4989="Reembolso"),D4989=""),"⚠ Falta categoría",IF(AND(D4989&lt;&gt;"",E4989&lt;&gt;"",ISNA(MATCH(D4989&amp;"|"&amp;E4989,catClave,0))),"⚠ Subcategoría no corresponde",IF(AND(OR(P4989="Transferencia",P4989="Pago tarjeta"),K4989=""),"⚠ Falta cuenta destino",IF(AND(K4989&lt;&gt;"",P4989&lt;&gt;"Transferencia",P4989&lt;&gt;"Pago tarjeta"),"⚠ Destino solo aplica a transferencias",IF(AND(K4989&lt;&gt;"",K4989=Q4989),"⚠ Origen igual a destino",IF(AND(K4989&lt;&gt;"",ISNA(MATCH(K4989,ctaNombre,0))),"⚠ Destino no registrado",IF(AND(P4989="Pago tarjeta",AE4989&lt;&gt;"Tarjeta de crédito"),"⚠ El destino debe ser tarjeta de crédito",IF(AND(P4989="Gasto",E4989="Depósitos y retiros"),"⚠ Usa tipo Transferencia",IF(AND(P4989="Resultado trading",AD4989&lt;&gt;"Cuenta de trading"),"⚠ Usa una cuenta de trading",IF(AND(G4989&lt;=0,P4989&lt;&gt;"Ajuste",P4989&lt;&gt;"Resultado trading"),"⚠ El monto debe ser positivo","✓")))))))))))))))</f>
        <v/>
      </c>
      <c r="P4989" s="52">
        <f>IF(OR(B4989="",G4989=""),"",IF(C4989="","Gasto",C4989))</f>
        <v/>
      </c>
      <c r="Q4989" s="52">
        <f>IF(P4989="","",IF(J4989&lt;&gt;"",J4989,CuentaPred&amp;""))</f>
        <v/>
      </c>
      <c r="R4989" s="52">
        <f>IF(P4989="","",IF(ISNUMBER(I4989),I4989,TasaUSD))</f>
        <v/>
      </c>
      <c r="S4989" s="53">
        <f>IF(P4989="","",IF(H4989="USD",G4989*R4989,G4989))</f>
        <v/>
      </c>
      <c r="T4989" s="53">
        <f>IF(P4989="","",IF(H4989="USD",G4989,IF(R4989&gt;0,G4989/R4989,0)))</f>
        <v/>
      </c>
      <c r="U4989" s="53">
        <f>IF(P4989="","",IF(P4989="Gasto",S4989,IF(P4989="Reembolso",-S4989,0)))</f>
        <v/>
      </c>
      <c r="V4989" s="53">
        <f>IF(P4989="","",IF(P4989="Ingreso",S4989,0))</f>
        <v/>
      </c>
      <c r="W4989" s="53">
        <f>IF(P4989="","",IF(P4989="Resultado trading",S4989,0))</f>
        <v/>
      </c>
      <c r="X4989" s="52">
        <f>IF(OR(P4989="Gasto",P4989="Reembolso"),IF(M4989&lt;&gt;"",M4989,IFERROR(INDEX(catClasif,MATCH(D4989&amp;"|"&amp;E4989,catClave,0))&amp;"","Variable")),"")</f>
        <v/>
      </c>
      <c r="Y4989" s="52">
        <f>IF(P4989="","",IFERROR(INDEX(catGrupo,MATCH(D4989&amp;"|"&amp;E4989,catClave,0))&amp;"",""))</f>
        <v/>
      </c>
      <c r="Z4989" s="52">
        <f>IF(P4989="","",WEEKDAY(B4989,2))</f>
        <v/>
      </c>
      <c r="AA4989" s="52">
        <f>IF(P4989="","",IF(AND(P4989="Gasto",X4989="Variable",D4989&lt;&gt;catTrading,S4989&gt;0,S4989&lt;=Umbral),1,0))</f>
        <v/>
      </c>
      <c r="AB4989" s="52">
        <f>IF(OR(P4989="",Q4989=""),"",IFERROR(IF(INDEX(ctaVinc,MATCH(Q4989,ctaNombre,0))&amp;""&lt;&gt;"",INDEX(ctaVinc,MATCH(Q4989,ctaNombre,0))&amp;"",Q4989),Q4989))</f>
        <v/>
      </c>
      <c r="AC4989" s="52">
        <f>IF(OR(K4989="",AND(P4989&lt;&gt;"Transferencia",P4989&lt;&gt;"Pago tarjeta")),"",IFERROR(IF(INDEX(ctaVinc,MATCH(K4989,ctaNombre,0))&amp;""&lt;&gt;"",INDEX(ctaVinc,MATCH(K4989,ctaNombre,0))&amp;"",K4989),K4989))</f>
        <v/>
      </c>
      <c r="AD4989" s="52">
        <f>IF(AB4989="","",IFERROR(INDEX(ctaTipo,MATCH(AB4989,ctaNombre,0))&amp;"",""))</f>
        <v/>
      </c>
      <c r="AE4989" s="52">
        <f>IF(AC4989="","",IFERROR(INDEX(ctaTipo,MATCH(AC4989,ctaNombre,0))&amp;"",""))</f>
        <v/>
      </c>
      <c r="AF4989" s="53">
        <f>IF(OR(P4989="",AB4989=""),"",IF(OR(P4989="Gasto",P4989="Transferencia",P4989="Pago tarjeta"),-1,1)*IF(IFERROR(INDEX(ctaMoneda,MATCH(AB4989,ctaNombre,0))&amp;"","DOP")="USD",T4989,S4989))</f>
        <v/>
      </c>
      <c r="AG4989" s="53">
        <f>IF(AC4989="","",IF(IFERROR(INDEX(ctaMoneda,MATCH(AC4989,ctaNombre,0))&amp;"","DOP")="USD",T4989,S4989))</f>
        <v/>
      </c>
      <c r="AH4989" s="53">
        <f>IF(P4989="","",IF(AND(AD4989&lt;&gt;"",COUNTIFS(tcTipo,AD4989,tcLiq,"Sí")&gt;0),IF(OR(P4989="Gasto",P4989="Transferencia",P4989="Pago tarjeta"),-1,1)*S4989,0)+IF(AND(AE4989&lt;&gt;"",COUNTIFS(tcTipo,AE4989,tcLiq,"Sí")&gt;0),S4989,0))</f>
        <v/>
      </c>
      <c r="AI4989" s="52">
        <f>IF(OR(L4989="",P4989=""),"",IF(COUNTIFS(L$6:L4989,L4989,P$6:P4989,"?*")=1,MAX(AI$5:AI4988)+1,""))</f>
        <v/>
      </c>
    </row>
    <row r="4990">
      <c r="B4990" s="47" t="n"/>
      <c r="C4990" s="48" t="n"/>
      <c r="D4990" s="48" t="n"/>
      <c r="E4990" s="48" t="n"/>
      <c r="F4990" s="48" t="n"/>
      <c r="G4990" s="49" t="n"/>
      <c r="H4990" s="48" t="n"/>
      <c r="I4990" s="50" t="n"/>
      <c r="J4990" s="48" t="n"/>
      <c r="K4990" s="48" t="n"/>
      <c r="L4990" s="48" t="n"/>
      <c r="M4990" s="48" t="n"/>
      <c r="N4990" s="48" t="n"/>
      <c r="O4990" s="51">
        <f>IF(AND(B4990="",G4990="",C4990="",D4990="",J4990=""),"",IF(B4990="","⚠ Falta fecha",IF(G4990="","⚠ Falta monto",IF(Q4990="","⚠ Falta cuenta",IF(ISNA(MATCH(Q4990,ctaNombre,0)),"⚠ Cuenta no registrada",IF(AND(OR(P4990="Gasto",P4990="Reembolso"),D4990=""),"⚠ Falta categoría",IF(AND(D4990&lt;&gt;"",E4990&lt;&gt;"",ISNA(MATCH(D4990&amp;"|"&amp;E4990,catClave,0))),"⚠ Subcategoría no corresponde",IF(AND(OR(P4990="Transferencia",P4990="Pago tarjeta"),K4990=""),"⚠ Falta cuenta destino",IF(AND(K4990&lt;&gt;"",P4990&lt;&gt;"Transferencia",P4990&lt;&gt;"Pago tarjeta"),"⚠ Destino solo aplica a transferencias",IF(AND(K4990&lt;&gt;"",K4990=Q4990),"⚠ Origen igual a destino",IF(AND(K4990&lt;&gt;"",ISNA(MATCH(K4990,ctaNombre,0))),"⚠ Destino no registrado",IF(AND(P4990="Pago tarjeta",AE4990&lt;&gt;"Tarjeta de crédito"),"⚠ El destino debe ser tarjeta de crédito",IF(AND(P4990="Gasto",E4990="Depósitos y retiros"),"⚠ Usa tipo Transferencia",IF(AND(P4990="Resultado trading",AD4990&lt;&gt;"Cuenta de trading"),"⚠ Usa una cuenta de trading",IF(AND(G4990&lt;=0,P4990&lt;&gt;"Ajuste",P4990&lt;&gt;"Resultado trading"),"⚠ El monto debe ser positivo","✓")))))))))))))))</f>
        <v/>
      </c>
      <c r="P4990" s="52">
        <f>IF(OR(B4990="",G4990=""),"",IF(C4990="","Gasto",C4990))</f>
        <v/>
      </c>
      <c r="Q4990" s="52">
        <f>IF(P4990="","",IF(J4990&lt;&gt;"",J4990,CuentaPred&amp;""))</f>
        <v/>
      </c>
      <c r="R4990" s="52">
        <f>IF(P4990="","",IF(ISNUMBER(I4990),I4990,TasaUSD))</f>
        <v/>
      </c>
      <c r="S4990" s="53">
        <f>IF(P4990="","",IF(H4990="USD",G4990*R4990,G4990))</f>
        <v/>
      </c>
      <c r="T4990" s="53">
        <f>IF(P4990="","",IF(H4990="USD",G4990,IF(R4990&gt;0,G4990/R4990,0)))</f>
        <v/>
      </c>
      <c r="U4990" s="53">
        <f>IF(P4990="","",IF(P4990="Gasto",S4990,IF(P4990="Reembolso",-S4990,0)))</f>
        <v/>
      </c>
      <c r="V4990" s="53">
        <f>IF(P4990="","",IF(P4990="Ingreso",S4990,0))</f>
        <v/>
      </c>
      <c r="W4990" s="53">
        <f>IF(P4990="","",IF(P4990="Resultado trading",S4990,0))</f>
        <v/>
      </c>
      <c r="X4990" s="52">
        <f>IF(OR(P4990="Gasto",P4990="Reembolso"),IF(M4990&lt;&gt;"",M4990,IFERROR(INDEX(catClasif,MATCH(D4990&amp;"|"&amp;E4990,catClave,0))&amp;"","Variable")),"")</f>
        <v/>
      </c>
      <c r="Y4990" s="52">
        <f>IF(P4990="","",IFERROR(INDEX(catGrupo,MATCH(D4990&amp;"|"&amp;E4990,catClave,0))&amp;"",""))</f>
        <v/>
      </c>
      <c r="Z4990" s="52">
        <f>IF(P4990="","",WEEKDAY(B4990,2))</f>
        <v/>
      </c>
      <c r="AA4990" s="52">
        <f>IF(P4990="","",IF(AND(P4990="Gasto",X4990="Variable",D4990&lt;&gt;catTrading,S4990&gt;0,S4990&lt;=Umbral),1,0))</f>
        <v/>
      </c>
      <c r="AB4990" s="52">
        <f>IF(OR(P4990="",Q4990=""),"",IFERROR(IF(INDEX(ctaVinc,MATCH(Q4990,ctaNombre,0))&amp;""&lt;&gt;"",INDEX(ctaVinc,MATCH(Q4990,ctaNombre,0))&amp;"",Q4990),Q4990))</f>
        <v/>
      </c>
      <c r="AC4990" s="52">
        <f>IF(OR(K4990="",AND(P4990&lt;&gt;"Transferencia",P4990&lt;&gt;"Pago tarjeta")),"",IFERROR(IF(INDEX(ctaVinc,MATCH(K4990,ctaNombre,0))&amp;""&lt;&gt;"",INDEX(ctaVinc,MATCH(K4990,ctaNombre,0))&amp;"",K4990),K4990))</f>
        <v/>
      </c>
      <c r="AD4990" s="52">
        <f>IF(AB4990="","",IFERROR(INDEX(ctaTipo,MATCH(AB4990,ctaNombre,0))&amp;"",""))</f>
        <v/>
      </c>
      <c r="AE4990" s="52">
        <f>IF(AC4990="","",IFERROR(INDEX(ctaTipo,MATCH(AC4990,ctaNombre,0))&amp;"",""))</f>
        <v/>
      </c>
      <c r="AF4990" s="53">
        <f>IF(OR(P4990="",AB4990=""),"",IF(OR(P4990="Gasto",P4990="Transferencia",P4990="Pago tarjeta"),-1,1)*IF(IFERROR(INDEX(ctaMoneda,MATCH(AB4990,ctaNombre,0))&amp;"","DOP")="USD",T4990,S4990))</f>
        <v/>
      </c>
      <c r="AG4990" s="53">
        <f>IF(AC4990="","",IF(IFERROR(INDEX(ctaMoneda,MATCH(AC4990,ctaNombre,0))&amp;"","DOP")="USD",T4990,S4990))</f>
        <v/>
      </c>
      <c r="AH4990" s="53">
        <f>IF(P4990="","",IF(AND(AD4990&lt;&gt;"",COUNTIFS(tcTipo,AD4990,tcLiq,"Sí")&gt;0),IF(OR(P4990="Gasto",P4990="Transferencia",P4990="Pago tarjeta"),-1,1)*S4990,0)+IF(AND(AE4990&lt;&gt;"",COUNTIFS(tcTipo,AE4990,tcLiq,"Sí")&gt;0),S4990,0))</f>
        <v/>
      </c>
      <c r="AI4990" s="52">
        <f>IF(OR(L4990="",P4990=""),"",IF(COUNTIFS(L$6:L4990,L4990,P$6:P4990,"?*")=1,MAX(AI$5:AI4989)+1,""))</f>
        <v/>
      </c>
    </row>
    <row r="4991">
      <c r="B4991" s="47" t="n"/>
      <c r="C4991" s="48" t="n"/>
      <c r="D4991" s="48" t="n"/>
      <c r="E4991" s="48" t="n"/>
      <c r="F4991" s="48" t="n"/>
      <c r="G4991" s="49" t="n"/>
      <c r="H4991" s="48" t="n"/>
      <c r="I4991" s="50" t="n"/>
      <c r="J4991" s="48" t="n"/>
      <c r="K4991" s="48" t="n"/>
      <c r="L4991" s="48" t="n"/>
      <c r="M4991" s="48" t="n"/>
      <c r="N4991" s="48" t="n"/>
      <c r="O4991" s="51">
        <f>IF(AND(B4991="",G4991="",C4991="",D4991="",J4991=""),"",IF(B4991="","⚠ Falta fecha",IF(G4991="","⚠ Falta monto",IF(Q4991="","⚠ Falta cuenta",IF(ISNA(MATCH(Q4991,ctaNombre,0)),"⚠ Cuenta no registrada",IF(AND(OR(P4991="Gasto",P4991="Reembolso"),D4991=""),"⚠ Falta categoría",IF(AND(D4991&lt;&gt;"",E4991&lt;&gt;"",ISNA(MATCH(D4991&amp;"|"&amp;E4991,catClave,0))),"⚠ Subcategoría no corresponde",IF(AND(OR(P4991="Transferencia",P4991="Pago tarjeta"),K4991=""),"⚠ Falta cuenta destino",IF(AND(K4991&lt;&gt;"",P4991&lt;&gt;"Transferencia",P4991&lt;&gt;"Pago tarjeta"),"⚠ Destino solo aplica a transferencias",IF(AND(K4991&lt;&gt;"",K4991=Q4991),"⚠ Origen igual a destino",IF(AND(K4991&lt;&gt;"",ISNA(MATCH(K4991,ctaNombre,0))),"⚠ Destino no registrado",IF(AND(P4991="Pago tarjeta",AE4991&lt;&gt;"Tarjeta de crédito"),"⚠ El destino debe ser tarjeta de crédito",IF(AND(P4991="Gasto",E4991="Depósitos y retiros"),"⚠ Usa tipo Transferencia",IF(AND(P4991="Resultado trading",AD4991&lt;&gt;"Cuenta de trading"),"⚠ Usa una cuenta de trading",IF(AND(G4991&lt;=0,P4991&lt;&gt;"Ajuste",P4991&lt;&gt;"Resultado trading"),"⚠ El monto debe ser positivo","✓")))))))))))))))</f>
        <v/>
      </c>
      <c r="P4991" s="52">
        <f>IF(OR(B4991="",G4991=""),"",IF(C4991="","Gasto",C4991))</f>
        <v/>
      </c>
      <c r="Q4991" s="52">
        <f>IF(P4991="","",IF(J4991&lt;&gt;"",J4991,CuentaPred&amp;""))</f>
        <v/>
      </c>
      <c r="R4991" s="52">
        <f>IF(P4991="","",IF(ISNUMBER(I4991),I4991,TasaUSD))</f>
        <v/>
      </c>
      <c r="S4991" s="53">
        <f>IF(P4991="","",IF(H4991="USD",G4991*R4991,G4991))</f>
        <v/>
      </c>
      <c r="T4991" s="53">
        <f>IF(P4991="","",IF(H4991="USD",G4991,IF(R4991&gt;0,G4991/R4991,0)))</f>
        <v/>
      </c>
      <c r="U4991" s="53">
        <f>IF(P4991="","",IF(P4991="Gasto",S4991,IF(P4991="Reembolso",-S4991,0)))</f>
        <v/>
      </c>
      <c r="V4991" s="53">
        <f>IF(P4991="","",IF(P4991="Ingreso",S4991,0))</f>
        <v/>
      </c>
      <c r="W4991" s="53">
        <f>IF(P4991="","",IF(P4991="Resultado trading",S4991,0))</f>
        <v/>
      </c>
      <c r="X4991" s="52">
        <f>IF(OR(P4991="Gasto",P4991="Reembolso"),IF(M4991&lt;&gt;"",M4991,IFERROR(INDEX(catClasif,MATCH(D4991&amp;"|"&amp;E4991,catClave,0))&amp;"","Variable")),"")</f>
        <v/>
      </c>
      <c r="Y4991" s="52">
        <f>IF(P4991="","",IFERROR(INDEX(catGrupo,MATCH(D4991&amp;"|"&amp;E4991,catClave,0))&amp;"",""))</f>
        <v/>
      </c>
      <c r="Z4991" s="52">
        <f>IF(P4991="","",WEEKDAY(B4991,2))</f>
        <v/>
      </c>
      <c r="AA4991" s="52">
        <f>IF(P4991="","",IF(AND(P4991="Gasto",X4991="Variable",D4991&lt;&gt;catTrading,S4991&gt;0,S4991&lt;=Umbral),1,0))</f>
        <v/>
      </c>
      <c r="AB4991" s="52">
        <f>IF(OR(P4991="",Q4991=""),"",IFERROR(IF(INDEX(ctaVinc,MATCH(Q4991,ctaNombre,0))&amp;""&lt;&gt;"",INDEX(ctaVinc,MATCH(Q4991,ctaNombre,0))&amp;"",Q4991),Q4991))</f>
        <v/>
      </c>
      <c r="AC4991" s="52">
        <f>IF(OR(K4991="",AND(P4991&lt;&gt;"Transferencia",P4991&lt;&gt;"Pago tarjeta")),"",IFERROR(IF(INDEX(ctaVinc,MATCH(K4991,ctaNombre,0))&amp;""&lt;&gt;"",INDEX(ctaVinc,MATCH(K4991,ctaNombre,0))&amp;"",K4991),K4991))</f>
        <v/>
      </c>
      <c r="AD4991" s="52">
        <f>IF(AB4991="","",IFERROR(INDEX(ctaTipo,MATCH(AB4991,ctaNombre,0))&amp;"",""))</f>
        <v/>
      </c>
      <c r="AE4991" s="52">
        <f>IF(AC4991="","",IFERROR(INDEX(ctaTipo,MATCH(AC4991,ctaNombre,0))&amp;"",""))</f>
        <v/>
      </c>
      <c r="AF4991" s="53">
        <f>IF(OR(P4991="",AB4991=""),"",IF(OR(P4991="Gasto",P4991="Transferencia",P4991="Pago tarjeta"),-1,1)*IF(IFERROR(INDEX(ctaMoneda,MATCH(AB4991,ctaNombre,0))&amp;"","DOP")="USD",T4991,S4991))</f>
        <v/>
      </c>
      <c r="AG4991" s="53">
        <f>IF(AC4991="","",IF(IFERROR(INDEX(ctaMoneda,MATCH(AC4991,ctaNombre,0))&amp;"","DOP")="USD",T4991,S4991))</f>
        <v/>
      </c>
      <c r="AH4991" s="53">
        <f>IF(P4991="","",IF(AND(AD4991&lt;&gt;"",COUNTIFS(tcTipo,AD4991,tcLiq,"Sí")&gt;0),IF(OR(P4991="Gasto",P4991="Transferencia",P4991="Pago tarjeta"),-1,1)*S4991,0)+IF(AND(AE4991&lt;&gt;"",COUNTIFS(tcTipo,AE4991,tcLiq,"Sí")&gt;0),S4991,0))</f>
        <v/>
      </c>
      <c r="AI4991" s="52">
        <f>IF(OR(L4991="",P4991=""),"",IF(COUNTIFS(L$6:L4991,L4991,P$6:P4991,"?*")=1,MAX(AI$5:AI4990)+1,""))</f>
        <v/>
      </c>
    </row>
    <row r="4992">
      <c r="B4992" s="47" t="n"/>
      <c r="C4992" s="48" t="n"/>
      <c r="D4992" s="48" t="n"/>
      <c r="E4992" s="48" t="n"/>
      <c r="F4992" s="48" t="n"/>
      <c r="G4992" s="49" t="n"/>
      <c r="H4992" s="48" t="n"/>
      <c r="I4992" s="50" t="n"/>
      <c r="J4992" s="48" t="n"/>
      <c r="K4992" s="48" t="n"/>
      <c r="L4992" s="48" t="n"/>
      <c r="M4992" s="48" t="n"/>
      <c r="N4992" s="48" t="n"/>
      <c r="O4992" s="51">
        <f>IF(AND(B4992="",G4992="",C4992="",D4992="",J4992=""),"",IF(B4992="","⚠ Falta fecha",IF(G4992="","⚠ Falta monto",IF(Q4992="","⚠ Falta cuenta",IF(ISNA(MATCH(Q4992,ctaNombre,0)),"⚠ Cuenta no registrada",IF(AND(OR(P4992="Gasto",P4992="Reembolso"),D4992=""),"⚠ Falta categoría",IF(AND(D4992&lt;&gt;"",E4992&lt;&gt;"",ISNA(MATCH(D4992&amp;"|"&amp;E4992,catClave,0))),"⚠ Subcategoría no corresponde",IF(AND(OR(P4992="Transferencia",P4992="Pago tarjeta"),K4992=""),"⚠ Falta cuenta destino",IF(AND(K4992&lt;&gt;"",P4992&lt;&gt;"Transferencia",P4992&lt;&gt;"Pago tarjeta"),"⚠ Destino solo aplica a transferencias",IF(AND(K4992&lt;&gt;"",K4992=Q4992),"⚠ Origen igual a destino",IF(AND(K4992&lt;&gt;"",ISNA(MATCH(K4992,ctaNombre,0))),"⚠ Destino no registrado",IF(AND(P4992="Pago tarjeta",AE4992&lt;&gt;"Tarjeta de crédito"),"⚠ El destino debe ser tarjeta de crédito",IF(AND(P4992="Gasto",E4992="Depósitos y retiros"),"⚠ Usa tipo Transferencia",IF(AND(P4992="Resultado trading",AD4992&lt;&gt;"Cuenta de trading"),"⚠ Usa una cuenta de trading",IF(AND(G4992&lt;=0,P4992&lt;&gt;"Ajuste",P4992&lt;&gt;"Resultado trading"),"⚠ El monto debe ser positivo","✓")))))))))))))))</f>
        <v/>
      </c>
      <c r="P4992" s="52">
        <f>IF(OR(B4992="",G4992=""),"",IF(C4992="","Gasto",C4992))</f>
        <v/>
      </c>
      <c r="Q4992" s="52">
        <f>IF(P4992="","",IF(J4992&lt;&gt;"",J4992,CuentaPred&amp;""))</f>
        <v/>
      </c>
      <c r="R4992" s="52">
        <f>IF(P4992="","",IF(ISNUMBER(I4992),I4992,TasaUSD))</f>
        <v/>
      </c>
      <c r="S4992" s="53">
        <f>IF(P4992="","",IF(H4992="USD",G4992*R4992,G4992))</f>
        <v/>
      </c>
      <c r="T4992" s="53">
        <f>IF(P4992="","",IF(H4992="USD",G4992,IF(R4992&gt;0,G4992/R4992,0)))</f>
        <v/>
      </c>
      <c r="U4992" s="53">
        <f>IF(P4992="","",IF(P4992="Gasto",S4992,IF(P4992="Reembolso",-S4992,0)))</f>
        <v/>
      </c>
      <c r="V4992" s="53">
        <f>IF(P4992="","",IF(P4992="Ingreso",S4992,0))</f>
        <v/>
      </c>
      <c r="W4992" s="53">
        <f>IF(P4992="","",IF(P4992="Resultado trading",S4992,0))</f>
        <v/>
      </c>
      <c r="X4992" s="52">
        <f>IF(OR(P4992="Gasto",P4992="Reembolso"),IF(M4992&lt;&gt;"",M4992,IFERROR(INDEX(catClasif,MATCH(D4992&amp;"|"&amp;E4992,catClave,0))&amp;"","Variable")),"")</f>
        <v/>
      </c>
      <c r="Y4992" s="52">
        <f>IF(P4992="","",IFERROR(INDEX(catGrupo,MATCH(D4992&amp;"|"&amp;E4992,catClave,0))&amp;"",""))</f>
        <v/>
      </c>
      <c r="Z4992" s="52">
        <f>IF(P4992="","",WEEKDAY(B4992,2))</f>
        <v/>
      </c>
      <c r="AA4992" s="52">
        <f>IF(P4992="","",IF(AND(P4992="Gasto",X4992="Variable",D4992&lt;&gt;catTrading,S4992&gt;0,S4992&lt;=Umbral),1,0))</f>
        <v/>
      </c>
      <c r="AB4992" s="52">
        <f>IF(OR(P4992="",Q4992=""),"",IFERROR(IF(INDEX(ctaVinc,MATCH(Q4992,ctaNombre,0))&amp;""&lt;&gt;"",INDEX(ctaVinc,MATCH(Q4992,ctaNombre,0))&amp;"",Q4992),Q4992))</f>
        <v/>
      </c>
      <c r="AC4992" s="52">
        <f>IF(OR(K4992="",AND(P4992&lt;&gt;"Transferencia",P4992&lt;&gt;"Pago tarjeta")),"",IFERROR(IF(INDEX(ctaVinc,MATCH(K4992,ctaNombre,0))&amp;""&lt;&gt;"",INDEX(ctaVinc,MATCH(K4992,ctaNombre,0))&amp;"",K4992),K4992))</f>
        <v/>
      </c>
      <c r="AD4992" s="52">
        <f>IF(AB4992="","",IFERROR(INDEX(ctaTipo,MATCH(AB4992,ctaNombre,0))&amp;"",""))</f>
        <v/>
      </c>
      <c r="AE4992" s="52">
        <f>IF(AC4992="","",IFERROR(INDEX(ctaTipo,MATCH(AC4992,ctaNombre,0))&amp;"",""))</f>
        <v/>
      </c>
      <c r="AF4992" s="53">
        <f>IF(OR(P4992="",AB4992=""),"",IF(OR(P4992="Gasto",P4992="Transferencia",P4992="Pago tarjeta"),-1,1)*IF(IFERROR(INDEX(ctaMoneda,MATCH(AB4992,ctaNombre,0))&amp;"","DOP")="USD",T4992,S4992))</f>
        <v/>
      </c>
      <c r="AG4992" s="53">
        <f>IF(AC4992="","",IF(IFERROR(INDEX(ctaMoneda,MATCH(AC4992,ctaNombre,0))&amp;"","DOP")="USD",T4992,S4992))</f>
        <v/>
      </c>
      <c r="AH4992" s="53">
        <f>IF(P4992="","",IF(AND(AD4992&lt;&gt;"",COUNTIFS(tcTipo,AD4992,tcLiq,"Sí")&gt;0),IF(OR(P4992="Gasto",P4992="Transferencia",P4992="Pago tarjeta"),-1,1)*S4992,0)+IF(AND(AE4992&lt;&gt;"",COUNTIFS(tcTipo,AE4992,tcLiq,"Sí")&gt;0),S4992,0))</f>
        <v/>
      </c>
      <c r="AI4992" s="52">
        <f>IF(OR(L4992="",P4992=""),"",IF(COUNTIFS(L$6:L4992,L4992,P$6:P4992,"?*")=1,MAX(AI$5:AI4991)+1,""))</f>
        <v/>
      </c>
    </row>
    <row r="4993">
      <c r="B4993" s="47" t="n"/>
      <c r="C4993" s="48" t="n"/>
      <c r="D4993" s="48" t="n"/>
      <c r="E4993" s="48" t="n"/>
      <c r="F4993" s="48" t="n"/>
      <c r="G4993" s="49" t="n"/>
      <c r="H4993" s="48" t="n"/>
      <c r="I4993" s="50" t="n"/>
      <c r="J4993" s="48" t="n"/>
      <c r="K4993" s="48" t="n"/>
      <c r="L4993" s="48" t="n"/>
      <c r="M4993" s="48" t="n"/>
      <c r="N4993" s="48" t="n"/>
      <c r="O4993" s="51">
        <f>IF(AND(B4993="",G4993="",C4993="",D4993="",J4993=""),"",IF(B4993="","⚠ Falta fecha",IF(G4993="","⚠ Falta monto",IF(Q4993="","⚠ Falta cuenta",IF(ISNA(MATCH(Q4993,ctaNombre,0)),"⚠ Cuenta no registrada",IF(AND(OR(P4993="Gasto",P4993="Reembolso"),D4993=""),"⚠ Falta categoría",IF(AND(D4993&lt;&gt;"",E4993&lt;&gt;"",ISNA(MATCH(D4993&amp;"|"&amp;E4993,catClave,0))),"⚠ Subcategoría no corresponde",IF(AND(OR(P4993="Transferencia",P4993="Pago tarjeta"),K4993=""),"⚠ Falta cuenta destino",IF(AND(K4993&lt;&gt;"",P4993&lt;&gt;"Transferencia",P4993&lt;&gt;"Pago tarjeta"),"⚠ Destino solo aplica a transferencias",IF(AND(K4993&lt;&gt;"",K4993=Q4993),"⚠ Origen igual a destino",IF(AND(K4993&lt;&gt;"",ISNA(MATCH(K4993,ctaNombre,0))),"⚠ Destino no registrado",IF(AND(P4993="Pago tarjeta",AE4993&lt;&gt;"Tarjeta de crédito"),"⚠ El destino debe ser tarjeta de crédito",IF(AND(P4993="Gasto",E4993="Depósitos y retiros"),"⚠ Usa tipo Transferencia",IF(AND(P4993="Resultado trading",AD4993&lt;&gt;"Cuenta de trading"),"⚠ Usa una cuenta de trading",IF(AND(G4993&lt;=0,P4993&lt;&gt;"Ajuste",P4993&lt;&gt;"Resultado trading"),"⚠ El monto debe ser positivo","✓")))))))))))))))</f>
        <v/>
      </c>
      <c r="P4993" s="52">
        <f>IF(OR(B4993="",G4993=""),"",IF(C4993="","Gasto",C4993))</f>
        <v/>
      </c>
      <c r="Q4993" s="52">
        <f>IF(P4993="","",IF(J4993&lt;&gt;"",J4993,CuentaPred&amp;""))</f>
        <v/>
      </c>
      <c r="R4993" s="52">
        <f>IF(P4993="","",IF(ISNUMBER(I4993),I4993,TasaUSD))</f>
        <v/>
      </c>
      <c r="S4993" s="53">
        <f>IF(P4993="","",IF(H4993="USD",G4993*R4993,G4993))</f>
        <v/>
      </c>
      <c r="T4993" s="53">
        <f>IF(P4993="","",IF(H4993="USD",G4993,IF(R4993&gt;0,G4993/R4993,0)))</f>
        <v/>
      </c>
      <c r="U4993" s="53">
        <f>IF(P4993="","",IF(P4993="Gasto",S4993,IF(P4993="Reembolso",-S4993,0)))</f>
        <v/>
      </c>
      <c r="V4993" s="53">
        <f>IF(P4993="","",IF(P4993="Ingreso",S4993,0))</f>
        <v/>
      </c>
      <c r="W4993" s="53">
        <f>IF(P4993="","",IF(P4993="Resultado trading",S4993,0))</f>
        <v/>
      </c>
      <c r="X4993" s="52">
        <f>IF(OR(P4993="Gasto",P4993="Reembolso"),IF(M4993&lt;&gt;"",M4993,IFERROR(INDEX(catClasif,MATCH(D4993&amp;"|"&amp;E4993,catClave,0))&amp;"","Variable")),"")</f>
        <v/>
      </c>
      <c r="Y4993" s="52">
        <f>IF(P4993="","",IFERROR(INDEX(catGrupo,MATCH(D4993&amp;"|"&amp;E4993,catClave,0))&amp;"",""))</f>
        <v/>
      </c>
      <c r="Z4993" s="52">
        <f>IF(P4993="","",WEEKDAY(B4993,2))</f>
        <v/>
      </c>
      <c r="AA4993" s="52">
        <f>IF(P4993="","",IF(AND(P4993="Gasto",X4993="Variable",D4993&lt;&gt;catTrading,S4993&gt;0,S4993&lt;=Umbral),1,0))</f>
        <v/>
      </c>
      <c r="AB4993" s="52">
        <f>IF(OR(P4993="",Q4993=""),"",IFERROR(IF(INDEX(ctaVinc,MATCH(Q4993,ctaNombre,0))&amp;""&lt;&gt;"",INDEX(ctaVinc,MATCH(Q4993,ctaNombre,0))&amp;"",Q4993),Q4993))</f>
        <v/>
      </c>
      <c r="AC4993" s="52">
        <f>IF(OR(K4993="",AND(P4993&lt;&gt;"Transferencia",P4993&lt;&gt;"Pago tarjeta")),"",IFERROR(IF(INDEX(ctaVinc,MATCH(K4993,ctaNombre,0))&amp;""&lt;&gt;"",INDEX(ctaVinc,MATCH(K4993,ctaNombre,0))&amp;"",K4993),K4993))</f>
        <v/>
      </c>
      <c r="AD4993" s="52">
        <f>IF(AB4993="","",IFERROR(INDEX(ctaTipo,MATCH(AB4993,ctaNombre,0))&amp;"",""))</f>
        <v/>
      </c>
      <c r="AE4993" s="52">
        <f>IF(AC4993="","",IFERROR(INDEX(ctaTipo,MATCH(AC4993,ctaNombre,0))&amp;"",""))</f>
        <v/>
      </c>
      <c r="AF4993" s="53">
        <f>IF(OR(P4993="",AB4993=""),"",IF(OR(P4993="Gasto",P4993="Transferencia",P4993="Pago tarjeta"),-1,1)*IF(IFERROR(INDEX(ctaMoneda,MATCH(AB4993,ctaNombre,0))&amp;"","DOP")="USD",T4993,S4993))</f>
        <v/>
      </c>
      <c r="AG4993" s="53">
        <f>IF(AC4993="","",IF(IFERROR(INDEX(ctaMoneda,MATCH(AC4993,ctaNombre,0))&amp;"","DOP")="USD",T4993,S4993))</f>
        <v/>
      </c>
      <c r="AH4993" s="53">
        <f>IF(P4993="","",IF(AND(AD4993&lt;&gt;"",COUNTIFS(tcTipo,AD4993,tcLiq,"Sí")&gt;0),IF(OR(P4993="Gasto",P4993="Transferencia",P4993="Pago tarjeta"),-1,1)*S4993,0)+IF(AND(AE4993&lt;&gt;"",COUNTIFS(tcTipo,AE4993,tcLiq,"Sí")&gt;0),S4993,0))</f>
        <v/>
      </c>
      <c r="AI4993" s="52">
        <f>IF(OR(L4993="",P4993=""),"",IF(COUNTIFS(L$6:L4993,L4993,P$6:P4993,"?*")=1,MAX(AI$5:AI4992)+1,""))</f>
        <v/>
      </c>
    </row>
    <row r="4994">
      <c r="B4994" s="47" t="n"/>
      <c r="C4994" s="48" t="n"/>
      <c r="D4994" s="48" t="n"/>
      <c r="E4994" s="48" t="n"/>
      <c r="F4994" s="48" t="n"/>
      <c r="G4994" s="49" t="n"/>
      <c r="H4994" s="48" t="n"/>
      <c r="I4994" s="50" t="n"/>
      <c r="J4994" s="48" t="n"/>
      <c r="K4994" s="48" t="n"/>
      <c r="L4994" s="48" t="n"/>
      <c r="M4994" s="48" t="n"/>
      <c r="N4994" s="48" t="n"/>
      <c r="O4994" s="51">
        <f>IF(AND(B4994="",G4994="",C4994="",D4994="",J4994=""),"",IF(B4994="","⚠ Falta fecha",IF(G4994="","⚠ Falta monto",IF(Q4994="","⚠ Falta cuenta",IF(ISNA(MATCH(Q4994,ctaNombre,0)),"⚠ Cuenta no registrada",IF(AND(OR(P4994="Gasto",P4994="Reembolso"),D4994=""),"⚠ Falta categoría",IF(AND(D4994&lt;&gt;"",E4994&lt;&gt;"",ISNA(MATCH(D4994&amp;"|"&amp;E4994,catClave,0))),"⚠ Subcategoría no corresponde",IF(AND(OR(P4994="Transferencia",P4994="Pago tarjeta"),K4994=""),"⚠ Falta cuenta destino",IF(AND(K4994&lt;&gt;"",P4994&lt;&gt;"Transferencia",P4994&lt;&gt;"Pago tarjeta"),"⚠ Destino solo aplica a transferencias",IF(AND(K4994&lt;&gt;"",K4994=Q4994),"⚠ Origen igual a destino",IF(AND(K4994&lt;&gt;"",ISNA(MATCH(K4994,ctaNombre,0))),"⚠ Destino no registrado",IF(AND(P4994="Pago tarjeta",AE4994&lt;&gt;"Tarjeta de crédito"),"⚠ El destino debe ser tarjeta de crédito",IF(AND(P4994="Gasto",E4994="Depósitos y retiros"),"⚠ Usa tipo Transferencia",IF(AND(P4994="Resultado trading",AD4994&lt;&gt;"Cuenta de trading"),"⚠ Usa una cuenta de trading",IF(AND(G4994&lt;=0,P4994&lt;&gt;"Ajuste",P4994&lt;&gt;"Resultado trading"),"⚠ El monto debe ser positivo","✓")))))))))))))))</f>
        <v/>
      </c>
      <c r="P4994" s="52">
        <f>IF(OR(B4994="",G4994=""),"",IF(C4994="","Gasto",C4994))</f>
        <v/>
      </c>
      <c r="Q4994" s="52">
        <f>IF(P4994="","",IF(J4994&lt;&gt;"",J4994,CuentaPred&amp;""))</f>
        <v/>
      </c>
      <c r="R4994" s="52">
        <f>IF(P4994="","",IF(ISNUMBER(I4994),I4994,TasaUSD))</f>
        <v/>
      </c>
      <c r="S4994" s="53">
        <f>IF(P4994="","",IF(H4994="USD",G4994*R4994,G4994))</f>
        <v/>
      </c>
      <c r="T4994" s="53">
        <f>IF(P4994="","",IF(H4994="USD",G4994,IF(R4994&gt;0,G4994/R4994,0)))</f>
        <v/>
      </c>
      <c r="U4994" s="53">
        <f>IF(P4994="","",IF(P4994="Gasto",S4994,IF(P4994="Reembolso",-S4994,0)))</f>
        <v/>
      </c>
      <c r="V4994" s="53">
        <f>IF(P4994="","",IF(P4994="Ingreso",S4994,0))</f>
        <v/>
      </c>
      <c r="W4994" s="53">
        <f>IF(P4994="","",IF(P4994="Resultado trading",S4994,0))</f>
        <v/>
      </c>
      <c r="X4994" s="52">
        <f>IF(OR(P4994="Gasto",P4994="Reembolso"),IF(M4994&lt;&gt;"",M4994,IFERROR(INDEX(catClasif,MATCH(D4994&amp;"|"&amp;E4994,catClave,0))&amp;"","Variable")),"")</f>
        <v/>
      </c>
      <c r="Y4994" s="52">
        <f>IF(P4994="","",IFERROR(INDEX(catGrupo,MATCH(D4994&amp;"|"&amp;E4994,catClave,0))&amp;"",""))</f>
        <v/>
      </c>
      <c r="Z4994" s="52">
        <f>IF(P4994="","",WEEKDAY(B4994,2))</f>
        <v/>
      </c>
      <c r="AA4994" s="52">
        <f>IF(P4994="","",IF(AND(P4994="Gasto",X4994="Variable",D4994&lt;&gt;catTrading,S4994&gt;0,S4994&lt;=Umbral),1,0))</f>
        <v/>
      </c>
      <c r="AB4994" s="52">
        <f>IF(OR(P4994="",Q4994=""),"",IFERROR(IF(INDEX(ctaVinc,MATCH(Q4994,ctaNombre,0))&amp;""&lt;&gt;"",INDEX(ctaVinc,MATCH(Q4994,ctaNombre,0))&amp;"",Q4994),Q4994))</f>
        <v/>
      </c>
      <c r="AC4994" s="52">
        <f>IF(OR(K4994="",AND(P4994&lt;&gt;"Transferencia",P4994&lt;&gt;"Pago tarjeta")),"",IFERROR(IF(INDEX(ctaVinc,MATCH(K4994,ctaNombre,0))&amp;""&lt;&gt;"",INDEX(ctaVinc,MATCH(K4994,ctaNombre,0))&amp;"",K4994),K4994))</f>
        <v/>
      </c>
      <c r="AD4994" s="52">
        <f>IF(AB4994="","",IFERROR(INDEX(ctaTipo,MATCH(AB4994,ctaNombre,0))&amp;"",""))</f>
        <v/>
      </c>
      <c r="AE4994" s="52">
        <f>IF(AC4994="","",IFERROR(INDEX(ctaTipo,MATCH(AC4994,ctaNombre,0))&amp;"",""))</f>
        <v/>
      </c>
      <c r="AF4994" s="53">
        <f>IF(OR(P4994="",AB4994=""),"",IF(OR(P4994="Gasto",P4994="Transferencia",P4994="Pago tarjeta"),-1,1)*IF(IFERROR(INDEX(ctaMoneda,MATCH(AB4994,ctaNombre,0))&amp;"","DOP")="USD",T4994,S4994))</f>
        <v/>
      </c>
      <c r="AG4994" s="53">
        <f>IF(AC4994="","",IF(IFERROR(INDEX(ctaMoneda,MATCH(AC4994,ctaNombre,0))&amp;"","DOP")="USD",T4994,S4994))</f>
        <v/>
      </c>
      <c r="AH4994" s="53">
        <f>IF(P4994="","",IF(AND(AD4994&lt;&gt;"",COUNTIFS(tcTipo,AD4994,tcLiq,"Sí")&gt;0),IF(OR(P4994="Gasto",P4994="Transferencia",P4994="Pago tarjeta"),-1,1)*S4994,0)+IF(AND(AE4994&lt;&gt;"",COUNTIFS(tcTipo,AE4994,tcLiq,"Sí")&gt;0),S4994,0))</f>
        <v/>
      </c>
      <c r="AI4994" s="52">
        <f>IF(OR(L4994="",P4994=""),"",IF(COUNTIFS(L$6:L4994,L4994,P$6:P4994,"?*")=1,MAX(AI$5:AI4993)+1,""))</f>
        <v/>
      </c>
    </row>
    <row r="4995">
      <c r="B4995" s="47" t="n"/>
      <c r="C4995" s="48" t="n"/>
      <c r="D4995" s="48" t="n"/>
      <c r="E4995" s="48" t="n"/>
      <c r="F4995" s="48" t="n"/>
      <c r="G4995" s="49" t="n"/>
      <c r="H4995" s="48" t="n"/>
      <c r="I4995" s="50" t="n"/>
      <c r="J4995" s="48" t="n"/>
      <c r="K4995" s="48" t="n"/>
      <c r="L4995" s="48" t="n"/>
      <c r="M4995" s="48" t="n"/>
      <c r="N4995" s="48" t="n"/>
      <c r="O4995" s="51">
        <f>IF(AND(B4995="",G4995="",C4995="",D4995="",J4995=""),"",IF(B4995="","⚠ Falta fecha",IF(G4995="","⚠ Falta monto",IF(Q4995="","⚠ Falta cuenta",IF(ISNA(MATCH(Q4995,ctaNombre,0)),"⚠ Cuenta no registrada",IF(AND(OR(P4995="Gasto",P4995="Reembolso"),D4995=""),"⚠ Falta categoría",IF(AND(D4995&lt;&gt;"",E4995&lt;&gt;"",ISNA(MATCH(D4995&amp;"|"&amp;E4995,catClave,0))),"⚠ Subcategoría no corresponde",IF(AND(OR(P4995="Transferencia",P4995="Pago tarjeta"),K4995=""),"⚠ Falta cuenta destino",IF(AND(K4995&lt;&gt;"",P4995&lt;&gt;"Transferencia",P4995&lt;&gt;"Pago tarjeta"),"⚠ Destino solo aplica a transferencias",IF(AND(K4995&lt;&gt;"",K4995=Q4995),"⚠ Origen igual a destino",IF(AND(K4995&lt;&gt;"",ISNA(MATCH(K4995,ctaNombre,0))),"⚠ Destino no registrado",IF(AND(P4995="Pago tarjeta",AE4995&lt;&gt;"Tarjeta de crédito"),"⚠ El destino debe ser tarjeta de crédito",IF(AND(P4995="Gasto",E4995="Depósitos y retiros"),"⚠ Usa tipo Transferencia",IF(AND(P4995="Resultado trading",AD4995&lt;&gt;"Cuenta de trading"),"⚠ Usa una cuenta de trading",IF(AND(G4995&lt;=0,P4995&lt;&gt;"Ajuste",P4995&lt;&gt;"Resultado trading"),"⚠ El monto debe ser positivo","✓")))))))))))))))</f>
        <v/>
      </c>
      <c r="P4995" s="52">
        <f>IF(OR(B4995="",G4995=""),"",IF(C4995="","Gasto",C4995))</f>
        <v/>
      </c>
      <c r="Q4995" s="52">
        <f>IF(P4995="","",IF(J4995&lt;&gt;"",J4995,CuentaPred&amp;""))</f>
        <v/>
      </c>
      <c r="R4995" s="52">
        <f>IF(P4995="","",IF(ISNUMBER(I4995),I4995,TasaUSD))</f>
        <v/>
      </c>
      <c r="S4995" s="53">
        <f>IF(P4995="","",IF(H4995="USD",G4995*R4995,G4995))</f>
        <v/>
      </c>
      <c r="T4995" s="53">
        <f>IF(P4995="","",IF(H4995="USD",G4995,IF(R4995&gt;0,G4995/R4995,0)))</f>
        <v/>
      </c>
      <c r="U4995" s="53">
        <f>IF(P4995="","",IF(P4995="Gasto",S4995,IF(P4995="Reembolso",-S4995,0)))</f>
        <v/>
      </c>
      <c r="V4995" s="53">
        <f>IF(P4995="","",IF(P4995="Ingreso",S4995,0))</f>
        <v/>
      </c>
      <c r="W4995" s="53">
        <f>IF(P4995="","",IF(P4995="Resultado trading",S4995,0))</f>
        <v/>
      </c>
      <c r="X4995" s="52">
        <f>IF(OR(P4995="Gasto",P4995="Reembolso"),IF(M4995&lt;&gt;"",M4995,IFERROR(INDEX(catClasif,MATCH(D4995&amp;"|"&amp;E4995,catClave,0))&amp;"","Variable")),"")</f>
        <v/>
      </c>
      <c r="Y4995" s="52">
        <f>IF(P4995="","",IFERROR(INDEX(catGrupo,MATCH(D4995&amp;"|"&amp;E4995,catClave,0))&amp;"",""))</f>
        <v/>
      </c>
      <c r="Z4995" s="52">
        <f>IF(P4995="","",WEEKDAY(B4995,2))</f>
        <v/>
      </c>
      <c r="AA4995" s="52">
        <f>IF(P4995="","",IF(AND(P4995="Gasto",X4995="Variable",D4995&lt;&gt;catTrading,S4995&gt;0,S4995&lt;=Umbral),1,0))</f>
        <v/>
      </c>
      <c r="AB4995" s="52">
        <f>IF(OR(P4995="",Q4995=""),"",IFERROR(IF(INDEX(ctaVinc,MATCH(Q4995,ctaNombre,0))&amp;""&lt;&gt;"",INDEX(ctaVinc,MATCH(Q4995,ctaNombre,0))&amp;"",Q4995),Q4995))</f>
        <v/>
      </c>
      <c r="AC4995" s="52">
        <f>IF(OR(K4995="",AND(P4995&lt;&gt;"Transferencia",P4995&lt;&gt;"Pago tarjeta")),"",IFERROR(IF(INDEX(ctaVinc,MATCH(K4995,ctaNombre,0))&amp;""&lt;&gt;"",INDEX(ctaVinc,MATCH(K4995,ctaNombre,0))&amp;"",K4995),K4995))</f>
        <v/>
      </c>
      <c r="AD4995" s="52">
        <f>IF(AB4995="","",IFERROR(INDEX(ctaTipo,MATCH(AB4995,ctaNombre,0))&amp;"",""))</f>
        <v/>
      </c>
      <c r="AE4995" s="52">
        <f>IF(AC4995="","",IFERROR(INDEX(ctaTipo,MATCH(AC4995,ctaNombre,0))&amp;"",""))</f>
        <v/>
      </c>
      <c r="AF4995" s="53">
        <f>IF(OR(P4995="",AB4995=""),"",IF(OR(P4995="Gasto",P4995="Transferencia",P4995="Pago tarjeta"),-1,1)*IF(IFERROR(INDEX(ctaMoneda,MATCH(AB4995,ctaNombre,0))&amp;"","DOP")="USD",T4995,S4995))</f>
        <v/>
      </c>
      <c r="AG4995" s="53">
        <f>IF(AC4995="","",IF(IFERROR(INDEX(ctaMoneda,MATCH(AC4995,ctaNombre,0))&amp;"","DOP")="USD",T4995,S4995))</f>
        <v/>
      </c>
      <c r="AH4995" s="53">
        <f>IF(P4995="","",IF(AND(AD4995&lt;&gt;"",COUNTIFS(tcTipo,AD4995,tcLiq,"Sí")&gt;0),IF(OR(P4995="Gasto",P4995="Transferencia",P4995="Pago tarjeta"),-1,1)*S4995,0)+IF(AND(AE4995&lt;&gt;"",COUNTIFS(tcTipo,AE4995,tcLiq,"Sí")&gt;0),S4995,0))</f>
        <v/>
      </c>
      <c r="AI4995" s="52">
        <f>IF(OR(L4995="",P4995=""),"",IF(COUNTIFS(L$6:L4995,L4995,P$6:P4995,"?*")=1,MAX(AI$5:AI4994)+1,""))</f>
        <v/>
      </c>
    </row>
    <row r="4996">
      <c r="B4996" s="47" t="n"/>
      <c r="C4996" s="48" t="n"/>
      <c r="D4996" s="48" t="n"/>
      <c r="E4996" s="48" t="n"/>
      <c r="F4996" s="48" t="n"/>
      <c r="G4996" s="49" t="n"/>
      <c r="H4996" s="48" t="n"/>
      <c r="I4996" s="50" t="n"/>
      <c r="J4996" s="48" t="n"/>
      <c r="K4996" s="48" t="n"/>
      <c r="L4996" s="48" t="n"/>
      <c r="M4996" s="48" t="n"/>
      <c r="N4996" s="48" t="n"/>
      <c r="O4996" s="51">
        <f>IF(AND(B4996="",G4996="",C4996="",D4996="",J4996=""),"",IF(B4996="","⚠ Falta fecha",IF(G4996="","⚠ Falta monto",IF(Q4996="","⚠ Falta cuenta",IF(ISNA(MATCH(Q4996,ctaNombre,0)),"⚠ Cuenta no registrada",IF(AND(OR(P4996="Gasto",P4996="Reembolso"),D4996=""),"⚠ Falta categoría",IF(AND(D4996&lt;&gt;"",E4996&lt;&gt;"",ISNA(MATCH(D4996&amp;"|"&amp;E4996,catClave,0))),"⚠ Subcategoría no corresponde",IF(AND(OR(P4996="Transferencia",P4996="Pago tarjeta"),K4996=""),"⚠ Falta cuenta destino",IF(AND(K4996&lt;&gt;"",P4996&lt;&gt;"Transferencia",P4996&lt;&gt;"Pago tarjeta"),"⚠ Destino solo aplica a transferencias",IF(AND(K4996&lt;&gt;"",K4996=Q4996),"⚠ Origen igual a destino",IF(AND(K4996&lt;&gt;"",ISNA(MATCH(K4996,ctaNombre,0))),"⚠ Destino no registrado",IF(AND(P4996="Pago tarjeta",AE4996&lt;&gt;"Tarjeta de crédito"),"⚠ El destino debe ser tarjeta de crédito",IF(AND(P4996="Gasto",E4996="Depósitos y retiros"),"⚠ Usa tipo Transferencia",IF(AND(P4996="Resultado trading",AD4996&lt;&gt;"Cuenta de trading"),"⚠ Usa una cuenta de trading",IF(AND(G4996&lt;=0,P4996&lt;&gt;"Ajuste",P4996&lt;&gt;"Resultado trading"),"⚠ El monto debe ser positivo","✓")))))))))))))))</f>
        <v/>
      </c>
      <c r="P4996" s="52">
        <f>IF(OR(B4996="",G4996=""),"",IF(C4996="","Gasto",C4996))</f>
        <v/>
      </c>
      <c r="Q4996" s="52">
        <f>IF(P4996="","",IF(J4996&lt;&gt;"",J4996,CuentaPred&amp;""))</f>
        <v/>
      </c>
      <c r="R4996" s="52">
        <f>IF(P4996="","",IF(ISNUMBER(I4996),I4996,TasaUSD))</f>
        <v/>
      </c>
      <c r="S4996" s="53">
        <f>IF(P4996="","",IF(H4996="USD",G4996*R4996,G4996))</f>
        <v/>
      </c>
      <c r="T4996" s="53">
        <f>IF(P4996="","",IF(H4996="USD",G4996,IF(R4996&gt;0,G4996/R4996,0)))</f>
        <v/>
      </c>
      <c r="U4996" s="53">
        <f>IF(P4996="","",IF(P4996="Gasto",S4996,IF(P4996="Reembolso",-S4996,0)))</f>
        <v/>
      </c>
      <c r="V4996" s="53">
        <f>IF(P4996="","",IF(P4996="Ingreso",S4996,0))</f>
        <v/>
      </c>
      <c r="W4996" s="53">
        <f>IF(P4996="","",IF(P4996="Resultado trading",S4996,0))</f>
        <v/>
      </c>
      <c r="X4996" s="52">
        <f>IF(OR(P4996="Gasto",P4996="Reembolso"),IF(M4996&lt;&gt;"",M4996,IFERROR(INDEX(catClasif,MATCH(D4996&amp;"|"&amp;E4996,catClave,0))&amp;"","Variable")),"")</f>
        <v/>
      </c>
      <c r="Y4996" s="52">
        <f>IF(P4996="","",IFERROR(INDEX(catGrupo,MATCH(D4996&amp;"|"&amp;E4996,catClave,0))&amp;"",""))</f>
        <v/>
      </c>
      <c r="Z4996" s="52">
        <f>IF(P4996="","",WEEKDAY(B4996,2))</f>
        <v/>
      </c>
      <c r="AA4996" s="52">
        <f>IF(P4996="","",IF(AND(P4996="Gasto",X4996="Variable",D4996&lt;&gt;catTrading,S4996&gt;0,S4996&lt;=Umbral),1,0))</f>
        <v/>
      </c>
      <c r="AB4996" s="52">
        <f>IF(OR(P4996="",Q4996=""),"",IFERROR(IF(INDEX(ctaVinc,MATCH(Q4996,ctaNombre,0))&amp;""&lt;&gt;"",INDEX(ctaVinc,MATCH(Q4996,ctaNombre,0))&amp;"",Q4996),Q4996))</f>
        <v/>
      </c>
      <c r="AC4996" s="52">
        <f>IF(OR(K4996="",AND(P4996&lt;&gt;"Transferencia",P4996&lt;&gt;"Pago tarjeta")),"",IFERROR(IF(INDEX(ctaVinc,MATCH(K4996,ctaNombre,0))&amp;""&lt;&gt;"",INDEX(ctaVinc,MATCH(K4996,ctaNombre,0))&amp;"",K4996),K4996))</f>
        <v/>
      </c>
      <c r="AD4996" s="52">
        <f>IF(AB4996="","",IFERROR(INDEX(ctaTipo,MATCH(AB4996,ctaNombre,0))&amp;"",""))</f>
        <v/>
      </c>
      <c r="AE4996" s="52">
        <f>IF(AC4996="","",IFERROR(INDEX(ctaTipo,MATCH(AC4996,ctaNombre,0))&amp;"",""))</f>
        <v/>
      </c>
      <c r="AF4996" s="53">
        <f>IF(OR(P4996="",AB4996=""),"",IF(OR(P4996="Gasto",P4996="Transferencia",P4996="Pago tarjeta"),-1,1)*IF(IFERROR(INDEX(ctaMoneda,MATCH(AB4996,ctaNombre,0))&amp;"","DOP")="USD",T4996,S4996))</f>
        <v/>
      </c>
      <c r="AG4996" s="53">
        <f>IF(AC4996="","",IF(IFERROR(INDEX(ctaMoneda,MATCH(AC4996,ctaNombre,0))&amp;"","DOP")="USD",T4996,S4996))</f>
        <v/>
      </c>
      <c r="AH4996" s="53">
        <f>IF(P4996="","",IF(AND(AD4996&lt;&gt;"",COUNTIFS(tcTipo,AD4996,tcLiq,"Sí")&gt;0),IF(OR(P4996="Gasto",P4996="Transferencia",P4996="Pago tarjeta"),-1,1)*S4996,0)+IF(AND(AE4996&lt;&gt;"",COUNTIFS(tcTipo,AE4996,tcLiq,"Sí")&gt;0),S4996,0))</f>
        <v/>
      </c>
      <c r="AI4996" s="52">
        <f>IF(OR(L4996="",P4996=""),"",IF(COUNTIFS(L$6:L4996,L4996,P$6:P4996,"?*")=1,MAX(AI$5:AI4995)+1,""))</f>
        <v/>
      </c>
    </row>
    <row r="4997">
      <c r="B4997" s="47" t="n"/>
      <c r="C4997" s="48" t="n"/>
      <c r="D4997" s="48" t="n"/>
      <c r="E4997" s="48" t="n"/>
      <c r="F4997" s="48" t="n"/>
      <c r="G4997" s="49" t="n"/>
      <c r="H4997" s="48" t="n"/>
      <c r="I4997" s="50" t="n"/>
      <c r="J4997" s="48" t="n"/>
      <c r="K4997" s="48" t="n"/>
      <c r="L4997" s="48" t="n"/>
      <c r="M4997" s="48" t="n"/>
      <c r="N4997" s="48" t="n"/>
      <c r="O4997" s="51">
        <f>IF(AND(B4997="",G4997="",C4997="",D4997="",J4997=""),"",IF(B4997="","⚠ Falta fecha",IF(G4997="","⚠ Falta monto",IF(Q4997="","⚠ Falta cuenta",IF(ISNA(MATCH(Q4997,ctaNombre,0)),"⚠ Cuenta no registrada",IF(AND(OR(P4997="Gasto",P4997="Reembolso"),D4997=""),"⚠ Falta categoría",IF(AND(D4997&lt;&gt;"",E4997&lt;&gt;"",ISNA(MATCH(D4997&amp;"|"&amp;E4997,catClave,0))),"⚠ Subcategoría no corresponde",IF(AND(OR(P4997="Transferencia",P4997="Pago tarjeta"),K4997=""),"⚠ Falta cuenta destino",IF(AND(K4997&lt;&gt;"",P4997&lt;&gt;"Transferencia",P4997&lt;&gt;"Pago tarjeta"),"⚠ Destino solo aplica a transferencias",IF(AND(K4997&lt;&gt;"",K4997=Q4997),"⚠ Origen igual a destino",IF(AND(K4997&lt;&gt;"",ISNA(MATCH(K4997,ctaNombre,0))),"⚠ Destino no registrado",IF(AND(P4997="Pago tarjeta",AE4997&lt;&gt;"Tarjeta de crédito"),"⚠ El destino debe ser tarjeta de crédito",IF(AND(P4997="Gasto",E4997="Depósitos y retiros"),"⚠ Usa tipo Transferencia",IF(AND(P4997="Resultado trading",AD4997&lt;&gt;"Cuenta de trading"),"⚠ Usa una cuenta de trading",IF(AND(G4997&lt;=0,P4997&lt;&gt;"Ajuste",P4997&lt;&gt;"Resultado trading"),"⚠ El monto debe ser positivo","✓")))))))))))))))</f>
        <v/>
      </c>
      <c r="P4997" s="52">
        <f>IF(OR(B4997="",G4997=""),"",IF(C4997="","Gasto",C4997))</f>
        <v/>
      </c>
      <c r="Q4997" s="52">
        <f>IF(P4997="","",IF(J4997&lt;&gt;"",J4997,CuentaPred&amp;""))</f>
        <v/>
      </c>
      <c r="R4997" s="52">
        <f>IF(P4997="","",IF(ISNUMBER(I4997),I4997,TasaUSD))</f>
        <v/>
      </c>
      <c r="S4997" s="53">
        <f>IF(P4997="","",IF(H4997="USD",G4997*R4997,G4997))</f>
        <v/>
      </c>
      <c r="T4997" s="53">
        <f>IF(P4997="","",IF(H4997="USD",G4997,IF(R4997&gt;0,G4997/R4997,0)))</f>
        <v/>
      </c>
      <c r="U4997" s="53">
        <f>IF(P4997="","",IF(P4997="Gasto",S4997,IF(P4997="Reembolso",-S4997,0)))</f>
        <v/>
      </c>
      <c r="V4997" s="53">
        <f>IF(P4997="","",IF(P4997="Ingreso",S4997,0))</f>
        <v/>
      </c>
      <c r="W4997" s="53">
        <f>IF(P4997="","",IF(P4997="Resultado trading",S4997,0))</f>
        <v/>
      </c>
      <c r="X4997" s="52">
        <f>IF(OR(P4997="Gasto",P4997="Reembolso"),IF(M4997&lt;&gt;"",M4997,IFERROR(INDEX(catClasif,MATCH(D4997&amp;"|"&amp;E4997,catClave,0))&amp;"","Variable")),"")</f>
        <v/>
      </c>
      <c r="Y4997" s="52">
        <f>IF(P4997="","",IFERROR(INDEX(catGrupo,MATCH(D4997&amp;"|"&amp;E4997,catClave,0))&amp;"",""))</f>
        <v/>
      </c>
      <c r="Z4997" s="52">
        <f>IF(P4997="","",WEEKDAY(B4997,2))</f>
        <v/>
      </c>
      <c r="AA4997" s="52">
        <f>IF(P4997="","",IF(AND(P4997="Gasto",X4997="Variable",D4997&lt;&gt;catTrading,S4997&gt;0,S4997&lt;=Umbral),1,0))</f>
        <v/>
      </c>
      <c r="AB4997" s="52">
        <f>IF(OR(P4997="",Q4997=""),"",IFERROR(IF(INDEX(ctaVinc,MATCH(Q4997,ctaNombre,0))&amp;""&lt;&gt;"",INDEX(ctaVinc,MATCH(Q4997,ctaNombre,0))&amp;"",Q4997),Q4997))</f>
        <v/>
      </c>
      <c r="AC4997" s="52">
        <f>IF(OR(K4997="",AND(P4997&lt;&gt;"Transferencia",P4997&lt;&gt;"Pago tarjeta")),"",IFERROR(IF(INDEX(ctaVinc,MATCH(K4997,ctaNombre,0))&amp;""&lt;&gt;"",INDEX(ctaVinc,MATCH(K4997,ctaNombre,0))&amp;"",K4997),K4997))</f>
        <v/>
      </c>
      <c r="AD4997" s="52">
        <f>IF(AB4997="","",IFERROR(INDEX(ctaTipo,MATCH(AB4997,ctaNombre,0))&amp;"",""))</f>
        <v/>
      </c>
      <c r="AE4997" s="52">
        <f>IF(AC4997="","",IFERROR(INDEX(ctaTipo,MATCH(AC4997,ctaNombre,0))&amp;"",""))</f>
        <v/>
      </c>
      <c r="AF4997" s="53">
        <f>IF(OR(P4997="",AB4997=""),"",IF(OR(P4997="Gasto",P4997="Transferencia",P4997="Pago tarjeta"),-1,1)*IF(IFERROR(INDEX(ctaMoneda,MATCH(AB4997,ctaNombre,0))&amp;"","DOP")="USD",T4997,S4997))</f>
        <v/>
      </c>
      <c r="AG4997" s="53">
        <f>IF(AC4997="","",IF(IFERROR(INDEX(ctaMoneda,MATCH(AC4997,ctaNombre,0))&amp;"","DOP")="USD",T4997,S4997))</f>
        <v/>
      </c>
      <c r="AH4997" s="53">
        <f>IF(P4997="","",IF(AND(AD4997&lt;&gt;"",COUNTIFS(tcTipo,AD4997,tcLiq,"Sí")&gt;0),IF(OR(P4997="Gasto",P4997="Transferencia",P4997="Pago tarjeta"),-1,1)*S4997,0)+IF(AND(AE4997&lt;&gt;"",COUNTIFS(tcTipo,AE4997,tcLiq,"Sí")&gt;0),S4997,0))</f>
        <v/>
      </c>
      <c r="AI4997" s="52">
        <f>IF(OR(L4997="",P4997=""),"",IF(COUNTIFS(L$6:L4997,L4997,P$6:P4997,"?*")=1,MAX(AI$5:AI4996)+1,""))</f>
        <v/>
      </c>
    </row>
    <row r="4998">
      <c r="B4998" s="47" t="n"/>
      <c r="C4998" s="48" t="n"/>
      <c r="D4998" s="48" t="n"/>
      <c r="E4998" s="48" t="n"/>
      <c r="F4998" s="48" t="n"/>
      <c r="G4998" s="49" t="n"/>
      <c r="H4998" s="48" t="n"/>
      <c r="I4998" s="50" t="n"/>
      <c r="J4998" s="48" t="n"/>
      <c r="K4998" s="48" t="n"/>
      <c r="L4998" s="48" t="n"/>
      <c r="M4998" s="48" t="n"/>
      <c r="N4998" s="48" t="n"/>
      <c r="O4998" s="51">
        <f>IF(AND(B4998="",G4998="",C4998="",D4998="",J4998=""),"",IF(B4998="","⚠ Falta fecha",IF(G4998="","⚠ Falta monto",IF(Q4998="","⚠ Falta cuenta",IF(ISNA(MATCH(Q4998,ctaNombre,0)),"⚠ Cuenta no registrada",IF(AND(OR(P4998="Gasto",P4998="Reembolso"),D4998=""),"⚠ Falta categoría",IF(AND(D4998&lt;&gt;"",E4998&lt;&gt;"",ISNA(MATCH(D4998&amp;"|"&amp;E4998,catClave,0))),"⚠ Subcategoría no corresponde",IF(AND(OR(P4998="Transferencia",P4998="Pago tarjeta"),K4998=""),"⚠ Falta cuenta destino",IF(AND(K4998&lt;&gt;"",P4998&lt;&gt;"Transferencia",P4998&lt;&gt;"Pago tarjeta"),"⚠ Destino solo aplica a transferencias",IF(AND(K4998&lt;&gt;"",K4998=Q4998),"⚠ Origen igual a destino",IF(AND(K4998&lt;&gt;"",ISNA(MATCH(K4998,ctaNombre,0))),"⚠ Destino no registrado",IF(AND(P4998="Pago tarjeta",AE4998&lt;&gt;"Tarjeta de crédito"),"⚠ El destino debe ser tarjeta de crédito",IF(AND(P4998="Gasto",E4998="Depósitos y retiros"),"⚠ Usa tipo Transferencia",IF(AND(P4998="Resultado trading",AD4998&lt;&gt;"Cuenta de trading"),"⚠ Usa una cuenta de trading",IF(AND(G4998&lt;=0,P4998&lt;&gt;"Ajuste",P4998&lt;&gt;"Resultado trading"),"⚠ El monto debe ser positivo","✓")))))))))))))))</f>
        <v/>
      </c>
      <c r="P4998" s="52">
        <f>IF(OR(B4998="",G4998=""),"",IF(C4998="","Gasto",C4998))</f>
        <v/>
      </c>
      <c r="Q4998" s="52">
        <f>IF(P4998="","",IF(J4998&lt;&gt;"",J4998,CuentaPred&amp;""))</f>
        <v/>
      </c>
      <c r="R4998" s="52">
        <f>IF(P4998="","",IF(ISNUMBER(I4998),I4998,TasaUSD))</f>
        <v/>
      </c>
      <c r="S4998" s="53">
        <f>IF(P4998="","",IF(H4998="USD",G4998*R4998,G4998))</f>
        <v/>
      </c>
      <c r="T4998" s="53">
        <f>IF(P4998="","",IF(H4998="USD",G4998,IF(R4998&gt;0,G4998/R4998,0)))</f>
        <v/>
      </c>
      <c r="U4998" s="53">
        <f>IF(P4998="","",IF(P4998="Gasto",S4998,IF(P4998="Reembolso",-S4998,0)))</f>
        <v/>
      </c>
      <c r="V4998" s="53">
        <f>IF(P4998="","",IF(P4998="Ingreso",S4998,0))</f>
        <v/>
      </c>
      <c r="W4998" s="53">
        <f>IF(P4998="","",IF(P4998="Resultado trading",S4998,0))</f>
        <v/>
      </c>
      <c r="X4998" s="52">
        <f>IF(OR(P4998="Gasto",P4998="Reembolso"),IF(M4998&lt;&gt;"",M4998,IFERROR(INDEX(catClasif,MATCH(D4998&amp;"|"&amp;E4998,catClave,0))&amp;"","Variable")),"")</f>
        <v/>
      </c>
      <c r="Y4998" s="52">
        <f>IF(P4998="","",IFERROR(INDEX(catGrupo,MATCH(D4998&amp;"|"&amp;E4998,catClave,0))&amp;"",""))</f>
        <v/>
      </c>
      <c r="Z4998" s="52">
        <f>IF(P4998="","",WEEKDAY(B4998,2))</f>
        <v/>
      </c>
      <c r="AA4998" s="52">
        <f>IF(P4998="","",IF(AND(P4998="Gasto",X4998="Variable",D4998&lt;&gt;catTrading,S4998&gt;0,S4998&lt;=Umbral),1,0))</f>
        <v/>
      </c>
      <c r="AB4998" s="52">
        <f>IF(OR(P4998="",Q4998=""),"",IFERROR(IF(INDEX(ctaVinc,MATCH(Q4998,ctaNombre,0))&amp;""&lt;&gt;"",INDEX(ctaVinc,MATCH(Q4998,ctaNombre,0))&amp;"",Q4998),Q4998))</f>
        <v/>
      </c>
      <c r="AC4998" s="52">
        <f>IF(OR(K4998="",AND(P4998&lt;&gt;"Transferencia",P4998&lt;&gt;"Pago tarjeta")),"",IFERROR(IF(INDEX(ctaVinc,MATCH(K4998,ctaNombre,0))&amp;""&lt;&gt;"",INDEX(ctaVinc,MATCH(K4998,ctaNombre,0))&amp;"",K4998),K4998))</f>
        <v/>
      </c>
      <c r="AD4998" s="52">
        <f>IF(AB4998="","",IFERROR(INDEX(ctaTipo,MATCH(AB4998,ctaNombre,0))&amp;"",""))</f>
        <v/>
      </c>
      <c r="AE4998" s="52">
        <f>IF(AC4998="","",IFERROR(INDEX(ctaTipo,MATCH(AC4998,ctaNombre,0))&amp;"",""))</f>
        <v/>
      </c>
      <c r="AF4998" s="53">
        <f>IF(OR(P4998="",AB4998=""),"",IF(OR(P4998="Gasto",P4998="Transferencia",P4998="Pago tarjeta"),-1,1)*IF(IFERROR(INDEX(ctaMoneda,MATCH(AB4998,ctaNombre,0))&amp;"","DOP")="USD",T4998,S4998))</f>
        <v/>
      </c>
      <c r="AG4998" s="53">
        <f>IF(AC4998="","",IF(IFERROR(INDEX(ctaMoneda,MATCH(AC4998,ctaNombre,0))&amp;"","DOP")="USD",T4998,S4998))</f>
        <v/>
      </c>
      <c r="AH4998" s="53">
        <f>IF(P4998="","",IF(AND(AD4998&lt;&gt;"",COUNTIFS(tcTipo,AD4998,tcLiq,"Sí")&gt;0),IF(OR(P4998="Gasto",P4998="Transferencia",P4998="Pago tarjeta"),-1,1)*S4998,0)+IF(AND(AE4998&lt;&gt;"",COUNTIFS(tcTipo,AE4998,tcLiq,"Sí")&gt;0),S4998,0))</f>
        <v/>
      </c>
      <c r="AI4998" s="52">
        <f>IF(OR(L4998="",P4998=""),"",IF(COUNTIFS(L$6:L4998,L4998,P$6:P4998,"?*")=1,MAX(AI$5:AI4997)+1,""))</f>
        <v/>
      </c>
    </row>
    <row r="4999">
      <c r="B4999" s="47" t="n"/>
      <c r="C4999" s="48" t="n"/>
      <c r="D4999" s="48" t="n"/>
      <c r="E4999" s="48" t="n"/>
      <c r="F4999" s="48" t="n"/>
      <c r="G4999" s="49" t="n"/>
      <c r="H4999" s="48" t="n"/>
      <c r="I4999" s="50" t="n"/>
      <c r="J4999" s="48" t="n"/>
      <c r="K4999" s="48" t="n"/>
      <c r="L4999" s="48" t="n"/>
      <c r="M4999" s="48" t="n"/>
      <c r="N4999" s="48" t="n"/>
      <c r="O4999" s="51">
        <f>IF(AND(B4999="",G4999="",C4999="",D4999="",J4999=""),"",IF(B4999="","⚠ Falta fecha",IF(G4999="","⚠ Falta monto",IF(Q4999="","⚠ Falta cuenta",IF(ISNA(MATCH(Q4999,ctaNombre,0)),"⚠ Cuenta no registrada",IF(AND(OR(P4999="Gasto",P4999="Reembolso"),D4999=""),"⚠ Falta categoría",IF(AND(D4999&lt;&gt;"",E4999&lt;&gt;"",ISNA(MATCH(D4999&amp;"|"&amp;E4999,catClave,0))),"⚠ Subcategoría no corresponde",IF(AND(OR(P4999="Transferencia",P4999="Pago tarjeta"),K4999=""),"⚠ Falta cuenta destino",IF(AND(K4999&lt;&gt;"",P4999&lt;&gt;"Transferencia",P4999&lt;&gt;"Pago tarjeta"),"⚠ Destino solo aplica a transferencias",IF(AND(K4999&lt;&gt;"",K4999=Q4999),"⚠ Origen igual a destino",IF(AND(K4999&lt;&gt;"",ISNA(MATCH(K4999,ctaNombre,0))),"⚠ Destino no registrado",IF(AND(P4999="Pago tarjeta",AE4999&lt;&gt;"Tarjeta de crédito"),"⚠ El destino debe ser tarjeta de crédito",IF(AND(P4999="Gasto",E4999="Depósitos y retiros"),"⚠ Usa tipo Transferencia",IF(AND(P4999="Resultado trading",AD4999&lt;&gt;"Cuenta de trading"),"⚠ Usa una cuenta de trading",IF(AND(G4999&lt;=0,P4999&lt;&gt;"Ajuste",P4999&lt;&gt;"Resultado trading"),"⚠ El monto debe ser positivo","✓")))))))))))))))</f>
        <v/>
      </c>
      <c r="P4999" s="52">
        <f>IF(OR(B4999="",G4999=""),"",IF(C4999="","Gasto",C4999))</f>
        <v/>
      </c>
      <c r="Q4999" s="52">
        <f>IF(P4999="","",IF(J4999&lt;&gt;"",J4999,CuentaPred&amp;""))</f>
        <v/>
      </c>
      <c r="R4999" s="52">
        <f>IF(P4999="","",IF(ISNUMBER(I4999),I4999,TasaUSD))</f>
        <v/>
      </c>
      <c r="S4999" s="53">
        <f>IF(P4999="","",IF(H4999="USD",G4999*R4999,G4999))</f>
        <v/>
      </c>
      <c r="T4999" s="53">
        <f>IF(P4999="","",IF(H4999="USD",G4999,IF(R4999&gt;0,G4999/R4999,0)))</f>
        <v/>
      </c>
      <c r="U4999" s="53">
        <f>IF(P4999="","",IF(P4999="Gasto",S4999,IF(P4999="Reembolso",-S4999,0)))</f>
        <v/>
      </c>
      <c r="V4999" s="53">
        <f>IF(P4999="","",IF(P4999="Ingreso",S4999,0))</f>
        <v/>
      </c>
      <c r="W4999" s="53">
        <f>IF(P4999="","",IF(P4999="Resultado trading",S4999,0))</f>
        <v/>
      </c>
      <c r="X4999" s="52">
        <f>IF(OR(P4999="Gasto",P4999="Reembolso"),IF(M4999&lt;&gt;"",M4999,IFERROR(INDEX(catClasif,MATCH(D4999&amp;"|"&amp;E4999,catClave,0))&amp;"","Variable")),"")</f>
        <v/>
      </c>
      <c r="Y4999" s="52">
        <f>IF(P4999="","",IFERROR(INDEX(catGrupo,MATCH(D4999&amp;"|"&amp;E4999,catClave,0))&amp;"",""))</f>
        <v/>
      </c>
      <c r="Z4999" s="52">
        <f>IF(P4999="","",WEEKDAY(B4999,2))</f>
        <v/>
      </c>
      <c r="AA4999" s="52">
        <f>IF(P4999="","",IF(AND(P4999="Gasto",X4999="Variable",D4999&lt;&gt;catTrading,S4999&gt;0,S4999&lt;=Umbral),1,0))</f>
        <v/>
      </c>
      <c r="AB4999" s="52">
        <f>IF(OR(P4999="",Q4999=""),"",IFERROR(IF(INDEX(ctaVinc,MATCH(Q4999,ctaNombre,0))&amp;""&lt;&gt;"",INDEX(ctaVinc,MATCH(Q4999,ctaNombre,0))&amp;"",Q4999),Q4999))</f>
        <v/>
      </c>
      <c r="AC4999" s="52">
        <f>IF(OR(K4999="",AND(P4999&lt;&gt;"Transferencia",P4999&lt;&gt;"Pago tarjeta")),"",IFERROR(IF(INDEX(ctaVinc,MATCH(K4999,ctaNombre,0))&amp;""&lt;&gt;"",INDEX(ctaVinc,MATCH(K4999,ctaNombre,0))&amp;"",K4999),K4999))</f>
        <v/>
      </c>
      <c r="AD4999" s="52">
        <f>IF(AB4999="","",IFERROR(INDEX(ctaTipo,MATCH(AB4999,ctaNombre,0))&amp;"",""))</f>
        <v/>
      </c>
      <c r="AE4999" s="52">
        <f>IF(AC4999="","",IFERROR(INDEX(ctaTipo,MATCH(AC4999,ctaNombre,0))&amp;"",""))</f>
        <v/>
      </c>
      <c r="AF4999" s="53">
        <f>IF(OR(P4999="",AB4999=""),"",IF(OR(P4999="Gasto",P4999="Transferencia",P4999="Pago tarjeta"),-1,1)*IF(IFERROR(INDEX(ctaMoneda,MATCH(AB4999,ctaNombre,0))&amp;"","DOP")="USD",T4999,S4999))</f>
        <v/>
      </c>
      <c r="AG4999" s="53">
        <f>IF(AC4999="","",IF(IFERROR(INDEX(ctaMoneda,MATCH(AC4999,ctaNombre,0))&amp;"","DOP")="USD",T4999,S4999))</f>
        <v/>
      </c>
      <c r="AH4999" s="53">
        <f>IF(P4999="","",IF(AND(AD4999&lt;&gt;"",COUNTIFS(tcTipo,AD4999,tcLiq,"Sí")&gt;0),IF(OR(P4999="Gasto",P4999="Transferencia",P4999="Pago tarjeta"),-1,1)*S4999,0)+IF(AND(AE4999&lt;&gt;"",COUNTIFS(tcTipo,AE4999,tcLiq,"Sí")&gt;0),S4999,0))</f>
        <v/>
      </c>
      <c r="AI4999" s="52">
        <f>IF(OR(L4999="",P4999=""),"",IF(COUNTIFS(L$6:L4999,L4999,P$6:P4999,"?*")=1,MAX(AI$5:AI4998)+1,""))</f>
        <v/>
      </c>
    </row>
    <row r="5000">
      <c r="B5000" s="47" t="n"/>
      <c r="C5000" s="48" t="n"/>
      <c r="D5000" s="48" t="n"/>
      <c r="E5000" s="48" t="n"/>
      <c r="F5000" s="48" t="n"/>
      <c r="G5000" s="49" t="n"/>
      <c r="H5000" s="48" t="n"/>
      <c r="I5000" s="50" t="n"/>
      <c r="J5000" s="48" t="n"/>
      <c r="K5000" s="48" t="n"/>
      <c r="L5000" s="48" t="n"/>
      <c r="M5000" s="48" t="n"/>
      <c r="N5000" s="48" t="n"/>
      <c r="O5000" s="51">
        <f>IF(AND(B5000="",G5000="",C5000="",D5000="",J5000=""),"",IF(B5000="","⚠ Falta fecha",IF(G5000="","⚠ Falta monto",IF(Q5000="","⚠ Falta cuenta",IF(ISNA(MATCH(Q5000,ctaNombre,0)),"⚠ Cuenta no registrada",IF(AND(OR(P5000="Gasto",P5000="Reembolso"),D5000=""),"⚠ Falta categoría",IF(AND(D5000&lt;&gt;"",E5000&lt;&gt;"",ISNA(MATCH(D5000&amp;"|"&amp;E5000,catClave,0))),"⚠ Subcategoría no corresponde",IF(AND(OR(P5000="Transferencia",P5000="Pago tarjeta"),K5000=""),"⚠ Falta cuenta destino",IF(AND(K5000&lt;&gt;"",P5000&lt;&gt;"Transferencia",P5000&lt;&gt;"Pago tarjeta"),"⚠ Destino solo aplica a transferencias",IF(AND(K5000&lt;&gt;"",K5000=Q5000),"⚠ Origen igual a destino",IF(AND(K5000&lt;&gt;"",ISNA(MATCH(K5000,ctaNombre,0))),"⚠ Destino no registrado",IF(AND(P5000="Pago tarjeta",AE5000&lt;&gt;"Tarjeta de crédito"),"⚠ El destino debe ser tarjeta de crédito",IF(AND(P5000="Gasto",E5000="Depósitos y retiros"),"⚠ Usa tipo Transferencia",IF(AND(P5000="Resultado trading",AD5000&lt;&gt;"Cuenta de trading"),"⚠ Usa una cuenta de trading",IF(AND(G5000&lt;=0,P5000&lt;&gt;"Ajuste",P5000&lt;&gt;"Resultado trading"),"⚠ El monto debe ser positivo","✓")))))))))))))))</f>
        <v/>
      </c>
      <c r="P5000" s="52">
        <f>IF(OR(B5000="",G5000=""),"",IF(C5000="","Gasto",C5000))</f>
        <v/>
      </c>
      <c r="Q5000" s="52">
        <f>IF(P5000="","",IF(J5000&lt;&gt;"",J5000,CuentaPred&amp;""))</f>
        <v/>
      </c>
      <c r="R5000" s="52">
        <f>IF(P5000="","",IF(ISNUMBER(I5000),I5000,TasaUSD))</f>
        <v/>
      </c>
      <c r="S5000" s="53">
        <f>IF(P5000="","",IF(H5000="USD",G5000*R5000,G5000))</f>
        <v/>
      </c>
      <c r="T5000" s="53">
        <f>IF(P5000="","",IF(H5000="USD",G5000,IF(R5000&gt;0,G5000/R5000,0)))</f>
        <v/>
      </c>
      <c r="U5000" s="53">
        <f>IF(P5000="","",IF(P5000="Gasto",S5000,IF(P5000="Reembolso",-S5000,0)))</f>
        <v/>
      </c>
      <c r="V5000" s="53">
        <f>IF(P5000="","",IF(P5000="Ingreso",S5000,0))</f>
        <v/>
      </c>
      <c r="W5000" s="53">
        <f>IF(P5000="","",IF(P5000="Resultado trading",S5000,0))</f>
        <v/>
      </c>
      <c r="X5000" s="52">
        <f>IF(OR(P5000="Gasto",P5000="Reembolso"),IF(M5000&lt;&gt;"",M5000,IFERROR(INDEX(catClasif,MATCH(D5000&amp;"|"&amp;E5000,catClave,0))&amp;"","Variable")),"")</f>
        <v/>
      </c>
      <c r="Y5000" s="52">
        <f>IF(P5000="","",IFERROR(INDEX(catGrupo,MATCH(D5000&amp;"|"&amp;E5000,catClave,0))&amp;"",""))</f>
        <v/>
      </c>
      <c r="Z5000" s="52">
        <f>IF(P5000="","",WEEKDAY(B5000,2))</f>
        <v/>
      </c>
      <c r="AA5000" s="52">
        <f>IF(P5000="","",IF(AND(P5000="Gasto",X5000="Variable",D5000&lt;&gt;catTrading,S5000&gt;0,S5000&lt;=Umbral),1,0))</f>
        <v/>
      </c>
      <c r="AB5000" s="52">
        <f>IF(OR(P5000="",Q5000=""),"",IFERROR(IF(INDEX(ctaVinc,MATCH(Q5000,ctaNombre,0))&amp;""&lt;&gt;"",INDEX(ctaVinc,MATCH(Q5000,ctaNombre,0))&amp;"",Q5000),Q5000))</f>
        <v/>
      </c>
      <c r="AC5000" s="52">
        <f>IF(OR(K5000="",AND(P5000&lt;&gt;"Transferencia",P5000&lt;&gt;"Pago tarjeta")),"",IFERROR(IF(INDEX(ctaVinc,MATCH(K5000,ctaNombre,0))&amp;""&lt;&gt;"",INDEX(ctaVinc,MATCH(K5000,ctaNombre,0))&amp;"",K5000),K5000))</f>
        <v/>
      </c>
      <c r="AD5000" s="52">
        <f>IF(AB5000="","",IFERROR(INDEX(ctaTipo,MATCH(AB5000,ctaNombre,0))&amp;"",""))</f>
        <v/>
      </c>
      <c r="AE5000" s="52">
        <f>IF(AC5000="","",IFERROR(INDEX(ctaTipo,MATCH(AC5000,ctaNombre,0))&amp;"",""))</f>
        <v/>
      </c>
      <c r="AF5000" s="53">
        <f>IF(OR(P5000="",AB5000=""),"",IF(OR(P5000="Gasto",P5000="Transferencia",P5000="Pago tarjeta"),-1,1)*IF(IFERROR(INDEX(ctaMoneda,MATCH(AB5000,ctaNombre,0))&amp;"","DOP")="USD",T5000,S5000))</f>
        <v/>
      </c>
      <c r="AG5000" s="53">
        <f>IF(AC5000="","",IF(IFERROR(INDEX(ctaMoneda,MATCH(AC5000,ctaNombre,0))&amp;"","DOP")="USD",T5000,S5000))</f>
        <v/>
      </c>
      <c r="AH5000" s="53">
        <f>IF(P5000="","",IF(AND(AD5000&lt;&gt;"",COUNTIFS(tcTipo,AD5000,tcLiq,"Sí")&gt;0),IF(OR(P5000="Gasto",P5000="Transferencia",P5000="Pago tarjeta"),-1,1)*S5000,0)+IF(AND(AE5000&lt;&gt;"",COUNTIFS(tcTipo,AE5000,tcLiq,"Sí")&gt;0),S5000,0))</f>
        <v/>
      </c>
      <c r="AI5000" s="52">
        <f>IF(OR(L5000="",P5000=""),"",IF(COUNTIFS(L$6:L5000,L5000,P$6:P5000,"?*")=1,MAX(AI$5:AI4999)+1,""))</f>
        <v/>
      </c>
    </row>
    <row r="5001">
      <c r="B5001" s="47" t="n"/>
      <c r="C5001" s="48" t="n"/>
      <c r="D5001" s="48" t="n"/>
      <c r="E5001" s="48" t="n"/>
      <c r="F5001" s="48" t="n"/>
      <c r="G5001" s="49" t="n"/>
      <c r="H5001" s="48" t="n"/>
      <c r="I5001" s="50" t="n"/>
      <c r="J5001" s="48" t="n"/>
      <c r="K5001" s="48" t="n"/>
      <c r="L5001" s="48" t="n"/>
      <c r="M5001" s="48" t="n"/>
      <c r="N5001" s="48" t="n"/>
      <c r="O5001" s="51">
        <f>IF(AND(B5001="",G5001="",C5001="",D5001="",J5001=""),"",IF(B5001="","⚠ Falta fecha",IF(G5001="","⚠ Falta monto",IF(Q5001="","⚠ Falta cuenta",IF(ISNA(MATCH(Q5001,ctaNombre,0)),"⚠ Cuenta no registrada",IF(AND(OR(P5001="Gasto",P5001="Reembolso"),D5001=""),"⚠ Falta categoría",IF(AND(D5001&lt;&gt;"",E5001&lt;&gt;"",ISNA(MATCH(D5001&amp;"|"&amp;E5001,catClave,0))),"⚠ Subcategoría no corresponde",IF(AND(OR(P5001="Transferencia",P5001="Pago tarjeta"),K5001=""),"⚠ Falta cuenta destino",IF(AND(K5001&lt;&gt;"",P5001&lt;&gt;"Transferencia",P5001&lt;&gt;"Pago tarjeta"),"⚠ Destino solo aplica a transferencias",IF(AND(K5001&lt;&gt;"",K5001=Q5001),"⚠ Origen igual a destino",IF(AND(K5001&lt;&gt;"",ISNA(MATCH(K5001,ctaNombre,0))),"⚠ Destino no registrado",IF(AND(P5001="Pago tarjeta",AE5001&lt;&gt;"Tarjeta de crédito"),"⚠ El destino debe ser tarjeta de crédito",IF(AND(P5001="Gasto",E5001="Depósitos y retiros"),"⚠ Usa tipo Transferencia",IF(AND(P5001="Resultado trading",AD5001&lt;&gt;"Cuenta de trading"),"⚠ Usa una cuenta de trading",IF(AND(G5001&lt;=0,P5001&lt;&gt;"Ajuste",P5001&lt;&gt;"Resultado trading"),"⚠ El monto debe ser positivo","✓")))))))))))))))</f>
        <v/>
      </c>
      <c r="P5001" s="52">
        <f>IF(OR(B5001="",G5001=""),"",IF(C5001="","Gasto",C5001))</f>
        <v/>
      </c>
      <c r="Q5001" s="52">
        <f>IF(P5001="","",IF(J5001&lt;&gt;"",J5001,CuentaPred&amp;""))</f>
        <v/>
      </c>
      <c r="R5001" s="52">
        <f>IF(P5001="","",IF(ISNUMBER(I5001),I5001,TasaUSD))</f>
        <v/>
      </c>
      <c r="S5001" s="53">
        <f>IF(P5001="","",IF(H5001="USD",G5001*R5001,G5001))</f>
        <v/>
      </c>
      <c r="T5001" s="53">
        <f>IF(P5001="","",IF(H5001="USD",G5001,IF(R5001&gt;0,G5001/R5001,0)))</f>
        <v/>
      </c>
      <c r="U5001" s="53">
        <f>IF(P5001="","",IF(P5001="Gasto",S5001,IF(P5001="Reembolso",-S5001,0)))</f>
        <v/>
      </c>
      <c r="V5001" s="53">
        <f>IF(P5001="","",IF(P5001="Ingreso",S5001,0))</f>
        <v/>
      </c>
      <c r="W5001" s="53">
        <f>IF(P5001="","",IF(P5001="Resultado trading",S5001,0))</f>
        <v/>
      </c>
      <c r="X5001" s="52">
        <f>IF(OR(P5001="Gasto",P5001="Reembolso"),IF(M5001&lt;&gt;"",M5001,IFERROR(INDEX(catClasif,MATCH(D5001&amp;"|"&amp;E5001,catClave,0))&amp;"","Variable")),"")</f>
        <v/>
      </c>
      <c r="Y5001" s="52">
        <f>IF(P5001="","",IFERROR(INDEX(catGrupo,MATCH(D5001&amp;"|"&amp;E5001,catClave,0))&amp;"",""))</f>
        <v/>
      </c>
      <c r="Z5001" s="52">
        <f>IF(P5001="","",WEEKDAY(B5001,2))</f>
        <v/>
      </c>
      <c r="AA5001" s="52">
        <f>IF(P5001="","",IF(AND(P5001="Gasto",X5001="Variable",D5001&lt;&gt;catTrading,S5001&gt;0,S5001&lt;=Umbral),1,0))</f>
        <v/>
      </c>
      <c r="AB5001" s="52">
        <f>IF(OR(P5001="",Q5001=""),"",IFERROR(IF(INDEX(ctaVinc,MATCH(Q5001,ctaNombre,0))&amp;""&lt;&gt;"",INDEX(ctaVinc,MATCH(Q5001,ctaNombre,0))&amp;"",Q5001),Q5001))</f>
        <v/>
      </c>
      <c r="AC5001" s="52">
        <f>IF(OR(K5001="",AND(P5001&lt;&gt;"Transferencia",P5001&lt;&gt;"Pago tarjeta")),"",IFERROR(IF(INDEX(ctaVinc,MATCH(K5001,ctaNombre,0))&amp;""&lt;&gt;"",INDEX(ctaVinc,MATCH(K5001,ctaNombre,0))&amp;"",K5001),K5001))</f>
        <v/>
      </c>
      <c r="AD5001" s="52">
        <f>IF(AB5001="","",IFERROR(INDEX(ctaTipo,MATCH(AB5001,ctaNombre,0))&amp;"",""))</f>
        <v/>
      </c>
      <c r="AE5001" s="52">
        <f>IF(AC5001="","",IFERROR(INDEX(ctaTipo,MATCH(AC5001,ctaNombre,0))&amp;"",""))</f>
        <v/>
      </c>
      <c r="AF5001" s="53">
        <f>IF(OR(P5001="",AB5001=""),"",IF(OR(P5001="Gasto",P5001="Transferencia",P5001="Pago tarjeta"),-1,1)*IF(IFERROR(INDEX(ctaMoneda,MATCH(AB5001,ctaNombre,0))&amp;"","DOP")="USD",T5001,S5001))</f>
        <v/>
      </c>
      <c r="AG5001" s="53">
        <f>IF(AC5001="","",IF(IFERROR(INDEX(ctaMoneda,MATCH(AC5001,ctaNombre,0))&amp;"","DOP")="USD",T5001,S5001))</f>
        <v/>
      </c>
      <c r="AH5001" s="53">
        <f>IF(P5001="","",IF(AND(AD5001&lt;&gt;"",COUNTIFS(tcTipo,AD5001,tcLiq,"Sí")&gt;0),IF(OR(P5001="Gasto",P5001="Transferencia",P5001="Pago tarjeta"),-1,1)*S5001,0)+IF(AND(AE5001&lt;&gt;"",COUNTIFS(tcTipo,AE5001,tcLiq,"Sí")&gt;0),S5001,0))</f>
        <v/>
      </c>
      <c r="AI5001" s="52">
        <f>IF(OR(L5001="",P5001=""),"",IF(COUNTIFS(L$6:L5001,L5001,P$6:P5001,"?*")=1,MAX(AI$5:AI5000)+1,""))</f>
        <v/>
      </c>
    </row>
    <row r="5002">
      <c r="B5002" s="47" t="n"/>
      <c r="C5002" s="48" t="n"/>
      <c r="D5002" s="48" t="n"/>
      <c r="E5002" s="48" t="n"/>
      <c r="F5002" s="48" t="n"/>
      <c r="G5002" s="49" t="n"/>
      <c r="H5002" s="48" t="n"/>
      <c r="I5002" s="50" t="n"/>
      <c r="J5002" s="48" t="n"/>
      <c r="K5002" s="48" t="n"/>
      <c r="L5002" s="48" t="n"/>
      <c r="M5002" s="48" t="n"/>
      <c r="N5002" s="48" t="n"/>
      <c r="O5002" s="51">
        <f>IF(AND(B5002="",G5002="",C5002="",D5002="",J5002=""),"",IF(B5002="","⚠ Falta fecha",IF(G5002="","⚠ Falta monto",IF(Q5002="","⚠ Falta cuenta",IF(ISNA(MATCH(Q5002,ctaNombre,0)),"⚠ Cuenta no registrada",IF(AND(OR(P5002="Gasto",P5002="Reembolso"),D5002=""),"⚠ Falta categoría",IF(AND(D5002&lt;&gt;"",E5002&lt;&gt;"",ISNA(MATCH(D5002&amp;"|"&amp;E5002,catClave,0))),"⚠ Subcategoría no corresponde",IF(AND(OR(P5002="Transferencia",P5002="Pago tarjeta"),K5002=""),"⚠ Falta cuenta destino",IF(AND(K5002&lt;&gt;"",P5002&lt;&gt;"Transferencia",P5002&lt;&gt;"Pago tarjeta"),"⚠ Destino solo aplica a transferencias",IF(AND(K5002&lt;&gt;"",K5002=Q5002),"⚠ Origen igual a destino",IF(AND(K5002&lt;&gt;"",ISNA(MATCH(K5002,ctaNombre,0))),"⚠ Destino no registrado",IF(AND(P5002="Pago tarjeta",AE5002&lt;&gt;"Tarjeta de crédito"),"⚠ El destino debe ser tarjeta de crédito",IF(AND(P5002="Gasto",E5002="Depósitos y retiros"),"⚠ Usa tipo Transferencia",IF(AND(P5002="Resultado trading",AD5002&lt;&gt;"Cuenta de trading"),"⚠ Usa una cuenta de trading",IF(AND(G5002&lt;=0,P5002&lt;&gt;"Ajuste",P5002&lt;&gt;"Resultado trading"),"⚠ El monto debe ser positivo","✓")))))))))))))))</f>
        <v/>
      </c>
      <c r="P5002" s="52">
        <f>IF(OR(B5002="",G5002=""),"",IF(C5002="","Gasto",C5002))</f>
        <v/>
      </c>
      <c r="Q5002" s="52">
        <f>IF(P5002="","",IF(J5002&lt;&gt;"",J5002,CuentaPred&amp;""))</f>
        <v/>
      </c>
      <c r="R5002" s="52">
        <f>IF(P5002="","",IF(ISNUMBER(I5002),I5002,TasaUSD))</f>
        <v/>
      </c>
      <c r="S5002" s="53">
        <f>IF(P5002="","",IF(H5002="USD",G5002*R5002,G5002))</f>
        <v/>
      </c>
      <c r="T5002" s="53">
        <f>IF(P5002="","",IF(H5002="USD",G5002,IF(R5002&gt;0,G5002/R5002,0)))</f>
        <v/>
      </c>
      <c r="U5002" s="53">
        <f>IF(P5002="","",IF(P5002="Gasto",S5002,IF(P5002="Reembolso",-S5002,0)))</f>
        <v/>
      </c>
      <c r="V5002" s="53">
        <f>IF(P5002="","",IF(P5002="Ingreso",S5002,0))</f>
        <v/>
      </c>
      <c r="W5002" s="53">
        <f>IF(P5002="","",IF(P5002="Resultado trading",S5002,0))</f>
        <v/>
      </c>
      <c r="X5002" s="52">
        <f>IF(OR(P5002="Gasto",P5002="Reembolso"),IF(M5002&lt;&gt;"",M5002,IFERROR(INDEX(catClasif,MATCH(D5002&amp;"|"&amp;E5002,catClave,0))&amp;"","Variable")),"")</f>
        <v/>
      </c>
      <c r="Y5002" s="52">
        <f>IF(P5002="","",IFERROR(INDEX(catGrupo,MATCH(D5002&amp;"|"&amp;E5002,catClave,0))&amp;"",""))</f>
        <v/>
      </c>
      <c r="Z5002" s="52">
        <f>IF(P5002="","",WEEKDAY(B5002,2))</f>
        <v/>
      </c>
      <c r="AA5002" s="52">
        <f>IF(P5002="","",IF(AND(P5002="Gasto",X5002="Variable",D5002&lt;&gt;catTrading,S5002&gt;0,S5002&lt;=Umbral),1,0))</f>
        <v/>
      </c>
      <c r="AB5002" s="52">
        <f>IF(OR(P5002="",Q5002=""),"",IFERROR(IF(INDEX(ctaVinc,MATCH(Q5002,ctaNombre,0))&amp;""&lt;&gt;"",INDEX(ctaVinc,MATCH(Q5002,ctaNombre,0))&amp;"",Q5002),Q5002))</f>
        <v/>
      </c>
      <c r="AC5002" s="52">
        <f>IF(OR(K5002="",AND(P5002&lt;&gt;"Transferencia",P5002&lt;&gt;"Pago tarjeta")),"",IFERROR(IF(INDEX(ctaVinc,MATCH(K5002,ctaNombre,0))&amp;""&lt;&gt;"",INDEX(ctaVinc,MATCH(K5002,ctaNombre,0))&amp;"",K5002),K5002))</f>
        <v/>
      </c>
      <c r="AD5002" s="52">
        <f>IF(AB5002="","",IFERROR(INDEX(ctaTipo,MATCH(AB5002,ctaNombre,0))&amp;"",""))</f>
        <v/>
      </c>
      <c r="AE5002" s="52">
        <f>IF(AC5002="","",IFERROR(INDEX(ctaTipo,MATCH(AC5002,ctaNombre,0))&amp;"",""))</f>
        <v/>
      </c>
      <c r="AF5002" s="53">
        <f>IF(OR(P5002="",AB5002=""),"",IF(OR(P5002="Gasto",P5002="Transferencia",P5002="Pago tarjeta"),-1,1)*IF(IFERROR(INDEX(ctaMoneda,MATCH(AB5002,ctaNombre,0))&amp;"","DOP")="USD",T5002,S5002))</f>
        <v/>
      </c>
      <c r="AG5002" s="53">
        <f>IF(AC5002="","",IF(IFERROR(INDEX(ctaMoneda,MATCH(AC5002,ctaNombre,0))&amp;"","DOP")="USD",T5002,S5002))</f>
        <v/>
      </c>
      <c r="AH5002" s="53">
        <f>IF(P5002="","",IF(AND(AD5002&lt;&gt;"",COUNTIFS(tcTipo,AD5002,tcLiq,"Sí")&gt;0),IF(OR(P5002="Gasto",P5002="Transferencia",P5002="Pago tarjeta"),-1,1)*S5002,0)+IF(AND(AE5002&lt;&gt;"",COUNTIFS(tcTipo,AE5002,tcLiq,"Sí")&gt;0),S5002,0))</f>
        <v/>
      </c>
      <c r="AI5002" s="52">
        <f>IF(OR(L5002="",P5002=""),"",IF(COUNTIFS(L$6:L5002,L5002,P$6:P5002,"?*")=1,MAX(AI$5:AI5001)+1,""))</f>
        <v/>
      </c>
    </row>
    <row r="5003">
      <c r="B5003" s="47" t="n"/>
      <c r="C5003" s="48" t="n"/>
      <c r="D5003" s="48" t="n"/>
      <c r="E5003" s="48" t="n"/>
      <c r="F5003" s="48" t="n"/>
      <c r="G5003" s="49" t="n"/>
      <c r="H5003" s="48" t="n"/>
      <c r="I5003" s="50" t="n"/>
      <c r="J5003" s="48" t="n"/>
      <c r="K5003" s="48" t="n"/>
      <c r="L5003" s="48" t="n"/>
      <c r="M5003" s="48" t="n"/>
      <c r="N5003" s="48" t="n"/>
      <c r="O5003" s="51">
        <f>IF(AND(B5003="",G5003="",C5003="",D5003="",J5003=""),"",IF(B5003="","⚠ Falta fecha",IF(G5003="","⚠ Falta monto",IF(Q5003="","⚠ Falta cuenta",IF(ISNA(MATCH(Q5003,ctaNombre,0)),"⚠ Cuenta no registrada",IF(AND(OR(P5003="Gasto",P5003="Reembolso"),D5003=""),"⚠ Falta categoría",IF(AND(D5003&lt;&gt;"",E5003&lt;&gt;"",ISNA(MATCH(D5003&amp;"|"&amp;E5003,catClave,0))),"⚠ Subcategoría no corresponde",IF(AND(OR(P5003="Transferencia",P5003="Pago tarjeta"),K5003=""),"⚠ Falta cuenta destino",IF(AND(K5003&lt;&gt;"",P5003&lt;&gt;"Transferencia",P5003&lt;&gt;"Pago tarjeta"),"⚠ Destino solo aplica a transferencias",IF(AND(K5003&lt;&gt;"",K5003=Q5003),"⚠ Origen igual a destino",IF(AND(K5003&lt;&gt;"",ISNA(MATCH(K5003,ctaNombre,0))),"⚠ Destino no registrado",IF(AND(P5003="Pago tarjeta",AE5003&lt;&gt;"Tarjeta de crédito"),"⚠ El destino debe ser tarjeta de crédito",IF(AND(P5003="Gasto",E5003="Depósitos y retiros"),"⚠ Usa tipo Transferencia",IF(AND(P5003="Resultado trading",AD5003&lt;&gt;"Cuenta de trading"),"⚠ Usa una cuenta de trading",IF(AND(G5003&lt;=0,P5003&lt;&gt;"Ajuste",P5003&lt;&gt;"Resultado trading"),"⚠ El monto debe ser positivo","✓")))))))))))))))</f>
        <v/>
      </c>
      <c r="P5003" s="52">
        <f>IF(OR(B5003="",G5003=""),"",IF(C5003="","Gasto",C5003))</f>
        <v/>
      </c>
      <c r="Q5003" s="52">
        <f>IF(P5003="","",IF(J5003&lt;&gt;"",J5003,CuentaPred&amp;""))</f>
        <v/>
      </c>
      <c r="R5003" s="52">
        <f>IF(P5003="","",IF(ISNUMBER(I5003),I5003,TasaUSD))</f>
        <v/>
      </c>
      <c r="S5003" s="53">
        <f>IF(P5003="","",IF(H5003="USD",G5003*R5003,G5003))</f>
        <v/>
      </c>
      <c r="T5003" s="53">
        <f>IF(P5003="","",IF(H5003="USD",G5003,IF(R5003&gt;0,G5003/R5003,0)))</f>
        <v/>
      </c>
      <c r="U5003" s="53">
        <f>IF(P5003="","",IF(P5003="Gasto",S5003,IF(P5003="Reembolso",-S5003,0)))</f>
        <v/>
      </c>
      <c r="V5003" s="53">
        <f>IF(P5003="","",IF(P5003="Ingreso",S5003,0))</f>
        <v/>
      </c>
      <c r="W5003" s="53">
        <f>IF(P5003="","",IF(P5003="Resultado trading",S5003,0))</f>
        <v/>
      </c>
      <c r="X5003" s="52">
        <f>IF(OR(P5003="Gasto",P5003="Reembolso"),IF(M5003&lt;&gt;"",M5003,IFERROR(INDEX(catClasif,MATCH(D5003&amp;"|"&amp;E5003,catClave,0))&amp;"","Variable")),"")</f>
        <v/>
      </c>
      <c r="Y5003" s="52">
        <f>IF(P5003="","",IFERROR(INDEX(catGrupo,MATCH(D5003&amp;"|"&amp;E5003,catClave,0))&amp;"",""))</f>
        <v/>
      </c>
      <c r="Z5003" s="52">
        <f>IF(P5003="","",WEEKDAY(B5003,2))</f>
        <v/>
      </c>
      <c r="AA5003" s="52">
        <f>IF(P5003="","",IF(AND(P5003="Gasto",X5003="Variable",D5003&lt;&gt;catTrading,S5003&gt;0,S5003&lt;=Umbral),1,0))</f>
        <v/>
      </c>
      <c r="AB5003" s="52">
        <f>IF(OR(P5003="",Q5003=""),"",IFERROR(IF(INDEX(ctaVinc,MATCH(Q5003,ctaNombre,0))&amp;""&lt;&gt;"",INDEX(ctaVinc,MATCH(Q5003,ctaNombre,0))&amp;"",Q5003),Q5003))</f>
        <v/>
      </c>
      <c r="AC5003" s="52">
        <f>IF(OR(K5003="",AND(P5003&lt;&gt;"Transferencia",P5003&lt;&gt;"Pago tarjeta")),"",IFERROR(IF(INDEX(ctaVinc,MATCH(K5003,ctaNombre,0))&amp;""&lt;&gt;"",INDEX(ctaVinc,MATCH(K5003,ctaNombre,0))&amp;"",K5003),K5003))</f>
        <v/>
      </c>
      <c r="AD5003" s="52">
        <f>IF(AB5003="","",IFERROR(INDEX(ctaTipo,MATCH(AB5003,ctaNombre,0))&amp;"",""))</f>
        <v/>
      </c>
      <c r="AE5003" s="52">
        <f>IF(AC5003="","",IFERROR(INDEX(ctaTipo,MATCH(AC5003,ctaNombre,0))&amp;"",""))</f>
        <v/>
      </c>
      <c r="AF5003" s="53">
        <f>IF(OR(P5003="",AB5003=""),"",IF(OR(P5003="Gasto",P5003="Transferencia",P5003="Pago tarjeta"),-1,1)*IF(IFERROR(INDEX(ctaMoneda,MATCH(AB5003,ctaNombre,0))&amp;"","DOP")="USD",T5003,S5003))</f>
        <v/>
      </c>
      <c r="AG5003" s="53">
        <f>IF(AC5003="","",IF(IFERROR(INDEX(ctaMoneda,MATCH(AC5003,ctaNombre,0))&amp;"","DOP")="USD",T5003,S5003))</f>
        <v/>
      </c>
      <c r="AH5003" s="53">
        <f>IF(P5003="","",IF(AND(AD5003&lt;&gt;"",COUNTIFS(tcTipo,AD5003,tcLiq,"Sí")&gt;0),IF(OR(P5003="Gasto",P5003="Transferencia",P5003="Pago tarjeta"),-1,1)*S5003,0)+IF(AND(AE5003&lt;&gt;"",COUNTIFS(tcTipo,AE5003,tcLiq,"Sí")&gt;0),S5003,0))</f>
        <v/>
      </c>
      <c r="AI5003" s="52">
        <f>IF(OR(L5003="",P5003=""),"",IF(COUNTIFS(L$6:L5003,L5003,P$6:P5003,"?*")=1,MAX(AI$5:AI5002)+1,""))</f>
        <v/>
      </c>
    </row>
    <row r="5004">
      <c r="B5004" s="47" t="n"/>
      <c r="C5004" s="48" t="n"/>
      <c r="D5004" s="48" t="n"/>
      <c r="E5004" s="48" t="n"/>
      <c r="F5004" s="48" t="n"/>
      <c r="G5004" s="49" t="n"/>
      <c r="H5004" s="48" t="n"/>
      <c r="I5004" s="50" t="n"/>
      <c r="J5004" s="48" t="n"/>
      <c r="K5004" s="48" t="n"/>
      <c r="L5004" s="48" t="n"/>
      <c r="M5004" s="48" t="n"/>
      <c r="N5004" s="48" t="n"/>
      <c r="O5004" s="51">
        <f>IF(AND(B5004="",G5004="",C5004="",D5004="",J5004=""),"",IF(B5004="","⚠ Falta fecha",IF(G5004="","⚠ Falta monto",IF(Q5004="","⚠ Falta cuenta",IF(ISNA(MATCH(Q5004,ctaNombre,0)),"⚠ Cuenta no registrada",IF(AND(OR(P5004="Gasto",P5004="Reembolso"),D5004=""),"⚠ Falta categoría",IF(AND(D5004&lt;&gt;"",E5004&lt;&gt;"",ISNA(MATCH(D5004&amp;"|"&amp;E5004,catClave,0))),"⚠ Subcategoría no corresponde",IF(AND(OR(P5004="Transferencia",P5004="Pago tarjeta"),K5004=""),"⚠ Falta cuenta destino",IF(AND(K5004&lt;&gt;"",P5004&lt;&gt;"Transferencia",P5004&lt;&gt;"Pago tarjeta"),"⚠ Destino solo aplica a transferencias",IF(AND(K5004&lt;&gt;"",K5004=Q5004),"⚠ Origen igual a destino",IF(AND(K5004&lt;&gt;"",ISNA(MATCH(K5004,ctaNombre,0))),"⚠ Destino no registrado",IF(AND(P5004="Pago tarjeta",AE5004&lt;&gt;"Tarjeta de crédito"),"⚠ El destino debe ser tarjeta de crédito",IF(AND(P5004="Gasto",E5004="Depósitos y retiros"),"⚠ Usa tipo Transferencia",IF(AND(P5004="Resultado trading",AD5004&lt;&gt;"Cuenta de trading"),"⚠ Usa una cuenta de trading",IF(AND(G5004&lt;=0,P5004&lt;&gt;"Ajuste",P5004&lt;&gt;"Resultado trading"),"⚠ El monto debe ser positivo","✓")))))))))))))))</f>
        <v/>
      </c>
      <c r="P5004" s="52">
        <f>IF(OR(B5004="",G5004=""),"",IF(C5004="","Gasto",C5004))</f>
        <v/>
      </c>
      <c r="Q5004" s="52">
        <f>IF(P5004="","",IF(J5004&lt;&gt;"",J5004,CuentaPred&amp;""))</f>
        <v/>
      </c>
      <c r="R5004" s="52">
        <f>IF(P5004="","",IF(ISNUMBER(I5004),I5004,TasaUSD))</f>
        <v/>
      </c>
      <c r="S5004" s="53">
        <f>IF(P5004="","",IF(H5004="USD",G5004*R5004,G5004))</f>
        <v/>
      </c>
      <c r="T5004" s="53">
        <f>IF(P5004="","",IF(H5004="USD",G5004,IF(R5004&gt;0,G5004/R5004,0)))</f>
        <v/>
      </c>
      <c r="U5004" s="53">
        <f>IF(P5004="","",IF(P5004="Gasto",S5004,IF(P5004="Reembolso",-S5004,0)))</f>
        <v/>
      </c>
      <c r="V5004" s="53">
        <f>IF(P5004="","",IF(P5004="Ingreso",S5004,0))</f>
        <v/>
      </c>
      <c r="W5004" s="53">
        <f>IF(P5004="","",IF(P5004="Resultado trading",S5004,0))</f>
        <v/>
      </c>
      <c r="X5004" s="52">
        <f>IF(OR(P5004="Gasto",P5004="Reembolso"),IF(M5004&lt;&gt;"",M5004,IFERROR(INDEX(catClasif,MATCH(D5004&amp;"|"&amp;E5004,catClave,0))&amp;"","Variable")),"")</f>
        <v/>
      </c>
      <c r="Y5004" s="52">
        <f>IF(P5004="","",IFERROR(INDEX(catGrupo,MATCH(D5004&amp;"|"&amp;E5004,catClave,0))&amp;"",""))</f>
        <v/>
      </c>
      <c r="Z5004" s="52">
        <f>IF(P5004="","",WEEKDAY(B5004,2))</f>
        <v/>
      </c>
      <c r="AA5004" s="52">
        <f>IF(P5004="","",IF(AND(P5004="Gasto",X5004="Variable",D5004&lt;&gt;catTrading,S5004&gt;0,S5004&lt;=Umbral),1,0))</f>
        <v/>
      </c>
      <c r="AB5004" s="52">
        <f>IF(OR(P5004="",Q5004=""),"",IFERROR(IF(INDEX(ctaVinc,MATCH(Q5004,ctaNombre,0))&amp;""&lt;&gt;"",INDEX(ctaVinc,MATCH(Q5004,ctaNombre,0))&amp;"",Q5004),Q5004))</f>
        <v/>
      </c>
      <c r="AC5004" s="52">
        <f>IF(OR(K5004="",AND(P5004&lt;&gt;"Transferencia",P5004&lt;&gt;"Pago tarjeta")),"",IFERROR(IF(INDEX(ctaVinc,MATCH(K5004,ctaNombre,0))&amp;""&lt;&gt;"",INDEX(ctaVinc,MATCH(K5004,ctaNombre,0))&amp;"",K5004),K5004))</f>
        <v/>
      </c>
      <c r="AD5004" s="52">
        <f>IF(AB5004="","",IFERROR(INDEX(ctaTipo,MATCH(AB5004,ctaNombre,0))&amp;"",""))</f>
        <v/>
      </c>
      <c r="AE5004" s="52">
        <f>IF(AC5004="","",IFERROR(INDEX(ctaTipo,MATCH(AC5004,ctaNombre,0))&amp;"",""))</f>
        <v/>
      </c>
      <c r="AF5004" s="53">
        <f>IF(OR(P5004="",AB5004=""),"",IF(OR(P5004="Gasto",P5004="Transferencia",P5004="Pago tarjeta"),-1,1)*IF(IFERROR(INDEX(ctaMoneda,MATCH(AB5004,ctaNombre,0))&amp;"","DOP")="USD",T5004,S5004))</f>
        <v/>
      </c>
      <c r="AG5004" s="53">
        <f>IF(AC5004="","",IF(IFERROR(INDEX(ctaMoneda,MATCH(AC5004,ctaNombre,0))&amp;"","DOP")="USD",T5004,S5004))</f>
        <v/>
      </c>
      <c r="AH5004" s="53">
        <f>IF(P5004="","",IF(AND(AD5004&lt;&gt;"",COUNTIFS(tcTipo,AD5004,tcLiq,"Sí")&gt;0),IF(OR(P5004="Gasto",P5004="Transferencia",P5004="Pago tarjeta"),-1,1)*S5004,0)+IF(AND(AE5004&lt;&gt;"",COUNTIFS(tcTipo,AE5004,tcLiq,"Sí")&gt;0),S5004,0))</f>
        <v/>
      </c>
      <c r="AI5004" s="52">
        <f>IF(OR(L5004="",P5004=""),"",IF(COUNTIFS(L$6:L5004,L5004,P$6:P5004,"?*")=1,MAX(AI$5:AI5003)+1,""))</f>
        <v/>
      </c>
    </row>
    <row r="5005">
      <c r="B5005" s="47" t="n"/>
      <c r="C5005" s="48" t="n"/>
      <c r="D5005" s="48" t="n"/>
      <c r="E5005" s="48" t="n"/>
      <c r="F5005" s="48" t="n"/>
      <c r="G5005" s="49" t="n"/>
      <c r="H5005" s="48" t="n"/>
      <c r="I5005" s="50" t="n"/>
      <c r="J5005" s="48" t="n"/>
      <c r="K5005" s="48" t="n"/>
      <c r="L5005" s="48" t="n"/>
      <c r="M5005" s="48" t="n"/>
      <c r="N5005" s="48" t="n"/>
      <c r="O5005" s="51">
        <f>IF(AND(B5005="",G5005="",C5005="",D5005="",J5005=""),"",IF(B5005="","⚠ Falta fecha",IF(G5005="","⚠ Falta monto",IF(Q5005="","⚠ Falta cuenta",IF(ISNA(MATCH(Q5005,ctaNombre,0)),"⚠ Cuenta no registrada",IF(AND(OR(P5005="Gasto",P5005="Reembolso"),D5005=""),"⚠ Falta categoría",IF(AND(D5005&lt;&gt;"",E5005&lt;&gt;"",ISNA(MATCH(D5005&amp;"|"&amp;E5005,catClave,0))),"⚠ Subcategoría no corresponde",IF(AND(OR(P5005="Transferencia",P5005="Pago tarjeta"),K5005=""),"⚠ Falta cuenta destino",IF(AND(K5005&lt;&gt;"",P5005&lt;&gt;"Transferencia",P5005&lt;&gt;"Pago tarjeta"),"⚠ Destino solo aplica a transferencias",IF(AND(K5005&lt;&gt;"",K5005=Q5005),"⚠ Origen igual a destino",IF(AND(K5005&lt;&gt;"",ISNA(MATCH(K5005,ctaNombre,0))),"⚠ Destino no registrado",IF(AND(P5005="Pago tarjeta",AE5005&lt;&gt;"Tarjeta de crédito"),"⚠ El destino debe ser tarjeta de crédito",IF(AND(P5005="Gasto",E5005="Depósitos y retiros"),"⚠ Usa tipo Transferencia",IF(AND(P5005="Resultado trading",AD5005&lt;&gt;"Cuenta de trading"),"⚠ Usa una cuenta de trading",IF(AND(G5005&lt;=0,P5005&lt;&gt;"Ajuste",P5005&lt;&gt;"Resultado trading"),"⚠ El monto debe ser positivo","✓")))))))))))))))</f>
        <v/>
      </c>
      <c r="P5005" s="52">
        <f>IF(OR(B5005="",G5005=""),"",IF(C5005="","Gasto",C5005))</f>
        <v/>
      </c>
      <c r="Q5005" s="52">
        <f>IF(P5005="","",IF(J5005&lt;&gt;"",J5005,CuentaPred&amp;""))</f>
        <v/>
      </c>
      <c r="R5005" s="52">
        <f>IF(P5005="","",IF(ISNUMBER(I5005),I5005,TasaUSD))</f>
        <v/>
      </c>
      <c r="S5005" s="53">
        <f>IF(P5005="","",IF(H5005="USD",G5005*R5005,G5005))</f>
        <v/>
      </c>
      <c r="T5005" s="53">
        <f>IF(P5005="","",IF(H5005="USD",G5005,IF(R5005&gt;0,G5005/R5005,0)))</f>
        <v/>
      </c>
      <c r="U5005" s="53">
        <f>IF(P5005="","",IF(P5005="Gasto",S5005,IF(P5005="Reembolso",-S5005,0)))</f>
        <v/>
      </c>
      <c r="V5005" s="53">
        <f>IF(P5005="","",IF(P5005="Ingreso",S5005,0))</f>
        <v/>
      </c>
      <c r="W5005" s="53">
        <f>IF(P5005="","",IF(P5005="Resultado trading",S5005,0))</f>
        <v/>
      </c>
      <c r="X5005" s="52">
        <f>IF(OR(P5005="Gasto",P5005="Reembolso"),IF(M5005&lt;&gt;"",M5005,IFERROR(INDEX(catClasif,MATCH(D5005&amp;"|"&amp;E5005,catClave,0))&amp;"","Variable")),"")</f>
        <v/>
      </c>
      <c r="Y5005" s="52">
        <f>IF(P5005="","",IFERROR(INDEX(catGrupo,MATCH(D5005&amp;"|"&amp;E5005,catClave,0))&amp;"",""))</f>
        <v/>
      </c>
      <c r="Z5005" s="52">
        <f>IF(P5005="","",WEEKDAY(B5005,2))</f>
        <v/>
      </c>
      <c r="AA5005" s="52">
        <f>IF(P5005="","",IF(AND(P5005="Gasto",X5005="Variable",D5005&lt;&gt;catTrading,S5005&gt;0,S5005&lt;=Umbral),1,0))</f>
        <v/>
      </c>
      <c r="AB5005" s="52">
        <f>IF(OR(P5005="",Q5005=""),"",IFERROR(IF(INDEX(ctaVinc,MATCH(Q5005,ctaNombre,0))&amp;""&lt;&gt;"",INDEX(ctaVinc,MATCH(Q5005,ctaNombre,0))&amp;"",Q5005),Q5005))</f>
        <v/>
      </c>
      <c r="AC5005" s="52">
        <f>IF(OR(K5005="",AND(P5005&lt;&gt;"Transferencia",P5005&lt;&gt;"Pago tarjeta")),"",IFERROR(IF(INDEX(ctaVinc,MATCH(K5005,ctaNombre,0))&amp;""&lt;&gt;"",INDEX(ctaVinc,MATCH(K5005,ctaNombre,0))&amp;"",K5005),K5005))</f>
        <v/>
      </c>
      <c r="AD5005" s="52">
        <f>IF(AB5005="","",IFERROR(INDEX(ctaTipo,MATCH(AB5005,ctaNombre,0))&amp;"",""))</f>
        <v/>
      </c>
      <c r="AE5005" s="52">
        <f>IF(AC5005="","",IFERROR(INDEX(ctaTipo,MATCH(AC5005,ctaNombre,0))&amp;"",""))</f>
        <v/>
      </c>
      <c r="AF5005" s="53">
        <f>IF(OR(P5005="",AB5005=""),"",IF(OR(P5005="Gasto",P5005="Transferencia",P5005="Pago tarjeta"),-1,1)*IF(IFERROR(INDEX(ctaMoneda,MATCH(AB5005,ctaNombre,0))&amp;"","DOP")="USD",T5005,S5005))</f>
        <v/>
      </c>
      <c r="AG5005" s="53">
        <f>IF(AC5005="","",IF(IFERROR(INDEX(ctaMoneda,MATCH(AC5005,ctaNombre,0))&amp;"","DOP")="USD",T5005,S5005))</f>
        <v/>
      </c>
      <c r="AH5005" s="53">
        <f>IF(P5005="","",IF(AND(AD5005&lt;&gt;"",COUNTIFS(tcTipo,AD5005,tcLiq,"Sí")&gt;0),IF(OR(P5005="Gasto",P5005="Transferencia",P5005="Pago tarjeta"),-1,1)*S5005,0)+IF(AND(AE5005&lt;&gt;"",COUNTIFS(tcTipo,AE5005,tcLiq,"Sí")&gt;0),S5005,0))</f>
        <v/>
      </c>
      <c r="AI5005" s="52">
        <f>IF(OR(L5005="",P5005=""),"",IF(COUNTIFS(L$6:L5005,L5005,P$6:P5005,"?*")=1,MAX(AI$5:AI5004)+1,""))</f>
        <v/>
      </c>
    </row>
  </sheetData>
  <mergeCells count="5">
    <mergeCell ref="B3:C3"/>
    <mergeCell ref="B4:N4"/>
    <mergeCell ref="D3:I3"/>
    <mergeCell ref="AC1:AI1"/>
    <mergeCell ref="O4:AI4"/>
  </mergeCells>
  <conditionalFormatting sqref="B6:N5005">
    <cfRule type="expression" priority="1" dxfId="2">
      <formula>$N6="DEMOSTRACIÓN"</formula>
    </cfRule>
  </conditionalFormatting>
  <conditionalFormatting sqref="O6:O5005">
    <cfRule type="expression" priority="2" dxfId="0">
      <formula>LEFT($O6,1)="⚠"</formula>
    </cfRule>
  </conditionalFormatting>
  <conditionalFormatting sqref="G6:G5005">
    <cfRule type="expression" priority="3" dxfId="3">
      <formula>OR($P6="Ingreso",$P6="Reembolso")</formula>
    </cfRule>
    <cfRule type="expression" priority="4" dxfId="4">
      <formula>OR($P6="Transferencia",$P6="Pago tarjeta",$P6="Ajuste")</formula>
    </cfRule>
    <cfRule type="expression" priority="5" dxfId="5">
      <formula>$P6="Resultado trading"</formula>
    </cfRule>
  </conditionalFormatting>
  <dataValidations count="10">
    <dataValidation sqref="B6:B5005" showDropDown="0" showInputMessage="0" showErrorMessage="1" allowBlank="1" errorTitle="Fecha" error="Escribe una fecha válida (dd/mm/aaaa)." type="date" operator="between">
      <formula1>DATE(2000,1,1)</formula1>
      <formula2>DATE(2100,12,31)</formula2>
    </dataValidation>
    <dataValidation sqref="C6:C5005" showDropDown="0" showInputMessage="0" showErrorMessage="1" allowBlank="1" errorTitle="Valor no válido" error="Elige un valor de la lista." type="list">
      <formula1>=lstTipos</formula1>
    </dataValidation>
    <dataValidation sqref="D6:D5005" showDropDown="0" showInputMessage="0" showErrorMessage="1" allowBlank="1" errorTitle="Valor no válido" error="Elige un valor de la lista." type="list">
      <formula1>=lstCat</formula1>
    </dataValidation>
    <dataValidation sqref="E6:E5005" showDropDown="0" showInputMessage="0" showErrorMessage="1" allowBlank="1" errorTitle="Valor no válido" error="Elige un valor de la lista." type="list">
      <formula1>=OFFSET('Categorías'!$C$6,MATCH($D6,catCat,0)-1,0,COUNTIF(catCat,$D6),1)</formula1>
    </dataValidation>
    <dataValidation sqref="G6:G5005" showDropDown="0" showInputMessage="0" showErrorMessage="1" allowBlank="1" errorTitle="Monto" error="Escribe un número." type="decimal" operator="between">
      <formula1>-1000000000</formula1>
      <formula2>1000000000</formula2>
    </dataValidation>
    <dataValidation sqref="H6:H5005" showDropDown="0" showInputMessage="0" showErrorMessage="1" allowBlank="1" errorTitle="Valor no válido" error="Elige un valor de la lista." type="list">
      <formula1>=lstMonedas</formula1>
    </dataValidation>
    <dataValidation sqref="I6:I5005" showDropDown="0" showInputMessage="0" showErrorMessage="1" allowBlank="1" errorTitle="Tasa" error="La tasa debe ser mayor que 0." type="decimal" operator="greaterThan">
      <formula1>0</formula1>
    </dataValidation>
    <dataValidation sqref="J6:K5005" showDropDown="0" showInputMessage="0" showErrorMessage="1" allowBlank="1" errorTitle="Valor no válido" error="Elige un valor de la lista." type="list">
      <formula1>=lstCuentas</formula1>
    </dataValidation>
    <dataValidation sqref="L6:L5005" showDropDown="0" showInputMessage="0" showErrorMessage="0" allowBlank="1" type="list">
      <formula1>=lstComercios</formula1>
    </dataValidation>
    <dataValidation sqref="M6:M5005" showDropDown="0" showInputMessage="0" showErrorMessage="1" allowBlank="1" errorTitle="Valor no válido" error="Elige un valor de la lista." type="list">
      <formula1>=lstClasif</formula1>
    </dataValidation>
  </dataValidations>
  <hyperlinks>
    <hyperlink ref="B2" location="'Inicio'!A1" display="Inicio"/>
    <hyperlink ref="C2" location="'Registro'!A1" display="● Registro"/>
    <hyperlink ref="D2" location="'Dashboard'!A1" display="Dashboard"/>
    <hyperlink ref="E2" location="'Alimentación'!A1" display="Alimentación"/>
    <hyperlink ref="F2" location="'Gastos hormiga'!A1" display="Hormiga"/>
    <hyperlink ref="G2" location="'Recurrentes'!A1" display="Recurrentes"/>
    <hyperlink ref="H2" location="'Presupuestos'!A1" display="Presupuestos"/>
    <hyperlink ref="J2" location="'Cuentas'!A1" display="Cuentas"/>
    <hyperlink ref="K2" location="'Categorías'!A1" display="Categorías"/>
    <hyperlink ref="L2" location="'Config'!A1" display="Config"/>
  </hyperlinks>
  <pageMargins left="0.75" right="0.75" top="1" bottom="1" header="0.5" footer="0.5"/>
  <legacyDrawing xmlns:r="http://schemas.openxmlformats.org/officeDocument/2006/relationships" r:id="anysvml"/>
  <tableParts count="1">
    <tablePart xmlns:r="http://schemas.openxmlformats.org/officeDocument/2006/relationships" r:id="rId1"/>
  </tableParts>
</worksheet>
</file>

<file path=xl/worksheets/sheet3.xml><?xml version="1.0" encoding="utf-8"?>
<worksheet xmlns="http://schemas.openxmlformats.org/spreadsheetml/2006/main">
  <sheetPr>
    <tabColor rgb="002A78D6"/>
    <outlinePr summaryBelow="1" summaryRight="1"/>
    <pageSetUpPr fitToPage="1"/>
  </sheetPr>
  <dimension ref="A1:R140"/>
  <sheetViews>
    <sheetView showGridLines="0" zoomScale="100" workbookViewId="0">
      <pane ySplit="6" topLeftCell="A7" activePane="bottomLeft" state="frozen"/>
      <selection pane="bottomLeft" activeCell="A1" sqref="A1"/>
    </sheetView>
  </sheetViews>
  <sheetFormatPr baseColWidth="8" defaultRowHeight="15"/>
  <cols>
    <col width="2" customWidth="1" min="1" max="1"/>
    <col width="11" customWidth="1" min="2" max="2"/>
    <col width="11"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 width="11" customWidth="1" min="15" max="15"/>
    <col width="11" customWidth="1" min="16" max="16"/>
    <col width="11" customWidth="1" min="17" max="17"/>
    <col width="2" customWidth="1" min="18" max="18"/>
  </cols>
  <sheetData>
    <row r="1" ht="38" customHeight="1">
      <c r="A1" s="1" t="n"/>
      <c r="B1" s="2" t="inlineStr">
        <is>
          <t>Dashboard financiero</t>
        </is>
      </c>
      <c r="C1" s="1" t="n"/>
      <c r="D1" s="1" t="n"/>
      <c r="E1" s="1" t="n"/>
      <c r="F1" s="1" t="n"/>
      <c r="G1" s="1" t="n"/>
      <c r="H1" s="1" t="n"/>
      <c r="I1" s="1" t="n"/>
      <c r="J1" s="1" t="n"/>
      <c r="K1" s="1" t="n"/>
      <c r="L1" s="3" t="inlineStr">
        <is>
          <t>Todas las cifras en DOP · se actualiza solo</t>
        </is>
      </c>
    </row>
    <row r="2" ht="22" customHeight="1">
      <c r="A2" s="4" t="n"/>
      <c r="B2" s="6" t="inlineStr">
        <is>
          <t>Inicio</t>
        </is>
      </c>
      <c r="C2" s="6" t="inlineStr">
        <is>
          <t>Registro</t>
        </is>
      </c>
      <c r="D2" s="5" t="inlineStr">
        <is>
          <t>● Dashboard</t>
        </is>
      </c>
      <c r="E2" s="4" t="n"/>
      <c r="F2" s="6" t="inlineStr">
        <is>
          <t>Alimentación</t>
        </is>
      </c>
      <c r="G2" s="4" t="n"/>
      <c r="H2" s="6" t="inlineStr">
        <is>
          <t>Hormiga</t>
        </is>
      </c>
      <c r="I2" s="6" t="inlineStr">
        <is>
          <t>Recurrentes</t>
        </is>
      </c>
      <c r="J2" s="4" t="n"/>
      <c r="K2" s="6" t="inlineStr">
        <is>
          <t>Presupuestos</t>
        </is>
      </c>
      <c r="L2" s="4" t="n"/>
      <c r="M2" s="6" t="inlineStr">
        <is>
          <t>Cuentas</t>
        </is>
      </c>
      <c r="N2" s="6" t="inlineStr">
        <is>
          <t>Categorías</t>
        </is>
      </c>
      <c r="O2" s="6" t="inlineStr">
        <is>
          <t>Config</t>
        </is>
      </c>
      <c r="P2" s="4" t="n"/>
      <c r="Q2" s="4" t="n"/>
      <c r="R2" s="4" t="n"/>
    </row>
    <row r="3">
      <c r="A3" s="7" t="n"/>
      <c r="B3" s="7" t="n"/>
      <c r="C3" s="7" t="n"/>
      <c r="D3" s="7" t="n"/>
      <c r="E3" s="7" t="n"/>
      <c r="F3" s="7" t="n"/>
      <c r="G3" s="7" t="n"/>
      <c r="H3" s="7" t="n"/>
      <c r="I3" s="7" t="n"/>
      <c r="J3" s="7" t="n"/>
      <c r="K3" s="7" t="n"/>
      <c r="L3" s="7" t="n"/>
      <c r="M3" s="7" t="n"/>
      <c r="N3" s="7" t="n"/>
      <c r="O3" s="7" t="n"/>
      <c r="P3" s="7" t="n"/>
      <c r="Q3" s="7" t="n"/>
      <c r="R3" s="7" t="n"/>
    </row>
    <row r="4" ht="18" customHeight="1">
      <c r="A4" s="7" t="n"/>
      <c r="B4" s="54" t="inlineStr">
        <is>
          <t>PERÍODO</t>
        </is>
      </c>
      <c r="E4" s="54" t="inlineStr">
        <is>
          <t>MES (si eliges «Mes seleccionado»)</t>
        </is>
      </c>
      <c r="H4" s="54" t="inlineStr">
        <is>
          <t>DESDE (personalizado)</t>
        </is>
      </c>
      <c r="J4" s="54" t="inlineStr">
        <is>
          <t>HASTA (personalizado)</t>
        </is>
      </c>
      <c r="L4" s="54" t="inlineStr">
        <is>
          <t>CATEGORÍA (aplica a gastos)</t>
        </is>
      </c>
      <c r="O4" s="54" t="inlineStr">
        <is>
          <t>CUENTA / MÉTODO</t>
        </is>
      </c>
      <c r="R4" s="7" t="n"/>
    </row>
    <row r="5" ht="26" customHeight="1">
      <c r="A5" s="7" t="n"/>
      <c r="B5" s="55" t="inlineStr">
        <is>
          <t>Todo el historial</t>
        </is>
      </c>
      <c r="C5" s="56" t="n"/>
      <c r="D5" s="56" t="n"/>
      <c r="E5" s="55" t="inlineStr">
        <is>
          <t>2026-10</t>
        </is>
      </c>
      <c r="F5" s="56" t="n"/>
      <c r="G5" s="56" t="n"/>
      <c r="H5" s="57" t="n"/>
      <c r="I5" s="56" t="n"/>
      <c r="J5" s="57" t="n"/>
      <c r="K5" s="56" t="n"/>
      <c r="L5" s="55" t="inlineStr">
        <is>
          <t>Todas</t>
        </is>
      </c>
      <c r="M5" s="56" t="n"/>
      <c r="N5" s="56" t="n"/>
      <c r="O5" s="55" t="inlineStr">
        <is>
          <t>Todas</t>
        </is>
      </c>
      <c r="P5" s="56" t="n"/>
      <c r="Q5" s="56" t="n"/>
      <c r="R5" s="7" t="n"/>
    </row>
    <row r="6">
      <c r="A6" s="7" t="n"/>
      <c r="B6" s="58">
        <f>"Mostrando  "&amp;pTexto&amp;"   ·   "&amp;pDias&amp;" días transcurridos   ·   Categoría: "&amp;IF(critCat="&lt;&gt;@@@","todas",fCat)&amp;"   ·   Cuenta: "&amp;IF(critCta="&lt;&gt;@@@","todas",fCta)</f>
        <v/>
      </c>
      <c r="R6" s="7" t="n"/>
    </row>
    <row r="7">
      <c r="A7" s="7" t="n"/>
      <c r="B7" s="7" t="n"/>
      <c r="C7" s="7" t="n"/>
      <c r="D7" s="7" t="n"/>
      <c r="E7" s="7" t="n"/>
      <c r="F7" s="7" t="n"/>
      <c r="G7" s="7" t="n"/>
      <c r="H7" s="7" t="n"/>
      <c r="I7" s="7" t="n"/>
      <c r="J7" s="7" t="n"/>
      <c r="K7" s="7" t="n"/>
      <c r="L7" s="7" t="n"/>
      <c r="M7" s="7" t="n"/>
      <c r="N7" s="7" t="n"/>
      <c r="O7" s="7" t="n"/>
      <c r="P7" s="7" t="n"/>
      <c r="Q7" s="7" t="n"/>
      <c r="R7" s="7" t="n"/>
    </row>
    <row r="8" ht="18" customHeight="1">
      <c r="A8" s="7" t="n"/>
      <c r="B8" s="59" t="inlineStr">
        <is>
          <t>INGRESOS DEL PERÍODO</t>
        </is>
      </c>
      <c r="C8" s="12" t="n"/>
      <c r="D8" s="12" t="n"/>
      <c r="E8" s="13" t="n"/>
      <c r="F8" s="60" t="inlineStr">
        <is>
          <t>GASTO REAL DEL PERÍODO</t>
        </is>
      </c>
      <c r="G8" s="12" t="n"/>
      <c r="H8" s="12" t="n"/>
      <c r="I8" s="13" t="n"/>
      <c r="J8" s="61" t="inlineStr">
        <is>
          <t>AHORRO NETO (INGRESOS − GASTO)</t>
        </is>
      </c>
      <c r="K8" s="12" t="n"/>
      <c r="L8" s="12" t="n"/>
      <c r="M8" s="13" t="n"/>
      <c r="N8" s="62" t="inlineStr">
        <is>
          <t>DINERO DISPONIBLE</t>
        </is>
      </c>
      <c r="O8" s="12" t="n"/>
      <c r="P8" s="12" t="n"/>
      <c r="Q8" s="13" t="n"/>
      <c r="R8" s="7" t="n"/>
    </row>
    <row r="9" ht="18" customHeight="1">
      <c r="A9" s="7" t="n"/>
      <c r="B9" s="63">
        <f>SUMIFS(rIng,rFecha,"&gt;="&amp;pIni,rFecha,"&lt;="&amp;pFin,rCtaE,critCta)</f>
        <v/>
      </c>
      <c r="E9" s="16" t="n"/>
      <c r="F9" s="64">
        <f>SUMIFS(rGasto,rFecha,"&gt;="&amp;pIni,rFecha,"&lt;="&amp;pFin,rCat,critCat,rCtaE,critCta)</f>
        <v/>
      </c>
      <c r="I9" s="16" t="n"/>
      <c r="J9" s="65">
        <f>SUMIFS(rIng,rFecha,"&gt;="&amp;pIni,rFecha,"&lt;="&amp;pFin,rCtaE,critCta)-SUMIFS(rGasto,rFecha,"&gt;="&amp;pIni,rFecha,"&lt;="&amp;pFin,rCat,critCat,rCtaE,critCta)</f>
        <v/>
      </c>
      <c r="M9" s="16" t="n"/>
      <c r="N9" s="66">
        <f>IF(nSaldosLiq=0,"Sin saldos",totDisponible)</f>
        <v/>
      </c>
      <c r="Q9" s="16" t="n"/>
      <c r="R9" s="7" t="n"/>
    </row>
    <row r="10" ht="18" customHeight="1">
      <c r="A10" s="7" t="n"/>
      <c r="B10" s="67" t="n"/>
      <c r="E10" s="16" t="n"/>
      <c r="F10" s="68" t="n"/>
      <c r="I10" s="16" t="n"/>
      <c r="J10" s="69" t="n"/>
      <c r="M10" s="16" t="n"/>
      <c r="N10" s="70" t="n"/>
      <c r="Q10" s="16" t="n"/>
      <c r="R10" s="7" t="n"/>
    </row>
    <row r="11" ht="24" customHeight="1">
      <c r="A11" s="7" t="n"/>
      <c r="B11" s="71">
        <f>"Promedio mensual (meses con ingresos): RD$ "&amp;FIXED(IFERROR(AVERAGEIF('Motor'!$AM$7:$AM$18,"&lt;&gt;0"),0),0)</f>
        <v/>
      </c>
      <c r="C11" s="19" t="n"/>
      <c r="D11" s="19" t="n"/>
      <c r="E11" s="20" t="n"/>
      <c r="F11" s="72">
        <f>"Bruto RD$ "&amp;FIXED(SUMIFS(rDOP,rTipoE,"Gasto",rFecha,"&gt;="&amp;pIni,rFecha,"&lt;="&amp;pFin,rCat,critCat,rCtaE,critCta),0)&amp;" − reembolsos RD$ "&amp;FIXED(SUMIFS(rDOP,rTipoE,"Reembolso",rFecha,"&gt;="&amp;pIni,rFecha,"&lt;="&amp;pFin,rCat,critCat,rCtaE,critCta),0)</f>
        <v/>
      </c>
      <c r="G11" s="19" t="n"/>
      <c r="H11" s="19" t="n"/>
      <c r="I11" s="20" t="n"/>
      <c r="J11" s="73">
        <f>IF(SUMIFS(rIng,rFecha,"&gt;="&amp;pIni,rFecha,"&lt;="&amp;pFin,rCtaE,critCta)&gt;0,"Tasa de ahorro: "&amp;FIXED((SUMIFS(rIng,rFecha,"&gt;="&amp;pIni,rFecha,"&lt;="&amp;pFin,rCtaE,critCta)-SUMIFS(rGasto,rFecha,"&gt;="&amp;pIni,rFecha,"&lt;="&amp;pFin,rCat,critCat,rCtaE,critCta))/SUMIFS(rIng,rFecha,"&gt;="&amp;pIni,rFecha,"&lt;="&amp;pFin,rCtaE,critCta)*100,1)&amp;"%   ·   sin incluir trading","Sin ingresos en el período")</f>
        <v/>
      </c>
      <c r="K11" s="19" t="n"/>
      <c r="L11" s="19" t="n"/>
      <c r="M11" s="20" t="n"/>
      <c r="N11" s="74">
        <f>IF(nSaldosLiq=0,"Registra saldos iniciales en Cuentas para calcularlo",nSaldosLiq&amp;" de "&amp;nLiqTotal&amp;" cuentas líquidas  ·  Deuda TC: RD$ "&amp;FIXED(-totDeudaTC,0)&amp;"  ·  Trading: RD$ "&amp;FIXED(totTrading,0))</f>
        <v/>
      </c>
      <c r="O11" s="19" t="n"/>
      <c r="P11" s="19" t="n"/>
      <c r="Q11" s="20" t="n"/>
      <c r="R11" s="7" t="n"/>
    </row>
    <row r="12">
      <c r="A12" s="7" t="n"/>
      <c r="B12" s="7" t="n"/>
      <c r="C12" s="7" t="n"/>
      <c r="D12" s="7" t="n"/>
      <c r="E12" s="7" t="n"/>
      <c r="F12" s="7" t="n"/>
      <c r="G12" s="7" t="n"/>
      <c r="H12" s="7" t="n"/>
      <c r="I12" s="7" t="n"/>
      <c r="J12" s="7" t="n"/>
      <c r="K12" s="7" t="n"/>
      <c r="L12" s="7" t="n"/>
      <c r="M12" s="7" t="n"/>
      <c r="N12" s="7" t="n"/>
      <c r="O12" s="7" t="n"/>
      <c r="P12" s="7" t="n"/>
      <c r="Q12" s="7" t="n"/>
      <c r="R12" s="7" t="n"/>
    </row>
    <row r="13" ht="18" customHeight="1">
      <c r="A13" s="7" t="n"/>
      <c r="B13" s="60" t="inlineStr">
        <is>
          <t>GASTO DE HOY</t>
        </is>
      </c>
      <c r="C13" s="12" t="n"/>
      <c r="D13" s="12" t="n"/>
      <c r="E13" s="13" t="n"/>
      <c r="F13" s="60" t="inlineStr">
        <is>
          <t>GASTO DE ESTA SEMANA</t>
        </is>
      </c>
      <c r="G13" s="12" t="n"/>
      <c r="H13" s="12" t="n"/>
      <c r="I13" s="13" t="n"/>
      <c r="J13" s="60" t="inlineStr">
        <is>
          <t>GASTO DE ESTE MES</t>
        </is>
      </c>
      <c r="K13" s="12" t="n"/>
      <c r="L13" s="12" t="n"/>
      <c r="M13" s="13" t="n"/>
      <c r="N13" s="61" t="inlineStr">
        <is>
          <t>PROMEDIO DIARIO DEL PERÍODO</t>
        </is>
      </c>
      <c r="O13" s="12" t="n"/>
      <c r="P13" s="12" t="n"/>
      <c r="Q13" s="13" t="n"/>
      <c r="R13" s="7" t="n"/>
    </row>
    <row r="14" ht="18" customHeight="1">
      <c r="A14" s="7" t="n"/>
      <c r="B14" s="75">
        <f>SUMIFS(rGasto,rFecha,diaHoy,rCat,critCat,rCtaE,critCta)</f>
        <v/>
      </c>
      <c r="E14" s="16" t="n"/>
      <c r="F14" s="75">
        <f>SUMIFS(rGasto,rFecha,"&gt;="&amp;semHoy,rFecha,"&lt;="&amp;semHoy+6,rCat,critCat,rCtaE,critCta)</f>
        <v/>
      </c>
      <c r="I14" s="16" t="n"/>
      <c r="J14" s="75">
        <f>SUMIFS(rGasto,rFecha,"&gt;="&amp;mesHoy,rFecha,"&lt;="&amp;EOMONTH(diaHoy,0),rCat,critCat,rCtaE,critCta)</f>
        <v/>
      </c>
      <c r="M14" s="16" t="n"/>
      <c r="N14" s="76">
        <f>SUMIFS(rGasto,rFecha,"&gt;="&amp;pIni,rFecha,"&lt;="&amp;pFin,rCat,critCat,rCtaE,critCta)/pDias</f>
        <v/>
      </c>
      <c r="Q14" s="16" t="n"/>
      <c r="R14" s="7" t="n"/>
    </row>
    <row r="15" ht="18" customHeight="1">
      <c r="A15" s="7" t="n"/>
      <c r="B15" s="68" t="n"/>
      <c r="E15" s="16" t="n"/>
      <c r="F15" s="68" t="n"/>
      <c r="I15" s="16" t="n"/>
      <c r="J15" s="68" t="n"/>
      <c r="M15" s="16" t="n"/>
      <c r="N15" s="69" t="n"/>
      <c r="Q15" s="16" t="n"/>
      <c r="R15" s="7" t="n"/>
    </row>
    <row r="16" ht="24" customHeight="1">
      <c r="A16" s="7" t="n"/>
      <c r="B16" s="72">
        <f>"Movimientos diaHoy: "&amp;COUNTIFS(rFecha,diaHoy,rTipoE,"Gasto",rCat,critCat,rCtaE,critCta)</f>
        <v/>
      </c>
      <c r="C16" s="19" t="n"/>
      <c r="D16" s="19" t="n"/>
      <c r="E16" s="20" t="n"/>
      <c r="F16" s="72">
        <f>"Lunes "&amp;RIGHT("0"&amp;DAY(semHoy),2)&amp;"/"&amp;RIGHT("0"&amp;MONTH(semHoy),2)&amp;"/"&amp;YEAR(semHoy)&amp;" a domingo"</f>
        <v/>
      </c>
      <c r="G16" s="19" t="n"/>
      <c r="H16" s="19" t="n"/>
      <c r="I16" s="20" t="n"/>
      <c r="J16" s="72">
        <f>"Mes de "&amp;CHOOSE(MONTH(diaHoy),"Ene","Feb","Mar","Abr","May","Jun","Jul","Ago","Sep","Oct","Nov","Dic")&amp;" "&amp;YEAR(diaHoy)</f>
        <v/>
      </c>
      <c r="K16" s="19" t="n"/>
      <c r="L16" s="19" t="n"/>
      <c r="M16" s="20" t="n"/>
      <c r="N16" s="73">
        <f>"Promedio semanal: RD$ "&amp;FIXED(SUMIFS(rGasto,rFecha,"&gt;="&amp;pIni,rFecha,"&lt;="&amp;pFin,rCat,critCat,rCtaE,critCta)/pDias*7,0)&amp;"  ·  mensual: RD$ "&amp;FIXED(SUMIFS(rGasto,rFecha,"&gt;="&amp;pIni,rFecha,"&lt;="&amp;pFin,rCat,critCat,rCtaE,critCta)/pDias*30.4,0)</f>
        <v/>
      </c>
      <c r="O16" s="19" t="n"/>
      <c r="P16" s="19" t="n"/>
      <c r="Q16" s="20" t="n"/>
      <c r="R16" s="7" t="n"/>
    </row>
    <row r="17">
      <c r="A17" s="7" t="n"/>
      <c r="B17" s="7" t="n"/>
      <c r="C17" s="7" t="n"/>
      <c r="D17" s="7" t="n"/>
      <c r="E17" s="7" t="n"/>
      <c r="F17" s="7" t="n"/>
      <c r="G17" s="7" t="n"/>
      <c r="H17" s="7" t="n"/>
      <c r="I17" s="7" t="n"/>
      <c r="J17" s="7" t="n"/>
      <c r="K17" s="7" t="n"/>
      <c r="L17" s="7" t="n"/>
      <c r="M17" s="7" t="n"/>
      <c r="N17" s="7" t="n"/>
      <c r="O17" s="7" t="n"/>
      <c r="P17" s="7" t="n"/>
      <c r="Q17" s="7" t="n"/>
      <c r="R17" s="7" t="n"/>
    </row>
    <row r="18" ht="24" customHeight="1">
      <c r="A18" s="7" t="n"/>
      <c r="B18" s="9" t="inlineStr">
        <is>
          <t>Tres lentes distintos: flujo de efectivo · gasto real · trading</t>
        </is>
      </c>
      <c r="C18" s="10" t="n"/>
      <c r="D18" s="10" t="n"/>
      <c r="E18" s="10" t="n"/>
      <c r="F18" s="10" t="n"/>
      <c r="G18" s="10" t="n"/>
      <c r="H18" s="10" t="n"/>
      <c r="I18" s="10" t="n"/>
      <c r="J18" s="10" t="n"/>
      <c r="K18" s="10" t="n"/>
      <c r="L18" s="10" t="n"/>
      <c r="M18" s="10" t="n"/>
      <c r="N18" s="10" t="n"/>
      <c r="O18" s="10" t="n"/>
      <c r="P18" s="10" t="n"/>
      <c r="Q18" s="10" t="n"/>
      <c r="R18" s="7" t="n"/>
    </row>
    <row r="19">
      <c r="A19" s="7" t="n"/>
      <c r="B19" s="77" t="inlineStr">
        <is>
          <t>FLUJO DE EFECTIVO (cuentas líquidas)</t>
        </is>
      </c>
      <c r="C19" s="12" t="n"/>
      <c r="D19" s="12" t="n"/>
      <c r="E19" s="12" t="n"/>
      <c r="F19" s="13" t="n"/>
      <c r="G19" s="78" t="inlineStr">
        <is>
          <t>GASTO REAL (consumo)</t>
        </is>
      </c>
      <c r="H19" s="12" t="n"/>
      <c r="I19" s="12" t="n"/>
      <c r="J19" s="12" t="n"/>
      <c r="K19" s="13" t="n"/>
      <c r="L19" s="79" t="inlineStr">
        <is>
          <t>TRADING (separado del consumo)</t>
        </is>
      </c>
      <c r="M19" s="12" t="n"/>
      <c r="N19" s="12" t="n"/>
      <c r="O19" s="12" t="n"/>
      <c r="P19" s="12" t="n"/>
      <c r="Q19" s="13" t="n"/>
      <c r="R19" s="7" t="n"/>
    </row>
    <row r="20" ht="17" customHeight="1">
      <c r="A20" s="7" t="n"/>
      <c r="B20" s="80" t="inlineStr">
        <is>
          <t>Entradas de dinero</t>
        </is>
      </c>
      <c r="E20" s="81">
        <f>SUMIFS(rFlujo,rFecha,"&gt;="&amp;pIni,rFecha,"&lt;="&amp;pFin,rFlujo,"&gt;0")</f>
        <v/>
      </c>
      <c r="F20" s="16" t="n"/>
      <c r="G20" s="80" t="inlineStr">
        <is>
          <t>Gastos fijos</t>
        </is>
      </c>
      <c r="J20" s="81">
        <f>SUMIFS(rGasto,rClasE,"Fijo",rFecha,"&gt;="&amp;pIni,rFecha,"&lt;="&amp;pFin,rCat,critCat,rCtaE,critCta)</f>
        <v/>
      </c>
      <c r="K20" s="16" t="n"/>
      <c r="L20" s="80" t="inlineStr">
        <is>
          <t>Depósitos netos a trading</t>
        </is>
      </c>
      <c r="P20" s="81">
        <f>SUMIFS(rDOP,rTipoE,"Transferencia",rTCD,"Cuenta de trading",rFecha,"&gt;="&amp;pIni,rFecha,"&lt;="&amp;pFin)-SUMIFS(rDOP,rTipoE,"Transferencia",rTCO,"Cuenta de trading",rFecha,"&gt;="&amp;pIni,rFecha,"&lt;="&amp;pFin)</f>
        <v/>
      </c>
      <c r="Q20" s="16" t="n"/>
      <c r="R20" s="7" t="n"/>
    </row>
    <row r="21" ht="17" customHeight="1">
      <c r="A21" s="7" t="n"/>
      <c r="B21" s="80" t="inlineStr">
        <is>
          <t>Salidas de dinero</t>
        </is>
      </c>
      <c r="E21" s="81">
        <f>-SUMIFS(rFlujo,rFecha,"&gt;="&amp;pIni,rFecha,"&lt;="&amp;pFin,rFlujo,"&lt;0")</f>
        <v/>
      </c>
      <c r="F21" s="16" t="n"/>
      <c r="G21" s="80" t="inlineStr">
        <is>
          <t>Gastos variables</t>
        </is>
      </c>
      <c r="J21" s="81">
        <f>SUMIFS(rGasto,rClasE,"Variable",rFecha,"&gt;="&amp;pIni,rFecha,"&lt;="&amp;pFin,rCat,critCat,rCtaE,critCta)</f>
        <v/>
      </c>
      <c r="K21" s="16" t="n"/>
      <c r="L21" s="80" t="inlineStr">
        <is>
          <t>Ganancia / pérdida realizada</t>
        </is>
      </c>
      <c r="P21" s="81">
        <f>SUMIFS(rTrad,rFecha,"&gt;="&amp;pIni,rFecha,"&lt;="&amp;pFin)</f>
        <v/>
      </c>
      <c r="Q21" s="16" t="n"/>
      <c r="R21" s="7" t="n"/>
    </row>
    <row r="22" ht="17" customHeight="1">
      <c r="A22" s="7" t="n"/>
      <c r="B22" s="82" t="inlineStr">
        <is>
          <t>Flujo neto</t>
        </is>
      </c>
      <c r="C22" s="83" t="n"/>
      <c r="D22" s="83" t="n"/>
      <c r="E22" s="84">
        <f>SUMIFS(rFlujo,rFecha,"&gt;="&amp;pIni,rFecha,"&lt;="&amp;pFin)</f>
        <v/>
      </c>
      <c r="F22" s="83" t="n"/>
      <c r="G22" s="82" t="inlineStr">
        <is>
          <t>Gasto real neto</t>
        </is>
      </c>
      <c r="H22" s="83" t="n"/>
      <c r="I22" s="83" t="n"/>
      <c r="J22" s="84">
        <f>SUMIFS(rGasto,rFecha,"&gt;="&amp;pIni,rFecha,"&lt;="&amp;pFin,rCat,critCat,rCtaE,critCta)</f>
        <v/>
      </c>
      <c r="K22" s="83" t="n"/>
      <c r="L22" s="80" t="inlineStr">
        <is>
          <t>Costos operativos (evaluación, plataformas…)</t>
        </is>
      </c>
      <c r="P22" s="81">
        <f>-SUMIFS(rGasto,rCat,catTrading,rFecha,"&gt;="&amp;pIni,rFecha,"&lt;="&amp;pFin)</f>
        <v/>
      </c>
      <c r="Q22" s="16" t="n"/>
      <c r="R22" s="7" t="n"/>
    </row>
    <row r="23" ht="17" customHeight="1">
      <c r="A23" s="7" t="n"/>
      <c r="B23" s="80" t="inlineStr">
        <is>
          <t>Pagos de tarjeta</t>
        </is>
      </c>
      <c r="E23" s="81">
        <f>SUMIFS(rDOP,rTipoE,"Pago tarjeta",rFecha,"&gt;="&amp;pIni,rFecha,"&lt;="&amp;pFin)</f>
        <v/>
      </c>
      <c r="F23" s="16" t="n"/>
      <c r="G23" s="80" t="inlineStr">
        <is>
          <t>…de ello, con tarjeta de crédito</t>
        </is>
      </c>
      <c r="J23" s="81">
        <f>SUMIFS(rGasto,rTCO,"Tarjeta de crédito",rFecha,"&gt;="&amp;pIni,rFecha,"&lt;="&amp;pFin,rCat,critCat,rCtaE,critCta)</f>
        <v/>
      </c>
      <c r="K23" s="16" t="n"/>
      <c r="L23" s="82" t="inlineStr">
        <is>
          <t>Resultado neto de trading</t>
        </is>
      </c>
      <c r="M23" s="83" t="n"/>
      <c r="N23" s="83" t="n"/>
      <c r="O23" s="83" t="n"/>
      <c r="P23" s="84">
        <f>SUMIFS(rTrad,rFecha,"&gt;="&amp;pIni,rFecha,"&lt;="&amp;pFin)-SUMIFS(rGasto,rCat,catTrading,rFecha,"&gt;="&amp;pIni,rFecha,"&lt;="&amp;pFin)</f>
        <v/>
      </c>
      <c r="Q23" s="83" t="n"/>
      <c r="R23" s="7" t="n"/>
    </row>
    <row r="24" ht="17" customHeight="1">
      <c r="A24" s="7" t="n"/>
      <c r="B24" s="85" t="n"/>
      <c r="C24" s="86" t="n"/>
      <c r="D24" s="86" t="n"/>
      <c r="E24" s="86" t="n"/>
      <c r="F24" s="87" t="n"/>
      <c r="G24" s="85" t="n"/>
      <c r="H24" s="86" t="n"/>
      <c r="I24" s="86" t="n"/>
      <c r="J24" s="86" t="n"/>
      <c r="K24" s="87" t="n"/>
      <c r="L24" s="85" t="n"/>
      <c r="M24" s="86" t="n"/>
      <c r="N24" s="86" t="n"/>
      <c r="O24" s="86" t="n"/>
      <c r="P24" s="86" t="n"/>
      <c r="Q24" s="87" t="n"/>
      <c r="R24" s="7" t="n"/>
    </row>
    <row r="25" ht="30" customHeight="1">
      <c r="A25" s="7" t="n"/>
      <c r="B25" s="88" t="inlineStr">
        <is>
          <t>Efectivo, bancos y billeteras. Incluye pagos de tarjeta y depósitos a trading; excluye compras a crédito aún no pagadas.</t>
        </is>
      </c>
      <c r="C25" s="19" t="n"/>
      <c r="D25" s="19" t="n"/>
      <c r="E25" s="19" t="n"/>
      <c r="F25" s="20" t="n"/>
      <c r="G25" s="88" t="inlineStr">
        <is>
          <t>Fecha de consumo, sin transferencias ni pagos de tarjeta. Reembolsos ya descontados.</t>
        </is>
      </c>
      <c r="H25" s="19" t="n"/>
      <c r="I25" s="19" t="n"/>
      <c r="J25" s="19" t="n"/>
      <c r="K25" s="20" t="n"/>
      <c r="L25" s="88" t="inlineStr">
        <is>
          <t>Los depósitos son movimientos de capital, no pérdidas. Los costos operativos también cuentan en el gasto real.</t>
        </is>
      </c>
      <c r="M25" s="19" t="n"/>
      <c r="N25" s="19" t="n"/>
      <c r="O25" s="19" t="n"/>
      <c r="P25" s="19" t="n"/>
      <c r="Q25" s="20" t="n"/>
      <c r="R25" s="7" t="n"/>
    </row>
    <row r="26">
      <c r="A26" s="7" t="n"/>
      <c r="B26" s="7" t="n"/>
      <c r="C26" s="7" t="n"/>
      <c r="D26" s="7" t="n"/>
      <c r="E26" s="7" t="n"/>
      <c r="F26" s="7" t="n"/>
      <c r="G26" s="7" t="n"/>
      <c r="H26" s="7" t="n"/>
      <c r="I26" s="7" t="n"/>
      <c r="J26" s="7" t="n"/>
      <c r="K26" s="7" t="n"/>
      <c r="L26" s="7" t="n"/>
      <c r="M26" s="7" t="n"/>
      <c r="N26" s="7" t="n"/>
      <c r="O26" s="7" t="n"/>
      <c r="P26" s="7" t="n"/>
      <c r="Q26" s="7" t="n"/>
      <c r="R26" s="7" t="n"/>
    </row>
    <row r="27" ht="26" customHeight="1">
      <c r="A27" s="7" t="n"/>
      <c r="B27" s="89">
        <f>budTexto</f>
        <v/>
      </c>
      <c r="C27" s="90" t="n"/>
      <c r="D27" s="90" t="n"/>
      <c r="E27" s="90" t="n"/>
      <c r="F27" s="90" t="n"/>
      <c r="G27" s="90" t="n"/>
      <c r="H27" s="90" t="n"/>
      <c r="I27" s="90" t="n"/>
      <c r="J27" s="90" t="n"/>
      <c r="K27" s="90" t="n"/>
      <c r="L27" s="90" t="n"/>
      <c r="M27" s="90" t="n"/>
      <c r="N27" s="90" t="n"/>
      <c r="O27" s="90" t="n"/>
      <c r="P27" s="90" t="n"/>
      <c r="Q27" s="91" t="n"/>
      <c r="R27" s="7" t="n"/>
    </row>
    <row r="28">
      <c r="A28" s="7" t="n"/>
      <c r="B28" s="7" t="n"/>
      <c r="C28" s="7" t="n"/>
      <c r="D28" s="7" t="n"/>
      <c r="E28" s="7" t="n"/>
      <c r="F28" s="7" t="n"/>
      <c r="G28" s="7" t="n"/>
      <c r="H28" s="7" t="n"/>
      <c r="I28" s="7" t="n"/>
      <c r="J28" s="7" t="n"/>
      <c r="K28" s="7" t="n"/>
      <c r="L28" s="7" t="n"/>
      <c r="M28" s="7" t="n"/>
      <c r="N28" s="7" t="n"/>
      <c r="O28" s="7" t="n"/>
      <c r="P28" s="7" t="n"/>
      <c r="Q28" s="7" t="n"/>
      <c r="R28" s="7" t="n"/>
    </row>
    <row r="29" ht="24" customHeight="1">
      <c r="A29" s="7" t="n"/>
      <c r="B29" s="9" t="inlineStr">
        <is>
          <t>¿En qué se va mi dinero?  ·  distribución por categoría</t>
        </is>
      </c>
      <c r="C29" s="10" t="n"/>
      <c r="D29" s="10" t="n"/>
      <c r="E29" s="10" t="n"/>
      <c r="F29" s="10" t="n"/>
      <c r="G29" s="10" t="n"/>
      <c r="H29" s="10" t="n"/>
      <c r="I29" s="10" t="n"/>
      <c r="J29" s="10" t="n"/>
      <c r="K29" s="10" t="n"/>
      <c r="L29" s="10" t="n"/>
      <c r="M29" s="10" t="n"/>
      <c r="N29" s="10" t="n"/>
      <c r="O29" s="10" t="n"/>
      <c r="P29" s="10" t="n"/>
      <c r="Q29" s="10" t="n"/>
      <c r="R29" s="7" t="n"/>
    </row>
    <row r="30">
      <c r="A30" s="7" t="n"/>
      <c r="B30" s="92" t="n"/>
      <c r="C30" s="93" t="n"/>
      <c r="D30" s="93" t="n"/>
      <c r="E30" s="93" t="n"/>
      <c r="F30" s="93" t="n"/>
      <c r="G30" s="93" t="n"/>
      <c r="H30" s="93" t="n"/>
      <c r="I30" s="93" t="n"/>
      <c r="J30" s="93" t="n"/>
      <c r="K30" s="93" t="n"/>
      <c r="L30" s="93" t="n"/>
      <c r="M30" s="93" t="n"/>
      <c r="N30" s="93" t="n"/>
      <c r="O30" s="93" t="n"/>
      <c r="P30" s="93" t="n"/>
      <c r="Q30" s="94" t="n"/>
      <c r="R30" s="7" t="n"/>
    </row>
    <row r="31">
      <c r="A31" s="7" t="n"/>
      <c r="B31" s="95" t="inlineStr">
        <is>
          <t>Categoría</t>
        </is>
      </c>
      <c r="E31" s="96" t="inlineStr">
        <is>
          <t>Monto</t>
        </is>
      </c>
      <c r="F31" s="96" t="inlineStr">
        <is>
          <t>%</t>
        </is>
      </c>
      <c r="G31" s="86" t="n"/>
      <c r="H31" s="86" t="n"/>
      <c r="I31" s="86" t="n"/>
      <c r="J31" s="86" t="n"/>
      <c r="K31" s="86" t="n"/>
      <c r="L31" s="86" t="n"/>
      <c r="M31" s="86" t="n"/>
      <c r="N31" s="86" t="n"/>
      <c r="O31" s="86" t="n"/>
      <c r="P31" s="86" t="n"/>
      <c r="Q31" s="87" t="n"/>
      <c r="R31" s="7" t="n"/>
    </row>
    <row r="32">
      <c r="A32" s="7" t="n"/>
      <c r="B32" s="97">
        <f>'Motor'!BX7</f>
        <v/>
      </c>
      <c r="E32" s="98">
        <f>'Motor'!BY7</f>
        <v/>
      </c>
      <c r="F32" s="99">
        <f>IF(OR(E32="",SUMIFS(rGasto,rFecha,"&gt;="&amp;pIni,rFecha,"&lt;="&amp;pFin,rCtaE,critCta)=0),"",E32/SUMIFS(rGasto,rFecha,"&gt;="&amp;pIni,rFecha,"&lt;="&amp;pFin,rCtaE,critCta))</f>
        <v/>
      </c>
      <c r="G32" s="86" t="n"/>
      <c r="H32" s="86" t="n"/>
      <c r="I32" s="86" t="n"/>
      <c r="J32" s="86" t="n"/>
      <c r="K32" s="86" t="n"/>
      <c r="L32" s="86" t="n"/>
      <c r="M32" s="86" t="n"/>
      <c r="N32" s="86" t="n"/>
      <c r="O32" s="86" t="n"/>
      <c r="P32" s="86" t="n"/>
      <c r="Q32" s="87" t="n"/>
      <c r="R32" s="7" t="n"/>
    </row>
    <row r="33">
      <c r="A33" s="7" t="n"/>
      <c r="B33" s="97">
        <f>'Motor'!BX8</f>
        <v/>
      </c>
      <c r="E33" s="98">
        <f>'Motor'!BY8</f>
        <v/>
      </c>
      <c r="F33" s="99">
        <f>IF(OR(E33="",SUMIFS(rGasto,rFecha,"&gt;="&amp;pIni,rFecha,"&lt;="&amp;pFin,rCtaE,critCta)=0),"",E33/SUMIFS(rGasto,rFecha,"&gt;="&amp;pIni,rFecha,"&lt;="&amp;pFin,rCtaE,critCta))</f>
        <v/>
      </c>
      <c r="G33" s="86" t="n"/>
      <c r="H33" s="86" t="n"/>
      <c r="I33" s="86" t="n"/>
      <c r="J33" s="86" t="n"/>
      <c r="K33" s="86" t="n"/>
      <c r="L33" s="86" t="n"/>
      <c r="M33" s="86" t="n"/>
      <c r="N33" s="86" t="n"/>
      <c r="O33" s="86" t="n"/>
      <c r="P33" s="86" t="n"/>
      <c r="Q33" s="87" t="n"/>
      <c r="R33" s="7" t="n"/>
    </row>
    <row r="34">
      <c r="A34" s="7" t="n"/>
      <c r="B34" s="97">
        <f>'Motor'!BX9</f>
        <v/>
      </c>
      <c r="E34" s="98">
        <f>'Motor'!BY9</f>
        <v/>
      </c>
      <c r="F34" s="99">
        <f>IF(OR(E34="",SUMIFS(rGasto,rFecha,"&gt;="&amp;pIni,rFecha,"&lt;="&amp;pFin,rCtaE,critCta)=0),"",E34/SUMIFS(rGasto,rFecha,"&gt;="&amp;pIni,rFecha,"&lt;="&amp;pFin,rCtaE,critCta))</f>
        <v/>
      </c>
      <c r="G34" s="86" t="n"/>
      <c r="H34" s="86" t="n"/>
      <c r="I34" s="86" t="n"/>
      <c r="J34" s="86" t="n"/>
      <c r="K34" s="86" t="n"/>
      <c r="L34" s="86" t="n"/>
      <c r="M34" s="86" t="n"/>
      <c r="N34" s="86" t="n"/>
      <c r="O34" s="86" t="n"/>
      <c r="P34" s="86" t="n"/>
      <c r="Q34" s="87" t="n"/>
      <c r="R34" s="7" t="n"/>
    </row>
    <row r="35">
      <c r="A35" s="7" t="n"/>
      <c r="B35" s="97">
        <f>'Motor'!BX10</f>
        <v/>
      </c>
      <c r="E35" s="98">
        <f>'Motor'!BY10</f>
        <v/>
      </c>
      <c r="F35" s="99">
        <f>IF(OR(E35="",SUMIFS(rGasto,rFecha,"&gt;="&amp;pIni,rFecha,"&lt;="&amp;pFin,rCtaE,critCta)=0),"",E35/SUMIFS(rGasto,rFecha,"&gt;="&amp;pIni,rFecha,"&lt;="&amp;pFin,rCtaE,critCta))</f>
        <v/>
      </c>
      <c r="G35" s="86" t="n"/>
      <c r="H35" s="86" t="n"/>
      <c r="I35" s="86" t="n"/>
      <c r="J35" s="86" t="n"/>
      <c r="K35" s="86" t="n"/>
      <c r="L35" s="86" t="n"/>
      <c r="M35" s="86" t="n"/>
      <c r="N35" s="86" t="n"/>
      <c r="O35" s="86" t="n"/>
      <c r="P35" s="86" t="n"/>
      <c r="Q35" s="87" t="n"/>
      <c r="R35" s="7" t="n"/>
    </row>
    <row r="36">
      <c r="A36" s="7" t="n"/>
      <c r="B36" s="97">
        <f>'Motor'!BX11</f>
        <v/>
      </c>
      <c r="E36" s="98">
        <f>'Motor'!BY11</f>
        <v/>
      </c>
      <c r="F36" s="99">
        <f>IF(OR(E36="",SUMIFS(rGasto,rFecha,"&gt;="&amp;pIni,rFecha,"&lt;="&amp;pFin,rCtaE,critCta)=0),"",E36/SUMIFS(rGasto,rFecha,"&gt;="&amp;pIni,rFecha,"&lt;="&amp;pFin,rCtaE,critCta))</f>
        <v/>
      </c>
      <c r="G36" s="86" t="n"/>
      <c r="H36" s="86" t="n"/>
      <c r="I36" s="86" t="n"/>
      <c r="J36" s="86" t="n"/>
      <c r="K36" s="86" t="n"/>
      <c r="L36" s="86" t="n"/>
      <c r="M36" s="86" t="n"/>
      <c r="N36" s="86" t="n"/>
      <c r="O36" s="86" t="n"/>
      <c r="P36" s="86" t="n"/>
      <c r="Q36" s="87" t="n"/>
      <c r="R36" s="7" t="n"/>
    </row>
    <row r="37">
      <c r="A37" s="7" t="n"/>
      <c r="B37" s="97">
        <f>'Motor'!BX12</f>
        <v/>
      </c>
      <c r="E37" s="98">
        <f>'Motor'!BY12</f>
        <v/>
      </c>
      <c r="F37" s="99">
        <f>IF(OR(E37="",SUMIFS(rGasto,rFecha,"&gt;="&amp;pIni,rFecha,"&lt;="&amp;pFin,rCtaE,critCta)=0),"",E37/SUMIFS(rGasto,rFecha,"&gt;="&amp;pIni,rFecha,"&lt;="&amp;pFin,rCtaE,critCta))</f>
        <v/>
      </c>
      <c r="G37" s="86" t="n"/>
      <c r="H37" s="86" t="n"/>
      <c r="I37" s="86" t="n"/>
      <c r="J37" s="86" t="n"/>
      <c r="K37" s="86" t="n"/>
      <c r="L37" s="86" t="n"/>
      <c r="M37" s="86" t="n"/>
      <c r="N37" s="86" t="n"/>
      <c r="O37" s="86" t="n"/>
      <c r="P37" s="86" t="n"/>
      <c r="Q37" s="87" t="n"/>
      <c r="R37" s="7" t="n"/>
    </row>
    <row r="38">
      <c r="A38" s="7" t="n"/>
      <c r="B38" s="97">
        <f>'Motor'!BX13</f>
        <v/>
      </c>
      <c r="E38" s="98">
        <f>'Motor'!BY13</f>
        <v/>
      </c>
      <c r="F38" s="99">
        <f>IF(OR(E38="",SUMIFS(rGasto,rFecha,"&gt;="&amp;pIni,rFecha,"&lt;="&amp;pFin,rCtaE,critCta)=0),"",E38/SUMIFS(rGasto,rFecha,"&gt;="&amp;pIni,rFecha,"&lt;="&amp;pFin,rCtaE,critCta))</f>
        <v/>
      </c>
      <c r="G38" s="86" t="n"/>
      <c r="H38" s="86" t="n"/>
      <c r="I38" s="86" t="n"/>
      <c r="J38" s="86" t="n"/>
      <c r="K38" s="86" t="n"/>
      <c r="L38" s="86" t="n"/>
      <c r="M38" s="86" t="n"/>
      <c r="N38" s="86" t="n"/>
      <c r="O38" s="86" t="n"/>
      <c r="P38" s="86" t="n"/>
      <c r="Q38" s="87" t="n"/>
      <c r="R38" s="7" t="n"/>
    </row>
    <row r="39">
      <c r="A39" s="7" t="n"/>
      <c r="B39" s="97">
        <f>'Motor'!BX14</f>
        <v/>
      </c>
      <c r="E39" s="98">
        <f>'Motor'!BY14</f>
        <v/>
      </c>
      <c r="F39" s="99">
        <f>IF(OR(E39="",SUMIFS(rGasto,rFecha,"&gt;="&amp;pIni,rFecha,"&lt;="&amp;pFin,rCtaE,critCta)=0),"",E39/SUMIFS(rGasto,rFecha,"&gt;="&amp;pIni,rFecha,"&lt;="&amp;pFin,rCtaE,critCta))</f>
        <v/>
      </c>
      <c r="G39" s="86" t="n"/>
      <c r="H39" s="86" t="n"/>
      <c r="I39" s="86" t="n"/>
      <c r="J39" s="86" t="n"/>
      <c r="K39" s="86" t="n"/>
      <c r="L39" s="86" t="n"/>
      <c r="M39" s="86" t="n"/>
      <c r="N39" s="86" t="n"/>
      <c r="O39" s="86" t="n"/>
      <c r="P39" s="86" t="n"/>
      <c r="Q39" s="87" t="n"/>
      <c r="R39" s="7" t="n"/>
    </row>
    <row r="40">
      <c r="A40" s="7" t="n"/>
      <c r="B40" s="97">
        <f>'Motor'!BX15</f>
        <v/>
      </c>
      <c r="E40" s="98">
        <f>'Motor'!BY15</f>
        <v/>
      </c>
      <c r="F40" s="99">
        <f>IF(OR(E40="",SUMIFS(rGasto,rFecha,"&gt;="&amp;pIni,rFecha,"&lt;="&amp;pFin,rCtaE,critCta)=0),"",E40/SUMIFS(rGasto,rFecha,"&gt;="&amp;pIni,rFecha,"&lt;="&amp;pFin,rCtaE,critCta))</f>
        <v/>
      </c>
      <c r="G40" s="86" t="n"/>
      <c r="H40" s="86" t="n"/>
      <c r="I40" s="86" t="n"/>
      <c r="J40" s="86" t="n"/>
      <c r="K40" s="86" t="n"/>
      <c r="L40" s="86" t="n"/>
      <c r="M40" s="86" t="n"/>
      <c r="N40" s="86" t="n"/>
      <c r="O40" s="86" t="n"/>
      <c r="P40" s="86" t="n"/>
      <c r="Q40" s="87" t="n"/>
      <c r="R40" s="7" t="n"/>
    </row>
    <row r="41">
      <c r="A41" s="7" t="n"/>
      <c r="B41" s="97">
        <f>'Motor'!BX16</f>
        <v/>
      </c>
      <c r="E41" s="98">
        <f>'Motor'!BY16</f>
        <v/>
      </c>
      <c r="F41" s="99">
        <f>IF(OR(E41="",SUMIFS(rGasto,rFecha,"&gt;="&amp;pIni,rFecha,"&lt;="&amp;pFin,rCtaE,critCta)=0),"",E41/SUMIFS(rGasto,rFecha,"&gt;="&amp;pIni,rFecha,"&lt;="&amp;pFin,rCtaE,critCta))</f>
        <v/>
      </c>
      <c r="G41" s="86" t="n"/>
      <c r="H41" s="86" t="n"/>
      <c r="I41" s="86" t="n"/>
      <c r="J41" s="86" t="n"/>
      <c r="K41" s="86" t="n"/>
      <c r="L41" s="86" t="n"/>
      <c r="M41" s="86" t="n"/>
      <c r="N41" s="86" t="n"/>
      <c r="O41" s="86" t="n"/>
      <c r="P41" s="86" t="n"/>
      <c r="Q41" s="87" t="n"/>
      <c r="R41" s="7" t="n"/>
    </row>
    <row r="42">
      <c r="A42" s="7" t="n"/>
      <c r="B42" s="97">
        <f>'Motor'!BX17</f>
        <v/>
      </c>
      <c r="E42" s="98">
        <f>'Motor'!BY17</f>
        <v/>
      </c>
      <c r="F42" s="99">
        <f>IF(OR(E42="",SUMIFS(rGasto,rFecha,"&gt;="&amp;pIni,rFecha,"&lt;="&amp;pFin,rCtaE,critCta)=0),"",E42/SUMIFS(rGasto,rFecha,"&gt;="&amp;pIni,rFecha,"&lt;="&amp;pFin,rCtaE,critCta))</f>
        <v/>
      </c>
      <c r="G42" s="86" t="n"/>
      <c r="H42" s="86" t="n"/>
      <c r="I42" s="86" t="n"/>
      <c r="J42" s="86" t="n"/>
      <c r="K42" s="86" t="n"/>
      <c r="L42" s="86" t="n"/>
      <c r="M42" s="86" t="n"/>
      <c r="N42" s="86" t="n"/>
      <c r="O42" s="86" t="n"/>
      <c r="P42" s="86" t="n"/>
      <c r="Q42" s="87" t="n"/>
      <c r="R42" s="7" t="n"/>
    </row>
    <row r="43">
      <c r="A43" s="7" t="n"/>
      <c r="B43" s="97">
        <f>'Motor'!BX18</f>
        <v/>
      </c>
      <c r="E43" s="98">
        <f>'Motor'!BY18</f>
        <v/>
      </c>
      <c r="F43" s="99">
        <f>IF(OR(E43="",SUMIFS(rGasto,rFecha,"&gt;="&amp;pIni,rFecha,"&lt;="&amp;pFin,rCtaE,critCta)=0),"",E43/SUMIFS(rGasto,rFecha,"&gt;="&amp;pIni,rFecha,"&lt;="&amp;pFin,rCtaE,critCta))</f>
        <v/>
      </c>
      <c r="G43" s="86" t="n"/>
      <c r="H43" s="86" t="n"/>
      <c r="I43" s="86" t="n"/>
      <c r="J43" s="86" t="n"/>
      <c r="K43" s="86" t="n"/>
      <c r="L43" s="86" t="n"/>
      <c r="M43" s="86" t="n"/>
      <c r="N43" s="86" t="n"/>
      <c r="O43" s="86" t="n"/>
      <c r="P43" s="86" t="n"/>
      <c r="Q43" s="87" t="n"/>
      <c r="R43" s="7" t="n"/>
    </row>
    <row r="44">
      <c r="A44" s="7" t="n"/>
      <c r="B44" s="100" t="inlineStr">
        <is>
          <t>El gráfico ignora el filtro de categoría para mostrar el reparto completo.</t>
        </is>
      </c>
      <c r="C44" s="86" t="n"/>
      <c r="D44" s="86" t="n"/>
      <c r="E44" s="86" t="n"/>
      <c r="F44" s="86" t="n"/>
      <c r="G44" s="86" t="n"/>
      <c r="H44" s="86" t="n"/>
      <c r="I44" s="86" t="n"/>
      <c r="J44" s="86" t="n"/>
      <c r="K44" s="86" t="n"/>
      <c r="L44" s="86" t="n"/>
      <c r="M44" s="86" t="n"/>
      <c r="N44" s="86" t="n"/>
      <c r="O44" s="86" t="n"/>
      <c r="P44" s="86" t="n"/>
      <c r="Q44" s="87" t="n"/>
      <c r="R44" s="7" t="n"/>
    </row>
    <row r="45">
      <c r="A45" s="7" t="n"/>
      <c r="B45" s="101" t="n"/>
      <c r="C45" s="102" t="n"/>
      <c r="D45" s="102" t="n"/>
      <c r="E45" s="102" t="n"/>
      <c r="F45" s="102" t="n"/>
      <c r="G45" s="102" t="n"/>
      <c r="H45" s="102" t="n"/>
      <c r="I45" s="102" t="n"/>
      <c r="J45" s="102" t="n"/>
      <c r="K45" s="102" t="n"/>
      <c r="L45" s="102" t="n"/>
      <c r="M45" s="102" t="n"/>
      <c r="N45" s="102" t="n"/>
      <c r="O45" s="102" t="n"/>
      <c r="P45" s="102" t="n"/>
      <c r="Q45" s="103" t="n"/>
      <c r="R45" s="7" t="n"/>
    </row>
    <row r="46">
      <c r="A46" s="7" t="n"/>
      <c r="B46" s="7" t="n"/>
      <c r="C46" s="7" t="n"/>
      <c r="D46" s="7" t="n"/>
      <c r="E46" s="7" t="n"/>
      <c r="F46" s="7" t="n"/>
      <c r="G46" s="7" t="n"/>
      <c r="H46" s="7" t="n"/>
      <c r="I46" s="7" t="n"/>
      <c r="J46" s="7" t="n"/>
      <c r="K46" s="7" t="n"/>
      <c r="L46" s="7" t="n"/>
      <c r="M46" s="7" t="n"/>
      <c r="N46" s="7" t="n"/>
      <c r="O46" s="7" t="n"/>
      <c r="P46" s="7" t="n"/>
      <c r="Q46" s="7" t="n"/>
      <c r="R46" s="7" t="n"/>
    </row>
    <row r="47" ht="24" customHeight="1">
      <c r="A47" s="7" t="n"/>
      <c r="B47" s="9" t="inlineStr">
        <is>
          <t>Evolución  ·  ingresos vs gasto (12 meses) y gasto semanal (12 semanas)</t>
        </is>
      </c>
      <c r="C47" s="10" t="n"/>
      <c r="D47" s="10" t="n"/>
      <c r="E47" s="10" t="n"/>
      <c r="F47" s="10" t="n"/>
      <c r="G47" s="10" t="n"/>
      <c r="H47" s="10" t="n"/>
      <c r="I47" s="10" t="n"/>
      <c r="J47" s="10" t="n"/>
      <c r="K47" s="10" t="n"/>
      <c r="L47" s="10" t="n"/>
      <c r="M47" s="10" t="n"/>
      <c r="N47" s="10" t="n"/>
      <c r="O47" s="10" t="n"/>
      <c r="P47" s="10" t="n"/>
      <c r="Q47" s="10" t="n"/>
      <c r="R47" s="7" t="n"/>
    </row>
    <row r="48">
      <c r="A48" s="7" t="n"/>
      <c r="B48" s="92" t="n"/>
      <c r="C48" s="93" t="n"/>
      <c r="D48" s="93" t="n"/>
      <c r="E48" s="93" t="n"/>
      <c r="F48" s="93" t="n"/>
      <c r="G48" s="93" t="n"/>
      <c r="H48" s="93" t="n"/>
      <c r="I48" s="94" t="n"/>
      <c r="J48" s="92" t="n"/>
      <c r="K48" s="93" t="n"/>
      <c r="L48" s="93" t="n"/>
      <c r="M48" s="93" t="n"/>
      <c r="N48" s="93" t="n"/>
      <c r="O48" s="93" t="n"/>
      <c r="P48" s="93" t="n"/>
      <c r="Q48" s="94" t="n"/>
      <c r="R48" s="7" t="n"/>
    </row>
    <row r="49">
      <c r="A49" s="7" t="n"/>
      <c r="B49" s="85" t="n"/>
      <c r="C49" s="86" t="n"/>
      <c r="D49" s="86" t="n"/>
      <c r="E49" s="86" t="n"/>
      <c r="F49" s="86" t="n"/>
      <c r="G49" s="86" t="n"/>
      <c r="H49" s="86" t="n"/>
      <c r="I49" s="87" t="n"/>
      <c r="J49" s="85" t="n"/>
      <c r="K49" s="86" t="n"/>
      <c r="L49" s="86" t="n"/>
      <c r="M49" s="86" t="n"/>
      <c r="N49" s="86" t="n"/>
      <c r="O49" s="86" t="n"/>
      <c r="P49" s="86" t="n"/>
      <c r="Q49" s="87" t="n"/>
      <c r="R49" s="7" t="n"/>
    </row>
    <row r="50">
      <c r="A50" s="7" t="n"/>
      <c r="B50" s="85" t="n"/>
      <c r="C50" s="86" t="n"/>
      <c r="D50" s="86" t="n"/>
      <c r="E50" s="86" t="n"/>
      <c r="F50" s="86" t="n"/>
      <c r="G50" s="86" t="n"/>
      <c r="H50" s="86" t="n"/>
      <c r="I50" s="87" t="n"/>
      <c r="J50" s="85" t="n"/>
      <c r="K50" s="86" t="n"/>
      <c r="L50" s="86" t="n"/>
      <c r="M50" s="86" t="n"/>
      <c r="N50" s="86" t="n"/>
      <c r="O50" s="86" t="n"/>
      <c r="P50" s="86" t="n"/>
      <c r="Q50" s="87" t="n"/>
      <c r="R50" s="7" t="n"/>
    </row>
    <row r="51">
      <c r="A51" s="7" t="n"/>
      <c r="B51" s="85" t="n"/>
      <c r="C51" s="86" t="n"/>
      <c r="D51" s="86" t="n"/>
      <c r="E51" s="86" t="n"/>
      <c r="F51" s="86" t="n"/>
      <c r="G51" s="86" t="n"/>
      <c r="H51" s="86" t="n"/>
      <c r="I51" s="87" t="n"/>
      <c r="J51" s="85" t="n"/>
      <c r="K51" s="86" t="n"/>
      <c r="L51" s="86" t="n"/>
      <c r="M51" s="86" t="n"/>
      <c r="N51" s="86" t="n"/>
      <c r="O51" s="86" t="n"/>
      <c r="P51" s="86" t="n"/>
      <c r="Q51" s="87" t="n"/>
      <c r="R51" s="7" t="n"/>
    </row>
    <row r="52">
      <c r="A52" s="7" t="n"/>
      <c r="B52" s="85" t="n"/>
      <c r="C52" s="86" t="n"/>
      <c r="D52" s="86" t="n"/>
      <c r="E52" s="86" t="n"/>
      <c r="F52" s="86" t="n"/>
      <c r="G52" s="86" t="n"/>
      <c r="H52" s="86" t="n"/>
      <c r="I52" s="87" t="n"/>
      <c r="J52" s="85" t="n"/>
      <c r="K52" s="86" t="n"/>
      <c r="L52" s="86" t="n"/>
      <c r="M52" s="86" t="n"/>
      <c r="N52" s="86" t="n"/>
      <c r="O52" s="86" t="n"/>
      <c r="P52" s="86" t="n"/>
      <c r="Q52" s="87" t="n"/>
      <c r="R52" s="7" t="n"/>
    </row>
    <row r="53">
      <c r="A53" s="7" t="n"/>
      <c r="B53" s="85" t="n"/>
      <c r="C53" s="86" t="n"/>
      <c r="D53" s="86" t="n"/>
      <c r="E53" s="86" t="n"/>
      <c r="F53" s="86" t="n"/>
      <c r="G53" s="86" t="n"/>
      <c r="H53" s="86" t="n"/>
      <c r="I53" s="87" t="n"/>
      <c r="J53" s="85" t="n"/>
      <c r="K53" s="86" t="n"/>
      <c r="L53" s="86" t="n"/>
      <c r="M53" s="86" t="n"/>
      <c r="N53" s="86" t="n"/>
      <c r="O53" s="86" t="n"/>
      <c r="P53" s="86" t="n"/>
      <c r="Q53" s="87" t="n"/>
      <c r="R53" s="7" t="n"/>
    </row>
    <row r="54">
      <c r="A54" s="7" t="n"/>
      <c r="B54" s="85" t="n"/>
      <c r="C54" s="86" t="n"/>
      <c r="D54" s="86" t="n"/>
      <c r="E54" s="86" t="n"/>
      <c r="F54" s="86" t="n"/>
      <c r="G54" s="86" t="n"/>
      <c r="H54" s="86" t="n"/>
      <c r="I54" s="87" t="n"/>
      <c r="J54" s="85" t="n"/>
      <c r="K54" s="86" t="n"/>
      <c r="L54" s="86" t="n"/>
      <c r="M54" s="86" t="n"/>
      <c r="N54" s="86" t="n"/>
      <c r="O54" s="86" t="n"/>
      <c r="P54" s="86" t="n"/>
      <c r="Q54" s="87" t="n"/>
      <c r="R54" s="7" t="n"/>
    </row>
    <row r="55">
      <c r="A55" s="7" t="n"/>
      <c r="B55" s="85" t="n"/>
      <c r="C55" s="86" t="n"/>
      <c r="D55" s="86" t="n"/>
      <c r="E55" s="86" t="n"/>
      <c r="F55" s="86" t="n"/>
      <c r="G55" s="86" t="n"/>
      <c r="H55" s="86" t="n"/>
      <c r="I55" s="87" t="n"/>
      <c r="J55" s="85" t="n"/>
      <c r="K55" s="86" t="n"/>
      <c r="L55" s="86" t="n"/>
      <c r="M55" s="86" t="n"/>
      <c r="N55" s="86" t="n"/>
      <c r="O55" s="86" t="n"/>
      <c r="P55" s="86" t="n"/>
      <c r="Q55" s="87" t="n"/>
      <c r="R55" s="7" t="n"/>
    </row>
    <row r="56">
      <c r="A56" s="7" t="n"/>
      <c r="B56" s="85" t="n"/>
      <c r="C56" s="86" t="n"/>
      <c r="D56" s="86" t="n"/>
      <c r="E56" s="86" t="n"/>
      <c r="F56" s="86" t="n"/>
      <c r="G56" s="86" t="n"/>
      <c r="H56" s="86" t="n"/>
      <c r="I56" s="87" t="n"/>
      <c r="J56" s="85" t="n"/>
      <c r="K56" s="86" t="n"/>
      <c r="L56" s="86" t="n"/>
      <c r="M56" s="86" t="n"/>
      <c r="N56" s="86" t="n"/>
      <c r="O56" s="86" t="n"/>
      <c r="P56" s="86" t="n"/>
      <c r="Q56" s="87" t="n"/>
      <c r="R56" s="7" t="n"/>
    </row>
    <row r="57">
      <c r="A57" s="7" t="n"/>
      <c r="B57" s="85" t="n"/>
      <c r="C57" s="86" t="n"/>
      <c r="D57" s="86" t="n"/>
      <c r="E57" s="86" t="n"/>
      <c r="F57" s="86" t="n"/>
      <c r="G57" s="86" t="n"/>
      <c r="H57" s="86" t="n"/>
      <c r="I57" s="87" t="n"/>
      <c r="J57" s="85" t="n"/>
      <c r="K57" s="86" t="n"/>
      <c r="L57" s="86" t="n"/>
      <c r="M57" s="86" t="n"/>
      <c r="N57" s="86" t="n"/>
      <c r="O57" s="86" t="n"/>
      <c r="P57" s="86" t="n"/>
      <c r="Q57" s="87" t="n"/>
      <c r="R57" s="7" t="n"/>
    </row>
    <row r="58">
      <c r="A58" s="7" t="n"/>
      <c r="B58" s="85" t="n"/>
      <c r="C58" s="86" t="n"/>
      <c r="D58" s="86" t="n"/>
      <c r="E58" s="86" t="n"/>
      <c r="F58" s="86" t="n"/>
      <c r="G58" s="86" t="n"/>
      <c r="H58" s="86" t="n"/>
      <c r="I58" s="87" t="n"/>
      <c r="J58" s="85" t="n"/>
      <c r="K58" s="86" t="n"/>
      <c r="L58" s="86" t="n"/>
      <c r="M58" s="86" t="n"/>
      <c r="N58" s="86" t="n"/>
      <c r="O58" s="86" t="n"/>
      <c r="P58" s="86" t="n"/>
      <c r="Q58" s="87" t="n"/>
      <c r="R58" s="7" t="n"/>
    </row>
    <row r="59">
      <c r="A59" s="7" t="n"/>
      <c r="B59" s="85" t="n"/>
      <c r="C59" s="86" t="n"/>
      <c r="D59" s="86" t="n"/>
      <c r="E59" s="86" t="n"/>
      <c r="F59" s="86" t="n"/>
      <c r="G59" s="86" t="n"/>
      <c r="H59" s="86" t="n"/>
      <c r="I59" s="87" t="n"/>
      <c r="J59" s="85" t="n"/>
      <c r="K59" s="86" t="n"/>
      <c r="L59" s="86" t="n"/>
      <c r="M59" s="86" t="n"/>
      <c r="N59" s="86" t="n"/>
      <c r="O59" s="86" t="n"/>
      <c r="P59" s="86" t="n"/>
      <c r="Q59" s="87" t="n"/>
      <c r="R59" s="7" t="n"/>
    </row>
    <row r="60">
      <c r="A60" s="7" t="n"/>
      <c r="B60" s="85" t="n"/>
      <c r="C60" s="86" t="n"/>
      <c r="D60" s="86" t="n"/>
      <c r="E60" s="86" t="n"/>
      <c r="F60" s="86" t="n"/>
      <c r="G60" s="86" t="n"/>
      <c r="H60" s="86" t="n"/>
      <c r="I60" s="87" t="n"/>
      <c r="J60" s="85" t="n"/>
      <c r="K60" s="86" t="n"/>
      <c r="L60" s="86" t="n"/>
      <c r="M60" s="86" t="n"/>
      <c r="N60" s="86" t="n"/>
      <c r="O60" s="86" t="n"/>
      <c r="P60" s="86" t="n"/>
      <c r="Q60" s="87" t="n"/>
      <c r="R60" s="7" t="n"/>
    </row>
    <row r="61">
      <c r="A61" s="7" t="n"/>
      <c r="B61" s="85" t="n"/>
      <c r="C61" s="86" t="n"/>
      <c r="D61" s="86" t="n"/>
      <c r="E61" s="86" t="n"/>
      <c r="F61" s="86" t="n"/>
      <c r="G61" s="86" t="n"/>
      <c r="H61" s="86" t="n"/>
      <c r="I61" s="87" t="n"/>
      <c r="J61" s="85" t="n"/>
      <c r="K61" s="86" t="n"/>
      <c r="L61" s="86" t="n"/>
      <c r="M61" s="86" t="n"/>
      <c r="N61" s="86" t="n"/>
      <c r="O61" s="86" t="n"/>
      <c r="P61" s="86" t="n"/>
      <c r="Q61" s="87" t="n"/>
      <c r="R61" s="7" t="n"/>
    </row>
    <row r="62">
      <c r="A62" s="7" t="n"/>
      <c r="B62" s="85" t="n"/>
      <c r="C62" s="86" t="n"/>
      <c r="D62" s="86" t="n"/>
      <c r="E62" s="86" t="n"/>
      <c r="F62" s="86" t="n"/>
      <c r="G62" s="86" t="n"/>
      <c r="H62" s="86" t="n"/>
      <c r="I62" s="87" t="n"/>
      <c r="J62" s="85" t="n"/>
      <c r="K62" s="86" t="n"/>
      <c r="L62" s="86" t="n"/>
      <c r="M62" s="86" t="n"/>
      <c r="N62" s="86" t="n"/>
      <c r="O62" s="86" t="n"/>
      <c r="P62" s="86" t="n"/>
      <c r="Q62" s="87" t="n"/>
      <c r="R62" s="7" t="n"/>
    </row>
    <row r="63">
      <c r="A63" s="7" t="n"/>
      <c r="B63" s="101" t="n"/>
      <c r="C63" s="102" t="n"/>
      <c r="D63" s="102" t="n"/>
      <c r="E63" s="102" t="n"/>
      <c r="F63" s="102" t="n"/>
      <c r="G63" s="102" t="n"/>
      <c r="H63" s="102" t="n"/>
      <c r="I63" s="103" t="n"/>
      <c r="J63" s="101" t="n"/>
      <c r="K63" s="102" t="n"/>
      <c r="L63" s="102" t="n"/>
      <c r="M63" s="102" t="n"/>
      <c r="N63" s="102" t="n"/>
      <c r="O63" s="102" t="n"/>
      <c r="P63" s="102" t="n"/>
      <c r="Q63" s="103" t="n"/>
      <c r="R63" s="7" t="n"/>
    </row>
    <row r="64">
      <c r="A64" s="7" t="n"/>
      <c r="B64" s="7" t="n"/>
      <c r="C64" s="7" t="n"/>
      <c r="D64" s="7" t="n"/>
      <c r="E64" s="7" t="n"/>
      <c r="F64" s="7" t="n"/>
      <c r="G64" s="7" t="n"/>
      <c r="H64" s="7" t="n"/>
      <c r="I64" s="7" t="n"/>
      <c r="J64" s="7" t="n"/>
      <c r="K64" s="7" t="n"/>
      <c r="L64" s="7" t="n"/>
      <c r="M64" s="7" t="n"/>
      <c r="N64" s="7" t="n"/>
      <c r="O64" s="7" t="n"/>
      <c r="P64" s="7" t="n"/>
      <c r="Q64" s="7" t="n"/>
      <c r="R64" s="7" t="n"/>
    </row>
    <row r="65" ht="24" customHeight="1">
      <c r="A65" s="7" t="n"/>
      <c r="B65" s="9" t="inlineStr">
        <is>
          <t>¿Cómo pago?  ·  gasto por cuenta o método  ·  fijos frente a variables</t>
        </is>
      </c>
      <c r="C65" s="10" t="n"/>
      <c r="D65" s="10" t="n"/>
      <c r="E65" s="10" t="n"/>
      <c r="F65" s="10" t="n"/>
      <c r="G65" s="10" t="n"/>
      <c r="H65" s="10" t="n"/>
      <c r="I65" s="10" t="n"/>
      <c r="J65" s="10" t="n"/>
      <c r="K65" s="10" t="n"/>
      <c r="L65" s="10" t="n"/>
      <c r="M65" s="10" t="n"/>
      <c r="N65" s="10" t="n"/>
      <c r="O65" s="10" t="n"/>
      <c r="P65" s="10" t="n"/>
      <c r="Q65" s="10" t="n"/>
      <c r="R65" s="7" t="n"/>
    </row>
    <row r="66">
      <c r="A66" s="7" t="n"/>
      <c r="B66" s="92" t="n"/>
      <c r="C66" s="93" t="n"/>
      <c r="D66" s="93" t="n"/>
      <c r="E66" s="93" t="n"/>
      <c r="F66" s="93" t="n"/>
      <c r="G66" s="93" t="n"/>
      <c r="H66" s="93" t="n"/>
      <c r="I66" s="94" t="n"/>
      <c r="J66" s="92" t="n"/>
      <c r="K66" s="93" t="n"/>
      <c r="L66" s="93" t="n"/>
      <c r="M66" s="93" t="n"/>
      <c r="N66" s="93" t="n"/>
      <c r="O66" s="93" t="n"/>
      <c r="P66" s="93" t="n"/>
      <c r="Q66" s="94" t="n"/>
      <c r="R66" s="7" t="n"/>
    </row>
    <row r="67">
      <c r="A67" s="7" t="n"/>
      <c r="B67" s="85" t="n"/>
      <c r="C67" s="86" t="n"/>
      <c r="D67" s="86" t="n"/>
      <c r="E67" s="86" t="n"/>
      <c r="F67" s="86" t="n"/>
      <c r="G67" s="86" t="n"/>
      <c r="H67" s="86" t="n"/>
      <c r="I67" s="87" t="n"/>
      <c r="J67" s="85" t="n"/>
      <c r="K67" s="86" t="n"/>
      <c r="L67" s="86" t="n"/>
      <c r="M67" s="86" t="n"/>
      <c r="N67" s="86" t="n"/>
      <c r="O67" s="86" t="n"/>
      <c r="P67" s="86" t="n"/>
      <c r="Q67" s="87" t="n"/>
      <c r="R67" s="7" t="n"/>
    </row>
    <row r="68">
      <c r="A68" s="7" t="n"/>
      <c r="B68" s="85" t="n"/>
      <c r="C68" s="86" t="n"/>
      <c r="D68" s="86" t="n"/>
      <c r="E68" s="86" t="n"/>
      <c r="F68" s="86" t="n"/>
      <c r="G68" s="86" t="n"/>
      <c r="H68" s="86" t="n"/>
      <c r="I68" s="87" t="n"/>
      <c r="J68" s="85" t="n"/>
      <c r="K68" s="86" t="n"/>
      <c r="L68" s="86" t="n"/>
      <c r="M68" s="86" t="n"/>
      <c r="N68" s="86" t="n"/>
      <c r="O68" s="104" t="inlineStr">
        <is>
          <t>Fijos</t>
        </is>
      </c>
      <c r="P68" s="98">
        <f>J20</f>
        <v/>
      </c>
      <c r="Q68" s="87" t="n"/>
      <c r="R68" s="7" t="n"/>
    </row>
    <row r="69">
      <c r="A69" s="7" t="n"/>
      <c r="B69" s="85" t="n"/>
      <c r="C69" s="86" t="n"/>
      <c r="D69" s="86" t="n"/>
      <c r="E69" s="86" t="n"/>
      <c r="F69" s="86" t="n"/>
      <c r="G69" s="86" t="n"/>
      <c r="H69" s="86" t="n"/>
      <c r="I69" s="87" t="n"/>
      <c r="J69" s="85" t="n"/>
      <c r="K69" s="86" t="n"/>
      <c r="L69" s="86" t="n"/>
      <c r="M69" s="86" t="n"/>
      <c r="N69" s="86" t="n"/>
      <c r="O69" s="104" t="inlineStr">
        <is>
          <t>Variables</t>
        </is>
      </c>
      <c r="P69" s="98">
        <f>J21</f>
        <v/>
      </c>
      <c r="Q69" s="87" t="n"/>
      <c r="R69" s="7" t="n"/>
    </row>
    <row r="70">
      <c r="A70" s="7" t="n"/>
      <c r="B70" s="85" t="n"/>
      <c r="C70" s="86" t="n"/>
      <c r="D70" s="86" t="n"/>
      <c r="E70" s="86" t="n"/>
      <c r="F70" s="86" t="n"/>
      <c r="G70" s="86" t="n"/>
      <c r="H70" s="86" t="n"/>
      <c r="I70" s="87" t="n"/>
      <c r="J70" s="85" t="n"/>
      <c r="K70" s="86" t="n"/>
      <c r="L70" s="86" t="n"/>
      <c r="M70" s="86" t="n"/>
      <c r="N70" s="86" t="n"/>
      <c r="O70" s="86" t="n"/>
      <c r="P70" s="86" t="n"/>
      <c r="Q70" s="87" t="n"/>
      <c r="R70" s="7" t="n"/>
    </row>
    <row r="71">
      <c r="A71" s="7" t="n"/>
      <c r="B71" s="85" t="n"/>
      <c r="C71" s="86" t="n"/>
      <c r="D71" s="86" t="n"/>
      <c r="E71" s="86" t="n"/>
      <c r="F71" s="86" t="n"/>
      <c r="G71" s="86" t="n"/>
      <c r="H71" s="86" t="n"/>
      <c r="I71" s="87" t="n"/>
      <c r="J71" s="85" t="n"/>
      <c r="K71" s="86" t="n"/>
      <c r="L71" s="86" t="n"/>
      <c r="M71" s="86" t="n"/>
      <c r="N71" s="86" t="n"/>
      <c r="O71" s="105">
        <f>IF(P68+P69=0,"",FIXED(P69/(P68+P69)*100,0)&amp;"% variable")</f>
        <v/>
      </c>
      <c r="P71" s="86" t="n"/>
      <c r="Q71" s="87" t="n"/>
      <c r="R71" s="7" t="n"/>
    </row>
    <row r="72">
      <c r="A72" s="7" t="n"/>
      <c r="B72" s="85" t="n"/>
      <c r="C72" s="86" t="n"/>
      <c r="D72" s="86" t="n"/>
      <c r="E72" s="86" t="n"/>
      <c r="F72" s="86" t="n"/>
      <c r="G72" s="86" t="n"/>
      <c r="H72" s="86" t="n"/>
      <c r="I72" s="87" t="n"/>
      <c r="J72" s="85" t="n"/>
      <c r="K72" s="86" t="n"/>
      <c r="L72" s="86" t="n"/>
      <c r="M72" s="86" t="n"/>
      <c r="N72" s="86" t="n"/>
      <c r="O72" s="106" t="inlineStr">
        <is>
          <t>Lo variable es donde</t>
        </is>
      </c>
      <c r="P72" s="86" t="n"/>
      <c r="Q72" s="87" t="n"/>
      <c r="R72" s="7" t="n"/>
    </row>
    <row r="73">
      <c r="A73" s="7" t="n"/>
      <c r="B73" s="85" t="n"/>
      <c r="C73" s="86" t="n"/>
      <c r="D73" s="86" t="n"/>
      <c r="E73" s="86" t="n"/>
      <c r="F73" s="86" t="n"/>
      <c r="G73" s="86" t="n"/>
      <c r="H73" s="86" t="n"/>
      <c r="I73" s="87" t="n"/>
      <c r="J73" s="85" t="n"/>
      <c r="K73" s="86" t="n"/>
      <c r="L73" s="86" t="n"/>
      <c r="M73" s="86" t="n"/>
      <c r="N73" s="86" t="n"/>
      <c r="O73" s="106" t="inlineStr">
        <is>
          <t>hay más margen de ajuste.</t>
        </is>
      </c>
      <c r="P73" s="86" t="n"/>
      <c r="Q73" s="87" t="n"/>
      <c r="R73" s="7" t="n"/>
    </row>
    <row r="74">
      <c r="A74" s="7" t="n"/>
      <c r="B74" s="85" t="n"/>
      <c r="C74" s="86" t="n"/>
      <c r="D74" s="86" t="n"/>
      <c r="E74" s="86" t="n"/>
      <c r="F74" s="86" t="n"/>
      <c r="G74" s="86" t="n"/>
      <c r="H74" s="86" t="n"/>
      <c r="I74" s="87" t="n"/>
      <c r="J74" s="85" t="n"/>
      <c r="K74" s="86" t="n"/>
      <c r="L74" s="86" t="n"/>
      <c r="M74" s="86" t="n"/>
      <c r="N74" s="86" t="n"/>
      <c r="O74" s="86" t="n"/>
      <c r="P74" s="86" t="n"/>
      <c r="Q74" s="87" t="n"/>
      <c r="R74" s="7" t="n"/>
    </row>
    <row r="75">
      <c r="A75" s="7" t="n"/>
      <c r="B75" s="85" t="n"/>
      <c r="C75" s="86" t="n"/>
      <c r="D75" s="86" t="n"/>
      <c r="E75" s="86" t="n"/>
      <c r="F75" s="86" t="n"/>
      <c r="G75" s="86" t="n"/>
      <c r="H75" s="86" t="n"/>
      <c r="I75" s="87" t="n"/>
      <c r="J75" s="85" t="n"/>
      <c r="K75" s="86" t="n"/>
      <c r="L75" s="86" t="n"/>
      <c r="M75" s="86" t="n"/>
      <c r="N75" s="86" t="n"/>
      <c r="O75" s="86" t="n"/>
      <c r="P75" s="86" t="n"/>
      <c r="Q75" s="87" t="n"/>
      <c r="R75" s="7" t="n"/>
    </row>
    <row r="76">
      <c r="A76" s="7" t="n"/>
      <c r="B76" s="85" t="n"/>
      <c r="C76" s="86" t="n"/>
      <c r="D76" s="86" t="n"/>
      <c r="E76" s="86" t="n"/>
      <c r="F76" s="86" t="n"/>
      <c r="G76" s="86" t="n"/>
      <c r="H76" s="86" t="n"/>
      <c r="I76" s="87" t="n"/>
      <c r="J76" s="85" t="n"/>
      <c r="K76" s="86" t="n"/>
      <c r="L76" s="86" t="n"/>
      <c r="M76" s="86" t="n"/>
      <c r="N76" s="86" t="n"/>
      <c r="O76" s="86" t="n"/>
      <c r="P76" s="86" t="n"/>
      <c r="Q76" s="87" t="n"/>
      <c r="R76" s="7" t="n"/>
    </row>
    <row r="77">
      <c r="A77" s="7" t="n"/>
      <c r="B77" s="85" t="n"/>
      <c r="C77" s="86" t="n"/>
      <c r="D77" s="86" t="n"/>
      <c r="E77" s="86" t="n"/>
      <c r="F77" s="86" t="n"/>
      <c r="G77" s="86" t="n"/>
      <c r="H77" s="86" t="n"/>
      <c r="I77" s="87" t="n"/>
      <c r="J77" s="85" t="n"/>
      <c r="K77" s="86" t="n"/>
      <c r="L77" s="86" t="n"/>
      <c r="M77" s="86" t="n"/>
      <c r="N77" s="86" t="n"/>
      <c r="O77" s="86" t="n"/>
      <c r="P77" s="86" t="n"/>
      <c r="Q77" s="87" t="n"/>
      <c r="R77" s="7" t="n"/>
    </row>
    <row r="78">
      <c r="A78" s="7" t="n"/>
      <c r="B78" s="85" t="n"/>
      <c r="C78" s="86" t="n"/>
      <c r="D78" s="86" t="n"/>
      <c r="E78" s="86" t="n"/>
      <c r="F78" s="86" t="n"/>
      <c r="G78" s="86" t="n"/>
      <c r="H78" s="86" t="n"/>
      <c r="I78" s="87" t="n"/>
      <c r="J78" s="85" t="n"/>
      <c r="K78" s="86" t="n"/>
      <c r="L78" s="86" t="n"/>
      <c r="M78" s="86" t="n"/>
      <c r="N78" s="86" t="n"/>
      <c r="O78" s="86" t="n"/>
      <c r="P78" s="86" t="n"/>
      <c r="Q78" s="87" t="n"/>
      <c r="R78" s="7" t="n"/>
    </row>
    <row r="79">
      <c r="A79" s="7" t="n"/>
      <c r="B79" s="85" t="n"/>
      <c r="C79" s="86" t="n"/>
      <c r="D79" s="86" t="n"/>
      <c r="E79" s="86" t="n"/>
      <c r="F79" s="86" t="n"/>
      <c r="G79" s="86" t="n"/>
      <c r="H79" s="86" t="n"/>
      <c r="I79" s="87" t="n"/>
      <c r="J79" s="85" t="n"/>
      <c r="K79" s="86" t="n"/>
      <c r="L79" s="86" t="n"/>
      <c r="M79" s="86" t="n"/>
      <c r="N79" s="86" t="n"/>
      <c r="O79" s="86" t="n"/>
      <c r="P79" s="86" t="n"/>
      <c r="Q79" s="87" t="n"/>
      <c r="R79" s="7" t="n"/>
    </row>
    <row r="80">
      <c r="A80" s="7" t="n"/>
      <c r="B80" s="85" t="n"/>
      <c r="C80" s="86" t="n"/>
      <c r="D80" s="86" t="n"/>
      <c r="E80" s="86" t="n"/>
      <c r="F80" s="86" t="n"/>
      <c r="G80" s="86" t="n"/>
      <c r="H80" s="86" t="n"/>
      <c r="I80" s="87" t="n"/>
      <c r="J80" s="85" t="n"/>
      <c r="K80" s="86" t="n"/>
      <c r="L80" s="86" t="n"/>
      <c r="M80" s="86" t="n"/>
      <c r="N80" s="86" t="n"/>
      <c r="O80" s="86" t="n"/>
      <c r="P80" s="86" t="n"/>
      <c r="Q80" s="87" t="n"/>
      <c r="R80" s="7" t="n"/>
    </row>
    <row r="81">
      <c r="A81" s="7" t="n"/>
      <c r="B81" s="101" t="n"/>
      <c r="C81" s="102" t="n"/>
      <c r="D81" s="102" t="n"/>
      <c r="E81" s="102" t="n"/>
      <c r="F81" s="102" t="n"/>
      <c r="G81" s="102" t="n"/>
      <c r="H81" s="102" t="n"/>
      <c r="I81" s="103" t="n"/>
      <c r="J81" s="101" t="n"/>
      <c r="K81" s="102" t="n"/>
      <c r="L81" s="102" t="n"/>
      <c r="M81" s="102" t="n"/>
      <c r="N81" s="102" t="n"/>
      <c r="O81" s="102" t="n"/>
      <c r="P81" s="102" t="n"/>
      <c r="Q81" s="103" t="n"/>
      <c r="R81" s="7" t="n"/>
    </row>
    <row r="82">
      <c r="A82" s="7" t="n"/>
      <c r="B82" s="7" t="n"/>
      <c r="C82" s="7" t="n"/>
      <c r="D82" s="7" t="n"/>
      <c r="E82" s="7" t="n"/>
      <c r="F82" s="7" t="n"/>
      <c r="G82" s="7" t="n"/>
      <c r="H82" s="7" t="n"/>
      <c r="I82" s="7" t="n"/>
      <c r="J82" s="7" t="n"/>
      <c r="K82" s="7" t="n"/>
      <c r="L82" s="7" t="n"/>
      <c r="M82" s="7" t="n"/>
      <c r="N82" s="7" t="n"/>
      <c r="O82" s="7" t="n"/>
      <c r="P82" s="7" t="n"/>
      <c r="Q82" s="7" t="n"/>
      <c r="R82" s="7" t="n"/>
    </row>
    <row r="83" ht="24" customHeight="1">
      <c r="A83" s="7" t="n"/>
      <c r="B83" s="9" t="inlineStr">
        <is>
          <t>Top 10  ·  conceptos (subcategorías) y comercios donde más gasto</t>
        </is>
      </c>
      <c r="C83" s="10" t="n"/>
      <c r="D83" s="10" t="n"/>
      <c r="E83" s="10" t="n"/>
      <c r="F83" s="10" t="n"/>
      <c r="G83" s="10" t="n"/>
      <c r="H83" s="10" t="n"/>
      <c r="I83" s="10" t="n"/>
      <c r="J83" s="10" t="n"/>
      <c r="K83" s="10" t="n"/>
      <c r="L83" s="10" t="n"/>
      <c r="M83" s="10" t="n"/>
      <c r="N83" s="10" t="n"/>
      <c r="O83" s="10" t="n"/>
      <c r="P83" s="10" t="n"/>
      <c r="Q83" s="10" t="n"/>
      <c r="R83" s="7" t="n"/>
    </row>
    <row r="84">
      <c r="A84" s="7" t="n"/>
      <c r="B84" s="107" t="inlineStr">
        <is>
          <t>CONCEPTO</t>
        </is>
      </c>
      <c r="C84" s="12" t="n"/>
      <c r="D84" s="12" t="n"/>
      <c r="E84" s="12" t="n"/>
      <c r="F84" s="12" t="n"/>
      <c r="G84" s="108" t="inlineStr">
        <is>
          <t>Monto</t>
        </is>
      </c>
      <c r="H84" s="108" t="inlineStr">
        <is>
          <t>Veces</t>
        </is>
      </c>
      <c r="I84" s="109" t="inlineStr">
        <is>
          <t>% gasto</t>
        </is>
      </c>
      <c r="J84" s="107" t="inlineStr">
        <is>
          <t>COMERCIO / ESTABLECIMIENTO</t>
        </is>
      </c>
      <c r="K84" s="12" t="n"/>
      <c r="L84" s="12" t="n"/>
      <c r="M84" s="12" t="n"/>
      <c r="N84" s="12" t="n"/>
      <c r="O84" s="108" t="inlineStr">
        <is>
          <t>Monto</t>
        </is>
      </c>
      <c r="P84" s="108" t="inlineStr">
        <is>
          <t>Veces</t>
        </is>
      </c>
      <c r="Q84" s="109" t="inlineStr">
        <is>
          <t>% gasto</t>
        </is>
      </c>
      <c r="R84" s="7" t="n"/>
    </row>
    <row r="85">
      <c r="A85" s="7" t="n"/>
      <c r="B85" s="110" t="n">
        <v>1</v>
      </c>
      <c r="C85" s="111">
        <f>'Motor'!CC7</f>
        <v/>
      </c>
      <c r="G85" s="98">
        <f>'Motor'!CD7</f>
        <v/>
      </c>
      <c r="H85" s="112">
        <f>'Motor'!CE7</f>
        <v/>
      </c>
      <c r="I85" s="113">
        <f>IF(OR(G85="",SUMIFS(rGasto,rFecha,"&gt;="&amp;pIni,rFecha,"&lt;="&amp;pFin,rCat,critCat,rCtaE,critCta)=0),"",G85/SUMIFS(rGasto,rFecha,"&gt;="&amp;pIni,rFecha,"&lt;="&amp;pFin,rCat,critCat,rCtaE,critCta))</f>
        <v/>
      </c>
      <c r="J85" s="110" t="n">
        <v>1</v>
      </c>
      <c r="K85" s="111">
        <f>'Motor'!CH7</f>
        <v/>
      </c>
      <c r="O85" s="98">
        <f>'Motor'!CI7</f>
        <v/>
      </c>
      <c r="P85" s="112">
        <f>'Motor'!CJ7</f>
        <v/>
      </c>
      <c r="Q85" s="113">
        <f>IF(OR(O85="",SUMIFS(rGasto,rFecha,"&gt;="&amp;pIni,rFecha,"&lt;="&amp;pFin,rCat,critCat,rCtaE,critCta)=0),"",O85/SUMIFS(rGasto,rFecha,"&gt;="&amp;pIni,rFecha,"&lt;="&amp;pFin,rCat,critCat,rCtaE,critCta))</f>
        <v/>
      </c>
      <c r="R85" s="7" t="n"/>
    </row>
    <row r="86">
      <c r="A86" s="7" t="n"/>
      <c r="B86" s="110" t="n">
        <v>2</v>
      </c>
      <c r="C86" s="111">
        <f>'Motor'!CC8</f>
        <v/>
      </c>
      <c r="G86" s="98">
        <f>'Motor'!CD8</f>
        <v/>
      </c>
      <c r="H86" s="112">
        <f>'Motor'!CE8</f>
        <v/>
      </c>
      <c r="I86" s="113">
        <f>IF(OR(G86="",SUMIFS(rGasto,rFecha,"&gt;="&amp;pIni,rFecha,"&lt;="&amp;pFin,rCat,critCat,rCtaE,critCta)=0),"",G86/SUMIFS(rGasto,rFecha,"&gt;="&amp;pIni,rFecha,"&lt;="&amp;pFin,rCat,critCat,rCtaE,critCta))</f>
        <v/>
      </c>
      <c r="J86" s="110" t="n">
        <v>2</v>
      </c>
      <c r="K86" s="111">
        <f>'Motor'!CH8</f>
        <v/>
      </c>
      <c r="O86" s="98">
        <f>'Motor'!CI8</f>
        <v/>
      </c>
      <c r="P86" s="112">
        <f>'Motor'!CJ8</f>
        <v/>
      </c>
      <c r="Q86" s="113">
        <f>IF(OR(O86="",SUMIFS(rGasto,rFecha,"&gt;="&amp;pIni,rFecha,"&lt;="&amp;pFin,rCat,critCat,rCtaE,critCta)=0),"",O86/SUMIFS(rGasto,rFecha,"&gt;="&amp;pIni,rFecha,"&lt;="&amp;pFin,rCat,critCat,rCtaE,critCta))</f>
        <v/>
      </c>
      <c r="R86" s="7" t="n"/>
    </row>
    <row r="87">
      <c r="A87" s="7" t="n"/>
      <c r="B87" s="110" t="n">
        <v>3</v>
      </c>
      <c r="C87" s="111">
        <f>'Motor'!CC9</f>
        <v/>
      </c>
      <c r="G87" s="98">
        <f>'Motor'!CD9</f>
        <v/>
      </c>
      <c r="H87" s="112">
        <f>'Motor'!CE9</f>
        <v/>
      </c>
      <c r="I87" s="113">
        <f>IF(OR(G87="",SUMIFS(rGasto,rFecha,"&gt;="&amp;pIni,rFecha,"&lt;="&amp;pFin,rCat,critCat,rCtaE,critCta)=0),"",G87/SUMIFS(rGasto,rFecha,"&gt;="&amp;pIni,rFecha,"&lt;="&amp;pFin,rCat,critCat,rCtaE,critCta))</f>
        <v/>
      </c>
      <c r="J87" s="110" t="n">
        <v>3</v>
      </c>
      <c r="K87" s="111">
        <f>'Motor'!CH9</f>
        <v/>
      </c>
      <c r="O87" s="98">
        <f>'Motor'!CI9</f>
        <v/>
      </c>
      <c r="P87" s="112">
        <f>'Motor'!CJ9</f>
        <v/>
      </c>
      <c r="Q87" s="113">
        <f>IF(OR(O87="",SUMIFS(rGasto,rFecha,"&gt;="&amp;pIni,rFecha,"&lt;="&amp;pFin,rCat,critCat,rCtaE,critCta)=0),"",O87/SUMIFS(rGasto,rFecha,"&gt;="&amp;pIni,rFecha,"&lt;="&amp;pFin,rCat,critCat,rCtaE,critCta))</f>
        <v/>
      </c>
      <c r="R87" s="7" t="n"/>
    </row>
    <row r="88">
      <c r="A88" s="7" t="n"/>
      <c r="B88" s="110" t="n">
        <v>4</v>
      </c>
      <c r="C88" s="111">
        <f>'Motor'!CC10</f>
        <v/>
      </c>
      <c r="G88" s="98">
        <f>'Motor'!CD10</f>
        <v/>
      </c>
      <c r="H88" s="112">
        <f>'Motor'!CE10</f>
        <v/>
      </c>
      <c r="I88" s="113">
        <f>IF(OR(G88="",SUMIFS(rGasto,rFecha,"&gt;="&amp;pIni,rFecha,"&lt;="&amp;pFin,rCat,critCat,rCtaE,critCta)=0),"",G88/SUMIFS(rGasto,rFecha,"&gt;="&amp;pIni,rFecha,"&lt;="&amp;pFin,rCat,critCat,rCtaE,critCta))</f>
        <v/>
      </c>
      <c r="J88" s="110" t="n">
        <v>4</v>
      </c>
      <c r="K88" s="111">
        <f>'Motor'!CH10</f>
        <v/>
      </c>
      <c r="O88" s="98">
        <f>'Motor'!CI10</f>
        <v/>
      </c>
      <c r="P88" s="112">
        <f>'Motor'!CJ10</f>
        <v/>
      </c>
      <c r="Q88" s="113">
        <f>IF(OR(O88="",SUMIFS(rGasto,rFecha,"&gt;="&amp;pIni,rFecha,"&lt;="&amp;pFin,rCat,critCat,rCtaE,critCta)=0),"",O88/SUMIFS(rGasto,rFecha,"&gt;="&amp;pIni,rFecha,"&lt;="&amp;pFin,rCat,critCat,rCtaE,critCta))</f>
        <v/>
      </c>
      <c r="R88" s="7" t="n"/>
    </row>
    <row r="89">
      <c r="A89" s="7" t="n"/>
      <c r="B89" s="110" t="n">
        <v>5</v>
      </c>
      <c r="C89" s="111">
        <f>'Motor'!CC11</f>
        <v/>
      </c>
      <c r="G89" s="98">
        <f>'Motor'!CD11</f>
        <v/>
      </c>
      <c r="H89" s="112">
        <f>'Motor'!CE11</f>
        <v/>
      </c>
      <c r="I89" s="113">
        <f>IF(OR(G89="",SUMIFS(rGasto,rFecha,"&gt;="&amp;pIni,rFecha,"&lt;="&amp;pFin,rCat,critCat,rCtaE,critCta)=0),"",G89/SUMIFS(rGasto,rFecha,"&gt;="&amp;pIni,rFecha,"&lt;="&amp;pFin,rCat,critCat,rCtaE,critCta))</f>
        <v/>
      </c>
      <c r="J89" s="110" t="n">
        <v>5</v>
      </c>
      <c r="K89" s="111">
        <f>'Motor'!CH11</f>
        <v/>
      </c>
      <c r="O89" s="98">
        <f>'Motor'!CI11</f>
        <v/>
      </c>
      <c r="P89" s="112">
        <f>'Motor'!CJ11</f>
        <v/>
      </c>
      <c r="Q89" s="113">
        <f>IF(OR(O89="",SUMIFS(rGasto,rFecha,"&gt;="&amp;pIni,rFecha,"&lt;="&amp;pFin,rCat,critCat,rCtaE,critCta)=0),"",O89/SUMIFS(rGasto,rFecha,"&gt;="&amp;pIni,rFecha,"&lt;="&amp;pFin,rCat,critCat,rCtaE,critCta))</f>
        <v/>
      </c>
      <c r="R89" s="7" t="n"/>
    </row>
    <row r="90">
      <c r="A90" s="7" t="n"/>
      <c r="B90" s="110" t="n">
        <v>6</v>
      </c>
      <c r="C90" s="111">
        <f>'Motor'!CC12</f>
        <v/>
      </c>
      <c r="G90" s="98">
        <f>'Motor'!CD12</f>
        <v/>
      </c>
      <c r="H90" s="112">
        <f>'Motor'!CE12</f>
        <v/>
      </c>
      <c r="I90" s="113">
        <f>IF(OR(G90="",SUMIFS(rGasto,rFecha,"&gt;="&amp;pIni,rFecha,"&lt;="&amp;pFin,rCat,critCat,rCtaE,critCta)=0),"",G90/SUMIFS(rGasto,rFecha,"&gt;="&amp;pIni,rFecha,"&lt;="&amp;pFin,rCat,critCat,rCtaE,critCta))</f>
        <v/>
      </c>
      <c r="J90" s="110" t="n">
        <v>6</v>
      </c>
      <c r="K90" s="111">
        <f>'Motor'!CH12</f>
        <v/>
      </c>
      <c r="O90" s="98">
        <f>'Motor'!CI12</f>
        <v/>
      </c>
      <c r="P90" s="112">
        <f>'Motor'!CJ12</f>
        <v/>
      </c>
      <c r="Q90" s="113">
        <f>IF(OR(O90="",SUMIFS(rGasto,rFecha,"&gt;="&amp;pIni,rFecha,"&lt;="&amp;pFin,rCat,critCat,rCtaE,critCta)=0),"",O90/SUMIFS(rGasto,rFecha,"&gt;="&amp;pIni,rFecha,"&lt;="&amp;pFin,rCat,critCat,rCtaE,critCta))</f>
        <v/>
      </c>
      <c r="R90" s="7" t="n"/>
    </row>
    <row r="91">
      <c r="A91" s="7" t="n"/>
      <c r="B91" s="110" t="n">
        <v>7</v>
      </c>
      <c r="C91" s="111">
        <f>'Motor'!CC13</f>
        <v/>
      </c>
      <c r="G91" s="98">
        <f>'Motor'!CD13</f>
        <v/>
      </c>
      <c r="H91" s="112">
        <f>'Motor'!CE13</f>
        <v/>
      </c>
      <c r="I91" s="113">
        <f>IF(OR(G91="",SUMIFS(rGasto,rFecha,"&gt;="&amp;pIni,rFecha,"&lt;="&amp;pFin,rCat,critCat,rCtaE,critCta)=0),"",G91/SUMIFS(rGasto,rFecha,"&gt;="&amp;pIni,rFecha,"&lt;="&amp;pFin,rCat,critCat,rCtaE,critCta))</f>
        <v/>
      </c>
      <c r="J91" s="110" t="n">
        <v>7</v>
      </c>
      <c r="K91" s="111">
        <f>'Motor'!CH13</f>
        <v/>
      </c>
      <c r="O91" s="98">
        <f>'Motor'!CI13</f>
        <v/>
      </c>
      <c r="P91" s="112">
        <f>'Motor'!CJ13</f>
        <v/>
      </c>
      <c r="Q91" s="113">
        <f>IF(OR(O91="",SUMIFS(rGasto,rFecha,"&gt;="&amp;pIni,rFecha,"&lt;="&amp;pFin,rCat,critCat,rCtaE,critCta)=0),"",O91/SUMIFS(rGasto,rFecha,"&gt;="&amp;pIni,rFecha,"&lt;="&amp;pFin,rCat,critCat,rCtaE,critCta))</f>
        <v/>
      </c>
      <c r="R91" s="7" t="n"/>
    </row>
    <row r="92">
      <c r="A92" s="7" t="n"/>
      <c r="B92" s="110" t="n">
        <v>8</v>
      </c>
      <c r="C92" s="111">
        <f>'Motor'!CC14</f>
        <v/>
      </c>
      <c r="G92" s="98">
        <f>'Motor'!CD14</f>
        <v/>
      </c>
      <c r="H92" s="112">
        <f>'Motor'!CE14</f>
        <v/>
      </c>
      <c r="I92" s="113">
        <f>IF(OR(G92="",SUMIFS(rGasto,rFecha,"&gt;="&amp;pIni,rFecha,"&lt;="&amp;pFin,rCat,critCat,rCtaE,critCta)=0),"",G92/SUMIFS(rGasto,rFecha,"&gt;="&amp;pIni,rFecha,"&lt;="&amp;pFin,rCat,critCat,rCtaE,critCta))</f>
        <v/>
      </c>
      <c r="J92" s="110" t="n">
        <v>8</v>
      </c>
      <c r="K92" s="111">
        <f>'Motor'!CH14</f>
        <v/>
      </c>
      <c r="O92" s="98">
        <f>'Motor'!CI14</f>
        <v/>
      </c>
      <c r="P92" s="112">
        <f>'Motor'!CJ14</f>
        <v/>
      </c>
      <c r="Q92" s="113">
        <f>IF(OR(O92="",SUMIFS(rGasto,rFecha,"&gt;="&amp;pIni,rFecha,"&lt;="&amp;pFin,rCat,critCat,rCtaE,critCta)=0),"",O92/SUMIFS(rGasto,rFecha,"&gt;="&amp;pIni,rFecha,"&lt;="&amp;pFin,rCat,critCat,rCtaE,critCta))</f>
        <v/>
      </c>
      <c r="R92" s="7" t="n"/>
    </row>
    <row r="93">
      <c r="A93" s="7" t="n"/>
      <c r="B93" s="110" t="n">
        <v>9</v>
      </c>
      <c r="C93" s="111">
        <f>'Motor'!CC15</f>
        <v/>
      </c>
      <c r="G93" s="98">
        <f>'Motor'!CD15</f>
        <v/>
      </c>
      <c r="H93" s="112">
        <f>'Motor'!CE15</f>
        <v/>
      </c>
      <c r="I93" s="113">
        <f>IF(OR(G93="",SUMIFS(rGasto,rFecha,"&gt;="&amp;pIni,rFecha,"&lt;="&amp;pFin,rCat,critCat,rCtaE,critCta)=0),"",G93/SUMIFS(rGasto,rFecha,"&gt;="&amp;pIni,rFecha,"&lt;="&amp;pFin,rCat,critCat,rCtaE,critCta))</f>
        <v/>
      </c>
      <c r="J93" s="110" t="n">
        <v>9</v>
      </c>
      <c r="K93" s="111">
        <f>'Motor'!CH15</f>
        <v/>
      </c>
      <c r="O93" s="98">
        <f>'Motor'!CI15</f>
        <v/>
      </c>
      <c r="P93" s="112">
        <f>'Motor'!CJ15</f>
        <v/>
      </c>
      <c r="Q93" s="113">
        <f>IF(OR(O93="",SUMIFS(rGasto,rFecha,"&gt;="&amp;pIni,rFecha,"&lt;="&amp;pFin,rCat,critCat,rCtaE,critCta)=0),"",O93/SUMIFS(rGasto,rFecha,"&gt;="&amp;pIni,rFecha,"&lt;="&amp;pFin,rCat,critCat,rCtaE,critCta))</f>
        <v/>
      </c>
      <c r="R93" s="7" t="n"/>
    </row>
    <row r="94">
      <c r="A94" s="7" t="n"/>
      <c r="B94" s="110" t="n">
        <v>10</v>
      </c>
      <c r="C94" s="111">
        <f>'Motor'!CC16</f>
        <v/>
      </c>
      <c r="G94" s="98">
        <f>'Motor'!CD16</f>
        <v/>
      </c>
      <c r="H94" s="112">
        <f>'Motor'!CE16</f>
        <v/>
      </c>
      <c r="I94" s="113">
        <f>IF(OR(G94="",SUMIFS(rGasto,rFecha,"&gt;="&amp;pIni,rFecha,"&lt;="&amp;pFin,rCat,critCat,rCtaE,critCta)=0),"",G94/SUMIFS(rGasto,rFecha,"&gt;="&amp;pIni,rFecha,"&lt;="&amp;pFin,rCat,critCat,rCtaE,critCta))</f>
        <v/>
      </c>
      <c r="J94" s="110" t="n">
        <v>10</v>
      </c>
      <c r="K94" s="111">
        <f>'Motor'!CH16</f>
        <v/>
      </c>
      <c r="O94" s="98">
        <f>'Motor'!CI16</f>
        <v/>
      </c>
      <c r="P94" s="112">
        <f>'Motor'!CJ16</f>
        <v/>
      </c>
      <c r="Q94" s="113">
        <f>IF(OR(O94="",SUMIFS(rGasto,rFecha,"&gt;="&amp;pIni,rFecha,"&lt;="&amp;pFin,rCat,critCat,rCtaE,critCta)=0),"",O94/SUMIFS(rGasto,rFecha,"&gt;="&amp;pIni,rFecha,"&lt;="&amp;pFin,rCat,critCat,rCtaE,critCta))</f>
        <v/>
      </c>
      <c r="R94" s="7" t="n"/>
    </row>
    <row r="95">
      <c r="A95" s="7" t="n"/>
      <c r="B95" s="85" t="n"/>
      <c r="C95" s="86" t="n"/>
      <c r="D95" s="86" t="n"/>
      <c r="E95" s="86" t="n"/>
      <c r="F95" s="86" t="n"/>
      <c r="G95" s="86" t="n"/>
      <c r="H95" s="86" t="n"/>
      <c r="I95" s="87" t="n"/>
      <c r="J95" s="85" t="n"/>
      <c r="K95" s="86" t="n"/>
      <c r="L95" s="86" t="n"/>
      <c r="M95" s="86" t="n"/>
      <c r="N95" s="86" t="n"/>
      <c r="O95" s="86" t="n"/>
      <c r="P95" s="86" t="n"/>
      <c r="Q95" s="87" t="n"/>
      <c r="R95" s="7" t="n"/>
    </row>
    <row r="96">
      <c r="A96" s="7" t="n"/>
      <c r="B96" s="114" t="inlineStr">
        <is>
          <t>Respeta los filtros de período, categoría y cuenta.</t>
        </is>
      </c>
      <c r="C96" s="102" t="n"/>
      <c r="D96" s="102" t="n"/>
      <c r="E96" s="102" t="n"/>
      <c r="F96" s="102" t="n"/>
      <c r="G96" s="102" t="n"/>
      <c r="H96" s="102" t="n"/>
      <c r="I96" s="103" t="n"/>
      <c r="J96" s="101" t="n"/>
      <c r="K96" s="102" t="n"/>
      <c r="L96" s="102" t="n"/>
      <c r="M96" s="102" t="n"/>
      <c r="N96" s="102" t="n"/>
      <c r="O96" s="102" t="n"/>
      <c r="P96" s="102" t="n"/>
      <c r="Q96" s="103" t="n"/>
      <c r="R96" s="7" t="n"/>
    </row>
    <row r="97">
      <c r="A97" s="7" t="n"/>
      <c r="B97" s="7" t="n"/>
      <c r="C97" s="7" t="n"/>
      <c r="D97" s="7" t="n"/>
      <c r="E97" s="7" t="n"/>
      <c r="F97" s="7" t="n"/>
      <c r="G97" s="7" t="n"/>
      <c r="H97" s="7" t="n"/>
      <c r="I97" s="7" t="n"/>
      <c r="J97" s="7" t="n"/>
      <c r="K97" s="7" t="n"/>
      <c r="L97" s="7" t="n"/>
      <c r="M97" s="7" t="n"/>
      <c r="N97" s="7" t="n"/>
      <c r="O97" s="7" t="n"/>
      <c r="P97" s="7" t="n"/>
      <c r="Q97" s="7" t="n"/>
      <c r="R97" s="7" t="n"/>
    </row>
    <row r="98" ht="24" customHeight="1">
      <c r="A98" s="7" t="n"/>
      <c r="B98" s="9" t="inlineStr">
        <is>
          <t>Comparación mensual  ·  12 meses hasta el mes de referencia</t>
        </is>
      </c>
      <c r="C98" s="10" t="n"/>
      <c r="D98" s="10" t="n"/>
      <c r="E98" s="10" t="n"/>
      <c r="F98" s="10" t="n"/>
      <c r="G98" s="10" t="n"/>
      <c r="H98" s="10" t="n"/>
      <c r="I98" s="10" t="n"/>
      <c r="J98" s="10" t="n"/>
      <c r="K98" s="10" t="n"/>
      <c r="L98" s="10" t="n"/>
      <c r="M98" s="10" t="n"/>
      <c r="N98" s="10" t="n"/>
      <c r="O98" s="10" t="n"/>
      <c r="P98" s="10" t="n"/>
      <c r="Q98" s="10" t="n"/>
      <c r="R98" s="7" t="n"/>
    </row>
    <row r="99">
      <c r="A99" s="7" t="n"/>
      <c r="B99" s="107" t="inlineStr">
        <is>
          <t>Mes</t>
        </is>
      </c>
      <c r="C99" s="12" t="n"/>
      <c r="D99" s="108" t="inlineStr">
        <is>
          <t>Ingresos</t>
        </is>
      </c>
      <c r="E99" s="12" t="n"/>
      <c r="F99" s="108" t="inlineStr">
        <is>
          <t>Gasto real</t>
        </is>
      </c>
      <c r="G99" s="12" t="n"/>
      <c r="H99" s="108" t="inlineStr">
        <is>
          <t>Ahorro neto</t>
        </is>
      </c>
      <c r="I99" s="12" t="n"/>
      <c r="J99" s="108" t="inlineStr">
        <is>
          <t>Tasa ahorro</t>
        </is>
      </c>
      <c r="K99" s="108" t="inlineStr">
        <is>
          <t>Fijos</t>
        </is>
      </c>
      <c r="L99" s="12" t="n"/>
      <c r="M99" s="108" t="inlineStr">
        <is>
          <t>Variables</t>
        </is>
      </c>
      <c r="N99" s="12" t="n"/>
      <c r="O99" s="108" t="inlineStr">
        <is>
          <t>Var. gasto</t>
        </is>
      </c>
      <c r="P99" s="109" t="inlineStr">
        <is>
          <t>Comida preparada</t>
        </is>
      </c>
      <c r="Q99" s="13" t="n"/>
      <c r="R99" s="7" t="n"/>
    </row>
    <row r="100">
      <c r="A100" s="7" t="n"/>
      <c r="B100" s="115">
        <f>'Motor'!AL18</f>
        <v/>
      </c>
      <c r="D100" s="116">
        <f>'Motor'!AM18</f>
        <v/>
      </c>
      <c r="F100" s="98">
        <f>'Motor'!AN18</f>
        <v/>
      </c>
      <c r="H100" s="116">
        <f>'Motor'!AO18</f>
        <v/>
      </c>
      <c r="J100" s="99">
        <f>'Motor'!AX18</f>
        <v/>
      </c>
      <c r="K100" s="116">
        <f>'Motor'!AP18</f>
        <v/>
      </c>
      <c r="M100" s="116">
        <f>'Motor'!AQ18</f>
        <v/>
      </c>
      <c r="O100" s="117">
        <f>IF(N('Motor'!AN17)=0,"",'Motor'!AN18/'Motor'!AN17-1)</f>
        <v/>
      </c>
      <c r="P100" s="118">
        <f>'Motor'!AR18</f>
        <v/>
      </c>
      <c r="Q100" s="16" t="n"/>
      <c r="R100" s="7" t="n"/>
    </row>
    <row r="101">
      <c r="A101" s="7" t="n"/>
      <c r="B101" s="115">
        <f>'Motor'!AL17</f>
        <v/>
      </c>
      <c r="D101" s="116">
        <f>'Motor'!AM17</f>
        <v/>
      </c>
      <c r="F101" s="98">
        <f>'Motor'!AN17</f>
        <v/>
      </c>
      <c r="H101" s="116">
        <f>'Motor'!AO17</f>
        <v/>
      </c>
      <c r="J101" s="99">
        <f>'Motor'!AX17</f>
        <v/>
      </c>
      <c r="K101" s="116">
        <f>'Motor'!AP17</f>
        <v/>
      </c>
      <c r="M101" s="116">
        <f>'Motor'!AQ17</f>
        <v/>
      </c>
      <c r="O101" s="117">
        <f>IF(N('Motor'!AN16)=0,"",'Motor'!AN17/'Motor'!AN16-1)</f>
        <v/>
      </c>
      <c r="P101" s="118">
        <f>'Motor'!AR17</f>
        <v/>
      </c>
      <c r="Q101" s="16" t="n"/>
      <c r="R101" s="7" t="n"/>
    </row>
    <row r="102">
      <c r="A102" s="7" t="n"/>
      <c r="B102" s="115">
        <f>'Motor'!AL16</f>
        <v/>
      </c>
      <c r="D102" s="116">
        <f>'Motor'!AM16</f>
        <v/>
      </c>
      <c r="F102" s="98">
        <f>'Motor'!AN16</f>
        <v/>
      </c>
      <c r="H102" s="116">
        <f>'Motor'!AO16</f>
        <v/>
      </c>
      <c r="J102" s="99">
        <f>'Motor'!AX16</f>
        <v/>
      </c>
      <c r="K102" s="116">
        <f>'Motor'!AP16</f>
        <v/>
      </c>
      <c r="M102" s="116">
        <f>'Motor'!AQ16</f>
        <v/>
      </c>
      <c r="O102" s="117">
        <f>IF(N('Motor'!AN15)=0,"",'Motor'!AN16/'Motor'!AN15-1)</f>
        <v/>
      </c>
      <c r="P102" s="118">
        <f>'Motor'!AR16</f>
        <v/>
      </c>
      <c r="Q102" s="16" t="n"/>
      <c r="R102" s="7" t="n"/>
    </row>
    <row r="103">
      <c r="A103" s="7" t="n"/>
      <c r="B103" s="115">
        <f>'Motor'!AL15</f>
        <v/>
      </c>
      <c r="D103" s="116">
        <f>'Motor'!AM15</f>
        <v/>
      </c>
      <c r="F103" s="98">
        <f>'Motor'!AN15</f>
        <v/>
      </c>
      <c r="H103" s="116">
        <f>'Motor'!AO15</f>
        <v/>
      </c>
      <c r="J103" s="99">
        <f>'Motor'!AX15</f>
        <v/>
      </c>
      <c r="K103" s="116">
        <f>'Motor'!AP15</f>
        <v/>
      </c>
      <c r="M103" s="116">
        <f>'Motor'!AQ15</f>
        <v/>
      </c>
      <c r="O103" s="117">
        <f>IF(N('Motor'!AN14)=0,"",'Motor'!AN15/'Motor'!AN14-1)</f>
        <v/>
      </c>
      <c r="P103" s="118">
        <f>'Motor'!AR15</f>
        <v/>
      </c>
      <c r="Q103" s="16" t="n"/>
      <c r="R103" s="7" t="n"/>
    </row>
    <row r="104">
      <c r="A104" s="7" t="n"/>
      <c r="B104" s="115">
        <f>'Motor'!AL14</f>
        <v/>
      </c>
      <c r="D104" s="116">
        <f>'Motor'!AM14</f>
        <v/>
      </c>
      <c r="F104" s="98">
        <f>'Motor'!AN14</f>
        <v/>
      </c>
      <c r="H104" s="116">
        <f>'Motor'!AO14</f>
        <v/>
      </c>
      <c r="J104" s="99">
        <f>'Motor'!AX14</f>
        <v/>
      </c>
      <c r="K104" s="116">
        <f>'Motor'!AP14</f>
        <v/>
      </c>
      <c r="M104" s="116">
        <f>'Motor'!AQ14</f>
        <v/>
      </c>
      <c r="O104" s="117">
        <f>IF(N('Motor'!AN13)=0,"",'Motor'!AN14/'Motor'!AN13-1)</f>
        <v/>
      </c>
      <c r="P104" s="118">
        <f>'Motor'!AR14</f>
        <v/>
      </c>
      <c r="Q104" s="16" t="n"/>
      <c r="R104" s="7" t="n"/>
    </row>
    <row r="105">
      <c r="A105" s="7" t="n"/>
      <c r="B105" s="115">
        <f>'Motor'!AL13</f>
        <v/>
      </c>
      <c r="D105" s="116">
        <f>'Motor'!AM13</f>
        <v/>
      </c>
      <c r="F105" s="98">
        <f>'Motor'!AN13</f>
        <v/>
      </c>
      <c r="H105" s="116">
        <f>'Motor'!AO13</f>
        <v/>
      </c>
      <c r="J105" s="99">
        <f>'Motor'!AX13</f>
        <v/>
      </c>
      <c r="K105" s="116">
        <f>'Motor'!AP13</f>
        <v/>
      </c>
      <c r="M105" s="116">
        <f>'Motor'!AQ13</f>
        <v/>
      </c>
      <c r="O105" s="117">
        <f>IF(N('Motor'!AN12)=0,"",'Motor'!AN13/'Motor'!AN12-1)</f>
        <v/>
      </c>
      <c r="P105" s="118">
        <f>'Motor'!AR13</f>
        <v/>
      </c>
      <c r="Q105" s="16" t="n"/>
      <c r="R105" s="7" t="n"/>
    </row>
    <row r="106">
      <c r="A106" s="7" t="n"/>
      <c r="B106" s="115">
        <f>'Motor'!AL12</f>
        <v/>
      </c>
      <c r="D106" s="116">
        <f>'Motor'!AM12</f>
        <v/>
      </c>
      <c r="F106" s="98">
        <f>'Motor'!AN12</f>
        <v/>
      </c>
      <c r="H106" s="116">
        <f>'Motor'!AO12</f>
        <v/>
      </c>
      <c r="J106" s="99">
        <f>'Motor'!AX12</f>
        <v/>
      </c>
      <c r="K106" s="116">
        <f>'Motor'!AP12</f>
        <v/>
      </c>
      <c r="M106" s="116">
        <f>'Motor'!AQ12</f>
        <v/>
      </c>
      <c r="O106" s="117">
        <f>IF(N('Motor'!AN11)=0,"",'Motor'!AN12/'Motor'!AN11-1)</f>
        <v/>
      </c>
      <c r="P106" s="118">
        <f>'Motor'!AR12</f>
        <v/>
      </c>
      <c r="Q106" s="16" t="n"/>
      <c r="R106" s="7" t="n"/>
    </row>
    <row r="107">
      <c r="A107" s="7" t="n"/>
      <c r="B107" s="115">
        <f>'Motor'!AL11</f>
        <v/>
      </c>
      <c r="D107" s="116">
        <f>'Motor'!AM11</f>
        <v/>
      </c>
      <c r="F107" s="98">
        <f>'Motor'!AN11</f>
        <v/>
      </c>
      <c r="H107" s="116">
        <f>'Motor'!AO11</f>
        <v/>
      </c>
      <c r="J107" s="99">
        <f>'Motor'!AX11</f>
        <v/>
      </c>
      <c r="K107" s="116">
        <f>'Motor'!AP11</f>
        <v/>
      </c>
      <c r="M107" s="116">
        <f>'Motor'!AQ11</f>
        <v/>
      </c>
      <c r="O107" s="117">
        <f>IF(N('Motor'!AN10)=0,"",'Motor'!AN11/'Motor'!AN10-1)</f>
        <v/>
      </c>
      <c r="P107" s="118">
        <f>'Motor'!AR11</f>
        <v/>
      </c>
      <c r="Q107" s="16" t="n"/>
      <c r="R107" s="7" t="n"/>
    </row>
    <row r="108">
      <c r="A108" s="7" t="n"/>
      <c r="B108" s="115">
        <f>'Motor'!AL10</f>
        <v/>
      </c>
      <c r="D108" s="116">
        <f>'Motor'!AM10</f>
        <v/>
      </c>
      <c r="F108" s="98">
        <f>'Motor'!AN10</f>
        <v/>
      </c>
      <c r="H108" s="116">
        <f>'Motor'!AO10</f>
        <v/>
      </c>
      <c r="J108" s="99">
        <f>'Motor'!AX10</f>
        <v/>
      </c>
      <c r="K108" s="116">
        <f>'Motor'!AP10</f>
        <v/>
      </c>
      <c r="M108" s="116">
        <f>'Motor'!AQ10</f>
        <v/>
      </c>
      <c r="O108" s="117">
        <f>IF(N('Motor'!AN9)=0,"",'Motor'!AN10/'Motor'!AN9-1)</f>
        <v/>
      </c>
      <c r="P108" s="118">
        <f>'Motor'!AR10</f>
        <v/>
      </c>
      <c r="Q108" s="16" t="n"/>
      <c r="R108" s="7" t="n"/>
    </row>
    <row r="109">
      <c r="A109" s="7" t="n"/>
      <c r="B109" s="115">
        <f>'Motor'!AL9</f>
        <v/>
      </c>
      <c r="D109" s="116">
        <f>'Motor'!AM9</f>
        <v/>
      </c>
      <c r="F109" s="98">
        <f>'Motor'!AN9</f>
        <v/>
      </c>
      <c r="H109" s="116">
        <f>'Motor'!AO9</f>
        <v/>
      </c>
      <c r="J109" s="99">
        <f>'Motor'!AX9</f>
        <v/>
      </c>
      <c r="K109" s="116">
        <f>'Motor'!AP9</f>
        <v/>
      </c>
      <c r="M109" s="116">
        <f>'Motor'!AQ9</f>
        <v/>
      </c>
      <c r="O109" s="117">
        <f>IF(N('Motor'!AN8)=0,"",'Motor'!AN9/'Motor'!AN8-1)</f>
        <v/>
      </c>
      <c r="P109" s="118">
        <f>'Motor'!AR9</f>
        <v/>
      </c>
      <c r="Q109" s="16" t="n"/>
      <c r="R109" s="7" t="n"/>
    </row>
    <row r="110">
      <c r="A110" s="7" t="n"/>
      <c r="B110" s="115">
        <f>'Motor'!AL8</f>
        <v/>
      </c>
      <c r="D110" s="116">
        <f>'Motor'!AM8</f>
        <v/>
      </c>
      <c r="F110" s="98">
        <f>'Motor'!AN8</f>
        <v/>
      </c>
      <c r="H110" s="116">
        <f>'Motor'!AO8</f>
        <v/>
      </c>
      <c r="J110" s="99">
        <f>'Motor'!AX8</f>
        <v/>
      </c>
      <c r="K110" s="116">
        <f>'Motor'!AP8</f>
        <v/>
      </c>
      <c r="M110" s="116">
        <f>'Motor'!AQ8</f>
        <v/>
      </c>
      <c r="O110" s="117">
        <f>IF(N('Motor'!AN7)=0,"",'Motor'!AN8/'Motor'!AN7-1)</f>
        <v/>
      </c>
      <c r="P110" s="118">
        <f>'Motor'!AR8</f>
        <v/>
      </c>
      <c r="Q110" s="16" t="n"/>
      <c r="R110" s="7" t="n"/>
    </row>
    <row r="111">
      <c r="A111" s="7" t="n"/>
      <c r="B111" s="115">
        <f>'Motor'!AL7</f>
        <v/>
      </c>
      <c r="D111" s="116">
        <f>'Motor'!AM7</f>
        <v/>
      </c>
      <c r="F111" s="98">
        <f>'Motor'!AN7</f>
        <v/>
      </c>
      <c r="H111" s="116">
        <f>'Motor'!AO7</f>
        <v/>
      </c>
      <c r="J111" s="99">
        <f>'Motor'!AX7</f>
        <v/>
      </c>
      <c r="K111" s="116">
        <f>'Motor'!AP7</f>
        <v/>
      </c>
      <c r="M111" s="116">
        <f>'Motor'!AQ7</f>
        <v/>
      </c>
      <c r="O111" s="86" t="n"/>
      <c r="P111" s="118">
        <f>'Motor'!AR7</f>
        <v/>
      </c>
      <c r="Q111" s="16" t="n"/>
      <c r="R111" s="7" t="n"/>
    </row>
    <row r="112">
      <c r="A112" s="7" t="n"/>
      <c r="B112" s="114" t="inlineStr">
        <is>
          <t>Var. gasto = cambio frente al mes anterior. Rojo: subió más de 10 %; verde: bajó más de 5 %.</t>
        </is>
      </c>
      <c r="C112" s="102" t="n"/>
      <c r="D112" s="102" t="n"/>
      <c r="E112" s="102" t="n"/>
      <c r="F112" s="102" t="n"/>
      <c r="G112" s="102" t="n"/>
      <c r="H112" s="102" t="n"/>
      <c r="I112" s="102" t="n"/>
      <c r="J112" s="102" t="n"/>
      <c r="K112" s="102" t="n"/>
      <c r="L112" s="102" t="n"/>
      <c r="M112" s="102" t="n"/>
      <c r="N112" s="102" t="n"/>
      <c r="O112" s="102" t="n"/>
      <c r="P112" s="102" t="n"/>
      <c r="Q112" s="103" t="n"/>
      <c r="R112" s="7" t="n"/>
    </row>
    <row r="113">
      <c r="A113" s="7" t="n"/>
      <c r="B113" s="7" t="n"/>
      <c r="C113" s="7" t="n"/>
      <c r="D113" s="7" t="n"/>
      <c r="E113" s="7" t="n"/>
      <c r="F113" s="7" t="n"/>
      <c r="G113" s="7" t="n"/>
      <c r="H113" s="7" t="n"/>
      <c r="I113" s="7" t="n"/>
      <c r="J113" s="7" t="n"/>
      <c r="K113" s="7" t="n"/>
      <c r="L113" s="7" t="n"/>
      <c r="M113" s="7" t="n"/>
      <c r="N113" s="7" t="n"/>
      <c r="O113" s="7" t="n"/>
      <c r="P113" s="7" t="n"/>
      <c r="Q113" s="7" t="n"/>
      <c r="R113" s="7" t="n"/>
    </row>
    <row r="114">
      <c r="A114" s="7" t="n"/>
      <c r="B114" s="7" t="n"/>
      <c r="C114" s="7" t="n"/>
      <c r="D114" s="7" t="n"/>
      <c r="E114" s="7" t="n"/>
      <c r="F114" s="7" t="n"/>
      <c r="G114" s="7" t="n"/>
      <c r="H114" s="7" t="n"/>
      <c r="I114" s="7" t="n"/>
      <c r="J114" s="7" t="n"/>
      <c r="K114" s="7" t="n"/>
      <c r="L114" s="7" t="n"/>
      <c r="M114" s="7" t="n"/>
      <c r="N114" s="7" t="n"/>
      <c r="O114" s="7" t="n"/>
      <c r="P114" s="7" t="n"/>
      <c r="Q114" s="7" t="n"/>
      <c r="R114" s="7" t="n"/>
    </row>
    <row r="115">
      <c r="A115" s="7" t="n"/>
      <c r="B115" s="7" t="n"/>
      <c r="C115" s="7" t="n"/>
      <c r="D115" s="7" t="n"/>
      <c r="E115" s="7" t="n"/>
      <c r="F115" s="7" t="n"/>
      <c r="G115" s="7" t="n"/>
      <c r="H115" s="7" t="n"/>
      <c r="I115" s="7" t="n"/>
      <c r="J115" s="7" t="n"/>
      <c r="K115" s="7" t="n"/>
      <c r="L115" s="7" t="n"/>
      <c r="M115" s="7" t="n"/>
      <c r="N115" s="7" t="n"/>
      <c r="O115" s="7" t="n"/>
      <c r="P115" s="7" t="n"/>
      <c r="Q115" s="7" t="n"/>
      <c r="R115" s="7" t="n"/>
    </row>
    <row r="116">
      <c r="A116" s="7" t="n"/>
      <c r="B116" s="7" t="n"/>
      <c r="C116" s="7" t="n"/>
      <c r="D116" s="7" t="n"/>
      <c r="E116" s="7" t="n"/>
      <c r="F116" s="7" t="n"/>
      <c r="G116" s="7" t="n"/>
      <c r="H116" s="7" t="n"/>
      <c r="I116" s="7" t="n"/>
      <c r="J116" s="7" t="n"/>
      <c r="K116" s="7" t="n"/>
      <c r="L116" s="7" t="n"/>
      <c r="M116" s="7" t="n"/>
      <c r="N116" s="7" t="n"/>
      <c r="O116" s="7" t="n"/>
      <c r="P116" s="7" t="n"/>
      <c r="Q116" s="7" t="n"/>
      <c r="R116" s="7" t="n"/>
    </row>
    <row r="117">
      <c r="A117" s="7" t="n"/>
      <c r="B117" s="7" t="n"/>
      <c r="C117" s="7" t="n"/>
      <c r="D117" s="7" t="n"/>
      <c r="E117" s="7" t="n"/>
      <c r="F117" s="7" t="n"/>
      <c r="G117" s="7" t="n"/>
      <c r="H117" s="7" t="n"/>
      <c r="I117" s="7" t="n"/>
      <c r="J117" s="7" t="n"/>
      <c r="K117" s="7" t="n"/>
      <c r="L117" s="7" t="n"/>
      <c r="M117" s="7" t="n"/>
      <c r="N117" s="7" t="n"/>
      <c r="O117" s="7" t="n"/>
      <c r="P117" s="7" t="n"/>
      <c r="Q117" s="7" t="n"/>
      <c r="R117" s="7" t="n"/>
    </row>
    <row r="118">
      <c r="A118" s="7" t="n"/>
      <c r="B118" s="7" t="n"/>
      <c r="C118" s="7" t="n"/>
      <c r="D118" s="7" t="n"/>
      <c r="E118" s="7" t="n"/>
      <c r="F118" s="7" t="n"/>
      <c r="G118" s="7" t="n"/>
      <c r="H118" s="7" t="n"/>
      <c r="I118" s="7" t="n"/>
      <c r="J118" s="7" t="n"/>
      <c r="K118" s="7" t="n"/>
      <c r="L118" s="7" t="n"/>
      <c r="M118" s="7" t="n"/>
      <c r="N118" s="7" t="n"/>
      <c r="O118" s="7" t="n"/>
      <c r="P118" s="7" t="n"/>
      <c r="Q118" s="7" t="n"/>
      <c r="R118" s="7" t="n"/>
    </row>
    <row r="119">
      <c r="A119" s="7" t="n"/>
      <c r="B119" s="7" t="n"/>
      <c r="C119" s="7" t="n"/>
      <c r="D119" s="7" t="n"/>
      <c r="E119" s="7" t="n"/>
      <c r="F119" s="7" t="n"/>
      <c r="G119" s="7" t="n"/>
      <c r="H119" s="7" t="n"/>
      <c r="I119" s="7" t="n"/>
      <c r="J119" s="7" t="n"/>
      <c r="K119" s="7" t="n"/>
      <c r="L119" s="7" t="n"/>
      <c r="M119" s="7" t="n"/>
      <c r="N119" s="7" t="n"/>
      <c r="O119" s="7" t="n"/>
      <c r="P119" s="7" t="n"/>
      <c r="Q119" s="7" t="n"/>
      <c r="R119" s="7" t="n"/>
    </row>
    <row r="120">
      <c r="A120" s="7" t="n"/>
      <c r="B120" s="7" t="n"/>
      <c r="C120" s="7" t="n"/>
      <c r="D120" s="7" t="n"/>
      <c r="E120" s="7" t="n"/>
      <c r="F120" s="7" t="n"/>
      <c r="G120" s="7" t="n"/>
      <c r="H120" s="7" t="n"/>
      <c r="I120" s="7" t="n"/>
      <c r="J120" s="7" t="n"/>
      <c r="K120" s="7" t="n"/>
      <c r="L120" s="7" t="n"/>
      <c r="M120" s="7" t="n"/>
      <c r="N120" s="7" t="n"/>
      <c r="O120" s="7" t="n"/>
      <c r="P120" s="7" t="n"/>
      <c r="Q120" s="7" t="n"/>
      <c r="R120" s="7" t="n"/>
    </row>
    <row r="121">
      <c r="A121" s="7" t="n"/>
      <c r="B121" s="7" t="n"/>
      <c r="C121" s="7" t="n"/>
      <c r="D121" s="7" t="n"/>
      <c r="E121" s="7" t="n"/>
      <c r="F121" s="7" t="n"/>
      <c r="G121" s="7" t="n"/>
      <c r="H121" s="7" t="n"/>
      <c r="I121" s="7" t="n"/>
      <c r="J121" s="7" t="n"/>
      <c r="K121" s="7" t="n"/>
      <c r="L121" s="7" t="n"/>
      <c r="M121" s="7" t="n"/>
      <c r="N121" s="7" t="n"/>
      <c r="O121" s="7" t="n"/>
      <c r="P121" s="7" t="n"/>
      <c r="Q121" s="7" t="n"/>
      <c r="R121" s="7" t="n"/>
    </row>
    <row r="122">
      <c r="A122" s="7" t="n"/>
      <c r="B122" s="7" t="n"/>
      <c r="C122" s="7" t="n"/>
      <c r="D122" s="7" t="n"/>
      <c r="E122" s="7" t="n"/>
      <c r="F122" s="7" t="n"/>
      <c r="G122" s="7" t="n"/>
      <c r="H122" s="7" t="n"/>
      <c r="I122" s="7" t="n"/>
      <c r="J122" s="7" t="n"/>
      <c r="K122" s="7" t="n"/>
      <c r="L122" s="7" t="n"/>
      <c r="M122" s="7" t="n"/>
      <c r="N122" s="7" t="n"/>
      <c r="O122" s="7" t="n"/>
      <c r="P122" s="7" t="n"/>
      <c r="Q122" s="7" t="n"/>
      <c r="R122" s="7" t="n"/>
    </row>
    <row r="123">
      <c r="A123" s="7" t="n"/>
      <c r="B123" s="7" t="n"/>
      <c r="C123" s="7" t="n"/>
      <c r="D123" s="7" t="n"/>
      <c r="E123" s="7" t="n"/>
      <c r="F123" s="7" t="n"/>
      <c r="G123" s="7" t="n"/>
      <c r="H123" s="7" t="n"/>
      <c r="I123" s="7" t="n"/>
      <c r="J123" s="7" t="n"/>
      <c r="K123" s="7" t="n"/>
      <c r="L123" s="7" t="n"/>
      <c r="M123" s="7" t="n"/>
      <c r="N123" s="7" t="n"/>
      <c r="O123" s="7" t="n"/>
      <c r="P123" s="7" t="n"/>
      <c r="Q123" s="7" t="n"/>
      <c r="R123" s="7" t="n"/>
    </row>
    <row r="124">
      <c r="A124" s="7" t="n"/>
      <c r="B124" s="7" t="n"/>
      <c r="C124" s="7" t="n"/>
      <c r="D124" s="7" t="n"/>
      <c r="E124" s="7" t="n"/>
      <c r="F124" s="7" t="n"/>
      <c r="G124" s="7" t="n"/>
      <c r="H124" s="7" t="n"/>
      <c r="I124" s="7" t="n"/>
      <c r="J124" s="7" t="n"/>
      <c r="K124" s="7" t="n"/>
      <c r="L124" s="7" t="n"/>
      <c r="M124" s="7" t="n"/>
      <c r="N124" s="7" t="n"/>
      <c r="O124" s="7" t="n"/>
      <c r="P124" s="7" t="n"/>
      <c r="Q124" s="7" t="n"/>
      <c r="R124" s="7" t="n"/>
    </row>
    <row r="125">
      <c r="A125" s="7" t="n"/>
      <c r="B125" s="7" t="n"/>
      <c r="C125" s="7" t="n"/>
      <c r="D125" s="7" t="n"/>
      <c r="E125" s="7" t="n"/>
      <c r="F125" s="7" t="n"/>
      <c r="G125" s="7" t="n"/>
      <c r="H125" s="7" t="n"/>
      <c r="I125" s="7" t="n"/>
      <c r="J125" s="7" t="n"/>
      <c r="K125" s="7" t="n"/>
      <c r="L125" s="7" t="n"/>
      <c r="M125" s="7" t="n"/>
      <c r="N125" s="7" t="n"/>
      <c r="O125" s="7" t="n"/>
      <c r="P125" s="7" t="n"/>
      <c r="Q125" s="7" t="n"/>
      <c r="R125" s="7" t="n"/>
    </row>
    <row r="126">
      <c r="A126" s="7" t="n"/>
      <c r="B126" s="7" t="n"/>
      <c r="C126" s="7" t="n"/>
      <c r="D126" s="7" t="n"/>
      <c r="E126" s="7" t="n"/>
      <c r="F126" s="7" t="n"/>
      <c r="G126" s="7" t="n"/>
      <c r="H126" s="7" t="n"/>
      <c r="I126" s="7" t="n"/>
      <c r="J126" s="7" t="n"/>
      <c r="K126" s="7" t="n"/>
      <c r="L126" s="7" t="n"/>
      <c r="M126" s="7" t="n"/>
      <c r="N126" s="7" t="n"/>
      <c r="O126" s="7" t="n"/>
      <c r="P126" s="7" t="n"/>
      <c r="Q126" s="7" t="n"/>
      <c r="R126" s="7" t="n"/>
    </row>
    <row r="127">
      <c r="A127" s="7" t="n"/>
      <c r="B127" s="7" t="n"/>
      <c r="C127" s="7" t="n"/>
      <c r="D127" s="7" t="n"/>
      <c r="E127" s="7" t="n"/>
      <c r="F127" s="7" t="n"/>
      <c r="G127" s="7" t="n"/>
      <c r="H127" s="7" t="n"/>
      <c r="I127" s="7" t="n"/>
      <c r="J127" s="7" t="n"/>
      <c r="K127" s="7" t="n"/>
      <c r="L127" s="7" t="n"/>
      <c r="M127" s="7" t="n"/>
      <c r="N127" s="7" t="n"/>
      <c r="O127" s="7" t="n"/>
      <c r="P127" s="7" t="n"/>
      <c r="Q127" s="7" t="n"/>
      <c r="R127" s="7" t="n"/>
    </row>
    <row r="128">
      <c r="A128" s="7" t="n"/>
      <c r="B128" s="7" t="n"/>
      <c r="C128" s="7" t="n"/>
      <c r="D128" s="7" t="n"/>
      <c r="E128" s="7" t="n"/>
      <c r="F128" s="7" t="n"/>
      <c r="G128" s="7" t="n"/>
      <c r="H128" s="7" t="n"/>
      <c r="I128" s="7" t="n"/>
      <c r="J128" s="7" t="n"/>
      <c r="K128" s="7" t="n"/>
      <c r="L128" s="7" t="n"/>
      <c r="M128" s="7" t="n"/>
      <c r="N128" s="7" t="n"/>
      <c r="O128" s="7" t="n"/>
      <c r="P128" s="7" t="n"/>
      <c r="Q128" s="7" t="n"/>
      <c r="R128" s="7" t="n"/>
    </row>
    <row r="129">
      <c r="A129" s="7" t="n"/>
      <c r="B129" s="7" t="n"/>
      <c r="C129" s="7" t="n"/>
      <c r="D129" s="7" t="n"/>
      <c r="E129" s="7" t="n"/>
      <c r="F129" s="7" t="n"/>
      <c r="G129" s="7" t="n"/>
      <c r="H129" s="7" t="n"/>
      <c r="I129" s="7" t="n"/>
      <c r="J129" s="7" t="n"/>
      <c r="K129" s="7" t="n"/>
      <c r="L129" s="7" t="n"/>
      <c r="M129" s="7" t="n"/>
      <c r="N129" s="7" t="n"/>
      <c r="O129" s="7" t="n"/>
      <c r="P129" s="7" t="n"/>
      <c r="Q129" s="7" t="n"/>
      <c r="R129" s="7" t="n"/>
    </row>
    <row r="130">
      <c r="A130" s="7" t="n"/>
      <c r="B130" s="7" t="n"/>
      <c r="C130" s="7" t="n"/>
      <c r="D130" s="7" t="n"/>
      <c r="E130" s="7" t="n"/>
      <c r="F130" s="7" t="n"/>
      <c r="G130" s="7" t="n"/>
      <c r="H130" s="7" t="n"/>
      <c r="I130" s="7" t="n"/>
      <c r="J130" s="7" t="n"/>
      <c r="K130" s="7" t="n"/>
      <c r="L130" s="7" t="n"/>
      <c r="M130" s="7" t="n"/>
      <c r="N130" s="7" t="n"/>
      <c r="O130" s="7" t="n"/>
      <c r="P130" s="7" t="n"/>
      <c r="Q130" s="7" t="n"/>
      <c r="R130" s="7" t="n"/>
    </row>
    <row r="131">
      <c r="A131" s="7" t="n"/>
      <c r="B131" s="7" t="n"/>
      <c r="C131" s="7" t="n"/>
      <c r="D131" s="7" t="n"/>
      <c r="E131" s="7" t="n"/>
      <c r="F131" s="7" t="n"/>
      <c r="G131" s="7" t="n"/>
      <c r="H131" s="7" t="n"/>
      <c r="I131" s="7" t="n"/>
      <c r="J131" s="7" t="n"/>
      <c r="K131" s="7" t="n"/>
      <c r="L131" s="7" t="n"/>
      <c r="M131" s="7" t="n"/>
      <c r="N131" s="7" t="n"/>
      <c r="O131" s="7" t="n"/>
      <c r="P131" s="7" t="n"/>
      <c r="Q131" s="7" t="n"/>
      <c r="R131" s="7" t="n"/>
    </row>
    <row r="132">
      <c r="A132" s="7" t="n"/>
      <c r="B132" s="7" t="n"/>
      <c r="C132" s="7" t="n"/>
      <c r="D132" s="7" t="n"/>
      <c r="E132" s="7" t="n"/>
      <c r="F132" s="7" t="n"/>
      <c r="G132" s="7" t="n"/>
      <c r="H132" s="7" t="n"/>
      <c r="I132" s="7" t="n"/>
      <c r="J132" s="7" t="n"/>
      <c r="K132" s="7" t="n"/>
      <c r="L132" s="7" t="n"/>
      <c r="M132" s="7" t="n"/>
      <c r="N132" s="7" t="n"/>
      <c r="O132" s="7" t="n"/>
      <c r="P132" s="7" t="n"/>
      <c r="Q132" s="7" t="n"/>
      <c r="R132" s="7" t="n"/>
    </row>
    <row r="133">
      <c r="A133" s="7" t="n"/>
      <c r="B133" s="7" t="n"/>
      <c r="C133" s="7" t="n"/>
      <c r="D133" s="7" t="n"/>
      <c r="E133" s="7" t="n"/>
      <c r="F133" s="7" t="n"/>
      <c r="G133" s="7" t="n"/>
      <c r="H133" s="7" t="n"/>
      <c r="I133" s="7" t="n"/>
      <c r="J133" s="7" t="n"/>
      <c r="K133" s="7" t="n"/>
      <c r="L133" s="7" t="n"/>
      <c r="M133" s="7" t="n"/>
      <c r="N133" s="7" t="n"/>
      <c r="O133" s="7" t="n"/>
      <c r="P133" s="7" t="n"/>
      <c r="Q133" s="7" t="n"/>
      <c r="R133" s="7" t="n"/>
    </row>
    <row r="134">
      <c r="A134" s="7" t="n"/>
      <c r="B134" s="7" t="n"/>
      <c r="C134" s="7" t="n"/>
      <c r="D134" s="7" t="n"/>
      <c r="E134" s="7" t="n"/>
      <c r="F134" s="7" t="n"/>
      <c r="G134" s="7" t="n"/>
      <c r="H134" s="7" t="n"/>
      <c r="I134" s="7" t="n"/>
      <c r="J134" s="7" t="n"/>
      <c r="K134" s="7" t="n"/>
      <c r="L134" s="7" t="n"/>
      <c r="M134" s="7" t="n"/>
      <c r="N134" s="7" t="n"/>
      <c r="O134" s="7" t="n"/>
      <c r="P134" s="7" t="n"/>
      <c r="Q134" s="7" t="n"/>
      <c r="R134" s="7" t="n"/>
    </row>
    <row r="135">
      <c r="A135" s="7" t="n"/>
      <c r="B135" s="7" t="n"/>
      <c r="C135" s="7" t="n"/>
      <c r="D135" s="7" t="n"/>
      <c r="E135" s="7" t="n"/>
      <c r="F135" s="7" t="n"/>
      <c r="G135" s="7" t="n"/>
      <c r="H135" s="7" t="n"/>
      <c r="I135" s="7" t="n"/>
      <c r="J135" s="7" t="n"/>
      <c r="K135" s="7" t="n"/>
      <c r="L135" s="7" t="n"/>
      <c r="M135" s="7" t="n"/>
      <c r="N135" s="7" t="n"/>
      <c r="O135" s="7" t="n"/>
      <c r="P135" s="7" t="n"/>
      <c r="Q135" s="7" t="n"/>
      <c r="R135" s="7" t="n"/>
    </row>
    <row r="136">
      <c r="A136" s="7" t="n"/>
      <c r="B136" s="7" t="n"/>
      <c r="C136" s="7" t="n"/>
      <c r="D136" s="7" t="n"/>
      <c r="E136" s="7" t="n"/>
      <c r="F136" s="7" t="n"/>
      <c r="G136" s="7" t="n"/>
      <c r="H136" s="7" t="n"/>
      <c r="I136" s="7" t="n"/>
      <c r="J136" s="7" t="n"/>
      <c r="K136" s="7" t="n"/>
      <c r="L136" s="7" t="n"/>
      <c r="M136" s="7" t="n"/>
      <c r="N136" s="7" t="n"/>
      <c r="O136" s="7" t="n"/>
      <c r="P136" s="7" t="n"/>
      <c r="Q136" s="7" t="n"/>
      <c r="R136" s="7" t="n"/>
    </row>
    <row r="137">
      <c r="A137" s="7" t="n"/>
      <c r="B137" s="7" t="n"/>
      <c r="C137" s="7" t="n"/>
      <c r="D137" s="7" t="n"/>
      <c r="E137" s="7" t="n"/>
      <c r="F137" s="7" t="n"/>
      <c r="G137" s="7" t="n"/>
      <c r="H137" s="7" t="n"/>
      <c r="I137" s="7" t="n"/>
      <c r="J137" s="7" t="n"/>
      <c r="K137" s="7" t="n"/>
      <c r="L137" s="7" t="n"/>
      <c r="M137" s="7" t="n"/>
      <c r="N137" s="7" t="n"/>
      <c r="O137" s="7" t="n"/>
      <c r="P137" s="7" t="n"/>
      <c r="Q137" s="7" t="n"/>
      <c r="R137" s="7" t="n"/>
    </row>
    <row r="138">
      <c r="A138" s="7" t="n"/>
      <c r="B138" s="7" t="n"/>
      <c r="C138" s="7" t="n"/>
      <c r="D138" s="7" t="n"/>
      <c r="E138" s="7" t="n"/>
      <c r="F138" s="7" t="n"/>
      <c r="G138" s="7" t="n"/>
      <c r="H138" s="7" t="n"/>
      <c r="I138" s="7" t="n"/>
      <c r="J138" s="7" t="n"/>
      <c r="K138" s="7" t="n"/>
      <c r="L138" s="7" t="n"/>
      <c r="M138" s="7" t="n"/>
      <c r="N138" s="7" t="n"/>
      <c r="O138" s="7" t="n"/>
      <c r="P138" s="7" t="n"/>
      <c r="Q138" s="7" t="n"/>
      <c r="R138" s="7" t="n"/>
    </row>
    <row r="139">
      <c r="A139" s="7" t="n"/>
      <c r="B139" s="7" t="n"/>
      <c r="C139" s="7" t="n"/>
      <c r="D139" s="7" t="n"/>
      <c r="E139" s="7" t="n"/>
      <c r="F139" s="7" t="n"/>
      <c r="G139" s="7" t="n"/>
      <c r="H139" s="7" t="n"/>
      <c r="I139" s="7" t="n"/>
      <c r="J139" s="7" t="n"/>
      <c r="K139" s="7" t="n"/>
      <c r="L139" s="7" t="n"/>
      <c r="M139" s="7" t="n"/>
      <c r="N139" s="7" t="n"/>
      <c r="O139" s="7" t="n"/>
      <c r="P139" s="7" t="n"/>
      <c r="Q139" s="7" t="n"/>
      <c r="R139" s="7" t="n"/>
    </row>
    <row r="140">
      <c r="A140" s="7" t="n"/>
      <c r="B140" s="7" t="n"/>
      <c r="C140" s="7" t="n"/>
      <c r="D140" s="7" t="n"/>
      <c r="E140" s="7" t="n"/>
      <c r="F140" s="7" t="n"/>
      <c r="G140" s="7" t="n"/>
      <c r="H140" s="7" t="n"/>
      <c r="I140" s="7" t="n"/>
      <c r="J140" s="7" t="n"/>
      <c r="K140" s="7" t="n"/>
      <c r="L140" s="7" t="n"/>
      <c r="M140" s="7" t="n"/>
      <c r="N140" s="7" t="n"/>
      <c r="O140" s="7" t="n"/>
      <c r="P140" s="7" t="n"/>
      <c r="Q140" s="7" t="n"/>
      <c r="R140" s="7" t="n"/>
    </row>
  </sheetData>
  <mergeCells count="201">
    <mergeCell ref="B42:D42"/>
    <mergeCell ref="P110:Q110"/>
    <mergeCell ref="B100:C100"/>
    <mergeCell ref="D100:E100"/>
    <mergeCell ref="P20:Q20"/>
    <mergeCell ref="O4:Q4"/>
    <mergeCell ref="B25:F25"/>
    <mergeCell ref="F103:G103"/>
    <mergeCell ref="M111:N111"/>
    <mergeCell ref="K104:L104"/>
    <mergeCell ref="F108:G108"/>
    <mergeCell ref="E23:F23"/>
    <mergeCell ref="M107:N107"/>
    <mergeCell ref="B102:C102"/>
    <mergeCell ref="P22:Q22"/>
    <mergeCell ref="B34:D34"/>
    <mergeCell ref="B37:D37"/>
    <mergeCell ref="D108:E108"/>
    <mergeCell ref="C87:F87"/>
    <mergeCell ref="N11:Q11"/>
    <mergeCell ref="B101:C101"/>
    <mergeCell ref="F16:I16"/>
    <mergeCell ref="K99:L99"/>
    <mergeCell ref="P111:Q111"/>
    <mergeCell ref="M99:N99"/>
    <mergeCell ref="H108:I108"/>
    <mergeCell ref="C89:F89"/>
    <mergeCell ref="B20:D20"/>
    <mergeCell ref="J4:K4"/>
    <mergeCell ref="K88:N88"/>
    <mergeCell ref="C88:F88"/>
    <mergeCell ref="F9:I10"/>
    <mergeCell ref="B18:Q18"/>
    <mergeCell ref="B27:Q27"/>
    <mergeCell ref="B4:D4"/>
    <mergeCell ref="P103:Q103"/>
    <mergeCell ref="B84:F84"/>
    <mergeCell ref="C93:F93"/>
    <mergeCell ref="K90:N90"/>
    <mergeCell ref="F105:G105"/>
    <mergeCell ref="H105:I105"/>
    <mergeCell ref="J21:K21"/>
    <mergeCell ref="M100:N100"/>
    <mergeCell ref="J14:M15"/>
    <mergeCell ref="B104:C104"/>
    <mergeCell ref="B13:E13"/>
    <mergeCell ref="L19:Q19"/>
    <mergeCell ref="K101:L101"/>
    <mergeCell ref="G25:K25"/>
    <mergeCell ref="F107:G107"/>
    <mergeCell ref="E22:F22"/>
    <mergeCell ref="H107:I107"/>
    <mergeCell ref="J23:K23"/>
    <mergeCell ref="B43:D43"/>
    <mergeCell ref="M102:N102"/>
    <mergeCell ref="B29:Q29"/>
    <mergeCell ref="B106:C106"/>
    <mergeCell ref="O5:Q5"/>
    <mergeCell ref="F13:I13"/>
    <mergeCell ref="D99:E99"/>
    <mergeCell ref="L21:O21"/>
    <mergeCell ref="F99:G99"/>
    <mergeCell ref="B6:Q6"/>
    <mergeCell ref="H102:I102"/>
    <mergeCell ref="D101:E101"/>
    <mergeCell ref="J8:M8"/>
    <mergeCell ref="K87:N87"/>
    <mergeCell ref="B16:E16"/>
    <mergeCell ref="C92:F92"/>
    <mergeCell ref="K106:L106"/>
    <mergeCell ref="N16:Q16"/>
    <mergeCell ref="K89:N89"/>
    <mergeCell ref="K105:L105"/>
    <mergeCell ref="B5:D5"/>
    <mergeCell ref="J20:K20"/>
    <mergeCell ref="B9:E10"/>
    <mergeCell ref="B36:D36"/>
    <mergeCell ref="M105:N105"/>
    <mergeCell ref="F109:G109"/>
    <mergeCell ref="H109:I109"/>
    <mergeCell ref="B103:C103"/>
    <mergeCell ref="D103:E103"/>
    <mergeCell ref="N9:Q10"/>
    <mergeCell ref="B19:F19"/>
    <mergeCell ref="B11:E11"/>
    <mergeCell ref="K107:L107"/>
    <mergeCell ref="F111:G111"/>
    <mergeCell ref="J22:K22"/>
    <mergeCell ref="P102:Q102"/>
    <mergeCell ref="H111:I111"/>
    <mergeCell ref="M101:N101"/>
    <mergeCell ref="F14:I15"/>
    <mergeCell ref="B31:D31"/>
    <mergeCell ref="H104:I104"/>
    <mergeCell ref="J11:M11"/>
    <mergeCell ref="C90:F90"/>
    <mergeCell ref="H5:I5"/>
    <mergeCell ref="L20:O20"/>
    <mergeCell ref="B21:D21"/>
    <mergeCell ref="B39:D39"/>
    <mergeCell ref="H106:I106"/>
    <mergeCell ref="N13:Q13"/>
    <mergeCell ref="L22:O22"/>
    <mergeCell ref="P104:Q104"/>
    <mergeCell ref="B23:D23"/>
    <mergeCell ref="C91:F91"/>
    <mergeCell ref="B83:Q83"/>
    <mergeCell ref="L4:N4"/>
    <mergeCell ref="B105:C105"/>
    <mergeCell ref="J84:N84"/>
    <mergeCell ref="D105:E105"/>
    <mergeCell ref="K93:N93"/>
    <mergeCell ref="E20:F20"/>
    <mergeCell ref="P105:Q105"/>
    <mergeCell ref="K109:L109"/>
    <mergeCell ref="P99:Q99"/>
    <mergeCell ref="M109:N109"/>
    <mergeCell ref="C86:F86"/>
    <mergeCell ref="B107:C107"/>
    <mergeCell ref="K92:N92"/>
    <mergeCell ref="G19:K19"/>
    <mergeCell ref="G20:I20"/>
    <mergeCell ref="D107:E107"/>
    <mergeCell ref="B47:Q47"/>
    <mergeCell ref="F101:G101"/>
    <mergeCell ref="F110:G110"/>
    <mergeCell ref="P107:Q107"/>
    <mergeCell ref="H110:I110"/>
    <mergeCell ref="K111:L111"/>
    <mergeCell ref="P101:Q101"/>
    <mergeCell ref="F100:G100"/>
    <mergeCell ref="G22:I22"/>
    <mergeCell ref="B41:D41"/>
    <mergeCell ref="H100:I100"/>
    <mergeCell ref="B35:D35"/>
    <mergeCell ref="D106:E106"/>
    <mergeCell ref="M104:N104"/>
    <mergeCell ref="B99:C99"/>
    <mergeCell ref="C94:F94"/>
    <mergeCell ref="B108:C108"/>
    <mergeCell ref="D102:E102"/>
    <mergeCell ref="G21:I21"/>
    <mergeCell ref="F102:G102"/>
    <mergeCell ref="M106:N106"/>
    <mergeCell ref="N8:Q8"/>
    <mergeCell ref="B98:Q98"/>
    <mergeCell ref="F8:I8"/>
    <mergeCell ref="B22:D22"/>
    <mergeCell ref="P108:Q108"/>
    <mergeCell ref="G23:I23"/>
    <mergeCell ref="E4:G4"/>
    <mergeCell ref="J16:M16"/>
    <mergeCell ref="L1:R1"/>
    <mergeCell ref="B109:C109"/>
    <mergeCell ref="D109:E109"/>
    <mergeCell ref="J5:K5"/>
    <mergeCell ref="P100:Q100"/>
    <mergeCell ref="H103:I103"/>
    <mergeCell ref="J9:M10"/>
    <mergeCell ref="L5:N5"/>
    <mergeCell ref="K108:L108"/>
    <mergeCell ref="B65:Q65"/>
    <mergeCell ref="P109:Q109"/>
    <mergeCell ref="H4:I4"/>
    <mergeCell ref="D111:E111"/>
    <mergeCell ref="B38:D38"/>
    <mergeCell ref="K110:L110"/>
    <mergeCell ref="B14:E15"/>
    <mergeCell ref="M110:N110"/>
    <mergeCell ref="P21:Q21"/>
    <mergeCell ref="L25:Q25"/>
    <mergeCell ref="N14:Q15"/>
    <mergeCell ref="K100:L100"/>
    <mergeCell ref="D104:E104"/>
    <mergeCell ref="F104:G104"/>
    <mergeCell ref="F11:I11"/>
    <mergeCell ref="B111:C111"/>
    <mergeCell ref="B40:D40"/>
    <mergeCell ref="M108:N108"/>
    <mergeCell ref="P23:Q23"/>
    <mergeCell ref="K102:L102"/>
    <mergeCell ref="B33:D33"/>
    <mergeCell ref="F106:G106"/>
    <mergeCell ref="J13:M13"/>
    <mergeCell ref="B32:D32"/>
    <mergeCell ref="K91:N91"/>
    <mergeCell ref="H99:I99"/>
    <mergeCell ref="K85:N85"/>
    <mergeCell ref="C85:F85"/>
    <mergeCell ref="K94:N94"/>
    <mergeCell ref="L23:O23"/>
    <mergeCell ref="B8:E8"/>
    <mergeCell ref="H101:I101"/>
    <mergeCell ref="P106:Q106"/>
    <mergeCell ref="E5:G5"/>
    <mergeCell ref="K103:L103"/>
    <mergeCell ref="M103:N103"/>
    <mergeCell ref="K86:N86"/>
    <mergeCell ref="B110:C110"/>
    <mergeCell ref="D110:E110"/>
    <mergeCell ref="E21:F21"/>
  </mergeCells>
  <conditionalFormatting sqref="B27:Q27">
    <cfRule type="expression" priority="1" dxfId="0">
      <formula>budNivel=3</formula>
    </cfRule>
    <cfRule type="expression" priority="2" dxfId="6">
      <formula>budNivel=2</formula>
    </cfRule>
    <cfRule type="expression" priority="3" dxfId="7">
      <formula>budNivel=1</formula>
    </cfRule>
  </conditionalFormatting>
  <conditionalFormatting sqref="F32:F43">
    <cfRule type="dataBar" priority="4">
      <dataBar showValue="1">
        <cfvo type="num" val="0"/>
        <cfvo type="num" val="1"/>
        <color rgb="00F4B795"/>
      </dataBar>
    </cfRule>
  </conditionalFormatting>
  <conditionalFormatting sqref="G85:G94">
    <cfRule type="dataBar" priority="5">
      <dataBar showValue="1">
        <cfvo type="num" val="0"/>
        <cfvo type="max"/>
        <color rgb="00F4B795"/>
      </dataBar>
    </cfRule>
  </conditionalFormatting>
  <conditionalFormatting sqref="O85:O94">
    <cfRule type="dataBar" priority="6">
      <dataBar showValue="1">
        <cfvo type="num" val="0"/>
        <cfvo type="max"/>
        <color rgb="00F4B795"/>
      </dataBar>
    </cfRule>
  </conditionalFormatting>
  <conditionalFormatting sqref="O100:O111">
    <cfRule type="cellIs" priority="7" operator="greaterThan" dxfId="8">
      <formula>0.1</formula>
    </cfRule>
    <cfRule type="cellIs" priority="8" operator="lessThan" dxfId="3">
      <formula>-0.05</formula>
    </cfRule>
  </conditionalFormatting>
  <dataValidations count="5">
    <dataValidation sqref="B5" showDropDown="0" showInputMessage="0" showErrorMessage="1" allowBlank="1" errorTitle="Valor no válido" error="Elige un valor de la lista." type="list">
      <formula1>=lstPeriodos</formula1>
    </dataValidation>
    <dataValidation sqref="E5" showDropDown="0" showInputMessage="0" showErrorMessage="1" allowBlank="1" errorTitle="Valor no válido" error="Elige un valor de la lista." type="list">
      <formula1>=lstMeses</formula1>
    </dataValidation>
    <dataValidation sqref="L5" showDropDown="0" showInputMessage="0" showErrorMessage="1" allowBlank="1" errorTitle="Valor no válido" error="Elige un valor de la lista." type="list">
      <formula1>=lstCatFiltro</formula1>
    </dataValidation>
    <dataValidation sqref="O5" showDropDown="0" showInputMessage="0" showErrorMessage="1" allowBlank="1" errorTitle="Valor no válido" error="Elige un valor de la lista." type="list">
      <formula1>=lstCtaFiltro</formula1>
    </dataValidation>
    <dataValidation sqref="H5 J5" showDropDown="0" showInputMessage="0" showErrorMessage="0" allowBlank="1" type="date" operator="between">
      <formula1>DATE(2000,1,1)</formula1>
      <formula2>DATE(2100,12,31)</formula2>
    </dataValidation>
  </dataValidations>
  <hyperlinks>
    <hyperlink ref="B2" location="'Inicio'!A1" display="Inicio"/>
    <hyperlink ref="C2" location="'Registro'!A1" display="Registro"/>
    <hyperlink ref="D2" location="'Dashboard'!A1" display="● Dashboard"/>
    <hyperlink ref="F2" location="'Alimentación'!A1" display="Alimentación"/>
    <hyperlink ref="H2" location="'Gastos hormiga'!A1" display="Hormiga"/>
    <hyperlink ref="I2" location="'Recurrentes'!A1" display="Recurrentes"/>
    <hyperlink ref="K2" location="'Presupuestos'!A1" display="Presupuestos"/>
    <hyperlink ref="M2" location="'Cuentas'!A1" display="Cuentas"/>
    <hyperlink ref="N2" location="'Categorías'!A1" display="Categorías"/>
    <hyperlink ref="O2" location="'Config'!A1" display="Config"/>
  </hyperlinks>
  <printOptions horizontalCentered="1"/>
  <pageMargins left="0.3" right="0.3" top="1" bottom="1" header="0.5" footer="0.5"/>
  <pageSetup orientation="landscape" fitToHeight="0" fitToWidth="1"/>
  <drawing xmlns:r="http://schemas.openxmlformats.org/officeDocument/2006/relationships" r:id="rId1"/>
</worksheet>
</file>

<file path=xl/worksheets/sheet4.xml><?xml version="1.0" encoding="utf-8"?>
<worksheet xmlns="http://schemas.openxmlformats.org/spreadsheetml/2006/main">
  <sheetPr>
    <tabColor rgb="00EB6834"/>
    <outlinePr summaryBelow="1" summaryRight="1"/>
    <pageSetUpPr fitToPage="1"/>
  </sheetPr>
  <dimension ref="A1:R130"/>
  <sheetViews>
    <sheetView showGridLines="0" zoomScale="100" workbookViewId="0">
      <pane ySplit="4" topLeftCell="A5" activePane="bottomLeft" state="frozen"/>
      <selection pane="bottomLeft" activeCell="A1" sqref="A1"/>
    </sheetView>
  </sheetViews>
  <sheetFormatPr baseColWidth="8" defaultRowHeight="15"/>
  <cols>
    <col width="2" customWidth="1" min="1" max="1"/>
    <col width="11" customWidth="1" min="2" max="2"/>
    <col width="11"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 width="11" customWidth="1" min="15" max="15"/>
    <col width="11" customWidth="1" min="16" max="16"/>
    <col width="11" customWidth="1" min="17" max="17"/>
    <col width="2" customWidth="1" min="18" max="18"/>
  </cols>
  <sheetData>
    <row r="1" ht="38" customHeight="1">
      <c r="A1" s="1" t="n"/>
      <c r="B1" s="2" t="inlineStr">
        <is>
          <t>Análisis de alimentación</t>
        </is>
      </c>
      <c r="C1" s="1" t="n"/>
      <c r="D1" s="1" t="n"/>
      <c r="E1" s="1" t="n"/>
      <c r="F1" s="1" t="n"/>
      <c r="G1" s="1" t="n"/>
      <c r="H1" s="1" t="n"/>
      <c r="I1" s="1" t="n"/>
      <c r="J1" s="1" t="n"/>
      <c r="K1" s="1" t="n"/>
      <c r="L1" s="3" t="inlineStr">
        <is>
          <t>Comer fuera vs. cocinar · con tus datos reales</t>
        </is>
      </c>
    </row>
    <row r="2" ht="22" customHeight="1">
      <c r="A2" s="4" t="n"/>
      <c r="B2" s="6" t="inlineStr">
        <is>
          <t>Inicio</t>
        </is>
      </c>
      <c r="C2" s="6" t="inlineStr">
        <is>
          <t>Registro</t>
        </is>
      </c>
      <c r="D2" s="6" t="inlineStr">
        <is>
          <t>Dashboard</t>
        </is>
      </c>
      <c r="E2" s="5" t="inlineStr">
        <is>
          <t>● Alimentación</t>
        </is>
      </c>
      <c r="F2" s="4" t="n"/>
      <c r="G2" s="6" t="inlineStr">
        <is>
          <t>Hormiga</t>
        </is>
      </c>
      <c r="H2" s="6" t="inlineStr">
        <is>
          <t>Recurrentes</t>
        </is>
      </c>
      <c r="I2" s="4" t="n"/>
      <c r="J2" s="6" t="inlineStr">
        <is>
          <t>Presupuestos</t>
        </is>
      </c>
      <c r="K2" s="4" t="n"/>
      <c r="L2" s="6" t="inlineStr">
        <is>
          <t>Cuentas</t>
        </is>
      </c>
      <c r="M2" s="6" t="inlineStr">
        <is>
          <t>Categorías</t>
        </is>
      </c>
      <c r="N2" s="6" t="inlineStr">
        <is>
          <t>Config</t>
        </is>
      </c>
      <c r="O2" s="4" t="n"/>
      <c r="P2" s="4" t="n"/>
      <c r="Q2" s="4" t="n"/>
      <c r="R2" s="4" t="n"/>
    </row>
    <row r="3">
      <c r="A3" s="7" t="n"/>
      <c r="B3" s="7" t="n"/>
      <c r="C3" s="7" t="n"/>
      <c r="D3" s="7" t="n"/>
      <c r="E3" s="7" t="n"/>
      <c r="F3" s="7" t="n"/>
      <c r="G3" s="7" t="n"/>
      <c r="H3" s="7" t="n"/>
      <c r="I3" s="7" t="n"/>
      <c r="J3" s="7" t="n"/>
      <c r="K3" s="7" t="n"/>
      <c r="L3" s="7" t="n"/>
      <c r="M3" s="7" t="n"/>
      <c r="N3" s="7" t="n"/>
      <c r="O3" s="7" t="n"/>
      <c r="P3" s="7" t="n"/>
      <c r="Q3" s="7" t="n"/>
      <c r="R3" s="7" t="n"/>
    </row>
    <row r="4">
      <c r="A4" s="7" t="n"/>
      <c r="B4" s="119">
        <f>"Período: "&amp;pTexto&amp;"   ·   "&amp;pDias&amp;" días   (se cambia en el Dashboard)"</f>
        <v/>
      </c>
      <c r="N4" s="120" t="inlineStr">
        <is>
          <t>Cambiar período →</t>
        </is>
      </c>
      <c r="O4" s="7" t="n"/>
      <c r="P4" s="7" t="n"/>
      <c r="Q4" s="7" t="n"/>
      <c r="R4" s="7" t="n"/>
    </row>
    <row r="5">
      <c r="A5" s="7" t="n"/>
      <c r="B5" s="7" t="n"/>
      <c r="C5" s="7" t="n"/>
      <c r="D5" s="7" t="n"/>
      <c r="E5" s="7" t="n"/>
      <c r="F5" s="7" t="n"/>
      <c r="G5" s="7" t="n"/>
      <c r="H5" s="7" t="n"/>
      <c r="I5" s="7" t="n"/>
      <c r="J5" s="7" t="n"/>
      <c r="K5" s="7" t="n"/>
      <c r="L5" s="7" t="n"/>
      <c r="M5" s="7" t="n"/>
      <c r="N5" s="7" t="n"/>
      <c r="O5" s="7" t="n"/>
      <c r="P5" s="7" t="n"/>
      <c r="Q5" s="7" t="n"/>
      <c r="R5" s="7" t="n"/>
    </row>
    <row r="6" ht="18" customHeight="1">
      <c r="A6" s="7" t="n"/>
      <c r="B6" s="60" t="inlineStr">
        <is>
          <t>COMIDA PREPARADA (FUERA DE CASA)</t>
        </is>
      </c>
      <c r="C6" s="12" t="n"/>
      <c r="D6" s="12" t="n"/>
      <c r="E6" s="13" t="n"/>
      <c r="F6" s="61" t="inlineStr">
        <is>
          <t>SUPERMERCADO E INGREDIENTES</t>
        </is>
      </c>
      <c r="G6" s="12" t="n"/>
      <c r="H6" s="12" t="n"/>
      <c r="I6" s="13" t="n"/>
      <c r="J6" s="121" t="inlineStr">
        <is>
          <t>BEBIDAS, SNACKS Y OTROS</t>
        </is>
      </c>
      <c r="K6" s="12" t="n"/>
      <c r="L6" s="12" t="n"/>
      <c r="M6" s="13" t="n"/>
      <c r="N6" s="60" t="inlineStr">
        <is>
          <t>% DE ALIMENTACIÓN COMIENDO FUERA</t>
        </is>
      </c>
      <c r="O6" s="12" t="n"/>
      <c r="P6" s="12" t="n"/>
      <c r="Q6" s="13" t="n"/>
      <c r="R6" s="7" t="n"/>
    </row>
    <row r="7" ht="18" customHeight="1">
      <c r="A7" s="7" t="n"/>
      <c r="B7" s="64">
        <f>SUMIFS(rGasto,rGrupo,gCP,rFecha,"&gt;="&amp;pIni,rFecha,"&lt;="&amp;pFin)</f>
        <v/>
      </c>
      <c r="E7" s="16" t="n"/>
      <c r="F7" s="65">
        <f>SUMIFS(rGasto,rGrupo,gSI,rFecha,"&gt;="&amp;pIni,rFecha,"&lt;="&amp;pFin)</f>
        <v/>
      </c>
      <c r="I7" s="16" t="n"/>
      <c r="J7" s="122">
        <f>SUMIFS(rGasto,rGrupo,gBS,rFecha,"&gt;="&amp;pIni,rFecha,"&lt;="&amp;pFin)</f>
        <v/>
      </c>
      <c r="M7" s="16" t="n"/>
      <c r="N7" s="123">
        <f>IF(SUMIFS(rGasto,rGrupo,"?*",rFecha,"&gt;="&amp;pIni,rFecha,"&lt;="&amp;pFin)=0,"–",SUMIFS(rGasto,rGrupo,gCP,rFecha,"&gt;="&amp;pIni,rFecha,"&lt;="&amp;pFin)/SUMIFS(rGasto,rGrupo,"?*",rFecha,"&gt;="&amp;pIni,rFecha,"&lt;="&amp;pFin))</f>
        <v/>
      </c>
      <c r="Q7" s="16" t="n"/>
      <c r="R7" s="7" t="n"/>
    </row>
    <row r="8" ht="18" customHeight="1">
      <c r="A8" s="7" t="n"/>
      <c r="B8" s="68" t="n"/>
      <c r="E8" s="16" t="n"/>
      <c r="F8" s="69" t="n"/>
      <c r="I8" s="16" t="n"/>
      <c r="J8" s="124" t="n"/>
      <c r="M8" s="16" t="n"/>
      <c r="N8" s="68" t="n"/>
      <c r="Q8" s="16" t="n"/>
      <c r="R8" s="7" t="n"/>
    </row>
    <row r="9" ht="24" customHeight="1">
      <c r="A9" s="7" t="n"/>
      <c r="B9" s="72">
        <f>COUNTIFS(rGrupo,gCP,rTipoE,"Gasto",rFecha,"&gt;="&amp;pIni,rFecha,"&lt;="&amp;pFin)&amp;" compras  ·  ticket promedio RD$ "&amp;IF(COUNTIFS(rGrupo,gCP,rTipoE,"Gasto",rFecha,"&gt;="&amp;pIni,rFecha,"&lt;="&amp;pFin)=0,0,FIXED(SUMIFS(rGasto,rGrupo,gCP,rFecha,"&gt;="&amp;pIni,rFecha,"&lt;="&amp;pFin)/COUNTIFS(rGrupo,gCP,rTipoE,"Gasto",rFecha,"&gt;="&amp;pIni,rFecha,"&lt;="&amp;pFin),0))</f>
        <v/>
      </c>
      <c r="C9" s="19" t="n"/>
      <c r="D9" s="19" t="n"/>
      <c r="E9" s="20" t="n"/>
      <c r="F9" s="73">
        <f>COUNTIFS(rGrupo,gSI,rTipoE,"Gasto",rFecha,"&gt;="&amp;pIni,rFecha,"&lt;="&amp;pFin)&amp;" compras  ·  ticket promedio RD$ "&amp;IF(COUNTIFS(rGrupo,gSI,rTipoE,"Gasto",rFecha,"&gt;="&amp;pIni,rFecha,"&lt;="&amp;pFin)=0,0,FIXED(SUMIFS(rGasto,rGrupo,gSI,rFecha,"&gt;="&amp;pIni,rFecha,"&lt;="&amp;pFin)/COUNTIFS(rGrupo,gSI,rTipoE,"Gasto",rFecha,"&gt;="&amp;pIni,rFecha,"&lt;="&amp;pFin),0))</f>
        <v/>
      </c>
      <c r="G9" s="19" t="n"/>
      <c r="H9" s="19" t="n"/>
      <c r="I9" s="20" t="n"/>
      <c r="J9" s="125">
        <f>"Total alimentación: RD$ "&amp;FIXED(SUMIFS(rGasto,rGrupo,"?*",rFecha,"&gt;="&amp;pIni,rFecha,"&lt;="&amp;pFin),0)</f>
        <v/>
      </c>
      <c r="K9" s="19" t="n"/>
      <c r="L9" s="19" t="n"/>
      <c r="M9" s="20" t="n"/>
      <c r="N9" s="72">
        <f>"Alimentación = "&amp;IF(SUMIFS(rGasto,rFecha,"&gt;="&amp;pIni,rFecha,"&lt;="&amp;pFin)=0,0,FIXED(SUMIFS(rGasto,rGrupo,"?*",rFecha,"&gt;="&amp;pIni,rFecha,"&lt;="&amp;pFin)/SUMIFS(rGasto,rFecha,"&gt;="&amp;pIni,rFecha,"&lt;="&amp;pFin)*100,0))&amp;"% del gasto real"</f>
        <v/>
      </c>
      <c r="O9" s="19" t="n"/>
      <c r="P9" s="19" t="n"/>
      <c r="Q9" s="20" t="n"/>
      <c r="R9" s="7" t="n"/>
    </row>
    <row r="10">
      <c r="A10" s="7" t="n"/>
      <c r="B10" s="7" t="n"/>
      <c r="C10" s="7" t="n"/>
      <c r="D10" s="7" t="n"/>
      <c r="E10" s="7" t="n"/>
      <c r="F10" s="7" t="n"/>
      <c r="G10" s="7" t="n"/>
      <c r="H10" s="7" t="n"/>
      <c r="I10" s="7" t="n"/>
      <c r="J10" s="7" t="n"/>
      <c r="K10" s="7" t="n"/>
      <c r="L10" s="7" t="n"/>
      <c r="M10" s="7" t="n"/>
      <c r="N10" s="7" t="n"/>
      <c r="O10" s="7" t="n"/>
      <c r="P10" s="7" t="n"/>
      <c r="Q10" s="7" t="n"/>
      <c r="R10" s="7" t="n"/>
    </row>
    <row r="11" ht="18" customHeight="1">
      <c r="A11" s="7" t="n"/>
      <c r="B11" s="60" t="inlineStr">
        <is>
          <t>COSTO PROMEDIO POR DESAYUNO</t>
        </is>
      </c>
      <c r="C11" s="12" t="n"/>
      <c r="D11" s="12" t="n"/>
      <c r="E11" s="13" t="n"/>
      <c r="F11" s="60" t="inlineStr">
        <is>
          <t>COSTO PROMEDIO POR ALMUERZO</t>
        </is>
      </c>
      <c r="G11" s="12" t="n"/>
      <c r="H11" s="12" t="n"/>
      <c r="I11" s="13" t="n"/>
      <c r="J11" s="60" t="inlineStr">
        <is>
          <t>COSTO PROMEDIO POR CENA</t>
        </is>
      </c>
      <c r="K11" s="12" t="n"/>
      <c r="L11" s="12" t="n"/>
      <c r="M11" s="13" t="n"/>
      <c r="N11" s="60" t="inlineStr">
        <is>
          <t>FRECUENCIA DE COMIDA COMPRADA</t>
        </is>
      </c>
      <c r="O11" s="12" t="n"/>
      <c r="P11" s="12" t="n"/>
      <c r="Q11" s="13" t="n"/>
      <c r="R11" s="7" t="n"/>
    </row>
    <row r="12" ht="18" customHeight="1">
      <c r="A12" s="7" t="n"/>
      <c r="B12" s="75">
        <f>IF(SUMIF($E$38:$E$49,"Desayuno",$G$38:$G$49)=0,"Sin datos",SUMIF($E$38:$E$49,"Desayuno",$H$38:$H$49)/SUMIF($E$38:$E$49,"Desayuno",$G$38:$G$49))</f>
        <v/>
      </c>
      <c r="E12" s="16" t="n"/>
      <c r="F12" s="75">
        <f>IF(SUMIF($E$38:$E$49,"Almuerzo",$G$38:$G$49)=0,"Sin datos",SUMIF($E$38:$E$49,"Almuerzo",$H$38:$H$49)/SUMIF($E$38:$E$49,"Almuerzo",$G$38:$G$49))</f>
        <v/>
      </c>
      <c r="I12" s="16" t="n"/>
      <c r="J12" s="75">
        <f>IF(SUMIF($E$38:$E$49,"Cena",$G$38:$G$49)=0,"Sin datos",SUMIF($E$38:$E$49,"Cena",$H$38:$H$49)/SUMIF($E$38:$E$49,"Cena",$G$38:$G$49))</f>
        <v/>
      </c>
      <c r="M12" s="16" t="n"/>
      <c r="N12" s="126">
        <f>COUNTIFS(rGrupo,gCP,rTipoE,"Gasto",rFecha,"&gt;="&amp;pIni,rFecha,"&lt;="&amp;pFin)/pDias*7</f>
        <v/>
      </c>
      <c r="Q12" s="16" t="n"/>
      <c r="R12" s="7" t="n"/>
    </row>
    <row r="13" ht="18" customHeight="1">
      <c r="A13" s="7" t="n"/>
      <c r="B13" s="68" t="n"/>
      <c r="E13" s="16" t="n"/>
      <c r="F13" s="68" t="n"/>
      <c r="I13" s="16" t="n"/>
      <c r="J13" s="68" t="n"/>
      <c r="M13" s="16" t="n"/>
      <c r="N13" s="68" t="n"/>
      <c r="Q13" s="16" t="n"/>
      <c r="R13" s="7" t="n"/>
    </row>
    <row r="14" ht="24" customHeight="1">
      <c r="A14" s="7" t="n"/>
      <c r="B14" s="72">
        <f>SUMIF($E$38:$E$49,"Desayuno",$G$38:$G$49)&amp;" desayunos comprados"</f>
        <v/>
      </c>
      <c r="C14" s="19" t="n"/>
      <c r="D14" s="19" t="n"/>
      <c r="E14" s="20" t="n"/>
      <c r="F14" s="72">
        <f>SUMIF($E$38:$E$49,"Almuerzo",$G$38:$G$49)&amp;" almuerzos comprados"</f>
        <v/>
      </c>
      <c r="G14" s="19" t="n"/>
      <c r="H14" s="19" t="n"/>
      <c r="I14" s="20" t="n"/>
      <c r="J14" s="72">
        <f>SUMIF($E$38:$E$49,"Cena",$G$38:$G$49)&amp;" cenas compradas"</f>
        <v/>
      </c>
      <c r="K14" s="19" t="n"/>
      <c r="L14" s="19" t="n"/>
      <c r="M14" s="20" t="n"/>
      <c r="N14" s="72">
        <f>"Días con comida comprada: "&amp;COUNTIF('Motor'!$BK$7:$BK$372,"&gt;0")&amp;" de "&amp;pDias&amp;"  ·  "&amp;FIXED(COUNTIFS(rGrupo,gCP,rTipoE,"Gasto",rFecha,"&gt;="&amp;pIni,rFecha,"&lt;="&amp;pFin)/pDias*30.4,0)&amp;" al mes"</f>
        <v/>
      </c>
      <c r="O14" s="19" t="n"/>
      <c r="P14" s="19" t="n"/>
      <c r="Q14" s="20" t="n"/>
      <c r="R14" s="7" t="n"/>
    </row>
    <row r="15">
      <c r="A15" s="7" t="n"/>
      <c r="B15" s="7" t="n"/>
      <c r="C15" s="7" t="n"/>
      <c r="D15" s="7" t="n"/>
      <c r="E15" s="7" t="n"/>
      <c r="F15" s="7" t="n"/>
      <c r="G15" s="7" t="n"/>
      <c r="H15" s="7" t="n"/>
      <c r="I15" s="7" t="n"/>
      <c r="J15" s="7" t="n"/>
      <c r="K15" s="7" t="n"/>
      <c r="L15" s="7" t="n"/>
      <c r="M15" s="7" t="n"/>
      <c r="N15" s="7" t="n"/>
      <c r="O15" s="7" t="n"/>
      <c r="P15" s="7" t="n"/>
      <c r="Q15" s="7" t="n"/>
      <c r="R15" s="7" t="n"/>
    </row>
    <row r="16" ht="24" customHeight="1">
      <c r="A16" s="7" t="n"/>
      <c r="B16" s="9" t="inlineStr">
        <is>
          <t>Comer fuera vs. cocinar en casa  ·  comparación con tus datos (no se asume que cocinar sea más barato)</t>
        </is>
      </c>
      <c r="C16" s="10" t="n"/>
      <c r="D16" s="10" t="n"/>
      <c r="E16" s="10" t="n"/>
      <c r="F16" s="10" t="n"/>
      <c r="G16" s="10" t="n"/>
      <c r="H16" s="10" t="n"/>
      <c r="I16" s="10" t="n"/>
      <c r="J16" s="10" t="n"/>
      <c r="K16" s="10" t="n"/>
      <c r="L16" s="10" t="n"/>
      <c r="M16" s="10" t="n"/>
      <c r="N16" s="10" t="n"/>
      <c r="O16" s="10" t="n"/>
      <c r="P16" s="10" t="n"/>
      <c r="Q16" s="10" t="n"/>
      <c r="R16" s="7" t="n"/>
    </row>
    <row r="17">
      <c r="A17" s="7" t="n"/>
      <c r="B17" s="92" t="n"/>
      <c r="C17" s="93" t="n"/>
      <c r="D17" s="93" t="n"/>
      <c r="E17" s="93" t="n"/>
      <c r="F17" s="93" t="n"/>
      <c r="G17" s="93" t="n"/>
      <c r="H17" s="93" t="n"/>
      <c r="I17" s="93" t="n"/>
      <c r="J17" s="93" t="n"/>
      <c r="K17" s="93" t="n"/>
      <c r="L17" s="93" t="n"/>
      <c r="M17" s="93" t="n"/>
      <c r="N17" s="93" t="n"/>
      <c r="O17" s="93" t="n"/>
      <c r="P17" s="93" t="n"/>
      <c r="Q17" s="94" t="n"/>
      <c r="R17" s="7" t="n"/>
    </row>
    <row r="18">
      <c r="A18" s="7" t="n"/>
      <c r="B18" s="95" t="inlineStr">
        <is>
          <t>TUS DATOS (opcionales)</t>
        </is>
      </c>
      <c r="C18" s="86" t="n"/>
      <c r="D18" s="86" t="n"/>
      <c r="E18" s="86" t="n"/>
      <c r="F18" s="86" t="n"/>
      <c r="G18" s="86" t="n"/>
      <c r="H18" s="86" t="n"/>
      <c r="I18" s="86" t="n"/>
      <c r="J18" s="86" t="n"/>
      <c r="K18" s="127" t="inlineStr">
        <is>
          <t>RESULTADO</t>
        </is>
      </c>
      <c r="L18" s="86" t="n"/>
      <c r="M18" s="86" t="n"/>
      <c r="N18" s="86" t="n"/>
      <c r="O18" s="86" t="n"/>
      <c r="P18" s="86" t="n"/>
      <c r="Q18" s="87" t="n"/>
      <c r="R18" s="7" t="n"/>
    </row>
    <row r="19">
      <c r="A19" s="7" t="n"/>
      <c r="B19" s="80" t="inlineStr">
        <is>
          <t>Comidas que preparaste en casa en el período</t>
        </is>
      </c>
      <c r="H19" s="128" t="n"/>
      <c r="I19" s="129" t="n"/>
      <c r="J19" s="86" t="n"/>
      <c r="K19" s="111" t="inlineStr">
        <is>
          <t>Costo promedio por comida comprada</t>
        </is>
      </c>
      <c r="P19" s="130">
        <f>IF(COUNTIFS(rGrupo,gCP,rTipoE,"Gasto",rFecha,"&gt;="&amp;pIni,rFecha,"&lt;="&amp;pFin)=0,"",SUMIFS(rGasto,rGrupo,gCP,rFecha,"&gt;="&amp;pIni,rFecha,"&lt;="&amp;pFin)/COUNTIFS(rGrupo,gCP,rTipoE,"Gasto",rFecha,"&gt;="&amp;pIni,rFecha,"&lt;="&amp;pFin))</f>
        <v/>
      </c>
      <c r="Q19" s="16" t="n"/>
      <c r="R19" s="7" t="n"/>
    </row>
    <row r="20">
      <c r="A20" s="7" t="n"/>
      <c r="B20" s="80" t="inlineStr">
        <is>
          <t>% del súper e ingredientes que es comida (resto: limpieza, hogar…)</t>
        </is>
      </c>
      <c r="H20" s="131" t="n">
        <v>1</v>
      </c>
      <c r="I20" s="129" t="n"/>
      <c r="J20" s="86" t="n"/>
      <c r="K20" s="111" t="inlineStr">
        <is>
          <t>Costo por comida en casa</t>
        </is>
      </c>
      <c r="P20" s="130">
        <f>IF(N(aliCasaN)&gt;0,SUMIFS(rGasto,rGrupo,gSI,rFecha,"&gt;="&amp;pIni,rFecha,"&lt;="&amp;pFin)*aliPctSuper/aliCasaN,IF(N(aliCasaEst)&gt;0,aliCasaEst,""))</f>
        <v/>
      </c>
      <c r="Q20" s="16" t="n"/>
      <c r="R20" s="7" t="n"/>
    </row>
    <row r="21">
      <c r="A21" s="7" t="n"/>
      <c r="B21" s="80" t="inlineStr">
        <is>
          <t>Costo estimado por comida en casa (solo si no tienes el conteo)</t>
        </is>
      </c>
      <c r="H21" s="132" t="n"/>
      <c r="I21" s="129" t="n"/>
      <c r="J21" s="86" t="n"/>
      <c r="K21" s="104" t="inlineStr">
        <is>
          <t>Diferencia por comida (comprada − casa)</t>
        </is>
      </c>
      <c r="P21" s="130">
        <f>IF(OR(P19="",P20=""),"",P19-P20)</f>
        <v/>
      </c>
      <c r="Q21" s="16" t="n"/>
      <c r="R21" s="7" t="n"/>
    </row>
    <row r="22">
      <c r="A22" s="7" t="n"/>
      <c r="B22" s="85" t="n"/>
      <c r="C22" s="86" t="n"/>
      <c r="D22" s="86" t="n"/>
      <c r="E22" s="86" t="n"/>
      <c r="F22" s="86" t="n"/>
      <c r="G22" s="86" t="n"/>
      <c r="H22" s="86" t="n"/>
      <c r="I22" s="86" t="n"/>
      <c r="J22" s="86" t="n"/>
      <c r="K22" s="86" t="n"/>
      <c r="L22" s="86" t="n"/>
      <c r="M22" s="86" t="n"/>
      <c r="N22" s="86" t="n"/>
      <c r="O22" s="86" t="n"/>
      <c r="P22" s="86" t="n"/>
      <c r="Q22" s="87" t="n"/>
      <c r="R22" s="7" t="n"/>
    </row>
    <row r="23">
      <c r="A23" s="7" t="n"/>
      <c r="B23" s="133" t="inlineStr">
        <is>
          <t>Cómo se calcula: costo por comida en casa = (súper + ingredientes del período × % que es comida) ÷ comidas preparadas en casa. Si cocinas para varias personas o te sobran ingredientes, ajusta el conteo o el %.</t>
        </is>
      </c>
      <c r="J23" s="86" t="n"/>
      <c r="K23" s="134">
        <f>IF(P19="","Aún no hay compras de comida preparada en el período.",IF(P20="","Para comparar, escribe cuántas comidas cocinaste en casa (o un costo estimado). Mientras tanto, cada comida comprada cuesta en promedio RD$ "&amp;FIXED(P19,0)&amp;".",IF(P21&gt;0,"Según tus datos, una comida en casa cuesta RD$ "&amp;FIXED(P21,0)&amp;" menos ("&amp;FIXED(P21/P19*100,0)&amp;"% más barata) que una comprada.","Según tus datos, cocinar NO está saliendo más barato: cuesta RD$ "&amp;FIXED(-P21,0)&amp;" más por comida. Revisa qué compras en el súper.")))</f>
        <v/>
      </c>
      <c r="Q23" s="16" t="n"/>
      <c r="R23" s="7" t="n"/>
    </row>
    <row r="24">
      <c r="A24" s="7" t="n"/>
      <c r="B24" s="135" t="n"/>
      <c r="J24" s="86" t="n"/>
      <c r="Q24" s="16" t="n"/>
      <c r="R24" s="7" t="n"/>
    </row>
    <row r="25">
      <c r="A25" s="7" t="n"/>
      <c r="B25" s="135" t="n"/>
      <c r="J25" s="86" t="n"/>
      <c r="Q25" s="16" t="n"/>
      <c r="R25" s="7" t="n"/>
    </row>
    <row r="26">
      <c r="A26" s="7" t="n"/>
      <c r="B26" s="135" t="n"/>
      <c r="J26" s="86" t="n"/>
      <c r="Q26" s="16" t="n"/>
      <c r="R26" s="7" t="n"/>
    </row>
    <row r="27">
      <c r="A27" s="7" t="n"/>
      <c r="B27" s="101" t="n"/>
      <c r="C27" s="102" t="n"/>
      <c r="D27" s="102" t="n"/>
      <c r="E27" s="102" t="n"/>
      <c r="F27" s="102" t="n"/>
      <c r="G27" s="102" t="n"/>
      <c r="H27" s="102" t="n"/>
      <c r="I27" s="102" t="n"/>
      <c r="J27" s="102" t="n"/>
      <c r="K27" s="102" t="n"/>
      <c r="L27" s="102" t="n"/>
      <c r="M27" s="102" t="n"/>
      <c r="N27" s="102" t="n"/>
      <c r="O27" s="102" t="n"/>
      <c r="P27" s="102" t="n"/>
      <c r="Q27" s="103" t="n"/>
      <c r="R27" s="7" t="n"/>
    </row>
    <row r="28">
      <c r="A28" s="7" t="n"/>
      <c r="B28" s="7" t="n"/>
      <c r="C28" s="7" t="n"/>
      <c r="D28" s="7" t="n"/>
      <c r="E28" s="7" t="n"/>
      <c r="F28" s="7" t="n"/>
      <c r="G28" s="7" t="n"/>
      <c r="H28" s="7" t="n"/>
      <c r="I28" s="7" t="n"/>
      <c r="J28" s="7" t="n"/>
      <c r="K28" s="7" t="n"/>
      <c r="L28" s="7" t="n"/>
      <c r="M28" s="7" t="n"/>
      <c r="N28" s="7" t="n"/>
      <c r="O28" s="7" t="n"/>
      <c r="P28" s="7" t="n"/>
      <c r="Q28" s="7" t="n"/>
      <c r="R28" s="7" t="n"/>
    </row>
    <row r="29" ht="24" customHeight="1">
      <c r="A29" s="7" t="n"/>
      <c r="B29" s="9" t="inlineStr">
        <is>
          <t>Simulador de ahorro  ·  ¿qué pasa si compro menos comida preparada?</t>
        </is>
      </c>
      <c r="C29" s="10" t="n"/>
      <c r="D29" s="10" t="n"/>
      <c r="E29" s="10" t="n"/>
      <c r="F29" s="10" t="n"/>
      <c r="G29" s="10" t="n"/>
      <c r="H29" s="10" t="n"/>
      <c r="I29" s="10" t="n"/>
      <c r="J29" s="10" t="n"/>
      <c r="K29" s="10" t="n"/>
      <c r="L29" s="10" t="n"/>
      <c r="M29" s="10" t="n"/>
      <c r="N29" s="10" t="n"/>
      <c r="O29" s="10" t="n"/>
      <c r="P29" s="10" t="n"/>
      <c r="Q29" s="10" t="n"/>
      <c r="R29" s="7" t="n"/>
    </row>
    <row r="30" ht="26" customHeight="1">
      <c r="A30" s="7" t="n"/>
      <c r="B30" s="136" t="inlineStr">
        <is>
          <t>Reducción</t>
        </is>
      </c>
      <c r="C30" s="12" t="n"/>
      <c r="D30" s="137" t="inlineStr">
        <is>
          <t>Comidas evitadas / semana</t>
        </is>
      </c>
      <c r="E30" s="12" t="n"/>
      <c r="F30" s="137" t="inlineStr">
        <is>
          <t>Ahorro bruto / semana</t>
        </is>
      </c>
      <c r="G30" s="12" t="n"/>
      <c r="H30" s="137" t="inlineStr">
        <is>
          <t>Costo de cocinarlas</t>
        </is>
      </c>
      <c r="I30" s="12" t="n"/>
      <c r="J30" s="137" t="inlineStr">
        <is>
          <t>Ahorro neto / semana</t>
        </is>
      </c>
      <c r="K30" s="12" t="n"/>
      <c r="L30" s="137" t="inlineStr">
        <is>
          <t>Ahorro neto / mes</t>
        </is>
      </c>
      <c r="M30" s="12" t="n"/>
      <c r="N30" s="137" t="inlineStr">
        <is>
          <t>Ahorro neto / año</t>
        </is>
      </c>
      <c r="O30" s="12" t="n"/>
      <c r="P30" s="138" t="inlineStr"/>
      <c r="Q30" s="13" t="n"/>
      <c r="R30" s="7" t="n"/>
    </row>
    <row r="31" ht="20" customHeight="1">
      <c r="A31" s="7" t="n"/>
      <c r="B31" s="139" t="n">
        <v>0.1</v>
      </c>
      <c r="C31" s="129" t="n"/>
      <c r="D31" s="140">
        <f>(COUNTIFS(rGrupo,gCP,rTipoE,"Gasto",rFecha,"&gt;="&amp;pIni,rFecha,"&lt;="&amp;pFin)/pDias*7)*B31</f>
        <v/>
      </c>
      <c r="F31" s="141">
        <f>IF(aliCostoFuera="",0,D31*aliCostoFuera)</f>
        <v/>
      </c>
      <c r="H31" s="142">
        <f>IF(aliCostoCasa="","Falta dato",D31*aliCostoCasa)</f>
        <v/>
      </c>
      <c r="J31" s="143">
        <f>IF(ISNUMBER(H31),F31-H31,"–")</f>
        <v/>
      </c>
      <c r="L31" s="144">
        <f>IF(ISNUMBER(J31),J31*52/12,"–")</f>
        <v/>
      </c>
      <c r="N31" s="145">
        <f>IF(ISNUMBER(J31),J31*52,"–")</f>
        <v/>
      </c>
      <c r="P31" s="146">
        <f>IF(ISNUMBER(J31),"","Bruto/año: RD$ "&amp;FIXED(F31*52,0))</f>
        <v/>
      </c>
      <c r="Q31" s="16" t="n"/>
      <c r="R31" s="7" t="n"/>
    </row>
    <row r="32">
      <c r="A32" s="7" t="n"/>
      <c r="B32" s="139" t="n">
        <v>0.25</v>
      </c>
      <c r="C32" s="129" t="n"/>
      <c r="D32" s="140">
        <f>(COUNTIFS(rGrupo,gCP,rTipoE,"Gasto",rFecha,"&gt;="&amp;pIni,rFecha,"&lt;="&amp;pFin)/pDias*7)*B32</f>
        <v/>
      </c>
      <c r="F32" s="141">
        <f>IF(aliCostoFuera="",0,D32*aliCostoFuera)</f>
        <v/>
      </c>
      <c r="H32" s="142">
        <f>IF(aliCostoCasa="","Falta dato",D32*aliCostoCasa)</f>
        <v/>
      </c>
      <c r="J32" s="143">
        <f>IF(ISNUMBER(H32),F32-H32,"–")</f>
        <v/>
      </c>
      <c r="L32" s="144">
        <f>IF(ISNUMBER(J32),J32*52/12,"–")</f>
        <v/>
      </c>
      <c r="N32" s="145">
        <f>IF(ISNUMBER(J32),J32*52,"–")</f>
        <v/>
      </c>
      <c r="P32" s="146">
        <f>IF(ISNUMBER(J32),"","Bruto/año: RD$ "&amp;FIXED(F32*52,0))</f>
        <v/>
      </c>
      <c r="Q32" s="16" t="n"/>
      <c r="R32" s="7" t="n"/>
    </row>
    <row r="33">
      <c r="A33" s="7" t="n"/>
      <c r="B33" s="139" t="n">
        <v>0.5</v>
      </c>
      <c r="C33" s="129" t="n"/>
      <c r="D33" s="140">
        <f>(COUNTIFS(rGrupo,gCP,rTipoE,"Gasto",rFecha,"&gt;="&amp;pIni,rFecha,"&lt;="&amp;pFin)/pDias*7)*B33</f>
        <v/>
      </c>
      <c r="F33" s="141">
        <f>IF(aliCostoFuera="",0,D33*aliCostoFuera)</f>
        <v/>
      </c>
      <c r="H33" s="142">
        <f>IF(aliCostoCasa="","Falta dato",D33*aliCostoCasa)</f>
        <v/>
      </c>
      <c r="J33" s="143">
        <f>IF(ISNUMBER(H33),F33-H33,"–")</f>
        <v/>
      </c>
      <c r="L33" s="144">
        <f>IF(ISNUMBER(J33),J33*52/12,"–")</f>
        <v/>
      </c>
      <c r="N33" s="145">
        <f>IF(ISNUMBER(J33),J33*52,"–")</f>
        <v/>
      </c>
      <c r="P33" s="146">
        <f>IF(ISNUMBER(J33),"","Bruto/año: RD$ "&amp;FIXED(F33*52,0))</f>
        <v/>
      </c>
      <c r="Q33" s="16" t="n"/>
      <c r="R33" s="7" t="n"/>
    </row>
    <row r="34">
      <c r="A34" s="7" t="n"/>
      <c r="B34" s="139" t="n">
        <v>0.75</v>
      </c>
      <c r="C34" s="129" t="n"/>
      <c r="D34" s="147">
        <f>(COUNTIFS(rGrupo,gCP,rTipoE,"Gasto",rFecha,"&gt;="&amp;pIni,rFecha,"&lt;="&amp;pFin)/pDias*7)*B34</f>
        <v/>
      </c>
      <c r="E34" s="19" t="n"/>
      <c r="F34" s="148">
        <f>IF(aliCostoFuera="",0,D34*aliCostoFuera)</f>
        <v/>
      </c>
      <c r="G34" s="19" t="n"/>
      <c r="H34" s="149">
        <f>IF(aliCostoCasa="","Falta dato",D34*aliCostoCasa)</f>
        <v/>
      </c>
      <c r="I34" s="19" t="n"/>
      <c r="J34" s="150">
        <f>IF(ISNUMBER(H34),F34-H34,"–")</f>
        <v/>
      </c>
      <c r="K34" s="19" t="n"/>
      <c r="L34" s="151">
        <f>IF(ISNUMBER(J34),J34*52/12,"–")</f>
        <v/>
      </c>
      <c r="M34" s="19" t="n"/>
      <c r="N34" s="152">
        <f>IF(ISNUMBER(J34),J34*52,"–")</f>
        <v/>
      </c>
      <c r="O34" s="19" t="n"/>
      <c r="P34" s="153">
        <f>IF(ISNUMBER(J34),"","Bruto/año: RD$ "&amp;FIXED(F34*52,0))</f>
        <v/>
      </c>
      <c r="Q34" s="20" t="n"/>
      <c r="R34" s="7" t="n"/>
    </row>
    <row r="35">
      <c r="A35" s="7" t="n"/>
      <c r="B35" s="154" t="inlineStr">
        <is>
          <t>Los % de reducción son editables (celdas amarillas). Sin costo en casa solo se muestra el ahorro bruto: el neto requiere ese dato.</t>
        </is>
      </c>
      <c r="C35" s="7" t="n"/>
      <c r="D35" s="7" t="n"/>
      <c r="E35" s="7" t="n"/>
      <c r="F35" s="7" t="n"/>
      <c r="G35" s="7" t="n"/>
      <c r="H35" s="7" t="n"/>
      <c r="I35" s="7" t="n"/>
      <c r="J35" s="7" t="n"/>
      <c r="K35" s="7" t="n"/>
      <c r="L35" s="7" t="n"/>
      <c r="M35" s="7" t="n"/>
      <c r="N35" s="7" t="n"/>
      <c r="O35" s="7" t="n"/>
      <c r="P35" s="7" t="n"/>
      <c r="Q35" s="7" t="n"/>
      <c r="R35" s="7" t="n"/>
    </row>
    <row r="36" ht="24" customHeight="1">
      <c r="A36" s="7" t="n"/>
      <c r="B36" s="9" t="inlineStr">
        <is>
          <t>Detalle por tipo de comida  ·  y gasto promedio por día de la semana</t>
        </is>
      </c>
      <c r="C36" s="10" t="n"/>
      <c r="D36" s="10" t="n"/>
      <c r="E36" s="10" t="n"/>
      <c r="F36" s="10" t="n"/>
      <c r="G36" s="10" t="n"/>
      <c r="H36" s="10" t="n"/>
      <c r="I36" s="10" t="n"/>
      <c r="J36" s="10" t="n"/>
      <c r="K36" s="10" t="n"/>
      <c r="L36" s="10" t="n"/>
      <c r="M36" s="10" t="n"/>
      <c r="N36" s="10" t="n"/>
      <c r="O36" s="10" t="n"/>
      <c r="P36" s="10" t="n"/>
      <c r="Q36" s="10" t="n"/>
      <c r="R36" s="7" t="n"/>
    </row>
    <row r="37">
      <c r="A37" s="7" t="n"/>
      <c r="B37" s="107" t="inlineStr">
        <is>
          <t>Subcategoría</t>
        </is>
      </c>
      <c r="C37" s="155" t="n"/>
      <c r="D37" s="155" t="n"/>
      <c r="E37" s="137" t="inlineStr">
        <is>
          <t>Comida</t>
        </is>
      </c>
      <c r="F37" s="137" t="inlineStr">
        <is>
          <t>Grupo</t>
        </is>
      </c>
      <c r="G37" s="137" t="inlineStr">
        <is>
          <t>Nº compras</t>
        </is>
      </c>
      <c r="H37" s="137" t="inlineStr">
        <is>
          <t>Total</t>
        </is>
      </c>
      <c r="I37" s="137" t="inlineStr">
        <is>
          <t>Ticket prom.</t>
        </is>
      </c>
      <c r="J37" s="137" t="inlineStr">
        <is>
          <t>% aliment.</t>
        </is>
      </c>
      <c r="K37" s="138" t="inlineStr">
        <is>
          <t>Por semana</t>
        </is>
      </c>
      <c r="L37" s="92" t="n"/>
      <c r="M37" s="93" t="n"/>
      <c r="N37" s="93" t="n"/>
      <c r="O37" s="93" t="n"/>
      <c r="P37" s="93" t="n"/>
      <c r="Q37" s="94" t="n"/>
      <c r="R37" s="7" t="n"/>
    </row>
    <row r="38">
      <c r="A38" s="7" t="n"/>
      <c r="B38" s="97">
        <f>IFERROR(INDEX(catSub,MATCH(1,catFoodIdx,0))&amp;"","")</f>
        <v/>
      </c>
      <c r="C38" s="156" t="n"/>
      <c r="D38" s="156" t="n"/>
      <c r="E38" s="157">
        <f>IF(B38="","",IFERROR(INDEX(catComida,MATCH(1,catFoodIdx,0))&amp;"",""))</f>
        <v/>
      </c>
      <c r="F38" s="158">
        <f>IF(B38="","",IFERROR(INDEX(catGrupo,MATCH(1,catFoodIdx,0))&amp;"",""))</f>
        <v/>
      </c>
      <c r="G38" s="159">
        <f>IF(B38="","",COUNTIFS(rCat,INDEX(catCat,MATCH(1,catFoodIdx,0)),rSub,B38,rTipoE,"Gasto",rFecha,"&gt;="&amp;pIni,rFecha,"&lt;="&amp;pFin))</f>
        <v/>
      </c>
      <c r="H38" s="98">
        <f>IF(B38="","",SUMIFS(rGasto,rCat,INDEX(catCat,MATCH(1,catFoodIdx,0)),rSub,B38,rFecha,"&gt;="&amp;pIni,rFecha,"&lt;="&amp;pFin))</f>
        <v/>
      </c>
      <c r="I38" s="116">
        <f>IF(N(G38)=0,"",H38/G38)</f>
        <v/>
      </c>
      <c r="J38" s="99">
        <f>IF(OR(B38="",SUMIFS(rGasto,rGrupo,"?*",rFecha,"&gt;="&amp;pIni,rFecha,"&lt;="&amp;pFin)=0),"",H38/SUMIFS(rGasto,rGrupo,"?*",rFecha,"&gt;="&amp;pIni,rFecha,"&lt;="&amp;pFin))</f>
        <v/>
      </c>
      <c r="K38" s="160">
        <f>IF(B38="","",G38/pDias*7)</f>
        <v/>
      </c>
      <c r="L38" s="85" t="n"/>
      <c r="M38" s="86" t="n"/>
      <c r="N38" s="86" t="n"/>
      <c r="O38" s="86" t="n"/>
      <c r="P38" s="86" t="n"/>
      <c r="Q38" s="87" t="n"/>
      <c r="R38" s="7" t="n"/>
    </row>
    <row r="39">
      <c r="A39" s="7" t="n"/>
      <c r="B39" s="97">
        <f>IFERROR(INDEX(catSub,MATCH(2,catFoodIdx,0))&amp;"","")</f>
        <v/>
      </c>
      <c r="C39" s="156" t="n"/>
      <c r="D39" s="156" t="n"/>
      <c r="E39" s="157">
        <f>IF(B39="","",IFERROR(INDEX(catComida,MATCH(2,catFoodIdx,0))&amp;"",""))</f>
        <v/>
      </c>
      <c r="F39" s="158">
        <f>IF(B39="","",IFERROR(INDEX(catGrupo,MATCH(2,catFoodIdx,0))&amp;"",""))</f>
        <v/>
      </c>
      <c r="G39" s="159">
        <f>IF(B39="","",COUNTIFS(rCat,INDEX(catCat,MATCH(2,catFoodIdx,0)),rSub,B39,rTipoE,"Gasto",rFecha,"&gt;="&amp;pIni,rFecha,"&lt;="&amp;pFin))</f>
        <v/>
      </c>
      <c r="H39" s="98">
        <f>IF(B39="","",SUMIFS(rGasto,rCat,INDEX(catCat,MATCH(2,catFoodIdx,0)),rSub,B39,rFecha,"&gt;="&amp;pIni,rFecha,"&lt;="&amp;pFin))</f>
        <v/>
      </c>
      <c r="I39" s="116">
        <f>IF(N(G39)=0,"",H39/G39)</f>
        <v/>
      </c>
      <c r="J39" s="99">
        <f>IF(OR(B39="",SUMIFS(rGasto,rGrupo,"?*",rFecha,"&gt;="&amp;pIni,rFecha,"&lt;="&amp;pFin)=0),"",H39/SUMIFS(rGasto,rGrupo,"?*",rFecha,"&gt;="&amp;pIni,rFecha,"&lt;="&amp;pFin))</f>
        <v/>
      </c>
      <c r="K39" s="160">
        <f>IF(B39="","",G39/pDias*7)</f>
        <v/>
      </c>
      <c r="L39" s="85" t="n"/>
      <c r="M39" s="86" t="n"/>
      <c r="N39" s="86" t="n"/>
      <c r="O39" s="86" t="n"/>
      <c r="P39" s="86" t="n"/>
      <c r="Q39" s="87" t="n"/>
      <c r="R39" s="7" t="n"/>
    </row>
    <row r="40">
      <c r="A40" s="7" t="n"/>
      <c r="B40" s="97">
        <f>IFERROR(INDEX(catSub,MATCH(3,catFoodIdx,0))&amp;"","")</f>
        <v/>
      </c>
      <c r="C40" s="156" t="n"/>
      <c r="D40" s="156" t="n"/>
      <c r="E40" s="157">
        <f>IF(B40="","",IFERROR(INDEX(catComida,MATCH(3,catFoodIdx,0))&amp;"",""))</f>
        <v/>
      </c>
      <c r="F40" s="158">
        <f>IF(B40="","",IFERROR(INDEX(catGrupo,MATCH(3,catFoodIdx,0))&amp;"",""))</f>
        <v/>
      </c>
      <c r="G40" s="159">
        <f>IF(B40="","",COUNTIFS(rCat,INDEX(catCat,MATCH(3,catFoodIdx,0)),rSub,B40,rTipoE,"Gasto",rFecha,"&gt;="&amp;pIni,rFecha,"&lt;="&amp;pFin))</f>
        <v/>
      </c>
      <c r="H40" s="98">
        <f>IF(B40="","",SUMIFS(rGasto,rCat,INDEX(catCat,MATCH(3,catFoodIdx,0)),rSub,B40,rFecha,"&gt;="&amp;pIni,rFecha,"&lt;="&amp;pFin))</f>
        <v/>
      </c>
      <c r="I40" s="116">
        <f>IF(N(G40)=0,"",H40/G40)</f>
        <v/>
      </c>
      <c r="J40" s="99">
        <f>IF(OR(B40="",SUMIFS(rGasto,rGrupo,"?*",rFecha,"&gt;="&amp;pIni,rFecha,"&lt;="&amp;pFin)=0),"",H40/SUMIFS(rGasto,rGrupo,"?*",rFecha,"&gt;="&amp;pIni,rFecha,"&lt;="&amp;pFin))</f>
        <v/>
      </c>
      <c r="K40" s="160">
        <f>IF(B40="","",G40/pDias*7)</f>
        <v/>
      </c>
      <c r="L40" s="85" t="n"/>
      <c r="M40" s="86" t="n"/>
      <c r="N40" s="86" t="n"/>
      <c r="O40" s="86" t="n"/>
      <c r="P40" s="86" t="n"/>
      <c r="Q40" s="87" t="n"/>
      <c r="R40" s="7" t="n"/>
    </row>
    <row r="41">
      <c r="A41" s="7" t="n"/>
      <c r="B41" s="97">
        <f>IFERROR(INDEX(catSub,MATCH(4,catFoodIdx,0))&amp;"","")</f>
        <v/>
      </c>
      <c r="C41" s="156" t="n"/>
      <c r="D41" s="156" t="n"/>
      <c r="E41" s="157">
        <f>IF(B41="","",IFERROR(INDEX(catComida,MATCH(4,catFoodIdx,0))&amp;"",""))</f>
        <v/>
      </c>
      <c r="F41" s="158">
        <f>IF(B41="","",IFERROR(INDEX(catGrupo,MATCH(4,catFoodIdx,0))&amp;"",""))</f>
        <v/>
      </c>
      <c r="G41" s="159">
        <f>IF(B41="","",COUNTIFS(rCat,INDEX(catCat,MATCH(4,catFoodIdx,0)),rSub,B41,rTipoE,"Gasto",rFecha,"&gt;="&amp;pIni,rFecha,"&lt;="&amp;pFin))</f>
        <v/>
      </c>
      <c r="H41" s="98">
        <f>IF(B41="","",SUMIFS(rGasto,rCat,INDEX(catCat,MATCH(4,catFoodIdx,0)),rSub,B41,rFecha,"&gt;="&amp;pIni,rFecha,"&lt;="&amp;pFin))</f>
        <v/>
      </c>
      <c r="I41" s="116">
        <f>IF(N(G41)=0,"",H41/G41)</f>
        <v/>
      </c>
      <c r="J41" s="99">
        <f>IF(OR(B41="",SUMIFS(rGasto,rGrupo,"?*",rFecha,"&gt;="&amp;pIni,rFecha,"&lt;="&amp;pFin)=0),"",H41/SUMIFS(rGasto,rGrupo,"?*",rFecha,"&gt;="&amp;pIni,rFecha,"&lt;="&amp;pFin))</f>
        <v/>
      </c>
      <c r="K41" s="160">
        <f>IF(B41="","",G41/pDias*7)</f>
        <v/>
      </c>
      <c r="L41" s="85" t="n"/>
      <c r="M41" s="86" t="n"/>
      <c r="N41" s="86" t="n"/>
      <c r="O41" s="86" t="n"/>
      <c r="P41" s="86" t="n"/>
      <c r="Q41" s="87" t="n"/>
      <c r="R41" s="7" t="n"/>
    </row>
    <row r="42">
      <c r="A42" s="7" t="n"/>
      <c r="B42" s="97">
        <f>IFERROR(INDEX(catSub,MATCH(5,catFoodIdx,0))&amp;"","")</f>
        <v/>
      </c>
      <c r="C42" s="156" t="n"/>
      <c r="D42" s="156" t="n"/>
      <c r="E42" s="157">
        <f>IF(B42="","",IFERROR(INDEX(catComida,MATCH(5,catFoodIdx,0))&amp;"",""))</f>
        <v/>
      </c>
      <c r="F42" s="158">
        <f>IF(B42="","",IFERROR(INDEX(catGrupo,MATCH(5,catFoodIdx,0))&amp;"",""))</f>
        <v/>
      </c>
      <c r="G42" s="159">
        <f>IF(B42="","",COUNTIFS(rCat,INDEX(catCat,MATCH(5,catFoodIdx,0)),rSub,B42,rTipoE,"Gasto",rFecha,"&gt;="&amp;pIni,rFecha,"&lt;="&amp;pFin))</f>
        <v/>
      </c>
      <c r="H42" s="98">
        <f>IF(B42="","",SUMIFS(rGasto,rCat,INDEX(catCat,MATCH(5,catFoodIdx,0)),rSub,B42,rFecha,"&gt;="&amp;pIni,rFecha,"&lt;="&amp;pFin))</f>
        <v/>
      </c>
      <c r="I42" s="116">
        <f>IF(N(G42)=0,"",H42/G42)</f>
        <v/>
      </c>
      <c r="J42" s="99">
        <f>IF(OR(B42="",SUMIFS(rGasto,rGrupo,"?*",rFecha,"&gt;="&amp;pIni,rFecha,"&lt;="&amp;pFin)=0),"",H42/SUMIFS(rGasto,rGrupo,"?*",rFecha,"&gt;="&amp;pIni,rFecha,"&lt;="&amp;pFin))</f>
        <v/>
      </c>
      <c r="K42" s="160">
        <f>IF(B42="","",G42/pDias*7)</f>
        <v/>
      </c>
      <c r="L42" s="85" t="n"/>
      <c r="M42" s="86" t="n"/>
      <c r="N42" s="86" t="n"/>
      <c r="O42" s="86" t="n"/>
      <c r="P42" s="86" t="n"/>
      <c r="Q42" s="87" t="n"/>
      <c r="R42" s="7" t="n"/>
    </row>
    <row r="43">
      <c r="A43" s="7" t="n"/>
      <c r="B43" s="97">
        <f>IFERROR(INDEX(catSub,MATCH(6,catFoodIdx,0))&amp;"","")</f>
        <v/>
      </c>
      <c r="C43" s="156" t="n"/>
      <c r="D43" s="156" t="n"/>
      <c r="E43" s="157">
        <f>IF(B43="","",IFERROR(INDEX(catComida,MATCH(6,catFoodIdx,0))&amp;"",""))</f>
        <v/>
      </c>
      <c r="F43" s="158">
        <f>IF(B43="","",IFERROR(INDEX(catGrupo,MATCH(6,catFoodIdx,0))&amp;"",""))</f>
        <v/>
      </c>
      <c r="G43" s="159">
        <f>IF(B43="","",COUNTIFS(rCat,INDEX(catCat,MATCH(6,catFoodIdx,0)),rSub,B43,rTipoE,"Gasto",rFecha,"&gt;="&amp;pIni,rFecha,"&lt;="&amp;pFin))</f>
        <v/>
      </c>
      <c r="H43" s="98">
        <f>IF(B43="","",SUMIFS(rGasto,rCat,INDEX(catCat,MATCH(6,catFoodIdx,0)),rSub,B43,rFecha,"&gt;="&amp;pIni,rFecha,"&lt;="&amp;pFin))</f>
        <v/>
      </c>
      <c r="I43" s="116">
        <f>IF(N(G43)=0,"",H43/G43)</f>
        <v/>
      </c>
      <c r="J43" s="99">
        <f>IF(OR(B43="",SUMIFS(rGasto,rGrupo,"?*",rFecha,"&gt;="&amp;pIni,rFecha,"&lt;="&amp;pFin)=0),"",H43/SUMIFS(rGasto,rGrupo,"?*",rFecha,"&gt;="&amp;pIni,rFecha,"&lt;="&amp;pFin))</f>
        <v/>
      </c>
      <c r="K43" s="160">
        <f>IF(B43="","",G43/pDias*7)</f>
        <v/>
      </c>
      <c r="L43" s="85" t="n"/>
      <c r="M43" s="86" t="n"/>
      <c r="N43" s="86" t="n"/>
      <c r="O43" s="86" t="n"/>
      <c r="P43" s="86" t="n"/>
      <c r="Q43" s="87" t="n"/>
      <c r="R43" s="7" t="n"/>
    </row>
    <row r="44">
      <c r="A44" s="7" t="n"/>
      <c r="B44" s="97">
        <f>IFERROR(INDEX(catSub,MATCH(7,catFoodIdx,0))&amp;"","")</f>
        <v/>
      </c>
      <c r="C44" s="156" t="n"/>
      <c r="D44" s="156" t="n"/>
      <c r="E44" s="157">
        <f>IF(B44="","",IFERROR(INDEX(catComida,MATCH(7,catFoodIdx,0))&amp;"",""))</f>
        <v/>
      </c>
      <c r="F44" s="158">
        <f>IF(B44="","",IFERROR(INDEX(catGrupo,MATCH(7,catFoodIdx,0))&amp;"",""))</f>
        <v/>
      </c>
      <c r="G44" s="159">
        <f>IF(B44="","",COUNTIFS(rCat,INDEX(catCat,MATCH(7,catFoodIdx,0)),rSub,B44,rTipoE,"Gasto",rFecha,"&gt;="&amp;pIni,rFecha,"&lt;="&amp;pFin))</f>
        <v/>
      </c>
      <c r="H44" s="98">
        <f>IF(B44="","",SUMIFS(rGasto,rCat,INDEX(catCat,MATCH(7,catFoodIdx,0)),rSub,B44,rFecha,"&gt;="&amp;pIni,rFecha,"&lt;="&amp;pFin))</f>
        <v/>
      </c>
      <c r="I44" s="116">
        <f>IF(N(G44)=0,"",H44/G44)</f>
        <v/>
      </c>
      <c r="J44" s="99">
        <f>IF(OR(B44="",SUMIFS(rGasto,rGrupo,"?*",rFecha,"&gt;="&amp;pIni,rFecha,"&lt;="&amp;pFin)=0),"",H44/SUMIFS(rGasto,rGrupo,"?*",rFecha,"&gt;="&amp;pIni,rFecha,"&lt;="&amp;pFin))</f>
        <v/>
      </c>
      <c r="K44" s="160">
        <f>IF(B44="","",G44/pDias*7)</f>
        <v/>
      </c>
      <c r="L44" s="85" t="n"/>
      <c r="M44" s="86" t="n"/>
      <c r="N44" s="86" t="n"/>
      <c r="O44" s="86" t="n"/>
      <c r="P44" s="86" t="n"/>
      <c r="Q44" s="87" t="n"/>
      <c r="R44" s="7" t="n"/>
    </row>
    <row r="45">
      <c r="A45" s="7" t="n"/>
      <c r="B45" s="97">
        <f>IFERROR(INDEX(catSub,MATCH(8,catFoodIdx,0))&amp;"","")</f>
        <v/>
      </c>
      <c r="C45" s="156" t="n"/>
      <c r="D45" s="156" t="n"/>
      <c r="E45" s="157">
        <f>IF(B45="","",IFERROR(INDEX(catComida,MATCH(8,catFoodIdx,0))&amp;"",""))</f>
        <v/>
      </c>
      <c r="F45" s="158">
        <f>IF(B45="","",IFERROR(INDEX(catGrupo,MATCH(8,catFoodIdx,0))&amp;"",""))</f>
        <v/>
      </c>
      <c r="G45" s="159">
        <f>IF(B45="","",COUNTIFS(rCat,INDEX(catCat,MATCH(8,catFoodIdx,0)),rSub,B45,rTipoE,"Gasto",rFecha,"&gt;="&amp;pIni,rFecha,"&lt;="&amp;pFin))</f>
        <v/>
      </c>
      <c r="H45" s="98">
        <f>IF(B45="","",SUMIFS(rGasto,rCat,INDEX(catCat,MATCH(8,catFoodIdx,0)),rSub,B45,rFecha,"&gt;="&amp;pIni,rFecha,"&lt;="&amp;pFin))</f>
        <v/>
      </c>
      <c r="I45" s="116">
        <f>IF(N(G45)=0,"",H45/G45)</f>
        <v/>
      </c>
      <c r="J45" s="99">
        <f>IF(OR(B45="",SUMIFS(rGasto,rGrupo,"?*",rFecha,"&gt;="&amp;pIni,rFecha,"&lt;="&amp;pFin)=0),"",H45/SUMIFS(rGasto,rGrupo,"?*",rFecha,"&gt;="&amp;pIni,rFecha,"&lt;="&amp;pFin))</f>
        <v/>
      </c>
      <c r="K45" s="160">
        <f>IF(B45="","",G45/pDias*7)</f>
        <v/>
      </c>
      <c r="L45" s="85" t="n"/>
      <c r="M45" s="86" t="n"/>
      <c r="N45" s="86" t="n"/>
      <c r="O45" s="86" t="n"/>
      <c r="P45" s="86" t="n"/>
      <c r="Q45" s="87" t="n"/>
      <c r="R45" s="7" t="n"/>
    </row>
    <row r="46">
      <c r="A46" s="7" t="n"/>
      <c r="B46" s="97">
        <f>IFERROR(INDEX(catSub,MATCH(9,catFoodIdx,0))&amp;"","")</f>
        <v/>
      </c>
      <c r="C46" s="156" t="n"/>
      <c r="D46" s="156" t="n"/>
      <c r="E46" s="157">
        <f>IF(B46="","",IFERROR(INDEX(catComida,MATCH(9,catFoodIdx,0))&amp;"",""))</f>
        <v/>
      </c>
      <c r="F46" s="158">
        <f>IF(B46="","",IFERROR(INDEX(catGrupo,MATCH(9,catFoodIdx,0))&amp;"",""))</f>
        <v/>
      </c>
      <c r="G46" s="159">
        <f>IF(B46="","",COUNTIFS(rCat,INDEX(catCat,MATCH(9,catFoodIdx,0)),rSub,B46,rTipoE,"Gasto",rFecha,"&gt;="&amp;pIni,rFecha,"&lt;="&amp;pFin))</f>
        <v/>
      </c>
      <c r="H46" s="98">
        <f>IF(B46="","",SUMIFS(rGasto,rCat,INDEX(catCat,MATCH(9,catFoodIdx,0)),rSub,B46,rFecha,"&gt;="&amp;pIni,rFecha,"&lt;="&amp;pFin))</f>
        <v/>
      </c>
      <c r="I46" s="116">
        <f>IF(N(G46)=0,"",H46/G46)</f>
        <v/>
      </c>
      <c r="J46" s="99">
        <f>IF(OR(B46="",SUMIFS(rGasto,rGrupo,"?*",rFecha,"&gt;="&amp;pIni,rFecha,"&lt;="&amp;pFin)=0),"",H46/SUMIFS(rGasto,rGrupo,"?*",rFecha,"&gt;="&amp;pIni,rFecha,"&lt;="&amp;pFin))</f>
        <v/>
      </c>
      <c r="K46" s="160">
        <f>IF(B46="","",G46/pDias*7)</f>
        <v/>
      </c>
      <c r="L46" s="85" t="n"/>
      <c r="M46" s="86" t="n"/>
      <c r="N46" s="86" t="n"/>
      <c r="O46" s="86" t="n"/>
      <c r="P46" s="86" t="n"/>
      <c r="Q46" s="87" t="n"/>
      <c r="R46" s="7" t="n"/>
    </row>
    <row r="47">
      <c r="A47" s="7" t="n"/>
      <c r="B47" s="97">
        <f>IFERROR(INDEX(catSub,MATCH(10,catFoodIdx,0))&amp;"","")</f>
        <v/>
      </c>
      <c r="C47" s="156" t="n"/>
      <c r="D47" s="156" t="n"/>
      <c r="E47" s="157">
        <f>IF(B47="","",IFERROR(INDEX(catComida,MATCH(10,catFoodIdx,0))&amp;"",""))</f>
        <v/>
      </c>
      <c r="F47" s="158">
        <f>IF(B47="","",IFERROR(INDEX(catGrupo,MATCH(10,catFoodIdx,0))&amp;"",""))</f>
        <v/>
      </c>
      <c r="G47" s="159">
        <f>IF(B47="","",COUNTIFS(rCat,INDEX(catCat,MATCH(10,catFoodIdx,0)),rSub,B47,rTipoE,"Gasto",rFecha,"&gt;="&amp;pIni,rFecha,"&lt;="&amp;pFin))</f>
        <v/>
      </c>
      <c r="H47" s="98">
        <f>IF(B47="","",SUMIFS(rGasto,rCat,INDEX(catCat,MATCH(10,catFoodIdx,0)),rSub,B47,rFecha,"&gt;="&amp;pIni,rFecha,"&lt;="&amp;pFin))</f>
        <v/>
      </c>
      <c r="I47" s="116">
        <f>IF(N(G47)=0,"",H47/G47)</f>
        <v/>
      </c>
      <c r="J47" s="99">
        <f>IF(OR(B47="",SUMIFS(rGasto,rGrupo,"?*",rFecha,"&gt;="&amp;pIni,rFecha,"&lt;="&amp;pFin)=0),"",H47/SUMIFS(rGasto,rGrupo,"?*",rFecha,"&gt;="&amp;pIni,rFecha,"&lt;="&amp;pFin))</f>
        <v/>
      </c>
      <c r="K47" s="160">
        <f>IF(B47="","",G47/pDias*7)</f>
        <v/>
      </c>
      <c r="L47" s="85" t="n"/>
      <c r="M47" s="86" t="n"/>
      <c r="N47" s="86" t="n"/>
      <c r="O47" s="86" t="n"/>
      <c r="P47" s="86" t="n"/>
      <c r="Q47" s="87" t="n"/>
      <c r="R47" s="7" t="n"/>
    </row>
    <row r="48">
      <c r="A48" s="7" t="n"/>
      <c r="B48" s="97">
        <f>IFERROR(INDEX(catSub,MATCH(11,catFoodIdx,0))&amp;"","")</f>
        <v/>
      </c>
      <c r="C48" s="156" t="n"/>
      <c r="D48" s="156" t="n"/>
      <c r="E48" s="157">
        <f>IF(B48="","",IFERROR(INDEX(catComida,MATCH(11,catFoodIdx,0))&amp;"",""))</f>
        <v/>
      </c>
      <c r="F48" s="158">
        <f>IF(B48="","",IFERROR(INDEX(catGrupo,MATCH(11,catFoodIdx,0))&amp;"",""))</f>
        <v/>
      </c>
      <c r="G48" s="159">
        <f>IF(B48="","",COUNTIFS(rCat,INDEX(catCat,MATCH(11,catFoodIdx,0)),rSub,B48,rTipoE,"Gasto",rFecha,"&gt;="&amp;pIni,rFecha,"&lt;="&amp;pFin))</f>
        <v/>
      </c>
      <c r="H48" s="98">
        <f>IF(B48="","",SUMIFS(rGasto,rCat,INDEX(catCat,MATCH(11,catFoodIdx,0)),rSub,B48,rFecha,"&gt;="&amp;pIni,rFecha,"&lt;="&amp;pFin))</f>
        <v/>
      </c>
      <c r="I48" s="116">
        <f>IF(N(G48)=0,"",H48/G48)</f>
        <v/>
      </c>
      <c r="J48" s="99">
        <f>IF(OR(B48="",SUMIFS(rGasto,rGrupo,"?*",rFecha,"&gt;="&amp;pIni,rFecha,"&lt;="&amp;pFin)=0),"",H48/SUMIFS(rGasto,rGrupo,"?*",rFecha,"&gt;="&amp;pIni,rFecha,"&lt;="&amp;pFin))</f>
        <v/>
      </c>
      <c r="K48" s="160">
        <f>IF(B48="","",G48/pDias*7)</f>
        <v/>
      </c>
      <c r="L48" s="85" t="n"/>
      <c r="M48" s="86" t="n"/>
      <c r="N48" s="86" t="n"/>
      <c r="O48" s="86" t="n"/>
      <c r="P48" s="86" t="n"/>
      <c r="Q48" s="87" t="n"/>
      <c r="R48" s="7" t="n"/>
    </row>
    <row r="49">
      <c r="A49" s="7" t="n"/>
      <c r="B49" s="161">
        <f>IFERROR(INDEX(catSub,MATCH(12,catFoodIdx,0))&amp;"","")</f>
        <v/>
      </c>
      <c r="C49" s="162" t="n"/>
      <c r="D49" s="162" t="n"/>
      <c r="E49" s="163">
        <f>IF(B49="","",IFERROR(INDEX(catComida,MATCH(12,catFoodIdx,0))&amp;"",""))</f>
        <v/>
      </c>
      <c r="F49" s="164">
        <f>IF(B49="","",IFERROR(INDEX(catGrupo,MATCH(12,catFoodIdx,0))&amp;"",""))</f>
        <v/>
      </c>
      <c r="G49" s="165">
        <f>IF(B49="","",COUNTIFS(rCat,INDEX(catCat,MATCH(12,catFoodIdx,0)),rSub,B49,rTipoE,"Gasto",rFecha,"&gt;="&amp;pIni,rFecha,"&lt;="&amp;pFin))</f>
        <v/>
      </c>
      <c r="H49" s="166">
        <f>IF(B49="","",SUMIFS(rGasto,rCat,INDEX(catCat,MATCH(12,catFoodIdx,0)),rSub,B49,rFecha,"&gt;="&amp;pIni,rFecha,"&lt;="&amp;pFin))</f>
        <v/>
      </c>
      <c r="I49" s="167">
        <f>IF(N(G49)=0,"",H49/G49)</f>
        <v/>
      </c>
      <c r="J49" s="168">
        <f>IF(OR(B49="",SUMIFS(rGasto,rGrupo,"?*",rFecha,"&gt;="&amp;pIni,rFecha,"&lt;="&amp;pFin)=0),"",H49/SUMIFS(rGasto,rGrupo,"?*",rFecha,"&gt;="&amp;pIni,rFecha,"&lt;="&amp;pFin))</f>
        <v/>
      </c>
      <c r="K49" s="169">
        <f>IF(B49="","",G49/pDias*7)</f>
        <v/>
      </c>
      <c r="L49" s="101" t="n"/>
      <c r="M49" s="102" t="n"/>
      <c r="N49" s="102" t="n"/>
      <c r="O49" s="102" t="n"/>
      <c r="P49" s="102" t="n"/>
      <c r="Q49" s="103" t="n"/>
      <c r="R49" s="7" t="n"/>
    </row>
    <row r="50">
      <c r="A50" s="7" t="n"/>
      <c r="B50" s="7" t="n"/>
      <c r="C50" s="7" t="n"/>
      <c r="D50" s="7" t="n"/>
      <c r="E50" s="7" t="n"/>
      <c r="F50" s="7" t="n"/>
      <c r="G50" s="7" t="n"/>
      <c r="H50" s="7" t="n"/>
      <c r="I50" s="7" t="n"/>
      <c r="J50" s="7" t="n"/>
      <c r="K50" s="7" t="n"/>
      <c r="L50" s="7" t="n"/>
      <c r="M50" s="7" t="n"/>
      <c r="N50" s="7" t="n"/>
      <c r="O50" s="7" t="n"/>
      <c r="P50" s="7" t="n"/>
      <c r="Q50" s="7" t="n"/>
      <c r="R50" s="7" t="n"/>
    </row>
    <row r="51" ht="24" customHeight="1">
      <c r="A51" s="7" t="n"/>
      <c r="B51" s="9" t="inlineStr">
        <is>
          <t>Comparación semanal y mensual  ·  comida preparada vs. súper e ingredientes</t>
        </is>
      </c>
      <c r="C51" s="10" t="n"/>
      <c r="D51" s="10" t="n"/>
      <c r="E51" s="10" t="n"/>
      <c r="F51" s="10" t="n"/>
      <c r="G51" s="10" t="n"/>
      <c r="H51" s="10" t="n"/>
      <c r="I51" s="10" t="n"/>
      <c r="J51" s="10" t="n"/>
      <c r="K51" s="10" t="n"/>
      <c r="L51" s="10" t="n"/>
      <c r="M51" s="10" t="n"/>
      <c r="N51" s="10" t="n"/>
      <c r="O51" s="10" t="n"/>
      <c r="P51" s="10" t="n"/>
      <c r="Q51" s="10" t="n"/>
      <c r="R51" s="7" t="n"/>
    </row>
    <row r="52">
      <c r="A52" s="7" t="n"/>
      <c r="B52" s="92" t="n"/>
      <c r="C52" s="93" t="n"/>
      <c r="D52" s="93" t="n"/>
      <c r="E52" s="93" t="n"/>
      <c r="F52" s="93" t="n"/>
      <c r="G52" s="93" t="n"/>
      <c r="H52" s="93" t="n"/>
      <c r="I52" s="94" t="n"/>
      <c r="J52" s="92" t="n"/>
      <c r="K52" s="93" t="n"/>
      <c r="L52" s="93" t="n"/>
      <c r="M52" s="93" t="n"/>
      <c r="N52" s="93" t="n"/>
      <c r="O52" s="93" t="n"/>
      <c r="P52" s="93" t="n"/>
      <c r="Q52" s="94" t="n"/>
      <c r="R52" s="7" t="n"/>
    </row>
    <row r="53">
      <c r="A53" s="7" t="n"/>
      <c r="B53" s="85" t="n"/>
      <c r="C53" s="86" t="n"/>
      <c r="D53" s="86" t="n"/>
      <c r="E53" s="86" t="n"/>
      <c r="F53" s="86" t="n"/>
      <c r="G53" s="86" t="n"/>
      <c r="H53" s="86" t="n"/>
      <c r="I53" s="87" t="n"/>
      <c r="J53" s="85" t="n"/>
      <c r="K53" s="86" t="n"/>
      <c r="L53" s="86" t="n"/>
      <c r="M53" s="86" t="n"/>
      <c r="N53" s="86" t="n"/>
      <c r="O53" s="86" t="n"/>
      <c r="P53" s="86" t="n"/>
      <c r="Q53" s="87" t="n"/>
      <c r="R53" s="7" t="n"/>
    </row>
    <row r="54">
      <c r="A54" s="7" t="n"/>
      <c r="B54" s="85" t="n"/>
      <c r="C54" s="86" t="n"/>
      <c r="D54" s="86" t="n"/>
      <c r="E54" s="86" t="n"/>
      <c r="F54" s="86" t="n"/>
      <c r="G54" s="86" t="n"/>
      <c r="H54" s="86" t="n"/>
      <c r="I54" s="87" t="n"/>
      <c r="J54" s="85" t="n"/>
      <c r="K54" s="86" t="n"/>
      <c r="L54" s="86" t="n"/>
      <c r="M54" s="86" t="n"/>
      <c r="N54" s="86" t="n"/>
      <c r="O54" s="86" t="n"/>
      <c r="P54" s="86" t="n"/>
      <c r="Q54" s="87" t="n"/>
      <c r="R54" s="7" t="n"/>
    </row>
    <row r="55">
      <c r="A55" s="7" t="n"/>
      <c r="B55" s="85" t="n"/>
      <c r="C55" s="86" t="n"/>
      <c r="D55" s="86" t="n"/>
      <c r="E55" s="86" t="n"/>
      <c r="F55" s="86" t="n"/>
      <c r="G55" s="86" t="n"/>
      <c r="H55" s="86" t="n"/>
      <c r="I55" s="87" t="n"/>
      <c r="J55" s="85" t="n"/>
      <c r="K55" s="86" t="n"/>
      <c r="L55" s="86" t="n"/>
      <c r="M55" s="86" t="n"/>
      <c r="N55" s="86" t="n"/>
      <c r="O55" s="86" t="n"/>
      <c r="P55" s="86" t="n"/>
      <c r="Q55" s="87" t="n"/>
      <c r="R55" s="7" t="n"/>
    </row>
    <row r="56">
      <c r="A56" s="7" t="n"/>
      <c r="B56" s="85" t="n"/>
      <c r="C56" s="86" t="n"/>
      <c r="D56" s="86" t="n"/>
      <c r="E56" s="86" t="n"/>
      <c r="F56" s="86" t="n"/>
      <c r="G56" s="86" t="n"/>
      <c r="H56" s="86" t="n"/>
      <c r="I56" s="87" t="n"/>
      <c r="J56" s="85" t="n"/>
      <c r="K56" s="86" t="n"/>
      <c r="L56" s="86" t="n"/>
      <c r="M56" s="86" t="n"/>
      <c r="N56" s="86" t="n"/>
      <c r="O56" s="86" t="n"/>
      <c r="P56" s="86" t="n"/>
      <c r="Q56" s="87" t="n"/>
      <c r="R56" s="7" t="n"/>
    </row>
    <row r="57">
      <c r="A57" s="7" t="n"/>
      <c r="B57" s="85" t="n"/>
      <c r="C57" s="86" t="n"/>
      <c r="D57" s="86" t="n"/>
      <c r="E57" s="86" t="n"/>
      <c r="F57" s="86" t="n"/>
      <c r="G57" s="86" t="n"/>
      <c r="H57" s="86" t="n"/>
      <c r="I57" s="87" t="n"/>
      <c r="J57" s="85" t="n"/>
      <c r="K57" s="86" t="n"/>
      <c r="L57" s="86" t="n"/>
      <c r="M57" s="86" t="n"/>
      <c r="N57" s="86" t="n"/>
      <c r="O57" s="86" t="n"/>
      <c r="P57" s="86" t="n"/>
      <c r="Q57" s="87" t="n"/>
      <c r="R57" s="7" t="n"/>
    </row>
    <row r="58">
      <c r="A58" s="7" t="n"/>
      <c r="B58" s="85" t="n"/>
      <c r="C58" s="86" t="n"/>
      <c r="D58" s="86" t="n"/>
      <c r="E58" s="86" t="n"/>
      <c r="F58" s="86" t="n"/>
      <c r="G58" s="86" t="n"/>
      <c r="H58" s="86" t="n"/>
      <c r="I58" s="87" t="n"/>
      <c r="J58" s="85" t="n"/>
      <c r="K58" s="86" t="n"/>
      <c r="L58" s="86" t="n"/>
      <c r="M58" s="86" t="n"/>
      <c r="N58" s="86" t="n"/>
      <c r="O58" s="86" t="n"/>
      <c r="P58" s="86" t="n"/>
      <c r="Q58" s="87" t="n"/>
      <c r="R58" s="7" t="n"/>
    </row>
    <row r="59">
      <c r="A59" s="7" t="n"/>
      <c r="B59" s="85" t="n"/>
      <c r="C59" s="86" t="n"/>
      <c r="D59" s="86" t="n"/>
      <c r="E59" s="86" t="n"/>
      <c r="F59" s="86" t="n"/>
      <c r="G59" s="86" t="n"/>
      <c r="H59" s="86" t="n"/>
      <c r="I59" s="87" t="n"/>
      <c r="J59" s="85" t="n"/>
      <c r="K59" s="86" t="n"/>
      <c r="L59" s="86" t="n"/>
      <c r="M59" s="86" t="n"/>
      <c r="N59" s="86" t="n"/>
      <c r="O59" s="86" t="n"/>
      <c r="P59" s="86" t="n"/>
      <c r="Q59" s="87" t="n"/>
      <c r="R59" s="7" t="n"/>
    </row>
    <row r="60">
      <c r="A60" s="7" t="n"/>
      <c r="B60" s="85" t="n"/>
      <c r="C60" s="86" t="n"/>
      <c r="D60" s="86" t="n"/>
      <c r="E60" s="86" t="n"/>
      <c r="F60" s="86" t="n"/>
      <c r="G60" s="86" t="n"/>
      <c r="H60" s="86" t="n"/>
      <c r="I60" s="87" t="n"/>
      <c r="J60" s="85" t="n"/>
      <c r="K60" s="86" t="n"/>
      <c r="L60" s="86" t="n"/>
      <c r="M60" s="86" t="n"/>
      <c r="N60" s="86" t="n"/>
      <c r="O60" s="86" t="n"/>
      <c r="P60" s="86" t="n"/>
      <c r="Q60" s="87" t="n"/>
      <c r="R60" s="7" t="n"/>
    </row>
    <row r="61">
      <c r="A61" s="7" t="n"/>
      <c r="B61" s="85" t="n"/>
      <c r="C61" s="86" t="n"/>
      <c r="D61" s="86" t="n"/>
      <c r="E61" s="86" t="n"/>
      <c r="F61" s="86" t="n"/>
      <c r="G61" s="86" t="n"/>
      <c r="H61" s="86" t="n"/>
      <c r="I61" s="87" t="n"/>
      <c r="J61" s="85" t="n"/>
      <c r="K61" s="86" t="n"/>
      <c r="L61" s="86" t="n"/>
      <c r="M61" s="86" t="n"/>
      <c r="N61" s="86" t="n"/>
      <c r="O61" s="86" t="n"/>
      <c r="P61" s="86" t="n"/>
      <c r="Q61" s="87" t="n"/>
      <c r="R61" s="7" t="n"/>
    </row>
    <row r="62">
      <c r="A62" s="7" t="n"/>
      <c r="B62" s="85" t="n"/>
      <c r="C62" s="86" t="n"/>
      <c r="D62" s="86" t="n"/>
      <c r="E62" s="86" t="n"/>
      <c r="F62" s="86" t="n"/>
      <c r="G62" s="86" t="n"/>
      <c r="H62" s="86" t="n"/>
      <c r="I62" s="87" t="n"/>
      <c r="J62" s="85" t="n"/>
      <c r="K62" s="86" t="n"/>
      <c r="L62" s="86" t="n"/>
      <c r="M62" s="86" t="n"/>
      <c r="N62" s="86" t="n"/>
      <c r="O62" s="86" t="n"/>
      <c r="P62" s="86" t="n"/>
      <c r="Q62" s="87" t="n"/>
      <c r="R62" s="7" t="n"/>
    </row>
    <row r="63">
      <c r="A63" s="7" t="n"/>
      <c r="B63" s="85" t="n"/>
      <c r="C63" s="86" t="n"/>
      <c r="D63" s="86" t="n"/>
      <c r="E63" s="86" t="n"/>
      <c r="F63" s="86" t="n"/>
      <c r="G63" s="86" t="n"/>
      <c r="H63" s="86" t="n"/>
      <c r="I63" s="87" t="n"/>
      <c r="J63" s="85" t="n"/>
      <c r="K63" s="86" t="n"/>
      <c r="L63" s="86" t="n"/>
      <c r="M63" s="86" t="n"/>
      <c r="N63" s="86" t="n"/>
      <c r="O63" s="86" t="n"/>
      <c r="P63" s="86" t="n"/>
      <c r="Q63" s="87" t="n"/>
      <c r="R63" s="7" t="n"/>
    </row>
    <row r="64">
      <c r="A64" s="7" t="n"/>
      <c r="B64" s="85" t="n"/>
      <c r="C64" s="86" t="n"/>
      <c r="D64" s="86" t="n"/>
      <c r="E64" s="86" t="n"/>
      <c r="F64" s="86" t="n"/>
      <c r="G64" s="86" t="n"/>
      <c r="H64" s="86" t="n"/>
      <c r="I64" s="87" t="n"/>
      <c r="J64" s="85" t="n"/>
      <c r="K64" s="86" t="n"/>
      <c r="L64" s="86" t="n"/>
      <c r="M64" s="86" t="n"/>
      <c r="N64" s="86" t="n"/>
      <c r="O64" s="86" t="n"/>
      <c r="P64" s="86" t="n"/>
      <c r="Q64" s="87" t="n"/>
      <c r="R64" s="7" t="n"/>
    </row>
    <row r="65">
      <c r="A65" s="7" t="n"/>
      <c r="B65" s="85" t="n"/>
      <c r="C65" s="86" t="n"/>
      <c r="D65" s="86" t="n"/>
      <c r="E65" s="86" t="n"/>
      <c r="F65" s="86" t="n"/>
      <c r="G65" s="86" t="n"/>
      <c r="H65" s="86" t="n"/>
      <c r="I65" s="87" t="n"/>
      <c r="J65" s="85" t="n"/>
      <c r="K65" s="86" t="n"/>
      <c r="L65" s="86" t="n"/>
      <c r="M65" s="86" t="n"/>
      <c r="N65" s="86" t="n"/>
      <c r="O65" s="86" t="n"/>
      <c r="P65" s="86" t="n"/>
      <c r="Q65" s="87" t="n"/>
      <c r="R65" s="7" t="n"/>
    </row>
    <row r="66">
      <c r="A66" s="7" t="n"/>
      <c r="B66" s="85" t="n"/>
      <c r="C66" s="86" t="n"/>
      <c r="D66" s="86" t="n"/>
      <c r="E66" s="86" t="n"/>
      <c r="F66" s="86" t="n"/>
      <c r="G66" s="86" t="n"/>
      <c r="H66" s="86" t="n"/>
      <c r="I66" s="87" t="n"/>
      <c r="J66" s="85" t="n"/>
      <c r="K66" s="86" t="n"/>
      <c r="L66" s="86" t="n"/>
      <c r="M66" s="86" t="n"/>
      <c r="N66" s="86" t="n"/>
      <c r="O66" s="86" t="n"/>
      <c r="P66" s="86" t="n"/>
      <c r="Q66" s="87" t="n"/>
      <c r="R66" s="7" t="n"/>
    </row>
    <row r="67">
      <c r="A67" s="7" t="n"/>
      <c r="B67" s="101" t="n"/>
      <c r="C67" s="102" t="n"/>
      <c r="D67" s="102" t="n"/>
      <c r="E67" s="102" t="n"/>
      <c r="F67" s="102" t="n"/>
      <c r="G67" s="102" t="n"/>
      <c r="H67" s="102" t="n"/>
      <c r="I67" s="103" t="n"/>
      <c r="J67" s="101" t="n"/>
      <c r="K67" s="102" t="n"/>
      <c r="L67" s="102" t="n"/>
      <c r="M67" s="102" t="n"/>
      <c r="N67" s="102" t="n"/>
      <c r="O67" s="102" t="n"/>
      <c r="P67" s="102" t="n"/>
      <c r="Q67" s="103" t="n"/>
      <c r="R67" s="7" t="n"/>
    </row>
    <row r="68">
      <c r="A68" s="7" t="n"/>
      <c r="B68" s="7" t="n"/>
      <c r="C68" s="7" t="n"/>
      <c r="D68" s="7" t="n"/>
      <c r="E68" s="7" t="n"/>
      <c r="F68" s="7" t="n"/>
      <c r="G68" s="7" t="n"/>
      <c r="H68" s="7" t="n"/>
      <c r="I68" s="7" t="n"/>
      <c r="J68" s="7" t="n"/>
      <c r="K68" s="7" t="n"/>
      <c r="L68" s="7" t="n"/>
      <c r="M68" s="7" t="n"/>
      <c r="N68" s="7" t="n"/>
      <c r="O68" s="7" t="n"/>
      <c r="P68" s="7" t="n"/>
      <c r="Q68" s="7" t="n"/>
      <c r="R68" s="7" t="n"/>
    </row>
    <row r="69" ht="24" customHeight="1">
      <c r="A69" s="7" t="n"/>
      <c r="B69" s="9" t="inlineStr">
        <is>
          <t>¿Qué días gasto más en comida?</t>
        </is>
      </c>
      <c r="C69" s="10" t="n"/>
      <c r="D69" s="10" t="n"/>
      <c r="E69" s="10" t="n"/>
      <c r="F69" s="10" t="n"/>
      <c r="G69" s="10" t="n"/>
      <c r="H69" s="10" t="n"/>
      <c r="I69" s="10" t="n"/>
      <c r="J69" s="10" t="n"/>
      <c r="K69" s="10" t="n"/>
      <c r="L69" s="10" t="n"/>
      <c r="M69" s="10" t="n"/>
      <c r="N69" s="10" t="n"/>
      <c r="O69" s="10" t="n"/>
      <c r="P69" s="10" t="n"/>
      <c r="Q69" s="10" t="n"/>
      <c r="R69" s="7" t="n"/>
    </row>
    <row r="70">
      <c r="A70" s="7" t="n"/>
      <c r="B70" s="136" t="inlineStr">
        <is>
          <t>#</t>
        </is>
      </c>
      <c r="C70" s="137" t="inlineStr">
        <is>
          <t>Fecha</t>
        </is>
      </c>
      <c r="D70" s="12" t="n"/>
      <c r="E70" s="137" t="inlineStr">
        <is>
          <t>Día</t>
        </is>
      </c>
      <c r="F70" s="108" t="inlineStr">
        <is>
          <t>Alimentación</t>
        </is>
      </c>
      <c r="G70" s="12" t="n"/>
      <c r="H70" s="109" t="inlineStr">
        <is>
          <t>Comprada</t>
        </is>
      </c>
      <c r="I70" s="7" t="n"/>
      <c r="J70" s="107" t="inlineStr">
        <is>
          <t>Día</t>
        </is>
      </c>
      <c r="K70" s="12" t="n"/>
      <c r="L70" s="108" t="inlineStr">
        <is>
          <t>Alimentación</t>
        </is>
      </c>
      <c r="M70" s="12" t="n"/>
      <c r="N70" s="108" t="inlineStr">
        <is>
          <t>Promedio / día</t>
        </is>
      </c>
      <c r="O70" s="12" t="n"/>
      <c r="P70" s="109" t="inlineStr">
        <is>
          <t>Comidas compradas</t>
        </is>
      </c>
      <c r="Q70" s="13" t="n"/>
      <c r="R70" s="7" t="n"/>
    </row>
    <row r="71">
      <c r="A71" s="7" t="n"/>
      <c r="B71" s="110" t="n">
        <v>1</v>
      </c>
      <c r="C71" s="170">
        <f>'Motor'!DB7</f>
        <v/>
      </c>
      <c r="E71" s="157">
        <f>IF(C71="","",CHOOSE(WEEKDAY(C71,2),"Lun","Mar","Mié","Jue","Vie","Sáb","Dom"))</f>
        <v/>
      </c>
      <c r="F71" s="98">
        <f>'Motor'!DC7</f>
        <v/>
      </c>
      <c r="H71" s="171">
        <f>'Motor'!DD7</f>
        <v/>
      </c>
      <c r="I71" s="7" t="n"/>
      <c r="J71" s="115">
        <f>'Motor'!BO7</f>
        <v/>
      </c>
      <c r="L71" s="116">
        <f>'Motor'!BP7</f>
        <v/>
      </c>
      <c r="N71" s="98">
        <f>'Motor'!BT7</f>
        <v/>
      </c>
      <c r="P71" s="171">
        <f>'Motor'!BR7</f>
        <v/>
      </c>
      <c r="Q71" s="16" t="n"/>
      <c r="R71" s="7" t="n"/>
    </row>
    <row r="72">
      <c r="A72" s="7" t="n"/>
      <c r="B72" s="110" t="n">
        <v>2</v>
      </c>
      <c r="C72" s="170">
        <f>'Motor'!DB8</f>
        <v/>
      </c>
      <c r="E72" s="157">
        <f>IF(C72="","",CHOOSE(WEEKDAY(C72,2),"Lun","Mar","Mié","Jue","Vie","Sáb","Dom"))</f>
        <v/>
      </c>
      <c r="F72" s="98">
        <f>'Motor'!DC8</f>
        <v/>
      </c>
      <c r="H72" s="171">
        <f>'Motor'!DD8</f>
        <v/>
      </c>
      <c r="I72" s="7" t="n"/>
      <c r="J72" s="115">
        <f>'Motor'!BO8</f>
        <v/>
      </c>
      <c r="L72" s="116">
        <f>'Motor'!BP8</f>
        <v/>
      </c>
      <c r="N72" s="98">
        <f>'Motor'!BT8</f>
        <v/>
      </c>
      <c r="P72" s="171">
        <f>'Motor'!BR8</f>
        <v/>
      </c>
      <c r="Q72" s="16" t="n"/>
      <c r="R72" s="7" t="n"/>
    </row>
    <row r="73">
      <c r="A73" s="7" t="n"/>
      <c r="B73" s="110" t="n">
        <v>3</v>
      </c>
      <c r="C73" s="170">
        <f>'Motor'!DB9</f>
        <v/>
      </c>
      <c r="E73" s="157">
        <f>IF(C73="","",CHOOSE(WEEKDAY(C73,2),"Lun","Mar","Mié","Jue","Vie","Sáb","Dom"))</f>
        <v/>
      </c>
      <c r="F73" s="98">
        <f>'Motor'!DC9</f>
        <v/>
      </c>
      <c r="H73" s="171">
        <f>'Motor'!DD9</f>
        <v/>
      </c>
      <c r="I73" s="7" t="n"/>
      <c r="J73" s="115">
        <f>'Motor'!BO9</f>
        <v/>
      </c>
      <c r="L73" s="116">
        <f>'Motor'!BP9</f>
        <v/>
      </c>
      <c r="N73" s="98">
        <f>'Motor'!BT9</f>
        <v/>
      </c>
      <c r="P73" s="171">
        <f>'Motor'!BR9</f>
        <v/>
      </c>
      <c r="Q73" s="16" t="n"/>
      <c r="R73" s="7" t="n"/>
    </row>
    <row r="74">
      <c r="A74" s="7" t="n"/>
      <c r="B74" s="110" t="n">
        <v>4</v>
      </c>
      <c r="C74" s="170">
        <f>'Motor'!DB10</f>
        <v/>
      </c>
      <c r="E74" s="157">
        <f>IF(C74="","",CHOOSE(WEEKDAY(C74,2),"Lun","Mar","Mié","Jue","Vie","Sáb","Dom"))</f>
        <v/>
      </c>
      <c r="F74" s="98">
        <f>'Motor'!DC10</f>
        <v/>
      </c>
      <c r="H74" s="171">
        <f>'Motor'!DD10</f>
        <v/>
      </c>
      <c r="I74" s="7" t="n"/>
      <c r="J74" s="115">
        <f>'Motor'!BO10</f>
        <v/>
      </c>
      <c r="L74" s="116">
        <f>'Motor'!BP10</f>
        <v/>
      </c>
      <c r="N74" s="98">
        <f>'Motor'!BT10</f>
        <v/>
      </c>
      <c r="P74" s="171">
        <f>'Motor'!BR10</f>
        <v/>
      </c>
      <c r="Q74" s="16" t="n"/>
      <c r="R74" s="7" t="n"/>
    </row>
    <row r="75">
      <c r="A75" s="7" t="n"/>
      <c r="B75" s="110" t="n">
        <v>5</v>
      </c>
      <c r="C75" s="170">
        <f>'Motor'!DB11</f>
        <v/>
      </c>
      <c r="E75" s="157">
        <f>IF(C75="","",CHOOSE(WEEKDAY(C75,2),"Lun","Mar","Mié","Jue","Vie","Sáb","Dom"))</f>
        <v/>
      </c>
      <c r="F75" s="98">
        <f>'Motor'!DC11</f>
        <v/>
      </c>
      <c r="H75" s="171">
        <f>'Motor'!DD11</f>
        <v/>
      </c>
      <c r="I75" s="7" t="n"/>
      <c r="J75" s="115">
        <f>'Motor'!BO11</f>
        <v/>
      </c>
      <c r="L75" s="116">
        <f>'Motor'!BP11</f>
        <v/>
      </c>
      <c r="N75" s="98">
        <f>'Motor'!BT11</f>
        <v/>
      </c>
      <c r="P75" s="171">
        <f>'Motor'!BR11</f>
        <v/>
      </c>
      <c r="Q75" s="16" t="n"/>
      <c r="R75" s="7" t="n"/>
    </row>
    <row r="76">
      <c r="A76" s="7" t="n"/>
      <c r="B76" s="110" t="n">
        <v>6</v>
      </c>
      <c r="C76" s="170">
        <f>'Motor'!DB12</f>
        <v/>
      </c>
      <c r="E76" s="157">
        <f>IF(C76="","",CHOOSE(WEEKDAY(C76,2),"Lun","Mar","Mié","Jue","Vie","Sáb","Dom"))</f>
        <v/>
      </c>
      <c r="F76" s="98">
        <f>'Motor'!DC12</f>
        <v/>
      </c>
      <c r="H76" s="171">
        <f>'Motor'!DD12</f>
        <v/>
      </c>
      <c r="I76" s="7" t="n"/>
      <c r="J76" s="115">
        <f>'Motor'!BO12</f>
        <v/>
      </c>
      <c r="L76" s="116">
        <f>'Motor'!BP12</f>
        <v/>
      </c>
      <c r="N76" s="98">
        <f>'Motor'!BT12</f>
        <v/>
      </c>
      <c r="P76" s="171">
        <f>'Motor'!BR12</f>
        <v/>
      </c>
      <c r="Q76" s="16" t="n"/>
      <c r="R76" s="7" t="n"/>
    </row>
    <row r="77">
      <c r="A77" s="7" t="n"/>
      <c r="B77" s="110" t="n">
        <v>7</v>
      </c>
      <c r="C77" s="170">
        <f>'Motor'!DB13</f>
        <v/>
      </c>
      <c r="E77" s="157">
        <f>IF(C77="","",CHOOSE(WEEKDAY(C77,2),"Lun","Mar","Mié","Jue","Vie","Sáb","Dom"))</f>
        <v/>
      </c>
      <c r="F77" s="98">
        <f>'Motor'!DC13</f>
        <v/>
      </c>
      <c r="H77" s="171">
        <f>'Motor'!DD13</f>
        <v/>
      </c>
      <c r="I77" s="7" t="n"/>
      <c r="J77" s="115">
        <f>'Motor'!BO13</f>
        <v/>
      </c>
      <c r="L77" s="116">
        <f>'Motor'!BP13</f>
        <v/>
      </c>
      <c r="N77" s="98">
        <f>'Motor'!BT13</f>
        <v/>
      </c>
      <c r="P77" s="171">
        <f>'Motor'!BR13</f>
        <v/>
      </c>
      <c r="Q77" s="16" t="n"/>
      <c r="R77" s="7" t="n"/>
    </row>
    <row r="78">
      <c r="A78" s="7" t="n"/>
      <c r="B78" s="85" t="n"/>
      <c r="C78" s="86" t="n"/>
      <c r="D78" s="86" t="n"/>
      <c r="E78" s="86" t="n"/>
      <c r="F78" s="86" t="n"/>
      <c r="G78" s="86" t="n"/>
      <c r="H78" s="87" t="n"/>
      <c r="I78" s="7" t="n"/>
      <c r="J78" s="85" t="n"/>
      <c r="K78" s="86" t="n"/>
      <c r="L78" s="86" t="n"/>
      <c r="M78" s="86" t="n"/>
      <c r="N78" s="86" t="n"/>
      <c r="O78" s="86" t="n"/>
      <c r="P78" s="86" t="n"/>
      <c r="Q78" s="87" t="n"/>
      <c r="R78" s="7" t="n"/>
    </row>
    <row r="79">
      <c r="A79" s="7" t="n"/>
      <c r="B79" s="114" t="inlineStr">
        <is>
          <t>Top 7 días del período.</t>
        </is>
      </c>
      <c r="C79" s="102" t="n"/>
      <c r="D79" s="102" t="n"/>
      <c r="E79" s="102" t="n"/>
      <c r="F79" s="102" t="n"/>
      <c r="G79" s="102" t="n"/>
      <c r="H79" s="103" t="n"/>
      <c r="I79" s="7" t="n"/>
      <c r="J79" s="101" t="n"/>
      <c r="K79" s="102" t="n"/>
      <c r="L79" s="102" t="n"/>
      <c r="M79" s="102" t="n"/>
      <c r="N79" s="102" t="n"/>
      <c r="O79" s="102" t="n"/>
      <c r="P79" s="102" t="n"/>
      <c r="Q79" s="103" t="n"/>
      <c r="R79" s="7" t="n"/>
    </row>
    <row r="80">
      <c r="A80" s="7" t="n"/>
      <c r="B80" s="7" t="n"/>
      <c r="C80" s="7" t="n"/>
      <c r="D80" s="7" t="n"/>
      <c r="E80" s="7" t="n"/>
      <c r="F80" s="7" t="n"/>
      <c r="G80" s="7" t="n"/>
      <c r="H80" s="7" t="n"/>
      <c r="I80" s="7" t="n"/>
      <c r="J80" s="7" t="n"/>
      <c r="K80" s="7" t="n"/>
      <c r="L80" s="7" t="n"/>
      <c r="M80" s="7" t="n"/>
      <c r="N80" s="7" t="n"/>
      <c r="O80" s="7" t="n"/>
      <c r="P80" s="7" t="n"/>
      <c r="Q80" s="7" t="n"/>
      <c r="R80" s="7" t="n"/>
    </row>
    <row r="81">
      <c r="A81" s="7" t="n"/>
      <c r="B81" s="7" t="n"/>
      <c r="C81" s="7" t="n"/>
      <c r="D81" s="7" t="n"/>
      <c r="E81" s="7" t="n"/>
      <c r="F81" s="7" t="n"/>
      <c r="G81" s="7" t="n"/>
      <c r="H81" s="7" t="n"/>
      <c r="I81" s="7" t="n"/>
      <c r="J81" s="7" t="n"/>
      <c r="K81" s="7" t="n"/>
      <c r="L81" s="7" t="n"/>
      <c r="M81" s="7" t="n"/>
      <c r="N81" s="7" t="n"/>
      <c r="O81" s="7" t="n"/>
      <c r="P81" s="7" t="n"/>
      <c r="Q81" s="7" t="n"/>
      <c r="R81" s="7" t="n"/>
    </row>
    <row r="82">
      <c r="A82" s="7" t="n"/>
      <c r="B82" s="7" t="n"/>
      <c r="C82" s="7" t="n"/>
      <c r="D82" s="7" t="n"/>
      <c r="E82" s="7" t="n"/>
      <c r="F82" s="7" t="n"/>
      <c r="G82" s="7" t="n"/>
      <c r="H82" s="7" t="n"/>
      <c r="I82" s="7" t="n"/>
      <c r="J82" s="7" t="n"/>
      <c r="K82" s="7" t="n"/>
      <c r="L82" s="7" t="n"/>
      <c r="M82" s="7" t="n"/>
      <c r="N82" s="7" t="n"/>
      <c r="O82" s="7" t="n"/>
      <c r="P82" s="7" t="n"/>
      <c r="Q82" s="7" t="n"/>
      <c r="R82" s="7" t="n"/>
    </row>
    <row r="83">
      <c r="A83" s="7" t="n"/>
      <c r="B83" s="7" t="n"/>
      <c r="C83" s="7" t="n"/>
      <c r="D83" s="7" t="n"/>
      <c r="E83" s="7" t="n"/>
      <c r="F83" s="7" t="n"/>
      <c r="G83" s="7" t="n"/>
      <c r="H83" s="7" t="n"/>
      <c r="I83" s="7" t="n"/>
      <c r="J83" s="7" t="n"/>
      <c r="K83" s="7" t="n"/>
      <c r="L83" s="7" t="n"/>
      <c r="M83" s="7" t="n"/>
      <c r="N83" s="7" t="n"/>
      <c r="O83" s="7" t="n"/>
      <c r="P83" s="7" t="n"/>
      <c r="Q83" s="7" t="n"/>
      <c r="R83" s="7" t="n"/>
    </row>
    <row r="84">
      <c r="A84" s="7" t="n"/>
      <c r="B84" s="7" t="n"/>
      <c r="C84" s="7" t="n"/>
      <c r="D84" s="7" t="n"/>
      <c r="E84" s="7" t="n"/>
      <c r="F84" s="7" t="n"/>
      <c r="G84" s="7" t="n"/>
      <c r="H84" s="7" t="n"/>
      <c r="I84" s="7" t="n"/>
      <c r="J84" s="7" t="n"/>
      <c r="K84" s="7" t="n"/>
      <c r="L84" s="7" t="n"/>
      <c r="M84" s="7" t="n"/>
      <c r="N84" s="7" t="n"/>
      <c r="O84" s="7" t="n"/>
      <c r="P84" s="7" t="n"/>
      <c r="Q84" s="7" t="n"/>
      <c r="R84" s="7" t="n"/>
    </row>
    <row r="85">
      <c r="A85" s="7" t="n"/>
      <c r="B85" s="7" t="n"/>
      <c r="C85" s="7" t="n"/>
      <c r="D85" s="7" t="n"/>
      <c r="E85" s="7" t="n"/>
      <c r="F85" s="7" t="n"/>
      <c r="G85" s="7" t="n"/>
      <c r="H85" s="7" t="n"/>
      <c r="I85" s="7" t="n"/>
      <c r="J85" s="7" t="n"/>
      <c r="K85" s="7" t="n"/>
      <c r="L85" s="7" t="n"/>
      <c r="M85" s="7" t="n"/>
      <c r="N85" s="7" t="n"/>
      <c r="O85" s="7" t="n"/>
      <c r="P85" s="7" t="n"/>
      <c r="Q85" s="7" t="n"/>
      <c r="R85" s="7" t="n"/>
    </row>
    <row r="86">
      <c r="A86" s="7" t="n"/>
      <c r="B86" s="7" t="n"/>
      <c r="C86" s="7" t="n"/>
      <c r="D86" s="7" t="n"/>
      <c r="E86" s="7" t="n"/>
      <c r="F86" s="7" t="n"/>
      <c r="G86" s="7" t="n"/>
      <c r="H86" s="7" t="n"/>
      <c r="I86" s="7" t="n"/>
      <c r="J86" s="7" t="n"/>
      <c r="K86" s="7" t="n"/>
      <c r="L86" s="7" t="n"/>
      <c r="M86" s="7" t="n"/>
      <c r="N86" s="7" t="n"/>
      <c r="O86" s="7" t="n"/>
      <c r="P86" s="7" t="n"/>
      <c r="Q86" s="7" t="n"/>
      <c r="R86" s="7" t="n"/>
    </row>
    <row r="87">
      <c r="A87" s="7" t="n"/>
      <c r="B87" s="7" t="n"/>
      <c r="C87" s="7" t="n"/>
      <c r="D87" s="7" t="n"/>
      <c r="E87" s="7" t="n"/>
      <c r="F87" s="7" t="n"/>
      <c r="G87" s="7" t="n"/>
      <c r="H87" s="7" t="n"/>
      <c r="I87" s="7" t="n"/>
      <c r="J87" s="7" t="n"/>
      <c r="K87" s="7" t="n"/>
      <c r="L87" s="7" t="n"/>
      <c r="M87" s="7" t="n"/>
      <c r="N87" s="7" t="n"/>
      <c r="O87" s="7" t="n"/>
      <c r="P87" s="7" t="n"/>
      <c r="Q87" s="7" t="n"/>
      <c r="R87" s="7" t="n"/>
    </row>
    <row r="88">
      <c r="A88" s="7" t="n"/>
      <c r="B88" s="7" t="n"/>
      <c r="C88" s="7" t="n"/>
      <c r="D88" s="7" t="n"/>
      <c r="E88" s="7" t="n"/>
      <c r="F88" s="7" t="n"/>
      <c r="G88" s="7" t="n"/>
      <c r="H88" s="7" t="n"/>
      <c r="I88" s="7" t="n"/>
      <c r="J88" s="7" t="n"/>
      <c r="K88" s="7" t="n"/>
      <c r="L88" s="7" t="n"/>
      <c r="M88" s="7" t="n"/>
      <c r="N88" s="7" t="n"/>
      <c r="O88" s="7" t="n"/>
      <c r="P88" s="7" t="n"/>
      <c r="Q88" s="7" t="n"/>
      <c r="R88" s="7" t="n"/>
    </row>
    <row r="89">
      <c r="A89" s="7" t="n"/>
      <c r="B89" s="7" t="n"/>
      <c r="C89" s="7" t="n"/>
      <c r="D89" s="7" t="n"/>
      <c r="E89" s="7" t="n"/>
      <c r="F89" s="7" t="n"/>
      <c r="G89" s="7" t="n"/>
      <c r="H89" s="7" t="n"/>
      <c r="I89" s="7" t="n"/>
      <c r="J89" s="7" t="n"/>
      <c r="K89" s="7" t="n"/>
      <c r="L89" s="7" t="n"/>
      <c r="M89" s="7" t="n"/>
      <c r="N89" s="7" t="n"/>
      <c r="O89" s="7" t="n"/>
      <c r="P89" s="7" t="n"/>
      <c r="Q89" s="7" t="n"/>
      <c r="R89" s="7" t="n"/>
    </row>
    <row r="90">
      <c r="A90" s="7" t="n"/>
      <c r="B90" s="7" t="n"/>
      <c r="C90" s="7" t="n"/>
      <c r="D90" s="7" t="n"/>
      <c r="E90" s="7" t="n"/>
      <c r="F90" s="7" t="n"/>
      <c r="G90" s="7" t="n"/>
      <c r="H90" s="7" t="n"/>
      <c r="I90" s="7" t="n"/>
      <c r="J90" s="7" t="n"/>
      <c r="K90" s="7" t="n"/>
      <c r="L90" s="7" t="n"/>
      <c r="M90" s="7" t="n"/>
      <c r="N90" s="7" t="n"/>
      <c r="O90" s="7" t="n"/>
      <c r="P90" s="7" t="n"/>
      <c r="Q90" s="7" t="n"/>
      <c r="R90" s="7" t="n"/>
    </row>
    <row r="91">
      <c r="A91" s="7" t="n"/>
      <c r="B91" s="7" t="n"/>
      <c r="C91" s="7" t="n"/>
      <c r="D91" s="7" t="n"/>
      <c r="E91" s="7" t="n"/>
      <c r="F91" s="7" t="n"/>
      <c r="G91" s="7" t="n"/>
      <c r="H91" s="7" t="n"/>
      <c r="I91" s="7" t="n"/>
      <c r="J91" s="7" t="n"/>
      <c r="K91" s="7" t="n"/>
      <c r="L91" s="7" t="n"/>
      <c r="M91" s="7" t="n"/>
      <c r="N91" s="7" t="n"/>
      <c r="O91" s="7" t="n"/>
      <c r="P91" s="7" t="n"/>
      <c r="Q91" s="7" t="n"/>
      <c r="R91" s="7" t="n"/>
    </row>
    <row r="92">
      <c r="A92" s="7" t="n"/>
      <c r="B92" s="7" t="n"/>
      <c r="C92" s="7" t="n"/>
      <c r="D92" s="7" t="n"/>
      <c r="E92" s="7" t="n"/>
      <c r="F92" s="7" t="n"/>
      <c r="G92" s="7" t="n"/>
      <c r="H92" s="7" t="n"/>
      <c r="I92" s="7" t="n"/>
      <c r="J92" s="7" t="n"/>
      <c r="K92" s="7" t="n"/>
      <c r="L92" s="7" t="n"/>
      <c r="M92" s="7" t="n"/>
      <c r="N92" s="7" t="n"/>
      <c r="O92" s="7" t="n"/>
      <c r="P92" s="7" t="n"/>
      <c r="Q92" s="7" t="n"/>
      <c r="R92" s="7" t="n"/>
    </row>
    <row r="93">
      <c r="A93" s="7" t="n"/>
      <c r="B93" s="7" t="n"/>
      <c r="C93" s="7" t="n"/>
      <c r="D93" s="7" t="n"/>
      <c r="E93" s="7" t="n"/>
      <c r="F93" s="7" t="n"/>
      <c r="G93" s="7" t="n"/>
      <c r="H93" s="7" t="n"/>
      <c r="I93" s="7" t="n"/>
      <c r="J93" s="7" t="n"/>
      <c r="K93" s="7" t="n"/>
      <c r="L93" s="7" t="n"/>
      <c r="M93" s="7" t="n"/>
      <c r="N93" s="7" t="n"/>
      <c r="O93" s="7" t="n"/>
      <c r="P93" s="7" t="n"/>
      <c r="Q93" s="7" t="n"/>
      <c r="R93" s="7" t="n"/>
    </row>
    <row r="94">
      <c r="A94" s="7" t="n"/>
      <c r="B94" s="7" t="n"/>
      <c r="C94" s="7" t="n"/>
      <c r="D94" s="7" t="n"/>
      <c r="E94" s="7" t="n"/>
      <c r="F94" s="7" t="n"/>
      <c r="G94" s="7" t="n"/>
      <c r="H94" s="7" t="n"/>
      <c r="I94" s="7" t="n"/>
      <c r="J94" s="7" t="n"/>
      <c r="K94" s="7" t="n"/>
      <c r="L94" s="7" t="n"/>
      <c r="M94" s="7" t="n"/>
      <c r="N94" s="7" t="n"/>
      <c r="O94" s="7" t="n"/>
      <c r="P94" s="7" t="n"/>
      <c r="Q94" s="7" t="n"/>
      <c r="R94" s="7" t="n"/>
    </row>
    <row r="95">
      <c r="A95" s="7" t="n"/>
      <c r="B95" s="7" t="n"/>
      <c r="C95" s="7" t="n"/>
      <c r="D95" s="7" t="n"/>
      <c r="E95" s="7" t="n"/>
      <c r="F95" s="7" t="n"/>
      <c r="G95" s="7" t="n"/>
      <c r="H95" s="7" t="n"/>
      <c r="I95" s="7" t="n"/>
      <c r="J95" s="7" t="n"/>
      <c r="K95" s="7" t="n"/>
      <c r="L95" s="7" t="n"/>
      <c r="M95" s="7" t="n"/>
      <c r="N95" s="7" t="n"/>
      <c r="O95" s="7" t="n"/>
      <c r="P95" s="7" t="n"/>
      <c r="Q95" s="7" t="n"/>
      <c r="R95" s="7" t="n"/>
    </row>
    <row r="96">
      <c r="A96" s="7" t="n"/>
      <c r="B96" s="7" t="n"/>
      <c r="C96" s="7" t="n"/>
      <c r="D96" s="7" t="n"/>
      <c r="E96" s="7" t="n"/>
      <c r="F96" s="7" t="n"/>
      <c r="G96" s="7" t="n"/>
      <c r="H96" s="7" t="n"/>
      <c r="I96" s="7" t="n"/>
      <c r="J96" s="7" t="n"/>
      <c r="K96" s="7" t="n"/>
      <c r="L96" s="7" t="n"/>
      <c r="M96" s="7" t="n"/>
      <c r="N96" s="7" t="n"/>
      <c r="O96" s="7" t="n"/>
      <c r="P96" s="7" t="n"/>
      <c r="Q96" s="7" t="n"/>
      <c r="R96" s="7" t="n"/>
    </row>
    <row r="97">
      <c r="A97" s="7" t="n"/>
      <c r="B97" s="7" t="n"/>
      <c r="C97" s="7" t="n"/>
      <c r="D97" s="7" t="n"/>
      <c r="E97" s="7" t="n"/>
      <c r="F97" s="7" t="n"/>
      <c r="G97" s="7" t="n"/>
      <c r="H97" s="7" t="n"/>
      <c r="I97" s="7" t="n"/>
      <c r="J97" s="7" t="n"/>
      <c r="K97" s="7" t="n"/>
      <c r="L97" s="7" t="n"/>
      <c r="M97" s="7" t="n"/>
      <c r="N97" s="7" t="n"/>
      <c r="O97" s="7" t="n"/>
      <c r="P97" s="7" t="n"/>
      <c r="Q97" s="7" t="n"/>
      <c r="R97" s="7" t="n"/>
    </row>
    <row r="98">
      <c r="A98" s="7" t="n"/>
      <c r="B98" s="7" t="n"/>
      <c r="C98" s="7" t="n"/>
      <c r="D98" s="7" t="n"/>
      <c r="E98" s="7" t="n"/>
      <c r="F98" s="7" t="n"/>
      <c r="G98" s="7" t="n"/>
      <c r="H98" s="7" t="n"/>
      <c r="I98" s="7" t="n"/>
      <c r="J98" s="7" t="n"/>
      <c r="K98" s="7" t="n"/>
      <c r="L98" s="7" t="n"/>
      <c r="M98" s="7" t="n"/>
      <c r="N98" s="7" t="n"/>
      <c r="O98" s="7" t="n"/>
      <c r="P98" s="7" t="n"/>
      <c r="Q98" s="7" t="n"/>
      <c r="R98" s="7" t="n"/>
    </row>
    <row r="99">
      <c r="A99" s="7" t="n"/>
      <c r="B99" s="7" t="n"/>
      <c r="C99" s="7" t="n"/>
      <c r="D99" s="7" t="n"/>
      <c r="E99" s="7" t="n"/>
      <c r="F99" s="7" t="n"/>
      <c r="G99" s="7" t="n"/>
      <c r="H99" s="7" t="n"/>
      <c r="I99" s="7" t="n"/>
      <c r="J99" s="7" t="n"/>
      <c r="K99" s="7" t="n"/>
      <c r="L99" s="7" t="n"/>
      <c r="M99" s="7" t="n"/>
      <c r="N99" s="7" t="n"/>
      <c r="O99" s="7" t="n"/>
      <c r="P99" s="7" t="n"/>
      <c r="Q99" s="7" t="n"/>
      <c r="R99" s="7" t="n"/>
    </row>
    <row r="100">
      <c r="A100" s="7" t="n"/>
      <c r="B100" s="7" t="n"/>
      <c r="C100" s="7" t="n"/>
      <c r="D100" s="7" t="n"/>
      <c r="E100" s="7" t="n"/>
      <c r="F100" s="7" t="n"/>
      <c r="G100" s="7" t="n"/>
      <c r="H100" s="7" t="n"/>
      <c r="I100" s="7" t="n"/>
      <c r="J100" s="7" t="n"/>
      <c r="K100" s="7" t="n"/>
      <c r="L100" s="7" t="n"/>
      <c r="M100" s="7" t="n"/>
      <c r="N100" s="7" t="n"/>
      <c r="O100" s="7" t="n"/>
      <c r="P100" s="7" t="n"/>
      <c r="Q100" s="7" t="n"/>
      <c r="R100" s="7" t="n"/>
    </row>
    <row r="101">
      <c r="A101" s="7" t="n"/>
      <c r="B101" s="7" t="n"/>
      <c r="C101" s="7" t="n"/>
      <c r="D101" s="7" t="n"/>
      <c r="E101" s="7" t="n"/>
      <c r="F101" s="7" t="n"/>
      <c r="G101" s="7" t="n"/>
      <c r="H101" s="7" t="n"/>
      <c r="I101" s="7" t="n"/>
      <c r="J101" s="7" t="n"/>
      <c r="K101" s="7" t="n"/>
      <c r="L101" s="7" t="n"/>
      <c r="M101" s="7" t="n"/>
      <c r="N101" s="7" t="n"/>
      <c r="O101" s="7" t="n"/>
      <c r="P101" s="7" t="n"/>
      <c r="Q101" s="7" t="n"/>
      <c r="R101" s="7" t="n"/>
    </row>
    <row r="102">
      <c r="A102" s="7" t="n"/>
      <c r="B102" s="7" t="n"/>
      <c r="C102" s="7" t="n"/>
      <c r="D102" s="7" t="n"/>
      <c r="E102" s="7" t="n"/>
      <c r="F102" s="7" t="n"/>
      <c r="G102" s="7" t="n"/>
      <c r="H102" s="7" t="n"/>
      <c r="I102" s="7" t="n"/>
      <c r="J102" s="7" t="n"/>
      <c r="K102" s="7" t="n"/>
      <c r="L102" s="7" t="n"/>
      <c r="M102" s="7" t="n"/>
      <c r="N102" s="7" t="n"/>
      <c r="O102" s="7" t="n"/>
      <c r="P102" s="7" t="n"/>
      <c r="Q102" s="7" t="n"/>
      <c r="R102" s="7" t="n"/>
    </row>
    <row r="103">
      <c r="A103" s="7" t="n"/>
      <c r="B103" s="7" t="n"/>
      <c r="C103" s="7" t="n"/>
      <c r="D103" s="7" t="n"/>
      <c r="E103" s="7" t="n"/>
      <c r="F103" s="7" t="n"/>
      <c r="G103" s="7" t="n"/>
      <c r="H103" s="7" t="n"/>
      <c r="I103" s="7" t="n"/>
      <c r="J103" s="7" t="n"/>
      <c r="K103" s="7" t="n"/>
      <c r="L103" s="7" t="n"/>
      <c r="M103" s="7" t="n"/>
      <c r="N103" s="7" t="n"/>
      <c r="O103" s="7" t="n"/>
      <c r="P103" s="7" t="n"/>
      <c r="Q103" s="7" t="n"/>
      <c r="R103" s="7" t="n"/>
    </row>
    <row r="104">
      <c r="A104" s="7" t="n"/>
      <c r="B104" s="7" t="n"/>
      <c r="C104" s="7" t="n"/>
      <c r="D104" s="7" t="n"/>
      <c r="E104" s="7" t="n"/>
      <c r="F104" s="7" t="n"/>
      <c r="G104" s="7" t="n"/>
      <c r="H104" s="7" t="n"/>
      <c r="I104" s="7" t="n"/>
      <c r="J104" s="7" t="n"/>
      <c r="K104" s="7" t="n"/>
      <c r="L104" s="7" t="n"/>
      <c r="M104" s="7" t="n"/>
      <c r="N104" s="7" t="n"/>
      <c r="O104" s="7" t="n"/>
      <c r="P104" s="7" t="n"/>
      <c r="Q104" s="7" t="n"/>
      <c r="R104" s="7" t="n"/>
    </row>
    <row r="105">
      <c r="A105" s="7" t="n"/>
      <c r="B105" s="7" t="n"/>
      <c r="C105" s="7" t="n"/>
      <c r="D105" s="7" t="n"/>
      <c r="E105" s="7" t="n"/>
      <c r="F105" s="7" t="n"/>
      <c r="G105" s="7" t="n"/>
      <c r="H105" s="7" t="n"/>
      <c r="I105" s="7" t="n"/>
      <c r="J105" s="7" t="n"/>
      <c r="K105" s="7" t="n"/>
      <c r="L105" s="7" t="n"/>
      <c r="M105" s="7" t="n"/>
      <c r="N105" s="7" t="n"/>
      <c r="O105" s="7" t="n"/>
      <c r="P105" s="7" t="n"/>
      <c r="Q105" s="7" t="n"/>
      <c r="R105" s="7" t="n"/>
    </row>
    <row r="106">
      <c r="A106" s="7" t="n"/>
      <c r="B106" s="7" t="n"/>
      <c r="C106" s="7" t="n"/>
      <c r="D106" s="7" t="n"/>
      <c r="E106" s="7" t="n"/>
      <c r="F106" s="7" t="n"/>
      <c r="G106" s="7" t="n"/>
      <c r="H106" s="7" t="n"/>
      <c r="I106" s="7" t="n"/>
      <c r="J106" s="7" t="n"/>
      <c r="K106" s="7" t="n"/>
      <c r="L106" s="7" t="n"/>
      <c r="M106" s="7" t="n"/>
      <c r="N106" s="7" t="n"/>
      <c r="O106" s="7" t="n"/>
      <c r="P106" s="7" t="n"/>
      <c r="Q106" s="7" t="n"/>
      <c r="R106" s="7" t="n"/>
    </row>
    <row r="107">
      <c r="A107" s="7" t="n"/>
      <c r="B107" s="7" t="n"/>
      <c r="C107" s="7" t="n"/>
      <c r="D107" s="7" t="n"/>
      <c r="E107" s="7" t="n"/>
      <c r="F107" s="7" t="n"/>
      <c r="G107" s="7" t="n"/>
      <c r="H107" s="7" t="n"/>
      <c r="I107" s="7" t="n"/>
      <c r="J107" s="7" t="n"/>
      <c r="K107" s="7" t="n"/>
      <c r="L107" s="7" t="n"/>
      <c r="M107" s="7" t="n"/>
      <c r="N107" s="7" t="n"/>
      <c r="O107" s="7" t="n"/>
      <c r="P107" s="7" t="n"/>
      <c r="Q107" s="7" t="n"/>
      <c r="R107" s="7" t="n"/>
    </row>
    <row r="108">
      <c r="A108" s="7" t="n"/>
      <c r="B108" s="7" t="n"/>
      <c r="C108" s="7" t="n"/>
      <c r="D108" s="7" t="n"/>
      <c r="E108" s="7" t="n"/>
      <c r="F108" s="7" t="n"/>
      <c r="G108" s="7" t="n"/>
      <c r="H108" s="7" t="n"/>
      <c r="I108" s="7" t="n"/>
      <c r="J108" s="7" t="n"/>
      <c r="K108" s="7" t="n"/>
      <c r="L108" s="7" t="n"/>
      <c r="M108" s="7" t="n"/>
      <c r="N108" s="7" t="n"/>
      <c r="O108" s="7" t="n"/>
      <c r="P108" s="7" t="n"/>
      <c r="Q108" s="7" t="n"/>
      <c r="R108" s="7" t="n"/>
    </row>
    <row r="109">
      <c r="A109" s="7" t="n"/>
      <c r="B109" s="7" t="n"/>
      <c r="C109" s="7" t="n"/>
      <c r="D109" s="7" t="n"/>
      <c r="E109" s="7" t="n"/>
      <c r="F109" s="7" t="n"/>
      <c r="G109" s="7" t="n"/>
      <c r="H109" s="7" t="n"/>
      <c r="I109" s="7" t="n"/>
      <c r="J109" s="7" t="n"/>
      <c r="K109" s="7" t="n"/>
      <c r="L109" s="7" t="n"/>
      <c r="M109" s="7" t="n"/>
      <c r="N109" s="7" t="n"/>
      <c r="O109" s="7" t="n"/>
      <c r="P109" s="7" t="n"/>
      <c r="Q109" s="7" t="n"/>
      <c r="R109" s="7" t="n"/>
    </row>
    <row r="110">
      <c r="A110" s="7" t="n"/>
      <c r="B110" s="7" t="n"/>
      <c r="C110" s="7" t="n"/>
      <c r="D110" s="7" t="n"/>
      <c r="E110" s="7" t="n"/>
      <c r="F110" s="7" t="n"/>
      <c r="G110" s="7" t="n"/>
      <c r="H110" s="7" t="n"/>
      <c r="I110" s="7" t="n"/>
      <c r="J110" s="7" t="n"/>
      <c r="K110" s="7" t="n"/>
      <c r="L110" s="7" t="n"/>
      <c r="M110" s="7" t="n"/>
      <c r="N110" s="7" t="n"/>
      <c r="O110" s="7" t="n"/>
      <c r="P110" s="7" t="n"/>
      <c r="Q110" s="7" t="n"/>
      <c r="R110" s="7" t="n"/>
    </row>
    <row r="111">
      <c r="A111" s="7" t="n"/>
      <c r="B111" s="7" t="n"/>
      <c r="C111" s="7" t="n"/>
      <c r="D111" s="7" t="n"/>
      <c r="E111" s="7" t="n"/>
      <c r="F111" s="7" t="n"/>
      <c r="G111" s="7" t="n"/>
      <c r="H111" s="7" t="n"/>
      <c r="I111" s="7" t="n"/>
      <c r="J111" s="7" t="n"/>
      <c r="K111" s="7" t="n"/>
      <c r="L111" s="7" t="n"/>
      <c r="M111" s="7" t="n"/>
      <c r="N111" s="7" t="n"/>
      <c r="O111" s="7" t="n"/>
      <c r="P111" s="7" t="n"/>
      <c r="Q111" s="7" t="n"/>
      <c r="R111" s="7" t="n"/>
    </row>
    <row r="112">
      <c r="A112" s="7" t="n"/>
      <c r="B112" s="7" t="n"/>
      <c r="C112" s="7" t="n"/>
      <c r="D112" s="7" t="n"/>
      <c r="E112" s="7" t="n"/>
      <c r="F112" s="7" t="n"/>
      <c r="G112" s="7" t="n"/>
      <c r="H112" s="7" t="n"/>
      <c r="I112" s="7" t="n"/>
      <c r="J112" s="7" t="n"/>
      <c r="K112" s="7" t="n"/>
      <c r="L112" s="7" t="n"/>
      <c r="M112" s="7" t="n"/>
      <c r="N112" s="7" t="n"/>
      <c r="O112" s="7" t="n"/>
      <c r="P112" s="7" t="n"/>
      <c r="Q112" s="7" t="n"/>
      <c r="R112" s="7" t="n"/>
    </row>
    <row r="113">
      <c r="A113" s="7" t="n"/>
      <c r="B113" s="7" t="n"/>
      <c r="C113" s="7" t="n"/>
      <c r="D113" s="7" t="n"/>
      <c r="E113" s="7" t="n"/>
      <c r="F113" s="7" t="n"/>
      <c r="G113" s="7" t="n"/>
      <c r="H113" s="7" t="n"/>
      <c r="I113" s="7" t="n"/>
      <c r="J113" s="7" t="n"/>
      <c r="K113" s="7" t="n"/>
      <c r="L113" s="7" t="n"/>
      <c r="M113" s="7" t="n"/>
      <c r="N113" s="7" t="n"/>
      <c r="O113" s="7" t="n"/>
      <c r="P113" s="7" t="n"/>
      <c r="Q113" s="7" t="n"/>
      <c r="R113" s="7" t="n"/>
    </row>
    <row r="114">
      <c r="A114" s="7" t="n"/>
      <c r="B114" s="7" t="n"/>
      <c r="C114" s="7" t="n"/>
      <c r="D114" s="7" t="n"/>
      <c r="E114" s="7" t="n"/>
      <c r="F114" s="7" t="n"/>
      <c r="G114" s="7" t="n"/>
      <c r="H114" s="7" t="n"/>
      <c r="I114" s="7" t="n"/>
      <c r="J114" s="7" t="n"/>
      <c r="K114" s="7" t="n"/>
      <c r="L114" s="7" t="n"/>
      <c r="M114" s="7" t="n"/>
      <c r="N114" s="7" t="n"/>
      <c r="O114" s="7" t="n"/>
      <c r="P114" s="7" t="n"/>
      <c r="Q114" s="7" t="n"/>
      <c r="R114" s="7" t="n"/>
    </row>
    <row r="115">
      <c r="A115" s="7" t="n"/>
      <c r="B115" s="7" t="n"/>
      <c r="C115" s="7" t="n"/>
      <c r="D115" s="7" t="n"/>
      <c r="E115" s="7" t="n"/>
      <c r="F115" s="7" t="n"/>
      <c r="G115" s="7" t="n"/>
      <c r="H115" s="7" t="n"/>
      <c r="I115" s="7" t="n"/>
      <c r="J115" s="7" t="n"/>
      <c r="K115" s="7" t="n"/>
      <c r="L115" s="7" t="n"/>
      <c r="M115" s="7" t="n"/>
      <c r="N115" s="7" t="n"/>
      <c r="O115" s="7" t="n"/>
      <c r="P115" s="7" t="n"/>
      <c r="Q115" s="7" t="n"/>
      <c r="R115" s="7" t="n"/>
    </row>
    <row r="116">
      <c r="A116" s="7" t="n"/>
      <c r="B116" s="7" t="n"/>
      <c r="C116" s="7" t="n"/>
      <c r="D116" s="7" t="n"/>
      <c r="E116" s="7" t="n"/>
      <c r="F116" s="7" t="n"/>
      <c r="G116" s="7" t="n"/>
      <c r="H116" s="7" t="n"/>
      <c r="I116" s="7" t="n"/>
      <c r="J116" s="7" t="n"/>
      <c r="K116" s="7" t="n"/>
      <c r="L116" s="7" t="n"/>
      <c r="M116" s="7" t="n"/>
      <c r="N116" s="7" t="n"/>
      <c r="O116" s="7" t="n"/>
      <c r="P116" s="7" t="n"/>
      <c r="Q116" s="7" t="n"/>
      <c r="R116" s="7" t="n"/>
    </row>
    <row r="117">
      <c r="A117" s="7" t="n"/>
      <c r="B117" s="7" t="n"/>
      <c r="C117" s="7" t="n"/>
      <c r="D117" s="7" t="n"/>
      <c r="E117" s="7" t="n"/>
      <c r="F117" s="7" t="n"/>
      <c r="G117" s="7" t="n"/>
      <c r="H117" s="7" t="n"/>
      <c r="I117" s="7" t="n"/>
      <c r="J117" s="7" t="n"/>
      <c r="K117" s="7" t="n"/>
      <c r="L117" s="7" t="n"/>
      <c r="M117" s="7" t="n"/>
      <c r="N117" s="7" t="n"/>
      <c r="O117" s="7" t="n"/>
      <c r="P117" s="7" t="n"/>
      <c r="Q117" s="7" t="n"/>
      <c r="R117" s="7" t="n"/>
    </row>
    <row r="118">
      <c r="A118" s="7" t="n"/>
      <c r="B118" s="7" t="n"/>
      <c r="C118" s="7" t="n"/>
      <c r="D118" s="7" t="n"/>
      <c r="E118" s="7" t="n"/>
      <c r="F118" s="7" t="n"/>
      <c r="G118" s="7" t="n"/>
      <c r="H118" s="7" t="n"/>
      <c r="I118" s="7" t="n"/>
      <c r="J118" s="7" t="n"/>
      <c r="K118" s="7" t="n"/>
      <c r="L118" s="7" t="n"/>
      <c r="M118" s="7" t="n"/>
      <c r="N118" s="7" t="n"/>
      <c r="O118" s="7" t="n"/>
      <c r="P118" s="7" t="n"/>
      <c r="Q118" s="7" t="n"/>
      <c r="R118" s="7" t="n"/>
    </row>
    <row r="119">
      <c r="A119" s="7" t="n"/>
      <c r="B119" s="7" t="n"/>
      <c r="C119" s="7" t="n"/>
      <c r="D119" s="7" t="n"/>
      <c r="E119" s="7" t="n"/>
      <c r="F119" s="7" t="n"/>
      <c r="G119" s="7" t="n"/>
      <c r="H119" s="7" t="n"/>
      <c r="I119" s="7" t="n"/>
      <c r="J119" s="7" t="n"/>
      <c r="K119" s="7" t="n"/>
      <c r="L119" s="7" t="n"/>
      <c r="M119" s="7" t="n"/>
      <c r="N119" s="7" t="n"/>
      <c r="O119" s="7" t="n"/>
      <c r="P119" s="7" t="n"/>
      <c r="Q119" s="7" t="n"/>
      <c r="R119" s="7" t="n"/>
    </row>
    <row r="120">
      <c r="A120" s="7" t="n"/>
      <c r="B120" s="7" t="n"/>
      <c r="C120" s="7" t="n"/>
      <c r="D120" s="7" t="n"/>
      <c r="E120" s="7" t="n"/>
      <c r="F120" s="7" t="n"/>
      <c r="G120" s="7" t="n"/>
      <c r="H120" s="7" t="n"/>
      <c r="I120" s="7" t="n"/>
      <c r="J120" s="7" t="n"/>
      <c r="K120" s="7" t="n"/>
      <c r="L120" s="7" t="n"/>
      <c r="M120" s="7" t="n"/>
      <c r="N120" s="7" t="n"/>
      <c r="O120" s="7" t="n"/>
      <c r="P120" s="7" t="n"/>
      <c r="Q120" s="7" t="n"/>
      <c r="R120" s="7" t="n"/>
    </row>
    <row r="121">
      <c r="A121" s="7" t="n"/>
      <c r="B121" s="7" t="n"/>
      <c r="C121" s="7" t="n"/>
      <c r="D121" s="7" t="n"/>
      <c r="E121" s="7" t="n"/>
      <c r="F121" s="7" t="n"/>
      <c r="G121" s="7" t="n"/>
      <c r="H121" s="7" t="n"/>
      <c r="I121" s="7" t="n"/>
      <c r="J121" s="7" t="n"/>
      <c r="K121" s="7" t="n"/>
      <c r="L121" s="7" t="n"/>
      <c r="M121" s="7" t="n"/>
      <c r="N121" s="7" t="n"/>
      <c r="O121" s="7" t="n"/>
      <c r="P121" s="7" t="n"/>
      <c r="Q121" s="7" t="n"/>
      <c r="R121" s="7" t="n"/>
    </row>
    <row r="122">
      <c r="A122" s="7" t="n"/>
      <c r="B122" s="7" t="n"/>
      <c r="C122" s="7" t="n"/>
      <c r="D122" s="7" t="n"/>
      <c r="E122" s="7" t="n"/>
      <c r="F122" s="7" t="n"/>
      <c r="G122" s="7" t="n"/>
      <c r="H122" s="7" t="n"/>
      <c r="I122" s="7" t="n"/>
      <c r="J122" s="7" t="n"/>
      <c r="K122" s="7" t="n"/>
      <c r="L122" s="7" t="n"/>
      <c r="M122" s="7" t="n"/>
      <c r="N122" s="7" t="n"/>
      <c r="O122" s="7" t="n"/>
      <c r="P122" s="7" t="n"/>
      <c r="Q122" s="7" t="n"/>
      <c r="R122" s="7" t="n"/>
    </row>
    <row r="123">
      <c r="A123" s="7" t="n"/>
      <c r="B123" s="7" t="n"/>
      <c r="C123" s="7" t="n"/>
      <c r="D123" s="7" t="n"/>
      <c r="E123" s="7" t="n"/>
      <c r="F123" s="7" t="n"/>
      <c r="G123" s="7" t="n"/>
      <c r="H123" s="7" t="n"/>
      <c r="I123" s="7" t="n"/>
      <c r="J123" s="7" t="n"/>
      <c r="K123" s="7" t="n"/>
      <c r="L123" s="7" t="n"/>
      <c r="M123" s="7" t="n"/>
      <c r="N123" s="7" t="n"/>
      <c r="O123" s="7" t="n"/>
      <c r="P123" s="7" t="n"/>
      <c r="Q123" s="7" t="n"/>
      <c r="R123" s="7" t="n"/>
    </row>
    <row r="124">
      <c r="A124" s="7" t="n"/>
      <c r="B124" s="7" t="n"/>
      <c r="C124" s="7" t="n"/>
      <c r="D124" s="7" t="n"/>
      <c r="E124" s="7" t="n"/>
      <c r="F124" s="7" t="n"/>
      <c r="G124" s="7" t="n"/>
      <c r="H124" s="7" t="n"/>
      <c r="I124" s="7" t="n"/>
      <c r="J124" s="7" t="n"/>
      <c r="K124" s="7" t="n"/>
      <c r="L124" s="7" t="n"/>
      <c r="M124" s="7" t="n"/>
      <c r="N124" s="7" t="n"/>
      <c r="O124" s="7" t="n"/>
      <c r="P124" s="7" t="n"/>
      <c r="Q124" s="7" t="n"/>
      <c r="R124" s="7" t="n"/>
    </row>
    <row r="125">
      <c r="A125" s="7" t="n"/>
      <c r="B125" s="7" t="n"/>
      <c r="C125" s="7" t="n"/>
      <c r="D125" s="7" t="n"/>
      <c r="E125" s="7" t="n"/>
      <c r="F125" s="7" t="n"/>
      <c r="G125" s="7" t="n"/>
      <c r="H125" s="7" t="n"/>
      <c r="I125" s="7" t="n"/>
      <c r="J125" s="7" t="n"/>
      <c r="K125" s="7" t="n"/>
      <c r="L125" s="7" t="n"/>
      <c r="M125" s="7" t="n"/>
      <c r="N125" s="7" t="n"/>
      <c r="O125" s="7" t="n"/>
      <c r="P125" s="7" t="n"/>
      <c r="Q125" s="7" t="n"/>
      <c r="R125" s="7" t="n"/>
    </row>
    <row r="126">
      <c r="A126" s="7" t="n"/>
      <c r="B126" s="7" t="n"/>
      <c r="C126" s="7" t="n"/>
      <c r="D126" s="7" t="n"/>
      <c r="E126" s="7" t="n"/>
      <c r="F126" s="7" t="n"/>
      <c r="G126" s="7" t="n"/>
      <c r="H126" s="7" t="n"/>
      <c r="I126" s="7" t="n"/>
      <c r="J126" s="7" t="n"/>
      <c r="K126" s="7" t="n"/>
      <c r="L126" s="7" t="n"/>
      <c r="M126" s="7" t="n"/>
      <c r="N126" s="7" t="n"/>
      <c r="O126" s="7" t="n"/>
      <c r="P126" s="7" t="n"/>
      <c r="Q126" s="7" t="n"/>
      <c r="R126" s="7" t="n"/>
    </row>
    <row r="127">
      <c r="A127" s="7" t="n"/>
      <c r="B127" s="7" t="n"/>
      <c r="C127" s="7" t="n"/>
      <c r="D127" s="7" t="n"/>
      <c r="E127" s="7" t="n"/>
      <c r="F127" s="7" t="n"/>
      <c r="G127" s="7" t="n"/>
      <c r="H127" s="7" t="n"/>
      <c r="I127" s="7" t="n"/>
      <c r="J127" s="7" t="n"/>
      <c r="K127" s="7" t="n"/>
      <c r="L127" s="7" t="n"/>
      <c r="M127" s="7" t="n"/>
      <c r="N127" s="7" t="n"/>
      <c r="O127" s="7" t="n"/>
      <c r="P127" s="7" t="n"/>
      <c r="Q127" s="7" t="n"/>
      <c r="R127" s="7" t="n"/>
    </row>
    <row r="128">
      <c r="A128" s="7" t="n"/>
      <c r="B128" s="7" t="n"/>
      <c r="C128" s="7" t="n"/>
      <c r="D128" s="7" t="n"/>
      <c r="E128" s="7" t="n"/>
      <c r="F128" s="7" t="n"/>
      <c r="G128" s="7" t="n"/>
      <c r="H128" s="7" t="n"/>
      <c r="I128" s="7" t="n"/>
      <c r="J128" s="7" t="n"/>
      <c r="K128" s="7" t="n"/>
      <c r="L128" s="7" t="n"/>
      <c r="M128" s="7" t="n"/>
      <c r="N128" s="7" t="n"/>
      <c r="O128" s="7" t="n"/>
      <c r="P128" s="7" t="n"/>
      <c r="Q128" s="7" t="n"/>
      <c r="R128" s="7" t="n"/>
    </row>
    <row r="129">
      <c r="A129" s="7" t="n"/>
      <c r="B129" s="7" t="n"/>
      <c r="C129" s="7" t="n"/>
      <c r="D129" s="7" t="n"/>
      <c r="E129" s="7" t="n"/>
      <c r="F129" s="7" t="n"/>
      <c r="G129" s="7" t="n"/>
      <c r="H129" s="7" t="n"/>
      <c r="I129" s="7" t="n"/>
      <c r="J129" s="7" t="n"/>
      <c r="K129" s="7" t="n"/>
      <c r="L129" s="7" t="n"/>
      <c r="M129" s="7" t="n"/>
      <c r="N129" s="7" t="n"/>
      <c r="O129" s="7" t="n"/>
      <c r="P129" s="7" t="n"/>
      <c r="Q129" s="7" t="n"/>
      <c r="R129" s="7" t="n"/>
    </row>
    <row r="130">
      <c r="A130" s="7" t="n"/>
      <c r="B130" s="7" t="n"/>
      <c r="C130" s="7" t="n"/>
      <c r="D130" s="7" t="n"/>
      <c r="E130" s="7" t="n"/>
      <c r="F130" s="7" t="n"/>
      <c r="G130" s="7" t="n"/>
      <c r="H130" s="7" t="n"/>
      <c r="I130" s="7" t="n"/>
      <c r="J130" s="7" t="n"/>
      <c r="K130" s="7" t="n"/>
      <c r="L130" s="7" t="n"/>
      <c r="M130" s="7" t="n"/>
      <c r="N130" s="7" t="n"/>
      <c r="O130" s="7" t="n"/>
      <c r="P130" s="7" t="n"/>
      <c r="Q130" s="7" t="n"/>
      <c r="R130" s="7" t="n"/>
    </row>
  </sheetData>
  <mergeCells count="146">
    <mergeCell ref="B42:D42"/>
    <mergeCell ref="N76:O76"/>
    <mergeCell ref="P20:Q20"/>
    <mergeCell ref="P76:Q76"/>
    <mergeCell ref="B44:D44"/>
    <mergeCell ref="B31:C31"/>
    <mergeCell ref="L75:M75"/>
    <mergeCell ref="D31:E31"/>
    <mergeCell ref="N75:O75"/>
    <mergeCell ref="C73:D73"/>
    <mergeCell ref="B51:Q51"/>
    <mergeCell ref="B37:D37"/>
    <mergeCell ref="N77:O77"/>
    <mergeCell ref="N11:Q11"/>
    <mergeCell ref="B16:Q16"/>
    <mergeCell ref="F70:G70"/>
    <mergeCell ref="P70:Q70"/>
    <mergeCell ref="J9:M9"/>
    <mergeCell ref="F72:G72"/>
    <mergeCell ref="C76:D76"/>
    <mergeCell ref="P32:Q32"/>
    <mergeCell ref="J12:M13"/>
    <mergeCell ref="J31:K31"/>
    <mergeCell ref="L31:M31"/>
    <mergeCell ref="F71:G71"/>
    <mergeCell ref="N31:O31"/>
    <mergeCell ref="B14:E14"/>
    <mergeCell ref="L72:M72"/>
    <mergeCell ref="N14:Q14"/>
    <mergeCell ref="B33:C33"/>
    <mergeCell ref="D33:E33"/>
    <mergeCell ref="J71:K71"/>
    <mergeCell ref="P33:Q33"/>
    <mergeCell ref="B32:C32"/>
    <mergeCell ref="B7:E8"/>
    <mergeCell ref="K19:O19"/>
    <mergeCell ref="B43:D43"/>
    <mergeCell ref="B21:G21"/>
    <mergeCell ref="B29:Q29"/>
    <mergeCell ref="N7:Q8"/>
    <mergeCell ref="P73:Q73"/>
    <mergeCell ref="J73:K73"/>
    <mergeCell ref="D34:E34"/>
    <mergeCell ref="F34:G34"/>
    <mergeCell ref="F74:G74"/>
    <mergeCell ref="P34:Q34"/>
    <mergeCell ref="K20:O20"/>
    <mergeCell ref="H34:I34"/>
    <mergeCell ref="J77:K77"/>
    <mergeCell ref="F30:G30"/>
    <mergeCell ref="J34:K34"/>
    <mergeCell ref="F76:G76"/>
    <mergeCell ref="F33:G33"/>
    <mergeCell ref="F6:I6"/>
    <mergeCell ref="L30:M30"/>
    <mergeCell ref="F75:G75"/>
    <mergeCell ref="P77:Q77"/>
    <mergeCell ref="B45:D45"/>
    <mergeCell ref="C71:D71"/>
    <mergeCell ref="F31:G31"/>
    <mergeCell ref="B11:E11"/>
    <mergeCell ref="H19:I19"/>
    <mergeCell ref="J75:K75"/>
    <mergeCell ref="B4:M4"/>
    <mergeCell ref="B47:D47"/>
    <mergeCell ref="N30:O30"/>
    <mergeCell ref="P30:Q30"/>
    <mergeCell ref="B46:D46"/>
    <mergeCell ref="J11:M11"/>
    <mergeCell ref="P71:Q71"/>
    <mergeCell ref="B39:D39"/>
    <mergeCell ref="B48:D48"/>
    <mergeCell ref="L70:M70"/>
    <mergeCell ref="C77:D77"/>
    <mergeCell ref="F73:G73"/>
    <mergeCell ref="N70:O70"/>
    <mergeCell ref="F9:I9"/>
    <mergeCell ref="L32:M32"/>
    <mergeCell ref="B6:E6"/>
    <mergeCell ref="N32:O32"/>
    <mergeCell ref="F12:I13"/>
    <mergeCell ref="N6:Q6"/>
    <mergeCell ref="H31:I31"/>
    <mergeCell ref="H21:I21"/>
    <mergeCell ref="B49:D49"/>
    <mergeCell ref="L33:M33"/>
    <mergeCell ref="C75:D75"/>
    <mergeCell ref="N33:O33"/>
    <mergeCell ref="J74:K74"/>
    <mergeCell ref="J7:M8"/>
    <mergeCell ref="L74:M74"/>
    <mergeCell ref="B41:D41"/>
    <mergeCell ref="B34:C34"/>
    <mergeCell ref="L76:M76"/>
    <mergeCell ref="P19:Q19"/>
    <mergeCell ref="C70:D70"/>
    <mergeCell ref="P75:Q75"/>
    <mergeCell ref="F77:G77"/>
    <mergeCell ref="B30:C30"/>
    <mergeCell ref="D30:E30"/>
    <mergeCell ref="L77:M77"/>
    <mergeCell ref="H30:I30"/>
    <mergeCell ref="L1:R1"/>
    <mergeCell ref="B23:I26"/>
    <mergeCell ref="B9:E9"/>
    <mergeCell ref="H20:I20"/>
    <mergeCell ref="N9:Q9"/>
    <mergeCell ref="B12:E13"/>
    <mergeCell ref="J72:K72"/>
    <mergeCell ref="C74:D74"/>
    <mergeCell ref="N12:Q13"/>
    <mergeCell ref="P31:Q31"/>
    <mergeCell ref="K21:O21"/>
    <mergeCell ref="B38:D38"/>
    <mergeCell ref="F14:I14"/>
    <mergeCell ref="B19:G19"/>
    <mergeCell ref="J30:K30"/>
    <mergeCell ref="N72:O72"/>
    <mergeCell ref="B36:Q36"/>
    <mergeCell ref="P72:Q72"/>
    <mergeCell ref="P21:Q21"/>
    <mergeCell ref="F11:I11"/>
    <mergeCell ref="B40:D40"/>
    <mergeCell ref="L71:M71"/>
    <mergeCell ref="D32:E32"/>
    <mergeCell ref="N71:O71"/>
    <mergeCell ref="F32:G32"/>
    <mergeCell ref="J14:M14"/>
    <mergeCell ref="J70:K70"/>
    <mergeCell ref="B20:G20"/>
    <mergeCell ref="L73:M73"/>
    <mergeCell ref="N73:O73"/>
    <mergeCell ref="H32:I32"/>
    <mergeCell ref="J32:K32"/>
    <mergeCell ref="K23:Q26"/>
    <mergeCell ref="J6:M6"/>
    <mergeCell ref="L34:M34"/>
    <mergeCell ref="N34:O34"/>
    <mergeCell ref="C72:D72"/>
    <mergeCell ref="H33:I33"/>
    <mergeCell ref="J76:K76"/>
    <mergeCell ref="J33:K33"/>
    <mergeCell ref="N74:O74"/>
    <mergeCell ref="B69:Q69"/>
    <mergeCell ref="P74:Q74"/>
    <mergeCell ref="F7:I8"/>
  </mergeCells>
  <conditionalFormatting sqref="H38:H49">
    <cfRule type="dataBar" priority="1">
      <dataBar showValue="1">
        <cfvo type="num" val="0"/>
        <cfvo type="max"/>
        <color rgb="00F4B795"/>
      </dataBar>
    </cfRule>
  </conditionalFormatting>
  <conditionalFormatting sqref="N71:N77">
    <cfRule type="dataBar" priority="2">
      <dataBar showValue="1">
        <cfvo type="num" val="0"/>
        <cfvo type="max"/>
        <color rgb="00F4B795"/>
      </dataBar>
    </cfRule>
  </conditionalFormatting>
  <hyperlinks>
    <hyperlink ref="B2" location="'Inicio'!A1" display="Inicio"/>
    <hyperlink ref="C2" location="'Registro'!A1" display="Registro"/>
    <hyperlink ref="D2" location="'Dashboard'!A1" display="Dashboard"/>
    <hyperlink ref="E2" location="'Alimentación'!A1" display="● Alimentación"/>
    <hyperlink ref="G2" location="'Gastos hormiga'!A1" display="Hormiga"/>
    <hyperlink ref="H2" location="'Recurrentes'!A1" display="Recurrentes"/>
    <hyperlink ref="J2" location="'Presupuestos'!A1" display="Presupuestos"/>
    <hyperlink ref="L2" location="'Cuentas'!A1" display="Cuentas"/>
    <hyperlink ref="M2" location="'Categorías'!A1" display="Categorías"/>
    <hyperlink ref="N2" location="'Config'!A1" display="Config"/>
    <hyperlink ref="N4" location="'Dashboard'!B5" display="Cambiar período →"/>
  </hyperlinks>
  <printOptions horizontalCentered="1"/>
  <pageMargins left="0.3" right="0.3" top="1" bottom="1" header="0.5" footer="0.5"/>
  <pageSetup orientation="landscape" fitToHeight="0" fitToWidth="1"/>
  <drawing xmlns:r="http://schemas.openxmlformats.org/officeDocument/2006/relationships" r:id="rId1"/>
  <legacyDrawing xmlns:r="http://schemas.openxmlformats.org/officeDocument/2006/relationships" r:id="anysvml"/>
</worksheet>
</file>

<file path=xl/worksheets/sheet5.xml><?xml version="1.0" encoding="utf-8"?>
<worksheet xmlns="http://schemas.openxmlformats.org/spreadsheetml/2006/main">
  <sheetPr>
    <tabColor rgb="00EB6834"/>
    <outlinePr summaryBelow="1" summaryRight="1"/>
    <pageSetUpPr fitToPage="1"/>
  </sheetPr>
  <dimension ref="A1:R90"/>
  <sheetViews>
    <sheetView showGridLines="0" zoomScale="100" workbookViewId="0">
      <selection activeCell="A1" sqref="A1"/>
    </sheetView>
  </sheetViews>
  <sheetFormatPr baseColWidth="8" defaultRowHeight="15"/>
  <cols>
    <col width="2" customWidth="1" min="1" max="1"/>
    <col width="11" customWidth="1" min="2" max="2"/>
    <col width="11"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 width="11" customWidth="1" min="15" max="15"/>
    <col width="11" customWidth="1" min="16" max="16"/>
    <col width="11" customWidth="1" min="17" max="17"/>
    <col width="2" customWidth="1" min="18" max="18"/>
  </cols>
  <sheetData>
    <row r="1" ht="38" customHeight="1">
      <c r="A1" s="1" t="n"/>
      <c r="B1" s="2" t="inlineStr">
        <is>
          <t>Gastos hormiga</t>
        </is>
      </c>
      <c r="C1" s="1" t="n"/>
      <c r="D1" s="1" t="n"/>
      <c r="E1" s="1" t="n"/>
      <c r="F1" s="1" t="n"/>
      <c r="G1" s="1" t="n"/>
      <c r="H1" s="1" t="n"/>
      <c r="I1" s="1" t="n"/>
      <c r="J1" s="1" t="n"/>
      <c r="K1" s="1" t="n"/>
      <c r="L1" s="3" t="inlineStr">
        <is>
          <t>Pequeños, frecuentes y acumulables</t>
        </is>
      </c>
    </row>
    <row r="2" ht="22" customHeight="1">
      <c r="A2" s="4" t="n"/>
      <c r="B2" s="6" t="inlineStr">
        <is>
          <t>Inicio</t>
        </is>
      </c>
      <c r="C2" s="6" t="inlineStr">
        <is>
          <t>Registro</t>
        </is>
      </c>
      <c r="D2" s="6" t="inlineStr">
        <is>
          <t>Dashboard</t>
        </is>
      </c>
      <c r="E2" s="6" t="inlineStr">
        <is>
          <t>Alimentación</t>
        </is>
      </c>
      <c r="F2" s="4" t="n"/>
      <c r="G2" s="5" t="inlineStr">
        <is>
          <t>● Hormiga</t>
        </is>
      </c>
      <c r="H2" s="6" t="inlineStr">
        <is>
          <t>Recurrentes</t>
        </is>
      </c>
      <c r="I2" s="4" t="n"/>
      <c r="J2" s="6" t="inlineStr">
        <is>
          <t>Presupuestos</t>
        </is>
      </c>
      <c r="K2" s="4" t="n"/>
      <c r="L2" s="6" t="inlineStr">
        <is>
          <t>Cuentas</t>
        </is>
      </c>
      <c r="M2" s="6" t="inlineStr">
        <is>
          <t>Categorías</t>
        </is>
      </c>
      <c r="N2" s="6" t="inlineStr">
        <is>
          <t>Config</t>
        </is>
      </c>
      <c r="O2" s="4" t="n"/>
      <c r="P2" s="4" t="n"/>
      <c r="Q2" s="4" t="n"/>
      <c r="R2" s="4" t="n"/>
    </row>
    <row r="3">
      <c r="A3" s="7" t="n"/>
      <c r="B3" s="7" t="n"/>
      <c r="C3" s="7" t="n"/>
      <c r="D3" s="7" t="n"/>
      <c r="E3" s="7" t="n"/>
      <c r="F3" s="7" t="n"/>
      <c r="G3" s="7" t="n"/>
      <c r="H3" s="7" t="n"/>
      <c r="I3" s="7" t="n"/>
      <c r="J3" s="7" t="n"/>
      <c r="K3" s="7" t="n"/>
      <c r="L3" s="7" t="n"/>
      <c r="M3" s="7" t="n"/>
      <c r="N3" s="7" t="n"/>
      <c r="O3" s="7" t="n"/>
      <c r="P3" s="7" t="n"/>
      <c r="Q3" s="7" t="n"/>
      <c r="R3" s="7" t="n"/>
    </row>
    <row r="4">
      <c r="A4" s="7" t="n"/>
      <c r="B4" s="119" t="inlineStr">
        <is>
          <t>Gasto hormiga = gasto VARIABLE (sin costos de trading) menor o igual a:</t>
        </is>
      </c>
      <c r="I4" s="172" t="n">
        <v>500</v>
      </c>
      <c r="J4" s="129" t="n"/>
      <c r="K4" s="173">
        <f>"Período: "&amp;pTexto&amp;" · "&amp;pDias&amp;" días"</f>
        <v/>
      </c>
      <c r="R4" s="7" t="n"/>
    </row>
    <row r="5">
      <c r="A5" s="7" t="n"/>
      <c r="B5" s="7" t="n"/>
      <c r="C5" s="7" t="n"/>
      <c r="D5" s="7" t="n"/>
      <c r="E5" s="7" t="n"/>
      <c r="F5" s="7" t="n"/>
      <c r="G5" s="7" t="n"/>
      <c r="H5" s="7" t="n"/>
      <c r="I5" s="7" t="n"/>
      <c r="J5" s="7" t="n"/>
      <c r="K5" s="7" t="n"/>
      <c r="L5" s="7" t="n"/>
      <c r="M5" s="7" t="n"/>
      <c r="N5" s="7" t="n"/>
      <c r="O5" s="7" t="n"/>
      <c r="P5" s="7" t="n"/>
      <c r="Q5" s="7" t="n"/>
      <c r="R5" s="7" t="n"/>
    </row>
    <row r="6" ht="18" customHeight="1">
      <c r="A6" s="7" t="n"/>
      <c r="B6" s="60" t="inlineStr">
        <is>
          <t>Nº DE GASTOS HORMIGA</t>
        </is>
      </c>
      <c r="C6" s="12" t="n"/>
      <c r="D6" s="12" t="n"/>
      <c r="E6" s="13" t="n"/>
      <c r="F6" s="60" t="inlineStr">
        <is>
          <t>TOTAL ACUMULADO</t>
        </is>
      </c>
      <c r="G6" s="12" t="n"/>
      <c r="H6" s="12" t="n"/>
      <c r="I6" s="13" t="n"/>
      <c r="J6" s="60" t="inlineStr">
        <is>
          <t>PESO SOBRE EL GASTO TOTAL</t>
        </is>
      </c>
      <c r="K6" s="12" t="n"/>
      <c r="L6" s="12" t="n"/>
      <c r="M6" s="13" t="n"/>
      <c r="N6" s="60" t="inlineStr">
        <is>
          <t>FRECUENCIA</t>
        </is>
      </c>
      <c r="O6" s="12" t="n"/>
      <c r="P6" s="12" t="n"/>
      <c r="Q6" s="13" t="n"/>
      <c r="R6" s="7" t="n"/>
    </row>
    <row r="7" ht="18" customHeight="1">
      <c r="A7" s="7" t="n"/>
      <c r="B7" s="174">
        <f>COUNTIFS(rHorm,1,rFecha,"&gt;="&amp;pIni,rFecha,"&lt;="&amp;pFin)</f>
        <v/>
      </c>
      <c r="E7" s="16" t="n"/>
      <c r="F7" s="64">
        <f>SUMIFS(rGasto,rHorm,1,rFecha,"&gt;="&amp;pIni,rFecha,"&lt;="&amp;pFin)</f>
        <v/>
      </c>
      <c r="I7" s="16" t="n"/>
      <c r="J7" s="175">
        <f>IF(SUMIFS(rGasto,rFecha,"&gt;="&amp;pIni,rFecha,"&lt;="&amp;pFin)=0,"–",SUMIFS(rGasto,rHorm,1,rFecha,"&gt;="&amp;pIni,rFecha,"&lt;="&amp;pFin)/SUMIFS(rGasto,rFecha,"&gt;="&amp;pIni,rFecha,"&lt;="&amp;pFin))</f>
        <v/>
      </c>
      <c r="M7" s="16" t="n"/>
      <c r="N7" s="176">
        <f>COUNTIFS(rHorm,1,rFecha,"&gt;="&amp;pIni,rFecha,"&lt;="&amp;pFin)/pDias</f>
        <v/>
      </c>
      <c r="Q7" s="16" t="n"/>
      <c r="R7" s="7" t="n"/>
    </row>
    <row r="8" ht="18" customHeight="1">
      <c r="A8" s="7" t="n"/>
      <c r="B8" s="68" t="n"/>
      <c r="E8" s="16" t="n"/>
      <c r="F8" s="68" t="n"/>
      <c r="I8" s="16" t="n"/>
      <c r="J8" s="68" t="n"/>
      <c r="M8" s="16" t="n"/>
      <c r="N8" s="68" t="n"/>
      <c r="Q8" s="16" t="n"/>
      <c r="R8" s="7" t="n"/>
    </row>
    <row r="9" ht="24" customHeight="1">
      <c r="A9" s="7" t="n"/>
      <c r="B9" s="72">
        <f>"de "&amp;COUNTIFS(rTipoE,"Gasto",rFecha,"&gt;="&amp;pIni,rFecha,"&lt;="&amp;pFin)&amp;" gastos registrados"</f>
        <v/>
      </c>
      <c r="C9" s="19" t="n"/>
      <c r="D9" s="19" t="n"/>
      <c r="E9" s="20" t="n"/>
      <c r="F9" s="72">
        <f>"Ticket promedio: RD$ "&amp;IF(COUNTIFS(rHorm,1,rFecha,"&gt;="&amp;pIni,rFecha,"&lt;="&amp;pFin)=0,0,FIXED(SUMIFS(rGasto,rHorm,1,rFecha,"&gt;="&amp;pIni,rFecha,"&lt;="&amp;pFin)/COUNTIFS(rHorm,1,rFecha,"&gt;="&amp;pIni,rFecha,"&lt;="&amp;pFin),0))</f>
        <v/>
      </c>
      <c r="G9" s="19" t="n"/>
      <c r="H9" s="19" t="n"/>
      <c r="I9" s="20" t="n"/>
      <c r="J9" s="72">
        <f>"Gasto real del período: RD$ "&amp;FIXED(SUMIFS(rGasto,rFecha,"&gt;="&amp;pIni,rFecha,"&lt;="&amp;pFin),0)</f>
        <v/>
      </c>
      <c r="K9" s="19" t="n"/>
      <c r="L9" s="19" t="n"/>
      <c r="M9" s="20" t="n"/>
      <c r="N9" s="72">
        <f>FIXED(COUNTIFS(rHorm,1,rFecha,"&gt;="&amp;pIni,rFecha,"&lt;="&amp;pFin)/pDias*7,1)&amp;" por semana  ·  "&amp;FIXED(COUNTIFS(rHorm,1,rFecha,"&gt;="&amp;pIni,rFecha,"&lt;="&amp;pFin)/pDias*30.4,0)&amp;" al mes"</f>
        <v/>
      </c>
      <c r="O9" s="19" t="n"/>
      <c r="P9" s="19" t="n"/>
      <c r="Q9" s="20" t="n"/>
      <c r="R9" s="7" t="n"/>
    </row>
    <row r="10">
      <c r="A10" s="7" t="n"/>
      <c r="B10" s="7" t="n"/>
      <c r="C10" s="7" t="n"/>
      <c r="D10" s="7" t="n"/>
      <c r="E10" s="7" t="n"/>
      <c r="F10" s="7" t="n"/>
      <c r="G10" s="7" t="n"/>
      <c r="H10" s="7" t="n"/>
      <c r="I10" s="7" t="n"/>
      <c r="J10" s="7" t="n"/>
      <c r="K10" s="7" t="n"/>
      <c r="L10" s="7" t="n"/>
      <c r="M10" s="7" t="n"/>
      <c r="N10" s="7" t="n"/>
      <c r="O10" s="7" t="n"/>
      <c r="P10" s="7" t="n"/>
      <c r="Q10" s="7" t="n"/>
      <c r="R10" s="7" t="n"/>
    </row>
    <row r="11" ht="18" customHeight="1">
      <c r="A11" s="7" t="n"/>
      <c r="B11" s="61" t="inlineStr">
        <is>
          <t>PROMEDIO DIARIO</t>
        </is>
      </c>
      <c r="C11" s="12" t="n"/>
      <c r="D11" s="12" t="n"/>
      <c r="E11" s="13" t="n"/>
      <c r="F11" s="61" t="inlineStr">
        <is>
          <t>PROYECCIÓN MENSUAL</t>
        </is>
      </c>
      <c r="G11" s="12" t="n"/>
      <c r="H11" s="12" t="n"/>
      <c r="I11" s="13" t="n"/>
      <c r="J11" s="61" t="inlineStr">
        <is>
          <t>PROYECCIÓN ANUAL</t>
        </is>
      </c>
      <c r="K11" s="12" t="n"/>
      <c r="L11" s="12" t="n"/>
      <c r="M11" s="13" t="n"/>
      <c r="N11" s="177" t="inlineStr">
        <is>
          <t>SI LOS REDUCES A LA MITAD</t>
        </is>
      </c>
      <c r="O11" s="12" t="n"/>
      <c r="P11" s="12" t="n"/>
      <c r="Q11" s="13" t="n"/>
      <c r="R11" s="7" t="n"/>
    </row>
    <row r="12" ht="18" customHeight="1">
      <c r="A12" s="7" t="n"/>
      <c r="B12" s="76">
        <f>SUMIFS(rGasto,rHorm,1,rFecha,"&gt;="&amp;pIni,rFecha,"&lt;="&amp;pFin)/pDias</f>
        <v/>
      </c>
      <c r="E12" s="16" t="n"/>
      <c r="F12" s="76">
        <f>SUMIFS(rGasto,rHorm,1,rFecha,"&gt;="&amp;pIni,rFecha,"&lt;="&amp;pFin)/pDias*30.4</f>
        <v/>
      </c>
      <c r="I12" s="16" t="n"/>
      <c r="J12" s="76">
        <f>SUMIFS(rGasto,rHorm,1,rFecha,"&gt;="&amp;pIni,rFecha,"&lt;="&amp;pFin)/pDias*365</f>
        <v/>
      </c>
      <c r="M12" s="16" t="n"/>
      <c r="N12" s="178">
        <f>SUMIFS(rGasto,rHorm,1,rFecha,"&gt;="&amp;pIni,rFecha,"&lt;="&amp;pFin)/pDias*365/2</f>
        <v/>
      </c>
      <c r="Q12" s="16" t="n"/>
      <c r="R12" s="7" t="n"/>
    </row>
    <row r="13" ht="18" customHeight="1">
      <c r="A13" s="7" t="n"/>
      <c r="B13" s="69" t="n"/>
      <c r="E13" s="16" t="n"/>
      <c r="F13" s="69" t="n"/>
      <c r="I13" s="16" t="n"/>
      <c r="J13" s="69" t="n"/>
      <c r="M13" s="16" t="n"/>
      <c r="N13" s="179" t="n"/>
      <c r="Q13" s="16" t="n"/>
      <c r="R13" s="7" t="n"/>
    </row>
    <row r="14" ht="24" customHeight="1">
      <c r="A14" s="7" t="n"/>
      <c r="B14" s="73" t="inlineStr">
        <is>
          <t>Lo que se va cada día en pequeños consumos</t>
        </is>
      </c>
      <c r="C14" s="19" t="n"/>
      <c r="D14" s="19" t="n"/>
      <c r="E14" s="20" t="n"/>
      <c r="F14" s="73" t="inlineStr">
        <is>
          <t>Si mantienes el ritmo actual</t>
        </is>
      </c>
      <c r="G14" s="19" t="n"/>
      <c r="H14" s="19" t="n"/>
      <c r="I14" s="20" t="n"/>
      <c r="J14" s="73" t="inlineStr">
        <is>
          <t>Si mantienes el ritmo actual</t>
        </is>
      </c>
      <c r="K14" s="19" t="n"/>
      <c r="L14" s="19" t="n"/>
      <c r="M14" s="20" t="n"/>
      <c r="N14" s="180" t="inlineStr">
        <is>
          <t>Ahorro anual potencial estimado</t>
        </is>
      </c>
      <c r="O14" s="19" t="n"/>
      <c r="P14" s="19" t="n"/>
      <c r="Q14" s="20" t="n"/>
      <c r="R14" s="7" t="n"/>
    </row>
    <row r="15">
      <c r="A15" s="7" t="n"/>
      <c r="B15" s="7" t="n"/>
      <c r="C15" s="7" t="n"/>
      <c r="D15" s="7" t="n"/>
      <c r="E15" s="7" t="n"/>
      <c r="F15" s="7" t="n"/>
      <c r="G15" s="7" t="n"/>
      <c r="H15" s="7" t="n"/>
      <c r="I15" s="7" t="n"/>
      <c r="J15" s="7" t="n"/>
      <c r="K15" s="7" t="n"/>
      <c r="L15" s="7" t="n"/>
      <c r="M15" s="7" t="n"/>
      <c r="N15" s="7" t="n"/>
      <c r="O15" s="7" t="n"/>
      <c r="P15" s="7" t="n"/>
      <c r="Q15" s="7" t="n"/>
      <c r="R15" s="7" t="n"/>
    </row>
    <row r="16" ht="24" customHeight="1">
      <c r="A16" s="7" t="n"/>
      <c r="B16" s="9" t="inlineStr">
        <is>
          <t>¿Dónde están los gastos hormiga?</t>
        </is>
      </c>
      <c r="C16" s="10" t="n"/>
      <c r="D16" s="10" t="n"/>
      <c r="E16" s="10" t="n"/>
      <c r="F16" s="10" t="n"/>
      <c r="G16" s="10" t="n"/>
      <c r="H16" s="10" t="n"/>
      <c r="I16" s="10" t="n"/>
      <c r="J16" s="10" t="n"/>
      <c r="K16" s="10" t="n"/>
      <c r="L16" s="10" t="n"/>
      <c r="M16" s="10" t="n"/>
      <c r="N16" s="10" t="n"/>
      <c r="O16" s="10" t="n"/>
      <c r="P16" s="10" t="n"/>
      <c r="Q16" s="10" t="n"/>
      <c r="R16" s="7" t="n"/>
    </row>
    <row r="17">
      <c r="A17" s="7" t="n"/>
      <c r="B17" s="107" t="inlineStr">
        <is>
          <t>POR CATEGORÍA</t>
        </is>
      </c>
      <c r="C17" s="12" t="n"/>
      <c r="D17" s="12" t="n"/>
      <c r="E17" s="12" t="n"/>
      <c r="F17" s="12" t="n"/>
      <c r="G17" s="108" t="inlineStr">
        <is>
          <t>Total</t>
        </is>
      </c>
      <c r="H17" s="108" t="inlineStr">
        <is>
          <t>Veces</t>
        </is>
      </c>
      <c r="I17" s="109" t="inlineStr">
        <is>
          <t>% hormiga</t>
        </is>
      </c>
      <c r="J17" s="107" t="inlineStr">
        <is>
          <t>POR COMERCIO</t>
        </is>
      </c>
      <c r="K17" s="12" t="n"/>
      <c r="L17" s="12" t="n"/>
      <c r="M17" s="12" t="n"/>
      <c r="N17" s="12" t="n"/>
      <c r="O17" s="108" t="inlineStr">
        <is>
          <t>Total</t>
        </is>
      </c>
      <c r="P17" s="108" t="inlineStr">
        <is>
          <t>Veces</t>
        </is>
      </c>
      <c r="Q17" s="109" t="inlineStr">
        <is>
          <t>% hormiga</t>
        </is>
      </c>
      <c r="R17" s="7" t="n"/>
    </row>
    <row r="18">
      <c r="A18" s="7" t="n"/>
      <c r="B18" s="110" t="n">
        <v>1</v>
      </c>
      <c r="C18" s="111">
        <f>'Motor'!CR7</f>
        <v/>
      </c>
      <c r="G18" s="98">
        <f>'Motor'!CS7</f>
        <v/>
      </c>
      <c r="H18" s="112">
        <f>'Motor'!CT7</f>
        <v/>
      </c>
      <c r="I18" s="113">
        <f>IF(OR(G18="",SUMIFS(rGasto,rHorm,1,rFecha,"&gt;="&amp;pIni,rFecha,"&lt;="&amp;pFin)=0),"",G18/SUMIFS(rGasto,rHorm,1,rFecha,"&gt;="&amp;pIni,rFecha,"&lt;="&amp;pFin))</f>
        <v/>
      </c>
      <c r="J18" s="110" t="n">
        <v>1</v>
      </c>
      <c r="K18" s="111">
        <f>'Motor'!CW7</f>
        <v/>
      </c>
      <c r="O18" s="98">
        <f>'Motor'!CX7</f>
        <v/>
      </c>
      <c r="P18" s="112">
        <f>'Motor'!CY7</f>
        <v/>
      </c>
      <c r="Q18" s="113">
        <f>IF(OR(O18="",SUMIFS(rGasto,rHorm,1,rFecha,"&gt;="&amp;pIni,rFecha,"&lt;="&amp;pFin)=0),"",O18/SUMIFS(rGasto,rHorm,1,rFecha,"&gt;="&amp;pIni,rFecha,"&lt;="&amp;pFin))</f>
        <v/>
      </c>
      <c r="R18" s="7" t="n"/>
    </row>
    <row r="19">
      <c r="A19" s="7" t="n"/>
      <c r="B19" s="110" t="n">
        <v>2</v>
      </c>
      <c r="C19" s="111">
        <f>'Motor'!CR8</f>
        <v/>
      </c>
      <c r="G19" s="98">
        <f>'Motor'!CS8</f>
        <v/>
      </c>
      <c r="H19" s="112">
        <f>'Motor'!CT8</f>
        <v/>
      </c>
      <c r="I19" s="113">
        <f>IF(OR(G19="",SUMIFS(rGasto,rHorm,1,rFecha,"&gt;="&amp;pIni,rFecha,"&lt;="&amp;pFin)=0),"",G19/SUMIFS(rGasto,rHorm,1,rFecha,"&gt;="&amp;pIni,rFecha,"&lt;="&amp;pFin))</f>
        <v/>
      </c>
      <c r="J19" s="110" t="n">
        <v>2</v>
      </c>
      <c r="K19" s="111">
        <f>'Motor'!CW8</f>
        <v/>
      </c>
      <c r="O19" s="98">
        <f>'Motor'!CX8</f>
        <v/>
      </c>
      <c r="P19" s="112">
        <f>'Motor'!CY8</f>
        <v/>
      </c>
      <c r="Q19" s="113">
        <f>IF(OR(O19="",SUMIFS(rGasto,rHorm,1,rFecha,"&gt;="&amp;pIni,rFecha,"&lt;="&amp;pFin)=0),"",O19/SUMIFS(rGasto,rHorm,1,rFecha,"&gt;="&amp;pIni,rFecha,"&lt;="&amp;pFin))</f>
        <v/>
      </c>
      <c r="R19" s="7" t="n"/>
    </row>
    <row r="20">
      <c r="A20" s="7" t="n"/>
      <c r="B20" s="110" t="n">
        <v>3</v>
      </c>
      <c r="C20" s="111">
        <f>'Motor'!CR9</f>
        <v/>
      </c>
      <c r="G20" s="98">
        <f>'Motor'!CS9</f>
        <v/>
      </c>
      <c r="H20" s="112">
        <f>'Motor'!CT9</f>
        <v/>
      </c>
      <c r="I20" s="113">
        <f>IF(OR(G20="",SUMIFS(rGasto,rHorm,1,rFecha,"&gt;="&amp;pIni,rFecha,"&lt;="&amp;pFin)=0),"",G20/SUMIFS(rGasto,rHorm,1,rFecha,"&gt;="&amp;pIni,rFecha,"&lt;="&amp;pFin))</f>
        <v/>
      </c>
      <c r="J20" s="110" t="n">
        <v>3</v>
      </c>
      <c r="K20" s="111">
        <f>'Motor'!CW9</f>
        <v/>
      </c>
      <c r="O20" s="98">
        <f>'Motor'!CX9</f>
        <v/>
      </c>
      <c r="P20" s="112">
        <f>'Motor'!CY9</f>
        <v/>
      </c>
      <c r="Q20" s="113">
        <f>IF(OR(O20="",SUMIFS(rGasto,rHorm,1,rFecha,"&gt;="&amp;pIni,rFecha,"&lt;="&amp;pFin)=0),"",O20/SUMIFS(rGasto,rHorm,1,rFecha,"&gt;="&amp;pIni,rFecha,"&lt;="&amp;pFin))</f>
        <v/>
      </c>
      <c r="R20" s="7" t="n"/>
    </row>
    <row r="21">
      <c r="A21" s="7" t="n"/>
      <c r="B21" s="110" t="n">
        <v>4</v>
      </c>
      <c r="C21" s="111">
        <f>'Motor'!CR10</f>
        <v/>
      </c>
      <c r="G21" s="98">
        <f>'Motor'!CS10</f>
        <v/>
      </c>
      <c r="H21" s="112">
        <f>'Motor'!CT10</f>
        <v/>
      </c>
      <c r="I21" s="113">
        <f>IF(OR(G21="",SUMIFS(rGasto,rHorm,1,rFecha,"&gt;="&amp;pIni,rFecha,"&lt;="&amp;pFin)=0),"",G21/SUMIFS(rGasto,rHorm,1,rFecha,"&gt;="&amp;pIni,rFecha,"&lt;="&amp;pFin))</f>
        <v/>
      </c>
      <c r="J21" s="110" t="n">
        <v>4</v>
      </c>
      <c r="K21" s="111">
        <f>'Motor'!CW10</f>
        <v/>
      </c>
      <c r="O21" s="98">
        <f>'Motor'!CX10</f>
        <v/>
      </c>
      <c r="P21" s="112">
        <f>'Motor'!CY10</f>
        <v/>
      </c>
      <c r="Q21" s="113">
        <f>IF(OR(O21="",SUMIFS(rGasto,rHorm,1,rFecha,"&gt;="&amp;pIni,rFecha,"&lt;="&amp;pFin)=0),"",O21/SUMIFS(rGasto,rHorm,1,rFecha,"&gt;="&amp;pIni,rFecha,"&lt;="&amp;pFin))</f>
        <v/>
      </c>
      <c r="R21" s="7" t="n"/>
    </row>
    <row r="22">
      <c r="A22" s="7" t="n"/>
      <c r="B22" s="110" t="n">
        <v>5</v>
      </c>
      <c r="C22" s="111">
        <f>'Motor'!CR11</f>
        <v/>
      </c>
      <c r="G22" s="98">
        <f>'Motor'!CS11</f>
        <v/>
      </c>
      <c r="H22" s="112">
        <f>'Motor'!CT11</f>
        <v/>
      </c>
      <c r="I22" s="113">
        <f>IF(OR(G22="",SUMIFS(rGasto,rHorm,1,rFecha,"&gt;="&amp;pIni,rFecha,"&lt;="&amp;pFin)=0),"",G22/SUMIFS(rGasto,rHorm,1,rFecha,"&gt;="&amp;pIni,rFecha,"&lt;="&amp;pFin))</f>
        <v/>
      </c>
      <c r="J22" s="110" t="n">
        <v>5</v>
      </c>
      <c r="K22" s="111">
        <f>'Motor'!CW11</f>
        <v/>
      </c>
      <c r="O22" s="98">
        <f>'Motor'!CX11</f>
        <v/>
      </c>
      <c r="P22" s="112">
        <f>'Motor'!CY11</f>
        <v/>
      </c>
      <c r="Q22" s="113">
        <f>IF(OR(O22="",SUMIFS(rGasto,rHorm,1,rFecha,"&gt;="&amp;pIni,rFecha,"&lt;="&amp;pFin)=0),"",O22/SUMIFS(rGasto,rHorm,1,rFecha,"&gt;="&amp;pIni,rFecha,"&lt;="&amp;pFin))</f>
        <v/>
      </c>
      <c r="R22" s="7" t="n"/>
    </row>
    <row r="23">
      <c r="A23" s="7" t="n"/>
      <c r="B23" s="110" t="n">
        <v>6</v>
      </c>
      <c r="C23" s="111">
        <f>'Motor'!CR12</f>
        <v/>
      </c>
      <c r="G23" s="98">
        <f>'Motor'!CS12</f>
        <v/>
      </c>
      <c r="H23" s="112">
        <f>'Motor'!CT12</f>
        <v/>
      </c>
      <c r="I23" s="113">
        <f>IF(OR(G23="",SUMIFS(rGasto,rHorm,1,rFecha,"&gt;="&amp;pIni,rFecha,"&lt;="&amp;pFin)=0),"",G23/SUMIFS(rGasto,rHorm,1,rFecha,"&gt;="&amp;pIni,rFecha,"&lt;="&amp;pFin))</f>
        <v/>
      </c>
      <c r="J23" s="110" t="n">
        <v>6</v>
      </c>
      <c r="K23" s="111">
        <f>'Motor'!CW12</f>
        <v/>
      </c>
      <c r="O23" s="98">
        <f>'Motor'!CX12</f>
        <v/>
      </c>
      <c r="P23" s="112">
        <f>'Motor'!CY12</f>
        <v/>
      </c>
      <c r="Q23" s="113">
        <f>IF(OR(O23="",SUMIFS(rGasto,rHorm,1,rFecha,"&gt;="&amp;pIni,rFecha,"&lt;="&amp;pFin)=0),"",O23/SUMIFS(rGasto,rHorm,1,rFecha,"&gt;="&amp;pIni,rFecha,"&lt;="&amp;pFin))</f>
        <v/>
      </c>
      <c r="R23" s="7" t="n"/>
    </row>
    <row r="24">
      <c r="A24" s="7" t="n"/>
      <c r="B24" s="110" t="n">
        <v>7</v>
      </c>
      <c r="C24" s="111">
        <f>'Motor'!CR13</f>
        <v/>
      </c>
      <c r="G24" s="98">
        <f>'Motor'!CS13</f>
        <v/>
      </c>
      <c r="H24" s="112">
        <f>'Motor'!CT13</f>
        <v/>
      </c>
      <c r="I24" s="113">
        <f>IF(OR(G24="",SUMIFS(rGasto,rHorm,1,rFecha,"&gt;="&amp;pIni,rFecha,"&lt;="&amp;pFin)=0),"",G24/SUMIFS(rGasto,rHorm,1,rFecha,"&gt;="&amp;pIni,rFecha,"&lt;="&amp;pFin))</f>
        <v/>
      </c>
      <c r="J24" s="110" t="n">
        <v>7</v>
      </c>
      <c r="K24" s="111">
        <f>'Motor'!CW13</f>
        <v/>
      </c>
      <c r="O24" s="98">
        <f>'Motor'!CX13</f>
        <v/>
      </c>
      <c r="P24" s="112">
        <f>'Motor'!CY13</f>
        <v/>
      </c>
      <c r="Q24" s="113">
        <f>IF(OR(O24="",SUMIFS(rGasto,rHorm,1,rFecha,"&gt;="&amp;pIni,rFecha,"&lt;="&amp;pFin)=0),"",O24/SUMIFS(rGasto,rHorm,1,rFecha,"&gt;="&amp;pIni,rFecha,"&lt;="&amp;pFin))</f>
        <v/>
      </c>
      <c r="R24" s="7" t="n"/>
    </row>
    <row r="25">
      <c r="A25" s="7" t="n"/>
      <c r="B25" s="110" t="n">
        <v>8</v>
      </c>
      <c r="C25" s="111">
        <f>'Motor'!CR14</f>
        <v/>
      </c>
      <c r="G25" s="98">
        <f>'Motor'!CS14</f>
        <v/>
      </c>
      <c r="H25" s="112">
        <f>'Motor'!CT14</f>
        <v/>
      </c>
      <c r="I25" s="113">
        <f>IF(OR(G25="",SUMIFS(rGasto,rHorm,1,rFecha,"&gt;="&amp;pIni,rFecha,"&lt;="&amp;pFin)=0),"",G25/SUMIFS(rGasto,rHorm,1,rFecha,"&gt;="&amp;pIni,rFecha,"&lt;="&amp;pFin))</f>
        <v/>
      </c>
      <c r="J25" s="110" t="n">
        <v>8</v>
      </c>
      <c r="K25" s="111">
        <f>'Motor'!CW14</f>
        <v/>
      </c>
      <c r="O25" s="98">
        <f>'Motor'!CX14</f>
        <v/>
      </c>
      <c r="P25" s="112">
        <f>'Motor'!CY14</f>
        <v/>
      </c>
      <c r="Q25" s="113">
        <f>IF(OR(O25="",SUMIFS(rGasto,rHorm,1,rFecha,"&gt;="&amp;pIni,rFecha,"&lt;="&amp;pFin)=0),"",O25/SUMIFS(rGasto,rHorm,1,rFecha,"&gt;="&amp;pIni,rFecha,"&lt;="&amp;pFin))</f>
        <v/>
      </c>
      <c r="R25" s="7" t="n"/>
    </row>
    <row r="26">
      <c r="A26" s="7" t="n"/>
      <c r="B26" s="110" t="n">
        <v>9</v>
      </c>
      <c r="C26" s="111">
        <f>'Motor'!CR15</f>
        <v/>
      </c>
      <c r="G26" s="98">
        <f>'Motor'!CS15</f>
        <v/>
      </c>
      <c r="H26" s="112">
        <f>'Motor'!CT15</f>
        <v/>
      </c>
      <c r="I26" s="113">
        <f>IF(OR(G26="",SUMIFS(rGasto,rHorm,1,rFecha,"&gt;="&amp;pIni,rFecha,"&lt;="&amp;pFin)=0),"",G26/SUMIFS(rGasto,rHorm,1,rFecha,"&gt;="&amp;pIni,rFecha,"&lt;="&amp;pFin))</f>
        <v/>
      </c>
      <c r="J26" s="110" t="n">
        <v>9</v>
      </c>
      <c r="K26" s="111">
        <f>'Motor'!CW15</f>
        <v/>
      </c>
      <c r="O26" s="98">
        <f>'Motor'!CX15</f>
        <v/>
      </c>
      <c r="P26" s="112">
        <f>'Motor'!CY15</f>
        <v/>
      </c>
      <c r="Q26" s="113">
        <f>IF(OR(O26="",SUMIFS(rGasto,rHorm,1,rFecha,"&gt;="&amp;pIni,rFecha,"&lt;="&amp;pFin)=0),"",O26/SUMIFS(rGasto,rHorm,1,rFecha,"&gt;="&amp;pIni,rFecha,"&lt;="&amp;pFin))</f>
        <v/>
      </c>
      <c r="R26" s="7" t="n"/>
    </row>
    <row r="27">
      <c r="A27" s="7" t="n"/>
      <c r="B27" s="110" t="n">
        <v>10</v>
      </c>
      <c r="C27" s="111">
        <f>'Motor'!CR16</f>
        <v/>
      </c>
      <c r="G27" s="98">
        <f>'Motor'!CS16</f>
        <v/>
      </c>
      <c r="H27" s="112">
        <f>'Motor'!CT16</f>
        <v/>
      </c>
      <c r="I27" s="113">
        <f>IF(OR(G27="",SUMIFS(rGasto,rHorm,1,rFecha,"&gt;="&amp;pIni,rFecha,"&lt;="&amp;pFin)=0),"",G27/SUMIFS(rGasto,rHorm,1,rFecha,"&gt;="&amp;pIni,rFecha,"&lt;="&amp;pFin))</f>
        <v/>
      </c>
      <c r="J27" s="110" t="n">
        <v>10</v>
      </c>
      <c r="K27" s="111">
        <f>'Motor'!CW16</f>
        <v/>
      </c>
      <c r="O27" s="98">
        <f>'Motor'!CX16</f>
        <v/>
      </c>
      <c r="P27" s="112">
        <f>'Motor'!CY16</f>
        <v/>
      </c>
      <c r="Q27" s="113">
        <f>IF(OR(O27="",SUMIFS(rGasto,rHorm,1,rFecha,"&gt;="&amp;pIni,rFecha,"&lt;="&amp;pFin)=0),"",O27/SUMIFS(rGasto,rHorm,1,rFecha,"&gt;="&amp;pIni,rFecha,"&lt;="&amp;pFin))</f>
        <v/>
      </c>
      <c r="R27" s="7" t="n"/>
    </row>
    <row r="28">
      <c r="A28" s="7" t="n"/>
      <c r="B28" s="101" t="n"/>
      <c r="C28" s="102" t="n"/>
      <c r="D28" s="102" t="n"/>
      <c r="E28" s="102" t="n"/>
      <c r="F28" s="102" t="n"/>
      <c r="G28" s="102" t="n"/>
      <c r="H28" s="102" t="n"/>
      <c r="I28" s="103" t="n"/>
      <c r="J28" s="101" t="n"/>
      <c r="K28" s="102" t="n"/>
      <c r="L28" s="102" t="n"/>
      <c r="M28" s="102" t="n"/>
      <c r="N28" s="102" t="n"/>
      <c r="O28" s="102" t="n"/>
      <c r="P28" s="102" t="n"/>
      <c r="Q28" s="103" t="n"/>
      <c r="R28" s="7" t="n"/>
    </row>
    <row r="29">
      <c r="A29" s="7" t="n"/>
      <c r="B29" s="7" t="n"/>
      <c r="C29" s="7" t="n"/>
      <c r="D29" s="7" t="n"/>
      <c r="E29" s="7" t="n"/>
      <c r="F29" s="7" t="n"/>
      <c r="G29" s="7" t="n"/>
      <c r="H29" s="7" t="n"/>
      <c r="I29" s="7" t="n"/>
      <c r="J29" s="7" t="n"/>
      <c r="K29" s="7" t="n"/>
      <c r="L29" s="7" t="n"/>
      <c r="M29" s="7" t="n"/>
      <c r="N29" s="7" t="n"/>
      <c r="O29" s="7" t="n"/>
      <c r="P29" s="7" t="n"/>
      <c r="Q29" s="7" t="n"/>
      <c r="R29" s="7" t="n"/>
    </row>
    <row r="30" ht="24" customHeight="1">
      <c r="A30" s="7" t="n"/>
      <c r="B30" s="9" t="inlineStr">
        <is>
          <t>Tendencia  ·  gasto hormiga por mes y por semana</t>
        </is>
      </c>
      <c r="C30" s="10" t="n"/>
      <c r="D30" s="10" t="n"/>
      <c r="E30" s="10" t="n"/>
      <c r="F30" s="10" t="n"/>
      <c r="G30" s="10" t="n"/>
      <c r="H30" s="10" t="n"/>
      <c r="I30" s="10" t="n"/>
      <c r="J30" s="10" t="n"/>
      <c r="K30" s="10" t="n"/>
      <c r="L30" s="10" t="n"/>
      <c r="M30" s="10" t="n"/>
      <c r="N30" s="10" t="n"/>
      <c r="O30" s="10" t="n"/>
      <c r="P30" s="10" t="n"/>
      <c r="Q30" s="10" t="n"/>
      <c r="R30" s="7" t="n"/>
    </row>
    <row r="31">
      <c r="A31" s="7" t="n"/>
      <c r="B31" s="92" t="n"/>
      <c r="C31" s="93" t="n"/>
      <c r="D31" s="93" t="n"/>
      <c r="E31" s="93" t="n"/>
      <c r="F31" s="93" t="n"/>
      <c r="G31" s="93" t="n"/>
      <c r="H31" s="93" t="n"/>
      <c r="I31" s="93" t="n"/>
      <c r="J31" s="93" t="n"/>
      <c r="K31" s="93" t="n"/>
      <c r="L31" s="93" t="n"/>
      <c r="M31" s="93" t="n"/>
      <c r="N31" s="93" t="n"/>
      <c r="O31" s="93" t="n"/>
      <c r="P31" s="93" t="n"/>
      <c r="Q31" s="94" t="n"/>
      <c r="R31" s="7" t="n"/>
    </row>
    <row r="32">
      <c r="A32" s="7" t="n"/>
      <c r="B32" s="85" t="n"/>
      <c r="C32" s="86" t="n"/>
      <c r="D32" s="86" t="n"/>
      <c r="E32" s="86" t="n"/>
      <c r="F32" s="86" t="n"/>
      <c r="G32" s="86" t="n"/>
      <c r="H32" s="86" t="n"/>
      <c r="I32" s="86" t="n"/>
      <c r="J32" s="86" t="n"/>
      <c r="K32" s="86" t="n"/>
      <c r="L32" s="86" t="n"/>
      <c r="M32" s="86" t="n"/>
      <c r="N32" s="86" t="n"/>
      <c r="O32" s="86" t="n"/>
      <c r="P32" s="86" t="n"/>
      <c r="Q32" s="87" t="n"/>
      <c r="R32" s="7" t="n"/>
    </row>
    <row r="33">
      <c r="A33" s="7" t="n"/>
      <c r="B33" s="85" t="n"/>
      <c r="C33" s="86" t="n"/>
      <c r="D33" s="86" t="n"/>
      <c r="E33" s="86" t="n"/>
      <c r="F33" s="86" t="n"/>
      <c r="G33" s="86" t="n"/>
      <c r="H33" s="86" t="n"/>
      <c r="I33" s="86" t="n"/>
      <c r="J33" s="86" t="n"/>
      <c r="K33" s="86" t="n"/>
      <c r="L33" s="86" t="n"/>
      <c r="M33" s="86" t="n"/>
      <c r="N33" s="86" t="n"/>
      <c r="O33" s="86" t="n"/>
      <c r="P33" s="86" t="n"/>
      <c r="Q33" s="87" t="n"/>
      <c r="R33" s="7" t="n"/>
    </row>
    <row r="34">
      <c r="A34" s="7" t="n"/>
      <c r="B34" s="85" t="n"/>
      <c r="C34" s="86" t="n"/>
      <c r="D34" s="86" t="n"/>
      <c r="E34" s="86" t="n"/>
      <c r="F34" s="86" t="n"/>
      <c r="G34" s="86" t="n"/>
      <c r="H34" s="86" t="n"/>
      <c r="I34" s="86" t="n"/>
      <c r="J34" s="86" t="n"/>
      <c r="K34" s="86" t="n"/>
      <c r="L34" s="86" t="n"/>
      <c r="M34" s="86" t="n"/>
      <c r="N34" s="86" t="n"/>
      <c r="O34" s="86" t="n"/>
      <c r="P34" s="86" t="n"/>
      <c r="Q34" s="87" t="n"/>
      <c r="R34" s="7" t="n"/>
    </row>
    <row r="35">
      <c r="A35" s="7" t="n"/>
      <c r="B35" s="85" t="n"/>
      <c r="C35" s="86" t="n"/>
      <c r="D35" s="86" t="n"/>
      <c r="E35" s="86" t="n"/>
      <c r="F35" s="86" t="n"/>
      <c r="G35" s="86" t="n"/>
      <c r="H35" s="86" t="n"/>
      <c r="I35" s="86" t="n"/>
      <c r="J35" s="86" t="n"/>
      <c r="K35" s="86" t="n"/>
      <c r="L35" s="86" t="n"/>
      <c r="M35" s="86" t="n"/>
      <c r="N35" s="86" t="n"/>
      <c r="O35" s="86" t="n"/>
      <c r="P35" s="86" t="n"/>
      <c r="Q35" s="87" t="n"/>
      <c r="R35" s="7" t="n"/>
    </row>
    <row r="36">
      <c r="A36" s="7" t="n"/>
      <c r="B36" s="85" t="n"/>
      <c r="C36" s="86" t="n"/>
      <c r="D36" s="86" t="n"/>
      <c r="E36" s="86" t="n"/>
      <c r="F36" s="86" t="n"/>
      <c r="G36" s="86" t="n"/>
      <c r="H36" s="86" t="n"/>
      <c r="I36" s="86" t="n"/>
      <c r="J36" s="86" t="n"/>
      <c r="K36" s="86" t="n"/>
      <c r="L36" s="86" t="n"/>
      <c r="M36" s="86" t="n"/>
      <c r="N36" s="86" t="n"/>
      <c r="O36" s="86" t="n"/>
      <c r="P36" s="86" t="n"/>
      <c r="Q36" s="87" t="n"/>
      <c r="R36" s="7" t="n"/>
    </row>
    <row r="37">
      <c r="A37" s="7" t="n"/>
      <c r="B37" s="85" t="n"/>
      <c r="C37" s="86" t="n"/>
      <c r="D37" s="86" t="n"/>
      <c r="E37" s="86" t="n"/>
      <c r="F37" s="86" t="n"/>
      <c r="G37" s="86" t="n"/>
      <c r="H37" s="86" t="n"/>
      <c r="I37" s="86" t="n"/>
      <c r="J37" s="86" t="n"/>
      <c r="K37" s="86" t="n"/>
      <c r="L37" s="86" t="n"/>
      <c r="M37" s="86" t="n"/>
      <c r="N37" s="86" t="n"/>
      <c r="O37" s="86" t="n"/>
      <c r="P37" s="86" t="n"/>
      <c r="Q37" s="87" t="n"/>
      <c r="R37" s="7" t="n"/>
    </row>
    <row r="38">
      <c r="A38" s="7" t="n"/>
      <c r="B38" s="85" t="n"/>
      <c r="C38" s="86" t="n"/>
      <c r="D38" s="86" t="n"/>
      <c r="E38" s="86" t="n"/>
      <c r="F38" s="86" t="n"/>
      <c r="G38" s="86" t="n"/>
      <c r="H38" s="86" t="n"/>
      <c r="I38" s="86" t="n"/>
      <c r="J38" s="86" t="n"/>
      <c r="K38" s="86" t="n"/>
      <c r="L38" s="86" t="n"/>
      <c r="M38" s="86" t="n"/>
      <c r="N38" s="86" t="n"/>
      <c r="O38" s="86" t="n"/>
      <c r="P38" s="86" t="n"/>
      <c r="Q38" s="87" t="n"/>
      <c r="R38" s="7" t="n"/>
    </row>
    <row r="39">
      <c r="A39" s="7" t="n"/>
      <c r="B39" s="85" t="n"/>
      <c r="C39" s="86" t="n"/>
      <c r="D39" s="86" t="n"/>
      <c r="E39" s="86" t="n"/>
      <c r="F39" s="86" t="n"/>
      <c r="G39" s="86" t="n"/>
      <c r="H39" s="86" t="n"/>
      <c r="I39" s="86" t="n"/>
      <c r="J39" s="86" t="n"/>
      <c r="K39" s="86" t="n"/>
      <c r="L39" s="86" t="n"/>
      <c r="M39" s="86" t="n"/>
      <c r="N39" s="86" t="n"/>
      <c r="O39" s="86" t="n"/>
      <c r="P39" s="86" t="n"/>
      <c r="Q39" s="87" t="n"/>
      <c r="R39" s="7" t="n"/>
    </row>
    <row r="40">
      <c r="A40" s="7" t="n"/>
      <c r="B40" s="85" t="n"/>
      <c r="C40" s="86" t="n"/>
      <c r="D40" s="86" t="n"/>
      <c r="E40" s="86" t="n"/>
      <c r="F40" s="86" t="n"/>
      <c r="G40" s="86" t="n"/>
      <c r="H40" s="86" t="n"/>
      <c r="I40" s="86" t="n"/>
      <c r="J40" s="86" t="n"/>
      <c r="K40" s="86" t="n"/>
      <c r="L40" s="86" t="n"/>
      <c r="M40" s="86" t="n"/>
      <c r="N40" s="86" t="n"/>
      <c r="O40" s="86" t="n"/>
      <c r="P40" s="86" t="n"/>
      <c r="Q40" s="87" t="n"/>
      <c r="R40" s="7" t="n"/>
    </row>
    <row r="41">
      <c r="A41" s="7" t="n"/>
      <c r="B41" s="85" t="n"/>
      <c r="C41" s="86" t="n"/>
      <c r="D41" s="86" t="n"/>
      <c r="E41" s="86" t="n"/>
      <c r="F41" s="86" t="n"/>
      <c r="G41" s="86" t="n"/>
      <c r="H41" s="86" t="n"/>
      <c r="I41" s="86" t="n"/>
      <c r="J41" s="86" t="n"/>
      <c r="K41" s="86" t="n"/>
      <c r="L41" s="86" t="n"/>
      <c r="M41" s="86" t="n"/>
      <c r="N41" s="86" t="n"/>
      <c r="O41" s="86" t="n"/>
      <c r="P41" s="86" t="n"/>
      <c r="Q41" s="87" t="n"/>
      <c r="R41" s="7" t="n"/>
    </row>
    <row r="42">
      <c r="A42" s="7" t="n"/>
      <c r="B42" s="85" t="n"/>
      <c r="C42" s="86" t="n"/>
      <c r="D42" s="86" t="n"/>
      <c r="E42" s="86" t="n"/>
      <c r="F42" s="86" t="n"/>
      <c r="G42" s="86" t="n"/>
      <c r="H42" s="86" t="n"/>
      <c r="I42" s="86" t="n"/>
      <c r="J42" s="86" t="n"/>
      <c r="K42" s="86" t="n"/>
      <c r="L42" s="86" t="n"/>
      <c r="M42" s="86" t="n"/>
      <c r="N42" s="86" t="n"/>
      <c r="O42" s="86" t="n"/>
      <c r="P42" s="86" t="n"/>
      <c r="Q42" s="87" t="n"/>
      <c r="R42" s="7" t="n"/>
    </row>
    <row r="43">
      <c r="A43" s="7" t="n"/>
      <c r="B43" s="85" t="n"/>
      <c r="C43" s="86" t="n"/>
      <c r="D43" s="86" t="n"/>
      <c r="E43" s="86" t="n"/>
      <c r="F43" s="86" t="n"/>
      <c r="G43" s="86" t="n"/>
      <c r="H43" s="86" t="n"/>
      <c r="I43" s="86" t="n"/>
      <c r="J43" s="86" t="n"/>
      <c r="K43" s="86" t="n"/>
      <c r="L43" s="86" t="n"/>
      <c r="M43" s="86" t="n"/>
      <c r="N43" s="86" t="n"/>
      <c r="O43" s="86" t="n"/>
      <c r="P43" s="86" t="n"/>
      <c r="Q43" s="87" t="n"/>
      <c r="R43" s="7" t="n"/>
    </row>
    <row r="44">
      <c r="A44" s="7" t="n"/>
      <c r="B44" s="85" t="n"/>
      <c r="C44" s="86" t="n"/>
      <c r="D44" s="86" t="n"/>
      <c r="E44" s="86" t="n"/>
      <c r="F44" s="86" t="n"/>
      <c r="G44" s="86" t="n"/>
      <c r="H44" s="86" t="n"/>
      <c r="I44" s="86" t="n"/>
      <c r="J44" s="86" t="n"/>
      <c r="K44" s="86" t="n"/>
      <c r="L44" s="86" t="n"/>
      <c r="M44" s="86" t="n"/>
      <c r="N44" s="86" t="n"/>
      <c r="O44" s="86" t="n"/>
      <c r="P44" s="86" t="n"/>
      <c r="Q44" s="87" t="n"/>
      <c r="R44" s="7" t="n"/>
    </row>
    <row r="45">
      <c r="A45" s="7" t="n"/>
      <c r="B45" s="85" t="n"/>
      <c r="C45" s="86" t="n"/>
      <c r="D45" s="86" t="n"/>
      <c r="E45" s="86" t="n"/>
      <c r="F45" s="86" t="n"/>
      <c r="G45" s="86" t="n"/>
      <c r="H45" s="86" t="n"/>
      <c r="I45" s="86" t="n"/>
      <c r="J45" s="86" t="n"/>
      <c r="K45" s="86" t="n"/>
      <c r="L45" s="86" t="n"/>
      <c r="M45" s="86" t="n"/>
      <c r="N45" s="86" t="n"/>
      <c r="O45" s="86" t="n"/>
      <c r="P45" s="86" t="n"/>
      <c r="Q45" s="87" t="n"/>
      <c r="R45" s="7" t="n"/>
    </row>
    <row r="46">
      <c r="A46" s="7" t="n"/>
      <c r="B46" s="101" t="n"/>
      <c r="C46" s="102" t="n"/>
      <c r="D46" s="102" t="n"/>
      <c r="E46" s="102" t="n"/>
      <c r="F46" s="102" t="n"/>
      <c r="G46" s="102" t="n"/>
      <c r="H46" s="102" t="n"/>
      <c r="I46" s="102" t="n"/>
      <c r="J46" s="102" t="n"/>
      <c r="K46" s="102" t="n"/>
      <c r="L46" s="102" t="n"/>
      <c r="M46" s="102" t="n"/>
      <c r="N46" s="102" t="n"/>
      <c r="O46" s="102" t="n"/>
      <c r="P46" s="102" t="n"/>
      <c r="Q46" s="103" t="n"/>
      <c r="R46" s="7" t="n"/>
    </row>
    <row r="47">
      <c r="A47" s="7" t="n"/>
      <c r="B47" s="154" t="inlineStr">
        <is>
          <t>Mes (izquierda) y semana (derecha) usan el mes/semana de referencia del período elegido en el Dashboard.</t>
        </is>
      </c>
      <c r="C47" s="7" t="n"/>
      <c r="D47" s="7" t="n"/>
      <c r="E47" s="7" t="n"/>
      <c r="F47" s="7" t="n"/>
      <c r="G47" s="7" t="n"/>
      <c r="H47" s="7" t="n"/>
      <c r="I47" s="7" t="n"/>
      <c r="J47" s="7" t="n"/>
      <c r="K47" s="7" t="n"/>
      <c r="L47" s="7" t="n"/>
      <c r="M47" s="7" t="n"/>
      <c r="N47" s="7" t="n"/>
      <c r="O47" s="7" t="n"/>
      <c r="P47" s="7" t="n"/>
      <c r="Q47" s="7" t="n"/>
      <c r="R47" s="7" t="n"/>
    </row>
    <row r="48">
      <c r="A48" s="7" t="n"/>
      <c r="B48" s="7" t="n"/>
      <c r="C48" s="7" t="n"/>
      <c r="D48" s="7" t="n"/>
      <c r="E48" s="7" t="n"/>
      <c r="F48" s="7" t="n"/>
      <c r="G48" s="7" t="n"/>
      <c r="H48" s="7" t="n"/>
      <c r="I48" s="7" t="n"/>
      <c r="J48" s="7" t="n"/>
      <c r="K48" s="7" t="n"/>
      <c r="L48" s="7" t="n"/>
      <c r="M48" s="7" t="n"/>
      <c r="N48" s="7" t="n"/>
      <c r="O48" s="7" t="n"/>
      <c r="P48" s="7" t="n"/>
      <c r="Q48" s="7" t="n"/>
      <c r="R48" s="7" t="n"/>
    </row>
    <row r="49">
      <c r="A49" s="7" t="n"/>
      <c r="B49" s="7" t="n"/>
      <c r="C49" s="7" t="n"/>
      <c r="D49" s="7" t="n"/>
      <c r="E49" s="7" t="n"/>
      <c r="F49" s="7" t="n"/>
      <c r="G49" s="7" t="n"/>
      <c r="H49" s="7" t="n"/>
      <c r="I49" s="7" t="n"/>
      <c r="J49" s="7" t="n"/>
      <c r="K49" s="7" t="n"/>
      <c r="L49" s="7" t="n"/>
      <c r="M49" s="7" t="n"/>
      <c r="N49" s="7" t="n"/>
      <c r="O49" s="7" t="n"/>
      <c r="P49" s="7" t="n"/>
      <c r="Q49" s="7" t="n"/>
      <c r="R49" s="7" t="n"/>
    </row>
    <row r="50">
      <c r="A50" s="7" t="n"/>
      <c r="B50" s="7" t="n"/>
      <c r="C50" s="7" t="n"/>
      <c r="D50" s="7" t="n"/>
      <c r="E50" s="7" t="n"/>
      <c r="F50" s="7" t="n"/>
      <c r="G50" s="7" t="n"/>
      <c r="H50" s="7" t="n"/>
      <c r="I50" s="7" t="n"/>
      <c r="J50" s="7" t="n"/>
      <c r="K50" s="7" t="n"/>
      <c r="L50" s="7" t="n"/>
      <c r="M50" s="7" t="n"/>
      <c r="N50" s="7" t="n"/>
      <c r="O50" s="7" t="n"/>
      <c r="P50" s="7" t="n"/>
      <c r="Q50" s="7" t="n"/>
      <c r="R50" s="7" t="n"/>
    </row>
    <row r="51">
      <c r="A51" s="7" t="n"/>
      <c r="B51" s="7" t="n"/>
      <c r="C51" s="7" t="n"/>
      <c r="D51" s="7" t="n"/>
      <c r="E51" s="7" t="n"/>
      <c r="F51" s="7" t="n"/>
      <c r="G51" s="7" t="n"/>
      <c r="H51" s="7" t="n"/>
      <c r="I51" s="7" t="n"/>
      <c r="J51" s="7" t="n"/>
      <c r="K51" s="7" t="n"/>
      <c r="L51" s="7" t="n"/>
      <c r="M51" s="7" t="n"/>
      <c r="N51" s="7" t="n"/>
      <c r="O51" s="7" t="n"/>
      <c r="P51" s="7" t="n"/>
      <c r="Q51" s="7" t="n"/>
      <c r="R51" s="7" t="n"/>
    </row>
    <row r="52">
      <c r="A52" s="7" t="n"/>
      <c r="B52" s="7" t="n"/>
      <c r="C52" s="7" t="n"/>
      <c r="D52" s="7" t="n"/>
      <c r="E52" s="7" t="n"/>
      <c r="F52" s="7" t="n"/>
      <c r="G52" s="7" t="n"/>
      <c r="H52" s="7" t="n"/>
      <c r="I52" s="7" t="n"/>
      <c r="J52" s="7" t="n"/>
      <c r="K52" s="7" t="n"/>
      <c r="L52" s="7" t="n"/>
      <c r="M52" s="7" t="n"/>
      <c r="N52" s="7" t="n"/>
      <c r="O52" s="7" t="n"/>
      <c r="P52" s="7" t="n"/>
      <c r="Q52" s="7" t="n"/>
      <c r="R52" s="7" t="n"/>
    </row>
    <row r="53">
      <c r="A53" s="7" t="n"/>
      <c r="B53" s="7" t="n"/>
      <c r="C53" s="7" t="n"/>
      <c r="D53" s="7" t="n"/>
      <c r="E53" s="7" t="n"/>
      <c r="F53" s="7" t="n"/>
      <c r="G53" s="7" t="n"/>
      <c r="H53" s="7" t="n"/>
      <c r="I53" s="7" t="n"/>
      <c r="J53" s="7" t="n"/>
      <c r="K53" s="7" t="n"/>
      <c r="L53" s="7" t="n"/>
      <c r="M53" s="7" t="n"/>
      <c r="N53" s="7" t="n"/>
      <c r="O53" s="7" t="n"/>
      <c r="P53" s="7" t="n"/>
      <c r="Q53" s="7" t="n"/>
      <c r="R53" s="7" t="n"/>
    </row>
    <row r="54">
      <c r="A54" s="7" t="n"/>
      <c r="B54" s="7" t="n"/>
      <c r="C54" s="7" t="n"/>
      <c r="D54" s="7" t="n"/>
      <c r="E54" s="7" t="n"/>
      <c r="F54" s="7" t="n"/>
      <c r="G54" s="7" t="n"/>
      <c r="H54" s="7" t="n"/>
      <c r="I54" s="7" t="n"/>
      <c r="J54" s="7" t="n"/>
      <c r="K54" s="7" t="n"/>
      <c r="L54" s="7" t="n"/>
      <c r="M54" s="7" t="n"/>
      <c r="N54" s="7" t="n"/>
      <c r="O54" s="7" t="n"/>
      <c r="P54" s="7" t="n"/>
      <c r="Q54" s="7" t="n"/>
      <c r="R54" s="7" t="n"/>
    </row>
    <row r="55">
      <c r="A55" s="7" t="n"/>
      <c r="B55" s="7" t="n"/>
      <c r="C55" s="7" t="n"/>
      <c r="D55" s="7" t="n"/>
      <c r="E55" s="7" t="n"/>
      <c r="F55" s="7" t="n"/>
      <c r="G55" s="7" t="n"/>
      <c r="H55" s="7" t="n"/>
      <c r="I55" s="7" t="n"/>
      <c r="J55" s="7" t="n"/>
      <c r="K55" s="7" t="n"/>
      <c r="L55" s="7" t="n"/>
      <c r="M55" s="7" t="n"/>
      <c r="N55" s="7" t="n"/>
      <c r="O55" s="7" t="n"/>
      <c r="P55" s="7" t="n"/>
      <c r="Q55" s="7" t="n"/>
      <c r="R55" s="7" t="n"/>
    </row>
    <row r="56">
      <c r="A56" s="7" t="n"/>
      <c r="B56" s="7" t="n"/>
      <c r="C56" s="7" t="n"/>
      <c r="D56" s="7" t="n"/>
      <c r="E56" s="7" t="n"/>
      <c r="F56" s="7" t="n"/>
      <c r="G56" s="7" t="n"/>
      <c r="H56" s="7" t="n"/>
      <c r="I56" s="7" t="n"/>
      <c r="J56" s="7" t="n"/>
      <c r="K56" s="7" t="n"/>
      <c r="L56" s="7" t="n"/>
      <c r="M56" s="7" t="n"/>
      <c r="N56" s="7" t="n"/>
      <c r="O56" s="7" t="n"/>
      <c r="P56" s="7" t="n"/>
      <c r="Q56" s="7" t="n"/>
      <c r="R56" s="7" t="n"/>
    </row>
    <row r="57">
      <c r="A57" s="7" t="n"/>
      <c r="B57" s="7" t="n"/>
      <c r="C57" s="7" t="n"/>
      <c r="D57" s="7" t="n"/>
      <c r="E57" s="7" t="n"/>
      <c r="F57" s="7" t="n"/>
      <c r="G57" s="7" t="n"/>
      <c r="H57" s="7" t="n"/>
      <c r="I57" s="7" t="n"/>
      <c r="J57" s="7" t="n"/>
      <c r="K57" s="7" t="n"/>
      <c r="L57" s="7" t="n"/>
      <c r="M57" s="7" t="n"/>
      <c r="N57" s="7" t="n"/>
      <c r="O57" s="7" t="n"/>
      <c r="P57" s="7" t="n"/>
      <c r="Q57" s="7" t="n"/>
      <c r="R57" s="7" t="n"/>
    </row>
    <row r="58">
      <c r="A58" s="7" t="n"/>
      <c r="B58" s="7" t="n"/>
      <c r="C58" s="7" t="n"/>
      <c r="D58" s="7" t="n"/>
      <c r="E58" s="7" t="n"/>
      <c r="F58" s="7" t="n"/>
      <c r="G58" s="7" t="n"/>
      <c r="H58" s="7" t="n"/>
      <c r="I58" s="7" t="n"/>
      <c r="J58" s="7" t="n"/>
      <c r="K58" s="7" t="n"/>
      <c r="L58" s="7" t="n"/>
      <c r="M58" s="7" t="n"/>
      <c r="N58" s="7" t="n"/>
      <c r="O58" s="7" t="n"/>
      <c r="P58" s="7" t="n"/>
      <c r="Q58" s="7" t="n"/>
      <c r="R58" s="7" t="n"/>
    </row>
    <row r="59">
      <c r="A59" s="7" t="n"/>
      <c r="B59" s="7" t="n"/>
      <c r="C59" s="7" t="n"/>
      <c r="D59" s="7" t="n"/>
      <c r="E59" s="7" t="n"/>
      <c r="F59" s="7" t="n"/>
      <c r="G59" s="7" t="n"/>
      <c r="H59" s="7" t="n"/>
      <c r="I59" s="7" t="n"/>
      <c r="J59" s="7" t="n"/>
      <c r="K59" s="7" t="n"/>
      <c r="L59" s="7" t="n"/>
      <c r="M59" s="7" t="n"/>
      <c r="N59" s="7" t="n"/>
      <c r="O59" s="7" t="n"/>
      <c r="P59" s="7" t="n"/>
      <c r="Q59" s="7" t="n"/>
      <c r="R59" s="7" t="n"/>
    </row>
    <row r="60">
      <c r="A60" s="7" t="n"/>
      <c r="B60" s="7" t="n"/>
      <c r="C60" s="7" t="n"/>
      <c r="D60" s="7" t="n"/>
      <c r="E60" s="7" t="n"/>
      <c r="F60" s="7" t="n"/>
      <c r="G60" s="7" t="n"/>
      <c r="H60" s="7" t="n"/>
      <c r="I60" s="7" t="n"/>
      <c r="J60" s="7" t="n"/>
      <c r="K60" s="7" t="n"/>
      <c r="L60" s="7" t="n"/>
      <c r="M60" s="7" t="n"/>
      <c r="N60" s="7" t="n"/>
      <c r="O60" s="7" t="n"/>
      <c r="P60" s="7" t="n"/>
      <c r="Q60" s="7" t="n"/>
      <c r="R60" s="7" t="n"/>
    </row>
    <row r="61">
      <c r="A61" s="7" t="n"/>
      <c r="B61" s="7" t="n"/>
      <c r="C61" s="7" t="n"/>
      <c r="D61" s="7" t="n"/>
      <c r="E61" s="7" t="n"/>
      <c r="F61" s="7" t="n"/>
      <c r="G61" s="7" t="n"/>
      <c r="H61" s="7" t="n"/>
      <c r="I61" s="7" t="n"/>
      <c r="J61" s="7" t="n"/>
      <c r="K61" s="7" t="n"/>
      <c r="L61" s="7" t="n"/>
      <c r="M61" s="7" t="n"/>
      <c r="N61" s="7" t="n"/>
      <c r="O61" s="7" t="n"/>
      <c r="P61" s="7" t="n"/>
      <c r="Q61" s="7" t="n"/>
      <c r="R61" s="7" t="n"/>
    </row>
    <row r="62">
      <c r="A62" s="7" t="n"/>
      <c r="B62" s="7" t="n"/>
      <c r="C62" s="7" t="n"/>
      <c r="D62" s="7" t="n"/>
      <c r="E62" s="7" t="n"/>
      <c r="F62" s="7" t="n"/>
      <c r="G62" s="7" t="n"/>
      <c r="H62" s="7" t="n"/>
      <c r="I62" s="7" t="n"/>
      <c r="J62" s="7" t="n"/>
      <c r="K62" s="7" t="n"/>
      <c r="L62" s="7" t="n"/>
      <c r="M62" s="7" t="n"/>
      <c r="N62" s="7" t="n"/>
      <c r="O62" s="7" t="n"/>
      <c r="P62" s="7" t="n"/>
      <c r="Q62" s="7" t="n"/>
      <c r="R62" s="7" t="n"/>
    </row>
    <row r="63">
      <c r="A63" s="7" t="n"/>
      <c r="B63" s="7" t="n"/>
      <c r="C63" s="7" t="n"/>
      <c r="D63" s="7" t="n"/>
      <c r="E63" s="7" t="n"/>
      <c r="F63" s="7" t="n"/>
      <c r="G63" s="7" t="n"/>
      <c r="H63" s="7" t="n"/>
      <c r="I63" s="7" t="n"/>
      <c r="J63" s="7" t="n"/>
      <c r="K63" s="7" t="n"/>
      <c r="L63" s="7" t="n"/>
      <c r="M63" s="7" t="n"/>
      <c r="N63" s="7" t="n"/>
      <c r="O63" s="7" t="n"/>
      <c r="P63" s="7" t="n"/>
      <c r="Q63" s="7" t="n"/>
      <c r="R63" s="7" t="n"/>
    </row>
    <row r="64">
      <c r="A64" s="7" t="n"/>
      <c r="B64" s="7" t="n"/>
      <c r="C64" s="7" t="n"/>
      <c r="D64" s="7" t="n"/>
      <c r="E64" s="7" t="n"/>
      <c r="F64" s="7" t="n"/>
      <c r="G64" s="7" t="n"/>
      <c r="H64" s="7" t="n"/>
      <c r="I64" s="7" t="n"/>
      <c r="J64" s="7" t="n"/>
      <c r="K64" s="7" t="n"/>
      <c r="L64" s="7" t="n"/>
      <c r="M64" s="7" t="n"/>
      <c r="N64" s="7" t="n"/>
      <c r="O64" s="7" t="n"/>
      <c r="P64" s="7" t="n"/>
      <c r="Q64" s="7" t="n"/>
      <c r="R64" s="7" t="n"/>
    </row>
    <row r="65">
      <c r="A65" s="7" t="n"/>
      <c r="B65" s="7" t="n"/>
      <c r="C65" s="7" t="n"/>
      <c r="D65" s="7" t="n"/>
      <c r="E65" s="7" t="n"/>
      <c r="F65" s="7" t="n"/>
      <c r="G65" s="7" t="n"/>
      <c r="H65" s="7" t="n"/>
      <c r="I65" s="7" t="n"/>
      <c r="J65" s="7" t="n"/>
      <c r="K65" s="7" t="n"/>
      <c r="L65" s="7" t="n"/>
      <c r="M65" s="7" t="n"/>
      <c r="N65" s="7" t="n"/>
      <c r="O65" s="7" t="n"/>
      <c r="P65" s="7" t="n"/>
      <c r="Q65" s="7" t="n"/>
      <c r="R65" s="7" t="n"/>
    </row>
    <row r="66">
      <c r="A66" s="7" t="n"/>
      <c r="B66" s="7" t="n"/>
      <c r="C66" s="7" t="n"/>
      <c r="D66" s="7" t="n"/>
      <c r="E66" s="7" t="n"/>
      <c r="F66" s="7" t="n"/>
      <c r="G66" s="7" t="n"/>
      <c r="H66" s="7" t="n"/>
      <c r="I66" s="7" t="n"/>
      <c r="J66" s="7" t="n"/>
      <c r="K66" s="7" t="n"/>
      <c r="L66" s="7" t="n"/>
      <c r="M66" s="7" t="n"/>
      <c r="N66" s="7" t="n"/>
      <c r="O66" s="7" t="n"/>
      <c r="P66" s="7" t="n"/>
      <c r="Q66" s="7" t="n"/>
      <c r="R66" s="7" t="n"/>
    </row>
    <row r="67">
      <c r="A67" s="7" t="n"/>
      <c r="B67" s="7" t="n"/>
      <c r="C67" s="7" t="n"/>
      <c r="D67" s="7" t="n"/>
      <c r="E67" s="7" t="n"/>
      <c r="F67" s="7" t="n"/>
      <c r="G67" s="7" t="n"/>
      <c r="H67" s="7" t="n"/>
      <c r="I67" s="7" t="n"/>
      <c r="J67" s="7" t="n"/>
      <c r="K67" s="7" t="n"/>
      <c r="L67" s="7" t="n"/>
      <c r="M67" s="7" t="n"/>
      <c r="N67" s="7" t="n"/>
      <c r="O67" s="7" t="n"/>
      <c r="P67" s="7" t="n"/>
      <c r="Q67" s="7" t="n"/>
      <c r="R67" s="7" t="n"/>
    </row>
    <row r="68">
      <c r="A68" s="7" t="n"/>
      <c r="B68" s="7" t="n"/>
      <c r="C68" s="7" t="n"/>
      <c r="D68" s="7" t="n"/>
      <c r="E68" s="7" t="n"/>
      <c r="F68" s="7" t="n"/>
      <c r="G68" s="7" t="n"/>
      <c r="H68" s="7" t="n"/>
      <c r="I68" s="7" t="n"/>
      <c r="J68" s="7" t="n"/>
      <c r="K68" s="7" t="n"/>
      <c r="L68" s="7" t="n"/>
      <c r="M68" s="7" t="n"/>
      <c r="N68" s="7" t="n"/>
      <c r="O68" s="7" t="n"/>
      <c r="P68" s="7" t="n"/>
      <c r="Q68" s="7" t="n"/>
      <c r="R68" s="7" t="n"/>
    </row>
    <row r="69">
      <c r="A69" s="7" t="n"/>
      <c r="B69" s="7" t="n"/>
      <c r="C69" s="7" t="n"/>
      <c r="D69" s="7" t="n"/>
      <c r="E69" s="7" t="n"/>
      <c r="F69" s="7" t="n"/>
      <c r="G69" s="7" t="n"/>
      <c r="H69" s="7" t="n"/>
      <c r="I69" s="7" t="n"/>
      <c r="J69" s="7" t="n"/>
      <c r="K69" s="7" t="n"/>
      <c r="L69" s="7" t="n"/>
      <c r="M69" s="7" t="n"/>
      <c r="N69" s="7" t="n"/>
      <c r="O69" s="7" t="n"/>
      <c r="P69" s="7" t="n"/>
      <c r="Q69" s="7" t="n"/>
      <c r="R69" s="7" t="n"/>
    </row>
    <row r="70">
      <c r="A70" s="7" t="n"/>
      <c r="B70" s="7" t="n"/>
      <c r="C70" s="7" t="n"/>
      <c r="D70" s="7" t="n"/>
      <c r="E70" s="7" t="n"/>
      <c r="F70" s="7" t="n"/>
      <c r="G70" s="7" t="n"/>
      <c r="H70" s="7" t="n"/>
      <c r="I70" s="7" t="n"/>
      <c r="J70" s="7" t="n"/>
      <c r="K70" s="7" t="n"/>
      <c r="L70" s="7" t="n"/>
      <c r="M70" s="7" t="n"/>
      <c r="N70" s="7" t="n"/>
      <c r="O70" s="7" t="n"/>
      <c r="P70" s="7" t="n"/>
      <c r="Q70" s="7" t="n"/>
      <c r="R70" s="7" t="n"/>
    </row>
    <row r="71">
      <c r="A71" s="7" t="n"/>
      <c r="B71" s="7" t="n"/>
      <c r="C71" s="7" t="n"/>
      <c r="D71" s="7" t="n"/>
      <c r="E71" s="7" t="n"/>
      <c r="F71" s="7" t="n"/>
      <c r="G71" s="7" t="n"/>
      <c r="H71" s="7" t="n"/>
      <c r="I71" s="7" t="n"/>
      <c r="J71" s="7" t="n"/>
      <c r="K71" s="7" t="n"/>
      <c r="L71" s="7" t="n"/>
      <c r="M71" s="7" t="n"/>
      <c r="N71" s="7" t="n"/>
      <c r="O71" s="7" t="n"/>
      <c r="P71" s="7" t="n"/>
      <c r="Q71" s="7" t="n"/>
      <c r="R71" s="7" t="n"/>
    </row>
    <row r="72">
      <c r="A72" s="7" t="n"/>
      <c r="B72" s="7" t="n"/>
      <c r="C72" s="7" t="n"/>
      <c r="D72" s="7" t="n"/>
      <c r="E72" s="7" t="n"/>
      <c r="F72" s="7" t="n"/>
      <c r="G72" s="7" t="n"/>
      <c r="H72" s="7" t="n"/>
      <c r="I72" s="7" t="n"/>
      <c r="J72" s="7" t="n"/>
      <c r="K72" s="7" t="n"/>
      <c r="L72" s="7" t="n"/>
      <c r="M72" s="7" t="n"/>
      <c r="N72" s="7" t="n"/>
      <c r="O72" s="7" t="n"/>
      <c r="P72" s="7" t="n"/>
      <c r="Q72" s="7" t="n"/>
      <c r="R72" s="7" t="n"/>
    </row>
    <row r="73">
      <c r="A73" s="7" t="n"/>
      <c r="B73" s="7" t="n"/>
      <c r="C73" s="7" t="n"/>
      <c r="D73" s="7" t="n"/>
      <c r="E73" s="7" t="n"/>
      <c r="F73" s="7" t="n"/>
      <c r="G73" s="7" t="n"/>
      <c r="H73" s="7" t="n"/>
      <c r="I73" s="7" t="n"/>
      <c r="J73" s="7" t="n"/>
      <c r="K73" s="7" t="n"/>
      <c r="L73" s="7" t="n"/>
      <c r="M73" s="7" t="n"/>
      <c r="N73" s="7" t="n"/>
      <c r="O73" s="7" t="n"/>
      <c r="P73" s="7" t="n"/>
      <c r="Q73" s="7" t="n"/>
      <c r="R73" s="7" t="n"/>
    </row>
    <row r="74">
      <c r="A74" s="7" t="n"/>
      <c r="B74" s="7" t="n"/>
      <c r="C74" s="7" t="n"/>
      <c r="D74" s="7" t="n"/>
      <c r="E74" s="7" t="n"/>
      <c r="F74" s="7" t="n"/>
      <c r="G74" s="7" t="n"/>
      <c r="H74" s="7" t="n"/>
      <c r="I74" s="7" t="n"/>
      <c r="J74" s="7" t="n"/>
      <c r="K74" s="7" t="n"/>
      <c r="L74" s="7" t="n"/>
      <c r="M74" s="7" t="n"/>
      <c r="N74" s="7" t="n"/>
      <c r="O74" s="7" t="n"/>
      <c r="P74" s="7" t="n"/>
      <c r="Q74" s="7" t="n"/>
      <c r="R74" s="7" t="n"/>
    </row>
    <row r="75">
      <c r="A75" s="7" t="n"/>
      <c r="B75" s="7" t="n"/>
      <c r="C75" s="7" t="n"/>
      <c r="D75" s="7" t="n"/>
      <c r="E75" s="7" t="n"/>
      <c r="F75" s="7" t="n"/>
      <c r="G75" s="7" t="n"/>
      <c r="H75" s="7" t="n"/>
      <c r="I75" s="7" t="n"/>
      <c r="J75" s="7" t="n"/>
      <c r="K75" s="7" t="n"/>
      <c r="L75" s="7" t="n"/>
      <c r="M75" s="7" t="n"/>
      <c r="N75" s="7" t="n"/>
      <c r="O75" s="7" t="n"/>
      <c r="P75" s="7" t="n"/>
      <c r="Q75" s="7" t="n"/>
      <c r="R75" s="7" t="n"/>
    </row>
    <row r="76">
      <c r="A76" s="7" t="n"/>
      <c r="B76" s="7" t="n"/>
      <c r="C76" s="7" t="n"/>
      <c r="D76" s="7" t="n"/>
      <c r="E76" s="7" t="n"/>
      <c r="F76" s="7" t="n"/>
      <c r="G76" s="7" t="n"/>
      <c r="H76" s="7" t="n"/>
      <c r="I76" s="7" t="n"/>
      <c r="J76" s="7" t="n"/>
      <c r="K76" s="7" t="n"/>
      <c r="L76" s="7" t="n"/>
      <c r="M76" s="7" t="n"/>
      <c r="N76" s="7" t="n"/>
      <c r="O76" s="7" t="n"/>
      <c r="P76" s="7" t="n"/>
      <c r="Q76" s="7" t="n"/>
      <c r="R76" s="7" t="n"/>
    </row>
    <row r="77">
      <c r="A77" s="7" t="n"/>
      <c r="B77" s="7" t="n"/>
      <c r="C77" s="7" t="n"/>
      <c r="D77" s="7" t="n"/>
      <c r="E77" s="7" t="n"/>
      <c r="F77" s="7" t="n"/>
      <c r="G77" s="7" t="n"/>
      <c r="H77" s="7" t="n"/>
      <c r="I77" s="7" t="n"/>
      <c r="J77" s="7" t="n"/>
      <c r="K77" s="7" t="n"/>
      <c r="L77" s="7" t="n"/>
      <c r="M77" s="7" t="n"/>
      <c r="N77" s="7" t="n"/>
      <c r="O77" s="7" t="n"/>
      <c r="P77" s="7" t="n"/>
      <c r="Q77" s="7" t="n"/>
      <c r="R77" s="7" t="n"/>
    </row>
    <row r="78">
      <c r="A78" s="7" t="n"/>
      <c r="B78" s="7" t="n"/>
      <c r="C78" s="7" t="n"/>
      <c r="D78" s="7" t="n"/>
      <c r="E78" s="7" t="n"/>
      <c r="F78" s="7" t="n"/>
      <c r="G78" s="7" t="n"/>
      <c r="H78" s="7" t="n"/>
      <c r="I78" s="7" t="n"/>
      <c r="J78" s="7" t="n"/>
      <c r="K78" s="7" t="n"/>
      <c r="L78" s="7" t="n"/>
      <c r="M78" s="7" t="n"/>
      <c r="N78" s="7" t="n"/>
      <c r="O78" s="7" t="n"/>
      <c r="P78" s="7" t="n"/>
      <c r="Q78" s="7" t="n"/>
      <c r="R78" s="7" t="n"/>
    </row>
    <row r="79">
      <c r="A79" s="7" t="n"/>
      <c r="B79" s="7" t="n"/>
      <c r="C79" s="7" t="n"/>
      <c r="D79" s="7" t="n"/>
      <c r="E79" s="7" t="n"/>
      <c r="F79" s="7" t="n"/>
      <c r="G79" s="7" t="n"/>
      <c r="H79" s="7" t="n"/>
      <c r="I79" s="7" t="n"/>
      <c r="J79" s="7" t="n"/>
      <c r="K79" s="7" t="n"/>
      <c r="L79" s="7" t="n"/>
      <c r="M79" s="7" t="n"/>
      <c r="N79" s="7" t="n"/>
      <c r="O79" s="7" t="n"/>
      <c r="P79" s="7" t="n"/>
      <c r="Q79" s="7" t="n"/>
      <c r="R79" s="7" t="n"/>
    </row>
    <row r="80">
      <c r="A80" s="7" t="n"/>
      <c r="B80" s="7" t="n"/>
      <c r="C80" s="7" t="n"/>
      <c r="D80" s="7" t="n"/>
      <c r="E80" s="7" t="n"/>
      <c r="F80" s="7" t="n"/>
      <c r="G80" s="7" t="n"/>
      <c r="H80" s="7" t="n"/>
      <c r="I80" s="7" t="n"/>
      <c r="J80" s="7" t="n"/>
      <c r="K80" s="7" t="n"/>
      <c r="L80" s="7" t="n"/>
      <c r="M80" s="7" t="n"/>
      <c r="N80" s="7" t="n"/>
      <c r="O80" s="7" t="n"/>
      <c r="P80" s="7" t="n"/>
      <c r="Q80" s="7" t="n"/>
      <c r="R80" s="7" t="n"/>
    </row>
    <row r="81">
      <c r="A81" s="7" t="n"/>
      <c r="B81" s="7" t="n"/>
      <c r="C81" s="7" t="n"/>
      <c r="D81" s="7" t="n"/>
      <c r="E81" s="7" t="n"/>
      <c r="F81" s="7" t="n"/>
      <c r="G81" s="7" t="n"/>
      <c r="H81" s="7" t="n"/>
      <c r="I81" s="7" t="n"/>
      <c r="J81" s="7" t="n"/>
      <c r="K81" s="7" t="n"/>
      <c r="L81" s="7" t="n"/>
      <c r="M81" s="7" t="n"/>
      <c r="N81" s="7" t="n"/>
      <c r="O81" s="7" t="n"/>
      <c r="P81" s="7" t="n"/>
      <c r="Q81" s="7" t="n"/>
      <c r="R81" s="7" t="n"/>
    </row>
    <row r="82">
      <c r="A82" s="7" t="n"/>
      <c r="B82" s="7" t="n"/>
      <c r="C82" s="7" t="n"/>
      <c r="D82" s="7" t="n"/>
      <c r="E82" s="7" t="n"/>
      <c r="F82" s="7" t="n"/>
      <c r="G82" s="7" t="n"/>
      <c r="H82" s="7" t="n"/>
      <c r="I82" s="7" t="n"/>
      <c r="J82" s="7" t="n"/>
      <c r="K82" s="7" t="n"/>
      <c r="L82" s="7" t="n"/>
      <c r="M82" s="7" t="n"/>
      <c r="N82" s="7" t="n"/>
      <c r="O82" s="7" t="n"/>
      <c r="P82" s="7" t="n"/>
      <c r="Q82" s="7" t="n"/>
      <c r="R82" s="7" t="n"/>
    </row>
    <row r="83">
      <c r="A83" s="7" t="n"/>
      <c r="B83" s="7" t="n"/>
      <c r="C83" s="7" t="n"/>
      <c r="D83" s="7" t="n"/>
      <c r="E83" s="7" t="n"/>
      <c r="F83" s="7" t="n"/>
      <c r="G83" s="7" t="n"/>
      <c r="H83" s="7" t="n"/>
      <c r="I83" s="7" t="n"/>
      <c r="J83" s="7" t="n"/>
      <c r="K83" s="7" t="n"/>
      <c r="L83" s="7" t="n"/>
      <c r="M83" s="7" t="n"/>
      <c r="N83" s="7" t="n"/>
      <c r="O83" s="7" t="n"/>
      <c r="P83" s="7" t="n"/>
      <c r="Q83" s="7" t="n"/>
      <c r="R83" s="7" t="n"/>
    </row>
    <row r="84">
      <c r="A84" s="7" t="n"/>
      <c r="B84" s="7" t="n"/>
      <c r="C84" s="7" t="n"/>
      <c r="D84" s="7" t="n"/>
      <c r="E84" s="7" t="n"/>
      <c r="F84" s="7" t="n"/>
      <c r="G84" s="7" t="n"/>
      <c r="H84" s="7" t="n"/>
      <c r="I84" s="7" t="n"/>
      <c r="J84" s="7" t="n"/>
      <c r="K84" s="7" t="n"/>
      <c r="L84" s="7" t="n"/>
      <c r="M84" s="7" t="n"/>
      <c r="N84" s="7" t="n"/>
      <c r="O84" s="7" t="n"/>
      <c r="P84" s="7" t="n"/>
      <c r="Q84" s="7" t="n"/>
      <c r="R84" s="7" t="n"/>
    </row>
    <row r="85">
      <c r="A85" s="7" t="n"/>
      <c r="B85" s="7" t="n"/>
      <c r="C85" s="7" t="n"/>
      <c r="D85" s="7" t="n"/>
      <c r="E85" s="7" t="n"/>
      <c r="F85" s="7" t="n"/>
      <c r="G85" s="7" t="n"/>
      <c r="H85" s="7" t="n"/>
      <c r="I85" s="7" t="n"/>
      <c r="J85" s="7" t="n"/>
      <c r="K85" s="7" t="n"/>
      <c r="L85" s="7" t="n"/>
      <c r="M85" s="7" t="n"/>
      <c r="N85" s="7" t="n"/>
      <c r="O85" s="7" t="n"/>
      <c r="P85" s="7" t="n"/>
      <c r="Q85" s="7" t="n"/>
      <c r="R85" s="7" t="n"/>
    </row>
    <row r="86">
      <c r="A86" s="7" t="n"/>
      <c r="B86" s="7" t="n"/>
      <c r="C86" s="7" t="n"/>
      <c r="D86" s="7" t="n"/>
      <c r="E86" s="7" t="n"/>
      <c r="F86" s="7" t="n"/>
      <c r="G86" s="7" t="n"/>
      <c r="H86" s="7" t="n"/>
      <c r="I86" s="7" t="n"/>
      <c r="J86" s="7" t="n"/>
      <c r="K86" s="7" t="n"/>
      <c r="L86" s="7" t="n"/>
      <c r="M86" s="7" t="n"/>
      <c r="N86" s="7" t="n"/>
      <c r="O86" s="7" t="n"/>
      <c r="P86" s="7" t="n"/>
      <c r="Q86" s="7" t="n"/>
      <c r="R86" s="7" t="n"/>
    </row>
    <row r="87">
      <c r="A87" s="7" t="n"/>
      <c r="B87" s="7" t="n"/>
      <c r="C87" s="7" t="n"/>
      <c r="D87" s="7" t="n"/>
      <c r="E87" s="7" t="n"/>
      <c r="F87" s="7" t="n"/>
      <c r="G87" s="7" t="n"/>
      <c r="H87" s="7" t="n"/>
      <c r="I87" s="7" t="n"/>
      <c r="J87" s="7" t="n"/>
      <c r="K87" s="7" t="n"/>
      <c r="L87" s="7" t="n"/>
      <c r="M87" s="7" t="n"/>
      <c r="N87" s="7" t="n"/>
      <c r="O87" s="7" t="n"/>
      <c r="P87" s="7" t="n"/>
      <c r="Q87" s="7" t="n"/>
      <c r="R87" s="7" t="n"/>
    </row>
    <row r="88">
      <c r="A88" s="7" t="n"/>
      <c r="B88" s="7" t="n"/>
      <c r="C88" s="7" t="n"/>
      <c r="D88" s="7" t="n"/>
      <c r="E88" s="7" t="n"/>
      <c r="F88" s="7" t="n"/>
      <c r="G88" s="7" t="n"/>
      <c r="H88" s="7" t="n"/>
      <c r="I88" s="7" t="n"/>
      <c r="J88" s="7" t="n"/>
      <c r="K88" s="7" t="n"/>
      <c r="L88" s="7" t="n"/>
      <c r="M88" s="7" t="n"/>
      <c r="N88" s="7" t="n"/>
      <c r="O88" s="7" t="n"/>
      <c r="P88" s="7" t="n"/>
      <c r="Q88" s="7" t="n"/>
      <c r="R88" s="7" t="n"/>
    </row>
    <row r="89">
      <c r="A89" s="7" t="n"/>
      <c r="B89" s="7" t="n"/>
      <c r="C89" s="7" t="n"/>
      <c r="D89" s="7" t="n"/>
      <c r="E89" s="7" t="n"/>
      <c r="F89" s="7" t="n"/>
      <c r="G89" s="7" t="n"/>
      <c r="H89" s="7" t="n"/>
      <c r="I89" s="7" t="n"/>
      <c r="J89" s="7" t="n"/>
      <c r="K89" s="7" t="n"/>
      <c r="L89" s="7" t="n"/>
      <c r="M89" s="7" t="n"/>
      <c r="N89" s="7" t="n"/>
      <c r="O89" s="7" t="n"/>
      <c r="P89" s="7" t="n"/>
      <c r="Q89" s="7" t="n"/>
      <c r="R89" s="7" t="n"/>
    </row>
    <row r="90">
      <c r="A90" s="7" t="n"/>
      <c r="B90" s="7" t="n"/>
      <c r="C90" s="7" t="n"/>
      <c r="D90" s="7" t="n"/>
      <c r="E90" s="7" t="n"/>
      <c r="F90" s="7" t="n"/>
      <c r="G90" s="7" t="n"/>
      <c r="H90" s="7" t="n"/>
      <c r="I90" s="7" t="n"/>
      <c r="J90" s="7" t="n"/>
      <c r="K90" s="7" t="n"/>
      <c r="L90" s="7" t="n"/>
      <c r="M90" s="7" t="n"/>
      <c r="N90" s="7" t="n"/>
      <c r="O90" s="7" t="n"/>
      <c r="P90" s="7" t="n"/>
      <c r="Q90" s="7" t="n"/>
      <c r="R90" s="7" t="n"/>
    </row>
  </sheetData>
  <mergeCells count="52">
    <mergeCell ref="J17:N17"/>
    <mergeCell ref="B9:E9"/>
    <mergeCell ref="K23:N23"/>
    <mergeCell ref="C23:F23"/>
    <mergeCell ref="F9:I9"/>
    <mergeCell ref="N9:Q9"/>
    <mergeCell ref="B6:E6"/>
    <mergeCell ref="B12:E13"/>
    <mergeCell ref="F12:I13"/>
    <mergeCell ref="N6:Q6"/>
    <mergeCell ref="N12:Q13"/>
    <mergeCell ref="B30:Q30"/>
    <mergeCell ref="C19:F19"/>
    <mergeCell ref="K19:N19"/>
    <mergeCell ref="F14:I14"/>
    <mergeCell ref="C18:F18"/>
    <mergeCell ref="K18:N18"/>
    <mergeCell ref="K4:Q4"/>
    <mergeCell ref="B4:H4"/>
    <mergeCell ref="F11:I11"/>
    <mergeCell ref="K25:N25"/>
    <mergeCell ref="N11:Q11"/>
    <mergeCell ref="K24:N24"/>
    <mergeCell ref="J14:M14"/>
    <mergeCell ref="B16:Q16"/>
    <mergeCell ref="C24:F24"/>
    <mergeCell ref="B17:F17"/>
    <mergeCell ref="J7:M8"/>
    <mergeCell ref="F6:I6"/>
    <mergeCell ref="K26:N26"/>
    <mergeCell ref="J9:M9"/>
    <mergeCell ref="K21:N21"/>
    <mergeCell ref="C20:F20"/>
    <mergeCell ref="C26:F26"/>
    <mergeCell ref="K20:N20"/>
    <mergeCell ref="B11:E11"/>
    <mergeCell ref="J6:M6"/>
    <mergeCell ref="J12:M13"/>
    <mergeCell ref="C25:F25"/>
    <mergeCell ref="B14:E14"/>
    <mergeCell ref="C22:F22"/>
    <mergeCell ref="I4:J4"/>
    <mergeCell ref="K22:N22"/>
    <mergeCell ref="N14:Q14"/>
    <mergeCell ref="J11:M11"/>
    <mergeCell ref="C21:F21"/>
    <mergeCell ref="B7:E8"/>
    <mergeCell ref="C27:F27"/>
    <mergeCell ref="F7:I8"/>
    <mergeCell ref="K27:N27"/>
    <mergeCell ref="N7:Q8"/>
    <mergeCell ref="L1:R1"/>
  </mergeCells>
  <conditionalFormatting sqref="G18:G27">
    <cfRule type="dataBar" priority="1">
      <dataBar showValue="1">
        <cfvo type="num" val="0"/>
        <cfvo type="max"/>
        <color rgb="00F4B795"/>
      </dataBar>
    </cfRule>
  </conditionalFormatting>
  <conditionalFormatting sqref="O18:O27">
    <cfRule type="dataBar" priority="2">
      <dataBar showValue="1">
        <cfvo type="num" val="0"/>
        <cfvo type="max"/>
        <color rgb="00F4B795"/>
      </dataBar>
    </cfRule>
  </conditionalFormatting>
  <hyperlinks>
    <hyperlink ref="B2" location="'Inicio'!A1" display="Inicio"/>
    <hyperlink ref="C2" location="'Registro'!A1" display="Registro"/>
    <hyperlink ref="D2" location="'Dashboard'!A1" display="Dashboard"/>
    <hyperlink ref="E2" location="'Alimentación'!A1" display="Alimentación"/>
    <hyperlink ref="G2" location="'Gastos hormiga'!A1" display="● Hormiga"/>
    <hyperlink ref="H2" location="'Recurrentes'!A1" display="Recurrentes"/>
    <hyperlink ref="J2" location="'Presupuestos'!A1" display="Presupuestos"/>
    <hyperlink ref="L2" location="'Cuentas'!A1" display="Cuentas"/>
    <hyperlink ref="M2" location="'Categorías'!A1" display="Categorías"/>
    <hyperlink ref="N2" location="'Config'!A1" display="Config"/>
  </hyperlinks>
  <printOptions horizontalCentered="1"/>
  <pageMargins left="0.3" right="0.3" top="1" bottom="1" header="0.5" footer="0.5"/>
  <pageSetup orientation="landscape" fitToHeight="0" fitToWidth="1"/>
  <drawing xmlns:r="http://schemas.openxmlformats.org/officeDocument/2006/relationships" r:id="rId1"/>
  <legacyDrawing xmlns:r="http://schemas.openxmlformats.org/officeDocument/2006/relationships" r:id="anysvml"/>
</worksheet>
</file>

<file path=xl/worksheets/sheet6.xml><?xml version="1.0" encoding="utf-8"?>
<worksheet xmlns="http://schemas.openxmlformats.org/spreadsheetml/2006/main">
  <sheetPr>
    <tabColor rgb="00EB6834"/>
    <outlinePr summaryBelow="1" summaryRight="1"/>
    <pageSetUpPr fitToPage="1"/>
  </sheetPr>
  <dimension ref="A1:V59"/>
  <sheetViews>
    <sheetView showGridLines="0" zoomScale="100" workbookViewId="0">
      <pane xSplit="2" ySplit="6" topLeftCell="C7" activePane="bottomRight" state="frozen"/>
      <selection pane="topRight"/>
      <selection pane="bottomLeft"/>
      <selection pane="bottomRight" activeCell="A1" sqref="A1"/>
    </sheetView>
  </sheetViews>
  <sheetFormatPr baseColWidth="8" defaultRowHeight="15"/>
  <cols>
    <col width="2" customWidth="1" min="1" max="1"/>
    <col width="30" customWidth="1" min="2" max="2"/>
    <col width="24" customWidth="1" min="3" max="3"/>
    <col width="26" customWidth="1" min="4" max="4"/>
    <col width="22" customWidth="1" min="5" max="5"/>
    <col width="11" customWidth="1" min="6" max="6"/>
    <col width="8" customWidth="1" min="7" max="7"/>
    <col width="12" customWidth="1" min="8" max="8"/>
    <col width="13" customWidth="1" min="9" max="9"/>
    <col width="18" customWidth="1" min="10" max="10"/>
    <col width="8" customWidth="1" min="11" max="11"/>
    <col width="20" customWidth="1" min="12" max="12"/>
    <col width="13" customWidth="1" min="13" max="13"/>
    <col width="14" customWidth="1" min="14" max="14"/>
    <col width="14" customWidth="1" min="15" max="15"/>
    <col width="13" customWidth="1" min="16" max="16"/>
    <col width="10" customWidth="1" min="17" max="17"/>
    <col width="14" customWidth="1" min="18" max="18"/>
    <col width="26" customWidth="1" min="19" max="19"/>
    <col hidden="1" width="6" customWidth="1" min="20" max="20"/>
    <col hidden="1" width="6" customWidth="1" min="21" max="21"/>
    <col width="2" customWidth="1" min="22" max="22"/>
  </cols>
  <sheetData>
    <row r="1" ht="38" customHeight="1">
      <c r="A1" s="1" t="n"/>
      <c r="B1" s="2" t="inlineStr">
        <is>
          <t>Suscripciones y gastos recurrentes</t>
        </is>
      </c>
      <c r="C1" s="1" t="n"/>
      <c r="D1" s="1" t="n"/>
      <c r="E1" s="1" t="n"/>
      <c r="F1" s="1" t="n"/>
      <c r="G1" s="1" t="n"/>
      <c r="H1" s="1" t="n"/>
      <c r="I1" s="1" t="n"/>
      <c r="J1" s="1" t="n"/>
      <c r="K1" s="1" t="n"/>
      <c r="L1" s="1" t="n"/>
      <c r="M1" s="1" t="n"/>
      <c r="N1" s="1" t="n"/>
      <c r="O1" s="1" t="n"/>
      <c r="P1" s="3" t="inlineStr">
        <is>
          <t>Registro informativo · no suma en los reportes</t>
        </is>
      </c>
    </row>
    <row r="2" ht="22" customHeight="1">
      <c r="A2" s="4" t="n"/>
      <c r="B2" s="6" t="inlineStr">
        <is>
          <t>Inicio</t>
        </is>
      </c>
      <c r="C2" s="6" t="inlineStr">
        <is>
          <t>Registro</t>
        </is>
      </c>
      <c r="D2" s="6" t="inlineStr">
        <is>
          <t>Dashboard</t>
        </is>
      </c>
      <c r="E2" s="6" t="inlineStr">
        <is>
          <t>Alimentación</t>
        </is>
      </c>
      <c r="F2" s="6" t="inlineStr">
        <is>
          <t>Hormiga</t>
        </is>
      </c>
      <c r="G2" s="5" t="inlineStr">
        <is>
          <t>● Recurrentes</t>
        </is>
      </c>
      <c r="H2" s="4" t="n"/>
      <c r="I2" s="6" t="inlineStr">
        <is>
          <t>Presupuestos</t>
        </is>
      </c>
      <c r="J2" s="6" t="inlineStr">
        <is>
          <t>Cuentas</t>
        </is>
      </c>
      <c r="K2" s="6" t="inlineStr">
        <is>
          <t>Categorías</t>
        </is>
      </c>
      <c r="L2" s="4" t="n"/>
      <c r="M2" s="6" t="inlineStr">
        <is>
          <t>Config</t>
        </is>
      </c>
      <c r="N2" s="4" t="n"/>
      <c r="O2" s="4" t="n"/>
      <c r="P2" s="4" t="n"/>
      <c r="Q2" s="4" t="n"/>
      <c r="R2" s="4" t="n"/>
      <c r="S2" s="4" t="n"/>
      <c r="T2" s="4" t="n"/>
      <c r="U2" s="4" t="n"/>
      <c r="V2" s="4" t="n"/>
    </row>
    <row r="3" ht="22" customHeight="1">
      <c r="B3" s="181" t="inlineStr">
        <is>
          <t>Este registro es una AGENDA: estima cuánto pagas en suscripciones y cuándo vence el próximo cobro. NO se suma en los reportes (evita duplicar). Cada cobro real se registra en «Registro» como Gasto. Usa el mismo nombre en «Comercio» para que la columna «Último cargo registrado» confirme que ya lo anotaste.</t>
        </is>
      </c>
    </row>
    <row r="4" ht="22" customHeight="1"/>
    <row r="5">
      <c r="B5" s="43" t="inlineStr">
        <is>
          <t>DATOS (editable)</t>
        </is>
      </c>
      <c r="M5" s="44" t="inlineStr">
        <is>
          <t>CÁLCULO AUTOMÁTICO</t>
        </is>
      </c>
    </row>
    <row r="6" ht="30" customHeight="1">
      <c r="B6" s="182" t="inlineStr">
        <is>
          <t>Servicio</t>
        </is>
      </c>
      <c r="C6" s="182" t="inlineStr">
        <is>
          <t>Categoría</t>
        </is>
      </c>
      <c r="D6" s="182" t="inlineStr">
        <is>
          <t>Subcategoría</t>
        </is>
      </c>
      <c r="E6" s="182" t="inlineStr">
        <is>
          <t>Comercio (igual que en Registro)</t>
        </is>
      </c>
      <c r="F6" s="182" t="inlineStr">
        <is>
          <t>Monto</t>
        </is>
      </c>
      <c r="G6" s="182" t="inlineStr">
        <is>
          <t>Moneda</t>
        </is>
      </c>
      <c r="H6" s="182" t="inlineStr">
        <is>
          <t>Frecuencia</t>
        </is>
      </c>
      <c r="I6" s="182" t="inlineStr">
        <is>
          <t>Último cobro / inicio</t>
        </is>
      </c>
      <c r="J6" s="182" t="inlineStr">
        <is>
          <t>Cuenta</t>
        </is>
      </c>
      <c r="K6" s="182" t="inlineStr">
        <is>
          <t>¿Activa?</t>
        </is>
      </c>
      <c r="L6" s="182" t="inlineStr">
        <is>
          <t>Notas</t>
        </is>
      </c>
      <c r="M6" s="183" t="inlineStr">
        <is>
          <t>Monto DOP</t>
        </is>
      </c>
      <c r="N6" s="183" t="inlineStr">
        <is>
          <t>Equivalente mensual</t>
        </is>
      </c>
      <c r="O6" s="183" t="inlineStr">
        <is>
          <t>Equivalente anual</t>
        </is>
      </c>
      <c r="P6" s="183" t="inlineStr">
        <is>
          <t>Próximo cobro</t>
        </is>
      </c>
      <c r="Q6" s="183" t="inlineStr">
        <is>
          <t>Días</t>
        </is>
      </c>
      <c r="R6" s="183" t="inlineStr">
        <is>
          <t>Último cargo registrado</t>
        </is>
      </c>
      <c r="S6" s="183" t="inlineStr">
        <is>
          <t>Estado</t>
        </is>
      </c>
      <c r="T6" s="183" t="inlineStr">
        <is>
          <t>m</t>
        </is>
      </c>
      <c r="U6" s="183" t="inlineStr">
        <is>
          <t>d</t>
        </is>
      </c>
    </row>
    <row r="7">
      <c r="B7" s="184" t="inlineStr">
        <is>
          <t>DEMO · Herramienta de IA</t>
        </is>
      </c>
      <c r="C7" s="185" t="inlineStr">
        <is>
          <t>Tecnología y suscripciones</t>
        </is>
      </c>
      <c r="D7" s="185" t="inlineStr">
        <is>
          <t>Herramientas de inteligencia artificial</t>
        </is>
      </c>
      <c r="E7" s="185" t="inlineStr">
        <is>
          <t>Herramienta IA</t>
        </is>
      </c>
      <c r="F7" s="186" t="n">
        <v>20</v>
      </c>
      <c r="G7" s="187" t="inlineStr">
        <is>
          <t>USD</t>
        </is>
      </c>
      <c r="H7" s="187" t="inlineStr">
        <is>
          <t>Mensual</t>
        </is>
      </c>
      <c r="I7" s="188" t="n">
        <v>46298</v>
      </c>
      <c r="J7" s="185" t="inlineStr">
        <is>
          <t>Tarjeta de crédito</t>
        </is>
      </c>
      <c r="K7" s="187" t="inlineStr">
        <is>
          <t>Sí</t>
        </is>
      </c>
      <c r="L7" s="189" t="inlineStr">
        <is>
          <t>DEMOSTRACIÓN</t>
        </is>
      </c>
      <c r="M7" s="190">
        <f>IF(OR(B7="",F7=""),"",F7*IF(G7="USD",TasaUSD,1))</f>
        <v/>
      </c>
      <c r="N7" s="191">
        <f>IF(OR(M7="",K7="No"),"",M7*IFERROR(INDEX(frecFactor,MATCH(H7,frecNombre,0)),1))</f>
        <v/>
      </c>
      <c r="O7" s="190">
        <f>IF(N7="","",N7*12)</f>
        <v/>
      </c>
      <c r="P7" s="192">
        <f>IF(OR(B7="",NOT(ISNUMBER(I7)),K7="No"),"",IF(I7&gt;TODAY(),I7,IF(T7&gt;0,IF(EDATE(I7,T7*MAX(1,CEILING(DATEDIF(I7,TODAY(),"m")/T7,1)))&lt;TODAY(),EDATE(I7,T7*(MAX(1,CEILING(DATEDIF(I7,TODAY(),"m")/T7,1))+1)),EDATE(I7,T7*MAX(1,CEILING(DATEDIF(I7,TODAY(),"m")/T7,1)))),I7+MAX(1,U7)*MAX(1,CEILING((TODAY()-I7)/MAX(1,U7),1)))))</f>
        <v/>
      </c>
      <c r="Q7" s="193">
        <f>IF(P7="","",P7-TODAY())</f>
        <v/>
      </c>
      <c r="R7" s="192">
        <f>IF(E7="","",IF(COUNTIFS(rCom,E7,rTipoE,"Gasto")=0,"Sin registros",_xlfn.MAXIFS(rFecha,rCom,E7,rTipoE,"Gasto")))</f>
        <v/>
      </c>
      <c r="S7" s="194">
        <f>IF(B7="","",IF(K7="No","Inactiva",IF(P7="","Falta fecha",IF(Q7&lt;=0,"⚠ Vence hoy",IF(Q7&lt;=7,"⚠ Vence en "&amp;Q7&amp;" días","✓ Próximo en "&amp;Q7&amp;" días")))))</f>
        <v/>
      </c>
      <c r="T7" s="195">
        <f>IFERROR(INDEX(frecMeses,MATCH(H7,frecNombre,0)),1)</f>
        <v/>
      </c>
      <c r="U7" s="195">
        <f>IFERROR(INDEX(frecDias,MATCH(H7,frecNombre,0)),0)</f>
        <v/>
      </c>
    </row>
    <row r="8">
      <c r="B8" s="184" t="inlineStr">
        <is>
          <t>DEMO · Streaming de video</t>
        </is>
      </c>
      <c r="C8" s="185" t="inlineStr">
        <is>
          <t>Tecnología y suscripciones</t>
        </is>
      </c>
      <c r="D8" s="185" t="inlineStr">
        <is>
          <t>Entretenimiento</t>
        </is>
      </c>
      <c r="E8" s="185" t="inlineStr">
        <is>
          <t>Streaming</t>
        </is>
      </c>
      <c r="F8" s="186" t="n">
        <v>10.99</v>
      </c>
      <c r="G8" s="187" t="inlineStr">
        <is>
          <t>USD</t>
        </is>
      </c>
      <c r="H8" s="187" t="inlineStr">
        <is>
          <t>Mensual</t>
        </is>
      </c>
      <c r="I8" s="188" t="n">
        <v>46283</v>
      </c>
      <c r="J8" s="185" t="inlineStr">
        <is>
          <t>Tarjeta de crédito</t>
        </is>
      </c>
      <c r="K8" s="187" t="inlineStr">
        <is>
          <t>Sí</t>
        </is>
      </c>
      <c r="L8" s="189" t="inlineStr">
        <is>
          <t>DEMOSTRACIÓN</t>
        </is>
      </c>
      <c r="M8" s="190">
        <f>IF(OR(B8="",F8=""),"",F8*IF(G8="USD",TasaUSD,1))</f>
        <v/>
      </c>
      <c r="N8" s="191">
        <f>IF(OR(M8="",K8="No"),"",M8*IFERROR(INDEX(frecFactor,MATCH(H8,frecNombre,0)),1))</f>
        <v/>
      </c>
      <c r="O8" s="190">
        <f>IF(N8="","",N8*12)</f>
        <v/>
      </c>
      <c r="P8" s="192">
        <f>IF(OR(B8="",NOT(ISNUMBER(I8)),K8="No"),"",IF(I8&gt;TODAY(),I8,IF(T8&gt;0,IF(EDATE(I8,T8*MAX(1,CEILING(DATEDIF(I8,TODAY(),"m")/T8,1)))&lt;TODAY(),EDATE(I8,T8*(MAX(1,CEILING(DATEDIF(I8,TODAY(),"m")/T8,1))+1)),EDATE(I8,T8*MAX(1,CEILING(DATEDIF(I8,TODAY(),"m")/T8,1)))),I8+MAX(1,U8)*MAX(1,CEILING((TODAY()-I8)/MAX(1,U8),1)))))</f>
        <v/>
      </c>
      <c r="Q8" s="193">
        <f>IF(P8="","",P8-TODAY())</f>
        <v/>
      </c>
      <c r="R8" s="192">
        <f>IF(E8="","",IF(COUNTIFS(rCom,E8,rTipoE,"Gasto")=0,"Sin registros",_xlfn.MAXIFS(rFecha,rCom,E8,rTipoE,"Gasto")))</f>
        <v/>
      </c>
      <c r="S8" s="194">
        <f>IF(B8="","",IF(K8="No","Inactiva",IF(P8="","Falta fecha",IF(Q8&lt;=0,"⚠ Vence hoy",IF(Q8&lt;=7,"⚠ Vence en "&amp;Q8&amp;" días","✓ Próximo en "&amp;Q8&amp;" días")))))</f>
        <v/>
      </c>
      <c r="T8" s="195">
        <f>IFERROR(INDEX(frecMeses,MATCH(H8,frecNombre,0)),1)</f>
        <v/>
      </c>
      <c r="U8" s="195">
        <f>IFERROR(INDEX(frecDias,MATCH(H8,frecNombre,0)),0)</f>
        <v/>
      </c>
    </row>
    <row r="9">
      <c r="B9" s="184" t="inlineStr">
        <is>
          <t>DEMO · Internet del hogar</t>
        </is>
      </c>
      <c r="C9" s="185" t="inlineStr">
        <is>
          <t>Hogar y servicios</t>
        </is>
      </c>
      <c r="D9" s="185" t="inlineStr">
        <is>
          <t>Internet</t>
        </is>
      </c>
      <c r="E9" s="185" t="inlineStr">
        <is>
          <t>Proveedor de internet</t>
        </is>
      </c>
      <c r="F9" s="186" t="n">
        <v>2050</v>
      </c>
      <c r="G9" s="187" t="inlineStr">
        <is>
          <t>DOP</t>
        </is>
      </c>
      <c r="H9" s="187" t="inlineStr">
        <is>
          <t>Mensual</t>
        </is>
      </c>
      <c r="I9" s="188" t="n">
        <v>46300</v>
      </c>
      <c r="J9" s="185" t="inlineStr">
        <is>
          <t>Banco principal</t>
        </is>
      </c>
      <c r="K9" s="187" t="inlineStr">
        <is>
          <t>Sí</t>
        </is>
      </c>
      <c r="L9" s="189" t="inlineStr">
        <is>
          <t>DEMOSTRACIÓN</t>
        </is>
      </c>
      <c r="M9" s="190">
        <f>IF(OR(B9="",F9=""),"",F9*IF(G9="USD",TasaUSD,1))</f>
        <v/>
      </c>
      <c r="N9" s="191">
        <f>IF(OR(M9="",K9="No"),"",M9*IFERROR(INDEX(frecFactor,MATCH(H9,frecNombre,0)),1))</f>
        <v/>
      </c>
      <c r="O9" s="190">
        <f>IF(N9="","",N9*12)</f>
        <v/>
      </c>
      <c r="P9" s="192">
        <f>IF(OR(B9="",NOT(ISNUMBER(I9)),K9="No"),"",IF(I9&gt;TODAY(),I9,IF(T9&gt;0,IF(EDATE(I9,T9*MAX(1,CEILING(DATEDIF(I9,TODAY(),"m")/T9,1)))&lt;TODAY(),EDATE(I9,T9*(MAX(1,CEILING(DATEDIF(I9,TODAY(),"m")/T9,1))+1)),EDATE(I9,T9*MAX(1,CEILING(DATEDIF(I9,TODAY(),"m")/T9,1)))),I9+MAX(1,U9)*MAX(1,CEILING((TODAY()-I9)/MAX(1,U9),1)))))</f>
        <v/>
      </c>
      <c r="Q9" s="193">
        <f>IF(P9="","",P9-TODAY())</f>
        <v/>
      </c>
      <c r="R9" s="192">
        <f>IF(E9="","",IF(COUNTIFS(rCom,E9,rTipoE,"Gasto")=0,"Sin registros",_xlfn.MAXIFS(rFecha,rCom,E9,rTipoE,"Gasto")))</f>
        <v/>
      </c>
      <c r="S9" s="194">
        <f>IF(B9="","",IF(K9="No","Inactiva",IF(P9="","Falta fecha",IF(Q9&lt;=0,"⚠ Vence hoy",IF(Q9&lt;=7,"⚠ Vence en "&amp;Q9&amp;" días","✓ Próximo en "&amp;Q9&amp;" días")))))</f>
        <v/>
      </c>
      <c r="T9" s="195">
        <f>IFERROR(INDEX(frecMeses,MATCH(H9,frecNombre,0)),1)</f>
        <v/>
      </c>
      <c r="U9" s="195">
        <f>IFERROR(INDEX(frecDias,MATCH(H9,frecNombre,0)),0)</f>
        <v/>
      </c>
    </row>
    <row r="10">
      <c r="B10" s="184" t="inlineStr">
        <is>
          <t>DEMO · Licencia de software</t>
        </is>
      </c>
      <c r="C10" s="185" t="inlineStr">
        <is>
          <t>Tecnología y suscripciones</t>
        </is>
      </c>
      <c r="D10" s="185" t="inlineStr">
        <is>
          <t>Software</t>
        </is>
      </c>
      <c r="E10" s="185" t="inlineStr">
        <is>
          <t>Software anual</t>
        </is>
      </c>
      <c r="F10" s="186" t="n">
        <v>99</v>
      </c>
      <c r="G10" s="187" t="inlineStr">
        <is>
          <t>USD</t>
        </is>
      </c>
      <c r="H10" s="187" t="inlineStr">
        <is>
          <t>Anual</t>
        </is>
      </c>
      <c r="I10" s="188" t="n">
        <v>46274</v>
      </c>
      <c r="J10" s="185" t="inlineStr">
        <is>
          <t>Tarjeta de crédito</t>
        </is>
      </c>
      <c r="K10" s="187" t="inlineStr">
        <is>
          <t>Sí</t>
        </is>
      </c>
      <c r="L10" s="189" t="inlineStr">
        <is>
          <t>DEMOSTRACIÓN</t>
        </is>
      </c>
      <c r="M10" s="190">
        <f>IF(OR(B10="",F10=""),"",F10*IF(G10="USD",TasaUSD,1))</f>
        <v/>
      </c>
      <c r="N10" s="191">
        <f>IF(OR(M10="",K10="No"),"",M10*IFERROR(INDEX(frecFactor,MATCH(H10,frecNombre,0)),1))</f>
        <v/>
      </c>
      <c r="O10" s="190">
        <f>IF(N10="","",N10*12)</f>
        <v/>
      </c>
      <c r="P10" s="192">
        <f>IF(OR(B10="",NOT(ISNUMBER(I10)),K10="No"),"",IF(I10&gt;TODAY(),I10,IF(T10&gt;0,IF(EDATE(I10,T10*MAX(1,CEILING(DATEDIF(I10,TODAY(),"m")/T10,1)))&lt;TODAY(),EDATE(I10,T10*(MAX(1,CEILING(DATEDIF(I10,TODAY(),"m")/T10,1))+1)),EDATE(I10,T10*MAX(1,CEILING(DATEDIF(I10,TODAY(),"m")/T10,1)))),I10+MAX(1,U10)*MAX(1,CEILING((TODAY()-I10)/MAX(1,U10),1)))))</f>
        <v/>
      </c>
      <c r="Q10" s="193">
        <f>IF(P10="","",P10-TODAY())</f>
        <v/>
      </c>
      <c r="R10" s="192">
        <f>IF(E10="","",IF(COUNTIFS(rCom,E10,rTipoE,"Gasto")=0,"Sin registros",_xlfn.MAXIFS(rFecha,rCom,E10,rTipoE,"Gasto")))</f>
        <v/>
      </c>
      <c r="S10" s="194">
        <f>IF(B10="","",IF(K10="No","Inactiva",IF(P10="","Falta fecha",IF(Q10&lt;=0,"⚠ Vence hoy",IF(Q10&lt;=7,"⚠ Vence en "&amp;Q10&amp;" días","✓ Próximo en "&amp;Q10&amp;" días")))))</f>
        <v/>
      </c>
      <c r="T10" s="195">
        <f>IFERROR(INDEX(frecMeses,MATCH(H10,frecNombre,0)),1)</f>
        <v/>
      </c>
      <c r="U10" s="195">
        <f>IFERROR(INDEX(frecDias,MATCH(H10,frecNombre,0)),0)</f>
        <v/>
      </c>
    </row>
    <row r="11">
      <c r="B11" s="184" t="inlineStr">
        <is>
          <t>DEMO · Gimnasio</t>
        </is>
      </c>
      <c r="C11" s="185" t="inlineStr">
        <is>
          <t>Salud</t>
        </is>
      </c>
      <c r="D11" s="185" t="inlineStr">
        <is>
          <t>Gimnasio y bienestar</t>
        </is>
      </c>
      <c r="E11" s="185" t="inlineStr">
        <is>
          <t>Gimnasio</t>
        </is>
      </c>
      <c r="F11" s="186" t="n">
        <v>2500</v>
      </c>
      <c r="G11" s="187" t="inlineStr">
        <is>
          <t>DOP</t>
        </is>
      </c>
      <c r="H11" s="187" t="inlineStr">
        <is>
          <t>Mensual</t>
        </is>
      </c>
      <c r="I11" s="188" t="n">
        <v>46303</v>
      </c>
      <c r="J11" s="185" t="inlineStr">
        <is>
          <t>Tarjeta de crédito</t>
        </is>
      </c>
      <c r="K11" s="187" t="inlineStr">
        <is>
          <t>Sí</t>
        </is>
      </c>
      <c r="L11" s="189" t="inlineStr">
        <is>
          <t>DEMOSTRACIÓN</t>
        </is>
      </c>
      <c r="M11" s="190">
        <f>IF(OR(B11="",F11=""),"",F11*IF(G11="USD",TasaUSD,1))</f>
        <v/>
      </c>
      <c r="N11" s="191">
        <f>IF(OR(M11="",K11="No"),"",M11*IFERROR(INDEX(frecFactor,MATCH(H11,frecNombre,0)),1))</f>
        <v/>
      </c>
      <c r="O11" s="190">
        <f>IF(N11="","",N11*12)</f>
        <v/>
      </c>
      <c r="P11" s="192">
        <f>IF(OR(B11="",NOT(ISNUMBER(I11)),K11="No"),"",IF(I11&gt;TODAY(),I11,IF(T11&gt;0,IF(EDATE(I11,T11*MAX(1,CEILING(DATEDIF(I11,TODAY(),"m")/T11,1)))&lt;TODAY(),EDATE(I11,T11*(MAX(1,CEILING(DATEDIF(I11,TODAY(),"m")/T11,1))+1)),EDATE(I11,T11*MAX(1,CEILING(DATEDIF(I11,TODAY(),"m")/T11,1)))),I11+MAX(1,U11)*MAX(1,CEILING((TODAY()-I11)/MAX(1,U11),1)))))</f>
        <v/>
      </c>
      <c r="Q11" s="193">
        <f>IF(P11="","",P11-TODAY())</f>
        <v/>
      </c>
      <c r="R11" s="192">
        <f>IF(E11="","",IF(COUNTIFS(rCom,E11,rTipoE,"Gasto")=0,"Sin registros",_xlfn.MAXIFS(rFecha,rCom,E11,rTipoE,"Gasto")))</f>
        <v/>
      </c>
      <c r="S11" s="194">
        <f>IF(B11="","",IF(K11="No","Inactiva",IF(P11="","Falta fecha",IF(Q11&lt;=0,"⚠ Vence hoy",IF(Q11&lt;=7,"⚠ Vence en "&amp;Q11&amp;" días","✓ Próximo en "&amp;Q11&amp;" días")))))</f>
        <v/>
      </c>
      <c r="T11" s="195">
        <f>IFERROR(INDEX(frecMeses,MATCH(H11,frecNombre,0)),1)</f>
        <v/>
      </c>
      <c r="U11" s="195">
        <f>IFERROR(INDEX(frecDias,MATCH(H11,frecNombre,0)),0)</f>
        <v/>
      </c>
    </row>
    <row r="12">
      <c r="B12" s="184" t="n"/>
      <c r="C12" s="185" t="n"/>
      <c r="D12" s="185" t="n"/>
      <c r="E12" s="185" t="n"/>
      <c r="F12" s="186" t="n"/>
      <c r="G12" s="187" t="n"/>
      <c r="H12" s="187" t="n"/>
      <c r="I12" s="188" t="n"/>
      <c r="J12" s="185" t="n"/>
      <c r="K12" s="187" t="n"/>
      <c r="L12" s="189" t="n"/>
      <c r="M12" s="190">
        <f>IF(OR(B12="",F12=""),"",F12*IF(G12="USD",TasaUSD,1))</f>
        <v/>
      </c>
      <c r="N12" s="191">
        <f>IF(OR(M12="",K12="No"),"",M12*IFERROR(INDEX(frecFactor,MATCH(H12,frecNombre,0)),1))</f>
        <v/>
      </c>
      <c r="O12" s="190">
        <f>IF(N12="","",N12*12)</f>
        <v/>
      </c>
      <c r="P12" s="192">
        <f>IF(OR(B12="",NOT(ISNUMBER(I12)),K12="No"),"",IF(I12&gt;TODAY(),I12,IF(T12&gt;0,IF(EDATE(I12,T12*MAX(1,CEILING(DATEDIF(I12,TODAY(),"m")/T12,1)))&lt;TODAY(),EDATE(I12,T12*(MAX(1,CEILING(DATEDIF(I12,TODAY(),"m")/T12,1))+1)),EDATE(I12,T12*MAX(1,CEILING(DATEDIF(I12,TODAY(),"m")/T12,1)))),I12+MAX(1,U12)*MAX(1,CEILING((TODAY()-I12)/MAX(1,U12),1)))))</f>
        <v/>
      </c>
      <c r="Q12" s="193">
        <f>IF(P12="","",P12-TODAY())</f>
        <v/>
      </c>
      <c r="R12" s="192">
        <f>IF(E12="","",IF(COUNTIFS(rCom,E12,rTipoE,"Gasto")=0,"Sin registros",_xlfn.MAXIFS(rFecha,rCom,E12,rTipoE,"Gasto")))</f>
        <v/>
      </c>
      <c r="S12" s="194">
        <f>IF(B12="","",IF(K12="No","Inactiva",IF(P12="","Falta fecha",IF(Q12&lt;=0,"⚠ Vence hoy",IF(Q12&lt;=7,"⚠ Vence en "&amp;Q12&amp;" días","✓ Próximo en "&amp;Q12&amp;" días")))))</f>
        <v/>
      </c>
      <c r="T12" s="195">
        <f>IFERROR(INDEX(frecMeses,MATCH(H12,frecNombre,0)),1)</f>
        <v/>
      </c>
      <c r="U12" s="195">
        <f>IFERROR(INDEX(frecDias,MATCH(H12,frecNombre,0)),0)</f>
        <v/>
      </c>
    </row>
    <row r="13">
      <c r="B13" s="184" t="n"/>
      <c r="C13" s="185" t="n"/>
      <c r="D13" s="185" t="n"/>
      <c r="E13" s="185" t="n"/>
      <c r="F13" s="186" t="n"/>
      <c r="G13" s="187" t="n"/>
      <c r="H13" s="187" t="n"/>
      <c r="I13" s="188" t="n"/>
      <c r="J13" s="185" t="n"/>
      <c r="K13" s="187" t="n"/>
      <c r="L13" s="189" t="n"/>
      <c r="M13" s="190">
        <f>IF(OR(B13="",F13=""),"",F13*IF(G13="USD",TasaUSD,1))</f>
        <v/>
      </c>
      <c r="N13" s="191">
        <f>IF(OR(M13="",K13="No"),"",M13*IFERROR(INDEX(frecFactor,MATCH(H13,frecNombre,0)),1))</f>
        <v/>
      </c>
      <c r="O13" s="190">
        <f>IF(N13="","",N13*12)</f>
        <v/>
      </c>
      <c r="P13" s="192">
        <f>IF(OR(B13="",NOT(ISNUMBER(I13)),K13="No"),"",IF(I13&gt;TODAY(),I13,IF(T13&gt;0,IF(EDATE(I13,T13*MAX(1,CEILING(DATEDIF(I13,TODAY(),"m")/T13,1)))&lt;TODAY(),EDATE(I13,T13*(MAX(1,CEILING(DATEDIF(I13,TODAY(),"m")/T13,1))+1)),EDATE(I13,T13*MAX(1,CEILING(DATEDIF(I13,TODAY(),"m")/T13,1)))),I13+MAX(1,U13)*MAX(1,CEILING((TODAY()-I13)/MAX(1,U13),1)))))</f>
        <v/>
      </c>
      <c r="Q13" s="193">
        <f>IF(P13="","",P13-TODAY())</f>
        <v/>
      </c>
      <c r="R13" s="192">
        <f>IF(E13="","",IF(COUNTIFS(rCom,E13,rTipoE,"Gasto")=0,"Sin registros",_xlfn.MAXIFS(rFecha,rCom,E13,rTipoE,"Gasto")))</f>
        <v/>
      </c>
      <c r="S13" s="194">
        <f>IF(B13="","",IF(K13="No","Inactiva",IF(P13="","Falta fecha",IF(Q13&lt;=0,"⚠ Vence hoy",IF(Q13&lt;=7,"⚠ Vence en "&amp;Q13&amp;" días","✓ Próximo en "&amp;Q13&amp;" días")))))</f>
        <v/>
      </c>
      <c r="T13" s="195">
        <f>IFERROR(INDEX(frecMeses,MATCH(H13,frecNombre,0)),1)</f>
        <v/>
      </c>
      <c r="U13" s="195">
        <f>IFERROR(INDEX(frecDias,MATCH(H13,frecNombre,0)),0)</f>
        <v/>
      </c>
    </row>
    <row r="14">
      <c r="B14" s="184" t="n"/>
      <c r="C14" s="185" t="n"/>
      <c r="D14" s="185" t="n"/>
      <c r="E14" s="185" t="n"/>
      <c r="F14" s="186" t="n"/>
      <c r="G14" s="187" t="n"/>
      <c r="H14" s="187" t="n"/>
      <c r="I14" s="188" t="n"/>
      <c r="J14" s="185" t="n"/>
      <c r="K14" s="187" t="n"/>
      <c r="L14" s="189" t="n"/>
      <c r="M14" s="190">
        <f>IF(OR(B14="",F14=""),"",F14*IF(G14="USD",TasaUSD,1))</f>
        <v/>
      </c>
      <c r="N14" s="191">
        <f>IF(OR(M14="",K14="No"),"",M14*IFERROR(INDEX(frecFactor,MATCH(H14,frecNombre,0)),1))</f>
        <v/>
      </c>
      <c r="O14" s="190">
        <f>IF(N14="","",N14*12)</f>
        <v/>
      </c>
      <c r="P14" s="192">
        <f>IF(OR(B14="",NOT(ISNUMBER(I14)),K14="No"),"",IF(I14&gt;TODAY(),I14,IF(T14&gt;0,IF(EDATE(I14,T14*MAX(1,CEILING(DATEDIF(I14,TODAY(),"m")/T14,1)))&lt;TODAY(),EDATE(I14,T14*(MAX(1,CEILING(DATEDIF(I14,TODAY(),"m")/T14,1))+1)),EDATE(I14,T14*MAX(1,CEILING(DATEDIF(I14,TODAY(),"m")/T14,1)))),I14+MAX(1,U14)*MAX(1,CEILING((TODAY()-I14)/MAX(1,U14),1)))))</f>
        <v/>
      </c>
      <c r="Q14" s="193">
        <f>IF(P14="","",P14-TODAY())</f>
        <v/>
      </c>
      <c r="R14" s="192">
        <f>IF(E14="","",IF(COUNTIFS(rCom,E14,rTipoE,"Gasto")=0,"Sin registros",_xlfn.MAXIFS(rFecha,rCom,E14,rTipoE,"Gasto")))</f>
        <v/>
      </c>
      <c r="S14" s="194">
        <f>IF(B14="","",IF(K14="No","Inactiva",IF(P14="","Falta fecha",IF(Q14&lt;=0,"⚠ Vence hoy",IF(Q14&lt;=7,"⚠ Vence en "&amp;Q14&amp;" días","✓ Próximo en "&amp;Q14&amp;" días")))))</f>
        <v/>
      </c>
      <c r="T14" s="195">
        <f>IFERROR(INDEX(frecMeses,MATCH(H14,frecNombre,0)),1)</f>
        <v/>
      </c>
      <c r="U14" s="195">
        <f>IFERROR(INDEX(frecDias,MATCH(H14,frecNombre,0)),0)</f>
        <v/>
      </c>
    </row>
    <row r="15">
      <c r="B15" s="184" t="n"/>
      <c r="C15" s="185" t="n"/>
      <c r="D15" s="185" t="n"/>
      <c r="E15" s="185" t="n"/>
      <c r="F15" s="186" t="n"/>
      <c r="G15" s="187" t="n"/>
      <c r="H15" s="187" t="n"/>
      <c r="I15" s="188" t="n"/>
      <c r="J15" s="185" t="n"/>
      <c r="K15" s="187" t="n"/>
      <c r="L15" s="189" t="n"/>
      <c r="M15" s="190">
        <f>IF(OR(B15="",F15=""),"",F15*IF(G15="USD",TasaUSD,1))</f>
        <v/>
      </c>
      <c r="N15" s="191">
        <f>IF(OR(M15="",K15="No"),"",M15*IFERROR(INDEX(frecFactor,MATCH(H15,frecNombre,0)),1))</f>
        <v/>
      </c>
      <c r="O15" s="190">
        <f>IF(N15="","",N15*12)</f>
        <v/>
      </c>
      <c r="P15" s="192">
        <f>IF(OR(B15="",NOT(ISNUMBER(I15)),K15="No"),"",IF(I15&gt;TODAY(),I15,IF(T15&gt;0,IF(EDATE(I15,T15*MAX(1,CEILING(DATEDIF(I15,TODAY(),"m")/T15,1)))&lt;TODAY(),EDATE(I15,T15*(MAX(1,CEILING(DATEDIF(I15,TODAY(),"m")/T15,1))+1)),EDATE(I15,T15*MAX(1,CEILING(DATEDIF(I15,TODAY(),"m")/T15,1)))),I15+MAX(1,U15)*MAX(1,CEILING((TODAY()-I15)/MAX(1,U15),1)))))</f>
        <v/>
      </c>
      <c r="Q15" s="193">
        <f>IF(P15="","",P15-TODAY())</f>
        <v/>
      </c>
      <c r="R15" s="192">
        <f>IF(E15="","",IF(COUNTIFS(rCom,E15,rTipoE,"Gasto")=0,"Sin registros",_xlfn.MAXIFS(rFecha,rCom,E15,rTipoE,"Gasto")))</f>
        <v/>
      </c>
      <c r="S15" s="194">
        <f>IF(B15="","",IF(K15="No","Inactiva",IF(P15="","Falta fecha",IF(Q15&lt;=0,"⚠ Vence hoy",IF(Q15&lt;=7,"⚠ Vence en "&amp;Q15&amp;" días","✓ Próximo en "&amp;Q15&amp;" días")))))</f>
        <v/>
      </c>
      <c r="T15" s="195">
        <f>IFERROR(INDEX(frecMeses,MATCH(H15,frecNombre,0)),1)</f>
        <v/>
      </c>
      <c r="U15" s="195">
        <f>IFERROR(INDEX(frecDias,MATCH(H15,frecNombre,0)),0)</f>
        <v/>
      </c>
    </row>
    <row r="16">
      <c r="B16" s="184" t="n"/>
      <c r="C16" s="185" t="n"/>
      <c r="D16" s="185" t="n"/>
      <c r="E16" s="185" t="n"/>
      <c r="F16" s="186" t="n"/>
      <c r="G16" s="187" t="n"/>
      <c r="H16" s="187" t="n"/>
      <c r="I16" s="188" t="n"/>
      <c r="J16" s="185" t="n"/>
      <c r="K16" s="187" t="n"/>
      <c r="L16" s="189" t="n"/>
      <c r="M16" s="190">
        <f>IF(OR(B16="",F16=""),"",F16*IF(G16="USD",TasaUSD,1))</f>
        <v/>
      </c>
      <c r="N16" s="191">
        <f>IF(OR(M16="",K16="No"),"",M16*IFERROR(INDEX(frecFactor,MATCH(H16,frecNombre,0)),1))</f>
        <v/>
      </c>
      <c r="O16" s="190">
        <f>IF(N16="","",N16*12)</f>
        <v/>
      </c>
      <c r="P16" s="192">
        <f>IF(OR(B16="",NOT(ISNUMBER(I16)),K16="No"),"",IF(I16&gt;TODAY(),I16,IF(T16&gt;0,IF(EDATE(I16,T16*MAX(1,CEILING(DATEDIF(I16,TODAY(),"m")/T16,1)))&lt;TODAY(),EDATE(I16,T16*(MAX(1,CEILING(DATEDIF(I16,TODAY(),"m")/T16,1))+1)),EDATE(I16,T16*MAX(1,CEILING(DATEDIF(I16,TODAY(),"m")/T16,1)))),I16+MAX(1,U16)*MAX(1,CEILING((TODAY()-I16)/MAX(1,U16),1)))))</f>
        <v/>
      </c>
      <c r="Q16" s="193">
        <f>IF(P16="","",P16-TODAY())</f>
        <v/>
      </c>
      <c r="R16" s="192">
        <f>IF(E16="","",IF(COUNTIFS(rCom,E16,rTipoE,"Gasto")=0,"Sin registros",_xlfn.MAXIFS(rFecha,rCom,E16,rTipoE,"Gasto")))</f>
        <v/>
      </c>
      <c r="S16" s="194">
        <f>IF(B16="","",IF(K16="No","Inactiva",IF(P16="","Falta fecha",IF(Q16&lt;=0,"⚠ Vence hoy",IF(Q16&lt;=7,"⚠ Vence en "&amp;Q16&amp;" días","✓ Próximo en "&amp;Q16&amp;" días")))))</f>
        <v/>
      </c>
      <c r="T16" s="195">
        <f>IFERROR(INDEX(frecMeses,MATCH(H16,frecNombre,0)),1)</f>
        <v/>
      </c>
      <c r="U16" s="195">
        <f>IFERROR(INDEX(frecDias,MATCH(H16,frecNombre,0)),0)</f>
        <v/>
      </c>
    </row>
    <row r="17">
      <c r="B17" s="184" t="n"/>
      <c r="C17" s="185" t="n"/>
      <c r="D17" s="185" t="n"/>
      <c r="E17" s="185" t="n"/>
      <c r="F17" s="186" t="n"/>
      <c r="G17" s="187" t="n"/>
      <c r="H17" s="187" t="n"/>
      <c r="I17" s="188" t="n"/>
      <c r="J17" s="185" t="n"/>
      <c r="K17" s="187" t="n"/>
      <c r="L17" s="189" t="n"/>
      <c r="M17" s="190">
        <f>IF(OR(B17="",F17=""),"",F17*IF(G17="USD",TasaUSD,1))</f>
        <v/>
      </c>
      <c r="N17" s="191">
        <f>IF(OR(M17="",K17="No"),"",M17*IFERROR(INDEX(frecFactor,MATCH(H17,frecNombre,0)),1))</f>
        <v/>
      </c>
      <c r="O17" s="190">
        <f>IF(N17="","",N17*12)</f>
        <v/>
      </c>
      <c r="P17" s="192">
        <f>IF(OR(B17="",NOT(ISNUMBER(I17)),K17="No"),"",IF(I17&gt;TODAY(),I17,IF(T17&gt;0,IF(EDATE(I17,T17*MAX(1,CEILING(DATEDIF(I17,TODAY(),"m")/T17,1)))&lt;TODAY(),EDATE(I17,T17*(MAX(1,CEILING(DATEDIF(I17,TODAY(),"m")/T17,1))+1)),EDATE(I17,T17*MAX(1,CEILING(DATEDIF(I17,TODAY(),"m")/T17,1)))),I17+MAX(1,U17)*MAX(1,CEILING((TODAY()-I17)/MAX(1,U17),1)))))</f>
        <v/>
      </c>
      <c r="Q17" s="193">
        <f>IF(P17="","",P17-TODAY())</f>
        <v/>
      </c>
      <c r="R17" s="192">
        <f>IF(E17="","",IF(COUNTIFS(rCom,E17,rTipoE,"Gasto")=0,"Sin registros",_xlfn.MAXIFS(rFecha,rCom,E17,rTipoE,"Gasto")))</f>
        <v/>
      </c>
      <c r="S17" s="194">
        <f>IF(B17="","",IF(K17="No","Inactiva",IF(P17="","Falta fecha",IF(Q17&lt;=0,"⚠ Vence hoy",IF(Q17&lt;=7,"⚠ Vence en "&amp;Q17&amp;" días","✓ Próximo en "&amp;Q17&amp;" días")))))</f>
        <v/>
      </c>
      <c r="T17" s="195">
        <f>IFERROR(INDEX(frecMeses,MATCH(H17,frecNombre,0)),1)</f>
        <v/>
      </c>
      <c r="U17" s="195">
        <f>IFERROR(INDEX(frecDias,MATCH(H17,frecNombre,0)),0)</f>
        <v/>
      </c>
    </row>
    <row r="18">
      <c r="B18" s="184" t="n"/>
      <c r="C18" s="185" t="n"/>
      <c r="D18" s="185" t="n"/>
      <c r="E18" s="185" t="n"/>
      <c r="F18" s="186" t="n"/>
      <c r="G18" s="187" t="n"/>
      <c r="H18" s="187" t="n"/>
      <c r="I18" s="188" t="n"/>
      <c r="J18" s="185" t="n"/>
      <c r="K18" s="187" t="n"/>
      <c r="L18" s="189" t="n"/>
      <c r="M18" s="190">
        <f>IF(OR(B18="",F18=""),"",F18*IF(G18="USD",TasaUSD,1))</f>
        <v/>
      </c>
      <c r="N18" s="191">
        <f>IF(OR(M18="",K18="No"),"",M18*IFERROR(INDEX(frecFactor,MATCH(H18,frecNombre,0)),1))</f>
        <v/>
      </c>
      <c r="O18" s="190">
        <f>IF(N18="","",N18*12)</f>
        <v/>
      </c>
      <c r="P18" s="192">
        <f>IF(OR(B18="",NOT(ISNUMBER(I18)),K18="No"),"",IF(I18&gt;TODAY(),I18,IF(T18&gt;0,IF(EDATE(I18,T18*MAX(1,CEILING(DATEDIF(I18,TODAY(),"m")/T18,1)))&lt;TODAY(),EDATE(I18,T18*(MAX(1,CEILING(DATEDIF(I18,TODAY(),"m")/T18,1))+1)),EDATE(I18,T18*MAX(1,CEILING(DATEDIF(I18,TODAY(),"m")/T18,1)))),I18+MAX(1,U18)*MAX(1,CEILING((TODAY()-I18)/MAX(1,U18),1)))))</f>
        <v/>
      </c>
      <c r="Q18" s="193">
        <f>IF(P18="","",P18-TODAY())</f>
        <v/>
      </c>
      <c r="R18" s="192">
        <f>IF(E18="","",IF(COUNTIFS(rCom,E18,rTipoE,"Gasto")=0,"Sin registros",_xlfn.MAXIFS(rFecha,rCom,E18,rTipoE,"Gasto")))</f>
        <v/>
      </c>
      <c r="S18" s="194">
        <f>IF(B18="","",IF(K18="No","Inactiva",IF(P18="","Falta fecha",IF(Q18&lt;=0,"⚠ Vence hoy",IF(Q18&lt;=7,"⚠ Vence en "&amp;Q18&amp;" días","✓ Próximo en "&amp;Q18&amp;" días")))))</f>
        <v/>
      </c>
      <c r="T18" s="195">
        <f>IFERROR(INDEX(frecMeses,MATCH(H18,frecNombre,0)),1)</f>
        <v/>
      </c>
      <c r="U18" s="195">
        <f>IFERROR(INDEX(frecDias,MATCH(H18,frecNombre,0)),0)</f>
        <v/>
      </c>
    </row>
    <row r="19">
      <c r="B19" s="184" t="n"/>
      <c r="C19" s="185" t="n"/>
      <c r="D19" s="185" t="n"/>
      <c r="E19" s="185" t="n"/>
      <c r="F19" s="186" t="n"/>
      <c r="G19" s="187" t="n"/>
      <c r="H19" s="187" t="n"/>
      <c r="I19" s="188" t="n"/>
      <c r="J19" s="185" t="n"/>
      <c r="K19" s="187" t="n"/>
      <c r="L19" s="189" t="n"/>
      <c r="M19" s="190">
        <f>IF(OR(B19="",F19=""),"",F19*IF(G19="USD",TasaUSD,1))</f>
        <v/>
      </c>
      <c r="N19" s="191">
        <f>IF(OR(M19="",K19="No"),"",M19*IFERROR(INDEX(frecFactor,MATCH(H19,frecNombre,0)),1))</f>
        <v/>
      </c>
      <c r="O19" s="190">
        <f>IF(N19="","",N19*12)</f>
        <v/>
      </c>
      <c r="P19" s="192">
        <f>IF(OR(B19="",NOT(ISNUMBER(I19)),K19="No"),"",IF(I19&gt;TODAY(),I19,IF(T19&gt;0,IF(EDATE(I19,T19*MAX(1,CEILING(DATEDIF(I19,TODAY(),"m")/T19,1)))&lt;TODAY(),EDATE(I19,T19*(MAX(1,CEILING(DATEDIF(I19,TODAY(),"m")/T19,1))+1)),EDATE(I19,T19*MAX(1,CEILING(DATEDIF(I19,TODAY(),"m")/T19,1)))),I19+MAX(1,U19)*MAX(1,CEILING((TODAY()-I19)/MAX(1,U19),1)))))</f>
        <v/>
      </c>
      <c r="Q19" s="193">
        <f>IF(P19="","",P19-TODAY())</f>
        <v/>
      </c>
      <c r="R19" s="192">
        <f>IF(E19="","",IF(COUNTIFS(rCom,E19,rTipoE,"Gasto")=0,"Sin registros",_xlfn.MAXIFS(rFecha,rCom,E19,rTipoE,"Gasto")))</f>
        <v/>
      </c>
      <c r="S19" s="194">
        <f>IF(B19="","",IF(K19="No","Inactiva",IF(P19="","Falta fecha",IF(Q19&lt;=0,"⚠ Vence hoy",IF(Q19&lt;=7,"⚠ Vence en "&amp;Q19&amp;" días","✓ Próximo en "&amp;Q19&amp;" días")))))</f>
        <v/>
      </c>
      <c r="T19" s="195">
        <f>IFERROR(INDEX(frecMeses,MATCH(H19,frecNombre,0)),1)</f>
        <v/>
      </c>
      <c r="U19" s="195">
        <f>IFERROR(INDEX(frecDias,MATCH(H19,frecNombre,0)),0)</f>
        <v/>
      </c>
    </row>
    <row r="20">
      <c r="B20" s="184" t="n"/>
      <c r="C20" s="185" t="n"/>
      <c r="D20" s="185" t="n"/>
      <c r="E20" s="185" t="n"/>
      <c r="F20" s="186" t="n"/>
      <c r="G20" s="187" t="n"/>
      <c r="H20" s="187" t="n"/>
      <c r="I20" s="188" t="n"/>
      <c r="J20" s="185" t="n"/>
      <c r="K20" s="187" t="n"/>
      <c r="L20" s="189" t="n"/>
      <c r="M20" s="190">
        <f>IF(OR(B20="",F20=""),"",F20*IF(G20="USD",TasaUSD,1))</f>
        <v/>
      </c>
      <c r="N20" s="191">
        <f>IF(OR(M20="",K20="No"),"",M20*IFERROR(INDEX(frecFactor,MATCH(H20,frecNombre,0)),1))</f>
        <v/>
      </c>
      <c r="O20" s="190">
        <f>IF(N20="","",N20*12)</f>
        <v/>
      </c>
      <c r="P20" s="192">
        <f>IF(OR(B20="",NOT(ISNUMBER(I20)),K20="No"),"",IF(I20&gt;TODAY(),I20,IF(T20&gt;0,IF(EDATE(I20,T20*MAX(1,CEILING(DATEDIF(I20,TODAY(),"m")/T20,1)))&lt;TODAY(),EDATE(I20,T20*(MAX(1,CEILING(DATEDIF(I20,TODAY(),"m")/T20,1))+1)),EDATE(I20,T20*MAX(1,CEILING(DATEDIF(I20,TODAY(),"m")/T20,1)))),I20+MAX(1,U20)*MAX(1,CEILING((TODAY()-I20)/MAX(1,U20),1)))))</f>
        <v/>
      </c>
      <c r="Q20" s="193">
        <f>IF(P20="","",P20-TODAY())</f>
        <v/>
      </c>
      <c r="R20" s="192">
        <f>IF(E20="","",IF(COUNTIFS(rCom,E20,rTipoE,"Gasto")=0,"Sin registros",_xlfn.MAXIFS(rFecha,rCom,E20,rTipoE,"Gasto")))</f>
        <v/>
      </c>
      <c r="S20" s="194">
        <f>IF(B20="","",IF(K20="No","Inactiva",IF(P20="","Falta fecha",IF(Q20&lt;=0,"⚠ Vence hoy",IF(Q20&lt;=7,"⚠ Vence en "&amp;Q20&amp;" días","✓ Próximo en "&amp;Q20&amp;" días")))))</f>
        <v/>
      </c>
      <c r="T20" s="195">
        <f>IFERROR(INDEX(frecMeses,MATCH(H20,frecNombre,0)),1)</f>
        <v/>
      </c>
      <c r="U20" s="195">
        <f>IFERROR(INDEX(frecDias,MATCH(H20,frecNombre,0)),0)</f>
        <v/>
      </c>
    </row>
    <row r="21">
      <c r="B21" s="184" t="n"/>
      <c r="C21" s="185" t="n"/>
      <c r="D21" s="185" t="n"/>
      <c r="E21" s="185" t="n"/>
      <c r="F21" s="186" t="n"/>
      <c r="G21" s="187" t="n"/>
      <c r="H21" s="187" t="n"/>
      <c r="I21" s="188" t="n"/>
      <c r="J21" s="185" t="n"/>
      <c r="K21" s="187" t="n"/>
      <c r="L21" s="189" t="n"/>
      <c r="M21" s="190">
        <f>IF(OR(B21="",F21=""),"",F21*IF(G21="USD",TasaUSD,1))</f>
        <v/>
      </c>
      <c r="N21" s="191">
        <f>IF(OR(M21="",K21="No"),"",M21*IFERROR(INDEX(frecFactor,MATCH(H21,frecNombre,0)),1))</f>
        <v/>
      </c>
      <c r="O21" s="190">
        <f>IF(N21="","",N21*12)</f>
        <v/>
      </c>
      <c r="P21" s="192">
        <f>IF(OR(B21="",NOT(ISNUMBER(I21)),K21="No"),"",IF(I21&gt;TODAY(),I21,IF(T21&gt;0,IF(EDATE(I21,T21*MAX(1,CEILING(DATEDIF(I21,TODAY(),"m")/T21,1)))&lt;TODAY(),EDATE(I21,T21*(MAX(1,CEILING(DATEDIF(I21,TODAY(),"m")/T21,1))+1)),EDATE(I21,T21*MAX(1,CEILING(DATEDIF(I21,TODAY(),"m")/T21,1)))),I21+MAX(1,U21)*MAX(1,CEILING((TODAY()-I21)/MAX(1,U21),1)))))</f>
        <v/>
      </c>
      <c r="Q21" s="193">
        <f>IF(P21="","",P21-TODAY())</f>
        <v/>
      </c>
      <c r="R21" s="192">
        <f>IF(E21="","",IF(COUNTIFS(rCom,E21,rTipoE,"Gasto")=0,"Sin registros",_xlfn.MAXIFS(rFecha,rCom,E21,rTipoE,"Gasto")))</f>
        <v/>
      </c>
      <c r="S21" s="194">
        <f>IF(B21="","",IF(K21="No","Inactiva",IF(P21="","Falta fecha",IF(Q21&lt;=0,"⚠ Vence hoy",IF(Q21&lt;=7,"⚠ Vence en "&amp;Q21&amp;" días","✓ Próximo en "&amp;Q21&amp;" días")))))</f>
        <v/>
      </c>
      <c r="T21" s="195">
        <f>IFERROR(INDEX(frecMeses,MATCH(H21,frecNombre,0)),1)</f>
        <v/>
      </c>
      <c r="U21" s="195">
        <f>IFERROR(INDEX(frecDias,MATCH(H21,frecNombre,0)),0)</f>
        <v/>
      </c>
    </row>
    <row r="22">
      <c r="B22" s="184" t="n"/>
      <c r="C22" s="185" t="n"/>
      <c r="D22" s="185" t="n"/>
      <c r="E22" s="185" t="n"/>
      <c r="F22" s="186" t="n"/>
      <c r="G22" s="187" t="n"/>
      <c r="H22" s="187" t="n"/>
      <c r="I22" s="188" t="n"/>
      <c r="J22" s="185" t="n"/>
      <c r="K22" s="187" t="n"/>
      <c r="L22" s="189" t="n"/>
      <c r="M22" s="190">
        <f>IF(OR(B22="",F22=""),"",F22*IF(G22="USD",TasaUSD,1))</f>
        <v/>
      </c>
      <c r="N22" s="191">
        <f>IF(OR(M22="",K22="No"),"",M22*IFERROR(INDEX(frecFactor,MATCH(H22,frecNombre,0)),1))</f>
        <v/>
      </c>
      <c r="O22" s="190">
        <f>IF(N22="","",N22*12)</f>
        <v/>
      </c>
      <c r="P22" s="192">
        <f>IF(OR(B22="",NOT(ISNUMBER(I22)),K22="No"),"",IF(I22&gt;TODAY(),I22,IF(T22&gt;0,IF(EDATE(I22,T22*MAX(1,CEILING(DATEDIF(I22,TODAY(),"m")/T22,1)))&lt;TODAY(),EDATE(I22,T22*(MAX(1,CEILING(DATEDIF(I22,TODAY(),"m")/T22,1))+1)),EDATE(I22,T22*MAX(1,CEILING(DATEDIF(I22,TODAY(),"m")/T22,1)))),I22+MAX(1,U22)*MAX(1,CEILING((TODAY()-I22)/MAX(1,U22),1)))))</f>
        <v/>
      </c>
      <c r="Q22" s="193">
        <f>IF(P22="","",P22-TODAY())</f>
        <v/>
      </c>
      <c r="R22" s="192">
        <f>IF(E22="","",IF(COUNTIFS(rCom,E22,rTipoE,"Gasto")=0,"Sin registros",_xlfn.MAXIFS(rFecha,rCom,E22,rTipoE,"Gasto")))</f>
        <v/>
      </c>
      <c r="S22" s="194">
        <f>IF(B22="","",IF(K22="No","Inactiva",IF(P22="","Falta fecha",IF(Q22&lt;=0,"⚠ Vence hoy",IF(Q22&lt;=7,"⚠ Vence en "&amp;Q22&amp;" días","✓ Próximo en "&amp;Q22&amp;" días")))))</f>
        <v/>
      </c>
      <c r="T22" s="195">
        <f>IFERROR(INDEX(frecMeses,MATCH(H22,frecNombre,0)),1)</f>
        <v/>
      </c>
      <c r="U22" s="195">
        <f>IFERROR(INDEX(frecDias,MATCH(H22,frecNombre,0)),0)</f>
        <v/>
      </c>
    </row>
    <row r="23">
      <c r="B23" s="184" t="n"/>
      <c r="C23" s="185" t="n"/>
      <c r="D23" s="185" t="n"/>
      <c r="E23" s="185" t="n"/>
      <c r="F23" s="186" t="n"/>
      <c r="G23" s="187" t="n"/>
      <c r="H23" s="187" t="n"/>
      <c r="I23" s="188" t="n"/>
      <c r="J23" s="185" t="n"/>
      <c r="K23" s="187" t="n"/>
      <c r="L23" s="189" t="n"/>
      <c r="M23" s="190">
        <f>IF(OR(B23="",F23=""),"",F23*IF(G23="USD",TasaUSD,1))</f>
        <v/>
      </c>
      <c r="N23" s="191">
        <f>IF(OR(M23="",K23="No"),"",M23*IFERROR(INDEX(frecFactor,MATCH(H23,frecNombre,0)),1))</f>
        <v/>
      </c>
      <c r="O23" s="190">
        <f>IF(N23="","",N23*12)</f>
        <v/>
      </c>
      <c r="P23" s="192">
        <f>IF(OR(B23="",NOT(ISNUMBER(I23)),K23="No"),"",IF(I23&gt;TODAY(),I23,IF(T23&gt;0,IF(EDATE(I23,T23*MAX(1,CEILING(DATEDIF(I23,TODAY(),"m")/T23,1)))&lt;TODAY(),EDATE(I23,T23*(MAX(1,CEILING(DATEDIF(I23,TODAY(),"m")/T23,1))+1)),EDATE(I23,T23*MAX(1,CEILING(DATEDIF(I23,TODAY(),"m")/T23,1)))),I23+MAX(1,U23)*MAX(1,CEILING((TODAY()-I23)/MAX(1,U23),1)))))</f>
        <v/>
      </c>
      <c r="Q23" s="193">
        <f>IF(P23="","",P23-TODAY())</f>
        <v/>
      </c>
      <c r="R23" s="192">
        <f>IF(E23="","",IF(COUNTIFS(rCom,E23,rTipoE,"Gasto")=0,"Sin registros",_xlfn.MAXIFS(rFecha,rCom,E23,rTipoE,"Gasto")))</f>
        <v/>
      </c>
      <c r="S23" s="194">
        <f>IF(B23="","",IF(K23="No","Inactiva",IF(P23="","Falta fecha",IF(Q23&lt;=0,"⚠ Vence hoy",IF(Q23&lt;=7,"⚠ Vence en "&amp;Q23&amp;" días","✓ Próximo en "&amp;Q23&amp;" días")))))</f>
        <v/>
      </c>
      <c r="T23" s="195">
        <f>IFERROR(INDEX(frecMeses,MATCH(H23,frecNombre,0)),1)</f>
        <v/>
      </c>
      <c r="U23" s="195">
        <f>IFERROR(INDEX(frecDias,MATCH(H23,frecNombre,0)),0)</f>
        <v/>
      </c>
    </row>
    <row r="24">
      <c r="B24" s="184" t="n"/>
      <c r="C24" s="185" t="n"/>
      <c r="D24" s="185" t="n"/>
      <c r="E24" s="185" t="n"/>
      <c r="F24" s="186" t="n"/>
      <c r="G24" s="187" t="n"/>
      <c r="H24" s="187" t="n"/>
      <c r="I24" s="188" t="n"/>
      <c r="J24" s="185" t="n"/>
      <c r="K24" s="187" t="n"/>
      <c r="L24" s="189" t="n"/>
      <c r="M24" s="190">
        <f>IF(OR(B24="",F24=""),"",F24*IF(G24="USD",TasaUSD,1))</f>
        <v/>
      </c>
      <c r="N24" s="191">
        <f>IF(OR(M24="",K24="No"),"",M24*IFERROR(INDEX(frecFactor,MATCH(H24,frecNombre,0)),1))</f>
        <v/>
      </c>
      <c r="O24" s="190">
        <f>IF(N24="","",N24*12)</f>
        <v/>
      </c>
      <c r="P24" s="192">
        <f>IF(OR(B24="",NOT(ISNUMBER(I24)),K24="No"),"",IF(I24&gt;TODAY(),I24,IF(T24&gt;0,IF(EDATE(I24,T24*MAX(1,CEILING(DATEDIF(I24,TODAY(),"m")/T24,1)))&lt;TODAY(),EDATE(I24,T24*(MAX(1,CEILING(DATEDIF(I24,TODAY(),"m")/T24,1))+1)),EDATE(I24,T24*MAX(1,CEILING(DATEDIF(I24,TODAY(),"m")/T24,1)))),I24+MAX(1,U24)*MAX(1,CEILING((TODAY()-I24)/MAX(1,U24),1)))))</f>
        <v/>
      </c>
      <c r="Q24" s="193">
        <f>IF(P24="","",P24-TODAY())</f>
        <v/>
      </c>
      <c r="R24" s="192">
        <f>IF(E24="","",IF(COUNTIFS(rCom,E24,rTipoE,"Gasto")=0,"Sin registros",_xlfn.MAXIFS(rFecha,rCom,E24,rTipoE,"Gasto")))</f>
        <v/>
      </c>
      <c r="S24" s="194">
        <f>IF(B24="","",IF(K24="No","Inactiva",IF(P24="","Falta fecha",IF(Q24&lt;=0,"⚠ Vence hoy",IF(Q24&lt;=7,"⚠ Vence en "&amp;Q24&amp;" días","✓ Próximo en "&amp;Q24&amp;" días")))))</f>
        <v/>
      </c>
      <c r="T24" s="195">
        <f>IFERROR(INDEX(frecMeses,MATCH(H24,frecNombre,0)),1)</f>
        <v/>
      </c>
      <c r="U24" s="195">
        <f>IFERROR(INDEX(frecDias,MATCH(H24,frecNombre,0)),0)</f>
        <v/>
      </c>
    </row>
    <row r="25">
      <c r="B25" s="184" t="n"/>
      <c r="C25" s="185" t="n"/>
      <c r="D25" s="185" t="n"/>
      <c r="E25" s="185" t="n"/>
      <c r="F25" s="186" t="n"/>
      <c r="G25" s="187" t="n"/>
      <c r="H25" s="187" t="n"/>
      <c r="I25" s="188" t="n"/>
      <c r="J25" s="185" t="n"/>
      <c r="K25" s="187" t="n"/>
      <c r="L25" s="189" t="n"/>
      <c r="M25" s="190">
        <f>IF(OR(B25="",F25=""),"",F25*IF(G25="USD",TasaUSD,1))</f>
        <v/>
      </c>
      <c r="N25" s="191">
        <f>IF(OR(M25="",K25="No"),"",M25*IFERROR(INDEX(frecFactor,MATCH(H25,frecNombre,0)),1))</f>
        <v/>
      </c>
      <c r="O25" s="190">
        <f>IF(N25="","",N25*12)</f>
        <v/>
      </c>
      <c r="P25" s="192">
        <f>IF(OR(B25="",NOT(ISNUMBER(I25)),K25="No"),"",IF(I25&gt;TODAY(),I25,IF(T25&gt;0,IF(EDATE(I25,T25*MAX(1,CEILING(DATEDIF(I25,TODAY(),"m")/T25,1)))&lt;TODAY(),EDATE(I25,T25*(MAX(1,CEILING(DATEDIF(I25,TODAY(),"m")/T25,1))+1)),EDATE(I25,T25*MAX(1,CEILING(DATEDIF(I25,TODAY(),"m")/T25,1)))),I25+MAX(1,U25)*MAX(1,CEILING((TODAY()-I25)/MAX(1,U25),1)))))</f>
        <v/>
      </c>
      <c r="Q25" s="193">
        <f>IF(P25="","",P25-TODAY())</f>
        <v/>
      </c>
      <c r="R25" s="192">
        <f>IF(E25="","",IF(COUNTIFS(rCom,E25,rTipoE,"Gasto")=0,"Sin registros",_xlfn.MAXIFS(rFecha,rCom,E25,rTipoE,"Gasto")))</f>
        <v/>
      </c>
      <c r="S25" s="194">
        <f>IF(B25="","",IF(K25="No","Inactiva",IF(P25="","Falta fecha",IF(Q25&lt;=0,"⚠ Vence hoy",IF(Q25&lt;=7,"⚠ Vence en "&amp;Q25&amp;" días","✓ Próximo en "&amp;Q25&amp;" días")))))</f>
        <v/>
      </c>
      <c r="T25" s="195">
        <f>IFERROR(INDEX(frecMeses,MATCH(H25,frecNombre,0)),1)</f>
        <v/>
      </c>
      <c r="U25" s="195">
        <f>IFERROR(INDEX(frecDias,MATCH(H25,frecNombre,0)),0)</f>
        <v/>
      </c>
    </row>
    <row r="26">
      <c r="B26" s="184" t="n"/>
      <c r="C26" s="185" t="n"/>
      <c r="D26" s="185" t="n"/>
      <c r="E26" s="185" t="n"/>
      <c r="F26" s="186" t="n"/>
      <c r="G26" s="187" t="n"/>
      <c r="H26" s="187" t="n"/>
      <c r="I26" s="188" t="n"/>
      <c r="J26" s="185" t="n"/>
      <c r="K26" s="187" t="n"/>
      <c r="L26" s="189" t="n"/>
      <c r="M26" s="190">
        <f>IF(OR(B26="",F26=""),"",F26*IF(G26="USD",TasaUSD,1))</f>
        <v/>
      </c>
      <c r="N26" s="191">
        <f>IF(OR(M26="",K26="No"),"",M26*IFERROR(INDEX(frecFactor,MATCH(H26,frecNombre,0)),1))</f>
        <v/>
      </c>
      <c r="O26" s="190">
        <f>IF(N26="","",N26*12)</f>
        <v/>
      </c>
      <c r="P26" s="192">
        <f>IF(OR(B26="",NOT(ISNUMBER(I26)),K26="No"),"",IF(I26&gt;TODAY(),I26,IF(T26&gt;0,IF(EDATE(I26,T26*MAX(1,CEILING(DATEDIF(I26,TODAY(),"m")/T26,1)))&lt;TODAY(),EDATE(I26,T26*(MAX(1,CEILING(DATEDIF(I26,TODAY(),"m")/T26,1))+1)),EDATE(I26,T26*MAX(1,CEILING(DATEDIF(I26,TODAY(),"m")/T26,1)))),I26+MAX(1,U26)*MAX(1,CEILING((TODAY()-I26)/MAX(1,U26),1)))))</f>
        <v/>
      </c>
      <c r="Q26" s="193">
        <f>IF(P26="","",P26-TODAY())</f>
        <v/>
      </c>
      <c r="R26" s="192">
        <f>IF(E26="","",IF(COUNTIFS(rCom,E26,rTipoE,"Gasto")=0,"Sin registros",_xlfn.MAXIFS(rFecha,rCom,E26,rTipoE,"Gasto")))</f>
        <v/>
      </c>
      <c r="S26" s="194">
        <f>IF(B26="","",IF(K26="No","Inactiva",IF(P26="","Falta fecha",IF(Q26&lt;=0,"⚠ Vence hoy",IF(Q26&lt;=7,"⚠ Vence en "&amp;Q26&amp;" días","✓ Próximo en "&amp;Q26&amp;" días")))))</f>
        <v/>
      </c>
      <c r="T26" s="195">
        <f>IFERROR(INDEX(frecMeses,MATCH(H26,frecNombre,0)),1)</f>
        <v/>
      </c>
      <c r="U26" s="195">
        <f>IFERROR(INDEX(frecDias,MATCH(H26,frecNombre,0)),0)</f>
        <v/>
      </c>
    </row>
    <row r="27">
      <c r="B27" s="184" t="n"/>
      <c r="C27" s="185" t="n"/>
      <c r="D27" s="185" t="n"/>
      <c r="E27" s="185" t="n"/>
      <c r="F27" s="186" t="n"/>
      <c r="G27" s="187" t="n"/>
      <c r="H27" s="187" t="n"/>
      <c r="I27" s="188" t="n"/>
      <c r="J27" s="185" t="n"/>
      <c r="K27" s="187" t="n"/>
      <c r="L27" s="189" t="n"/>
      <c r="M27" s="190">
        <f>IF(OR(B27="",F27=""),"",F27*IF(G27="USD",TasaUSD,1))</f>
        <v/>
      </c>
      <c r="N27" s="191">
        <f>IF(OR(M27="",K27="No"),"",M27*IFERROR(INDEX(frecFactor,MATCH(H27,frecNombre,0)),1))</f>
        <v/>
      </c>
      <c r="O27" s="190">
        <f>IF(N27="","",N27*12)</f>
        <v/>
      </c>
      <c r="P27" s="192">
        <f>IF(OR(B27="",NOT(ISNUMBER(I27)),K27="No"),"",IF(I27&gt;TODAY(),I27,IF(T27&gt;0,IF(EDATE(I27,T27*MAX(1,CEILING(DATEDIF(I27,TODAY(),"m")/T27,1)))&lt;TODAY(),EDATE(I27,T27*(MAX(1,CEILING(DATEDIF(I27,TODAY(),"m")/T27,1))+1)),EDATE(I27,T27*MAX(1,CEILING(DATEDIF(I27,TODAY(),"m")/T27,1)))),I27+MAX(1,U27)*MAX(1,CEILING((TODAY()-I27)/MAX(1,U27),1)))))</f>
        <v/>
      </c>
      <c r="Q27" s="193">
        <f>IF(P27="","",P27-TODAY())</f>
        <v/>
      </c>
      <c r="R27" s="192">
        <f>IF(E27="","",IF(COUNTIFS(rCom,E27,rTipoE,"Gasto")=0,"Sin registros",_xlfn.MAXIFS(rFecha,rCom,E27,rTipoE,"Gasto")))</f>
        <v/>
      </c>
      <c r="S27" s="194">
        <f>IF(B27="","",IF(K27="No","Inactiva",IF(P27="","Falta fecha",IF(Q27&lt;=0,"⚠ Vence hoy",IF(Q27&lt;=7,"⚠ Vence en "&amp;Q27&amp;" días","✓ Próximo en "&amp;Q27&amp;" días")))))</f>
        <v/>
      </c>
      <c r="T27" s="195">
        <f>IFERROR(INDEX(frecMeses,MATCH(H27,frecNombre,0)),1)</f>
        <v/>
      </c>
      <c r="U27" s="195">
        <f>IFERROR(INDEX(frecDias,MATCH(H27,frecNombre,0)),0)</f>
        <v/>
      </c>
    </row>
    <row r="28">
      <c r="B28" s="184" t="n"/>
      <c r="C28" s="185" t="n"/>
      <c r="D28" s="185" t="n"/>
      <c r="E28" s="185" t="n"/>
      <c r="F28" s="186" t="n"/>
      <c r="G28" s="187" t="n"/>
      <c r="H28" s="187" t="n"/>
      <c r="I28" s="188" t="n"/>
      <c r="J28" s="185" t="n"/>
      <c r="K28" s="187" t="n"/>
      <c r="L28" s="189" t="n"/>
      <c r="M28" s="190">
        <f>IF(OR(B28="",F28=""),"",F28*IF(G28="USD",TasaUSD,1))</f>
        <v/>
      </c>
      <c r="N28" s="191">
        <f>IF(OR(M28="",K28="No"),"",M28*IFERROR(INDEX(frecFactor,MATCH(H28,frecNombre,0)),1))</f>
        <v/>
      </c>
      <c r="O28" s="190">
        <f>IF(N28="","",N28*12)</f>
        <v/>
      </c>
      <c r="P28" s="192">
        <f>IF(OR(B28="",NOT(ISNUMBER(I28)),K28="No"),"",IF(I28&gt;TODAY(),I28,IF(T28&gt;0,IF(EDATE(I28,T28*MAX(1,CEILING(DATEDIF(I28,TODAY(),"m")/T28,1)))&lt;TODAY(),EDATE(I28,T28*(MAX(1,CEILING(DATEDIF(I28,TODAY(),"m")/T28,1))+1)),EDATE(I28,T28*MAX(1,CEILING(DATEDIF(I28,TODAY(),"m")/T28,1)))),I28+MAX(1,U28)*MAX(1,CEILING((TODAY()-I28)/MAX(1,U28),1)))))</f>
        <v/>
      </c>
      <c r="Q28" s="193">
        <f>IF(P28="","",P28-TODAY())</f>
        <v/>
      </c>
      <c r="R28" s="192">
        <f>IF(E28="","",IF(COUNTIFS(rCom,E28,rTipoE,"Gasto")=0,"Sin registros",_xlfn.MAXIFS(rFecha,rCom,E28,rTipoE,"Gasto")))</f>
        <v/>
      </c>
      <c r="S28" s="194">
        <f>IF(B28="","",IF(K28="No","Inactiva",IF(P28="","Falta fecha",IF(Q28&lt;=0,"⚠ Vence hoy",IF(Q28&lt;=7,"⚠ Vence en "&amp;Q28&amp;" días","✓ Próximo en "&amp;Q28&amp;" días")))))</f>
        <v/>
      </c>
      <c r="T28" s="195">
        <f>IFERROR(INDEX(frecMeses,MATCH(H28,frecNombre,0)),1)</f>
        <v/>
      </c>
      <c r="U28" s="195">
        <f>IFERROR(INDEX(frecDias,MATCH(H28,frecNombre,0)),0)</f>
        <v/>
      </c>
    </row>
    <row r="29">
      <c r="B29" s="184" t="n"/>
      <c r="C29" s="185" t="n"/>
      <c r="D29" s="185" t="n"/>
      <c r="E29" s="185" t="n"/>
      <c r="F29" s="186" t="n"/>
      <c r="G29" s="187" t="n"/>
      <c r="H29" s="187" t="n"/>
      <c r="I29" s="188" t="n"/>
      <c r="J29" s="185" t="n"/>
      <c r="K29" s="187" t="n"/>
      <c r="L29" s="189" t="n"/>
      <c r="M29" s="190">
        <f>IF(OR(B29="",F29=""),"",F29*IF(G29="USD",TasaUSD,1))</f>
        <v/>
      </c>
      <c r="N29" s="191">
        <f>IF(OR(M29="",K29="No"),"",M29*IFERROR(INDEX(frecFactor,MATCH(H29,frecNombre,0)),1))</f>
        <v/>
      </c>
      <c r="O29" s="190">
        <f>IF(N29="","",N29*12)</f>
        <v/>
      </c>
      <c r="P29" s="192">
        <f>IF(OR(B29="",NOT(ISNUMBER(I29)),K29="No"),"",IF(I29&gt;TODAY(),I29,IF(T29&gt;0,IF(EDATE(I29,T29*MAX(1,CEILING(DATEDIF(I29,TODAY(),"m")/T29,1)))&lt;TODAY(),EDATE(I29,T29*(MAX(1,CEILING(DATEDIF(I29,TODAY(),"m")/T29,1))+1)),EDATE(I29,T29*MAX(1,CEILING(DATEDIF(I29,TODAY(),"m")/T29,1)))),I29+MAX(1,U29)*MAX(1,CEILING((TODAY()-I29)/MAX(1,U29),1)))))</f>
        <v/>
      </c>
      <c r="Q29" s="193">
        <f>IF(P29="","",P29-TODAY())</f>
        <v/>
      </c>
      <c r="R29" s="192">
        <f>IF(E29="","",IF(COUNTIFS(rCom,E29,rTipoE,"Gasto")=0,"Sin registros",_xlfn.MAXIFS(rFecha,rCom,E29,rTipoE,"Gasto")))</f>
        <v/>
      </c>
      <c r="S29" s="194">
        <f>IF(B29="","",IF(K29="No","Inactiva",IF(P29="","Falta fecha",IF(Q29&lt;=0,"⚠ Vence hoy",IF(Q29&lt;=7,"⚠ Vence en "&amp;Q29&amp;" días","✓ Próximo en "&amp;Q29&amp;" días")))))</f>
        <v/>
      </c>
      <c r="T29" s="195">
        <f>IFERROR(INDEX(frecMeses,MATCH(H29,frecNombre,0)),1)</f>
        <v/>
      </c>
      <c r="U29" s="195">
        <f>IFERROR(INDEX(frecDias,MATCH(H29,frecNombre,0)),0)</f>
        <v/>
      </c>
    </row>
    <row r="30">
      <c r="B30" s="184" t="n"/>
      <c r="C30" s="185" t="n"/>
      <c r="D30" s="185" t="n"/>
      <c r="E30" s="185" t="n"/>
      <c r="F30" s="186" t="n"/>
      <c r="G30" s="187" t="n"/>
      <c r="H30" s="187" t="n"/>
      <c r="I30" s="188" t="n"/>
      <c r="J30" s="185" t="n"/>
      <c r="K30" s="187" t="n"/>
      <c r="L30" s="189" t="n"/>
      <c r="M30" s="190">
        <f>IF(OR(B30="",F30=""),"",F30*IF(G30="USD",TasaUSD,1))</f>
        <v/>
      </c>
      <c r="N30" s="191">
        <f>IF(OR(M30="",K30="No"),"",M30*IFERROR(INDEX(frecFactor,MATCH(H30,frecNombre,0)),1))</f>
        <v/>
      </c>
      <c r="O30" s="190">
        <f>IF(N30="","",N30*12)</f>
        <v/>
      </c>
      <c r="P30" s="192">
        <f>IF(OR(B30="",NOT(ISNUMBER(I30)),K30="No"),"",IF(I30&gt;TODAY(),I30,IF(T30&gt;0,IF(EDATE(I30,T30*MAX(1,CEILING(DATEDIF(I30,TODAY(),"m")/T30,1)))&lt;TODAY(),EDATE(I30,T30*(MAX(1,CEILING(DATEDIF(I30,TODAY(),"m")/T30,1))+1)),EDATE(I30,T30*MAX(1,CEILING(DATEDIF(I30,TODAY(),"m")/T30,1)))),I30+MAX(1,U30)*MAX(1,CEILING((TODAY()-I30)/MAX(1,U30),1)))))</f>
        <v/>
      </c>
      <c r="Q30" s="193">
        <f>IF(P30="","",P30-TODAY())</f>
        <v/>
      </c>
      <c r="R30" s="192">
        <f>IF(E30="","",IF(COUNTIFS(rCom,E30,rTipoE,"Gasto")=0,"Sin registros",_xlfn.MAXIFS(rFecha,rCom,E30,rTipoE,"Gasto")))</f>
        <v/>
      </c>
      <c r="S30" s="194">
        <f>IF(B30="","",IF(K30="No","Inactiva",IF(P30="","Falta fecha",IF(Q30&lt;=0,"⚠ Vence hoy",IF(Q30&lt;=7,"⚠ Vence en "&amp;Q30&amp;" días","✓ Próximo en "&amp;Q30&amp;" días")))))</f>
        <v/>
      </c>
      <c r="T30" s="195">
        <f>IFERROR(INDEX(frecMeses,MATCH(H30,frecNombre,0)),1)</f>
        <v/>
      </c>
      <c r="U30" s="195">
        <f>IFERROR(INDEX(frecDias,MATCH(H30,frecNombre,0)),0)</f>
        <v/>
      </c>
    </row>
    <row r="31">
      <c r="B31" s="184" t="n"/>
      <c r="C31" s="185" t="n"/>
      <c r="D31" s="185" t="n"/>
      <c r="E31" s="185" t="n"/>
      <c r="F31" s="186" t="n"/>
      <c r="G31" s="187" t="n"/>
      <c r="H31" s="187" t="n"/>
      <c r="I31" s="188" t="n"/>
      <c r="J31" s="185" t="n"/>
      <c r="K31" s="187" t="n"/>
      <c r="L31" s="189" t="n"/>
      <c r="M31" s="190">
        <f>IF(OR(B31="",F31=""),"",F31*IF(G31="USD",TasaUSD,1))</f>
        <v/>
      </c>
      <c r="N31" s="191">
        <f>IF(OR(M31="",K31="No"),"",M31*IFERROR(INDEX(frecFactor,MATCH(H31,frecNombre,0)),1))</f>
        <v/>
      </c>
      <c r="O31" s="190">
        <f>IF(N31="","",N31*12)</f>
        <v/>
      </c>
      <c r="P31" s="192">
        <f>IF(OR(B31="",NOT(ISNUMBER(I31)),K31="No"),"",IF(I31&gt;TODAY(),I31,IF(T31&gt;0,IF(EDATE(I31,T31*MAX(1,CEILING(DATEDIF(I31,TODAY(),"m")/T31,1)))&lt;TODAY(),EDATE(I31,T31*(MAX(1,CEILING(DATEDIF(I31,TODAY(),"m")/T31,1))+1)),EDATE(I31,T31*MAX(1,CEILING(DATEDIF(I31,TODAY(),"m")/T31,1)))),I31+MAX(1,U31)*MAX(1,CEILING((TODAY()-I31)/MAX(1,U31),1)))))</f>
        <v/>
      </c>
      <c r="Q31" s="193">
        <f>IF(P31="","",P31-TODAY())</f>
        <v/>
      </c>
      <c r="R31" s="192">
        <f>IF(E31="","",IF(COUNTIFS(rCom,E31,rTipoE,"Gasto")=0,"Sin registros",_xlfn.MAXIFS(rFecha,rCom,E31,rTipoE,"Gasto")))</f>
        <v/>
      </c>
      <c r="S31" s="194">
        <f>IF(B31="","",IF(K31="No","Inactiva",IF(P31="","Falta fecha",IF(Q31&lt;=0,"⚠ Vence hoy",IF(Q31&lt;=7,"⚠ Vence en "&amp;Q31&amp;" días","✓ Próximo en "&amp;Q31&amp;" días")))))</f>
        <v/>
      </c>
      <c r="T31" s="195">
        <f>IFERROR(INDEX(frecMeses,MATCH(H31,frecNombre,0)),1)</f>
        <v/>
      </c>
      <c r="U31" s="195">
        <f>IFERROR(INDEX(frecDias,MATCH(H31,frecNombre,0)),0)</f>
        <v/>
      </c>
    </row>
    <row r="32">
      <c r="B32" s="184" t="n"/>
      <c r="C32" s="185" t="n"/>
      <c r="D32" s="185" t="n"/>
      <c r="E32" s="185" t="n"/>
      <c r="F32" s="186" t="n"/>
      <c r="G32" s="187" t="n"/>
      <c r="H32" s="187" t="n"/>
      <c r="I32" s="188" t="n"/>
      <c r="J32" s="185" t="n"/>
      <c r="K32" s="187" t="n"/>
      <c r="L32" s="189" t="n"/>
      <c r="M32" s="190">
        <f>IF(OR(B32="",F32=""),"",F32*IF(G32="USD",TasaUSD,1))</f>
        <v/>
      </c>
      <c r="N32" s="191">
        <f>IF(OR(M32="",K32="No"),"",M32*IFERROR(INDEX(frecFactor,MATCH(H32,frecNombre,0)),1))</f>
        <v/>
      </c>
      <c r="O32" s="190">
        <f>IF(N32="","",N32*12)</f>
        <v/>
      </c>
      <c r="P32" s="192">
        <f>IF(OR(B32="",NOT(ISNUMBER(I32)),K32="No"),"",IF(I32&gt;TODAY(),I32,IF(T32&gt;0,IF(EDATE(I32,T32*MAX(1,CEILING(DATEDIF(I32,TODAY(),"m")/T32,1)))&lt;TODAY(),EDATE(I32,T32*(MAX(1,CEILING(DATEDIF(I32,TODAY(),"m")/T32,1))+1)),EDATE(I32,T32*MAX(1,CEILING(DATEDIF(I32,TODAY(),"m")/T32,1)))),I32+MAX(1,U32)*MAX(1,CEILING((TODAY()-I32)/MAX(1,U32),1)))))</f>
        <v/>
      </c>
      <c r="Q32" s="193">
        <f>IF(P32="","",P32-TODAY())</f>
        <v/>
      </c>
      <c r="R32" s="192">
        <f>IF(E32="","",IF(COUNTIFS(rCom,E32,rTipoE,"Gasto")=0,"Sin registros",_xlfn.MAXIFS(rFecha,rCom,E32,rTipoE,"Gasto")))</f>
        <v/>
      </c>
      <c r="S32" s="194">
        <f>IF(B32="","",IF(K32="No","Inactiva",IF(P32="","Falta fecha",IF(Q32&lt;=0,"⚠ Vence hoy",IF(Q32&lt;=7,"⚠ Vence en "&amp;Q32&amp;" días","✓ Próximo en "&amp;Q32&amp;" días")))))</f>
        <v/>
      </c>
      <c r="T32" s="195">
        <f>IFERROR(INDEX(frecMeses,MATCH(H32,frecNombre,0)),1)</f>
        <v/>
      </c>
      <c r="U32" s="195">
        <f>IFERROR(INDEX(frecDias,MATCH(H32,frecNombre,0)),0)</f>
        <v/>
      </c>
    </row>
    <row r="33">
      <c r="B33" s="184" t="n"/>
      <c r="C33" s="185" t="n"/>
      <c r="D33" s="185" t="n"/>
      <c r="E33" s="185" t="n"/>
      <c r="F33" s="186" t="n"/>
      <c r="G33" s="187" t="n"/>
      <c r="H33" s="187" t="n"/>
      <c r="I33" s="188" t="n"/>
      <c r="J33" s="185" t="n"/>
      <c r="K33" s="187" t="n"/>
      <c r="L33" s="189" t="n"/>
      <c r="M33" s="190">
        <f>IF(OR(B33="",F33=""),"",F33*IF(G33="USD",TasaUSD,1))</f>
        <v/>
      </c>
      <c r="N33" s="191">
        <f>IF(OR(M33="",K33="No"),"",M33*IFERROR(INDEX(frecFactor,MATCH(H33,frecNombre,0)),1))</f>
        <v/>
      </c>
      <c r="O33" s="190">
        <f>IF(N33="","",N33*12)</f>
        <v/>
      </c>
      <c r="P33" s="192">
        <f>IF(OR(B33="",NOT(ISNUMBER(I33)),K33="No"),"",IF(I33&gt;TODAY(),I33,IF(T33&gt;0,IF(EDATE(I33,T33*MAX(1,CEILING(DATEDIF(I33,TODAY(),"m")/T33,1)))&lt;TODAY(),EDATE(I33,T33*(MAX(1,CEILING(DATEDIF(I33,TODAY(),"m")/T33,1))+1)),EDATE(I33,T33*MAX(1,CEILING(DATEDIF(I33,TODAY(),"m")/T33,1)))),I33+MAX(1,U33)*MAX(1,CEILING((TODAY()-I33)/MAX(1,U33),1)))))</f>
        <v/>
      </c>
      <c r="Q33" s="193">
        <f>IF(P33="","",P33-TODAY())</f>
        <v/>
      </c>
      <c r="R33" s="192">
        <f>IF(E33="","",IF(COUNTIFS(rCom,E33,rTipoE,"Gasto")=0,"Sin registros",_xlfn.MAXIFS(rFecha,rCom,E33,rTipoE,"Gasto")))</f>
        <v/>
      </c>
      <c r="S33" s="194">
        <f>IF(B33="","",IF(K33="No","Inactiva",IF(P33="","Falta fecha",IF(Q33&lt;=0,"⚠ Vence hoy",IF(Q33&lt;=7,"⚠ Vence en "&amp;Q33&amp;" días","✓ Próximo en "&amp;Q33&amp;" días")))))</f>
        <v/>
      </c>
      <c r="T33" s="195">
        <f>IFERROR(INDEX(frecMeses,MATCH(H33,frecNombre,0)),1)</f>
        <v/>
      </c>
      <c r="U33" s="195">
        <f>IFERROR(INDEX(frecDias,MATCH(H33,frecNombre,0)),0)</f>
        <v/>
      </c>
    </row>
    <row r="34">
      <c r="B34" s="184" t="n"/>
      <c r="C34" s="185" t="n"/>
      <c r="D34" s="185" t="n"/>
      <c r="E34" s="185" t="n"/>
      <c r="F34" s="186" t="n"/>
      <c r="G34" s="187" t="n"/>
      <c r="H34" s="187" t="n"/>
      <c r="I34" s="188" t="n"/>
      <c r="J34" s="185" t="n"/>
      <c r="K34" s="187" t="n"/>
      <c r="L34" s="189" t="n"/>
      <c r="M34" s="190">
        <f>IF(OR(B34="",F34=""),"",F34*IF(G34="USD",TasaUSD,1))</f>
        <v/>
      </c>
      <c r="N34" s="191">
        <f>IF(OR(M34="",K34="No"),"",M34*IFERROR(INDEX(frecFactor,MATCH(H34,frecNombre,0)),1))</f>
        <v/>
      </c>
      <c r="O34" s="190">
        <f>IF(N34="","",N34*12)</f>
        <v/>
      </c>
      <c r="P34" s="192">
        <f>IF(OR(B34="",NOT(ISNUMBER(I34)),K34="No"),"",IF(I34&gt;TODAY(),I34,IF(T34&gt;0,IF(EDATE(I34,T34*MAX(1,CEILING(DATEDIF(I34,TODAY(),"m")/T34,1)))&lt;TODAY(),EDATE(I34,T34*(MAX(1,CEILING(DATEDIF(I34,TODAY(),"m")/T34,1))+1)),EDATE(I34,T34*MAX(1,CEILING(DATEDIF(I34,TODAY(),"m")/T34,1)))),I34+MAX(1,U34)*MAX(1,CEILING((TODAY()-I34)/MAX(1,U34),1)))))</f>
        <v/>
      </c>
      <c r="Q34" s="193">
        <f>IF(P34="","",P34-TODAY())</f>
        <v/>
      </c>
      <c r="R34" s="192">
        <f>IF(E34="","",IF(COUNTIFS(rCom,E34,rTipoE,"Gasto")=0,"Sin registros",_xlfn.MAXIFS(rFecha,rCom,E34,rTipoE,"Gasto")))</f>
        <v/>
      </c>
      <c r="S34" s="194">
        <f>IF(B34="","",IF(K34="No","Inactiva",IF(P34="","Falta fecha",IF(Q34&lt;=0,"⚠ Vence hoy",IF(Q34&lt;=7,"⚠ Vence en "&amp;Q34&amp;" días","✓ Próximo en "&amp;Q34&amp;" días")))))</f>
        <v/>
      </c>
      <c r="T34" s="195">
        <f>IFERROR(INDEX(frecMeses,MATCH(H34,frecNombre,0)),1)</f>
        <v/>
      </c>
      <c r="U34" s="195">
        <f>IFERROR(INDEX(frecDias,MATCH(H34,frecNombre,0)),0)</f>
        <v/>
      </c>
    </row>
    <row r="35">
      <c r="B35" s="184" t="n"/>
      <c r="C35" s="185" t="n"/>
      <c r="D35" s="185" t="n"/>
      <c r="E35" s="185" t="n"/>
      <c r="F35" s="186" t="n"/>
      <c r="G35" s="187" t="n"/>
      <c r="H35" s="187" t="n"/>
      <c r="I35" s="188" t="n"/>
      <c r="J35" s="185" t="n"/>
      <c r="K35" s="187" t="n"/>
      <c r="L35" s="189" t="n"/>
      <c r="M35" s="190">
        <f>IF(OR(B35="",F35=""),"",F35*IF(G35="USD",TasaUSD,1))</f>
        <v/>
      </c>
      <c r="N35" s="191">
        <f>IF(OR(M35="",K35="No"),"",M35*IFERROR(INDEX(frecFactor,MATCH(H35,frecNombre,0)),1))</f>
        <v/>
      </c>
      <c r="O35" s="190">
        <f>IF(N35="","",N35*12)</f>
        <v/>
      </c>
      <c r="P35" s="192">
        <f>IF(OR(B35="",NOT(ISNUMBER(I35)),K35="No"),"",IF(I35&gt;TODAY(),I35,IF(T35&gt;0,IF(EDATE(I35,T35*MAX(1,CEILING(DATEDIF(I35,TODAY(),"m")/T35,1)))&lt;TODAY(),EDATE(I35,T35*(MAX(1,CEILING(DATEDIF(I35,TODAY(),"m")/T35,1))+1)),EDATE(I35,T35*MAX(1,CEILING(DATEDIF(I35,TODAY(),"m")/T35,1)))),I35+MAX(1,U35)*MAX(1,CEILING((TODAY()-I35)/MAX(1,U35),1)))))</f>
        <v/>
      </c>
      <c r="Q35" s="193">
        <f>IF(P35="","",P35-TODAY())</f>
        <v/>
      </c>
      <c r="R35" s="192">
        <f>IF(E35="","",IF(COUNTIFS(rCom,E35,rTipoE,"Gasto")=0,"Sin registros",_xlfn.MAXIFS(rFecha,rCom,E35,rTipoE,"Gasto")))</f>
        <v/>
      </c>
      <c r="S35" s="194">
        <f>IF(B35="","",IF(K35="No","Inactiva",IF(P35="","Falta fecha",IF(Q35&lt;=0,"⚠ Vence hoy",IF(Q35&lt;=7,"⚠ Vence en "&amp;Q35&amp;" días","✓ Próximo en "&amp;Q35&amp;" días")))))</f>
        <v/>
      </c>
      <c r="T35" s="195">
        <f>IFERROR(INDEX(frecMeses,MATCH(H35,frecNombre,0)),1)</f>
        <v/>
      </c>
      <c r="U35" s="195">
        <f>IFERROR(INDEX(frecDias,MATCH(H35,frecNombre,0)),0)</f>
        <v/>
      </c>
    </row>
    <row r="36">
      <c r="B36" s="184" t="n"/>
      <c r="C36" s="185" t="n"/>
      <c r="D36" s="185" t="n"/>
      <c r="E36" s="185" t="n"/>
      <c r="F36" s="186" t="n"/>
      <c r="G36" s="187" t="n"/>
      <c r="H36" s="187" t="n"/>
      <c r="I36" s="188" t="n"/>
      <c r="J36" s="185" t="n"/>
      <c r="K36" s="187" t="n"/>
      <c r="L36" s="189" t="n"/>
      <c r="M36" s="190">
        <f>IF(OR(B36="",F36=""),"",F36*IF(G36="USD",TasaUSD,1))</f>
        <v/>
      </c>
      <c r="N36" s="191">
        <f>IF(OR(M36="",K36="No"),"",M36*IFERROR(INDEX(frecFactor,MATCH(H36,frecNombre,0)),1))</f>
        <v/>
      </c>
      <c r="O36" s="190">
        <f>IF(N36="","",N36*12)</f>
        <v/>
      </c>
      <c r="P36" s="192">
        <f>IF(OR(B36="",NOT(ISNUMBER(I36)),K36="No"),"",IF(I36&gt;TODAY(),I36,IF(T36&gt;0,IF(EDATE(I36,T36*MAX(1,CEILING(DATEDIF(I36,TODAY(),"m")/T36,1)))&lt;TODAY(),EDATE(I36,T36*(MAX(1,CEILING(DATEDIF(I36,TODAY(),"m")/T36,1))+1)),EDATE(I36,T36*MAX(1,CEILING(DATEDIF(I36,TODAY(),"m")/T36,1)))),I36+MAX(1,U36)*MAX(1,CEILING((TODAY()-I36)/MAX(1,U36),1)))))</f>
        <v/>
      </c>
      <c r="Q36" s="193">
        <f>IF(P36="","",P36-TODAY())</f>
        <v/>
      </c>
      <c r="R36" s="192">
        <f>IF(E36="","",IF(COUNTIFS(rCom,E36,rTipoE,"Gasto")=0,"Sin registros",_xlfn.MAXIFS(rFecha,rCom,E36,rTipoE,"Gasto")))</f>
        <v/>
      </c>
      <c r="S36" s="194">
        <f>IF(B36="","",IF(K36="No","Inactiva",IF(P36="","Falta fecha",IF(Q36&lt;=0,"⚠ Vence hoy",IF(Q36&lt;=7,"⚠ Vence en "&amp;Q36&amp;" días","✓ Próximo en "&amp;Q36&amp;" días")))))</f>
        <v/>
      </c>
      <c r="T36" s="195">
        <f>IFERROR(INDEX(frecMeses,MATCH(H36,frecNombre,0)),1)</f>
        <v/>
      </c>
      <c r="U36" s="195">
        <f>IFERROR(INDEX(frecDias,MATCH(H36,frecNombre,0)),0)</f>
        <v/>
      </c>
    </row>
    <row r="37">
      <c r="B37" s="184" t="n"/>
      <c r="C37" s="185" t="n"/>
      <c r="D37" s="185" t="n"/>
      <c r="E37" s="185" t="n"/>
      <c r="F37" s="186" t="n"/>
      <c r="G37" s="187" t="n"/>
      <c r="H37" s="187" t="n"/>
      <c r="I37" s="188" t="n"/>
      <c r="J37" s="185" t="n"/>
      <c r="K37" s="187" t="n"/>
      <c r="L37" s="189" t="n"/>
      <c r="M37" s="190">
        <f>IF(OR(B37="",F37=""),"",F37*IF(G37="USD",TasaUSD,1))</f>
        <v/>
      </c>
      <c r="N37" s="191">
        <f>IF(OR(M37="",K37="No"),"",M37*IFERROR(INDEX(frecFactor,MATCH(H37,frecNombre,0)),1))</f>
        <v/>
      </c>
      <c r="O37" s="190">
        <f>IF(N37="","",N37*12)</f>
        <v/>
      </c>
      <c r="P37" s="192">
        <f>IF(OR(B37="",NOT(ISNUMBER(I37)),K37="No"),"",IF(I37&gt;TODAY(),I37,IF(T37&gt;0,IF(EDATE(I37,T37*MAX(1,CEILING(DATEDIF(I37,TODAY(),"m")/T37,1)))&lt;TODAY(),EDATE(I37,T37*(MAX(1,CEILING(DATEDIF(I37,TODAY(),"m")/T37,1))+1)),EDATE(I37,T37*MAX(1,CEILING(DATEDIF(I37,TODAY(),"m")/T37,1)))),I37+MAX(1,U37)*MAX(1,CEILING((TODAY()-I37)/MAX(1,U37),1)))))</f>
        <v/>
      </c>
      <c r="Q37" s="193">
        <f>IF(P37="","",P37-TODAY())</f>
        <v/>
      </c>
      <c r="R37" s="192">
        <f>IF(E37="","",IF(COUNTIFS(rCom,E37,rTipoE,"Gasto")=0,"Sin registros",_xlfn.MAXIFS(rFecha,rCom,E37,rTipoE,"Gasto")))</f>
        <v/>
      </c>
      <c r="S37" s="194">
        <f>IF(B37="","",IF(K37="No","Inactiva",IF(P37="","Falta fecha",IF(Q37&lt;=0,"⚠ Vence hoy",IF(Q37&lt;=7,"⚠ Vence en "&amp;Q37&amp;" días","✓ Próximo en "&amp;Q37&amp;" días")))))</f>
        <v/>
      </c>
      <c r="T37" s="195">
        <f>IFERROR(INDEX(frecMeses,MATCH(H37,frecNombre,0)),1)</f>
        <v/>
      </c>
      <c r="U37" s="195">
        <f>IFERROR(INDEX(frecDias,MATCH(H37,frecNombre,0)),0)</f>
        <v/>
      </c>
    </row>
    <row r="38">
      <c r="B38" s="184" t="n"/>
      <c r="C38" s="185" t="n"/>
      <c r="D38" s="185" t="n"/>
      <c r="E38" s="185" t="n"/>
      <c r="F38" s="186" t="n"/>
      <c r="G38" s="187" t="n"/>
      <c r="H38" s="187" t="n"/>
      <c r="I38" s="188" t="n"/>
      <c r="J38" s="185" t="n"/>
      <c r="K38" s="187" t="n"/>
      <c r="L38" s="189" t="n"/>
      <c r="M38" s="190">
        <f>IF(OR(B38="",F38=""),"",F38*IF(G38="USD",TasaUSD,1))</f>
        <v/>
      </c>
      <c r="N38" s="191">
        <f>IF(OR(M38="",K38="No"),"",M38*IFERROR(INDEX(frecFactor,MATCH(H38,frecNombre,0)),1))</f>
        <v/>
      </c>
      <c r="O38" s="190">
        <f>IF(N38="","",N38*12)</f>
        <v/>
      </c>
      <c r="P38" s="192">
        <f>IF(OR(B38="",NOT(ISNUMBER(I38)),K38="No"),"",IF(I38&gt;TODAY(),I38,IF(T38&gt;0,IF(EDATE(I38,T38*MAX(1,CEILING(DATEDIF(I38,TODAY(),"m")/T38,1)))&lt;TODAY(),EDATE(I38,T38*(MAX(1,CEILING(DATEDIF(I38,TODAY(),"m")/T38,1))+1)),EDATE(I38,T38*MAX(1,CEILING(DATEDIF(I38,TODAY(),"m")/T38,1)))),I38+MAX(1,U38)*MAX(1,CEILING((TODAY()-I38)/MAX(1,U38),1)))))</f>
        <v/>
      </c>
      <c r="Q38" s="193">
        <f>IF(P38="","",P38-TODAY())</f>
        <v/>
      </c>
      <c r="R38" s="192">
        <f>IF(E38="","",IF(COUNTIFS(rCom,E38,rTipoE,"Gasto")=0,"Sin registros",_xlfn.MAXIFS(rFecha,rCom,E38,rTipoE,"Gasto")))</f>
        <v/>
      </c>
      <c r="S38" s="194">
        <f>IF(B38="","",IF(K38="No","Inactiva",IF(P38="","Falta fecha",IF(Q38&lt;=0,"⚠ Vence hoy",IF(Q38&lt;=7,"⚠ Vence en "&amp;Q38&amp;" días","✓ Próximo en "&amp;Q38&amp;" días")))))</f>
        <v/>
      </c>
      <c r="T38" s="195">
        <f>IFERROR(INDEX(frecMeses,MATCH(H38,frecNombre,0)),1)</f>
        <v/>
      </c>
      <c r="U38" s="195">
        <f>IFERROR(INDEX(frecDias,MATCH(H38,frecNombre,0)),0)</f>
        <v/>
      </c>
    </row>
    <row r="39">
      <c r="B39" s="184" t="n"/>
      <c r="C39" s="185" t="n"/>
      <c r="D39" s="185" t="n"/>
      <c r="E39" s="185" t="n"/>
      <c r="F39" s="186" t="n"/>
      <c r="G39" s="187" t="n"/>
      <c r="H39" s="187" t="n"/>
      <c r="I39" s="188" t="n"/>
      <c r="J39" s="185" t="n"/>
      <c r="K39" s="187" t="n"/>
      <c r="L39" s="189" t="n"/>
      <c r="M39" s="190">
        <f>IF(OR(B39="",F39=""),"",F39*IF(G39="USD",TasaUSD,1))</f>
        <v/>
      </c>
      <c r="N39" s="191">
        <f>IF(OR(M39="",K39="No"),"",M39*IFERROR(INDEX(frecFactor,MATCH(H39,frecNombre,0)),1))</f>
        <v/>
      </c>
      <c r="O39" s="190">
        <f>IF(N39="","",N39*12)</f>
        <v/>
      </c>
      <c r="P39" s="192">
        <f>IF(OR(B39="",NOT(ISNUMBER(I39)),K39="No"),"",IF(I39&gt;TODAY(),I39,IF(T39&gt;0,IF(EDATE(I39,T39*MAX(1,CEILING(DATEDIF(I39,TODAY(),"m")/T39,1)))&lt;TODAY(),EDATE(I39,T39*(MAX(1,CEILING(DATEDIF(I39,TODAY(),"m")/T39,1))+1)),EDATE(I39,T39*MAX(1,CEILING(DATEDIF(I39,TODAY(),"m")/T39,1)))),I39+MAX(1,U39)*MAX(1,CEILING((TODAY()-I39)/MAX(1,U39),1)))))</f>
        <v/>
      </c>
      <c r="Q39" s="193">
        <f>IF(P39="","",P39-TODAY())</f>
        <v/>
      </c>
      <c r="R39" s="192">
        <f>IF(E39="","",IF(COUNTIFS(rCom,E39,rTipoE,"Gasto")=0,"Sin registros",_xlfn.MAXIFS(rFecha,rCom,E39,rTipoE,"Gasto")))</f>
        <v/>
      </c>
      <c r="S39" s="194">
        <f>IF(B39="","",IF(K39="No","Inactiva",IF(P39="","Falta fecha",IF(Q39&lt;=0,"⚠ Vence hoy",IF(Q39&lt;=7,"⚠ Vence en "&amp;Q39&amp;" días","✓ Próximo en "&amp;Q39&amp;" días")))))</f>
        <v/>
      </c>
      <c r="T39" s="195">
        <f>IFERROR(INDEX(frecMeses,MATCH(H39,frecNombre,0)),1)</f>
        <v/>
      </c>
      <c r="U39" s="195">
        <f>IFERROR(INDEX(frecDias,MATCH(H39,frecNombre,0)),0)</f>
        <v/>
      </c>
    </row>
    <row r="40">
      <c r="B40" s="184" t="n"/>
      <c r="C40" s="185" t="n"/>
      <c r="D40" s="185" t="n"/>
      <c r="E40" s="185" t="n"/>
      <c r="F40" s="186" t="n"/>
      <c r="G40" s="187" t="n"/>
      <c r="H40" s="187" t="n"/>
      <c r="I40" s="188" t="n"/>
      <c r="J40" s="185" t="n"/>
      <c r="K40" s="187" t="n"/>
      <c r="L40" s="189" t="n"/>
      <c r="M40" s="190">
        <f>IF(OR(B40="",F40=""),"",F40*IF(G40="USD",TasaUSD,1))</f>
        <v/>
      </c>
      <c r="N40" s="191">
        <f>IF(OR(M40="",K40="No"),"",M40*IFERROR(INDEX(frecFactor,MATCH(H40,frecNombre,0)),1))</f>
        <v/>
      </c>
      <c r="O40" s="190">
        <f>IF(N40="","",N40*12)</f>
        <v/>
      </c>
      <c r="P40" s="192">
        <f>IF(OR(B40="",NOT(ISNUMBER(I40)),K40="No"),"",IF(I40&gt;TODAY(),I40,IF(T40&gt;0,IF(EDATE(I40,T40*MAX(1,CEILING(DATEDIF(I40,TODAY(),"m")/T40,1)))&lt;TODAY(),EDATE(I40,T40*(MAX(1,CEILING(DATEDIF(I40,TODAY(),"m")/T40,1))+1)),EDATE(I40,T40*MAX(1,CEILING(DATEDIF(I40,TODAY(),"m")/T40,1)))),I40+MAX(1,U40)*MAX(1,CEILING((TODAY()-I40)/MAX(1,U40),1)))))</f>
        <v/>
      </c>
      <c r="Q40" s="193">
        <f>IF(P40="","",P40-TODAY())</f>
        <v/>
      </c>
      <c r="R40" s="192">
        <f>IF(E40="","",IF(COUNTIFS(rCom,E40,rTipoE,"Gasto")=0,"Sin registros",_xlfn.MAXIFS(rFecha,rCom,E40,rTipoE,"Gasto")))</f>
        <v/>
      </c>
      <c r="S40" s="194">
        <f>IF(B40="","",IF(K40="No","Inactiva",IF(P40="","Falta fecha",IF(Q40&lt;=0,"⚠ Vence hoy",IF(Q40&lt;=7,"⚠ Vence en "&amp;Q40&amp;" días","✓ Próximo en "&amp;Q40&amp;" días")))))</f>
        <v/>
      </c>
      <c r="T40" s="195">
        <f>IFERROR(INDEX(frecMeses,MATCH(H40,frecNombre,0)),1)</f>
        <v/>
      </c>
      <c r="U40" s="195">
        <f>IFERROR(INDEX(frecDias,MATCH(H40,frecNombre,0)),0)</f>
        <v/>
      </c>
    </row>
    <row r="41">
      <c r="B41" s="184" t="n"/>
      <c r="C41" s="185" t="n"/>
      <c r="D41" s="185" t="n"/>
      <c r="E41" s="185" t="n"/>
      <c r="F41" s="186" t="n"/>
      <c r="G41" s="187" t="n"/>
      <c r="H41" s="187" t="n"/>
      <c r="I41" s="188" t="n"/>
      <c r="J41" s="185" t="n"/>
      <c r="K41" s="187" t="n"/>
      <c r="L41" s="189" t="n"/>
      <c r="M41" s="190">
        <f>IF(OR(B41="",F41=""),"",F41*IF(G41="USD",TasaUSD,1))</f>
        <v/>
      </c>
      <c r="N41" s="191">
        <f>IF(OR(M41="",K41="No"),"",M41*IFERROR(INDEX(frecFactor,MATCH(H41,frecNombre,0)),1))</f>
        <v/>
      </c>
      <c r="O41" s="190">
        <f>IF(N41="","",N41*12)</f>
        <v/>
      </c>
      <c r="P41" s="192">
        <f>IF(OR(B41="",NOT(ISNUMBER(I41)),K41="No"),"",IF(I41&gt;TODAY(),I41,IF(T41&gt;0,IF(EDATE(I41,T41*MAX(1,CEILING(DATEDIF(I41,TODAY(),"m")/T41,1)))&lt;TODAY(),EDATE(I41,T41*(MAX(1,CEILING(DATEDIF(I41,TODAY(),"m")/T41,1))+1)),EDATE(I41,T41*MAX(1,CEILING(DATEDIF(I41,TODAY(),"m")/T41,1)))),I41+MAX(1,U41)*MAX(1,CEILING((TODAY()-I41)/MAX(1,U41),1)))))</f>
        <v/>
      </c>
      <c r="Q41" s="193">
        <f>IF(P41="","",P41-TODAY())</f>
        <v/>
      </c>
      <c r="R41" s="192">
        <f>IF(E41="","",IF(COUNTIFS(rCom,E41,rTipoE,"Gasto")=0,"Sin registros",_xlfn.MAXIFS(rFecha,rCom,E41,rTipoE,"Gasto")))</f>
        <v/>
      </c>
      <c r="S41" s="194">
        <f>IF(B41="","",IF(K41="No","Inactiva",IF(P41="","Falta fecha",IF(Q41&lt;=0,"⚠ Vence hoy",IF(Q41&lt;=7,"⚠ Vence en "&amp;Q41&amp;" días","✓ Próximo en "&amp;Q41&amp;" días")))))</f>
        <v/>
      </c>
      <c r="T41" s="195">
        <f>IFERROR(INDEX(frecMeses,MATCH(H41,frecNombre,0)),1)</f>
        <v/>
      </c>
      <c r="U41" s="195">
        <f>IFERROR(INDEX(frecDias,MATCH(H41,frecNombre,0)),0)</f>
        <v/>
      </c>
    </row>
    <row r="42">
      <c r="B42" s="184" t="n"/>
      <c r="C42" s="185" t="n"/>
      <c r="D42" s="185" t="n"/>
      <c r="E42" s="185" t="n"/>
      <c r="F42" s="186" t="n"/>
      <c r="G42" s="187" t="n"/>
      <c r="H42" s="187" t="n"/>
      <c r="I42" s="188" t="n"/>
      <c r="J42" s="185" t="n"/>
      <c r="K42" s="187" t="n"/>
      <c r="L42" s="189" t="n"/>
      <c r="M42" s="190">
        <f>IF(OR(B42="",F42=""),"",F42*IF(G42="USD",TasaUSD,1))</f>
        <v/>
      </c>
      <c r="N42" s="191">
        <f>IF(OR(M42="",K42="No"),"",M42*IFERROR(INDEX(frecFactor,MATCH(H42,frecNombre,0)),1))</f>
        <v/>
      </c>
      <c r="O42" s="190">
        <f>IF(N42="","",N42*12)</f>
        <v/>
      </c>
      <c r="P42" s="192">
        <f>IF(OR(B42="",NOT(ISNUMBER(I42)),K42="No"),"",IF(I42&gt;TODAY(),I42,IF(T42&gt;0,IF(EDATE(I42,T42*MAX(1,CEILING(DATEDIF(I42,TODAY(),"m")/T42,1)))&lt;TODAY(),EDATE(I42,T42*(MAX(1,CEILING(DATEDIF(I42,TODAY(),"m")/T42,1))+1)),EDATE(I42,T42*MAX(1,CEILING(DATEDIF(I42,TODAY(),"m")/T42,1)))),I42+MAX(1,U42)*MAX(1,CEILING((TODAY()-I42)/MAX(1,U42),1)))))</f>
        <v/>
      </c>
      <c r="Q42" s="193">
        <f>IF(P42="","",P42-TODAY())</f>
        <v/>
      </c>
      <c r="R42" s="192">
        <f>IF(E42="","",IF(COUNTIFS(rCom,E42,rTipoE,"Gasto")=0,"Sin registros",_xlfn.MAXIFS(rFecha,rCom,E42,rTipoE,"Gasto")))</f>
        <v/>
      </c>
      <c r="S42" s="194">
        <f>IF(B42="","",IF(K42="No","Inactiva",IF(P42="","Falta fecha",IF(Q42&lt;=0,"⚠ Vence hoy",IF(Q42&lt;=7,"⚠ Vence en "&amp;Q42&amp;" días","✓ Próximo en "&amp;Q42&amp;" días")))))</f>
        <v/>
      </c>
      <c r="T42" s="195">
        <f>IFERROR(INDEX(frecMeses,MATCH(H42,frecNombre,0)),1)</f>
        <v/>
      </c>
      <c r="U42" s="195">
        <f>IFERROR(INDEX(frecDias,MATCH(H42,frecNombre,0)),0)</f>
        <v/>
      </c>
    </row>
    <row r="43">
      <c r="B43" s="184" t="n"/>
      <c r="C43" s="185" t="n"/>
      <c r="D43" s="185" t="n"/>
      <c r="E43" s="185" t="n"/>
      <c r="F43" s="186" t="n"/>
      <c r="G43" s="187" t="n"/>
      <c r="H43" s="187" t="n"/>
      <c r="I43" s="188" t="n"/>
      <c r="J43" s="185" t="n"/>
      <c r="K43" s="187" t="n"/>
      <c r="L43" s="189" t="n"/>
      <c r="M43" s="190">
        <f>IF(OR(B43="",F43=""),"",F43*IF(G43="USD",TasaUSD,1))</f>
        <v/>
      </c>
      <c r="N43" s="191">
        <f>IF(OR(M43="",K43="No"),"",M43*IFERROR(INDEX(frecFactor,MATCH(H43,frecNombre,0)),1))</f>
        <v/>
      </c>
      <c r="O43" s="190">
        <f>IF(N43="","",N43*12)</f>
        <v/>
      </c>
      <c r="P43" s="192">
        <f>IF(OR(B43="",NOT(ISNUMBER(I43)),K43="No"),"",IF(I43&gt;TODAY(),I43,IF(T43&gt;0,IF(EDATE(I43,T43*MAX(1,CEILING(DATEDIF(I43,TODAY(),"m")/T43,1)))&lt;TODAY(),EDATE(I43,T43*(MAX(1,CEILING(DATEDIF(I43,TODAY(),"m")/T43,1))+1)),EDATE(I43,T43*MAX(1,CEILING(DATEDIF(I43,TODAY(),"m")/T43,1)))),I43+MAX(1,U43)*MAX(1,CEILING((TODAY()-I43)/MAX(1,U43),1)))))</f>
        <v/>
      </c>
      <c r="Q43" s="193">
        <f>IF(P43="","",P43-TODAY())</f>
        <v/>
      </c>
      <c r="R43" s="192">
        <f>IF(E43="","",IF(COUNTIFS(rCom,E43,rTipoE,"Gasto")=0,"Sin registros",_xlfn.MAXIFS(rFecha,rCom,E43,rTipoE,"Gasto")))</f>
        <v/>
      </c>
      <c r="S43" s="194">
        <f>IF(B43="","",IF(K43="No","Inactiva",IF(P43="","Falta fecha",IF(Q43&lt;=0,"⚠ Vence hoy",IF(Q43&lt;=7,"⚠ Vence en "&amp;Q43&amp;" días","✓ Próximo en "&amp;Q43&amp;" días")))))</f>
        <v/>
      </c>
      <c r="T43" s="195">
        <f>IFERROR(INDEX(frecMeses,MATCH(H43,frecNombre,0)),1)</f>
        <v/>
      </c>
      <c r="U43" s="195">
        <f>IFERROR(INDEX(frecDias,MATCH(H43,frecNombre,0)),0)</f>
        <v/>
      </c>
    </row>
    <row r="44">
      <c r="B44" s="184" t="n"/>
      <c r="C44" s="185" t="n"/>
      <c r="D44" s="185" t="n"/>
      <c r="E44" s="185" t="n"/>
      <c r="F44" s="186" t="n"/>
      <c r="G44" s="187" t="n"/>
      <c r="H44" s="187" t="n"/>
      <c r="I44" s="188" t="n"/>
      <c r="J44" s="185" t="n"/>
      <c r="K44" s="187" t="n"/>
      <c r="L44" s="189" t="n"/>
      <c r="M44" s="190">
        <f>IF(OR(B44="",F44=""),"",F44*IF(G44="USD",TasaUSD,1))</f>
        <v/>
      </c>
      <c r="N44" s="191">
        <f>IF(OR(M44="",K44="No"),"",M44*IFERROR(INDEX(frecFactor,MATCH(H44,frecNombre,0)),1))</f>
        <v/>
      </c>
      <c r="O44" s="190">
        <f>IF(N44="","",N44*12)</f>
        <v/>
      </c>
      <c r="P44" s="192">
        <f>IF(OR(B44="",NOT(ISNUMBER(I44)),K44="No"),"",IF(I44&gt;TODAY(),I44,IF(T44&gt;0,IF(EDATE(I44,T44*MAX(1,CEILING(DATEDIF(I44,TODAY(),"m")/T44,1)))&lt;TODAY(),EDATE(I44,T44*(MAX(1,CEILING(DATEDIF(I44,TODAY(),"m")/T44,1))+1)),EDATE(I44,T44*MAX(1,CEILING(DATEDIF(I44,TODAY(),"m")/T44,1)))),I44+MAX(1,U44)*MAX(1,CEILING((TODAY()-I44)/MAX(1,U44),1)))))</f>
        <v/>
      </c>
      <c r="Q44" s="193">
        <f>IF(P44="","",P44-TODAY())</f>
        <v/>
      </c>
      <c r="R44" s="192">
        <f>IF(E44="","",IF(COUNTIFS(rCom,E44,rTipoE,"Gasto")=0,"Sin registros",_xlfn.MAXIFS(rFecha,rCom,E44,rTipoE,"Gasto")))</f>
        <v/>
      </c>
      <c r="S44" s="194">
        <f>IF(B44="","",IF(K44="No","Inactiva",IF(P44="","Falta fecha",IF(Q44&lt;=0,"⚠ Vence hoy",IF(Q44&lt;=7,"⚠ Vence en "&amp;Q44&amp;" días","✓ Próximo en "&amp;Q44&amp;" días")))))</f>
        <v/>
      </c>
      <c r="T44" s="195">
        <f>IFERROR(INDEX(frecMeses,MATCH(H44,frecNombre,0)),1)</f>
        <v/>
      </c>
      <c r="U44" s="195">
        <f>IFERROR(INDEX(frecDias,MATCH(H44,frecNombre,0)),0)</f>
        <v/>
      </c>
    </row>
    <row r="45">
      <c r="B45" s="184" t="n"/>
      <c r="C45" s="185" t="n"/>
      <c r="D45" s="185" t="n"/>
      <c r="E45" s="185" t="n"/>
      <c r="F45" s="186" t="n"/>
      <c r="G45" s="187" t="n"/>
      <c r="H45" s="187" t="n"/>
      <c r="I45" s="188" t="n"/>
      <c r="J45" s="185" t="n"/>
      <c r="K45" s="187" t="n"/>
      <c r="L45" s="189" t="n"/>
      <c r="M45" s="190">
        <f>IF(OR(B45="",F45=""),"",F45*IF(G45="USD",TasaUSD,1))</f>
        <v/>
      </c>
      <c r="N45" s="191">
        <f>IF(OR(M45="",K45="No"),"",M45*IFERROR(INDEX(frecFactor,MATCH(H45,frecNombre,0)),1))</f>
        <v/>
      </c>
      <c r="O45" s="190">
        <f>IF(N45="","",N45*12)</f>
        <v/>
      </c>
      <c r="P45" s="192">
        <f>IF(OR(B45="",NOT(ISNUMBER(I45)),K45="No"),"",IF(I45&gt;TODAY(),I45,IF(T45&gt;0,IF(EDATE(I45,T45*MAX(1,CEILING(DATEDIF(I45,TODAY(),"m")/T45,1)))&lt;TODAY(),EDATE(I45,T45*(MAX(1,CEILING(DATEDIF(I45,TODAY(),"m")/T45,1))+1)),EDATE(I45,T45*MAX(1,CEILING(DATEDIF(I45,TODAY(),"m")/T45,1)))),I45+MAX(1,U45)*MAX(1,CEILING((TODAY()-I45)/MAX(1,U45),1)))))</f>
        <v/>
      </c>
      <c r="Q45" s="193">
        <f>IF(P45="","",P45-TODAY())</f>
        <v/>
      </c>
      <c r="R45" s="192">
        <f>IF(E45="","",IF(COUNTIFS(rCom,E45,rTipoE,"Gasto")=0,"Sin registros",_xlfn.MAXIFS(rFecha,rCom,E45,rTipoE,"Gasto")))</f>
        <v/>
      </c>
      <c r="S45" s="194">
        <f>IF(B45="","",IF(K45="No","Inactiva",IF(P45="","Falta fecha",IF(Q45&lt;=0,"⚠ Vence hoy",IF(Q45&lt;=7,"⚠ Vence en "&amp;Q45&amp;" días","✓ Próximo en "&amp;Q45&amp;" días")))))</f>
        <v/>
      </c>
      <c r="T45" s="195">
        <f>IFERROR(INDEX(frecMeses,MATCH(H45,frecNombre,0)),1)</f>
        <v/>
      </c>
      <c r="U45" s="195">
        <f>IFERROR(INDEX(frecDias,MATCH(H45,frecNombre,0)),0)</f>
        <v/>
      </c>
    </row>
    <row r="46">
      <c r="B46" s="184" t="n"/>
      <c r="C46" s="185" t="n"/>
      <c r="D46" s="185" t="n"/>
      <c r="E46" s="185" t="n"/>
      <c r="F46" s="186" t="n"/>
      <c r="G46" s="187" t="n"/>
      <c r="H46" s="187" t="n"/>
      <c r="I46" s="188" t="n"/>
      <c r="J46" s="185" t="n"/>
      <c r="K46" s="187" t="n"/>
      <c r="L46" s="189" t="n"/>
      <c r="M46" s="190">
        <f>IF(OR(B46="",F46=""),"",F46*IF(G46="USD",TasaUSD,1))</f>
        <v/>
      </c>
      <c r="N46" s="191">
        <f>IF(OR(M46="",K46="No"),"",M46*IFERROR(INDEX(frecFactor,MATCH(H46,frecNombre,0)),1))</f>
        <v/>
      </c>
      <c r="O46" s="190">
        <f>IF(N46="","",N46*12)</f>
        <v/>
      </c>
      <c r="P46" s="192">
        <f>IF(OR(B46="",NOT(ISNUMBER(I46)),K46="No"),"",IF(I46&gt;TODAY(),I46,IF(T46&gt;0,IF(EDATE(I46,T46*MAX(1,CEILING(DATEDIF(I46,TODAY(),"m")/T46,1)))&lt;TODAY(),EDATE(I46,T46*(MAX(1,CEILING(DATEDIF(I46,TODAY(),"m")/T46,1))+1)),EDATE(I46,T46*MAX(1,CEILING(DATEDIF(I46,TODAY(),"m")/T46,1)))),I46+MAX(1,U46)*MAX(1,CEILING((TODAY()-I46)/MAX(1,U46),1)))))</f>
        <v/>
      </c>
      <c r="Q46" s="193">
        <f>IF(P46="","",P46-TODAY())</f>
        <v/>
      </c>
      <c r="R46" s="192">
        <f>IF(E46="","",IF(COUNTIFS(rCom,E46,rTipoE,"Gasto")=0,"Sin registros",_xlfn.MAXIFS(rFecha,rCom,E46,rTipoE,"Gasto")))</f>
        <v/>
      </c>
      <c r="S46" s="194">
        <f>IF(B46="","",IF(K46="No","Inactiva",IF(P46="","Falta fecha",IF(Q46&lt;=0,"⚠ Vence hoy",IF(Q46&lt;=7,"⚠ Vence en "&amp;Q46&amp;" días","✓ Próximo en "&amp;Q46&amp;" días")))))</f>
        <v/>
      </c>
      <c r="T46" s="195">
        <f>IFERROR(INDEX(frecMeses,MATCH(H46,frecNombre,0)),1)</f>
        <v/>
      </c>
      <c r="U46" s="195">
        <f>IFERROR(INDEX(frecDias,MATCH(H46,frecNombre,0)),0)</f>
        <v/>
      </c>
    </row>
    <row r="47">
      <c r="B47" s="184" t="n"/>
      <c r="C47" s="185" t="n"/>
      <c r="D47" s="185" t="n"/>
      <c r="E47" s="185" t="n"/>
      <c r="F47" s="186" t="n"/>
      <c r="G47" s="187" t="n"/>
      <c r="H47" s="187" t="n"/>
      <c r="I47" s="188" t="n"/>
      <c r="J47" s="185" t="n"/>
      <c r="K47" s="187" t="n"/>
      <c r="L47" s="189" t="n"/>
      <c r="M47" s="190">
        <f>IF(OR(B47="",F47=""),"",F47*IF(G47="USD",TasaUSD,1))</f>
        <v/>
      </c>
      <c r="N47" s="191">
        <f>IF(OR(M47="",K47="No"),"",M47*IFERROR(INDEX(frecFactor,MATCH(H47,frecNombre,0)),1))</f>
        <v/>
      </c>
      <c r="O47" s="190">
        <f>IF(N47="","",N47*12)</f>
        <v/>
      </c>
      <c r="P47" s="192">
        <f>IF(OR(B47="",NOT(ISNUMBER(I47)),K47="No"),"",IF(I47&gt;TODAY(),I47,IF(T47&gt;0,IF(EDATE(I47,T47*MAX(1,CEILING(DATEDIF(I47,TODAY(),"m")/T47,1)))&lt;TODAY(),EDATE(I47,T47*(MAX(1,CEILING(DATEDIF(I47,TODAY(),"m")/T47,1))+1)),EDATE(I47,T47*MAX(1,CEILING(DATEDIF(I47,TODAY(),"m")/T47,1)))),I47+MAX(1,U47)*MAX(1,CEILING((TODAY()-I47)/MAX(1,U47),1)))))</f>
        <v/>
      </c>
      <c r="Q47" s="193">
        <f>IF(P47="","",P47-TODAY())</f>
        <v/>
      </c>
      <c r="R47" s="192">
        <f>IF(E47="","",IF(COUNTIFS(rCom,E47,rTipoE,"Gasto")=0,"Sin registros",_xlfn.MAXIFS(rFecha,rCom,E47,rTipoE,"Gasto")))</f>
        <v/>
      </c>
      <c r="S47" s="194">
        <f>IF(B47="","",IF(K47="No","Inactiva",IF(P47="","Falta fecha",IF(Q47&lt;=0,"⚠ Vence hoy",IF(Q47&lt;=7,"⚠ Vence en "&amp;Q47&amp;" días","✓ Próximo en "&amp;Q47&amp;" días")))))</f>
        <v/>
      </c>
      <c r="T47" s="195">
        <f>IFERROR(INDEX(frecMeses,MATCH(H47,frecNombre,0)),1)</f>
        <v/>
      </c>
      <c r="U47" s="195">
        <f>IFERROR(INDEX(frecDias,MATCH(H47,frecNombre,0)),0)</f>
        <v/>
      </c>
    </row>
    <row r="48">
      <c r="B48" s="184" t="n"/>
      <c r="C48" s="185" t="n"/>
      <c r="D48" s="185" t="n"/>
      <c r="E48" s="185" t="n"/>
      <c r="F48" s="186" t="n"/>
      <c r="G48" s="187" t="n"/>
      <c r="H48" s="187" t="n"/>
      <c r="I48" s="188" t="n"/>
      <c r="J48" s="185" t="n"/>
      <c r="K48" s="187" t="n"/>
      <c r="L48" s="189" t="n"/>
      <c r="M48" s="190">
        <f>IF(OR(B48="",F48=""),"",F48*IF(G48="USD",TasaUSD,1))</f>
        <v/>
      </c>
      <c r="N48" s="191">
        <f>IF(OR(M48="",K48="No"),"",M48*IFERROR(INDEX(frecFactor,MATCH(H48,frecNombre,0)),1))</f>
        <v/>
      </c>
      <c r="O48" s="190">
        <f>IF(N48="","",N48*12)</f>
        <v/>
      </c>
      <c r="P48" s="192">
        <f>IF(OR(B48="",NOT(ISNUMBER(I48)),K48="No"),"",IF(I48&gt;TODAY(),I48,IF(T48&gt;0,IF(EDATE(I48,T48*MAX(1,CEILING(DATEDIF(I48,TODAY(),"m")/T48,1)))&lt;TODAY(),EDATE(I48,T48*(MAX(1,CEILING(DATEDIF(I48,TODAY(),"m")/T48,1))+1)),EDATE(I48,T48*MAX(1,CEILING(DATEDIF(I48,TODAY(),"m")/T48,1)))),I48+MAX(1,U48)*MAX(1,CEILING((TODAY()-I48)/MAX(1,U48),1)))))</f>
        <v/>
      </c>
      <c r="Q48" s="193">
        <f>IF(P48="","",P48-TODAY())</f>
        <v/>
      </c>
      <c r="R48" s="192">
        <f>IF(E48="","",IF(COUNTIFS(rCom,E48,rTipoE,"Gasto")=0,"Sin registros",_xlfn.MAXIFS(rFecha,rCom,E48,rTipoE,"Gasto")))</f>
        <v/>
      </c>
      <c r="S48" s="194">
        <f>IF(B48="","",IF(K48="No","Inactiva",IF(P48="","Falta fecha",IF(Q48&lt;=0,"⚠ Vence hoy",IF(Q48&lt;=7,"⚠ Vence en "&amp;Q48&amp;" días","✓ Próximo en "&amp;Q48&amp;" días")))))</f>
        <v/>
      </c>
      <c r="T48" s="195">
        <f>IFERROR(INDEX(frecMeses,MATCH(H48,frecNombre,0)),1)</f>
        <v/>
      </c>
      <c r="U48" s="195">
        <f>IFERROR(INDEX(frecDias,MATCH(H48,frecNombre,0)),0)</f>
        <v/>
      </c>
    </row>
    <row r="49">
      <c r="B49" s="184" t="n"/>
      <c r="C49" s="185" t="n"/>
      <c r="D49" s="185" t="n"/>
      <c r="E49" s="185" t="n"/>
      <c r="F49" s="186" t="n"/>
      <c r="G49" s="187" t="n"/>
      <c r="H49" s="187" t="n"/>
      <c r="I49" s="188" t="n"/>
      <c r="J49" s="185" t="n"/>
      <c r="K49" s="187" t="n"/>
      <c r="L49" s="189" t="n"/>
      <c r="M49" s="190">
        <f>IF(OR(B49="",F49=""),"",F49*IF(G49="USD",TasaUSD,1))</f>
        <v/>
      </c>
      <c r="N49" s="191">
        <f>IF(OR(M49="",K49="No"),"",M49*IFERROR(INDEX(frecFactor,MATCH(H49,frecNombre,0)),1))</f>
        <v/>
      </c>
      <c r="O49" s="190">
        <f>IF(N49="","",N49*12)</f>
        <v/>
      </c>
      <c r="P49" s="192">
        <f>IF(OR(B49="",NOT(ISNUMBER(I49)),K49="No"),"",IF(I49&gt;TODAY(),I49,IF(T49&gt;0,IF(EDATE(I49,T49*MAX(1,CEILING(DATEDIF(I49,TODAY(),"m")/T49,1)))&lt;TODAY(),EDATE(I49,T49*(MAX(1,CEILING(DATEDIF(I49,TODAY(),"m")/T49,1))+1)),EDATE(I49,T49*MAX(1,CEILING(DATEDIF(I49,TODAY(),"m")/T49,1)))),I49+MAX(1,U49)*MAX(1,CEILING((TODAY()-I49)/MAX(1,U49),1)))))</f>
        <v/>
      </c>
      <c r="Q49" s="193">
        <f>IF(P49="","",P49-TODAY())</f>
        <v/>
      </c>
      <c r="R49" s="192">
        <f>IF(E49="","",IF(COUNTIFS(rCom,E49,rTipoE,"Gasto")=0,"Sin registros",_xlfn.MAXIFS(rFecha,rCom,E49,rTipoE,"Gasto")))</f>
        <v/>
      </c>
      <c r="S49" s="194">
        <f>IF(B49="","",IF(K49="No","Inactiva",IF(P49="","Falta fecha",IF(Q49&lt;=0,"⚠ Vence hoy",IF(Q49&lt;=7,"⚠ Vence en "&amp;Q49&amp;" días","✓ Próximo en "&amp;Q49&amp;" días")))))</f>
        <v/>
      </c>
      <c r="T49" s="195">
        <f>IFERROR(INDEX(frecMeses,MATCH(H49,frecNombre,0)),1)</f>
        <v/>
      </c>
      <c r="U49" s="195">
        <f>IFERROR(INDEX(frecDias,MATCH(H49,frecNombre,0)),0)</f>
        <v/>
      </c>
    </row>
    <row r="50">
      <c r="B50" s="184" t="n"/>
      <c r="C50" s="185" t="n"/>
      <c r="D50" s="185" t="n"/>
      <c r="E50" s="185" t="n"/>
      <c r="F50" s="186" t="n"/>
      <c r="G50" s="187" t="n"/>
      <c r="H50" s="187" t="n"/>
      <c r="I50" s="188" t="n"/>
      <c r="J50" s="185" t="n"/>
      <c r="K50" s="187" t="n"/>
      <c r="L50" s="189" t="n"/>
      <c r="M50" s="190">
        <f>IF(OR(B50="",F50=""),"",F50*IF(G50="USD",TasaUSD,1))</f>
        <v/>
      </c>
      <c r="N50" s="191">
        <f>IF(OR(M50="",K50="No"),"",M50*IFERROR(INDEX(frecFactor,MATCH(H50,frecNombre,0)),1))</f>
        <v/>
      </c>
      <c r="O50" s="190">
        <f>IF(N50="","",N50*12)</f>
        <v/>
      </c>
      <c r="P50" s="192">
        <f>IF(OR(B50="",NOT(ISNUMBER(I50)),K50="No"),"",IF(I50&gt;TODAY(),I50,IF(T50&gt;0,IF(EDATE(I50,T50*MAX(1,CEILING(DATEDIF(I50,TODAY(),"m")/T50,1)))&lt;TODAY(),EDATE(I50,T50*(MAX(1,CEILING(DATEDIF(I50,TODAY(),"m")/T50,1))+1)),EDATE(I50,T50*MAX(1,CEILING(DATEDIF(I50,TODAY(),"m")/T50,1)))),I50+MAX(1,U50)*MAX(1,CEILING((TODAY()-I50)/MAX(1,U50),1)))))</f>
        <v/>
      </c>
      <c r="Q50" s="193">
        <f>IF(P50="","",P50-TODAY())</f>
        <v/>
      </c>
      <c r="R50" s="192">
        <f>IF(E50="","",IF(COUNTIFS(rCom,E50,rTipoE,"Gasto")=0,"Sin registros",_xlfn.MAXIFS(rFecha,rCom,E50,rTipoE,"Gasto")))</f>
        <v/>
      </c>
      <c r="S50" s="194">
        <f>IF(B50="","",IF(K50="No","Inactiva",IF(P50="","Falta fecha",IF(Q50&lt;=0,"⚠ Vence hoy",IF(Q50&lt;=7,"⚠ Vence en "&amp;Q50&amp;" días","✓ Próximo en "&amp;Q50&amp;" días")))))</f>
        <v/>
      </c>
      <c r="T50" s="195">
        <f>IFERROR(INDEX(frecMeses,MATCH(H50,frecNombre,0)),1)</f>
        <v/>
      </c>
      <c r="U50" s="195">
        <f>IFERROR(INDEX(frecDias,MATCH(H50,frecNombre,0)),0)</f>
        <v/>
      </c>
    </row>
    <row r="51">
      <c r="B51" s="184" t="n"/>
      <c r="C51" s="185" t="n"/>
      <c r="D51" s="185" t="n"/>
      <c r="E51" s="185" t="n"/>
      <c r="F51" s="186" t="n"/>
      <c r="G51" s="187" t="n"/>
      <c r="H51" s="187" t="n"/>
      <c r="I51" s="188" t="n"/>
      <c r="J51" s="185" t="n"/>
      <c r="K51" s="187" t="n"/>
      <c r="L51" s="189" t="n"/>
      <c r="M51" s="190">
        <f>IF(OR(B51="",F51=""),"",F51*IF(G51="USD",TasaUSD,1))</f>
        <v/>
      </c>
      <c r="N51" s="191">
        <f>IF(OR(M51="",K51="No"),"",M51*IFERROR(INDEX(frecFactor,MATCH(H51,frecNombre,0)),1))</f>
        <v/>
      </c>
      <c r="O51" s="190">
        <f>IF(N51="","",N51*12)</f>
        <v/>
      </c>
      <c r="P51" s="192">
        <f>IF(OR(B51="",NOT(ISNUMBER(I51)),K51="No"),"",IF(I51&gt;TODAY(),I51,IF(T51&gt;0,IF(EDATE(I51,T51*MAX(1,CEILING(DATEDIF(I51,TODAY(),"m")/T51,1)))&lt;TODAY(),EDATE(I51,T51*(MAX(1,CEILING(DATEDIF(I51,TODAY(),"m")/T51,1))+1)),EDATE(I51,T51*MAX(1,CEILING(DATEDIF(I51,TODAY(),"m")/T51,1)))),I51+MAX(1,U51)*MAX(1,CEILING((TODAY()-I51)/MAX(1,U51),1)))))</f>
        <v/>
      </c>
      <c r="Q51" s="193">
        <f>IF(P51="","",P51-TODAY())</f>
        <v/>
      </c>
      <c r="R51" s="192">
        <f>IF(E51="","",IF(COUNTIFS(rCom,E51,rTipoE,"Gasto")=0,"Sin registros",_xlfn.MAXIFS(rFecha,rCom,E51,rTipoE,"Gasto")))</f>
        <v/>
      </c>
      <c r="S51" s="194">
        <f>IF(B51="","",IF(K51="No","Inactiva",IF(P51="","Falta fecha",IF(Q51&lt;=0,"⚠ Vence hoy",IF(Q51&lt;=7,"⚠ Vence en "&amp;Q51&amp;" días","✓ Próximo en "&amp;Q51&amp;" días")))))</f>
        <v/>
      </c>
      <c r="T51" s="195">
        <f>IFERROR(INDEX(frecMeses,MATCH(H51,frecNombre,0)),1)</f>
        <v/>
      </c>
      <c r="U51" s="195">
        <f>IFERROR(INDEX(frecDias,MATCH(H51,frecNombre,0)),0)</f>
        <v/>
      </c>
    </row>
    <row r="52">
      <c r="B52" s="184" t="n"/>
      <c r="C52" s="185" t="n"/>
      <c r="D52" s="185" t="n"/>
      <c r="E52" s="185" t="n"/>
      <c r="F52" s="186" t="n"/>
      <c r="G52" s="187" t="n"/>
      <c r="H52" s="187" t="n"/>
      <c r="I52" s="188" t="n"/>
      <c r="J52" s="185" t="n"/>
      <c r="K52" s="187" t="n"/>
      <c r="L52" s="189" t="n"/>
      <c r="M52" s="190">
        <f>IF(OR(B52="",F52=""),"",F52*IF(G52="USD",TasaUSD,1))</f>
        <v/>
      </c>
      <c r="N52" s="191">
        <f>IF(OR(M52="",K52="No"),"",M52*IFERROR(INDEX(frecFactor,MATCH(H52,frecNombre,0)),1))</f>
        <v/>
      </c>
      <c r="O52" s="190">
        <f>IF(N52="","",N52*12)</f>
        <v/>
      </c>
      <c r="P52" s="192">
        <f>IF(OR(B52="",NOT(ISNUMBER(I52)),K52="No"),"",IF(I52&gt;TODAY(),I52,IF(T52&gt;0,IF(EDATE(I52,T52*MAX(1,CEILING(DATEDIF(I52,TODAY(),"m")/T52,1)))&lt;TODAY(),EDATE(I52,T52*(MAX(1,CEILING(DATEDIF(I52,TODAY(),"m")/T52,1))+1)),EDATE(I52,T52*MAX(1,CEILING(DATEDIF(I52,TODAY(),"m")/T52,1)))),I52+MAX(1,U52)*MAX(1,CEILING((TODAY()-I52)/MAX(1,U52),1)))))</f>
        <v/>
      </c>
      <c r="Q52" s="193">
        <f>IF(P52="","",P52-TODAY())</f>
        <v/>
      </c>
      <c r="R52" s="192">
        <f>IF(E52="","",IF(COUNTIFS(rCom,E52,rTipoE,"Gasto")=0,"Sin registros",_xlfn.MAXIFS(rFecha,rCom,E52,rTipoE,"Gasto")))</f>
        <v/>
      </c>
      <c r="S52" s="194">
        <f>IF(B52="","",IF(K52="No","Inactiva",IF(P52="","Falta fecha",IF(Q52&lt;=0,"⚠ Vence hoy",IF(Q52&lt;=7,"⚠ Vence en "&amp;Q52&amp;" días","✓ Próximo en "&amp;Q52&amp;" días")))))</f>
        <v/>
      </c>
      <c r="T52" s="195">
        <f>IFERROR(INDEX(frecMeses,MATCH(H52,frecNombre,0)),1)</f>
        <v/>
      </c>
      <c r="U52" s="195">
        <f>IFERROR(INDEX(frecDias,MATCH(H52,frecNombre,0)),0)</f>
        <v/>
      </c>
    </row>
    <row r="53">
      <c r="B53" s="184" t="n"/>
      <c r="C53" s="185" t="n"/>
      <c r="D53" s="185" t="n"/>
      <c r="E53" s="185" t="n"/>
      <c r="F53" s="186" t="n"/>
      <c r="G53" s="187" t="n"/>
      <c r="H53" s="187" t="n"/>
      <c r="I53" s="188" t="n"/>
      <c r="J53" s="185" t="n"/>
      <c r="K53" s="187" t="n"/>
      <c r="L53" s="189" t="n"/>
      <c r="M53" s="190">
        <f>IF(OR(B53="",F53=""),"",F53*IF(G53="USD",TasaUSD,1))</f>
        <v/>
      </c>
      <c r="N53" s="191">
        <f>IF(OR(M53="",K53="No"),"",M53*IFERROR(INDEX(frecFactor,MATCH(H53,frecNombre,0)),1))</f>
        <v/>
      </c>
      <c r="O53" s="190">
        <f>IF(N53="","",N53*12)</f>
        <v/>
      </c>
      <c r="P53" s="192">
        <f>IF(OR(B53="",NOT(ISNUMBER(I53)),K53="No"),"",IF(I53&gt;TODAY(),I53,IF(T53&gt;0,IF(EDATE(I53,T53*MAX(1,CEILING(DATEDIF(I53,TODAY(),"m")/T53,1)))&lt;TODAY(),EDATE(I53,T53*(MAX(1,CEILING(DATEDIF(I53,TODAY(),"m")/T53,1))+1)),EDATE(I53,T53*MAX(1,CEILING(DATEDIF(I53,TODAY(),"m")/T53,1)))),I53+MAX(1,U53)*MAX(1,CEILING((TODAY()-I53)/MAX(1,U53),1)))))</f>
        <v/>
      </c>
      <c r="Q53" s="193">
        <f>IF(P53="","",P53-TODAY())</f>
        <v/>
      </c>
      <c r="R53" s="192">
        <f>IF(E53="","",IF(COUNTIFS(rCom,E53,rTipoE,"Gasto")=0,"Sin registros",_xlfn.MAXIFS(rFecha,rCom,E53,rTipoE,"Gasto")))</f>
        <v/>
      </c>
      <c r="S53" s="194">
        <f>IF(B53="","",IF(K53="No","Inactiva",IF(P53="","Falta fecha",IF(Q53&lt;=0,"⚠ Vence hoy",IF(Q53&lt;=7,"⚠ Vence en "&amp;Q53&amp;" días","✓ Próximo en "&amp;Q53&amp;" días")))))</f>
        <v/>
      </c>
      <c r="T53" s="195">
        <f>IFERROR(INDEX(frecMeses,MATCH(H53,frecNombre,0)),1)</f>
        <v/>
      </c>
      <c r="U53" s="195">
        <f>IFERROR(INDEX(frecDias,MATCH(H53,frecNombre,0)),0)</f>
        <v/>
      </c>
    </row>
    <row r="54">
      <c r="B54" s="184" t="n"/>
      <c r="C54" s="185" t="n"/>
      <c r="D54" s="185" t="n"/>
      <c r="E54" s="185" t="n"/>
      <c r="F54" s="186" t="n"/>
      <c r="G54" s="187" t="n"/>
      <c r="H54" s="187" t="n"/>
      <c r="I54" s="188" t="n"/>
      <c r="J54" s="185" t="n"/>
      <c r="K54" s="187" t="n"/>
      <c r="L54" s="189" t="n"/>
      <c r="M54" s="190">
        <f>IF(OR(B54="",F54=""),"",F54*IF(G54="USD",TasaUSD,1))</f>
        <v/>
      </c>
      <c r="N54" s="191">
        <f>IF(OR(M54="",K54="No"),"",M54*IFERROR(INDEX(frecFactor,MATCH(H54,frecNombre,0)),1))</f>
        <v/>
      </c>
      <c r="O54" s="190">
        <f>IF(N54="","",N54*12)</f>
        <v/>
      </c>
      <c r="P54" s="192">
        <f>IF(OR(B54="",NOT(ISNUMBER(I54)),K54="No"),"",IF(I54&gt;TODAY(),I54,IF(T54&gt;0,IF(EDATE(I54,T54*MAX(1,CEILING(DATEDIF(I54,TODAY(),"m")/T54,1)))&lt;TODAY(),EDATE(I54,T54*(MAX(1,CEILING(DATEDIF(I54,TODAY(),"m")/T54,1))+1)),EDATE(I54,T54*MAX(1,CEILING(DATEDIF(I54,TODAY(),"m")/T54,1)))),I54+MAX(1,U54)*MAX(1,CEILING((TODAY()-I54)/MAX(1,U54),1)))))</f>
        <v/>
      </c>
      <c r="Q54" s="193">
        <f>IF(P54="","",P54-TODAY())</f>
        <v/>
      </c>
      <c r="R54" s="192">
        <f>IF(E54="","",IF(COUNTIFS(rCom,E54,rTipoE,"Gasto")=0,"Sin registros",_xlfn.MAXIFS(rFecha,rCom,E54,rTipoE,"Gasto")))</f>
        <v/>
      </c>
      <c r="S54" s="194">
        <f>IF(B54="","",IF(K54="No","Inactiva",IF(P54="","Falta fecha",IF(Q54&lt;=0,"⚠ Vence hoy",IF(Q54&lt;=7,"⚠ Vence en "&amp;Q54&amp;" días","✓ Próximo en "&amp;Q54&amp;" días")))))</f>
        <v/>
      </c>
      <c r="T54" s="195">
        <f>IFERROR(INDEX(frecMeses,MATCH(H54,frecNombre,0)),1)</f>
        <v/>
      </c>
      <c r="U54" s="195">
        <f>IFERROR(INDEX(frecDias,MATCH(H54,frecNombre,0)),0)</f>
        <v/>
      </c>
    </row>
    <row r="55">
      <c r="B55" s="184" t="n"/>
      <c r="C55" s="185" t="n"/>
      <c r="D55" s="185" t="n"/>
      <c r="E55" s="185" t="n"/>
      <c r="F55" s="186" t="n"/>
      <c r="G55" s="187" t="n"/>
      <c r="H55" s="187" t="n"/>
      <c r="I55" s="188" t="n"/>
      <c r="J55" s="185" t="n"/>
      <c r="K55" s="187" t="n"/>
      <c r="L55" s="189" t="n"/>
      <c r="M55" s="190">
        <f>IF(OR(B55="",F55=""),"",F55*IF(G55="USD",TasaUSD,1))</f>
        <v/>
      </c>
      <c r="N55" s="191">
        <f>IF(OR(M55="",K55="No"),"",M55*IFERROR(INDEX(frecFactor,MATCH(H55,frecNombre,0)),1))</f>
        <v/>
      </c>
      <c r="O55" s="190">
        <f>IF(N55="","",N55*12)</f>
        <v/>
      </c>
      <c r="P55" s="192">
        <f>IF(OR(B55="",NOT(ISNUMBER(I55)),K55="No"),"",IF(I55&gt;TODAY(),I55,IF(T55&gt;0,IF(EDATE(I55,T55*MAX(1,CEILING(DATEDIF(I55,TODAY(),"m")/T55,1)))&lt;TODAY(),EDATE(I55,T55*(MAX(1,CEILING(DATEDIF(I55,TODAY(),"m")/T55,1))+1)),EDATE(I55,T55*MAX(1,CEILING(DATEDIF(I55,TODAY(),"m")/T55,1)))),I55+MAX(1,U55)*MAX(1,CEILING((TODAY()-I55)/MAX(1,U55),1)))))</f>
        <v/>
      </c>
      <c r="Q55" s="193">
        <f>IF(P55="","",P55-TODAY())</f>
        <v/>
      </c>
      <c r="R55" s="192">
        <f>IF(E55="","",IF(COUNTIFS(rCom,E55,rTipoE,"Gasto")=0,"Sin registros",_xlfn.MAXIFS(rFecha,rCom,E55,rTipoE,"Gasto")))</f>
        <v/>
      </c>
      <c r="S55" s="194">
        <f>IF(B55="","",IF(K55="No","Inactiva",IF(P55="","Falta fecha",IF(Q55&lt;=0,"⚠ Vence hoy",IF(Q55&lt;=7,"⚠ Vence en "&amp;Q55&amp;" días","✓ Próximo en "&amp;Q55&amp;" días")))))</f>
        <v/>
      </c>
      <c r="T55" s="195">
        <f>IFERROR(INDEX(frecMeses,MATCH(H55,frecNombre,0)),1)</f>
        <v/>
      </c>
      <c r="U55" s="195">
        <f>IFERROR(INDEX(frecDias,MATCH(H55,frecNombre,0)),0)</f>
        <v/>
      </c>
    </row>
    <row r="56">
      <c r="B56" s="184" t="n"/>
      <c r="C56" s="185" t="n"/>
      <c r="D56" s="185" t="n"/>
      <c r="E56" s="185" t="n"/>
      <c r="F56" s="186" t="n"/>
      <c r="G56" s="187" t="n"/>
      <c r="H56" s="187" t="n"/>
      <c r="I56" s="188" t="n"/>
      <c r="J56" s="185" t="n"/>
      <c r="K56" s="187" t="n"/>
      <c r="L56" s="189" t="n"/>
      <c r="M56" s="190">
        <f>IF(OR(B56="",F56=""),"",F56*IF(G56="USD",TasaUSD,1))</f>
        <v/>
      </c>
      <c r="N56" s="191">
        <f>IF(OR(M56="",K56="No"),"",M56*IFERROR(INDEX(frecFactor,MATCH(H56,frecNombre,0)),1))</f>
        <v/>
      </c>
      <c r="O56" s="190">
        <f>IF(N56="","",N56*12)</f>
        <v/>
      </c>
      <c r="P56" s="192">
        <f>IF(OR(B56="",NOT(ISNUMBER(I56)),K56="No"),"",IF(I56&gt;TODAY(),I56,IF(T56&gt;0,IF(EDATE(I56,T56*MAX(1,CEILING(DATEDIF(I56,TODAY(),"m")/T56,1)))&lt;TODAY(),EDATE(I56,T56*(MAX(1,CEILING(DATEDIF(I56,TODAY(),"m")/T56,1))+1)),EDATE(I56,T56*MAX(1,CEILING(DATEDIF(I56,TODAY(),"m")/T56,1)))),I56+MAX(1,U56)*MAX(1,CEILING((TODAY()-I56)/MAX(1,U56),1)))))</f>
        <v/>
      </c>
      <c r="Q56" s="193">
        <f>IF(P56="","",P56-TODAY())</f>
        <v/>
      </c>
      <c r="R56" s="192">
        <f>IF(E56="","",IF(COUNTIFS(rCom,E56,rTipoE,"Gasto")=0,"Sin registros",_xlfn.MAXIFS(rFecha,rCom,E56,rTipoE,"Gasto")))</f>
        <v/>
      </c>
      <c r="S56" s="194">
        <f>IF(B56="","",IF(K56="No","Inactiva",IF(P56="","Falta fecha",IF(Q56&lt;=0,"⚠ Vence hoy",IF(Q56&lt;=7,"⚠ Vence en "&amp;Q56&amp;" días","✓ Próximo en "&amp;Q56&amp;" días")))))</f>
        <v/>
      </c>
      <c r="T56" s="195">
        <f>IFERROR(INDEX(frecMeses,MATCH(H56,frecNombre,0)),1)</f>
        <v/>
      </c>
      <c r="U56" s="195">
        <f>IFERROR(INDEX(frecDias,MATCH(H56,frecNombre,0)),0)</f>
        <v/>
      </c>
    </row>
    <row r="58">
      <c r="B58" s="196" t="inlineStr">
        <is>
          <t>Totales (suscripciones activas)</t>
        </is>
      </c>
      <c r="M58" s="197" t="inlineStr">
        <is>
          <t>Mensual:</t>
        </is>
      </c>
      <c r="N58" s="198">
        <f>SUM(N7:N56)</f>
        <v/>
      </c>
      <c r="P58" s="197" t="inlineStr">
        <is>
          <t>Vencen en ≤ 7 días:</t>
        </is>
      </c>
      <c r="Q58" s="199">
        <f>COUNTIFS(Q7:Q56,"&gt;=0",Q7:Q56,"&lt;=7")</f>
        <v/>
      </c>
    </row>
    <row r="59">
      <c r="M59" s="197" t="inlineStr">
        <is>
          <t>Anual:</t>
        </is>
      </c>
      <c r="N59" s="198">
        <f>SUM(O7:O56)</f>
        <v/>
      </c>
      <c r="P59" s="197" t="inlineStr">
        <is>
          <t>Gasto fijo real este mes:</t>
        </is>
      </c>
      <c r="Q59" s="200">
        <f>SUMIFS(rGasto,rClasE,"Fijo",rFecha,"&gt;="&amp;mesHoy,rFecha,"&lt;="&amp;EOMONTH(diaHoy,0))</f>
        <v/>
      </c>
    </row>
  </sheetData>
  <mergeCells count="5">
    <mergeCell ref="M5:S5"/>
    <mergeCell ref="B3:S4"/>
    <mergeCell ref="Q59:S59"/>
    <mergeCell ref="B5:L5"/>
    <mergeCell ref="P1:V1"/>
  </mergeCells>
  <conditionalFormatting sqref="S7:S56">
    <cfRule type="expression" priority="1" dxfId="6">
      <formula>LEFT(S7,1)="⚠"</formula>
    </cfRule>
    <cfRule type="expression" priority="2" dxfId="9">
      <formula>LEFT(S7,1)="✓"</formula>
    </cfRule>
  </conditionalFormatting>
  <conditionalFormatting sqref="B7:L56">
    <cfRule type="expression" priority="3" dxfId="2">
      <formula>$L7="DEMOSTRACIÓN"</formula>
    </cfRule>
  </conditionalFormatting>
  <dataValidations count="7">
    <dataValidation sqref="C7:C56" showDropDown="0" showInputMessage="0" showErrorMessage="1" allowBlank="1" errorTitle="Valor no válido" error="Elige un valor de la lista." type="list">
      <formula1>=lstCat</formula1>
    </dataValidation>
    <dataValidation sqref="G7:G56" showDropDown="0" showInputMessage="0" showErrorMessage="1" allowBlank="1" errorTitle="Valor no válido" error="Elige un valor de la lista." type="list">
      <formula1>=lstMonedas</formula1>
    </dataValidation>
    <dataValidation sqref="H7:H56" showDropDown="0" showInputMessage="0" showErrorMessage="1" allowBlank="1" errorTitle="Valor no válido" error="Elige un valor de la lista." type="list">
      <formula1>=frecNombre</formula1>
    </dataValidation>
    <dataValidation sqref="J7:J56" showDropDown="0" showInputMessage="0" showErrorMessage="1" allowBlank="1" errorTitle="Valor no válido" error="Elige un valor de la lista." type="list">
      <formula1>=lstCuentas</formula1>
    </dataValidation>
    <dataValidation sqref="K7:K56" showDropDown="0" showInputMessage="0" showErrorMessage="1" allowBlank="1" errorTitle="Valor no válido" error="Elige un valor de la lista." type="list">
      <formula1>=lstSiNo</formula1>
    </dataValidation>
    <dataValidation sqref="D7:D56" showDropDown="0" showInputMessage="0" showErrorMessage="1" allowBlank="1" errorTitle="Valor no válido" error="Elige un valor de la lista." type="list">
      <formula1>=OFFSET('Categorías'!$C$6,MATCH($C7,catCat,0)-1,0,COUNTIF(catCat,$C7),1)</formula1>
    </dataValidation>
    <dataValidation sqref="E7:E56" showDropDown="0" showInputMessage="0" showErrorMessage="0" allowBlank="1" type="list">
      <formula1>=lstComercios</formula1>
    </dataValidation>
  </dataValidations>
  <hyperlinks>
    <hyperlink ref="B2" location="'Inicio'!A1" display="Inicio"/>
    <hyperlink ref="C2" location="'Registro'!A1" display="Registro"/>
    <hyperlink ref="D2" location="'Dashboard'!A1" display="Dashboard"/>
    <hyperlink ref="E2" location="'Alimentación'!A1" display="Alimentación"/>
    <hyperlink ref="F2" location="'Gastos hormiga'!A1" display="Hormiga"/>
    <hyperlink ref="G2" location="'Recurrentes'!A1" display="● Recurrentes"/>
    <hyperlink ref="I2" location="'Presupuestos'!A1" display="Presupuestos"/>
    <hyperlink ref="J2" location="'Cuentas'!A1" display="Cuentas"/>
    <hyperlink ref="K2" location="'Categorías'!A1" display="Categorías"/>
    <hyperlink ref="M2" location="'Config'!A1" display="Config"/>
  </hyperlinks>
  <pageMargins left="0.75" right="0.75" top="1" bottom="1" header="0.5" footer="0.5"/>
  <pageSetup orientation="landscape" fitToHeight="0" fitToWidth="1"/>
</worksheet>
</file>

<file path=xl/worksheets/sheet7.xml><?xml version="1.0" encoding="utf-8"?>
<worksheet xmlns="http://schemas.openxmlformats.org/spreadsheetml/2006/main">
  <sheetPr>
    <tabColor rgb="001BAF7A"/>
    <outlinePr summaryBelow="1" summaryRight="1"/>
    <pageSetUpPr fitToPage="1"/>
  </sheetPr>
  <dimension ref="A1:O69"/>
  <sheetViews>
    <sheetView showGridLines="0" zoomScale="100" workbookViewId="0">
      <pane xSplit="2" ySplit="4" topLeftCell="C5" activePane="bottomRight" state="frozen"/>
      <selection pane="topRight"/>
      <selection pane="bottomLeft"/>
      <selection pane="bottomRight" activeCell="A1" sqref="A1"/>
    </sheetView>
  </sheetViews>
  <sheetFormatPr baseColWidth="8" defaultRowHeight="15"/>
  <cols>
    <col width="2" customWidth="1" min="1" max="1"/>
    <col width="44" customWidth="1" min="2" max="2"/>
    <col width="15" customWidth="1" min="3" max="3"/>
    <col width="14" customWidth="1" min="4" max="4"/>
    <col width="15" customWidth="1" min="5" max="5"/>
    <col width="14" customWidth="1" min="6" max="6"/>
    <col width="15" customWidth="1" min="7" max="7"/>
    <col width="15" customWidth="1" min="8" max="8"/>
    <col width="14" customWidth="1" min="9" max="9"/>
    <col width="16" customWidth="1" min="10" max="10"/>
    <col width="17" customWidth="1" min="11" max="11"/>
    <col width="20" customWidth="1" min="12" max="12"/>
    <col width="3" customWidth="1" min="13" max="13"/>
    <col width="3" customWidth="1" min="14" max="14"/>
    <col width="2" customWidth="1" min="15" max="15"/>
  </cols>
  <sheetData>
    <row r="1" ht="38" customHeight="1">
      <c r="A1" s="1" t="n"/>
      <c r="B1" s="2" t="inlineStr">
        <is>
          <t>Presupuestos y objetivos</t>
        </is>
      </c>
      <c r="C1" s="1" t="n"/>
      <c r="D1" s="1" t="n"/>
      <c r="E1" s="1" t="n"/>
      <c r="F1" s="1" t="n"/>
      <c r="G1" s="1" t="n"/>
      <c r="H1" s="1" t="n"/>
      <c r="I1" s="3" t="inlineStr">
        <is>
          <t>Etapa 2 · se activa cuando escribes un límite</t>
        </is>
      </c>
    </row>
    <row r="2" ht="22" customHeight="1">
      <c r="A2" s="4" t="n"/>
      <c r="B2" s="6" t="inlineStr">
        <is>
          <t>Inicio</t>
        </is>
      </c>
      <c r="C2" s="6" t="inlineStr">
        <is>
          <t>Registro</t>
        </is>
      </c>
      <c r="D2" s="6" t="inlineStr">
        <is>
          <t>Dashboard</t>
        </is>
      </c>
      <c r="E2" s="6" t="inlineStr">
        <is>
          <t>Alimentación</t>
        </is>
      </c>
      <c r="F2" s="6" t="inlineStr">
        <is>
          <t>Hormiga</t>
        </is>
      </c>
      <c r="G2" s="6" t="inlineStr">
        <is>
          <t>Recurrentes</t>
        </is>
      </c>
      <c r="H2" s="5" t="inlineStr">
        <is>
          <t>● Presupuestos</t>
        </is>
      </c>
      <c r="I2" s="6" t="inlineStr">
        <is>
          <t>Cuentas</t>
        </is>
      </c>
      <c r="J2" s="6" t="inlineStr">
        <is>
          <t>Categorías</t>
        </is>
      </c>
      <c r="K2" s="6" t="inlineStr">
        <is>
          <t>Config</t>
        </is>
      </c>
      <c r="L2" s="4" t="n"/>
      <c r="M2" s="4" t="n"/>
      <c r="N2" s="4" t="n"/>
      <c r="O2" s="4" t="n"/>
    </row>
    <row r="3" ht="22" customHeight="1">
      <c r="B3" s="181" t="inlineStr">
        <is>
          <t>Etapa 1: deja todo vacío y limítate a registrar. Etapa 2: cuando conozcas tus patrones (usa la columna «Prom. mensual (3 meses previos)» como referencia), escribe tus límites en las celdas amarillas. Un límite vacío = sin límite. El Dashboard mostrará el cumplimiento y las alertas.</t>
        </is>
      </c>
    </row>
    <row r="4" ht="22" customHeight="1"/>
    <row r="6">
      <c r="B6" s="201" t="inlineStr">
        <is>
          <t>Límites generales</t>
        </is>
      </c>
      <c r="C6" s="10" t="n"/>
      <c r="D6" s="10" t="n"/>
      <c r="E6" s="10" t="n"/>
      <c r="F6" s="10" t="n"/>
      <c r="G6" s="10" t="n"/>
      <c r="H6" s="10" t="n"/>
      <c r="I6" s="10" t="n"/>
      <c r="J6" s="10" t="n"/>
      <c r="K6" s="10" t="n"/>
      <c r="L6" s="10" t="n"/>
    </row>
    <row r="7">
      <c r="B7" s="182" t="inlineStr">
        <is>
          <t>Límite</t>
        </is>
      </c>
      <c r="C7" s="182" t="inlineStr">
        <is>
          <t>Monto límite</t>
        </is>
      </c>
      <c r="D7" s="183" t="inlineStr">
        <is>
          <t>Gasto actual</t>
        </is>
      </c>
      <c r="E7" s="183" t="inlineStr">
        <is>
          <t>% usado</t>
        </is>
      </c>
      <c r="F7" s="183" t="inlineStr">
        <is>
          <t>Disponible</t>
        </is>
      </c>
      <c r="G7" s="183" t="inlineStr">
        <is>
          <t>Estado</t>
        </is>
      </c>
      <c r="H7" s="182" t="inlineStr">
        <is>
          <t>Alertar al llegar a</t>
        </is>
      </c>
    </row>
    <row r="8">
      <c r="B8" s="202" t="inlineStr">
        <is>
          <t>Diario (diaHoy)</t>
        </is>
      </c>
      <c r="C8" s="132" t="n"/>
      <c r="D8" s="190">
        <f>SUMIFS(rGasto,rFecha,diaHoy)</f>
        <v/>
      </c>
      <c r="E8" s="203">
        <f>IF(N(C8)=0,"",D8/C8)</f>
        <v/>
      </c>
      <c r="F8" s="190">
        <f>IF(N(C8)=0,"",C8-D8)</f>
        <v/>
      </c>
      <c r="G8" s="204">
        <f>IF(N(C8)=0,"— Sin límite",IF(E8&gt;1,"✕ Excedido",IF(E8&gt;=alertPct,"⚠ Atención","✓ En rango")))</f>
        <v/>
      </c>
      <c r="H8" s="131" t="n">
        <v>0.8</v>
      </c>
    </row>
    <row r="9">
      <c r="B9" s="202" t="inlineStr">
        <is>
          <t>Semanal (esta semana)</t>
        </is>
      </c>
      <c r="C9" s="132" t="n"/>
      <c r="D9" s="190">
        <f>SUMIFS(rGasto,rFecha,"&gt;="&amp;semHoy,rFecha,"&lt;="&amp;semHoy+6)</f>
        <v/>
      </c>
      <c r="E9" s="203">
        <f>IF(N(C9)=0,"",D9/C9)</f>
        <v/>
      </c>
      <c r="F9" s="190">
        <f>IF(N(C9)=0,"",C9-D9)</f>
        <v/>
      </c>
      <c r="G9" s="204">
        <f>IF(N(C9)=0,"— Sin límite",IF(E9&gt;1,"✕ Excedido",IF(E9&gt;=alertPct,"⚠ Atención","✓ En rango")))</f>
        <v/>
      </c>
    </row>
    <row r="10">
      <c r="B10" s="202" t="inlineStr">
        <is>
          <t>Mensual (este mes)</t>
        </is>
      </c>
      <c r="C10" s="132" t="n"/>
      <c r="D10" s="190">
        <f>SUMIFS(rGasto,rFecha,"&gt;="&amp;mesHoy,rFecha,"&lt;="&amp;EOMONTH(diaHoy,0))</f>
        <v/>
      </c>
      <c r="E10" s="203">
        <f>IF(N(C10)=0,"",D10/C10)</f>
        <v/>
      </c>
      <c r="F10" s="190">
        <f>IF(N(C10)=0,"",C10-D10)</f>
        <v/>
      </c>
      <c r="G10" s="204">
        <f>IF(N(C10)=0,"— Sin límite",IF(E10&gt;1,"✕ Excedido",IF(E10&gt;=alertPct,"⚠ Atención","✓ En rango")))</f>
        <v/>
      </c>
    </row>
    <row r="12">
      <c r="B12" s="201" t="inlineStr">
        <is>
          <t>Presupuesto por categoría</t>
        </is>
      </c>
      <c r="C12" s="10" t="n"/>
      <c r="D12" s="10" t="n"/>
      <c r="E12" s="10" t="n"/>
      <c r="F12" s="10" t="n"/>
      <c r="G12" s="10" t="n"/>
      <c r="H12" s="10" t="n"/>
      <c r="I12" s="10" t="n"/>
      <c r="J12" s="10" t="n"/>
      <c r="K12" s="10" t="n"/>
      <c r="L12" s="10" t="n"/>
    </row>
    <row r="13" ht="30" customHeight="1">
      <c r="B13" s="182" t="inlineStr">
        <is>
          <t>Categoría</t>
        </is>
      </c>
      <c r="C13" s="182" t="inlineStr">
        <is>
          <t>Límite mensual</t>
        </is>
      </c>
      <c r="D13" s="183" t="inlineStr">
        <is>
          <t>Gasto este mes</t>
        </is>
      </c>
      <c r="E13" s="183" t="inlineStr">
        <is>
          <t>% del mes</t>
        </is>
      </c>
      <c r="F13" s="183" t="inlineStr">
        <is>
          <t>Estado mes</t>
        </is>
      </c>
      <c r="G13" s="182" t="inlineStr">
        <is>
          <t>Límite semanal</t>
        </is>
      </c>
      <c r="H13" s="183" t="inlineStr">
        <is>
          <t>Gasto esta semana</t>
        </is>
      </c>
      <c r="I13" s="183" t="inlineStr">
        <is>
          <t>Estado semana</t>
        </is>
      </c>
      <c r="J13" s="183" t="inlineStr">
        <is>
          <t>Prom. mensual (3 meses previos)</t>
        </is>
      </c>
      <c r="K13" s="183" t="inlineStr">
        <is>
          <t>Gasto mes anterior</t>
        </is>
      </c>
    </row>
    <row r="14">
      <c r="B14" s="184" t="inlineStr">
        <is>
          <t>Alimentación</t>
        </is>
      </c>
      <c r="C14" s="132" t="n"/>
      <c r="D14" s="190">
        <f>IF(B14="","",SUMIFS(rGasto,rCat,B14,rFecha,"&gt;="&amp;mesHoy,rFecha,"&lt;="&amp;EOMONTH(diaHoy,0)))</f>
        <v/>
      </c>
      <c r="E14" s="205">
        <f>IF(OR(B14="",N(C14)=0),"",D14/C14)</f>
        <v/>
      </c>
      <c r="F14" s="204">
        <f>IF(B14="","",IF(N(C14)=0,"—",IF(E14&gt;1,"✕ Excedido",IF(E14&gt;=alertPct,"⚠ Atención","✓ En rango"))))</f>
        <v/>
      </c>
      <c r="G14" s="132" t="n"/>
      <c r="H14" s="190">
        <f>IF(B14="","",SUMIFS(rGasto,rCat,B14,rFecha,"&gt;="&amp;semHoy,rFecha,"&lt;="&amp;semHoy+6))</f>
        <v/>
      </c>
      <c r="I14" s="204">
        <f>IF(B14="","",IF(N(G14)=0,"—",IF(IF(N(G14)=0,0,H14/G14)&gt;1,"✕ Excedido",IF(IF(N(G14)=0,0,H14/G14)&gt;=alertPct,"⚠ Atención","✓ En rango"))))</f>
        <v/>
      </c>
      <c r="J14" s="190">
        <f>IF(B14="","",SUMIFS(rGasto,rCat,B14,rFecha,"&gt;="&amp;EDATE(mesHoy,-3),rFecha,"&lt;"&amp;mesHoy)/mesesDatos3)</f>
        <v/>
      </c>
      <c r="K14" s="190">
        <f>IF(B14="","",SUMIFS(rGasto,rCat,B14,rFecha,"&gt;="&amp;EDATE(mesHoy,-1),rFecha,"&lt;"&amp;mesHoy))</f>
        <v/>
      </c>
    </row>
    <row r="15">
      <c r="B15" s="184" t="inlineStr">
        <is>
          <t>Hogar y servicios</t>
        </is>
      </c>
      <c r="C15" s="132" t="n"/>
      <c r="D15" s="190">
        <f>IF(B15="","",SUMIFS(rGasto,rCat,B15,rFecha,"&gt;="&amp;mesHoy,rFecha,"&lt;="&amp;EOMONTH(diaHoy,0)))</f>
        <v/>
      </c>
      <c r="E15" s="205">
        <f>IF(OR(B15="",N(C15)=0),"",D15/C15)</f>
        <v/>
      </c>
      <c r="F15" s="204">
        <f>IF(B15="","",IF(N(C15)=0,"—",IF(E15&gt;1,"✕ Excedido",IF(E15&gt;=alertPct,"⚠ Atención","✓ En rango"))))</f>
        <v/>
      </c>
      <c r="G15" s="132" t="n"/>
      <c r="H15" s="190">
        <f>IF(B15="","",SUMIFS(rGasto,rCat,B15,rFecha,"&gt;="&amp;semHoy,rFecha,"&lt;="&amp;semHoy+6))</f>
        <v/>
      </c>
      <c r="I15" s="204">
        <f>IF(B15="","",IF(N(G15)=0,"—",IF(IF(N(G15)=0,0,H15/G15)&gt;1,"✕ Excedido",IF(IF(N(G15)=0,0,H15/G15)&gt;=alertPct,"⚠ Atención","✓ En rango"))))</f>
        <v/>
      </c>
      <c r="J15" s="190">
        <f>IF(B15="","",SUMIFS(rGasto,rCat,B15,rFecha,"&gt;="&amp;EDATE(mesHoy,-3),rFecha,"&lt;"&amp;mesHoy)/mesesDatos3)</f>
        <v/>
      </c>
      <c r="K15" s="190">
        <f>IF(B15="","",SUMIFS(rGasto,rCat,B15,rFecha,"&gt;="&amp;EDATE(mesHoy,-1),rFecha,"&lt;"&amp;mesHoy))</f>
        <v/>
      </c>
    </row>
    <row r="16">
      <c r="B16" s="184" t="inlineStr">
        <is>
          <t>Transporte y vehículo</t>
        </is>
      </c>
      <c r="C16" s="132" t="n"/>
      <c r="D16" s="190">
        <f>IF(B16="","",SUMIFS(rGasto,rCat,B16,rFecha,"&gt;="&amp;mesHoy,rFecha,"&lt;="&amp;EOMONTH(diaHoy,0)))</f>
        <v/>
      </c>
      <c r="E16" s="205">
        <f>IF(OR(B16="",N(C16)=0),"",D16/C16)</f>
        <v/>
      </c>
      <c r="F16" s="204">
        <f>IF(B16="","",IF(N(C16)=0,"—",IF(E16&gt;1,"✕ Excedido",IF(E16&gt;=alertPct,"⚠ Atención","✓ En rango"))))</f>
        <v/>
      </c>
      <c r="G16" s="132" t="n"/>
      <c r="H16" s="190">
        <f>IF(B16="","",SUMIFS(rGasto,rCat,B16,rFecha,"&gt;="&amp;semHoy,rFecha,"&lt;="&amp;semHoy+6))</f>
        <v/>
      </c>
      <c r="I16" s="204">
        <f>IF(B16="","",IF(N(G16)=0,"—",IF(IF(N(G16)=0,0,H16/G16)&gt;1,"✕ Excedido",IF(IF(N(G16)=0,0,H16/G16)&gt;=alertPct,"⚠ Atención","✓ En rango"))))</f>
        <v/>
      </c>
      <c r="J16" s="190">
        <f>IF(B16="","",SUMIFS(rGasto,rCat,B16,rFecha,"&gt;="&amp;EDATE(mesHoy,-3),rFecha,"&lt;"&amp;mesHoy)/mesesDatos3)</f>
        <v/>
      </c>
      <c r="K16" s="190">
        <f>IF(B16="","",SUMIFS(rGasto,rCat,B16,rFecha,"&gt;="&amp;EDATE(mesHoy,-1),rFecha,"&lt;"&amp;mesHoy))</f>
        <v/>
      </c>
    </row>
    <row r="17">
      <c r="B17" s="184" t="inlineStr">
        <is>
          <t>Tecnología y suscripciones</t>
        </is>
      </c>
      <c r="C17" s="132" t="n"/>
      <c r="D17" s="190">
        <f>IF(B17="","",SUMIFS(rGasto,rCat,B17,rFecha,"&gt;="&amp;mesHoy,rFecha,"&lt;="&amp;EOMONTH(diaHoy,0)))</f>
        <v/>
      </c>
      <c r="E17" s="205">
        <f>IF(OR(B17="",N(C17)=0),"",D17/C17)</f>
        <v/>
      </c>
      <c r="F17" s="204">
        <f>IF(B17="","",IF(N(C17)=0,"—",IF(E17&gt;1,"✕ Excedido",IF(E17&gt;=alertPct,"⚠ Atención","✓ En rango"))))</f>
        <v/>
      </c>
      <c r="G17" s="132" t="n"/>
      <c r="H17" s="190">
        <f>IF(B17="","",SUMIFS(rGasto,rCat,B17,rFecha,"&gt;="&amp;semHoy,rFecha,"&lt;="&amp;semHoy+6))</f>
        <v/>
      </c>
      <c r="I17" s="204">
        <f>IF(B17="","",IF(N(G17)=0,"—",IF(IF(N(G17)=0,0,H17/G17)&gt;1,"✕ Excedido",IF(IF(N(G17)=0,0,H17/G17)&gt;=alertPct,"⚠ Atención","✓ En rango"))))</f>
        <v/>
      </c>
      <c r="J17" s="190">
        <f>IF(B17="","",SUMIFS(rGasto,rCat,B17,rFecha,"&gt;="&amp;EDATE(mesHoy,-3),rFecha,"&lt;"&amp;mesHoy)/mesesDatos3)</f>
        <v/>
      </c>
      <c r="K17" s="190">
        <f>IF(B17="","",SUMIFS(rGasto,rCat,B17,rFecha,"&gt;="&amp;EDATE(mesHoy,-1),rFecha,"&lt;"&amp;mesHoy))</f>
        <v/>
      </c>
    </row>
    <row r="18">
      <c r="B18" s="184" t="inlineStr">
        <is>
          <t>Trading y actividades financieras</t>
        </is>
      </c>
      <c r="C18" s="132" t="n"/>
      <c r="D18" s="190">
        <f>IF(B18="","",SUMIFS(rGasto,rCat,B18,rFecha,"&gt;="&amp;mesHoy,rFecha,"&lt;="&amp;EOMONTH(diaHoy,0)))</f>
        <v/>
      </c>
      <c r="E18" s="205">
        <f>IF(OR(B18="",N(C18)=0),"",D18/C18)</f>
        <v/>
      </c>
      <c r="F18" s="204">
        <f>IF(B18="","",IF(N(C18)=0,"—",IF(E18&gt;1,"✕ Excedido",IF(E18&gt;=alertPct,"⚠ Atención","✓ En rango"))))</f>
        <v/>
      </c>
      <c r="G18" s="132" t="n"/>
      <c r="H18" s="190">
        <f>IF(B18="","",SUMIFS(rGasto,rCat,B18,rFecha,"&gt;="&amp;semHoy,rFecha,"&lt;="&amp;semHoy+6))</f>
        <v/>
      </c>
      <c r="I18" s="204">
        <f>IF(B18="","",IF(N(G18)=0,"—",IF(IF(N(G18)=0,0,H18/G18)&gt;1,"✕ Excedido",IF(IF(N(G18)=0,0,H18/G18)&gt;=alertPct,"⚠ Atención","✓ En rango"))))</f>
        <v/>
      </c>
      <c r="J18" s="190">
        <f>IF(B18="","",SUMIFS(rGasto,rCat,B18,rFecha,"&gt;="&amp;EDATE(mesHoy,-3),rFecha,"&lt;"&amp;mesHoy)/mesesDatos3)</f>
        <v/>
      </c>
      <c r="K18" s="190">
        <f>IF(B18="","",SUMIFS(rGasto,rCat,B18,rFecha,"&gt;="&amp;EDATE(mesHoy,-1),rFecha,"&lt;"&amp;mesHoy))</f>
        <v/>
      </c>
    </row>
    <row r="19">
      <c r="B19" s="184" t="inlineStr">
        <is>
          <t>Salud</t>
        </is>
      </c>
      <c r="C19" s="132" t="n"/>
      <c r="D19" s="190">
        <f>IF(B19="","",SUMIFS(rGasto,rCat,B19,rFecha,"&gt;="&amp;mesHoy,rFecha,"&lt;="&amp;EOMONTH(diaHoy,0)))</f>
        <v/>
      </c>
      <c r="E19" s="205">
        <f>IF(OR(B19="",N(C19)=0),"",D19/C19)</f>
        <v/>
      </c>
      <c r="F19" s="204">
        <f>IF(B19="","",IF(N(C19)=0,"—",IF(E19&gt;1,"✕ Excedido",IF(E19&gt;=alertPct,"⚠ Atención","✓ En rango"))))</f>
        <v/>
      </c>
      <c r="G19" s="132" t="n"/>
      <c r="H19" s="190">
        <f>IF(B19="","",SUMIFS(rGasto,rCat,B19,rFecha,"&gt;="&amp;semHoy,rFecha,"&lt;="&amp;semHoy+6))</f>
        <v/>
      </c>
      <c r="I19" s="204">
        <f>IF(B19="","",IF(N(G19)=0,"—",IF(IF(N(G19)=0,0,H19/G19)&gt;1,"✕ Excedido",IF(IF(N(G19)=0,0,H19/G19)&gt;=alertPct,"⚠ Atención","✓ En rango"))))</f>
        <v/>
      </c>
      <c r="J19" s="190">
        <f>IF(B19="","",SUMIFS(rGasto,rCat,B19,rFecha,"&gt;="&amp;EDATE(mesHoy,-3),rFecha,"&lt;"&amp;mesHoy)/mesesDatos3)</f>
        <v/>
      </c>
      <c r="K19" s="190">
        <f>IF(B19="","",SUMIFS(rGasto,rCat,B19,rFecha,"&gt;="&amp;EDATE(mesHoy,-1),rFecha,"&lt;"&amp;mesHoy))</f>
        <v/>
      </c>
    </row>
    <row r="20">
      <c r="B20" s="184" t="inlineStr">
        <is>
          <t>Educación</t>
        </is>
      </c>
      <c r="C20" s="132" t="n"/>
      <c r="D20" s="190">
        <f>IF(B20="","",SUMIFS(rGasto,rCat,B20,rFecha,"&gt;="&amp;mesHoy,rFecha,"&lt;="&amp;EOMONTH(diaHoy,0)))</f>
        <v/>
      </c>
      <c r="E20" s="205">
        <f>IF(OR(B20="",N(C20)=0),"",D20/C20)</f>
        <v/>
      </c>
      <c r="F20" s="204">
        <f>IF(B20="","",IF(N(C20)=0,"—",IF(E20&gt;1,"✕ Excedido",IF(E20&gt;=alertPct,"⚠ Atención","✓ En rango"))))</f>
        <v/>
      </c>
      <c r="G20" s="132" t="n"/>
      <c r="H20" s="190">
        <f>IF(B20="","",SUMIFS(rGasto,rCat,B20,rFecha,"&gt;="&amp;semHoy,rFecha,"&lt;="&amp;semHoy+6))</f>
        <v/>
      </c>
      <c r="I20" s="204">
        <f>IF(B20="","",IF(N(G20)=0,"—",IF(IF(N(G20)=0,0,H20/G20)&gt;1,"✕ Excedido",IF(IF(N(G20)=0,0,H20/G20)&gt;=alertPct,"⚠ Atención","✓ En rango"))))</f>
        <v/>
      </c>
      <c r="J20" s="190">
        <f>IF(B20="","",SUMIFS(rGasto,rCat,B20,rFecha,"&gt;="&amp;EDATE(mesHoy,-3),rFecha,"&lt;"&amp;mesHoy)/mesesDatos3)</f>
        <v/>
      </c>
      <c r="K20" s="190">
        <f>IF(B20="","",SUMIFS(rGasto,rCat,B20,rFecha,"&gt;="&amp;EDATE(mesHoy,-1),rFecha,"&lt;"&amp;mesHoy))</f>
        <v/>
      </c>
    </row>
    <row r="21">
      <c r="B21" s="184" t="inlineStr">
        <is>
          <t>Compras personales</t>
        </is>
      </c>
      <c r="C21" s="132" t="n"/>
      <c r="D21" s="190">
        <f>IF(B21="","",SUMIFS(rGasto,rCat,B21,rFecha,"&gt;="&amp;mesHoy,rFecha,"&lt;="&amp;EOMONTH(diaHoy,0)))</f>
        <v/>
      </c>
      <c r="E21" s="205">
        <f>IF(OR(B21="",N(C21)=0),"",D21/C21)</f>
        <v/>
      </c>
      <c r="F21" s="204">
        <f>IF(B21="","",IF(N(C21)=0,"—",IF(E21&gt;1,"✕ Excedido",IF(E21&gt;=alertPct,"⚠ Atención","✓ En rango"))))</f>
        <v/>
      </c>
      <c r="G21" s="132" t="n"/>
      <c r="H21" s="190">
        <f>IF(B21="","",SUMIFS(rGasto,rCat,B21,rFecha,"&gt;="&amp;semHoy,rFecha,"&lt;="&amp;semHoy+6))</f>
        <v/>
      </c>
      <c r="I21" s="204">
        <f>IF(B21="","",IF(N(G21)=0,"—",IF(IF(N(G21)=0,0,H21/G21)&gt;1,"✕ Excedido",IF(IF(N(G21)=0,0,H21/G21)&gt;=alertPct,"⚠ Atención","✓ En rango"))))</f>
        <v/>
      </c>
      <c r="J21" s="190">
        <f>IF(B21="","",SUMIFS(rGasto,rCat,B21,rFecha,"&gt;="&amp;EDATE(mesHoy,-3),rFecha,"&lt;"&amp;mesHoy)/mesesDatos3)</f>
        <v/>
      </c>
      <c r="K21" s="190">
        <f>IF(B21="","",SUMIFS(rGasto,rCat,B21,rFecha,"&gt;="&amp;EDATE(mesHoy,-1),rFecha,"&lt;"&amp;mesHoy))</f>
        <v/>
      </c>
    </row>
    <row r="22">
      <c r="B22" s="184" t="inlineStr">
        <is>
          <t>Pareja y actividades sociales</t>
        </is>
      </c>
      <c r="C22" s="132" t="n"/>
      <c r="D22" s="190">
        <f>IF(B22="","",SUMIFS(rGasto,rCat,B22,rFecha,"&gt;="&amp;mesHoy,rFecha,"&lt;="&amp;EOMONTH(diaHoy,0)))</f>
        <v/>
      </c>
      <c r="E22" s="205">
        <f>IF(OR(B22="",N(C22)=0),"",D22/C22)</f>
        <v/>
      </c>
      <c r="F22" s="204">
        <f>IF(B22="","",IF(N(C22)=0,"—",IF(E22&gt;1,"✕ Excedido",IF(E22&gt;=alertPct,"⚠ Atención","✓ En rango"))))</f>
        <v/>
      </c>
      <c r="G22" s="132" t="n"/>
      <c r="H22" s="190">
        <f>IF(B22="","",SUMIFS(rGasto,rCat,B22,rFecha,"&gt;="&amp;semHoy,rFecha,"&lt;="&amp;semHoy+6))</f>
        <v/>
      </c>
      <c r="I22" s="204">
        <f>IF(B22="","",IF(N(G22)=0,"—",IF(IF(N(G22)=0,0,H22/G22)&gt;1,"✕ Excedido",IF(IF(N(G22)=0,0,H22/G22)&gt;=alertPct,"⚠ Atención","✓ En rango"))))</f>
        <v/>
      </c>
      <c r="J22" s="190">
        <f>IF(B22="","",SUMIFS(rGasto,rCat,B22,rFecha,"&gt;="&amp;EDATE(mesHoy,-3),rFecha,"&lt;"&amp;mesHoy)/mesesDatos3)</f>
        <v/>
      </c>
      <c r="K22" s="190">
        <f>IF(B22="","",SUMIFS(rGasto,rCat,B22,rFecha,"&gt;="&amp;EDATE(mesHoy,-1),rFecha,"&lt;"&amp;mesHoy))</f>
        <v/>
      </c>
    </row>
    <row r="23">
      <c r="B23" s="184" t="inlineStr">
        <is>
          <t>Boda</t>
        </is>
      </c>
      <c r="C23" s="132" t="n"/>
      <c r="D23" s="190">
        <f>IF(B23="","",SUMIFS(rGasto,rCat,B23,rFecha,"&gt;="&amp;mesHoy,rFecha,"&lt;="&amp;EOMONTH(diaHoy,0)))</f>
        <v/>
      </c>
      <c r="E23" s="205">
        <f>IF(OR(B23="",N(C23)=0),"",D23/C23)</f>
        <v/>
      </c>
      <c r="F23" s="204">
        <f>IF(B23="","",IF(N(C23)=0,"—",IF(E23&gt;1,"✕ Excedido",IF(E23&gt;=alertPct,"⚠ Atención","✓ En rango"))))</f>
        <v/>
      </c>
      <c r="G23" s="132" t="n"/>
      <c r="H23" s="190">
        <f>IF(B23="","",SUMIFS(rGasto,rCat,B23,rFecha,"&gt;="&amp;semHoy,rFecha,"&lt;="&amp;semHoy+6))</f>
        <v/>
      </c>
      <c r="I23" s="204">
        <f>IF(B23="","",IF(N(G23)=0,"—",IF(IF(N(G23)=0,0,H23/G23)&gt;1,"✕ Excedido",IF(IF(N(G23)=0,0,H23/G23)&gt;=alertPct,"⚠ Atención","✓ En rango"))))</f>
        <v/>
      </c>
      <c r="J23" s="190">
        <f>IF(B23="","",SUMIFS(rGasto,rCat,B23,rFecha,"&gt;="&amp;EDATE(mesHoy,-3),rFecha,"&lt;"&amp;mesHoy)/mesesDatos3)</f>
        <v/>
      </c>
      <c r="K23" s="190">
        <f>IF(B23="","",SUMIFS(rGasto,rCat,B23,rFecha,"&gt;="&amp;EDATE(mesHoy,-1),rFecha,"&lt;"&amp;mesHoy))</f>
        <v/>
      </c>
    </row>
    <row r="24">
      <c r="B24" s="184" t="inlineStr">
        <is>
          <t>Regalos</t>
        </is>
      </c>
      <c r="C24" s="132" t="n"/>
      <c r="D24" s="190">
        <f>IF(B24="","",SUMIFS(rGasto,rCat,B24,rFecha,"&gt;="&amp;mesHoy,rFecha,"&lt;="&amp;EOMONTH(diaHoy,0)))</f>
        <v/>
      </c>
      <c r="E24" s="205">
        <f>IF(OR(B24="",N(C24)=0),"",D24/C24)</f>
        <v/>
      </c>
      <c r="F24" s="204">
        <f>IF(B24="","",IF(N(C24)=0,"—",IF(E24&gt;1,"✕ Excedido",IF(E24&gt;=alertPct,"⚠ Atención","✓ En rango"))))</f>
        <v/>
      </c>
      <c r="G24" s="132" t="n"/>
      <c r="H24" s="190">
        <f>IF(B24="","",SUMIFS(rGasto,rCat,B24,rFecha,"&gt;="&amp;semHoy,rFecha,"&lt;="&amp;semHoy+6))</f>
        <v/>
      </c>
      <c r="I24" s="204">
        <f>IF(B24="","",IF(N(G24)=0,"—",IF(IF(N(G24)=0,0,H24/G24)&gt;1,"✕ Excedido",IF(IF(N(G24)=0,0,H24/G24)&gt;=alertPct,"⚠ Atención","✓ En rango"))))</f>
        <v/>
      </c>
      <c r="J24" s="190">
        <f>IF(B24="","",SUMIFS(rGasto,rCat,B24,rFecha,"&gt;="&amp;EDATE(mesHoy,-3),rFecha,"&lt;"&amp;mesHoy)/mesesDatos3)</f>
        <v/>
      </c>
      <c r="K24" s="190">
        <f>IF(B24="","",SUMIFS(rGasto,rCat,B24,rFecha,"&gt;="&amp;EDATE(mesHoy,-1),rFecha,"&lt;"&amp;mesHoy))</f>
        <v/>
      </c>
    </row>
    <row r="25">
      <c r="B25" s="184" t="inlineStr">
        <is>
          <t>Imprevistos</t>
        </is>
      </c>
      <c r="C25" s="132" t="n"/>
      <c r="D25" s="190">
        <f>IF(B25="","",SUMIFS(rGasto,rCat,B25,rFecha,"&gt;="&amp;mesHoy,rFecha,"&lt;="&amp;EOMONTH(diaHoy,0)))</f>
        <v/>
      </c>
      <c r="E25" s="205">
        <f>IF(OR(B25="",N(C25)=0),"",D25/C25)</f>
        <v/>
      </c>
      <c r="F25" s="204">
        <f>IF(B25="","",IF(N(C25)=0,"—",IF(E25&gt;1,"✕ Excedido",IF(E25&gt;=alertPct,"⚠ Atención","✓ En rango"))))</f>
        <v/>
      </c>
      <c r="G25" s="132" t="n"/>
      <c r="H25" s="190">
        <f>IF(B25="","",SUMIFS(rGasto,rCat,B25,rFecha,"&gt;="&amp;semHoy,rFecha,"&lt;="&amp;semHoy+6))</f>
        <v/>
      </c>
      <c r="I25" s="204">
        <f>IF(B25="","",IF(N(G25)=0,"—",IF(IF(N(G25)=0,0,H25/G25)&gt;1,"✕ Excedido",IF(IF(N(G25)=0,0,H25/G25)&gt;=alertPct,"⚠ Atención","✓ En rango"))))</f>
        <v/>
      </c>
      <c r="J25" s="190">
        <f>IF(B25="","",SUMIFS(rGasto,rCat,B25,rFecha,"&gt;="&amp;EDATE(mesHoy,-3),rFecha,"&lt;"&amp;mesHoy)/mesesDatos3)</f>
        <v/>
      </c>
      <c r="K25" s="190">
        <f>IF(B25="","",SUMIFS(rGasto,rCat,B25,rFecha,"&gt;="&amp;EDATE(mesHoy,-1),rFecha,"&lt;"&amp;mesHoy))</f>
        <v/>
      </c>
    </row>
    <row r="26">
      <c r="B26" s="184" t="inlineStr">
        <is>
          <t>Otros gastos</t>
        </is>
      </c>
      <c r="C26" s="132" t="n"/>
      <c r="D26" s="190">
        <f>IF(B26="","",SUMIFS(rGasto,rCat,B26,rFecha,"&gt;="&amp;mesHoy,rFecha,"&lt;="&amp;EOMONTH(diaHoy,0)))</f>
        <v/>
      </c>
      <c r="E26" s="205">
        <f>IF(OR(B26="",N(C26)=0),"",D26/C26)</f>
        <v/>
      </c>
      <c r="F26" s="204">
        <f>IF(B26="","",IF(N(C26)=0,"—",IF(E26&gt;1,"✕ Excedido",IF(E26&gt;=alertPct,"⚠ Atención","✓ En rango"))))</f>
        <v/>
      </c>
      <c r="G26" s="132" t="n"/>
      <c r="H26" s="190">
        <f>IF(B26="","",SUMIFS(rGasto,rCat,B26,rFecha,"&gt;="&amp;semHoy,rFecha,"&lt;="&amp;semHoy+6))</f>
        <v/>
      </c>
      <c r="I26" s="204">
        <f>IF(B26="","",IF(N(G26)=0,"—",IF(IF(N(G26)=0,0,H26/G26)&gt;1,"✕ Excedido",IF(IF(N(G26)=0,0,H26/G26)&gt;=alertPct,"⚠ Atención","✓ En rango"))))</f>
        <v/>
      </c>
      <c r="J26" s="190">
        <f>IF(B26="","",SUMIFS(rGasto,rCat,B26,rFecha,"&gt;="&amp;EDATE(mesHoy,-3),rFecha,"&lt;"&amp;mesHoy)/mesesDatos3)</f>
        <v/>
      </c>
      <c r="K26" s="190">
        <f>IF(B26="","",SUMIFS(rGasto,rCat,B26,rFecha,"&gt;="&amp;EDATE(mesHoy,-1),rFecha,"&lt;"&amp;mesHoy))</f>
        <v/>
      </c>
    </row>
    <row r="27">
      <c r="B27" s="184" t="n"/>
      <c r="C27" s="132" t="n"/>
      <c r="D27" s="190">
        <f>IF(B27="","",SUMIFS(rGasto,rCat,B27,rFecha,"&gt;="&amp;mesHoy,rFecha,"&lt;="&amp;EOMONTH(diaHoy,0)))</f>
        <v/>
      </c>
      <c r="E27" s="205">
        <f>IF(OR(B27="",N(C27)=0),"",D27/C27)</f>
        <v/>
      </c>
      <c r="F27" s="204">
        <f>IF(B27="","",IF(N(C27)=0,"—",IF(E27&gt;1,"✕ Excedido",IF(E27&gt;=alertPct,"⚠ Atención","✓ En rango"))))</f>
        <v/>
      </c>
      <c r="G27" s="132" t="n"/>
      <c r="H27" s="190">
        <f>IF(B27="","",SUMIFS(rGasto,rCat,B27,rFecha,"&gt;="&amp;semHoy,rFecha,"&lt;="&amp;semHoy+6))</f>
        <v/>
      </c>
      <c r="I27" s="204">
        <f>IF(B27="","",IF(N(G27)=0,"—",IF(IF(N(G27)=0,0,H27/G27)&gt;1,"✕ Excedido",IF(IF(N(G27)=0,0,H27/G27)&gt;=alertPct,"⚠ Atención","✓ En rango"))))</f>
        <v/>
      </c>
      <c r="J27" s="190">
        <f>IF(B27="","",SUMIFS(rGasto,rCat,B27,rFecha,"&gt;="&amp;EDATE(mesHoy,-3),rFecha,"&lt;"&amp;mesHoy)/mesesDatos3)</f>
        <v/>
      </c>
      <c r="K27" s="190">
        <f>IF(B27="","",SUMIFS(rGasto,rCat,B27,rFecha,"&gt;="&amp;EDATE(mesHoy,-1),rFecha,"&lt;"&amp;mesHoy))</f>
        <v/>
      </c>
    </row>
    <row r="28">
      <c r="B28" s="184" t="n"/>
      <c r="C28" s="132" t="n"/>
      <c r="D28" s="190">
        <f>IF(B28="","",SUMIFS(rGasto,rCat,B28,rFecha,"&gt;="&amp;mesHoy,rFecha,"&lt;="&amp;EOMONTH(diaHoy,0)))</f>
        <v/>
      </c>
      <c r="E28" s="205">
        <f>IF(OR(B28="",N(C28)=0),"",D28/C28)</f>
        <v/>
      </c>
      <c r="F28" s="204">
        <f>IF(B28="","",IF(N(C28)=0,"—",IF(E28&gt;1,"✕ Excedido",IF(E28&gt;=alertPct,"⚠ Atención","✓ En rango"))))</f>
        <v/>
      </c>
      <c r="G28" s="132" t="n"/>
      <c r="H28" s="190">
        <f>IF(B28="","",SUMIFS(rGasto,rCat,B28,rFecha,"&gt;="&amp;semHoy,rFecha,"&lt;="&amp;semHoy+6))</f>
        <v/>
      </c>
      <c r="I28" s="204">
        <f>IF(B28="","",IF(N(G28)=0,"—",IF(IF(N(G28)=0,0,H28/G28)&gt;1,"✕ Excedido",IF(IF(N(G28)=0,0,H28/G28)&gt;=alertPct,"⚠ Atención","✓ En rango"))))</f>
        <v/>
      </c>
      <c r="J28" s="190">
        <f>IF(B28="","",SUMIFS(rGasto,rCat,B28,rFecha,"&gt;="&amp;EDATE(mesHoy,-3),rFecha,"&lt;"&amp;mesHoy)/mesesDatos3)</f>
        <v/>
      </c>
      <c r="K28" s="190">
        <f>IF(B28="","",SUMIFS(rGasto,rCat,B28,rFecha,"&gt;="&amp;EDATE(mesHoy,-1),rFecha,"&lt;"&amp;mesHoy))</f>
        <v/>
      </c>
    </row>
    <row r="29">
      <c r="B29" s="184" t="n"/>
      <c r="C29" s="132" t="n"/>
      <c r="D29" s="190">
        <f>IF(B29="","",SUMIFS(rGasto,rCat,B29,rFecha,"&gt;="&amp;mesHoy,rFecha,"&lt;="&amp;EOMONTH(diaHoy,0)))</f>
        <v/>
      </c>
      <c r="E29" s="205">
        <f>IF(OR(B29="",N(C29)=0),"",D29/C29)</f>
        <v/>
      </c>
      <c r="F29" s="204">
        <f>IF(B29="","",IF(N(C29)=0,"—",IF(E29&gt;1,"✕ Excedido",IF(E29&gt;=alertPct,"⚠ Atención","✓ En rango"))))</f>
        <v/>
      </c>
      <c r="G29" s="132" t="n"/>
      <c r="H29" s="190">
        <f>IF(B29="","",SUMIFS(rGasto,rCat,B29,rFecha,"&gt;="&amp;semHoy,rFecha,"&lt;="&amp;semHoy+6))</f>
        <v/>
      </c>
      <c r="I29" s="204">
        <f>IF(B29="","",IF(N(G29)=0,"—",IF(IF(N(G29)=0,0,H29/G29)&gt;1,"✕ Excedido",IF(IF(N(G29)=0,0,H29/G29)&gt;=alertPct,"⚠ Atención","✓ En rango"))))</f>
        <v/>
      </c>
      <c r="J29" s="190">
        <f>IF(B29="","",SUMIFS(rGasto,rCat,B29,rFecha,"&gt;="&amp;EDATE(mesHoy,-3),rFecha,"&lt;"&amp;mesHoy)/mesesDatos3)</f>
        <v/>
      </c>
      <c r="K29" s="190">
        <f>IF(B29="","",SUMIFS(rGasto,rCat,B29,rFecha,"&gt;="&amp;EDATE(mesHoy,-1),rFecha,"&lt;"&amp;mesHoy))</f>
        <v/>
      </c>
    </row>
    <row r="30">
      <c r="B30" s="184" t="n"/>
      <c r="C30" s="132" t="n"/>
      <c r="D30" s="190">
        <f>IF(B30="","",SUMIFS(rGasto,rCat,B30,rFecha,"&gt;="&amp;mesHoy,rFecha,"&lt;="&amp;EOMONTH(diaHoy,0)))</f>
        <v/>
      </c>
      <c r="E30" s="205">
        <f>IF(OR(B30="",N(C30)=0),"",D30/C30)</f>
        <v/>
      </c>
      <c r="F30" s="204">
        <f>IF(B30="","",IF(N(C30)=0,"—",IF(E30&gt;1,"✕ Excedido",IF(E30&gt;=alertPct,"⚠ Atención","✓ En rango"))))</f>
        <v/>
      </c>
      <c r="G30" s="132" t="n"/>
      <c r="H30" s="190">
        <f>IF(B30="","",SUMIFS(rGasto,rCat,B30,rFecha,"&gt;="&amp;semHoy,rFecha,"&lt;="&amp;semHoy+6))</f>
        <v/>
      </c>
      <c r="I30" s="204">
        <f>IF(B30="","",IF(N(G30)=0,"—",IF(IF(N(G30)=0,0,H30/G30)&gt;1,"✕ Excedido",IF(IF(N(G30)=0,0,H30/G30)&gt;=alertPct,"⚠ Atención","✓ En rango"))))</f>
        <v/>
      </c>
      <c r="J30" s="190">
        <f>IF(B30="","",SUMIFS(rGasto,rCat,B30,rFecha,"&gt;="&amp;EDATE(mesHoy,-3),rFecha,"&lt;"&amp;mesHoy)/mesesDatos3)</f>
        <v/>
      </c>
      <c r="K30" s="190">
        <f>IF(B30="","",SUMIFS(rGasto,rCat,B30,rFecha,"&gt;="&amp;EDATE(mesHoy,-1),rFecha,"&lt;"&amp;mesHoy))</f>
        <v/>
      </c>
    </row>
    <row r="31">
      <c r="B31" s="184" t="n"/>
      <c r="C31" s="132" t="n"/>
      <c r="D31" s="190">
        <f>IF(B31="","",SUMIFS(rGasto,rCat,B31,rFecha,"&gt;="&amp;mesHoy,rFecha,"&lt;="&amp;EOMONTH(diaHoy,0)))</f>
        <v/>
      </c>
      <c r="E31" s="205">
        <f>IF(OR(B31="",N(C31)=0),"",D31/C31)</f>
        <v/>
      </c>
      <c r="F31" s="204">
        <f>IF(B31="","",IF(N(C31)=0,"—",IF(E31&gt;1,"✕ Excedido",IF(E31&gt;=alertPct,"⚠ Atención","✓ En rango"))))</f>
        <v/>
      </c>
      <c r="G31" s="132" t="n"/>
      <c r="H31" s="190">
        <f>IF(B31="","",SUMIFS(rGasto,rCat,B31,rFecha,"&gt;="&amp;semHoy,rFecha,"&lt;="&amp;semHoy+6))</f>
        <v/>
      </c>
      <c r="I31" s="204">
        <f>IF(B31="","",IF(N(G31)=0,"—",IF(IF(N(G31)=0,0,H31/G31)&gt;1,"✕ Excedido",IF(IF(N(G31)=0,0,H31/G31)&gt;=alertPct,"⚠ Atención","✓ En rango"))))</f>
        <v/>
      </c>
      <c r="J31" s="190">
        <f>IF(B31="","",SUMIFS(rGasto,rCat,B31,rFecha,"&gt;="&amp;EDATE(mesHoy,-3),rFecha,"&lt;"&amp;mesHoy)/mesesDatos3)</f>
        <v/>
      </c>
      <c r="K31" s="190">
        <f>IF(B31="","",SUMIFS(rGasto,rCat,B31,rFecha,"&gt;="&amp;EDATE(mesHoy,-1),rFecha,"&lt;"&amp;mesHoy))</f>
        <v/>
      </c>
    </row>
    <row r="32">
      <c r="B32" s="184" t="n"/>
      <c r="C32" s="132" t="n"/>
      <c r="D32" s="190">
        <f>IF(B32="","",SUMIFS(rGasto,rCat,B32,rFecha,"&gt;="&amp;mesHoy,rFecha,"&lt;="&amp;EOMONTH(diaHoy,0)))</f>
        <v/>
      </c>
      <c r="E32" s="205">
        <f>IF(OR(B32="",N(C32)=0),"",D32/C32)</f>
        <v/>
      </c>
      <c r="F32" s="204">
        <f>IF(B32="","",IF(N(C32)=0,"—",IF(E32&gt;1,"✕ Excedido",IF(E32&gt;=alertPct,"⚠ Atención","✓ En rango"))))</f>
        <v/>
      </c>
      <c r="G32" s="132" t="n"/>
      <c r="H32" s="190">
        <f>IF(B32="","",SUMIFS(rGasto,rCat,B32,rFecha,"&gt;="&amp;semHoy,rFecha,"&lt;="&amp;semHoy+6))</f>
        <v/>
      </c>
      <c r="I32" s="204">
        <f>IF(B32="","",IF(N(G32)=0,"—",IF(IF(N(G32)=0,0,H32/G32)&gt;1,"✕ Excedido",IF(IF(N(G32)=0,0,H32/G32)&gt;=alertPct,"⚠ Atención","✓ En rango"))))</f>
        <v/>
      </c>
      <c r="J32" s="190">
        <f>IF(B32="","",SUMIFS(rGasto,rCat,B32,rFecha,"&gt;="&amp;EDATE(mesHoy,-3),rFecha,"&lt;"&amp;mesHoy)/mesesDatos3)</f>
        <v/>
      </c>
      <c r="K32" s="190">
        <f>IF(B32="","",SUMIFS(rGasto,rCat,B32,rFecha,"&gt;="&amp;EDATE(mesHoy,-1),rFecha,"&lt;"&amp;mesHoy))</f>
        <v/>
      </c>
    </row>
    <row r="33">
      <c r="B33" s="184" t="n"/>
      <c r="C33" s="132" t="n"/>
      <c r="D33" s="190">
        <f>IF(B33="","",SUMIFS(rGasto,rCat,B33,rFecha,"&gt;="&amp;mesHoy,rFecha,"&lt;="&amp;EOMONTH(diaHoy,0)))</f>
        <v/>
      </c>
      <c r="E33" s="205">
        <f>IF(OR(B33="",N(C33)=0),"",D33/C33)</f>
        <v/>
      </c>
      <c r="F33" s="204">
        <f>IF(B33="","",IF(N(C33)=0,"—",IF(E33&gt;1,"✕ Excedido",IF(E33&gt;=alertPct,"⚠ Atención","✓ En rango"))))</f>
        <v/>
      </c>
      <c r="G33" s="132" t="n"/>
      <c r="H33" s="190">
        <f>IF(B33="","",SUMIFS(rGasto,rCat,B33,rFecha,"&gt;="&amp;semHoy,rFecha,"&lt;="&amp;semHoy+6))</f>
        <v/>
      </c>
      <c r="I33" s="204">
        <f>IF(B33="","",IF(N(G33)=0,"—",IF(IF(N(G33)=0,0,H33/G33)&gt;1,"✕ Excedido",IF(IF(N(G33)=0,0,H33/G33)&gt;=alertPct,"⚠ Atención","✓ En rango"))))</f>
        <v/>
      </c>
      <c r="J33" s="190">
        <f>IF(B33="","",SUMIFS(rGasto,rCat,B33,rFecha,"&gt;="&amp;EDATE(mesHoy,-3),rFecha,"&lt;"&amp;mesHoy)/mesesDatos3)</f>
        <v/>
      </c>
      <c r="K33" s="190">
        <f>IF(B33="","",SUMIFS(rGasto,rCat,B33,rFecha,"&gt;="&amp;EDATE(mesHoy,-1),rFecha,"&lt;"&amp;mesHoy))</f>
        <v/>
      </c>
    </row>
    <row r="34">
      <c r="B34" s="184" t="n"/>
      <c r="C34" s="132" t="n"/>
      <c r="D34" s="190">
        <f>IF(B34="","",SUMIFS(rGasto,rCat,B34,rFecha,"&gt;="&amp;mesHoy,rFecha,"&lt;="&amp;EOMONTH(diaHoy,0)))</f>
        <v/>
      </c>
      <c r="E34" s="205">
        <f>IF(OR(B34="",N(C34)=0),"",D34/C34)</f>
        <v/>
      </c>
      <c r="F34" s="204">
        <f>IF(B34="","",IF(N(C34)=0,"—",IF(E34&gt;1,"✕ Excedido",IF(E34&gt;=alertPct,"⚠ Atención","✓ En rango"))))</f>
        <v/>
      </c>
      <c r="G34" s="132" t="n"/>
      <c r="H34" s="190">
        <f>IF(B34="","",SUMIFS(rGasto,rCat,B34,rFecha,"&gt;="&amp;semHoy,rFecha,"&lt;="&amp;semHoy+6))</f>
        <v/>
      </c>
      <c r="I34" s="204">
        <f>IF(B34="","",IF(N(G34)=0,"—",IF(IF(N(G34)=0,0,H34/G34)&gt;1,"✕ Excedido",IF(IF(N(G34)=0,0,H34/G34)&gt;=alertPct,"⚠ Atención","✓ En rango"))))</f>
        <v/>
      </c>
      <c r="J34" s="190">
        <f>IF(B34="","",SUMIFS(rGasto,rCat,B34,rFecha,"&gt;="&amp;EDATE(mesHoy,-3),rFecha,"&lt;"&amp;mesHoy)/mesesDatos3)</f>
        <v/>
      </c>
      <c r="K34" s="190">
        <f>IF(B34="","",SUMIFS(rGasto,rCat,B34,rFecha,"&gt;="&amp;EDATE(mesHoy,-1),rFecha,"&lt;"&amp;mesHoy))</f>
        <v/>
      </c>
    </row>
    <row r="35">
      <c r="B35" s="184" t="n"/>
      <c r="C35" s="132" t="n"/>
      <c r="D35" s="190">
        <f>IF(B35="","",SUMIFS(rGasto,rCat,B35,rFecha,"&gt;="&amp;mesHoy,rFecha,"&lt;="&amp;EOMONTH(diaHoy,0)))</f>
        <v/>
      </c>
      <c r="E35" s="205">
        <f>IF(OR(B35="",N(C35)=0),"",D35/C35)</f>
        <v/>
      </c>
      <c r="F35" s="204">
        <f>IF(B35="","",IF(N(C35)=0,"—",IF(E35&gt;1,"✕ Excedido",IF(E35&gt;=alertPct,"⚠ Atención","✓ En rango"))))</f>
        <v/>
      </c>
      <c r="G35" s="132" t="n"/>
      <c r="H35" s="190">
        <f>IF(B35="","",SUMIFS(rGasto,rCat,B35,rFecha,"&gt;="&amp;semHoy,rFecha,"&lt;="&amp;semHoy+6))</f>
        <v/>
      </c>
      <c r="I35" s="204">
        <f>IF(B35="","",IF(N(G35)=0,"—",IF(IF(N(G35)=0,0,H35/G35)&gt;1,"✕ Excedido",IF(IF(N(G35)=0,0,H35/G35)&gt;=alertPct,"⚠ Atención","✓ En rango"))))</f>
        <v/>
      </c>
      <c r="J35" s="190">
        <f>IF(B35="","",SUMIFS(rGasto,rCat,B35,rFecha,"&gt;="&amp;EDATE(mesHoy,-3),rFecha,"&lt;"&amp;mesHoy)/mesesDatos3)</f>
        <v/>
      </c>
      <c r="K35" s="190">
        <f>IF(B35="","",SUMIFS(rGasto,rCat,B35,rFecha,"&gt;="&amp;EDATE(mesHoy,-1),rFecha,"&lt;"&amp;mesHoy))</f>
        <v/>
      </c>
    </row>
    <row r="36">
      <c r="B36" s="184" t="n"/>
      <c r="C36" s="132" t="n"/>
      <c r="D36" s="190">
        <f>IF(B36="","",SUMIFS(rGasto,rCat,B36,rFecha,"&gt;="&amp;mesHoy,rFecha,"&lt;="&amp;EOMONTH(diaHoy,0)))</f>
        <v/>
      </c>
      <c r="E36" s="205">
        <f>IF(OR(B36="",N(C36)=0),"",D36/C36)</f>
        <v/>
      </c>
      <c r="F36" s="204">
        <f>IF(B36="","",IF(N(C36)=0,"—",IF(E36&gt;1,"✕ Excedido",IF(E36&gt;=alertPct,"⚠ Atención","✓ En rango"))))</f>
        <v/>
      </c>
      <c r="G36" s="132" t="n"/>
      <c r="H36" s="190">
        <f>IF(B36="","",SUMIFS(rGasto,rCat,B36,rFecha,"&gt;="&amp;semHoy,rFecha,"&lt;="&amp;semHoy+6))</f>
        <v/>
      </c>
      <c r="I36" s="204">
        <f>IF(B36="","",IF(N(G36)=0,"—",IF(IF(N(G36)=0,0,H36/G36)&gt;1,"✕ Excedido",IF(IF(N(G36)=0,0,H36/G36)&gt;=alertPct,"⚠ Atención","✓ En rango"))))</f>
        <v/>
      </c>
      <c r="J36" s="190">
        <f>IF(B36="","",SUMIFS(rGasto,rCat,B36,rFecha,"&gt;="&amp;EDATE(mesHoy,-3),rFecha,"&lt;"&amp;mesHoy)/mesesDatos3)</f>
        <v/>
      </c>
      <c r="K36" s="190">
        <f>IF(B36="","",SUMIFS(rGasto,rCat,B36,rFecha,"&gt;="&amp;EDATE(mesHoy,-1),rFecha,"&lt;"&amp;mesHoy))</f>
        <v/>
      </c>
    </row>
    <row r="37">
      <c r="B37" s="184" t="n"/>
      <c r="C37" s="132" t="n"/>
      <c r="D37" s="190">
        <f>IF(B37="","",SUMIFS(rGasto,rCat,B37,rFecha,"&gt;="&amp;mesHoy,rFecha,"&lt;="&amp;EOMONTH(diaHoy,0)))</f>
        <v/>
      </c>
      <c r="E37" s="205">
        <f>IF(OR(B37="",N(C37)=0),"",D37/C37)</f>
        <v/>
      </c>
      <c r="F37" s="204">
        <f>IF(B37="","",IF(N(C37)=0,"—",IF(E37&gt;1,"✕ Excedido",IF(E37&gt;=alertPct,"⚠ Atención","✓ En rango"))))</f>
        <v/>
      </c>
      <c r="G37" s="132" t="n"/>
      <c r="H37" s="190">
        <f>IF(B37="","",SUMIFS(rGasto,rCat,B37,rFecha,"&gt;="&amp;semHoy,rFecha,"&lt;="&amp;semHoy+6))</f>
        <v/>
      </c>
      <c r="I37" s="204">
        <f>IF(B37="","",IF(N(G37)=0,"—",IF(IF(N(G37)=0,0,H37/G37)&gt;1,"✕ Excedido",IF(IF(N(G37)=0,0,H37/G37)&gt;=alertPct,"⚠ Atención","✓ En rango"))))</f>
        <v/>
      </c>
      <c r="J37" s="190">
        <f>IF(B37="","",SUMIFS(rGasto,rCat,B37,rFecha,"&gt;="&amp;EDATE(mesHoy,-3),rFecha,"&lt;"&amp;mesHoy)/mesesDatos3)</f>
        <v/>
      </c>
      <c r="K37" s="190">
        <f>IF(B37="","",SUMIFS(rGasto,rCat,B37,rFecha,"&gt;="&amp;EDATE(mesHoy,-1),rFecha,"&lt;"&amp;mesHoy))</f>
        <v/>
      </c>
    </row>
    <row r="38">
      <c r="B38" s="184" t="n"/>
      <c r="C38" s="132" t="n"/>
      <c r="D38" s="190">
        <f>IF(B38="","",SUMIFS(rGasto,rCat,B38,rFecha,"&gt;="&amp;mesHoy,rFecha,"&lt;="&amp;EOMONTH(diaHoy,0)))</f>
        <v/>
      </c>
      <c r="E38" s="205">
        <f>IF(OR(B38="",N(C38)=0),"",D38/C38)</f>
        <v/>
      </c>
      <c r="F38" s="204">
        <f>IF(B38="","",IF(N(C38)=0,"—",IF(E38&gt;1,"✕ Excedido",IF(E38&gt;=alertPct,"⚠ Atención","✓ En rango"))))</f>
        <v/>
      </c>
      <c r="G38" s="132" t="n"/>
      <c r="H38" s="190">
        <f>IF(B38="","",SUMIFS(rGasto,rCat,B38,rFecha,"&gt;="&amp;semHoy,rFecha,"&lt;="&amp;semHoy+6))</f>
        <v/>
      </c>
      <c r="I38" s="204">
        <f>IF(B38="","",IF(N(G38)=0,"—",IF(IF(N(G38)=0,0,H38/G38)&gt;1,"✕ Excedido",IF(IF(N(G38)=0,0,H38/G38)&gt;=alertPct,"⚠ Atención","✓ En rango"))))</f>
        <v/>
      </c>
      <c r="J38" s="190">
        <f>IF(B38="","",SUMIFS(rGasto,rCat,B38,rFecha,"&gt;="&amp;EDATE(mesHoy,-3),rFecha,"&lt;"&amp;mesHoy)/mesesDatos3)</f>
        <v/>
      </c>
      <c r="K38" s="190">
        <f>IF(B38="","",SUMIFS(rGasto,rCat,B38,rFecha,"&gt;="&amp;EDATE(mesHoy,-1),rFecha,"&lt;"&amp;mesHoy))</f>
        <v/>
      </c>
    </row>
    <row r="39">
      <c r="B39" s="184" t="n"/>
      <c r="C39" s="132" t="n"/>
      <c r="D39" s="190">
        <f>IF(B39="","",SUMIFS(rGasto,rCat,B39,rFecha,"&gt;="&amp;mesHoy,rFecha,"&lt;="&amp;EOMONTH(diaHoy,0)))</f>
        <v/>
      </c>
      <c r="E39" s="205">
        <f>IF(OR(B39="",N(C39)=0),"",D39/C39)</f>
        <v/>
      </c>
      <c r="F39" s="204">
        <f>IF(B39="","",IF(N(C39)=0,"—",IF(E39&gt;1,"✕ Excedido",IF(E39&gt;=alertPct,"⚠ Atención","✓ En rango"))))</f>
        <v/>
      </c>
      <c r="G39" s="132" t="n"/>
      <c r="H39" s="190">
        <f>IF(B39="","",SUMIFS(rGasto,rCat,B39,rFecha,"&gt;="&amp;semHoy,rFecha,"&lt;="&amp;semHoy+6))</f>
        <v/>
      </c>
      <c r="I39" s="204">
        <f>IF(B39="","",IF(N(G39)=0,"—",IF(IF(N(G39)=0,0,H39/G39)&gt;1,"✕ Excedido",IF(IF(N(G39)=0,0,H39/G39)&gt;=alertPct,"⚠ Atención","✓ En rango"))))</f>
        <v/>
      </c>
      <c r="J39" s="190">
        <f>IF(B39="","",SUMIFS(rGasto,rCat,B39,rFecha,"&gt;="&amp;EDATE(mesHoy,-3),rFecha,"&lt;"&amp;mesHoy)/mesesDatos3)</f>
        <v/>
      </c>
      <c r="K39" s="190">
        <f>IF(B39="","",SUMIFS(rGasto,rCat,B39,rFecha,"&gt;="&amp;EDATE(mesHoy,-1),rFecha,"&lt;"&amp;mesHoy))</f>
        <v/>
      </c>
    </row>
    <row r="40">
      <c r="B40" s="184" t="n"/>
      <c r="C40" s="132" t="n"/>
      <c r="D40" s="190">
        <f>IF(B40="","",SUMIFS(rGasto,rCat,B40,rFecha,"&gt;="&amp;mesHoy,rFecha,"&lt;="&amp;EOMONTH(diaHoy,0)))</f>
        <v/>
      </c>
      <c r="E40" s="205">
        <f>IF(OR(B40="",N(C40)=0),"",D40/C40)</f>
        <v/>
      </c>
      <c r="F40" s="204">
        <f>IF(B40="","",IF(N(C40)=0,"—",IF(E40&gt;1,"✕ Excedido",IF(E40&gt;=alertPct,"⚠ Atención","✓ En rango"))))</f>
        <v/>
      </c>
      <c r="G40" s="132" t="n"/>
      <c r="H40" s="190">
        <f>IF(B40="","",SUMIFS(rGasto,rCat,B40,rFecha,"&gt;="&amp;semHoy,rFecha,"&lt;="&amp;semHoy+6))</f>
        <v/>
      </c>
      <c r="I40" s="204">
        <f>IF(B40="","",IF(N(G40)=0,"—",IF(IF(N(G40)=0,0,H40/G40)&gt;1,"✕ Excedido",IF(IF(N(G40)=0,0,H40/G40)&gt;=alertPct,"⚠ Atención","✓ En rango"))))</f>
        <v/>
      </c>
      <c r="J40" s="190">
        <f>IF(B40="","",SUMIFS(rGasto,rCat,B40,rFecha,"&gt;="&amp;EDATE(mesHoy,-3),rFecha,"&lt;"&amp;mesHoy)/mesesDatos3)</f>
        <v/>
      </c>
      <c r="K40" s="190">
        <f>IF(B40="","",SUMIFS(rGasto,rCat,B40,rFecha,"&gt;="&amp;EDATE(mesHoy,-1),rFecha,"&lt;"&amp;mesHoy))</f>
        <v/>
      </c>
    </row>
    <row r="41">
      <c r="B41" s="184" t="n"/>
      <c r="C41" s="132" t="n"/>
      <c r="D41" s="190">
        <f>IF(B41="","",SUMIFS(rGasto,rCat,B41,rFecha,"&gt;="&amp;mesHoy,rFecha,"&lt;="&amp;EOMONTH(diaHoy,0)))</f>
        <v/>
      </c>
      <c r="E41" s="205">
        <f>IF(OR(B41="",N(C41)=0),"",D41/C41)</f>
        <v/>
      </c>
      <c r="F41" s="204">
        <f>IF(B41="","",IF(N(C41)=0,"—",IF(E41&gt;1,"✕ Excedido",IF(E41&gt;=alertPct,"⚠ Atención","✓ En rango"))))</f>
        <v/>
      </c>
      <c r="G41" s="132" t="n"/>
      <c r="H41" s="190">
        <f>IF(B41="","",SUMIFS(rGasto,rCat,B41,rFecha,"&gt;="&amp;semHoy,rFecha,"&lt;="&amp;semHoy+6))</f>
        <v/>
      </c>
      <c r="I41" s="204">
        <f>IF(B41="","",IF(N(G41)=0,"—",IF(IF(N(G41)=0,0,H41/G41)&gt;1,"✕ Excedido",IF(IF(N(G41)=0,0,H41/G41)&gt;=alertPct,"⚠ Atención","✓ En rango"))))</f>
        <v/>
      </c>
      <c r="J41" s="190">
        <f>IF(B41="","",SUMIFS(rGasto,rCat,B41,rFecha,"&gt;="&amp;EDATE(mesHoy,-3),rFecha,"&lt;"&amp;mesHoy)/mesesDatos3)</f>
        <v/>
      </c>
      <c r="K41" s="190">
        <f>IF(B41="","",SUMIFS(rGasto,rCat,B41,rFecha,"&gt;="&amp;EDATE(mesHoy,-1),rFecha,"&lt;"&amp;mesHoy))</f>
        <v/>
      </c>
    </row>
    <row r="42">
      <c r="B42" s="184" t="n"/>
      <c r="C42" s="132" t="n"/>
      <c r="D42" s="190">
        <f>IF(B42="","",SUMIFS(rGasto,rCat,B42,rFecha,"&gt;="&amp;mesHoy,rFecha,"&lt;="&amp;EOMONTH(diaHoy,0)))</f>
        <v/>
      </c>
      <c r="E42" s="205">
        <f>IF(OR(B42="",N(C42)=0),"",D42/C42)</f>
        <v/>
      </c>
      <c r="F42" s="204">
        <f>IF(B42="","",IF(N(C42)=0,"—",IF(E42&gt;1,"✕ Excedido",IF(E42&gt;=alertPct,"⚠ Atención","✓ En rango"))))</f>
        <v/>
      </c>
      <c r="G42" s="132" t="n"/>
      <c r="H42" s="190">
        <f>IF(B42="","",SUMIFS(rGasto,rCat,B42,rFecha,"&gt;="&amp;semHoy,rFecha,"&lt;="&amp;semHoy+6))</f>
        <v/>
      </c>
      <c r="I42" s="204">
        <f>IF(B42="","",IF(N(G42)=0,"—",IF(IF(N(G42)=0,0,H42/G42)&gt;1,"✕ Excedido",IF(IF(N(G42)=0,0,H42/G42)&gt;=alertPct,"⚠ Atención","✓ En rango"))))</f>
        <v/>
      </c>
      <c r="J42" s="190">
        <f>IF(B42="","",SUMIFS(rGasto,rCat,B42,rFecha,"&gt;="&amp;EDATE(mesHoy,-3),rFecha,"&lt;"&amp;mesHoy)/mesesDatos3)</f>
        <v/>
      </c>
      <c r="K42" s="190">
        <f>IF(B42="","",SUMIFS(rGasto,rCat,B42,rFecha,"&gt;="&amp;EDATE(mesHoy,-1),rFecha,"&lt;"&amp;mesHoy))</f>
        <v/>
      </c>
    </row>
    <row r="43">
      <c r="B43" s="184" t="n"/>
      <c r="C43" s="132" t="n"/>
      <c r="D43" s="190">
        <f>IF(B43="","",SUMIFS(rGasto,rCat,B43,rFecha,"&gt;="&amp;mesHoy,rFecha,"&lt;="&amp;EOMONTH(diaHoy,0)))</f>
        <v/>
      </c>
      <c r="E43" s="205">
        <f>IF(OR(B43="",N(C43)=0),"",D43/C43)</f>
        <v/>
      </c>
      <c r="F43" s="204">
        <f>IF(B43="","",IF(N(C43)=0,"—",IF(E43&gt;1,"✕ Excedido",IF(E43&gt;=alertPct,"⚠ Atención","✓ En rango"))))</f>
        <v/>
      </c>
      <c r="G43" s="132" t="n"/>
      <c r="H43" s="190">
        <f>IF(B43="","",SUMIFS(rGasto,rCat,B43,rFecha,"&gt;="&amp;semHoy,rFecha,"&lt;="&amp;semHoy+6))</f>
        <v/>
      </c>
      <c r="I43" s="204">
        <f>IF(B43="","",IF(N(G43)=0,"—",IF(IF(N(G43)=0,0,H43/G43)&gt;1,"✕ Excedido",IF(IF(N(G43)=0,0,H43/G43)&gt;=alertPct,"⚠ Atención","✓ En rango"))))</f>
        <v/>
      </c>
      <c r="J43" s="190">
        <f>IF(B43="","",SUMIFS(rGasto,rCat,B43,rFecha,"&gt;="&amp;EDATE(mesHoy,-3),rFecha,"&lt;"&amp;mesHoy)/mesesDatos3)</f>
        <v/>
      </c>
      <c r="K43" s="190">
        <f>IF(B43="","",SUMIFS(rGasto,rCat,B43,rFecha,"&gt;="&amp;EDATE(mesHoy,-1),rFecha,"&lt;"&amp;mesHoy))</f>
        <v/>
      </c>
    </row>
    <row r="45">
      <c r="B45" s="206" t="inlineStr">
        <is>
          <t>Resumen (lo usa el Dashboard · no editar)</t>
        </is>
      </c>
    </row>
    <row r="46">
      <c r="B46" s="52" t="inlineStr">
        <is>
          <t>Límites configurados</t>
        </is>
      </c>
      <c r="C46" s="207">
        <f>COUNT(C8:C10)+COUNT(budLimMes)+COUNT(budLimSem)</f>
        <v/>
      </c>
    </row>
    <row r="47">
      <c r="B47" s="52" t="inlineStr">
        <is>
          <t>Alertas excedidas</t>
        </is>
      </c>
      <c r="C47" s="207">
        <f>COUNTIF(G8:G10,"✕*")+COUNTIF(budEstMes,"✕*")+COUNTIF(budEstSem,"✕*")</f>
        <v/>
      </c>
    </row>
    <row r="48">
      <c r="B48" s="52" t="inlineStr">
        <is>
          <t>Alertas en atención</t>
        </is>
      </c>
      <c r="C48" s="207">
        <f>COUNTIF(G8:G10,"⚠*")+COUNTIF(budEstMes,"⚠*")+COUNTIF(budEstSem,"⚠*")</f>
        <v/>
      </c>
    </row>
    <row r="49">
      <c r="B49" s="52" t="inlineStr">
        <is>
          <t>Nivel (0 sin límites · 1 ok · 2 atención · 3 excedido)</t>
        </is>
      </c>
      <c r="C49" s="207">
        <f>IF(C46=0,0,IF(C47&gt;0,3,IF(C48&gt;0,2,1)))</f>
        <v/>
      </c>
    </row>
    <row r="50">
      <c r="B50" s="52" t="inlineStr">
        <is>
          <t>Texto</t>
        </is>
      </c>
      <c r="C50" s="208">
        <f>IF(C49=0,"Etapa 1 · Sin límites configurados: sigue registrando. Cuando conozcas tus patrones, define límites en la hoja Presupuestos.","Presupuesto  ·  Mes: "&amp;IF(N(limMensual)=0,"sin límite",FIXED(E10*100,0)&amp;"% usado")&amp;"   ·   Semana: "&amp;IF(N(limSemanal)=0,"sin límite",FIXED(E9*100,0)&amp;"% usado")&amp;"   ·   Excedidos: "&amp;C47&amp;"   ·   En atención: "&amp;C48)</f>
        <v/>
      </c>
    </row>
    <row r="53">
      <c r="B53" s="201" t="inlineStr">
        <is>
          <t>Objetivos financieros</t>
        </is>
      </c>
      <c r="C53" s="10" t="n"/>
      <c r="D53" s="10" t="n"/>
      <c r="E53" s="10" t="n"/>
      <c r="F53" s="10" t="n"/>
      <c r="G53" s="10" t="n"/>
      <c r="H53" s="10" t="n"/>
      <c r="I53" s="10" t="n"/>
      <c r="J53" s="10" t="n"/>
      <c r="K53" s="10" t="n"/>
      <c r="L53" s="10" t="n"/>
    </row>
    <row r="54" ht="30" customHeight="1">
      <c r="B54" s="182" t="inlineStr">
        <is>
          <t>Objetivo</t>
        </is>
      </c>
      <c r="C54" s="182" t="inlineStr">
        <is>
          <t>Meta (DOP)</t>
        </is>
      </c>
      <c r="D54" s="182" t="inlineStr">
        <is>
          <t>Fecha objetivo</t>
        </is>
      </c>
      <c r="E54" s="182" t="inlineStr">
        <is>
          <t>Cuenta vinculada</t>
        </is>
      </c>
      <c r="F54" s="182" t="inlineStr">
        <is>
          <t>Aporte manual</t>
        </is>
      </c>
      <c r="G54" s="183" t="inlineStr">
        <is>
          <t>Avance actual</t>
        </is>
      </c>
      <c r="H54" s="183" t="inlineStr">
        <is>
          <t>% avance</t>
        </is>
      </c>
      <c r="I54" s="183" t="inlineStr">
        <is>
          <t>Falta</t>
        </is>
      </c>
      <c r="J54" s="183" t="inlineStr">
        <is>
          <t>Meses restantes</t>
        </is>
      </c>
      <c r="K54" s="183" t="inlineStr">
        <is>
          <t>Aporte mensual necesario</t>
        </is>
      </c>
      <c r="L54" s="183" t="inlineStr">
        <is>
          <t>Estado</t>
        </is>
      </c>
    </row>
    <row r="55">
      <c r="B55" s="184" t="inlineStr">
        <is>
          <t>Fondo de emergencia</t>
        </is>
      </c>
      <c r="C55" s="132" t="n"/>
      <c r="D55" s="209" t="n"/>
      <c r="E55" s="210" t="n"/>
      <c r="F55" s="132" t="n"/>
      <c r="G55" s="190">
        <f>IF(B55="","",IF(E55&lt;&gt;"",IFERROR(INDEX(ctaSaldoDOP,MATCH(E55,ctaNombre,0))+N(F55),N(F55)),N(F55)))</f>
        <v/>
      </c>
      <c r="H55" s="205">
        <f>IF(OR(B55="",N(C55)=0),"",MIN(1,N(G55)/C55))</f>
        <v/>
      </c>
      <c r="I55" s="190">
        <f>IF(OR(B55="",N(C55)=0),"",MAX(0,C55-N(G55)))</f>
        <v/>
      </c>
      <c r="J55" s="193">
        <f>IF(OR(B55="",NOT(ISNUMBER(D55))),"",MAX(0,DATEDIF(MIN(TODAY(),D55),D55,"m")))</f>
        <v/>
      </c>
      <c r="K55" s="190">
        <f>IF(OR(I55="",J55=""),"",IF(J55=0,I55,I55/J55))</f>
        <v/>
      </c>
      <c r="L55" s="204">
        <f>IF(B55="","",IF(N(C55)=0,"— Define una meta",IF(H55&gt;=1,"✓ Cumplido",IF(AND(ISNUMBER(D55),D55&lt;TODAY()),"✕ Fecha vencida","En progreso"))))</f>
        <v/>
      </c>
    </row>
    <row r="56">
      <c r="B56" s="184" t="inlineStr">
        <is>
          <t>Ahorro para la boda</t>
        </is>
      </c>
      <c r="C56" s="132" t="n"/>
      <c r="D56" s="209" t="n"/>
      <c r="E56" s="210" t="n"/>
      <c r="F56" s="132" t="n"/>
      <c r="G56" s="190">
        <f>IF(B56="","",IF(E56&lt;&gt;"",IFERROR(INDEX(ctaSaldoDOP,MATCH(E56,ctaNombre,0))+N(F56),N(F56)),N(F56)))</f>
        <v/>
      </c>
      <c r="H56" s="205">
        <f>IF(OR(B56="",N(C56)=0),"",MIN(1,N(G56)/C56))</f>
        <v/>
      </c>
      <c r="I56" s="190">
        <f>IF(OR(B56="",N(C56)=0),"",MAX(0,C56-N(G56)))</f>
        <v/>
      </c>
      <c r="J56" s="193">
        <f>IF(OR(B56="",NOT(ISNUMBER(D56))),"",MAX(0,DATEDIF(MIN(TODAY(),D56),D56,"m")))</f>
        <v/>
      </c>
      <c r="K56" s="190">
        <f>IF(OR(I56="",J56=""),"",IF(J56=0,I56,I56/J56))</f>
        <v/>
      </c>
      <c r="L56" s="204">
        <f>IF(B56="","",IF(N(C56)=0,"— Define una meta",IF(H56&gt;=1,"✓ Cumplido",IF(AND(ISNUMBER(D56),D56&lt;TODAY()),"✕ Fecha vencida","En progreso"))))</f>
        <v/>
      </c>
    </row>
    <row r="57">
      <c r="B57" s="184" t="inlineStr">
        <is>
          <t>Inversión y crecimiento patrimonial</t>
        </is>
      </c>
      <c r="C57" s="132" t="n"/>
      <c r="D57" s="209" t="n"/>
      <c r="E57" s="210" t="n"/>
      <c r="F57" s="132" t="n"/>
      <c r="G57" s="190">
        <f>IF(B57="","",IF(E57&lt;&gt;"",IFERROR(INDEX(ctaSaldoDOP,MATCH(E57,ctaNombre,0))+N(F57),N(F57)),N(F57)))</f>
        <v/>
      </c>
      <c r="H57" s="205">
        <f>IF(OR(B57="",N(C57)=0),"",MIN(1,N(G57)/C57))</f>
        <v/>
      </c>
      <c r="I57" s="190">
        <f>IF(OR(B57="",N(C57)=0),"",MAX(0,C57-N(G57)))</f>
        <v/>
      </c>
      <c r="J57" s="193">
        <f>IF(OR(B57="",NOT(ISNUMBER(D57))),"",MAX(0,DATEDIF(MIN(TODAY(),D57),D57,"m")))</f>
        <v/>
      </c>
      <c r="K57" s="190">
        <f>IF(OR(I57="",J57=""),"",IF(J57=0,I57,I57/J57))</f>
        <v/>
      </c>
      <c r="L57" s="204">
        <f>IF(B57="","",IF(N(C57)=0,"— Define una meta",IF(H57&gt;=1,"✓ Cumplido",IF(AND(ISNUMBER(D57),D57&lt;TODAY()),"✕ Fecha vencida","En progreso"))))</f>
        <v/>
      </c>
    </row>
    <row r="58">
      <c r="B58" s="184" t="inlineStr">
        <is>
          <t>Ahorro general</t>
        </is>
      </c>
      <c r="C58" s="132" t="n"/>
      <c r="D58" s="209" t="n"/>
      <c r="E58" s="210" t="n"/>
      <c r="F58" s="132" t="n"/>
      <c r="G58" s="190">
        <f>IF(B58="","",IF(E58&lt;&gt;"",IFERROR(INDEX(ctaSaldoDOP,MATCH(E58,ctaNombre,0))+N(F58),N(F58)),N(F58)))</f>
        <v/>
      </c>
      <c r="H58" s="205">
        <f>IF(OR(B58="",N(C58)=0),"",MIN(1,N(G58)/C58))</f>
        <v/>
      </c>
      <c r="I58" s="190">
        <f>IF(OR(B58="",N(C58)=0),"",MAX(0,C58-N(G58)))</f>
        <v/>
      </c>
      <c r="J58" s="193">
        <f>IF(OR(B58="",NOT(ISNUMBER(D58))),"",MAX(0,DATEDIF(MIN(TODAY(),D58),D58,"m")))</f>
        <v/>
      </c>
      <c r="K58" s="190">
        <f>IF(OR(I58="",J58=""),"",IF(J58=0,I58,I58/J58))</f>
        <v/>
      </c>
      <c r="L58" s="204">
        <f>IF(B58="","",IF(N(C58)=0,"— Define una meta",IF(H58&gt;=1,"✓ Cumplido",IF(AND(ISNUMBER(D58),D58&lt;TODAY()),"✕ Fecha vencida","En progreso"))))</f>
        <v/>
      </c>
    </row>
    <row r="59">
      <c r="B59" s="184" t="n"/>
      <c r="C59" s="132" t="n"/>
      <c r="D59" s="209" t="n"/>
      <c r="E59" s="210" t="n"/>
      <c r="F59" s="132" t="n"/>
      <c r="G59" s="190">
        <f>IF(B59="","",IF(E59&lt;&gt;"",IFERROR(INDEX(ctaSaldoDOP,MATCH(E59,ctaNombre,0))+N(F59),N(F59)),N(F59)))</f>
        <v/>
      </c>
      <c r="H59" s="205">
        <f>IF(OR(B59="",N(C59)=0),"",MIN(1,N(G59)/C59))</f>
        <v/>
      </c>
      <c r="I59" s="190">
        <f>IF(OR(B59="",N(C59)=0),"",MAX(0,C59-N(G59)))</f>
        <v/>
      </c>
      <c r="J59" s="193">
        <f>IF(OR(B59="",NOT(ISNUMBER(D59))),"",MAX(0,DATEDIF(MIN(TODAY(),D59),D59,"m")))</f>
        <v/>
      </c>
      <c r="K59" s="190">
        <f>IF(OR(I59="",J59=""),"",IF(J59=0,I59,I59/J59))</f>
        <v/>
      </c>
      <c r="L59" s="204">
        <f>IF(B59="","",IF(N(C59)=0,"— Define una meta",IF(H59&gt;=1,"✓ Cumplido",IF(AND(ISNUMBER(D59),D59&lt;TODAY()),"✕ Fecha vencida","En progreso"))))</f>
        <v/>
      </c>
    </row>
    <row r="60">
      <c r="B60" s="184" t="n"/>
      <c r="C60" s="132" t="n"/>
      <c r="D60" s="209" t="n"/>
      <c r="E60" s="210" t="n"/>
      <c r="F60" s="132" t="n"/>
      <c r="G60" s="190">
        <f>IF(B60="","",IF(E60&lt;&gt;"",IFERROR(INDEX(ctaSaldoDOP,MATCH(E60,ctaNombre,0))+N(F60),N(F60)),N(F60)))</f>
        <v/>
      </c>
      <c r="H60" s="205">
        <f>IF(OR(B60="",N(C60)=0),"",MIN(1,N(G60)/C60))</f>
        <v/>
      </c>
      <c r="I60" s="190">
        <f>IF(OR(B60="",N(C60)=0),"",MAX(0,C60-N(G60)))</f>
        <v/>
      </c>
      <c r="J60" s="193">
        <f>IF(OR(B60="",NOT(ISNUMBER(D60))),"",MAX(0,DATEDIF(MIN(TODAY(),D60),D60,"m")))</f>
        <v/>
      </c>
      <c r="K60" s="190">
        <f>IF(OR(I60="",J60=""),"",IF(J60=0,I60,I60/J60))</f>
        <v/>
      </c>
      <c r="L60" s="204">
        <f>IF(B60="","",IF(N(C60)=0,"— Define una meta",IF(H60&gt;=1,"✓ Cumplido",IF(AND(ISNUMBER(D60),D60&lt;TODAY()),"✕ Fecha vencida","En progreso"))))</f>
        <v/>
      </c>
    </row>
    <row r="61">
      <c r="B61" s="184" t="n"/>
      <c r="C61" s="132" t="n"/>
      <c r="D61" s="209" t="n"/>
      <c r="E61" s="210" t="n"/>
      <c r="F61" s="132" t="n"/>
      <c r="G61" s="190">
        <f>IF(B61="","",IF(E61&lt;&gt;"",IFERROR(INDEX(ctaSaldoDOP,MATCH(E61,ctaNombre,0))+N(F61),N(F61)),N(F61)))</f>
        <v/>
      </c>
      <c r="H61" s="205">
        <f>IF(OR(B61="",N(C61)=0),"",MIN(1,N(G61)/C61))</f>
        <v/>
      </c>
      <c r="I61" s="190">
        <f>IF(OR(B61="",N(C61)=0),"",MAX(0,C61-N(G61)))</f>
        <v/>
      </c>
      <c r="J61" s="193">
        <f>IF(OR(B61="",NOT(ISNUMBER(D61))),"",MAX(0,DATEDIF(MIN(TODAY(),D61),D61,"m")))</f>
        <v/>
      </c>
      <c r="K61" s="190">
        <f>IF(OR(I61="",J61=""),"",IF(J61=0,I61,I61/J61))</f>
        <v/>
      </c>
      <c r="L61" s="204">
        <f>IF(B61="","",IF(N(C61)=0,"— Define una meta",IF(H61&gt;=1,"✓ Cumplido",IF(AND(ISNUMBER(D61),D61&lt;TODAY()),"✕ Fecha vencida","En progreso"))))</f>
        <v/>
      </c>
    </row>
    <row r="62">
      <c r="B62" s="184" t="n"/>
      <c r="C62" s="132" t="n"/>
      <c r="D62" s="209" t="n"/>
      <c r="E62" s="210" t="n"/>
      <c r="F62" s="132" t="n"/>
      <c r="G62" s="190">
        <f>IF(B62="","",IF(E62&lt;&gt;"",IFERROR(INDEX(ctaSaldoDOP,MATCH(E62,ctaNombre,0))+N(F62),N(F62)),N(F62)))</f>
        <v/>
      </c>
      <c r="H62" s="205">
        <f>IF(OR(B62="",N(C62)=0),"",MIN(1,N(G62)/C62))</f>
        <v/>
      </c>
      <c r="I62" s="190">
        <f>IF(OR(B62="",N(C62)=0),"",MAX(0,C62-N(G62)))</f>
        <v/>
      </c>
      <c r="J62" s="193">
        <f>IF(OR(B62="",NOT(ISNUMBER(D62))),"",MAX(0,DATEDIF(MIN(TODAY(),D62),D62,"m")))</f>
        <v/>
      </c>
      <c r="K62" s="190">
        <f>IF(OR(I62="",J62=""),"",IF(J62=0,I62,I62/J62))</f>
        <v/>
      </c>
      <c r="L62" s="204">
        <f>IF(B62="","",IF(N(C62)=0,"— Define una meta",IF(H62&gt;=1,"✓ Cumplido",IF(AND(ISNUMBER(D62),D62&lt;TODAY()),"✕ Fecha vencida","En progreso"))))</f>
        <v/>
      </c>
    </row>
    <row r="63">
      <c r="B63" s="184" t="n"/>
      <c r="C63" s="132" t="n"/>
      <c r="D63" s="209" t="n"/>
      <c r="E63" s="210" t="n"/>
      <c r="F63" s="132" t="n"/>
      <c r="G63" s="190">
        <f>IF(B63="","",IF(E63&lt;&gt;"",IFERROR(INDEX(ctaSaldoDOP,MATCH(E63,ctaNombre,0))+N(F63),N(F63)),N(F63)))</f>
        <v/>
      </c>
      <c r="H63" s="205">
        <f>IF(OR(B63="",N(C63)=0),"",MIN(1,N(G63)/C63))</f>
        <v/>
      </c>
      <c r="I63" s="190">
        <f>IF(OR(B63="",N(C63)=0),"",MAX(0,C63-N(G63)))</f>
        <v/>
      </c>
      <c r="J63" s="193">
        <f>IF(OR(B63="",NOT(ISNUMBER(D63))),"",MAX(0,DATEDIF(MIN(TODAY(),D63),D63,"m")))</f>
        <v/>
      </c>
      <c r="K63" s="190">
        <f>IF(OR(I63="",J63=""),"",IF(J63=0,I63,I63/J63))</f>
        <v/>
      </c>
      <c r="L63" s="204">
        <f>IF(B63="","",IF(N(C63)=0,"— Define una meta",IF(H63&gt;=1,"✓ Cumplido",IF(AND(ISNUMBER(D63),D63&lt;TODAY()),"✕ Fecha vencida","En progreso"))))</f>
        <v/>
      </c>
    </row>
    <row r="64">
      <c r="B64" s="184" t="n"/>
      <c r="C64" s="132" t="n"/>
      <c r="D64" s="209" t="n"/>
      <c r="E64" s="210" t="n"/>
      <c r="F64" s="132" t="n"/>
      <c r="G64" s="190">
        <f>IF(B64="","",IF(E64&lt;&gt;"",IFERROR(INDEX(ctaSaldoDOP,MATCH(E64,ctaNombre,0))+N(F64),N(F64)),N(F64)))</f>
        <v/>
      </c>
      <c r="H64" s="205">
        <f>IF(OR(B64="",N(C64)=0),"",MIN(1,N(G64)/C64))</f>
        <v/>
      </c>
      <c r="I64" s="190">
        <f>IF(OR(B64="",N(C64)=0),"",MAX(0,C64-N(G64)))</f>
        <v/>
      </c>
      <c r="J64" s="193">
        <f>IF(OR(B64="",NOT(ISNUMBER(D64))),"",MAX(0,DATEDIF(MIN(TODAY(),D64),D64,"m")))</f>
        <v/>
      </c>
      <c r="K64" s="190">
        <f>IF(OR(I64="",J64=""),"",IF(J64=0,I64,I64/J64))</f>
        <v/>
      </c>
      <c r="L64" s="204">
        <f>IF(B64="","",IF(N(C64)=0,"— Define una meta",IF(H64&gt;=1,"✓ Cumplido",IF(AND(ISNUMBER(D64),D64&lt;TODAY()),"✕ Fecha vencida","En progreso"))))</f>
        <v/>
      </c>
    </row>
    <row r="66">
      <c r="B66" s="201" t="inlineStr">
        <is>
          <t>Referencia para el fondo de emergencia</t>
        </is>
      </c>
      <c r="C66" s="10" t="n"/>
      <c r="D66" s="10" t="n"/>
      <c r="E66" s="10" t="n"/>
      <c r="F66" s="10" t="n"/>
      <c r="G66" s="10" t="n"/>
      <c r="H66" s="10" t="n"/>
      <c r="I66" s="10" t="n"/>
      <c r="J66" s="10" t="n"/>
      <c r="K66" s="10" t="n"/>
      <c r="L66" s="10" t="n"/>
    </row>
    <row r="67">
      <c r="B67" s="211" t="inlineStr">
        <is>
          <t>Meses de cobertura deseados</t>
        </is>
      </c>
      <c r="C67" s="128" t="n"/>
      <c r="D67" s="181" t="inlineStr">
        <is>
          <t>Solo es una referencia calculada con tus gastos reales: copia el valor en «Meta» del Fondo de emergencia si te parece adecuado. Si vinculas una cuenta a un objetivo, el avance usa el saldo de esa cuenta (requiere saldo inicial) más el aporte manual.</t>
        </is>
      </c>
    </row>
    <row r="68">
      <c r="B68" s="212" t="inlineStr">
        <is>
          <t>Gasto mensual promedio (últimos 3 meses completos con datos)</t>
        </is>
      </c>
      <c r="C68" s="213">
        <f>SUMIFS(rGasto,rFecha,"&gt;="&amp;EDATE(mesHoy,-3),rFecha,"&lt;"&amp;mesHoy)/mesesDatos3</f>
        <v/>
      </c>
    </row>
    <row r="69">
      <c r="B69" s="212" t="inlineStr">
        <is>
          <t>Meta sugerida (meses × gasto promedio)</t>
        </is>
      </c>
      <c r="C69" s="214">
        <f>IF(N(C67)=0,"Indica los meses",C67*C68)</f>
        <v/>
      </c>
    </row>
  </sheetData>
  <mergeCells count="7">
    <mergeCell ref="B53:L53"/>
    <mergeCell ref="B12:L12"/>
    <mergeCell ref="I1:O1"/>
    <mergeCell ref="B6:L6"/>
    <mergeCell ref="B3:L4"/>
    <mergeCell ref="D67:L69"/>
    <mergeCell ref="B66:L66"/>
  </mergeCells>
  <conditionalFormatting sqref="E8:E10">
    <cfRule type="dataBar" priority="1">
      <dataBar showValue="1">
        <cfvo type="num" val="0"/>
        <cfvo type="num" val="1"/>
        <color rgb="009EC5F4"/>
      </dataBar>
    </cfRule>
  </conditionalFormatting>
  <conditionalFormatting sqref="E14:E43">
    <cfRule type="dataBar" priority="2">
      <dataBar showValue="1">
        <cfvo type="num" val="0"/>
        <cfvo type="num" val="1"/>
        <color rgb="009EC5F4"/>
      </dataBar>
    </cfRule>
  </conditionalFormatting>
  <conditionalFormatting sqref="G8:G10">
    <cfRule type="expression" priority="3" dxfId="0">
      <formula>LEFT(G8,1)="✕"</formula>
    </cfRule>
    <cfRule type="expression" priority="4" dxfId="6">
      <formula>LEFT(G8,1)="⚠"</formula>
    </cfRule>
    <cfRule type="expression" priority="5" dxfId="7">
      <formula>LEFT(G8,1)="✓"</formula>
    </cfRule>
  </conditionalFormatting>
  <conditionalFormatting sqref="F14:F43">
    <cfRule type="expression" priority="6" dxfId="0">
      <formula>LEFT(F14,1)="✕"</formula>
    </cfRule>
    <cfRule type="expression" priority="7" dxfId="6">
      <formula>LEFT(F14,1)="⚠"</formula>
    </cfRule>
    <cfRule type="expression" priority="8" dxfId="7">
      <formula>LEFT(F14,1)="✓"</formula>
    </cfRule>
  </conditionalFormatting>
  <conditionalFormatting sqref="I14:I43">
    <cfRule type="expression" priority="9" dxfId="0">
      <formula>LEFT(I14,1)="✕"</formula>
    </cfRule>
    <cfRule type="expression" priority="10" dxfId="6">
      <formula>LEFT(I14,1)="⚠"</formula>
    </cfRule>
    <cfRule type="expression" priority="11" dxfId="7">
      <formula>LEFT(I14,1)="✓"</formula>
    </cfRule>
  </conditionalFormatting>
  <conditionalFormatting sqref="H55:H64">
    <cfRule type="dataBar" priority="12">
      <dataBar showValue="1">
        <cfvo type="num" val="0"/>
        <cfvo type="num" val="1"/>
        <color rgb="008FD9B6"/>
      </dataBar>
    </cfRule>
  </conditionalFormatting>
  <conditionalFormatting sqref="L55:L64">
    <cfRule type="expression" priority="13" dxfId="7">
      <formula>LEFT(L55,1)="✓"</formula>
    </cfRule>
    <cfRule type="expression" priority="14" dxfId="0">
      <formula>LEFT(L55,1)="✕"</formula>
    </cfRule>
  </conditionalFormatting>
  <dataValidations count="2">
    <dataValidation sqref="B14:B43" showDropDown="0" showInputMessage="0" showErrorMessage="1" allowBlank="1" errorTitle="Valor no válido" error="Elige un valor de la lista." type="list">
      <formula1>=lstCat</formula1>
    </dataValidation>
    <dataValidation sqref="E55:E64" showDropDown="0" showInputMessage="0" showErrorMessage="1" allowBlank="1" errorTitle="Valor no válido" error="Elige un valor de la lista." type="list">
      <formula1>=lstCuentas</formula1>
    </dataValidation>
  </dataValidations>
  <hyperlinks>
    <hyperlink ref="B2" location="'Inicio'!A1" display="Inicio"/>
    <hyperlink ref="C2" location="'Registro'!A1" display="Registro"/>
    <hyperlink ref="D2" location="'Dashboard'!A1" display="Dashboard"/>
    <hyperlink ref="E2" location="'Alimentación'!A1" display="Alimentación"/>
    <hyperlink ref="F2" location="'Gastos hormiga'!A1" display="Hormiga"/>
    <hyperlink ref="G2" location="'Recurrentes'!A1" display="Recurrentes"/>
    <hyperlink ref="H2" location="'Presupuestos'!A1" display="● Presupuestos"/>
    <hyperlink ref="I2" location="'Cuentas'!A1" display="Cuentas"/>
    <hyperlink ref="J2" location="'Categorías'!A1" display="Categorías"/>
    <hyperlink ref="K2" location="'Config'!A1" display="Config"/>
  </hyperlinks>
  <printOptions horizontalCentered="1"/>
  <pageMargins left="0.3" right="0.3" top="1" bottom="1" header="0.5" footer="0.5"/>
  <pageSetup orientation="landscape" fitToHeight="0" fitToWidth="1"/>
</worksheet>
</file>

<file path=xl/worksheets/sheet8.xml><?xml version="1.0" encoding="utf-8"?>
<worksheet xmlns="http://schemas.openxmlformats.org/spreadsheetml/2006/main">
  <sheetPr>
    <tabColor rgb="001BAF7A"/>
    <outlinePr summaryBelow="1" summaryRight="1"/>
    <pageSetUpPr fitToPage="1"/>
  </sheetPr>
  <dimension ref="A1:U41"/>
  <sheetViews>
    <sheetView showGridLines="0" zoomScale="100" workbookViewId="0">
      <pane xSplit="2" ySplit="6" topLeftCell="C7" activePane="bottomRight" state="frozen"/>
      <selection pane="topRight"/>
      <selection pane="bottomLeft"/>
      <selection pane="bottomRight" activeCell="A1" sqref="A1"/>
    </sheetView>
  </sheetViews>
  <sheetFormatPr baseColWidth="8" defaultRowHeight="15"/>
  <cols>
    <col width="2" customWidth="1" min="1" max="1"/>
    <col width="24" customWidth="1" min="2" max="2"/>
    <col width="18" customWidth="1" min="3" max="3"/>
    <col width="9" customWidth="1" min="4" max="4"/>
    <col width="20" customWidth="1" min="5" max="5"/>
    <col width="14" customWidth="1" min="6" max="6"/>
    <col width="12" customWidth="1" min="7" max="7"/>
    <col width="3" customWidth="1" min="8" max="8"/>
    <col width="9" customWidth="1" min="9" max="9"/>
    <col width="15" customWidth="1" min="10" max="10"/>
    <col width="17" customWidth="1" min="11" max="11"/>
    <col width="16" customWidth="1" min="12" max="12"/>
    <col width="16" customWidth="1" min="13" max="13"/>
    <col width="16" customWidth="1" min="14" max="14"/>
    <col width="9" customWidth="1" min="15" max="15"/>
    <col width="3" customWidth="1" min="16" max="16"/>
    <col width="15" customWidth="1" min="17" max="17"/>
    <col width="12" customWidth="1" min="18" max="18"/>
    <col width="16" customWidth="1" min="19" max="19"/>
    <col width="15" customWidth="1" min="20" max="20"/>
    <col width="2" customWidth="1" min="21" max="21"/>
  </cols>
  <sheetData>
    <row r="1" ht="38" customHeight="1">
      <c r="A1" s="1" t="n"/>
      <c r="B1" s="2" t="inlineStr">
        <is>
          <t>Cuentas y métodos de pago</t>
        </is>
      </c>
      <c r="C1" s="1" t="n"/>
      <c r="D1" s="1" t="n"/>
      <c r="E1" s="1" t="n"/>
      <c r="F1" s="1" t="n"/>
      <c r="G1" s="1" t="n"/>
      <c r="H1" s="1" t="n"/>
      <c r="I1" s="1" t="n"/>
      <c r="J1" s="1" t="n"/>
      <c r="K1" s="1" t="n"/>
      <c r="L1" s="1" t="n"/>
      <c r="M1" s="1" t="n"/>
      <c r="N1" s="1" t="n"/>
      <c r="O1" s="3" t="inlineStr">
        <is>
          <t>Saldos, conciliación y gasto por método</t>
        </is>
      </c>
    </row>
    <row r="2" ht="22" customHeight="1">
      <c r="A2" s="4" t="n"/>
      <c r="B2" s="6" t="inlineStr">
        <is>
          <t>Inicio</t>
        </is>
      </c>
      <c r="C2" s="6" t="inlineStr">
        <is>
          <t>Registro</t>
        </is>
      </c>
      <c r="D2" s="6" t="inlineStr">
        <is>
          <t>Dashboard</t>
        </is>
      </c>
      <c r="E2" s="4" t="n"/>
      <c r="F2" s="6" t="inlineStr">
        <is>
          <t>Alimentación</t>
        </is>
      </c>
      <c r="G2" s="6" t="inlineStr">
        <is>
          <t>Hormiga</t>
        </is>
      </c>
      <c r="H2" s="6" t="inlineStr">
        <is>
          <t>Recurrentes</t>
        </is>
      </c>
      <c r="I2" s="4" t="n"/>
      <c r="J2" s="6" t="inlineStr">
        <is>
          <t>Presupuestos</t>
        </is>
      </c>
      <c r="K2" s="5" t="inlineStr">
        <is>
          <t>● Cuentas</t>
        </is>
      </c>
      <c r="L2" s="6" t="inlineStr">
        <is>
          <t>Categorías</t>
        </is>
      </c>
      <c r="M2" s="6" t="inlineStr">
        <is>
          <t>Config</t>
        </is>
      </c>
      <c r="N2" s="4" t="n"/>
      <c r="O2" s="4" t="n"/>
      <c r="P2" s="4" t="n"/>
      <c r="Q2" s="4" t="n"/>
      <c r="R2" s="4" t="n"/>
      <c r="S2" s="4" t="n"/>
      <c r="T2" s="4" t="n"/>
      <c r="U2" s="4" t="n"/>
    </row>
    <row r="3" ht="22" customHeight="1">
      <c r="B3" s="181" t="inlineStr">
        <is>
          <t>Registra cada fuente de dinero. «Vinculada a» se usa en tarjetas de débito: su gasto se reporta por separado, pero el saldo se descuenta de la cuenta bancaria vinculada. Las tarjetas de crédito muestran saldo negativo = deuda. El saldo solo se calcula si escribes un SALDO INICIAL real (cuenta movimientos desde su fecha, inclusive). Para conciliar: escribe el saldo que muestra tu banco y su fecha; si hay diferencia, registra un movimiento tipo Ajuste.</t>
        </is>
      </c>
    </row>
    <row r="4" ht="22" customHeight="1"/>
    <row r="5">
      <c r="B5" s="43" t="inlineStr">
        <is>
          <t>DATOS DE LA CUENTA (editable)</t>
        </is>
      </c>
      <c r="I5" s="44" t="inlineStr">
        <is>
          <t>CÁLCULO AUTOMÁTICO</t>
        </is>
      </c>
      <c r="Q5" s="43" t="inlineStr">
        <is>
          <t>CONCILIACIÓN (opcional)</t>
        </is>
      </c>
    </row>
    <row r="6" ht="30" customHeight="1">
      <c r="B6" s="182" t="inlineStr">
        <is>
          <t>Cuenta / método</t>
        </is>
      </c>
      <c r="C6" s="182" t="inlineStr">
        <is>
          <t>Tipo</t>
        </is>
      </c>
      <c r="D6" s="182" t="inlineStr">
        <is>
          <t>Moneda</t>
        </is>
      </c>
      <c r="E6" s="182" t="inlineStr">
        <is>
          <t>Vinculada a</t>
        </is>
      </c>
      <c r="F6" s="182" t="inlineStr">
        <is>
          <t>Saldo inicial</t>
        </is>
      </c>
      <c r="G6" s="182" t="inlineStr">
        <is>
          <t>Fecha saldo</t>
        </is>
      </c>
      <c r="I6" s="183" t="inlineStr">
        <is>
          <t>¿Liquidez?</t>
        </is>
      </c>
      <c r="J6" s="183" t="inlineStr">
        <is>
          <t>Movimiento neto</t>
        </is>
      </c>
      <c r="K6" s="183" t="inlineStr">
        <is>
          <t>Saldo actual</t>
        </is>
      </c>
      <c r="L6" s="183" t="inlineStr">
        <is>
          <t>Saldo en DOP</t>
        </is>
      </c>
      <c r="M6" s="183" t="inlineStr">
        <is>
          <t>Gasto del período</t>
        </is>
      </c>
      <c r="N6" s="183" t="inlineStr">
        <is>
          <t>Gasto mes actual</t>
        </is>
      </c>
      <c r="O6" s="183" t="inlineStr">
        <is>
          <t>Nº movs</t>
        </is>
      </c>
      <c r="Q6" s="182" t="inlineStr">
        <is>
          <t>Saldo según banco</t>
        </is>
      </c>
      <c r="R6" s="182" t="inlineStr">
        <is>
          <t>Fecha de corte</t>
        </is>
      </c>
      <c r="S6" s="183" t="inlineStr">
        <is>
          <t>Saldo calculado al corte</t>
        </is>
      </c>
      <c r="T6" s="183" t="inlineStr">
        <is>
          <t>Diferencia</t>
        </is>
      </c>
    </row>
    <row r="7">
      <c r="B7" s="184" t="inlineStr">
        <is>
          <t>Efectivo</t>
        </is>
      </c>
      <c r="C7" s="187" t="inlineStr">
        <is>
          <t>Efectivo</t>
        </is>
      </c>
      <c r="D7" s="187" t="inlineStr">
        <is>
          <t>DOP</t>
        </is>
      </c>
      <c r="E7" s="185" t="n"/>
      <c r="F7" s="215" t="n"/>
      <c r="G7" s="216" t="n"/>
      <c r="I7" s="217">
        <f>IF(B7="","",IF(COUNTIFS(tcTipo,C7,tcLiq,"Sí")&gt;0,"Sí","No"))</f>
        <v/>
      </c>
      <c r="J7" s="218">
        <f>IF(B7="","",SUMIFS(rEfO,rCtaSO,B7,rFecha,"&gt;="&amp;IF(G7="",0,G7))+SUMIFS(rEfD,rCtaSD,B7,rFecha,"&gt;="&amp;IF(G7="",0,G7)))</f>
        <v/>
      </c>
      <c r="K7" s="191">
        <f>IF(B7="","",IF(E7&lt;&gt;"","↳ ver "&amp;E7,IF(F7="","Sin saldo inicial",F7+J7)))</f>
        <v/>
      </c>
      <c r="L7" s="191">
        <f>IF(ISNUMBER(K7),K7*IF(D7="USD",TasaUSD,1),"")</f>
        <v/>
      </c>
      <c r="M7" s="218">
        <f>IF(B7="","",SUMIFS(rGasto,rCtaE,B7,rFecha,"&gt;="&amp;pIni,rFecha,"&lt;="&amp;pFin))</f>
        <v/>
      </c>
      <c r="N7" s="218">
        <f>IF(B7="","",SUMIFS(rGasto,rCtaE,B7,rFecha,"&gt;="&amp;DATE(YEAR(TODAY()),MONTH(TODAY()),1),rFecha,"&lt;="&amp;EOMONTH(TODAY(),0)))</f>
        <v/>
      </c>
      <c r="O7" s="219">
        <f>IF(B7="","",COUNTIF(rCtaE,B7)+COUNTIF(rCtaSD,B7))</f>
        <v/>
      </c>
      <c r="Q7" s="215" t="n"/>
      <c r="R7" s="216" t="n"/>
      <c r="S7" s="218">
        <f>IF(OR(B7="",F7="",R7=""),"",F7+SUMIFS(rEfO,rCtaSO,B7,rFecha,"&gt;="&amp;IF(G7="",0,G7),rFecha,"&lt;="&amp;R7)+SUMIFS(rEfD,rCtaSD,B7,rFecha,"&gt;="&amp;IF(G7="",0,G7),rFecha,"&lt;="&amp;R7))</f>
        <v/>
      </c>
      <c r="T7" s="218">
        <f>IF(OR(Q7="",S7=""),"",Q7-S7)</f>
        <v/>
      </c>
    </row>
    <row r="8">
      <c r="B8" s="184" t="inlineStr">
        <is>
          <t>Banco principal</t>
        </is>
      </c>
      <c r="C8" s="187" t="inlineStr">
        <is>
          <t>Cuenta bancaria</t>
        </is>
      </c>
      <c r="D8" s="187" t="inlineStr">
        <is>
          <t>DOP</t>
        </is>
      </c>
      <c r="E8" s="185" t="n"/>
      <c r="F8" s="215" t="n"/>
      <c r="G8" s="216" t="n"/>
      <c r="I8" s="217">
        <f>IF(B8="","",IF(COUNTIFS(tcTipo,C8,tcLiq,"Sí")&gt;0,"Sí","No"))</f>
        <v/>
      </c>
      <c r="J8" s="218">
        <f>IF(B8="","",SUMIFS(rEfO,rCtaSO,B8,rFecha,"&gt;="&amp;IF(G8="",0,G8))+SUMIFS(rEfD,rCtaSD,B8,rFecha,"&gt;="&amp;IF(G8="",0,G8)))</f>
        <v/>
      </c>
      <c r="K8" s="191">
        <f>IF(B8="","",IF(E8&lt;&gt;"","↳ ver "&amp;E8,IF(F8="","Sin saldo inicial",F8+J8)))</f>
        <v/>
      </c>
      <c r="L8" s="191">
        <f>IF(ISNUMBER(K8),K8*IF(D8="USD",TasaUSD,1),"")</f>
        <v/>
      </c>
      <c r="M8" s="218">
        <f>IF(B8="","",SUMIFS(rGasto,rCtaE,B8,rFecha,"&gt;="&amp;pIni,rFecha,"&lt;="&amp;pFin))</f>
        <v/>
      </c>
      <c r="N8" s="218">
        <f>IF(B8="","",SUMIFS(rGasto,rCtaE,B8,rFecha,"&gt;="&amp;DATE(YEAR(TODAY()),MONTH(TODAY()),1),rFecha,"&lt;="&amp;EOMONTH(TODAY(),0)))</f>
        <v/>
      </c>
      <c r="O8" s="219">
        <f>IF(B8="","",COUNTIF(rCtaE,B8)+COUNTIF(rCtaSD,B8))</f>
        <v/>
      </c>
      <c r="Q8" s="215" t="n"/>
      <c r="R8" s="216" t="n"/>
      <c r="S8" s="218">
        <f>IF(OR(B8="",F8="",R8=""),"",F8+SUMIFS(rEfO,rCtaSO,B8,rFecha,"&gt;="&amp;IF(G8="",0,G8),rFecha,"&lt;="&amp;R8)+SUMIFS(rEfD,rCtaSD,B8,rFecha,"&gt;="&amp;IF(G8="",0,G8),rFecha,"&lt;="&amp;R8))</f>
        <v/>
      </c>
      <c r="T8" s="218">
        <f>IF(OR(Q8="",S8=""),"",Q8-S8)</f>
        <v/>
      </c>
    </row>
    <row r="9">
      <c r="B9" s="184" t="inlineStr">
        <is>
          <t>Tarjeta de débito</t>
        </is>
      </c>
      <c r="C9" s="187" t="inlineStr">
        <is>
          <t>Tarjeta de débito</t>
        </is>
      </c>
      <c r="D9" s="187" t="inlineStr">
        <is>
          <t>DOP</t>
        </is>
      </c>
      <c r="E9" s="185" t="inlineStr">
        <is>
          <t>Banco principal</t>
        </is>
      </c>
      <c r="F9" s="215" t="n"/>
      <c r="G9" s="216" t="n"/>
      <c r="I9" s="217">
        <f>IF(B9="","",IF(COUNTIFS(tcTipo,C9,tcLiq,"Sí")&gt;0,"Sí","No"))</f>
        <v/>
      </c>
      <c r="J9" s="218">
        <f>IF(B9="","",SUMIFS(rEfO,rCtaSO,B9,rFecha,"&gt;="&amp;IF(G9="",0,G9))+SUMIFS(rEfD,rCtaSD,B9,rFecha,"&gt;="&amp;IF(G9="",0,G9)))</f>
        <v/>
      </c>
      <c r="K9" s="191">
        <f>IF(B9="","",IF(E9&lt;&gt;"","↳ ver "&amp;E9,IF(F9="","Sin saldo inicial",F9+J9)))</f>
        <v/>
      </c>
      <c r="L9" s="191">
        <f>IF(ISNUMBER(K9),K9*IF(D9="USD",TasaUSD,1),"")</f>
        <v/>
      </c>
      <c r="M9" s="218">
        <f>IF(B9="","",SUMIFS(rGasto,rCtaE,B9,rFecha,"&gt;="&amp;pIni,rFecha,"&lt;="&amp;pFin))</f>
        <v/>
      </c>
      <c r="N9" s="218">
        <f>IF(B9="","",SUMIFS(rGasto,rCtaE,B9,rFecha,"&gt;="&amp;DATE(YEAR(TODAY()),MONTH(TODAY()),1),rFecha,"&lt;="&amp;EOMONTH(TODAY(),0)))</f>
        <v/>
      </c>
      <c r="O9" s="219">
        <f>IF(B9="","",COUNTIF(rCtaE,B9)+COUNTIF(rCtaSD,B9))</f>
        <v/>
      </c>
      <c r="Q9" s="215" t="n"/>
      <c r="R9" s="216" t="n"/>
      <c r="S9" s="218">
        <f>IF(OR(B9="",F9="",R9=""),"",F9+SUMIFS(rEfO,rCtaSO,B9,rFecha,"&gt;="&amp;IF(G9="",0,G9),rFecha,"&lt;="&amp;R9)+SUMIFS(rEfD,rCtaSD,B9,rFecha,"&gt;="&amp;IF(G9="",0,G9),rFecha,"&lt;="&amp;R9))</f>
        <v/>
      </c>
      <c r="T9" s="218">
        <f>IF(OR(Q9="",S9=""),"",Q9-S9)</f>
        <v/>
      </c>
    </row>
    <row r="10">
      <c r="B10" s="184" t="inlineStr">
        <is>
          <t>Tarjeta de crédito</t>
        </is>
      </c>
      <c r="C10" s="187" t="inlineStr">
        <is>
          <t>Tarjeta de crédito</t>
        </is>
      </c>
      <c r="D10" s="187" t="inlineStr">
        <is>
          <t>DOP</t>
        </is>
      </c>
      <c r="E10" s="185" t="n"/>
      <c r="F10" s="215" t="n"/>
      <c r="G10" s="216" t="n"/>
      <c r="I10" s="217">
        <f>IF(B10="","",IF(COUNTIFS(tcTipo,C10,tcLiq,"Sí")&gt;0,"Sí","No"))</f>
        <v/>
      </c>
      <c r="J10" s="218">
        <f>IF(B10="","",SUMIFS(rEfO,rCtaSO,B10,rFecha,"&gt;="&amp;IF(G10="",0,G10))+SUMIFS(rEfD,rCtaSD,B10,rFecha,"&gt;="&amp;IF(G10="",0,G10)))</f>
        <v/>
      </c>
      <c r="K10" s="191">
        <f>IF(B10="","",IF(E10&lt;&gt;"","↳ ver "&amp;E10,IF(F10="","Sin saldo inicial",F10+J10)))</f>
        <v/>
      </c>
      <c r="L10" s="191">
        <f>IF(ISNUMBER(K10),K10*IF(D10="USD",TasaUSD,1),"")</f>
        <v/>
      </c>
      <c r="M10" s="218">
        <f>IF(B10="","",SUMIFS(rGasto,rCtaE,B10,rFecha,"&gt;="&amp;pIni,rFecha,"&lt;="&amp;pFin))</f>
        <v/>
      </c>
      <c r="N10" s="218">
        <f>IF(B10="","",SUMIFS(rGasto,rCtaE,B10,rFecha,"&gt;="&amp;DATE(YEAR(TODAY()),MONTH(TODAY()),1),rFecha,"&lt;="&amp;EOMONTH(TODAY(),0)))</f>
        <v/>
      </c>
      <c r="O10" s="219">
        <f>IF(B10="","",COUNTIF(rCtaE,B10)+COUNTIF(rCtaSD,B10))</f>
        <v/>
      </c>
      <c r="Q10" s="215" t="n"/>
      <c r="R10" s="216" t="n"/>
      <c r="S10" s="218">
        <f>IF(OR(B10="",F10="",R10=""),"",F10+SUMIFS(rEfO,rCtaSO,B10,rFecha,"&gt;="&amp;IF(G10="",0,G10),rFecha,"&lt;="&amp;R10)+SUMIFS(rEfD,rCtaSD,B10,rFecha,"&gt;="&amp;IF(G10="",0,G10),rFecha,"&lt;="&amp;R10))</f>
        <v/>
      </c>
      <c r="T10" s="218">
        <f>IF(OR(Q10="",S10=""),"",Q10-S10)</f>
        <v/>
      </c>
    </row>
    <row r="11">
      <c r="B11" s="184" t="inlineStr">
        <is>
          <t>Billetera digital</t>
        </is>
      </c>
      <c r="C11" s="187" t="inlineStr">
        <is>
          <t>Billetera digital</t>
        </is>
      </c>
      <c r="D11" s="187" t="inlineStr">
        <is>
          <t>DOP</t>
        </is>
      </c>
      <c r="E11" s="185" t="n"/>
      <c r="F11" s="215" t="n"/>
      <c r="G11" s="216" t="n"/>
      <c r="I11" s="217">
        <f>IF(B11="","",IF(COUNTIFS(tcTipo,C11,tcLiq,"Sí")&gt;0,"Sí","No"))</f>
        <v/>
      </c>
      <c r="J11" s="218">
        <f>IF(B11="","",SUMIFS(rEfO,rCtaSO,B11,rFecha,"&gt;="&amp;IF(G11="",0,G11))+SUMIFS(rEfD,rCtaSD,B11,rFecha,"&gt;="&amp;IF(G11="",0,G11)))</f>
        <v/>
      </c>
      <c r="K11" s="191">
        <f>IF(B11="","",IF(E11&lt;&gt;"","↳ ver "&amp;E11,IF(F11="","Sin saldo inicial",F11+J11)))</f>
        <v/>
      </c>
      <c r="L11" s="191">
        <f>IF(ISNUMBER(K11),K11*IF(D11="USD",TasaUSD,1),"")</f>
        <v/>
      </c>
      <c r="M11" s="218">
        <f>IF(B11="","",SUMIFS(rGasto,rCtaE,B11,rFecha,"&gt;="&amp;pIni,rFecha,"&lt;="&amp;pFin))</f>
        <v/>
      </c>
      <c r="N11" s="218">
        <f>IF(B11="","",SUMIFS(rGasto,rCtaE,B11,rFecha,"&gt;="&amp;DATE(YEAR(TODAY()),MONTH(TODAY()),1),rFecha,"&lt;="&amp;EOMONTH(TODAY(),0)))</f>
        <v/>
      </c>
      <c r="O11" s="219">
        <f>IF(B11="","",COUNTIF(rCtaE,B11)+COUNTIF(rCtaSD,B11))</f>
        <v/>
      </c>
      <c r="Q11" s="215" t="n"/>
      <c r="R11" s="216" t="n"/>
      <c r="S11" s="218">
        <f>IF(OR(B11="",F11="",R11=""),"",F11+SUMIFS(rEfO,rCtaSO,B11,rFecha,"&gt;="&amp;IF(G11="",0,G11),rFecha,"&lt;="&amp;R11)+SUMIFS(rEfD,rCtaSD,B11,rFecha,"&gt;="&amp;IF(G11="",0,G11),rFecha,"&lt;="&amp;R11))</f>
        <v/>
      </c>
      <c r="T11" s="218">
        <f>IF(OR(Q11="",S11=""),"",Q11-S11)</f>
        <v/>
      </c>
    </row>
    <row r="12">
      <c r="B12" s="184" t="inlineStr">
        <is>
          <t>Cuenta de trading</t>
        </is>
      </c>
      <c r="C12" s="187" t="inlineStr">
        <is>
          <t>Cuenta de trading</t>
        </is>
      </c>
      <c r="D12" s="187" t="inlineStr">
        <is>
          <t>USD</t>
        </is>
      </c>
      <c r="E12" s="185" t="n"/>
      <c r="F12" s="215" t="n"/>
      <c r="G12" s="216" t="n"/>
      <c r="I12" s="217">
        <f>IF(B12="","",IF(COUNTIFS(tcTipo,C12,tcLiq,"Sí")&gt;0,"Sí","No"))</f>
        <v/>
      </c>
      <c r="J12" s="218">
        <f>IF(B12="","",SUMIFS(rEfO,rCtaSO,B12,rFecha,"&gt;="&amp;IF(G12="",0,G12))+SUMIFS(rEfD,rCtaSD,B12,rFecha,"&gt;="&amp;IF(G12="",0,G12)))</f>
        <v/>
      </c>
      <c r="K12" s="191">
        <f>IF(B12="","",IF(E12&lt;&gt;"","↳ ver "&amp;E12,IF(F12="","Sin saldo inicial",F12+J12)))</f>
        <v/>
      </c>
      <c r="L12" s="191">
        <f>IF(ISNUMBER(K12),K12*IF(D12="USD",TasaUSD,1),"")</f>
        <v/>
      </c>
      <c r="M12" s="218">
        <f>IF(B12="","",SUMIFS(rGasto,rCtaE,B12,rFecha,"&gt;="&amp;pIni,rFecha,"&lt;="&amp;pFin))</f>
        <v/>
      </c>
      <c r="N12" s="218">
        <f>IF(B12="","",SUMIFS(rGasto,rCtaE,B12,rFecha,"&gt;="&amp;DATE(YEAR(TODAY()),MONTH(TODAY()),1),rFecha,"&lt;="&amp;EOMONTH(TODAY(),0)))</f>
        <v/>
      </c>
      <c r="O12" s="219">
        <f>IF(B12="","",COUNTIF(rCtaE,B12)+COUNTIF(rCtaSD,B12))</f>
        <v/>
      </c>
      <c r="Q12" s="215" t="n"/>
      <c r="R12" s="216" t="n"/>
      <c r="S12" s="218">
        <f>IF(OR(B12="",F12="",R12=""),"",F12+SUMIFS(rEfO,rCtaSO,B12,rFecha,"&gt;="&amp;IF(G12="",0,G12),rFecha,"&lt;="&amp;R12)+SUMIFS(rEfD,rCtaSD,B12,rFecha,"&gt;="&amp;IF(G12="",0,G12),rFecha,"&lt;="&amp;R12))</f>
        <v/>
      </c>
      <c r="T12" s="218">
        <f>IF(OR(Q12="",S12=""),"",Q12-S12)</f>
        <v/>
      </c>
    </row>
    <row r="13">
      <c r="B13" s="184" t="n"/>
      <c r="C13" s="187" t="n"/>
      <c r="D13" s="187" t="n"/>
      <c r="E13" s="185" t="n"/>
      <c r="F13" s="215" t="n"/>
      <c r="G13" s="216" t="n"/>
      <c r="I13" s="217">
        <f>IF(B13="","",IF(COUNTIFS(tcTipo,C13,tcLiq,"Sí")&gt;0,"Sí","No"))</f>
        <v/>
      </c>
      <c r="J13" s="218">
        <f>IF(B13="","",SUMIFS(rEfO,rCtaSO,B13,rFecha,"&gt;="&amp;IF(G13="",0,G13))+SUMIFS(rEfD,rCtaSD,B13,rFecha,"&gt;="&amp;IF(G13="",0,G13)))</f>
        <v/>
      </c>
      <c r="K13" s="191">
        <f>IF(B13="","",IF(E13&lt;&gt;"","↳ ver "&amp;E13,IF(F13="","Sin saldo inicial",F13+J13)))</f>
        <v/>
      </c>
      <c r="L13" s="191">
        <f>IF(ISNUMBER(K13),K13*IF(D13="USD",TasaUSD,1),"")</f>
        <v/>
      </c>
      <c r="M13" s="218">
        <f>IF(B13="","",SUMIFS(rGasto,rCtaE,B13,rFecha,"&gt;="&amp;pIni,rFecha,"&lt;="&amp;pFin))</f>
        <v/>
      </c>
      <c r="N13" s="218">
        <f>IF(B13="","",SUMIFS(rGasto,rCtaE,B13,rFecha,"&gt;="&amp;DATE(YEAR(TODAY()),MONTH(TODAY()),1),rFecha,"&lt;="&amp;EOMONTH(TODAY(),0)))</f>
        <v/>
      </c>
      <c r="O13" s="219">
        <f>IF(B13="","",COUNTIF(rCtaE,B13)+COUNTIF(rCtaSD,B13))</f>
        <v/>
      </c>
      <c r="Q13" s="215" t="n"/>
      <c r="R13" s="216" t="n"/>
      <c r="S13" s="218">
        <f>IF(OR(B13="",F13="",R13=""),"",F13+SUMIFS(rEfO,rCtaSO,B13,rFecha,"&gt;="&amp;IF(G13="",0,G13),rFecha,"&lt;="&amp;R13)+SUMIFS(rEfD,rCtaSD,B13,rFecha,"&gt;="&amp;IF(G13="",0,G13),rFecha,"&lt;="&amp;R13))</f>
        <v/>
      </c>
      <c r="T13" s="218">
        <f>IF(OR(Q13="",S13=""),"",Q13-S13)</f>
        <v/>
      </c>
    </row>
    <row r="14">
      <c r="B14" s="184" t="n"/>
      <c r="C14" s="187" t="n"/>
      <c r="D14" s="187" t="n"/>
      <c r="E14" s="185" t="n"/>
      <c r="F14" s="215" t="n"/>
      <c r="G14" s="216" t="n"/>
      <c r="I14" s="217">
        <f>IF(B14="","",IF(COUNTIFS(tcTipo,C14,tcLiq,"Sí")&gt;0,"Sí","No"))</f>
        <v/>
      </c>
      <c r="J14" s="218">
        <f>IF(B14="","",SUMIFS(rEfO,rCtaSO,B14,rFecha,"&gt;="&amp;IF(G14="",0,G14))+SUMIFS(rEfD,rCtaSD,B14,rFecha,"&gt;="&amp;IF(G14="",0,G14)))</f>
        <v/>
      </c>
      <c r="K14" s="191">
        <f>IF(B14="","",IF(E14&lt;&gt;"","↳ ver "&amp;E14,IF(F14="","Sin saldo inicial",F14+J14)))</f>
        <v/>
      </c>
      <c r="L14" s="191">
        <f>IF(ISNUMBER(K14),K14*IF(D14="USD",TasaUSD,1),"")</f>
        <v/>
      </c>
      <c r="M14" s="218">
        <f>IF(B14="","",SUMIFS(rGasto,rCtaE,B14,rFecha,"&gt;="&amp;pIni,rFecha,"&lt;="&amp;pFin))</f>
        <v/>
      </c>
      <c r="N14" s="218">
        <f>IF(B14="","",SUMIFS(rGasto,rCtaE,B14,rFecha,"&gt;="&amp;DATE(YEAR(TODAY()),MONTH(TODAY()),1),rFecha,"&lt;="&amp;EOMONTH(TODAY(),0)))</f>
        <v/>
      </c>
      <c r="O14" s="219">
        <f>IF(B14="","",COUNTIF(rCtaE,B14)+COUNTIF(rCtaSD,B14))</f>
        <v/>
      </c>
      <c r="Q14" s="215" t="n"/>
      <c r="R14" s="216" t="n"/>
      <c r="S14" s="218">
        <f>IF(OR(B14="",F14="",R14=""),"",F14+SUMIFS(rEfO,rCtaSO,B14,rFecha,"&gt;="&amp;IF(G14="",0,G14),rFecha,"&lt;="&amp;R14)+SUMIFS(rEfD,rCtaSD,B14,rFecha,"&gt;="&amp;IF(G14="",0,G14),rFecha,"&lt;="&amp;R14))</f>
        <v/>
      </c>
      <c r="T14" s="218">
        <f>IF(OR(Q14="",S14=""),"",Q14-S14)</f>
        <v/>
      </c>
    </row>
    <row r="15">
      <c r="B15" s="184" t="n"/>
      <c r="C15" s="187" t="n"/>
      <c r="D15" s="187" t="n"/>
      <c r="E15" s="185" t="n"/>
      <c r="F15" s="215" t="n"/>
      <c r="G15" s="216" t="n"/>
      <c r="I15" s="217">
        <f>IF(B15="","",IF(COUNTIFS(tcTipo,C15,tcLiq,"Sí")&gt;0,"Sí","No"))</f>
        <v/>
      </c>
      <c r="J15" s="218">
        <f>IF(B15="","",SUMIFS(rEfO,rCtaSO,B15,rFecha,"&gt;="&amp;IF(G15="",0,G15))+SUMIFS(rEfD,rCtaSD,B15,rFecha,"&gt;="&amp;IF(G15="",0,G15)))</f>
        <v/>
      </c>
      <c r="K15" s="191">
        <f>IF(B15="","",IF(E15&lt;&gt;"","↳ ver "&amp;E15,IF(F15="","Sin saldo inicial",F15+J15)))</f>
        <v/>
      </c>
      <c r="L15" s="191">
        <f>IF(ISNUMBER(K15),K15*IF(D15="USD",TasaUSD,1),"")</f>
        <v/>
      </c>
      <c r="M15" s="218">
        <f>IF(B15="","",SUMIFS(rGasto,rCtaE,B15,rFecha,"&gt;="&amp;pIni,rFecha,"&lt;="&amp;pFin))</f>
        <v/>
      </c>
      <c r="N15" s="218">
        <f>IF(B15="","",SUMIFS(rGasto,rCtaE,B15,rFecha,"&gt;="&amp;DATE(YEAR(TODAY()),MONTH(TODAY()),1),rFecha,"&lt;="&amp;EOMONTH(TODAY(),0)))</f>
        <v/>
      </c>
      <c r="O15" s="219">
        <f>IF(B15="","",COUNTIF(rCtaE,B15)+COUNTIF(rCtaSD,B15))</f>
        <v/>
      </c>
      <c r="Q15" s="215" t="n"/>
      <c r="R15" s="216" t="n"/>
      <c r="S15" s="218">
        <f>IF(OR(B15="",F15="",R15=""),"",F15+SUMIFS(rEfO,rCtaSO,B15,rFecha,"&gt;="&amp;IF(G15="",0,G15),rFecha,"&lt;="&amp;R15)+SUMIFS(rEfD,rCtaSD,B15,rFecha,"&gt;="&amp;IF(G15="",0,G15),rFecha,"&lt;="&amp;R15))</f>
        <v/>
      </c>
      <c r="T15" s="218">
        <f>IF(OR(Q15="",S15=""),"",Q15-S15)</f>
        <v/>
      </c>
    </row>
    <row r="16">
      <c r="B16" s="184" t="n"/>
      <c r="C16" s="187" t="n"/>
      <c r="D16" s="187" t="n"/>
      <c r="E16" s="185" t="n"/>
      <c r="F16" s="215" t="n"/>
      <c r="G16" s="216" t="n"/>
      <c r="I16" s="217">
        <f>IF(B16="","",IF(COUNTIFS(tcTipo,C16,tcLiq,"Sí")&gt;0,"Sí","No"))</f>
        <v/>
      </c>
      <c r="J16" s="218">
        <f>IF(B16="","",SUMIFS(rEfO,rCtaSO,B16,rFecha,"&gt;="&amp;IF(G16="",0,G16))+SUMIFS(rEfD,rCtaSD,B16,rFecha,"&gt;="&amp;IF(G16="",0,G16)))</f>
        <v/>
      </c>
      <c r="K16" s="191">
        <f>IF(B16="","",IF(E16&lt;&gt;"","↳ ver "&amp;E16,IF(F16="","Sin saldo inicial",F16+J16)))</f>
        <v/>
      </c>
      <c r="L16" s="191">
        <f>IF(ISNUMBER(K16),K16*IF(D16="USD",TasaUSD,1),"")</f>
        <v/>
      </c>
      <c r="M16" s="218">
        <f>IF(B16="","",SUMIFS(rGasto,rCtaE,B16,rFecha,"&gt;="&amp;pIni,rFecha,"&lt;="&amp;pFin))</f>
        <v/>
      </c>
      <c r="N16" s="218">
        <f>IF(B16="","",SUMIFS(rGasto,rCtaE,B16,rFecha,"&gt;="&amp;DATE(YEAR(TODAY()),MONTH(TODAY()),1),rFecha,"&lt;="&amp;EOMONTH(TODAY(),0)))</f>
        <v/>
      </c>
      <c r="O16" s="219">
        <f>IF(B16="","",COUNTIF(rCtaE,B16)+COUNTIF(rCtaSD,B16))</f>
        <v/>
      </c>
      <c r="Q16" s="215" t="n"/>
      <c r="R16" s="216" t="n"/>
      <c r="S16" s="218">
        <f>IF(OR(B16="",F16="",R16=""),"",F16+SUMIFS(rEfO,rCtaSO,B16,rFecha,"&gt;="&amp;IF(G16="",0,G16),rFecha,"&lt;="&amp;R16)+SUMIFS(rEfD,rCtaSD,B16,rFecha,"&gt;="&amp;IF(G16="",0,G16),rFecha,"&lt;="&amp;R16))</f>
        <v/>
      </c>
      <c r="T16" s="218">
        <f>IF(OR(Q16="",S16=""),"",Q16-S16)</f>
        <v/>
      </c>
    </row>
    <row r="17">
      <c r="B17" s="184" t="n"/>
      <c r="C17" s="187" t="n"/>
      <c r="D17" s="187" t="n"/>
      <c r="E17" s="185" t="n"/>
      <c r="F17" s="215" t="n"/>
      <c r="G17" s="216" t="n"/>
      <c r="I17" s="217">
        <f>IF(B17="","",IF(COUNTIFS(tcTipo,C17,tcLiq,"Sí")&gt;0,"Sí","No"))</f>
        <v/>
      </c>
      <c r="J17" s="218">
        <f>IF(B17="","",SUMIFS(rEfO,rCtaSO,B17,rFecha,"&gt;="&amp;IF(G17="",0,G17))+SUMIFS(rEfD,rCtaSD,B17,rFecha,"&gt;="&amp;IF(G17="",0,G17)))</f>
        <v/>
      </c>
      <c r="K17" s="191">
        <f>IF(B17="","",IF(E17&lt;&gt;"","↳ ver "&amp;E17,IF(F17="","Sin saldo inicial",F17+J17)))</f>
        <v/>
      </c>
      <c r="L17" s="191">
        <f>IF(ISNUMBER(K17),K17*IF(D17="USD",TasaUSD,1),"")</f>
        <v/>
      </c>
      <c r="M17" s="218">
        <f>IF(B17="","",SUMIFS(rGasto,rCtaE,B17,rFecha,"&gt;="&amp;pIni,rFecha,"&lt;="&amp;pFin))</f>
        <v/>
      </c>
      <c r="N17" s="218">
        <f>IF(B17="","",SUMIFS(rGasto,rCtaE,B17,rFecha,"&gt;="&amp;DATE(YEAR(TODAY()),MONTH(TODAY()),1),rFecha,"&lt;="&amp;EOMONTH(TODAY(),0)))</f>
        <v/>
      </c>
      <c r="O17" s="219">
        <f>IF(B17="","",COUNTIF(rCtaE,B17)+COUNTIF(rCtaSD,B17))</f>
        <v/>
      </c>
      <c r="Q17" s="215" t="n"/>
      <c r="R17" s="216" t="n"/>
      <c r="S17" s="218">
        <f>IF(OR(B17="",F17="",R17=""),"",F17+SUMIFS(rEfO,rCtaSO,B17,rFecha,"&gt;="&amp;IF(G17="",0,G17),rFecha,"&lt;="&amp;R17)+SUMIFS(rEfD,rCtaSD,B17,rFecha,"&gt;="&amp;IF(G17="",0,G17),rFecha,"&lt;="&amp;R17))</f>
        <v/>
      </c>
      <c r="T17" s="218">
        <f>IF(OR(Q17="",S17=""),"",Q17-S17)</f>
        <v/>
      </c>
    </row>
    <row r="18">
      <c r="B18" s="184" t="n"/>
      <c r="C18" s="187" t="n"/>
      <c r="D18" s="187" t="n"/>
      <c r="E18" s="185" t="n"/>
      <c r="F18" s="215" t="n"/>
      <c r="G18" s="216" t="n"/>
      <c r="I18" s="217">
        <f>IF(B18="","",IF(COUNTIFS(tcTipo,C18,tcLiq,"Sí")&gt;0,"Sí","No"))</f>
        <v/>
      </c>
      <c r="J18" s="218">
        <f>IF(B18="","",SUMIFS(rEfO,rCtaSO,B18,rFecha,"&gt;="&amp;IF(G18="",0,G18))+SUMIFS(rEfD,rCtaSD,B18,rFecha,"&gt;="&amp;IF(G18="",0,G18)))</f>
        <v/>
      </c>
      <c r="K18" s="191">
        <f>IF(B18="","",IF(E18&lt;&gt;"","↳ ver "&amp;E18,IF(F18="","Sin saldo inicial",F18+J18)))</f>
        <v/>
      </c>
      <c r="L18" s="191">
        <f>IF(ISNUMBER(K18),K18*IF(D18="USD",TasaUSD,1),"")</f>
        <v/>
      </c>
      <c r="M18" s="218">
        <f>IF(B18="","",SUMIFS(rGasto,rCtaE,B18,rFecha,"&gt;="&amp;pIni,rFecha,"&lt;="&amp;pFin))</f>
        <v/>
      </c>
      <c r="N18" s="218">
        <f>IF(B18="","",SUMIFS(rGasto,rCtaE,B18,rFecha,"&gt;="&amp;DATE(YEAR(TODAY()),MONTH(TODAY()),1),rFecha,"&lt;="&amp;EOMONTH(TODAY(),0)))</f>
        <v/>
      </c>
      <c r="O18" s="219">
        <f>IF(B18="","",COUNTIF(rCtaE,B18)+COUNTIF(rCtaSD,B18))</f>
        <v/>
      </c>
      <c r="Q18" s="215" t="n"/>
      <c r="R18" s="216" t="n"/>
      <c r="S18" s="218">
        <f>IF(OR(B18="",F18="",R18=""),"",F18+SUMIFS(rEfO,rCtaSO,B18,rFecha,"&gt;="&amp;IF(G18="",0,G18),rFecha,"&lt;="&amp;R18)+SUMIFS(rEfD,rCtaSD,B18,rFecha,"&gt;="&amp;IF(G18="",0,G18),rFecha,"&lt;="&amp;R18))</f>
        <v/>
      </c>
      <c r="T18" s="218">
        <f>IF(OR(Q18="",S18=""),"",Q18-S18)</f>
        <v/>
      </c>
    </row>
    <row r="19">
      <c r="B19" s="184" t="n"/>
      <c r="C19" s="187" t="n"/>
      <c r="D19" s="187" t="n"/>
      <c r="E19" s="185" t="n"/>
      <c r="F19" s="215" t="n"/>
      <c r="G19" s="216" t="n"/>
      <c r="I19" s="217">
        <f>IF(B19="","",IF(COUNTIFS(tcTipo,C19,tcLiq,"Sí")&gt;0,"Sí","No"))</f>
        <v/>
      </c>
      <c r="J19" s="218">
        <f>IF(B19="","",SUMIFS(rEfO,rCtaSO,B19,rFecha,"&gt;="&amp;IF(G19="",0,G19))+SUMIFS(rEfD,rCtaSD,B19,rFecha,"&gt;="&amp;IF(G19="",0,G19)))</f>
        <v/>
      </c>
      <c r="K19" s="191">
        <f>IF(B19="","",IF(E19&lt;&gt;"","↳ ver "&amp;E19,IF(F19="","Sin saldo inicial",F19+J19)))</f>
        <v/>
      </c>
      <c r="L19" s="191">
        <f>IF(ISNUMBER(K19),K19*IF(D19="USD",TasaUSD,1),"")</f>
        <v/>
      </c>
      <c r="M19" s="218">
        <f>IF(B19="","",SUMIFS(rGasto,rCtaE,B19,rFecha,"&gt;="&amp;pIni,rFecha,"&lt;="&amp;pFin))</f>
        <v/>
      </c>
      <c r="N19" s="218">
        <f>IF(B19="","",SUMIFS(rGasto,rCtaE,B19,rFecha,"&gt;="&amp;DATE(YEAR(TODAY()),MONTH(TODAY()),1),rFecha,"&lt;="&amp;EOMONTH(TODAY(),0)))</f>
        <v/>
      </c>
      <c r="O19" s="219">
        <f>IF(B19="","",COUNTIF(rCtaE,B19)+COUNTIF(rCtaSD,B19))</f>
        <v/>
      </c>
      <c r="Q19" s="215" t="n"/>
      <c r="R19" s="216" t="n"/>
      <c r="S19" s="218">
        <f>IF(OR(B19="",F19="",R19=""),"",F19+SUMIFS(rEfO,rCtaSO,B19,rFecha,"&gt;="&amp;IF(G19="",0,G19),rFecha,"&lt;="&amp;R19)+SUMIFS(rEfD,rCtaSD,B19,rFecha,"&gt;="&amp;IF(G19="",0,G19),rFecha,"&lt;="&amp;R19))</f>
        <v/>
      </c>
      <c r="T19" s="218">
        <f>IF(OR(Q19="",S19=""),"",Q19-S19)</f>
        <v/>
      </c>
    </row>
    <row r="20">
      <c r="B20" s="184" t="n"/>
      <c r="C20" s="187" t="n"/>
      <c r="D20" s="187" t="n"/>
      <c r="E20" s="185" t="n"/>
      <c r="F20" s="215" t="n"/>
      <c r="G20" s="216" t="n"/>
      <c r="I20" s="217">
        <f>IF(B20="","",IF(COUNTIFS(tcTipo,C20,tcLiq,"Sí")&gt;0,"Sí","No"))</f>
        <v/>
      </c>
      <c r="J20" s="218">
        <f>IF(B20="","",SUMIFS(rEfO,rCtaSO,B20,rFecha,"&gt;="&amp;IF(G20="",0,G20))+SUMIFS(rEfD,rCtaSD,B20,rFecha,"&gt;="&amp;IF(G20="",0,G20)))</f>
        <v/>
      </c>
      <c r="K20" s="191">
        <f>IF(B20="","",IF(E20&lt;&gt;"","↳ ver "&amp;E20,IF(F20="","Sin saldo inicial",F20+J20)))</f>
        <v/>
      </c>
      <c r="L20" s="191">
        <f>IF(ISNUMBER(K20),K20*IF(D20="USD",TasaUSD,1),"")</f>
        <v/>
      </c>
      <c r="M20" s="218">
        <f>IF(B20="","",SUMIFS(rGasto,rCtaE,B20,rFecha,"&gt;="&amp;pIni,rFecha,"&lt;="&amp;pFin))</f>
        <v/>
      </c>
      <c r="N20" s="218">
        <f>IF(B20="","",SUMIFS(rGasto,rCtaE,B20,rFecha,"&gt;="&amp;DATE(YEAR(TODAY()),MONTH(TODAY()),1),rFecha,"&lt;="&amp;EOMONTH(TODAY(),0)))</f>
        <v/>
      </c>
      <c r="O20" s="219">
        <f>IF(B20="","",COUNTIF(rCtaE,B20)+COUNTIF(rCtaSD,B20))</f>
        <v/>
      </c>
      <c r="Q20" s="215" t="n"/>
      <c r="R20" s="216" t="n"/>
      <c r="S20" s="218">
        <f>IF(OR(B20="",F20="",R20=""),"",F20+SUMIFS(rEfO,rCtaSO,B20,rFecha,"&gt;="&amp;IF(G20="",0,G20),rFecha,"&lt;="&amp;R20)+SUMIFS(rEfD,rCtaSD,B20,rFecha,"&gt;="&amp;IF(G20="",0,G20),rFecha,"&lt;="&amp;R20))</f>
        <v/>
      </c>
      <c r="T20" s="218">
        <f>IF(OR(Q20="",S20=""),"",Q20-S20)</f>
        <v/>
      </c>
    </row>
    <row r="21">
      <c r="B21" s="184" t="n"/>
      <c r="C21" s="187" t="n"/>
      <c r="D21" s="187" t="n"/>
      <c r="E21" s="185" t="n"/>
      <c r="F21" s="215" t="n"/>
      <c r="G21" s="216" t="n"/>
      <c r="I21" s="217">
        <f>IF(B21="","",IF(COUNTIFS(tcTipo,C21,tcLiq,"Sí")&gt;0,"Sí","No"))</f>
        <v/>
      </c>
      <c r="J21" s="218">
        <f>IF(B21="","",SUMIFS(rEfO,rCtaSO,B21,rFecha,"&gt;="&amp;IF(G21="",0,G21))+SUMIFS(rEfD,rCtaSD,B21,rFecha,"&gt;="&amp;IF(G21="",0,G21)))</f>
        <v/>
      </c>
      <c r="K21" s="191">
        <f>IF(B21="","",IF(E21&lt;&gt;"","↳ ver "&amp;E21,IF(F21="","Sin saldo inicial",F21+J21)))</f>
        <v/>
      </c>
      <c r="L21" s="191">
        <f>IF(ISNUMBER(K21),K21*IF(D21="USD",TasaUSD,1),"")</f>
        <v/>
      </c>
      <c r="M21" s="218">
        <f>IF(B21="","",SUMIFS(rGasto,rCtaE,B21,rFecha,"&gt;="&amp;pIni,rFecha,"&lt;="&amp;pFin))</f>
        <v/>
      </c>
      <c r="N21" s="218">
        <f>IF(B21="","",SUMIFS(rGasto,rCtaE,B21,rFecha,"&gt;="&amp;DATE(YEAR(TODAY()),MONTH(TODAY()),1),rFecha,"&lt;="&amp;EOMONTH(TODAY(),0)))</f>
        <v/>
      </c>
      <c r="O21" s="219">
        <f>IF(B21="","",COUNTIF(rCtaE,B21)+COUNTIF(rCtaSD,B21))</f>
        <v/>
      </c>
      <c r="Q21" s="215" t="n"/>
      <c r="R21" s="216" t="n"/>
      <c r="S21" s="218">
        <f>IF(OR(B21="",F21="",R21=""),"",F21+SUMIFS(rEfO,rCtaSO,B21,rFecha,"&gt;="&amp;IF(G21="",0,G21),rFecha,"&lt;="&amp;R21)+SUMIFS(rEfD,rCtaSD,B21,rFecha,"&gt;="&amp;IF(G21="",0,G21),rFecha,"&lt;="&amp;R21))</f>
        <v/>
      </c>
      <c r="T21" s="218">
        <f>IF(OR(Q21="",S21=""),"",Q21-S21)</f>
        <v/>
      </c>
    </row>
    <row r="22">
      <c r="B22" s="184" t="n"/>
      <c r="C22" s="187" t="n"/>
      <c r="D22" s="187" t="n"/>
      <c r="E22" s="185" t="n"/>
      <c r="F22" s="215" t="n"/>
      <c r="G22" s="216" t="n"/>
      <c r="I22" s="217">
        <f>IF(B22="","",IF(COUNTIFS(tcTipo,C22,tcLiq,"Sí")&gt;0,"Sí","No"))</f>
        <v/>
      </c>
      <c r="J22" s="218">
        <f>IF(B22="","",SUMIFS(rEfO,rCtaSO,B22,rFecha,"&gt;="&amp;IF(G22="",0,G22))+SUMIFS(rEfD,rCtaSD,B22,rFecha,"&gt;="&amp;IF(G22="",0,G22)))</f>
        <v/>
      </c>
      <c r="K22" s="191">
        <f>IF(B22="","",IF(E22&lt;&gt;"","↳ ver "&amp;E22,IF(F22="","Sin saldo inicial",F22+J22)))</f>
        <v/>
      </c>
      <c r="L22" s="191">
        <f>IF(ISNUMBER(K22),K22*IF(D22="USD",TasaUSD,1),"")</f>
        <v/>
      </c>
      <c r="M22" s="218">
        <f>IF(B22="","",SUMIFS(rGasto,rCtaE,B22,rFecha,"&gt;="&amp;pIni,rFecha,"&lt;="&amp;pFin))</f>
        <v/>
      </c>
      <c r="N22" s="218">
        <f>IF(B22="","",SUMIFS(rGasto,rCtaE,B22,rFecha,"&gt;="&amp;DATE(YEAR(TODAY()),MONTH(TODAY()),1),rFecha,"&lt;="&amp;EOMONTH(TODAY(),0)))</f>
        <v/>
      </c>
      <c r="O22" s="219">
        <f>IF(B22="","",COUNTIF(rCtaE,B22)+COUNTIF(rCtaSD,B22))</f>
        <v/>
      </c>
      <c r="Q22" s="215" t="n"/>
      <c r="R22" s="216" t="n"/>
      <c r="S22" s="218">
        <f>IF(OR(B22="",F22="",R22=""),"",F22+SUMIFS(rEfO,rCtaSO,B22,rFecha,"&gt;="&amp;IF(G22="",0,G22),rFecha,"&lt;="&amp;R22)+SUMIFS(rEfD,rCtaSD,B22,rFecha,"&gt;="&amp;IF(G22="",0,G22),rFecha,"&lt;="&amp;R22))</f>
        <v/>
      </c>
      <c r="T22" s="218">
        <f>IF(OR(Q22="",S22=""),"",Q22-S22)</f>
        <v/>
      </c>
    </row>
    <row r="23">
      <c r="B23" s="184" t="n"/>
      <c r="C23" s="187" t="n"/>
      <c r="D23" s="187" t="n"/>
      <c r="E23" s="185" t="n"/>
      <c r="F23" s="215" t="n"/>
      <c r="G23" s="216" t="n"/>
      <c r="I23" s="217">
        <f>IF(B23="","",IF(COUNTIFS(tcTipo,C23,tcLiq,"Sí")&gt;0,"Sí","No"))</f>
        <v/>
      </c>
      <c r="J23" s="218">
        <f>IF(B23="","",SUMIFS(rEfO,rCtaSO,B23,rFecha,"&gt;="&amp;IF(G23="",0,G23))+SUMIFS(rEfD,rCtaSD,B23,rFecha,"&gt;="&amp;IF(G23="",0,G23)))</f>
        <v/>
      </c>
      <c r="K23" s="191">
        <f>IF(B23="","",IF(E23&lt;&gt;"","↳ ver "&amp;E23,IF(F23="","Sin saldo inicial",F23+J23)))</f>
        <v/>
      </c>
      <c r="L23" s="191">
        <f>IF(ISNUMBER(K23),K23*IF(D23="USD",TasaUSD,1),"")</f>
        <v/>
      </c>
      <c r="M23" s="218">
        <f>IF(B23="","",SUMIFS(rGasto,rCtaE,B23,rFecha,"&gt;="&amp;pIni,rFecha,"&lt;="&amp;pFin))</f>
        <v/>
      </c>
      <c r="N23" s="218">
        <f>IF(B23="","",SUMIFS(rGasto,rCtaE,B23,rFecha,"&gt;="&amp;DATE(YEAR(TODAY()),MONTH(TODAY()),1),rFecha,"&lt;="&amp;EOMONTH(TODAY(),0)))</f>
        <v/>
      </c>
      <c r="O23" s="219">
        <f>IF(B23="","",COUNTIF(rCtaE,B23)+COUNTIF(rCtaSD,B23))</f>
        <v/>
      </c>
      <c r="Q23" s="215" t="n"/>
      <c r="R23" s="216" t="n"/>
      <c r="S23" s="218">
        <f>IF(OR(B23="",F23="",R23=""),"",F23+SUMIFS(rEfO,rCtaSO,B23,rFecha,"&gt;="&amp;IF(G23="",0,G23),rFecha,"&lt;="&amp;R23)+SUMIFS(rEfD,rCtaSD,B23,rFecha,"&gt;="&amp;IF(G23="",0,G23),rFecha,"&lt;="&amp;R23))</f>
        <v/>
      </c>
      <c r="T23" s="218">
        <f>IF(OR(Q23="",S23=""),"",Q23-S23)</f>
        <v/>
      </c>
    </row>
    <row r="24">
      <c r="B24" s="184" t="n"/>
      <c r="C24" s="187" t="n"/>
      <c r="D24" s="187" t="n"/>
      <c r="E24" s="185" t="n"/>
      <c r="F24" s="215" t="n"/>
      <c r="G24" s="216" t="n"/>
      <c r="I24" s="217">
        <f>IF(B24="","",IF(COUNTIFS(tcTipo,C24,tcLiq,"Sí")&gt;0,"Sí","No"))</f>
        <v/>
      </c>
      <c r="J24" s="218">
        <f>IF(B24="","",SUMIFS(rEfO,rCtaSO,B24,rFecha,"&gt;="&amp;IF(G24="",0,G24))+SUMIFS(rEfD,rCtaSD,B24,rFecha,"&gt;="&amp;IF(G24="",0,G24)))</f>
        <v/>
      </c>
      <c r="K24" s="191">
        <f>IF(B24="","",IF(E24&lt;&gt;"","↳ ver "&amp;E24,IF(F24="","Sin saldo inicial",F24+J24)))</f>
        <v/>
      </c>
      <c r="L24" s="191">
        <f>IF(ISNUMBER(K24),K24*IF(D24="USD",TasaUSD,1),"")</f>
        <v/>
      </c>
      <c r="M24" s="218">
        <f>IF(B24="","",SUMIFS(rGasto,rCtaE,B24,rFecha,"&gt;="&amp;pIni,rFecha,"&lt;="&amp;pFin))</f>
        <v/>
      </c>
      <c r="N24" s="218">
        <f>IF(B24="","",SUMIFS(rGasto,rCtaE,B24,rFecha,"&gt;="&amp;DATE(YEAR(TODAY()),MONTH(TODAY()),1),rFecha,"&lt;="&amp;EOMONTH(TODAY(),0)))</f>
        <v/>
      </c>
      <c r="O24" s="219">
        <f>IF(B24="","",COUNTIF(rCtaE,B24)+COUNTIF(rCtaSD,B24))</f>
        <v/>
      </c>
      <c r="Q24" s="215" t="n"/>
      <c r="R24" s="216" t="n"/>
      <c r="S24" s="218">
        <f>IF(OR(B24="",F24="",R24=""),"",F24+SUMIFS(rEfO,rCtaSO,B24,rFecha,"&gt;="&amp;IF(G24="",0,G24),rFecha,"&lt;="&amp;R24)+SUMIFS(rEfD,rCtaSD,B24,rFecha,"&gt;="&amp;IF(G24="",0,G24),rFecha,"&lt;="&amp;R24))</f>
        <v/>
      </c>
      <c r="T24" s="218">
        <f>IF(OR(Q24="",S24=""),"",Q24-S24)</f>
        <v/>
      </c>
    </row>
    <row r="25">
      <c r="B25" s="184" t="n"/>
      <c r="C25" s="187" t="n"/>
      <c r="D25" s="187" t="n"/>
      <c r="E25" s="185" t="n"/>
      <c r="F25" s="215" t="n"/>
      <c r="G25" s="216" t="n"/>
      <c r="I25" s="217">
        <f>IF(B25="","",IF(COUNTIFS(tcTipo,C25,tcLiq,"Sí")&gt;0,"Sí","No"))</f>
        <v/>
      </c>
      <c r="J25" s="218">
        <f>IF(B25="","",SUMIFS(rEfO,rCtaSO,B25,rFecha,"&gt;="&amp;IF(G25="",0,G25))+SUMIFS(rEfD,rCtaSD,B25,rFecha,"&gt;="&amp;IF(G25="",0,G25)))</f>
        <v/>
      </c>
      <c r="K25" s="191">
        <f>IF(B25="","",IF(E25&lt;&gt;"","↳ ver "&amp;E25,IF(F25="","Sin saldo inicial",F25+J25)))</f>
        <v/>
      </c>
      <c r="L25" s="191">
        <f>IF(ISNUMBER(K25),K25*IF(D25="USD",TasaUSD,1),"")</f>
        <v/>
      </c>
      <c r="M25" s="218">
        <f>IF(B25="","",SUMIFS(rGasto,rCtaE,B25,rFecha,"&gt;="&amp;pIni,rFecha,"&lt;="&amp;pFin))</f>
        <v/>
      </c>
      <c r="N25" s="218">
        <f>IF(B25="","",SUMIFS(rGasto,rCtaE,B25,rFecha,"&gt;="&amp;DATE(YEAR(TODAY()),MONTH(TODAY()),1),rFecha,"&lt;="&amp;EOMONTH(TODAY(),0)))</f>
        <v/>
      </c>
      <c r="O25" s="219">
        <f>IF(B25="","",COUNTIF(rCtaE,B25)+COUNTIF(rCtaSD,B25))</f>
        <v/>
      </c>
      <c r="Q25" s="215" t="n"/>
      <c r="R25" s="216" t="n"/>
      <c r="S25" s="218">
        <f>IF(OR(B25="",F25="",R25=""),"",F25+SUMIFS(rEfO,rCtaSO,B25,rFecha,"&gt;="&amp;IF(G25="",0,G25),rFecha,"&lt;="&amp;R25)+SUMIFS(rEfD,rCtaSD,B25,rFecha,"&gt;="&amp;IF(G25="",0,G25),rFecha,"&lt;="&amp;R25))</f>
        <v/>
      </c>
      <c r="T25" s="218">
        <f>IF(OR(Q25="",S25=""),"",Q25-S25)</f>
        <v/>
      </c>
    </row>
    <row r="26">
      <c r="B26" s="184" t="n"/>
      <c r="C26" s="187" t="n"/>
      <c r="D26" s="187" t="n"/>
      <c r="E26" s="185" t="n"/>
      <c r="F26" s="215" t="n"/>
      <c r="G26" s="216" t="n"/>
      <c r="I26" s="217">
        <f>IF(B26="","",IF(COUNTIFS(tcTipo,C26,tcLiq,"Sí")&gt;0,"Sí","No"))</f>
        <v/>
      </c>
      <c r="J26" s="218">
        <f>IF(B26="","",SUMIFS(rEfO,rCtaSO,B26,rFecha,"&gt;="&amp;IF(G26="",0,G26))+SUMIFS(rEfD,rCtaSD,B26,rFecha,"&gt;="&amp;IF(G26="",0,G26)))</f>
        <v/>
      </c>
      <c r="K26" s="191">
        <f>IF(B26="","",IF(E26&lt;&gt;"","↳ ver "&amp;E26,IF(F26="","Sin saldo inicial",F26+J26)))</f>
        <v/>
      </c>
      <c r="L26" s="191">
        <f>IF(ISNUMBER(K26),K26*IF(D26="USD",TasaUSD,1),"")</f>
        <v/>
      </c>
      <c r="M26" s="218">
        <f>IF(B26="","",SUMIFS(rGasto,rCtaE,B26,rFecha,"&gt;="&amp;pIni,rFecha,"&lt;="&amp;pFin))</f>
        <v/>
      </c>
      <c r="N26" s="218">
        <f>IF(B26="","",SUMIFS(rGasto,rCtaE,B26,rFecha,"&gt;="&amp;DATE(YEAR(TODAY()),MONTH(TODAY()),1),rFecha,"&lt;="&amp;EOMONTH(TODAY(),0)))</f>
        <v/>
      </c>
      <c r="O26" s="219">
        <f>IF(B26="","",COUNTIF(rCtaE,B26)+COUNTIF(rCtaSD,B26))</f>
        <v/>
      </c>
      <c r="Q26" s="215" t="n"/>
      <c r="R26" s="216" t="n"/>
      <c r="S26" s="218">
        <f>IF(OR(B26="",F26="",R26=""),"",F26+SUMIFS(rEfO,rCtaSO,B26,rFecha,"&gt;="&amp;IF(G26="",0,G26),rFecha,"&lt;="&amp;R26)+SUMIFS(rEfD,rCtaSD,B26,rFecha,"&gt;="&amp;IF(G26="",0,G26),rFecha,"&lt;="&amp;R26))</f>
        <v/>
      </c>
      <c r="T26" s="218">
        <f>IF(OR(Q26="",S26=""),"",Q26-S26)</f>
        <v/>
      </c>
    </row>
    <row r="27">
      <c r="B27" s="184" t="n"/>
      <c r="C27" s="187" t="n"/>
      <c r="D27" s="187" t="n"/>
      <c r="E27" s="185" t="n"/>
      <c r="F27" s="215" t="n"/>
      <c r="G27" s="216" t="n"/>
      <c r="I27" s="217">
        <f>IF(B27="","",IF(COUNTIFS(tcTipo,C27,tcLiq,"Sí")&gt;0,"Sí","No"))</f>
        <v/>
      </c>
      <c r="J27" s="218">
        <f>IF(B27="","",SUMIFS(rEfO,rCtaSO,B27,rFecha,"&gt;="&amp;IF(G27="",0,G27))+SUMIFS(rEfD,rCtaSD,B27,rFecha,"&gt;="&amp;IF(G27="",0,G27)))</f>
        <v/>
      </c>
      <c r="K27" s="191">
        <f>IF(B27="","",IF(E27&lt;&gt;"","↳ ver "&amp;E27,IF(F27="","Sin saldo inicial",F27+J27)))</f>
        <v/>
      </c>
      <c r="L27" s="191">
        <f>IF(ISNUMBER(K27),K27*IF(D27="USD",TasaUSD,1),"")</f>
        <v/>
      </c>
      <c r="M27" s="218">
        <f>IF(B27="","",SUMIFS(rGasto,rCtaE,B27,rFecha,"&gt;="&amp;pIni,rFecha,"&lt;="&amp;pFin))</f>
        <v/>
      </c>
      <c r="N27" s="218">
        <f>IF(B27="","",SUMIFS(rGasto,rCtaE,B27,rFecha,"&gt;="&amp;DATE(YEAR(TODAY()),MONTH(TODAY()),1),rFecha,"&lt;="&amp;EOMONTH(TODAY(),0)))</f>
        <v/>
      </c>
      <c r="O27" s="219">
        <f>IF(B27="","",COUNTIF(rCtaE,B27)+COUNTIF(rCtaSD,B27))</f>
        <v/>
      </c>
      <c r="Q27" s="215" t="n"/>
      <c r="R27" s="216" t="n"/>
      <c r="S27" s="218">
        <f>IF(OR(B27="",F27="",R27=""),"",F27+SUMIFS(rEfO,rCtaSO,B27,rFecha,"&gt;="&amp;IF(G27="",0,G27),rFecha,"&lt;="&amp;R27)+SUMIFS(rEfD,rCtaSD,B27,rFecha,"&gt;="&amp;IF(G27="",0,G27),rFecha,"&lt;="&amp;R27))</f>
        <v/>
      </c>
      <c r="T27" s="218">
        <f>IF(OR(Q27="",S27=""),"",Q27-S27)</f>
        <v/>
      </c>
    </row>
    <row r="28">
      <c r="B28" s="184" t="n"/>
      <c r="C28" s="187" t="n"/>
      <c r="D28" s="187" t="n"/>
      <c r="E28" s="185" t="n"/>
      <c r="F28" s="215" t="n"/>
      <c r="G28" s="216" t="n"/>
      <c r="I28" s="217">
        <f>IF(B28="","",IF(COUNTIFS(tcTipo,C28,tcLiq,"Sí")&gt;0,"Sí","No"))</f>
        <v/>
      </c>
      <c r="J28" s="218">
        <f>IF(B28="","",SUMIFS(rEfO,rCtaSO,B28,rFecha,"&gt;="&amp;IF(G28="",0,G28))+SUMIFS(rEfD,rCtaSD,B28,rFecha,"&gt;="&amp;IF(G28="",0,G28)))</f>
        <v/>
      </c>
      <c r="K28" s="191">
        <f>IF(B28="","",IF(E28&lt;&gt;"","↳ ver "&amp;E28,IF(F28="","Sin saldo inicial",F28+J28)))</f>
        <v/>
      </c>
      <c r="L28" s="191">
        <f>IF(ISNUMBER(K28),K28*IF(D28="USD",TasaUSD,1),"")</f>
        <v/>
      </c>
      <c r="M28" s="218">
        <f>IF(B28="","",SUMIFS(rGasto,rCtaE,B28,rFecha,"&gt;="&amp;pIni,rFecha,"&lt;="&amp;pFin))</f>
        <v/>
      </c>
      <c r="N28" s="218">
        <f>IF(B28="","",SUMIFS(rGasto,rCtaE,B28,rFecha,"&gt;="&amp;DATE(YEAR(TODAY()),MONTH(TODAY()),1),rFecha,"&lt;="&amp;EOMONTH(TODAY(),0)))</f>
        <v/>
      </c>
      <c r="O28" s="219">
        <f>IF(B28="","",COUNTIF(rCtaE,B28)+COUNTIF(rCtaSD,B28))</f>
        <v/>
      </c>
      <c r="Q28" s="215" t="n"/>
      <c r="R28" s="216" t="n"/>
      <c r="S28" s="218">
        <f>IF(OR(B28="",F28="",R28=""),"",F28+SUMIFS(rEfO,rCtaSO,B28,rFecha,"&gt;="&amp;IF(G28="",0,G28),rFecha,"&lt;="&amp;R28)+SUMIFS(rEfD,rCtaSD,B28,rFecha,"&gt;="&amp;IF(G28="",0,G28),rFecha,"&lt;="&amp;R28))</f>
        <v/>
      </c>
      <c r="T28" s="218">
        <f>IF(OR(Q28="",S28=""),"",Q28-S28)</f>
        <v/>
      </c>
    </row>
    <row r="29">
      <c r="B29" s="184" t="n"/>
      <c r="C29" s="187" t="n"/>
      <c r="D29" s="187" t="n"/>
      <c r="E29" s="185" t="n"/>
      <c r="F29" s="215" t="n"/>
      <c r="G29" s="216" t="n"/>
      <c r="I29" s="217">
        <f>IF(B29="","",IF(COUNTIFS(tcTipo,C29,tcLiq,"Sí")&gt;0,"Sí","No"))</f>
        <v/>
      </c>
      <c r="J29" s="218">
        <f>IF(B29="","",SUMIFS(rEfO,rCtaSO,B29,rFecha,"&gt;="&amp;IF(G29="",0,G29))+SUMIFS(rEfD,rCtaSD,B29,rFecha,"&gt;="&amp;IF(G29="",0,G29)))</f>
        <v/>
      </c>
      <c r="K29" s="191">
        <f>IF(B29="","",IF(E29&lt;&gt;"","↳ ver "&amp;E29,IF(F29="","Sin saldo inicial",F29+J29)))</f>
        <v/>
      </c>
      <c r="L29" s="191">
        <f>IF(ISNUMBER(K29),K29*IF(D29="USD",TasaUSD,1),"")</f>
        <v/>
      </c>
      <c r="M29" s="218">
        <f>IF(B29="","",SUMIFS(rGasto,rCtaE,B29,rFecha,"&gt;="&amp;pIni,rFecha,"&lt;="&amp;pFin))</f>
        <v/>
      </c>
      <c r="N29" s="218">
        <f>IF(B29="","",SUMIFS(rGasto,rCtaE,B29,rFecha,"&gt;="&amp;DATE(YEAR(TODAY()),MONTH(TODAY()),1),rFecha,"&lt;="&amp;EOMONTH(TODAY(),0)))</f>
        <v/>
      </c>
      <c r="O29" s="219">
        <f>IF(B29="","",COUNTIF(rCtaE,B29)+COUNTIF(rCtaSD,B29))</f>
        <v/>
      </c>
      <c r="Q29" s="215" t="n"/>
      <c r="R29" s="216" t="n"/>
      <c r="S29" s="218">
        <f>IF(OR(B29="",F29="",R29=""),"",F29+SUMIFS(rEfO,rCtaSO,B29,rFecha,"&gt;="&amp;IF(G29="",0,G29),rFecha,"&lt;="&amp;R29)+SUMIFS(rEfD,rCtaSD,B29,rFecha,"&gt;="&amp;IF(G29="",0,G29),rFecha,"&lt;="&amp;R29))</f>
        <v/>
      </c>
      <c r="T29" s="218">
        <f>IF(OR(Q29="",S29=""),"",Q29-S29)</f>
        <v/>
      </c>
    </row>
    <row r="30">
      <c r="B30" s="184" t="n"/>
      <c r="C30" s="187" t="n"/>
      <c r="D30" s="187" t="n"/>
      <c r="E30" s="185" t="n"/>
      <c r="F30" s="215" t="n"/>
      <c r="G30" s="216" t="n"/>
      <c r="I30" s="217">
        <f>IF(B30="","",IF(COUNTIFS(tcTipo,C30,tcLiq,"Sí")&gt;0,"Sí","No"))</f>
        <v/>
      </c>
      <c r="J30" s="218">
        <f>IF(B30="","",SUMIFS(rEfO,rCtaSO,B30,rFecha,"&gt;="&amp;IF(G30="",0,G30))+SUMIFS(rEfD,rCtaSD,B30,rFecha,"&gt;="&amp;IF(G30="",0,G30)))</f>
        <v/>
      </c>
      <c r="K30" s="191">
        <f>IF(B30="","",IF(E30&lt;&gt;"","↳ ver "&amp;E30,IF(F30="","Sin saldo inicial",F30+J30)))</f>
        <v/>
      </c>
      <c r="L30" s="191">
        <f>IF(ISNUMBER(K30),K30*IF(D30="USD",TasaUSD,1),"")</f>
        <v/>
      </c>
      <c r="M30" s="218">
        <f>IF(B30="","",SUMIFS(rGasto,rCtaE,B30,rFecha,"&gt;="&amp;pIni,rFecha,"&lt;="&amp;pFin))</f>
        <v/>
      </c>
      <c r="N30" s="218">
        <f>IF(B30="","",SUMIFS(rGasto,rCtaE,B30,rFecha,"&gt;="&amp;DATE(YEAR(TODAY()),MONTH(TODAY()),1),rFecha,"&lt;="&amp;EOMONTH(TODAY(),0)))</f>
        <v/>
      </c>
      <c r="O30" s="219">
        <f>IF(B30="","",COUNTIF(rCtaE,B30)+COUNTIF(rCtaSD,B30))</f>
        <v/>
      </c>
      <c r="Q30" s="215" t="n"/>
      <c r="R30" s="216" t="n"/>
      <c r="S30" s="218">
        <f>IF(OR(B30="",F30="",R30=""),"",F30+SUMIFS(rEfO,rCtaSO,B30,rFecha,"&gt;="&amp;IF(G30="",0,G30),rFecha,"&lt;="&amp;R30)+SUMIFS(rEfD,rCtaSD,B30,rFecha,"&gt;="&amp;IF(G30="",0,G30),rFecha,"&lt;="&amp;R30))</f>
        <v/>
      </c>
      <c r="T30" s="218">
        <f>IF(OR(Q30="",S30=""),"",Q30-S30)</f>
        <v/>
      </c>
    </row>
    <row r="31">
      <c r="B31" s="184" t="n"/>
      <c r="C31" s="187" t="n"/>
      <c r="D31" s="187" t="n"/>
      <c r="E31" s="185" t="n"/>
      <c r="F31" s="215" t="n"/>
      <c r="G31" s="216" t="n"/>
      <c r="I31" s="217">
        <f>IF(B31="","",IF(COUNTIFS(tcTipo,C31,tcLiq,"Sí")&gt;0,"Sí","No"))</f>
        <v/>
      </c>
      <c r="J31" s="218">
        <f>IF(B31="","",SUMIFS(rEfO,rCtaSO,B31,rFecha,"&gt;="&amp;IF(G31="",0,G31))+SUMIFS(rEfD,rCtaSD,B31,rFecha,"&gt;="&amp;IF(G31="",0,G31)))</f>
        <v/>
      </c>
      <c r="K31" s="191">
        <f>IF(B31="","",IF(E31&lt;&gt;"","↳ ver "&amp;E31,IF(F31="","Sin saldo inicial",F31+J31)))</f>
        <v/>
      </c>
      <c r="L31" s="191">
        <f>IF(ISNUMBER(K31),K31*IF(D31="USD",TasaUSD,1),"")</f>
        <v/>
      </c>
      <c r="M31" s="218">
        <f>IF(B31="","",SUMIFS(rGasto,rCtaE,B31,rFecha,"&gt;="&amp;pIni,rFecha,"&lt;="&amp;pFin))</f>
        <v/>
      </c>
      <c r="N31" s="218">
        <f>IF(B31="","",SUMIFS(rGasto,rCtaE,B31,rFecha,"&gt;="&amp;DATE(YEAR(TODAY()),MONTH(TODAY()),1),rFecha,"&lt;="&amp;EOMONTH(TODAY(),0)))</f>
        <v/>
      </c>
      <c r="O31" s="219">
        <f>IF(B31="","",COUNTIF(rCtaE,B31)+COUNTIF(rCtaSD,B31))</f>
        <v/>
      </c>
      <c r="Q31" s="215" t="n"/>
      <c r="R31" s="216" t="n"/>
      <c r="S31" s="218">
        <f>IF(OR(B31="",F31="",R31=""),"",F31+SUMIFS(rEfO,rCtaSO,B31,rFecha,"&gt;="&amp;IF(G31="",0,G31),rFecha,"&lt;="&amp;R31)+SUMIFS(rEfD,rCtaSD,B31,rFecha,"&gt;="&amp;IF(G31="",0,G31),rFecha,"&lt;="&amp;R31))</f>
        <v/>
      </c>
      <c r="T31" s="218">
        <f>IF(OR(Q31="",S31=""),"",Q31-S31)</f>
        <v/>
      </c>
    </row>
    <row r="32">
      <c r="B32" s="184" t="n"/>
      <c r="C32" s="187" t="n"/>
      <c r="D32" s="187" t="n"/>
      <c r="E32" s="185" t="n"/>
      <c r="F32" s="215" t="n"/>
      <c r="G32" s="216" t="n"/>
      <c r="I32" s="217">
        <f>IF(B32="","",IF(COUNTIFS(tcTipo,C32,tcLiq,"Sí")&gt;0,"Sí","No"))</f>
        <v/>
      </c>
      <c r="J32" s="218">
        <f>IF(B32="","",SUMIFS(rEfO,rCtaSO,B32,rFecha,"&gt;="&amp;IF(G32="",0,G32))+SUMIFS(rEfD,rCtaSD,B32,rFecha,"&gt;="&amp;IF(G32="",0,G32)))</f>
        <v/>
      </c>
      <c r="K32" s="191">
        <f>IF(B32="","",IF(E32&lt;&gt;"","↳ ver "&amp;E32,IF(F32="","Sin saldo inicial",F32+J32)))</f>
        <v/>
      </c>
      <c r="L32" s="191">
        <f>IF(ISNUMBER(K32),K32*IF(D32="USD",TasaUSD,1),"")</f>
        <v/>
      </c>
      <c r="M32" s="218">
        <f>IF(B32="","",SUMIFS(rGasto,rCtaE,B32,rFecha,"&gt;="&amp;pIni,rFecha,"&lt;="&amp;pFin))</f>
        <v/>
      </c>
      <c r="N32" s="218">
        <f>IF(B32="","",SUMIFS(rGasto,rCtaE,B32,rFecha,"&gt;="&amp;DATE(YEAR(TODAY()),MONTH(TODAY()),1),rFecha,"&lt;="&amp;EOMONTH(TODAY(),0)))</f>
        <v/>
      </c>
      <c r="O32" s="219">
        <f>IF(B32="","",COUNTIF(rCtaE,B32)+COUNTIF(rCtaSD,B32))</f>
        <v/>
      </c>
      <c r="Q32" s="215" t="n"/>
      <c r="R32" s="216" t="n"/>
      <c r="S32" s="218">
        <f>IF(OR(B32="",F32="",R32=""),"",F32+SUMIFS(rEfO,rCtaSO,B32,rFecha,"&gt;="&amp;IF(G32="",0,G32),rFecha,"&lt;="&amp;R32)+SUMIFS(rEfD,rCtaSD,B32,rFecha,"&gt;="&amp;IF(G32="",0,G32),rFecha,"&lt;="&amp;R32))</f>
        <v/>
      </c>
      <c r="T32" s="218">
        <f>IF(OR(Q32="",S32=""),"",Q32-S32)</f>
        <v/>
      </c>
    </row>
    <row r="33">
      <c r="B33" s="184" t="n"/>
      <c r="C33" s="187" t="n"/>
      <c r="D33" s="187" t="n"/>
      <c r="E33" s="185" t="n"/>
      <c r="F33" s="215" t="n"/>
      <c r="G33" s="216" t="n"/>
      <c r="I33" s="217">
        <f>IF(B33="","",IF(COUNTIFS(tcTipo,C33,tcLiq,"Sí")&gt;0,"Sí","No"))</f>
        <v/>
      </c>
      <c r="J33" s="218">
        <f>IF(B33="","",SUMIFS(rEfO,rCtaSO,B33,rFecha,"&gt;="&amp;IF(G33="",0,G33))+SUMIFS(rEfD,rCtaSD,B33,rFecha,"&gt;="&amp;IF(G33="",0,G33)))</f>
        <v/>
      </c>
      <c r="K33" s="191">
        <f>IF(B33="","",IF(E33&lt;&gt;"","↳ ver "&amp;E33,IF(F33="","Sin saldo inicial",F33+J33)))</f>
        <v/>
      </c>
      <c r="L33" s="191">
        <f>IF(ISNUMBER(K33),K33*IF(D33="USD",TasaUSD,1),"")</f>
        <v/>
      </c>
      <c r="M33" s="218">
        <f>IF(B33="","",SUMIFS(rGasto,rCtaE,B33,rFecha,"&gt;="&amp;pIni,rFecha,"&lt;="&amp;pFin))</f>
        <v/>
      </c>
      <c r="N33" s="218">
        <f>IF(B33="","",SUMIFS(rGasto,rCtaE,B33,rFecha,"&gt;="&amp;DATE(YEAR(TODAY()),MONTH(TODAY()),1),rFecha,"&lt;="&amp;EOMONTH(TODAY(),0)))</f>
        <v/>
      </c>
      <c r="O33" s="219">
        <f>IF(B33="","",COUNTIF(rCtaE,B33)+COUNTIF(rCtaSD,B33))</f>
        <v/>
      </c>
      <c r="Q33" s="215" t="n"/>
      <c r="R33" s="216" t="n"/>
      <c r="S33" s="218">
        <f>IF(OR(B33="",F33="",R33=""),"",F33+SUMIFS(rEfO,rCtaSO,B33,rFecha,"&gt;="&amp;IF(G33="",0,G33),rFecha,"&lt;="&amp;R33)+SUMIFS(rEfD,rCtaSD,B33,rFecha,"&gt;="&amp;IF(G33="",0,G33),rFecha,"&lt;="&amp;R33))</f>
        <v/>
      </c>
      <c r="T33" s="218">
        <f>IF(OR(Q33="",S33=""),"",Q33-S33)</f>
        <v/>
      </c>
    </row>
    <row r="34">
      <c r="B34" s="184" t="n"/>
      <c r="C34" s="187" t="n"/>
      <c r="D34" s="187" t="n"/>
      <c r="E34" s="185" t="n"/>
      <c r="F34" s="215" t="n"/>
      <c r="G34" s="216" t="n"/>
      <c r="I34" s="217">
        <f>IF(B34="","",IF(COUNTIFS(tcTipo,C34,tcLiq,"Sí")&gt;0,"Sí","No"))</f>
        <v/>
      </c>
      <c r="J34" s="218">
        <f>IF(B34="","",SUMIFS(rEfO,rCtaSO,B34,rFecha,"&gt;="&amp;IF(G34="",0,G34))+SUMIFS(rEfD,rCtaSD,B34,rFecha,"&gt;="&amp;IF(G34="",0,G34)))</f>
        <v/>
      </c>
      <c r="K34" s="191">
        <f>IF(B34="","",IF(E34&lt;&gt;"","↳ ver "&amp;E34,IF(F34="","Sin saldo inicial",F34+J34)))</f>
        <v/>
      </c>
      <c r="L34" s="191">
        <f>IF(ISNUMBER(K34),K34*IF(D34="USD",TasaUSD,1),"")</f>
        <v/>
      </c>
      <c r="M34" s="218">
        <f>IF(B34="","",SUMIFS(rGasto,rCtaE,B34,rFecha,"&gt;="&amp;pIni,rFecha,"&lt;="&amp;pFin))</f>
        <v/>
      </c>
      <c r="N34" s="218">
        <f>IF(B34="","",SUMIFS(rGasto,rCtaE,B34,rFecha,"&gt;="&amp;DATE(YEAR(TODAY()),MONTH(TODAY()),1),rFecha,"&lt;="&amp;EOMONTH(TODAY(),0)))</f>
        <v/>
      </c>
      <c r="O34" s="219">
        <f>IF(B34="","",COUNTIF(rCtaE,B34)+COUNTIF(rCtaSD,B34))</f>
        <v/>
      </c>
      <c r="Q34" s="215" t="n"/>
      <c r="R34" s="216" t="n"/>
      <c r="S34" s="218">
        <f>IF(OR(B34="",F34="",R34=""),"",F34+SUMIFS(rEfO,rCtaSO,B34,rFecha,"&gt;="&amp;IF(G34="",0,G34),rFecha,"&lt;="&amp;R34)+SUMIFS(rEfD,rCtaSD,B34,rFecha,"&gt;="&amp;IF(G34="",0,G34),rFecha,"&lt;="&amp;R34))</f>
        <v/>
      </c>
      <c r="T34" s="218">
        <f>IF(OR(Q34="",S34=""),"",Q34-S34)</f>
        <v/>
      </c>
    </row>
    <row r="35">
      <c r="B35" s="184" t="n"/>
      <c r="C35" s="187" t="n"/>
      <c r="D35" s="187" t="n"/>
      <c r="E35" s="185" t="n"/>
      <c r="F35" s="215" t="n"/>
      <c r="G35" s="216" t="n"/>
      <c r="I35" s="217">
        <f>IF(B35="","",IF(COUNTIFS(tcTipo,C35,tcLiq,"Sí")&gt;0,"Sí","No"))</f>
        <v/>
      </c>
      <c r="J35" s="218">
        <f>IF(B35="","",SUMIFS(rEfO,rCtaSO,B35,rFecha,"&gt;="&amp;IF(G35="",0,G35))+SUMIFS(rEfD,rCtaSD,B35,rFecha,"&gt;="&amp;IF(G35="",0,G35)))</f>
        <v/>
      </c>
      <c r="K35" s="191">
        <f>IF(B35="","",IF(E35&lt;&gt;"","↳ ver "&amp;E35,IF(F35="","Sin saldo inicial",F35+J35)))</f>
        <v/>
      </c>
      <c r="L35" s="191">
        <f>IF(ISNUMBER(K35),K35*IF(D35="USD",TasaUSD,1),"")</f>
        <v/>
      </c>
      <c r="M35" s="218">
        <f>IF(B35="","",SUMIFS(rGasto,rCtaE,B35,rFecha,"&gt;="&amp;pIni,rFecha,"&lt;="&amp;pFin))</f>
        <v/>
      </c>
      <c r="N35" s="218">
        <f>IF(B35="","",SUMIFS(rGasto,rCtaE,B35,rFecha,"&gt;="&amp;DATE(YEAR(TODAY()),MONTH(TODAY()),1),rFecha,"&lt;="&amp;EOMONTH(TODAY(),0)))</f>
        <v/>
      </c>
      <c r="O35" s="219">
        <f>IF(B35="","",COUNTIF(rCtaE,B35)+COUNTIF(rCtaSD,B35))</f>
        <v/>
      </c>
      <c r="Q35" s="215" t="n"/>
      <c r="R35" s="216" t="n"/>
      <c r="S35" s="218">
        <f>IF(OR(B35="",F35="",R35=""),"",F35+SUMIFS(rEfO,rCtaSO,B35,rFecha,"&gt;="&amp;IF(G35="",0,G35),rFecha,"&lt;="&amp;R35)+SUMIFS(rEfD,rCtaSD,B35,rFecha,"&gt;="&amp;IF(G35="",0,G35),rFecha,"&lt;="&amp;R35))</f>
        <v/>
      </c>
      <c r="T35" s="218">
        <f>IF(OR(Q35="",S35=""),"",Q35-S35)</f>
        <v/>
      </c>
    </row>
    <row r="36">
      <c r="B36" s="184" t="n"/>
      <c r="C36" s="187" t="n"/>
      <c r="D36" s="187" t="n"/>
      <c r="E36" s="185" t="n"/>
      <c r="F36" s="215" t="n"/>
      <c r="G36" s="216" t="n"/>
      <c r="I36" s="217">
        <f>IF(B36="","",IF(COUNTIFS(tcTipo,C36,tcLiq,"Sí")&gt;0,"Sí","No"))</f>
        <v/>
      </c>
      <c r="J36" s="218">
        <f>IF(B36="","",SUMIFS(rEfO,rCtaSO,B36,rFecha,"&gt;="&amp;IF(G36="",0,G36))+SUMIFS(rEfD,rCtaSD,B36,rFecha,"&gt;="&amp;IF(G36="",0,G36)))</f>
        <v/>
      </c>
      <c r="K36" s="191">
        <f>IF(B36="","",IF(E36&lt;&gt;"","↳ ver "&amp;E36,IF(F36="","Sin saldo inicial",F36+J36)))</f>
        <v/>
      </c>
      <c r="L36" s="191">
        <f>IF(ISNUMBER(K36),K36*IF(D36="USD",TasaUSD,1),"")</f>
        <v/>
      </c>
      <c r="M36" s="218">
        <f>IF(B36="","",SUMIFS(rGasto,rCtaE,B36,rFecha,"&gt;="&amp;pIni,rFecha,"&lt;="&amp;pFin))</f>
        <v/>
      </c>
      <c r="N36" s="218">
        <f>IF(B36="","",SUMIFS(rGasto,rCtaE,B36,rFecha,"&gt;="&amp;DATE(YEAR(TODAY()),MONTH(TODAY()),1),rFecha,"&lt;="&amp;EOMONTH(TODAY(),0)))</f>
        <v/>
      </c>
      <c r="O36" s="219">
        <f>IF(B36="","",COUNTIF(rCtaE,B36)+COUNTIF(rCtaSD,B36))</f>
        <v/>
      </c>
      <c r="Q36" s="215" t="n"/>
      <c r="R36" s="216" t="n"/>
      <c r="S36" s="218">
        <f>IF(OR(B36="",F36="",R36=""),"",F36+SUMIFS(rEfO,rCtaSO,B36,rFecha,"&gt;="&amp;IF(G36="",0,G36),rFecha,"&lt;="&amp;R36)+SUMIFS(rEfD,rCtaSD,B36,rFecha,"&gt;="&amp;IF(G36="",0,G36),rFecha,"&lt;="&amp;R36))</f>
        <v/>
      </c>
      <c r="T36" s="218">
        <f>IF(OR(Q36="",S36=""),"",Q36-S36)</f>
        <v/>
      </c>
    </row>
    <row r="38">
      <c r="B38" s="211" t="inlineStr">
        <is>
          <t>Totales en DOP</t>
        </is>
      </c>
      <c r="K38" s="197" t="inlineStr">
        <is>
          <t>Disponible (liquidez):</t>
        </is>
      </c>
      <c r="L38" s="198">
        <f>SUMIFS(ctaSaldoDOP,ctaLiq,"Sí")</f>
        <v/>
      </c>
      <c r="M38" s="197" t="inlineStr">
        <is>
          <t>Gasto total del período:</t>
        </is>
      </c>
      <c r="N38" s="198">
        <f>SUM(M7:M36)</f>
        <v/>
      </c>
      <c r="O38" s="220">
        <f>SUMPRODUCT((ctaLiq="Sí")*ISNUMBER(ctaSaldoDOP))</f>
        <v/>
      </c>
    </row>
    <row r="39">
      <c r="K39" s="197" t="inlineStr">
        <is>
          <t>Deuda tarjetas de crédito:</t>
        </is>
      </c>
      <c r="L39" s="198">
        <f>SUMIFS(ctaSaldoDOP,ctaTipo,"Tarjeta de crédito")</f>
        <v/>
      </c>
      <c r="O39" s="220">
        <f>COUNTIFS(ctaLiq,"Sí",ctaVinc,"")</f>
        <v/>
      </c>
    </row>
    <row r="40">
      <c r="K40" s="197" t="inlineStr">
        <is>
          <t>Capital en trading:</t>
        </is>
      </c>
      <c r="L40" s="198">
        <f>SUMIFS(ctaSaldoDOP,ctaTipo,"Cuenta de trading")</f>
        <v/>
      </c>
    </row>
    <row r="41">
      <c r="K41" s="197" t="inlineStr">
        <is>
          <t>Cuentas con saldo inicial:</t>
        </is>
      </c>
      <c r="L41" s="221">
        <f>SUMPRODUCT(--ISNUMBER(ctaSaldoDOP))&amp;" de "&amp;COUNTIFS(ctaNombre,"?*",ctaVinc,"")</f>
        <v/>
      </c>
    </row>
  </sheetData>
  <mergeCells count="5">
    <mergeCell ref="I5:O5"/>
    <mergeCell ref="B5:G5"/>
    <mergeCell ref="B3:T4"/>
    <mergeCell ref="Q5:T5"/>
    <mergeCell ref="O1:U1"/>
  </mergeCells>
  <conditionalFormatting sqref="T7:T36">
    <cfRule type="expression" priority="1" dxfId="0">
      <formula>AND(ISNUMBER(T7),ABS(T7)&gt;=0.01)</formula>
    </cfRule>
    <cfRule type="expression" priority="2" dxfId="7">
      <formula>AND(ISNUMBER(T7),ABS(T7)&lt;0.01)</formula>
    </cfRule>
  </conditionalFormatting>
  <conditionalFormatting sqref="K7:K36">
    <cfRule type="expression" priority="3" dxfId="10">
      <formula>ISTEXT(K7)</formula>
    </cfRule>
  </conditionalFormatting>
  <conditionalFormatting sqref="M7:M36">
    <cfRule type="dataBar" priority="4">
      <dataBar showValue="1">
        <cfvo type="num" val="0"/>
        <cfvo type="max"/>
        <color rgb="009EC5F4"/>
      </dataBar>
    </cfRule>
  </conditionalFormatting>
  <dataValidations count="4">
    <dataValidation sqref="C7:C36" showDropDown="0" showInputMessage="0" showErrorMessage="0" allowBlank="1" type="list">
      <formula1>=lstTiposCta</formula1>
    </dataValidation>
    <dataValidation sqref="D7:D36" showDropDown="0" showInputMessage="0" showErrorMessage="0" allowBlank="1" type="list">
      <formula1>=lstMonedas</formula1>
    </dataValidation>
    <dataValidation sqref="E7:E36" showDropDown="0" showInputMessage="0" showErrorMessage="0" allowBlank="1" type="list">
      <formula1>=lstCuentas</formula1>
    </dataValidation>
    <dataValidation sqref="G7:G36 R7:R36" showDropDown="0" showInputMessage="0" showErrorMessage="0" allowBlank="1" type="date" operator="between">
      <formula1>DATE(2000,1,1)</formula1>
      <formula2>DATE(2100,12,31)</formula2>
    </dataValidation>
  </dataValidations>
  <hyperlinks>
    <hyperlink ref="B2" location="'Inicio'!A1" display="Inicio"/>
    <hyperlink ref="C2" location="'Registro'!A1" display="Registro"/>
    <hyperlink ref="D2" location="'Dashboard'!A1" display="Dashboard"/>
    <hyperlink ref="F2" location="'Alimentación'!A1" display="Alimentación"/>
    <hyperlink ref="G2" location="'Gastos hormiga'!A1" display="Hormiga"/>
    <hyperlink ref="H2" location="'Recurrentes'!A1" display="Recurrentes"/>
    <hyperlink ref="J2" location="'Presupuestos'!A1" display="Presupuestos"/>
    <hyperlink ref="K2" location="'Cuentas'!A1" display="● Cuentas"/>
    <hyperlink ref="L2" location="'Categorías'!A1" display="Categorías"/>
    <hyperlink ref="M2" location="'Config'!A1" display="Config"/>
  </hyperlinks>
  <pageMargins left="0.75" right="0.75" top="1" bottom="1" header="0.5" footer="0.5"/>
  <pageSetup orientation="landscape" fitToHeight="0" fitToWidth="1"/>
</worksheet>
</file>

<file path=xl/worksheets/sheet9.xml><?xml version="1.0" encoding="utf-8"?>
<worksheet xmlns="http://schemas.openxmlformats.org/spreadsheetml/2006/main">
  <sheetPr>
    <tabColor rgb="0064748B"/>
    <outlinePr summaryBelow="1" summaryRight="1"/>
    <pageSetUpPr/>
  </sheetPr>
  <dimension ref="A1:U205"/>
  <sheetViews>
    <sheetView showGridLines="0" zoomScale="100" workbookViewId="0">
      <pane xSplit="1" ySplit="5" topLeftCell="B6" activePane="bottomRight" state="frozen"/>
      <selection pane="topRight"/>
      <selection pane="bottomLeft"/>
      <selection pane="bottomRight" activeCell="A1" sqref="A1"/>
    </sheetView>
  </sheetViews>
  <sheetFormatPr baseColWidth="8" defaultRowHeight="15"/>
  <cols>
    <col width="2" customWidth="1" min="1" max="1"/>
    <col width="30" customWidth="1" min="2" max="2"/>
    <col width="36" customWidth="1" min="3" max="3"/>
    <col width="12" customWidth="1" min="4" max="4"/>
    <col width="15" customWidth="1" min="5" max="5"/>
    <col width="27" customWidth="1" min="6" max="6"/>
    <col width="15" customWidth="1" min="7" max="7"/>
    <col width="3" customWidth="1" min="8" max="8"/>
    <col width="3" customWidth="1" min="9" max="9"/>
    <col width="3" customWidth="1" min="10" max="10"/>
    <col width="3" customWidth="1" min="11" max="11"/>
    <col width="32" customWidth="1" min="12" max="12"/>
    <col width="12" customWidth="1" min="13" max="13"/>
    <col width="3" customWidth="1" min="14" max="14"/>
    <col hidden="1" width="13" customWidth="1" min="16" max="16"/>
    <col hidden="1" width="13" customWidth="1" min="17" max="17"/>
    <col hidden="1" width="13" customWidth="1" min="18" max="18"/>
  </cols>
  <sheetData>
    <row r="1" ht="38" customHeight="1">
      <c r="A1" s="1" t="n"/>
      <c r="B1" s="2" t="inlineStr">
        <is>
          <t>Categorías y subcategorías</t>
        </is>
      </c>
      <c r="C1" s="1" t="n"/>
      <c r="D1" s="1" t="n"/>
      <c r="E1" s="1" t="n"/>
      <c r="F1" s="1" t="n"/>
      <c r="G1" s="1" t="n"/>
      <c r="H1" s="3" t="inlineStr">
        <is>
          <t>Edita, agrega o elimina filas · se reflejan en todo el sistema</t>
        </is>
      </c>
    </row>
    <row r="2" ht="22" customHeight="1">
      <c r="A2" s="4" t="n"/>
      <c r="B2" s="6" t="inlineStr">
        <is>
          <t>Inicio</t>
        </is>
      </c>
      <c r="C2" s="6" t="inlineStr">
        <is>
          <t>Registro</t>
        </is>
      </c>
      <c r="D2" s="6" t="inlineStr">
        <is>
          <t>Dashboard</t>
        </is>
      </c>
      <c r="E2" s="6" t="inlineStr">
        <is>
          <t>Alimentación</t>
        </is>
      </c>
      <c r="F2" s="6" t="inlineStr">
        <is>
          <t>Hormiga</t>
        </is>
      </c>
      <c r="G2" s="6" t="inlineStr">
        <is>
          <t>Recurrentes</t>
        </is>
      </c>
      <c r="H2" s="6" t="inlineStr">
        <is>
          <t>Presupuestos</t>
        </is>
      </c>
      <c r="I2" s="4" t="n"/>
      <c r="J2" s="4" t="n"/>
      <c r="K2" s="4" t="n"/>
      <c r="L2" s="4" t="n"/>
      <c r="M2" s="6" t="inlineStr">
        <is>
          <t>Cuentas</t>
        </is>
      </c>
      <c r="N2" s="5" t="inlineStr">
        <is>
          <t>● Categorías</t>
        </is>
      </c>
      <c r="O2" s="4" t="n"/>
      <c r="P2" s="4" t="n"/>
      <c r="Q2" s="4" t="n"/>
      <c r="R2" s="4" t="n"/>
      <c r="S2" s="4" t="n"/>
      <c r="T2" s="6" t="inlineStr">
        <is>
          <t>Config</t>
        </is>
      </c>
      <c r="U2" s="4" t="n"/>
    </row>
    <row r="3" ht="30" customHeight="1">
      <c r="B3" s="39" t="inlineStr">
        <is>
          <t>Mantén juntas las filas de una misma categoría (ordena por Categoría si agregas filas al final). «Clasificación sugerida» se usa cuando dejas vacía la columna Fijo/Variable del Registro. «Grupo de alimentación» alimenta el análisis especial de comida.</t>
        </is>
      </c>
    </row>
    <row r="5">
      <c r="B5" s="222" t="inlineStr">
        <is>
          <t>Categoría</t>
        </is>
      </c>
      <c r="C5" s="222" t="inlineStr">
        <is>
          <t>Subcategoría</t>
        </is>
      </c>
      <c r="D5" s="222" t="inlineStr">
        <is>
          <t>Tipo</t>
        </is>
      </c>
      <c r="E5" s="222" t="inlineStr">
        <is>
          <t>Clasificación sugerida</t>
        </is>
      </c>
      <c r="F5" s="222" t="inlineStr">
        <is>
          <t>Grupo de alimentación</t>
        </is>
      </c>
      <c r="G5" s="222" t="inlineStr">
        <is>
          <t>Comida del día</t>
        </is>
      </c>
      <c r="L5" s="223" t="inlineStr">
        <is>
          <t>Lista de categorías (automática)</t>
        </is>
      </c>
      <c r="M5" s="224" t="inlineStr">
        <is>
          <t>Tipo</t>
        </is>
      </c>
    </row>
    <row r="6">
      <c r="B6" s="202" t="inlineStr">
        <is>
          <t>Alimentación</t>
        </is>
      </c>
      <c r="C6" s="225" t="inlineStr">
        <is>
          <t>Desayunos comprados</t>
        </is>
      </c>
      <c r="D6" s="226" t="inlineStr">
        <is>
          <t>Gasto</t>
        </is>
      </c>
      <c r="E6" s="226" t="inlineStr">
        <is>
          <t>Variable</t>
        </is>
      </c>
      <c r="F6" s="225" t="inlineStr">
        <is>
          <t>Comida preparada</t>
        </is>
      </c>
      <c r="G6" s="226" t="inlineStr">
        <is>
          <t>Desayuno</t>
        </is>
      </c>
      <c r="L6" s="227">
        <f>IFERROR(INDEX(catCat,MATCH(1,catIdx,0))&amp;"","")</f>
        <v/>
      </c>
      <c r="M6" s="228">
        <f>IF(L6="","",IFERROR(INDEX(catTipo,MATCH(L6,catCat,0))&amp;"",""))</f>
        <v/>
      </c>
      <c r="P6">
        <f>IF(OR(B6="",C6=""),"",B6&amp;"|"&amp;C6)</f>
        <v/>
      </c>
      <c r="Q6">
        <f>IF(B6="","",IF(COUNTIF(B$6:B6,B6)=1,MAX(Q$5:Q5)+1,""))</f>
        <v/>
      </c>
      <c r="R6">
        <f>IF(OR(F6="",C6=""),"",COUNTIF(F$6:F6,"?*"))</f>
        <v/>
      </c>
    </row>
    <row r="7">
      <c r="B7" s="202" t="inlineStr">
        <is>
          <t>Alimentación</t>
        </is>
      </c>
      <c r="C7" s="225" t="inlineStr">
        <is>
          <t>Almuerzos laborales</t>
        </is>
      </c>
      <c r="D7" s="226" t="inlineStr">
        <is>
          <t>Gasto</t>
        </is>
      </c>
      <c r="E7" s="226" t="inlineStr">
        <is>
          <t>Variable</t>
        </is>
      </c>
      <c r="F7" s="225" t="inlineStr">
        <is>
          <t>Comida preparada</t>
        </is>
      </c>
      <c r="G7" s="226" t="inlineStr">
        <is>
          <t>Almuerzo</t>
        </is>
      </c>
      <c r="L7" s="227">
        <f>IFERROR(INDEX(catCat,MATCH(2,catIdx,0))&amp;"","")</f>
        <v/>
      </c>
      <c r="M7" s="228">
        <f>IF(L7="","",IFERROR(INDEX(catTipo,MATCH(L7,catCat,0))&amp;"",""))</f>
        <v/>
      </c>
      <c r="P7">
        <f>IF(OR(B7="",C7=""),"",B7&amp;"|"&amp;C7)</f>
        <v/>
      </c>
      <c r="Q7">
        <f>IF(B7="","",IF(COUNTIF(B$6:B7,B7)=1,MAX(Q$5:Q6)+1,""))</f>
        <v/>
      </c>
      <c r="R7">
        <f>IF(OR(F7="",C7=""),"",COUNTIF(F$6:F7,"?*"))</f>
        <v/>
      </c>
    </row>
    <row r="8">
      <c r="B8" s="202" t="inlineStr">
        <is>
          <t>Alimentación</t>
        </is>
      </c>
      <c r="C8" s="225" t="inlineStr">
        <is>
          <t>Cenas compradas</t>
        </is>
      </c>
      <c r="D8" s="226" t="inlineStr">
        <is>
          <t>Gasto</t>
        </is>
      </c>
      <c r="E8" s="226" t="inlineStr">
        <is>
          <t>Variable</t>
        </is>
      </c>
      <c r="F8" s="225" t="inlineStr">
        <is>
          <t>Comida preparada</t>
        </is>
      </c>
      <c r="G8" s="226" t="inlineStr">
        <is>
          <t>Cena</t>
        </is>
      </c>
      <c r="L8" s="227">
        <f>IFERROR(INDEX(catCat,MATCH(3,catIdx,0))&amp;"","")</f>
        <v/>
      </c>
      <c r="M8" s="228">
        <f>IF(L8="","",IFERROR(INDEX(catTipo,MATCH(L8,catCat,0))&amp;"",""))</f>
        <v/>
      </c>
      <c r="P8">
        <f>IF(OR(B8="",C8=""),"",B8&amp;"|"&amp;C8)</f>
        <v/>
      </c>
      <c r="Q8">
        <f>IF(B8="","",IF(COUNTIF(B$6:B8,B8)=1,MAX(Q$5:Q7)+1,""))</f>
        <v/>
      </c>
      <c r="R8">
        <f>IF(OR(F8="",C8=""),"",COUNTIF(F$6:F8,"?*"))</f>
        <v/>
      </c>
    </row>
    <row r="9">
      <c r="B9" s="202" t="inlineStr">
        <is>
          <t>Alimentación</t>
        </is>
      </c>
      <c r="C9" s="225" t="inlineStr">
        <is>
          <t>Restaurantes</t>
        </is>
      </c>
      <c r="D9" s="226" t="inlineStr">
        <is>
          <t>Gasto</t>
        </is>
      </c>
      <c r="E9" s="226" t="inlineStr">
        <is>
          <t>Variable</t>
        </is>
      </c>
      <c r="F9" s="225" t="inlineStr">
        <is>
          <t>Comida preparada</t>
        </is>
      </c>
      <c r="G9" s="226" t="n"/>
      <c r="L9" s="227">
        <f>IFERROR(INDEX(catCat,MATCH(4,catIdx,0))&amp;"","")</f>
        <v/>
      </c>
      <c r="M9" s="228">
        <f>IF(L9="","",IFERROR(INDEX(catTipo,MATCH(L9,catCat,0))&amp;"",""))</f>
        <v/>
      </c>
      <c r="P9">
        <f>IF(OR(B9="",C9=""),"",B9&amp;"|"&amp;C9)</f>
        <v/>
      </c>
      <c r="Q9">
        <f>IF(B9="","",IF(COUNTIF(B$6:B9,B9)=1,MAX(Q$5:Q8)+1,""))</f>
        <v/>
      </c>
      <c r="R9">
        <f>IF(OR(F9="",C9=""),"",COUNTIF(F$6:F9,"?*"))</f>
        <v/>
      </c>
    </row>
    <row r="10">
      <c r="B10" s="202" t="inlineStr">
        <is>
          <t>Alimentación</t>
        </is>
      </c>
      <c r="C10" s="225" t="inlineStr">
        <is>
          <t>Delivery</t>
        </is>
      </c>
      <c r="D10" s="226" t="inlineStr">
        <is>
          <t>Gasto</t>
        </is>
      </c>
      <c r="E10" s="226" t="inlineStr">
        <is>
          <t>Variable</t>
        </is>
      </c>
      <c r="F10" s="225" t="inlineStr">
        <is>
          <t>Comida preparada</t>
        </is>
      </c>
      <c r="G10" s="226" t="n"/>
      <c r="L10" s="227">
        <f>IFERROR(INDEX(catCat,MATCH(5,catIdx,0))&amp;"","")</f>
        <v/>
      </c>
      <c r="M10" s="228">
        <f>IF(L10="","",IFERROR(INDEX(catTipo,MATCH(L10,catCat,0))&amp;"",""))</f>
        <v/>
      </c>
      <c r="P10">
        <f>IF(OR(B10="",C10=""),"",B10&amp;"|"&amp;C10)</f>
        <v/>
      </c>
      <c r="Q10">
        <f>IF(B10="","",IF(COUNTIF(B$6:B10,B10)=1,MAX(Q$5:Q9)+1,""))</f>
        <v/>
      </c>
      <c r="R10">
        <f>IF(OR(F10="",C10=""),"",COUNTIF(F$6:F10,"?*"))</f>
        <v/>
      </c>
    </row>
    <row r="11">
      <c r="B11" s="202" t="inlineStr">
        <is>
          <t>Alimentación</t>
        </is>
      </c>
      <c r="C11" s="225" t="inlineStr">
        <is>
          <t>Supermercado</t>
        </is>
      </c>
      <c r="D11" s="226" t="inlineStr">
        <is>
          <t>Gasto</t>
        </is>
      </c>
      <c r="E11" s="226" t="inlineStr">
        <is>
          <t>Variable</t>
        </is>
      </c>
      <c r="F11" s="225" t="inlineStr">
        <is>
          <t>Supermercado e ingredientes</t>
        </is>
      </c>
      <c r="G11" s="226" t="n"/>
      <c r="L11" s="227">
        <f>IFERROR(INDEX(catCat,MATCH(6,catIdx,0))&amp;"","")</f>
        <v/>
      </c>
      <c r="M11" s="228">
        <f>IF(L11="","",IFERROR(INDEX(catTipo,MATCH(L11,catCat,0))&amp;"",""))</f>
        <v/>
      </c>
      <c r="P11">
        <f>IF(OR(B11="",C11=""),"",B11&amp;"|"&amp;C11)</f>
        <v/>
      </c>
      <c r="Q11">
        <f>IF(B11="","",IF(COUNTIF(B$6:B11,B11)=1,MAX(Q$5:Q10)+1,""))</f>
        <v/>
      </c>
      <c r="R11">
        <f>IF(OR(F11="",C11=""),"",COUNTIF(F$6:F11,"?*"))</f>
        <v/>
      </c>
    </row>
    <row r="12">
      <c r="B12" s="202" t="inlineStr">
        <is>
          <t>Alimentación</t>
        </is>
      </c>
      <c r="C12" s="225" t="inlineStr">
        <is>
          <t>Ingredientes para cocinar</t>
        </is>
      </c>
      <c r="D12" s="226" t="inlineStr">
        <is>
          <t>Gasto</t>
        </is>
      </c>
      <c r="E12" s="226" t="inlineStr">
        <is>
          <t>Variable</t>
        </is>
      </c>
      <c r="F12" s="225" t="inlineStr">
        <is>
          <t>Supermercado e ingredientes</t>
        </is>
      </c>
      <c r="G12" s="226" t="n"/>
      <c r="L12" s="227">
        <f>IFERROR(INDEX(catCat,MATCH(7,catIdx,0))&amp;"","")</f>
        <v/>
      </c>
      <c r="M12" s="228">
        <f>IF(L12="","",IFERROR(INDEX(catTipo,MATCH(L12,catCat,0))&amp;"",""))</f>
        <v/>
      </c>
      <c r="P12">
        <f>IF(OR(B12="",C12=""),"",B12&amp;"|"&amp;C12)</f>
        <v/>
      </c>
      <c r="Q12">
        <f>IF(B12="","",IF(COUNTIF(B$6:B12,B12)=1,MAX(Q$5:Q11)+1,""))</f>
        <v/>
      </c>
      <c r="R12">
        <f>IF(OR(F12="",C12=""),"",COUNTIF(F$6:F12,"?*"))</f>
        <v/>
      </c>
    </row>
    <row r="13">
      <c r="B13" s="202" t="inlineStr">
        <is>
          <t>Alimentación</t>
        </is>
      </c>
      <c r="C13" s="225" t="inlineStr">
        <is>
          <t>Bebidas, snacks y otros consumos</t>
        </is>
      </c>
      <c r="D13" s="226" t="inlineStr">
        <is>
          <t>Gasto</t>
        </is>
      </c>
      <c r="E13" s="226" t="inlineStr">
        <is>
          <t>Variable</t>
        </is>
      </c>
      <c r="F13" s="225" t="inlineStr">
        <is>
          <t>Bebidas y snacks</t>
        </is>
      </c>
      <c r="G13" s="226" t="n"/>
      <c r="L13" s="227">
        <f>IFERROR(INDEX(catCat,MATCH(8,catIdx,0))&amp;"","")</f>
        <v/>
      </c>
      <c r="M13" s="228">
        <f>IF(L13="","",IFERROR(INDEX(catTipo,MATCH(L13,catCat,0))&amp;"",""))</f>
        <v/>
      </c>
      <c r="P13">
        <f>IF(OR(B13="",C13=""),"",B13&amp;"|"&amp;C13)</f>
        <v/>
      </c>
      <c r="Q13">
        <f>IF(B13="","",IF(COUNTIF(B$6:B13,B13)=1,MAX(Q$5:Q12)+1,""))</f>
        <v/>
      </c>
      <c r="R13">
        <f>IF(OR(F13="",C13=""),"",COUNTIF(F$6:F13,"?*"))</f>
        <v/>
      </c>
    </row>
    <row r="14">
      <c r="B14" s="202" t="inlineStr">
        <is>
          <t>Hogar y servicios</t>
        </is>
      </c>
      <c r="C14" s="225" t="inlineStr">
        <is>
          <t>Internet</t>
        </is>
      </c>
      <c r="D14" s="226" t="inlineStr">
        <is>
          <t>Gasto</t>
        </is>
      </c>
      <c r="E14" s="226" t="inlineStr">
        <is>
          <t>Fijo</t>
        </is>
      </c>
      <c r="F14" s="225" t="n"/>
      <c r="G14" s="226" t="n"/>
      <c r="L14" s="227">
        <f>IFERROR(INDEX(catCat,MATCH(9,catIdx,0))&amp;"","")</f>
        <v/>
      </c>
      <c r="M14" s="228">
        <f>IF(L14="","",IFERROR(INDEX(catTipo,MATCH(L14,catCat,0))&amp;"",""))</f>
        <v/>
      </c>
      <c r="P14">
        <f>IF(OR(B14="",C14=""),"",B14&amp;"|"&amp;C14)</f>
        <v/>
      </c>
      <c r="Q14">
        <f>IF(B14="","",IF(COUNTIF(B$6:B14,B14)=1,MAX(Q$5:Q13)+1,""))</f>
        <v/>
      </c>
      <c r="R14">
        <f>IF(OR(F14="",C14=""),"",COUNTIF(F$6:F14,"?*"))</f>
        <v/>
      </c>
    </row>
    <row r="15">
      <c r="B15" s="202" t="inlineStr">
        <is>
          <t>Hogar y servicios</t>
        </is>
      </c>
      <c r="C15" s="225" t="inlineStr">
        <is>
          <t>Electricidad</t>
        </is>
      </c>
      <c r="D15" s="226" t="inlineStr">
        <is>
          <t>Gasto</t>
        </is>
      </c>
      <c r="E15" s="226" t="inlineStr">
        <is>
          <t>Fijo</t>
        </is>
      </c>
      <c r="F15" s="225" t="n"/>
      <c r="G15" s="226" t="n"/>
      <c r="L15" s="227">
        <f>IFERROR(INDEX(catCat,MATCH(10,catIdx,0))&amp;"","")</f>
        <v/>
      </c>
      <c r="M15" s="228">
        <f>IF(L15="","",IFERROR(INDEX(catTipo,MATCH(L15,catCat,0))&amp;"",""))</f>
        <v/>
      </c>
      <c r="P15">
        <f>IF(OR(B15="",C15=""),"",B15&amp;"|"&amp;C15)</f>
        <v/>
      </c>
      <c r="Q15">
        <f>IF(B15="","",IF(COUNTIF(B$6:B15,B15)=1,MAX(Q$5:Q14)+1,""))</f>
        <v/>
      </c>
      <c r="R15">
        <f>IF(OR(F15="",C15=""),"",COUNTIF(F$6:F15,"?*"))</f>
        <v/>
      </c>
    </row>
    <row r="16">
      <c r="B16" s="202" t="inlineStr">
        <is>
          <t>Hogar y servicios</t>
        </is>
      </c>
      <c r="C16" s="225" t="inlineStr">
        <is>
          <t>Agua</t>
        </is>
      </c>
      <c r="D16" s="226" t="inlineStr">
        <is>
          <t>Gasto</t>
        </is>
      </c>
      <c r="E16" s="226" t="inlineStr">
        <is>
          <t>Fijo</t>
        </is>
      </c>
      <c r="F16" s="225" t="n"/>
      <c r="G16" s="226" t="n"/>
      <c r="L16" s="227">
        <f>IFERROR(INDEX(catCat,MATCH(11,catIdx,0))&amp;"","")</f>
        <v/>
      </c>
      <c r="M16" s="228">
        <f>IF(L16="","",IFERROR(INDEX(catTipo,MATCH(L16,catCat,0))&amp;"",""))</f>
        <v/>
      </c>
      <c r="P16">
        <f>IF(OR(B16="",C16=""),"",B16&amp;"|"&amp;C16)</f>
        <v/>
      </c>
      <c r="Q16">
        <f>IF(B16="","",IF(COUNTIF(B$6:B16,B16)=1,MAX(Q$5:Q15)+1,""))</f>
        <v/>
      </c>
      <c r="R16">
        <f>IF(OR(F16="",C16=""),"",COUNTIF(F$6:F16,"?*"))</f>
        <v/>
      </c>
    </row>
    <row r="17">
      <c r="B17" s="202" t="inlineStr">
        <is>
          <t>Hogar y servicios</t>
        </is>
      </c>
      <c r="C17" s="225" t="inlineStr">
        <is>
          <t>Compras del hogar</t>
        </is>
      </c>
      <c r="D17" s="226" t="inlineStr">
        <is>
          <t>Gasto</t>
        </is>
      </c>
      <c r="E17" s="226" t="inlineStr">
        <is>
          <t>Variable</t>
        </is>
      </c>
      <c r="F17" s="225" t="n"/>
      <c r="G17" s="226" t="n"/>
      <c r="L17" s="227">
        <f>IFERROR(INDEX(catCat,MATCH(12,catIdx,0))&amp;"","")</f>
        <v/>
      </c>
      <c r="M17" s="228">
        <f>IF(L17="","",IFERROR(INDEX(catTipo,MATCH(L17,catCat,0))&amp;"",""))</f>
        <v/>
      </c>
      <c r="P17">
        <f>IF(OR(B17="",C17=""),"",B17&amp;"|"&amp;C17)</f>
        <v/>
      </c>
      <c r="Q17">
        <f>IF(B17="","",IF(COUNTIF(B$6:B17,B17)=1,MAX(Q$5:Q16)+1,""))</f>
        <v/>
      </c>
      <c r="R17">
        <f>IF(OR(F17="",C17=""),"",COUNTIF(F$6:F17,"?*"))</f>
        <v/>
      </c>
    </row>
    <row r="18">
      <c r="B18" s="202" t="inlineStr">
        <is>
          <t>Hogar y servicios</t>
        </is>
      </c>
      <c r="C18" s="225" t="inlineStr">
        <is>
          <t>Mantenimiento</t>
        </is>
      </c>
      <c r="D18" s="226" t="inlineStr">
        <is>
          <t>Gasto</t>
        </is>
      </c>
      <c r="E18" s="226" t="inlineStr">
        <is>
          <t>Variable</t>
        </is>
      </c>
      <c r="F18" s="225" t="n"/>
      <c r="G18" s="226" t="n"/>
      <c r="L18" s="227">
        <f>IFERROR(INDEX(catCat,MATCH(13,catIdx,0))&amp;"","")</f>
        <v/>
      </c>
      <c r="M18" s="228">
        <f>IF(L18="","",IFERROR(INDEX(catTipo,MATCH(L18,catCat,0))&amp;"",""))</f>
        <v/>
      </c>
      <c r="P18">
        <f>IF(OR(B18="",C18=""),"",B18&amp;"|"&amp;C18)</f>
        <v/>
      </c>
      <c r="Q18">
        <f>IF(B18="","",IF(COUNTIF(B$6:B18,B18)=1,MAX(Q$5:Q17)+1,""))</f>
        <v/>
      </c>
      <c r="R18">
        <f>IF(OR(F18="",C18=""),"",COUNTIF(F$6:F18,"?*"))</f>
        <v/>
      </c>
    </row>
    <row r="19">
      <c r="B19" s="202" t="inlineStr">
        <is>
          <t>Hogar y servicios</t>
        </is>
      </c>
      <c r="C19" s="225" t="inlineStr">
        <is>
          <t>Otros servicios</t>
        </is>
      </c>
      <c r="D19" s="226" t="inlineStr">
        <is>
          <t>Gasto</t>
        </is>
      </c>
      <c r="E19" s="226" t="inlineStr">
        <is>
          <t>Variable</t>
        </is>
      </c>
      <c r="F19" s="225" t="n"/>
      <c r="G19" s="226" t="n"/>
      <c r="L19" s="227">
        <f>IFERROR(INDEX(catCat,MATCH(14,catIdx,0))&amp;"","")</f>
        <v/>
      </c>
      <c r="M19" s="228">
        <f>IF(L19="","",IFERROR(INDEX(catTipo,MATCH(L19,catCat,0))&amp;"",""))</f>
        <v/>
      </c>
      <c r="P19">
        <f>IF(OR(B19="",C19=""),"",B19&amp;"|"&amp;C19)</f>
        <v/>
      </c>
      <c r="Q19">
        <f>IF(B19="","",IF(COUNTIF(B$6:B19,B19)=1,MAX(Q$5:Q18)+1,""))</f>
        <v/>
      </c>
      <c r="R19">
        <f>IF(OR(F19="",C19=""),"",COUNTIF(F$6:F19,"?*"))</f>
        <v/>
      </c>
    </row>
    <row r="20">
      <c r="B20" s="202" t="inlineStr">
        <is>
          <t>Transporte y vehículo</t>
        </is>
      </c>
      <c r="C20" s="225" t="inlineStr">
        <is>
          <t>Combustible</t>
        </is>
      </c>
      <c r="D20" s="226" t="inlineStr">
        <is>
          <t>Gasto</t>
        </is>
      </c>
      <c r="E20" s="226" t="inlineStr">
        <is>
          <t>Variable</t>
        </is>
      </c>
      <c r="F20" s="225" t="n"/>
      <c r="G20" s="226" t="n"/>
      <c r="L20" s="227">
        <f>IFERROR(INDEX(catCat,MATCH(15,catIdx,0))&amp;"","")</f>
        <v/>
      </c>
      <c r="M20" s="228">
        <f>IF(L20="","",IFERROR(INDEX(catTipo,MATCH(L20,catCat,0))&amp;"",""))</f>
        <v/>
      </c>
      <c r="P20">
        <f>IF(OR(B20="",C20=""),"",B20&amp;"|"&amp;C20)</f>
        <v/>
      </c>
      <c r="Q20">
        <f>IF(B20="","",IF(COUNTIF(B$6:B20,B20)=1,MAX(Q$5:Q19)+1,""))</f>
        <v/>
      </c>
      <c r="R20">
        <f>IF(OR(F20="",C20=""),"",COUNTIF(F$6:F20,"?*"))</f>
        <v/>
      </c>
    </row>
    <row r="21">
      <c r="B21" s="202" t="inlineStr">
        <is>
          <t>Transporte y vehículo</t>
        </is>
      </c>
      <c r="C21" s="225" t="inlineStr">
        <is>
          <t>Mantenimiento</t>
        </is>
      </c>
      <c r="D21" s="226" t="inlineStr">
        <is>
          <t>Gasto</t>
        </is>
      </c>
      <c r="E21" s="226" t="inlineStr">
        <is>
          <t>Variable</t>
        </is>
      </c>
      <c r="F21" s="225" t="n"/>
      <c r="G21" s="226" t="n"/>
      <c r="L21" s="227">
        <f>IFERROR(INDEX(catCat,MATCH(16,catIdx,0))&amp;"","")</f>
        <v/>
      </c>
      <c r="M21" s="228">
        <f>IF(L21="","",IFERROR(INDEX(catTipo,MATCH(L21,catCat,0))&amp;"",""))</f>
        <v/>
      </c>
      <c r="P21">
        <f>IF(OR(B21="",C21=""),"",B21&amp;"|"&amp;C21)</f>
        <v/>
      </c>
      <c r="Q21">
        <f>IF(B21="","",IF(COUNTIF(B$6:B21,B21)=1,MAX(Q$5:Q20)+1,""))</f>
        <v/>
      </c>
      <c r="R21">
        <f>IF(OR(F21="",C21=""),"",COUNTIF(F$6:F21,"?*"))</f>
        <v/>
      </c>
    </row>
    <row r="22">
      <c r="B22" s="202" t="inlineStr">
        <is>
          <t>Transporte y vehículo</t>
        </is>
      </c>
      <c r="C22" s="225" t="inlineStr">
        <is>
          <t>Reparaciones</t>
        </is>
      </c>
      <c r="D22" s="226" t="inlineStr">
        <is>
          <t>Gasto</t>
        </is>
      </c>
      <c r="E22" s="226" t="inlineStr">
        <is>
          <t>Variable</t>
        </is>
      </c>
      <c r="F22" s="225" t="n"/>
      <c r="G22" s="226" t="n"/>
      <c r="L22" s="227">
        <f>IFERROR(INDEX(catCat,MATCH(17,catIdx,0))&amp;"","")</f>
        <v/>
      </c>
      <c r="M22" s="228">
        <f>IF(L22="","",IFERROR(INDEX(catTipo,MATCH(L22,catCat,0))&amp;"",""))</f>
        <v/>
      </c>
      <c r="P22">
        <f>IF(OR(B22="",C22=""),"",B22&amp;"|"&amp;C22)</f>
        <v/>
      </c>
      <c r="Q22">
        <f>IF(B22="","",IF(COUNTIF(B$6:B22,B22)=1,MAX(Q$5:Q21)+1,""))</f>
        <v/>
      </c>
      <c r="R22">
        <f>IF(OR(F22="",C22=""),"",COUNTIF(F$6:F22,"?*"))</f>
        <v/>
      </c>
    </row>
    <row r="23">
      <c r="B23" s="202" t="inlineStr">
        <is>
          <t>Transporte y vehículo</t>
        </is>
      </c>
      <c r="C23" s="225" t="inlineStr">
        <is>
          <t>Seguros</t>
        </is>
      </c>
      <c r="D23" s="226" t="inlineStr">
        <is>
          <t>Gasto</t>
        </is>
      </c>
      <c r="E23" s="226" t="inlineStr">
        <is>
          <t>Fijo</t>
        </is>
      </c>
      <c r="F23" s="225" t="n"/>
      <c r="G23" s="226" t="n"/>
      <c r="L23" s="227">
        <f>IFERROR(INDEX(catCat,MATCH(18,catIdx,0))&amp;"","")</f>
        <v/>
      </c>
      <c r="M23" s="228">
        <f>IF(L23="","",IFERROR(INDEX(catTipo,MATCH(L23,catCat,0))&amp;"",""))</f>
        <v/>
      </c>
      <c r="P23">
        <f>IF(OR(B23="",C23=""),"",B23&amp;"|"&amp;C23)</f>
        <v/>
      </c>
      <c r="Q23">
        <f>IF(B23="","",IF(COUNTIF(B$6:B23,B23)=1,MAX(Q$5:Q22)+1,""))</f>
        <v/>
      </c>
      <c r="R23">
        <f>IF(OR(F23="",C23=""),"",COUNTIF(F$6:F23,"?*"))</f>
        <v/>
      </c>
    </row>
    <row r="24">
      <c r="B24" s="202" t="inlineStr">
        <is>
          <t>Transporte y vehículo</t>
        </is>
      </c>
      <c r="C24" s="225" t="inlineStr">
        <is>
          <t>Parqueos y peajes</t>
        </is>
      </c>
      <c r="D24" s="226" t="inlineStr">
        <is>
          <t>Gasto</t>
        </is>
      </c>
      <c r="E24" s="226" t="inlineStr">
        <is>
          <t>Variable</t>
        </is>
      </c>
      <c r="F24" s="225" t="n"/>
      <c r="G24" s="226" t="n"/>
      <c r="L24" s="227">
        <f>IFERROR(INDEX(catCat,MATCH(19,catIdx,0))&amp;"","")</f>
        <v/>
      </c>
      <c r="M24" s="228">
        <f>IF(L24="","",IFERROR(INDEX(catTipo,MATCH(L24,catCat,0))&amp;"",""))</f>
        <v/>
      </c>
      <c r="P24">
        <f>IF(OR(B24="",C24=""),"",B24&amp;"|"&amp;C24)</f>
        <v/>
      </c>
      <c r="Q24">
        <f>IF(B24="","",IF(COUNTIF(B$6:B24,B24)=1,MAX(Q$5:Q23)+1,""))</f>
        <v/>
      </c>
      <c r="R24">
        <f>IF(OR(F24="",C24=""),"",COUNTIF(F$6:F24,"?*"))</f>
        <v/>
      </c>
    </row>
    <row r="25">
      <c r="B25" s="202" t="inlineStr">
        <is>
          <t>Tecnología y suscripciones</t>
        </is>
      </c>
      <c r="C25" s="225" t="inlineStr">
        <is>
          <t>Herramientas de inteligencia artificial</t>
        </is>
      </c>
      <c r="D25" s="226" t="inlineStr">
        <is>
          <t>Gasto</t>
        </is>
      </c>
      <c r="E25" s="226" t="inlineStr">
        <is>
          <t>Fijo</t>
        </is>
      </c>
      <c r="F25" s="225" t="n"/>
      <c r="G25" s="226" t="n"/>
      <c r="L25" s="227">
        <f>IFERROR(INDEX(catCat,MATCH(20,catIdx,0))&amp;"","")</f>
        <v/>
      </c>
      <c r="M25" s="228">
        <f>IF(L25="","",IFERROR(INDEX(catTipo,MATCH(L25,catCat,0))&amp;"",""))</f>
        <v/>
      </c>
      <c r="P25">
        <f>IF(OR(B25="",C25=""),"",B25&amp;"|"&amp;C25)</f>
        <v/>
      </c>
      <c r="Q25">
        <f>IF(B25="","",IF(COUNTIF(B$6:B25,B25)=1,MAX(Q$5:Q24)+1,""))</f>
        <v/>
      </c>
      <c r="R25">
        <f>IF(OR(F25="",C25=""),"",COUNTIF(F$6:F25,"?*"))</f>
        <v/>
      </c>
    </row>
    <row r="26">
      <c r="B26" s="202" t="inlineStr">
        <is>
          <t>Tecnología y suscripciones</t>
        </is>
      </c>
      <c r="C26" s="225" t="inlineStr">
        <is>
          <t>Servicios digitales</t>
        </is>
      </c>
      <c r="D26" s="226" t="inlineStr">
        <is>
          <t>Gasto</t>
        </is>
      </c>
      <c r="E26" s="226" t="inlineStr">
        <is>
          <t>Fijo</t>
        </is>
      </c>
      <c r="F26" s="225" t="n"/>
      <c r="G26" s="226" t="n"/>
      <c r="L26" s="227">
        <f>IFERROR(INDEX(catCat,MATCH(21,catIdx,0))&amp;"","")</f>
        <v/>
      </c>
      <c r="M26" s="228">
        <f>IF(L26="","",IFERROR(INDEX(catTipo,MATCH(L26,catCat,0))&amp;"",""))</f>
        <v/>
      </c>
      <c r="P26">
        <f>IF(OR(B26="",C26=""),"",B26&amp;"|"&amp;C26)</f>
        <v/>
      </c>
      <c r="Q26">
        <f>IF(B26="","",IF(COUNTIF(B$6:B26,B26)=1,MAX(Q$5:Q25)+1,""))</f>
        <v/>
      </c>
      <c r="R26">
        <f>IF(OR(F26="",C26=""),"",COUNTIF(F$6:F26,"?*"))</f>
        <v/>
      </c>
    </row>
    <row r="27">
      <c r="B27" s="202" t="inlineStr">
        <is>
          <t>Tecnología y suscripciones</t>
        </is>
      </c>
      <c r="C27" s="225" t="inlineStr">
        <is>
          <t>Software</t>
        </is>
      </c>
      <c r="D27" s="226" t="inlineStr">
        <is>
          <t>Gasto</t>
        </is>
      </c>
      <c r="E27" s="226" t="inlineStr">
        <is>
          <t>Fijo</t>
        </is>
      </c>
      <c r="F27" s="225" t="n"/>
      <c r="G27" s="226" t="n"/>
      <c r="L27" s="227">
        <f>IFERROR(INDEX(catCat,MATCH(22,catIdx,0))&amp;"","")</f>
        <v/>
      </c>
      <c r="M27" s="228">
        <f>IF(L27="","",IFERROR(INDEX(catTipo,MATCH(L27,catCat,0))&amp;"",""))</f>
        <v/>
      </c>
      <c r="P27">
        <f>IF(OR(B27="",C27=""),"",B27&amp;"|"&amp;C27)</f>
        <v/>
      </c>
      <c r="Q27">
        <f>IF(B27="","",IF(COUNTIF(B$6:B27,B27)=1,MAX(Q$5:Q26)+1,""))</f>
        <v/>
      </c>
      <c r="R27">
        <f>IF(OR(F27="",C27=""),"",COUNTIF(F$6:F27,"?*"))</f>
        <v/>
      </c>
    </row>
    <row r="28">
      <c r="B28" s="202" t="inlineStr">
        <is>
          <t>Tecnología y suscripciones</t>
        </is>
      </c>
      <c r="C28" s="225" t="inlineStr">
        <is>
          <t>Entretenimiento</t>
        </is>
      </c>
      <c r="D28" s="226" t="inlineStr">
        <is>
          <t>Gasto</t>
        </is>
      </c>
      <c r="E28" s="226" t="inlineStr">
        <is>
          <t>Fijo</t>
        </is>
      </c>
      <c r="F28" s="225" t="n"/>
      <c r="G28" s="226" t="n"/>
      <c r="L28" s="227">
        <f>IFERROR(INDEX(catCat,MATCH(23,catIdx,0))&amp;"","")</f>
        <v/>
      </c>
      <c r="M28" s="228">
        <f>IF(L28="","",IFERROR(INDEX(catTipo,MATCH(L28,catCat,0))&amp;"",""))</f>
        <v/>
      </c>
      <c r="P28">
        <f>IF(OR(B28="",C28=""),"",B28&amp;"|"&amp;C28)</f>
        <v/>
      </c>
      <c r="Q28">
        <f>IF(B28="","",IF(COUNTIF(B$6:B28,B28)=1,MAX(Q$5:Q27)+1,""))</f>
        <v/>
      </c>
      <c r="R28">
        <f>IF(OR(F28="",C28=""),"",COUNTIF(F$6:F28,"?*"))</f>
        <v/>
      </c>
    </row>
    <row r="29">
      <c r="B29" s="202" t="inlineStr">
        <is>
          <t>Tecnología y suscripciones</t>
        </is>
      </c>
      <c r="C29" s="225" t="inlineStr">
        <is>
          <t>Otras suscripciones</t>
        </is>
      </c>
      <c r="D29" s="226" t="inlineStr">
        <is>
          <t>Gasto</t>
        </is>
      </c>
      <c r="E29" s="226" t="inlineStr">
        <is>
          <t>Fijo</t>
        </is>
      </c>
      <c r="F29" s="225" t="n"/>
      <c r="G29" s="226" t="n"/>
      <c r="L29" s="227">
        <f>IFERROR(INDEX(catCat,MATCH(24,catIdx,0))&amp;"","")</f>
        <v/>
      </c>
      <c r="M29" s="228">
        <f>IF(L29="","",IFERROR(INDEX(catTipo,MATCH(L29,catCat,0))&amp;"",""))</f>
        <v/>
      </c>
      <c r="P29">
        <f>IF(OR(B29="",C29=""),"",B29&amp;"|"&amp;C29)</f>
        <v/>
      </c>
      <c r="Q29">
        <f>IF(B29="","",IF(COUNTIF(B$6:B29,B29)=1,MAX(Q$5:Q28)+1,""))</f>
        <v/>
      </c>
      <c r="R29">
        <f>IF(OR(F29="",C29=""),"",COUNTIF(F$6:F29,"?*"))</f>
        <v/>
      </c>
    </row>
    <row r="30">
      <c r="B30" s="202" t="inlineStr">
        <is>
          <t>Trading y actividades financieras</t>
        </is>
      </c>
      <c r="C30" s="225" t="inlineStr">
        <is>
          <t>Evaluaciones y cuentas de trading</t>
        </is>
      </c>
      <c r="D30" s="226" t="inlineStr">
        <is>
          <t>Gasto</t>
        </is>
      </c>
      <c r="E30" s="226" t="inlineStr">
        <is>
          <t>Variable</t>
        </is>
      </c>
      <c r="F30" s="225" t="n"/>
      <c r="G30" s="226" t="n"/>
      <c r="L30" s="227">
        <f>IFERROR(INDEX(catCat,MATCH(25,catIdx,0))&amp;"","")</f>
        <v/>
      </c>
      <c r="M30" s="228">
        <f>IF(L30="","",IFERROR(INDEX(catTipo,MATCH(L30,catCat,0))&amp;"",""))</f>
        <v/>
      </c>
      <c r="P30">
        <f>IF(OR(B30="",C30=""),"",B30&amp;"|"&amp;C30)</f>
        <v/>
      </c>
      <c r="Q30">
        <f>IF(B30="","",IF(COUNTIF(B$6:B30,B30)=1,MAX(Q$5:Q29)+1,""))</f>
        <v/>
      </c>
      <c r="R30">
        <f>IF(OR(F30="",C30=""),"",COUNTIF(F$6:F30,"?*"))</f>
        <v/>
      </c>
    </row>
    <row r="31">
      <c r="B31" s="202" t="inlineStr">
        <is>
          <t>Trading y actividades financieras</t>
        </is>
      </c>
      <c r="C31" s="225" t="inlineStr">
        <is>
          <t>Plataformas y herramientas</t>
        </is>
      </c>
      <c r="D31" s="226" t="inlineStr">
        <is>
          <t>Gasto</t>
        </is>
      </c>
      <c r="E31" s="226" t="inlineStr">
        <is>
          <t>Fijo</t>
        </is>
      </c>
      <c r="F31" s="225" t="n"/>
      <c r="G31" s="226" t="n"/>
      <c r="L31" s="227">
        <f>IFERROR(INDEX(catCat,MATCH(26,catIdx,0))&amp;"","")</f>
        <v/>
      </c>
      <c r="M31" s="228">
        <f>IF(L31="","",IFERROR(INDEX(catTipo,MATCH(L31,catCat,0))&amp;"",""))</f>
        <v/>
      </c>
      <c r="P31">
        <f>IF(OR(B31="",C31=""),"",B31&amp;"|"&amp;C31)</f>
        <v/>
      </c>
      <c r="Q31">
        <f>IF(B31="","",IF(COUNTIF(B$6:B31,B31)=1,MAX(Q$5:Q30)+1,""))</f>
        <v/>
      </c>
      <c r="R31">
        <f>IF(OR(F31="",C31=""),"",COUNTIF(F$6:F31,"?*"))</f>
        <v/>
      </c>
    </row>
    <row r="32">
      <c r="B32" s="202" t="inlineStr">
        <is>
          <t>Trading y actividades financieras</t>
        </is>
      </c>
      <c r="C32" s="225" t="inlineStr">
        <is>
          <t>Comisiones</t>
        </is>
      </c>
      <c r="D32" s="226" t="inlineStr">
        <is>
          <t>Gasto</t>
        </is>
      </c>
      <c r="E32" s="226" t="inlineStr">
        <is>
          <t>Variable</t>
        </is>
      </c>
      <c r="F32" s="225" t="n"/>
      <c r="G32" s="226" t="n"/>
      <c r="L32" s="227">
        <f>IFERROR(INDEX(catCat,MATCH(27,catIdx,0))&amp;"","")</f>
        <v/>
      </c>
      <c r="M32" s="228">
        <f>IF(L32="","",IFERROR(INDEX(catTipo,MATCH(L32,catCat,0))&amp;"",""))</f>
        <v/>
      </c>
      <c r="P32">
        <f>IF(OR(B32="",C32=""),"",B32&amp;"|"&amp;C32)</f>
        <v/>
      </c>
      <c r="Q32">
        <f>IF(B32="","",IF(COUNTIF(B$6:B32,B32)=1,MAX(Q$5:Q31)+1,""))</f>
        <v/>
      </c>
      <c r="R32">
        <f>IF(OR(F32="",C32=""),"",COUNTIF(F$6:F32,"?*"))</f>
        <v/>
      </c>
    </row>
    <row r="33">
      <c r="B33" s="202" t="inlineStr">
        <is>
          <t>Trading y actividades financieras</t>
        </is>
      </c>
      <c r="C33" s="225" t="inlineStr">
        <is>
          <t>Depósitos y retiros</t>
        </is>
      </c>
      <c r="D33" s="226" t="inlineStr">
        <is>
          <t>Gasto</t>
        </is>
      </c>
      <c r="E33" s="226" t="inlineStr">
        <is>
          <t>Variable</t>
        </is>
      </c>
      <c r="F33" s="225" t="n"/>
      <c r="G33" s="226" t="n"/>
      <c r="L33" s="227">
        <f>IFERROR(INDEX(catCat,MATCH(28,catIdx,0))&amp;"","")</f>
        <v/>
      </c>
      <c r="M33" s="228">
        <f>IF(L33="","",IFERROR(INDEX(catTipo,MATCH(L33,catCat,0))&amp;"",""))</f>
        <v/>
      </c>
      <c r="P33">
        <f>IF(OR(B33="",C33=""),"",B33&amp;"|"&amp;C33)</f>
        <v/>
      </c>
      <c r="Q33">
        <f>IF(B33="","",IF(COUNTIF(B$6:B33,B33)=1,MAX(Q$5:Q32)+1,""))</f>
        <v/>
      </c>
      <c r="R33">
        <f>IF(OR(F33="",C33=""),"",COUNTIF(F$6:F33,"?*"))</f>
        <v/>
      </c>
    </row>
    <row r="34">
      <c r="B34" s="202" t="inlineStr">
        <is>
          <t>Trading y actividades financieras</t>
        </is>
      </c>
      <c r="C34" s="225" t="inlineStr">
        <is>
          <t>Ganancias y pérdidas realizadas</t>
        </is>
      </c>
      <c r="D34" s="226" t="inlineStr">
        <is>
          <t>Gasto</t>
        </is>
      </c>
      <c r="E34" s="226" t="inlineStr">
        <is>
          <t>Variable</t>
        </is>
      </c>
      <c r="F34" s="225" t="n"/>
      <c r="G34" s="226" t="n"/>
      <c r="L34" s="227">
        <f>IFERROR(INDEX(catCat,MATCH(29,catIdx,0))&amp;"","")</f>
        <v/>
      </c>
      <c r="M34" s="228">
        <f>IF(L34="","",IFERROR(INDEX(catTipo,MATCH(L34,catCat,0))&amp;"",""))</f>
        <v/>
      </c>
      <c r="P34">
        <f>IF(OR(B34="",C34=""),"",B34&amp;"|"&amp;C34)</f>
        <v/>
      </c>
      <c r="Q34">
        <f>IF(B34="","",IF(COUNTIF(B$6:B34,B34)=1,MAX(Q$5:Q33)+1,""))</f>
        <v/>
      </c>
      <c r="R34">
        <f>IF(OR(F34="",C34=""),"",COUNTIF(F$6:F34,"?*"))</f>
        <v/>
      </c>
    </row>
    <row r="35">
      <c r="B35" s="202" t="inlineStr">
        <is>
          <t>Salud</t>
        </is>
      </c>
      <c r="C35" s="225" t="inlineStr">
        <is>
          <t>Consultas médicas</t>
        </is>
      </c>
      <c r="D35" s="226" t="inlineStr">
        <is>
          <t>Gasto</t>
        </is>
      </c>
      <c r="E35" s="226" t="inlineStr">
        <is>
          <t>Variable</t>
        </is>
      </c>
      <c r="F35" s="225" t="n"/>
      <c r="G35" s="226" t="n"/>
      <c r="L35" s="227">
        <f>IFERROR(INDEX(catCat,MATCH(30,catIdx,0))&amp;"","")</f>
        <v/>
      </c>
      <c r="M35" s="228">
        <f>IF(L35="","",IFERROR(INDEX(catTipo,MATCH(L35,catCat,0))&amp;"",""))</f>
        <v/>
      </c>
      <c r="P35">
        <f>IF(OR(B35="",C35=""),"",B35&amp;"|"&amp;C35)</f>
        <v/>
      </c>
      <c r="Q35">
        <f>IF(B35="","",IF(COUNTIF(B$6:B35,B35)=1,MAX(Q$5:Q34)+1,""))</f>
        <v/>
      </c>
      <c r="R35">
        <f>IF(OR(F35="",C35=""),"",COUNTIF(F$6:F35,"?*"))</f>
        <v/>
      </c>
    </row>
    <row r="36">
      <c r="B36" s="202" t="inlineStr">
        <is>
          <t>Salud</t>
        </is>
      </c>
      <c r="C36" s="225" t="inlineStr">
        <is>
          <t>Medicamentos y farmacia</t>
        </is>
      </c>
      <c r="D36" s="226" t="inlineStr">
        <is>
          <t>Gasto</t>
        </is>
      </c>
      <c r="E36" s="226" t="inlineStr">
        <is>
          <t>Variable</t>
        </is>
      </c>
      <c r="F36" s="225" t="n"/>
      <c r="G36" s="226" t="n"/>
      <c r="L36" s="227">
        <f>IFERROR(INDEX(catCat,MATCH(31,catIdx,0))&amp;"","")</f>
        <v/>
      </c>
      <c r="M36" s="228">
        <f>IF(L36="","",IFERROR(INDEX(catTipo,MATCH(L36,catCat,0))&amp;"",""))</f>
        <v/>
      </c>
      <c r="P36">
        <f>IF(OR(B36="",C36=""),"",B36&amp;"|"&amp;C36)</f>
        <v/>
      </c>
      <c r="Q36">
        <f>IF(B36="","",IF(COUNTIF(B$6:B36,B36)=1,MAX(Q$5:Q35)+1,""))</f>
        <v/>
      </c>
      <c r="R36">
        <f>IF(OR(F36="",C36=""),"",COUNTIF(F$6:F36,"?*"))</f>
        <v/>
      </c>
    </row>
    <row r="37">
      <c r="B37" s="202" t="inlineStr">
        <is>
          <t>Salud</t>
        </is>
      </c>
      <c r="C37" s="225" t="inlineStr">
        <is>
          <t>Seguro médico</t>
        </is>
      </c>
      <c r="D37" s="226" t="inlineStr">
        <is>
          <t>Gasto</t>
        </is>
      </c>
      <c r="E37" s="226" t="inlineStr">
        <is>
          <t>Fijo</t>
        </is>
      </c>
      <c r="F37" s="225" t="n"/>
      <c r="G37" s="226" t="n"/>
      <c r="L37" s="227">
        <f>IFERROR(INDEX(catCat,MATCH(32,catIdx,0))&amp;"","")</f>
        <v/>
      </c>
      <c r="M37" s="228">
        <f>IF(L37="","",IFERROR(INDEX(catTipo,MATCH(L37,catCat,0))&amp;"",""))</f>
        <v/>
      </c>
      <c r="P37">
        <f>IF(OR(B37="",C37=""),"",B37&amp;"|"&amp;C37)</f>
        <v/>
      </c>
      <c r="Q37">
        <f>IF(B37="","",IF(COUNTIF(B$6:B37,B37)=1,MAX(Q$5:Q36)+1,""))</f>
        <v/>
      </c>
      <c r="R37">
        <f>IF(OR(F37="",C37=""),"",COUNTIF(F$6:F37,"?*"))</f>
        <v/>
      </c>
    </row>
    <row r="38">
      <c r="B38" s="202" t="inlineStr">
        <is>
          <t>Salud</t>
        </is>
      </c>
      <c r="C38" s="225" t="inlineStr">
        <is>
          <t>Gimnasio y bienestar</t>
        </is>
      </c>
      <c r="D38" s="226" t="inlineStr">
        <is>
          <t>Gasto</t>
        </is>
      </c>
      <c r="E38" s="226" t="inlineStr">
        <is>
          <t>Fijo</t>
        </is>
      </c>
      <c r="F38" s="225" t="n"/>
      <c r="G38" s="226" t="n"/>
      <c r="L38" s="227">
        <f>IFERROR(INDEX(catCat,MATCH(33,catIdx,0))&amp;"","")</f>
        <v/>
      </c>
      <c r="M38" s="228">
        <f>IF(L38="","",IFERROR(INDEX(catTipo,MATCH(L38,catCat,0))&amp;"",""))</f>
        <v/>
      </c>
      <c r="P38">
        <f>IF(OR(B38="",C38=""),"",B38&amp;"|"&amp;C38)</f>
        <v/>
      </c>
      <c r="Q38">
        <f>IF(B38="","",IF(COUNTIF(B$6:B38,B38)=1,MAX(Q$5:Q37)+1,""))</f>
        <v/>
      </c>
      <c r="R38">
        <f>IF(OR(F38="",C38=""),"",COUNTIF(F$6:F38,"?*"))</f>
        <v/>
      </c>
    </row>
    <row r="39">
      <c r="B39" s="202" t="inlineStr">
        <is>
          <t>Educación</t>
        </is>
      </c>
      <c r="C39" s="225" t="inlineStr">
        <is>
          <t>Cursos y certificaciones</t>
        </is>
      </c>
      <c r="D39" s="226" t="inlineStr">
        <is>
          <t>Gasto</t>
        </is>
      </c>
      <c r="E39" s="226" t="inlineStr">
        <is>
          <t>Variable</t>
        </is>
      </c>
      <c r="F39" s="225" t="n"/>
      <c r="G39" s="226" t="n"/>
      <c r="L39" s="227">
        <f>IFERROR(INDEX(catCat,MATCH(34,catIdx,0))&amp;"","")</f>
        <v/>
      </c>
      <c r="M39" s="228">
        <f>IF(L39="","",IFERROR(INDEX(catTipo,MATCH(L39,catCat,0))&amp;"",""))</f>
        <v/>
      </c>
      <c r="P39">
        <f>IF(OR(B39="",C39=""),"",B39&amp;"|"&amp;C39)</f>
        <v/>
      </c>
      <c r="Q39">
        <f>IF(B39="","",IF(COUNTIF(B$6:B39,B39)=1,MAX(Q$5:Q38)+1,""))</f>
        <v/>
      </c>
      <c r="R39">
        <f>IF(OR(F39="",C39=""),"",COUNTIF(F$6:F39,"?*"))</f>
        <v/>
      </c>
    </row>
    <row r="40">
      <c r="B40" s="202" t="inlineStr">
        <is>
          <t>Educación</t>
        </is>
      </c>
      <c r="C40" s="225" t="inlineStr">
        <is>
          <t>Libros y materiales</t>
        </is>
      </c>
      <c r="D40" s="226" t="inlineStr">
        <is>
          <t>Gasto</t>
        </is>
      </c>
      <c r="E40" s="226" t="inlineStr">
        <is>
          <t>Variable</t>
        </is>
      </c>
      <c r="F40" s="225" t="n"/>
      <c r="G40" s="226" t="n"/>
      <c r="L40" s="227">
        <f>IFERROR(INDEX(catCat,MATCH(35,catIdx,0))&amp;"","")</f>
        <v/>
      </c>
      <c r="M40" s="228">
        <f>IF(L40="","",IFERROR(INDEX(catTipo,MATCH(L40,catCat,0))&amp;"",""))</f>
        <v/>
      </c>
      <c r="P40">
        <f>IF(OR(B40="",C40=""),"",B40&amp;"|"&amp;C40)</f>
        <v/>
      </c>
      <c r="Q40">
        <f>IF(B40="","",IF(COUNTIF(B$6:B40,B40)=1,MAX(Q$5:Q39)+1,""))</f>
        <v/>
      </c>
      <c r="R40">
        <f>IF(OR(F40="",C40=""),"",COUNTIF(F$6:F40,"?*"))</f>
        <v/>
      </c>
    </row>
    <row r="41">
      <c r="B41" s="202" t="inlineStr">
        <is>
          <t>Educación</t>
        </is>
      </c>
      <c r="C41" s="225" t="inlineStr">
        <is>
          <t>Matrícula</t>
        </is>
      </c>
      <c r="D41" s="226" t="inlineStr">
        <is>
          <t>Gasto</t>
        </is>
      </c>
      <c r="E41" s="226" t="inlineStr">
        <is>
          <t>Fijo</t>
        </is>
      </c>
      <c r="F41" s="225" t="n"/>
      <c r="G41" s="226" t="n"/>
      <c r="L41" s="227">
        <f>IFERROR(INDEX(catCat,MATCH(36,catIdx,0))&amp;"","")</f>
        <v/>
      </c>
      <c r="M41" s="228">
        <f>IF(L41="","",IFERROR(INDEX(catTipo,MATCH(L41,catCat,0))&amp;"",""))</f>
        <v/>
      </c>
      <c r="P41">
        <f>IF(OR(B41="",C41=""),"",B41&amp;"|"&amp;C41)</f>
        <v/>
      </c>
      <c r="Q41">
        <f>IF(B41="","",IF(COUNTIF(B$6:B41,B41)=1,MAX(Q$5:Q40)+1,""))</f>
        <v/>
      </c>
      <c r="R41">
        <f>IF(OR(F41="",C41=""),"",COUNTIF(F$6:F41,"?*"))</f>
        <v/>
      </c>
    </row>
    <row r="42">
      <c r="B42" s="202" t="inlineStr">
        <is>
          <t>Compras personales</t>
        </is>
      </c>
      <c r="C42" s="225" t="inlineStr">
        <is>
          <t>Ropa y calzado</t>
        </is>
      </c>
      <c r="D42" s="226" t="inlineStr">
        <is>
          <t>Gasto</t>
        </is>
      </c>
      <c r="E42" s="226" t="inlineStr">
        <is>
          <t>Variable</t>
        </is>
      </c>
      <c r="F42" s="225" t="n"/>
      <c r="G42" s="226" t="n"/>
      <c r="L42" s="227">
        <f>IFERROR(INDEX(catCat,MATCH(37,catIdx,0))&amp;"","")</f>
        <v/>
      </c>
      <c r="M42" s="228">
        <f>IF(L42="","",IFERROR(INDEX(catTipo,MATCH(L42,catCat,0))&amp;"",""))</f>
        <v/>
      </c>
      <c r="P42">
        <f>IF(OR(B42="",C42=""),"",B42&amp;"|"&amp;C42)</f>
        <v/>
      </c>
      <c r="Q42">
        <f>IF(B42="","",IF(COUNTIF(B$6:B42,B42)=1,MAX(Q$5:Q41)+1,""))</f>
        <v/>
      </c>
      <c r="R42">
        <f>IF(OR(F42="",C42=""),"",COUNTIF(F$6:F42,"?*"))</f>
        <v/>
      </c>
    </row>
    <row r="43">
      <c r="B43" s="202" t="inlineStr">
        <is>
          <t>Compras personales</t>
        </is>
      </c>
      <c r="C43" s="225" t="inlineStr">
        <is>
          <t>Cuidado personal</t>
        </is>
      </c>
      <c r="D43" s="226" t="inlineStr">
        <is>
          <t>Gasto</t>
        </is>
      </c>
      <c r="E43" s="226" t="inlineStr">
        <is>
          <t>Variable</t>
        </is>
      </c>
      <c r="F43" s="225" t="n"/>
      <c r="G43" s="226" t="n"/>
      <c r="L43" s="227">
        <f>IFERROR(INDEX(catCat,MATCH(38,catIdx,0))&amp;"","")</f>
        <v/>
      </c>
      <c r="M43" s="228">
        <f>IF(L43="","",IFERROR(INDEX(catTipo,MATCH(L43,catCat,0))&amp;"",""))</f>
        <v/>
      </c>
      <c r="P43">
        <f>IF(OR(B43="",C43=""),"",B43&amp;"|"&amp;C43)</f>
        <v/>
      </c>
      <c r="Q43">
        <f>IF(B43="","",IF(COUNTIF(B$6:B43,B43)=1,MAX(Q$5:Q42)+1,""))</f>
        <v/>
      </c>
      <c r="R43">
        <f>IF(OR(F43="",C43=""),"",COUNTIF(F$6:F43,"?*"))</f>
        <v/>
      </c>
    </row>
    <row r="44">
      <c r="B44" s="202" t="inlineStr">
        <is>
          <t>Compras personales</t>
        </is>
      </c>
      <c r="C44" s="225" t="inlineStr">
        <is>
          <t>Electrónica</t>
        </is>
      </c>
      <c r="D44" s="226" t="inlineStr">
        <is>
          <t>Gasto</t>
        </is>
      </c>
      <c r="E44" s="226" t="inlineStr">
        <is>
          <t>Variable</t>
        </is>
      </c>
      <c r="F44" s="225" t="n"/>
      <c r="G44" s="226" t="n"/>
      <c r="L44" s="227">
        <f>IFERROR(INDEX(catCat,MATCH(39,catIdx,0))&amp;"","")</f>
        <v/>
      </c>
      <c r="M44" s="228">
        <f>IF(L44="","",IFERROR(INDEX(catTipo,MATCH(L44,catCat,0))&amp;"",""))</f>
        <v/>
      </c>
      <c r="P44">
        <f>IF(OR(B44="",C44=""),"",B44&amp;"|"&amp;C44)</f>
        <v/>
      </c>
      <c r="Q44">
        <f>IF(B44="","",IF(COUNTIF(B$6:B44,B44)=1,MAX(Q$5:Q43)+1,""))</f>
        <v/>
      </c>
      <c r="R44">
        <f>IF(OR(F44="",C44=""),"",COUNTIF(F$6:F44,"?*"))</f>
        <v/>
      </c>
    </row>
    <row r="45">
      <c r="B45" s="202" t="inlineStr">
        <is>
          <t>Compras personales</t>
        </is>
      </c>
      <c r="C45" s="225" t="inlineStr">
        <is>
          <t>Otras compras</t>
        </is>
      </c>
      <c r="D45" s="226" t="inlineStr">
        <is>
          <t>Gasto</t>
        </is>
      </c>
      <c r="E45" s="226" t="inlineStr">
        <is>
          <t>Variable</t>
        </is>
      </c>
      <c r="F45" s="225" t="n"/>
      <c r="G45" s="226" t="n"/>
      <c r="L45" s="227">
        <f>IFERROR(INDEX(catCat,MATCH(40,catIdx,0))&amp;"","")</f>
        <v/>
      </c>
      <c r="M45" s="228">
        <f>IF(L45="","",IFERROR(INDEX(catTipo,MATCH(L45,catCat,0))&amp;"",""))</f>
        <v/>
      </c>
      <c r="P45">
        <f>IF(OR(B45="",C45=""),"",B45&amp;"|"&amp;C45)</f>
        <v/>
      </c>
      <c r="Q45">
        <f>IF(B45="","",IF(COUNTIF(B$6:B45,B45)=1,MAX(Q$5:Q44)+1,""))</f>
        <v/>
      </c>
      <c r="R45">
        <f>IF(OR(F45="",C45=""),"",COUNTIF(F$6:F45,"?*"))</f>
        <v/>
      </c>
    </row>
    <row r="46">
      <c r="B46" s="202" t="inlineStr">
        <is>
          <t>Pareja y actividades sociales</t>
        </is>
      </c>
      <c r="C46" s="225" t="inlineStr">
        <is>
          <t>Salidas y citas</t>
        </is>
      </c>
      <c r="D46" s="226" t="inlineStr">
        <is>
          <t>Gasto</t>
        </is>
      </c>
      <c r="E46" s="226" t="inlineStr">
        <is>
          <t>Variable</t>
        </is>
      </c>
      <c r="F46" s="225" t="n"/>
      <c r="G46" s="226" t="n"/>
      <c r="P46">
        <f>IF(OR(B46="",C46=""),"",B46&amp;"|"&amp;C46)</f>
        <v/>
      </c>
      <c r="Q46">
        <f>IF(B46="","",IF(COUNTIF(B$6:B46,B46)=1,MAX(Q$5:Q45)+1,""))</f>
        <v/>
      </c>
      <c r="R46">
        <f>IF(OR(F46="",C46=""),"",COUNTIF(F$6:F46,"?*"))</f>
        <v/>
      </c>
    </row>
    <row r="47">
      <c r="B47" s="202" t="inlineStr">
        <is>
          <t>Pareja y actividades sociales</t>
        </is>
      </c>
      <c r="C47" s="225" t="inlineStr">
        <is>
          <t>Actividades sociales</t>
        </is>
      </c>
      <c r="D47" s="226" t="inlineStr">
        <is>
          <t>Gasto</t>
        </is>
      </c>
      <c r="E47" s="226" t="inlineStr">
        <is>
          <t>Variable</t>
        </is>
      </c>
      <c r="F47" s="225" t="n"/>
      <c r="G47" s="226" t="n"/>
      <c r="P47">
        <f>IF(OR(B47="",C47=""),"",B47&amp;"|"&amp;C47)</f>
        <v/>
      </c>
      <c r="Q47">
        <f>IF(B47="","",IF(COUNTIF(B$6:B47,B47)=1,MAX(Q$5:Q46)+1,""))</f>
        <v/>
      </c>
      <c r="R47">
        <f>IF(OR(F47="",C47=""),"",COUNTIF(F$6:F47,"?*"))</f>
        <v/>
      </c>
    </row>
    <row r="48">
      <c r="B48" s="202" t="inlineStr">
        <is>
          <t>Pareja y actividades sociales</t>
        </is>
      </c>
      <c r="C48" s="225" t="inlineStr">
        <is>
          <t>Viajes y paseos</t>
        </is>
      </c>
      <c r="D48" s="226" t="inlineStr">
        <is>
          <t>Gasto</t>
        </is>
      </c>
      <c r="E48" s="226" t="inlineStr">
        <is>
          <t>Variable</t>
        </is>
      </c>
      <c r="F48" s="225" t="n"/>
      <c r="G48" s="226" t="n"/>
      <c r="L48" s="229" t="inlineStr">
        <is>
          <t>Fila en rojo = categoría separada de su grupo: ordena la tabla por Categoría.</t>
        </is>
      </c>
      <c r="P48">
        <f>IF(OR(B48="",C48=""),"",B48&amp;"|"&amp;C48)</f>
        <v/>
      </c>
      <c r="Q48">
        <f>IF(B48="","",IF(COUNTIF(B$6:B48,B48)=1,MAX(Q$5:Q47)+1,""))</f>
        <v/>
      </c>
      <c r="R48">
        <f>IF(OR(F48="",C48=""),"",COUNTIF(F$6:F48,"?*"))</f>
        <v/>
      </c>
    </row>
    <row r="49">
      <c r="B49" s="202" t="inlineStr">
        <is>
          <t>Boda</t>
        </is>
      </c>
      <c r="C49" s="225" t="inlineStr">
        <is>
          <t>Ceremonia y recepción</t>
        </is>
      </c>
      <c r="D49" s="226" t="inlineStr">
        <is>
          <t>Gasto</t>
        </is>
      </c>
      <c r="E49" s="226" t="inlineStr">
        <is>
          <t>Variable</t>
        </is>
      </c>
      <c r="F49" s="225" t="n"/>
      <c r="G49" s="226" t="n"/>
      <c r="P49">
        <f>IF(OR(B49="",C49=""),"",B49&amp;"|"&amp;C49)</f>
        <v/>
      </c>
      <c r="Q49">
        <f>IF(B49="","",IF(COUNTIF(B$6:B49,B49)=1,MAX(Q$5:Q48)+1,""))</f>
        <v/>
      </c>
      <c r="R49">
        <f>IF(OR(F49="",C49=""),"",COUNTIF(F$6:F49,"?*"))</f>
        <v/>
      </c>
    </row>
    <row r="50">
      <c r="B50" s="202" t="inlineStr">
        <is>
          <t>Boda</t>
        </is>
      </c>
      <c r="C50" s="225" t="inlineStr">
        <is>
          <t>Vestimenta</t>
        </is>
      </c>
      <c r="D50" s="226" t="inlineStr">
        <is>
          <t>Gasto</t>
        </is>
      </c>
      <c r="E50" s="226" t="inlineStr">
        <is>
          <t>Variable</t>
        </is>
      </c>
      <c r="F50" s="225" t="n"/>
      <c r="G50" s="226" t="n"/>
      <c r="P50">
        <f>IF(OR(B50="",C50=""),"",B50&amp;"|"&amp;C50)</f>
        <v/>
      </c>
      <c r="Q50">
        <f>IF(B50="","",IF(COUNTIF(B$6:B50,B50)=1,MAX(Q$5:Q49)+1,""))</f>
        <v/>
      </c>
      <c r="R50">
        <f>IF(OR(F50="",C50=""),"",COUNTIF(F$6:F50,"?*"))</f>
        <v/>
      </c>
    </row>
    <row r="51">
      <c r="B51" s="202" t="inlineStr">
        <is>
          <t>Boda</t>
        </is>
      </c>
      <c r="C51" s="225" t="inlineStr">
        <is>
          <t>Proveedores</t>
        </is>
      </c>
      <c r="D51" s="226" t="inlineStr">
        <is>
          <t>Gasto</t>
        </is>
      </c>
      <c r="E51" s="226" t="inlineStr">
        <is>
          <t>Variable</t>
        </is>
      </c>
      <c r="F51" s="225" t="n"/>
      <c r="G51" s="226" t="n"/>
      <c r="P51">
        <f>IF(OR(B51="",C51=""),"",B51&amp;"|"&amp;C51)</f>
        <v/>
      </c>
      <c r="Q51">
        <f>IF(B51="","",IF(COUNTIF(B$6:B51,B51)=1,MAX(Q$5:Q50)+1,""))</f>
        <v/>
      </c>
      <c r="R51">
        <f>IF(OR(F51="",C51=""),"",COUNTIF(F$6:F51,"?*"))</f>
        <v/>
      </c>
    </row>
    <row r="52">
      <c r="B52" s="202" t="inlineStr">
        <is>
          <t>Boda</t>
        </is>
      </c>
      <c r="C52" s="225" t="inlineStr">
        <is>
          <t>Otros gastos de boda</t>
        </is>
      </c>
      <c r="D52" s="226" t="inlineStr">
        <is>
          <t>Gasto</t>
        </is>
      </c>
      <c r="E52" s="226" t="inlineStr">
        <is>
          <t>Variable</t>
        </is>
      </c>
      <c r="F52" s="225" t="n"/>
      <c r="G52" s="226" t="n"/>
      <c r="P52">
        <f>IF(OR(B52="",C52=""),"",B52&amp;"|"&amp;C52)</f>
        <v/>
      </c>
      <c r="Q52">
        <f>IF(B52="","",IF(COUNTIF(B$6:B52,B52)=1,MAX(Q$5:Q51)+1,""))</f>
        <v/>
      </c>
      <c r="R52">
        <f>IF(OR(F52="",C52=""),"",COUNTIF(F$6:F52,"?*"))</f>
        <v/>
      </c>
    </row>
    <row r="53">
      <c r="B53" s="202" t="inlineStr">
        <is>
          <t>Regalos</t>
        </is>
      </c>
      <c r="C53" s="225" t="inlineStr">
        <is>
          <t>Regalos</t>
        </is>
      </c>
      <c r="D53" s="226" t="inlineStr">
        <is>
          <t>Gasto</t>
        </is>
      </c>
      <c r="E53" s="226" t="inlineStr">
        <is>
          <t>Variable</t>
        </is>
      </c>
      <c r="F53" s="225" t="n"/>
      <c r="G53" s="226" t="n"/>
      <c r="P53">
        <f>IF(OR(B53="",C53=""),"",B53&amp;"|"&amp;C53)</f>
        <v/>
      </c>
      <c r="Q53">
        <f>IF(B53="","",IF(COUNTIF(B$6:B53,B53)=1,MAX(Q$5:Q52)+1,""))</f>
        <v/>
      </c>
      <c r="R53">
        <f>IF(OR(F53="",C53=""),"",COUNTIF(F$6:F53,"?*"))</f>
        <v/>
      </c>
    </row>
    <row r="54">
      <c r="B54" s="202" t="inlineStr">
        <is>
          <t>Regalos</t>
        </is>
      </c>
      <c r="C54" s="225" t="inlineStr">
        <is>
          <t>Celebraciones</t>
        </is>
      </c>
      <c r="D54" s="226" t="inlineStr">
        <is>
          <t>Gasto</t>
        </is>
      </c>
      <c r="E54" s="226" t="inlineStr">
        <is>
          <t>Variable</t>
        </is>
      </c>
      <c r="F54" s="225" t="n"/>
      <c r="G54" s="226" t="n"/>
      <c r="P54">
        <f>IF(OR(B54="",C54=""),"",B54&amp;"|"&amp;C54)</f>
        <v/>
      </c>
      <c r="Q54">
        <f>IF(B54="","",IF(COUNTIF(B$6:B54,B54)=1,MAX(Q$5:Q53)+1,""))</f>
        <v/>
      </c>
      <c r="R54">
        <f>IF(OR(F54="",C54=""),"",COUNTIF(F$6:F54,"?*"))</f>
        <v/>
      </c>
    </row>
    <row r="55">
      <c r="B55" s="202" t="inlineStr">
        <is>
          <t>Imprevistos</t>
        </is>
      </c>
      <c r="C55" s="225" t="inlineStr">
        <is>
          <t>Emergencias</t>
        </is>
      </c>
      <c r="D55" s="226" t="inlineStr">
        <is>
          <t>Gasto</t>
        </is>
      </c>
      <c r="E55" s="226" t="inlineStr">
        <is>
          <t>Variable</t>
        </is>
      </c>
      <c r="F55" s="225" t="n"/>
      <c r="G55" s="226" t="n"/>
      <c r="P55">
        <f>IF(OR(B55="",C55=""),"",B55&amp;"|"&amp;C55)</f>
        <v/>
      </c>
      <c r="Q55">
        <f>IF(B55="","",IF(COUNTIF(B$6:B55,B55)=1,MAX(Q$5:Q54)+1,""))</f>
        <v/>
      </c>
      <c r="R55">
        <f>IF(OR(F55="",C55=""),"",COUNTIF(F$6:F55,"?*"))</f>
        <v/>
      </c>
    </row>
    <row r="56">
      <c r="B56" s="202" t="inlineStr">
        <is>
          <t>Imprevistos</t>
        </is>
      </c>
      <c r="C56" s="225" t="inlineStr">
        <is>
          <t>Multas y penalidades</t>
        </is>
      </c>
      <c r="D56" s="226" t="inlineStr">
        <is>
          <t>Gasto</t>
        </is>
      </c>
      <c r="E56" s="226" t="inlineStr">
        <is>
          <t>Variable</t>
        </is>
      </c>
      <c r="F56" s="225" t="n"/>
      <c r="G56" s="226" t="n"/>
      <c r="P56">
        <f>IF(OR(B56="",C56=""),"",B56&amp;"|"&amp;C56)</f>
        <v/>
      </c>
      <c r="Q56">
        <f>IF(B56="","",IF(COUNTIF(B$6:B56,B56)=1,MAX(Q$5:Q55)+1,""))</f>
        <v/>
      </c>
      <c r="R56">
        <f>IF(OR(F56="",C56=""),"",COUNTIF(F$6:F56,"?*"))</f>
        <v/>
      </c>
    </row>
    <row r="57">
      <c r="B57" s="202" t="inlineStr">
        <is>
          <t>Imprevistos</t>
        </is>
      </c>
      <c r="C57" s="225" t="inlineStr">
        <is>
          <t>Otros imprevistos</t>
        </is>
      </c>
      <c r="D57" s="226" t="inlineStr">
        <is>
          <t>Gasto</t>
        </is>
      </c>
      <c r="E57" s="226" t="inlineStr">
        <is>
          <t>Variable</t>
        </is>
      </c>
      <c r="F57" s="225" t="n"/>
      <c r="G57" s="226" t="n"/>
      <c r="P57">
        <f>IF(OR(B57="",C57=""),"",B57&amp;"|"&amp;C57)</f>
        <v/>
      </c>
      <c r="Q57">
        <f>IF(B57="","",IF(COUNTIF(B$6:B57,B57)=1,MAX(Q$5:Q56)+1,""))</f>
        <v/>
      </c>
      <c r="R57">
        <f>IF(OR(F57="",C57=""),"",COUNTIF(F$6:F57,"?*"))</f>
        <v/>
      </c>
    </row>
    <row r="58">
      <c r="B58" s="202" t="inlineStr">
        <is>
          <t>Otros gastos</t>
        </is>
      </c>
      <c r="C58" s="225" t="inlineStr">
        <is>
          <t>Comisiones bancarias</t>
        </is>
      </c>
      <c r="D58" s="226" t="inlineStr">
        <is>
          <t>Gasto</t>
        </is>
      </c>
      <c r="E58" s="226" t="inlineStr">
        <is>
          <t>Variable</t>
        </is>
      </c>
      <c r="F58" s="225" t="n"/>
      <c r="G58" s="226" t="n"/>
      <c r="P58">
        <f>IF(OR(B58="",C58=""),"",B58&amp;"|"&amp;C58)</f>
        <v/>
      </c>
      <c r="Q58">
        <f>IF(B58="","",IF(COUNTIF(B$6:B58,B58)=1,MAX(Q$5:Q57)+1,""))</f>
        <v/>
      </c>
      <c r="R58">
        <f>IF(OR(F58="",C58=""),"",COUNTIF(F$6:F58,"?*"))</f>
        <v/>
      </c>
    </row>
    <row r="59">
      <c r="B59" s="202" t="inlineStr">
        <is>
          <t>Otros gastos</t>
        </is>
      </c>
      <c r="C59" s="225" t="inlineStr">
        <is>
          <t>Donaciones</t>
        </is>
      </c>
      <c r="D59" s="226" t="inlineStr">
        <is>
          <t>Gasto</t>
        </is>
      </c>
      <c r="E59" s="226" t="inlineStr">
        <is>
          <t>Variable</t>
        </is>
      </c>
      <c r="F59" s="225" t="n"/>
      <c r="G59" s="226" t="n"/>
      <c r="P59">
        <f>IF(OR(B59="",C59=""),"",B59&amp;"|"&amp;C59)</f>
        <v/>
      </c>
      <c r="Q59">
        <f>IF(B59="","",IF(COUNTIF(B$6:B59,B59)=1,MAX(Q$5:Q58)+1,""))</f>
        <v/>
      </c>
      <c r="R59">
        <f>IF(OR(F59="",C59=""),"",COUNTIF(F$6:F59,"?*"))</f>
        <v/>
      </c>
    </row>
    <row r="60">
      <c r="B60" s="202" t="inlineStr">
        <is>
          <t>Otros gastos</t>
        </is>
      </c>
      <c r="C60" s="225" t="inlineStr">
        <is>
          <t>Otros</t>
        </is>
      </c>
      <c r="D60" s="226" t="inlineStr">
        <is>
          <t>Gasto</t>
        </is>
      </c>
      <c r="E60" s="226" t="inlineStr">
        <is>
          <t>Variable</t>
        </is>
      </c>
      <c r="F60" s="225" t="n"/>
      <c r="G60" s="226" t="n"/>
      <c r="P60">
        <f>IF(OR(B60="",C60=""),"",B60&amp;"|"&amp;C60)</f>
        <v/>
      </c>
      <c r="Q60">
        <f>IF(B60="","",IF(COUNTIF(B$6:B60,B60)=1,MAX(Q$5:Q59)+1,""))</f>
        <v/>
      </c>
      <c r="R60">
        <f>IF(OR(F60="",C60=""),"",COUNTIF(F$6:F60,"?*"))</f>
        <v/>
      </c>
    </row>
    <row r="61">
      <c r="B61" s="202" t="inlineStr">
        <is>
          <t>Ingresos</t>
        </is>
      </c>
      <c r="C61" s="225" t="inlineStr">
        <is>
          <t>Salario</t>
        </is>
      </c>
      <c r="D61" s="226" t="inlineStr">
        <is>
          <t>Ingreso</t>
        </is>
      </c>
      <c r="E61" s="226" t="inlineStr">
        <is>
          <t>Fijo</t>
        </is>
      </c>
      <c r="F61" s="225" t="n"/>
      <c r="G61" s="226" t="n"/>
      <c r="P61">
        <f>IF(OR(B61="",C61=""),"",B61&amp;"|"&amp;C61)</f>
        <v/>
      </c>
      <c r="Q61">
        <f>IF(B61="","",IF(COUNTIF(B$6:B61,B61)=1,MAX(Q$5:Q60)+1,""))</f>
        <v/>
      </c>
      <c r="R61">
        <f>IF(OR(F61="",C61=""),"",COUNTIF(F$6:F61,"?*"))</f>
        <v/>
      </c>
    </row>
    <row r="62">
      <c r="B62" s="202" t="inlineStr">
        <is>
          <t>Ingresos</t>
        </is>
      </c>
      <c r="C62" s="225" t="inlineStr">
        <is>
          <t>Bonificaciones</t>
        </is>
      </c>
      <c r="D62" s="226" t="inlineStr">
        <is>
          <t>Ingreso</t>
        </is>
      </c>
      <c r="E62" s="226" t="inlineStr">
        <is>
          <t>Variable</t>
        </is>
      </c>
      <c r="F62" s="225" t="n"/>
      <c r="G62" s="226" t="n"/>
      <c r="P62">
        <f>IF(OR(B62="",C62=""),"",B62&amp;"|"&amp;C62)</f>
        <v/>
      </c>
      <c r="Q62">
        <f>IF(B62="","",IF(COUNTIF(B$6:B62,B62)=1,MAX(Q$5:Q61)+1,""))</f>
        <v/>
      </c>
      <c r="R62">
        <f>IF(OR(F62="",C62=""),"",COUNTIF(F$6:F62,"?*"))</f>
        <v/>
      </c>
    </row>
    <row r="63">
      <c r="B63" s="202" t="inlineStr">
        <is>
          <t>Ingresos</t>
        </is>
      </c>
      <c r="C63" s="225" t="inlineStr">
        <is>
          <t>Ingresos extra</t>
        </is>
      </c>
      <c r="D63" s="226" t="inlineStr">
        <is>
          <t>Ingreso</t>
        </is>
      </c>
      <c r="E63" s="226" t="inlineStr">
        <is>
          <t>Variable</t>
        </is>
      </c>
      <c r="F63" s="225" t="n"/>
      <c r="G63" s="226" t="n"/>
      <c r="P63">
        <f>IF(OR(B63="",C63=""),"",B63&amp;"|"&amp;C63)</f>
        <v/>
      </c>
      <c r="Q63">
        <f>IF(B63="","",IF(COUNTIF(B$6:B63,B63)=1,MAX(Q$5:Q62)+1,""))</f>
        <v/>
      </c>
      <c r="R63">
        <f>IF(OR(F63="",C63=""),"",COUNTIF(F$6:F63,"?*"))</f>
        <v/>
      </c>
    </row>
    <row r="64">
      <c r="B64" s="202" t="inlineStr">
        <is>
          <t>Ingresos</t>
        </is>
      </c>
      <c r="C64" s="225" t="inlineStr">
        <is>
          <t>Intereses y rendimientos</t>
        </is>
      </c>
      <c r="D64" s="226" t="inlineStr">
        <is>
          <t>Ingreso</t>
        </is>
      </c>
      <c r="E64" s="226" t="inlineStr">
        <is>
          <t>Variable</t>
        </is>
      </c>
      <c r="F64" s="225" t="n"/>
      <c r="G64" s="226" t="n"/>
      <c r="P64">
        <f>IF(OR(B64="",C64=""),"",B64&amp;"|"&amp;C64)</f>
        <v/>
      </c>
      <c r="Q64">
        <f>IF(B64="","",IF(COUNTIF(B$6:B64,B64)=1,MAX(Q$5:Q63)+1,""))</f>
        <v/>
      </c>
      <c r="R64">
        <f>IF(OR(F64="",C64=""),"",COUNTIF(F$6:F64,"?*"))</f>
        <v/>
      </c>
    </row>
    <row r="65">
      <c r="B65" s="202" t="inlineStr">
        <is>
          <t>Ingresos</t>
        </is>
      </c>
      <c r="C65" s="225" t="inlineStr">
        <is>
          <t>Otros ingresos</t>
        </is>
      </c>
      <c r="D65" s="226" t="inlineStr">
        <is>
          <t>Ingreso</t>
        </is>
      </c>
      <c r="E65" s="226" t="inlineStr">
        <is>
          <t>Variable</t>
        </is>
      </c>
      <c r="F65" s="225" t="n"/>
      <c r="G65" s="226" t="n"/>
      <c r="P65">
        <f>IF(OR(B65="",C65=""),"",B65&amp;"|"&amp;C65)</f>
        <v/>
      </c>
      <c r="Q65">
        <f>IF(B65="","",IF(COUNTIF(B$6:B65,B65)=1,MAX(Q$5:Q64)+1,""))</f>
        <v/>
      </c>
      <c r="R65">
        <f>IF(OR(F65="",C65=""),"",COUNTIF(F$6:F65,"?*"))</f>
        <v/>
      </c>
    </row>
    <row r="66">
      <c r="B66" s="225" t="n"/>
      <c r="C66" s="225" t="n"/>
      <c r="D66" s="226" t="n"/>
      <c r="E66" s="226" t="n"/>
      <c r="F66" s="225" t="n"/>
      <c r="G66" s="226" t="n"/>
      <c r="P66">
        <f>IF(OR(B66="",C66=""),"",B66&amp;"|"&amp;C66)</f>
        <v/>
      </c>
      <c r="Q66">
        <f>IF(B66="","",IF(COUNTIF(B$6:B66,B66)=1,MAX(Q$5:Q65)+1,""))</f>
        <v/>
      </c>
      <c r="R66">
        <f>IF(OR(F66="",C66=""),"",COUNTIF(F$6:F66,"?*"))</f>
        <v/>
      </c>
    </row>
    <row r="67">
      <c r="B67" s="225" t="n"/>
      <c r="C67" s="225" t="n"/>
      <c r="D67" s="226" t="n"/>
      <c r="E67" s="226" t="n"/>
      <c r="F67" s="225" t="n"/>
      <c r="G67" s="226" t="n"/>
      <c r="P67">
        <f>IF(OR(B67="",C67=""),"",B67&amp;"|"&amp;C67)</f>
        <v/>
      </c>
      <c r="Q67">
        <f>IF(B67="","",IF(COUNTIF(B$6:B67,B67)=1,MAX(Q$5:Q66)+1,""))</f>
        <v/>
      </c>
      <c r="R67">
        <f>IF(OR(F67="",C67=""),"",COUNTIF(F$6:F67,"?*"))</f>
        <v/>
      </c>
    </row>
    <row r="68">
      <c r="B68" s="225" t="n"/>
      <c r="C68" s="225" t="n"/>
      <c r="D68" s="226" t="n"/>
      <c r="E68" s="226" t="n"/>
      <c r="F68" s="225" t="n"/>
      <c r="G68" s="226" t="n"/>
      <c r="P68">
        <f>IF(OR(B68="",C68=""),"",B68&amp;"|"&amp;C68)</f>
        <v/>
      </c>
      <c r="Q68">
        <f>IF(B68="","",IF(COUNTIF(B$6:B68,B68)=1,MAX(Q$5:Q67)+1,""))</f>
        <v/>
      </c>
      <c r="R68">
        <f>IF(OR(F68="",C68=""),"",COUNTIF(F$6:F68,"?*"))</f>
        <v/>
      </c>
    </row>
    <row r="69">
      <c r="B69" s="225" t="n"/>
      <c r="C69" s="225" t="n"/>
      <c r="D69" s="226" t="n"/>
      <c r="E69" s="226" t="n"/>
      <c r="F69" s="225" t="n"/>
      <c r="G69" s="226" t="n"/>
      <c r="P69">
        <f>IF(OR(B69="",C69=""),"",B69&amp;"|"&amp;C69)</f>
        <v/>
      </c>
      <c r="Q69">
        <f>IF(B69="","",IF(COUNTIF(B$6:B69,B69)=1,MAX(Q$5:Q68)+1,""))</f>
        <v/>
      </c>
      <c r="R69">
        <f>IF(OR(F69="",C69=""),"",COUNTIF(F$6:F69,"?*"))</f>
        <v/>
      </c>
    </row>
    <row r="70">
      <c r="B70" s="225" t="n"/>
      <c r="C70" s="225" t="n"/>
      <c r="D70" s="226" t="n"/>
      <c r="E70" s="226" t="n"/>
      <c r="F70" s="225" t="n"/>
      <c r="G70" s="226" t="n"/>
      <c r="P70">
        <f>IF(OR(B70="",C70=""),"",B70&amp;"|"&amp;C70)</f>
        <v/>
      </c>
      <c r="Q70">
        <f>IF(B70="","",IF(COUNTIF(B$6:B70,B70)=1,MAX(Q$5:Q69)+1,""))</f>
        <v/>
      </c>
      <c r="R70">
        <f>IF(OR(F70="",C70=""),"",COUNTIF(F$6:F70,"?*"))</f>
        <v/>
      </c>
    </row>
    <row r="71">
      <c r="B71" s="225" t="n"/>
      <c r="C71" s="225" t="n"/>
      <c r="D71" s="226" t="n"/>
      <c r="E71" s="226" t="n"/>
      <c r="F71" s="225" t="n"/>
      <c r="G71" s="226" t="n"/>
      <c r="P71">
        <f>IF(OR(B71="",C71=""),"",B71&amp;"|"&amp;C71)</f>
        <v/>
      </c>
      <c r="Q71">
        <f>IF(B71="","",IF(COUNTIF(B$6:B71,B71)=1,MAX(Q$5:Q70)+1,""))</f>
        <v/>
      </c>
      <c r="R71">
        <f>IF(OR(F71="",C71=""),"",COUNTIF(F$6:F71,"?*"))</f>
        <v/>
      </c>
    </row>
    <row r="72">
      <c r="B72" s="225" t="n"/>
      <c r="C72" s="225" t="n"/>
      <c r="D72" s="226" t="n"/>
      <c r="E72" s="226" t="n"/>
      <c r="F72" s="225" t="n"/>
      <c r="G72" s="226" t="n"/>
      <c r="P72">
        <f>IF(OR(B72="",C72=""),"",B72&amp;"|"&amp;C72)</f>
        <v/>
      </c>
      <c r="Q72">
        <f>IF(B72="","",IF(COUNTIF(B$6:B72,B72)=1,MAX(Q$5:Q71)+1,""))</f>
        <v/>
      </c>
      <c r="R72">
        <f>IF(OR(F72="",C72=""),"",COUNTIF(F$6:F72,"?*"))</f>
        <v/>
      </c>
    </row>
    <row r="73">
      <c r="B73" s="225" t="n"/>
      <c r="C73" s="225" t="n"/>
      <c r="D73" s="226" t="n"/>
      <c r="E73" s="226" t="n"/>
      <c r="F73" s="225" t="n"/>
      <c r="G73" s="226" t="n"/>
      <c r="P73">
        <f>IF(OR(B73="",C73=""),"",B73&amp;"|"&amp;C73)</f>
        <v/>
      </c>
      <c r="Q73">
        <f>IF(B73="","",IF(COUNTIF(B$6:B73,B73)=1,MAX(Q$5:Q72)+1,""))</f>
        <v/>
      </c>
      <c r="R73">
        <f>IF(OR(F73="",C73=""),"",COUNTIF(F$6:F73,"?*"))</f>
        <v/>
      </c>
    </row>
    <row r="74">
      <c r="B74" s="225" t="n"/>
      <c r="C74" s="225" t="n"/>
      <c r="D74" s="226" t="n"/>
      <c r="E74" s="226" t="n"/>
      <c r="F74" s="225" t="n"/>
      <c r="G74" s="226" t="n"/>
      <c r="P74">
        <f>IF(OR(B74="",C74=""),"",B74&amp;"|"&amp;C74)</f>
        <v/>
      </c>
      <c r="Q74">
        <f>IF(B74="","",IF(COUNTIF(B$6:B74,B74)=1,MAX(Q$5:Q73)+1,""))</f>
        <v/>
      </c>
      <c r="R74">
        <f>IF(OR(F74="",C74=""),"",COUNTIF(F$6:F74,"?*"))</f>
        <v/>
      </c>
    </row>
    <row r="75">
      <c r="B75" s="225" t="n"/>
      <c r="C75" s="225" t="n"/>
      <c r="D75" s="226" t="n"/>
      <c r="E75" s="226" t="n"/>
      <c r="F75" s="225" t="n"/>
      <c r="G75" s="226" t="n"/>
      <c r="P75">
        <f>IF(OR(B75="",C75=""),"",B75&amp;"|"&amp;C75)</f>
        <v/>
      </c>
      <c r="Q75">
        <f>IF(B75="","",IF(COUNTIF(B$6:B75,B75)=1,MAX(Q$5:Q74)+1,""))</f>
        <v/>
      </c>
      <c r="R75">
        <f>IF(OR(F75="",C75=""),"",COUNTIF(F$6:F75,"?*"))</f>
        <v/>
      </c>
    </row>
    <row r="76">
      <c r="B76" s="225" t="n"/>
      <c r="C76" s="225" t="n"/>
      <c r="D76" s="226" t="n"/>
      <c r="E76" s="226" t="n"/>
      <c r="F76" s="225" t="n"/>
      <c r="G76" s="226" t="n"/>
      <c r="P76">
        <f>IF(OR(B76="",C76=""),"",B76&amp;"|"&amp;C76)</f>
        <v/>
      </c>
      <c r="Q76">
        <f>IF(B76="","",IF(COUNTIF(B$6:B76,B76)=1,MAX(Q$5:Q75)+1,""))</f>
        <v/>
      </c>
      <c r="R76">
        <f>IF(OR(F76="",C76=""),"",COUNTIF(F$6:F76,"?*"))</f>
        <v/>
      </c>
    </row>
    <row r="77">
      <c r="B77" s="225" t="n"/>
      <c r="C77" s="225" t="n"/>
      <c r="D77" s="226" t="n"/>
      <c r="E77" s="226" t="n"/>
      <c r="F77" s="225" t="n"/>
      <c r="G77" s="226" t="n"/>
      <c r="P77">
        <f>IF(OR(B77="",C77=""),"",B77&amp;"|"&amp;C77)</f>
        <v/>
      </c>
      <c r="Q77">
        <f>IF(B77="","",IF(COUNTIF(B$6:B77,B77)=1,MAX(Q$5:Q76)+1,""))</f>
        <v/>
      </c>
      <c r="R77">
        <f>IF(OR(F77="",C77=""),"",COUNTIF(F$6:F77,"?*"))</f>
        <v/>
      </c>
    </row>
    <row r="78">
      <c r="B78" s="225" t="n"/>
      <c r="C78" s="225" t="n"/>
      <c r="D78" s="226" t="n"/>
      <c r="E78" s="226" t="n"/>
      <c r="F78" s="225" t="n"/>
      <c r="G78" s="226" t="n"/>
      <c r="P78">
        <f>IF(OR(B78="",C78=""),"",B78&amp;"|"&amp;C78)</f>
        <v/>
      </c>
      <c r="Q78">
        <f>IF(B78="","",IF(COUNTIF(B$6:B78,B78)=1,MAX(Q$5:Q77)+1,""))</f>
        <v/>
      </c>
      <c r="R78">
        <f>IF(OR(F78="",C78=""),"",COUNTIF(F$6:F78,"?*"))</f>
        <v/>
      </c>
    </row>
    <row r="79">
      <c r="B79" s="225" t="n"/>
      <c r="C79" s="225" t="n"/>
      <c r="D79" s="226" t="n"/>
      <c r="E79" s="226" t="n"/>
      <c r="F79" s="225" t="n"/>
      <c r="G79" s="226" t="n"/>
      <c r="P79">
        <f>IF(OR(B79="",C79=""),"",B79&amp;"|"&amp;C79)</f>
        <v/>
      </c>
      <c r="Q79">
        <f>IF(B79="","",IF(COUNTIF(B$6:B79,B79)=1,MAX(Q$5:Q78)+1,""))</f>
        <v/>
      </c>
      <c r="R79">
        <f>IF(OR(F79="",C79=""),"",COUNTIF(F$6:F79,"?*"))</f>
        <v/>
      </c>
    </row>
    <row r="80">
      <c r="B80" s="225" t="n"/>
      <c r="C80" s="225" t="n"/>
      <c r="D80" s="226" t="n"/>
      <c r="E80" s="226" t="n"/>
      <c r="F80" s="225" t="n"/>
      <c r="G80" s="226" t="n"/>
      <c r="P80">
        <f>IF(OR(B80="",C80=""),"",B80&amp;"|"&amp;C80)</f>
        <v/>
      </c>
      <c r="Q80">
        <f>IF(B80="","",IF(COUNTIF(B$6:B80,B80)=1,MAX(Q$5:Q79)+1,""))</f>
        <v/>
      </c>
      <c r="R80">
        <f>IF(OR(F80="",C80=""),"",COUNTIF(F$6:F80,"?*"))</f>
        <v/>
      </c>
    </row>
    <row r="81">
      <c r="B81" s="225" t="n"/>
      <c r="C81" s="225" t="n"/>
      <c r="D81" s="226" t="n"/>
      <c r="E81" s="226" t="n"/>
      <c r="F81" s="225" t="n"/>
      <c r="G81" s="226" t="n"/>
      <c r="P81">
        <f>IF(OR(B81="",C81=""),"",B81&amp;"|"&amp;C81)</f>
        <v/>
      </c>
      <c r="Q81">
        <f>IF(B81="","",IF(COUNTIF(B$6:B81,B81)=1,MAX(Q$5:Q80)+1,""))</f>
        <v/>
      </c>
      <c r="R81">
        <f>IF(OR(F81="",C81=""),"",COUNTIF(F$6:F81,"?*"))</f>
        <v/>
      </c>
    </row>
    <row r="82">
      <c r="B82" s="225" t="n"/>
      <c r="C82" s="225" t="n"/>
      <c r="D82" s="226" t="n"/>
      <c r="E82" s="226" t="n"/>
      <c r="F82" s="225" t="n"/>
      <c r="G82" s="226" t="n"/>
      <c r="P82">
        <f>IF(OR(B82="",C82=""),"",B82&amp;"|"&amp;C82)</f>
        <v/>
      </c>
      <c r="Q82">
        <f>IF(B82="","",IF(COUNTIF(B$6:B82,B82)=1,MAX(Q$5:Q81)+1,""))</f>
        <v/>
      </c>
      <c r="R82">
        <f>IF(OR(F82="",C82=""),"",COUNTIF(F$6:F82,"?*"))</f>
        <v/>
      </c>
    </row>
    <row r="83">
      <c r="B83" s="225" t="n"/>
      <c r="C83" s="225" t="n"/>
      <c r="D83" s="226" t="n"/>
      <c r="E83" s="226" t="n"/>
      <c r="F83" s="225" t="n"/>
      <c r="G83" s="226" t="n"/>
      <c r="P83">
        <f>IF(OR(B83="",C83=""),"",B83&amp;"|"&amp;C83)</f>
        <v/>
      </c>
      <c r="Q83">
        <f>IF(B83="","",IF(COUNTIF(B$6:B83,B83)=1,MAX(Q$5:Q82)+1,""))</f>
        <v/>
      </c>
      <c r="R83">
        <f>IF(OR(F83="",C83=""),"",COUNTIF(F$6:F83,"?*"))</f>
        <v/>
      </c>
    </row>
    <row r="84">
      <c r="B84" s="225" t="n"/>
      <c r="C84" s="225" t="n"/>
      <c r="D84" s="226" t="n"/>
      <c r="E84" s="226" t="n"/>
      <c r="F84" s="225" t="n"/>
      <c r="G84" s="226" t="n"/>
      <c r="P84">
        <f>IF(OR(B84="",C84=""),"",B84&amp;"|"&amp;C84)</f>
        <v/>
      </c>
      <c r="Q84">
        <f>IF(B84="","",IF(COUNTIF(B$6:B84,B84)=1,MAX(Q$5:Q83)+1,""))</f>
        <v/>
      </c>
      <c r="R84">
        <f>IF(OR(F84="",C84=""),"",COUNTIF(F$6:F84,"?*"))</f>
        <v/>
      </c>
    </row>
    <row r="85">
      <c r="B85" s="225" t="n"/>
      <c r="C85" s="225" t="n"/>
      <c r="D85" s="226" t="n"/>
      <c r="E85" s="226" t="n"/>
      <c r="F85" s="225" t="n"/>
      <c r="G85" s="226" t="n"/>
      <c r="P85">
        <f>IF(OR(B85="",C85=""),"",B85&amp;"|"&amp;C85)</f>
        <v/>
      </c>
      <c r="Q85">
        <f>IF(B85="","",IF(COUNTIF(B$6:B85,B85)=1,MAX(Q$5:Q84)+1,""))</f>
        <v/>
      </c>
      <c r="R85">
        <f>IF(OR(F85="",C85=""),"",COUNTIF(F$6:F85,"?*"))</f>
        <v/>
      </c>
    </row>
    <row r="86">
      <c r="B86" s="225" t="n"/>
      <c r="C86" s="225" t="n"/>
      <c r="D86" s="226" t="n"/>
      <c r="E86" s="226" t="n"/>
      <c r="F86" s="225" t="n"/>
      <c r="G86" s="226" t="n"/>
      <c r="P86">
        <f>IF(OR(B86="",C86=""),"",B86&amp;"|"&amp;C86)</f>
        <v/>
      </c>
      <c r="Q86">
        <f>IF(B86="","",IF(COUNTIF(B$6:B86,B86)=1,MAX(Q$5:Q85)+1,""))</f>
        <v/>
      </c>
      <c r="R86">
        <f>IF(OR(F86="",C86=""),"",COUNTIF(F$6:F86,"?*"))</f>
        <v/>
      </c>
    </row>
    <row r="87">
      <c r="B87" s="225" t="n"/>
      <c r="C87" s="225" t="n"/>
      <c r="D87" s="226" t="n"/>
      <c r="E87" s="226" t="n"/>
      <c r="F87" s="225" t="n"/>
      <c r="G87" s="226" t="n"/>
      <c r="P87">
        <f>IF(OR(B87="",C87=""),"",B87&amp;"|"&amp;C87)</f>
        <v/>
      </c>
      <c r="Q87">
        <f>IF(B87="","",IF(COUNTIF(B$6:B87,B87)=1,MAX(Q$5:Q86)+1,""))</f>
        <v/>
      </c>
      <c r="R87">
        <f>IF(OR(F87="",C87=""),"",COUNTIF(F$6:F87,"?*"))</f>
        <v/>
      </c>
    </row>
    <row r="88">
      <c r="B88" s="225" t="n"/>
      <c r="C88" s="225" t="n"/>
      <c r="D88" s="226" t="n"/>
      <c r="E88" s="226" t="n"/>
      <c r="F88" s="225" t="n"/>
      <c r="G88" s="226" t="n"/>
      <c r="P88">
        <f>IF(OR(B88="",C88=""),"",B88&amp;"|"&amp;C88)</f>
        <v/>
      </c>
      <c r="Q88">
        <f>IF(B88="","",IF(COUNTIF(B$6:B88,B88)=1,MAX(Q$5:Q87)+1,""))</f>
        <v/>
      </c>
      <c r="R88">
        <f>IF(OR(F88="",C88=""),"",COUNTIF(F$6:F88,"?*"))</f>
        <v/>
      </c>
    </row>
    <row r="89">
      <c r="B89" s="225" t="n"/>
      <c r="C89" s="225" t="n"/>
      <c r="D89" s="226" t="n"/>
      <c r="E89" s="226" t="n"/>
      <c r="F89" s="225" t="n"/>
      <c r="G89" s="226" t="n"/>
      <c r="P89">
        <f>IF(OR(B89="",C89=""),"",B89&amp;"|"&amp;C89)</f>
        <v/>
      </c>
      <c r="Q89">
        <f>IF(B89="","",IF(COUNTIF(B$6:B89,B89)=1,MAX(Q$5:Q88)+1,""))</f>
        <v/>
      </c>
      <c r="R89">
        <f>IF(OR(F89="",C89=""),"",COUNTIF(F$6:F89,"?*"))</f>
        <v/>
      </c>
    </row>
    <row r="90">
      <c r="B90" s="225" t="n"/>
      <c r="C90" s="225" t="n"/>
      <c r="D90" s="226" t="n"/>
      <c r="E90" s="226" t="n"/>
      <c r="F90" s="225" t="n"/>
      <c r="G90" s="226" t="n"/>
      <c r="P90">
        <f>IF(OR(B90="",C90=""),"",B90&amp;"|"&amp;C90)</f>
        <v/>
      </c>
      <c r="Q90">
        <f>IF(B90="","",IF(COUNTIF(B$6:B90,B90)=1,MAX(Q$5:Q89)+1,""))</f>
        <v/>
      </c>
      <c r="R90">
        <f>IF(OR(F90="",C90=""),"",COUNTIF(F$6:F90,"?*"))</f>
        <v/>
      </c>
    </row>
    <row r="91">
      <c r="B91" s="225" t="n"/>
      <c r="C91" s="225" t="n"/>
      <c r="D91" s="226" t="n"/>
      <c r="E91" s="226" t="n"/>
      <c r="F91" s="225" t="n"/>
      <c r="G91" s="226" t="n"/>
      <c r="P91">
        <f>IF(OR(B91="",C91=""),"",B91&amp;"|"&amp;C91)</f>
        <v/>
      </c>
      <c r="Q91">
        <f>IF(B91="","",IF(COUNTIF(B$6:B91,B91)=1,MAX(Q$5:Q90)+1,""))</f>
        <v/>
      </c>
      <c r="R91">
        <f>IF(OR(F91="",C91=""),"",COUNTIF(F$6:F91,"?*"))</f>
        <v/>
      </c>
    </row>
    <row r="92">
      <c r="B92" s="225" t="n"/>
      <c r="C92" s="225" t="n"/>
      <c r="D92" s="226" t="n"/>
      <c r="E92" s="226" t="n"/>
      <c r="F92" s="225" t="n"/>
      <c r="G92" s="226" t="n"/>
      <c r="P92">
        <f>IF(OR(B92="",C92=""),"",B92&amp;"|"&amp;C92)</f>
        <v/>
      </c>
      <c r="Q92">
        <f>IF(B92="","",IF(COUNTIF(B$6:B92,B92)=1,MAX(Q$5:Q91)+1,""))</f>
        <v/>
      </c>
      <c r="R92">
        <f>IF(OR(F92="",C92=""),"",COUNTIF(F$6:F92,"?*"))</f>
        <v/>
      </c>
    </row>
    <row r="93">
      <c r="B93" s="225" t="n"/>
      <c r="C93" s="225" t="n"/>
      <c r="D93" s="226" t="n"/>
      <c r="E93" s="226" t="n"/>
      <c r="F93" s="225" t="n"/>
      <c r="G93" s="226" t="n"/>
      <c r="P93">
        <f>IF(OR(B93="",C93=""),"",B93&amp;"|"&amp;C93)</f>
        <v/>
      </c>
      <c r="Q93">
        <f>IF(B93="","",IF(COUNTIF(B$6:B93,B93)=1,MAX(Q$5:Q92)+1,""))</f>
        <v/>
      </c>
      <c r="R93">
        <f>IF(OR(F93="",C93=""),"",COUNTIF(F$6:F93,"?*"))</f>
        <v/>
      </c>
    </row>
    <row r="94">
      <c r="B94" s="225" t="n"/>
      <c r="C94" s="225" t="n"/>
      <c r="D94" s="226" t="n"/>
      <c r="E94" s="226" t="n"/>
      <c r="F94" s="225" t="n"/>
      <c r="G94" s="226" t="n"/>
      <c r="P94">
        <f>IF(OR(B94="",C94=""),"",B94&amp;"|"&amp;C94)</f>
        <v/>
      </c>
      <c r="Q94">
        <f>IF(B94="","",IF(COUNTIF(B$6:B94,B94)=1,MAX(Q$5:Q93)+1,""))</f>
        <v/>
      </c>
      <c r="R94">
        <f>IF(OR(F94="",C94=""),"",COUNTIF(F$6:F94,"?*"))</f>
        <v/>
      </c>
    </row>
    <row r="95">
      <c r="B95" s="225" t="n"/>
      <c r="C95" s="225" t="n"/>
      <c r="D95" s="226" t="n"/>
      <c r="E95" s="226" t="n"/>
      <c r="F95" s="225" t="n"/>
      <c r="G95" s="226" t="n"/>
      <c r="P95">
        <f>IF(OR(B95="",C95=""),"",B95&amp;"|"&amp;C95)</f>
        <v/>
      </c>
      <c r="Q95">
        <f>IF(B95="","",IF(COUNTIF(B$6:B95,B95)=1,MAX(Q$5:Q94)+1,""))</f>
        <v/>
      </c>
      <c r="R95">
        <f>IF(OR(F95="",C95=""),"",COUNTIF(F$6:F95,"?*"))</f>
        <v/>
      </c>
    </row>
    <row r="96">
      <c r="B96" s="225" t="n"/>
      <c r="C96" s="225" t="n"/>
      <c r="D96" s="226" t="n"/>
      <c r="E96" s="226" t="n"/>
      <c r="F96" s="225" t="n"/>
      <c r="G96" s="226" t="n"/>
      <c r="P96">
        <f>IF(OR(B96="",C96=""),"",B96&amp;"|"&amp;C96)</f>
        <v/>
      </c>
      <c r="Q96">
        <f>IF(B96="","",IF(COUNTIF(B$6:B96,B96)=1,MAX(Q$5:Q95)+1,""))</f>
        <v/>
      </c>
      <c r="R96">
        <f>IF(OR(F96="",C96=""),"",COUNTIF(F$6:F96,"?*"))</f>
        <v/>
      </c>
    </row>
    <row r="97">
      <c r="B97" s="225" t="n"/>
      <c r="C97" s="225" t="n"/>
      <c r="D97" s="226" t="n"/>
      <c r="E97" s="226" t="n"/>
      <c r="F97" s="225" t="n"/>
      <c r="G97" s="226" t="n"/>
      <c r="P97">
        <f>IF(OR(B97="",C97=""),"",B97&amp;"|"&amp;C97)</f>
        <v/>
      </c>
      <c r="Q97">
        <f>IF(B97="","",IF(COUNTIF(B$6:B97,B97)=1,MAX(Q$5:Q96)+1,""))</f>
        <v/>
      </c>
      <c r="R97">
        <f>IF(OR(F97="",C97=""),"",COUNTIF(F$6:F97,"?*"))</f>
        <v/>
      </c>
    </row>
    <row r="98">
      <c r="B98" s="225" t="n"/>
      <c r="C98" s="225" t="n"/>
      <c r="D98" s="226" t="n"/>
      <c r="E98" s="226" t="n"/>
      <c r="F98" s="225" t="n"/>
      <c r="G98" s="226" t="n"/>
      <c r="P98">
        <f>IF(OR(B98="",C98=""),"",B98&amp;"|"&amp;C98)</f>
        <v/>
      </c>
      <c r="Q98">
        <f>IF(B98="","",IF(COUNTIF(B$6:B98,B98)=1,MAX(Q$5:Q97)+1,""))</f>
        <v/>
      </c>
      <c r="R98">
        <f>IF(OR(F98="",C98=""),"",COUNTIF(F$6:F98,"?*"))</f>
        <v/>
      </c>
    </row>
    <row r="99">
      <c r="B99" s="225" t="n"/>
      <c r="C99" s="225" t="n"/>
      <c r="D99" s="226" t="n"/>
      <c r="E99" s="226" t="n"/>
      <c r="F99" s="225" t="n"/>
      <c r="G99" s="226" t="n"/>
      <c r="P99">
        <f>IF(OR(B99="",C99=""),"",B99&amp;"|"&amp;C99)</f>
        <v/>
      </c>
      <c r="Q99">
        <f>IF(B99="","",IF(COUNTIF(B$6:B99,B99)=1,MAX(Q$5:Q98)+1,""))</f>
        <v/>
      </c>
      <c r="R99">
        <f>IF(OR(F99="",C99=""),"",COUNTIF(F$6:F99,"?*"))</f>
        <v/>
      </c>
    </row>
    <row r="100">
      <c r="B100" s="225" t="n"/>
      <c r="C100" s="225" t="n"/>
      <c r="D100" s="226" t="n"/>
      <c r="E100" s="226" t="n"/>
      <c r="F100" s="225" t="n"/>
      <c r="G100" s="226" t="n"/>
      <c r="P100">
        <f>IF(OR(B100="",C100=""),"",B100&amp;"|"&amp;C100)</f>
        <v/>
      </c>
      <c r="Q100">
        <f>IF(B100="","",IF(COUNTIF(B$6:B100,B100)=1,MAX(Q$5:Q99)+1,""))</f>
        <v/>
      </c>
      <c r="R100">
        <f>IF(OR(F100="",C100=""),"",COUNTIF(F$6:F100,"?*"))</f>
        <v/>
      </c>
    </row>
    <row r="101">
      <c r="B101" s="225" t="n"/>
      <c r="C101" s="225" t="n"/>
      <c r="D101" s="226" t="n"/>
      <c r="E101" s="226" t="n"/>
      <c r="F101" s="225" t="n"/>
      <c r="G101" s="226" t="n"/>
      <c r="P101">
        <f>IF(OR(B101="",C101=""),"",B101&amp;"|"&amp;C101)</f>
        <v/>
      </c>
      <c r="Q101">
        <f>IF(B101="","",IF(COUNTIF(B$6:B101,B101)=1,MAX(Q$5:Q100)+1,""))</f>
        <v/>
      </c>
      <c r="R101">
        <f>IF(OR(F101="",C101=""),"",COUNTIF(F$6:F101,"?*"))</f>
        <v/>
      </c>
    </row>
    <row r="102">
      <c r="B102" s="225" t="n"/>
      <c r="C102" s="225" t="n"/>
      <c r="D102" s="226" t="n"/>
      <c r="E102" s="226" t="n"/>
      <c r="F102" s="225" t="n"/>
      <c r="G102" s="226" t="n"/>
      <c r="P102">
        <f>IF(OR(B102="",C102=""),"",B102&amp;"|"&amp;C102)</f>
        <v/>
      </c>
      <c r="Q102">
        <f>IF(B102="","",IF(COUNTIF(B$6:B102,B102)=1,MAX(Q$5:Q101)+1,""))</f>
        <v/>
      </c>
      <c r="R102">
        <f>IF(OR(F102="",C102=""),"",COUNTIF(F$6:F102,"?*"))</f>
        <v/>
      </c>
    </row>
    <row r="103">
      <c r="B103" s="225" t="n"/>
      <c r="C103" s="225" t="n"/>
      <c r="D103" s="226" t="n"/>
      <c r="E103" s="226" t="n"/>
      <c r="F103" s="225" t="n"/>
      <c r="G103" s="226" t="n"/>
      <c r="P103">
        <f>IF(OR(B103="",C103=""),"",B103&amp;"|"&amp;C103)</f>
        <v/>
      </c>
      <c r="Q103">
        <f>IF(B103="","",IF(COUNTIF(B$6:B103,B103)=1,MAX(Q$5:Q102)+1,""))</f>
        <v/>
      </c>
      <c r="R103">
        <f>IF(OR(F103="",C103=""),"",COUNTIF(F$6:F103,"?*"))</f>
        <v/>
      </c>
    </row>
    <row r="104">
      <c r="B104" s="225" t="n"/>
      <c r="C104" s="225" t="n"/>
      <c r="D104" s="226" t="n"/>
      <c r="E104" s="226" t="n"/>
      <c r="F104" s="225" t="n"/>
      <c r="G104" s="226" t="n"/>
      <c r="P104">
        <f>IF(OR(B104="",C104=""),"",B104&amp;"|"&amp;C104)</f>
        <v/>
      </c>
      <c r="Q104">
        <f>IF(B104="","",IF(COUNTIF(B$6:B104,B104)=1,MAX(Q$5:Q103)+1,""))</f>
        <v/>
      </c>
      <c r="R104">
        <f>IF(OR(F104="",C104=""),"",COUNTIF(F$6:F104,"?*"))</f>
        <v/>
      </c>
    </row>
    <row r="105">
      <c r="B105" s="225" t="n"/>
      <c r="C105" s="225" t="n"/>
      <c r="D105" s="226" t="n"/>
      <c r="E105" s="226" t="n"/>
      <c r="F105" s="225" t="n"/>
      <c r="G105" s="226" t="n"/>
      <c r="P105">
        <f>IF(OR(B105="",C105=""),"",B105&amp;"|"&amp;C105)</f>
        <v/>
      </c>
      <c r="Q105">
        <f>IF(B105="","",IF(COUNTIF(B$6:B105,B105)=1,MAX(Q$5:Q104)+1,""))</f>
        <v/>
      </c>
      <c r="R105">
        <f>IF(OR(F105="",C105=""),"",COUNTIF(F$6:F105,"?*"))</f>
        <v/>
      </c>
    </row>
    <row r="106">
      <c r="B106" s="225" t="n"/>
      <c r="C106" s="225" t="n"/>
      <c r="D106" s="226" t="n"/>
      <c r="E106" s="226" t="n"/>
      <c r="F106" s="225" t="n"/>
      <c r="G106" s="226" t="n"/>
      <c r="P106">
        <f>IF(OR(B106="",C106=""),"",B106&amp;"|"&amp;C106)</f>
        <v/>
      </c>
      <c r="Q106">
        <f>IF(B106="","",IF(COUNTIF(B$6:B106,B106)=1,MAX(Q$5:Q105)+1,""))</f>
        <v/>
      </c>
      <c r="R106">
        <f>IF(OR(F106="",C106=""),"",COUNTIF(F$6:F106,"?*"))</f>
        <v/>
      </c>
    </row>
    <row r="107">
      <c r="B107" s="225" t="n"/>
      <c r="C107" s="225" t="n"/>
      <c r="D107" s="226" t="n"/>
      <c r="E107" s="226" t="n"/>
      <c r="F107" s="225" t="n"/>
      <c r="G107" s="226" t="n"/>
      <c r="P107">
        <f>IF(OR(B107="",C107=""),"",B107&amp;"|"&amp;C107)</f>
        <v/>
      </c>
      <c r="Q107">
        <f>IF(B107="","",IF(COUNTIF(B$6:B107,B107)=1,MAX(Q$5:Q106)+1,""))</f>
        <v/>
      </c>
      <c r="R107">
        <f>IF(OR(F107="",C107=""),"",COUNTIF(F$6:F107,"?*"))</f>
        <v/>
      </c>
    </row>
    <row r="108">
      <c r="B108" s="225" t="n"/>
      <c r="C108" s="225" t="n"/>
      <c r="D108" s="226" t="n"/>
      <c r="E108" s="226" t="n"/>
      <c r="F108" s="225" t="n"/>
      <c r="G108" s="226" t="n"/>
      <c r="P108">
        <f>IF(OR(B108="",C108=""),"",B108&amp;"|"&amp;C108)</f>
        <v/>
      </c>
      <c r="Q108">
        <f>IF(B108="","",IF(COUNTIF(B$6:B108,B108)=1,MAX(Q$5:Q107)+1,""))</f>
        <v/>
      </c>
      <c r="R108">
        <f>IF(OR(F108="",C108=""),"",COUNTIF(F$6:F108,"?*"))</f>
        <v/>
      </c>
    </row>
    <row r="109">
      <c r="B109" s="225" t="n"/>
      <c r="C109" s="225" t="n"/>
      <c r="D109" s="226" t="n"/>
      <c r="E109" s="226" t="n"/>
      <c r="F109" s="225" t="n"/>
      <c r="G109" s="226" t="n"/>
      <c r="P109">
        <f>IF(OR(B109="",C109=""),"",B109&amp;"|"&amp;C109)</f>
        <v/>
      </c>
      <c r="Q109">
        <f>IF(B109="","",IF(COUNTIF(B$6:B109,B109)=1,MAX(Q$5:Q108)+1,""))</f>
        <v/>
      </c>
      <c r="R109">
        <f>IF(OR(F109="",C109=""),"",COUNTIF(F$6:F109,"?*"))</f>
        <v/>
      </c>
    </row>
    <row r="110">
      <c r="B110" s="225" t="n"/>
      <c r="C110" s="225" t="n"/>
      <c r="D110" s="226" t="n"/>
      <c r="E110" s="226" t="n"/>
      <c r="F110" s="225" t="n"/>
      <c r="G110" s="226" t="n"/>
      <c r="P110">
        <f>IF(OR(B110="",C110=""),"",B110&amp;"|"&amp;C110)</f>
        <v/>
      </c>
      <c r="Q110">
        <f>IF(B110="","",IF(COUNTIF(B$6:B110,B110)=1,MAX(Q$5:Q109)+1,""))</f>
        <v/>
      </c>
      <c r="R110">
        <f>IF(OR(F110="",C110=""),"",COUNTIF(F$6:F110,"?*"))</f>
        <v/>
      </c>
    </row>
    <row r="111">
      <c r="B111" s="225" t="n"/>
      <c r="C111" s="225" t="n"/>
      <c r="D111" s="226" t="n"/>
      <c r="E111" s="226" t="n"/>
      <c r="F111" s="225" t="n"/>
      <c r="G111" s="226" t="n"/>
      <c r="P111">
        <f>IF(OR(B111="",C111=""),"",B111&amp;"|"&amp;C111)</f>
        <v/>
      </c>
      <c r="Q111">
        <f>IF(B111="","",IF(COUNTIF(B$6:B111,B111)=1,MAX(Q$5:Q110)+1,""))</f>
        <v/>
      </c>
      <c r="R111">
        <f>IF(OR(F111="",C111=""),"",COUNTIF(F$6:F111,"?*"))</f>
        <v/>
      </c>
    </row>
    <row r="112">
      <c r="B112" s="225" t="n"/>
      <c r="C112" s="225" t="n"/>
      <c r="D112" s="226" t="n"/>
      <c r="E112" s="226" t="n"/>
      <c r="F112" s="225" t="n"/>
      <c r="G112" s="226" t="n"/>
      <c r="P112">
        <f>IF(OR(B112="",C112=""),"",B112&amp;"|"&amp;C112)</f>
        <v/>
      </c>
      <c r="Q112">
        <f>IF(B112="","",IF(COUNTIF(B$6:B112,B112)=1,MAX(Q$5:Q111)+1,""))</f>
        <v/>
      </c>
      <c r="R112">
        <f>IF(OR(F112="",C112=""),"",COUNTIF(F$6:F112,"?*"))</f>
        <v/>
      </c>
    </row>
    <row r="113">
      <c r="B113" s="225" t="n"/>
      <c r="C113" s="225" t="n"/>
      <c r="D113" s="226" t="n"/>
      <c r="E113" s="226" t="n"/>
      <c r="F113" s="225" t="n"/>
      <c r="G113" s="226" t="n"/>
      <c r="P113">
        <f>IF(OR(B113="",C113=""),"",B113&amp;"|"&amp;C113)</f>
        <v/>
      </c>
      <c r="Q113">
        <f>IF(B113="","",IF(COUNTIF(B$6:B113,B113)=1,MAX(Q$5:Q112)+1,""))</f>
        <v/>
      </c>
      <c r="R113">
        <f>IF(OR(F113="",C113=""),"",COUNTIF(F$6:F113,"?*"))</f>
        <v/>
      </c>
    </row>
    <row r="114">
      <c r="B114" s="225" t="n"/>
      <c r="C114" s="225" t="n"/>
      <c r="D114" s="226" t="n"/>
      <c r="E114" s="226" t="n"/>
      <c r="F114" s="225" t="n"/>
      <c r="G114" s="226" t="n"/>
      <c r="P114">
        <f>IF(OR(B114="",C114=""),"",B114&amp;"|"&amp;C114)</f>
        <v/>
      </c>
      <c r="Q114">
        <f>IF(B114="","",IF(COUNTIF(B$6:B114,B114)=1,MAX(Q$5:Q113)+1,""))</f>
        <v/>
      </c>
      <c r="R114">
        <f>IF(OR(F114="",C114=""),"",COUNTIF(F$6:F114,"?*"))</f>
        <v/>
      </c>
    </row>
    <row r="115">
      <c r="B115" s="225" t="n"/>
      <c r="C115" s="225" t="n"/>
      <c r="D115" s="226" t="n"/>
      <c r="E115" s="226" t="n"/>
      <c r="F115" s="225" t="n"/>
      <c r="G115" s="226" t="n"/>
      <c r="P115">
        <f>IF(OR(B115="",C115=""),"",B115&amp;"|"&amp;C115)</f>
        <v/>
      </c>
      <c r="Q115">
        <f>IF(B115="","",IF(COUNTIF(B$6:B115,B115)=1,MAX(Q$5:Q114)+1,""))</f>
        <v/>
      </c>
      <c r="R115">
        <f>IF(OR(F115="",C115=""),"",COUNTIF(F$6:F115,"?*"))</f>
        <v/>
      </c>
    </row>
    <row r="116">
      <c r="B116" s="225" t="n"/>
      <c r="C116" s="225" t="n"/>
      <c r="D116" s="226" t="n"/>
      <c r="E116" s="226" t="n"/>
      <c r="F116" s="225" t="n"/>
      <c r="G116" s="226" t="n"/>
      <c r="P116">
        <f>IF(OR(B116="",C116=""),"",B116&amp;"|"&amp;C116)</f>
        <v/>
      </c>
      <c r="Q116">
        <f>IF(B116="","",IF(COUNTIF(B$6:B116,B116)=1,MAX(Q$5:Q115)+1,""))</f>
        <v/>
      </c>
      <c r="R116">
        <f>IF(OR(F116="",C116=""),"",COUNTIF(F$6:F116,"?*"))</f>
        <v/>
      </c>
    </row>
    <row r="117">
      <c r="B117" s="225" t="n"/>
      <c r="C117" s="225" t="n"/>
      <c r="D117" s="226" t="n"/>
      <c r="E117" s="226" t="n"/>
      <c r="F117" s="225" t="n"/>
      <c r="G117" s="226" t="n"/>
      <c r="P117">
        <f>IF(OR(B117="",C117=""),"",B117&amp;"|"&amp;C117)</f>
        <v/>
      </c>
      <c r="Q117">
        <f>IF(B117="","",IF(COUNTIF(B$6:B117,B117)=1,MAX(Q$5:Q116)+1,""))</f>
        <v/>
      </c>
      <c r="R117">
        <f>IF(OR(F117="",C117=""),"",COUNTIF(F$6:F117,"?*"))</f>
        <v/>
      </c>
    </row>
    <row r="118">
      <c r="B118" s="225" t="n"/>
      <c r="C118" s="225" t="n"/>
      <c r="D118" s="226" t="n"/>
      <c r="E118" s="226" t="n"/>
      <c r="F118" s="225" t="n"/>
      <c r="G118" s="226" t="n"/>
      <c r="P118">
        <f>IF(OR(B118="",C118=""),"",B118&amp;"|"&amp;C118)</f>
        <v/>
      </c>
      <c r="Q118">
        <f>IF(B118="","",IF(COUNTIF(B$6:B118,B118)=1,MAX(Q$5:Q117)+1,""))</f>
        <v/>
      </c>
      <c r="R118">
        <f>IF(OR(F118="",C118=""),"",COUNTIF(F$6:F118,"?*"))</f>
        <v/>
      </c>
    </row>
    <row r="119">
      <c r="B119" s="225" t="n"/>
      <c r="C119" s="225" t="n"/>
      <c r="D119" s="226" t="n"/>
      <c r="E119" s="226" t="n"/>
      <c r="F119" s="225" t="n"/>
      <c r="G119" s="226" t="n"/>
      <c r="P119">
        <f>IF(OR(B119="",C119=""),"",B119&amp;"|"&amp;C119)</f>
        <v/>
      </c>
      <c r="Q119">
        <f>IF(B119="","",IF(COUNTIF(B$6:B119,B119)=1,MAX(Q$5:Q118)+1,""))</f>
        <v/>
      </c>
      <c r="R119">
        <f>IF(OR(F119="",C119=""),"",COUNTIF(F$6:F119,"?*"))</f>
        <v/>
      </c>
    </row>
    <row r="120">
      <c r="B120" s="225" t="n"/>
      <c r="C120" s="225" t="n"/>
      <c r="D120" s="226" t="n"/>
      <c r="E120" s="226" t="n"/>
      <c r="F120" s="225" t="n"/>
      <c r="G120" s="226" t="n"/>
      <c r="P120">
        <f>IF(OR(B120="",C120=""),"",B120&amp;"|"&amp;C120)</f>
        <v/>
      </c>
      <c r="Q120">
        <f>IF(B120="","",IF(COUNTIF(B$6:B120,B120)=1,MAX(Q$5:Q119)+1,""))</f>
        <v/>
      </c>
      <c r="R120">
        <f>IF(OR(F120="",C120=""),"",COUNTIF(F$6:F120,"?*"))</f>
        <v/>
      </c>
    </row>
    <row r="121">
      <c r="B121" s="225" t="n"/>
      <c r="C121" s="225" t="n"/>
      <c r="D121" s="226" t="n"/>
      <c r="E121" s="226" t="n"/>
      <c r="F121" s="225" t="n"/>
      <c r="G121" s="226" t="n"/>
      <c r="P121">
        <f>IF(OR(B121="",C121=""),"",B121&amp;"|"&amp;C121)</f>
        <v/>
      </c>
      <c r="Q121">
        <f>IF(B121="","",IF(COUNTIF(B$6:B121,B121)=1,MAX(Q$5:Q120)+1,""))</f>
        <v/>
      </c>
      <c r="R121">
        <f>IF(OR(F121="",C121=""),"",COUNTIF(F$6:F121,"?*"))</f>
        <v/>
      </c>
    </row>
    <row r="122">
      <c r="B122" s="225" t="n"/>
      <c r="C122" s="225" t="n"/>
      <c r="D122" s="226" t="n"/>
      <c r="E122" s="226" t="n"/>
      <c r="F122" s="225" t="n"/>
      <c r="G122" s="226" t="n"/>
      <c r="P122">
        <f>IF(OR(B122="",C122=""),"",B122&amp;"|"&amp;C122)</f>
        <v/>
      </c>
      <c r="Q122">
        <f>IF(B122="","",IF(COUNTIF(B$6:B122,B122)=1,MAX(Q$5:Q121)+1,""))</f>
        <v/>
      </c>
      <c r="R122">
        <f>IF(OR(F122="",C122=""),"",COUNTIF(F$6:F122,"?*"))</f>
        <v/>
      </c>
    </row>
    <row r="123">
      <c r="B123" s="225" t="n"/>
      <c r="C123" s="225" t="n"/>
      <c r="D123" s="226" t="n"/>
      <c r="E123" s="226" t="n"/>
      <c r="F123" s="225" t="n"/>
      <c r="G123" s="226" t="n"/>
      <c r="P123">
        <f>IF(OR(B123="",C123=""),"",B123&amp;"|"&amp;C123)</f>
        <v/>
      </c>
      <c r="Q123">
        <f>IF(B123="","",IF(COUNTIF(B$6:B123,B123)=1,MAX(Q$5:Q122)+1,""))</f>
        <v/>
      </c>
      <c r="R123">
        <f>IF(OR(F123="",C123=""),"",COUNTIF(F$6:F123,"?*"))</f>
        <v/>
      </c>
    </row>
    <row r="124">
      <c r="B124" s="225" t="n"/>
      <c r="C124" s="225" t="n"/>
      <c r="D124" s="226" t="n"/>
      <c r="E124" s="226" t="n"/>
      <c r="F124" s="225" t="n"/>
      <c r="G124" s="226" t="n"/>
      <c r="P124">
        <f>IF(OR(B124="",C124=""),"",B124&amp;"|"&amp;C124)</f>
        <v/>
      </c>
      <c r="Q124">
        <f>IF(B124="","",IF(COUNTIF(B$6:B124,B124)=1,MAX(Q$5:Q123)+1,""))</f>
        <v/>
      </c>
      <c r="R124">
        <f>IF(OR(F124="",C124=""),"",COUNTIF(F$6:F124,"?*"))</f>
        <v/>
      </c>
    </row>
    <row r="125">
      <c r="B125" s="225" t="n"/>
      <c r="C125" s="225" t="n"/>
      <c r="D125" s="226" t="n"/>
      <c r="E125" s="226" t="n"/>
      <c r="F125" s="225" t="n"/>
      <c r="G125" s="226" t="n"/>
      <c r="P125">
        <f>IF(OR(B125="",C125=""),"",B125&amp;"|"&amp;C125)</f>
        <v/>
      </c>
      <c r="Q125">
        <f>IF(B125="","",IF(COUNTIF(B$6:B125,B125)=1,MAX(Q$5:Q124)+1,""))</f>
        <v/>
      </c>
      <c r="R125">
        <f>IF(OR(F125="",C125=""),"",COUNTIF(F$6:F125,"?*"))</f>
        <v/>
      </c>
    </row>
    <row r="126">
      <c r="B126" s="225" t="n"/>
      <c r="C126" s="225" t="n"/>
      <c r="D126" s="226" t="n"/>
      <c r="E126" s="226" t="n"/>
      <c r="F126" s="225" t="n"/>
      <c r="G126" s="226" t="n"/>
      <c r="P126">
        <f>IF(OR(B126="",C126=""),"",B126&amp;"|"&amp;C126)</f>
        <v/>
      </c>
      <c r="Q126">
        <f>IF(B126="","",IF(COUNTIF(B$6:B126,B126)=1,MAX(Q$5:Q125)+1,""))</f>
        <v/>
      </c>
      <c r="R126">
        <f>IF(OR(F126="",C126=""),"",COUNTIF(F$6:F126,"?*"))</f>
        <v/>
      </c>
    </row>
    <row r="127">
      <c r="B127" s="225" t="n"/>
      <c r="C127" s="225" t="n"/>
      <c r="D127" s="226" t="n"/>
      <c r="E127" s="226" t="n"/>
      <c r="F127" s="225" t="n"/>
      <c r="G127" s="226" t="n"/>
      <c r="P127">
        <f>IF(OR(B127="",C127=""),"",B127&amp;"|"&amp;C127)</f>
        <v/>
      </c>
      <c r="Q127">
        <f>IF(B127="","",IF(COUNTIF(B$6:B127,B127)=1,MAX(Q$5:Q126)+1,""))</f>
        <v/>
      </c>
      <c r="R127">
        <f>IF(OR(F127="",C127=""),"",COUNTIF(F$6:F127,"?*"))</f>
        <v/>
      </c>
    </row>
    <row r="128">
      <c r="B128" s="225" t="n"/>
      <c r="C128" s="225" t="n"/>
      <c r="D128" s="226" t="n"/>
      <c r="E128" s="226" t="n"/>
      <c r="F128" s="225" t="n"/>
      <c r="G128" s="226" t="n"/>
      <c r="P128">
        <f>IF(OR(B128="",C128=""),"",B128&amp;"|"&amp;C128)</f>
        <v/>
      </c>
      <c r="Q128">
        <f>IF(B128="","",IF(COUNTIF(B$6:B128,B128)=1,MAX(Q$5:Q127)+1,""))</f>
        <v/>
      </c>
      <c r="R128">
        <f>IF(OR(F128="",C128=""),"",COUNTIF(F$6:F128,"?*"))</f>
        <v/>
      </c>
    </row>
    <row r="129">
      <c r="B129" s="225" t="n"/>
      <c r="C129" s="225" t="n"/>
      <c r="D129" s="226" t="n"/>
      <c r="E129" s="226" t="n"/>
      <c r="F129" s="225" t="n"/>
      <c r="G129" s="226" t="n"/>
      <c r="P129">
        <f>IF(OR(B129="",C129=""),"",B129&amp;"|"&amp;C129)</f>
        <v/>
      </c>
      <c r="Q129">
        <f>IF(B129="","",IF(COUNTIF(B$6:B129,B129)=1,MAX(Q$5:Q128)+1,""))</f>
        <v/>
      </c>
      <c r="R129">
        <f>IF(OR(F129="",C129=""),"",COUNTIF(F$6:F129,"?*"))</f>
        <v/>
      </c>
    </row>
    <row r="130">
      <c r="B130" s="225" t="n"/>
      <c r="C130" s="225" t="n"/>
      <c r="D130" s="226" t="n"/>
      <c r="E130" s="226" t="n"/>
      <c r="F130" s="225" t="n"/>
      <c r="G130" s="226" t="n"/>
      <c r="P130">
        <f>IF(OR(B130="",C130=""),"",B130&amp;"|"&amp;C130)</f>
        <v/>
      </c>
      <c r="Q130">
        <f>IF(B130="","",IF(COUNTIF(B$6:B130,B130)=1,MAX(Q$5:Q129)+1,""))</f>
        <v/>
      </c>
      <c r="R130">
        <f>IF(OR(F130="",C130=""),"",COUNTIF(F$6:F130,"?*"))</f>
        <v/>
      </c>
    </row>
    <row r="131">
      <c r="B131" s="225" t="n"/>
      <c r="C131" s="225" t="n"/>
      <c r="D131" s="226" t="n"/>
      <c r="E131" s="226" t="n"/>
      <c r="F131" s="225" t="n"/>
      <c r="G131" s="226" t="n"/>
      <c r="P131">
        <f>IF(OR(B131="",C131=""),"",B131&amp;"|"&amp;C131)</f>
        <v/>
      </c>
      <c r="Q131">
        <f>IF(B131="","",IF(COUNTIF(B$6:B131,B131)=1,MAX(Q$5:Q130)+1,""))</f>
        <v/>
      </c>
      <c r="R131">
        <f>IF(OR(F131="",C131=""),"",COUNTIF(F$6:F131,"?*"))</f>
        <v/>
      </c>
    </row>
    <row r="132">
      <c r="B132" s="225" t="n"/>
      <c r="C132" s="225" t="n"/>
      <c r="D132" s="226" t="n"/>
      <c r="E132" s="226" t="n"/>
      <c r="F132" s="225" t="n"/>
      <c r="G132" s="226" t="n"/>
      <c r="P132">
        <f>IF(OR(B132="",C132=""),"",B132&amp;"|"&amp;C132)</f>
        <v/>
      </c>
      <c r="Q132">
        <f>IF(B132="","",IF(COUNTIF(B$6:B132,B132)=1,MAX(Q$5:Q131)+1,""))</f>
        <v/>
      </c>
      <c r="R132">
        <f>IF(OR(F132="",C132=""),"",COUNTIF(F$6:F132,"?*"))</f>
        <v/>
      </c>
    </row>
    <row r="133">
      <c r="B133" s="225" t="n"/>
      <c r="C133" s="225" t="n"/>
      <c r="D133" s="226" t="n"/>
      <c r="E133" s="226" t="n"/>
      <c r="F133" s="225" t="n"/>
      <c r="G133" s="226" t="n"/>
      <c r="P133">
        <f>IF(OR(B133="",C133=""),"",B133&amp;"|"&amp;C133)</f>
        <v/>
      </c>
      <c r="Q133">
        <f>IF(B133="","",IF(COUNTIF(B$6:B133,B133)=1,MAX(Q$5:Q132)+1,""))</f>
        <v/>
      </c>
      <c r="R133">
        <f>IF(OR(F133="",C133=""),"",COUNTIF(F$6:F133,"?*"))</f>
        <v/>
      </c>
    </row>
    <row r="134">
      <c r="B134" s="225" t="n"/>
      <c r="C134" s="225" t="n"/>
      <c r="D134" s="226" t="n"/>
      <c r="E134" s="226" t="n"/>
      <c r="F134" s="225" t="n"/>
      <c r="G134" s="226" t="n"/>
      <c r="P134">
        <f>IF(OR(B134="",C134=""),"",B134&amp;"|"&amp;C134)</f>
        <v/>
      </c>
      <c r="Q134">
        <f>IF(B134="","",IF(COUNTIF(B$6:B134,B134)=1,MAX(Q$5:Q133)+1,""))</f>
        <v/>
      </c>
      <c r="R134">
        <f>IF(OR(F134="",C134=""),"",COUNTIF(F$6:F134,"?*"))</f>
        <v/>
      </c>
    </row>
    <row r="135">
      <c r="B135" s="225" t="n"/>
      <c r="C135" s="225" t="n"/>
      <c r="D135" s="226" t="n"/>
      <c r="E135" s="226" t="n"/>
      <c r="F135" s="225" t="n"/>
      <c r="G135" s="226" t="n"/>
      <c r="P135">
        <f>IF(OR(B135="",C135=""),"",B135&amp;"|"&amp;C135)</f>
        <v/>
      </c>
      <c r="Q135">
        <f>IF(B135="","",IF(COUNTIF(B$6:B135,B135)=1,MAX(Q$5:Q134)+1,""))</f>
        <v/>
      </c>
      <c r="R135">
        <f>IF(OR(F135="",C135=""),"",COUNTIF(F$6:F135,"?*"))</f>
        <v/>
      </c>
    </row>
    <row r="136">
      <c r="B136" s="225" t="n"/>
      <c r="C136" s="225" t="n"/>
      <c r="D136" s="226" t="n"/>
      <c r="E136" s="226" t="n"/>
      <c r="F136" s="225" t="n"/>
      <c r="G136" s="226" t="n"/>
      <c r="P136">
        <f>IF(OR(B136="",C136=""),"",B136&amp;"|"&amp;C136)</f>
        <v/>
      </c>
      <c r="Q136">
        <f>IF(B136="","",IF(COUNTIF(B$6:B136,B136)=1,MAX(Q$5:Q135)+1,""))</f>
        <v/>
      </c>
      <c r="R136">
        <f>IF(OR(F136="",C136=""),"",COUNTIF(F$6:F136,"?*"))</f>
        <v/>
      </c>
    </row>
    <row r="137">
      <c r="B137" s="225" t="n"/>
      <c r="C137" s="225" t="n"/>
      <c r="D137" s="226" t="n"/>
      <c r="E137" s="226" t="n"/>
      <c r="F137" s="225" t="n"/>
      <c r="G137" s="226" t="n"/>
      <c r="P137">
        <f>IF(OR(B137="",C137=""),"",B137&amp;"|"&amp;C137)</f>
        <v/>
      </c>
      <c r="Q137">
        <f>IF(B137="","",IF(COUNTIF(B$6:B137,B137)=1,MAX(Q$5:Q136)+1,""))</f>
        <v/>
      </c>
      <c r="R137">
        <f>IF(OR(F137="",C137=""),"",COUNTIF(F$6:F137,"?*"))</f>
        <v/>
      </c>
    </row>
    <row r="138">
      <c r="B138" s="225" t="n"/>
      <c r="C138" s="225" t="n"/>
      <c r="D138" s="226" t="n"/>
      <c r="E138" s="226" t="n"/>
      <c r="F138" s="225" t="n"/>
      <c r="G138" s="226" t="n"/>
      <c r="P138">
        <f>IF(OR(B138="",C138=""),"",B138&amp;"|"&amp;C138)</f>
        <v/>
      </c>
      <c r="Q138">
        <f>IF(B138="","",IF(COUNTIF(B$6:B138,B138)=1,MAX(Q$5:Q137)+1,""))</f>
        <v/>
      </c>
      <c r="R138">
        <f>IF(OR(F138="",C138=""),"",COUNTIF(F$6:F138,"?*"))</f>
        <v/>
      </c>
    </row>
    <row r="139">
      <c r="B139" s="225" t="n"/>
      <c r="C139" s="225" t="n"/>
      <c r="D139" s="226" t="n"/>
      <c r="E139" s="226" t="n"/>
      <c r="F139" s="225" t="n"/>
      <c r="G139" s="226" t="n"/>
      <c r="P139">
        <f>IF(OR(B139="",C139=""),"",B139&amp;"|"&amp;C139)</f>
        <v/>
      </c>
      <c r="Q139">
        <f>IF(B139="","",IF(COUNTIF(B$6:B139,B139)=1,MAX(Q$5:Q138)+1,""))</f>
        <v/>
      </c>
      <c r="R139">
        <f>IF(OR(F139="",C139=""),"",COUNTIF(F$6:F139,"?*"))</f>
        <v/>
      </c>
    </row>
    <row r="140">
      <c r="B140" s="225" t="n"/>
      <c r="C140" s="225" t="n"/>
      <c r="D140" s="226" t="n"/>
      <c r="E140" s="226" t="n"/>
      <c r="F140" s="225" t="n"/>
      <c r="G140" s="226" t="n"/>
      <c r="P140">
        <f>IF(OR(B140="",C140=""),"",B140&amp;"|"&amp;C140)</f>
        <v/>
      </c>
      <c r="Q140">
        <f>IF(B140="","",IF(COUNTIF(B$6:B140,B140)=1,MAX(Q$5:Q139)+1,""))</f>
        <v/>
      </c>
      <c r="R140">
        <f>IF(OR(F140="",C140=""),"",COUNTIF(F$6:F140,"?*"))</f>
        <v/>
      </c>
    </row>
    <row r="141">
      <c r="B141" s="225" t="n"/>
      <c r="C141" s="225" t="n"/>
      <c r="D141" s="226" t="n"/>
      <c r="E141" s="226" t="n"/>
      <c r="F141" s="225" t="n"/>
      <c r="G141" s="226" t="n"/>
      <c r="P141">
        <f>IF(OR(B141="",C141=""),"",B141&amp;"|"&amp;C141)</f>
        <v/>
      </c>
      <c r="Q141">
        <f>IF(B141="","",IF(COUNTIF(B$6:B141,B141)=1,MAX(Q$5:Q140)+1,""))</f>
        <v/>
      </c>
      <c r="R141">
        <f>IF(OR(F141="",C141=""),"",COUNTIF(F$6:F141,"?*"))</f>
        <v/>
      </c>
    </row>
    <row r="142">
      <c r="B142" s="225" t="n"/>
      <c r="C142" s="225" t="n"/>
      <c r="D142" s="226" t="n"/>
      <c r="E142" s="226" t="n"/>
      <c r="F142" s="225" t="n"/>
      <c r="G142" s="226" t="n"/>
      <c r="P142">
        <f>IF(OR(B142="",C142=""),"",B142&amp;"|"&amp;C142)</f>
        <v/>
      </c>
      <c r="Q142">
        <f>IF(B142="","",IF(COUNTIF(B$6:B142,B142)=1,MAX(Q$5:Q141)+1,""))</f>
        <v/>
      </c>
      <c r="R142">
        <f>IF(OR(F142="",C142=""),"",COUNTIF(F$6:F142,"?*"))</f>
        <v/>
      </c>
    </row>
    <row r="143">
      <c r="B143" s="225" t="n"/>
      <c r="C143" s="225" t="n"/>
      <c r="D143" s="226" t="n"/>
      <c r="E143" s="226" t="n"/>
      <c r="F143" s="225" t="n"/>
      <c r="G143" s="226" t="n"/>
      <c r="P143">
        <f>IF(OR(B143="",C143=""),"",B143&amp;"|"&amp;C143)</f>
        <v/>
      </c>
      <c r="Q143">
        <f>IF(B143="","",IF(COUNTIF(B$6:B143,B143)=1,MAX(Q$5:Q142)+1,""))</f>
        <v/>
      </c>
      <c r="R143">
        <f>IF(OR(F143="",C143=""),"",COUNTIF(F$6:F143,"?*"))</f>
        <v/>
      </c>
    </row>
    <row r="144">
      <c r="B144" s="225" t="n"/>
      <c r="C144" s="225" t="n"/>
      <c r="D144" s="226" t="n"/>
      <c r="E144" s="226" t="n"/>
      <c r="F144" s="225" t="n"/>
      <c r="G144" s="226" t="n"/>
      <c r="P144">
        <f>IF(OR(B144="",C144=""),"",B144&amp;"|"&amp;C144)</f>
        <v/>
      </c>
      <c r="Q144">
        <f>IF(B144="","",IF(COUNTIF(B$6:B144,B144)=1,MAX(Q$5:Q143)+1,""))</f>
        <v/>
      </c>
      <c r="R144">
        <f>IF(OR(F144="",C144=""),"",COUNTIF(F$6:F144,"?*"))</f>
        <v/>
      </c>
    </row>
    <row r="145">
      <c r="B145" s="225" t="n"/>
      <c r="C145" s="225" t="n"/>
      <c r="D145" s="226" t="n"/>
      <c r="E145" s="226" t="n"/>
      <c r="F145" s="225" t="n"/>
      <c r="G145" s="226" t="n"/>
      <c r="P145">
        <f>IF(OR(B145="",C145=""),"",B145&amp;"|"&amp;C145)</f>
        <v/>
      </c>
      <c r="Q145">
        <f>IF(B145="","",IF(COUNTIF(B$6:B145,B145)=1,MAX(Q$5:Q144)+1,""))</f>
        <v/>
      </c>
      <c r="R145">
        <f>IF(OR(F145="",C145=""),"",COUNTIF(F$6:F145,"?*"))</f>
        <v/>
      </c>
    </row>
    <row r="146">
      <c r="B146" s="225" t="n"/>
      <c r="C146" s="225" t="n"/>
      <c r="D146" s="226" t="n"/>
      <c r="E146" s="226" t="n"/>
      <c r="F146" s="225" t="n"/>
      <c r="G146" s="226" t="n"/>
      <c r="P146">
        <f>IF(OR(B146="",C146=""),"",B146&amp;"|"&amp;C146)</f>
        <v/>
      </c>
      <c r="Q146">
        <f>IF(B146="","",IF(COUNTIF(B$6:B146,B146)=1,MAX(Q$5:Q145)+1,""))</f>
        <v/>
      </c>
      <c r="R146">
        <f>IF(OR(F146="",C146=""),"",COUNTIF(F$6:F146,"?*"))</f>
        <v/>
      </c>
    </row>
    <row r="147">
      <c r="B147" s="225" t="n"/>
      <c r="C147" s="225" t="n"/>
      <c r="D147" s="226" t="n"/>
      <c r="E147" s="226" t="n"/>
      <c r="F147" s="225" t="n"/>
      <c r="G147" s="226" t="n"/>
      <c r="P147">
        <f>IF(OR(B147="",C147=""),"",B147&amp;"|"&amp;C147)</f>
        <v/>
      </c>
      <c r="Q147">
        <f>IF(B147="","",IF(COUNTIF(B$6:B147,B147)=1,MAX(Q$5:Q146)+1,""))</f>
        <v/>
      </c>
      <c r="R147">
        <f>IF(OR(F147="",C147=""),"",COUNTIF(F$6:F147,"?*"))</f>
        <v/>
      </c>
    </row>
    <row r="148">
      <c r="B148" s="225" t="n"/>
      <c r="C148" s="225" t="n"/>
      <c r="D148" s="226" t="n"/>
      <c r="E148" s="226" t="n"/>
      <c r="F148" s="225" t="n"/>
      <c r="G148" s="226" t="n"/>
      <c r="P148">
        <f>IF(OR(B148="",C148=""),"",B148&amp;"|"&amp;C148)</f>
        <v/>
      </c>
      <c r="Q148">
        <f>IF(B148="","",IF(COUNTIF(B$6:B148,B148)=1,MAX(Q$5:Q147)+1,""))</f>
        <v/>
      </c>
      <c r="R148">
        <f>IF(OR(F148="",C148=""),"",COUNTIF(F$6:F148,"?*"))</f>
        <v/>
      </c>
    </row>
    <row r="149">
      <c r="B149" s="225" t="n"/>
      <c r="C149" s="225" t="n"/>
      <c r="D149" s="226" t="n"/>
      <c r="E149" s="226" t="n"/>
      <c r="F149" s="225" t="n"/>
      <c r="G149" s="226" t="n"/>
      <c r="P149">
        <f>IF(OR(B149="",C149=""),"",B149&amp;"|"&amp;C149)</f>
        <v/>
      </c>
      <c r="Q149">
        <f>IF(B149="","",IF(COUNTIF(B$6:B149,B149)=1,MAX(Q$5:Q148)+1,""))</f>
        <v/>
      </c>
      <c r="R149">
        <f>IF(OR(F149="",C149=""),"",COUNTIF(F$6:F149,"?*"))</f>
        <v/>
      </c>
    </row>
    <row r="150">
      <c r="B150" s="225" t="n"/>
      <c r="C150" s="225" t="n"/>
      <c r="D150" s="226" t="n"/>
      <c r="E150" s="226" t="n"/>
      <c r="F150" s="225" t="n"/>
      <c r="G150" s="226" t="n"/>
      <c r="P150">
        <f>IF(OR(B150="",C150=""),"",B150&amp;"|"&amp;C150)</f>
        <v/>
      </c>
      <c r="Q150">
        <f>IF(B150="","",IF(COUNTIF(B$6:B150,B150)=1,MAX(Q$5:Q149)+1,""))</f>
        <v/>
      </c>
      <c r="R150">
        <f>IF(OR(F150="",C150=""),"",COUNTIF(F$6:F150,"?*"))</f>
        <v/>
      </c>
    </row>
    <row r="151">
      <c r="B151" s="225" t="n"/>
      <c r="C151" s="225" t="n"/>
      <c r="D151" s="226" t="n"/>
      <c r="E151" s="226" t="n"/>
      <c r="F151" s="225" t="n"/>
      <c r="G151" s="226" t="n"/>
      <c r="P151">
        <f>IF(OR(B151="",C151=""),"",B151&amp;"|"&amp;C151)</f>
        <v/>
      </c>
      <c r="Q151">
        <f>IF(B151="","",IF(COUNTIF(B$6:B151,B151)=1,MAX(Q$5:Q150)+1,""))</f>
        <v/>
      </c>
      <c r="R151">
        <f>IF(OR(F151="",C151=""),"",COUNTIF(F$6:F151,"?*"))</f>
        <v/>
      </c>
    </row>
    <row r="152">
      <c r="B152" s="225" t="n"/>
      <c r="C152" s="225" t="n"/>
      <c r="D152" s="226" t="n"/>
      <c r="E152" s="226" t="n"/>
      <c r="F152" s="225" t="n"/>
      <c r="G152" s="226" t="n"/>
      <c r="P152">
        <f>IF(OR(B152="",C152=""),"",B152&amp;"|"&amp;C152)</f>
        <v/>
      </c>
      <c r="Q152">
        <f>IF(B152="","",IF(COUNTIF(B$6:B152,B152)=1,MAX(Q$5:Q151)+1,""))</f>
        <v/>
      </c>
      <c r="R152">
        <f>IF(OR(F152="",C152=""),"",COUNTIF(F$6:F152,"?*"))</f>
        <v/>
      </c>
    </row>
    <row r="153">
      <c r="B153" s="225" t="n"/>
      <c r="C153" s="225" t="n"/>
      <c r="D153" s="226" t="n"/>
      <c r="E153" s="226" t="n"/>
      <c r="F153" s="225" t="n"/>
      <c r="G153" s="226" t="n"/>
      <c r="P153">
        <f>IF(OR(B153="",C153=""),"",B153&amp;"|"&amp;C153)</f>
        <v/>
      </c>
      <c r="Q153">
        <f>IF(B153="","",IF(COUNTIF(B$6:B153,B153)=1,MAX(Q$5:Q152)+1,""))</f>
        <v/>
      </c>
      <c r="R153">
        <f>IF(OR(F153="",C153=""),"",COUNTIF(F$6:F153,"?*"))</f>
        <v/>
      </c>
    </row>
    <row r="154">
      <c r="B154" s="225" t="n"/>
      <c r="C154" s="225" t="n"/>
      <c r="D154" s="226" t="n"/>
      <c r="E154" s="226" t="n"/>
      <c r="F154" s="225" t="n"/>
      <c r="G154" s="226" t="n"/>
      <c r="P154">
        <f>IF(OR(B154="",C154=""),"",B154&amp;"|"&amp;C154)</f>
        <v/>
      </c>
      <c r="Q154">
        <f>IF(B154="","",IF(COUNTIF(B$6:B154,B154)=1,MAX(Q$5:Q153)+1,""))</f>
        <v/>
      </c>
      <c r="R154">
        <f>IF(OR(F154="",C154=""),"",COUNTIF(F$6:F154,"?*"))</f>
        <v/>
      </c>
    </row>
    <row r="155">
      <c r="B155" s="225" t="n"/>
      <c r="C155" s="225" t="n"/>
      <c r="D155" s="226" t="n"/>
      <c r="E155" s="226" t="n"/>
      <c r="F155" s="225" t="n"/>
      <c r="G155" s="226" t="n"/>
      <c r="P155">
        <f>IF(OR(B155="",C155=""),"",B155&amp;"|"&amp;C155)</f>
        <v/>
      </c>
      <c r="Q155">
        <f>IF(B155="","",IF(COUNTIF(B$6:B155,B155)=1,MAX(Q$5:Q154)+1,""))</f>
        <v/>
      </c>
      <c r="R155">
        <f>IF(OR(F155="",C155=""),"",COUNTIF(F$6:F155,"?*"))</f>
        <v/>
      </c>
    </row>
    <row r="156">
      <c r="B156" s="225" t="n"/>
      <c r="C156" s="225" t="n"/>
      <c r="D156" s="226" t="n"/>
      <c r="E156" s="226" t="n"/>
      <c r="F156" s="225" t="n"/>
      <c r="G156" s="226" t="n"/>
      <c r="P156">
        <f>IF(OR(B156="",C156=""),"",B156&amp;"|"&amp;C156)</f>
        <v/>
      </c>
      <c r="Q156">
        <f>IF(B156="","",IF(COUNTIF(B$6:B156,B156)=1,MAX(Q$5:Q155)+1,""))</f>
        <v/>
      </c>
      <c r="R156">
        <f>IF(OR(F156="",C156=""),"",COUNTIF(F$6:F156,"?*"))</f>
        <v/>
      </c>
    </row>
    <row r="157">
      <c r="B157" s="225" t="n"/>
      <c r="C157" s="225" t="n"/>
      <c r="D157" s="226" t="n"/>
      <c r="E157" s="226" t="n"/>
      <c r="F157" s="225" t="n"/>
      <c r="G157" s="226" t="n"/>
      <c r="P157">
        <f>IF(OR(B157="",C157=""),"",B157&amp;"|"&amp;C157)</f>
        <v/>
      </c>
      <c r="Q157">
        <f>IF(B157="","",IF(COUNTIF(B$6:B157,B157)=1,MAX(Q$5:Q156)+1,""))</f>
        <v/>
      </c>
      <c r="R157">
        <f>IF(OR(F157="",C157=""),"",COUNTIF(F$6:F157,"?*"))</f>
        <v/>
      </c>
    </row>
    <row r="158">
      <c r="B158" s="225" t="n"/>
      <c r="C158" s="225" t="n"/>
      <c r="D158" s="226" t="n"/>
      <c r="E158" s="226" t="n"/>
      <c r="F158" s="225" t="n"/>
      <c r="G158" s="226" t="n"/>
      <c r="P158">
        <f>IF(OR(B158="",C158=""),"",B158&amp;"|"&amp;C158)</f>
        <v/>
      </c>
      <c r="Q158">
        <f>IF(B158="","",IF(COUNTIF(B$6:B158,B158)=1,MAX(Q$5:Q157)+1,""))</f>
        <v/>
      </c>
      <c r="R158">
        <f>IF(OR(F158="",C158=""),"",COUNTIF(F$6:F158,"?*"))</f>
        <v/>
      </c>
    </row>
    <row r="159">
      <c r="B159" s="225" t="n"/>
      <c r="C159" s="225" t="n"/>
      <c r="D159" s="226" t="n"/>
      <c r="E159" s="226" t="n"/>
      <c r="F159" s="225" t="n"/>
      <c r="G159" s="226" t="n"/>
      <c r="P159">
        <f>IF(OR(B159="",C159=""),"",B159&amp;"|"&amp;C159)</f>
        <v/>
      </c>
      <c r="Q159">
        <f>IF(B159="","",IF(COUNTIF(B$6:B159,B159)=1,MAX(Q$5:Q158)+1,""))</f>
        <v/>
      </c>
      <c r="R159">
        <f>IF(OR(F159="",C159=""),"",COUNTIF(F$6:F159,"?*"))</f>
        <v/>
      </c>
    </row>
    <row r="160">
      <c r="B160" s="225" t="n"/>
      <c r="C160" s="225" t="n"/>
      <c r="D160" s="226" t="n"/>
      <c r="E160" s="226" t="n"/>
      <c r="F160" s="225" t="n"/>
      <c r="G160" s="226" t="n"/>
      <c r="P160">
        <f>IF(OR(B160="",C160=""),"",B160&amp;"|"&amp;C160)</f>
        <v/>
      </c>
      <c r="Q160">
        <f>IF(B160="","",IF(COUNTIF(B$6:B160,B160)=1,MAX(Q$5:Q159)+1,""))</f>
        <v/>
      </c>
      <c r="R160">
        <f>IF(OR(F160="",C160=""),"",COUNTIF(F$6:F160,"?*"))</f>
        <v/>
      </c>
    </row>
    <row r="161">
      <c r="B161" s="225" t="n"/>
      <c r="C161" s="225" t="n"/>
      <c r="D161" s="226" t="n"/>
      <c r="E161" s="226" t="n"/>
      <c r="F161" s="225" t="n"/>
      <c r="G161" s="226" t="n"/>
      <c r="P161">
        <f>IF(OR(B161="",C161=""),"",B161&amp;"|"&amp;C161)</f>
        <v/>
      </c>
      <c r="Q161">
        <f>IF(B161="","",IF(COUNTIF(B$6:B161,B161)=1,MAX(Q$5:Q160)+1,""))</f>
        <v/>
      </c>
      <c r="R161">
        <f>IF(OR(F161="",C161=""),"",COUNTIF(F$6:F161,"?*"))</f>
        <v/>
      </c>
    </row>
    <row r="162">
      <c r="B162" s="225" t="n"/>
      <c r="C162" s="225" t="n"/>
      <c r="D162" s="226" t="n"/>
      <c r="E162" s="226" t="n"/>
      <c r="F162" s="225" t="n"/>
      <c r="G162" s="226" t="n"/>
      <c r="P162">
        <f>IF(OR(B162="",C162=""),"",B162&amp;"|"&amp;C162)</f>
        <v/>
      </c>
      <c r="Q162">
        <f>IF(B162="","",IF(COUNTIF(B$6:B162,B162)=1,MAX(Q$5:Q161)+1,""))</f>
        <v/>
      </c>
      <c r="R162">
        <f>IF(OR(F162="",C162=""),"",COUNTIF(F$6:F162,"?*"))</f>
        <v/>
      </c>
    </row>
    <row r="163">
      <c r="B163" s="225" t="n"/>
      <c r="C163" s="225" t="n"/>
      <c r="D163" s="226" t="n"/>
      <c r="E163" s="226" t="n"/>
      <c r="F163" s="225" t="n"/>
      <c r="G163" s="226" t="n"/>
      <c r="P163">
        <f>IF(OR(B163="",C163=""),"",B163&amp;"|"&amp;C163)</f>
        <v/>
      </c>
      <c r="Q163">
        <f>IF(B163="","",IF(COUNTIF(B$6:B163,B163)=1,MAX(Q$5:Q162)+1,""))</f>
        <v/>
      </c>
      <c r="R163">
        <f>IF(OR(F163="",C163=""),"",COUNTIF(F$6:F163,"?*"))</f>
        <v/>
      </c>
    </row>
    <row r="164">
      <c r="B164" s="225" t="n"/>
      <c r="C164" s="225" t="n"/>
      <c r="D164" s="226" t="n"/>
      <c r="E164" s="226" t="n"/>
      <c r="F164" s="225" t="n"/>
      <c r="G164" s="226" t="n"/>
      <c r="P164">
        <f>IF(OR(B164="",C164=""),"",B164&amp;"|"&amp;C164)</f>
        <v/>
      </c>
      <c r="Q164">
        <f>IF(B164="","",IF(COUNTIF(B$6:B164,B164)=1,MAX(Q$5:Q163)+1,""))</f>
        <v/>
      </c>
      <c r="R164">
        <f>IF(OR(F164="",C164=""),"",COUNTIF(F$6:F164,"?*"))</f>
        <v/>
      </c>
    </row>
    <row r="165">
      <c r="B165" s="225" t="n"/>
      <c r="C165" s="225" t="n"/>
      <c r="D165" s="226" t="n"/>
      <c r="E165" s="226" t="n"/>
      <c r="F165" s="225" t="n"/>
      <c r="G165" s="226" t="n"/>
      <c r="P165">
        <f>IF(OR(B165="",C165=""),"",B165&amp;"|"&amp;C165)</f>
        <v/>
      </c>
      <c r="Q165">
        <f>IF(B165="","",IF(COUNTIF(B$6:B165,B165)=1,MAX(Q$5:Q164)+1,""))</f>
        <v/>
      </c>
      <c r="R165">
        <f>IF(OR(F165="",C165=""),"",COUNTIF(F$6:F165,"?*"))</f>
        <v/>
      </c>
    </row>
    <row r="166">
      <c r="B166" s="225" t="n"/>
      <c r="C166" s="225" t="n"/>
      <c r="D166" s="226" t="n"/>
      <c r="E166" s="226" t="n"/>
      <c r="F166" s="225" t="n"/>
      <c r="G166" s="226" t="n"/>
      <c r="P166">
        <f>IF(OR(B166="",C166=""),"",B166&amp;"|"&amp;C166)</f>
        <v/>
      </c>
      <c r="Q166">
        <f>IF(B166="","",IF(COUNTIF(B$6:B166,B166)=1,MAX(Q$5:Q165)+1,""))</f>
        <v/>
      </c>
      <c r="R166">
        <f>IF(OR(F166="",C166=""),"",COUNTIF(F$6:F166,"?*"))</f>
        <v/>
      </c>
    </row>
    <row r="167">
      <c r="B167" s="225" t="n"/>
      <c r="C167" s="225" t="n"/>
      <c r="D167" s="226" t="n"/>
      <c r="E167" s="226" t="n"/>
      <c r="F167" s="225" t="n"/>
      <c r="G167" s="226" t="n"/>
      <c r="P167">
        <f>IF(OR(B167="",C167=""),"",B167&amp;"|"&amp;C167)</f>
        <v/>
      </c>
      <c r="Q167">
        <f>IF(B167="","",IF(COUNTIF(B$6:B167,B167)=1,MAX(Q$5:Q166)+1,""))</f>
        <v/>
      </c>
      <c r="R167">
        <f>IF(OR(F167="",C167=""),"",COUNTIF(F$6:F167,"?*"))</f>
        <v/>
      </c>
    </row>
    <row r="168">
      <c r="B168" s="225" t="n"/>
      <c r="C168" s="225" t="n"/>
      <c r="D168" s="226" t="n"/>
      <c r="E168" s="226" t="n"/>
      <c r="F168" s="225" t="n"/>
      <c r="G168" s="226" t="n"/>
      <c r="P168">
        <f>IF(OR(B168="",C168=""),"",B168&amp;"|"&amp;C168)</f>
        <v/>
      </c>
      <c r="Q168">
        <f>IF(B168="","",IF(COUNTIF(B$6:B168,B168)=1,MAX(Q$5:Q167)+1,""))</f>
        <v/>
      </c>
      <c r="R168">
        <f>IF(OR(F168="",C168=""),"",COUNTIF(F$6:F168,"?*"))</f>
        <v/>
      </c>
    </row>
    <row r="169">
      <c r="B169" s="225" t="n"/>
      <c r="C169" s="225" t="n"/>
      <c r="D169" s="226" t="n"/>
      <c r="E169" s="226" t="n"/>
      <c r="F169" s="225" t="n"/>
      <c r="G169" s="226" t="n"/>
      <c r="P169">
        <f>IF(OR(B169="",C169=""),"",B169&amp;"|"&amp;C169)</f>
        <v/>
      </c>
      <c r="Q169">
        <f>IF(B169="","",IF(COUNTIF(B$6:B169,B169)=1,MAX(Q$5:Q168)+1,""))</f>
        <v/>
      </c>
      <c r="R169">
        <f>IF(OR(F169="",C169=""),"",COUNTIF(F$6:F169,"?*"))</f>
        <v/>
      </c>
    </row>
    <row r="170">
      <c r="B170" s="225" t="n"/>
      <c r="C170" s="225" t="n"/>
      <c r="D170" s="226" t="n"/>
      <c r="E170" s="226" t="n"/>
      <c r="F170" s="225" t="n"/>
      <c r="G170" s="226" t="n"/>
      <c r="P170">
        <f>IF(OR(B170="",C170=""),"",B170&amp;"|"&amp;C170)</f>
        <v/>
      </c>
      <c r="Q170">
        <f>IF(B170="","",IF(COUNTIF(B$6:B170,B170)=1,MAX(Q$5:Q169)+1,""))</f>
        <v/>
      </c>
      <c r="R170">
        <f>IF(OR(F170="",C170=""),"",COUNTIF(F$6:F170,"?*"))</f>
        <v/>
      </c>
    </row>
    <row r="171">
      <c r="B171" s="225" t="n"/>
      <c r="C171" s="225" t="n"/>
      <c r="D171" s="226" t="n"/>
      <c r="E171" s="226" t="n"/>
      <c r="F171" s="225" t="n"/>
      <c r="G171" s="226" t="n"/>
      <c r="P171">
        <f>IF(OR(B171="",C171=""),"",B171&amp;"|"&amp;C171)</f>
        <v/>
      </c>
      <c r="Q171">
        <f>IF(B171="","",IF(COUNTIF(B$6:B171,B171)=1,MAX(Q$5:Q170)+1,""))</f>
        <v/>
      </c>
      <c r="R171">
        <f>IF(OR(F171="",C171=""),"",COUNTIF(F$6:F171,"?*"))</f>
        <v/>
      </c>
    </row>
    <row r="172">
      <c r="B172" s="225" t="n"/>
      <c r="C172" s="225" t="n"/>
      <c r="D172" s="226" t="n"/>
      <c r="E172" s="226" t="n"/>
      <c r="F172" s="225" t="n"/>
      <c r="G172" s="226" t="n"/>
      <c r="P172">
        <f>IF(OR(B172="",C172=""),"",B172&amp;"|"&amp;C172)</f>
        <v/>
      </c>
      <c r="Q172">
        <f>IF(B172="","",IF(COUNTIF(B$6:B172,B172)=1,MAX(Q$5:Q171)+1,""))</f>
        <v/>
      </c>
      <c r="R172">
        <f>IF(OR(F172="",C172=""),"",COUNTIF(F$6:F172,"?*"))</f>
        <v/>
      </c>
    </row>
    <row r="173">
      <c r="B173" s="225" t="n"/>
      <c r="C173" s="225" t="n"/>
      <c r="D173" s="226" t="n"/>
      <c r="E173" s="226" t="n"/>
      <c r="F173" s="225" t="n"/>
      <c r="G173" s="226" t="n"/>
      <c r="P173">
        <f>IF(OR(B173="",C173=""),"",B173&amp;"|"&amp;C173)</f>
        <v/>
      </c>
      <c r="Q173">
        <f>IF(B173="","",IF(COUNTIF(B$6:B173,B173)=1,MAX(Q$5:Q172)+1,""))</f>
        <v/>
      </c>
      <c r="R173">
        <f>IF(OR(F173="",C173=""),"",COUNTIF(F$6:F173,"?*"))</f>
        <v/>
      </c>
    </row>
    <row r="174">
      <c r="B174" s="225" t="n"/>
      <c r="C174" s="225" t="n"/>
      <c r="D174" s="226" t="n"/>
      <c r="E174" s="226" t="n"/>
      <c r="F174" s="225" t="n"/>
      <c r="G174" s="226" t="n"/>
      <c r="P174">
        <f>IF(OR(B174="",C174=""),"",B174&amp;"|"&amp;C174)</f>
        <v/>
      </c>
      <c r="Q174">
        <f>IF(B174="","",IF(COUNTIF(B$6:B174,B174)=1,MAX(Q$5:Q173)+1,""))</f>
        <v/>
      </c>
      <c r="R174">
        <f>IF(OR(F174="",C174=""),"",COUNTIF(F$6:F174,"?*"))</f>
        <v/>
      </c>
    </row>
    <row r="175">
      <c r="B175" s="225" t="n"/>
      <c r="C175" s="225" t="n"/>
      <c r="D175" s="226" t="n"/>
      <c r="E175" s="226" t="n"/>
      <c r="F175" s="225" t="n"/>
      <c r="G175" s="226" t="n"/>
      <c r="P175">
        <f>IF(OR(B175="",C175=""),"",B175&amp;"|"&amp;C175)</f>
        <v/>
      </c>
      <c r="Q175">
        <f>IF(B175="","",IF(COUNTIF(B$6:B175,B175)=1,MAX(Q$5:Q174)+1,""))</f>
        <v/>
      </c>
      <c r="R175">
        <f>IF(OR(F175="",C175=""),"",COUNTIF(F$6:F175,"?*"))</f>
        <v/>
      </c>
    </row>
    <row r="176">
      <c r="B176" s="225" t="n"/>
      <c r="C176" s="225" t="n"/>
      <c r="D176" s="226" t="n"/>
      <c r="E176" s="226" t="n"/>
      <c r="F176" s="225" t="n"/>
      <c r="G176" s="226" t="n"/>
      <c r="P176">
        <f>IF(OR(B176="",C176=""),"",B176&amp;"|"&amp;C176)</f>
        <v/>
      </c>
      <c r="Q176">
        <f>IF(B176="","",IF(COUNTIF(B$6:B176,B176)=1,MAX(Q$5:Q175)+1,""))</f>
        <v/>
      </c>
      <c r="R176">
        <f>IF(OR(F176="",C176=""),"",COUNTIF(F$6:F176,"?*"))</f>
        <v/>
      </c>
    </row>
    <row r="177">
      <c r="B177" s="225" t="n"/>
      <c r="C177" s="225" t="n"/>
      <c r="D177" s="226" t="n"/>
      <c r="E177" s="226" t="n"/>
      <c r="F177" s="225" t="n"/>
      <c r="G177" s="226" t="n"/>
      <c r="P177">
        <f>IF(OR(B177="",C177=""),"",B177&amp;"|"&amp;C177)</f>
        <v/>
      </c>
      <c r="Q177">
        <f>IF(B177="","",IF(COUNTIF(B$6:B177,B177)=1,MAX(Q$5:Q176)+1,""))</f>
        <v/>
      </c>
      <c r="R177">
        <f>IF(OR(F177="",C177=""),"",COUNTIF(F$6:F177,"?*"))</f>
        <v/>
      </c>
    </row>
    <row r="178">
      <c r="B178" s="225" t="n"/>
      <c r="C178" s="225" t="n"/>
      <c r="D178" s="226" t="n"/>
      <c r="E178" s="226" t="n"/>
      <c r="F178" s="225" t="n"/>
      <c r="G178" s="226" t="n"/>
      <c r="P178">
        <f>IF(OR(B178="",C178=""),"",B178&amp;"|"&amp;C178)</f>
        <v/>
      </c>
      <c r="Q178">
        <f>IF(B178="","",IF(COUNTIF(B$6:B178,B178)=1,MAX(Q$5:Q177)+1,""))</f>
        <v/>
      </c>
      <c r="R178">
        <f>IF(OR(F178="",C178=""),"",COUNTIF(F$6:F178,"?*"))</f>
        <v/>
      </c>
    </row>
    <row r="179">
      <c r="B179" s="225" t="n"/>
      <c r="C179" s="225" t="n"/>
      <c r="D179" s="226" t="n"/>
      <c r="E179" s="226" t="n"/>
      <c r="F179" s="225" t="n"/>
      <c r="G179" s="226" t="n"/>
      <c r="P179">
        <f>IF(OR(B179="",C179=""),"",B179&amp;"|"&amp;C179)</f>
        <v/>
      </c>
      <c r="Q179">
        <f>IF(B179="","",IF(COUNTIF(B$6:B179,B179)=1,MAX(Q$5:Q178)+1,""))</f>
        <v/>
      </c>
      <c r="R179">
        <f>IF(OR(F179="",C179=""),"",COUNTIF(F$6:F179,"?*"))</f>
        <v/>
      </c>
    </row>
    <row r="180">
      <c r="B180" s="225" t="n"/>
      <c r="C180" s="225" t="n"/>
      <c r="D180" s="226" t="n"/>
      <c r="E180" s="226" t="n"/>
      <c r="F180" s="225" t="n"/>
      <c r="G180" s="226" t="n"/>
      <c r="P180">
        <f>IF(OR(B180="",C180=""),"",B180&amp;"|"&amp;C180)</f>
        <v/>
      </c>
      <c r="Q180">
        <f>IF(B180="","",IF(COUNTIF(B$6:B180,B180)=1,MAX(Q$5:Q179)+1,""))</f>
        <v/>
      </c>
      <c r="R180">
        <f>IF(OR(F180="",C180=""),"",COUNTIF(F$6:F180,"?*"))</f>
        <v/>
      </c>
    </row>
    <row r="181">
      <c r="B181" s="225" t="n"/>
      <c r="C181" s="225" t="n"/>
      <c r="D181" s="226" t="n"/>
      <c r="E181" s="226" t="n"/>
      <c r="F181" s="225" t="n"/>
      <c r="G181" s="226" t="n"/>
      <c r="P181">
        <f>IF(OR(B181="",C181=""),"",B181&amp;"|"&amp;C181)</f>
        <v/>
      </c>
      <c r="Q181">
        <f>IF(B181="","",IF(COUNTIF(B$6:B181,B181)=1,MAX(Q$5:Q180)+1,""))</f>
        <v/>
      </c>
      <c r="R181">
        <f>IF(OR(F181="",C181=""),"",COUNTIF(F$6:F181,"?*"))</f>
        <v/>
      </c>
    </row>
    <row r="182">
      <c r="B182" s="225" t="n"/>
      <c r="C182" s="225" t="n"/>
      <c r="D182" s="226" t="n"/>
      <c r="E182" s="226" t="n"/>
      <c r="F182" s="225" t="n"/>
      <c r="G182" s="226" t="n"/>
      <c r="P182">
        <f>IF(OR(B182="",C182=""),"",B182&amp;"|"&amp;C182)</f>
        <v/>
      </c>
      <c r="Q182">
        <f>IF(B182="","",IF(COUNTIF(B$6:B182,B182)=1,MAX(Q$5:Q181)+1,""))</f>
        <v/>
      </c>
      <c r="R182">
        <f>IF(OR(F182="",C182=""),"",COUNTIF(F$6:F182,"?*"))</f>
        <v/>
      </c>
    </row>
    <row r="183">
      <c r="B183" s="225" t="n"/>
      <c r="C183" s="225" t="n"/>
      <c r="D183" s="226" t="n"/>
      <c r="E183" s="226" t="n"/>
      <c r="F183" s="225" t="n"/>
      <c r="G183" s="226" t="n"/>
      <c r="P183">
        <f>IF(OR(B183="",C183=""),"",B183&amp;"|"&amp;C183)</f>
        <v/>
      </c>
      <c r="Q183">
        <f>IF(B183="","",IF(COUNTIF(B$6:B183,B183)=1,MAX(Q$5:Q182)+1,""))</f>
        <v/>
      </c>
      <c r="R183">
        <f>IF(OR(F183="",C183=""),"",COUNTIF(F$6:F183,"?*"))</f>
        <v/>
      </c>
    </row>
    <row r="184">
      <c r="B184" s="225" t="n"/>
      <c r="C184" s="225" t="n"/>
      <c r="D184" s="226" t="n"/>
      <c r="E184" s="226" t="n"/>
      <c r="F184" s="225" t="n"/>
      <c r="G184" s="226" t="n"/>
      <c r="P184">
        <f>IF(OR(B184="",C184=""),"",B184&amp;"|"&amp;C184)</f>
        <v/>
      </c>
      <c r="Q184">
        <f>IF(B184="","",IF(COUNTIF(B$6:B184,B184)=1,MAX(Q$5:Q183)+1,""))</f>
        <v/>
      </c>
      <c r="R184">
        <f>IF(OR(F184="",C184=""),"",COUNTIF(F$6:F184,"?*"))</f>
        <v/>
      </c>
    </row>
    <row r="185">
      <c r="B185" s="225" t="n"/>
      <c r="C185" s="225" t="n"/>
      <c r="D185" s="226" t="n"/>
      <c r="E185" s="226" t="n"/>
      <c r="F185" s="225" t="n"/>
      <c r="G185" s="226" t="n"/>
      <c r="P185">
        <f>IF(OR(B185="",C185=""),"",B185&amp;"|"&amp;C185)</f>
        <v/>
      </c>
      <c r="Q185">
        <f>IF(B185="","",IF(COUNTIF(B$6:B185,B185)=1,MAX(Q$5:Q184)+1,""))</f>
        <v/>
      </c>
      <c r="R185">
        <f>IF(OR(F185="",C185=""),"",COUNTIF(F$6:F185,"?*"))</f>
        <v/>
      </c>
    </row>
    <row r="186">
      <c r="B186" s="225" t="n"/>
      <c r="C186" s="225" t="n"/>
      <c r="D186" s="226" t="n"/>
      <c r="E186" s="226" t="n"/>
      <c r="F186" s="225" t="n"/>
      <c r="G186" s="226" t="n"/>
      <c r="P186">
        <f>IF(OR(B186="",C186=""),"",B186&amp;"|"&amp;C186)</f>
        <v/>
      </c>
      <c r="Q186">
        <f>IF(B186="","",IF(COUNTIF(B$6:B186,B186)=1,MAX(Q$5:Q185)+1,""))</f>
        <v/>
      </c>
      <c r="R186">
        <f>IF(OR(F186="",C186=""),"",COUNTIF(F$6:F186,"?*"))</f>
        <v/>
      </c>
    </row>
    <row r="187">
      <c r="B187" s="225" t="n"/>
      <c r="C187" s="225" t="n"/>
      <c r="D187" s="226" t="n"/>
      <c r="E187" s="226" t="n"/>
      <c r="F187" s="225" t="n"/>
      <c r="G187" s="226" t="n"/>
      <c r="P187">
        <f>IF(OR(B187="",C187=""),"",B187&amp;"|"&amp;C187)</f>
        <v/>
      </c>
      <c r="Q187">
        <f>IF(B187="","",IF(COUNTIF(B$6:B187,B187)=1,MAX(Q$5:Q186)+1,""))</f>
        <v/>
      </c>
      <c r="R187">
        <f>IF(OR(F187="",C187=""),"",COUNTIF(F$6:F187,"?*"))</f>
        <v/>
      </c>
    </row>
    <row r="188">
      <c r="B188" s="225" t="n"/>
      <c r="C188" s="225" t="n"/>
      <c r="D188" s="226" t="n"/>
      <c r="E188" s="226" t="n"/>
      <c r="F188" s="225" t="n"/>
      <c r="G188" s="226" t="n"/>
      <c r="P188">
        <f>IF(OR(B188="",C188=""),"",B188&amp;"|"&amp;C188)</f>
        <v/>
      </c>
      <c r="Q188">
        <f>IF(B188="","",IF(COUNTIF(B$6:B188,B188)=1,MAX(Q$5:Q187)+1,""))</f>
        <v/>
      </c>
      <c r="R188">
        <f>IF(OR(F188="",C188=""),"",COUNTIF(F$6:F188,"?*"))</f>
        <v/>
      </c>
    </row>
    <row r="189">
      <c r="B189" s="225" t="n"/>
      <c r="C189" s="225" t="n"/>
      <c r="D189" s="226" t="n"/>
      <c r="E189" s="226" t="n"/>
      <c r="F189" s="225" t="n"/>
      <c r="G189" s="226" t="n"/>
      <c r="P189">
        <f>IF(OR(B189="",C189=""),"",B189&amp;"|"&amp;C189)</f>
        <v/>
      </c>
      <c r="Q189">
        <f>IF(B189="","",IF(COUNTIF(B$6:B189,B189)=1,MAX(Q$5:Q188)+1,""))</f>
        <v/>
      </c>
      <c r="R189">
        <f>IF(OR(F189="",C189=""),"",COUNTIF(F$6:F189,"?*"))</f>
        <v/>
      </c>
    </row>
    <row r="190">
      <c r="B190" s="225" t="n"/>
      <c r="C190" s="225" t="n"/>
      <c r="D190" s="226" t="n"/>
      <c r="E190" s="226" t="n"/>
      <c r="F190" s="225" t="n"/>
      <c r="G190" s="226" t="n"/>
      <c r="P190">
        <f>IF(OR(B190="",C190=""),"",B190&amp;"|"&amp;C190)</f>
        <v/>
      </c>
      <c r="Q190">
        <f>IF(B190="","",IF(COUNTIF(B$6:B190,B190)=1,MAX(Q$5:Q189)+1,""))</f>
        <v/>
      </c>
      <c r="R190">
        <f>IF(OR(F190="",C190=""),"",COUNTIF(F$6:F190,"?*"))</f>
        <v/>
      </c>
    </row>
    <row r="191">
      <c r="B191" s="225" t="n"/>
      <c r="C191" s="225" t="n"/>
      <c r="D191" s="226" t="n"/>
      <c r="E191" s="226" t="n"/>
      <c r="F191" s="225" t="n"/>
      <c r="G191" s="226" t="n"/>
      <c r="P191">
        <f>IF(OR(B191="",C191=""),"",B191&amp;"|"&amp;C191)</f>
        <v/>
      </c>
      <c r="Q191">
        <f>IF(B191="","",IF(COUNTIF(B$6:B191,B191)=1,MAX(Q$5:Q190)+1,""))</f>
        <v/>
      </c>
      <c r="R191">
        <f>IF(OR(F191="",C191=""),"",COUNTIF(F$6:F191,"?*"))</f>
        <v/>
      </c>
    </row>
    <row r="192">
      <c r="B192" s="225" t="n"/>
      <c r="C192" s="225" t="n"/>
      <c r="D192" s="226" t="n"/>
      <c r="E192" s="226" t="n"/>
      <c r="F192" s="225" t="n"/>
      <c r="G192" s="226" t="n"/>
      <c r="P192">
        <f>IF(OR(B192="",C192=""),"",B192&amp;"|"&amp;C192)</f>
        <v/>
      </c>
      <c r="Q192">
        <f>IF(B192="","",IF(COUNTIF(B$6:B192,B192)=1,MAX(Q$5:Q191)+1,""))</f>
        <v/>
      </c>
      <c r="R192">
        <f>IF(OR(F192="",C192=""),"",COUNTIF(F$6:F192,"?*"))</f>
        <v/>
      </c>
    </row>
    <row r="193">
      <c r="B193" s="225" t="n"/>
      <c r="C193" s="225" t="n"/>
      <c r="D193" s="226" t="n"/>
      <c r="E193" s="226" t="n"/>
      <c r="F193" s="225" t="n"/>
      <c r="G193" s="226" t="n"/>
      <c r="P193">
        <f>IF(OR(B193="",C193=""),"",B193&amp;"|"&amp;C193)</f>
        <v/>
      </c>
      <c r="Q193">
        <f>IF(B193="","",IF(COUNTIF(B$6:B193,B193)=1,MAX(Q$5:Q192)+1,""))</f>
        <v/>
      </c>
      <c r="R193">
        <f>IF(OR(F193="",C193=""),"",COUNTIF(F$6:F193,"?*"))</f>
        <v/>
      </c>
    </row>
    <row r="194">
      <c r="B194" s="225" t="n"/>
      <c r="C194" s="225" t="n"/>
      <c r="D194" s="226" t="n"/>
      <c r="E194" s="226" t="n"/>
      <c r="F194" s="225" t="n"/>
      <c r="G194" s="226" t="n"/>
      <c r="P194">
        <f>IF(OR(B194="",C194=""),"",B194&amp;"|"&amp;C194)</f>
        <v/>
      </c>
      <c r="Q194">
        <f>IF(B194="","",IF(COUNTIF(B$6:B194,B194)=1,MAX(Q$5:Q193)+1,""))</f>
        <v/>
      </c>
      <c r="R194">
        <f>IF(OR(F194="",C194=""),"",COUNTIF(F$6:F194,"?*"))</f>
        <v/>
      </c>
    </row>
    <row r="195">
      <c r="B195" s="225" t="n"/>
      <c r="C195" s="225" t="n"/>
      <c r="D195" s="226" t="n"/>
      <c r="E195" s="226" t="n"/>
      <c r="F195" s="225" t="n"/>
      <c r="G195" s="226" t="n"/>
      <c r="P195">
        <f>IF(OR(B195="",C195=""),"",B195&amp;"|"&amp;C195)</f>
        <v/>
      </c>
      <c r="Q195">
        <f>IF(B195="","",IF(COUNTIF(B$6:B195,B195)=1,MAX(Q$5:Q194)+1,""))</f>
        <v/>
      </c>
      <c r="R195">
        <f>IF(OR(F195="",C195=""),"",COUNTIF(F$6:F195,"?*"))</f>
        <v/>
      </c>
    </row>
    <row r="196">
      <c r="B196" s="225" t="n"/>
      <c r="C196" s="225" t="n"/>
      <c r="D196" s="226" t="n"/>
      <c r="E196" s="226" t="n"/>
      <c r="F196" s="225" t="n"/>
      <c r="G196" s="226" t="n"/>
      <c r="P196">
        <f>IF(OR(B196="",C196=""),"",B196&amp;"|"&amp;C196)</f>
        <v/>
      </c>
      <c r="Q196">
        <f>IF(B196="","",IF(COUNTIF(B$6:B196,B196)=1,MAX(Q$5:Q195)+1,""))</f>
        <v/>
      </c>
      <c r="R196">
        <f>IF(OR(F196="",C196=""),"",COUNTIF(F$6:F196,"?*"))</f>
        <v/>
      </c>
    </row>
    <row r="197">
      <c r="B197" s="225" t="n"/>
      <c r="C197" s="225" t="n"/>
      <c r="D197" s="226" t="n"/>
      <c r="E197" s="226" t="n"/>
      <c r="F197" s="225" t="n"/>
      <c r="G197" s="226" t="n"/>
      <c r="P197">
        <f>IF(OR(B197="",C197=""),"",B197&amp;"|"&amp;C197)</f>
        <v/>
      </c>
      <c r="Q197">
        <f>IF(B197="","",IF(COUNTIF(B$6:B197,B197)=1,MAX(Q$5:Q196)+1,""))</f>
        <v/>
      </c>
      <c r="R197">
        <f>IF(OR(F197="",C197=""),"",COUNTIF(F$6:F197,"?*"))</f>
        <v/>
      </c>
    </row>
    <row r="198">
      <c r="B198" s="225" t="n"/>
      <c r="C198" s="225" t="n"/>
      <c r="D198" s="226" t="n"/>
      <c r="E198" s="226" t="n"/>
      <c r="F198" s="225" t="n"/>
      <c r="G198" s="226" t="n"/>
      <c r="P198">
        <f>IF(OR(B198="",C198=""),"",B198&amp;"|"&amp;C198)</f>
        <v/>
      </c>
      <c r="Q198">
        <f>IF(B198="","",IF(COUNTIF(B$6:B198,B198)=1,MAX(Q$5:Q197)+1,""))</f>
        <v/>
      </c>
      <c r="R198">
        <f>IF(OR(F198="",C198=""),"",COUNTIF(F$6:F198,"?*"))</f>
        <v/>
      </c>
    </row>
    <row r="199">
      <c r="B199" s="225" t="n"/>
      <c r="C199" s="225" t="n"/>
      <c r="D199" s="226" t="n"/>
      <c r="E199" s="226" t="n"/>
      <c r="F199" s="225" t="n"/>
      <c r="G199" s="226" t="n"/>
      <c r="P199">
        <f>IF(OR(B199="",C199=""),"",B199&amp;"|"&amp;C199)</f>
        <v/>
      </c>
      <c r="Q199">
        <f>IF(B199="","",IF(COUNTIF(B$6:B199,B199)=1,MAX(Q$5:Q198)+1,""))</f>
        <v/>
      </c>
      <c r="R199">
        <f>IF(OR(F199="",C199=""),"",COUNTIF(F$6:F199,"?*"))</f>
        <v/>
      </c>
    </row>
    <row r="200">
      <c r="B200" s="225" t="n"/>
      <c r="C200" s="225" t="n"/>
      <c r="D200" s="226" t="n"/>
      <c r="E200" s="226" t="n"/>
      <c r="F200" s="225" t="n"/>
      <c r="G200" s="226" t="n"/>
      <c r="P200">
        <f>IF(OR(B200="",C200=""),"",B200&amp;"|"&amp;C200)</f>
        <v/>
      </c>
      <c r="Q200">
        <f>IF(B200="","",IF(COUNTIF(B$6:B200,B200)=1,MAX(Q$5:Q199)+1,""))</f>
        <v/>
      </c>
      <c r="R200">
        <f>IF(OR(F200="",C200=""),"",COUNTIF(F$6:F200,"?*"))</f>
        <v/>
      </c>
    </row>
    <row r="201">
      <c r="B201" s="225" t="n"/>
      <c r="C201" s="225" t="n"/>
      <c r="D201" s="226" t="n"/>
      <c r="E201" s="226" t="n"/>
      <c r="F201" s="225" t="n"/>
      <c r="G201" s="226" t="n"/>
      <c r="P201">
        <f>IF(OR(B201="",C201=""),"",B201&amp;"|"&amp;C201)</f>
        <v/>
      </c>
      <c r="Q201">
        <f>IF(B201="","",IF(COUNTIF(B$6:B201,B201)=1,MAX(Q$5:Q200)+1,""))</f>
        <v/>
      </c>
      <c r="R201">
        <f>IF(OR(F201="",C201=""),"",COUNTIF(F$6:F201,"?*"))</f>
        <v/>
      </c>
    </row>
    <row r="202">
      <c r="B202" s="225" t="n"/>
      <c r="C202" s="225" t="n"/>
      <c r="D202" s="226" t="n"/>
      <c r="E202" s="226" t="n"/>
      <c r="F202" s="225" t="n"/>
      <c r="G202" s="226" t="n"/>
      <c r="P202">
        <f>IF(OR(B202="",C202=""),"",B202&amp;"|"&amp;C202)</f>
        <v/>
      </c>
      <c r="Q202">
        <f>IF(B202="","",IF(COUNTIF(B$6:B202,B202)=1,MAX(Q$5:Q201)+1,""))</f>
        <v/>
      </c>
      <c r="R202">
        <f>IF(OR(F202="",C202=""),"",COUNTIF(F$6:F202,"?*"))</f>
        <v/>
      </c>
    </row>
    <row r="203">
      <c r="B203" s="225" t="n"/>
      <c r="C203" s="225" t="n"/>
      <c r="D203" s="226" t="n"/>
      <c r="E203" s="226" t="n"/>
      <c r="F203" s="225" t="n"/>
      <c r="G203" s="226" t="n"/>
      <c r="P203">
        <f>IF(OR(B203="",C203=""),"",B203&amp;"|"&amp;C203)</f>
        <v/>
      </c>
      <c r="Q203">
        <f>IF(B203="","",IF(COUNTIF(B$6:B203,B203)=1,MAX(Q$5:Q202)+1,""))</f>
        <v/>
      </c>
      <c r="R203">
        <f>IF(OR(F203="",C203=""),"",COUNTIF(F$6:F203,"?*"))</f>
        <v/>
      </c>
    </row>
    <row r="204">
      <c r="B204" s="225" t="n"/>
      <c r="C204" s="225" t="n"/>
      <c r="D204" s="226" t="n"/>
      <c r="E204" s="226" t="n"/>
      <c r="F204" s="225" t="n"/>
      <c r="G204" s="226" t="n"/>
      <c r="P204">
        <f>IF(OR(B204="",C204=""),"",B204&amp;"|"&amp;C204)</f>
        <v/>
      </c>
      <c r="Q204">
        <f>IF(B204="","",IF(COUNTIF(B$6:B204,B204)=1,MAX(Q$5:Q203)+1,""))</f>
        <v/>
      </c>
      <c r="R204">
        <f>IF(OR(F204="",C204=""),"",COUNTIF(F$6:F204,"?*"))</f>
        <v/>
      </c>
    </row>
    <row r="205">
      <c r="B205" s="225" t="n"/>
      <c r="C205" s="225" t="n"/>
      <c r="D205" s="226" t="n"/>
      <c r="E205" s="226" t="n"/>
      <c r="F205" s="225" t="n"/>
      <c r="G205" s="226" t="n"/>
      <c r="P205">
        <f>IF(OR(B205="",C205=""),"",B205&amp;"|"&amp;C205)</f>
        <v/>
      </c>
      <c r="Q205">
        <f>IF(B205="","",IF(COUNTIF(B$6:B205,B205)=1,MAX(Q$5:Q204)+1,""))</f>
        <v/>
      </c>
      <c r="R205">
        <f>IF(OR(F205="",C205=""),"",COUNTIF(F$6:F205,"?*"))</f>
        <v/>
      </c>
    </row>
  </sheetData>
  <mergeCells count="2">
    <mergeCell ref="B3:G3"/>
    <mergeCell ref="H1:N1"/>
  </mergeCells>
  <conditionalFormatting sqref="B6:G205">
    <cfRule type="expression" priority="1" dxfId="11">
      <formula>AND($B6&lt;&gt;"",$B6&lt;&gt;$B5,COUNTIF($B$5:$B5,$B6)&gt;0)</formula>
    </cfRule>
  </conditionalFormatting>
  <dataValidations count="4">
    <dataValidation sqref="D6:D205" showDropDown="0" showInputMessage="0" showErrorMessage="0" allowBlank="1" type="list">
      <formula1>=lstTipoCat</formula1>
    </dataValidation>
    <dataValidation sqref="E6:E205" showDropDown="0" showInputMessage="0" showErrorMessage="0" allowBlank="1" type="list">
      <formula1>=lstClasif</formula1>
    </dataValidation>
    <dataValidation sqref="F6:F205" showDropDown="0" showInputMessage="0" showErrorMessage="0" allowBlank="1" type="list">
      <formula1>=lstGrupos</formula1>
    </dataValidation>
    <dataValidation sqref="G6:G205" showDropDown="0" showInputMessage="0" showErrorMessage="0" allowBlank="1" type="list">
      <formula1>=lstComidas</formula1>
    </dataValidation>
  </dataValidations>
  <hyperlinks>
    <hyperlink ref="B2" location="'Inicio'!A1" display="Inicio"/>
    <hyperlink ref="C2" location="'Registro'!A1" display="Registro"/>
    <hyperlink ref="D2" location="'Dashboard'!A1" display="Dashboard"/>
    <hyperlink ref="E2" location="'Alimentación'!A1" display="Alimentación"/>
    <hyperlink ref="F2" location="'Gastos hormiga'!A1" display="Hormiga"/>
    <hyperlink ref="G2" location="'Recurrentes'!A1" display="Recurrentes"/>
    <hyperlink ref="H2" location="'Presupuestos'!A1" display="Presupuestos"/>
    <hyperlink ref="M2" location="'Cuentas'!A1" display="Cuentas"/>
    <hyperlink ref="N2" location="'Categorías'!A1" display="● Categorías"/>
    <hyperlink ref="T2" location="'Config'!A1" display="Config"/>
  </hyperlinks>
  <pageMargins left="0.75" right="0.75" top="1" bottom="1" header="0.5" footer="0.5"/>
</worksheet>
</file>

<file path=xl/worksheets/sheet10.xml><?xml version="1.0" encoding="utf-8"?>
<worksheet xmlns="http://schemas.openxmlformats.org/spreadsheetml/2006/main">
  <sheetPr>
    <tabColor rgb="0064748B"/>
    <outlinePr summaryBelow="1" summaryRight="1"/>
    <pageSetUpPr/>
  </sheetPr>
  <dimension ref="A1:AG53"/>
  <sheetViews>
    <sheetView showGridLines="0" zoomScale="90" workbookViewId="0">
      <selection activeCell="A1" sqref="A1"/>
    </sheetView>
  </sheetViews>
  <sheetFormatPr baseColWidth="8" defaultRowHeight="15"/>
  <cols>
    <col width="2" customWidth="1" min="1" max="1"/>
    <col width="30" customWidth="1" min="2" max="2"/>
    <col width="16" customWidth="1" min="3" max="3"/>
    <col width="13" customWidth="1" min="4" max="4"/>
    <col width="13" customWidth="1" min="5" max="5"/>
    <col width="62" customWidth="1" min="6" max="6"/>
    <col width="3" customWidth="1" min="7" max="7"/>
    <col width="12" customWidth="1" min="8" max="8"/>
    <col width="2" customWidth="1" min="9" max="9"/>
    <col width="21" customWidth="1" min="10" max="10"/>
    <col width="16" customWidth="1" min="11" max="11"/>
    <col width="2" customWidth="1" min="12" max="12"/>
    <col width="16" customWidth="1" min="13" max="13"/>
    <col width="2" customWidth="1" min="14" max="14"/>
    <col width="13" customWidth="1" min="15" max="15"/>
    <col width="12" customWidth="1" min="16" max="16"/>
    <col width="12" customWidth="1" min="17" max="17"/>
    <col width="22" customWidth="1" min="18" max="18"/>
    <col width="2" customWidth="1" min="19" max="19"/>
    <col width="20" customWidth="1" min="20" max="20"/>
    <col width="2" customWidth="1" min="21" max="21"/>
    <col width="26" customWidth="1" min="22" max="22"/>
    <col width="2" customWidth="1" min="23" max="23"/>
    <col width="17" customWidth="1" min="24" max="24"/>
    <col width="2" customWidth="1" min="25" max="25"/>
    <col width="12" customWidth="1" min="26" max="26"/>
    <col width="2" customWidth="1" min="27" max="27"/>
    <col width="20" customWidth="1" min="28" max="28"/>
    <col width="2" customWidth="1" min="29" max="29"/>
    <col width="12" customWidth="1" min="30" max="30"/>
    <col width="2" customWidth="1" min="31" max="31"/>
    <col width="30" customWidth="1" min="32" max="32"/>
    <col width="24" customWidth="1" min="33" max="33"/>
  </cols>
  <sheetData>
    <row r="1" ht="38" customHeight="1">
      <c r="A1" s="1" t="n"/>
      <c r="B1" s="2" t="inlineStr">
        <is>
          <t>Configuración</t>
        </is>
      </c>
      <c r="C1" s="1" t="n"/>
      <c r="D1" s="1" t="n"/>
      <c r="E1" s="1" t="n"/>
      <c r="F1" s="1" t="n"/>
      <c r="G1" s="1" t="n"/>
      <c r="H1" s="1" t="n"/>
      <c r="I1" s="1" t="n"/>
      <c r="J1" s="1" t="n"/>
      <c r="K1" s="1" t="n"/>
      <c r="L1" s="1" t="n"/>
      <c r="M1" s="1" t="n"/>
      <c r="N1" s="1" t="n"/>
      <c r="O1" s="1" t="n"/>
      <c r="P1" s="1" t="n"/>
      <c r="Q1" s="1" t="n"/>
      <c r="R1" s="1" t="n"/>
      <c r="S1" s="1" t="n"/>
      <c r="T1" s="1" t="n"/>
      <c r="U1" s="1" t="n"/>
      <c r="V1" s="1" t="n"/>
      <c r="W1" s="1" t="n"/>
      <c r="X1" s="1" t="n"/>
      <c r="Y1" s="1" t="n"/>
      <c r="Z1" s="1" t="n"/>
      <c r="AA1" s="3" t="inlineStr">
        <is>
          <t>Parámetros y listas que alimentan los desplegables</t>
        </is>
      </c>
    </row>
    <row r="2" ht="22" customHeight="1">
      <c r="A2" s="4" t="n"/>
      <c r="B2" s="6" t="inlineStr">
        <is>
          <t>Inicio</t>
        </is>
      </c>
      <c r="C2" s="6" t="inlineStr">
        <is>
          <t>Registro</t>
        </is>
      </c>
      <c r="D2" s="6" t="inlineStr">
        <is>
          <t>Dashboard</t>
        </is>
      </c>
      <c r="E2" s="6" t="inlineStr">
        <is>
          <t>Alimentación</t>
        </is>
      </c>
      <c r="F2" s="6" t="inlineStr">
        <is>
          <t>Hormiga</t>
        </is>
      </c>
      <c r="G2" s="6" t="inlineStr">
        <is>
          <t>Recurrentes</t>
        </is>
      </c>
      <c r="H2" s="4" t="n"/>
      <c r="I2" s="6" t="inlineStr">
        <is>
          <t>Presupuestos</t>
        </is>
      </c>
      <c r="J2" s="4" t="n"/>
      <c r="K2" s="6" t="inlineStr">
        <is>
          <t>Cuentas</t>
        </is>
      </c>
      <c r="L2" s="6" t="inlineStr">
        <is>
          <t>Categorías</t>
        </is>
      </c>
      <c r="M2" s="4" t="n"/>
      <c r="N2" s="5" t="inlineStr">
        <is>
          <t>● Config</t>
        </is>
      </c>
      <c r="O2" s="4" t="n"/>
      <c r="P2" s="4" t="n"/>
      <c r="Q2" s="4" t="n"/>
      <c r="R2" s="4" t="n"/>
      <c r="S2" s="4" t="n"/>
      <c r="T2" s="4" t="n"/>
      <c r="U2" s="4" t="n"/>
      <c r="V2" s="4" t="n"/>
      <c r="W2" s="4" t="n"/>
      <c r="X2" s="4" t="n"/>
      <c r="Y2" s="4" t="n"/>
      <c r="Z2" s="4" t="n"/>
      <c r="AA2" s="4" t="n"/>
      <c r="AB2" s="4" t="n"/>
      <c r="AC2" s="4" t="n"/>
      <c r="AD2" s="4" t="n"/>
      <c r="AE2" s="4" t="n"/>
      <c r="AF2" s="4" t="n"/>
      <c r="AG2" s="4" t="n"/>
    </row>
    <row r="4">
      <c r="B4" s="201" t="inlineStr">
        <is>
          <t>Parámetros generales</t>
        </is>
      </c>
      <c r="C4" s="10" t="n"/>
      <c r="D4" s="10" t="n"/>
      <c r="E4" s="10" t="n"/>
      <c r="F4" s="10" t="n"/>
      <c r="H4" s="201" t="inlineStr">
        <is>
          <t>Listas de los desplegables (puedes ampliarlas con cuidado)</t>
        </is>
      </c>
      <c r="I4" s="10" t="n"/>
      <c r="J4" s="10" t="n"/>
      <c r="K4" s="10" t="n"/>
      <c r="L4" s="10" t="n"/>
      <c r="M4" s="10" t="n"/>
      <c r="N4" s="10" t="n"/>
      <c r="O4" s="10" t="n"/>
      <c r="P4" s="10" t="n"/>
      <c r="Q4" s="10" t="n"/>
      <c r="R4" s="10" t="n"/>
      <c r="S4" s="10" t="n"/>
      <c r="T4" s="10" t="n"/>
      <c r="U4" s="10" t="n"/>
      <c r="V4" s="10" t="n"/>
      <c r="W4" s="10" t="n"/>
      <c r="X4" s="10" t="n"/>
      <c r="Y4" s="10" t="n"/>
      <c r="Z4" s="10" t="n"/>
      <c r="AA4" s="10" t="n"/>
      <c r="AB4" s="10" t="n"/>
      <c r="AC4" s="10" t="n"/>
      <c r="AD4" s="10" t="n"/>
      <c r="AE4" s="10" t="n"/>
      <c r="AF4" s="10" t="n"/>
    </row>
    <row r="5" ht="30" customHeight="1">
      <c r="B5" s="211" t="inlineStr">
        <is>
          <t>Tasa USD → DOP (referencial)</t>
        </is>
      </c>
      <c r="C5" s="230" t="n">
        <v>63.5</v>
      </c>
      <c r="D5" s="231" t="inlineStr">
        <is>
          <t>Valor referencial de ejemplo: ACTUALÍZALO con la tasa vigente. Se usa cuando un movimiento en USD no trae su propia tasa.</t>
        </is>
      </c>
    </row>
    <row r="6" ht="30" customHeight="1">
      <c r="B6" s="211" t="inlineStr">
        <is>
          <t>Cuenta predeterminada</t>
        </is>
      </c>
      <c r="C6" s="210" t="n"/>
      <c r="D6" s="231" t="inlineStr">
        <is>
          <t>Opcional. Si la llenas, los movimientos sin cuenta usarán esta. Déjala vacía para que el sistema te avise cuando falte.</t>
        </is>
      </c>
    </row>
    <row r="7" ht="30" customHeight="1">
      <c r="B7" s="211" t="inlineStr">
        <is>
          <t>Categoría de alimentación</t>
        </is>
      </c>
      <c r="C7" s="210" t="inlineStr">
        <is>
          <t>Alimentación</t>
        </is>
      </c>
      <c r="D7" s="231" t="inlineStr">
        <is>
          <t>Nombre exacto de la categoría que analiza la hoja Alimentación.</t>
        </is>
      </c>
    </row>
    <row r="8" ht="30" customHeight="1">
      <c r="B8" s="211" t="inlineStr">
        <is>
          <t>Categoría de trading</t>
        </is>
      </c>
      <c r="C8" s="210" t="inlineStr">
        <is>
          <t>Trading y actividades financieras</t>
        </is>
      </c>
      <c r="D8" s="231" t="inlineStr">
        <is>
          <t>Nombre exacto de la categoría cuyos gastos se reportan como costos operativos de trading.</t>
        </is>
      </c>
    </row>
    <row r="9" ht="30" customHeight="1">
      <c r="B9" s="211" t="inlineStr">
        <is>
          <t>Umbral gasto hormiga</t>
        </is>
      </c>
      <c r="C9" s="232">
        <f>Umbral</f>
        <v/>
      </c>
      <c r="D9" s="231" t="inlineStr">
        <is>
          <t>Se configura en la hoja Gastos hormiga.</t>
        </is>
      </c>
    </row>
    <row r="11">
      <c r="B11" s="201" t="inlineStr">
        <is>
          <t>Tipos de movimiento · cómo se contabiliza cada uno</t>
        </is>
      </c>
      <c r="C11" s="10" t="n"/>
      <c r="D11" s="10" t="n"/>
      <c r="E11" s="10" t="n"/>
      <c r="F11" s="10" t="n"/>
    </row>
    <row r="12">
      <c r="B12" s="233" t="inlineStr">
        <is>
          <t>Tipo</t>
        </is>
      </c>
      <c r="C12" s="234" t="inlineStr">
        <is>
          <t>¿Gasto real?</t>
        </is>
      </c>
      <c r="D12" s="234" t="inlineStr">
        <is>
          <t>¿Ingreso?</t>
        </is>
      </c>
      <c r="E12" s="234" t="inlineStr">
        <is>
          <t>Efecto en saldos</t>
        </is>
      </c>
      <c r="F12" s="234" t="inlineStr">
        <is>
          <t>Cómo usarlo</t>
        </is>
      </c>
      <c r="H12" s="234" t="inlineStr">
        <is>
          <t>Monedas</t>
        </is>
      </c>
      <c r="J12" s="234" t="inlineStr">
        <is>
          <t>Tipos de cuenta</t>
        </is>
      </c>
      <c r="K12" s="234" t="inlineStr">
        <is>
          <t>¿Es liquidez?</t>
        </is>
      </c>
      <c r="M12" s="234" t="inlineStr">
        <is>
          <t>Clasificación</t>
        </is>
      </c>
      <c r="O12" s="234" t="inlineStr">
        <is>
          <t>Frecuencia</t>
        </is>
      </c>
      <c r="P12" s="234" t="inlineStr">
        <is>
          <t>Meses</t>
        </is>
      </c>
      <c r="Q12" s="234" t="inlineStr">
        <is>
          <t>Días</t>
        </is>
      </c>
      <c r="R12" s="234" t="inlineStr">
        <is>
          <t>× mensual</t>
        </is>
      </c>
      <c r="T12" s="234" t="inlineStr">
        <is>
          <t>Períodos</t>
        </is>
      </c>
      <c r="V12" s="234" t="inlineStr">
        <is>
          <t>Grupos de alimentación</t>
        </is>
      </c>
      <c r="X12" s="234" t="inlineStr">
        <is>
          <t>Comida del día</t>
        </is>
      </c>
      <c r="Z12" s="234" t="inlineStr">
        <is>
          <t>Sí / No</t>
        </is>
      </c>
      <c r="AB12" s="234" t="inlineStr">
        <is>
          <t>Tipo de categoría</t>
        </is>
      </c>
      <c r="AD12" s="234" t="inlineStr">
        <is>
          <t>Meses (auto)</t>
        </is>
      </c>
      <c r="AF12" s="234" t="inlineStr">
        <is>
          <t>Filtro categorías (auto)</t>
        </is>
      </c>
      <c r="AG12" s="234" t="inlineStr">
        <is>
          <t>Filtro cuentas (auto)</t>
        </is>
      </c>
    </row>
    <row r="13" ht="32" customHeight="1">
      <c r="B13" s="235" t="inlineStr">
        <is>
          <t>Gasto</t>
        </is>
      </c>
      <c r="C13" s="226" t="inlineStr">
        <is>
          <t>Sí</t>
        </is>
      </c>
      <c r="D13" s="226" t="inlineStr">
        <is>
          <t>No</t>
        </is>
      </c>
      <c r="E13" s="226" t="inlineStr">
        <is>
          <t>Sale de la cuenta</t>
        </is>
      </c>
      <c r="F13" s="236" t="inlineStr">
        <is>
          <t>Consumo real. Una compra con tarjeta de crédito se registra AQUÍ, en la fecha de consumo, con la tarjeta como cuenta.</t>
        </is>
      </c>
      <c r="H13" s="225" t="inlineStr">
        <is>
          <t>DOP</t>
        </is>
      </c>
      <c r="J13" s="225" t="inlineStr">
        <is>
          <t>Efectivo</t>
        </is>
      </c>
      <c r="K13" s="225" t="inlineStr">
        <is>
          <t>Sí</t>
        </is>
      </c>
      <c r="M13" s="225" t="inlineStr">
        <is>
          <t>Fijo</t>
        </is>
      </c>
      <c r="O13" s="225" t="inlineStr">
        <is>
          <t>Semanal</t>
        </is>
      </c>
      <c r="P13" s="225" t="n">
        <v>0</v>
      </c>
      <c r="Q13" s="225" t="n">
        <v>7</v>
      </c>
      <c r="R13" s="237" t="n">
        <v>4.333333333333333</v>
      </c>
      <c r="T13" s="225" t="inlineStr">
        <is>
          <t>Mes actual</t>
        </is>
      </c>
      <c r="V13" s="225" t="inlineStr">
        <is>
          <t>Comida preparada</t>
        </is>
      </c>
      <c r="X13" s="225" t="inlineStr">
        <is>
          <t>Desayuno</t>
        </is>
      </c>
      <c r="Z13" s="225" t="inlineStr">
        <is>
          <t>Sí</t>
        </is>
      </c>
      <c r="AB13" s="225" t="inlineStr">
        <is>
          <t>Gasto</t>
        </is>
      </c>
      <c r="AD13" s="225">
        <f>YEAR(DATE(YEAR(TODAY()),MONTH(TODAY())-0,1))&amp;"-"&amp;RIGHT("0"&amp;MONTH(DATE(YEAR(TODAY()),MONTH(TODAY())-0,1)),2)</f>
        <v/>
      </c>
      <c r="AF13" s="238" t="inlineStr">
        <is>
          <t>Todas</t>
        </is>
      </c>
      <c r="AG13" s="238" t="inlineStr">
        <is>
          <t>Todas</t>
        </is>
      </c>
    </row>
    <row r="14" ht="32" customHeight="1">
      <c r="B14" s="235" t="inlineStr">
        <is>
          <t>Ingreso</t>
        </is>
      </c>
      <c r="C14" s="226" t="inlineStr">
        <is>
          <t>No</t>
        </is>
      </c>
      <c r="D14" s="226" t="inlineStr">
        <is>
          <t>Sí</t>
        </is>
      </c>
      <c r="E14" s="226" t="inlineStr">
        <is>
          <t>Entra a la cuenta</t>
        </is>
      </c>
      <c r="F14" s="236" t="inlineStr">
        <is>
          <t>Salario, ingresos extra, intereses. Un retiro desde trading NO es ingreso: es Transferencia.</t>
        </is>
      </c>
      <c r="H14" s="225" t="inlineStr">
        <is>
          <t>USD</t>
        </is>
      </c>
      <c r="J14" s="225" t="inlineStr">
        <is>
          <t>Cuenta bancaria</t>
        </is>
      </c>
      <c r="K14" s="225" t="inlineStr">
        <is>
          <t>Sí</t>
        </is>
      </c>
      <c r="M14" s="225" t="inlineStr">
        <is>
          <t>Variable</t>
        </is>
      </c>
      <c r="O14" s="225" t="inlineStr">
        <is>
          <t>Quincenal</t>
        </is>
      </c>
      <c r="P14" s="225" t="n">
        <v>0</v>
      </c>
      <c r="Q14" s="225" t="n">
        <v>15</v>
      </c>
      <c r="R14" s="237" t="n">
        <v>2</v>
      </c>
      <c r="T14" s="225" t="inlineStr">
        <is>
          <t>Mes anterior</t>
        </is>
      </c>
      <c r="V14" s="225" t="inlineStr">
        <is>
          <t>Supermercado e ingredientes</t>
        </is>
      </c>
      <c r="X14" s="225" t="inlineStr">
        <is>
          <t>Almuerzo</t>
        </is>
      </c>
      <c r="Z14" s="225" t="inlineStr">
        <is>
          <t>No</t>
        </is>
      </c>
      <c r="AB14" s="225" t="inlineStr">
        <is>
          <t>Ingreso</t>
        </is>
      </c>
      <c r="AD14" s="225">
        <f>YEAR(DATE(YEAR(TODAY()),MONTH(TODAY())-1,1))&amp;"-"&amp;RIGHT("0"&amp;MONTH(DATE(YEAR(TODAY()),MONTH(TODAY())-1,1)),2)</f>
        <v/>
      </c>
      <c r="AF14" s="225">
        <f>IFERROR(INDEX(catUList,1)&amp;"","")</f>
        <v/>
      </c>
      <c r="AG14" s="225">
        <f>IFERROR(INDEX(ctaNombre,1)&amp;"","")</f>
        <v/>
      </c>
    </row>
    <row r="15" ht="32" customHeight="1">
      <c r="B15" s="235" t="inlineStr">
        <is>
          <t>Transferencia</t>
        </is>
      </c>
      <c r="C15" s="226" t="inlineStr">
        <is>
          <t>No</t>
        </is>
      </c>
      <c r="D15" s="226" t="inlineStr">
        <is>
          <t>No</t>
        </is>
      </c>
      <c r="E15" s="226" t="inlineStr">
        <is>
          <t>Origen → destino</t>
        </is>
      </c>
      <c r="F15" s="236" t="inlineStr">
        <is>
          <t>Movimiento entre cuentas propias (banco→efectivo, banco→trading, trading→banco). No es gasto ni ingreso.</t>
        </is>
      </c>
      <c r="J15" s="225" t="inlineStr">
        <is>
          <t>Tarjeta de débito</t>
        </is>
      </c>
      <c r="K15" s="225" t="inlineStr">
        <is>
          <t>Sí</t>
        </is>
      </c>
      <c r="O15" s="225" t="inlineStr">
        <is>
          <t>Mensual</t>
        </is>
      </c>
      <c r="P15" s="225" t="n">
        <v>1</v>
      </c>
      <c r="Q15" s="225" t="n">
        <v>0</v>
      </c>
      <c r="R15" s="237" t="n">
        <v>1</v>
      </c>
      <c r="T15" s="225" t="inlineStr">
        <is>
          <t>Mes seleccionado</t>
        </is>
      </c>
      <c r="V15" s="225" t="inlineStr">
        <is>
          <t>Bebidas y snacks</t>
        </is>
      </c>
      <c r="X15" s="225" t="inlineStr">
        <is>
          <t>Cena</t>
        </is>
      </c>
      <c r="AD15" s="225">
        <f>YEAR(DATE(YEAR(TODAY()),MONTH(TODAY())-2,1))&amp;"-"&amp;RIGHT("0"&amp;MONTH(DATE(YEAR(TODAY()),MONTH(TODAY())-2,1)),2)</f>
        <v/>
      </c>
      <c r="AF15" s="225">
        <f>IFERROR(INDEX(catUList,2)&amp;"","")</f>
        <v/>
      </c>
      <c r="AG15" s="225">
        <f>IFERROR(INDEX(ctaNombre,2)&amp;"","")</f>
        <v/>
      </c>
    </row>
    <row r="16" ht="32" customHeight="1">
      <c r="B16" s="235" t="inlineStr">
        <is>
          <t>Pago tarjeta</t>
        </is>
      </c>
      <c r="C16" s="226" t="inlineStr">
        <is>
          <t>No</t>
        </is>
      </c>
      <c r="D16" s="226" t="inlineStr">
        <is>
          <t>No</t>
        </is>
      </c>
      <c r="E16" s="226" t="inlineStr">
        <is>
          <t>Origen → tarjeta</t>
        </is>
      </c>
      <c r="F16" s="236" t="inlineStr">
        <is>
          <t>Pago/liquidación de la tarjeta de crédito. Reduce la deuda; NO es un segundo gasto.</t>
        </is>
      </c>
      <c r="J16" s="225" t="inlineStr">
        <is>
          <t>Tarjeta de crédito</t>
        </is>
      </c>
      <c r="K16" s="225" t="inlineStr">
        <is>
          <t>No</t>
        </is>
      </c>
      <c r="O16" s="225" t="inlineStr">
        <is>
          <t>Bimestral</t>
        </is>
      </c>
      <c r="P16" s="225" t="n">
        <v>2</v>
      </c>
      <c r="Q16" s="225" t="n">
        <v>0</v>
      </c>
      <c r="R16" s="237" t="n">
        <v>0.5</v>
      </c>
      <c r="T16" s="225" t="inlineStr">
        <is>
          <t>Últimos 7 días</t>
        </is>
      </c>
      <c r="AD16" s="225">
        <f>YEAR(DATE(YEAR(TODAY()),MONTH(TODAY())-3,1))&amp;"-"&amp;RIGHT("0"&amp;MONTH(DATE(YEAR(TODAY()),MONTH(TODAY())-3,1)),2)</f>
        <v/>
      </c>
      <c r="AF16" s="225">
        <f>IFERROR(INDEX(catUList,3)&amp;"","")</f>
        <v/>
      </c>
      <c r="AG16" s="225">
        <f>IFERROR(INDEX(ctaNombre,3)&amp;"","")</f>
        <v/>
      </c>
    </row>
    <row r="17" ht="32" customHeight="1">
      <c r="B17" s="235" t="inlineStr">
        <is>
          <t>Reembolso</t>
        </is>
      </c>
      <c r="C17" s="226" t="inlineStr">
        <is>
          <t>Resta</t>
        </is>
      </c>
      <c r="D17" s="226" t="inlineStr">
        <is>
          <t>No</t>
        </is>
      </c>
      <c r="E17" s="226" t="inlineStr">
        <is>
          <t>Entra a la cuenta</t>
        </is>
      </c>
      <c r="F17" s="236" t="inlineStr">
        <is>
          <t>Te devuelven dinero de un gasto. Usa la misma categoría del gasto original: lo neutraliza.</t>
        </is>
      </c>
      <c r="J17" s="225" t="inlineStr">
        <is>
          <t>Billetera digital</t>
        </is>
      </c>
      <c r="K17" s="225" t="inlineStr">
        <is>
          <t>Sí</t>
        </is>
      </c>
      <c r="O17" s="225" t="inlineStr">
        <is>
          <t>Trimestral</t>
        </is>
      </c>
      <c r="P17" s="225" t="n">
        <v>3</v>
      </c>
      <c r="Q17" s="225" t="n">
        <v>0</v>
      </c>
      <c r="R17" s="237" t="n">
        <v>0.3333333333333333</v>
      </c>
      <c r="T17" s="225" t="inlineStr">
        <is>
          <t>Últimos 30 días</t>
        </is>
      </c>
      <c r="AD17" s="225">
        <f>YEAR(DATE(YEAR(TODAY()),MONTH(TODAY())-4,1))&amp;"-"&amp;RIGHT("0"&amp;MONTH(DATE(YEAR(TODAY()),MONTH(TODAY())-4,1)),2)</f>
        <v/>
      </c>
      <c r="AF17" s="225">
        <f>IFERROR(INDEX(catUList,4)&amp;"","")</f>
        <v/>
      </c>
      <c r="AG17" s="225">
        <f>IFERROR(INDEX(ctaNombre,4)&amp;"","")</f>
        <v/>
      </c>
    </row>
    <row r="18" ht="32" customHeight="1">
      <c r="B18" s="235" t="inlineStr">
        <is>
          <t>Ajuste</t>
        </is>
      </c>
      <c r="C18" s="226" t="inlineStr">
        <is>
          <t>No</t>
        </is>
      </c>
      <c r="D18" s="226" t="inlineStr">
        <is>
          <t>No</t>
        </is>
      </c>
      <c r="E18" s="226" t="inlineStr">
        <is>
          <t>± a la cuenta</t>
        </is>
      </c>
      <c r="F18" s="236" t="inlineStr">
        <is>
          <t>Corrección de saldo al conciliar (monto positivo o negativo). No afecta reportes de gasto.</t>
        </is>
      </c>
      <c r="J18" s="225" t="inlineStr">
        <is>
          <t>Cuenta de trading</t>
        </is>
      </c>
      <c r="K18" s="225" t="inlineStr">
        <is>
          <t>No</t>
        </is>
      </c>
      <c r="O18" s="225" t="inlineStr">
        <is>
          <t>Semestral</t>
        </is>
      </c>
      <c r="P18" s="225" t="n">
        <v>6</v>
      </c>
      <c r="Q18" s="225" t="n">
        <v>0</v>
      </c>
      <c r="R18" s="237" t="n">
        <v>0.1666666666666667</v>
      </c>
      <c r="T18" s="225" t="inlineStr">
        <is>
          <t>Últimos 90 días</t>
        </is>
      </c>
      <c r="AD18" s="225">
        <f>YEAR(DATE(YEAR(TODAY()),MONTH(TODAY())-5,1))&amp;"-"&amp;RIGHT("0"&amp;MONTH(DATE(YEAR(TODAY()),MONTH(TODAY())-5,1)),2)</f>
        <v/>
      </c>
      <c r="AF18" s="225">
        <f>IFERROR(INDEX(catUList,5)&amp;"","")</f>
        <v/>
      </c>
      <c r="AG18" s="225">
        <f>IFERROR(INDEX(ctaNombre,5)&amp;"","")</f>
        <v/>
      </c>
    </row>
    <row r="19" ht="32" customHeight="1">
      <c r="B19" s="235" t="inlineStr">
        <is>
          <t>Resultado trading</t>
        </is>
      </c>
      <c r="C19" s="226" t="inlineStr">
        <is>
          <t>No (trading)</t>
        </is>
      </c>
      <c r="D19" s="226" t="inlineStr">
        <is>
          <t>No (trading)</t>
        </is>
      </c>
      <c r="E19" s="226" t="inlineStr">
        <is>
          <t>± a la cuenta trading</t>
        </is>
      </c>
      <c r="F19" s="236" t="inlineStr">
        <is>
          <t>Ganancia (+) o pérdida (−) REALIZADA en una cuenta de trading. Se reporta aparte del gasto real.</t>
        </is>
      </c>
      <c r="O19" s="225" t="inlineStr">
        <is>
          <t>Anual</t>
        </is>
      </c>
      <c r="P19" s="225" t="n">
        <v>12</v>
      </c>
      <c r="Q19" s="225" t="n">
        <v>0</v>
      </c>
      <c r="R19" s="237" t="n">
        <v>0.08333333333333333</v>
      </c>
      <c r="T19" s="225" t="inlineStr">
        <is>
          <t>Año actual</t>
        </is>
      </c>
      <c r="AD19" s="225">
        <f>YEAR(DATE(YEAR(TODAY()),MONTH(TODAY())-6,1))&amp;"-"&amp;RIGHT("0"&amp;MONTH(DATE(YEAR(TODAY()),MONTH(TODAY())-6,1)),2)</f>
        <v/>
      </c>
      <c r="AF19" s="225">
        <f>IFERROR(INDEX(catUList,6)&amp;"","")</f>
        <v/>
      </c>
      <c r="AG19" s="225">
        <f>IFERROR(INDEX(ctaNombre,6)&amp;"","")</f>
        <v/>
      </c>
    </row>
    <row r="20">
      <c r="T20" s="225" t="inlineStr">
        <is>
          <t>Año anterior</t>
        </is>
      </c>
      <c r="AD20" s="225">
        <f>YEAR(DATE(YEAR(TODAY()),MONTH(TODAY())-7,1))&amp;"-"&amp;RIGHT("0"&amp;MONTH(DATE(YEAR(TODAY()),MONTH(TODAY())-7,1)),2)</f>
        <v/>
      </c>
      <c r="AF20" s="225">
        <f>IFERROR(INDEX(catUList,7)&amp;"","")</f>
        <v/>
      </c>
      <c r="AG20" s="225">
        <f>IFERROR(INDEX(ctaNombre,7)&amp;"","")</f>
        <v/>
      </c>
    </row>
    <row r="21">
      <c r="T21" s="225" t="inlineStr">
        <is>
          <t>Todo el historial</t>
        </is>
      </c>
      <c r="AD21" s="225">
        <f>YEAR(DATE(YEAR(TODAY()),MONTH(TODAY())-8,1))&amp;"-"&amp;RIGHT("0"&amp;MONTH(DATE(YEAR(TODAY()),MONTH(TODAY())-8,1)),2)</f>
        <v/>
      </c>
      <c r="AF21" s="225">
        <f>IFERROR(INDEX(catUList,8)&amp;"","")</f>
        <v/>
      </c>
      <c r="AG21" s="225">
        <f>IFERROR(INDEX(ctaNombre,8)&amp;"","")</f>
        <v/>
      </c>
    </row>
    <row r="22">
      <c r="T22" s="225" t="inlineStr">
        <is>
          <t>Personalizado</t>
        </is>
      </c>
      <c r="AD22" s="225">
        <f>YEAR(DATE(YEAR(TODAY()),MONTH(TODAY())-9,1))&amp;"-"&amp;RIGHT("0"&amp;MONTH(DATE(YEAR(TODAY()),MONTH(TODAY())-9,1)),2)</f>
        <v/>
      </c>
      <c r="AF22" s="225">
        <f>IFERROR(INDEX(catUList,9)&amp;"","")</f>
        <v/>
      </c>
      <c r="AG22" s="225">
        <f>IFERROR(INDEX(ctaNombre,9)&amp;"","")</f>
        <v/>
      </c>
    </row>
    <row r="23">
      <c r="AD23" s="225">
        <f>YEAR(DATE(YEAR(TODAY()),MONTH(TODAY())-10,1))&amp;"-"&amp;RIGHT("0"&amp;MONTH(DATE(YEAR(TODAY()),MONTH(TODAY())-10,1)),2)</f>
        <v/>
      </c>
      <c r="AF23" s="225">
        <f>IFERROR(INDEX(catUList,10)&amp;"","")</f>
        <v/>
      </c>
      <c r="AG23" s="225">
        <f>IFERROR(INDEX(ctaNombre,10)&amp;"","")</f>
        <v/>
      </c>
    </row>
    <row r="24">
      <c r="H24" s="229" t="inlineStr">
        <is>
          <t>Si agregas un tipo de cuenta, indica en «¿Es liquidez?» si es dinero disponible (Sí) o no (No).</t>
        </is>
      </c>
      <c r="AD24" s="225">
        <f>YEAR(DATE(YEAR(TODAY()),MONTH(TODAY())-11,1))&amp;"-"&amp;RIGHT("0"&amp;MONTH(DATE(YEAR(TODAY()),MONTH(TODAY())-11,1)),2)</f>
        <v/>
      </c>
      <c r="AF24" s="225">
        <f>IFERROR(INDEX(catUList,11)&amp;"","")</f>
        <v/>
      </c>
      <c r="AG24" s="225">
        <f>IFERROR(INDEX(ctaNombre,11)&amp;"","")</f>
        <v/>
      </c>
    </row>
    <row r="25">
      <c r="H25" s="229" t="inlineStr">
        <is>
          <t>No cambies los nombres de los Tipos de movimiento ni de los Períodos: las fórmulas dependen de ellos.</t>
        </is>
      </c>
      <c r="AD25" s="225">
        <f>YEAR(DATE(YEAR(TODAY()),MONTH(TODAY())-12,1))&amp;"-"&amp;RIGHT("0"&amp;MONTH(DATE(YEAR(TODAY()),MONTH(TODAY())-12,1)),2)</f>
        <v/>
      </c>
      <c r="AF25" s="225">
        <f>IFERROR(INDEX(catUList,12)&amp;"","")</f>
        <v/>
      </c>
      <c r="AG25" s="225">
        <f>IFERROR(INDEX(ctaNombre,12)&amp;"","")</f>
        <v/>
      </c>
    </row>
    <row r="26">
      <c r="AD26" s="225">
        <f>YEAR(DATE(YEAR(TODAY()),MONTH(TODAY())-13,1))&amp;"-"&amp;RIGHT("0"&amp;MONTH(DATE(YEAR(TODAY()),MONTH(TODAY())-13,1)),2)</f>
        <v/>
      </c>
      <c r="AF26" s="225">
        <f>IFERROR(INDEX(catUList,13)&amp;"","")</f>
        <v/>
      </c>
      <c r="AG26" s="225">
        <f>IFERROR(INDEX(ctaNombre,13)&amp;"","")</f>
        <v/>
      </c>
    </row>
    <row r="27">
      <c r="AD27" s="225">
        <f>YEAR(DATE(YEAR(TODAY()),MONTH(TODAY())-14,1))&amp;"-"&amp;RIGHT("0"&amp;MONTH(DATE(YEAR(TODAY()),MONTH(TODAY())-14,1)),2)</f>
        <v/>
      </c>
      <c r="AF27" s="225">
        <f>IFERROR(INDEX(catUList,14)&amp;"","")</f>
        <v/>
      </c>
      <c r="AG27" s="225">
        <f>IFERROR(INDEX(ctaNombre,14)&amp;"","")</f>
        <v/>
      </c>
    </row>
    <row r="28">
      <c r="AD28" s="225">
        <f>YEAR(DATE(YEAR(TODAY()),MONTH(TODAY())-15,1))&amp;"-"&amp;RIGHT("0"&amp;MONTH(DATE(YEAR(TODAY()),MONTH(TODAY())-15,1)),2)</f>
        <v/>
      </c>
      <c r="AF28" s="225">
        <f>IFERROR(INDEX(catUList,15)&amp;"","")</f>
        <v/>
      </c>
      <c r="AG28" s="225">
        <f>IFERROR(INDEX(ctaNombre,15)&amp;"","")</f>
        <v/>
      </c>
    </row>
    <row r="29">
      <c r="AD29" s="225">
        <f>YEAR(DATE(YEAR(TODAY()),MONTH(TODAY())-16,1))&amp;"-"&amp;RIGHT("0"&amp;MONTH(DATE(YEAR(TODAY()),MONTH(TODAY())-16,1)),2)</f>
        <v/>
      </c>
      <c r="AF29" s="225">
        <f>IFERROR(INDEX(catUList,16)&amp;"","")</f>
        <v/>
      </c>
      <c r="AG29" s="225">
        <f>IFERROR(INDEX(ctaNombre,16)&amp;"","")</f>
        <v/>
      </c>
    </row>
    <row r="30">
      <c r="AD30" s="225">
        <f>YEAR(DATE(YEAR(TODAY()),MONTH(TODAY())-17,1))&amp;"-"&amp;RIGHT("0"&amp;MONTH(DATE(YEAR(TODAY()),MONTH(TODAY())-17,1)),2)</f>
        <v/>
      </c>
      <c r="AF30" s="225">
        <f>IFERROR(INDEX(catUList,17)&amp;"","")</f>
        <v/>
      </c>
      <c r="AG30" s="225">
        <f>IFERROR(INDEX(ctaNombre,17)&amp;"","")</f>
        <v/>
      </c>
    </row>
    <row r="31">
      <c r="AD31" s="225">
        <f>YEAR(DATE(YEAR(TODAY()),MONTH(TODAY())-18,1))&amp;"-"&amp;RIGHT("0"&amp;MONTH(DATE(YEAR(TODAY()),MONTH(TODAY())-18,1)),2)</f>
        <v/>
      </c>
      <c r="AF31" s="225">
        <f>IFERROR(INDEX(catUList,18)&amp;"","")</f>
        <v/>
      </c>
      <c r="AG31" s="225">
        <f>IFERROR(INDEX(ctaNombre,18)&amp;"","")</f>
        <v/>
      </c>
    </row>
    <row r="32">
      <c r="AD32" s="225">
        <f>YEAR(DATE(YEAR(TODAY()),MONTH(TODAY())-19,1))&amp;"-"&amp;RIGHT("0"&amp;MONTH(DATE(YEAR(TODAY()),MONTH(TODAY())-19,1)),2)</f>
        <v/>
      </c>
      <c r="AF32" s="225">
        <f>IFERROR(INDEX(catUList,19)&amp;"","")</f>
        <v/>
      </c>
      <c r="AG32" s="225">
        <f>IFERROR(INDEX(ctaNombre,19)&amp;"","")</f>
        <v/>
      </c>
    </row>
    <row r="33">
      <c r="AD33" s="225">
        <f>YEAR(DATE(YEAR(TODAY()),MONTH(TODAY())-20,1))&amp;"-"&amp;RIGHT("0"&amp;MONTH(DATE(YEAR(TODAY()),MONTH(TODAY())-20,1)),2)</f>
        <v/>
      </c>
      <c r="AF33" s="225">
        <f>IFERROR(INDEX(catUList,20)&amp;"","")</f>
        <v/>
      </c>
      <c r="AG33" s="225">
        <f>IFERROR(INDEX(ctaNombre,20)&amp;"","")</f>
        <v/>
      </c>
    </row>
    <row r="34">
      <c r="AD34" s="225">
        <f>YEAR(DATE(YEAR(TODAY()),MONTH(TODAY())-21,1))&amp;"-"&amp;RIGHT("0"&amp;MONTH(DATE(YEAR(TODAY()),MONTH(TODAY())-21,1)),2)</f>
        <v/>
      </c>
      <c r="AF34" s="225">
        <f>IFERROR(INDEX(catUList,21)&amp;"","")</f>
        <v/>
      </c>
      <c r="AG34" s="225">
        <f>IFERROR(INDEX(ctaNombre,21)&amp;"","")</f>
        <v/>
      </c>
    </row>
    <row r="35">
      <c r="AD35" s="225">
        <f>YEAR(DATE(YEAR(TODAY()),MONTH(TODAY())-22,1))&amp;"-"&amp;RIGHT("0"&amp;MONTH(DATE(YEAR(TODAY()),MONTH(TODAY())-22,1)),2)</f>
        <v/>
      </c>
      <c r="AF35" s="225">
        <f>IFERROR(INDEX(catUList,22)&amp;"","")</f>
        <v/>
      </c>
      <c r="AG35" s="225">
        <f>IFERROR(INDEX(ctaNombre,22)&amp;"","")</f>
        <v/>
      </c>
    </row>
    <row r="36">
      <c r="AD36" s="225">
        <f>YEAR(DATE(YEAR(TODAY()),MONTH(TODAY())-23,1))&amp;"-"&amp;RIGHT("0"&amp;MONTH(DATE(YEAR(TODAY()),MONTH(TODAY())-23,1)),2)</f>
        <v/>
      </c>
      <c r="AF36" s="225">
        <f>IFERROR(INDEX(catUList,23)&amp;"","")</f>
        <v/>
      </c>
      <c r="AG36" s="225">
        <f>IFERROR(INDEX(ctaNombre,23)&amp;"","")</f>
        <v/>
      </c>
    </row>
    <row r="37">
      <c r="AD37" s="225">
        <f>YEAR(DATE(YEAR(TODAY()),MONTH(TODAY())-24,1))&amp;"-"&amp;RIGHT("0"&amp;MONTH(DATE(YEAR(TODAY()),MONTH(TODAY())-24,1)),2)</f>
        <v/>
      </c>
      <c r="AF37" s="225">
        <f>IFERROR(INDEX(catUList,24)&amp;"","")</f>
        <v/>
      </c>
      <c r="AG37" s="225">
        <f>IFERROR(INDEX(ctaNombre,24)&amp;"","")</f>
        <v/>
      </c>
    </row>
    <row r="38">
      <c r="AD38" s="225">
        <f>YEAR(DATE(YEAR(TODAY()),MONTH(TODAY())-25,1))&amp;"-"&amp;RIGHT("0"&amp;MONTH(DATE(YEAR(TODAY()),MONTH(TODAY())-25,1)),2)</f>
        <v/>
      </c>
      <c r="AF38" s="225">
        <f>IFERROR(INDEX(catUList,25)&amp;"","")</f>
        <v/>
      </c>
      <c r="AG38" s="225">
        <f>IFERROR(INDEX(ctaNombre,25)&amp;"","")</f>
        <v/>
      </c>
    </row>
    <row r="39">
      <c r="AD39" s="225">
        <f>YEAR(DATE(YEAR(TODAY()),MONTH(TODAY())-26,1))&amp;"-"&amp;RIGHT("0"&amp;MONTH(DATE(YEAR(TODAY()),MONTH(TODAY())-26,1)),2)</f>
        <v/>
      </c>
      <c r="AF39" s="225">
        <f>IFERROR(INDEX(catUList,26)&amp;"","")</f>
        <v/>
      </c>
      <c r="AG39" s="225">
        <f>IFERROR(INDEX(ctaNombre,26)&amp;"","")</f>
        <v/>
      </c>
    </row>
    <row r="40">
      <c r="AD40" s="225">
        <f>YEAR(DATE(YEAR(TODAY()),MONTH(TODAY())-27,1))&amp;"-"&amp;RIGHT("0"&amp;MONTH(DATE(YEAR(TODAY()),MONTH(TODAY())-27,1)),2)</f>
        <v/>
      </c>
      <c r="AF40" s="225">
        <f>IFERROR(INDEX(catUList,27)&amp;"","")</f>
        <v/>
      </c>
      <c r="AG40" s="225">
        <f>IFERROR(INDEX(ctaNombre,27)&amp;"","")</f>
        <v/>
      </c>
    </row>
    <row r="41">
      <c r="AD41" s="225">
        <f>YEAR(DATE(YEAR(TODAY()),MONTH(TODAY())-28,1))&amp;"-"&amp;RIGHT("0"&amp;MONTH(DATE(YEAR(TODAY()),MONTH(TODAY())-28,1)),2)</f>
        <v/>
      </c>
      <c r="AF41" s="225">
        <f>IFERROR(INDEX(catUList,28)&amp;"","")</f>
        <v/>
      </c>
      <c r="AG41" s="225">
        <f>IFERROR(INDEX(ctaNombre,28)&amp;"","")</f>
        <v/>
      </c>
    </row>
    <row r="42">
      <c r="AD42" s="225">
        <f>YEAR(DATE(YEAR(TODAY()),MONTH(TODAY())-29,1))&amp;"-"&amp;RIGHT("0"&amp;MONTH(DATE(YEAR(TODAY()),MONTH(TODAY())-29,1)),2)</f>
        <v/>
      </c>
      <c r="AF42" s="225">
        <f>IFERROR(INDEX(catUList,29)&amp;"","")</f>
        <v/>
      </c>
      <c r="AG42" s="225">
        <f>IFERROR(INDEX(ctaNombre,29)&amp;"","")</f>
        <v/>
      </c>
    </row>
    <row r="43">
      <c r="AD43" s="225">
        <f>YEAR(DATE(YEAR(TODAY()),MONTH(TODAY())-30,1))&amp;"-"&amp;RIGHT("0"&amp;MONTH(DATE(YEAR(TODAY()),MONTH(TODAY())-30,1)),2)</f>
        <v/>
      </c>
      <c r="AF43" s="225">
        <f>IFERROR(INDEX(catUList,30)&amp;"","")</f>
        <v/>
      </c>
      <c r="AG43" s="225">
        <f>IFERROR(INDEX(ctaNombre,30)&amp;"","")</f>
        <v/>
      </c>
    </row>
    <row r="44">
      <c r="AD44" s="225">
        <f>YEAR(DATE(YEAR(TODAY()),MONTH(TODAY())-31,1))&amp;"-"&amp;RIGHT("0"&amp;MONTH(DATE(YEAR(TODAY()),MONTH(TODAY())-31,1)),2)</f>
        <v/>
      </c>
      <c r="AF44" s="225">
        <f>IFERROR(INDEX(catUList,31)&amp;"","")</f>
        <v/>
      </c>
    </row>
    <row r="45">
      <c r="AD45" s="225">
        <f>YEAR(DATE(YEAR(TODAY()),MONTH(TODAY())-32,1))&amp;"-"&amp;RIGHT("0"&amp;MONTH(DATE(YEAR(TODAY()),MONTH(TODAY())-32,1)),2)</f>
        <v/>
      </c>
      <c r="AF45" s="225">
        <f>IFERROR(INDEX(catUList,32)&amp;"","")</f>
        <v/>
      </c>
    </row>
    <row r="46">
      <c r="AD46" s="225">
        <f>YEAR(DATE(YEAR(TODAY()),MONTH(TODAY())-33,1))&amp;"-"&amp;RIGHT("0"&amp;MONTH(DATE(YEAR(TODAY()),MONTH(TODAY())-33,1)),2)</f>
        <v/>
      </c>
      <c r="AF46" s="225">
        <f>IFERROR(INDEX(catUList,33)&amp;"","")</f>
        <v/>
      </c>
    </row>
    <row r="47">
      <c r="AD47" s="225">
        <f>YEAR(DATE(YEAR(TODAY()),MONTH(TODAY())-34,1))&amp;"-"&amp;RIGHT("0"&amp;MONTH(DATE(YEAR(TODAY()),MONTH(TODAY())-34,1)),2)</f>
        <v/>
      </c>
      <c r="AF47" s="225">
        <f>IFERROR(INDEX(catUList,34)&amp;"","")</f>
        <v/>
      </c>
    </row>
    <row r="48">
      <c r="AD48" s="225">
        <f>YEAR(DATE(YEAR(TODAY()),MONTH(TODAY())-35,1))&amp;"-"&amp;RIGHT("0"&amp;MONTH(DATE(YEAR(TODAY()),MONTH(TODAY())-35,1)),2)</f>
        <v/>
      </c>
      <c r="AF48" s="225">
        <f>IFERROR(INDEX(catUList,35)&amp;"","")</f>
        <v/>
      </c>
    </row>
    <row r="49">
      <c r="AF49" s="225">
        <f>IFERROR(INDEX(catUList,36)&amp;"","")</f>
        <v/>
      </c>
    </row>
    <row r="50">
      <c r="AF50" s="225">
        <f>IFERROR(INDEX(catUList,37)&amp;"","")</f>
        <v/>
      </c>
    </row>
    <row r="51">
      <c r="AF51" s="225">
        <f>IFERROR(INDEX(catUList,38)&amp;"","")</f>
        <v/>
      </c>
    </row>
    <row r="52">
      <c r="AF52" s="225">
        <f>IFERROR(INDEX(catUList,39)&amp;"","")</f>
        <v/>
      </c>
    </row>
    <row r="53">
      <c r="AF53" s="225">
        <f>IFERROR(INDEX(catUList,40)&amp;"","")</f>
        <v/>
      </c>
    </row>
  </sheetData>
  <mergeCells count="9">
    <mergeCell ref="AA1:AG1"/>
    <mergeCell ref="B4:F4"/>
    <mergeCell ref="D5:F5"/>
    <mergeCell ref="B11:F11"/>
    <mergeCell ref="H4:AF4"/>
    <mergeCell ref="D9:F9"/>
    <mergeCell ref="D7:F7"/>
    <mergeCell ref="D8:F8"/>
    <mergeCell ref="D6:F6"/>
  </mergeCells>
  <hyperlinks>
    <hyperlink ref="B2" location="'Inicio'!A1" display="Inicio"/>
    <hyperlink ref="C2" location="'Registro'!A1" display="Registro"/>
    <hyperlink ref="D2" location="'Dashboard'!A1" display="Dashboard"/>
    <hyperlink ref="E2" location="'Alimentación'!A1" display="Alimentación"/>
    <hyperlink ref="F2" location="'Gastos hormiga'!A1" display="Hormiga"/>
    <hyperlink ref="G2" location="'Recurrentes'!A1" display="Recurrentes"/>
    <hyperlink ref="I2" location="'Presupuestos'!A1" display="Presupuestos"/>
    <hyperlink ref="K2" location="'Cuentas'!A1" display="Cuentas"/>
    <hyperlink ref="L2" location="'Categorías'!A1" display="Categorías"/>
    <hyperlink ref="N2" location="'Config'!A1" display="● Config"/>
  </hyperlinks>
  <pageMargins left="0.75" right="0.75" top="1" bottom="1" header="0.5" footer="0.5"/>
  <legacyDrawing xmlns:r="http://schemas.openxmlformats.org/officeDocument/2006/relationships" r:id="anysvml"/>
</worksheet>
</file>

<file path=xl/worksheets/sheet11.xml><?xml version="1.0" encoding="utf-8"?>
<worksheet xmlns="http://schemas.openxmlformats.org/spreadsheetml/2006/main">
  <sheetPr>
    <tabColor rgb="0094A3B8"/>
    <outlinePr summaryBelow="1" summaryRight="1"/>
    <pageSetUpPr/>
  </sheetPr>
  <dimension ref="A1:DG372"/>
  <sheetViews>
    <sheetView showGridLines="0" zoomScale="80" workbookViewId="0">
      <selection activeCell="A1" sqref="A1"/>
    </sheetView>
  </sheetViews>
  <sheetFormatPr baseColWidth="8" defaultRowHeight="15"/>
  <cols>
    <col width="2" customWidth="1" min="1" max="1"/>
    <col width="26" customWidth="1" min="2" max="2"/>
    <col width="16" customWidth="1" min="3" max="3"/>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 width="13" customWidth="1" min="17" max="17"/>
    <col width="13" customWidth="1" min="18" max="18"/>
    <col width="13" customWidth="1" min="19" max="19"/>
    <col width="13" customWidth="1" min="20" max="20"/>
    <col width="13" customWidth="1" min="21" max="21"/>
    <col width="13" customWidth="1" min="22" max="22"/>
    <col width="13" customWidth="1" min="23" max="23"/>
    <col width="13" customWidth="1" min="24" max="24"/>
    <col width="13" customWidth="1" min="25" max="25"/>
    <col width="13" customWidth="1" min="26" max="26"/>
    <col width="13" customWidth="1" min="27" max="27"/>
    <col width="13" customWidth="1" min="28" max="28"/>
    <col width="13" customWidth="1" min="29" max="29"/>
    <col width="13" customWidth="1" min="30" max="30"/>
    <col width="13" customWidth="1" min="31" max="31"/>
    <col width="13" customWidth="1" min="32" max="32"/>
    <col width="13" customWidth="1" min="33" max="33"/>
    <col width="13" customWidth="1" min="34" max="34"/>
    <col width="13" customWidth="1" min="35" max="35"/>
    <col width="13" customWidth="1" min="36" max="36"/>
    <col width="12" customWidth="1" min="37" max="37"/>
    <col width="13" customWidth="1" min="38" max="38"/>
    <col width="13" customWidth="1" min="39" max="39"/>
    <col width="13" customWidth="1" min="40" max="40"/>
    <col width="13" customWidth="1" min="41" max="41"/>
    <col width="13" customWidth="1" min="42" max="42"/>
    <col width="13" customWidth="1" min="43" max="43"/>
    <col width="13" customWidth="1" min="44" max="44"/>
    <col width="13" customWidth="1" min="45" max="45"/>
    <col width="13" customWidth="1" min="46" max="46"/>
    <col width="13" customWidth="1" min="47" max="47"/>
    <col width="13" customWidth="1" min="48" max="48"/>
    <col width="13" customWidth="1" min="49" max="49"/>
    <col width="13" customWidth="1" min="50" max="50"/>
    <col width="13" customWidth="1" min="51" max="51"/>
    <col width="13" customWidth="1" min="52" max="52"/>
    <col width="13" customWidth="1" min="53" max="53"/>
    <col width="13" customWidth="1" min="54" max="54"/>
    <col width="13" customWidth="1" min="55" max="55"/>
    <col width="13" customWidth="1" min="56" max="56"/>
    <col width="13" customWidth="1" min="57" max="57"/>
    <col width="13" customWidth="1" min="58" max="58"/>
    <col width="13" customWidth="1" min="59" max="59"/>
    <col width="13" customWidth="1" min="60" max="60"/>
    <col width="13" customWidth="1" min="61" max="61"/>
    <col width="13" customWidth="1" min="62" max="62"/>
    <col width="13" customWidth="1" min="63" max="63"/>
    <col width="13" customWidth="1" min="64" max="64"/>
    <col width="13" customWidth="1" min="65" max="65"/>
    <col width="13" customWidth="1" min="66" max="66"/>
    <col width="13" customWidth="1" min="67" max="67"/>
    <col width="13" customWidth="1" min="68" max="68"/>
    <col width="13" customWidth="1" min="69" max="69"/>
    <col width="13" customWidth="1" min="70" max="70"/>
    <col width="13" customWidth="1" min="71" max="71"/>
    <col width="13" customWidth="1" min="72" max="72"/>
    <col width="13" customWidth="1" min="73" max="73"/>
    <col width="13" customWidth="1" min="74" max="74"/>
    <col width="13" customWidth="1" min="75" max="75"/>
    <col width="13" customWidth="1" min="76" max="76"/>
    <col width="13" customWidth="1" min="77" max="77"/>
    <col width="13" customWidth="1" min="78" max="78"/>
    <col width="13" customWidth="1" min="79" max="79"/>
    <col width="13" customWidth="1" min="80" max="80"/>
    <col width="13" customWidth="1" min="81" max="81"/>
    <col width="13" customWidth="1" min="82" max="82"/>
    <col width="13" customWidth="1" min="83" max="83"/>
    <col width="13" customWidth="1" min="84" max="84"/>
    <col width="13" customWidth="1" min="85" max="85"/>
    <col width="13" customWidth="1" min="86" max="86"/>
    <col width="13" customWidth="1" min="87" max="87"/>
    <col width="13" customWidth="1" min="88" max="88"/>
    <col width="13" customWidth="1" min="89" max="89"/>
    <col width="13" customWidth="1" min="90" max="90"/>
    <col width="13" customWidth="1" min="91" max="91"/>
    <col width="13" customWidth="1" min="92" max="92"/>
    <col width="13" customWidth="1" min="93" max="93"/>
    <col width="13" customWidth="1" min="94" max="94"/>
    <col width="13" customWidth="1" min="95" max="95"/>
    <col width="13" customWidth="1" min="96" max="96"/>
    <col width="13" customWidth="1" min="97" max="97"/>
    <col width="13" customWidth="1" min="98" max="98"/>
    <col width="13" customWidth="1" min="99" max="99"/>
    <col width="13" customWidth="1" min="100" max="100"/>
    <col width="13" customWidth="1" min="101" max="101"/>
    <col width="13" customWidth="1" min="102" max="102"/>
    <col width="13" customWidth="1" min="103" max="103"/>
    <col width="13" customWidth="1" min="104" max="104"/>
    <col width="13" customWidth="1" min="105" max="105"/>
    <col width="13" customWidth="1" min="106" max="106"/>
    <col width="13" customWidth="1" min="107" max="107"/>
    <col width="13" customWidth="1" min="108" max="108"/>
    <col width="13" customWidth="1" min="109" max="109"/>
    <col width="13" customWidth="1" min="110" max="110"/>
    <col width="13" customWidth="1" min="111" max="111"/>
  </cols>
  <sheetData>
    <row r="1" ht="38" customHeight="1">
      <c r="A1" s="1" t="n"/>
      <c r="B1" s="2" t="inlineStr">
        <is>
          <t>Motor de cálculo</t>
        </is>
      </c>
      <c r="C1" s="1" t="n"/>
      <c r="D1" s="1" t="n"/>
      <c r="E1" s="1" t="n"/>
      <c r="F1" s="1" t="n"/>
      <c r="G1" s="1" t="n"/>
      <c r="H1" s="1" t="n"/>
      <c r="I1" s="1" t="n"/>
      <c r="J1" s="1" t="n"/>
      <c r="K1" s="1" t="n"/>
      <c r="L1" s="1" t="n"/>
      <c r="M1" s="1" t="n"/>
      <c r="N1" s="1" t="n"/>
      <c r="O1" s="1" t="n"/>
      <c r="P1" s="1" t="n"/>
      <c r="Q1" s="1" t="n"/>
      <c r="R1" s="1" t="n"/>
      <c r="S1" s="1" t="n"/>
      <c r="T1" s="1" t="n"/>
      <c r="U1" s="1" t="n"/>
      <c r="V1" s="1" t="n"/>
      <c r="W1" s="1" t="n"/>
      <c r="X1" s="1" t="n"/>
      <c r="Y1" s="1" t="n"/>
      <c r="Z1" s="1" t="n"/>
      <c r="AA1" s="1" t="n"/>
      <c r="AB1" s="1" t="n"/>
      <c r="AC1" s="1" t="n"/>
      <c r="AD1" s="1" t="n"/>
      <c r="AE1" s="1" t="n"/>
      <c r="AF1" s="1" t="n"/>
      <c r="AG1" s="1" t="n"/>
      <c r="AH1" s="1" t="n"/>
      <c r="AI1" s="1" t="n"/>
      <c r="AJ1" s="1" t="n"/>
      <c r="AK1" s="1" t="n"/>
      <c r="AL1" s="1" t="n"/>
      <c r="AM1" s="1" t="n"/>
      <c r="AN1" s="1" t="n"/>
      <c r="AO1" s="1" t="n"/>
      <c r="AP1" s="1" t="n"/>
      <c r="AQ1" s="1" t="n"/>
      <c r="AR1" s="1" t="n"/>
      <c r="AS1" s="1" t="n"/>
      <c r="AT1" s="1" t="n"/>
      <c r="AU1" s="1" t="n"/>
      <c r="AV1" s="1" t="n"/>
      <c r="AW1" s="1" t="n"/>
      <c r="AX1" s="1" t="n"/>
      <c r="AY1" s="1" t="n"/>
      <c r="AZ1" s="1" t="n"/>
      <c r="BA1" s="1" t="n"/>
      <c r="BB1" s="1" t="n"/>
      <c r="BC1" s="1" t="n"/>
      <c r="BD1" s="1" t="n"/>
      <c r="BE1" s="1" t="n"/>
      <c r="BF1" s="1" t="n"/>
      <c r="BG1" s="1" t="n"/>
      <c r="BH1" s="1" t="n"/>
      <c r="BI1" s="1" t="n"/>
      <c r="BJ1" s="1" t="n"/>
      <c r="BK1" s="1" t="n"/>
      <c r="BL1" s="1" t="n"/>
      <c r="BM1" s="1" t="n"/>
      <c r="BN1" s="1" t="n"/>
      <c r="BO1" s="1" t="n"/>
      <c r="BP1" s="1" t="n"/>
      <c r="BQ1" s="1" t="n"/>
      <c r="BR1" s="1" t="n"/>
      <c r="BS1" s="1" t="n"/>
      <c r="BT1" s="1" t="n"/>
      <c r="BU1" s="1" t="n"/>
      <c r="BV1" s="1" t="n"/>
      <c r="BW1" s="1" t="n"/>
      <c r="BX1" s="1" t="n"/>
      <c r="BY1" s="1" t="n"/>
      <c r="BZ1" s="1" t="n"/>
      <c r="CA1" s="1" t="n"/>
      <c r="CB1" s="1" t="n"/>
      <c r="CC1" s="1" t="n"/>
      <c r="CD1" s="1" t="n"/>
      <c r="CE1" s="1" t="n"/>
      <c r="CF1" s="1" t="n"/>
      <c r="CG1" s="1" t="n"/>
      <c r="CH1" s="1" t="n"/>
      <c r="CI1" s="1" t="n"/>
      <c r="CJ1" s="1" t="n"/>
      <c r="CK1" s="1" t="n"/>
      <c r="CL1" s="1" t="n"/>
      <c r="CM1" s="1" t="n"/>
      <c r="CN1" s="1" t="n"/>
      <c r="CO1" s="1" t="n"/>
      <c r="CP1" s="1" t="n"/>
      <c r="CQ1" s="1" t="n"/>
      <c r="CR1" s="1" t="n"/>
      <c r="CS1" s="1" t="n"/>
      <c r="CT1" s="1" t="n"/>
      <c r="CU1" s="1" t="n"/>
      <c r="CV1" s="1" t="n"/>
      <c r="CW1" s="1" t="n"/>
      <c r="CX1" s="1" t="n"/>
      <c r="CY1" s="1" t="n"/>
      <c r="CZ1" s="3" t="inlineStr">
        <is>
          <t>Hoja técnica: alimenta gráficos y tablas. No editar.</t>
        </is>
      </c>
    </row>
    <row r="2" ht="22" customHeight="1">
      <c r="A2" s="4" t="n"/>
      <c r="B2" s="6" t="inlineStr">
        <is>
          <t>Inicio</t>
        </is>
      </c>
      <c r="C2" s="6" t="inlineStr">
        <is>
          <t>Registro</t>
        </is>
      </c>
      <c r="D2" s="6" t="inlineStr">
        <is>
          <t>Dashboard</t>
        </is>
      </c>
      <c r="E2" s="4" t="n"/>
      <c r="F2" s="6" t="inlineStr">
        <is>
          <t>Alimentación</t>
        </is>
      </c>
      <c r="G2" s="6" t="inlineStr">
        <is>
          <t>Hormiga</t>
        </is>
      </c>
      <c r="H2" s="6" t="inlineStr">
        <is>
          <t>Recurrentes</t>
        </is>
      </c>
      <c r="I2" s="6" t="inlineStr">
        <is>
          <t>Presupuestos</t>
        </is>
      </c>
      <c r="J2" s="6" t="inlineStr">
        <is>
          <t>Cuentas</t>
        </is>
      </c>
      <c r="K2" s="6" t="inlineStr">
        <is>
          <t>Categorías</t>
        </is>
      </c>
      <c r="L2" s="6" t="inlineStr">
        <is>
          <t>Config</t>
        </is>
      </c>
      <c r="M2" s="4" t="n"/>
      <c r="N2" s="4" t="n"/>
      <c r="O2" s="4" t="n"/>
      <c r="P2" s="4" t="n"/>
      <c r="Q2" s="4" t="n"/>
      <c r="R2" s="4" t="n"/>
      <c r="S2" s="4" t="n"/>
      <c r="T2" s="4" t="n"/>
      <c r="U2" s="4" t="n"/>
      <c r="V2" s="4" t="n"/>
      <c r="W2" s="4" t="n"/>
      <c r="X2" s="4" t="n"/>
      <c r="Y2" s="4" t="n"/>
      <c r="Z2" s="4" t="n"/>
      <c r="AA2" s="4" t="n"/>
      <c r="AB2" s="4" t="n"/>
      <c r="AC2" s="4" t="n"/>
      <c r="AD2" s="4" t="n"/>
      <c r="AE2" s="4" t="n"/>
      <c r="AF2" s="4" t="n"/>
      <c r="AG2" s="4" t="n"/>
      <c r="AH2" s="4" t="n"/>
      <c r="AI2" s="4" t="n"/>
      <c r="AJ2" s="4" t="n"/>
      <c r="AK2" s="4" t="n"/>
      <c r="AL2" s="4" t="n"/>
      <c r="AM2" s="4" t="n"/>
      <c r="AN2" s="4" t="n"/>
      <c r="AO2" s="4" t="n"/>
      <c r="AP2" s="4" t="n"/>
      <c r="AQ2" s="4" t="n"/>
      <c r="AR2" s="4" t="n"/>
      <c r="AS2" s="4" t="n"/>
      <c r="AT2" s="4" t="n"/>
      <c r="AU2" s="4" t="n"/>
      <c r="AV2" s="4" t="n"/>
      <c r="AW2" s="4" t="n"/>
      <c r="AX2" s="4" t="n"/>
      <c r="AY2" s="4" t="n"/>
      <c r="AZ2" s="4" t="n"/>
      <c r="BA2" s="4" t="n"/>
      <c r="BB2" s="4" t="n"/>
      <c r="BC2" s="4" t="n"/>
      <c r="BD2" s="4" t="n"/>
      <c r="BE2" s="4" t="n"/>
      <c r="BF2" s="4" t="n"/>
      <c r="BG2" s="4" t="n"/>
      <c r="BH2" s="4" t="n"/>
      <c r="BI2" s="4" t="n"/>
      <c r="BJ2" s="4" t="n"/>
      <c r="BK2" s="4" t="n"/>
      <c r="BL2" s="4" t="n"/>
      <c r="BM2" s="4" t="n"/>
      <c r="BN2" s="4" t="n"/>
      <c r="BO2" s="4" t="n"/>
      <c r="BP2" s="4" t="n"/>
      <c r="BQ2" s="4" t="n"/>
      <c r="BR2" s="4" t="n"/>
      <c r="BS2" s="4" t="n"/>
      <c r="BT2" s="4" t="n"/>
      <c r="BU2" s="4" t="n"/>
      <c r="BV2" s="4" t="n"/>
      <c r="BW2" s="4" t="n"/>
      <c r="BX2" s="4" t="n"/>
      <c r="BY2" s="4" t="n"/>
      <c r="BZ2" s="4" t="n"/>
      <c r="CA2" s="4" t="n"/>
      <c r="CB2" s="4" t="n"/>
      <c r="CC2" s="4" t="n"/>
      <c r="CD2" s="4" t="n"/>
      <c r="CE2" s="4" t="n"/>
      <c r="CF2" s="4" t="n"/>
      <c r="CG2" s="4" t="n"/>
      <c r="CH2" s="4" t="n"/>
      <c r="CI2" s="4" t="n"/>
      <c r="CJ2" s="4" t="n"/>
      <c r="CK2" s="4" t="n"/>
      <c r="CL2" s="4" t="n"/>
      <c r="CM2" s="4" t="n"/>
      <c r="CN2" s="4" t="n"/>
      <c r="CO2" s="4" t="n"/>
      <c r="CP2" s="4" t="n"/>
      <c r="CQ2" s="4" t="n"/>
      <c r="CR2" s="4" t="n"/>
      <c r="CS2" s="4" t="n"/>
      <c r="CT2" s="4" t="n"/>
      <c r="CU2" s="4" t="n"/>
      <c r="CV2" s="4" t="n"/>
      <c r="CW2" s="4" t="n"/>
      <c r="CX2" s="4" t="n"/>
      <c r="CY2" s="4" t="n"/>
      <c r="CZ2" s="4" t="n"/>
      <c r="DA2" s="4" t="n"/>
      <c r="DB2" s="4" t="n"/>
      <c r="DC2" s="4" t="n"/>
      <c r="DD2" s="4" t="n"/>
      <c r="DE2" s="4" t="n"/>
      <c r="DF2" s="4" t="n"/>
    </row>
    <row r="3">
      <c r="B3" s="239" t="inlineStr">
        <is>
          <t>Esta hoja hace los cálculos intermedios (rankings, series mensuales y semanales). Puedes ocultarla.</t>
        </is>
      </c>
    </row>
    <row r="5">
      <c r="B5" s="240" t="inlineStr">
        <is>
          <t>Período activo</t>
        </is>
      </c>
      <c r="C5" s="10" t="n"/>
      <c r="E5" s="240" t="inlineStr">
        <is>
          <t>Gasto por categoría</t>
        </is>
      </c>
      <c r="F5" s="10" t="n"/>
      <c r="G5" s="10" t="n"/>
      <c r="H5" s="10" t="n"/>
      <c r="I5" s="10" t="n"/>
      <c r="K5" s="240" t="inlineStr">
        <is>
          <t>Gasto por subcategoría (concepto)</t>
        </is>
      </c>
      <c r="L5" s="10" t="n"/>
      <c r="M5" s="10" t="n"/>
      <c r="N5" s="10" t="n"/>
      <c r="O5" s="10" t="n"/>
      <c r="P5" s="10" t="n"/>
      <c r="R5" s="240" t="inlineStr">
        <is>
          <t>Comercios (lista automática)</t>
        </is>
      </c>
      <c r="S5" s="10" t="n"/>
      <c r="T5" s="10" t="n"/>
      <c r="U5" s="10" t="n"/>
      <c r="V5" s="10" t="n"/>
      <c r="W5" s="10" t="n"/>
      <c r="X5" s="10" t="n"/>
      <c r="Y5" s="10" t="n"/>
      <c r="AA5" s="240" t="inlineStr">
        <is>
          <t>Gasto por cuenta / método</t>
        </is>
      </c>
      <c r="AB5" s="10" t="n"/>
      <c r="AC5" s="10" t="n"/>
      <c r="AD5" s="10" t="n"/>
      <c r="AF5" s="240" t="inlineStr">
        <is>
          <t>Gasto hormiga por categoría</t>
        </is>
      </c>
      <c r="AG5" s="10" t="n"/>
      <c r="AH5" s="10" t="n"/>
      <c r="AI5" s="10" t="n"/>
      <c r="AK5" s="240" t="inlineStr">
        <is>
          <t>Últimos 12 meses (hasta el mes de referencia)</t>
        </is>
      </c>
      <c r="AL5" s="10" t="n"/>
      <c r="AM5" s="10" t="n"/>
      <c r="AN5" s="10" t="n"/>
      <c r="AO5" s="10" t="n"/>
      <c r="AP5" s="10" t="n"/>
      <c r="AQ5" s="10" t="n"/>
      <c r="AR5" s="10" t="n"/>
      <c r="AS5" s="10" t="n"/>
      <c r="AT5" s="10" t="n"/>
      <c r="AU5" s="10" t="n"/>
      <c r="AV5" s="10" t="n"/>
      <c r="AW5" s="10" t="n"/>
      <c r="AX5" s="10" t="n"/>
      <c r="AZ5" s="240" t="inlineStr">
        <is>
          <t>Últimas 12 semanas</t>
        </is>
      </c>
      <c r="BA5" s="10" t="n"/>
      <c r="BB5" s="10" t="n"/>
      <c r="BC5" s="10" t="n"/>
      <c r="BD5" s="10" t="n"/>
      <c r="BE5" s="10" t="n"/>
      <c r="BG5" s="240" t="inlineStr">
        <is>
          <t>Calendario del período (hasta 366 días)</t>
        </is>
      </c>
      <c r="BH5" s="10" t="n"/>
      <c r="BI5" s="10" t="n"/>
      <c r="BJ5" s="10" t="n"/>
      <c r="BK5" s="10" t="n"/>
      <c r="BL5" s="10" t="n"/>
      <c r="BN5" s="240" t="inlineStr">
        <is>
          <t>Alimentación por día de la semana</t>
        </is>
      </c>
      <c r="BO5" s="10" t="n"/>
      <c r="BP5" s="10" t="n"/>
      <c r="BQ5" s="10" t="n"/>
      <c r="BR5" s="10" t="n"/>
      <c r="BS5" s="10" t="n"/>
      <c r="BT5" s="10" t="n"/>
      <c r="BU5" s="10" t="n"/>
      <c r="BW5" s="240" t="inlineStr">
        <is>
          <t>Top categorías</t>
        </is>
      </c>
      <c r="BX5" s="10" t="n"/>
      <c r="BY5" s="10" t="n"/>
      <c r="BZ5" s="10" t="n"/>
      <c r="CB5" s="240" t="inlineStr">
        <is>
          <t>Top 10 conceptos</t>
        </is>
      </c>
      <c r="CC5" s="10" t="n"/>
      <c r="CD5" s="10" t="n"/>
      <c r="CE5" s="10" t="n"/>
      <c r="CG5" s="240" t="inlineStr">
        <is>
          <t>Top 10 comercios</t>
        </is>
      </c>
      <c r="CH5" s="10" t="n"/>
      <c r="CI5" s="10" t="n"/>
      <c r="CJ5" s="10" t="n"/>
      <c r="CL5" s="240" t="inlineStr">
        <is>
          <t>Top métodos de pago</t>
        </is>
      </c>
      <c r="CM5" s="10" t="n"/>
      <c r="CN5" s="10" t="n"/>
      <c r="CO5" s="10" t="n"/>
      <c r="CQ5" s="240" t="inlineStr">
        <is>
          <t>Top hormiga por categoría</t>
        </is>
      </c>
      <c r="CR5" s="10" t="n"/>
      <c r="CS5" s="10" t="n"/>
      <c r="CT5" s="10" t="n"/>
      <c r="CV5" s="240" t="inlineStr">
        <is>
          <t>Top hormiga por comercio</t>
        </is>
      </c>
      <c r="CW5" s="10" t="n"/>
      <c r="CX5" s="10" t="n"/>
      <c r="CY5" s="10" t="n"/>
      <c r="DA5" s="240" t="inlineStr">
        <is>
          <t>Días con más gasto en alimentación</t>
        </is>
      </c>
      <c r="DB5" s="10" t="n"/>
      <c r="DC5" s="10" t="n"/>
      <c r="DD5" s="10" t="n"/>
    </row>
    <row r="6">
      <c r="B6" s="241" t="inlineStr">
        <is>
          <t>Hoy</t>
        </is>
      </c>
      <c r="C6" s="242">
        <f>TODAY()</f>
        <v/>
      </c>
      <c r="E6" s="183" t="inlineStr">
        <is>
          <t>k</t>
        </is>
      </c>
      <c r="F6" s="183" t="inlineStr">
        <is>
          <t>Categoría</t>
        </is>
      </c>
      <c r="G6" s="183" t="inlineStr">
        <is>
          <t>Gasto</t>
        </is>
      </c>
      <c r="H6" s="183" t="inlineStr">
        <is>
          <t>Clave orden</t>
        </is>
      </c>
      <c r="I6" s="183" t="inlineStr">
        <is>
          <t>Nº gastos</t>
        </is>
      </c>
      <c r="K6" s="183" t="inlineStr">
        <is>
          <t>Categoría</t>
        </is>
      </c>
      <c r="L6" s="183" t="inlineStr">
        <is>
          <t>Subcategoría</t>
        </is>
      </c>
      <c r="M6" s="183" t="inlineStr">
        <is>
          <t>Gasto</t>
        </is>
      </c>
      <c r="N6" s="183" t="inlineStr">
        <is>
          <t>Nº gastos</t>
        </is>
      </c>
      <c r="O6" s="183" t="inlineStr">
        <is>
          <t>Clave orden</t>
        </is>
      </c>
      <c r="P6" s="183" t="inlineStr">
        <is>
          <t>Etiqueta</t>
        </is>
      </c>
      <c r="R6" s="183" t="inlineStr">
        <is>
          <t>k</t>
        </is>
      </c>
      <c r="S6" s="183" t="inlineStr">
        <is>
          <t>Comercio</t>
        </is>
      </c>
      <c r="T6" s="183" t="inlineStr">
        <is>
          <t>Gasto</t>
        </is>
      </c>
      <c r="U6" s="183" t="inlineStr">
        <is>
          <t>Nº gastos</t>
        </is>
      </c>
      <c r="V6" s="183" t="inlineStr">
        <is>
          <t>Clave orden</t>
        </is>
      </c>
      <c r="W6" s="183" t="inlineStr">
        <is>
          <t>Gasto hormiga</t>
        </is>
      </c>
      <c r="X6" s="183" t="inlineStr">
        <is>
          <t>Nº hormiga</t>
        </is>
      </c>
      <c r="Y6" s="183" t="inlineStr">
        <is>
          <t>Clave hormiga</t>
        </is>
      </c>
      <c r="AA6" s="183" t="inlineStr">
        <is>
          <t>Cuenta</t>
        </is>
      </c>
      <c r="AB6" s="183" t="inlineStr">
        <is>
          <t>Gasto</t>
        </is>
      </c>
      <c r="AC6" s="183" t="inlineStr">
        <is>
          <t>Nº gastos</t>
        </is>
      </c>
      <c r="AD6" s="183" t="inlineStr">
        <is>
          <t>Clave orden</t>
        </is>
      </c>
      <c r="AF6" s="183" t="inlineStr">
        <is>
          <t>Categoría</t>
        </is>
      </c>
      <c r="AG6" s="183" t="inlineStr">
        <is>
          <t>Gasto hormiga</t>
        </is>
      </c>
      <c r="AH6" s="183" t="inlineStr">
        <is>
          <t>Nº</t>
        </is>
      </c>
      <c r="AI6" s="183" t="inlineStr">
        <is>
          <t>Clave orden</t>
        </is>
      </c>
      <c r="AK6" s="183" t="inlineStr">
        <is>
          <t>Mes</t>
        </is>
      </c>
      <c r="AL6" s="183" t="inlineStr">
        <is>
          <t>Etiqueta</t>
        </is>
      </c>
      <c r="AM6" s="183" t="inlineStr">
        <is>
          <t>Ingresos</t>
        </is>
      </c>
      <c r="AN6" s="183" t="inlineStr">
        <is>
          <t>Gasto real</t>
        </is>
      </c>
      <c r="AO6" s="183" t="inlineStr">
        <is>
          <t>Ahorro neto</t>
        </is>
      </c>
      <c r="AP6" s="183" t="inlineStr">
        <is>
          <t>Fijos</t>
        </is>
      </c>
      <c r="AQ6" s="183" t="inlineStr">
        <is>
          <t>Variables</t>
        </is>
      </c>
      <c r="AR6" s="183" t="inlineStr">
        <is>
          <t>Comida preparada</t>
        </is>
      </c>
      <c r="AS6" s="183" t="inlineStr">
        <is>
          <t>Súper e ingredientes</t>
        </is>
      </c>
      <c r="AT6" s="183" t="inlineStr">
        <is>
          <t>Bebidas y snacks</t>
        </is>
      </c>
      <c r="AU6" s="183" t="inlineStr">
        <is>
          <t>Hormiga</t>
        </is>
      </c>
      <c r="AV6" s="183" t="inlineStr">
        <is>
          <t>Nº comidas compradas</t>
        </is>
      </c>
      <c r="AW6" s="183" t="inlineStr">
        <is>
          <t>Resultado trading</t>
        </is>
      </c>
      <c r="AX6" s="183" t="inlineStr">
        <is>
          <t>Tasa ahorro</t>
        </is>
      </c>
      <c r="AZ6" s="183" t="inlineStr">
        <is>
          <t>Semana (lunes)</t>
        </is>
      </c>
      <c r="BA6" s="183" t="inlineStr">
        <is>
          <t>Etiqueta</t>
        </is>
      </c>
      <c r="BB6" s="183" t="inlineStr">
        <is>
          <t>Gasto real</t>
        </is>
      </c>
      <c r="BC6" s="183" t="inlineStr">
        <is>
          <t>Comida preparada</t>
        </is>
      </c>
      <c r="BD6" s="183" t="inlineStr">
        <is>
          <t>Súper e ingredientes</t>
        </is>
      </c>
      <c r="BE6" s="183" t="inlineStr">
        <is>
          <t>Hormiga</t>
        </is>
      </c>
      <c r="BG6" s="183" t="inlineStr">
        <is>
          <t>k</t>
        </is>
      </c>
      <c r="BH6" s="183" t="inlineStr">
        <is>
          <t>Fecha</t>
        </is>
      </c>
      <c r="BI6" s="183" t="inlineStr">
        <is>
          <t>Día semana</t>
        </is>
      </c>
      <c r="BJ6" s="183" t="inlineStr">
        <is>
          <t>Alimentación</t>
        </is>
      </c>
      <c r="BK6" s="183" t="inlineStr">
        <is>
          <t>Comida preparada</t>
        </is>
      </c>
      <c r="BL6" s="183" t="inlineStr">
        <is>
          <t>Clave orden</t>
        </is>
      </c>
      <c r="BN6" s="183" t="inlineStr">
        <is>
          <t>Nº</t>
        </is>
      </c>
      <c r="BO6" s="183" t="inlineStr">
        <is>
          <t>Día</t>
        </is>
      </c>
      <c r="BP6" s="183" t="inlineStr">
        <is>
          <t>Alimentación</t>
        </is>
      </c>
      <c r="BQ6" s="183" t="inlineStr">
        <is>
          <t>Comida preparada</t>
        </is>
      </c>
      <c r="BR6" s="183" t="inlineStr">
        <is>
          <t>Nº comidas compradas</t>
        </is>
      </c>
      <c r="BS6" s="183" t="inlineStr">
        <is>
          <t>Días en período</t>
        </is>
      </c>
      <c r="BT6" s="183" t="inlineStr">
        <is>
          <t>Promedio por día</t>
        </is>
      </c>
      <c r="BU6" s="183" t="inlineStr">
        <is>
          <t>Comida prep. por día</t>
        </is>
      </c>
      <c r="BW6" s="183" t="inlineStr">
        <is>
          <t>#</t>
        </is>
      </c>
      <c r="BX6" s="183" t="inlineStr">
        <is>
          <t>Nombre</t>
        </is>
      </c>
      <c r="BY6" s="183" t="inlineStr">
        <is>
          <t>Monto</t>
        </is>
      </c>
      <c r="BZ6" s="183" t="inlineStr">
        <is>
          <t>Nº</t>
        </is>
      </c>
      <c r="CB6" s="183" t="inlineStr">
        <is>
          <t>#</t>
        </is>
      </c>
      <c r="CC6" s="183" t="inlineStr">
        <is>
          <t>Nombre</t>
        </is>
      </c>
      <c r="CD6" s="183" t="inlineStr">
        <is>
          <t>Monto</t>
        </is>
      </c>
      <c r="CE6" s="183" t="inlineStr">
        <is>
          <t>Nº</t>
        </is>
      </c>
      <c r="CG6" s="183" t="inlineStr">
        <is>
          <t>#</t>
        </is>
      </c>
      <c r="CH6" s="183" t="inlineStr">
        <is>
          <t>Nombre</t>
        </is>
      </c>
      <c r="CI6" s="183" t="inlineStr">
        <is>
          <t>Monto</t>
        </is>
      </c>
      <c r="CJ6" s="183" t="inlineStr">
        <is>
          <t>Nº</t>
        </is>
      </c>
      <c r="CL6" s="183" t="inlineStr">
        <is>
          <t>#</t>
        </is>
      </c>
      <c r="CM6" s="183" t="inlineStr">
        <is>
          <t>Nombre</t>
        </is>
      </c>
      <c r="CN6" s="183" t="inlineStr">
        <is>
          <t>Monto</t>
        </is>
      </c>
      <c r="CO6" s="183" t="inlineStr">
        <is>
          <t>Nº</t>
        </is>
      </c>
      <c r="CQ6" s="183" t="inlineStr">
        <is>
          <t>#</t>
        </is>
      </c>
      <c r="CR6" s="183" t="inlineStr">
        <is>
          <t>Nombre</t>
        </is>
      </c>
      <c r="CS6" s="183" t="inlineStr">
        <is>
          <t>Monto</t>
        </is>
      </c>
      <c r="CT6" s="183" t="inlineStr">
        <is>
          <t>Nº</t>
        </is>
      </c>
      <c r="CV6" s="183" t="inlineStr">
        <is>
          <t>#</t>
        </is>
      </c>
      <c r="CW6" s="183" t="inlineStr">
        <is>
          <t>Nombre</t>
        </is>
      </c>
      <c r="CX6" s="183" t="inlineStr">
        <is>
          <t>Monto</t>
        </is>
      </c>
      <c r="CY6" s="183" t="inlineStr">
        <is>
          <t>Nº</t>
        </is>
      </c>
      <c r="DA6" s="183" t="inlineStr">
        <is>
          <t>#</t>
        </is>
      </c>
      <c r="DB6" s="183" t="inlineStr">
        <is>
          <t>Fecha</t>
        </is>
      </c>
      <c r="DC6" s="183" t="inlineStr">
        <is>
          <t>Alimentación</t>
        </is>
      </c>
      <c r="DD6" s="183" t="inlineStr">
        <is>
          <t>Comida preparada</t>
        </is>
      </c>
    </row>
    <row r="7">
      <c r="B7" s="241" t="inlineStr">
        <is>
          <t>Primera fecha</t>
        </is>
      </c>
      <c r="C7" s="242">
        <f>IF(COUNT(rFecha)=0,TODAY(),MIN(rFecha))</f>
        <v/>
      </c>
      <c r="E7" s="241" t="n">
        <v>1</v>
      </c>
      <c r="F7" s="241">
        <f>IFERROR(INDEX(catUList,1)&amp;"","")</f>
        <v/>
      </c>
      <c r="G7" s="241">
        <f>IF(F7="","",SUMIFS(rGasto,rCat,F7,rFecha,"&gt;="&amp;pIni,rFecha,"&lt;="&amp;pFin,rCtaE,critCta))</f>
        <v/>
      </c>
      <c r="H7" s="241">
        <f>IF(F7="",-1E+12-1,N(G7)+(100-1)/1E+7)</f>
        <v/>
      </c>
      <c r="I7" s="241">
        <f>IF(F7="","",COUNTIFS(rCat,F7,rTipoE,"Gasto",rFecha,"&gt;="&amp;pIni,rFecha,"&lt;="&amp;pFin,rCtaE,critCta))</f>
        <v/>
      </c>
      <c r="K7" s="241">
        <f>INDEX(catCat,1)&amp;""</f>
        <v/>
      </c>
      <c r="L7" s="241">
        <f>INDEX(catSub,1)&amp;""</f>
        <v/>
      </c>
      <c r="M7" s="241">
        <f>IF(OR(K7="",L7="",INDEX(catTipo,1)&amp;""&lt;&gt;"Gasto"),"",IF(AND(critCat&lt;&gt;"&lt;&gt;@@@",K7&lt;&gt;critCat),0,SUMIFS(rGasto,rCat,K7,rSub,L7,rFecha,"&gt;="&amp;pIni,rFecha,"&lt;="&amp;pFin,rCtaE,critCta)))</f>
        <v/>
      </c>
      <c r="N7" s="241">
        <f>IF(M7="","",IF(AND(critCat&lt;&gt;"&lt;&gt;@@@",K7&lt;&gt;critCat),0,COUNTIFS(rCat,K7,rSub,L7,rTipoE,"Gasto",rFecha,"&gt;="&amp;pIni,rFecha,"&lt;="&amp;pFin,rCtaE,critCta)))</f>
        <v/>
      </c>
      <c r="O7" s="241">
        <f>IF(M7="",-1E+12-1,N(M7)+(201-1)/1E+7)</f>
        <v/>
      </c>
      <c r="P7" s="241">
        <f>L7&amp;" · "&amp;K7</f>
        <v/>
      </c>
      <c r="R7" s="241" t="n">
        <v>1</v>
      </c>
      <c r="S7" s="241">
        <f>IFERROR(INDEX(rCom,MATCH(1,rComIdx,0))&amp;"","")</f>
        <v/>
      </c>
      <c r="T7" s="241">
        <f>IF(S7="","",SUMIFS(rGasto,rCom,S7,rFecha,"&gt;="&amp;pIni,rFecha,"&lt;="&amp;pFin,rCat,critCat,rCtaE,critCta))</f>
        <v/>
      </c>
      <c r="U7" s="241">
        <f>IF(S7="","",COUNTIFS(rCom,S7,rTipoE,"Gasto",rFecha,"&gt;="&amp;pIni,rFecha,"&lt;="&amp;pFin,rCat,critCat,rCtaE,critCta))</f>
        <v/>
      </c>
      <c r="V7" s="241">
        <f>IF(S7="",-1E+12-1,N(T7)+(301-1)/1E+7)</f>
        <v/>
      </c>
      <c r="W7" s="241">
        <f>IF(S7="","",SUMIFS(rGasto,rCom,S7,rHorm,1,rFecha,"&gt;="&amp;pIni,rFecha,"&lt;="&amp;pFin))</f>
        <v/>
      </c>
      <c r="X7" s="241">
        <f>IF(S7="","",COUNTIFS(rCom,S7,rHorm,1,rFecha,"&gt;="&amp;pIni,rFecha,"&lt;="&amp;pFin))</f>
        <v/>
      </c>
      <c r="Y7" s="241">
        <f>IF(S7="",-1E+12-1,N(W7)+(301-1)/1E+7)</f>
        <v/>
      </c>
      <c r="AA7" s="241">
        <f>INDEX(ctaNombre,1)&amp;""</f>
        <v/>
      </c>
      <c r="AB7" s="241">
        <f>IF(AA7="","",SUMIFS(rGasto,rCtaE,AA7,rFecha,"&gt;="&amp;pIni,rFecha,"&lt;="&amp;pFin,rCat,critCat))</f>
        <v/>
      </c>
      <c r="AC7" s="241">
        <f>IF(AA7="","",COUNTIFS(rCtaE,AA7,rTipoE,"Gasto",rFecha,"&gt;="&amp;pIni,rFecha,"&lt;="&amp;pFin,rCat,critCat))</f>
        <v/>
      </c>
      <c r="AD7" s="241">
        <f>IF(AA7="",-1E+12-1,N(AB7)+(100-1)/1E+7)</f>
        <v/>
      </c>
      <c r="AF7" s="241">
        <f>$F7</f>
        <v/>
      </c>
      <c r="AG7" s="241">
        <f>IF(AF7="","",SUMIFS(rGasto,rCat,AF7,rHorm,1,rFecha,"&gt;="&amp;pIni,rFecha,"&lt;="&amp;pFin))</f>
        <v/>
      </c>
      <c r="AH7" s="241">
        <f>IF(AF7="","",COUNTIFS(rCat,AF7,rHorm,1,rFecha,"&gt;="&amp;pIni,rFecha,"&lt;="&amp;pFin))</f>
        <v/>
      </c>
      <c r="AI7" s="241">
        <f>IF(AF7="",-1E+12-1,N(AG7)+(100-1)/1E+7)</f>
        <v/>
      </c>
      <c r="AK7" s="243">
        <f>EDATE(refMes,-11)</f>
        <v/>
      </c>
      <c r="AL7" s="241">
        <f>CHOOSE(MONTH(AK7),"Ene","Feb","Mar","Abr","May","Jun","Jul","Ago","Sep","Oct","Nov","Dic")&amp;" "&amp;RIGHT(YEAR(AK7),2)</f>
        <v/>
      </c>
      <c r="AM7" s="244">
        <f>SUMIFS(rIng,rFecha,"&gt;="&amp;AK7,rFecha,"&lt;="&amp;EOMONTH(AK7,0),rCtaE,critCta)</f>
        <v/>
      </c>
      <c r="AN7" s="244">
        <f>SUMIFS(rGasto,rFecha,"&gt;="&amp;AK7,rFecha,"&lt;="&amp;EOMONTH(AK7,0),rCat,critCat,rCtaE,critCta)</f>
        <v/>
      </c>
      <c r="AO7" s="244">
        <f>AM7-AN7</f>
        <v/>
      </c>
      <c r="AP7" s="244">
        <f>SUMIFS(rGasto,rFecha,"&gt;="&amp;AK7,rFecha,"&lt;="&amp;EOMONTH(AK7,0),rClasE,"Fijo",rCat,critCat,rCtaE,critCta)</f>
        <v/>
      </c>
      <c r="AQ7" s="244">
        <f>SUMIFS(rGasto,rFecha,"&gt;="&amp;AK7,rFecha,"&lt;="&amp;EOMONTH(AK7,0),rClasE,"Variable",rCat,critCat,rCtaE,critCta)</f>
        <v/>
      </c>
      <c r="AR7" s="244">
        <f>SUMIFS(rGasto,rFecha,"&gt;="&amp;AK7,rFecha,"&lt;="&amp;EOMONTH(AK7,0),rGrupo,gCP)</f>
        <v/>
      </c>
      <c r="AS7" s="244">
        <f>SUMIFS(rGasto,rFecha,"&gt;="&amp;AK7,rFecha,"&lt;="&amp;EOMONTH(AK7,0),rGrupo,gSI)</f>
        <v/>
      </c>
      <c r="AT7" s="244">
        <f>SUMIFS(rGasto,rFecha,"&gt;="&amp;AK7,rFecha,"&lt;="&amp;EOMONTH(AK7,0),rGrupo,gBS)</f>
        <v/>
      </c>
      <c r="AU7" s="244">
        <f>SUMIFS(rGasto,rFecha,"&gt;="&amp;AK7,rFecha,"&lt;="&amp;EOMONTH(AK7,0),rHorm,1)</f>
        <v/>
      </c>
      <c r="AV7" s="244">
        <f>COUNTIFS(rFecha,"&gt;="&amp;AK7,rFecha,"&lt;="&amp;EOMONTH(AK7,0),rGrupo,gCP,rTipoE,"Gasto")</f>
        <v/>
      </c>
      <c r="AW7" s="244">
        <f>SUMIFS(rTrad,rFecha,"&gt;="&amp;AK7,rFecha,"&lt;="&amp;EOMONTH(AK7,0))</f>
        <v/>
      </c>
      <c r="AX7" s="245">
        <f>IF(AM7&gt;0,AO7/AM7,"")</f>
        <v/>
      </c>
      <c r="AZ7" s="246">
        <f>refSem-7*11</f>
        <v/>
      </c>
      <c r="BA7" s="241">
        <f>DAY(AZ7)&amp;" "&amp;CHOOSE(MONTH(AZ7),"Ene","Feb","Mar","Abr","May","Jun","Jul","Ago","Sep","Oct","Nov","Dic")</f>
        <v/>
      </c>
      <c r="BB7" s="241">
        <f>SUMIFS(rGasto,rFecha,"&gt;="&amp;AZ7,rFecha,"&lt;="&amp;AZ7+6,rCat,critCat,rCtaE,critCta)</f>
        <v/>
      </c>
      <c r="BC7" s="241">
        <f>SUMIFS(rGasto,rFecha,"&gt;="&amp;AZ7,rFecha,"&lt;="&amp;AZ7+6,rGrupo,gCP)</f>
        <v/>
      </c>
      <c r="BD7" s="241">
        <f>SUMIFS(rGasto,rFecha,"&gt;="&amp;AZ7,rFecha,"&lt;="&amp;AZ7+6,rGrupo,gSI)</f>
        <v/>
      </c>
      <c r="BE7" s="241">
        <f>SUMIFS(rGasto,rFecha,"&gt;="&amp;AZ7,rFecha,"&lt;="&amp;AZ7+6,rHorm,1)</f>
        <v/>
      </c>
      <c r="BG7" s="241" t="n">
        <v>1</v>
      </c>
      <c r="BH7" s="246">
        <f>IF(calIni+0&lt;=pFinEff,calIni+0,"")</f>
        <v/>
      </c>
      <c r="BI7" s="241">
        <f>IF(BH7="","",WEEKDAY(BH7,2))</f>
        <v/>
      </c>
      <c r="BJ7" s="241">
        <f>IF(BH7="","",SUMIFS(rGasto,rFecha,BH7,rGrupo,"?*"))</f>
        <v/>
      </c>
      <c r="BK7" s="241">
        <f>IF(BH7="","",SUMIFS(rGasto,rFecha,BH7,rGrupo,gCP))</f>
        <v/>
      </c>
      <c r="BL7" s="241">
        <f>IF(BH7="",-1E+12-1,N(BJ7)+(400-1)/1E+7)</f>
        <v/>
      </c>
      <c r="BN7" s="241" t="n">
        <v>1</v>
      </c>
      <c r="BO7" s="241" t="inlineStr">
        <is>
          <t>Lunes</t>
        </is>
      </c>
      <c r="BP7" s="244">
        <f>SUMIFS(rGasto,rGrupo,"?*",rDia,1,rFecha,"&gt;="&amp;pIni,rFecha,"&lt;="&amp;pFin)</f>
        <v/>
      </c>
      <c r="BQ7" s="244">
        <f>SUMIFS(rGasto,rGrupo,gCP,rDia,1,rFecha,"&gt;="&amp;pIni,rFecha,"&lt;="&amp;pFin)</f>
        <v/>
      </c>
      <c r="BR7" s="244">
        <f>COUNTIFS(rGrupo,gCP,rTipoE,"Gasto",rDia,1,rFecha,"&gt;="&amp;pIni,rFecha,"&lt;="&amp;pFin)</f>
        <v/>
      </c>
      <c r="BS7" s="244">
        <f>MAX(0,INT((pFinEff-(pIni+MOD(1-WEEKDAY(pIni,2),7)))/7)+1)</f>
        <v/>
      </c>
      <c r="BT7" s="244">
        <f>IF(BS7&gt;0,BP7/BS7,0)</f>
        <v/>
      </c>
      <c r="BU7" s="244">
        <f>IF(BS7&gt;0,BQ7/BS7,0)</f>
        <v/>
      </c>
      <c r="BW7" s="241" t="n">
        <v>1</v>
      </c>
      <c r="BX7" s="241">
        <f>IFERROR(IF(N(INDEX($G$7:$G$46,MATCH(LARGE($H$7:$H$46,1),$H$7:$H$46,0)))&gt;0,INDEX($F$7:$F$46,MATCH(LARGE($H$7:$H$46,1),$H$7:$H$46,0))&amp;"",""),"")</f>
        <v/>
      </c>
      <c r="BY7" s="244">
        <f>IF(BX7="","",INDEX($G$7:$G$46,MATCH(LARGE($H$7:$H$46,1),$H$7:$H$46,0)))</f>
        <v/>
      </c>
      <c r="BZ7" s="241">
        <f>IF(BX7="","",INDEX($I$7:$I$46,MATCH(LARGE($H$7:$H$46,1),$H$7:$H$46,0)))</f>
        <v/>
      </c>
      <c r="CB7" s="241" t="n">
        <v>1</v>
      </c>
      <c r="CC7" s="241">
        <f>IFERROR(IF(N(INDEX($M$7:$M$206,MATCH(LARGE($O$7:$O$206,1),$O$7:$O$206,0)))&gt;0,INDEX($P$7:$P$206,MATCH(LARGE($O$7:$O$206,1),$O$7:$O$206,0))&amp;"",""),"")</f>
        <v/>
      </c>
      <c r="CD7" s="244">
        <f>IF(CC7="","",INDEX($M$7:$M$206,MATCH(LARGE($O$7:$O$206,1),$O$7:$O$206,0)))</f>
        <v/>
      </c>
      <c r="CE7" s="241">
        <f>IF(CC7="","",INDEX($N$7:$N$206,MATCH(LARGE($O$7:$O$206,1),$O$7:$O$206,0)))</f>
        <v/>
      </c>
      <c r="CG7" s="241" t="n">
        <v>1</v>
      </c>
      <c r="CH7" s="241">
        <f>IFERROR(IF(N(INDEX($T$7:$T$306,MATCH(LARGE($V$7:$V$306,1),$V$7:$V$306,0)))&gt;0,INDEX($S$7:$S$306,MATCH(LARGE($V$7:$V$306,1),$V$7:$V$306,0))&amp;"",""),"")</f>
        <v/>
      </c>
      <c r="CI7" s="244">
        <f>IF(CH7="","",INDEX($T$7:$T$306,MATCH(LARGE($V$7:$V$306,1),$V$7:$V$306,0)))</f>
        <v/>
      </c>
      <c r="CJ7" s="241">
        <f>IF(CH7="","",INDEX($U$7:$U$306,MATCH(LARGE($V$7:$V$306,1),$V$7:$V$306,0)))</f>
        <v/>
      </c>
      <c r="CL7" s="241" t="n">
        <v>1</v>
      </c>
      <c r="CM7" s="241">
        <f>IFERROR(IF(N(INDEX($AB$7:$AB$36,MATCH(LARGE($AD$7:$AD$36,1),$AD$7:$AD$36,0)))&gt;0,INDEX($AA$7:$AA$36,MATCH(LARGE($AD$7:$AD$36,1),$AD$7:$AD$36,0))&amp;"",""),"")</f>
        <v/>
      </c>
      <c r="CN7" s="244">
        <f>IF(CM7="","",INDEX($AB$7:$AB$36,MATCH(LARGE($AD$7:$AD$36,1),$AD$7:$AD$36,0)))</f>
        <v/>
      </c>
      <c r="CO7" s="241">
        <f>IF(CM7="","",INDEX($AC$7:$AC$36,MATCH(LARGE($AD$7:$AD$36,1),$AD$7:$AD$36,0)))</f>
        <v/>
      </c>
      <c r="CQ7" s="241" t="n">
        <v>1</v>
      </c>
      <c r="CR7" s="241">
        <f>IFERROR(IF(N(INDEX($AG$7:$AG$46,MATCH(LARGE($AI$7:$AI$46,1),$AI$7:$AI$46,0)))&gt;0,INDEX($AF$7:$AF$46,MATCH(LARGE($AI$7:$AI$46,1),$AI$7:$AI$46,0))&amp;"",""),"")</f>
        <v/>
      </c>
      <c r="CS7" s="244">
        <f>IF(CR7="","",INDEX($AG$7:$AG$46,MATCH(LARGE($AI$7:$AI$46,1),$AI$7:$AI$46,0)))</f>
        <v/>
      </c>
      <c r="CT7" s="241">
        <f>IF(CR7="","",INDEX($AH$7:$AH$46,MATCH(LARGE($AI$7:$AI$46,1),$AI$7:$AI$46,0)))</f>
        <v/>
      </c>
      <c r="CV7" s="241" t="n">
        <v>1</v>
      </c>
      <c r="CW7" s="241">
        <f>IFERROR(IF(N(INDEX($W$7:$W$306,MATCH(LARGE($Y$7:$Y$306,1),$Y$7:$Y$306,0)))&gt;0,INDEX($S$7:$S$306,MATCH(LARGE($Y$7:$Y$306,1),$Y$7:$Y$306,0))&amp;"",""),"")</f>
        <v/>
      </c>
      <c r="CX7" s="244">
        <f>IF(CW7="","",INDEX($W$7:$W$306,MATCH(LARGE($Y$7:$Y$306,1),$Y$7:$Y$306,0)))</f>
        <v/>
      </c>
      <c r="CY7" s="241">
        <f>IF(CW7="","",INDEX($X$7:$X$306,MATCH(LARGE($Y$7:$Y$306,1),$Y$7:$Y$306,0)))</f>
        <v/>
      </c>
      <c r="DA7" s="241" t="n">
        <v>1</v>
      </c>
      <c r="DB7" s="246">
        <f>IFERROR(IF(N(INDEX($BJ$7:$BJ$372,MATCH(LARGE($BL$7:$BL$372,1),$BL$7:$BL$372,0)))&gt;0,INDEX($BH$7:$BH$372,MATCH(LARGE($BL$7:$BL$372,1),$BL$7:$BL$372,0)),""),"")</f>
        <v/>
      </c>
      <c r="DC7" s="241">
        <f>IF(DB7="","",INDEX($BJ$7:$BJ$372,MATCH(LARGE($BL$7:$BL$372,1),$BL$7:$BL$372,0)))</f>
        <v/>
      </c>
      <c r="DD7" s="241">
        <f>IF(DB7="","",INDEX($BK$7:$BK$372,MATCH(LARGE($BL$7:$BL$372,1),$BL$7:$BL$372,0)))</f>
        <v/>
      </c>
    </row>
    <row r="8">
      <c r="B8" s="241" t="inlineStr">
        <is>
          <t>Última fecha</t>
        </is>
      </c>
      <c r="C8" s="242">
        <f>IF(COUNT(rFecha)=0,TODAY(),MAX(rFecha))</f>
        <v/>
      </c>
      <c r="E8" s="241" t="n">
        <v>2</v>
      </c>
      <c r="F8" s="241">
        <f>IFERROR(INDEX(catUList,2)&amp;"","")</f>
        <v/>
      </c>
      <c r="G8" s="241">
        <f>IF(F8="","",SUMIFS(rGasto,rCat,F8,rFecha,"&gt;="&amp;pIni,rFecha,"&lt;="&amp;pFin,rCtaE,critCta))</f>
        <v/>
      </c>
      <c r="H8" s="241">
        <f>IF(F8="",-1E+12-2,N(G8)+(100-2)/1E+7)</f>
        <v/>
      </c>
      <c r="I8" s="241">
        <f>IF(F8="","",COUNTIFS(rCat,F8,rTipoE,"Gasto",rFecha,"&gt;="&amp;pIni,rFecha,"&lt;="&amp;pFin,rCtaE,critCta))</f>
        <v/>
      </c>
      <c r="K8" s="241">
        <f>INDEX(catCat,2)&amp;""</f>
        <v/>
      </c>
      <c r="L8" s="241">
        <f>INDEX(catSub,2)&amp;""</f>
        <v/>
      </c>
      <c r="M8" s="241">
        <f>IF(OR(K8="",L8="",INDEX(catTipo,2)&amp;""&lt;&gt;"Gasto"),"",IF(AND(critCat&lt;&gt;"&lt;&gt;@@@",K8&lt;&gt;critCat),0,SUMIFS(rGasto,rCat,K8,rSub,L8,rFecha,"&gt;="&amp;pIni,rFecha,"&lt;="&amp;pFin,rCtaE,critCta)))</f>
        <v/>
      </c>
      <c r="N8" s="241">
        <f>IF(M8="","",IF(AND(critCat&lt;&gt;"&lt;&gt;@@@",K8&lt;&gt;critCat),0,COUNTIFS(rCat,K8,rSub,L8,rTipoE,"Gasto",rFecha,"&gt;="&amp;pIni,rFecha,"&lt;="&amp;pFin,rCtaE,critCta)))</f>
        <v/>
      </c>
      <c r="O8" s="241">
        <f>IF(M8="",-1E+12-2,N(M8)+(201-2)/1E+7)</f>
        <v/>
      </c>
      <c r="P8" s="241">
        <f>L8&amp;" · "&amp;K8</f>
        <v/>
      </c>
      <c r="R8" s="241" t="n">
        <v>2</v>
      </c>
      <c r="S8" s="241">
        <f>IFERROR(INDEX(rCom,MATCH(2,rComIdx,0))&amp;"","")</f>
        <v/>
      </c>
      <c r="T8" s="241">
        <f>IF(S8="","",SUMIFS(rGasto,rCom,S8,rFecha,"&gt;="&amp;pIni,rFecha,"&lt;="&amp;pFin,rCat,critCat,rCtaE,critCta))</f>
        <v/>
      </c>
      <c r="U8" s="241">
        <f>IF(S8="","",COUNTIFS(rCom,S8,rTipoE,"Gasto",rFecha,"&gt;="&amp;pIni,rFecha,"&lt;="&amp;pFin,rCat,critCat,rCtaE,critCta))</f>
        <v/>
      </c>
      <c r="V8" s="241">
        <f>IF(S8="",-1E+12-2,N(T8)+(301-2)/1E+7)</f>
        <v/>
      </c>
      <c r="W8" s="241">
        <f>IF(S8="","",SUMIFS(rGasto,rCom,S8,rHorm,1,rFecha,"&gt;="&amp;pIni,rFecha,"&lt;="&amp;pFin))</f>
        <v/>
      </c>
      <c r="X8" s="241">
        <f>IF(S8="","",COUNTIFS(rCom,S8,rHorm,1,rFecha,"&gt;="&amp;pIni,rFecha,"&lt;="&amp;pFin))</f>
        <v/>
      </c>
      <c r="Y8" s="241">
        <f>IF(S8="",-1E+12-2,N(W8)+(301-2)/1E+7)</f>
        <v/>
      </c>
      <c r="AA8" s="241">
        <f>INDEX(ctaNombre,2)&amp;""</f>
        <v/>
      </c>
      <c r="AB8" s="241">
        <f>IF(AA8="","",SUMIFS(rGasto,rCtaE,AA8,rFecha,"&gt;="&amp;pIni,rFecha,"&lt;="&amp;pFin,rCat,critCat))</f>
        <v/>
      </c>
      <c r="AC8" s="241">
        <f>IF(AA8="","",COUNTIFS(rCtaE,AA8,rTipoE,"Gasto",rFecha,"&gt;="&amp;pIni,rFecha,"&lt;="&amp;pFin,rCat,critCat))</f>
        <v/>
      </c>
      <c r="AD8" s="241">
        <f>IF(AA8="",-1E+12-2,N(AB8)+(100-2)/1E+7)</f>
        <v/>
      </c>
      <c r="AF8" s="241">
        <f>$F8</f>
        <v/>
      </c>
      <c r="AG8" s="241">
        <f>IF(AF8="","",SUMIFS(rGasto,rCat,AF8,rHorm,1,rFecha,"&gt;="&amp;pIni,rFecha,"&lt;="&amp;pFin))</f>
        <v/>
      </c>
      <c r="AH8" s="241">
        <f>IF(AF8="","",COUNTIFS(rCat,AF8,rHorm,1,rFecha,"&gt;="&amp;pIni,rFecha,"&lt;="&amp;pFin))</f>
        <v/>
      </c>
      <c r="AI8" s="241">
        <f>IF(AF8="",-1E+12-2,N(AG8)+(100-2)/1E+7)</f>
        <v/>
      </c>
      <c r="AK8" s="243">
        <f>EDATE(refMes,-10)</f>
        <v/>
      </c>
      <c r="AL8" s="241">
        <f>CHOOSE(MONTH(AK8),"Ene","Feb","Mar","Abr","May","Jun","Jul","Ago","Sep","Oct","Nov","Dic")&amp;" "&amp;RIGHT(YEAR(AK8),2)</f>
        <v/>
      </c>
      <c r="AM8" s="244">
        <f>SUMIFS(rIng,rFecha,"&gt;="&amp;AK8,rFecha,"&lt;="&amp;EOMONTH(AK8,0),rCtaE,critCta)</f>
        <v/>
      </c>
      <c r="AN8" s="244">
        <f>SUMIFS(rGasto,rFecha,"&gt;="&amp;AK8,rFecha,"&lt;="&amp;EOMONTH(AK8,0),rCat,critCat,rCtaE,critCta)</f>
        <v/>
      </c>
      <c r="AO8" s="244">
        <f>AM8-AN8</f>
        <v/>
      </c>
      <c r="AP8" s="244">
        <f>SUMIFS(rGasto,rFecha,"&gt;="&amp;AK8,rFecha,"&lt;="&amp;EOMONTH(AK8,0),rClasE,"Fijo",rCat,critCat,rCtaE,critCta)</f>
        <v/>
      </c>
      <c r="AQ8" s="244">
        <f>SUMIFS(rGasto,rFecha,"&gt;="&amp;AK8,rFecha,"&lt;="&amp;EOMONTH(AK8,0),rClasE,"Variable",rCat,critCat,rCtaE,critCta)</f>
        <v/>
      </c>
      <c r="AR8" s="244">
        <f>SUMIFS(rGasto,rFecha,"&gt;="&amp;AK8,rFecha,"&lt;="&amp;EOMONTH(AK8,0),rGrupo,gCP)</f>
        <v/>
      </c>
      <c r="AS8" s="244">
        <f>SUMIFS(rGasto,rFecha,"&gt;="&amp;AK8,rFecha,"&lt;="&amp;EOMONTH(AK8,0),rGrupo,gSI)</f>
        <v/>
      </c>
      <c r="AT8" s="244">
        <f>SUMIFS(rGasto,rFecha,"&gt;="&amp;AK8,rFecha,"&lt;="&amp;EOMONTH(AK8,0),rGrupo,gBS)</f>
        <v/>
      </c>
      <c r="AU8" s="244">
        <f>SUMIFS(rGasto,rFecha,"&gt;="&amp;AK8,rFecha,"&lt;="&amp;EOMONTH(AK8,0),rHorm,1)</f>
        <v/>
      </c>
      <c r="AV8" s="244">
        <f>COUNTIFS(rFecha,"&gt;="&amp;AK8,rFecha,"&lt;="&amp;EOMONTH(AK8,0),rGrupo,gCP,rTipoE,"Gasto")</f>
        <v/>
      </c>
      <c r="AW8" s="244">
        <f>SUMIFS(rTrad,rFecha,"&gt;="&amp;AK8,rFecha,"&lt;="&amp;EOMONTH(AK8,0))</f>
        <v/>
      </c>
      <c r="AX8" s="245">
        <f>IF(AM8&gt;0,AO8/AM8,"")</f>
        <v/>
      </c>
      <c r="AZ8" s="246">
        <f>refSem-7*10</f>
        <v/>
      </c>
      <c r="BA8" s="241">
        <f>DAY(AZ8)&amp;" "&amp;CHOOSE(MONTH(AZ8),"Ene","Feb","Mar","Abr","May","Jun","Jul","Ago","Sep","Oct","Nov","Dic")</f>
        <v/>
      </c>
      <c r="BB8" s="241">
        <f>SUMIFS(rGasto,rFecha,"&gt;="&amp;AZ8,rFecha,"&lt;="&amp;AZ8+6,rCat,critCat,rCtaE,critCta)</f>
        <v/>
      </c>
      <c r="BC8" s="241">
        <f>SUMIFS(rGasto,rFecha,"&gt;="&amp;AZ8,rFecha,"&lt;="&amp;AZ8+6,rGrupo,gCP)</f>
        <v/>
      </c>
      <c r="BD8" s="241">
        <f>SUMIFS(rGasto,rFecha,"&gt;="&amp;AZ8,rFecha,"&lt;="&amp;AZ8+6,rGrupo,gSI)</f>
        <v/>
      </c>
      <c r="BE8" s="241">
        <f>SUMIFS(rGasto,rFecha,"&gt;="&amp;AZ8,rFecha,"&lt;="&amp;AZ8+6,rHorm,1)</f>
        <v/>
      </c>
      <c r="BG8" s="241" t="n">
        <v>2</v>
      </c>
      <c r="BH8" s="246">
        <f>IF(calIni+1&lt;=pFinEff,calIni+1,"")</f>
        <v/>
      </c>
      <c r="BI8" s="241">
        <f>IF(BH8="","",WEEKDAY(BH8,2))</f>
        <v/>
      </c>
      <c r="BJ8" s="241">
        <f>IF(BH8="","",SUMIFS(rGasto,rFecha,BH8,rGrupo,"?*"))</f>
        <v/>
      </c>
      <c r="BK8" s="241">
        <f>IF(BH8="","",SUMIFS(rGasto,rFecha,BH8,rGrupo,gCP))</f>
        <v/>
      </c>
      <c r="BL8" s="241">
        <f>IF(BH8="",-1E+12-2,N(BJ8)+(400-2)/1E+7)</f>
        <v/>
      </c>
      <c r="BN8" s="241" t="n">
        <v>2</v>
      </c>
      <c r="BO8" s="241" t="inlineStr">
        <is>
          <t>Martes</t>
        </is>
      </c>
      <c r="BP8" s="244">
        <f>SUMIFS(rGasto,rGrupo,"?*",rDia,2,rFecha,"&gt;="&amp;pIni,rFecha,"&lt;="&amp;pFin)</f>
        <v/>
      </c>
      <c r="BQ8" s="244">
        <f>SUMIFS(rGasto,rGrupo,gCP,rDia,2,rFecha,"&gt;="&amp;pIni,rFecha,"&lt;="&amp;pFin)</f>
        <v/>
      </c>
      <c r="BR8" s="244">
        <f>COUNTIFS(rGrupo,gCP,rTipoE,"Gasto",rDia,2,rFecha,"&gt;="&amp;pIni,rFecha,"&lt;="&amp;pFin)</f>
        <v/>
      </c>
      <c r="BS8" s="244">
        <f>MAX(0,INT((pFinEff-(pIni+MOD(2-WEEKDAY(pIni,2),7)))/7)+1)</f>
        <v/>
      </c>
      <c r="BT8" s="244">
        <f>IF(BS8&gt;0,BP8/BS8,0)</f>
        <v/>
      </c>
      <c r="BU8" s="244">
        <f>IF(BS8&gt;0,BQ8/BS8,0)</f>
        <v/>
      </c>
      <c r="BW8" s="241" t="n">
        <v>2</v>
      </c>
      <c r="BX8" s="241">
        <f>IFERROR(IF(N(INDEX($G$7:$G$46,MATCH(LARGE($H$7:$H$46,2),$H$7:$H$46,0)))&gt;0,INDEX($F$7:$F$46,MATCH(LARGE($H$7:$H$46,2),$H$7:$H$46,0))&amp;"",""),"")</f>
        <v/>
      </c>
      <c r="BY8" s="244">
        <f>IF(BX8="","",INDEX($G$7:$G$46,MATCH(LARGE($H$7:$H$46,2),$H$7:$H$46,0)))</f>
        <v/>
      </c>
      <c r="BZ8" s="241">
        <f>IF(BX8="","",INDEX($I$7:$I$46,MATCH(LARGE($H$7:$H$46,2),$H$7:$H$46,0)))</f>
        <v/>
      </c>
      <c r="CB8" s="241" t="n">
        <v>2</v>
      </c>
      <c r="CC8" s="241">
        <f>IFERROR(IF(N(INDEX($M$7:$M$206,MATCH(LARGE($O$7:$O$206,2),$O$7:$O$206,0)))&gt;0,INDEX($P$7:$P$206,MATCH(LARGE($O$7:$O$206,2),$O$7:$O$206,0))&amp;"",""),"")</f>
        <v/>
      </c>
      <c r="CD8" s="244">
        <f>IF(CC8="","",INDEX($M$7:$M$206,MATCH(LARGE($O$7:$O$206,2),$O$7:$O$206,0)))</f>
        <v/>
      </c>
      <c r="CE8" s="241">
        <f>IF(CC8="","",INDEX($N$7:$N$206,MATCH(LARGE($O$7:$O$206,2),$O$7:$O$206,0)))</f>
        <v/>
      </c>
      <c r="CG8" s="241" t="n">
        <v>2</v>
      </c>
      <c r="CH8" s="241">
        <f>IFERROR(IF(N(INDEX($T$7:$T$306,MATCH(LARGE($V$7:$V$306,2),$V$7:$V$306,0)))&gt;0,INDEX($S$7:$S$306,MATCH(LARGE($V$7:$V$306,2),$V$7:$V$306,0))&amp;"",""),"")</f>
        <v/>
      </c>
      <c r="CI8" s="244">
        <f>IF(CH8="","",INDEX($T$7:$T$306,MATCH(LARGE($V$7:$V$306,2),$V$7:$V$306,0)))</f>
        <v/>
      </c>
      <c r="CJ8" s="241">
        <f>IF(CH8="","",INDEX($U$7:$U$306,MATCH(LARGE($V$7:$V$306,2),$V$7:$V$306,0)))</f>
        <v/>
      </c>
      <c r="CL8" s="241" t="n">
        <v>2</v>
      </c>
      <c r="CM8" s="241">
        <f>IFERROR(IF(N(INDEX($AB$7:$AB$36,MATCH(LARGE($AD$7:$AD$36,2),$AD$7:$AD$36,0)))&gt;0,INDEX($AA$7:$AA$36,MATCH(LARGE($AD$7:$AD$36,2),$AD$7:$AD$36,0))&amp;"",""),"")</f>
        <v/>
      </c>
      <c r="CN8" s="244">
        <f>IF(CM8="","",INDEX($AB$7:$AB$36,MATCH(LARGE($AD$7:$AD$36,2),$AD$7:$AD$36,0)))</f>
        <v/>
      </c>
      <c r="CO8" s="241">
        <f>IF(CM8="","",INDEX($AC$7:$AC$36,MATCH(LARGE($AD$7:$AD$36,2),$AD$7:$AD$36,0)))</f>
        <v/>
      </c>
      <c r="CQ8" s="241" t="n">
        <v>2</v>
      </c>
      <c r="CR8" s="241">
        <f>IFERROR(IF(N(INDEX($AG$7:$AG$46,MATCH(LARGE($AI$7:$AI$46,2),$AI$7:$AI$46,0)))&gt;0,INDEX($AF$7:$AF$46,MATCH(LARGE($AI$7:$AI$46,2),$AI$7:$AI$46,0))&amp;"",""),"")</f>
        <v/>
      </c>
      <c r="CS8" s="244">
        <f>IF(CR8="","",INDEX($AG$7:$AG$46,MATCH(LARGE($AI$7:$AI$46,2),$AI$7:$AI$46,0)))</f>
        <v/>
      </c>
      <c r="CT8" s="241">
        <f>IF(CR8="","",INDEX($AH$7:$AH$46,MATCH(LARGE($AI$7:$AI$46,2),$AI$7:$AI$46,0)))</f>
        <v/>
      </c>
      <c r="CV8" s="241" t="n">
        <v>2</v>
      </c>
      <c r="CW8" s="241">
        <f>IFERROR(IF(N(INDEX($W$7:$W$306,MATCH(LARGE($Y$7:$Y$306,2),$Y$7:$Y$306,0)))&gt;0,INDEX($S$7:$S$306,MATCH(LARGE($Y$7:$Y$306,2),$Y$7:$Y$306,0))&amp;"",""),"")</f>
        <v/>
      </c>
      <c r="CX8" s="244">
        <f>IF(CW8="","",INDEX($W$7:$W$306,MATCH(LARGE($Y$7:$Y$306,2),$Y$7:$Y$306,0)))</f>
        <v/>
      </c>
      <c r="CY8" s="241">
        <f>IF(CW8="","",INDEX($X$7:$X$306,MATCH(LARGE($Y$7:$Y$306,2),$Y$7:$Y$306,0)))</f>
        <v/>
      </c>
      <c r="DA8" s="241" t="n">
        <v>2</v>
      </c>
      <c r="DB8" s="246">
        <f>IFERROR(IF(N(INDEX($BJ$7:$BJ$372,MATCH(LARGE($BL$7:$BL$372,2),$BL$7:$BL$372,0)))&gt;0,INDEX($BH$7:$BH$372,MATCH(LARGE($BL$7:$BL$372,2),$BL$7:$BL$372,0)),""),"")</f>
        <v/>
      </c>
      <c r="DC8" s="241">
        <f>IF(DB8="","",INDEX($BJ$7:$BJ$372,MATCH(LARGE($BL$7:$BL$372,2),$BL$7:$BL$372,0)))</f>
        <v/>
      </c>
      <c r="DD8" s="241">
        <f>IF(DB8="","",INDEX($BK$7:$BK$372,MATCH(LARGE($BL$7:$BL$372,2),$BL$7:$BL$372,0)))</f>
        <v/>
      </c>
    </row>
    <row r="9">
      <c r="B9" s="241" t="inlineStr">
        <is>
          <t>Mes seleccionado</t>
        </is>
      </c>
      <c r="C9" s="242">
        <f>IFERROR(DATE(VALUE(LEFT(fMes,4)),VALUE(RIGHT(fMes,2)),1),DATE(YEAR(TODAY()),MONTH(TODAY()),1))</f>
        <v/>
      </c>
      <c r="E9" s="241" t="n">
        <v>3</v>
      </c>
      <c r="F9" s="241">
        <f>IFERROR(INDEX(catUList,3)&amp;"","")</f>
        <v/>
      </c>
      <c r="G9" s="241">
        <f>IF(F9="","",SUMIFS(rGasto,rCat,F9,rFecha,"&gt;="&amp;pIni,rFecha,"&lt;="&amp;pFin,rCtaE,critCta))</f>
        <v/>
      </c>
      <c r="H9" s="241">
        <f>IF(F9="",-1E+12-3,N(G9)+(100-3)/1E+7)</f>
        <v/>
      </c>
      <c r="I9" s="241">
        <f>IF(F9="","",COUNTIFS(rCat,F9,rTipoE,"Gasto",rFecha,"&gt;="&amp;pIni,rFecha,"&lt;="&amp;pFin,rCtaE,critCta))</f>
        <v/>
      </c>
      <c r="K9" s="241">
        <f>INDEX(catCat,3)&amp;""</f>
        <v/>
      </c>
      <c r="L9" s="241">
        <f>INDEX(catSub,3)&amp;""</f>
        <v/>
      </c>
      <c r="M9" s="241">
        <f>IF(OR(K9="",L9="",INDEX(catTipo,3)&amp;""&lt;&gt;"Gasto"),"",IF(AND(critCat&lt;&gt;"&lt;&gt;@@@",K9&lt;&gt;critCat),0,SUMIFS(rGasto,rCat,K9,rSub,L9,rFecha,"&gt;="&amp;pIni,rFecha,"&lt;="&amp;pFin,rCtaE,critCta)))</f>
        <v/>
      </c>
      <c r="N9" s="241">
        <f>IF(M9="","",IF(AND(critCat&lt;&gt;"&lt;&gt;@@@",K9&lt;&gt;critCat),0,COUNTIFS(rCat,K9,rSub,L9,rTipoE,"Gasto",rFecha,"&gt;="&amp;pIni,rFecha,"&lt;="&amp;pFin,rCtaE,critCta)))</f>
        <v/>
      </c>
      <c r="O9" s="241">
        <f>IF(M9="",-1E+12-3,N(M9)+(201-3)/1E+7)</f>
        <v/>
      </c>
      <c r="P9" s="241">
        <f>L9&amp;" · "&amp;K9</f>
        <v/>
      </c>
      <c r="R9" s="241" t="n">
        <v>3</v>
      </c>
      <c r="S9" s="241">
        <f>IFERROR(INDEX(rCom,MATCH(3,rComIdx,0))&amp;"","")</f>
        <v/>
      </c>
      <c r="T9" s="241">
        <f>IF(S9="","",SUMIFS(rGasto,rCom,S9,rFecha,"&gt;="&amp;pIni,rFecha,"&lt;="&amp;pFin,rCat,critCat,rCtaE,critCta))</f>
        <v/>
      </c>
      <c r="U9" s="241">
        <f>IF(S9="","",COUNTIFS(rCom,S9,rTipoE,"Gasto",rFecha,"&gt;="&amp;pIni,rFecha,"&lt;="&amp;pFin,rCat,critCat,rCtaE,critCta))</f>
        <v/>
      </c>
      <c r="V9" s="241">
        <f>IF(S9="",-1E+12-3,N(T9)+(301-3)/1E+7)</f>
        <v/>
      </c>
      <c r="W9" s="241">
        <f>IF(S9="","",SUMIFS(rGasto,rCom,S9,rHorm,1,rFecha,"&gt;="&amp;pIni,rFecha,"&lt;="&amp;pFin))</f>
        <v/>
      </c>
      <c r="X9" s="241">
        <f>IF(S9="","",COUNTIFS(rCom,S9,rHorm,1,rFecha,"&gt;="&amp;pIni,rFecha,"&lt;="&amp;pFin))</f>
        <v/>
      </c>
      <c r="Y9" s="241">
        <f>IF(S9="",-1E+12-3,N(W9)+(301-3)/1E+7)</f>
        <v/>
      </c>
      <c r="AA9" s="241">
        <f>INDEX(ctaNombre,3)&amp;""</f>
        <v/>
      </c>
      <c r="AB9" s="241">
        <f>IF(AA9="","",SUMIFS(rGasto,rCtaE,AA9,rFecha,"&gt;="&amp;pIni,rFecha,"&lt;="&amp;pFin,rCat,critCat))</f>
        <v/>
      </c>
      <c r="AC9" s="241">
        <f>IF(AA9="","",COUNTIFS(rCtaE,AA9,rTipoE,"Gasto",rFecha,"&gt;="&amp;pIni,rFecha,"&lt;="&amp;pFin,rCat,critCat))</f>
        <v/>
      </c>
      <c r="AD9" s="241">
        <f>IF(AA9="",-1E+12-3,N(AB9)+(100-3)/1E+7)</f>
        <v/>
      </c>
      <c r="AF9" s="241">
        <f>$F9</f>
        <v/>
      </c>
      <c r="AG9" s="241">
        <f>IF(AF9="","",SUMIFS(rGasto,rCat,AF9,rHorm,1,rFecha,"&gt;="&amp;pIni,rFecha,"&lt;="&amp;pFin))</f>
        <v/>
      </c>
      <c r="AH9" s="241">
        <f>IF(AF9="","",COUNTIFS(rCat,AF9,rHorm,1,rFecha,"&gt;="&amp;pIni,rFecha,"&lt;="&amp;pFin))</f>
        <v/>
      </c>
      <c r="AI9" s="241">
        <f>IF(AF9="",-1E+12-3,N(AG9)+(100-3)/1E+7)</f>
        <v/>
      </c>
      <c r="AK9" s="243">
        <f>EDATE(refMes,-9)</f>
        <v/>
      </c>
      <c r="AL9" s="241">
        <f>CHOOSE(MONTH(AK9),"Ene","Feb","Mar","Abr","May","Jun","Jul","Ago","Sep","Oct","Nov","Dic")&amp;" "&amp;RIGHT(YEAR(AK9),2)</f>
        <v/>
      </c>
      <c r="AM9" s="244">
        <f>SUMIFS(rIng,rFecha,"&gt;="&amp;AK9,rFecha,"&lt;="&amp;EOMONTH(AK9,0),rCtaE,critCta)</f>
        <v/>
      </c>
      <c r="AN9" s="244">
        <f>SUMIFS(rGasto,rFecha,"&gt;="&amp;AK9,rFecha,"&lt;="&amp;EOMONTH(AK9,0),rCat,critCat,rCtaE,critCta)</f>
        <v/>
      </c>
      <c r="AO9" s="244">
        <f>AM9-AN9</f>
        <v/>
      </c>
      <c r="AP9" s="244">
        <f>SUMIFS(rGasto,rFecha,"&gt;="&amp;AK9,rFecha,"&lt;="&amp;EOMONTH(AK9,0),rClasE,"Fijo",rCat,critCat,rCtaE,critCta)</f>
        <v/>
      </c>
      <c r="AQ9" s="244">
        <f>SUMIFS(rGasto,rFecha,"&gt;="&amp;AK9,rFecha,"&lt;="&amp;EOMONTH(AK9,0),rClasE,"Variable",rCat,critCat,rCtaE,critCta)</f>
        <v/>
      </c>
      <c r="AR9" s="244">
        <f>SUMIFS(rGasto,rFecha,"&gt;="&amp;AK9,rFecha,"&lt;="&amp;EOMONTH(AK9,0),rGrupo,gCP)</f>
        <v/>
      </c>
      <c r="AS9" s="244">
        <f>SUMIFS(rGasto,rFecha,"&gt;="&amp;AK9,rFecha,"&lt;="&amp;EOMONTH(AK9,0),rGrupo,gSI)</f>
        <v/>
      </c>
      <c r="AT9" s="244">
        <f>SUMIFS(rGasto,rFecha,"&gt;="&amp;AK9,rFecha,"&lt;="&amp;EOMONTH(AK9,0),rGrupo,gBS)</f>
        <v/>
      </c>
      <c r="AU9" s="244">
        <f>SUMIFS(rGasto,rFecha,"&gt;="&amp;AK9,rFecha,"&lt;="&amp;EOMONTH(AK9,0),rHorm,1)</f>
        <v/>
      </c>
      <c r="AV9" s="244">
        <f>COUNTIFS(rFecha,"&gt;="&amp;AK9,rFecha,"&lt;="&amp;EOMONTH(AK9,0),rGrupo,gCP,rTipoE,"Gasto")</f>
        <v/>
      </c>
      <c r="AW9" s="244">
        <f>SUMIFS(rTrad,rFecha,"&gt;="&amp;AK9,rFecha,"&lt;="&amp;EOMONTH(AK9,0))</f>
        <v/>
      </c>
      <c r="AX9" s="245">
        <f>IF(AM9&gt;0,AO9/AM9,"")</f>
        <v/>
      </c>
      <c r="AZ9" s="246">
        <f>refSem-7*9</f>
        <v/>
      </c>
      <c r="BA9" s="241">
        <f>DAY(AZ9)&amp;" "&amp;CHOOSE(MONTH(AZ9),"Ene","Feb","Mar","Abr","May","Jun","Jul","Ago","Sep","Oct","Nov","Dic")</f>
        <v/>
      </c>
      <c r="BB9" s="241">
        <f>SUMIFS(rGasto,rFecha,"&gt;="&amp;AZ9,rFecha,"&lt;="&amp;AZ9+6,rCat,critCat,rCtaE,critCta)</f>
        <v/>
      </c>
      <c r="BC9" s="241">
        <f>SUMIFS(rGasto,rFecha,"&gt;="&amp;AZ9,rFecha,"&lt;="&amp;AZ9+6,rGrupo,gCP)</f>
        <v/>
      </c>
      <c r="BD9" s="241">
        <f>SUMIFS(rGasto,rFecha,"&gt;="&amp;AZ9,rFecha,"&lt;="&amp;AZ9+6,rGrupo,gSI)</f>
        <v/>
      </c>
      <c r="BE9" s="241">
        <f>SUMIFS(rGasto,rFecha,"&gt;="&amp;AZ9,rFecha,"&lt;="&amp;AZ9+6,rHorm,1)</f>
        <v/>
      </c>
      <c r="BG9" s="241" t="n">
        <v>3</v>
      </c>
      <c r="BH9" s="246">
        <f>IF(calIni+2&lt;=pFinEff,calIni+2,"")</f>
        <v/>
      </c>
      <c r="BI9" s="241">
        <f>IF(BH9="","",WEEKDAY(BH9,2))</f>
        <v/>
      </c>
      <c r="BJ9" s="241">
        <f>IF(BH9="","",SUMIFS(rGasto,rFecha,BH9,rGrupo,"?*"))</f>
        <v/>
      </c>
      <c r="BK9" s="241">
        <f>IF(BH9="","",SUMIFS(rGasto,rFecha,BH9,rGrupo,gCP))</f>
        <v/>
      </c>
      <c r="BL9" s="241">
        <f>IF(BH9="",-1E+12-3,N(BJ9)+(400-3)/1E+7)</f>
        <v/>
      </c>
      <c r="BN9" s="241" t="n">
        <v>3</v>
      </c>
      <c r="BO9" s="241" t="inlineStr">
        <is>
          <t>Miércoles</t>
        </is>
      </c>
      <c r="BP9" s="244">
        <f>SUMIFS(rGasto,rGrupo,"?*",rDia,3,rFecha,"&gt;="&amp;pIni,rFecha,"&lt;="&amp;pFin)</f>
        <v/>
      </c>
      <c r="BQ9" s="244">
        <f>SUMIFS(rGasto,rGrupo,gCP,rDia,3,rFecha,"&gt;="&amp;pIni,rFecha,"&lt;="&amp;pFin)</f>
        <v/>
      </c>
      <c r="BR9" s="244">
        <f>COUNTIFS(rGrupo,gCP,rTipoE,"Gasto",rDia,3,rFecha,"&gt;="&amp;pIni,rFecha,"&lt;="&amp;pFin)</f>
        <v/>
      </c>
      <c r="BS9" s="244">
        <f>MAX(0,INT((pFinEff-(pIni+MOD(3-WEEKDAY(pIni,2),7)))/7)+1)</f>
        <v/>
      </c>
      <c r="BT9" s="244">
        <f>IF(BS9&gt;0,BP9/BS9,0)</f>
        <v/>
      </c>
      <c r="BU9" s="244">
        <f>IF(BS9&gt;0,BQ9/BS9,0)</f>
        <v/>
      </c>
      <c r="BW9" s="241" t="n">
        <v>3</v>
      </c>
      <c r="BX9" s="241">
        <f>IFERROR(IF(N(INDEX($G$7:$G$46,MATCH(LARGE($H$7:$H$46,3),$H$7:$H$46,0)))&gt;0,INDEX($F$7:$F$46,MATCH(LARGE($H$7:$H$46,3),$H$7:$H$46,0))&amp;"",""),"")</f>
        <v/>
      </c>
      <c r="BY9" s="244">
        <f>IF(BX9="","",INDEX($G$7:$G$46,MATCH(LARGE($H$7:$H$46,3),$H$7:$H$46,0)))</f>
        <v/>
      </c>
      <c r="BZ9" s="241">
        <f>IF(BX9="","",INDEX($I$7:$I$46,MATCH(LARGE($H$7:$H$46,3),$H$7:$H$46,0)))</f>
        <v/>
      </c>
      <c r="CB9" s="241" t="n">
        <v>3</v>
      </c>
      <c r="CC9" s="241">
        <f>IFERROR(IF(N(INDEX($M$7:$M$206,MATCH(LARGE($O$7:$O$206,3),$O$7:$O$206,0)))&gt;0,INDEX($P$7:$P$206,MATCH(LARGE($O$7:$O$206,3),$O$7:$O$206,0))&amp;"",""),"")</f>
        <v/>
      </c>
      <c r="CD9" s="244">
        <f>IF(CC9="","",INDEX($M$7:$M$206,MATCH(LARGE($O$7:$O$206,3),$O$7:$O$206,0)))</f>
        <v/>
      </c>
      <c r="CE9" s="241">
        <f>IF(CC9="","",INDEX($N$7:$N$206,MATCH(LARGE($O$7:$O$206,3),$O$7:$O$206,0)))</f>
        <v/>
      </c>
      <c r="CG9" s="241" t="n">
        <v>3</v>
      </c>
      <c r="CH9" s="241">
        <f>IFERROR(IF(N(INDEX($T$7:$T$306,MATCH(LARGE($V$7:$V$306,3),$V$7:$V$306,0)))&gt;0,INDEX($S$7:$S$306,MATCH(LARGE($V$7:$V$306,3),$V$7:$V$306,0))&amp;"",""),"")</f>
        <v/>
      </c>
      <c r="CI9" s="244">
        <f>IF(CH9="","",INDEX($T$7:$T$306,MATCH(LARGE($V$7:$V$306,3),$V$7:$V$306,0)))</f>
        <v/>
      </c>
      <c r="CJ9" s="241">
        <f>IF(CH9="","",INDEX($U$7:$U$306,MATCH(LARGE($V$7:$V$306,3),$V$7:$V$306,0)))</f>
        <v/>
      </c>
      <c r="CL9" s="241" t="n">
        <v>3</v>
      </c>
      <c r="CM9" s="241">
        <f>IFERROR(IF(N(INDEX($AB$7:$AB$36,MATCH(LARGE($AD$7:$AD$36,3),$AD$7:$AD$36,0)))&gt;0,INDEX($AA$7:$AA$36,MATCH(LARGE($AD$7:$AD$36,3),$AD$7:$AD$36,0))&amp;"",""),"")</f>
        <v/>
      </c>
      <c r="CN9" s="244">
        <f>IF(CM9="","",INDEX($AB$7:$AB$36,MATCH(LARGE($AD$7:$AD$36,3),$AD$7:$AD$36,0)))</f>
        <v/>
      </c>
      <c r="CO9" s="241">
        <f>IF(CM9="","",INDEX($AC$7:$AC$36,MATCH(LARGE($AD$7:$AD$36,3),$AD$7:$AD$36,0)))</f>
        <v/>
      </c>
      <c r="CQ9" s="241" t="n">
        <v>3</v>
      </c>
      <c r="CR9" s="241">
        <f>IFERROR(IF(N(INDEX($AG$7:$AG$46,MATCH(LARGE($AI$7:$AI$46,3),$AI$7:$AI$46,0)))&gt;0,INDEX($AF$7:$AF$46,MATCH(LARGE($AI$7:$AI$46,3),$AI$7:$AI$46,0))&amp;"",""),"")</f>
        <v/>
      </c>
      <c r="CS9" s="244">
        <f>IF(CR9="","",INDEX($AG$7:$AG$46,MATCH(LARGE($AI$7:$AI$46,3),$AI$7:$AI$46,0)))</f>
        <v/>
      </c>
      <c r="CT9" s="241">
        <f>IF(CR9="","",INDEX($AH$7:$AH$46,MATCH(LARGE($AI$7:$AI$46,3),$AI$7:$AI$46,0)))</f>
        <v/>
      </c>
      <c r="CV9" s="241" t="n">
        <v>3</v>
      </c>
      <c r="CW9" s="241">
        <f>IFERROR(IF(N(INDEX($W$7:$W$306,MATCH(LARGE($Y$7:$Y$306,3),$Y$7:$Y$306,0)))&gt;0,INDEX($S$7:$S$306,MATCH(LARGE($Y$7:$Y$306,3),$Y$7:$Y$306,0))&amp;"",""),"")</f>
        <v/>
      </c>
      <c r="CX9" s="244">
        <f>IF(CW9="","",INDEX($W$7:$W$306,MATCH(LARGE($Y$7:$Y$306,3),$Y$7:$Y$306,0)))</f>
        <v/>
      </c>
      <c r="CY9" s="241">
        <f>IF(CW9="","",INDEX($X$7:$X$306,MATCH(LARGE($Y$7:$Y$306,3),$Y$7:$Y$306,0)))</f>
        <v/>
      </c>
      <c r="DA9" s="241" t="n">
        <v>3</v>
      </c>
      <c r="DB9" s="246">
        <f>IFERROR(IF(N(INDEX($BJ$7:$BJ$372,MATCH(LARGE($BL$7:$BL$372,3),$BL$7:$BL$372,0)))&gt;0,INDEX($BH$7:$BH$372,MATCH(LARGE($BL$7:$BL$372,3),$BL$7:$BL$372,0)),""),"")</f>
        <v/>
      </c>
      <c r="DC9" s="241">
        <f>IF(DB9="","",INDEX($BJ$7:$BJ$372,MATCH(LARGE($BL$7:$BL$372,3),$BL$7:$BL$372,0)))</f>
        <v/>
      </c>
      <c r="DD9" s="241">
        <f>IF(DB9="","",INDEX($BK$7:$BK$372,MATCH(LARGE($BL$7:$BL$372,3),$BL$7:$BL$372,0)))</f>
        <v/>
      </c>
    </row>
    <row r="10">
      <c r="B10" s="241" t="inlineStr">
        <is>
          <t>Índice período</t>
        </is>
      </c>
      <c r="C10" s="247">
        <f>IFERROR(MATCH(fPeriodo,lstPeriodos,0),1)</f>
        <v/>
      </c>
      <c r="E10" s="241" t="n">
        <v>4</v>
      </c>
      <c r="F10" s="241">
        <f>IFERROR(INDEX(catUList,4)&amp;"","")</f>
        <v/>
      </c>
      <c r="G10" s="241">
        <f>IF(F10="","",SUMIFS(rGasto,rCat,F10,rFecha,"&gt;="&amp;pIni,rFecha,"&lt;="&amp;pFin,rCtaE,critCta))</f>
        <v/>
      </c>
      <c r="H10" s="241">
        <f>IF(F10="",-1E+12-4,N(G10)+(100-4)/1E+7)</f>
        <v/>
      </c>
      <c r="I10" s="241">
        <f>IF(F10="","",COUNTIFS(rCat,F10,rTipoE,"Gasto",rFecha,"&gt;="&amp;pIni,rFecha,"&lt;="&amp;pFin,rCtaE,critCta))</f>
        <v/>
      </c>
      <c r="K10" s="241">
        <f>INDEX(catCat,4)&amp;""</f>
        <v/>
      </c>
      <c r="L10" s="241">
        <f>INDEX(catSub,4)&amp;""</f>
        <v/>
      </c>
      <c r="M10" s="241">
        <f>IF(OR(K10="",L10="",INDEX(catTipo,4)&amp;""&lt;&gt;"Gasto"),"",IF(AND(critCat&lt;&gt;"&lt;&gt;@@@",K10&lt;&gt;critCat),0,SUMIFS(rGasto,rCat,K10,rSub,L10,rFecha,"&gt;="&amp;pIni,rFecha,"&lt;="&amp;pFin,rCtaE,critCta)))</f>
        <v/>
      </c>
      <c r="N10" s="241">
        <f>IF(M10="","",IF(AND(critCat&lt;&gt;"&lt;&gt;@@@",K10&lt;&gt;critCat),0,COUNTIFS(rCat,K10,rSub,L10,rTipoE,"Gasto",rFecha,"&gt;="&amp;pIni,rFecha,"&lt;="&amp;pFin,rCtaE,critCta)))</f>
        <v/>
      </c>
      <c r="O10" s="241">
        <f>IF(M10="",-1E+12-4,N(M10)+(201-4)/1E+7)</f>
        <v/>
      </c>
      <c r="P10" s="241">
        <f>L10&amp;" · "&amp;K10</f>
        <v/>
      </c>
      <c r="R10" s="241" t="n">
        <v>4</v>
      </c>
      <c r="S10" s="241">
        <f>IFERROR(INDEX(rCom,MATCH(4,rComIdx,0))&amp;"","")</f>
        <v/>
      </c>
      <c r="T10" s="241">
        <f>IF(S10="","",SUMIFS(rGasto,rCom,S10,rFecha,"&gt;="&amp;pIni,rFecha,"&lt;="&amp;pFin,rCat,critCat,rCtaE,critCta))</f>
        <v/>
      </c>
      <c r="U10" s="241">
        <f>IF(S10="","",COUNTIFS(rCom,S10,rTipoE,"Gasto",rFecha,"&gt;="&amp;pIni,rFecha,"&lt;="&amp;pFin,rCat,critCat,rCtaE,critCta))</f>
        <v/>
      </c>
      <c r="V10" s="241">
        <f>IF(S10="",-1E+12-4,N(T10)+(301-4)/1E+7)</f>
        <v/>
      </c>
      <c r="W10" s="241">
        <f>IF(S10="","",SUMIFS(rGasto,rCom,S10,rHorm,1,rFecha,"&gt;="&amp;pIni,rFecha,"&lt;="&amp;pFin))</f>
        <v/>
      </c>
      <c r="X10" s="241">
        <f>IF(S10="","",COUNTIFS(rCom,S10,rHorm,1,rFecha,"&gt;="&amp;pIni,rFecha,"&lt;="&amp;pFin))</f>
        <v/>
      </c>
      <c r="Y10" s="241">
        <f>IF(S10="",-1E+12-4,N(W10)+(301-4)/1E+7)</f>
        <v/>
      </c>
      <c r="AA10" s="241">
        <f>INDEX(ctaNombre,4)&amp;""</f>
        <v/>
      </c>
      <c r="AB10" s="241">
        <f>IF(AA10="","",SUMIFS(rGasto,rCtaE,AA10,rFecha,"&gt;="&amp;pIni,rFecha,"&lt;="&amp;pFin,rCat,critCat))</f>
        <v/>
      </c>
      <c r="AC10" s="241">
        <f>IF(AA10="","",COUNTIFS(rCtaE,AA10,rTipoE,"Gasto",rFecha,"&gt;="&amp;pIni,rFecha,"&lt;="&amp;pFin,rCat,critCat))</f>
        <v/>
      </c>
      <c r="AD10" s="241">
        <f>IF(AA10="",-1E+12-4,N(AB10)+(100-4)/1E+7)</f>
        <v/>
      </c>
      <c r="AF10" s="241">
        <f>$F10</f>
        <v/>
      </c>
      <c r="AG10" s="241">
        <f>IF(AF10="","",SUMIFS(rGasto,rCat,AF10,rHorm,1,rFecha,"&gt;="&amp;pIni,rFecha,"&lt;="&amp;pFin))</f>
        <v/>
      </c>
      <c r="AH10" s="241">
        <f>IF(AF10="","",COUNTIFS(rCat,AF10,rHorm,1,rFecha,"&gt;="&amp;pIni,rFecha,"&lt;="&amp;pFin))</f>
        <v/>
      </c>
      <c r="AI10" s="241">
        <f>IF(AF10="",-1E+12-4,N(AG10)+(100-4)/1E+7)</f>
        <v/>
      </c>
      <c r="AK10" s="243">
        <f>EDATE(refMes,-8)</f>
        <v/>
      </c>
      <c r="AL10" s="241">
        <f>CHOOSE(MONTH(AK10),"Ene","Feb","Mar","Abr","May","Jun","Jul","Ago","Sep","Oct","Nov","Dic")&amp;" "&amp;RIGHT(YEAR(AK10),2)</f>
        <v/>
      </c>
      <c r="AM10" s="244">
        <f>SUMIFS(rIng,rFecha,"&gt;="&amp;AK10,rFecha,"&lt;="&amp;EOMONTH(AK10,0),rCtaE,critCta)</f>
        <v/>
      </c>
      <c r="AN10" s="244">
        <f>SUMIFS(rGasto,rFecha,"&gt;="&amp;AK10,rFecha,"&lt;="&amp;EOMONTH(AK10,0),rCat,critCat,rCtaE,critCta)</f>
        <v/>
      </c>
      <c r="AO10" s="244">
        <f>AM10-AN10</f>
        <v/>
      </c>
      <c r="AP10" s="244">
        <f>SUMIFS(rGasto,rFecha,"&gt;="&amp;AK10,rFecha,"&lt;="&amp;EOMONTH(AK10,0),rClasE,"Fijo",rCat,critCat,rCtaE,critCta)</f>
        <v/>
      </c>
      <c r="AQ10" s="244">
        <f>SUMIFS(rGasto,rFecha,"&gt;="&amp;AK10,rFecha,"&lt;="&amp;EOMONTH(AK10,0),rClasE,"Variable",rCat,critCat,rCtaE,critCta)</f>
        <v/>
      </c>
      <c r="AR10" s="244">
        <f>SUMIFS(rGasto,rFecha,"&gt;="&amp;AK10,rFecha,"&lt;="&amp;EOMONTH(AK10,0),rGrupo,gCP)</f>
        <v/>
      </c>
      <c r="AS10" s="244">
        <f>SUMIFS(rGasto,rFecha,"&gt;="&amp;AK10,rFecha,"&lt;="&amp;EOMONTH(AK10,0),rGrupo,gSI)</f>
        <v/>
      </c>
      <c r="AT10" s="244">
        <f>SUMIFS(rGasto,rFecha,"&gt;="&amp;AK10,rFecha,"&lt;="&amp;EOMONTH(AK10,0),rGrupo,gBS)</f>
        <v/>
      </c>
      <c r="AU10" s="244">
        <f>SUMIFS(rGasto,rFecha,"&gt;="&amp;AK10,rFecha,"&lt;="&amp;EOMONTH(AK10,0),rHorm,1)</f>
        <v/>
      </c>
      <c r="AV10" s="244">
        <f>COUNTIFS(rFecha,"&gt;="&amp;AK10,rFecha,"&lt;="&amp;EOMONTH(AK10,0),rGrupo,gCP,rTipoE,"Gasto")</f>
        <v/>
      </c>
      <c r="AW10" s="244">
        <f>SUMIFS(rTrad,rFecha,"&gt;="&amp;AK10,rFecha,"&lt;="&amp;EOMONTH(AK10,0))</f>
        <v/>
      </c>
      <c r="AX10" s="245">
        <f>IF(AM10&gt;0,AO10/AM10,"")</f>
        <v/>
      </c>
      <c r="AZ10" s="246">
        <f>refSem-7*8</f>
        <v/>
      </c>
      <c r="BA10" s="241">
        <f>DAY(AZ10)&amp;" "&amp;CHOOSE(MONTH(AZ10),"Ene","Feb","Mar","Abr","May","Jun","Jul","Ago","Sep","Oct","Nov","Dic")</f>
        <v/>
      </c>
      <c r="BB10" s="241">
        <f>SUMIFS(rGasto,rFecha,"&gt;="&amp;AZ10,rFecha,"&lt;="&amp;AZ10+6,rCat,critCat,rCtaE,critCta)</f>
        <v/>
      </c>
      <c r="BC10" s="241">
        <f>SUMIFS(rGasto,rFecha,"&gt;="&amp;AZ10,rFecha,"&lt;="&amp;AZ10+6,rGrupo,gCP)</f>
        <v/>
      </c>
      <c r="BD10" s="241">
        <f>SUMIFS(rGasto,rFecha,"&gt;="&amp;AZ10,rFecha,"&lt;="&amp;AZ10+6,rGrupo,gSI)</f>
        <v/>
      </c>
      <c r="BE10" s="241">
        <f>SUMIFS(rGasto,rFecha,"&gt;="&amp;AZ10,rFecha,"&lt;="&amp;AZ10+6,rHorm,1)</f>
        <v/>
      </c>
      <c r="BG10" s="241" t="n">
        <v>4</v>
      </c>
      <c r="BH10" s="246">
        <f>IF(calIni+3&lt;=pFinEff,calIni+3,"")</f>
        <v/>
      </c>
      <c r="BI10" s="241">
        <f>IF(BH10="","",WEEKDAY(BH10,2))</f>
        <v/>
      </c>
      <c r="BJ10" s="241">
        <f>IF(BH10="","",SUMIFS(rGasto,rFecha,BH10,rGrupo,"?*"))</f>
        <v/>
      </c>
      <c r="BK10" s="241">
        <f>IF(BH10="","",SUMIFS(rGasto,rFecha,BH10,rGrupo,gCP))</f>
        <v/>
      </c>
      <c r="BL10" s="241">
        <f>IF(BH10="",-1E+12-4,N(BJ10)+(400-4)/1E+7)</f>
        <v/>
      </c>
      <c r="BN10" s="241" t="n">
        <v>4</v>
      </c>
      <c r="BO10" s="241" t="inlineStr">
        <is>
          <t>Jueves</t>
        </is>
      </c>
      <c r="BP10" s="244">
        <f>SUMIFS(rGasto,rGrupo,"?*",rDia,4,rFecha,"&gt;="&amp;pIni,rFecha,"&lt;="&amp;pFin)</f>
        <v/>
      </c>
      <c r="BQ10" s="244">
        <f>SUMIFS(rGasto,rGrupo,gCP,rDia,4,rFecha,"&gt;="&amp;pIni,rFecha,"&lt;="&amp;pFin)</f>
        <v/>
      </c>
      <c r="BR10" s="244">
        <f>COUNTIFS(rGrupo,gCP,rTipoE,"Gasto",rDia,4,rFecha,"&gt;="&amp;pIni,rFecha,"&lt;="&amp;pFin)</f>
        <v/>
      </c>
      <c r="BS10" s="244">
        <f>MAX(0,INT((pFinEff-(pIni+MOD(4-WEEKDAY(pIni,2),7)))/7)+1)</f>
        <v/>
      </c>
      <c r="BT10" s="244">
        <f>IF(BS10&gt;0,BP10/BS10,0)</f>
        <v/>
      </c>
      <c r="BU10" s="244">
        <f>IF(BS10&gt;0,BQ10/BS10,0)</f>
        <v/>
      </c>
      <c r="BW10" s="241" t="n">
        <v>4</v>
      </c>
      <c r="BX10" s="241">
        <f>IFERROR(IF(N(INDEX($G$7:$G$46,MATCH(LARGE($H$7:$H$46,4),$H$7:$H$46,0)))&gt;0,INDEX($F$7:$F$46,MATCH(LARGE($H$7:$H$46,4),$H$7:$H$46,0))&amp;"",""),"")</f>
        <v/>
      </c>
      <c r="BY10" s="244">
        <f>IF(BX10="","",INDEX($G$7:$G$46,MATCH(LARGE($H$7:$H$46,4),$H$7:$H$46,0)))</f>
        <v/>
      </c>
      <c r="BZ10" s="241">
        <f>IF(BX10="","",INDEX($I$7:$I$46,MATCH(LARGE($H$7:$H$46,4),$H$7:$H$46,0)))</f>
        <v/>
      </c>
      <c r="CB10" s="241" t="n">
        <v>4</v>
      </c>
      <c r="CC10" s="241">
        <f>IFERROR(IF(N(INDEX($M$7:$M$206,MATCH(LARGE($O$7:$O$206,4),$O$7:$O$206,0)))&gt;0,INDEX($P$7:$P$206,MATCH(LARGE($O$7:$O$206,4),$O$7:$O$206,0))&amp;"",""),"")</f>
        <v/>
      </c>
      <c r="CD10" s="244">
        <f>IF(CC10="","",INDEX($M$7:$M$206,MATCH(LARGE($O$7:$O$206,4),$O$7:$O$206,0)))</f>
        <v/>
      </c>
      <c r="CE10" s="241">
        <f>IF(CC10="","",INDEX($N$7:$N$206,MATCH(LARGE($O$7:$O$206,4),$O$7:$O$206,0)))</f>
        <v/>
      </c>
      <c r="CG10" s="241" t="n">
        <v>4</v>
      </c>
      <c r="CH10" s="241">
        <f>IFERROR(IF(N(INDEX($T$7:$T$306,MATCH(LARGE($V$7:$V$306,4),$V$7:$V$306,0)))&gt;0,INDEX($S$7:$S$306,MATCH(LARGE($V$7:$V$306,4),$V$7:$V$306,0))&amp;"",""),"")</f>
        <v/>
      </c>
      <c r="CI10" s="244">
        <f>IF(CH10="","",INDEX($T$7:$T$306,MATCH(LARGE($V$7:$V$306,4),$V$7:$V$306,0)))</f>
        <v/>
      </c>
      <c r="CJ10" s="241">
        <f>IF(CH10="","",INDEX($U$7:$U$306,MATCH(LARGE($V$7:$V$306,4),$V$7:$V$306,0)))</f>
        <v/>
      </c>
      <c r="CL10" s="241" t="n">
        <v>4</v>
      </c>
      <c r="CM10" s="241">
        <f>IFERROR(IF(N(INDEX($AB$7:$AB$36,MATCH(LARGE($AD$7:$AD$36,4),$AD$7:$AD$36,0)))&gt;0,INDEX($AA$7:$AA$36,MATCH(LARGE($AD$7:$AD$36,4),$AD$7:$AD$36,0))&amp;"",""),"")</f>
        <v/>
      </c>
      <c r="CN10" s="244">
        <f>IF(CM10="","",INDEX($AB$7:$AB$36,MATCH(LARGE($AD$7:$AD$36,4),$AD$7:$AD$36,0)))</f>
        <v/>
      </c>
      <c r="CO10" s="241">
        <f>IF(CM10="","",INDEX($AC$7:$AC$36,MATCH(LARGE($AD$7:$AD$36,4),$AD$7:$AD$36,0)))</f>
        <v/>
      </c>
      <c r="CQ10" s="241" t="n">
        <v>4</v>
      </c>
      <c r="CR10" s="241">
        <f>IFERROR(IF(N(INDEX($AG$7:$AG$46,MATCH(LARGE($AI$7:$AI$46,4),$AI$7:$AI$46,0)))&gt;0,INDEX($AF$7:$AF$46,MATCH(LARGE($AI$7:$AI$46,4),$AI$7:$AI$46,0))&amp;"",""),"")</f>
        <v/>
      </c>
      <c r="CS10" s="244">
        <f>IF(CR10="","",INDEX($AG$7:$AG$46,MATCH(LARGE($AI$7:$AI$46,4),$AI$7:$AI$46,0)))</f>
        <v/>
      </c>
      <c r="CT10" s="241">
        <f>IF(CR10="","",INDEX($AH$7:$AH$46,MATCH(LARGE($AI$7:$AI$46,4),$AI$7:$AI$46,0)))</f>
        <v/>
      </c>
      <c r="CV10" s="241" t="n">
        <v>4</v>
      </c>
      <c r="CW10" s="241">
        <f>IFERROR(IF(N(INDEX($W$7:$W$306,MATCH(LARGE($Y$7:$Y$306,4),$Y$7:$Y$306,0)))&gt;0,INDEX($S$7:$S$306,MATCH(LARGE($Y$7:$Y$306,4),$Y$7:$Y$306,0))&amp;"",""),"")</f>
        <v/>
      </c>
      <c r="CX10" s="244">
        <f>IF(CW10="","",INDEX($W$7:$W$306,MATCH(LARGE($Y$7:$Y$306,4),$Y$7:$Y$306,0)))</f>
        <v/>
      </c>
      <c r="CY10" s="241">
        <f>IF(CW10="","",INDEX($X$7:$X$306,MATCH(LARGE($Y$7:$Y$306,4),$Y$7:$Y$306,0)))</f>
        <v/>
      </c>
      <c r="DA10" s="241" t="n">
        <v>4</v>
      </c>
      <c r="DB10" s="246">
        <f>IFERROR(IF(N(INDEX($BJ$7:$BJ$372,MATCH(LARGE($BL$7:$BL$372,4),$BL$7:$BL$372,0)))&gt;0,INDEX($BH$7:$BH$372,MATCH(LARGE($BL$7:$BL$372,4),$BL$7:$BL$372,0)),""),"")</f>
        <v/>
      </c>
      <c r="DC10" s="241">
        <f>IF(DB10="","",INDEX($BJ$7:$BJ$372,MATCH(LARGE($BL$7:$BL$372,4),$BL$7:$BL$372,0)))</f>
        <v/>
      </c>
      <c r="DD10" s="241">
        <f>IF(DB10="","",INDEX($BK$7:$BK$372,MATCH(LARGE($BL$7:$BL$372,4),$BL$7:$BL$372,0)))</f>
        <v/>
      </c>
    </row>
    <row r="11">
      <c r="B11" s="241" t="inlineStr">
        <is>
          <t>Inicio</t>
        </is>
      </c>
      <c r="C11" s="242">
        <f>CHOOSE(pK,DATE(YEAR(diaHoy),MONTH(diaHoy),1),EOMONTH(diaHoy,-2)+1,mesSel,diaHoy-6,diaHoy-29,diaHoy-89,DATE(YEAR(diaHoy),1,1),DATE(YEAR(diaHoy)-1,1,1),minFecha,IF(ISNUMBER(fDesde),fDesde,minFecha))</f>
        <v/>
      </c>
      <c r="E11" s="241" t="n">
        <v>5</v>
      </c>
      <c r="F11" s="241">
        <f>IFERROR(INDEX(catUList,5)&amp;"","")</f>
        <v/>
      </c>
      <c r="G11" s="241">
        <f>IF(F11="","",SUMIFS(rGasto,rCat,F11,rFecha,"&gt;="&amp;pIni,rFecha,"&lt;="&amp;pFin,rCtaE,critCta))</f>
        <v/>
      </c>
      <c r="H11" s="241">
        <f>IF(F11="",-1E+12-5,N(G11)+(100-5)/1E+7)</f>
        <v/>
      </c>
      <c r="I11" s="241">
        <f>IF(F11="","",COUNTIFS(rCat,F11,rTipoE,"Gasto",rFecha,"&gt;="&amp;pIni,rFecha,"&lt;="&amp;pFin,rCtaE,critCta))</f>
        <v/>
      </c>
      <c r="K11" s="241">
        <f>INDEX(catCat,5)&amp;""</f>
        <v/>
      </c>
      <c r="L11" s="241">
        <f>INDEX(catSub,5)&amp;""</f>
        <v/>
      </c>
      <c r="M11" s="241">
        <f>IF(OR(K11="",L11="",INDEX(catTipo,5)&amp;""&lt;&gt;"Gasto"),"",IF(AND(critCat&lt;&gt;"&lt;&gt;@@@",K11&lt;&gt;critCat),0,SUMIFS(rGasto,rCat,K11,rSub,L11,rFecha,"&gt;="&amp;pIni,rFecha,"&lt;="&amp;pFin,rCtaE,critCta)))</f>
        <v/>
      </c>
      <c r="N11" s="241">
        <f>IF(M11="","",IF(AND(critCat&lt;&gt;"&lt;&gt;@@@",K11&lt;&gt;critCat),0,COUNTIFS(rCat,K11,rSub,L11,rTipoE,"Gasto",rFecha,"&gt;="&amp;pIni,rFecha,"&lt;="&amp;pFin,rCtaE,critCta)))</f>
        <v/>
      </c>
      <c r="O11" s="241">
        <f>IF(M11="",-1E+12-5,N(M11)+(201-5)/1E+7)</f>
        <v/>
      </c>
      <c r="P11" s="241">
        <f>L11&amp;" · "&amp;K11</f>
        <v/>
      </c>
      <c r="R11" s="241" t="n">
        <v>5</v>
      </c>
      <c r="S11" s="241">
        <f>IFERROR(INDEX(rCom,MATCH(5,rComIdx,0))&amp;"","")</f>
        <v/>
      </c>
      <c r="T11" s="241">
        <f>IF(S11="","",SUMIFS(rGasto,rCom,S11,rFecha,"&gt;="&amp;pIni,rFecha,"&lt;="&amp;pFin,rCat,critCat,rCtaE,critCta))</f>
        <v/>
      </c>
      <c r="U11" s="241">
        <f>IF(S11="","",COUNTIFS(rCom,S11,rTipoE,"Gasto",rFecha,"&gt;="&amp;pIni,rFecha,"&lt;="&amp;pFin,rCat,critCat,rCtaE,critCta))</f>
        <v/>
      </c>
      <c r="V11" s="241">
        <f>IF(S11="",-1E+12-5,N(T11)+(301-5)/1E+7)</f>
        <v/>
      </c>
      <c r="W11" s="241">
        <f>IF(S11="","",SUMIFS(rGasto,rCom,S11,rHorm,1,rFecha,"&gt;="&amp;pIni,rFecha,"&lt;="&amp;pFin))</f>
        <v/>
      </c>
      <c r="X11" s="241">
        <f>IF(S11="","",COUNTIFS(rCom,S11,rHorm,1,rFecha,"&gt;="&amp;pIni,rFecha,"&lt;="&amp;pFin))</f>
        <v/>
      </c>
      <c r="Y11" s="241">
        <f>IF(S11="",-1E+12-5,N(W11)+(301-5)/1E+7)</f>
        <v/>
      </c>
      <c r="AA11" s="241">
        <f>INDEX(ctaNombre,5)&amp;""</f>
        <v/>
      </c>
      <c r="AB11" s="241">
        <f>IF(AA11="","",SUMIFS(rGasto,rCtaE,AA11,rFecha,"&gt;="&amp;pIni,rFecha,"&lt;="&amp;pFin,rCat,critCat))</f>
        <v/>
      </c>
      <c r="AC11" s="241">
        <f>IF(AA11="","",COUNTIFS(rCtaE,AA11,rTipoE,"Gasto",rFecha,"&gt;="&amp;pIni,rFecha,"&lt;="&amp;pFin,rCat,critCat))</f>
        <v/>
      </c>
      <c r="AD11" s="241">
        <f>IF(AA11="",-1E+12-5,N(AB11)+(100-5)/1E+7)</f>
        <v/>
      </c>
      <c r="AF11" s="241">
        <f>$F11</f>
        <v/>
      </c>
      <c r="AG11" s="241">
        <f>IF(AF11="","",SUMIFS(rGasto,rCat,AF11,rHorm,1,rFecha,"&gt;="&amp;pIni,rFecha,"&lt;="&amp;pFin))</f>
        <v/>
      </c>
      <c r="AH11" s="241">
        <f>IF(AF11="","",COUNTIFS(rCat,AF11,rHorm,1,rFecha,"&gt;="&amp;pIni,rFecha,"&lt;="&amp;pFin))</f>
        <v/>
      </c>
      <c r="AI11" s="241">
        <f>IF(AF11="",-1E+12-5,N(AG11)+(100-5)/1E+7)</f>
        <v/>
      </c>
      <c r="AK11" s="243">
        <f>EDATE(refMes,-7)</f>
        <v/>
      </c>
      <c r="AL11" s="241">
        <f>CHOOSE(MONTH(AK11),"Ene","Feb","Mar","Abr","May","Jun","Jul","Ago","Sep","Oct","Nov","Dic")&amp;" "&amp;RIGHT(YEAR(AK11),2)</f>
        <v/>
      </c>
      <c r="AM11" s="244">
        <f>SUMIFS(rIng,rFecha,"&gt;="&amp;AK11,rFecha,"&lt;="&amp;EOMONTH(AK11,0),rCtaE,critCta)</f>
        <v/>
      </c>
      <c r="AN11" s="244">
        <f>SUMIFS(rGasto,rFecha,"&gt;="&amp;AK11,rFecha,"&lt;="&amp;EOMONTH(AK11,0),rCat,critCat,rCtaE,critCta)</f>
        <v/>
      </c>
      <c r="AO11" s="244">
        <f>AM11-AN11</f>
        <v/>
      </c>
      <c r="AP11" s="244">
        <f>SUMIFS(rGasto,rFecha,"&gt;="&amp;AK11,rFecha,"&lt;="&amp;EOMONTH(AK11,0),rClasE,"Fijo",rCat,critCat,rCtaE,critCta)</f>
        <v/>
      </c>
      <c r="AQ11" s="244">
        <f>SUMIFS(rGasto,rFecha,"&gt;="&amp;AK11,rFecha,"&lt;="&amp;EOMONTH(AK11,0),rClasE,"Variable",rCat,critCat,rCtaE,critCta)</f>
        <v/>
      </c>
      <c r="AR11" s="244">
        <f>SUMIFS(rGasto,rFecha,"&gt;="&amp;AK11,rFecha,"&lt;="&amp;EOMONTH(AK11,0),rGrupo,gCP)</f>
        <v/>
      </c>
      <c r="AS11" s="244">
        <f>SUMIFS(rGasto,rFecha,"&gt;="&amp;AK11,rFecha,"&lt;="&amp;EOMONTH(AK11,0),rGrupo,gSI)</f>
        <v/>
      </c>
      <c r="AT11" s="244">
        <f>SUMIFS(rGasto,rFecha,"&gt;="&amp;AK11,rFecha,"&lt;="&amp;EOMONTH(AK11,0),rGrupo,gBS)</f>
        <v/>
      </c>
      <c r="AU11" s="244">
        <f>SUMIFS(rGasto,rFecha,"&gt;="&amp;AK11,rFecha,"&lt;="&amp;EOMONTH(AK11,0),rHorm,1)</f>
        <v/>
      </c>
      <c r="AV11" s="244">
        <f>COUNTIFS(rFecha,"&gt;="&amp;AK11,rFecha,"&lt;="&amp;EOMONTH(AK11,0),rGrupo,gCP,rTipoE,"Gasto")</f>
        <v/>
      </c>
      <c r="AW11" s="244">
        <f>SUMIFS(rTrad,rFecha,"&gt;="&amp;AK11,rFecha,"&lt;="&amp;EOMONTH(AK11,0))</f>
        <v/>
      </c>
      <c r="AX11" s="245">
        <f>IF(AM11&gt;0,AO11/AM11,"")</f>
        <v/>
      </c>
      <c r="AZ11" s="246">
        <f>refSem-7*7</f>
        <v/>
      </c>
      <c r="BA11" s="241">
        <f>DAY(AZ11)&amp;" "&amp;CHOOSE(MONTH(AZ11),"Ene","Feb","Mar","Abr","May","Jun","Jul","Ago","Sep","Oct","Nov","Dic")</f>
        <v/>
      </c>
      <c r="BB11" s="241">
        <f>SUMIFS(rGasto,rFecha,"&gt;="&amp;AZ11,rFecha,"&lt;="&amp;AZ11+6,rCat,critCat,rCtaE,critCta)</f>
        <v/>
      </c>
      <c r="BC11" s="241">
        <f>SUMIFS(rGasto,rFecha,"&gt;="&amp;AZ11,rFecha,"&lt;="&amp;AZ11+6,rGrupo,gCP)</f>
        <v/>
      </c>
      <c r="BD11" s="241">
        <f>SUMIFS(rGasto,rFecha,"&gt;="&amp;AZ11,rFecha,"&lt;="&amp;AZ11+6,rGrupo,gSI)</f>
        <v/>
      </c>
      <c r="BE11" s="241">
        <f>SUMIFS(rGasto,rFecha,"&gt;="&amp;AZ11,rFecha,"&lt;="&amp;AZ11+6,rHorm,1)</f>
        <v/>
      </c>
      <c r="BG11" s="241" t="n">
        <v>5</v>
      </c>
      <c r="BH11" s="246">
        <f>IF(calIni+4&lt;=pFinEff,calIni+4,"")</f>
        <v/>
      </c>
      <c r="BI11" s="241">
        <f>IF(BH11="","",WEEKDAY(BH11,2))</f>
        <v/>
      </c>
      <c r="BJ11" s="241">
        <f>IF(BH11="","",SUMIFS(rGasto,rFecha,BH11,rGrupo,"?*"))</f>
        <v/>
      </c>
      <c r="BK11" s="241">
        <f>IF(BH11="","",SUMIFS(rGasto,rFecha,BH11,rGrupo,gCP))</f>
        <v/>
      </c>
      <c r="BL11" s="241">
        <f>IF(BH11="",-1E+12-5,N(BJ11)+(400-5)/1E+7)</f>
        <v/>
      </c>
      <c r="BN11" s="241" t="n">
        <v>5</v>
      </c>
      <c r="BO11" s="241" t="inlineStr">
        <is>
          <t>Viernes</t>
        </is>
      </c>
      <c r="BP11" s="244">
        <f>SUMIFS(rGasto,rGrupo,"?*",rDia,5,rFecha,"&gt;="&amp;pIni,rFecha,"&lt;="&amp;pFin)</f>
        <v/>
      </c>
      <c r="BQ11" s="244">
        <f>SUMIFS(rGasto,rGrupo,gCP,rDia,5,rFecha,"&gt;="&amp;pIni,rFecha,"&lt;="&amp;pFin)</f>
        <v/>
      </c>
      <c r="BR11" s="244">
        <f>COUNTIFS(rGrupo,gCP,rTipoE,"Gasto",rDia,5,rFecha,"&gt;="&amp;pIni,rFecha,"&lt;="&amp;pFin)</f>
        <v/>
      </c>
      <c r="BS11" s="244">
        <f>MAX(0,INT((pFinEff-(pIni+MOD(5-WEEKDAY(pIni,2),7)))/7)+1)</f>
        <v/>
      </c>
      <c r="BT11" s="244">
        <f>IF(BS11&gt;0,BP11/BS11,0)</f>
        <v/>
      </c>
      <c r="BU11" s="244">
        <f>IF(BS11&gt;0,BQ11/BS11,0)</f>
        <v/>
      </c>
      <c r="BW11" s="241" t="n">
        <v>5</v>
      </c>
      <c r="BX11" s="241">
        <f>IFERROR(IF(N(INDEX($G$7:$G$46,MATCH(LARGE($H$7:$H$46,5),$H$7:$H$46,0)))&gt;0,INDEX($F$7:$F$46,MATCH(LARGE($H$7:$H$46,5),$H$7:$H$46,0))&amp;"",""),"")</f>
        <v/>
      </c>
      <c r="BY11" s="244">
        <f>IF(BX11="","",INDEX($G$7:$G$46,MATCH(LARGE($H$7:$H$46,5),$H$7:$H$46,0)))</f>
        <v/>
      </c>
      <c r="BZ11" s="241">
        <f>IF(BX11="","",INDEX($I$7:$I$46,MATCH(LARGE($H$7:$H$46,5),$H$7:$H$46,0)))</f>
        <v/>
      </c>
      <c r="CB11" s="241" t="n">
        <v>5</v>
      </c>
      <c r="CC11" s="241">
        <f>IFERROR(IF(N(INDEX($M$7:$M$206,MATCH(LARGE($O$7:$O$206,5),$O$7:$O$206,0)))&gt;0,INDEX($P$7:$P$206,MATCH(LARGE($O$7:$O$206,5),$O$7:$O$206,0))&amp;"",""),"")</f>
        <v/>
      </c>
      <c r="CD11" s="244">
        <f>IF(CC11="","",INDEX($M$7:$M$206,MATCH(LARGE($O$7:$O$206,5),$O$7:$O$206,0)))</f>
        <v/>
      </c>
      <c r="CE11" s="241">
        <f>IF(CC11="","",INDEX($N$7:$N$206,MATCH(LARGE($O$7:$O$206,5),$O$7:$O$206,0)))</f>
        <v/>
      </c>
      <c r="CG11" s="241" t="n">
        <v>5</v>
      </c>
      <c r="CH11" s="241">
        <f>IFERROR(IF(N(INDEX($T$7:$T$306,MATCH(LARGE($V$7:$V$306,5),$V$7:$V$306,0)))&gt;0,INDEX($S$7:$S$306,MATCH(LARGE($V$7:$V$306,5),$V$7:$V$306,0))&amp;"",""),"")</f>
        <v/>
      </c>
      <c r="CI11" s="244">
        <f>IF(CH11="","",INDEX($T$7:$T$306,MATCH(LARGE($V$7:$V$306,5),$V$7:$V$306,0)))</f>
        <v/>
      </c>
      <c r="CJ11" s="241">
        <f>IF(CH11="","",INDEX($U$7:$U$306,MATCH(LARGE($V$7:$V$306,5),$V$7:$V$306,0)))</f>
        <v/>
      </c>
      <c r="CL11" s="241" t="n">
        <v>5</v>
      </c>
      <c r="CM11" s="241">
        <f>IFERROR(IF(N(INDEX($AB$7:$AB$36,MATCH(LARGE($AD$7:$AD$36,5),$AD$7:$AD$36,0)))&gt;0,INDEX($AA$7:$AA$36,MATCH(LARGE($AD$7:$AD$36,5),$AD$7:$AD$36,0))&amp;"",""),"")</f>
        <v/>
      </c>
      <c r="CN11" s="244">
        <f>IF(CM11="","",INDEX($AB$7:$AB$36,MATCH(LARGE($AD$7:$AD$36,5),$AD$7:$AD$36,0)))</f>
        <v/>
      </c>
      <c r="CO11" s="241">
        <f>IF(CM11="","",INDEX($AC$7:$AC$36,MATCH(LARGE($AD$7:$AD$36,5),$AD$7:$AD$36,0)))</f>
        <v/>
      </c>
      <c r="CQ11" s="241" t="n">
        <v>5</v>
      </c>
      <c r="CR11" s="241">
        <f>IFERROR(IF(N(INDEX($AG$7:$AG$46,MATCH(LARGE($AI$7:$AI$46,5),$AI$7:$AI$46,0)))&gt;0,INDEX($AF$7:$AF$46,MATCH(LARGE($AI$7:$AI$46,5),$AI$7:$AI$46,0))&amp;"",""),"")</f>
        <v/>
      </c>
      <c r="CS11" s="244">
        <f>IF(CR11="","",INDEX($AG$7:$AG$46,MATCH(LARGE($AI$7:$AI$46,5),$AI$7:$AI$46,0)))</f>
        <v/>
      </c>
      <c r="CT11" s="241">
        <f>IF(CR11="","",INDEX($AH$7:$AH$46,MATCH(LARGE($AI$7:$AI$46,5),$AI$7:$AI$46,0)))</f>
        <v/>
      </c>
      <c r="CV11" s="241" t="n">
        <v>5</v>
      </c>
      <c r="CW11" s="241">
        <f>IFERROR(IF(N(INDEX($W$7:$W$306,MATCH(LARGE($Y$7:$Y$306,5),$Y$7:$Y$306,0)))&gt;0,INDEX($S$7:$S$306,MATCH(LARGE($Y$7:$Y$306,5),$Y$7:$Y$306,0))&amp;"",""),"")</f>
        <v/>
      </c>
      <c r="CX11" s="244">
        <f>IF(CW11="","",INDEX($W$7:$W$306,MATCH(LARGE($Y$7:$Y$306,5),$Y$7:$Y$306,0)))</f>
        <v/>
      </c>
      <c r="CY11" s="241">
        <f>IF(CW11="","",INDEX($X$7:$X$306,MATCH(LARGE($Y$7:$Y$306,5),$Y$7:$Y$306,0)))</f>
        <v/>
      </c>
      <c r="DA11" s="241" t="n">
        <v>5</v>
      </c>
      <c r="DB11" s="246">
        <f>IFERROR(IF(N(INDEX($BJ$7:$BJ$372,MATCH(LARGE($BL$7:$BL$372,5),$BL$7:$BL$372,0)))&gt;0,INDEX($BH$7:$BH$372,MATCH(LARGE($BL$7:$BL$372,5),$BL$7:$BL$372,0)),""),"")</f>
        <v/>
      </c>
      <c r="DC11" s="241">
        <f>IF(DB11="","",INDEX($BJ$7:$BJ$372,MATCH(LARGE($BL$7:$BL$372,5),$BL$7:$BL$372,0)))</f>
        <v/>
      </c>
      <c r="DD11" s="241">
        <f>IF(DB11="","",INDEX($BK$7:$BK$372,MATCH(LARGE($BL$7:$BL$372,5),$BL$7:$BL$372,0)))</f>
        <v/>
      </c>
    </row>
    <row r="12">
      <c r="B12" s="241" t="inlineStr">
        <is>
          <t>Fin</t>
        </is>
      </c>
      <c r="C12" s="242">
        <f>CHOOSE(pK,EOMONTH(diaHoy,0),EOMONTH(diaHoy,-1),EOMONTH(mesSel,0),diaHoy,diaHoy,diaHoy,DATE(YEAR(diaHoy),12,31),DATE(YEAR(diaHoy)-1,12,31),MAX(maxFecha,diaHoy),IF(ISNUMBER(fHasta),fHasta,MAX(maxFecha,diaHoy)))</f>
        <v/>
      </c>
      <c r="E12" s="241" t="n">
        <v>6</v>
      </c>
      <c r="F12" s="241">
        <f>IFERROR(INDEX(catUList,6)&amp;"","")</f>
        <v/>
      </c>
      <c r="G12" s="241">
        <f>IF(F12="","",SUMIFS(rGasto,rCat,F12,rFecha,"&gt;="&amp;pIni,rFecha,"&lt;="&amp;pFin,rCtaE,critCta))</f>
        <v/>
      </c>
      <c r="H12" s="241">
        <f>IF(F12="",-1E+12-6,N(G12)+(100-6)/1E+7)</f>
        <v/>
      </c>
      <c r="I12" s="241">
        <f>IF(F12="","",COUNTIFS(rCat,F12,rTipoE,"Gasto",rFecha,"&gt;="&amp;pIni,rFecha,"&lt;="&amp;pFin,rCtaE,critCta))</f>
        <v/>
      </c>
      <c r="K12" s="241">
        <f>INDEX(catCat,6)&amp;""</f>
        <v/>
      </c>
      <c r="L12" s="241">
        <f>INDEX(catSub,6)&amp;""</f>
        <v/>
      </c>
      <c r="M12" s="241">
        <f>IF(OR(K12="",L12="",INDEX(catTipo,6)&amp;""&lt;&gt;"Gasto"),"",IF(AND(critCat&lt;&gt;"&lt;&gt;@@@",K12&lt;&gt;critCat),0,SUMIFS(rGasto,rCat,K12,rSub,L12,rFecha,"&gt;="&amp;pIni,rFecha,"&lt;="&amp;pFin,rCtaE,critCta)))</f>
        <v/>
      </c>
      <c r="N12" s="241">
        <f>IF(M12="","",IF(AND(critCat&lt;&gt;"&lt;&gt;@@@",K12&lt;&gt;critCat),0,COUNTIFS(rCat,K12,rSub,L12,rTipoE,"Gasto",rFecha,"&gt;="&amp;pIni,rFecha,"&lt;="&amp;pFin,rCtaE,critCta)))</f>
        <v/>
      </c>
      <c r="O12" s="241">
        <f>IF(M12="",-1E+12-6,N(M12)+(201-6)/1E+7)</f>
        <v/>
      </c>
      <c r="P12" s="241">
        <f>L12&amp;" · "&amp;K12</f>
        <v/>
      </c>
      <c r="R12" s="241" t="n">
        <v>6</v>
      </c>
      <c r="S12" s="241">
        <f>IFERROR(INDEX(rCom,MATCH(6,rComIdx,0))&amp;"","")</f>
        <v/>
      </c>
      <c r="T12" s="241">
        <f>IF(S12="","",SUMIFS(rGasto,rCom,S12,rFecha,"&gt;="&amp;pIni,rFecha,"&lt;="&amp;pFin,rCat,critCat,rCtaE,critCta))</f>
        <v/>
      </c>
      <c r="U12" s="241">
        <f>IF(S12="","",COUNTIFS(rCom,S12,rTipoE,"Gasto",rFecha,"&gt;="&amp;pIni,rFecha,"&lt;="&amp;pFin,rCat,critCat,rCtaE,critCta))</f>
        <v/>
      </c>
      <c r="V12" s="241">
        <f>IF(S12="",-1E+12-6,N(T12)+(301-6)/1E+7)</f>
        <v/>
      </c>
      <c r="W12" s="241">
        <f>IF(S12="","",SUMIFS(rGasto,rCom,S12,rHorm,1,rFecha,"&gt;="&amp;pIni,rFecha,"&lt;="&amp;pFin))</f>
        <v/>
      </c>
      <c r="X12" s="241">
        <f>IF(S12="","",COUNTIFS(rCom,S12,rHorm,1,rFecha,"&gt;="&amp;pIni,rFecha,"&lt;="&amp;pFin))</f>
        <v/>
      </c>
      <c r="Y12" s="241">
        <f>IF(S12="",-1E+12-6,N(W12)+(301-6)/1E+7)</f>
        <v/>
      </c>
      <c r="AA12" s="241">
        <f>INDEX(ctaNombre,6)&amp;""</f>
        <v/>
      </c>
      <c r="AB12" s="241">
        <f>IF(AA12="","",SUMIFS(rGasto,rCtaE,AA12,rFecha,"&gt;="&amp;pIni,rFecha,"&lt;="&amp;pFin,rCat,critCat))</f>
        <v/>
      </c>
      <c r="AC12" s="241">
        <f>IF(AA12="","",COUNTIFS(rCtaE,AA12,rTipoE,"Gasto",rFecha,"&gt;="&amp;pIni,rFecha,"&lt;="&amp;pFin,rCat,critCat))</f>
        <v/>
      </c>
      <c r="AD12" s="241">
        <f>IF(AA12="",-1E+12-6,N(AB12)+(100-6)/1E+7)</f>
        <v/>
      </c>
      <c r="AF12" s="241">
        <f>$F12</f>
        <v/>
      </c>
      <c r="AG12" s="241">
        <f>IF(AF12="","",SUMIFS(rGasto,rCat,AF12,rHorm,1,rFecha,"&gt;="&amp;pIni,rFecha,"&lt;="&amp;pFin))</f>
        <v/>
      </c>
      <c r="AH12" s="241">
        <f>IF(AF12="","",COUNTIFS(rCat,AF12,rHorm,1,rFecha,"&gt;="&amp;pIni,rFecha,"&lt;="&amp;pFin))</f>
        <v/>
      </c>
      <c r="AI12" s="241">
        <f>IF(AF12="",-1E+12-6,N(AG12)+(100-6)/1E+7)</f>
        <v/>
      </c>
      <c r="AK12" s="243">
        <f>EDATE(refMes,-6)</f>
        <v/>
      </c>
      <c r="AL12" s="241">
        <f>CHOOSE(MONTH(AK12),"Ene","Feb","Mar","Abr","May","Jun","Jul","Ago","Sep","Oct","Nov","Dic")&amp;" "&amp;RIGHT(YEAR(AK12),2)</f>
        <v/>
      </c>
      <c r="AM12" s="244">
        <f>SUMIFS(rIng,rFecha,"&gt;="&amp;AK12,rFecha,"&lt;="&amp;EOMONTH(AK12,0),rCtaE,critCta)</f>
        <v/>
      </c>
      <c r="AN12" s="244">
        <f>SUMIFS(rGasto,rFecha,"&gt;="&amp;AK12,rFecha,"&lt;="&amp;EOMONTH(AK12,0),rCat,critCat,rCtaE,critCta)</f>
        <v/>
      </c>
      <c r="AO12" s="244">
        <f>AM12-AN12</f>
        <v/>
      </c>
      <c r="AP12" s="244">
        <f>SUMIFS(rGasto,rFecha,"&gt;="&amp;AK12,rFecha,"&lt;="&amp;EOMONTH(AK12,0),rClasE,"Fijo",rCat,critCat,rCtaE,critCta)</f>
        <v/>
      </c>
      <c r="AQ12" s="244">
        <f>SUMIFS(rGasto,rFecha,"&gt;="&amp;AK12,rFecha,"&lt;="&amp;EOMONTH(AK12,0),rClasE,"Variable",rCat,critCat,rCtaE,critCta)</f>
        <v/>
      </c>
      <c r="AR12" s="244">
        <f>SUMIFS(rGasto,rFecha,"&gt;="&amp;AK12,rFecha,"&lt;="&amp;EOMONTH(AK12,0),rGrupo,gCP)</f>
        <v/>
      </c>
      <c r="AS12" s="244">
        <f>SUMIFS(rGasto,rFecha,"&gt;="&amp;AK12,rFecha,"&lt;="&amp;EOMONTH(AK12,0),rGrupo,gSI)</f>
        <v/>
      </c>
      <c r="AT12" s="244">
        <f>SUMIFS(rGasto,rFecha,"&gt;="&amp;AK12,rFecha,"&lt;="&amp;EOMONTH(AK12,0),rGrupo,gBS)</f>
        <v/>
      </c>
      <c r="AU12" s="244">
        <f>SUMIFS(rGasto,rFecha,"&gt;="&amp;AK12,rFecha,"&lt;="&amp;EOMONTH(AK12,0),rHorm,1)</f>
        <v/>
      </c>
      <c r="AV12" s="244">
        <f>COUNTIFS(rFecha,"&gt;="&amp;AK12,rFecha,"&lt;="&amp;EOMONTH(AK12,0),rGrupo,gCP,rTipoE,"Gasto")</f>
        <v/>
      </c>
      <c r="AW12" s="244">
        <f>SUMIFS(rTrad,rFecha,"&gt;="&amp;AK12,rFecha,"&lt;="&amp;EOMONTH(AK12,0))</f>
        <v/>
      </c>
      <c r="AX12" s="245">
        <f>IF(AM12&gt;0,AO12/AM12,"")</f>
        <v/>
      </c>
      <c r="AZ12" s="246">
        <f>refSem-7*6</f>
        <v/>
      </c>
      <c r="BA12" s="241">
        <f>DAY(AZ12)&amp;" "&amp;CHOOSE(MONTH(AZ12),"Ene","Feb","Mar","Abr","May","Jun","Jul","Ago","Sep","Oct","Nov","Dic")</f>
        <v/>
      </c>
      <c r="BB12" s="241">
        <f>SUMIFS(rGasto,rFecha,"&gt;="&amp;AZ12,rFecha,"&lt;="&amp;AZ12+6,rCat,critCat,rCtaE,critCta)</f>
        <v/>
      </c>
      <c r="BC12" s="241">
        <f>SUMIFS(rGasto,rFecha,"&gt;="&amp;AZ12,rFecha,"&lt;="&amp;AZ12+6,rGrupo,gCP)</f>
        <v/>
      </c>
      <c r="BD12" s="241">
        <f>SUMIFS(rGasto,rFecha,"&gt;="&amp;AZ12,rFecha,"&lt;="&amp;AZ12+6,rGrupo,gSI)</f>
        <v/>
      </c>
      <c r="BE12" s="241">
        <f>SUMIFS(rGasto,rFecha,"&gt;="&amp;AZ12,rFecha,"&lt;="&amp;AZ12+6,rHorm,1)</f>
        <v/>
      </c>
      <c r="BG12" s="241" t="n">
        <v>6</v>
      </c>
      <c r="BH12" s="246">
        <f>IF(calIni+5&lt;=pFinEff,calIni+5,"")</f>
        <v/>
      </c>
      <c r="BI12" s="241">
        <f>IF(BH12="","",WEEKDAY(BH12,2))</f>
        <v/>
      </c>
      <c r="BJ12" s="241">
        <f>IF(BH12="","",SUMIFS(rGasto,rFecha,BH12,rGrupo,"?*"))</f>
        <v/>
      </c>
      <c r="BK12" s="241">
        <f>IF(BH12="","",SUMIFS(rGasto,rFecha,BH12,rGrupo,gCP))</f>
        <v/>
      </c>
      <c r="BL12" s="241">
        <f>IF(BH12="",-1E+12-6,N(BJ12)+(400-6)/1E+7)</f>
        <v/>
      </c>
      <c r="BN12" s="241" t="n">
        <v>6</v>
      </c>
      <c r="BO12" s="241" t="inlineStr">
        <is>
          <t>Sábado</t>
        </is>
      </c>
      <c r="BP12" s="244">
        <f>SUMIFS(rGasto,rGrupo,"?*",rDia,6,rFecha,"&gt;="&amp;pIni,rFecha,"&lt;="&amp;pFin)</f>
        <v/>
      </c>
      <c r="BQ12" s="244">
        <f>SUMIFS(rGasto,rGrupo,gCP,rDia,6,rFecha,"&gt;="&amp;pIni,rFecha,"&lt;="&amp;pFin)</f>
        <v/>
      </c>
      <c r="BR12" s="244">
        <f>COUNTIFS(rGrupo,gCP,rTipoE,"Gasto",rDia,6,rFecha,"&gt;="&amp;pIni,rFecha,"&lt;="&amp;pFin)</f>
        <v/>
      </c>
      <c r="BS12" s="244">
        <f>MAX(0,INT((pFinEff-(pIni+MOD(6-WEEKDAY(pIni,2),7)))/7)+1)</f>
        <v/>
      </c>
      <c r="BT12" s="244">
        <f>IF(BS12&gt;0,BP12/BS12,0)</f>
        <v/>
      </c>
      <c r="BU12" s="244">
        <f>IF(BS12&gt;0,BQ12/BS12,0)</f>
        <v/>
      </c>
      <c r="BW12" s="241" t="n">
        <v>6</v>
      </c>
      <c r="BX12" s="241">
        <f>IFERROR(IF(N(INDEX($G$7:$G$46,MATCH(LARGE($H$7:$H$46,6),$H$7:$H$46,0)))&gt;0,INDEX($F$7:$F$46,MATCH(LARGE($H$7:$H$46,6),$H$7:$H$46,0))&amp;"",""),"")</f>
        <v/>
      </c>
      <c r="BY12" s="244">
        <f>IF(BX12="","",INDEX($G$7:$G$46,MATCH(LARGE($H$7:$H$46,6),$H$7:$H$46,0)))</f>
        <v/>
      </c>
      <c r="BZ12" s="241">
        <f>IF(BX12="","",INDEX($I$7:$I$46,MATCH(LARGE($H$7:$H$46,6),$H$7:$H$46,0)))</f>
        <v/>
      </c>
      <c r="CB12" s="241" t="n">
        <v>6</v>
      </c>
      <c r="CC12" s="241">
        <f>IFERROR(IF(N(INDEX($M$7:$M$206,MATCH(LARGE($O$7:$O$206,6),$O$7:$O$206,0)))&gt;0,INDEX($P$7:$P$206,MATCH(LARGE($O$7:$O$206,6),$O$7:$O$206,0))&amp;"",""),"")</f>
        <v/>
      </c>
      <c r="CD12" s="244">
        <f>IF(CC12="","",INDEX($M$7:$M$206,MATCH(LARGE($O$7:$O$206,6),$O$7:$O$206,0)))</f>
        <v/>
      </c>
      <c r="CE12" s="241">
        <f>IF(CC12="","",INDEX($N$7:$N$206,MATCH(LARGE($O$7:$O$206,6),$O$7:$O$206,0)))</f>
        <v/>
      </c>
      <c r="CG12" s="241" t="n">
        <v>6</v>
      </c>
      <c r="CH12" s="241">
        <f>IFERROR(IF(N(INDEX($T$7:$T$306,MATCH(LARGE($V$7:$V$306,6),$V$7:$V$306,0)))&gt;0,INDEX($S$7:$S$306,MATCH(LARGE($V$7:$V$306,6),$V$7:$V$306,0))&amp;"",""),"")</f>
        <v/>
      </c>
      <c r="CI12" s="244">
        <f>IF(CH12="","",INDEX($T$7:$T$306,MATCH(LARGE($V$7:$V$306,6),$V$7:$V$306,0)))</f>
        <v/>
      </c>
      <c r="CJ12" s="241">
        <f>IF(CH12="","",INDEX($U$7:$U$306,MATCH(LARGE($V$7:$V$306,6),$V$7:$V$306,0)))</f>
        <v/>
      </c>
      <c r="CL12" s="241" t="n">
        <v>6</v>
      </c>
      <c r="CM12" s="241">
        <f>IFERROR(IF(N(INDEX($AB$7:$AB$36,MATCH(LARGE($AD$7:$AD$36,6),$AD$7:$AD$36,0)))&gt;0,INDEX($AA$7:$AA$36,MATCH(LARGE($AD$7:$AD$36,6),$AD$7:$AD$36,0))&amp;"",""),"")</f>
        <v/>
      </c>
      <c r="CN12" s="244">
        <f>IF(CM12="","",INDEX($AB$7:$AB$36,MATCH(LARGE($AD$7:$AD$36,6),$AD$7:$AD$36,0)))</f>
        <v/>
      </c>
      <c r="CO12" s="241">
        <f>IF(CM12="","",INDEX($AC$7:$AC$36,MATCH(LARGE($AD$7:$AD$36,6),$AD$7:$AD$36,0)))</f>
        <v/>
      </c>
      <c r="CQ12" s="241" t="n">
        <v>6</v>
      </c>
      <c r="CR12" s="241">
        <f>IFERROR(IF(N(INDEX($AG$7:$AG$46,MATCH(LARGE($AI$7:$AI$46,6),$AI$7:$AI$46,0)))&gt;0,INDEX($AF$7:$AF$46,MATCH(LARGE($AI$7:$AI$46,6),$AI$7:$AI$46,0))&amp;"",""),"")</f>
        <v/>
      </c>
      <c r="CS12" s="244">
        <f>IF(CR12="","",INDEX($AG$7:$AG$46,MATCH(LARGE($AI$7:$AI$46,6),$AI$7:$AI$46,0)))</f>
        <v/>
      </c>
      <c r="CT12" s="241">
        <f>IF(CR12="","",INDEX($AH$7:$AH$46,MATCH(LARGE($AI$7:$AI$46,6),$AI$7:$AI$46,0)))</f>
        <v/>
      </c>
      <c r="CV12" s="241" t="n">
        <v>6</v>
      </c>
      <c r="CW12" s="241">
        <f>IFERROR(IF(N(INDEX($W$7:$W$306,MATCH(LARGE($Y$7:$Y$306,6),$Y$7:$Y$306,0)))&gt;0,INDEX($S$7:$S$306,MATCH(LARGE($Y$7:$Y$306,6),$Y$7:$Y$306,0))&amp;"",""),"")</f>
        <v/>
      </c>
      <c r="CX12" s="244">
        <f>IF(CW12="","",INDEX($W$7:$W$306,MATCH(LARGE($Y$7:$Y$306,6),$Y$7:$Y$306,0)))</f>
        <v/>
      </c>
      <c r="CY12" s="241">
        <f>IF(CW12="","",INDEX($X$7:$X$306,MATCH(LARGE($Y$7:$Y$306,6),$Y$7:$Y$306,0)))</f>
        <v/>
      </c>
      <c r="DA12" s="241" t="n">
        <v>6</v>
      </c>
      <c r="DB12" s="246">
        <f>IFERROR(IF(N(INDEX($BJ$7:$BJ$372,MATCH(LARGE($BL$7:$BL$372,6),$BL$7:$BL$372,0)))&gt;0,INDEX($BH$7:$BH$372,MATCH(LARGE($BL$7:$BL$372,6),$BL$7:$BL$372,0)),""),"")</f>
        <v/>
      </c>
      <c r="DC12" s="241">
        <f>IF(DB12="","",INDEX($BJ$7:$BJ$372,MATCH(LARGE($BL$7:$BL$372,6),$BL$7:$BL$372,0)))</f>
        <v/>
      </c>
      <c r="DD12" s="241">
        <f>IF(DB12="","",INDEX($BK$7:$BK$372,MATCH(LARGE($BL$7:$BL$372,6),$BL$7:$BL$372,0)))</f>
        <v/>
      </c>
    </row>
    <row r="13">
      <c r="B13" s="241" t="inlineStr">
        <is>
          <t>Días transcurridos del período</t>
        </is>
      </c>
      <c r="C13" s="247">
        <f>MAX(1,MIN(pFin,MAX(diaHoy,pIni))-pIni+1)</f>
        <v/>
      </c>
      <c r="E13" s="241" t="n">
        <v>7</v>
      </c>
      <c r="F13" s="241">
        <f>IFERROR(INDEX(catUList,7)&amp;"","")</f>
        <v/>
      </c>
      <c r="G13" s="241">
        <f>IF(F13="","",SUMIFS(rGasto,rCat,F13,rFecha,"&gt;="&amp;pIni,rFecha,"&lt;="&amp;pFin,rCtaE,critCta))</f>
        <v/>
      </c>
      <c r="H13" s="241">
        <f>IF(F13="",-1E+12-7,N(G13)+(100-7)/1E+7)</f>
        <v/>
      </c>
      <c r="I13" s="241">
        <f>IF(F13="","",COUNTIFS(rCat,F13,rTipoE,"Gasto",rFecha,"&gt;="&amp;pIni,rFecha,"&lt;="&amp;pFin,rCtaE,critCta))</f>
        <v/>
      </c>
      <c r="K13" s="241">
        <f>INDEX(catCat,7)&amp;""</f>
        <v/>
      </c>
      <c r="L13" s="241">
        <f>INDEX(catSub,7)&amp;""</f>
        <v/>
      </c>
      <c r="M13" s="241">
        <f>IF(OR(K13="",L13="",INDEX(catTipo,7)&amp;""&lt;&gt;"Gasto"),"",IF(AND(critCat&lt;&gt;"&lt;&gt;@@@",K13&lt;&gt;critCat),0,SUMIFS(rGasto,rCat,K13,rSub,L13,rFecha,"&gt;="&amp;pIni,rFecha,"&lt;="&amp;pFin,rCtaE,critCta)))</f>
        <v/>
      </c>
      <c r="N13" s="241">
        <f>IF(M13="","",IF(AND(critCat&lt;&gt;"&lt;&gt;@@@",K13&lt;&gt;critCat),0,COUNTIFS(rCat,K13,rSub,L13,rTipoE,"Gasto",rFecha,"&gt;="&amp;pIni,rFecha,"&lt;="&amp;pFin,rCtaE,critCta)))</f>
        <v/>
      </c>
      <c r="O13" s="241">
        <f>IF(M13="",-1E+12-7,N(M13)+(201-7)/1E+7)</f>
        <v/>
      </c>
      <c r="P13" s="241">
        <f>L13&amp;" · "&amp;K13</f>
        <v/>
      </c>
      <c r="R13" s="241" t="n">
        <v>7</v>
      </c>
      <c r="S13" s="241">
        <f>IFERROR(INDEX(rCom,MATCH(7,rComIdx,0))&amp;"","")</f>
        <v/>
      </c>
      <c r="T13" s="241">
        <f>IF(S13="","",SUMIFS(rGasto,rCom,S13,rFecha,"&gt;="&amp;pIni,rFecha,"&lt;="&amp;pFin,rCat,critCat,rCtaE,critCta))</f>
        <v/>
      </c>
      <c r="U13" s="241">
        <f>IF(S13="","",COUNTIFS(rCom,S13,rTipoE,"Gasto",rFecha,"&gt;="&amp;pIni,rFecha,"&lt;="&amp;pFin,rCat,critCat,rCtaE,critCta))</f>
        <v/>
      </c>
      <c r="V13" s="241">
        <f>IF(S13="",-1E+12-7,N(T13)+(301-7)/1E+7)</f>
        <v/>
      </c>
      <c r="W13" s="241">
        <f>IF(S13="","",SUMIFS(rGasto,rCom,S13,rHorm,1,rFecha,"&gt;="&amp;pIni,rFecha,"&lt;="&amp;pFin))</f>
        <v/>
      </c>
      <c r="X13" s="241">
        <f>IF(S13="","",COUNTIFS(rCom,S13,rHorm,1,rFecha,"&gt;="&amp;pIni,rFecha,"&lt;="&amp;pFin))</f>
        <v/>
      </c>
      <c r="Y13" s="241">
        <f>IF(S13="",-1E+12-7,N(W13)+(301-7)/1E+7)</f>
        <v/>
      </c>
      <c r="AA13" s="241">
        <f>INDEX(ctaNombre,7)&amp;""</f>
        <v/>
      </c>
      <c r="AB13" s="241">
        <f>IF(AA13="","",SUMIFS(rGasto,rCtaE,AA13,rFecha,"&gt;="&amp;pIni,rFecha,"&lt;="&amp;pFin,rCat,critCat))</f>
        <v/>
      </c>
      <c r="AC13" s="241">
        <f>IF(AA13="","",COUNTIFS(rCtaE,AA13,rTipoE,"Gasto",rFecha,"&gt;="&amp;pIni,rFecha,"&lt;="&amp;pFin,rCat,critCat))</f>
        <v/>
      </c>
      <c r="AD13" s="241">
        <f>IF(AA13="",-1E+12-7,N(AB13)+(100-7)/1E+7)</f>
        <v/>
      </c>
      <c r="AF13" s="241">
        <f>$F13</f>
        <v/>
      </c>
      <c r="AG13" s="241">
        <f>IF(AF13="","",SUMIFS(rGasto,rCat,AF13,rHorm,1,rFecha,"&gt;="&amp;pIni,rFecha,"&lt;="&amp;pFin))</f>
        <v/>
      </c>
      <c r="AH13" s="241">
        <f>IF(AF13="","",COUNTIFS(rCat,AF13,rHorm,1,rFecha,"&gt;="&amp;pIni,rFecha,"&lt;="&amp;pFin))</f>
        <v/>
      </c>
      <c r="AI13" s="241">
        <f>IF(AF13="",-1E+12-7,N(AG13)+(100-7)/1E+7)</f>
        <v/>
      </c>
      <c r="AK13" s="243">
        <f>EDATE(refMes,-5)</f>
        <v/>
      </c>
      <c r="AL13" s="241">
        <f>CHOOSE(MONTH(AK13),"Ene","Feb","Mar","Abr","May","Jun","Jul","Ago","Sep","Oct","Nov","Dic")&amp;" "&amp;RIGHT(YEAR(AK13),2)</f>
        <v/>
      </c>
      <c r="AM13" s="244">
        <f>SUMIFS(rIng,rFecha,"&gt;="&amp;AK13,rFecha,"&lt;="&amp;EOMONTH(AK13,0),rCtaE,critCta)</f>
        <v/>
      </c>
      <c r="AN13" s="244">
        <f>SUMIFS(rGasto,rFecha,"&gt;="&amp;AK13,rFecha,"&lt;="&amp;EOMONTH(AK13,0),rCat,critCat,rCtaE,critCta)</f>
        <v/>
      </c>
      <c r="AO13" s="244">
        <f>AM13-AN13</f>
        <v/>
      </c>
      <c r="AP13" s="244">
        <f>SUMIFS(rGasto,rFecha,"&gt;="&amp;AK13,rFecha,"&lt;="&amp;EOMONTH(AK13,0),rClasE,"Fijo",rCat,critCat,rCtaE,critCta)</f>
        <v/>
      </c>
      <c r="AQ13" s="244">
        <f>SUMIFS(rGasto,rFecha,"&gt;="&amp;AK13,rFecha,"&lt;="&amp;EOMONTH(AK13,0),rClasE,"Variable",rCat,critCat,rCtaE,critCta)</f>
        <v/>
      </c>
      <c r="AR13" s="244">
        <f>SUMIFS(rGasto,rFecha,"&gt;="&amp;AK13,rFecha,"&lt;="&amp;EOMONTH(AK13,0),rGrupo,gCP)</f>
        <v/>
      </c>
      <c r="AS13" s="244">
        <f>SUMIFS(rGasto,rFecha,"&gt;="&amp;AK13,rFecha,"&lt;="&amp;EOMONTH(AK13,0),rGrupo,gSI)</f>
        <v/>
      </c>
      <c r="AT13" s="244">
        <f>SUMIFS(rGasto,rFecha,"&gt;="&amp;AK13,rFecha,"&lt;="&amp;EOMONTH(AK13,0),rGrupo,gBS)</f>
        <v/>
      </c>
      <c r="AU13" s="244">
        <f>SUMIFS(rGasto,rFecha,"&gt;="&amp;AK13,rFecha,"&lt;="&amp;EOMONTH(AK13,0),rHorm,1)</f>
        <v/>
      </c>
      <c r="AV13" s="244">
        <f>COUNTIFS(rFecha,"&gt;="&amp;AK13,rFecha,"&lt;="&amp;EOMONTH(AK13,0),rGrupo,gCP,rTipoE,"Gasto")</f>
        <v/>
      </c>
      <c r="AW13" s="244">
        <f>SUMIFS(rTrad,rFecha,"&gt;="&amp;AK13,rFecha,"&lt;="&amp;EOMONTH(AK13,0))</f>
        <v/>
      </c>
      <c r="AX13" s="245">
        <f>IF(AM13&gt;0,AO13/AM13,"")</f>
        <v/>
      </c>
      <c r="AZ13" s="246">
        <f>refSem-7*5</f>
        <v/>
      </c>
      <c r="BA13" s="241">
        <f>DAY(AZ13)&amp;" "&amp;CHOOSE(MONTH(AZ13),"Ene","Feb","Mar","Abr","May","Jun","Jul","Ago","Sep","Oct","Nov","Dic")</f>
        <v/>
      </c>
      <c r="BB13" s="241">
        <f>SUMIFS(rGasto,rFecha,"&gt;="&amp;AZ13,rFecha,"&lt;="&amp;AZ13+6,rCat,critCat,rCtaE,critCta)</f>
        <v/>
      </c>
      <c r="BC13" s="241">
        <f>SUMIFS(rGasto,rFecha,"&gt;="&amp;AZ13,rFecha,"&lt;="&amp;AZ13+6,rGrupo,gCP)</f>
        <v/>
      </c>
      <c r="BD13" s="241">
        <f>SUMIFS(rGasto,rFecha,"&gt;="&amp;AZ13,rFecha,"&lt;="&amp;AZ13+6,rGrupo,gSI)</f>
        <v/>
      </c>
      <c r="BE13" s="241">
        <f>SUMIFS(rGasto,rFecha,"&gt;="&amp;AZ13,rFecha,"&lt;="&amp;AZ13+6,rHorm,1)</f>
        <v/>
      </c>
      <c r="BG13" s="241" t="n">
        <v>7</v>
      </c>
      <c r="BH13" s="246">
        <f>IF(calIni+6&lt;=pFinEff,calIni+6,"")</f>
        <v/>
      </c>
      <c r="BI13" s="241">
        <f>IF(BH13="","",WEEKDAY(BH13,2))</f>
        <v/>
      </c>
      <c r="BJ13" s="241">
        <f>IF(BH13="","",SUMIFS(rGasto,rFecha,BH13,rGrupo,"?*"))</f>
        <v/>
      </c>
      <c r="BK13" s="241">
        <f>IF(BH13="","",SUMIFS(rGasto,rFecha,BH13,rGrupo,gCP))</f>
        <v/>
      </c>
      <c r="BL13" s="241">
        <f>IF(BH13="",-1E+12-7,N(BJ13)+(400-7)/1E+7)</f>
        <v/>
      </c>
      <c r="BN13" s="241" t="n">
        <v>7</v>
      </c>
      <c r="BO13" s="241" t="inlineStr">
        <is>
          <t>Domingo</t>
        </is>
      </c>
      <c r="BP13" s="244">
        <f>SUMIFS(rGasto,rGrupo,"?*",rDia,7,rFecha,"&gt;="&amp;pIni,rFecha,"&lt;="&amp;pFin)</f>
        <v/>
      </c>
      <c r="BQ13" s="244">
        <f>SUMIFS(rGasto,rGrupo,gCP,rDia,7,rFecha,"&gt;="&amp;pIni,rFecha,"&lt;="&amp;pFin)</f>
        <v/>
      </c>
      <c r="BR13" s="244">
        <f>COUNTIFS(rGrupo,gCP,rTipoE,"Gasto",rDia,7,rFecha,"&gt;="&amp;pIni,rFecha,"&lt;="&amp;pFin)</f>
        <v/>
      </c>
      <c r="BS13" s="244">
        <f>MAX(0,INT((pFinEff-(pIni+MOD(7-WEEKDAY(pIni,2),7)))/7)+1)</f>
        <v/>
      </c>
      <c r="BT13" s="244">
        <f>IF(BS13&gt;0,BP13/BS13,0)</f>
        <v/>
      </c>
      <c r="BU13" s="244">
        <f>IF(BS13&gt;0,BQ13/BS13,0)</f>
        <v/>
      </c>
      <c r="BW13" s="241" t="n">
        <v>7</v>
      </c>
      <c r="BX13" s="241">
        <f>IFERROR(IF(N(INDEX($G$7:$G$46,MATCH(LARGE($H$7:$H$46,7),$H$7:$H$46,0)))&gt;0,INDEX($F$7:$F$46,MATCH(LARGE($H$7:$H$46,7),$H$7:$H$46,0))&amp;"",""),"")</f>
        <v/>
      </c>
      <c r="BY13" s="244">
        <f>IF(BX13="","",INDEX($G$7:$G$46,MATCH(LARGE($H$7:$H$46,7),$H$7:$H$46,0)))</f>
        <v/>
      </c>
      <c r="BZ13" s="241">
        <f>IF(BX13="","",INDEX($I$7:$I$46,MATCH(LARGE($H$7:$H$46,7),$H$7:$H$46,0)))</f>
        <v/>
      </c>
      <c r="CB13" s="241" t="n">
        <v>7</v>
      </c>
      <c r="CC13" s="241">
        <f>IFERROR(IF(N(INDEX($M$7:$M$206,MATCH(LARGE($O$7:$O$206,7),$O$7:$O$206,0)))&gt;0,INDEX($P$7:$P$206,MATCH(LARGE($O$7:$O$206,7),$O$7:$O$206,0))&amp;"",""),"")</f>
        <v/>
      </c>
      <c r="CD13" s="244">
        <f>IF(CC13="","",INDEX($M$7:$M$206,MATCH(LARGE($O$7:$O$206,7),$O$7:$O$206,0)))</f>
        <v/>
      </c>
      <c r="CE13" s="241">
        <f>IF(CC13="","",INDEX($N$7:$N$206,MATCH(LARGE($O$7:$O$206,7),$O$7:$O$206,0)))</f>
        <v/>
      </c>
      <c r="CG13" s="241" t="n">
        <v>7</v>
      </c>
      <c r="CH13" s="241">
        <f>IFERROR(IF(N(INDEX($T$7:$T$306,MATCH(LARGE($V$7:$V$306,7),$V$7:$V$306,0)))&gt;0,INDEX($S$7:$S$306,MATCH(LARGE($V$7:$V$306,7),$V$7:$V$306,0))&amp;"",""),"")</f>
        <v/>
      </c>
      <c r="CI13" s="244">
        <f>IF(CH13="","",INDEX($T$7:$T$306,MATCH(LARGE($V$7:$V$306,7),$V$7:$V$306,0)))</f>
        <v/>
      </c>
      <c r="CJ13" s="241">
        <f>IF(CH13="","",INDEX($U$7:$U$306,MATCH(LARGE($V$7:$V$306,7),$V$7:$V$306,0)))</f>
        <v/>
      </c>
      <c r="CL13" s="241" t="n">
        <v>7</v>
      </c>
      <c r="CM13" s="241">
        <f>IFERROR(IF(N(INDEX($AB$7:$AB$36,MATCH(LARGE($AD$7:$AD$36,7),$AD$7:$AD$36,0)))&gt;0,INDEX($AA$7:$AA$36,MATCH(LARGE($AD$7:$AD$36,7),$AD$7:$AD$36,0))&amp;"",""),"")</f>
        <v/>
      </c>
      <c r="CN13" s="244">
        <f>IF(CM13="","",INDEX($AB$7:$AB$36,MATCH(LARGE($AD$7:$AD$36,7),$AD$7:$AD$36,0)))</f>
        <v/>
      </c>
      <c r="CO13" s="241">
        <f>IF(CM13="","",INDEX($AC$7:$AC$36,MATCH(LARGE($AD$7:$AD$36,7),$AD$7:$AD$36,0)))</f>
        <v/>
      </c>
      <c r="CQ13" s="241" t="n">
        <v>7</v>
      </c>
      <c r="CR13" s="241">
        <f>IFERROR(IF(N(INDEX($AG$7:$AG$46,MATCH(LARGE($AI$7:$AI$46,7),$AI$7:$AI$46,0)))&gt;0,INDEX($AF$7:$AF$46,MATCH(LARGE($AI$7:$AI$46,7),$AI$7:$AI$46,0))&amp;"",""),"")</f>
        <v/>
      </c>
      <c r="CS13" s="244">
        <f>IF(CR13="","",INDEX($AG$7:$AG$46,MATCH(LARGE($AI$7:$AI$46,7),$AI$7:$AI$46,0)))</f>
        <v/>
      </c>
      <c r="CT13" s="241">
        <f>IF(CR13="","",INDEX($AH$7:$AH$46,MATCH(LARGE($AI$7:$AI$46,7),$AI$7:$AI$46,0)))</f>
        <v/>
      </c>
      <c r="CV13" s="241" t="n">
        <v>7</v>
      </c>
      <c r="CW13" s="241">
        <f>IFERROR(IF(N(INDEX($W$7:$W$306,MATCH(LARGE($Y$7:$Y$306,7),$Y$7:$Y$306,0)))&gt;0,INDEX($S$7:$S$306,MATCH(LARGE($Y$7:$Y$306,7),$Y$7:$Y$306,0))&amp;"",""),"")</f>
        <v/>
      </c>
      <c r="CX13" s="244">
        <f>IF(CW13="","",INDEX($W$7:$W$306,MATCH(LARGE($Y$7:$Y$306,7),$Y$7:$Y$306,0)))</f>
        <v/>
      </c>
      <c r="CY13" s="241">
        <f>IF(CW13="","",INDEX($X$7:$X$306,MATCH(LARGE($Y$7:$Y$306,7),$Y$7:$Y$306,0)))</f>
        <v/>
      </c>
      <c r="DA13" s="241" t="n">
        <v>7</v>
      </c>
      <c r="DB13" s="246">
        <f>IFERROR(IF(N(INDEX($BJ$7:$BJ$372,MATCH(LARGE($BL$7:$BL$372,7),$BL$7:$BL$372,0)))&gt;0,INDEX($BH$7:$BH$372,MATCH(LARGE($BL$7:$BL$372,7),$BL$7:$BL$372,0)),""),"")</f>
        <v/>
      </c>
      <c r="DC13" s="241">
        <f>IF(DB13="","",INDEX($BJ$7:$BJ$372,MATCH(LARGE($BL$7:$BL$372,7),$BL$7:$BL$372,0)))</f>
        <v/>
      </c>
      <c r="DD13" s="241">
        <f>IF(DB13="","",INDEX($BK$7:$BK$372,MATCH(LARGE($BL$7:$BL$372,7),$BL$7:$BL$372,0)))</f>
        <v/>
      </c>
    </row>
    <row r="14">
      <c r="B14" s="241" t="inlineStr">
        <is>
          <t>Fin efectivo (para promedios)</t>
        </is>
      </c>
      <c r="C14" s="242">
        <f>pIni+pDias-1</f>
        <v/>
      </c>
      <c r="E14" s="241" t="n">
        <v>8</v>
      </c>
      <c r="F14" s="241">
        <f>IFERROR(INDEX(catUList,8)&amp;"","")</f>
        <v/>
      </c>
      <c r="G14" s="241">
        <f>IF(F14="","",SUMIFS(rGasto,rCat,F14,rFecha,"&gt;="&amp;pIni,rFecha,"&lt;="&amp;pFin,rCtaE,critCta))</f>
        <v/>
      </c>
      <c r="H14" s="241">
        <f>IF(F14="",-1E+12-8,N(G14)+(100-8)/1E+7)</f>
        <v/>
      </c>
      <c r="I14" s="241">
        <f>IF(F14="","",COUNTIFS(rCat,F14,rTipoE,"Gasto",rFecha,"&gt;="&amp;pIni,rFecha,"&lt;="&amp;pFin,rCtaE,critCta))</f>
        <v/>
      </c>
      <c r="K14" s="241">
        <f>INDEX(catCat,8)&amp;""</f>
        <v/>
      </c>
      <c r="L14" s="241">
        <f>INDEX(catSub,8)&amp;""</f>
        <v/>
      </c>
      <c r="M14" s="241">
        <f>IF(OR(K14="",L14="",INDEX(catTipo,8)&amp;""&lt;&gt;"Gasto"),"",IF(AND(critCat&lt;&gt;"&lt;&gt;@@@",K14&lt;&gt;critCat),0,SUMIFS(rGasto,rCat,K14,rSub,L14,rFecha,"&gt;="&amp;pIni,rFecha,"&lt;="&amp;pFin,rCtaE,critCta)))</f>
        <v/>
      </c>
      <c r="N14" s="241">
        <f>IF(M14="","",IF(AND(critCat&lt;&gt;"&lt;&gt;@@@",K14&lt;&gt;critCat),0,COUNTIFS(rCat,K14,rSub,L14,rTipoE,"Gasto",rFecha,"&gt;="&amp;pIni,rFecha,"&lt;="&amp;pFin,rCtaE,critCta)))</f>
        <v/>
      </c>
      <c r="O14" s="241">
        <f>IF(M14="",-1E+12-8,N(M14)+(201-8)/1E+7)</f>
        <v/>
      </c>
      <c r="P14" s="241">
        <f>L14&amp;" · "&amp;K14</f>
        <v/>
      </c>
      <c r="R14" s="241" t="n">
        <v>8</v>
      </c>
      <c r="S14" s="241">
        <f>IFERROR(INDEX(rCom,MATCH(8,rComIdx,0))&amp;"","")</f>
        <v/>
      </c>
      <c r="T14" s="241">
        <f>IF(S14="","",SUMIFS(rGasto,rCom,S14,rFecha,"&gt;="&amp;pIni,rFecha,"&lt;="&amp;pFin,rCat,critCat,rCtaE,critCta))</f>
        <v/>
      </c>
      <c r="U14" s="241">
        <f>IF(S14="","",COUNTIFS(rCom,S14,rTipoE,"Gasto",rFecha,"&gt;="&amp;pIni,rFecha,"&lt;="&amp;pFin,rCat,critCat,rCtaE,critCta))</f>
        <v/>
      </c>
      <c r="V14" s="241">
        <f>IF(S14="",-1E+12-8,N(T14)+(301-8)/1E+7)</f>
        <v/>
      </c>
      <c r="W14" s="241">
        <f>IF(S14="","",SUMIFS(rGasto,rCom,S14,rHorm,1,rFecha,"&gt;="&amp;pIni,rFecha,"&lt;="&amp;pFin))</f>
        <v/>
      </c>
      <c r="X14" s="241">
        <f>IF(S14="","",COUNTIFS(rCom,S14,rHorm,1,rFecha,"&gt;="&amp;pIni,rFecha,"&lt;="&amp;pFin))</f>
        <v/>
      </c>
      <c r="Y14" s="241">
        <f>IF(S14="",-1E+12-8,N(W14)+(301-8)/1E+7)</f>
        <v/>
      </c>
      <c r="AA14" s="241">
        <f>INDEX(ctaNombre,8)&amp;""</f>
        <v/>
      </c>
      <c r="AB14" s="241">
        <f>IF(AA14="","",SUMIFS(rGasto,rCtaE,AA14,rFecha,"&gt;="&amp;pIni,rFecha,"&lt;="&amp;pFin,rCat,critCat))</f>
        <v/>
      </c>
      <c r="AC14" s="241">
        <f>IF(AA14="","",COUNTIFS(rCtaE,AA14,rTipoE,"Gasto",rFecha,"&gt;="&amp;pIni,rFecha,"&lt;="&amp;pFin,rCat,critCat))</f>
        <v/>
      </c>
      <c r="AD14" s="241">
        <f>IF(AA14="",-1E+12-8,N(AB14)+(100-8)/1E+7)</f>
        <v/>
      </c>
      <c r="AF14" s="241">
        <f>$F14</f>
        <v/>
      </c>
      <c r="AG14" s="241">
        <f>IF(AF14="","",SUMIFS(rGasto,rCat,AF14,rHorm,1,rFecha,"&gt;="&amp;pIni,rFecha,"&lt;="&amp;pFin))</f>
        <v/>
      </c>
      <c r="AH14" s="241">
        <f>IF(AF14="","",COUNTIFS(rCat,AF14,rHorm,1,rFecha,"&gt;="&amp;pIni,rFecha,"&lt;="&amp;pFin))</f>
        <v/>
      </c>
      <c r="AI14" s="241">
        <f>IF(AF14="",-1E+12-8,N(AG14)+(100-8)/1E+7)</f>
        <v/>
      </c>
      <c r="AK14" s="243">
        <f>EDATE(refMes,-4)</f>
        <v/>
      </c>
      <c r="AL14" s="241">
        <f>CHOOSE(MONTH(AK14),"Ene","Feb","Mar","Abr","May","Jun","Jul","Ago","Sep","Oct","Nov","Dic")&amp;" "&amp;RIGHT(YEAR(AK14),2)</f>
        <v/>
      </c>
      <c r="AM14" s="244">
        <f>SUMIFS(rIng,rFecha,"&gt;="&amp;AK14,rFecha,"&lt;="&amp;EOMONTH(AK14,0),rCtaE,critCta)</f>
        <v/>
      </c>
      <c r="AN14" s="244">
        <f>SUMIFS(rGasto,rFecha,"&gt;="&amp;AK14,rFecha,"&lt;="&amp;EOMONTH(AK14,0),rCat,critCat,rCtaE,critCta)</f>
        <v/>
      </c>
      <c r="AO14" s="244">
        <f>AM14-AN14</f>
        <v/>
      </c>
      <c r="AP14" s="244">
        <f>SUMIFS(rGasto,rFecha,"&gt;="&amp;AK14,rFecha,"&lt;="&amp;EOMONTH(AK14,0),rClasE,"Fijo",rCat,critCat,rCtaE,critCta)</f>
        <v/>
      </c>
      <c r="AQ14" s="244">
        <f>SUMIFS(rGasto,rFecha,"&gt;="&amp;AK14,rFecha,"&lt;="&amp;EOMONTH(AK14,0),rClasE,"Variable",rCat,critCat,rCtaE,critCta)</f>
        <v/>
      </c>
      <c r="AR14" s="244">
        <f>SUMIFS(rGasto,rFecha,"&gt;="&amp;AK14,rFecha,"&lt;="&amp;EOMONTH(AK14,0),rGrupo,gCP)</f>
        <v/>
      </c>
      <c r="AS14" s="244">
        <f>SUMIFS(rGasto,rFecha,"&gt;="&amp;AK14,rFecha,"&lt;="&amp;EOMONTH(AK14,0),rGrupo,gSI)</f>
        <v/>
      </c>
      <c r="AT14" s="244">
        <f>SUMIFS(rGasto,rFecha,"&gt;="&amp;AK14,rFecha,"&lt;="&amp;EOMONTH(AK14,0),rGrupo,gBS)</f>
        <v/>
      </c>
      <c r="AU14" s="244">
        <f>SUMIFS(rGasto,rFecha,"&gt;="&amp;AK14,rFecha,"&lt;="&amp;EOMONTH(AK14,0),rHorm,1)</f>
        <v/>
      </c>
      <c r="AV14" s="244">
        <f>COUNTIFS(rFecha,"&gt;="&amp;AK14,rFecha,"&lt;="&amp;EOMONTH(AK14,0),rGrupo,gCP,rTipoE,"Gasto")</f>
        <v/>
      </c>
      <c r="AW14" s="244">
        <f>SUMIFS(rTrad,rFecha,"&gt;="&amp;AK14,rFecha,"&lt;="&amp;EOMONTH(AK14,0))</f>
        <v/>
      </c>
      <c r="AX14" s="245">
        <f>IF(AM14&gt;0,AO14/AM14,"")</f>
        <v/>
      </c>
      <c r="AZ14" s="246">
        <f>refSem-7*4</f>
        <v/>
      </c>
      <c r="BA14" s="241">
        <f>DAY(AZ14)&amp;" "&amp;CHOOSE(MONTH(AZ14),"Ene","Feb","Mar","Abr","May","Jun","Jul","Ago","Sep","Oct","Nov","Dic")</f>
        <v/>
      </c>
      <c r="BB14" s="241">
        <f>SUMIFS(rGasto,rFecha,"&gt;="&amp;AZ14,rFecha,"&lt;="&amp;AZ14+6,rCat,critCat,rCtaE,critCta)</f>
        <v/>
      </c>
      <c r="BC14" s="241">
        <f>SUMIFS(rGasto,rFecha,"&gt;="&amp;AZ14,rFecha,"&lt;="&amp;AZ14+6,rGrupo,gCP)</f>
        <v/>
      </c>
      <c r="BD14" s="241">
        <f>SUMIFS(rGasto,rFecha,"&gt;="&amp;AZ14,rFecha,"&lt;="&amp;AZ14+6,rGrupo,gSI)</f>
        <v/>
      </c>
      <c r="BE14" s="241">
        <f>SUMIFS(rGasto,rFecha,"&gt;="&amp;AZ14,rFecha,"&lt;="&amp;AZ14+6,rHorm,1)</f>
        <v/>
      </c>
      <c r="BG14" s="241" t="n">
        <v>8</v>
      </c>
      <c r="BH14" s="246">
        <f>IF(calIni+7&lt;=pFinEff,calIni+7,"")</f>
        <v/>
      </c>
      <c r="BI14" s="241">
        <f>IF(BH14="","",WEEKDAY(BH14,2))</f>
        <v/>
      </c>
      <c r="BJ14" s="241">
        <f>IF(BH14="","",SUMIFS(rGasto,rFecha,BH14,rGrupo,"?*"))</f>
        <v/>
      </c>
      <c r="BK14" s="241">
        <f>IF(BH14="","",SUMIFS(rGasto,rFecha,BH14,rGrupo,gCP))</f>
        <v/>
      </c>
      <c r="BL14" s="241">
        <f>IF(BH14="",-1E+12-8,N(BJ14)+(400-8)/1E+7)</f>
        <v/>
      </c>
      <c r="BW14" s="241" t="n">
        <v>8</v>
      </c>
      <c r="BX14" s="241">
        <f>IFERROR(IF(N(INDEX($G$7:$G$46,MATCH(LARGE($H$7:$H$46,8),$H$7:$H$46,0)))&gt;0,INDEX($F$7:$F$46,MATCH(LARGE($H$7:$H$46,8),$H$7:$H$46,0))&amp;"",""),"")</f>
        <v/>
      </c>
      <c r="BY14" s="244">
        <f>IF(BX14="","",INDEX($G$7:$G$46,MATCH(LARGE($H$7:$H$46,8),$H$7:$H$46,0)))</f>
        <v/>
      </c>
      <c r="BZ14" s="241">
        <f>IF(BX14="","",INDEX($I$7:$I$46,MATCH(LARGE($H$7:$H$46,8),$H$7:$H$46,0)))</f>
        <v/>
      </c>
      <c r="CB14" s="241" t="n">
        <v>8</v>
      </c>
      <c r="CC14" s="241">
        <f>IFERROR(IF(N(INDEX($M$7:$M$206,MATCH(LARGE($O$7:$O$206,8),$O$7:$O$206,0)))&gt;0,INDEX($P$7:$P$206,MATCH(LARGE($O$7:$O$206,8),$O$7:$O$206,0))&amp;"",""),"")</f>
        <v/>
      </c>
      <c r="CD14" s="244">
        <f>IF(CC14="","",INDEX($M$7:$M$206,MATCH(LARGE($O$7:$O$206,8),$O$7:$O$206,0)))</f>
        <v/>
      </c>
      <c r="CE14" s="241">
        <f>IF(CC14="","",INDEX($N$7:$N$206,MATCH(LARGE($O$7:$O$206,8),$O$7:$O$206,0)))</f>
        <v/>
      </c>
      <c r="CG14" s="241" t="n">
        <v>8</v>
      </c>
      <c r="CH14" s="241">
        <f>IFERROR(IF(N(INDEX($T$7:$T$306,MATCH(LARGE($V$7:$V$306,8),$V$7:$V$306,0)))&gt;0,INDEX($S$7:$S$306,MATCH(LARGE($V$7:$V$306,8),$V$7:$V$306,0))&amp;"",""),"")</f>
        <v/>
      </c>
      <c r="CI14" s="244">
        <f>IF(CH14="","",INDEX($T$7:$T$306,MATCH(LARGE($V$7:$V$306,8),$V$7:$V$306,0)))</f>
        <v/>
      </c>
      <c r="CJ14" s="241">
        <f>IF(CH14="","",INDEX($U$7:$U$306,MATCH(LARGE($V$7:$V$306,8),$V$7:$V$306,0)))</f>
        <v/>
      </c>
      <c r="CL14" s="241" t="n">
        <v>8</v>
      </c>
      <c r="CM14" s="241">
        <f>IFERROR(IF(N(INDEX($AB$7:$AB$36,MATCH(LARGE($AD$7:$AD$36,8),$AD$7:$AD$36,0)))&gt;0,INDEX($AA$7:$AA$36,MATCH(LARGE($AD$7:$AD$36,8),$AD$7:$AD$36,0))&amp;"",""),"")</f>
        <v/>
      </c>
      <c r="CN14" s="244">
        <f>IF(CM14="","",INDEX($AB$7:$AB$36,MATCH(LARGE($AD$7:$AD$36,8),$AD$7:$AD$36,0)))</f>
        <v/>
      </c>
      <c r="CO14" s="241">
        <f>IF(CM14="","",INDEX($AC$7:$AC$36,MATCH(LARGE($AD$7:$AD$36,8),$AD$7:$AD$36,0)))</f>
        <v/>
      </c>
      <c r="CQ14" s="241" t="n">
        <v>8</v>
      </c>
      <c r="CR14" s="241">
        <f>IFERROR(IF(N(INDEX($AG$7:$AG$46,MATCH(LARGE($AI$7:$AI$46,8),$AI$7:$AI$46,0)))&gt;0,INDEX($AF$7:$AF$46,MATCH(LARGE($AI$7:$AI$46,8),$AI$7:$AI$46,0))&amp;"",""),"")</f>
        <v/>
      </c>
      <c r="CS14" s="244">
        <f>IF(CR14="","",INDEX($AG$7:$AG$46,MATCH(LARGE($AI$7:$AI$46,8),$AI$7:$AI$46,0)))</f>
        <v/>
      </c>
      <c r="CT14" s="241">
        <f>IF(CR14="","",INDEX($AH$7:$AH$46,MATCH(LARGE($AI$7:$AI$46,8),$AI$7:$AI$46,0)))</f>
        <v/>
      </c>
      <c r="CV14" s="241" t="n">
        <v>8</v>
      </c>
      <c r="CW14" s="241">
        <f>IFERROR(IF(N(INDEX($W$7:$W$306,MATCH(LARGE($Y$7:$Y$306,8),$Y$7:$Y$306,0)))&gt;0,INDEX($S$7:$S$306,MATCH(LARGE($Y$7:$Y$306,8),$Y$7:$Y$306,0))&amp;"",""),"")</f>
        <v/>
      </c>
      <c r="CX14" s="244">
        <f>IF(CW14="","",INDEX($W$7:$W$306,MATCH(LARGE($Y$7:$Y$306,8),$Y$7:$Y$306,0)))</f>
        <v/>
      </c>
      <c r="CY14" s="241">
        <f>IF(CW14="","",INDEX($X$7:$X$306,MATCH(LARGE($Y$7:$Y$306,8),$Y$7:$Y$306,0)))</f>
        <v/>
      </c>
    </row>
    <row r="15">
      <c r="B15" s="241" t="inlineStr">
        <is>
          <t>Criterio categoría</t>
        </is>
      </c>
      <c r="C15" s="207">
        <f>IF(OR(fCat="",fCat="Todas"),"&lt;&gt;@@@",fCat)</f>
        <v/>
      </c>
      <c r="E15" s="241" t="n">
        <v>9</v>
      </c>
      <c r="F15" s="241">
        <f>IFERROR(INDEX(catUList,9)&amp;"","")</f>
        <v/>
      </c>
      <c r="G15" s="241">
        <f>IF(F15="","",SUMIFS(rGasto,rCat,F15,rFecha,"&gt;="&amp;pIni,rFecha,"&lt;="&amp;pFin,rCtaE,critCta))</f>
        <v/>
      </c>
      <c r="H15" s="241">
        <f>IF(F15="",-1E+12-9,N(G15)+(100-9)/1E+7)</f>
        <v/>
      </c>
      <c r="I15" s="241">
        <f>IF(F15="","",COUNTIFS(rCat,F15,rTipoE,"Gasto",rFecha,"&gt;="&amp;pIni,rFecha,"&lt;="&amp;pFin,rCtaE,critCta))</f>
        <v/>
      </c>
      <c r="K15" s="241">
        <f>INDEX(catCat,9)&amp;""</f>
        <v/>
      </c>
      <c r="L15" s="241">
        <f>INDEX(catSub,9)&amp;""</f>
        <v/>
      </c>
      <c r="M15" s="241">
        <f>IF(OR(K15="",L15="",INDEX(catTipo,9)&amp;""&lt;&gt;"Gasto"),"",IF(AND(critCat&lt;&gt;"&lt;&gt;@@@",K15&lt;&gt;critCat),0,SUMIFS(rGasto,rCat,K15,rSub,L15,rFecha,"&gt;="&amp;pIni,rFecha,"&lt;="&amp;pFin,rCtaE,critCta)))</f>
        <v/>
      </c>
      <c r="N15" s="241">
        <f>IF(M15="","",IF(AND(critCat&lt;&gt;"&lt;&gt;@@@",K15&lt;&gt;critCat),0,COUNTIFS(rCat,K15,rSub,L15,rTipoE,"Gasto",rFecha,"&gt;="&amp;pIni,rFecha,"&lt;="&amp;pFin,rCtaE,critCta)))</f>
        <v/>
      </c>
      <c r="O15" s="241">
        <f>IF(M15="",-1E+12-9,N(M15)+(201-9)/1E+7)</f>
        <v/>
      </c>
      <c r="P15" s="241">
        <f>L15&amp;" · "&amp;K15</f>
        <v/>
      </c>
      <c r="R15" s="241" t="n">
        <v>9</v>
      </c>
      <c r="S15" s="241">
        <f>IFERROR(INDEX(rCom,MATCH(9,rComIdx,0))&amp;"","")</f>
        <v/>
      </c>
      <c r="T15" s="241">
        <f>IF(S15="","",SUMIFS(rGasto,rCom,S15,rFecha,"&gt;="&amp;pIni,rFecha,"&lt;="&amp;pFin,rCat,critCat,rCtaE,critCta))</f>
        <v/>
      </c>
      <c r="U15" s="241">
        <f>IF(S15="","",COUNTIFS(rCom,S15,rTipoE,"Gasto",rFecha,"&gt;="&amp;pIni,rFecha,"&lt;="&amp;pFin,rCat,critCat,rCtaE,critCta))</f>
        <v/>
      </c>
      <c r="V15" s="241">
        <f>IF(S15="",-1E+12-9,N(T15)+(301-9)/1E+7)</f>
        <v/>
      </c>
      <c r="W15" s="241">
        <f>IF(S15="","",SUMIFS(rGasto,rCom,S15,rHorm,1,rFecha,"&gt;="&amp;pIni,rFecha,"&lt;="&amp;pFin))</f>
        <v/>
      </c>
      <c r="X15" s="241">
        <f>IF(S15="","",COUNTIFS(rCom,S15,rHorm,1,rFecha,"&gt;="&amp;pIni,rFecha,"&lt;="&amp;pFin))</f>
        <v/>
      </c>
      <c r="Y15" s="241">
        <f>IF(S15="",-1E+12-9,N(W15)+(301-9)/1E+7)</f>
        <v/>
      </c>
      <c r="AA15" s="241">
        <f>INDEX(ctaNombre,9)&amp;""</f>
        <v/>
      </c>
      <c r="AB15" s="241">
        <f>IF(AA15="","",SUMIFS(rGasto,rCtaE,AA15,rFecha,"&gt;="&amp;pIni,rFecha,"&lt;="&amp;pFin,rCat,critCat))</f>
        <v/>
      </c>
      <c r="AC15" s="241">
        <f>IF(AA15="","",COUNTIFS(rCtaE,AA15,rTipoE,"Gasto",rFecha,"&gt;="&amp;pIni,rFecha,"&lt;="&amp;pFin,rCat,critCat))</f>
        <v/>
      </c>
      <c r="AD15" s="241">
        <f>IF(AA15="",-1E+12-9,N(AB15)+(100-9)/1E+7)</f>
        <v/>
      </c>
      <c r="AF15" s="241">
        <f>$F15</f>
        <v/>
      </c>
      <c r="AG15" s="241">
        <f>IF(AF15="","",SUMIFS(rGasto,rCat,AF15,rHorm,1,rFecha,"&gt;="&amp;pIni,rFecha,"&lt;="&amp;pFin))</f>
        <v/>
      </c>
      <c r="AH15" s="241">
        <f>IF(AF15="","",COUNTIFS(rCat,AF15,rHorm,1,rFecha,"&gt;="&amp;pIni,rFecha,"&lt;="&amp;pFin))</f>
        <v/>
      </c>
      <c r="AI15" s="241">
        <f>IF(AF15="",-1E+12-9,N(AG15)+(100-9)/1E+7)</f>
        <v/>
      </c>
      <c r="AK15" s="243">
        <f>EDATE(refMes,-3)</f>
        <v/>
      </c>
      <c r="AL15" s="241">
        <f>CHOOSE(MONTH(AK15),"Ene","Feb","Mar","Abr","May","Jun","Jul","Ago","Sep","Oct","Nov","Dic")&amp;" "&amp;RIGHT(YEAR(AK15),2)</f>
        <v/>
      </c>
      <c r="AM15" s="244">
        <f>SUMIFS(rIng,rFecha,"&gt;="&amp;AK15,rFecha,"&lt;="&amp;EOMONTH(AK15,0),rCtaE,critCta)</f>
        <v/>
      </c>
      <c r="AN15" s="244">
        <f>SUMIFS(rGasto,rFecha,"&gt;="&amp;AK15,rFecha,"&lt;="&amp;EOMONTH(AK15,0),rCat,critCat,rCtaE,critCta)</f>
        <v/>
      </c>
      <c r="AO15" s="244">
        <f>AM15-AN15</f>
        <v/>
      </c>
      <c r="AP15" s="244">
        <f>SUMIFS(rGasto,rFecha,"&gt;="&amp;AK15,rFecha,"&lt;="&amp;EOMONTH(AK15,0),rClasE,"Fijo",rCat,critCat,rCtaE,critCta)</f>
        <v/>
      </c>
      <c r="AQ15" s="244">
        <f>SUMIFS(rGasto,rFecha,"&gt;="&amp;AK15,rFecha,"&lt;="&amp;EOMONTH(AK15,0),rClasE,"Variable",rCat,critCat,rCtaE,critCta)</f>
        <v/>
      </c>
      <c r="AR15" s="244">
        <f>SUMIFS(rGasto,rFecha,"&gt;="&amp;AK15,rFecha,"&lt;="&amp;EOMONTH(AK15,0),rGrupo,gCP)</f>
        <v/>
      </c>
      <c r="AS15" s="244">
        <f>SUMIFS(rGasto,rFecha,"&gt;="&amp;AK15,rFecha,"&lt;="&amp;EOMONTH(AK15,0),rGrupo,gSI)</f>
        <v/>
      </c>
      <c r="AT15" s="244">
        <f>SUMIFS(rGasto,rFecha,"&gt;="&amp;AK15,rFecha,"&lt;="&amp;EOMONTH(AK15,0),rGrupo,gBS)</f>
        <v/>
      </c>
      <c r="AU15" s="244">
        <f>SUMIFS(rGasto,rFecha,"&gt;="&amp;AK15,rFecha,"&lt;="&amp;EOMONTH(AK15,0),rHorm,1)</f>
        <v/>
      </c>
      <c r="AV15" s="244">
        <f>COUNTIFS(rFecha,"&gt;="&amp;AK15,rFecha,"&lt;="&amp;EOMONTH(AK15,0),rGrupo,gCP,rTipoE,"Gasto")</f>
        <v/>
      </c>
      <c r="AW15" s="244">
        <f>SUMIFS(rTrad,rFecha,"&gt;="&amp;AK15,rFecha,"&lt;="&amp;EOMONTH(AK15,0))</f>
        <v/>
      </c>
      <c r="AX15" s="245">
        <f>IF(AM15&gt;0,AO15/AM15,"")</f>
        <v/>
      </c>
      <c r="AZ15" s="246">
        <f>refSem-7*3</f>
        <v/>
      </c>
      <c r="BA15" s="241">
        <f>DAY(AZ15)&amp;" "&amp;CHOOSE(MONTH(AZ15),"Ene","Feb","Mar","Abr","May","Jun","Jul","Ago","Sep","Oct","Nov","Dic")</f>
        <v/>
      </c>
      <c r="BB15" s="241">
        <f>SUMIFS(rGasto,rFecha,"&gt;="&amp;AZ15,rFecha,"&lt;="&amp;AZ15+6,rCat,critCat,rCtaE,critCta)</f>
        <v/>
      </c>
      <c r="BC15" s="241">
        <f>SUMIFS(rGasto,rFecha,"&gt;="&amp;AZ15,rFecha,"&lt;="&amp;AZ15+6,rGrupo,gCP)</f>
        <v/>
      </c>
      <c r="BD15" s="241">
        <f>SUMIFS(rGasto,rFecha,"&gt;="&amp;AZ15,rFecha,"&lt;="&amp;AZ15+6,rGrupo,gSI)</f>
        <v/>
      </c>
      <c r="BE15" s="241">
        <f>SUMIFS(rGasto,rFecha,"&gt;="&amp;AZ15,rFecha,"&lt;="&amp;AZ15+6,rHorm,1)</f>
        <v/>
      </c>
      <c r="BG15" s="241" t="n">
        <v>9</v>
      </c>
      <c r="BH15" s="246">
        <f>IF(calIni+8&lt;=pFinEff,calIni+8,"")</f>
        <v/>
      </c>
      <c r="BI15" s="241">
        <f>IF(BH15="","",WEEKDAY(BH15,2))</f>
        <v/>
      </c>
      <c r="BJ15" s="241">
        <f>IF(BH15="","",SUMIFS(rGasto,rFecha,BH15,rGrupo,"?*"))</f>
        <v/>
      </c>
      <c r="BK15" s="241">
        <f>IF(BH15="","",SUMIFS(rGasto,rFecha,BH15,rGrupo,gCP))</f>
        <v/>
      </c>
      <c r="BL15" s="241">
        <f>IF(BH15="",-1E+12-9,N(BJ15)+(400-9)/1E+7)</f>
        <v/>
      </c>
      <c r="BW15" s="241" t="n">
        <v>9</v>
      </c>
      <c r="BX15" s="241">
        <f>IFERROR(IF(N(INDEX($G$7:$G$46,MATCH(LARGE($H$7:$H$46,9),$H$7:$H$46,0)))&gt;0,INDEX($F$7:$F$46,MATCH(LARGE($H$7:$H$46,9),$H$7:$H$46,0))&amp;"",""),"")</f>
        <v/>
      </c>
      <c r="BY15" s="244">
        <f>IF(BX15="","",INDEX($G$7:$G$46,MATCH(LARGE($H$7:$H$46,9),$H$7:$H$46,0)))</f>
        <v/>
      </c>
      <c r="BZ15" s="241">
        <f>IF(BX15="","",INDEX($I$7:$I$46,MATCH(LARGE($H$7:$H$46,9),$H$7:$H$46,0)))</f>
        <v/>
      </c>
      <c r="CB15" s="241" t="n">
        <v>9</v>
      </c>
      <c r="CC15" s="241">
        <f>IFERROR(IF(N(INDEX($M$7:$M$206,MATCH(LARGE($O$7:$O$206,9),$O$7:$O$206,0)))&gt;0,INDEX($P$7:$P$206,MATCH(LARGE($O$7:$O$206,9),$O$7:$O$206,0))&amp;"",""),"")</f>
        <v/>
      </c>
      <c r="CD15" s="244">
        <f>IF(CC15="","",INDEX($M$7:$M$206,MATCH(LARGE($O$7:$O$206,9),$O$7:$O$206,0)))</f>
        <v/>
      </c>
      <c r="CE15" s="241">
        <f>IF(CC15="","",INDEX($N$7:$N$206,MATCH(LARGE($O$7:$O$206,9),$O$7:$O$206,0)))</f>
        <v/>
      </c>
      <c r="CG15" s="241" t="n">
        <v>9</v>
      </c>
      <c r="CH15" s="241">
        <f>IFERROR(IF(N(INDEX($T$7:$T$306,MATCH(LARGE($V$7:$V$306,9),$V$7:$V$306,0)))&gt;0,INDEX($S$7:$S$306,MATCH(LARGE($V$7:$V$306,9),$V$7:$V$306,0))&amp;"",""),"")</f>
        <v/>
      </c>
      <c r="CI15" s="244">
        <f>IF(CH15="","",INDEX($T$7:$T$306,MATCH(LARGE($V$7:$V$306,9),$V$7:$V$306,0)))</f>
        <v/>
      </c>
      <c r="CJ15" s="241">
        <f>IF(CH15="","",INDEX($U$7:$U$306,MATCH(LARGE($V$7:$V$306,9),$V$7:$V$306,0)))</f>
        <v/>
      </c>
      <c r="CQ15" s="241" t="n">
        <v>9</v>
      </c>
      <c r="CR15" s="241">
        <f>IFERROR(IF(N(INDEX($AG$7:$AG$46,MATCH(LARGE($AI$7:$AI$46,9),$AI$7:$AI$46,0)))&gt;0,INDEX($AF$7:$AF$46,MATCH(LARGE($AI$7:$AI$46,9),$AI$7:$AI$46,0))&amp;"",""),"")</f>
        <v/>
      </c>
      <c r="CS15" s="244">
        <f>IF(CR15="","",INDEX($AG$7:$AG$46,MATCH(LARGE($AI$7:$AI$46,9),$AI$7:$AI$46,0)))</f>
        <v/>
      </c>
      <c r="CT15" s="241">
        <f>IF(CR15="","",INDEX($AH$7:$AH$46,MATCH(LARGE($AI$7:$AI$46,9),$AI$7:$AI$46,0)))</f>
        <v/>
      </c>
      <c r="CV15" s="241" t="n">
        <v>9</v>
      </c>
      <c r="CW15" s="241">
        <f>IFERROR(IF(N(INDEX($W$7:$W$306,MATCH(LARGE($Y$7:$Y$306,9),$Y$7:$Y$306,0)))&gt;0,INDEX($S$7:$S$306,MATCH(LARGE($Y$7:$Y$306,9),$Y$7:$Y$306,0))&amp;"",""),"")</f>
        <v/>
      </c>
      <c r="CX15" s="244">
        <f>IF(CW15="","",INDEX($W$7:$W$306,MATCH(LARGE($Y$7:$Y$306,9),$Y$7:$Y$306,0)))</f>
        <v/>
      </c>
      <c r="CY15" s="241">
        <f>IF(CW15="","",INDEX($X$7:$X$306,MATCH(LARGE($Y$7:$Y$306,9),$Y$7:$Y$306,0)))</f>
        <v/>
      </c>
    </row>
    <row r="16">
      <c r="B16" s="241" t="inlineStr">
        <is>
          <t>Criterio cuenta</t>
        </is>
      </c>
      <c r="C16" s="207">
        <f>IF(OR(fCta="",fCta="Todas"),"&lt;&gt;@@@",fCta)</f>
        <v/>
      </c>
      <c r="E16" s="241" t="n">
        <v>10</v>
      </c>
      <c r="F16" s="241">
        <f>IFERROR(INDEX(catUList,10)&amp;"","")</f>
        <v/>
      </c>
      <c r="G16" s="241">
        <f>IF(F16="","",SUMIFS(rGasto,rCat,F16,rFecha,"&gt;="&amp;pIni,rFecha,"&lt;="&amp;pFin,rCtaE,critCta))</f>
        <v/>
      </c>
      <c r="H16" s="241">
        <f>IF(F16="",-1E+12-10,N(G16)+(100-10)/1E+7)</f>
        <v/>
      </c>
      <c r="I16" s="241">
        <f>IF(F16="","",COUNTIFS(rCat,F16,rTipoE,"Gasto",rFecha,"&gt;="&amp;pIni,rFecha,"&lt;="&amp;pFin,rCtaE,critCta))</f>
        <v/>
      </c>
      <c r="K16" s="241">
        <f>INDEX(catCat,10)&amp;""</f>
        <v/>
      </c>
      <c r="L16" s="241">
        <f>INDEX(catSub,10)&amp;""</f>
        <v/>
      </c>
      <c r="M16" s="241">
        <f>IF(OR(K16="",L16="",INDEX(catTipo,10)&amp;""&lt;&gt;"Gasto"),"",IF(AND(critCat&lt;&gt;"&lt;&gt;@@@",K16&lt;&gt;critCat),0,SUMIFS(rGasto,rCat,K16,rSub,L16,rFecha,"&gt;="&amp;pIni,rFecha,"&lt;="&amp;pFin,rCtaE,critCta)))</f>
        <v/>
      </c>
      <c r="N16" s="241">
        <f>IF(M16="","",IF(AND(critCat&lt;&gt;"&lt;&gt;@@@",K16&lt;&gt;critCat),0,COUNTIFS(rCat,K16,rSub,L16,rTipoE,"Gasto",rFecha,"&gt;="&amp;pIni,rFecha,"&lt;="&amp;pFin,rCtaE,critCta)))</f>
        <v/>
      </c>
      <c r="O16" s="241">
        <f>IF(M16="",-1E+12-10,N(M16)+(201-10)/1E+7)</f>
        <v/>
      </c>
      <c r="P16" s="241">
        <f>L16&amp;" · "&amp;K16</f>
        <v/>
      </c>
      <c r="R16" s="241" t="n">
        <v>10</v>
      </c>
      <c r="S16" s="241">
        <f>IFERROR(INDEX(rCom,MATCH(10,rComIdx,0))&amp;"","")</f>
        <v/>
      </c>
      <c r="T16" s="241">
        <f>IF(S16="","",SUMIFS(rGasto,rCom,S16,rFecha,"&gt;="&amp;pIni,rFecha,"&lt;="&amp;pFin,rCat,critCat,rCtaE,critCta))</f>
        <v/>
      </c>
      <c r="U16" s="241">
        <f>IF(S16="","",COUNTIFS(rCom,S16,rTipoE,"Gasto",rFecha,"&gt;="&amp;pIni,rFecha,"&lt;="&amp;pFin,rCat,critCat,rCtaE,critCta))</f>
        <v/>
      </c>
      <c r="V16" s="241">
        <f>IF(S16="",-1E+12-10,N(T16)+(301-10)/1E+7)</f>
        <v/>
      </c>
      <c r="W16" s="241">
        <f>IF(S16="","",SUMIFS(rGasto,rCom,S16,rHorm,1,rFecha,"&gt;="&amp;pIni,rFecha,"&lt;="&amp;pFin))</f>
        <v/>
      </c>
      <c r="X16" s="241">
        <f>IF(S16="","",COUNTIFS(rCom,S16,rHorm,1,rFecha,"&gt;="&amp;pIni,rFecha,"&lt;="&amp;pFin))</f>
        <v/>
      </c>
      <c r="Y16" s="241">
        <f>IF(S16="",-1E+12-10,N(W16)+(301-10)/1E+7)</f>
        <v/>
      </c>
      <c r="AA16" s="241">
        <f>INDEX(ctaNombre,10)&amp;""</f>
        <v/>
      </c>
      <c r="AB16" s="241">
        <f>IF(AA16="","",SUMIFS(rGasto,rCtaE,AA16,rFecha,"&gt;="&amp;pIni,rFecha,"&lt;="&amp;pFin,rCat,critCat))</f>
        <v/>
      </c>
      <c r="AC16" s="241">
        <f>IF(AA16="","",COUNTIFS(rCtaE,AA16,rTipoE,"Gasto",rFecha,"&gt;="&amp;pIni,rFecha,"&lt;="&amp;pFin,rCat,critCat))</f>
        <v/>
      </c>
      <c r="AD16" s="241">
        <f>IF(AA16="",-1E+12-10,N(AB16)+(100-10)/1E+7)</f>
        <v/>
      </c>
      <c r="AF16" s="241">
        <f>$F16</f>
        <v/>
      </c>
      <c r="AG16" s="241">
        <f>IF(AF16="","",SUMIFS(rGasto,rCat,AF16,rHorm,1,rFecha,"&gt;="&amp;pIni,rFecha,"&lt;="&amp;pFin))</f>
        <v/>
      </c>
      <c r="AH16" s="241">
        <f>IF(AF16="","",COUNTIFS(rCat,AF16,rHorm,1,rFecha,"&gt;="&amp;pIni,rFecha,"&lt;="&amp;pFin))</f>
        <v/>
      </c>
      <c r="AI16" s="241">
        <f>IF(AF16="",-1E+12-10,N(AG16)+(100-10)/1E+7)</f>
        <v/>
      </c>
      <c r="AK16" s="243">
        <f>EDATE(refMes,-2)</f>
        <v/>
      </c>
      <c r="AL16" s="241">
        <f>CHOOSE(MONTH(AK16),"Ene","Feb","Mar","Abr","May","Jun","Jul","Ago","Sep","Oct","Nov","Dic")&amp;" "&amp;RIGHT(YEAR(AK16),2)</f>
        <v/>
      </c>
      <c r="AM16" s="244">
        <f>SUMIFS(rIng,rFecha,"&gt;="&amp;AK16,rFecha,"&lt;="&amp;EOMONTH(AK16,0),rCtaE,critCta)</f>
        <v/>
      </c>
      <c r="AN16" s="244">
        <f>SUMIFS(rGasto,rFecha,"&gt;="&amp;AK16,rFecha,"&lt;="&amp;EOMONTH(AK16,0),rCat,critCat,rCtaE,critCta)</f>
        <v/>
      </c>
      <c r="AO16" s="244">
        <f>AM16-AN16</f>
        <v/>
      </c>
      <c r="AP16" s="244">
        <f>SUMIFS(rGasto,rFecha,"&gt;="&amp;AK16,rFecha,"&lt;="&amp;EOMONTH(AK16,0),rClasE,"Fijo",rCat,critCat,rCtaE,critCta)</f>
        <v/>
      </c>
      <c r="AQ16" s="244">
        <f>SUMIFS(rGasto,rFecha,"&gt;="&amp;AK16,rFecha,"&lt;="&amp;EOMONTH(AK16,0),rClasE,"Variable",rCat,critCat,rCtaE,critCta)</f>
        <v/>
      </c>
      <c r="AR16" s="244">
        <f>SUMIFS(rGasto,rFecha,"&gt;="&amp;AK16,rFecha,"&lt;="&amp;EOMONTH(AK16,0),rGrupo,gCP)</f>
        <v/>
      </c>
      <c r="AS16" s="244">
        <f>SUMIFS(rGasto,rFecha,"&gt;="&amp;AK16,rFecha,"&lt;="&amp;EOMONTH(AK16,0),rGrupo,gSI)</f>
        <v/>
      </c>
      <c r="AT16" s="244">
        <f>SUMIFS(rGasto,rFecha,"&gt;="&amp;AK16,rFecha,"&lt;="&amp;EOMONTH(AK16,0),rGrupo,gBS)</f>
        <v/>
      </c>
      <c r="AU16" s="244">
        <f>SUMIFS(rGasto,rFecha,"&gt;="&amp;AK16,rFecha,"&lt;="&amp;EOMONTH(AK16,0),rHorm,1)</f>
        <v/>
      </c>
      <c r="AV16" s="244">
        <f>COUNTIFS(rFecha,"&gt;="&amp;AK16,rFecha,"&lt;="&amp;EOMONTH(AK16,0),rGrupo,gCP,rTipoE,"Gasto")</f>
        <v/>
      </c>
      <c r="AW16" s="244">
        <f>SUMIFS(rTrad,rFecha,"&gt;="&amp;AK16,rFecha,"&lt;="&amp;EOMONTH(AK16,0))</f>
        <v/>
      </c>
      <c r="AX16" s="245">
        <f>IF(AM16&gt;0,AO16/AM16,"")</f>
        <v/>
      </c>
      <c r="AZ16" s="246">
        <f>refSem-7*2</f>
        <v/>
      </c>
      <c r="BA16" s="241">
        <f>DAY(AZ16)&amp;" "&amp;CHOOSE(MONTH(AZ16),"Ene","Feb","Mar","Abr","May","Jun","Jul","Ago","Sep","Oct","Nov","Dic")</f>
        <v/>
      </c>
      <c r="BB16" s="241">
        <f>SUMIFS(rGasto,rFecha,"&gt;="&amp;AZ16,rFecha,"&lt;="&amp;AZ16+6,rCat,critCat,rCtaE,critCta)</f>
        <v/>
      </c>
      <c r="BC16" s="241">
        <f>SUMIFS(rGasto,rFecha,"&gt;="&amp;AZ16,rFecha,"&lt;="&amp;AZ16+6,rGrupo,gCP)</f>
        <v/>
      </c>
      <c r="BD16" s="241">
        <f>SUMIFS(rGasto,rFecha,"&gt;="&amp;AZ16,rFecha,"&lt;="&amp;AZ16+6,rGrupo,gSI)</f>
        <v/>
      </c>
      <c r="BE16" s="241">
        <f>SUMIFS(rGasto,rFecha,"&gt;="&amp;AZ16,rFecha,"&lt;="&amp;AZ16+6,rHorm,1)</f>
        <v/>
      </c>
      <c r="BG16" s="241" t="n">
        <v>10</v>
      </c>
      <c r="BH16" s="246">
        <f>IF(calIni+9&lt;=pFinEff,calIni+9,"")</f>
        <v/>
      </c>
      <c r="BI16" s="241">
        <f>IF(BH16="","",WEEKDAY(BH16,2))</f>
        <v/>
      </c>
      <c r="BJ16" s="241">
        <f>IF(BH16="","",SUMIFS(rGasto,rFecha,BH16,rGrupo,"?*"))</f>
        <v/>
      </c>
      <c r="BK16" s="241">
        <f>IF(BH16="","",SUMIFS(rGasto,rFecha,BH16,rGrupo,gCP))</f>
        <v/>
      </c>
      <c r="BL16" s="241">
        <f>IF(BH16="",-1E+12-10,N(BJ16)+(400-10)/1E+7)</f>
        <v/>
      </c>
      <c r="BW16" s="241" t="n">
        <v>10</v>
      </c>
      <c r="BX16" s="241">
        <f>IFERROR(IF(N(INDEX($G$7:$G$46,MATCH(LARGE($H$7:$H$46,10),$H$7:$H$46,0)))&gt;0,INDEX($F$7:$F$46,MATCH(LARGE($H$7:$H$46,10),$H$7:$H$46,0))&amp;"",""),"")</f>
        <v/>
      </c>
      <c r="BY16" s="244">
        <f>IF(BX16="","",INDEX($G$7:$G$46,MATCH(LARGE($H$7:$H$46,10),$H$7:$H$46,0)))</f>
        <v/>
      </c>
      <c r="BZ16" s="241">
        <f>IF(BX16="","",INDEX($I$7:$I$46,MATCH(LARGE($H$7:$H$46,10),$H$7:$H$46,0)))</f>
        <v/>
      </c>
      <c r="CB16" s="241" t="n">
        <v>10</v>
      </c>
      <c r="CC16" s="241">
        <f>IFERROR(IF(N(INDEX($M$7:$M$206,MATCH(LARGE($O$7:$O$206,10),$O$7:$O$206,0)))&gt;0,INDEX($P$7:$P$206,MATCH(LARGE($O$7:$O$206,10),$O$7:$O$206,0))&amp;"",""),"")</f>
        <v/>
      </c>
      <c r="CD16" s="244">
        <f>IF(CC16="","",INDEX($M$7:$M$206,MATCH(LARGE($O$7:$O$206,10),$O$7:$O$206,0)))</f>
        <v/>
      </c>
      <c r="CE16" s="241">
        <f>IF(CC16="","",INDEX($N$7:$N$206,MATCH(LARGE($O$7:$O$206,10),$O$7:$O$206,0)))</f>
        <v/>
      </c>
      <c r="CG16" s="241" t="n">
        <v>10</v>
      </c>
      <c r="CH16" s="241">
        <f>IFERROR(IF(N(INDEX($T$7:$T$306,MATCH(LARGE($V$7:$V$306,10),$V$7:$V$306,0)))&gt;0,INDEX($S$7:$S$306,MATCH(LARGE($V$7:$V$306,10),$V$7:$V$306,0))&amp;"",""),"")</f>
        <v/>
      </c>
      <c r="CI16" s="244">
        <f>IF(CH16="","",INDEX($T$7:$T$306,MATCH(LARGE($V$7:$V$306,10),$V$7:$V$306,0)))</f>
        <v/>
      </c>
      <c r="CJ16" s="241">
        <f>IF(CH16="","",INDEX($U$7:$U$306,MATCH(LARGE($V$7:$V$306,10),$V$7:$V$306,0)))</f>
        <v/>
      </c>
      <c r="CQ16" s="241" t="n">
        <v>10</v>
      </c>
      <c r="CR16" s="241">
        <f>IFERROR(IF(N(INDEX($AG$7:$AG$46,MATCH(LARGE($AI$7:$AI$46,10),$AI$7:$AI$46,0)))&gt;0,INDEX($AF$7:$AF$46,MATCH(LARGE($AI$7:$AI$46,10),$AI$7:$AI$46,0))&amp;"",""),"")</f>
        <v/>
      </c>
      <c r="CS16" s="244">
        <f>IF(CR16="","",INDEX($AG$7:$AG$46,MATCH(LARGE($AI$7:$AI$46,10),$AI$7:$AI$46,0)))</f>
        <v/>
      </c>
      <c r="CT16" s="241">
        <f>IF(CR16="","",INDEX($AH$7:$AH$46,MATCH(LARGE($AI$7:$AI$46,10),$AI$7:$AI$46,0)))</f>
        <v/>
      </c>
      <c r="CV16" s="241" t="n">
        <v>10</v>
      </c>
      <c r="CW16" s="241">
        <f>IFERROR(IF(N(INDEX($W$7:$W$306,MATCH(LARGE($Y$7:$Y$306,10),$Y$7:$Y$306,0)))&gt;0,INDEX($S$7:$S$306,MATCH(LARGE($Y$7:$Y$306,10),$Y$7:$Y$306,0))&amp;"",""),"")</f>
        <v/>
      </c>
      <c r="CX16" s="244">
        <f>IF(CW16="","",INDEX($W$7:$W$306,MATCH(LARGE($Y$7:$Y$306,10),$Y$7:$Y$306,0)))</f>
        <v/>
      </c>
      <c r="CY16" s="241">
        <f>IF(CW16="","",INDEX($X$7:$X$306,MATCH(LARGE($Y$7:$Y$306,10),$Y$7:$Y$306,0)))</f>
        <v/>
      </c>
    </row>
    <row r="17">
      <c r="B17" s="241" t="inlineStr">
        <is>
          <t>Mes de referencia</t>
        </is>
      </c>
      <c r="C17" s="242">
        <f>DATE(YEAR(pFinEff),MONTH(pFinEff),1)</f>
        <v/>
      </c>
      <c r="E17" s="241" t="n">
        <v>11</v>
      </c>
      <c r="F17" s="241">
        <f>IFERROR(INDEX(catUList,11)&amp;"","")</f>
        <v/>
      </c>
      <c r="G17" s="241">
        <f>IF(F17="","",SUMIFS(rGasto,rCat,F17,rFecha,"&gt;="&amp;pIni,rFecha,"&lt;="&amp;pFin,rCtaE,critCta))</f>
        <v/>
      </c>
      <c r="H17" s="241">
        <f>IF(F17="",-1E+12-11,N(G17)+(100-11)/1E+7)</f>
        <v/>
      </c>
      <c r="I17" s="241">
        <f>IF(F17="","",COUNTIFS(rCat,F17,rTipoE,"Gasto",rFecha,"&gt;="&amp;pIni,rFecha,"&lt;="&amp;pFin,rCtaE,critCta))</f>
        <v/>
      </c>
      <c r="K17" s="241">
        <f>INDEX(catCat,11)&amp;""</f>
        <v/>
      </c>
      <c r="L17" s="241">
        <f>INDEX(catSub,11)&amp;""</f>
        <v/>
      </c>
      <c r="M17" s="241">
        <f>IF(OR(K17="",L17="",INDEX(catTipo,11)&amp;""&lt;&gt;"Gasto"),"",IF(AND(critCat&lt;&gt;"&lt;&gt;@@@",K17&lt;&gt;critCat),0,SUMIFS(rGasto,rCat,K17,rSub,L17,rFecha,"&gt;="&amp;pIni,rFecha,"&lt;="&amp;pFin,rCtaE,critCta)))</f>
        <v/>
      </c>
      <c r="N17" s="241">
        <f>IF(M17="","",IF(AND(critCat&lt;&gt;"&lt;&gt;@@@",K17&lt;&gt;critCat),0,COUNTIFS(rCat,K17,rSub,L17,rTipoE,"Gasto",rFecha,"&gt;="&amp;pIni,rFecha,"&lt;="&amp;pFin,rCtaE,critCta)))</f>
        <v/>
      </c>
      <c r="O17" s="241">
        <f>IF(M17="",-1E+12-11,N(M17)+(201-11)/1E+7)</f>
        <v/>
      </c>
      <c r="P17" s="241">
        <f>L17&amp;" · "&amp;K17</f>
        <v/>
      </c>
      <c r="R17" s="241" t="n">
        <v>11</v>
      </c>
      <c r="S17" s="241">
        <f>IFERROR(INDEX(rCom,MATCH(11,rComIdx,0))&amp;"","")</f>
        <v/>
      </c>
      <c r="T17" s="241">
        <f>IF(S17="","",SUMIFS(rGasto,rCom,S17,rFecha,"&gt;="&amp;pIni,rFecha,"&lt;="&amp;pFin,rCat,critCat,rCtaE,critCta))</f>
        <v/>
      </c>
      <c r="U17" s="241">
        <f>IF(S17="","",COUNTIFS(rCom,S17,rTipoE,"Gasto",rFecha,"&gt;="&amp;pIni,rFecha,"&lt;="&amp;pFin,rCat,critCat,rCtaE,critCta))</f>
        <v/>
      </c>
      <c r="V17" s="241">
        <f>IF(S17="",-1E+12-11,N(T17)+(301-11)/1E+7)</f>
        <v/>
      </c>
      <c r="W17" s="241">
        <f>IF(S17="","",SUMIFS(rGasto,rCom,S17,rHorm,1,rFecha,"&gt;="&amp;pIni,rFecha,"&lt;="&amp;pFin))</f>
        <v/>
      </c>
      <c r="X17" s="241">
        <f>IF(S17="","",COUNTIFS(rCom,S17,rHorm,1,rFecha,"&gt;="&amp;pIni,rFecha,"&lt;="&amp;pFin))</f>
        <v/>
      </c>
      <c r="Y17" s="241">
        <f>IF(S17="",-1E+12-11,N(W17)+(301-11)/1E+7)</f>
        <v/>
      </c>
      <c r="AA17" s="241">
        <f>INDEX(ctaNombre,11)&amp;""</f>
        <v/>
      </c>
      <c r="AB17" s="241">
        <f>IF(AA17="","",SUMIFS(rGasto,rCtaE,AA17,rFecha,"&gt;="&amp;pIni,rFecha,"&lt;="&amp;pFin,rCat,critCat))</f>
        <v/>
      </c>
      <c r="AC17" s="241">
        <f>IF(AA17="","",COUNTIFS(rCtaE,AA17,rTipoE,"Gasto",rFecha,"&gt;="&amp;pIni,rFecha,"&lt;="&amp;pFin,rCat,critCat))</f>
        <v/>
      </c>
      <c r="AD17" s="241">
        <f>IF(AA17="",-1E+12-11,N(AB17)+(100-11)/1E+7)</f>
        <v/>
      </c>
      <c r="AF17" s="241">
        <f>$F17</f>
        <v/>
      </c>
      <c r="AG17" s="241">
        <f>IF(AF17="","",SUMIFS(rGasto,rCat,AF17,rHorm,1,rFecha,"&gt;="&amp;pIni,rFecha,"&lt;="&amp;pFin))</f>
        <v/>
      </c>
      <c r="AH17" s="241">
        <f>IF(AF17="","",COUNTIFS(rCat,AF17,rHorm,1,rFecha,"&gt;="&amp;pIni,rFecha,"&lt;="&amp;pFin))</f>
        <v/>
      </c>
      <c r="AI17" s="241">
        <f>IF(AF17="",-1E+12-11,N(AG17)+(100-11)/1E+7)</f>
        <v/>
      </c>
      <c r="AK17" s="243">
        <f>EDATE(refMes,-1)</f>
        <v/>
      </c>
      <c r="AL17" s="241">
        <f>CHOOSE(MONTH(AK17),"Ene","Feb","Mar","Abr","May","Jun","Jul","Ago","Sep","Oct","Nov","Dic")&amp;" "&amp;RIGHT(YEAR(AK17),2)</f>
        <v/>
      </c>
      <c r="AM17" s="244">
        <f>SUMIFS(rIng,rFecha,"&gt;="&amp;AK17,rFecha,"&lt;="&amp;EOMONTH(AK17,0),rCtaE,critCta)</f>
        <v/>
      </c>
      <c r="AN17" s="244">
        <f>SUMIFS(rGasto,rFecha,"&gt;="&amp;AK17,rFecha,"&lt;="&amp;EOMONTH(AK17,0),rCat,critCat,rCtaE,critCta)</f>
        <v/>
      </c>
      <c r="AO17" s="244">
        <f>AM17-AN17</f>
        <v/>
      </c>
      <c r="AP17" s="244">
        <f>SUMIFS(rGasto,rFecha,"&gt;="&amp;AK17,rFecha,"&lt;="&amp;EOMONTH(AK17,0),rClasE,"Fijo",rCat,critCat,rCtaE,critCta)</f>
        <v/>
      </c>
      <c r="AQ17" s="244">
        <f>SUMIFS(rGasto,rFecha,"&gt;="&amp;AK17,rFecha,"&lt;="&amp;EOMONTH(AK17,0),rClasE,"Variable",rCat,critCat,rCtaE,critCta)</f>
        <v/>
      </c>
      <c r="AR17" s="244">
        <f>SUMIFS(rGasto,rFecha,"&gt;="&amp;AK17,rFecha,"&lt;="&amp;EOMONTH(AK17,0),rGrupo,gCP)</f>
        <v/>
      </c>
      <c r="AS17" s="244">
        <f>SUMIFS(rGasto,rFecha,"&gt;="&amp;AK17,rFecha,"&lt;="&amp;EOMONTH(AK17,0),rGrupo,gSI)</f>
        <v/>
      </c>
      <c r="AT17" s="244">
        <f>SUMIFS(rGasto,rFecha,"&gt;="&amp;AK17,rFecha,"&lt;="&amp;EOMONTH(AK17,0),rGrupo,gBS)</f>
        <v/>
      </c>
      <c r="AU17" s="244">
        <f>SUMIFS(rGasto,rFecha,"&gt;="&amp;AK17,rFecha,"&lt;="&amp;EOMONTH(AK17,0),rHorm,1)</f>
        <v/>
      </c>
      <c r="AV17" s="244">
        <f>COUNTIFS(rFecha,"&gt;="&amp;AK17,rFecha,"&lt;="&amp;EOMONTH(AK17,0),rGrupo,gCP,rTipoE,"Gasto")</f>
        <v/>
      </c>
      <c r="AW17" s="244">
        <f>SUMIFS(rTrad,rFecha,"&gt;="&amp;AK17,rFecha,"&lt;="&amp;EOMONTH(AK17,0))</f>
        <v/>
      </c>
      <c r="AX17" s="245">
        <f>IF(AM17&gt;0,AO17/AM17,"")</f>
        <v/>
      </c>
      <c r="AZ17" s="246">
        <f>refSem-7*1</f>
        <v/>
      </c>
      <c r="BA17" s="241">
        <f>DAY(AZ17)&amp;" "&amp;CHOOSE(MONTH(AZ17),"Ene","Feb","Mar","Abr","May","Jun","Jul","Ago","Sep","Oct","Nov","Dic")</f>
        <v/>
      </c>
      <c r="BB17" s="241">
        <f>SUMIFS(rGasto,rFecha,"&gt;="&amp;AZ17,rFecha,"&lt;="&amp;AZ17+6,rCat,critCat,rCtaE,critCta)</f>
        <v/>
      </c>
      <c r="BC17" s="241">
        <f>SUMIFS(rGasto,rFecha,"&gt;="&amp;AZ17,rFecha,"&lt;="&amp;AZ17+6,rGrupo,gCP)</f>
        <v/>
      </c>
      <c r="BD17" s="241">
        <f>SUMIFS(rGasto,rFecha,"&gt;="&amp;AZ17,rFecha,"&lt;="&amp;AZ17+6,rGrupo,gSI)</f>
        <v/>
      </c>
      <c r="BE17" s="241">
        <f>SUMIFS(rGasto,rFecha,"&gt;="&amp;AZ17,rFecha,"&lt;="&amp;AZ17+6,rHorm,1)</f>
        <v/>
      </c>
      <c r="BG17" s="241" t="n">
        <v>11</v>
      </c>
      <c r="BH17" s="246">
        <f>IF(calIni+10&lt;=pFinEff,calIni+10,"")</f>
        <v/>
      </c>
      <c r="BI17" s="241">
        <f>IF(BH17="","",WEEKDAY(BH17,2))</f>
        <v/>
      </c>
      <c r="BJ17" s="241">
        <f>IF(BH17="","",SUMIFS(rGasto,rFecha,BH17,rGrupo,"?*"))</f>
        <v/>
      </c>
      <c r="BK17" s="241">
        <f>IF(BH17="","",SUMIFS(rGasto,rFecha,BH17,rGrupo,gCP))</f>
        <v/>
      </c>
      <c r="BL17" s="241">
        <f>IF(BH17="",-1E+12-11,N(BJ17)+(400-11)/1E+7)</f>
        <v/>
      </c>
      <c r="BW17" s="241" t="n">
        <v>11</v>
      </c>
      <c r="BX17" s="241">
        <f>IFERROR(IF(N(INDEX($G$7:$G$46,MATCH(LARGE($H$7:$H$46,11),$H$7:$H$46,0)))&gt;0,INDEX($F$7:$F$46,MATCH(LARGE($H$7:$H$46,11),$H$7:$H$46,0))&amp;"",""),"")</f>
        <v/>
      </c>
      <c r="BY17" s="244">
        <f>IF(BX17="","",INDEX($G$7:$G$46,MATCH(LARGE($H$7:$H$46,11),$H$7:$H$46,0)))</f>
        <v/>
      </c>
      <c r="BZ17" s="241">
        <f>IF(BX17="","",INDEX($I$7:$I$46,MATCH(LARGE($H$7:$H$46,11),$H$7:$H$46,0)))</f>
        <v/>
      </c>
    </row>
    <row r="18">
      <c r="B18" s="241" t="inlineStr">
        <is>
          <t>Semana de referencia (lunes)</t>
        </is>
      </c>
      <c r="C18" s="242">
        <f>pFinEff-WEEKDAY(pFinEff,3)</f>
        <v/>
      </c>
      <c r="E18" s="241" t="n">
        <v>12</v>
      </c>
      <c r="F18" s="241">
        <f>IFERROR(INDEX(catUList,12)&amp;"","")</f>
        <v/>
      </c>
      <c r="G18" s="241">
        <f>IF(F18="","",SUMIFS(rGasto,rCat,F18,rFecha,"&gt;="&amp;pIni,rFecha,"&lt;="&amp;pFin,rCtaE,critCta))</f>
        <v/>
      </c>
      <c r="H18" s="241">
        <f>IF(F18="",-1E+12-12,N(G18)+(100-12)/1E+7)</f>
        <v/>
      </c>
      <c r="I18" s="241">
        <f>IF(F18="","",COUNTIFS(rCat,F18,rTipoE,"Gasto",rFecha,"&gt;="&amp;pIni,rFecha,"&lt;="&amp;pFin,rCtaE,critCta))</f>
        <v/>
      </c>
      <c r="K18" s="241">
        <f>INDEX(catCat,12)&amp;""</f>
        <v/>
      </c>
      <c r="L18" s="241">
        <f>INDEX(catSub,12)&amp;""</f>
        <v/>
      </c>
      <c r="M18" s="241">
        <f>IF(OR(K18="",L18="",INDEX(catTipo,12)&amp;""&lt;&gt;"Gasto"),"",IF(AND(critCat&lt;&gt;"&lt;&gt;@@@",K18&lt;&gt;critCat),0,SUMIFS(rGasto,rCat,K18,rSub,L18,rFecha,"&gt;="&amp;pIni,rFecha,"&lt;="&amp;pFin,rCtaE,critCta)))</f>
        <v/>
      </c>
      <c r="N18" s="241">
        <f>IF(M18="","",IF(AND(critCat&lt;&gt;"&lt;&gt;@@@",K18&lt;&gt;critCat),0,COUNTIFS(rCat,K18,rSub,L18,rTipoE,"Gasto",rFecha,"&gt;="&amp;pIni,rFecha,"&lt;="&amp;pFin,rCtaE,critCta)))</f>
        <v/>
      </c>
      <c r="O18" s="241">
        <f>IF(M18="",-1E+12-12,N(M18)+(201-12)/1E+7)</f>
        <v/>
      </c>
      <c r="P18" s="241">
        <f>L18&amp;" · "&amp;K18</f>
        <v/>
      </c>
      <c r="R18" s="241" t="n">
        <v>12</v>
      </c>
      <c r="S18" s="241">
        <f>IFERROR(INDEX(rCom,MATCH(12,rComIdx,0))&amp;"","")</f>
        <v/>
      </c>
      <c r="T18" s="241">
        <f>IF(S18="","",SUMIFS(rGasto,rCom,S18,rFecha,"&gt;="&amp;pIni,rFecha,"&lt;="&amp;pFin,rCat,critCat,rCtaE,critCta))</f>
        <v/>
      </c>
      <c r="U18" s="241">
        <f>IF(S18="","",COUNTIFS(rCom,S18,rTipoE,"Gasto",rFecha,"&gt;="&amp;pIni,rFecha,"&lt;="&amp;pFin,rCat,critCat,rCtaE,critCta))</f>
        <v/>
      </c>
      <c r="V18" s="241">
        <f>IF(S18="",-1E+12-12,N(T18)+(301-12)/1E+7)</f>
        <v/>
      </c>
      <c r="W18" s="241">
        <f>IF(S18="","",SUMIFS(rGasto,rCom,S18,rHorm,1,rFecha,"&gt;="&amp;pIni,rFecha,"&lt;="&amp;pFin))</f>
        <v/>
      </c>
      <c r="X18" s="241">
        <f>IF(S18="","",COUNTIFS(rCom,S18,rHorm,1,rFecha,"&gt;="&amp;pIni,rFecha,"&lt;="&amp;pFin))</f>
        <v/>
      </c>
      <c r="Y18" s="241">
        <f>IF(S18="",-1E+12-12,N(W18)+(301-12)/1E+7)</f>
        <v/>
      </c>
      <c r="AA18" s="241">
        <f>INDEX(ctaNombre,12)&amp;""</f>
        <v/>
      </c>
      <c r="AB18" s="241">
        <f>IF(AA18="","",SUMIFS(rGasto,rCtaE,AA18,rFecha,"&gt;="&amp;pIni,rFecha,"&lt;="&amp;pFin,rCat,critCat))</f>
        <v/>
      </c>
      <c r="AC18" s="241">
        <f>IF(AA18="","",COUNTIFS(rCtaE,AA18,rTipoE,"Gasto",rFecha,"&gt;="&amp;pIni,rFecha,"&lt;="&amp;pFin,rCat,critCat))</f>
        <v/>
      </c>
      <c r="AD18" s="241">
        <f>IF(AA18="",-1E+12-12,N(AB18)+(100-12)/1E+7)</f>
        <v/>
      </c>
      <c r="AF18" s="241">
        <f>$F18</f>
        <v/>
      </c>
      <c r="AG18" s="241">
        <f>IF(AF18="","",SUMIFS(rGasto,rCat,AF18,rHorm,1,rFecha,"&gt;="&amp;pIni,rFecha,"&lt;="&amp;pFin))</f>
        <v/>
      </c>
      <c r="AH18" s="241">
        <f>IF(AF18="","",COUNTIFS(rCat,AF18,rHorm,1,rFecha,"&gt;="&amp;pIni,rFecha,"&lt;="&amp;pFin))</f>
        <v/>
      </c>
      <c r="AI18" s="241">
        <f>IF(AF18="",-1E+12-12,N(AG18)+(100-12)/1E+7)</f>
        <v/>
      </c>
      <c r="AK18" s="243">
        <f>EDATE(refMes,0)</f>
        <v/>
      </c>
      <c r="AL18" s="241">
        <f>CHOOSE(MONTH(AK18),"Ene","Feb","Mar","Abr","May","Jun","Jul","Ago","Sep","Oct","Nov","Dic")&amp;" "&amp;RIGHT(YEAR(AK18),2)</f>
        <v/>
      </c>
      <c r="AM18" s="244">
        <f>SUMIFS(rIng,rFecha,"&gt;="&amp;AK18,rFecha,"&lt;="&amp;EOMONTH(AK18,0),rCtaE,critCta)</f>
        <v/>
      </c>
      <c r="AN18" s="244">
        <f>SUMIFS(rGasto,rFecha,"&gt;="&amp;AK18,rFecha,"&lt;="&amp;EOMONTH(AK18,0),rCat,critCat,rCtaE,critCta)</f>
        <v/>
      </c>
      <c r="AO18" s="244">
        <f>AM18-AN18</f>
        <v/>
      </c>
      <c r="AP18" s="244">
        <f>SUMIFS(rGasto,rFecha,"&gt;="&amp;AK18,rFecha,"&lt;="&amp;EOMONTH(AK18,0),rClasE,"Fijo",rCat,critCat,rCtaE,critCta)</f>
        <v/>
      </c>
      <c r="AQ18" s="244">
        <f>SUMIFS(rGasto,rFecha,"&gt;="&amp;AK18,rFecha,"&lt;="&amp;EOMONTH(AK18,0),rClasE,"Variable",rCat,critCat,rCtaE,critCta)</f>
        <v/>
      </c>
      <c r="AR18" s="244">
        <f>SUMIFS(rGasto,rFecha,"&gt;="&amp;AK18,rFecha,"&lt;="&amp;EOMONTH(AK18,0),rGrupo,gCP)</f>
        <v/>
      </c>
      <c r="AS18" s="244">
        <f>SUMIFS(rGasto,rFecha,"&gt;="&amp;AK18,rFecha,"&lt;="&amp;EOMONTH(AK18,0),rGrupo,gSI)</f>
        <v/>
      </c>
      <c r="AT18" s="244">
        <f>SUMIFS(rGasto,rFecha,"&gt;="&amp;AK18,rFecha,"&lt;="&amp;EOMONTH(AK18,0),rGrupo,gBS)</f>
        <v/>
      </c>
      <c r="AU18" s="244">
        <f>SUMIFS(rGasto,rFecha,"&gt;="&amp;AK18,rFecha,"&lt;="&amp;EOMONTH(AK18,0),rHorm,1)</f>
        <v/>
      </c>
      <c r="AV18" s="244">
        <f>COUNTIFS(rFecha,"&gt;="&amp;AK18,rFecha,"&lt;="&amp;EOMONTH(AK18,0),rGrupo,gCP,rTipoE,"Gasto")</f>
        <v/>
      </c>
      <c r="AW18" s="244">
        <f>SUMIFS(rTrad,rFecha,"&gt;="&amp;AK18,rFecha,"&lt;="&amp;EOMONTH(AK18,0))</f>
        <v/>
      </c>
      <c r="AX18" s="245">
        <f>IF(AM18&gt;0,AO18/AM18,"")</f>
        <v/>
      </c>
      <c r="AZ18" s="246">
        <f>refSem-7*0</f>
        <v/>
      </c>
      <c r="BA18" s="241">
        <f>DAY(AZ18)&amp;" "&amp;CHOOSE(MONTH(AZ18),"Ene","Feb","Mar","Abr","May","Jun","Jul","Ago","Sep","Oct","Nov","Dic")</f>
        <v/>
      </c>
      <c r="BB18" s="241">
        <f>SUMIFS(rGasto,rFecha,"&gt;="&amp;AZ18,rFecha,"&lt;="&amp;AZ18+6,rCat,critCat,rCtaE,critCta)</f>
        <v/>
      </c>
      <c r="BC18" s="241">
        <f>SUMIFS(rGasto,rFecha,"&gt;="&amp;AZ18,rFecha,"&lt;="&amp;AZ18+6,rGrupo,gCP)</f>
        <v/>
      </c>
      <c r="BD18" s="241">
        <f>SUMIFS(rGasto,rFecha,"&gt;="&amp;AZ18,rFecha,"&lt;="&amp;AZ18+6,rGrupo,gSI)</f>
        <v/>
      </c>
      <c r="BE18" s="241">
        <f>SUMIFS(rGasto,rFecha,"&gt;="&amp;AZ18,rFecha,"&lt;="&amp;AZ18+6,rHorm,1)</f>
        <v/>
      </c>
      <c r="BG18" s="241" t="n">
        <v>12</v>
      </c>
      <c r="BH18" s="246">
        <f>IF(calIni+11&lt;=pFinEff,calIni+11,"")</f>
        <v/>
      </c>
      <c r="BI18" s="241">
        <f>IF(BH18="","",WEEKDAY(BH18,2))</f>
        <v/>
      </c>
      <c r="BJ18" s="241">
        <f>IF(BH18="","",SUMIFS(rGasto,rFecha,BH18,rGrupo,"?*"))</f>
        <v/>
      </c>
      <c r="BK18" s="241">
        <f>IF(BH18="","",SUMIFS(rGasto,rFecha,BH18,rGrupo,gCP))</f>
        <v/>
      </c>
      <c r="BL18" s="241">
        <f>IF(BH18="",-1E+12-12,N(BJ18)+(400-12)/1E+7)</f>
        <v/>
      </c>
      <c r="BW18" s="241" t="n">
        <v>12</v>
      </c>
      <c r="BX18" s="241">
        <f>IFERROR(IF(N(INDEX($G$7:$G$46,MATCH(LARGE($H$7:$H$46,12),$H$7:$H$46,0)))&gt;0,INDEX($F$7:$F$46,MATCH(LARGE($H$7:$H$46,12),$H$7:$H$46,0))&amp;"",""),"")</f>
        <v/>
      </c>
      <c r="BY18" s="244">
        <f>IF(BX18="","",INDEX($G$7:$G$46,MATCH(LARGE($H$7:$H$46,12),$H$7:$H$46,0)))</f>
        <v/>
      </c>
      <c r="BZ18" s="241">
        <f>IF(BX18="","",INDEX($I$7:$I$46,MATCH(LARGE($H$7:$H$46,12),$H$7:$H$46,0)))</f>
        <v/>
      </c>
    </row>
    <row r="19">
      <c r="B19" s="241" t="inlineStr">
        <is>
          <t>Inicio calendario (máx. 366 días)</t>
        </is>
      </c>
      <c r="C19" s="242">
        <f>MAX(pIni,pFinEff-365)</f>
        <v/>
      </c>
      <c r="E19" s="241" t="n">
        <v>13</v>
      </c>
      <c r="F19" s="241">
        <f>IFERROR(INDEX(catUList,13)&amp;"","")</f>
        <v/>
      </c>
      <c r="G19" s="241">
        <f>IF(F19="","",SUMIFS(rGasto,rCat,F19,rFecha,"&gt;="&amp;pIni,rFecha,"&lt;="&amp;pFin,rCtaE,critCta))</f>
        <v/>
      </c>
      <c r="H19" s="241">
        <f>IF(F19="",-1E+12-13,N(G19)+(100-13)/1E+7)</f>
        <v/>
      </c>
      <c r="I19" s="241">
        <f>IF(F19="","",COUNTIFS(rCat,F19,rTipoE,"Gasto",rFecha,"&gt;="&amp;pIni,rFecha,"&lt;="&amp;pFin,rCtaE,critCta))</f>
        <v/>
      </c>
      <c r="K19" s="241">
        <f>INDEX(catCat,13)&amp;""</f>
        <v/>
      </c>
      <c r="L19" s="241">
        <f>INDEX(catSub,13)&amp;""</f>
        <v/>
      </c>
      <c r="M19" s="241">
        <f>IF(OR(K19="",L19="",INDEX(catTipo,13)&amp;""&lt;&gt;"Gasto"),"",IF(AND(critCat&lt;&gt;"&lt;&gt;@@@",K19&lt;&gt;critCat),0,SUMIFS(rGasto,rCat,K19,rSub,L19,rFecha,"&gt;="&amp;pIni,rFecha,"&lt;="&amp;pFin,rCtaE,critCta)))</f>
        <v/>
      </c>
      <c r="N19" s="241">
        <f>IF(M19="","",IF(AND(critCat&lt;&gt;"&lt;&gt;@@@",K19&lt;&gt;critCat),0,COUNTIFS(rCat,K19,rSub,L19,rTipoE,"Gasto",rFecha,"&gt;="&amp;pIni,rFecha,"&lt;="&amp;pFin,rCtaE,critCta)))</f>
        <v/>
      </c>
      <c r="O19" s="241">
        <f>IF(M19="",-1E+12-13,N(M19)+(201-13)/1E+7)</f>
        <v/>
      </c>
      <c r="P19" s="241">
        <f>L19&amp;" · "&amp;K19</f>
        <v/>
      </c>
      <c r="R19" s="241" t="n">
        <v>13</v>
      </c>
      <c r="S19" s="241">
        <f>IFERROR(INDEX(rCom,MATCH(13,rComIdx,0))&amp;"","")</f>
        <v/>
      </c>
      <c r="T19" s="241">
        <f>IF(S19="","",SUMIFS(rGasto,rCom,S19,rFecha,"&gt;="&amp;pIni,rFecha,"&lt;="&amp;pFin,rCat,critCat,rCtaE,critCta))</f>
        <v/>
      </c>
      <c r="U19" s="241">
        <f>IF(S19="","",COUNTIFS(rCom,S19,rTipoE,"Gasto",rFecha,"&gt;="&amp;pIni,rFecha,"&lt;="&amp;pFin,rCat,critCat,rCtaE,critCta))</f>
        <v/>
      </c>
      <c r="V19" s="241">
        <f>IF(S19="",-1E+12-13,N(T19)+(301-13)/1E+7)</f>
        <v/>
      </c>
      <c r="W19" s="241">
        <f>IF(S19="","",SUMIFS(rGasto,rCom,S19,rHorm,1,rFecha,"&gt;="&amp;pIni,rFecha,"&lt;="&amp;pFin))</f>
        <v/>
      </c>
      <c r="X19" s="241">
        <f>IF(S19="","",COUNTIFS(rCom,S19,rHorm,1,rFecha,"&gt;="&amp;pIni,rFecha,"&lt;="&amp;pFin))</f>
        <v/>
      </c>
      <c r="Y19" s="241">
        <f>IF(S19="",-1E+12-13,N(W19)+(301-13)/1E+7)</f>
        <v/>
      </c>
      <c r="AA19" s="241">
        <f>INDEX(ctaNombre,13)&amp;""</f>
        <v/>
      </c>
      <c r="AB19" s="241">
        <f>IF(AA19="","",SUMIFS(rGasto,rCtaE,AA19,rFecha,"&gt;="&amp;pIni,rFecha,"&lt;="&amp;pFin,rCat,critCat))</f>
        <v/>
      </c>
      <c r="AC19" s="241">
        <f>IF(AA19="","",COUNTIFS(rCtaE,AA19,rTipoE,"Gasto",rFecha,"&gt;="&amp;pIni,rFecha,"&lt;="&amp;pFin,rCat,critCat))</f>
        <v/>
      </c>
      <c r="AD19" s="241">
        <f>IF(AA19="",-1E+12-13,N(AB19)+(100-13)/1E+7)</f>
        <v/>
      </c>
      <c r="AF19" s="241">
        <f>$F19</f>
        <v/>
      </c>
      <c r="AG19" s="241">
        <f>IF(AF19="","",SUMIFS(rGasto,rCat,AF19,rHorm,1,rFecha,"&gt;="&amp;pIni,rFecha,"&lt;="&amp;pFin))</f>
        <v/>
      </c>
      <c r="AH19" s="241">
        <f>IF(AF19="","",COUNTIFS(rCat,AF19,rHorm,1,rFecha,"&gt;="&amp;pIni,rFecha,"&lt;="&amp;pFin))</f>
        <v/>
      </c>
      <c r="AI19" s="241">
        <f>IF(AF19="",-1E+12-13,N(AG19)+(100-13)/1E+7)</f>
        <v/>
      </c>
      <c r="BG19" s="241" t="n">
        <v>13</v>
      </c>
      <c r="BH19" s="246">
        <f>IF(calIni+12&lt;=pFinEff,calIni+12,"")</f>
        <v/>
      </c>
      <c r="BI19" s="241">
        <f>IF(BH19="","",WEEKDAY(BH19,2))</f>
        <v/>
      </c>
      <c r="BJ19" s="241">
        <f>IF(BH19="","",SUMIFS(rGasto,rFecha,BH19,rGrupo,"?*"))</f>
        <v/>
      </c>
      <c r="BK19" s="241">
        <f>IF(BH19="","",SUMIFS(rGasto,rFecha,BH19,rGrupo,gCP))</f>
        <v/>
      </c>
      <c r="BL19" s="241">
        <f>IF(BH19="",-1E+12-13,N(BJ19)+(400-13)/1E+7)</f>
        <v/>
      </c>
    </row>
    <row r="20">
      <c r="B20" s="241" t="inlineStr">
        <is>
          <t>Lunes de esta semana</t>
        </is>
      </c>
      <c r="C20" s="242">
        <f>diaHoy-WEEKDAY(diaHoy,3)</f>
        <v/>
      </c>
      <c r="E20" s="241" t="n">
        <v>14</v>
      </c>
      <c r="F20" s="241">
        <f>IFERROR(INDEX(catUList,14)&amp;"","")</f>
        <v/>
      </c>
      <c r="G20" s="241">
        <f>IF(F20="","",SUMIFS(rGasto,rCat,F20,rFecha,"&gt;="&amp;pIni,rFecha,"&lt;="&amp;pFin,rCtaE,critCta))</f>
        <v/>
      </c>
      <c r="H20" s="241">
        <f>IF(F20="",-1E+12-14,N(G20)+(100-14)/1E+7)</f>
        <v/>
      </c>
      <c r="I20" s="241">
        <f>IF(F20="","",COUNTIFS(rCat,F20,rTipoE,"Gasto",rFecha,"&gt;="&amp;pIni,rFecha,"&lt;="&amp;pFin,rCtaE,critCta))</f>
        <v/>
      </c>
      <c r="K20" s="241">
        <f>INDEX(catCat,14)&amp;""</f>
        <v/>
      </c>
      <c r="L20" s="241">
        <f>INDEX(catSub,14)&amp;""</f>
        <v/>
      </c>
      <c r="M20" s="241">
        <f>IF(OR(K20="",L20="",INDEX(catTipo,14)&amp;""&lt;&gt;"Gasto"),"",IF(AND(critCat&lt;&gt;"&lt;&gt;@@@",K20&lt;&gt;critCat),0,SUMIFS(rGasto,rCat,K20,rSub,L20,rFecha,"&gt;="&amp;pIni,rFecha,"&lt;="&amp;pFin,rCtaE,critCta)))</f>
        <v/>
      </c>
      <c r="N20" s="241">
        <f>IF(M20="","",IF(AND(critCat&lt;&gt;"&lt;&gt;@@@",K20&lt;&gt;critCat),0,COUNTIFS(rCat,K20,rSub,L20,rTipoE,"Gasto",rFecha,"&gt;="&amp;pIni,rFecha,"&lt;="&amp;pFin,rCtaE,critCta)))</f>
        <v/>
      </c>
      <c r="O20" s="241">
        <f>IF(M20="",-1E+12-14,N(M20)+(201-14)/1E+7)</f>
        <v/>
      </c>
      <c r="P20" s="241">
        <f>L20&amp;" · "&amp;K20</f>
        <v/>
      </c>
      <c r="R20" s="241" t="n">
        <v>14</v>
      </c>
      <c r="S20" s="241">
        <f>IFERROR(INDEX(rCom,MATCH(14,rComIdx,0))&amp;"","")</f>
        <v/>
      </c>
      <c r="T20" s="241">
        <f>IF(S20="","",SUMIFS(rGasto,rCom,S20,rFecha,"&gt;="&amp;pIni,rFecha,"&lt;="&amp;pFin,rCat,critCat,rCtaE,critCta))</f>
        <v/>
      </c>
      <c r="U20" s="241">
        <f>IF(S20="","",COUNTIFS(rCom,S20,rTipoE,"Gasto",rFecha,"&gt;="&amp;pIni,rFecha,"&lt;="&amp;pFin,rCat,critCat,rCtaE,critCta))</f>
        <v/>
      </c>
      <c r="V20" s="241">
        <f>IF(S20="",-1E+12-14,N(T20)+(301-14)/1E+7)</f>
        <v/>
      </c>
      <c r="W20" s="241">
        <f>IF(S20="","",SUMIFS(rGasto,rCom,S20,rHorm,1,rFecha,"&gt;="&amp;pIni,rFecha,"&lt;="&amp;pFin))</f>
        <v/>
      </c>
      <c r="X20" s="241">
        <f>IF(S20="","",COUNTIFS(rCom,S20,rHorm,1,rFecha,"&gt;="&amp;pIni,rFecha,"&lt;="&amp;pFin))</f>
        <v/>
      </c>
      <c r="Y20" s="241">
        <f>IF(S20="",-1E+12-14,N(W20)+(301-14)/1E+7)</f>
        <v/>
      </c>
      <c r="AA20" s="241">
        <f>INDEX(ctaNombre,14)&amp;""</f>
        <v/>
      </c>
      <c r="AB20" s="241">
        <f>IF(AA20="","",SUMIFS(rGasto,rCtaE,AA20,rFecha,"&gt;="&amp;pIni,rFecha,"&lt;="&amp;pFin,rCat,critCat))</f>
        <v/>
      </c>
      <c r="AC20" s="241">
        <f>IF(AA20="","",COUNTIFS(rCtaE,AA20,rTipoE,"Gasto",rFecha,"&gt;="&amp;pIni,rFecha,"&lt;="&amp;pFin,rCat,critCat))</f>
        <v/>
      </c>
      <c r="AD20" s="241">
        <f>IF(AA20="",-1E+12-14,N(AB20)+(100-14)/1E+7)</f>
        <v/>
      </c>
      <c r="AF20" s="241">
        <f>$F20</f>
        <v/>
      </c>
      <c r="AG20" s="241">
        <f>IF(AF20="","",SUMIFS(rGasto,rCat,AF20,rHorm,1,rFecha,"&gt;="&amp;pIni,rFecha,"&lt;="&amp;pFin))</f>
        <v/>
      </c>
      <c r="AH20" s="241">
        <f>IF(AF20="","",COUNTIFS(rCat,AF20,rHorm,1,rFecha,"&gt;="&amp;pIni,rFecha,"&lt;="&amp;pFin))</f>
        <v/>
      </c>
      <c r="AI20" s="241">
        <f>IF(AF20="",-1E+12-14,N(AG20)+(100-14)/1E+7)</f>
        <v/>
      </c>
      <c r="BG20" s="241" t="n">
        <v>14</v>
      </c>
      <c r="BH20" s="246">
        <f>IF(calIni+13&lt;=pFinEff,calIni+13,"")</f>
        <v/>
      </c>
      <c r="BI20" s="241">
        <f>IF(BH20="","",WEEKDAY(BH20,2))</f>
        <v/>
      </c>
      <c r="BJ20" s="241">
        <f>IF(BH20="","",SUMIFS(rGasto,rFecha,BH20,rGrupo,"?*"))</f>
        <v/>
      </c>
      <c r="BK20" s="241">
        <f>IF(BH20="","",SUMIFS(rGasto,rFecha,BH20,rGrupo,gCP))</f>
        <v/>
      </c>
      <c r="BL20" s="241">
        <f>IF(BH20="",-1E+12-14,N(BJ20)+(400-14)/1E+7)</f>
        <v/>
      </c>
    </row>
    <row r="21">
      <c r="B21" s="241" t="inlineStr">
        <is>
          <t>Inicio de este mes</t>
        </is>
      </c>
      <c r="C21" s="242">
        <f>DATE(YEAR(diaHoy),MONTH(diaHoy),1)</f>
        <v/>
      </c>
      <c r="E21" s="241" t="n">
        <v>15</v>
      </c>
      <c r="F21" s="241">
        <f>IFERROR(INDEX(catUList,15)&amp;"","")</f>
        <v/>
      </c>
      <c r="G21" s="241">
        <f>IF(F21="","",SUMIFS(rGasto,rCat,F21,rFecha,"&gt;="&amp;pIni,rFecha,"&lt;="&amp;pFin,rCtaE,critCta))</f>
        <v/>
      </c>
      <c r="H21" s="241">
        <f>IF(F21="",-1E+12-15,N(G21)+(100-15)/1E+7)</f>
        <v/>
      </c>
      <c r="I21" s="241">
        <f>IF(F21="","",COUNTIFS(rCat,F21,rTipoE,"Gasto",rFecha,"&gt;="&amp;pIni,rFecha,"&lt;="&amp;pFin,rCtaE,critCta))</f>
        <v/>
      </c>
      <c r="K21" s="241">
        <f>INDEX(catCat,15)&amp;""</f>
        <v/>
      </c>
      <c r="L21" s="241">
        <f>INDEX(catSub,15)&amp;""</f>
        <v/>
      </c>
      <c r="M21" s="241">
        <f>IF(OR(K21="",L21="",INDEX(catTipo,15)&amp;""&lt;&gt;"Gasto"),"",IF(AND(critCat&lt;&gt;"&lt;&gt;@@@",K21&lt;&gt;critCat),0,SUMIFS(rGasto,rCat,K21,rSub,L21,rFecha,"&gt;="&amp;pIni,rFecha,"&lt;="&amp;pFin,rCtaE,critCta)))</f>
        <v/>
      </c>
      <c r="N21" s="241">
        <f>IF(M21="","",IF(AND(critCat&lt;&gt;"&lt;&gt;@@@",K21&lt;&gt;critCat),0,COUNTIFS(rCat,K21,rSub,L21,rTipoE,"Gasto",rFecha,"&gt;="&amp;pIni,rFecha,"&lt;="&amp;pFin,rCtaE,critCta)))</f>
        <v/>
      </c>
      <c r="O21" s="241">
        <f>IF(M21="",-1E+12-15,N(M21)+(201-15)/1E+7)</f>
        <v/>
      </c>
      <c r="P21" s="241">
        <f>L21&amp;" · "&amp;K21</f>
        <v/>
      </c>
      <c r="R21" s="241" t="n">
        <v>15</v>
      </c>
      <c r="S21" s="241">
        <f>IFERROR(INDEX(rCom,MATCH(15,rComIdx,0))&amp;"","")</f>
        <v/>
      </c>
      <c r="T21" s="241">
        <f>IF(S21="","",SUMIFS(rGasto,rCom,S21,rFecha,"&gt;="&amp;pIni,rFecha,"&lt;="&amp;pFin,rCat,critCat,rCtaE,critCta))</f>
        <v/>
      </c>
      <c r="U21" s="241">
        <f>IF(S21="","",COUNTIFS(rCom,S21,rTipoE,"Gasto",rFecha,"&gt;="&amp;pIni,rFecha,"&lt;="&amp;pFin,rCat,critCat,rCtaE,critCta))</f>
        <v/>
      </c>
      <c r="V21" s="241">
        <f>IF(S21="",-1E+12-15,N(T21)+(301-15)/1E+7)</f>
        <v/>
      </c>
      <c r="W21" s="241">
        <f>IF(S21="","",SUMIFS(rGasto,rCom,S21,rHorm,1,rFecha,"&gt;="&amp;pIni,rFecha,"&lt;="&amp;pFin))</f>
        <v/>
      </c>
      <c r="X21" s="241">
        <f>IF(S21="","",COUNTIFS(rCom,S21,rHorm,1,rFecha,"&gt;="&amp;pIni,rFecha,"&lt;="&amp;pFin))</f>
        <v/>
      </c>
      <c r="Y21" s="241">
        <f>IF(S21="",-1E+12-15,N(W21)+(301-15)/1E+7)</f>
        <v/>
      </c>
      <c r="AA21" s="241">
        <f>INDEX(ctaNombre,15)&amp;""</f>
        <v/>
      </c>
      <c r="AB21" s="241">
        <f>IF(AA21="","",SUMIFS(rGasto,rCtaE,AA21,rFecha,"&gt;="&amp;pIni,rFecha,"&lt;="&amp;pFin,rCat,critCat))</f>
        <v/>
      </c>
      <c r="AC21" s="241">
        <f>IF(AA21="","",COUNTIFS(rCtaE,AA21,rTipoE,"Gasto",rFecha,"&gt;="&amp;pIni,rFecha,"&lt;="&amp;pFin,rCat,critCat))</f>
        <v/>
      </c>
      <c r="AD21" s="241">
        <f>IF(AA21="",-1E+12-15,N(AB21)+(100-15)/1E+7)</f>
        <v/>
      </c>
      <c r="AF21" s="241">
        <f>$F21</f>
        <v/>
      </c>
      <c r="AG21" s="241">
        <f>IF(AF21="","",SUMIFS(rGasto,rCat,AF21,rHorm,1,rFecha,"&gt;="&amp;pIni,rFecha,"&lt;="&amp;pFin))</f>
        <v/>
      </c>
      <c r="AH21" s="241">
        <f>IF(AF21="","",COUNTIFS(rCat,AF21,rHorm,1,rFecha,"&gt;="&amp;pIni,rFecha,"&lt;="&amp;pFin))</f>
        <v/>
      </c>
      <c r="AI21" s="241">
        <f>IF(AF21="",-1E+12-15,N(AG21)+(100-15)/1E+7)</f>
        <v/>
      </c>
      <c r="BG21" s="241" t="n">
        <v>15</v>
      </c>
      <c r="BH21" s="246">
        <f>IF(calIni+14&lt;=pFinEff,calIni+14,"")</f>
        <v/>
      </c>
      <c r="BI21" s="241">
        <f>IF(BH21="","",WEEKDAY(BH21,2))</f>
        <v/>
      </c>
      <c r="BJ21" s="241">
        <f>IF(BH21="","",SUMIFS(rGasto,rFecha,BH21,rGrupo,"?*"))</f>
        <v/>
      </c>
      <c r="BK21" s="241">
        <f>IF(BH21="","",SUMIFS(rGasto,rFecha,BH21,rGrupo,gCP))</f>
        <v/>
      </c>
      <c r="BL21" s="241">
        <f>IF(BH21="",-1E+12-15,N(BJ21)+(400-15)/1E+7)</f>
        <v/>
      </c>
    </row>
    <row r="22">
      <c r="B22" s="241" t="inlineStr">
        <is>
          <t>Meses con datos (3 meses previos)</t>
        </is>
      </c>
      <c r="C22" s="247">
        <f>MAX(1,(COUNTIFS(rTipoE,"?*",rFecha,"&gt;="&amp;EDATE(mesHoy,-3),rFecha,"&lt;"&amp;EDATE(mesHoy,-2))&gt;0)+(COUNTIFS(rTipoE,"?*",rFecha,"&gt;="&amp;EDATE(mesHoy,-2),rFecha,"&lt;"&amp;EDATE(mesHoy,-1))&gt;0)+(COUNTIFS(rTipoE,"?*",rFecha,"&gt;="&amp;EDATE(mesHoy,-1),rFecha,"&lt;"&amp;mesHoy)&gt;0))</f>
        <v/>
      </c>
      <c r="E22" s="241" t="n">
        <v>16</v>
      </c>
      <c r="F22" s="241">
        <f>IFERROR(INDEX(catUList,16)&amp;"","")</f>
        <v/>
      </c>
      <c r="G22" s="241">
        <f>IF(F22="","",SUMIFS(rGasto,rCat,F22,rFecha,"&gt;="&amp;pIni,rFecha,"&lt;="&amp;pFin,rCtaE,critCta))</f>
        <v/>
      </c>
      <c r="H22" s="241">
        <f>IF(F22="",-1E+12-16,N(G22)+(100-16)/1E+7)</f>
        <v/>
      </c>
      <c r="I22" s="241">
        <f>IF(F22="","",COUNTIFS(rCat,F22,rTipoE,"Gasto",rFecha,"&gt;="&amp;pIni,rFecha,"&lt;="&amp;pFin,rCtaE,critCta))</f>
        <v/>
      </c>
      <c r="K22" s="241">
        <f>INDEX(catCat,16)&amp;""</f>
        <v/>
      </c>
      <c r="L22" s="241">
        <f>INDEX(catSub,16)&amp;""</f>
        <v/>
      </c>
      <c r="M22" s="241">
        <f>IF(OR(K22="",L22="",INDEX(catTipo,16)&amp;""&lt;&gt;"Gasto"),"",IF(AND(critCat&lt;&gt;"&lt;&gt;@@@",K22&lt;&gt;critCat),0,SUMIFS(rGasto,rCat,K22,rSub,L22,rFecha,"&gt;="&amp;pIni,rFecha,"&lt;="&amp;pFin,rCtaE,critCta)))</f>
        <v/>
      </c>
      <c r="N22" s="241">
        <f>IF(M22="","",IF(AND(critCat&lt;&gt;"&lt;&gt;@@@",K22&lt;&gt;critCat),0,COUNTIFS(rCat,K22,rSub,L22,rTipoE,"Gasto",rFecha,"&gt;="&amp;pIni,rFecha,"&lt;="&amp;pFin,rCtaE,critCta)))</f>
        <v/>
      </c>
      <c r="O22" s="241">
        <f>IF(M22="",-1E+12-16,N(M22)+(201-16)/1E+7)</f>
        <v/>
      </c>
      <c r="P22" s="241">
        <f>L22&amp;" · "&amp;K22</f>
        <v/>
      </c>
      <c r="R22" s="241" t="n">
        <v>16</v>
      </c>
      <c r="S22" s="241">
        <f>IFERROR(INDEX(rCom,MATCH(16,rComIdx,0))&amp;"","")</f>
        <v/>
      </c>
      <c r="T22" s="241">
        <f>IF(S22="","",SUMIFS(rGasto,rCom,S22,rFecha,"&gt;="&amp;pIni,rFecha,"&lt;="&amp;pFin,rCat,critCat,rCtaE,critCta))</f>
        <v/>
      </c>
      <c r="U22" s="241">
        <f>IF(S22="","",COUNTIFS(rCom,S22,rTipoE,"Gasto",rFecha,"&gt;="&amp;pIni,rFecha,"&lt;="&amp;pFin,rCat,critCat,rCtaE,critCta))</f>
        <v/>
      </c>
      <c r="V22" s="241">
        <f>IF(S22="",-1E+12-16,N(T22)+(301-16)/1E+7)</f>
        <v/>
      </c>
      <c r="W22" s="241">
        <f>IF(S22="","",SUMIFS(rGasto,rCom,S22,rHorm,1,rFecha,"&gt;="&amp;pIni,rFecha,"&lt;="&amp;pFin))</f>
        <v/>
      </c>
      <c r="X22" s="241">
        <f>IF(S22="","",COUNTIFS(rCom,S22,rHorm,1,rFecha,"&gt;="&amp;pIni,rFecha,"&lt;="&amp;pFin))</f>
        <v/>
      </c>
      <c r="Y22" s="241">
        <f>IF(S22="",-1E+12-16,N(W22)+(301-16)/1E+7)</f>
        <v/>
      </c>
      <c r="AA22" s="241">
        <f>INDEX(ctaNombre,16)&amp;""</f>
        <v/>
      </c>
      <c r="AB22" s="241">
        <f>IF(AA22="","",SUMIFS(rGasto,rCtaE,AA22,rFecha,"&gt;="&amp;pIni,rFecha,"&lt;="&amp;pFin,rCat,critCat))</f>
        <v/>
      </c>
      <c r="AC22" s="241">
        <f>IF(AA22="","",COUNTIFS(rCtaE,AA22,rTipoE,"Gasto",rFecha,"&gt;="&amp;pIni,rFecha,"&lt;="&amp;pFin,rCat,critCat))</f>
        <v/>
      </c>
      <c r="AD22" s="241">
        <f>IF(AA22="",-1E+12-16,N(AB22)+(100-16)/1E+7)</f>
        <v/>
      </c>
      <c r="AF22" s="241">
        <f>$F22</f>
        <v/>
      </c>
      <c r="AG22" s="241">
        <f>IF(AF22="","",SUMIFS(rGasto,rCat,AF22,rHorm,1,rFecha,"&gt;="&amp;pIni,rFecha,"&lt;="&amp;pFin))</f>
        <v/>
      </c>
      <c r="AH22" s="241">
        <f>IF(AF22="","",COUNTIFS(rCat,AF22,rHorm,1,rFecha,"&gt;="&amp;pIni,rFecha,"&lt;="&amp;pFin))</f>
        <v/>
      </c>
      <c r="AI22" s="241">
        <f>IF(AF22="",-1E+12-16,N(AG22)+(100-16)/1E+7)</f>
        <v/>
      </c>
      <c r="BG22" s="241" t="n">
        <v>16</v>
      </c>
      <c r="BH22" s="246">
        <f>IF(calIni+15&lt;=pFinEff,calIni+15,"")</f>
        <v/>
      </c>
      <c r="BI22" s="241">
        <f>IF(BH22="","",WEEKDAY(BH22,2))</f>
        <v/>
      </c>
      <c r="BJ22" s="241">
        <f>IF(BH22="","",SUMIFS(rGasto,rFecha,BH22,rGrupo,"?*"))</f>
        <v/>
      </c>
      <c r="BK22" s="241">
        <f>IF(BH22="","",SUMIFS(rGasto,rFecha,BH22,rGrupo,gCP))</f>
        <v/>
      </c>
      <c r="BL22" s="241">
        <f>IF(BH22="",-1E+12-16,N(BJ22)+(400-16)/1E+7)</f>
        <v/>
      </c>
    </row>
    <row r="23">
      <c r="B23" s="241" t="inlineStr">
        <is>
          <t>Texto del período</t>
        </is>
      </c>
      <c r="C23" s="207">
        <f>RIGHT("0"&amp;DAY(pIni),2)&amp;"/"&amp;RIGHT("0"&amp;MONTH(pIni),2)&amp;"/"&amp;YEAR(pIni)&amp;"  →  "&amp;RIGHT("0"&amp;DAY(pFin),2)&amp;"/"&amp;RIGHT("0"&amp;MONTH(pFin),2)&amp;"/"&amp;YEAR(pFin)</f>
        <v/>
      </c>
      <c r="E23" s="241" t="n">
        <v>17</v>
      </c>
      <c r="F23" s="241">
        <f>IFERROR(INDEX(catUList,17)&amp;"","")</f>
        <v/>
      </c>
      <c r="G23" s="241">
        <f>IF(F23="","",SUMIFS(rGasto,rCat,F23,rFecha,"&gt;="&amp;pIni,rFecha,"&lt;="&amp;pFin,rCtaE,critCta))</f>
        <v/>
      </c>
      <c r="H23" s="241">
        <f>IF(F23="",-1E+12-17,N(G23)+(100-17)/1E+7)</f>
        <v/>
      </c>
      <c r="I23" s="241">
        <f>IF(F23="","",COUNTIFS(rCat,F23,rTipoE,"Gasto",rFecha,"&gt;="&amp;pIni,rFecha,"&lt;="&amp;pFin,rCtaE,critCta))</f>
        <v/>
      </c>
      <c r="K23" s="241">
        <f>INDEX(catCat,17)&amp;""</f>
        <v/>
      </c>
      <c r="L23" s="241">
        <f>INDEX(catSub,17)&amp;""</f>
        <v/>
      </c>
      <c r="M23" s="241">
        <f>IF(OR(K23="",L23="",INDEX(catTipo,17)&amp;""&lt;&gt;"Gasto"),"",IF(AND(critCat&lt;&gt;"&lt;&gt;@@@",K23&lt;&gt;critCat),0,SUMIFS(rGasto,rCat,K23,rSub,L23,rFecha,"&gt;="&amp;pIni,rFecha,"&lt;="&amp;pFin,rCtaE,critCta)))</f>
        <v/>
      </c>
      <c r="N23" s="241">
        <f>IF(M23="","",IF(AND(critCat&lt;&gt;"&lt;&gt;@@@",K23&lt;&gt;critCat),0,COUNTIFS(rCat,K23,rSub,L23,rTipoE,"Gasto",rFecha,"&gt;="&amp;pIni,rFecha,"&lt;="&amp;pFin,rCtaE,critCta)))</f>
        <v/>
      </c>
      <c r="O23" s="241">
        <f>IF(M23="",-1E+12-17,N(M23)+(201-17)/1E+7)</f>
        <v/>
      </c>
      <c r="P23" s="241">
        <f>L23&amp;" · "&amp;K23</f>
        <v/>
      </c>
      <c r="R23" s="241" t="n">
        <v>17</v>
      </c>
      <c r="S23" s="241">
        <f>IFERROR(INDEX(rCom,MATCH(17,rComIdx,0))&amp;"","")</f>
        <v/>
      </c>
      <c r="T23" s="241">
        <f>IF(S23="","",SUMIFS(rGasto,rCom,S23,rFecha,"&gt;="&amp;pIni,rFecha,"&lt;="&amp;pFin,rCat,critCat,rCtaE,critCta))</f>
        <v/>
      </c>
      <c r="U23" s="241">
        <f>IF(S23="","",COUNTIFS(rCom,S23,rTipoE,"Gasto",rFecha,"&gt;="&amp;pIni,rFecha,"&lt;="&amp;pFin,rCat,critCat,rCtaE,critCta))</f>
        <v/>
      </c>
      <c r="V23" s="241">
        <f>IF(S23="",-1E+12-17,N(T23)+(301-17)/1E+7)</f>
        <v/>
      </c>
      <c r="W23" s="241">
        <f>IF(S23="","",SUMIFS(rGasto,rCom,S23,rHorm,1,rFecha,"&gt;="&amp;pIni,rFecha,"&lt;="&amp;pFin))</f>
        <v/>
      </c>
      <c r="X23" s="241">
        <f>IF(S23="","",COUNTIFS(rCom,S23,rHorm,1,rFecha,"&gt;="&amp;pIni,rFecha,"&lt;="&amp;pFin))</f>
        <v/>
      </c>
      <c r="Y23" s="241">
        <f>IF(S23="",-1E+12-17,N(W23)+(301-17)/1E+7)</f>
        <v/>
      </c>
      <c r="AA23" s="241">
        <f>INDEX(ctaNombre,17)&amp;""</f>
        <v/>
      </c>
      <c r="AB23" s="241">
        <f>IF(AA23="","",SUMIFS(rGasto,rCtaE,AA23,rFecha,"&gt;="&amp;pIni,rFecha,"&lt;="&amp;pFin,rCat,critCat))</f>
        <v/>
      </c>
      <c r="AC23" s="241">
        <f>IF(AA23="","",COUNTIFS(rCtaE,AA23,rTipoE,"Gasto",rFecha,"&gt;="&amp;pIni,rFecha,"&lt;="&amp;pFin,rCat,critCat))</f>
        <v/>
      </c>
      <c r="AD23" s="241">
        <f>IF(AA23="",-1E+12-17,N(AB23)+(100-17)/1E+7)</f>
        <v/>
      </c>
      <c r="AF23" s="241">
        <f>$F23</f>
        <v/>
      </c>
      <c r="AG23" s="241">
        <f>IF(AF23="","",SUMIFS(rGasto,rCat,AF23,rHorm,1,rFecha,"&gt;="&amp;pIni,rFecha,"&lt;="&amp;pFin))</f>
        <v/>
      </c>
      <c r="AH23" s="241">
        <f>IF(AF23="","",COUNTIFS(rCat,AF23,rHorm,1,rFecha,"&gt;="&amp;pIni,rFecha,"&lt;="&amp;pFin))</f>
        <v/>
      </c>
      <c r="AI23" s="241">
        <f>IF(AF23="",-1E+12-17,N(AG23)+(100-17)/1E+7)</f>
        <v/>
      </c>
      <c r="BG23" s="241" t="n">
        <v>17</v>
      </c>
      <c r="BH23" s="246">
        <f>IF(calIni+16&lt;=pFinEff,calIni+16,"")</f>
        <v/>
      </c>
      <c r="BI23" s="241">
        <f>IF(BH23="","",WEEKDAY(BH23,2))</f>
        <v/>
      </c>
      <c r="BJ23" s="241">
        <f>IF(BH23="","",SUMIFS(rGasto,rFecha,BH23,rGrupo,"?*"))</f>
        <v/>
      </c>
      <c r="BK23" s="241">
        <f>IF(BH23="","",SUMIFS(rGasto,rFecha,BH23,rGrupo,gCP))</f>
        <v/>
      </c>
      <c r="BL23" s="241">
        <f>IF(BH23="",-1E+12-17,N(BJ23)+(400-17)/1E+7)</f>
        <v/>
      </c>
    </row>
    <row r="24">
      <c r="E24" s="241" t="n">
        <v>18</v>
      </c>
      <c r="F24" s="241">
        <f>IFERROR(INDEX(catUList,18)&amp;"","")</f>
        <v/>
      </c>
      <c r="G24" s="241">
        <f>IF(F24="","",SUMIFS(rGasto,rCat,F24,rFecha,"&gt;="&amp;pIni,rFecha,"&lt;="&amp;pFin,rCtaE,critCta))</f>
        <v/>
      </c>
      <c r="H24" s="241">
        <f>IF(F24="",-1E+12-18,N(G24)+(100-18)/1E+7)</f>
        <v/>
      </c>
      <c r="I24" s="241">
        <f>IF(F24="","",COUNTIFS(rCat,F24,rTipoE,"Gasto",rFecha,"&gt;="&amp;pIni,rFecha,"&lt;="&amp;pFin,rCtaE,critCta))</f>
        <v/>
      </c>
      <c r="K24" s="241">
        <f>INDEX(catCat,18)&amp;""</f>
        <v/>
      </c>
      <c r="L24" s="241">
        <f>INDEX(catSub,18)&amp;""</f>
        <v/>
      </c>
      <c r="M24" s="241">
        <f>IF(OR(K24="",L24="",INDEX(catTipo,18)&amp;""&lt;&gt;"Gasto"),"",IF(AND(critCat&lt;&gt;"&lt;&gt;@@@",K24&lt;&gt;critCat),0,SUMIFS(rGasto,rCat,K24,rSub,L24,rFecha,"&gt;="&amp;pIni,rFecha,"&lt;="&amp;pFin,rCtaE,critCta)))</f>
        <v/>
      </c>
      <c r="N24" s="241">
        <f>IF(M24="","",IF(AND(critCat&lt;&gt;"&lt;&gt;@@@",K24&lt;&gt;critCat),0,COUNTIFS(rCat,K24,rSub,L24,rTipoE,"Gasto",rFecha,"&gt;="&amp;pIni,rFecha,"&lt;="&amp;pFin,rCtaE,critCta)))</f>
        <v/>
      </c>
      <c r="O24" s="241">
        <f>IF(M24="",-1E+12-18,N(M24)+(201-18)/1E+7)</f>
        <v/>
      </c>
      <c r="P24" s="241">
        <f>L24&amp;" · "&amp;K24</f>
        <v/>
      </c>
      <c r="R24" s="241" t="n">
        <v>18</v>
      </c>
      <c r="S24" s="241">
        <f>IFERROR(INDEX(rCom,MATCH(18,rComIdx,0))&amp;"","")</f>
        <v/>
      </c>
      <c r="T24" s="241">
        <f>IF(S24="","",SUMIFS(rGasto,rCom,S24,rFecha,"&gt;="&amp;pIni,rFecha,"&lt;="&amp;pFin,rCat,critCat,rCtaE,critCta))</f>
        <v/>
      </c>
      <c r="U24" s="241">
        <f>IF(S24="","",COUNTIFS(rCom,S24,rTipoE,"Gasto",rFecha,"&gt;="&amp;pIni,rFecha,"&lt;="&amp;pFin,rCat,critCat,rCtaE,critCta))</f>
        <v/>
      </c>
      <c r="V24" s="241">
        <f>IF(S24="",-1E+12-18,N(T24)+(301-18)/1E+7)</f>
        <v/>
      </c>
      <c r="W24" s="241">
        <f>IF(S24="","",SUMIFS(rGasto,rCom,S24,rHorm,1,rFecha,"&gt;="&amp;pIni,rFecha,"&lt;="&amp;pFin))</f>
        <v/>
      </c>
      <c r="X24" s="241">
        <f>IF(S24="","",COUNTIFS(rCom,S24,rHorm,1,rFecha,"&gt;="&amp;pIni,rFecha,"&lt;="&amp;pFin))</f>
        <v/>
      </c>
      <c r="Y24" s="241">
        <f>IF(S24="",-1E+12-18,N(W24)+(301-18)/1E+7)</f>
        <v/>
      </c>
      <c r="AA24" s="241">
        <f>INDEX(ctaNombre,18)&amp;""</f>
        <v/>
      </c>
      <c r="AB24" s="241">
        <f>IF(AA24="","",SUMIFS(rGasto,rCtaE,AA24,rFecha,"&gt;="&amp;pIni,rFecha,"&lt;="&amp;pFin,rCat,critCat))</f>
        <v/>
      </c>
      <c r="AC24" s="241">
        <f>IF(AA24="","",COUNTIFS(rCtaE,AA24,rTipoE,"Gasto",rFecha,"&gt;="&amp;pIni,rFecha,"&lt;="&amp;pFin,rCat,critCat))</f>
        <v/>
      </c>
      <c r="AD24" s="241">
        <f>IF(AA24="",-1E+12-18,N(AB24)+(100-18)/1E+7)</f>
        <v/>
      </c>
      <c r="AF24" s="241">
        <f>$F24</f>
        <v/>
      </c>
      <c r="AG24" s="241">
        <f>IF(AF24="","",SUMIFS(rGasto,rCat,AF24,rHorm,1,rFecha,"&gt;="&amp;pIni,rFecha,"&lt;="&amp;pFin))</f>
        <v/>
      </c>
      <c r="AH24" s="241">
        <f>IF(AF24="","",COUNTIFS(rCat,AF24,rHorm,1,rFecha,"&gt;="&amp;pIni,rFecha,"&lt;="&amp;pFin))</f>
        <v/>
      </c>
      <c r="AI24" s="241">
        <f>IF(AF24="",-1E+12-18,N(AG24)+(100-18)/1E+7)</f>
        <v/>
      </c>
      <c r="BG24" s="241" t="n">
        <v>18</v>
      </c>
      <c r="BH24" s="246">
        <f>IF(calIni+17&lt;=pFinEff,calIni+17,"")</f>
        <v/>
      </c>
      <c r="BI24" s="241">
        <f>IF(BH24="","",WEEKDAY(BH24,2))</f>
        <v/>
      </c>
      <c r="BJ24" s="241">
        <f>IF(BH24="","",SUMIFS(rGasto,rFecha,BH24,rGrupo,"?*"))</f>
        <v/>
      </c>
      <c r="BK24" s="241">
        <f>IF(BH24="","",SUMIFS(rGasto,rFecha,BH24,rGrupo,gCP))</f>
        <v/>
      </c>
      <c r="BL24" s="241">
        <f>IF(BH24="",-1E+12-18,N(BJ24)+(400-18)/1E+7)</f>
        <v/>
      </c>
    </row>
    <row r="25">
      <c r="E25" s="241" t="n">
        <v>19</v>
      </c>
      <c r="F25" s="241">
        <f>IFERROR(INDEX(catUList,19)&amp;"","")</f>
        <v/>
      </c>
      <c r="G25" s="241">
        <f>IF(F25="","",SUMIFS(rGasto,rCat,F25,rFecha,"&gt;="&amp;pIni,rFecha,"&lt;="&amp;pFin,rCtaE,critCta))</f>
        <v/>
      </c>
      <c r="H25" s="241">
        <f>IF(F25="",-1E+12-19,N(G25)+(100-19)/1E+7)</f>
        <v/>
      </c>
      <c r="I25" s="241">
        <f>IF(F25="","",COUNTIFS(rCat,F25,rTipoE,"Gasto",rFecha,"&gt;="&amp;pIni,rFecha,"&lt;="&amp;pFin,rCtaE,critCta))</f>
        <v/>
      </c>
      <c r="K25" s="241">
        <f>INDEX(catCat,19)&amp;""</f>
        <v/>
      </c>
      <c r="L25" s="241">
        <f>INDEX(catSub,19)&amp;""</f>
        <v/>
      </c>
      <c r="M25" s="241">
        <f>IF(OR(K25="",L25="",INDEX(catTipo,19)&amp;""&lt;&gt;"Gasto"),"",IF(AND(critCat&lt;&gt;"&lt;&gt;@@@",K25&lt;&gt;critCat),0,SUMIFS(rGasto,rCat,K25,rSub,L25,rFecha,"&gt;="&amp;pIni,rFecha,"&lt;="&amp;pFin,rCtaE,critCta)))</f>
        <v/>
      </c>
      <c r="N25" s="241">
        <f>IF(M25="","",IF(AND(critCat&lt;&gt;"&lt;&gt;@@@",K25&lt;&gt;critCat),0,COUNTIFS(rCat,K25,rSub,L25,rTipoE,"Gasto",rFecha,"&gt;="&amp;pIni,rFecha,"&lt;="&amp;pFin,rCtaE,critCta)))</f>
        <v/>
      </c>
      <c r="O25" s="241">
        <f>IF(M25="",-1E+12-19,N(M25)+(201-19)/1E+7)</f>
        <v/>
      </c>
      <c r="P25" s="241">
        <f>L25&amp;" · "&amp;K25</f>
        <v/>
      </c>
      <c r="R25" s="241" t="n">
        <v>19</v>
      </c>
      <c r="S25" s="241">
        <f>IFERROR(INDEX(rCom,MATCH(19,rComIdx,0))&amp;"","")</f>
        <v/>
      </c>
      <c r="T25" s="241">
        <f>IF(S25="","",SUMIFS(rGasto,rCom,S25,rFecha,"&gt;="&amp;pIni,rFecha,"&lt;="&amp;pFin,rCat,critCat,rCtaE,critCta))</f>
        <v/>
      </c>
      <c r="U25" s="241">
        <f>IF(S25="","",COUNTIFS(rCom,S25,rTipoE,"Gasto",rFecha,"&gt;="&amp;pIni,rFecha,"&lt;="&amp;pFin,rCat,critCat,rCtaE,critCta))</f>
        <v/>
      </c>
      <c r="V25" s="241">
        <f>IF(S25="",-1E+12-19,N(T25)+(301-19)/1E+7)</f>
        <v/>
      </c>
      <c r="W25" s="241">
        <f>IF(S25="","",SUMIFS(rGasto,rCom,S25,rHorm,1,rFecha,"&gt;="&amp;pIni,rFecha,"&lt;="&amp;pFin))</f>
        <v/>
      </c>
      <c r="X25" s="241">
        <f>IF(S25="","",COUNTIFS(rCom,S25,rHorm,1,rFecha,"&gt;="&amp;pIni,rFecha,"&lt;="&amp;pFin))</f>
        <v/>
      </c>
      <c r="Y25" s="241">
        <f>IF(S25="",-1E+12-19,N(W25)+(301-19)/1E+7)</f>
        <v/>
      </c>
      <c r="AA25" s="241">
        <f>INDEX(ctaNombre,19)&amp;""</f>
        <v/>
      </c>
      <c r="AB25" s="241">
        <f>IF(AA25="","",SUMIFS(rGasto,rCtaE,AA25,rFecha,"&gt;="&amp;pIni,rFecha,"&lt;="&amp;pFin,rCat,critCat))</f>
        <v/>
      </c>
      <c r="AC25" s="241">
        <f>IF(AA25="","",COUNTIFS(rCtaE,AA25,rTipoE,"Gasto",rFecha,"&gt;="&amp;pIni,rFecha,"&lt;="&amp;pFin,rCat,critCat))</f>
        <v/>
      </c>
      <c r="AD25" s="241">
        <f>IF(AA25="",-1E+12-19,N(AB25)+(100-19)/1E+7)</f>
        <v/>
      </c>
      <c r="AF25" s="241">
        <f>$F25</f>
        <v/>
      </c>
      <c r="AG25" s="241">
        <f>IF(AF25="","",SUMIFS(rGasto,rCat,AF25,rHorm,1,rFecha,"&gt;="&amp;pIni,rFecha,"&lt;="&amp;pFin))</f>
        <v/>
      </c>
      <c r="AH25" s="241">
        <f>IF(AF25="","",COUNTIFS(rCat,AF25,rHorm,1,rFecha,"&gt;="&amp;pIni,rFecha,"&lt;="&amp;pFin))</f>
        <v/>
      </c>
      <c r="AI25" s="241">
        <f>IF(AF25="",-1E+12-19,N(AG25)+(100-19)/1E+7)</f>
        <v/>
      </c>
      <c r="BG25" s="241" t="n">
        <v>19</v>
      </c>
      <c r="BH25" s="246">
        <f>IF(calIni+18&lt;=pFinEff,calIni+18,"")</f>
        <v/>
      </c>
      <c r="BI25" s="241">
        <f>IF(BH25="","",WEEKDAY(BH25,2))</f>
        <v/>
      </c>
      <c r="BJ25" s="241">
        <f>IF(BH25="","",SUMIFS(rGasto,rFecha,BH25,rGrupo,"?*"))</f>
        <v/>
      </c>
      <c r="BK25" s="241">
        <f>IF(BH25="","",SUMIFS(rGasto,rFecha,BH25,rGrupo,gCP))</f>
        <v/>
      </c>
      <c r="BL25" s="241">
        <f>IF(BH25="",-1E+12-19,N(BJ25)+(400-19)/1E+7)</f>
        <v/>
      </c>
    </row>
    <row r="26">
      <c r="E26" s="241" t="n">
        <v>20</v>
      </c>
      <c r="F26" s="241">
        <f>IFERROR(INDEX(catUList,20)&amp;"","")</f>
        <v/>
      </c>
      <c r="G26" s="241">
        <f>IF(F26="","",SUMIFS(rGasto,rCat,F26,rFecha,"&gt;="&amp;pIni,rFecha,"&lt;="&amp;pFin,rCtaE,critCta))</f>
        <v/>
      </c>
      <c r="H26" s="241">
        <f>IF(F26="",-1E+12-20,N(G26)+(100-20)/1E+7)</f>
        <v/>
      </c>
      <c r="I26" s="241">
        <f>IF(F26="","",COUNTIFS(rCat,F26,rTipoE,"Gasto",rFecha,"&gt;="&amp;pIni,rFecha,"&lt;="&amp;pFin,rCtaE,critCta))</f>
        <v/>
      </c>
      <c r="K26" s="241">
        <f>INDEX(catCat,20)&amp;""</f>
        <v/>
      </c>
      <c r="L26" s="241">
        <f>INDEX(catSub,20)&amp;""</f>
        <v/>
      </c>
      <c r="M26" s="241">
        <f>IF(OR(K26="",L26="",INDEX(catTipo,20)&amp;""&lt;&gt;"Gasto"),"",IF(AND(critCat&lt;&gt;"&lt;&gt;@@@",K26&lt;&gt;critCat),0,SUMIFS(rGasto,rCat,K26,rSub,L26,rFecha,"&gt;="&amp;pIni,rFecha,"&lt;="&amp;pFin,rCtaE,critCta)))</f>
        <v/>
      </c>
      <c r="N26" s="241">
        <f>IF(M26="","",IF(AND(critCat&lt;&gt;"&lt;&gt;@@@",K26&lt;&gt;critCat),0,COUNTIFS(rCat,K26,rSub,L26,rTipoE,"Gasto",rFecha,"&gt;="&amp;pIni,rFecha,"&lt;="&amp;pFin,rCtaE,critCta)))</f>
        <v/>
      </c>
      <c r="O26" s="241">
        <f>IF(M26="",-1E+12-20,N(M26)+(201-20)/1E+7)</f>
        <v/>
      </c>
      <c r="P26" s="241">
        <f>L26&amp;" · "&amp;K26</f>
        <v/>
      </c>
      <c r="R26" s="241" t="n">
        <v>20</v>
      </c>
      <c r="S26" s="241">
        <f>IFERROR(INDEX(rCom,MATCH(20,rComIdx,0))&amp;"","")</f>
        <v/>
      </c>
      <c r="T26" s="241">
        <f>IF(S26="","",SUMIFS(rGasto,rCom,S26,rFecha,"&gt;="&amp;pIni,rFecha,"&lt;="&amp;pFin,rCat,critCat,rCtaE,critCta))</f>
        <v/>
      </c>
      <c r="U26" s="241">
        <f>IF(S26="","",COUNTIFS(rCom,S26,rTipoE,"Gasto",rFecha,"&gt;="&amp;pIni,rFecha,"&lt;="&amp;pFin,rCat,critCat,rCtaE,critCta))</f>
        <v/>
      </c>
      <c r="V26" s="241">
        <f>IF(S26="",-1E+12-20,N(T26)+(301-20)/1E+7)</f>
        <v/>
      </c>
      <c r="W26" s="241">
        <f>IF(S26="","",SUMIFS(rGasto,rCom,S26,rHorm,1,rFecha,"&gt;="&amp;pIni,rFecha,"&lt;="&amp;pFin))</f>
        <v/>
      </c>
      <c r="X26" s="241">
        <f>IF(S26="","",COUNTIFS(rCom,S26,rHorm,1,rFecha,"&gt;="&amp;pIni,rFecha,"&lt;="&amp;pFin))</f>
        <v/>
      </c>
      <c r="Y26" s="241">
        <f>IF(S26="",-1E+12-20,N(W26)+(301-20)/1E+7)</f>
        <v/>
      </c>
      <c r="AA26" s="241">
        <f>INDEX(ctaNombre,20)&amp;""</f>
        <v/>
      </c>
      <c r="AB26" s="241">
        <f>IF(AA26="","",SUMIFS(rGasto,rCtaE,AA26,rFecha,"&gt;="&amp;pIni,rFecha,"&lt;="&amp;pFin,rCat,critCat))</f>
        <v/>
      </c>
      <c r="AC26" s="241">
        <f>IF(AA26="","",COUNTIFS(rCtaE,AA26,rTipoE,"Gasto",rFecha,"&gt;="&amp;pIni,rFecha,"&lt;="&amp;pFin,rCat,critCat))</f>
        <v/>
      </c>
      <c r="AD26" s="241">
        <f>IF(AA26="",-1E+12-20,N(AB26)+(100-20)/1E+7)</f>
        <v/>
      </c>
      <c r="AF26" s="241">
        <f>$F26</f>
        <v/>
      </c>
      <c r="AG26" s="241">
        <f>IF(AF26="","",SUMIFS(rGasto,rCat,AF26,rHorm,1,rFecha,"&gt;="&amp;pIni,rFecha,"&lt;="&amp;pFin))</f>
        <v/>
      </c>
      <c r="AH26" s="241">
        <f>IF(AF26="","",COUNTIFS(rCat,AF26,rHorm,1,rFecha,"&gt;="&amp;pIni,rFecha,"&lt;="&amp;pFin))</f>
        <v/>
      </c>
      <c r="AI26" s="241">
        <f>IF(AF26="",-1E+12-20,N(AG26)+(100-20)/1E+7)</f>
        <v/>
      </c>
      <c r="BG26" s="241" t="n">
        <v>20</v>
      </c>
      <c r="BH26" s="246">
        <f>IF(calIni+19&lt;=pFinEff,calIni+19,"")</f>
        <v/>
      </c>
      <c r="BI26" s="241">
        <f>IF(BH26="","",WEEKDAY(BH26,2))</f>
        <v/>
      </c>
      <c r="BJ26" s="241">
        <f>IF(BH26="","",SUMIFS(rGasto,rFecha,BH26,rGrupo,"?*"))</f>
        <v/>
      </c>
      <c r="BK26" s="241">
        <f>IF(BH26="","",SUMIFS(rGasto,rFecha,BH26,rGrupo,gCP))</f>
        <v/>
      </c>
      <c r="BL26" s="241">
        <f>IF(BH26="",-1E+12-20,N(BJ26)+(400-20)/1E+7)</f>
        <v/>
      </c>
    </row>
    <row r="27">
      <c r="E27" s="241" t="n">
        <v>21</v>
      </c>
      <c r="F27" s="241">
        <f>IFERROR(INDEX(catUList,21)&amp;"","")</f>
        <v/>
      </c>
      <c r="G27" s="241">
        <f>IF(F27="","",SUMIFS(rGasto,rCat,F27,rFecha,"&gt;="&amp;pIni,rFecha,"&lt;="&amp;pFin,rCtaE,critCta))</f>
        <v/>
      </c>
      <c r="H27" s="241">
        <f>IF(F27="",-1E+12-21,N(G27)+(100-21)/1E+7)</f>
        <v/>
      </c>
      <c r="I27" s="241">
        <f>IF(F27="","",COUNTIFS(rCat,F27,rTipoE,"Gasto",rFecha,"&gt;="&amp;pIni,rFecha,"&lt;="&amp;pFin,rCtaE,critCta))</f>
        <v/>
      </c>
      <c r="K27" s="241">
        <f>INDEX(catCat,21)&amp;""</f>
        <v/>
      </c>
      <c r="L27" s="241">
        <f>INDEX(catSub,21)&amp;""</f>
        <v/>
      </c>
      <c r="M27" s="241">
        <f>IF(OR(K27="",L27="",INDEX(catTipo,21)&amp;""&lt;&gt;"Gasto"),"",IF(AND(critCat&lt;&gt;"&lt;&gt;@@@",K27&lt;&gt;critCat),0,SUMIFS(rGasto,rCat,K27,rSub,L27,rFecha,"&gt;="&amp;pIni,rFecha,"&lt;="&amp;pFin,rCtaE,critCta)))</f>
        <v/>
      </c>
      <c r="N27" s="241">
        <f>IF(M27="","",IF(AND(critCat&lt;&gt;"&lt;&gt;@@@",K27&lt;&gt;critCat),0,COUNTIFS(rCat,K27,rSub,L27,rTipoE,"Gasto",rFecha,"&gt;="&amp;pIni,rFecha,"&lt;="&amp;pFin,rCtaE,critCta)))</f>
        <v/>
      </c>
      <c r="O27" s="241">
        <f>IF(M27="",-1E+12-21,N(M27)+(201-21)/1E+7)</f>
        <v/>
      </c>
      <c r="P27" s="241">
        <f>L27&amp;" · "&amp;K27</f>
        <v/>
      </c>
      <c r="R27" s="241" t="n">
        <v>21</v>
      </c>
      <c r="S27" s="241">
        <f>IFERROR(INDEX(rCom,MATCH(21,rComIdx,0))&amp;"","")</f>
        <v/>
      </c>
      <c r="T27" s="241">
        <f>IF(S27="","",SUMIFS(rGasto,rCom,S27,rFecha,"&gt;="&amp;pIni,rFecha,"&lt;="&amp;pFin,rCat,critCat,rCtaE,critCta))</f>
        <v/>
      </c>
      <c r="U27" s="241">
        <f>IF(S27="","",COUNTIFS(rCom,S27,rTipoE,"Gasto",rFecha,"&gt;="&amp;pIni,rFecha,"&lt;="&amp;pFin,rCat,critCat,rCtaE,critCta))</f>
        <v/>
      </c>
      <c r="V27" s="241">
        <f>IF(S27="",-1E+12-21,N(T27)+(301-21)/1E+7)</f>
        <v/>
      </c>
      <c r="W27" s="241">
        <f>IF(S27="","",SUMIFS(rGasto,rCom,S27,rHorm,1,rFecha,"&gt;="&amp;pIni,rFecha,"&lt;="&amp;pFin))</f>
        <v/>
      </c>
      <c r="X27" s="241">
        <f>IF(S27="","",COUNTIFS(rCom,S27,rHorm,1,rFecha,"&gt;="&amp;pIni,rFecha,"&lt;="&amp;pFin))</f>
        <v/>
      </c>
      <c r="Y27" s="241">
        <f>IF(S27="",-1E+12-21,N(W27)+(301-21)/1E+7)</f>
        <v/>
      </c>
      <c r="AA27" s="241">
        <f>INDEX(ctaNombre,21)&amp;""</f>
        <v/>
      </c>
      <c r="AB27" s="241">
        <f>IF(AA27="","",SUMIFS(rGasto,rCtaE,AA27,rFecha,"&gt;="&amp;pIni,rFecha,"&lt;="&amp;pFin,rCat,critCat))</f>
        <v/>
      </c>
      <c r="AC27" s="241">
        <f>IF(AA27="","",COUNTIFS(rCtaE,AA27,rTipoE,"Gasto",rFecha,"&gt;="&amp;pIni,rFecha,"&lt;="&amp;pFin,rCat,critCat))</f>
        <v/>
      </c>
      <c r="AD27" s="241">
        <f>IF(AA27="",-1E+12-21,N(AB27)+(100-21)/1E+7)</f>
        <v/>
      </c>
      <c r="AF27" s="241">
        <f>$F27</f>
        <v/>
      </c>
      <c r="AG27" s="241">
        <f>IF(AF27="","",SUMIFS(rGasto,rCat,AF27,rHorm,1,rFecha,"&gt;="&amp;pIni,rFecha,"&lt;="&amp;pFin))</f>
        <v/>
      </c>
      <c r="AH27" s="241">
        <f>IF(AF27="","",COUNTIFS(rCat,AF27,rHorm,1,rFecha,"&gt;="&amp;pIni,rFecha,"&lt;="&amp;pFin))</f>
        <v/>
      </c>
      <c r="AI27" s="241">
        <f>IF(AF27="",-1E+12-21,N(AG27)+(100-21)/1E+7)</f>
        <v/>
      </c>
      <c r="BG27" s="241" t="n">
        <v>21</v>
      </c>
      <c r="BH27" s="246">
        <f>IF(calIni+20&lt;=pFinEff,calIni+20,"")</f>
        <v/>
      </c>
      <c r="BI27" s="241">
        <f>IF(BH27="","",WEEKDAY(BH27,2))</f>
        <v/>
      </c>
      <c r="BJ27" s="241">
        <f>IF(BH27="","",SUMIFS(rGasto,rFecha,BH27,rGrupo,"?*"))</f>
        <v/>
      </c>
      <c r="BK27" s="241">
        <f>IF(BH27="","",SUMIFS(rGasto,rFecha,BH27,rGrupo,gCP))</f>
        <v/>
      </c>
      <c r="BL27" s="241">
        <f>IF(BH27="",-1E+12-21,N(BJ27)+(400-21)/1E+7)</f>
        <v/>
      </c>
    </row>
    <row r="28">
      <c r="E28" s="241" t="n">
        <v>22</v>
      </c>
      <c r="F28" s="241">
        <f>IFERROR(INDEX(catUList,22)&amp;"","")</f>
        <v/>
      </c>
      <c r="G28" s="241">
        <f>IF(F28="","",SUMIFS(rGasto,rCat,F28,rFecha,"&gt;="&amp;pIni,rFecha,"&lt;="&amp;pFin,rCtaE,critCta))</f>
        <v/>
      </c>
      <c r="H28" s="241">
        <f>IF(F28="",-1E+12-22,N(G28)+(100-22)/1E+7)</f>
        <v/>
      </c>
      <c r="I28" s="241">
        <f>IF(F28="","",COUNTIFS(rCat,F28,rTipoE,"Gasto",rFecha,"&gt;="&amp;pIni,rFecha,"&lt;="&amp;pFin,rCtaE,critCta))</f>
        <v/>
      </c>
      <c r="K28" s="241">
        <f>INDEX(catCat,22)&amp;""</f>
        <v/>
      </c>
      <c r="L28" s="241">
        <f>INDEX(catSub,22)&amp;""</f>
        <v/>
      </c>
      <c r="M28" s="241">
        <f>IF(OR(K28="",L28="",INDEX(catTipo,22)&amp;""&lt;&gt;"Gasto"),"",IF(AND(critCat&lt;&gt;"&lt;&gt;@@@",K28&lt;&gt;critCat),0,SUMIFS(rGasto,rCat,K28,rSub,L28,rFecha,"&gt;="&amp;pIni,rFecha,"&lt;="&amp;pFin,rCtaE,critCta)))</f>
        <v/>
      </c>
      <c r="N28" s="241">
        <f>IF(M28="","",IF(AND(critCat&lt;&gt;"&lt;&gt;@@@",K28&lt;&gt;critCat),0,COUNTIFS(rCat,K28,rSub,L28,rTipoE,"Gasto",rFecha,"&gt;="&amp;pIni,rFecha,"&lt;="&amp;pFin,rCtaE,critCta)))</f>
        <v/>
      </c>
      <c r="O28" s="241">
        <f>IF(M28="",-1E+12-22,N(M28)+(201-22)/1E+7)</f>
        <v/>
      </c>
      <c r="P28" s="241">
        <f>L28&amp;" · "&amp;K28</f>
        <v/>
      </c>
      <c r="R28" s="241" t="n">
        <v>22</v>
      </c>
      <c r="S28" s="241">
        <f>IFERROR(INDEX(rCom,MATCH(22,rComIdx,0))&amp;"","")</f>
        <v/>
      </c>
      <c r="T28" s="241">
        <f>IF(S28="","",SUMIFS(rGasto,rCom,S28,rFecha,"&gt;="&amp;pIni,rFecha,"&lt;="&amp;pFin,rCat,critCat,rCtaE,critCta))</f>
        <v/>
      </c>
      <c r="U28" s="241">
        <f>IF(S28="","",COUNTIFS(rCom,S28,rTipoE,"Gasto",rFecha,"&gt;="&amp;pIni,rFecha,"&lt;="&amp;pFin,rCat,critCat,rCtaE,critCta))</f>
        <v/>
      </c>
      <c r="V28" s="241">
        <f>IF(S28="",-1E+12-22,N(T28)+(301-22)/1E+7)</f>
        <v/>
      </c>
      <c r="W28" s="241">
        <f>IF(S28="","",SUMIFS(rGasto,rCom,S28,rHorm,1,rFecha,"&gt;="&amp;pIni,rFecha,"&lt;="&amp;pFin))</f>
        <v/>
      </c>
      <c r="X28" s="241">
        <f>IF(S28="","",COUNTIFS(rCom,S28,rHorm,1,rFecha,"&gt;="&amp;pIni,rFecha,"&lt;="&amp;pFin))</f>
        <v/>
      </c>
      <c r="Y28" s="241">
        <f>IF(S28="",-1E+12-22,N(W28)+(301-22)/1E+7)</f>
        <v/>
      </c>
      <c r="AA28" s="241">
        <f>INDEX(ctaNombre,22)&amp;""</f>
        <v/>
      </c>
      <c r="AB28" s="241">
        <f>IF(AA28="","",SUMIFS(rGasto,rCtaE,AA28,rFecha,"&gt;="&amp;pIni,rFecha,"&lt;="&amp;pFin,rCat,critCat))</f>
        <v/>
      </c>
      <c r="AC28" s="241">
        <f>IF(AA28="","",COUNTIFS(rCtaE,AA28,rTipoE,"Gasto",rFecha,"&gt;="&amp;pIni,rFecha,"&lt;="&amp;pFin,rCat,critCat))</f>
        <v/>
      </c>
      <c r="AD28" s="241">
        <f>IF(AA28="",-1E+12-22,N(AB28)+(100-22)/1E+7)</f>
        <v/>
      </c>
      <c r="AF28" s="241">
        <f>$F28</f>
        <v/>
      </c>
      <c r="AG28" s="241">
        <f>IF(AF28="","",SUMIFS(rGasto,rCat,AF28,rHorm,1,rFecha,"&gt;="&amp;pIni,rFecha,"&lt;="&amp;pFin))</f>
        <v/>
      </c>
      <c r="AH28" s="241">
        <f>IF(AF28="","",COUNTIFS(rCat,AF28,rHorm,1,rFecha,"&gt;="&amp;pIni,rFecha,"&lt;="&amp;pFin))</f>
        <v/>
      </c>
      <c r="AI28" s="241">
        <f>IF(AF28="",-1E+12-22,N(AG28)+(100-22)/1E+7)</f>
        <v/>
      </c>
      <c r="BG28" s="241" t="n">
        <v>22</v>
      </c>
      <c r="BH28" s="246">
        <f>IF(calIni+21&lt;=pFinEff,calIni+21,"")</f>
        <v/>
      </c>
      <c r="BI28" s="241">
        <f>IF(BH28="","",WEEKDAY(BH28,2))</f>
        <v/>
      </c>
      <c r="BJ28" s="241">
        <f>IF(BH28="","",SUMIFS(rGasto,rFecha,BH28,rGrupo,"?*"))</f>
        <v/>
      </c>
      <c r="BK28" s="241">
        <f>IF(BH28="","",SUMIFS(rGasto,rFecha,BH28,rGrupo,gCP))</f>
        <v/>
      </c>
      <c r="BL28" s="241">
        <f>IF(BH28="",-1E+12-22,N(BJ28)+(400-22)/1E+7)</f>
        <v/>
      </c>
    </row>
    <row r="29">
      <c r="E29" s="241" t="n">
        <v>23</v>
      </c>
      <c r="F29" s="241">
        <f>IFERROR(INDEX(catUList,23)&amp;"","")</f>
        <v/>
      </c>
      <c r="G29" s="241">
        <f>IF(F29="","",SUMIFS(rGasto,rCat,F29,rFecha,"&gt;="&amp;pIni,rFecha,"&lt;="&amp;pFin,rCtaE,critCta))</f>
        <v/>
      </c>
      <c r="H29" s="241">
        <f>IF(F29="",-1E+12-23,N(G29)+(100-23)/1E+7)</f>
        <v/>
      </c>
      <c r="I29" s="241">
        <f>IF(F29="","",COUNTIFS(rCat,F29,rTipoE,"Gasto",rFecha,"&gt;="&amp;pIni,rFecha,"&lt;="&amp;pFin,rCtaE,critCta))</f>
        <v/>
      </c>
      <c r="K29" s="241">
        <f>INDEX(catCat,23)&amp;""</f>
        <v/>
      </c>
      <c r="L29" s="241">
        <f>INDEX(catSub,23)&amp;""</f>
        <v/>
      </c>
      <c r="M29" s="241">
        <f>IF(OR(K29="",L29="",INDEX(catTipo,23)&amp;""&lt;&gt;"Gasto"),"",IF(AND(critCat&lt;&gt;"&lt;&gt;@@@",K29&lt;&gt;critCat),0,SUMIFS(rGasto,rCat,K29,rSub,L29,rFecha,"&gt;="&amp;pIni,rFecha,"&lt;="&amp;pFin,rCtaE,critCta)))</f>
        <v/>
      </c>
      <c r="N29" s="241">
        <f>IF(M29="","",IF(AND(critCat&lt;&gt;"&lt;&gt;@@@",K29&lt;&gt;critCat),0,COUNTIFS(rCat,K29,rSub,L29,rTipoE,"Gasto",rFecha,"&gt;="&amp;pIni,rFecha,"&lt;="&amp;pFin,rCtaE,critCta)))</f>
        <v/>
      </c>
      <c r="O29" s="241">
        <f>IF(M29="",-1E+12-23,N(M29)+(201-23)/1E+7)</f>
        <v/>
      </c>
      <c r="P29" s="241">
        <f>L29&amp;" · "&amp;K29</f>
        <v/>
      </c>
      <c r="R29" s="241" t="n">
        <v>23</v>
      </c>
      <c r="S29" s="241">
        <f>IFERROR(INDEX(rCom,MATCH(23,rComIdx,0))&amp;"","")</f>
        <v/>
      </c>
      <c r="T29" s="241">
        <f>IF(S29="","",SUMIFS(rGasto,rCom,S29,rFecha,"&gt;="&amp;pIni,rFecha,"&lt;="&amp;pFin,rCat,critCat,rCtaE,critCta))</f>
        <v/>
      </c>
      <c r="U29" s="241">
        <f>IF(S29="","",COUNTIFS(rCom,S29,rTipoE,"Gasto",rFecha,"&gt;="&amp;pIni,rFecha,"&lt;="&amp;pFin,rCat,critCat,rCtaE,critCta))</f>
        <v/>
      </c>
      <c r="V29" s="241">
        <f>IF(S29="",-1E+12-23,N(T29)+(301-23)/1E+7)</f>
        <v/>
      </c>
      <c r="W29" s="241">
        <f>IF(S29="","",SUMIFS(rGasto,rCom,S29,rHorm,1,rFecha,"&gt;="&amp;pIni,rFecha,"&lt;="&amp;pFin))</f>
        <v/>
      </c>
      <c r="X29" s="241">
        <f>IF(S29="","",COUNTIFS(rCom,S29,rHorm,1,rFecha,"&gt;="&amp;pIni,rFecha,"&lt;="&amp;pFin))</f>
        <v/>
      </c>
      <c r="Y29" s="241">
        <f>IF(S29="",-1E+12-23,N(W29)+(301-23)/1E+7)</f>
        <v/>
      </c>
      <c r="AA29" s="241">
        <f>INDEX(ctaNombre,23)&amp;""</f>
        <v/>
      </c>
      <c r="AB29" s="241">
        <f>IF(AA29="","",SUMIFS(rGasto,rCtaE,AA29,rFecha,"&gt;="&amp;pIni,rFecha,"&lt;="&amp;pFin,rCat,critCat))</f>
        <v/>
      </c>
      <c r="AC29" s="241">
        <f>IF(AA29="","",COUNTIFS(rCtaE,AA29,rTipoE,"Gasto",rFecha,"&gt;="&amp;pIni,rFecha,"&lt;="&amp;pFin,rCat,critCat))</f>
        <v/>
      </c>
      <c r="AD29" s="241">
        <f>IF(AA29="",-1E+12-23,N(AB29)+(100-23)/1E+7)</f>
        <v/>
      </c>
      <c r="AF29" s="241">
        <f>$F29</f>
        <v/>
      </c>
      <c r="AG29" s="241">
        <f>IF(AF29="","",SUMIFS(rGasto,rCat,AF29,rHorm,1,rFecha,"&gt;="&amp;pIni,rFecha,"&lt;="&amp;pFin))</f>
        <v/>
      </c>
      <c r="AH29" s="241">
        <f>IF(AF29="","",COUNTIFS(rCat,AF29,rHorm,1,rFecha,"&gt;="&amp;pIni,rFecha,"&lt;="&amp;pFin))</f>
        <v/>
      </c>
      <c r="AI29" s="241">
        <f>IF(AF29="",-1E+12-23,N(AG29)+(100-23)/1E+7)</f>
        <v/>
      </c>
      <c r="BG29" s="241" t="n">
        <v>23</v>
      </c>
      <c r="BH29" s="246">
        <f>IF(calIni+22&lt;=pFinEff,calIni+22,"")</f>
        <v/>
      </c>
      <c r="BI29" s="241">
        <f>IF(BH29="","",WEEKDAY(BH29,2))</f>
        <v/>
      </c>
      <c r="BJ29" s="241">
        <f>IF(BH29="","",SUMIFS(rGasto,rFecha,BH29,rGrupo,"?*"))</f>
        <v/>
      </c>
      <c r="BK29" s="241">
        <f>IF(BH29="","",SUMIFS(rGasto,rFecha,BH29,rGrupo,gCP))</f>
        <v/>
      </c>
      <c r="BL29" s="241">
        <f>IF(BH29="",-1E+12-23,N(BJ29)+(400-23)/1E+7)</f>
        <v/>
      </c>
    </row>
    <row r="30">
      <c r="E30" s="241" t="n">
        <v>24</v>
      </c>
      <c r="F30" s="241">
        <f>IFERROR(INDEX(catUList,24)&amp;"","")</f>
        <v/>
      </c>
      <c r="G30" s="241">
        <f>IF(F30="","",SUMIFS(rGasto,rCat,F30,rFecha,"&gt;="&amp;pIni,rFecha,"&lt;="&amp;pFin,rCtaE,critCta))</f>
        <v/>
      </c>
      <c r="H30" s="241">
        <f>IF(F30="",-1E+12-24,N(G30)+(100-24)/1E+7)</f>
        <v/>
      </c>
      <c r="I30" s="241">
        <f>IF(F30="","",COUNTIFS(rCat,F30,rTipoE,"Gasto",rFecha,"&gt;="&amp;pIni,rFecha,"&lt;="&amp;pFin,rCtaE,critCta))</f>
        <v/>
      </c>
      <c r="K30" s="241">
        <f>INDEX(catCat,24)&amp;""</f>
        <v/>
      </c>
      <c r="L30" s="241">
        <f>INDEX(catSub,24)&amp;""</f>
        <v/>
      </c>
      <c r="M30" s="241">
        <f>IF(OR(K30="",L30="",INDEX(catTipo,24)&amp;""&lt;&gt;"Gasto"),"",IF(AND(critCat&lt;&gt;"&lt;&gt;@@@",K30&lt;&gt;critCat),0,SUMIFS(rGasto,rCat,K30,rSub,L30,rFecha,"&gt;="&amp;pIni,rFecha,"&lt;="&amp;pFin,rCtaE,critCta)))</f>
        <v/>
      </c>
      <c r="N30" s="241">
        <f>IF(M30="","",IF(AND(critCat&lt;&gt;"&lt;&gt;@@@",K30&lt;&gt;critCat),0,COUNTIFS(rCat,K30,rSub,L30,rTipoE,"Gasto",rFecha,"&gt;="&amp;pIni,rFecha,"&lt;="&amp;pFin,rCtaE,critCta)))</f>
        <v/>
      </c>
      <c r="O30" s="241">
        <f>IF(M30="",-1E+12-24,N(M30)+(201-24)/1E+7)</f>
        <v/>
      </c>
      <c r="P30" s="241">
        <f>L30&amp;" · "&amp;K30</f>
        <v/>
      </c>
      <c r="R30" s="241" t="n">
        <v>24</v>
      </c>
      <c r="S30" s="241">
        <f>IFERROR(INDEX(rCom,MATCH(24,rComIdx,0))&amp;"","")</f>
        <v/>
      </c>
      <c r="T30" s="241">
        <f>IF(S30="","",SUMIFS(rGasto,rCom,S30,rFecha,"&gt;="&amp;pIni,rFecha,"&lt;="&amp;pFin,rCat,critCat,rCtaE,critCta))</f>
        <v/>
      </c>
      <c r="U30" s="241">
        <f>IF(S30="","",COUNTIFS(rCom,S30,rTipoE,"Gasto",rFecha,"&gt;="&amp;pIni,rFecha,"&lt;="&amp;pFin,rCat,critCat,rCtaE,critCta))</f>
        <v/>
      </c>
      <c r="V30" s="241">
        <f>IF(S30="",-1E+12-24,N(T30)+(301-24)/1E+7)</f>
        <v/>
      </c>
      <c r="W30" s="241">
        <f>IF(S30="","",SUMIFS(rGasto,rCom,S30,rHorm,1,rFecha,"&gt;="&amp;pIni,rFecha,"&lt;="&amp;pFin))</f>
        <v/>
      </c>
      <c r="X30" s="241">
        <f>IF(S30="","",COUNTIFS(rCom,S30,rHorm,1,rFecha,"&gt;="&amp;pIni,rFecha,"&lt;="&amp;pFin))</f>
        <v/>
      </c>
      <c r="Y30" s="241">
        <f>IF(S30="",-1E+12-24,N(W30)+(301-24)/1E+7)</f>
        <v/>
      </c>
      <c r="AA30" s="241">
        <f>INDEX(ctaNombre,24)&amp;""</f>
        <v/>
      </c>
      <c r="AB30" s="241">
        <f>IF(AA30="","",SUMIFS(rGasto,rCtaE,AA30,rFecha,"&gt;="&amp;pIni,rFecha,"&lt;="&amp;pFin,rCat,critCat))</f>
        <v/>
      </c>
      <c r="AC30" s="241">
        <f>IF(AA30="","",COUNTIFS(rCtaE,AA30,rTipoE,"Gasto",rFecha,"&gt;="&amp;pIni,rFecha,"&lt;="&amp;pFin,rCat,critCat))</f>
        <v/>
      </c>
      <c r="AD30" s="241">
        <f>IF(AA30="",-1E+12-24,N(AB30)+(100-24)/1E+7)</f>
        <v/>
      </c>
      <c r="AF30" s="241">
        <f>$F30</f>
        <v/>
      </c>
      <c r="AG30" s="241">
        <f>IF(AF30="","",SUMIFS(rGasto,rCat,AF30,rHorm,1,rFecha,"&gt;="&amp;pIni,rFecha,"&lt;="&amp;pFin))</f>
        <v/>
      </c>
      <c r="AH30" s="241">
        <f>IF(AF30="","",COUNTIFS(rCat,AF30,rHorm,1,rFecha,"&gt;="&amp;pIni,rFecha,"&lt;="&amp;pFin))</f>
        <v/>
      </c>
      <c r="AI30" s="241">
        <f>IF(AF30="",-1E+12-24,N(AG30)+(100-24)/1E+7)</f>
        <v/>
      </c>
      <c r="BG30" s="241" t="n">
        <v>24</v>
      </c>
      <c r="BH30" s="246">
        <f>IF(calIni+23&lt;=pFinEff,calIni+23,"")</f>
        <v/>
      </c>
      <c r="BI30" s="241">
        <f>IF(BH30="","",WEEKDAY(BH30,2))</f>
        <v/>
      </c>
      <c r="BJ30" s="241">
        <f>IF(BH30="","",SUMIFS(rGasto,rFecha,BH30,rGrupo,"?*"))</f>
        <v/>
      </c>
      <c r="BK30" s="241">
        <f>IF(BH30="","",SUMIFS(rGasto,rFecha,BH30,rGrupo,gCP))</f>
        <v/>
      </c>
      <c r="BL30" s="241">
        <f>IF(BH30="",-1E+12-24,N(BJ30)+(400-24)/1E+7)</f>
        <v/>
      </c>
    </row>
    <row r="31">
      <c r="E31" s="241" t="n">
        <v>25</v>
      </c>
      <c r="F31" s="241">
        <f>IFERROR(INDEX(catUList,25)&amp;"","")</f>
        <v/>
      </c>
      <c r="G31" s="241">
        <f>IF(F31="","",SUMIFS(rGasto,rCat,F31,rFecha,"&gt;="&amp;pIni,rFecha,"&lt;="&amp;pFin,rCtaE,critCta))</f>
        <v/>
      </c>
      <c r="H31" s="241">
        <f>IF(F31="",-1E+12-25,N(G31)+(100-25)/1E+7)</f>
        <v/>
      </c>
      <c r="I31" s="241">
        <f>IF(F31="","",COUNTIFS(rCat,F31,rTipoE,"Gasto",rFecha,"&gt;="&amp;pIni,rFecha,"&lt;="&amp;pFin,rCtaE,critCta))</f>
        <v/>
      </c>
      <c r="K31" s="241">
        <f>INDEX(catCat,25)&amp;""</f>
        <v/>
      </c>
      <c r="L31" s="241">
        <f>INDEX(catSub,25)&amp;""</f>
        <v/>
      </c>
      <c r="M31" s="241">
        <f>IF(OR(K31="",L31="",INDEX(catTipo,25)&amp;""&lt;&gt;"Gasto"),"",IF(AND(critCat&lt;&gt;"&lt;&gt;@@@",K31&lt;&gt;critCat),0,SUMIFS(rGasto,rCat,K31,rSub,L31,rFecha,"&gt;="&amp;pIni,rFecha,"&lt;="&amp;pFin,rCtaE,critCta)))</f>
        <v/>
      </c>
      <c r="N31" s="241">
        <f>IF(M31="","",IF(AND(critCat&lt;&gt;"&lt;&gt;@@@",K31&lt;&gt;critCat),0,COUNTIFS(rCat,K31,rSub,L31,rTipoE,"Gasto",rFecha,"&gt;="&amp;pIni,rFecha,"&lt;="&amp;pFin,rCtaE,critCta)))</f>
        <v/>
      </c>
      <c r="O31" s="241">
        <f>IF(M31="",-1E+12-25,N(M31)+(201-25)/1E+7)</f>
        <v/>
      </c>
      <c r="P31" s="241">
        <f>L31&amp;" · "&amp;K31</f>
        <v/>
      </c>
      <c r="R31" s="241" t="n">
        <v>25</v>
      </c>
      <c r="S31" s="241">
        <f>IFERROR(INDEX(rCom,MATCH(25,rComIdx,0))&amp;"","")</f>
        <v/>
      </c>
      <c r="T31" s="241">
        <f>IF(S31="","",SUMIFS(rGasto,rCom,S31,rFecha,"&gt;="&amp;pIni,rFecha,"&lt;="&amp;pFin,rCat,critCat,rCtaE,critCta))</f>
        <v/>
      </c>
      <c r="U31" s="241">
        <f>IF(S31="","",COUNTIFS(rCom,S31,rTipoE,"Gasto",rFecha,"&gt;="&amp;pIni,rFecha,"&lt;="&amp;pFin,rCat,critCat,rCtaE,critCta))</f>
        <v/>
      </c>
      <c r="V31" s="241">
        <f>IF(S31="",-1E+12-25,N(T31)+(301-25)/1E+7)</f>
        <v/>
      </c>
      <c r="W31" s="241">
        <f>IF(S31="","",SUMIFS(rGasto,rCom,S31,rHorm,1,rFecha,"&gt;="&amp;pIni,rFecha,"&lt;="&amp;pFin))</f>
        <v/>
      </c>
      <c r="X31" s="241">
        <f>IF(S31="","",COUNTIFS(rCom,S31,rHorm,1,rFecha,"&gt;="&amp;pIni,rFecha,"&lt;="&amp;pFin))</f>
        <v/>
      </c>
      <c r="Y31" s="241">
        <f>IF(S31="",-1E+12-25,N(W31)+(301-25)/1E+7)</f>
        <v/>
      </c>
      <c r="AA31" s="241">
        <f>INDEX(ctaNombre,25)&amp;""</f>
        <v/>
      </c>
      <c r="AB31" s="241">
        <f>IF(AA31="","",SUMIFS(rGasto,rCtaE,AA31,rFecha,"&gt;="&amp;pIni,rFecha,"&lt;="&amp;pFin,rCat,critCat))</f>
        <v/>
      </c>
      <c r="AC31" s="241">
        <f>IF(AA31="","",COUNTIFS(rCtaE,AA31,rTipoE,"Gasto",rFecha,"&gt;="&amp;pIni,rFecha,"&lt;="&amp;pFin,rCat,critCat))</f>
        <v/>
      </c>
      <c r="AD31" s="241">
        <f>IF(AA31="",-1E+12-25,N(AB31)+(100-25)/1E+7)</f>
        <v/>
      </c>
      <c r="AF31" s="241">
        <f>$F31</f>
        <v/>
      </c>
      <c r="AG31" s="241">
        <f>IF(AF31="","",SUMIFS(rGasto,rCat,AF31,rHorm,1,rFecha,"&gt;="&amp;pIni,rFecha,"&lt;="&amp;pFin))</f>
        <v/>
      </c>
      <c r="AH31" s="241">
        <f>IF(AF31="","",COUNTIFS(rCat,AF31,rHorm,1,rFecha,"&gt;="&amp;pIni,rFecha,"&lt;="&amp;pFin))</f>
        <v/>
      </c>
      <c r="AI31" s="241">
        <f>IF(AF31="",-1E+12-25,N(AG31)+(100-25)/1E+7)</f>
        <v/>
      </c>
      <c r="BG31" s="241" t="n">
        <v>25</v>
      </c>
      <c r="BH31" s="246">
        <f>IF(calIni+24&lt;=pFinEff,calIni+24,"")</f>
        <v/>
      </c>
      <c r="BI31" s="241">
        <f>IF(BH31="","",WEEKDAY(BH31,2))</f>
        <v/>
      </c>
      <c r="BJ31" s="241">
        <f>IF(BH31="","",SUMIFS(rGasto,rFecha,BH31,rGrupo,"?*"))</f>
        <v/>
      </c>
      <c r="BK31" s="241">
        <f>IF(BH31="","",SUMIFS(rGasto,rFecha,BH31,rGrupo,gCP))</f>
        <v/>
      </c>
      <c r="BL31" s="241">
        <f>IF(BH31="",-1E+12-25,N(BJ31)+(400-25)/1E+7)</f>
        <v/>
      </c>
    </row>
    <row r="32">
      <c r="E32" s="241" t="n">
        <v>26</v>
      </c>
      <c r="F32" s="241">
        <f>IFERROR(INDEX(catUList,26)&amp;"","")</f>
        <v/>
      </c>
      <c r="G32" s="241">
        <f>IF(F32="","",SUMIFS(rGasto,rCat,F32,rFecha,"&gt;="&amp;pIni,rFecha,"&lt;="&amp;pFin,rCtaE,critCta))</f>
        <v/>
      </c>
      <c r="H32" s="241">
        <f>IF(F32="",-1E+12-26,N(G32)+(100-26)/1E+7)</f>
        <v/>
      </c>
      <c r="I32" s="241">
        <f>IF(F32="","",COUNTIFS(rCat,F32,rTipoE,"Gasto",rFecha,"&gt;="&amp;pIni,rFecha,"&lt;="&amp;pFin,rCtaE,critCta))</f>
        <v/>
      </c>
      <c r="K32" s="241">
        <f>INDEX(catCat,26)&amp;""</f>
        <v/>
      </c>
      <c r="L32" s="241">
        <f>INDEX(catSub,26)&amp;""</f>
        <v/>
      </c>
      <c r="M32" s="241">
        <f>IF(OR(K32="",L32="",INDEX(catTipo,26)&amp;""&lt;&gt;"Gasto"),"",IF(AND(critCat&lt;&gt;"&lt;&gt;@@@",K32&lt;&gt;critCat),0,SUMIFS(rGasto,rCat,K32,rSub,L32,rFecha,"&gt;="&amp;pIni,rFecha,"&lt;="&amp;pFin,rCtaE,critCta)))</f>
        <v/>
      </c>
      <c r="N32" s="241">
        <f>IF(M32="","",IF(AND(critCat&lt;&gt;"&lt;&gt;@@@",K32&lt;&gt;critCat),0,COUNTIFS(rCat,K32,rSub,L32,rTipoE,"Gasto",rFecha,"&gt;="&amp;pIni,rFecha,"&lt;="&amp;pFin,rCtaE,critCta)))</f>
        <v/>
      </c>
      <c r="O32" s="241">
        <f>IF(M32="",-1E+12-26,N(M32)+(201-26)/1E+7)</f>
        <v/>
      </c>
      <c r="P32" s="241">
        <f>L32&amp;" · "&amp;K32</f>
        <v/>
      </c>
      <c r="R32" s="241" t="n">
        <v>26</v>
      </c>
      <c r="S32" s="241">
        <f>IFERROR(INDEX(rCom,MATCH(26,rComIdx,0))&amp;"","")</f>
        <v/>
      </c>
      <c r="T32" s="241">
        <f>IF(S32="","",SUMIFS(rGasto,rCom,S32,rFecha,"&gt;="&amp;pIni,rFecha,"&lt;="&amp;pFin,rCat,critCat,rCtaE,critCta))</f>
        <v/>
      </c>
      <c r="U32" s="241">
        <f>IF(S32="","",COUNTIFS(rCom,S32,rTipoE,"Gasto",rFecha,"&gt;="&amp;pIni,rFecha,"&lt;="&amp;pFin,rCat,critCat,rCtaE,critCta))</f>
        <v/>
      </c>
      <c r="V32" s="241">
        <f>IF(S32="",-1E+12-26,N(T32)+(301-26)/1E+7)</f>
        <v/>
      </c>
      <c r="W32" s="241">
        <f>IF(S32="","",SUMIFS(rGasto,rCom,S32,rHorm,1,rFecha,"&gt;="&amp;pIni,rFecha,"&lt;="&amp;pFin))</f>
        <v/>
      </c>
      <c r="X32" s="241">
        <f>IF(S32="","",COUNTIFS(rCom,S32,rHorm,1,rFecha,"&gt;="&amp;pIni,rFecha,"&lt;="&amp;pFin))</f>
        <v/>
      </c>
      <c r="Y32" s="241">
        <f>IF(S32="",-1E+12-26,N(W32)+(301-26)/1E+7)</f>
        <v/>
      </c>
      <c r="AA32" s="241">
        <f>INDEX(ctaNombre,26)&amp;""</f>
        <v/>
      </c>
      <c r="AB32" s="241">
        <f>IF(AA32="","",SUMIFS(rGasto,rCtaE,AA32,rFecha,"&gt;="&amp;pIni,rFecha,"&lt;="&amp;pFin,rCat,critCat))</f>
        <v/>
      </c>
      <c r="AC32" s="241">
        <f>IF(AA32="","",COUNTIFS(rCtaE,AA32,rTipoE,"Gasto",rFecha,"&gt;="&amp;pIni,rFecha,"&lt;="&amp;pFin,rCat,critCat))</f>
        <v/>
      </c>
      <c r="AD32" s="241">
        <f>IF(AA32="",-1E+12-26,N(AB32)+(100-26)/1E+7)</f>
        <v/>
      </c>
      <c r="AF32" s="241">
        <f>$F32</f>
        <v/>
      </c>
      <c r="AG32" s="241">
        <f>IF(AF32="","",SUMIFS(rGasto,rCat,AF32,rHorm,1,rFecha,"&gt;="&amp;pIni,rFecha,"&lt;="&amp;pFin))</f>
        <v/>
      </c>
      <c r="AH32" s="241">
        <f>IF(AF32="","",COUNTIFS(rCat,AF32,rHorm,1,rFecha,"&gt;="&amp;pIni,rFecha,"&lt;="&amp;pFin))</f>
        <v/>
      </c>
      <c r="AI32" s="241">
        <f>IF(AF32="",-1E+12-26,N(AG32)+(100-26)/1E+7)</f>
        <v/>
      </c>
      <c r="BG32" s="241" t="n">
        <v>26</v>
      </c>
      <c r="BH32" s="246">
        <f>IF(calIni+25&lt;=pFinEff,calIni+25,"")</f>
        <v/>
      </c>
      <c r="BI32" s="241">
        <f>IF(BH32="","",WEEKDAY(BH32,2))</f>
        <v/>
      </c>
      <c r="BJ32" s="241">
        <f>IF(BH32="","",SUMIFS(rGasto,rFecha,BH32,rGrupo,"?*"))</f>
        <v/>
      </c>
      <c r="BK32" s="241">
        <f>IF(BH32="","",SUMIFS(rGasto,rFecha,BH32,rGrupo,gCP))</f>
        <v/>
      </c>
      <c r="BL32" s="241">
        <f>IF(BH32="",-1E+12-26,N(BJ32)+(400-26)/1E+7)</f>
        <v/>
      </c>
    </row>
    <row r="33">
      <c r="E33" s="241" t="n">
        <v>27</v>
      </c>
      <c r="F33" s="241">
        <f>IFERROR(INDEX(catUList,27)&amp;"","")</f>
        <v/>
      </c>
      <c r="G33" s="241">
        <f>IF(F33="","",SUMIFS(rGasto,rCat,F33,rFecha,"&gt;="&amp;pIni,rFecha,"&lt;="&amp;pFin,rCtaE,critCta))</f>
        <v/>
      </c>
      <c r="H33" s="241">
        <f>IF(F33="",-1E+12-27,N(G33)+(100-27)/1E+7)</f>
        <v/>
      </c>
      <c r="I33" s="241">
        <f>IF(F33="","",COUNTIFS(rCat,F33,rTipoE,"Gasto",rFecha,"&gt;="&amp;pIni,rFecha,"&lt;="&amp;pFin,rCtaE,critCta))</f>
        <v/>
      </c>
      <c r="K33" s="241">
        <f>INDEX(catCat,27)&amp;""</f>
        <v/>
      </c>
      <c r="L33" s="241">
        <f>INDEX(catSub,27)&amp;""</f>
        <v/>
      </c>
      <c r="M33" s="241">
        <f>IF(OR(K33="",L33="",INDEX(catTipo,27)&amp;""&lt;&gt;"Gasto"),"",IF(AND(critCat&lt;&gt;"&lt;&gt;@@@",K33&lt;&gt;critCat),0,SUMIFS(rGasto,rCat,K33,rSub,L33,rFecha,"&gt;="&amp;pIni,rFecha,"&lt;="&amp;pFin,rCtaE,critCta)))</f>
        <v/>
      </c>
      <c r="N33" s="241">
        <f>IF(M33="","",IF(AND(critCat&lt;&gt;"&lt;&gt;@@@",K33&lt;&gt;critCat),0,COUNTIFS(rCat,K33,rSub,L33,rTipoE,"Gasto",rFecha,"&gt;="&amp;pIni,rFecha,"&lt;="&amp;pFin,rCtaE,critCta)))</f>
        <v/>
      </c>
      <c r="O33" s="241">
        <f>IF(M33="",-1E+12-27,N(M33)+(201-27)/1E+7)</f>
        <v/>
      </c>
      <c r="P33" s="241">
        <f>L33&amp;" · "&amp;K33</f>
        <v/>
      </c>
      <c r="R33" s="241" t="n">
        <v>27</v>
      </c>
      <c r="S33" s="241">
        <f>IFERROR(INDEX(rCom,MATCH(27,rComIdx,0))&amp;"","")</f>
        <v/>
      </c>
      <c r="T33" s="241">
        <f>IF(S33="","",SUMIFS(rGasto,rCom,S33,rFecha,"&gt;="&amp;pIni,rFecha,"&lt;="&amp;pFin,rCat,critCat,rCtaE,critCta))</f>
        <v/>
      </c>
      <c r="U33" s="241">
        <f>IF(S33="","",COUNTIFS(rCom,S33,rTipoE,"Gasto",rFecha,"&gt;="&amp;pIni,rFecha,"&lt;="&amp;pFin,rCat,critCat,rCtaE,critCta))</f>
        <v/>
      </c>
      <c r="V33" s="241">
        <f>IF(S33="",-1E+12-27,N(T33)+(301-27)/1E+7)</f>
        <v/>
      </c>
      <c r="W33" s="241">
        <f>IF(S33="","",SUMIFS(rGasto,rCom,S33,rHorm,1,rFecha,"&gt;="&amp;pIni,rFecha,"&lt;="&amp;pFin))</f>
        <v/>
      </c>
      <c r="X33" s="241">
        <f>IF(S33="","",COUNTIFS(rCom,S33,rHorm,1,rFecha,"&gt;="&amp;pIni,rFecha,"&lt;="&amp;pFin))</f>
        <v/>
      </c>
      <c r="Y33" s="241">
        <f>IF(S33="",-1E+12-27,N(W33)+(301-27)/1E+7)</f>
        <v/>
      </c>
      <c r="AA33" s="241">
        <f>INDEX(ctaNombre,27)&amp;""</f>
        <v/>
      </c>
      <c r="AB33" s="241">
        <f>IF(AA33="","",SUMIFS(rGasto,rCtaE,AA33,rFecha,"&gt;="&amp;pIni,rFecha,"&lt;="&amp;pFin,rCat,critCat))</f>
        <v/>
      </c>
      <c r="AC33" s="241">
        <f>IF(AA33="","",COUNTIFS(rCtaE,AA33,rTipoE,"Gasto",rFecha,"&gt;="&amp;pIni,rFecha,"&lt;="&amp;pFin,rCat,critCat))</f>
        <v/>
      </c>
      <c r="AD33" s="241">
        <f>IF(AA33="",-1E+12-27,N(AB33)+(100-27)/1E+7)</f>
        <v/>
      </c>
      <c r="AF33" s="241">
        <f>$F33</f>
        <v/>
      </c>
      <c r="AG33" s="241">
        <f>IF(AF33="","",SUMIFS(rGasto,rCat,AF33,rHorm,1,rFecha,"&gt;="&amp;pIni,rFecha,"&lt;="&amp;pFin))</f>
        <v/>
      </c>
      <c r="AH33" s="241">
        <f>IF(AF33="","",COUNTIFS(rCat,AF33,rHorm,1,rFecha,"&gt;="&amp;pIni,rFecha,"&lt;="&amp;pFin))</f>
        <v/>
      </c>
      <c r="AI33" s="241">
        <f>IF(AF33="",-1E+12-27,N(AG33)+(100-27)/1E+7)</f>
        <v/>
      </c>
      <c r="BG33" s="241" t="n">
        <v>27</v>
      </c>
      <c r="BH33" s="246">
        <f>IF(calIni+26&lt;=pFinEff,calIni+26,"")</f>
        <v/>
      </c>
      <c r="BI33" s="241">
        <f>IF(BH33="","",WEEKDAY(BH33,2))</f>
        <v/>
      </c>
      <c r="BJ33" s="241">
        <f>IF(BH33="","",SUMIFS(rGasto,rFecha,BH33,rGrupo,"?*"))</f>
        <v/>
      </c>
      <c r="BK33" s="241">
        <f>IF(BH33="","",SUMIFS(rGasto,rFecha,BH33,rGrupo,gCP))</f>
        <v/>
      </c>
      <c r="BL33" s="241">
        <f>IF(BH33="",-1E+12-27,N(BJ33)+(400-27)/1E+7)</f>
        <v/>
      </c>
    </row>
    <row r="34">
      <c r="E34" s="241" t="n">
        <v>28</v>
      </c>
      <c r="F34" s="241">
        <f>IFERROR(INDEX(catUList,28)&amp;"","")</f>
        <v/>
      </c>
      <c r="G34" s="241">
        <f>IF(F34="","",SUMIFS(rGasto,rCat,F34,rFecha,"&gt;="&amp;pIni,rFecha,"&lt;="&amp;pFin,rCtaE,critCta))</f>
        <v/>
      </c>
      <c r="H34" s="241">
        <f>IF(F34="",-1E+12-28,N(G34)+(100-28)/1E+7)</f>
        <v/>
      </c>
      <c r="I34" s="241">
        <f>IF(F34="","",COUNTIFS(rCat,F34,rTipoE,"Gasto",rFecha,"&gt;="&amp;pIni,rFecha,"&lt;="&amp;pFin,rCtaE,critCta))</f>
        <v/>
      </c>
      <c r="K34" s="241">
        <f>INDEX(catCat,28)&amp;""</f>
        <v/>
      </c>
      <c r="L34" s="241">
        <f>INDEX(catSub,28)&amp;""</f>
        <v/>
      </c>
      <c r="M34" s="241">
        <f>IF(OR(K34="",L34="",INDEX(catTipo,28)&amp;""&lt;&gt;"Gasto"),"",IF(AND(critCat&lt;&gt;"&lt;&gt;@@@",K34&lt;&gt;critCat),0,SUMIFS(rGasto,rCat,K34,rSub,L34,rFecha,"&gt;="&amp;pIni,rFecha,"&lt;="&amp;pFin,rCtaE,critCta)))</f>
        <v/>
      </c>
      <c r="N34" s="241">
        <f>IF(M34="","",IF(AND(critCat&lt;&gt;"&lt;&gt;@@@",K34&lt;&gt;critCat),0,COUNTIFS(rCat,K34,rSub,L34,rTipoE,"Gasto",rFecha,"&gt;="&amp;pIni,rFecha,"&lt;="&amp;pFin,rCtaE,critCta)))</f>
        <v/>
      </c>
      <c r="O34" s="241">
        <f>IF(M34="",-1E+12-28,N(M34)+(201-28)/1E+7)</f>
        <v/>
      </c>
      <c r="P34" s="241">
        <f>L34&amp;" · "&amp;K34</f>
        <v/>
      </c>
      <c r="R34" s="241" t="n">
        <v>28</v>
      </c>
      <c r="S34" s="241">
        <f>IFERROR(INDEX(rCom,MATCH(28,rComIdx,0))&amp;"","")</f>
        <v/>
      </c>
      <c r="T34" s="241">
        <f>IF(S34="","",SUMIFS(rGasto,rCom,S34,rFecha,"&gt;="&amp;pIni,rFecha,"&lt;="&amp;pFin,rCat,critCat,rCtaE,critCta))</f>
        <v/>
      </c>
      <c r="U34" s="241">
        <f>IF(S34="","",COUNTIFS(rCom,S34,rTipoE,"Gasto",rFecha,"&gt;="&amp;pIni,rFecha,"&lt;="&amp;pFin,rCat,critCat,rCtaE,critCta))</f>
        <v/>
      </c>
      <c r="V34" s="241">
        <f>IF(S34="",-1E+12-28,N(T34)+(301-28)/1E+7)</f>
        <v/>
      </c>
      <c r="W34" s="241">
        <f>IF(S34="","",SUMIFS(rGasto,rCom,S34,rHorm,1,rFecha,"&gt;="&amp;pIni,rFecha,"&lt;="&amp;pFin))</f>
        <v/>
      </c>
      <c r="X34" s="241">
        <f>IF(S34="","",COUNTIFS(rCom,S34,rHorm,1,rFecha,"&gt;="&amp;pIni,rFecha,"&lt;="&amp;pFin))</f>
        <v/>
      </c>
      <c r="Y34" s="241">
        <f>IF(S34="",-1E+12-28,N(W34)+(301-28)/1E+7)</f>
        <v/>
      </c>
      <c r="AA34" s="241">
        <f>INDEX(ctaNombre,28)&amp;""</f>
        <v/>
      </c>
      <c r="AB34" s="241">
        <f>IF(AA34="","",SUMIFS(rGasto,rCtaE,AA34,rFecha,"&gt;="&amp;pIni,rFecha,"&lt;="&amp;pFin,rCat,critCat))</f>
        <v/>
      </c>
      <c r="AC34" s="241">
        <f>IF(AA34="","",COUNTIFS(rCtaE,AA34,rTipoE,"Gasto",rFecha,"&gt;="&amp;pIni,rFecha,"&lt;="&amp;pFin,rCat,critCat))</f>
        <v/>
      </c>
      <c r="AD34" s="241">
        <f>IF(AA34="",-1E+12-28,N(AB34)+(100-28)/1E+7)</f>
        <v/>
      </c>
      <c r="AF34" s="241">
        <f>$F34</f>
        <v/>
      </c>
      <c r="AG34" s="241">
        <f>IF(AF34="","",SUMIFS(rGasto,rCat,AF34,rHorm,1,rFecha,"&gt;="&amp;pIni,rFecha,"&lt;="&amp;pFin))</f>
        <v/>
      </c>
      <c r="AH34" s="241">
        <f>IF(AF34="","",COUNTIFS(rCat,AF34,rHorm,1,rFecha,"&gt;="&amp;pIni,rFecha,"&lt;="&amp;pFin))</f>
        <v/>
      </c>
      <c r="AI34" s="241">
        <f>IF(AF34="",-1E+12-28,N(AG34)+(100-28)/1E+7)</f>
        <v/>
      </c>
      <c r="BG34" s="241" t="n">
        <v>28</v>
      </c>
      <c r="BH34" s="246">
        <f>IF(calIni+27&lt;=pFinEff,calIni+27,"")</f>
        <v/>
      </c>
      <c r="BI34" s="241">
        <f>IF(BH34="","",WEEKDAY(BH34,2))</f>
        <v/>
      </c>
      <c r="BJ34" s="241">
        <f>IF(BH34="","",SUMIFS(rGasto,rFecha,BH34,rGrupo,"?*"))</f>
        <v/>
      </c>
      <c r="BK34" s="241">
        <f>IF(BH34="","",SUMIFS(rGasto,rFecha,BH34,rGrupo,gCP))</f>
        <v/>
      </c>
      <c r="BL34" s="241">
        <f>IF(BH34="",-1E+12-28,N(BJ34)+(400-28)/1E+7)</f>
        <v/>
      </c>
    </row>
    <row r="35">
      <c r="E35" s="241" t="n">
        <v>29</v>
      </c>
      <c r="F35" s="241">
        <f>IFERROR(INDEX(catUList,29)&amp;"","")</f>
        <v/>
      </c>
      <c r="G35" s="241">
        <f>IF(F35="","",SUMIFS(rGasto,rCat,F35,rFecha,"&gt;="&amp;pIni,rFecha,"&lt;="&amp;pFin,rCtaE,critCta))</f>
        <v/>
      </c>
      <c r="H35" s="241">
        <f>IF(F35="",-1E+12-29,N(G35)+(100-29)/1E+7)</f>
        <v/>
      </c>
      <c r="I35" s="241">
        <f>IF(F35="","",COUNTIFS(rCat,F35,rTipoE,"Gasto",rFecha,"&gt;="&amp;pIni,rFecha,"&lt;="&amp;pFin,rCtaE,critCta))</f>
        <v/>
      </c>
      <c r="K35" s="241">
        <f>INDEX(catCat,29)&amp;""</f>
        <v/>
      </c>
      <c r="L35" s="241">
        <f>INDEX(catSub,29)&amp;""</f>
        <v/>
      </c>
      <c r="M35" s="241">
        <f>IF(OR(K35="",L35="",INDEX(catTipo,29)&amp;""&lt;&gt;"Gasto"),"",IF(AND(critCat&lt;&gt;"&lt;&gt;@@@",K35&lt;&gt;critCat),0,SUMIFS(rGasto,rCat,K35,rSub,L35,rFecha,"&gt;="&amp;pIni,rFecha,"&lt;="&amp;pFin,rCtaE,critCta)))</f>
        <v/>
      </c>
      <c r="N35" s="241">
        <f>IF(M35="","",IF(AND(critCat&lt;&gt;"&lt;&gt;@@@",K35&lt;&gt;critCat),0,COUNTIFS(rCat,K35,rSub,L35,rTipoE,"Gasto",rFecha,"&gt;="&amp;pIni,rFecha,"&lt;="&amp;pFin,rCtaE,critCta)))</f>
        <v/>
      </c>
      <c r="O35" s="241">
        <f>IF(M35="",-1E+12-29,N(M35)+(201-29)/1E+7)</f>
        <v/>
      </c>
      <c r="P35" s="241">
        <f>L35&amp;" · "&amp;K35</f>
        <v/>
      </c>
      <c r="R35" s="241" t="n">
        <v>29</v>
      </c>
      <c r="S35" s="241">
        <f>IFERROR(INDEX(rCom,MATCH(29,rComIdx,0))&amp;"","")</f>
        <v/>
      </c>
      <c r="T35" s="241">
        <f>IF(S35="","",SUMIFS(rGasto,rCom,S35,rFecha,"&gt;="&amp;pIni,rFecha,"&lt;="&amp;pFin,rCat,critCat,rCtaE,critCta))</f>
        <v/>
      </c>
      <c r="U35" s="241">
        <f>IF(S35="","",COUNTIFS(rCom,S35,rTipoE,"Gasto",rFecha,"&gt;="&amp;pIni,rFecha,"&lt;="&amp;pFin,rCat,critCat,rCtaE,critCta))</f>
        <v/>
      </c>
      <c r="V35" s="241">
        <f>IF(S35="",-1E+12-29,N(T35)+(301-29)/1E+7)</f>
        <v/>
      </c>
      <c r="W35" s="241">
        <f>IF(S35="","",SUMIFS(rGasto,rCom,S35,rHorm,1,rFecha,"&gt;="&amp;pIni,rFecha,"&lt;="&amp;pFin))</f>
        <v/>
      </c>
      <c r="X35" s="241">
        <f>IF(S35="","",COUNTIFS(rCom,S35,rHorm,1,rFecha,"&gt;="&amp;pIni,rFecha,"&lt;="&amp;pFin))</f>
        <v/>
      </c>
      <c r="Y35" s="241">
        <f>IF(S35="",-1E+12-29,N(W35)+(301-29)/1E+7)</f>
        <v/>
      </c>
      <c r="AA35" s="241">
        <f>INDEX(ctaNombre,29)&amp;""</f>
        <v/>
      </c>
      <c r="AB35" s="241">
        <f>IF(AA35="","",SUMIFS(rGasto,rCtaE,AA35,rFecha,"&gt;="&amp;pIni,rFecha,"&lt;="&amp;pFin,rCat,critCat))</f>
        <v/>
      </c>
      <c r="AC35" s="241">
        <f>IF(AA35="","",COUNTIFS(rCtaE,AA35,rTipoE,"Gasto",rFecha,"&gt;="&amp;pIni,rFecha,"&lt;="&amp;pFin,rCat,critCat))</f>
        <v/>
      </c>
      <c r="AD35" s="241">
        <f>IF(AA35="",-1E+12-29,N(AB35)+(100-29)/1E+7)</f>
        <v/>
      </c>
      <c r="AF35" s="241">
        <f>$F35</f>
        <v/>
      </c>
      <c r="AG35" s="241">
        <f>IF(AF35="","",SUMIFS(rGasto,rCat,AF35,rHorm,1,rFecha,"&gt;="&amp;pIni,rFecha,"&lt;="&amp;pFin))</f>
        <v/>
      </c>
      <c r="AH35" s="241">
        <f>IF(AF35="","",COUNTIFS(rCat,AF35,rHorm,1,rFecha,"&gt;="&amp;pIni,rFecha,"&lt;="&amp;pFin))</f>
        <v/>
      </c>
      <c r="AI35" s="241">
        <f>IF(AF35="",-1E+12-29,N(AG35)+(100-29)/1E+7)</f>
        <v/>
      </c>
      <c r="BG35" s="241" t="n">
        <v>29</v>
      </c>
      <c r="BH35" s="246">
        <f>IF(calIni+28&lt;=pFinEff,calIni+28,"")</f>
        <v/>
      </c>
      <c r="BI35" s="241">
        <f>IF(BH35="","",WEEKDAY(BH35,2))</f>
        <v/>
      </c>
      <c r="BJ35" s="241">
        <f>IF(BH35="","",SUMIFS(rGasto,rFecha,BH35,rGrupo,"?*"))</f>
        <v/>
      </c>
      <c r="BK35" s="241">
        <f>IF(BH35="","",SUMIFS(rGasto,rFecha,BH35,rGrupo,gCP))</f>
        <v/>
      </c>
      <c r="BL35" s="241">
        <f>IF(BH35="",-1E+12-29,N(BJ35)+(400-29)/1E+7)</f>
        <v/>
      </c>
    </row>
    <row r="36">
      <c r="E36" s="241" t="n">
        <v>30</v>
      </c>
      <c r="F36" s="241">
        <f>IFERROR(INDEX(catUList,30)&amp;"","")</f>
        <v/>
      </c>
      <c r="G36" s="241">
        <f>IF(F36="","",SUMIFS(rGasto,rCat,F36,rFecha,"&gt;="&amp;pIni,rFecha,"&lt;="&amp;pFin,rCtaE,critCta))</f>
        <v/>
      </c>
      <c r="H36" s="241">
        <f>IF(F36="",-1E+12-30,N(G36)+(100-30)/1E+7)</f>
        <v/>
      </c>
      <c r="I36" s="241">
        <f>IF(F36="","",COUNTIFS(rCat,F36,rTipoE,"Gasto",rFecha,"&gt;="&amp;pIni,rFecha,"&lt;="&amp;pFin,rCtaE,critCta))</f>
        <v/>
      </c>
      <c r="K36" s="241">
        <f>INDEX(catCat,30)&amp;""</f>
        <v/>
      </c>
      <c r="L36" s="241">
        <f>INDEX(catSub,30)&amp;""</f>
        <v/>
      </c>
      <c r="M36" s="241">
        <f>IF(OR(K36="",L36="",INDEX(catTipo,30)&amp;""&lt;&gt;"Gasto"),"",IF(AND(critCat&lt;&gt;"&lt;&gt;@@@",K36&lt;&gt;critCat),0,SUMIFS(rGasto,rCat,K36,rSub,L36,rFecha,"&gt;="&amp;pIni,rFecha,"&lt;="&amp;pFin,rCtaE,critCta)))</f>
        <v/>
      </c>
      <c r="N36" s="241">
        <f>IF(M36="","",IF(AND(critCat&lt;&gt;"&lt;&gt;@@@",K36&lt;&gt;critCat),0,COUNTIFS(rCat,K36,rSub,L36,rTipoE,"Gasto",rFecha,"&gt;="&amp;pIni,rFecha,"&lt;="&amp;pFin,rCtaE,critCta)))</f>
        <v/>
      </c>
      <c r="O36" s="241">
        <f>IF(M36="",-1E+12-30,N(M36)+(201-30)/1E+7)</f>
        <v/>
      </c>
      <c r="P36" s="241">
        <f>L36&amp;" · "&amp;K36</f>
        <v/>
      </c>
      <c r="R36" s="241" t="n">
        <v>30</v>
      </c>
      <c r="S36" s="241">
        <f>IFERROR(INDEX(rCom,MATCH(30,rComIdx,0))&amp;"","")</f>
        <v/>
      </c>
      <c r="T36" s="241">
        <f>IF(S36="","",SUMIFS(rGasto,rCom,S36,rFecha,"&gt;="&amp;pIni,rFecha,"&lt;="&amp;pFin,rCat,critCat,rCtaE,critCta))</f>
        <v/>
      </c>
      <c r="U36" s="241">
        <f>IF(S36="","",COUNTIFS(rCom,S36,rTipoE,"Gasto",rFecha,"&gt;="&amp;pIni,rFecha,"&lt;="&amp;pFin,rCat,critCat,rCtaE,critCta))</f>
        <v/>
      </c>
      <c r="V36" s="241">
        <f>IF(S36="",-1E+12-30,N(T36)+(301-30)/1E+7)</f>
        <v/>
      </c>
      <c r="W36" s="241">
        <f>IF(S36="","",SUMIFS(rGasto,rCom,S36,rHorm,1,rFecha,"&gt;="&amp;pIni,rFecha,"&lt;="&amp;pFin))</f>
        <v/>
      </c>
      <c r="X36" s="241">
        <f>IF(S36="","",COUNTIFS(rCom,S36,rHorm,1,rFecha,"&gt;="&amp;pIni,rFecha,"&lt;="&amp;pFin))</f>
        <v/>
      </c>
      <c r="Y36" s="241">
        <f>IF(S36="",-1E+12-30,N(W36)+(301-30)/1E+7)</f>
        <v/>
      </c>
      <c r="AA36" s="241">
        <f>INDEX(ctaNombre,30)&amp;""</f>
        <v/>
      </c>
      <c r="AB36" s="241">
        <f>IF(AA36="","",SUMIFS(rGasto,rCtaE,AA36,rFecha,"&gt;="&amp;pIni,rFecha,"&lt;="&amp;pFin,rCat,critCat))</f>
        <v/>
      </c>
      <c r="AC36" s="241">
        <f>IF(AA36="","",COUNTIFS(rCtaE,AA36,rTipoE,"Gasto",rFecha,"&gt;="&amp;pIni,rFecha,"&lt;="&amp;pFin,rCat,critCat))</f>
        <v/>
      </c>
      <c r="AD36" s="241">
        <f>IF(AA36="",-1E+12-30,N(AB36)+(100-30)/1E+7)</f>
        <v/>
      </c>
      <c r="AF36" s="241">
        <f>$F36</f>
        <v/>
      </c>
      <c r="AG36" s="241">
        <f>IF(AF36="","",SUMIFS(rGasto,rCat,AF36,rHorm,1,rFecha,"&gt;="&amp;pIni,rFecha,"&lt;="&amp;pFin))</f>
        <v/>
      </c>
      <c r="AH36" s="241">
        <f>IF(AF36="","",COUNTIFS(rCat,AF36,rHorm,1,rFecha,"&gt;="&amp;pIni,rFecha,"&lt;="&amp;pFin))</f>
        <v/>
      </c>
      <c r="AI36" s="241">
        <f>IF(AF36="",-1E+12-30,N(AG36)+(100-30)/1E+7)</f>
        <v/>
      </c>
      <c r="BG36" s="241" t="n">
        <v>30</v>
      </c>
      <c r="BH36" s="246">
        <f>IF(calIni+29&lt;=pFinEff,calIni+29,"")</f>
        <v/>
      </c>
      <c r="BI36" s="241">
        <f>IF(BH36="","",WEEKDAY(BH36,2))</f>
        <v/>
      </c>
      <c r="BJ36" s="241">
        <f>IF(BH36="","",SUMIFS(rGasto,rFecha,BH36,rGrupo,"?*"))</f>
        <v/>
      </c>
      <c r="BK36" s="241">
        <f>IF(BH36="","",SUMIFS(rGasto,rFecha,BH36,rGrupo,gCP))</f>
        <v/>
      </c>
      <c r="BL36" s="241">
        <f>IF(BH36="",-1E+12-30,N(BJ36)+(400-30)/1E+7)</f>
        <v/>
      </c>
    </row>
    <row r="37">
      <c r="E37" s="241" t="n">
        <v>31</v>
      </c>
      <c r="F37" s="241">
        <f>IFERROR(INDEX(catUList,31)&amp;"","")</f>
        <v/>
      </c>
      <c r="G37" s="241">
        <f>IF(F37="","",SUMIFS(rGasto,rCat,F37,rFecha,"&gt;="&amp;pIni,rFecha,"&lt;="&amp;pFin,rCtaE,critCta))</f>
        <v/>
      </c>
      <c r="H37" s="241">
        <f>IF(F37="",-1E+12-31,N(G37)+(100-31)/1E+7)</f>
        <v/>
      </c>
      <c r="I37" s="241">
        <f>IF(F37="","",COUNTIFS(rCat,F37,rTipoE,"Gasto",rFecha,"&gt;="&amp;pIni,rFecha,"&lt;="&amp;pFin,rCtaE,critCta))</f>
        <v/>
      </c>
      <c r="K37" s="241">
        <f>INDEX(catCat,31)&amp;""</f>
        <v/>
      </c>
      <c r="L37" s="241">
        <f>INDEX(catSub,31)&amp;""</f>
        <v/>
      </c>
      <c r="M37" s="241">
        <f>IF(OR(K37="",L37="",INDEX(catTipo,31)&amp;""&lt;&gt;"Gasto"),"",IF(AND(critCat&lt;&gt;"&lt;&gt;@@@",K37&lt;&gt;critCat),0,SUMIFS(rGasto,rCat,K37,rSub,L37,rFecha,"&gt;="&amp;pIni,rFecha,"&lt;="&amp;pFin,rCtaE,critCta)))</f>
        <v/>
      </c>
      <c r="N37" s="241">
        <f>IF(M37="","",IF(AND(critCat&lt;&gt;"&lt;&gt;@@@",K37&lt;&gt;critCat),0,COUNTIFS(rCat,K37,rSub,L37,rTipoE,"Gasto",rFecha,"&gt;="&amp;pIni,rFecha,"&lt;="&amp;pFin,rCtaE,critCta)))</f>
        <v/>
      </c>
      <c r="O37" s="241">
        <f>IF(M37="",-1E+12-31,N(M37)+(201-31)/1E+7)</f>
        <v/>
      </c>
      <c r="P37" s="241">
        <f>L37&amp;" · "&amp;K37</f>
        <v/>
      </c>
      <c r="R37" s="241" t="n">
        <v>31</v>
      </c>
      <c r="S37" s="241">
        <f>IFERROR(INDEX(rCom,MATCH(31,rComIdx,0))&amp;"","")</f>
        <v/>
      </c>
      <c r="T37" s="241">
        <f>IF(S37="","",SUMIFS(rGasto,rCom,S37,rFecha,"&gt;="&amp;pIni,rFecha,"&lt;="&amp;pFin,rCat,critCat,rCtaE,critCta))</f>
        <v/>
      </c>
      <c r="U37" s="241">
        <f>IF(S37="","",COUNTIFS(rCom,S37,rTipoE,"Gasto",rFecha,"&gt;="&amp;pIni,rFecha,"&lt;="&amp;pFin,rCat,critCat,rCtaE,critCta))</f>
        <v/>
      </c>
      <c r="V37" s="241">
        <f>IF(S37="",-1E+12-31,N(T37)+(301-31)/1E+7)</f>
        <v/>
      </c>
      <c r="W37" s="241">
        <f>IF(S37="","",SUMIFS(rGasto,rCom,S37,rHorm,1,rFecha,"&gt;="&amp;pIni,rFecha,"&lt;="&amp;pFin))</f>
        <v/>
      </c>
      <c r="X37" s="241">
        <f>IF(S37="","",COUNTIFS(rCom,S37,rHorm,1,rFecha,"&gt;="&amp;pIni,rFecha,"&lt;="&amp;pFin))</f>
        <v/>
      </c>
      <c r="Y37" s="241">
        <f>IF(S37="",-1E+12-31,N(W37)+(301-31)/1E+7)</f>
        <v/>
      </c>
      <c r="AF37" s="241">
        <f>$F37</f>
        <v/>
      </c>
      <c r="AG37" s="241">
        <f>IF(AF37="","",SUMIFS(rGasto,rCat,AF37,rHorm,1,rFecha,"&gt;="&amp;pIni,rFecha,"&lt;="&amp;pFin))</f>
        <v/>
      </c>
      <c r="AH37" s="241">
        <f>IF(AF37="","",COUNTIFS(rCat,AF37,rHorm,1,rFecha,"&gt;="&amp;pIni,rFecha,"&lt;="&amp;pFin))</f>
        <v/>
      </c>
      <c r="AI37" s="241">
        <f>IF(AF37="",-1E+12-31,N(AG37)+(100-31)/1E+7)</f>
        <v/>
      </c>
      <c r="BG37" s="241" t="n">
        <v>31</v>
      </c>
      <c r="BH37" s="246">
        <f>IF(calIni+30&lt;=pFinEff,calIni+30,"")</f>
        <v/>
      </c>
      <c r="BI37" s="241">
        <f>IF(BH37="","",WEEKDAY(BH37,2))</f>
        <v/>
      </c>
      <c r="BJ37" s="241">
        <f>IF(BH37="","",SUMIFS(rGasto,rFecha,BH37,rGrupo,"?*"))</f>
        <v/>
      </c>
      <c r="BK37" s="241">
        <f>IF(BH37="","",SUMIFS(rGasto,rFecha,BH37,rGrupo,gCP))</f>
        <v/>
      </c>
      <c r="BL37" s="241">
        <f>IF(BH37="",-1E+12-31,N(BJ37)+(400-31)/1E+7)</f>
        <v/>
      </c>
    </row>
    <row r="38">
      <c r="E38" s="241" t="n">
        <v>32</v>
      </c>
      <c r="F38" s="241">
        <f>IFERROR(INDEX(catUList,32)&amp;"","")</f>
        <v/>
      </c>
      <c r="G38" s="241">
        <f>IF(F38="","",SUMIFS(rGasto,rCat,F38,rFecha,"&gt;="&amp;pIni,rFecha,"&lt;="&amp;pFin,rCtaE,critCta))</f>
        <v/>
      </c>
      <c r="H38" s="241">
        <f>IF(F38="",-1E+12-32,N(G38)+(100-32)/1E+7)</f>
        <v/>
      </c>
      <c r="I38" s="241">
        <f>IF(F38="","",COUNTIFS(rCat,F38,rTipoE,"Gasto",rFecha,"&gt;="&amp;pIni,rFecha,"&lt;="&amp;pFin,rCtaE,critCta))</f>
        <v/>
      </c>
      <c r="K38" s="241">
        <f>INDEX(catCat,32)&amp;""</f>
        <v/>
      </c>
      <c r="L38" s="241">
        <f>INDEX(catSub,32)&amp;""</f>
        <v/>
      </c>
      <c r="M38" s="241">
        <f>IF(OR(K38="",L38="",INDEX(catTipo,32)&amp;""&lt;&gt;"Gasto"),"",IF(AND(critCat&lt;&gt;"&lt;&gt;@@@",K38&lt;&gt;critCat),0,SUMIFS(rGasto,rCat,K38,rSub,L38,rFecha,"&gt;="&amp;pIni,rFecha,"&lt;="&amp;pFin,rCtaE,critCta)))</f>
        <v/>
      </c>
      <c r="N38" s="241">
        <f>IF(M38="","",IF(AND(critCat&lt;&gt;"&lt;&gt;@@@",K38&lt;&gt;critCat),0,COUNTIFS(rCat,K38,rSub,L38,rTipoE,"Gasto",rFecha,"&gt;="&amp;pIni,rFecha,"&lt;="&amp;pFin,rCtaE,critCta)))</f>
        <v/>
      </c>
      <c r="O38" s="241">
        <f>IF(M38="",-1E+12-32,N(M38)+(201-32)/1E+7)</f>
        <v/>
      </c>
      <c r="P38" s="241">
        <f>L38&amp;" · "&amp;K38</f>
        <v/>
      </c>
      <c r="R38" s="241" t="n">
        <v>32</v>
      </c>
      <c r="S38" s="241">
        <f>IFERROR(INDEX(rCom,MATCH(32,rComIdx,0))&amp;"","")</f>
        <v/>
      </c>
      <c r="T38" s="241">
        <f>IF(S38="","",SUMIFS(rGasto,rCom,S38,rFecha,"&gt;="&amp;pIni,rFecha,"&lt;="&amp;pFin,rCat,critCat,rCtaE,critCta))</f>
        <v/>
      </c>
      <c r="U38" s="241">
        <f>IF(S38="","",COUNTIFS(rCom,S38,rTipoE,"Gasto",rFecha,"&gt;="&amp;pIni,rFecha,"&lt;="&amp;pFin,rCat,critCat,rCtaE,critCta))</f>
        <v/>
      </c>
      <c r="V38" s="241">
        <f>IF(S38="",-1E+12-32,N(T38)+(301-32)/1E+7)</f>
        <v/>
      </c>
      <c r="W38" s="241">
        <f>IF(S38="","",SUMIFS(rGasto,rCom,S38,rHorm,1,rFecha,"&gt;="&amp;pIni,rFecha,"&lt;="&amp;pFin))</f>
        <v/>
      </c>
      <c r="X38" s="241">
        <f>IF(S38="","",COUNTIFS(rCom,S38,rHorm,1,rFecha,"&gt;="&amp;pIni,rFecha,"&lt;="&amp;pFin))</f>
        <v/>
      </c>
      <c r="Y38" s="241">
        <f>IF(S38="",-1E+12-32,N(W38)+(301-32)/1E+7)</f>
        <v/>
      </c>
      <c r="AF38" s="241">
        <f>$F38</f>
        <v/>
      </c>
      <c r="AG38" s="241">
        <f>IF(AF38="","",SUMIFS(rGasto,rCat,AF38,rHorm,1,rFecha,"&gt;="&amp;pIni,rFecha,"&lt;="&amp;pFin))</f>
        <v/>
      </c>
      <c r="AH38" s="241">
        <f>IF(AF38="","",COUNTIFS(rCat,AF38,rHorm,1,rFecha,"&gt;="&amp;pIni,rFecha,"&lt;="&amp;pFin))</f>
        <v/>
      </c>
      <c r="AI38" s="241">
        <f>IF(AF38="",-1E+12-32,N(AG38)+(100-32)/1E+7)</f>
        <v/>
      </c>
      <c r="BG38" s="241" t="n">
        <v>32</v>
      </c>
      <c r="BH38" s="246">
        <f>IF(calIni+31&lt;=pFinEff,calIni+31,"")</f>
        <v/>
      </c>
      <c r="BI38" s="241">
        <f>IF(BH38="","",WEEKDAY(BH38,2))</f>
        <v/>
      </c>
      <c r="BJ38" s="241">
        <f>IF(BH38="","",SUMIFS(rGasto,rFecha,BH38,rGrupo,"?*"))</f>
        <v/>
      </c>
      <c r="BK38" s="241">
        <f>IF(BH38="","",SUMIFS(rGasto,rFecha,BH38,rGrupo,gCP))</f>
        <v/>
      </c>
      <c r="BL38" s="241">
        <f>IF(BH38="",-1E+12-32,N(BJ38)+(400-32)/1E+7)</f>
        <v/>
      </c>
    </row>
    <row r="39">
      <c r="E39" s="241" t="n">
        <v>33</v>
      </c>
      <c r="F39" s="241">
        <f>IFERROR(INDEX(catUList,33)&amp;"","")</f>
        <v/>
      </c>
      <c r="G39" s="241">
        <f>IF(F39="","",SUMIFS(rGasto,rCat,F39,rFecha,"&gt;="&amp;pIni,rFecha,"&lt;="&amp;pFin,rCtaE,critCta))</f>
        <v/>
      </c>
      <c r="H39" s="241">
        <f>IF(F39="",-1E+12-33,N(G39)+(100-33)/1E+7)</f>
        <v/>
      </c>
      <c r="I39" s="241">
        <f>IF(F39="","",COUNTIFS(rCat,F39,rTipoE,"Gasto",rFecha,"&gt;="&amp;pIni,rFecha,"&lt;="&amp;pFin,rCtaE,critCta))</f>
        <v/>
      </c>
      <c r="K39" s="241">
        <f>INDEX(catCat,33)&amp;""</f>
        <v/>
      </c>
      <c r="L39" s="241">
        <f>INDEX(catSub,33)&amp;""</f>
        <v/>
      </c>
      <c r="M39" s="241">
        <f>IF(OR(K39="",L39="",INDEX(catTipo,33)&amp;""&lt;&gt;"Gasto"),"",IF(AND(critCat&lt;&gt;"&lt;&gt;@@@",K39&lt;&gt;critCat),0,SUMIFS(rGasto,rCat,K39,rSub,L39,rFecha,"&gt;="&amp;pIni,rFecha,"&lt;="&amp;pFin,rCtaE,critCta)))</f>
        <v/>
      </c>
      <c r="N39" s="241">
        <f>IF(M39="","",IF(AND(critCat&lt;&gt;"&lt;&gt;@@@",K39&lt;&gt;critCat),0,COUNTIFS(rCat,K39,rSub,L39,rTipoE,"Gasto",rFecha,"&gt;="&amp;pIni,rFecha,"&lt;="&amp;pFin,rCtaE,critCta)))</f>
        <v/>
      </c>
      <c r="O39" s="241">
        <f>IF(M39="",-1E+12-33,N(M39)+(201-33)/1E+7)</f>
        <v/>
      </c>
      <c r="P39" s="241">
        <f>L39&amp;" · "&amp;K39</f>
        <v/>
      </c>
      <c r="R39" s="241" t="n">
        <v>33</v>
      </c>
      <c r="S39" s="241">
        <f>IFERROR(INDEX(rCom,MATCH(33,rComIdx,0))&amp;"","")</f>
        <v/>
      </c>
      <c r="T39" s="241">
        <f>IF(S39="","",SUMIFS(rGasto,rCom,S39,rFecha,"&gt;="&amp;pIni,rFecha,"&lt;="&amp;pFin,rCat,critCat,rCtaE,critCta))</f>
        <v/>
      </c>
      <c r="U39" s="241">
        <f>IF(S39="","",COUNTIFS(rCom,S39,rTipoE,"Gasto",rFecha,"&gt;="&amp;pIni,rFecha,"&lt;="&amp;pFin,rCat,critCat,rCtaE,critCta))</f>
        <v/>
      </c>
      <c r="V39" s="241">
        <f>IF(S39="",-1E+12-33,N(T39)+(301-33)/1E+7)</f>
        <v/>
      </c>
      <c r="W39" s="241">
        <f>IF(S39="","",SUMIFS(rGasto,rCom,S39,rHorm,1,rFecha,"&gt;="&amp;pIni,rFecha,"&lt;="&amp;pFin))</f>
        <v/>
      </c>
      <c r="X39" s="241">
        <f>IF(S39="","",COUNTIFS(rCom,S39,rHorm,1,rFecha,"&gt;="&amp;pIni,rFecha,"&lt;="&amp;pFin))</f>
        <v/>
      </c>
      <c r="Y39" s="241">
        <f>IF(S39="",-1E+12-33,N(W39)+(301-33)/1E+7)</f>
        <v/>
      </c>
      <c r="AF39" s="241">
        <f>$F39</f>
        <v/>
      </c>
      <c r="AG39" s="241">
        <f>IF(AF39="","",SUMIFS(rGasto,rCat,AF39,rHorm,1,rFecha,"&gt;="&amp;pIni,rFecha,"&lt;="&amp;pFin))</f>
        <v/>
      </c>
      <c r="AH39" s="241">
        <f>IF(AF39="","",COUNTIFS(rCat,AF39,rHorm,1,rFecha,"&gt;="&amp;pIni,rFecha,"&lt;="&amp;pFin))</f>
        <v/>
      </c>
      <c r="AI39" s="241">
        <f>IF(AF39="",-1E+12-33,N(AG39)+(100-33)/1E+7)</f>
        <v/>
      </c>
      <c r="BG39" s="241" t="n">
        <v>33</v>
      </c>
      <c r="BH39" s="246">
        <f>IF(calIni+32&lt;=pFinEff,calIni+32,"")</f>
        <v/>
      </c>
      <c r="BI39" s="241">
        <f>IF(BH39="","",WEEKDAY(BH39,2))</f>
        <v/>
      </c>
      <c r="BJ39" s="241">
        <f>IF(BH39="","",SUMIFS(rGasto,rFecha,BH39,rGrupo,"?*"))</f>
        <v/>
      </c>
      <c r="BK39" s="241">
        <f>IF(BH39="","",SUMIFS(rGasto,rFecha,BH39,rGrupo,gCP))</f>
        <v/>
      </c>
      <c r="BL39" s="241">
        <f>IF(BH39="",-1E+12-33,N(BJ39)+(400-33)/1E+7)</f>
        <v/>
      </c>
    </row>
    <row r="40">
      <c r="E40" s="241" t="n">
        <v>34</v>
      </c>
      <c r="F40" s="241">
        <f>IFERROR(INDEX(catUList,34)&amp;"","")</f>
        <v/>
      </c>
      <c r="G40" s="241">
        <f>IF(F40="","",SUMIFS(rGasto,rCat,F40,rFecha,"&gt;="&amp;pIni,rFecha,"&lt;="&amp;pFin,rCtaE,critCta))</f>
        <v/>
      </c>
      <c r="H40" s="241">
        <f>IF(F40="",-1E+12-34,N(G40)+(100-34)/1E+7)</f>
        <v/>
      </c>
      <c r="I40" s="241">
        <f>IF(F40="","",COUNTIFS(rCat,F40,rTipoE,"Gasto",rFecha,"&gt;="&amp;pIni,rFecha,"&lt;="&amp;pFin,rCtaE,critCta))</f>
        <v/>
      </c>
      <c r="K40" s="241">
        <f>INDEX(catCat,34)&amp;""</f>
        <v/>
      </c>
      <c r="L40" s="241">
        <f>INDEX(catSub,34)&amp;""</f>
        <v/>
      </c>
      <c r="M40" s="241">
        <f>IF(OR(K40="",L40="",INDEX(catTipo,34)&amp;""&lt;&gt;"Gasto"),"",IF(AND(critCat&lt;&gt;"&lt;&gt;@@@",K40&lt;&gt;critCat),0,SUMIFS(rGasto,rCat,K40,rSub,L40,rFecha,"&gt;="&amp;pIni,rFecha,"&lt;="&amp;pFin,rCtaE,critCta)))</f>
        <v/>
      </c>
      <c r="N40" s="241">
        <f>IF(M40="","",IF(AND(critCat&lt;&gt;"&lt;&gt;@@@",K40&lt;&gt;critCat),0,COUNTIFS(rCat,K40,rSub,L40,rTipoE,"Gasto",rFecha,"&gt;="&amp;pIni,rFecha,"&lt;="&amp;pFin,rCtaE,critCta)))</f>
        <v/>
      </c>
      <c r="O40" s="241">
        <f>IF(M40="",-1E+12-34,N(M40)+(201-34)/1E+7)</f>
        <v/>
      </c>
      <c r="P40" s="241">
        <f>L40&amp;" · "&amp;K40</f>
        <v/>
      </c>
      <c r="R40" s="241" t="n">
        <v>34</v>
      </c>
      <c r="S40" s="241">
        <f>IFERROR(INDEX(rCom,MATCH(34,rComIdx,0))&amp;"","")</f>
        <v/>
      </c>
      <c r="T40" s="241">
        <f>IF(S40="","",SUMIFS(rGasto,rCom,S40,rFecha,"&gt;="&amp;pIni,rFecha,"&lt;="&amp;pFin,rCat,critCat,rCtaE,critCta))</f>
        <v/>
      </c>
      <c r="U40" s="241">
        <f>IF(S40="","",COUNTIFS(rCom,S40,rTipoE,"Gasto",rFecha,"&gt;="&amp;pIni,rFecha,"&lt;="&amp;pFin,rCat,critCat,rCtaE,critCta))</f>
        <v/>
      </c>
      <c r="V40" s="241">
        <f>IF(S40="",-1E+12-34,N(T40)+(301-34)/1E+7)</f>
        <v/>
      </c>
      <c r="W40" s="241">
        <f>IF(S40="","",SUMIFS(rGasto,rCom,S40,rHorm,1,rFecha,"&gt;="&amp;pIni,rFecha,"&lt;="&amp;pFin))</f>
        <v/>
      </c>
      <c r="X40" s="241">
        <f>IF(S40="","",COUNTIFS(rCom,S40,rHorm,1,rFecha,"&gt;="&amp;pIni,rFecha,"&lt;="&amp;pFin))</f>
        <v/>
      </c>
      <c r="Y40" s="241">
        <f>IF(S40="",-1E+12-34,N(W40)+(301-34)/1E+7)</f>
        <v/>
      </c>
      <c r="AF40" s="241">
        <f>$F40</f>
        <v/>
      </c>
      <c r="AG40" s="241">
        <f>IF(AF40="","",SUMIFS(rGasto,rCat,AF40,rHorm,1,rFecha,"&gt;="&amp;pIni,rFecha,"&lt;="&amp;pFin))</f>
        <v/>
      </c>
      <c r="AH40" s="241">
        <f>IF(AF40="","",COUNTIFS(rCat,AF40,rHorm,1,rFecha,"&gt;="&amp;pIni,rFecha,"&lt;="&amp;pFin))</f>
        <v/>
      </c>
      <c r="AI40" s="241">
        <f>IF(AF40="",-1E+12-34,N(AG40)+(100-34)/1E+7)</f>
        <v/>
      </c>
      <c r="BG40" s="241" t="n">
        <v>34</v>
      </c>
      <c r="BH40" s="246">
        <f>IF(calIni+33&lt;=pFinEff,calIni+33,"")</f>
        <v/>
      </c>
      <c r="BI40" s="241">
        <f>IF(BH40="","",WEEKDAY(BH40,2))</f>
        <v/>
      </c>
      <c r="BJ40" s="241">
        <f>IF(BH40="","",SUMIFS(rGasto,rFecha,BH40,rGrupo,"?*"))</f>
        <v/>
      </c>
      <c r="BK40" s="241">
        <f>IF(BH40="","",SUMIFS(rGasto,rFecha,BH40,rGrupo,gCP))</f>
        <v/>
      </c>
      <c r="BL40" s="241">
        <f>IF(BH40="",-1E+12-34,N(BJ40)+(400-34)/1E+7)</f>
        <v/>
      </c>
    </row>
    <row r="41">
      <c r="E41" s="241" t="n">
        <v>35</v>
      </c>
      <c r="F41" s="241">
        <f>IFERROR(INDEX(catUList,35)&amp;"","")</f>
        <v/>
      </c>
      <c r="G41" s="241">
        <f>IF(F41="","",SUMIFS(rGasto,rCat,F41,rFecha,"&gt;="&amp;pIni,rFecha,"&lt;="&amp;pFin,rCtaE,critCta))</f>
        <v/>
      </c>
      <c r="H41" s="241">
        <f>IF(F41="",-1E+12-35,N(G41)+(100-35)/1E+7)</f>
        <v/>
      </c>
      <c r="I41" s="241">
        <f>IF(F41="","",COUNTIFS(rCat,F41,rTipoE,"Gasto",rFecha,"&gt;="&amp;pIni,rFecha,"&lt;="&amp;pFin,rCtaE,critCta))</f>
        <v/>
      </c>
      <c r="K41" s="241">
        <f>INDEX(catCat,35)&amp;""</f>
        <v/>
      </c>
      <c r="L41" s="241">
        <f>INDEX(catSub,35)&amp;""</f>
        <v/>
      </c>
      <c r="M41" s="241">
        <f>IF(OR(K41="",L41="",INDEX(catTipo,35)&amp;""&lt;&gt;"Gasto"),"",IF(AND(critCat&lt;&gt;"&lt;&gt;@@@",K41&lt;&gt;critCat),0,SUMIFS(rGasto,rCat,K41,rSub,L41,rFecha,"&gt;="&amp;pIni,rFecha,"&lt;="&amp;pFin,rCtaE,critCta)))</f>
        <v/>
      </c>
      <c r="N41" s="241">
        <f>IF(M41="","",IF(AND(critCat&lt;&gt;"&lt;&gt;@@@",K41&lt;&gt;critCat),0,COUNTIFS(rCat,K41,rSub,L41,rTipoE,"Gasto",rFecha,"&gt;="&amp;pIni,rFecha,"&lt;="&amp;pFin,rCtaE,critCta)))</f>
        <v/>
      </c>
      <c r="O41" s="241">
        <f>IF(M41="",-1E+12-35,N(M41)+(201-35)/1E+7)</f>
        <v/>
      </c>
      <c r="P41" s="241">
        <f>L41&amp;" · "&amp;K41</f>
        <v/>
      </c>
      <c r="R41" s="241" t="n">
        <v>35</v>
      </c>
      <c r="S41" s="241">
        <f>IFERROR(INDEX(rCom,MATCH(35,rComIdx,0))&amp;"","")</f>
        <v/>
      </c>
      <c r="T41" s="241">
        <f>IF(S41="","",SUMIFS(rGasto,rCom,S41,rFecha,"&gt;="&amp;pIni,rFecha,"&lt;="&amp;pFin,rCat,critCat,rCtaE,critCta))</f>
        <v/>
      </c>
      <c r="U41" s="241">
        <f>IF(S41="","",COUNTIFS(rCom,S41,rTipoE,"Gasto",rFecha,"&gt;="&amp;pIni,rFecha,"&lt;="&amp;pFin,rCat,critCat,rCtaE,critCta))</f>
        <v/>
      </c>
      <c r="V41" s="241">
        <f>IF(S41="",-1E+12-35,N(T41)+(301-35)/1E+7)</f>
        <v/>
      </c>
      <c r="W41" s="241">
        <f>IF(S41="","",SUMIFS(rGasto,rCom,S41,rHorm,1,rFecha,"&gt;="&amp;pIni,rFecha,"&lt;="&amp;pFin))</f>
        <v/>
      </c>
      <c r="X41" s="241">
        <f>IF(S41="","",COUNTIFS(rCom,S41,rHorm,1,rFecha,"&gt;="&amp;pIni,rFecha,"&lt;="&amp;pFin))</f>
        <v/>
      </c>
      <c r="Y41" s="241">
        <f>IF(S41="",-1E+12-35,N(W41)+(301-35)/1E+7)</f>
        <v/>
      </c>
      <c r="AF41" s="241">
        <f>$F41</f>
        <v/>
      </c>
      <c r="AG41" s="241">
        <f>IF(AF41="","",SUMIFS(rGasto,rCat,AF41,rHorm,1,rFecha,"&gt;="&amp;pIni,rFecha,"&lt;="&amp;pFin))</f>
        <v/>
      </c>
      <c r="AH41" s="241">
        <f>IF(AF41="","",COUNTIFS(rCat,AF41,rHorm,1,rFecha,"&gt;="&amp;pIni,rFecha,"&lt;="&amp;pFin))</f>
        <v/>
      </c>
      <c r="AI41" s="241">
        <f>IF(AF41="",-1E+12-35,N(AG41)+(100-35)/1E+7)</f>
        <v/>
      </c>
      <c r="BG41" s="241" t="n">
        <v>35</v>
      </c>
      <c r="BH41" s="246">
        <f>IF(calIni+34&lt;=pFinEff,calIni+34,"")</f>
        <v/>
      </c>
      <c r="BI41" s="241">
        <f>IF(BH41="","",WEEKDAY(BH41,2))</f>
        <v/>
      </c>
      <c r="BJ41" s="241">
        <f>IF(BH41="","",SUMIFS(rGasto,rFecha,BH41,rGrupo,"?*"))</f>
        <v/>
      </c>
      <c r="BK41" s="241">
        <f>IF(BH41="","",SUMIFS(rGasto,rFecha,BH41,rGrupo,gCP))</f>
        <v/>
      </c>
      <c r="BL41" s="241">
        <f>IF(BH41="",-1E+12-35,N(BJ41)+(400-35)/1E+7)</f>
        <v/>
      </c>
    </row>
    <row r="42">
      <c r="E42" s="241" t="n">
        <v>36</v>
      </c>
      <c r="F42" s="241">
        <f>IFERROR(INDEX(catUList,36)&amp;"","")</f>
        <v/>
      </c>
      <c r="G42" s="241">
        <f>IF(F42="","",SUMIFS(rGasto,rCat,F42,rFecha,"&gt;="&amp;pIni,rFecha,"&lt;="&amp;pFin,rCtaE,critCta))</f>
        <v/>
      </c>
      <c r="H42" s="241">
        <f>IF(F42="",-1E+12-36,N(G42)+(100-36)/1E+7)</f>
        <v/>
      </c>
      <c r="I42" s="241">
        <f>IF(F42="","",COUNTIFS(rCat,F42,rTipoE,"Gasto",rFecha,"&gt;="&amp;pIni,rFecha,"&lt;="&amp;pFin,rCtaE,critCta))</f>
        <v/>
      </c>
      <c r="K42" s="241">
        <f>INDEX(catCat,36)&amp;""</f>
        <v/>
      </c>
      <c r="L42" s="241">
        <f>INDEX(catSub,36)&amp;""</f>
        <v/>
      </c>
      <c r="M42" s="241">
        <f>IF(OR(K42="",L42="",INDEX(catTipo,36)&amp;""&lt;&gt;"Gasto"),"",IF(AND(critCat&lt;&gt;"&lt;&gt;@@@",K42&lt;&gt;critCat),0,SUMIFS(rGasto,rCat,K42,rSub,L42,rFecha,"&gt;="&amp;pIni,rFecha,"&lt;="&amp;pFin,rCtaE,critCta)))</f>
        <v/>
      </c>
      <c r="N42" s="241">
        <f>IF(M42="","",IF(AND(critCat&lt;&gt;"&lt;&gt;@@@",K42&lt;&gt;critCat),0,COUNTIFS(rCat,K42,rSub,L42,rTipoE,"Gasto",rFecha,"&gt;="&amp;pIni,rFecha,"&lt;="&amp;pFin,rCtaE,critCta)))</f>
        <v/>
      </c>
      <c r="O42" s="241">
        <f>IF(M42="",-1E+12-36,N(M42)+(201-36)/1E+7)</f>
        <v/>
      </c>
      <c r="P42" s="241">
        <f>L42&amp;" · "&amp;K42</f>
        <v/>
      </c>
      <c r="R42" s="241" t="n">
        <v>36</v>
      </c>
      <c r="S42" s="241">
        <f>IFERROR(INDEX(rCom,MATCH(36,rComIdx,0))&amp;"","")</f>
        <v/>
      </c>
      <c r="T42" s="241">
        <f>IF(S42="","",SUMIFS(rGasto,rCom,S42,rFecha,"&gt;="&amp;pIni,rFecha,"&lt;="&amp;pFin,rCat,critCat,rCtaE,critCta))</f>
        <v/>
      </c>
      <c r="U42" s="241">
        <f>IF(S42="","",COUNTIFS(rCom,S42,rTipoE,"Gasto",rFecha,"&gt;="&amp;pIni,rFecha,"&lt;="&amp;pFin,rCat,critCat,rCtaE,critCta))</f>
        <v/>
      </c>
      <c r="V42" s="241">
        <f>IF(S42="",-1E+12-36,N(T42)+(301-36)/1E+7)</f>
        <v/>
      </c>
      <c r="W42" s="241">
        <f>IF(S42="","",SUMIFS(rGasto,rCom,S42,rHorm,1,rFecha,"&gt;="&amp;pIni,rFecha,"&lt;="&amp;pFin))</f>
        <v/>
      </c>
      <c r="X42" s="241">
        <f>IF(S42="","",COUNTIFS(rCom,S42,rHorm,1,rFecha,"&gt;="&amp;pIni,rFecha,"&lt;="&amp;pFin))</f>
        <v/>
      </c>
      <c r="Y42" s="241">
        <f>IF(S42="",-1E+12-36,N(W42)+(301-36)/1E+7)</f>
        <v/>
      </c>
      <c r="AF42" s="241">
        <f>$F42</f>
        <v/>
      </c>
      <c r="AG42" s="241">
        <f>IF(AF42="","",SUMIFS(rGasto,rCat,AF42,rHorm,1,rFecha,"&gt;="&amp;pIni,rFecha,"&lt;="&amp;pFin))</f>
        <v/>
      </c>
      <c r="AH42" s="241">
        <f>IF(AF42="","",COUNTIFS(rCat,AF42,rHorm,1,rFecha,"&gt;="&amp;pIni,rFecha,"&lt;="&amp;pFin))</f>
        <v/>
      </c>
      <c r="AI42" s="241">
        <f>IF(AF42="",-1E+12-36,N(AG42)+(100-36)/1E+7)</f>
        <v/>
      </c>
      <c r="BG42" s="241" t="n">
        <v>36</v>
      </c>
      <c r="BH42" s="246">
        <f>IF(calIni+35&lt;=pFinEff,calIni+35,"")</f>
        <v/>
      </c>
      <c r="BI42" s="241">
        <f>IF(BH42="","",WEEKDAY(BH42,2))</f>
        <v/>
      </c>
      <c r="BJ42" s="241">
        <f>IF(BH42="","",SUMIFS(rGasto,rFecha,BH42,rGrupo,"?*"))</f>
        <v/>
      </c>
      <c r="BK42" s="241">
        <f>IF(BH42="","",SUMIFS(rGasto,rFecha,BH42,rGrupo,gCP))</f>
        <v/>
      </c>
      <c r="BL42" s="241">
        <f>IF(BH42="",-1E+12-36,N(BJ42)+(400-36)/1E+7)</f>
        <v/>
      </c>
    </row>
    <row r="43">
      <c r="E43" s="241" t="n">
        <v>37</v>
      </c>
      <c r="F43" s="241">
        <f>IFERROR(INDEX(catUList,37)&amp;"","")</f>
        <v/>
      </c>
      <c r="G43" s="241">
        <f>IF(F43="","",SUMIFS(rGasto,rCat,F43,rFecha,"&gt;="&amp;pIni,rFecha,"&lt;="&amp;pFin,rCtaE,critCta))</f>
        <v/>
      </c>
      <c r="H43" s="241">
        <f>IF(F43="",-1E+12-37,N(G43)+(100-37)/1E+7)</f>
        <v/>
      </c>
      <c r="I43" s="241">
        <f>IF(F43="","",COUNTIFS(rCat,F43,rTipoE,"Gasto",rFecha,"&gt;="&amp;pIni,rFecha,"&lt;="&amp;pFin,rCtaE,critCta))</f>
        <v/>
      </c>
      <c r="K43" s="241">
        <f>INDEX(catCat,37)&amp;""</f>
        <v/>
      </c>
      <c r="L43" s="241">
        <f>INDEX(catSub,37)&amp;""</f>
        <v/>
      </c>
      <c r="M43" s="241">
        <f>IF(OR(K43="",L43="",INDEX(catTipo,37)&amp;""&lt;&gt;"Gasto"),"",IF(AND(critCat&lt;&gt;"&lt;&gt;@@@",K43&lt;&gt;critCat),0,SUMIFS(rGasto,rCat,K43,rSub,L43,rFecha,"&gt;="&amp;pIni,rFecha,"&lt;="&amp;pFin,rCtaE,critCta)))</f>
        <v/>
      </c>
      <c r="N43" s="241">
        <f>IF(M43="","",IF(AND(critCat&lt;&gt;"&lt;&gt;@@@",K43&lt;&gt;critCat),0,COUNTIFS(rCat,K43,rSub,L43,rTipoE,"Gasto",rFecha,"&gt;="&amp;pIni,rFecha,"&lt;="&amp;pFin,rCtaE,critCta)))</f>
        <v/>
      </c>
      <c r="O43" s="241">
        <f>IF(M43="",-1E+12-37,N(M43)+(201-37)/1E+7)</f>
        <v/>
      </c>
      <c r="P43" s="241">
        <f>L43&amp;" · "&amp;K43</f>
        <v/>
      </c>
      <c r="R43" s="241" t="n">
        <v>37</v>
      </c>
      <c r="S43" s="241">
        <f>IFERROR(INDEX(rCom,MATCH(37,rComIdx,0))&amp;"","")</f>
        <v/>
      </c>
      <c r="T43" s="241">
        <f>IF(S43="","",SUMIFS(rGasto,rCom,S43,rFecha,"&gt;="&amp;pIni,rFecha,"&lt;="&amp;pFin,rCat,critCat,rCtaE,critCta))</f>
        <v/>
      </c>
      <c r="U43" s="241">
        <f>IF(S43="","",COUNTIFS(rCom,S43,rTipoE,"Gasto",rFecha,"&gt;="&amp;pIni,rFecha,"&lt;="&amp;pFin,rCat,critCat,rCtaE,critCta))</f>
        <v/>
      </c>
      <c r="V43" s="241">
        <f>IF(S43="",-1E+12-37,N(T43)+(301-37)/1E+7)</f>
        <v/>
      </c>
      <c r="W43" s="241">
        <f>IF(S43="","",SUMIFS(rGasto,rCom,S43,rHorm,1,rFecha,"&gt;="&amp;pIni,rFecha,"&lt;="&amp;pFin))</f>
        <v/>
      </c>
      <c r="X43" s="241">
        <f>IF(S43="","",COUNTIFS(rCom,S43,rHorm,1,rFecha,"&gt;="&amp;pIni,rFecha,"&lt;="&amp;pFin))</f>
        <v/>
      </c>
      <c r="Y43" s="241">
        <f>IF(S43="",-1E+12-37,N(W43)+(301-37)/1E+7)</f>
        <v/>
      </c>
      <c r="AF43" s="241">
        <f>$F43</f>
        <v/>
      </c>
      <c r="AG43" s="241">
        <f>IF(AF43="","",SUMIFS(rGasto,rCat,AF43,rHorm,1,rFecha,"&gt;="&amp;pIni,rFecha,"&lt;="&amp;pFin))</f>
        <v/>
      </c>
      <c r="AH43" s="241">
        <f>IF(AF43="","",COUNTIFS(rCat,AF43,rHorm,1,rFecha,"&gt;="&amp;pIni,rFecha,"&lt;="&amp;pFin))</f>
        <v/>
      </c>
      <c r="AI43" s="241">
        <f>IF(AF43="",-1E+12-37,N(AG43)+(100-37)/1E+7)</f>
        <v/>
      </c>
      <c r="BG43" s="241" t="n">
        <v>37</v>
      </c>
      <c r="BH43" s="246">
        <f>IF(calIni+36&lt;=pFinEff,calIni+36,"")</f>
        <v/>
      </c>
      <c r="BI43" s="241">
        <f>IF(BH43="","",WEEKDAY(BH43,2))</f>
        <v/>
      </c>
      <c r="BJ43" s="241">
        <f>IF(BH43="","",SUMIFS(rGasto,rFecha,BH43,rGrupo,"?*"))</f>
        <v/>
      </c>
      <c r="BK43" s="241">
        <f>IF(BH43="","",SUMIFS(rGasto,rFecha,BH43,rGrupo,gCP))</f>
        <v/>
      </c>
      <c r="BL43" s="241">
        <f>IF(BH43="",-1E+12-37,N(BJ43)+(400-37)/1E+7)</f>
        <v/>
      </c>
    </row>
    <row r="44">
      <c r="E44" s="241" t="n">
        <v>38</v>
      </c>
      <c r="F44" s="241">
        <f>IFERROR(INDEX(catUList,38)&amp;"","")</f>
        <v/>
      </c>
      <c r="G44" s="241">
        <f>IF(F44="","",SUMIFS(rGasto,rCat,F44,rFecha,"&gt;="&amp;pIni,rFecha,"&lt;="&amp;pFin,rCtaE,critCta))</f>
        <v/>
      </c>
      <c r="H44" s="241">
        <f>IF(F44="",-1E+12-38,N(G44)+(100-38)/1E+7)</f>
        <v/>
      </c>
      <c r="I44" s="241">
        <f>IF(F44="","",COUNTIFS(rCat,F44,rTipoE,"Gasto",rFecha,"&gt;="&amp;pIni,rFecha,"&lt;="&amp;pFin,rCtaE,critCta))</f>
        <v/>
      </c>
      <c r="K44" s="241">
        <f>INDEX(catCat,38)&amp;""</f>
        <v/>
      </c>
      <c r="L44" s="241">
        <f>INDEX(catSub,38)&amp;""</f>
        <v/>
      </c>
      <c r="M44" s="241">
        <f>IF(OR(K44="",L44="",INDEX(catTipo,38)&amp;""&lt;&gt;"Gasto"),"",IF(AND(critCat&lt;&gt;"&lt;&gt;@@@",K44&lt;&gt;critCat),0,SUMIFS(rGasto,rCat,K44,rSub,L44,rFecha,"&gt;="&amp;pIni,rFecha,"&lt;="&amp;pFin,rCtaE,critCta)))</f>
        <v/>
      </c>
      <c r="N44" s="241">
        <f>IF(M44="","",IF(AND(critCat&lt;&gt;"&lt;&gt;@@@",K44&lt;&gt;critCat),0,COUNTIFS(rCat,K44,rSub,L44,rTipoE,"Gasto",rFecha,"&gt;="&amp;pIni,rFecha,"&lt;="&amp;pFin,rCtaE,critCta)))</f>
        <v/>
      </c>
      <c r="O44" s="241">
        <f>IF(M44="",-1E+12-38,N(M44)+(201-38)/1E+7)</f>
        <v/>
      </c>
      <c r="P44" s="241">
        <f>L44&amp;" · "&amp;K44</f>
        <v/>
      </c>
      <c r="R44" s="241" t="n">
        <v>38</v>
      </c>
      <c r="S44" s="241">
        <f>IFERROR(INDEX(rCom,MATCH(38,rComIdx,0))&amp;"","")</f>
        <v/>
      </c>
      <c r="T44" s="241">
        <f>IF(S44="","",SUMIFS(rGasto,rCom,S44,rFecha,"&gt;="&amp;pIni,rFecha,"&lt;="&amp;pFin,rCat,critCat,rCtaE,critCta))</f>
        <v/>
      </c>
      <c r="U44" s="241">
        <f>IF(S44="","",COUNTIFS(rCom,S44,rTipoE,"Gasto",rFecha,"&gt;="&amp;pIni,rFecha,"&lt;="&amp;pFin,rCat,critCat,rCtaE,critCta))</f>
        <v/>
      </c>
      <c r="V44" s="241">
        <f>IF(S44="",-1E+12-38,N(T44)+(301-38)/1E+7)</f>
        <v/>
      </c>
      <c r="W44" s="241">
        <f>IF(S44="","",SUMIFS(rGasto,rCom,S44,rHorm,1,rFecha,"&gt;="&amp;pIni,rFecha,"&lt;="&amp;pFin))</f>
        <v/>
      </c>
      <c r="X44" s="241">
        <f>IF(S44="","",COUNTIFS(rCom,S44,rHorm,1,rFecha,"&gt;="&amp;pIni,rFecha,"&lt;="&amp;pFin))</f>
        <v/>
      </c>
      <c r="Y44" s="241">
        <f>IF(S44="",-1E+12-38,N(W44)+(301-38)/1E+7)</f>
        <v/>
      </c>
      <c r="AF44" s="241">
        <f>$F44</f>
        <v/>
      </c>
      <c r="AG44" s="241">
        <f>IF(AF44="","",SUMIFS(rGasto,rCat,AF44,rHorm,1,rFecha,"&gt;="&amp;pIni,rFecha,"&lt;="&amp;pFin))</f>
        <v/>
      </c>
      <c r="AH44" s="241">
        <f>IF(AF44="","",COUNTIFS(rCat,AF44,rHorm,1,rFecha,"&gt;="&amp;pIni,rFecha,"&lt;="&amp;pFin))</f>
        <v/>
      </c>
      <c r="AI44" s="241">
        <f>IF(AF44="",-1E+12-38,N(AG44)+(100-38)/1E+7)</f>
        <v/>
      </c>
      <c r="BG44" s="241" t="n">
        <v>38</v>
      </c>
      <c r="BH44" s="246">
        <f>IF(calIni+37&lt;=pFinEff,calIni+37,"")</f>
        <v/>
      </c>
      <c r="BI44" s="241">
        <f>IF(BH44="","",WEEKDAY(BH44,2))</f>
        <v/>
      </c>
      <c r="BJ44" s="241">
        <f>IF(BH44="","",SUMIFS(rGasto,rFecha,BH44,rGrupo,"?*"))</f>
        <v/>
      </c>
      <c r="BK44" s="241">
        <f>IF(BH44="","",SUMIFS(rGasto,rFecha,BH44,rGrupo,gCP))</f>
        <v/>
      </c>
      <c r="BL44" s="241">
        <f>IF(BH44="",-1E+12-38,N(BJ44)+(400-38)/1E+7)</f>
        <v/>
      </c>
    </row>
    <row r="45">
      <c r="E45" s="241" t="n">
        <v>39</v>
      </c>
      <c r="F45" s="241">
        <f>IFERROR(INDEX(catUList,39)&amp;"","")</f>
        <v/>
      </c>
      <c r="G45" s="241">
        <f>IF(F45="","",SUMIFS(rGasto,rCat,F45,rFecha,"&gt;="&amp;pIni,rFecha,"&lt;="&amp;pFin,rCtaE,critCta))</f>
        <v/>
      </c>
      <c r="H45" s="241">
        <f>IF(F45="",-1E+12-39,N(G45)+(100-39)/1E+7)</f>
        <v/>
      </c>
      <c r="I45" s="241">
        <f>IF(F45="","",COUNTIFS(rCat,F45,rTipoE,"Gasto",rFecha,"&gt;="&amp;pIni,rFecha,"&lt;="&amp;pFin,rCtaE,critCta))</f>
        <v/>
      </c>
      <c r="K45" s="241">
        <f>INDEX(catCat,39)&amp;""</f>
        <v/>
      </c>
      <c r="L45" s="241">
        <f>INDEX(catSub,39)&amp;""</f>
        <v/>
      </c>
      <c r="M45" s="241">
        <f>IF(OR(K45="",L45="",INDEX(catTipo,39)&amp;""&lt;&gt;"Gasto"),"",IF(AND(critCat&lt;&gt;"&lt;&gt;@@@",K45&lt;&gt;critCat),0,SUMIFS(rGasto,rCat,K45,rSub,L45,rFecha,"&gt;="&amp;pIni,rFecha,"&lt;="&amp;pFin,rCtaE,critCta)))</f>
        <v/>
      </c>
      <c r="N45" s="241">
        <f>IF(M45="","",IF(AND(critCat&lt;&gt;"&lt;&gt;@@@",K45&lt;&gt;critCat),0,COUNTIFS(rCat,K45,rSub,L45,rTipoE,"Gasto",rFecha,"&gt;="&amp;pIni,rFecha,"&lt;="&amp;pFin,rCtaE,critCta)))</f>
        <v/>
      </c>
      <c r="O45" s="241">
        <f>IF(M45="",-1E+12-39,N(M45)+(201-39)/1E+7)</f>
        <v/>
      </c>
      <c r="P45" s="241">
        <f>L45&amp;" · "&amp;K45</f>
        <v/>
      </c>
      <c r="R45" s="241" t="n">
        <v>39</v>
      </c>
      <c r="S45" s="241">
        <f>IFERROR(INDEX(rCom,MATCH(39,rComIdx,0))&amp;"","")</f>
        <v/>
      </c>
      <c r="T45" s="241">
        <f>IF(S45="","",SUMIFS(rGasto,rCom,S45,rFecha,"&gt;="&amp;pIni,rFecha,"&lt;="&amp;pFin,rCat,critCat,rCtaE,critCta))</f>
        <v/>
      </c>
      <c r="U45" s="241">
        <f>IF(S45="","",COUNTIFS(rCom,S45,rTipoE,"Gasto",rFecha,"&gt;="&amp;pIni,rFecha,"&lt;="&amp;pFin,rCat,critCat,rCtaE,critCta))</f>
        <v/>
      </c>
      <c r="V45" s="241">
        <f>IF(S45="",-1E+12-39,N(T45)+(301-39)/1E+7)</f>
        <v/>
      </c>
      <c r="W45" s="241">
        <f>IF(S45="","",SUMIFS(rGasto,rCom,S45,rHorm,1,rFecha,"&gt;="&amp;pIni,rFecha,"&lt;="&amp;pFin))</f>
        <v/>
      </c>
      <c r="X45" s="241">
        <f>IF(S45="","",COUNTIFS(rCom,S45,rHorm,1,rFecha,"&gt;="&amp;pIni,rFecha,"&lt;="&amp;pFin))</f>
        <v/>
      </c>
      <c r="Y45" s="241">
        <f>IF(S45="",-1E+12-39,N(W45)+(301-39)/1E+7)</f>
        <v/>
      </c>
      <c r="AF45" s="241">
        <f>$F45</f>
        <v/>
      </c>
      <c r="AG45" s="241">
        <f>IF(AF45="","",SUMIFS(rGasto,rCat,AF45,rHorm,1,rFecha,"&gt;="&amp;pIni,rFecha,"&lt;="&amp;pFin))</f>
        <v/>
      </c>
      <c r="AH45" s="241">
        <f>IF(AF45="","",COUNTIFS(rCat,AF45,rHorm,1,rFecha,"&gt;="&amp;pIni,rFecha,"&lt;="&amp;pFin))</f>
        <v/>
      </c>
      <c r="AI45" s="241">
        <f>IF(AF45="",-1E+12-39,N(AG45)+(100-39)/1E+7)</f>
        <v/>
      </c>
      <c r="BG45" s="241" t="n">
        <v>39</v>
      </c>
      <c r="BH45" s="246">
        <f>IF(calIni+38&lt;=pFinEff,calIni+38,"")</f>
        <v/>
      </c>
      <c r="BI45" s="241">
        <f>IF(BH45="","",WEEKDAY(BH45,2))</f>
        <v/>
      </c>
      <c r="BJ45" s="241">
        <f>IF(BH45="","",SUMIFS(rGasto,rFecha,BH45,rGrupo,"?*"))</f>
        <v/>
      </c>
      <c r="BK45" s="241">
        <f>IF(BH45="","",SUMIFS(rGasto,rFecha,BH45,rGrupo,gCP))</f>
        <v/>
      </c>
      <c r="BL45" s="241">
        <f>IF(BH45="",-1E+12-39,N(BJ45)+(400-39)/1E+7)</f>
        <v/>
      </c>
    </row>
    <row r="46">
      <c r="E46" s="241" t="n">
        <v>40</v>
      </c>
      <c r="F46" s="241">
        <f>IFERROR(INDEX(catUList,40)&amp;"","")</f>
        <v/>
      </c>
      <c r="G46" s="241">
        <f>IF(F46="","",SUMIFS(rGasto,rCat,F46,rFecha,"&gt;="&amp;pIni,rFecha,"&lt;="&amp;pFin,rCtaE,critCta))</f>
        <v/>
      </c>
      <c r="H46" s="241">
        <f>IF(F46="",-1E+12-40,N(G46)+(100-40)/1E+7)</f>
        <v/>
      </c>
      <c r="I46" s="241">
        <f>IF(F46="","",COUNTIFS(rCat,F46,rTipoE,"Gasto",rFecha,"&gt;="&amp;pIni,rFecha,"&lt;="&amp;pFin,rCtaE,critCta))</f>
        <v/>
      </c>
      <c r="K46" s="241">
        <f>INDEX(catCat,40)&amp;""</f>
        <v/>
      </c>
      <c r="L46" s="241">
        <f>INDEX(catSub,40)&amp;""</f>
        <v/>
      </c>
      <c r="M46" s="241">
        <f>IF(OR(K46="",L46="",INDEX(catTipo,40)&amp;""&lt;&gt;"Gasto"),"",IF(AND(critCat&lt;&gt;"&lt;&gt;@@@",K46&lt;&gt;critCat),0,SUMIFS(rGasto,rCat,K46,rSub,L46,rFecha,"&gt;="&amp;pIni,rFecha,"&lt;="&amp;pFin,rCtaE,critCta)))</f>
        <v/>
      </c>
      <c r="N46" s="241">
        <f>IF(M46="","",IF(AND(critCat&lt;&gt;"&lt;&gt;@@@",K46&lt;&gt;critCat),0,COUNTIFS(rCat,K46,rSub,L46,rTipoE,"Gasto",rFecha,"&gt;="&amp;pIni,rFecha,"&lt;="&amp;pFin,rCtaE,critCta)))</f>
        <v/>
      </c>
      <c r="O46" s="241">
        <f>IF(M46="",-1E+12-40,N(M46)+(201-40)/1E+7)</f>
        <v/>
      </c>
      <c r="P46" s="241">
        <f>L46&amp;" · "&amp;K46</f>
        <v/>
      </c>
      <c r="R46" s="241" t="n">
        <v>40</v>
      </c>
      <c r="S46" s="241">
        <f>IFERROR(INDEX(rCom,MATCH(40,rComIdx,0))&amp;"","")</f>
        <v/>
      </c>
      <c r="T46" s="241">
        <f>IF(S46="","",SUMIFS(rGasto,rCom,S46,rFecha,"&gt;="&amp;pIni,rFecha,"&lt;="&amp;pFin,rCat,critCat,rCtaE,critCta))</f>
        <v/>
      </c>
      <c r="U46" s="241">
        <f>IF(S46="","",COUNTIFS(rCom,S46,rTipoE,"Gasto",rFecha,"&gt;="&amp;pIni,rFecha,"&lt;="&amp;pFin,rCat,critCat,rCtaE,critCta))</f>
        <v/>
      </c>
      <c r="V46" s="241">
        <f>IF(S46="",-1E+12-40,N(T46)+(301-40)/1E+7)</f>
        <v/>
      </c>
      <c r="W46" s="241">
        <f>IF(S46="","",SUMIFS(rGasto,rCom,S46,rHorm,1,rFecha,"&gt;="&amp;pIni,rFecha,"&lt;="&amp;pFin))</f>
        <v/>
      </c>
      <c r="X46" s="241">
        <f>IF(S46="","",COUNTIFS(rCom,S46,rHorm,1,rFecha,"&gt;="&amp;pIni,rFecha,"&lt;="&amp;pFin))</f>
        <v/>
      </c>
      <c r="Y46" s="241">
        <f>IF(S46="",-1E+12-40,N(W46)+(301-40)/1E+7)</f>
        <v/>
      </c>
      <c r="AF46" s="241">
        <f>$F46</f>
        <v/>
      </c>
      <c r="AG46" s="241">
        <f>IF(AF46="","",SUMIFS(rGasto,rCat,AF46,rHorm,1,rFecha,"&gt;="&amp;pIni,rFecha,"&lt;="&amp;pFin))</f>
        <v/>
      </c>
      <c r="AH46" s="241">
        <f>IF(AF46="","",COUNTIFS(rCat,AF46,rHorm,1,rFecha,"&gt;="&amp;pIni,rFecha,"&lt;="&amp;pFin))</f>
        <v/>
      </c>
      <c r="AI46" s="241">
        <f>IF(AF46="",-1E+12-40,N(AG46)+(100-40)/1E+7)</f>
        <v/>
      </c>
      <c r="BG46" s="241" t="n">
        <v>40</v>
      </c>
      <c r="BH46" s="246">
        <f>IF(calIni+39&lt;=pFinEff,calIni+39,"")</f>
        <v/>
      </c>
      <c r="BI46" s="241">
        <f>IF(BH46="","",WEEKDAY(BH46,2))</f>
        <v/>
      </c>
      <c r="BJ46" s="241">
        <f>IF(BH46="","",SUMIFS(rGasto,rFecha,BH46,rGrupo,"?*"))</f>
        <v/>
      </c>
      <c r="BK46" s="241">
        <f>IF(BH46="","",SUMIFS(rGasto,rFecha,BH46,rGrupo,gCP))</f>
        <v/>
      </c>
      <c r="BL46" s="241">
        <f>IF(BH46="",-1E+12-40,N(BJ46)+(400-40)/1E+7)</f>
        <v/>
      </c>
    </row>
    <row r="47">
      <c r="K47" s="241">
        <f>INDEX(catCat,41)&amp;""</f>
        <v/>
      </c>
      <c r="L47" s="241">
        <f>INDEX(catSub,41)&amp;""</f>
        <v/>
      </c>
      <c r="M47" s="241">
        <f>IF(OR(K47="",L47="",INDEX(catTipo,41)&amp;""&lt;&gt;"Gasto"),"",IF(AND(critCat&lt;&gt;"&lt;&gt;@@@",K47&lt;&gt;critCat),0,SUMIFS(rGasto,rCat,K47,rSub,L47,rFecha,"&gt;="&amp;pIni,rFecha,"&lt;="&amp;pFin,rCtaE,critCta)))</f>
        <v/>
      </c>
      <c r="N47" s="241">
        <f>IF(M47="","",IF(AND(critCat&lt;&gt;"&lt;&gt;@@@",K47&lt;&gt;critCat),0,COUNTIFS(rCat,K47,rSub,L47,rTipoE,"Gasto",rFecha,"&gt;="&amp;pIni,rFecha,"&lt;="&amp;pFin,rCtaE,critCta)))</f>
        <v/>
      </c>
      <c r="O47" s="241">
        <f>IF(M47="",-1E+12-41,N(M47)+(201-41)/1E+7)</f>
        <v/>
      </c>
      <c r="P47" s="241">
        <f>L47&amp;" · "&amp;K47</f>
        <v/>
      </c>
      <c r="R47" s="241" t="n">
        <v>41</v>
      </c>
      <c r="S47" s="241">
        <f>IFERROR(INDEX(rCom,MATCH(41,rComIdx,0))&amp;"","")</f>
        <v/>
      </c>
      <c r="T47" s="241">
        <f>IF(S47="","",SUMIFS(rGasto,rCom,S47,rFecha,"&gt;="&amp;pIni,rFecha,"&lt;="&amp;pFin,rCat,critCat,rCtaE,critCta))</f>
        <v/>
      </c>
      <c r="U47" s="241">
        <f>IF(S47="","",COUNTIFS(rCom,S47,rTipoE,"Gasto",rFecha,"&gt;="&amp;pIni,rFecha,"&lt;="&amp;pFin,rCat,critCat,rCtaE,critCta))</f>
        <v/>
      </c>
      <c r="V47" s="241">
        <f>IF(S47="",-1E+12-41,N(T47)+(301-41)/1E+7)</f>
        <v/>
      </c>
      <c r="W47" s="241">
        <f>IF(S47="","",SUMIFS(rGasto,rCom,S47,rHorm,1,rFecha,"&gt;="&amp;pIni,rFecha,"&lt;="&amp;pFin))</f>
        <v/>
      </c>
      <c r="X47" s="241">
        <f>IF(S47="","",COUNTIFS(rCom,S47,rHorm,1,rFecha,"&gt;="&amp;pIni,rFecha,"&lt;="&amp;pFin))</f>
        <v/>
      </c>
      <c r="Y47" s="241">
        <f>IF(S47="",-1E+12-41,N(W47)+(301-41)/1E+7)</f>
        <v/>
      </c>
      <c r="BG47" s="241" t="n">
        <v>41</v>
      </c>
      <c r="BH47" s="246">
        <f>IF(calIni+40&lt;=pFinEff,calIni+40,"")</f>
        <v/>
      </c>
      <c r="BI47" s="241">
        <f>IF(BH47="","",WEEKDAY(BH47,2))</f>
        <v/>
      </c>
      <c r="BJ47" s="241">
        <f>IF(BH47="","",SUMIFS(rGasto,rFecha,BH47,rGrupo,"?*"))</f>
        <v/>
      </c>
      <c r="BK47" s="241">
        <f>IF(BH47="","",SUMIFS(rGasto,rFecha,BH47,rGrupo,gCP))</f>
        <v/>
      </c>
      <c r="BL47" s="241">
        <f>IF(BH47="",-1E+12-41,N(BJ47)+(400-41)/1E+7)</f>
        <v/>
      </c>
    </row>
    <row r="48">
      <c r="K48" s="241">
        <f>INDEX(catCat,42)&amp;""</f>
        <v/>
      </c>
      <c r="L48" s="241">
        <f>INDEX(catSub,42)&amp;""</f>
        <v/>
      </c>
      <c r="M48" s="241">
        <f>IF(OR(K48="",L48="",INDEX(catTipo,42)&amp;""&lt;&gt;"Gasto"),"",IF(AND(critCat&lt;&gt;"&lt;&gt;@@@",K48&lt;&gt;critCat),0,SUMIFS(rGasto,rCat,K48,rSub,L48,rFecha,"&gt;="&amp;pIni,rFecha,"&lt;="&amp;pFin,rCtaE,critCta)))</f>
        <v/>
      </c>
      <c r="N48" s="241">
        <f>IF(M48="","",IF(AND(critCat&lt;&gt;"&lt;&gt;@@@",K48&lt;&gt;critCat),0,COUNTIFS(rCat,K48,rSub,L48,rTipoE,"Gasto",rFecha,"&gt;="&amp;pIni,rFecha,"&lt;="&amp;pFin,rCtaE,critCta)))</f>
        <v/>
      </c>
      <c r="O48" s="241">
        <f>IF(M48="",-1E+12-42,N(M48)+(201-42)/1E+7)</f>
        <v/>
      </c>
      <c r="P48" s="241">
        <f>L48&amp;" · "&amp;K48</f>
        <v/>
      </c>
      <c r="R48" s="241" t="n">
        <v>42</v>
      </c>
      <c r="S48" s="241">
        <f>IFERROR(INDEX(rCom,MATCH(42,rComIdx,0))&amp;"","")</f>
        <v/>
      </c>
      <c r="T48" s="241">
        <f>IF(S48="","",SUMIFS(rGasto,rCom,S48,rFecha,"&gt;="&amp;pIni,rFecha,"&lt;="&amp;pFin,rCat,critCat,rCtaE,critCta))</f>
        <v/>
      </c>
      <c r="U48" s="241">
        <f>IF(S48="","",COUNTIFS(rCom,S48,rTipoE,"Gasto",rFecha,"&gt;="&amp;pIni,rFecha,"&lt;="&amp;pFin,rCat,critCat,rCtaE,critCta))</f>
        <v/>
      </c>
      <c r="V48" s="241">
        <f>IF(S48="",-1E+12-42,N(T48)+(301-42)/1E+7)</f>
        <v/>
      </c>
      <c r="W48" s="241">
        <f>IF(S48="","",SUMIFS(rGasto,rCom,S48,rHorm,1,rFecha,"&gt;="&amp;pIni,rFecha,"&lt;="&amp;pFin))</f>
        <v/>
      </c>
      <c r="X48" s="241">
        <f>IF(S48="","",COUNTIFS(rCom,S48,rHorm,1,rFecha,"&gt;="&amp;pIni,rFecha,"&lt;="&amp;pFin))</f>
        <v/>
      </c>
      <c r="Y48" s="241">
        <f>IF(S48="",-1E+12-42,N(W48)+(301-42)/1E+7)</f>
        <v/>
      </c>
      <c r="BG48" s="241" t="n">
        <v>42</v>
      </c>
      <c r="BH48" s="246">
        <f>IF(calIni+41&lt;=pFinEff,calIni+41,"")</f>
        <v/>
      </c>
      <c r="BI48" s="241">
        <f>IF(BH48="","",WEEKDAY(BH48,2))</f>
        <v/>
      </c>
      <c r="BJ48" s="241">
        <f>IF(BH48="","",SUMIFS(rGasto,rFecha,BH48,rGrupo,"?*"))</f>
        <v/>
      </c>
      <c r="BK48" s="241">
        <f>IF(BH48="","",SUMIFS(rGasto,rFecha,BH48,rGrupo,gCP))</f>
        <v/>
      </c>
      <c r="BL48" s="241">
        <f>IF(BH48="",-1E+12-42,N(BJ48)+(400-42)/1E+7)</f>
        <v/>
      </c>
    </row>
    <row r="49">
      <c r="K49" s="241">
        <f>INDEX(catCat,43)&amp;""</f>
        <v/>
      </c>
      <c r="L49" s="241">
        <f>INDEX(catSub,43)&amp;""</f>
        <v/>
      </c>
      <c r="M49" s="241">
        <f>IF(OR(K49="",L49="",INDEX(catTipo,43)&amp;""&lt;&gt;"Gasto"),"",IF(AND(critCat&lt;&gt;"&lt;&gt;@@@",K49&lt;&gt;critCat),0,SUMIFS(rGasto,rCat,K49,rSub,L49,rFecha,"&gt;="&amp;pIni,rFecha,"&lt;="&amp;pFin,rCtaE,critCta)))</f>
        <v/>
      </c>
      <c r="N49" s="241">
        <f>IF(M49="","",IF(AND(critCat&lt;&gt;"&lt;&gt;@@@",K49&lt;&gt;critCat),0,COUNTIFS(rCat,K49,rSub,L49,rTipoE,"Gasto",rFecha,"&gt;="&amp;pIni,rFecha,"&lt;="&amp;pFin,rCtaE,critCta)))</f>
        <v/>
      </c>
      <c r="O49" s="241">
        <f>IF(M49="",-1E+12-43,N(M49)+(201-43)/1E+7)</f>
        <v/>
      </c>
      <c r="P49" s="241">
        <f>L49&amp;" · "&amp;K49</f>
        <v/>
      </c>
      <c r="R49" s="241" t="n">
        <v>43</v>
      </c>
      <c r="S49" s="241">
        <f>IFERROR(INDEX(rCom,MATCH(43,rComIdx,0))&amp;"","")</f>
        <v/>
      </c>
      <c r="T49" s="241">
        <f>IF(S49="","",SUMIFS(rGasto,rCom,S49,rFecha,"&gt;="&amp;pIni,rFecha,"&lt;="&amp;pFin,rCat,critCat,rCtaE,critCta))</f>
        <v/>
      </c>
      <c r="U49" s="241">
        <f>IF(S49="","",COUNTIFS(rCom,S49,rTipoE,"Gasto",rFecha,"&gt;="&amp;pIni,rFecha,"&lt;="&amp;pFin,rCat,critCat,rCtaE,critCta))</f>
        <v/>
      </c>
      <c r="V49" s="241">
        <f>IF(S49="",-1E+12-43,N(T49)+(301-43)/1E+7)</f>
        <v/>
      </c>
      <c r="W49" s="241">
        <f>IF(S49="","",SUMIFS(rGasto,rCom,S49,rHorm,1,rFecha,"&gt;="&amp;pIni,rFecha,"&lt;="&amp;pFin))</f>
        <v/>
      </c>
      <c r="X49" s="241">
        <f>IF(S49="","",COUNTIFS(rCom,S49,rHorm,1,rFecha,"&gt;="&amp;pIni,rFecha,"&lt;="&amp;pFin))</f>
        <v/>
      </c>
      <c r="Y49" s="241">
        <f>IF(S49="",-1E+12-43,N(W49)+(301-43)/1E+7)</f>
        <v/>
      </c>
      <c r="BG49" s="241" t="n">
        <v>43</v>
      </c>
      <c r="BH49" s="246">
        <f>IF(calIni+42&lt;=pFinEff,calIni+42,"")</f>
        <v/>
      </c>
      <c r="BI49" s="241">
        <f>IF(BH49="","",WEEKDAY(BH49,2))</f>
        <v/>
      </c>
      <c r="BJ49" s="241">
        <f>IF(BH49="","",SUMIFS(rGasto,rFecha,BH49,rGrupo,"?*"))</f>
        <v/>
      </c>
      <c r="BK49" s="241">
        <f>IF(BH49="","",SUMIFS(rGasto,rFecha,BH49,rGrupo,gCP))</f>
        <v/>
      </c>
      <c r="BL49" s="241">
        <f>IF(BH49="",-1E+12-43,N(BJ49)+(400-43)/1E+7)</f>
        <v/>
      </c>
    </row>
    <row r="50">
      <c r="K50" s="241">
        <f>INDEX(catCat,44)&amp;""</f>
        <v/>
      </c>
      <c r="L50" s="241">
        <f>INDEX(catSub,44)&amp;""</f>
        <v/>
      </c>
      <c r="M50" s="241">
        <f>IF(OR(K50="",L50="",INDEX(catTipo,44)&amp;""&lt;&gt;"Gasto"),"",IF(AND(critCat&lt;&gt;"&lt;&gt;@@@",K50&lt;&gt;critCat),0,SUMIFS(rGasto,rCat,K50,rSub,L50,rFecha,"&gt;="&amp;pIni,rFecha,"&lt;="&amp;pFin,rCtaE,critCta)))</f>
        <v/>
      </c>
      <c r="N50" s="241">
        <f>IF(M50="","",IF(AND(critCat&lt;&gt;"&lt;&gt;@@@",K50&lt;&gt;critCat),0,COUNTIFS(rCat,K50,rSub,L50,rTipoE,"Gasto",rFecha,"&gt;="&amp;pIni,rFecha,"&lt;="&amp;pFin,rCtaE,critCta)))</f>
        <v/>
      </c>
      <c r="O50" s="241">
        <f>IF(M50="",-1E+12-44,N(M50)+(201-44)/1E+7)</f>
        <v/>
      </c>
      <c r="P50" s="241">
        <f>L50&amp;" · "&amp;K50</f>
        <v/>
      </c>
      <c r="R50" s="241" t="n">
        <v>44</v>
      </c>
      <c r="S50" s="241">
        <f>IFERROR(INDEX(rCom,MATCH(44,rComIdx,0))&amp;"","")</f>
        <v/>
      </c>
      <c r="T50" s="241">
        <f>IF(S50="","",SUMIFS(rGasto,rCom,S50,rFecha,"&gt;="&amp;pIni,rFecha,"&lt;="&amp;pFin,rCat,critCat,rCtaE,critCta))</f>
        <v/>
      </c>
      <c r="U50" s="241">
        <f>IF(S50="","",COUNTIFS(rCom,S50,rTipoE,"Gasto",rFecha,"&gt;="&amp;pIni,rFecha,"&lt;="&amp;pFin,rCat,critCat,rCtaE,critCta))</f>
        <v/>
      </c>
      <c r="V50" s="241">
        <f>IF(S50="",-1E+12-44,N(T50)+(301-44)/1E+7)</f>
        <v/>
      </c>
      <c r="W50" s="241">
        <f>IF(S50="","",SUMIFS(rGasto,rCom,S50,rHorm,1,rFecha,"&gt;="&amp;pIni,rFecha,"&lt;="&amp;pFin))</f>
        <v/>
      </c>
      <c r="X50" s="241">
        <f>IF(S50="","",COUNTIFS(rCom,S50,rHorm,1,rFecha,"&gt;="&amp;pIni,rFecha,"&lt;="&amp;pFin))</f>
        <v/>
      </c>
      <c r="Y50" s="241">
        <f>IF(S50="",-1E+12-44,N(W50)+(301-44)/1E+7)</f>
        <v/>
      </c>
      <c r="BG50" s="241" t="n">
        <v>44</v>
      </c>
      <c r="BH50" s="246">
        <f>IF(calIni+43&lt;=pFinEff,calIni+43,"")</f>
        <v/>
      </c>
      <c r="BI50" s="241">
        <f>IF(BH50="","",WEEKDAY(BH50,2))</f>
        <v/>
      </c>
      <c r="BJ50" s="241">
        <f>IF(BH50="","",SUMIFS(rGasto,rFecha,BH50,rGrupo,"?*"))</f>
        <v/>
      </c>
      <c r="BK50" s="241">
        <f>IF(BH50="","",SUMIFS(rGasto,rFecha,BH50,rGrupo,gCP))</f>
        <v/>
      </c>
      <c r="BL50" s="241">
        <f>IF(BH50="",-1E+12-44,N(BJ50)+(400-44)/1E+7)</f>
        <v/>
      </c>
    </row>
    <row r="51">
      <c r="K51" s="241">
        <f>INDEX(catCat,45)&amp;""</f>
        <v/>
      </c>
      <c r="L51" s="241">
        <f>INDEX(catSub,45)&amp;""</f>
        <v/>
      </c>
      <c r="M51" s="241">
        <f>IF(OR(K51="",L51="",INDEX(catTipo,45)&amp;""&lt;&gt;"Gasto"),"",IF(AND(critCat&lt;&gt;"&lt;&gt;@@@",K51&lt;&gt;critCat),0,SUMIFS(rGasto,rCat,K51,rSub,L51,rFecha,"&gt;="&amp;pIni,rFecha,"&lt;="&amp;pFin,rCtaE,critCta)))</f>
        <v/>
      </c>
      <c r="N51" s="241">
        <f>IF(M51="","",IF(AND(critCat&lt;&gt;"&lt;&gt;@@@",K51&lt;&gt;critCat),0,COUNTIFS(rCat,K51,rSub,L51,rTipoE,"Gasto",rFecha,"&gt;="&amp;pIni,rFecha,"&lt;="&amp;pFin,rCtaE,critCta)))</f>
        <v/>
      </c>
      <c r="O51" s="241">
        <f>IF(M51="",-1E+12-45,N(M51)+(201-45)/1E+7)</f>
        <v/>
      </c>
      <c r="P51" s="241">
        <f>L51&amp;" · "&amp;K51</f>
        <v/>
      </c>
      <c r="R51" s="241" t="n">
        <v>45</v>
      </c>
      <c r="S51" s="241">
        <f>IFERROR(INDEX(rCom,MATCH(45,rComIdx,0))&amp;"","")</f>
        <v/>
      </c>
      <c r="T51" s="241">
        <f>IF(S51="","",SUMIFS(rGasto,rCom,S51,rFecha,"&gt;="&amp;pIni,rFecha,"&lt;="&amp;pFin,rCat,critCat,rCtaE,critCta))</f>
        <v/>
      </c>
      <c r="U51" s="241">
        <f>IF(S51="","",COUNTIFS(rCom,S51,rTipoE,"Gasto",rFecha,"&gt;="&amp;pIni,rFecha,"&lt;="&amp;pFin,rCat,critCat,rCtaE,critCta))</f>
        <v/>
      </c>
      <c r="V51" s="241">
        <f>IF(S51="",-1E+12-45,N(T51)+(301-45)/1E+7)</f>
        <v/>
      </c>
      <c r="W51" s="241">
        <f>IF(S51="","",SUMIFS(rGasto,rCom,S51,rHorm,1,rFecha,"&gt;="&amp;pIni,rFecha,"&lt;="&amp;pFin))</f>
        <v/>
      </c>
      <c r="X51" s="241">
        <f>IF(S51="","",COUNTIFS(rCom,S51,rHorm,1,rFecha,"&gt;="&amp;pIni,rFecha,"&lt;="&amp;pFin))</f>
        <v/>
      </c>
      <c r="Y51" s="241">
        <f>IF(S51="",-1E+12-45,N(W51)+(301-45)/1E+7)</f>
        <v/>
      </c>
      <c r="BG51" s="241" t="n">
        <v>45</v>
      </c>
      <c r="BH51" s="246">
        <f>IF(calIni+44&lt;=pFinEff,calIni+44,"")</f>
        <v/>
      </c>
      <c r="BI51" s="241">
        <f>IF(BH51="","",WEEKDAY(BH51,2))</f>
        <v/>
      </c>
      <c r="BJ51" s="241">
        <f>IF(BH51="","",SUMIFS(rGasto,rFecha,BH51,rGrupo,"?*"))</f>
        <v/>
      </c>
      <c r="BK51" s="241">
        <f>IF(BH51="","",SUMIFS(rGasto,rFecha,BH51,rGrupo,gCP))</f>
        <v/>
      </c>
      <c r="BL51" s="241">
        <f>IF(BH51="",-1E+12-45,N(BJ51)+(400-45)/1E+7)</f>
        <v/>
      </c>
    </row>
    <row r="52">
      <c r="K52" s="241">
        <f>INDEX(catCat,46)&amp;""</f>
        <v/>
      </c>
      <c r="L52" s="241">
        <f>INDEX(catSub,46)&amp;""</f>
        <v/>
      </c>
      <c r="M52" s="241">
        <f>IF(OR(K52="",L52="",INDEX(catTipo,46)&amp;""&lt;&gt;"Gasto"),"",IF(AND(critCat&lt;&gt;"&lt;&gt;@@@",K52&lt;&gt;critCat),0,SUMIFS(rGasto,rCat,K52,rSub,L52,rFecha,"&gt;="&amp;pIni,rFecha,"&lt;="&amp;pFin,rCtaE,critCta)))</f>
        <v/>
      </c>
      <c r="N52" s="241">
        <f>IF(M52="","",IF(AND(critCat&lt;&gt;"&lt;&gt;@@@",K52&lt;&gt;critCat),0,COUNTIFS(rCat,K52,rSub,L52,rTipoE,"Gasto",rFecha,"&gt;="&amp;pIni,rFecha,"&lt;="&amp;pFin,rCtaE,critCta)))</f>
        <v/>
      </c>
      <c r="O52" s="241">
        <f>IF(M52="",-1E+12-46,N(M52)+(201-46)/1E+7)</f>
        <v/>
      </c>
      <c r="P52" s="241">
        <f>L52&amp;" · "&amp;K52</f>
        <v/>
      </c>
      <c r="R52" s="241" t="n">
        <v>46</v>
      </c>
      <c r="S52" s="241">
        <f>IFERROR(INDEX(rCom,MATCH(46,rComIdx,0))&amp;"","")</f>
        <v/>
      </c>
      <c r="T52" s="241">
        <f>IF(S52="","",SUMIFS(rGasto,rCom,S52,rFecha,"&gt;="&amp;pIni,rFecha,"&lt;="&amp;pFin,rCat,critCat,rCtaE,critCta))</f>
        <v/>
      </c>
      <c r="U52" s="241">
        <f>IF(S52="","",COUNTIFS(rCom,S52,rTipoE,"Gasto",rFecha,"&gt;="&amp;pIni,rFecha,"&lt;="&amp;pFin,rCat,critCat,rCtaE,critCta))</f>
        <v/>
      </c>
      <c r="V52" s="241">
        <f>IF(S52="",-1E+12-46,N(T52)+(301-46)/1E+7)</f>
        <v/>
      </c>
      <c r="W52" s="241">
        <f>IF(S52="","",SUMIFS(rGasto,rCom,S52,rHorm,1,rFecha,"&gt;="&amp;pIni,rFecha,"&lt;="&amp;pFin))</f>
        <v/>
      </c>
      <c r="X52" s="241">
        <f>IF(S52="","",COUNTIFS(rCom,S52,rHorm,1,rFecha,"&gt;="&amp;pIni,rFecha,"&lt;="&amp;pFin))</f>
        <v/>
      </c>
      <c r="Y52" s="241">
        <f>IF(S52="",-1E+12-46,N(W52)+(301-46)/1E+7)</f>
        <v/>
      </c>
      <c r="BG52" s="241" t="n">
        <v>46</v>
      </c>
      <c r="BH52" s="246">
        <f>IF(calIni+45&lt;=pFinEff,calIni+45,"")</f>
        <v/>
      </c>
      <c r="BI52" s="241">
        <f>IF(BH52="","",WEEKDAY(BH52,2))</f>
        <v/>
      </c>
      <c r="BJ52" s="241">
        <f>IF(BH52="","",SUMIFS(rGasto,rFecha,BH52,rGrupo,"?*"))</f>
        <v/>
      </c>
      <c r="BK52" s="241">
        <f>IF(BH52="","",SUMIFS(rGasto,rFecha,BH52,rGrupo,gCP))</f>
        <v/>
      </c>
      <c r="BL52" s="241">
        <f>IF(BH52="",-1E+12-46,N(BJ52)+(400-46)/1E+7)</f>
        <v/>
      </c>
    </row>
    <row r="53">
      <c r="K53" s="241">
        <f>INDEX(catCat,47)&amp;""</f>
        <v/>
      </c>
      <c r="L53" s="241">
        <f>INDEX(catSub,47)&amp;""</f>
        <v/>
      </c>
      <c r="M53" s="241">
        <f>IF(OR(K53="",L53="",INDEX(catTipo,47)&amp;""&lt;&gt;"Gasto"),"",IF(AND(critCat&lt;&gt;"&lt;&gt;@@@",K53&lt;&gt;critCat),0,SUMIFS(rGasto,rCat,K53,rSub,L53,rFecha,"&gt;="&amp;pIni,rFecha,"&lt;="&amp;pFin,rCtaE,critCta)))</f>
        <v/>
      </c>
      <c r="N53" s="241">
        <f>IF(M53="","",IF(AND(critCat&lt;&gt;"&lt;&gt;@@@",K53&lt;&gt;critCat),0,COUNTIFS(rCat,K53,rSub,L53,rTipoE,"Gasto",rFecha,"&gt;="&amp;pIni,rFecha,"&lt;="&amp;pFin,rCtaE,critCta)))</f>
        <v/>
      </c>
      <c r="O53" s="241">
        <f>IF(M53="",-1E+12-47,N(M53)+(201-47)/1E+7)</f>
        <v/>
      </c>
      <c r="P53" s="241">
        <f>L53&amp;" · "&amp;K53</f>
        <v/>
      </c>
      <c r="R53" s="241" t="n">
        <v>47</v>
      </c>
      <c r="S53" s="241">
        <f>IFERROR(INDEX(rCom,MATCH(47,rComIdx,0))&amp;"","")</f>
        <v/>
      </c>
      <c r="T53" s="241">
        <f>IF(S53="","",SUMIFS(rGasto,rCom,S53,rFecha,"&gt;="&amp;pIni,rFecha,"&lt;="&amp;pFin,rCat,critCat,rCtaE,critCta))</f>
        <v/>
      </c>
      <c r="U53" s="241">
        <f>IF(S53="","",COUNTIFS(rCom,S53,rTipoE,"Gasto",rFecha,"&gt;="&amp;pIni,rFecha,"&lt;="&amp;pFin,rCat,critCat,rCtaE,critCta))</f>
        <v/>
      </c>
      <c r="V53" s="241">
        <f>IF(S53="",-1E+12-47,N(T53)+(301-47)/1E+7)</f>
        <v/>
      </c>
      <c r="W53" s="241">
        <f>IF(S53="","",SUMIFS(rGasto,rCom,S53,rHorm,1,rFecha,"&gt;="&amp;pIni,rFecha,"&lt;="&amp;pFin))</f>
        <v/>
      </c>
      <c r="X53" s="241">
        <f>IF(S53="","",COUNTIFS(rCom,S53,rHorm,1,rFecha,"&gt;="&amp;pIni,rFecha,"&lt;="&amp;pFin))</f>
        <v/>
      </c>
      <c r="Y53" s="241">
        <f>IF(S53="",-1E+12-47,N(W53)+(301-47)/1E+7)</f>
        <v/>
      </c>
      <c r="BG53" s="241" t="n">
        <v>47</v>
      </c>
      <c r="BH53" s="246">
        <f>IF(calIni+46&lt;=pFinEff,calIni+46,"")</f>
        <v/>
      </c>
      <c r="BI53" s="241">
        <f>IF(BH53="","",WEEKDAY(BH53,2))</f>
        <v/>
      </c>
      <c r="BJ53" s="241">
        <f>IF(BH53="","",SUMIFS(rGasto,rFecha,BH53,rGrupo,"?*"))</f>
        <v/>
      </c>
      <c r="BK53" s="241">
        <f>IF(BH53="","",SUMIFS(rGasto,rFecha,BH53,rGrupo,gCP))</f>
        <v/>
      </c>
      <c r="BL53" s="241">
        <f>IF(BH53="",-1E+12-47,N(BJ53)+(400-47)/1E+7)</f>
        <v/>
      </c>
    </row>
    <row r="54">
      <c r="K54" s="241">
        <f>INDEX(catCat,48)&amp;""</f>
        <v/>
      </c>
      <c r="L54" s="241">
        <f>INDEX(catSub,48)&amp;""</f>
        <v/>
      </c>
      <c r="M54" s="241">
        <f>IF(OR(K54="",L54="",INDEX(catTipo,48)&amp;""&lt;&gt;"Gasto"),"",IF(AND(critCat&lt;&gt;"&lt;&gt;@@@",K54&lt;&gt;critCat),0,SUMIFS(rGasto,rCat,K54,rSub,L54,rFecha,"&gt;="&amp;pIni,rFecha,"&lt;="&amp;pFin,rCtaE,critCta)))</f>
        <v/>
      </c>
      <c r="N54" s="241">
        <f>IF(M54="","",IF(AND(critCat&lt;&gt;"&lt;&gt;@@@",K54&lt;&gt;critCat),0,COUNTIFS(rCat,K54,rSub,L54,rTipoE,"Gasto",rFecha,"&gt;="&amp;pIni,rFecha,"&lt;="&amp;pFin,rCtaE,critCta)))</f>
        <v/>
      </c>
      <c r="O54" s="241">
        <f>IF(M54="",-1E+12-48,N(M54)+(201-48)/1E+7)</f>
        <v/>
      </c>
      <c r="P54" s="241">
        <f>L54&amp;" · "&amp;K54</f>
        <v/>
      </c>
      <c r="R54" s="241" t="n">
        <v>48</v>
      </c>
      <c r="S54" s="241">
        <f>IFERROR(INDEX(rCom,MATCH(48,rComIdx,0))&amp;"","")</f>
        <v/>
      </c>
      <c r="T54" s="241">
        <f>IF(S54="","",SUMIFS(rGasto,rCom,S54,rFecha,"&gt;="&amp;pIni,rFecha,"&lt;="&amp;pFin,rCat,critCat,rCtaE,critCta))</f>
        <v/>
      </c>
      <c r="U54" s="241">
        <f>IF(S54="","",COUNTIFS(rCom,S54,rTipoE,"Gasto",rFecha,"&gt;="&amp;pIni,rFecha,"&lt;="&amp;pFin,rCat,critCat,rCtaE,critCta))</f>
        <v/>
      </c>
      <c r="V54" s="241">
        <f>IF(S54="",-1E+12-48,N(T54)+(301-48)/1E+7)</f>
        <v/>
      </c>
      <c r="W54" s="241">
        <f>IF(S54="","",SUMIFS(rGasto,rCom,S54,rHorm,1,rFecha,"&gt;="&amp;pIni,rFecha,"&lt;="&amp;pFin))</f>
        <v/>
      </c>
      <c r="X54" s="241">
        <f>IF(S54="","",COUNTIFS(rCom,S54,rHorm,1,rFecha,"&gt;="&amp;pIni,rFecha,"&lt;="&amp;pFin))</f>
        <v/>
      </c>
      <c r="Y54" s="241">
        <f>IF(S54="",-1E+12-48,N(W54)+(301-48)/1E+7)</f>
        <v/>
      </c>
      <c r="BG54" s="241" t="n">
        <v>48</v>
      </c>
      <c r="BH54" s="246">
        <f>IF(calIni+47&lt;=pFinEff,calIni+47,"")</f>
        <v/>
      </c>
      <c r="BI54" s="241">
        <f>IF(BH54="","",WEEKDAY(BH54,2))</f>
        <v/>
      </c>
      <c r="BJ54" s="241">
        <f>IF(BH54="","",SUMIFS(rGasto,rFecha,BH54,rGrupo,"?*"))</f>
        <v/>
      </c>
      <c r="BK54" s="241">
        <f>IF(BH54="","",SUMIFS(rGasto,rFecha,BH54,rGrupo,gCP))</f>
        <v/>
      </c>
      <c r="BL54" s="241">
        <f>IF(BH54="",-1E+12-48,N(BJ54)+(400-48)/1E+7)</f>
        <v/>
      </c>
    </row>
    <row r="55">
      <c r="K55" s="241">
        <f>INDEX(catCat,49)&amp;""</f>
        <v/>
      </c>
      <c r="L55" s="241">
        <f>INDEX(catSub,49)&amp;""</f>
        <v/>
      </c>
      <c r="M55" s="241">
        <f>IF(OR(K55="",L55="",INDEX(catTipo,49)&amp;""&lt;&gt;"Gasto"),"",IF(AND(critCat&lt;&gt;"&lt;&gt;@@@",K55&lt;&gt;critCat),0,SUMIFS(rGasto,rCat,K55,rSub,L55,rFecha,"&gt;="&amp;pIni,rFecha,"&lt;="&amp;pFin,rCtaE,critCta)))</f>
        <v/>
      </c>
      <c r="N55" s="241">
        <f>IF(M55="","",IF(AND(critCat&lt;&gt;"&lt;&gt;@@@",K55&lt;&gt;critCat),0,COUNTIFS(rCat,K55,rSub,L55,rTipoE,"Gasto",rFecha,"&gt;="&amp;pIni,rFecha,"&lt;="&amp;pFin,rCtaE,critCta)))</f>
        <v/>
      </c>
      <c r="O55" s="241">
        <f>IF(M55="",-1E+12-49,N(M55)+(201-49)/1E+7)</f>
        <v/>
      </c>
      <c r="P55" s="241">
        <f>L55&amp;" · "&amp;K55</f>
        <v/>
      </c>
      <c r="R55" s="241" t="n">
        <v>49</v>
      </c>
      <c r="S55" s="241">
        <f>IFERROR(INDEX(rCom,MATCH(49,rComIdx,0))&amp;"","")</f>
        <v/>
      </c>
      <c r="T55" s="241">
        <f>IF(S55="","",SUMIFS(rGasto,rCom,S55,rFecha,"&gt;="&amp;pIni,rFecha,"&lt;="&amp;pFin,rCat,critCat,rCtaE,critCta))</f>
        <v/>
      </c>
      <c r="U55" s="241">
        <f>IF(S55="","",COUNTIFS(rCom,S55,rTipoE,"Gasto",rFecha,"&gt;="&amp;pIni,rFecha,"&lt;="&amp;pFin,rCat,critCat,rCtaE,critCta))</f>
        <v/>
      </c>
      <c r="V55" s="241">
        <f>IF(S55="",-1E+12-49,N(T55)+(301-49)/1E+7)</f>
        <v/>
      </c>
      <c r="W55" s="241">
        <f>IF(S55="","",SUMIFS(rGasto,rCom,S55,rHorm,1,rFecha,"&gt;="&amp;pIni,rFecha,"&lt;="&amp;pFin))</f>
        <v/>
      </c>
      <c r="X55" s="241">
        <f>IF(S55="","",COUNTIFS(rCom,S55,rHorm,1,rFecha,"&gt;="&amp;pIni,rFecha,"&lt;="&amp;pFin))</f>
        <v/>
      </c>
      <c r="Y55" s="241">
        <f>IF(S55="",-1E+12-49,N(W55)+(301-49)/1E+7)</f>
        <v/>
      </c>
      <c r="BG55" s="241" t="n">
        <v>49</v>
      </c>
      <c r="BH55" s="246">
        <f>IF(calIni+48&lt;=pFinEff,calIni+48,"")</f>
        <v/>
      </c>
      <c r="BI55" s="241">
        <f>IF(BH55="","",WEEKDAY(BH55,2))</f>
        <v/>
      </c>
      <c r="BJ55" s="241">
        <f>IF(BH55="","",SUMIFS(rGasto,rFecha,BH55,rGrupo,"?*"))</f>
        <v/>
      </c>
      <c r="BK55" s="241">
        <f>IF(BH55="","",SUMIFS(rGasto,rFecha,BH55,rGrupo,gCP))</f>
        <v/>
      </c>
      <c r="BL55" s="241">
        <f>IF(BH55="",-1E+12-49,N(BJ55)+(400-49)/1E+7)</f>
        <v/>
      </c>
    </row>
    <row r="56">
      <c r="K56" s="241">
        <f>INDEX(catCat,50)&amp;""</f>
        <v/>
      </c>
      <c r="L56" s="241">
        <f>INDEX(catSub,50)&amp;""</f>
        <v/>
      </c>
      <c r="M56" s="241">
        <f>IF(OR(K56="",L56="",INDEX(catTipo,50)&amp;""&lt;&gt;"Gasto"),"",IF(AND(critCat&lt;&gt;"&lt;&gt;@@@",K56&lt;&gt;critCat),0,SUMIFS(rGasto,rCat,K56,rSub,L56,rFecha,"&gt;="&amp;pIni,rFecha,"&lt;="&amp;pFin,rCtaE,critCta)))</f>
        <v/>
      </c>
      <c r="N56" s="241">
        <f>IF(M56="","",IF(AND(critCat&lt;&gt;"&lt;&gt;@@@",K56&lt;&gt;critCat),0,COUNTIFS(rCat,K56,rSub,L56,rTipoE,"Gasto",rFecha,"&gt;="&amp;pIni,rFecha,"&lt;="&amp;pFin,rCtaE,critCta)))</f>
        <v/>
      </c>
      <c r="O56" s="241">
        <f>IF(M56="",-1E+12-50,N(M56)+(201-50)/1E+7)</f>
        <v/>
      </c>
      <c r="P56" s="241">
        <f>L56&amp;" · "&amp;K56</f>
        <v/>
      </c>
      <c r="R56" s="241" t="n">
        <v>50</v>
      </c>
      <c r="S56" s="241">
        <f>IFERROR(INDEX(rCom,MATCH(50,rComIdx,0))&amp;"","")</f>
        <v/>
      </c>
      <c r="T56" s="241">
        <f>IF(S56="","",SUMIFS(rGasto,rCom,S56,rFecha,"&gt;="&amp;pIni,rFecha,"&lt;="&amp;pFin,rCat,critCat,rCtaE,critCta))</f>
        <v/>
      </c>
      <c r="U56" s="241">
        <f>IF(S56="","",COUNTIFS(rCom,S56,rTipoE,"Gasto",rFecha,"&gt;="&amp;pIni,rFecha,"&lt;="&amp;pFin,rCat,critCat,rCtaE,critCta))</f>
        <v/>
      </c>
      <c r="V56" s="241">
        <f>IF(S56="",-1E+12-50,N(T56)+(301-50)/1E+7)</f>
        <v/>
      </c>
      <c r="W56" s="241">
        <f>IF(S56="","",SUMIFS(rGasto,rCom,S56,rHorm,1,rFecha,"&gt;="&amp;pIni,rFecha,"&lt;="&amp;pFin))</f>
        <v/>
      </c>
      <c r="X56" s="241">
        <f>IF(S56="","",COUNTIFS(rCom,S56,rHorm,1,rFecha,"&gt;="&amp;pIni,rFecha,"&lt;="&amp;pFin))</f>
        <v/>
      </c>
      <c r="Y56" s="241">
        <f>IF(S56="",-1E+12-50,N(W56)+(301-50)/1E+7)</f>
        <v/>
      </c>
      <c r="BG56" s="241" t="n">
        <v>50</v>
      </c>
      <c r="BH56" s="246">
        <f>IF(calIni+49&lt;=pFinEff,calIni+49,"")</f>
        <v/>
      </c>
      <c r="BI56" s="241">
        <f>IF(BH56="","",WEEKDAY(BH56,2))</f>
        <v/>
      </c>
      <c r="BJ56" s="241">
        <f>IF(BH56="","",SUMIFS(rGasto,rFecha,BH56,rGrupo,"?*"))</f>
        <v/>
      </c>
      <c r="BK56" s="241">
        <f>IF(BH56="","",SUMIFS(rGasto,rFecha,BH56,rGrupo,gCP))</f>
        <v/>
      </c>
      <c r="BL56" s="241">
        <f>IF(BH56="",-1E+12-50,N(BJ56)+(400-50)/1E+7)</f>
        <v/>
      </c>
    </row>
    <row r="57">
      <c r="K57" s="241">
        <f>INDEX(catCat,51)&amp;""</f>
        <v/>
      </c>
      <c r="L57" s="241">
        <f>INDEX(catSub,51)&amp;""</f>
        <v/>
      </c>
      <c r="M57" s="241">
        <f>IF(OR(K57="",L57="",INDEX(catTipo,51)&amp;""&lt;&gt;"Gasto"),"",IF(AND(critCat&lt;&gt;"&lt;&gt;@@@",K57&lt;&gt;critCat),0,SUMIFS(rGasto,rCat,K57,rSub,L57,rFecha,"&gt;="&amp;pIni,rFecha,"&lt;="&amp;pFin,rCtaE,critCta)))</f>
        <v/>
      </c>
      <c r="N57" s="241">
        <f>IF(M57="","",IF(AND(critCat&lt;&gt;"&lt;&gt;@@@",K57&lt;&gt;critCat),0,COUNTIFS(rCat,K57,rSub,L57,rTipoE,"Gasto",rFecha,"&gt;="&amp;pIni,rFecha,"&lt;="&amp;pFin,rCtaE,critCta)))</f>
        <v/>
      </c>
      <c r="O57" s="241">
        <f>IF(M57="",-1E+12-51,N(M57)+(201-51)/1E+7)</f>
        <v/>
      </c>
      <c r="P57" s="241">
        <f>L57&amp;" · "&amp;K57</f>
        <v/>
      </c>
      <c r="R57" s="241" t="n">
        <v>51</v>
      </c>
      <c r="S57" s="241">
        <f>IFERROR(INDEX(rCom,MATCH(51,rComIdx,0))&amp;"","")</f>
        <v/>
      </c>
      <c r="T57" s="241">
        <f>IF(S57="","",SUMIFS(rGasto,rCom,S57,rFecha,"&gt;="&amp;pIni,rFecha,"&lt;="&amp;pFin,rCat,critCat,rCtaE,critCta))</f>
        <v/>
      </c>
      <c r="U57" s="241">
        <f>IF(S57="","",COUNTIFS(rCom,S57,rTipoE,"Gasto",rFecha,"&gt;="&amp;pIni,rFecha,"&lt;="&amp;pFin,rCat,critCat,rCtaE,critCta))</f>
        <v/>
      </c>
      <c r="V57" s="241">
        <f>IF(S57="",-1E+12-51,N(T57)+(301-51)/1E+7)</f>
        <v/>
      </c>
      <c r="W57" s="241">
        <f>IF(S57="","",SUMIFS(rGasto,rCom,S57,rHorm,1,rFecha,"&gt;="&amp;pIni,rFecha,"&lt;="&amp;pFin))</f>
        <v/>
      </c>
      <c r="X57" s="241">
        <f>IF(S57="","",COUNTIFS(rCom,S57,rHorm,1,rFecha,"&gt;="&amp;pIni,rFecha,"&lt;="&amp;pFin))</f>
        <v/>
      </c>
      <c r="Y57" s="241">
        <f>IF(S57="",-1E+12-51,N(W57)+(301-51)/1E+7)</f>
        <v/>
      </c>
      <c r="BG57" s="241" t="n">
        <v>51</v>
      </c>
      <c r="BH57" s="246">
        <f>IF(calIni+50&lt;=pFinEff,calIni+50,"")</f>
        <v/>
      </c>
      <c r="BI57" s="241">
        <f>IF(BH57="","",WEEKDAY(BH57,2))</f>
        <v/>
      </c>
      <c r="BJ57" s="241">
        <f>IF(BH57="","",SUMIFS(rGasto,rFecha,BH57,rGrupo,"?*"))</f>
        <v/>
      </c>
      <c r="BK57" s="241">
        <f>IF(BH57="","",SUMIFS(rGasto,rFecha,BH57,rGrupo,gCP))</f>
        <v/>
      </c>
      <c r="BL57" s="241">
        <f>IF(BH57="",-1E+12-51,N(BJ57)+(400-51)/1E+7)</f>
        <v/>
      </c>
    </row>
    <row r="58">
      <c r="K58" s="241">
        <f>INDEX(catCat,52)&amp;""</f>
        <v/>
      </c>
      <c r="L58" s="241">
        <f>INDEX(catSub,52)&amp;""</f>
        <v/>
      </c>
      <c r="M58" s="241">
        <f>IF(OR(K58="",L58="",INDEX(catTipo,52)&amp;""&lt;&gt;"Gasto"),"",IF(AND(critCat&lt;&gt;"&lt;&gt;@@@",K58&lt;&gt;critCat),0,SUMIFS(rGasto,rCat,K58,rSub,L58,rFecha,"&gt;="&amp;pIni,rFecha,"&lt;="&amp;pFin,rCtaE,critCta)))</f>
        <v/>
      </c>
      <c r="N58" s="241">
        <f>IF(M58="","",IF(AND(critCat&lt;&gt;"&lt;&gt;@@@",K58&lt;&gt;critCat),0,COUNTIFS(rCat,K58,rSub,L58,rTipoE,"Gasto",rFecha,"&gt;="&amp;pIni,rFecha,"&lt;="&amp;pFin,rCtaE,critCta)))</f>
        <v/>
      </c>
      <c r="O58" s="241">
        <f>IF(M58="",-1E+12-52,N(M58)+(201-52)/1E+7)</f>
        <v/>
      </c>
      <c r="P58" s="241">
        <f>L58&amp;" · "&amp;K58</f>
        <v/>
      </c>
      <c r="R58" s="241" t="n">
        <v>52</v>
      </c>
      <c r="S58" s="241">
        <f>IFERROR(INDEX(rCom,MATCH(52,rComIdx,0))&amp;"","")</f>
        <v/>
      </c>
      <c r="T58" s="241">
        <f>IF(S58="","",SUMIFS(rGasto,rCom,S58,rFecha,"&gt;="&amp;pIni,rFecha,"&lt;="&amp;pFin,rCat,critCat,rCtaE,critCta))</f>
        <v/>
      </c>
      <c r="U58" s="241">
        <f>IF(S58="","",COUNTIFS(rCom,S58,rTipoE,"Gasto",rFecha,"&gt;="&amp;pIni,rFecha,"&lt;="&amp;pFin,rCat,critCat,rCtaE,critCta))</f>
        <v/>
      </c>
      <c r="V58" s="241">
        <f>IF(S58="",-1E+12-52,N(T58)+(301-52)/1E+7)</f>
        <v/>
      </c>
      <c r="W58" s="241">
        <f>IF(S58="","",SUMIFS(rGasto,rCom,S58,rHorm,1,rFecha,"&gt;="&amp;pIni,rFecha,"&lt;="&amp;pFin))</f>
        <v/>
      </c>
      <c r="X58" s="241">
        <f>IF(S58="","",COUNTIFS(rCom,S58,rHorm,1,rFecha,"&gt;="&amp;pIni,rFecha,"&lt;="&amp;pFin))</f>
        <v/>
      </c>
      <c r="Y58" s="241">
        <f>IF(S58="",-1E+12-52,N(W58)+(301-52)/1E+7)</f>
        <v/>
      </c>
      <c r="BG58" s="241" t="n">
        <v>52</v>
      </c>
      <c r="BH58" s="246">
        <f>IF(calIni+51&lt;=pFinEff,calIni+51,"")</f>
        <v/>
      </c>
      <c r="BI58" s="241">
        <f>IF(BH58="","",WEEKDAY(BH58,2))</f>
        <v/>
      </c>
      <c r="BJ58" s="241">
        <f>IF(BH58="","",SUMIFS(rGasto,rFecha,BH58,rGrupo,"?*"))</f>
        <v/>
      </c>
      <c r="BK58" s="241">
        <f>IF(BH58="","",SUMIFS(rGasto,rFecha,BH58,rGrupo,gCP))</f>
        <v/>
      </c>
      <c r="BL58" s="241">
        <f>IF(BH58="",-1E+12-52,N(BJ58)+(400-52)/1E+7)</f>
        <v/>
      </c>
    </row>
    <row r="59">
      <c r="K59" s="241">
        <f>INDEX(catCat,53)&amp;""</f>
        <v/>
      </c>
      <c r="L59" s="241">
        <f>INDEX(catSub,53)&amp;""</f>
        <v/>
      </c>
      <c r="M59" s="241">
        <f>IF(OR(K59="",L59="",INDEX(catTipo,53)&amp;""&lt;&gt;"Gasto"),"",IF(AND(critCat&lt;&gt;"&lt;&gt;@@@",K59&lt;&gt;critCat),0,SUMIFS(rGasto,rCat,K59,rSub,L59,rFecha,"&gt;="&amp;pIni,rFecha,"&lt;="&amp;pFin,rCtaE,critCta)))</f>
        <v/>
      </c>
      <c r="N59" s="241">
        <f>IF(M59="","",IF(AND(critCat&lt;&gt;"&lt;&gt;@@@",K59&lt;&gt;critCat),0,COUNTIFS(rCat,K59,rSub,L59,rTipoE,"Gasto",rFecha,"&gt;="&amp;pIni,rFecha,"&lt;="&amp;pFin,rCtaE,critCta)))</f>
        <v/>
      </c>
      <c r="O59" s="241">
        <f>IF(M59="",-1E+12-53,N(M59)+(201-53)/1E+7)</f>
        <v/>
      </c>
      <c r="P59" s="241">
        <f>L59&amp;" · "&amp;K59</f>
        <v/>
      </c>
      <c r="R59" s="241" t="n">
        <v>53</v>
      </c>
      <c r="S59" s="241">
        <f>IFERROR(INDEX(rCom,MATCH(53,rComIdx,0))&amp;"","")</f>
        <v/>
      </c>
      <c r="T59" s="241">
        <f>IF(S59="","",SUMIFS(rGasto,rCom,S59,rFecha,"&gt;="&amp;pIni,rFecha,"&lt;="&amp;pFin,rCat,critCat,rCtaE,critCta))</f>
        <v/>
      </c>
      <c r="U59" s="241">
        <f>IF(S59="","",COUNTIFS(rCom,S59,rTipoE,"Gasto",rFecha,"&gt;="&amp;pIni,rFecha,"&lt;="&amp;pFin,rCat,critCat,rCtaE,critCta))</f>
        <v/>
      </c>
      <c r="V59" s="241">
        <f>IF(S59="",-1E+12-53,N(T59)+(301-53)/1E+7)</f>
        <v/>
      </c>
      <c r="W59" s="241">
        <f>IF(S59="","",SUMIFS(rGasto,rCom,S59,rHorm,1,rFecha,"&gt;="&amp;pIni,rFecha,"&lt;="&amp;pFin))</f>
        <v/>
      </c>
      <c r="X59" s="241">
        <f>IF(S59="","",COUNTIFS(rCom,S59,rHorm,1,rFecha,"&gt;="&amp;pIni,rFecha,"&lt;="&amp;pFin))</f>
        <v/>
      </c>
      <c r="Y59" s="241">
        <f>IF(S59="",-1E+12-53,N(W59)+(301-53)/1E+7)</f>
        <v/>
      </c>
      <c r="BG59" s="241" t="n">
        <v>53</v>
      </c>
      <c r="BH59" s="246">
        <f>IF(calIni+52&lt;=pFinEff,calIni+52,"")</f>
        <v/>
      </c>
      <c r="BI59" s="241">
        <f>IF(BH59="","",WEEKDAY(BH59,2))</f>
        <v/>
      </c>
      <c r="BJ59" s="241">
        <f>IF(BH59="","",SUMIFS(rGasto,rFecha,BH59,rGrupo,"?*"))</f>
        <v/>
      </c>
      <c r="BK59" s="241">
        <f>IF(BH59="","",SUMIFS(rGasto,rFecha,BH59,rGrupo,gCP))</f>
        <v/>
      </c>
      <c r="BL59" s="241">
        <f>IF(BH59="",-1E+12-53,N(BJ59)+(400-53)/1E+7)</f>
        <v/>
      </c>
    </row>
    <row r="60">
      <c r="K60" s="241">
        <f>INDEX(catCat,54)&amp;""</f>
        <v/>
      </c>
      <c r="L60" s="241">
        <f>INDEX(catSub,54)&amp;""</f>
        <v/>
      </c>
      <c r="M60" s="241">
        <f>IF(OR(K60="",L60="",INDEX(catTipo,54)&amp;""&lt;&gt;"Gasto"),"",IF(AND(critCat&lt;&gt;"&lt;&gt;@@@",K60&lt;&gt;critCat),0,SUMIFS(rGasto,rCat,K60,rSub,L60,rFecha,"&gt;="&amp;pIni,rFecha,"&lt;="&amp;pFin,rCtaE,critCta)))</f>
        <v/>
      </c>
      <c r="N60" s="241">
        <f>IF(M60="","",IF(AND(critCat&lt;&gt;"&lt;&gt;@@@",K60&lt;&gt;critCat),0,COUNTIFS(rCat,K60,rSub,L60,rTipoE,"Gasto",rFecha,"&gt;="&amp;pIni,rFecha,"&lt;="&amp;pFin,rCtaE,critCta)))</f>
        <v/>
      </c>
      <c r="O60" s="241">
        <f>IF(M60="",-1E+12-54,N(M60)+(201-54)/1E+7)</f>
        <v/>
      </c>
      <c r="P60" s="241">
        <f>L60&amp;" · "&amp;K60</f>
        <v/>
      </c>
      <c r="R60" s="241" t="n">
        <v>54</v>
      </c>
      <c r="S60" s="241">
        <f>IFERROR(INDEX(rCom,MATCH(54,rComIdx,0))&amp;"","")</f>
        <v/>
      </c>
      <c r="T60" s="241">
        <f>IF(S60="","",SUMIFS(rGasto,rCom,S60,rFecha,"&gt;="&amp;pIni,rFecha,"&lt;="&amp;pFin,rCat,critCat,rCtaE,critCta))</f>
        <v/>
      </c>
      <c r="U60" s="241">
        <f>IF(S60="","",COUNTIFS(rCom,S60,rTipoE,"Gasto",rFecha,"&gt;="&amp;pIni,rFecha,"&lt;="&amp;pFin,rCat,critCat,rCtaE,critCta))</f>
        <v/>
      </c>
      <c r="V60" s="241">
        <f>IF(S60="",-1E+12-54,N(T60)+(301-54)/1E+7)</f>
        <v/>
      </c>
      <c r="W60" s="241">
        <f>IF(S60="","",SUMIFS(rGasto,rCom,S60,rHorm,1,rFecha,"&gt;="&amp;pIni,rFecha,"&lt;="&amp;pFin))</f>
        <v/>
      </c>
      <c r="X60" s="241">
        <f>IF(S60="","",COUNTIFS(rCom,S60,rHorm,1,rFecha,"&gt;="&amp;pIni,rFecha,"&lt;="&amp;pFin))</f>
        <v/>
      </c>
      <c r="Y60" s="241">
        <f>IF(S60="",-1E+12-54,N(W60)+(301-54)/1E+7)</f>
        <v/>
      </c>
      <c r="BG60" s="241" t="n">
        <v>54</v>
      </c>
      <c r="BH60" s="246">
        <f>IF(calIni+53&lt;=pFinEff,calIni+53,"")</f>
        <v/>
      </c>
      <c r="BI60" s="241">
        <f>IF(BH60="","",WEEKDAY(BH60,2))</f>
        <v/>
      </c>
      <c r="BJ60" s="241">
        <f>IF(BH60="","",SUMIFS(rGasto,rFecha,BH60,rGrupo,"?*"))</f>
        <v/>
      </c>
      <c r="BK60" s="241">
        <f>IF(BH60="","",SUMIFS(rGasto,rFecha,BH60,rGrupo,gCP))</f>
        <v/>
      </c>
      <c r="BL60" s="241">
        <f>IF(BH60="",-1E+12-54,N(BJ60)+(400-54)/1E+7)</f>
        <v/>
      </c>
    </row>
    <row r="61">
      <c r="K61" s="241">
        <f>INDEX(catCat,55)&amp;""</f>
        <v/>
      </c>
      <c r="L61" s="241">
        <f>INDEX(catSub,55)&amp;""</f>
        <v/>
      </c>
      <c r="M61" s="241">
        <f>IF(OR(K61="",L61="",INDEX(catTipo,55)&amp;""&lt;&gt;"Gasto"),"",IF(AND(critCat&lt;&gt;"&lt;&gt;@@@",K61&lt;&gt;critCat),0,SUMIFS(rGasto,rCat,K61,rSub,L61,rFecha,"&gt;="&amp;pIni,rFecha,"&lt;="&amp;pFin,rCtaE,critCta)))</f>
        <v/>
      </c>
      <c r="N61" s="241">
        <f>IF(M61="","",IF(AND(critCat&lt;&gt;"&lt;&gt;@@@",K61&lt;&gt;critCat),0,COUNTIFS(rCat,K61,rSub,L61,rTipoE,"Gasto",rFecha,"&gt;="&amp;pIni,rFecha,"&lt;="&amp;pFin,rCtaE,critCta)))</f>
        <v/>
      </c>
      <c r="O61" s="241">
        <f>IF(M61="",-1E+12-55,N(M61)+(201-55)/1E+7)</f>
        <v/>
      </c>
      <c r="P61" s="241">
        <f>L61&amp;" · "&amp;K61</f>
        <v/>
      </c>
      <c r="R61" s="241" t="n">
        <v>55</v>
      </c>
      <c r="S61" s="241">
        <f>IFERROR(INDEX(rCom,MATCH(55,rComIdx,0))&amp;"","")</f>
        <v/>
      </c>
      <c r="T61" s="241">
        <f>IF(S61="","",SUMIFS(rGasto,rCom,S61,rFecha,"&gt;="&amp;pIni,rFecha,"&lt;="&amp;pFin,rCat,critCat,rCtaE,critCta))</f>
        <v/>
      </c>
      <c r="U61" s="241">
        <f>IF(S61="","",COUNTIFS(rCom,S61,rTipoE,"Gasto",rFecha,"&gt;="&amp;pIni,rFecha,"&lt;="&amp;pFin,rCat,critCat,rCtaE,critCta))</f>
        <v/>
      </c>
      <c r="V61" s="241">
        <f>IF(S61="",-1E+12-55,N(T61)+(301-55)/1E+7)</f>
        <v/>
      </c>
      <c r="W61" s="241">
        <f>IF(S61="","",SUMIFS(rGasto,rCom,S61,rHorm,1,rFecha,"&gt;="&amp;pIni,rFecha,"&lt;="&amp;pFin))</f>
        <v/>
      </c>
      <c r="X61" s="241">
        <f>IF(S61="","",COUNTIFS(rCom,S61,rHorm,1,rFecha,"&gt;="&amp;pIni,rFecha,"&lt;="&amp;pFin))</f>
        <v/>
      </c>
      <c r="Y61" s="241">
        <f>IF(S61="",-1E+12-55,N(W61)+(301-55)/1E+7)</f>
        <v/>
      </c>
      <c r="BG61" s="241" t="n">
        <v>55</v>
      </c>
      <c r="BH61" s="246">
        <f>IF(calIni+54&lt;=pFinEff,calIni+54,"")</f>
        <v/>
      </c>
      <c r="BI61" s="241">
        <f>IF(BH61="","",WEEKDAY(BH61,2))</f>
        <v/>
      </c>
      <c r="BJ61" s="241">
        <f>IF(BH61="","",SUMIFS(rGasto,rFecha,BH61,rGrupo,"?*"))</f>
        <v/>
      </c>
      <c r="BK61" s="241">
        <f>IF(BH61="","",SUMIFS(rGasto,rFecha,BH61,rGrupo,gCP))</f>
        <v/>
      </c>
      <c r="BL61" s="241">
        <f>IF(BH61="",-1E+12-55,N(BJ61)+(400-55)/1E+7)</f>
        <v/>
      </c>
    </row>
    <row r="62">
      <c r="K62" s="241">
        <f>INDEX(catCat,56)&amp;""</f>
        <v/>
      </c>
      <c r="L62" s="241">
        <f>INDEX(catSub,56)&amp;""</f>
        <v/>
      </c>
      <c r="M62" s="241">
        <f>IF(OR(K62="",L62="",INDEX(catTipo,56)&amp;""&lt;&gt;"Gasto"),"",IF(AND(critCat&lt;&gt;"&lt;&gt;@@@",K62&lt;&gt;critCat),0,SUMIFS(rGasto,rCat,K62,rSub,L62,rFecha,"&gt;="&amp;pIni,rFecha,"&lt;="&amp;pFin,rCtaE,critCta)))</f>
        <v/>
      </c>
      <c r="N62" s="241">
        <f>IF(M62="","",IF(AND(critCat&lt;&gt;"&lt;&gt;@@@",K62&lt;&gt;critCat),0,COUNTIFS(rCat,K62,rSub,L62,rTipoE,"Gasto",rFecha,"&gt;="&amp;pIni,rFecha,"&lt;="&amp;pFin,rCtaE,critCta)))</f>
        <v/>
      </c>
      <c r="O62" s="241">
        <f>IF(M62="",-1E+12-56,N(M62)+(201-56)/1E+7)</f>
        <v/>
      </c>
      <c r="P62" s="241">
        <f>L62&amp;" · "&amp;K62</f>
        <v/>
      </c>
      <c r="R62" s="241" t="n">
        <v>56</v>
      </c>
      <c r="S62" s="241">
        <f>IFERROR(INDEX(rCom,MATCH(56,rComIdx,0))&amp;"","")</f>
        <v/>
      </c>
      <c r="T62" s="241">
        <f>IF(S62="","",SUMIFS(rGasto,rCom,S62,rFecha,"&gt;="&amp;pIni,rFecha,"&lt;="&amp;pFin,rCat,critCat,rCtaE,critCta))</f>
        <v/>
      </c>
      <c r="U62" s="241">
        <f>IF(S62="","",COUNTIFS(rCom,S62,rTipoE,"Gasto",rFecha,"&gt;="&amp;pIni,rFecha,"&lt;="&amp;pFin,rCat,critCat,rCtaE,critCta))</f>
        <v/>
      </c>
      <c r="V62" s="241">
        <f>IF(S62="",-1E+12-56,N(T62)+(301-56)/1E+7)</f>
        <v/>
      </c>
      <c r="W62" s="241">
        <f>IF(S62="","",SUMIFS(rGasto,rCom,S62,rHorm,1,rFecha,"&gt;="&amp;pIni,rFecha,"&lt;="&amp;pFin))</f>
        <v/>
      </c>
      <c r="X62" s="241">
        <f>IF(S62="","",COUNTIFS(rCom,S62,rHorm,1,rFecha,"&gt;="&amp;pIni,rFecha,"&lt;="&amp;pFin))</f>
        <v/>
      </c>
      <c r="Y62" s="241">
        <f>IF(S62="",-1E+12-56,N(W62)+(301-56)/1E+7)</f>
        <v/>
      </c>
      <c r="BG62" s="241" t="n">
        <v>56</v>
      </c>
      <c r="BH62" s="246">
        <f>IF(calIni+55&lt;=pFinEff,calIni+55,"")</f>
        <v/>
      </c>
      <c r="BI62" s="241">
        <f>IF(BH62="","",WEEKDAY(BH62,2))</f>
        <v/>
      </c>
      <c r="BJ62" s="241">
        <f>IF(BH62="","",SUMIFS(rGasto,rFecha,BH62,rGrupo,"?*"))</f>
        <v/>
      </c>
      <c r="BK62" s="241">
        <f>IF(BH62="","",SUMIFS(rGasto,rFecha,BH62,rGrupo,gCP))</f>
        <v/>
      </c>
      <c r="BL62" s="241">
        <f>IF(BH62="",-1E+12-56,N(BJ62)+(400-56)/1E+7)</f>
        <v/>
      </c>
    </row>
    <row r="63">
      <c r="K63" s="241">
        <f>INDEX(catCat,57)&amp;""</f>
        <v/>
      </c>
      <c r="L63" s="241">
        <f>INDEX(catSub,57)&amp;""</f>
        <v/>
      </c>
      <c r="M63" s="241">
        <f>IF(OR(K63="",L63="",INDEX(catTipo,57)&amp;""&lt;&gt;"Gasto"),"",IF(AND(critCat&lt;&gt;"&lt;&gt;@@@",K63&lt;&gt;critCat),0,SUMIFS(rGasto,rCat,K63,rSub,L63,rFecha,"&gt;="&amp;pIni,rFecha,"&lt;="&amp;pFin,rCtaE,critCta)))</f>
        <v/>
      </c>
      <c r="N63" s="241">
        <f>IF(M63="","",IF(AND(critCat&lt;&gt;"&lt;&gt;@@@",K63&lt;&gt;critCat),0,COUNTIFS(rCat,K63,rSub,L63,rTipoE,"Gasto",rFecha,"&gt;="&amp;pIni,rFecha,"&lt;="&amp;pFin,rCtaE,critCta)))</f>
        <v/>
      </c>
      <c r="O63" s="241">
        <f>IF(M63="",-1E+12-57,N(M63)+(201-57)/1E+7)</f>
        <v/>
      </c>
      <c r="P63" s="241">
        <f>L63&amp;" · "&amp;K63</f>
        <v/>
      </c>
      <c r="R63" s="241" t="n">
        <v>57</v>
      </c>
      <c r="S63" s="241">
        <f>IFERROR(INDEX(rCom,MATCH(57,rComIdx,0))&amp;"","")</f>
        <v/>
      </c>
      <c r="T63" s="241">
        <f>IF(S63="","",SUMIFS(rGasto,rCom,S63,rFecha,"&gt;="&amp;pIni,rFecha,"&lt;="&amp;pFin,rCat,critCat,rCtaE,critCta))</f>
        <v/>
      </c>
      <c r="U63" s="241">
        <f>IF(S63="","",COUNTIFS(rCom,S63,rTipoE,"Gasto",rFecha,"&gt;="&amp;pIni,rFecha,"&lt;="&amp;pFin,rCat,critCat,rCtaE,critCta))</f>
        <v/>
      </c>
      <c r="V63" s="241">
        <f>IF(S63="",-1E+12-57,N(T63)+(301-57)/1E+7)</f>
        <v/>
      </c>
      <c r="W63" s="241">
        <f>IF(S63="","",SUMIFS(rGasto,rCom,S63,rHorm,1,rFecha,"&gt;="&amp;pIni,rFecha,"&lt;="&amp;pFin))</f>
        <v/>
      </c>
      <c r="X63" s="241">
        <f>IF(S63="","",COUNTIFS(rCom,S63,rHorm,1,rFecha,"&gt;="&amp;pIni,rFecha,"&lt;="&amp;pFin))</f>
        <v/>
      </c>
      <c r="Y63" s="241">
        <f>IF(S63="",-1E+12-57,N(W63)+(301-57)/1E+7)</f>
        <v/>
      </c>
      <c r="BG63" s="241" t="n">
        <v>57</v>
      </c>
      <c r="BH63" s="246">
        <f>IF(calIni+56&lt;=pFinEff,calIni+56,"")</f>
        <v/>
      </c>
      <c r="BI63" s="241">
        <f>IF(BH63="","",WEEKDAY(BH63,2))</f>
        <v/>
      </c>
      <c r="BJ63" s="241">
        <f>IF(BH63="","",SUMIFS(rGasto,rFecha,BH63,rGrupo,"?*"))</f>
        <v/>
      </c>
      <c r="BK63" s="241">
        <f>IF(BH63="","",SUMIFS(rGasto,rFecha,BH63,rGrupo,gCP))</f>
        <v/>
      </c>
      <c r="BL63" s="241">
        <f>IF(BH63="",-1E+12-57,N(BJ63)+(400-57)/1E+7)</f>
        <v/>
      </c>
    </row>
    <row r="64">
      <c r="K64" s="241">
        <f>INDEX(catCat,58)&amp;""</f>
        <v/>
      </c>
      <c r="L64" s="241">
        <f>INDEX(catSub,58)&amp;""</f>
        <v/>
      </c>
      <c r="M64" s="241">
        <f>IF(OR(K64="",L64="",INDEX(catTipo,58)&amp;""&lt;&gt;"Gasto"),"",IF(AND(critCat&lt;&gt;"&lt;&gt;@@@",K64&lt;&gt;critCat),0,SUMIFS(rGasto,rCat,K64,rSub,L64,rFecha,"&gt;="&amp;pIni,rFecha,"&lt;="&amp;pFin,rCtaE,critCta)))</f>
        <v/>
      </c>
      <c r="N64" s="241">
        <f>IF(M64="","",IF(AND(critCat&lt;&gt;"&lt;&gt;@@@",K64&lt;&gt;critCat),0,COUNTIFS(rCat,K64,rSub,L64,rTipoE,"Gasto",rFecha,"&gt;="&amp;pIni,rFecha,"&lt;="&amp;pFin,rCtaE,critCta)))</f>
        <v/>
      </c>
      <c r="O64" s="241">
        <f>IF(M64="",-1E+12-58,N(M64)+(201-58)/1E+7)</f>
        <v/>
      </c>
      <c r="P64" s="241">
        <f>L64&amp;" · "&amp;K64</f>
        <v/>
      </c>
      <c r="R64" s="241" t="n">
        <v>58</v>
      </c>
      <c r="S64" s="241">
        <f>IFERROR(INDEX(rCom,MATCH(58,rComIdx,0))&amp;"","")</f>
        <v/>
      </c>
      <c r="T64" s="241">
        <f>IF(S64="","",SUMIFS(rGasto,rCom,S64,rFecha,"&gt;="&amp;pIni,rFecha,"&lt;="&amp;pFin,rCat,critCat,rCtaE,critCta))</f>
        <v/>
      </c>
      <c r="U64" s="241">
        <f>IF(S64="","",COUNTIFS(rCom,S64,rTipoE,"Gasto",rFecha,"&gt;="&amp;pIni,rFecha,"&lt;="&amp;pFin,rCat,critCat,rCtaE,critCta))</f>
        <v/>
      </c>
      <c r="V64" s="241">
        <f>IF(S64="",-1E+12-58,N(T64)+(301-58)/1E+7)</f>
        <v/>
      </c>
      <c r="W64" s="241">
        <f>IF(S64="","",SUMIFS(rGasto,rCom,S64,rHorm,1,rFecha,"&gt;="&amp;pIni,rFecha,"&lt;="&amp;pFin))</f>
        <v/>
      </c>
      <c r="X64" s="241">
        <f>IF(S64="","",COUNTIFS(rCom,S64,rHorm,1,rFecha,"&gt;="&amp;pIni,rFecha,"&lt;="&amp;pFin))</f>
        <v/>
      </c>
      <c r="Y64" s="241">
        <f>IF(S64="",-1E+12-58,N(W64)+(301-58)/1E+7)</f>
        <v/>
      </c>
      <c r="BG64" s="241" t="n">
        <v>58</v>
      </c>
      <c r="BH64" s="246">
        <f>IF(calIni+57&lt;=pFinEff,calIni+57,"")</f>
        <v/>
      </c>
      <c r="BI64" s="241">
        <f>IF(BH64="","",WEEKDAY(BH64,2))</f>
        <v/>
      </c>
      <c r="BJ64" s="241">
        <f>IF(BH64="","",SUMIFS(rGasto,rFecha,BH64,rGrupo,"?*"))</f>
        <v/>
      </c>
      <c r="BK64" s="241">
        <f>IF(BH64="","",SUMIFS(rGasto,rFecha,BH64,rGrupo,gCP))</f>
        <v/>
      </c>
      <c r="BL64" s="241">
        <f>IF(BH64="",-1E+12-58,N(BJ64)+(400-58)/1E+7)</f>
        <v/>
      </c>
    </row>
    <row r="65">
      <c r="K65" s="241">
        <f>INDEX(catCat,59)&amp;""</f>
        <v/>
      </c>
      <c r="L65" s="241">
        <f>INDEX(catSub,59)&amp;""</f>
        <v/>
      </c>
      <c r="M65" s="241">
        <f>IF(OR(K65="",L65="",INDEX(catTipo,59)&amp;""&lt;&gt;"Gasto"),"",IF(AND(critCat&lt;&gt;"&lt;&gt;@@@",K65&lt;&gt;critCat),0,SUMIFS(rGasto,rCat,K65,rSub,L65,rFecha,"&gt;="&amp;pIni,rFecha,"&lt;="&amp;pFin,rCtaE,critCta)))</f>
        <v/>
      </c>
      <c r="N65" s="241">
        <f>IF(M65="","",IF(AND(critCat&lt;&gt;"&lt;&gt;@@@",K65&lt;&gt;critCat),0,COUNTIFS(rCat,K65,rSub,L65,rTipoE,"Gasto",rFecha,"&gt;="&amp;pIni,rFecha,"&lt;="&amp;pFin,rCtaE,critCta)))</f>
        <v/>
      </c>
      <c r="O65" s="241">
        <f>IF(M65="",-1E+12-59,N(M65)+(201-59)/1E+7)</f>
        <v/>
      </c>
      <c r="P65" s="241">
        <f>L65&amp;" · "&amp;K65</f>
        <v/>
      </c>
      <c r="R65" s="241" t="n">
        <v>59</v>
      </c>
      <c r="S65" s="241">
        <f>IFERROR(INDEX(rCom,MATCH(59,rComIdx,0))&amp;"","")</f>
        <v/>
      </c>
      <c r="T65" s="241">
        <f>IF(S65="","",SUMIFS(rGasto,rCom,S65,rFecha,"&gt;="&amp;pIni,rFecha,"&lt;="&amp;pFin,rCat,critCat,rCtaE,critCta))</f>
        <v/>
      </c>
      <c r="U65" s="241">
        <f>IF(S65="","",COUNTIFS(rCom,S65,rTipoE,"Gasto",rFecha,"&gt;="&amp;pIni,rFecha,"&lt;="&amp;pFin,rCat,critCat,rCtaE,critCta))</f>
        <v/>
      </c>
      <c r="V65" s="241">
        <f>IF(S65="",-1E+12-59,N(T65)+(301-59)/1E+7)</f>
        <v/>
      </c>
      <c r="W65" s="241">
        <f>IF(S65="","",SUMIFS(rGasto,rCom,S65,rHorm,1,rFecha,"&gt;="&amp;pIni,rFecha,"&lt;="&amp;pFin))</f>
        <v/>
      </c>
      <c r="X65" s="241">
        <f>IF(S65="","",COUNTIFS(rCom,S65,rHorm,1,rFecha,"&gt;="&amp;pIni,rFecha,"&lt;="&amp;pFin))</f>
        <v/>
      </c>
      <c r="Y65" s="241">
        <f>IF(S65="",-1E+12-59,N(W65)+(301-59)/1E+7)</f>
        <v/>
      </c>
      <c r="BG65" s="241" t="n">
        <v>59</v>
      </c>
      <c r="BH65" s="246">
        <f>IF(calIni+58&lt;=pFinEff,calIni+58,"")</f>
        <v/>
      </c>
      <c r="BI65" s="241">
        <f>IF(BH65="","",WEEKDAY(BH65,2))</f>
        <v/>
      </c>
      <c r="BJ65" s="241">
        <f>IF(BH65="","",SUMIFS(rGasto,rFecha,BH65,rGrupo,"?*"))</f>
        <v/>
      </c>
      <c r="BK65" s="241">
        <f>IF(BH65="","",SUMIFS(rGasto,rFecha,BH65,rGrupo,gCP))</f>
        <v/>
      </c>
      <c r="BL65" s="241">
        <f>IF(BH65="",-1E+12-59,N(BJ65)+(400-59)/1E+7)</f>
        <v/>
      </c>
    </row>
    <row r="66">
      <c r="K66" s="241">
        <f>INDEX(catCat,60)&amp;""</f>
        <v/>
      </c>
      <c r="L66" s="241">
        <f>INDEX(catSub,60)&amp;""</f>
        <v/>
      </c>
      <c r="M66" s="241">
        <f>IF(OR(K66="",L66="",INDEX(catTipo,60)&amp;""&lt;&gt;"Gasto"),"",IF(AND(critCat&lt;&gt;"&lt;&gt;@@@",K66&lt;&gt;critCat),0,SUMIFS(rGasto,rCat,K66,rSub,L66,rFecha,"&gt;="&amp;pIni,rFecha,"&lt;="&amp;pFin,rCtaE,critCta)))</f>
        <v/>
      </c>
      <c r="N66" s="241">
        <f>IF(M66="","",IF(AND(critCat&lt;&gt;"&lt;&gt;@@@",K66&lt;&gt;critCat),0,COUNTIFS(rCat,K66,rSub,L66,rTipoE,"Gasto",rFecha,"&gt;="&amp;pIni,rFecha,"&lt;="&amp;pFin,rCtaE,critCta)))</f>
        <v/>
      </c>
      <c r="O66" s="241">
        <f>IF(M66="",-1E+12-60,N(M66)+(201-60)/1E+7)</f>
        <v/>
      </c>
      <c r="P66" s="241">
        <f>L66&amp;" · "&amp;K66</f>
        <v/>
      </c>
      <c r="R66" s="241" t="n">
        <v>60</v>
      </c>
      <c r="S66" s="241">
        <f>IFERROR(INDEX(rCom,MATCH(60,rComIdx,0))&amp;"","")</f>
        <v/>
      </c>
      <c r="T66" s="241">
        <f>IF(S66="","",SUMIFS(rGasto,rCom,S66,rFecha,"&gt;="&amp;pIni,rFecha,"&lt;="&amp;pFin,rCat,critCat,rCtaE,critCta))</f>
        <v/>
      </c>
      <c r="U66" s="241">
        <f>IF(S66="","",COUNTIFS(rCom,S66,rTipoE,"Gasto",rFecha,"&gt;="&amp;pIni,rFecha,"&lt;="&amp;pFin,rCat,critCat,rCtaE,critCta))</f>
        <v/>
      </c>
      <c r="V66" s="241">
        <f>IF(S66="",-1E+12-60,N(T66)+(301-60)/1E+7)</f>
        <v/>
      </c>
      <c r="W66" s="241">
        <f>IF(S66="","",SUMIFS(rGasto,rCom,S66,rHorm,1,rFecha,"&gt;="&amp;pIni,rFecha,"&lt;="&amp;pFin))</f>
        <v/>
      </c>
      <c r="X66" s="241">
        <f>IF(S66="","",COUNTIFS(rCom,S66,rHorm,1,rFecha,"&gt;="&amp;pIni,rFecha,"&lt;="&amp;pFin))</f>
        <v/>
      </c>
      <c r="Y66" s="241">
        <f>IF(S66="",-1E+12-60,N(W66)+(301-60)/1E+7)</f>
        <v/>
      </c>
      <c r="BG66" s="241" t="n">
        <v>60</v>
      </c>
      <c r="BH66" s="246">
        <f>IF(calIni+59&lt;=pFinEff,calIni+59,"")</f>
        <v/>
      </c>
      <c r="BI66" s="241">
        <f>IF(BH66="","",WEEKDAY(BH66,2))</f>
        <v/>
      </c>
      <c r="BJ66" s="241">
        <f>IF(BH66="","",SUMIFS(rGasto,rFecha,BH66,rGrupo,"?*"))</f>
        <v/>
      </c>
      <c r="BK66" s="241">
        <f>IF(BH66="","",SUMIFS(rGasto,rFecha,BH66,rGrupo,gCP))</f>
        <v/>
      </c>
      <c r="BL66" s="241">
        <f>IF(BH66="",-1E+12-60,N(BJ66)+(400-60)/1E+7)</f>
        <v/>
      </c>
    </row>
    <row r="67">
      <c r="K67" s="241">
        <f>INDEX(catCat,61)&amp;""</f>
        <v/>
      </c>
      <c r="L67" s="241">
        <f>INDEX(catSub,61)&amp;""</f>
        <v/>
      </c>
      <c r="M67" s="241">
        <f>IF(OR(K67="",L67="",INDEX(catTipo,61)&amp;""&lt;&gt;"Gasto"),"",IF(AND(critCat&lt;&gt;"&lt;&gt;@@@",K67&lt;&gt;critCat),0,SUMIFS(rGasto,rCat,K67,rSub,L67,rFecha,"&gt;="&amp;pIni,rFecha,"&lt;="&amp;pFin,rCtaE,critCta)))</f>
        <v/>
      </c>
      <c r="N67" s="241">
        <f>IF(M67="","",IF(AND(critCat&lt;&gt;"&lt;&gt;@@@",K67&lt;&gt;critCat),0,COUNTIFS(rCat,K67,rSub,L67,rTipoE,"Gasto",rFecha,"&gt;="&amp;pIni,rFecha,"&lt;="&amp;pFin,rCtaE,critCta)))</f>
        <v/>
      </c>
      <c r="O67" s="241">
        <f>IF(M67="",-1E+12-61,N(M67)+(201-61)/1E+7)</f>
        <v/>
      </c>
      <c r="P67" s="241">
        <f>L67&amp;" · "&amp;K67</f>
        <v/>
      </c>
      <c r="R67" s="241" t="n">
        <v>61</v>
      </c>
      <c r="S67" s="241">
        <f>IFERROR(INDEX(rCom,MATCH(61,rComIdx,0))&amp;"","")</f>
        <v/>
      </c>
      <c r="T67" s="241">
        <f>IF(S67="","",SUMIFS(rGasto,rCom,S67,rFecha,"&gt;="&amp;pIni,rFecha,"&lt;="&amp;pFin,rCat,critCat,rCtaE,critCta))</f>
        <v/>
      </c>
      <c r="U67" s="241">
        <f>IF(S67="","",COUNTIFS(rCom,S67,rTipoE,"Gasto",rFecha,"&gt;="&amp;pIni,rFecha,"&lt;="&amp;pFin,rCat,critCat,rCtaE,critCta))</f>
        <v/>
      </c>
      <c r="V67" s="241">
        <f>IF(S67="",-1E+12-61,N(T67)+(301-61)/1E+7)</f>
        <v/>
      </c>
      <c r="W67" s="241">
        <f>IF(S67="","",SUMIFS(rGasto,rCom,S67,rHorm,1,rFecha,"&gt;="&amp;pIni,rFecha,"&lt;="&amp;pFin))</f>
        <v/>
      </c>
      <c r="X67" s="241">
        <f>IF(S67="","",COUNTIFS(rCom,S67,rHorm,1,rFecha,"&gt;="&amp;pIni,rFecha,"&lt;="&amp;pFin))</f>
        <v/>
      </c>
      <c r="Y67" s="241">
        <f>IF(S67="",-1E+12-61,N(W67)+(301-61)/1E+7)</f>
        <v/>
      </c>
      <c r="BG67" s="241" t="n">
        <v>61</v>
      </c>
      <c r="BH67" s="246">
        <f>IF(calIni+60&lt;=pFinEff,calIni+60,"")</f>
        <v/>
      </c>
      <c r="BI67" s="241">
        <f>IF(BH67="","",WEEKDAY(BH67,2))</f>
        <v/>
      </c>
      <c r="BJ67" s="241">
        <f>IF(BH67="","",SUMIFS(rGasto,rFecha,BH67,rGrupo,"?*"))</f>
        <v/>
      </c>
      <c r="BK67" s="241">
        <f>IF(BH67="","",SUMIFS(rGasto,rFecha,BH67,rGrupo,gCP))</f>
        <v/>
      </c>
      <c r="BL67" s="241">
        <f>IF(BH67="",-1E+12-61,N(BJ67)+(400-61)/1E+7)</f>
        <v/>
      </c>
    </row>
    <row r="68">
      <c r="K68" s="241">
        <f>INDEX(catCat,62)&amp;""</f>
        <v/>
      </c>
      <c r="L68" s="241">
        <f>INDEX(catSub,62)&amp;""</f>
        <v/>
      </c>
      <c r="M68" s="241">
        <f>IF(OR(K68="",L68="",INDEX(catTipo,62)&amp;""&lt;&gt;"Gasto"),"",IF(AND(critCat&lt;&gt;"&lt;&gt;@@@",K68&lt;&gt;critCat),0,SUMIFS(rGasto,rCat,K68,rSub,L68,rFecha,"&gt;="&amp;pIni,rFecha,"&lt;="&amp;pFin,rCtaE,critCta)))</f>
        <v/>
      </c>
      <c r="N68" s="241">
        <f>IF(M68="","",IF(AND(critCat&lt;&gt;"&lt;&gt;@@@",K68&lt;&gt;critCat),0,COUNTIFS(rCat,K68,rSub,L68,rTipoE,"Gasto",rFecha,"&gt;="&amp;pIni,rFecha,"&lt;="&amp;pFin,rCtaE,critCta)))</f>
        <v/>
      </c>
      <c r="O68" s="241">
        <f>IF(M68="",-1E+12-62,N(M68)+(201-62)/1E+7)</f>
        <v/>
      </c>
      <c r="P68" s="241">
        <f>L68&amp;" · "&amp;K68</f>
        <v/>
      </c>
      <c r="R68" s="241" t="n">
        <v>62</v>
      </c>
      <c r="S68" s="241">
        <f>IFERROR(INDEX(rCom,MATCH(62,rComIdx,0))&amp;"","")</f>
        <v/>
      </c>
      <c r="T68" s="241">
        <f>IF(S68="","",SUMIFS(rGasto,rCom,S68,rFecha,"&gt;="&amp;pIni,rFecha,"&lt;="&amp;pFin,rCat,critCat,rCtaE,critCta))</f>
        <v/>
      </c>
      <c r="U68" s="241">
        <f>IF(S68="","",COUNTIFS(rCom,S68,rTipoE,"Gasto",rFecha,"&gt;="&amp;pIni,rFecha,"&lt;="&amp;pFin,rCat,critCat,rCtaE,critCta))</f>
        <v/>
      </c>
      <c r="V68" s="241">
        <f>IF(S68="",-1E+12-62,N(T68)+(301-62)/1E+7)</f>
        <v/>
      </c>
      <c r="W68" s="241">
        <f>IF(S68="","",SUMIFS(rGasto,rCom,S68,rHorm,1,rFecha,"&gt;="&amp;pIni,rFecha,"&lt;="&amp;pFin))</f>
        <v/>
      </c>
      <c r="X68" s="241">
        <f>IF(S68="","",COUNTIFS(rCom,S68,rHorm,1,rFecha,"&gt;="&amp;pIni,rFecha,"&lt;="&amp;pFin))</f>
        <v/>
      </c>
      <c r="Y68" s="241">
        <f>IF(S68="",-1E+12-62,N(W68)+(301-62)/1E+7)</f>
        <v/>
      </c>
      <c r="BG68" s="241" t="n">
        <v>62</v>
      </c>
      <c r="BH68" s="246">
        <f>IF(calIni+61&lt;=pFinEff,calIni+61,"")</f>
        <v/>
      </c>
      <c r="BI68" s="241">
        <f>IF(BH68="","",WEEKDAY(BH68,2))</f>
        <v/>
      </c>
      <c r="BJ68" s="241">
        <f>IF(BH68="","",SUMIFS(rGasto,rFecha,BH68,rGrupo,"?*"))</f>
        <v/>
      </c>
      <c r="BK68" s="241">
        <f>IF(BH68="","",SUMIFS(rGasto,rFecha,BH68,rGrupo,gCP))</f>
        <v/>
      </c>
      <c r="BL68" s="241">
        <f>IF(BH68="",-1E+12-62,N(BJ68)+(400-62)/1E+7)</f>
        <v/>
      </c>
    </row>
    <row r="69">
      <c r="K69" s="241">
        <f>INDEX(catCat,63)&amp;""</f>
        <v/>
      </c>
      <c r="L69" s="241">
        <f>INDEX(catSub,63)&amp;""</f>
        <v/>
      </c>
      <c r="M69" s="241">
        <f>IF(OR(K69="",L69="",INDEX(catTipo,63)&amp;""&lt;&gt;"Gasto"),"",IF(AND(critCat&lt;&gt;"&lt;&gt;@@@",K69&lt;&gt;critCat),0,SUMIFS(rGasto,rCat,K69,rSub,L69,rFecha,"&gt;="&amp;pIni,rFecha,"&lt;="&amp;pFin,rCtaE,critCta)))</f>
        <v/>
      </c>
      <c r="N69" s="241">
        <f>IF(M69="","",IF(AND(critCat&lt;&gt;"&lt;&gt;@@@",K69&lt;&gt;critCat),0,COUNTIFS(rCat,K69,rSub,L69,rTipoE,"Gasto",rFecha,"&gt;="&amp;pIni,rFecha,"&lt;="&amp;pFin,rCtaE,critCta)))</f>
        <v/>
      </c>
      <c r="O69" s="241">
        <f>IF(M69="",-1E+12-63,N(M69)+(201-63)/1E+7)</f>
        <v/>
      </c>
      <c r="P69" s="241">
        <f>L69&amp;" · "&amp;K69</f>
        <v/>
      </c>
      <c r="R69" s="241" t="n">
        <v>63</v>
      </c>
      <c r="S69" s="241">
        <f>IFERROR(INDEX(rCom,MATCH(63,rComIdx,0))&amp;"","")</f>
        <v/>
      </c>
      <c r="T69" s="241">
        <f>IF(S69="","",SUMIFS(rGasto,rCom,S69,rFecha,"&gt;="&amp;pIni,rFecha,"&lt;="&amp;pFin,rCat,critCat,rCtaE,critCta))</f>
        <v/>
      </c>
      <c r="U69" s="241">
        <f>IF(S69="","",COUNTIFS(rCom,S69,rTipoE,"Gasto",rFecha,"&gt;="&amp;pIni,rFecha,"&lt;="&amp;pFin,rCat,critCat,rCtaE,critCta))</f>
        <v/>
      </c>
      <c r="V69" s="241">
        <f>IF(S69="",-1E+12-63,N(T69)+(301-63)/1E+7)</f>
        <v/>
      </c>
      <c r="W69" s="241">
        <f>IF(S69="","",SUMIFS(rGasto,rCom,S69,rHorm,1,rFecha,"&gt;="&amp;pIni,rFecha,"&lt;="&amp;pFin))</f>
        <v/>
      </c>
      <c r="X69" s="241">
        <f>IF(S69="","",COUNTIFS(rCom,S69,rHorm,1,rFecha,"&gt;="&amp;pIni,rFecha,"&lt;="&amp;pFin))</f>
        <v/>
      </c>
      <c r="Y69" s="241">
        <f>IF(S69="",-1E+12-63,N(W69)+(301-63)/1E+7)</f>
        <v/>
      </c>
      <c r="BG69" s="241" t="n">
        <v>63</v>
      </c>
      <c r="BH69" s="246">
        <f>IF(calIni+62&lt;=pFinEff,calIni+62,"")</f>
        <v/>
      </c>
      <c r="BI69" s="241">
        <f>IF(BH69="","",WEEKDAY(BH69,2))</f>
        <v/>
      </c>
      <c r="BJ69" s="241">
        <f>IF(BH69="","",SUMIFS(rGasto,rFecha,BH69,rGrupo,"?*"))</f>
        <v/>
      </c>
      <c r="BK69" s="241">
        <f>IF(BH69="","",SUMIFS(rGasto,rFecha,BH69,rGrupo,gCP))</f>
        <v/>
      </c>
      <c r="BL69" s="241">
        <f>IF(BH69="",-1E+12-63,N(BJ69)+(400-63)/1E+7)</f>
        <v/>
      </c>
    </row>
    <row r="70">
      <c r="K70" s="241">
        <f>INDEX(catCat,64)&amp;""</f>
        <v/>
      </c>
      <c r="L70" s="241">
        <f>INDEX(catSub,64)&amp;""</f>
        <v/>
      </c>
      <c r="M70" s="241">
        <f>IF(OR(K70="",L70="",INDEX(catTipo,64)&amp;""&lt;&gt;"Gasto"),"",IF(AND(critCat&lt;&gt;"&lt;&gt;@@@",K70&lt;&gt;critCat),0,SUMIFS(rGasto,rCat,K70,rSub,L70,rFecha,"&gt;="&amp;pIni,rFecha,"&lt;="&amp;pFin,rCtaE,critCta)))</f>
        <v/>
      </c>
      <c r="N70" s="241">
        <f>IF(M70="","",IF(AND(critCat&lt;&gt;"&lt;&gt;@@@",K70&lt;&gt;critCat),0,COUNTIFS(rCat,K70,rSub,L70,rTipoE,"Gasto",rFecha,"&gt;="&amp;pIni,rFecha,"&lt;="&amp;pFin,rCtaE,critCta)))</f>
        <v/>
      </c>
      <c r="O70" s="241">
        <f>IF(M70="",-1E+12-64,N(M70)+(201-64)/1E+7)</f>
        <v/>
      </c>
      <c r="P70" s="241">
        <f>L70&amp;" · "&amp;K70</f>
        <v/>
      </c>
      <c r="R70" s="241" t="n">
        <v>64</v>
      </c>
      <c r="S70" s="241">
        <f>IFERROR(INDEX(rCom,MATCH(64,rComIdx,0))&amp;"","")</f>
        <v/>
      </c>
      <c r="T70" s="241">
        <f>IF(S70="","",SUMIFS(rGasto,rCom,S70,rFecha,"&gt;="&amp;pIni,rFecha,"&lt;="&amp;pFin,rCat,critCat,rCtaE,critCta))</f>
        <v/>
      </c>
      <c r="U70" s="241">
        <f>IF(S70="","",COUNTIFS(rCom,S70,rTipoE,"Gasto",rFecha,"&gt;="&amp;pIni,rFecha,"&lt;="&amp;pFin,rCat,critCat,rCtaE,critCta))</f>
        <v/>
      </c>
      <c r="V70" s="241">
        <f>IF(S70="",-1E+12-64,N(T70)+(301-64)/1E+7)</f>
        <v/>
      </c>
      <c r="W70" s="241">
        <f>IF(S70="","",SUMIFS(rGasto,rCom,S70,rHorm,1,rFecha,"&gt;="&amp;pIni,rFecha,"&lt;="&amp;pFin))</f>
        <v/>
      </c>
      <c r="X70" s="241">
        <f>IF(S70="","",COUNTIFS(rCom,S70,rHorm,1,rFecha,"&gt;="&amp;pIni,rFecha,"&lt;="&amp;pFin))</f>
        <v/>
      </c>
      <c r="Y70" s="241">
        <f>IF(S70="",-1E+12-64,N(W70)+(301-64)/1E+7)</f>
        <v/>
      </c>
      <c r="BG70" s="241" t="n">
        <v>64</v>
      </c>
      <c r="BH70" s="246">
        <f>IF(calIni+63&lt;=pFinEff,calIni+63,"")</f>
        <v/>
      </c>
      <c r="BI70" s="241">
        <f>IF(BH70="","",WEEKDAY(BH70,2))</f>
        <v/>
      </c>
      <c r="BJ70" s="241">
        <f>IF(BH70="","",SUMIFS(rGasto,rFecha,BH70,rGrupo,"?*"))</f>
        <v/>
      </c>
      <c r="BK70" s="241">
        <f>IF(BH70="","",SUMIFS(rGasto,rFecha,BH70,rGrupo,gCP))</f>
        <v/>
      </c>
      <c r="BL70" s="241">
        <f>IF(BH70="",-1E+12-64,N(BJ70)+(400-64)/1E+7)</f>
        <v/>
      </c>
    </row>
    <row r="71">
      <c r="K71" s="241">
        <f>INDEX(catCat,65)&amp;""</f>
        <v/>
      </c>
      <c r="L71" s="241">
        <f>INDEX(catSub,65)&amp;""</f>
        <v/>
      </c>
      <c r="M71" s="241">
        <f>IF(OR(K71="",L71="",INDEX(catTipo,65)&amp;""&lt;&gt;"Gasto"),"",IF(AND(critCat&lt;&gt;"&lt;&gt;@@@",K71&lt;&gt;critCat),0,SUMIFS(rGasto,rCat,K71,rSub,L71,rFecha,"&gt;="&amp;pIni,rFecha,"&lt;="&amp;pFin,rCtaE,critCta)))</f>
        <v/>
      </c>
      <c r="N71" s="241">
        <f>IF(M71="","",IF(AND(critCat&lt;&gt;"&lt;&gt;@@@",K71&lt;&gt;critCat),0,COUNTIFS(rCat,K71,rSub,L71,rTipoE,"Gasto",rFecha,"&gt;="&amp;pIni,rFecha,"&lt;="&amp;pFin,rCtaE,critCta)))</f>
        <v/>
      </c>
      <c r="O71" s="241">
        <f>IF(M71="",-1E+12-65,N(M71)+(201-65)/1E+7)</f>
        <v/>
      </c>
      <c r="P71" s="241">
        <f>L71&amp;" · "&amp;K71</f>
        <v/>
      </c>
      <c r="R71" s="241" t="n">
        <v>65</v>
      </c>
      <c r="S71" s="241">
        <f>IFERROR(INDEX(rCom,MATCH(65,rComIdx,0))&amp;"","")</f>
        <v/>
      </c>
      <c r="T71" s="241">
        <f>IF(S71="","",SUMIFS(rGasto,rCom,S71,rFecha,"&gt;="&amp;pIni,rFecha,"&lt;="&amp;pFin,rCat,critCat,rCtaE,critCta))</f>
        <v/>
      </c>
      <c r="U71" s="241">
        <f>IF(S71="","",COUNTIFS(rCom,S71,rTipoE,"Gasto",rFecha,"&gt;="&amp;pIni,rFecha,"&lt;="&amp;pFin,rCat,critCat,rCtaE,critCta))</f>
        <v/>
      </c>
      <c r="V71" s="241">
        <f>IF(S71="",-1E+12-65,N(T71)+(301-65)/1E+7)</f>
        <v/>
      </c>
      <c r="W71" s="241">
        <f>IF(S71="","",SUMIFS(rGasto,rCom,S71,rHorm,1,rFecha,"&gt;="&amp;pIni,rFecha,"&lt;="&amp;pFin))</f>
        <v/>
      </c>
      <c r="X71" s="241">
        <f>IF(S71="","",COUNTIFS(rCom,S71,rHorm,1,rFecha,"&gt;="&amp;pIni,rFecha,"&lt;="&amp;pFin))</f>
        <v/>
      </c>
      <c r="Y71" s="241">
        <f>IF(S71="",-1E+12-65,N(W71)+(301-65)/1E+7)</f>
        <v/>
      </c>
      <c r="BG71" s="241" t="n">
        <v>65</v>
      </c>
      <c r="BH71" s="246">
        <f>IF(calIni+64&lt;=pFinEff,calIni+64,"")</f>
        <v/>
      </c>
      <c r="BI71" s="241">
        <f>IF(BH71="","",WEEKDAY(BH71,2))</f>
        <v/>
      </c>
      <c r="BJ71" s="241">
        <f>IF(BH71="","",SUMIFS(rGasto,rFecha,BH71,rGrupo,"?*"))</f>
        <v/>
      </c>
      <c r="BK71" s="241">
        <f>IF(BH71="","",SUMIFS(rGasto,rFecha,BH71,rGrupo,gCP))</f>
        <v/>
      </c>
      <c r="BL71" s="241">
        <f>IF(BH71="",-1E+12-65,N(BJ71)+(400-65)/1E+7)</f>
        <v/>
      </c>
    </row>
    <row r="72">
      <c r="K72" s="241">
        <f>INDEX(catCat,66)&amp;""</f>
        <v/>
      </c>
      <c r="L72" s="241">
        <f>INDEX(catSub,66)&amp;""</f>
        <v/>
      </c>
      <c r="M72" s="241">
        <f>IF(OR(K72="",L72="",INDEX(catTipo,66)&amp;""&lt;&gt;"Gasto"),"",IF(AND(critCat&lt;&gt;"&lt;&gt;@@@",K72&lt;&gt;critCat),0,SUMIFS(rGasto,rCat,K72,rSub,L72,rFecha,"&gt;="&amp;pIni,rFecha,"&lt;="&amp;pFin,rCtaE,critCta)))</f>
        <v/>
      </c>
      <c r="N72" s="241">
        <f>IF(M72="","",IF(AND(critCat&lt;&gt;"&lt;&gt;@@@",K72&lt;&gt;critCat),0,COUNTIFS(rCat,K72,rSub,L72,rTipoE,"Gasto",rFecha,"&gt;="&amp;pIni,rFecha,"&lt;="&amp;pFin,rCtaE,critCta)))</f>
        <v/>
      </c>
      <c r="O72" s="241">
        <f>IF(M72="",-1E+12-66,N(M72)+(201-66)/1E+7)</f>
        <v/>
      </c>
      <c r="P72" s="241">
        <f>L72&amp;" · "&amp;K72</f>
        <v/>
      </c>
      <c r="R72" s="241" t="n">
        <v>66</v>
      </c>
      <c r="S72" s="241">
        <f>IFERROR(INDEX(rCom,MATCH(66,rComIdx,0))&amp;"","")</f>
        <v/>
      </c>
      <c r="T72" s="241">
        <f>IF(S72="","",SUMIFS(rGasto,rCom,S72,rFecha,"&gt;="&amp;pIni,rFecha,"&lt;="&amp;pFin,rCat,critCat,rCtaE,critCta))</f>
        <v/>
      </c>
      <c r="U72" s="241">
        <f>IF(S72="","",COUNTIFS(rCom,S72,rTipoE,"Gasto",rFecha,"&gt;="&amp;pIni,rFecha,"&lt;="&amp;pFin,rCat,critCat,rCtaE,critCta))</f>
        <v/>
      </c>
      <c r="V72" s="241">
        <f>IF(S72="",-1E+12-66,N(T72)+(301-66)/1E+7)</f>
        <v/>
      </c>
      <c r="W72" s="241">
        <f>IF(S72="","",SUMIFS(rGasto,rCom,S72,rHorm,1,rFecha,"&gt;="&amp;pIni,rFecha,"&lt;="&amp;pFin))</f>
        <v/>
      </c>
      <c r="X72" s="241">
        <f>IF(S72="","",COUNTIFS(rCom,S72,rHorm,1,rFecha,"&gt;="&amp;pIni,rFecha,"&lt;="&amp;pFin))</f>
        <v/>
      </c>
      <c r="Y72" s="241">
        <f>IF(S72="",-1E+12-66,N(W72)+(301-66)/1E+7)</f>
        <v/>
      </c>
      <c r="BG72" s="241" t="n">
        <v>66</v>
      </c>
      <c r="BH72" s="246">
        <f>IF(calIni+65&lt;=pFinEff,calIni+65,"")</f>
        <v/>
      </c>
      <c r="BI72" s="241">
        <f>IF(BH72="","",WEEKDAY(BH72,2))</f>
        <v/>
      </c>
      <c r="BJ72" s="241">
        <f>IF(BH72="","",SUMIFS(rGasto,rFecha,BH72,rGrupo,"?*"))</f>
        <v/>
      </c>
      <c r="BK72" s="241">
        <f>IF(BH72="","",SUMIFS(rGasto,rFecha,BH72,rGrupo,gCP))</f>
        <v/>
      </c>
      <c r="BL72" s="241">
        <f>IF(BH72="",-1E+12-66,N(BJ72)+(400-66)/1E+7)</f>
        <v/>
      </c>
    </row>
    <row r="73">
      <c r="K73" s="241">
        <f>INDEX(catCat,67)&amp;""</f>
        <v/>
      </c>
      <c r="L73" s="241">
        <f>INDEX(catSub,67)&amp;""</f>
        <v/>
      </c>
      <c r="M73" s="241">
        <f>IF(OR(K73="",L73="",INDEX(catTipo,67)&amp;""&lt;&gt;"Gasto"),"",IF(AND(critCat&lt;&gt;"&lt;&gt;@@@",K73&lt;&gt;critCat),0,SUMIFS(rGasto,rCat,K73,rSub,L73,rFecha,"&gt;="&amp;pIni,rFecha,"&lt;="&amp;pFin,rCtaE,critCta)))</f>
        <v/>
      </c>
      <c r="N73" s="241">
        <f>IF(M73="","",IF(AND(critCat&lt;&gt;"&lt;&gt;@@@",K73&lt;&gt;critCat),0,COUNTIFS(rCat,K73,rSub,L73,rTipoE,"Gasto",rFecha,"&gt;="&amp;pIni,rFecha,"&lt;="&amp;pFin,rCtaE,critCta)))</f>
        <v/>
      </c>
      <c r="O73" s="241">
        <f>IF(M73="",-1E+12-67,N(M73)+(201-67)/1E+7)</f>
        <v/>
      </c>
      <c r="P73" s="241">
        <f>L73&amp;" · "&amp;K73</f>
        <v/>
      </c>
      <c r="R73" s="241" t="n">
        <v>67</v>
      </c>
      <c r="S73" s="241">
        <f>IFERROR(INDEX(rCom,MATCH(67,rComIdx,0))&amp;"","")</f>
        <v/>
      </c>
      <c r="T73" s="241">
        <f>IF(S73="","",SUMIFS(rGasto,rCom,S73,rFecha,"&gt;="&amp;pIni,rFecha,"&lt;="&amp;pFin,rCat,critCat,rCtaE,critCta))</f>
        <v/>
      </c>
      <c r="U73" s="241">
        <f>IF(S73="","",COUNTIFS(rCom,S73,rTipoE,"Gasto",rFecha,"&gt;="&amp;pIni,rFecha,"&lt;="&amp;pFin,rCat,critCat,rCtaE,critCta))</f>
        <v/>
      </c>
      <c r="V73" s="241">
        <f>IF(S73="",-1E+12-67,N(T73)+(301-67)/1E+7)</f>
        <v/>
      </c>
      <c r="W73" s="241">
        <f>IF(S73="","",SUMIFS(rGasto,rCom,S73,rHorm,1,rFecha,"&gt;="&amp;pIni,rFecha,"&lt;="&amp;pFin))</f>
        <v/>
      </c>
      <c r="X73" s="241">
        <f>IF(S73="","",COUNTIFS(rCom,S73,rHorm,1,rFecha,"&gt;="&amp;pIni,rFecha,"&lt;="&amp;pFin))</f>
        <v/>
      </c>
      <c r="Y73" s="241">
        <f>IF(S73="",-1E+12-67,N(W73)+(301-67)/1E+7)</f>
        <v/>
      </c>
      <c r="BG73" s="241" t="n">
        <v>67</v>
      </c>
      <c r="BH73" s="246">
        <f>IF(calIni+66&lt;=pFinEff,calIni+66,"")</f>
        <v/>
      </c>
      <c r="BI73" s="241">
        <f>IF(BH73="","",WEEKDAY(BH73,2))</f>
        <v/>
      </c>
      <c r="BJ73" s="241">
        <f>IF(BH73="","",SUMIFS(rGasto,rFecha,BH73,rGrupo,"?*"))</f>
        <v/>
      </c>
      <c r="BK73" s="241">
        <f>IF(BH73="","",SUMIFS(rGasto,rFecha,BH73,rGrupo,gCP))</f>
        <v/>
      </c>
      <c r="BL73" s="241">
        <f>IF(BH73="",-1E+12-67,N(BJ73)+(400-67)/1E+7)</f>
        <v/>
      </c>
    </row>
    <row r="74">
      <c r="K74" s="241">
        <f>INDEX(catCat,68)&amp;""</f>
        <v/>
      </c>
      <c r="L74" s="241">
        <f>INDEX(catSub,68)&amp;""</f>
        <v/>
      </c>
      <c r="M74" s="241">
        <f>IF(OR(K74="",L74="",INDEX(catTipo,68)&amp;""&lt;&gt;"Gasto"),"",IF(AND(critCat&lt;&gt;"&lt;&gt;@@@",K74&lt;&gt;critCat),0,SUMIFS(rGasto,rCat,K74,rSub,L74,rFecha,"&gt;="&amp;pIni,rFecha,"&lt;="&amp;pFin,rCtaE,critCta)))</f>
        <v/>
      </c>
      <c r="N74" s="241">
        <f>IF(M74="","",IF(AND(critCat&lt;&gt;"&lt;&gt;@@@",K74&lt;&gt;critCat),0,COUNTIFS(rCat,K74,rSub,L74,rTipoE,"Gasto",rFecha,"&gt;="&amp;pIni,rFecha,"&lt;="&amp;pFin,rCtaE,critCta)))</f>
        <v/>
      </c>
      <c r="O74" s="241">
        <f>IF(M74="",-1E+12-68,N(M74)+(201-68)/1E+7)</f>
        <v/>
      </c>
      <c r="P74" s="241">
        <f>L74&amp;" · "&amp;K74</f>
        <v/>
      </c>
      <c r="R74" s="241" t="n">
        <v>68</v>
      </c>
      <c r="S74" s="241">
        <f>IFERROR(INDEX(rCom,MATCH(68,rComIdx,0))&amp;"","")</f>
        <v/>
      </c>
      <c r="T74" s="241">
        <f>IF(S74="","",SUMIFS(rGasto,rCom,S74,rFecha,"&gt;="&amp;pIni,rFecha,"&lt;="&amp;pFin,rCat,critCat,rCtaE,critCta))</f>
        <v/>
      </c>
      <c r="U74" s="241">
        <f>IF(S74="","",COUNTIFS(rCom,S74,rTipoE,"Gasto",rFecha,"&gt;="&amp;pIni,rFecha,"&lt;="&amp;pFin,rCat,critCat,rCtaE,critCta))</f>
        <v/>
      </c>
      <c r="V74" s="241">
        <f>IF(S74="",-1E+12-68,N(T74)+(301-68)/1E+7)</f>
        <v/>
      </c>
      <c r="W74" s="241">
        <f>IF(S74="","",SUMIFS(rGasto,rCom,S74,rHorm,1,rFecha,"&gt;="&amp;pIni,rFecha,"&lt;="&amp;pFin))</f>
        <v/>
      </c>
      <c r="X74" s="241">
        <f>IF(S74="","",COUNTIFS(rCom,S74,rHorm,1,rFecha,"&gt;="&amp;pIni,rFecha,"&lt;="&amp;pFin))</f>
        <v/>
      </c>
      <c r="Y74" s="241">
        <f>IF(S74="",-1E+12-68,N(W74)+(301-68)/1E+7)</f>
        <v/>
      </c>
      <c r="BG74" s="241" t="n">
        <v>68</v>
      </c>
      <c r="BH74" s="246">
        <f>IF(calIni+67&lt;=pFinEff,calIni+67,"")</f>
        <v/>
      </c>
      <c r="BI74" s="241">
        <f>IF(BH74="","",WEEKDAY(BH74,2))</f>
        <v/>
      </c>
      <c r="BJ74" s="241">
        <f>IF(BH74="","",SUMIFS(rGasto,rFecha,BH74,rGrupo,"?*"))</f>
        <v/>
      </c>
      <c r="BK74" s="241">
        <f>IF(BH74="","",SUMIFS(rGasto,rFecha,BH74,rGrupo,gCP))</f>
        <v/>
      </c>
      <c r="BL74" s="241">
        <f>IF(BH74="",-1E+12-68,N(BJ74)+(400-68)/1E+7)</f>
        <v/>
      </c>
    </row>
    <row r="75">
      <c r="K75" s="241">
        <f>INDEX(catCat,69)&amp;""</f>
        <v/>
      </c>
      <c r="L75" s="241">
        <f>INDEX(catSub,69)&amp;""</f>
        <v/>
      </c>
      <c r="M75" s="241">
        <f>IF(OR(K75="",L75="",INDEX(catTipo,69)&amp;""&lt;&gt;"Gasto"),"",IF(AND(critCat&lt;&gt;"&lt;&gt;@@@",K75&lt;&gt;critCat),0,SUMIFS(rGasto,rCat,K75,rSub,L75,rFecha,"&gt;="&amp;pIni,rFecha,"&lt;="&amp;pFin,rCtaE,critCta)))</f>
        <v/>
      </c>
      <c r="N75" s="241">
        <f>IF(M75="","",IF(AND(critCat&lt;&gt;"&lt;&gt;@@@",K75&lt;&gt;critCat),0,COUNTIFS(rCat,K75,rSub,L75,rTipoE,"Gasto",rFecha,"&gt;="&amp;pIni,rFecha,"&lt;="&amp;pFin,rCtaE,critCta)))</f>
        <v/>
      </c>
      <c r="O75" s="241">
        <f>IF(M75="",-1E+12-69,N(M75)+(201-69)/1E+7)</f>
        <v/>
      </c>
      <c r="P75" s="241">
        <f>L75&amp;" · "&amp;K75</f>
        <v/>
      </c>
      <c r="R75" s="241" t="n">
        <v>69</v>
      </c>
      <c r="S75" s="241">
        <f>IFERROR(INDEX(rCom,MATCH(69,rComIdx,0))&amp;"","")</f>
        <v/>
      </c>
      <c r="T75" s="241">
        <f>IF(S75="","",SUMIFS(rGasto,rCom,S75,rFecha,"&gt;="&amp;pIni,rFecha,"&lt;="&amp;pFin,rCat,critCat,rCtaE,critCta))</f>
        <v/>
      </c>
      <c r="U75" s="241">
        <f>IF(S75="","",COUNTIFS(rCom,S75,rTipoE,"Gasto",rFecha,"&gt;="&amp;pIni,rFecha,"&lt;="&amp;pFin,rCat,critCat,rCtaE,critCta))</f>
        <v/>
      </c>
      <c r="V75" s="241">
        <f>IF(S75="",-1E+12-69,N(T75)+(301-69)/1E+7)</f>
        <v/>
      </c>
      <c r="W75" s="241">
        <f>IF(S75="","",SUMIFS(rGasto,rCom,S75,rHorm,1,rFecha,"&gt;="&amp;pIni,rFecha,"&lt;="&amp;pFin))</f>
        <v/>
      </c>
      <c r="X75" s="241">
        <f>IF(S75="","",COUNTIFS(rCom,S75,rHorm,1,rFecha,"&gt;="&amp;pIni,rFecha,"&lt;="&amp;pFin))</f>
        <v/>
      </c>
      <c r="Y75" s="241">
        <f>IF(S75="",-1E+12-69,N(W75)+(301-69)/1E+7)</f>
        <v/>
      </c>
      <c r="BG75" s="241" t="n">
        <v>69</v>
      </c>
      <c r="BH75" s="246">
        <f>IF(calIni+68&lt;=pFinEff,calIni+68,"")</f>
        <v/>
      </c>
      <c r="BI75" s="241">
        <f>IF(BH75="","",WEEKDAY(BH75,2))</f>
        <v/>
      </c>
      <c r="BJ75" s="241">
        <f>IF(BH75="","",SUMIFS(rGasto,rFecha,BH75,rGrupo,"?*"))</f>
        <v/>
      </c>
      <c r="BK75" s="241">
        <f>IF(BH75="","",SUMIFS(rGasto,rFecha,BH75,rGrupo,gCP))</f>
        <v/>
      </c>
      <c r="BL75" s="241">
        <f>IF(BH75="",-1E+12-69,N(BJ75)+(400-69)/1E+7)</f>
        <v/>
      </c>
    </row>
    <row r="76">
      <c r="K76" s="241">
        <f>INDEX(catCat,70)&amp;""</f>
        <v/>
      </c>
      <c r="L76" s="241">
        <f>INDEX(catSub,70)&amp;""</f>
        <v/>
      </c>
      <c r="M76" s="241">
        <f>IF(OR(K76="",L76="",INDEX(catTipo,70)&amp;""&lt;&gt;"Gasto"),"",IF(AND(critCat&lt;&gt;"&lt;&gt;@@@",K76&lt;&gt;critCat),0,SUMIFS(rGasto,rCat,K76,rSub,L76,rFecha,"&gt;="&amp;pIni,rFecha,"&lt;="&amp;pFin,rCtaE,critCta)))</f>
        <v/>
      </c>
      <c r="N76" s="241">
        <f>IF(M76="","",IF(AND(critCat&lt;&gt;"&lt;&gt;@@@",K76&lt;&gt;critCat),0,COUNTIFS(rCat,K76,rSub,L76,rTipoE,"Gasto",rFecha,"&gt;="&amp;pIni,rFecha,"&lt;="&amp;pFin,rCtaE,critCta)))</f>
        <v/>
      </c>
      <c r="O76" s="241">
        <f>IF(M76="",-1E+12-70,N(M76)+(201-70)/1E+7)</f>
        <v/>
      </c>
      <c r="P76" s="241">
        <f>L76&amp;" · "&amp;K76</f>
        <v/>
      </c>
      <c r="R76" s="241" t="n">
        <v>70</v>
      </c>
      <c r="S76" s="241">
        <f>IFERROR(INDEX(rCom,MATCH(70,rComIdx,0))&amp;"","")</f>
        <v/>
      </c>
      <c r="T76" s="241">
        <f>IF(S76="","",SUMIFS(rGasto,rCom,S76,rFecha,"&gt;="&amp;pIni,rFecha,"&lt;="&amp;pFin,rCat,critCat,rCtaE,critCta))</f>
        <v/>
      </c>
      <c r="U76" s="241">
        <f>IF(S76="","",COUNTIFS(rCom,S76,rTipoE,"Gasto",rFecha,"&gt;="&amp;pIni,rFecha,"&lt;="&amp;pFin,rCat,critCat,rCtaE,critCta))</f>
        <v/>
      </c>
      <c r="V76" s="241">
        <f>IF(S76="",-1E+12-70,N(T76)+(301-70)/1E+7)</f>
        <v/>
      </c>
      <c r="W76" s="241">
        <f>IF(S76="","",SUMIFS(rGasto,rCom,S76,rHorm,1,rFecha,"&gt;="&amp;pIni,rFecha,"&lt;="&amp;pFin))</f>
        <v/>
      </c>
      <c r="X76" s="241">
        <f>IF(S76="","",COUNTIFS(rCom,S76,rHorm,1,rFecha,"&gt;="&amp;pIni,rFecha,"&lt;="&amp;pFin))</f>
        <v/>
      </c>
      <c r="Y76" s="241">
        <f>IF(S76="",-1E+12-70,N(W76)+(301-70)/1E+7)</f>
        <v/>
      </c>
      <c r="BG76" s="241" t="n">
        <v>70</v>
      </c>
      <c r="BH76" s="246">
        <f>IF(calIni+69&lt;=pFinEff,calIni+69,"")</f>
        <v/>
      </c>
      <c r="BI76" s="241">
        <f>IF(BH76="","",WEEKDAY(BH76,2))</f>
        <v/>
      </c>
      <c r="BJ76" s="241">
        <f>IF(BH76="","",SUMIFS(rGasto,rFecha,BH76,rGrupo,"?*"))</f>
        <v/>
      </c>
      <c r="BK76" s="241">
        <f>IF(BH76="","",SUMIFS(rGasto,rFecha,BH76,rGrupo,gCP))</f>
        <v/>
      </c>
      <c r="BL76" s="241">
        <f>IF(BH76="",-1E+12-70,N(BJ76)+(400-70)/1E+7)</f>
        <v/>
      </c>
    </row>
    <row r="77">
      <c r="K77" s="241">
        <f>INDEX(catCat,71)&amp;""</f>
        <v/>
      </c>
      <c r="L77" s="241">
        <f>INDEX(catSub,71)&amp;""</f>
        <v/>
      </c>
      <c r="M77" s="241">
        <f>IF(OR(K77="",L77="",INDEX(catTipo,71)&amp;""&lt;&gt;"Gasto"),"",IF(AND(critCat&lt;&gt;"&lt;&gt;@@@",K77&lt;&gt;critCat),0,SUMIFS(rGasto,rCat,K77,rSub,L77,rFecha,"&gt;="&amp;pIni,rFecha,"&lt;="&amp;pFin,rCtaE,critCta)))</f>
        <v/>
      </c>
      <c r="N77" s="241">
        <f>IF(M77="","",IF(AND(critCat&lt;&gt;"&lt;&gt;@@@",K77&lt;&gt;critCat),0,COUNTIFS(rCat,K77,rSub,L77,rTipoE,"Gasto",rFecha,"&gt;="&amp;pIni,rFecha,"&lt;="&amp;pFin,rCtaE,critCta)))</f>
        <v/>
      </c>
      <c r="O77" s="241">
        <f>IF(M77="",-1E+12-71,N(M77)+(201-71)/1E+7)</f>
        <v/>
      </c>
      <c r="P77" s="241">
        <f>L77&amp;" · "&amp;K77</f>
        <v/>
      </c>
      <c r="R77" s="241" t="n">
        <v>71</v>
      </c>
      <c r="S77" s="241">
        <f>IFERROR(INDEX(rCom,MATCH(71,rComIdx,0))&amp;"","")</f>
        <v/>
      </c>
      <c r="T77" s="241">
        <f>IF(S77="","",SUMIFS(rGasto,rCom,S77,rFecha,"&gt;="&amp;pIni,rFecha,"&lt;="&amp;pFin,rCat,critCat,rCtaE,critCta))</f>
        <v/>
      </c>
      <c r="U77" s="241">
        <f>IF(S77="","",COUNTIFS(rCom,S77,rTipoE,"Gasto",rFecha,"&gt;="&amp;pIni,rFecha,"&lt;="&amp;pFin,rCat,critCat,rCtaE,critCta))</f>
        <v/>
      </c>
      <c r="V77" s="241">
        <f>IF(S77="",-1E+12-71,N(T77)+(301-71)/1E+7)</f>
        <v/>
      </c>
      <c r="W77" s="241">
        <f>IF(S77="","",SUMIFS(rGasto,rCom,S77,rHorm,1,rFecha,"&gt;="&amp;pIni,rFecha,"&lt;="&amp;pFin))</f>
        <v/>
      </c>
      <c r="X77" s="241">
        <f>IF(S77="","",COUNTIFS(rCom,S77,rHorm,1,rFecha,"&gt;="&amp;pIni,rFecha,"&lt;="&amp;pFin))</f>
        <v/>
      </c>
      <c r="Y77" s="241">
        <f>IF(S77="",-1E+12-71,N(W77)+(301-71)/1E+7)</f>
        <v/>
      </c>
      <c r="BG77" s="241" t="n">
        <v>71</v>
      </c>
      <c r="BH77" s="246">
        <f>IF(calIni+70&lt;=pFinEff,calIni+70,"")</f>
        <v/>
      </c>
      <c r="BI77" s="241">
        <f>IF(BH77="","",WEEKDAY(BH77,2))</f>
        <v/>
      </c>
      <c r="BJ77" s="241">
        <f>IF(BH77="","",SUMIFS(rGasto,rFecha,BH77,rGrupo,"?*"))</f>
        <v/>
      </c>
      <c r="BK77" s="241">
        <f>IF(BH77="","",SUMIFS(rGasto,rFecha,BH77,rGrupo,gCP))</f>
        <v/>
      </c>
      <c r="BL77" s="241">
        <f>IF(BH77="",-1E+12-71,N(BJ77)+(400-71)/1E+7)</f>
        <v/>
      </c>
    </row>
    <row r="78">
      <c r="K78" s="241">
        <f>INDEX(catCat,72)&amp;""</f>
        <v/>
      </c>
      <c r="L78" s="241">
        <f>INDEX(catSub,72)&amp;""</f>
        <v/>
      </c>
      <c r="M78" s="241">
        <f>IF(OR(K78="",L78="",INDEX(catTipo,72)&amp;""&lt;&gt;"Gasto"),"",IF(AND(critCat&lt;&gt;"&lt;&gt;@@@",K78&lt;&gt;critCat),0,SUMIFS(rGasto,rCat,K78,rSub,L78,rFecha,"&gt;="&amp;pIni,rFecha,"&lt;="&amp;pFin,rCtaE,critCta)))</f>
        <v/>
      </c>
      <c r="N78" s="241">
        <f>IF(M78="","",IF(AND(critCat&lt;&gt;"&lt;&gt;@@@",K78&lt;&gt;critCat),0,COUNTIFS(rCat,K78,rSub,L78,rTipoE,"Gasto",rFecha,"&gt;="&amp;pIni,rFecha,"&lt;="&amp;pFin,rCtaE,critCta)))</f>
        <v/>
      </c>
      <c r="O78" s="241">
        <f>IF(M78="",-1E+12-72,N(M78)+(201-72)/1E+7)</f>
        <v/>
      </c>
      <c r="P78" s="241">
        <f>L78&amp;" · "&amp;K78</f>
        <v/>
      </c>
      <c r="R78" s="241" t="n">
        <v>72</v>
      </c>
      <c r="S78" s="241">
        <f>IFERROR(INDEX(rCom,MATCH(72,rComIdx,0))&amp;"","")</f>
        <v/>
      </c>
      <c r="T78" s="241">
        <f>IF(S78="","",SUMIFS(rGasto,rCom,S78,rFecha,"&gt;="&amp;pIni,rFecha,"&lt;="&amp;pFin,rCat,critCat,rCtaE,critCta))</f>
        <v/>
      </c>
      <c r="U78" s="241">
        <f>IF(S78="","",COUNTIFS(rCom,S78,rTipoE,"Gasto",rFecha,"&gt;="&amp;pIni,rFecha,"&lt;="&amp;pFin,rCat,critCat,rCtaE,critCta))</f>
        <v/>
      </c>
      <c r="V78" s="241">
        <f>IF(S78="",-1E+12-72,N(T78)+(301-72)/1E+7)</f>
        <v/>
      </c>
      <c r="W78" s="241">
        <f>IF(S78="","",SUMIFS(rGasto,rCom,S78,rHorm,1,rFecha,"&gt;="&amp;pIni,rFecha,"&lt;="&amp;pFin))</f>
        <v/>
      </c>
      <c r="X78" s="241">
        <f>IF(S78="","",COUNTIFS(rCom,S78,rHorm,1,rFecha,"&gt;="&amp;pIni,rFecha,"&lt;="&amp;pFin))</f>
        <v/>
      </c>
      <c r="Y78" s="241">
        <f>IF(S78="",-1E+12-72,N(W78)+(301-72)/1E+7)</f>
        <v/>
      </c>
      <c r="BG78" s="241" t="n">
        <v>72</v>
      </c>
      <c r="BH78" s="246">
        <f>IF(calIni+71&lt;=pFinEff,calIni+71,"")</f>
        <v/>
      </c>
      <c r="BI78" s="241">
        <f>IF(BH78="","",WEEKDAY(BH78,2))</f>
        <v/>
      </c>
      <c r="BJ78" s="241">
        <f>IF(BH78="","",SUMIFS(rGasto,rFecha,BH78,rGrupo,"?*"))</f>
        <v/>
      </c>
      <c r="BK78" s="241">
        <f>IF(BH78="","",SUMIFS(rGasto,rFecha,BH78,rGrupo,gCP))</f>
        <v/>
      </c>
      <c r="BL78" s="241">
        <f>IF(BH78="",-1E+12-72,N(BJ78)+(400-72)/1E+7)</f>
        <v/>
      </c>
    </row>
    <row r="79">
      <c r="K79" s="241">
        <f>INDEX(catCat,73)&amp;""</f>
        <v/>
      </c>
      <c r="L79" s="241">
        <f>INDEX(catSub,73)&amp;""</f>
        <v/>
      </c>
      <c r="M79" s="241">
        <f>IF(OR(K79="",L79="",INDEX(catTipo,73)&amp;""&lt;&gt;"Gasto"),"",IF(AND(critCat&lt;&gt;"&lt;&gt;@@@",K79&lt;&gt;critCat),0,SUMIFS(rGasto,rCat,K79,rSub,L79,rFecha,"&gt;="&amp;pIni,rFecha,"&lt;="&amp;pFin,rCtaE,critCta)))</f>
        <v/>
      </c>
      <c r="N79" s="241">
        <f>IF(M79="","",IF(AND(critCat&lt;&gt;"&lt;&gt;@@@",K79&lt;&gt;critCat),0,COUNTIFS(rCat,K79,rSub,L79,rTipoE,"Gasto",rFecha,"&gt;="&amp;pIni,rFecha,"&lt;="&amp;pFin,rCtaE,critCta)))</f>
        <v/>
      </c>
      <c r="O79" s="241">
        <f>IF(M79="",-1E+12-73,N(M79)+(201-73)/1E+7)</f>
        <v/>
      </c>
      <c r="P79" s="241">
        <f>L79&amp;" · "&amp;K79</f>
        <v/>
      </c>
      <c r="R79" s="241" t="n">
        <v>73</v>
      </c>
      <c r="S79" s="241">
        <f>IFERROR(INDEX(rCom,MATCH(73,rComIdx,0))&amp;"","")</f>
        <v/>
      </c>
      <c r="T79" s="241">
        <f>IF(S79="","",SUMIFS(rGasto,rCom,S79,rFecha,"&gt;="&amp;pIni,rFecha,"&lt;="&amp;pFin,rCat,critCat,rCtaE,critCta))</f>
        <v/>
      </c>
      <c r="U79" s="241">
        <f>IF(S79="","",COUNTIFS(rCom,S79,rTipoE,"Gasto",rFecha,"&gt;="&amp;pIni,rFecha,"&lt;="&amp;pFin,rCat,critCat,rCtaE,critCta))</f>
        <v/>
      </c>
      <c r="V79" s="241">
        <f>IF(S79="",-1E+12-73,N(T79)+(301-73)/1E+7)</f>
        <v/>
      </c>
      <c r="W79" s="241">
        <f>IF(S79="","",SUMIFS(rGasto,rCom,S79,rHorm,1,rFecha,"&gt;="&amp;pIni,rFecha,"&lt;="&amp;pFin))</f>
        <v/>
      </c>
      <c r="X79" s="241">
        <f>IF(S79="","",COUNTIFS(rCom,S79,rHorm,1,rFecha,"&gt;="&amp;pIni,rFecha,"&lt;="&amp;pFin))</f>
        <v/>
      </c>
      <c r="Y79" s="241">
        <f>IF(S79="",-1E+12-73,N(W79)+(301-73)/1E+7)</f>
        <v/>
      </c>
      <c r="BG79" s="241" t="n">
        <v>73</v>
      </c>
      <c r="BH79" s="246">
        <f>IF(calIni+72&lt;=pFinEff,calIni+72,"")</f>
        <v/>
      </c>
      <c r="BI79" s="241">
        <f>IF(BH79="","",WEEKDAY(BH79,2))</f>
        <v/>
      </c>
      <c r="BJ79" s="241">
        <f>IF(BH79="","",SUMIFS(rGasto,rFecha,BH79,rGrupo,"?*"))</f>
        <v/>
      </c>
      <c r="BK79" s="241">
        <f>IF(BH79="","",SUMIFS(rGasto,rFecha,BH79,rGrupo,gCP))</f>
        <v/>
      </c>
      <c r="BL79" s="241">
        <f>IF(BH79="",-1E+12-73,N(BJ79)+(400-73)/1E+7)</f>
        <v/>
      </c>
    </row>
    <row r="80">
      <c r="K80" s="241">
        <f>INDEX(catCat,74)&amp;""</f>
        <v/>
      </c>
      <c r="L80" s="241">
        <f>INDEX(catSub,74)&amp;""</f>
        <v/>
      </c>
      <c r="M80" s="241">
        <f>IF(OR(K80="",L80="",INDEX(catTipo,74)&amp;""&lt;&gt;"Gasto"),"",IF(AND(critCat&lt;&gt;"&lt;&gt;@@@",K80&lt;&gt;critCat),0,SUMIFS(rGasto,rCat,K80,rSub,L80,rFecha,"&gt;="&amp;pIni,rFecha,"&lt;="&amp;pFin,rCtaE,critCta)))</f>
        <v/>
      </c>
      <c r="N80" s="241">
        <f>IF(M80="","",IF(AND(critCat&lt;&gt;"&lt;&gt;@@@",K80&lt;&gt;critCat),0,COUNTIFS(rCat,K80,rSub,L80,rTipoE,"Gasto",rFecha,"&gt;="&amp;pIni,rFecha,"&lt;="&amp;pFin,rCtaE,critCta)))</f>
        <v/>
      </c>
      <c r="O80" s="241">
        <f>IF(M80="",-1E+12-74,N(M80)+(201-74)/1E+7)</f>
        <v/>
      </c>
      <c r="P80" s="241">
        <f>L80&amp;" · "&amp;K80</f>
        <v/>
      </c>
      <c r="R80" s="241" t="n">
        <v>74</v>
      </c>
      <c r="S80" s="241">
        <f>IFERROR(INDEX(rCom,MATCH(74,rComIdx,0))&amp;"","")</f>
        <v/>
      </c>
      <c r="T80" s="241">
        <f>IF(S80="","",SUMIFS(rGasto,rCom,S80,rFecha,"&gt;="&amp;pIni,rFecha,"&lt;="&amp;pFin,rCat,critCat,rCtaE,critCta))</f>
        <v/>
      </c>
      <c r="U80" s="241">
        <f>IF(S80="","",COUNTIFS(rCom,S80,rTipoE,"Gasto",rFecha,"&gt;="&amp;pIni,rFecha,"&lt;="&amp;pFin,rCat,critCat,rCtaE,critCta))</f>
        <v/>
      </c>
      <c r="V80" s="241">
        <f>IF(S80="",-1E+12-74,N(T80)+(301-74)/1E+7)</f>
        <v/>
      </c>
      <c r="W80" s="241">
        <f>IF(S80="","",SUMIFS(rGasto,rCom,S80,rHorm,1,rFecha,"&gt;="&amp;pIni,rFecha,"&lt;="&amp;pFin))</f>
        <v/>
      </c>
      <c r="X80" s="241">
        <f>IF(S80="","",COUNTIFS(rCom,S80,rHorm,1,rFecha,"&gt;="&amp;pIni,rFecha,"&lt;="&amp;pFin))</f>
        <v/>
      </c>
      <c r="Y80" s="241">
        <f>IF(S80="",-1E+12-74,N(W80)+(301-74)/1E+7)</f>
        <v/>
      </c>
      <c r="BG80" s="241" t="n">
        <v>74</v>
      </c>
      <c r="BH80" s="246">
        <f>IF(calIni+73&lt;=pFinEff,calIni+73,"")</f>
        <v/>
      </c>
      <c r="BI80" s="241">
        <f>IF(BH80="","",WEEKDAY(BH80,2))</f>
        <v/>
      </c>
      <c r="BJ80" s="241">
        <f>IF(BH80="","",SUMIFS(rGasto,rFecha,BH80,rGrupo,"?*"))</f>
        <v/>
      </c>
      <c r="BK80" s="241">
        <f>IF(BH80="","",SUMIFS(rGasto,rFecha,BH80,rGrupo,gCP))</f>
        <v/>
      </c>
      <c r="BL80" s="241">
        <f>IF(BH80="",-1E+12-74,N(BJ80)+(400-74)/1E+7)</f>
        <v/>
      </c>
    </row>
    <row r="81">
      <c r="K81" s="241">
        <f>INDEX(catCat,75)&amp;""</f>
        <v/>
      </c>
      <c r="L81" s="241">
        <f>INDEX(catSub,75)&amp;""</f>
        <v/>
      </c>
      <c r="M81" s="241">
        <f>IF(OR(K81="",L81="",INDEX(catTipo,75)&amp;""&lt;&gt;"Gasto"),"",IF(AND(critCat&lt;&gt;"&lt;&gt;@@@",K81&lt;&gt;critCat),0,SUMIFS(rGasto,rCat,K81,rSub,L81,rFecha,"&gt;="&amp;pIni,rFecha,"&lt;="&amp;pFin,rCtaE,critCta)))</f>
        <v/>
      </c>
      <c r="N81" s="241">
        <f>IF(M81="","",IF(AND(critCat&lt;&gt;"&lt;&gt;@@@",K81&lt;&gt;critCat),0,COUNTIFS(rCat,K81,rSub,L81,rTipoE,"Gasto",rFecha,"&gt;="&amp;pIni,rFecha,"&lt;="&amp;pFin,rCtaE,critCta)))</f>
        <v/>
      </c>
      <c r="O81" s="241">
        <f>IF(M81="",-1E+12-75,N(M81)+(201-75)/1E+7)</f>
        <v/>
      </c>
      <c r="P81" s="241">
        <f>L81&amp;" · "&amp;K81</f>
        <v/>
      </c>
      <c r="R81" s="241" t="n">
        <v>75</v>
      </c>
      <c r="S81" s="241">
        <f>IFERROR(INDEX(rCom,MATCH(75,rComIdx,0))&amp;"","")</f>
        <v/>
      </c>
      <c r="T81" s="241">
        <f>IF(S81="","",SUMIFS(rGasto,rCom,S81,rFecha,"&gt;="&amp;pIni,rFecha,"&lt;="&amp;pFin,rCat,critCat,rCtaE,critCta))</f>
        <v/>
      </c>
      <c r="U81" s="241">
        <f>IF(S81="","",COUNTIFS(rCom,S81,rTipoE,"Gasto",rFecha,"&gt;="&amp;pIni,rFecha,"&lt;="&amp;pFin,rCat,critCat,rCtaE,critCta))</f>
        <v/>
      </c>
      <c r="V81" s="241">
        <f>IF(S81="",-1E+12-75,N(T81)+(301-75)/1E+7)</f>
        <v/>
      </c>
      <c r="W81" s="241">
        <f>IF(S81="","",SUMIFS(rGasto,rCom,S81,rHorm,1,rFecha,"&gt;="&amp;pIni,rFecha,"&lt;="&amp;pFin))</f>
        <v/>
      </c>
      <c r="X81" s="241">
        <f>IF(S81="","",COUNTIFS(rCom,S81,rHorm,1,rFecha,"&gt;="&amp;pIni,rFecha,"&lt;="&amp;pFin))</f>
        <v/>
      </c>
      <c r="Y81" s="241">
        <f>IF(S81="",-1E+12-75,N(W81)+(301-75)/1E+7)</f>
        <v/>
      </c>
      <c r="BG81" s="241" t="n">
        <v>75</v>
      </c>
      <c r="BH81" s="246">
        <f>IF(calIni+74&lt;=pFinEff,calIni+74,"")</f>
        <v/>
      </c>
      <c r="BI81" s="241">
        <f>IF(BH81="","",WEEKDAY(BH81,2))</f>
        <v/>
      </c>
      <c r="BJ81" s="241">
        <f>IF(BH81="","",SUMIFS(rGasto,rFecha,BH81,rGrupo,"?*"))</f>
        <v/>
      </c>
      <c r="BK81" s="241">
        <f>IF(BH81="","",SUMIFS(rGasto,rFecha,BH81,rGrupo,gCP))</f>
        <v/>
      </c>
      <c r="BL81" s="241">
        <f>IF(BH81="",-1E+12-75,N(BJ81)+(400-75)/1E+7)</f>
        <v/>
      </c>
    </row>
    <row r="82">
      <c r="K82" s="241">
        <f>INDEX(catCat,76)&amp;""</f>
        <v/>
      </c>
      <c r="L82" s="241">
        <f>INDEX(catSub,76)&amp;""</f>
        <v/>
      </c>
      <c r="M82" s="241">
        <f>IF(OR(K82="",L82="",INDEX(catTipo,76)&amp;""&lt;&gt;"Gasto"),"",IF(AND(critCat&lt;&gt;"&lt;&gt;@@@",K82&lt;&gt;critCat),0,SUMIFS(rGasto,rCat,K82,rSub,L82,rFecha,"&gt;="&amp;pIni,rFecha,"&lt;="&amp;pFin,rCtaE,critCta)))</f>
        <v/>
      </c>
      <c r="N82" s="241">
        <f>IF(M82="","",IF(AND(critCat&lt;&gt;"&lt;&gt;@@@",K82&lt;&gt;critCat),0,COUNTIFS(rCat,K82,rSub,L82,rTipoE,"Gasto",rFecha,"&gt;="&amp;pIni,rFecha,"&lt;="&amp;pFin,rCtaE,critCta)))</f>
        <v/>
      </c>
      <c r="O82" s="241">
        <f>IF(M82="",-1E+12-76,N(M82)+(201-76)/1E+7)</f>
        <v/>
      </c>
      <c r="P82" s="241">
        <f>L82&amp;" · "&amp;K82</f>
        <v/>
      </c>
      <c r="R82" s="241" t="n">
        <v>76</v>
      </c>
      <c r="S82" s="241">
        <f>IFERROR(INDEX(rCom,MATCH(76,rComIdx,0))&amp;"","")</f>
        <v/>
      </c>
      <c r="T82" s="241">
        <f>IF(S82="","",SUMIFS(rGasto,rCom,S82,rFecha,"&gt;="&amp;pIni,rFecha,"&lt;="&amp;pFin,rCat,critCat,rCtaE,critCta))</f>
        <v/>
      </c>
      <c r="U82" s="241">
        <f>IF(S82="","",COUNTIFS(rCom,S82,rTipoE,"Gasto",rFecha,"&gt;="&amp;pIni,rFecha,"&lt;="&amp;pFin,rCat,critCat,rCtaE,critCta))</f>
        <v/>
      </c>
      <c r="V82" s="241">
        <f>IF(S82="",-1E+12-76,N(T82)+(301-76)/1E+7)</f>
        <v/>
      </c>
      <c r="W82" s="241">
        <f>IF(S82="","",SUMIFS(rGasto,rCom,S82,rHorm,1,rFecha,"&gt;="&amp;pIni,rFecha,"&lt;="&amp;pFin))</f>
        <v/>
      </c>
      <c r="X82" s="241">
        <f>IF(S82="","",COUNTIFS(rCom,S82,rHorm,1,rFecha,"&gt;="&amp;pIni,rFecha,"&lt;="&amp;pFin))</f>
        <v/>
      </c>
      <c r="Y82" s="241">
        <f>IF(S82="",-1E+12-76,N(W82)+(301-76)/1E+7)</f>
        <v/>
      </c>
      <c r="BG82" s="241" t="n">
        <v>76</v>
      </c>
      <c r="BH82" s="246">
        <f>IF(calIni+75&lt;=pFinEff,calIni+75,"")</f>
        <v/>
      </c>
      <c r="BI82" s="241">
        <f>IF(BH82="","",WEEKDAY(BH82,2))</f>
        <v/>
      </c>
      <c r="BJ82" s="241">
        <f>IF(BH82="","",SUMIFS(rGasto,rFecha,BH82,rGrupo,"?*"))</f>
        <v/>
      </c>
      <c r="BK82" s="241">
        <f>IF(BH82="","",SUMIFS(rGasto,rFecha,BH82,rGrupo,gCP))</f>
        <v/>
      </c>
      <c r="BL82" s="241">
        <f>IF(BH82="",-1E+12-76,N(BJ82)+(400-76)/1E+7)</f>
        <v/>
      </c>
    </row>
    <row r="83">
      <c r="K83" s="241">
        <f>INDEX(catCat,77)&amp;""</f>
        <v/>
      </c>
      <c r="L83" s="241">
        <f>INDEX(catSub,77)&amp;""</f>
        <v/>
      </c>
      <c r="M83" s="241">
        <f>IF(OR(K83="",L83="",INDEX(catTipo,77)&amp;""&lt;&gt;"Gasto"),"",IF(AND(critCat&lt;&gt;"&lt;&gt;@@@",K83&lt;&gt;critCat),0,SUMIFS(rGasto,rCat,K83,rSub,L83,rFecha,"&gt;="&amp;pIni,rFecha,"&lt;="&amp;pFin,rCtaE,critCta)))</f>
        <v/>
      </c>
      <c r="N83" s="241">
        <f>IF(M83="","",IF(AND(critCat&lt;&gt;"&lt;&gt;@@@",K83&lt;&gt;critCat),0,COUNTIFS(rCat,K83,rSub,L83,rTipoE,"Gasto",rFecha,"&gt;="&amp;pIni,rFecha,"&lt;="&amp;pFin,rCtaE,critCta)))</f>
        <v/>
      </c>
      <c r="O83" s="241">
        <f>IF(M83="",-1E+12-77,N(M83)+(201-77)/1E+7)</f>
        <v/>
      </c>
      <c r="P83" s="241">
        <f>L83&amp;" · "&amp;K83</f>
        <v/>
      </c>
      <c r="R83" s="241" t="n">
        <v>77</v>
      </c>
      <c r="S83" s="241">
        <f>IFERROR(INDEX(rCom,MATCH(77,rComIdx,0))&amp;"","")</f>
        <v/>
      </c>
      <c r="T83" s="241">
        <f>IF(S83="","",SUMIFS(rGasto,rCom,S83,rFecha,"&gt;="&amp;pIni,rFecha,"&lt;="&amp;pFin,rCat,critCat,rCtaE,critCta))</f>
        <v/>
      </c>
      <c r="U83" s="241">
        <f>IF(S83="","",COUNTIFS(rCom,S83,rTipoE,"Gasto",rFecha,"&gt;="&amp;pIni,rFecha,"&lt;="&amp;pFin,rCat,critCat,rCtaE,critCta))</f>
        <v/>
      </c>
      <c r="V83" s="241">
        <f>IF(S83="",-1E+12-77,N(T83)+(301-77)/1E+7)</f>
        <v/>
      </c>
      <c r="W83" s="241">
        <f>IF(S83="","",SUMIFS(rGasto,rCom,S83,rHorm,1,rFecha,"&gt;="&amp;pIni,rFecha,"&lt;="&amp;pFin))</f>
        <v/>
      </c>
      <c r="X83" s="241">
        <f>IF(S83="","",COUNTIFS(rCom,S83,rHorm,1,rFecha,"&gt;="&amp;pIni,rFecha,"&lt;="&amp;pFin))</f>
        <v/>
      </c>
      <c r="Y83" s="241">
        <f>IF(S83="",-1E+12-77,N(W83)+(301-77)/1E+7)</f>
        <v/>
      </c>
      <c r="BG83" s="241" t="n">
        <v>77</v>
      </c>
      <c r="BH83" s="246">
        <f>IF(calIni+76&lt;=pFinEff,calIni+76,"")</f>
        <v/>
      </c>
      <c r="BI83" s="241">
        <f>IF(BH83="","",WEEKDAY(BH83,2))</f>
        <v/>
      </c>
      <c r="BJ83" s="241">
        <f>IF(BH83="","",SUMIFS(rGasto,rFecha,BH83,rGrupo,"?*"))</f>
        <v/>
      </c>
      <c r="BK83" s="241">
        <f>IF(BH83="","",SUMIFS(rGasto,rFecha,BH83,rGrupo,gCP))</f>
        <v/>
      </c>
      <c r="BL83" s="241">
        <f>IF(BH83="",-1E+12-77,N(BJ83)+(400-77)/1E+7)</f>
        <v/>
      </c>
    </row>
    <row r="84">
      <c r="K84" s="241">
        <f>INDEX(catCat,78)&amp;""</f>
        <v/>
      </c>
      <c r="L84" s="241">
        <f>INDEX(catSub,78)&amp;""</f>
        <v/>
      </c>
      <c r="M84" s="241">
        <f>IF(OR(K84="",L84="",INDEX(catTipo,78)&amp;""&lt;&gt;"Gasto"),"",IF(AND(critCat&lt;&gt;"&lt;&gt;@@@",K84&lt;&gt;critCat),0,SUMIFS(rGasto,rCat,K84,rSub,L84,rFecha,"&gt;="&amp;pIni,rFecha,"&lt;="&amp;pFin,rCtaE,critCta)))</f>
        <v/>
      </c>
      <c r="N84" s="241">
        <f>IF(M84="","",IF(AND(critCat&lt;&gt;"&lt;&gt;@@@",K84&lt;&gt;critCat),0,COUNTIFS(rCat,K84,rSub,L84,rTipoE,"Gasto",rFecha,"&gt;="&amp;pIni,rFecha,"&lt;="&amp;pFin,rCtaE,critCta)))</f>
        <v/>
      </c>
      <c r="O84" s="241">
        <f>IF(M84="",-1E+12-78,N(M84)+(201-78)/1E+7)</f>
        <v/>
      </c>
      <c r="P84" s="241">
        <f>L84&amp;" · "&amp;K84</f>
        <v/>
      </c>
      <c r="R84" s="241" t="n">
        <v>78</v>
      </c>
      <c r="S84" s="241">
        <f>IFERROR(INDEX(rCom,MATCH(78,rComIdx,0))&amp;"","")</f>
        <v/>
      </c>
      <c r="T84" s="241">
        <f>IF(S84="","",SUMIFS(rGasto,rCom,S84,rFecha,"&gt;="&amp;pIni,rFecha,"&lt;="&amp;pFin,rCat,critCat,rCtaE,critCta))</f>
        <v/>
      </c>
      <c r="U84" s="241">
        <f>IF(S84="","",COUNTIFS(rCom,S84,rTipoE,"Gasto",rFecha,"&gt;="&amp;pIni,rFecha,"&lt;="&amp;pFin,rCat,critCat,rCtaE,critCta))</f>
        <v/>
      </c>
      <c r="V84" s="241">
        <f>IF(S84="",-1E+12-78,N(T84)+(301-78)/1E+7)</f>
        <v/>
      </c>
      <c r="W84" s="241">
        <f>IF(S84="","",SUMIFS(rGasto,rCom,S84,rHorm,1,rFecha,"&gt;="&amp;pIni,rFecha,"&lt;="&amp;pFin))</f>
        <v/>
      </c>
      <c r="X84" s="241">
        <f>IF(S84="","",COUNTIFS(rCom,S84,rHorm,1,rFecha,"&gt;="&amp;pIni,rFecha,"&lt;="&amp;pFin))</f>
        <v/>
      </c>
      <c r="Y84" s="241">
        <f>IF(S84="",-1E+12-78,N(W84)+(301-78)/1E+7)</f>
        <v/>
      </c>
      <c r="BG84" s="241" t="n">
        <v>78</v>
      </c>
      <c r="BH84" s="246">
        <f>IF(calIni+77&lt;=pFinEff,calIni+77,"")</f>
        <v/>
      </c>
      <c r="BI84" s="241">
        <f>IF(BH84="","",WEEKDAY(BH84,2))</f>
        <v/>
      </c>
      <c r="BJ84" s="241">
        <f>IF(BH84="","",SUMIFS(rGasto,rFecha,BH84,rGrupo,"?*"))</f>
        <v/>
      </c>
      <c r="BK84" s="241">
        <f>IF(BH84="","",SUMIFS(rGasto,rFecha,BH84,rGrupo,gCP))</f>
        <v/>
      </c>
      <c r="BL84" s="241">
        <f>IF(BH84="",-1E+12-78,N(BJ84)+(400-78)/1E+7)</f>
        <v/>
      </c>
    </row>
    <row r="85">
      <c r="K85" s="241">
        <f>INDEX(catCat,79)&amp;""</f>
        <v/>
      </c>
      <c r="L85" s="241">
        <f>INDEX(catSub,79)&amp;""</f>
        <v/>
      </c>
      <c r="M85" s="241">
        <f>IF(OR(K85="",L85="",INDEX(catTipo,79)&amp;""&lt;&gt;"Gasto"),"",IF(AND(critCat&lt;&gt;"&lt;&gt;@@@",K85&lt;&gt;critCat),0,SUMIFS(rGasto,rCat,K85,rSub,L85,rFecha,"&gt;="&amp;pIni,rFecha,"&lt;="&amp;pFin,rCtaE,critCta)))</f>
        <v/>
      </c>
      <c r="N85" s="241">
        <f>IF(M85="","",IF(AND(critCat&lt;&gt;"&lt;&gt;@@@",K85&lt;&gt;critCat),0,COUNTIFS(rCat,K85,rSub,L85,rTipoE,"Gasto",rFecha,"&gt;="&amp;pIni,rFecha,"&lt;="&amp;pFin,rCtaE,critCta)))</f>
        <v/>
      </c>
      <c r="O85" s="241">
        <f>IF(M85="",-1E+12-79,N(M85)+(201-79)/1E+7)</f>
        <v/>
      </c>
      <c r="P85" s="241">
        <f>L85&amp;" · "&amp;K85</f>
        <v/>
      </c>
      <c r="R85" s="241" t="n">
        <v>79</v>
      </c>
      <c r="S85" s="241">
        <f>IFERROR(INDEX(rCom,MATCH(79,rComIdx,0))&amp;"","")</f>
        <v/>
      </c>
      <c r="T85" s="241">
        <f>IF(S85="","",SUMIFS(rGasto,rCom,S85,rFecha,"&gt;="&amp;pIni,rFecha,"&lt;="&amp;pFin,rCat,critCat,rCtaE,critCta))</f>
        <v/>
      </c>
      <c r="U85" s="241">
        <f>IF(S85="","",COUNTIFS(rCom,S85,rTipoE,"Gasto",rFecha,"&gt;="&amp;pIni,rFecha,"&lt;="&amp;pFin,rCat,critCat,rCtaE,critCta))</f>
        <v/>
      </c>
      <c r="V85" s="241">
        <f>IF(S85="",-1E+12-79,N(T85)+(301-79)/1E+7)</f>
        <v/>
      </c>
      <c r="W85" s="241">
        <f>IF(S85="","",SUMIFS(rGasto,rCom,S85,rHorm,1,rFecha,"&gt;="&amp;pIni,rFecha,"&lt;="&amp;pFin))</f>
        <v/>
      </c>
      <c r="X85" s="241">
        <f>IF(S85="","",COUNTIFS(rCom,S85,rHorm,1,rFecha,"&gt;="&amp;pIni,rFecha,"&lt;="&amp;pFin))</f>
        <v/>
      </c>
      <c r="Y85" s="241">
        <f>IF(S85="",-1E+12-79,N(W85)+(301-79)/1E+7)</f>
        <v/>
      </c>
      <c r="BG85" s="241" t="n">
        <v>79</v>
      </c>
      <c r="BH85" s="246">
        <f>IF(calIni+78&lt;=pFinEff,calIni+78,"")</f>
        <v/>
      </c>
      <c r="BI85" s="241">
        <f>IF(BH85="","",WEEKDAY(BH85,2))</f>
        <v/>
      </c>
      <c r="BJ85" s="241">
        <f>IF(BH85="","",SUMIFS(rGasto,rFecha,BH85,rGrupo,"?*"))</f>
        <v/>
      </c>
      <c r="BK85" s="241">
        <f>IF(BH85="","",SUMIFS(rGasto,rFecha,BH85,rGrupo,gCP))</f>
        <v/>
      </c>
      <c r="BL85" s="241">
        <f>IF(BH85="",-1E+12-79,N(BJ85)+(400-79)/1E+7)</f>
        <v/>
      </c>
    </row>
    <row r="86">
      <c r="K86" s="241">
        <f>INDEX(catCat,80)&amp;""</f>
        <v/>
      </c>
      <c r="L86" s="241">
        <f>INDEX(catSub,80)&amp;""</f>
        <v/>
      </c>
      <c r="M86" s="241">
        <f>IF(OR(K86="",L86="",INDEX(catTipo,80)&amp;""&lt;&gt;"Gasto"),"",IF(AND(critCat&lt;&gt;"&lt;&gt;@@@",K86&lt;&gt;critCat),0,SUMIFS(rGasto,rCat,K86,rSub,L86,rFecha,"&gt;="&amp;pIni,rFecha,"&lt;="&amp;pFin,rCtaE,critCta)))</f>
        <v/>
      </c>
      <c r="N86" s="241">
        <f>IF(M86="","",IF(AND(critCat&lt;&gt;"&lt;&gt;@@@",K86&lt;&gt;critCat),0,COUNTIFS(rCat,K86,rSub,L86,rTipoE,"Gasto",rFecha,"&gt;="&amp;pIni,rFecha,"&lt;="&amp;pFin,rCtaE,critCta)))</f>
        <v/>
      </c>
      <c r="O86" s="241">
        <f>IF(M86="",-1E+12-80,N(M86)+(201-80)/1E+7)</f>
        <v/>
      </c>
      <c r="P86" s="241">
        <f>L86&amp;" · "&amp;K86</f>
        <v/>
      </c>
      <c r="R86" s="241" t="n">
        <v>80</v>
      </c>
      <c r="S86" s="241">
        <f>IFERROR(INDEX(rCom,MATCH(80,rComIdx,0))&amp;"","")</f>
        <v/>
      </c>
      <c r="T86" s="241">
        <f>IF(S86="","",SUMIFS(rGasto,rCom,S86,rFecha,"&gt;="&amp;pIni,rFecha,"&lt;="&amp;pFin,rCat,critCat,rCtaE,critCta))</f>
        <v/>
      </c>
      <c r="U86" s="241">
        <f>IF(S86="","",COUNTIFS(rCom,S86,rTipoE,"Gasto",rFecha,"&gt;="&amp;pIni,rFecha,"&lt;="&amp;pFin,rCat,critCat,rCtaE,critCta))</f>
        <v/>
      </c>
      <c r="V86" s="241">
        <f>IF(S86="",-1E+12-80,N(T86)+(301-80)/1E+7)</f>
        <v/>
      </c>
      <c r="W86" s="241">
        <f>IF(S86="","",SUMIFS(rGasto,rCom,S86,rHorm,1,rFecha,"&gt;="&amp;pIni,rFecha,"&lt;="&amp;pFin))</f>
        <v/>
      </c>
      <c r="X86" s="241">
        <f>IF(S86="","",COUNTIFS(rCom,S86,rHorm,1,rFecha,"&gt;="&amp;pIni,rFecha,"&lt;="&amp;pFin))</f>
        <v/>
      </c>
      <c r="Y86" s="241">
        <f>IF(S86="",-1E+12-80,N(W86)+(301-80)/1E+7)</f>
        <v/>
      </c>
      <c r="BG86" s="241" t="n">
        <v>80</v>
      </c>
      <c r="BH86" s="246">
        <f>IF(calIni+79&lt;=pFinEff,calIni+79,"")</f>
        <v/>
      </c>
      <c r="BI86" s="241">
        <f>IF(BH86="","",WEEKDAY(BH86,2))</f>
        <v/>
      </c>
      <c r="BJ86" s="241">
        <f>IF(BH86="","",SUMIFS(rGasto,rFecha,BH86,rGrupo,"?*"))</f>
        <v/>
      </c>
      <c r="BK86" s="241">
        <f>IF(BH86="","",SUMIFS(rGasto,rFecha,BH86,rGrupo,gCP))</f>
        <v/>
      </c>
      <c r="BL86" s="241">
        <f>IF(BH86="",-1E+12-80,N(BJ86)+(400-80)/1E+7)</f>
        <v/>
      </c>
    </row>
    <row r="87">
      <c r="K87" s="241">
        <f>INDEX(catCat,81)&amp;""</f>
        <v/>
      </c>
      <c r="L87" s="241">
        <f>INDEX(catSub,81)&amp;""</f>
        <v/>
      </c>
      <c r="M87" s="241">
        <f>IF(OR(K87="",L87="",INDEX(catTipo,81)&amp;""&lt;&gt;"Gasto"),"",IF(AND(critCat&lt;&gt;"&lt;&gt;@@@",K87&lt;&gt;critCat),0,SUMIFS(rGasto,rCat,K87,rSub,L87,rFecha,"&gt;="&amp;pIni,rFecha,"&lt;="&amp;pFin,rCtaE,critCta)))</f>
        <v/>
      </c>
      <c r="N87" s="241">
        <f>IF(M87="","",IF(AND(critCat&lt;&gt;"&lt;&gt;@@@",K87&lt;&gt;critCat),0,COUNTIFS(rCat,K87,rSub,L87,rTipoE,"Gasto",rFecha,"&gt;="&amp;pIni,rFecha,"&lt;="&amp;pFin,rCtaE,critCta)))</f>
        <v/>
      </c>
      <c r="O87" s="241">
        <f>IF(M87="",-1E+12-81,N(M87)+(201-81)/1E+7)</f>
        <v/>
      </c>
      <c r="P87" s="241">
        <f>L87&amp;" · "&amp;K87</f>
        <v/>
      </c>
      <c r="R87" s="241" t="n">
        <v>81</v>
      </c>
      <c r="S87" s="241">
        <f>IFERROR(INDEX(rCom,MATCH(81,rComIdx,0))&amp;"","")</f>
        <v/>
      </c>
      <c r="T87" s="241">
        <f>IF(S87="","",SUMIFS(rGasto,rCom,S87,rFecha,"&gt;="&amp;pIni,rFecha,"&lt;="&amp;pFin,rCat,critCat,rCtaE,critCta))</f>
        <v/>
      </c>
      <c r="U87" s="241">
        <f>IF(S87="","",COUNTIFS(rCom,S87,rTipoE,"Gasto",rFecha,"&gt;="&amp;pIni,rFecha,"&lt;="&amp;pFin,rCat,critCat,rCtaE,critCta))</f>
        <v/>
      </c>
      <c r="V87" s="241">
        <f>IF(S87="",-1E+12-81,N(T87)+(301-81)/1E+7)</f>
        <v/>
      </c>
      <c r="W87" s="241">
        <f>IF(S87="","",SUMIFS(rGasto,rCom,S87,rHorm,1,rFecha,"&gt;="&amp;pIni,rFecha,"&lt;="&amp;pFin))</f>
        <v/>
      </c>
      <c r="X87" s="241">
        <f>IF(S87="","",COUNTIFS(rCom,S87,rHorm,1,rFecha,"&gt;="&amp;pIni,rFecha,"&lt;="&amp;pFin))</f>
        <v/>
      </c>
      <c r="Y87" s="241">
        <f>IF(S87="",-1E+12-81,N(W87)+(301-81)/1E+7)</f>
        <v/>
      </c>
      <c r="BG87" s="241" t="n">
        <v>81</v>
      </c>
      <c r="BH87" s="246">
        <f>IF(calIni+80&lt;=pFinEff,calIni+80,"")</f>
        <v/>
      </c>
      <c r="BI87" s="241">
        <f>IF(BH87="","",WEEKDAY(BH87,2))</f>
        <v/>
      </c>
      <c r="BJ87" s="241">
        <f>IF(BH87="","",SUMIFS(rGasto,rFecha,BH87,rGrupo,"?*"))</f>
        <v/>
      </c>
      <c r="BK87" s="241">
        <f>IF(BH87="","",SUMIFS(rGasto,rFecha,BH87,rGrupo,gCP))</f>
        <v/>
      </c>
      <c r="BL87" s="241">
        <f>IF(BH87="",-1E+12-81,N(BJ87)+(400-81)/1E+7)</f>
        <v/>
      </c>
    </row>
    <row r="88">
      <c r="K88" s="241">
        <f>INDEX(catCat,82)&amp;""</f>
        <v/>
      </c>
      <c r="L88" s="241">
        <f>INDEX(catSub,82)&amp;""</f>
        <v/>
      </c>
      <c r="M88" s="241">
        <f>IF(OR(K88="",L88="",INDEX(catTipo,82)&amp;""&lt;&gt;"Gasto"),"",IF(AND(critCat&lt;&gt;"&lt;&gt;@@@",K88&lt;&gt;critCat),0,SUMIFS(rGasto,rCat,K88,rSub,L88,rFecha,"&gt;="&amp;pIni,rFecha,"&lt;="&amp;pFin,rCtaE,critCta)))</f>
        <v/>
      </c>
      <c r="N88" s="241">
        <f>IF(M88="","",IF(AND(critCat&lt;&gt;"&lt;&gt;@@@",K88&lt;&gt;critCat),0,COUNTIFS(rCat,K88,rSub,L88,rTipoE,"Gasto",rFecha,"&gt;="&amp;pIni,rFecha,"&lt;="&amp;pFin,rCtaE,critCta)))</f>
        <v/>
      </c>
      <c r="O88" s="241">
        <f>IF(M88="",-1E+12-82,N(M88)+(201-82)/1E+7)</f>
        <v/>
      </c>
      <c r="P88" s="241">
        <f>L88&amp;" · "&amp;K88</f>
        <v/>
      </c>
      <c r="R88" s="241" t="n">
        <v>82</v>
      </c>
      <c r="S88" s="241">
        <f>IFERROR(INDEX(rCom,MATCH(82,rComIdx,0))&amp;"","")</f>
        <v/>
      </c>
      <c r="T88" s="241">
        <f>IF(S88="","",SUMIFS(rGasto,rCom,S88,rFecha,"&gt;="&amp;pIni,rFecha,"&lt;="&amp;pFin,rCat,critCat,rCtaE,critCta))</f>
        <v/>
      </c>
      <c r="U88" s="241">
        <f>IF(S88="","",COUNTIFS(rCom,S88,rTipoE,"Gasto",rFecha,"&gt;="&amp;pIni,rFecha,"&lt;="&amp;pFin,rCat,critCat,rCtaE,critCta))</f>
        <v/>
      </c>
      <c r="V88" s="241">
        <f>IF(S88="",-1E+12-82,N(T88)+(301-82)/1E+7)</f>
        <v/>
      </c>
      <c r="W88" s="241">
        <f>IF(S88="","",SUMIFS(rGasto,rCom,S88,rHorm,1,rFecha,"&gt;="&amp;pIni,rFecha,"&lt;="&amp;pFin))</f>
        <v/>
      </c>
      <c r="X88" s="241">
        <f>IF(S88="","",COUNTIFS(rCom,S88,rHorm,1,rFecha,"&gt;="&amp;pIni,rFecha,"&lt;="&amp;pFin))</f>
        <v/>
      </c>
      <c r="Y88" s="241">
        <f>IF(S88="",-1E+12-82,N(W88)+(301-82)/1E+7)</f>
        <v/>
      </c>
      <c r="BG88" s="241" t="n">
        <v>82</v>
      </c>
      <c r="BH88" s="246">
        <f>IF(calIni+81&lt;=pFinEff,calIni+81,"")</f>
        <v/>
      </c>
      <c r="BI88" s="241">
        <f>IF(BH88="","",WEEKDAY(BH88,2))</f>
        <v/>
      </c>
      <c r="BJ88" s="241">
        <f>IF(BH88="","",SUMIFS(rGasto,rFecha,BH88,rGrupo,"?*"))</f>
        <v/>
      </c>
      <c r="BK88" s="241">
        <f>IF(BH88="","",SUMIFS(rGasto,rFecha,BH88,rGrupo,gCP))</f>
        <v/>
      </c>
      <c r="BL88" s="241">
        <f>IF(BH88="",-1E+12-82,N(BJ88)+(400-82)/1E+7)</f>
        <v/>
      </c>
    </row>
    <row r="89">
      <c r="K89" s="241">
        <f>INDEX(catCat,83)&amp;""</f>
        <v/>
      </c>
      <c r="L89" s="241">
        <f>INDEX(catSub,83)&amp;""</f>
        <v/>
      </c>
      <c r="M89" s="241">
        <f>IF(OR(K89="",L89="",INDEX(catTipo,83)&amp;""&lt;&gt;"Gasto"),"",IF(AND(critCat&lt;&gt;"&lt;&gt;@@@",K89&lt;&gt;critCat),0,SUMIFS(rGasto,rCat,K89,rSub,L89,rFecha,"&gt;="&amp;pIni,rFecha,"&lt;="&amp;pFin,rCtaE,critCta)))</f>
        <v/>
      </c>
      <c r="N89" s="241">
        <f>IF(M89="","",IF(AND(critCat&lt;&gt;"&lt;&gt;@@@",K89&lt;&gt;critCat),0,COUNTIFS(rCat,K89,rSub,L89,rTipoE,"Gasto",rFecha,"&gt;="&amp;pIni,rFecha,"&lt;="&amp;pFin,rCtaE,critCta)))</f>
        <v/>
      </c>
      <c r="O89" s="241">
        <f>IF(M89="",-1E+12-83,N(M89)+(201-83)/1E+7)</f>
        <v/>
      </c>
      <c r="P89" s="241">
        <f>L89&amp;" · "&amp;K89</f>
        <v/>
      </c>
      <c r="R89" s="241" t="n">
        <v>83</v>
      </c>
      <c r="S89" s="241">
        <f>IFERROR(INDEX(rCom,MATCH(83,rComIdx,0))&amp;"","")</f>
        <v/>
      </c>
      <c r="T89" s="241">
        <f>IF(S89="","",SUMIFS(rGasto,rCom,S89,rFecha,"&gt;="&amp;pIni,rFecha,"&lt;="&amp;pFin,rCat,critCat,rCtaE,critCta))</f>
        <v/>
      </c>
      <c r="U89" s="241">
        <f>IF(S89="","",COUNTIFS(rCom,S89,rTipoE,"Gasto",rFecha,"&gt;="&amp;pIni,rFecha,"&lt;="&amp;pFin,rCat,critCat,rCtaE,critCta))</f>
        <v/>
      </c>
      <c r="V89" s="241">
        <f>IF(S89="",-1E+12-83,N(T89)+(301-83)/1E+7)</f>
        <v/>
      </c>
      <c r="W89" s="241">
        <f>IF(S89="","",SUMIFS(rGasto,rCom,S89,rHorm,1,rFecha,"&gt;="&amp;pIni,rFecha,"&lt;="&amp;pFin))</f>
        <v/>
      </c>
      <c r="X89" s="241">
        <f>IF(S89="","",COUNTIFS(rCom,S89,rHorm,1,rFecha,"&gt;="&amp;pIni,rFecha,"&lt;="&amp;pFin))</f>
        <v/>
      </c>
      <c r="Y89" s="241">
        <f>IF(S89="",-1E+12-83,N(W89)+(301-83)/1E+7)</f>
        <v/>
      </c>
      <c r="BG89" s="241" t="n">
        <v>83</v>
      </c>
      <c r="BH89" s="246">
        <f>IF(calIni+82&lt;=pFinEff,calIni+82,"")</f>
        <v/>
      </c>
      <c r="BI89" s="241">
        <f>IF(BH89="","",WEEKDAY(BH89,2))</f>
        <v/>
      </c>
      <c r="BJ89" s="241">
        <f>IF(BH89="","",SUMIFS(rGasto,rFecha,BH89,rGrupo,"?*"))</f>
        <v/>
      </c>
      <c r="BK89" s="241">
        <f>IF(BH89="","",SUMIFS(rGasto,rFecha,BH89,rGrupo,gCP))</f>
        <v/>
      </c>
      <c r="BL89" s="241">
        <f>IF(BH89="",-1E+12-83,N(BJ89)+(400-83)/1E+7)</f>
        <v/>
      </c>
    </row>
    <row r="90">
      <c r="K90" s="241">
        <f>INDEX(catCat,84)&amp;""</f>
        <v/>
      </c>
      <c r="L90" s="241">
        <f>INDEX(catSub,84)&amp;""</f>
        <v/>
      </c>
      <c r="M90" s="241">
        <f>IF(OR(K90="",L90="",INDEX(catTipo,84)&amp;""&lt;&gt;"Gasto"),"",IF(AND(critCat&lt;&gt;"&lt;&gt;@@@",K90&lt;&gt;critCat),0,SUMIFS(rGasto,rCat,K90,rSub,L90,rFecha,"&gt;="&amp;pIni,rFecha,"&lt;="&amp;pFin,rCtaE,critCta)))</f>
        <v/>
      </c>
      <c r="N90" s="241">
        <f>IF(M90="","",IF(AND(critCat&lt;&gt;"&lt;&gt;@@@",K90&lt;&gt;critCat),0,COUNTIFS(rCat,K90,rSub,L90,rTipoE,"Gasto",rFecha,"&gt;="&amp;pIni,rFecha,"&lt;="&amp;pFin,rCtaE,critCta)))</f>
        <v/>
      </c>
      <c r="O90" s="241">
        <f>IF(M90="",-1E+12-84,N(M90)+(201-84)/1E+7)</f>
        <v/>
      </c>
      <c r="P90" s="241">
        <f>L90&amp;" · "&amp;K90</f>
        <v/>
      </c>
      <c r="R90" s="241" t="n">
        <v>84</v>
      </c>
      <c r="S90" s="241">
        <f>IFERROR(INDEX(rCom,MATCH(84,rComIdx,0))&amp;"","")</f>
        <v/>
      </c>
      <c r="T90" s="241">
        <f>IF(S90="","",SUMIFS(rGasto,rCom,S90,rFecha,"&gt;="&amp;pIni,rFecha,"&lt;="&amp;pFin,rCat,critCat,rCtaE,critCta))</f>
        <v/>
      </c>
      <c r="U90" s="241">
        <f>IF(S90="","",COUNTIFS(rCom,S90,rTipoE,"Gasto",rFecha,"&gt;="&amp;pIni,rFecha,"&lt;="&amp;pFin,rCat,critCat,rCtaE,critCta))</f>
        <v/>
      </c>
      <c r="V90" s="241">
        <f>IF(S90="",-1E+12-84,N(T90)+(301-84)/1E+7)</f>
        <v/>
      </c>
      <c r="W90" s="241">
        <f>IF(S90="","",SUMIFS(rGasto,rCom,S90,rHorm,1,rFecha,"&gt;="&amp;pIni,rFecha,"&lt;="&amp;pFin))</f>
        <v/>
      </c>
      <c r="X90" s="241">
        <f>IF(S90="","",COUNTIFS(rCom,S90,rHorm,1,rFecha,"&gt;="&amp;pIni,rFecha,"&lt;="&amp;pFin))</f>
        <v/>
      </c>
      <c r="Y90" s="241">
        <f>IF(S90="",-1E+12-84,N(W90)+(301-84)/1E+7)</f>
        <v/>
      </c>
      <c r="BG90" s="241" t="n">
        <v>84</v>
      </c>
      <c r="BH90" s="246">
        <f>IF(calIni+83&lt;=pFinEff,calIni+83,"")</f>
        <v/>
      </c>
      <c r="BI90" s="241">
        <f>IF(BH90="","",WEEKDAY(BH90,2))</f>
        <v/>
      </c>
      <c r="BJ90" s="241">
        <f>IF(BH90="","",SUMIFS(rGasto,rFecha,BH90,rGrupo,"?*"))</f>
        <v/>
      </c>
      <c r="BK90" s="241">
        <f>IF(BH90="","",SUMIFS(rGasto,rFecha,BH90,rGrupo,gCP))</f>
        <v/>
      </c>
      <c r="BL90" s="241">
        <f>IF(BH90="",-1E+12-84,N(BJ90)+(400-84)/1E+7)</f>
        <v/>
      </c>
    </row>
    <row r="91">
      <c r="K91" s="241">
        <f>INDEX(catCat,85)&amp;""</f>
        <v/>
      </c>
      <c r="L91" s="241">
        <f>INDEX(catSub,85)&amp;""</f>
        <v/>
      </c>
      <c r="M91" s="241">
        <f>IF(OR(K91="",L91="",INDEX(catTipo,85)&amp;""&lt;&gt;"Gasto"),"",IF(AND(critCat&lt;&gt;"&lt;&gt;@@@",K91&lt;&gt;critCat),0,SUMIFS(rGasto,rCat,K91,rSub,L91,rFecha,"&gt;="&amp;pIni,rFecha,"&lt;="&amp;pFin,rCtaE,critCta)))</f>
        <v/>
      </c>
      <c r="N91" s="241">
        <f>IF(M91="","",IF(AND(critCat&lt;&gt;"&lt;&gt;@@@",K91&lt;&gt;critCat),0,COUNTIFS(rCat,K91,rSub,L91,rTipoE,"Gasto",rFecha,"&gt;="&amp;pIni,rFecha,"&lt;="&amp;pFin,rCtaE,critCta)))</f>
        <v/>
      </c>
      <c r="O91" s="241">
        <f>IF(M91="",-1E+12-85,N(M91)+(201-85)/1E+7)</f>
        <v/>
      </c>
      <c r="P91" s="241">
        <f>L91&amp;" · "&amp;K91</f>
        <v/>
      </c>
      <c r="R91" s="241" t="n">
        <v>85</v>
      </c>
      <c r="S91" s="241">
        <f>IFERROR(INDEX(rCom,MATCH(85,rComIdx,0))&amp;"","")</f>
        <v/>
      </c>
      <c r="T91" s="241">
        <f>IF(S91="","",SUMIFS(rGasto,rCom,S91,rFecha,"&gt;="&amp;pIni,rFecha,"&lt;="&amp;pFin,rCat,critCat,rCtaE,critCta))</f>
        <v/>
      </c>
      <c r="U91" s="241">
        <f>IF(S91="","",COUNTIFS(rCom,S91,rTipoE,"Gasto",rFecha,"&gt;="&amp;pIni,rFecha,"&lt;="&amp;pFin,rCat,critCat,rCtaE,critCta))</f>
        <v/>
      </c>
      <c r="V91" s="241">
        <f>IF(S91="",-1E+12-85,N(T91)+(301-85)/1E+7)</f>
        <v/>
      </c>
      <c r="W91" s="241">
        <f>IF(S91="","",SUMIFS(rGasto,rCom,S91,rHorm,1,rFecha,"&gt;="&amp;pIni,rFecha,"&lt;="&amp;pFin))</f>
        <v/>
      </c>
      <c r="X91" s="241">
        <f>IF(S91="","",COUNTIFS(rCom,S91,rHorm,1,rFecha,"&gt;="&amp;pIni,rFecha,"&lt;="&amp;pFin))</f>
        <v/>
      </c>
      <c r="Y91" s="241">
        <f>IF(S91="",-1E+12-85,N(W91)+(301-85)/1E+7)</f>
        <v/>
      </c>
      <c r="BG91" s="241" t="n">
        <v>85</v>
      </c>
      <c r="BH91" s="246">
        <f>IF(calIni+84&lt;=pFinEff,calIni+84,"")</f>
        <v/>
      </c>
      <c r="BI91" s="241">
        <f>IF(BH91="","",WEEKDAY(BH91,2))</f>
        <v/>
      </c>
      <c r="BJ91" s="241">
        <f>IF(BH91="","",SUMIFS(rGasto,rFecha,BH91,rGrupo,"?*"))</f>
        <v/>
      </c>
      <c r="BK91" s="241">
        <f>IF(BH91="","",SUMIFS(rGasto,rFecha,BH91,rGrupo,gCP))</f>
        <v/>
      </c>
      <c r="BL91" s="241">
        <f>IF(BH91="",-1E+12-85,N(BJ91)+(400-85)/1E+7)</f>
        <v/>
      </c>
    </row>
    <row r="92">
      <c r="K92" s="241">
        <f>INDEX(catCat,86)&amp;""</f>
        <v/>
      </c>
      <c r="L92" s="241">
        <f>INDEX(catSub,86)&amp;""</f>
        <v/>
      </c>
      <c r="M92" s="241">
        <f>IF(OR(K92="",L92="",INDEX(catTipo,86)&amp;""&lt;&gt;"Gasto"),"",IF(AND(critCat&lt;&gt;"&lt;&gt;@@@",K92&lt;&gt;critCat),0,SUMIFS(rGasto,rCat,K92,rSub,L92,rFecha,"&gt;="&amp;pIni,rFecha,"&lt;="&amp;pFin,rCtaE,critCta)))</f>
        <v/>
      </c>
      <c r="N92" s="241">
        <f>IF(M92="","",IF(AND(critCat&lt;&gt;"&lt;&gt;@@@",K92&lt;&gt;critCat),0,COUNTIFS(rCat,K92,rSub,L92,rTipoE,"Gasto",rFecha,"&gt;="&amp;pIni,rFecha,"&lt;="&amp;pFin,rCtaE,critCta)))</f>
        <v/>
      </c>
      <c r="O92" s="241">
        <f>IF(M92="",-1E+12-86,N(M92)+(201-86)/1E+7)</f>
        <v/>
      </c>
      <c r="P92" s="241">
        <f>L92&amp;" · "&amp;K92</f>
        <v/>
      </c>
      <c r="R92" s="241" t="n">
        <v>86</v>
      </c>
      <c r="S92" s="241">
        <f>IFERROR(INDEX(rCom,MATCH(86,rComIdx,0))&amp;"","")</f>
        <v/>
      </c>
      <c r="T92" s="241">
        <f>IF(S92="","",SUMIFS(rGasto,rCom,S92,rFecha,"&gt;="&amp;pIni,rFecha,"&lt;="&amp;pFin,rCat,critCat,rCtaE,critCta))</f>
        <v/>
      </c>
      <c r="U92" s="241">
        <f>IF(S92="","",COUNTIFS(rCom,S92,rTipoE,"Gasto",rFecha,"&gt;="&amp;pIni,rFecha,"&lt;="&amp;pFin,rCat,critCat,rCtaE,critCta))</f>
        <v/>
      </c>
      <c r="V92" s="241">
        <f>IF(S92="",-1E+12-86,N(T92)+(301-86)/1E+7)</f>
        <v/>
      </c>
      <c r="W92" s="241">
        <f>IF(S92="","",SUMIFS(rGasto,rCom,S92,rHorm,1,rFecha,"&gt;="&amp;pIni,rFecha,"&lt;="&amp;pFin))</f>
        <v/>
      </c>
      <c r="X92" s="241">
        <f>IF(S92="","",COUNTIFS(rCom,S92,rHorm,1,rFecha,"&gt;="&amp;pIni,rFecha,"&lt;="&amp;pFin))</f>
        <v/>
      </c>
      <c r="Y92" s="241">
        <f>IF(S92="",-1E+12-86,N(W92)+(301-86)/1E+7)</f>
        <v/>
      </c>
      <c r="BG92" s="241" t="n">
        <v>86</v>
      </c>
      <c r="BH92" s="246">
        <f>IF(calIni+85&lt;=pFinEff,calIni+85,"")</f>
        <v/>
      </c>
      <c r="BI92" s="241">
        <f>IF(BH92="","",WEEKDAY(BH92,2))</f>
        <v/>
      </c>
      <c r="BJ92" s="241">
        <f>IF(BH92="","",SUMIFS(rGasto,rFecha,BH92,rGrupo,"?*"))</f>
        <v/>
      </c>
      <c r="BK92" s="241">
        <f>IF(BH92="","",SUMIFS(rGasto,rFecha,BH92,rGrupo,gCP))</f>
        <v/>
      </c>
      <c r="BL92" s="241">
        <f>IF(BH92="",-1E+12-86,N(BJ92)+(400-86)/1E+7)</f>
        <v/>
      </c>
    </row>
    <row r="93">
      <c r="K93" s="241">
        <f>INDEX(catCat,87)&amp;""</f>
        <v/>
      </c>
      <c r="L93" s="241">
        <f>INDEX(catSub,87)&amp;""</f>
        <v/>
      </c>
      <c r="M93" s="241">
        <f>IF(OR(K93="",L93="",INDEX(catTipo,87)&amp;""&lt;&gt;"Gasto"),"",IF(AND(critCat&lt;&gt;"&lt;&gt;@@@",K93&lt;&gt;critCat),0,SUMIFS(rGasto,rCat,K93,rSub,L93,rFecha,"&gt;="&amp;pIni,rFecha,"&lt;="&amp;pFin,rCtaE,critCta)))</f>
        <v/>
      </c>
      <c r="N93" s="241">
        <f>IF(M93="","",IF(AND(critCat&lt;&gt;"&lt;&gt;@@@",K93&lt;&gt;critCat),0,COUNTIFS(rCat,K93,rSub,L93,rTipoE,"Gasto",rFecha,"&gt;="&amp;pIni,rFecha,"&lt;="&amp;pFin,rCtaE,critCta)))</f>
        <v/>
      </c>
      <c r="O93" s="241">
        <f>IF(M93="",-1E+12-87,N(M93)+(201-87)/1E+7)</f>
        <v/>
      </c>
      <c r="P93" s="241">
        <f>L93&amp;" · "&amp;K93</f>
        <v/>
      </c>
      <c r="R93" s="241" t="n">
        <v>87</v>
      </c>
      <c r="S93" s="241">
        <f>IFERROR(INDEX(rCom,MATCH(87,rComIdx,0))&amp;"","")</f>
        <v/>
      </c>
      <c r="T93" s="241">
        <f>IF(S93="","",SUMIFS(rGasto,rCom,S93,rFecha,"&gt;="&amp;pIni,rFecha,"&lt;="&amp;pFin,rCat,critCat,rCtaE,critCta))</f>
        <v/>
      </c>
      <c r="U93" s="241">
        <f>IF(S93="","",COUNTIFS(rCom,S93,rTipoE,"Gasto",rFecha,"&gt;="&amp;pIni,rFecha,"&lt;="&amp;pFin,rCat,critCat,rCtaE,critCta))</f>
        <v/>
      </c>
      <c r="V93" s="241">
        <f>IF(S93="",-1E+12-87,N(T93)+(301-87)/1E+7)</f>
        <v/>
      </c>
      <c r="W93" s="241">
        <f>IF(S93="","",SUMIFS(rGasto,rCom,S93,rHorm,1,rFecha,"&gt;="&amp;pIni,rFecha,"&lt;="&amp;pFin))</f>
        <v/>
      </c>
      <c r="X93" s="241">
        <f>IF(S93="","",COUNTIFS(rCom,S93,rHorm,1,rFecha,"&gt;="&amp;pIni,rFecha,"&lt;="&amp;pFin))</f>
        <v/>
      </c>
      <c r="Y93" s="241">
        <f>IF(S93="",-1E+12-87,N(W93)+(301-87)/1E+7)</f>
        <v/>
      </c>
      <c r="BG93" s="241" t="n">
        <v>87</v>
      </c>
      <c r="BH93" s="246">
        <f>IF(calIni+86&lt;=pFinEff,calIni+86,"")</f>
        <v/>
      </c>
      <c r="BI93" s="241">
        <f>IF(BH93="","",WEEKDAY(BH93,2))</f>
        <v/>
      </c>
      <c r="BJ93" s="241">
        <f>IF(BH93="","",SUMIFS(rGasto,rFecha,BH93,rGrupo,"?*"))</f>
        <v/>
      </c>
      <c r="BK93" s="241">
        <f>IF(BH93="","",SUMIFS(rGasto,rFecha,BH93,rGrupo,gCP))</f>
        <v/>
      </c>
      <c r="BL93" s="241">
        <f>IF(BH93="",-1E+12-87,N(BJ93)+(400-87)/1E+7)</f>
        <v/>
      </c>
    </row>
    <row r="94">
      <c r="K94" s="241">
        <f>INDEX(catCat,88)&amp;""</f>
        <v/>
      </c>
      <c r="L94" s="241">
        <f>INDEX(catSub,88)&amp;""</f>
        <v/>
      </c>
      <c r="M94" s="241">
        <f>IF(OR(K94="",L94="",INDEX(catTipo,88)&amp;""&lt;&gt;"Gasto"),"",IF(AND(critCat&lt;&gt;"&lt;&gt;@@@",K94&lt;&gt;critCat),0,SUMIFS(rGasto,rCat,K94,rSub,L94,rFecha,"&gt;="&amp;pIni,rFecha,"&lt;="&amp;pFin,rCtaE,critCta)))</f>
        <v/>
      </c>
      <c r="N94" s="241">
        <f>IF(M94="","",IF(AND(critCat&lt;&gt;"&lt;&gt;@@@",K94&lt;&gt;critCat),0,COUNTIFS(rCat,K94,rSub,L94,rTipoE,"Gasto",rFecha,"&gt;="&amp;pIni,rFecha,"&lt;="&amp;pFin,rCtaE,critCta)))</f>
        <v/>
      </c>
      <c r="O94" s="241">
        <f>IF(M94="",-1E+12-88,N(M94)+(201-88)/1E+7)</f>
        <v/>
      </c>
      <c r="P94" s="241">
        <f>L94&amp;" · "&amp;K94</f>
        <v/>
      </c>
      <c r="R94" s="241" t="n">
        <v>88</v>
      </c>
      <c r="S94" s="241">
        <f>IFERROR(INDEX(rCom,MATCH(88,rComIdx,0))&amp;"","")</f>
        <v/>
      </c>
      <c r="T94" s="241">
        <f>IF(S94="","",SUMIFS(rGasto,rCom,S94,rFecha,"&gt;="&amp;pIni,rFecha,"&lt;="&amp;pFin,rCat,critCat,rCtaE,critCta))</f>
        <v/>
      </c>
      <c r="U94" s="241">
        <f>IF(S94="","",COUNTIFS(rCom,S94,rTipoE,"Gasto",rFecha,"&gt;="&amp;pIni,rFecha,"&lt;="&amp;pFin,rCat,critCat,rCtaE,critCta))</f>
        <v/>
      </c>
      <c r="V94" s="241">
        <f>IF(S94="",-1E+12-88,N(T94)+(301-88)/1E+7)</f>
        <v/>
      </c>
      <c r="W94" s="241">
        <f>IF(S94="","",SUMIFS(rGasto,rCom,S94,rHorm,1,rFecha,"&gt;="&amp;pIni,rFecha,"&lt;="&amp;pFin))</f>
        <v/>
      </c>
      <c r="X94" s="241">
        <f>IF(S94="","",COUNTIFS(rCom,S94,rHorm,1,rFecha,"&gt;="&amp;pIni,rFecha,"&lt;="&amp;pFin))</f>
        <v/>
      </c>
      <c r="Y94" s="241">
        <f>IF(S94="",-1E+12-88,N(W94)+(301-88)/1E+7)</f>
        <v/>
      </c>
      <c r="BG94" s="241" t="n">
        <v>88</v>
      </c>
      <c r="BH94" s="246">
        <f>IF(calIni+87&lt;=pFinEff,calIni+87,"")</f>
        <v/>
      </c>
      <c r="BI94" s="241">
        <f>IF(BH94="","",WEEKDAY(BH94,2))</f>
        <v/>
      </c>
      <c r="BJ94" s="241">
        <f>IF(BH94="","",SUMIFS(rGasto,rFecha,BH94,rGrupo,"?*"))</f>
        <v/>
      </c>
      <c r="BK94" s="241">
        <f>IF(BH94="","",SUMIFS(rGasto,rFecha,BH94,rGrupo,gCP))</f>
        <v/>
      </c>
      <c r="BL94" s="241">
        <f>IF(BH94="",-1E+12-88,N(BJ94)+(400-88)/1E+7)</f>
        <v/>
      </c>
    </row>
    <row r="95">
      <c r="K95" s="241">
        <f>INDEX(catCat,89)&amp;""</f>
        <v/>
      </c>
      <c r="L95" s="241">
        <f>INDEX(catSub,89)&amp;""</f>
        <v/>
      </c>
      <c r="M95" s="241">
        <f>IF(OR(K95="",L95="",INDEX(catTipo,89)&amp;""&lt;&gt;"Gasto"),"",IF(AND(critCat&lt;&gt;"&lt;&gt;@@@",K95&lt;&gt;critCat),0,SUMIFS(rGasto,rCat,K95,rSub,L95,rFecha,"&gt;="&amp;pIni,rFecha,"&lt;="&amp;pFin,rCtaE,critCta)))</f>
        <v/>
      </c>
      <c r="N95" s="241">
        <f>IF(M95="","",IF(AND(critCat&lt;&gt;"&lt;&gt;@@@",K95&lt;&gt;critCat),0,COUNTIFS(rCat,K95,rSub,L95,rTipoE,"Gasto",rFecha,"&gt;="&amp;pIni,rFecha,"&lt;="&amp;pFin,rCtaE,critCta)))</f>
        <v/>
      </c>
      <c r="O95" s="241">
        <f>IF(M95="",-1E+12-89,N(M95)+(201-89)/1E+7)</f>
        <v/>
      </c>
      <c r="P95" s="241">
        <f>L95&amp;" · "&amp;K95</f>
        <v/>
      </c>
      <c r="R95" s="241" t="n">
        <v>89</v>
      </c>
      <c r="S95" s="241">
        <f>IFERROR(INDEX(rCom,MATCH(89,rComIdx,0))&amp;"","")</f>
        <v/>
      </c>
      <c r="T95" s="241">
        <f>IF(S95="","",SUMIFS(rGasto,rCom,S95,rFecha,"&gt;="&amp;pIni,rFecha,"&lt;="&amp;pFin,rCat,critCat,rCtaE,critCta))</f>
        <v/>
      </c>
      <c r="U95" s="241">
        <f>IF(S95="","",COUNTIFS(rCom,S95,rTipoE,"Gasto",rFecha,"&gt;="&amp;pIni,rFecha,"&lt;="&amp;pFin,rCat,critCat,rCtaE,critCta))</f>
        <v/>
      </c>
      <c r="V95" s="241">
        <f>IF(S95="",-1E+12-89,N(T95)+(301-89)/1E+7)</f>
        <v/>
      </c>
      <c r="W95" s="241">
        <f>IF(S95="","",SUMIFS(rGasto,rCom,S95,rHorm,1,rFecha,"&gt;="&amp;pIni,rFecha,"&lt;="&amp;pFin))</f>
        <v/>
      </c>
      <c r="X95" s="241">
        <f>IF(S95="","",COUNTIFS(rCom,S95,rHorm,1,rFecha,"&gt;="&amp;pIni,rFecha,"&lt;="&amp;pFin))</f>
        <v/>
      </c>
      <c r="Y95" s="241">
        <f>IF(S95="",-1E+12-89,N(W95)+(301-89)/1E+7)</f>
        <v/>
      </c>
      <c r="BG95" s="241" t="n">
        <v>89</v>
      </c>
      <c r="BH95" s="246">
        <f>IF(calIni+88&lt;=pFinEff,calIni+88,"")</f>
        <v/>
      </c>
      <c r="BI95" s="241">
        <f>IF(BH95="","",WEEKDAY(BH95,2))</f>
        <v/>
      </c>
      <c r="BJ95" s="241">
        <f>IF(BH95="","",SUMIFS(rGasto,rFecha,BH95,rGrupo,"?*"))</f>
        <v/>
      </c>
      <c r="BK95" s="241">
        <f>IF(BH95="","",SUMIFS(rGasto,rFecha,BH95,rGrupo,gCP))</f>
        <v/>
      </c>
      <c r="BL95" s="241">
        <f>IF(BH95="",-1E+12-89,N(BJ95)+(400-89)/1E+7)</f>
        <v/>
      </c>
    </row>
    <row r="96">
      <c r="K96" s="241">
        <f>INDEX(catCat,90)&amp;""</f>
        <v/>
      </c>
      <c r="L96" s="241">
        <f>INDEX(catSub,90)&amp;""</f>
        <v/>
      </c>
      <c r="M96" s="241">
        <f>IF(OR(K96="",L96="",INDEX(catTipo,90)&amp;""&lt;&gt;"Gasto"),"",IF(AND(critCat&lt;&gt;"&lt;&gt;@@@",K96&lt;&gt;critCat),0,SUMIFS(rGasto,rCat,K96,rSub,L96,rFecha,"&gt;="&amp;pIni,rFecha,"&lt;="&amp;pFin,rCtaE,critCta)))</f>
        <v/>
      </c>
      <c r="N96" s="241">
        <f>IF(M96="","",IF(AND(critCat&lt;&gt;"&lt;&gt;@@@",K96&lt;&gt;critCat),0,COUNTIFS(rCat,K96,rSub,L96,rTipoE,"Gasto",rFecha,"&gt;="&amp;pIni,rFecha,"&lt;="&amp;pFin,rCtaE,critCta)))</f>
        <v/>
      </c>
      <c r="O96" s="241">
        <f>IF(M96="",-1E+12-90,N(M96)+(201-90)/1E+7)</f>
        <v/>
      </c>
      <c r="P96" s="241">
        <f>L96&amp;" · "&amp;K96</f>
        <v/>
      </c>
      <c r="R96" s="241" t="n">
        <v>90</v>
      </c>
      <c r="S96" s="241">
        <f>IFERROR(INDEX(rCom,MATCH(90,rComIdx,0))&amp;"","")</f>
        <v/>
      </c>
      <c r="T96" s="241">
        <f>IF(S96="","",SUMIFS(rGasto,rCom,S96,rFecha,"&gt;="&amp;pIni,rFecha,"&lt;="&amp;pFin,rCat,critCat,rCtaE,critCta))</f>
        <v/>
      </c>
      <c r="U96" s="241">
        <f>IF(S96="","",COUNTIFS(rCom,S96,rTipoE,"Gasto",rFecha,"&gt;="&amp;pIni,rFecha,"&lt;="&amp;pFin,rCat,critCat,rCtaE,critCta))</f>
        <v/>
      </c>
      <c r="V96" s="241">
        <f>IF(S96="",-1E+12-90,N(T96)+(301-90)/1E+7)</f>
        <v/>
      </c>
      <c r="W96" s="241">
        <f>IF(S96="","",SUMIFS(rGasto,rCom,S96,rHorm,1,rFecha,"&gt;="&amp;pIni,rFecha,"&lt;="&amp;pFin))</f>
        <v/>
      </c>
      <c r="X96" s="241">
        <f>IF(S96="","",COUNTIFS(rCom,S96,rHorm,1,rFecha,"&gt;="&amp;pIni,rFecha,"&lt;="&amp;pFin))</f>
        <v/>
      </c>
      <c r="Y96" s="241">
        <f>IF(S96="",-1E+12-90,N(W96)+(301-90)/1E+7)</f>
        <v/>
      </c>
      <c r="BG96" s="241" t="n">
        <v>90</v>
      </c>
      <c r="BH96" s="246">
        <f>IF(calIni+89&lt;=pFinEff,calIni+89,"")</f>
        <v/>
      </c>
      <c r="BI96" s="241">
        <f>IF(BH96="","",WEEKDAY(BH96,2))</f>
        <v/>
      </c>
      <c r="BJ96" s="241">
        <f>IF(BH96="","",SUMIFS(rGasto,rFecha,BH96,rGrupo,"?*"))</f>
        <v/>
      </c>
      <c r="BK96" s="241">
        <f>IF(BH96="","",SUMIFS(rGasto,rFecha,BH96,rGrupo,gCP))</f>
        <v/>
      </c>
      <c r="BL96" s="241">
        <f>IF(BH96="",-1E+12-90,N(BJ96)+(400-90)/1E+7)</f>
        <v/>
      </c>
    </row>
    <row r="97">
      <c r="K97" s="241">
        <f>INDEX(catCat,91)&amp;""</f>
        <v/>
      </c>
      <c r="L97" s="241">
        <f>INDEX(catSub,91)&amp;""</f>
        <v/>
      </c>
      <c r="M97" s="241">
        <f>IF(OR(K97="",L97="",INDEX(catTipo,91)&amp;""&lt;&gt;"Gasto"),"",IF(AND(critCat&lt;&gt;"&lt;&gt;@@@",K97&lt;&gt;critCat),0,SUMIFS(rGasto,rCat,K97,rSub,L97,rFecha,"&gt;="&amp;pIni,rFecha,"&lt;="&amp;pFin,rCtaE,critCta)))</f>
        <v/>
      </c>
      <c r="N97" s="241">
        <f>IF(M97="","",IF(AND(critCat&lt;&gt;"&lt;&gt;@@@",K97&lt;&gt;critCat),0,COUNTIFS(rCat,K97,rSub,L97,rTipoE,"Gasto",rFecha,"&gt;="&amp;pIni,rFecha,"&lt;="&amp;pFin,rCtaE,critCta)))</f>
        <v/>
      </c>
      <c r="O97" s="241">
        <f>IF(M97="",-1E+12-91,N(M97)+(201-91)/1E+7)</f>
        <v/>
      </c>
      <c r="P97" s="241">
        <f>L97&amp;" · "&amp;K97</f>
        <v/>
      </c>
      <c r="R97" s="241" t="n">
        <v>91</v>
      </c>
      <c r="S97" s="241">
        <f>IFERROR(INDEX(rCom,MATCH(91,rComIdx,0))&amp;"","")</f>
        <v/>
      </c>
      <c r="T97" s="241">
        <f>IF(S97="","",SUMIFS(rGasto,rCom,S97,rFecha,"&gt;="&amp;pIni,rFecha,"&lt;="&amp;pFin,rCat,critCat,rCtaE,critCta))</f>
        <v/>
      </c>
      <c r="U97" s="241">
        <f>IF(S97="","",COUNTIFS(rCom,S97,rTipoE,"Gasto",rFecha,"&gt;="&amp;pIni,rFecha,"&lt;="&amp;pFin,rCat,critCat,rCtaE,critCta))</f>
        <v/>
      </c>
      <c r="V97" s="241">
        <f>IF(S97="",-1E+12-91,N(T97)+(301-91)/1E+7)</f>
        <v/>
      </c>
      <c r="W97" s="241">
        <f>IF(S97="","",SUMIFS(rGasto,rCom,S97,rHorm,1,rFecha,"&gt;="&amp;pIni,rFecha,"&lt;="&amp;pFin))</f>
        <v/>
      </c>
      <c r="X97" s="241">
        <f>IF(S97="","",COUNTIFS(rCom,S97,rHorm,1,rFecha,"&gt;="&amp;pIni,rFecha,"&lt;="&amp;pFin))</f>
        <v/>
      </c>
      <c r="Y97" s="241">
        <f>IF(S97="",-1E+12-91,N(W97)+(301-91)/1E+7)</f>
        <v/>
      </c>
      <c r="BG97" s="241" t="n">
        <v>91</v>
      </c>
      <c r="BH97" s="246">
        <f>IF(calIni+90&lt;=pFinEff,calIni+90,"")</f>
        <v/>
      </c>
      <c r="BI97" s="241">
        <f>IF(BH97="","",WEEKDAY(BH97,2))</f>
        <v/>
      </c>
      <c r="BJ97" s="241">
        <f>IF(BH97="","",SUMIFS(rGasto,rFecha,BH97,rGrupo,"?*"))</f>
        <v/>
      </c>
      <c r="BK97" s="241">
        <f>IF(BH97="","",SUMIFS(rGasto,rFecha,BH97,rGrupo,gCP))</f>
        <v/>
      </c>
      <c r="BL97" s="241">
        <f>IF(BH97="",-1E+12-91,N(BJ97)+(400-91)/1E+7)</f>
        <v/>
      </c>
    </row>
    <row r="98">
      <c r="K98" s="241">
        <f>INDEX(catCat,92)&amp;""</f>
        <v/>
      </c>
      <c r="L98" s="241">
        <f>INDEX(catSub,92)&amp;""</f>
        <v/>
      </c>
      <c r="M98" s="241">
        <f>IF(OR(K98="",L98="",INDEX(catTipo,92)&amp;""&lt;&gt;"Gasto"),"",IF(AND(critCat&lt;&gt;"&lt;&gt;@@@",K98&lt;&gt;critCat),0,SUMIFS(rGasto,rCat,K98,rSub,L98,rFecha,"&gt;="&amp;pIni,rFecha,"&lt;="&amp;pFin,rCtaE,critCta)))</f>
        <v/>
      </c>
      <c r="N98" s="241">
        <f>IF(M98="","",IF(AND(critCat&lt;&gt;"&lt;&gt;@@@",K98&lt;&gt;critCat),0,COUNTIFS(rCat,K98,rSub,L98,rTipoE,"Gasto",rFecha,"&gt;="&amp;pIni,rFecha,"&lt;="&amp;pFin,rCtaE,critCta)))</f>
        <v/>
      </c>
      <c r="O98" s="241">
        <f>IF(M98="",-1E+12-92,N(M98)+(201-92)/1E+7)</f>
        <v/>
      </c>
      <c r="P98" s="241">
        <f>L98&amp;" · "&amp;K98</f>
        <v/>
      </c>
      <c r="R98" s="241" t="n">
        <v>92</v>
      </c>
      <c r="S98" s="241">
        <f>IFERROR(INDEX(rCom,MATCH(92,rComIdx,0))&amp;"","")</f>
        <v/>
      </c>
      <c r="T98" s="241">
        <f>IF(S98="","",SUMIFS(rGasto,rCom,S98,rFecha,"&gt;="&amp;pIni,rFecha,"&lt;="&amp;pFin,rCat,critCat,rCtaE,critCta))</f>
        <v/>
      </c>
      <c r="U98" s="241">
        <f>IF(S98="","",COUNTIFS(rCom,S98,rTipoE,"Gasto",rFecha,"&gt;="&amp;pIni,rFecha,"&lt;="&amp;pFin,rCat,critCat,rCtaE,critCta))</f>
        <v/>
      </c>
      <c r="V98" s="241">
        <f>IF(S98="",-1E+12-92,N(T98)+(301-92)/1E+7)</f>
        <v/>
      </c>
      <c r="W98" s="241">
        <f>IF(S98="","",SUMIFS(rGasto,rCom,S98,rHorm,1,rFecha,"&gt;="&amp;pIni,rFecha,"&lt;="&amp;pFin))</f>
        <v/>
      </c>
      <c r="X98" s="241">
        <f>IF(S98="","",COUNTIFS(rCom,S98,rHorm,1,rFecha,"&gt;="&amp;pIni,rFecha,"&lt;="&amp;pFin))</f>
        <v/>
      </c>
      <c r="Y98" s="241">
        <f>IF(S98="",-1E+12-92,N(W98)+(301-92)/1E+7)</f>
        <v/>
      </c>
      <c r="BG98" s="241" t="n">
        <v>92</v>
      </c>
      <c r="BH98" s="246">
        <f>IF(calIni+91&lt;=pFinEff,calIni+91,"")</f>
        <v/>
      </c>
      <c r="BI98" s="241">
        <f>IF(BH98="","",WEEKDAY(BH98,2))</f>
        <v/>
      </c>
      <c r="BJ98" s="241">
        <f>IF(BH98="","",SUMIFS(rGasto,rFecha,BH98,rGrupo,"?*"))</f>
        <v/>
      </c>
      <c r="BK98" s="241">
        <f>IF(BH98="","",SUMIFS(rGasto,rFecha,BH98,rGrupo,gCP))</f>
        <v/>
      </c>
      <c r="BL98" s="241">
        <f>IF(BH98="",-1E+12-92,N(BJ98)+(400-92)/1E+7)</f>
        <v/>
      </c>
    </row>
    <row r="99">
      <c r="K99" s="241">
        <f>INDEX(catCat,93)&amp;""</f>
        <v/>
      </c>
      <c r="L99" s="241">
        <f>INDEX(catSub,93)&amp;""</f>
        <v/>
      </c>
      <c r="M99" s="241">
        <f>IF(OR(K99="",L99="",INDEX(catTipo,93)&amp;""&lt;&gt;"Gasto"),"",IF(AND(critCat&lt;&gt;"&lt;&gt;@@@",K99&lt;&gt;critCat),0,SUMIFS(rGasto,rCat,K99,rSub,L99,rFecha,"&gt;="&amp;pIni,rFecha,"&lt;="&amp;pFin,rCtaE,critCta)))</f>
        <v/>
      </c>
      <c r="N99" s="241">
        <f>IF(M99="","",IF(AND(critCat&lt;&gt;"&lt;&gt;@@@",K99&lt;&gt;critCat),0,COUNTIFS(rCat,K99,rSub,L99,rTipoE,"Gasto",rFecha,"&gt;="&amp;pIni,rFecha,"&lt;="&amp;pFin,rCtaE,critCta)))</f>
        <v/>
      </c>
      <c r="O99" s="241">
        <f>IF(M99="",-1E+12-93,N(M99)+(201-93)/1E+7)</f>
        <v/>
      </c>
      <c r="P99" s="241">
        <f>L99&amp;" · "&amp;K99</f>
        <v/>
      </c>
      <c r="R99" s="241" t="n">
        <v>93</v>
      </c>
      <c r="S99" s="241">
        <f>IFERROR(INDEX(rCom,MATCH(93,rComIdx,0))&amp;"","")</f>
        <v/>
      </c>
      <c r="T99" s="241">
        <f>IF(S99="","",SUMIFS(rGasto,rCom,S99,rFecha,"&gt;="&amp;pIni,rFecha,"&lt;="&amp;pFin,rCat,critCat,rCtaE,critCta))</f>
        <v/>
      </c>
      <c r="U99" s="241">
        <f>IF(S99="","",COUNTIFS(rCom,S99,rTipoE,"Gasto",rFecha,"&gt;="&amp;pIni,rFecha,"&lt;="&amp;pFin,rCat,critCat,rCtaE,critCta))</f>
        <v/>
      </c>
      <c r="V99" s="241">
        <f>IF(S99="",-1E+12-93,N(T99)+(301-93)/1E+7)</f>
        <v/>
      </c>
      <c r="W99" s="241">
        <f>IF(S99="","",SUMIFS(rGasto,rCom,S99,rHorm,1,rFecha,"&gt;="&amp;pIni,rFecha,"&lt;="&amp;pFin))</f>
        <v/>
      </c>
      <c r="X99" s="241">
        <f>IF(S99="","",COUNTIFS(rCom,S99,rHorm,1,rFecha,"&gt;="&amp;pIni,rFecha,"&lt;="&amp;pFin))</f>
        <v/>
      </c>
      <c r="Y99" s="241">
        <f>IF(S99="",-1E+12-93,N(W99)+(301-93)/1E+7)</f>
        <v/>
      </c>
      <c r="BG99" s="241" t="n">
        <v>93</v>
      </c>
      <c r="BH99" s="246">
        <f>IF(calIni+92&lt;=pFinEff,calIni+92,"")</f>
        <v/>
      </c>
      <c r="BI99" s="241">
        <f>IF(BH99="","",WEEKDAY(BH99,2))</f>
        <v/>
      </c>
      <c r="BJ99" s="241">
        <f>IF(BH99="","",SUMIFS(rGasto,rFecha,BH99,rGrupo,"?*"))</f>
        <v/>
      </c>
      <c r="BK99" s="241">
        <f>IF(BH99="","",SUMIFS(rGasto,rFecha,BH99,rGrupo,gCP))</f>
        <v/>
      </c>
      <c r="BL99" s="241">
        <f>IF(BH99="",-1E+12-93,N(BJ99)+(400-93)/1E+7)</f>
        <v/>
      </c>
    </row>
    <row r="100">
      <c r="K100" s="241">
        <f>INDEX(catCat,94)&amp;""</f>
        <v/>
      </c>
      <c r="L100" s="241">
        <f>INDEX(catSub,94)&amp;""</f>
        <v/>
      </c>
      <c r="M100" s="241">
        <f>IF(OR(K100="",L100="",INDEX(catTipo,94)&amp;""&lt;&gt;"Gasto"),"",IF(AND(critCat&lt;&gt;"&lt;&gt;@@@",K100&lt;&gt;critCat),0,SUMIFS(rGasto,rCat,K100,rSub,L100,rFecha,"&gt;="&amp;pIni,rFecha,"&lt;="&amp;pFin,rCtaE,critCta)))</f>
        <v/>
      </c>
      <c r="N100" s="241">
        <f>IF(M100="","",IF(AND(critCat&lt;&gt;"&lt;&gt;@@@",K100&lt;&gt;critCat),0,COUNTIFS(rCat,K100,rSub,L100,rTipoE,"Gasto",rFecha,"&gt;="&amp;pIni,rFecha,"&lt;="&amp;pFin,rCtaE,critCta)))</f>
        <v/>
      </c>
      <c r="O100" s="241">
        <f>IF(M100="",-1E+12-94,N(M100)+(201-94)/1E+7)</f>
        <v/>
      </c>
      <c r="P100" s="241">
        <f>L100&amp;" · "&amp;K100</f>
        <v/>
      </c>
      <c r="R100" s="241" t="n">
        <v>94</v>
      </c>
      <c r="S100" s="241">
        <f>IFERROR(INDEX(rCom,MATCH(94,rComIdx,0))&amp;"","")</f>
        <v/>
      </c>
      <c r="T100" s="241">
        <f>IF(S100="","",SUMIFS(rGasto,rCom,S100,rFecha,"&gt;="&amp;pIni,rFecha,"&lt;="&amp;pFin,rCat,critCat,rCtaE,critCta))</f>
        <v/>
      </c>
      <c r="U100" s="241">
        <f>IF(S100="","",COUNTIFS(rCom,S100,rTipoE,"Gasto",rFecha,"&gt;="&amp;pIni,rFecha,"&lt;="&amp;pFin,rCat,critCat,rCtaE,critCta))</f>
        <v/>
      </c>
      <c r="V100" s="241">
        <f>IF(S100="",-1E+12-94,N(T100)+(301-94)/1E+7)</f>
        <v/>
      </c>
      <c r="W100" s="241">
        <f>IF(S100="","",SUMIFS(rGasto,rCom,S100,rHorm,1,rFecha,"&gt;="&amp;pIni,rFecha,"&lt;="&amp;pFin))</f>
        <v/>
      </c>
      <c r="X100" s="241">
        <f>IF(S100="","",COUNTIFS(rCom,S100,rHorm,1,rFecha,"&gt;="&amp;pIni,rFecha,"&lt;="&amp;pFin))</f>
        <v/>
      </c>
      <c r="Y100" s="241">
        <f>IF(S100="",-1E+12-94,N(W100)+(301-94)/1E+7)</f>
        <v/>
      </c>
      <c r="BG100" s="241" t="n">
        <v>94</v>
      </c>
      <c r="BH100" s="246">
        <f>IF(calIni+93&lt;=pFinEff,calIni+93,"")</f>
        <v/>
      </c>
      <c r="BI100" s="241">
        <f>IF(BH100="","",WEEKDAY(BH100,2))</f>
        <v/>
      </c>
      <c r="BJ100" s="241">
        <f>IF(BH100="","",SUMIFS(rGasto,rFecha,BH100,rGrupo,"?*"))</f>
        <v/>
      </c>
      <c r="BK100" s="241">
        <f>IF(BH100="","",SUMIFS(rGasto,rFecha,BH100,rGrupo,gCP))</f>
        <v/>
      </c>
      <c r="BL100" s="241">
        <f>IF(BH100="",-1E+12-94,N(BJ100)+(400-94)/1E+7)</f>
        <v/>
      </c>
    </row>
    <row r="101">
      <c r="K101" s="241">
        <f>INDEX(catCat,95)&amp;""</f>
        <v/>
      </c>
      <c r="L101" s="241">
        <f>INDEX(catSub,95)&amp;""</f>
        <v/>
      </c>
      <c r="M101" s="241">
        <f>IF(OR(K101="",L101="",INDEX(catTipo,95)&amp;""&lt;&gt;"Gasto"),"",IF(AND(critCat&lt;&gt;"&lt;&gt;@@@",K101&lt;&gt;critCat),0,SUMIFS(rGasto,rCat,K101,rSub,L101,rFecha,"&gt;="&amp;pIni,rFecha,"&lt;="&amp;pFin,rCtaE,critCta)))</f>
        <v/>
      </c>
      <c r="N101" s="241">
        <f>IF(M101="","",IF(AND(critCat&lt;&gt;"&lt;&gt;@@@",K101&lt;&gt;critCat),0,COUNTIFS(rCat,K101,rSub,L101,rTipoE,"Gasto",rFecha,"&gt;="&amp;pIni,rFecha,"&lt;="&amp;pFin,rCtaE,critCta)))</f>
        <v/>
      </c>
      <c r="O101" s="241">
        <f>IF(M101="",-1E+12-95,N(M101)+(201-95)/1E+7)</f>
        <v/>
      </c>
      <c r="P101" s="241">
        <f>L101&amp;" · "&amp;K101</f>
        <v/>
      </c>
      <c r="R101" s="241" t="n">
        <v>95</v>
      </c>
      <c r="S101" s="241">
        <f>IFERROR(INDEX(rCom,MATCH(95,rComIdx,0))&amp;"","")</f>
        <v/>
      </c>
      <c r="T101" s="241">
        <f>IF(S101="","",SUMIFS(rGasto,rCom,S101,rFecha,"&gt;="&amp;pIni,rFecha,"&lt;="&amp;pFin,rCat,critCat,rCtaE,critCta))</f>
        <v/>
      </c>
      <c r="U101" s="241">
        <f>IF(S101="","",COUNTIFS(rCom,S101,rTipoE,"Gasto",rFecha,"&gt;="&amp;pIni,rFecha,"&lt;="&amp;pFin,rCat,critCat,rCtaE,critCta))</f>
        <v/>
      </c>
      <c r="V101" s="241">
        <f>IF(S101="",-1E+12-95,N(T101)+(301-95)/1E+7)</f>
        <v/>
      </c>
      <c r="W101" s="241">
        <f>IF(S101="","",SUMIFS(rGasto,rCom,S101,rHorm,1,rFecha,"&gt;="&amp;pIni,rFecha,"&lt;="&amp;pFin))</f>
        <v/>
      </c>
      <c r="X101" s="241">
        <f>IF(S101="","",COUNTIFS(rCom,S101,rHorm,1,rFecha,"&gt;="&amp;pIni,rFecha,"&lt;="&amp;pFin))</f>
        <v/>
      </c>
      <c r="Y101" s="241">
        <f>IF(S101="",-1E+12-95,N(W101)+(301-95)/1E+7)</f>
        <v/>
      </c>
      <c r="BG101" s="241" t="n">
        <v>95</v>
      </c>
      <c r="BH101" s="246">
        <f>IF(calIni+94&lt;=pFinEff,calIni+94,"")</f>
        <v/>
      </c>
      <c r="BI101" s="241">
        <f>IF(BH101="","",WEEKDAY(BH101,2))</f>
        <v/>
      </c>
      <c r="BJ101" s="241">
        <f>IF(BH101="","",SUMIFS(rGasto,rFecha,BH101,rGrupo,"?*"))</f>
        <v/>
      </c>
      <c r="BK101" s="241">
        <f>IF(BH101="","",SUMIFS(rGasto,rFecha,BH101,rGrupo,gCP))</f>
        <v/>
      </c>
      <c r="BL101" s="241">
        <f>IF(BH101="",-1E+12-95,N(BJ101)+(400-95)/1E+7)</f>
        <v/>
      </c>
    </row>
    <row r="102">
      <c r="K102" s="241">
        <f>INDEX(catCat,96)&amp;""</f>
        <v/>
      </c>
      <c r="L102" s="241">
        <f>INDEX(catSub,96)&amp;""</f>
        <v/>
      </c>
      <c r="M102" s="241">
        <f>IF(OR(K102="",L102="",INDEX(catTipo,96)&amp;""&lt;&gt;"Gasto"),"",IF(AND(critCat&lt;&gt;"&lt;&gt;@@@",K102&lt;&gt;critCat),0,SUMIFS(rGasto,rCat,K102,rSub,L102,rFecha,"&gt;="&amp;pIni,rFecha,"&lt;="&amp;pFin,rCtaE,critCta)))</f>
        <v/>
      </c>
      <c r="N102" s="241">
        <f>IF(M102="","",IF(AND(critCat&lt;&gt;"&lt;&gt;@@@",K102&lt;&gt;critCat),0,COUNTIFS(rCat,K102,rSub,L102,rTipoE,"Gasto",rFecha,"&gt;="&amp;pIni,rFecha,"&lt;="&amp;pFin,rCtaE,critCta)))</f>
        <v/>
      </c>
      <c r="O102" s="241">
        <f>IF(M102="",-1E+12-96,N(M102)+(201-96)/1E+7)</f>
        <v/>
      </c>
      <c r="P102" s="241">
        <f>L102&amp;" · "&amp;K102</f>
        <v/>
      </c>
      <c r="R102" s="241" t="n">
        <v>96</v>
      </c>
      <c r="S102" s="241">
        <f>IFERROR(INDEX(rCom,MATCH(96,rComIdx,0))&amp;"","")</f>
        <v/>
      </c>
      <c r="T102" s="241">
        <f>IF(S102="","",SUMIFS(rGasto,rCom,S102,rFecha,"&gt;="&amp;pIni,rFecha,"&lt;="&amp;pFin,rCat,critCat,rCtaE,critCta))</f>
        <v/>
      </c>
      <c r="U102" s="241">
        <f>IF(S102="","",COUNTIFS(rCom,S102,rTipoE,"Gasto",rFecha,"&gt;="&amp;pIni,rFecha,"&lt;="&amp;pFin,rCat,critCat,rCtaE,critCta))</f>
        <v/>
      </c>
      <c r="V102" s="241">
        <f>IF(S102="",-1E+12-96,N(T102)+(301-96)/1E+7)</f>
        <v/>
      </c>
      <c r="W102" s="241">
        <f>IF(S102="","",SUMIFS(rGasto,rCom,S102,rHorm,1,rFecha,"&gt;="&amp;pIni,rFecha,"&lt;="&amp;pFin))</f>
        <v/>
      </c>
      <c r="X102" s="241">
        <f>IF(S102="","",COUNTIFS(rCom,S102,rHorm,1,rFecha,"&gt;="&amp;pIni,rFecha,"&lt;="&amp;pFin))</f>
        <v/>
      </c>
      <c r="Y102" s="241">
        <f>IF(S102="",-1E+12-96,N(W102)+(301-96)/1E+7)</f>
        <v/>
      </c>
      <c r="BG102" s="241" t="n">
        <v>96</v>
      </c>
      <c r="BH102" s="246">
        <f>IF(calIni+95&lt;=pFinEff,calIni+95,"")</f>
        <v/>
      </c>
      <c r="BI102" s="241">
        <f>IF(BH102="","",WEEKDAY(BH102,2))</f>
        <v/>
      </c>
      <c r="BJ102" s="241">
        <f>IF(BH102="","",SUMIFS(rGasto,rFecha,BH102,rGrupo,"?*"))</f>
        <v/>
      </c>
      <c r="BK102" s="241">
        <f>IF(BH102="","",SUMIFS(rGasto,rFecha,BH102,rGrupo,gCP))</f>
        <v/>
      </c>
      <c r="BL102" s="241">
        <f>IF(BH102="",-1E+12-96,N(BJ102)+(400-96)/1E+7)</f>
        <v/>
      </c>
    </row>
    <row r="103">
      <c r="K103" s="241">
        <f>INDEX(catCat,97)&amp;""</f>
        <v/>
      </c>
      <c r="L103" s="241">
        <f>INDEX(catSub,97)&amp;""</f>
        <v/>
      </c>
      <c r="M103" s="241">
        <f>IF(OR(K103="",L103="",INDEX(catTipo,97)&amp;""&lt;&gt;"Gasto"),"",IF(AND(critCat&lt;&gt;"&lt;&gt;@@@",K103&lt;&gt;critCat),0,SUMIFS(rGasto,rCat,K103,rSub,L103,rFecha,"&gt;="&amp;pIni,rFecha,"&lt;="&amp;pFin,rCtaE,critCta)))</f>
        <v/>
      </c>
      <c r="N103" s="241">
        <f>IF(M103="","",IF(AND(critCat&lt;&gt;"&lt;&gt;@@@",K103&lt;&gt;critCat),0,COUNTIFS(rCat,K103,rSub,L103,rTipoE,"Gasto",rFecha,"&gt;="&amp;pIni,rFecha,"&lt;="&amp;pFin,rCtaE,critCta)))</f>
        <v/>
      </c>
      <c r="O103" s="241">
        <f>IF(M103="",-1E+12-97,N(M103)+(201-97)/1E+7)</f>
        <v/>
      </c>
      <c r="P103" s="241">
        <f>L103&amp;" · "&amp;K103</f>
        <v/>
      </c>
      <c r="R103" s="241" t="n">
        <v>97</v>
      </c>
      <c r="S103" s="241">
        <f>IFERROR(INDEX(rCom,MATCH(97,rComIdx,0))&amp;"","")</f>
        <v/>
      </c>
      <c r="T103" s="241">
        <f>IF(S103="","",SUMIFS(rGasto,rCom,S103,rFecha,"&gt;="&amp;pIni,rFecha,"&lt;="&amp;pFin,rCat,critCat,rCtaE,critCta))</f>
        <v/>
      </c>
      <c r="U103" s="241">
        <f>IF(S103="","",COUNTIFS(rCom,S103,rTipoE,"Gasto",rFecha,"&gt;="&amp;pIni,rFecha,"&lt;="&amp;pFin,rCat,critCat,rCtaE,critCta))</f>
        <v/>
      </c>
      <c r="V103" s="241">
        <f>IF(S103="",-1E+12-97,N(T103)+(301-97)/1E+7)</f>
        <v/>
      </c>
      <c r="W103" s="241">
        <f>IF(S103="","",SUMIFS(rGasto,rCom,S103,rHorm,1,rFecha,"&gt;="&amp;pIni,rFecha,"&lt;="&amp;pFin))</f>
        <v/>
      </c>
      <c r="X103" s="241">
        <f>IF(S103="","",COUNTIFS(rCom,S103,rHorm,1,rFecha,"&gt;="&amp;pIni,rFecha,"&lt;="&amp;pFin))</f>
        <v/>
      </c>
      <c r="Y103" s="241">
        <f>IF(S103="",-1E+12-97,N(W103)+(301-97)/1E+7)</f>
        <v/>
      </c>
      <c r="BG103" s="241" t="n">
        <v>97</v>
      </c>
      <c r="BH103" s="246">
        <f>IF(calIni+96&lt;=pFinEff,calIni+96,"")</f>
        <v/>
      </c>
      <c r="BI103" s="241">
        <f>IF(BH103="","",WEEKDAY(BH103,2))</f>
        <v/>
      </c>
      <c r="BJ103" s="241">
        <f>IF(BH103="","",SUMIFS(rGasto,rFecha,BH103,rGrupo,"?*"))</f>
        <v/>
      </c>
      <c r="BK103" s="241">
        <f>IF(BH103="","",SUMIFS(rGasto,rFecha,BH103,rGrupo,gCP))</f>
        <v/>
      </c>
      <c r="BL103" s="241">
        <f>IF(BH103="",-1E+12-97,N(BJ103)+(400-97)/1E+7)</f>
        <v/>
      </c>
    </row>
    <row r="104">
      <c r="K104" s="241">
        <f>INDEX(catCat,98)&amp;""</f>
        <v/>
      </c>
      <c r="L104" s="241">
        <f>INDEX(catSub,98)&amp;""</f>
        <v/>
      </c>
      <c r="M104" s="241">
        <f>IF(OR(K104="",L104="",INDEX(catTipo,98)&amp;""&lt;&gt;"Gasto"),"",IF(AND(critCat&lt;&gt;"&lt;&gt;@@@",K104&lt;&gt;critCat),0,SUMIFS(rGasto,rCat,K104,rSub,L104,rFecha,"&gt;="&amp;pIni,rFecha,"&lt;="&amp;pFin,rCtaE,critCta)))</f>
        <v/>
      </c>
      <c r="N104" s="241">
        <f>IF(M104="","",IF(AND(critCat&lt;&gt;"&lt;&gt;@@@",K104&lt;&gt;critCat),0,COUNTIFS(rCat,K104,rSub,L104,rTipoE,"Gasto",rFecha,"&gt;="&amp;pIni,rFecha,"&lt;="&amp;pFin,rCtaE,critCta)))</f>
        <v/>
      </c>
      <c r="O104" s="241">
        <f>IF(M104="",-1E+12-98,N(M104)+(201-98)/1E+7)</f>
        <v/>
      </c>
      <c r="P104" s="241">
        <f>L104&amp;" · "&amp;K104</f>
        <v/>
      </c>
      <c r="R104" s="241" t="n">
        <v>98</v>
      </c>
      <c r="S104" s="241">
        <f>IFERROR(INDEX(rCom,MATCH(98,rComIdx,0))&amp;"","")</f>
        <v/>
      </c>
      <c r="T104" s="241">
        <f>IF(S104="","",SUMIFS(rGasto,rCom,S104,rFecha,"&gt;="&amp;pIni,rFecha,"&lt;="&amp;pFin,rCat,critCat,rCtaE,critCta))</f>
        <v/>
      </c>
      <c r="U104" s="241">
        <f>IF(S104="","",COUNTIFS(rCom,S104,rTipoE,"Gasto",rFecha,"&gt;="&amp;pIni,rFecha,"&lt;="&amp;pFin,rCat,critCat,rCtaE,critCta))</f>
        <v/>
      </c>
      <c r="V104" s="241">
        <f>IF(S104="",-1E+12-98,N(T104)+(301-98)/1E+7)</f>
        <v/>
      </c>
      <c r="W104" s="241">
        <f>IF(S104="","",SUMIFS(rGasto,rCom,S104,rHorm,1,rFecha,"&gt;="&amp;pIni,rFecha,"&lt;="&amp;pFin))</f>
        <v/>
      </c>
      <c r="X104" s="241">
        <f>IF(S104="","",COUNTIFS(rCom,S104,rHorm,1,rFecha,"&gt;="&amp;pIni,rFecha,"&lt;="&amp;pFin))</f>
        <v/>
      </c>
      <c r="Y104" s="241">
        <f>IF(S104="",-1E+12-98,N(W104)+(301-98)/1E+7)</f>
        <v/>
      </c>
      <c r="BG104" s="241" t="n">
        <v>98</v>
      </c>
      <c r="BH104" s="246">
        <f>IF(calIni+97&lt;=pFinEff,calIni+97,"")</f>
        <v/>
      </c>
      <c r="BI104" s="241">
        <f>IF(BH104="","",WEEKDAY(BH104,2))</f>
        <v/>
      </c>
      <c r="BJ104" s="241">
        <f>IF(BH104="","",SUMIFS(rGasto,rFecha,BH104,rGrupo,"?*"))</f>
        <v/>
      </c>
      <c r="BK104" s="241">
        <f>IF(BH104="","",SUMIFS(rGasto,rFecha,BH104,rGrupo,gCP))</f>
        <v/>
      </c>
      <c r="BL104" s="241">
        <f>IF(BH104="",-1E+12-98,N(BJ104)+(400-98)/1E+7)</f>
        <v/>
      </c>
    </row>
    <row r="105">
      <c r="K105" s="241">
        <f>INDEX(catCat,99)&amp;""</f>
        <v/>
      </c>
      <c r="L105" s="241">
        <f>INDEX(catSub,99)&amp;""</f>
        <v/>
      </c>
      <c r="M105" s="241">
        <f>IF(OR(K105="",L105="",INDEX(catTipo,99)&amp;""&lt;&gt;"Gasto"),"",IF(AND(critCat&lt;&gt;"&lt;&gt;@@@",K105&lt;&gt;critCat),0,SUMIFS(rGasto,rCat,K105,rSub,L105,rFecha,"&gt;="&amp;pIni,rFecha,"&lt;="&amp;pFin,rCtaE,critCta)))</f>
        <v/>
      </c>
      <c r="N105" s="241">
        <f>IF(M105="","",IF(AND(critCat&lt;&gt;"&lt;&gt;@@@",K105&lt;&gt;critCat),0,COUNTIFS(rCat,K105,rSub,L105,rTipoE,"Gasto",rFecha,"&gt;="&amp;pIni,rFecha,"&lt;="&amp;pFin,rCtaE,critCta)))</f>
        <v/>
      </c>
      <c r="O105" s="241">
        <f>IF(M105="",-1E+12-99,N(M105)+(201-99)/1E+7)</f>
        <v/>
      </c>
      <c r="P105" s="241">
        <f>L105&amp;" · "&amp;K105</f>
        <v/>
      </c>
      <c r="R105" s="241" t="n">
        <v>99</v>
      </c>
      <c r="S105" s="241">
        <f>IFERROR(INDEX(rCom,MATCH(99,rComIdx,0))&amp;"","")</f>
        <v/>
      </c>
      <c r="T105" s="241">
        <f>IF(S105="","",SUMIFS(rGasto,rCom,S105,rFecha,"&gt;="&amp;pIni,rFecha,"&lt;="&amp;pFin,rCat,critCat,rCtaE,critCta))</f>
        <v/>
      </c>
      <c r="U105" s="241">
        <f>IF(S105="","",COUNTIFS(rCom,S105,rTipoE,"Gasto",rFecha,"&gt;="&amp;pIni,rFecha,"&lt;="&amp;pFin,rCat,critCat,rCtaE,critCta))</f>
        <v/>
      </c>
      <c r="V105" s="241">
        <f>IF(S105="",-1E+12-99,N(T105)+(301-99)/1E+7)</f>
        <v/>
      </c>
      <c r="W105" s="241">
        <f>IF(S105="","",SUMIFS(rGasto,rCom,S105,rHorm,1,rFecha,"&gt;="&amp;pIni,rFecha,"&lt;="&amp;pFin))</f>
        <v/>
      </c>
      <c r="X105" s="241">
        <f>IF(S105="","",COUNTIFS(rCom,S105,rHorm,1,rFecha,"&gt;="&amp;pIni,rFecha,"&lt;="&amp;pFin))</f>
        <v/>
      </c>
      <c r="Y105" s="241">
        <f>IF(S105="",-1E+12-99,N(W105)+(301-99)/1E+7)</f>
        <v/>
      </c>
      <c r="BG105" s="241" t="n">
        <v>99</v>
      </c>
      <c r="BH105" s="246">
        <f>IF(calIni+98&lt;=pFinEff,calIni+98,"")</f>
        <v/>
      </c>
      <c r="BI105" s="241">
        <f>IF(BH105="","",WEEKDAY(BH105,2))</f>
        <v/>
      </c>
      <c r="BJ105" s="241">
        <f>IF(BH105="","",SUMIFS(rGasto,rFecha,BH105,rGrupo,"?*"))</f>
        <v/>
      </c>
      <c r="BK105" s="241">
        <f>IF(BH105="","",SUMIFS(rGasto,rFecha,BH105,rGrupo,gCP))</f>
        <v/>
      </c>
      <c r="BL105" s="241">
        <f>IF(BH105="",-1E+12-99,N(BJ105)+(400-99)/1E+7)</f>
        <v/>
      </c>
    </row>
    <row r="106">
      <c r="K106" s="241">
        <f>INDEX(catCat,100)&amp;""</f>
        <v/>
      </c>
      <c r="L106" s="241">
        <f>INDEX(catSub,100)&amp;""</f>
        <v/>
      </c>
      <c r="M106" s="241">
        <f>IF(OR(K106="",L106="",INDEX(catTipo,100)&amp;""&lt;&gt;"Gasto"),"",IF(AND(critCat&lt;&gt;"&lt;&gt;@@@",K106&lt;&gt;critCat),0,SUMIFS(rGasto,rCat,K106,rSub,L106,rFecha,"&gt;="&amp;pIni,rFecha,"&lt;="&amp;pFin,rCtaE,critCta)))</f>
        <v/>
      </c>
      <c r="N106" s="241">
        <f>IF(M106="","",IF(AND(critCat&lt;&gt;"&lt;&gt;@@@",K106&lt;&gt;critCat),0,COUNTIFS(rCat,K106,rSub,L106,rTipoE,"Gasto",rFecha,"&gt;="&amp;pIni,rFecha,"&lt;="&amp;pFin,rCtaE,critCta)))</f>
        <v/>
      </c>
      <c r="O106" s="241">
        <f>IF(M106="",-1E+12-100,N(M106)+(201-100)/1E+7)</f>
        <v/>
      </c>
      <c r="P106" s="241">
        <f>L106&amp;" · "&amp;K106</f>
        <v/>
      </c>
      <c r="R106" s="241" t="n">
        <v>100</v>
      </c>
      <c r="S106" s="241">
        <f>IFERROR(INDEX(rCom,MATCH(100,rComIdx,0))&amp;"","")</f>
        <v/>
      </c>
      <c r="T106" s="241">
        <f>IF(S106="","",SUMIFS(rGasto,rCom,S106,rFecha,"&gt;="&amp;pIni,rFecha,"&lt;="&amp;pFin,rCat,critCat,rCtaE,critCta))</f>
        <v/>
      </c>
      <c r="U106" s="241">
        <f>IF(S106="","",COUNTIFS(rCom,S106,rTipoE,"Gasto",rFecha,"&gt;="&amp;pIni,rFecha,"&lt;="&amp;pFin,rCat,critCat,rCtaE,critCta))</f>
        <v/>
      </c>
      <c r="V106" s="241">
        <f>IF(S106="",-1E+12-100,N(T106)+(301-100)/1E+7)</f>
        <v/>
      </c>
      <c r="W106" s="241">
        <f>IF(S106="","",SUMIFS(rGasto,rCom,S106,rHorm,1,rFecha,"&gt;="&amp;pIni,rFecha,"&lt;="&amp;pFin))</f>
        <v/>
      </c>
      <c r="X106" s="241">
        <f>IF(S106="","",COUNTIFS(rCom,S106,rHorm,1,rFecha,"&gt;="&amp;pIni,rFecha,"&lt;="&amp;pFin))</f>
        <v/>
      </c>
      <c r="Y106" s="241">
        <f>IF(S106="",-1E+12-100,N(W106)+(301-100)/1E+7)</f>
        <v/>
      </c>
      <c r="BG106" s="241" t="n">
        <v>100</v>
      </c>
      <c r="BH106" s="246">
        <f>IF(calIni+99&lt;=pFinEff,calIni+99,"")</f>
        <v/>
      </c>
      <c r="BI106" s="241">
        <f>IF(BH106="","",WEEKDAY(BH106,2))</f>
        <v/>
      </c>
      <c r="BJ106" s="241">
        <f>IF(BH106="","",SUMIFS(rGasto,rFecha,BH106,rGrupo,"?*"))</f>
        <v/>
      </c>
      <c r="BK106" s="241">
        <f>IF(BH106="","",SUMIFS(rGasto,rFecha,BH106,rGrupo,gCP))</f>
        <v/>
      </c>
      <c r="BL106" s="241">
        <f>IF(BH106="",-1E+12-100,N(BJ106)+(400-100)/1E+7)</f>
        <v/>
      </c>
    </row>
    <row r="107">
      <c r="K107" s="241">
        <f>INDEX(catCat,101)&amp;""</f>
        <v/>
      </c>
      <c r="L107" s="241">
        <f>INDEX(catSub,101)&amp;""</f>
        <v/>
      </c>
      <c r="M107" s="241">
        <f>IF(OR(K107="",L107="",INDEX(catTipo,101)&amp;""&lt;&gt;"Gasto"),"",IF(AND(critCat&lt;&gt;"&lt;&gt;@@@",K107&lt;&gt;critCat),0,SUMIFS(rGasto,rCat,K107,rSub,L107,rFecha,"&gt;="&amp;pIni,rFecha,"&lt;="&amp;pFin,rCtaE,critCta)))</f>
        <v/>
      </c>
      <c r="N107" s="241">
        <f>IF(M107="","",IF(AND(critCat&lt;&gt;"&lt;&gt;@@@",K107&lt;&gt;critCat),0,COUNTIFS(rCat,K107,rSub,L107,rTipoE,"Gasto",rFecha,"&gt;="&amp;pIni,rFecha,"&lt;="&amp;pFin,rCtaE,critCta)))</f>
        <v/>
      </c>
      <c r="O107" s="241">
        <f>IF(M107="",-1E+12-101,N(M107)+(201-101)/1E+7)</f>
        <v/>
      </c>
      <c r="P107" s="241">
        <f>L107&amp;" · "&amp;K107</f>
        <v/>
      </c>
      <c r="R107" s="241" t="n">
        <v>101</v>
      </c>
      <c r="S107" s="241">
        <f>IFERROR(INDEX(rCom,MATCH(101,rComIdx,0))&amp;"","")</f>
        <v/>
      </c>
      <c r="T107" s="241">
        <f>IF(S107="","",SUMIFS(rGasto,rCom,S107,rFecha,"&gt;="&amp;pIni,rFecha,"&lt;="&amp;pFin,rCat,critCat,rCtaE,critCta))</f>
        <v/>
      </c>
      <c r="U107" s="241">
        <f>IF(S107="","",COUNTIFS(rCom,S107,rTipoE,"Gasto",rFecha,"&gt;="&amp;pIni,rFecha,"&lt;="&amp;pFin,rCat,critCat,rCtaE,critCta))</f>
        <v/>
      </c>
      <c r="V107" s="241">
        <f>IF(S107="",-1E+12-101,N(T107)+(301-101)/1E+7)</f>
        <v/>
      </c>
      <c r="W107" s="241">
        <f>IF(S107="","",SUMIFS(rGasto,rCom,S107,rHorm,1,rFecha,"&gt;="&amp;pIni,rFecha,"&lt;="&amp;pFin))</f>
        <v/>
      </c>
      <c r="X107" s="241">
        <f>IF(S107="","",COUNTIFS(rCom,S107,rHorm,1,rFecha,"&gt;="&amp;pIni,rFecha,"&lt;="&amp;pFin))</f>
        <v/>
      </c>
      <c r="Y107" s="241">
        <f>IF(S107="",-1E+12-101,N(W107)+(301-101)/1E+7)</f>
        <v/>
      </c>
      <c r="BG107" s="241" t="n">
        <v>101</v>
      </c>
      <c r="BH107" s="246">
        <f>IF(calIni+100&lt;=pFinEff,calIni+100,"")</f>
        <v/>
      </c>
      <c r="BI107" s="241">
        <f>IF(BH107="","",WEEKDAY(BH107,2))</f>
        <v/>
      </c>
      <c r="BJ107" s="241">
        <f>IF(BH107="","",SUMIFS(rGasto,rFecha,BH107,rGrupo,"?*"))</f>
        <v/>
      </c>
      <c r="BK107" s="241">
        <f>IF(BH107="","",SUMIFS(rGasto,rFecha,BH107,rGrupo,gCP))</f>
        <v/>
      </c>
      <c r="BL107" s="241">
        <f>IF(BH107="",-1E+12-101,N(BJ107)+(400-101)/1E+7)</f>
        <v/>
      </c>
    </row>
    <row r="108">
      <c r="K108" s="241">
        <f>INDEX(catCat,102)&amp;""</f>
        <v/>
      </c>
      <c r="L108" s="241">
        <f>INDEX(catSub,102)&amp;""</f>
        <v/>
      </c>
      <c r="M108" s="241">
        <f>IF(OR(K108="",L108="",INDEX(catTipo,102)&amp;""&lt;&gt;"Gasto"),"",IF(AND(critCat&lt;&gt;"&lt;&gt;@@@",K108&lt;&gt;critCat),0,SUMIFS(rGasto,rCat,K108,rSub,L108,rFecha,"&gt;="&amp;pIni,rFecha,"&lt;="&amp;pFin,rCtaE,critCta)))</f>
        <v/>
      </c>
      <c r="N108" s="241">
        <f>IF(M108="","",IF(AND(critCat&lt;&gt;"&lt;&gt;@@@",K108&lt;&gt;critCat),0,COUNTIFS(rCat,K108,rSub,L108,rTipoE,"Gasto",rFecha,"&gt;="&amp;pIni,rFecha,"&lt;="&amp;pFin,rCtaE,critCta)))</f>
        <v/>
      </c>
      <c r="O108" s="241">
        <f>IF(M108="",-1E+12-102,N(M108)+(201-102)/1E+7)</f>
        <v/>
      </c>
      <c r="P108" s="241">
        <f>L108&amp;" · "&amp;K108</f>
        <v/>
      </c>
      <c r="R108" s="241" t="n">
        <v>102</v>
      </c>
      <c r="S108" s="241">
        <f>IFERROR(INDEX(rCom,MATCH(102,rComIdx,0))&amp;"","")</f>
        <v/>
      </c>
      <c r="T108" s="241">
        <f>IF(S108="","",SUMIFS(rGasto,rCom,S108,rFecha,"&gt;="&amp;pIni,rFecha,"&lt;="&amp;pFin,rCat,critCat,rCtaE,critCta))</f>
        <v/>
      </c>
      <c r="U108" s="241">
        <f>IF(S108="","",COUNTIFS(rCom,S108,rTipoE,"Gasto",rFecha,"&gt;="&amp;pIni,rFecha,"&lt;="&amp;pFin,rCat,critCat,rCtaE,critCta))</f>
        <v/>
      </c>
      <c r="V108" s="241">
        <f>IF(S108="",-1E+12-102,N(T108)+(301-102)/1E+7)</f>
        <v/>
      </c>
      <c r="W108" s="241">
        <f>IF(S108="","",SUMIFS(rGasto,rCom,S108,rHorm,1,rFecha,"&gt;="&amp;pIni,rFecha,"&lt;="&amp;pFin))</f>
        <v/>
      </c>
      <c r="X108" s="241">
        <f>IF(S108="","",COUNTIFS(rCom,S108,rHorm,1,rFecha,"&gt;="&amp;pIni,rFecha,"&lt;="&amp;pFin))</f>
        <v/>
      </c>
      <c r="Y108" s="241">
        <f>IF(S108="",-1E+12-102,N(W108)+(301-102)/1E+7)</f>
        <v/>
      </c>
      <c r="BG108" s="241" t="n">
        <v>102</v>
      </c>
      <c r="BH108" s="246">
        <f>IF(calIni+101&lt;=pFinEff,calIni+101,"")</f>
        <v/>
      </c>
      <c r="BI108" s="241">
        <f>IF(BH108="","",WEEKDAY(BH108,2))</f>
        <v/>
      </c>
      <c r="BJ108" s="241">
        <f>IF(BH108="","",SUMIFS(rGasto,rFecha,BH108,rGrupo,"?*"))</f>
        <v/>
      </c>
      <c r="BK108" s="241">
        <f>IF(BH108="","",SUMIFS(rGasto,rFecha,BH108,rGrupo,gCP))</f>
        <v/>
      </c>
      <c r="BL108" s="241">
        <f>IF(BH108="",-1E+12-102,N(BJ108)+(400-102)/1E+7)</f>
        <v/>
      </c>
    </row>
    <row r="109">
      <c r="K109" s="241">
        <f>INDEX(catCat,103)&amp;""</f>
        <v/>
      </c>
      <c r="L109" s="241">
        <f>INDEX(catSub,103)&amp;""</f>
        <v/>
      </c>
      <c r="M109" s="241">
        <f>IF(OR(K109="",L109="",INDEX(catTipo,103)&amp;""&lt;&gt;"Gasto"),"",IF(AND(critCat&lt;&gt;"&lt;&gt;@@@",K109&lt;&gt;critCat),0,SUMIFS(rGasto,rCat,K109,rSub,L109,rFecha,"&gt;="&amp;pIni,rFecha,"&lt;="&amp;pFin,rCtaE,critCta)))</f>
        <v/>
      </c>
      <c r="N109" s="241">
        <f>IF(M109="","",IF(AND(critCat&lt;&gt;"&lt;&gt;@@@",K109&lt;&gt;critCat),0,COUNTIFS(rCat,K109,rSub,L109,rTipoE,"Gasto",rFecha,"&gt;="&amp;pIni,rFecha,"&lt;="&amp;pFin,rCtaE,critCta)))</f>
        <v/>
      </c>
      <c r="O109" s="241">
        <f>IF(M109="",-1E+12-103,N(M109)+(201-103)/1E+7)</f>
        <v/>
      </c>
      <c r="P109" s="241">
        <f>L109&amp;" · "&amp;K109</f>
        <v/>
      </c>
      <c r="R109" s="241" t="n">
        <v>103</v>
      </c>
      <c r="S109" s="241">
        <f>IFERROR(INDEX(rCom,MATCH(103,rComIdx,0))&amp;"","")</f>
        <v/>
      </c>
      <c r="T109" s="241">
        <f>IF(S109="","",SUMIFS(rGasto,rCom,S109,rFecha,"&gt;="&amp;pIni,rFecha,"&lt;="&amp;pFin,rCat,critCat,rCtaE,critCta))</f>
        <v/>
      </c>
      <c r="U109" s="241">
        <f>IF(S109="","",COUNTIFS(rCom,S109,rTipoE,"Gasto",rFecha,"&gt;="&amp;pIni,rFecha,"&lt;="&amp;pFin,rCat,critCat,rCtaE,critCta))</f>
        <v/>
      </c>
      <c r="V109" s="241">
        <f>IF(S109="",-1E+12-103,N(T109)+(301-103)/1E+7)</f>
        <v/>
      </c>
      <c r="W109" s="241">
        <f>IF(S109="","",SUMIFS(rGasto,rCom,S109,rHorm,1,rFecha,"&gt;="&amp;pIni,rFecha,"&lt;="&amp;pFin))</f>
        <v/>
      </c>
      <c r="X109" s="241">
        <f>IF(S109="","",COUNTIFS(rCom,S109,rHorm,1,rFecha,"&gt;="&amp;pIni,rFecha,"&lt;="&amp;pFin))</f>
        <v/>
      </c>
      <c r="Y109" s="241">
        <f>IF(S109="",-1E+12-103,N(W109)+(301-103)/1E+7)</f>
        <v/>
      </c>
      <c r="BG109" s="241" t="n">
        <v>103</v>
      </c>
      <c r="BH109" s="246">
        <f>IF(calIni+102&lt;=pFinEff,calIni+102,"")</f>
        <v/>
      </c>
      <c r="BI109" s="241">
        <f>IF(BH109="","",WEEKDAY(BH109,2))</f>
        <v/>
      </c>
      <c r="BJ109" s="241">
        <f>IF(BH109="","",SUMIFS(rGasto,rFecha,BH109,rGrupo,"?*"))</f>
        <v/>
      </c>
      <c r="BK109" s="241">
        <f>IF(BH109="","",SUMIFS(rGasto,rFecha,BH109,rGrupo,gCP))</f>
        <v/>
      </c>
      <c r="BL109" s="241">
        <f>IF(BH109="",-1E+12-103,N(BJ109)+(400-103)/1E+7)</f>
        <v/>
      </c>
    </row>
    <row r="110">
      <c r="K110" s="241">
        <f>INDEX(catCat,104)&amp;""</f>
        <v/>
      </c>
      <c r="L110" s="241">
        <f>INDEX(catSub,104)&amp;""</f>
        <v/>
      </c>
      <c r="M110" s="241">
        <f>IF(OR(K110="",L110="",INDEX(catTipo,104)&amp;""&lt;&gt;"Gasto"),"",IF(AND(critCat&lt;&gt;"&lt;&gt;@@@",K110&lt;&gt;critCat),0,SUMIFS(rGasto,rCat,K110,rSub,L110,rFecha,"&gt;="&amp;pIni,rFecha,"&lt;="&amp;pFin,rCtaE,critCta)))</f>
        <v/>
      </c>
      <c r="N110" s="241">
        <f>IF(M110="","",IF(AND(critCat&lt;&gt;"&lt;&gt;@@@",K110&lt;&gt;critCat),0,COUNTIFS(rCat,K110,rSub,L110,rTipoE,"Gasto",rFecha,"&gt;="&amp;pIni,rFecha,"&lt;="&amp;pFin,rCtaE,critCta)))</f>
        <v/>
      </c>
      <c r="O110" s="241">
        <f>IF(M110="",-1E+12-104,N(M110)+(201-104)/1E+7)</f>
        <v/>
      </c>
      <c r="P110" s="241">
        <f>L110&amp;" · "&amp;K110</f>
        <v/>
      </c>
      <c r="R110" s="241" t="n">
        <v>104</v>
      </c>
      <c r="S110" s="241">
        <f>IFERROR(INDEX(rCom,MATCH(104,rComIdx,0))&amp;"","")</f>
        <v/>
      </c>
      <c r="T110" s="241">
        <f>IF(S110="","",SUMIFS(rGasto,rCom,S110,rFecha,"&gt;="&amp;pIni,rFecha,"&lt;="&amp;pFin,rCat,critCat,rCtaE,critCta))</f>
        <v/>
      </c>
      <c r="U110" s="241">
        <f>IF(S110="","",COUNTIFS(rCom,S110,rTipoE,"Gasto",rFecha,"&gt;="&amp;pIni,rFecha,"&lt;="&amp;pFin,rCat,critCat,rCtaE,critCta))</f>
        <v/>
      </c>
      <c r="V110" s="241">
        <f>IF(S110="",-1E+12-104,N(T110)+(301-104)/1E+7)</f>
        <v/>
      </c>
      <c r="W110" s="241">
        <f>IF(S110="","",SUMIFS(rGasto,rCom,S110,rHorm,1,rFecha,"&gt;="&amp;pIni,rFecha,"&lt;="&amp;pFin))</f>
        <v/>
      </c>
      <c r="X110" s="241">
        <f>IF(S110="","",COUNTIFS(rCom,S110,rHorm,1,rFecha,"&gt;="&amp;pIni,rFecha,"&lt;="&amp;pFin))</f>
        <v/>
      </c>
      <c r="Y110" s="241">
        <f>IF(S110="",-1E+12-104,N(W110)+(301-104)/1E+7)</f>
        <v/>
      </c>
      <c r="BG110" s="241" t="n">
        <v>104</v>
      </c>
      <c r="BH110" s="246">
        <f>IF(calIni+103&lt;=pFinEff,calIni+103,"")</f>
        <v/>
      </c>
      <c r="BI110" s="241">
        <f>IF(BH110="","",WEEKDAY(BH110,2))</f>
        <v/>
      </c>
      <c r="BJ110" s="241">
        <f>IF(BH110="","",SUMIFS(rGasto,rFecha,BH110,rGrupo,"?*"))</f>
        <v/>
      </c>
      <c r="BK110" s="241">
        <f>IF(BH110="","",SUMIFS(rGasto,rFecha,BH110,rGrupo,gCP))</f>
        <v/>
      </c>
      <c r="BL110" s="241">
        <f>IF(BH110="",-1E+12-104,N(BJ110)+(400-104)/1E+7)</f>
        <v/>
      </c>
    </row>
    <row r="111">
      <c r="K111" s="241">
        <f>INDEX(catCat,105)&amp;""</f>
        <v/>
      </c>
      <c r="L111" s="241">
        <f>INDEX(catSub,105)&amp;""</f>
        <v/>
      </c>
      <c r="M111" s="241">
        <f>IF(OR(K111="",L111="",INDEX(catTipo,105)&amp;""&lt;&gt;"Gasto"),"",IF(AND(critCat&lt;&gt;"&lt;&gt;@@@",K111&lt;&gt;critCat),0,SUMIFS(rGasto,rCat,K111,rSub,L111,rFecha,"&gt;="&amp;pIni,rFecha,"&lt;="&amp;pFin,rCtaE,critCta)))</f>
        <v/>
      </c>
      <c r="N111" s="241">
        <f>IF(M111="","",IF(AND(critCat&lt;&gt;"&lt;&gt;@@@",K111&lt;&gt;critCat),0,COUNTIFS(rCat,K111,rSub,L111,rTipoE,"Gasto",rFecha,"&gt;="&amp;pIni,rFecha,"&lt;="&amp;pFin,rCtaE,critCta)))</f>
        <v/>
      </c>
      <c r="O111" s="241">
        <f>IF(M111="",-1E+12-105,N(M111)+(201-105)/1E+7)</f>
        <v/>
      </c>
      <c r="P111" s="241">
        <f>L111&amp;" · "&amp;K111</f>
        <v/>
      </c>
      <c r="R111" s="241" t="n">
        <v>105</v>
      </c>
      <c r="S111" s="241">
        <f>IFERROR(INDEX(rCom,MATCH(105,rComIdx,0))&amp;"","")</f>
        <v/>
      </c>
      <c r="T111" s="241">
        <f>IF(S111="","",SUMIFS(rGasto,rCom,S111,rFecha,"&gt;="&amp;pIni,rFecha,"&lt;="&amp;pFin,rCat,critCat,rCtaE,critCta))</f>
        <v/>
      </c>
      <c r="U111" s="241">
        <f>IF(S111="","",COUNTIFS(rCom,S111,rTipoE,"Gasto",rFecha,"&gt;="&amp;pIni,rFecha,"&lt;="&amp;pFin,rCat,critCat,rCtaE,critCta))</f>
        <v/>
      </c>
      <c r="V111" s="241">
        <f>IF(S111="",-1E+12-105,N(T111)+(301-105)/1E+7)</f>
        <v/>
      </c>
      <c r="W111" s="241">
        <f>IF(S111="","",SUMIFS(rGasto,rCom,S111,rHorm,1,rFecha,"&gt;="&amp;pIni,rFecha,"&lt;="&amp;pFin))</f>
        <v/>
      </c>
      <c r="X111" s="241">
        <f>IF(S111="","",COUNTIFS(rCom,S111,rHorm,1,rFecha,"&gt;="&amp;pIni,rFecha,"&lt;="&amp;pFin))</f>
        <v/>
      </c>
      <c r="Y111" s="241">
        <f>IF(S111="",-1E+12-105,N(W111)+(301-105)/1E+7)</f>
        <v/>
      </c>
      <c r="BG111" s="241" t="n">
        <v>105</v>
      </c>
      <c r="BH111" s="246">
        <f>IF(calIni+104&lt;=pFinEff,calIni+104,"")</f>
        <v/>
      </c>
      <c r="BI111" s="241">
        <f>IF(BH111="","",WEEKDAY(BH111,2))</f>
        <v/>
      </c>
      <c r="BJ111" s="241">
        <f>IF(BH111="","",SUMIFS(rGasto,rFecha,BH111,rGrupo,"?*"))</f>
        <v/>
      </c>
      <c r="BK111" s="241">
        <f>IF(BH111="","",SUMIFS(rGasto,rFecha,BH111,rGrupo,gCP))</f>
        <v/>
      </c>
      <c r="BL111" s="241">
        <f>IF(BH111="",-1E+12-105,N(BJ111)+(400-105)/1E+7)</f>
        <v/>
      </c>
    </row>
    <row r="112">
      <c r="K112" s="241">
        <f>INDEX(catCat,106)&amp;""</f>
        <v/>
      </c>
      <c r="L112" s="241">
        <f>INDEX(catSub,106)&amp;""</f>
        <v/>
      </c>
      <c r="M112" s="241">
        <f>IF(OR(K112="",L112="",INDEX(catTipo,106)&amp;""&lt;&gt;"Gasto"),"",IF(AND(critCat&lt;&gt;"&lt;&gt;@@@",K112&lt;&gt;critCat),0,SUMIFS(rGasto,rCat,K112,rSub,L112,rFecha,"&gt;="&amp;pIni,rFecha,"&lt;="&amp;pFin,rCtaE,critCta)))</f>
        <v/>
      </c>
      <c r="N112" s="241">
        <f>IF(M112="","",IF(AND(critCat&lt;&gt;"&lt;&gt;@@@",K112&lt;&gt;critCat),0,COUNTIFS(rCat,K112,rSub,L112,rTipoE,"Gasto",rFecha,"&gt;="&amp;pIni,rFecha,"&lt;="&amp;pFin,rCtaE,critCta)))</f>
        <v/>
      </c>
      <c r="O112" s="241">
        <f>IF(M112="",-1E+12-106,N(M112)+(201-106)/1E+7)</f>
        <v/>
      </c>
      <c r="P112" s="241">
        <f>L112&amp;" · "&amp;K112</f>
        <v/>
      </c>
      <c r="R112" s="241" t="n">
        <v>106</v>
      </c>
      <c r="S112" s="241">
        <f>IFERROR(INDEX(rCom,MATCH(106,rComIdx,0))&amp;"","")</f>
        <v/>
      </c>
      <c r="T112" s="241">
        <f>IF(S112="","",SUMIFS(rGasto,rCom,S112,rFecha,"&gt;="&amp;pIni,rFecha,"&lt;="&amp;pFin,rCat,critCat,rCtaE,critCta))</f>
        <v/>
      </c>
      <c r="U112" s="241">
        <f>IF(S112="","",COUNTIFS(rCom,S112,rTipoE,"Gasto",rFecha,"&gt;="&amp;pIni,rFecha,"&lt;="&amp;pFin,rCat,critCat,rCtaE,critCta))</f>
        <v/>
      </c>
      <c r="V112" s="241">
        <f>IF(S112="",-1E+12-106,N(T112)+(301-106)/1E+7)</f>
        <v/>
      </c>
      <c r="W112" s="241">
        <f>IF(S112="","",SUMIFS(rGasto,rCom,S112,rHorm,1,rFecha,"&gt;="&amp;pIni,rFecha,"&lt;="&amp;pFin))</f>
        <v/>
      </c>
      <c r="X112" s="241">
        <f>IF(S112="","",COUNTIFS(rCom,S112,rHorm,1,rFecha,"&gt;="&amp;pIni,rFecha,"&lt;="&amp;pFin))</f>
        <v/>
      </c>
      <c r="Y112" s="241">
        <f>IF(S112="",-1E+12-106,N(W112)+(301-106)/1E+7)</f>
        <v/>
      </c>
      <c r="BG112" s="241" t="n">
        <v>106</v>
      </c>
      <c r="BH112" s="246">
        <f>IF(calIni+105&lt;=pFinEff,calIni+105,"")</f>
        <v/>
      </c>
      <c r="BI112" s="241">
        <f>IF(BH112="","",WEEKDAY(BH112,2))</f>
        <v/>
      </c>
      <c r="BJ112" s="241">
        <f>IF(BH112="","",SUMIFS(rGasto,rFecha,BH112,rGrupo,"?*"))</f>
        <v/>
      </c>
      <c r="BK112" s="241">
        <f>IF(BH112="","",SUMIFS(rGasto,rFecha,BH112,rGrupo,gCP))</f>
        <v/>
      </c>
      <c r="BL112" s="241">
        <f>IF(BH112="",-1E+12-106,N(BJ112)+(400-106)/1E+7)</f>
        <v/>
      </c>
    </row>
    <row r="113">
      <c r="K113" s="241">
        <f>INDEX(catCat,107)&amp;""</f>
        <v/>
      </c>
      <c r="L113" s="241">
        <f>INDEX(catSub,107)&amp;""</f>
        <v/>
      </c>
      <c r="M113" s="241">
        <f>IF(OR(K113="",L113="",INDEX(catTipo,107)&amp;""&lt;&gt;"Gasto"),"",IF(AND(critCat&lt;&gt;"&lt;&gt;@@@",K113&lt;&gt;critCat),0,SUMIFS(rGasto,rCat,K113,rSub,L113,rFecha,"&gt;="&amp;pIni,rFecha,"&lt;="&amp;pFin,rCtaE,critCta)))</f>
        <v/>
      </c>
      <c r="N113" s="241">
        <f>IF(M113="","",IF(AND(critCat&lt;&gt;"&lt;&gt;@@@",K113&lt;&gt;critCat),0,COUNTIFS(rCat,K113,rSub,L113,rTipoE,"Gasto",rFecha,"&gt;="&amp;pIni,rFecha,"&lt;="&amp;pFin,rCtaE,critCta)))</f>
        <v/>
      </c>
      <c r="O113" s="241">
        <f>IF(M113="",-1E+12-107,N(M113)+(201-107)/1E+7)</f>
        <v/>
      </c>
      <c r="P113" s="241">
        <f>L113&amp;" · "&amp;K113</f>
        <v/>
      </c>
      <c r="R113" s="241" t="n">
        <v>107</v>
      </c>
      <c r="S113" s="241">
        <f>IFERROR(INDEX(rCom,MATCH(107,rComIdx,0))&amp;"","")</f>
        <v/>
      </c>
      <c r="T113" s="241">
        <f>IF(S113="","",SUMIFS(rGasto,rCom,S113,rFecha,"&gt;="&amp;pIni,rFecha,"&lt;="&amp;pFin,rCat,critCat,rCtaE,critCta))</f>
        <v/>
      </c>
      <c r="U113" s="241">
        <f>IF(S113="","",COUNTIFS(rCom,S113,rTipoE,"Gasto",rFecha,"&gt;="&amp;pIni,rFecha,"&lt;="&amp;pFin,rCat,critCat,rCtaE,critCta))</f>
        <v/>
      </c>
      <c r="V113" s="241">
        <f>IF(S113="",-1E+12-107,N(T113)+(301-107)/1E+7)</f>
        <v/>
      </c>
      <c r="W113" s="241">
        <f>IF(S113="","",SUMIFS(rGasto,rCom,S113,rHorm,1,rFecha,"&gt;="&amp;pIni,rFecha,"&lt;="&amp;pFin))</f>
        <v/>
      </c>
      <c r="X113" s="241">
        <f>IF(S113="","",COUNTIFS(rCom,S113,rHorm,1,rFecha,"&gt;="&amp;pIni,rFecha,"&lt;="&amp;pFin))</f>
        <v/>
      </c>
      <c r="Y113" s="241">
        <f>IF(S113="",-1E+12-107,N(W113)+(301-107)/1E+7)</f>
        <v/>
      </c>
      <c r="BG113" s="241" t="n">
        <v>107</v>
      </c>
      <c r="BH113" s="246">
        <f>IF(calIni+106&lt;=pFinEff,calIni+106,"")</f>
        <v/>
      </c>
      <c r="BI113" s="241">
        <f>IF(BH113="","",WEEKDAY(BH113,2))</f>
        <v/>
      </c>
      <c r="BJ113" s="241">
        <f>IF(BH113="","",SUMIFS(rGasto,rFecha,BH113,rGrupo,"?*"))</f>
        <v/>
      </c>
      <c r="BK113" s="241">
        <f>IF(BH113="","",SUMIFS(rGasto,rFecha,BH113,rGrupo,gCP))</f>
        <v/>
      </c>
      <c r="BL113" s="241">
        <f>IF(BH113="",-1E+12-107,N(BJ113)+(400-107)/1E+7)</f>
        <v/>
      </c>
    </row>
    <row r="114">
      <c r="K114" s="241">
        <f>INDEX(catCat,108)&amp;""</f>
        <v/>
      </c>
      <c r="L114" s="241">
        <f>INDEX(catSub,108)&amp;""</f>
        <v/>
      </c>
      <c r="M114" s="241">
        <f>IF(OR(K114="",L114="",INDEX(catTipo,108)&amp;""&lt;&gt;"Gasto"),"",IF(AND(critCat&lt;&gt;"&lt;&gt;@@@",K114&lt;&gt;critCat),0,SUMIFS(rGasto,rCat,K114,rSub,L114,rFecha,"&gt;="&amp;pIni,rFecha,"&lt;="&amp;pFin,rCtaE,critCta)))</f>
        <v/>
      </c>
      <c r="N114" s="241">
        <f>IF(M114="","",IF(AND(critCat&lt;&gt;"&lt;&gt;@@@",K114&lt;&gt;critCat),0,COUNTIFS(rCat,K114,rSub,L114,rTipoE,"Gasto",rFecha,"&gt;="&amp;pIni,rFecha,"&lt;="&amp;pFin,rCtaE,critCta)))</f>
        <v/>
      </c>
      <c r="O114" s="241">
        <f>IF(M114="",-1E+12-108,N(M114)+(201-108)/1E+7)</f>
        <v/>
      </c>
      <c r="P114" s="241">
        <f>L114&amp;" · "&amp;K114</f>
        <v/>
      </c>
      <c r="R114" s="241" t="n">
        <v>108</v>
      </c>
      <c r="S114" s="241">
        <f>IFERROR(INDEX(rCom,MATCH(108,rComIdx,0))&amp;"","")</f>
        <v/>
      </c>
      <c r="T114" s="241">
        <f>IF(S114="","",SUMIFS(rGasto,rCom,S114,rFecha,"&gt;="&amp;pIni,rFecha,"&lt;="&amp;pFin,rCat,critCat,rCtaE,critCta))</f>
        <v/>
      </c>
      <c r="U114" s="241">
        <f>IF(S114="","",COUNTIFS(rCom,S114,rTipoE,"Gasto",rFecha,"&gt;="&amp;pIni,rFecha,"&lt;="&amp;pFin,rCat,critCat,rCtaE,critCta))</f>
        <v/>
      </c>
      <c r="V114" s="241">
        <f>IF(S114="",-1E+12-108,N(T114)+(301-108)/1E+7)</f>
        <v/>
      </c>
      <c r="W114" s="241">
        <f>IF(S114="","",SUMIFS(rGasto,rCom,S114,rHorm,1,rFecha,"&gt;="&amp;pIni,rFecha,"&lt;="&amp;pFin))</f>
        <v/>
      </c>
      <c r="X114" s="241">
        <f>IF(S114="","",COUNTIFS(rCom,S114,rHorm,1,rFecha,"&gt;="&amp;pIni,rFecha,"&lt;="&amp;pFin))</f>
        <v/>
      </c>
      <c r="Y114" s="241">
        <f>IF(S114="",-1E+12-108,N(W114)+(301-108)/1E+7)</f>
        <v/>
      </c>
      <c r="BG114" s="241" t="n">
        <v>108</v>
      </c>
      <c r="BH114" s="246">
        <f>IF(calIni+107&lt;=pFinEff,calIni+107,"")</f>
        <v/>
      </c>
      <c r="BI114" s="241">
        <f>IF(BH114="","",WEEKDAY(BH114,2))</f>
        <v/>
      </c>
      <c r="BJ114" s="241">
        <f>IF(BH114="","",SUMIFS(rGasto,rFecha,BH114,rGrupo,"?*"))</f>
        <v/>
      </c>
      <c r="BK114" s="241">
        <f>IF(BH114="","",SUMIFS(rGasto,rFecha,BH114,rGrupo,gCP))</f>
        <v/>
      </c>
      <c r="BL114" s="241">
        <f>IF(BH114="",-1E+12-108,N(BJ114)+(400-108)/1E+7)</f>
        <v/>
      </c>
    </row>
    <row r="115">
      <c r="K115" s="241">
        <f>INDEX(catCat,109)&amp;""</f>
        <v/>
      </c>
      <c r="L115" s="241">
        <f>INDEX(catSub,109)&amp;""</f>
        <v/>
      </c>
      <c r="M115" s="241">
        <f>IF(OR(K115="",L115="",INDEX(catTipo,109)&amp;""&lt;&gt;"Gasto"),"",IF(AND(critCat&lt;&gt;"&lt;&gt;@@@",K115&lt;&gt;critCat),0,SUMIFS(rGasto,rCat,K115,rSub,L115,rFecha,"&gt;="&amp;pIni,rFecha,"&lt;="&amp;pFin,rCtaE,critCta)))</f>
        <v/>
      </c>
      <c r="N115" s="241">
        <f>IF(M115="","",IF(AND(critCat&lt;&gt;"&lt;&gt;@@@",K115&lt;&gt;critCat),0,COUNTIFS(rCat,K115,rSub,L115,rTipoE,"Gasto",rFecha,"&gt;="&amp;pIni,rFecha,"&lt;="&amp;pFin,rCtaE,critCta)))</f>
        <v/>
      </c>
      <c r="O115" s="241">
        <f>IF(M115="",-1E+12-109,N(M115)+(201-109)/1E+7)</f>
        <v/>
      </c>
      <c r="P115" s="241">
        <f>L115&amp;" · "&amp;K115</f>
        <v/>
      </c>
      <c r="R115" s="241" t="n">
        <v>109</v>
      </c>
      <c r="S115" s="241">
        <f>IFERROR(INDEX(rCom,MATCH(109,rComIdx,0))&amp;"","")</f>
        <v/>
      </c>
      <c r="T115" s="241">
        <f>IF(S115="","",SUMIFS(rGasto,rCom,S115,rFecha,"&gt;="&amp;pIni,rFecha,"&lt;="&amp;pFin,rCat,critCat,rCtaE,critCta))</f>
        <v/>
      </c>
      <c r="U115" s="241">
        <f>IF(S115="","",COUNTIFS(rCom,S115,rTipoE,"Gasto",rFecha,"&gt;="&amp;pIni,rFecha,"&lt;="&amp;pFin,rCat,critCat,rCtaE,critCta))</f>
        <v/>
      </c>
      <c r="V115" s="241">
        <f>IF(S115="",-1E+12-109,N(T115)+(301-109)/1E+7)</f>
        <v/>
      </c>
      <c r="W115" s="241">
        <f>IF(S115="","",SUMIFS(rGasto,rCom,S115,rHorm,1,rFecha,"&gt;="&amp;pIni,rFecha,"&lt;="&amp;pFin))</f>
        <v/>
      </c>
      <c r="X115" s="241">
        <f>IF(S115="","",COUNTIFS(rCom,S115,rHorm,1,rFecha,"&gt;="&amp;pIni,rFecha,"&lt;="&amp;pFin))</f>
        <v/>
      </c>
      <c r="Y115" s="241">
        <f>IF(S115="",-1E+12-109,N(W115)+(301-109)/1E+7)</f>
        <v/>
      </c>
      <c r="BG115" s="241" t="n">
        <v>109</v>
      </c>
      <c r="BH115" s="246">
        <f>IF(calIni+108&lt;=pFinEff,calIni+108,"")</f>
        <v/>
      </c>
      <c r="BI115" s="241">
        <f>IF(BH115="","",WEEKDAY(BH115,2))</f>
        <v/>
      </c>
      <c r="BJ115" s="241">
        <f>IF(BH115="","",SUMIFS(rGasto,rFecha,BH115,rGrupo,"?*"))</f>
        <v/>
      </c>
      <c r="BK115" s="241">
        <f>IF(BH115="","",SUMIFS(rGasto,rFecha,BH115,rGrupo,gCP))</f>
        <v/>
      </c>
      <c r="BL115" s="241">
        <f>IF(BH115="",-1E+12-109,N(BJ115)+(400-109)/1E+7)</f>
        <v/>
      </c>
    </row>
    <row r="116">
      <c r="K116" s="241">
        <f>INDEX(catCat,110)&amp;""</f>
        <v/>
      </c>
      <c r="L116" s="241">
        <f>INDEX(catSub,110)&amp;""</f>
        <v/>
      </c>
      <c r="M116" s="241">
        <f>IF(OR(K116="",L116="",INDEX(catTipo,110)&amp;""&lt;&gt;"Gasto"),"",IF(AND(critCat&lt;&gt;"&lt;&gt;@@@",K116&lt;&gt;critCat),0,SUMIFS(rGasto,rCat,K116,rSub,L116,rFecha,"&gt;="&amp;pIni,rFecha,"&lt;="&amp;pFin,rCtaE,critCta)))</f>
        <v/>
      </c>
      <c r="N116" s="241">
        <f>IF(M116="","",IF(AND(critCat&lt;&gt;"&lt;&gt;@@@",K116&lt;&gt;critCat),0,COUNTIFS(rCat,K116,rSub,L116,rTipoE,"Gasto",rFecha,"&gt;="&amp;pIni,rFecha,"&lt;="&amp;pFin,rCtaE,critCta)))</f>
        <v/>
      </c>
      <c r="O116" s="241">
        <f>IF(M116="",-1E+12-110,N(M116)+(201-110)/1E+7)</f>
        <v/>
      </c>
      <c r="P116" s="241">
        <f>L116&amp;" · "&amp;K116</f>
        <v/>
      </c>
      <c r="R116" s="241" t="n">
        <v>110</v>
      </c>
      <c r="S116" s="241">
        <f>IFERROR(INDEX(rCom,MATCH(110,rComIdx,0))&amp;"","")</f>
        <v/>
      </c>
      <c r="T116" s="241">
        <f>IF(S116="","",SUMIFS(rGasto,rCom,S116,rFecha,"&gt;="&amp;pIni,rFecha,"&lt;="&amp;pFin,rCat,critCat,rCtaE,critCta))</f>
        <v/>
      </c>
      <c r="U116" s="241">
        <f>IF(S116="","",COUNTIFS(rCom,S116,rTipoE,"Gasto",rFecha,"&gt;="&amp;pIni,rFecha,"&lt;="&amp;pFin,rCat,critCat,rCtaE,critCta))</f>
        <v/>
      </c>
      <c r="V116" s="241">
        <f>IF(S116="",-1E+12-110,N(T116)+(301-110)/1E+7)</f>
        <v/>
      </c>
      <c r="W116" s="241">
        <f>IF(S116="","",SUMIFS(rGasto,rCom,S116,rHorm,1,rFecha,"&gt;="&amp;pIni,rFecha,"&lt;="&amp;pFin))</f>
        <v/>
      </c>
      <c r="X116" s="241">
        <f>IF(S116="","",COUNTIFS(rCom,S116,rHorm,1,rFecha,"&gt;="&amp;pIni,rFecha,"&lt;="&amp;pFin))</f>
        <v/>
      </c>
      <c r="Y116" s="241">
        <f>IF(S116="",-1E+12-110,N(W116)+(301-110)/1E+7)</f>
        <v/>
      </c>
      <c r="BG116" s="241" t="n">
        <v>110</v>
      </c>
      <c r="BH116" s="246">
        <f>IF(calIni+109&lt;=pFinEff,calIni+109,"")</f>
        <v/>
      </c>
      <c r="BI116" s="241">
        <f>IF(BH116="","",WEEKDAY(BH116,2))</f>
        <v/>
      </c>
      <c r="BJ116" s="241">
        <f>IF(BH116="","",SUMIFS(rGasto,rFecha,BH116,rGrupo,"?*"))</f>
        <v/>
      </c>
      <c r="BK116" s="241">
        <f>IF(BH116="","",SUMIFS(rGasto,rFecha,BH116,rGrupo,gCP))</f>
        <v/>
      </c>
      <c r="BL116" s="241">
        <f>IF(BH116="",-1E+12-110,N(BJ116)+(400-110)/1E+7)</f>
        <v/>
      </c>
    </row>
    <row r="117">
      <c r="K117" s="241">
        <f>INDEX(catCat,111)&amp;""</f>
        <v/>
      </c>
      <c r="L117" s="241">
        <f>INDEX(catSub,111)&amp;""</f>
        <v/>
      </c>
      <c r="M117" s="241">
        <f>IF(OR(K117="",L117="",INDEX(catTipo,111)&amp;""&lt;&gt;"Gasto"),"",IF(AND(critCat&lt;&gt;"&lt;&gt;@@@",K117&lt;&gt;critCat),0,SUMIFS(rGasto,rCat,K117,rSub,L117,rFecha,"&gt;="&amp;pIni,rFecha,"&lt;="&amp;pFin,rCtaE,critCta)))</f>
        <v/>
      </c>
      <c r="N117" s="241">
        <f>IF(M117="","",IF(AND(critCat&lt;&gt;"&lt;&gt;@@@",K117&lt;&gt;critCat),0,COUNTIFS(rCat,K117,rSub,L117,rTipoE,"Gasto",rFecha,"&gt;="&amp;pIni,rFecha,"&lt;="&amp;pFin,rCtaE,critCta)))</f>
        <v/>
      </c>
      <c r="O117" s="241">
        <f>IF(M117="",-1E+12-111,N(M117)+(201-111)/1E+7)</f>
        <v/>
      </c>
      <c r="P117" s="241">
        <f>L117&amp;" · "&amp;K117</f>
        <v/>
      </c>
      <c r="R117" s="241" t="n">
        <v>111</v>
      </c>
      <c r="S117" s="241">
        <f>IFERROR(INDEX(rCom,MATCH(111,rComIdx,0))&amp;"","")</f>
        <v/>
      </c>
      <c r="T117" s="241">
        <f>IF(S117="","",SUMIFS(rGasto,rCom,S117,rFecha,"&gt;="&amp;pIni,rFecha,"&lt;="&amp;pFin,rCat,critCat,rCtaE,critCta))</f>
        <v/>
      </c>
      <c r="U117" s="241">
        <f>IF(S117="","",COUNTIFS(rCom,S117,rTipoE,"Gasto",rFecha,"&gt;="&amp;pIni,rFecha,"&lt;="&amp;pFin,rCat,critCat,rCtaE,critCta))</f>
        <v/>
      </c>
      <c r="V117" s="241">
        <f>IF(S117="",-1E+12-111,N(T117)+(301-111)/1E+7)</f>
        <v/>
      </c>
      <c r="W117" s="241">
        <f>IF(S117="","",SUMIFS(rGasto,rCom,S117,rHorm,1,rFecha,"&gt;="&amp;pIni,rFecha,"&lt;="&amp;pFin))</f>
        <v/>
      </c>
      <c r="X117" s="241">
        <f>IF(S117="","",COUNTIFS(rCom,S117,rHorm,1,rFecha,"&gt;="&amp;pIni,rFecha,"&lt;="&amp;pFin))</f>
        <v/>
      </c>
      <c r="Y117" s="241">
        <f>IF(S117="",-1E+12-111,N(W117)+(301-111)/1E+7)</f>
        <v/>
      </c>
      <c r="BG117" s="241" t="n">
        <v>111</v>
      </c>
      <c r="BH117" s="246">
        <f>IF(calIni+110&lt;=pFinEff,calIni+110,"")</f>
        <v/>
      </c>
      <c r="BI117" s="241">
        <f>IF(BH117="","",WEEKDAY(BH117,2))</f>
        <v/>
      </c>
      <c r="BJ117" s="241">
        <f>IF(BH117="","",SUMIFS(rGasto,rFecha,BH117,rGrupo,"?*"))</f>
        <v/>
      </c>
      <c r="BK117" s="241">
        <f>IF(BH117="","",SUMIFS(rGasto,rFecha,BH117,rGrupo,gCP))</f>
        <v/>
      </c>
      <c r="BL117" s="241">
        <f>IF(BH117="",-1E+12-111,N(BJ117)+(400-111)/1E+7)</f>
        <v/>
      </c>
    </row>
    <row r="118">
      <c r="K118" s="241">
        <f>INDEX(catCat,112)&amp;""</f>
        <v/>
      </c>
      <c r="L118" s="241">
        <f>INDEX(catSub,112)&amp;""</f>
        <v/>
      </c>
      <c r="M118" s="241">
        <f>IF(OR(K118="",L118="",INDEX(catTipo,112)&amp;""&lt;&gt;"Gasto"),"",IF(AND(critCat&lt;&gt;"&lt;&gt;@@@",K118&lt;&gt;critCat),0,SUMIFS(rGasto,rCat,K118,rSub,L118,rFecha,"&gt;="&amp;pIni,rFecha,"&lt;="&amp;pFin,rCtaE,critCta)))</f>
        <v/>
      </c>
      <c r="N118" s="241">
        <f>IF(M118="","",IF(AND(critCat&lt;&gt;"&lt;&gt;@@@",K118&lt;&gt;critCat),0,COUNTIFS(rCat,K118,rSub,L118,rTipoE,"Gasto",rFecha,"&gt;="&amp;pIni,rFecha,"&lt;="&amp;pFin,rCtaE,critCta)))</f>
        <v/>
      </c>
      <c r="O118" s="241">
        <f>IF(M118="",-1E+12-112,N(M118)+(201-112)/1E+7)</f>
        <v/>
      </c>
      <c r="P118" s="241">
        <f>L118&amp;" · "&amp;K118</f>
        <v/>
      </c>
      <c r="R118" s="241" t="n">
        <v>112</v>
      </c>
      <c r="S118" s="241">
        <f>IFERROR(INDEX(rCom,MATCH(112,rComIdx,0))&amp;"","")</f>
        <v/>
      </c>
      <c r="T118" s="241">
        <f>IF(S118="","",SUMIFS(rGasto,rCom,S118,rFecha,"&gt;="&amp;pIni,rFecha,"&lt;="&amp;pFin,rCat,critCat,rCtaE,critCta))</f>
        <v/>
      </c>
      <c r="U118" s="241">
        <f>IF(S118="","",COUNTIFS(rCom,S118,rTipoE,"Gasto",rFecha,"&gt;="&amp;pIni,rFecha,"&lt;="&amp;pFin,rCat,critCat,rCtaE,critCta))</f>
        <v/>
      </c>
      <c r="V118" s="241">
        <f>IF(S118="",-1E+12-112,N(T118)+(301-112)/1E+7)</f>
        <v/>
      </c>
      <c r="W118" s="241">
        <f>IF(S118="","",SUMIFS(rGasto,rCom,S118,rHorm,1,rFecha,"&gt;="&amp;pIni,rFecha,"&lt;="&amp;pFin))</f>
        <v/>
      </c>
      <c r="X118" s="241">
        <f>IF(S118="","",COUNTIFS(rCom,S118,rHorm,1,rFecha,"&gt;="&amp;pIni,rFecha,"&lt;="&amp;pFin))</f>
        <v/>
      </c>
      <c r="Y118" s="241">
        <f>IF(S118="",-1E+12-112,N(W118)+(301-112)/1E+7)</f>
        <v/>
      </c>
      <c r="BG118" s="241" t="n">
        <v>112</v>
      </c>
      <c r="BH118" s="246">
        <f>IF(calIni+111&lt;=pFinEff,calIni+111,"")</f>
        <v/>
      </c>
      <c r="BI118" s="241">
        <f>IF(BH118="","",WEEKDAY(BH118,2))</f>
        <v/>
      </c>
      <c r="BJ118" s="241">
        <f>IF(BH118="","",SUMIFS(rGasto,rFecha,BH118,rGrupo,"?*"))</f>
        <v/>
      </c>
      <c r="BK118" s="241">
        <f>IF(BH118="","",SUMIFS(rGasto,rFecha,BH118,rGrupo,gCP))</f>
        <v/>
      </c>
      <c r="BL118" s="241">
        <f>IF(BH118="",-1E+12-112,N(BJ118)+(400-112)/1E+7)</f>
        <v/>
      </c>
    </row>
    <row r="119">
      <c r="K119" s="241">
        <f>INDEX(catCat,113)&amp;""</f>
        <v/>
      </c>
      <c r="L119" s="241">
        <f>INDEX(catSub,113)&amp;""</f>
        <v/>
      </c>
      <c r="M119" s="241">
        <f>IF(OR(K119="",L119="",INDEX(catTipo,113)&amp;""&lt;&gt;"Gasto"),"",IF(AND(critCat&lt;&gt;"&lt;&gt;@@@",K119&lt;&gt;critCat),0,SUMIFS(rGasto,rCat,K119,rSub,L119,rFecha,"&gt;="&amp;pIni,rFecha,"&lt;="&amp;pFin,rCtaE,critCta)))</f>
        <v/>
      </c>
      <c r="N119" s="241">
        <f>IF(M119="","",IF(AND(critCat&lt;&gt;"&lt;&gt;@@@",K119&lt;&gt;critCat),0,COUNTIFS(rCat,K119,rSub,L119,rTipoE,"Gasto",rFecha,"&gt;="&amp;pIni,rFecha,"&lt;="&amp;pFin,rCtaE,critCta)))</f>
        <v/>
      </c>
      <c r="O119" s="241">
        <f>IF(M119="",-1E+12-113,N(M119)+(201-113)/1E+7)</f>
        <v/>
      </c>
      <c r="P119" s="241">
        <f>L119&amp;" · "&amp;K119</f>
        <v/>
      </c>
      <c r="R119" s="241" t="n">
        <v>113</v>
      </c>
      <c r="S119" s="241">
        <f>IFERROR(INDEX(rCom,MATCH(113,rComIdx,0))&amp;"","")</f>
        <v/>
      </c>
      <c r="T119" s="241">
        <f>IF(S119="","",SUMIFS(rGasto,rCom,S119,rFecha,"&gt;="&amp;pIni,rFecha,"&lt;="&amp;pFin,rCat,critCat,rCtaE,critCta))</f>
        <v/>
      </c>
      <c r="U119" s="241">
        <f>IF(S119="","",COUNTIFS(rCom,S119,rTipoE,"Gasto",rFecha,"&gt;="&amp;pIni,rFecha,"&lt;="&amp;pFin,rCat,critCat,rCtaE,critCta))</f>
        <v/>
      </c>
      <c r="V119" s="241">
        <f>IF(S119="",-1E+12-113,N(T119)+(301-113)/1E+7)</f>
        <v/>
      </c>
      <c r="W119" s="241">
        <f>IF(S119="","",SUMIFS(rGasto,rCom,S119,rHorm,1,rFecha,"&gt;="&amp;pIni,rFecha,"&lt;="&amp;pFin))</f>
        <v/>
      </c>
      <c r="X119" s="241">
        <f>IF(S119="","",COUNTIFS(rCom,S119,rHorm,1,rFecha,"&gt;="&amp;pIni,rFecha,"&lt;="&amp;pFin))</f>
        <v/>
      </c>
      <c r="Y119" s="241">
        <f>IF(S119="",-1E+12-113,N(W119)+(301-113)/1E+7)</f>
        <v/>
      </c>
      <c r="BG119" s="241" t="n">
        <v>113</v>
      </c>
      <c r="BH119" s="246">
        <f>IF(calIni+112&lt;=pFinEff,calIni+112,"")</f>
        <v/>
      </c>
      <c r="BI119" s="241">
        <f>IF(BH119="","",WEEKDAY(BH119,2))</f>
        <v/>
      </c>
      <c r="BJ119" s="241">
        <f>IF(BH119="","",SUMIFS(rGasto,rFecha,BH119,rGrupo,"?*"))</f>
        <v/>
      </c>
      <c r="BK119" s="241">
        <f>IF(BH119="","",SUMIFS(rGasto,rFecha,BH119,rGrupo,gCP))</f>
        <v/>
      </c>
      <c r="BL119" s="241">
        <f>IF(BH119="",-1E+12-113,N(BJ119)+(400-113)/1E+7)</f>
        <v/>
      </c>
    </row>
    <row r="120">
      <c r="K120" s="241">
        <f>INDEX(catCat,114)&amp;""</f>
        <v/>
      </c>
      <c r="L120" s="241">
        <f>INDEX(catSub,114)&amp;""</f>
        <v/>
      </c>
      <c r="M120" s="241">
        <f>IF(OR(K120="",L120="",INDEX(catTipo,114)&amp;""&lt;&gt;"Gasto"),"",IF(AND(critCat&lt;&gt;"&lt;&gt;@@@",K120&lt;&gt;critCat),0,SUMIFS(rGasto,rCat,K120,rSub,L120,rFecha,"&gt;="&amp;pIni,rFecha,"&lt;="&amp;pFin,rCtaE,critCta)))</f>
        <v/>
      </c>
      <c r="N120" s="241">
        <f>IF(M120="","",IF(AND(critCat&lt;&gt;"&lt;&gt;@@@",K120&lt;&gt;critCat),0,COUNTIFS(rCat,K120,rSub,L120,rTipoE,"Gasto",rFecha,"&gt;="&amp;pIni,rFecha,"&lt;="&amp;pFin,rCtaE,critCta)))</f>
        <v/>
      </c>
      <c r="O120" s="241">
        <f>IF(M120="",-1E+12-114,N(M120)+(201-114)/1E+7)</f>
        <v/>
      </c>
      <c r="P120" s="241">
        <f>L120&amp;" · "&amp;K120</f>
        <v/>
      </c>
      <c r="R120" s="241" t="n">
        <v>114</v>
      </c>
      <c r="S120" s="241">
        <f>IFERROR(INDEX(rCom,MATCH(114,rComIdx,0))&amp;"","")</f>
        <v/>
      </c>
      <c r="T120" s="241">
        <f>IF(S120="","",SUMIFS(rGasto,rCom,S120,rFecha,"&gt;="&amp;pIni,rFecha,"&lt;="&amp;pFin,rCat,critCat,rCtaE,critCta))</f>
        <v/>
      </c>
      <c r="U120" s="241">
        <f>IF(S120="","",COUNTIFS(rCom,S120,rTipoE,"Gasto",rFecha,"&gt;="&amp;pIni,rFecha,"&lt;="&amp;pFin,rCat,critCat,rCtaE,critCta))</f>
        <v/>
      </c>
      <c r="V120" s="241">
        <f>IF(S120="",-1E+12-114,N(T120)+(301-114)/1E+7)</f>
        <v/>
      </c>
      <c r="W120" s="241">
        <f>IF(S120="","",SUMIFS(rGasto,rCom,S120,rHorm,1,rFecha,"&gt;="&amp;pIni,rFecha,"&lt;="&amp;pFin))</f>
        <v/>
      </c>
      <c r="X120" s="241">
        <f>IF(S120="","",COUNTIFS(rCom,S120,rHorm,1,rFecha,"&gt;="&amp;pIni,rFecha,"&lt;="&amp;pFin))</f>
        <v/>
      </c>
      <c r="Y120" s="241">
        <f>IF(S120="",-1E+12-114,N(W120)+(301-114)/1E+7)</f>
        <v/>
      </c>
      <c r="BG120" s="241" t="n">
        <v>114</v>
      </c>
      <c r="BH120" s="246">
        <f>IF(calIni+113&lt;=pFinEff,calIni+113,"")</f>
        <v/>
      </c>
      <c r="BI120" s="241">
        <f>IF(BH120="","",WEEKDAY(BH120,2))</f>
        <v/>
      </c>
      <c r="BJ120" s="241">
        <f>IF(BH120="","",SUMIFS(rGasto,rFecha,BH120,rGrupo,"?*"))</f>
        <v/>
      </c>
      <c r="BK120" s="241">
        <f>IF(BH120="","",SUMIFS(rGasto,rFecha,BH120,rGrupo,gCP))</f>
        <v/>
      </c>
      <c r="BL120" s="241">
        <f>IF(BH120="",-1E+12-114,N(BJ120)+(400-114)/1E+7)</f>
        <v/>
      </c>
    </row>
    <row r="121">
      <c r="K121" s="241">
        <f>INDEX(catCat,115)&amp;""</f>
        <v/>
      </c>
      <c r="L121" s="241">
        <f>INDEX(catSub,115)&amp;""</f>
        <v/>
      </c>
      <c r="M121" s="241">
        <f>IF(OR(K121="",L121="",INDEX(catTipo,115)&amp;""&lt;&gt;"Gasto"),"",IF(AND(critCat&lt;&gt;"&lt;&gt;@@@",K121&lt;&gt;critCat),0,SUMIFS(rGasto,rCat,K121,rSub,L121,rFecha,"&gt;="&amp;pIni,rFecha,"&lt;="&amp;pFin,rCtaE,critCta)))</f>
        <v/>
      </c>
      <c r="N121" s="241">
        <f>IF(M121="","",IF(AND(critCat&lt;&gt;"&lt;&gt;@@@",K121&lt;&gt;critCat),0,COUNTIFS(rCat,K121,rSub,L121,rTipoE,"Gasto",rFecha,"&gt;="&amp;pIni,rFecha,"&lt;="&amp;pFin,rCtaE,critCta)))</f>
        <v/>
      </c>
      <c r="O121" s="241">
        <f>IF(M121="",-1E+12-115,N(M121)+(201-115)/1E+7)</f>
        <v/>
      </c>
      <c r="P121" s="241">
        <f>L121&amp;" · "&amp;K121</f>
        <v/>
      </c>
      <c r="R121" s="241" t="n">
        <v>115</v>
      </c>
      <c r="S121" s="241">
        <f>IFERROR(INDEX(rCom,MATCH(115,rComIdx,0))&amp;"","")</f>
        <v/>
      </c>
      <c r="T121" s="241">
        <f>IF(S121="","",SUMIFS(rGasto,rCom,S121,rFecha,"&gt;="&amp;pIni,rFecha,"&lt;="&amp;pFin,rCat,critCat,rCtaE,critCta))</f>
        <v/>
      </c>
      <c r="U121" s="241">
        <f>IF(S121="","",COUNTIFS(rCom,S121,rTipoE,"Gasto",rFecha,"&gt;="&amp;pIni,rFecha,"&lt;="&amp;pFin,rCat,critCat,rCtaE,critCta))</f>
        <v/>
      </c>
      <c r="V121" s="241">
        <f>IF(S121="",-1E+12-115,N(T121)+(301-115)/1E+7)</f>
        <v/>
      </c>
      <c r="W121" s="241">
        <f>IF(S121="","",SUMIFS(rGasto,rCom,S121,rHorm,1,rFecha,"&gt;="&amp;pIni,rFecha,"&lt;="&amp;pFin))</f>
        <v/>
      </c>
      <c r="X121" s="241">
        <f>IF(S121="","",COUNTIFS(rCom,S121,rHorm,1,rFecha,"&gt;="&amp;pIni,rFecha,"&lt;="&amp;pFin))</f>
        <v/>
      </c>
      <c r="Y121" s="241">
        <f>IF(S121="",-1E+12-115,N(W121)+(301-115)/1E+7)</f>
        <v/>
      </c>
      <c r="BG121" s="241" t="n">
        <v>115</v>
      </c>
      <c r="BH121" s="246">
        <f>IF(calIni+114&lt;=pFinEff,calIni+114,"")</f>
        <v/>
      </c>
      <c r="BI121" s="241">
        <f>IF(BH121="","",WEEKDAY(BH121,2))</f>
        <v/>
      </c>
      <c r="BJ121" s="241">
        <f>IF(BH121="","",SUMIFS(rGasto,rFecha,BH121,rGrupo,"?*"))</f>
        <v/>
      </c>
      <c r="BK121" s="241">
        <f>IF(BH121="","",SUMIFS(rGasto,rFecha,BH121,rGrupo,gCP))</f>
        <v/>
      </c>
      <c r="BL121" s="241">
        <f>IF(BH121="",-1E+12-115,N(BJ121)+(400-115)/1E+7)</f>
        <v/>
      </c>
    </row>
    <row r="122">
      <c r="K122" s="241">
        <f>INDEX(catCat,116)&amp;""</f>
        <v/>
      </c>
      <c r="L122" s="241">
        <f>INDEX(catSub,116)&amp;""</f>
        <v/>
      </c>
      <c r="M122" s="241">
        <f>IF(OR(K122="",L122="",INDEX(catTipo,116)&amp;""&lt;&gt;"Gasto"),"",IF(AND(critCat&lt;&gt;"&lt;&gt;@@@",K122&lt;&gt;critCat),0,SUMIFS(rGasto,rCat,K122,rSub,L122,rFecha,"&gt;="&amp;pIni,rFecha,"&lt;="&amp;pFin,rCtaE,critCta)))</f>
        <v/>
      </c>
      <c r="N122" s="241">
        <f>IF(M122="","",IF(AND(critCat&lt;&gt;"&lt;&gt;@@@",K122&lt;&gt;critCat),0,COUNTIFS(rCat,K122,rSub,L122,rTipoE,"Gasto",rFecha,"&gt;="&amp;pIni,rFecha,"&lt;="&amp;pFin,rCtaE,critCta)))</f>
        <v/>
      </c>
      <c r="O122" s="241">
        <f>IF(M122="",-1E+12-116,N(M122)+(201-116)/1E+7)</f>
        <v/>
      </c>
      <c r="P122" s="241">
        <f>L122&amp;" · "&amp;K122</f>
        <v/>
      </c>
      <c r="R122" s="241" t="n">
        <v>116</v>
      </c>
      <c r="S122" s="241">
        <f>IFERROR(INDEX(rCom,MATCH(116,rComIdx,0))&amp;"","")</f>
        <v/>
      </c>
      <c r="T122" s="241">
        <f>IF(S122="","",SUMIFS(rGasto,rCom,S122,rFecha,"&gt;="&amp;pIni,rFecha,"&lt;="&amp;pFin,rCat,critCat,rCtaE,critCta))</f>
        <v/>
      </c>
      <c r="U122" s="241">
        <f>IF(S122="","",COUNTIFS(rCom,S122,rTipoE,"Gasto",rFecha,"&gt;="&amp;pIni,rFecha,"&lt;="&amp;pFin,rCat,critCat,rCtaE,critCta))</f>
        <v/>
      </c>
      <c r="V122" s="241">
        <f>IF(S122="",-1E+12-116,N(T122)+(301-116)/1E+7)</f>
        <v/>
      </c>
      <c r="W122" s="241">
        <f>IF(S122="","",SUMIFS(rGasto,rCom,S122,rHorm,1,rFecha,"&gt;="&amp;pIni,rFecha,"&lt;="&amp;pFin))</f>
        <v/>
      </c>
      <c r="X122" s="241">
        <f>IF(S122="","",COUNTIFS(rCom,S122,rHorm,1,rFecha,"&gt;="&amp;pIni,rFecha,"&lt;="&amp;pFin))</f>
        <v/>
      </c>
      <c r="Y122" s="241">
        <f>IF(S122="",-1E+12-116,N(W122)+(301-116)/1E+7)</f>
        <v/>
      </c>
      <c r="BG122" s="241" t="n">
        <v>116</v>
      </c>
      <c r="BH122" s="246">
        <f>IF(calIni+115&lt;=pFinEff,calIni+115,"")</f>
        <v/>
      </c>
      <c r="BI122" s="241">
        <f>IF(BH122="","",WEEKDAY(BH122,2))</f>
        <v/>
      </c>
      <c r="BJ122" s="241">
        <f>IF(BH122="","",SUMIFS(rGasto,rFecha,BH122,rGrupo,"?*"))</f>
        <v/>
      </c>
      <c r="BK122" s="241">
        <f>IF(BH122="","",SUMIFS(rGasto,rFecha,BH122,rGrupo,gCP))</f>
        <v/>
      </c>
      <c r="BL122" s="241">
        <f>IF(BH122="",-1E+12-116,N(BJ122)+(400-116)/1E+7)</f>
        <v/>
      </c>
    </row>
    <row r="123">
      <c r="K123" s="241">
        <f>INDEX(catCat,117)&amp;""</f>
        <v/>
      </c>
      <c r="L123" s="241">
        <f>INDEX(catSub,117)&amp;""</f>
        <v/>
      </c>
      <c r="M123" s="241">
        <f>IF(OR(K123="",L123="",INDEX(catTipo,117)&amp;""&lt;&gt;"Gasto"),"",IF(AND(critCat&lt;&gt;"&lt;&gt;@@@",K123&lt;&gt;critCat),0,SUMIFS(rGasto,rCat,K123,rSub,L123,rFecha,"&gt;="&amp;pIni,rFecha,"&lt;="&amp;pFin,rCtaE,critCta)))</f>
        <v/>
      </c>
      <c r="N123" s="241">
        <f>IF(M123="","",IF(AND(critCat&lt;&gt;"&lt;&gt;@@@",K123&lt;&gt;critCat),0,COUNTIFS(rCat,K123,rSub,L123,rTipoE,"Gasto",rFecha,"&gt;="&amp;pIni,rFecha,"&lt;="&amp;pFin,rCtaE,critCta)))</f>
        <v/>
      </c>
      <c r="O123" s="241">
        <f>IF(M123="",-1E+12-117,N(M123)+(201-117)/1E+7)</f>
        <v/>
      </c>
      <c r="P123" s="241">
        <f>L123&amp;" · "&amp;K123</f>
        <v/>
      </c>
      <c r="R123" s="241" t="n">
        <v>117</v>
      </c>
      <c r="S123" s="241">
        <f>IFERROR(INDEX(rCom,MATCH(117,rComIdx,0))&amp;"","")</f>
        <v/>
      </c>
      <c r="T123" s="241">
        <f>IF(S123="","",SUMIFS(rGasto,rCom,S123,rFecha,"&gt;="&amp;pIni,rFecha,"&lt;="&amp;pFin,rCat,critCat,rCtaE,critCta))</f>
        <v/>
      </c>
      <c r="U123" s="241">
        <f>IF(S123="","",COUNTIFS(rCom,S123,rTipoE,"Gasto",rFecha,"&gt;="&amp;pIni,rFecha,"&lt;="&amp;pFin,rCat,critCat,rCtaE,critCta))</f>
        <v/>
      </c>
      <c r="V123" s="241">
        <f>IF(S123="",-1E+12-117,N(T123)+(301-117)/1E+7)</f>
        <v/>
      </c>
      <c r="W123" s="241">
        <f>IF(S123="","",SUMIFS(rGasto,rCom,S123,rHorm,1,rFecha,"&gt;="&amp;pIni,rFecha,"&lt;="&amp;pFin))</f>
        <v/>
      </c>
      <c r="X123" s="241">
        <f>IF(S123="","",COUNTIFS(rCom,S123,rHorm,1,rFecha,"&gt;="&amp;pIni,rFecha,"&lt;="&amp;pFin))</f>
        <v/>
      </c>
      <c r="Y123" s="241">
        <f>IF(S123="",-1E+12-117,N(W123)+(301-117)/1E+7)</f>
        <v/>
      </c>
      <c r="BG123" s="241" t="n">
        <v>117</v>
      </c>
      <c r="BH123" s="246">
        <f>IF(calIni+116&lt;=pFinEff,calIni+116,"")</f>
        <v/>
      </c>
      <c r="BI123" s="241">
        <f>IF(BH123="","",WEEKDAY(BH123,2))</f>
        <v/>
      </c>
      <c r="BJ123" s="241">
        <f>IF(BH123="","",SUMIFS(rGasto,rFecha,BH123,rGrupo,"?*"))</f>
        <v/>
      </c>
      <c r="BK123" s="241">
        <f>IF(BH123="","",SUMIFS(rGasto,rFecha,BH123,rGrupo,gCP))</f>
        <v/>
      </c>
      <c r="BL123" s="241">
        <f>IF(BH123="",-1E+12-117,N(BJ123)+(400-117)/1E+7)</f>
        <v/>
      </c>
    </row>
    <row r="124">
      <c r="K124" s="241">
        <f>INDEX(catCat,118)&amp;""</f>
        <v/>
      </c>
      <c r="L124" s="241">
        <f>INDEX(catSub,118)&amp;""</f>
        <v/>
      </c>
      <c r="M124" s="241">
        <f>IF(OR(K124="",L124="",INDEX(catTipo,118)&amp;""&lt;&gt;"Gasto"),"",IF(AND(critCat&lt;&gt;"&lt;&gt;@@@",K124&lt;&gt;critCat),0,SUMIFS(rGasto,rCat,K124,rSub,L124,rFecha,"&gt;="&amp;pIni,rFecha,"&lt;="&amp;pFin,rCtaE,critCta)))</f>
        <v/>
      </c>
      <c r="N124" s="241">
        <f>IF(M124="","",IF(AND(critCat&lt;&gt;"&lt;&gt;@@@",K124&lt;&gt;critCat),0,COUNTIFS(rCat,K124,rSub,L124,rTipoE,"Gasto",rFecha,"&gt;="&amp;pIni,rFecha,"&lt;="&amp;pFin,rCtaE,critCta)))</f>
        <v/>
      </c>
      <c r="O124" s="241">
        <f>IF(M124="",-1E+12-118,N(M124)+(201-118)/1E+7)</f>
        <v/>
      </c>
      <c r="P124" s="241">
        <f>L124&amp;" · "&amp;K124</f>
        <v/>
      </c>
      <c r="R124" s="241" t="n">
        <v>118</v>
      </c>
      <c r="S124" s="241">
        <f>IFERROR(INDEX(rCom,MATCH(118,rComIdx,0))&amp;"","")</f>
        <v/>
      </c>
      <c r="T124" s="241">
        <f>IF(S124="","",SUMIFS(rGasto,rCom,S124,rFecha,"&gt;="&amp;pIni,rFecha,"&lt;="&amp;pFin,rCat,critCat,rCtaE,critCta))</f>
        <v/>
      </c>
      <c r="U124" s="241">
        <f>IF(S124="","",COUNTIFS(rCom,S124,rTipoE,"Gasto",rFecha,"&gt;="&amp;pIni,rFecha,"&lt;="&amp;pFin,rCat,critCat,rCtaE,critCta))</f>
        <v/>
      </c>
      <c r="V124" s="241">
        <f>IF(S124="",-1E+12-118,N(T124)+(301-118)/1E+7)</f>
        <v/>
      </c>
      <c r="W124" s="241">
        <f>IF(S124="","",SUMIFS(rGasto,rCom,S124,rHorm,1,rFecha,"&gt;="&amp;pIni,rFecha,"&lt;="&amp;pFin))</f>
        <v/>
      </c>
      <c r="X124" s="241">
        <f>IF(S124="","",COUNTIFS(rCom,S124,rHorm,1,rFecha,"&gt;="&amp;pIni,rFecha,"&lt;="&amp;pFin))</f>
        <v/>
      </c>
      <c r="Y124" s="241">
        <f>IF(S124="",-1E+12-118,N(W124)+(301-118)/1E+7)</f>
        <v/>
      </c>
      <c r="BG124" s="241" t="n">
        <v>118</v>
      </c>
      <c r="BH124" s="246">
        <f>IF(calIni+117&lt;=pFinEff,calIni+117,"")</f>
        <v/>
      </c>
      <c r="BI124" s="241">
        <f>IF(BH124="","",WEEKDAY(BH124,2))</f>
        <v/>
      </c>
      <c r="BJ124" s="241">
        <f>IF(BH124="","",SUMIFS(rGasto,rFecha,BH124,rGrupo,"?*"))</f>
        <v/>
      </c>
      <c r="BK124" s="241">
        <f>IF(BH124="","",SUMIFS(rGasto,rFecha,BH124,rGrupo,gCP))</f>
        <v/>
      </c>
      <c r="BL124" s="241">
        <f>IF(BH124="",-1E+12-118,N(BJ124)+(400-118)/1E+7)</f>
        <v/>
      </c>
    </row>
    <row r="125">
      <c r="K125" s="241">
        <f>INDEX(catCat,119)&amp;""</f>
        <v/>
      </c>
      <c r="L125" s="241">
        <f>INDEX(catSub,119)&amp;""</f>
        <v/>
      </c>
      <c r="M125" s="241">
        <f>IF(OR(K125="",L125="",INDEX(catTipo,119)&amp;""&lt;&gt;"Gasto"),"",IF(AND(critCat&lt;&gt;"&lt;&gt;@@@",K125&lt;&gt;critCat),0,SUMIFS(rGasto,rCat,K125,rSub,L125,rFecha,"&gt;="&amp;pIni,rFecha,"&lt;="&amp;pFin,rCtaE,critCta)))</f>
        <v/>
      </c>
      <c r="N125" s="241">
        <f>IF(M125="","",IF(AND(critCat&lt;&gt;"&lt;&gt;@@@",K125&lt;&gt;critCat),0,COUNTIFS(rCat,K125,rSub,L125,rTipoE,"Gasto",rFecha,"&gt;="&amp;pIni,rFecha,"&lt;="&amp;pFin,rCtaE,critCta)))</f>
        <v/>
      </c>
      <c r="O125" s="241">
        <f>IF(M125="",-1E+12-119,N(M125)+(201-119)/1E+7)</f>
        <v/>
      </c>
      <c r="P125" s="241">
        <f>L125&amp;" · "&amp;K125</f>
        <v/>
      </c>
      <c r="R125" s="241" t="n">
        <v>119</v>
      </c>
      <c r="S125" s="241">
        <f>IFERROR(INDEX(rCom,MATCH(119,rComIdx,0))&amp;"","")</f>
        <v/>
      </c>
      <c r="T125" s="241">
        <f>IF(S125="","",SUMIFS(rGasto,rCom,S125,rFecha,"&gt;="&amp;pIni,rFecha,"&lt;="&amp;pFin,rCat,critCat,rCtaE,critCta))</f>
        <v/>
      </c>
      <c r="U125" s="241">
        <f>IF(S125="","",COUNTIFS(rCom,S125,rTipoE,"Gasto",rFecha,"&gt;="&amp;pIni,rFecha,"&lt;="&amp;pFin,rCat,critCat,rCtaE,critCta))</f>
        <v/>
      </c>
      <c r="V125" s="241">
        <f>IF(S125="",-1E+12-119,N(T125)+(301-119)/1E+7)</f>
        <v/>
      </c>
      <c r="W125" s="241">
        <f>IF(S125="","",SUMIFS(rGasto,rCom,S125,rHorm,1,rFecha,"&gt;="&amp;pIni,rFecha,"&lt;="&amp;pFin))</f>
        <v/>
      </c>
      <c r="X125" s="241">
        <f>IF(S125="","",COUNTIFS(rCom,S125,rHorm,1,rFecha,"&gt;="&amp;pIni,rFecha,"&lt;="&amp;pFin))</f>
        <v/>
      </c>
      <c r="Y125" s="241">
        <f>IF(S125="",-1E+12-119,N(W125)+(301-119)/1E+7)</f>
        <v/>
      </c>
      <c r="BG125" s="241" t="n">
        <v>119</v>
      </c>
      <c r="BH125" s="246">
        <f>IF(calIni+118&lt;=pFinEff,calIni+118,"")</f>
        <v/>
      </c>
      <c r="BI125" s="241">
        <f>IF(BH125="","",WEEKDAY(BH125,2))</f>
        <v/>
      </c>
      <c r="BJ125" s="241">
        <f>IF(BH125="","",SUMIFS(rGasto,rFecha,BH125,rGrupo,"?*"))</f>
        <v/>
      </c>
      <c r="BK125" s="241">
        <f>IF(BH125="","",SUMIFS(rGasto,rFecha,BH125,rGrupo,gCP))</f>
        <v/>
      </c>
      <c r="BL125" s="241">
        <f>IF(BH125="",-1E+12-119,N(BJ125)+(400-119)/1E+7)</f>
        <v/>
      </c>
    </row>
    <row r="126">
      <c r="K126" s="241">
        <f>INDEX(catCat,120)&amp;""</f>
        <v/>
      </c>
      <c r="L126" s="241">
        <f>INDEX(catSub,120)&amp;""</f>
        <v/>
      </c>
      <c r="M126" s="241">
        <f>IF(OR(K126="",L126="",INDEX(catTipo,120)&amp;""&lt;&gt;"Gasto"),"",IF(AND(critCat&lt;&gt;"&lt;&gt;@@@",K126&lt;&gt;critCat),0,SUMIFS(rGasto,rCat,K126,rSub,L126,rFecha,"&gt;="&amp;pIni,rFecha,"&lt;="&amp;pFin,rCtaE,critCta)))</f>
        <v/>
      </c>
      <c r="N126" s="241">
        <f>IF(M126="","",IF(AND(critCat&lt;&gt;"&lt;&gt;@@@",K126&lt;&gt;critCat),0,COUNTIFS(rCat,K126,rSub,L126,rTipoE,"Gasto",rFecha,"&gt;="&amp;pIni,rFecha,"&lt;="&amp;pFin,rCtaE,critCta)))</f>
        <v/>
      </c>
      <c r="O126" s="241">
        <f>IF(M126="",-1E+12-120,N(M126)+(201-120)/1E+7)</f>
        <v/>
      </c>
      <c r="P126" s="241">
        <f>L126&amp;" · "&amp;K126</f>
        <v/>
      </c>
      <c r="R126" s="241" t="n">
        <v>120</v>
      </c>
      <c r="S126" s="241">
        <f>IFERROR(INDEX(rCom,MATCH(120,rComIdx,0))&amp;"","")</f>
        <v/>
      </c>
      <c r="T126" s="241">
        <f>IF(S126="","",SUMIFS(rGasto,rCom,S126,rFecha,"&gt;="&amp;pIni,rFecha,"&lt;="&amp;pFin,rCat,critCat,rCtaE,critCta))</f>
        <v/>
      </c>
      <c r="U126" s="241">
        <f>IF(S126="","",COUNTIFS(rCom,S126,rTipoE,"Gasto",rFecha,"&gt;="&amp;pIni,rFecha,"&lt;="&amp;pFin,rCat,critCat,rCtaE,critCta))</f>
        <v/>
      </c>
      <c r="V126" s="241">
        <f>IF(S126="",-1E+12-120,N(T126)+(301-120)/1E+7)</f>
        <v/>
      </c>
      <c r="W126" s="241">
        <f>IF(S126="","",SUMIFS(rGasto,rCom,S126,rHorm,1,rFecha,"&gt;="&amp;pIni,rFecha,"&lt;="&amp;pFin))</f>
        <v/>
      </c>
      <c r="X126" s="241">
        <f>IF(S126="","",COUNTIFS(rCom,S126,rHorm,1,rFecha,"&gt;="&amp;pIni,rFecha,"&lt;="&amp;pFin))</f>
        <v/>
      </c>
      <c r="Y126" s="241">
        <f>IF(S126="",-1E+12-120,N(W126)+(301-120)/1E+7)</f>
        <v/>
      </c>
      <c r="BG126" s="241" t="n">
        <v>120</v>
      </c>
      <c r="BH126" s="246">
        <f>IF(calIni+119&lt;=pFinEff,calIni+119,"")</f>
        <v/>
      </c>
      <c r="BI126" s="241">
        <f>IF(BH126="","",WEEKDAY(BH126,2))</f>
        <v/>
      </c>
      <c r="BJ126" s="241">
        <f>IF(BH126="","",SUMIFS(rGasto,rFecha,BH126,rGrupo,"?*"))</f>
        <v/>
      </c>
      <c r="BK126" s="241">
        <f>IF(BH126="","",SUMIFS(rGasto,rFecha,BH126,rGrupo,gCP))</f>
        <v/>
      </c>
      <c r="BL126" s="241">
        <f>IF(BH126="",-1E+12-120,N(BJ126)+(400-120)/1E+7)</f>
        <v/>
      </c>
    </row>
    <row r="127">
      <c r="K127" s="241">
        <f>INDEX(catCat,121)&amp;""</f>
        <v/>
      </c>
      <c r="L127" s="241">
        <f>INDEX(catSub,121)&amp;""</f>
        <v/>
      </c>
      <c r="M127" s="241">
        <f>IF(OR(K127="",L127="",INDEX(catTipo,121)&amp;""&lt;&gt;"Gasto"),"",IF(AND(critCat&lt;&gt;"&lt;&gt;@@@",K127&lt;&gt;critCat),0,SUMIFS(rGasto,rCat,K127,rSub,L127,rFecha,"&gt;="&amp;pIni,rFecha,"&lt;="&amp;pFin,rCtaE,critCta)))</f>
        <v/>
      </c>
      <c r="N127" s="241">
        <f>IF(M127="","",IF(AND(critCat&lt;&gt;"&lt;&gt;@@@",K127&lt;&gt;critCat),0,COUNTIFS(rCat,K127,rSub,L127,rTipoE,"Gasto",rFecha,"&gt;="&amp;pIni,rFecha,"&lt;="&amp;pFin,rCtaE,critCta)))</f>
        <v/>
      </c>
      <c r="O127" s="241">
        <f>IF(M127="",-1E+12-121,N(M127)+(201-121)/1E+7)</f>
        <v/>
      </c>
      <c r="P127" s="241">
        <f>L127&amp;" · "&amp;K127</f>
        <v/>
      </c>
      <c r="R127" s="241" t="n">
        <v>121</v>
      </c>
      <c r="S127" s="241">
        <f>IFERROR(INDEX(rCom,MATCH(121,rComIdx,0))&amp;"","")</f>
        <v/>
      </c>
      <c r="T127" s="241">
        <f>IF(S127="","",SUMIFS(rGasto,rCom,S127,rFecha,"&gt;="&amp;pIni,rFecha,"&lt;="&amp;pFin,rCat,critCat,rCtaE,critCta))</f>
        <v/>
      </c>
      <c r="U127" s="241">
        <f>IF(S127="","",COUNTIFS(rCom,S127,rTipoE,"Gasto",rFecha,"&gt;="&amp;pIni,rFecha,"&lt;="&amp;pFin,rCat,critCat,rCtaE,critCta))</f>
        <v/>
      </c>
      <c r="V127" s="241">
        <f>IF(S127="",-1E+12-121,N(T127)+(301-121)/1E+7)</f>
        <v/>
      </c>
      <c r="W127" s="241">
        <f>IF(S127="","",SUMIFS(rGasto,rCom,S127,rHorm,1,rFecha,"&gt;="&amp;pIni,rFecha,"&lt;="&amp;pFin))</f>
        <v/>
      </c>
      <c r="X127" s="241">
        <f>IF(S127="","",COUNTIFS(rCom,S127,rHorm,1,rFecha,"&gt;="&amp;pIni,rFecha,"&lt;="&amp;pFin))</f>
        <v/>
      </c>
      <c r="Y127" s="241">
        <f>IF(S127="",-1E+12-121,N(W127)+(301-121)/1E+7)</f>
        <v/>
      </c>
      <c r="BG127" s="241" t="n">
        <v>121</v>
      </c>
      <c r="BH127" s="246">
        <f>IF(calIni+120&lt;=pFinEff,calIni+120,"")</f>
        <v/>
      </c>
      <c r="BI127" s="241">
        <f>IF(BH127="","",WEEKDAY(BH127,2))</f>
        <v/>
      </c>
      <c r="BJ127" s="241">
        <f>IF(BH127="","",SUMIFS(rGasto,rFecha,BH127,rGrupo,"?*"))</f>
        <v/>
      </c>
      <c r="BK127" s="241">
        <f>IF(BH127="","",SUMIFS(rGasto,rFecha,BH127,rGrupo,gCP))</f>
        <v/>
      </c>
      <c r="BL127" s="241">
        <f>IF(BH127="",-1E+12-121,N(BJ127)+(400-121)/1E+7)</f>
        <v/>
      </c>
    </row>
    <row r="128">
      <c r="K128" s="241">
        <f>INDEX(catCat,122)&amp;""</f>
        <v/>
      </c>
      <c r="L128" s="241">
        <f>INDEX(catSub,122)&amp;""</f>
        <v/>
      </c>
      <c r="M128" s="241">
        <f>IF(OR(K128="",L128="",INDEX(catTipo,122)&amp;""&lt;&gt;"Gasto"),"",IF(AND(critCat&lt;&gt;"&lt;&gt;@@@",K128&lt;&gt;critCat),0,SUMIFS(rGasto,rCat,K128,rSub,L128,rFecha,"&gt;="&amp;pIni,rFecha,"&lt;="&amp;pFin,rCtaE,critCta)))</f>
        <v/>
      </c>
      <c r="N128" s="241">
        <f>IF(M128="","",IF(AND(critCat&lt;&gt;"&lt;&gt;@@@",K128&lt;&gt;critCat),0,COUNTIFS(rCat,K128,rSub,L128,rTipoE,"Gasto",rFecha,"&gt;="&amp;pIni,rFecha,"&lt;="&amp;pFin,rCtaE,critCta)))</f>
        <v/>
      </c>
      <c r="O128" s="241">
        <f>IF(M128="",-1E+12-122,N(M128)+(201-122)/1E+7)</f>
        <v/>
      </c>
      <c r="P128" s="241">
        <f>L128&amp;" · "&amp;K128</f>
        <v/>
      </c>
      <c r="R128" s="241" t="n">
        <v>122</v>
      </c>
      <c r="S128" s="241">
        <f>IFERROR(INDEX(rCom,MATCH(122,rComIdx,0))&amp;"","")</f>
        <v/>
      </c>
      <c r="T128" s="241">
        <f>IF(S128="","",SUMIFS(rGasto,rCom,S128,rFecha,"&gt;="&amp;pIni,rFecha,"&lt;="&amp;pFin,rCat,critCat,rCtaE,critCta))</f>
        <v/>
      </c>
      <c r="U128" s="241">
        <f>IF(S128="","",COUNTIFS(rCom,S128,rTipoE,"Gasto",rFecha,"&gt;="&amp;pIni,rFecha,"&lt;="&amp;pFin,rCat,critCat,rCtaE,critCta))</f>
        <v/>
      </c>
      <c r="V128" s="241">
        <f>IF(S128="",-1E+12-122,N(T128)+(301-122)/1E+7)</f>
        <v/>
      </c>
      <c r="W128" s="241">
        <f>IF(S128="","",SUMIFS(rGasto,rCom,S128,rHorm,1,rFecha,"&gt;="&amp;pIni,rFecha,"&lt;="&amp;pFin))</f>
        <v/>
      </c>
      <c r="X128" s="241">
        <f>IF(S128="","",COUNTIFS(rCom,S128,rHorm,1,rFecha,"&gt;="&amp;pIni,rFecha,"&lt;="&amp;pFin))</f>
        <v/>
      </c>
      <c r="Y128" s="241">
        <f>IF(S128="",-1E+12-122,N(W128)+(301-122)/1E+7)</f>
        <v/>
      </c>
      <c r="BG128" s="241" t="n">
        <v>122</v>
      </c>
      <c r="BH128" s="246">
        <f>IF(calIni+121&lt;=pFinEff,calIni+121,"")</f>
        <v/>
      </c>
      <c r="BI128" s="241">
        <f>IF(BH128="","",WEEKDAY(BH128,2))</f>
        <v/>
      </c>
      <c r="BJ128" s="241">
        <f>IF(BH128="","",SUMIFS(rGasto,rFecha,BH128,rGrupo,"?*"))</f>
        <v/>
      </c>
      <c r="BK128" s="241">
        <f>IF(BH128="","",SUMIFS(rGasto,rFecha,BH128,rGrupo,gCP))</f>
        <v/>
      </c>
      <c r="BL128" s="241">
        <f>IF(BH128="",-1E+12-122,N(BJ128)+(400-122)/1E+7)</f>
        <v/>
      </c>
    </row>
    <row r="129">
      <c r="K129" s="241">
        <f>INDEX(catCat,123)&amp;""</f>
        <v/>
      </c>
      <c r="L129" s="241">
        <f>INDEX(catSub,123)&amp;""</f>
        <v/>
      </c>
      <c r="M129" s="241">
        <f>IF(OR(K129="",L129="",INDEX(catTipo,123)&amp;""&lt;&gt;"Gasto"),"",IF(AND(critCat&lt;&gt;"&lt;&gt;@@@",K129&lt;&gt;critCat),0,SUMIFS(rGasto,rCat,K129,rSub,L129,rFecha,"&gt;="&amp;pIni,rFecha,"&lt;="&amp;pFin,rCtaE,critCta)))</f>
        <v/>
      </c>
      <c r="N129" s="241">
        <f>IF(M129="","",IF(AND(critCat&lt;&gt;"&lt;&gt;@@@",K129&lt;&gt;critCat),0,COUNTIFS(rCat,K129,rSub,L129,rTipoE,"Gasto",rFecha,"&gt;="&amp;pIni,rFecha,"&lt;="&amp;pFin,rCtaE,critCta)))</f>
        <v/>
      </c>
      <c r="O129" s="241">
        <f>IF(M129="",-1E+12-123,N(M129)+(201-123)/1E+7)</f>
        <v/>
      </c>
      <c r="P129" s="241">
        <f>L129&amp;" · "&amp;K129</f>
        <v/>
      </c>
      <c r="R129" s="241" t="n">
        <v>123</v>
      </c>
      <c r="S129" s="241">
        <f>IFERROR(INDEX(rCom,MATCH(123,rComIdx,0))&amp;"","")</f>
        <v/>
      </c>
      <c r="T129" s="241">
        <f>IF(S129="","",SUMIFS(rGasto,rCom,S129,rFecha,"&gt;="&amp;pIni,rFecha,"&lt;="&amp;pFin,rCat,critCat,rCtaE,critCta))</f>
        <v/>
      </c>
      <c r="U129" s="241">
        <f>IF(S129="","",COUNTIFS(rCom,S129,rTipoE,"Gasto",rFecha,"&gt;="&amp;pIni,rFecha,"&lt;="&amp;pFin,rCat,critCat,rCtaE,critCta))</f>
        <v/>
      </c>
      <c r="V129" s="241">
        <f>IF(S129="",-1E+12-123,N(T129)+(301-123)/1E+7)</f>
        <v/>
      </c>
      <c r="W129" s="241">
        <f>IF(S129="","",SUMIFS(rGasto,rCom,S129,rHorm,1,rFecha,"&gt;="&amp;pIni,rFecha,"&lt;="&amp;pFin))</f>
        <v/>
      </c>
      <c r="X129" s="241">
        <f>IF(S129="","",COUNTIFS(rCom,S129,rHorm,1,rFecha,"&gt;="&amp;pIni,rFecha,"&lt;="&amp;pFin))</f>
        <v/>
      </c>
      <c r="Y129" s="241">
        <f>IF(S129="",-1E+12-123,N(W129)+(301-123)/1E+7)</f>
        <v/>
      </c>
      <c r="BG129" s="241" t="n">
        <v>123</v>
      </c>
      <c r="BH129" s="246">
        <f>IF(calIni+122&lt;=pFinEff,calIni+122,"")</f>
        <v/>
      </c>
      <c r="BI129" s="241">
        <f>IF(BH129="","",WEEKDAY(BH129,2))</f>
        <v/>
      </c>
      <c r="BJ129" s="241">
        <f>IF(BH129="","",SUMIFS(rGasto,rFecha,BH129,rGrupo,"?*"))</f>
        <v/>
      </c>
      <c r="BK129" s="241">
        <f>IF(BH129="","",SUMIFS(rGasto,rFecha,BH129,rGrupo,gCP))</f>
        <v/>
      </c>
      <c r="BL129" s="241">
        <f>IF(BH129="",-1E+12-123,N(BJ129)+(400-123)/1E+7)</f>
        <v/>
      </c>
    </row>
    <row r="130">
      <c r="K130" s="241">
        <f>INDEX(catCat,124)&amp;""</f>
        <v/>
      </c>
      <c r="L130" s="241">
        <f>INDEX(catSub,124)&amp;""</f>
        <v/>
      </c>
      <c r="M130" s="241">
        <f>IF(OR(K130="",L130="",INDEX(catTipo,124)&amp;""&lt;&gt;"Gasto"),"",IF(AND(critCat&lt;&gt;"&lt;&gt;@@@",K130&lt;&gt;critCat),0,SUMIFS(rGasto,rCat,K130,rSub,L130,rFecha,"&gt;="&amp;pIni,rFecha,"&lt;="&amp;pFin,rCtaE,critCta)))</f>
        <v/>
      </c>
      <c r="N130" s="241">
        <f>IF(M130="","",IF(AND(critCat&lt;&gt;"&lt;&gt;@@@",K130&lt;&gt;critCat),0,COUNTIFS(rCat,K130,rSub,L130,rTipoE,"Gasto",rFecha,"&gt;="&amp;pIni,rFecha,"&lt;="&amp;pFin,rCtaE,critCta)))</f>
        <v/>
      </c>
      <c r="O130" s="241">
        <f>IF(M130="",-1E+12-124,N(M130)+(201-124)/1E+7)</f>
        <v/>
      </c>
      <c r="P130" s="241">
        <f>L130&amp;" · "&amp;K130</f>
        <v/>
      </c>
      <c r="R130" s="241" t="n">
        <v>124</v>
      </c>
      <c r="S130" s="241">
        <f>IFERROR(INDEX(rCom,MATCH(124,rComIdx,0))&amp;"","")</f>
        <v/>
      </c>
      <c r="T130" s="241">
        <f>IF(S130="","",SUMIFS(rGasto,rCom,S130,rFecha,"&gt;="&amp;pIni,rFecha,"&lt;="&amp;pFin,rCat,critCat,rCtaE,critCta))</f>
        <v/>
      </c>
      <c r="U130" s="241">
        <f>IF(S130="","",COUNTIFS(rCom,S130,rTipoE,"Gasto",rFecha,"&gt;="&amp;pIni,rFecha,"&lt;="&amp;pFin,rCat,critCat,rCtaE,critCta))</f>
        <v/>
      </c>
      <c r="V130" s="241">
        <f>IF(S130="",-1E+12-124,N(T130)+(301-124)/1E+7)</f>
        <v/>
      </c>
      <c r="W130" s="241">
        <f>IF(S130="","",SUMIFS(rGasto,rCom,S130,rHorm,1,rFecha,"&gt;="&amp;pIni,rFecha,"&lt;="&amp;pFin))</f>
        <v/>
      </c>
      <c r="X130" s="241">
        <f>IF(S130="","",COUNTIFS(rCom,S130,rHorm,1,rFecha,"&gt;="&amp;pIni,rFecha,"&lt;="&amp;pFin))</f>
        <v/>
      </c>
      <c r="Y130" s="241">
        <f>IF(S130="",-1E+12-124,N(W130)+(301-124)/1E+7)</f>
        <v/>
      </c>
      <c r="BG130" s="241" t="n">
        <v>124</v>
      </c>
      <c r="BH130" s="246">
        <f>IF(calIni+123&lt;=pFinEff,calIni+123,"")</f>
        <v/>
      </c>
      <c r="BI130" s="241">
        <f>IF(BH130="","",WEEKDAY(BH130,2))</f>
        <v/>
      </c>
      <c r="BJ130" s="241">
        <f>IF(BH130="","",SUMIFS(rGasto,rFecha,BH130,rGrupo,"?*"))</f>
        <v/>
      </c>
      <c r="BK130" s="241">
        <f>IF(BH130="","",SUMIFS(rGasto,rFecha,BH130,rGrupo,gCP))</f>
        <v/>
      </c>
      <c r="BL130" s="241">
        <f>IF(BH130="",-1E+12-124,N(BJ130)+(400-124)/1E+7)</f>
        <v/>
      </c>
    </row>
    <row r="131">
      <c r="K131" s="241">
        <f>INDEX(catCat,125)&amp;""</f>
        <v/>
      </c>
      <c r="L131" s="241">
        <f>INDEX(catSub,125)&amp;""</f>
        <v/>
      </c>
      <c r="M131" s="241">
        <f>IF(OR(K131="",L131="",INDEX(catTipo,125)&amp;""&lt;&gt;"Gasto"),"",IF(AND(critCat&lt;&gt;"&lt;&gt;@@@",K131&lt;&gt;critCat),0,SUMIFS(rGasto,rCat,K131,rSub,L131,rFecha,"&gt;="&amp;pIni,rFecha,"&lt;="&amp;pFin,rCtaE,critCta)))</f>
        <v/>
      </c>
      <c r="N131" s="241">
        <f>IF(M131="","",IF(AND(critCat&lt;&gt;"&lt;&gt;@@@",K131&lt;&gt;critCat),0,COUNTIFS(rCat,K131,rSub,L131,rTipoE,"Gasto",rFecha,"&gt;="&amp;pIni,rFecha,"&lt;="&amp;pFin,rCtaE,critCta)))</f>
        <v/>
      </c>
      <c r="O131" s="241">
        <f>IF(M131="",-1E+12-125,N(M131)+(201-125)/1E+7)</f>
        <v/>
      </c>
      <c r="P131" s="241">
        <f>L131&amp;" · "&amp;K131</f>
        <v/>
      </c>
      <c r="R131" s="241" t="n">
        <v>125</v>
      </c>
      <c r="S131" s="241">
        <f>IFERROR(INDEX(rCom,MATCH(125,rComIdx,0))&amp;"","")</f>
        <v/>
      </c>
      <c r="T131" s="241">
        <f>IF(S131="","",SUMIFS(rGasto,rCom,S131,rFecha,"&gt;="&amp;pIni,rFecha,"&lt;="&amp;pFin,rCat,critCat,rCtaE,critCta))</f>
        <v/>
      </c>
      <c r="U131" s="241">
        <f>IF(S131="","",COUNTIFS(rCom,S131,rTipoE,"Gasto",rFecha,"&gt;="&amp;pIni,rFecha,"&lt;="&amp;pFin,rCat,critCat,rCtaE,critCta))</f>
        <v/>
      </c>
      <c r="V131" s="241">
        <f>IF(S131="",-1E+12-125,N(T131)+(301-125)/1E+7)</f>
        <v/>
      </c>
      <c r="W131" s="241">
        <f>IF(S131="","",SUMIFS(rGasto,rCom,S131,rHorm,1,rFecha,"&gt;="&amp;pIni,rFecha,"&lt;="&amp;pFin))</f>
        <v/>
      </c>
      <c r="X131" s="241">
        <f>IF(S131="","",COUNTIFS(rCom,S131,rHorm,1,rFecha,"&gt;="&amp;pIni,rFecha,"&lt;="&amp;pFin))</f>
        <v/>
      </c>
      <c r="Y131" s="241">
        <f>IF(S131="",-1E+12-125,N(W131)+(301-125)/1E+7)</f>
        <v/>
      </c>
      <c r="BG131" s="241" t="n">
        <v>125</v>
      </c>
      <c r="BH131" s="246">
        <f>IF(calIni+124&lt;=pFinEff,calIni+124,"")</f>
        <v/>
      </c>
      <c r="BI131" s="241">
        <f>IF(BH131="","",WEEKDAY(BH131,2))</f>
        <v/>
      </c>
      <c r="BJ131" s="241">
        <f>IF(BH131="","",SUMIFS(rGasto,rFecha,BH131,rGrupo,"?*"))</f>
        <v/>
      </c>
      <c r="BK131" s="241">
        <f>IF(BH131="","",SUMIFS(rGasto,rFecha,BH131,rGrupo,gCP))</f>
        <v/>
      </c>
      <c r="BL131" s="241">
        <f>IF(BH131="",-1E+12-125,N(BJ131)+(400-125)/1E+7)</f>
        <v/>
      </c>
    </row>
    <row r="132">
      <c r="K132" s="241">
        <f>INDEX(catCat,126)&amp;""</f>
        <v/>
      </c>
      <c r="L132" s="241">
        <f>INDEX(catSub,126)&amp;""</f>
        <v/>
      </c>
      <c r="M132" s="241">
        <f>IF(OR(K132="",L132="",INDEX(catTipo,126)&amp;""&lt;&gt;"Gasto"),"",IF(AND(critCat&lt;&gt;"&lt;&gt;@@@",K132&lt;&gt;critCat),0,SUMIFS(rGasto,rCat,K132,rSub,L132,rFecha,"&gt;="&amp;pIni,rFecha,"&lt;="&amp;pFin,rCtaE,critCta)))</f>
        <v/>
      </c>
      <c r="N132" s="241">
        <f>IF(M132="","",IF(AND(critCat&lt;&gt;"&lt;&gt;@@@",K132&lt;&gt;critCat),0,COUNTIFS(rCat,K132,rSub,L132,rTipoE,"Gasto",rFecha,"&gt;="&amp;pIni,rFecha,"&lt;="&amp;pFin,rCtaE,critCta)))</f>
        <v/>
      </c>
      <c r="O132" s="241">
        <f>IF(M132="",-1E+12-126,N(M132)+(201-126)/1E+7)</f>
        <v/>
      </c>
      <c r="P132" s="241">
        <f>L132&amp;" · "&amp;K132</f>
        <v/>
      </c>
      <c r="R132" s="241" t="n">
        <v>126</v>
      </c>
      <c r="S132" s="241">
        <f>IFERROR(INDEX(rCom,MATCH(126,rComIdx,0))&amp;"","")</f>
        <v/>
      </c>
      <c r="T132" s="241">
        <f>IF(S132="","",SUMIFS(rGasto,rCom,S132,rFecha,"&gt;="&amp;pIni,rFecha,"&lt;="&amp;pFin,rCat,critCat,rCtaE,critCta))</f>
        <v/>
      </c>
      <c r="U132" s="241">
        <f>IF(S132="","",COUNTIFS(rCom,S132,rTipoE,"Gasto",rFecha,"&gt;="&amp;pIni,rFecha,"&lt;="&amp;pFin,rCat,critCat,rCtaE,critCta))</f>
        <v/>
      </c>
      <c r="V132" s="241">
        <f>IF(S132="",-1E+12-126,N(T132)+(301-126)/1E+7)</f>
        <v/>
      </c>
      <c r="W132" s="241">
        <f>IF(S132="","",SUMIFS(rGasto,rCom,S132,rHorm,1,rFecha,"&gt;="&amp;pIni,rFecha,"&lt;="&amp;pFin))</f>
        <v/>
      </c>
      <c r="X132" s="241">
        <f>IF(S132="","",COUNTIFS(rCom,S132,rHorm,1,rFecha,"&gt;="&amp;pIni,rFecha,"&lt;="&amp;pFin))</f>
        <v/>
      </c>
      <c r="Y132" s="241">
        <f>IF(S132="",-1E+12-126,N(W132)+(301-126)/1E+7)</f>
        <v/>
      </c>
      <c r="BG132" s="241" t="n">
        <v>126</v>
      </c>
      <c r="BH132" s="246">
        <f>IF(calIni+125&lt;=pFinEff,calIni+125,"")</f>
        <v/>
      </c>
      <c r="BI132" s="241">
        <f>IF(BH132="","",WEEKDAY(BH132,2))</f>
        <v/>
      </c>
      <c r="BJ132" s="241">
        <f>IF(BH132="","",SUMIFS(rGasto,rFecha,BH132,rGrupo,"?*"))</f>
        <v/>
      </c>
      <c r="BK132" s="241">
        <f>IF(BH132="","",SUMIFS(rGasto,rFecha,BH132,rGrupo,gCP))</f>
        <v/>
      </c>
      <c r="BL132" s="241">
        <f>IF(BH132="",-1E+12-126,N(BJ132)+(400-126)/1E+7)</f>
        <v/>
      </c>
    </row>
    <row r="133">
      <c r="K133" s="241">
        <f>INDEX(catCat,127)&amp;""</f>
        <v/>
      </c>
      <c r="L133" s="241">
        <f>INDEX(catSub,127)&amp;""</f>
        <v/>
      </c>
      <c r="M133" s="241">
        <f>IF(OR(K133="",L133="",INDEX(catTipo,127)&amp;""&lt;&gt;"Gasto"),"",IF(AND(critCat&lt;&gt;"&lt;&gt;@@@",K133&lt;&gt;critCat),0,SUMIFS(rGasto,rCat,K133,rSub,L133,rFecha,"&gt;="&amp;pIni,rFecha,"&lt;="&amp;pFin,rCtaE,critCta)))</f>
        <v/>
      </c>
      <c r="N133" s="241">
        <f>IF(M133="","",IF(AND(critCat&lt;&gt;"&lt;&gt;@@@",K133&lt;&gt;critCat),0,COUNTIFS(rCat,K133,rSub,L133,rTipoE,"Gasto",rFecha,"&gt;="&amp;pIni,rFecha,"&lt;="&amp;pFin,rCtaE,critCta)))</f>
        <v/>
      </c>
      <c r="O133" s="241">
        <f>IF(M133="",-1E+12-127,N(M133)+(201-127)/1E+7)</f>
        <v/>
      </c>
      <c r="P133" s="241">
        <f>L133&amp;" · "&amp;K133</f>
        <v/>
      </c>
      <c r="R133" s="241" t="n">
        <v>127</v>
      </c>
      <c r="S133" s="241">
        <f>IFERROR(INDEX(rCom,MATCH(127,rComIdx,0))&amp;"","")</f>
        <v/>
      </c>
      <c r="T133" s="241">
        <f>IF(S133="","",SUMIFS(rGasto,rCom,S133,rFecha,"&gt;="&amp;pIni,rFecha,"&lt;="&amp;pFin,rCat,critCat,rCtaE,critCta))</f>
        <v/>
      </c>
      <c r="U133" s="241">
        <f>IF(S133="","",COUNTIFS(rCom,S133,rTipoE,"Gasto",rFecha,"&gt;="&amp;pIni,rFecha,"&lt;="&amp;pFin,rCat,critCat,rCtaE,critCta))</f>
        <v/>
      </c>
      <c r="V133" s="241">
        <f>IF(S133="",-1E+12-127,N(T133)+(301-127)/1E+7)</f>
        <v/>
      </c>
      <c r="W133" s="241">
        <f>IF(S133="","",SUMIFS(rGasto,rCom,S133,rHorm,1,rFecha,"&gt;="&amp;pIni,rFecha,"&lt;="&amp;pFin))</f>
        <v/>
      </c>
      <c r="X133" s="241">
        <f>IF(S133="","",COUNTIFS(rCom,S133,rHorm,1,rFecha,"&gt;="&amp;pIni,rFecha,"&lt;="&amp;pFin))</f>
        <v/>
      </c>
      <c r="Y133" s="241">
        <f>IF(S133="",-1E+12-127,N(W133)+(301-127)/1E+7)</f>
        <v/>
      </c>
      <c r="BG133" s="241" t="n">
        <v>127</v>
      </c>
      <c r="BH133" s="246">
        <f>IF(calIni+126&lt;=pFinEff,calIni+126,"")</f>
        <v/>
      </c>
      <c r="BI133" s="241">
        <f>IF(BH133="","",WEEKDAY(BH133,2))</f>
        <v/>
      </c>
      <c r="BJ133" s="241">
        <f>IF(BH133="","",SUMIFS(rGasto,rFecha,BH133,rGrupo,"?*"))</f>
        <v/>
      </c>
      <c r="BK133" s="241">
        <f>IF(BH133="","",SUMIFS(rGasto,rFecha,BH133,rGrupo,gCP))</f>
        <v/>
      </c>
      <c r="BL133" s="241">
        <f>IF(BH133="",-1E+12-127,N(BJ133)+(400-127)/1E+7)</f>
        <v/>
      </c>
    </row>
    <row r="134">
      <c r="K134" s="241">
        <f>INDEX(catCat,128)&amp;""</f>
        <v/>
      </c>
      <c r="L134" s="241">
        <f>INDEX(catSub,128)&amp;""</f>
        <v/>
      </c>
      <c r="M134" s="241">
        <f>IF(OR(K134="",L134="",INDEX(catTipo,128)&amp;""&lt;&gt;"Gasto"),"",IF(AND(critCat&lt;&gt;"&lt;&gt;@@@",K134&lt;&gt;critCat),0,SUMIFS(rGasto,rCat,K134,rSub,L134,rFecha,"&gt;="&amp;pIni,rFecha,"&lt;="&amp;pFin,rCtaE,critCta)))</f>
        <v/>
      </c>
      <c r="N134" s="241">
        <f>IF(M134="","",IF(AND(critCat&lt;&gt;"&lt;&gt;@@@",K134&lt;&gt;critCat),0,COUNTIFS(rCat,K134,rSub,L134,rTipoE,"Gasto",rFecha,"&gt;="&amp;pIni,rFecha,"&lt;="&amp;pFin,rCtaE,critCta)))</f>
        <v/>
      </c>
      <c r="O134" s="241">
        <f>IF(M134="",-1E+12-128,N(M134)+(201-128)/1E+7)</f>
        <v/>
      </c>
      <c r="P134" s="241">
        <f>L134&amp;" · "&amp;K134</f>
        <v/>
      </c>
      <c r="R134" s="241" t="n">
        <v>128</v>
      </c>
      <c r="S134" s="241">
        <f>IFERROR(INDEX(rCom,MATCH(128,rComIdx,0))&amp;"","")</f>
        <v/>
      </c>
      <c r="T134" s="241">
        <f>IF(S134="","",SUMIFS(rGasto,rCom,S134,rFecha,"&gt;="&amp;pIni,rFecha,"&lt;="&amp;pFin,rCat,critCat,rCtaE,critCta))</f>
        <v/>
      </c>
      <c r="U134" s="241">
        <f>IF(S134="","",COUNTIFS(rCom,S134,rTipoE,"Gasto",rFecha,"&gt;="&amp;pIni,rFecha,"&lt;="&amp;pFin,rCat,critCat,rCtaE,critCta))</f>
        <v/>
      </c>
      <c r="V134" s="241">
        <f>IF(S134="",-1E+12-128,N(T134)+(301-128)/1E+7)</f>
        <v/>
      </c>
      <c r="W134" s="241">
        <f>IF(S134="","",SUMIFS(rGasto,rCom,S134,rHorm,1,rFecha,"&gt;="&amp;pIni,rFecha,"&lt;="&amp;pFin))</f>
        <v/>
      </c>
      <c r="X134" s="241">
        <f>IF(S134="","",COUNTIFS(rCom,S134,rHorm,1,rFecha,"&gt;="&amp;pIni,rFecha,"&lt;="&amp;pFin))</f>
        <v/>
      </c>
      <c r="Y134" s="241">
        <f>IF(S134="",-1E+12-128,N(W134)+(301-128)/1E+7)</f>
        <v/>
      </c>
      <c r="BG134" s="241" t="n">
        <v>128</v>
      </c>
      <c r="BH134" s="246">
        <f>IF(calIni+127&lt;=pFinEff,calIni+127,"")</f>
        <v/>
      </c>
      <c r="BI134" s="241">
        <f>IF(BH134="","",WEEKDAY(BH134,2))</f>
        <v/>
      </c>
      <c r="BJ134" s="241">
        <f>IF(BH134="","",SUMIFS(rGasto,rFecha,BH134,rGrupo,"?*"))</f>
        <v/>
      </c>
      <c r="BK134" s="241">
        <f>IF(BH134="","",SUMIFS(rGasto,rFecha,BH134,rGrupo,gCP))</f>
        <v/>
      </c>
      <c r="BL134" s="241">
        <f>IF(BH134="",-1E+12-128,N(BJ134)+(400-128)/1E+7)</f>
        <v/>
      </c>
    </row>
    <row r="135">
      <c r="K135" s="241">
        <f>INDEX(catCat,129)&amp;""</f>
        <v/>
      </c>
      <c r="L135" s="241">
        <f>INDEX(catSub,129)&amp;""</f>
        <v/>
      </c>
      <c r="M135" s="241">
        <f>IF(OR(K135="",L135="",INDEX(catTipo,129)&amp;""&lt;&gt;"Gasto"),"",IF(AND(critCat&lt;&gt;"&lt;&gt;@@@",K135&lt;&gt;critCat),0,SUMIFS(rGasto,rCat,K135,rSub,L135,rFecha,"&gt;="&amp;pIni,rFecha,"&lt;="&amp;pFin,rCtaE,critCta)))</f>
        <v/>
      </c>
      <c r="N135" s="241">
        <f>IF(M135="","",IF(AND(critCat&lt;&gt;"&lt;&gt;@@@",K135&lt;&gt;critCat),0,COUNTIFS(rCat,K135,rSub,L135,rTipoE,"Gasto",rFecha,"&gt;="&amp;pIni,rFecha,"&lt;="&amp;pFin,rCtaE,critCta)))</f>
        <v/>
      </c>
      <c r="O135" s="241">
        <f>IF(M135="",-1E+12-129,N(M135)+(201-129)/1E+7)</f>
        <v/>
      </c>
      <c r="P135" s="241">
        <f>L135&amp;" · "&amp;K135</f>
        <v/>
      </c>
      <c r="R135" s="241" t="n">
        <v>129</v>
      </c>
      <c r="S135" s="241">
        <f>IFERROR(INDEX(rCom,MATCH(129,rComIdx,0))&amp;"","")</f>
        <v/>
      </c>
      <c r="T135" s="241">
        <f>IF(S135="","",SUMIFS(rGasto,rCom,S135,rFecha,"&gt;="&amp;pIni,rFecha,"&lt;="&amp;pFin,rCat,critCat,rCtaE,critCta))</f>
        <v/>
      </c>
      <c r="U135" s="241">
        <f>IF(S135="","",COUNTIFS(rCom,S135,rTipoE,"Gasto",rFecha,"&gt;="&amp;pIni,rFecha,"&lt;="&amp;pFin,rCat,critCat,rCtaE,critCta))</f>
        <v/>
      </c>
      <c r="V135" s="241">
        <f>IF(S135="",-1E+12-129,N(T135)+(301-129)/1E+7)</f>
        <v/>
      </c>
      <c r="W135" s="241">
        <f>IF(S135="","",SUMIFS(rGasto,rCom,S135,rHorm,1,rFecha,"&gt;="&amp;pIni,rFecha,"&lt;="&amp;pFin))</f>
        <v/>
      </c>
      <c r="X135" s="241">
        <f>IF(S135="","",COUNTIFS(rCom,S135,rHorm,1,rFecha,"&gt;="&amp;pIni,rFecha,"&lt;="&amp;pFin))</f>
        <v/>
      </c>
      <c r="Y135" s="241">
        <f>IF(S135="",-1E+12-129,N(W135)+(301-129)/1E+7)</f>
        <v/>
      </c>
      <c r="BG135" s="241" t="n">
        <v>129</v>
      </c>
      <c r="BH135" s="246">
        <f>IF(calIni+128&lt;=pFinEff,calIni+128,"")</f>
        <v/>
      </c>
      <c r="BI135" s="241">
        <f>IF(BH135="","",WEEKDAY(BH135,2))</f>
        <v/>
      </c>
      <c r="BJ135" s="241">
        <f>IF(BH135="","",SUMIFS(rGasto,rFecha,BH135,rGrupo,"?*"))</f>
        <v/>
      </c>
      <c r="BK135" s="241">
        <f>IF(BH135="","",SUMIFS(rGasto,rFecha,BH135,rGrupo,gCP))</f>
        <v/>
      </c>
      <c r="BL135" s="241">
        <f>IF(BH135="",-1E+12-129,N(BJ135)+(400-129)/1E+7)</f>
        <v/>
      </c>
    </row>
    <row r="136">
      <c r="K136" s="241">
        <f>INDEX(catCat,130)&amp;""</f>
        <v/>
      </c>
      <c r="L136" s="241">
        <f>INDEX(catSub,130)&amp;""</f>
        <v/>
      </c>
      <c r="M136" s="241">
        <f>IF(OR(K136="",L136="",INDEX(catTipo,130)&amp;""&lt;&gt;"Gasto"),"",IF(AND(critCat&lt;&gt;"&lt;&gt;@@@",K136&lt;&gt;critCat),0,SUMIFS(rGasto,rCat,K136,rSub,L136,rFecha,"&gt;="&amp;pIni,rFecha,"&lt;="&amp;pFin,rCtaE,critCta)))</f>
        <v/>
      </c>
      <c r="N136" s="241">
        <f>IF(M136="","",IF(AND(critCat&lt;&gt;"&lt;&gt;@@@",K136&lt;&gt;critCat),0,COUNTIFS(rCat,K136,rSub,L136,rTipoE,"Gasto",rFecha,"&gt;="&amp;pIni,rFecha,"&lt;="&amp;pFin,rCtaE,critCta)))</f>
        <v/>
      </c>
      <c r="O136" s="241">
        <f>IF(M136="",-1E+12-130,N(M136)+(201-130)/1E+7)</f>
        <v/>
      </c>
      <c r="P136" s="241">
        <f>L136&amp;" · "&amp;K136</f>
        <v/>
      </c>
      <c r="R136" s="241" t="n">
        <v>130</v>
      </c>
      <c r="S136" s="241">
        <f>IFERROR(INDEX(rCom,MATCH(130,rComIdx,0))&amp;"","")</f>
        <v/>
      </c>
      <c r="T136" s="241">
        <f>IF(S136="","",SUMIFS(rGasto,rCom,S136,rFecha,"&gt;="&amp;pIni,rFecha,"&lt;="&amp;pFin,rCat,critCat,rCtaE,critCta))</f>
        <v/>
      </c>
      <c r="U136" s="241">
        <f>IF(S136="","",COUNTIFS(rCom,S136,rTipoE,"Gasto",rFecha,"&gt;="&amp;pIni,rFecha,"&lt;="&amp;pFin,rCat,critCat,rCtaE,critCta))</f>
        <v/>
      </c>
      <c r="V136" s="241">
        <f>IF(S136="",-1E+12-130,N(T136)+(301-130)/1E+7)</f>
        <v/>
      </c>
      <c r="W136" s="241">
        <f>IF(S136="","",SUMIFS(rGasto,rCom,S136,rHorm,1,rFecha,"&gt;="&amp;pIni,rFecha,"&lt;="&amp;pFin))</f>
        <v/>
      </c>
      <c r="X136" s="241">
        <f>IF(S136="","",COUNTIFS(rCom,S136,rHorm,1,rFecha,"&gt;="&amp;pIni,rFecha,"&lt;="&amp;pFin))</f>
        <v/>
      </c>
      <c r="Y136" s="241">
        <f>IF(S136="",-1E+12-130,N(W136)+(301-130)/1E+7)</f>
        <v/>
      </c>
      <c r="BG136" s="241" t="n">
        <v>130</v>
      </c>
      <c r="BH136" s="246">
        <f>IF(calIni+129&lt;=pFinEff,calIni+129,"")</f>
        <v/>
      </c>
      <c r="BI136" s="241">
        <f>IF(BH136="","",WEEKDAY(BH136,2))</f>
        <v/>
      </c>
      <c r="BJ136" s="241">
        <f>IF(BH136="","",SUMIFS(rGasto,rFecha,BH136,rGrupo,"?*"))</f>
        <v/>
      </c>
      <c r="BK136" s="241">
        <f>IF(BH136="","",SUMIFS(rGasto,rFecha,BH136,rGrupo,gCP))</f>
        <v/>
      </c>
      <c r="BL136" s="241">
        <f>IF(BH136="",-1E+12-130,N(BJ136)+(400-130)/1E+7)</f>
        <v/>
      </c>
    </row>
    <row r="137">
      <c r="K137" s="241">
        <f>INDEX(catCat,131)&amp;""</f>
        <v/>
      </c>
      <c r="L137" s="241">
        <f>INDEX(catSub,131)&amp;""</f>
        <v/>
      </c>
      <c r="M137" s="241">
        <f>IF(OR(K137="",L137="",INDEX(catTipo,131)&amp;""&lt;&gt;"Gasto"),"",IF(AND(critCat&lt;&gt;"&lt;&gt;@@@",K137&lt;&gt;critCat),0,SUMIFS(rGasto,rCat,K137,rSub,L137,rFecha,"&gt;="&amp;pIni,rFecha,"&lt;="&amp;pFin,rCtaE,critCta)))</f>
        <v/>
      </c>
      <c r="N137" s="241">
        <f>IF(M137="","",IF(AND(critCat&lt;&gt;"&lt;&gt;@@@",K137&lt;&gt;critCat),0,COUNTIFS(rCat,K137,rSub,L137,rTipoE,"Gasto",rFecha,"&gt;="&amp;pIni,rFecha,"&lt;="&amp;pFin,rCtaE,critCta)))</f>
        <v/>
      </c>
      <c r="O137" s="241">
        <f>IF(M137="",-1E+12-131,N(M137)+(201-131)/1E+7)</f>
        <v/>
      </c>
      <c r="P137" s="241">
        <f>L137&amp;" · "&amp;K137</f>
        <v/>
      </c>
      <c r="R137" s="241" t="n">
        <v>131</v>
      </c>
      <c r="S137" s="241">
        <f>IFERROR(INDEX(rCom,MATCH(131,rComIdx,0))&amp;"","")</f>
        <v/>
      </c>
      <c r="T137" s="241">
        <f>IF(S137="","",SUMIFS(rGasto,rCom,S137,rFecha,"&gt;="&amp;pIni,rFecha,"&lt;="&amp;pFin,rCat,critCat,rCtaE,critCta))</f>
        <v/>
      </c>
      <c r="U137" s="241">
        <f>IF(S137="","",COUNTIFS(rCom,S137,rTipoE,"Gasto",rFecha,"&gt;="&amp;pIni,rFecha,"&lt;="&amp;pFin,rCat,critCat,rCtaE,critCta))</f>
        <v/>
      </c>
      <c r="V137" s="241">
        <f>IF(S137="",-1E+12-131,N(T137)+(301-131)/1E+7)</f>
        <v/>
      </c>
      <c r="W137" s="241">
        <f>IF(S137="","",SUMIFS(rGasto,rCom,S137,rHorm,1,rFecha,"&gt;="&amp;pIni,rFecha,"&lt;="&amp;pFin))</f>
        <v/>
      </c>
      <c r="X137" s="241">
        <f>IF(S137="","",COUNTIFS(rCom,S137,rHorm,1,rFecha,"&gt;="&amp;pIni,rFecha,"&lt;="&amp;pFin))</f>
        <v/>
      </c>
      <c r="Y137" s="241">
        <f>IF(S137="",-1E+12-131,N(W137)+(301-131)/1E+7)</f>
        <v/>
      </c>
      <c r="BG137" s="241" t="n">
        <v>131</v>
      </c>
      <c r="BH137" s="246">
        <f>IF(calIni+130&lt;=pFinEff,calIni+130,"")</f>
        <v/>
      </c>
      <c r="BI137" s="241">
        <f>IF(BH137="","",WEEKDAY(BH137,2))</f>
        <v/>
      </c>
      <c r="BJ137" s="241">
        <f>IF(BH137="","",SUMIFS(rGasto,rFecha,BH137,rGrupo,"?*"))</f>
        <v/>
      </c>
      <c r="BK137" s="241">
        <f>IF(BH137="","",SUMIFS(rGasto,rFecha,BH137,rGrupo,gCP))</f>
        <v/>
      </c>
      <c r="BL137" s="241">
        <f>IF(BH137="",-1E+12-131,N(BJ137)+(400-131)/1E+7)</f>
        <v/>
      </c>
    </row>
    <row r="138">
      <c r="K138" s="241">
        <f>INDEX(catCat,132)&amp;""</f>
        <v/>
      </c>
      <c r="L138" s="241">
        <f>INDEX(catSub,132)&amp;""</f>
        <v/>
      </c>
      <c r="M138" s="241">
        <f>IF(OR(K138="",L138="",INDEX(catTipo,132)&amp;""&lt;&gt;"Gasto"),"",IF(AND(critCat&lt;&gt;"&lt;&gt;@@@",K138&lt;&gt;critCat),0,SUMIFS(rGasto,rCat,K138,rSub,L138,rFecha,"&gt;="&amp;pIni,rFecha,"&lt;="&amp;pFin,rCtaE,critCta)))</f>
        <v/>
      </c>
      <c r="N138" s="241">
        <f>IF(M138="","",IF(AND(critCat&lt;&gt;"&lt;&gt;@@@",K138&lt;&gt;critCat),0,COUNTIFS(rCat,K138,rSub,L138,rTipoE,"Gasto",rFecha,"&gt;="&amp;pIni,rFecha,"&lt;="&amp;pFin,rCtaE,critCta)))</f>
        <v/>
      </c>
      <c r="O138" s="241">
        <f>IF(M138="",-1E+12-132,N(M138)+(201-132)/1E+7)</f>
        <v/>
      </c>
      <c r="P138" s="241">
        <f>L138&amp;" · "&amp;K138</f>
        <v/>
      </c>
      <c r="R138" s="241" t="n">
        <v>132</v>
      </c>
      <c r="S138" s="241">
        <f>IFERROR(INDEX(rCom,MATCH(132,rComIdx,0))&amp;"","")</f>
        <v/>
      </c>
      <c r="T138" s="241">
        <f>IF(S138="","",SUMIFS(rGasto,rCom,S138,rFecha,"&gt;="&amp;pIni,rFecha,"&lt;="&amp;pFin,rCat,critCat,rCtaE,critCta))</f>
        <v/>
      </c>
      <c r="U138" s="241">
        <f>IF(S138="","",COUNTIFS(rCom,S138,rTipoE,"Gasto",rFecha,"&gt;="&amp;pIni,rFecha,"&lt;="&amp;pFin,rCat,critCat,rCtaE,critCta))</f>
        <v/>
      </c>
      <c r="V138" s="241">
        <f>IF(S138="",-1E+12-132,N(T138)+(301-132)/1E+7)</f>
        <v/>
      </c>
      <c r="W138" s="241">
        <f>IF(S138="","",SUMIFS(rGasto,rCom,S138,rHorm,1,rFecha,"&gt;="&amp;pIni,rFecha,"&lt;="&amp;pFin))</f>
        <v/>
      </c>
      <c r="X138" s="241">
        <f>IF(S138="","",COUNTIFS(rCom,S138,rHorm,1,rFecha,"&gt;="&amp;pIni,rFecha,"&lt;="&amp;pFin))</f>
        <v/>
      </c>
      <c r="Y138" s="241">
        <f>IF(S138="",-1E+12-132,N(W138)+(301-132)/1E+7)</f>
        <v/>
      </c>
      <c r="BG138" s="241" t="n">
        <v>132</v>
      </c>
      <c r="BH138" s="246">
        <f>IF(calIni+131&lt;=pFinEff,calIni+131,"")</f>
        <v/>
      </c>
      <c r="BI138" s="241">
        <f>IF(BH138="","",WEEKDAY(BH138,2))</f>
        <v/>
      </c>
      <c r="BJ138" s="241">
        <f>IF(BH138="","",SUMIFS(rGasto,rFecha,BH138,rGrupo,"?*"))</f>
        <v/>
      </c>
      <c r="BK138" s="241">
        <f>IF(BH138="","",SUMIFS(rGasto,rFecha,BH138,rGrupo,gCP))</f>
        <v/>
      </c>
      <c r="BL138" s="241">
        <f>IF(BH138="",-1E+12-132,N(BJ138)+(400-132)/1E+7)</f>
        <v/>
      </c>
    </row>
    <row r="139">
      <c r="K139" s="241">
        <f>INDEX(catCat,133)&amp;""</f>
        <v/>
      </c>
      <c r="L139" s="241">
        <f>INDEX(catSub,133)&amp;""</f>
        <v/>
      </c>
      <c r="M139" s="241">
        <f>IF(OR(K139="",L139="",INDEX(catTipo,133)&amp;""&lt;&gt;"Gasto"),"",IF(AND(critCat&lt;&gt;"&lt;&gt;@@@",K139&lt;&gt;critCat),0,SUMIFS(rGasto,rCat,K139,rSub,L139,rFecha,"&gt;="&amp;pIni,rFecha,"&lt;="&amp;pFin,rCtaE,critCta)))</f>
        <v/>
      </c>
      <c r="N139" s="241">
        <f>IF(M139="","",IF(AND(critCat&lt;&gt;"&lt;&gt;@@@",K139&lt;&gt;critCat),0,COUNTIFS(rCat,K139,rSub,L139,rTipoE,"Gasto",rFecha,"&gt;="&amp;pIni,rFecha,"&lt;="&amp;pFin,rCtaE,critCta)))</f>
        <v/>
      </c>
      <c r="O139" s="241">
        <f>IF(M139="",-1E+12-133,N(M139)+(201-133)/1E+7)</f>
        <v/>
      </c>
      <c r="P139" s="241">
        <f>L139&amp;" · "&amp;K139</f>
        <v/>
      </c>
      <c r="R139" s="241" t="n">
        <v>133</v>
      </c>
      <c r="S139" s="241">
        <f>IFERROR(INDEX(rCom,MATCH(133,rComIdx,0))&amp;"","")</f>
        <v/>
      </c>
      <c r="T139" s="241">
        <f>IF(S139="","",SUMIFS(rGasto,rCom,S139,rFecha,"&gt;="&amp;pIni,rFecha,"&lt;="&amp;pFin,rCat,critCat,rCtaE,critCta))</f>
        <v/>
      </c>
      <c r="U139" s="241">
        <f>IF(S139="","",COUNTIFS(rCom,S139,rTipoE,"Gasto",rFecha,"&gt;="&amp;pIni,rFecha,"&lt;="&amp;pFin,rCat,critCat,rCtaE,critCta))</f>
        <v/>
      </c>
      <c r="V139" s="241">
        <f>IF(S139="",-1E+12-133,N(T139)+(301-133)/1E+7)</f>
        <v/>
      </c>
      <c r="W139" s="241">
        <f>IF(S139="","",SUMIFS(rGasto,rCom,S139,rHorm,1,rFecha,"&gt;="&amp;pIni,rFecha,"&lt;="&amp;pFin))</f>
        <v/>
      </c>
      <c r="X139" s="241">
        <f>IF(S139="","",COUNTIFS(rCom,S139,rHorm,1,rFecha,"&gt;="&amp;pIni,rFecha,"&lt;="&amp;pFin))</f>
        <v/>
      </c>
      <c r="Y139" s="241">
        <f>IF(S139="",-1E+12-133,N(W139)+(301-133)/1E+7)</f>
        <v/>
      </c>
      <c r="BG139" s="241" t="n">
        <v>133</v>
      </c>
      <c r="BH139" s="246">
        <f>IF(calIni+132&lt;=pFinEff,calIni+132,"")</f>
        <v/>
      </c>
      <c r="BI139" s="241">
        <f>IF(BH139="","",WEEKDAY(BH139,2))</f>
        <v/>
      </c>
      <c r="BJ139" s="241">
        <f>IF(BH139="","",SUMIFS(rGasto,rFecha,BH139,rGrupo,"?*"))</f>
        <v/>
      </c>
      <c r="BK139" s="241">
        <f>IF(BH139="","",SUMIFS(rGasto,rFecha,BH139,rGrupo,gCP))</f>
        <v/>
      </c>
      <c r="BL139" s="241">
        <f>IF(BH139="",-1E+12-133,N(BJ139)+(400-133)/1E+7)</f>
        <v/>
      </c>
    </row>
    <row r="140">
      <c r="K140" s="241">
        <f>INDEX(catCat,134)&amp;""</f>
        <v/>
      </c>
      <c r="L140" s="241">
        <f>INDEX(catSub,134)&amp;""</f>
        <v/>
      </c>
      <c r="M140" s="241">
        <f>IF(OR(K140="",L140="",INDEX(catTipo,134)&amp;""&lt;&gt;"Gasto"),"",IF(AND(critCat&lt;&gt;"&lt;&gt;@@@",K140&lt;&gt;critCat),0,SUMIFS(rGasto,rCat,K140,rSub,L140,rFecha,"&gt;="&amp;pIni,rFecha,"&lt;="&amp;pFin,rCtaE,critCta)))</f>
        <v/>
      </c>
      <c r="N140" s="241">
        <f>IF(M140="","",IF(AND(critCat&lt;&gt;"&lt;&gt;@@@",K140&lt;&gt;critCat),0,COUNTIFS(rCat,K140,rSub,L140,rTipoE,"Gasto",rFecha,"&gt;="&amp;pIni,rFecha,"&lt;="&amp;pFin,rCtaE,critCta)))</f>
        <v/>
      </c>
      <c r="O140" s="241">
        <f>IF(M140="",-1E+12-134,N(M140)+(201-134)/1E+7)</f>
        <v/>
      </c>
      <c r="P140" s="241">
        <f>L140&amp;" · "&amp;K140</f>
        <v/>
      </c>
      <c r="R140" s="241" t="n">
        <v>134</v>
      </c>
      <c r="S140" s="241">
        <f>IFERROR(INDEX(rCom,MATCH(134,rComIdx,0))&amp;"","")</f>
        <v/>
      </c>
      <c r="T140" s="241">
        <f>IF(S140="","",SUMIFS(rGasto,rCom,S140,rFecha,"&gt;="&amp;pIni,rFecha,"&lt;="&amp;pFin,rCat,critCat,rCtaE,critCta))</f>
        <v/>
      </c>
      <c r="U140" s="241">
        <f>IF(S140="","",COUNTIFS(rCom,S140,rTipoE,"Gasto",rFecha,"&gt;="&amp;pIni,rFecha,"&lt;="&amp;pFin,rCat,critCat,rCtaE,critCta))</f>
        <v/>
      </c>
      <c r="V140" s="241">
        <f>IF(S140="",-1E+12-134,N(T140)+(301-134)/1E+7)</f>
        <v/>
      </c>
      <c r="W140" s="241">
        <f>IF(S140="","",SUMIFS(rGasto,rCom,S140,rHorm,1,rFecha,"&gt;="&amp;pIni,rFecha,"&lt;="&amp;pFin))</f>
        <v/>
      </c>
      <c r="X140" s="241">
        <f>IF(S140="","",COUNTIFS(rCom,S140,rHorm,1,rFecha,"&gt;="&amp;pIni,rFecha,"&lt;="&amp;pFin))</f>
        <v/>
      </c>
      <c r="Y140" s="241">
        <f>IF(S140="",-1E+12-134,N(W140)+(301-134)/1E+7)</f>
        <v/>
      </c>
      <c r="BG140" s="241" t="n">
        <v>134</v>
      </c>
      <c r="BH140" s="246">
        <f>IF(calIni+133&lt;=pFinEff,calIni+133,"")</f>
        <v/>
      </c>
      <c r="BI140" s="241">
        <f>IF(BH140="","",WEEKDAY(BH140,2))</f>
        <v/>
      </c>
      <c r="BJ140" s="241">
        <f>IF(BH140="","",SUMIFS(rGasto,rFecha,BH140,rGrupo,"?*"))</f>
        <v/>
      </c>
      <c r="BK140" s="241">
        <f>IF(BH140="","",SUMIFS(rGasto,rFecha,BH140,rGrupo,gCP))</f>
        <v/>
      </c>
      <c r="BL140" s="241">
        <f>IF(BH140="",-1E+12-134,N(BJ140)+(400-134)/1E+7)</f>
        <v/>
      </c>
    </row>
    <row r="141">
      <c r="K141" s="241">
        <f>INDEX(catCat,135)&amp;""</f>
        <v/>
      </c>
      <c r="L141" s="241">
        <f>INDEX(catSub,135)&amp;""</f>
        <v/>
      </c>
      <c r="M141" s="241">
        <f>IF(OR(K141="",L141="",INDEX(catTipo,135)&amp;""&lt;&gt;"Gasto"),"",IF(AND(critCat&lt;&gt;"&lt;&gt;@@@",K141&lt;&gt;critCat),0,SUMIFS(rGasto,rCat,K141,rSub,L141,rFecha,"&gt;="&amp;pIni,rFecha,"&lt;="&amp;pFin,rCtaE,critCta)))</f>
        <v/>
      </c>
      <c r="N141" s="241">
        <f>IF(M141="","",IF(AND(critCat&lt;&gt;"&lt;&gt;@@@",K141&lt;&gt;critCat),0,COUNTIFS(rCat,K141,rSub,L141,rTipoE,"Gasto",rFecha,"&gt;="&amp;pIni,rFecha,"&lt;="&amp;pFin,rCtaE,critCta)))</f>
        <v/>
      </c>
      <c r="O141" s="241">
        <f>IF(M141="",-1E+12-135,N(M141)+(201-135)/1E+7)</f>
        <v/>
      </c>
      <c r="P141" s="241">
        <f>L141&amp;" · "&amp;K141</f>
        <v/>
      </c>
      <c r="R141" s="241" t="n">
        <v>135</v>
      </c>
      <c r="S141" s="241">
        <f>IFERROR(INDEX(rCom,MATCH(135,rComIdx,0))&amp;"","")</f>
        <v/>
      </c>
      <c r="T141" s="241">
        <f>IF(S141="","",SUMIFS(rGasto,rCom,S141,rFecha,"&gt;="&amp;pIni,rFecha,"&lt;="&amp;pFin,rCat,critCat,rCtaE,critCta))</f>
        <v/>
      </c>
      <c r="U141" s="241">
        <f>IF(S141="","",COUNTIFS(rCom,S141,rTipoE,"Gasto",rFecha,"&gt;="&amp;pIni,rFecha,"&lt;="&amp;pFin,rCat,critCat,rCtaE,critCta))</f>
        <v/>
      </c>
      <c r="V141" s="241">
        <f>IF(S141="",-1E+12-135,N(T141)+(301-135)/1E+7)</f>
        <v/>
      </c>
      <c r="W141" s="241">
        <f>IF(S141="","",SUMIFS(rGasto,rCom,S141,rHorm,1,rFecha,"&gt;="&amp;pIni,rFecha,"&lt;="&amp;pFin))</f>
        <v/>
      </c>
      <c r="X141" s="241">
        <f>IF(S141="","",COUNTIFS(rCom,S141,rHorm,1,rFecha,"&gt;="&amp;pIni,rFecha,"&lt;="&amp;pFin))</f>
        <v/>
      </c>
      <c r="Y141" s="241">
        <f>IF(S141="",-1E+12-135,N(W141)+(301-135)/1E+7)</f>
        <v/>
      </c>
      <c r="BG141" s="241" t="n">
        <v>135</v>
      </c>
      <c r="BH141" s="246">
        <f>IF(calIni+134&lt;=pFinEff,calIni+134,"")</f>
        <v/>
      </c>
      <c r="BI141" s="241">
        <f>IF(BH141="","",WEEKDAY(BH141,2))</f>
        <v/>
      </c>
      <c r="BJ141" s="241">
        <f>IF(BH141="","",SUMIFS(rGasto,rFecha,BH141,rGrupo,"?*"))</f>
        <v/>
      </c>
      <c r="BK141" s="241">
        <f>IF(BH141="","",SUMIFS(rGasto,rFecha,BH141,rGrupo,gCP))</f>
        <v/>
      </c>
      <c r="BL141" s="241">
        <f>IF(BH141="",-1E+12-135,N(BJ141)+(400-135)/1E+7)</f>
        <v/>
      </c>
    </row>
    <row r="142">
      <c r="K142" s="241">
        <f>INDEX(catCat,136)&amp;""</f>
        <v/>
      </c>
      <c r="L142" s="241">
        <f>INDEX(catSub,136)&amp;""</f>
        <v/>
      </c>
      <c r="M142" s="241">
        <f>IF(OR(K142="",L142="",INDEX(catTipo,136)&amp;""&lt;&gt;"Gasto"),"",IF(AND(critCat&lt;&gt;"&lt;&gt;@@@",K142&lt;&gt;critCat),0,SUMIFS(rGasto,rCat,K142,rSub,L142,rFecha,"&gt;="&amp;pIni,rFecha,"&lt;="&amp;pFin,rCtaE,critCta)))</f>
        <v/>
      </c>
      <c r="N142" s="241">
        <f>IF(M142="","",IF(AND(critCat&lt;&gt;"&lt;&gt;@@@",K142&lt;&gt;critCat),0,COUNTIFS(rCat,K142,rSub,L142,rTipoE,"Gasto",rFecha,"&gt;="&amp;pIni,rFecha,"&lt;="&amp;pFin,rCtaE,critCta)))</f>
        <v/>
      </c>
      <c r="O142" s="241">
        <f>IF(M142="",-1E+12-136,N(M142)+(201-136)/1E+7)</f>
        <v/>
      </c>
      <c r="P142" s="241">
        <f>L142&amp;" · "&amp;K142</f>
        <v/>
      </c>
      <c r="R142" s="241" t="n">
        <v>136</v>
      </c>
      <c r="S142" s="241">
        <f>IFERROR(INDEX(rCom,MATCH(136,rComIdx,0))&amp;"","")</f>
        <v/>
      </c>
      <c r="T142" s="241">
        <f>IF(S142="","",SUMIFS(rGasto,rCom,S142,rFecha,"&gt;="&amp;pIni,rFecha,"&lt;="&amp;pFin,rCat,critCat,rCtaE,critCta))</f>
        <v/>
      </c>
      <c r="U142" s="241">
        <f>IF(S142="","",COUNTIFS(rCom,S142,rTipoE,"Gasto",rFecha,"&gt;="&amp;pIni,rFecha,"&lt;="&amp;pFin,rCat,critCat,rCtaE,critCta))</f>
        <v/>
      </c>
      <c r="V142" s="241">
        <f>IF(S142="",-1E+12-136,N(T142)+(301-136)/1E+7)</f>
        <v/>
      </c>
      <c r="W142" s="241">
        <f>IF(S142="","",SUMIFS(rGasto,rCom,S142,rHorm,1,rFecha,"&gt;="&amp;pIni,rFecha,"&lt;="&amp;pFin))</f>
        <v/>
      </c>
      <c r="X142" s="241">
        <f>IF(S142="","",COUNTIFS(rCom,S142,rHorm,1,rFecha,"&gt;="&amp;pIni,rFecha,"&lt;="&amp;pFin))</f>
        <v/>
      </c>
      <c r="Y142" s="241">
        <f>IF(S142="",-1E+12-136,N(W142)+(301-136)/1E+7)</f>
        <v/>
      </c>
      <c r="BG142" s="241" t="n">
        <v>136</v>
      </c>
      <c r="BH142" s="246">
        <f>IF(calIni+135&lt;=pFinEff,calIni+135,"")</f>
        <v/>
      </c>
      <c r="BI142" s="241">
        <f>IF(BH142="","",WEEKDAY(BH142,2))</f>
        <v/>
      </c>
      <c r="BJ142" s="241">
        <f>IF(BH142="","",SUMIFS(rGasto,rFecha,BH142,rGrupo,"?*"))</f>
        <v/>
      </c>
      <c r="BK142" s="241">
        <f>IF(BH142="","",SUMIFS(rGasto,rFecha,BH142,rGrupo,gCP))</f>
        <v/>
      </c>
      <c r="BL142" s="241">
        <f>IF(BH142="",-1E+12-136,N(BJ142)+(400-136)/1E+7)</f>
        <v/>
      </c>
    </row>
    <row r="143">
      <c r="K143" s="241">
        <f>INDEX(catCat,137)&amp;""</f>
        <v/>
      </c>
      <c r="L143" s="241">
        <f>INDEX(catSub,137)&amp;""</f>
        <v/>
      </c>
      <c r="M143" s="241">
        <f>IF(OR(K143="",L143="",INDEX(catTipo,137)&amp;""&lt;&gt;"Gasto"),"",IF(AND(critCat&lt;&gt;"&lt;&gt;@@@",K143&lt;&gt;critCat),0,SUMIFS(rGasto,rCat,K143,rSub,L143,rFecha,"&gt;="&amp;pIni,rFecha,"&lt;="&amp;pFin,rCtaE,critCta)))</f>
        <v/>
      </c>
      <c r="N143" s="241">
        <f>IF(M143="","",IF(AND(critCat&lt;&gt;"&lt;&gt;@@@",K143&lt;&gt;critCat),0,COUNTIFS(rCat,K143,rSub,L143,rTipoE,"Gasto",rFecha,"&gt;="&amp;pIni,rFecha,"&lt;="&amp;pFin,rCtaE,critCta)))</f>
        <v/>
      </c>
      <c r="O143" s="241">
        <f>IF(M143="",-1E+12-137,N(M143)+(201-137)/1E+7)</f>
        <v/>
      </c>
      <c r="P143" s="241">
        <f>L143&amp;" · "&amp;K143</f>
        <v/>
      </c>
      <c r="R143" s="241" t="n">
        <v>137</v>
      </c>
      <c r="S143" s="241">
        <f>IFERROR(INDEX(rCom,MATCH(137,rComIdx,0))&amp;"","")</f>
        <v/>
      </c>
      <c r="T143" s="241">
        <f>IF(S143="","",SUMIFS(rGasto,rCom,S143,rFecha,"&gt;="&amp;pIni,rFecha,"&lt;="&amp;pFin,rCat,critCat,rCtaE,critCta))</f>
        <v/>
      </c>
      <c r="U143" s="241">
        <f>IF(S143="","",COUNTIFS(rCom,S143,rTipoE,"Gasto",rFecha,"&gt;="&amp;pIni,rFecha,"&lt;="&amp;pFin,rCat,critCat,rCtaE,critCta))</f>
        <v/>
      </c>
      <c r="V143" s="241">
        <f>IF(S143="",-1E+12-137,N(T143)+(301-137)/1E+7)</f>
        <v/>
      </c>
      <c r="W143" s="241">
        <f>IF(S143="","",SUMIFS(rGasto,rCom,S143,rHorm,1,rFecha,"&gt;="&amp;pIni,rFecha,"&lt;="&amp;pFin))</f>
        <v/>
      </c>
      <c r="X143" s="241">
        <f>IF(S143="","",COUNTIFS(rCom,S143,rHorm,1,rFecha,"&gt;="&amp;pIni,rFecha,"&lt;="&amp;pFin))</f>
        <v/>
      </c>
      <c r="Y143" s="241">
        <f>IF(S143="",-1E+12-137,N(W143)+(301-137)/1E+7)</f>
        <v/>
      </c>
      <c r="BG143" s="241" t="n">
        <v>137</v>
      </c>
      <c r="BH143" s="246">
        <f>IF(calIni+136&lt;=pFinEff,calIni+136,"")</f>
        <v/>
      </c>
      <c r="BI143" s="241">
        <f>IF(BH143="","",WEEKDAY(BH143,2))</f>
        <v/>
      </c>
      <c r="BJ143" s="241">
        <f>IF(BH143="","",SUMIFS(rGasto,rFecha,BH143,rGrupo,"?*"))</f>
        <v/>
      </c>
      <c r="BK143" s="241">
        <f>IF(BH143="","",SUMIFS(rGasto,rFecha,BH143,rGrupo,gCP))</f>
        <v/>
      </c>
      <c r="BL143" s="241">
        <f>IF(BH143="",-1E+12-137,N(BJ143)+(400-137)/1E+7)</f>
        <v/>
      </c>
    </row>
    <row r="144">
      <c r="K144" s="241">
        <f>INDEX(catCat,138)&amp;""</f>
        <v/>
      </c>
      <c r="L144" s="241">
        <f>INDEX(catSub,138)&amp;""</f>
        <v/>
      </c>
      <c r="M144" s="241">
        <f>IF(OR(K144="",L144="",INDEX(catTipo,138)&amp;""&lt;&gt;"Gasto"),"",IF(AND(critCat&lt;&gt;"&lt;&gt;@@@",K144&lt;&gt;critCat),0,SUMIFS(rGasto,rCat,K144,rSub,L144,rFecha,"&gt;="&amp;pIni,rFecha,"&lt;="&amp;pFin,rCtaE,critCta)))</f>
        <v/>
      </c>
      <c r="N144" s="241">
        <f>IF(M144="","",IF(AND(critCat&lt;&gt;"&lt;&gt;@@@",K144&lt;&gt;critCat),0,COUNTIFS(rCat,K144,rSub,L144,rTipoE,"Gasto",rFecha,"&gt;="&amp;pIni,rFecha,"&lt;="&amp;pFin,rCtaE,critCta)))</f>
        <v/>
      </c>
      <c r="O144" s="241">
        <f>IF(M144="",-1E+12-138,N(M144)+(201-138)/1E+7)</f>
        <v/>
      </c>
      <c r="P144" s="241">
        <f>L144&amp;" · "&amp;K144</f>
        <v/>
      </c>
      <c r="R144" s="241" t="n">
        <v>138</v>
      </c>
      <c r="S144" s="241">
        <f>IFERROR(INDEX(rCom,MATCH(138,rComIdx,0))&amp;"","")</f>
        <v/>
      </c>
      <c r="T144" s="241">
        <f>IF(S144="","",SUMIFS(rGasto,rCom,S144,rFecha,"&gt;="&amp;pIni,rFecha,"&lt;="&amp;pFin,rCat,critCat,rCtaE,critCta))</f>
        <v/>
      </c>
      <c r="U144" s="241">
        <f>IF(S144="","",COUNTIFS(rCom,S144,rTipoE,"Gasto",rFecha,"&gt;="&amp;pIni,rFecha,"&lt;="&amp;pFin,rCat,critCat,rCtaE,critCta))</f>
        <v/>
      </c>
      <c r="V144" s="241">
        <f>IF(S144="",-1E+12-138,N(T144)+(301-138)/1E+7)</f>
        <v/>
      </c>
      <c r="W144" s="241">
        <f>IF(S144="","",SUMIFS(rGasto,rCom,S144,rHorm,1,rFecha,"&gt;="&amp;pIni,rFecha,"&lt;="&amp;pFin))</f>
        <v/>
      </c>
      <c r="X144" s="241">
        <f>IF(S144="","",COUNTIFS(rCom,S144,rHorm,1,rFecha,"&gt;="&amp;pIni,rFecha,"&lt;="&amp;pFin))</f>
        <v/>
      </c>
      <c r="Y144" s="241">
        <f>IF(S144="",-1E+12-138,N(W144)+(301-138)/1E+7)</f>
        <v/>
      </c>
      <c r="BG144" s="241" t="n">
        <v>138</v>
      </c>
      <c r="BH144" s="246">
        <f>IF(calIni+137&lt;=pFinEff,calIni+137,"")</f>
        <v/>
      </c>
      <c r="BI144" s="241">
        <f>IF(BH144="","",WEEKDAY(BH144,2))</f>
        <v/>
      </c>
      <c r="BJ144" s="241">
        <f>IF(BH144="","",SUMIFS(rGasto,rFecha,BH144,rGrupo,"?*"))</f>
        <v/>
      </c>
      <c r="BK144" s="241">
        <f>IF(BH144="","",SUMIFS(rGasto,rFecha,BH144,rGrupo,gCP))</f>
        <v/>
      </c>
      <c r="BL144" s="241">
        <f>IF(BH144="",-1E+12-138,N(BJ144)+(400-138)/1E+7)</f>
        <v/>
      </c>
    </row>
    <row r="145">
      <c r="K145" s="241">
        <f>INDEX(catCat,139)&amp;""</f>
        <v/>
      </c>
      <c r="L145" s="241">
        <f>INDEX(catSub,139)&amp;""</f>
        <v/>
      </c>
      <c r="M145" s="241">
        <f>IF(OR(K145="",L145="",INDEX(catTipo,139)&amp;""&lt;&gt;"Gasto"),"",IF(AND(critCat&lt;&gt;"&lt;&gt;@@@",K145&lt;&gt;critCat),0,SUMIFS(rGasto,rCat,K145,rSub,L145,rFecha,"&gt;="&amp;pIni,rFecha,"&lt;="&amp;pFin,rCtaE,critCta)))</f>
        <v/>
      </c>
      <c r="N145" s="241">
        <f>IF(M145="","",IF(AND(critCat&lt;&gt;"&lt;&gt;@@@",K145&lt;&gt;critCat),0,COUNTIFS(rCat,K145,rSub,L145,rTipoE,"Gasto",rFecha,"&gt;="&amp;pIni,rFecha,"&lt;="&amp;pFin,rCtaE,critCta)))</f>
        <v/>
      </c>
      <c r="O145" s="241">
        <f>IF(M145="",-1E+12-139,N(M145)+(201-139)/1E+7)</f>
        <v/>
      </c>
      <c r="P145" s="241">
        <f>L145&amp;" · "&amp;K145</f>
        <v/>
      </c>
      <c r="R145" s="241" t="n">
        <v>139</v>
      </c>
      <c r="S145" s="241">
        <f>IFERROR(INDEX(rCom,MATCH(139,rComIdx,0))&amp;"","")</f>
        <v/>
      </c>
      <c r="T145" s="241">
        <f>IF(S145="","",SUMIFS(rGasto,rCom,S145,rFecha,"&gt;="&amp;pIni,rFecha,"&lt;="&amp;pFin,rCat,critCat,rCtaE,critCta))</f>
        <v/>
      </c>
      <c r="U145" s="241">
        <f>IF(S145="","",COUNTIFS(rCom,S145,rTipoE,"Gasto",rFecha,"&gt;="&amp;pIni,rFecha,"&lt;="&amp;pFin,rCat,critCat,rCtaE,critCta))</f>
        <v/>
      </c>
      <c r="V145" s="241">
        <f>IF(S145="",-1E+12-139,N(T145)+(301-139)/1E+7)</f>
        <v/>
      </c>
      <c r="W145" s="241">
        <f>IF(S145="","",SUMIFS(rGasto,rCom,S145,rHorm,1,rFecha,"&gt;="&amp;pIni,rFecha,"&lt;="&amp;pFin))</f>
        <v/>
      </c>
      <c r="X145" s="241">
        <f>IF(S145="","",COUNTIFS(rCom,S145,rHorm,1,rFecha,"&gt;="&amp;pIni,rFecha,"&lt;="&amp;pFin))</f>
        <v/>
      </c>
      <c r="Y145" s="241">
        <f>IF(S145="",-1E+12-139,N(W145)+(301-139)/1E+7)</f>
        <v/>
      </c>
      <c r="BG145" s="241" t="n">
        <v>139</v>
      </c>
      <c r="BH145" s="246">
        <f>IF(calIni+138&lt;=pFinEff,calIni+138,"")</f>
        <v/>
      </c>
      <c r="BI145" s="241">
        <f>IF(BH145="","",WEEKDAY(BH145,2))</f>
        <v/>
      </c>
      <c r="BJ145" s="241">
        <f>IF(BH145="","",SUMIFS(rGasto,rFecha,BH145,rGrupo,"?*"))</f>
        <v/>
      </c>
      <c r="BK145" s="241">
        <f>IF(BH145="","",SUMIFS(rGasto,rFecha,BH145,rGrupo,gCP))</f>
        <v/>
      </c>
      <c r="BL145" s="241">
        <f>IF(BH145="",-1E+12-139,N(BJ145)+(400-139)/1E+7)</f>
        <v/>
      </c>
    </row>
    <row r="146">
      <c r="K146" s="241">
        <f>INDEX(catCat,140)&amp;""</f>
        <v/>
      </c>
      <c r="L146" s="241">
        <f>INDEX(catSub,140)&amp;""</f>
        <v/>
      </c>
      <c r="M146" s="241">
        <f>IF(OR(K146="",L146="",INDEX(catTipo,140)&amp;""&lt;&gt;"Gasto"),"",IF(AND(critCat&lt;&gt;"&lt;&gt;@@@",K146&lt;&gt;critCat),0,SUMIFS(rGasto,rCat,K146,rSub,L146,rFecha,"&gt;="&amp;pIni,rFecha,"&lt;="&amp;pFin,rCtaE,critCta)))</f>
        <v/>
      </c>
      <c r="N146" s="241">
        <f>IF(M146="","",IF(AND(critCat&lt;&gt;"&lt;&gt;@@@",K146&lt;&gt;critCat),0,COUNTIFS(rCat,K146,rSub,L146,rTipoE,"Gasto",rFecha,"&gt;="&amp;pIni,rFecha,"&lt;="&amp;pFin,rCtaE,critCta)))</f>
        <v/>
      </c>
      <c r="O146" s="241">
        <f>IF(M146="",-1E+12-140,N(M146)+(201-140)/1E+7)</f>
        <v/>
      </c>
      <c r="P146" s="241">
        <f>L146&amp;" · "&amp;K146</f>
        <v/>
      </c>
      <c r="R146" s="241" t="n">
        <v>140</v>
      </c>
      <c r="S146" s="241">
        <f>IFERROR(INDEX(rCom,MATCH(140,rComIdx,0))&amp;"","")</f>
        <v/>
      </c>
      <c r="T146" s="241">
        <f>IF(S146="","",SUMIFS(rGasto,rCom,S146,rFecha,"&gt;="&amp;pIni,rFecha,"&lt;="&amp;pFin,rCat,critCat,rCtaE,critCta))</f>
        <v/>
      </c>
      <c r="U146" s="241">
        <f>IF(S146="","",COUNTIFS(rCom,S146,rTipoE,"Gasto",rFecha,"&gt;="&amp;pIni,rFecha,"&lt;="&amp;pFin,rCat,critCat,rCtaE,critCta))</f>
        <v/>
      </c>
      <c r="V146" s="241">
        <f>IF(S146="",-1E+12-140,N(T146)+(301-140)/1E+7)</f>
        <v/>
      </c>
      <c r="W146" s="241">
        <f>IF(S146="","",SUMIFS(rGasto,rCom,S146,rHorm,1,rFecha,"&gt;="&amp;pIni,rFecha,"&lt;="&amp;pFin))</f>
        <v/>
      </c>
      <c r="X146" s="241">
        <f>IF(S146="","",COUNTIFS(rCom,S146,rHorm,1,rFecha,"&gt;="&amp;pIni,rFecha,"&lt;="&amp;pFin))</f>
        <v/>
      </c>
      <c r="Y146" s="241">
        <f>IF(S146="",-1E+12-140,N(W146)+(301-140)/1E+7)</f>
        <v/>
      </c>
      <c r="BG146" s="241" t="n">
        <v>140</v>
      </c>
      <c r="BH146" s="246">
        <f>IF(calIni+139&lt;=pFinEff,calIni+139,"")</f>
        <v/>
      </c>
      <c r="BI146" s="241">
        <f>IF(BH146="","",WEEKDAY(BH146,2))</f>
        <v/>
      </c>
      <c r="BJ146" s="241">
        <f>IF(BH146="","",SUMIFS(rGasto,rFecha,BH146,rGrupo,"?*"))</f>
        <v/>
      </c>
      <c r="BK146" s="241">
        <f>IF(BH146="","",SUMIFS(rGasto,rFecha,BH146,rGrupo,gCP))</f>
        <v/>
      </c>
      <c r="BL146" s="241">
        <f>IF(BH146="",-1E+12-140,N(BJ146)+(400-140)/1E+7)</f>
        <v/>
      </c>
    </row>
    <row r="147">
      <c r="K147" s="241">
        <f>INDEX(catCat,141)&amp;""</f>
        <v/>
      </c>
      <c r="L147" s="241">
        <f>INDEX(catSub,141)&amp;""</f>
        <v/>
      </c>
      <c r="M147" s="241">
        <f>IF(OR(K147="",L147="",INDEX(catTipo,141)&amp;""&lt;&gt;"Gasto"),"",IF(AND(critCat&lt;&gt;"&lt;&gt;@@@",K147&lt;&gt;critCat),0,SUMIFS(rGasto,rCat,K147,rSub,L147,rFecha,"&gt;="&amp;pIni,rFecha,"&lt;="&amp;pFin,rCtaE,critCta)))</f>
        <v/>
      </c>
      <c r="N147" s="241">
        <f>IF(M147="","",IF(AND(critCat&lt;&gt;"&lt;&gt;@@@",K147&lt;&gt;critCat),0,COUNTIFS(rCat,K147,rSub,L147,rTipoE,"Gasto",rFecha,"&gt;="&amp;pIni,rFecha,"&lt;="&amp;pFin,rCtaE,critCta)))</f>
        <v/>
      </c>
      <c r="O147" s="241">
        <f>IF(M147="",-1E+12-141,N(M147)+(201-141)/1E+7)</f>
        <v/>
      </c>
      <c r="P147" s="241">
        <f>L147&amp;" · "&amp;K147</f>
        <v/>
      </c>
      <c r="R147" s="241" t="n">
        <v>141</v>
      </c>
      <c r="S147" s="241">
        <f>IFERROR(INDEX(rCom,MATCH(141,rComIdx,0))&amp;"","")</f>
        <v/>
      </c>
      <c r="T147" s="241">
        <f>IF(S147="","",SUMIFS(rGasto,rCom,S147,rFecha,"&gt;="&amp;pIni,rFecha,"&lt;="&amp;pFin,rCat,critCat,rCtaE,critCta))</f>
        <v/>
      </c>
      <c r="U147" s="241">
        <f>IF(S147="","",COUNTIFS(rCom,S147,rTipoE,"Gasto",rFecha,"&gt;="&amp;pIni,rFecha,"&lt;="&amp;pFin,rCat,critCat,rCtaE,critCta))</f>
        <v/>
      </c>
      <c r="V147" s="241">
        <f>IF(S147="",-1E+12-141,N(T147)+(301-141)/1E+7)</f>
        <v/>
      </c>
      <c r="W147" s="241">
        <f>IF(S147="","",SUMIFS(rGasto,rCom,S147,rHorm,1,rFecha,"&gt;="&amp;pIni,rFecha,"&lt;="&amp;pFin))</f>
        <v/>
      </c>
      <c r="X147" s="241">
        <f>IF(S147="","",COUNTIFS(rCom,S147,rHorm,1,rFecha,"&gt;="&amp;pIni,rFecha,"&lt;="&amp;pFin))</f>
        <v/>
      </c>
      <c r="Y147" s="241">
        <f>IF(S147="",-1E+12-141,N(W147)+(301-141)/1E+7)</f>
        <v/>
      </c>
      <c r="BG147" s="241" t="n">
        <v>141</v>
      </c>
      <c r="BH147" s="246">
        <f>IF(calIni+140&lt;=pFinEff,calIni+140,"")</f>
        <v/>
      </c>
      <c r="BI147" s="241">
        <f>IF(BH147="","",WEEKDAY(BH147,2))</f>
        <v/>
      </c>
      <c r="BJ147" s="241">
        <f>IF(BH147="","",SUMIFS(rGasto,rFecha,BH147,rGrupo,"?*"))</f>
        <v/>
      </c>
      <c r="BK147" s="241">
        <f>IF(BH147="","",SUMIFS(rGasto,rFecha,BH147,rGrupo,gCP))</f>
        <v/>
      </c>
      <c r="BL147" s="241">
        <f>IF(BH147="",-1E+12-141,N(BJ147)+(400-141)/1E+7)</f>
        <v/>
      </c>
    </row>
    <row r="148">
      <c r="K148" s="241">
        <f>INDEX(catCat,142)&amp;""</f>
        <v/>
      </c>
      <c r="L148" s="241">
        <f>INDEX(catSub,142)&amp;""</f>
        <v/>
      </c>
      <c r="M148" s="241">
        <f>IF(OR(K148="",L148="",INDEX(catTipo,142)&amp;""&lt;&gt;"Gasto"),"",IF(AND(critCat&lt;&gt;"&lt;&gt;@@@",K148&lt;&gt;critCat),0,SUMIFS(rGasto,rCat,K148,rSub,L148,rFecha,"&gt;="&amp;pIni,rFecha,"&lt;="&amp;pFin,rCtaE,critCta)))</f>
        <v/>
      </c>
      <c r="N148" s="241">
        <f>IF(M148="","",IF(AND(critCat&lt;&gt;"&lt;&gt;@@@",K148&lt;&gt;critCat),0,COUNTIFS(rCat,K148,rSub,L148,rTipoE,"Gasto",rFecha,"&gt;="&amp;pIni,rFecha,"&lt;="&amp;pFin,rCtaE,critCta)))</f>
        <v/>
      </c>
      <c r="O148" s="241">
        <f>IF(M148="",-1E+12-142,N(M148)+(201-142)/1E+7)</f>
        <v/>
      </c>
      <c r="P148" s="241">
        <f>L148&amp;" · "&amp;K148</f>
        <v/>
      </c>
      <c r="R148" s="241" t="n">
        <v>142</v>
      </c>
      <c r="S148" s="241">
        <f>IFERROR(INDEX(rCom,MATCH(142,rComIdx,0))&amp;"","")</f>
        <v/>
      </c>
      <c r="T148" s="241">
        <f>IF(S148="","",SUMIFS(rGasto,rCom,S148,rFecha,"&gt;="&amp;pIni,rFecha,"&lt;="&amp;pFin,rCat,critCat,rCtaE,critCta))</f>
        <v/>
      </c>
      <c r="U148" s="241">
        <f>IF(S148="","",COUNTIFS(rCom,S148,rTipoE,"Gasto",rFecha,"&gt;="&amp;pIni,rFecha,"&lt;="&amp;pFin,rCat,critCat,rCtaE,critCta))</f>
        <v/>
      </c>
      <c r="V148" s="241">
        <f>IF(S148="",-1E+12-142,N(T148)+(301-142)/1E+7)</f>
        <v/>
      </c>
      <c r="W148" s="241">
        <f>IF(S148="","",SUMIFS(rGasto,rCom,S148,rHorm,1,rFecha,"&gt;="&amp;pIni,rFecha,"&lt;="&amp;pFin))</f>
        <v/>
      </c>
      <c r="X148" s="241">
        <f>IF(S148="","",COUNTIFS(rCom,S148,rHorm,1,rFecha,"&gt;="&amp;pIni,rFecha,"&lt;="&amp;pFin))</f>
        <v/>
      </c>
      <c r="Y148" s="241">
        <f>IF(S148="",-1E+12-142,N(W148)+(301-142)/1E+7)</f>
        <v/>
      </c>
      <c r="BG148" s="241" t="n">
        <v>142</v>
      </c>
      <c r="BH148" s="246">
        <f>IF(calIni+141&lt;=pFinEff,calIni+141,"")</f>
        <v/>
      </c>
      <c r="BI148" s="241">
        <f>IF(BH148="","",WEEKDAY(BH148,2))</f>
        <v/>
      </c>
      <c r="BJ148" s="241">
        <f>IF(BH148="","",SUMIFS(rGasto,rFecha,BH148,rGrupo,"?*"))</f>
        <v/>
      </c>
      <c r="BK148" s="241">
        <f>IF(BH148="","",SUMIFS(rGasto,rFecha,BH148,rGrupo,gCP))</f>
        <v/>
      </c>
      <c r="BL148" s="241">
        <f>IF(BH148="",-1E+12-142,N(BJ148)+(400-142)/1E+7)</f>
        <v/>
      </c>
    </row>
    <row r="149">
      <c r="K149" s="241">
        <f>INDEX(catCat,143)&amp;""</f>
        <v/>
      </c>
      <c r="L149" s="241">
        <f>INDEX(catSub,143)&amp;""</f>
        <v/>
      </c>
      <c r="M149" s="241">
        <f>IF(OR(K149="",L149="",INDEX(catTipo,143)&amp;""&lt;&gt;"Gasto"),"",IF(AND(critCat&lt;&gt;"&lt;&gt;@@@",K149&lt;&gt;critCat),0,SUMIFS(rGasto,rCat,K149,rSub,L149,rFecha,"&gt;="&amp;pIni,rFecha,"&lt;="&amp;pFin,rCtaE,critCta)))</f>
        <v/>
      </c>
      <c r="N149" s="241">
        <f>IF(M149="","",IF(AND(critCat&lt;&gt;"&lt;&gt;@@@",K149&lt;&gt;critCat),0,COUNTIFS(rCat,K149,rSub,L149,rTipoE,"Gasto",rFecha,"&gt;="&amp;pIni,rFecha,"&lt;="&amp;pFin,rCtaE,critCta)))</f>
        <v/>
      </c>
      <c r="O149" s="241">
        <f>IF(M149="",-1E+12-143,N(M149)+(201-143)/1E+7)</f>
        <v/>
      </c>
      <c r="P149" s="241">
        <f>L149&amp;" · "&amp;K149</f>
        <v/>
      </c>
      <c r="R149" s="241" t="n">
        <v>143</v>
      </c>
      <c r="S149" s="241">
        <f>IFERROR(INDEX(rCom,MATCH(143,rComIdx,0))&amp;"","")</f>
        <v/>
      </c>
      <c r="T149" s="241">
        <f>IF(S149="","",SUMIFS(rGasto,rCom,S149,rFecha,"&gt;="&amp;pIni,rFecha,"&lt;="&amp;pFin,rCat,critCat,rCtaE,critCta))</f>
        <v/>
      </c>
      <c r="U149" s="241">
        <f>IF(S149="","",COUNTIFS(rCom,S149,rTipoE,"Gasto",rFecha,"&gt;="&amp;pIni,rFecha,"&lt;="&amp;pFin,rCat,critCat,rCtaE,critCta))</f>
        <v/>
      </c>
      <c r="V149" s="241">
        <f>IF(S149="",-1E+12-143,N(T149)+(301-143)/1E+7)</f>
        <v/>
      </c>
      <c r="W149" s="241">
        <f>IF(S149="","",SUMIFS(rGasto,rCom,S149,rHorm,1,rFecha,"&gt;="&amp;pIni,rFecha,"&lt;="&amp;pFin))</f>
        <v/>
      </c>
      <c r="X149" s="241">
        <f>IF(S149="","",COUNTIFS(rCom,S149,rHorm,1,rFecha,"&gt;="&amp;pIni,rFecha,"&lt;="&amp;pFin))</f>
        <v/>
      </c>
      <c r="Y149" s="241">
        <f>IF(S149="",-1E+12-143,N(W149)+(301-143)/1E+7)</f>
        <v/>
      </c>
      <c r="BG149" s="241" t="n">
        <v>143</v>
      </c>
      <c r="BH149" s="246">
        <f>IF(calIni+142&lt;=pFinEff,calIni+142,"")</f>
        <v/>
      </c>
      <c r="BI149" s="241">
        <f>IF(BH149="","",WEEKDAY(BH149,2))</f>
        <v/>
      </c>
      <c r="BJ149" s="241">
        <f>IF(BH149="","",SUMIFS(rGasto,rFecha,BH149,rGrupo,"?*"))</f>
        <v/>
      </c>
      <c r="BK149" s="241">
        <f>IF(BH149="","",SUMIFS(rGasto,rFecha,BH149,rGrupo,gCP))</f>
        <v/>
      </c>
      <c r="BL149" s="241">
        <f>IF(BH149="",-1E+12-143,N(BJ149)+(400-143)/1E+7)</f>
        <v/>
      </c>
    </row>
    <row r="150">
      <c r="K150" s="241">
        <f>INDEX(catCat,144)&amp;""</f>
        <v/>
      </c>
      <c r="L150" s="241">
        <f>INDEX(catSub,144)&amp;""</f>
        <v/>
      </c>
      <c r="M150" s="241">
        <f>IF(OR(K150="",L150="",INDEX(catTipo,144)&amp;""&lt;&gt;"Gasto"),"",IF(AND(critCat&lt;&gt;"&lt;&gt;@@@",K150&lt;&gt;critCat),0,SUMIFS(rGasto,rCat,K150,rSub,L150,rFecha,"&gt;="&amp;pIni,rFecha,"&lt;="&amp;pFin,rCtaE,critCta)))</f>
        <v/>
      </c>
      <c r="N150" s="241">
        <f>IF(M150="","",IF(AND(critCat&lt;&gt;"&lt;&gt;@@@",K150&lt;&gt;critCat),0,COUNTIFS(rCat,K150,rSub,L150,rTipoE,"Gasto",rFecha,"&gt;="&amp;pIni,rFecha,"&lt;="&amp;pFin,rCtaE,critCta)))</f>
        <v/>
      </c>
      <c r="O150" s="241">
        <f>IF(M150="",-1E+12-144,N(M150)+(201-144)/1E+7)</f>
        <v/>
      </c>
      <c r="P150" s="241">
        <f>L150&amp;" · "&amp;K150</f>
        <v/>
      </c>
      <c r="R150" s="241" t="n">
        <v>144</v>
      </c>
      <c r="S150" s="241">
        <f>IFERROR(INDEX(rCom,MATCH(144,rComIdx,0))&amp;"","")</f>
        <v/>
      </c>
      <c r="T150" s="241">
        <f>IF(S150="","",SUMIFS(rGasto,rCom,S150,rFecha,"&gt;="&amp;pIni,rFecha,"&lt;="&amp;pFin,rCat,critCat,rCtaE,critCta))</f>
        <v/>
      </c>
      <c r="U150" s="241">
        <f>IF(S150="","",COUNTIFS(rCom,S150,rTipoE,"Gasto",rFecha,"&gt;="&amp;pIni,rFecha,"&lt;="&amp;pFin,rCat,critCat,rCtaE,critCta))</f>
        <v/>
      </c>
      <c r="V150" s="241">
        <f>IF(S150="",-1E+12-144,N(T150)+(301-144)/1E+7)</f>
        <v/>
      </c>
      <c r="W150" s="241">
        <f>IF(S150="","",SUMIFS(rGasto,rCom,S150,rHorm,1,rFecha,"&gt;="&amp;pIni,rFecha,"&lt;="&amp;pFin))</f>
        <v/>
      </c>
      <c r="X150" s="241">
        <f>IF(S150="","",COUNTIFS(rCom,S150,rHorm,1,rFecha,"&gt;="&amp;pIni,rFecha,"&lt;="&amp;pFin))</f>
        <v/>
      </c>
      <c r="Y150" s="241">
        <f>IF(S150="",-1E+12-144,N(W150)+(301-144)/1E+7)</f>
        <v/>
      </c>
      <c r="BG150" s="241" t="n">
        <v>144</v>
      </c>
      <c r="BH150" s="246">
        <f>IF(calIni+143&lt;=pFinEff,calIni+143,"")</f>
        <v/>
      </c>
      <c r="BI150" s="241">
        <f>IF(BH150="","",WEEKDAY(BH150,2))</f>
        <v/>
      </c>
      <c r="BJ150" s="241">
        <f>IF(BH150="","",SUMIFS(rGasto,rFecha,BH150,rGrupo,"?*"))</f>
        <v/>
      </c>
      <c r="BK150" s="241">
        <f>IF(BH150="","",SUMIFS(rGasto,rFecha,BH150,rGrupo,gCP))</f>
        <v/>
      </c>
      <c r="BL150" s="241">
        <f>IF(BH150="",-1E+12-144,N(BJ150)+(400-144)/1E+7)</f>
        <v/>
      </c>
    </row>
    <row r="151">
      <c r="K151" s="241">
        <f>INDEX(catCat,145)&amp;""</f>
        <v/>
      </c>
      <c r="L151" s="241">
        <f>INDEX(catSub,145)&amp;""</f>
        <v/>
      </c>
      <c r="M151" s="241">
        <f>IF(OR(K151="",L151="",INDEX(catTipo,145)&amp;""&lt;&gt;"Gasto"),"",IF(AND(critCat&lt;&gt;"&lt;&gt;@@@",K151&lt;&gt;critCat),0,SUMIFS(rGasto,rCat,K151,rSub,L151,rFecha,"&gt;="&amp;pIni,rFecha,"&lt;="&amp;pFin,rCtaE,critCta)))</f>
        <v/>
      </c>
      <c r="N151" s="241">
        <f>IF(M151="","",IF(AND(critCat&lt;&gt;"&lt;&gt;@@@",K151&lt;&gt;critCat),0,COUNTIFS(rCat,K151,rSub,L151,rTipoE,"Gasto",rFecha,"&gt;="&amp;pIni,rFecha,"&lt;="&amp;pFin,rCtaE,critCta)))</f>
        <v/>
      </c>
      <c r="O151" s="241">
        <f>IF(M151="",-1E+12-145,N(M151)+(201-145)/1E+7)</f>
        <v/>
      </c>
      <c r="P151" s="241">
        <f>L151&amp;" · "&amp;K151</f>
        <v/>
      </c>
      <c r="R151" s="241" t="n">
        <v>145</v>
      </c>
      <c r="S151" s="241">
        <f>IFERROR(INDEX(rCom,MATCH(145,rComIdx,0))&amp;"","")</f>
        <v/>
      </c>
      <c r="T151" s="241">
        <f>IF(S151="","",SUMIFS(rGasto,rCom,S151,rFecha,"&gt;="&amp;pIni,rFecha,"&lt;="&amp;pFin,rCat,critCat,rCtaE,critCta))</f>
        <v/>
      </c>
      <c r="U151" s="241">
        <f>IF(S151="","",COUNTIFS(rCom,S151,rTipoE,"Gasto",rFecha,"&gt;="&amp;pIni,rFecha,"&lt;="&amp;pFin,rCat,critCat,rCtaE,critCta))</f>
        <v/>
      </c>
      <c r="V151" s="241">
        <f>IF(S151="",-1E+12-145,N(T151)+(301-145)/1E+7)</f>
        <v/>
      </c>
      <c r="W151" s="241">
        <f>IF(S151="","",SUMIFS(rGasto,rCom,S151,rHorm,1,rFecha,"&gt;="&amp;pIni,rFecha,"&lt;="&amp;pFin))</f>
        <v/>
      </c>
      <c r="X151" s="241">
        <f>IF(S151="","",COUNTIFS(rCom,S151,rHorm,1,rFecha,"&gt;="&amp;pIni,rFecha,"&lt;="&amp;pFin))</f>
        <v/>
      </c>
      <c r="Y151" s="241">
        <f>IF(S151="",-1E+12-145,N(W151)+(301-145)/1E+7)</f>
        <v/>
      </c>
      <c r="BG151" s="241" t="n">
        <v>145</v>
      </c>
      <c r="BH151" s="246">
        <f>IF(calIni+144&lt;=pFinEff,calIni+144,"")</f>
        <v/>
      </c>
      <c r="BI151" s="241">
        <f>IF(BH151="","",WEEKDAY(BH151,2))</f>
        <v/>
      </c>
      <c r="BJ151" s="241">
        <f>IF(BH151="","",SUMIFS(rGasto,rFecha,BH151,rGrupo,"?*"))</f>
        <v/>
      </c>
      <c r="BK151" s="241">
        <f>IF(BH151="","",SUMIFS(rGasto,rFecha,BH151,rGrupo,gCP))</f>
        <v/>
      </c>
      <c r="BL151" s="241">
        <f>IF(BH151="",-1E+12-145,N(BJ151)+(400-145)/1E+7)</f>
        <v/>
      </c>
    </row>
    <row r="152">
      <c r="K152" s="241">
        <f>INDEX(catCat,146)&amp;""</f>
        <v/>
      </c>
      <c r="L152" s="241">
        <f>INDEX(catSub,146)&amp;""</f>
        <v/>
      </c>
      <c r="M152" s="241">
        <f>IF(OR(K152="",L152="",INDEX(catTipo,146)&amp;""&lt;&gt;"Gasto"),"",IF(AND(critCat&lt;&gt;"&lt;&gt;@@@",K152&lt;&gt;critCat),0,SUMIFS(rGasto,rCat,K152,rSub,L152,rFecha,"&gt;="&amp;pIni,rFecha,"&lt;="&amp;pFin,rCtaE,critCta)))</f>
        <v/>
      </c>
      <c r="N152" s="241">
        <f>IF(M152="","",IF(AND(critCat&lt;&gt;"&lt;&gt;@@@",K152&lt;&gt;critCat),0,COUNTIFS(rCat,K152,rSub,L152,rTipoE,"Gasto",rFecha,"&gt;="&amp;pIni,rFecha,"&lt;="&amp;pFin,rCtaE,critCta)))</f>
        <v/>
      </c>
      <c r="O152" s="241">
        <f>IF(M152="",-1E+12-146,N(M152)+(201-146)/1E+7)</f>
        <v/>
      </c>
      <c r="P152" s="241">
        <f>L152&amp;" · "&amp;K152</f>
        <v/>
      </c>
      <c r="R152" s="241" t="n">
        <v>146</v>
      </c>
      <c r="S152" s="241">
        <f>IFERROR(INDEX(rCom,MATCH(146,rComIdx,0))&amp;"","")</f>
        <v/>
      </c>
      <c r="T152" s="241">
        <f>IF(S152="","",SUMIFS(rGasto,rCom,S152,rFecha,"&gt;="&amp;pIni,rFecha,"&lt;="&amp;pFin,rCat,critCat,rCtaE,critCta))</f>
        <v/>
      </c>
      <c r="U152" s="241">
        <f>IF(S152="","",COUNTIFS(rCom,S152,rTipoE,"Gasto",rFecha,"&gt;="&amp;pIni,rFecha,"&lt;="&amp;pFin,rCat,critCat,rCtaE,critCta))</f>
        <v/>
      </c>
      <c r="V152" s="241">
        <f>IF(S152="",-1E+12-146,N(T152)+(301-146)/1E+7)</f>
        <v/>
      </c>
      <c r="W152" s="241">
        <f>IF(S152="","",SUMIFS(rGasto,rCom,S152,rHorm,1,rFecha,"&gt;="&amp;pIni,rFecha,"&lt;="&amp;pFin))</f>
        <v/>
      </c>
      <c r="X152" s="241">
        <f>IF(S152="","",COUNTIFS(rCom,S152,rHorm,1,rFecha,"&gt;="&amp;pIni,rFecha,"&lt;="&amp;pFin))</f>
        <v/>
      </c>
      <c r="Y152" s="241">
        <f>IF(S152="",-1E+12-146,N(W152)+(301-146)/1E+7)</f>
        <v/>
      </c>
      <c r="BG152" s="241" t="n">
        <v>146</v>
      </c>
      <c r="BH152" s="246">
        <f>IF(calIni+145&lt;=pFinEff,calIni+145,"")</f>
        <v/>
      </c>
      <c r="BI152" s="241">
        <f>IF(BH152="","",WEEKDAY(BH152,2))</f>
        <v/>
      </c>
      <c r="BJ152" s="241">
        <f>IF(BH152="","",SUMIFS(rGasto,rFecha,BH152,rGrupo,"?*"))</f>
        <v/>
      </c>
      <c r="BK152" s="241">
        <f>IF(BH152="","",SUMIFS(rGasto,rFecha,BH152,rGrupo,gCP))</f>
        <v/>
      </c>
      <c r="BL152" s="241">
        <f>IF(BH152="",-1E+12-146,N(BJ152)+(400-146)/1E+7)</f>
        <v/>
      </c>
    </row>
    <row r="153">
      <c r="K153" s="241">
        <f>INDEX(catCat,147)&amp;""</f>
        <v/>
      </c>
      <c r="L153" s="241">
        <f>INDEX(catSub,147)&amp;""</f>
        <v/>
      </c>
      <c r="M153" s="241">
        <f>IF(OR(K153="",L153="",INDEX(catTipo,147)&amp;""&lt;&gt;"Gasto"),"",IF(AND(critCat&lt;&gt;"&lt;&gt;@@@",K153&lt;&gt;critCat),0,SUMIFS(rGasto,rCat,K153,rSub,L153,rFecha,"&gt;="&amp;pIni,rFecha,"&lt;="&amp;pFin,rCtaE,critCta)))</f>
        <v/>
      </c>
      <c r="N153" s="241">
        <f>IF(M153="","",IF(AND(critCat&lt;&gt;"&lt;&gt;@@@",K153&lt;&gt;critCat),0,COUNTIFS(rCat,K153,rSub,L153,rTipoE,"Gasto",rFecha,"&gt;="&amp;pIni,rFecha,"&lt;="&amp;pFin,rCtaE,critCta)))</f>
        <v/>
      </c>
      <c r="O153" s="241">
        <f>IF(M153="",-1E+12-147,N(M153)+(201-147)/1E+7)</f>
        <v/>
      </c>
      <c r="P153" s="241">
        <f>L153&amp;" · "&amp;K153</f>
        <v/>
      </c>
      <c r="R153" s="241" t="n">
        <v>147</v>
      </c>
      <c r="S153" s="241">
        <f>IFERROR(INDEX(rCom,MATCH(147,rComIdx,0))&amp;"","")</f>
        <v/>
      </c>
      <c r="T153" s="241">
        <f>IF(S153="","",SUMIFS(rGasto,rCom,S153,rFecha,"&gt;="&amp;pIni,rFecha,"&lt;="&amp;pFin,rCat,critCat,rCtaE,critCta))</f>
        <v/>
      </c>
      <c r="U153" s="241">
        <f>IF(S153="","",COUNTIFS(rCom,S153,rTipoE,"Gasto",rFecha,"&gt;="&amp;pIni,rFecha,"&lt;="&amp;pFin,rCat,critCat,rCtaE,critCta))</f>
        <v/>
      </c>
      <c r="V153" s="241">
        <f>IF(S153="",-1E+12-147,N(T153)+(301-147)/1E+7)</f>
        <v/>
      </c>
      <c r="W153" s="241">
        <f>IF(S153="","",SUMIFS(rGasto,rCom,S153,rHorm,1,rFecha,"&gt;="&amp;pIni,rFecha,"&lt;="&amp;pFin))</f>
        <v/>
      </c>
      <c r="X153" s="241">
        <f>IF(S153="","",COUNTIFS(rCom,S153,rHorm,1,rFecha,"&gt;="&amp;pIni,rFecha,"&lt;="&amp;pFin))</f>
        <v/>
      </c>
      <c r="Y153" s="241">
        <f>IF(S153="",-1E+12-147,N(W153)+(301-147)/1E+7)</f>
        <v/>
      </c>
      <c r="BG153" s="241" t="n">
        <v>147</v>
      </c>
      <c r="BH153" s="246">
        <f>IF(calIni+146&lt;=pFinEff,calIni+146,"")</f>
        <v/>
      </c>
      <c r="BI153" s="241">
        <f>IF(BH153="","",WEEKDAY(BH153,2))</f>
        <v/>
      </c>
      <c r="BJ153" s="241">
        <f>IF(BH153="","",SUMIFS(rGasto,rFecha,BH153,rGrupo,"?*"))</f>
        <v/>
      </c>
      <c r="BK153" s="241">
        <f>IF(BH153="","",SUMIFS(rGasto,rFecha,BH153,rGrupo,gCP))</f>
        <v/>
      </c>
      <c r="BL153" s="241">
        <f>IF(BH153="",-1E+12-147,N(BJ153)+(400-147)/1E+7)</f>
        <v/>
      </c>
    </row>
    <row r="154">
      <c r="K154" s="241">
        <f>INDEX(catCat,148)&amp;""</f>
        <v/>
      </c>
      <c r="L154" s="241">
        <f>INDEX(catSub,148)&amp;""</f>
        <v/>
      </c>
      <c r="M154" s="241">
        <f>IF(OR(K154="",L154="",INDEX(catTipo,148)&amp;""&lt;&gt;"Gasto"),"",IF(AND(critCat&lt;&gt;"&lt;&gt;@@@",K154&lt;&gt;critCat),0,SUMIFS(rGasto,rCat,K154,rSub,L154,rFecha,"&gt;="&amp;pIni,rFecha,"&lt;="&amp;pFin,rCtaE,critCta)))</f>
        <v/>
      </c>
      <c r="N154" s="241">
        <f>IF(M154="","",IF(AND(critCat&lt;&gt;"&lt;&gt;@@@",K154&lt;&gt;critCat),0,COUNTIFS(rCat,K154,rSub,L154,rTipoE,"Gasto",rFecha,"&gt;="&amp;pIni,rFecha,"&lt;="&amp;pFin,rCtaE,critCta)))</f>
        <v/>
      </c>
      <c r="O154" s="241">
        <f>IF(M154="",-1E+12-148,N(M154)+(201-148)/1E+7)</f>
        <v/>
      </c>
      <c r="P154" s="241">
        <f>L154&amp;" · "&amp;K154</f>
        <v/>
      </c>
      <c r="R154" s="241" t="n">
        <v>148</v>
      </c>
      <c r="S154" s="241">
        <f>IFERROR(INDEX(rCom,MATCH(148,rComIdx,0))&amp;"","")</f>
        <v/>
      </c>
      <c r="T154" s="241">
        <f>IF(S154="","",SUMIFS(rGasto,rCom,S154,rFecha,"&gt;="&amp;pIni,rFecha,"&lt;="&amp;pFin,rCat,critCat,rCtaE,critCta))</f>
        <v/>
      </c>
      <c r="U154" s="241">
        <f>IF(S154="","",COUNTIFS(rCom,S154,rTipoE,"Gasto",rFecha,"&gt;="&amp;pIni,rFecha,"&lt;="&amp;pFin,rCat,critCat,rCtaE,critCta))</f>
        <v/>
      </c>
      <c r="V154" s="241">
        <f>IF(S154="",-1E+12-148,N(T154)+(301-148)/1E+7)</f>
        <v/>
      </c>
      <c r="W154" s="241">
        <f>IF(S154="","",SUMIFS(rGasto,rCom,S154,rHorm,1,rFecha,"&gt;="&amp;pIni,rFecha,"&lt;="&amp;pFin))</f>
        <v/>
      </c>
      <c r="X154" s="241">
        <f>IF(S154="","",COUNTIFS(rCom,S154,rHorm,1,rFecha,"&gt;="&amp;pIni,rFecha,"&lt;="&amp;pFin))</f>
        <v/>
      </c>
      <c r="Y154" s="241">
        <f>IF(S154="",-1E+12-148,N(W154)+(301-148)/1E+7)</f>
        <v/>
      </c>
      <c r="BG154" s="241" t="n">
        <v>148</v>
      </c>
      <c r="BH154" s="246">
        <f>IF(calIni+147&lt;=pFinEff,calIni+147,"")</f>
        <v/>
      </c>
      <c r="BI154" s="241">
        <f>IF(BH154="","",WEEKDAY(BH154,2))</f>
        <v/>
      </c>
      <c r="BJ154" s="241">
        <f>IF(BH154="","",SUMIFS(rGasto,rFecha,BH154,rGrupo,"?*"))</f>
        <v/>
      </c>
      <c r="BK154" s="241">
        <f>IF(BH154="","",SUMIFS(rGasto,rFecha,BH154,rGrupo,gCP))</f>
        <v/>
      </c>
      <c r="BL154" s="241">
        <f>IF(BH154="",-1E+12-148,N(BJ154)+(400-148)/1E+7)</f>
        <v/>
      </c>
    </row>
    <row r="155">
      <c r="K155" s="241">
        <f>INDEX(catCat,149)&amp;""</f>
        <v/>
      </c>
      <c r="L155" s="241">
        <f>INDEX(catSub,149)&amp;""</f>
        <v/>
      </c>
      <c r="M155" s="241">
        <f>IF(OR(K155="",L155="",INDEX(catTipo,149)&amp;""&lt;&gt;"Gasto"),"",IF(AND(critCat&lt;&gt;"&lt;&gt;@@@",K155&lt;&gt;critCat),0,SUMIFS(rGasto,rCat,K155,rSub,L155,rFecha,"&gt;="&amp;pIni,rFecha,"&lt;="&amp;pFin,rCtaE,critCta)))</f>
        <v/>
      </c>
      <c r="N155" s="241">
        <f>IF(M155="","",IF(AND(critCat&lt;&gt;"&lt;&gt;@@@",K155&lt;&gt;critCat),0,COUNTIFS(rCat,K155,rSub,L155,rTipoE,"Gasto",rFecha,"&gt;="&amp;pIni,rFecha,"&lt;="&amp;pFin,rCtaE,critCta)))</f>
        <v/>
      </c>
      <c r="O155" s="241">
        <f>IF(M155="",-1E+12-149,N(M155)+(201-149)/1E+7)</f>
        <v/>
      </c>
      <c r="P155" s="241">
        <f>L155&amp;" · "&amp;K155</f>
        <v/>
      </c>
      <c r="R155" s="241" t="n">
        <v>149</v>
      </c>
      <c r="S155" s="241">
        <f>IFERROR(INDEX(rCom,MATCH(149,rComIdx,0))&amp;"","")</f>
        <v/>
      </c>
      <c r="T155" s="241">
        <f>IF(S155="","",SUMIFS(rGasto,rCom,S155,rFecha,"&gt;="&amp;pIni,rFecha,"&lt;="&amp;pFin,rCat,critCat,rCtaE,critCta))</f>
        <v/>
      </c>
      <c r="U155" s="241">
        <f>IF(S155="","",COUNTIFS(rCom,S155,rTipoE,"Gasto",rFecha,"&gt;="&amp;pIni,rFecha,"&lt;="&amp;pFin,rCat,critCat,rCtaE,critCta))</f>
        <v/>
      </c>
      <c r="V155" s="241">
        <f>IF(S155="",-1E+12-149,N(T155)+(301-149)/1E+7)</f>
        <v/>
      </c>
      <c r="W155" s="241">
        <f>IF(S155="","",SUMIFS(rGasto,rCom,S155,rHorm,1,rFecha,"&gt;="&amp;pIni,rFecha,"&lt;="&amp;pFin))</f>
        <v/>
      </c>
      <c r="X155" s="241">
        <f>IF(S155="","",COUNTIFS(rCom,S155,rHorm,1,rFecha,"&gt;="&amp;pIni,rFecha,"&lt;="&amp;pFin))</f>
        <v/>
      </c>
      <c r="Y155" s="241">
        <f>IF(S155="",-1E+12-149,N(W155)+(301-149)/1E+7)</f>
        <v/>
      </c>
      <c r="BG155" s="241" t="n">
        <v>149</v>
      </c>
      <c r="BH155" s="246">
        <f>IF(calIni+148&lt;=pFinEff,calIni+148,"")</f>
        <v/>
      </c>
      <c r="BI155" s="241">
        <f>IF(BH155="","",WEEKDAY(BH155,2))</f>
        <v/>
      </c>
      <c r="BJ155" s="241">
        <f>IF(BH155="","",SUMIFS(rGasto,rFecha,BH155,rGrupo,"?*"))</f>
        <v/>
      </c>
      <c r="BK155" s="241">
        <f>IF(BH155="","",SUMIFS(rGasto,rFecha,BH155,rGrupo,gCP))</f>
        <v/>
      </c>
      <c r="BL155" s="241">
        <f>IF(BH155="",-1E+12-149,N(BJ155)+(400-149)/1E+7)</f>
        <v/>
      </c>
    </row>
    <row r="156">
      <c r="K156" s="241">
        <f>INDEX(catCat,150)&amp;""</f>
        <v/>
      </c>
      <c r="L156" s="241">
        <f>INDEX(catSub,150)&amp;""</f>
        <v/>
      </c>
      <c r="M156" s="241">
        <f>IF(OR(K156="",L156="",INDEX(catTipo,150)&amp;""&lt;&gt;"Gasto"),"",IF(AND(critCat&lt;&gt;"&lt;&gt;@@@",K156&lt;&gt;critCat),0,SUMIFS(rGasto,rCat,K156,rSub,L156,rFecha,"&gt;="&amp;pIni,rFecha,"&lt;="&amp;pFin,rCtaE,critCta)))</f>
        <v/>
      </c>
      <c r="N156" s="241">
        <f>IF(M156="","",IF(AND(critCat&lt;&gt;"&lt;&gt;@@@",K156&lt;&gt;critCat),0,COUNTIFS(rCat,K156,rSub,L156,rTipoE,"Gasto",rFecha,"&gt;="&amp;pIni,rFecha,"&lt;="&amp;pFin,rCtaE,critCta)))</f>
        <v/>
      </c>
      <c r="O156" s="241">
        <f>IF(M156="",-1E+12-150,N(M156)+(201-150)/1E+7)</f>
        <v/>
      </c>
      <c r="P156" s="241">
        <f>L156&amp;" · "&amp;K156</f>
        <v/>
      </c>
      <c r="R156" s="241" t="n">
        <v>150</v>
      </c>
      <c r="S156" s="241">
        <f>IFERROR(INDEX(rCom,MATCH(150,rComIdx,0))&amp;"","")</f>
        <v/>
      </c>
      <c r="T156" s="241">
        <f>IF(S156="","",SUMIFS(rGasto,rCom,S156,rFecha,"&gt;="&amp;pIni,rFecha,"&lt;="&amp;pFin,rCat,critCat,rCtaE,critCta))</f>
        <v/>
      </c>
      <c r="U156" s="241">
        <f>IF(S156="","",COUNTIFS(rCom,S156,rTipoE,"Gasto",rFecha,"&gt;="&amp;pIni,rFecha,"&lt;="&amp;pFin,rCat,critCat,rCtaE,critCta))</f>
        <v/>
      </c>
      <c r="V156" s="241">
        <f>IF(S156="",-1E+12-150,N(T156)+(301-150)/1E+7)</f>
        <v/>
      </c>
      <c r="W156" s="241">
        <f>IF(S156="","",SUMIFS(rGasto,rCom,S156,rHorm,1,rFecha,"&gt;="&amp;pIni,rFecha,"&lt;="&amp;pFin))</f>
        <v/>
      </c>
      <c r="X156" s="241">
        <f>IF(S156="","",COUNTIFS(rCom,S156,rHorm,1,rFecha,"&gt;="&amp;pIni,rFecha,"&lt;="&amp;pFin))</f>
        <v/>
      </c>
      <c r="Y156" s="241">
        <f>IF(S156="",-1E+12-150,N(W156)+(301-150)/1E+7)</f>
        <v/>
      </c>
      <c r="BG156" s="241" t="n">
        <v>150</v>
      </c>
      <c r="BH156" s="246">
        <f>IF(calIni+149&lt;=pFinEff,calIni+149,"")</f>
        <v/>
      </c>
      <c r="BI156" s="241">
        <f>IF(BH156="","",WEEKDAY(BH156,2))</f>
        <v/>
      </c>
      <c r="BJ156" s="241">
        <f>IF(BH156="","",SUMIFS(rGasto,rFecha,BH156,rGrupo,"?*"))</f>
        <v/>
      </c>
      <c r="BK156" s="241">
        <f>IF(BH156="","",SUMIFS(rGasto,rFecha,BH156,rGrupo,gCP))</f>
        <v/>
      </c>
      <c r="BL156" s="241">
        <f>IF(BH156="",-1E+12-150,N(BJ156)+(400-150)/1E+7)</f>
        <v/>
      </c>
    </row>
    <row r="157">
      <c r="K157" s="241">
        <f>INDEX(catCat,151)&amp;""</f>
        <v/>
      </c>
      <c r="L157" s="241">
        <f>INDEX(catSub,151)&amp;""</f>
        <v/>
      </c>
      <c r="M157" s="241">
        <f>IF(OR(K157="",L157="",INDEX(catTipo,151)&amp;""&lt;&gt;"Gasto"),"",IF(AND(critCat&lt;&gt;"&lt;&gt;@@@",K157&lt;&gt;critCat),0,SUMIFS(rGasto,rCat,K157,rSub,L157,rFecha,"&gt;="&amp;pIni,rFecha,"&lt;="&amp;pFin,rCtaE,critCta)))</f>
        <v/>
      </c>
      <c r="N157" s="241">
        <f>IF(M157="","",IF(AND(critCat&lt;&gt;"&lt;&gt;@@@",K157&lt;&gt;critCat),0,COUNTIFS(rCat,K157,rSub,L157,rTipoE,"Gasto",rFecha,"&gt;="&amp;pIni,rFecha,"&lt;="&amp;pFin,rCtaE,critCta)))</f>
        <v/>
      </c>
      <c r="O157" s="241">
        <f>IF(M157="",-1E+12-151,N(M157)+(201-151)/1E+7)</f>
        <v/>
      </c>
      <c r="P157" s="241">
        <f>L157&amp;" · "&amp;K157</f>
        <v/>
      </c>
      <c r="R157" s="241" t="n">
        <v>151</v>
      </c>
      <c r="S157" s="241">
        <f>IFERROR(INDEX(rCom,MATCH(151,rComIdx,0))&amp;"","")</f>
        <v/>
      </c>
      <c r="T157" s="241">
        <f>IF(S157="","",SUMIFS(rGasto,rCom,S157,rFecha,"&gt;="&amp;pIni,rFecha,"&lt;="&amp;pFin,rCat,critCat,rCtaE,critCta))</f>
        <v/>
      </c>
      <c r="U157" s="241">
        <f>IF(S157="","",COUNTIFS(rCom,S157,rTipoE,"Gasto",rFecha,"&gt;="&amp;pIni,rFecha,"&lt;="&amp;pFin,rCat,critCat,rCtaE,critCta))</f>
        <v/>
      </c>
      <c r="V157" s="241">
        <f>IF(S157="",-1E+12-151,N(T157)+(301-151)/1E+7)</f>
        <v/>
      </c>
      <c r="W157" s="241">
        <f>IF(S157="","",SUMIFS(rGasto,rCom,S157,rHorm,1,rFecha,"&gt;="&amp;pIni,rFecha,"&lt;="&amp;pFin))</f>
        <v/>
      </c>
      <c r="X157" s="241">
        <f>IF(S157="","",COUNTIFS(rCom,S157,rHorm,1,rFecha,"&gt;="&amp;pIni,rFecha,"&lt;="&amp;pFin))</f>
        <v/>
      </c>
      <c r="Y157" s="241">
        <f>IF(S157="",-1E+12-151,N(W157)+(301-151)/1E+7)</f>
        <v/>
      </c>
      <c r="BG157" s="241" t="n">
        <v>151</v>
      </c>
      <c r="BH157" s="246">
        <f>IF(calIni+150&lt;=pFinEff,calIni+150,"")</f>
        <v/>
      </c>
      <c r="BI157" s="241">
        <f>IF(BH157="","",WEEKDAY(BH157,2))</f>
        <v/>
      </c>
      <c r="BJ157" s="241">
        <f>IF(BH157="","",SUMIFS(rGasto,rFecha,BH157,rGrupo,"?*"))</f>
        <v/>
      </c>
      <c r="BK157" s="241">
        <f>IF(BH157="","",SUMIFS(rGasto,rFecha,BH157,rGrupo,gCP))</f>
        <v/>
      </c>
      <c r="BL157" s="241">
        <f>IF(BH157="",-1E+12-151,N(BJ157)+(400-151)/1E+7)</f>
        <v/>
      </c>
    </row>
    <row r="158">
      <c r="K158" s="241">
        <f>INDEX(catCat,152)&amp;""</f>
        <v/>
      </c>
      <c r="L158" s="241">
        <f>INDEX(catSub,152)&amp;""</f>
        <v/>
      </c>
      <c r="M158" s="241">
        <f>IF(OR(K158="",L158="",INDEX(catTipo,152)&amp;""&lt;&gt;"Gasto"),"",IF(AND(critCat&lt;&gt;"&lt;&gt;@@@",K158&lt;&gt;critCat),0,SUMIFS(rGasto,rCat,K158,rSub,L158,rFecha,"&gt;="&amp;pIni,rFecha,"&lt;="&amp;pFin,rCtaE,critCta)))</f>
        <v/>
      </c>
      <c r="N158" s="241">
        <f>IF(M158="","",IF(AND(critCat&lt;&gt;"&lt;&gt;@@@",K158&lt;&gt;critCat),0,COUNTIFS(rCat,K158,rSub,L158,rTipoE,"Gasto",rFecha,"&gt;="&amp;pIni,rFecha,"&lt;="&amp;pFin,rCtaE,critCta)))</f>
        <v/>
      </c>
      <c r="O158" s="241">
        <f>IF(M158="",-1E+12-152,N(M158)+(201-152)/1E+7)</f>
        <v/>
      </c>
      <c r="P158" s="241">
        <f>L158&amp;" · "&amp;K158</f>
        <v/>
      </c>
      <c r="R158" s="241" t="n">
        <v>152</v>
      </c>
      <c r="S158" s="241">
        <f>IFERROR(INDEX(rCom,MATCH(152,rComIdx,0))&amp;"","")</f>
        <v/>
      </c>
      <c r="T158" s="241">
        <f>IF(S158="","",SUMIFS(rGasto,rCom,S158,rFecha,"&gt;="&amp;pIni,rFecha,"&lt;="&amp;pFin,rCat,critCat,rCtaE,critCta))</f>
        <v/>
      </c>
      <c r="U158" s="241">
        <f>IF(S158="","",COUNTIFS(rCom,S158,rTipoE,"Gasto",rFecha,"&gt;="&amp;pIni,rFecha,"&lt;="&amp;pFin,rCat,critCat,rCtaE,critCta))</f>
        <v/>
      </c>
      <c r="V158" s="241">
        <f>IF(S158="",-1E+12-152,N(T158)+(301-152)/1E+7)</f>
        <v/>
      </c>
      <c r="W158" s="241">
        <f>IF(S158="","",SUMIFS(rGasto,rCom,S158,rHorm,1,rFecha,"&gt;="&amp;pIni,rFecha,"&lt;="&amp;pFin))</f>
        <v/>
      </c>
      <c r="X158" s="241">
        <f>IF(S158="","",COUNTIFS(rCom,S158,rHorm,1,rFecha,"&gt;="&amp;pIni,rFecha,"&lt;="&amp;pFin))</f>
        <v/>
      </c>
      <c r="Y158" s="241">
        <f>IF(S158="",-1E+12-152,N(W158)+(301-152)/1E+7)</f>
        <v/>
      </c>
      <c r="BG158" s="241" t="n">
        <v>152</v>
      </c>
      <c r="BH158" s="246">
        <f>IF(calIni+151&lt;=pFinEff,calIni+151,"")</f>
        <v/>
      </c>
      <c r="BI158" s="241">
        <f>IF(BH158="","",WEEKDAY(BH158,2))</f>
        <v/>
      </c>
      <c r="BJ158" s="241">
        <f>IF(BH158="","",SUMIFS(rGasto,rFecha,BH158,rGrupo,"?*"))</f>
        <v/>
      </c>
      <c r="BK158" s="241">
        <f>IF(BH158="","",SUMIFS(rGasto,rFecha,BH158,rGrupo,gCP))</f>
        <v/>
      </c>
      <c r="BL158" s="241">
        <f>IF(BH158="",-1E+12-152,N(BJ158)+(400-152)/1E+7)</f>
        <v/>
      </c>
    </row>
    <row r="159">
      <c r="K159" s="241">
        <f>INDEX(catCat,153)&amp;""</f>
        <v/>
      </c>
      <c r="L159" s="241">
        <f>INDEX(catSub,153)&amp;""</f>
        <v/>
      </c>
      <c r="M159" s="241">
        <f>IF(OR(K159="",L159="",INDEX(catTipo,153)&amp;""&lt;&gt;"Gasto"),"",IF(AND(critCat&lt;&gt;"&lt;&gt;@@@",K159&lt;&gt;critCat),0,SUMIFS(rGasto,rCat,K159,rSub,L159,rFecha,"&gt;="&amp;pIni,rFecha,"&lt;="&amp;pFin,rCtaE,critCta)))</f>
        <v/>
      </c>
      <c r="N159" s="241">
        <f>IF(M159="","",IF(AND(critCat&lt;&gt;"&lt;&gt;@@@",K159&lt;&gt;critCat),0,COUNTIFS(rCat,K159,rSub,L159,rTipoE,"Gasto",rFecha,"&gt;="&amp;pIni,rFecha,"&lt;="&amp;pFin,rCtaE,critCta)))</f>
        <v/>
      </c>
      <c r="O159" s="241">
        <f>IF(M159="",-1E+12-153,N(M159)+(201-153)/1E+7)</f>
        <v/>
      </c>
      <c r="P159" s="241">
        <f>L159&amp;" · "&amp;K159</f>
        <v/>
      </c>
      <c r="R159" s="241" t="n">
        <v>153</v>
      </c>
      <c r="S159" s="241">
        <f>IFERROR(INDEX(rCom,MATCH(153,rComIdx,0))&amp;"","")</f>
        <v/>
      </c>
      <c r="T159" s="241">
        <f>IF(S159="","",SUMIFS(rGasto,rCom,S159,rFecha,"&gt;="&amp;pIni,rFecha,"&lt;="&amp;pFin,rCat,critCat,rCtaE,critCta))</f>
        <v/>
      </c>
      <c r="U159" s="241">
        <f>IF(S159="","",COUNTIFS(rCom,S159,rTipoE,"Gasto",rFecha,"&gt;="&amp;pIni,rFecha,"&lt;="&amp;pFin,rCat,critCat,rCtaE,critCta))</f>
        <v/>
      </c>
      <c r="V159" s="241">
        <f>IF(S159="",-1E+12-153,N(T159)+(301-153)/1E+7)</f>
        <v/>
      </c>
      <c r="W159" s="241">
        <f>IF(S159="","",SUMIFS(rGasto,rCom,S159,rHorm,1,rFecha,"&gt;="&amp;pIni,rFecha,"&lt;="&amp;pFin))</f>
        <v/>
      </c>
      <c r="X159" s="241">
        <f>IF(S159="","",COUNTIFS(rCom,S159,rHorm,1,rFecha,"&gt;="&amp;pIni,rFecha,"&lt;="&amp;pFin))</f>
        <v/>
      </c>
      <c r="Y159" s="241">
        <f>IF(S159="",-1E+12-153,N(W159)+(301-153)/1E+7)</f>
        <v/>
      </c>
      <c r="BG159" s="241" t="n">
        <v>153</v>
      </c>
      <c r="BH159" s="246">
        <f>IF(calIni+152&lt;=pFinEff,calIni+152,"")</f>
        <v/>
      </c>
      <c r="BI159" s="241">
        <f>IF(BH159="","",WEEKDAY(BH159,2))</f>
        <v/>
      </c>
      <c r="BJ159" s="241">
        <f>IF(BH159="","",SUMIFS(rGasto,rFecha,BH159,rGrupo,"?*"))</f>
        <v/>
      </c>
      <c r="BK159" s="241">
        <f>IF(BH159="","",SUMIFS(rGasto,rFecha,BH159,rGrupo,gCP))</f>
        <v/>
      </c>
      <c r="BL159" s="241">
        <f>IF(BH159="",-1E+12-153,N(BJ159)+(400-153)/1E+7)</f>
        <v/>
      </c>
    </row>
    <row r="160">
      <c r="K160" s="241">
        <f>INDEX(catCat,154)&amp;""</f>
        <v/>
      </c>
      <c r="L160" s="241">
        <f>INDEX(catSub,154)&amp;""</f>
        <v/>
      </c>
      <c r="M160" s="241">
        <f>IF(OR(K160="",L160="",INDEX(catTipo,154)&amp;""&lt;&gt;"Gasto"),"",IF(AND(critCat&lt;&gt;"&lt;&gt;@@@",K160&lt;&gt;critCat),0,SUMIFS(rGasto,rCat,K160,rSub,L160,rFecha,"&gt;="&amp;pIni,rFecha,"&lt;="&amp;pFin,rCtaE,critCta)))</f>
        <v/>
      </c>
      <c r="N160" s="241">
        <f>IF(M160="","",IF(AND(critCat&lt;&gt;"&lt;&gt;@@@",K160&lt;&gt;critCat),0,COUNTIFS(rCat,K160,rSub,L160,rTipoE,"Gasto",rFecha,"&gt;="&amp;pIni,rFecha,"&lt;="&amp;pFin,rCtaE,critCta)))</f>
        <v/>
      </c>
      <c r="O160" s="241">
        <f>IF(M160="",-1E+12-154,N(M160)+(201-154)/1E+7)</f>
        <v/>
      </c>
      <c r="P160" s="241">
        <f>L160&amp;" · "&amp;K160</f>
        <v/>
      </c>
      <c r="R160" s="241" t="n">
        <v>154</v>
      </c>
      <c r="S160" s="241">
        <f>IFERROR(INDEX(rCom,MATCH(154,rComIdx,0))&amp;"","")</f>
        <v/>
      </c>
      <c r="T160" s="241">
        <f>IF(S160="","",SUMIFS(rGasto,rCom,S160,rFecha,"&gt;="&amp;pIni,rFecha,"&lt;="&amp;pFin,rCat,critCat,rCtaE,critCta))</f>
        <v/>
      </c>
      <c r="U160" s="241">
        <f>IF(S160="","",COUNTIFS(rCom,S160,rTipoE,"Gasto",rFecha,"&gt;="&amp;pIni,rFecha,"&lt;="&amp;pFin,rCat,critCat,rCtaE,critCta))</f>
        <v/>
      </c>
      <c r="V160" s="241">
        <f>IF(S160="",-1E+12-154,N(T160)+(301-154)/1E+7)</f>
        <v/>
      </c>
      <c r="W160" s="241">
        <f>IF(S160="","",SUMIFS(rGasto,rCom,S160,rHorm,1,rFecha,"&gt;="&amp;pIni,rFecha,"&lt;="&amp;pFin))</f>
        <v/>
      </c>
      <c r="X160" s="241">
        <f>IF(S160="","",COUNTIFS(rCom,S160,rHorm,1,rFecha,"&gt;="&amp;pIni,rFecha,"&lt;="&amp;pFin))</f>
        <v/>
      </c>
      <c r="Y160" s="241">
        <f>IF(S160="",-1E+12-154,N(W160)+(301-154)/1E+7)</f>
        <v/>
      </c>
      <c r="BG160" s="241" t="n">
        <v>154</v>
      </c>
      <c r="BH160" s="246">
        <f>IF(calIni+153&lt;=pFinEff,calIni+153,"")</f>
        <v/>
      </c>
      <c r="BI160" s="241">
        <f>IF(BH160="","",WEEKDAY(BH160,2))</f>
        <v/>
      </c>
      <c r="BJ160" s="241">
        <f>IF(BH160="","",SUMIFS(rGasto,rFecha,BH160,rGrupo,"?*"))</f>
        <v/>
      </c>
      <c r="BK160" s="241">
        <f>IF(BH160="","",SUMIFS(rGasto,rFecha,BH160,rGrupo,gCP))</f>
        <v/>
      </c>
      <c r="BL160" s="241">
        <f>IF(BH160="",-1E+12-154,N(BJ160)+(400-154)/1E+7)</f>
        <v/>
      </c>
    </row>
    <row r="161">
      <c r="K161" s="241">
        <f>INDEX(catCat,155)&amp;""</f>
        <v/>
      </c>
      <c r="L161" s="241">
        <f>INDEX(catSub,155)&amp;""</f>
        <v/>
      </c>
      <c r="M161" s="241">
        <f>IF(OR(K161="",L161="",INDEX(catTipo,155)&amp;""&lt;&gt;"Gasto"),"",IF(AND(critCat&lt;&gt;"&lt;&gt;@@@",K161&lt;&gt;critCat),0,SUMIFS(rGasto,rCat,K161,rSub,L161,rFecha,"&gt;="&amp;pIni,rFecha,"&lt;="&amp;pFin,rCtaE,critCta)))</f>
        <v/>
      </c>
      <c r="N161" s="241">
        <f>IF(M161="","",IF(AND(critCat&lt;&gt;"&lt;&gt;@@@",K161&lt;&gt;critCat),0,COUNTIFS(rCat,K161,rSub,L161,rTipoE,"Gasto",rFecha,"&gt;="&amp;pIni,rFecha,"&lt;="&amp;pFin,rCtaE,critCta)))</f>
        <v/>
      </c>
      <c r="O161" s="241">
        <f>IF(M161="",-1E+12-155,N(M161)+(201-155)/1E+7)</f>
        <v/>
      </c>
      <c r="P161" s="241">
        <f>L161&amp;" · "&amp;K161</f>
        <v/>
      </c>
      <c r="R161" s="241" t="n">
        <v>155</v>
      </c>
      <c r="S161" s="241">
        <f>IFERROR(INDEX(rCom,MATCH(155,rComIdx,0))&amp;"","")</f>
        <v/>
      </c>
      <c r="T161" s="241">
        <f>IF(S161="","",SUMIFS(rGasto,rCom,S161,rFecha,"&gt;="&amp;pIni,rFecha,"&lt;="&amp;pFin,rCat,critCat,rCtaE,critCta))</f>
        <v/>
      </c>
      <c r="U161" s="241">
        <f>IF(S161="","",COUNTIFS(rCom,S161,rTipoE,"Gasto",rFecha,"&gt;="&amp;pIni,rFecha,"&lt;="&amp;pFin,rCat,critCat,rCtaE,critCta))</f>
        <v/>
      </c>
      <c r="V161" s="241">
        <f>IF(S161="",-1E+12-155,N(T161)+(301-155)/1E+7)</f>
        <v/>
      </c>
      <c r="W161" s="241">
        <f>IF(S161="","",SUMIFS(rGasto,rCom,S161,rHorm,1,rFecha,"&gt;="&amp;pIni,rFecha,"&lt;="&amp;pFin))</f>
        <v/>
      </c>
      <c r="X161" s="241">
        <f>IF(S161="","",COUNTIFS(rCom,S161,rHorm,1,rFecha,"&gt;="&amp;pIni,rFecha,"&lt;="&amp;pFin))</f>
        <v/>
      </c>
      <c r="Y161" s="241">
        <f>IF(S161="",-1E+12-155,N(W161)+(301-155)/1E+7)</f>
        <v/>
      </c>
      <c r="BG161" s="241" t="n">
        <v>155</v>
      </c>
      <c r="BH161" s="246">
        <f>IF(calIni+154&lt;=pFinEff,calIni+154,"")</f>
        <v/>
      </c>
      <c r="BI161" s="241">
        <f>IF(BH161="","",WEEKDAY(BH161,2))</f>
        <v/>
      </c>
      <c r="BJ161" s="241">
        <f>IF(BH161="","",SUMIFS(rGasto,rFecha,BH161,rGrupo,"?*"))</f>
        <v/>
      </c>
      <c r="BK161" s="241">
        <f>IF(BH161="","",SUMIFS(rGasto,rFecha,BH161,rGrupo,gCP))</f>
        <v/>
      </c>
      <c r="BL161" s="241">
        <f>IF(BH161="",-1E+12-155,N(BJ161)+(400-155)/1E+7)</f>
        <v/>
      </c>
    </row>
    <row r="162">
      <c r="K162" s="241">
        <f>INDEX(catCat,156)&amp;""</f>
        <v/>
      </c>
      <c r="L162" s="241">
        <f>INDEX(catSub,156)&amp;""</f>
        <v/>
      </c>
      <c r="M162" s="241">
        <f>IF(OR(K162="",L162="",INDEX(catTipo,156)&amp;""&lt;&gt;"Gasto"),"",IF(AND(critCat&lt;&gt;"&lt;&gt;@@@",K162&lt;&gt;critCat),0,SUMIFS(rGasto,rCat,K162,rSub,L162,rFecha,"&gt;="&amp;pIni,rFecha,"&lt;="&amp;pFin,rCtaE,critCta)))</f>
        <v/>
      </c>
      <c r="N162" s="241">
        <f>IF(M162="","",IF(AND(critCat&lt;&gt;"&lt;&gt;@@@",K162&lt;&gt;critCat),0,COUNTIFS(rCat,K162,rSub,L162,rTipoE,"Gasto",rFecha,"&gt;="&amp;pIni,rFecha,"&lt;="&amp;pFin,rCtaE,critCta)))</f>
        <v/>
      </c>
      <c r="O162" s="241">
        <f>IF(M162="",-1E+12-156,N(M162)+(201-156)/1E+7)</f>
        <v/>
      </c>
      <c r="P162" s="241">
        <f>L162&amp;" · "&amp;K162</f>
        <v/>
      </c>
      <c r="R162" s="241" t="n">
        <v>156</v>
      </c>
      <c r="S162" s="241">
        <f>IFERROR(INDEX(rCom,MATCH(156,rComIdx,0))&amp;"","")</f>
        <v/>
      </c>
      <c r="T162" s="241">
        <f>IF(S162="","",SUMIFS(rGasto,rCom,S162,rFecha,"&gt;="&amp;pIni,rFecha,"&lt;="&amp;pFin,rCat,critCat,rCtaE,critCta))</f>
        <v/>
      </c>
      <c r="U162" s="241">
        <f>IF(S162="","",COUNTIFS(rCom,S162,rTipoE,"Gasto",rFecha,"&gt;="&amp;pIni,rFecha,"&lt;="&amp;pFin,rCat,critCat,rCtaE,critCta))</f>
        <v/>
      </c>
      <c r="V162" s="241">
        <f>IF(S162="",-1E+12-156,N(T162)+(301-156)/1E+7)</f>
        <v/>
      </c>
      <c r="W162" s="241">
        <f>IF(S162="","",SUMIFS(rGasto,rCom,S162,rHorm,1,rFecha,"&gt;="&amp;pIni,rFecha,"&lt;="&amp;pFin))</f>
        <v/>
      </c>
      <c r="X162" s="241">
        <f>IF(S162="","",COUNTIFS(rCom,S162,rHorm,1,rFecha,"&gt;="&amp;pIni,rFecha,"&lt;="&amp;pFin))</f>
        <v/>
      </c>
      <c r="Y162" s="241">
        <f>IF(S162="",-1E+12-156,N(W162)+(301-156)/1E+7)</f>
        <v/>
      </c>
      <c r="BG162" s="241" t="n">
        <v>156</v>
      </c>
      <c r="BH162" s="246">
        <f>IF(calIni+155&lt;=pFinEff,calIni+155,"")</f>
        <v/>
      </c>
      <c r="BI162" s="241">
        <f>IF(BH162="","",WEEKDAY(BH162,2))</f>
        <v/>
      </c>
      <c r="BJ162" s="241">
        <f>IF(BH162="","",SUMIFS(rGasto,rFecha,BH162,rGrupo,"?*"))</f>
        <v/>
      </c>
      <c r="BK162" s="241">
        <f>IF(BH162="","",SUMIFS(rGasto,rFecha,BH162,rGrupo,gCP))</f>
        <v/>
      </c>
      <c r="BL162" s="241">
        <f>IF(BH162="",-1E+12-156,N(BJ162)+(400-156)/1E+7)</f>
        <v/>
      </c>
    </row>
    <row r="163">
      <c r="K163" s="241">
        <f>INDEX(catCat,157)&amp;""</f>
        <v/>
      </c>
      <c r="L163" s="241">
        <f>INDEX(catSub,157)&amp;""</f>
        <v/>
      </c>
      <c r="M163" s="241">
        <f>IF(OR(K163="",L163="",INDEX(catTipo,157)&amp;""&lt;&gt;"Gasto"),"",IF(AND(critCat&lt;&gt;"&lt;&gt;@@@",K163&lt;&gt;critCat),0,SUMIFS(rGasto,rCat,K163,rSub,L163,rFecha,"&gt;="&amp;pIni,rFecha,"&lt;="&amp;pFin,rCtaE,critCta)))</f>
        <v/>
      </c>
      <c r="N163" s="241">
        <f>IF(M163="","",IF(AND(critCat&lt;&gt;"&lt;&gt;@@@",K163&lt;&gt;critCat),0,COUNTIFS(rCat,K163,rSub,L163,rTipoE,"Gasto",rFecha,"&gt;="&amp;pIni,rFecha,"&lt;="&amp;pFin,rCtaE,critCta)))</f>
        <v/>
      </c>
      <c r="O163" s="241">
        <f>IF(M163="",-1E+12-157,N(M163)+(201-157)/1E+7)</f>
        <v/>
      </c>
      <c r="P163" s="241">
        <f>L163&amp;" · "&amp;K163</f>
        <v/>
      </c>
      <c r="R163" s="241" t="n">
        <v>157</v>
      </c>
      <c r="S163" s="241">
        <f>IFERROR(INDEX(rCom,MATCH(157,rComIdx,0))&amp;"","")</f>
        <v/>
      </c>
      <c r="T163" s="241">
        <f>IF(S163="","",SUMIFS(rGasto,rCom,S163,rFecha,"&gt;="&amp;pIni,rFecha,"&lt;="&amp;pFin,rCat,critCat,rCtaE,critCta))</f>
        <v/>
      </c>
      <c r="U163" s="241">
        <f>IF(S163="","",COUNTIFS(rCom,S163,rTipoE,"Gasto",rFecha,"&gt;="&amp;pIni,rFecha,"&lt;="&amp;pFin,rCat,critCat,rCtaE,critCta))</f>
        <v/>
      </c>
      <c r="V163" s="241">
        <f>IF(S163="",-1E+12-157,N(T163)+(301-157)/1E+7)</f>
        <v/>
      </c>
      <c r="W163" s="241">
        <f>IF(S163="","",SUMIFS(rGasto,rCom,S163,rHorm,1,rFecha,"&gt;="&amp;pIni,rFecha,"&lt;="&amp;pFin))</f>
        <v/>
      </c>
      <c r="X163" s="241">
        <f>IF(S163="","",COUNTIFS(rCom,S163,rHorm,1,rFecha,"&gt;="&amp;pIni,rFecha,"&lt;="&amp;pFin))</f>
        <v/>
      </c>
      <c r="Y163" s="241">
        <f>IF(S163="",-1E+12-157,N(W163)+(301-157)/1E+7)</f>
        <v/>
      </c>
      <c r="BG163" s="241" t="n">
        <v>157</v>
      </c>
      <c r="BH163" s="246">
        <f>IF(calIni+156&lt;=pFinEff,calIni+156,"")</f>
        <v/>
      </c>
      <c r="BI163" s="241">
        <f>IF(BH163="","",WEEKDAY(BH163,2))</f>
        <v/>
      </c>
      <c r="BJ163" s="241">
        <f>IF(BH163="","",SUMIFS(rGasto,rFecha,BH163,rGrupo,"?*"))</f>
        <v/>
      </c>
      <c r="BK163" s="241">
        <f>IF(BH163="","",SUMIFS(rGasto,rFecha,BH163,rGrupo,gCP))</f>
        <v/>
      </c>
      <c r="BL163" s="241">
        <f>IF(BH163="",-1E+12-157,N(BJ163)+(400-157)/1E+7)</f>
        <v/>
      </c>
    </row>
    <row r="164">
      <c r="K164" s="241">
        <f>INDEX(catCat,158)&amp;""</f>
        <v/>
      </c>
      <c r="L164" s="241">
        <f>INDEX(catSub,158)&amp;""</f>
        <v/>
      </c>
      <c r="M164" s="241">
        <f>IF(OR(K164="",L164="",INDEX(catTipo,158)&amp;""&lt;&gt;"Gasto"),"",IF(AND(critCat&lt;&gt;"&lt;&gt;@@@",K164&lt;&gt;critCat),0,SUMIFS(rGasto,rCat,K164,rSub,L164,rFecha,"&gt;="&amp;pIni,rFecha,"&lt;="&amp;pFin,rCtaE,critCta)))</f>
        <v/>
      </c>
      <c r="N164" s="241">
        <f>IF(M164="","",IF(AND(critCat&lt;&gt;"&lt;&gt;@@@",K164&lt;&gt;critCat),0,COUNTIFS(rCat,K164,rSub,L164,rTipoE,"Gasto",rFecha,"&gt;="&amp;pIni,rFecha,"&lt;="&amp;pFin,rCtaE,critCta)))</f>
        <v/>
      </c>
      <c r="O164" s="241">
        <f>IF(M164="",-1E+12-158,N(M164)+(201-158)/1E+7)</f>
        <v/>
      </c>
      <c r="P164" s="241">
        <f>L164&amp;" · "&amp;K164</f>
        <v/>
      </c>
      <c r="R164" s="241" t="n">
        <v>158</v>
      </c>
      <c r="S164" s="241">
        <f>IFERROR(INDEX(rCom,MATCH(158,rComIdx,0))&amp;"","")</f>
        <v/>
      </c>
      <c r="T164" s="241">
        <f>IF(S164="","",SUMIFS(rGasto,rCom,S164,rFecha,"&gt;="&amp;pIni,rFecha,"&lt;="&amp;pFin,rCat,critCat,rCtaE,critCta))</f>
        <v/>
      </c>
      <c r="U164" s="241">
        <f>IF(S164="","",COUNTIFS(rCom,S164,rTipoE,"Gasto",rFecha,"&gt;="&amp;pIni,rFecha,"&lt;="&amp;pFin,rCat,critCat,rCtaE,critCta))</f>
        <v/>
      </c>
      <c r="V164" s="241">
        <f>IF(S164="",-1E+12-158,N(T164)+(301-158)/1E+7)</f>
        <v/>
      </c>
      <c r="W164" s="241">
        <f>IF(S164="","",SUMIFS(rGasto,rCom,S164,rHorm,1,rFecha,"&gt;="&amp;pIni,rFecha,"&lt;="&amp;pFin))</f>
        <v/>
      </c>
      <c r="X164" s="241">
        <f>IF(S164="","",COUNTIFS(rCom,S164,rHorm,1,rFecha,"&gt;="&amp;pIni,rFecha,"&lt;="&amp;pFin))</f>
        <v/>
      </c>
      <c r="Y164" s="241">
        <f>IF(S164="",-1E+12-158,N(W164)+(301-158)/1E+7)</f>
        <v/>
      </c>
      <c r="BG164" s="241" t="n">
        <v>158</v>
      </c>
      <c r="BH164" s="246">
        <f>IF(calIni+157&lt;=pFinEff,calIni+157,"")</f>
        <v/>
      </c>
      <c r="BI164" s="241">
        <f>IF(BH164="","",WEEKDAY(BH164,2))</f>
        <v/>
      </c>
      <c r="BJ164" s="241">
        <f>IF(BH164="","",SUMIFS(rGasto,rFecha,BH164,rGrupo,"?*"))</f>
        <v/>
      </c>
      <c r="BK164" s="241">
        <f>IF(BH164="","",SUMIFS(rGasto,rFecha,BH164,rGrupo,gCP))</f>
        <v/>
      </c>
      <c r="BL164" s="241">
        <f>IF(BH164="",-1E+12-158,N(BJ164)+(400-158)/1E+7)</f>
        <v/>
      </c>
    </row>
    <row r="165">
      <c r="K165" s="241">
        <f>INDEX(catCat,159)&amp;""</f>
        <v/>
      </c>
      <c r="L165" s="241">
        <f>INDEX(catSub,159)&amp;""</f>
        <v/>
      </c>
      <c r="M165" s="241">
        <f>IF(OR(K165="",L165="",INDEX(catTipo,159)&amp;""&lt;&gt;"Gasto"),"",IF(AND(critCat&lt;&gt;"&lt;&gt;@@@",K165&lt;&gt;critCat),0,SUMIFS(rGasto,rCat,K165,rSub,L165,rFecha,"&gt;="&amp;pIni,rFecha,"&lt;="&amp;pFin,rCtaE,critCta)))</f>
        <v/>
      </c>
      <c r="N165" s="241">
        <f>IF(M165="","",IF(AND(critCat&lt;&gt;"&lt;&gt;@@@",K165&lt;&gt;critCat),0,COUNTIFS(rCat,K165,rSub,L165,rTipoE,"Gasto",rFecha,"&gt;="&amp;pIni,rFecha,"&lt;="&amp;pFin,rCtaE,critCta)))</f>
        <v/>
      </c>
      <c r="O165" s="241">
        <f>IF(M165="",-1E+12-159,N(M165)+(201-159)/1E+7)</f>
        <v/>
      </c>
      <c r="P165" s="241">
        <f>L165&amp;" · "&amp;K165</f>
        <v/>
      </c>
      <c r="R165" s="241" t="n">
        <v>159</v>
      </c>
      <c r="S165" s="241">
        <f>IFERROR(INDEX(rCom,MATCH(159,rComIdx,0))&amp;"","")</f>
        <v/>
      </c>
      <c r="T165" s="241">
        <f>IF(S165="","",SUMIFS(rGasto,rCom,S165,rFecha,"&gt;="&amp;pIni,rFecha,"&lt;="&amp;pFin,rCat,critCat,rCtaE,critCta))</f>
        <v/>
      </c>
      <c r="U165" s="241">
        <f>IF(S165="","",COUNTIFS(rCom,S165,rTipoE,"Gasto",rFecha,"&gt;="&amp;pIni,rFecha,"&lt;="&amp;pFin,rCat,critCat,rCtaE,critCta))</f>
        <v/>
      </c>
      <c r="V165" s="241">
        <f>IF(S165="",-1E+12-159,N(T165)+(301-159)/1E+7)</f>
        <v/>
      </c>
      <c r="W165" s="241">
        <f>IF(S165="","",SUMIFS(rGasto,rCom,S165,rHorm,1,rFecha,"&gt;="&amp;pIni,rFecha,"&lt;="&amp;pFin))</f>
        <v/>
      </c>
      <c r="X165" s="241">
        <f>IF(S165="","",COUNTIFS(rCom,S165,rHorm,1,rFecha,"&gt;="&amp;pIni,rFecha,"&lt;="&amp;pFin))</f>
        <v/>
      </c>
      <c r="Y165" s="241">
        <f>IF(S165="",-1E+12-159,N(W165)+(301-159)/1E+7)</f>
        <v/>
      </c>
      <c r="BG165" s="241" t="n">
        <v>159</v>
      </c>
      <c r="BH165" s="246">
        <f>IF(calIni+158&lt;=pFinEff,calIni+158,"")</f>
        <v/>
      </c>
      <c r="BI165" s="241">
        <f>IF(BH165="","",WEEKDAY(BH165,2))</f>
        <v/>
      </c>
      <c r="BJ165" s="241">
        <f>IF(BH165="","",SUMIFS(rGasto,rFecha,BH165,rGrupo,"?*"))</f>
        <v/>
      </c>
      <c r="BK165" s="241">
        <f>IF(BH165="","",SUMIFS(rGasto,rFecha,BH165,rGrupo,gCP))</f>
        <v/>
      </c>
      <c r="BL165" s="241">
        <f>IF(BH165="",-1E+12-159,N(BJ165)+(400-159)/1E+7)</f>
        <v/>
      </c>
    </row>
    <row r="166">
      <c r="K166" s="241">
        <f>INDEX(catCat,160)&amp;""</f>
        <v/>
      </c>
      <c r="L166" s="241">
        <f>INDEX(catSub,160)&amp;""</f>
        <v/>
      </c>
      <c r="M166" s="241">
        <f>IF(OR(K166="",L166="",INDEX(catTipo,160)&amp;""&lt;&gt;"Gasto"),"",IF(AND(critCat&lt;&gt;"&lt;&gt;@@@",K166&lt;&gt;critCat),0,SUMIFS(rGasto,rCat,K166,rSub,L166,rFecha,"&gt;="&amp;pIni,rFecha,"&lt;="&amp;pFin,rCtaE,critCta)))</f>
        <v/>
      </c>
      <c r="N166" s="241">
        <f>IF(M166="","",IF(AND(critCat&lt;&gt;"&lt;&gt;@@@",K166&lt;&gt;critCat),0,COUNTIFS(rCat,K166,rSub,L166,rTipoE,"Gasto",rFecha,"&gt;="&amp;pIni,rFecha,"&lt;="&amp;pFin,rCtaE,critCta)))</f>
        <v/>
      </c>
      <c r="O166" s="241">
        <f>IF(M166="",-1E+12-160,N(M166)+(201-160)/1E+7)</f>
        <v/>
      </c>
      <c r="P166" s="241">
        <f>L166&amp;" · "&amp;K166</f>
        <v/>
      </c>
      <c r="R166" s="241" t="n">
        <v>160</v>
      </c>
      <c r="S166" s="241">
        <f>IFERROR(INDEX(rCom,MATCH(160,rComIdx,0))&amp;"","")</f>
        <v/>
      </c>
      <c r="T166" s="241">
        <f>IF(S166="","",SUMIFS(rGasto,rCom,S166,rFecha,"&gt;="&amp;pIni,rFecha,"&lt;="&amp;pFin,rCat,critCat,rCtaE,critCta))</f>
        <v/>
      </c>
      <c r="U166" s="241">
        <f>IF(S166="","",COUNTIFS(rCom,S166,rTipoE,"Gasto",rFecha,"&gt;="&amp;pIni,rFecha,"&lt;="&amp;pFin,rCat,critCat,rCtaE,critCta))</f>
        <v/>
      </c>
      <c r="V166" s="241">
        <f>IF(S166="",-1E+12-160,N(T166)+(301-160)/1E+7)</f>
        <v/>
      </c>
      <c r="W166" s="241">
        <f>IF(S166="","",SUMIFS(rGasto,rCom,S166,rHorm,1,rFecha,"&gt;="&amp;pIni,rFecha,"&lt;="&amp;pFin))</f>
        <v/>
      </c>
      <c r="X166" s="241">
        <f>IF(S166="","",COUNTIFS(rCom,S166,rHorm,1,rFecha,"&gt;="&amp;pIni,rFecha,"&lt;="&amp;pFin))</f>
        <v/>
      </c>
      <c r="Y166" s="241">
        <f>IF(S166="",-1E+12-160,N(W166)+(301-160)/1E+7)</f>
        <v/>
      </c>
      <c r="BG166" s="241" t="n">
        <v>160</v>
      </c>
      <c r="BH166" s="246">
        <f>IF(calIni+159&lt;=pFinEff,calIni+159,"")</f>
        <v/>
      </c>
      <c r="BI166" s="241">
        <f>IF(BH166="","",WEEKDAY(BH166,2))</f>
        <v/>
      </c>
      <c r="BJ166" s="241">
        <f>IF(BH166="","",SUMIFS(rGasto,rFecha,BH166,rGrupo,"?*"))</f>
        <v/>
      </c>
      <c r="BK166" s="241">
        <f>IF(BH166="","",SUMIFS(rGasto,rFecha,BH166,rGrupo,gCP))</f>
        <v/>
      </c>
      <c r="BL166" s="241">
        <f>IF(BH166="",-1E+12-160,N(BJ166)+(400-160)/1E+7)</f>
        <v/>
      </c>
    </row>
    <row r="167">
      <c r="K167" s="241">
        <f>INDEX(catCat,161)&amp;""</f>
        <v/>
      </c>
      <c r="L167" s="241">
        <f>INDEX(catSub,161)&amp;""</f>
        <v/>
      </c>
      <c r="M167" s="241">
        <f>IF(OR(K167="",L167="",INDEX(catTipo,161)&amp;""&lt;&gt;"Gasto"),"",IF(AND(critCat&lt;&gt;"&lt;&gt;@@@",K167&lt;&gt;critCat),0,SUMIFS(rGasto,rCat,K167,rSub,L167,rFecha,"&gt;="&amp;pIni,rFecha,"&lt;="&amp;pFin,rCtaE,critCta)))</f>
        <v/>
      </c>
      <c r="N167" s="241">
        <f>IF(M167="","",IF(AND(critCat&lt;&gt;"&lt;&gt;@@@",K167&lt;&gt;critCat),0,COUNTIFS(rCat,K167,rSub,L167,rTipoE,"Gasto",rFecha,"&gt;="&amp;pIni,rFecha,"&lt;="&amp;pFin,rCtaE,critCta)))</f>
        <v/>
      </c>
      <c r="O167" s="241">
        <f>IF(M167="",-1E+12-161,N(M167)+(201-161)/1E+7)</f>
        <v/>
      </c>
      <c r="P167" s="241">
        <f>L167&amp;" · "&amp;K167</f>
        <v/>
      </c>
      <c r="R167" s="241" t="n">
        <v>161</v>
      </c>
      <c r="S167" s="241">
        <f>IFERROR(INDEX(rCom,MATCH(161,rComIdx,0))&amp;"","")</f>
        <v/>
      </c>
      <c r="T167" s="241">
        <f>IF(S167="","",SUMIFS(rGasto,rCom,S167,rFecha,"&gt;="&amp;pIni,rFecha,"&lt;="&amp;pFin,rCat,critCat,rCtaE,critCta))</f>
        <v/>
      </c>
      <c r="U167" s="241">
        <f>IF(S167="","",COUNTIFS(rCom,S167,rTipoE,"Gasto",rFecha,"&gt;="&amp;pIni,rFecha,"&lt;="&amp;pFin,rCat,critCat,rCtaE,critCta))</f>
        <v/>
      </c>
      <c r="V167" s="241">
        <f>IF(S167="",-1E+12-161,N(T167)+(301-161)/1E+7)</f>
        <v/>
      </c>
      <c r="W167" s="241">
        <f>IF(S167="","",SUMIFS(rGasto,rCom,S167,rHorm,1,rFecha,"&gt;="&amp;pIni,rFecha,"&lt;="&amp;pFin))</f>
        <v/>
      </c>
      <c r="X167" s="241">
        <f>IF(S167="","",COUNTIFS(rCom,S167,rHorm,1,rFecha,"&gt;="&amp;pIni,rFecha,"&lt;="&amp;pFin))</f>
        <v/>
      </c>
      <c r="Y167" s="241">
        <f>IF(S167="",-1E+12-161,N(W167)+(301-161)/1E+7)</f>
        <v/>
      </c>
      <c r="BG167" s="241" t="n">
        <v>161</v>
      </c>
      <c r="BH167" s="246">
        <f>IF(calIni+160&lt;=pFinEff,calIni+160,"")</f>
        <v/>
      </c>
      <c r="BI167" s="241">
        <f>IF(BH167="","",WEEKDAY(BH167,2))</f>
        <v/>
      </c>
      <c r="BJ167" s="241">
        <f>IF(BH167="","",SUMIFS(rGasto,rFecha,BH167,rGrupo,"?*"))</f>
        <v/>
      </c>
      <c r="BK167" s="241">
        <f>IF(BH167="","",SUMIFS(rGasto,rFecha,BH167,rGrupo,gCP))</f>
        <v/>
      </c>
      <c r="BL167" s="241">
        <f>IF(BH167="",-1E+12-161,N(BJ167)+(400-161)/1E+7)</f>
        <v/>
      </c>
    </row>
    <row r="168">
      <c r="K168" s="241">
        <f>INDEX(catCat,162)&amp;""</f>
        <v/>
      </c>
      <c r="L168" s="241">
        <f>INDEX(catSub,162)&amp;""</f>
        <v/>
      </c>
      <c r="M168" s="241">
        <f>IF(OR(K168="",L168="",INDEX(catTipo,162)&amp;""&lt;&gt;"Gasto"),"",IF(AND(critCat&lt;&gt;"&lt;&gt;@@@",K168&lt;&gt;critCat),0,SUMIFS(rGasto,rCat,K168,rSub,L168,rFecha,"&gt;="&amp;pIni,rFecha,"&lt;="&amp;pFin,rCtaE,critCta)))</f>
        <v/>
      </c>
      <c r="N168" s="241">
        <f>IF(M168="","",IF(AND(critCat&lt;&gt;"&lt;&gt;@@@",K168&lt;&gt;critCat),0,COUNTIFS(rCat,K168,rSub,L168,rTipoE,"Gasto",rFecha,"&gt;="&amp;pIni,rFecha,"&lt;="&amp;pFin,rCtaE,critCta)))</f>
        <v/>
      </c>
      <c r="O168" s="241">
        <f>IF(M168="",-1E+12-162,N(M168)+(201-162)/1E+7)</f>
        <v/>
      </c>
      <c r="P168" s="241">
        <f>L168&amp;" · "&amp;K168</f>
        <v/>
      </c>
      <c r="R168" s="241" t="n">
        <v>162</v>
      </c>
      <c r="S168" s="241">
        <f>IFERROR(INDEX(rCom,MATCH(162,rComIdx,0))&amp;"","")</f>
        <v/>
      </c>
      <c r="T168" s="241">
        <f>IF(S168="","",SUMIFS(rGasto,rCom,S168,rFecha,"&gt;="&amp;pIni,rFecha,"&lt;="&amp;pFin,rCat,critCat,rCtaE,critCta))</f>
        <v/>
      </c>
      <c r="U168" s="241">
        <f>IF(S168="","",COUNTIFS(rCom,S168,rTipoE,"Gasto",rFecha,"&gt;="&amp;pIni,rFecha,"&lt;="&amp;pFin,rCat,critCat,rCtaE,critCta))</f>
        <v/>
      </c>
      <c r="V168" s="241">
        <f>IF(S168="",-1E+12-162,N(T168)+(301-162)/1E+7)</f>
        <v/>
      </c>
      <c r="W168" s="241">
        <f>IF(S168="","",SUMIFS(rGasto,rCom,S168,rHorm,1,rFecha,"&gt;="&amp;pIni,rFecha,"&lt;="&amp;pFin))</f>
        <v/>
      </c>
      <c r="X168" s="241">
        <f>IF(S168="","",COUNTIFS(rCom,S168,rHorm,1,rFecha,"&gt;="&amp;pIni,rFecha,"&lt;="&amp;pFin))</f>
        <v/>
      </c>
      <c r="Y168" s="241">
        <f>IF(S168="",-1E+12-162,N(W168)+(301-162)/1E+7)</f>
        <v/>
      </c>
      <c r="BG168" s="241" t="n">
        <v>162</v>
      </c>
      <c r="BH168" s="246">
        <f>IF(calIni+161&lt;=pFinEff,calIni+161,"")</f>
        <v/>
      </c>
      <c r="BI168" s="241">
        <f>IF(BH168="","",WEEKDAY(BH168,2))</f>
        <v/>
      </c>
      <c r="BJ168" s="241">
        <f>IF(BH168="","",SUMIFS(rGasto,rFecha,BH168,rGrupo,"?*"))</f>
        <v/>
      </c>
      <c r="BK168" s="241">
        <f>IF(BH168="","",SUMIFS(rGasto,rFecha,BH168,rGrupo,gCP))</f>
        <v/>
      </c>
      <c r="BL168" s="241">
        <f>IF(BH168="",-1E+12-162,N(BJ168)+(400-162)/1E+7)</f>
        <v/>
      </c>
    </row>
    <row r="169">
      <c r="K169" s="241">
        <f>INDEX(catCat,163)&amp;""</f>
        <v/>
      </c>
      <c r="L169" s="241">
        <f>INDEX(catSub,163)&amp;""</f>
        <v/>
      </c>
      <c r="M169" s="241">
        <f>IF(OR(K169="",L169="",INDEX(catTipo,163)&amp;""&lt;&gt;"Gasto"),"",IF(AND(critCat&lt;&gt;"&lt;&gt;@@@",K169&lt;&gt;critCat),0,SUMIFS(rGasto,rCat,K169,rSub,L169,rFecha,"&gt;="&amp;pIni,rFecha,"&lt;="&amp;pFin,rCtaE,critCta)))</f>
        <v/>
      </c>
      <c r="N169" s="241">
        <f>IF(M169="","",IF(AND(critCat&lt;&gt;"&lt;&gt;@@@",K169&lt;&gt;critCat),0,COUNTIFS(rCat,K169,rSub,L169,rTipoE,"Gasto",rFecha,"&gt;="&amp;pIni,rFecha,"&lt;="&amp;pFin,rCtaE,critCta)))</f>
        <v/>
      </c>
      <c r="O169" s="241">
        <f>IF(M169="",-1E+12-163,N(M169)+(201-163)/1E+7)</f>
        <v/>
      </c>
      <c r="P169" s="241">
        <f>L169&amp;" · "&amp;K169</f>
        <v/>
      </c>
      <c r="R169" s="241" t="n">
        <v>163</v>
      </c>
      <c r="S169" s="241">
        <f>IFERROR(INDEX(rCom,MATCH(163,rComIdx,0))&amp;"","")</f>
        <v/>
      </c>
      <c r="T169" s="241">
        <f>IF(S169="","",SUMIFS(rGasto,rCom,S169,rFecha,"&gt;="&amp;pIni,rFecha,"&lt;="&amp;pFin,rCat,critCat,rCtaE,critCta))</f>
        <v/>
      </c>
      <c r="U169" s="241">
        <f>IF(S169="","",COUNTIFS(rCom,S169,rTipoE,"Gasto",rFecha,"&gt;="&amp;pIni,rFecha,"&lt;="&amp;pFin,rCat,critCat,rCtaE,critCta))</f>
        <v/>
      </c>
      <c r="V169" s="241">
        <f>IF(S169="",-1E+12-163,N(T169)+(301-163)/1E+7)</f>
        <v/>
      </c>
      <c r="W169" s="241">
        <f>IF(S169="","",SUMIFS(rGasto,rCom,S169,rHorm,1,rFecha,"&gt;="&amp;pIni,rFecha,"&lt;="&amp;pFin))</f>
        <v/>
      </c>
      <c r="X169" s="241">
        <f>IF(S169="","",COUNTIFS(rCom,S169,rHorm,1,rFecha,"&gt;="&amp;pIni,rFecha,"&lt;="&amp;pFin))</f>
        <v/>
      </c>
      <c r="Y169" s="241">
        <f>IF(S169="",-1E+12-163,N(W169)+(301-163)/1E+7)</f>
        <v/>
      </c>
      <c r="BG169" s="241" t="n">
        <v>163</v>
      </c>
      <c r="BH169" s="246">
        <f>IF(calIni+162&lt;=pFinEff,calIni+162,"")</f>
        <v/>
      </c>
      <c r="BI169" s="241">
        <f>IF(BH169="","",WEEKDAY(BH169,2))</f>
        <v/>
      </c>
      <c r="BJ169" s="241">
        <f>IF(BH169="","",SUMIFS(rGasto,rFecha,BH169,rGrupo,"?*"))</f>
        <v/>
      </c>
      <c r="BK169" s="241">
        <f>IF(BH169="","",SUMIFS(rGasto,rFecha,BH169,rGrupo,gCP))</f>
        <v/>
      </c>
      <c r="BL169" s="241">
        <f>IF(BH169="",-1E+12-163,N(BJ169)+(400-163)/1E+7)</f>
        <v/>
      </c>
    </row>
    <row r="170">
      <c r="K170" s="241">
        <f>INDEX(catCat,164)&amp;""</f>
        <v/>
      </c>
      <c r="L170" s="241">
        <f>INDEX(catSub,164)&amp;""</f>
        <v/>
      </c>
      <c r="M170" s="241">
        <f>IF(OR(K170="",L170="",INDEX(catTipo,164)&amp;""&lt;&gt;"Gasto"),"",IF(AND(critCat&lt;&gt;"&lt;&gt;@@@",K170&lt;&gt;critCat),0,SUMIFS(rGasto,rCat,K170,rSub,L170,rFecha,"&gt;="&amp;pIni,rFecha,"&lt;="&amp;pFin,rCtaE,critCta)))</f>
        <v/>
      </c>
      <c r="N170" s="241">
        <f>IF(M170="","",IF(AND(critCat&lt;&gt;"&lt;&gt;@@@",K170&lt;&gt;critCat),0,COUNTIFS(rCat,K170,rSub,L170,rTipoE,"Gasto",rFecha,"&gt;="&amp;pIni,rFecha,"&lt;="&amp;pFin,rCtaE,critCta)))</f>
        <v/>
      </c>
      <c r="O170" s="241">
        <f>IF(M170="",-1E+12-164,N(M170)+(201-164)/1E+7)</f>
        <v/>
      </c>
      <c r="P170" s="241">
        <f>L170&amp;" · "&amp;K170</f>
        <v/>
      </c>
      <c r="R170" s="241" t="n">
        <v>164</v>
      </c>
      <c r="S170" s="241">
        <f>IFERROR(INDEX(rCom,MATCH(164,rComIdx,0))&amp;"","")</f>
        <v/>
      </c>
      <c r="T170" s="241">
        <f>IF(S170="","",SUMIFS(rGasto,rCom,S170,rFecha,"&gt;="&amp;pIni,rFecha,"&lt;="&amp;pFin,rCat,critCat,rCtaE,critCta))</f>
        <v/>
      </c>
      <c r="U170" s="241">
        <f>IF(S170="","",COUNTIFS(rCom,S170,rTipoE,"Gasto",rFecha,"&gt;="&amp;pIni,rFecha,"&lt;="&amp;pFin,rCat,critCat,rCtaE,critCta))</f>
        <v/>
      </c>
      <c r="V170" s="241">
        <f>IF(S170="",-1E+12-164,N(T170)+(301-164)/1E+7)</f>
        <v/>
      </c>
      <c r="W170" s="241">
        <f>IF(S170="","",SUMIFS(rGasto,rCom,S170,rHorm,1,rFecha,"&gt;="&amp;pIni,rFecha,"&lt;="&amp;pFin))</f>
        <v/>
      </c>
      <c r="X170" s="241">
        <f>IF(S170="","",COUNTIFS(rCom,S170,rHorm,1,rFecha,"&gt;="&amp;pIni,rFecha,"&lt;="&amp;pFin))</f>
        <v/>
      </c>
      <c r="Y170" s="241">
        <f>IF(S170="",-1E+12-164,N(W170)+(301-164)/1E+7)</f>
        <v/>
      </c>
      <c r="BG170" s="241" t="n">
        <v>164</v>
      </c>
      <c r="BH170" s="246">
        <f>IF(calIni+163&lt;=pFinEff,calIni+163,"")</f>
        <v/>
      </c>
      <c r="BI170" s="241">
        <f>IF(BH170="","",WEEKDAY(BH170,2))</f>
        <v/>
      </c>
      <c r="BJ170" s="241">
        <f>IF(BH170="","",SUMIFS(rGasto,rFecha,BH170,rGrupo,"?*"))</f>
        <v/>
      </c>
      <c r="BK170" s="241">
        <f>IF(BH170="","",SUMIFS(rGasto,rFecha,BH170,rGrupo,gCP))</f>
        <v/>
      </c>
      <c r="BL170" s="241">
        <f>IF(BH170="",-1E+12-164,N(BJ170)+(400-164)/1E+7)</f>
        <v/>
      </c>
    </row>
    <row r="171">
      <c r="K171" s="241">
        <f>INDEX(catCat,165)&amp;""</f>
        <v/>
      </c>
      <c r="L171" s="241">
        <f>INDEX(catSub,165)&amp;""</f>
        <v/>
      </c>
      <c r="M171" s="241">
        <f>IF(OR(K171="",L171="",INDEX(catTipo,165)&amp;""&lt;&gt;"Gasto"),"",IF(AND(critCat&lt;&gt;"&lt;&gt;@@@",K171&lt;&gt;critCat),0,SUMIFS(rGasto,rCat,K171,rSub,L171,rFecha,"&gt;="&amp;pIni,rFecha,"&lt;="&amp;pFin,rCtaE,critCta)))</f>
        <v/>
      </c>
      <c r="N171" s="241">
        <f>IF(M171="","",IF(AND(critCat&lt;&gt;"&lt;&gt;@@@",K171&lt;&gt;critCat),0,COUNTIFS(rCat,K171,rSub,L171,rTipoE,"Gasto",rFecha,"&gt;="&amp;pIni,rFecha,"&lt;="&amp;pFin,rCtaE,critCta)))</f>
        <v/>
      </c>
      <c r="O171" s="241">
        <f>IF(M171="",-1E+12-165,N(M171)+(201-165)/1E+7)</f>
        <v/>
      </c>
      <c r="P171" s="241">
        <f>L171&amp;" · "&amp;K171</f>
        <v/>
      </c>
      <c r="R171" s="241" t="n">
        <v>165</v>
      </c>
      <c r="S171" s="241">
        <f>IFERROR(INDEX(rCom,MATCH(165,rComIdx,0))&amp;"","")</f>
        <v/>
      </c>
      <c r="T171" s="241">
        <f>IF(S171="","",SUMIFS(rGasto,rCom,S171,rFecha,"&gt;="&amp;pIni,rFecha,"&lt;="&amp;pFin,rCat,critCat,rCtaE,critCta))</f>
        <v/>
      </c>
      <c r="U171" s="241">
        <f>IF(S171="","",COUNTIFS(rCom,S171,rTipoE,"Gasto",rFecha,"&gt;="&amp;pIni,rFecha,"&lt;="&amp;pFin,rCat,critCat,rCtaE,critCta))</f>
        <v/>
      </c>
      <c r="V171" s="241">
        <f>IF(S171="",-1E+12-165,N(T171)+(301-165)/1E+7)</f>
        <v/>
      </c>
      <c r="W171" s="241">
        <f>IF(S171="","",SUMIFS(rGasto,rCom,S171,rHorm,1,rFecha,"&gt;="&amp;pIni,rFecha,"&lt;="&amp;pFin))</f>
        <v/>
      </c>
      <c r="X171" s="241">
        <f>IF(S171="","",COUNTIFS(rCom,S171,rHorm,1,rFecha,"&gt;="&amp;pIni,rFecha,"&lt;="&amp;pFin))</f>
        <v/>
      </c>
      <c r="Y171" s="241">
        <f>IF(S171="",-1E+12-165,N(W171)+(301-165)/1E+7)</f>
        <v/>
      </c>
      <c r="BG171" s="241" t="n">
        <v>165</v>
      </c>
      <c r="BH171" s="246">
        <f>IF(calIni+164&lt;=pFinEff,calIni+164,"")</f>
        <v/>
      </c>
      <c r="BI171" s="241">
        <f>IF(BH171="","",WEEKDAY(BH171,2))</f>
        <v/>
      </c>
      <c r="BJ171" s="241">
        <f>IF(BH171="","",SUMIFS(rGasto,rFecha,BH171,rGrupo,"?*"))</f>
        <v/>
      </c>
      <c r="BK171" s="241">
        <f>IF(BH171="","",SUMIFS(rGasto,rFecha,BH171,rGrupo,gCP))</f>
        <v/>
      </c>
      <c r="BL171" s="241">
        <f>IF(BH171="",-1E+12-165,N(BJ171)+(400-165)/1E+7)</f>
        <v/>
      </c>
    </row>
    <row r="172">
      <c r="K172" s="241">
        <f>INDEX(catCat,166)&amp;""</f>
        <v/>
      </c>
      <c r="L172" s="241">
        <f>INDEX(catSub,166)&amp;""</f>
        <v/>
      </c>
      <c r="M172" s="241">
        <f>IF(OR(K172="",L172="",INDEX(catTipo,166)&amp;""&lt;&gt;"Gasto"),"",IF(AND(critCat&lt;&gt;"&lt;&gt;@@@",K172&lt;&gt;critCat),0,SUMIFS(rGasto,rCat,K172,rSub,L172,rFecha,"&gt;="&amp;pIni,rFecha,"&lt;="&amp;pFin,rCtaE,critCta)))</f>
        <v/>
      </c>
      <c r="N172" s="241">
        <f>IF(M172="","",IF(AND(critCat&lt;&gt;"&lt;&gt;@@@",K172&lt;&gt;critCat),0,COUNTIFS(rCat,K172,rSub,L172,rTipoE,"Gasto",rFecha,"&gt;="&amp;pIni,rFecha,"&lt;="&amp;pFin,rCtaE,critCta)))</f>
        <v/>
      </c>
      <c r="O172" s="241">
        <f>IF(M172="",-1E+12-166,N(M172)+(201-166)/1E+7)</f>
        <v/>
      </c>
      <c r="P172" s="241">
        <f>L172&amp;" · "&amp;K172</f>
        <v/>
      </c>
      <c r="R172" s="241" t="n">
        <v>166</v>
      </c>
      <c r="S172" s="241">
        <f>IFERROR(INDEX(rCom,MATCH(166,rComIdx,0))&amp;"","")</f>
        <v/>
      </c>
      <c r="T172" s="241">
        <f>IF(S172="","",SUMIFS(rGasto,rCom,S172,rFecha,"&gt;="&amp;pIni,rFecha,"&lt;="&amp;pFin,rCat,critCat,rCtaE,critCta))</f>
        <v/>
      </c>
      <c r="U172" s="241">
        <f>IF(S172="","",COUNTIFS(rCom,S172,rTipoE,"Gasto",rFecha,"&gt;="&amp;pIni,rFecha,"&lt;="&amp;pFin,rCat,critCat,rCtaE,critCta))</f>
        <v/>
      </c>
      <c r="V172" s="241">
        <f>IF(S172="",-1E+12-166,N(T172)+(301-166)/1E+7)</f>
        <v/>
      </c>
      <c r="W172" s="241">
        <f>IF(S172="","",SUMIFS(rGasto,rCom,S172,rHorm,1,rFecha,"&gt;="&amp;pIni,rFecha,"&lt;="&amp;pFin))</f>
        <v/>
      </c>
      <c r="X172" s="241">
        <f>IF(S172="","",COUNTIFS(rCom,S172,rHorm,1,rFecha,"&gt;="&amp;pIni,rFecha,"&lt;="&amp;pFin))</f>
        <v/>
      </c>
      <c r="Y172" s="241">
        <f>IF(S172="",-1E+12-166,N(W172)+(301-166)/1E+7)</f>
        <v/>
      </c>
      <c r="BG172" s="241" t="n">
        <v>166</v>
      </c>
      <c r="BH172" s="246">
        <f>IF(calIni+165&lt;=pFinEff,calIni+165,"")</f>
        <v/>
      </c>
      <c r="BI172" s="241">
        <f>IF(BH172="","",WEEKDAY(BH172,2))</f>
        <v/>
      </c>
      <c r="BJ172" s="241">
        <f>IF(BH172="","",SUMIFS(rGasto,rFecha,BH172,rGrupo,"?*"))</f>
        <v/>
      </c>
      <c r="BK172" s="241">
        <f>IF(BH172="","",SUMIFS(rGasto,rFecha,BH172,rGrupo,gCP))</f>
        <v/>
      </c>
      <c r="BL172" s="241">
        <f>IF(BH172="",-1E+12-166,N(BJ172)+(400-166)/1E+7)</f>
        <v/>
      </c>
    </row>
    <row r="173">
      <c r="K173" s="241">
        <f>INDEX(catCat,167)&amp;""</f>
        <v/>
      </c>
      <c r="L173" s="241">
        <f>INDEX(catSub,167)&amp;""</f>
        <v/>
      </c>
      <c r="M173" s="241">
        <f>IF(OR(K173="",L173="",INDEX(catTipo,167)&amp;""&lt;&gt;"Gasto"),"",IF(AND(critCat&lt;&gt;"&lt;&gt;@@@",K173&lt;&gt;critCat),0,SUMIFS(rGasto,rCat,K173,rSub,L173,rFecha,"&gt;="&amp;pIni,rFecha,"&lt;="&amp;pFin,rCtaE,critCta)))</f>
        <v/>
      </c>
      <c r="N173" s="241">
        <f>IF(M173="","",IF(AND(critCat&lt;&gt;"&lt;&gt;@@@",K173&lt;&gt;critCat),0,COUNTIFS(rCat,K173,rSub,L173,rTipoE,"Gasto",rFecha,"&gt;="&amp;pIni,rFecha,"&lt;="&amp;pFin,rCtaE,critCta)))</f>
        <v/>
      </c>
      <c r="O173" s="241">
        <f>IF(M173="",-1E+12-167,N(M173)+(201-167)/1E+7)</f>
        <v/>
      </c>
      <c r="P173" s="241">
        <f>L173&amp;" · "&amp;K173</f>
        <v/>
      </c>
      <c r="R173" s="241" t="n">
        <v>167</v>
      </c>
      <c r="S173" s="241">
        <f>IFERROR(INDEX(rCom,MATCH(167,rComIdx,0))&amp;"","")</f>
        <v/>
      </c>
      <c r="T173" s="241">
        <f>IF(S173="","",SUMIFS(rGasto,rCom,S173,rFecha,"&gt;="&amp;pIni,rFecha,"&lt;="&amp;pFin,rCat,critCat,rCtaE,critCta))</f>
        <v/>
      </c>
      <c r="U173" s="241">
        <f>IF(S173="","",COUNTIFS(rCom,S173,rTipoE,"Gasto",rFecha,"&gt;="&amp;pIni,rFecha,"&lt;="&amp;pFin,rCat,critCat,rCtaE,critCta))</f>
        <v/>
      </c>
      <c r="V173" s="241">
        <f>IF(S173="",-1E+12-167,N(T173)+(301-167)/1E+7)</f>
        <v/>
      </c>
      <c r="W173" s="241">
        <f>IF(S173="","",SUMIFS(rGasto,rCom,S173,rHorm,1,rFecha,"&gt;="&amp;pIni,rFecha,"&lt;="&amp;pFin))</f>
        <v/>
      </c>
      <c r="X173" s="241">
        <f>IF(S173="","",COUNTIFS(rCom,S173,rHorm,1,rFecha,"&gt;="&amp;pIni,rFecha,"&lt;="&amp;pFin))</f>
        <v/>
      </c>
      <c r="Y173" s="241">
        <f>IF(S173="",-1E+12-167,N(W173)+(301-167)/1E+7)</f>
        <v/>
      </c>
      <c r="BG173" s="241" t="n">
        <v>167</v>
      </c>
      <c r="BH173" s="246">
        <f>IF(calIni+166&lt;=pFinEff,calIni+166,"")</f>
        <v/>
      </c>
      <c r="BI173" s="241">
        <f>IF(BH173="","",WEEKDAY(BH173,2))</f>
        <v/>
      </c>
      <c r="BJ173" s="241">
        <f>IF(BH173="","",SUMIFS(rGasto,rFecha,BH173,rGrupo,"?*"))</f>
        <v/>
      </c>
      <c r="BK173" s="241">
        <f>IF(BH173="","",SUMIFS(rGasto,rFecha,BH173,rGrupo,gCP))</f>
        <v/>
      </c>
      <c r="BL173" s="241">
        <f>IF(BH173="",-1E+12-167,N(BJ173)+(400-167)/1E+7)</f>
        <v/>
      </c>
    </row>
    <row r="174">
      <c r="K174" s="241">
        <f>INDEX(catCat,168)&amp;""</f>
        <v/>
      </c>
      <c r="L174" s="241">
        <f>INDEX(catSub,168)&amp;""</f>
        <v/>
      </c>
      <c r="M174" s="241">
        <f>IF(OR(K174="",L174="",INDEX(catTipo,168)&amp;""&lt;&gt;"Gasto"),"",IF(AND(critCat&lt;&gt;"&lt;&gt;@@@",K174&lt;&gt;critCat),0,SUMIFS(rGasto,rCat,K174,rSub,L174,rFecha,"&gt;="&amp;pIni,rFecha,"&lt;="&amp;pFin,rCtaE,critCta)))</f>
        <v/>
      </c>
      <c r="N174" s="241">
        <f>IF(M174="","",IF(AND(critCat&lt;&gt;"&lt;&gt;@@@",K174&lt;&gt;critCat),0,COUNTIFS(rCat,K174,rSub,L174,rTipoE,"Gasto",rFecha,"&gt;="&amp;pIni,rFecha,"&lt;="&amp;pFin,rCtaE,critCta)))</f>
        <v/>
      </c>
      <c r="O174" s="241">
        <f>IF(M174="",-1E+12-168,N(M174)+(201-168)/1E+7)</f>
        <v/>
      </c>
      <c r="P174" s="241">
        <f>L174&amp;" · "&amp;K174</f>
        <v/>
      </c>
      <c r="R174" s="241" t="n">
        <v>168</v>
      </c>
      <c r="S174" s="241">
        <f>IFERROR(INDEX(rCom,MATCH(168,rComIdx,0))&amp;"","")</f>
        <v/>
      </c>
      <c r="T174" s="241">
        <f>IF(S174="","",SUMIFS(rGasto,rCom,S174,rFecha,"&gt;="&amp;pIni,rFecha,"&lt;="&amp;pFin,rCat,critCat,rCtaE,critCta))</f>
        <v/>
      </c>
      <c r="U174" s="241">
        <f>IF(S174="","",COUNTIFS(rCom,S174,rTipoE,"Gasto",rFecha,"&gt;="&amp;pIni,rFecha,"&lt;="&amp;pFin,rCat,critCat,rCtaE,critCta))</f>
        <v/>
      </c>
      <c r="V174" s="241">
        <f>IF(S174="",-1E+12-168,N(T174)+(301-168)/1E+7)</f>
        <v/>
      </c>
      <c r="W174" s="241">
        <f>IF(S174="","",SUMIFS(rGasto,rCom,S174,rHorm,1,rFecha,"&gt;="&amp;pIni,rFecha,"&lt;="&amp;pFin))</f>
        <v/>
      </c>
      <c r="X174" s="241">
        <f>IF(S174="","",COUNTIFS(rCom,S174,rHorm,1,rFecha,"&gt;="&amp;pIni,rFecha,"&lt;="&amp;pFin))</f>
        <v/>
      </c>
      <c r="Y174" s="241">
        <f>IF(S174="",-1E+12-168,N(W174)+(301-168)/1E+7)</f>
        <v/>
      </c>
      <c r="BG174" s="241" t="n">
        <v>168</v>
      </c>
      <c r="BH174" s="246">
        <f>IF(calIni+167&lt;=pFinEff,calIni+167,"")</f>
        <v/>
      </c>
      <c r="BI174" s="241">
        <f>IF(BH174="","",WEEKDAY(BH174,2))</f>
        <v/>
      </c>
      <c r="BJ174" s="241">
        <f>IF(BH174="","",SUMIFS(rGasto,rFecha,BH174,rGrupo,"?*"))</f>
        <v/>
      </c>
      <c r="BK174" s="241">
        <f>IF(BH174="","",SUMIFS(rGasto,rFecha,BH174,rGrupo,gCP))</f>
        <v/>
      </c>
      <c r="BL174" s="241">
        <f>IF(BH174="",-1E+12-168,N(BJ174)+(400-168)/1E+7)</f>
        <v/>
      </c>
    </row>
    <row r="175">
      <c r="K175" s="241">
        <f>INDEX(catCat,169)&amp;""</f>
        <v/>
      </c>
      <c r="L175" s="241">
        <f>INDEX(catSub,169)&amp;""</f>
        <v/>
      </c>
      <c r="M175" s="241">
        <f>IF(OR(K175="",L175="",INDEX(catTipo,169)&amp;""&lt;&gt;"Gasto"),"",IF(AND(critCat&lt;&gt;"&lt;&gt;@@@",K175&lt;&gt;critCat),0,SUMIFS(rGasto,rCat,K175,rSub,L175,rFecha,"&gt;="&amp;pIni,rFecha,"&lt;="&amp;pFin,rCtaE,critCta)))</f>
        <v/>
      </c>
      <c r="N175" s="241">
        <f>IF(M175="","",IF(AND(critCat&lt;&gt;"&lt;&gt;@@@",K175&lt;&gt;critCat),0,COUNTIFS(rCat,K175,rSub,L175,rTipoE,"Gasto",rFecha,"&gt;="&amp;pIni,rFecha,"&lt;="&amp;pFin,rCtaE,critCta)))</f>
        <v/>
      </c>
      <c r="O175" s="241">
        <f>IF(M175="",-1E+12-169,N(M175)+(201-169)/1E+7)</f>
        <v/>
      </c>
      <c r="P175" s="241">
        <f>L175&amp;" · "&amp;K175</f>
        <v/>
      </c>
      <c r="R175" s="241" t="n">
        <v>169</v>
      </c>
      <c r="S175" s="241">
        <f>IFERROR(INDEX(rCom,MATCH(169,rComIdx,0))&amp;"","")</f>
        <v/>
      </c>
      <c r="T175" s="241">
        <f>IF(S175="","",SUMIFS(rGasto,rCom,S175,rFecha,"&gt;="&amp;pIni,rFecha,"&lt;="&amp;pFin,rCat,critCat,rCtaE,critCta))</f>
        <v/>
      </c>
      <c r="U175" s="241">
        <f>IF(S175="","",COUNTIFS(rCom,S175,rTipoE,"Gasto",rFecha,"&gt;="&amp;pIni,rFecha,"&lt;="&amp;pFin,rCat,critCat,rCtaE,critCta))</f>
        <v/>
      </c>
      <c r="V175" s="241">
        <f>IF(S175="",-1E+12-169,N(T175)+(301-169)/1E+7)</f>
        <v/>
      </c>
      <c r="W175" s="241">
        <f>IF(S175="","",SUMIFS(rGasto,rCom,S175,rHorm,1,rFecha,"&gt;="&amp;pIni,rFecha,"&lt;="&amp;pFin))</f>
        <v/>
      </c>
      <c r="X175" s="241">
        <f>IF(S175="","",COUNTIFS(rCom,S175,rHorm,1,rFecha,"&gt;="&amp;pIni,rFecha,"&lt;="&amp;pFin))</f>
        <v/>
      </c>
      <c r="Y175" s="241">
        <f>IF(S175="",-1E+12-169,N(W175)+(301-169)/1E+7)</f>
        <v/>
      </c>
      <c r="BG175" s="241" t="n">
        <v>169</v>
      </c>
      <c r="BH175" s="246">
        <f>IF(calIni+168&lt;=pFinEff,calIni+168,"")</f>
        <v/>
      </c>
      <c r="BI175" s="241">
        <f>IF(BH175="","",WEEKDAY(BH175,2))</f>
        <v/>
      </c>
      <c r="BJ175" s="241">
        <f>IF(BH175="","",SUMIFS(rGasto,rFecha,BH175,rGrupo,"?*"))</f>
        <v/>
      </c>
      <c r="BK175" s="241">
        <f>IF(BH175="","",SUMIFS(rGasto,rFecha,BH175,rGrupo,gCP))</f>
        <v/>
      </c>
      <c r="BL175" s="241">
        <f>IF(BH175="",-1E+12-169,N(BJ175)+(400-169)/1E+7)</f>
        <v/>
      </c>
    </row>
    <row r="176">
      <c r="K176" s="241">
        <f>INDEX(catCat,170)&amp;""</f>
        <v/>
      </c>
      <c r="L176" s="241">
        <f>INDEX(catSub,170)&amp;""</f>
        <v/>
      </c>
      <c r="M176" s="241">
        <f>IF(OR(K176="",L176="",INDEX(catTipo,170)&amp;""&lt;&gt;"Gasto"),"",IF(AND(critCat&lt;&gt;"&lt;&gt;@@@",K176&lt;&gt;critCat),0,SUMIFS(rGasto,rCat,K176,rSub,L176,rFecha,"&gt;="&amp;pIni,rFecha,"&lt;="&amp;pFin,rCtaE,critCta)))</f>
        <v/>
      </c>
      <c r="N176" s="241">
        <f>IF(M176="","",IF(AND(critCat&lt;&gt;"&lt;&gt;@@@",K176&lt;&gt;critCat),0,COUNTIFS(rCat,K176,rSub,L176,rTipoE,"Gasto",rFecha,"&gt;="&amp;pIni,rFecha,"&lt;="&amp;pFin,rCtaE,critCta)))</f>
        <v/>
      </c>
      <c r="O176" s="241">
        <f>IF(M176="",-1E+12-170,N(M176)+(201-170)/1E+7)</f>
        <v/>
      </c>
      <c r="P176" s="241">
        <f>L176&amp;" · "&amp;K176</f>
        <v/>
      </c>
      <c r="R176" s="241" t="n">
        <v>170</v>
      </c>
      <c r="S176" s="241">
        <f>IFERROR(INDEX(rCom,MATCH(170,rComIdx,0))&amp;"","")</f>
        <v/>
      </c>
      <c r="T176" s="241">
        <f>IF(S176="","",SUMIFS(rGasto,rCom,S176,rFecha,"&gt;="&amp;pIni,rFecha,"&lt;="&amp;pFin,rCat,critCat,rCtaE,critCta))</f>
        <v/>
      </c>
      <c r="U176" s="241">
        <f>IF(S176="","",COUNTIFS(rCom,S176,rTipoE,"Gasto",rFecha,"&gt;="&amp;pIni,rFecha,"&lt;="&amp;pFin,rCat,critCat,rCtaE,critCta))</f>
        <v/>
      </c>
      <c r="V176" s="241">
        <f>IF(S176="",-1E+12-170,N(T176)+(301-170)/1E+7)</f>
        <v/>
      </c>
      <c r="W176" s="241">
        <f>IF(S176="","",SUMIFS(rGasto,rCom,S176,rHorm,1,rFecha,"&gt;="&amp;pIni,rFecha,"&lt;="&amp;pFin))</f>
        <v/>
      </c>
      <c r="X176" s="241">
        <f>IF(S176="","",COUNTIFS(rCom,S176,rHorm,1,rFecha,"&gt;="&amp;pIni,rFecha,"&lt;="&amp;pFin))</f>
        <v/>
      </c>
      <c r="Y176" s="241">
        <f>IF(S176="",-1E+12-170,N(W176)+(301-170)/1E+7)</f>
        <v/>
      </c>
      <c r="BG176" s="241" t="n">
        <v>170</v>
      </c>
      <c r="BH176" s="246">
        <f>IF(calIni+169&lt;=pFinEff,calIni+169,"")</f>
        <v/>
      </c>
      <c r="BI176" s="241">
        <f>IF(BH176="","",WEEKDAY(BH176,2))</f>
        <v/>
      </c>
      <c r="BJ176" s="241">
        <f>IF(BH176="","",SUMIFS(rGasto,rFecha,BH176,rGrupo,"?*"))</f>
        <v/>
      </c>
      <c r="BK176" s="241">
        <f>IF(BH176="","",SUMIFS(rGasto,rFecha,BH176,rGrupo,gCP))</f>
        <v/>
      </c>
      <c r="BL176" s="241">
        <f>IF(BH176="",-1E+12-170,N(BJ176)+(400-170)/1E+7)</f>
        <v/>
      </c>
    </row>
    <row r="177">
      <c r="K177" s="241">
        <f>INDEX(catCat,171)&amp;""</f>
        <v/>
      </c>
      <c r="L177" s="241">
        <f>INDEX(catSub,171)&amp;""</f>
        <v/>
      </c>
      <c r="M177" s="241">
        <f>IF(OR(K177="",L177="",INDEX(catTipo,171)&amp;""&lt;&gt;"Gasto"),"",IF(AND(critCat&lt;&gt;"&lt;&gt;@@@",K177&lt;&gt;critCat),0,SUMIFS(rGasto,rCat,K177,rSub,L177,rFecha,"&gt;="&amp;pIni,rFecha,"&lt;="&amp;pFin,rCtaE,critCta)))</f>
        <v/>
      </c>
      <c r="N177" s="241">
        <f>IF(M177="","",IF(AND(critCat&lt;&gt;"&lt;&gt;@@@",K177&lt;&gt;critCat),0,COUNTIFS(rCat,K177,rSub,L177,rTipoE,"Gasto",rFecha,"&gt;="&amp;pIni,rFecha,"&lt;="&amp;pFin,rCtaE,critCta)))</f>
        <v/>
      </c>
      <c r="O177" s="241">
        <f>IF(M177="",-1E+12-171,N(M177)+(201-171)/1E+7)</f>
        <v/>
      </c>
      <c r="P177" s="241">
        <f>L177&amp;" · "&amp;K177</f>
        <v/>
      </c>
      <c r="R177" s="241" t="n">
        <v>171</v>
      </c>
      <c r="S177" s="241">
        <f>IFERROR(INDEX(rCom,MATCH(171,rComIdx,0))&amp;"","")</f>
        <v/>
      </c>
      <c r="T177" s="241">
        <f>IF(S177="","",SUMIFS(rGasto,rCom,S177,rFecha,"&gt;="&amp;pIni,rFecha,"&lt;="&amp;pFin,rCat,critCat,rCtaE,critCta))</f>
        <v/>
      </c>
      <c r="U177" s="241">
        <f>IF(S177="","",COUNTIFS(rCom,S177,rTipoE,"Gasto",rFecha,"&gt;="&amp;pIni,rFecha,"&lt;="&amp;pFin,rCat,critCat,rCtaE,critCta))</f>
        <v/>
      </c>
      <c r="V177" s="241">
        <f>IF(S177="",-1E+12-171,N(T177)+(301-171)/1E+7)</f>
        <v/>
      </c>
      <c r="W177" s="241">
        <f>IF(S177="","",SUMIFS(rGasto,rCom,S177,rHorm,1,rFecha,"&gt;="&amp;pIni,rFecha,"&lt;="&amp;pFin))</f>
        <v/>
      </c>
      <c r="X177" s="241">
        <f>IF(S177="","",COUNTIFS(rCom,S177,rHorm,1,rFecha,"&gt;="&amp;pIni,rFecha,"&lt;="&amp;pFin))</f>
        <v/>
      </c>
      <c r="Y177" s="241">
        <f>IF(S177="",-1E+12-171,N(W177)+(301-171)/1E+7)</f>
        <v/>
      </c>
      <c r="BG177" s="241" t="n">
        <v>171</v>
      </c>
      <c r="BH177" s="246">
        <f>IF(calIni+170&lt;=pFinEff,calIni+170,"")</f>
        <v/>
      </c>
      <c r="BI177" s="241">
        <f>IF(BH177="","",WEEKDAY(BH177,2))</f>
        <v/>
      </c>
      <c r="BJ177" s="241">
        <f>IF(BH177="","",SUMIFS(rGasto,rFecha,BH177,rGrupo,"?*"))</f>
        <v/>
      </c>
      <c r="BK177" s="241">
        <f>IF(BH177="","",SUMIFS(rGasto,rFecha,BH177,rGrupo,gCP))</f>
        <v/>
      </c>
      <c r="BL177" s="241">
        <f>IF(BH177="",-1E+12-171,N(BJ177)+(400-171)/1E+7)</f>
        <v/>
      </c>
    </row>
    <row r="178">
      <c r="K178" s="241">
        <f>INDEX(catCat,172)&amp;""</f>
        <v/>
      </c>
      <c r="L178" s="241">
        <f>INDEX(catSub,172)&amp;""</f>
        <v/>
      </c>
      <c r="M178" s="241">
        <f>IF(OR(K178="",L178="",INDEX(catTipo,172)&amp;""&lt;&gt;"Gasto"),"",IF(AND(critCat&lt;&gt;"&lt;&gt;@@@",K178&lt;&gt;critCat),0,SUMIFS(rGasto,rCat,K178,rSub,L178,rFecha,"&gt;="&amp;pIni,rFecha,"&lt;="&amp;pFin,rCtaE,critCta)))</f>
        <v/>
      </c>
      <c r="N178" s="241">
        <f>IF(M178="","",IF(AND(critCat&lt;&gt;"&lt;&gt;@@@",K178&lt;&gt;critCat),0,COUNTIFS(rCat,K178,rSub,L178,rTipoE,"Gasto",rFecha,"&gt;="&amp;pIni,rFecha,"&lt;="&amp;pFin,rCtaE,critCta)))</f>
        <v/>
      </c>
      <c r="O178" s="241">
        <f>IF(M178="",-1E+12-172,N(M178)+(201-172)/1E+7)</f>
        <v/>
      </c>
      <c r="P178" s="241">
        <f>L178&amp;" · "&amp;K178</f>
        <v/>
      </c>
      <c r="R178" s="241" t="n">
        <v>172</v>
      </c>
      <c r="S178" s="241">
        <f>IFERROR(INDEX(rCom,MATCH(172,rComIdx,0))&amp;"","")</f>
        <v/>
      </c>
      <c r="T178" s="241">
        <f>IF(S178="","",SUMIFS(rGasto,rCom,S178,rFecha,"&gt;="&amp;pIni,rFecha,"&lt;="&amp;pFin,rCat,critCat,rCtaE,critCta))</f>
        <v/>
      </c>
      <c r="U178" s="241">
        <f>IF(S178="","",COUNTIFS(rCom,S178,rTipoE,"Gasto",rFecha,"&gt;="&amp;pIni,rFecha,"&lt;="&amp;pFin,rCat,critCat,rCtaE,critCta))</f>
        <v/>
      </c>
      <c r="V178" s="241">
        <f>IF(S178="",-1E+12-172,N(T178)+(301-172)/1E+7)</f>
        <v/>
      </c>
      <c r="W178" s="241">
        <f>IF(S178="","",SUMIFS(rGasto,rCom,S178,rHorm,1,rFecha,"&gt;="&amp;pIni,rFecha,"&lt;="&amp;pFin))</f>
        <v/>
      </c>
      <c r="X178" s="241">
        <f>IF(S178="","",COUNTIFS(rCom,S178,rHorm,1,rFecha,"&gt;="&amp;pIni,rFecha,"&lt;="&amp;pFin))</f>
        <v/>
      </c>
      <c r="Y178" s="241">
        <f>IF(S178="",-1E+12-172,N(W178)+(301-172)/1E+7)</f>
        <v/>
      </c>
      <c r="BG178" s="241" t="n">
        <v>172</v>
      </c>
      <c r="BH178" s="246">
        <f>IF(calIni+171&lt;=pFinEff,calIni+171,"")</f>
        <v/>
      </c>
      <c r="BI178" s="241">
        <f>IF(BH178="","",WEEKDAY(BH178,2))</f>
        <v/>
      </c>
      <c r="BJ178" s="241">
        <f>IF(BH178="","",SUMIFS(rGasto,rFecha,BH178,rGrupo,"?*"))</f>
        <v/>
      </c>
      <c r="BK178" s="241">
        <f>IF(BH178="","",SUMIFS(rGasto,rFecha,BH178,rGrupo,gCP))</f>
        <v/>
      </c>
      <c r="BL178" s="241">
        <f>IF(BH178="",-1E+12-172,N(BJ178)+(400-172)/1E+7)</f>
        <v/>
      </c>
    </row>
    <row r="179">
      <c r="K179" s="241">
        <f>INDEX(catCat,173)&amp;""</f>
        <v/>
      </c>
      <c r="L179" s="241">
        <f>INDEX(catSub,173)&amp;""</f>
        <v/>
      </c>
      <c r="M179" s="241">
        <f>IF(OR(K179="",L179="",INDEX(catTipo,173)&amp;""&lt;&gt;"Gasto"),"",IF(AND(critCat&lt;&gt;"&lt;&gt;@@@",K179&lt;&gt;critCat),0,SUMIFS(rGasto,rCat,K179,rSub,L179,rFecha,"&gt;="&amp;pIni,rFecha,"&lt;="&amp;pFin,rCtaE,critCta)))</f>
        <v/>
      </c>
      <c r="N179" s="241">
        <f>IF(M179="","",IF(AND(critCat&lt;&gt;"&lt;&gt;@@@",K179&lt;&gt;critCat),0,COUNTIFS(rCat,K179,rSub,L179,rTipoE,"Gasto",rFecha,"&gt;="&amp;pIni,rFecha,"&lt;="&amp;pFin,rCtaE,critCta)))</f>
        <v/>
      </c>
      <c r="O179" s="241">
        <f>IF(M179="",-1E+12-173,N(M179)+(201-173)/1E+7)</f>
        <v/>
      </c>
      <c r="P179" s="241">
        <f>L179&amp;" · "&amp;K179</f>
        <v/>
      </c>
      <c r="R179" s="241" t="n">
        <v>173</v>
      </c>
      <c r="S179" s="241">
        <f>IFERROR(INDEX(rCom,MATCH(173,rComIdx,0))&amp;"","")</f>
        <v/>
      </c>
      <c r="T179" s="241">
        <f>IF(S179="","",SUMIFS(rGasto,rCom,S179,rFecha,"&gt;="&amp;pIni,rFecha,"&lt;="&amp;pFin,rCat,critCat,rCtaE,critCta))</f>
        <v/>
      </c>
      <c r="U179" s="241">
        <f>IF(S179="","",COUNTIFS(rCom,S179,rTipoE,"Gasto",rFecha,"&gt;="&amp;pIni,rFecha,"&lt;="&amp;pFin,rCat,critCat,rCtaE,critCta))</f>
        <v/>
      </c>
      <c r="V179" s="241">
        <f>IF(S179="",-1E+12-173,N(T179)+(301-173)/1E+7)</f>
        <v/>
      </c>
      <c r="W179" s="241">
        <f>IF(S179="","",SUMIFS(rGasto,rCom,S179,rHorm,1,rFecha,"&gt;="&amp;pIni,rFecha,"&lt;="&amp;pFin))</f>
        <v/>
      </c>
      <c r="X179" s="241">
        <f>IF(S179="","",COUNTIFS(rCom,S179,rHorm,1,rFecha,"&gt;="&amp;pIni,rFecha,"&lt;="&amp;pFin))</f>
        <v/>
      </c>
      <c r="Y179" s="241">
        <f>IF(S179="",-1E+12-173,N(W179)+(301-173)/1E+7)</f>
        <v/>
      </c>
      <c r="BG179" s="241" t="n">
        <v>173</v>
      </c>
      <c r="BH179" s="246">
        <f>IF(calIni+172&lt;=pFinEff,calIni+172,"")</f>
        <v/>
      </c>
      <c r="BI179" s="241">
        <f>IF(BH179="","",WEEKDAY(BH179,2))</f>
        <v/>
      </c>
      <c r="BJ179" s="241">
        <f>IF(BH179="","",SUMIFS(rGasto,rFecha,BH179,rGrupo,"?*"))</f>
        <v/>
      </c>
      <c r="BK179" s="241">
        <f>IF(BH179="","",SUMIFS(rGasto,rFecha,BH179,rGrupo,gCP))</f>
        <v/>
      </c>
      <c r="BL179" s="241">
        <f>IF(BH179="",-1E+12-173,N(BJ179)+(400-173)/1E+7)</f>
        <v/>
      </c>
    </row>
    <row r="180">
      <c r="K180" s="241">
        <f>INDEX(catCat,174)&amp;""</f>
        <v/>
      </c>
      <c r="L180" s="241">
        <f>INDEX(catSub,174)&amp;""</f>
        <v/>
      </c>
      <c r="M180" s="241">
        <f>IF(OR(K180="",L180="",INDEX(catTipo,174)&amp;""&lt;&gt;"Gasto"),"",IF(AND(critCat&lt;&gt;"&lt;&gt;@@@",K180&lt;&gt;critCat),0,SUMIFS(rGasto,rCat,K180,rSub,L180,rFecha,"&gt;="&amp;pIni,rFecha,"&lt;="&amp;pFin,rCtaE,critCta)))</f>
        <v/>
      </c>
      <c r="N180" s="241">
        <f>IF(M180="","",IF(AND(critCat&lt;&gt;"&lt;&gt;@@@",K180&lt;&gt;critCat),0,COUNTIFS(rCat,K180,rSub,L180,rTipoE,"Gasto",rFecha,"&gt;="&amp;pIni,rFecha,"&lt;="&amp;pFin,rCtaE,critCta)))</f>
        <v/>
      </c>
      <c r="O180" s="241">
        <f>IF(M180="",-1E+12-174,N(M180)+(201-174)/1E+7)</f>
        <v/>
      </c>
      <c r="P180" s="241">
        <f>L180&amp;" · "&amp;K180</f>
        <v/>
      </c>
      <c r="R180" s="241" t="n">
        <v>174</v>
      </c>
      <c r="S180" s="241">
        <f>IFERROR(INDEX(rCom,MATCH(174,rComIdx,0))&amp;"","")</f>
        <v/>
      </c>
      <c r="T180" s="241">
        <f>IF(S180="","",SUMIFS(rGasto,rCom,S180,rFecha,"&gt;="&amp;pIni,rFecha,"&lt;="&amp;pFin,rCat,critCat,rCtaE,critCta))</f>
        <v/>
      </c>
      <c r="U180" s="241">
        <f>IF(S180="","",COUNTIFS(rCom,S180,rTipoE,"Gasto",rFecha,"&gt;="&amp;pIni,rFecha,"&lt;="&amp;pFin,rCat,critCat,rCtaE,critCta))</f>
        <v/>
      </c>
      <c r="V180" s="241">
        <f>IF(S180="",-1E+12-174,N(T180)+(301-174)/1E+7)</f>
        <v/>
      </c>
      <c r="W180" s="241">
        <f>IF(S180="","",SUMIFS(rGasto,rCom,S180,rHorm,1,rFecha,"&gt;="&amp;pIni,rFecha,"&lt;="&amp;pFin))</f>
        <v/>
      </c>
      <c r="X180" s="241">
        <f>IF(S180="","",COUNTIFS(rCom,S180,rHorm,1,rFecha,"&gt;="&amp;pIni,rFecha,"&lt;="&amp;pFin))</f>
        <v/>
      </c>
      <c r="Y180" s="241">
        <f>IF(S180="",-1E+12-174,N(W180)+(301-174)/1E+7)</f>
        <v/>
      </c>
      <c r="BG180" s="241" t="n">
        <v>174</v>
      </c>
      <c r="BH180" s="246">
        <f>IF(calIni+173&lt;=pFinEff,calIni+173,"")</f>
        <v/>
      </c>
      <c r="BI180" s="241">
        <f>IF(BH180="","",WEEKDAY(BH180,2))</f>
        <v/>
      </c>
      <c r="BJ180" s="241">
        <f>IF(BH180="","",SUMIFS(rGasto,rFecha,BH180,rGrupo,"?*"))</f>
        <v/>
      </c>
      <c r="BK180" s="241">
        <f>IF(BH180="","",SUMIFS(rGasto,rFecha,BH180,rGrupo,gCP))</f>
        <v/>
      </c>
      <c r="BL180" s="241">
        <f>IF(BH180="",-1E+12-174,N(BJ180)+(400-174)/1E+7)</f>
        <v/>
      </c>
    </row>
    <row r="181">
      <c r="K181" s="241">
        <f>INDEX(catCat,175)&amp;""</f>
        <v/>
      </c>
      <c r="L181" s="241">
        <f>INDEX(catSub,175)&amp;""</f>
        <v/>
      </c>
      <c r="M181" s="241">
        <f>IF(OR(K181="",L181="",INDEX(catTipo,175)&amp;""&lt;&gt;"Gasto"),"",IF(AND(critCat&lt;&gt;"&lt;&gt;@@@",K181&lt;&gt;critCat),0,SUMIFS(rGasto,rCat,K181,rSub,L181,rFecha,"&gt;="&amp;pIni,rFecha,"&lt;="&amp;pFin,rCtaE,critCta)))</f>
        <v/>
      </c>
      <c r="N181" s="241">
        <f>IF(M181="","",IF(AND(critCat&lt;&gt;"&lt;&gt;@@@",K181&lt;&gt;critCat),0,COUNTIFS(rCat,K181,rSub,L181,rTipoE,"Gasto",rFecha,"&gt;="&amp;pIni,rFecha,"&lt;="&amp;pFin,rCtaE,critCta)))</f>
        <v/>
      </c>
      <c r="O181" s="241">
        <f>IF(M181="",-1E+12-175,N(M181)+(201-175)/1E+7)</f>
        <v/>
      </c>
      <c r="P181" s="241">
        <f>L181&amp;" · "&amp;K181</f>
        <v/>
      </c>
      <c r="R181" s="241" t="n">
        <v>175</v>
      </c>
      <c r="S181" s="241">
        <f>IFERROR(INDEX(rCom,MATCH(175,rComIdx,0))&amp;"","")</f>
        <v/>
      </c>
      <c r="T181" s="241">
        <f>IF(S181="","",SUMIFS(rGasto,rCom,S181,rFecha,"&gt;="&amp;pIni,rFecha,"&lt;="&amp;pFin,rCat,critCat,rCtaE,critCta))</f>
        <v/>
      </c>
      <c r="U181" s="241">
        <f>IF(S181="","",COUNTIFS(rCom,S181,rTipoE,"Gasto",rFecha,"&gt;="&amp;pIni,rFecha,"&lt;="&amp;pFin,rCat,critCat,rCtaE,critCta))</f>
        <v/>
      </c>
      <c r="V181" s="241">
        <f>IF(S181="",-1E+12-175,N(T181)+(301-175)/1E+7)</f>
        <v/>
      </c>
      <c r="W181" s="241">
        <f>IF(S181="","",SUMIFS(rGasto,rCom,S181,rHorm,1,rFecha,"&gt;="&amp;pIni,rFecha,"&lt;="&amp;pFin))</f>
        <v/>
      </c>
      <c r="X181" s="241">
        <f>IF(S181="","",COUNTIFS(rCom,S181,rHorm,1,rFecha,"&gt;="&amp;pIni,rFecha,"&lt;="&amp;pFin))</f>
        <v/>
      </c>
      <c r="Y181" s="241">
        <f>IF(S181="",-1E+12-175,N(W181)+(301-175)/1E+7)</f>
        <v/>
      </c>
      <c r="BG181" s="241" t="n">
        <v>175</v>
      </c>
      <c r="BH181" s="246">
        <f>IF(calIni+174&lt;=pFinEff,calIni+174,"")</f>
        <v/>
      </c>
      <c r="BI181" s="241">
        <f>IF(BH181="","",WEEKDAY(BH181,2))</f>
        <v/>
      </c>
      <c r="BJ181" s="241">
        <f>IF(BH181="","",SUMIFS(rGasto,rFecha,BH181,rGrupo,"?*"))</f>
        <v/>
      </c>
      <c r="BK181" s="241">
        <f>IF(BH181="","",SUMIFS(rGasto,rFecha,BH181,rGrupo,gCP))</f>
        <v/>
      </c>
      <c r="BL181" s="241">
        <f>IF(BH181="",-1E+12-175,N(BJ181)+(400-175)/1E+7)</f>
        <v/>
      </c>
    </row>
    <row r="182">
      <c r="K182" s="241">
        <f>INDEX(catCat,176)&amp;""</f>
        <v/>
      </c>
      <c r="L182" s="241">
        <f>INDEX(catSub,176)&amp;""</f>
        <v/>
      </c>
      <c r="M182" s="241">
        <f>IF(OR(K182="",L182="",INDEX(catTipo,176)&amp;""&lt;&gt;"Gasto"),"",IF(AND(critCat&lt;&gt;"&lt;&gt;@@@",K182&lt;&gt;critCat),0,SUMIFS(rGasto,rCat,K182,rSub,L182,rFecha,"&gt;="&amp;pIni,rFecha,"&lt;="&amp;pFin,rCtaE,critCta)))</f>
        <v/>
      </c>
      <c r="N182" s="241">
        <f>IF(M182="","",IF(AND(critCat&lt;&gt;"&lt;&gt;@@@",K182&lt;&gt;critCat),0,COUNTIFS(rCat,K182,rSub,L182,rTipoE,"Gasto",rFecha,"&gt;="&amp;pIni,rFecha,"&lt;="&amp;pFin,rCtaE,critCta)))</f>
        <v/>
      </c>
      <c r="O182" s="241">
        <f>IF(M182="",-1E+12-176,N(M182)+(201-176)/1E+7)</f>
        <v/>
      </c>
      <c r="P182" s="241">
        <f>L182&amp;" · "&amp;K182</f>
        <v/>
      </c>
      <c r="R182" s="241" t="n">
        <v>176</v>
      </c>
      <c r="S182" s="241">
        <f>IFERROR(INDEX(rCom,MATCH(176,rComIdx,0))&amp;"","")</f>
        <v/>
      </c>
      <c r="T182" s="241">
        <f>IF(S182="","",SUMIFS(rGasto,rCom,S182,rFecha,"&gt;="&amp;pIni,rFecha,"&lt;="&amp;pFin,rCat,critCat,rCtaE,critCta))</f>
        <v/>
      </c>
      <c r="U182" s="241">
        <f>IF(S182="","",COUNTIFS(rCom,S182,rTipoE,"Gasto",rFecha,"&gt;="&amp;pIni,rFecha,"&lt;="&amp;pFin,rCat,critCat,rCtaE,critCta))</f>
        <v/>
      </c>
      <c r="V182" s="241">
        <f>IF(S182="",-1E+12-176,N(T182)+(301-176)/1E+7)</f>
        <v/>
      </c>
      <c r="W182" s="241">
        <f>IF(S182="","",SUMIFS(rGasto,rCom,S182,rHorm,1,rFecha,"&gt;="&amp;pIni,rFecha,"&lt;="&amp;pFin))</f>
        <v/>
      </c>
      <c r="X182" s="241">
        <f>IF(S182="","",COUNTIFS(rCom,S182,rHorm,1,rFecha,"&gt;="&amp;pIni,rFecha,"&lt;="&amp;pFin))</f>
        <v/>
      </c>
      <c r="Y182" s="241">
        <f>IF(S182="",-1E+12-176,N(W182)+(301-176)/1E+7)</f>
        <v/>
      </c>
      <c r="BG182" s="241" t="n">
        <v>176</v>
      </c>
      <c r="BH182" s="246">
        <f>IF(calIni+175&lt;=pFinEff,calIni+175,"")</f>
        <v/>
      </c>
      <c r="BI182" s="241">
        <f>IF(BH182="","",WEEKDAY(BH182,2))</f>
        <v/>
      </c>
      <c r="BJ182" s="241">
        <f>IF(BH182="","",SUMIFS(rGasto,rFecha,BH182,rGrupo,"?*"))</f>
        <v/>
      </c>
      <c r="BK182" s="241">
        <f>IF(BH182="","",SUMIFS(rGasto,rFecha,BH182,rGrupo,gCP))</f>
        <v/>
      </c>
      <c r="BL182" s="241">
        <f>IF(BH182="",-1E+12-176,N(BJ182)+(400-176)/1E+7)</f>
        <v/>
      </c>
    </row>
    <row r="183">
      <c r="K183" s="241">
        <f>INDEX(catCat,177)&amp;""</f>
        <v/>
      </c>
      <c r="L183" s="241">
        <f>INDEX(catSub,177)&amp;""</f>
        <v/>
      </c>
      <c r="M183" s="241">
        <f>IF(OR(K183="",L183="",INDEX(catTipo,177)&amp;""&lt;&gt;"Gasto"),"",IF(AND(critCat&lt;&gt;"&lt;&gt;@@@",K183&lt;&gt;critCat),0,SUMIFS(rGasto,rCat,K183,rSub,L183,rFecha,"&gt;="&amp;pIni,rFecha,"&lt;="&amp;pFin,rCtaE,critCta)))</f>
        <v/>
      </c>
      <c r="N183" s="241">
        <f>IF(M183="","",IF(AND(critCat&lt;&gt;"&lt;&gt;@@@",K183&lt;&gt;critCat),0,COUNTIFS(rCat,K183,rSub,L183,rTipoE,"Gasto",rFecha,"&gt;="&amp;pIni,rFecha,"&lt;="&amp;pFin,rCtaE,critCta)))</f>
        <v/>
      </c>
      <c r="O183" s="241">
        <f>IF(M183="",-1E+12-177,N(M183)+(201-177)/1E+7)</f>
        <v/>
      </c>
      <c r="P183" s="241">
        <f>L183&amp;" · "&amp;K183</f>
        <v/>
      </c>
      <c r="R183" s="241" t="n">
        <v>177</v>
      </c>
      <c r="S183" s="241">
        <f>IFERROR(INDEX(rCom,MATCH(177,rComIdx,0))&amp;"","")</f>
        <v/>
      </c>
      <c r="T183" s="241">
        <f>IF(S183="","",SUMIFS(rGasto,rCom,S183,rFecha,"&gt;="&amp;pIni,rFecha,"&lt;="&amp;pFin,rCat,critCat,rCtaE,critCta))</f>
        <v/>
      </c>
      <c r="U183" s="241">
        <f>IF(S183="","",COUNTIFS(rCom,S183,rTipoE,"Gasto",rFecha,"&gt;="&amp;pIni,rFecha,"&lt;="&amp;pFin,rCat,critCat,rCtaE,critCta))</f>
        <v/>
      </c>
      <c r="V183" s="241">
        <f>IF(S183="",-1E+12-177,N(T183)+(301-177)/1E+7)</f>
        <v/>
      </c>
      <c r="W183" s="241">
        <f>IF(S183="","",SUMIFS(rGasto,rCom,S183,rHorm,1,rFecha,"&gt;="&amp;pIni,rFecha,"&lt;="&amp;pFin))</f>
        <v/>
      </c>
      <c r="X183" s="241">
        <f>IF(S183="","",COUNTIFS(rCom,S183,rHorm,1,rFecha,"&gt;="&amp;pIni,rFecha,"&lt;="&amp;pFin))</f>
        <v/>
      </c>
      <c r="Y183" s="241">
        <f>IF(S183="",-1E+12-177,N(W183)+(301-177)/1E+7)</f>
        <v/>
      </c>
      <c r="BG183" s="241" t="n">
        <v>177</v>
      </c>
      <c r="BH183" s="246">
        <f>IF(calIni+176&lt;=pFinEff,calIni+176,"")</f>
        <v/>
      </c>
      <c r="BI183" s="241">
        <f>IF(BH183="","",WEEKDAY(BH183,2))</f>
        <v/>
      </c>
      <c r="BJ183" s="241">
        <f>IF(BH183="","",SUMIFS(rGasto,rFecha,BH183,rGrupo,"?*"))</f>
        <v/>
      </c>
      <c r="BK183" s="241">
        <f>IF(BH183="","",SUMIFS(rGasto,rFecha,BH183,rGrupo,gCP))</f>
        <v/>
      </c>
      <c r="BL183" s="241">
        <f>IF(BH183="",-1E+12-177,N(BJ183)+(400-177)/1E+7)</f>
        <v/>
      </c>
    </row>
    <row r="184">
      <c r="K184" s="241">
        <f>INDEX(catCat,178)&amp;""</f>
        <v/>
      </c>
      <c r="L184" s="241">
        <f>INDEX(catSub,178)&amp;""</f>
        <v/>
      </c>
      <c r="M184" s="241">
        <f>IF(OR(K184="",L184="",INDEX(catTipo,178)&amp;""&lt;&gt;"Gasto"),"",IF(AND(critCat&lt;&gt;"&lt;&gt;@@@",K184&lt;&gt;critCat),0,SUMIFS(rGasto,rCat,K184,rSub,L184,rFecha,"&gt;="&amp;pIni,rFecha,"&lt;="&amp;pFin,rCtaE,critCta)))</f>
        <v/>
      </c>
      <c r="N184" s="241">
        <f>IF(M184="","",IF(AND(critCat&lt;&gt;"&lt;&gt;@@@",K184&lt;&gt;critCat),0,COUNTIFS(rCat,K184,rSub,L184,rTipoE,"Gasto",rFecha,"&gt;="&amp;pIni,rFecha,"&lt;="&amp;pFin,rCtaE,critCta)))</f>
        <v/>
      </c>
      <c r="O184" s="241">
        <f>IF(M184="",-1E+12-178,N(M184)+(201-178)/1E+7)</f>
        <v/>
      </c>
      <c r="P184" s="241">
        <f>L184&amp;" · "&amp;K184</f>
        <v/>
      </c>
      <c r="R184" s="241" t="n">
        <v>178</v>
      </c>
      <c r="S184" s="241">
        <f>IFERROR(INDEX(rCom,MATCH(178,rComIdx,0))&amp;"","")</f>
        <v/>
      </c>
      <c r="T184" s="241">
        <f>IF(S184="","",SUMIFS(rGasto,rCom,S184,rFecha,"&gt;="&amp;pIni,rFecha,"&lt;="&amp;pFin,rCat,critCat,rCtaE,critCta))</f>
        <v/>
      </c>
      <c r="U184" s="241">
        <f>IF(S184="","",COUNTIFS(rCom,S184,rTipoE,"Gasto",rFecha,"&gt;="&amp;pIni,rFecha,"&lt;="&amp;pFin,rCat,critCat,rCtaE,critCta))</f>
        <v/>
      </c>
      <c r="V184" s="241">
        <f>IF(S184="",-1E+12-178,N(T184)+(301-178)/1E+7)</f>
        <v/>
      </c>
      <c r="W184" s="241">
        <f>IF(S184="","",SUMIFS(rGasto,rCom,S184,rHorm,1,rFecha,"&gt;="&amp;pIni,rFecha,"&lt;="&amp;pFin))</f>
        <v/>
      </c>
      <c r="X184" s="241">
        <f>IF(S184="","",COUNTIFS(rCom,S184,rHorm,1,rFecha,"&gt;="&amp;pIni,rFecha,"&lt;="&amp;pFin))</f>
        <v/>
      </c>
      <c r="Y184" s="241">
        <f>IF(S184="",-1E+12-178,N(W184)+(301-178)/1E+7)</f>
        <v/>
      </c>
      <c r="BG184" s="241" t="n">
        <v>178</v>
      </c>
      <c r="BH184" s="246">
        <f>IF(calIni+177&lt;=pFinEff,calIni+177,"")</f>
        <v/>
      </c>
      <c r="BI184" s="241">
        <f>IF(BH184="","",WEEKDAY(BH184,2))</f>
        <v/>
      </c>
      <c r="BJ184" s="241">
        <f>IF(BH184="","",SUMIFS(rGasto,rFecha,BH184,rGrupo,"?*"))</f>
        <v/>
      </c>
      <c r="BK184" s="241">
        <f>IF(BH184="","",SUMIFS(rGasto,rFecha,BH184,rGrupo,gCP))</f>
        <v/>
      </c>
      <c r="BL184" s="241">
        <f>IF(BH184="",-1E+12-178,N(BJ184)+(400-178)/1E+7)</f>
        <v/>
      </c>
    </row>
    <row r="185">
      <c r="K185" s="241">
        <f>INDEX(catCat,179)&amp;""</f>
        <v/>
      </c>
      <c r="L185" s="241">
        <f>INDEX(catSub,179)&amp;""</f>
        <v/>
      </c>
      <c r="M185" s="241">
        <f>IF(OR(K185="",L185="",INDEX(catTipo,179)&amp;""&lt;&gt;"Gasto"),"",IF(AND(critCat&lt;&gt;"&lt;&gt;@@@",K185&lt;&gt;critCat),0,SUMIFS(rGasto,rCat,K185,rSub,L185,rFecha,"&gt;="&amp;pIni,rFecha,"&lt;="&amp;pFin,rCtaE,critCta)))</f>
        <v/>
      </c>
      <c r="N185" s="241">
        <f>IF(M185="","",IF(AND(critCat&lt;&gt;"&lt;&gt;@@@",K185&lt;&gt;critCat),0,COUNTIFS(rCat,K185,rSub,L185,rTipoE,"Gasto",rFecha,"&gt;="&amp;pIni,rFecha,"&lt;="&amp;pFin,rCtaE,critCta)))</f>
        <v/>
      </c>
      <c r="O185" s="241">
        <f>IF(M185="",-1E+12-179,N(M185)+(201-179)/1E+7)</f>
        <v/>
      </c>
      <c r="P185" s="241">
        <f>L185&amp;" · "&amp;K185</f>
        <v/>
      </c>
      <c r="R185" s="241" t="n">
        <v>179</v>
      </c>
      <c r="S185" s="241">
        <f>IFERROR(INDEX(rCom,MATCH(179,rComIdx,0))&amp;"","")</f>
        <v/>
      </c>
      <c r="T185" s="241">
        <f>IF(S185="","",SUMIFS(rGasto,rCom,S185,rFecha,"&gt;="&amp;pIni,rFecha,"&lt;="&amp;pFin,rCat,critCat,rCtaE,critCta))</f>
        <v/>
      </c>
      <c r="U185" s="241">
        <f>IF(S185="","",COUNTIFS(rCom,S185,rTipoE,"Gasto",rFecha,"&gt;="&amp;pIni,rFecha,"&lt;="&amp;pFin,rCat,critCat,rCtaE,critCta))</f>
        <v/>
      </c>
      <c r="V185" s="241">
        <f>IF(S185="",-1E+12-179,N(T185)+(301-179)/1E+7)</f>
        <v/>
      </c>
      <c r="W185" s="241">
        <f>IF(S185="","",SUMIFS(rGasto,rCom,S185,rHorm,1,rFecha,"&gt;="&amp;pIni,rFecha,"&lt;="&amp;pFin))</f>
        <v/>
      </c>
      <c r="X185" s="241">
        <f>IF(S185="","",COUNTIFS(rCom,S185,rHorm,1,rFecha,"&gt;="&amp;pIni,rFecha,"&lt;="&amp;pFin))</f>
        <v/>
      </c>
      <c r="Y185" s="241">
        <f>IF(S185="",-1E+12-179,N(W185)+(301-179)/1E+7)</f>
        <v/>
      </c>
      <c r="BG185" s="241" t="n">
        <v>179</v>
      </c>
      <c r="BH185" s="246">
        <f>IF(calIni+178&lt;=pFinEff,calIni+178,"")</f>
        <v/>
      </c>
      <c r="BI185" s="241">
        <f>IF(BH185="","",WEEKDAY(BH185,2))</f>
        <v/>
      </c>
      <c r="BJ185" s="241">
        <f>IF(BH185="","",SUMIFS(rGasto,rFecha,BH185,rGrupo,"?*"))</f>
        <v/>
      </c>
      <c r="BK185" s="241">
        <f>IF(BH185="","",SUMIFS(rGasto,rFecha,BH185,rGrupo,gCP))</f>
        <v/>
      </c>
      <c r="BL185" s="241">
        <f>IF(BH185="",-1E+12-179,N(BJ185)+(400-179)/1E+7)</f>
        <v/>
      </c>
    </row>
    <row r="186">
      <c r="K186" s="241">
        <f>INDEX(catCat,180)&amp;""</f>
        <v/>
      </c>
      <c r="L186" s="241">
        <f>INDEX(catSub,180)&amp;""</f>
        <v/>
      </c>
      <c r="M186" s="241">
        <f>IF(OR(K186="",L186="",INDEX(catTipo,180)&amp;""&lt;&gt;"Gasto"),"",IF(AND(critCat&lt;&gt;"&lt;&gt;@@@",K186&lt;&gt;critCat),0,SUMIFS(rGasto,rCat,K186,rSub,L186,rFecha,"&gt;="&amp;pIni,rFecha,"&lt;="&amp;pFin,rCtaE,critCta)))</f>
        <v/>
      </c>
      <c r="N186" s="241">
        <f>IF(M186="","",IF(AND(critCat&lt;&gt;"&lt;&gt;@@@",K186&lt;&gt;critCat),0,COUNTIFS(rCat,K186,rSub,L186,rTipoE,"Gasto",rFecha,"&gt;="&amp;pIni,rFecha,"&lt;="&amp;pFin,rCtaE,critCta)))</f>
        <v/>
      </c>
      <c r="O186" s="241">
        <f>IF(M186="",-1E+12-180,N(M186)+(201-180)/1E+7)</f>
        <v/>
      </c>
      <c r="P186" s="241">
        <f>L186&amp;" · "&amp;K186</f>
        <v/>
      </c>
      <c r="R186" s="241" t="n">
        <v>180</v>
      </c>
      <c r="S186" s="241">
        <f>IFERROR(INDEX(rCom,MATCH(180,rComIdx,0))&amp;"","")</f>
        <v/>
      </c>
      <c r="T186" s="241">
        <f>IF(S186="","",SUMIFS(rGasto,rCom,S186,rFecha,"&gt;="&amp;pIni,rFecha,"&lt;="&amp;pFin,rCat,critCat,rCtaE,critCta))</f>
        <v/>
      </c>
      <c r="U186" s="241">
        <f>IF(S186="","",COUNTIFS(rCom,S186,rTipoE,"Gasto",rFecha,"&gt;="&amp;pIni,rFecha,"&lt;="&amp;pFin,rCat,critCat,rCtaE,critCta))</f>
        <v/>
      </c>
      <c r="V186" s="241">
        <f>IF(S186="",-1E+12-180,N(T186)+(301-180)/1E+7)</f>
        <v/>
      </c>
      <c r="W186" s="241">
        <f>IF(S186="","",SUMIFS(rGasto,rCom,S186,rHorm,1,rFecha,"&gt;="&amp;pIni,rFecha,"&lt;="&amp;pFin))</f>
        <v/>
      </c>
      <c r="X186" s="241">
        <f>IF(S186="","",COUNTIFS(rCom,S186,rHorm,1,rFecha,"&gt;="&amp;pIni,rFecha,"&lt;="&amp;pFin))</f>
        <v/>
      </c>
      <c r="Y186" s="241">
        <f>IF(S186="",-1E+12-180,N(W186)+(301-180)/1E+7)</f>
        <v/>
      </c>
      <c r="BG186" s="241" t="n">
        <v>180</v>
      </c>
      <c r="BH186" s="246">
        <f>IF(calIni+179&lt;=pFinEff,calIni+179,"")</f>
        <v/>
      </c>
      <c r="BI186" s="241">
        <f>IF(BH186="","",WEEKDAY(BH186,2))</f>
        <v/>
      </c>
      <c r="BJ186" s="241">
        <f>IF(BH186="","",SUMIFS(rGasto,rFecha,BH186,rGrupo,"?*"))</f>
        <v/>
      </c>
      <c r="BK186" s="241">
        <f>IF(BH186="","",SUMIFS(rGasto,rFecha,BH186,rGrupo,gCP))</f>
        <v/>
      </c>
      <c r="BL186" s="241">
        <f>IF(BH186="",-1E+12-180,N(BJ186)+(400-180)/1E+7)</f>
        <v/>
      </c>
    </row>
    <row r="187">
      <c r="K187" s="241">
        <f>INDEX(catCat,181)&amp;""</f>
        <v/>
      </c>
      <c r="L187" s="241">
        <f>INDEX(catSub,181)&amp;""</f>
        <v/>
      </c>
      <c r="M187" s="241">
        <f>IF(OR(K187="",L187="",INDEX(catTipo,181)&amp;""&lt;&gt;"Gasto"),"",IF(AND(critCat&lt;&gt;"&lt;&gt;@@@",K187&lt;&gt;critCat),0,SUMIFS(rGasto,rCat,K187,rSub,L187,rFecha,"&gt;="&amp;pIni,rFecha,"&lt;="&amp;pFin,rCtaE,critCta)))</f>
        <v/>
      </c>
      <c r="N187" s="241">
        <f>IF(M187="","",IF(AND(critCat&lt;&gt;"&lt;&gt;@@@",K187&lt;&gt;critCat),0,COUNTIFS(rCat,K187,rSub,L187,rTipoE,"Gasto",rFecha,"&gt;="&amp;pIni,rFecha,"&lt;="&amp;pFin,rCtaE,critCta)))</f>
        <v/>
      </c>
      <c r="O187" s="241">
        <f>IF(M187="",-1E+12-181,N(M187)+(201-181)/1E+7)</f>
        <v/>
      </c>
      <c r="P187" s="241">
        <f>L187&amp;" · "&amp;K187</f>
        <v/>
      </c>
      <c r="R187" s="241" t="n">
        <v>181</v>
      </c>
      <c r="S187" s="241">
        <f>IFERROR(INDEX(rCom,MATCH(181,rComIdx,0))&amp;"","")</f>
        <v/>
      </c>
      <c r="T187" s="241">
        <f>IF(S187="","",SUMIFS(rGasto,rCom,S187,rFecha,"&gt;="&amp;pIni,rFecha,"&lt;="&amp;pFin,rCat,critCat,rCtaE,critCta))</f>
        <v/>
      </c>
      <c r="U187" s="241">
        <f>IF(S187="","",COUNTIFS(rCom,S187,rTipoE,"Gasto",rFecha,"&gt;="&amp;pIni,rFecha,"&lt;="&amp;pFin,rCat,critCat,rCtaE,critCta))</f>
        <v/>
      </c>
      <c r="V187" s="241">
        <f>IF(S187="",-1E+12-181,N(T187)+(301-181)/1E+7)</f>
        <v/>
      </c>
      <c r="W187" s="241">
        <f>IF(S187="","",SUMIFS(rGasto,rCom,S187,rHorm,1,rFecha,"&gt;="&amp;pIni,rFecha,"&lt;="&amp;pFin))</f>
        <v/>
      </c>
      <c r="X187" s="241">
        <f>IF(S187="","",COUNTIFS(rCom,S187,rHorm,1,rFecha,"&gt;="&amp;pIni,rFecha,"&lt;="&amp;pFin))</f>
        <v/>
      </c>
      <c r="Y187" s="241">
        <f>IF(S187="",-1E+12-181,N(W187)+(301-181)/1E+7)</f>
        <v/>
      </c>
      <c r="BG187" s="241" t="n">
        <v>181</v>
      </c>
      <c r="BH187" s="246">
        <f>IF(calIni+180&lt;=pFinEff,calIni+180,"")</f>
        <v/>
      </c>
      <c r="BI187" s="241">
        <f>IF(BH187="","",WEEKDAY(BH187,2))</f>
        <v/>
      </c>
      <c r="BJ187" s="241">
        <f>IF(BH187="","",SUMIFS(rGasto,rFecha,BH187,rGrupo,"?*"))</f>
        <v/>
      </c>
      <c r="BK187" s="241">
        <f>IF(BH187="","",SUMIFS(rGasto,rFecha,BH187,rGrupo,gCP))</f>
        <v/>
      </c>
      <c r="BL187" s="241">
        <f>IF(BH187="",-1E+12-181,N(BJ187)+(400-181)/1E+7)</f>
        <v/>
      </c>
    </row>
    <row r="188">
      <c r="K188" s="241">
        <f>INDEX(catCat,182)&amp;""</f>
        <v/>
      </c>
      <c r="L188" s="241">
        <f>INDEX(catSub,182)&amp;""</f>
        <v/>
      </c>
      <c r="M188" s="241">
        <f>IF(OR(K188="",L188="",INDEX(catTipo,182)&amp;""&lt;&gt;"Gasto"),"",IF(AND(critCat&lt;&gt;"&lt;&gt;@@@",K188&lt;&gt;critCat),0,SUMIFS(rGasto,rCat,K188,rSub,L188,rFecha,"&gt;="&amp;pIni,rFecha,"&lt;="&amp;pFin,rCtaE,critCta)))</f>
        <v/>
      </c>
      <c r="N188" s="241">
        <f>IF(M188="","",IF(AND(critCat&lt;&gt;"&lt;&gt;@@@",K188&lt;&gt;critCat),0,COUNTIFS(rCat,K188,rSub,L188,rTipoE,"Gasto",rFecha,"&gt;="&amp;pIni,rFecha,"&lt;="&amp;pFin,rCtaE,critCta)))</f>
        <v/>
      </c>
      <c r="O188" s="241">
        <f>IF(M188="",-1E+12-182,N(M188)+(201-182)/1E+7)</f>
        <v/>
      </c>
      <c r="P188" s="241">
        <f>L188&amp;" · "&amp;K188</f>
        <v/>
      </c>
      <c r="R188" s="241" t="n">
        <v>182</v>
      </c>
      <c r="S188" s="241">
        <f>IFERROR(INDEX(rCom,MATCH(182,rComIdx,0))&amp;"","")</f>
        <v/>
      </c>
      <c r="T188" s="241">
        <f>IF(S188="","",SUMIFS(rGasto,rCom,S188,rFecha,"&gt;="&amp;pIni,rFecha,"&lt;="&amp;pFin,rCat,critCat,rCtaE,critCta))</f>
        <v/>
      </c>
      <c r="U188" s="241">
        <f>IF(S188="","",COUNTIFS(rCom,S188,rTipoE,"Gasto",rFecha,"&gt;="&amp;pIni,rFecha,"&lt;="&amp;pFin,rCat,critCat,rCtaE,critCta))</f>
        <v/>
      </c>
      <c r="V188" s="241">
        <f>IF(S188="",-1E+12-182,N(T188)+(301-182)/1E+7)</f>
        <v/>
      </c>
      <c r="W188" s="241">
        <f>IF(S188="","",SUMIFS(rGasto,rCom,S188,rHorm,1,rFecha,"&gt;="&amp;pIni,rFecha,"&lt;="&amp;pFin))</f>
        <v/>
      </c>
      <c r="X188" s="241">
        <f>IF(S188="","",COUNTIFS(rCom,S188,rHorm,1,rFecha,"&gt;="&amp;pIni,rFecha,"&lt;="&amp;pFin))</f>
        <v/>
      </c>
      <c r="Y188" s="241">
        <f>IF(S188="",-1E+12-182,N(W188)+(301-182)/1E+7)</f>
        <v/>
      </c>
      <c r="BG188" s="241" t="n">
        <v>182</v>
      </c>
      <c r="BH188" s="246">
        <f>IF(calIni+181&lt;=pFinEff,calIni+181,"")</f>
        <v/>
      </c>
      <c r="BI188" s="241">
        <f>IF(BH188="","",WEEKDAY(BH188,2))</f>
        <v/>
      </c>
      <c r="BJ188" s="241">
        <f>IF(BH188="","",SUMIFS(rGasto,rFecha,BH188,rGrupo,"?*"))</f>
        <v/>
      </c>
      <c r="BK188" s="241">
        <f>IF(BH188="","",SUMIFS(rGasto,rFecha,BH188,rGrupo,gCP))</f>
        <v/>
      </c>
      <c r="BL188" s="241">
        <f>IF(BH188="",-1E+12-182,N(BJ188)+(400-182)/1E+7)</f>
        <v/>
      </c>
    </row>
    <row r="189">
      <c r="K189" s="241">
        <f>INDEX(catCat,183)&amp;""</f>
        <v/>
      </c>
      <c r="L189" s="241">
        <f>INDEX(catSub,183)&amp;""</f>
        <v/>
      </c>
      <c r="M189" s="241">
        <f>IF(OR(K189="",L189="",INDEX(catTipo,183)&amp;""&lt;&gt;"Gasto"),"",IF(AND(critCat&lt;&gt;"&lt;&gt;@@@",K189&lt;&gt;critCat),0,SUMIFS(rGasto,rCat,K189,rSub,L189,rFecha,"&gt;="&amp;pIni,rFecha,"&lt;="&amp;pFin,rCtaE,critCta)))</f>
        <v/>
      </c>
      <c r="N189" s="241">
        <f>IF(M189="","",IF(AND(critCat&lt;&gt;"&lt;&gt;@@@",K189&lt;&gt;critCat),0,COUNTIFS(rCat,K189,rSub,L189,rTipoE,"Gasto",rFecha,"&gt;="&amp;pIni,rFecha,"&lt;="&amp;pFin,rCtaE,critCta)))</f>
        <v/>
      </c>
      <c r="O189" s="241">
        <f>IF(M189="",-1E+12-183,N(M189)+(201-183)/1E+7)</f>
        <v/>
      </c>
      <c r="P189" s="241">
        <f>L189&amp;" · "&amp;K189</f>
        <v/>
      </c>
      <c r="R189" s="241" t="n">
        <v>183</v>
      </c>
      <c r="S189" s="241">
        <f>IFERROR(INDEX(rCom,MATCH(183,rComIdx,0))&amp;"","")</f>
        <v/>
      </c>
      <c r="T189" s="241">
        <f>IF(S189="","",SUMIFS(rGasto,rCom,S189,rFecha,"&gt;="&amp;pIni,rFecha,"&lt;="&amp;pFin,rCat,critCat,rCtaE,critCta))</f>
        <v/>
      </c>
      <c r="U189" s="241">
        <f>IF(S189="","",COUNTIFS(rCom,S189,rTipoE,"Gasto",rFecha,"&gt;="&amp;pIni,rFecha,"&lt;="&amp;pFin,rCat,critCat,rCtaE,critCta))</f>
        <v/>
      </c>
      <c r="V189" s="241">
        <f>IF(S189="",-1E+12-183,N(T189)+(301-183)/1E+7)</f>
        <v/>
      </c>
      <c r="W189" s="241">
        <f>IF(S189="","",SUMIFS(rGasto,rCom,S189,rHorm,1,rFecha,"&gt;="&amp;pIni,rFecha,"&lt;="&amp;pFin))</f>
        <v/>
      </c>
      <c r="X189" s="241">
        <f>IF(S189="","",COUNTIFS(rCom,S189,rHorm,1,rFecha,"&gt;="&amp;pIni,rFecha,"&lt;="&amp;pFin))</f>
        <v/>
      </c>
      <c r="Y189" s="241">
        <f>IF(S189="",-1E+12-183,N(W189)+(301-183)/1E+7)</f>
        <v/>
      </c>
      <c r="BG189" s="241" t="n">
        <v>183</v>
      </c>
      <c r="BH189" s="246">
        <f>IF(calIni+182&lt;=pFinEff,calIni+182,"")</f>
        <v/>
      </c>
      <c r="BI189" s="241">
        <f>IF(BH189="","",WEEKDAY(BH189,2))</f>
        <v/>
      </c>
      <c r="BJ189" s="241">
        <f>IF(BH189="","",SUMIFS(rGasto,rFecha,BH189,rGrupo,"?*"))</f>
        <v/>
      </c>
      <c r="BK189" s="241">
        <f>IF(BH189="","",SUMIFS(rGasto,rFecha,BH189,rGrupo,gCP))</f>
        <v/>
      </c>
      <c r="BL189" s="241">
        <f>IF(BH189="",-1E+12-183,N(BJ189)+(400-183)/1E+7)</f>
        <v/>
      </c>
    </row>
    <row r="190">
      <c r="K190" s="241">
        <f>INDEX(catCat,184)&amp;""</f>
        <v/>
      </c>
      <c r="L190" s="241">
        <f>INDEX(catSub,184)&amp;""</f>
        <v/>
      </c>
      <c r="M190" s="241">
        <f>IF(OR(K190="",L190="",INDEX(catTipo,184)&amp;""&lt;&gt;"Gasto"),"",IF(AND(critCat&lt;&gt;"&lt;&gt;@@@",K190&lt;&gt;critCat),0,SUMIFS(rGasto,rCat,K190,rSub,L190,rFecha,"&gt;="&amp;pIni,rFecha,"&lt;="&amp;pFin,rCtaE,critCta)))</f>
        <v/>
      </c>
      <c r="N190" s="241">
        <f>IF(M190="","",IF(AND(critCat&lt;&gt;"&lt;&gt;@@@",K190&lt;&gt;critCat),0,COUNTIFS(rCat,K190,rSub,L190,rTipoE,"Gasto",rFecha,"&gt;="&amp;pIni,rFecha,"&lt;="&amp;pFin,rCtaE,critCta)))</f>
        <v/>
      </c>
      <c r="O190" s="241">
        <f>IF(M190="",-1E+12-184,N(M190)+(201-184)/1E+7)</f>
        <v/>
      </c>
      <c r="P190" s="241">
        <f>L190&amp;" · "&amp;K190</f>
        <v/>
      </c>
      <c r="R190" s="241" t="n">
        <v>184</v>
      </c>
      <c r="S190" s="241">
        <f>IFERROR(INDEX(rCom,MATCH(184,rComIdx,0))&amp;"","")</f>
        <v/>
      </c>
      <c r="T190" s="241">
        <f>IF(S190="","",SUMIFS(rGasto,rCom,S190,rFecha,"&gt;="&amp;pIni,rFecha,"&lt;="&amp;pFin,rCat,critCat,rCtaE,critCta))</f>
        <v/>
      </c>
      <c r="U190" s="241">
        <f>IF(S190="","",COUNTIFS(rCom,S190,rTipoE,"Gasto",rFecha,"&gt;="&amp;pIni,rFecha,"&lt;="&amp;pFin,rCat,critCat,rCtaE,critCta))</f>
        <v/>
      </c>
      <c r="V190" s="241">
        <f>IF(S190="",-1E+12-184,N(T190)+(301-184)/1E+7)</f>
        <v/>
      </c>
      <c r="W190" s="241">
        <f>IF(S190="","",SUMIFS(rGasto,rCom,S190,rHorm,1,rFecha,"&gt;="&amp;pIni,rFecha,"&lt;="&amp;pFin))</f>
        <v/>
      </c>
      <c r="X190" s="241">
        <f>IF(S190="","",COUNTIFS(rCom,S190,rHorm,1,rFecha,"&gt;="&amp;pIni,rFecha,"&lt;="&amp;pFin))</f>
        <v/>
      </c>
      <c r="Y190" s="241">
        <f>IF(S190="",-1E+12-184,N(W190)+(301-184)/1E+7)</f>
        <v/>
      </c>
      <c r="BG190" s="241" t="n">
        <v>184</v>
      </c>
      <c r="BH190" s="246">
        <f>IF(calIni+183&lt;=pFinEff,calIni+183,"")</f>
        <v/>
      </c>
      <c r="BI190" s="241">
        <f>IF(BH190="","",WEEKDAY(BH190,2))</f>
        <v/>
      </c>
      <c r="BJ190" s="241">
        <f>IF(BH190="","",SUMIFS(rGasto,rFecha,BH190,rGrupo,"?*"))</f>
        <v/>
      </c>
      <c r="BK190" s="241">
        <f>IF(BH190="","",SUMIFS(rGasto,rFecha,BH190,rGrupo,gCP))</f>
        <v/>
      </c>
      <c r="BL190" s="241">
        <f>IF(BH190="",-1E+12-184,N(BJ190)+(400-184)/1E+7)</f>
        <v/>
      </c>
    </row>
    <row r="191">
      <c r="K191" s="241">
        <f>INDEX(catCat,185)&amp;""</f>
        <v/>
      </c>
      <c r="L191" s="241">
        <f>INDEX(catSub,185)&amp;""</f>
        <v/>
      </c>
      <c r="M191" s="241">
        <f>IF(OR(K191="",L191="",INDEX(catTipo,185)&amp;""&lt;&gt;"Gasto"),"",IF(AND(critCat&lt;&gt;"&lt;&gt;@@@",K191&lt;&gt;critCat),0,SUMIFS(rGasto,rCat,K191,rSub,L191,rFecha,"&gt;="&amp;pIni,rFecha,"&lt;="&amp;pFin,rCtaE,critCta)))</f>
        <v/>
      </c>
      <c r="N191" s="241">
        <f>IF(M191="","",IF(AND(critCat&lt;&gt;"&lt;&gt;@@@",K191&lt;&gt;critCat),0,COUNTIFS(rCat,K191,rSub,L191,rTipoE,"Gasto",rFecha,"&gt;="&amp;pIni,rFecha,"&lt;="&amp;pFin,rCtaE,critCta)))</f>
        <v/>
      </c>
      <c r="O191" s="241">
        <f>IF(M191="",-1E+12-185,N(M191)+(201-185)/1E+7)</f>
        <v/>
      </c>
      <c r="P191" s="241">
        <f>L191&amp;" · "&amp;K191</f>
        <v/>
      </c>
      <c r="R191" s="241" t="n">
        <v>185</v>
      </c>
      <c r="S191" s="241">
        <f>IFERROR(INDEX(rCom,MATCH(185,rComIdx,0))&amp;"","")</f>
        <v/>
      </c>
      <c r="T191" s="241">
        <f>IF(S191="","",SUMIFS(rGasto,rCom,S191,rFecha,"&gt;="&amp;pIni,rFecha,"&lt;="&amp;pFin,rCat,critCat,rCtaE,critCta))</f>
        <v/>
      </c>
      <c r="U191" s="241">
        <f>IF(S191="","",COUNTIFS(rCom,S191,rTipoE,"Gasto",rFecha,"&gt;="&amp;pIni,rFecha,"&lt;="&amp;pFin,rCat,critCat,rCtaE,critCta))</f>
        <v/>
      </c>
      <c r="V191" s="241">
        <f>IF(S191="",-1E+12-185,N(T191)+(301-185)/1E+7)</f>
        <v/>
      </c>
      <c r="W191" s="241">
        <f>IF(S191="","",SUMIFS(rGasto,rCom,S191,rHorm,1,rFecha,"&gt;="&amp;pIni,rFecha,"&lt;="&amp;pFin))</f>
        <v/>
      </c>
      <c r="X191" s="241">
        <f>IF(S191="","",COUNTIFS(rCom,S191,rHorm,1,rFecha,"&gt;="&amp;pIni,rFecha,"&lt;="&amp;pFin))</f>
        <v/>
      </c>
      <c r="Y191" s="241">
        <f>IF(S191="",-1E+12-185,N(W191)+(301-185)/1E+7)</f>
        <v/>
      </c>
      <c r="BG191" s="241" t="n">
        <v>185</v>
      </c>
      <c r="BH191" s="246">
        <f>IF(calIni+184&lt;=pFinEff,calIni+184,"")</f>
        <v/>
      </c>
      <c r="BI191" s="241">
        <f>IF(BH191="","",WEEKDAY(BH191,2))</f>
        <v/>
      </c>
      <c r="BJ191" s="241">
        <f>IF(BH191="","",SUMIFS(rGasto,rFecha,BH191,rGrupo,"?*"))</f>
        <v/>
      </c>
      <c r="BK191" s="241">
        <f>IF(BH191="","",SUMIFS(rGasto,rFecha,BH191,rGrupo,gCP))</f>
        <v/>
      </c>
      <c r="BL191" s="241">
        <f>IF(BH191="",-1E+12-185,N(BJ191)+(400-185)/1E+7)</f>
        <v/>
      </c>
    </row>
    <row r="192">
      <c r="K192" s="241">
        <f>INDEX(catCat,186)&amp;""</f>
        <v/>
      </c>
      <c r="L192" s="241">
        <f>INDEX(catSub,186)&amp;""</f>
        <v/>
      </c>
      <c r="M192" s="241">
        <f>IF(OR(K192="",L192="",INDEX(catTipo,186)&amp;""&lt;&gt;"Gasto"),"",IF(AND(critCat&lt;&gt;"&lt;&gt;@@@",K192&lt;&gt;critCat),0,SUMIFS(rGasto,rCat,K192,rSub,L192,rFecha,"&gt;="&amp;pIni,rFecha,"&lt;="&amp;pFin,rCtaE,critCta)))</f>
        <v/>
      </c>
      <c r="N192" s="241">
        <f>IF(M192="","",IF(AND(critCat&lt;&gt;"&lt;&gt;@@@",K192&lt;&gt;critCat),0,COUNTIFS(rCat,K192,rSub,L192,rTipoE,"Gasto",rFecha,"&gt;="&amp;pIni,rFecha,"&lt;="&amp;pFin,rCtaE,critCta)))</f>
        <v/>
      </c>
      <c r="O192" s="241">
        <f>IF(M192="",-1E+12-186,N(M192)+(201-186)/1E+7)</f>
        <v/>
      </c>
      <c r="P192" s="241">
        <f>L192&amp;" · "&amp;K192</f>
        <v/>
      </c>
      <c r="R192" s="241" t="n">
        <v>186</v>
      </c>
      <c r="S192" s="241">
        <f>IFERROR(INDEX(rCom,MATCH(186,rComIdx,0))&amp;"","")</f>
        <v/>
      </c>
      <c r="T192" s="241">
        <f>IF(S192="","",SUMIFS(rGasto,rCom,S192,rFecha,"&gt;="&amp;pIni,rFecha,"&lt;="&amp;pFin,rCat,critCat,rCtaE,critCta))</f>
        <v/>
      </c>
      <c r="U192" s="241">
        <f>IF(S192="","",COUNTIFS(rCom,S192,rTipoE,"Gasto",rFecha,"&gt;="&amp;pIni,rFecha,"&lt;="&amp;pFin,rCat,critCat,rCtaE,critCta))</f>
        <v/>
      </c>
      <c r="V192" s="241">
        <f>IF(S192="",-1E+12-186,N(T192)+(301-186)/1E+7)</f>
        <v/>
      </c>
      <c r="W192" s="241">
        <f>IF(S192="","",SUMIFS(rGasto,rCom,S192,rHorm,1,rFecha,"&gt;="&amp;pIni,rFecha,"&lt;="&amp;pFin))</f>
        <v/>
      </c>
      <c r="X192" s="241">
        <f>IF(S192="","",COUNTIFS(rCom,S192,rHorm,1,rFecha,"&gt;="&amp;pIni,rFecha,"&lt;="&amp;pFin))</f>
        <v/>
      </c>
      <c r="Y192" s="241">
        <f>IF(S192="",-1E+12-186,N(W192)+(301-186)/1E+7)</f>
        <v/>
      </c>
      <c r="BG192" s="241" t="n">
        <v>186</v>
      </c>
      <c r="BH192" s="246">
        <f>IF(calIni+185&lt;=pFinEff,calIni+185,"")</f>
        <v/>
      </c>
      <c r="BI192" s="241">
        <f>IF(BH192="","",WEEKDAY(BH192,2))</f>
        <v/>
      </c>
      <c r="BJ192" s="241">
        <f>IF(BH192="","",SUMIFS(rGasto,rFecha,BH192,rGrupo,"?*"))</f>
        <v/>
      </c>
      <c r="BK192" s="241">
        <f>IF(BH192="","",SUMIFS(rGasto,rFecha,BH192,rGrupo,gCP))</f>
        <v/>
      </c>
      <c r="BL192" s="241">
        <f>IF(BH192="",-1E+12-186,N(BJ192)+(400-186)/1E+7)</f>
        <v/>
      </c>
    </row>
    <row r="193">
      <c r="K193" s="241">
        <f>INDEX(catCat,187)&amp;""</f>
        <v/>
      </c>
      <c r="L193" s="241">
        <f>INDEX(catSub,187)&amp;""</f>
        <v/>
      </c>
      <c r="M193" s="241">
        <f>IF(OR(K193="",L193="",INDEX(catTipo,187)&amp;""&lt;&gt;"Gasto"),"",IF(AND(critCat&lt;&gt;"&lt;&gt;@@@",K193&lt;&gt;critCat),0,SUMIFS(rGasto,rCat,K193,rSub,L193,rFecha,"&gt;="&amp;pIni,rFecha,"&lt;="&amp;pFin,rCtaE,critCta)))</f>
        <v/>
      </c>
      <c r="N193" s="241">
        <f>IF(M193="","",IF(AND(critCat&lt;&gt;"&lt;&gt;@@@",K193&lt;&gt;critCat),0,COUNTIFS(rCat,K193,rSub,L193,rTipoE,"Gasto",rFecha,"&gt;="&amp;pIni,rFecha,"&lt;="&amp;pFin,rCtaE,critCta)))</f>
        <v/>
      </c>
      <c r="O193" s="241">
        <f>IF(M193="",-1E+12-187,N(M193)+(201-187)/1E+7)</f>
        <v/>
      </c>
      <c r="P193" s="241">
        <f>L193&amp;" · "&amp;K193</f>
        <v/>
      </c>
      <c r="R193" s="241" t="n">
        <v>187</v>
      </c>
      <c r="S193" s="241">
        <f>IFERROR(INDEX(rCom,MATCH(187,rComIdx,0))&amp;"","")</f>
        <v/>
      </c>
      <c r="T193" s="241">
        <f>IF(S193="","",SUMIFS(rGasto,rCom,S193,rFecha,"&gt;="&amp;pIni,rFecha,"&lt;="&amp;pFin,rCat,critCat,rCtaE,critCta))</f>
        <v/>
      </c>
      <c r="U193" s="241">
        <f>IF(S193="","",COUNTIFS(rCom,S193,rTipoE,"Gasto",rFecha,"&gt;="&amp;pIni,rFecha,"&lt;="&amp;pFin,rCat,critCat,rCtaE,critCta))</f>
        <v/>
      </c>
      <c r="V193" s="241">
        <f>IF(S193="",-1E+12-187,N(T193)+(301-187)/1E+7)</f>
        <v/>
      </c>
      <c r="W193" s="241">
        <f>IF(S193="","",SUMIFS(rGasto,rCom,S193,rHorm,1,rFecha,"&gt;="&amp;pIni,rFecha,"&lt;="&amp;pFin))</f>
        <v/>
      </c>
      <c r="X193" s="241">
        <f>IF(S193="","",COUNTIFS(rCom,S193,rHorm,1,rFecha,"&gt;="&amp;pIni,rFecha,"&lt;="&amp;pFin))</f>
        <v/>
      </c>
      <c r="Y193" s="241">
        <f>IF(S193="",-1E+12-187,N(W193)+(301-187)/1E+7)</f>
        <v/>
      </c>
      <c r="BG193" s="241" t="n">
        <v>187</v>
      </c>
      <c r="BH193" s="246">
        <f>IF(calIni+186&lt;=pFinEff,calIni+186,"")</f>
        <v/>
      </c>
      <c r="BI193" s="241">
        <f>IF(BH193="","",WEEKDAY(BH193,2))</f>
        <v/>
      </c>
      <c r="BJ193" s="241">
        <f>IF(BH193="","",SUMIFS(rGasto,rFecha,BH193,rGrupo,"?*"))</f>
        <v/>
      </c>
      <c r="BK193" s="241">
        <f>IF(BH193="","",SUMIFS(rGasto,rFecha,BH193,rGrupo,gCP))</f>
        <v/>
      </c>
      <c r="BL193" s="241">
        <f>IF(BH193="",-1E+12-187,N(BJ193)+(400-187)/1E+7)</f>
        <v/>
      </c>
    </row>
    <row r="194">
      <c r="K194" s="241">
        <f>INDEX(catCat,188)&amp;""</f>
        <v/>
      </c>
      <c r="L194" s="241">
        <f>INDEX(catSub,188)&amp;""</f>
        <v/>
      </c>
      <c r="M194" s="241">
        <f>IF(OR(K194="",L194="",INDEX(catTipo,188)&amp;""&lt;&gt;"Gasto"),"",IF(AND(critCat&lt;&gt;"&lt;&gt;@@@",K194&lt;&gt;critCat),0,SUMIFS(rGasto,rCat,K194,rSub,L194,rFecha,"&gt;="&amp;pIni,rFecha,"&lt;="&amp;pFin,rCtaE,critCta)))</f>
        <v/>
      </c>
      <c r="N194" s="241">
        <f>IF(M194="","",IF(AND(critCat&lt;&gt;"&lt;&gt;@@@",K194&lt;&gt;critCat),0,COUNTIFS(rCat,K194,rSub,L194,rTipoE,"Gasto",rFecha,"&gt;="&amp;pIni,rFecha,"&lt;="&amp;pFin,rCtaE,critCta)))</f>
        <v/>
      </c>
      <c r="O194" s="241">
        <f>IF(M194="",-1E+12-188,N(M194)+(201-188)/1E+7)</f>
        <v/>
      </c>
      <c r="P194" s="241">
        <f>L194&amp;" · "&amp;K194</f>
        <v/>
      </c>
      <c r="R194" s="241" t="n">
        <v>188</v>
      </c>
      <c r="S194" s="241">
        <f>IFERROR(INDEX(rCom,MATCH(188,rComIdx,0))&amp;"","")</f>
        <v/>
      </c>
      <c r="T194" s="241">
        <f>IF(S194="","",SUMIFS(rGasto,rCom,S194,rFecha,"&gt;="&amp;pIni,rFecha,"&lt;="&amp;pFin,rCat,critCat,rCtaE,critCta))</f>
        <v/>
      </c>
      <c r="U194" s="241">
        <f>IF(S194="","",COUNTIFS(rCom,S194,rTipoE,"Gasto",rFecha,"&gt;="&amp;pIni,rFecha,"&lt;="&amp;pFin,rCat,critCat,rCtaE,critCta))</f>
        <v/>
      </c>
      <c r="V194" s="241">
        <f>IF(S194="",-1E+12-188,N(T194)+(301-188)/1E+7)</f>
        <v/>
      </c>
      <c r="W194" s="241">
        <f>IF(S194="","",SUMIFS(rGasto,rCom,S194,rHorm,1,rFecha,"&gt;="&amp;pIni,rFecha,"&lt;="&amp;pFin))</f>
        <v/>
      </c>
      <c r="X194" s="241">
        <f>IF(S194="","",COUNTIFS(rCom,S194,rHorm,1,rFecha,"&gt;="&amp;pIni,rFecha,"&lt;="&amp;pFin))</f>
        <v/>
      </c>
      <c r="Y194" s="241">
        <f>IF(S194="",-1E+12-188,N(W194)+(301-188)/1E+7)</f>
        <v/>
      </c>
      <c r="BG194" s="241" t="n">
        <v>188</v>
      </c>
      <c r="BH194" s="246">
        <f>IF(calIni+187&lt;=pFinEff,calIni+187,"")</f>
        <v/>
      </c>
      <c r="BI194" s="241">
        <f>IF(BH194="","",WEEKDAY(BH194,2))</f>
        <v/>
      </c>
      <c r="BJ194" s="241">
        <f>IF(BH194="","",SUMIFS(rGasto,rFecha,BH194,rGrupo,"?*"))</f>
        <v/>
      </c>
      <c r="BK194" s="241">
        <f>IF(BH194="","",SUMIFS(rGasto,rFecha,BH194,rGrupo,gCP))</f>
        <v/>
      </c>
      <c r="BL194" s="241">
        <f>IF(BH194="",-1E+12-188,N(BJ194)+(400-188)/1E+7)</f>
        <v/>
      </c>
    </row>
    <row r="195">
      <c r="K195" s="241">
        <f>INDEX(catCat,189)&amp;""</f>
        <v/>
      </c>
      <c r="L195" s="241">
        <f>INDEX(catSub,189)&amp;""</f>
        <v/>
      </c>
      <c r="M195" s="241">
        <f>IF(OR(K195="",L195="",INDEX(catTipo,189)&amp;""&lt;&gt;"Gasto"),"",IF(AND(critCat&lt;&gt;"&lt;&gt;@@@",K195&lt;&gt;critCat),0,SUMIFS(rGasto,rCat,K195,rSub,L195,rFecha,"&gt;="&amp;pIni,rFecha,"&lt;="&amp;pFin,rCtaE,critCta)))</f>
        <v/>
      </c>
      <c r="N195" s="241">
        <f>IF(M195="","",IF(AND(critCat&lt;&gt;"&lt;&gt;@@@",K195&lt;&gt;critCat),0,COUNTIFS(rCat,K195,rSub,L195,rTipoE,"Gasto",rFecha,"&gt;="&amp;pIni,rFecha,"&lt;="&amp;pFin,rCtaE,critCta)))</f>
        <v/>
      </c>
      <c r="O195" s="241">
        <f>IF(M195="",-1E+12-189,N(M195)+(201-189)/1E+7)</f>
        <v/>
      </c>
      <c r="P195" s="241">
        <f>L195&amp;" · "&amp;K195</f>
        <v/>
      </c>
      <c r="R195" s="241" t="n">
        <v>189</v>
      </c>
      <c r="S195" s="241">
        <f>IFERROR(INDEX(rCom,MATCH(189,rComIdx,0))&amp;"","")</f>
        <v/>
      </c>
      <c r="T195" s="241">
        <f>IF(S195="","",SUMIFS(rGasto,rCom,S195,rFecha,"&gt;="&amp;pIni,rFecha,"&lt;="&amp;pFin,rCat,critCat,rCtaE,critCta))</f>
        <v/>
      </c>
      <c r="U195" s="241">
        <f>IF(S195="","",COUNTIFS(rCom,S195,rTipoE,"Gasto",rFecha,"&gt;="&amp;pIni,rFecha,"&lt;="&amp;pFin,rCat,critCat,rCtaE,critCta))</f>
        <v/>
      </c>
      <c r="V195" s="241">
        <f>IF(S195="",-1E+12-189,N(T195)+(301-189)/1E+7)</f>
        <v/>
      </c>
      <c r="W195" s="241">
        <f>IF(S195="","",SUMIFS(rGasto,rCom,S195,rHorm,1,rFecha,"&gt;="&amp;pIni,rFecha,"&lt;="&amp;pFin))</f>
        <v/>
      </c>
      <c r="X195" s="241">
        <f>IF(S195="","",COUNTIFS(rCom,S195,rHorm,1,rFecha,"&gt;="&amp;pIni,rFecha,"&lt;="&amp;pFin))</f>
        <v/>
      </c>
      <c r="Y195" s="241">
        <f>IF(S195="",-1E+12-189,N(W195)+(301-189)/1E+7)</f>
        <v/>
      </c>
      <c r="BG195" s="241" t="n">
        <v>189</v>
      </c>
      <c r="BH195" s="246">
        <f>IF(calIni+188&lt;=pFinEff,calIni+188,"")</f>
        <v/>
      </c>
      <c r="BI195" s="241">
        <f>IF(BH195="","",WEEKDAY(BH195,2))</f>
        <v/>
      </c>
      <c r="BJ195" s="241">
        <f>IF(BH195="","",SUMIFS(rGasto,rFecha,BH195,rGrupo,"?*"))</f>
        <v/>
      </c>
      <c r="BK195" s="241">
        <f>IF(BH195="","",SUMIFS(rGasto,rFecha,BH195,rGrupo,gCP))</f>
        <v/>
      </c>
      <c r="BL195" s="241">
        <f>IF(BH195="",-1E+12-189,N(BJ195)+(400-189)/1E+7)</f>
        <v/>
      </c>
    </row>
    <row r="196">
      <c r="K196" s="241">
        <f>INDEX(catCat,190)&amp;""</f>
        <v/>
      </c>
      <c r="L196" s="241">
        <f>INDEX(catSub,190)&amp;""</f>
        <v/>
      </c>
      <c r="M196" s="241">
        <f>IF(OR(K196="",L196="",INDEX(catTipo,190)&amp;""&lt;&gt;"Gasto"),"",IF(AND(critCat&lt;&gt;"&lt;&gt;@@@",K196&lt;&gt;critCat),0,SUMIFS(rGasto,rCat,K196,rSub,L196,rFecha,"&gt;="&amp;pIni,rFecha,"&lt;="&amp;pFin,rCtaE,critCta)))</f>
        <v/>
      </c>
      <c r="N196" s="241">
        <f>IF(M196="","",IF(AND(critCat&lt;&gt;"&lt;&gt;@@@",K196&lt;&gt;critCat),0,COUNTIFS(rCat,K196,rSub,L196,rTipoE,"Gasto",rFecha,"&gt;="&amp;pIni,rFecha,"&lt;="&amp;pFin,rCtaE,critCta)))</f>
        <v/>
      </c>
      <c r="O196" s="241">
        <f>IF(M196="",-1E+12-190,N(M196)+(201-190)/1E+7)</f>
        <v/>
      </c>
      <c r="P196" s="241">
        <f>L196&amp;" · "&amp;K196</f>
        <v/>
      </c>
      <c r="R196" s="241" t="n">
        <v>190</v>
      </c>
      <c r="S196" s="241">
        <f>IFERROR(INDEX(rCom,MATCH(190,rComIdx,0))&amp;"","")</f>
        <v/>
      </c>
      <c r="T196" s="241">
        <f>IF(S196="","",SUMIFS(rGasto,rCom,S196,rFecha,"&gt;="&amp;pIni,rFecha,"&lt;="&amp;pFin,rCat,critCat,rCtaE,critCta))</f>
        <v/>
      </c>
      <c r="U196" s="241">
        <f>IF(S196="","",COUNTIFS(rCom,S196,rTipoE,"Gasto",rFecha,"&gt;="&amp;pIni,rFecha,"&lt;="&amp;pFin,rCat,critCat,rCtaE,critCta))</f>
        <v/>
      </c>
      <c r="V196" s="241">
        <f>IF(S196="",-1E+12-190,N(T196)+(301-190)/1E+7)</f>
        <v/>
      </c>
      <c r="W196" s="241">
        <f>IF(S196="","",SUMIFS(rGasto,rCom,S196,rHorm,1,rFecha,"&gt;="&amp;pIni,rFecha,"&lt;="&amp;pFin))</f>
        <v/>
      </c>
      <c r="X196" s="241">
        <f>IF(S196="","",COUNTIFS(rCom,S196,rHorm,1,rFecha,"&gt;="&amp;pIni,rFecha,"&lt;="&amp;pFin))</f>
        <v/>
      </c>
      <c r="Y196" s="241">
        <f>IF(S196="",-1E+12-190,N(W196)+(301-190)/1E+7)</f>
        <v/>
      </c>
      <c r="BG196" s="241" t="n">
        <v>190</v>
      </c>
      <c r="BH196" s="246">
        <f>IF(calIni+189&lt;=pFinEff,calIni+189,"")</f>
        <v/>
      </c>
      <c r="BI196" s="241">
        <f>IF(BH196="","",WEEKDAY(BH196,2))</f>
        <v/>
      </c>
      <c r="BJ196" s="241">
        <f>IF(BH196="","",SUMIFS(rGasto,rFecha,BH196,rGrupo,"?*"))</f>
        <v/>
      </c>
      <c r="BK196" s="241">
        <f>IF(BH196="","",SUMIFS(rGasto,rFecha,BH196,rGrupo,gCP))</f>
        <v/>
      </c>
      <c r="BL196" s="241">
        <f>IF(BH196="",-1E+12-190,N(BJ196)+(400-190)/1E+7)</f>
        <v/>
      </c>
    </row>
    <row r="197">
      <c r="K197" s="241">
        <f>INDEX(catCat,191)&amp;""</f>
        <v/>
      </c>
      <c r="L197" s="241">
        <f>INDEX(catSub,191)&amp;""</f>
        <v/>
      </c>
      <c r="M197" s="241">
        <f>IF(OR(K197="",L197="",INDEX(catTipo,191)&amp;""&lt;&gt;"Gasto"),"",IF(AND(critCat&lt;&gt;"&lt;&gt;@@@",K197&lt;&gt;critCat),0,SUMIFS(rGasto,rCat,K197,rSub,L197,rFecha,"&gt;="&amp;pIni,rFecha,"&lt;="&amp;pFin,rCtaE,critCta)))</f>
        <v/>
      </c>
      <c r="N197" s="241">
        <f>IF(M197="","",IF(AND(critCat&lt;&gt;"&lt;&gt;@@@",K197&lt;&gt;critCat),0,COUNTIFS(rCat,K197,rSub,L197,rTipoE,"Gasto",rFecha,"&gt;="&amp;pIni,rFecha,"&lt;="&amp;pFin,rCtaE,critCta)))</f>
        <v/>
      </c>
      <c r="O197" s="241">
        <f>IF(M197="",-1E+12-191,N(M197)+(201-191)/1E+7)</f>
        <v/>
      </c>
      <c r="P197" s="241">
        <f>L197&amp;" · "&amp;K197</f>
        <v/>
      </c>
      <c r="R197" s="241" t="n">
        <v>191</v>
      </c>
      <c r="S197" s="241">
        <f>IFERROR(INDEX(rCom,MATCH(191,rComIdx,0))&amp;"","")</f>
        <v/>
      </c>
      <c r="T197" s="241">
        <f>IF(S197="","",SUMIFS(rGasto,rCom,S197,rFecha,"&gt;="&amp;pIni,rFecha,"&lt;="&amp;pFin,rCat,critCat,rCtaE,critCta))</f>
        <v/>
      </c>
      <c r="U197" s="241">
        <f>IF(S197="","",COUNTIFS(rCom,S197,rTipoE,"Gasto",rFecha,"&gt;="&amp;pIni,rFecha,"&lt;="&amp;pFin,rCat,critCat,rCtaE,critCta))</f>
        <v/>
      </c>
      <c r="V197" s="241">
        <f>IF(S197="",-1E+12-191,N(T197)+(301-191)/1E+7)</f>
        <v/>
      </c>
      <c r="W197" s="241">
        <f>IF(S197="","",SUMIFS(rGasto,rCom,S197,rHorm,1,rFecha,"&gt;="&amp;pIni,rFecha,"&lt;="&amp;pFin))</f>
        <v/>
      </c>
      <c r="X197" s="241">
        <f>IF(S197="","",COUNTIFS(rCom,S197,rHorm,1,rFecha,"&gt;="&amp;pIni,rFecha,"&lt;="&amp;pFin))</f>
        <v/>
      </c>
      <c r="Y197" s="241">
        <f>IF(S197="",-1E+12-191,N(W197)+(301-191)/1E+7)</f>
        <v/>
      </c>
      <c r="BG197" s="241" t="n">
        <v>191</v>
      </c>
      <c r="BH197" s="246">
        <f>IF(calIni+190&lt;=pFinEff,calIni+190,"")</f>
        <v/>
      </c>
      <c r="BI197" s="241">
        <f>IF(BH197="","",WEEKDAY(BH197,2))</f>
        <v/>
      </c>
      <c r="BJ197" s="241">
        <f>IF(BH197="","",SUMIFS(rGasto,rFecha,BH197,rGrupo,"?*"))</f>
        <v/>
      </c>
      <c r="BK197" s="241">
        <f>IF(BH197="","",SUMIFS(rGasto,rFecha,BH197,rGrupo,gCP))</f>
        <v/>
      </c>
      <c r="BL197" s="241">
        <f>IF(BH197="",-1E+12-191,N(BJ197)+(400-191)/1E+7)</f>
        <v/>
      </c>
    </row>
    <row r="198">
      <c r="K198" s="241">
        <f>INDEX(catCat,192)&amp;""</f>
        <v/>
      </c>
      <c r="L198" s="241">
        <f>INDEX(catSub,192)&amp;""</f>
        <v/>
      </c>
      <c r="M198" s="241">
        <f>IF(OR(K198="",L198="",INDEX(catTipo,192)&amp;""&lt;&gt;"Gasto"),"",IF(AND(critCat&lt;&gt;"&lt;&gt;@@@",K198&lt;&gt;critCat),0,SUMIFS(rGasto,rCat,K198,rSub,L198,rFecha,"&gt;="&amp;pIni,rFecha,"&lt;="&amp;pFin,rCtaE,critCta)))</f>
        <v/>
      </c>
      <c r="N198" s="241">
        <f>IF(M198="","",IF(AND(critCat&lt;&gt;"&lt;&gt;@@@",K198&lt;&gt;critCat),0,COUNTIFS(rCat,K198,rSub,L198,rTipoE,"Gasto",rFecha,"&gt;="&amp;pIni,rFecha,"&lt;="&amp;pFin,rCtaE,critCta)))</f>
        <v/>
      </c>
      <c r="O198" s="241">
        <f>IF(M198="",-1E+12-192,N(M198)+(201-192)/1E+7)</f>
        <v/>
      </c>
      <c r="P198" s="241">
        <f>L198&amp;" · "&amp;K198</f>
        <v/>
      </c>
      <c r="R198" s="241" t="n">
        <v>192</v>
      </c>
      <c r="S198" s="241">
        <f>IFERROR(INDEX(rCom,MATCH(192,rComIdx,0))&amp;"","")</f>
        <v/>
      </c>
      <c r="T198" s="241">
        <f>IF(S198="","",SUMIFS(rGasto,rCom,S198,rFecha,"&gt;="&amp;pIni,rFecha,"&lt;="&amp;pFin,rCat,critCat,rCtaE,critCta))</f>
        <v/>
      </c>
      <c r="U198" s="241">
        <f>IF(S198="","",COUNTIFS(rCom,S198,rTipoE,"Gasto",rFecha,"&gt;="&amp;pIni,rFecha,"&lt;="&amp;pFin,rCat,critCat,rCtaE,critCta))</f>
        <v/>
      </c>
      <c r="V198" s="241">
        <f>IF(S198="",-1E+12-192,N(T198)+(301-192)/1E+7)</f>
        <v/>
      </c>
      <c r="W198" s="241">
        <f>IF(S198="","",SUMIFS(rGasto,rCom,S198,rHorm,1,rFecha,"&gt;="&amp;pIni,rFecha,"&lt;="&amp;pFin))</f>
        <v/>
      </c>
      <c r="X198" s="241">
        <f>IF(S198="","",COUNTIFS(rCom,S198,rHorm,1,rFecha,"&gt;="&amp;pIni,rFecha,"&lt;="&amp;pFin))</f>
        <v/>
      </c>
      <c r="Y198" s="241">
        <f>IF(S198="",-1E+12-192,N(W198)+(301-192)/1E+7)</f>
        <v/>
      </c>
      <c r="BG198" s="241" t="n">
        <v>192</v>
      </c>
      <c r="BH198" s="246">
        <f>IF(calIni+191&lt;=pFinEff,calIni+191,"")</f>
        <v/>
      </c>
      <c r="BI198" s="241">
        <f>IF(BH198="","",WEEKDAY(BH198,2))</f>
        <v/>
      </c>
      <c r="BJ198" s="241">
        <f>IF(BH198="","",SUMIFS(rGasto,rFecha,BH198,rGrupo,"?*"))</f>
        <v/>
      </c>
      <c r="BK198" s="241">
        <f>IF(BH198="","",SUMIFS(rGasto,rFecha,BH198,rGrupo,gCP))</f>
        <v/>
      </c>
      <c r="BL198" s="241">
        <f>IF(BH198="",-1E+12-192,N(BJ198)+(400-192)/1E+7)</f>
        <v/>
      </c>
    </row>
    <row r="199">
      <c r="K199" s="241">
        <f>INDEX(catCat,193)&amp;""</f>
        <v/>
      </c>
      <c r="L199" s="241">
        <f>INDEX(catSub,193)&amp;""</f>
        <v/>
      </c>
      <c r="M199" s="241">
        <f>IF(OR(K199="",L199="",INDEX(catTipo,193)&amp;""&lt;&gt;"Gasto"),"",IF(AND(critCat&lt;&gt;"&lt;&gt;@@@",K199&lt;&gt;critCat),0,SUMIFS(rGasto,rCat,K199,rSub,L199,rFecha,"&gt;="&amp;pIni,rFecha,"&lt;="&amp;pFin,rCtaE,critCta)))</f>
        <v/>
      </c>
      <c r="N199" s="241">
        <f>IF(M199="","",IF(AND(critCat&lt;&gt;"&lt;&gt;@@@",K199&lt;&gt;critCat),0,COUNTIFS(rCat,K199,rSub,L199,rTipoE,"Gasto",rFecha,"&gt;="&amp;pIni,rFecha,"&lt;="&amp;pFin,rCtaE,critCta)))</f>
        <v/>
      </c>
      <c r="O199" s="241">
        <f>IF(M199="",-1E+12-193,N(M199)+(201-193)/1E+7)</f>
        <v/>
      </c>
      <c r="P199" s="241">
        <f>L199&amp;" · "&amp;K199</f>
        <v/>
      </c>
      <c r="R199" s="241" t="n">
        <v>193</v>
      </c>
      <c r="S199" s="241">
        <f>IFERROR(INDEX(rCom,MATCH(193,rComIdx,0))&amp;"","")</f>
        <v/>
      </c>
      <c r="T199" s="241">
        <f>IF(S199="","",SUMIFS(rGasto,rCom,S199,rFecha,"&gt;="&amp;pIni,rFecha,"&lt;="&amp;pFin,rCat,critCat,rCtaE,critCta))</f>
        <v/>
      </c>
      <c r="U199" s="241">
        <f>IF(S199="","",COUNTIFS(rCom,S199,rTipoE,"Gasto",rFecha,"&gt;="&amp;pIni,rFecha,"&lt;="&amp;pFin,rCat,critCat,rCtaE,critCta))</f>
        <v/>
      </c>
      <c r="V199" s="241">
        <f>IF(S199="",-1E+12-193,N(T199)+(301-193)/1E+7)</f>
        <v/>
      </c>
      <c r="W199" s="241">
        <f>IF(S199="","",SUMIFS(rGasto,rCom,S199,rHorm,1,rFecha,"&gt;="&amp;pIni,rFecha,"&lt;="&amp;pFin))</f>
        <v/>
      </c>
      <c r="X199" s="241">
        <f>IF(S199="","",COUNTIFS(rCom,S199,rHorm,1,rFecha,"&gt;="&amp;pIni,rFecha,"&lt;="&amp;pFin))</f>
        <v/>
      </c>
      <c r="Y199" s="241">
        <f>IF(S199="",-1E+12-193,N(W199)+(301-193)/1E+7)</f>
        <v/>
      </c>
      <c r="BG199" s="241" t="n">
        <v>193</v>
      </c>
      <c r="BH199" s="246">
        <f>IF(calIni+192&lt;=pFinEff,calIni+192,"")</f>
        <v/>
      </c>
      <c r="BI199" s="241">
        <f>IF(BH199="","",WEEKDAY(BH199,2))</f>
        <v/>
      </c>
      <c r="BJ199" s="241">
        <f>IF(BH199="","",SUMIFS(rGasto,rFecha,BH199,rGrupo,"?*"))</f>
        <v/>
      </c>
      <c r="BK199" s="241">
        <f>IF(BH199="","",SUMIFS(rGasto,rFecha,BH199,rGrupo,gCP))</f>
        <v/>
      </c>
      <c r="BL199" s="241">
        <f>IF(BH199="",-1E+12-193,N(BJ199)+(400-193)/1E+7)</f>
        <v/>
      </c>
    </row>
    <row r="200">
      <c r="K200" s="241">
        <f>INDEX(catCat,194)&amp;""</f>
        <v/>
      </c>
      <c r="L200" s="241">
        <f>INDEX(catSub,194)&amp;""</f>
        <v/>
      </c>
      <c r="M200" s="241">
        <f>IF(OR(K200="",L200="",INDEX(catTipo,194)&amp;""&lt;&gt;"Gasto"),"",IF(AND(critCat&lt;&gt;"&lt;&gt;@@@",K200&lt;&gt;critCat),0,SUMIFS(rGasto,rCat,K200,rSub,L200,rFecha,"&gt;="&amp;pIni,rFecha,"&lt;="&amp;pFin,rCtaE,critCta)))</f>
        <v/>
      </c>
      <c r="N200" s="241">
        <f>IF(M200="","",IF(AND(critCat&lt;&gt;"&lt;&gt;@@@",K200&lt;&gt;critCat),0,COUNTIFS(rCat,K200,rSub,L200,rTipoE,"Gasto",rFecha,"&gt;="&amp;pIni,rFecha,"&lt;="&amp;pFin,rCtaE,critCta)))</f>
        <v/>
      </c>
      <c r="O200" s="241">
        <f>IF(M200="",-1E+12-194,N(M200)+(201-194)/1E+7)</f>
        <v/>
      </c>
      <c r="P200" s="241">
        <f>L200&amp;" · "&amp;K200</f>
        <v/>
      </c>
      <c r="R200" s="241" t="n">
        <v>194</v>
      </c>
      <c r="S200" s="241">
        <f>IFERROR(INDEX(rCom,MATCH(194,rComIdx,0))&amp;"","")</f>
        <v/>
      </c>
      <c r="T200" s="241">
        <f>IF(S200="","",SUMIFS(rGasto,rCom,S200,rFecha,"&gt;="&amp;pIni,rFecha,"&lt;="&amp;pFin,rCat,critCat,rCtaE,critCta))</f>
        <v/>
      </c>
      <c r="U200" s="241">
        <f>IF(S200="","",COUNTIFS(rCom,S200,rTipoE,"Gasto",rFecha,"&gt;="&amp;pIni,rFecha,"&lt;="&amp;pFin,rCat,critCat,rCtaE,critCta))</f>
        <v/>
      </c>
      <c r="V200" s="241">
        <f>IF(S200="",-1E+12-194,N(T200)+(301-194)/1E+7)</f>
        <v/>
      </c>
      <c r="W200" s="241">
        <f>IF(S200="","",SUMIFS(rGasto,rCom,S200,rHorm,1,rFecha,"&gt;="&amp;pIni,rFecha,"&lt;="&amp;pFin))</f>
        <v/>
      </c>
      <c r="X200" s="241">
        <f>IF(S200="","",COUNTIFS(rCom,S200,rHorm,1,rFecha,"&gt;="&amp;pIni,rFecha,"&lt;="&amp;pFin))</f>
        <v/>
      </c>
      <c r="Y200" s="241">
        <f>IF(S200="",-1E+12-194,N(W200)+(301-194)/1E+7)</f>
        <v/>
      </c>
      <c r="BG200" s="241" t="n">
        <v>194</v>
      </c>
      <c r="BH200" s="246">
        <f>IF(calIni+193&lt;=pFinEff,calIni+193,"")</f>
        <v/>
      </c>
      <c r="BI200" s="241">
        <f>IF(BH200="","",WEEKDAY(BH200,2))</f>
        <v/>
      </c>
      <c r="BJ200" s="241">
        <f>IF(BH200="","",SUMIFS(rGasto,rFecha,BH200,rGrupo,"?*"))</f>
        <v/>
      </c>
      <c r="BK200" s="241">
        <f>IF(BH200="","",SUMIFS(rGasto,rFecha,BH200,rGrupo,gCP))</f>
        <v/>
      </c>
      <c r="BL200" s="241">
        <f>IF(BH200="",-1E+12-194,N(BJ200)+(400-194)/1E+7)</f>
        <v/>
      </c>
    </row>
    <row r="201">
      <c r="K201" s="241">
        <f>INDEX(catCat,195)&amp;""</f>
        <v/>
      </c>
      <c r="L201" s="241">
        <f>INDEX(catSub,195)&amp;""</f>
        <v/>
      </c>
      <c r="M201" s="241">
        <f>IF(OR(K201="",L201="",INDEX(catTipo,195)&amp;""&lt;&gt;"Gasto"),"",IF(AND(critCat&lt;&gt;"&lt;&gt;@@@",K201&lt;&gt;critCat),0,SUMIFS(rGasto,rCat,K201,rSub,L201,rFecha,"&gt;="&amp;pIni,rFecha,"&lt;="&amp;pFin,rCtaE,critCta)))</f>
        <v/>
      </c>
      <c r="N201" s="241">
        <f>IF(M201="","",IF(AND(critCat&lt;&gt;"&lt;&gt;@@@",K201&lt;&gt;critCat),0,COUNTIFS(rCat,K201,rSub,L201,rTipoE,"Gasto",rFecha,"&gt;="&amp;pIni,rFecha,"&lt;="&amp;pFin,rCtaE,critCta)))</f>
        <v/>
      </c>
      <c r="O201" s="241">
        <f>IF(M201="",-1E+12-195,N(M201)+(201-195)/1E+7)</f>
        <v/>
      </c>
      <c r="P201" s="241">
        <f>L201&amp;" · "&amp;K201</f>
        <v/>
      </c>
      <c r="R201" s="241" t="n">
        <v>195</v>
      </c>
      <c r="S201" s="241">
        <f>IFERROR(INDEX(rCom,MATCH(195,rComIdx,0))&amp;"","")</f>
        <v/>
      </c>
      <c r="T201" s="241">
        <f>IF(S201="","",SUMIFS(rGasto,rCom,S201,rFecha,"&gt;="&amp;pIni,rFecha,"&lt;="&amp;pFin,rCat,critCat,rCtaE,critCta))</f>
        <v/>
      </c>
      <c r="U201" s="241">
        <f>IF(S201="","",COUNTIFS(rCom,S201,rTipoE,"Gasto",rFecha,"&gt;="&amp;pIni,rFecha,"&lt;="&amp;pFin,rCat,critCat,rCtaE,critCta))</f>
        <v/>
      </c>
      <c r="V201" s="241">
        <f>IF(S201="",-1E+12-195,N(T201)+(301-195)/1E+7)</f>
        <v/>
      </c>
      <c r="W201" s="241">
        <f>IF(S201="","",SUMIFS(rGasto,rCom,S201,rHorm,1,rFecha,"&gt;="&amp;pIni,rFecha,"&lt;="&amp;pFin))</f>
        <v/>
      </c>
      <c r="X201" s="241">
        <f>IF(S201="","",COUNTIFS(rCom,S201,rHorm,1,rFecha,"&gt;="&amp;pIni,rFecha,"&lt;="&amp;pFin))</f>
        <v/>
      </c>
      <c r="Y201" s="241">
        <f>IF(S201="",-1E+12-195,N(W201)+(301-195)/1E+7)</f>
        <v/>
      </c>
      <c r="BG201" s="241" t="n">
        <v>195</v>
      </c>
      <c r="BH201" s="246">
        <f>IF(calIni+194&lt;=pFinEff,calIni+194,"")</f>
        <v/>
      </c>
      <c r="BI201" s="241">
        <f>IF(BH201="","",WEEKDAY(BH201,2))</f>
        <v/>
      </c>
      <c r="BJ201" s="241">
        <f>IF(BH201="","",SUMIFS(rGasto,rFecha,BH201,rGrupo,"?*"))</f>
        <v/>
      </c>
      <c r="BK201" s="241">
        <f>IF(BH201="","",SUMIFS(rGasto,rFecha,BH201,rGrupo,gCP))</f>
        <v/>
      </c>
      <c r="BL201" s="241">
        <f>IF(BH201="",-1E+12-195,N(BJ201)+(400-195)/1E+7)</f>
        <v/>
      </c>
    </row>
    <row r="202">
      <c r="K202" s="241">
        <f>INDEX(catCat,196)&amp;""</f>
        <v/>
      </c>
      <c r="L202" s="241">
        <f>INDEX(catSub,196)&amp;""</f>
        <v/>
      </c>
      <c r="M202" s="241">
        <f>IF(OR(K202="",L202="",INDEX(catTipo,196)&amp;""&lt;&gt;"Gasto"),"",IF(AND(critCat&lt;&gt;"&lt;&gt;@@@",K202&lt;&gt;critCat),0,SUMIFS(rGasto,rCat,K202,rSub,L202,rFecha,"&gt;="&amp;pIni,rFecha,"&lt;="&amp;pFin,rCtaE,critCta)))</f>
        <v/>
      </c>
      <c r="N202" s="241">
        <f>IF(M202="","",IF(AND(critCat&lt;&gt;"&lt;&gt;@@@",K202&lt;&gt;critCat),0,COUNTIFS(rCat,K202,rSub,L202,rTipoE,"Gasto",rFecha,"&gt;="&amp;pIni,rFecha,"&lt;="&amp;pFin,rCtaE,critCta)))</f>
        <v/>
      </c>
      <c r="O202" s="241">
        <f>IF(M202="",-1E+12-196,N(M202)+(201-196)/1E+7)</f>
        <v/>
      </c>
      <c r="P202" s="241">
        <f>L202&amp;" · "&amp;K202</f>
        <v/>
      </c>
      <c r="R202" s="241" t="n">
        <v>196</v>
      </c>
      <c r="S202" s="241">
        <f>IFERROR(INDEX(rCom,MATCH(196,rComIdx,0))&amp;"","")</f>
        <v/>
      </c>
      <c r="T202" s="241">
        <f>IF(S202="","",SUMIFS(rGasto,rCom,S202,rFecha,"&gt;="&amp;pIni,rFecha,"&lt;="&amp;pFin,rCat,critCat,rCtaE,critCta))</f>
        <v/>
      </c>
      <c r="U202" s="241">
        <f>IF(S202="","",COUNTIFS(rCom,S202,rTipoE,"Gasto",rFecha,"&gt;="&amp;pIni,rFecha,"&lt;="&amp;pFin,rCat,critCat,rCtaE,critCta))</f>
        <v/>
      </c>
      <c r="V202" s="241">
        <f>IF(S202="",-1E+12-196,N(T202)+(301-196)/1E+7)</f>
        <v/>
      </c>
      <c r="W202" s="241">
        <f>IF(S202="","",SUMIFS(rGasto,rCom,S202,rHorm,1,rFecha,"&gt;="&amp;pIni,rFecha,"&lt;="&amp;pFin))</f>
        <v/>
      </c>
      <c r="X202" s="241">
        <f>IF(S202="","",COUNTIFS(rCom,S202,rHorm,1,rFecha,"&gt;="&amp;pIni,rFecha,"&lt;="&amp;pFin))</f>
        <v/>
      </c>
      <c r="Y202" s="241">
        <f>IF(S202="",-1E+12-196,N(W202)+(301-196)/1E+7)</f>
        <v/>
      </c>
      <c r="BG202" s="241" t="n">
        <v>196</v>
      </c>
      <c r="BH202" s="246">
        <f>IF(calIni+195&lt;=pFinEff,calIni+195,"")</f>
        <v/>
      </c>
      <c r="BI202" s="241">
        <f>IF(BH202="","",WEEKDAY(BH202,2))</f>
        <v/>
      </c>
      <c r="BJ202" s="241">
        <f>IF(BH202="","",SUMIFS(rGasto,rFecha,BH202,rGrupo,"?*"))</f>
        <v/>
      </c>
      <c r="BK202" s="241">
        <f>IF(BH202="","",SUMIFS(rGasto,rFecha,BH202,rGrupo,gCP))</f>
        <v/>
      </c>
      <c r="BL202" s="241">
        <f>IF(BH202="",-1E+12-196,N(BJ202)+(400-196)/1E+7)</f>
        <v/>
      </c>
    </row>
    <row r="203">
      <c r="K203" s="241">
        <f>INDEX(catCat,197)&amp;""</f>
        <v/>
      </c>
      <c r="L203" s="241">
        <f>INDEX(catSub,197)&amp;""</f>
        <v/>
      </c>
      <c r="M203" s="241">
        <f>IF(OR(K203="",L203="",INDEX(catTipo,197)&amp;""&lt;&gt;"Gasto"),"",IF(AND(critCat&lt;&gt;"&lt;&gt;@@@",K203&lt;&gt;critCat),0,SUMIFS(rGasto,rCat,K203,rSub,L203,rFecha,"&gt;="&amp;pIni,rFecha,"&lt;="&amp;pFin,rCtaE,critCta)))</f>
        <v/>
      </c>
      <c r="N203" s="241">
        <f>IF(M203="","",IF(AND(critCat&lt;&gt;"&lt;&gt;@@@",K203&lt;&gt;critCat),0,COUNTIFS(rCat,K203,rSub,L203,rTipoE,"Gasto",rFecha,"&gt;="&amp;pIni,rFecha,"&lt;="&amp;pFin,rCtaE,critCta)))</f>
        <v/>
      </c>
      <c r="O203" s="241">
        <f>IF(M203="",-1E+12-197,N(M203)+(201-197)/1E+7)</f>
        <v/>
      </c>
      <c r="P203" s="241">
        <f>L203&amp;" · "&amp;K203</f>
        <v/>
      </c>
      <c r="R203" s="241" t="n">
        <v>197</v>
      </c>
      <c r="S203" s="241">
        <f>IFERROR(INDEX(rCom,MATCH(197,rComIdx,0))&amp;"","")</f>
        <v/>
      </c>
      <c r="T203" s="241">
        <f>IF(S203="","",SUMIFS(rGasto,rCom,S203,rFecha,"&gt;="&amp;pIni,rFecha,"&lt;="&amp;pFin,rCat,critCat,rCtaE,critCta))</f>
        <v/>
      </c>
      <c r="U203" s="241">
        <f>IF(S203="","",COUNTIFS(rCom,S203,rTipoE,"Gasto",rFecha,"&gt;="&amp;pIni,rFecha,"&lt;="&amp;pFin,rCat,critCat,rCtaE,critCta))</f>
        <v/>
      </c>
      <c r="V203" s="241">
        <f>IF(S203="",-1E+12-197,N(T203)+(301-197)/1E+7)</f>
        <v/>
      </c>
      <c r="W203" s="241">
        <f>IF(S203="","",SUMIFS(rGasto,rCom,S203,rHorm,1,rFecha,"&gt;="&amp;pIni,rFecha,"&lt;="&amp;pFin))</f>
        <v/>
      </c>
      <c r="X203" s="241">
        <f>IF(S203="","",COUNTIFS(rCom,S203,rHorm,1,rFecha,"&gt;="&amp;pIni,rFecha,"&lt;="&amp;pFin))</f>
        <v/>
      </c>
      <c r="Y203" s="241">
        <f>IF(S203="",-1E+12-197,N(W203)+(301-197)/1E+7)</f>
        <v/>
      </c>
      <c r="BG203" s="241" t="n">
        <v>197</v>
      </c>
      <c r="BH203" s="246">
        <f>IF(calIni+196&lt;=pFinEff,calIni+196,"")</f>
        <v/>
      </c>
      <c r="BI203" s="241">
        <f>IF(BH203="","",WEEKDAY(BH203,2))</f>
        <v/>
      </c>
      <c r="BJ203" s="241">
        <f>IF(BH203="","",SUMIFS(rGasto,rFecha,BH203,rGrupo,"?*"))</f>
        <v/>
      </c>
      <c r="BK203" s="241">
        <f>IF(BH203="","",SUMIFS(rGasto,rFecha,BH203,rGrupo,gCP))</f>
        <v/>
      </c>
      <c r="BL203" s="241">
        <f>IF(BH203="",-1E+12-197,N(BJ203)+(400-197)/1E+7)</f>
        <v/>
      </c>
    </row>
    <row r="204">
      <c r="K204" s="241">
        <f>INDEX(catCat,198)&amp;""</f>
        <v/>
      </c>
      <c r="L204" s="241">
        <f>INDEX(catSub,198)&amp;""</f>
        <v/>
      </c>
      <c r="M204" s="241">
        <f>IF(OR(K204="",L204="",INDEX(catTipo,198)&amp;""&lt;&gt;"Gasto"),"",IF(AND(critCat&lt;&gt;"&lt;&gt;@@@",K204&lt;&gt;critCat),0,SUMIFS(rGasto,rCat,K204,rSub,L204,rFecha,"&gt;="&amp;pIni,rFecha,"&lt;="&amp;pFin,rCtaE,critCta)))</f>
        <v/>
      </c>
      <c r="N204" s="241">
        <f>IF(M204="","",IF(AND(critCat&lt;&gt;"&lt;&gt;@@@",K204&lt;&gt;critCat),0,COUNTIFS(rCat,K204,rSub,L204,rTipoE,"Gasto",rFecha,"&gt;="&amp;pIni,rFecha,"&lt;="&amp;pFin,rCtaE,critCta)))</f>
        <v/>
      </c>
      <c r="O204" s="241">
        <f>IF(M204="",-1E+12-198,N(M204)+(201-198)/1E+7)</f>
        <v/>
      </c>
      <c r="P204" s="241">
        <f>L204&amp;" · "&amp;K204</f>
        <v/>
      </c>
      <c r="R204" s="241" t="n">
        <v>198</v>
      </c>
      <c r="S204" s="241">
        <f>IFERROR(INDEX(rCom,MATCH(198,rComIdx,0))&amp;"","")</f>
        <v/>
      </c>
      <c r="T204" s="241">
        <f>IF(S204="","",SUMIFS(rGasto,rCom,S204,rFecha,"&gt;="&amp;pIni,rFecha,"&lt;="&amp;pFin,rCat,critCat,rCtaE,critCta))</f>
        <v/>
      </c>
      <c r="U204" s="241">
        <f>IF(S204="","",COUNTIFS(rCom,S204,rTipoE,"Gasto",rFecha,"&gt;="&amp;pIni,rFecha,"&lt;="&amp;pFin,rCat,critCat,rCtaE,critCta))</f>
        <v/>
      </c>
      <c r="V204" s="241">
        <f>IF(S204="",-1E+12-198,N(T204)+(301-198)/1E+7)</f>
        <v/>
      </c>
      <c r="W204" s="241">
        <f>IF(S204="","",SUMIFS(rGasto,rCom,S204,rHorm,1,rFecha,"&gt;="&amp;pIni,rFecha,"&lt;="&amp;pFin))</f>
        <v/>
      </c>
      <c r="X204" s="241">
        <f>IF(S204="","",COUNTIFS(rCom,S204,rHorm,1,rFecha,"&gt;="&amp;pIni,rFecha,"&lt;="&amp;pFin))</f>
        <v/>
      </c>
      <c r="Y204" s="241">
        <f>IF(S204="",-1E+12-198,N(W204)+(301-198)/1E+7)</f>
        <v/>
      </c>
      <c r="BG204" s="241" t="n">
        <v>198</v>
      </c>
      <c r="BH204" s="246">
        <f>IF(calIni+197&lt;=pFinEff,calIni+197,"")</f>
        <v/>
      </c>
      <c r="BI204" s="241">
        <f>IF(BH204="","",WEEKDAY(BH204,2))</f>
        <v/>
      </c>
      <c r="BJ204" s="241">
        <f>IF(BH204="","",SUMIFS(rGasto,rFecha,BH204,rGrupo,"?*"))</f>
        <v/>
      </c>
      <c r="BK204" s="241">
        <f>IF(BH204="","",SUMIFS(rGasto,rFecha,BH204,rGrupo,gCP))</f>
        <v/>
      </c>
      <c r="BL204" s="241">
        <f>IF(BH204="",-1E+12-198,N(BJ204)+(400-198)/1E+7)</f>
        <v/>
      </c>
    </row>
    <row r="205">
      <c r="K205" s="241">
        <f>INDEX(catCat,199)&amp;""</f>
        <v/>
      </c>
      <c r="L205" s="241">
        <f>INDEX(catSub,199)&amp;""</f>
        <v/>
      </c>
      <c r="M205" s="241">
        <f>IF(OR(K205="",L205="",INDEX(catTipo,199)&amp;""&lt;&gt;"Gasto"),"",IF(AND(critCat&lt;&gt;"&lt;&gt;@@@",K205&lt;&gt;critCat),0,SUMIFS(rGasto,rCat,K205,rSub,L205,rFecha,"&gt;="&amp;pIni,rFecha,"&lt;="&amp;pFin,rCtaE,critCta)))</f>
        <v/>
      </c>
      <c r="N205" s="241">
        <f>IF(M205="","",IF(AND(critCat&lt;&gt;"&lt;&gt;@@@",K205&lt;&gt;critCat),0,COUNTIFS(rCat,K205,rSub,L205,rTipoE,"Gasto",rFecha,"&gt;="&amp;pIni,rFecha,"&lt;="&amp;pFin,rCtaE,critCta)))</f>
        <v/>
      </c>
      <c r="O205" s="241">
        <f>IF(M205="",-1E+12-199,N(M205)+(201-199)/1E+7)</f>
        <v/>
      </c>
      <c r="P205" s="241">
        <f>L205&amp;" · "&amp;K205</f>
        <v/>
      </c>
      <c r="R205" s="241" t="n">
        <v>199</v>
      </c>
      <c r="S205" s="241">
        <f>IFERROR(INDEX(rCom,MATCH(199,rComIdx,0))&amp;"","")</f>
        <v/>
      </c>
      <c r="T205" s="241">
        <f>IF(S205="","",SUMIFS(rGasto,rCom,S205,rFecha,"&gt;="&amp;pIni,rFecha,"&lt;="&amp;pFin,rCat,critCat,rCtaE,critCta))</f>
        <v/>
      </c>
      <c r="U205" s="241">
        <f>IF(S205="","",COUNTIFS(rCom,S205,rTipoE,"Gasto",rFecha,"&gt;="&amp;pIni,rFecha,"&lt;="&amp;pFin,rCat,critCat,rCtaE,critCta))</f>
        <v/>
      </c>
      <c r="V205" s="241">
        <f>IF(S205="",-1E+12-199,N(T205)+(301-199)/1E+7)</f>
        <v/>
      </c>
      <c r="W205" s="241">
        <f>IF(S205="","",SUMIFS(rGasto,rCom,S205,rHorm,1,rFecha,"&gt;="&amp;pIni,rFecha,"&lt;="&amp;pFin))</f>
        <v/>
      </c>
      <c r="X205" s="241">
        <f>IF(S205="","",COUNTIFS(rCom,S205,rHorm,1,rFecha,"&gt;="&amp;pIni,rFecha,"&lt;="&amp;pFin))</f>
        <v/>
      </c>
      <c r="Y205" s="241">
        <f>IF(S205="",-1E+12-199,N(W205)+(301-199)/1E+7)</f>
        <v/>
      </c>
      <c r="BG205" s="241" t="n">
        <v>199</v>
      </c>
      <c r="BH205" s="246">
        <f>IF(calIni+198&lt;=pFinEff,calIni+198,"")</f>
        <v/>
      </c>
      <c r="BI205" s="241">
        <f>IF(BH205="","",WEEKDAY(BH205,2))</f>
        <v/>
      </c>
      <c r="BJ205" s="241">
        <f>IF(BH205="","",SUMIFS(rGasto,rFecha,BH205,rGrupo,"?*"))</f>
        <v/>
      </c>
      <c r="BK205" s="241">
        <f>IF(BH205="","",SUMIFS(rGasto,rFecha,BH205,rGrupo,gCP))</f>
        <v/>
      </c>
      <c r="BL205" s="241">
        <f>IF(BH205="",-1E+12-199,N(BJ205)+(400-199)/1E+7)</f>
        <v/>
      </c>
    </row>
    <row r="206">
      <c r="K206" s="241">
        <f>INDEX(catCat,200)&amp;""</f>
        <v/>
      </c>
      <c r="L206" s="241">
        <f>INDEX(catSub,200)&amp;""</f>
        <v/>
      </c>
      <c r="M206" s="241">
        <f>IF(OR(K206="",L206="",INDEX(catTipo,200)&amp;""&lt;&gt;"Gasto"),"",IF(AND(critCat&lt;&gt;"&lt;&gt;@@@",K206&lt;&gt;critCat),0,SUMIFS(rGasto,rCat,K206,rSub,L206,rFecha,"&gt;="&amp;pIni,rFecha,"&lt;="&amp;pFin,rCtaE,critCta)))</f>
        <v/>
      </c>
      <c r="N206" s="241">
        <f>IF(M206="","",IF(AND(critCat&lt;&gt;"&lt;&gt;@@@",K206&lt;&gt;critCat),0,COUNTIFS(rCat,K206,rSub,L206,rTipoE,"Gasto",rFecha,"&gt;="&amp;pIni,rFecha,"&lt;="&amp;pFin,rCtaE,critCta)))</f>
        <v/>
      </c>
      <c r="O206" s="241">
        <f>IF(M206="",-1E+12-200,N(M206)+(201-200)/1E+7)</f>
        <v/>
      </c>
      <c r="P206" s="241">
        <f>L206&amp;" · "&amp;K206</f>
        <v/>
      </c>
      <c r="R206" s="241" t="n">
        <v>200</v>
      </c>
      <c r="S206" s="241">
        <f>IFERROR(INDEX(rCom,MATCH(200,rComIdx,0))&amp;"","")</f>
        <v/>
      </c>
      <c r="T206" s="241">
        <f>IF(S206="","",SUMIFS(rGasto,rCom,S206,rFecha,"&gt;="&amp;pIni,rFecha,"&lt;="&amp;pFin,rCat,critCat,rCtaE,critCta))</f>
        <v/>
      </c>
      <c r="U206" s="241">
        <f>IF(S206="","",COUNTIFS(rCom,S206,rTipoE,"Gasto",rFecha,"&gt;="&amp;pIni,rFecha,"&lt;="&amp;pFin,rCat,critCat,rCtaE,critCta))</f>
        <v/>
      </c>
      <c r="V206" s="241">
        <f>IF(S206="",-1E+12-200,N(T206)+(301-200)/1E+7)</f>
        <v/>
      </c>
      <c r="W206" s="241">
        <f>IF(S206="","",SUMIFS(rGasto,rCom,S206,rHorm,1,rFecha,"&gt;="&amp;pIni,rFecha,"&lt;="&amp;pFin))</f>
        <v/>
      </c>
      <c r="X206" s="241">
        <f>IF(S206="","",COUNTIFS(rCom,S206,rHorm,1,rFecha,"&gt;="&amp;pIni,rFecha,"&lt;="&amp;pFin))</f>
        <v/>
      </c>
      <c r="Y206" s="241">
        <f>IF(S206="",-1E+12-200,N(W206)+(301-200)/1E+7)</f>
        <v/>
      </c>
      <c r="BG206" s="241" t="n">
        <v>200</v>
      </c>
      <c r="BH206" s="246">
        <f>IF(calIni+199&lt;=pFinEff,calIni+199,"")</f>
        <v/>
      </c>
      <c r="BI206" s="241">
        <f>IF(BH206="","",WEEKDAY(BH206,2))</f>
        <v/>
      </c>
      <c r="BJ206" s="241">
        <f>IF(BH206="","",SUMIFS(rGasto,rFecha,BH206,rGrupo,"?*"))</f>
        <v/>
      </c>
      <c r="BK206" s="241">
        <f>IF(BH206="","",SUMIFS(rGasto,rFecha,BH206,rGrupo,gCP))</f>
        <v/>
      </c>
      <c r="BL206" s="241">
        <f>IF(BH206="",-1E+12-200,N(BJ206)+(400-200)/1E+7)</f>
        <v/>
      </c>
    </row>
    <row r="207">
      <c r="R207" s="241" t="n">
        <v>201</v>
      </c>
      <c r="S207" s="241">
        <f>IFERROR(INDEX(rCom,MATCH(201,rComIdx,0))&amp;"","")</f>
        <v/>
      </c>
      <c r="T207" s="241">
        <f>IF(S207="","",SUMIFS(rGasto,rCom,S207,rFecha,"&gt;="&amp;pIni,rFecha,"&lt;="&amp;pFin,rCat,critCat,rCtaE,critCta))</f>
        <v/>
      </c>
      <c r="U207" s="241">
        <f>IF(S207="","",COUNTIFS(rCom,S207,rTipoE,"Gasto",rFecha,"&gt;="&amp;pIni,rFecha,"&lt;="&amp;pFin,rCat,critCat,rCtaE,critCta))</f>
        <v/>
      </c>
      <c r="V207" s="241">
        <f>IF(S207="",-1E+12-201,N(T207)+(301-201)/1E+7)</f>
        <v/>
      </c>
      <c r="W207" s="241">
        <f>IF(S207="","",SUMIFS(rGasto,rCom,S207,rHorm,1,rFecha,"&gt;="&amp;pIni,rFecha,"&lt;="&amp;pFin))</f>
        <v/>
      </c>
      <c r="X207" s="241">
        <f>IF(S207="","",COUNTIFS(rCom,S207,rHorm,1,rFecha,"&gt;="&amp;pIni,rFecha,"&lt;="&amp;pFin))</f>
        <v/>
      </c>
      <c r="Y207" s="241">
        <f>IF(S207="",-1E+12-201,N(W207)+(301-201)/1E+7)</f>
        <v/>
      </c>
      <c r="BG207" s="241" t="n">
        <v>201</v>
      </c>
      <c r="BH207" s="246">
        <f>IF(calIni+200&lt;=pFinEff,calIni+200,"")</f>
        <v/>
      </c>
      <c r="BI207" s="241">
        <f>IF(BH207="","",WEEKDAY(BH207,2))</f>
        <v/>
      </c>
      <c r="BJ207" s="241">
        <f>IF(BH207="","",SUMIFS(rGasto,rFecha,BH207,rGrupo,"?*"))</f>
        <v/>
      </c>
      <c r="BK207" s="241">
        <f>IF(BH207="","",SUMIFS(rGasto,rFecha,BH207,rGrupo,gCP))</f>
        <v/>
      </c>
      <c r="BL207" s="241">
        <f>IF(BH207="",-1E+12-201,N(BJ207)+(400-201)/1E+7)</f>
        <v/>
      </c>
    </row>
    <row r="208">
      <c r="R208" s="241" t="n">
        <v>202</v>
      </c>
      <c r="S208" s="241">
        <f>IFERROR(INDEX(rCom,MATCH(202,rComIdx,0))&amp;"","")</f>
        <v/>
      </c>
      <c r="T208" s="241">
        <f>IF(S208="","",SUMIFS(rGasto,rCom,S208,rFecha,"&gt;="&amp;pIni,rFecha,"&lt;="&amp;pFin,rCat,critCat,rCtaE,critCta))</f>
        <v/>
      </c>
      <c r="U208" s="241">
        <f>IF(S208="","",COUNTIFS(rCom,S208,rTipoE,"Gasto",rFecha,"&gt;="&amp;pIni,rFecha,"&lt;="&amp;pFin,rCat,critCat,rCtaE,critCta))</f>
        <v/>
      </c>
      <c r="V208" s="241">
        <f>IF(S208="",-1E+12-202,N(T208)+(301-202)/1E+7)</f>
        <v/>
      </c>
      <c r="W208" s="241">
        <f>IF(S208="","",SUMIFS(rGasto,rCom,S208,rHorm,1,rFecha,"&gt;="&amp;pIni,rFecha,"&lt;="&amp;pFin))</f>
        <v/>
      </c>
      <c r="X208" s="241">
        <f>IF(S208="","",COUNTIFS(rCom,S208,rHorm,1,rFecha,"&gt;="&amp;pIni,rFecha,"&lt;="&amp;pFin))</f>
        <v/>
      </c>
      <c r="Y208" s="241">
        <f>IF(S208="",-1E+12-202,N(W208)+(301-202)/1E+7)</f>
        <v/>
      </c>
      <c r="BG208" s="241" t="n">
        <v>202</v>
      </c>
      <c r="BH208" s="246">
        <f>IF(calIni+201&lt;=pFinEff,calIni+201,"")</f>
        <v/>
      </c>
      <c r="BI208" s="241">
        <f>IF(BH208="","",WEEKDAY(BH208,2))</f>
        <v/>
      </c>
      <c r="BJ208" s="241">
        <f>IF(BH208="","",SUMIFS(rGasto,rFecha,BH208,rGrupo,"?*"))</f>
        <v/>
      </c>
      <c r="BK208" s="241">
        <f>IF(BH208="","",SUMIFS(rGasto,rFecha,BH208,rGrupo,gCP))</f>
        <v/>
      </c>
      <c r="BL208" s="241">
        <f>IF(BH208="",-1E+12-202,N(BJ208)+(400-202)/1E+7)</f>
        <v/>
      </c>
    </row>
    <row r="209">
      <c r="R209" s="241" t="n">
        <v>203</v>
      </c>
      <c r="S209" s="241">
        <f>IFERROR(INDEX(rCom,MATCH(203,rComIdx,0))&amp;"","")</f>
        <v/>
      </c>
      <c r="T209" s="241">
        <f>IF(S209="","",SUMIFS(rGasto,rCom,S209,rFecha,"&gt;="&amp;pIni,rFecha,"&lt;="&amp;pFin,rCat,critCat,rCtaE,critCta))</f>
        <v/>
      </c>
      <c r="U209" s="241">
        <f>IF(S209="","",COUNTIFS(rCom,S209,rTipoE,"Gasto",rFecha,"&gt;="&amp;pIni,rFecha,"&lt;="&amp;pFin,rCat,critCat,rCtaE,critCta))</f>
        <v/>
      </c>
      <c r="V209" s="241">
        <f>IF(S209="",-1E+12-203,N(T209)+(301-203)/1E+7)</f>
        <v/>
      </c>
      <c r="W209" s="241">
        <f>IF(S209="","",SUMIFS(rGasto,rCom,S209,rHorm,1,rFecha,"&gt;="&amp;pIni,rFecha,"&lt;="&amp;pFin))</f>
        <v/>
      </c>
      <c r="X209" s="241">
        <f>IF(S209="","",COUNTIFS(rCom,S209,rHorm,1,rFecha,"&gt;="&amp;pIni,rFecha,"&lt;="&amp;pFin))</f>
        <v/>
      </c>
      <c r="Y209" s="241">
        <f>IF(S209="",-1E+12-203,N(W209)+(301-203)/1E+7)</f>
        <v/>
      </c>
      <c r="BG209" s="241" t="n">
        <v>203</v>
      </c>
      <c r="BH209" s="246">
        <f>IF(calIni+202&lt;=pFinEff,calIni+202,"")</f>
        <v/>
      </c>
      <c r="BI209" s="241">
        <f>IF(BH209="","",WEEKDAY(BH209,2))</f>
        <v/>
      </c>
      <c r="BJ209" s="241">
        <f>IF(BH209="","",SUMIFS(rGasto,rFecha,BH209,rGrupo,"?*"))</f>
        <v/>
      </c>
      <c r="BK209" s="241">
        <f>IF(BH209="","",SUMIFS(rGasto,rFecha,BH209,rGrupo,gCP))</f>
        <v/>
      </c>
      <c r="BL209" s="241">
        <f>IF(BH209="",-1E+12-203,N(BJ209)+(400-203)/1E+7)</f>
        <v/>
      </c>
    </row>
    <row r="210">
      <c r="R210" s="241" t="n">
        <v>204</v>
      </c>
      <c r="S210" s="241">
        <f>IFERROR(INDEX(rCom,MATCH(204,rComIdx,0))&amp;"","")</f>
        <v/>
      </c>
      <c r="T210" s="241">
        <f>IF(S210="","",SUMIFS(rGasto,rCom,S210,rFecha,"&gt;="&amp;pIni,rFecha,"&lt;="&amp;pFin,rCat,critCat,rCtaE,critCta))</f>
        <v/>
      </c>
      <c r="U210" s="241">
        <f>IF(S210="","",COUNTIFS(rCom,S210,rTipoE,"Gasto",rFecha,"&gt;="&amp;pIni,rFecha,"&lt;="&amp;pFin,rCat,critCat,rCtaE,critCta))</f>
        <v/>
      </c>
      <c r="V210" s="241">
        <f>IF(S210="",-1E+12-204,N(T210)+(301-204)/1E+7)</f>
        <v/>
      </c>
      <c r="W210" s="241">
        <f>IF(S210="","",SUMIFS(rGasto,rCom,S210,rHorm,1,rFecha,"&gt;="&amp;pIni,rFecha,"&lt;="&amp;pFin))</f>
        <v/>
      </c>
      <c r="X210" s="241">
        <f>IF(S210="","",COUNTIFS(rCom,S210,rHorm,1,rFecha,"&gt;="&amp;pIni,rFecha,"&lt;="&amp;pFin))</f>
        <v/>
      </c>
      <c r="Y210" s="241">
        <f>IF(S210="",-1E+12-204,N(W210)+(301-204)/1E+7)</f>
        <v/>
      </c>
      <c r="BG210" s="241" t="n">
        <v>204</v>
      </c>
      <c r="BH210" s="246">
        <f>IF(calIni+203&lt;=pFinEff,calIni+203,"")</f>
        <v/>
      </c>
      <c r="BI210" s="241">
        <f>IF(BH210="","",WEEKDAY(BH210,2))</f>
        <v/>
      </c>
      <c r="BJ210" s="241">
        <f>IF(BH210="","",SUMIFS(rGasto,rFecha,BH210,rGrupo,"?*"))</f>
        <v/>
      </c>
      <c r="BK210" s="241">
        <f>IF(BH210="","",SUMIFS(rGasto,rFecha,BH210,rGrupo,gCP))</f>
        <v/>
      </c>
      <c r="BL210" s="241">
        <f>IF(BH210="",-1E+12-204,N(BJ210)+(400-204)/1E+7)</f>
        <v/>
      </c>
    </row>
    <row r="211">
      <c r="R211" s="241" t="n">
        <v>205</v>
      </c>
      <c r="S211" s="241">
        <f>IFERROR(INDEX(rCom,MATCH(205,rComIdx,0))&amp;"","")</f>
        <v/>
      </c>
      <c r="T211" s="241">
        <f>IF(S211="","",SUMIFS(rGasto,rCom,S211,rFecha,"&gt;="&amp;pIni,rFecha,"&lt;="&amp;pFin,rCat,critCat,rCtaE,critCta))</f>
        <v/>
      </c>
      <c r="U211" s="241">
        <f>IF(S211="","",COUNTIFS(rCom,S211,rTipoE,"Gasto",rFecha,"&gt;="&amp;pIni,rFecha,"&lt;="&amp;pFin,rCat,critCat,rCtaE,critCta))</f>
        <v/>
      </c>
      <c r="V211" s="241">
        <f>IF(S211="",-1E+12-205,N(T211)+(301-205)/1E+7)</f>
        <v/>
      </c>
      <c r="W211" s="241">
        <f>IF(S211="","",SUMIFS(rGasto,rCom,S211,rHorm,1,rFecha,"&gt;="&amp;pIni,rFecha,"&lt;="&amp;pFin))</f>
        <v/>
      </c>
      <c r="X211" s="241">
        <f>IF(S211="","",COUNTIFS(rCom,S211,rHorm,1,rFecha,"&gt;="&amp;pIni,rFecha,"&lt;="&amp;pFin))</f>
        <v/>
      </c>
      <c r="Y211" s="241">
        <f>IF(S211="",-1E+12-205,N(W211)+(301-205)/1E+7)</f>
        <v/>
      </c>
      <c r="BG211" s="241" t="n">
        <v>205</v>
      </c>
      <c r="BH211" s="246">
        <f>IF(calIni+204&lt;=pFinEff,calIni+204,"")</f>
        <v/>
      </c>
      <c r="BI211" s="241">
        <f>IF(BH211="","",WEEKDAY(BH211,2))</f>
        <v/>
      </c>
      <c r="BJ211" s="241">
        <f>IF(BH211="","",SUMIFS(rGasto,rFecha,BH211,rGrupo,"?*"))</f>
        <v/>
      </c>
      <c r="BK211" s="241">
        <f>IF(BH211="","",SUMIFS(rGasto,rFecha,BH211,rGrupo,gCP))</f>
        <v/>
      </c>
      <c r="BL211" s="241">
        <f>IF(BH211="",-1E+12-205,N(BJ211)+(400-205)/1E+7)</f>
        <v/>
      </c>
    </row>
    <row r="212">
      <c r="R212" s="241" t="n">
        <v>206</v>
      </c>
      <c r="S212" s="241">
        <f>IFERROR(INDEX(rCom,MATCH(206,rComIdx,0))&amp;"","")</f>
        <v/>
      </c>
      <c r="T212" s="241">
        <f>IF(S212="","",SUMIFS(rGasto,rCom,S212,rFecha,"&gt;="&amp;pIni,rFecha,"&lt;="&amp;pFin,rCat,critCat,rCtaE,critCta))</f>
        <v/>
      </c>
      <c r="U212" s="241">
        <f>IF(S212="","",COUNTIFS(rCom,S212,rTipoE,"Gasto",rFecha,"&gt;="&amp;pIni,rFecha,"&lt;="&amp;pFin,rCat,critCat,rCtaE,critCta))</f>
        <v/>
      </c>
      <c r="V212" s="241">
        <f>IF(S212="",-1E+12-206,N(T212)+(301-206)/1E+7)</f>
        <v/>
      </c>
      <c r="W212" s="241">
        <f>IF(S212="","",SUMIFS(rGasto,rCom,S212,rHorm,1,rFecha,"&gt;="&amp;pIni,rFecha,"&lt;="&amp;pFin))</f>
        <v/>
      </c>
      <c r="X212" s="241">
        <f>IF(S212="","",COUNTIFS(rCom,S212,rHorm,1,rFecha,"&gt;="&amp;pIni,rFecha,"&lt;="&amp;pFin))</f>
        <v/>
      </c>
      <c r="Y212" s="241">
        <f>IF(S212="",-1E+12-206,N(W212)+(301-206)/1E+7)</f>
        <v/>
      </c>
      <c r="BG212" s="241" t="n">
        <v>206</v>
      </c>
      <c r="BH212" s="246">
        <f>IF(calIni+205&lt;=pFinEff,calIni+205,"")</f>
        <v/>
      </c>
      <c r="BI212" s="241">
        <f>IF(BH212="","",WEEKDAY(BH212,2))</f>
        <v/>
      </c>
      <c r="BJ212" s="241">
        <f>IF(BH212="","",SUMIFS(rGasto,rFecha,BH212,rGrupo,"?*"))</f>
        <v/>
      </c>
      <c r="BK212" s="241">
        <f>IF(BH212="","",SUMIFS(rGasto,rFecha,BH212,rGrupo,gCP))</f>
        <v/>
      </c>
      <c r="BL212" s="241">
        <f>IF(BH212="",-1E+12-206,N(BJ212)+(400-206)/1E+7)</f>
        <v/>
      </c>
    </row>
    <row r="213">
      <c r="R213" s="241" t="n">
        <v>207</v>
      </c>
      <c r="S213" s="241">
        <f>IFERROR(INDEX(rCom,MATCH(207,rComIdx,0))&amp;"","")</f>
        <v/>
      </c>
      <c r="T213" s="241">
        <f>IF(S213="","",SUMIFS(rGasto,rCom,S213,rFecha,"&gt;="&amp;pIni,rFecha,"&lt;="&amp;pFin,rCat,critCat,rCtaE,critCta))</f>
        <v/>
      </c>
      <c r="U213" s="241">
        <f>IF(S213="","",COUNTIFS(rCom,S213,rTipoE,"Gasto",rFecha,"&gt;="&amp;pIni,rFecha,"&lt;="&amp;pFin,rCat,critCat,rCtaE,critCta))</f>
        <v/>
      </c>
      <c r="V213" s="241">
        <f>IF(S213="",-1E+12-207,N(T213)+(301-207)/1E+7)</f>
        <v/>
      </c>
      <c r="W213" s="241">
        <f>IF(S213="","",SUMIFS(rGasto,rCom,S213,rHorm,1,rFecha,"&gt;="&amp;pIni,rFecha,"&lt;="&amp;pFin))</f>
        <v/>
      </c>
      <c r="X213" s="241">
        <f>IF(S213="","",COUNTIFS(rCom,S213,rHorm,1,rFecha,"&gt;="&amp;pIni,rFecha,"&lt;="&amp;pFin))</f>
        <v/>
      </c>
      <c r="Y213" s="241">
        <f>IF(S213="",-1E+12-207,N(W213)+(301-207)/1E+7)</f>
        <v/>
      </c>
      <c r="BG213" s="241" t="n">
        <v>207</v>
      </c>
      <c r="BH213" s="246">
        <f>IF(calIni+206&lt;=pFinEff,calIni+206,"")</f>
        <v/>
      </c>
      <c r="BI213" s="241">
        <f>IF(BH213="","",WEEKDAY(BH213,2))</f>
        <v/>
      </c>
      <c r="BJ213" s="241">
        <f>IF(BH213="","",SUMIFS(rGasto,rFecha,BH213,rGrupo,"?*"))</f>
        <v/>
      </c>
      <c r="BK213" s="241">
        <f>IF(BH213="","",SUMIFS(rGasto,rFecha,BH213,rGrupo,gCP))</f>
        <v/>
      </c>
      <c r="BL213" s="241">
        <f>IF(BH213="",-1E+12-207,N(BJ213)+(400-207)/1E+7)</f>
        <v/>
      </c>
    </row>
    <row r="214">
      <c r="R214" s="241" t="n">
        <v>208</v>
      </c>
      <c r="S214" s="241">
        <f>IFERROR(INDEX(rCom,MATCH(208,rComIdx,0))&amp;"","")</f>
        <v/>
      </c>
      <c r="T214" s="241">
        <f>IF(S214="","",SUMIFS(rGasto,rCom,S214,rFecha,"&gt;="&amp;pIni,rFecha,"&lt;="&amp;pFin,rCat,critCat,rCtaE,critCta))</f>
        <v/>
      </c>
      <c r="U214" s="241">
        <f>IF(S214="","",COUNTIFS(rCom,S214,rTipoE,"Gasto",rFecha,"&gt;="&amp;pIni,rFecha,"&lt;="&amp;pFin,rCat,critCat,rCtaE,critCta))</f>
        <v/>
      </c>
      <c r="V214" s="241">
        <f>IF(S214="",-1E+12-208,N(T214)+(301-208)/1E+7)</f>
        <v/>
      </c>
      <c r="W214" s="241">
        <f>IF(S214="","",SUMIFS(rGasto,rCom,S214,rHorm,1,rFecha,"&gt;="&amp;pIni,rFecha,"&lt;="&amp;pFin))</f>
        <v/>
      </c>
      <c r="X214" s="241">
        <f>IF(S214="","",COUNTIFS(rCom,S214,rHorm,1,rFecha,"&gt;="&amp;pIni,rFecha,"&lt;="&amp;pFin))</f>
        <v/>
      </c>
      <c r="Y214" s="241">
        <f>IF(S214="",-1E+12-208,N(W214)+(301-208)/1E+7)</f>
        <v/>
      </c>
      <c r="BG214" s="241" t="n">
        <v>208</v>
      </c>
      <c r="BH214" s="246">
        <f>IF(calIni+207&lt;=pFinEff,calIni+207,"")</f>
        <v/>
      </c>
      <c r="BI214" s="241">
        <f>IF(BH214="","",WEEKDAY(BH214,2))</f>
        <v/>
      </c>
      <c r="BJ214" s="241">
        <f>IF(BH214="","",SUMIFS(rGasto,rFecha,BH214,rGrupo,"?*"))</f>
        <v/>
      </c>
      <c r="BK214" s="241">
        <f>IF(BH214="","",SUMIFS(rGasto,rFecha,BH214,rGrupo,gCP))</f>
        <v/>
      </c>
      <c r="BL214" s="241">
        <f>IF(BH214="",-1E+12-208,N(BJ214)+(400-208)/1E+7)</f>
        <v/>
      </c>
    </row>
    <row r="215">
      <c r="R215" s="241" t="n">
        <v>209</v>
      </c>
      <c r="S215" s="241">
        <f>IFERROR(INDEX(rCom,MATCH(209,rComIdx,0))&amp;"","")</f>
        <v/>
      </c>
      <c r="T215" s="241">
        <f>IF(S215="","",SUMIFS(rGasto,rCom,S215,rFecha,"&gt;="&amp;pIni,rFecha,"&lt;="&amp;pFin,rCat,critCat,rCtaE,critCta))</f>
        <v/>
      </c>
      <c r="U215" s="241">
        <f>IF(S215="","",COUNTIFS(rCom,S215,rTipoE,"Gasto",rFecha,"&gt;="&amp;pIni,rFecha,"&lt;="&amp;pFin,rCat,critCat,rCtaE,critCta))</f>
        <v/>
      </c>
      <c r="V215" s="241">
        <f>IF(S215="",-1E+12-209,N(T215)+(301-209)/1E+7)</f>
        <v/>
      </c>
      <c r="W215" s="241">
        <f>IF(S215="","",SUMIFS(rGasto,rCom,S215,rHorm,1,rFecha,"&gt;="&amp;pIni,rFecha,"&lt;="&amp;pFin))</f>
        <v/>
      </c>
      <c r="X215" s="241">
        <f>IF(S215="","",COUNTIFS(rCom,S215,rHorm,1,rFecha,"&gt;="&amp;pIni,rFecha,"&lt;="&amp;pFin))</f>
        <v/>
      </c>
      <c r="Y215" s="241">
        <f>IF(S215="",-1E+12-209,N(W215)+(301-209)/1E+7)</f>
        <v/>
      </c>
      <c r="BG215" s="241" t="n">
        <v>209</v>
      </c>
      <c r="BH215" s="246">
        <f>IF(calIni+208&lt;=pFinEff,calIni+208,"")</f>
        <v/>
      </c>
      <c r="BI215" s="241">
        <f>IF(BH215="","",WEEKDAY(BH215,2))</f>
        <v/>
      </c>
      <c r="BJ215" s="241">
        <f>IF(BH215="","",SUMIFS(rGasto,rFecha,BH215,rGrupo,"?*"))</f>
        <v/>
      </c>
      <c r="BK215" s="241">
        <f>IF(BH215="","",SUMIFS(rGasto,rFecha,BH215,rGrupo,gCP))</f>
        <v/>
      </c>
      <c r="BL215" s="241">
        <f>IF(BH215="",-1E+12-209,N(BJ215)+(400-209)/1E+7)</f>
        <v/>
      </c>
    </row>
    <row r="216">
      <c r="R216" s="241" t="n">
        <v>210</v>
      </c>
      <c r="S216" s="241">
        <f>IFERROR(INDEX(rCom,MATCH(210,rComIdx,0))&amp;"","")</f>
        <v/>
      </c>
      <c r="T216" s="241">
        <f>IF(S216="","",SUMIFS(rGasto,rCom,S216,rFecha,"&gt;="&amp;pIni,rFecha,"&lt;="&amp;pFin,rCat,critCat,rCtaE,critCta))</f>
        <v/>
      </c>
      <c r="U216" s="241">
        <f>IF(S216="","",COUNTIFS(rCom,S216,rTipoE,"Gasto",rFecha,"&gt;="&amp;pIni,rFecha,"&lt;="&amp;pFin,rCat,critCat,rCtaE,critCta))</f>
        <v/>
      </c>
      <c r="V216" s="241">
        <f>IF(S216="",-1E+12-210,N(T216)+(301-210)/1E+7)</f>
        <v/>
      </c>
      <c r="W216" s="241">
        <f>IF(S216="","",SUMIFS(rGasto,rCom,S216,rHorm,1,rFecha,"&gt;="&amp;pIni,rFecha,"&lt;="&amp;pFin))</f>
        <v/>
      </c>
      <c r="X216" s="241">
        <f>IF(S216="","",COUNTIFS(rCom,S216,rHorm,1,rFecha,"&gt;="&amp;pIni,rFecha,"&lt;="&amp;pFin))</f>
        <v/>
      </c>
      <c r="Y216" s="241">
        <f>IF(S216="",-1E+12-210,N(W216)+(301-210)/1E+7)</f>
        <v/>
      </c>
      <c r="BG216" s="241" t="n">
        <v>210</v>
      </c>
      <c r="BH216" s="246">
        <f>IF(calIni+209&lt;=pFinEff,calIni+209,"")</f>
        <v/>
      </c>
      <c r="BI216" s="241">
        <f>IF(BH216="","",WEEKDAY(BH216,2))</f>
        <v/>
      </c>
      <c r="BJ216" s="241">
        <f>IF(BH216="","",SUMIFS(rGasto,rFecha,BH216,rGrupo,"?*"))</f>
        <v/>
      </c>
      <c r="BK216" s="241">
        <f>IF(BH216="","",SUMIFS(rGasto,rFecha,BH216,rGrupo,gCP))</f>
        <v/>
      </c>
      <c r="BL216" s="241">
        <f>IF(BH216="",-1E+12-210,N(BJ216)+(400-210)/1E+7)</f>
        <v/>
      </c>
    </row>
    <row r="217">
      <c r="R217" s="241" t="n">
        <v>211</v>
      </c>
      <c r="S217" s="241">
        <f>IFERROR(INDEX(rCom,MATCH(211,rComIdx,0))&amp;"","")</f>
        <v/>
      </c>
      <c r="T217" s="241">
        <f>IF(S217="","",SUMIFS(rGasto,rCom,S217,rFecha,"&gt;="&amp;pIni,rFecha,"&lt;="&amp;pFin,rCat,critCat,rCtaE,critCta))</f>
        <v/>
      </c>
      <c r="U217" s="241">
        <f>IF(S217="","",COUNTIFS(rCom,S217,rTipoE,"Gasto",rFecha,"&gt;="&amp;pIni,rFecha,"&lt;="&amp;pFin,rCat,critCat,rCtaE,critCta))</f>
        <v/>
      </c>
      <c r="V217" s="241">
        <f>IF(S217="",-1E+12-211,N(T217)+(301-211)/1E+7)</f>
        <v/>
      </c>
      <c r="W217" s="241">
        <f>IF(S217="","",SUMIFS(rGasto,rCom,S217,rHorm,1,rFecha,"&gt;="&amp;pIni,rFecha,"&lt;="&amp;pFin))</f>
        <v/>
      </c>
      <c r="X217" s="241">
        <f>IF(S217="","",COUNTIFS(rCom,S217,rHorm,1,rFecha,"&gt;="&amp;pIni,rFecha,"&lt;="&amp;pFin))</f>
        <v/>
      </c>
      <c r="Y217" s="241">
        <f>IF(S217="",-1E+12-211,N(W217)+(301-211)/1E+7)</f>
        <v/>
      </c>
      <c r="BG217" s="241" t="n">
        <v>211</v>
      </c>
      <c r="BH217" s="246">
        <f>IF(calIni+210&lt;=pFinEff,calIni+210,"")</f>
        <v/>
      </c>
      <c r="BI217" s="241">
        <f>IF(BH217="","",WEEKDAY(BH217,2))</f>
        <v/>
      </c>
      <c r="BJ217" s="241">
        <f>IF(BH217="","",SUMIFS(rGasto,rFecha,BH217,rGrupo,"?*"))</f>
        <v/>
      </c>
      <c r="BK217" s="241">
        <f>IF(BH217="","",SUMIFS(rGasto,rFecha,BH217,rGrupo,gCP))</f>
        <v/>
      </c>
      <c r="BL217" s="241">
        <f>IF(BH217="",-1E+12-211,N(BJ217)+(400-211)/1E+7)</f>
        <v/>
      </c>
    </row>
    <row r="218">
      <c r="R218" s="241" t="n">
        <v>212</v>
      </c>
      <c r="S218" s="241">
        <f>IFERROR(INDEX(rCom,MATCH(212,rComIdx,0))&amp;"","")</f>
        <v/>
      </c>
      <c r="T218" s="241">
        <f>IF(S218="","",SUMIFS(rGasto,rCom,S218,rFecha,"&gt;="&amp;pIni,rFecha,"&lt;="&amp;pFin,rCat,critCat,rCtaE,critCta))</f>
        <v/>
      </c>
      <c r="U218" s="241">
        <f>IF(S218="","",COUNTIFS(rCom,S218,rTipoE,"Gasto",rFecha,"&gt;="&amp;pIni,rFecha,"&lt;="&amp;pFin,rCat,critCat,rCtaE,critCta))</f>
        <v/>
      </c>
      <c r="V218" s="241">
        <f>IF(S218="",-1E+12-212,N(T218)+(301-212)/1E+7)</f>
        <v/>
      </c>
      <c r="W218" s="241">
        <f>IF(S218="","",SUMIFS(rGasto,rCom,S218,rHorm,1,rFecha,"&gt;="&amp;pIni,rFecha,"&lt;="&amp;pFin))</f>
        <v/>
      </c>
      <c r="X218" s="241">
        <f>IF(S218="","",COUNTIFS(rCom,S218,rHorm,1,rFecha,"&gt;="&amp;pIni,rFecha,"&lt;="&amp;pFin))</f>
        <v/>
      </c>
      <c r="Y218" s="241">
        <f>IF(S218="",-1E+12-212,N(W218)+(301-212)/1E+7)</f>
        <v/>
      </c>
      <c r="BG218" s="241" t="n">
        <v>212</v>
      </c>
      <c r="BH218" s="246">
        <f>IF(calIni+211&lt;=pFinEff,calIni+211,"")</f>
        <v/>
      </c>
      <c r="BI218" s="241">
        <f>IF(BH218="","",WEEKDAY(BH218,2))</f>
        <v/>
      </c>
      <c r="BJ218" s="241">
        <f>IF(BH218="","",SUMIFS(rGasto,rFecha,BH218,rGrupo,"?*"))</f>
        <v/>
      </c>
      <c r="BK218" s="241">
        <f>IF(BH218="","",SUMIFS(rGasto,rFecha,BH218,rGrupo,gCP))</f>
        <v/>
      </c>
      <c r="BL218" s="241">
        <f>IF(BH218="",-1E+12-212,N(BJ218)+(400-212)/1E+7)</f>
        <v/>
      </c>
    </row>
    <row r="219">
      <c r="R219" s="241" t="n">
        <v>213</v>
      </c>
      <c r="S219" s="241">
        <f>IFERROR(INDEX(rCom,MATCH(213,rComIdx,0))&amp;"","")</f>
        <v/>
      </c>
      <c r="T219" s="241">
        <f>IF(S219="","",SUMIFS(rGasto,rCom,S219,rFecha,"&gt;="&amp;pIni,rFecha,"&lt;="&amp;pFin,rCat,critCat,rCtaE,critCta))</f>
        <v/>
      </c>
      <c r="U219" s="241">
        <f>IF(S219="","",COUNTIFS(rCom,S219,rTipoE,"Gasto",rFecha,"&gt;="&amp;pIni,rFecha,"&lt;="&amp;pFin,rCat,critCat,rCtaE,critCta))</f>
        <v/>
      </c>
      <c r="V219" s="241">
        <f>IF(S219="",-1E+12-213,N(T219)+(301-213)/1E+7)</f>
        <v/>
      </c>
      <c r="W219" s="241">
        <f>IF(S219="","",SUMIFS(rGasto,rCom,S219,rHorm,1,rFecha,"&gt;="&amp;pIni,rFecha,"&lt;="&amp;pFin))</f>
        <v/>
      </c>
      <c r="X219" s="241">
        <f>IF(S219="","",COUNTIFS(rCom,S219,rHorm,1,rFecha,"&gt;="&amp;pIni,rFecha,"&lt;="&amp;pFin))</f>
        <v/>
      </c>
      <c r="Y219" s="241">
        <f>IF(S219="",-1E+12-213,N(W219)+(301-213)/1E+7)</f>
        <v/>
      </c>
      <c r="BG219" s="241" t="n">
        <v>213</v>
      </c>
      <c r="BH219" s="246">
        <f>IF(calIni+212&lt;=pFinEff,calIni+212,"")</f>
        <v/>
      </c>
      <c r="BI219" s="241">
        <f>IF(BH219="","",WEEKDAY(BH219,2))</f>
        <v/>
      </c>
      <c r="BJ219" s="241">
        <f>IF(BH219="","",SUMIFS(rGasto,rFecha,BH219,rGrupo,"?*"))</f>
        <v/>
      </c>
      <c r="BK219" s="241">
        <f>IF(BH219="","",SUMIFS(rGasto,rFecha,BH219,rGrupo,gCP))</f>
        <v/>
      </c>
      <c r="BL219" s="241">
        <f>IF(BH219="",-1E+12-213,N(BJ219)+(400-213)/1E+7)</f>
        <v/>
      </c>
    </row>
    <row r="220">
      <c r="R220" s="241" t="n">
        <v>214</v>
      </c>
      <c r="S220" s="241">
        <f>IFERROR(INDEX(rCom,MATCH(214,rComIdx,0))&amp;"","")</f>
        <v/>
      </c>
      <c r="T220" s="241">
        <f>IF(S220="","",SUMIFS(rGasto,rCom,S220,rFecha,"&gt;="&amp;pIni,rFecha,"&lt;="&amp;pFin,rCat,critCat,rCtaE,critCta))</f>
        <v/>
      </c>
      <c r="U220" s="241">
        <f>IF(S220="","",COUNTIFS(rCom,S220,rTipoE,"Gasto",rFecha,"&gt;="&amp;pIni,rFecha,"&lt;="&amp;pFin,rCat,critCat,rCtaE,critCta))</f>
        <v/>
      </c>
      <c r="V220" s="241">
        <f>IF(S220="",-1E+12-214,N(T220)+(301-214)/1E+7)</f>
        <v/>
      </c>
      <c r="W220" s="241">
        <f>IF(S220="","",SUMIFS(rGasto,rCom,S220,rHorm,1,rFecha,"&gt;="&amp;pIni,rFecha,"&lt;="&amp;pFin))</f>
        <v/>
      </c>
      <c r="X220" s="241">
        <f>IF(S220="","",COUNTIFS(rCom,S220,rHorm,1,rFecha,"&gt;="&amp;pIni,rFecha,"&lt;="&amp;pFin))</f>
        <v/>
      </c>
      <c r="Y220" s="241">
        <f>IF(S220="",-1E+12-214,N(W220)+(301-214)/1E+7)</f>
        <v/>
      </c>
      <c r="BG220" s="241" t="n">
        <v>214</v>
      </c>
      <c r="BH220" s="246">
        <f>IF(calIni+213&lt;=pFinEff,calIni+213,"")</f>
        <v/>
      </c>
      <c r="BI220" s="241">
        <f>IF(BH220="","",WEEKDAY(BH220,2))</f>
        <v/>
      </c>
      <c r="BJ220" s="241">
        <f>IF(BH220="","",SUMIFS(rGasto,rFecha,BH220,rGrupo,"?*"))</f>
        <v/>
      </c>
      <c r="BK220" s="241">
        <f>IF(BH220="","",SUMIFS(rGasto,rFecha,BH220,rGrupo,gCP))</f>
        <v/>
      </c>
      <c r="BL220" s="241">
        <f>IF(BH220="",-1E+12-214,N(BJ220)+(400-214)/1E+7)</f>
        <v/>
      </c>
    </row>
    <row r="221">
      <c r="R221" s="241" t="n">
        <v>215</v>
      </c>
      <c r="S221" s="241">
        <f>IFERROR(INDEX(rCom,MATCH(215,rComIdx,0))&amp;"","")</f>
        <v/>
      </c>
      <c r="T221" s="241">
        <f>IF(S221="","",SUMIFS(rGasto,rCom,S221,rFecha,"&gt;="&amp;pIni,rFecha,"&lt;="&amp;pFin,rCat,critCat,rCtaE,critCta))</f>
        <v/>
      </c>
      <c r="U221" s="241">
        <f>IF(S221="","",COUNTIFS(rCom,S221,rTipoE,"Gasto",rFecha,"&gt;="&amp;pIni,rFecha,"&lt;="&amp;pFin,rCat,critCat,rCtaE,critCta))</f>
        <v/>
      </c>
      <c r="V221" s="241">
        <f>IF(S221="",-1E+12-215,N(T221)+(301-215)/1E+7)</f>
        <v/>
      </c>
      <c r="W221" s="241">
        <f>IF(S221="","",SUMIFS(rGasto,rCom,S221,rHorm,1,rFecha,"&gt;="&amp;pIni,rFecha,"&lt;="&amp;pFin))</f>
        <v/>
      </c>
      <c r="X221" s="241">
        <f>IF(S221="","",COUNTIFS(rCom,S221,rHorm,1,rFecha,"&gt;="&amp;pIni,rFecha,"&lt;="&amp;pFin))</f>
        <v/>
      </c>
      <c r="Y221" s="241">
        <f>IF(S221="",-1E+12-215,N(W221)+(301-215)/1E+7)</f>
        <v/>
      </c>
      <c r="BG221" s="241" t="n">
        <v>215</v>
      </c>
      <c r="BH221" s="246">
        <f>IF(calIni+214&lt;=pFinEff,calIni+214,"")</f>
        <v/>
      </c>
      <c r="BI221" s="241">
        <f>IF(BH221="","",WEEKDAY(BH221,2))</f>
        <v/>
      </c>
      <c r="BJ221" s="241">
        <f>IF(BH221="","",SUMIFS(rGasto,rFecha,BH221,rGrupo,"?*"))</f>
        <v/>
      </c>
      <c r="BK221" s="241">
        <f>IF(BH221="","",SUMIFS(rGasto,rFecha,BH221,rGrupo,gCP))</f>
        <v/>
      </c>
      <c r="BL221" s="241">
        <f>IF(BH221="",-1E+12-215,N(BJ221)+(400-215)/1E+7)</f>
        <v/>
      </c>
    </row>
    <row r="222">
      <c r="R222" s="241" t="n">
        <v>216</v>
      </c>
      <c r="S222" s="241">
        <f>IFERROR(INDEX(rCom,MATCH(216,rComIdx,0))&amp;"","")</f>
        <v/>
      </c>
      <c r="T222" s="241">
        <f>IF(S222="","",SUMIFS(rGasto,rCom,S222,rFecha,"&gt;="&amp;pIni,rFecha,"&lt;="&amp;pFin,rCat,critCat,rCtaE,critCta))</f>
        <v/>
      </c>
      <c r="U222" s="241">
        <f>IF(S222="","",COUNTIFS(rCom,S222,rTipoE,"Gasto",rFecha,"&gt;="&amp;pIni,rFecha,"&lt;="&amp;pFin,rCat,critCat,rCtaE,critCta))</f>
        <v/>
      </c>
      <c r="V222" s="241">
        <f>IF(S222="",-1E+12-216,N(T222)+(301-216)/1E+7)</f>
        <v/>
      </c>
      <c r="W222" s="241">
        <f>IF(S222="","",SUMIFS(rGasto,rCom,S222,rHorm,1,rFecha,"&gt;="&amp;pIni,rFecha,"&lt;="&amp;pFin))</f>
        <v/>
      </c>
      <c r="X222" s="241">
        <f>IF(S222="","",COUNTIFS(rCom,S222,rHorm,1,rFecha,"&gt;="&amp;pIni,rFecha,"&lt;="&amp;pFin))</f>
        <v/>
      </c>
      <c r="Y222" s="241">
        <f>IF(S222="",-1E+12-216,N(W222)+(301-216)/1E+7)</f>
        <v/>
      </c>
      <c r="BG222" s="241" t="n">
        <v>216</v>
      </c>
      <c r="BH222" s="246">
        <f>IF(calIni+215&lt;=pFinEff,calIni+215,"")</f>
        <v/>
      </c>
      <c r="BI222" s="241">
        <f>IF(BH222="","",WEEKDAY(BH222,2))</f>
        <v/>
      </c>
      <c r="BJ222" s="241">
        <f>IF(BH222="","",SUMIFS(rGasto,rFecha,BH222,rGrupo,"?*"))</f>
        <v/>
      </c>
      <c r="BK222" s="241">
        <f>IF(BH222="","",SUMIFS(rGasto,rFecha,BH222,rGrupo,gCP))</f>
        <v/>
      </c>
      <c r="BL222" s="241">
        <f>IF(BH222="",-1E+12-216,N(BJ222)+(400-216)/1E+7)</f>
        <v/>
      </c>
    </row>
    <row r="223">
      <c r="R223" s="241" t="n">
        <v>217</v>
      </c>
      <c r="S223" s="241">
        <f>IFERROR(INDEX(rCom,MATCH(217,rComIdx,0))&amp;"","")</f>
        <v/>
      </c>
      <c r="T223" s="241">
        <f>IF(S223="","",SUMIFS(rGasto,rCom,S223,rFecha,"&gt;="&amp;pIni,rFecha,"&lt;="&amp;pFin,rCat,critCat,rCtaE,critCta))</f>
        <v/>
      </c>
      <c r="U223" s="241">
        <f>IF(S223="","",COUNTIFS(rCom,S223,rTipoE,"Gasto",rFecha,"&gt;="&amp;pIni,rFecha,"&lt;="&amp;pFin,rCat,critCat,rCtaE,critCta))</f>
        <v/>
      </c>
      <c r="V223" s="241">
        <f>IF(S223="",-1E+12-217,N(T223)+(301-217)/1E+7)</f>
        <v/>
      </c>
      <c r="W223" s="241">
        <f>IF(S223="","",SUMIFS(rGasto,rCom,S223,rHorm,1,rFecha,"&gt;="&amp;pIni,rFecha,"&lt;="&amp;pFin))</f>
        <v/>
      </c>
      <c r="X223" s="241">
        <f>IF(S223="","",COUNTIFS(rCom,S223,rHorm,1,rFecha,"&gt;="&amp;pIni,rFecha,"&lt;="&amp;pFin))</f>
        <v/>
      </c>
      <c r="Y223" s="241">
        <f>IF(S223="",-1E+12-217,N(W223)+(301-217)/1E+7)</f>
        <v/>
      </c>
      <c r="BG223" s="241" t="n">
        <v>217</v>
      </c>
      <c r="BH223" s="246">
        <f>IF(calIni+216&lt;=pFinEff,calIni+216,"")</f>
        <v/>
      </c>
      <c r="BI223" s="241">
        <f>IF(BH223="","",WEEKDAY(BH223,2))</f>
        <v/>
      </c>
      <c r="BJ223" s="241">
        <f>IF(BH223="","",SUMIFS(rGasto,rFecha,BH223,rGrupo,"?*"))</f>
        <v/>
      </c>
      <c r="BK223" s="241">
        <f>IF(BH223="","",SUMIFS(rGasto,rFecha,BH223,rGrupo,gCP))</f>
        <v/>
      </c>
      <c r="BL223" s="241">
        <f>IF(BH223="",-1E+12-217,N(BJ223)+(400-217)/1E+7)</f>
        <v/>
      </c>
    </row>
    <row r="224">
      <c r="R224" s="241" t="n">
        <v>218</v>
      </c>
      <c r="S224" s="241">
        <f>IFERROR(INDEX(rCom,MATCH(218,rComIdx,0))&amp;"","")</f>
        <v/>
      </c>
      <c r="T224" s="241">
        <f>IF(S224="","",SUMIFS(rGasto,rCom,S224,rFecha,"&gt;="&amp;pIni,rFecha,"&lt;="&amp;pFin,rCat,critCat,rCtaE,critCta))</f>
        <v/>
      </c>
      <c r="U224" s="241">
        <f>IF(S224="","",COUNTIFS(rCom,S224,rTipoE,"Gasto",rFecha,"&gt;="&amp;pIni,rFecha,"&lt;="&amp;pFin,rCat,critCat,rCtaE,critCta))</f>
        <v/>
      </c>
      <c r="V224" s="241">
        <f>IF(S224="",-1E+12-218,N(T224)+(301-218)/1E+7)</f>
        <v/>
      </c>
      <c r="W224" s="241">
        <f>IF(S224="","",SUMIFS(rGasto,rCom,S224,rHorm,1,rFecha,"&gt;="&amp;pIni,rFecha,"&lt;="&amp;pFin))</f>
        <v/>
      </c>
      <c r="X224" s="241">
        <f>IF(S224="","",COUNTIFS(rCom,S224,rHorm,1,rFecha,"&gt;="&amp;pIni,rFecha,"&lt;="&amp;pFin))</f>
        <v/>
      </c>
      <c r="Y224" s="241">
        <f>IF(S224="",-1E+12-218,N(W224)+(301-218)/1E+7)</f>
        <v/>
      </c>
      <c r="BG224" s="241" t="n">
        <v>218</v>
      </c>
      <c r="BH224" s="246">
        <f>IF(calIni+217&lt;=pFinEff,calIni+217,"")</f>
        <v/>
      </c>
      <c r="BI224" s="241">
        <f>IF(BH224="","",WEEKDAY(BH224,2))</f>
        <v/>
      </c>
      <c r="BJ224" s="241">
        <f>IF(BH224="","",SUMIFS(rGasto,rFecha,BH224,rGrupo,"?*"))</f>
        <v/>
      </c>
      <c r="BK224" s="241">
        <f>IF(BH224="","",SUMIFS(rGasto,rFecha,BH224,rGrupo,gCP))</f>
        <v/>
      </c>
      <c r="BL224" s="241">
        <f>IF(BH224="",-1E+12-218,N(BJ224)+(400-218)/1E+7)</f>
        <v/>
      </c>
    </row>
    <row r="225">
      <c r="R225" s="241" t="n">
        <v>219</v>
      </c>
      <c r="S225" s="241">
        <f>IFERROR(INDEX(rCom,MATCH(219,rComIdx,0))&amp;"","")</f>
        <v/>
      </c>
      <c r="T225" s="241">
        <f>IF(S225="","",SUMIFS(rGasto,rCom,S225,rFecha,"&gt;="&amp;pIni,rFecha,"&lt;="&amp;pFin,rCat,critCat,rCtaE,critCta))</f>
        <v/>
      </c>
      <c r="U225" s="241">
        <f>IF(S225="","",COUNTIFS(rCom,S225,rTipoE,"Gasto",rFecha,"&gt;="&amp;pIni,rFecha,"&lt;="&amp;pFin,rCat,critCat,rCtaE,critCta))</f>
        <v/>
      </c>
      <c r="V225" s="241">
        <f>IF(S225="",-1E+12-219,N(T225)+(301-219)/1E+7)</f>
        <v/>
      </c>
      <c r="W225" s="241">
        <f>IF(S225="","",SUMIFS(rGasto,rCom,S225,rHorm,1,rFecha,"&gt;="&amp;pIni,rFecha,"&lt;="&amp;pFin))</f>
        <v/>
      </c>
      <c r="X225" s="241">
        <f>IF(S225="","",COUNTIFS(rCom,S225,rHorm,1,rFecha,"&gt;="&amp;pIni,rFecha,"&lt;="&amp;pFin))</f>
        <v/>
      </c>
      <c r="Y225" s="241">
        <f>IF(S225="",-1E+12-219,N(W225)+(301-219)/1E+7)</f>
        <v/>
      </c>
      <c r="BG225" s="241" t="n">
        <v>219</v>
      </c>
      <c r="BH225" s="246">
        <f>IF(calIni+218&lt;=pFinEff,calIni+218,"")</f>
        <v/>
      </c>
      <c r="BI225" s="241">
        <f>IF(BH225="","",WEEKDAY(BH225,2))</f>
        <v/>
      </c>
      <c r="BJ225" s="241">
        <f>IF(BH225="","",SUMIFS(rGasto,rFecha,BH225,rGrupo,"?*"))</f>
        <v/>
      </c>
      <c r="BK225" s="241">
        <f>IF(BH225="","",SUMIFS(rGasto,rFecha,BH225,rGrupo,gCP))</f>
        <v/>
      </c>
      <c r="BL225" s="241">
        <f>IF(BH225="",-1E+12-219,N(BJ225)+(400-219)/1E+7)</f>
        <v/>
      </c>
    </row>
    <row r="226">
      <c r="R226" s="241" t="n">
        <v>220</v>
      </c>
      <c r="S226" s="241">
        <f>IFERROR(INDEX(rCom,MATCH(220,rComIdx,0))&amp;"","")</f>
        <v/>
      </c>
      <c r="T226" s="241">
        <f>IF(S226="","",SUMIFS(rGasto,rCom,S226,rFecha,"&gt;="&amp;pIni,rFecha,"&lt;="&amp;pFin,rCat,critCat,rCtaE,critCta))</f>
        <v/>
      </c>
      <c r="U226" s="241">
        <f>IF(S226="","",COUNTIFS(rCom,S226,rTipoE,"Gasto",rFecha,"&gt;="&amp;pIni,rFecha,"&lt;="&amp;pFin,rCat,critCat,rCtaE,critCta))</f>
        <v/>
      </c>
      <c r="V226" s="241">
        <f>IF(S226="",-1E+12-220,N(T226)+(301-220)/1E+7)</f>
        <v/>
      </c>
      <c r="W226" s="241">
        <f>IF(S226="","",SUMIFS(rGasto,rCom,S226,rHorm,1,rFecha,"&gt;="&amp;pIni,rFecha,"&lt;="&amp;pFin))</f>
        <v/>
      </c>
      <c r="X226" s="241">
        <f>IF(S226="","",COUNTIFS(rCom,S226,rHorm,1,rFecha,"&gt;="&amp;pIni,rFecha,"&lt;="&amp;pFin))</f>
        <v/>
      </c>
      <c r="Y226" s="241">
        <f>IF(S226="",-1E+12-220,N(W226)+(301-220)/1E+7)</f>
        <v/>
      </c>
      <c r="BG226" s="241" t="n">
        <v>220</v>
      </c>
      <c r="BH226" s="246">
        <f>IF(calIni+219&lt;=pFinEff,calIni+219,"")</f>
        <v/>
      </c>
      <c r="BI226" s="241">
        <f>IF(BH226="","",WEEKDAY(BH226,2))</f>
        <v/>
      </c>
      <c r="BJ226" s="241">
        <f>IF(BH226="","",SUMIFS(rGasto,rFecha,BH226,rGrupo,"?*"))</f>
        <v/>
      </c>
      <c r="BK226" s="241">
        <f>IF(BH226="","",SUMIFS(rGasto,rFecha,BH226,rGrupo,gCP))</f>
        <v/>
      </c>
      <c r="BL226" s="241">
        <f>IF(BH226="",-1E+12-220,N(BJ226)+(400-220)/1E+7)</f>
        <v/>
      </c>
    </row>
    <row r="227">
      <c r="R227" s="241" t="n">
        <v>221</v>
      </c>
      <c r="S227" s="241">
        <f>IFERROR(INDEX(rCom,MATCH(221,rComIdx,0))&amp;"","")</f>
        <v/>
      </c>
      <c r="T227" s="241">
        <f>IF(S227="","",SUMIFS(rGasto,rCom,S227,rFecha,"&gt;="&amp;pIni,rFecha,"&lt;="&amp;pFin,rCat,critCat,rCtaE,critCta))</f>
        <v/>
      </c>
      <c r="U227" s="241">
        <f>IF(S227="","",COUNTIFS(rCom,S227,rTipoE,"Gasto",rFecha,"&gt;="&amp;pIni,rFecha,"&lt;="&amp;pFin,rCat,critCat,rCtaE,critCta))</f>
        <v/>
      </c>
      <c r="V227" s="241">
        <f>IF(S227="",-1E+12-221,N(T227)+(301-221)/1E+7)</f>
        <v/>
      </c>
      <c r="W227" s="241">
        <f>IF(S227="","",SUMIFS(rGasto,rCom,S227,rHorm,1,rFecha,"&gt;="&amp;pIni,rFecha,"&lt;="&amp;pFin))</f>
        <v/>
      </c>
      <c r="X227" s="241">
        <f>IF(S227="","",COUNTIFS(rCom,S227,rHorm,1,rFecha,"&gt;="&amp;pIni,rFecha,"&lt;="&amp;pFin))</f>
        <v/>
      </c>
      <c r="Y227" s="241">
        <f>IF(S227="",-1E+12-221,N(W227)+(301-221)/1E+7)</f>
        <v/>
      </c>
      <c r="BG227" s="241" t="n">
        <v>221</v>
      </c>
      <c r="BH227" s="246">
        <f>IF(calIni+220&lt;=pFinEff,calIni+220,"")</f>
        <v/>
      </c>
      <c r="BI227" s="241">
        <f>IF(BH227="","",WEEKDAY(BH227,2))</f>
        <v/>
      </c>
      <c r="BJ227" s="241">
        <f>IF(BH227="","",SUMIFS(rGasto,rFecha,BH227,rGrupo,"?*"))</f>
        <v/>
      </c>
      <c r="BK227" s="241">
        <f>IF(BH227="","",SUMIFS(rGasto,rFecha,BH227,rGrupo,gCP))</f>
        <v/>
      </c>
      <c r="BL227" s="241">
        <f>IF(BH227="",-1E+12-221,N(BJ227)+(400-221)/1E+7)</f>
        <v/>
      </c>
    </row>
    <row r="228">
      <c r="R228" s="241" t="n">
        <v>222</v>
      </c>
      <c r="S228" s="241">
        <f>IFERROR(INDEX(rCom,MATCH(222,rComIdx,0))&amp;"","")</f>
        <v/>
      </c>
      <c r="T228" s="241">
        <f>IF(S228="","",SUMIFS(rGasto,rCom,S228,rFecha,"&gt;="&amp;pIni,rFecha,"&lt;="&amp;pFin,rCat,critCat,rCtaE,critCta))</f>
        <v/>
      </c>
      <c r="U228" s="241">
        <f>IF(S228="","",COUNTIFS(rCom,S228,rTipoE,"Gasto",rFecha,"&gt;="&amp;pIni,rFecha,"&lt;="&amp;pFin,rCat,critCat,rCtaE,critCta))</f>
        <v/>
      </c>
      <c r="V228" s="241">
        <f>IF(S228="",-1E+12-222,N(T228)+(301-222)/1E+7)</f>
        <v/>
      </c>
      <c r="W228" s="241">
        <f>IF(S228="","",SUMIFS(rGasto,rCom,S228,rHorm,1,rFecha,"&gt;="&amp;pIni,rFecha,"&lt;="&amp;pFin))</f>
        <v/>
      </c>
      <c r="X228" s="241">
        <f>IF(S228="","",COUNTIFS(rCom,S228,rHorm,1,rFecha,"&gt;="&amp;pIni,rFecha,"&lt;="&amp;pFin))</f>
        <v/>
      </c>
      <c r="Y228" s="241">
        <f>IF(S228="",-1E+12-222,N(W228)+(301-222)/1E+7)</f>
        <v/>
      </c>
      <c r="BG228" s="241" t="n">
        <v>222</v>
      </c>
      <c r="BH228" s="246">
        <f>IF(calIni+221&lt;=pFinEff,calIni+221,"")</f>
        <v/>
      </c>
      <c r="BI228" s="241">
        <f>IF(BH228="","",WEEKDAY(BH228,2))</f>
        <v/>
      </c>
      <c r="BJ228" s="241">
        <f>IF(BH228="","",SUMIFS(rGasto,rFecha,BH228,rGrupo,"?*"))</f>
        <v/>
      </c>
      <c r="BK228" s="241">
        <f>IF(BH228="","",SUMIFS(rGasto,rFecha,BH228,rGrupo,gCP))</f>
        <v/>
      </c>
      <c r="BL228" s="241">
        <f>IF(BH228="",-1E+12-222,N(BJ228)+(400-222)/1E+7)</f>
        <v/>
      </c>
    </row>
    <row r="229">
      <c r="R229" s="241" t="n">
        <v>223</v>
      </c>
      <c r="S229" s="241">
        <f>IFERROR(INDEX(rCom,MATCH(223,rComIdx,0))&amp;"","")</f>
        <v/>
      </c>
      <c r="T229" s="241">
        <f>IF(S229="","",SUMIFS(rGasto,rCom,S229,rFecha,"&gt;="&amp;pIni,rFecha,"&lt;="&amp;pFin,rCat,critCat,rCtaE,critCta))</f>
        <v/>
      </c>
      <c r="U229" s="241">
        <f>IF(S229="","",COUNTIFS(rCom,S229,rTipoE,"Gasto",rFecha,"&gt;="&amp;pIni,rFecha,"&lt;="&amp;pFin,rCat,critCat,rCtaE,critCta))</f>
        <v/>
      </c>
      <c r="V229" s="241">
        <f>IF(S229="",-1E+12-223,N(T229)+(301-223)/1E+7)</f>
        <v/>
      </c>
      <c r="W229" s="241">
        <f>IF(S229="","",SUMIFS(rGasto,rCom,S229,rHorm,1,rFecha,"&gt;="&amp;pIni,rFecha,"&lt;="&amp;pFin))</f>
        <v/>
      </c>
      <c r="X229" s="241">
        <f>IF(S229="","",COUNTIFS(rCom,S229,rHorm,1,rFecha,"&gt;="&amp;pIni,rFecha,"&lt;="&amp;pFin))</f>
        <v/>
      </c>
      <c r="Y229" s="241">
        <f>IF(S229="",-1E+12-223,N(W229)+(301-223)/1E+7)</f>
        <v/>
      </c>
      <c r="BG229" s="241" t="n">
        <v>223</v>
      </c>
      <c r="BH229" s="246">
        <f>IF(calIni+222&lt;=pFinEff,calIni+222,"")</f>
        <v/>
      </c>
      <c r="BI229" s="241">
        <f>IF(BH229="","",WEEKDAY(BH229,2))</f>
        <v/>
      </c>
      <c r="BJ229" s="241">
        <f>IF(BH229="","",SUMIFS(rGasto,rFecha,BH229,rGrupo,"?*"))</f>
        <v/>
      </c>
      <c r="BK229" s="241">
        <f>IF(BH229="","",SUMIFS(rGasto,rFecha,BH229,rGrupo,gCP))</f>
        <v/>
      </c>
      <c r="BL229" s="241">
        <f>IF(BH229="",-1E+12-223,N(BJ229)+(400-223)/1E+7)</f>
        <v/>
      </c>
    </row>
    <row r="230">
      <c r="R230" s="241" t="n">
        <v>224</v>
      </c>
      <c r="S230" s="241">
        <f>IFERROR(INDEX(rCom,MATCH(224,rComIdx,0))&amp;"","")</f>
        <v/>
      </c>
      <c r="T230" s="241">
        <f>IF(S230="","",SUMIFS(rGasto,rCom,S230,rFecha,"&gt;="&amp;pIni,rFecha,"&lt;="&amp;pFin,rCat,critCat,rCtaE,critCta))</f>
        <v/>
      </c>
      <c r="U230" s="241">
        <f>IF(S230="","",COUNTIFS(rCom,S230,rTipoE,"Gasto",rFecha,"&gt;="&amp;pIni,rFecha,"&lt;="&amp;pFin,rCat,critCat,rCtaE,critCta))</f>
        <v/>
      </c>
      <c r="V230" s="241">
        <f>IF(S230="",-1E+12-224,N(T230)+(301-224)/1E+7)</f>
        <v/>
      </c>
      <c r="W230" s="241">
        <f>IF(S230="","",SUMIFS(rGasto,rCom,S230,rHorm,1,rFecha,"&gt;="&amp;pIni,rFecha,"&lt;="&amp;pFin))</f>
        <v/>
      </c>
      <c r="X230" s="241">
        <f>IF(S230="","",COUNTIFS(rCom,S230,rHorm,1,rFecha,"&gt;="&amp;pIni,rFecha,"&lt;="&amp;pFin))</f>
        <v/>
      </c>
      <c r="Y230" s="241">
        <f>IF(S230="",-1E+12-224,N(W230)+(301-224)/1E+7)</f>
        <v/>
      </c>
      <c r="BG230" s="241" t="n">
        <v>224</v>
      </c>
      <c r="BH230" s="246">
        <f>IF(calIni+223&lt;=pFinEff,calIni+223,"")</f>
        <v/>
      </c>
      <c r="BI230" s="241">
        <f>IF(BH230="","",WEEKDAY(BH230,2))</f>
        <v/>
      </c>
      <c r="BJ230" s="241">
        <f>IF(BH230="","",SUMIFS(rGasto,rFecha,BH230,rGrupo,"?*"))</f>
        <v/>
      </c>
      <c r="BK230" s="241">
        <f>IF(BH230="","",SUMIFS(rGasto,rFecha,BH230,rGrupo,gCP))</f>
        <v/>
      </c>
      <c r="BL230" s="241">
        <f>IF(BH230="",-1E+12-224,N(BJ230)+(400-224)/1E+7)</f>
        <v/>
      </c>
    </row>
    <row r="231">
      <c r="R231" s="241" t="n">
        <v>225</v>
      </c>
      <c r="S231" s="241">
        <f>IFERROR(INDEX(rCom,MATCH(225,rComIdx,0))&amp;"","")</f>
        <v/>
      </c>
      <c r="T231" s="241">
        <f>IF(S231="","",SUMIFS(rGasto,rCom,S231,rFecha,"&gt;="&amp;pIni,rFecha,"&lt;="&amp;pFin,rCat,critCat,rCtaE,critCta))</f>
        <v/>
      </c>
      <c r="U231" s="241">
        <f>IF(S231="","",COUNTIFS(rCom,S231,rTipoE,"Gasto",rFecha,"&gt;="&amp;pIni,rFecha,"&lt;="&amp;pFin,rCat,critCat,rCtaE,critCta))</f>
        <v/>
      </c>
      <c r="V231" s="241">
        <f>IF(S231="",-1E+12-225,N(T231)+(301-225)/1E+7)</f>
        <v/>
      </c>
      <c r="W231" s="241">
        <f>IF(S231="","",SUMIFS(rGasto,rCom,S231,rHorm,1,rFecha,"&gt;="&amp;pIni,rFecha,"&lt;="&amp;pFin))</f>
        <v/>
      </c>
      <c r="X231" s="241">
        <f>IF(S231="","",COUNTIFS(rCom,S231,rHorm,1,rFecha,"&gt;="&amp;pIni,rFecha,"&lt;="&amp;pFin))</f>
        <v/>
      </c>
      <c r="Y231" s="241">
        <f>IF(S231="",-1E+12-225,N(W231)+(301-225)/1E+7)</f>
        <v/>
      </c>
      <c r="BG231" s="241" t="n">
        <v>225</v>
      </c>
      <c r="BH231" s="246">
        <f>IF(calIni+224&lt;=pFinEff,calIni+224,"")</f>
        <v/>
      </c>
      <c r="BI231" s="241">
        <f>IF(BH231="","",WEEKDAY(BH231,2))</f>
        <v/>
      </c>
      <c r="BJ231" s="241">
        <f>IF(BH231="","",SUMIFS(rGasto,rFecha,BH231,rGrupo,"?*"))</f>
        <v/>
      </c>
      <c r="BK231" s="241">
        <f>IF(BH231="","",SUMIFS(rGasto,rFecha,BH231,rGrupo,gCP))</f>
        <v/>
      </c>
      <c r="BL231" s="241">
        <f>IF(BH231="",-1E+12-225,N(BJ231)+(400-225)/1E+7)</f>
        <v/>
      </c>
    </row>
    <row r="232">
      <c r="R232" s="241" t="n">
        <v>226</v>
      </c>
      <c r="S232" s="241">
        <f>IFERROR(INDEX(rCom,MATCH(226,rComIdx,0))&amp;"","")</f>
        <v/>
      </c>
      <c r="T232" s="241">
        <f>IF(S232="","",SUMIFS(rGasto,rCom,S232,rFecha,"&gt;="&amp;pIni,rFecha,"&lt;="&amp;pFin,rCat,critCat,rCtaE,critCta))</f>
        <v/>
      </c>
      <c r="U232" s="241">
        <f>IF(S232="","",COUNTIFS(rCom,S232,rTipoE,"Gasto",rFecha,"&gt;="&amp;pIni,rFecha,"&lt;="&amp;pFin,rCat,critCat,rCtaE,critCta))</f>
        <v/>
      </c>
      <c r="V232" s="241">
        <f>IF(S232="",-1E+12-226,N(T232)+(301-226)/1E+7)</f>
        <v/>
      </c>
      <c r="W232" s="241">
        <f>IF(S232="","",SUMIFS(rGasto,rCom,S232,rHorm,1,rFecha,"&gt;="&amp;pIni,rFecha,"&lt;="&amp;pFin))</f>
        <v/>
      </c>
      <c r="X232" s="241">
        <f>IF(S232="","",COUNTIFS(rCom,S232,rHorm,1,rFecha,"&gt;="&amp;pIni,rFecha,"&lt;="&amp;pFin))</f>
        <v/>
      </c>
      <c r="Y232" s="241">
        <f>IF(S232="",-1E+12-226,N(W232)+(301-226)/1E+7)</f>
        <v/>
      </c>
      <c r="BG232" s="241" t="n">
        <v>226</v>
      </c>
      <c r="BH232" s="246">
        <f>IF(calIni+225&lt;=pFinEff,calIni+225,"")</f>
        <v/>
      </c>
      <c r="BI232" s="241">
        <f>IF(BH232="","",WEEKDAY(BH232,2))</f>
        <v/>
      </c>
      <c r="BJ232" s="241">
        <f>IF(BH232="","",SUMIFS(rGasto,rFecha,BH232,rGrupo,"?*"))</f>
        <v/>
      </c>
      <c r="BK232" s="241">
        <f>IF(BH232="","",SUMIFS(rGasto,rFecha,BH232,rGrupo,gCP))</f>
        <v/>
      </c>
      <c r="BL232" s="241">
        <f>IF(BH232="",-1E+12-226,N(BJ232)+(400-226)/1E+7)</f>
        <v/>
      </c>
    </row>
    <row r="233">
      <c r="R233" s="241" t="n">
        <v>227</v>
      </c>
      <c r="S233" s="241">
        <f>IFERROR(INDEX(rCom,MATCH(227,rComIdx,0))&amp;"","")</f>
        <v/>
      </c>
      <c r="T233" s="241">
        <f>IF(S233="","",SUMIFS(rGasto,rCom,S233,rFecha,"&gt;="&amp;pIni,rFecha,"&lt;="&amp;pFin,rCat,critCat,rCtaE,critCta))</f>
        <v/>
      </c>
      <c r="U233" s="241">
        <f>IF(S233="","",COUNTIFS(rCom,S233,rTipoE,"Gasto",rFecha,"&gt;="&amp;pIni,rFecha,"&lt;="&amp;pFin,rCat,critCat,rCtaE,critCta))</f>
        <v/>
      </c>
      <c r="V233" s="241">
        <f>IF(S233="",-1E+12-227,N(T233)+(301-227)/1E+7)</f>
        <v/>
      </c>
      <c r="W233" s="241">
        <f>IF(S233="","",SUMIFS(rGasto,rCom,S233,rHorm,1,rFecha,"&gt;="&amp;pIni,rFecha,"&lt;="&amp;pFin))</f>
        <v/>
      </c>
      <c r="X233" s="241">
        <f>IF(S233="","",COUNTIFS(rCom,S233,rHorm,1,rFecha,"&gt;="&amp;pIni,rFecha,"&lt;="&amp;pFin))</f>
        <v/>
      </c>
      <c r="Y233" s="241">
        <f>IF(S233="",-1E+12-227,N(W233)+(301-227)/1E+7)</f>
        <v/>
      </c>
      <c r="BG233" s="241" t="n">
        <v>227</v>
      </c>
      <c r="BH233" s="246">
        <f>IF(calIni+226&lt;=pFinEff,calIni+226,"")</f>
        <v/>
      </c>
      <c r="BI233" s="241">
        <f>IF(BH233="","",WEEKDAY(BH233,2))</f>
        <v/>
      </c>
      <c r="BJ233" s="241">
        <f>IF(BH233="","",SUMIFS(rGasto,rFecha,BH233,rGrupo,"?*"))</f>
        <v/>
      </c>
      <c r="BK233" s="241">
        <f>IF(BH233="","",SUMIFS(rGasto,rFecha,BH233,rGrupo,gCP))</f>
        <v/>
      </c>
      <c r="BL233" s="241">
        <f>IF(BH233="",-1E+12-227,N(BJ233)+(400-227)/1E+7)</f>
        <v/>
      </c>
    </row>
    <row r="234">
      <c r="R234" s="241" t="n">
        <v>228</v>
      </c>
      <c r="S234" s="241">
        <f>IFERROR(INDEX(rCom,MATCH(228,rComIdx,0))&amp;"","")</f>
        <v/>
      </c>
      <c r="T234" s="241">
        <f>IF(S234="","",SUMIFS(rGasto,rCom,S234,rFecha,"&gt;="&amp;pIni,rFecha,"&lt;="&amp;pFin,rCat,critCat,rCtaE,critCta))</f>
        <v/>
      </c>
      <c r="U234" s="241">
        <f>IF(S234="","",COUNTIFS(rCom,S234,rTipoE,"Gasto",rFecha,"&gt;="&amp;pIni,rFecha,"&lt;="&amp;pFin,rCat,critCat,rCtaE,critCta))</f>
        <v/>
      </c>
      <c r="V234" s="241">
        <f>IF(S234="",-1E+12-228,N(T234)+(301-228)/1E+7)</f>
        <v/>
      </c>
      <c r="W234" s="241">
        <f>IF(S234="","",SUMIFS(rGasto,rCom,S234,rHorm,1,rFecha,"&gt;="&amp;pIni,rFecha,"&lt;="&amp;pFin))</f>
        <v/>
      </c>
      <c r="X234" s="241">
        <f>IF(S234="","",COUNTIFS(rCom,S234,rHorm,1,rFecha,"&gt;="&amp;pIni,rFecha,"&lt;="&amp;pFin))</f>
        <v/>
      </c>
      <c r="Y234" s="241">
        <f>IF(S234="",-1E+12-228,N(W234)+(301-228)/1E+7)</f>
        <v/>
      </c>
      <c r="BG234" s="241" t="n">
        <v>228</v>
      </c>
      <c r="BH234" s="246">
        <f>IF(calIni+227&lt;=pFinEff,calIni+227,"")</f>
        <v/>
      </c>
      <c r="BI234" s="241">
        <f>IF(BH234="","",WEEKDAY(BH234,2))</f>
        <v/>
      </c>
      <c r="BJ234" s="241">
        <f>IF(BH234="","",SUMIFS(rGasto,rFecha,BH234,rGrupo,"?*"))</f>
        <v/>
      </c>
      <c r="BK234" s="241">
        <f>IF(BH234="","",SUMIFS(rGasto,rFecha,BH234,rGrupo,gCP))</f>
        <v/>
      </c>
      <c r="BL234" s="241">
        <f>IF(BH234="",-1E+12-228,N(BJ234)+(400-228)/1E+7)</f>
        <v/>
      </c>
    </row>
    <row r="235">
      <c r="R235" s="241" t="n">
        <v>229</v>
      </c>
      <c r="S235" s="241">
        <f>IFERROR(INDEX(rCom,MATCH(229,rComIdx,0))&amp;"","")</f>
        <v/>
      </c>
      <c r="T235" s="241">
        <f>IF(S235="","",SUMIFS(rGasto,rCom,S235,rFecha,"&gt;="&amp;pIni,rFecha,"&lt;="&amp;pFin,rCat,critCat,rCtaE,critCta))</f>
        <v/>
      </c>
      <c r="U235" s="241">
        <f>IF(S235="","",COUNTIFS(rCom,S235,rTipoE,"Gasto",rFecha,"&gt;="&amp;pIni,rFecha,"&lt;="&amp;pFin,rCat,critCat,rCtaE,critCta))</f>
        <v/>
      </c>
      <c r="V235" s="241">
        <f>IF(S235="",-1E+12-229,N(T235)+(301-229)/1E+7)</f>
        <v/>
      </c>
      <c r="W235" s="241">
        <f>IF(S235="","",SUMIFS(rGasto,rCom,S235,rHorm,1,rFecha,"&gt;="&amp;pIni,rFecha,"&lt;="&amp;pFin))</f>
        <v/>
      </c>
      <c r="X235" s="241">
        <f>IF(S235="","",COUNTIFS(rCom,S235,rHorm,1,rFecha,"&gt;="&amp;pIni,rFecha,"&lt;="&amp;pFin))</f>
        <v/>
      </c>
      <c r="Y235" s="241">
        <f>IF(S235="",-1E+12-229,N(W235)+(301-229)/1E+7)</f>
        <v/>
      </c>
      <c r="BG235" s="241" t="n">
        <v>229</v>
      </c>
      <c r="BH235" s="246">
        <f>IF(calIni+228&lt;=pFinEff,calIni+228,"")</f>
        <v/>
      </c>
      <c r="BI235" s="241">
        <f>IF(BH235="","",WEEKDAY(BH235,2))</f>
        <v/>
      </c>
      <c r="BJ235" s="241">
        <f>IF(BH235="","",SUMIFS(rGasto,rFecha,BH235,rGrupo,"?*"))</f>
        <v/>
      </c>
      <c r="BK235" s="241">
        <f>IF(BH235="","",SUMIFS(rGasto,rFecha,BH235,rGrupo,gCP))</f>
        <v/>
      </c>
      <c r="BL235" s="241">
        <f>IF(BH235="",-1E+12-229,N(BJ235)+(400-229)/1E+7)</f>
        <v/>
      </c>
    </row>
    <row r="236">
      <c r="R236" s="241" t="n">
        <v>230</v>
      </c>
      <c r="S236" s="241">
        <f>IFERROR(INDEX(rCom,MATCH(230,rComIdx,0))&amp;"","")</f>
        <v/>
      </c>
      <c r="T236" s="241">
        <f>IF(S236="","",SUMIFS(rGasto,rCom,S236,rFecha,"&gt;="&amp;pIni,rFecha,"&lt;="&amp;pFin,rCat,critCat,rCtaE,critCta))</f>
        <v/>
      </c>
      <c r="U236" s="241">
        <f>IF(S236="","",COUNTIFS(rCom,S236,rTipoE,"Gasto",rFecha,"&gt;="&amp;pIni,rFecha,"&lt;="&amp;pFin,rCat,critCat,rCtaE,critCta))</f>
        <v/>
      </c>
      <c r="V236" s="241">
        <f>IF(S236="",-1E+12-230,N(T236)+(301-230)/1E+7)</f>
        <v/>
      </c>
      <c r="W236" s="241">
        <f>IF(S236="","",SUMIFS(rGasto,rCom,S236,rHorm,1,rFecha,"&gt;="&amp;pIni,rFecha,"&lt;="&amp;pFin))</f>
        <v/>
      </c>
      <c r="X236" s="241">
        <f>IF(S236="","",COUNTIFS(rCom,S236,rHorm,1,rFecha,"&gt;="&amp;pIni,rFecha,"&lt;="&amp;pFin))</f>
        <v/>
      </c>
      <c r="Y236" s="241">
        <f>IF(S236="",-1E+12-230,N(W236)+(301-230)/1E+7)</f>
        <v/>
      </c>
      <c r="BG236" s="241" t="n">
        <v>230</v>
      </c>
      <c r="BH236" s="246">
        <f>IF(calIni+229&lt;=pFinEff,calIni+229,"")</f>
        <v/>
      </c>
      <c r="BI236" s="241">
        <f>IF(BH236="","",WEEKDAY(BH236,2))</f>
        <v/>
      </c>
      <c r="BJ236" s="241">
        <f>IF(BH236="","",SUMIFS(rGasto,rFecha,BH236,rGrupo,"?*"))</f>
        <v/>
      </c>
      <c r="BK236" s="241">
        <f>IF(BH236="","",SUMIFS(rGasto,rFecha,BH236,rGrupo,gCP))</f>
        <v/>
      </c>
      <c r="BL236" s="241">
        <f>IF(BH236="",-1E+12-230,N(BJ236)+(400-230)/1E+7)</f>
        <v/>
      </c>
    </row>
    <row r="237">
      <c r="R237" s="241" t="n">
        <v>231</v>
      </c>
      <c r="S237" s="241">
        <f>IFERROR(INDEX(rCom,MATCH(231,rComIdx,0))&amp;"","")</f>
        <v/>
      </c>
      <c r="T237" s="241">
        <f>IF(S237="","",SUMIFS(rGasto,rCom,S237,rFecha,"&gt;="&amp;pIni,rFecha,"&lt;="&amp;pFin,rCat,critCat,rCtaE,critCta))</f>
        <v/>
      </c>
      <c r="U237" s="241">
        <f>IF(S237="","",COUNTIFS(rCom,S237,rTipoE,"Gasto",rFecha,"&gt;="&amp;pIni,rFecha,"&lt;="&amp;pFin,rCat,critCat,rCtaE,critCta))</f>
        <v/>
      </c>
      <c r="V237" s="241">
        <f>IF(S237="",-1E+12-231,N(T237)+(301-231)/1E+7)</f>
        <v/>
      </c>
      <c r="W237" s="241">
        <f>IF(S237="","",SUMIFS(rGasto,rCom,S237,rHorm,1,rFecha,"&gt;="&amp;pIni,rFecha,"&lt;="&amp;pFin))</f>
        <v/>
      </c>
      <c r="X237" s="241">
        <f>IF(S237="","",COUNTIFS(rCom,S237,rHorm,1,rFecha,"&gt;="&amp;pIni,rFecha,"&lt;="&amp;pFin))</f>
        <v/>
      </c>
      <c r="Y237" s="241">
        <f>IF(S237="",-1E+12-231,N(W237)+(301-231)/1E+7)</f>
        <v/>
      </c>
      <c r="BG237" s="241" t="n">
        <v>231</v>
      </c>
      <c r="BH237" s="246">
        <f>IF(calIni+230&lt;=pFinEff,calIni+230,"")</f>
        <v/>
      </c>
      <c r="BI237" s="241">
        <f>IF(BH237="","",WEEKDAY(BH237,2))</f>
        <v/>
      </c>
      <c r="BJ237" s="241">
        <f>IF(BH237="","",SUMIFS(rGasto,rFecha,BH237,rGrupo,"?*"))</f>
        <v/>
      </c>
      <c r="BK237" s="241">
        <f>IF(BH237="","",SUMIFS(rGasto,rFecha,BH237,rGrupo,gCP))</f>
        <v/>
      </c>
      <c r="BL237" s="241">
        <f>IF(BH237="",-1E+12-231,N(BJ237)+(400-231)/1E+7)</f>
        <v/>
      </c>
    </row>
    <row r="238">
      <c r="R238" s="241" t="n">
        <v>232</v>
      </c>
      <c r="S238" s="241">
        <f>IFERROR(INDEX(rCom,MATCH(232,rComIdx,0))&amp;"","")</f>
        <v/>
      </c>
      <c r="T238" s="241">
        <f>IF(S238="","",SUMIFS(rGasto,rCom,S238,rFecha,"&gt;="&amp;pIni,rFecha,"&lt;="&amp;pFin,rCat,critCat,rCtaE,critCta))</f>
        <v/>
      </c>
      <c r="U238" s="241">
        <f>IF(S238="","",COUNTIFS(rCom,S238,rTipoE,"Gasto",rFecha,"&gt;="&amp;pIni,rFecha,"&lt;="&amp;pFin,rCat,critCat,rCtaE,critCta))</f>
        <v/>
      </c>
      <c r="V238" s="241">
        <f>IF(S238="",-1E+12-232,N(T238)+(301-232)/1E+7)</f>
        <v/>
      </c>
      <c r="W238" s="241">
        <f>IF(S238="","",SUMIFS(rGasto,rCom,S238,rHorm,1,rFecha,"&gt;="&amp;pIni,rFecha,"&lt;="&amp;pFin))</f>
        <v/>
      </c>
      <c r="X238" s="241">
        <f>IF(S238="","",COUNTIFS(rCom,S238,rHorm,1,rFecha,"&gt;="&amp;pIni,rFecha,"&lt;="&amp;pFin))</f>
        <v/>
      </c>
      <c r="Y238" s="241">
        <f>IF(S238="",-1E+12-232,N(W238)+(301-232)/1E+7)</f>
        <v/>
      </c>
      <c r="BG238" s="241" t="n">
        <v>232</v>
      </c>
      <c r="BH238" s="246">
        <f>IF(calIni+231&lt;=pFinEff,calIni+231,"")</f>
        <v/>
      </c>
      <c r="BI238" s="241">
        <f>IF(BH238="","",WEEKDAY(BH238,2))</f>
        <v/>
      </c>
      <c r="BJ238" s="241">
        <f>IF(BH238="","",SUMIFS(rGasto,rFecha,BH238,rGrupo,"?*"))</f>
        <v/>
      </c>
      <c r="BK238" s="241">
        <f>IF(BH238="","",SUMIFS(rGasto,rFecha,BH238,rGrupo,gCP))</f>
        <v/>
      </c>
      <c r="BL238" s="241">
        <f>IF(BH238="",-1E+12-232,N(BJ238)+(400-232)/1E+7)</f>
        <v/>
      </c>
    </row>
    <row r="239">
      <c r="R239" s="241" t="n">
        <v>233</v>
      </c>
      <c r="S239" s="241">
        <f>IFERROR(INDEX(rCom,MATCH(233,rComIdx,0))&amp;"","")</f>
        <v/>
      </c>
      <c r="T239" s="241">
        <f>IF(S239="","",SUMIFS(rGasto,rCom,S239,rFecha,"&gt;="&amp;pIni,rFecha,"&lt;="&amp;pFin,rCat,critCat,rCtaE,critCta))</f>
        <v/>
      </c>
      <c r="U239" s="241">
        <f>IF(S239="","",COUNTIFS(rCom,S239,rTipoE,"Gasto",rFecha,"&gt;="&amp;pIni,rFecha,"&lt;="&amp;pFin,rCat,critCat,rCtaE,critCta))</f>
        <v/>
      </c>
      <c r="V239" s="241">
        <f>IF(S239="",-1E+12-233,N(T239)+(301-233)/1E+7)</f>
        <v/>
      </c>
      <c r="W239" s="241">
        <f>IF(S239="","",SUMIFS(rGasto,rCom,S239,rHorm,1,rFecha,"&gt;="&amp;pIni,rFecha,"&lt;="&amp;pFin))</f>
        <v/>
      </c>
      <c r="X239" s="241">
        <f>IF(S239="","",COUNTIFS(rCom,S239,rHorm,1,rFecha,"&gt;="&amp;pIni,rFecha,"&lt;="&amp;pFin))</f>
        <v/>
      </c>
      <c r="Y239" s="241">
        <f>IF(S239="",-1E+12-233,N(W239)+(301-233)/1E+7)</f>
        <v/>
      </c>
      <c r="BG239" s="241" t="n">
        <v>233</v>
      </c>
      <c r="BH239" s="246">
        <f>IF(calIni+232&lt;=pFinEff,calIni+232,"")</f>
        <v/>
      </c>
      <c r="BI239" s="241">
        <f>IF(BH239="","",WEEKDAY(BH239,2))</f>
        <v/>
      </c>
      <c r="BJ239" s="241">
        <f>IF(BH239="","",SUMIFS(rGasto,rFecha,BH239,rGrupo,"?*"))</f>
        <v/>
      </c>
      <c r="BK239" s="241">
        <f>IF(BH239="","",SUMIFS(rGasto,rFecha,BH239,rGrupo,gCP))</f>
        <v/>
      </c>
      <c r="BL239" s="241">
        <f>IF(BH239="",-1E+12-233,N(BJ239)+(400-233)/1E+7)</f>
        <v/>
      </c>
    </row>
    <row r="240">
      <c r="R240" s="241" t="n">
        <v>234</v>
      </c>
      <c r="S240" s="241">
        <f>IFERROR(INDEX(rCom,MATCH(234,rComIdx,0))&amp;"","")</f>
        <v/>
      </c>
      <c r="T240" s="241">
        <f>IF(S240="","",SUMIFS(rGasto,rCom,S240,rFecha,"&gt;="&amp;pIni,rFecha,"&lt;="&amp;pFin,rCat,critCat,rCtaE,critCta))</f>
        <v/>
      </c>
      <c r="U240" s="241">
        <f>IF(S240="","",COUNTIFS(rCom,S240,rTipoE,"Gasto",rFecha,"&gt;="&amp;pIni,rFecha,"&lt;="&amp;pFin,rCat,critCat,rCtaE,critCta))</f>
        <v/>
      </c>
      <c r="V240" s="241">
        <f>IF(S240="",-1E+12-234,N(T240)+(301-234)/1E+7)</f>
        <v/>
      </c>
      <c r="W240" s="241">
        <f>IF(S240="","",SUMIFS(rGasto,rCom,S240,rHorm,1,rFecha,"&gt;="&amp;pIni,rFecha,"&lt;="&amp;pFin))</f>
        <v/>
      </c>
      <c r="X240" s="241">
        <f>IF(S240="","",COUNTIFS(rCom,S240,rHorm,1,rFecha,"&gt;="&amp;pIni,rFecha,"&lt;="&amp;pFin))</f>
        <v/>
      </c>
      <c r="Y240" s="241">
        <f>IF(S240="",-1E+12-234,N(W240)+(301-234)/1E+7)</f>
        <v/>
      </c>
      <c r="BG240" s="241" t="n">
        <v>234</v>
      </c>
      <c r="BH240" s="246">
        <f>IF(calIni+233&lt;=pFinEff,calIni+233,"")</f>
        <v/>
      </c>
      <c r="BI240" s="241">
        <f>IF(BH240="","",WEEKDAY(BH240,2))</f>
        <v/>
      </c>
      <c r="BJ240" s="241">
        <f>IF(BH240="","",SUMIFS(rGasto,rFecha,BH240,rGrupo,"?*"))</f>
        <v/>
      </c>
      <c r="BK240" s="241">
        <f>IF(BH240="","",SUMIFS(rGasto,rFecha,BH240,rGrupo,gCP))</f>
        <v/>
      </c>
      <c r="BL240" s="241">
        <f>IF(BH240="",-1E+12-234,N(BJ240)+(400-234)/1E+7)</f>
        <v/>
      </c>
    </row>
    <row r="241">
      <c r="R241" s="241" t="n">
        <v>235</v>
      </c>
      <c r="S241" s="241">
        <f>IFERROR(INDEX(rCom,MATCH(235,rComIdx,0))&amp;"","")</f>
        <v/>
      </c>
      <c r="T241" s="241">
        <f>IF(S241="","",SUMIFS(rGasto,rCom,S241,rFecha,"&gt;="&amp;pIni,rFecha,"&lt;="&amp;pFin,rCat,critCat,rCtaE,critCta))</f>
        <v/>
      </c>
      <c r="U241" s="241">
        <f>IF(S241="","",COUNTIFS(rCom,S241,rTipoE,"Gasto",rFecha,"&gt;="&amp;pIni,rFecha,"&lt;="&amp;pFin,rCat,critCat,rCtaE,critCta))</f>
        <v/>
      </c>
      <c r="V241" s="241">
        <f>IF(S241="",-1E+12-235,N(T241)+(301-235)/1E+7)</f>
        <v/>
      </c>
      <c r="W241" s="241">
        <f>IF(S241="","",SUMIFS(rGasto,rCom,S241,rHorm,1,rFecha,"&gt;="&amp;pIni,rFecha,"&lt;="&amp;pFin))</f>
        <v/>
      </c>
      <c r="X241" s="241">
        <f>IF(S241="","",COUNTIFS(rCom,S241,rHorm,1,rFecha,"&gt;="&amp;pIni,rFecha,"&lt;="&amp;pFin))</f>
        <v/>
      </c>
      <c r="Y241" s="241">
        <f>IF(S241="",-1E+12-235,N(W241)+(301-235)/1E+7)</f>
        <v/>
      </c>
      <c r="BG241" s="241" t="n">
        <v>235</v>
      </c>
      <c r="BH241" s="246">
        <f>IF(calIni+234&lt;=pFinEff,calIni+234,"")</f>
        <v/>
      </c>
      <c r="BI241" s="241">
        <f>IF(BH241="","",WEEKDAY(BH241,2))</f>
        <v/>
      </c>
      <c r="BJ241" s="241">
        <f>IF(BH241="","",SUMIFS(rGasto,rFecha,BH241,rGrupo,"?*"))</f>
        <v/>
      </c>
      <c r="BK241" s="241">
        <f>IF(BH241="","",SUMIFS(rGasto,rFecha,BH241,rGrupo,gCP))</f>
        <v/>
      </c>
      <c r="BL241" s="241">
        <f>IF(BH241="",-1E+12-235,N(BJ241)+(400-235)/1E+7)</f>
        <v/>
      </c>
    </row>
    <row r="242">
      <c r="R242" s="241" t="n">
        <v>236</v>
      </c>
      <c r="S242" s="241">
        <f>IFERROR(INDEX(rCom,MATCH(236,rComIdx,0))&amp;"","")</f>
        <v/>
      </c>
      <c r="T242" s="241">
        <f>IF(S242="","",SUMIFS(rGasto,rCom,S242,rFecha,"&gt;="&amp;pIni,rFecha,"&lt;="&amp;pFin,rCat,critCat,rCtaE,critCta))</f>
        <v/>
      </c>
      <c r="U242" s="241">
        <f>IF(S242="","",COUNTIFS(rCom,S242,rTipoE,"Gasto",rFecha,"&gt;="&amp;pIni,rFecha,"&lt;="&amp;pFin,rCat,critCat,rCtaE,critCta))</f>
        <v/>
      </c>
      <c r="V242" s="241">
        <f>IF(S242="",-1E+12-236,N(T242)+(301-236)/1E+7)</f>
        <v/>
      </c>
      <c r="W242" s="241">
        <f>IF(S242="","",SUMIFS(rGasto,rCom,S242,rHorm,1,rFecha,"&gt;="&amp;pIni,rFecha,"&lt;="&amp;pFin))</f>
        <v/>
      </c>
      <c r="X242" s="241">
        <f>IF(S242="","",COUNTIFS(rCom,S242,rHorm,1,rFecha,"&gt;="&amp;pIni,rFecha,"&lt;="&amp;pFin))</f>
        <v/>
      </c>
      <c r="Y242" s="241">
        <f>IF(S242="",-1E+12-236,N(W242)+(301-236)/1E+7)</f>
        <v/>
      </c>
      <c r="BG242" s="241" t="n">
        <v>236</v>
      </c>
      <c r="BH242" s="246">
        <f>IF(calIni+235&lt;=pFinEff,calIni+235,"")</f>
        <v/>
      </c>
      <c r="BI242" s="241">
        <f>IF(BH242="","",WEEKDAY(BH242,2))</f>
        <v/>
      </c>
      <c r="BJ242" s="241">
        <f>IF(BH242="","",SUMIFS(rGasto,rFecha,BH242,rGrupo,"?*"))</f>
        <v/>
      </c>
      <c r="BK242" s="241">
        <f>IF(BH242="","",SUMIFS(rGasto,rFecha,BH242,rGrupo,gCP))</f>
        <v/>
      </c>
      <c r="BL242" s="241">
        <f>IF(BH242="",-1E+12-236,N(BJ242)+(400-236)/1E+7)</f>
        <v/>
      </c>
    </row>
    <row r="243">
      <c r="R243" s="241" t="n">
        <v>237</v>
      </c>
      <c r="S243" s="241">
        <f>IFERROR(INDEX(rCom,MATCH(237,rComIdx,0))&amp;"","")</f>
        <v/>
      </c>
      <c r="T243" s="241">
        <f>IF(S243="","",SUMIFS(rGasto,rCom,S243,rFecha,"&gt;="&amp;pIni,rFecha,"&lt;="&amp;pFin,rCat,critCat,rCtaE,critCta))</f>
        <v/>
      </c>
      <c r="U243" s="241">
        <f>IF(S243="","",COUNTIFS(rCom,S243,rTipoE,"Gasto",rFecha,"&gt;="&amp;pIni,rFecha,"&lt;="&amp;pFin,rCat,critCat,rCtaE,critCta))</f>
        <v/>
      </c>
      <c r="V243" s="241">
        <f>IF(S243="",-1E+12-237,N(T243)+(301-237)/1E+7)</f>
        <v/>
      </c>
      <c r="W243" s="241">
        <f>IF(S243="","",SUMIFS(rGasto,rCom,S243,rHorm,1,rFecha,"&gt;="&amp;pIni,rFecha,"&lt;="&amp;pFin))</f>
        <v/>
      </c>
      <c r="X243" s="241">
        <f>IF(S243="","",COUNTIFS(rCom,S243,rHorm,1,rFecha,"&gt;="&amp;pIni,rFecha,"&lt;="&amp;pFin))</f>
        <v/>
      </c>
      <c r="Y243" s="241">
        <f>IF(S243="",-1E+12-237,N(W243)+(301-237)/1E+7)</f>
        <v/>
      </c>
      <c r="BG243" s="241" t="n">
        <v>237</v>
      </c>
      <c r="BH243" s="246">
        <f>IF(calIni+236&lt;=pFinEff,calIni+236,"")</f>
        <v/>
      </c>
      <c r="BI243" s="241">
        <f>IF(BH243="","",WEEKDAY(BH243,2))</f>
        <v/>
      </c>
      <c r="BJ243" s="241">
        <f>IF(BH243="","",SUMIFS(rGasto,rFecha,BH243,rGrupo,"?*"))</f>
        <v/>
      </c>
      <c r="BK243" s="241">
        <f>IF(BH243="","",SUMIFS(rGasto,rFecha,BH243,rGrupo,gCP))</f>
        <v/>
      </c>
      <c r="BL243" s="241">
        <f>IF(BH243="",-1E+12-237,N(BJ243)+(400-237)/1E+7)</f>
        <v/>
      </c>
    </row>
    <row r="244">
      <c r="R244" s="241" t="n">
        <v>238</v>
      </c>
      <c r="S244" s="241">
        <f>IFERROR(INDEX(rCom,MATCH(238,rComIdx,0))&amp;"","")</f>
        <v/>
      </c>
      <c r="T244" s="241">
        <f>IF(S244="","",SUMIFS(rGasto,rCom,S244,rFecha,"&gt;="&amp;pIni,rFecha,"&lt;="&amp;pFin,rCat,critCat,rCtaE,critCta))</f>
        <v/>
      </c>
      <c r="U244" s="241">
        <f>IF(S244="","",COUNTIFS(rCom,S244,rTipoE,"Gasto",rFecha,"&gt;="&amp;pIni,rFecha,"&lt;="&amp;pFin,rCat,critCat,rCtaE,critCta))</f>
        <v/>
      </c>
      <c r="V244" s="241">
        <f>IF(S244="",-1E+12-238,N(T244)+(301-238)/1E+7)</f>
        <v/>
      </c>
      <c r="W244" s="241">
        <f>IF(S244="","",SUMIFS(rGasto,rCom,S244,rHorm,1,rFecha,"&gt;="&amp;pIni,rFecha,"&lt;="&amp;pFin))</f>
        <v/>
      </c>
      <c r="X244" s="241">
        <f>IF(S244="","",COUNTIFS(rCom,S244,rHorm,1,rFecha,"&gt;="&amp;pIni,rFecha,"&lt;="&amp;pFin))</f>
        <v/>
      </c>
      <c r="Y244" s="241">
        <f>IF(S244="",-1E+12-238,N(W244)+(301-238)/1E+7)</f>
        <v/>
      </c>
      <c r="BG244" s="241" t="n">
        <v>238</v>
      </c>
      <c r="BH244" s="246">
        <f>IF(calIni+237&lt;=pFinEff,calIni+237,"")</f>
        <v/>
      </c>
      <c r="BI244" s="241">
        <f>IF(BH244="","",WEEKDAY(BH244,2))</f>
        <v/>
      </c>
      <c r="BJ244" s="241">
        <f>IF(BH244="","",SUMIFS(rGasto,rFecha,BH244,rGrupo,"?*"))</f>
        <v/>
      </c>
      <c r="BK244" s="241">
        <f>IF(BH244="","",SUMIFS(rGasto,rFecha,BH244,rGrupo,gCP))</f>
        <v/>
      </c>
      <c r="BL244" s="241">
        <f>IF(BH244="",-1E+12-238,N(BJ244)+(400-238)/1E+7)</f>
        <v/>
      </c>
    </row>
    <row r="245">
      <c r="R245" s="241" t="n">
        <v>239</v>
      </c>
      <c r="S245" s="241">
        <f>IFERROR(INDEX(rCom,MATCH(239,rComIdx,0))&amp;"","")</f>
        <v/>
      </c>
      <c r="T245" s="241">
        <f>IF(S245="","",SUMIFS(rGasto,rCom,S245,rFecha,"&gt;="&amp;pIni,rFecha,"&lt;="&amp;pFin,rCat,critCat,rCtaE,critCta))</f>
        <v/>
      </c>
      <c r="U245" s="241">
        <f>IF(S245="","",COUNTIFS(rCom,S245,rTipoE,"Gasto",rFecha,"&gt;="&amp;pIni,rFecha,"&lt;="&amp;pFin,rCat,critCat,rCtaE,critCta))</f>
        <v/>
      </c>
      <c r="V245" s="241">
        <f>IF(S245="",-1E+12-239,N(T245)+(301-239)/1E+7)</f>
        <v/>
      </c>
      <c r="W245" s="241">
        <f>IF(S245="","",SUMIFS(rGasto,rCom,S245,rHorm,1,rFecha,"&gt;="&amp;pIni,rFecha,"&lt;="&amp;pFin))</f>
        <v/>
      </c>
      <c r="X245" s="241">
        <f>IF(S245="","",COUNTIFS(rCom,S245,rHorm,1,rFecha,"&gt;="&amp;pIni,rFecha,"&lt;="&amp;pFin))</f>
        <v/>
      </c>
      <c r="Y245" s="241">
        <f>IF(S245="",-1E+12-239,N(W245)+(301-239)/1E+7)</f>
        <v/>
      </c>
      <c r="BG245" s="241" t="n">
        <v>239</v>
      </c>
      <c r="BH245" s="246">
        <f>IF(calIni+238&lt;=pFinEff,calIni+238,"")</f>
        <v/>
      </c>
      <c r="BI245" s="241">
        <f>IF(BH245="","",WEEKDAY(BH245,2))</f>
        <v/>
      </c>
      <c r="BJ245" s="241">
        <f>IF(BH245="","",SUMIFS(rGasto,rFecha,BH245,rGrupo,"?*"))</f>
        <v/>
      </c>
      <c r="BK245" s="241">
        <f>IF(BH245="","",SUMIFS(rGasto,rFecha,BH245,rGrupo,gCP))</f>
        <v/>
      </c>
      <c r="BL245" s="241">
        <f>IF(BH245="",-1E+12-239,N(BJ245)+(400-239)/1E+7)</f>
        <v/>
      </c>
    </row>
    <row r="246">
      <c r="R246" s="241" t="n">
        <v>240</v>
      </c>
      <c r="S246" s="241">
        <f>IFERROR(INDEX(rCom,MATCH(240,rComIdx,0))&amp;"","")</f>
        <v/>
      </c>
      <c r="T246" s="241">
        <f>IF(S246="","",SUMIFS(rGasto,rCom,S246,rFecha,"&gt;="&amp;pIni,rFecha,"&lt;="&amp;pFin,rCat,critCat,rCtaE,critCta))</f>
        <v/>
      </c>
      <c r="U246" s="241">
        <f>IF(S246="","",COUNTIFS(rCom,S246,rTipoE,"Gasto",rFecha,"&gt;="&amp;pIni,rFecha,"&lt;="&amp;pFin,rCat,critCat,rCtaE,critCta))</f>
        <v/>
      </c>
      <c r="V246" s="241">
        <f>IF(S246="",-1E+12-240,N(T246)+(301-240)/1E+7)</f>
        <v/>
      </c>
      <c r="W246" s="241">
        <f>IF(S246="","",SUMIFS(rGasto,rCom,S246,rHorm,1,rFecha,"&gt;="&amp;pIni,rFecha,"&lt;="&amp;pFin))</f>
        <v/>
      </c>
      <c r="X246" s="241">
        <f>IF(S246="","",COUNTIFS(rCom,S246,rHorm,1,rFecha,"&gt;="&amp;pIni,rFecha,"&lt;="&amp;pFin))</f>
        <v/>
      </c>
      <c r="Y246" s="241">
        <f>IF(S246="",-1E+12-240,N(W246)+(301-240)/1E+7)</f>
        <v/>
      </c>
      <c r="BG246" s="241" t="n">
        <v>240</v>
      </c>
      <c r="BH246" s="246">
        <f>IF(calIni+239&lt;=pFinEff,calIni+239,"")</f>
        <v/>
      </c>
      <c r="BI246" s="241">
        <f>IF(BH246="","",WEEKDAY(BH246,2))</f>
        <v/>
      </c>
      <c r="BJ246" s="241">
        <f>IF(BH246="","",SUMIFS(rGasto,rFecha,BH246,rGrupo,"?*"))</f>
        <v/>
      </c>
      <c r="BK246" s="241">
        <f>IF(BH246="","",SUMIFS(rGasto,rFecha,BH246,rGrupo,gCP))</f>
        <v/>
      </c>
      <c r="BL246" s="241">
        <f>IF(BH246="",-1E+12-240,N(BJ246)+(400-240)/1E+7)</f>
        <v/>
      </c>
    </row>
    <row r="247">
      <c r="R247" s="241" t="n">
        <v>241</v>
      </c>
      <c r="S247" s="241">
        <f>IFERROR(INDEX(rCom,MATCH(241,rComIdx,0))&amp;"","")</f>
        <v/>
      </c>
      <c r="T247" s="241">
        <f>IF(S247="","",SUMIFS(rGasto,rCom,S247,rFecha,"&gt;="&amp;pIni,rFecha,"&lt;="&amp;pFin,rCat,critCat,rCtaE,critCta))</f>
        <v/>
      </c>
      <c r="U247" s="241">
        <f>IF(S247="","",COUNTIFS(rCom,S247,rTipoE,"Gasto",rFecha,"&gt;="&amp;pIni,rFecha,"&lt;="&amp;pFin,rCat,critCat,rCtaE,critCta))</f>
        <v/>
      </c>
      <c r="V247" s="241">
        <f>IF(S247="",-1E+12-241,N(T247)+(301-241)/1E+7)</f>
        <v/>
      </c>
      <c r="W247" s="241">
        <f>IF(S247="","",SUMIFS(rGasto,rCom,S247,rHorm,1,rFecha,"&gt;="&amp;pIni,rFecha,"&lt;="&amp;pFin))</f>
        <v/>
      </c>
      <c r="X247" s="241">
        <f>IF(S247="","",COUNTIFS(rCom,S247,rHorm,1,rFecha,"&gt;="&amp;pIni,rFecha,"&lt;="&amp;pFin))</f>
        <v/>
      </c>
      <c r="Y247" s="241">
        <f>IF(S247="",-1E+12-241,N(W247)+(301-241)/1E+7)</f>
        <v/>
      </c>
      <c r="BG247" s="241" t="n">
        <v>241</v>
      </c>
      <c r="BH247" s="246">
        <f>IF(calIni+240&lt;=pFinEff,calIni+240,"")</f>
        <v/>
      </c>
      <c r="BI247" s="241">
        <f>IF(BH247="","",WEEKDAY(BH247,2))</f>
        <v/>
      </c>
      <c r="BJ247" s="241">
        <f>IF(BH247="","",SUMIFS(rGasto,rFecha,BH247,rGrupo,"?*"))</f>
        <v/>
      </c>
      <c r="BK247" s="241">
        <f>IF(BH247="","",SUMIFS(rGasto,rFecha,BH247,rGrupo,gCP))</f>
        <v/>
      </c>
      <c r="BL247" s="241">
        <f>IF(BH247="",-1E+12-241,N(BJ247)+(400-241)/1E+7)</f>
        <v/>
      </c>
    </row>
    <row r="248">
      <c r="R248" s="241" t="n">
        <v>242</v>
      </c>
      <c r="S248" s="241">
        <f>IFERROR(INDEX(rCom,MATCH(242,rComIdx,0))&amp;"","")</f>
        <v/>
      </c>
      <c r="T248" s="241">
        <f>IF(S248="","",SUMIFS(rGasto,rCom,S248,rFecha,"&gt;="&amp;pIni,rFecha,"&lt;="&amp;pFin,rCat,critCat,rCtaE,critCta))</f>
        <v/>
      </c>
      <c r="U248" s="241">
        <f>IF(S248="","",COUNTIFS(rCom,S248,rTipoE,"Gasto",rFecha,"&gt;="&amp;pIni,rFecha,"&lt;="&amp;pFin,rCat,critCat,rCtaE,critCta))</f>
        <v/>
      </c>
      <c r="V248" s="241">
        <f>IF(S248="",-1E+12-242,N(T248)+(301-242)/1E+7)</f>
        <v/>
      </c>
      <c r="W248" s="241">
        <f>IF(S248="","",SUMIFS(rGasto,rCom,S248,rHorm,1,rFecha,"&gt;="&amp;pIni,rFecha,"&lt;="&amp;pFin))</f>
        <v/>
      </c>
      <c r="X248" s="241">
        <f>IF(S248="","",COUNTIFS(rCom,S248,rHorm,1,rFecha,"&gt;="&amp;pIni,rFecha,"&lt;="&amp;pFin))</f>
        <v/>
      </c>
      <c r="Y248" s="241">
        <f>IF(S248="",-1E+12-242,N(W248)+(301-242)/1E+7)</f>
        <v/>
      </c>
      <c r="BG248" s="241" t="n">
        <v>242</v>
      </c>
      <c r="BH248" s="246">
        <f>IF(calIni+241&lt;=pFinEff,calIni+241,"")</f>
        <v/>
      </c>
      <c r="BI248" s="241">
        <f>IF(BH248="","",WEEKDAY(BH248,2))</f>
        <v/>
      </c>
      <c r="BJ248" s="241">
        <f>IF(BH248="","",SUMIFS(rGasto,rFecha,BH248,rGrupo,"?*"))</f>
        <v/>
      </c>
      <c r="BK248" s="241">
        <f>IF(BH248="","",SUMIFS(rGasto,rFecha,BH248,rGrupo,gCP))</f>
        <v/>
      </c>
      <c r="BL248" s="241">
        <f>IF(BH248="",-1E+12-242,N(BJ248)+(400-242)/1E+7)</f>
        <v/>
      </c>
    </row>
    <row r="249">
      <c r="R249" s="241" t="n">
        <v>243</v>
      </c>
      <c r="S249" s="241">
        <f>IFERROR(INDEX(rCom,MATCH(243,rComIdx,0))&amp;"","")</f>
        <v/>
      </c>
      <c r="T249" s="241">
        <f>IF(S249="","",SUMIFS(rGasto,rCom,S249,rFecha,"&gt;="&amp;pIni,rFecha,"&lt;="&amp;pFin,rCat,critCat,rCtaE,critCta))</f>
        <v/>
      </c>
      <c r="U249" s="241">
        <f>IF(S249="","",COUNTIFS(rCom,S249,rTipoE,"Gasto",rFecha,"&gt;="&amp;pIni,rFecha,"&lt;="&amp;pFin,rCat,critCat,rCtaE,critCta))</f>
        <v/>
      </c>
      <c r="V249" s="241">
        <f>IF(S249="",-1E+12-243,N(T249)+(301-243)/1E+7)</f>
        <v/>
      </c>
      <c r="W249" s="241">
        <f>IF(S249="","",SUMIFS(rGasto,rCom,S249,rHorm,1,rFecha,"&gt;="&amp;pIni,rFecha,"&lt;="&amp;pFin))</f>
        <v/>
      </c>
      <c r="X249" s="241">
        <f>IF(S249="","",COUNTIFS(rCom,S249,rHorm,1,rFecha,"&gt;="&amp;pIni,rFecha,"&lt;="&amp;pFin))</f>
        <v/>
      </c>
      <c r="Y249" s="241">
        <f>IF(S249="",-1E+12-243,N(W249)+(301-243)/1E+7)</f>
        <v/>
      </c>
      <c r="BG249" s="241" t="n">
        <v>243</v>
      </c>
      <c r="BH249" s="246">
        <f>IF(calIni+242&lt;=pFinEff,calIni+242,"")</f>
        <v/>
      </c>
      <c r="BI249" s="241">
        <f>IF(BH249="","",WEEKDAY(BH249,2))</f>
        <v/>
      </c>
      <c r="BJ249" s="241">
        <f>IF(BH249="","",SUMIFS(rGasto,rFecha,BH249,rGrupo,"?*"))</f>
        <v/>
      </c>
      <c r="BK249" s="241">
        <f>IF(BH249="","",SUMIFS(rGasto,rFecha,BH249,rGrupo,gCP))</f>
        <v/>
      </c>
      <c r="BL249" s="241">
        <f>IF(BH249="",-1E+12-243,N(BJ249)+(400-243)/1E+7)</f>
        <v/>
      </c>
    </row>
    <row r="250">
      <c r="R250" s="241" t="n">
        <v>244</v>
      </c>
      <c r="S250" s="241">
        <f>IFERROR(INDEX(rCom,MATCH(244,rComIdx,0))&amp;"","")</f>
        <v/>
      </c>
      <c r="T250" s="241">
        <f>IF(S250="","",SUMIFS(rGasto,rCom,S250,rFecha,"&gt;="&amp;pIni,rFecha,"&lt;="&amp;pFin,rCat,critCat,rCtaE,critCta))</f>
        <v/>
      </c>
      <c r="U250" s="241">
        <f>IF(S250="","",COUNTIFS(rCom,S250,rTipoE,"Gasto",rFecha,"&gt;="&amp;pIni,rFecha,"&lt;="&amp;pFin,rCat,critCat,rCtaE,critCta))</f>
        <v/>
      </c>
      <c r="V250" s="241">
        <f>IF(S250="",-1E+12-244,N(T250)+(301-244)/1E+7)</f>
        <v/>
      </c>
      <c r="W250" s="241">
        <f>IF(S250="","",SUMIFS(rGasto,rCom,S250,rHorm,1,rFecha,"&gt;="&amp;pIni,rFecha,"&lt;="&amp;pFin))</f>
        <v/>
      </c>
      <c r="X250" s="241">
        <f>IF(S250="","",COUNTIFS(rCom,S250,rHorm,1,rFecha,"&gt;="&amp;pIni,rFecha,"&lt;="&amp;pFin))</f>
        <v/>
      </c>
      <c r="Y250" s="241">
        <f>IF(S250="",-1E+12-244,N(W250)+(301-244)/1E+7)</f>
        <v/>
      </c>
      <c r="BG250" s="241" t="n">
        <v>244</v>
      </c>
      <c r="BH250" s="246">
        <f>IF(calIni+243&lt;=pFinEff,calIni+243,"")</f>
        <v/>
      </c>
      <c r="BI250" s="241">
        <f>IF(BH250="","",WEEKDAY(BH250,2))</f>
        <v/>
      </c>
      <c r="BJ250" s="241">
        <f>IF(BH250="","",SUMIFS(rGasto,rFecha,BH250,rGrupo,"?*"))</f>
        <v/>
      </c>
      <c r="BK250" s="241">
        <f>IF(BH250="","",SUMIFS(rGasto,rFecha,BH250,rGrupo,gCP))</f>
        <v/>
      </c>
      <c r="BL250" s="241">
        <f>IF(BH250="",-1E+12-244,N(BJ250)+(400-244)/1E+7)</f>
        <v/>
      </c>
    </row>
    <row r="251">
      <c r="R251" s="241" t="n">
        <v>245</v>
      </c>
      <c r="S251" s="241">
        <f>IFERROR(INDEX(rCom,MATCH(245,rComIdx,0))&amp;"","")</f>
        <v/>
      </c>
      <c r="T251" s="241">
        <f>IF(S251="","",SUMIFS(rGasto,rCom,S251,rFecha,"&gt;="&amp;pIni,rFecha,"&lt;="&amp;pFin,rCat,critCat,rCtaE,critCta))</f>
        <v/>
      </c>
      <c r="U251" s="241">
        <f>IF(S251="","",COUNTIFS(rCom,S251,rTipoE,"Gasto",rFecha,"&gt;="&amp;pIni,rFecha,"&lt;="&amp;pFin,rCat,critCat,rCtaE,critCta))</f>
        <v/>
      </c>
      <c r="V251" s="241">
        <f>IF(S251="",-1E+12-245,N(T251)+(301-245)/1E+7)</f>
        <v/>
      </c>
      <c r="W251" s="241">
        <f>IF(S251="","",SUMIFS(rGasto,rCom,S251,rHorm,1,rFecha,"&gt;="&amp;pIni,rFecha,"&lt;="&amp;pFin))</f>
        <v/>
      </c>
      <c r="X251" s="241">
        <f>IF(S251="","",COUNTIFS(rCom,S251,rHorm,1,rFecha,"&gt;="&amp;pIni,rFecha,"&lt;="&amp;pFin))</f>
        <v/>
      </c>
      <c r="Y251" s="241">
        <f>IF(S251="",-1E+12-245,N(W251)+(301-245)/1E+7)</f>
        <v/>
      </c>
      <c r="BG251" s="241" t="n">
        <v>245</v>
      </c>
      <c r="BH251" s="246">
        <f>IF(calIni+244&lt;=pFinEff,calIni+244,"")</f>
        <v/>
      </c>
      <c r="BI251" s="241">
        <f>IF(BH251="","",WEEKDAY(BH251,2))</f>
        <v/>
      </c>
      <c r="BJ251" s="241">
        <f>IF(BH251="","",SUMIFS(rGasto,rFecha,BH251,rGrupo,"?*"))</f>
        <v/>
      </c>
      <c r="BK251" s="241">
        <f>IF(BH251="","",SUMIFS(rGasto,rFecha,BH251,rGrupo,gCP))</f>
        <v/>
      </c>
      <c r="BL251" s="241">
        <f>IF(BH251="",-1E+12-245,N(BJ251)+(400-245)/1E+7)</f>
        <v/>
      </c>
    </row>
    <row r="252">
      <c r="R252" s="241" t="n">
        <v>246</v>
      </c>
      <c r="S252" s="241">
        <f>IFERROR(INDEX(rCom,MATCH(246,rComIdx,0))&amp;"","")</f>
        <v/>
      </c>
      <c r="T252" s="241">
        <f>IF(S252="","",SUMIFS(rGasto,rCom,S252,rFecha,"&gt;="&amp;pIni,rFecha,"&lt;="&amp;pFin,rCat,critCat,rCtaE,critCta))</f>
        <v/>
      </c>
      <c r="U252" s="241">
        <f>IF(S252="","",COUNTIFS(rCom,S252,rTipoE,"Gasto",rFecha,"&gt;="&amp;pIni,rFecha,"&lt;="&amp;pFin,rCat,critCat,rCtaE,critCta))</f>
        <v/>
      </c>
      <c r="V252" s="241">
        <f>IF(S252="",-1E+12-246,N(T252)+(301-246)/1E+7)</f>
        <v/>
      </c>
      <c r="W252" s="241">
        <f>IF(S252="","",SUMIFS(rGasto,rCom,S252,rHorm,1,rFecha,"&gt;="&amp;pIni,rFecha,"&lt;="&amp;pFin))</f>
        <v/>
      </c>
      <c r="X252" s="241">
        <f>IF(S252="","",COUNTIFS(rCom,S252,rHorm,1,rFecha,"&gt;="&amp;pIni,rFecha,"&lt;="&amp;pFin))</f>
        <v/>
      </c>
      <c r="Y252" s="241">
        <f>IF(S252="",-1E+12-246,N(W252)+(301-246)/1E+7)</f>
        <v/>
      </c>
      <c r="BG252" s="241" t="n">
        <v>246</v>
      </c>
      <c r="BH252" s="246">
        <f>IF(calIni+245&lt;=pFinEff,calIni+245,"")</f>
        <v/>
      </c>
      <c r="BI252" s="241">
        <f>IF(BH252="","",WEEKDAY(BH252,2))</f>
        <v/>
      </c>
      <c r="BJ252" s="241">
        <f>IF(BH252="","",SUMIFS(rGasto,rFecha,BH252,rGrupo,"?*"))</f>
        <v/>
      </c>
      <c r="BK252" s="241">
        <f>IF(BH252="","",SUMIFS(rGasto,rFecha,BH252,rGrupo,gCP))</f>
        <v/>
      </c>
      <c r="BL252" s="241">
        <f>IF(BH252="",-1E+12-246,N(BJ252)+(400-246)/1E+7)</f>
        <v/>
      </c>
    </row>
    <row r="253">
      <c r="R253" s="241" t="n">
        <v>247</v>
      </c>
      <c r="S253" s="241">
        <f>IFERROR(INDEX(rCom,MATCH(247,rComIdx,0))&amp;"","")</f>
        <v/>
      </c>
      <c r="T253" s="241">
        <f>IF(S253="","",SUMIFS(rGasto,rCom,S253,rFecha,"&gt;="&amp;pIni,rFecha,"&lt;="&amp;pFin,rCat,critCat,rCtaE,critCta))</f>
        <v/>
      </c>
      <c r="U253" s="241">
        <f>IF(S253="","",COUNTIFS(rCom,S253,rTipoE,"Gasto",rFecha,"&gt;="&amp;pIni,rFecha,"&lt;="&amp;pFin,rCat,critCat,rCtaE,critCta))</f>
        <v/>
      </c>
      <c r="V253" s="241">
        <f>IF(S253="",-1E+12-247,N(T253)+(301-247)/1E+7)</f>
        <v/>
      </c>
      <c r="W253" s="241">
        <f>IF(S253="","",SUMIFS(rGasto,rCom,S253,rHorm,1,rFecha,"&gt;="&amp;pIni,rFecha,"&lt;="&amp;pFin))</f>
        <v/>
      </c>
      <c r="X253" s="241">
        <f>IF(S253="","",COUNTIFS(rCom,S253,rHorm,1,rFecha,"&gt;="&amp;pIni,rFecha,"&lt;="&amp;pFin))</f>
        <v/>
      </c>
      <c r="Y253" s="241">
        <f>IF(S253="",-1E+12-247,N(W253)+(301-247)/1E+7)</f>
        <v/>
      </c>
      <c r="BG253" s="241" t="n">
        <v>247</v>
      </c>
      <c r="BH253" s="246">
        <f>IF(calIni+246&lt;=pFinEff,calIni+246,"")</f>
        <v/>
      </c>
      <c r="BI253" s="241">
        <f>IF(BH253="","",WEEKDAY(BH253,2))</f>
        <v/>
      </c>
      <c r="BJ253" s="241">
        <f>IF(BH253="","",SUMIFS(rGasto,rFecha,BH253,rGrupo,"?*"))</f>
        <v/>
      </c>
      <c r="BK253" s="241">
        <f>IF(BH253="","",SUMIFS(rGasto,rFecha,BH253,rGrupo,gCP))</f>
        <v/>
      </c>
      <c r="BL253" s="241">
        <f>IF(BH253="",-1E+12-247,N(BJ253)+(400-247)/1E+7)</f>
        <v/>
      </c>
    </row>
    <row r="254">
      <c r="R254" s="241" t="n">
        <v>248</v>
      </c>
      <c r="S254" s="241">
        <f>IFERROR(INDEX(rCom,MATCH(248,rComIdx,0))&amp;"","")</f>
        <v/>
      </c>
      <c r="T254" s="241">
        <f>IF(S254="","",SUMIFS(rGasto,rCom,S254,rFecha,"&gt;="&amp;pIni,rFecha,"&lt;="&amp;pFin,rCat,critCat,rCtaE,critCta))</f>
        <v/>
      </c>
      <c r="U254" s="241">
        <f>IF(S254="","",COUNTIFS(rCom,S254,rTipoE,"Gasto",rFecha,"&gt;="&amp;pIni,rFecha,"&lt;="&amp;pFin,rCat,critCat,rCtaE,critCta))</f>
        <v/>
      </c>
      <c r="V254" s="241">
        <f>IF(S254="",-1E+12-248,N(T254)+(301-248)/1E+7)</f>
        <v/>
      </c>
      <c r="W254" s="241">
        <f>IF(S254="","",SUMIFS(rGasto,rCom,S254,rHorm,1,rFecha,"&gt;="&amp;pIni,rFecha,"&lt;="&amp;pFin))</f>
        <v/>
      </c>
      <c r="X254" s="241">
        <f>IF(S254="","",COUNTIFS(rCom,S254,rHorm,1,rFecha,"&gt;="&amp;pIni,rFecha,"&lt;="&amp;pFin))</f>
        <v/>
      </c>
      <c r="Y254" s="241">
        <f>IF(S254="",-1E+12-248,N(W254)+(301-248)/1E+7)</f>
        <v/>
      </c>
      <c r="BG254" s="241" t="n">
        <v>248</v>
      </c>
      <c r="BH254" s="246">
        <f>IF(calIni+247&lt;=pFinEff,calIni+247,"")</f>
        <v/>
      </c>
      <c r="BI254" s="241">
        <f>IF(BH254="","",WEEKDAY(BH254,2))</f>
        <v/>
      </c>
      <c r="BJ254" s="241">
        <f>IF(BH254="","",SUMIFS(rGasto,rFecha,BH254,rGrupo,"?*"))</f>
        <v/>
      </c>
      <c r="BK254" s="241">
        <f>IF(BH254="","",SUMIFS(rGasto,rFecha,BH254,rGrupo,gCP))</f>
        <v/>
      </c>
      <c r="BL254" s="241">
        <f>IF(BH254="",-1E+12-248,N(BJ254)+(400-248)/1E+7)</f>
        <v/>
      </c>
    </row>
    <row r="255">
      <c r="R255" s="241" t="n">
        <v>249</v>
      </c>
      <c r="S255" s="241">
        <f>IFERROR(INDEX(rCom,MATCH(249,rComIdx,0))&amp;"","")</f>
        <v/>
      </c>
      <c r="T255" s="241">
        <f>IF(S255="","",SUMIFS(rGasto,rCom,S255,rFecha,"&gt;="&amp;pIni,rFecha,"&lt;="&amp;pFin,rCat,critCat,rCtaE,critCta))</f>
        <v/>
      </c>
      <c r="U255" s="241">
        <f>IF(S255="","",COUNTIFS(rCom,S255,rTipoE,"Gasto",rFecha,"&gt;="&amp;pIni,rFecha,"&lt;="&amp;pFin,rCat,critCat,rCtaE,critCta))</f>
        <v/>
      </c>
      <c r="V255" s="241">
        <f>IF(S255="",-1E+12-249,N(T255)+(301-249)/1E+7)</f>
        <v/>
      </c>
      <c r="W255" s="241">
        <f>IF(S255="","",SUMIFS(rGasto,rCom,S255,rHorm,1,rFecha,"&gt;="&amp;pIni,rFecha,"&lt;="&amp;pFin))</f>
        <v/>
      </c>
      <c r="X255" s="241">
        <f>IF(S255="","",COUNTIFS(rCom,S255,rHorm,1,rFecha,"&gt;="&amp;pIni,rFecha,"&lt;="&amp;pFin))</f>
        <v/>
      </c>
      <c r="Y255" s="241">
        <f>IF(S255="",-1E+12-249,N(W255)+(301-249)/1E+7)</f>
        <v/>
      </c>
      <c r="BG255" s="241" t="n">
        <v>249</v>
      </c>
      <c r="BH255" s="246">
        <f>IF(calIni+248&lt;=pFinEff,calIni+248,"")</f>
        <v/>
      </c>
      <c r="BI255" s="241">
        <f>IF(BH255="","",WEEKDAY(BH255,2))</f>
        <v/>
      </c>
      <c r="BJ255" s="241">
        <f>IF(BH255="","",SUMIFS(rGasto,rFecha,BH255,rGrupo,"?*"))</f>
        <v/>
      </c>
      <c r="BK255" s="241">
        <f>IF(BH255="","",SUMIFS(rGasto,rFecha,BH255,rGrupo,gCP))</f>
        <v/>
      </c>
      <c r="BL255" s="241">
        <f>IF(BH255="",-1E+12-249,N(BJ255)+(400-249)/1E+7)</f>
        <v/>
      </c>
    </row>
    <row r="256">
      <c r="R256" s="241" t="n">
        <v>250</v>
      </c>
      <c r="S256" s="241">
        <f>IFERROR(INDEX(rCom,MATCH(250,rComIdx,0))&amp;"","")</f>
        <v/>
      </c>
      <c r="T256" s="241">
        <f>IF(S256="","",SUMIFS(rGasto,rCom,S256,rFecha,"&gt;="&amp;pIni,rFecha,"&lt;="&amp;pFin,rCat,critCat,rCtaE,critCta))</f>
        <v/>
      </c>
      <c r="U256" s="241">
        <f>IF(S256="","",COUNTIFS(rCom,S256,rTipoE,"Gasto",rFecha,"&gt;="&amp;pIni,rFecha,"&lt;="&amp;pFin,rCat,critCat,rCtaE,critCta))</f>
        <v/>
      </c>
      <c r="V256" s="241">
        <f>IF(S256="",-1E+12-250,N(T256)+(301-250)/1E+7)</f>
        <v/>
      </c>
      <c r="W256" s="241">
        <f>IF(S256="","",SUMIFS(rGasto,rCom,S256,rHorm,1,rFecha,"&gt;="&amp;pIni,rFecha,"&lt;="&amp;pFin))</f>
        <v/>
      </c>
      <c r="X256" s="241">
        <f>IF(S256="","",COUNTIFS(rCom,S256,rHorm,1,rFecha,"&gt;="&amp;pIni,rFecha,"&lt;="&amp;pFin))</f>
        <v/>
      </c>
      <c r="Y256" s="241">
        <f>IF(S256="",-1E+12-250,N(W256)+(301-250)/1E+7)</f>
        <v/>
      </c>
      <c r="BG256" s="241" t="n">
        <v>250</v>
      </c>
      <c r="BH256" s="246">
        <f>IF(calIni+249&lt;=pFinEff,calIni+249,"")</f>
        <v/>
      </c>
      <c r="BI256" s="241">
        <f>IF(BH256="","",WEEKDAY(BH256,2))</f>
        <v/>
      </c>
      <c r="BJ256" s="241">
        <f>IF(BH256="","",SUMIFS(rGasto,rFecha,BH256,rGrupo,"?*"))</f>
        <v/>
      </c>
      <c r="BK256" s="241">
        <f>IF(BH256="","",SUMIFS(rGasto,rFecha,BH256,rGrupo,gCP))</f>
        <v/>
      </c>
      <c r="BL256" s="241">
        <f>IF(BH256="",-1E+12-250,N(BJ256)+(400-250)/1E+7)</f>
        <v/>
      </c>
    </row>
    <row r="257">
      <c r="R257" s="241" t="n">
        <v>251</v>
      </c>
      <c r="S257" s="241">
        <f>IFERROR(INDEX(rCom,MATCH(251,rComIdx,0))&amp;"","")</f>
        <v/>
      </c>
      <c r="T257" s="241">
        <f>IF(S257="","",SUMIFS(rGasto,rCom,S257,rFecha,"&gt;="&amp;pIni,rFecha,"&lt;="&amp;pFin,rCat,critCat,rCtaE,critCta))</f>
        <v/>
      </c>
      <c r="U257" s="241">
        <f>IF(S257="","",COUNTIFS(rCom,S257,rTipoE,"Gasto",rFecha,"&gt;="&amp;pIni,rFecha,"&lt;="&amp;pFin,rCat,critCat,rCtaE,critCta))</f>
        <v/>
      </c>
      <c r="V257" s="241">
        <f>IF(S257="",-1E+12-251,N(T257)+(301-251)/1E+7)</f>
        <v/>
      </c>
      <c r="W257" s="241">
        <f>IF(S257="","",SUMIFS(rGasto,rCom,S257,rHorm,1,rFecha,"&gt;="&amp;pIni,rFecha,"&lt;="&amp;pFin))</f>
        <v/>
      </c>
      <c r="X257" s="241">
        <f>IF(S257="","",COUNTIFS(rCom,S257,rHorm,1,rFecha,"&gt;="&amp;pIni,rFecha,"&lt;="&amp;pFin))</f>
        <v/>
      </c>
      <c r="Y257" s="241">
        <f>IF(S257="",-1E+12-251,N(W257)+(301-251)/1E+7)</f>
        <v/>
      </c>
      <c r="BG257" s="241" t="n">
        <v>251</v>
      </c>
      <c r="BH257" s="246">
        <f>IF(calIni+250&lt;=pFinEff,calIni+250,"")</f>
        <v/>
      </c>
      <c r="BI257" s="241">
        <f>IF(BH257="","",WEEKDAY(BH257,2))</f>
        <v/>
      </c>
      <c r="BJ257" s="241">
        <f>IF(BH257="","",SUMIFS(rGasto,rFecha,BH257,rGrupo,"?*"))</f>
        <v/>
      </c>
      <c r="BK257" s="241">
        <f>IF(BH257="","",SUMIFS(rGasto,rFecha,BH257,rGrupo,gCP))</f>
        <v/>
      </c>
      <c r="BL257" s="241">
        <f>IF(BH257="",-1E+12-251,N(BJ257)+(400-251)/1E+7)</f>
        <v/>
      </c>
    </row>
    <row r="258">
      <c r="R258" s="241" t="n">
        <v>252</v>
      </c>
      <c r="S258" s="241">
        <f>IFERROR(INDEX(rCom,MATCH(252,rComIdx,0))&amp;"","")</f>
        <v/>
      </c>
      <c r="T258" s="241">
        <f>IF(S258="","",SUMIFS(rGasto,rCom,S258,rFecha,"&gt;="&amp;pIni,rFecha,"&lt;="&amp;pFin,rCat,critCat,rCtaE,critCta))</f>
        <v/>
      </c>
      <c r="U258" s="241">
        <f>IF(S258="","",COUNTIFS(rCom,S258,rTipoE,"Gasto",rFecha,"&gt;="&amp;pIni,rFecha,"&lt;="&amp;pFin,rCat,critCat,rCtaE,critCta))</f>
        <v/>
      </c>
      <c r="V258" s="241">
        <f>IF(S258="",-1E+12-252,N(T258)+(301-252)/1E+7)</f>
        <v/>
      </c>
      <c r="W258" s="241">
        <f>IF(S258="","",SUMIFS(rGasto,rCom,S258,rHorm,1,rFecha,"&gt;="&amp;pIni,rFecha,"&lt;="&amp;pFin))</f>
        <v/>
      </c>
      <c r="X258" s="241">
        <f>IF(S258="","",COUNTIFS(rCom,S258,rHorm,1,rFecha,"&gt;="&amp;pIni,rFecha,"&lt;="&amp;pFin))</f>
        <v/>
      </c>
      <c r="Y258" s="241">
        <f>IF(S258="",-1E+12-252,N(W258)+(301-252)/1E+7)</f>
        <v/>
      </c>
      <c r="BG258" s="241" t="n">
        <v>252</v>
      </c>
      <c r="BH258" s="246">
        <f>IF(calIni+251&lt;=pFinEff,calIni+251,"")</f>
        <v/>
      </c>
      <c r="BI258" s="241">
        <f>IF(BH258="","",WEEKDAY(BH258,2))</f>
        <v/>
      </c>
      <c r="BJ258" s="241">
        <f>IF(BH258="","",SUMIFS(rGasto,rFecha,BH258,rGrupo,"?*"))</f>
        <v/>
      </c>
      <c r="BK258" s="241">
        <f>IF(BH258="","",SUMIFS(rGasto,rFecha,BH258,rGrupo,gCP))</f>
        <v/>
      </c>
      <c r="BL258" s="241">
        <f>IF(BH258="",-1E+12-252,N(BJ258)+(400-252)/1E+7)</f>
        <v/>
      </c>
    </row>
    <row r="259">
      <c r="R259" s="241" t="n">
        <v>253</v>
      </c>
      <c r="S259" s="241">
        <f>IFERROR(INDEX(rCom,MATCH(253,rComIdx,0))&amp;"","")</f>
        <v/>
      </c>
      <c r="T259" s="241">
        <f>IF(S259="","",SUMIFS(rGasto,rCom,S259,rFecha,"&gt;="&amp;pIni,rFecha,"&lt;="&amp;pFin,rCat,critCat,rCtaE,critCta))</f>
        <v/>
      </c>
      <c r="U259" s="241">
        <f>IF(S259="","",COUNTIFS(rCom,S259,rTipoE,"Gasto",rFecha,"&gt;="&amp;pIni,rFecha,"&lt;="&amp;pFin,rCat,critCat,rCtaE,critCta))</f>
        <v/>
      </c>
      <c r="V259" s="241">
        <f>IF(S259="",-1E+12-253,N(T259)+(301-253)/1E+7)</f>
        <v/>
      </c>
      <c r="W259" s="241">
        <f>IF(S259="","",SUMIFS(rGasto,rCom,S259,rHorm,1,rFecha,"&gt;="&amp;pIni,rFecha,"&lt;="&amp;pFin))</f>
        <v/>
      </c>
      <c r="X259" s="241">
        <f>IF(S259="","",COUNTIFS(rCom,S259,rHorm,1,rFecha,"&gt;="&amp;pIni,rFecha,"&lt;="&amp;pFin))</f>
        <v/>
      </c>
      <c r="Y259" s="241">
        <f>IF(S259="",-1E+12-253,N(W259)+(301-253)/1E+7)</f>
        <v/>
      </c>
      <c r="BG259" s="241" t="n">
        <v>253</v>
      </c>
      <c r="BH259" s="246">
        <f>IF(calIni+252&lt;=pFinEff,calIni+252,"")</f>
        <v/>
      </c>
      <c r="BI259" s="241">
        <f>IF(BH259="","",WEEKDAY(BH259,2))</f>
        <v/>
      </c>
      <c r="BJ259" s="241">
        <f>IF(BH259="","",SUMIFS(rGasto,rFecha,BH259,rGrupo,"?*"))</f>
        <v/>
      </c>
      <c r="BK259" s="241">
        <f>IF(BH259="","",SUMIFS(rGasto,rFecha,BH259,rGrupo,gCP))</f>
        <v/>
      </c>
      <c r="BL259" s="241">
        <f>IF(BH259="",-1E+12-253,N(BJ259)+(400-253)/1E+7)</f>
        <v/>
      </c>
    </row>
    <row r="260">
      <c r="R260" s="241" t="n">
        <v>254</v>
      </c>
      <c r="S260" s="241">
        <f>IFERROR(INDEX(rCom,MATCH(254,rComIdx,0))&amp;"","")</f>
        <v/>
      </c>
      <c r="T260" s="241">
        <f>IF(S260="","",SUMIFS(rGasto,rCom,S260,rFecha,"&gt;="&amp;pIni,rFecha,"&lt;="&amp;pFin,rCat,critCat,rCtaE,critCta))</f>
        <v/>
      </c>
      <c r="U260" s="241">
        <f>IF(S260="","",COUNTIFS(rCom,S260,rTipoE,"Gasto",rFecha,"&gt;="&amp;pIni,rFecha,"&lt;="&amp;pFin,rCat,critCat,rCtaE,critCta))</f>
        <v/>
      </c>
      <c r="V260" s="241">
        <f>IF(S260="",-1E+12-254,N(T260)+(301-254)/1E+7)</f>
        <v/>
      </c>
      <c r="W260" s="241">
        <f>IF(S260="","",SUMIFS(rGasto,rCom,S260,rHorm,1,rFecha,"&gt;="&amp;pIni,rFecha,"&lt;="&amp;pFin))</f>
        <v/>
      </c>
      <c r="X260" s="241">
        <f>IF(S260="","",COUNTIFS(rCom,S260,rHorm,1,rFecha,"&gt;="&amp;pIni,rFecha,"&lt;="&amp;pFin))</f>
        <v/>
      </c>
      <c r="Y260" s="241">
        <f>IF(S260="",-1E+12-254,N(W260)+(301-254)/1E+7)</f>
        <v/>
      </c>
      <c r="BG260" s="241" t="n">
        <v>254</v>
      </c>
      <c r="BH260" s="246">
        <f>IF(calIni+253&lt;=pFinEff,calIni+253,"")</f>
        <v/>
      </c>
      <c r="BI260" s="241">
        <f>IF(BH260="","",WEEKDAY(BH260,2))</f>
        <v/>
      </c>
      <c r="BJ260" s="241">
        <f>IF(BH260="","",SUMIFS(rGasto,rFecha,BH260,rGrupo,"?*"))</f>
        <v/>
      </c>
      <c r="BK260" s="241">
        <f>IF(BH260="","",SUMIFS(rGasto,rFecha,BH260,rGrupo,gCP))</f>
        <v/>
      </c>
      <c r="BL260" s="241">
        <f>IF(BH260="",-1E+12-254,N(BJ260)+(400-254)/1E+7)</f>
        <v/>
      </c>
    </row>
    <row r="261">
      <c r="R261" s="241" t="n">
        <v>255</v>
      </c>
      <c r="S261" s="241">
        <f>IFERROR(INDEX(rCom,MATCH(255,rComIdx,0))&amp;"","")</f>
        <v/>
      </c>
      <c r="T261" s="241">
        <f>IF(S261="","",SUMIFS(rGasto,rCom,S261,rFecha,"&gt;="&amp;pIni,rFecha,"&lt;="&amp;pFin,rCat,critCat,rCtaE,critCta))</f>
        <v/>
      </c>
      <c r="U261" s="241">
        <f>IF(S261="","",COUNTIFS(rCom,S261,rTipoE,"Gasto",rFecha,"&gt;="&amp;pIni,rFecha,"&lt;="&amp;pFin,rCat,critCat,rCtaE,critCta))</f>
        <v/>
      </c>
      <c r="V261" s="241">
        <f>IF(S261="",-1E+12-255,N(T261)+(301-255)/1E+7)</f>
        <v/>
      </c>
      <c r="W261" s="241">
        <f>IF(S261="","",SUMIFS(rGasto,rCom,S261,rHorm,1,rFecha,"&gt;="&amp;pIni,rFecha,"&lt;="&amp;pFin))</f>
        <v/>
      </c>
      <c r="X261" s="241">
        <f>IF(S261="","",COUNTIFS(rCom,S261,rHorm,1,rFecha,"&gt;="&amp;pIni,rFecha,"&lt;="&amp;pFin))</f>
        <v/>
      </c>
      <c r="Y261" s="241">
        <f>IF(S261="",-1E+12-255,N(W261)+(301-255)/1E+7)</f>
        <v/>
      </c>
      <c r="BG261" s="241" t="n">
        <v>255</v>
      </c>
      <c r="BH261" s="246">
        <f>IF(calIni+254&lt;=pFinEff,calIni+254,"")</f>
        <v/>
      </c>
      <c r="BI261" s="241">
        <f>IF(BH261="","",WEEKDAY(BH261,2))</f>
        <v/>
      </c>
      <c r="BJ261" s="241">
        <f>IF(BH261="","",SUMIFS(rGasto,rFecha,BH261,rGrupo,"?*"))</f>
        <v/>
      </c>
      <c r="BK261" s="241">
        <f>IF(BH261="","",SUMIFS(rGasto,rFecha,BH261,rGrupo,gCP))</f>
        <v/>
      </c>
      <c r="BL261" s="241">
        <f>IF(BH261="",-1E+12-255,N(BJ261)+(400-255)/1E+7)</f>
        <v/>
      </c>
    </row>
    <row r="262">
      <c r="R262" s="241" t="n">
        <v>256</v>
      </c>
      <c r="S262" s="241">
        <f>IFERROR(INDEX(rCom,MATCH(256,rComIdx,0))&amp;"","")</f>
        <v/>
      </c>
      <c r="T262" s="241">
        <f>IF(S262="","",SUMIFS(rGasto,rCom,S262,rFecha,"&gt;="&amp;pIni,rFecha,"&lt;="&amp;pFin,rCat,critCat,rCtaE,critCta))</f>
        <v/>
      </c>
      <c r="U262" s="241">
        <f>IF(S262="","",COUNTIFS(rCom,S262,rTipoE,"Gasto",rFecha,"&gt;="&amp;pIni,rFecha,"&lt;="&amp;pFin,rCat,critCat,rCtaE,critCta))</f>
        <v/>
      </c>
      <c r="V262" s="241">
        <f>IF(S262="",-1E+12-256,N(T262)+(301-256)/1E+7)</f>
        <v/>
      </c>
      <c r="W262" s="241">
        <f>IF(S262="","",SUMIFS(rGasto,rCom,S262,rHorm,1,rFecha,"&gt;="&amp;pIni,rFecha,"&lt;="&amp;pFin))</f>
        <v/>
      </c>
      <c r="X262" s="241">
        <f>IF(S262="","",COUNTIFS(rCom,S262,rHorm,1,rFecha,"&gt;="&amp;pIni,rFecha,"&lt;="&amp;pFin))</f>
        <v/>
      </c>
      <c r="Y262" s="241">
        <f>IF(S262="",-1E+12-256,N(W262)+(301-256)/1E+7)</f>
        <v/>
      </c>
      <c r="BG262" s="241" t="n">
        <v>256</v>
      </c>
      <c r="BH262" s="246">
        <f>IF(calIni+255&lt;=pFinEff,calIni+255,"")</f>
        <v/>
      </c>
      <c r="BI262" s="241">
        <f>IF(BH262="","",WEEKDAY(BH262,2))</f>
        <v/>
      </c>
      <c r="BJ262" s="241">
        <f>IF(BH262="","",SUMIFS(rGasto,rFecha,BH262,rGrupo,"?*"))</f>
        <v/>
      </c>
      <c r="BK262" s="241">
        <f>IF(BH262="","",SUMIFS(rGasto,rFecha,BH262,rGrupo,gCP))</f>
        <v/>
      </c>
      <c r="BL262" s="241">
        <f>IF(BH262="",-1E+12-256,N(BJ262)+(400-256)/1E+7)</f>
        <v/>
      </c>
    </row>
    <row r="263">
      <c r="R263" s="241" t="n">
        <v>257</v>
      </c>
      <c r="S263" s="241">
        <f>IFERROR(INDEX(rCom,MATCH(257,rComIdx,0))&amp;"","")</f>
        <v/>
      </c>
      <c r="T263" s="241">
        <f>IF(S263="","",SUMIFS(rGasto,rCom,S263,rFecha,"&gt;="&amp;pIni,rFecha,"&lt;="&amp;pFin,rCat,critCat,rCtaE,critCta))</f>
        <v/>
      </c>
      <c r="U263" s="241">
        <f>IF(S263="","",COUNTIFS(rCom,S263,rTipoE,"Gasto",rFecha,"&gt;="&amp;pIni,rFecha,"&lt;="&amp;pFin,rCat,critCat,rCtaE,critCta))</f>
        <v/>
      </c>
      <c r="V263" s="241">
        <f>IF(S263="",-1E+12-257,N(T263)+(301-257)/1E+7)</f>
        <v/>
      </c>
      <c r="W263" s="241">
        <f>IF(S263="","",SUMIFS(rGasto,rCom,S263,rHorm,1,rFecha,"&gt;="&amp;pIni,rFecha,"&lt;="&amp;pFin))</f>
        <v/>
      </c>
      <c r="X263" s="241">
        <f>IF(S263="","",COUNTIFS(rCom,S263,rHorm,1,rFecha,"&gt;="&amp;pIni,rFecha,"&lt;="&amp;pFin))</f>
        <v/>
      </c>
      <c r="Y263" s="241">
        <f>IF(S263="",-1E+12-257,N(W263)+(301-257)/1E+7)</f>
        <v/>
      </c>
      <c r="BG263" s="241" t="n">
        <v>257</v>
      </c>
      <c r="BH263" s="246">
        <f>IF(calIni+256&lt;=pFinEff,calIni+256,"")</f>
        <v/>
      </c>
      <c r="BI263" s="241">
        <f>IF(BH263="","",WEEKDAY(BH263,2))</f>
        <v/>
      </c>
      <c r="BJ263" s="241">
        <f>IF(BH263="","",SUMIFS(rGasto,rFecha,BH263,rGrupo,"?*"))</f>
        <v/>
      </c>
      <c r="BK263" s="241">
        <f>IF(BH263="","",SUMIFS(rGasto,rFecha,BH263,rGrupo,gCP))</f>
        <v/>
      </c>
      <c r="BL263" s="241">
        <f>IF(BH263="",-1E+12-257,N(BJ263)+(400-257)/1E+7)</f>
        <v/>
      </c>
    </row>
    <row r="264">
      <c r="R264" s="241" t="n">
        <v>258</v>
      </c>
      <c r="S264" s="241">
        <f>IFERROR(INDEX(rCom,MATCH(258,rComIdx,0))&amp;"","")</f>
        <v/>
      </c>
      <c r="T264" s="241">
        <f>IF(S264="","",SUMIFS(rGasto,rCom,S264,rFecha,"&gt;="&amp;pIni,rFecha,"&lt;="&amp;pFin,rCat,critCat,rCtaE,critCta))</f>
        <v/>
      </c>
      <c r="U264" s="241">
        <f>IF(S264="","",COUNTIFS(rCom,S264,rTipoE,"Gasto",rFecha,"&gt;="&amp;pIni,rFecha,"&lt;="&amp;pFin,rCat,critCat,rCtaE,critCta))</f>
        <v/>
      </c>
      <c r="V264" s="241">
        <f>IF(S264="",-1E+12-258,N(T264)+(301-258)/1E+7)</f>
        <v/>
      </c>
      <c r="W264" s="241">
        <f>IF(S264="","",SUMIFS(rGasto,rCom,S264,rHorm,1,rFecha,"&gt;="&amp;pIni,rFecha,"&lt;="&amp;pFin))</f>
        <v/>
      </c>
      <c r="X264" s="241">
        <f>IF(S264="","",COUNTIFS(rCom,S264,rHorm,1,rFecha,"&gt;="&amp;pIni,rFecha,"&lt;="&amp;pFin))</f>
        <v/>
      </c>
      <c r="Y264" s="241">
        <f>IF(S264="",-1E+12-258,N(W264)+(301-258)/1E+7)</f>
        <v/>
      </c>
      <c r="BG264" s="241" t="n">
        <v>258</v>
      </c>
      <c r="BH264" s="246">
        <f>IF(calIni+257&lt;=pFinEff,calIni+257,"")</f>
        <v/>
      </c>
      <c r="BI264" s="241">
        <f>IF(BH264="","",WEEKDAY(BH264,2))</f>
        <v/>
      </c>
      <c r="BJ264" s="241">
        <f>IF(BH264="","",SUMIFS(rGasto,rFecha,BH264,rGrupo,"?*"))</f>
        <v/>
      </c>
      <c r="BK264" s="241">
        <f>IF(BH264="","",SUMIFS(rGasto,rFecha,BH264,rGrupo,gCP))</f>
        <v/>
      </c>
      <c r="BL264" s="241">
        <f>IF(BH264="",-1E+12-258,N(BJ264)+(400-258)/1E+7)</f>
        <v/>
      </c>
    </row>
    <row r="265">
      <c r="R265" s="241" t="n">
        <v>259</v>
      </c>
      <c r="S265" s="241">
        <f>IFERROR(INDEX(rCom,MATCH(259,rComIdx,0))&amp;"","")</f>
        <v/>
      </c>
      <c r="T265" s="241">
        <f>IF(S265="","",SUMIFS(rGasto,rCom,S265,rFecha,"&gt;="&amp;pIni,rFecha,"&lt;="&amp;pFin,rCat,critCat,rCtaE,critCta))</f>
        <v/>
      </c>
      <c r="U265" s="241">
        <f>IF(S265="","",COUNTIFS(rCom,S265,rTipoE,"Gasto",rFecha,"&gt;="&amp;pIni,rFecha,"&lt;="&amp;pFin,rCat,critCat,rCtaE,critCta))</f>
        <v/>
      </c>
      <c r="V265" s="241">
        <f>IF(S265="",-1E+12-259,N(T265)+(301-259)/1E+7)</f>
        <v/>
      </c>
      <c r="W265" s="241">
        <f>IF(S265="","",SUMIFS(rGasto,rCom,S265,rHorm,1,rFecha,"&gt;="&amp;pIni,rFecha,"&lt;="&amp;pFin))</f>
        <v/>
      </c>
      <c r="X265" s="241">
        <f>IF(S265="","",COUNTIFS(rCom,S265,rHorm,1,rFecha,"&gt;="&amp;pIni,rFecha,"&lt;="&amp;pFin))</f>
        <v/>
      </c>
      <c r="Y265" s="241">
        <f>IF(S265="",-1E+12-259,N(W265)+(301-259)/1E+7)</f>
        <v/>
      </c>
      <c r="BG265" s="241" t="n">
        <v>259</v>
      </c>
      <c r="BH265" s="246">
        <f>IF(calIni+258&lt;=pFinEff,calIni+258,"")</f>
        <v/>
      </c>
      <c r="BI265" s="241">
        <f>IF(BH265="","",WEEKDAY(BH265,2))</f>
        <v/>
      </c>
      <c r="BJ265" s="241">
        <f>IF(BH265="","",SUMIFS(rGasto,rFecha,BH265,rGrupo,"?*"))</f>
        <v/>
      </c>
      <c r="BK265" s="241">
        <f>IF(BH265="","",SUMIFS(rGasto,rFecha,BH265,rGrupo,gCP))</f>
        <v/>
      </c>
      <c r="BL265" s="241">
        <f>IF(BH265="",-1E+12-259,N(BJ265)+(400-259)/1E+7)</f>
        <v/>
      </c>
    </row>
    <row r="266">
      <c r="R266" s="241" t="n">
        <v>260</v>
      </c>
      <c r="S266" s="241">
        <f>IFERROR(INDEX(rCom,MATCH(260,rComIdx,0))&amp;"","")</f>
        <v/>
      </c>
      <c r="T266" s="241">
        <f>IF(S266="","",SUMIFS(rGasto,rCom,S266,rFecha,"&gt;="&amp;pIni,rFecha,"&lt;="&amp;pFin,rCat,critCat,rCtaE,critCta))</f>
        <v/>
      </c>
      <c r="U266" s="241">
        <f>IF(S266="","",COUNTIFS(rCom,S266,rTipoE,"Gasto",rFecha,"&gt;="&amp;pIni,rFecha,"&lt;="&amp;pFin,rCat,critCat,rCtaE,critCta))</f>
        <v/>
      </c>
      <c r="V266" s="241">
        <f>IF(S266="",-1E+12-260,N(T266)+(301-260)/1E+7)</f>
        <v/>
      </c>
      <c r="W266" s="241">
        <f>IF(S266="","",SUMIFS(rGasto,rCom,S266,rHorm,1,rFecha,"&gt;="&amp;pIni,rFecha,"&lt;="&amp;pFin))</f>
        <v/>
      </c>
      <c r="X266" s="241">
        <f>IF(S266="","",COUNTIFS(rCom,S266,rHorm,1,rFecha,"&gt;="&amp;pIni,rFecha,"&lt;="&amp;pFin))</f>
        <v/>
      </c>
      <c r="Y266" s="241">
        <f>IF(S266="",-1E+12-260,N(W266)+(301-260)/1E+7)</f>
        <v/>
      </c>
      <c r="BG266" s="241" t="n">
        <v>260</v>
      </c>
      <c r="BH266" s="246">
        <f>IF(calIni+259&lt;=pFinEff,calIni+259,"")</f>
        <v/>
      </c>
      <c r="BI266" s="241">
        <f>IF(BH266="","",WEEKDAY(BH266,2))</f>
        <v/>
      </c>
      <c r="BJ266" s="241">
        <f>IF(BH266="","",SUMIFS(rGasto,rFecha,BH266,rGrupo,"?*"))</f>
        <v/>
      </c>
      <c r="BK266" s="241">
        <f>IF(BH266="","",SUMIFS(rGasto,rFecha,BH266,rGrupo,gCP))</f>
        <v/>
      </c>
      <c r="BL266" s="241">
        <f>IF(BH266="",-1E+12-260,N(BJ266)+(400-260)/1E+7)</f>
        <v/>
      </c>
    </row>
    <row r="267">
      <c r="R267" s="241" t="n">
        <v>261</v>
      </c>
      <c r="S267" s="241">
        <f>IFERROR(INDEX(rCom,MATCH(261,rComIdx,0))&amp;"","")</f>
        <v/>
      </c>
      <c r="T267" s="241">
        <f>IF(S267="","",SUMIFS(rGasto,rCom,S267,rFecha,"&gt;="&amp;pIni,rFecha,"&lt;="&amp;pFin,rCat,critCat,rCtaE,critCta))</f>
        <v/>
      </c>
      <c r="U267" s="241">
        <f>IF(S267="","",COUNTIFS(rCom,S267,rTipoE,"Gasto",rFecha,"&gt;="&amp;pIni,rFecha,"&lt;="&amp;pFin,rCat,critCat,rCtaE,critCta))</f>
        <v/>
      </c>
      <c r="V267" s="241">
        <f>IF(S267="",-1E+12-261,N(T267)+(301-261)/1E+7)</f>
        <v/>
      </c>
      <c r="W267" s="241">
        <f>IF(S267="","",SUMIFS(rGasto,rCom,S267,rHorm,1,rFecha,"&gt;="&amp;pIni,rFecha,"&lt;="&amp;pFin))</f>
        <v/>
      </c>
      <c r="X267" s="241">
        <f>IF(S267="","",COUNTIFS(rCom,S267,rHorm,1,rFecha,"&gt;="&amp;pIni,rFecha,"&lt;="&amp;pFin))</f>
        <v/>
      </c>
      <c r="Y267" s="241">
        <f>IF(S267="",-1E+12-261,N(W267)+(301-261)/1E+7)</f>
        <v/>
      </c>
      <c r="BG267" s="241" t="n">
        <v>261</v>
      </c>
      <c r="BH267" s="246">
        <f>IF(calIni+260&lt;=pFinEff,calIni+260,"")</f>
        <v/>
      </c>
      <c r="BI267" s="241">
        <f>IF(BH267="","",WEEKDAY(BH267,2))</f>
        <v/>
      </c>
      <c r="BJ267" s="241">
        <f>IF(BH267="","",SUMIFS(rGasto,rFecha,BH267,rGrupo,"?*"))</f>
        <v/>
      </c>
      <c r="BK267" s="241">
        <f>IF(BH267="","",SUMIFS(rGasto,rFecha,BH267,rGrupo,gCP))</f>
        <v/>
      </c>
      <c r="BL267" s="241">
        <f>IF(BH267="",-1E+12-261,N(BJ267)+(400-261)/1E+7)</f>
        <v/>
      </c>
    </row>
    <row r="268">
      <c r="R268" s="241" t="n">
        <v>262</v>
      </c>
      <c r="S268" s="241">
        <f>IFERROR(INDEX(rCom,MATCH(262,rComIdx,0))&amp;"","")</f>
        <v/>
      </c>
      <c r="T268" s="241">
        <f>IF(S268="","",SUMIFS(rGasto,rCom,S268,rFecha,"&gt;="&amp;pIni,rFecha,"&lt;="&amp;pFin,rCat,critCat,rCtaE,critCta))</f>
        <v/>
      </c>
      <c r="U268" s="241">
        <f>IF(S268="","",COUNTIFS(rCom,S268,rTipoE,"Gasto",rFecha,"&gt;="&amp;pIni,rFecha,"&lt;="&amp;pFin,rCat,critCat,rCtaE,critCta))</f>
        <v/>
      </c>
      <c r="V268" s="241">
        <f>IF(S268="",-1E+12-262,N(T268)+(301-262)/1E+7)</f>
        <v/>
      </c>
      <c r="W268" s="241">
        <f>IF(S268="","",SUMIFS(rGasto,rCom,S268,rHorm,1,rFecha,"&gt;="&amp;pIni,rFecha,"&lt;="&amp;pFin))</f>
        <v/>
      </c>
      <c r="X268" s="241">
        <f>IF(S268="","",COUNTIFS(rCom,S268,rHorm,1,rFecha,"&gt;="&amp;pIni,rFecha,"&lt;="&amp;pFin))</f>
        <v/>
      </c>
      <c r="Y268" s="241">
        <f>IF(S268="",-1E+12-262,N(W268)+(301-262)/1E+7)</f>
        <v/>
      </c>
      <c r="BG268" s="241" t="n">
        <v>262</v>
      </c>
      <c r="BH268" s="246">
        <f>IF(calIni+261&lt;=pFinEff,calIni+261,"")</f>
        <v/>
      </c>
      <c r="BI268" s="241">
        <f>IF(BH268="","",WEEKDAY(BH268,2))</f>
        <v/>
      </c>
      <c r="BJ268" s="241">
        <f>IF(BH268="","",SUMIFS(rGasto,rFecha,BH268,rGrupo,"?*"))</f>
        <v/>
      </c>
      <c r="BK268" s="241">
        <f>IF(BH268="","",SUMIFS(rGasto,rFecha,BH268,rGrupo,gCP))</f>
        <v/>
      </c>
      <c r="BL268" s="241">
        <f>IF(BH268="",-1E+12-262,N(BJ268)+(400-262)/1E+7)</f>
        <v/>
      </c>
    </row>
    <row r="269">
      <c r="R269" s="241" t="n">
        <v>263</v>
      </c>
      <c r="S269" s="241">
        <f>IFERROR(INDEX(rCom,MATCH(263,rComIdx,0))&amp;"","")</f>
        <v/>
      </c>
      <c r="T269" s="241">
        <f>IF(S269="","",SUMIFS(rGasto,rCom,S269,rFecha,"&gt;="&amp;pIni,rFecha,"&lt;="&amp;pFin,rCat,critCat,rCtaE,critCta))</f>
        <v/>
      </c>
      <c r="U269" s="241">
        <f>IF(S269="","",COUNTIFS(rCom,S269,rTipoE,"Gasto",rFecha,"&gt;="&amp;pIni,rFecha,"&lt;="&amp;pFin,rCat,critCat,rCtaE,critCta))</f>
        <v/>
      </c>
      <c r="V269" s="241">
        <f>IF(S269="",-1E+12-263,N(T269)+(301-263)/1E+7)</f>
        <v/>
      </c>
      <c r="W269" s="241">
        <f>IF(S269="","",SUMIFS(rGasto,rCom,S269,rHorm,1,rFecha,"&gt;="&amp;pIni,rFecha,"&lt;="&amp;pFin))</f>
        <v/>
      </c>
      <c r="X269" s="241">
        <f>IF(S269="","",COUNTIFS(rCom,S269,rHorm,1,rFecha,"&gt;="&amp;pIni,rFecha,"&lt;="&amp;pFin))</f>
        <v/>
      </c>
      <c r="Y269" s="241">
        <f>IF(S269="",-1E+12-263,N(W269)+(301-263)/1E+7)</f>
        <v/>
      </c>
      <c r="BG269" s="241" t="n">
        <v>263</v>
      </c>
      <c r="BH269" s="246">
        <f>IF(calIni+262&lt;=pFinEff,calIni+262,"")</f>
        <v/>
      </c>
      <c r="BI269" s="241">
        <f>IF(BH269="","",WEEKDAY(BH269,2))</f>
        <v/>
      </c>
      <c r="BJ269" s="241">
        <f>IF(BH269="","",SUMIFS(rGasto,rFecha,BH269,rGrupo,"?*"))</f>
        <v/>
      </c>
      <c r="BK269" s="241">
        <f>IF(BH269="","",SUMIFS(rGasto,rFecha,BH269,rGrupo,gCP))</f>
        <v/>
      </c>
      <c r="BL269" s="241">
        <f>IF(BH269="",-1E+12-263,N(BJ269)+(400-263)/1E+7)</f>
        <v/>
      </c>
    </row>
    <row r="270">
      <c r="R270" s="241" t="n">
        <v>264</v>
      </c>
      <c r="S270" s="241">
        <f>IFERROR(INDEX(rCom,MATCH(264,rComIdx,0))&amp;"","")</f>
        <v/>
      </c>
      <c r="T270" s="241">
        <f>IF(S270="","",SUMIFS(rGasto,rCom,S270,rFecha,"&gt;="&amp;pIni,rFecha,"&lt;="&amp;pFin,rCat,critCat,rCtaE,critCta))</f>
        <v/>
      </c>
      <c r="U270" s="241">
        <f>IF(S270="","",COUNTIFS(rCom,S270,rTipoE,"Gasto",rFecha,"&gt;="&amp;pIni,rFecha,"&lt;="&amp;pFin,rCat,critCat,rCtaE,critCta))</f>
        <v/>
      </c>
      <c r="V270" s="241">
        <f>IF(S270="",-1E+12-264,N(T270)+(301-264)/1E+7)</f>
        <v/>
      </c>
      <c r="W270" s="241">
        <f>IF(S270="","",SUMIFS(rGasto,rCom,S270,rHorm,1,rFecha,"&gt;="&amp;pIni,rFecha,"&lt;="&amp;pFin))</f>
        <v/>
      </c>
      <c r="X270" s="241">
        <f>IF(S270="","",COUNTIFS(rCom,S270,rHorm,1,rFecha,"&gt;="&amp;pIni,rFecha,"&lt;="&amp;pFin))</f>
        <v/>
      </c>
      <c r="Y270" s="241">
        <f>IF(S270="",-1E+12-264,N(W270)+(301-264)/1E+7)</f>
        <v/>
      </c>
      <c r="BG270" s="241" t="n">
        <v>264</v>
      </c>
      <c r="BH270" s="246">
        <f>IF(calIni+263&lt;=pFinEff,calIni+263,"")</f>
        <v/>
      </c>
      <c r="BI270" s="241">
        <f>IF(BH270="","",WEEKDAY(BH270,2))</f>
        <v/>
      </c>
      <c r="BJ270" s="241">
        <f>IF(BH270="","",SUMIFS(rGasto,rFecha,BH270,rGrupo,"?*"))</f>
        <v/>
      </c>
      <c r="BK270" s="241">
        <f>IF(BH270="","",SUMIFS(rGasto,rFecha,BH270,rGrupo,gCP))</f>
        <v/>
      </c>
      <c r="BL270" s="241">
        <f>IF(BH270="",-1E+12-264,N(BJ270)+(400-264)/1E+7)</f>
        <v/>
      </c>
    </row>
    <row r="271">
      <c r="R271" s="241" t="n">
        <v>265</v>
      </c>
      <c r="S271" s="241">
        <f>IFERROR(INDEX(rCom,MATCH(265,rComIdx,0))&amp;"","")</f>
        <v/>
      </c>
      <c r="T271" s="241">
        <f>IF(S271="","",SUMIFS(rGasto,rCom,S271,rFecha,"&gt;="&amp;pIni,rFecha,"&lt;="&amp;pFin,rCat,critCat,rCtaE,critCta))</f>
        <v/>
      </c>
      <c r="U271" s="241">
        <f>IF(S271="","",COUNTIFS(rCom,S271,rTipoE,"Gasto",rFecha,"&gt;="&amp;pIni,rFecha,"&lt;="&amp;pFin,rCat,critCat,rCtaE,critCta))</f>
        <v/>
      </c>
      <c r="V271" s="241">
        <f>IF(S271="",-1E+12-265,N(T271)+(301-265)/1E+7)</f>
        <v/>
      </c>
      <c r="W271" s="241">
        <f>IF(S271="","",SUMIFS(rGasto,rCom,S271,rHorm,1,rFecha,"&gt;="&amp;pIni,rFecha,"&lt;="&amp;pFin))</f>
        <v/>
      </c>
      <c r="X271" s="241">
        <f>IF(S271="","",COUNTIFS(rCom,S271,rHorm,1,rFecha,"&gt;="&amp;pIni,rFecha,"&lt;="&amp;pFin))</f>
        <v/>
      </c>
      <c r="Y271" s="241">
        <f>IF(S271="",-1E+12-265,N(W271)+(301-265)/1E+7)</f>
        <v/>
      </c>
      <c r="BG271" s="241" t="n">
        <v>265</v>
      </c>
      <c r="BH271" s="246">
        <f>IF(calIni+264&lt;=pFinEff,calIni+264,"")</f>
        <v/>
      </c>
      <c r="BI271" s="241">
        <f>IF(BH271="","",WEEKDAY(BH271,2))</f>
        <v/>
      </c>
      <c r="BJ271" s="241">
        <f>IF(BH271="","",SUMIFS(rGasto,rFecha,BH271,rGrupo,"?*"))</f>
        <v/>
      </c>
      <c r="BK271" s="241">
        <f>IF(BH271="","",SUMIFS(rGasto,rFecha,BH271,rGrupo,gCP))</f>
        <v/>
      </c>
      <c r="BL271" s="241">
        <f>IF(BH271="",-1E+12-265,N(BJ271)+(400-265)/1E+7)</f>
        <v/>
      </c>
    </row>
    <row r="272">
      <c r="R272" s="241" t="n">
        <v>266</v>
      </c>
      <c r="S272" s="241">
        <f>IFERROR(INDEX(rCom,MATCH(266,rComIdx,0))&amp;"","")</f>
        <v/>
      </c>
      <c r="T272" s="241">
        <f>IF(S272="","",SUMIFS(rGasto,rCom,S272,rFecha,"&gt;="&amp;pIni,rFecha,"&lt;="&amp;pFin,rCat,critCat,rCtaE,critCta))</f>
        <v/>
      </c>
      <c r="U272" s="241">
        <f>IF(S272="","",COUNTIFS(rCom,S272,rTipoE,"Gasto",rFecha,"&gt;="&amp;pIni,rFecha,"&lt;="&amp;pFin,rCat,critCat,rCtaE,critCta))</f>
        <v/>
      </c>
      <c r="V272" s="241">
        <f>IF(S272="",-1E+12-266,N(T272)+(301-266)/1E+7)</f>
        <v/>
      </c>
      <c r="W272" s="241">
        <f>IF(S272="","",SUMIFS(rGasto,rCom,S272,rHorm,1,rFecha,"&gt;="&amp;pIni,rFecha,"&lt;="&amp;pFin))</f>
        <v/>
      </c>
      <c r="X272" s="241">
        <f>IF(S272="","",COUNTIFS(rCom,S272,rHorm,1,rFecha,"&gt;="&amp;pIni,rFecha,"&lt;="&amp;pFin))</f>
        <v/>
      </c>
      <c r="Y272" s="241">
        <f>IF(S272="",-1E+12-266,N(W272)+(301-266)/1E+7)</f>
        <v/>
      </c>
      <c r="BG272" s="241" t="n">
        <v>266</v>
      </c>
      <c r="BH272" s="246">
        <f>IF(calIni+265&lt;=pFinEff,calIni+265,"")</f>
        <v/>
      </c>
      <c r="BI272" s="241">
        <f>IF(BH272="","",WEEKDAY(BH272,2))</f>
        <v/>
      </c>
      <c r="BJ272" s="241">
        <f>IF(BH272="","",SUMIFS(rGasto,rFecha,BH272,rGrupo,"?*"))</f>
        <v/>
      </c>
      <c r="BK272" s="241">
        <f>IF(BH272="","",SUMIFS(rGasto,rFecha,BH272,rGrupo,gCP))</f>
        <v/>
      </c>
      <c r="BL272" s="241">
        <f>IF(BH272="",-1E+12-266,N(BJ272)+(400-266)/1E+7)</f>
        <v/>
      </c>
    </row>
    <row r="273">
      <c r="R273" s="241" t="n">
        <v>267</v>
      </c>
      <c r="S273" s="241">
        <f>IFERROR(INDEX(rCom,MATCH(267,rComIdx,0))&amp;"","")</f>
        <v/>
      </c>
      <c r="T273" s="241">
        <f>IF(S273="","",SUMIFS(rGasto,rCom,S273,rFecha,"&gt;="&amp;pIni,rFecha,"&lt;="&amp;pFin,rCat,critCat,rCtaE,critCta))</f>
        <v/>
      </c>
      <c r="U273" s="241">
        <f>IF(S273="","",COUNTIFS(rCom,S273,rTipoE,"Gasto",rFecha,"&gt;="&amp;pIni,rFecha,"&lt;="&amp;pFin,rCat,critCat,rCtaE,critCta))</f>
        <v/>
      </c>
      <c r="V273" s="241">
        <f>IF(S273="",-1E+12-267,N(T273)+(301-267)/1E+7)</f>
        <v/>
      </c>
      <c r="W273" s="241">
        <f>IF(S273="","",SUMIFS(rGasto,rCom,S273,rHorm,1,rFecha,"&gt;="&amp;pIni,rFecha,"&lt;="&amp;pFin))</f>
        <v/>
      </c>
      <c r="X273" s="241">
        <f>IF(S273="","",COUNTIFS(rCom,S273,rHorm,1,rFecha,"&gt;="&amp;pIni,rFecha,"&lt;="&amp;pFin))</f>
        <v/>
      </c>
      <c r="Y273" s="241">
        <f>IF(S273="",-1E+12-267,N(W273)+(301-267)/1E+7)</f>
        <v/>
      </c>
      <c r="BG273" s="241" t="n">
        <v>267</v>
      </c>
      <c r="BH273" s="246">
        <f>IF(calIni+266&lt;=pFinEff,calIni+266,"")</f>
        <v/>
      </c>
      <c r="BI273" s="241">
        <f>IF(BH273="","",WEEKDAY(BH273,2))</f>
        <v/>
      </c>
      <c r="BJ273" s="241">
        <f>IF(BH273="","",SUMIFS(rGasto,rFecha,BH273,rGrupo,"?*"))</f>
        <v/>
      </c>
      <c r="BK273" s="241">
        <f>IF(BH273="","",SUMIFS(rGasto,rFecha,BH273,rGrupo,gCP))</f>
        <v/>
      </c>
      <c r="BL273" s="241">
        <f>IF(BH273="",-1E+12-267,N(BJ273)+(400-267)/1E+7)</f>
        <v/>
      </c>
    </row>
    <row r="274">
      <c r="R274" s="241" t="n">
        <v>268</v>
      </c>
      <c r="S274" s="241">
        <f>IFERROR(INDEX(rCom,MATCH(268,rComIdx,0))&amp;"","")</f>
        <v/>
      </c>
      <c r="T274" s="241">
        <f>IF(S274="","",SUMIFS(rGasto,rCom,S274,rFecha,"&gt;="&amp;pIni,rFecha,"&lt;="&amp;pFin,rCat,critCat,rCtaE,critCta))</f>
        <v/>
      </c>
      <c r="U274" s="241">
        <f>IF(S274="","",COUNTIFS(rCom,S274,rTipoE,"Gasto",rFecha,"&gt;="&amp;pIni,rFecha,"&lt;="&amp;pFin,rCat,critCat,rCtaE,critCta))</f>
        <v/>
      </c>
      <c r="V274" s="241">
        <f>IF(S274="",-1E+12-268,N(T274)+(301-268)/1E+7)</f>
        <v/>
      </c>
      <c r="W274" s="241">
        <f>IF(S274="","",SUMIFS(rGasto,rCom,S274,rHorm,1,rFecha,"&gt;="&amp;pIni,rFecha,"&lt;="&amp;pFin))</f>
        <v/>
      </c>
      <c r="X274" s="241">
        <f>IF(S274="","",COUNTIFS(rCom,S274,rHorm,1,rFecha,"&gt;="&amp;pIni,rFecha,"&lt;="&amp;pFin))</f>
        <v/>
      </c>
      <c r="Y274" s="241">
        <f>IF(S274="",-1E+12-268,N(W274)+(301-268)/1E+7)</f>
        <v/>
      </c>
      <c r="BG274" s="241" t="n">
        <v>268</v>
      </c>
      <c r="BH274" s="246">
        <f>IF(calIni+267&lt;=pFinEff,calIni+267,"")</f>
        <v/>
      </c>
      <c r="BI274" s="241">
        <f>IF(BH274="","",WEEKDAY(BH274,2))</f>
        <v/>
      </c>
      <c r="BJ274" s="241">
        <f>IF(BH274="","",SUMIFS(rGasto,rFecha,BH274,rGrupo,"?*"))</f>
        <v/>
      </c>
      <c r="BK274" s="241">
        <f>IF(BH274="","",SUMIFS(rGasto,rFecha,BH274,rGrupo,gCP))</f>
        <v/>
      </c>
      <c r="BL274" s="241">
        <f>IF(BH274="",-1E+12-268,N(BJ274)+(400-268)/1E+7)</f>
        <v/>
      </c>
    </row>
    <row r="275">
      <c r="R275" s="241" t="n">
        <v>269</v>
      </c>
      <c r="S275" s="241">
        <f>IFERROR(INDEX(rCom,MATCH(269,rComIdx,0))&amp;"","")</f>
        <v/>
      </c>
      <c r="T275" s="241">
        <f>IF(S275="","",SUMIFS(rGasto,rCom,S275,rFecha,"&gt;="&amp;pIni,rFecha,"&lt;="&amp;pFin,rCat,critCat,rCtaE,critCta))</f>
        <v/>
      </c>
      <c r="U275" s="241">
        <f>IF(S275="","",COUNTIFS(rCom,S275,rTipoE,"Gasto",rFecha,"&gt;="&amp;pIni,rFecha,"&lt;="&amp;pFin,rCat,critCat,rCtaE,critCta))</f>
        <v/>
      </c>
      <c r="V275" s="241">
        <f>IF(S275="",-1E+12-269,N(T275)+(301-269)/1E+7)</f>
        <v/>
      </c>
      <c r="W275" s="241">
        <f>IF(S275="","",SUMIFS(rGasto,rCom,S275,rHorm,1,rFecha,"&gt;="&amp;pIni,rFecha,"&lt;="&amp;pFin))</f>
        <v/>
      </c>
      <c r="X275" s="241">
        <f>IF(S275="","",COUNTIFS(rCom,S275,rHorm,1,rFecha,"&gt;="&amp;pIni,rFecha,"&lt;="&amp;pFin))</f>
        <v/>
      </c>
      <c r="Y275" s="241">
        <f>IF(S275="",-1E+12-269,N(W275)+(301-269)/1E+7)</f>
        <v/>
      </c>
      <c r="BG275" s="241" t="n">
        <v>269</v>
      </c>
      <c r="BH275" s="246">
        <f>IF(calIni+268&lt;=pFinEff,calIni+268,"")</f>
        <v/>
      </c>
      <c r="BI275" s="241">
        <f>IF(BH275="","",WEEKDAY(BH275,2))</f>
        <v/>
      </c>
      <c r="BJ275" s="241">
        <f>IF(BH275="","",SUMIFS(rGasto,rFecha,BH275,rGrupo,"?*"))</f>
        <v/>
      </c>
      <c r="BK275" s="241">
        <f>IF(BH275="","",SUMIFS(rGasto,rFecha,BH275,rGrupo,gCP))</f>
        <v/>
      </c>
      <c r="BL275" s="241">
        <f>IF(BH275="",-1E+12-269,N(BJ275)+(400-269)/1E+7)</f>
        <v/>
      </c>
    </row>
    <row r="276">
      <c r="R276" s="241" t="n">
        <v>270</v>
      </c>
      <c r="S276" s="241">
        <f>IFERROR(INDEX(rCom,MATCH(270,rComIdx,0))&amp;"","")</f>
        <v/>
      </c>
      <c r="T276" s="241">
        <f>IF(S276="","",SUMIFS(rGasto,rCom,S276,rFecha,"&gt;="&amp;pIni,rFecha,"&lt;="&amp;pFin,rCat,critCat,rCtaE,critCta))</f>
        <v/>
      </c>
      <c r="U276" s="241">
        <f>IF(S276="","",COUNTIFS(rCom,S276,rTipoE,"Gasto",rFecha,"&gt;="&amp;pIni,rFecha,"&lt;="&amp;pFin,rCat,critCat,rCtaE,critCta))</f>
        <v/>
      </c>
      <c r="V276" s="241">
        <f>IF(S276="",-1E+12-270,N(T276)+(301-270)/1E+7)</f>
        <v/>
      </c>
      <c r="W276" s="241">
        <f>IF(S276="","",SUMIFS(rGasto,rCom,S276,rHorm,1,rFecha,"&gt;="&amp;pIni,rFecha,"&lt;="&amp;pFin))</f>
        <v/>
      </c>
      <c r="X276" s="241">
        <f>IF(S276="","",COUNTIFS(rCom,S276,rHorm,1,rFecha,"&gt;="&amp;pIni,rFecha,"&lt;="&amp;pFin))</f>
        <v/>
      </c>
      <c r="Y276" s="241">
        <f>IF(S276="",-1E+12-270,N(W276)+(301-270)/1E+7)</f>
        <v/>
      </c>
      <c r="BG276" s="241" t="n">
        <v>270</v>
      </c>
      <c r="BH276" s="246">
        <f>IF(calIni+269&lt;=pFinEff,calIni+269,"")</f>
        <v/>
      </c>
      <c r="BI276" s="241">
        <f>IF(BH276="","",WEEKDAY(BH276,2))</f>
        <v/>
      </c>
      <c r="BJ276" s="241">
        <f>IF(BH276="","",SUMIFS(rGasto,rFecha,BH276,rGrupo,"?*"))</f>
        <v/>
      </c>
      <c r="BK276" s="241">
        <f>IF(BH276="","",SUMIFS(rGasto,rFecha,BH276,rGrupo,gCP))</f>
        <v/>
      </c>
      <c r="BL276" s="241">
        <f>IF(BH276="",-1E+12-270,N(BJ276)+(400-270)/1E+7)</f>
        <v/>
      </c>
    </row>
    <row r="277">
      <c r="R277" s="241" t="n">
        <v>271</v>
      </c>
      <c r="S277" s="241">
        <f>IFERROR(INDEX(rCom,MATCH(271,rComIdx,0))&amp;"","")</f>
        <v/>
      </c>
      <c r="T277" s="241">
        <f>IF(S277="","",SUMIFS(rGasto,rCom,S277,rFecha,"&gt;="&amp;pIni,rFecha,"&lt;="&amp;pFin,rCat,critCat,rCtaE,critCta))</f>
        <v/>
      </c>
      <c r="U277" s="241">
        <f>IF(S277="","",COUNTIFS(rCom,S277,rTipoE,"Gasto",rFecha,"&gt;="&amp;pIni,rFecha,"&lt;="&amp;pFin,rCat,critCat,rCtaE,critCta))</f>
        <v/>
      </c>
      <c r="V277" s="241">
        <f>IF(S277="",-1E+12-271,N(T277)+(301-271)/1E+7)</f>
        <v/>
      </c>
      <c r="W277" s="241">
        <f>IF(S277="","",SUMIFS(rGasto,rCom,S277,rHorm,1,rFecha,"&gt;="&amp;pIni,rFecha,"&lt;="&amp;pFin))</f>
        <v/>
      </c>
      <c r="X277" s="241">
        <f>IF(S277="","",COUNTIFS(rCom,S277,rHorm,1,rFecha,"&gt;="&amp;pIni,rFecha,"&lt;="&amp;pFin))</f>
        <v/>
      </c>
      <c r="Y277" s="241">
        <f>IF(S277="",-1E+12-271,N(W277)+(301-271)/1E+7)</f>
        <v/>
      </c>
      <c r="BG277" s="241" t="n">
        <v>271</v>
      </c>
      <c r="BH277" s="246">
        <f>IF(calIni+270&lt;=pFinEff,calIni+270,"")</f>
        <v/>
      </c>
      <c r="BI277" s="241">
        <f>IF(BH277="","",WEEKDAY(BH277,2))</f>
        <v/>
      </c>
      <c r="BJ277" s="241">
        <f>IF(BH277="","",SUMIFS(rGasto,rFecha,BH277,rGrupo,"?*"))</f>
        <v/>
      </c>
      <c r="BK277" s="241">
        <f>IF(BH277="","",SUMIFS(rGasto,rFecha,BH277,rGrupo,gCP))</f>
        <v/>
      </c>
      <c r="BL277" s="241">
        <f>IF(BH277="",-1E+12-271,N(BJ277)+(400-271)/1E+7)</f>
        <v/>
      </c>
    </row>
    <row r="278">
      <c r="R278" s="241" t="n">
        <v>272</v>
      </c>
      <c r="S278" s="241">
        <f>IFERROR(INDEX(rCom,MATCH(272,rComIdx,0))&amp;"","")</f>
        <v/>
      </c>
      <c r="T278" s="241">
        <f>IF(S278="","",SUMIFS(rGasto,rCom,S278,rFecha,"&gt;="&amp;pIni,rFecha,"&lt;="&amp;pFin,rCat,critCat,rCtaE,critCta))</f>
        <v/>
      </c>
      <c r="U278" s="241">
        <f>IF(S278="","",COUNTIFS(rCom,S278,rTipoE,"Gasto",rFecha,"&gt;="&amp;pIni,rFecha,"&lt;="&amp;pFin,rCat,critCat,rCtaE,critCta))</f>
        <v/>
      </c>
      <c r="V278" s="241">
        <f>IF(S278="",-1E+12-272,N(T278)+(301-272)/1E+7)</f>
        <v/>
      </c>
      <c r="W278" s="241">
        <f>IF(S278="","",SUMIFS(rGasto,rCom,S278,rHorm,1,rFecha,"&gt;="&amp;pIni,rFecha,"&lt;="&amp;pFin))</f>
        <v/>
      </c>
      <c r="X278" s="241">
        <f>IF(S278="","",COUNTIFS(rCom,S278,rHorm,1,rFecha,"&gt;="&amp;pIni,rFecha,"&lt;="&amp;pFin))</f>
        <v/>
      </c>
      <c r="Y278" s="241">
        <f>IF(S278="",-1E+12-272,N(W278)+(301-272)/1E+7)</f>
        <v/>
      </c>
      <c r="BG278" s="241" t="n">
        <v>272</v>
      </c>
      <c r="BH278" s="246">
        <f>IF(calIni+271&lt;=pFinEff,calIni+271,"")</f>
        <v/>
      </c>
      <c r="BI278" s="241">
        <f>IF(BH278="","",WEEKDAY(BH278,2))</f>
        <v/>
      </c>
      <c r="BJ278" s="241">
        <f>IF(BH278="","",SUMIFS(rGasto,rFecha,BH278,rGrupo,"?*"))</f>
        <v/>
      </c>
      <c r="BK278" s="241">
        <f>IF(BH278="","",SUMIFS(rGasto,rFecha,BH278,rGrupo,gCP))</f>
        <v/>
      </c>
      <c r="BL278" s="241">
        <f>IF(BH278="",-1E+12-272,N(BJ278)+(400-272)/1E+7)</f>
        <v/>
      </c>
    </row>
    <row r="279">
      <c r="R279" s="241" t="n">
        <v>273</v>
      </c>
      <c r="S279" s="241">
        <f>IFERROR(INDEX(rCom,MATCH(273,rComIdx,0))&amp;"","")</f>
        <v/>
      </c>
      <c r="T279" s="241">
        <f>IF(S279="","",SUMIFS(rGasto,rCom,S279,rFecha,"&gt;="&amp;pIni,rFecha,"&lt;="&amp;pFin,rCat,critCat,rCtaE,critCta))</f>
        <v/>
      </c>
      <c r="U279" s="241">
        <f>IF(S279="","",COUNTIFS(rCom,S279,rTipoE,"Gasto",rFecha,"&gt;="&amp;pIni,rFecha,"&lt;="&amp;pFin,rCat,critCat,rCtaE,critCta))</f>
        <v/>
      </c>
      <c r="V279" s="241">
        <f>IF(S279="",-1E+12-273,N(T279)+(301-273)/1E+7)</f>
        <v/>
      </c>
      <c r="W279" s="241">
        <f>IF(S279="","",SUMIFS(rGasto,rCom,S279,rHorm,1,rFecha,"&gt;="&amp;pIni,rFecha,"&lt;="&amp;pFin))</f>
        <v/>
      </c>
      <c r="X279" s="241">
        <f>IF(S279="","",COUNTIFS(rCom,S279,rHorm,1,rFecha,"&gt;="&amp;pIni,rFecha,"&lt;="&amp;pFin))</f>
        <v/>
      </c>
      <c r="Y279" s="241">
        <f>IF(S279="",-1E+12-273,N(W279)+(301-273)/1E+7)</f>
        <v/>
      </c>
      <c r="BG279" s="241" t="n">
        <v>273</v>
      </c>
      <c r="BH279" s="246">
        <f>IF(calIni+272&lt;=pFinEff,calIni+272,"")</f>
        <v/>
      </c>
      <c r="BI279" s="241">
        <f>IF(BH279="","",WEEKDAY(BH279,2))</f>
        <v/>
      </c>
      <c r="BJ279" s="241">
        <f>IF(BH279="","",SUMIFS(rGasto,rFecha,BH279,rGrupo,"?*"))</f>
        <v/>
      </c>
      <c r="BK279" s="241">
        <f>IF(BH279="","",SUMIFS(rGasto,rFecha,BH279,rGrupo,gCP))</f>
        <v/>
      </c>
      <c r="BL279" s="241">
        <f>IF(BH279="",-1E+12-273,N(BJ279)+(400-273)/1E+7)</f>
        <v/>
      </c>
    </row>
    <row r="280">
      <c r="R280" s="241" t="n">
        <v>274</v>
      </c>
      <c r="S280" s="241">
        <f>IFERROR(INDEX(rCom,MATCH(274,rComIdx,0))&amp;"","")</f>
        <v/>
      </c>
      <c r="T280" s="241">
        <f>IF(S280="","",SUMIFS(rGasto,rCom,S280,rFecha,"&gt;="&amp;pIni,rFecha,"&lt;="&amp;pFin,rCat,critCat,rCtaE,critCta))</f>
        <v/>
      </c>
      <c r="U280" s="241">
        <f>IF(S280="","",COUNTIFS(rCom,S280,rTipoE,"Gasto",rFecha,"&gt;="&amp;pIni,rFecha,"&lt;="&amp;pFin,rCat,critCat,rCtaE,critCta))</f>
        <v/>
      </c>
      <c r="V280" s="241">
        <f>IF(S280="",-1E+12-274,N(T280)+(301-274)/1E+7)</f>
        <v/>
      </c>
      <c r="W280" s="241">
        <f>IF(S280="","",SUMIFS(rGasto,rCom,S280,rHorm,1,rFecha,"&gt;="&amp;pIni,rFecha,"&lt;="&amp;pFin))</f>
        <v/>
      </c>
      <c r="X280" s="241">
        <f>IF(S280="","",COUNTIFS(rCom,S280,rHorm,1,rFecha,"&gt;="&amp;pIni,rFecha,"&lt;="&amp;pFin))</f>
        <v/>
      </c>
      <c r="Y280" s="241">
        <f>IF(S280="",-1E+12-274,N(W280)+(301-274)/1E+7)</f>
        <v/>
      </c>
      <c r="BG280" s="241" t="n">
        <v>274</v>
      </c>
      <c r="BH280" s="246">
        <f>IF(calIni+273&lt;=pFinEff,calIni+273,"")</f>
        <v/>
      </c>
      <c r="BI280" s="241">
        <f>IF(BH280="","",WEEKDAY(BH280,2))</f>
        <v/>
      </c>
      <c r="BJ280" s="241">
        <f>IF(BH280="","",SUMIFS(rGasto,rFecha,BH280,rGrupo,"?*"))</f>
        <v/>
      </c>
      <c r="BK280" s="241">
        <f>IF(BH280="","",SUMIFS(rGasto,rFecha,BH280,rGrupo,gCP))</f>
        <v/>
      </c>
      <c r="BL280" s="241">
        <f>IF(BH280="",-1E+12-274,N(BJ280)+(400-274)/1E+7)</f>
        <v/>
      </c>
    </row>
    <row r="281">
      <c r="R281" s="241" t="n">
        <v>275</v>
      </c>
      <c r="S281" s="241">
        <f>IFERROR(INDEX(rCom,MATCH(275,rComIdx,0))&amp;"","")</f>
        <v/>
      </c>
      <c r="T281" s="241">
        <f>IF(S281="","",SUMIFS(rGasto,rCom,S281,rFecha,"&gt;="&amp;pIni,rFecha,"&lt;="&amp;pFin,rCat,critCat,rCtaE,critCta))</f>
        <v/>
      </c>
      <c r="U281" s="241">
        <f>IF(S281="","",COUNTIFS(rCom,S281,rTipoE,"Gasto",rFecha,"&gt;="&amp;pIni,rFecha,"&lt;="&amp;pFin,rCat,critCat,rCtaE,critCta))</f>
        <v/>
      </c>
      <c r="V281" s="241">
        <f>IF(S281="",-1E+12-275,N(T281)+(301-275)/1E+7)</f>
        <v/>
      </c>
      <c r="W281" s="241">
        <f>IF(S281="","",SUMIFS(rGasto,rCom,S281,rHorm,1,rFecha,"&gt;="&amp;pIni,rFecha,"&lt;="&amp;pFin))</f>
        <v/>
      </c>
      <c r="X281" s="241">
        <f>IF(S281="","",COUNTIFS(rCom,S281,rHorm,1,rFecha,"&gt;="&amp;pIni,rFecha,"&lt;="&amp;pFin))</f>
        <v/>
      </c>
      <c r="Y281" s="241">
        <f>IF(S281="",-1E+12-275,N(W281)+(301-275)/1E+7)</f>
        <v/>
      </c>
      <c r="BG281" s="241" t="n">
        <v>275</v>
      </c>
      <c r="BH281" s="246">
        <f>IF(calIni+274&lt;=pFinEff,calIni+274,"")</f>
        <v/>
      </c>
      <c r="BI281" s="241">
        <f>IF(BH281="","",WEEKDAY(BH281,2))</f>
        <v/>
      </c>
      <c r="BJ281" s="241">
        <f>IF(BH281="","",SUMIFS(rGasto,rFecha,BH281,rGrupo,"?*"))</f>
        <v/>
      </c>
      <c r="BK281" s="241">
        <f>IF(BH281="","",SUMIFS(rGasto,rFecha,BH281,rGrupo,gCP))</f>
        <v/>
      </c>
      <c r="BL281" s="241">
        <f>IF(BH281="",-1E+12-275,N(BJ281)+(400-275)/1E+7)</f>
        <v/>
      </c>
    </row>
    <row r="282">
      <c r="R282" s="241" t="n">
        <v>276</v>
      </c>
      <c r="S282" s="241">
        <f>IFERROR(INDEX(rCom,MATCH(276,rComIdx,0))&amp;"","")</f>
        <v/>
      </c>
      <c r="T282" s="241">
        <f>IF(S282="","",SUMIFS(rGasto,rCom,S282,rFecha,"&gt;="&amp;pIni,rFecha,"&lt;="&amp;pFin,rCat,critCat,rCtaE,critCta))</f>
        <v/>
      </c>
      <c r="U282" s="241">
        <f>IF(S282="","",COUNTIFS(rCom,S282,rTipoE,"Gasto",rFecha,"&gt;="&amp;pIni,rFecha,"&lt;="&amp;pFin,rCat,critCat,rCtaE,critCta))</f>
        <v/>
      </c>
      <c r="V282" s="241">
        <f>IF(S282="",-1E+12-276,N(T282)+(301-276)/1E+7)</f>
        <v/>
      </c>
      <c r="W282" s="241">
        <f>IF(S282="","",SUMIFS(rGasto,rCom,S282,rHorm,1,rFecha,"&gt;="&amp;pIni,rFecha,"&lt;="&amp;pFin))</f>
        <v/>
      </c>
      <c r="X282" s="241">
        <f>IF(S282="","",COUNTIFS(rCom,S282,rHorm,1,rFecha,"&gt;="&amp;pIni,rFecha,"&lt;="&amp;pFin))</f>
        <v/>
      </c>
      <c r="Y282" s="241">
        <f>IF(S282="",-1E+12-276,N(W282)+(301-276)/1E+7)</f>
        <v/>
      </c>
      <c r="BG282" s="241" t="n">
        <v>276</v>
      </c>
      <c r="BH282" s="246">
        <f>IF(calIni+275&lt;=pFinEff,calIni+275,"")</f>
        <v/>
      </c>
      <c r="BI282" s="241">
        <f>IF(BH282="","",WEEKDAY(BH282,2))</f>
        <v/>
      </c>
      <c r="BJ282" s="241">
        <f>IF(BH282="","",SUMIFS(rGasto,rFecha,BH282,rGrupo,"?*"))</f>
        <v/>
      </c>
      <c r="BK282" s="241">
        <f>IF(BH282="","",SUMIFS(rGasto,rFecha,BH282,rGrupo,gCP))</f>
        <v/>
      </c>
      <c r="BL282" s="241">
        <f>IF(BH282="",-1E+12-276,N(BJ282)+(400-276)/1E+7)</f>
        <v/>
      </c>
    </row>
    <row r="283">
      <c r="R283" s="241" t="n">
        <v>277</v>
      </c>
      <c r="S283" s="241">
        <f>IFERROR(INDEX(rCom,MATCH(277,rComIdx,0))&amp;"","")</f>
        <v/>
      </c>
      <c r="T283" s="241">
        <f>IF(S283="","",SUMIFS(rGasto,rCom,S283,rFecha,"&gt;="&amp;pIni,rFecha,"&lt;="&amp;pFin,rCat,critCat,rCtaE,critCta))</f>
        <v/>
      </c>
      <c r="U283" s="241">
        <f>IF(S283="","",COUNTIFS(rCom,S283,rTipoE,"Gasto",rFecha,"&gt;="&amp;pIni,rFecha,"&lt;="&amp;pFin,rCat,critCat,rCtaE,critCta))</f>
        <v/>
      </c>
      <c r="V283" s="241">
        <f>IF(S283="",-1E+12-277,N(T283)+(301-277)/1E+7)</f>
        <v/>
      </c>
      <c r="W283" s="241">
        <f>IF(S283="","",SUMIFS(rGasto,rCom,S283,rHorm,1,rFecha,"&gt;="&amp;pIni,rFecha,"&lt;="&amp;pFin))</f>
        <v/>
      </c>
      <c r="X283" s="241">
        <f>IF(S283="","",COUNTIFS(rCom,S283,rHorm,1,rFecha,"&gt;="&amp;pIni,rFecha,"&lt;="&amp;pFin))</f>
        <v/>
      </c>
      <c r="Y283" s="241">
        <f>IF(S283="",-1E+12-277,N(W283)+(301-277)/1E+7)</f>
        <v/>
      </c>
      <c r="BG283" s="241" t="n">
        <v>277</v>
      </c>
      <c r="BH283" s="246">
        <f>IF(calIni+276&lt;=pFinEff,calIni+276,"")</f>
        <v/>
      </c>
      <c r="BI283" s="241">
        <f>IF(BH283="","",WEEKDAY(BH283,2))</f>
        <v/>
      </c>
      <c r="BJ283" s="241">
        <f>IF(BH283="","",SUMIFS(rGasto,rFecha,BH283,rGrupo,"?*"))</f>
        <v/>
      </c>
      <c r="BK283" s="241">
        <f>IF(BH283="","",SUMIFS(rGasto,rFecha,BH283,rGrupo,gCP))</f>
        <v/>
      </c>
      <c r="BL283" s="241">
        <f>IF(BH283="",-1E+12-277,N(BJ283)+(400-277)/1E+7)</f>
        <v/>
      </c>
    </row>
    <row r="284">
      <c r="R284" s="241" t="n">
        <v>278</v>
      </c>
      <c r="S284" s="241">
        <f>IFERROR(INDEX(rCom,MATCH(278,rComIdx,0))&amp;"","")</f>
        <v/>
      </c>
      <c r="T284" s="241">
        <f>IF(S284="","",SUMIFS(rGasto,rCom,S284,rFecha,"&gt;="&amp;pIni,rFecha,"&lt;="&amp;pFin,rCat,critCat,rCtaE,critCta))</f>
        <v/>
      </c>
      <c r="U284" s="241">
        <f>IF(S284="","",COUNTIFS(rCom,S284,rTipoE,"Gasto",rFecha,"&gt;="&amp;pIni,rFecha,"&lt;="&amp;pFin,rCat,critCat,rCtaE,critCta))</f>
        <v/>
      </c>
      <c r="V284" s="241">
        <f>IF(S284="",-1E+12-278,N(T284)+(301-278)/1E+7)</f>
        <v/>
      </c>
      <c r="W284" s="241">
        <f>IF(S284="","",SUMIFS(rGasto,rCom,S284,rHorm,1,rFecha,"&gt;="&amp;pIni,rFecha,"&lt;="&amp;pFin))</f>
        <v/>
      </c>
      <c r="X284" s="241">
        <f>IF(S284="","",COUNTIFS(rCom,S284,rHorm,1,rFecha,"&gt;="&amp;pIni,rFecha,"&lt;="&amp;pFin))</f>
        <v/>
      </c>
      <c r="Y284" s="241">
        <f>IF(S284="",-1E+12-278,N(W284)+(301-278)/1E+7)</f>
        <v/>
      </c>
      <c r="BG284" s="241" t="n">
        <v>278</v>
      </c>
      <c r="BH284" s="246">
        <f>IF(calIni+277&lt;=pFinEff,calIni+277,"")</f>
        <v/>
      </c>
      <c r="BI284" s="241">
        <f>IF(BH284="","",WEEKDAY(BH284,2))</f>
        <v/>
      </c>
      <c r="BJ284" s="241">
        <f>IF(BH284="","",SUMIFS(rGasto,rFecha,BH284,rGrupo,"?*"))</f>
        <v/>
      </c>
      <c r="BK284" s="241">
        <f>IF(BH284="","",SUMIFS(rGasto,rFecha,BH284,rGrupo,gCP))</f>
        <v/>
      </c>
      <c r="BL284" s="241">
        <f>IF(BH284="",-1E+12-278,N(BJ284)+(400-278)/1E+7)</f>
        <v/>
      </c>
    </row>
    <row r="285">
      <c r="R285" s="241" t="n">
        <v>279</v>
      </c>
      <c r="S285" s="241">
        <f>IFERROR(INDEX(rCom,MATCH(279,rComIdx,0))&amp;"","")</f>
        <v/>
      </c>
      <c r="T285" s="241">
        <f>IF(S285="","",SUMIFS(rGasto,rCom,S285,rFecha,"&gt;="&amp;pIni,rFecha,"&lt;="&amp;pFin,rCat,critCat,rCtaE,critCta))</f>
        <v/>
      </c>
      <c r="U285" s="241">
        <f>IF(S285="","",COUNTIFS(rCom,S285,rTipoE,"Gasto",rFecha,"&gt;="&amp;pIni,rFecha,"&lt;="&amp;pFin,rCat,critCat,rCtaE,critCta))</f>
        <v/>
      </c>
      <c r="V285" s="241">
        <f>IF(S285="",-1E+12-279,N(T285)+(301-279)/1E+7)</f>
        <v/>
      </c>
      <c r="W285" s="241">
        <f>IF(S285="","",SUMIFS(rGasto,rCom,S285,rHorm,1,rFecha,"&gt;="&amp;pIni,rFecha,"&lt;="&amp;pFin))</f>
        <v/>
      </c>
      <c r="X285" s="241">
        <f>IF(S285="","",COUNTIFS(rCom,S285,rHorm,1,rFecha,"&gt;="&amp;pIni,rFecha,"&lt;="&amp;pFin))</f>
        <v/>
      </c>
      <c r="Y285" s="241">
        <f>IF(S285="",-1E+12-279,N(W285)+(301-279)/1E+7)</f>
        <v/>
      </c>
      <c r="BG285" s="241" t="n">
        <v>279</v>
      </c>
      <c r="BH285" s="246">
        <f>IF(calIni+278&lt;=pFinEff,calIni+278,"")</f>
        <v/>
      </c>
      <c r="BI285" s="241">
        <f>IF(BH285="","",WEEKDAY(BH285,2))</f>
        <v/>
      </c>
      <c r="BJ285" s="241">
        <f>IF(BH285="","",SUMIFS(rGasto,rFecha,BH285,rGrupo,"?*"))</f>
        <v/>
      </c>
      <c r="BK285" s="241">
        <f>IF(BH285="","",SUMIFS(rGasto,rFecha,BH285,rGrupo,gCP))</f>
        <v/>
      </c>
      <c r="BL285" s="241">
        <f>IF(BH285="",-1E+12-279,N(BJ285)+(400-279)/1E+7)</f>
        <v/>
      </c>
    </row>
    <row r="286">
      <c r="R286" s="241" t="n">
        <v>280</v>
      </c>
      <c r="S286" s="241">
        <f>IFERROR(INDEX(rCom,MATCH(280,rComIdx,0))&amp;"","")</f>
        <v/>
      </c>
      <c r="T286" s="241">
        <f>IF(S286="","",SUMIFS(rGasto,rCom,S286,rFecha,"&gt;="&amp;pIni,rFecha,"&lt;="&amp;pFin,rCat,critCat,rCtaE,critCta))</f>
        <v/>
      </c>
      <c r="U286" s="241">
        <f>IF(S286="","",COUNTIFS(rCom,S286,rTipoE,"Gasto",rFecha,"&gt;="&amp;pIni,rFecha,"&lt;="&amp;pFin,rCat,critCat,rCtaE,critCta))</f>
        <v/>
      </c>
      <c r="V286" s="241">
        <f>IF(S286="",-1E+12-280,N(T286)+(301-280)/1E+7)</f>
        <v/>
      </c>
      <c r="W286" s="241">
        <f>IF(S286="","",SUMIFS(rGasto,rCom,S286,rHorm,1,rFecha,"&gt;="&amp;pIni,rFecha,"&lt;="&amp;pFin))</f>
        <v/>
      </c>
      <c r="X286" s="241">
        <f>IF(S286="","",COUNTIFS(rCom,S286,rHorm,1,rFecha,"&gt;="&amp;pIni,rFecha,"&lt;="&amp;pFin))</f>
        <v/>
      </c>
      <c r="Y286" s="241">
        <f>IF(S286="",-1E+12-280,N(W286)+(301-280)/1E+7)</f>
        <v/>
      </c>
      <c r="BG286" s="241" t="n">
        <v>280</v>
      </c>
      <c r="BH286" s="246">
        <f>IF(calIni+279&lt;=pFinEff,calIni+279,"")</f>
        <v/>
      </c>
      <c r="BI286" s="241">
        <f>IF(BH286="","",WEEKDAY(BH286,2))</f>
        <v/>
      </c>
      <c r="BJ286" s="241">
        <f>IF(BH286="","",SUMIFS(rGasto,rFecha,BH286,rGrupo,"?*"))</f>
        <v/>
      </c>
      <c r="BK286" s="241">
        <f>IF(BH286="","",SUMIFS(rGasto,rFecha,BH286,rGrupo,gCP))</f>
        <v/>
      </c>
      <c r="BL286" s="241">
        <f>IF(BH286="",-1E+12-280,N(BJ286)+(400-280)/1E+7)</f>
        <v/>
      </c>
    </row>
    <row r="287">
      <c r="R287" s="241" t="n">
        <v>281</v>
      </c>
      <c r="S287" s="241">
        <f>IFERROR(INDEX(rCom,MATCH(281,rComIdx,0))&amp;"","")</f>
        <v/>
      </c>
      <c r="T287" s="241">
        <f>IF(S287="","",SUMIFS(rGasto,rCom,S287,rFecha,"&gt;="&amp;pIni,rFecha,"&lt;="&amp;pFin,rCat,critCat,rCtaE,critCta))</f>
        <v/>
      </c>
      <c r="U287" s="241">
        <f>IF(S287="","",COUNTIFS(rCom,S287,rTipoE,"Gasto",rFecha,"&gt;="&amp;pIni,rFecha,"&lt;="&amp;pFin,rCat,critCat,rCtaE,critCta))</f>
        <v/>
      </c>
      <c r="V287" s="241">
        <f>IF(S287="",-1E+12-281,N(T287)+(301-281)/1E+7)</f>
        <v/>
      </c>
      <c r="W287" s="241">
        <f>IF(S287="","",SUMIFS(rGasto,rCom,S287,rHorm,1,rFecha,"&gt;="&amp;pIni,rFecha,"&lt;="&amp;pFin))</f>
        <v/>
      </c>
      <c r="X287" s="241">
        <f>IF(S287="","",COUNTIFS(rCom,S287,rHorm,1,rFecha,"&gt;="&amp;pIni,rFecha,"&lt;="&amp;pFin))</f>
        <v/>
      </c>
      <c r="Y287" s="241">
        <f>IF(S287="",-1E+12-281,N(W287)+(301-281)/1E+7)</f>
        <v/>
      </c>
      <c r="BG287" s="241" t="n">
        <v>281</v>
      </c>
      <c r="BH287" s="246">
        <f>IF(calIni+280&lt;=pFinEff,calIni+280,"")</f>
        <v/>
      </c>
      <c r="BI287" s="241">
        <f>IF(BH287="","",WEEKDAY(BH287,2))</f>
        <v/>
      </c>
      <c r="BJ287" s="241">
        <f>IF(BH287="","",SUMIFS(rGasto,rFecha,BH287,rGrupo,"?*"))</f>
        <v/>
      </c>
      <c r="BK287" s="241">
        <f>IF(BH287="","",SUMIFS(rGasto,rFecha,BH287,rGrupo,gCP))</f>
        <v/>
      </c>
      <c r="BL287" s="241">
        <f>IF(BH287="",-1E+12-281,N(BJ287)+(400-281)/1E+7)</f>
        <v/>
      </c>
    </row>
    <row r="288">
      <c r="R288" s="241" t="n">
        <v>282</v>
      </c>
      <c r="S288" s="241">
        <f>IFERROR(INDEX(rCom,MATCH(282,rComIdx,0))&amp;"","")</f>
        <v/>
      </c>
      <c r="T288" s="241">
        <f>IF(S288="","",SUMIFS(rGasto,rCom,S288,rFecha,"&gt;="&amp;pIni,rFecha,"&lt;="&amp;pFin,rCat,critCat,rCtaE,critCta))</f>
        <v/>
      </c>
      <c r="U288" s="241">
        <f>IF(S288="","",COUNTIFS(rCom,S288,rTipoE,"Gasto",rFecha,"&gt;="&amp;pIni,rFecha,"&lt;="&amp;pFin,rCat,critCat,rCtaE,critCta))</f>
        <v/>
      </c>
      <c r="V288" s="241">
        <f>IF(S288="",-1E+12-282,N(T288)+(301-282)/1E+7)</f>
        <v/>
      </c>
      <c r="W288" s="241">
        <f>IF(S288="","",SUMIFS(rGasto,rCom,S288,rHorm,1,rFecha,"&gt;="&amp;pIni,rFecha,"&lt;="&amp;pFin))</f>
        <v/>
      </c>
      <c r="X288" s="241">
        <f>IF(S288="","",COUNTIFS(rCom,S288,rHorm,1,rFecha,"&gt;="&amp;pIni,rFecha,"&lt;="&amp;pFin))</f>
        <v/>
      </c>
      <c r="Y288" s="241">
        <f>IF(S288="",-1E+12-282,N(W288)+(301-282)/1E+7)</f>
        <v/>
      </c>
      <c r="BG288" s="241" t="n">
        <v>282</v>
      </c>
      <c r="BH288" s="246">
        <f>IF(calIni+281&lt;=pFinEff,calIni+281,"")</f>
        <v/>
      </c>
      <c r="BI288" s="241">
        <f>IF(BH288="","",WEEKDAY(BH288,2))</f>
        <v/>
      </c>
      <c r="BJ288" s="241">
        <f>IF(BH288="","",SUMIFS(rGasto,rFecha,BH288,rGrupo,"?*"))</f>
        <v/>
      </c>
      <c r="BK288" s="241">
        <f>IF(BH288="","",SUMIFS(rGasto,rFecha,BH288,rGrupo,gCP))</f>
        <v/>
      </c>
      <c r="BL288" s="241">
        <f>IF(BH288="",-1E+12-282,N(BJ288)+(400-282)/1E+7)</f>
        <v/>
      </c>
    </row>
    <row r="289">
      <c r="R289" s="241" t="n">
        <v>283</v>
      </c>
      <c r="S289" s="241">
        <f>IFERROR(INDEX(rCom,MATCH(283,rComIdx,0))&amp;"","")</f>
        <v/>
      </c>
      <c r="T289" s="241">
        <f>IF(S289="","",SUMIFS(rGasto,rCom,S289,rFecha,"&gt;="&amp;pIni,rFecha,"&lt;="&amp;pFin,rCat,critCat,rCtaE,critCta))</f>
        <v/>
      </c>
      <c r="U289" s="241">
        <f>IF(S289="","",COUNTIFS(rCom,S289,rTipoE,"Gasto",rFecha,"&gt;="&amp;pIni,rFecha,"&lt;="&amp;pFin,rCat,critCat,rCtaE,critCta))</f>
        <v/>
      </c>
      <c r="V289" s="241">
        <f>IF(S289="",-1E+12-283,N(T289)+(301-283)/1E+7)</f>
        <v/>
      </c>
      <c r="W289" s="241">
        <f>IF(S289="","",SUMIFS(rGasto,rCom,S289,rHorm,1,rFecha,"&gt;="&amp;pIni,rFecha,"&lt;="&amp;pFin))</f>
        <v/>
      </c>
      <c r="X289" s="241">
        <f>IF(S289="","",COUNTIFS(rCom,S289,rHorm,1,rFecha,"&gt;="&amp;pIni,rFecha,"&lt;="&amp;pFin))</f>
        <v/>
      </c>
      <c r="Y289" s="241">
        <f>IF(S289="",-1E+12-283,N(W289)+(301-283)/1E+7)</f>
        <v/>
      </c>
      <c r="BG289" s="241" t="n">
        <v>283</v>
      </c>
      <c r="BH289" s="246">
        <f>IF(calIni+282&lt;=pFinEff,calIni+282,"")</f>
        <v/>
      </c>
      <c r="BI289" s="241">
        <f>IF(BH289="","",WEEKDAY(BH289,2))</f>
        <v/>
      </c>
      <c r="BJ289" s="241">
        <f>IF(BH289="","",SUMIFS(rGasto,rFecha,BH289,rGrupo,"?*"))</f>
        <v/>
      </c>
      <c r="BK289" s="241">
        <f>IF(BH289="","",SUMIFS(rGasto,rFecha,BH289,rGrupo,gCP))</f>
        <v/>
      </c>
      <c r="BL289" s="241">
        <f>IF(BH289="",-1E+12-283,N(BJ289)+(400-283)/1E+7)</f>
        <v/>
      </c>
    </row>
    <row r="290">
      <c r="R290" s="241" t="n">
        <v>284</v>
      </c>
      <c r="S290" s="241">
        <f>IFERROR(INDEX(rCom,MATCH(284,rComIdx,0))&amp;"","")</f>
        <v/>
      </c>
      <c r="T290" s="241">
        <f>IF(S290="","",SUMIFS(rGasto,rCom,S290,rFecha,"&gt;="&amp;pIni,rFecha,"&lt;="&amp;pFin,rCat,critCat,rCtaE,critCta))</f>
        <v/>
      </c>
      <c r="U290" s="241">
        <f>IF(S290="","",COUNTIFS(rCom,S290,rTipoE,"Gasto",rFecha,"&gt;="&amp;pIni,rFecha,"&lt;="&amp;pFin,rCat,critCat,rCtaE,critCta))</f>
        <v/>
      </c>
      <c r="V290" s="241">
        <f>IF(S290="",-1E+12-284,N(T290)+(301-284)/1E+7)</f>
        <v/>
      </c>
      <c r="W290" s="241">
        <f>IF(S290="","",SUMIFS(rGasto,rCom,S290,rHorm,1,rFecha,"&gt;="&amp;pIni,rFecha,"&lt;="&amp;pFin))</f>
        <v/>
      </c>
      <c r="X290" s="241">
        <f>IF(S290="","",COUNTIFS(rCom,S290,rHorm,1,rFecha,"&gt;="&amp;pIni,rFecha,"&lt;="&amp;pFin))</f>
        <v/>
      </c>
      <c r="Y290" s="241">
        <f>IF(S290="",-1E+12-284,N(W290)+(301-284)/1E+7)</f>
        <v/>
      </c>
      <c r="BG290" s="241" t="n">
        <v>284</v>
      </c>
      <c r="BH290" s="246">
        <f>IF(calIni+283&lt;=pFinEff,calIni+283,"")</f>
        <v/>
      </c>
      <c r="BI290" s="241">
        <f>IF(BH290="","",WEEKDAY(BH290,2))</f>
        <v/>
      </c>
      <c r="BJ290" s="241">
        <f>IF(BH290="","",SUMIFS(rGasto,rFecha,BH290,rGrupo,"?*"))</f>
        <v/>
      </c>
      <c r="BK290" s="241">
        <f>IF(BH290="","",SUMIFS(rGasto,rFecha,BH290,rGrupo,gCP))</f>
        <v/>
      </c>
      <c r="BL290" s="241">
        <f>IF(BH290="",-1E+12-284,N(BJ290)+(400-284)/1E+7)</f>
        <v/>
      </c>
    </row>
    <row r="291">
      <c r="R291" s="241" t="n">
        <v>285</v>
      </c>
      <c r="S291" s="241">
        <f>IFERROR(INDEX(rCom,MATCH(285,rComIdx,0))&amp;"","")</f>
        <v/>
      </c>
      <c r="T291" s="241">
        <f>IF(S291="","",SUMIFS(rGasto,rCom,S291,rFecha,"&gt;="&amp;pIni,rFecha,"&lt;="&amp;pFin,rCat,critCat,rCtaE,critCta))</f>
        <v/>
      </c>
      <c r="U291" s="241">
        <f>IF(S291="","",COUNTIFS(rCom,S291,rTipoE,"Gasto",rFecha,"&gt;="&amp;pIni,rFecha,"&lt;="&amp;pFin,rCat,critCat,rCtaE,critCta))</f>
        <v/>
      </c>
      <c r="V291" s="241">
        <f>IF(S291="",-1E+12-285,N(T291)+(301-285)/1E+7)</f>
        <v/>
      </c>
      <c r="W291" s="241">
        <f>IF(S291="","",SUMIFS(rGasto,rCom,S291,rHorm,1,rFecha,"&gt;="&amp;pIni,rFecha,"&lt;="&amp;pFin))</f>
        <v/>
      </c>
      <c r="X291" s="241">
        <f>IF(S291="","",COUNTIFS(rCom,S291,rHorm,1,rFecha,"&gt;="&amp;pIni,rFecha,"&lt;="&amp;pFin))</f>
        <v/>
      </c>
      <c r="Y291" s="241">
        <f>IF(S291="",-1E+12-285,N(W291)+(301-285)/1E+7)</f>
        <v/>
      </c>
      <c r="BG291" s="241" t="n">
        <v>285</v>
      </c>
      <c r="BH291" s="246">
        <f>IF(calIni+284&lt;=pFinEff,calIni+284,"")</f>
        <v/>
      </c>
      <c r="BI291" s="241">
        <f>IF(BH291="","",WEEKDAY(BH291,2))</f>
        <v/>
      </c>
      <c r="BJ291" s="241">
        <f>IF(BH291="","",SUMIFS(rGasto,rFecha,BH291,rGrupo,"?*"))</f>
        <v/>
      </c>
      <c r="BK291" s="241">
        <f>IF(BH291="","",SUMIFS(rGasto,rFecha,BH291,rGrupo,gCP))</f>
        <v/>
      </c>
      <c r="BL291" s="241">
        <f>IF(BH291="",-1E+12-285,N(BJ291)+(400-285)/1E+7)</f>
        <v/>
      </c>
    </row>
    <row r="292">
      <c r="R292" s="241" t="n">
        <v>286</v>
      </c>
      <c r="S292" s="241">
        <f>IFERROR(INDEX(rCom,MATCH(286,rComIdx,0))&amp;"","")</f>
        <v/>
      </c>
      <c r="T292" s="241">
        <f>IF(S292="","",SUMIFS(rGasto,rCom,S292,rFecha,"&gt;="&amp;pIni,rFecha,"&lt;="&amp;pFin,rCat,critCat,rCtaE,critCta))</f>
        <v/>
      </c>
      <c r="U292" s="241">
        <f>IF(S292="","",COUNTIFS(rCom,S292,rTipoE,"Gasto",rFecha,"&gt;="&amp;pIni,rFecha,"&lt;="&amp;pFin,rCat,critCat,rCtaE,critCta))</f>
        <v/>
      </c>
      <c r="V292" s="241">
        <f>IF(S292="",-1E+12-286,N(T292)+(301-286)/1E+7)</f>
        <v/>
      </c>
      <c r="W292" s="241">
        <f>IF(S292="","",SUMIFS(rGasto,rCom,S292,rHorm,1,rFecha,"&gt;="&amp;pIni,rFecha,"&lt;="&amp;pFin))</f>
        <v/>
      </c>
      <c r="X292" s="241">
        <f>IF(S292="","",COUNTIFS(rCom,S292,rHorm,1,rFecha,"&gt;="&amp;pIni,rFecha,"&lt;="&amp;pFin))</f>
        <v/>
      </c>
      <c r="Y292" s="241">
        <f>IF(S292="",-1E+12-286,N(W292)+(301-286)/1E+7)</f>
        <v/>
      </c>
      <c r="BG292" s="241" t="n">
        <v>286</v>
      </c>
      <c r="BH292" s="246">
        <f>IF(calIni+285&lt;=pFinEff,calIni+285,"")</f>
        <v/>
      </c>
      <c r="BI292" s="241">
        <f>IF(BH292="","",WEEKDAY(BH292,2))</f>
        <v/>
      </c>
      <c r="BJ292" s="241">
        <f>IF(BH292="","",SUMIFS(rGasto,rFecha,BH292,rGrupo,"?*"))</f>
        <v/>
      </c>
      <c r="BK292" s="241">
        <f>IF(BH292="","",SUMIFS(rGasto,rFecha,BH292,rGrupo,gCP))</f>
        <v/>
      </c>
      <c r="BL292" s="241">
        <f>IF(BH292="",-1E+12-286,N(BJ292)+(400-286)/1E+7)</f>
        <v/>
      </c>
    </row>
    <row r="293">
      <c r="R293" s="241" t="n">
        <v>287</v>
      </c>
      <c r="S293" s="241">
        <f>IFERROR(INDEX(rCom,MATCH(287,rComIdx,0))&amp;"","")</f>
        <v/>
      </c>
      <c r="T293" s="241">
        <f>IF(S293="","",SUMIFS(rGasto,rCom,S293,rFecha,"&gt;="&amp;pIni,rFecha,"&lt;="&amp;pFin,rCat,critCat,rCtaE,critCta))</f>
        <v/>
      </c>
      <c r="U293" s="241">
        <f>IF(S293="","",COUNTIFS(rCom,S293,rTipoE,"Gasto",rFecha,"&gt;="&amp;pIni,rFecha,"&lt;="&amp;pFin,rCat,critCat,rCtaE,critCta))</f>
        <v/>
      </c>
      <c r="V293" s="241">
        <f>IF(S293="",-1E+12-287,N(T293)+(301-287)/1E+7)</f>
        <v/>
      </c>
      <c r="W293" s="241">
        <f>IF(S293="","",SUMIFS(rGasto,rCom,S293,rHorm,1,rFecha,"&gt;="&amp;pIni,rFecha,"&lt;="&amp;pFin))</f>
        <v/>
      </c>
      <c r="X293" s="241">
        <f>IF(S293="","",COUNTIFS(rCom,S293,rHorm,1,rFecha,"&gt;="&amp;pIni,rFecha,"&lt;="&amp;pFin))</f>
        <v/>
      </c>
      <c r="Y293" s="241">
        <f>IF(S293="",-1E+12-287,N(W293)+(301-287)/1E+7)</f>
        <v/>
      </c>
      <c r="BG293" s="241" t="n">
        <v>287</v>
      </c>
      <c r="BH293" s="246">
        <f>IF(calIni+286&lt;=pFinEff,calIni+286,"")</f>
        <v/>
      </c>
      <c r="BI293" s="241">
        <f>IF(BH293="","",WEEKDAY(BH293,2))</f>
        <v/>
      </c>
      <c r="BJ293" s="241">
        <f>IF(BH293="","",SUMIFS(rGasto,rFecha,BH293,rGrupo,"?*"))</f>
        <v/>
      </c>
      <c r="BK293" s="241">
        <f>IF(BH293="","",SUMIFS(rGasto,rFecha,BH293,rGrupo,gCP))</f>
        <v/>
      </c>
      <c r="BL293" s="241">
        <f>IF(BH293="",-1E+12-287,N(BJ293)+(400-287)/1E+7)</f>
        <v/>
      </c>
    </row>
    <row r="294">
      <c r="R294" s="241" t="n">
        <v>288</v>
      </c>
      <c r="S294" s="241">
        <f>IFERROR(INDEX(rCom,MATCH(288,rComIdx,0))&amp;"","")</f>
        <v/>
      </c>
      <c r="T294" s="241">
        <f>IF(S294="","",SUMIFS(rGasto,rCom,S294,rFecha,"&gt;="&amp;pIni,rFecha,"&lt;="&amp;pFin,rCat,critCat,rCtaE,critCta))</f>
        <v/>
      </c>
      <c r="U294" s="241">
        <f>IF(S294="","",COUNTIFS(rCom,S294,rTipoE,"Gasto",rFecha,"&gt;="&amp;pIni,rFecha,"&lt;="&amp;pFin,rCat,critCat,rCtaE,critCta))</f>
        <v/>
      </c>
      <c r="V294" s="241">
        <f>IF(S294="",-1E+12-288,N(T294)+(301-288)/1E+7)</f>
        <v/>
      </c>
      <c r="W294" s="241">
        <f>IF(S294="","",SUMIFS(rGasto,rCom,S294,rHorm,1,rFecha,"&gt;="&amp;pIni,rFecha,"&lt;="&amp;pFin))</f>
        <v/>
      </c>
      <c r="X294" s="241">
        <f>IF(S294="","",COUNTIFS(rCom,S294,rHorm,1,rFecha,"&gt;="&amp;pIni,rFecha,"&lt;="&amp;pFin))</f>
        <v/>
      </c>
      <c r="Y294" s="241">
        <f>IF(S294="",-1E+12-288,N(W294)+(301-288)/1E+7)</f>
        <v/>
      </c>
      <c r="BG294" s="241" t="n">
        <v>288</v>
      </c>
      <c r="BH294" s="246">
        <f>IF(calIni+287&lt;=pFinEff,calIni+287,"")</f>
        <v/>
      </c>
      <c r="BI294" s="241">
        <f>IF(BH294="","",WEEKDAY(BH294,2))</f>
        <v/>
      </c>
      <c r="BJ294" s="241">
        <f>IF(BH294="","",SUMIFS(rGasto,rFecha,BH294,rGrupo,"?*"))</f>
        <v/>
      </c>
      <c r="BK294" s="241">
        <f>IF(BH294="","",SUMIFS(rGasto,rFecha,BH294,rGrupo,gCP))</f>
        <v/>
      </c>
      <c r="BL294" s="241">
        <f>IF(BH294="",-1E+12-288,N(BJ294)+(400-288)/1E+7)</f>
        <v/>
      </c>
    </row>
    <row r="295">
      <c r="R295" s="241" t="n">
        <v>289</v>
      </c>
      <c r="S295" s="241">
        <f>IFERROR(INDEX(rCom,MATCH(289,rComIdx,0))&amp;"","")</f>
        <v/>
      </c>
      <c r="T295" s="241">
        <f>IF(S295="","",SUMIFS(rGasto,rCom,S295,rFecha,"&gt;="&amp;pIni,rFecha,"&lt;="&amp;pFin,rCat,critCat,rCtaE,critCta))</f>
        <v/>
      </c>
      <c r="U295" s="241">
        <f>IF(S295="","",COUNTIFS(rCom,S295,rTipoE,"Gasto",rFecha,"&gt;="&amp;pIni,rFecha,"&lt;="&amp;pFin,rCat,critCat,rCtaE,critCta))</f>
        <v/>
      </c>
      <c r="V295" s="241">
        <f>IF(S295="",-1E+12-289,N(T295)+(301-289)/1E+7)</f>
        <v/>
      </c>
      <c r="W295" s="241">
        <f>IF(S295="","",SUMIFS(rGasto,rCom,S295,rHorm,1,rFecha,"&gt;="&amp;pIni,rFecha,"&lt;="&amp;pFin))</f>
        <v/>
      </c>
      <c r="X295" s="241">
        <f>IF(S295="","",COUNTIFS(rCom,S295,rHorm,1,rFecha,"&gt;="&amp;pIni,rFecha,"&lt;="&amp;pFin))</f>
        <v/>
      </c>
      <c r="Y295" s="241">
        <f>IF(S295="",-1E+12-289,N(W295)+(301-289)/1E+7)</f>
        <v/>
      </c>
      <c r="BG295" s="241" t="n">
        <v>289</v>
      </c>
      <c r="BH295" s="246">
        <f>IF(calIni+288&lt;=pFinEff,calIni+288,"")</f>
        <v/>
      </c>
      <c r="BI295" s="241">
        <f>IF(BH295="","",WEEKDAY(BH295,2))</f>
        <v/>
      </c>
      <c r="BJ295" s="241">
        <f>IF(BH295="","",SUMIFS(rGasto,rFecha,BH295,rGrupo,"?*"))</f>
        <v/>
      </c>
      <c r="BK295" s="241">
        <f>IF(BH295="","",SUMIFS(rGasto,rFecha,BH295,rGrupo,gCP))</f>
        <v/>
      </c>
      <c r="BL295" s="241">
        <f>IF(BH295="",-1E+12-289,N(BJ295)+(400-289)/1E+7)</f>
        <v/>
      </c>
    </row>
    <row r="296">
      <c r="R296" s="241" t="n">
        <v>290</v>
      </c>
      <c r="S296" s="241">
        <f>IFERROR(INDEX(rCom,MATCH(290,rComIdx,0))&amp;"","")</f>
        <v/>
      </c>
      <c r="T296" s="241">
        <f>IF(S296="","",SUMIFS(rGasto,rCom,S296,rFecha,"&gt;="&amp;pIni,rFecha,"&lt;="&amp;pFin,rCat,critCat,rCtaE,critCta))</f>
        <v/>
      </c>
      <c r="U296" s="241">
        <f>IF(S296="","",COUNTIFS(rCom,S296,rTipoE,"Gasto",rFecha,"&gt;="&amp;pIni,rFecha,"&lt;="&amp;pFin,rCat,critCat,rCtaE,critCta))</f>
        <v/>
      </c>
      <c r="V296" s="241">
        <f>IF(S296="",-1E+12-290,N(T296)+(301-290)/1E+7)</f>
        <v/>
      </c>
      <c r="W296" s="241">
        <f>IF(S296="","",SUMIFS(rGasto,rCom,S296,rHorm,1,rFecha,"&gt;="&amp;pIni,rFecha,"&lt;="&amp;pFin))</f>
        <v/>
      </c>
      <c r="X296" s="241">
        <f>IF(S296="","",COUNTIFS(rCom,S296,rHorm,1,rFecha,"&gt;="&amp;pIni,rFecha,"&lt;="&amp;pFin))</f>
        <v/>
      </c>
      <c r="Y296" s="241">
        <f>IF(S296="",-1E+12-290,N(W296)+(301-290)/1E+7)</f>
        <v/>
      </c>
      <c r="BG296" s="241" t="n">
        <v>290</v>
      </c>
      <c r="BH296" s="246">
        <f>IF(calIni+289&lt;=pFinEff,calIni+289,"")</f>
        <v/>
      </c>
      <c r="BI296" s="241">
        <f>IF(BH296="","",WEEKDAY(BH296,2))</f>
        <v/>
      </c>
      <c r="BJ296" s="241">
        <f>IF(BH296="","",SUMIFS(rGasto,rFecha,BH296,rGrupo,"?*"))</f>
        <v/>
      </c>
      <c r="BK296" s="241">
        <f>IF(BH296="","",SUMIFS(rGasto,rFecha,BH296,rGrupo,gCP))</f>
        <v/>
      </c>
      <c r="BL296" s="241">
        <f>IF(BH296="",-1E+12-290,N(BJ296)+(400-290)/1E+7)</f>
        <v/>
      </c>
    </row>
    <row r="297">
      <c r="R297" s="241" t="n">
        <v>291</v>
      </c>
      <c r="S297" s="241">
        <f>IFERROR(INDEX(rCom,MATCH(291,rComIdx,0))&amp;"","")</f>
        <v/>
      </c>
      <c r="T297" s="241">
        <f>IF(S297="","",SUMIFS(rGasto,rCom,S297,rFecha,"&gt;="&amp;pIni,rFecha,"&lt;="&amp;pFin,rCat,critCat,rCtaE,critCta))</f>
        <v/>
      </c>
      <c r="U297" s="241">
        <f>IF(S297="","",COUNTIFS(rCom,S297,rTipoE,"Gasto",rFecha,"&gt;="&amp;pIni,rFecha,"&lt;="&amp;pFin,rCat,critCat,rCtaE,critCta))</f>
        <v/>
      </c>
      <c r="V297" s="241">
        <f>IF(S297="",-1E+12-291,N(T297)+(301-291)/1E+7)</f>
        <v/>
      </c>
      <c r="W297" s="241">
        <f>IF(S297="","",SUMIFS(rGasto,rCom,S297,rHorm,1,rFecha,"&gt;="&amp;pIni,rFecha,"&lt;="&amp;pFin))</f>
        <v/>
      </c>
      <c r="X297" s="241">
        <f>IF(S297="","",COUNTIFS(rCom,S297,rHorm,1,rFecha,"&gt;="&amp;pIni,rFecha,"&lt;="&amp;pFin))</f>
        <v/>
      </c>
      <c r="Y297" s="241">
        <f>IF(S297="",-1E+12-291,N(W297)+(301-291)/1E+7)</f>
        <v/>
      </c>
      <c r="BG297" s="241" t="n">
        <v>291</v>
      </c>
      <c r="BH297" s="246">
        <f>IF(calIni+290&lt;=pFinEff,calIni+290,"")</f>
        <v/>
      </c>
      <c r="BI297" s="241">
        <f>IF(BH297="","",WEEKDAY(BH297,2))</f>
        <v/>
      </c>
      <c r="BJ297" s="241">
        <f>IF(BH297="","",SUMIFS(rGasto,rFecha,BH297,rGrupo,"?*"))</f>
        <v/>
      </c>
      <c r="BK297" s="241">
        <f>IF(BH297="","",SUMIFS(rGasto,rFecha,BH297,rGrupo,gCP))</f>
        <v/>
      </c>
      <c r="BL297" s="241">
        <f>IF(BH297="",-1E+12-291,N(BJ297)+(400-291)/1E+7)</f>
        <v/>
      </c>
    </row>
    <row r="298">
      <c r="R298" s="241" t="n">
        <v>292</v>
      </c>
      <c r="S298" s="241">
        <f>IFERROR(INDEX(rCom,MATCH(292,rComIdx,0))&amp;"","")</f>
        <v/>
      </c>
      <c r="T298" s="241">
        <f>IF(S298="","",SUMIFS(rGasto,rCom,S298,rFecha,"&gt;="&amp;pIni,rFecha,"&lt;="&amp;pFin,rCat,critCat,rCtaE,critCta))</f>
        <v/>
      </c>
      <c r="U298" s="241">
        <f>IF(S298="","",COUNTIFS(rCom,S298,rTipoE,"Gasto",rFecha,"&gt;="&amp;pIni,rFecha,"&lt;="&amp;pFin,rCat,critCat,rCtaE,critCta))</f>
        <v/>
      </c>
      <c r="V298" s="241">
        <f>IF(S298="",-1E+12-292,N(T298)+(301-292)/1E+7)</f>
        <v/>
      </c>
      <c r="W298" s="241">
        <f>IF(S298="","",SUMIFS(rGasto,rCom,S298,rHorm,1,rFecha,"&gt;="&amp;pIni,rFecha,"&lt;="&amp;pFin))</f>
        <v/>
      </c>
      <c r="X298" s="241">
        <f>IF(S298="","",COUNTIFS(rCom,S298,rHorm,1,rFecha,"&gt;="&amp;pIni,rFecha,"&lt;="&amp;pFin))</f>
        <v/>
      </c>
      <c r="Y298" s="241">
        <f>IF(S298="",-1E+12-292,N(W298)+(301-292)/1E+7)</f>
        <v/>
      </c>
      <c r="BG298" s="241" t="n">
        <v>292</v>
      </c>
      <c r="BH298" s="246">
        <f>IF(calIni+291&lt;=pFinEff,calIni+291,"")</f>
        <v/>
      </c>
      <c r="BI298" s="241">
        <f>IF(BH298="","",WEEKDAY(BH298,2))</f>
        <v/>
      </c>
      <c r="BJ298" s="241">
        <f>IF(BH298="","",SUMIFS(rGasto,rFecha,BH298,rGrupo,"?*"))</f>
        <v/>
      </c>
      <c r="BK298" s="241">
        <f>IF(BH298="","",SUMIFS(rGasto,rFecha,BH298,rGrupo,gCP))</f>
        <v/>
      </c>
      <c r="BL298" s="241">
        <f>IF(BH298="",-1E+12-292,N(BJ298)+(400-292)/1E+7)</f>
        <v/>
      </c>
    </row>
    <row r="299">
      <c r="R299" s="241" t="n">
        <v>293</v>
      </c>
      <c r="S299" s="241">
        <f>IFERROR(INDEX(rCom,MATCH(293,rComIdx,0))&amp;"","")</f>
        <v/>
      </c>
      <c r="T299" s="241">
        <f>IF(S299="","",SUMIFS(rGasto,rCom,S299,rFecha,"&gt;="&amp;pIni,rFecha,"&lt;="&amp;pFin,rCat,critCat,rCtaE,critCta))</f>
        <v/>
      </c>
      <c r="U299" s="241">
        <f>IF(S299="","",COUNTIFS(rCom,S299,rTipoE,"Gasto",rFecha,"&gt;="&amp;pIni,rFecha,"&lt;="&amp;pFin,rCat,critCat,rCtaE,critCta))</f>
        <v/>
      </c>
      <c r="V299" s="241">
        <f>IF(S299="",-1E+12-293,N(T299)+(301-293)/1E+7)</f>
        <v/>
      </c>
      <c r="W299" s="241">
        <f>IF(S299="","",SUMIFS(rGasto,rCom,S299,rHorm,1,rFecha,"&gt;="&amp;pIni,rFecha,"&lt;="&amp;pFin))</f>
        <v/>
      </c>
      <c r="X299" s="241">
        <f>IF(S299="","",COUNTIFS(rCom,S299,rHorm,1,rFecha,"&gt;="&amp;pIni,rFecha,"&lt;="&amp;pFin))</f>
        <v/>
      </c>
      <c r="Y299" s="241">
        <f>IF(S299="",-1E+12-293,N(W299)+(301-293)/1E+7)</f>
        <v/>
      </c>
      <c r="BG299" s="241" t="n">
        <v>293</v>
      </c>
      <c r="BH299" s="246">
        <f>IF(calIni+292&lt;=pFinEff,calIni+292,"")</f>
        <v/>
      </c>
      <c r="BI299" s="241">
        <f>IF(BH299="","",WEEKDAY(BH299,2))</f>
        <v/>
      </c>
      <c r="BJ299" s="241">
        <f>IF(BH299="","",SUMIFS(rGasto,rFecha,BH299,rGrupo,"?*"))</f>
        <v/>
      </c>
      <c r="BK299" s="241">
        <f>IF(BH299="","",SUMIFS(rGasto,rFecha,BH299,rGrupo,gCP))</f>
        <v/>
      </c>
      <c r="BL299" s="241">
        <f>IF(BH299="",-1E+12-293,N(BJ299)+(400-293)/1E+7)</f>
        <v/>
      </c>
    </row>
    <row r="300">
      <c r="R300" s="241" t="n">
        <v>294</v>
      </c>
      <c r="S300" s="241">
        <f>IFERROR(INDEX(rCom,MATCH(294,rComIdx,0))&amp;"","")</f>
        <v/>
      </c>
      <c r="T300" s="241">
        <f>IF(S300="","",SUMIFS(rGasto,rCom,S300,rFecha,"&gt;="&amp;pIni,rFecha,"&lt;="&amp;pFin,rCat,critCat,rCtaE,critCta))</f>
        <v/>
      </c>
      <c r="U300" s="241">
        <f>IF(S300="","",COUNTIFS(rCom,S300,rTipoE,"Gasto",rFecha,"&gt;="&amp;pIni,rFecha,"&lt;="&amp;pFin,rCat,critCat,rCtaE,critCta))</f>
        <v/>
      </c>
      <c r="V300" s="241">
        <f>IF(S300="",-1E+12-294,N(T300)+(301-294)/1E+7)</f>
        <v/>
      </c>
      <c r="W300" s="241">
        <f>IF(S300="","",SUMIFS(rGasto,rCom,S300,rHorm,1,rFecha,"&gt;="&amp;pIni,rFecha,"&lt;="&amp;pFin))</f>
        <v/>
      </c>
      <c r="X300" s="241">
        <f>IF(S300="","",COUNTIFS(rCom,S300,rHorm,1,rFecha,"&gt;="&amp;pIni,rFecha,"&lt;="&amp;pFin))</f>
        <v/>
      </c>
      <c r="Y300" s="241">
        <f>IF(S300="",-1E+12-294,N(W300)+(301-294)/1E+7)</f>
        <v/>
      </c>
      <c r="BG300" s="241" t="n">
        <v>294</v>
      </c>
      <c r="BH300" s="246">
        <f>IF(calIni+293&lt;=pFinEff,calIni+293,"")</f>
        <v/>
      </c>
      <c r="BI300" s="241">
        <f>IF(BH300="","",WEEKDAY(BH300,2))</f>
        <v/>
      </c>
      <c r="BJ300" s="241">
        <f>IF(BH300="","",SUMIFS(rGasto,rFecha,BH300,rGrupo,"?*"))</f>
        <v/>
      </c>
      <c r="BK300" s="241">
        <f>IF(BH300="","",SUMIFS(rGasto,rFecha,BH300,rGrupo,gCP))</f>
        <v/>
      </c>
      <c r="BL300" s="241">
        <f>IF(BH300="",-1E+12-294,N(BJ300)+(400-294)/1E+7)</f>
        <v/>
      </c>
    </row>
    <row r="301">
      <c r="R301" s="241" t="n">
        <v>295</v>
      </c>
      <c r="S301" s="241">
        <f>IFERROR(INDEX(rCom,MATCH(295,rComIdx,0))&amp;"","")</f>
        <v/>
      </c>
      <c r="T301" s="241">
        <f>IF(S301="","",SUMIFS(rGasto,rCom,S301,rFecha,"&gt;="&amp;pIni,rFecha,"&lt;="&amp;pFin,rCat,critCat,rCtaE,critCta))</f>
        <v/>
      </c>
      <c r="U301" s="241">
        <f>IF(S301="","",COUNTIFS(rCom,S301,rTipoE,"Gasto",rFecha,"&gt;="&amp;pIni,rFecha,"&lt;="&amp;pFin,rCat,critCat,rCtaE,critCta))</f>
        <v/>
      </c>
      <c r="V301" s="241">
        <f>IF(S301="",-1E+12-295,N(T301)+(301-295)/1E+7)</f>
        <v/>
      </c>
      <c r="W301" s="241">
        <f>IF(S301="","",SUMIFS(rGasto,rCom,S301,rHorm,1,rFecha,"&gt;="&amp;pIni,rFecha,"&lt;="&amp;pFin))</f>
        <v/>
      </c>
      <c r="X301" s="241">
        <f>IF(S301="","",COUNTIFS(rCom,S301,rHorm,1,rFecha,"&gt;="&amp;pIni,rFecha,"&lt;="&amp;pFin))</f>
        <v/>
      </c>
      <c r="Y301" s="241">
        <f>IF(S301="",-1E+12-295,N(W301)+(301-295)/1E+7)</f>
        <v/>
      </c>
      <c r="BG301" s="241" t="n">
        <v>295</v>
      </c>
      <c r="BH301" s="246">
        <f>IF(calIni+294&lt;=pFinEff,calIni+294,"")</f>
        <v/>
      </c>
      <c r="BI301" s="241">
        <f>IF(BH301="","",WEEKDAY(BH301,2))</f>
        <v/>
      </c>
      <c r="BJ301" s="241">
        <f>IF(BH301="","",SUMIFS(rGasto,rFecha,BH301,rGrupo,"?*"))</f>
        <v/>
      </c>
      <c r="BK301" s="241">
        <f>IF(BH301="","",SUMIFS(rGasto,rFecha,BH301,rGrupo,gCP))</f>
        <v/>
      </c>
      <c r="BL301" s="241">
        <f>IF(BH301="",-1E+12-295,N(BJ301)+(400-295)/1E+7)</f>
        <v/>
      </c>
    </row>
    <row r="302">
      <c r="R302" s="241" t="n">
        <v>296</v>
      </c>
      <c r="S302" s="241">
        <f>IFERROR(INDEX(rCom,MATCH(296,rComIdx,0))&amp;"","")</f>
        <v/>
      </c>
      <c r="T302" s="241">
        <f>IF(S302="","",SUMIFS(rGasto,rCom,S302,rFecha,"&gt;="&amp;pIni,rFecha,"&lt;="&amp;pFin,rCat,critCat,rCtaE,critCta))</f>
        <v/>
      </c>
      <c r="U302" s="241">
        <f>IF(S302="","",COUNTIFS(rCom,S302,rTipoE,"Gasto",rFecha,"&gt;="&amp;pIni,rFecha,"&lt;="&amp;pFin,rCat,critCat,rCtaE,critCta))</f>
        <v/>
      </c>
      <c r="V302" s="241">
        <f>IF(S302="",-1E+12-296,N(T302)+(301-296)/1E+7)</f>
        <v/>
      </c>
      <c r="W302" s="241">
        <f>IF(S302="","",SUMIFS(rGasto,rCom,S302,rHorm,1,rFecha,"&gt;="&amp;pIni,rFecha,"&lt;="&amp;pFin))</f>
        <v/>
      </c>
      <c r="X302" s="241">
        <f>IF(S302="","",COUNTIFS(rCom,S302,rHorm,1,rFecha,"&gt;="&amp;pIni,rFecha,"&lt;="&amp;pFin))</f>
        <v/>
      </c>
      <c r="Y302" s="241">
        <f>IF(S302="",-1E+12-296,N(W302)+(301-296)/1E+7)</f>
        <v/>
      </c>
      <c r="BG302" s="241" t="n">
        <v>296</v>
      </c>
      <c r="BH302" s="246">
        <f>IF(calIni+295&lt;=pFinEff,calIni+295,"")</f>
        <v/>
      </c>
      <c r="BI302" s="241">
        <f>IF(BH302="","",WEEKDAY(BH302,2))</f>
        <v/>
      </c>
      <c r="BJ302" s="241">
        <f>IF(BH302="","",SUMIFS(rGasto,rFecha,BH302,rGrupo,"?*"))</f>
        <v/>
      </c>
      <c r="BK302" s="241">
        <f>IF(BH302="","",SUMIFS(rGasto,rFecha,BH302,rGrupo,gCP))</f>
        <v/>
      </c>
      <c r="BL302" s="241">
        <f>IF(BH302="",-1E+12-296,N(BJ302)+(400-296)/1E+7)</f>
        <v/>
      </c>
    </row>
    <row r="303">
      <c r="R303" s="241" t="n">
        <v>297</v>
      </c>
      <c r="S303" s="241">
        <f>IFERROR(INDEX(rCom,MATCH(297,rComIdx,0))&amp;"","")</f>
        <v/>
      </c>
      <c r="T303" s="241">
        <f>IF(S303="","",SUMIFS(rGasto,rCom,S303,rFecha,"&gt;="&amp;pIni,rFecha,"&lt;="&amp;pFin,rCat,critCat,rCtaE,critCta))</f>
        <v/>
      </c>
      <c r="U303" s="241">
        <f>IF(S303="","",COUNTIFS(rCom,S303,rTipoE,"Gasto",rFecha,"&gt;="&amp;pIni,rFecha,"&lt;="&amp;pFin,rCat,critCat,rCtaE,critCta))</f>
        <v/>
      </c>
      <c r="V303" s="241">
        <f>IF(S303="",-1E+12-297,N(T303)+(301-297)/1E+7)</f>
        <v/>
      </c>
      <c r="W303" s="241">
        <f>IF(S303="","",SUMIFS(rGasto,rCom,S303,rHorm,1,rFecha,"&gt;="&amp;pIni,rFecha,"&lt;="&amp;pFin))</f>
        <v/>
      </c>
      <c r="X303" s="241">
        <f>IF(S303="","",COUNTIFS(rCom,S303,rHorm,1,rFecha,"&gt;="&amp;pIni,rFecha,"&lt;="&amp;pFin))</f>
        <v/>
      </c>
      <c r="Y303" s="241">
        <f>IF(S303="",-1E+12-297,N(W303)+(301-297)/1E+7)</f>
        <v/>
      </c>
      <c r="BG303" s="241" t="n">
        <v>297</v>
      </c>
      <c r="BH303" s="246">
        <f>IF(calIni+296&lt;=pFinEff,calIni+296,"")</f>
        <v/>
      </c>
      <c r="BI303" s="241">
        <f>IF(BH303="","",WEEKDAY(BH303,2))</f>
        <v/>
      </c>
      <c r="BJ303" s="241">
        <f>IF(BH303="","",SUMIFS(rGasto,rFecha,BH303,rGrupo,"?*"))</f>
        <v/>
      </c>
      <c r="BK303" s="241">
        <f>IF(BH303="","",SUMIFS(rGasto,rFecha,BH303,rGrupo,gCP))</f>
        <v/>
      </c>
      <c r="BL303" s="241">
        <f>IF(BH303="",-1E+12-297,N(BJ303)+(400-297)/1E+7)</f>
        <v/>
      </c>
    </row>
    <row r="304">
      <c r="R304" s="241" t="n">
        <v>298</v>
      </c>
      <c r="S304" s="241">
        <f>IFERROR(INDEX(rCom,MATCH(298,rComIdx,0))&amp;"","")</f>
        <v/>
      </c>
      <c r="T304" s="241">
        <f>IF(S304="","",SUMIFS(rGasto,rCom,S304,rFecha,"&gt;="&amp;pIni,rFecha,"&lt;="&amp;pFin,rCat,critCat,rCtaE,critCta))</f>
        <v/>
      </c>
      <c r="U304" s="241">
        <f>IF(S304="","",COUNTIFS(rCom,S304,rTipoE,"Gasto",rFecha,"&gt;="&amp;pIni,rFecha,"&lt;="&amp;pFin,rCat,critCat,rCtaE,critCta))</f>
        <v/>
      </c>
      <c r="V304" s="241">
        <f>IF(S304="",-1E+12-298,N(T304)+(301-298)/1E+7)</f>
        <v/>
      </c>
      <c r="W304" s="241">
        <f>IF(S304="","",SUMIFS(rGasto,rCom,S304,rHorm,1,rFecha,"&gt;="&amp;pIni,rFecha,"&lt;="&amp;pFin))</f>
        <v/>
      </c>
      <c r="X304" s="241">
        <f>IF(S304="","",COUNTIFS(rCom,S304,rHorm,1,rFecha,"&gt;="&amp;pIni,rFecha,"&lt;="&amp;pFin))</f>
        <v/>
      </c>
      <c r="Y304" s="241">
        <f>IF(S304="",-1E+12-298,N(W304)+(301-298)/1E+7)</f>
        <v/>
      </c>
      <c r="BG304" s="241" t="n">
        <v>298</v>
      </c>
      <c r="BH304" s="246">
        <f>IF(calIni+297&lt;=pFinEff,calIni+297,"")</f>
        <v/>
      </c>
      <c r="BI304" s="241">
        <f>IF(BH304="","",WEEKDAY(BH304,2))</f>
        <v/>
      </c>
      <c r="BJ304" s="241">
        <f>IF(BH304="","",SUMIFS(rGasto,rFecha,BH304,rGrupo,"?*"))</f>
        <v/>
      </c>
      <c r="BK304" s="241">
        <f>IF(BH304="","",SUMIFS(rGasto,rFecha,BH304,rGrupo,gCP))</f>
        <v/>
      </c>
      <c r="BL304" s="241">
        <f>IF(BH304="",-1E+12-298,N(BJ304)+(400-298)/1E+7)</f>
        <v/>
      </c>
    </row>
    <row r="305">
      <c r="R305" s="241" t="n">
        <v>299</v>
      </c>
      <c r="S305" s="241">
        <f>IFERROR(INDEX(rCom,MATCH(299,rComIdx,0))&amp;"","")</f>
        <v/>
      </c>
      <c r="T305" s="241">
        <f>IF(S305="","",SUMIFS(rGasto,rCom,S305,rFecha,"&gt;="&amp;pIni,rFecha,"&lt;="&amp;pFin,rCat,critCat,rCtaE,critCta))</f>
        <v/>
      </c>
      <c r="U305" s="241">
        <f>IF(S305="","",COUNTIFS(rCom,S305,rTipoE,"Gasto",rFecha,"&gt;="&amp;pIni,rFecha,"&lt;="&amp;pFin,rCat,critCat,rCtaE,critCta))</f>
        <v/>
      </c>
      <c r="V305" s="241">
        <f>IF(S305="",-1E+12-299,N(T305)+(301-299)/1E+7)</f>
        <v/>
      </c>
      <c r="W305" s="241">
        <f>IF(S305="","",SUMIFS(rGasto,rCom,S305,rHorm,1,rFecha,"&gt;="&amp;pIni,rFecha,"&lt;="&amp;pFin))</f>
        <v/>
      </c>
      <c r="X305" s="241">
        <f>IF(S305="","",COUNTIFS(rCom,S305,rHorm,1,rFecha,"&gt;="&amp;pIni,rFecha,"&lt;="&amp;pFin))</f>
        <v/>
      </c>
      <c r="Y305" s="241">
        <f>IF(S305="",-1E+12-299,N(W305)+(301-299)/1E+7)</f>
        <v/>
      </c>
      <c r="BG305" s="241" t="n">
        <v>299</v>
      </c>
      <c r="BH305" s="246">
        <f>IF(calIni+298&lt;=pFinEff,calIni+298,"")</f>
        <v/>
      </c>
      <c r="BI305" s="241">
        <f>IF(BH305="","",WEEKDAY(BH305,2))</f>
        <v/>
      </c>
      <c r="BJ305" s="241">
        <f>IF(BH305="","",SUMIFS(rGasto,rFecha,BH305,rGrupo,"?*"))</f>
        <v/>
      </c>
      <c r="BK305" s="241">
        <f>IF(BH305="","",SUMIFS(rGasto,rFecha,BH305,rGrupo,gCP))</f>
        <v/>
      </c>
      <c r="BL305" s="241">
        <f>IF(BH305="",-1E+12-299,N(BJ305)+(400-299)/1E+7)</f>
        <v/>
      </c>
    </row>
    <row r="306">
      <c r="R306" s="241" t="n">
        <v>300</v>
      </c>
      <c r="S306" s="241">
        <f>IFERROR(INDEX(rCom,MATCH(300,rComIdx,0))&amp;"","")</f>
        <v/>
      </c>
      <c r="T306" s="241">
        <f>IF(S306="","",SUMIFS(rGasto,rCom,S306,rFecha,"&gt;="&amp;pIni,rFecha,"&lt;="&amp;pFin,rCat,critCat,rCtaE,critCta))</f>
        <v/>
      </c>
      <c r="U306" s="241">
        <f>IF(S306="","",COUNTIFS(rCom,S306,rTipoE,"Gasto",rFecha,"&gt;="&amp;pIni,rFecha,"&lt;="&amp;pFin,rCat,critCat,rCtaE,critCta))</f>
        <v/>
      </c>
      <c r="V306" s="241">
        <f>IF(S306="",-1E+12-300,N(T306)+(301-300)/1E+7)</f>
        <v/>
      </c>
      <c r="W306" s="241">
        <f>IF(S306="","",SUMIFS(rGasto,rCom,S306,rHorm,1,rFecha,"&gt;="&amp;pIni,rFecha,"&lt;="&amp;pFin))</f>
        <v/>
      </c>
      <c r="X306" s="241">
        <f>IF(S306="","",COUNTIFS(rCom,S306,rHorm,1,rFecha,"&gt;="&amp;pIni,rFecha,"&lt;="&amp;pFin))</f>
        <v/>
      </c>
      <c r="Y306" s="241">
        <f>IF(S306="",-1E+12-300,N(W306)+(301-300)/1E+7)</f>
        <v/>
      </c>
      <c r="BG306" s="241" t="n">
        <v>300</v>
      </c>
      <c r="BH306" s="246">
        <f>IF(calIni+299&lt;=pFinEff,calIni+299,"")</f>
        <v/>
      </c>
      <c r="BI306" s="241">
        <f>IF(BH306="","",WEEKDAY(BH306,2))</f>
        <v/>
      </c>
      <c r="BJ306" s="241">
        <f>IF(BH306="","",SUMIFS(rGasto,rFecha,BH306,rGrupo,"?*"))</f>
        <v/>
      </c>
      <c r="BK306" s="241">
        <f>IF(BH306="","",SUMIFS(rGasto,rFecha,BH306,rGrupo,gCP))</f>
        <v/>
      </c>
      <c r="BL306" s="241">
        <f>IF(BH306="",-1E+12-300,N(BJ306)+(400-300)/1E+7)</f>
        <v/>
      </c>
    </row>
    <row r="307">
      <c r="BG307" s="241" t="n">
        <v>301</v>
      </c>
      <c r="BH307" s="246">
        <f>IF(calIni+300&lt;=pFinEff,calIni+300,"")</f>
        <v/>
      </c>
      <c r="BI307" s="241">
        <f>IF(BH307="","",WEEKDAY(BH307,2))</f>
        <v/>
      </c>
      <c r="BJ307" s="241">
        <f>IF(BH307="","",SUMIFS(rGasto,rFecha,BH307,rGrupo,"?*"))</f>
        <v/>
      </c>
      <c r="BK307" s="241">
        <f>IF(BH307="","",SUMIFS(rGasto,rFecha,BH307,rGrupo,gCP))</f>
        <v/>
      </c>
      <c r="BL307" s="241">
        <f>IF(BH307="",-1E+12-301,N(BJ307)+(400-301)/1E+7)</f>
        <v/>
      </c>
    </row>
    <row r="308">
      <c r="BG308" s="241" t="n">
        <v>302</v>
      </c>
      <c r="BH308" s="246">
        <f>IF(calIni+301&lt;=pFinEff,calIni+301,"")</f>
        <v/>
      </c>
      <c r="BI308" s="241">
        <f>IF(BH308="","",WEEKDAY(BH308,2))</f>
        <v/>
      </c>
      <c r="BJ308" s="241">
        <f>IF(BH308="","",SUMIFS(rGasto,rFecha,BH308,rGrupo,"?*"))</f>
        <v/>
      </c>
      <c r="BK308" s="241">
        <f>IF(BH308="","",SUMIFS(rGasto,rFecha,BH308,rGrupo,gCP))</f>
        <v/>
      </c>
      <c r="BL308" s="241">
        <f>IF(BH308="",-1E+12-302,N(BJ308)+(400-302)/1E+7)</f>
        <v/>
      </c>
    </row>
    <row r="309">
      <c r="BG309" s="241" t="n">
        <v>303</v>
      </c>
      <c r="BH309" s="246">
        <f>IF(calIni+302&lt;=pFinEff,calIni+302,"")</f>
        <v/>
      </c>
      <c r="BI309" s="241">
        <f>IF(BH309="","",WEEKDAY(BH309,2))</f>
        <v/>
      </c>
      <c r="BJ309" s="241">
        <f>IF(BH309="","",SUMIFS(rGasto,rFecha,BH309,rGrupo,"?*"))</f>
        <v/>
      </c>
      <c r="BK309" s="241">
        <f>IF(BH309="","",SUMIFS(rGasto,rFecha,BH309,rGrupo,gCP))</f>
        <v/>
      </c>
      <c r="BL309" s="241">
        <f>IF(BH309="",-1E+12-303,N(BJ309)+(400-303)/1E+7)</f>
        <v/>
      </c>
    </row>
    <row r="310">
      <c r="BG310" s="241" t="n">
        <v>304</v>
      </c>
      <c r="BH310" s="246">
        <f>IF(calIni+303&lt;=pFinEff,calIni+303,"")</f>
        <v/>
      </c>
      <c r="BI310" s="241">
        <f>IF(BH310="","",WEEKDAY(BH310,2))</f>
        <v/>
      </c>
      <c r="BJ310" s="241">
        <f>IF(BH310="","",SUMIFS(rGasto,rFecha,BH310,rGrupo,"?*"))</f>
        <v/>
      </c>
      <c r="BK310" s="241">
        <f>IF(BH310="","",SUMIFS(rGasto,rFecha,BH310,rGrupo,gCP))</f>
        <v/>
      </c>
      <c r="BL310" s="241">
        <f>IF(BH310="",-1E+12-304,N(BJ310)+(400-304)/1E+7)</f>
        <v/>
      </c>
    </row>
    <row r="311">
      <c r="BG311" s="241" t="n">
        <v>305</v>
      </c>
      <c r="BH311" s="246">
        <f>IF(calIni+304&lt;=pFinEff,calIni+304,"")</f>
        <v/>
      </c>
      <c r="BI311" s="241">
        <f>IF(BH311="","",WEEKDAY(BH311,2))</f>
        <v/>
      </c>
      <c r="BJ311" s="241">
        <f>IF(BH311="","",SUMIFS(rGasto,rFecha,BH311,rGrupo,"?*"))</f>
        <v/>
      </c>
      <c r="BK311" s="241">
        <f>IF(BH311="","",SUMIFS(rGasto,rFecha,BH311,rGrupo,gCP))</f>
        <v/>
      </c>
      <c r="BL311" s="241">
        <f>IF(BH311="",-1E+12-305,N(BJ311)+(400-305)/1E+7)</f>
        <v/>
      </c>
    </row>
    <row r="312">
      <c r="BG312" s="241" t="n">
        <v>306</v>
      </c>
      <c r="BH312" s="246">
        <f>IF(calIni+305&lt;=pFinEff,calIni+305,"")</f>
        <v/>
      </c>
      <c r="BI312" s="241">
        <f>IF(BH312="","",WEEKDAY(BH312,2))</f>
        <v/>
      </c>
      <c r="BJ312" s="241">
        <f>IF(BH312="","",SUMIFS(rGasto,rFecha,BH312,rGrupo,"?*"))</f>
        <v/>
      </c>
      <c r="BK312" s="241">
        <f>IF(BH312="","",SUMIFS(rGasto,rFecha,BH312,rGrupo,gCP))</f>
        <v/>
      </c>
      <c r="BL312" s="241">
        <f>IF(BH312="",-1E+12-306,N(BJ312)+(400-306)/1E+7)</f>
        <v/>
      </c>
    </row>
    <row r="313">
      <c r="BG313" s="241" t="n">
        <v>307</v>
      </c>
      <c r="BH313" s="246">
        <f>IF(calIni+306&lt;=pFinEff,calIni+306,"")</f>
        <v/>
      </c>
      <c r="BI313" s="241">
        <f>IF(BH313="","",WEEKDAY(BH313,2))</f>
        <v/>
      </c>
      <c r="BJ313" s="241">
        <f>IF(BH313="","",SUMIFS(rGasto,rFecha,BH313,rGrupo,"?*"))</f>
        <v/>
      </c>
      <c r="BK313" s="241">
        <f>IF(BH313="","",SUMIFS(rGasto,rFecha,BH313,rGrupo,gCP))</f>
        <v/>
      </c>
      <c r="BL313" s="241">
        <f>IF(BH313="",-1E+12-307,N(BJ313)+(400-307)/1E+7)</f>
        <v/>
      </c>
    </row>
    <row r="314">
      <c r="BG314" s="241" t="n">
        <v>308</v>
      </c>
      <c r="BH314" s="246">
        <f>IF(calIni+307&lt;=pFinEff,calIni+307,"")</f>
        <v/>
      </c>
      <c r="BI314" s="241">
        <f>IF(BH314="","",WEEKDAY(BH314,2))</f>
        <v/>
      </c>
      <c r="BJ314" s="241">
        <f>IF(BH314="","",SUMIFS(rGasto,rFecha,BH314,rGrupo,"?*"))</f>
        <v/>
      </c>
      <c r="BK314" s="241">
        <f>IF(BH314="","",SUMIFS(rGasto,rFecha,BH314,rGrupo,gCP))</f>
        <v/>
      </c>
      <c r="BL314" s="241">
        <f>IF(BH314="",-1E+12-308,N(BJ314)+(400-308)/1E+7)</f>
        <v/>
      </c>
    </row>
    <row r="315">
      <c r="BG315" s="241" t="n">
        <v>309</v>
      </c>
      <c r="BH315" s="246">
        <f>IF(calIni+308&lt;=pFinEff,calIni+308,"")</f>
        <v/>
      </c>
      <c r="BI315" s="241">
        <f>IF(BH315="","",WEEKDAY(BH315,2))</f>
        <v/>
      </c>
      <c r="BJ315" s="241">
        <f>IF(BH315="","",SUMIFS(rGasto,rFecha,BH315,rGrupo,"?*"))</f>
        <v/>
      </c>
      <c r="BK315" s="241">
        <f>IF(BH315="","",SUMIFS(rGasto,rFecha,BH315,rGrupo,gCP))</f>
        <v/>
      </c>
      <c r="BL315" s="241">
        <f>IF(BH315="",-1E+12-309,N(BJ315)+(400-309)/1E+7)</f>
        <v/>
      </c>
    </row>
    <row r="316">
      <c r="BG316" s="241" t="n">
        <v>310</v>
      </c>
      <c r="BH316" s="246">
        <f>IF(calIni+309&lt;=pFinEff,calIni+309,"")</f>
        <v/>
      </c>
      <c r="BI316" s="241">
        <f>IF(BH316="","",WEEKDAY(BH316,2))</f>
        <v/>
      </c>
      <c r="BJ316" s="241">
        <f>IF(BH316="","",SUMIFS(rGasto,rFecha,BH316,rGrupo,"?*"))</f>
        <v/>
      </c>
      <c r="BK316" s="241">
        <f>IF(BH316="","",SUMIFS(rGasto,rFecha,BH316,rGrupo,gCP))</f>
        <v/>
      </c>
      <c r="BL316" s="241">
        <f>IF(BH316="",-1E+12-310,N(BJ316)+(400-310)/1E+7)</f>
        <v/>
      </c>
    </row>
    <row r="317">
      <c r="BG317" s="241" t="n">
        <v>311</v>
      </c>
      <c r="BH317" s="246">
        <f>IF(calIni+310&lt;=pFinEff,calIni+310,"")</f>
        <v/>
      </c>
      <c r="BI317" s="241">
        <f>IF(BH317="","",WEEKDAY(BH317,2))</f>
        <v/>
      </c>
      <c r="BJ317" s="241">
        <f>IF(BH317="","",SUMIFS(rGasto,rFecha,BH317,rGrupo,"?*"))</f>
        <v/>
      </c>
      <c r="BK317" s="241">
        <f>IF(BH317="","",SUMIFS(rGasto,rFecha,BH317,rGrupo,gCP))</f>
        <v/>
      </c>
      <c r="BL317" s="241">
        <f>IF(BH317="",-1E+12-311,N(BJ317)+(400-311)/1E+7)</f>
        <v/>
      </c>
    </row>
    <row r="318">
      <c r="BG318" s="241" t="n">
        <v>312</v>
      </c>
      <c r="BH318" s="246">
        <f>IF(calIni+311&lt;=pFinEff,calIni+311,"")</f>
        <v/>
      </c>
      <c r="BI318" s="241">
        <f>IF(BH318="","",WEEKDAY(BH318,2))</f>
        <v/>
      </c>
      <c r="BJ318" s="241">
        <f>IF(BH318="","",SUMIFS(rGasto,rFecha,BH318,rGrupo,"?*"))</f>
        <v/>
      </c>
      <c r="BK318" s="241">
        <f>IF(BH318="","",SUMIFS(rGasto,rFecha,BH318,rGrupo,gCP))</f>
        <v/>
      </c>
      <c r="BL318" s="241">
        <f>IF(BH318="",-1E+12-312,N(BJ318)+(400-312)/1E+7)</f>
        <v/>
      </c>
    </row>
    <row r="319">
      <c r="BG319" s="241" t="n">
        <v>313</v>
      </c>
      <c r="BH319" s="246">
        <f>IF(calIni+312&lt;=pFinEff,calIni+312,"")</f>
        <v/>
      </c>
      <c r="BI319" s="241">
        <f>IF(BH319="","",WEEKDAY(BH319,2))</f>
        <v/>
      </c>
      <c r="BJ319" s="241">
        <f>IF(BH319="","",SUMIFS(rGasto,rFecha,BH319,rGrupo,"?*"))</f>
        <v/>
      </c>
      <c r="BK319" s="241">
        <f>IF(BH319="","",SUMIFS(rGasto,rFecha,BH319,rGrupo,gCP))</f>
        <v/>
      </c>
      <c r="BL319" s="241">
        <f>IF(BH319="",-1E+12-313,N(BJ319)+(400-313)/1E+7)</f>
        <v/>
      </c>
    </row>
    <row r="320">
      <c r="BG320" s="241" t="n">
        <v>314</v>
      </c>
      <c r="BH320" s="246">
        <f>IF(calIni+313&lt;=pFinEff,calIni+313,"")</f>
        <v/>
      </c>
      <c r="BI320" s="241">
        <f>IF(BH320="","",WEEKDAY(BH320,2))</f>
        <v/>
      </c>
      <c r="BJ320" s="241">
        <f>IF(BH320="","",SUMIFS(rGasto,rFecha,BH320,rGrupo,"?*"))</f>
        <v/>
      </c>
      <c r="BK320" s="241">
        <f>IF(BH320="","",SUMIFS(rGasto,rFecha,BH320,rGrupo,gCP))</f>
        <v/>
      </c>
      <c r="BL320" s="241">
        <f>IF(BH320="",-1E+12-314,N(BJ320)+(400-314)/1E+7)</f>
        <v/>
      </c>
    </row>
    <row r="321">
      <c r="BG321" s="241" t="n">
        <v>315</v>
      </c>
      <c r="BH321" s="246">
        <f>IF(calIni+314&lt;=pFinEff,calIni+314,"")</f>
        <v/>
      </c>
      <c r="BI321" s="241">
        <f>IF(BH321="","",WEEKDAY(BH321,2))</f>
        <v/>
      </c>
      <c r="BJ321" s="241">
        <f>IF(BH321="","",SUMIFS(rGasto,rFecha,BH321,rGrupo,"?*"))</f>
        <v/>
      </c>
      <c r="BK321" s="241">
        <f>IF(BH321="","",SUMIFS(rGasto,rFecha,BH321,rGrupo,gCP))</f>
        <v/>
      </c>
      <c r="BL321" s="241">
        <f>IF(BH321="",-1E+12-315,N(BJ321)+(400-315)/1E+7)</f>
        <v/>
      </c>
    </row>
    <row r="322">
      <c r="BG322" s="241" t="n">
        <v>316</v>
      </c>
      <c r="BH322" s="246">
        <f>IF(calIni+315&lt;=pFinEff,calIni+315,"")</f>
        <v/>
      </c>
      <c r="BI322" s="241">
        <f>IF(BH322="","",WEEKDAY(BH322,2))</f>
        <v/>
      </c>
      <c r="BJ322" s="241">
        <f>IF(BH322="","",SUMIFS(rGasto,rFecha,BH322,rGrupo,"?*"))</f>
        <v/>
      </c>
      <c r="BK322" s="241">
        <f>IF(BH322="","",SUMIFS(rGasto,rFecha,BH322,rGrupo,gCP))</f>
        <v/>
      </c>
      <c r="BL322" s="241">
        <f>IF(BH322="",-1E+12-316,N(BJ322)+(400-316)/1E+7)</f>
        <v/>
      </c>
    </row>
    <row r="323">
      <c r="BG323" s="241" t="n">
        <v>317</v>
      </c>
      <c r="BH323" s="246">
        <f>IF(calIni+316&lt;=pFinEff,calIni+316,"")</f>
        <v/>
      </c>
      <c r="BI323" s="241">
        <f>IF(BH323="","",WEEKDAY(BH323,2))</f>
        <v/>
      </c>
      <c r="BJ323" s="241">
        <f>IF(BH323="","",SUMIFS(rGasto,rFecha,BH323,rGrupo,"?*"))</f>
        <v/>
      </c>
      <c r="BK323" s="241">
        <f>IF(BH323="","",SUMIFS(rGasto,rFecha,BH323,rGrupo,gCP))</f>
        <v/>
      </c>
      <c r="BL323" s="241">
        <f>IF(BH323="",-1E+12-317,N(BJ323)+(400-317)/1E+7)</f>
        <v/>
      </c>
    </row>
    <row r="324">
      <c r="BG324" s="241" t="n">
        <v>318</v>
      </c>
      <c r="BH324" s="246">
        <f>IF(calIni+317&lt;=pFinEff,calIni+317,"")</f>
        <v/>
      </c>
      <c r="BI324" s="241">
        <f>IF(BH324="","",WEEKDAY(BH324,2))</f>
        <v/>
      </c>
      <c r="BJ324" s="241">
        <f>IF(BH324="","",SUMIFS(rGasto,rFecha,BH324,rGrupo,"?*"))</f>
        <v/>
      </c>
      <c r="BK324" s="241">
        <f>IF(BH324="","",SUMIFS(rGasto,rFecha,BH324,rGrupo,gCP))</f>
        <v/>
      </c>
      <c r="BL324" s="241">
        <f>IF(BH324="",-1E+12-318,N(BJ324)+(400-318)/1E+7)</f>
        <v/>
      </c>
    </row>
    <row r="325">
      <c r="BG325" s="241" t="n">
        <v>319</v>
      </c>
      <c r="BH325" s="246">
        <f>IF(calIni+318&lt;=pFinEff,calIni+318,"")</f>
        <v/>
      </c>
      <c r="BI325" s="241">
        <f>IF(BH325="","",WEEKDAY(BH325,2))</f>
        <v/>
      </c>
      <c r="BJ325" s="241">
        <f>IF(BH325="","",SUMIFS(rGasto,rFecha,BH325,rGrupo,"?*"))</f>
        <v/>
      </c>
      <c r="BK325" s="241">
        <f>IF(BH325="","",SUMIFS(rGasto,rFecha,BH325,rGrupo,gCP))</f>
        <v/>
      </c>
      <c r="BL325" s="241">
        <f>IF(BH325="",-1E+12-319,N(BJ325)+(400-319)/1E+7)</f>
        <v/>
      </c>
    </row>
    <row r="326">
      <c r="BG326" s="241" t="n">
        <v>320</v>
      </c>
      <c r="BH326" s="246">
        <f>IF(calIni+319&lt;=pFinEff,calIni+319,"")</f>
        <v/>
      </c>
      <c r="BI326" s="241">
        <f>IF(BH326="","",WEEKDAY(BH326,2))</f>
        <v/>
      </c>
      <c r="BJ326" s="241">
        <f>IF(BH326="","",SUMIFS(rGasto,rFecha,BH326,rGrupo,"?*"))</f>
        <v/>
      </c>
      <c r="BK326" s="241">
        <f>IF(BH326="","",SUMIFS(rGasto,rFecha,BH326,rGrupo,gCP))</f>
        <v/>
      </c>
      <c r="BL326" s="241">
        <f>IF(BH326="",-1E+12-320,N(BJ326)+(400-320)/1E+7)</f>
        <v/>
      </c>
    </row>
    <row r="327">
      <c r="BG327" s="241" t="n">
        <v>321</v>
      </c>
      <c r="BH327" s="246">
        <f>IF(calIni+320&lt;=pFinEff,calIni+320,"")</f>
        <v/>
      </c>
      <c r="BI327" s="241">
        <f>IF(BH327="","",WEEKDAY(BH327,2))</f>
        <v/>
      </c>
      <c r="BJ327" s="241">
        <f>IF(BH327="","",SUMIFS(rGasto,rFecha,BH327,rGrupo,"?*"))</f>
        <v/>
      </c>
      <c r="BK327" s="241">
        <f>IF(BH327="","",SUMIFS(rGasto,rFecha,BH327,rGrupo,gCP))</f>
        <v/>
      </c>
      <c r="BL327" s="241">
        <f>IF(BH327="",-1E+12-321,N(BJ327)+(400-321)/1E+7)</f>
        <v/>
      </c>
    </row>
    <row r="328">
      <c r="BG328" s="241" t="n">
        <v>322</v>
      </c>
      <c r="BH328" s="246">
        <f>IF(calIni+321&lt;=pFinEff,calIni+321,"")</f>
        <v/>
      </c>
      <c r="BI328" s="241">
        <f>IF(BH328="","",WEEKDAY(BH328,2))</f>
        <v/>
      </c>
      <c r="BJ328" s="241">
        <f>IF(BH328="","",SUMIFS(rGasto,rFecha,BH328,rGrupo,"?*"))</f>
        <v/>
      </c>
      <c r="BK328" s="241">
        <f>IF(BH328="","",SUMIFS(rGasto,rFecha,BH328,rGrupo,gCP))</f>
        <v/>
      </c>
      <c r="BL328" s="241">
        <f>IF(BH328="",-1E+12-322,N(BJ328)+(400-322)/1E+7)</f>
        <v/>
      </c>
    </row>
    <row r="329">
      <c r="BG329" s="241" t="n">
        <v>323</v>
      </c>
      <c r="BH329" s="246">
        <f>IF(calIni+322&lt;=pFinEff,calIni+322,"")</f>
        <v/>
      </c>
      <c r="BI329" s="241">
        <f>IF(BH329="","",WEEKDAY(BH329,2))</f>
        <v/>
      </c>
      <c r="BJ329" s="241">
        <f>IF(BH329="","",SUMIFS(rGasto,rFecha,BH329,rGrupo,"?*"))</f>
        <v/>
      </c>
      <c r="BK329" s="241">
        <f>IF(BH329="","",SUMIFS(rGasto,rFecha,BH329,rGrupo,gCP))</f>
        <v/>
      </c>
      <c r="BL329" s="241">
        <f>IF(BH329="",-1E+12-323,N(BJ329)+(400-323)/1E+7)</f>
        <v/>
      </c>
    </row>
    <row r="330">
      <c r="BG330" s="241" t="n">
        <v>324</v>
      </c>
      <c r="BH330" s="246">
        <f>IF(calIni+323&lt;=pFinEff,calIni+323,"")</f>
        <v/>
      </c>
      <c r="BI330" s="241">
        <f>IF(BH330="","",WEEKDAY(BH330,2))</f>
        <v/>
      </c>
      <c r="BJ330" s="241">
        <f>IF(BH330="","",SUMIFS(rGasto,rFecha,BH330,rGrupo,"?*"))</f>
        <v/>
      </c>
      <c r="BK330" s="241">
        <f>IF(BH330="","",SUMIFS(rGasto,rFecha,BH330,rGrupo,gCP))</f>
        <v/>
      </c>
      <c r="BL330" s="241">
        <f>IF(BH330="",-1E+12-324,N(BJ330)+(400-324)/1E+7)</f>
        <v/>
      </c>
    </row>
    <row r="331">
      <c r="BG331" s="241" t="n">
        <v>325</v>
      </c>
      <c r="BH331" s="246">
        <f>IF(calIni+324&lt;=pFinEff,calIni+324,"")</f>
        <v/>
      </c>
      <c r="BI331" s="241">
        <f>IF(BH331="","",WEEKDAY(BH331,2))</f>
        <v/>
      </c>
      <c r="BJ331" s="241">
        <f>IF(BH331="","",SUMIFS(rGasto,rFecha,BH331,rGrupo,"?*"))</f>
        <v/>
      </c>
      <c r="BK331" s="241">
        <f>IF(BH331="","",SUMIFS(rGasto,rFecha,BH331,rGrupo,gCP))</f>
        <v/>
      </c>
      <c r="BL331" s="241">
        <f>IF(BH331="",-1E+12-325,N(BJ331)+(400-325)/1E+7)</f>
        <v/>
      </c>
    </row>
    <row r="332">
      <c r="BG332" s="241" t="n">
        <v>326</v>
      </c>
      <c r="BH332" s="246">
        <f>IF(calIni+325&lt;=pFinEff,calIni+325,"")</f>
        <v/>
      </c>
      <c r="BI332" s="241">
        <f>IF(BH332="","",WEEKDAY(BH332,2))</f>
        <v/>
      </c>
      <c r="BJ332" s="241">
        <f>IF(BH332="","",SUMIFS(rGasto,rFecha,BH332,rGrupo,"?*"))</f>
        <v/>
      </c>
      <c r="BK332" s="241">
        <f>IF(BH332="","",SUMIFS(rGasto,rFecha,BH332,rGrupo,gCP))</f>
        <v/>
      </c>
      <c r="BL332" s="241">
        <f>IF(BH332="",-1E+12-326,N(BJ332)+(400-326)/1E+7)</f>
        <v/>
      </c>
    </row>
    <row r="333">
      <c r="BG333" s="241" t="n">
        <v>327</v>
      </c>
      <c r="BH333" s="246">
        <f>IF(calIni+326&lt;=pFinEff,calIni+326,"")</f>
        <v/>
      </c>
      <c r="BI333" s="241">
        <f>IF(BH333="","",WEEKDAY(BH333,2))</f>
        <v/>
      </c>
      <c r="BJ333" s="241">
        <f>IF(BH333="","",SUMIFS(rGasto,rFecha,BH333,rGrupo,"?*"))</f>
        <v/>
      </c>
      <c r="BK333" s="241">
        <f>IF(BH333="","",SUMIFS(rGasto,rFecha,BH333,rGrupo,gCP))</f>
        <v/>
      </c>
      <c r="BL333" s="241">
        <f>IF(BH333="",-1E+12-327,N(BJ333)+(400-327)/1E+7)</f>
        <v/>
      </c>
    </row>
    <row r="334">
      <c r="BG334" s="241" t="n">
        <v>328</v>
      </c>
      <c r="BH334" s="246">
        <f>IF(calIni+327&lt;=pFinEff,calIni+327,"")</f>
        <v/>
      </c>
      <c r="BI334" s="241">
        <f>IF(BH334="","",WEEKDAY(BH334,2))</f>
        <v/>
      </c>
      <c r="BJ334" s="241">
        <f>IF(BH334="","",SUMIFS(rGasto,rFecha,BH334,rGrupo,"?*"))</f>
        <v/>
      </c>
      <c r="BK334" s="241">
        <f>IF(BH334="","",SUMIFS(rGasto,rFecha,BH334,rGrupo,gCP))</f>
        <v/>
      </c>
      <c r="BL334" s="241">
        <f>IF(BH334="",-1E+12-328,N(BJ334)+(400-328)/1E+7)</f>
        <v/>
      </c>
    </row>
    <row r="335">
      <c r="BG335" s="241" t="n">
        <v>329</v>
      </c>
      <c r="BH335" s="246">
        <f>IF(calIni+328&lt;=pFinEff,calIni+328,"")</f>
        <v/>
      </c>
      <c r="BI335" s="241">
        <f>IF(BH335="","",WEEKDAY(BH335,2))</f>
        <v/>
      </c>
      <c r="BJ335" s="241">
        <f>IF(BH335="","",SUMIFS(rGasto,rFecha,BH335,rGrupo,"?*"))</f>
        <v/>
      </c>
      <c r="BK335" s="241">
        <f>IF(BH335="","",SUMIFS(rGasto,rFecha,BH335,rGrupo,gCP))</f>
        <v/>
      </c>
      <c r="BL335" s="241">
        <f>IF(BH335="",-1E+12-329,N(BJ335)+(400-329)/1E+7)</f>
        <v/>
      </c>
    </row>
    <row r="336">
      <c r="BG336" s="241" t="n">
        <v>330</v>
      </c>
      <c r="BH336" s="246">
        <f>IF(calIni+329&lt;=pFinEff,calIni+329,"")</f>
        <v/>
      </c>
      <c r="BI336" s="241">
        <f>IF(BH336="","",WEEKDAY(BH336,2))</f>
        <v/>
      </c>
      <c r="BJ336" s="241">
        <f>IF(BH336="","",SUMIFS(rGasto,rFecha,BH336,rGrupo,"?*"))</f>
        <v/>
      </c>
      <c r="BK336" s="241">
        <f>IF(BH336="","",SUMIFS(rGasto,rFecha,BH336,rGrupo,gCP))</f>
        <v/>
      </c>
      <c r="BL336" s="241">
        <f>IF(BH336="",-1E+12-330,N(BJ336)+(400-330)/1E+7)</f>
        <v/>
      </c>
    </row>
    <row r="337">
      <c r="BG337" s="241" t="n">
        <v>331</v>
      </c>
      <c r="BH337" s="246">
        <f>IF(calIni+330&lt;=pFinEff,calIni+330,"")</f>
        <v/>
      </c>
      <c r="BI337" s="241">
        <f>IF(BH337="","",WEEKDAY(BH337,2))</f>
        <v/>
      </c>
      <c r="BJ337" s="241">
        <f>IF(BH337="","",SUMIFS(rGasto,rFecha,BH337,rGrupo,"?*"))</f>
        <v/>
      </c>
      <c r="BK337" s="241">
        <f>IF(BH337="","",SUMIFS(rGasto,rFecha,BH337,rGrupo,gCP))</f>
        <v/>
      </c>
      <c r="BL337" s="241">
        <f>IF(BH337="",-1E+12-331,N(BJ337)+(400-331)/1E+7)</f>
        <v/>
      </c>
    </row>
    <row r="338">
      <c r="BG338" s="241" t="n">
        <v>332</v>
      </c>
      <c r="BH338" s="246">
        <f>IF(calIni+331&lt;=pFinEff,calIni+331,"")</f>
        <v/>
      </c>
      <c r="BI338" s="241">
        <f>IF(BH338="","",WEEKDAY(BH338,2))</f>
        <v/>
      </c>
      <c r="BJ338" s="241">
        <f>IF(BH338="","",SUMIFS(rGasto,rFecha,BH338,rGrupo,"?*"))</f>
        <v/>
      </c>
      <c r="BK338" s="241">
        <f>IF(BH338="","",SUMIFS(rGasto,rFecha,BH338,rGrupo,gCP))</f>
        <v/>
      </c>
      <c r="BL338" s="241">
        <f>IF(BH338="",-1E+12-332,N(BJ338)+(400-332)/1E+7)</f>
        <v/>
      </c>
    </row>
    <row r="339">
      <c r="BG339" s="241" t="n">
        <v>333</v>
      </c>
      <c r="BH339" s="246">
        <f>IF(calIni+332&lt;=pFinEff,calIni+332,"")</f>
        <v/>
      </c>
      <c r="BI339" s="241">
        <f>IF(BH339="","",WEEKDAY(BH339,2))</f>
        <v/>
      </c>
      <c r="BJ339" s="241">
        <f>IF(BH339="","",SUMIFS(rGasto,rFecha,BH339,rGrupo,"?*"))</f>
        <v/>
      </c>
      <c r="BK339" s="241">
        <f>IF(BH339="","",SUMIFS(rGasto,rFecha,BH339,rGrupo,gCP))</f>
        <v/>
      </c>
      <c r="BL339" s="241">
        <f>IF(BH339="",-1E+12-333,N(BJ339)+(400-333)/1E+7)</f>
        <v/>
      </c>
    </row>
    <row r="340">
      <c r="BG340" s="241" t="n">
        <v>334</v>
      </c>
      <c r="BH340" s="246">
        <f>IF(calIni+333&lt;=pFinEff,calIni+333,"")</f>
        <v/>
      </c>
      <c r="BI340" s="241">
        <f>IF(BH340="","",WEEKDAY(BH340,2))</f>
        <v/>
      </c>
      <c r="BJ340" s="241">
        <f>IF(BH340="","",SUMIFS(rGasto,rFecha,BH340,rGrupo,"?*"))</f>
        <v/>
      </c>
      <c r="BK340" s="241">
        <f>IF(BH340="","",SUMIFS(rGasto,rFecha,BH340,rGrupo,gCP))</f>
        <v/>
      </c>
      <c r="BL340" s="241">
        <f>IF(BH340="",-1E+12-334,N(BJ340)+(400-334)/1E+7)</f>
        <v/>
      </c>
    </row>
    <row r="341">
      <c r="BG341" s="241" t="n">
        <v>335</v>
      </c>
      <c r="BH341" s="246">
        <f>IF(calIni+334&lt;=pFinEff,calIni+334,"")</f>
        <v/>
      </c>
      <c r="BI341" s="241">
        <f>IF(BH341="","",WEEKDAY(BH341,2))</f>
        <v/>
      </c>
      <c r="BJ341" s="241">
        <f>IF(BH341="","",SUMIFS(rGasto,rFecha,BH341,rGrupo,"?*"))</f>
        <v/>
      </c>
      <c r="BK341" s="241">
        <f>IF(BH341="","",SUMIFS(rGasto,rFecha,BH341,rGrupo,gCP))</f>
        <v/>
      </c>
      <c r="BL341" s="241">
        <f>IF(BH341="",-1E+12-335,N(BJ341)+(400-335)/1E+7)</f>
        <v/>
      </c>
    </row>
    <row r="342">
      <c r="BG342" s="241" t="n">
        <v>336</v>
      </c>
      <c r="BH342" s="246">
        <f>IF(calIni+335&lt;=pFinEff,calIni+335,"")</f>
        <v/>
      </c>
      <c r="BI342" s="241">
        <f>IF(BH342="","",WEEKDAY(BH342,2))</f>
        <v/>
      </c>
      <c r="BJ342" s="241">
        <f>IF(BH342="","",SUMIFS(rGasto,rFecha,BH342,rGrupo,"?*"))</f>
        <v/>
      </c>
      <c r="BK342" s="241">
        <f>IF(BH342="","",SUMIFS(rGasto,rFecha,BH342,rGrupo,gCP))</f>
        <v/>
      </c>
      <c r="BL342" s="241">
        <f>IF(BH342="",-1E+12-336,N(BJ342)+(400-336)/1E+7)</f>
        <v/>
      </c>
    </row>
    <row r="343">
      <c r="BG343" s="241" t="n">
        <v>337</v>
      </c>
      <c r="BH343" s="246">
        <f>IF(calIni+336&lt;=pFinEff,calIni+336,"")</f>
        <v/>
      </c>
      <c r="BI343" s="241">
        <f>IF(BH343="","",WEEKDAY(BH343,2))</f>
        <v/>
      </c>
      <c r="BJ343" s="241">
        <f>IF(BH343="","",SUMIFS(rGasto,rFecha,BH343,rGrupo,"?*"))</f>
        <v/>
      </c>
      <c r="BK343" s="241">
        <f>IF(BH343="","",SUMIFS(rGasto,rFecha,BH343,rGrupo,gCP))</f>
        <v/>
      </c>
      <c r="BL343" s="241">
        <f>IF(BH343="",-1E+12-337,N(BJ343)+(400-337)/1E+7)</f>
        <v/>
      </c>
    </row>
    <row r="344">
      <c r="BG344" s="241" t="n">
        <v>338</v>
      </c>
      <c r="BH344" s="246">
        <f>IF(calIni+337&lt;=pFinEff,calIni+337,"")</f>
        <v/>
      </c>
      <c r="BI344" s="241">
        <f>IF(BH344="","",WEEKDAY(BH344,2))</f>
        <v/>
      </c>
      <c r="BJ344" s="241">
        <f>IF(BH344="","",SUMIFS(rGasto,rFecha,BH344,rGrupo,"?*"))</f>
        <v/>
      </c>
      <c r="BK344" s="241">
        <f>IF(BH344="","",SUMIFS(rGasto,rFecha,BH344,rGrupo,gCP))</f>
        <v/>
      </c>
      <c r="BL344" s="241">
        <f>IF(BH344="",-1E+12-338,N(BJ344)+(400-338)/1E+7)</f>
        <v/>
      </c>
    </row>
    <row r="345">
      <c r="BG345" s="241" t="n">
        <v>339</v>
      </c>
      <c r="BH345" s="246">
        <f>IF(calIni+338&lt;=pFinEff,calIni+338,"")</f>
        <v/>
      </c>
      <c r="BI345" s="241">
        <f>IF(BH345="","",WEEKDAY(BH345,2))</f>
        <v/>
      </c>
      <c r="BJ345" s="241">
        <f>IF(BH345="","",SUMIFS(rGasto,rFecha,BH345,rGrupo,"?*"))</f>
        <v/>
      </c>
      <c r="BK345" s="241">
        <f>IF(BH345="","",SUMIFS(rGasto,rFecha,BH345,rGrupo,gCP))</f>
        <v/>
      </c>
      <c r="BL345" s="241">
        <f>IF(BH345="",-1E+12-339,N(BJ345)+(400-339)/1E+7)</f>
        <v/>
      </c>
    </row>
    <row r="346">
      <c r="BG346" s="241" t="n">
        <v>340</v>
      </c>
      <c r="BH346" s="246">
        <f>IF(calIni+339&lt;=pFinEff,calIni+339,"")</f>
        <v/>
      </c>
      <c r="BI346" s="241">
        <f>IF(BH346="","",WEEKDAY(BH346,2))</f>
        <v/>
      </c>
      <c r="BJ346" s="241">
        <f>IF(BH346="","",SUMIFS(rGasto,rFecha,BH346,rGrupo,"?*"))</f>
        <v/>
      </c>
      <c r="BK346" s="241">
        <f>IF(BH346="","",SUMIFS(rGasto,rFecha,BH346,rGrupo,gCP))</f>
        <v/>
      </c>
      <c r="BL346" s="241">
        <f>IF(BH346="",-1E+12-340,N(BJ346)+(400-340)/1E+7)</f>
        <v/>
      </c>
    </row>
    <row r="347">
      <c r="BG347" s="241" t="n">
        <v>341</v>
      </c>
      <c r="BH347" s="246">
        <f>IF(calIni+340&lt;=pFinEff,calIni+340,"")</f>
        <v/>
      </c>
      <c r="BI347" s="241">
        <f>IF(BH347="","",WEEKDAY(BH347,2))</f>
        <v/>
      </c>
      <c r="BJ347" s="241">
        <f>IF(BH347="","",SUMIFS(rGasto,rFecha,BH347,rGrupo,"?*"))</f>
        <v/>
      </c>
      <c r="BK347" s="241">
        <f>IF(BH347="","",SUMIFS(rGasto,rFecha,BH347,rGrupo,gCP))</f>
        <v/>
      </c>
      <c r="BL347" s="241">
        <f>IF(BH347="",-1E+12-341,N(BJ347)+(400-341)/1E+7)</f>
        <v/>
      </c>
    </row>
    <row r="348">
      <c r="BG348" s="241" t="n">
        <v>342</v>
      </c>
      <c r="BH348" s="246">
        <f>IF(calIni+341&lt;=pFinEff,calIni+341,"")</f>
        <v/>
      </c>
      <c r="BI348" s="241">
        <f>IF(BH348="","",WEEKDAY(BH348,2))</f>
        <v/>
      </c>
      <c r="BJ348" s="241">
        <f>IF(BH348="","",SUMIFS(rGasto,rFecha,BH348,rGrupo,"?*"))</f>
        <v/>
      </c>
      <c r="BK348" s="241">
        <f>IF(BH348="","",SUMIFS(rGasto,rFecha,BH348,rGrupo,gCP))</f>
        <v/>
      </c>
      <c r="BL348" s="241">
        <f>IF(BH348="",-1E+12-342,N(BJ348)+(400-342)/1E+7)</f>
        <v/>
      </c>
    </row>
    <row r="349">
      <c r="BG349" s="241" t="n">
        <v>343</v>
      </c>
      <c r="BH349" s="246">
        <f>IF(calIni+342&lt;=pFinEff,calIni+342,"")</f>
        <v/>
      </c>
      <c r="BI349" s="241">
        <f>IF(BH349="","",WEEKDAY(BH349,2))</f>
        <v/>
      </c>
      <c r="BJ349" s="241">
        <f>IF(BH349="","",SUMIFS(rGasto,rFecha,BH349,rGrupo,"?*"))</f>
        <v/>
      </c>
      <c r="BK349" s="241">
        <f>IF(BH349="","",SUMIFS(rGasto,rFecha,BH349,rGrupo,gCP))</f>
        <v/>
      </c>
      <c r="BL349" s="241">
        <f>IF(BH349="",-1E+12-343,N(BJ349)+(400-343)/1E+7)</f>
        <v/>
      </c>
    </row>
    <row r="350">
      <c r="BG350" s="241" t="n">
        <v>344</v>
      </c>
      <c r="BH350" s="246">
        <f>IF(calIni+343&lt;=pFinEff,calIni+343,"")</f>
        <v/>
      </c>
      <c r="BI350" s="241">
        <f>IF(BH350="","",WEEKDAY(BH350,2))</f>
        <v/>
      </c>
      <c r="BJ350" s="241">
        <f>IF(BH350="","",SUMIFS(rGasto,rFecha,BH350,rGrupo,"?*"))</f>
        <v/>
      </c>
      <c r="BK350" s="241">
        <f>IF(BH350="","",SUMIFS(rGasto,rFecha,BH350,rGrupo,gCP))</f>
        <v/>
      </c>
      <c r="BL350" s="241">
        <f>IF(BH350="",-1E+12-344,N(BJ350)+(400-344)/1E+7)</f>
        <v/>
      </c>
    </row>
    <row r="351">
      <c r="BG351" s="241" t="n">
        <v>345</v>
      </c>
      <c r="BH351" s="246">
        <f>IF(calIni+344&lt;=pFinEff,calIni+344,"")</f>
        <v/>
      </c>
      <c r="BI351" s="241">
        <f>IF(BH351="","",WEEKDAY(BH351,2))</f>
        <v/>
      </c>
      <c r="BJ351" s="241">
        <f>IF(BH351="","",SUMIFS(rGasto,rFecha,BH351,rGrupo,"?*"))</f>
        <v/>
      </c>
      <c r="BK351" s="241">
        <f>IF(BH351="","",SUMIFS(rGasto,rFecha,BH351,rGrupo,gCP))</f>
        <v/>
      </c>
      <c r="BL351" s="241">
        <f>IF(BH351="",-1E+12-345,N(BJ351)+(400-345)/1E+7)</f>
        <v/>
      </c>
    </row>
    <row r="352">
      <c r="BG352" s="241" t="n">
        <v>346</v>
      </c>
      <c r="BH352" s="246">
        <f>IF(calIni+345&lt;=pFinEff,calIni+345,"")</f>
        <v/>
      </c>
      <c r="BI352" s="241">
        <f>IF(BH352="","",WEEKDAY(BH352,2))</f>
        <v/>
      </c>
      <c r="BJ352" s="241">
        <f>IF(BH352="","",SUMIFS(rGasto,rFecha,BH352,rGrupo,"?*"))</f>
        <v/>
      </c>
      <c r="BK352" s="241">
        <f>IF(BH352="","",SUMIFS(rGasto,rFecha,BH352,rGrupo,gCP))</f>
        <v/>
      </c>
      <c r="BL352" s="241">
        <f>IF(BH352="",-1E+12-346,N(BJ352)+(400-346)/1E+7)</f>
        <v/>
      </c>
    </row>
    <row r="353">
      <c r="BG353" s="241" t="n">
        <v>347</v>
      </c>
      <c r="BH353" s="246">
        <f>IF(calIni+346&lt;=pFinEff,calIni+346,"")</f>
        <v/>
      </c>
      <c r="BI353" s="241">
        <f>IF(BH353="","",WEEKDAY(BH353,2))</f>
        <v/>
      </c>
      <c r="BJ353" s="241">
        <f>IF(BH353="","",SUMIFS(rGasto,rFecha,BH353,rGrupo,"?*"))</f>
        <v/>
      </c>
      <c r="BK353" s="241">
        <f>IF(BH353="","",SUMIFS(rGasto,rFecha,BH353,rGrupo,gCP))</f>
        <v/>
      </c>
      <c r="BL353" s="241">
        <f>IF(BH353="",-1E+12-347,N(BJ353)+(400-347)/1E+7)</f>
        <v/>
      </c>
    </row>
    <row r="354">
      <c r="BG354" s="241" t="n">
        <v>348</v>
      </c>
      <c r="BH354" s="246">
        <f>IF(calIni+347&lt;=pFinEff,calIni+347,"")</f>
        <v/>
      </c>
      <c r="BI354" s="241">
        <f>IF(BH354="","",WEEKDAY(BH354,2))</f>
        <v/>
      </c>
      <c r="BJ354" s="241">
        <f>IF(BH354="","",SUMIFS(rGasto,rFecha,BH354,rGrupo,"?*"))</f>
        <v/>
      </c>
      <c r="BK354" s="241">
        <f>IF(BH354="","",SUMIFS(rGasto,rFecha,BH354,rGrupo,gCP))</f>
        <v/>
      </c>
      <c r="BL354" s="241">
        <f>IF(BH354="",-1E+12-348,N(BJ354)+(400-348)/1E+7)</f>
        <v/>
      </c>
    </row>
    <row r="355">
      <c r="BG355" s="241" t="n">
        <v>349</v>
      </c>
      <c r="BH355" s="246">
        <f>IF(calIni+348&lt;=pFinEff,calIni+348,"")</f>
        <v/>
      </c>
      <c r="BI355" s="241">
        <f>IF(BH355="","",WEEKDAY(BH355,2))</f>
        <v/>
      </c>
      <c r="BJ355" s="241">
        <f>IF(BH355="","",SUMIFS(rGasto,rFecha,BH355,rGrupo,"?*"))</f>
        <v/>
      </c>
      <c r="BK355" s="241">
        <f>IF(BH355="","",SUMIFS(rGasto,rFecha,BH355,rGrupo,gCP))</f>
        <v/>
      </c>
      <c r="BL355" s="241">
        <f>IF(BH355="",-1E+12-349,N(BJ355)+(400-349)/1E+7)</f>
        <v/>
      </c>
    </row>
    <row r="356">
      <c r="BG356" s="241" t="n">
        <v>350</v>
      </c>
      <c r="BH356" s="246">
        <f>IF(calIni+349&lt;=pFinEff,calIni+349,"")</f>
        <v/>
      </c>
      <c r="BI356" s="241">
        <f>IF(BH356="","",WEEKDAY(BH356,2))</f>
        <v/>
      </c>
      <c r="BJ356" s="241">
        <f>IF(BH356="","",SUMIFS(rGasto,rFecha,BH356,rGrupo,"?*"))</f>
        <v/>
      </c>
      <c r="BK356" s="241">
        <f>IF(BH356="","",SUMIFS(rGasto,rFecha,BH356,rGrupo,gCP))</f>
        <v/>
      </c>
      <c r="BL356" s="241">
        <f>IF(BH356="",-1E+12-350,N(BJ356)+(400-350)/1E+7)</f>
        <v/>
      </c>
    </row>
    <row r="357">
      <c r="BG357" s="241" t="n">
        <v>351</v>
      </c>
      <c r="BH357" s="246">
        <f>IF(calIni+350&lt;=pFinEff,calIni+350,"")</f>
        <v/>
      </c>
      <c r="BI357" s="241">
        <f>IF(BH357="","",WEEKDAY(BH357,2))</f>
        <v/>
      </c>
      <c r="BJ357" s="241">
        <f>IF(BH357="","",SUMIFS(rGasto,rFecha,BH357,rGrupo,"?*"))</f>
        <v/>
      </c>
      <c r="BK357" s="241">
        <f>IF(BH357="","",SUMIFS(rGasto,rFecha,BH357,rGrupo,gCP))</f>
        <v/>
      </c>
      <c r="BL357" s="241">
        <f>IF(BH357="",-1E+12-351,N(BJ357)+(400-351)/1E+7)</f>
        <v/>
      </c>
    </row>
    <row r="358">
      <c r="BG358" s="241" t="n">
        <v>352</v>
      </c>
      <c r="BH358" s="246">
        <f>IF(calIni+351&lt;=pFinEff,calIni+351,"")</f>
        <v/>
      </c>
      <c r="BI358" s="241">
        <f>IF(BH358="","",WEEKDAY(BH358,2))</f>
        <v/>
      </c>
      <c r="BJ358" s="241">
        <f>IF(BH358="","",SUMIFS(rGasto,rFecha,BH358,rGrupo,"?*"))</f>
        <v/>
      </c>
      <c r="BK358" s="241">
        <f>IF(BH358="","",SUMIFS(rGasto,rFecha,BH358,rGrupo,gCP))</f>
        <v/>
      </c>
      <c r="BL358" s="241">
        <f>IF(BH358="",-1E+12-352,N(BJ358)+(400-352)/1E+7)</f>
        <v/>
      </c>
    </row>
    <row r="359">
      <c r="BG359" s="241" t="n">
        <v>353</v>
      </c>
      <c r="BH359" s="246">
        <f>IF(calIni+352&lt;=pFinEff,calIni+352,"")</f>
        <v/>
      </c>
      <c r="BI359" s="241">
        <f>IF(BH359="","",WEEKDAY(BH359,2))</f>
        <v/>
      </c>
      <c r="BJ359" s="241">
        <f>IF(BH359="","",SUMIFS(rGasto,rFecha,BH359,rGrupo,"?*"))</f>
        <v/>
      </c>
      <c r="BK359" s="241">
        <f>IF(BH359="","",SUMIFS(rGasto,rFecha,BH359,rGrupo,gCP))</f>
        <v/>
      </c>
      <c r="BL359" s="241">
        <f>IF(BH359="",-1E+12-353,N(BJ359)+(400-353)/1E+7)</f>
        <v/>
      </c>
    </row>
    <row r="360">
      <c r="BG360" s="241" t="n">
        <v>354</v>
      </c>
      <c r="BH360" s="246">
        <f>IF(calIni+353&lt;=pFinEff,calIni+353,"")</f>
        <v/>
      </c>
      <c r="BI360" s="241">
        <f>IF(BH360="","",WEEKDAY(BH360,2))</f>
        <v/>
      </c>
      <c r="BJ360" s="241">
        <f>IF(BH360="","",SUMIFS(rGasto,rFecha,BH360,rGrupo,"?*"))</f>
        <v/>
      </c>
      <c r="BK360" s="241">
        <f>IF(BH360="","",SUMIFS(rGasto,rFecha,BH360,rGrupo,gCP))</f>
        <v/>
      </c>
      <c r="BL360" s="241">
        <f>IF(BH360="",-1E+12-354,N(BJ360)+(400-354)/1E+7)</f>
        <v/>
      </c>
    </row>
    <row r="361">
      <c r="BG361" s="241" t="n">
        <v>355</v>
      </c>
      <c r="BH361" s="246">
        <f>IF(calIni+354&lt;=pFinEff,calIni+354,"")</f>
        <v/>
      </c>
      <c r="BI361" s="241">
        <f>IF(BH361="","",WEEKDAY(BH361,2))</f>
        <v/>
      </c>
      <c r="BJ361" s="241">
        <f>IF(BH361="","",SUMIFS(rGasto,rFecha,BH361,rGrupo,"?*"))</f>
        <v/>
      </c>
      <c r="BK361" s="241">
        <f>IF(BH361="","",SUMIFS(rGasto,rFecha,BH361,rGrupo,gCP))</f>
        <v/>
      </c>
      <c r="BL361" s="241">
        <f>IF(BH361="",-1E+12-355,N(BJ361)+(400-355)/1E+7)</f>
        <v/>
      </c>
    </row>
    <row r="362">
      <c r="BG362" s="241" t="n">
        <v>356</v>
      </c>
      <c r="BH362" s="246">
        <f>IF(calIni+355&lt;=pFinEff,calIni+355,"")</f>
        <v/>
      </c>
      <c r="BI362" s="241">
        <f>IF(BH362="","",WEEKDAY(BH362,2))</f>
        <v/>
      </c>
      <c r="BJ362" s="241">
        <f>IF(BH362="","",SUMIFS(rGasto,rFecha,BH362,rGrupo,"?*"))</f>
        <v/>
      </c>
      <c r="BK362" s="241">
        <f>IF(BH362="","",SUMIFS(rGasto,rFecha,BH362,rGrupo,gCP))</f>
        <v/>
      </c>
      <c r="BL362" s="241">
        <f>IF(BH362="",-1E+12-356,N(BJ362)+(400-356)/1E+7)</f>
        <v/>
      </c>
    </row>
    <row r="363">
      <c r="BG363" s="241" t="n">
        <v>357</v>
      </c>
      <c r="BH363" s="246">
        <f>IF(calIni+356&lt;=pFinEff,calIni+356,"")</f>
        <v/>
      </c>
      <c r="BI363" s="241">
        <f>IF(BH363="","",WEEKDAY(BH363,2))</f>
        <v/>
      </c>
      <c r="BJ363" s="241">
        <f>IF(BH363="","",SUMIFS(rGasto,rFecha,BH363,rGrupo,"?*"))</f>
        <v/>
      </c>
      <c r="BK363" s="241">
        <f>IF(BH363="","",SUMIFS(rGasto,rFecha,BH363,rGrupo,gCP))</f>
        <v/>
      </c>
      <c r="BL363" s="241">
        <f>IF(BH363="",-1E+12-357,N(BJ363)+(400-357)/1E+7)</f>
        <v/>
      </c>
    </row>
    <row r="364">
      <c r="BG364" s="241" t="n">
        <v>358</v>
      </c>
      <c r="BH364" s="246">
        <f>IF(calIni+357&lt;=pFinEff,calIni+357,"")</f>
        <v/>
      </c>
      <c r="BI364" s="241">
        <f>IF(BH364="","",WEEKDAY(BH364,2))</f>
        <v/>
      </c>
      <c r="BJ364" s="241">
        <f>IF(BH364="","",SUMIFS(rGasto,rFecha,BH364,rGrupo,"?*"))</f>
        <v/>
      </c>
      <c r="BK364" s="241">
        <f>IF(BH364="","",SUMIFS(rGasto,rFecha,BH364,rGrupo,gCP))</f>
        <v/>
      </c>
      <c r="BL364" s="241">
        <f>IF(BH364="",-1E+12-358,N(BJ364)+(400-358)/1E+7)</f>
        <v/>
      </c>
    </row>
    <row r="365">
      <c r="BG365" s="241" t="n">
        <v>359</v>
      </c>
      <c r="BH365" s="246">
        <f>IF(calIni+358&lt;=pFinEff,calIni+358,"")</f>
        <v/>
      </c>
      <c r="BI365" s="241">
        <f>IF(BH365="","",WEEKDAY(BH365,2))</f>
        <v/>
      </c>
      <c r="BJ365" s="241">
        <f>IF(BH365="","",SUMIFS(rGasto,rFecha,BH365,rGrupo,"?*"))</f>
        <v/>
      </c>
      <c r="BK365" s="241">
        <f>IF(BH365="","",SUMIFS(rGasto,rFecha,BH365,rGrupo,gCP))</f>
        <v/>
      </c>
      <c r="BL365" s="241">
        <f>IF(BH365="",-1E+12-359,N(BJ365)+(400-359)/1E+7)</f>
        <v/>
      </c>
    </row>
    <row r="366">
      <c r="BG366" s="241" t="n">
        <v>360</v>
      </c>
      <c r="BH366" s="246">
        <f>IF(calIni+359&lt;=pFinEff,calIni+359,"")</f>
        <v/>
      </c>
      <c r="BI366" s="241">
        <f>IF(BH366="","",WEEKDAY(BH366,2))</f>
        <v/>
      </c>
      <c r="BJ366" s="241">
        <f>IF(BH366="","",SUMIFS(rGasto,rFecha,BH366,rGrupo,"?*"))</f>
        <v/>
      </c>
      <c r="BK366" s="241">
        <f>IF(BH366="","",SUMIFS(rGasto,rFecha,BH366,rGrupo,gCP))</f>
        <v/>
      </c>
      <c r="BL366" s="241">
        <f>IF(BH366="",-1E+12-360,N(BJ366)+(400-360)/1E+7)</f>
        <v/>
      </c>
    </row>
    <row r="367">
      <c r="BG367" s="241" t="n">
        <v>361</v>
      </c>
      <c r="BH367" s="246">
        <f>IF(calIni+360&lt;=pFinEff,calIni+360,"")</f>
        <v/>
      </c>
      <c r="BI367" s="241">
        <f>IF(BH367="","",WEEKDAY(BH367,2))</f>
        <v/>
      </c>
      <c r="BJ367" s="241">
        <f>IF(BH367="","",SUMIFS(rGasto,rFecha,BH367,rGrupo,"?*"))</f>
        <v/>
      </c>
      <c r="BK367" s="241">
        <f>IF(BH367="","",SUMIFS(rGasto,rFecha,BH367,rGrupo,gCP))</f>
        <v/>
      </c>
      <c r="BL367" s="241">
        <f>IF(BH367="",-1E+12-361,N(BJ367)+(400-361)/1E+7)</f>
        <v/>
      </c>
    </row>
    <row r="368">
      <c r="BG368" s="241" t="n">
        <v>362</v>
      </c>
      <c r="BH368" s="246">
        <f>IF(calIni+361&lt;=pFinEff,calIni+361,"")</f>
        <v/>
      </c>
      <c r="BI368" s="241">
        <f>IF(BH368="","",WEEKDAY(BH368,2))</f>
        <v/>
      </c>
      <c r="BJ368" s="241">
        <f>IF(BH368="","",SUMIFS(rGasto,rFecha,BH368,rGrupo,"?*"))</f>
        <v/>
      </c>
      <c r="BK368" s="241">
        <f>IF(BH368="","",SUMIFS(rGasto,rFecha,BH368,rGrupo,gCP))</f>
        <v/>
      </c>
      <c r="BL368" s="241">
        <f>IF(BH368="",-1E+12-362,N(BJ368)+(400-362)/1E+7)</f>
        <v/>
      </c>
    </row>
    <row r="369">
      <c r="BG369" s="241" t="n">
        <v>363</v>
      </c>
      <c r="BH369" s="246">
        <f>IF(calIni+362&lt;=pFinEff,calIni+362,"")</f>
        <v/>
      </c>
      <c r="BI369" s="241">
        <f>IF(BH369="","",WEEKDAY(BH369,2))</f>
        <v/>
      </c>
      <c r="BJ369" s="241">
        <f>IF(BH369="","",SUMIFS(rGasto,rFecha,BH369,rGrupo,"?*"))</f>
        <v/>
      </c>
      <c r="BK369" s="241">
        <f>IF(BH369="","",SUMIFS(rGasto,rFecha,BH369,rGrupo,gCP))</f>
        <v/>
      </c>
      <c r="BL369" s="241">
        <f>IF(BH369="",-1E+12-363,N(BJ369)+(400-363)/1E+7)</f>
        <v/>
      </c>
    </row>
    <row r="370">
      <c r="BG370" s="241" t="n">
        <v>364</v>
      </c>
      <c r="BH370" s="246">
        <f>IF(calIni+363&lt;=pFinEff,calIni+363,"")</f>
        <v/>
      </c>
      <c r="BI370" s="241">
        <f>IF(BH370="","",WEEKDAY(BH370,2))</f>
        <v/>
      </c>
      <c r="BJ370" s="241">
        <f>IF(BH370="","",SUMIFS(rGasto,rFecha,BH370,rGrupo,"?*"))</f>
        <v/>
      </c>
      <c r="BK370" s="241">
        <f>IF(BH370="","",SUMIFS(rGasto,rFecha,BH370,rGrupo,gCP))</f>
        <v/>
      </c>
      <c r="BL370" s="241">
        <f>IF(BH370="",-1E+12-364,N(BJ370)+(400-364)/1E+7)</f>
        <v/>
      </c>
    </row>
    <row r="371">
      <c r="BG371" s="241" t="n">
        <v>365</v>
      </c>
      <c r="BH371" s="246">
        <f>IF(calIni+364&lt;=pFinEff,calIni+364,"")</f>
        <v/>
      </c>
      <c r="BI371" s="241">
        <f>IF(BH371="","",WEEKDAY(BH371,2))</f>
        <v/>
      </c>
      <c r="BJ371" s="241">
        <f>IF(BH371="","",SUMIFS(rGasto,rFecha,BH371,rGrupo,"?*"))</f>
        <v/>
      </c>
      <c r="BK371" s="241">
        <f>IF(BH371="","",SUMIFS(rGasto,rFecha,BH371,rGrupo,gCP))</f>
        <v/>
      </c>
      <c r="BL371" s="241">
        <f>IF(BH371="",-1E+12-365,N(BJ371)+(400-365)/1E+7)</f>
        <v/>
      </c>
    </row>
    <row r="372">
      <c r="BG372" s="241" t="n">
        <v>366</v>
      </c>
      <c r="BH372" s="246">
        <f>IF(calIni+365&lt;=pFinEff,calIni+365,"")</f>
        <v/>
      </c>
      <c r="BI372" s="241">
        <f>IF(BH372="","",WEEKDAY(BH372,2))</f>
        <v/>
      </c>
      <c r="BJ372" s="241">
        <f>IF(BH372="","",SUMIFS(rGasto,rFecha,BH372,rGrupo,"?*"))</f>
        <v/>
      </c>
      <c r="BK372" s="241">
        <f>IF(BH372="","",SUMIFS(rGasto,rFecha,BH372,rGrupo,gCP))</f>
        <v/>
      </c>
      <c r="BL372" s="241">
        <f>IF(BH372="",-1E+12-366,N(BJ372)+(400-366)/1E+7)</f>
        <v/>
      </c>
    </row>
  </sheetData>
  <mergeCells count="18">
    <mergeCell ref="AK5:AX5"/>
    <mergeCell ref="BN5:BU5"/>
    <mergeCell ref="CB5:CE5"/>
    <mergeCell ref="CV5:CY5"/>
    <mergeCell ref="K5:P5"/>
    <mergeCell ref="CG5:CJ5"/>
    <mergeCell ref="CL5:CO5"/>
    <mergeCell ref="B5:C5"/>
    <mergeCell ref="AZ5:BE5"/>
    <mergeCell ref="BW5:BZ5"/>
    <mergeCell ref="CZ1:DF1"/>
    <mergeCell ref="CQ5:CT5"/>
    <mergeCell ref="DA5:DD5"/>
    <mergeCell ref="BG5:BL5"/>
    <mergeCell ref="E5:I5"/>
    <mergeCell ref="R5:Y5"/>
    <mergeCell ref="AA5:AD5"/>
    <mergeCell ref="AF5:AI5"/>
  </mergeCells>
  <hyperlinks>
    <hyperlink ref="B2" location="'Inicio'!A1" display="Inicio"/>
    <hyperlink ref="C2" location="'Registro'!A1" display="Registro"/>
    <hyperlink ref="D2" location="'Dashboard'!A1" display="Dashboard"/>
    <hyperlink ref="F2" location="'Alimentación'!A1" display="Alimentación"/>
    <hyperlink ref="G2" location="'Gastos hormiga'!A1" display="Hormiga"/>
    <hyperlink ref="H2" location="'Recurrentes'!A1" display="Recurrentes"/>
    <hyperlink ref="I2" location="'Presupuestos'!A1" display="Presupuestos"/>
    <hyperlink ref="J2" location="'Cuentas'!A1" display="Cuentas"/>
    <hyperlink ref="K2" location="'Categorías'!A1" display="Categorías"/>
    <hyperlink ref="L2" location="'Config'!A1" display="Config"/>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2026-10-14T14:19:46Z</dcterms:created>
  <dcterms:modified xmlns:dcterms="http://purl.org/dc/terms/" xmlns:xsi="http://www.w3.org/2001/XMLSchema-instance" xsi:type="dcterms:W3CDTF">2026-10-14T14:19:53Z</dcterms:modified>
</cp:coreProperties>
</file>